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4.xml" ContentType="application/vnd.openxmlformats-officedocument.spreadsheetml.comments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comments/comment5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Старт" sheetId="1" state="visible" r:id="rId1"/>
    <sheet name="00_Дашборд" sheetId="2" state="visible" r:id="rId2"/>
    <sheet name="01_Вводные" sheetId="3" state="visible" r:id="rId3"/>
    <sheet name="02_Модель" sheetId="4" state="visible" r:id="rId4"/>
    <sheet name="03_Сценарии" sheetId="5" state="visible" r:id="rId5"/>
    <sheet name="04_Продажи" sheetId="6" state="visible" r:id="rId6"/>
    <sheet name="05_Воронка" sheetId="7" state="visible" r:id="rId7"/>
    <sheet name="06_Сеть_и_дети" sheetId="8" state="visible" r:id="rId8"/>
    <sheet name="07_Мерч" sheetId="9" state="visible" r:id="rId9"/>
    <sheet name="08_ФОТ" sheetId="10" state="visible" r:id="rId10"/>
    <sheet name="09_Лагеря" sheetId="11" state="visible" r:id="rId11"/>
    <sheet name="10_Выплаты_ФК" sheetId="12" state="visible" r:id="rId12"/>
    <sheet name="11_История_25_26" sheetId="13" state="visible" r:id="rId13"/>
    <sheet name="12_Чувствительность" sheetId="14" state="visible" r:id="rId14"/>
    <sheet name="13_Проверки" sheetId="15" state="visible" r:id="rId15"/>
    <sheet name="14_Ревизия" sheetId="16" state="visible" r:id="rId16"/>
    <sheet name="15_Изменения" sheetId="17" state="visible" r:id="rId17"/>
    <sheet name="16_Инструкция" sheetId="18" state="visible" r:id="rId18"/>
    <sheet name="17_Сверка_версий" sheetId="19" state="hidden" r:id="rId19"/>
    <sheet name="18_Календарь_тарифы" sheetId="20" state="hidden" r:id="rId20"/>
    <sheet name="19_Расчет_аналитики" sheetId="21" state="hidden" r:id="rId21"/>
    <sheet name="16а_Логика_модели" sheetId="22" state="visible" r:id="rId22"/>
    <sheet name="01а_Действующая_сеть" sheetId="23" state="visible" r:id="rId23"/>
    <sheet name="14а_Сверка_с_ТЗ" sheetId="24" state="visible" r:id="rId24"/>
  </sheets>
  <definedNames>
    <definedName name="RevenueAge01">'18_Календарь_тарифы'!$B$24:$U$24</definedName>
    <definedName name="MinimumAge01">'18_Календарь_тарифы'!$B$54:$U$54</definedName>
    <definedName name="CapacityAge01">'18_Календарь_тарифы'!$W$24</definedName>
    <definedName name="MeanMinAge01">'18_Календарь_тарифы'!$X$24</definedName>
    <definedName name="RevenueAge02">'18_Календарь_тарифы'!$B$25:$U$25</definedName>
    <definedName name="MinimumAge02">'18_Календарь_тарифы'!$B$55:$U$55</definedName>
    <definedName name="CapacityAge02">'18_Календарь_тарифы'!$W$25</definedName>
    <definedName name="MeanMinAge02">'18_Календарь_тарифы'!$X$25</definedName>
    <definedName name="RevenueAge03">'18_Календарь_тарифы'!$B$26:$U$26</definedName>
    <definedName name="MinimumAge03">'18_Календарь_тарифы'!$B$56:$U$56</definedName>
    <definedName name="CapacityAge03">'18_Календарь_тарифы'!$W$26</definedName>
    <definedName name="MeanMinAge03">'18_Календарь_тарифы'!$X$26</definedName>
    <definedName name="RevenueAge04">'18_Календарь_тарифы'!$B$27:$U$27</definedName>
    <definedName name="MinimumAge04">'18_Календарь_тарифы'!$B$57:$U$57</definedName>
    <definedName name="CapacityAge04">'18_Календарь_тарифы'!$W$27</definedName>
    <definedName name="MeanMinAge04">'18_Календарь_тарифы'!$X$27</definedName>
    <definedName name="RevenueAge05">'18_Календарь_тарифы'!$B$28:$U$28</definedName>
    <definedName name="MinimumAge05">'18_Календарь_тарифы'!$B$58:$U$58</definedName>
    <definedName name="CapacityAge05">'18_Календарь_тарифы'!$W$28</definedName>
    <definedName name="MeanMinAge05">'18_Календарь_тарифы'!$X$28</definedName>
    <definedName name="RevenueAge06">'18_Календарь_тарифы'!$B$29:$U$29</definedName>
    <definedName name="MinimumAge06">'18_Календарь_тарифы'!$B$59:$U$59</definedName>
    <definedName name="CapacityAge06">'18_Календарь_тарифы'!$W$29</definedName>
    <definedName name="MeanMinAge06">'18_Календарь_тарифы'!$X$29</definedName>
    <definedName name="RevenueAge07">'18_Календарь_тарифы'!$B$30:$U$30</definedName>
    <definedName name="MinimumAge07">'18_Календарь_тарифы'!$B$60:$U$60</definedName>
    <definedName name="CapacityAge07">'18_Календарь_тарифы'!$W$30</definedName>
    <definedName name="MeanMinAge07">'18_Календарь_тарифы'!$X$30</definedName>
    <definedName name="RevenueAge08">'18_Календарь_тарифы'!$B$31:$U$31</definedName>
    <definedName name="MinimumAge08">'18_Календарь_тарифы'!$B$61:$U$61</definedName>
    <definedName name="CapacityAge08">'18_Календарь_тарифы'!$W$31</definedName>
    <definedName name="MeanMinAge08">'18_Календарь_тарифы'!$X$31</definedName>
    <definedName name="RevenueAge09">'18_Календарь_тарифы'!$B$32:$U$32</definedName>
    <definedName name="MinimumAge09">'18_Календарь_тарифы'!$B$62:$U$62</definedName>
    <definedName name="CapacityAge09">'18_Календарь_тарифы'!$W$32</definedName>
    <definedName name="MeanMinAge09">'18_Календарь_тарифы'!$X$32</definedName>
    <definedName name="RevenueAge10">'18_Календарь_тарифы'!$B$33:$U$33</definedName>
    <definedName name="MinimumAge10">'18_Календарь_тарифы'!$B$63:$U$63</definedName>
    <definedName name="CapacityAge10">'18_Календарь_тарифы'!$W$33</definedName>
    <definedName name="MeanMinAge10">'18_Календарь_тарифы'!$X$33</definedName>
    <definedName name="RevenueAge11">'18_Календарь_тарифы'!$B$34:$U$34</definedName>
    <definedName name="MinimumAge11">'18_Календарь_тарифы'!$B$64:$U$64</definedName>
    <definedName name="CapacityAge11">'18_Календарь_тарифы'!$W$34</definedName>
    <definedName name="MeanMinAge11">'18_Календарь_тарифы'!$X$34</definedName>
    <definedName name="RevenueAge12">'18_Календарь_тарифы'!$B$35:$U$35</definedName>
    <definedName name="MinimumAge12">'18_Календарь_тарифы'!$B$65:$U$65</definedName>
    <definedName name="CapacityAge12">'18_Календарь_тарифы'!$W$35</definedName>
    <definedName name="MeanMinAge12">'18_Календарь_тарифы'!$X$35</definedName>
    <definedName name="RevenueAge13">'18_Календарь_тарифы'!$B$36:$U$36</definedName>
    <definedName name="MinimumAge13">'18_Календарь_тарифы'!$B$66:$U$66</definedName>
    <definedName name="CapacityAge13">'18_Календарь_тарифы'!$W$36</definedName>
    <definedName name="MeanMinAge13">'18_Календарь_тарифы'!$X$36</definedName>
    <definedName name="RevenueAge14">'18_Календарь_тарифы'!$B$37:$U$37</definedName>
    <definedName name="MinimumAge14">'18_Календарь_тарифы'!$B$67:$U$67</definedName>
    <definedName name="CapacityAge14">'18_Календарь_тарифы'!$W$37</definedName>
    <definedName name="MeanMinAge14">'18_Календарь_тарифы'!$X$37</definedName>
    <definedName name="RevenueAge15">'18_Календарь_тарифы'!$B$38:$U$38</definedName>
    <definedName name="MinimumAge15">'18_Календарь_тарифы'!$B$68:$U$68</definedName>
    <definedName name="CapacityAge15">'18_Календарь_тарифы'!$W$38</definedName>
    <definedName name="MeanMinAge15">'18_Календарь_тарифы'!$X$38</definedName>
    <definedName name="RevenueAge16">'18_Календарь_тарифы'!$B$39:$U$39</definedName>
    <definedName name="MinimumAge16">'18_Календарь_тарифы'!$B$69:$U$69</definedName>
    <definedName name="CapacityAge16">'18_Календарь_тарифы'!$W$39</definedName>
    <definedName name="MeanMinAge16">'18_Календарь_тарифы'!$X$39</definedName>
    <definedName name="RevenueAge17">'18_Календарь_тарифы'!$B$40:$U$40</definedName>
    <definedName name="MinimumAge17">'18_Календарь_тарифы'!$B$70:$U$70</definedName>
    <definedName name="CapacityAge17">'18_Календарь_тарифы'!$W$40</definedName>
    <definedName name="MeanMinAge17">'18_Календарь_тарифы'!$X$40</definedName>
    <definedName name="RevenueAge18">'18_Календарь_тарифы'!$B$41:$U$41</definedName>
    <definedName name="MinimumAge18">'18_Календарь_тарифы'!$B$71:$U$71</definedName>
    <definedName name="CapacityAge18">'18_Календарь_тарифы'!$W$41</definedName>
    <definedName name="MeanMinAge18">'18_Календарь_тарифы'!$X$41</definedName>
    <definedName name="RevenueAge19">'18_Календарь_тарифы'!$B$42:$U$42</definedName>
    <definedName name="MinimumAge19">'18_Календарь_тарифы'!$B$72:$U$72</definedName>
    <definedName name="CapacityAge19">'18_Календарь_тарифы'!$W$42</definedName>
    <definedName name="MeanMinAge19">'18_Календарь_тарифы'!$X$42</definedName>
    <definedName name="RevenueAge20">'18_Календарь_тарифы'!$B$43:$U$43</definedName>
    <definedName name="MinimumAge20">'18_Календарь_тарифы'!$B$73:$U$73</definedName>
    <definedName name="CapacityAge20">'18_Календарь_тарифы'!$W$43</definedName>
    <definedName name="MeanMinAge20">'18_Календарь_тарифы'!$X$43</definedName>
    <definedName name="RevenueAge21">'18_Календарь_тарифы'!$B$44:$U$44</definedName>
    <definedName name="MinimumAge21">'18_Календарь_тарифы'!$B$74:$U$74</definedName>
    <definedName name="CapacityAge21">'18_Календарь_тарифы'!$W$44</definedName>
    <definedName name="MeanMinAge21">'18_Календарь_тарифы'!$X$44</definedName>
    <definedName name="RevenueAge22">'18_Календарь_тарифы'!$B$45:$U$45</definedName>
    <definedName name="MinimumAge22">'18_Календарь_тарифы'!$B$75:$U$75</definedName>
    <definedName name="CapacityAge22">'18_Календарь_тарифы'!$W$45</definedName>
    <definedName name="MeanMinAge22">'18_Календарь_тарифы'!$X$45</definedName>
    <definedName name="RevenueAge23">'18_Календарь_тарифы'!$B$46:$U$46</definedName>
    <definedName name="MinimumAge23">'18_Календарь_тарифы'!$B$76:$U$76</definedName>
    <definedName name="CapacityAge23">'18_Календарь_тарифы'!$W$46</definedName>
    <definedName name="MeanMinAge23">'18_Календарь_тарифы'!$X$46</definedName>
    <definedName name="RevenueAge24">'18_Календарь_тарифы'!$B$47:$U$47</definedName>
    <definedName name="MinimumAge24">'18_Календарь_тарифы'!$B$77:$U$77</definedName>
    <definedName name="CapacityAge24">'18_Календарь_тарифы'!$W$47</definedName>
    <definedName name="MeanMinAge24">'18_Календарь_тарифы'!$X$47</definedName>
    <definedName name="RevenueAge25">'18_Календарь_тарифы'!$B$48:$U$48</definedName>
    <definedName name="MinimumAge25">'18_Календарь_тарифы'!$B$78:$U$78</definedName>
    <definedName name="CapacityAge25">'18_Календарь_тарифы'!$W$48</definedName>
    <definedName name="MeanMinAge25">'18_Календарь_тарифы'!$X$48</definedName>
    <definedName name="TariffWeights">'18_Календарь_тарифы'!$B$22:$U$22</definedName>
    <definedName name="CapacityYear1">'18_Календарь_тарифы'!$W$24:$W$35</definedName>
    <definedName name="CapacityYear2">'18_Календарь_тарифы'!$W$36:$W$47</definedName>
    <definedName name="ThresholdAge01">'18_Календарь_тарифы'!$B$114:$U$114</definedName>
    <definedName name="WeightedRevAge01">'18_Календарь_тарифы'!$B$144:$U$144</definedName>
    <definedName name="WeightedMinAge01">'18_Календарь_тарифы'!$B$174:$U$174</definedName>
    <definedName name="ThresholdAge02">'18_Календарь_тарифы'!$B$115:$U$115</definedName>
    <definedName name="WeightedRevAge02">'18_Календарь_тарифы'!$B$145:$U$145</definedName>
    <definedName name="WeightedMinAge02">'18_Календарь_тарифы'!$B$175:$U$175</definedName>
    <definedName name="ThresholdAge03">'18_Календарь_тарифы'!$B$116:$U$116</definedName>
    <definedName name="WeightedRevAge03">'18_Календарь_тарифы'!$B$146:$U$146</definedName>
    <definedName name="WeightedMinAge03">'18_Календарь_тарифы'!$B$176:$U$176</definedName>
    <definedName name="ThresholdAge04">'18_Календарь_тарифы'!$B$117:$U$117</definedName>
    <definedName name="WeightedRevAge04">'18_Календарь_тарифы'!$B$147:$U$147</definedName>
    <definedName name="WeightedMinAge04">'18_Календарь_тарифы'!$B$177:$U$177</definedName>
    <definedName name="ThresholdAge05">'18_Календарь_тарифы'!$B$118:$U$118</definedName>
    <definedName name="WeightedRevAge05">'18_Календарь_тарифы'!$B$148:$U$148</definedName>
    <definedName name="WeightedMinAge05">'18_Календарь_тарифы'!$B$178:$U$178</definedName>
    <definedName name="ThresholdAge06">'18_Календарь_тарифы'!$B$119:$U$119</definedName>
    <definedName name="WeightedRevAge06">'18_Календарь_тарифы'!$B$149:$U$149</definedName>
    <definedName name="WeightedMinAge06">'18_Календарь_тарифы'!$B$179:$U$179</definedName>
    <definedName name="ThresholdAge07">'18_Календарь_тарифы'!$B$120:$U$120</definedName>
    <definedName name="WeightedRevAge07">'18_Календарь_тарифы'!$B$150:$U$150</definedName>
    <definedName name="WeightedMinAge07">'18_Календарь_тарифы'!$B$180:$U$180</definedName>
    <definedName name="ThresholdAge08">'18_Календарь_тарифы'!$B$121:$U$121</definedName>
    <definedName name="WeightedRevAge08">'18_Календарь_тарифы'!$B$151:$U$151</definedName>
    <definedName name="WeightedMinAge08">'18_Календарь_тарифы'!$B$181:$U$181</definedName>
    <definedName name="ThresholdAge09">'18_Календарь_тарифы'!$B$122:$U$122</definedName>
    <definedName name="WeightedRevAge09">'18_Календарь_тарифы'!$B$152:$U$152</definedName>
    <definedName name="WeightedMinAge09">'18_Календарь_тарифы'!$B$182:$U$182</definedName>
    <definedName name="ThresholdAge10">'18_Календарь_тарифы'!$B$123:$U$123</definedName>
    <definedName name="WeightedRevAge10">'18_Календарь_тарифы'!$B$153:$U$153</definedName>
    <definedName name="WeightedMinAge10">'18_Календарь_тарифы'!$B$183:$U$183</definedName>
    <definedName name="ThresholdAge11">'18_Календарь_тарифы'!$B$124:$U$124</definedName>
    <definedName name="WeightedRevAge11">'18_Календарь_тарифы'!$B$154:$U$154</definedName>
    <definedName name="WeightedMinAge11">'18_Календарь_тарифы'!$B$184:$U$184</definedName>
    <definedName name="ThresholdAge12">'18_Календарь_тарифы'!$B$125:$U$125</definedName>
    <definedName name="WeightedRevAge12">'18_Календарь_тарифы'!$B$155:$U$155</definedName>
    <definedName name="WeightedMinAge12">'18_Календарь_тарифы'!$B$185:$U$185</definedName>
    <definedName name="ThresholdAge13">'18_Календарь_тарифы'!$B$126:$U$126</definedName>
    <definedName name="WeightedRevAge13">'18_Календарь_тарифы'!$B$156:$U$156</definedName>
    <definedName name="WeightedMinAge13">'18_Календарь_тарифы'!$B$186:$U$186</definedName>
    <definedName name="ThresholdAge14">'18_Календарь_тарифы'!$B$127:$U$127</definedName>
    <definedName name="WeightedRevAge14">'18_Календарь_тарифы'!$B$157:$U$157</definedName>
    <definedName name="WeightedMinAge14">'18_Календарь_тарифы'!$B$187:$U$187</definedName>
    <definedName name="ThresholdAge15">'18_Календарь_тарифы'!$B$128:$U$128</definedName>
    <definedName name="WeightedRevAge15">'18_Календарь_тарифы'!$B$158:$U$158</definedName>
    <definedName name="WeightedMinAge15">'18_Календарь_тарифы'!$B$188:$U$188</definedName>
    <definedName name="ThresholdAge16">'18_Календарь_тарифы'!$B$129:$U$129</definedName>
    <definedName name="WeightedRevAge16">'18_Календарь_тарифы'!$B$159:$U$159</definedName>
    <definedName name="WeightedMinAge16">'18_Календарь_тарифы'!$B$189:$U$189</definedName>
    <definedName name="ThresholdAge17">'18_Календарь_тарифы'!$B$130:$U$130</definedName>
    <definedName name="WeightedRevAge17">'18_Календарь_тарифы'!$B$160:$U$160</definedName>
    <definedName name="WeightedMinAge17">'18_Календарь_тарифы'!$B$190:$U$190</definedName>
    <definedName name="ThresholdAge18">'18_Календарь_тарифы'!$B$131:$U$131</definedName>
    <definedName name="WeightedRevAge18">'18_Календарь_тарифы'!$B$161:$U$161</definedName>
    <definedName name="WeightedMinAge18">'18_Календарь_тарифы'!$B$191:$U$191</definedName>
    <definedName name="ThresholdAge19">'18_Календарь_тарифы'!$B$132:$U$132</definedName>
    <definedName name="WeightedRevAge19">'18_Календарь_тарифы'!$B$162:$U$162</definedName>
    <definedName name="WeightedMinAge19">'18_Календарь_тарифы'!$B$192:$U$192</definedName>
    <definedName name="ThresholdAge20">'18_Календарь_тарифы'!$B$133:$U$133</definedName>
    <definedName name="WeightedRevAge20">'18_Календарь_тарифы'!$B$163:$U$163</definedName>
    <definedName name="WeightedMinAge20">'18_Календарь_тарифы'!$B$193:$U$193</definedName>
    <definedName name="ThresholdAge21">'18_Календарь_тарифы'!$B$134:$U$134</definedName>
    <definedName name="WeightedRevAge21">'18_Календарь_тарифы'!$B$164:$U$164</definedName>
    <definedName name="WeightedMinAge21">'18_Календарь_тарифы'!$B$194:$U$194</definedName>
    <definedName name="ThresholdAge22">'18_Календарь_тарифы'!$B$135:$U$135</definedName>
    <definedName name="WeightedRevAge22">'18_Календарь_тарифы'!$B$165:$U$165</definedName>
    <definedName name="WeightedMinAge22">'18_Календарь_тарифы'!$B$195:$U$195</definedName>
    <definedName name="ThresholdAge23">'18_Календарь_тарифы'!$B$136:$U$136</definedName>
    <definedName name="WeightedRevAge23">'18_Календарь_тарифы'!$B$166:$U$166</definedName>
    <definedName name="WeightedMinAge23">'18_Календарь_тарифы'!$B$196:$U$196</definedName>
    <definedName name="ThresholdAge24">'18_Календарь_тарифы'!$B$137:$U$137</definedName>
    <definedName name="WeightedRevAge24">'18_Календарь_тарифы'!$B$167:$U$167</definedName>
    <definedName name="WeightedMinAge24">'18_Календарь_тарифы'!$B$197:$U$197</definedName>
    <definedName name="ThresholdAge25">'18_Календарь_тарифы'!$B$138:$U$138</definedName>
    <definedName name="WeightedRevAge25">'18_Календарь_тарифы'!$B$168:$U$168</definedName>
    <definedName name="WeightedMinAge25">'18_Календарь_тарифы'!$B$198:$U$198</definedName>
    <definedName name="Сценарий">'01_Вводные'!$B$192</definedName>
    <definedName name="РежимИстории">'01_Вводные'!$B$188</definedName>
    <definedName name="ДрайверЧувствительности">'01_Вводные'!$B$233</definedName>
    <definedName name="ЧувствительностьВключена">'01_Вводные'!$B$234</definedName>
    <definedName name="ЛагеряВключены">'01_Вводные'!$B$241</definedName>
    <definedName name="CAPEXВключён">'01_Вводные'!$B$290</definedName>
    <definedName name="ИндексацияВключена">'01_Вводные'!$B$294</definedName>
    <definedName name="ПостепенныйНабор">'01_Вводные'!$B$295</definedName>
    <definedName name="РоялтиПоТарифам">'01_Вводные'!$B$239</definedName>
    <definedName name="ВозвратЗаймаОграничен">'01_Вводные'!$B$238</definedName>
    <definedName name="ДатаСтартаМодели">'01_Вводные'!$B$7</definedName>
    <definedName name="ГоризонтМесяцев">'01_Вводные'!$B$8</definedName>
    <definedName name="СтартовыйCash">'01_Вводные'!$B$17</definedName>
    <definedName name="СтартовыйСклад">'01_Вводные'!$B$77</definedName>
    <definedName name="СтартовыйЗайм">'01_Вводные'!$B$78</definedName>
    <definedName name="СтавкаНДС">'01_Вводные'!$B$58</definedName>
    <definedName name="КонверсияЛидПродажа">'01_Вводные'!$B$25</definedName>
    <definedName name="ЛагПродажаОткрытие">'01_Вводные'!$B$15</definedName>
    <definedName name="БазаПродажСезон1">'01_Вводные'!$B$210</definedName>
    <definedName name="БазаПродажСезон2">'01_Вводные'!$B$211</definedName>
    <definedName name="БазаПродажСезон3">'01_Вводные'!$B$212</definedName>
    <definedName name="БазаПродажСезон4">'01_Вводные'!$B$213</definedName>
    <definedName name="БазаПродажСезон5">'01_Вводные'!$B$214</definedName>
    <definedName name="ТарифныйМикс">'01_Вводные'!$A$263:$K$282</definedName>
    <definedName name="СценарныеМножители">'01_Вводные'!$C$198:$E$203</definedName>
    <definedName name="_xlnm.Print_Titles" localSheetId="3">'02_Модель'!$A:$A</definedName>
    <definedName name="_xlnm.Print_Titles" localSheetId="5">'04_Продажи'!$A:$A</definedName>
    <definedName name="_xlnm.Print_Titles" localSheetId="6">'05_Воронка'!$A:$A</definedName>
    <definedName name="_xlnm.Print_Titles" localSheetId="7">'06_Сеть_и_дети'!$A:$A</definedName>
    <definedName name="_xlnm.Print_Titles" localSheetId="8">'07_Мерч'!$A:$A</definedName>
    <definedName name="_xlnm.Print_Titles" localSheetId="9">'08_ФОТ'!$A:$A</definedName>
    <definedName name="_xlnm.Print_Titles" localSheetId="10">'09_Лагеря'!$A:$A</definedName>
    <definedName name="_xlnm.Print_Titles" localSheetId="11">'10_Выплаты_ФК'!$A:$A</definedName>
    <definedName name="_xlnm.Print_Titles" localSheetId="12">'11_История_25_26'!$A:$A</definedName>
    <definedName name="_xlnm._FilterDatabase" localSheetId="16" hidden="1">'15_Изменения'!$A$4:$E$26</definedName>
    <definedName name="_xlnm.Print_Titles" localSheetId="16">'15_Изменения'!$1:$3</definedName>
    <definedName name="_xlnm.Print_Area" localSheetId="16">'15_Изменения'!$A$1:$F$52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0">
    <numFmt numFmtId="164" formatCode="#,##0;[Red](#,##0);-"/>
    <numFmt numFmtId="165" formatCode="0.0%;[Red](0.0%);-"/>
    <numFmt numFmtId="166" formatCode="dd.mm.yyyy"/>
    <numFmt numFmtId="167" formatCode="0.0000x"/>
    <numFmt numFmtId="168" formatCode="0.000x"/>
    <numFmt numFmtId="169" formatCode="#,##0;[Red](#,##0);&quot;-&quot;"/>
    <numFmt numFmtId="170" formatCode="0.00&quot;x&quot;"/>
    <numFmt numFmtId="171" formatCode="0.0%;[Red](0.0%);&quot;-&quot;"/>
    <numFmt numFmtId="172" formatCode="#,##0.0;[Red](#,##0.0);&quot;-&quot;"/>
    <numFmt numFmtId="173" formatCode="#,##0.00;[Red](#,##0.00);&quot;-&quot;"/>
    <numFmt numFmtId="174" formatCode="0.00000000"/>
    <numFmt numFmtId="175" formatCode="0.0%"/>
    <numFmt numFmtId="176" formatCode="0;[Red](0);&quot;-&quot;"/>
    <numFmt numFmtId="177" formatCode="dd/mm/yyyy"/>
    <numFmt numFmtId="178" formatCode="#,##0.0;[Red](#,##0.0);-"/>
    <numFmt numFmtId="179" formatCode="0.00&quot; компл.&quot;"/>
    <numFmt numFmtId="180" formatCode="0.00&quot;×&quot;"/>
    <numFmt numFmtId="181" formatCode="0&quot; мес.&quot;"/>
    <numFmt numFmtId="182" formatCode="0&quot; дн.&quot;"/>
    <numFmt numFmtId="183" formatCode="0&quot; (№ мес.)&quot;"/>
    <numFmt numFmtId="184" formatCode="#,##0&quot; чел./шт.&quot;"/>
    <numFmt numFmtId="185" formatCode="0&quot; юрлиц&quot;"/>
    <numFmt numFmtId="186" formatCode="0&quot; чел.&quot;"/>
    <numFmt numFmtId="187" formatCode="0&quot; прод./мес.&quot;"/>
    <numFmt numFmtId="188" formatCode="#,##0&quot; шт.&quot;"/>
    <numFmt numFmtId="189" formatCode="#,##0&quot; чел.&quot;"/>
    <numFmt numFmtId="190" formatCode="0.00&quot; юрл./прод.&quot;"/>
    <numFmt numFmtId="191" formatCode="0.00&quot; школ/прод.&quot;"/>
    <numFmt numFmtId="192" formatCode="#,##0.0"/>
    <numFmt numFmtId="193" formatCode="yyyy-mm-dd h:mm:ss"/>
  </numFmts>
  <fonts count="87">
    <font>
      <name val="Calibri"/>
      <family val="2"/>
      <color theme="1"/>
      <sz val="11"/>
      <scheme val="minor"/>
    </font>
    <font>
      <b val="1"/>
      <color rgb="FFFFFFFF"/>
      <sz val="14"/>
    </font>
    <font>
      <b val="1"/>
      <color rgb="FF8A0000"/>
    </font>
    <font>
      <b val="1"/>
      <color rgb="FFFFFFFF"/>
      <sz val="11"/>
    </font>
    <font>
      <b val="1"/>
      <color rgb="FFFFFFFF"/>
    </font>
    <font>
      <color rgb="FF0000FF"/>
    </font>
    <font>
      <color rgb="FF003FA5"/>
    </font>
    <font>
      <color rgb="FF000000"/>
    </font>
    <font>
      <color rgb="FF666666"/>
    </font>
    <font>
      <color rgb="FF007F00"/>
    </font>
    <font>
      <b val="1"/>
      <color rgb="FF000000"/>
    </font>
    <font>
      <name val="Calibri"/>
      <b val="1"/>
      <color rgb="FFFFFFFF"/>
      <sz val="12"/>
    </font>
    <font>
      <name val="Calibri"/>
      <color rgb="FF222222"/>
      <sz val="11"/>
    </font>
    <font>
      <name val="Calibri"/>
      <b val="1"/>
      <color rgb="FF222222"/>
      <sz val="11"/>
    </font>
    <font>
      <name val="Calibri"/>
      <color rgb="FF0000FF"/>
      <sz val="11"/>
    </font>
    <font>
      <name val="Calibri"/>
      <color rgb="FF007F00"/>
      <sz val="11"/>
    </font>
    <font>
      <name val="Calibri"/>
      <b val="1"/>
      <color rgb="FFFFFFFF"/>
      <sz val="11"/>
    </font>
    <font>
      <name val="Calibri"/>
      <color rgb="FF666666"/>
      <sz val="11"/>
    </font>
    <font>
      <name val="Calibri"/>
      <b val="1"/>
      <color rgb="FF007F00"/>
    </font>
    <font>
      <name val="Calibri"/>
      <color rgb="FF000000"/>
      <sz val="11"/>
    </font>
    <font>
      <name val="Calibri"/>
      <color rgb="FF008000"/>
      <sz val="11"/>
    </font>
    <font>
      <name val="Calibri"/>
      <color rgb="FF6B7280"/>
    </font>
    <font>
      <name val="Calibri"/>
      <color rgb="FF6B7280"/>
      <sz val="10"/>
    </font>
    <font>
      <name val="Calibri"/>
      <b val="1"/>
      <sz val="11"/>
    </font>
    <font>
      <name val="Calibri"/>
      <color rgb="FF9E1B31"/>
      <sz val="11"/>
      <u val="single"/>
    </font>
    <font>
      <name val="Calibri"/>
      <b val="1"/>
      <color rgb="FF9E1B31"/>
    </font>
    <font>
      <name val="Calibri"/>
      <b val="1"/>
      <color rgb="FF9E1B31"/>
      <sz val="11"/>
      <u val="single"/>
    </font>
    <font>
      <name val="Calibri"/>
      <b val="1"/>
      <color rgb="FF333333"/>
      <sz val="11"/>
    </font>
    <font>
      <name val="Calibri"/>
      <color rgb="FF333333"/>
      <sz val="11"/>
    </font>
    <font>
      <name val="Calibri"/>
      <color rgb="FF8A0000"/>
      <sz val="11"/>
      <u val="single"/>
    </font>
    <font>
      <name val="Arial"/>
      <b val="1"/>
      <color rgb="FFFFFFFF"/>
      <sz val="11"/>
    </font>
    <font>
      <name val="Arial"/>
      <color rgb="FF0000FF"/>
      <sz val="10"/>
    </font>
    <font>
      <name val="Arial"/>
      <color rgb="FF008000"/>
      <sz val="10"/>
    </font>
    <font>
      <name val="Arial"/>
      <color rgb="FF000000"/>
      <sz val="10"/>
    </font>
    <font>
      <name val="Arial"/>
      <b val="1"/>
      <color rgb="FFFFFFFF"/>
      <sz val="14"/>
    </font>
    <font>
      <name val="Arial"/>
      <b val="1"/>
      <color rgb="FFFFFFFF"/>
      <sz val="10"/>
    </font>
    <font>
      <name val="Arial"/>
      <b val="1"/>
      <color rgb="FF9E1B31"/>
      <sz val="10"/>
    </font>
    <font>
      <name val="Arial"/>
      <b val="1"/>
      <color rgb="00FFFFFF"/>
      <sz val="14"/>
    </font>
    <font>
      <name val="Arial"/>
      <b val="1"/>
      <color rgb="0032282B"/>
      <sz val="10"/>
    </font>
    <font>
      <name val="Arial"/>
      <b val="1"/>
      <color rgb="00FFFFFF"/>
      <sz val="11"/>
    </font>
    <font>
      <name val="Arial"/>
      <color rgb="0032282B"/>
      <sz val="10"/>
    </font>
    <font>
      <name val="Arial"/>
      <color rgb="00555555"/>
      <sz val="10"/>
    </font>
    <font>
      <b val="1"/>
      <color rgb="00FFFFFF"/>
    </font>
    <font>
      <name val="Calibri"/>
      <color rgb="000563C1"/>
      <sz val="11"/>
      <u val="single"/>
    </font>
    <font>
      <b val="1"/>
      <color rgb="00FFFFFF"/>
      <sz val="11"/>
    </font>
    <font>
      <b val="1"/>
      <color rgb="000563C1"/>
      <sz val="9"/>
      <u val="single"/>
    </font>
    <font>
      <sz val="9"/>
    </font>
    <font>
      <name val="Calibri"/>
      <i val="1"/>
      <color rgb="00404040"/>
      <sz val="11"/>
    </font>
    <font>
      <name val="Calibri"/>
      <b val="1"/>
      <color rgb="00FFFFFF"/>
      <sz val="15"/>
    </font>
    <font>
      <i val="1"/>
      <color rgb="00404040"/>
      <sz val="11"/>
    </font>
    <font>
      <name val="Calibri"/>
      <b val="1"/>
      <color rgb="00FFFFFF"/>
      <sz val="10"/>
    </font>
    <font>
      <b val="1"/>
      <color rgb="00FFFFFF"/>
      <sz val="12"/>
    </font>
    <font>
      <color rgb="00808080"/>
      <sz val="10"/>
    </font>
    <font>
      <b val="1"/>
      <sz val="11"/>
    </font>
    <font>
      <color rgb="00303030"/>
      <sz val="10"/>
    </font>
    <font>
      <color rgb="00606060"/>
      <sz val="9"/>
    </font>
    <font>
      <name val="Calibri"/>
      <b val="1"/>
      <color rgb="00FFFFFF"/>
      <sz val="12"/>
    </font>
    <font>
      <color rgb="00404040"/>
      <sz val="10"/>
    </font>
    <font>
      <sz val="11"/>
    </font>
    <font>
      <b val="1"/>
      <sz val="12"/>
    </font>
    <font>
      <b val="1"/>
      <color rgb="009C0006"/>
      <sz val="10"/>
    </font>
    <font>
      <i val="1"/>
      <color rgb="00404040"/>
      <sz val="10"/>
    </font>
    <font>
      <b val="1"/>
    </font>
    <font>
      <b val="1"/>
      <color rgb="009C0006"/>
    </font>
    <font>
      <color rgb="009C0006"/>
      <sz val="9"/>
    </font>
    <font>
      <i val="1"/>
      <color rgb="00808080"/>
      <sz val="9"/>
    </font>
    <font>
      <b val="1"/>
      <color rgb="009C0006"/>
      <sz val="14"/>
    </font>
    <font>
      <b val="1"/>
      <color rgb="009C0006"/>
      <sz val="11"/>
    </font>
    <font>
      <b val="1"/>
      <color rgb="00375623"/>
      <sz val="10"/>
    </font>
    <font>
      <b val="1"/>
      <color rgb="007F6000"/>
      <sz val="10"/>
    </font>
    <font>
      <b val="1"/>
      <color rgb="001F4E79"/>
      <sz val="10"/>
    </font>
    <font>
      <b val="1"/>
      <color rgb="009C0006"/>
      <sz val="12"/>
    </font>
    <font>
      <i val="1"/>
      <color rgb="00FFFFFF"/>
      <sz val="9"/>
    </font>
    <font>
      <color rgb="00808080"/>
      <sz val="9"/>
    </font>
    <font>
      <color rgb="000563C1"/>
      <sz val="10"/>
      <u val="single"/>
    </font>
    <font>
      <i val="1"/>
      <sz val="11"/>
    </font>
    <font>
      <i val="1"/>
      <color rgb="00808080"/>
      <sz val="10"/>
    </font>
    <font>
      <b val="1"/>
      <sz val="10"/>
    </font>
    <font>
      <sz val="10"/>
    </font>
    <font>
      <color rgb="000563C1"/>
      <sz val="9"/>
      <u val="single"/>
    </font>
    <font>
      <i val="1"/>
      <color rgb="00606060"/>
      <sz val="9"/>
    </font>
    <font>
      <b val="1"/>
      <color rgb="009E1B31"/>
      <sz val="11"/>
    </font>
    <font>
      <b val="1"/>
      <sz val="9"/>
    </font>
    <font>
      <i val="1"/>
      <color rgb="00595959"/>
      <sz val="9"/>
    </font>
    <font>
      <color rgb="00595959"/>
    </font>
    <font>
      <b val="1"/>
      <color rgb="009E1B31"/>
    </font>
    <font>
      <color rgb="00606060"/>
      <sz val="10"/>
    </font>
  </fonts>
  <fills count="41">
    <fill>
      <patternFill/>
    </fill>
    <fill>
      <patternFill patternType="gray125">
        <fgColor rgb="FF000000"/>
        <bgColor rgb="FF000000"/>
      </patternFill>
    </fill>
    <fill>
      <patternFill patternType="solid">
        <fgColor rgb="FF8A0000"/>
        <bgColor rgb="FF000000"/>
      </patternFill>
    </fill>
    <fill>
      <patternFill patternType="solid">
        <fgColor rgb="FFF4E5E8"/>
        <bgColor rgb="FF000000"/>
      </patternFill>
    </fill>
    <fill>
      <patternFill patternType="solid">
        <fgColor rgb="FFB21E1E"/>
        <bgColor rgb="FF000000"/>
      </patternFill>
    </fill>
    <fill>
      <patternFill patternType="solid">
        <fgColor rgb="FF9E1B31"/>
        <bgColor rgb="FF000000"/>
      </patternFill>
    </fill>
    <fill>
      <patternFill patternType="solid">
        <fgColor rgb="FFFFF299"/>
        <bgColor rgb="FF000000"/>
      </patternFill>
    </fill>
    <fill>
      <patternFill patternType="solid">
        <fgColor rgb="FFFFF2A5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9EAEA"/>
        <bgColor rgb="FF000000"/>
      </patternFill>
    </fill>
    <fill>
      <patternFill patternType="solid">
        <fgColor rgb="FFF2CCCC"/>
        <bgColor rgb="FF000000"/>
      </patternFill>
    </fill>
    <fill>
      <patternFill patternType="solid">
        <fgColor rgb="FF8A0000"/>
        <bgColor rgb="FF000000"/>
      </patternFill>
    </fill>
    <fill>
      <patternFill patternType="solid">
        <fgColor rgb="FFFFF299"/>
        <bgColor rgb="FF000000"/>
      </patternFill>
    </fill>
    <fill>
      <patternFill patternType="solid">
        <fgColor rgb="FF9E1B31"/>
        <bgColor rgb="FF000000"/>
      </patternFill>
    </fill>
    <fill>
      <patternFill patternType="solid">
        <fgColor rgb="FFF7E8EA"/>
        <bgColor rgb="FF000000"/>
      </patternFill>
    </fill>
    <fill>
      <patternFill patternType="solid">
        <fgColor rgb="FFFFF2A0"/>
        <bgColor rgb="FF000000"/>
      </patternFill>
    </fill>
    <fill>
      <patternFill patternType="solid">
        <fgColor rgb="FFFCE7EA"/>
        <bgColor rgb="FF000000"/>
      </patternFill>
    </fill>
    <fill>
      <patternFill patternType="solid">
        <fgColor rgb="FFFFF1C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AF2F3"/>
        <bgColor rgb="FF000000"/>
      </patternFill>
    </fill>
    <fill>
      <patternFill patternType="solid">
        <fgColor rgb="FFFAF3F4"/>
        <bgColor rgb="FF000000"/>
      </patternFill>
    </fill>
    <fill>
      <patternFill patternType="solid">
        <fgColor rgb="009E1B31"/>
      </patternFill>
    </fill>
    <fill>
      <patternFill patternType="solid">
        <fgColor rgb="00FAF3F4"/>
      </patternFill>
    </fill>
    <fill>
      <patternFill patternType="solid">
        <fgColor rgb="00FFFFFF"/>
      </patternFill>
    </fill>
    <fill>
      <patternFill patternType="solid">
        <fgColor rgb="00FFF1DE"/>
      </patternFill>
    </fill>
    <fill>
      <patternFill patternType="solid">
        <fgColor rgb="00B21E1E"/>
      </patternFill>
    </fill>
    <fill>
      <patternFill patternType="solid">
        <fgColor rgb="008A0000"/>
      </patternFill>
    </fill>
    <fill>
      <patternFill patternType="solid">
        <fgColor rgb="00F2F2F2"/>
      </patternFill>
    </fill>
    <fill>
      <patternFill patternType="solid">
        <fgColor rgb="00F4CCC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F2A0"/>
      </patternFill>
    </fill>
    <fill>
      <patternFill patternType="solid">
        <fgColor rgb="00FFF299"/>
      </patternFill>
    </fill>
    <fill>
      <patternFill patternType="solid">
        <fgColor rgb="00FFF2A5"/>
      </patternFill>
    </fill>
    <fill>
      <patternFill patternType="solid">
        <fgColor rgb="00E2F0D9"/>
      </patternFill>
    </fill>
    <fill>
      <patternFill patternType="solid">
        <fgColor rgb="00FCD5B4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4">
    <border>
      <left/>
      <right/>
      <top/>
      <bottom/>
      <diagonal/>
    </border>
    <border>
      <top style="medium">
        <color rgb="FF9E1B31"/>
      </top>
    </border>
    <border>
      <bottom style="hair">
        <color rgb="00E5DBDE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horizontal="left" vertical="center"/>
    </xf>
    <xf numFmtId="164" fontId="9" fillId="0" borderId="0" applyAlignment="1" pivotButton="0" quotePrefix="0" xfId="0">
      <alignment vertical="center"/>
    </xf>
    <xf numFmtId="0" fontId="4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9" borderId="1" applyAlignment="1" pivotButton="0" quotePrefix="0" xfId="0">
      <alignment vertical="center"/>
    </xf>
    <xf numFmtId="164" fontId="10" fillId="9" borderId="1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0" fontId="0" fillId="10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166" fontId="5" fillId="6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5" fillId="6" borderId="0" applyAlignment="1" pivotButton="0" quotePrefix="0" xfId="0">
      <alignment vertical="center"/>
    </xf>
    <xf numFmtId="164" fontId="6" fillId="7" borderId="0" applyAlignment="1" pivotButton="0" quotePrefix="0" xfId="0">
      <alignment vertical="center"/>
    </xf>
    <xf numFmtId="165" fontId="5" fillId="6" borderId="0" applyAlignment="1" pivotButton="0" quotePrefix="0" xfId="0">
      <alignment vertical="center"/>
    </xf>
    <xf numFmtId="165" fontId="6" fillId="7" borderId="0" applyAlignment="1" pivotButton="0" quotePrefix="0" xfId="0">
      <alignment vertical="center"/>
    </xf>
    <xf numFmtId="167" fontId="7" fillId="8" borderId="0" applyAlignment="1" pivotButton="0" quotePrefix="0" xfId="0">
      <alignment vertical="center"/>
    </xf>
    <xf numFmtId="165" fontId="7" fillId="8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164" fontId="7" fillId="8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5" fillId="6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vertical="center"/>
    </xf>
    <xf numFmtId="17" fontId="4" fillId="5" borderId="0" applyAlignment="1" pivotButton="0" quotePrefix="0" xfId="0">
      <alignment horizontal="center" vertical="center" wrapText="1"/>
    </xf>
    <xf numFmtId="0" fontId="6" fillId="7" borderId="0" pivotButton="0" quotePrefix="0" xfId="0"/>
    <xf numFmtId="0" fontId="7" fillId="0" borderId="0" applyAlignment="1" pivotButton="0" quotePrefix="0" xfId="0">
      <alignment vertical="center"/>
    </xf>
    <xf numFmtId="17" fontId="0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0" fillId="0" borderId="0" pivotButton="0" quotePrefix="0" xfId="0"/>
    <xf numFmtId="168" fontId="7" fillId="0" borderId="0" applyAlignment="1" pivotButton="0" quotePrefix="0" xfId="0">
      <alignment vertical="center"/>
    </xf>
    <xf numFmtId="0" fontId="0" fillId="10" borderId="0" applyAlignment="1" pivotButton="0" quotePrefix="0" xfId="0">
      <alignment vertical="center" wrapText="1"/>
    </xf>
    <xf numFmtId="166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5" fillId="0" borderId="0" applyAlignment="1" pivotButton="0" quotePrefix="0" xfId="0">
      <alignment horizontal="right" vertical="center" wrapText="1"/>
    </xf>
    <xf numFmtId="164" fontId="9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164" fontId="7" fillId="0" borderId="0" applyAlignment="1" pivotButton="0" quotePrefix="0" xfId="0">
      <alignment vertical="center"/>
    </xf>
    <xf numFmtId="164" fontId="10" fillId="9" borderId="1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165" fontId="7" fillId="0" borderId="0" applyAlignment="1" pivotButton="0" quotePrefix="0" xfId="0">
      <alignment vertical="center"/>
    </xf>
    <xf numFmtId="169" fontId="15" fillId="0" borderId="0" applyAlignment="1" pivotButton="0" quotePrefix="0" xfId="0">
      <alignment horizontal="right" vertical="center" wrapText="1"/>
    </xf>
    <xf numFmtId="0" fontId="11" fillId="13" borderId="0" applyAlignment="1" pivotButton="0" quotePrefix="0" xfId="0">
      <alignment vertical="center" wrapText="1"/>
    </xf>
    <xf numFmtId="0" fontId="11" fillId="13" borderId="0" pivotButton="0" quotePrefix="0" xfId="0"/>
    <xf numFmtId="166" fontId="5" fillId="6" borderId="0" applyAlignment="1" pivotButton="0" quotePrefix="0" xfId="0">
      <alignment vertical="center"/>
    </xf>
    <xf numFmtId="164" fontId="5" fillId="6" borderId="0" applyAlignment="1" pivotButton="0" quotePrefix="0" xfId="0">
      <alignment vertical="center"/>
    </xf>
    <xf numFmtId="164" fontId="6" fillId="7" borderId="0" applyAlignment="1" pivotButton="0" quotePrefix="0" xfId="0">
      <alignment vertical="center"/>
    </xf>
    <xf numFmtId="165" fontId="5" fillId="6" borderId="0" applyAlignment="1" pivotButton="0" quotePrefix="0" xfId="0">
      <alignment vertical="center"/>
    </xf>
    <xf numFmtId="165" fontId="6" fillId="7" borderId="0" applyAlignment="1" pivotButton="0" quotePrefix="0" xfId="0">
      <alignment vertical="center"/>
    </xf>
    <xf numFmtId="167" fontId="7" fillId="8" borderId="0" applyAlignment="1" pivotButton="0" quotePrefix="0" xfId="0">
      <alignment vertical="center"/>
    </xf>
    <xf numFmtId="164" fontId="15" fillId="0" borderId="0" applyAlignment="1" pivotButton="0" quotePrefix="0" xfId="0">
      <alignment horizontal="right" vertical="center" wrapText="1"/>
    </xf>
    <xf numFmtId="165" fontId="7" fillId="8" borderId="0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 wrapText="1"/>
    </xf>
    <xf numFmtId="164" fontId="7" fillId="8" borderId="0" applyAlignment="1" pivotButton="0" quotePrefix="0" xfId="0">
      <alignment vertical="center"/>
    </xf>
    <xf numFmtId="0" fontId="11" fillId="11" borderId="0" applyAlignment="1" pivotButton="0" quotePrefix="0" xfId="0">
      <alignment vertical="center" wrapText="1"/>
    </xf>
    <xf numFmtId="0" fontId="11" fillId="11" borderId="0" pivotButton="0" quotePrefix="0" xfId="0"/>
    <xf numFmtId="0" fontId="14" fillId="12" borderId="0" applyAlignment="1" pivotButton="0" quotePrefix="0" xfId="0">
      <alignment horizontal="right" vertical="center" wrapText="1"/>
    </xf>
    <xf numFmtId="0" fontId="16" fillId="13" borderId="0" applyAlignment="1" pivotButton="0" quotePrefix="0" xfId="0">
      <alignment horizontal="center" vertical="center" wrapText="1"/>
    </xf>
    <xf numFmtId="170" fontId="14" fillId="12" borderId="0" applyAlignment="1" pivotButton="0" quotePrefix="0" xfId="0">
      <alignment horizontal="right" vertical="center" wrapText="1"/>
    </xf>
    <xf numFmtId="170" fontId="17" fillId="0" borderId="0" pivotButton="0" quotePrefix="0" xfId="0"/>
    <xf numFmtId="170" fontId="15" fillId="0" borderId="0" applyAlignment="1" pivotButton="0" quotePrefix="0" xfId="0">
      <alignment horizontal="right" vertical="center" wrapText="1"/>
    </xf>
    <xf numFmtId="171" fontId="14" fillId="12" borderId="0" applyAlignment="1" pivotButton="0" quotePrefix="0" xfId="0">
      <alignment horizontal="right" vertical="center" wrapText="1"/>
    </xf>
    <xf numFmtId="164" fontId="14" fillId="12" borderId="0" applyAlignment="1" pivotButton="0" quotePrefix="0" xfId="0">
      <alignment horizontal="right" vertical="center" wrapText="1"/>
    </xf>
    <xf numFmtId="165" fontId="14" fillId="12" borderId="0" applyAlignment="1" pivotButton="0" quotePrefix="0" xfId="0">
      <alignment horizontal="right" vertical="center" wrapText="1"/>
    </xf>
    <xf numFmtId="172" fontId="18" fillId="14" borderId="0" applyAlignment="1" pivotButton="0" quotePrefix="0" xfId="0">
      <alignment horizontal="right" vertical="center" wrapText="1"/>
    </xf>
    <xf numFmtId="172" fontId="15" fillId="0" borderId="0" applyAlignment="1" pivotButton="0" quotePrefix="0" xfId="0">
      <alignment horizontal="right" vertical="center" wrapText="1"/>
    </xf>
    <xf numFmtId="171" fontId="15" fillId="0" borderId="0" applyAlignment="1" pivotButton="0" quotePrefix="0" xfId="0">
      <alignment horizontal="right" vertical="center" wrapText="1"/>
    </xf>
    <xf numFmtId="164" fontId="8" fillId="0" borderId="0" applyAlignment="1" pivotButton="0" quotePrefix="0" xfId="0">
      <alignment vertical="center"/>
    </xf>
    <xf numFmtId="164" fontId="0" fillId="0" borderId="0" pivotButton="0" quotePrefix="0" xfId="0"/>
    <xf numFmtId="168" fontId="7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 indent="1"/>
    </xf>
    <xf numFmtId="164" fontId="21" fillId="0" borderId="0" applyAlignment="1" pivotButton="0" quotePrefix="0" xfId="0">
      <alignment vertical="center"/>
    </xf>
    <xf numFmtId="164" fontId="19" fillId="0" borderId="0" applyAlignment="1" pivotButton="0" quotePrefix="0" xfId="0">
      <alignment vertical="center"/>
    </xf>
    <xf numFmtId="164" fontId="19" fillId="6" borderId="0" applyAlignment="1" pivotButton="0" quotePrefix="0" xfId="0">
      <alignment vertical="center"/>
    </xf>
    <xf numFmtId="165" fontId="19" fillId="6" borderId="0" applyAlignment="1" pivotButton="0" quotePrefix="0" xfId="0">
      <alignment vertical="center"/>
    </xf>
    <xf numFmtId="165" fontId="19" fillId="0" borderId="0" applyAlignment="1" pivotButton="0" quotePrefix="0" xfId="0">
      <alignment horizontal="right" vertical="center" wrapText="1"/>
    </xf>
    <xf numFmtId="164" fontId="19" fillId="0" borderId="0" applyAlignment="1" pivotButton="0" quotePrefix="0" xfId="0">
      <alignment horizontal="right" vertical="center" wrapText="1"/>
    </xf>
    <xf numFmtId="164" fontId="14" fillId="15" borderId="0" applyAlignment="1" applyProtection="1" pivotButton="0" quotePrefix="0" xfId="0">
      <alignment vertical="center"/>
      <protection locked="0" hidden="0"/>
    </xf>
    <xf numFmtId="0" fontId="0" fillId="0" borderId="0" applyAlignment="1" pivotButton="0" quotePrefix="0" xfId="0">
      <alignment vertical="top" wrapText="1"/>
    </xf>
    <xf numFmtId="166" fontId="14" fillId="15" borderId="0" applyAlignment="1" applyProtection="1" pivotButton="0" quotePrefix="0" xfId="0">
      <alignment vertical="center"/>
      <protection locked="0" hidden="0"/>
    </xf>
    <xf numFmtId="0" fontId="19" fillId="0" borderId="0" pivotButton="0" quotePrefix="0" xfId="0"/>
    <xf numFmtId="171" fontId="19" fillId="0" borderId="0" pivotButton="0" quotePrefix="0" xfId="0"/>
    <xf numFmtId="0" fontId="16" fillId="13" borderId="0" applyAlignment="1" pivotButton="0" quotePrefix="0" xfId="0">
      <alignment vertical="center" wrapText="1"/>
    </xf>
    <xf numFmtId="171" fontId="14" fillId="15" borderId="0" applyAlignment="1" applyProtection="1" pivotButton="0" quotePrefix="0" xfId="0">
      <alignment vertical="top" wrapText="1"/>
      <protection locked="0" hidden="0"/>
    </xf>
    <xf numFmtId="169" fontId="14" fillId="15" borderId="0" applyAlignment="1" applyProtection="1" pivotButton="0" quotePrefix="0" xfId="0">
      <alignment vertical="top" wrapText="1"/>
      <protection locked="0" hidden="0"/>
    </xf>
    <xf numFmtId="172" fontId="14" fillId="15" borderId="0" applyAlignment="1" applyProtection="1" pivotButton="0" quotePrefix="0" xfId="0">
      <alignment vertical="top" wrapText="1"/>
      <protection locked="0" hidden="0"/>
    </xf>
    <xf numFmtId="171" fontId="0" fillId="0" borderId="0" pivotButton="0" quotePrefix="0" xfId="0"/>
    <xf numFmtId="0" fontId="19" fillId="0" borderId="0" applyAlignment="1" pivotButton="0" quotePrefix="0" xfId="0">
      <alignment vertical="center"/>
    </xf>
    <xf numFmtId="169" fontId="19" fillId="0" borderId="0" applyAlignment="1" pivotButton="0" quotePrefix="0" xfId="0">
      <alignment vertical="center"/>
    </xf>
    <xf numFmtId="17" fontId="20" fillId="0" borderId="0" applyAlignment="1" pivotButton="0" quotePrefix="0" xfId="0">
      <alignment vertical="center"/>
    </xf>
    <xf numFmtId="164" fontId="20" fillId="0" borderId="0" applyAlignment="1" pivotButton="0" quotePrefix="0" xfId="0">
      <alignment vertical="center"/>
    </xf>
    <xf numFmtId="0" fontId="20" fillId="0" borderId="0" pivotButton="0" quotePrefix="0" xfId="0"/>
    <xf numFmtId="165" fontId="20" fillId="0" borderId="0" applyAlignment="1" pivotButton="0" quotePrefix="0" xfId="0">
      <alignment vertical="center"/>
    </xf>
    <xf numFmtId="164" fontId="19" fillId="9" borderId="1" applyAlignment="1" pivotButton="0" quotePrefix="0" xfId="0">
      <alignment vertical="center"/>
    </xf>
    <xf numFmtId="168" fontId="20" fillId="0" borderId="0" applyAlignment="1" pivotButton="0" quotePrefix="0" xfId="0">
      <alignment vertical="center"/>
    </xf>
    <xf numFmtId="164" fontId="19" fillId="0" borderId="0" pivotButton="0" quotePrefix="0" xfId="0"/>
    <xf numFmtId="0" fontId="24" fillId="0" borderId="0" pivotButton="0" quotePrefix="0" xfId="0"/>
    <xf numFmtId="17" fontId="20" fillId="0" borderId="0" applyAlignment="1" pivotButton="0" quotePrefix="0" xfId="0">
      <alignment vertical="center" wrapText="1"/>
    </xf>
    <xf numFmtId="169" fontId="20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6" fillId="15" borderId="0" applyAlignment="1" pivotButton="0" quotePrefix="0" xfId="0">
      <alignment vertical="center"/>
    </xf>
    <xf numFmtId="0" fontId="5" fillId="15" borderId="0" applyAlignment="1" pivotButton="0" quotePrefix="0" xfId="0">
      <alignment vertical="center"/>
    </xf>
    <xf numFmtId="0" fontId="14" fillId="15" borderId="0" applyAlignment="1" pivotButton="0" quotePrefix="0" xfId="0">
      <alignment horizontal="right" vertical="center" wrapText="1"/>
    </xf>
    <xf numFmtId="171" fontId="14" fillId="15" borderId="0" applyAlignment="1" applyProtection="1" pivotButton="0" quotePrefix="0" xfId="0">
      <alignment vertical="center" wrapText="1"/>
      <protection locked="0" hidden="0"/>
    </xf>
    <xf numFmtId="169" fontId="14" fillId="15" borderId="0" applyAlignment="1" applyProtection="1" pivotButton="0" quotePrefix="0" xfId="0">
      <alignment vertical="center" wrapText="1"/>
      <protection locked="0" hidden="0"/>
    </xf>
    <xf numFmtId="172" fontId="14" fillId="15" borderId="0" applyAlignment="1" applyProtection="1" pivotButton="0" quotePrefix="0" xfId="0">
      <alignment vertical="center" wrapText="1"/>
      <protection locked="0" hidden="0"/>
    </xf>
    <xf numFmtId="0" fontId="22" fillId="0" borderId="0" applyAlignment="1" pivotButton="0" quotePrefix="0" xfId="0">
      <alignment vertical="center" wrapText="1"/>
    </xf>
    <xf numFmtId="0" fontId="23" fillId="16" borderId="0" applyAlignment="1" pivotButton="0" quotePrefix="0" xfId="0">
      <alignment vertical="center" wrapText="1"/>
    </xf>
    <xf numFmtId="169" fontId="23" fillId="16" borderId="0" applyAlignment="1" pivotButton="0" quotePrefix="0" xfId="0">
      <alignment vertical="center"/>
    </xf>
    <xf numFmtId="0" fontId="23" fillId="16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171" fontId="20" fillId="0" borderId="0" applyAlignment="1" pivotButton="0" quotePrefix="0" xfId="0">
      <alignment vertical="center"/>
    </xf>
    <xf numFmtId="169" fontId="19" fillId="0" borderId="0" applyAlignment="1" pivotButton="0" quotePrefix="0" xfId="0">
      <alignment vertical="center"/>
    </xf>
    <xf numFmtId="171" fontId="19" fillId="0" borderId="0" applyAlignment="1" pivotButton="0" quotePrefix="0" xfId="0">
      <alignment vertical="center"/>
    </xf>
    <xf numFmtId="17" fontId="20" fillId="13" borderId="0" applyAlignment="1" pivotButton="0" quotePrefix="0" xfId="0">
      <alignment vertical="center" wrapText="1"/>
    </xf>
    <xf numFmtId="17" fontId="20" fillId="0" borderId="0" pivotButton="0" quotePrefix="0" xfId="0"/>
    <xf numFmtId="169" fontId="20" fillId="0" borderId="0" applyAlignment="1" pivotButton="0" quotePrefix="0" xfId="0">
      <alignment vertical="center" wrapText="1"/>
    </xf>
    <xf numFmtId="169" fontId="19" fillId="0" borderId="0" applyAlignment="1" pivotButton="0" quotePrefix="0" xfId="0">
      <alignment vertical="center" wrapText="1"/>
    </xf>
    <xf numFmtId="169" fontId="0" fillId="0" borderId="0" applyAlignment="1" pivotButton="0" quotePrefix="0" xfId="0">
      <alignment vertical="center"/>
    </xf>
    <xf numFmtId="169" fontId="9" fillId="0" borderId="0" applyAlignment="1" pivotButton="0" quotePrefix="0" xfId="0">
      <alignment vertical="center"/>
    </xf>
    <xf numFmtId="169" fontId="8" fillId="0" borderId="0" applyAlignment="1" pivotButton="0" quotePrefix="0" xfId="0">
      <alignment vertical="center"/>
    </xf>
    <xf numFmtId="169" fontId="20" fillId="0" borderId="0" pivotButton="0" quotePrefix="0" xfId="0"/>
    <xf numFmtId="169" fontId="19" fillId="0" borderId="0" pivotButton="0" quotePrefix="0" xfId="0"/>
    <xf numFmtId="169" fontId="0" fillId="0" borderId="0" pivotButton="0" quotePrefix="0" xfId="0"/>
    <xf numFmtId="164" fontId="20" fillId="0" borderId="0" pivotButton="0" quotePrefix="0" xfId="0"/>
    <xf numFmtId="0" fontId="19" fillId="17" borderId="0" applyAlignment="1" pivotButton="0" quotePrefix="0" xfId="0">
      <alignment vertical="center" wrapText="1"/>
    </xf>
    <xf numFmtId="169" fontId="20" fillId="17" borderId="0" applyAlignment="1" pivotButton="0" quotePrefix="0" xfId="0">
      <alignment vertical="center"/>
    </xf>
    <xf numFmtId="169" fontId="19" fillId="17" borderId="0" applyAlignment="1" pivotButton="0" quotePrefix="0" xfId="0">
      <alignment vertical="center"/>
    </xf>
    <xf numFmtId="173" fontId="0" fillId="17" borderId="0" pivotButton="0" quotePrefix="0" xfId="0"/>
    <xf numFmtId="0" fontId="26" fillId="0" borderId="0" applyAlignment="1" pivotButton="0" quotePrefix="0" xfId="0">
      <alignment vertical="center"/>
    </xf>
    <xf numFmtId="0" fontId="26" fillId="13" borderId="0" applyAlignment="1" pivotButton="0" quotePrefix="0" xfId="0">
      <alignment vertical="center"/>
    </xf>
    <xf numFmtId="173" fontId="19" fillId="0" borderId="0" applyAlignment="1" pivotButton="0" quotePrefix="0" xfId="0">
      <alignment vertical="center" wrapText="1"/>
    </xf>
    <xf numFmtId="173" fontId="20" fillId="0" borderId="0" applyAlignment="1" pivotButton="0" quotePrefix="0" xfId="0">
      <alignment vertical="center" wrapText="1"/>
    </xf>
    <xf numFmtId="0" fontId="25" fillId="0" borderId="0" pivotButton="0" quotePrefix="0" xfId="0"/>
    <xf numFmtId="173" fontId="19" fillId="16" borderId="0" applyAlignment="1" pivotButton="0" quotePrefix="0" xfId="0">
      <alignment vertical="center" wrapText="1"/>
    </xf>
    <xf numFmtId="173" fontId="20" fillId="16" borderId="0" applyAlignment="1" pivotButton="0" quotePrefix="0" xfId="0">
      <alignment vertical="center" wrapText="1"/>
    </xf>
    <xf numFmtId="174" fontId="19" fillId="0" borderId="0" applyAlignment="1" pivotButton="0" quotePrefix="0" xfId="0">
      <alignment vertical="center" wrapText="1"/>
    </xf>
    <xf numFmtId="166" fontId="0" fillId="0" borderId="0" pivotButton="0" quotePrefix="0" xfId="0"/>
    <xf numFmtId="173" fontId="19" fillId="17" borderId="0" applyAlignment="1" pivotButton="0" quotePrefix="0" xfId="0">
      <alignment vertical="center" wrapText="1"/>
    </xf>
    <xf numFmtId="0" fontId="0" fillId="17" borderId="0" pivotButton="0" quotePrefix="0" xfId="0"/>
    <xf numFmtId="169" fontId="10" fillId="9" borderId="1" applyAlignment="1" pivotButton="0" quotePrefix="0" xfId="0">
      <alignment vertical="center"/>
    </xf>
    <xf numFmtId="174" fontId="19" fillId="0" borderId="0" applyAlignment="1" pivotButton="0" quotePrefix="0" xfId="0">
      <alignment vertical="center" wrapText="1"/>
    </xf>
    <xf numFmtId="166" fontId="4" fillId="5" borderId="0" applyAlignment="1" pivotButton="0" quotePrefix="0" xfId="0">
      <alignment horizontal="center" vertical="center" wrapText="1"/>
    </xf>
    <xf numFmtId="2" fontId="19" fillId="0" borderId="0" applyAlignment="1" pivotButton="0" quotePrefix="0" xfId="0">
      <alignment vertical="center"/>
    </xf>
    <xf numFmtId="175" fontId="14" fillId="15" borderId="0" applyAlignment="1" applyProtection="1" pivotButton="0" quotePrefix="0" xfId="0">
      <alignment vertical="center"/>
      <protection locked="0" hidden="0"/>
    </xf>
    <xf numFmtId="172" fontId="23" fillId="16" borderId="0" applyAlignment="1" pivotButton="0" quotePrefix="0" xfId="0">
      <alignment vertical="center"/>
    </xf>
    <xf numFmtId="172" fontId="20" fillId="0" borderId="0" applyAlignment="1" pivotButton="0" quotePrefix="0" xfId="0">
      <alignment vertical="center"/>
    </xf>
    <xf numFmtId="175" fontId="20" fillId="0" borderId="0" applyAlignment="1" pivotButton="0" quotePrefix="0" xfId="0">
      <alignment vertical="center"/>
    </xf>
    <xf numFmtId="173" fontId="20" fillId="0" borderId="0" applyAlignment="1" pivotButton="0" quotePrefix="0" xfId="0">
      <alignment vertical="center"/>
    </xf>
    <xf numFmtId="164" fontId="9" fillId="19" borderId="0" applyAlignment="1" pivotButton="0" quotePrefix="0" xfId="0">
      <alignment vertical="center"/>
    </xf>
    <xf numFmtId="164" fontId="7" fillId="19" borderId="0" applyAlignment="1" pivotButton="0" quotePrefix="0" xfId="0">
      <alignment vertical="center"/>
    </xf>
    <xf numFmtId="0" fontId="29" fillId="0" borderId="0" pivotButton="0" quotePrefix="0" xfId="0"/>
    <xf numFmtId="0" fontId="0" fillId="13" borderId="0" pivotButton="0" quotePrefix="0" xfId="0"/>
    <xf numFmtId="175" fontId="14" fillId="18" borderId="0" applyAlignment="1" pivotButton="0" quotePrefix="0" xfId="0">
      <alignment vertical="center"/>
    </xf>
    <xf numFmtId="169" fontId="14" fillId="18" borderId="0" applyAlignment="1" pivotButton="0" quotePrefix="0" xfId="0">
      <alignment vertical="center"/>
    </xf>
    <xf numFmtId="0" fontId="14" fillId="18" borderId="0" applyAlignment="1" pivotButton="0" quotePrefix="0" xfId="0">
      <alignment vertical="center"/>
    </xf>
    <xf numFmtId="166" fontId="20" fillId="18" borderId="0" applyAlignment="1" pivotButton="0" quotePrefix="0" xfId="0">
      <alignment vertical="center"/>
    </xf>
    <xf numFmtId="172" fontId="20" fillId="19" borderId="0" applyAlignment="1" pivotButton="0" quotePrefix="0" xfId="0">
      <alignment vertical="center"/>
    </xf>
    <xf numFmtId="173" fontId="20" fillId="19" borderId="0" applyAlignment="1" pivotButton="0" quotePrefix="0" xfId="0">
      <alignment vertical="center"/>
    </xf>
    <xf numFmtId="164" fontId="20" fillId="19" borderId="0" applyAlignment="1" pivotButton="0" quotePrefix="0" xfId="0">
      <alignment vertical="center"/>
    </xf>
    <xf numFmtId="169" fontId="19" fillId="19" borderId="0" pivotButton="0" quotePrefix="0" xfId="0"/>
    <xf numFmtId="164" fontId="19" fillId="19" borderId="1" applyAlignment="1" pivotButton="0" quotePrefix="0" xfId="0">
      <alignment vertical="center"/>
    </xf>
    <xf numFmtId="164" fontId="19" fillId="19" borderId="0" pivotButton="0" quotePrefix="0" xfId="0"/>
    <xf numFmtId="169" fontId="9" fillId="19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left" vertical="center" wrapText="1"/>
    </xf>
    <xf numFmtId="0" fontId="16" fillId="11" borderId="0" applyAlignment="1" pivotButton="0" quotePrefix="0" xfId="0">
      <alignment horizontal="right" vertical="center" wrapText="1"/>
    </xf>
    <xf numFmtId="173" fontId="28" fillId="0" borderId="0" applyAlignment="1" pivotButton="0" quotePrefix="0" xfId="0">
      <alignment horizontal="right" vertical="center" wrapText="1"/>
    </xf>
    <xf numFmtId="173" fontId="20" fillId="0" borderId="0" applyAlignment="1" pivotButton="0" quotePrefix="0" xfId="0">
      <alignment horizontal="right" vertical="center" wrapText="1"/>
    </xf>
    <xf numFmtId="0" fontId="28" fillId="0" borderId="0" applyAlignment="1" pivotButton="0" quotePrefix="0" xfId="0">
      <alignment horizontal="right" vertical="center" wrapText="1"/>
    </xf>
    <xf numFmtId="0" fontId="28" fillId="0" borderId="0" applyAlignment="1" pivotButton="0" quotePrefix="0" xfId="0">
      <alignment horizontal="left" vertical="center" wrapText="1"/>
    </xf>
    <xf numFmtId="0" fontId="27" fillId="20" borderId="0" applyAlignment="1" pivotButton="0" quotePrefix="0" xfId="0">
      <alignment horizontal="left" vertical="center" wrapText="1"/>
    </xf>
    <xf numFmtId="0" fontId="28" fillId="20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horizontal="left" vertical="center" wrapText="1"/>
    </xf>
    <xf numFmtId="0" fontId="0" fillId="19" borderId="0" applyAlignment="1" pivotButton="0" quotePrefix="0" xfId="0">
      <alignment vertical="center" wrapText="1"/>
    </xf>
    <xf numFmtId="0" fontId="12" fillId="19" borderId="0" applyAlignment="1" pivotButton="0" quotePrefix="0" xfId="0">
      <alignment vertical="center" wrapText="1"/>
    </xf>
    <xf numFmtId="0" fontId="30" fillId="13" borderId="0" applyAlignment="1" pivotButton="0" quotePrefix="0" xfId="0">
      <alignment vertical="center" wrapText="1"/>
    </xf>
    <xf numFmtId="166" fontId="31" fillId="18" borderId="0" applyAlignment="1" pivotButton="0" quotePrefix="0" xfId="0">
      <alignment vertical="center" wrapText="1"/>
    </xf>
    <xf numFmtId="175" fontId="31" fillId="18" borderId="0" applyAlignment="1" pivotButton="0" quotePrefix="0" xfId="0">
      <alignment vertical="center" wrapText="1"/>
    </xf>
    <xf numFmtId="175" fontId="31" fillId="18" borderId="0" pivotButton="0" quotePrefix="0" xfId="0"/>
    <xf numFmtId="164" fontId="32" fillId="19" borderId="0" applyAlignment="1" pivotButton="0" quotePrefix="0" xfId="0">
      <alignment vertical="center"/>
    </xf>
    <xf numFmtId="0" fontId="1" fillId="19" borderId="0" applyAlignment="1" pivotButton="0" quotePrefix="0" xfId="0">
      <alignment horizontal="left" vertical="center"/>
    </xf>
    <xf numFmtId="164" fontId="33" fillId="19" borderId="0" applyAlignment="1" pivotButton="0" quotePrefix="0" xfId="0">
      <alignment vertical="center"/>
    </xf>
    <xf numFmtId="169" fontId="33" fillId="19" borderId="0" pivotButton="0" quotePrefix="0" xfId="0"/>
    <xf numFmtId="0" fontId="33" fillId="19" borderId="0" pivotButton="0" quotePrefix="0" xfId="0"/>
    <xf numFmtId="0" fontId="32" fillId="19" borderId="0" pivotButton="0" quotePrefix="0" xfId="0"/>
    <xf numFmtId="169" fontId="32" fillId="19" borderId="0" pivotButton="0" quotePrefix="0" xfId="0"/>
    <xf numFmtId="0" fontId="33" fillId="0" borderId="0" applyAlignment="1" pivotButton="0" quotePrefix="0" xfId="0">
      <alignment vertical="center"/>
    </xf>
    <xf numFmtId="17" fontId="32" fillId="0" borderId="0" applyAlignment="1" pivotButton="0" quotePrefix="0" xfId="0">
      <alignment vertical="center"/>
    </xf>
    <xf numFmtId="169" fontId="32" fillId="0" borderId="0" applyAlignment="1" pivotButton="0" quotePrefix="0" xfId="0">
      <alignment vertical="center"/>
    </xf>
    <xf numFmtId="169" fontId="33" fillId="0" borderId="0" applyAlignment="1" pivotButton="0" quotePrefix="0" xfId="0">
      <alignment vertical="center"/>
    </xf>
    <xf numFmtId="0" fontId="36" fillId="0" borderId="0" applyAlignment="1" pivotButton="0" quotePrefix="0" xfId="0">
      <alignment vertical="center" wrapText="1"/>
    </xf>
    <xf numFmtId="0" fontId="34" fillId="13" borderId="0" applyAlignment="1" pivotButton="0" quotePrefix="0" xfId="0">
      <alignment vertical="center" wrapText="1"/>
    </xf>
    <xf numFmtId="0" fontId="35" fillId="13" borderId="0" applyAlignment="1" pivotButton="0" quotePrefix="0" xfId="0">
      <alignment vertical="center" wrapText="1"/>
    </xf>
    <xf numFmtId="173" fontId="33" fillId="21" borderId="0" applyAlignment="1" pivotButton="0" quotePrefix="0" xfId="0">
      <alignment vertical="top" wrapText="1"/>
    </xf>
    <xf numFmtId="173" fontId="33" fillId="0" borderId="0" applyAlignment="1" pivotButton="0" quotePrefix="0" xfId="0">
      <alignment vertical="top" wrapText="1"/>
    </xf>
    <xf numFmtId="173" fontId="32" fillId="21" borderId="0" applyAlignment="1" pivotButton="0" quotePrefix="0" xfId="0">
      <alignment vertical="top" wrapText="1"/>
    </xf>
    <xf numFmtId="173" fontId="32" fillId="0" borderId="0" applyAlignment="1" pivotButton="0" quotePrefix="0" xfId="0">
      <alignment vertical="top" wrapText="1"/>
    </xf>
    <xf numFmtId="176" fontId="31" fillId="18" borderId="0" applyAlignment="1" pivotButton="0" quotePrefix="0" xfId="0">
      <alignment vertical="center" wrapText="1"/>
    </xf>
    <xf numFmtId="177" fontId="31" fillId="18" borderId="0" applyAlignment="1" pivotButton="0" quotePrefix="0" xfId="0">
      <alignment vertical="center" wrapText="1"/>
    </xf>
    <xf numFmtId="0" fontId="37" fillId="22" borderId="0" applyAlignment="1" pivotButton="0" quotePrefix="0" xfId="0">
      <alignment vertical="center" wrapText="1"/>
    </xf>
    <xf numFmtId="0" fontId="38" fillId="23" borderId="0" applyAlignment="1" pivotButton="0" quotePrefix="0" xfId="0">
      <alignment vertical="center" wrapText="1"/>
    </xf>
    <xf numFmtId="0" fontId="38" fillId="24" borderId="0" applyAlignment="1" pivotButton="0" quotePrefix="0" xfId="0">
      <alignment vertical="center" wrapText="1"/>
    </xf>
    <xf numFmtId="0" fontId="39" fillId="22" borderId="0" applyAlignment="1" pivotButton="0" quotePrefix="0" xfId="0">
      <alignment vertical="center" wrapText="1"/>
    </xf>
    <xf numFmtId="0" fontId="38" fillId="23" borderId="2" applyAlignment="1" pivotButton="0" quotePrefix="0" xfId="0">
      <alignment vertical="top" wrapText="1"/>
    </xf>
    <xf numFmtId="0" fontId="40" fillId="23" borderId="2" applyAlignment="1" pivotButton="0" quotePrefix="0" xfId="0">
      <alignment vertical="top" wrapText="1"/>
    </xf>
    <xf numFmtId="0" fontId="41" fillId="23" borderId="2" applyAlignment="1" pivotButton="0" quotePrefix="0" xfId="0">
      <alignment vertical="top" wrapText="1"/>
    </xf>
    <xf numFmtId="0" fontId="38" fillId="24" borderId="2" applyAlignment="1" pivotButton="0" quotePrefix="0" xfId="0">
      <alignment vertical="top" wrapText="1"/>
    </xf>
    <xf numFmtId="0" fontId="40" fillId="24" borderId="2" applyAlignment="1" pivotButton="0" quotePrefix="0" xfId="0">
      <alignment vertical="top" wrapText="1"/>
    </xf>
    <xf numFmtId="0" fontId="41" fillId="24" borderId="2" applyAlignment="1" pivotButton="0" quotePrefix="0" xfId="0">
      <alignment vertical="top" wrapText="1"/>
    </xf>
    <xf numFmtId="0" fontId="38" fillId="25" borderId="2" applyAlignment="1" pivotButton="0" quotePrefix="0" xfId="0">
      <alignment vertical="top" wrapText="1"/>
    </xf>
    <xf numFmtId="0" fontId="40" fillId="25" borderId="2" applyAlignment="1" pivotButton="0" quotePrefix="0" xfId="0">
      <alignment vertical="top" wrapText="1"/>
    </xf>
    <xf numFmtId="0" fontId="41" fillId="25" borderId="2" applyAlignment="1" pivotButton="0" quotePrefix="0" xfId="0">
      <alignment vertical="top" wrapText="1"/>
    </xf>
    <xf numFmtId="0" fontId="42" fillId="26" borderId="0" pivotButton="0" quotePrefix="0" xfId="0"/>
    <xf numFmtId="0" fontId="44" fillId="27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43" fillId="0" borderId="0" applyAlignment="1" pivotButton="0" quotePrefix="0" xfId="0">
      <alignment vertical="center" wrapText="1"/>
    </xf>
    <xf numFmtId="0" fontId="43" fillId="0" borderId="0" pivotButton="0" quotePrefix="0" xfId="0"/>
    <xf numFmtId="0" fontId="44" fillId="27" borderId="0" pivotButton="0" quotePrefix="0" xfId="0"/>
    <xf numFmtId="0" fontId="45" fillId="0" borderId="0" pivotButton="0" quotePrefix="0" xfId="0"/>
    <xf numFmtId="0" fontId="46" fillId="0" borderId="0" applyAlignment="1" pivotButton="0" quotePrefix="0" xfId="0">
      <alignment vertical="top" wrapText="1"/>
    </xf>
    <xf numFmtId="0" fontId="48" fillId="22" borderId="0" applyAlignment="1" pivotButton="0" quotePrefix="0" xfId="0">
      <alignment vertical="center"/>
    </xf>
    <xf numFmtId="0" fontId="49" fillId="0" borderId="0" pivotButton="0" quotePrefix="0" xfId="0"/>
    <xf numFmtId="0" fontId="56" fillId="22" borderId="0" pivotButton="0" quotePrefix="0" xfId="0"/>
    <xf numFmtId="0" fontId="72" fillId="22" borderId="0" pivotButton="0" quotePrefix="0" xfId="0"/>
    <xf numFmtId="0" fontId="50" fillId="22" borderId="3" applyAlignment="1" pivotButton="0" quotePrefix="0" xfId="0">
      <alignment vertical="center" wrapText="1"/>
    </xf>
    <xf numFmtId="0" fontId="58" fillId="0" borderId="3" pivotButton="0" quotePrefix="0" xfId="0"/>
    <xf numFmtId="49" fontId="53" fillId="28" borderId="3" pivotButton="0" quotePrefix="0" xfId="0"/>
    <xf numFmtId="0" fontId="73" fillId="0" borderId="3" pivotButton="0" quotePrefix="0" xfId="0"/>
    <xf numFmtId="0" fontId="57" fillId="0" borderId="3" applyAlignment="1" pivotButton="0" quotePrefix="0" xfId="0">
      <alignment vertical="top" wrapText="1"/>
    </xf>
    <xf numFmtId="166" fontId="53" fillId="28" borderId="3" pivotButton="0" quotePrefix="0" xfId="0"/>
    <xf numFmtId="178" fontId="53" fillId="28" borderId="3" pivotButton="0" quotePrefix="0" xfId="0"/>
    <xf numFmtId="165" fontId="53" fillId="28" borderId="3" pivotButton="0" quotePrefix="0" xfId="0"/>
    <xf numFmtId="3" fontId="53" fillId="28" borderId="3" pivotButton="0" quotePrefix="0" xfId="0"/>
    <xf numFmtId="192" fontId="53" fillId="28" borderId="3" pivotButton="0" quotePrefix="0" xfId="0"/>
    <xf numFmtId="49" fontId="53" fillId="33" borderId="3" pivotButton="0" quotePrefix="0" xfId="0"/>
    <xf numFmtId="0" fontId="74" fillId="0" borderId="3" pivotButton="0" quotePrefix="0" xfId="0"/>
    <xf numFmtId="0" fontId="61" fillId="0" borderId="0" pivotButton="0" quotePrefix="0" xfId="0"/>
    <xf numFmtId="0" fontId="58" fillId="0" borderId="0" pivotButton="0" quotePrefix="0" xfId="0"/>
    <xf numFmtId="1" fontId="59" fillId="28" borderId="3" pivotButton="0" quotePrefix="0" xfId="0"/>
    <xf numFmtId="0" fontId="57" fillId="0" borderId="0" applyAlignment="1" pivotButton="0" quotePrefix="0" xfId="0">
      <alignment vertical="top" wrapText="1"/>
    </xf>
    <xf numFmtId="0" fontId="53" fillId="0" borderId="0" pivotButton="0" quotePrefix="0" xfId="0"/>
    <xf numFmtId="49" fontId="59" fillId="0" borderId="3" pivotButton="0" quotePrefix="0" xfId="0"/>
    <xf numFmtId="0" fontId="58" fillId="34" borderId="3" pivotButton="0" quotePrefix="0" xfId="0"/>
    <xf numFmtId="0" fontId="58" fillId="35" borderId="3" pivotButton="0" quotePrefix="0" xfId="0"/>
    <xf numFmtId="0" fontId="58" fillId="33" borderId="3" pivotButton="0" quotePrefix="0" xfId="0"/>
    <xf numFmtId="0" fontId="58" fillId="31" borderId="3" pivotButton="0" quotePrefix="0" xfId="0"/>
    <xf numFmtId="0" fontId="75" fillId="28" borderId="3" pivotButton="0" quotePrefix="0" xfId="0"/>
    <xf numFmtId="0" fontId="58" fillId="36" borderId="3" pivotButton="0" quotePrefix="0" xfId="0"/>
    <xf numFmtId="0" fontId="43" fillId="0" borderId="3" pivotButton="0" quotePrefix="0" xfId="0"/>
    <xf numFmtId="0" fontId="0" fillId="0" borderId="3" pivotButton="0" quotePrefix="0" xfId="0"/>
    <xf numFmtId="0" fontId="76" fillId="0" borderId="0" pivotButton="0" quotePrefix="0" xfId="0"/>
    <xf numFmtId="0" fontId="51" fillId="22" borderId="0" pivotButton="0" quotePrefix="0" xfId="0"/>
    <xf numFmtId="0" fontId="78" fillId="0" borderId="0" pivotButton="0" quotePrefix="0" xfId="0"/>
    <xf numFmtId="1" fontId="62" fillId="0" borderId="3" pivotButton="0" quotePrefix="0" xfId="0"/>
    <xf numFmtId="49" fontId="62" fillId="0" borderId="3" pivotButton="0" quotePrefix="0" xfId="0"/>
    <xf numFmtId="164" fontId="62" fillId="0" borderId="3" pivotButton="0" quotePrefix="0" xfId="0"/>
    <xf numFmtId="0" fontId="43" fillId="0" borderId="0" applyAlignment="1" pivotButton="0" quotePrefix="0" xfId="0">
      <alignment vertical="center"/>
    </xf>
    <xf numFmtId="0" fontId="43" fillId="13" borderId="0" applyAlignment="1" pivotButton="0" quotePrefix="0" xfId="0">
      <alignment vertical="center"/>
    </xf>
    <xf numFmtId="0" fontId="77" fillId="0" borderId="0" pivotButton="0" quotePrefix="0" xfId="0"/>
    <xf numFmtId="0" fontId="82" fillId="34" borderId="3" applyAlignment="1" pivotButton="0" quotePrefix="0" xfId="0">
      <alignment horizontal="center" vertical="center"/>
    </xf>
    <xf numFmtId="0" fontId="82" fillId="37" borderId="3" applyAlignment="1" pivotButton="0" quotePrefix="0" xfId="0">
      <alignment horizontal="center" vertical="center"/>
    </xf>
    <xf numFmtId="0" fontId="82" fillId="38" borderId="3" applyAlignment="1" pivotButton="0" quotePrefix="0" xfId="0">
      <alignment horizontal="center" vertical="center"/>
    </xf>
    <xf numFmtId="0" fontId="82" fillId="39" borderId="3" applyAlignment="1" pivotButton="0" quotePrefix="0" xfId="0">
      <alignment horizontal="center" vertical="center"/>
    </xf>
    <xf numFmtId="0" fontId="83" fillId="28" borderId="3" applyAlignment="1" pivotButton="0" quotePrefix="0" xfId="0">
      <alignment horizontal="center" vertical="center"/>
    </xf>
    <xf numFmtId="0" fontId="45" fillId="32" borderId="3" pivotButton="0" quotePrefix="0" xfId="0"/>
    <xf numFmtId="0" fontId="79" fillId="32" borderId="3" pivotButton="0" quotePrefix="0" xfId="0"/>
    <xf numFmtId="0" fontId="51" fillId="22" borderId="0" applyAlignment="1" pivotButton="0" quotePrefix="0" xfId="0">
      <alignment horizontal="left" vertical="center"/>
    </xf>
    <xf numFmtId="0" fontId="74" fillId="32" borderId="3" applyAlignment="1" pivotButton="0" quotePrefix="0" xfId="0">
      <alignment horizontal="left" vertical="center"/>
    </xf>
    <xf numFmtId="181" fontId="21" fillId="0" borderId="0" applyAlignment="1" pivotButton="0" quotePrefix="0" xfId="0">
      <alignment vertical="center"/>
    </xf>
    <xf numFmtId="0" fontId="74" fillId="0" borderId="0" applyAlignment="1" pivotButton="0" quotePrefix="0" xfId="0">
      <alignment horizontal="left" vertical="center"/>
    </xf>
    <xf numFmtId="188" fontId="6" fillId="37" borderId="0" applyAlignment="1" pivotButton="0" quotePrefix="0" xfId="0">
      <alignment vertical="center"/>
    </xf>
    <xf numFmtId="188" fontId="5" fillId="6" borderId="0" applyAlignment="1" pivotButton="0" quotePrefix="0" xfId="0">
      <alignment vertical="center"/>
    </xf>
    <xf numFmtId="189" fontId="5" fillId="6" borderId="0" applyAlignment="1" pivotButton="0" quotePrefix="0" xfId="0">
      <alignment vertical="center"/>
    </xf>
    <xf numFmtId="165" fontId="6" fillId="37" borderId="0" applyAlignment="1" pivotButton="0" quotePrefix="0" xfId="0">
      <alignment vertical="center"/>
    </xf>
    <xf numFmtId="167" fontId="47" fillId="8" borderId="0" applyAlignment="1" pivotButton="0" quotePrefix="0" xfId="0">
      <alignment vertical="center"/>
    </xf>
    <xf numFmtId="181" fontId="5" fillId="6" borderId="0" applyAlignment="1" pivotButton="0" quotePrefix="0" xfId="0">
      <alignment vertical="center"/>
    </xf>
    <xf numFmtId="190" fontId="6" fillId="37" borderId="0" applyAlignment="1" pivotButton="0" quotePrefix="0" xfId="0">
      <alignment vertical="center"/>
    </xf>
    <xf numFmtId="164" fontId="6" fillId="37" borderId="0" applyAlignment="1" pivotButton="0" quotePrefix="0" xfId="0">
      <alignment vertical="center"/>
    </xf>
    <xf numFmtId="182" fontId="47" fillId="28" borderId="0" applyAlignment="1" pivotButton="0" quotePrefix="0" xfId="0">
      <alignment horizontal="right" vertical="center" wrapText="1"/>
    </xf>
    <xf numFmtId="0" fontId="65" fillId="0" borderId="0" pivotButton="0" quotePrefix="0" xfId="0"/>
    <xf numFmtId="182" fontId="5" fillId="6" borderId="0" applyAlignment="1" pivotButton="0" quotePrefix="0" xfId="0">
      <alignment vertical="center"/>
    </xf>
    <xf numFmtId="165" fontId="47" fillId="8" borderId="0" applyAlignment="1" pivotButton="0" quotePrefix="0" xfId="0">
      <alignment vertical="center"/>
    </xf>
    <xf numFmtId="191" fontId="6" fillId="37" borderId="0" applyAlignment="1" pivotButton="0" quotePrefix="0" xfId="0">
      <alignment vertical="center"/>
    </xf>
    <xf numFmtId="164" fontId="47" fillId="28" borderId="0" applyAlignment="1" pivotButton="0" quotePrefix="0" xfId="0">
      <alignment horizontal="right" vertical="center" wrapText="1"/>
    </xf>
    <xf numFmtId="183" fontId="5" fillId="6" borderId="0" applyAlignment="1" pivotButton="0" quotePrefix="0" xfId="0">
      <alignment vertical="center"/>
    </xf>
    <xf numFmtId="178" fontId="47" fillId="28" borderId="0" applyAlignment="1" pivotButton="0" quotePrefix="0" xfId="0">
      <alignment horizontal="right" vertical="center" wrapText="1"/>
    </xf>
    <xf numFmtId="164" fontId="47" fillId="28" borderId="0" applyAlignment="1" pivotButton="0" quotePrefix="0" xfId="0">
      <alignment vertical="center"/>
    </xf>
    <xf numFmtId="0" fontId="86" fillId="0" borderId="0" applyAlignment="1" pivotButton="0" quotePrefix="0" xfId="0">
      <alignment vertical="center" wrapText="1"/>
    </xf>
    <xf numFmtId="0" fontId="65" fillId="0" borderId="0" applyAlignment="1" pivotButton="0" quotePrefix="0" xfId="0">
      <alignment vertical="top" wrapText="1"/>
    </xf>
    <xf numFmtId="164" fontId="47" fillId="8" borderId="0" applyAlignment="1" pivotButton="0" quotePrefix="0" xfId="0">
      <alignment vertical="center"/>
    </xf>
    <xf numFmtId="179" fontId="47" fillId="28" borderId="0" applyAlignment="1" pivotButton="0" quotePrefix="0" xfId="0">
      <alignment horizontal="right" vertical="center" wrapText="1"/>
    </xf>
    <xf numFmtId="183" fontId="6" fillId="37" borderId="0" applyAlignment="1" pivotButton="0" quotePrefix="0" xfId="0">
      <alignment vertical="center"/>
    </xf>
    <xf numFmtId="185" fontId="5" fillId="6" borderId="0" applyAlignment="1" pivotButton="0" quotePrefix="0" xfId="0">
      <alignment vertical="center"/>
    </xf>
    <xf numFmtId="186" fontId="5" fillId="6" borderId="0" applyAlignment="1" pivotButton="0" quotePrefix="0" xfId="0">
      <alignment vertical="center"/>
    </xf>
    <xf numFmtId="180" fontId="5" fillId="6" borderId="0" applyAlignment="1" pivotButton="0" quotePrefix="0" xfId="0">
      <alignment vertical="center"/>
    </xf>
    <xf numFmtId="187" fontId="5" fillId="6" borderId="0" applyAlignment="1" pivotButton="0" quotePrefix="0" xfId="0">
      <alignment vertical="center"/>
    </xf>
    <xf numFmtId="49" fontId="6" fillId="38" borderId="0" applyAlignment="1" pivotButton="0" quotePrefix="0" xfId="0">
      <alignment vertical="center"/>
    </xf>
    <xf numFmtId="2" fontId="5" fillId="6" borderId="0" applyAlignment="1" pivotButton="0" quotePrefix="0" xfId="0">
      <alignment vertical="center"/>
    </xf>
    <xf numFmtId="0" fontId="5" fillId="38" borderId="0" applyAlignment="1" pivotButton="0" quotePrefix="0" xfId="0">
      <alignment vertical="center"/>
    </xf>
    <xf numFmtId="184" fontId="84" fillId="40" borderId="0" applyAlignment="1" pivotButton="0" quotePrefix="0" xfId="0">
      <alignment vertical="center"/>
    </xf>
    <xf numFmtId="164" fontId="84" fillId="40" borderId="0" applyAlignment="1" pivotButton="0" quotePrefix="0" xfId="0">
      <alignment vertical="center"/>
    </xf>
    <xf numFmtId="165" fontId="84" fillId="40" borderId="0" applyAlignment="1" pivotButton="0" quotePrefix="0" xfId="0">
      <alignment vertical="center"/>
    </xf>
    <xf numFmtId="183" fontId="84" fillId="40" borderId="0" applyAlignment="1" pivotButton="0" quotePrefix="0" xfId="0">
      <alignment vertical="center"/>
    </xf>
    <xf numFmtId="0" fontId="6" fillId="37" borderId="0" pivotButton="0" quotePrefix="0" xfId="0"/>
    <xf numFmtId="49" fontId="14" fillId="38" borderId="0" applyAlignment="1" pivotButton="0" quotePrefix="0" xfId="0">
      <alignment horizontal="right" vertical="center" wrapText="1"/>
    </xf>
    <xf numFmtId="0" fontId="51" fillId="22" borderId="0" applyAlignment="1" pivotButton="0" quotePrefix="0" xfId="0">
      <alignment vertical="center" wrapText="1"/>
    </xf>
    <xf numFmtId="169" fontId="47" fillId="28" borderId="0" applyAlignment="1" pivotButton="0" quotePrefix="0" xfId="0">
      <alignment horizontal="right" vertical="center" wrapText="1"/>
    </xf>
    <xf numFmtId="170" fontId="47" fillId="28" borderId="0" applyAlignment="1" pivotButton="0" quotePrefix="0" xfId="0">
      <alignment horizontal="right" vertical="center" wrapText="1"/>
    </xf>
    <xf numFmtId="179" fontId="14" fillId="12" borderId="0" applyAlignment="1" pivotButton="0" quotePrefix="0" xfId="0">
      <alignment horizontal="right" vertical="center" wrapText="1"/>
    </xf>
    <xf numFmtId="182" fontId="14" fillId="12" borderId="0" applyAlignment="1" pivotButton="0" quotePrefix="0" xfId="0">
      <alignment horizontal="right" vertical="center" wrapText="1"/>
    </xf>
    <xf numFmtId="0" fontId="47" fillId="28" borderId="0" applyAlignment="1" pivotButton="0" quotePrefix="0" xfId="0">
      <alignment horizontal="right" vertical="center" wrapText="1"/>
    </xf>
    <xf numFmtId="49" fontId="14" fillId="38" borderId="0" applyAlignment="1" applyProtection="1" pivotButton="0" quotePrefix="0" xfId="0">
      <alignment vertical="center"/>
      <protection locked="0" hidden="0"/>
    </xf>
    <xf numFmtId="181" fontId="14" fillId="38" borderId="0" applyAlignment="1" applyProtection="1" pivotButton="0" quotePrefix="0" xfId="0">
      <alignment vertical="center"/>
      <protection locked="0" hidden="0"/>
    </xf>
    <xf numFmtId="178" fontId="47" fillId="28" borderId="0" applyAlignment="1" pivotButton="0" quotePrefix="0" xfId="0">
      <alignment vertical="center"/>
    </xf>
    <xf numFmtId="164" fontId="14" fillId="38" borderId="0" applyAlignment="1" applyProtection="1" pivotButton="0" quotePrefix="0" xfId="0">
      <alignment vertical="center"/>
      <protection locked="0" hidden="0"/>
    </xf>
    <xf numFmtId="175" fontId="14" fillId="38" borderId="0" applyAlignment="1" applyProtection="1" pivotButton="0" quotePrefix="0" xfId="0">
      <alignment vertical="center"/>
      <protection locked="0" hidden="0"/>
    </xf>
    <xf numFmtId="166" fontId="14" fillId="38" borderId="0" applyAlignment="1" applyProtection="1" pivotButton="0" quotePrefix="0" xfId="0">
      <alignment vertical="center"/>
      <protection locked="0" hidden="0"/>
    </xf>
    <xf numFmtId="183" fontId="14" fillId="38" borderId="0" applyAlignment="1" applyProtection="1" pivotButton="0" quotePrefix="0" xfId="0">
      <alignment vertical="center"/>
      <protection locked="0" hidden="0"/>
    </xf>
    <xf numFmtId="0" fontId="47" fillId="28" borderId="0" pivotButton="0" quotePrefix="0" xfId="0"/>
    <xf numFmtId="171" fontId="47" fillId="28" borderId="0" pivotButton="0" quotePrefix="0" xfId="0"/>
    <xf numFmtId="171" fontId="14" fillId="38" borderId="0" applyAlignment="1" applyProtection="1" pivotButton="0" quotePrefix="0" xfId="0">
      <alignment vertical="center" wrapText="1"/>
      <protection locked="0" hidden="0"/>
    </xf>
    <xf numFmtId="169" fontId="14" fillId="38" borderId="0" applyAlignment="1" applyProtection="1" pivotButton="0" quotePrefix="0" xfId="0">
      <alignment vertical="center" wrapText="1"/>
      <protection locked="0" hidden="0"/>
    </xf>
    <xf numFmtId="172" fontId="14" fillId="38" borderId="0" applyAlignment="1" applyProtection="1" pivotButton="0" quotePrefix="0" xfId="0">
      <alignment vertical="center" wrapText="1"/>
      <protection locked="0" hidden="0"/>
    </xf>
    <xf numFmtId="175" fontId="14" fillId="39" borderId="0" applyAlignment="1" pivotButton="0" quotePrefix="0" xfId="0">
      <alignment vertical="center"/>
    </xf>
    <xf numFmtId="169" fontId="14" fillId="39" borderId="0" applyAlignment="1" pivotButton="0" quotePrefix="0" xfId="0">
      <alignment vertical="center"/>
    </xf>
    <xf numFmtId="49" fontId="14" fillId="39" borderId="0" applyAlignment="1" pivotButton="0" quotePrefix="0" xfId="0">
      <alignment vertical="center"/>
    </xf>
    <xf numFmtId="166" fontId="20" fillId="39" borderId="0" applyAlignment="1" pivotButton="0" quotePrefix="0" xfId="0">
      <alignment vertical="center"/>
    </xf>
    <xf numFmtId="177" fontId="31" fillId="39" borderId="0" applyAlignment="1" pivotButton="0" quotePrefix="0" xfId="0">
      <alignment vertical="center" wrapText="1"/>
    </xf>
    <xf numFmtId="49" fontId="31" fillId="39" borderId="0" applyAlignment="1" pivotButton="0" quotePrefix="0" xfId="0">
      <alignment vertical="center" wrapText="1"/>
    </xf>
    <xf numFmtId="181" fontId="31" fillId="39" borderId="0" applyAlignment="1" pivotButton="0" quotePrefix="0" xfId="0">
      <alignment vertical="center" wrapText="1"/>
    </xf>
    <xf numFmtId="165" fontId="31" fillId="39" borderId="0" applyAlignment="1" pivotButton="0" quotePrefix="0" xfId="0">
      <alignment vertical="center" wrapText="1"/>
    </xf>
    <xf numFmtId="175" fontId="31" fillId="39" borderId="0" pivotButton="0" quotePrefix="0" xfId="0"/>
    <xf numFmtId="0" fontId="81" fillId="0" borderId="0" pivotButton="0" quotePrefix="0" xfId="0"/>
    <xf numFmtId="0" fontId="0" fillId="34" borderId="3" pivotButton="0" quotePrefix="0" xfId="0"/>
    <xf numFmtId="10" fontId="0" fillId="0" borderId="0" pivotButton="0" quotePrefix="0" xfId="0"/>
    <xf numFmtId="3" fontId="0" fillId="0" borderId="0" pivotButton="0" quotePrefix="0" xfId="0"/>
    <xf numFmtId="17" fontId="0" fillId="0" borderId="0" pivotButton="0" quotePrefix="0" xfId="0"/>
    <xf numFmtId="0" fontId="67" fillId="31" borderId="0" pivotButton="0" quotePrefix="0" xfId="0"/>
    <xf numFmtId="1" fontId="53" fillId="0" borderId="3" pivotButton="0" quotePrefix="0" xfId="0"/>
    <xf numFmtId="0" fontId="62" fillId="0" borderId="0" pivotButton="0" quotePrefix="0" xfId="0"/>
    <xf numFmtId="0" fontId="80" fillId="0" borderId="0" pivotButton="0" quotePrefix="0" xfId="0"/>
    <xf numFmtId="0" fontId="85" fillId="0" borderId="0" pivotButton="0" quotePrefix="0" xfId="0"/>
    <xf numFmtId="0" fontId="67" fillId="0" borderId="0" pivotButton="0" quotePrefix="0" xfId="0"/>
    <xf numFmtId="0" fontId="58" fillId="0" borderId="0" applyAlignment="1" pivotButton="0" quotePrefix="0" xfId="0">
      <alignment vertical="top" wrapText="1"/>
    </xf>
    <xf numFmtId="0" fontId="0" fillId="22" borderId="0" pivotButton="0" quotePrefix="0" xfId="0"/>
    <xf numFmtId="0" fontId="52" fillId="0" borderId="3" pivotButton="0" quotePrefix="0" xfId="0"/>
    <xf numFmtId="0" fontId="53" fillId="0" borderId="3" pivotButton="0" quotePrefix="0" xfId="0"/>
    <xf numFmtId="0" fontId="54" fillId="0" borderId="3" applyAlignment="1" pivotButton="0" quotePrefix="0" xfId="0">
      <alignment vertical="top" wrapText="1"/>
    </xf>
    <xf numFmtId="0" fontId="55" fillId="0" borderId="3" applyAlignment="1" pivotButton="0" quotePrefix="0" xfId="0">
      <alignment vertical="top" wrapText="1"/>
    </xf>
    <xf numFmtId="3" fontId="59" fillId="28" borderId="3" pivotButton="0" quotePrefix="0" xfId="0"/>
    <xf numFmtId="3" fontId="59" fillId="0" borderId="3" pivotButton="0" quotePrefix="0" xfId="0"/>
    <xf numFmtId="0" fontId="59" fillId="0" borderId="3" pivotButton="0" quotePrefix="0" xfId="0"/>
    <xf numFmtId="0" fontId="60" fillId="0" borderId="3" applyAlignment="1" pivotButton="0" quotePrefix="0" xfId="0">
      <alignment vertical="top" wrapText="1"/>
    </xf>
    <xf numFmtId="0" fontId="61" fillId="0" borderId="0" applyAlignment="1" pivotButton="0" quotePrefix="0" xfId="0">
      <alignment vertical="top" wrapText="1"/>
    </xf>
    <xf numFmtId="175" fontId="0" fillId="0" borderId="3" pivotButton="0" quotePrefix="0" xfId="0"/>
    <xf numFmtId="164" fontId="0" fillId="0" borderId="3" pivotButton="0" quotePrefix="0" xfId="0"/>
    <xf numFmtId="164" fontId="62" fillId="28" borderId="3" pivotButton="0" quotePrefix="0" xfId="0"/>
    <xf numFmtId="164" fontId="62" fillId="29" borderId="3" pivotButton="0" quotePrefix="0" xfId="0"/>
    <xf numFmtId="0" fontId="62" fillId="0" borderId="3" pivotButton="0" quotePrefix="0" xfId="0"/>
    <xf numFmtId="175" fontId="63" fillId="0" borderId="3" pivotButton="0" quotePrefix="0" xfId="0"/>
    <xf numFmtId="0" fontId="64" fillId="0" borderId="0" pivotButton="0" quotePrefix="0" xfId="0"/>
    <xf numFmtId="0" fontId="66" fillId="0" borderId="0" pivotButton="0" quotePrefix="0" xfId="0"/>
    <xf numFmtId="0" fontId="53" fillId="0" borderId="0" applyAlignment="1" pivotButton="0" quotePrefix="0" xfId="0">
      <alignment vertical="top" wrapText="1"/>
    </xf>
    <xf numFmtId="0" fontId="68" fillId="30" borderId="3" applyAlignment="1" pivotButton="0" quotePrefix="0" xfId="0">
      <alignment horizontal="center" vertical="center" wrapText="1"/>
    </xf>
    <xf numFmtId="0" fontId="69" fillId="31" borderId="3" applyAlignment="1" pivotButton="0" quotePrefix="0" xfId="0">
      <alignment horizontal="center" vertical="center" wrapText="1"/>
    </xf>
    <xf numFmtId="0" fontId="60" fillId="29" borderId="3" applyAlignment="1" pivotButton="0" quotePrefix="0" xfId="0">
      <alignment horizontal="center" vertical="center" wrapText="1"/>
    </xf>
    <xf numFmtId="0" fontId="70" fillId="32" borderId="3" applyAlignment="1" pivotButton="0" quotePrefix="0" xfId="0">
      <alignment horizontal="center" vertical="center" wrapText="1"/>
    </xf>
    <xf numFmtId="0" fontId="71" fillId="0" borderId="0" pivotButton="0" quotePrefix="0" xfId="0"/>
  </cellXfs>
  <cellStyles count="1">
    <cellStyle name="Normal" xfId="0" builtinId="0" hidden="0"/>
  </cellStyles>
  <dxfs count="7">
    <dxf>
      <font>
        <b val="1"/>
        <color rgb="009C0006"/>
      </font>
      <fill>
        <patternFill patternType="solid">
          <fgColor rgb="00FCE4D6"/>
          <bgColor rgb="FF000000"/>
        </patternFill>
      </fill>
    </dxf>
    <dxf>
      <fill>
        <patternFill patternType="solid">
          <fgColor rgb="00FFF1CE"/>
          <bgColor rgb="FF000000"/>
        </patternFill>
      </fill>
    </dxf>
    <dxf>
      <font>
        <b val="1"/>
        <color rgb="009C0006"/>
      </font>
      <fill>
        <patternFill patternType="solid">
          <bgColor rgb="00F4CCCC"/>
        </patternFill>
      </fill>
    </dxf>
    <dxf>
      <font>
        <b val="1"/>
        <color rgb="007F6000"/>
      </font>
      <fill>
        <patternFill patternType="solid">
          <bgColor rgb="00FFE699"/>
        </patternFill>
      </fill>
    </dxf>
    <dxf>
      <font>
        <color rgb="007F6000"/>
      </font>
      <fill>
        <patternFill patternType="solid">
          <bgColor rgb="00FFF2CC"/>
        </patternFill>
      </fill>
    </dxf>
    <dxf>
      <font>
        <color rgb="00375623"/>
      </font>
      <fill>
        <patternFill patternType="solid">
          <bgColor rgb="00E2EFDA"/>
        </patternFill>
      </fill>
    </dxf>
    <dxf>
      <font>
        <b val="1"/>
        <color rgb="007F6000"/>
      </font>
      <fill>
        <patternFill patternType="solid">
          <b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Школы и юрлица — по месяцам</a:t>
            </a:r>
          </a:p>
        </rich>
      </tx>
    </title>
    <plotArea>
      <lineChart>
        <grouping val="standard"/>
        <ser>
          <idx val="0"/>
          <order val="0"/>
          <tx>
            <v>Школы</v>
          </tx>
          <spPr>
            <a:ln w="24000">
              <a:solidFill>
                <a:srgbClr val="9E1B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'00_Дашборд'!$B$104:$B$163</f>
              <numCache>
                <formatCode>General</formatCode>
                <ptCount val="60"/>
                <pt idx="0">
                  <v>60</v>
                </pt>
                <pt idx="1">
                  <v>60</v>
                </pt>
                <pt idx="2">
                  <v>60</v>
                </pt>
                <pt idx="3">
                  <v>67.2439024390244</v>
                </pt>
                <pt idx="4">
                  <v>69.65853658536585</v>
                </pt>
                <pt idx="5">
                  <v>71.26829268292683</v>
                </pt>
                <pt idx="6">
                  <v>77.70731707317073</v>
                </pt>
                <pt idx="7">
                  <v>88.17073170731707</v>
                </pt>
                <pt idx="8">
                  <v>92.19512195121951</v>
                </pt>
                <pt idx="9">
                  <v>97.02439024390245</v>
                </pt>
                <pt idx="10">
                  <v>103.4634146341463</v>
                </pt>
                <pt idx="11">
                  <v>107.4878048780488</v>
                </pt>
                <pt idx="12">
                  <v>114.7317073170732</v>
                </pt>
                <pt idx="13">
                  <v>126</v>
                </pt>
                <pt idx="14">
                  <v>138.96</v>
                </pt>
                <pt idx="15">
                  <v>145.44</v>
                </pt>
                <pt idx="16">
                  <v>147.6</v>
                </pt>
                <pt idx="17">
                  <v>149.04</v>
                </pt>
                <pt idx="18">
                  <v>154.8</v>
                </pt>
                <pt idx="19">
                  <v>164.16</v>
                </pt>
                <pt idx="20">
                  <v>167.76</v>
                </pt>
                <pt idx="21">
                  <v>172.08</v>
                </pt>
                <pt idx="22">
                  <v>177.84</v>
                </pt>
                <pt idx="23">
                  <v>181.44</v>
                </pt>
                <pt idx="24">
                  <v>187.92</v>
                </pt>
                <pt idx="25">
                  <v>198</v>
                </pt>
                <pt idx="26">
                  <v>210.96</v>
                </pt>
                <pt idx="27">
                  <v>217.44</v>
                </pt>
                <pt idx="28">
                  <v>219.6</v>
                </pt>
                <pt idx="29">
                  <v>221.04</v>
                </pt>
                <pt idx="30">
                  <v>226.8</v>
                </pt>
                <pt idx="31">
                  <v>236.16</v>
                </pt>
                <pt idx="32">
                  <v>239.76</v>
                </pt>
                <pt idx="33">
                  <v>244.08</v>
                </pt>
                <pt idx="34">
                  <v>249.84</v>
                </pt>
                <pt idx="35">
                  <v>253.44</v>
                </pt>
                <pt idx="36">
                  <v>259.92</v>
                </pt>
                <pt idx="37">
                  <v>270</v>
                </pt>
                <pt idx="38">
                  <v>280.8</v>
                </pt>
                <pt idx="39">
                  <v>286.2</v>
                </pt>
                <pt idx="40">
                  <v>288</v>
                </pt>
                <pt idx="41">
                  <v>289.2</v>
                </pt>
                <pt idx="42">
                  <v>294</v>
                </pt>
                <pt idx="43">
                  <v>301.8</v>
                </pt>
                <pt idx="44">
                  <v>304.8</v>
                </pt>
                <pt idx="45">
                  <v>308.4</v>
                </pt>
                <pt idx="46">
                  <v>313.2</v>
                </pt>
                <pt idx="47">
                  <v>316.2</v>
                </pt>
                <pt idx="48">
                  <v>321.6</v>
                </pt>
                <pt idx="49">
                  <v>330</v>
                </pt>
                <pt idx="50">
                  <v>339</v>
                </pt>
                <pt idx="51">
                  <v>343.5</v>
                </pt>
                <pt idx="52">
                  <v>345</v>
                </pt>
                <pt idx="53">
                  <v>346</v>
                </pt>
                <pt idx="54">
                  <v>350</v>
                </pt>
                <pt idx="55">
                  <v>356.5</v>
                </pt>
                <pt idx="56">
                  <v>359</v>
                </pt>
                <pt idx="57">
                  <v>361.9999999999999</v>
                </pt>
                <pt idx="58">
                  <v>365.9999999999999</v>
                </pt>
                <pt idx="59">
                  <v>368.4999999999999</v>
                </pt>
              </numCache>
            </numRef>
          </val>
        </ser>
        <ser>
          <idx val="1"/>
          <order val="1"/>
          <tx>
            <v>Юрлица</v>
          </tx>
          <spPr>
            <a:ln w="24000">
              <a:solidFill>
                <a:srgbClr val="D45B6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'00_Дашборд'!$C$104:$C$163</f>
              <numCache>
                <formatCode>General</formatCode>
                <ptCount val="60"/>
                <pt idx="0">
                  <v>49</v>
                </pt>
                <pt idx="1">
                  <v>56.24390243902439</v>
                </pt>
                <pt idx="2">
                  <v>58.65853658536585</v>
                </pt>
                <pt idx="3">
                  <v>60.26829268292683</v>
                </pt>
                <pt idx="4">
                  <v>66.70731707317073</v>
                </pt>
                <pt idx="5">
                  <v>77.17073170731707</v>
                </pt>
                <pt idx="6">
                  <v>81.19512195121952</v>
                </pt>
                <pt idx="7">
                  <v>86.02439024390245</v>
                </pt>
                <pt idx="8">
                  <v>92.46341463414635</v>
                </pt>
                <pt idx="9">
                  <v>96.48780487804879</v>
                </pt>
                <pt idx="10">
                  <v>103.7317073170732</v>
                </pt>
                <pt idx="11">
                  <v>115</v>
                </pt>
                <pt idx="12">
                  <v>127.96</v>
                </pt>
                <pt idx="13">
                  <v>134.44</v>
                </pt>
                <pt idx="14">
                  <v>136.6</v>
                </pt>
                <pt idx="15">
                  <v>138.04</v>
                </pt>
                <pt idx="16">
                  <v>143.8</v>
                </pt>
                <pt idx="17">
                  <v>153.16</v>
                </pt>
                <pt idx="18">
                  <v>156.76</v>
                </pt>
                <pt idx="19">
                  <v>161.08</v>
                </pt>
                <pt idx="20">
                  <v>166.8399999999999</v>
                </pt>
                <pt idx="21">
                  <v>170.4399999999999</v>
                </pt>
                <pt idx="22">
                  <v>176.9199999999999</v>
                </pt>
                <pt idx="23">
                  <v>186.9999999999999</v>
                </pt>
                <pt idx="24">
                  <v>199.96</v>
                </pt>
                <pt idx="25">
                  <v>206.4399999999999</v>
                </pt>
                <pt idx="26">
                  <v>208.5999999999999</v>
                </pt>
                <pt idx="27">
                  <v>210.0399999999999</v>
                </pt>
                <pt idx="28">
                  <v>215.7999999999999</v>
                </pt>
                <pt idx="29">
                  <v>225.1599999999999</v>
                </pt>
                <pt idx="30">
                  <v>228.7599999999999</v>
                </pt>
                <pt idx="31">
                  <v>233.0799999999999</v>
                </pt>
                <pt idx="32">
                  <v>238.8399999999999</v>
                </pt>
                <pt idx="33">
                  <v>242.4399999999999</v>
                </pt>
                <pt idx="34">
                  <v>248.9199999999999</v>
                </pt>
                <pt idx="35">
                  <v>258.9999999999999</v>
                </pt>
                <pt idx="36">
                  <v>269.7999999999999</v>
                </pt>
                <pt idx="37">
                  <v>275.1999999999999</v>
                </pt>
                <pt idx="38">
                  <v>276.9999999999999</v>
                </pt>
                <pt idx="39">
                  <v>278.1999999999999</v>
                </pt>
                <pt idx="40">
                  <v>282.9999999999999</v>
                </pt>
                <pt idx="41">
                  <v>290.7999999999999</v>
                </pt>
                <pt idx="42">
                  <v>293.7999999999999</v>
                </pt>
                <pt idx="43">
                  <v>297.3999999999999</v>
                </pt>
                <pt idx="44">
                  <v>302.1999999999999</v>
                </pt>
                <pt idx="45">
                  <v>305.1999999999999</v>
                </pt>
                <pt idx="46">
                  <v>310.5999999999999</v>
                </pt>
                <pt idx="47">
                  <v>318.9999999999999</v>
                </pt>
                <pt idx="48">
                  <v>327.9999999999999</v>
                </pt>
                <pt idx="49">
                  <v>332.4999999999999</v>
                </pt>
                <pt idx="50">
                  <v>333.9999999999999</v>
                </pt>
                <pt idx="51">
                  <v>334.9999999999999</v>
                </pt>
                <pt idx="52">
                  <v>338.9999999999999</v>
                </pt>
                <pt idx="53">
                  <v>345.4999999999999</v>
                </pt>
                <pt idx="54">
                  <v>347.9999999999999</v>
                </pt>
                <pt idx="55">
                  <v>350.9999999999999</v>
                </pt>
                <pt idx="56">
                  <v>354.9999999999999</v>
                </pt>
                <pt idx="57">
                  <v>357.4999999999999</v>
                </pt>
                <pt idx="58">
                  <v>361.9999999999999</v>
                </pt>
                <pt idx="59">
                  <v>368.9999999999999</v>
                </pt>
              </numCache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Сентябрь 2026 — август 2031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шт.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Активные дети — действующая и новая сеть</a:t>
            </a:r>
          </a:p>
        </rich>
      </tx>
    </title>
    <plotArea>
      <lineChart>
        <grouping val="standard"/>
        <ser>
          <idx val="0"/>
          <order val="0"/>
          <tx>
            <v>Действующая сеть</v>
          </tx>
          <spPr>
            <a:ln w="24000">
              <a:solidFill>
                <a:srgbClr val="9E1B3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'00_Дашборд'!$D$104:$D$163</f>
              <numCache>
                <formatCode>General</formatCode>
                <ptCount val="60"/>
                <pt idx="0">
                  <v>4129.411764705882</v>
                </pt>
                <pt idx="1">
                  <v>4894.117647058823</v>
                </pt>
                <pt idx="2">
                  <v>4894.117647058823</v>
                </pt>
                <pt idx="3">
                  <v>4817.647058823529</v>
                </pt>
                <pt idx="4">
                  <v>5008.823529411764</v>
                </pt>
                <pt idx="5">
                  <v>5200</v>
                </pt>
                <pt idx="6">
                  <v>5161.764705882353</v>
                </pt>
                <pt idx="7">
                  <v>4817.647058823529</v>
                </pt>
                <pt idx="8">
                  <v>4282.35294117647</v>
                </pt>
                <pt idx="9">
                  <v>1644.117647058823</v>
                </pt>
                <pt idx="10">
                  <v>726.4705882352943</v>
                </pt>
                <pt idx="11">
                  <v>305.8823529411765</v>
                </pt>
                <pt idx="12">
                  <v>4542.352941176471</v>
                </pt>
                <pt idx="13">
                  <v>5383.529411764706</v>
                </pt>
                <pt idx="14">
                  <v>5383.529411764706</v>
                </pt>
                <pt idx="15">
                  <v>5299.411764705883</v>
                </pt>
                <pt idx="16">
                  <v>5509.705882352941</v>
                </pt>
                <pt idx="17">
                  <v>5720.000000000001</v>
                </pt>
                <pt idx="18">
                  <v>5677.941176470589</v>
                </pt>
                <pt idx="19">
                  <v>5299.411764705883</v>
                </pt>
                <pt idx="20">
                  <v>4710.588235294118</v>
                </pt>
                <pt idx="21">
                  <v>1808.529411764706</v>
                </pt>
                <pt idx="22">
                  <v>799.1176470588239</v>
                </pt>
                <pt idx="23">
                  <v>336.4705882352942</v>
                </pt>
                <pt idx="24">
                  <v>4996.588235294118</v>
                </pt>
                <pt idx="25">
                  <v>5921.882352941177</v>
                </pt>
                <pt idx="26">
                  <v>5921.882352941177</v>
                </pt>
                <pt idx="27">
                  <v>5829.352941176471</v>
                </pt>
                <pt idx="28">
                  <v>6060.676470588236</v>
                </pt>
                <pt idx="29">
                  <v>6292.000000000001</v>
                </pt>
                <pt idx="30">
                  <v>6245.735294117648</v>
                </pt>
                <pt idx="31">
                  <v>5829.352941176471</v>
                </pt>
                <pt idx="32">
                  <v>5181.64705882353</v>
                </pt>
                <pt idx="33">
                  <v>1989.382352941177</v>
                </pt>
                <pt idx="34">
                  <v>879.0294117647062</v>
                </pt>
                <pt idx="35">
                  <v>370.1176470588236</v>
                </pt>
                <pt idx="36">
                  <v>5496.247058823531</v>
                </pt>
                <pt idx="37">
                  <v>6514.070588235297</v>
                </pt>
                <pt idx="38">
                  <v>6514.070588235297</v>
                </pt>
                <pt idx="39">
                  <v>6412.28823529412</v>
                </pt>
                <pt idx="40">
                  <v>6666.74411764706</v>
                </pt>
                <pt idx="41">
                  <v>6921.200000000003</v>
                </pt>
                <pt idx="42">
                  <v>6870.308823529414</v>
                </pt>
                <pt idx="43">
                  <v>6412.28823529412</v>
                </pt>
                <pt idx="44">
                  <v>5699.811764705884</v>
                </pt>
                <pt idx="45">
                  <v>2188.320588235295</v>
                </pt>
                <pt idx="46">
                  <v>966.932352941177</v>
                </pt>
                <pt idx="47">
                  <v>407.129411764706</v>
                </pt>
                <pt idx="48">
                  <v>6045.871764705884</v>
                </pt>
                <pt idx="49">
                  <v>7165.477647058826</v>
                </pt>
                <pt idx="50">
                  <v>7165.477647058826</v>
                </pt>
                <pt idx="51">
                  <v>7053.517058823531</v>
                </pt>
                <pt idx="52">
                  <v>7333.418529411766</v>
                </pt>
                <pt idx="53">
                  <v>7613.320000000002</v>
                </pt>
                <pt idx="54">
                  <v>7557.339705882356</v>
                </pt>
                <pt idx="55">
                  <v>7053.517058823531</v>
                </pt>
                <pt idx="56">
                  <v>6269.792941176473</v>
                </pt>
                <pt idx="57">
                  <v>2407.152647058824</v>
                </pt>
                <pt idx="58">
                  <v>1063.625588235295</v>
                </pt>
                <pt idx="59">
                  <v>447.8423529411767</v>
                </pt>
              </numCache>
            </numRef>
          </val>
        </ser>
        <ser>
          <idx val="1"/>
          <order val="1"/>
          <tx>
            <v>Новые школы</v>
          </tx>
          <spPr>
            <a:ln w="24000">
              <a:solidFill>
                <a:srgbClr val="D45B6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'00_Дашборд'!$E$104:$E$163</f>
              <numCache>
                <formatCode>General</formatCode>
                <ptCount val="6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41.97335455523672</v>
                </pt>
                <pt idx="4">
                  <v>101.8242490136298</v>
                </pt>
                <pt idx="5">
                  <v>176.1844512195122</v>
                </pt>
                <pt idx="6">
                  <v>284.8191916248207</v>
                </pt>
                <pt idx="7">
                  <v>429.0609576757532</v>
                </pt>
                <pt idx="8">
                  <v>547.2081779053085</v>
                </pt>
                <pt idx="9">
                  <v>283.3016364777619</v>
                </pt>
                <pt idx="10">
                  <v>163.1556850789097</v>
                </pt>
                <pt idx="11">
                  <v>86.16752152080346</v>
                </pt>
                <pt idx="12">
                  <v>1435.088979555237</v>
                </pt>
                <pt idx="13">
                  <v>2089.340315638451</v>
                </pt>
                <pt idx="14">
                  <v>2554.120550932569</v>
                </pt>
                <pt idx="15">
                  <v>3017.680594960545</v>
                </pt>
                <pt idx="16">
                  <v>3676.801415665352</v>
                </pt>
                <pt idx="17">
                  <v>4388.11718902439</v>
                </pt>
                <pt idx="18">
                  <v>4966.395113656744</v>
                </pt>
                <pt idx="19">
                  <v>5271.515113880918</v>
                </pt>
                <pt idx="20">
                  <v>5274.00530989957</v>
                </pt>
                <pt idx="21">
                  <v>2261.127785688665</v>
                </pt>
                <pt idx="22">
                  <v>1109.667721574606</v>
                </pt>
                <pt idx="23">
                  <v>515.4029078192253</v>
                </pt>
                <pt idx="24">
                  <v>7647.679396162123</v>
                </pt>
                <pt idx="25">
                  <v>9953.998674318507</v>
                </pt>
                <pt idx="26">
                  <v>10935.63961549498</v>
                </pt>
                <pt idx="27">
                  <v>11725.76062607604</v>
                </pt>
                <pt idx="28">
                  <v>13188.35242844333</v>
                </pt>
                <pt idx="29">
                  <v>14725.79853658537</v>
                </pt>
                <pt idx="30">
                  <v>15638.93155039455</v>
                </pt>
                <pt idx="31">
                  <v>15541.97949668221</v>
                </pt>
                <pt idx="32">
                  <v>14653.04136370158</v>
                </pt>
                <pt idx="33">
                  <v>5946.224953595767</v>
                </pt>
                <pt idx="34">
                  <v>2768.307573932927</v>
                </pt>
                <pt idx="35">
                  <v>1224.744581061693</v>
                </pt>
                <pt idx="36">
                  <v>17327.90713235294</v>
                </pt>
                <pt idx="37">
                  <v>21469.24941176471</v>
                </pt>
                <pt idx="38">
                  <v>22389.00564705882</v>
                </pt>
                <pt idx="39">
                  <v>22938.30463235294</v>
                </pt>
                <pt idx="40">
                  <v>24781.19294117647</v>
                </pt>
                <pt idx="41">
                  <v>26693.774</v>
                </pt>
                <pt idx="42">
                  <v>27451.16205882353</v>
                </pt>
                <pt idx="43">
                  <v>26502.13356617647</v>
                </pt>
                <pt idx="44">
                  <v>24337.5164117647</v>
                </pt>
                <pt idx="45">
                  <v>9641.933158088235</v>
                </pt>
                <pt idx="46">
                  <v>4391.253525735295</v>
                </pt>
                <pt idx="47">
                  <v>1903.828941176471</v>
                </pt>
                <pt idx="48">
                  <v>26437.20802941176</v>
                </pt>
                <pt idx="49">
                  <v>32194.8225882353</v>
                </pt>
                <pt idx="50">
                  <v>33030.80282352941</v>
                </pt>
                <pt idx="51">
                  <v>33324.8890367647</v>
                </pt>
                <pt idx="52">
                  <v>35485.2380992647</v>
                </pt>
                <pt idx="53">
                  <v>37706.49916666667</v>
                </pt>
                <pt idx="54">
                  <v>38277.61461397059</v>
                </pt>
                <pt idx="55">
                  <v>36499.20348529411</v>
                </pt>
                <pt idx="56">
                  <v>33124.9454117647</v>
                </pt>
                <pt idx="57">
                  <v>12976.25333333333</v>
                </pt>
                <pt idx="58">
                  <v>5846.270568627451</v>
                </pt>
                <pt idx="59">
                  <v>2508.539676470588</v>
                </pt>
              </numCache>
            </numRef>
          </val>
        </ser>
        <ser>
          <idx val="2"/>
          <order val="2"/>
          <tx>
            <v>Всего детей</v>
          </tx>
          <spPr>
            <a:ln w="24000">
              <a:solidFill>
                <a:srgbClr val="77777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'00_Дашборд'!$H$104:$H$163</f>
              <strCache>
                <ptCount val="60"/>
                <pt idx="0">
                  <v>сен 2026</v>
                </pt>
                <pt idx="1">
                  <v>окт 2026</v>
                </pt>
                <pt idx="2">
                  <v>ноя 2026</v>
                </pt>
                <pt idx="3">
                  <v>дек 2026</v>
                </pt>
                <pt idx="4">
                  <v>янв 2027</v>
                </pt>
                <pt idx="5">
                  <v>фев 2027</v>
                </pt>
                <pt idx="6">
                  <v>мар 2027</v>
                </pt>
                <pt idx="7">
                  <v>апр 2027</v>
                </pt>
                <pt idx="8">
                  <v>май 2027</v>
                </pt>
                <pt idx="9">
                  <v>июн 2027</v>
                </pt>
                <pt idx="10">
                  <v>июл 2027</v>
                </pt>
                <pt idx="11">
                  <v>авг 2027</v>
                </pt>
                <pt idx="12">
                  <v>сен 2027</v>
                </pt>
                <pt idx="13">
                  <v>окт 2027</v>
                </pt>
                <pt idx="14">
                  <v>ноя 2027</v>
                </pt>
                <pt idx="15">
                  <v>дек 2027</v>
                </pt>
                <pt idx="16">
                  <v>янв 2028</v>
                </pt>
                <pt idx="17">
                  <v>фев 2028</v>
                </pt>
                <pt idx="18">
                  <v>мар 2028</v>
                </pt>
                <pt idx="19">
                  <v>апр 2028</v>
                </pt>
                <pt idx="20">
                  <v>май 2028</v>
                </pt>
                <pt idx="21">
                  <v>июн 2028</v>
                </pt>
                <pt idx="22">
                  <v>июл 2028</v>
                </pt>
                <pt idx="23">
                  <v>авг 2028</v>
                </pt>
                <pt idx="24">
                  <v>сен 2028</v>
                </pt>
                <pt idx="25">
                  <v>окт 2028</v>
                </pt>
                <pt idx="26">
                  <v>ноя 2028</v>
                </pt>
                <pt idx="27">
                  <v>дек 2028</v>
                </pt>
                <pt idx="28">
                  <v>янв 2029</v>
                </pt>
                <pt idx="29">
                  <v>фев 2029</v>
                </pt>
                <pt idx="30">
                  <v>мар 2029</v>
                </pt>
                <pt idx="31">
                  <v>апр 2029</v>
                </pt>
                <pt idx="32">
                  <v>май 2029</v>
                </pt>
                <pt idx="33">
                  <v>июн 2029</v>
                </pt>
                <pt idx="34">
                  <v>июл 2029</v>
                </pt>
                <pt idx="35">
                  <v>авг 2029</v>
                </pt>
                <pt idx="36">
                  <v>сен 2029</v>
                </pt>
                <pt idx="37">
                  <v>окт 2029</v>
                </pt>
                <pt idx="38">
                  <v>ноя 2029</v>
                </pt>
                <pt idx="39">
                  <v>дек 2029</v>
                </pt>
                <pt idx="40">
                  <v>янв 2030</v>
                </pt>
                <pt idx="41">
                  <v>фев 2030</v>
                </pt>
                <pt idx="42">
                  <v>мар 2030</v>
                </pt>
                <pt idx="43">
                  <v>апр 2030</v>
                </pt>
                <pt idx="44">
                  <v>май 2030</v>
                </pt>
                <pt idx="45">
                  <v>июн 2030</v>
                </pt>
                <pt idx="46">
                  <v>июл 2030</v>
                </pt>
                <pt idx="47">
                  <v>авг 2030</v>
                </pt>
                <pt idx="48">
                  <v>сен 2030</v>
                </pt>
                <pt idx="49">
                  <v>окт 2030</v>
                </pt>
                <pt idx="50">
                  <v>ноя 2030</v>
                </pt>
                <pt idx="51">
                  <v>дек 2030</v>
                </pt>
                <pt idx="52">
                  <v>янв 2031</v>
                </pt>
                <pt idx="53">
                  <v>фев 2031</v>
                </pt>
                <pt idx="54">
                  <v>мар 2031</v>
                </pt>
                <pt idx="55">
                  <v>апр 2031</v>
                </pt>
                <pt idx="56">
                  <v>май 2031</v>
                </pt>
                <pt idx="57">
                  <v>июн 2031</v>
                </pt>
                <pt idx="58">
                  <v>июл 2031</v>
                </pt>
                <pt idx="59">
                  <v>авг 2031</v>
                </pt>
              </strCache>
            </strRef>
          </cat>
          <val>
            <numRef>
              <f>'00_Дашборд'!$F$104:$F$163</f>
              <numCache>
                <formatCode>General</formatCode>
                <ptCount val="60"/>
                <pt idx="0">
                  <v>4129.411764705882</v>
                </pt>
                <pt idx="1">
                  <v>4894.117647058823</v>
                </pt>
                <pt idx="2">
                  <v>4894.117647058823</v>
                </pt>
                <pt idx="3">
                  <v>4859.620413378766</v>
                </pt>
                <pt idx="4">
                  <v>5110.647778425394</v>
                </pt>
                <pt idx="5">
                  <v>5376.184451219512</v>
                </pt>
                <pt idx="6">
                  <v>5446.583897507174</v>
                </pt>
                <pt idx="7">
                  <v>5246.708016499282</v>
                </pt>
                <pt idx="8">
                  <v>4829.561119081779</v>
                </pt>
                <pt idx="9">
                  <v>1927.419283536585</v>
                </pt>
                <pt idx="10">
                  <v>889.6262733142039</v>
                </pt>
                <pt idx="11">
                  <v>392.04987446198</v>
                </pt>
                <pt idx="12">
                  <v>5977.441920731708</v>
                </pt>
                <pt idx="13">
                  <v>7472.869727403157</v>
                </pt>
                <pt idx="14">
                  <v>7937.649962697275</v>
                </pt>
                <pt idx="15">
                  <v>8317.092359666429</v>
                </pt>
                <pt idx="16">
                  <v>9186.507298018292</v>
                </pt>
                <pt idx="17">
                  <v>10108.11718902439</v>
                </pt>
                <pt idx="18">
                  <v>10644.33629012733</v>
                </pt>
                <pt idx="19">
                  <v>10570.9268785868</v>
                </pt>
                <pt idx="20">
                  <v>9984.593545193688</v>
                </pt>
                <pt idx="21">
                  <v>4069.657197453372</v>
                </pt>
                <pt idx="22">
                  <v>1908.78536863343</v>
                </pt>
                <pt idx="23">
                  <v>851.8734960545196</v>
                </pt>
                <pt idx="24">
                  <v>12644.26763145624</v>
                </pt>
                <pt idx="25">
                  <v>15875.88102725969</v>
                </pt>
                <pt idx="26">
                  <v>16857.52196843615</v>
                </pt>
                <pt idx="27">
                  <v>17555.11356725251</v>
                </pt>
                <pt idx="28">
                  <v>19249.02889903156</v>
                </pt>
                <pt idx="29">
                  <v>21017.79853658537</v>
                </pt>
                <pt idx="30">
                  <v>21884.6668445122</v>
                </pt>
                <pt idx="31">
                  <v>21371.33243785868</v>
                </pt>
                <pt idx="32">
                  <v>19834.68842252511</v>
                </pt>
                <pt idx="33">
                  <v>7935.607306536944</v>
                </pt>
                <pt idx="34">
                  <v>3647.336985697634</v>
                </pt>
                <pt idx="35">
                  <v>1594.862228120517</v>
                </pt>
                <pt idx="36">
                  <v>22824.15419117647</v>
                </pt>
                <pt idx="37">
                  <v>27983.32</v>
                </pt>
                <pt idx="38">
                  <v>28903.07623529412</v>
                </pt>
                <pt idx="39">
                  <v>29350.59286764706</v>
                </pt>
                <pt idx="40">
                  <v>31447.93705882353</v>
                </pt>
                <pt idx="41">
                  <v>33614.974</v>
                </pt>
                <pt idx="42">
                  <v>34321.47088235294</v>
                </pt>
                <pt idx="43">
                  <v>32914.42180147058</v>
                </pt>
                <pt idx="44">
                  <v>30037.32817647059</v>
                </pt>
                <pt idx="45">
                  <v>11830.25374632353</v>
                </pt>
                <pt idx="46">
                  <v>5358.185878676471</v>
                </pt>
                <pt idx="47">
                  <v>2310.958352941177</v>
                </pt>
                <pt idx="48">
                  <v>32483.07979411764</v>
                </pt>
                <pt idx="49">
                  <v>39360.30023529413</v>
                </pt>
                <pt idx="50">
                  <v>40196.28047058824</v>
                </pt>
                <pt idx="51">
                  <v>40378.40609558824</v>
                </pt>
                <pt idx="52">
                  <v>42818.65662867646</v>
                </pt>
                <pt idx="53">
                  <v>45319.81916666667</v>
                </pt>
                <pt idx="54">
                  <v>45834.95431985294</v>
                </pt>
                <pt idx="55">
                  <v>43552.72054411764</v>
                </pt>
                <pt idx="56">
                  <v>39394.73835294117</v>
                </pt>
                <pt idx="57">
                  <v>15383.40598039216</v>
                </pt>
                <pt idx="58">
                  <v>6909.896156862746</v>
                </pt>
                <pt idx="59">
                  <v>2956.382029411765</v>
                </pt>
              </numCache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Сентябрь 2026 — август 2031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чел.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Продажи франшиз и открытия —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'00_Дашборд'!I103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'00_Дашборд'!$I$104:$I$163</f>
            </numRef>
          </val>
        </ser>
        <ser>
          <idx val="1"/>
          <order val="1"/>
          <tx>
            <strRef>
              <f>'00_Дашборд'!J103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'00_Дашборд'!$J$104:$J$163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шт.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—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'00_Дашборд'!K103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'00_Дашборд'!$K$104:$K$163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Деньги, остаток займа и выплаты ФК —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'00_Дашборд'!L103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'00_Дашборд'!$L$104:$L$163</f>
            </numRef>
          </val>
        </ser>
        <ser>
          <idx val="1"/>
          <order val="1"/>
          <tx>
            <strRef>
              <f>'00_Дашборд'!M103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'00_Дашборд'!$M$104:$M$163</f>
            </numRef>
          </val>
        </ser>
        <ser>
          <idx val="2"/>
          <order val="2"/>
          <tx>
            <strRef>
              <f>'00_Дашборд'!N103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'00_Дашборд'!$H$104:$H$163</f>
            </numRef>
          </cat>
          <val>
            <numRef>
              <f>'00_Дашборд'!$N$104:$N$163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₽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Финмодель</author>
    <author>OpenAI</author>
    <author>Модель</author>
    <author>Ревизия модели</author>
    <author>Source / assumptions</author>
    <author>Source</author>
  </authors>
  <commentList>
    <comment ref="B7" authorId="0" shapeId="0">
      <text>
        <t>Дата старта модели
Дата старта модели. Отсюда строится весь календарь: имя СтартМодели в формулах — это ссылка на эту ячейку.
Месяц любой, число только первое. Сезон модели — 12 месяцев от старта; сезонность посещаемости, веса плана продаж и согласованный мерч 2026 привязаны к календарю и от месяца старта не зависят.</t>
      </text>
    </comment>
    <comment ref="B8" authorId="0" shapeId="0">
      <text>
        <t>Горизонт прогноза
Горизонт 60 месяцев. Ширина всех листов свёрстана под него, менять нельзя.</t>
      </text>
    </comment>
    <comment ref="B9" authorId="1" shapeId="0">
      <text>
        <t>Фактическая база на 09.09.2026: 51 действующий партнёр, 104 действующие школы. Рост числа школ относительно прежнего реестра связан с уточнением учёта филиалов, а не с новыми открытиями.</t>
      </text>
    </comment>
    <comment ref="B10" authorId="1" shapeId="0">
      <text>
        <t>Фактическая база на 09.09.2026: 51 действующий партнёр. Один партнёр может владеть несколькими школами.</t>
      </text>
    </comment>
    <comment ref="B13" authorId="0" shapeId="0">
      <text>
        <t>Закрытие школ / юрлиц
Закрытие школ и юрлиц, % в год. Месячный коэффициент сохранения B14 считается из него сам.</t>
      </text>
    </comment>
    <comment ref="B14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16" authorId="1" shapeId="0">
      <text>
        <t>Завтра уточнить: одна продажа франшизы = одно новое юрлицо? Пока коэффициент 1,0.</t>
      </text>
    </comment>
    <comment ref="B17" authorId="1" shapeId="0">
      <text>
        <t>Источник: «Анализ движений денежных средств по периодам за 01.01.2026 - 02.07.2026». Остаток на 02.07.2026 = 187 878 ₽.</t>
      </text>
    </comment>
    <comment ref="B18" authorId="2" shapeId="0">
      <text>
        <t>РАСЧЁТ, НЕ ВВОДИТЬ — «Дебиторка».
Менять базу здесь: 01_Вводные!B225.
Множитель активного сценария: F203 (строка сценариев 197–203).
Жёлтая ячейка = ввод. Серая курсивная = формула.</t>
      </text>
    </comment>
    <comment ref="B20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1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2" authorId="0" shapeId="0">
      <text>
        <t>Новых школ на 1 продажу / нового партнёра
Сколько школ открывает новый партнёр. Не путать с B16 — сколько юрлиц даёт одна продажа.</t>
      </text>
    </comment>
    <comment ref="B26" authorId="2" shapeId="0">
      <text>
        <t>РАСЧЁТ, НЕ ВВОДИТЬ — «Таргет на будущую продажу».
Менять базу здесь: 01_Вводные!B224.
Множитель активного сценария: F202 (строка сценариев 197–203).
Жёлтая ячейка = ввод. Серая курсивная = формула.</t>
      </text>
    </comment>
    <comment ref="B36" authorId="2" shapeId="0">
      <text>
        <t>РАСЧЁТ, НЕ ВВОДИТЬ — «План продаж, сезон 1».
Менять базу здесь: 01_Вводные!B210.
Множитель активного сценария: F198 (строка сценариев 197–203).
Жёлтая ячейка = ввод. Серая курсивная = формула.</t>
      </text>
    </comment>
    <comment ref="O36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37" authorId="2" shapeId="0">
      <text>
        <t>РАСЧЁТ, НЕ ВВОДИТЬ — «План продаж, сезон 2».
Менять базу здесь: 01_Вводные!B211.
Множитель активного сценария: F198 (строка сценариев 197–203).
Жёлтая ячейка = ввод. Серая курсивная = формула.</t>
      </text>
    </comment>
    <comment ref="O37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38" authorId="2" shapeId="0">
      <text>
        <t>РАСЧЁТ, НЕ ВВОДИТЬ — «План продаж, сезон 3».
Менять базу здесь: 01_Вводные!B212.
Множитель активного сценария: F198 (строка сценариев 197–203).
Жёлтая ячейка = ввод. Серая курсивная = формула.</t>
      </text>
    </comment>
    <comment ref="O38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39" authorId="2" shapeId="0">
      <text>
        <t>РАСЧЁТ, НЕ ВВОДИТЬ — «План продаж, сезон 4».
Менять базу здесь: 01_Вводные!B213.
Множитель активного сценария: F198 (строка сценариев 197–203).
Жёлтая ячейка = ввод. Серая курсивная = формула.</t>
      </text>
    </comment>
    <comment ref="O39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40" authorId="2" shapeId="0">
      <text>
        <t>РАСЧЁТ, НЕ ВВОДИТЬ — «План продаж, сезон 5».
Менять базу здесь: 01_Вводные!B214.
Множитель активного сценария: F198 (строка сценариев 197–203).
Жёлтая ячейка = ввод. Серая курсивная = формула.</t>
      </text>
    </comment>
    <comment ref="O40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46" authorId="2" shapeId="0">
      <text>
        <t>РАСЧЁТ, НЕ ВВОДИТЬ — «Дети к концу 12-го месяца».
Менять базу здесь: 01_Вводные!B215.
Множитель активного сценария: F199 (строка сценариев 197–203).
Жёлтая ячейка = ввод. Серая курсивная = формула.</t>
      </text>
    </comment>
    <comment ref="B47" authorId="2" shapeId="0">
      <text>
        <t>РАСЧЁТ, НЕ ВВОДИТЬ — «Дети к концу 24-го месяца».
Менять базу здесь: 01_Вводные!B216.
Множитель активного сценария: F199 (строка сценариев 197–203).
Жёлтая ячейка = ввод. Серая курсивная = формула.</t>
      </text>
    </comment>
    <comment ref="B51" authorId="2" shapeId="0">
      <text>
        <t>РАСЧЁТ, НЕ ВВОДИТЬ — «Абонемент действующей сети».
Менять базу здесь: 01_Вводные!B217.
Множитель активного сценария: F200 (строка сценариев 197–203).
Жёлтая ячейка = ввод. Серая курсивная = формула.</t>
      </text>
    </comment>
    <comment ref="B53" authorId="2" shapeId="0">
      <text>
        <t>РАСЧЁТ, НЕ ВВОДИТЬ — «Мин. роялти новой школы, 1-й год».
Менять базу здесь: 01_Вводные!I263:I282.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54" authorId="2" shapeId="0">
      <text>
        <t>РАСЧЁТ, НЕ ВВОДИТЬ — «Мин. роялти новой школы, 2-й год+».
Менять базу здесь: 01_Вводные!J263:J282.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63" authorId="2" shapeId="0">
      <text>
        <t>РАСЧЁТ, НЕ ВВОДИТЬ — «Средний паушальный, сезон 1».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3" authorId="2" shapeId="0">
      <text>
        <t>РАСЧЁТ, НЕ ВВОДИТЬ.
База для правки: 01_Вводные!B218.
Множитель активного сценария: F200.
Менять можно только жёлтые ячейки этого листа.</t>
      </text>
    </comment>
    <comment ref="B64" authorId="2" shapeId="0">
      <text>
        <t>РАСЧЁТ, НЕ ВВОДИТЬ — «Средний паушальный, сезон 2».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4" authorId="2" shapeId="0">
      <text>
        <t>РАСЧЁТ, НЕ ВВОДИТЬ.
База для правки: 01_Вводные!B219.
Множитель активного сценария: F200.
Менять можно только жёлтые ячейки этого листа.</t>
      </text>
    </comment>
    <comment ref="B65" authorId="2" shapeId="0">
      <text>
        <t>РАСЧЁТ, НЕ ВВОДИТЬ — «Средний паушальный, сезон 3».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5" authorId="2" shapeId="0">
      <text>
        <t>РАСЧЁТ, НЕ ВВОДИТЬ.
База для правки: 01_Вводные!B220.
Множитель активного сценария: F200.
Менять можно только жёлтые ячейки этого листа.</t>
      </text>
    </comment>
    <comment ref="B66" authorId="2" shapeId="0">
      <text>
        <t>РАСЧЁТ, НЕ ВВОДИТЬ — «Средний паушальный, сезон 4».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6" authorId="2" shapeId="0">
      <text>
        <t>РАСЧЁТ, НЕ ВВОДИТЬ.
База для правки: 01_Вводные!B221.
Множитель активного сценария: F200.
Менять можно только жёлтые ячейки этого листа.</t>
      </text>
    </comment>
    <comment ref="B67" authorId="2" shapeId="0">
      <text>
        <t>РАСЧЁТ, НЕ ВВОДИТЬ — «Средний паушальный, сезон 5».
Менять базу здесь: 01_Вводные!D263:D282.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C67" authorId="2" shapeId="0">
      <text>
        <t>РАСЧЁТ, НЕ ВВОДИТЬ.
База для правки: 01_Вводные!B222.
Множитель активного сценария: F200.
Менять можно только жёлтые ячейки этого листа.</t>
      </text>
    </comment>
    <comment ref="B73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74" authorId="2" shapeId="0">
      <text>
        <t>РАСЧЁТ, НЕ ВВОДИТЬ — «Коэффициент мерча».
Менять базу здесь: 01_Вводные!B223.
Множитель активного сценария: F201 (строка сценариев 197–203).
Жёлтая ячейка = ввод. Серая курсивная = формула.</t>
      </text>
    </comment>
    <comment ref="B90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95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99" authorId="1" shapeId="0">
      <text>
        <t>Источник: «Экипировка Спартак.xlsx», лист «Прогнозы».</t>
      </text>
    </comment>
    <comment ref="C99" authorId="1" shapeId="0">
      <text>
        <t>Источник: «Экипировка Спартак.xlsx», лист «Прогнозы».</t>
      </text>
    </comment>
    <comment ref="D99" authorId="1" shapeId="0">
      <text>
        <t>Источник: «Экипировка Спартак.xlsx», лист «Прогнозы».</t>
      </text>
    </comment>
    <comment ref="E99" authorId="1" shapeId="0">
      <text>
        <t>Источник: «Экипировка Спартак.xlsx», лист «Прогнозы».</t>
      </text>
    </comment>
    <comment ref="B100" authorId="1" shapeId="0">
      <text>
        <t>Источник: «Экипировка Спартак.xlsx», лист «Прогнозы».</t>
      </text>
    </comment>
    <comment ref="C100" authorId="1" shapeId="0">
      <text>
        <t>Источник: «Экипировка Спартак.xlsx», лист «Прогнозы».</t>
      </text>
    </comment>
    <comment ref="D100" authorId="1" shapeId="0">
      <text>
        <t>Источник: «Экипировка Спартак.xlsx», лист «Прогнозы».</t>
      </text>
    </comment>
    <comment ref="E100" authorId="1" shapeId="0">
      <text>
        <t>Источник: «Экипировка Спартак.xlsx», лист «Прогнозы».</t>
      </text>
    </comment>
    <comment ref="B101" authorId="1" shapeId="0">
      <text>
        <t>Источник: «Экипировка Спартак.xlsx», лист «Прогнозы».</t>
      </text>
    </comment>
    <comment ref="C101" authorId="1" shapeId="0">
      <text>
        <t>Источник: «Экипировка Спартак.xlsx», лист «Прогнозы».</t>
      </text>
    </comment>
    <comment ref="D101" authorId="1" shapeId="0">
      <text>
        <t>Источник: «Экипировка Спартак.xlsx», лист «Прогнозы».</t>
      </text>
    </comment>
    <comment ref="E101" authorId="1" shapeId="0">
      <text>
        <t>Источник: «Экипировка Спартак.xlsx», лист «Прогнозы».</t>
      </text>
    </comment>
    <comment ref="B106" authorId="1" shapeId="0">
      <text>
        <t>Обновлено вместе со стартовым количеством действующих школ: 104.</t>
      </text>
    </comment>
    <comment ref="B129" authorId="1" shapeId="0">
      <text>
        <t>Пока считаем временного продавца как ИП: 80 тыс. + 5% без payroll-налогов. Статус и налоговую механику уточнить.</t>
      </text>
    </comment>
    <comment ref="B151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152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166" authorId="3" shapeId="0">
      <text>
        <t>Выручка смены = участники × соответствующие цены, вместо неработающих ценовых вводных.</t>
      </text>
    </comment>
    <comment ref="B167" authorId="1" shapeId="0">
      <text>
        <t>Источник: «Лагеря Спартак Будущее .xlsx», лист «Сокольники ».</t>
      </text>
    </comment>
    <comment ref="B168" authorId="2" shapeId="0">
      <text>
        <t>ФОРМУЛА ПО УМОЛЧАНИЮ.
По умолчанию = ставка из блока ревизии (B240). Можно вписать свою.</t>
      </text>
    </comment>
    <comment ref="B169" authorId="1" shapeId="0">
      <text>
        <t>Источник: «Лагеря Спартак Будущее .xlsx», лист «Сокольники ».</t>
      </text>
    </comment>
    <comment ref="B170" authorId="1" shapeId="0">
      <text>
        <t>Источник: «Лагеря Спартак Будущее .xlsx», лист «Сокольники ».</t>
      </text>
    </comment>
    <comment ref="L181" authorId="1" shapeId="0">
      <text>
        <t>Источник: Отчет о финансовых результатах, июль 2026 (файл пользователя / предоставленный скриншот).</t>
      </text>
    </comment>
    <comment ref="N181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2" authorId="1" shapeId="0">
      <text>
        <t>Источник: Отчет о финансовых результатах, июль 2026 (файл пользователя / предоставленный скриншот).</t>
      </text>
    </comment>
    <comment ref="N182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3" authorId="1" shapeId="0">
      <text>
        <t>Источник: Отчет о финансовых результатах, июль 2026 (файл пользователя / предоставленный скриншот).</t>
      </text>
    </comment>
    <comment ref="N183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4" authorId="1" shapeId="0">
      <text>
        <t>Источник: Отчет о финансовых результатах, июль 2026 (файл пользователя / предоставленный скриншот).</t>
      </text>
    </comment>
    <comment ref="N184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5" authorId="1" shapeId="0">
      <text>
        <t>Источник: Отчет о финансовых результатах, июль 2026 (файл пользователя / предоставленный скриншот).</t>
      </text>
    </comment>
    <comment ref="N185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L186" authorId="1" shapeId="0">
      <text>
        <t>Источник: Отчет о финансовых результатах, июль 2026 (файл пользователя / предоставленный скриншот).</t>
      </text>
    </comment>
    <comment ref="N186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F187" authorId="1" shapeId="0">
      <text>
        <t>Источник: «Анализ движений денежных средств по периодам за 01.01.2026 - 02.07.2026».</t>
      </text>
    </comment>
    <comment ref="L187" authorId="1" shapeId="0">
      <text>
        <t>Источник: Анализ движений денежных средств за 01.01.2026–02.07.2026; июльский чистый денежный поток = 6 862 ₽.</t>
      </text>
    </comment>
    <comment ref="N187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192" authorId="2" shapeId="0">
      <text>
        <t>Три сценария сохранены по требованию ТЗ, добавлена чувствительность.
По умолчанию выбран «Базовый» — это неизменённая база V8.</t>
      </text>
    </comment>
    <comment ref="B194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C198" authorId="4" shapeId="0">
      <text>
        <t>Предварительный стресс-тест, не утвержденный прогноз. Analyst-defined starting stress; edit after approval.</t>
      </text>
    </comment>
    <comment ref="E198" authorId="4" shapeId="0">
      <text>
        <t>Предварительный стресс-тест, не утвержденный прогноз. Analyst-defined starting stress; edit after approval.</t>
      </text>
    </comment>
    <comment ref="F198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198" authorId="2" shapeId="0">
      <text>
        <t>Шаг однофакторной чувствительности от неизменённой базы.
По умолчанию ±10%, значение можно менять.</t>
      </text>
    </comment>
    <comment ref="C199" authorId="4" shapeId="0">
      <text>
        <t>Предварительный стресс-тест, не утвержденный прогноз. Analyst-defined starting stress; edit after approval.</t>
      </text>
    </comment>
    <comment ref="E199" authorId="4" shapeId="0">
      <text>
        <t>Предварительный стресс-тест, не утвержденный прогноз. Analyst-defined starting stress; edit after approval.</t>
      </text>
    </comment>
    <comment ref="F199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199" authorId="2" shapeId="0">
      <text>
        <t>Шаг однофакторной чувствительности от неизменённой базы.
По умолчанию ±10%, значение можно менять.</t>
      </text>
    </comment>
    <comment ref="C200" authorId="4" shapeId="0">
      <text>
        <t>Предварительный стресс-тест, не утвержденный прогноз. Analyst-defined starting stress; edit after approval.</t>
      </text>
    </comment>
    <comment ref="E200" authorId="4" shapeId="0">
      <text>
        <t>Предварительный стресс-тест, не утвержденный прогноз. Analyst-defined starting stress; edit after approval.</t>
      </text>
    </comment>
    <comment ref="F200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200" authorId="2" shapeId="0">
      <text>
        <t>Шаг однофакторной чувствительности от неизменённой базы.
По умолчанию ±10%, значение можно менять.</t>
      </text>
    </comment>
    <comment ref="C201" authorId="4" shapeId="0">
      <text>
        <t>Предварительный стресс-тест, не утвержденный прогноз. Analyst-defined starting stress; edit after approval.</t>
      </text>
    </comment>
    <comment ref="E201" authorId="4" shapeId="0">
      <text>
        <t>Предварительный стресс-тест, не утвержденный прогноз. Analyst-defined starting stress; edit after approval.</t>
      </text>
    </comment>
    <comment ref="F201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201" authorId="2" shapeId="0">
      <text>
        <t>Шаг однофакторной чувствительности от неизменённой базы.
По умолчанию ±10%, значение можно менять.</t>
      </text>
    </comment>
    <comment ref="C202" authorId="4" shapeId="0">
      <text>
        <t>Предварительный стресс-тест, не утвержденный прогноз. Analyst-defined starting stress; edit after approval.</t>
      </text>
    </comment>
    <comment ref="E202" authorId="4" shapeId="0">
      <text>
        <t>Предварительный стресс-тест, не утвержденный прогноз. Analyst-defined starting stress; edit after approval.</t>
      </text>
    </comment>
    <comment ref="F202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202" authorId="2" shapeId="0">
      <text>
        <t>Шаг однофакторной чувствительности от неизменённой базы.
По умолчанию ±10%, значение можно менять.</t>
      </text>
    </comment>
    <comment ref="C203" authorId="4" shapeId="0">
      <text>
        <t>Предварительный стресс-тест, не утвержденный прогноз. Analyst-defined starting stress; edit after approval.</t>
      </text>
    </comment>
    <comment ref="E203" authorId="4" shapeId="0">
      <text>
        <t>Предварительный стресс-тест, не утвержденный прогноз. Analyst-defined starting stress; edit after approval.</t>
      </text>
    </comment>
    <comment ref="F203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G203" authorId="2" shapeId="0">
      <text>
        <t>Шаг однофакторной чувствительности от неизменённой базы.
По умолчанию ±10%, значение можно менять.</t>
      </text>
    </comment>
    <comment ref="B210" authorId="4" shapeId="0">
      <text>
        <t>Финмодель_Спартак_V8_чистая_единые_вводные_09.09.2026.xlsx | 01_Вводные!B36; original base input, unchanged.</t>
      </text>
    </comment>
    <comment ref="B211" authorId="4" shapeId="0">
      <text>
        <t>Финмодель_Спартак_V8_чистая_единые_вводные_09.09.2026.xlsx | 01_Вводные!B37; original base input, unchanged.</t>
      </text>
    </comment>
    <comment ref="B212" authorId="4" shapeId="0">
      <text>
        <t>Финмодель_Спартак_V8_чистая_единые_вводные_09.09.2026.xlsx | 01_Вводные!B38; original base input, unchanged.</t>
      </text>
    </comment>
    <comment ref="B213" authorId="4" shapeId="0">
      <text>
        <t>Финмодель_Спартак_V8_чистая_единые_вводные_09.09.2026.xlsx | 01_Вводные!B39; original base input, unchanged.</t>
      </text>
    </comment>
    <comment ref="B214" authorId="4" shapeId="0">
      <text>
        <t>Финмодель_Спартак_V8_чистая_единые_вводные_09.09.2026.xlsx | 01_Вводные!B40; original base input, unchanged.</t>
      </text>
    </comment>
    <comment ref="B215" authorId="2" shapeId="0">
      <text>
        <t>РАСЧЁТ, НЕ ВВОДИТЬ — «Мощность новой школы, 12-й месяц».
Менять базу здесь: 01_Вводные!E263:E282.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16" authorId="2" shapeId="0">
      <text>
        <t>РАСЧЁТ, НЕ ВВОДИТЬ — «Мощность новой школы, 24-й месяц».
Менять базу здесь: 01_Вводные!F263:F282.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17" authorId="4" shapeId="0">
      <text>
        <t>Финмодель_Спартак_V8_чистая_единые_вводные_09.09.2026.xlsx | 01_Вводные!B51; original base input, unchanged.</t>
      </text>
    </comment>
    <comment ref="B218" authorId="2" shapeId="0">
      <text>
        <t>РАСЧЁТ, НЕ ВВОДИТЬ — «Абонемент новых школ, сезон 1».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19" authorId="2" shapeId="0">
      <text>
        <t>РАСЧЁТ, НЕ ВВОДИТЬ — «Абонемент новых школ, сезон 2».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0" authorId="2" shapeId="0">
      <text>
        <t>РАСЧЁТ, НЕ ВВОДИТЬ — «Абонемент новых школ, сезон 3».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1" authorId="2" shapeId="0">
      <text>
        <t>РАСЧЁТ, НЕ ВВОДИТЬ — «Абонемент новых школ, сезон 4».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2" authorId="2" shapeId="0">
      <text>
        <t>РАСЧЁТ, НЕ ВВОДИТЬ — «Абонемент новых школ, сезон 5».
Менять базу здесь: 01_Вводные!H263:H282.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23" authorId="4" shapeId="0">
      <text>
        <t>Финмодель_Спартак_V8_чистая_единые_вводные_09.09.2026.xlsx | 01_Вводные!B74; original base input, unchanged.</t>
      </text>
    </comment>
    <comment ref="B224" authorId="4" shapeId="0">
      <text>
        <t>Финмодель_Спартак_V8_чистая_единые_вводные_09.09.2026.xlsx | 01_Вводные!B26; original base input, unchanged.</t>
      </text>
    </comment>
    <comment ref="B225" authorId="4" shapeId="0">
      <text>
        <t>Финмодель_Спартак_V8_чистая_единые_вводные_09.09.2026.xlsx | 01_Вводные!B18; original base input, unchanged.</t>
      </text>
    </comment>
    <comment ref="B227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28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33" authorId="3" shapeId="0">
      <text>
        <t>Источник: ТЗ пользователя и ревизия 09.09.2026. Один драйвер за раз; все шесть сохранены в списке.</t>
      </text>
    </comment>
    <comment ref="B234" authorId="3" shapeId="0">
      <text>
        <t>Источник: ТЗ пользователя и ревизия 09.09.2026. При Нет два дополнительных расчёта не выполняются.</t>
      </text>
    </comment>
    <comment ref="B235" authorId="3" shapeId="0">
      <text>
        <t>Источник: ТЗ пользователя и ревизия 09.09.2026. Отдельное событие; до подтверждения подключение в месяц открытия.</t>
      </text>
    </comment>
    <comment ref="B236" authorId="2" shapeId="0">
      <text>
        <t>РАСЧЁТ, НЕ ВВОДИТЬ — «Дети зрелой школы».
Менять базу здесь: 01_Вводные!G263:G282.
Значение — взвешенное среднее по тарифным группам (блок 13, строки 263–282): вес × показатель.
Жёлтая ячейка = ввод. Серая курсивная = формула.</t>
      </text>
    </comment>
    <comment ref="B237" authorId="3" shapeId="0">
      <text>
        <t>Источник: ТЗ пользователя и ревизия 09.09.2026. Рабочее значение 0; можно задать резерв ликвидности.</t>
      </text>
    </comment>
    <comment ref="B238" authorId="3" shapeId="0">
      <text>
        <t>Источник: ТЗ пользователя и ревизия 09.09.2026. По п.27 ТЗ: возврат только при остатке товара не ниже цели будущих месяцев.</t>
      </text>
    </comment>
    <comment ref="B239" authorId="3" shapeId="0">
      <text>
        <t>Источник: ТЗ пользователя и ревизия 09.09.2026. Да — отдельно по 20 форматам/территориям; Нет — прежнее усреднение для сверки.</t>
      </text>
    </comment>
    <comment ref="B240" authorId="3" shapeId="0">
      <text>
        <t>Источник: ТЗ пользователя и ревизия 09.09.2026. Сохранён резерв 10% от оборота из Сокольники!C36. Это не подтверждение ставки/методики НДС.</t>
      </text>
    </comment>
    <comment ref="B241" authorId="3" shapeId="0">
      <text>
        <t>Источник: ТЗ пользователя и ревизия 09.09.2026. Отключение лагеря обнуляет продажи, начисления и оплаты.</t>
      </text>
    </comment>
    <comment ref="B242" authorId="3" shapeId="0">
      <text>
        <t>Источник: ТЗ пользователя и ревизия 09.09.2026. Только октябрь 2026 оплачивается за 1 месяц.</t>
      </text>
    </comment>
    <comment ref="B243" authorId="3" shapeId="0">
      <text>
        <t>Источник: ТЗ пользователя и ревизия 09.09.2026. Для октября 2026; далее обычный лаг B27.</t>
      </text>
    </comment>
    <comment ref="B244" authorId="3" shapeId="0">
      <text>
        <t>Источник: ТЗ пользователя и ревизия 09.09.2026. 6,5% по договорам до этой даты.</t>
      </text>
    </comment>
    <comment ref="B245" authorId="3" shapeId="0">
      <text>
        <t>Источник: ТЗ пользователя и ревизия 09.09.2026. С этой даты применяется B57 ко всем.</t>
      </text>
    </comment>
    <comment ref="B246" authorId="3" shapeId="0">
      <text>
        <t>Источник: ТЗ пользователя и ревизия 09.09.2026. За IV квартал 2027; далее март/июнь/сентябрь/декабрь.</t>
      </text>
    </comment>
    <comment ref="B247" authorId="3" shapeId="0">
      <text>
        <t>Источник: ТЗ пользователя и ревизия 09.09.2026. 70 тыс. net по B133.</t>
      </text>
    </comment>
    <comment ref="B248" authorId="3" shapeId="0">
      <text>
        <t>Источник: ТЗ пользователя и ревизия 09.09.2026. 100 тыс. net по B134.</t>
      </text>
    </comment>
    <comment ref="B249" authorId="3" shapeId="0">
      <text>
        <t>Источник: ТЗ пользователя и ревизия 09.09.2026. Повышение участвует в премии при Да у ГД.</t>
      </text>
    </comment>
    <comment ref="B250" authorId="3" shapeId="0">
      <text>
        <t>Источник: ТЗ пользователя и ревизия 09.09.2026. С B123 на B124.</t>
      </text>
    </comment>
    <comment ref="B251" authorId="3" shapeId="0">
      <text>
        <t>Источник: ТЗ пользователя и ревизия 09.09.2026. Далее каждый сентябрь.</t>
      </text>
    </comment>
    <comment ref="B252" authorId="3" shapeId="0">
      <text>
        <t>Источник: ТЗ пользователя и ревизия 09.09.2026. Июнь по ТЗ.</t>
      </text>
    </comment>
    <comment ref="B253" authorId="3" shapeId="0">
      <text>
        <t>Источник: ТЗ пользователя и ревизия 09.09.2026. Февраль; равномерно до B254.</t>
      </text>
    </comment>
    <comment ref="B254" authorId="3" shapeId="0">
      <text>
        <t>Источник: ТЗ пользователя и ревизия 09.09.2026. Май включительно.</t>
      </text>
    </comment>
    <comment ref="B255" authorId="3" shapeId="0">
      <text>
        <t>Источник: ТЗ пользователя и ревизия 09.09.2026. Разовая комиссия B121.</t>
      </text>
    </comment>
    <comment ref="B256" authorId="3" shapeId="0">
      <text>
        <t>Источник: ТЗ пользователя и ревизия 09.09.2026. Раз в год; сумма B122.</t>
      </text>
    </comment>
    <comment ref="B257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58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A263" authorId="3" shapeId="0">
      <text>
        <t>V5.1: Типы_продукта!A14:M14; Микс_продаж!B5; B14</t>
      </text>
    </comment>
    <comment ref="B263" authorId="3" shapeId="0">
      <text>
        <t>V5.1: Типы_продукта!A14:M14; Микс_продаж!B5; B14</t>
      </text>
    </comment>
    <comment ref="C263" authorId="3" shapeId="0">
      <text>
        <t>V5.1: Типы_продукта!A14:M14; Микс_продаж!B5; B14</t>
      </text>
    </comment>
    <comment ref="D263" authorId="3" shapeId="0">
      <text>
        <t>V5.1: Типы_продукта!A14:M14; Микс_продаж!B5; B14</t>
      </text>
    </comment>
    <comment ref="E263" authorId="3" shapeId="0">
      <text>
        <t>V5.1: Типы_продукта!A14:M14; Микс_продаж!B5; B14</t>
      </text>
    </comment>
    <comment ref="F263" authorId="3" shapeId="0">
      <text>
        <t>V5.1: Типы_продукта!A14:M14; Микс_продаж!B5; B14</t>
      </text>
    </comment>
    <comment ref="G263" authorId="3" shapeId="0">
      <text>
        <t>V5.1: Типы_продукта!A14:M14; Микс_продаж!B5; B14</t>
      </text>
    </comment>
    <comment ref="H263" authorId="3" shapeId="0">
      <text>
        <t>V5.1: Типы_продукта!A14:M14; Микс_продаж!B5; B14</t>
      </text>
    </comment>
    <comment ref="I263" authorId="3" shapeId="0">
      <text>
        <t>V5.1: Типы_продукта!A14:M14; Микс_продаж!B5; B14</t>
      </text>
    </comment>
    <comment ref="J263" authorId="3" shapeId="0">
      <text>
        <t>V5.1: Типы_продукта!A14:M14; Микс_продаж!B5; B14</t>
      </text>
    </comment>
    <comment ref="K263" authorId="3" shapeId="0">
      <text>
        <t>V5.1: Типы_продукта!A14:M14; Микс_продаж!B5; B14</t>
      </text>
    </comment>
    <comment ref="A264" authorId="3" shapeId="0">
      <text>
        <t>V5.1: Типы_продукта!A15:M15; Микс_продаж!B5; C14</t>
      </text>
    </comment>
    <comment ref="B264" authorId="3" shapeId="0">
      <text>
        <t>V5.1: Типы_продукта!A15:M15; Микс_продаж!B5; C14</t>
      </text>
    </comment>
    <comment ref="C264" authorId="3" shapeId="0">
      <text>
        <t>V5.1: Типы_продукта!A15:M15; Микс_продаж!B5; C14</t>
      </text>
    </comment>
    <comment ref="D264" authorId="3" shapeId="0">
      <text>
        <t>V5.1: Типы_продукта!A15:M15; Микс_продаж!B5; C14</t>
      </text>
    </comment>
    <comment ref="E264" authorId="3" shapeId="0">
      <text>
        <t>V5.1: Типы_продукта!A15:M15; Микс_продаж!B5; C14</t>
      </text>
    </comment>
    <comment ref="F264" authorId="3" shapeId="0">
      <text>
        <t>V5.1: Типы_продукта!A15:M15; Микс_продаж!B5; C14</t>
      </text>
    </comment>
    <comment ref="G264" authorId="3" shapeId="0">
      <text>
        <t>V5.1: Типы_продукта!A15:M15; Микс_продаж!B5; C14</t>
      </text>
    </comment>
    <comment ref="H264" authorId="3" shapeId="0">
      <text>
        <t>V5.1: Типы_продукта!A15:M15; Микс_продаж!B5; C14</t>
      </text>
    </comment>
    <comment ref="I264" authorId="3" shapeId="0">
      <text>
        <t>V5.1: Типы_продукта!A15:M15; Микс_продаж!B5; C14</t>
      </text>
    </comment>
    <comment ref="J264" authorId="3" shapeId="0">
      <text>
        <t>V5.1: Типы_продукта!A15:M15; Микс_продаж!B5; C14</t>
      </text>
    </comment>
    <comment ref="K264" authorId="3" shapeId="0">
      <text>
        <t>V5.1: Типы_продукта!A15:M15; Микс_продаж!B5; C14</t>
      </text>
    </comment>
    <comment ref="A265" authorId="3" shapeId="0">
      <text>
        <t>V5.1: Типы_продукта!A16:M16; Микс_продаж!B5; D14</t>
      </text>
    </comment>
    <comment ref="B265" authorId="3" shapeId="0">
      <text>
        <t>V5.1: Типы_продукта!A16:M16; Микс_продаж!B5; D14</t>
      </text>
    </comment>
    <comment ref="C265" authorId="3" shapeId="0">
      <text>
        <t>V5.1: Типы_продукта!A16:M16; Микс_продаж!B5; D14</t>
      </text>
    </comment>
    <comment ref="D265" authorId="3" shapeId="0">
      <text>
        <t>V5.1: Типы_продукта!A16:M16; Микс_продаж!B5; D14</t>
      </text>
    </comment>
    <comment ref="E265" authorId="3" shapeId="0">
      <text>
        <t>V5.1: Типы_продукта!A16:M16; Микс_продаж!B5; D14</t>
      </text>
    </comment>
    <comment ref="F265" authorId="3" shapeId="0">
      <text>
        <t>V5.1: Типы_продукта!A16:M16; Микс_продаж!B5; D14</t>
      </text>
    </comment>
    <comment ref="G265" authorId="3" shapeId="0">
      <text>
        <t>V5.1: Типы_продукта!A16:M16; Микс_продаж!B5; D14</t>
      </text>
    </comment>
    <comment ref="H265" authorId="3" shapeId="0">
      <text>
        <t>V5.1: Типы_продукта!A16:M16; Микс_продаж!B5; D14</t>
      </text>
    </comment>
    <comment ref="I265" authorId="3" shapeId="0">
      <text>
        <t>V5.1: Типы_продукта!A16:M16; Микс_продаж!B5; D14</t>
      </text>
    </comment>
    <comment ref="J265" authorId="3" shapeId="0">
      <text>
        <t>V5.1: Типы_продукта!A16:M16; Микс_продаж!B5; D14</t>
      </text>
    </comment>
    <comment ref="K265" authorId="3" shapeId="0">
      <text>
        <t>V5.1: Типы_продукта!A16:M16; Микс_продаж!B5; D14</t>
      </text>
    </comment>
    <comment ref="A266" authorId="3" shapeId="0">
      <text>
        <t>V5.1: Типы_продукта!A17:M17; Микс_продаж!B5; E14</t>
      </text>
    </comment>
    <comment ref="B266" authorId="3" shapeId="0">
      <text>
        <t>V5.1: Типы_продукта!A17:M17; Микс_продаж!B5; E14</t>
      </text>
    </comment>
    <comment ref="C266" authorId="3" shapeId="0">
      <text>
        <t>V5.1: Типы_продукта!A17:M17; Микс_продаж!B5; E14</t>
      </text>
    </comment>
    <comment ref="D266" authorId="3" shapeId="0">
      <text>
        <t>V5.1: Типы_продукта!A17:M17; Микс_продаж!B5; E14</t>
      </text>
    </comment>
    <comment ref="E266" authorId="3" shapeId="0">
      <text>
        <t>V5.1: Типы_продукта!A17:M17; Микс_продаж!B5; E14</t>
      </text>
    </comment>
    <comment ref="F266" authorId="3" shapeId="0">
      <text>
        <t>V5.1: Типы_продукта!A17:M17; Микс_продаж!B5; E14</t>
      </text>
    </comment>
    <comment ref="G266" authorId="3" shapeId="0">
      <text>
        <t>V5.1: Типы_продукта!A17:M17; Микс_продаж!B5; E14</t>
      </text>
    </comment>
    <comment ref="H266" authorId="3" shapeId="0">
      <text>
        <t>V5.1: Типы_продукта!A17:M17; Микс_продаж!B5; E14</t>
      </text>
    </comment>
    <comment ref="I266" authorId="3" shapeId="0">
      <text>
        <t>V5.1: Типы_продукта!A17:M17; Микс_продаж!B5; E14</t>
      </text>
    </comment>
    <comment ref="J266" authorId="3" shapeId="0">
      <text>
        <t>V5.1: Типы_продукта!A17:M17; Микс_продаж!B5; E14</t>
      </text>
    </comment>
    <comment ref="K266" authorId="3" shapeId="0">
      <text>
        <t>V5.1: Типы_продукта!A17:M17; Микс_продаж!B5; E14</t>
      </text>
    </comment>
    <comment ref="A267" authorId="3" shapeId="0">
      <text>
        <t>V5.1: Типы_продукта!A18:M18; Микс_продаж!B6; B15</t>
      </text>
    </comment>
    <comment ref="B267" authorId="3" shapeId="0">
      <text>
        <t>V5.1: Типы_продукта!A18:M18; Микс_продаж!B6; B15</t>
      </text>
    </comment>
    <comment ref="C267" authorId="3" shapeId="0">
      <text>
        <t>V5.1: Типы_продукта!A18:M18; Микс_продаж!B6; B15</t>
      </text>
    </comment>
    <comment ref="D267" authorId="3" shapeId="0">
      <text>
        <t>V5.1: Типы_продукта!A18:M18; Микс_продаж!B6; B15</t>
      </text>
    </comment>
    <comment ref="E267" authorId="3" shapeId="0">
      <text>
        <t>V5.1: Типы_продукта!A18:M18; Микс_продаж!B6; B15</t>
      </text>
    </comment>
    <comment ref="F267" authorId="3" shapeId="0">
      <text>
        <t>V5.1: Типы_продукта!A18:M18; Микс_продаж!B6; B15</t>
      </text>
    </comment>
    <comment ref="G267" authorId="3" shapeId="0">
      <text>
        <t>V5.1: Типы_продукта!A18:M18; Микс_продаж!B6; B15</t>
      </text>
    </comment>
    <comment ref="H267" authorId="3" shapeId="0">
      <text>
        <t>V5.1: Типы_продукта!A18:M18; Микс_продаж!B6; B15</t>
      </text>
    </comment>
    <comment ref="I267" authorId="3" shapeId="0">
      <text>
        <t>V5.1: Типы_продукта!A18:M18; Микс_продаж!B6; B15</t>
      </text>
    </comment>
    <comment ref="J267" authorId="3" shapeId="0">
      <text>
        <t>V5.1: Типы_продукта!A18:M18; Микс_продаж!B6; B15</t>
      </text>
    </comment>
    <comment ref="K267" authorId="3" shapeId="0">
      <text>
        <t>V5.1: Типы_продукта!A18:M18; Микс_продаж!B6; B15</t>
      </text>
    </comment>
    <comment ref="A268" authorId="3" shapeId="0">
      <text>
        <t>V5.1: Типы_продукта!A19:M19; Микс_продаж!B6; C15</t>
      </text>
    </comment>
    <comment ref="B268" authorId="3" shapeId="0">
      <text>
        <t>V5.1: Типы_продукта!A19:M19; Микс_продаж!B6; C15</t>
      </text>
    </comment>
    <comment ref="C268" authorId="3" shapeId="0">
      <text>
        <t>V5.1: Типы_продукта!A19:M19; Микс_продаж!B6; C15</t>
      </text>
    </comment>
    <comment ref="D268" authorId="3" shapeId="0">
      <text>
        <t>V5.1: Типы_продукта!A19:M19; Микс_продаж!B6; C15</t>
      </text>
    </comment>
    <comment ref="E268" authorId="3" shapeId="0">
      <text>
        <t>V5.1: Типы_продукта!A19:M19; Микс_продаж!B6; C15</t>
      </text>
    </comment>
    <comment ref="F268" authorId="3" shapeId="0">
      <text>
        <t>V5.1: Типы_продукта!A19:M19; Микс_продаж!B6; C15</t>
      </text>
    </comment>
    <comment ref="G268" authorId="3" shapeId="0">
      <text>
        <t>V5.1: Типы_продукта!A19:M19; Микс_продаж!B6; C15</t>
      </text>
    </comment>
    <comment ref="H268" authorId="3" shapeId="0">
      <text>
        <t>V5.1: Типы_продукта!A19:M19; Микс_продаж!B6; C15</t>
      </text>
    </comment>
    <comment ref="I268" authorId="3" shapeId="0">
      <text>
        <t>V5.1: Типы_продукта!A19:M19; Микс_продаж!B6; C15</t>
      </text>
    </comment>
    <comment ref="J268" authorId="3" shapeId="0">
      <text>
        <t>V5.1: Типы_продукта!A19:M19; Микс_продаж!B6; C15</t>
      </text>
    </comment>
    <comment ref="K268" authorId="3" shapeId="0">
      <text>
        <t>V5.1: Типы_продукта!A19:M19; Микс_продаж!B6; C15</t>
      </text>
    </comment>
    <comment ref="A269" authorId="3" shapeId="0">
      <text>
        <t>V5.1: Типы_продукта!A20:M20; Микс_продаж!B6; D15</t>
      </text>
    </comment>
    <comment ref="B269" authorId="3" shapeId="0">
      <text>
        <t>V5.1: Типы_продукта!A20:M20; Микс_продаж!B6; D15</t>
      </text>
    </comment>
    <comment ref="C269" authorId="3" shapeId="0">
      <text>
        <t>V5.1: Типы_продукта!A20:M20; Микс_продаж!B6; D15</t>
      </text>
    </comment>
    <comment ref="D269" authorId="3" shapeId="0">
      <text>
        <t>V5.1: Типы_продукта!A20:M20; Микс_продаж!B6; D15</t>
      </text>
    </comment>
    <comment ref="E269" authorId="3" shapeId="0">
      <text>
        <t>V5.1: Типы_продукта!A20:M20; Микс_продаж!B6; D15</t>
      </text>
    </comment>
    <comment ref="F269" authorId="3" shapeId="0">
      <text>
        <t>V5.1: Типы_продукта!A20:M20; Микс_продаж!B6; D15</t>
      </text>
    </comment>
    <comment ref="G269" authorId="3" shapeId="0">
      <text>
        <t>V5.1: Типы_продукта!A20:M20; Микс_продаж!B6; D15</t>
      </text>
    </comment>
    <comment ref="H269" authorId="3" shapeId="0">
      <text>
        <t>V5.1: Типы_продукта!A20:M20; Микс_продаж!B6; D15</t>
      </text>
    </comment>
    <comment ref="I269" authorId="3" shapeId="0">
      <text>
        <t>V5.1: Типы_продукта!A20:M20; Микс_продаж!B6; D15</t>
      </text>
    </comment>
    <comment ref="J269" authorId="3" shapeId="0">
      <text>
        <t>V5.1: Типы_продукта!A20:M20; Микс_продаж!B6; D15</t>
      </text>
    </comment>
    <comment ref="K269" authorId="3" shapeId="0">
      <text>
        <t>V5.1: Типы_продукта!A20:M20; Микс_продаж!B6; D15</t>
      </text>
    </comment>
    <comment ref="A270" authorId="3" shapeId="0">
      <text>
        <t>V5.1: Типы_продукта!A21:M21; Микс_продаж!B6; E15</t>
      </text>
    </comment>
    <comment ref="B270" authorId="3" shapeId="0">
      <text>
        <t>V5.1: Типы_продукта!A21:M21; Микс_продаж!B6; E15</t>
      </text>
    </comment>
    <comment ref="C270" authorId="3" shapeId="0">
      <text>
        <t>V5.1: Типы_продукта!A21:M21; Микс_продаж!B6; E15</t>
      </text>
    </comment>
    <comment ref="D270" authorId="3" shapeId="0">
      <text>
        <t>V5.1: Типы_продукта!A21:M21; Микс_продаж!B6; E15</t>
      </text>
    </comment>
    <comment ref="E270" authorId="3" shapeId="0">
      <text>
        <t>V5.1: Типы_продукта!A21:M21; Микс_продаж!B6; E15</t>
      </text>
    </comment>
    <comment ref="F270" authorId="3" shapeId="0">
      <text>
        <t>V5.1: Типы_продукта!A21:M21; Микс_продаж!B6; E15</t>
      </text>
    </comment>
    <comment ref="G270" authorId="3" shapeId="0">
      <text>
        <t>V5.1: Типы_продукта!A21:M21; Микс_продаж!B6; E15</t>
      </text>
    </comment>
    <comment ref="H270" authorId="3" shapeId="0">
      <text>
        <t>V5.1: Типы_продукта!A21:M21; Микс_продаж!B6; E15</t>
      </text>
    </comment>
    <comment ref="I270" authorId="3" shapeId="0">
      <text>
        <t>V5.1: Типы_продукта!A21:M21; Микс_продаж!B6; E15</t>
      </text>
    </comment>
    <comment ref="J270" authorId="3" shapeId="0">
      <text>
        <t>V5.1: Типы_продукта!A21:M21; Микс_продаж!B6; E15</t>
      </text>
    </comment>
    <comment ref="K270" authorId="3" shapeId="0">
      <text>
        <t>V5.1: Типы_продукта!A21:M21; Микс_продаж!B6; E15</t>
      </text>
    </comment>
    <comment ref="A271" authorId="3" shapeId="0">
      <text>
        <t>V5.1: Типы_продукта!A22:M22; Микс_продаж!B7; B16</t>
      </text>
    </comment>
    <comment ref="B271" authorId="3" shapeId="0">
      <text>
        <t>V5.1: Типы_продукта!A22:M22; Микс_продаж!B7; B16</t>
      </text>
    </comment>
    <comment ref="C271" authorId="3" shapeId="0">
      <text>
        <t>V5.1: Типы_продукта!A22:M22; Микс_продаж!B7; B16</t>
      </text>
    </comment>
    <comment ref="D271" authorId="3" shapeId="0">
      <text>
        <t>V5.1: Типы_продукта!A22:M22; Микс_продаж!B7; B16</t>
      </text>
    </comment>
    <comment ref="E271" authorId="3" shapeId="0">
      <text>
        <t>V5.1: Типы_продукта!A22:M22; Микс_продаж!B7; B16</t>
      </text>
    </comment>
    <comment ref="F271" authorId="3" shapeId="0">
      <text>
        <t>V5.1: Типы_продукта!A22:M22; Микс_продаж!B7; B16</t>
      </text>
    </comment>
    <comment ref="G271" authorId="3" shapeId="0">
      <text>
        <t>V5.1: Типы_продукта!A22:M22; Микс_продаж!B7; B16</t>
      </text>
    </comment>
    <comment ref="H271" authorId="3" shapeId="0">
      <text>
        <t>V5.1: Типы_продукта!A22:M22; Микс_продаж!B7; B16</t>
      </text>
    </comment>
    <comment ref="I271" authorId="3" shapeId="0">
      <text>
        <t>V5.1: Типы_продукта!A22:M22; Микс_продаж!B7; B16</t>
      </text>
    </comment>
    <comment ref="J271" authorId="3" shapeId="0">
      <text>
        <t>V5.1: Типы_продукта!A22:M22; Микс_продаж!B7; B16</t>
      </text>
    </comment>
    <comment ref="K271" authorId="3" shapeId="0">
      <text>
        <t>V5.1: Типы_продукта!A22:M22; Микс_продаж!B7; B16</t>
      </text>
    </comment>
    <comment ref="A272" authorId="3" shapeId="0">
      <text>
        <t>V5.1: Типы_продукта!A23:M23; Микс_продаж!B7; C16</t>
      </text>
    </comment>
    <comment ref="B272" authorId="3" shapeId="0">
      <text>
        <t>V5.1: Типы_продукта!A23:M23; Микс_продаж!B7; C16</t>
      </text>
    </comment>
    <comment ref="C272" authorId="3" shapeId="0">
      <text>
        <t>V5.1: Типы_продукта!A23:M23; Микс_продаж!B7; C16</t>
      </text>
    </comment>
    <comment ref="D272" authorId="3" shapeId="0">
      <text>
        <t>V5.1: Типы_продукта!A23:M23; Микс_продаж!B7; C16</t>
      </text>
    </comment>
    <comment ref="E272" authorId="3" shapeId="0">
      <text>
        <t>V5.1: Типы_продукта!A23:M23; Микс_продаж!B7; C16</t>
      </text>
    </comment>
    <comment ref="F272" authorId="3" shapeId="0">
      <text>
        <t>V5.1: Типы_продукта!A23:M23; Микс_продаж!B7; C16</t>
      </text>
    </comment>
    <comment ref="G272" authorId="3" shapeId="0">
      <text>
        <t>V5.1: Типы_продукта!A23:M23; Микс_продаж!B7; C16</t>
      </text>
    </comment>
    <comment ref="H272" authorId="3" shapeId="0">
      <text>
        <t>V5.1: Типы_продукта!A23:M23; Микс_продаж!B7; C16</t>
      </text>
    </comment>
    <comment ref="I272" authorId="3" shapeId="0">
      <text>
        <t>V5.1: Типы_продукта!A23:M23; Микс_продаж!B7; C16</t>
      </text>
    </comment>
    <comment ref="J272" authorId="3" shapeId="0">
      <text>
        <t>V5.1: Типы_продукта!A23:M23; Микс_продаж!B7; C16</t>
      </text>
    </comment>
    <comment ref="K272" authorId="3" shapeId="0">
      <text>
        <t>V5.1: Типы_продукта!A23:M23; Микс_продаж!B7; C16</t>
      </text>
    </comment>
    <comment ref="A273" authorId="3" shapeId="0">
      <text>
        <t>V5.1: Типы_продукта!A24:M24; Микс_продаж!B7; D16</t>
      </text>
    </comment>
    <comment ref="B273" authorId="3" shapeId="0">
      <text>
        <t>V5.1: Типы_продукта!A24:M24; Микс_продаж!B7; D16</t>
      </text>
    </comment>
    <comment ref="C273" authorId="3" shapeId="0">
      <text>
        <t>V5.1: Типы_продукта!A24:M24; Микс_продаж!B7; D16</t>
      </text>
    </comment>
    <comment ref="D273" authorId="3" shapeId="0">
      <text>
        <t>V5.1: Типы_продукта!A24:M24; Микс_продаж!B7; D16</t>
      </text>
    </comment>
    <comment ref="E273" authorId="3" shapeId="0">
      <text>
        <t>V5.1: Типы_продукта!A24:M24; Микс_продаж!B7; D16</t>
      </text>
    </comment>
    <comment ref="F273" authorId="3" shapeId="0">
      <text>
        <t>V5.1: Типы_продукта!A24:M24; Микс_продаж!B7; D16</t>
      </text>
    </comment>
    <comment ref="G273" authorId="3" shapeId="0">
      <text>
        <t>V5.1: Типы_продукта!A24:M24; Микс_продаж!B7; D16</t>
      </text>
    </comment>
    <comment ref="H273" authorId="3" shapeId="0">
      <text>
        <t>V5.1: Типы_продукта!A24:M24; Микс_продаж!B7; D16</t>
      </text>
    </comment>
    <comment ref="I273" authorId="3" shapeId="0">
      <text>
        <t>V5.1: Типы_продукта!A24:M24; Микс_продаж!B7; D16</t>
      </text>
    </comment>
    <comment ref="J273" authorId="3" shapeId="0">
      <text>
        <t>V5.1: Типы_продукта!A24:M24; Микс_продаж!B7; D16</t>
      </text>
    </comment>
    <comment ref="K273" authorId="3" shapeId="0">
      <text>
        <t>V5.1: Типы_продукта!A24:M24; Микс_продаж!B7; D16</t>
      </text>
    </comment>
    <comment ref="A274" authorId="3" shapeId="0">
      <text>
        <t>V5.1: Типы_продукта!A25:M25; Микс_продаж!B7; E16</t>
      </text>
    </comment>
    <comment ref="B274" authorId="3" shapeId="0">
      <text>
        <t>V5.1: Типы_продукта!A25:M25; Микс_продаж!B7; E16</t>
      </text>
    </comment>
    <comment ref="C274" authorId="3" shapeId="0">
      <text>
        <t>V5.1: Типы_продукта!A25:M25; Микс_продаж!B7; E16</t>
      </text>
    </comment>
    <comment ref="D274" authorId="3" shapeId="0">
      <text>
        <t>V5.1: Типы_продукта!A25:M25; Микс_продаж!B7; E16</t>
      </text>
    </comment>
    <comment ref="E274" authorId="3" shapeId="0">
      <text>
        <t>V5.1: Типы_продукта!A25:M25; Микс_продаж!B7; E16</t>
      </text>
    </comment>
    <comment ref="F274" authorId="3" shapeId="0">
      <text>
        <t>V5.1: Типы_продукта!A25:M25; Микс_продаж!B7; E16</t>
      </text>
    </comment>
    <comment ref="G274" authorId="3" shapeId="0">
      <text>
        <t>V5.1: Типы_продукта!A25:M25; Микс_продаж!B7; E16</t>
      </text>
    </comment>
    <comment ref="H274" authorId="3" shapeId="0">
      <text>
        <t>V5.1: Типы_продукта!A25:M25; Микс_продаж!B7; E16</t>
      </text>
    </comment>
    <comment ref="I274" authorId="3" shapeId="0">
      <text>
        <t>V5.1: Типы_продукта!A25:M25; Микс_продаж!B7; E16</t>
      </text>
    </comment>
    <comment ref="J274" authorId="3" shapeId="0">
      <text>
        <t>V5.1: Типы_продукта!A25:M25; Микс_продаж!B7; E16</t>
      </text>
    </comment>
    <comment ref="K274" authorId="3" shapeId="0">
      <text>
        <t>V5.1: Типы_продукта!A25:M25; Микс_продаж!B7; E16</t>
      </text>
    </comment>
    <comment ref="A275" authorId="3" shapeId="0">
      <text>
        <t>V5.1: Типы_продукта!A26:M26; Микс_продаж!B8; B17</t>
      </text>
    </comment>
    <comment ref="B275" authorId="3" shapeId="0">
      <text>
        <t>V5.1: Типы_продукта!A26:M26; Микс_продаж!B8; B17</t>
      </text>
    </comment>
    <comment ref="C275" authorId="3" shapeId="0">
      <text>
        <t>V5.1: Типы_продукта!A26:M26; Микс_продаж!B8; B17</t>
      </text>
    </comment>
    <comment ref="D275" authorId="3" shapeId="0">
      <text>
        <t>V5.1: Типы_продукта!A26:M26; Микс_продаж!B8; B17</t>
      </text>
    </comment>
    <comment ref="E275" authorId="3" shapeId="0">
      <text>
        <t>V5.1: Типы_продукта!A26:M26; Микс_продаж!B8; B17</t>
      </text>
    </comment>
    <comment ref="F275" authorId="3" shapeId="0">
      <text>
        <t>V5.1: Типы_продукта!A26:M26; Микс_продаж!B8; B17</t>
      </text>
    </comment>
    <comment ref="G275" authorId="3" shapeId="0">
      <text>
        <t>V5.1: Типы_продукта!A26:M26; Микс_продаж!B8; B17</t>
      </text>
    </comment>
    <comment ref="H275" authorId="3" shapeId="0">
      <text>
        <t>V5.1: Типы_продукта!A26:M26; Микс_продаж!B8; B17</t>
      </text>
    </comment>
    <comment ref="I275" authorId="3" shapeId="0">
      <text>
        <t>V5.1: Типы_продукта!A26:M26; Микс_продаж!B8; B17</t>
      </text>
    </comment>
    <comment ref="J275" authorId="3" shapeId="0">
      <text>
        <t>V5.1: Типы_продукта!A26:M26; Микс_продаж!B8; B17</t>
      </text>
    </comment>
    <comment ref="K275" authorId="3" shapeId="0">
      <text>
        <t>V5.1: Типы_продукта!A26:M26; Микс_продаж!B8; B17</t>
      </text>
    </comment>
    <comment ref="A276" authorId="3" shapeId="0">
      <text>
        <t>V5.1: Типы_продукта!A27:M27; Микс_продаж!B8; C17</t>
      </text>
    </comment>
    <comment ref="B276" authorId="3" shapeId="0">
      <text>
        <t>V5.1: Типы_продукта!A27:M27; Микс_продаж!B8; C17</t>
      </text>
    </comment>
    <comment ref="C276" authorId="3" shapeId="0">
      <text>
        <t>V5.1: Типы_продукта!A27:M27; Микс_продаж!B8; C17</t>
      </text>
    </comment>
    <comment ref="D276" authorId="3" shapeId="0">
      <text>
        <t>V5.1: Типы_продукта!A27:M27; Микс_продаж!B8; C17</t>
      </text>
    </comment>
    <comment ref="E276" authorId="3" shapeId="0">
      <text>
        <t>V5.1: Типы_продукта!A27:M27; Микс_продаж!B8; C17</t>
      </text>
    </comment>
    <comment ref="F276" authorId="3" shapeId="0">
      <text>
        <t>V5.1: Типы_продукта!A27:M27; Микс_продаж!B8; C17</t>
      </text>
    </comment>
    <comment ref="G276" authorId="3" shapeId="0">
      <text>
        <t>V5.1: Типы_продукта!A27:M27; Микс_продаж!B8; C17</t>
      </text>
    </comment>
    <comment ref="H276" authorId="3" shapeId="0">
      <text>
        <t>V5.1: Типы_продукта!A27:M27; Микс_продаж!B8; C17</t>
      </text>
    </comment>
    <comment ref="I276" authorId="3" shapeId="0">
      <text>
        <t>V5.1: Типы_продукта!A27:M27; Микс_продаж!B8; C17</t>
      </text>
    </comment>
    <comment ref="J276" authorId="3" shapeId="0">
      <text>
        <t>V5.1: Типы_продукта!A27:M27; Микс_продаж!B8; C17</t>
      </text>
    </comment>
    <comment ref="K276" authorId="3" shapeId="0">
      <text>
        <t>V5.1: Типы_продукта!A27:M27; Микс_продаж!B8; C17</t>
      </text>
    </comment>
    <comment ref="A277" authorId="3" shapeId="0">
      <text>
        <t>V5.1: Типы_продукта!A28:M28; Микс_продаж!B8; D17</t>
      </text>
    </comment>
    <comment ref="B277" authorId="3" shapeId="0">
      <text>
        <t>V5.1: Типы_продукта!A28:M28; Микс_продаж!B8; D17</t>
      </text>
    </comment>
    <comment ref="C277" authorId="3" shapeId="0">
      <text>
        <t>V5.1: Типы_продукта!A28:M28; Микс_продаж!B8; D17</t>
      </text>
    </comment>
    <comment ref="D277" authorId="3" shapeId="0">
      <text>
        <t>V5.1: Типы_продукта!A28:M28; Микс_продаж!B8; D17</t>
      </text>
    </comment>
    <comment ref="E277" authorId="3" shapeId="0">
      <text>
        <t>V5.1: Типы_продукта!A28:M28; Микс_продаж!B8; D17</t>
      </text>
    </comment>
    <comment ref="F277" authorId="3" shapeId="0">
      <text>
        <t>V5.1: Типы_продукта!A28:M28; Микс_продаж!B8; D17</t>
      </text>
    </comment>
    <comment ref="G277" authorId="3" shapeId="0">
      <text>
        <t>V5.1: Типы_продукта!A28:M28; Микс_продаж!B8; D17</t>
      </text>
    </comment>
    <comment ref="H277" authorId="3" shapeId="0">
      <text>
        <t>V5.1: Типы_продукта!A28:M28; Микс_продаж!B8; D17</t>
      </text>
    </comment>
    <comment ref="I277" authorId="3" shapeId="0">
      <text>
        <t>V5.1: Типы_продукта!A28:M28; Микс_продаж!B8; D17</t>
      </text>
    </comment>
    <comment ref="J277" authorId="3" shapeId="0">
      <text>
        <t>V5.1: Типы_продукта!A28:M28; Микс_продаж!B8; D17</t>
      </text>
    </comment>
    <comment ref="K277" authorId="3" shapeId="0">
      <text>
        <t>V5.1: Типы_продукта!A28:M28; Микс_продаж!B8; D17</t>
      </text>
    </comment>
    <comment ref="A278" authorId="3" shapeId="0">
      <text>
        <t>V5.1: Типы_продукта!A29:M29; Микс_продаж!B8; E17</t>
      </text>
    </comment>
    <comment ref="B278" authorId="3" shapeId="0">
      <text>
        <t>V5.1: Типы_продукта!A29:M29; Микс_продаж!B8; E17</t>
      </text>
    </comment>
    <comment ref="C278" authorId="3" shapeId="0">
      <text>
        <t>V5.1: Типы_продукта!A29:M29; Микс_продаж!B8; E17</t>
      </text>
    </comment>
    <comment ref="D278" authorId="3" shapeId="0">
      <text>
        <t>V5.1: Типы_продукта!A29:M29; Микс_продаж!B8; E17</t>
      </text>
    </comment>
    <comment ref="E278" authorId="3" shapeId="0">
      <text>
        <t>V5.1: Типы_продукта!A29:M29; Микс_продаж!B8; E17</t>
      </text>
    </comment>
    <comment ref="F278" authorId="3" shapeId="0">
      <text>
        <t>V5.1: Типы_продукта!A29:M29; Микс_продаж!B8; E17</t>
      </text>
    </comment>
    <comment ref="G278" authorId="3" shapeId="0">
      <text>
        <t>V5.1: Типы_продукта!A29:M29; Микс_продаж!B8; E17</t>
      </text>
    </comment>
    <comment ref="H278" authorId="3" shapeId="0">
      <text>
        <t>V5.1: Типы_продукта!A29:M29; Микс_продаж!B8; E17</t>
      </text>
    </comment>
    <comment ref="I278" authorId="3" shapeId="0">
      <text>
        <t>V5.1: Типы_продукта!A29:M29; Микс_продаж!B8; E17</t>
      </text>
    </comment>
    <comment ref="J278" authorId="3" shapeId="0">
      <text>
        <t>V5.1: Типы_продукта!A29:M29; Микс_продаж!B8; E17</t>
      </text>
    </comment>
    <comment ref="K278" authorId="3" shapeId="0">
      <text>
        <t>V5.1: Типы_продукта!A29:M29; Микс_продаж!B8; E17</t>
      </text>
    </comment>
    <comment ref="A279" authorId="3" shapeId="0">
      <text>
        <t>V5.1: Типы_продукта!A30:M30; Микс_продаж!B9; B18</t>
      </text>
    </comment>
    <comment ref="B279" authorId="3" shapeId="0">
      <text>
        <t>V5.1: Типы_продукта!A30:M30; Микс_продаж!B9; B18</t>
      </text>
    </comment>
    <comment ref="C279" authorId="3" shapeId="0">
      <text>
        <t>V5.1: Типы_продукта!A30:M30; Микс_продаж!B9; B18</t>
      </text>
    </comment>
    <comment ref="D279" authorId="3" shapeId="0">
      <text>
        <t>V5.1: Типы_продукта!A30:M30; Микс_продаж!B9; B18</t>
      </text>
    </comment>
    <comment ref="E279" authorId="3" shapeId="0">
      <text>
        <t>V5.1: Типы_продукта!A30:M30; Микс_продаж!B9; B18</t>
      </text>
    </comment>
    <comment ref="F279" authorId="3" shapeId="0">
      <text>
        <t>V5.1: Типы_продукта!A30:M30; Микс_продаж!B9; B18</t>
      </text>
    </comment>
    <comment ref="G279" authorId="3" shapeId="0">
      <text>
        <t>V5.1: Типы_продукта!A30:M30; Микс_продаж!B9; B18</t>
      </text>
    </comment>
    <comment ref="H279" authorId="3" shapeId="0">
      <text>
        <t>V5.1: Типы_продукта!A30:M30; Микс_продаж!B9; B18</t>
      </text>
    </comment>
    <comment ref="I279" authorId="3" shapeId="0">
      <text>
        <t>V5.1: Типы_продукта!A30:M30; Микс_продаж!B9; B18</t>
      </text>
    </comment>
    <comment ref="J279" authorId="3" shapeId="0">
      <text>
        <t>V5.1: Типы_продукта!A30:M30; Микс_продаж!B9; B18</t>
      </text>
    </comment>
    <comment ref="K279" authorId="3" shapeId="0">
      <text>
        <t>V5.1: Типы_продукта!A30:M30; Микс_продаж!B9; B18</t>
      </text>
    </comment>
    <comment ref="A280" authorId="3" shapeId="0">
      <text>
        <t>V5.1: Типы_продукта!A31:M31; Микс_продаж!B9; C18</t>
      </text>
    </comment>
    <comment ref="B280" authorId="3" shapeId="0">
      <text>
        <t>V5.1: Типы_продукта!A31:M31; Микс_продаж!B9; C18</t>
      </text>
    </comment>
    <comment ref="C280" authorId="3" shapeId="0">
      <text>
        <t>V5.1: Типы_продукта!A31:M31; Микс_продаж!B9; C18</t>
      </text>
    </comment>
    <comment ref="D280" authorId="3" shapeId="0">
      <text>
        <t>V5.1: Типы_продукта!A31:M31; Микс_продаж!B9; C18</t>
      </text>
    </comment>
    <comment ref="E280" authorId="3" shapeId="0">
      <text>
        <t>V5.1: Типы_продукта!A31:M31; Микс_продаж!B9; C18</t>
      </text>
    </comment>
    <comment ref="F280" authorId="3" shapeId="0">
      <text>
        <t>V5.1: Типы_продукта!A31:M31; Микс_продаж!B9; C18</t>
      </text>
    </comment>
    <comment ref="G280" authorId="3" shapeId="0">
      <text>
        <t>V5.1: Типы_продукта!A31:M31; Микс_продаж!B9; C18</t>
      </text>
    </comment>
    <comment ref="H280" authorId="3" shapeId="0">
      <text>
        <t>V5.1: Типы_продукта!A31:M31; Микс_продаж!B9; C18</t>
      </text>
    </comment>
    <comment ref="I280" authorId="3" shapeId="0">
      <text>
        <t>V5.1: Типы_продукта!A31:M31; Микс_продаж!B9; C18</t>
      </text>
    </comment>
    <comment ref="J280" authorId="3" shapeId="0">
      <text>
        <t>V5.1: Типы_продукта!A31:M31; Микс_продаж!B9; C18</t>
      </text>
    </comment>
    <comment ref="K280" authorId="3" shapeId="0">
      <text>
        <t>V5.1: Типы_продукта!A31:M31; Микс_продаж!B9; C18</t>
      </text>
    </comment>
    <comment ref="A281" authorId="3" shapeId="0">
      <text>
        <t>V5.1: Типы_продукта!A32:M32; Микс_продаж!B9; D18</t>
      </text>
    </comment>
    <comment ref="B281" authorId="3" shapeId="0">
      <text>
        <t>V5.1: Типы_продукта!A32:M32; Микс_продаж!B9; D18</t>
      </text>
    </comment>
    <comment ref="C281" authorId="3" shapeId="0">
      <text>
        <t>V5.1: Типы_продукта!A32:M32; Микс_продаж!B9; D18</t>
      </text>
    </comment>
    <comment ref="D281" authorId="3" shapeId="0">
      <text>
        <t>V5.1: Типы_продукта!A32:M32; Микс_продаж!B9; D18</t>
      </text>
    </comment>
    <comment ref="E281" authorId="3" shapeId="0">
      <text>
        <t>V5.1: Типы_продукта!A32:M32; Микс_продаж!B9; D18</t>
      </text>
    </comment>
    <comment ref="F281" authorId="3" shapeId="0">
      <text>
        <t>V5.1: Типы_продукта!A32:M32; Микс_продаж!B9; D18</t>
      </text>
    </comment>
    <comment ref="G281" authorId="3" shapeId="0">
      <text>
        <t>V5.1: Типы_продукта!A32:M32; Микс_продаж!B9; D18</t>
      </text>
    </comment>
    <comment ref="H281" authorId="3" shapeId="0">
      <text>
        <t>V5.1: Типы_продукта!A32:M32; Микс_продаж!B9; D18</t>
      </text>
    </comment>
    <comment ref="I281" authorId="3" shapeId="0">
      <text>
        <t>V5.1: Типы_продукта!A32:M32; Микс_продаж!B9; D18</t>
      </text>
    </comment>
    <comment ref="J281" authorId="3" shapeId="0">
      <text>
        <t>V5.1: Типы_продукта!A32:M32; Микс_продаж!B9; D18</t>
      </text>
    </comment>
    <comment ref="K281" authorId="3" shapeId="0">
      <text>
        <t>V5.1: Типы_продукта!A32:M32; Микс_продаж!B9; D18</t>
      </text>
    </comment>
    <comment ref="A282" authorId="3" shapeId="0">
      <text>
        <t>V5.1: Типы_продукта!A33:M33; Микс_продаж!B9; E18</t>
      </text>
    </comment>
    <comment ref="B282" authorId="3" shapeId="0">
      <text>
        <t>V5.1: Типы_продукта!A33:M33; Микс_продаж!B9; E18</t>
      </text>
    </comment>
    <comment ref="C282" authorId="3" shapeId="0">
      <text>
        <t>V5.1: Типы_продукта!A33:M33; Микс_продаж!B9; E18</t>
      </text>
    </comment>
    <comment ref="D282" authorId="3" shapeId="0">
      <text>
        <t>V5.1: Типы_продукта!A33:M33; Микс_продаж!B9; E18</t>
      </text>
    </comment>
    <comment ref="E282" authorId="3" shapeId="0">
      <text>
        <t>V5.1: Типы_продукта!A33:M33; Микс_продаж!B9; E18</t>
      </text>
    </comment>
    <comment ref="F282" authorId="3" shapeId="0">
      <text>
        <t>V5.1: Типы_продукта!A33:M33; Микс_продаж!B9; E18</t>
      </text>
    </comment>
    <comment ref="G282" authorId="3" shapeId="0">
      <text>
        <t>V5.1: Типы_продукта!A33:M33; Микс_продаж!B9; E18</t>
      </text>
    </comment>
    <comment ref="H282" authorId="3" shapeId="0">
      <text>
        <t>V5.1: Типы_продукта!A33:M33; Микс_продаж!B9; E18</t>
      </text>
    </comment>
    <comment ref="I282" authorId="3" shapeId="0">
      <text>
        <t>V5.1: Типы_продукта!A33:M33; Микс_продаж!B9; E18</t>
      </text>
    </comment>
    <comment ref="J282" authorId="3" shapeId="0">
      <text>
        <t>V5.1: Типы_продукта!A33:M33; Микс_продаж!B9; E18</t>
      </text>
    </comment>
    <comment ref="K282" authorId="3" shapeId="0">
      <text>
        <t>V5.1: Типы_продукта!A33:M33; Микс_продаж!B9; E18</t>
      </text>
    </comment>
    <comment ref="C283" authorId="2" shapeId="0">
      <text>
        <t>РАСЧЁТ, НЕ ВВОДИТЬ.
Эта ячейка считается формулой. Если вписать сюда число, связь со сценариями и тарифным миксом пропадёт.</t>
      </text>
    </comment>
    <comment ref="B286" authorId="5" shapeId="0">
      <text>
        <t>Финмодель франшизы Спартак — чистовая версия v4.0(1).xlsx; Допущения!B42; 1% выручки с НДС — сохранено правило v4; база не заменена молча на чистую выручку.</t>
      </text>
    </comment>
    <comment ref="B287" authorId="5" shapeId="0">
      <text>
        <t>Финмодель франшизы Спартак — чистовая версия v4.0(1).xlsx; Допущения!B41; В приложенной v4 указано именно 1 000 ₽. Восстановлено без изменения суммы.</t>
      </text>
    </comment>
    <comment ref="B288" authorId="5" shapeId="0">
      <text>
        <t>Финмодель франшизы Спартак — чистовая версия v4.0(1).xlsx; Допущения!B41:B42; По умолчанию С НДС, как в v4. Начисленная выручка всех направлений, не авансы.</t>
      </text>
    </comment>
    <comment ref="B289" authorId="2" shapeId="0">
      <text>
        <t>ФОРМУЛА ПО УМОЛЧАНИЮ.
По умолчанию = дата старта модели (B7). Можно вписать свою дату.</t>
      </text>
    </comment>
    <comment ref="B290" authorId="5" shapeId="0">
      <text>
        <t>Финмодель франшизы Спартак — чистовая версия v4.0(1).xlsx; Допущения!B41:B42; Да — CAPEX вычитается до возврата займа. Нет — контрольное воспроизведение V8.2.</t>
      </text>
    </comment>
    <comment ref="B293" authorId="2" shapeId="0">
      <text>
        <t>Источник: подтверждение пользователя 09.09.2026; допущения v4 и формула постепенного набора.
Ежегодно в июне, как в v4; зарплаты отдельно в сентябре.</t>
      </text>
    </comment>
    <comment ref="B294" authorId="2" shapeId="0">
      <text>
        <t>Источник: подтверждение пользователя 09.09.2026; допущения v4 и формула постепенного набора.
Абонемент, паушальный, форма, ERP, IT, юристы, реклама, SMM-подрядчики, резерв ротации. Офис, мин. роялти, лагеря не меняются.</t>
      </text>
    </comment>
    <comment ref="B295" authorId="2" shapeId="0">
      <text>
        <t>Источник: подтверждение пользователя 09.09.2026; допущения v4 и формула постепенного набора.
Месяцы 1-12: 1/12...12/12 плана 1-го года; 13-24: плавный переход к плану 2-го. Нет - только для сверки с V8.3.</t>
      </text>
    </comment>
    <comment ref="B296" authorId="2" shapeId="0">
      <text>
        <t>Источник: подтверждение пользователя 09.09.2026; допущения v4 и формула постепенного набора.
С следующего сентября, но не раньше завершения трех первичных поставок. Без ожидания 12 месяцев.</t>
      </text>
    </comment>
    <comment ref="B297" authorId="2" shapeId="0">
      <text>
        <t>Источник: подтверждение пользователя 09.09.2026; допущения v4 и формула постепенного набора.
В V8.3 было 0; в v4 - 2. Не изменено без отдельного подтверждения.</t>
      </text>
    </comment>
    <comment ref="B298" authorId="2" shapeId="0">
      <text>
        <t>Источник: подтверждение пользователя 09.09.2026; допущения v4 и формула постепенного набора.
В V8.3 - 100%; база v4 - 95%. Закрытия отдельно в B13 (пока 0%).</t>
      </text>
    </comment>
    <comment ref="B301" authorId="2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2" authorId="2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3" authorId="2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4" authorId="2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5" authorId="2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6" authorId="2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  <comment ref="B307" authorId="2" shapeId="0">
      <text>
        <t>Источник: v4, таблица допущений по инфляции; 7% в год.
2032 год продлевает технический запас прогноза с тем же плановым допущением.</t>
      </text>
    </comment>
  </commentList>
</comments>
</file>

<file path=xl/comments/comment2.xml><?xml version="1.0" encoding="utf-8"?>
<comments xmlns="http://schemas.openxmlformats.org/spreadsheetml/2006/main">
  <authors>
    <author>Model review</author>
  </authors>
  <commentList>
    <comment ref="B57" authorId="0" shapeId="0">
      <text>
        <t>v4: выручка с НДС × 1% + разовый CAPEX. Оплата в текущем месяце, до возврата займа; в EBITDA не включается.</t>
      </text>
    </comment>
  </commentList>
</comments>
</file>

<file path=xl/comments/comment3.xml><?xml version="1.0" encoding="utf-8"?>
<comments xmlns="http://schemas.openxmlformats.org/spreadsheetml/2006/main">
  <authors>
    <author>Модель</author>
    <author>Model review</author>
  </authors>
  <commentList>
    <comment ref="D5" authorId="0" shapeId="0">
      <text>
        <t>Исправлен только контроль: раньше SUM брал строку 23 (расходы на маркетинг), теперь строку 15 (количество франшиз).
Финансовый и операционный прогноз не изменился.</t>
      </text>
    </comment>
    <comment ref="D6" authorId="0" shapeId="0">
      <text>
        <t>Исправлен только контроль: раньше SUM брал строку 23 (расходы на маркетинг), теперь строку 15 (количество франшиз).
Финансовый и операционный прогноз не изменился.</t>
      </text>
    </comment>
    <comment ref="D7" authorId="0" shapeId="0">
      <text>
        <t>Исправлен только контроль: раньше SUM брал строку 23 (расходы на маркетинг), теперь строку 15 (количество франшиз).
Финансовый и операционный прогноз не изменился.</t>
      </text>
    </comment>
    <comment ref="D8" authorId="0" shapeId="0">
      <text>
        <t>Исправлен только контроль: раньше SUM брал строку 23 (расходы на маркетинг), теперь строку 15 (количество франшиз).
Финансовый и операционный прогноз не изменился.</t>
      </text>
    </comment>
    <comment ref="D9" authorId="0" shapeId="0">
      <text>
        <t>Исправлен только контроль: раньше SUM брал строку 23 (расходы на маркетинг), теперь строку 15 (количество франшиз).
Финансовый и операционный прогноз не изменился.</t>
      </text>
    </comment>
    <comment ref="B17" authorId="1" shapeId="0">
      <text>
        <t>Убран численный шум: 72,00000000000001 не должно превращаться в 73 лида. Финансовые продажи не изменены.</t>
      </text>
    </comment>
  </commentList>
</comments>
</file>

<file path=xl/comments/comment4.xml><?xml version="1.0" encoding="utf-8"?>
<comments xmlns="http://schemas.openxmlformats.org/spreadsheetml/2006/main">
  <authors>
    <author>Модель</author>
  </authors>
  <commentList>
    <comment ref="B20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C20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D20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E20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B21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C21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D21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E21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B22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C22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D22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E22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B23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C23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D23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  <comment ref="E23" authorId="0" shapeId="0">
      <text>
        <t>Источник: контролируемый пересчёт V8.3 — на каждом шаге одно подтверждённое изменение.
Снимок от 09.09.2026; автоматически не обновляется после ручной правки вводных.</t>
      </text>
    </comment>
  </commentList>
</comments>
</file>

<file path=xl/comments/comment5.xml><?xml version="1.0" encoding="utf-8"?>
<comments xmlns="http://schemas.openxmlformats.org/spreadsheetml/2006/main">
  <authors>
    <author>Источник</author>
    <author>Сверка</author>
  </authors>
  <commentList>
    <comment ref="B7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7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7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8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8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8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9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9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9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0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0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0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1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1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1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2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2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2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3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3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3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4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4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4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5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5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5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6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6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6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17" authorId="0" shapeId="0">
      <text>
        <t>Снимок независимого пересчёта. Источник: Финмодель_Спартак_V7_упрощенная_09.09.2026.xlsx; 07_Модель / 03_Сеть_и_дети. Не является вводной модели.</t>
      </text>
    </comment>
    <comment ref="C17" authorId="0" shapeId="0">
      <text>
        <t>Снимок независимого пересчёта. Источник: Финмодель_Спартак_V8_чистая_единые_вводные_09.09.2026.xlsx; 07_Модель / 03_Сеть_и_дети. Не является вводной модели.</t>
      </text>
    </comment>
    <comment ref="D17" authorId="0" shapeId="0">
      <text>
        <t>Снимок независимого пересчёта. Источник: Spartak_V8_1_scenarios_sensitivity.xlsx; 07_Модель / 03_Сеть_и_дети. Не является вводной модели.</t>
      </text>
    </comment>
    <comment ref="B23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3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3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4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4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4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5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5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5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6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6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6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7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7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7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B28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C28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  <comment ref="D28" authorId="1" shapeId="0">
      <text>
        <t>Независимый пересчёт после последовательного применения указанной правки, с исходными вводными. Все суммы в млн ₽.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61</row>
      <rowOff>0</rowOff>
    </from>
    <ext cx="93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81</row>
      <rowOff>0</rowOff>
    </from>
    <ext cx="93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61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81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101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D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12" customWidth="1" min="3" max="3"/>
    <col width="74" customWidth="1" min="4" max="4"/>
    <col width="4" customWidth="1" min="5" max="5"/>
  </cols>
  <sheetData>
    <row r="1">
      <c r="A1" s="226" t="inlineStr">
        <is>
          <t>СПАРТАК · финансовая модель — с чего начать</t>
        </is>
      </c>
    </row>
    <row r="2">
      <c r="A2" s="227" t="inlineStr">
        <is>
          <t>Три действия: посмотреть результат → поменять вводные → проверить сходимость. Считать вручную ничего не нужно.</t>
        </is>
      </c>
    </row>
    <row r="4">
      <c r="A4" s="228" t="inlineStr">
        <is>
          <t>ШАГ 1 · Что уже посчитано</t>
        </is>
      </c>
      <c r="D4" s="229" t="inlineStr">
        <is>
          <t>все суммы в млн ₽, если не указано иное</t>
        </is>
      </c>
    </row>
    <row r="5">
      <c r="A5" s="230" t="inlineStr">
        <is>
          <t>Показатель</t>
        </is>
      </c>
      <c r="B5" s="230" t="inlineStr">
        <is>
          <t>Значение</t>
        </is>
      </c>
      <c r="C5" s="230" t="inlineStr">
        <is>
          <t>Ед.</t>
        </is>
      </c>
      <c r="D5" s="230" t="inlineStr">
        <is>
          <t>Что это значит</t>
        </is>
      </c>
    </row>
    <row r="6">
      <c r="A6" s="231" t="inlineStr">
        <is>
          <t>Активный сценарий</t>
        </is>
      </c>
      <c r="B6" s="232">
        <f>'01_Вводные'!$B$192</f>
        <v/>
      </c>
      <c r="C6" s="233" t="inlineStr"/>
      <c r="D6" s="234" t="inlineStr">
        <is>
          <t>Меняется на 01_Вводные!B192. Пересчитывает всю книгу.</t>
        </is>
      </c>
    </row>
    <row r="7">
      <c r="A7" s="231" t="inlineStr">
        <is>
          <t>Старт горизонта</t>
        </is>
      </c>
      <c r="B7" s="235">
        <f>'01_Вводные'!$B$7</f>
        <v/>
      </c>
      <c r="C7" s="233" t="inlineStr"/>
      <c r="D7" s="234" t="inlineStr">
        <is>
          <t>Дальше 60 месяцев. Сезон = сентябрь–август.</t>
        </is>
      </c>
    </row>
    <row r="8">
      <c r="A8" s="231" t="inlineStr">
        <is>
          <t>Выручка без НДС, 5 сезонов</t>
        </is>
      </c>
      <c r="B8" s="236">
        <f>'00_Дашборд'!$H$24/1000000</f>
        <v/>
      </c>
      <c r="C8" s="233" t="inlineStr">
        <is>
          <t>млн ₽</t>
        </is>
      </c>
      <c r="D8" s="234" t="inlineStr">
        <is>
          <t>Паушальные + роялти + мерч + лагеря.</t>
        </is>
      </c>
    </row>
    <row r="9">
      <c r="A9" s="231" t="inlineStr">
        <is>
          <t>EBITDA, 5 сезонов</t>
        </is>
      </c>
      <c r="B9" s="236">
        <f>'00_Дашборд'!$H$29/1000000</f>
        <v/>
      </c>
      <c r="C9" s="233" t="inlineStr">
        <is>
          <t>млн ₽</t>
        </is>
      </c>
      <c r="D9" s="234" t="inlineStr">
        <is>
          <t>До налога УСН, до CAPEX и до возврата займа.</t>
        </is>
      </c>
    </row>
    <row r="10">
      <c r="A10" s="231" t="inlineStr">
        <is>
          <t>Рентабельность EBITDA</t>
        </is>
      </c>
      <c r="B10" s="237">
        <f>'00_Дашборд'!$H$30</f>
        <v/>
      </c>
      <c r="C10" s="233" t="inlineStr">
        <is>
          <t>%</t>
        </is>
      </c>
      <c r="D10" s="234" t="inlineStr">
        <is>
          <t>EBITDA / выручка без НДС за весь горизонт.</t>
        </is>
      </c>
    </row>
    <row r="11">
      <c r="A11" s="231" t="inlineStr">
        <is>
          <t>Деньги на конец горизонта</t>
        </is>
      </c>
      <c r="B11" s="236">
        <f>'00_Дашборд'!$H$32/1000000</f>
        <v/>
      </c>
      <c r="C11" s="233" t="inlineStr">
        <is>
          <t>млн ₽</t>
        </is>
      </c>
      <c r="D11" s="234" t="inlineStr">
        <is>
          <t>Остаток на счёте в последнем месяце.</t>
        </is>
      </c>
    </row>
    <row r="12">
      <c r="A12" s="231" t="inlineStr">
        <is>
          <t>Пиковый кассовый дефицит</t>
        </is>
      </c>
      <c r="B12" s="236">
        <f>'00_Дашборд'!$H$38/1000000</f>
        <v/>
      </c>
      <c r="C12" s="233" t="inlineStr">
        <is>
          <t>млн ₽</t>
        </is>
      </c>
      <c r="D12" s="234" t="inlineStr">
        <is>
          <t>Максимальный минус на счёте. Кредит на его покрытие в модель НЕ заложен.</t>
        </is>
      </c>
    </row>
    <row r="13">
      <c r="A13" s="231" t="inlineStr">
        <is>
          <t>Нехватка товара (по COGS)</t>
        </is>
      </c>
      <c r="B13" s="236">
        <f>'13_Проверки'!$B$41/1000000</f>
        <v/>
      </c>
      <c r="C13" s="233" t="inlineStr">
        <is>
          <t>млн ₽</t>
        </is>
      </c>
      <c r="D13" s="234" t="inlineStr">
        <is>
          <t>Если &gt; 0 — план продаж не обеспечен запасом формы.</t>
        </is>
      </c>
    </row>
    <row r="14">
      <c r="A14" s="231" t="inlineStr">
        <is>
          <t>Операционные выплаты ФК</t>
        </is>
      </c>
      <c r="B14" s="236">
        <f>'00_Дашборд'!$H$37/1000000</f>
        <v/>
      </c>
      <c r="C14" s="233" t="inlineStr">
        <is>
          <t>млн ₽</t>
        </is>
      </c>
      <c r="D14" s="234" t="inlineStr">
        <is>
          <t>Деньгами: доли от паушальных, роялти и прибыли мерча.</t>
        </is>
      </c>
    </row>
    <row r="15">
      <c r="A15" s="231" t="inlineStr">
        <is>
          <t>Возврат займа ФК</t>
        </is>
      </c>
      <c r="B15" s="236">
        <f>'00_Дашборд'!$H$34/1000000</f>
        <v/>
      </c>
      <c r="C15" s="233" t="inlineStr">
        <is>
          <t>млн ₽</t>
        </is>
      </c>
      <c r="D15" s="234" t="inlineStr">
        <is>
          <t>Тело займа на мерч, отдельно от операционных выплат.</t>
        </is>
      </c>
    </row>
    <row r="16">
      <c r="A16" s="231" t="inlineStr">
        <is>
          <t>Займ на конец</t>
        </is>
      </c>
      <c r="B16" s="236">
        <f>'00_Дашборд'!$H$35/1000000</f>
        <v/>
      </c>
      <c r="C16" s="233" t="inlineStr">
        <is>
          <t>млн ₽</t>
        </is>
      </c>
      <c r="D16" s="234" t="inlineStr">
        <is>
          <t>Непогашенный остаток стартового займа 50 млн ₽.</t>
        </is>
      </c>
    </row>
    <row r="17">
      <c r="A17" s="231" t="inlineStr">
        <is>
          <t>CAPEX за горизонт</t>
        </is>
      </c>
      <c r="B17" s="236">
        <f>'00_Дашборд'!$H$39/1000000</f>
        <v/>
      </c>
      <c r="C17" s="233" t="inlineStr">
        <is>
          <t>млн ₽</t>
        </is>
      </c>
      <c r="D17" s="234" t="inlineStr">
        <is>
          <t>1% выручки с НДС + разовый CAPEX.</t>
        </is>
      </c>
    </row>
    <row r="18">
      <c r="A18" s="231" t="inlineStr">
        <is>
          <t>Активные школы на конец</t>
        </is>
      </c>
      <c r="B18" s="238">
        <f>'00_Дашборд'!$G$20</f>
        <v/>
      </c>
      <c r="C18" s="233" t="inlineStr"/>
      <c r="D18" s="234" t="inlineStr">
        <is>
          <t>Действующая сеть + новые школы.</t>
        </is>
      </c>
    </row>
    <row r="19">
      <c r="A19" s="231" t="inlineStr">
        <is>
          <t>Продано франшиз за 5 сезонов</t>
        </is>
      </c>
      <c r="B19" s="239">
        <f>'00_Дашборд'!$H$17</f>
        <v/>
      </c>
      <c r="C19" s="233" t="inlineStr"/>
      <c r="D19" s="234" t="inlineStr">
        <is>
          <t>Финансовый план; целые продажи — на 04_Продажи.</t>
        </is>
      </c>
    </row>
    <row r="21">
      <c r="A21" s="228" t="inlineStr">
        <is>
          <t>ШАГ 2 · Что можно менять</t>
        </is>
      </c>
      <c r="D21" s="229" t="inlineStr">
        <is>
          <t>правим ТОЛЬКО жёлтые ячейки на 01_Вводные</t>
        </is>
      </c>
    </row>
    <row r="22">
      <c r="A22" s="230" t="inlineStr">
        <is>
          <t>Переключатель</t>
        </is>
      </c>
      <c r="B22" s="230" t="inlineStr">
        <is>
          <t>Сейчас</t>
        </is>
      </c>
      <c r="C22" s="230" t="inlineStr">
        <is>
          <t>Где</t>
        </is>
      </c>
      <c r="D22" s="230" t="inlineStr">
        <is>
          <t>Что произойдёт</t>
        </is>
      </c>
    </row>
    <row r="23">
      <c r="A23" s="231" t="inlineStr">
        <is>
          <t>Сценарий</t>
        </is>
      </c>
      <c r="B23" s="240">
        <f>'01_Вводные'!$B$192</f>
        <v/>
      </c>
      <c r="C23" s="241" t="inlineStr">
        <is>
          <t>B192</t>
        </is>
      </c>
      <c r="D23" s="234" t="inlineStr">
        <is>
          <t>Меняет 6 драйверов сразу: план продаж, детей, цену абонемента, мерч, таргет, срок роялти.</t>
        </is>
      </c>
    </row>
    <row r="24">
      <c r="A24" s="231" t="inlineStr">
        <is>
          <t>Режим просмотра итога</t>
        </is>
      </c>
      <c r="B24" s="240">
        <f>'01_Вводные'!$B$188</f>
        <v/>
      </c>
      <c r="C24" s="241" t="inlineStr">
        <is>
          <t>B188</t>
        </is>
      </c>
      <c r="D24" s="234" t="inlineStr">
        <is>
          <t>Добавляет к прогнозу фактический сезон 25/26. На формулы прогноза не влияет.</t>
        </is>
      </c>
    </row>
    <row r="25">
      <c r="A25" s="231" t="inlineStr">
        <is>
          <t>Драйвер чувствительности</t>
        </is>
      </c>
      <c r="B25" s="240">
        <f>'01_Вводные'!$B$233</f>
        <v/>
      </c>
      <c r="C25" s="241" t="inlineStr">
        <is>
          <t>B233</t>
        </is>
      </c>
      <c r="D25" s="234" t="inlineStr">
        <is>
          <t>Что именно тестируем на 12_Чувствительность.</t>
        </is>
      </c>
    </row>
    <row r="26">
      <c r="A26" s="231" t="inlineStr">
        <is>
          <t>Чувствительность включена</t>
        </is>
      </c>
      <c r="B26" s="240">
        <f>'01_Вводные'!$B$234</f>
        <v/>
      </c>
      <c r="C26" s="241" t="inlineStr">
        <is>
          <t>B234</t>
        </is>
      </c>
      <c r="D26" s="234" t="inlineStr">
        <is>
          <t>«Нет» отключает два дополнительных прогона — книга считается быстрее.</t>
        </is>
      </c>
    </row>
    <row r="27">
      <c r="A27" s="231" t="inlineStr">
        <is>
          <t>Лагеря включены</t>
        </is>
      </c>
      <c r="B27" s="240">
        <f>'01_Вводные'!$B$241</f>
        <v/>
      </c>
      <c r="C27" s="241" t="inlineStr">
        <is>
          <t>B241</t>
        </is>
      </c>
      <c r="D27" s="234" t="inlineStr">
        <is>
          <t>«Нет» обнуляет продажи, начисления и оплаты лагерей.</t>
        </is>
      </c>
    </row>
    <row r="28">
      <c r="A28" s="231" t="inlineStr">
        <is>
          <t>CAPEX включён</t>
        </is>
      </c>
      <c r="B28" s="240">
        <f>'01_Вводные'!$B$290</f>
        <v/>
      </c>
      <c r="C28" s="241" t="inlineStr">
        <is>
          <t>B290</t>
        </is>
      </c>
      <c r="D28" s="234" t="inlineStr">
        <is>
          <t>«Нет» убирает CAPEX из денег до погашения займа.</t>
        </is>
      </c>
    </row>
    <row r="29">
      <c r="A29" s="231" t="inlineStr">
        <is>
          <t>Индексация вне ФОТ</t>
        </is>
      </c>
      <c r="B29" s="240">
        <f>'01_Вводные'!$B$294</f>
        <v/>
      </c>
      <c r="C29" s="241" t="inlineStr">
        <is>
          <t>B294</t>
        </is>
      </c>
      <c r="D29" s="234" t="inlineStr">
        <is>
          <t>Абонемент, паушальный, форма, ERP, IT, юристы, реклама. Офис и мин. роялти не индексируются.</t>
        </is>
      </c>
    </row>
    <row r="30">
      <c r="A30" s="231" t="inlineStr">
        <is>
          <t>Постепенный набор детей</t>
        </is>
      </c>
      <c r="B30" s="240">
        <f>'01_Вводные'!$B$295</f>
        <v/>
      </c>
      <c r="C30" s="241" t="inlineStr">
        <is>
          <t>B295</t>
        </is>
      </c>
      <c r="D30" s="234" t="inlineStr">
        <is>
          <t>Школа выходит на план за 12 месяцев, потом на план 2-го года за 13–24.</t>
        </is>
      </c>
    </row>
    <row r="31">
      <c r="A31" s="231" t="inlineStr">
        <is>
          <t>Роялти по тарифным группам</t>
        </is>
      </c>
      <c r="B31" s="240">
        <f>'01_Вводные'!$B$239</f>
        <v/>
      </c>
      <c r="C31" s="241" t="inlineStr">
        <is>
          <t>B239</t>
        </is>
      </c>
      <c r="D31" s="234" t="inlineStr">
        <is>
          <t>«Да» — минимум проверяется по каждой школе своего тарифа. «Нет» — прежнее усреднение, только для сверки.</t>
        </is>
      </c>
    </row>
    <row r="32">
      <c r="A32" s="231" t="inlineStr">
        <is>
          <t>Возврат займа ограничен запасом</t>
        </is>
      </c>
      <c r="B32" s="240">
        <f>'01_Вводные'!$B$238</f>
        <v/>
      </c>
      <c r="C32" s="241" t="inlineStr">
        <is>
          <t>B238</t>
        </is>
      </c>
      <c r="D32" s="234" t="inlineStr">
        <is>
          <t>п.27 ТЗ: гасим займ только если склад не ниже цели будущих месяцев.</t>
        </is>
      </c>
    </row>
    <row r="34">
      <c r="A34" s="242" t="inlineStr">
        <is>
          <t>Числовые вводные (цены, оклады, ставки, планы продаж) — там же, на 01_Вводные, по разделам 1–16.</t>
        </is>
      </c>
    </row>
    <row r="35">
      <c r="A35" s="242" t="inlineStr">
        <is>
          <t>Базы сценарных драйверов (план продаж, мощность школы, абонемент, мерч, таргет, дебиторка) — 01_Вводные!B210:B225.</t>
        </is>
      </c>
    </row>
    <row r="37">
      <c r="A37" s="228" t="inlineStr">
        <is>
          <t>ШАГ 3 · Проверить, что модель сошлась</t>
        </is>
      </c>
    </row>
    <row r="38">
      <c r="A38" s="243" t="inlineStr">
        <is>
          <t>Пройдено автопроверок</t>
        </is>
      </c>
      <c r="B38" s="244">
        <f>COUNTIF('13_Проверки'!$C$4:$C$68,"OK")</f>
        <v/>
      </c>
      <c r="D38" s="245" t="inlineStr">
        <is>
          <t>Тесты сходимости БДР↔БДДС, склада, займа, сценариев.</t>
        </is>
      </c>
    </row>
    <row r="39">
      <c r="A39" s="243" t="inlineStr">
        <is>
          <t>Требует проверки</t>
        </is>
      </c>
      <c r="B39" s="244">
        <f>COUNTIF('13_Проверки'!$C$4:$C$68,"ПРОВЕРИТЬ")</f>
        <v/>
      </c>
      <c r="D39" s="245" t="inlineStr">
        <is>
          <t>Должно быть 0. Если больше — открой 13_Проверки.</t>
        </is>
      </c>
    </row>
    <row r="40">
      <c r="A40" s="243" t="inlineStr">
        <is>
          <t>Риск плана</t>
        </is>
      </c>
      <c r="B40" s="244">
        <f>COUNTIF('13_Проверки'!$C$4:$C$68,"РИСК ПЛАНА")</f>
        <v/>
      </c>
      <c r="D40" s="245" t="inlineStr">
        <is>
          <t>Не ошибка формул: нехватка денег или товара показана честно.</t>
        </is>
      </c>
    </row>
    <row r="41">
      <c r="A41" s="243" t="inlineStr">
        <is>
          <t>Сознательное упрощение</t>
        </is>
      </c>
      <c r="B41" s="244">
        <f>COUNTIF('13_Проверки'!$C$4:$C$68,"УПРОЩЕНИЕ")</f>
        <v/>
      </c>
      <c r="D41" s="245" t="inlineStr">
        <is>
          <t>Включён упрощённый режим расчёта (например, роялти без тарифов).</t>
        </is>
      </c>
    </row>
    <row r="42">
      <c r="A42" s="246" t="inlineStr">
        <is>
          <t>Итог</t>
        </is>
      </c>
      <c r="B42" s="247">
        <f>IF(COUNTIF('13_Проверки'!$C$4:$C$68,"ПРОВЕРИТЬ")=0,"Модель сходится","Есть расхождения")</f>
        <v/>
      </c>
      <c r="C42" s="222" t="inlineStr">
        <is>
          <t>13_Проверки</t>
        </is>
      </c>
    </row>
    <row r="44">
      <c r="A44" s="228" t="inlineStr">
        <is>
          <t>Цвета ячеек</t>
        </is>
      </c>
    </row>
    <row r="45">
      <c r="A45" s="248" t="inlineStr">
        <is>
          <t>Жёлтая</t>
        </is>
      </c>
      <c r="D45" s="245" t="inlineStr">
        <is>
          <t>Обычная вводная. Можно и нужно менять.</t>
        </is>
      </c>
    </row>
    <row r="46">
      <c r="A46" s="249" t="inlineStr">
        <is>
          <t>Жёлтая с оттенком</t>
        </is>
      </c>
      <c r="D46" s="245" t="inlineStr">
        <is>
          <t>Вводная, которую ещё надо подтвердить (см. 14_Ревизия).</t>
        </is>
      </c>
    </row>
    <row r="47">
      <c r="A47" s="250" t="inlineStr">
        <is>
          <t>Переключатель</t>
        </is>
      </c>
      <c r="D47" s="245" t="inlineStr">
        <is>
          <t>Выбор из списка: Да/Нет, сценарий, режим.</t>
        </is>
      </c>
    </row>
    <row r="48">
      <c r="A48" s="251" t="inlineStr">
        <is>
          <t>Блок v4 / ревизии</t>
        </is>
      </c>
      <c r="D48" s="245" t="inlineStr">
        <is>
          <t>CAPEX, индексация, набор детей — правила из первоначальной модели.</t>
        </is>
      </c>
    </row>
    <row r="49">
      <c r="A49" s="252" t="inlineStr">
        <is>
          <t>Серая курсивная</t>
        </is>
      </c>
      <c r="D49" s="245" t="inlineStr">
        <is>
          <t>Формула. Вписать сюда число = сломать связь.</t>
        </is>
      </c>
    </row>
    <row r="50">
      <c r="A50" s="253" t="inlineStr">
        <is>
          <t>Зелёная</t>
        </is>
      </c>
      <c r="D50" s="245" t="inlineStr">
        <is>
          <t>Формула, исправленная при ревизии. Не трогать.</t>
        </is>
      </c>
    </row>
    <row r="52">
      <c r="A52" s="228" t="inlineStr">
        <is>
          <t>Куда идти за деталями</t>
        </is>
      </c>
    </row>
    <row r="53">
      <c r="A53" s="230" t="inlineStr">
        <is>
          <t>Лист</t>
        </is>
      </c>
      <c r="B53" s="230" t="inlineStr"/>
      <c r="C53" s="230" t="inlineStr"/>
      <c r="D53" s="230" t="inlineStr">
        <is>
          <t>Зачем нужен / кто смотрит</t>
        </is>
      </c>
    </row>
    <row r="54">
      <c r="A54" s="254" t="inlineStr">
        <is>
          <t>00_Дашборд</t>
        </is>
      </c>
      <c r="B54" s="255" t="n"/>
      <c r="C54" s="255" t="n"/>
      <c r="D54" s="234" t="inlineStr">
        <is>
          <t>Итоги по сезонам, 5 графиков, KPI  ·  Собственник, ФК</t>
        </is>
      </c>
    </row>
    <row r="55">
      <c r="A55" s="254" t="inlineStr">
        <is>
          <t>01_Вводные</t>
        </is>
      </c>
      <c r="B55" s="255" t="n"/>
      <c r="C55" s="255" t="n"/>
      <c r="D55" s="234" t="inlineStr">
        <is>
          <t>ЕДИНСТВЕННЫЙ лист для ручной правки  ·  Аналитик</t>
        </is>
      </c>
    </row>
    <row r="56">
      <c r="A56" s="254" t="inlineStr">
        <is>
          <t>01а_Действующая_сеть</t>
        </is>
      </c>
      <c r="B56" s="255" t="n"/>
      <c r="C56" s="255" t="n"/>
      <c r="D56" s="234" t="inlineStr">
        <is>
          <t>Реестр 51/104, отток, сверка роялти с фактом  ·  Собственник, аналитик</t>
        </is>
      </c>
    </row>
    <row r="57">
      <c r="A57" s="254" t="inlineStr">
        <is>
          <t>02_Модель</t>
        </is>
      </c>
      <c r="B57" s="255" t="n"/>
      <c r="C57" s="255" t="n"/>
      <c r="D57" s="234" t="inlineStr">
        <is>
          <t>БДР и БДДС помесячно: выручка → EBITDA → деньги  ·  Финансист</t>
        </is>
      </c>
    </row>
    <row r="58">
      <c r="A58" s="254" t="inlineStr">
        <is>
          <t>03_Сценарии</t>
        </is>
      </c>
      <c r="B58" s="255" t="n"/>
      <c r="C58" s="255" t="n"/>
      <c r="D58" s="234" t="inlineStr">
        <is>
          <t>Негативный / базовый / позитивный рядом  ·  Собственник</t>
        </is>
      </c>
    </row>
    <row r="59">
      <c r="A59" s="254" t="inlineStr">
        <is>
          <t>04_Продажи</t>
        </is>
      </c>
      <c r="B59" s="255" t="n"/>
      <c r="C59" s="255" t="n"/>
      <c r="D59" s="234" t="inlineStr">
        <is>
          <t>План продаж, сезонность, лиды, открытия, маркетинг  ·  Коммерция</t>
        </is>
      </c>
    </row>
    <row r="60">
      <c r="A60" s="254" t="inlineStr">
        <is>
          <t>05_Воронка</t>
        </is>
      </c>
      <c r="B60" s="255" t="n"/>
      <c r="C60" s="255" t="n"/>
      <c r="D60" s="234" t="inlineStr">
        <is>
          <t>Лиды → продажи → открытия → ERP  ·  Коммерция</t>
        </is>
      </c>
    </row>
    <row r="61">
      <c r="A61" s="254" t="inlineStr">
        <is>
          <t>06_Сеть_и_дети</t>
        </is>
      </c>
      <c r="B61" s="255" t="n"/>
      <c r="C61" s="255" t="n"/>
      <c r="D61" s="234" t="inlineStr">
        <is>
          <t>Юрлица, школы, набор детей по возрасту, роялти  ·  Операции</t>
        </is>
      </c>
    </row>
    <row r="62">
      <c r="A62" s="254" t="inlineStr">
        <is>
          <t>07_Мерч</t>
        </is>
      </c>
      <c r="B62" s="255" t="n"/>
      <c r="C62" s="255" t="n"/>
      <c r="D62" s="234" t="inlineStr">
        <is>
          <t>Форма: продажи, COGS, склад, закупки, возврат займа  ·  Операции</t>
        </is>
      </c>
    </row>
    <row r="63">
      <c r="A63" s="254" t="inlineStr">
        <is>
          <t>08_ФОТ</t>
        </is>
      </c>
      <c r="B63" s="255" t="n"/>
      <c r="C63" s="255" t="n"/>
      <c r="D63" s="234" t="inlineStr">
        <is>
          <t>Штат, найм, индексация, премии, взносы  ·  HR / финансы</t>
        </is>
      </c>
    </row>
    <row r="64">
      <c r="A64" s="254" t="inlineStr">
        <is>
          <t>09_Лагеря</t>
        </is>
      </c>
      <c r="B64" s="255" t="n"/>
      <c r="C64" s="255" t="n"/>
      <c r="D64" s="234" t="inlineStr">
        <is>
          <t>Экономика лагерей и график оплат  ·  Операции</t>
        </is>
      </c>
    </row>
    <row r="65">
      <c r="A65" s="254" t="inlineStr">
        <is>
          <t>10_Выплаты_ФК</t>
        </is>
      </c>
      <c r="B65" s="255" t="n"/>
      <c r="C65" s="255" t="n"/>
      <c r="D65" s="234" t="inlineStr">
        <is>
          <t>Что и когда получает клуб; займ отдельно  ·  ФК</t>
        </is>
      </c>
    </row>
    <row r="66">
      <c r="A66" s="254" t="inlineStr">
        <is>
          <t>11_История_25_26</t>
        </is>
      </c>
      <c r="B66" s="255" t="n"/>
      <c r="C66" s="255" t="n"/>
      <c r="D66" s="234" t="inlineStr">
        <is>
          <t>Фактический сезон 2025/26  ·  Финансист</t>
        </is>
      </c>
    </row>
    <row r="67">
      <c r="A67" s="254" t="inlineStr">
        <is>
          <t>12_Чувствительность</t>
        </is>
      </c>
      <c r="B67" s="255" t="n"/>
      <c r="C67" s="255" t="n"/>
      <c r="D67" s="234" t="inlineStr">
        <is>
          <t>Один драйвер ±шаг — что будет с результатом  ·  Собственник</t>
        </is>
      </c>
    </row>
    <row r="68">
      <c r="A68" s="254" t="inlineStr">
        <is>
          <t>13_Проверки</t>
        </is>
      </c>
      <c r="B68" s="255" t="n"/>
      <c r="C68" s="255" t="n"/>
      <c r="D68" s="234" t="inlineStr">
        <is>
          <t>60+ автотестов сходимости модели  ·  Аналитик</t>
        </is>
      </c>
    </row>
    <row r="69">
      <c r="A69" s="254" t="inlineStr">
        <is>
          <t>14_Ревизия</t>
        </is>
      </c>
      <c r="B69" s="255" t="n"/>
      <c r="C69" s="255" t="n"/>
      <c r="D69" s="234" t="inlineStr">
        <is>
          <t>Нерешённые вопросы и ограничения  ·  Все</t>
        </is>
      </c>
    </row>
    <row r="70">
      <c r="A70" s="254" t="inlineStr">
        <is>
          <t>15_Изменения</t>
        </is>
      </c>
      <c r="B70" s="255" t="n"/>
      <c r="C70" s="255" t="n"/>
      <c r="D70" s="234" t="inlineStr">
        <is>
          <t>Чем текущая логика отличается от первоначальной  ·  Аналитик</t>
        </is>
      </c>
    </row>
    <row r="71">
      <c r="A71" s="254" t="inlineStr">
        <is>
          <t>14а_Сверка_с_ТЗ</t>
        </is>
      </c>
      <c r="B71" s="255" t="n"/>
      <c r="C71" s="255" t="n"/>
      <c r="D71" s="234" t="inlineStr">
        <is>
          <t>Трассировка ТЗ v6.0 на модель: пункт → формула → статус  ·  Аналитик, ФК</t>
        </is>
      </c>
    </row>
    <row r="72">
      <c r="A72" s="254" t="inlineStr">
        <is>
          <t>16_Инструкция</t>
        </is>
      </c>
      <c r="B72" s="255" t="n"/>
      <c r="C72" s="255" t="n"/>
      <c r="D72" s="234" t="inlineStr">
        <is>
          <t>Пошаговая инструкция пользователя  ·  Все</t>
        </is>
      </c>
    </row>
    <row r="73">
      <c r="A73" s="254" t="inlineStr">
        <is>
          <t>16а_Логика_модели</t>
        </is>
      </c>
      <c r="B73" s="255" t="n"/>
      <c r="C73" s="255" t="n"/>
      <c r="D73" s="234" t="inlineStr">
        <is>
          <t>Как из вводных получается EBITDA — цепочка расчёта  ·  Все</t>
        </is>
      </c>
    </row>
    <row r="75">
      <c r="A75" s="256" t="inlineStr">
        <is>
          <t>Скрытые служебные листы 17–19 содержат общие расчёты (сценарии, календарь тарифов, аналитика). Для работы они не нужны.</t>
        </is>
      </c>
    </row>
  </sheetData>
  <hyperlinks>
    <hyperlink ref="C23" location="'01_Вводные'!B192"/>
    <hyperlink ref="C24" location="'01_Вводные'!B188"/>
    <hyperlink ref="C25" location="'01_Вводные'!B233"/>
    <hyperlink ref="C26" location="'01_Вводные'!B234"/>
    <hyperlink ref="C27" location="'01_Вводные'!B241"/>
    <hyperlink ref="C28" location="'01_Вводные'!B290"/>
    <hyperlink ref="C29" location="'01_Вводные'!B294"/>
    <hyperlink ref="C30" location="'01_Вводные'!B295"/>
    <hyperlink ref="C31" location="'01_Вводные'!B239"/>
    <hyperlink ref="C32" location="'01_Вводные'!B238"/>
    <hyperlink ref="C42" location="'13_Проверки'!A1"/>
    <hyperlink ref="A54" location="'00_Дашборд'!A1"/>
    <hyperlink ref="A55" location="'01_Вводные'!A1"/>
    <hyperlink ref="A56" location="'01а_Действующая_сеть'!A1"/>
    <hyperlink ref="A57" location="'02_Модель'!A1"/>
    <hyperlink ref="A58" location="'03_Сценарии'!A1"/>
    <hyperlink ref="A59" location="'04_Продажи'!A1"/>
    <hyperlink ref="A60" location="'05_Воронка'!A1"/>
    <hyperlink ref="A61" location="'06_Сеть_и_дети'!A1"/>
    <hyperlink ref="A62" location="'07_Мерч'!A1"/>
    <hyperlink ref="A63" location="'08_ФОТ'!A1"/>
    <hyperlink ref="A64" location="'09_Лагеря'!A1"/>
    <hyperlink ref="A65" location="'10_Выплаты_ФК'!A1"/>
    <hyperlink ref="A66" location="'11_История_25_26'!A1"/>
    <hyperlink ref="A67" location="'12_Чувствительность'!A1"/>
    <hyperlink ref="A68" location="'13_Проверки'!A1"/>
    <hyperlink ref="A69" location="'14_Ревизия'!A1"/>
    <hyperlink ref="A70" location="'15_Изменения'!A1"/>
    <hyperlink ref="A71" location="'14а_Сверка_с_ТЗ'!A1"/>
    <hyperlink ref="A72" location="'16_Инструкция'!A1"/>
    <hyperlink ref="A73" location="'16а_Логика_модели'!A1"/>
  </hyperlink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00_Старт&amp;R&amp;P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N163"/>
  <sheetViews>
    <sheetView showGridLines="0" zoomScale="9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30" customWidth="1" min="7" max="7"/>
    <col width="2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24" customHeight="1">
      <c r="A1" s="1" t="inlineStr">
        <is>
          <t>Финмодель Спартак — управленческий дашборд</t>
        </is>
      </c>
    </row>
    <row r="2"/>
    <row r="3" ht="36" customHeight="1">
      <c r="A3" s="2" t="inlineStr">
        <is>
          <t>Как работать</t>
        </is>
      </c>
      <c r="B3" s="3" t="inlineStr">
        <is>
          <t>Все ручные вводные находятся только на листе 01_Вводные. Остальные листы — расчётные. Жёлтый = ввод, чёрный/зелёный = формулы и связи.</t>
        </is>
      </c>
      <c r="J3" s="219" t="inlineStr">
        <is>
          <t>Быстрая навигация</t>
        </is>
      </c>
    </row>
    <row r="4">
      <c r="J4" s="220" t="inlineStr">
        <is>
          <t>→ Вводные</t>
        </is>
      </c>
    </row>
    <row r="5" ht="20" customHeight="1">
      <c r="A5" s="4" t="inlineStr">
        <is>
          <t>Ключевые вводные</t>
        </is>
      </c>
      <c r="J5" s="220" t="inlineStr">
        <is>
          <t>→ Основная модель</t>
        </is>
      </c>
    </row>
    <row r="6">
      <c r="A6" s="2" t="inlineStr">
        <is>
          <t>Старт модели</t>
        </is>
      </c>
      <c r="B6" s="37">
        <f>'01_Вводные'!$B$7</f>
        <v/>
      </c>
      <c r="D6" s="38" t="inlineStr">
        <is>
          <t>Сценарий</t>
        </is>
      </c>
      <c r="E6" s="39">
        <f>'01_Вводные'!B192</f>
        <v/>
      </c>
      <c r="G6" s="257" t="inlineStr">
        <is>
          <t>Контроль модели</t>
        </is>
      </c>
      <c r="J6" s="220" t="inlineStr">
        <is>
          <t>→ Сценарии</t>
        </is>
      </c>
    </row>
    <row r="7">
      <c r="A7" s="2" t="inlineStr">
        <is>
          <t>Стартовые юрлица</t>
        </is>
      </c>
      <c r="B7" s="40">
        <f>'01_Вводные'!$B$10</f>
        <v/>
      </c>
      <c r="D7" s="41" t="inlineStr">
        <is>
          <t>Сравнение</t>
        </is>
      </c>
      <c r="E7" s="221" t="inlineStr">
        <is>
          <t>03_Сценарии</t>
        </is>
      </c>
      <c r="G7" s="258" t="inlineStr">
        <is>
          <t>Провалено автопроверок</t>
        </is>
      </c>
      <c r="H7" s="259">
        <f>COUNTIF('13_Проверки'!C4:C68,"ПРОВЕРИТЬ")</f>
        <v/>
      </c>
      <c r="J7" s="220" t="inlineStr">
        <is>
          <t>→ Продажи / воронка</t>
        </is>
      </c>
    </row>
    <row r="8">
      <c r="A8" s="2" t="inlineStr">
        <is>
          <t>Стартовые школы</t>
        </is>
      </c>
      <c r="B8" s="40">
        <f>'01_Вводные'!$B$9</f>
        <v/>
      </c>
      <c r="D8" s="41" t="inlineStr">
        <is>
          <t>Чувствительность</t>
        </is>
      </c>
      <c r="E8" s="221" t="inlineStr">
        <is>
          <t>12_Чувствительность</t>
        </is>
      </c>
      <c r="G8" s="258" t="inlineStr">
        <is>
          <t>Статус</t>
        </is>
      </c>
      <c r="H8" s="260">
        <f>IF(COUNTIF('13_Проверки'!C4:C68,"ПРОВЕРИТЬ")=0,"Сходится","Открой 13_Проверки")</f>
        <v/>
      </c>
      <c r="J8" s="220" t="inlineStr">
        <is>
          <t>→ Сеть и дети</t>
        </is>
      </c>
    </row>
    <row r="9">
      <c r="A9" s="2" t="inlineStr">
        <is>
          <t>Дети действующей сети, 100%</t>
        </is>
      </c>
      <c r="B9" s="40">
        <f>'01_Вводные'!$B$11</f>
        <v/>
      </c>
      <c r="G9" s="258" t="inlineStr">
        <is>
          <t>Пиковый кассовый дефицит, ₽</t>
        </is>
      </c>
      <c r="H9" s="261">
        <f>E12</f>
        <v/>
      </c>
      <c r="J9" s="220" t="inlineStr">
        <is>
          <t>→ Мерч / склад</t>
        </is>
      </c>
    </row>
    <row r="10">
      <c r="A10" s="2" t="inlineStr">
        <is>
          <t>Лаг открытия</t>
        </is>
      </c>
      <c r="B10" s="40">
        <f>'01_Вводные'!$B$15</f>
        <v/>
      </c>
      <c r="D10" t="inlineStr">
        <is>
          <t>Проверки</t>
        </is>
      </c>
      <c r="E10" s="222" t="inlineStr">
        <is>
          <t>13_Проверки</t>
        </is>
      </c>
      <c r="G10" s="258" t="inlineStr">
        <is>
          <t>Нехватка товара, ₽ COGS</t>
        </is>
      </c>
      <c r="H10" s="261">
        <f>E11</f>
        <v/>
      </c>
      <c r="J10" s="220" t="inlineStr">
        <is>
          <t>→ ФОТ</t>
        </is>
      </c>
    </row>
    <row r="11">
      <c r="A11" s="2" t="inlineStr">
        <is>
          <t>Стартовый склад</t>
        </is>
      </c>
      <c r="B11" s="40">
        <f>'01_Вводные'!$B$77</f>
        <v/>
      </c>
      <c r="D11" t="inlineStr">
        <is>
          <t>Дефицит товара</t>
        </is>
      </c>
      <c r="E11" s="133">
        <f>MAX('07_Мерч'!B27:BI27)</f>
        <v/>
      </c>
      <c r="G11" s="222" t="inlineStr">
        <is>
          <t>→ Начать здесь: 00_Старт</t>
        </is>
      </c>
      <c r="J11" s="220" t="inlineStr">
        <is>
          <t>→ Выплаты ФК</t>
        </is>
      </c>
    </row>
    <row r="12">
      <c r="A12" s="2" t="inlineStr">
        <is>
          <t>Стартовый займ</t>
        </is>
      </c>
      <c r="B12" s="40">
        <f>'01_Вводные'!$B$78</f>
        <v/>
      </c>
      <c r="D12" t="inlineStr">
        <is>
          <t>Кассовый дефицит</t>
        </is>
      </c>
      <c r="E12" s="133">
        <f>MAX(0,-MIN('02_Модель'!B72:BI72))</f>
        <v/>
      </c>
      <c r="J12" s="220" t="inlineStr">
        <is>
          <t>→ Проверки</t>
        </is>
      </c>
    </row>
    <row r="13"/>
    <row r="14"/>
    <row r="15" ht="20" customHeight="1">
      <c r="A15" s="4" t="inlineStr">
        <is>
          <t>Итоги по сезонам</t>
        </is>
      </c>
    </row>
    <row r="16">
      <c r="A16" s="6" t="inlineStr">
        <is>
          <t>Показатель</t>
        </is>
      </c>
      <c r="B16" s="6" t="inlineStr">
        <is>
          <t>25/26 факт*</t>
        </is>
      </c>
      <c r="C16" s="6" t="inlineStr">
        <is>
          <t>26/27</t>
        </is>
      </c>
      <c r="D16" s="6" t="inlineStr">
        <is>
          <t>27/28</t>
        </is>
      </c>
      <c r="E16" s="6" t="inlineStr">
        <is>
          <t>28/29</t>
        </is>
      </c>
      <c r="F16" s="6" t="inlineStr">
        <is>
          <t>29/30</t>
        </is>
      </c>
      <c r="G16" s="6" t="inlineStr">
        <is>
          <t>30/31</t>
        </is>
      </c>
      <c r="H16" s="6" t="inlineStr">
        <is>
          <t>Итого прогноз</t>
        </is>
      </c>
    </row>
    <row r="17">
      <c r="A17" s="2" t="inlineStr">
        <is>
          <t>Продажи франшиз</t>
        </is>
      </c>
      <c r="B17" s="7" t="inlineStr"/>
      <c r="C17" s="40">
        <f>SUM('04_Продажи'!B15:M15)</f>
        <v/>
      </c>
      <c r="D17" s="40">
        <f>SUM('04_Продажи'!N15:Y15)</f>
        <v/>
      </c>
      <c r="E17" s="40">
        <f>SUM('04_Продажи'!Z15:AK15)</f>
        <v/>
      </c>
      <c r="F17" s="40">
        <f>SUM('04_Продажи'!AL15:AW15)</f>
        <v/>
      </c>
      <c r="G17" s="40">
        <f>SUM('04_Продажи'!AX15:BI15)</f>
        <v/>
      </c>
      <c r="H17" s="42">
        <f>SUM(C17:G17)</f>
        <v/>
      </c>
    </row>
    <row r="18">
      <c r="A18" s="2" t="inlineStr">
        <is>
          <t>Открытия школ</t>
        </is>
      </c>
      <c r="B18" s="7" t="inlineStr"/>
      <c r="C18" s="40">
        <f>SUM('04_Продажи'!B18:M18)</f>
        <v/>
      </c>
      <c r="D18" s="40">
        <f>SUM('04_Продажи'!N18:Y18)</f>
        <v/>
      </c>
      <c r="E18" s="40">
        <f>SUM('04_Продажи'!Z18:AK18)</f>
        <v/>
      </c>
      <c r="F18" s="40">
        <f>SUM('04_Продажи'!AL18:AW18)</f>
        <v/>
      </c>
      <c r="G18" s="40">
        <f>SUM('04_Продажи'!AX18:BI18)</f>
        <v/>
      </c>
      <c r="H18" s="42">
        <f>SUM(C18:G18)</f>
        <v/>
      </c>
    </row>
    <row r="19">
      <c r="A19" s="2" t="inlineStr">
        <is>
          <t>Активные юрлица, конец</t>
        </is>
      </c>
      <c r="B19" s="7" t="inlineStr"/>
      <c r="C19" s="40">
        <f>'02_Модель'!M13</f>
        <v/>
      </c>
      <c r="D19" s="40">
        <f>'02_Модель'!Y13</f>
        <v/>
      </c>
      <c r="E19" s="40">
        <f>'02_Модель'!AK13</f>
        <v/>
      </c>
      <c r="F19" s="40">
        <f>'02_Модель'!AW13</f>
        <v/>
      </c>
      <c r="G19" s="40">
        <f>'02_Модель'!BI13</f>
        <v/>
      </c>
      <c r="H19" s="42">
        <f>G19</f>
        <v/>
      </c>
    </row>
    <row r="20">
      <c r="A20" s="2" t="inlineStr">
        <is>
          <t>Активные школы, конец</t>
        </is>
      </c>
      <c r="B20" s="7" t="inlineStr"/>
      <c r="C20" s="40">
        <f>'02_Модель'!M9+'02_Модель'!M12</f>
        <v/>
      </c>
      <c r="D20" s="40">
        <f>'02_Модель'!Y9+'02_Модель'!Y12</f>
        <v/>
      </c>
      <c r="E20" s="40">
        <f>'02_Модель'!AK9+'02_Модель'!AK12</f>
        <v/>
      </c>
      <c r="F20" s="40">
        <f>'02_Модель'!AW9+'02_Модель'!AW12</f>
        <v/>
      </c>
      <c r="G20" s="40">
        <f>'02_Модель'!BI9+'02_Модель'!BI12</f>
        <v/>
      </c>
      <c r="H20" s="42">
        <f>G20</f>
        <v/>
      </c>
    </row>
    <row r="21">
      <c r="A21" s="2" t="inlineStr">
        <is>
          <t>Дети действующей сети, среднее</t>
        </is>
      </c>
      <c r="B21" s="7" t="inlineStr"/>
      <c r="C21" s="40">
        <f>AVERAGE('02_Модель'!B11:M11)</f>
        <v/>
      </c>
      <c r="D21" s="40">
        <f>AVERAGE('02_Модель'!N11:Y11)</f>
        <v/>
      </c>
      <c r="E21" s="40">
        <f>AVERAGE('02_Модель'!Z11:AK11)</f>
        <v/>
      </c>
      <c r="F21" s="40">
        <f>AVERAGE('02_Модель'!AL11:AW11)</f>
        <v/>
      </c>
      <c r="G21" s="40">
        <f>AVERAGE('02_Модель'!AX11:BI11)</f>
        <v/>
      </c>
      <c r="H21" s="95">
        <f>AVERAGE('02_Модель'!B11:BI11)</f>
        <v/>
      </c>
    </row>
    <row r="22">
      <c r="A22" s="2" t="inlineStr">
        <is>
          <t>Дети новых школ, среднее</t>
        </is>
      </c>
      <c r="B22" s="7" t="inlineStr"/>
      <c r="C22" s="40">
        <f>AVERAGE('02_Модель'!B14:M14)</f>
        <v/>
      </c>
      <c r="D22" s="40">
        <f>AVERAGE('02_Модель'!N14:Y14)</f>
        <v/>
      </c>
      <c r="E22" s="40">
        <f>AVERAGE('02_Модель'!Z14:AK14)</f>
        <v/>
      </c>
      <c r="F22" s="40">
        <f>AVERAGE('02_Модель'!AL14:AW14)</f>
        <v/>
      </c>
      <c r="G22" s="40">
        <f>AVERAGE('02_Модель'!AX14:BI14)</f>
        <v/>
      </c>
      <c r="H22" s="95">
        <f>AVERAGE('02_Модель'!B14:BI14)</f>
        <v/>
      </c>
    </row>
    <row r="23">
      <c r="A23" s="2" t="inlineStr">
        <is>
          <t>Дети всего, среднее</t>
        </is>
      </c>
      <c r="B23" s="7" t="inlineStr"/>
      <c r="C23" s="40">
        <f>AVERAGE('02_Модель'!B15:M15)</f>
        <v/>
      </c>
      <c r="D23" s="40">
        <f>AVERAGE('02_Модель'!N15:Y15)</f>
        <v/>
      </c>
      <c r="E23" s="40">
        <f>AVERAGE('02_Модель'!Z15:AK15)</f>
        <v/>
      </c>
      <c r="F23" s="40">
        <f>AVERAGE('02_Модель'!AL15:AW15)</f>
        <v/>
      </c>
      <c r="G23" s="40">
        <f>AVERAGE('02_Модель'!AX15:BI15)</f>
        <v/>
      </c>
      <c r="H23" s="95">
        <f>AVERAGE('02_Модель'!B15:BI15)</f>
        <v/>
      </c>
    </row>
    <row r="24">
      <c r="A24" s="2" t="inlineStr">
        <is>
          <t>Выручка без НДС</t>
        </is>
      </c>
      <c r="B24" s="124">
        <f>'11_История_25_26'!N4</f>
        <v/>
      </c>
      <c r="C24" s="40">
        <f>SUM('02_Модель'!B23:M23)</f>
        <v/>
      </c>
      <c r="D24" s="40">
        <f>SUM('02_Модель'!N23:Y23)</f>
        <v/>
      </c>
      <c r="E24" s="40">
        <f>SUM('02_Модель'!Z23:AK23)</f>
        <v/>
      </c>
      <c r="F24" s="40">
        <f>SUM('02_Модель'!AL23:AW23)</f>
        <v/>
      </c>
      <c r="G24" s="40">
        <f>SUM('02_Модель'!AX23:BI23)</f>
        <v/>
      </c>
      <c r="H24" s="42">
        <f>SUM(C24:G24)</f>
        <v/>
      </c>
    </row>
    <row r="25">
      <c r="A25" s="2" t="inlineStr">
        <is>
          <t>Паушальные взносы</t>
        </is>
      </c>
      <c r="B25" s="7" t="inlineStr"/>
      <c r="C25" s="40">
        <f>SUM('02_Модель'!B18:M18)</f>
        <v/>
      </c>
      <c r="D25" s="40">
        <f>SUM('02_Модель'!N18:Y18)</f>
        <v/>
      </c>
      <c r="E25" s="40">
        <f>SUM('02_Модель'!Z18:AK18)</f>
        <v/>
      </c>
      <c r="F25" s="40">
        <f>SUM('02_Модель'!AL18:AW18)</f>
        <v/>
      </c>
      <c r="G25" s="40">
        <f>SUM('02_Модель'!AX18:BI18)</f>
        <v/>
      </c>
      <c r="H25" s="42">
        <f>SUM(C25:G25)</f>
        <v/>
      </c>
    </row>
    <row r="26">
      <c r="A26" s="2" t="inlineStr">
        <is>
          <t>Роялти</t>
        </is>
      </c>
      <c r="B26" s="7" t="inlineStr"/>
      <c r="C26" s="40">
        <f>SUM('02_Модель'!B19:M20)</f>
        <v/>
      </c>
      <c r="D26" s="40">
        <f>SUM('02_Модель'!N19:Y20)</f>
        <v/>
      </c>
      <c r="E26" s="40">
        <f>SUM('02_Модель'!Z19:AK20)</f>
        <v/>
      </c>
      <c r="F26" s="40">
        <f>SUM('02_Модель'!AL19:AW20)</f>
        <v/>
      </c>
      <c r="G26" s="40">
        <f>SUM('02_Модель'!AX19:BI20)</f>
        <v/>
      </c>
      <c r="H26" s="42">
        <f>SUM(C26:G26)</f>
        <v/>
      </c>
    </row>
    <row r="27">
      <c r="A27" s="2" t="inlineStr">
        <is>
          <t>Мерч</t>
        </is>
      </c>
      <c r="B27" s="7" t="inlineStr"/>
      <c r="C27" s="40">
        <f>SUM('02_Модель'!B21:M21)</f>
        <v/>
      </c>
      <c r="D27" s="40">
        <f>SUM('02_Модель'!N21:Y21)</f>
        <v/>
      </c>
      <c r="E27" s="40">
        <f>SUM('02_Модель'!Z21:AK21)</f>
        <v/>
      </c>
      <c r="F27" s="40">
        <f>SUM('02_Модель'!AL21:AW21)</f>
        <v/>
      </c>
      <c r="G27" s="40">
        <f>SUM('02_Модель'!AX21:BI21)</f>
        <v/>
      </c>
      <c r="H27" s="42">
        <f>SUM(C27:G27)</f>
        <v/>
      </c>
    </row>
    <row r="28">
      <c r="A28" s="2" t="inlineStr">
        <is>
          <t>Лагеря</t>
        </is>
      </c>
      <c r="B28" s="7" t="inlineStr"/>
      <c r="C28" s="40">
        <f>SUM('02_Модель'!B22:M22)</f>
        <v/>
      </c>
      <c r="D28" s="40">
        <f>SUM('02_Модель'!N22:Y22)</f>
        <v/>
      </c>
      <c r="E28" s="40">
        <f>SUM('02_Модель'!Z22:AK22)</f>
        <v/>
      </c>
      <c r="F28" s="40">
        <f>SUM('02_Модель'!AL22:AW22)</f>
        <v/>
      </c>
      <c r="G28" s="40">
        <f>SUM('02_Модель'!AX22:BI22)</f>
        <v/>
      </c>
      <c r="H28" s="42">
        <f>SUM(C28:G28)</f>
        <v/>
      </c>
    </row>
    <row r="29">
      <c r="A29" s="10" t="inlineStr">
        <is>
          <t>EBITDA</t>
        </is>
      </c>
      <c r="B29" s="145">
        <f>'11_История_25_26'!N9</f>
        <v/>
      </c>
      <c r="C29" s="43">
        <f>SUM('02_Модель'!B44:M44)</f>
        <v/>
      </c>
      <c r="D29" s="43">
        <f>SUM('02_Модель'!N44:Y44)</f>
        <v/>
      </c>
      <c r="E29" s="43">
        <f>SUM('02_Модель'!Z44:AK44)</f>
        <v/>
      </c>
      <c r="F29" s="43">
        <f>SUM('02_Модель'!AL44:AW44)</f>
        <v/>
      </c>
      <c r="G29" s="43">
        <f>SUM('02_Модель'!AX44:BI44)</f>
        <v/>
      </c>
      <c r="H29" s="43">
        <f>SUM(C29:G29)</f>
        <v/>
      </c>
    </row>
    <row r="30">
      <c r="A30" s="2" t="inlineStr">
        <is>
          <t>EBITDA margin</t>
        </is>
      </c>
      <c r="B30" s="7" t="inlineStr"/>
      <c r="C30" s="44">
        <f>IF(SUM('02_Модель'!B23:M23)=0,0,SUM('02_Модель'!B44:M44)/SUM('02_Модель'!B23:M23))</f>
        <v/>
      </c>
      <c r="D30" s="44">
        <f>IF(SUM('02_Модель'!N23:Y23)=0,0,SUM('02_Модель'!N44:Y44)/SUM('02_Модель'!N23:Y23))</f>
        <v/>
      </c>
      <c r="E30" s="44">
        <f>IF(SUM('02_Модель'!Z23:AK23)=0,0,SUM('02_Модель'!Z44:AK44)/SUM('02_Модель'!Z23:AK23))</f>
        <v/>
      </c>
      <c r="F30" s="44">
        <f>IF(SUM('02_Модель'!AL23:AW23)=0,0,SUM('02_Модель'!AL44:AW44)/SUM('02_Модель'!AL23:AW23))</f>
        <v/>
      </c>
      <c r="G30" s="44">
        <f>IF(SUM('02_Модель'!AX23:BI23)=0,0,SUM('02_Модель'!AX44:BI44)/SUM('02_Модель'!AX23:BI23))</f>
        <v/>
      </c>
      <c r="H30" s="45">
        <f>IF(H24=0,0,H29/H24)</f>
        <v/>
      </c>
    </row>
    <row r="31">
      <c r="A31" s="2" t="inlineStr">
        <is>
          <t>Чистый денежный поток</t>
        </is>
      </c>
      <c r="B31" s="7" t="inlineStr"/>
      <c r="C31" s="40">
        <f>SUM('02_Модель'!B71:M71)</f>
        <v/>
      </c>
      <c r="D31" s="40">
        <f>SUM('02_Модель'!N71:Y71)</f>
        <v/>
      </c>
      <c r="E31" s="40">
        <f>SUM('02_Модель'!Z71:AK71)</f>
        <v/>
      </c>
      <c r="F31" s="40">
        <f>SUM('02_Модель'!AL71:AW71)</f>
        <v/>
      </c>
      <c r="G31" s="40">
        <f>SUM('02_Модель'!AX71:BI71)</f>
        <v/>
      </c>
      <c r="H31" s="42">
        <f>SUM(C31:G31)</f>
        <v/>
      </c>
    </row>
    <row r="32">
      <c r="A32" s="2" t="inlineStr">
        <is>
          <t>Деньги на конец</t>
        </is>
      </c>
      <c r="B32" s="7" t="inlineStr"/>
      <c r="C32" s="40">
        <f>'02_Модель'!M72</f>
        <v/>
      </c>
      <c r="D32" s="40">
        <f>'02_Модель'!Y72</f>
        <v/>
      </c>
      <c r="E32" s="40">
        <f>'02_Модель'!AK72</f>
        <v/>
      </c>
      <c r="F32" s="40">
        <f>'02_Модель'!AW72</f>
        <v/>
      </c>
      <c r="G32" s="40">
        <f>'02_Модель'!BI72</f>
        <v/>
      </c>
      <c r="H32" s="42">
        <f>G32</f>
        <v/>
      </c>
    </row>
    <row r="33">
      <c r="A33" s="2" t="inlineStr">
        <is>
          <t>Закупки на склад</t>
        </is>
      </c>
      <c r="B33" s="7" t="inlineStr"/>
      <c r="C33" s="40">
        <f>SUM('02_Модель'!B65:M65)</f>
        <v/>
      </c>
      <c r="D33" s="40">
        <f>SUM('02_Модель'!N65:Y65)</f>
        <v/>
      </c>
      <c r="E33" s="40">
        <f>SUM('02_Модель'!Z65:AK65)</f>
        <v/>
      </c>
      <c r="F33" s="40">
        <f>SUM('02_Модель'!AL65:AW65)</f>
        <v/>
      </c>
      <c r="G33" s="40">
        <f>SUM('02_Модель'!AX65:BI65)</f>
        <v/>
      </c>
      <c r="H33" s="42">
        <f>SUM(C33:G33)</f>
        <v/>
      </c>
    </row>
    <row r="34">
      <c r="A34" s="2" t="inlineStr">
        <is>
          <t>Погашение займа</t>
        </is>
      </c>
      <c r="B34" s="7" t="inlineStr"/>
      <c r="C34" s="40">
        <f>SUM('02_Модель'!B70:M70)</f>
        <v/>
      </c>
      <c r="D34" s="40">
        <f>SUM('02_Модель'!N70:Y70)</f>
        <v/>
      </c>
      <c r="E34" s="40">
        <f>SUM('02_Модель'!Z70:AK70)</f>
        <v/>
      </c>
      <c r="F34" s="40">
        <f>SUM('02_Модель'!AL70:AW70)</f>
        <v/>
      </c>
      <c r="G34" s="40">
        <f>SUM('02_Модель'!AX70:BI70)</f>
        <v/>
      </c>
      <c r="H34" s="42">
        <f>SUM(C34:G34)</f>
        <v/>
      </c>
    </row>
    <row r="35">
      <c r="A35" s="2" t="inlineStr">
        <is>
          <t>Конечный займ</t>
        </is>
      </c>
      <c r="B35" s="7" t="inlineStr"/>
      <c r="C35" s="40">
        <f>'02_Модель'!M75</f>
        <v/>
      </c>
      <c r="D35" s="40">
        <f>'02_Модель'!Y75</f>
        <v/>
      </c>
      <c r="E35" s="40">
        <f>'02_Модель'!AK75</f>
        <v/>
      </c>
      <c r="F35" s="40">
        <f>'02_Модель'!AW75</f>
        <v/>
      </c>
      <c r="G35" s="40">
        <f>'02_Модель'!BI75</f>
        <v/>
      </c>
      <c r="H35" s="42">
        <f>G35</f>
        <v/>
      </c>
    </row>
    <row r="36">
      <c r="A36" s="2" t="inlineStr">
        <is>
          <t>Конечный склад</t>
        </is>
      </c>
      <c r="B36" s="7" t="inlineStr"/>
      <c r="C36" s="40">
        <f>'02_Модель'!M76</f>
        <v/>
      </c>
      <c r="D36" s="40">
        <f>'02_Модель'!Y76</f>
        <v/>
      </c>
      <c r="E36" s="40">
        <f>'02_Модель'!AK76</f>
        <v/>
      </c>
      <c r="F36" s="40">
        <f>'02_Модель'!AW76</f>
        <v/>
      </c>
      <c r="G36" s="40">
        <f>'02_Модель'!BI76</f>
        <v/>
      </c>
      <c r="H36" s="42">
        <f>G36</f>
        <v/>
      </c>
    </row>
    <row r="37">
      <c r="A37" s="2" t="inlineStr">
        <is>
          <t>Операционные выплаты ФК, деньги</t>
        </is>
      </c>
      <c r="B37" s="7" t="inlineStr"/>
      <c r="C37" s="95">
        <f>SUM('02_Модель'!B61:M61)</f>
        <v/>
      </c>
      <c r="D37" s="95">
        <f>SUM('02_Модель'!N61:Y61)</f>
        <v/>
      </c>
      <c r="E37" s="95">
        <f>SUM('02_Модель'!Z61:AK61)</f>
        <v/>
      </c>
      <c r="F37" s="95">
        <f>SUM('02_Модель'!AL61:AW61)</f>
        <v/>
      </c>
      <c r="G37" s="95">
        <f>SUM('02_Модель'!AX61:BI61)</f>
        <v/>
      </c>
      <c r="H37" s="77">
        <f>SUM(C37:G37)</f>
        <v/>
      </c>
    </row>
    <row r="38">
      <c r="A38" s="38" t="inlineStr">
        <is>
          <t>Пиковый кассовый дефицит</t>
        </is>
      </c>
      <c r="C38" s="46">
        <f>MAX(0,-MIN('02_Модель'!B72:M72))</f>
        <v/>
      </c>
      <c r="D38" s="46">
        <f>MAX(0,-MIN('02_Модель'!N72:Y72))</f>
        <v/>
      </c>
      <c r="E38" s="46">
        <f>MAX(0,-MIN('02_Модель'!Z72:AK72))</f>
        <v/>
      </c>
      <c r="F38" s="46">
        <f>MAX(0,-MIN('02_Модель'!AL72:AW72))</f>
        <v/>
      </c>
      <c r="G38" s="46">
        <f>MAX(0,-MIN('02_Модель'!AX72:BI72))</f>
        <v/>
      </c>
      <c r="H38" s="46">
        <f>MAX(0,-MIN('02_Модель'!B72:BI72))</f>
        <v/>
      </c>
    </row>
    <row r="39" ht="24" customHeight="1">
      <c r="A39" s="2" t="inlineStr">
        <is>
          <t>CAPEX — всего</t>
        </is>
      </c>
      <c r="B39" s="7" t="n"/>
      <c r="C39" s="154">
        <f>SUM('02_Модель'!B57:M57)</f>
        <v/>
      </c>
      <c r="D39" s="154">
        <f>SUM('02_Модель'!N57:Y57)</f>
        <v/>
      </c>
      <c r="E39" s="154">
        <f>SUM('02_Модель'!Z57:AK57)</f>
        <v/>
      </c>
      <c r="F39" s="154">
        <f>SUM('02_Модель'!AL57:AW57)</f>
        <v/>
      </c>
      <c r="G39" s="154">
        <f>SUM('02_Модель'!AX57:BI57)</f>
        <v/>
      </c>
      <c r="H39" s="155">
        <f>SUM(C39:G39)</f>
        <v/>
      </c>
    </row>
    <row r="40" ht="20" customHeight="1">
      <c r="A40" s="4" t="inlineStr">
        <is>
          <t>Результат с историей / без истории</t>
        </is>
      </c>
    </row>
    <row r="41">
      <c r="A41" s="2" t="inlineStr">
        <is>
          <t>Режим просмотра</t>
        </is>
      </c>
      <c r="B41" s="42">
        <f>'01_Вводные'!B188</f>
        <v/>
      </c>
    </row>
    <row r="42">
      <c r="A42" s="2" t="inlineStr">
        <is>
          <t>Выручка, выбранный период</t>
        </is>
      </c>
      <c r="B42" s="42">
        <f>IF('01_Вводные'!B188="С историей",B24+H24,H24)</f>
        <v/>
      </c>
    </row>
    <row r="43">
      <c r="A43" s="2" t="inlineStr">
        <is>
          <t>EBITDA, выбранный период</t>
        </is>
      </c>
      <c r="B43" s="42">
        <f>IF('01_Вводные'!B188="С историей",B29+H29,H29)</f>
        <v/>
      </c>
    </row>
    <row r="44">
      <c r="A44" s="2" t="inlineStr">
        <is>
          <t>Что включено</t>
        </is>
      </c>
      <c r="B44" s="31">
        <f>IF('01_Вводные'!B188="С историей","Доступный факт 25/26 + прогноз 26/27–30/31","Только прогноз 26/27–30/31")</f>
        <v/>
      </c>
    </row>
    <row r="45">
      <c r="A45" s="222" t="inlineStr">
        <is>
          <t>15_Изменения</t>
        </is>
      </c>
    </row>
    <row r="46" ht="20" customHeight="1">
      <c r="A46" s="4" t="inlineStr">
        <is>
          <t>Что упрощено и почему</t>
        </is>
      </c>
    </row>
    <row r="47" ht="35" customHeight="1">
      <c r="A47" s="2" t="inlineStr">
        <is>
          <t>•</t>
        </is>
      </c>
      <c r="B47" s="15" t="inlineStr">
        <is>
          <t>Все ручные вводные собраны на одном листе 01_Вводные — больше не нужно искать параметры по разным расчётным вкладкам.</t>
        </is>
      </c>
    </row>
    <row r="48" ht="35" customHeight="1">
      <c r="A48" s="2" t="inlineStr">
        <is>
          <t>•</t>
        </is>
      </c>
      <c r="B48" s="15" t="inlineStr">
        <is>
          <t>Постепенный набор детей сохранён: месяцы 1–12 и 13–24, затем зрелая школа. Расчёт разделён на понятные возрастные группы.</t>
        </is>
      </c>
    </row>
    <row r="49" ht="35" customHeight="1">
      <c r="A49" s="2" t="inlineStr">
        <is>
          <t>•</t>
        </is>
      </c>
      <c r="B49" s="15" t="inlineStr">
        <is>
          <t>Для новых школ сохранены 20 тарифных групп: минимальный роялти проверяется по школе соответствующего тарифа до суммирования. Действующая сеть пока считается агрегированно из-за отсутствия пошкольной базы детей.</t>
        </is>
      </c>
    </row>
    <row r="50" ht="35" customHeight="1">
      <c r="A50" s="2" t="inlineStr">
        <is>
          <t>•</t>
        </is>
      </c>
      <c r="B50" s="15" t="inlineStr">
        <is>
          <t>Три сценария работают на одной логике. Чувствительность считает только два отклонения выбранного драйвера.</t>
        </is>
      </c>
    </row>
    <row r="51" ht="35" customHeight="1">
      <c r="A51" s="2" t="inlineStr">
        <is>
          <t>•</t>
        </is>
      </c>
      <c r="B51" s="15" t="inlineStr">
        <is>
          <t>Выплаты ФК раскрыты отдельно на 10_Выплаты_ФК, воронка — на 05_Воронка. На дашборде 5 графиков: сеть, дети, продажи/открытия, EBITDA, cash/займ/выплаты ФК.</t>
        </is>
      </c>
    </row>
    <row r="52" ht="35" customHeight="1">
      <c r="A52" s="2" t="inlineStr">
        <is>
          <t>•</t>
        </is>
      </c>
      <c r="B52" s="15" t="inlineStr">
        <is>
          <t>Индексация и CAPEX предусмотрены, как в v4. Прямое сравнение с первоначальной моделью — лист 17; порядок работы — лист 19.</t>
        </is>
      </c>
    </row>
    <row r="53" ht="35" customHeight="1">
      <c r="A53" s="2" t="inlineStr">
        <is>
          <t>•</t>
        </is>
      </c>
      <c r="B53" s="15" t="inlineStr">
        <is>
          <t>Все формулы используют обычные функции Excel/Google Sheets без LET/FILTER/XLOOKUP/динамических массивов и внешних ссылок.</t>
        </is>
      </c>
    </row>
    <row r="54">
      <c r="A54" s="262" t="inlineStr">
        <is>
          <t>05_Воронка</t>
        </is>
      </c>
      <c r="E54" s="262" t="inlineStr">
        <is>
          <t>10_Выплаты_ФК</t>
        </is>
      </c>
    </row>
    <row r="55" ht="28" customHeight="1">
      <c r="A55" s="263" t="inlineStr">
        <is>
          <t>15_Изменения</t>
        </is>
      </c>
      <c r="E55" s="262" t="inlineStr">
        <is>
          <t>14_Ревизия</t>
        </is>
      </c>
    </row>
    <row r="56" ht="48" customHeight="1">
      <c r="A56" s="221" t="inlineStr">
        <is>
          <t>16_Инструкция</t>
        </is>
      </c>
    </row>
    <row r="57" ht="48" customHeight="1">
      <c r="A57" s="41" t="n"/>
    </row>
    <row r="58" ht="42" customHeight="1">
      <c r="B58" s="17" t="n"/>
    </row>
    <row r="59"/>
    <row r="60" ht="27" customHeight="1">
      <c r="A60" s="60" t="inlineStr">
        <is>
          <t>Динамика сети: школы и активные дети</t>
        </is>
      </c>
    </row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 ht="33" customHeight="1">
      <c r="A103" s="87" t="inlineStr">
        <is>
          <t>Месяц</t>
        </is>
      </c>
      <c r="B103" s="87" t="inlineStr">
        <is>
          <t>Школы всего</t>
        </is>
      </c>
      <c r="C103" s="87" t="inlineStr">
        <is>
          <t>Юрлица</t>
        </is>
      </c>
      <c r="D103" s="87" t="inlineStr">
        <is>
          <t>Дети действующей сети</t>
        </is>
      </c>
      <c r="E103" s="87" t="inlineStr">
        <is>
          <t>Дети новых школ</t>
        </is>
      </c>
      <c r="F103" s="87" t="inlineStr">
        <is>
          <t>Дети всего</t>
        </is>
      </c>
      <c r="G103" s="87" t="inlineStr">
        <is>
          <t>Сезон</t>
        </is>
      </c>
      <c r="H103" s="87" t="inlineStr">
        <is>
          <t>Месяц для графика</t>
        </is>
      </c>
      <c r="I103" s="87" t="inlineStr">
        <is>
          <t>Продажи</t>
        </is>
      </c>
      <c r="J103" s="87" t="inlineStr">
        <is>
          <t>Открытия</t>
        </is>
      </c>
      <c r="K103" s="87" t="inlineStr">
        <is>
          <t>EBITDA</t>
        </is>
      </c>
      <c r="L103" s="87" t="inlineStr">
        <is>
          <t>Cash</t>
        </is>
      </c>
      <c r="M103" s="87" t="inlineStr">
        <is>
          <t>Остаток займа</t>
        </is>
      </c>
      <c r="N103" s="87" t="inlineStr">
        <is>
          <t>Выплаты ФК</t>
        </is>
      </c>
    </row>
    <row r="104" ht="26" customHeight="1">
      <c r="A104" s="102">
        <f>'06_Сеть_и_дети'!B3</f>
        <v/>
      </c>
      <c r="B104" s="103">
        <f>'06_Сеть_и_дети'!B17</f>
        <v/>
      </c>
      <c r="C104" s="103">
        <f>'06_Сеть_и_дети'!B10</f>
        <v/>
      </c>
      <c r="D104" s="103">
        <f>'06_Сеть_и_дети'!B20</f>
        <v/>
      </c>
      <c r="E104" s="103">
        <f>'06_Сеть_и_дети'!B24</f>
        <v/>
      </c>
      <c r="F104" s="103">
        <f>'06_Сеть_и_дети'!B25</f>
        <v/>
      </c>
      <c r="G104" s="103">
        <f>'06_Сеть_и_дети'!B4</f>
        <v/>
      </c>
      <c r="H104" s="104">
        <f>CHOOSE(MONTH(A104),"янв","фев","мар","апр","май","июн","июл","авг","сен","окт","ноя","дек")&amp;" "&amp;YEAR(A104)</f>
        <v/>
      </c>
      <c r="I104" s="73">
        <f>'04_Продажи'!B15</f>
        <v/>
      </c>
      <c r="J104" s="73">
        <f>'04_Продажи'!B18</f>
        <v/>
      </c>
      <c r="K104" s="73">
        <f>'02_Модель'!B44</f>
        <v/>
      </c>
      <c r="L104" s="73">
        <f>'02_Модель'!B72</f>
        <v/>
      </c>
      <c r="M104" s="73">
        <f>'02_Модель'!B75</f>
        <v/>
      </c>
      <c r="N104" s="73">
        <f>'10_Выплаты_ФК'!B34</f>
        <v/>
      </c>
    </row>
    <row r="105" ht="26" customHeight="1">
      <c r="A105" s="102">
        <f>'06_Сеть_и_дети'!C3</f>
        <v/>
      </c>
      <c r="B105" s="103">
        <f>'06_Сеть_и_дети'!C17</f>
        <v/>
      </c>
      <c r="C105" s="103">
        <f>'06_Сеть_и_дети'!C10</f>
        <v/>
      </c>
      <c r="D105" s="103">
        <f>'06_Сеть_и_дети'!C20</f>
        <v/>
      </c>
      <c r="E105" s="103">
        <f>'06_Сеть_и_дети'!C24</f>
        <v/>
      </c>
      <c r="F105" s="103">
        <f>'06_Сеть_и_дети'!C25</f>
        <v/>
      </c>
      <c r="G105" s="103">
        <f>'06_Сеть_и_дети'!C4</f>
        <v/>
      </c>
      <c r="H105" s="104">
        <f>CHOOSE(MONTH(A105),"янв","фев","мар","апр","май","июн","июл","авг","сен","окт","ноя","дек")&amp;" "&amp;YEAR(A105)</f>
        <v/>
      </c>
      <c r="I105" s="73">
        <f>'04_Продажи'!C15</f>
        <v/>
      </c>
      <c r="J105" s="73">
        <f>'04_Продажи'!C18</f>
        <v/>
      </c>
      <c r="K105" s="73">
        <f>'02_Модель'!C44</f>
        <v/>
      </c>
      <c r="L105" s="73">
        <f>'02_Модель'!C72</f>
        <v/>
      </c>
      <c r="M105" s="73">
        <f>'02_Модель'!C75</f>
        <v/>
      </c>
      <c r="N105" s="73">
        <f>'10_Выплаты_ФК'!C34</f>
        <v/>
      </c>
    </row>
    <row r="106" ht="26" customHeight="1">
      <c r="A106" s="102">
        <f>'06_Сеть_и_дети'!D3</f>
        <v/>
      </c>
      <c r="B106" s="103">
        <f>'06_Сеть_и_дети'!D17</f>
        <v/>
      </c>
      <c r="C106" s="103">
        <f>'06_Сеть_и_дети'!D10</f>
        <v/>
      </c>
      <c r="D106" s="103">
        <f>'06_Сеть_и_дети'!D20</f>
        <v/>
      </c>
      <c r="E106" s="103">
        <f>'06_Сеть_и_дети'!D24</f>
        <v/>
      </c>
      <c r="F106" s="103">
        <f>'06_Сеть_и_дети'!D25</f>
        <v/>
      </c>
      <c r="G106" s="103">
        <f>'06_Сеть_и_дети'!D4</f>
        <v/>
      </c>
      <c r="H106" s="104">
        <f>CHOOSE(MONTH(A106),"янв","фев","мар","апр","май","июн","июл","авг","сен","окт","ноя","дек")&amp;" "&amp;YEAR(A106)</f>
        <v/>
      </c>
      <c r="I106" s="73">
        <f>'04_Продажи'!D15</f>
        <v/>
      </c>
      <c r="J106" s="73">
        <f>'04_Продажи'!D18</f>
        <v/>
      </c>
      <c r="K106" s="73">
        <f>'02_Модель'!D44</f>
        <v/>
      </c>
      <c r="L106" s="73">
        <f>'02_Модель'!D72</f>
        <v/>
      </c>
      <c r="M106" s="73">
        <f>'02_Модель'!D75</f>
        <v/>
      </c>
      <c r="N106" s="73">
        <f>'10_Выплаты_ФК'!D34</f>
        <v/>
      </c>
    </row>
    <row r="107" ht="26" customHeight="1">
      <c r="A107" s="102">
        <f>'06_Сеть_и_дети'!E3</f>
        <v/>
      </c>
      <c r="B107" s="103">
        <f>'06_Сеть_и_дети'!E17</f>
        <v/>
      </c>
      <c r="C107" s="103">
        <f>'06_Сеть_и_дети'!E10</f>
        <v/>
      </c>
      <c r="D107" s="103">
        <f>'06_Сеть_и_дети'!E20</f>
        <v/>
      </c>
      <c r="E107" s="103">
        <f>'06_Сеть_и_дети'!E24</f>
        <v/>
      </c>
      <c r="F107" s="103">
        <f>'06_Сеть_и_дети'!E25</f>
        <v/>
      </c>
      <c r="G107" s="103">
        <f>'06_Сеть_и_дети'!E4</f>
        <v/>
      </c>
      <c r="H107" s="104">
        <f>CHOOSE(MONTH(A107),"янв","фев","мар","апр","май","июн","июл","авг","сен","окт","ноя","дек")&amp;" "&amp;YEAR(A107)</f>
        <v/>
      </c>
      <c r="I107" s="73">
        <f>'04_Продажи'!E15</f>
        <v/>
      </c>
      <c r="J107" s="73">
        <f>'04_Продажи'!E18</f>
        <v/>
      </c>
      <c r="K107" s="73">
        <f>'02_Модель'!E44</f>
        <v/>
      </c>
      <c r="L107" s="73">
        <f>'02_Модель'!E72</f>
        <v/>
      </c>
      <c r="M107" s="73">
        <f>'02_Модель'!E75</f>
        <v/>
      </c>
      <c r="N107" s="73">
        <f>'10_Выплаты_ФК'!E34</f>
        <v/>
      </c>
    </row>
    <row r="108" ht="26" customHeight="1">
      <c r="A108" s="102">
        <f>'06_Сеть_и_дети'!F3</f>
        <v/>
      </c>
      <c r="B108" s="103">
        <f>'06_Сеть_и_дети'!F17</f>
        <v/>
      </c>
      <c r="C108" s="103">
        <f>'06_Сеть_и_дети'!F10</f>
        <v/>
      </c>
      <c r="D108" s="103">
        <f>'06_Сеть_и_дети'!F20</f>
        <v/>
      </c>
      <c r="E108" s="103">
        <f>'06_Сеть_и_дети'!F24</f>
        <v/>
      </c>
      <c r="F108" s="103">
        <f>'06_Сеть_и_дети'!F25</f>
        <v/>
      </c>
      <c r="G108" s="103">
        <f>'06_Сеть_и_дети'!F4</f>
        <v/>
      </c>
      <c r="H108" s="104">
        <f>CHOOSE(MONTH(A108),"янв","фев","мар","апр","май","июн","июл","авг","сен","окт","ноя","дек")&amp;" "&amp;YEAR(A108)</f>
        <v/>
      </c>
      <c r="I108" s="73">
        <f>'04_Продажи'!F15</f>
        <v/>
      </c>
      <c r="J108" s="73">
        <f>'04_Продажи'!F18</f>
        <v/>
      </c>
      <c r="K108" s="73">
        <f>'02_Модель'!F44</f>
        <v/>
      </c>
      <c r="L108" s="73">
        <f>'02_Модель'!F72</f>
        <v/>
      </c>
      <c r="M108" s="73">
        <f>'02_Модель'!F75</f>
        <v/>
      </c>
      <c r="N108" s="73">
        <f>'10_Выплаты_ФК'!F34</f>
        <v/>
      </c>
    </row>
    <row r="109" ht="26" customHeight="1">
      <c r="A109" s="102">
        <f>'06_Сеть_и_дети'!G3</f>
        <v/>
      </c>
      <c r="B109" s="103">
        <f>'06_Сеть_и_дети'!G17</f>
        <v/>
      </c>
      <c r="C109" s="103">
        <f>'06_Сеть_и_дети'!G10</f>
        <v/>
      </c>
      <c r="D109" s="103">
        <f>'06_Сеть_и_дети'!G20</f>
        <v/>
      </c>
      <c r="E109" s="103">
        <f>'06_Сеть_и_дети'!G24</f>
        <v/>
      </c>
      <c r="F109" s="103">
        <f>'06_Сеть_и_дети'!G25</f>
        <v/>
      </c>
      <c r="G109" s="103">
        <f>'06_Сеть_и_дети'!G4</f>
        <v/>
      </c>
      <c r="H109" s="104">
        <f>CHOOSE(MONTH(A109),"янв","фев","мар","апр","май","июн","июл","авг","сен","окт","ноя","дек")&amp;" "&amp;YEAR(A109)</f>
        <v/>
      </c>
      <c r="I109" s="73">
        <f>'04_Продажи'!G15</f>
        <v/>
      </c>
      <c r="J109" s="73">
        <f>'04_Продажи'!G18</f>
        <v/>
      </c>
      <c r="K109" s="73">
        <f>'02_Модель'!G44</f>
        <v/>
      </c>
      <c r="L109" s="73">
        <f>'02_Модель'!G72</f>
        <v/>
      </c>
      <c r="M109" s="73">
        <f>'02_Модель'!G75</f>
        <v/>
      </c>
      <c r="N109" s="73">
        <f>'10_Выплаты_ФК'!G34</f>
        <v/>
      </c>
    </row>
    <row r="110" ht="26" customHeight="1">
      <c r="A110" s="102">
        <f>'06_Сеть_и_дети'!H3</f>
        <v/>
      </c>
      <c r="B110" s="103">
        <f>'06_Сеть_и_дети'!H17</f>
        <v/>
      </c>
      <c r="C110" s="103">
        <f>'06_Сеть_и_дети'!H10</f>
        <v/>
      </c>
      <c r="D110" s="103">
        <f>'06_Сеть_и_дети'!H20</f>
        <v/>
      </c>
      <c r="E110" s="103">
        <f>'06_Сеть_и_дети'!H24</f>
        <v/>
      </c>
      <c r="F110" s="103">
        <f>'06_Сеть_и_дети'!H25</f>
        <v/>
      </c>
      <c r="G110" s="103">
        <f>'06_Сеть_и_дети'!H4</f>
        <v/>
      </c>
      <c r="H110" s="104">
        <f>CHOOSE(MONTH(A110),"янв","фев","мар","апр","май","июн","июл","авг","сен","окт","ноя","дек")&amp;" "&amp;YEAR(A110)</f>
        <v/>
      </c>
      <c r="I110" s="73">
        <f>'04_Продажи'!H15</f>
        <v/>
      </c>
      <c r="J110" s="73">
        <f>'04_Продажи'!H18</f>
        <v/>
      </c>
      <c r="K110" s="73">
        <f>'02_Модель'!H44</f>
        <v/>
      </c>
      <c r="L110" s="73">
        <f>'02_Модель'!H72</f>
        <v/>
      </c>
      <c r="M110" s="73">
        <f>'02_Модель'!H75</f>
        <v/>
      </c>
      <c r="N110" s="73">
        <f>'10_Выплаты_ФК'!H34</f>
        <v/>
      </c>
    </row>
    <row r="111" ht="26" customHeight="1">
      <c r="A111" s="102">
        <f>'06_Сеть_и_дети'!I3</f>
        <v/>
      </c>
      <c r="B111" s="103">
        <f>'06_Сеть_и_дети'!I17</f>
        <v/>
      </c>
      <c r="C111" s="103">
        <f>'06_Сеть_и_дети'!I10</f>
        <v/>
      </c>
      <c r="D111" s="103">
        <f>'06_Сеть_и_дети'!I20</f>
        <v/>
      </c>
      <c r="E111" s="103">
        <f>'06_Сеть_и_дети'!I24</f>
        <v/>
      </c>
      <c r="F111" s="103">
        <f>'06_Сеть_и_дети'!I25</f>
        <v/>
      </c>
      <c r="G111" s="103">
        <f>'06_Сеть_и_дети'!I4</f>
        <v/>
      </c>
      <c r="H111" s="104">
        <f>CHOOSE(MONTH(A111),"янв","фев","мар","апр","май","июн","июл","авг","сен","окт","ноя","дек")&amp;" "&amp;YEAR(A111)</f>
        <v/>
      </c>
      <c r="I111" s="73">
        <f>'04_Продажи'!I15</f>
        <v/>
      </c>
      <c r="J111" s="73">
        <f>'04_Продажи'!I18</f>
        <v/>
      </c>
      <c r="K111" s="73">
        <f>'02_Модель'!I44</f>
        <v/>
      </c>
      <c r="L111" s="73">
        <f>'02_Модель'!I72</f>
        <v/>
      </c>
      <c r="M111" s="73">
        <f>'02_Модель'!I75</f>
        <v/>
      </c>
      <c r="N111" s="73">
        <f>'10_Выплаты_ФК'!I34</f>
        <v/>
      </c>
    </row>
    <row r="112" ht="26" customHeight="1">
      <c r="A112" s="102">
        <f>'06_Сеть_и_дети'!J3</f>
        <v/>
      </c>
      <c r="B112" s="103">
        <f>'06_Сеть_и_дети'!J17</f>
        <v/>
      </c>
      <c r="C112" s="103">
        <f>'06_Сеть_и_дети'!J10</f>
        <v/>
      </c>
      <c r="D112" s="103">
        <f>'06_Сеть_и_дети'!J20</f>
        <v/>
      </c>
      <c r="E112" s="103">
        <f>'06_Сеть_и_дети'!J24</f>
        <v/>
      </c>
      <c r="F112" s="103">
        <f>'06_Сеть_и_дети'!J25</f>
        <v/>
      </c>
      <c r="G112" s="103">
        <f>'06_Сеть_и_дети'!J4</f>
        <v/>
      </c>
      <c r="H112" s="104">
        <f>CHOOSE(MONTH(A112),"янв","фев","мар","апр","май","июн","июл","авг","сен","окт","ноя","дек")&amp;" "&amp;YEAR(A112)</f>
        <v/>
      </c>
      <c r="I112" s="73">
        <f>'04_Продажи'!J15</f>
        <v/>
      </c>
      <c r="J112" s="73">
        <f>'04_Продажи'!J18</f>
        <v/>
      </c>
      <c r="K112" s="73">
        <f>'02_Модель'!J44</f>
        <v/>
      </c>
      <c r="L112" s="73">
        <f>'02_Модель'!J72</f>
        <v/>
      </c>
      <c r="M112" s="73">
        <f>'02_Модель'!J75</f>
        <v/>
      </c>
      <c r="N112" s="73">
        <f>'10_Выплаты_ФК'!J34</f>
        <v/>
      </c>
    </row>
    <row r="113" ht="26" customHeight="1">
      <c r="A113" s="102">
        <f>'06_Сеть_и_дети'!K3</f>
        <v/>
      </c>
      <c r="B113" s="103">
        <f>'06_Сеть_и_дети'!K17</f>
        <v/>
      </c>
      <c r="C113" s="103">
        <f>'06_Сеть_и_дети'!K10</f>
        <v/>
      </c>
      <c r="D113" s="103">
        <f>'06_Сеть_и_дети'!K20</f>
        <v/>
      </c>
      <c r="E113" s="103">
        <f>'06_Сеть_и_дети'!K24</f>
        <v/>
      </c>
      <c r="F113" s="103">
        <f>'06_Сеть_и_дети'!K25</f>
        <v/>
      </c>
      <c r="G113" s="103">
        <f>'06_Сеть_и_дети'!K4</f>
        <v/>
      </c>
      <c r="H113" s="104">
        <f>CHOOSE(MONTH(A113),"янв","фев","мар","апр","май","июн","июл","авг","сен","окт","ноя","дек")&amp;" "&amp;YEAR(A113)</f>
        <v/>
      </c>
      <c r="I113" s="73">
        <f>'04_Продажи'!K15</f>
        <v/>
      </c>
      <c r="J113" s="73">
        <f>'04_Продажи'!K18</f>
        <v/>
      </c>
      <c r="K113" s="73">
        <f>'02_Модель'!K44</f>
        <v/>
      </c>
      <c r="L113" s="73">
        <f>'02_Модель'!K72</f>
        <v/>
      </c>
      <c r="M113" s="73">
        <f>'02_Модель'!K75</f>
        <v/>
      </c>
      <c r="N113" s="73">
        <f>'10_Выплаты_ФК'!K34</f>
        <v/>
      </c>
    </row>
    <row r="114" ht="26" customHeight="1">
      <c r="A114" s="102">
        <f>'06_Сеть_и_дети'!L3</f>
        <v/>
      </c>
      <c r="B114" s="103">
        <f>'06_Сеть_и_дети'!L17</f>
        <v/>
      </c>
      <c r="C114" s="103">
        <f>'06_Сеть_и_дети'!L10</f>
        <v/>
      </c>
      <c r="D114" s="103">
        <f>'06_Сеть_и_дети'!L20</f>
        <v/>
      </c>
      <c r="E114" s="103">
        <f>'06_Сеть_и_дети'!L24</f>
        <v/>
      </c>
      <c r="F114" s="103">
        <f>'06_Сеть_и_дети'!L25</f>
        <v/>
      </c>
      <c r="G114" s="103">
        <f>'06_Сеть_и_дети'!L4</f>
        <v/>
      </c>
      <c r="H114" s="104">
        <f>CHOOSE(MONTH(A114),"янв","фев","мар","апр","май","июн","июл","авг","сен","окт","ноя","дек")&amp;" "&amp;YEAR(A114)</f>
        <v/>
      </c>
      <c r="I114" s="73">
        <f>'04_Продажи'!L15</f>
        <v/>
      </c>
      <c r="J114" s="73">
        <f>'04_Продажи'!L18</f>
        <v/>
      </c>
      <c r="K114" s="73">
        <f>'02_Модель'!L44</f>
        <v/>
      </c>
      <c r="L114" s="73">
        <f>'02_Модель'!L72</f>
        <v/>
      </c>
      <c r="M114" s="73">
        <f>'02_Модель'!L75</f>
        <v/>
      </c>
      <c r="N114" s="73">
        <f>'10_Выплаты_ФК'!L34</f>
        <v/>
      </c>
    </row>
    <row r="115" ht="26" customHeight="1">
      <c r="A115" s="102">
        <f>'06_Сеть_и_дети'!M3</f>
        <v/>
      </c>
      <c r="B115" s="103">
        <f>'06_Сеть_и_дети'!M17</f>
        <v/>
      </c>
      <c r="C115" s="103">
        <f>'06_Сеть_и_дети'!M10</f>
        <v/>
      </c>
      <c r="D115" s="103">
        <f>'06_Сеть_и_дети'!M20</f>
        <v/>
      </c>
      <c r="E115" s="103">
        <f>'06_Сеть_и_дети'!M24</f>
        <v/>
      </c>
      <c r="F115" s="103">
        <f>'06_Сеть_и_дети'!M25</f>
        <v/>
      </c>
      <c r="G115" s="103">
        <f>'06_Сеть_и_дети'!M4</f>
        <v/>
      </c>
      <c r="H115" s="104">
        <f>CHOOSE(MONTH(A115),"янв","фев","мар","апр","май","июн","июл","авг","сен","окт","ноя","дек")&amp;" "&amp;YEAR(A115)</f>
        <v/>
      </c>
      <c r="I115" s="73">
        <f>'04_Продажи'!M15</f>
        <v/>
      </c>
      <c r="J115" s="73">
        <f>'04_Продажи'!M18</f>
        <v/>
      </c>
      <c r="K115" s="73">
        <f>'02_Модель'!M44</f>
        <v/>
      </c>
      <c r="L115" s="73">
        <f>'02_Модель'!M72</f>
        <v/>
      </c>
      <c r="M115" s="73">
        <f>'02_Модель'!M75</f>
        <v/>
      </c>
      <c r="N115" s="73">
        <f>'10_Выплаты_ФК'!M34</f>
        <v/>
      </c>
    </row>
    <row r="116" ht="26" customHeight="1">
      <c r="A116" s="102">
        <f>'06_Сеть_и_дети'!N3</f>
        <v/>
      </c>
      <c r="B116" s="103">
        <f>'06_Сеть_и_дети'!N17</f>
        <v/>
      </c>
      <c r="C116" s="103">
        <f>'06_Сеть_и_дети'!N10</f>
        <v/>
      </c>
      <c r="D116" s="103">
        <f>'06_Сеть_и_дети'!N20</f>
        <v/>
      </c>
      <c r="E116" s="103">
        <f>'06_Сеть_и_дети'!N24</f>
        <v/>
      </c>
      <c r="F116" s="103">
        <f>'06_Сеть_и_дети'!N25</f>
        <v/>
      </c>
      <c r="G116" s="103">
        <f>'06_Сеть_и_дети'!N4</f>
        <v/>
      </c>
      <c r="H116" s="104">
        <f>CHOOSE(MONTH(A116),"янв","фев","мар","апр","май","июн","июл","авг","сен","окт","ноя","дек")&amp;" "&amp;YEAR(A116)</f>
        <v/>
      </c>
      <c r="I116" s="73">
        <f>'04_Продажи'!N15</f>
        <v/>
      </c>
      <c r="J116" s="73">
        <f>'04_Продажи'!N18</f>
        <v/>
      </c>
      <c r="K116" s="73">
        <f>'02_Модель'!N44</f>
        <v/>
      </c>
      <c r="L116" s="73">
        <f>'02_Модель'!N72</f>
        <v/>
      </c>
      <c r="M116" s="73">
        <f>'02_Модель'!N75</f>
        <v/>
      </c>
      <c r="N116" s="73">
        <f>'10_Выплаты_ФК'!N34</f>
        <v/>
      </c>
    </row>
    <row r="117" ht="26" customHeight="1">
      <c r="A117" s="102">
        <f>'06_Сеть_и_дети'!O3</f>
        <v/>
      </c>
      <c r="B117" s="103">
        <f>'06_Сеть_и_дети'!O17</f>
        <v/>
      </c>
      <c r="C117" s="103">
        <f>'06_Сеть_и_дети'!O10</f>
        <v/>
      </c>
      <c r="D117" s="103">
        <f>'06_Сеть_и_дети'!O20</f>
        <v/>
      </c>
      <c r="E117" s="103">
        <f>'06_Сеть_и_дети'!O24</f>
        <v/>
      </c>
      <c r="F117" s="103">
        <f>'06_Сеть_и_дети'!O25</f>
        <v/>
      </c>
      <c r="G117" s="103">
        <f>'06_Сеть_и_дети'!O4</f>
        <v/>
      </c>
      <c r="H117" s="104">
        <f>CHOOSE(MONTH(A117),"янв","фев","мар","апр","май","июн","июл","авг","сен","окт","ноя","дек")&amp;" "&amp;YEAR(A117)</f>
        <v/>
      </c>
      <c r="I117" s="73">
        <f>'04_Продажи'!O15</f>
        <v/>
      </c>
      <c r="J117" s="73">
        <f>'04_Продажи'!O18</f>
        <v/>
      </c>
      <c r="K117" s="73">
        <f>'02_Модель'!O44</f>
        <v/>
      </c>
      <c r="L117" s="73">
        <f>'02_Модель'!O72</f>
        <v/>
      </c>
      <c r="M117" s="73">
        <f>'02_Модель'!O75</f>
        <v/>
      </c>
      <c r="N117" s="73">
        <f>'10_Выплаты_ФК'!O34</f>
        <v/>
      </c>
    </row>
    <row r="118" ht="26" customHeight="1">
      <c r="A118" s="102">
        <f>'06_Сеть_и_дети'!P3</f>
        <v/>
      </c>
      <c r="B118" s="103">
        <f>'06_Сеть_и_дети'!P17</f>
        <v/>
      </c>
      <c r="C118" s="103">
        <f>'06_Сеть_и_дети'!P10</f>
        <v/>
      </c>
      <c r="D118" s="103">
        <f>'06_Сеть_и_дети'!P20</f>
        <v/>
      </c>
      <c r="E118" s="103">
        <f>'06_Сеть_и_дети'!P24</f>
        <v/>
      </c>
      <c r="F118" s="103">
        <f>'06_Сеть_и_дети'!P25</f>
        <v/>
      </c>
      <c r="G118" s="103">
        <f>'06_Сеть_и_дети'!P4</f>
        <v/>
      </c>
      <c r="H118" s="104">
        <f>CHOOSE(MONTH(A118),"янв","фев","мар","апр","май","июн","июл","авг","сен","окт","ноя","дек")&amp;" "&amp;YEAR(A118)</f>
        <v/>
      </c>
      <c r="I118" s="73">
        <f>'04_Продажи'!P15</f>
        <v/>
      </c>
      <c r="J118" s="73">
        <f>'04_Продажи'!P18</f>
        <v/>
      </c>
      <c r="K118" s="73">
        <f>'02_Модель'!P44</f>
        <v/>
      </c>
      <c r="L118" s="73">
        <f>'02_Модель'!P72</f>
        <v/>
      </c>
      <c r="M118" s="73">
        <f>'02_Модель'!P75</f>
        <v/>
      </c>
      <c r="N118" s="73">
        <f>'10_Выплаты_ФК'!P34</f>
        <v/>
      </c>
    </row>
    <row r="119" ht="26" customHeight="1">
      <c r="A119" s="102">
        <f>'06_Сеть_и_дети'!Q3</f>
        <v/>
      </c>
      <c r="B119" s="103">
        <f>'06_Сеть_и_дети'!Q17</f>
        <v/>
      </c>
      <c r="C119" s="103">
        <f>'06_Сеть_и_дети'!Q10</f>
        <v/>
      </c>
      <c r="D119" s="103">
        <f>'06_Сеть_и_дети'!Q20</f>
        <v/>
      </c>
      <c r="E119" s="103">
        <f>'06_Сеть_и_дети'!Q24</f>
        <v/>
      </c>
      <c r="F119" s="103">
        <f>'06_Сеть_и_дети'!Q25</f>
        <v/>
      </c>
      <c r="G119" s="103">
        <f>'06_Сеть_и_дети'!Q4</f>
        <v/>
      </c>
      <c r="H119" s="104">
        <f>CHOOSE(MONTH(A119),"янв","фев","мар","апр","май","июн","июл","авг","сен","окт","ноя","дек")&amp;" "&amp;YEAR(A119)</f>
        <v/>
      </c>
      <c r="I119" s="73">
        <f>'04_Продажи'!Q15</f>
        <v/>
      </c>
      <c r="J119" s="73">
        <f>'04_Продажи'!Q18</f>
        <v/>
      </c>
      <c r="K119" s="73">
        <f>'02_Модель'!Q44</f>
        <v/>
      </c>
      <c r="L119" s="73">
        <f>'02_Модель'!Q72</f>
        <v/>
      </c>
      <c r="M119" s="73">
        <f>'02_Модель'!Q75</f>
        <v/>
      </c>
      <c r="N119" s="73">
        <f>'10_Выплаты_ФК'!Q34</f>
        <v/>
      </c>
    </row>
    <row r="120" ht="26" customHeight="1">
      <c r="A120" s="102">
        <f>'06_Сеть_и_дети'!R3</f>
        <v/>
      </c>
      <c r="B120" s="103">
        <f>'06_Сеть_и_дети'!R17</f>
        <v/>
      </c>
      <c r="C120" s="103">
        <f>'06_Сеть_и_дети'!R10</f>
        <v/>
      </c>
      <c r="D120" s="103">
        <f>'06_Сеть_и_дети'!R20</f>
        <v/>
      </c>
      <c r="E120" s="103">
        <f>'06_Сеть_и_дети'!R24</f>
        <v/>
      </c>
      <c r="F120" s="103">
        <f>'06_Сеть_и_дети'!R25</f>
        <v/>
      </c>
      <c r="G120" s="103">
        <f>'06_Сеть_и_дети'!R4</f>
        <v/>
      </c>
      <c r="H120" s="104">
        <f>CHOOSE(MONTH(A120),"янв","фев","мар","апр","май","июн","июл","авг","сен","окт","ноя","дек")&amp;" "&amp;YEAR(A120)</f>
        <v/>
      </c>
      <c r="I120" s="73">
        <f>'04_Продажи'!R15</f>
        <v/>
      </c>
      <c r="J120" s="73">
        <f>'04_Продажи'!R18</f>
        <v/>
      </c>
      <c r="K120" s="73">
        <f>'02_Модель'!R44</f>
        <v/>
      </c>
      <c r="L120" s="73">
        <f>'02_Модель'!R72</f>
        <v/>
      </c>
      <c r="M120" s="73">
        <f>'02_Модель'!R75</f>
        <v/>
      </c>
      <c r="N120" s="73">
        <f>'10_Выплаты_ФК'!R34</f>
        <v/>
      </c>
    </row>
    <row r="121" ht="26" customHeight="1">
      <c r="A121" s="102">
        <f>'06_Сеть_и_дети'!S3</f>
        <v/>
      </c>
      <c r="B121" s="103">
        <f>'06_Сеть_и_дети'!S17</f>
        <v/>
      </c>
      <c r="C121" s="103">
        <f>'06_Сеть_и_дети'!S10</f>
        <v/>
      </c>
      <c r="D121" s="103">
        <f>'06_Сеть_и_дети'!S20</f>
        <v/>
      </c>
      <c r="E121" s="103">
        <f>'06_Сеть_и_дети'!S24</f>
        <v/>
      </c>
      <c r="F121" s="103">
        <f>'06_Сеть_и_дети'!S25</f>
        <v/>
      </c>
      <c r="G121" s="103">
        <f>'06_Сеть_и_дети'!S4</f>
        <v/>
      </c>
      <c r="H121" s="104">
        <f>CHOOSE(MONTH(A121),"янв","фев","мар","апр","май","июн","июл","авг","сен","окт","ноя","дек")&amp;" "&amp;YEAR(A121)</f>
        <v/>
      </c>
      <c r="I121" s="73">
        <f>'04_Продажи'!S15</f>
        <v/>
      </c>
      <c r="J121" s="73">
        <f>'04_Продажи'!S18</f>
        <v/>
      </c>
      <c r="K121" s="73">
        <f>'02_Модель'!S44</f>
        <v/>
      </c>
      <c r="L121" s="73">
        <f>'02_Модель'!S72</f>
        <v/>
      </c>
      <c r="M121" s="73">
        <f>'02_Модель'!S75</f>
        <v/>
      </c>
      <c r="N121" s="73">
        <f>'10_Выплаты_ФК'!S34</f>
        <v/>
      </c>
    </row>
    <row r="122" ht="26" customHeight="1">
      <c r="A122" s="102">
        <f>'06_Сеть_и_дети'!T3</f>
        <v/>
      </c>
      <c r="B122" s="103">
        <f>'06_Сеть_и_дети'!T17</f>
        <v/>
      </c>
      <c r="C122" s="103">
        <f>'06_Сеть_и_дети'!T10</f>
        <v/>
      </c>
      <c r="D122" s="103">
        <f>'06_Сеть_и_дети'!T20</f>
        <v/>
      </c>
      <c r="E122" s="103">
        <f>'06_Сеть_и_дети'!T24</f>
        <v/>
      </c>
      <c r="F122" s="103">
        <f>'06_Сеть_и_дети'!T25</f>
        <v/>
      </c>
      <c r="G122" s="103">
        <f>'06_Сеть_и_дети'!T4</f>
        <v/>
      </c>
      <c r="H122" s="104">
        <f>CHOOSE(MONTH(A122),"янв","фев","мар","апр","май","июн","июл","авг","сен","окт","ноя","дек")&amp;" "&amp;YEAR(A122)</f>
        <v/>
      </c>
      <c r="I122" s="73">
        <f>'04_Продажи'!T15</f>
        <v/>
      </c>
      <c r="J122" s="73">
        <f>'04_Продажи'!T18</f>
        <v/>
      </c>
      <c r="K122" s="73">
        <f>'02_Модель'!T44</f>
        <v/>
      </c>
      <c r="L122" s="73">
        <f>'02_Модель'!T72</f>
        <v/>
      </c>
      <c r="M122" s="73">
        <f>'02_Модель'!T75</f>
        <v/>
      </c>
      <c r="N122" s="73">
        <f>'10_Выплаты_ФК'!T34</f>
        <v/>
      </c>
    </row>
    <row r="123" ht="26" customHeight="1">
      <c r="A123" s="102">
        <f>'06_Сеть_и_дети'!U3</f>
        <v/>
      </c>
      <c r="B123" s="103">
        <f>'06_Сеть_и_дети'!U17</f>
        <v/>
      </c>
      <c r="C123" s="103">
        <f>'06_Сеть_и_дети'!U10</f>
        <v/>
      </c>
      <c r="D123" s="103">
        <f>'06_Сеть_и_дети'!U20</f>
        <v/>
      </c>
      <c r="E123" s="103">
        <f>'06_Сеть_и_дети'!U24</f>
        <v/>
      </c>
      <c r="F123" s="103">
        <f>'06_Сеть_и_дети'!U25</f>
        <v/>
      </c>
      <c r="G123" s="103">
        <f>'06_Сеть_и_дети'!U4</f>
        <v/>
      </c>
      <c r="H123" s="104">
        <f>CHOOSE(MONTH(A123),"янв","фев","мар","апр","май","июн","июл","авг","сен","окт","ноя","дек")&amp;" "&amp;YEAR(A123)</f>
        <v/>
      </c>
      <c r="I123" s="73">
        <f>'04_Продажи'!U15</f>
        <v/>
      </c>
      <c r="J123" s="73">
        <f>'04_Продажи'!U18</f>
        <v/>
      </c>
      <c r="K123" s="73">
        <f>'02_Модель'!U44</f>
        <v/>
      </c>
      <c r="L123" s="73">
        <f>'02_Модель'!U72</f>
        <v/>
      </c>
      <c r="M123" s="73">
        <f>'02_Модель'!U75</f>
        <v/>
      </c>
      <c r="N123" s="73">
        <f>'10_Выплаты_ФК'!U34</f>
        <v/>
      </c>
    </row>
    <row r="124" ht="26" customHeight="1">
      <c r="A124" s="102">
        <f>'06_Сеть_и_дети'!V3</f>
        <v/>
      </c>
      <c r="B124" s="103">
        <f>'06_Сеть_и_дети'!V17</f>
        <v/>
      </c>
      <c r="C124" s="103">
        <f>'06_Сеть_и_дети'!V10</f>
        <v/>
      </c>
      <c r="D124" s="103">
        <f>'06_Сеть_и_дети'!V20</f>
        <v/>
      </c>
      <c r="E124" s="103">
        <f>'06_Сеть_и_дети'!V24</f>
        <v/>
      </c>
      <c r="F124" s="103">
        <f>'06_Сеть_и_дети'!V25</f>
        <v/>
      </c>
      <c r="G124" s="103">
        <f>'06_Сеть_и_дети'!V4</f>
        <v/>
      </c>
      <c r="H124" s="104">
        <f>CHOOSE(MONTH(A124),"янв","фев","мар","апр","май","июн","июл","авг","сен","окт","ноя","дек")&amp;" "&amp;YEAR(A124)</f>
        <v/>
      </c>
      <c r="I124" s="73">
        <f>'04_Продажи'!V15</f>
        <v/>
      </c>
      <c r="J124" s="73">
        <f>'04_Продажи'!V18</f>
        <v/>
      </c>
      <c r="K124" s="73">
        <f>'02_Модель'!V44</f>
        <v/>
      </c>
      <c r="L124" s="73">
        <f>'02_Модель'!V72</f>
        <v/>
      </c>
      <c r="M124" s="73">
        <f>'02_Модель'!V75</f>
        <v/>
      </c>
      <c r="N124" s="73">
        <f>'10_Выплаты_ФК'!V34</f>
        <v/>
      </c>
    </row>
    <row r="125" ht="26" customHeight="1">
      <c r="A125" s="102">
        <f>'06_Сеть_и_дети'!W3</f>
        <v/>
      </c>
      <c r="B125" s="103">
        <f>'06_Сеть_и_дети'!W17</f>
        <v/>
      </c>
      <c r="C125" s="103">
        <f>'06_Сеть_и_дети'!W10</f>
        <v/>
      </c>
      <c r="D125" s="103">
        <f>'06_Сеть_и_дети'!W20</f>
        <v/>
      </c>
      <c r="E125" s="103">
        <f>'06_Сеть_и_дети'!W24</f>
        <v/>
      </c>
      <c r="F125" s="103">
        <f>'06_Сеть_и_дети'!W25</f>
        <v/>
      </c>
      <c r="G125" s="103">
        <f>'06_Сеть_и_дети'!W4</f>
        <v/>
      </c>
      <c r="H125" s="104">
        <f>CHOOSE(MONTH(A125),"янв","фев","мар","апр","май","июн","июл","авг","сен","окт","ноя","дек")&amp;" "&amp;YEAR(A125)</f>
        <v/>
      </c>
      <c r="I125" s="73">
        <f>'04_Продажи'!W15</f>
        <v/>
      </c>
      <c r="J125" s="73">
        <f>'04_Продажи'!W18</f>
        <v/>
      </c>
      <c r="K125" s="73">
        <f>'02_Модель'!W44</f>
        <v/>
      </c>
      <c r="L125" s="73">
        <f>'02_Модель'!W72</f>
        <v/>
      </c>
      <c r="M125" s="73">
        <f>'02_Модель'!W75</f>
        <v/>
      </c>
      <c r="N125" s="73">
        <f>'10_Выплаты_ФК'!W34</f>
        <v/>
      </c>
    </row>
    <row r="126" ht="26" customHeight="1">
      <c r="A126" s="102">
        <f>'06_Сеть_и_дети'!X3</f>
        <v/>
      </c>
      <c r="B126" s="103">
        <f>'06_Сеть_и_дети'!X17</f>
        <v/>
      </c>
      <c r="C126" s="103">
        <f>'06_Сеть_и_дети'!X10</f>
        <v/>
      </c>
      <c r="D126" s="103">
        <f>'06_Сеть_и_дети'!X20</f>
        <v/>
      </c>
      <c r="E126" s="103">
        <f>'06_Сеть_и_дети'!X24</f>
        <v/>
      </c>
      <c r="F126" s="103">
        <f>'06_Сеть_и_дети'!X25</f>
        <v/>
      </c>
      <c r="G126" s="103">
        <f>'06_Сеть_и_дети'!X4</f>
        <v/>
      </c>
      <c r="H126" s="104">
        <f>CHOOSE(MONTH(A126),"янв","фев","мар","апр","май","июн","июл","авг","сен","окт","ноя","дек")&amp;" "&amp;YEAR(A126)</f>
        <v/>
      </c>
      <c r="I126" s="73">
        <f>'04_Продажи'!X15</f>
        <v/>
      </c>
      <c r="J126" s="73">
        <f>'04_Продажи'!X18</f>
        <v/>
      </c>
      <c r="K126" s="73">
        <f>'02_Модель'!X44</f>
        <v/>
      </c>
      <c r="L126" s="73">
        <f>'02_Модель'!X72</f>
        <v/>
      </c>
      <c r="M126" s="73">
        <f>'02_Модель'!X75</f>
        <v/>
      </c>
      <c r="N126" s="73">
        <f>'10_Выплаты_ФК'!X34</f>
        <v/>
      </c>
    </row>
    <row r="127" ht="26" customHeight="1">
      <c r="A127" s="102">
        <f>'06_Сеть_и_дети'!Y3</f>
        <v/>
      </c>
      <c r="B127" s="103">
        <f>'06_Сеть_и_дети'!Y17</f>
        <v/>
      </c>
      <c r="C127" s="103">
        <f>'06_Сеть_и_дети'!Y10</f>
        <v/>
      </c>
      <c r="D127" s="103">
        <f>'06_Сеть_и_дети'!Y20</f>
        <v/>
      </c>
      <c r="E127" s="103">
        <f>'06_Сеть_и_дети'!Y24</f>
        <v/>
      </c>
      <c r="F127" s="103">
        <f>'06_Сеть_и_дети'!Y25</f>
        <v/>
      </c>
      <c r="G127" s="103">
        <f>'06_Сеть_и_дети'!Y4</f>
        <v/>
      </c>
      <c r="H127" s="104">
        <f>CHOOSE(MONTH(A127),"янв","фев","мар","апр","май","июн","июл","авг","сен","окт","ноя","дек")&amp;" "&amp;YEAR(A127)</f>
        <v/>
      </c>
      <c r="I127" s="73">
        <f>'04_Продажи'!Y15</f>
        <v/>
      </c>
      <c r="J127" s="73">
        <f>'04_Продажи'!Y18</f>
        <v/>
      </c>
      <c r="K127" s="73">
        <f>'02_Модель'!Y44</f>
        <v/>
      </c>
      <c r="L127" s="73">
        <f>'02_Модель'!Y72</f>
        <v/>
      </c>
      <c r="M127" s="73">
        <f>'02_Модель'!Y75</f>
        <v/>
      </c>
      <c r="N127" s="73">
        <f>'10_Выплаты_ФК'!Y34</f>
        <v/>
      </c>
    </row>
    <row r="128" ht="26" customHeight="1">
      <c r="A128" s="102">
        <f>'06_Сеть_и_дети'!Z3</f>
        <v/>
      </c>
      <c r="B128" s="103">
        <f>'06_Сеть_и_дети'!Z17</f>
        <v/>
      </c>
      <c r="C128" s="103">
        <f>'06_Сеть_и_дети'!Z10</f>
        <v/>
      </c>
      <c r="D128" s="103">
        <f>'06_Сеть_и_дети'!Z20</f>
        <v/>
      </c>
      <c r="E128" s="103">
        <f>'06_Сеть_и_дети'!Z24</f>
        <v/>
      </c>
      <c r="F128" s="103">
        <f>'06_Сеть_и_дети'!Z25</f>
        <v/>
      </c>
      <c r="G128" s="103">
        <f>'06_Сеть_и_дети'!Z4</f>
        <v/>
      </c>
      <c r="H128" s="104">
        <f>CHOOSE(MONTH(A128),"янв","фев","мар","апр","май","июн","июл","авг","сен","окт","ноя","дек")&amp;" "&amp;YEAR(A128)</f>
        <v/>
      </c>
      <c r="I128" s="73">
        <f>'04_Продажи'!Z15</f>
        <v/>
      </c>
      <c r="J128" s="73">
        <f>'04_Продажи'!Z18</f>
        <v/>
      </c>
      <c r="K128" s="73">
        <f>'02_Модель'!Z44</f>
        <v/>
      </c>
      <c r="L128" s="73">
        <f>'02_Модель'!Z72</f>
        <v/>
      </c>
      <c r="M128" s="73">
        <f>'02_Модель'!Z75</f>
        <v/>
      </c>
      <c r="N128" s="73">
        <f>'10_Выплаты_ФК'!Z34</f>
        <v/>
      </c>
    </row>
    <row r="129" ht="26" customHeight="1">
      <c r="A129" s="102">
        <f>'06_Сеть_и_дети'!AA3</f>
        <v/>
      </c>
      <c r="B129" s="103">
        <f>'06_Сеть_и_дети'!AA17</f>
        <v/>
      </c>
      <c r="C129" s="103">
        <f>'06_Сеть_и_дети'!AA10</f>
        <v/>
      </c>
      <c r="D129" s="103">
        <f>'06_Сеть_и_дети'!AA20</f>
        <v/>
      </c>
      <c r="E129" s="103">
        <f>'06_Сеть_и_дети'!AA24</f>
        <v/>
      </c>
      <c r="F129" s="103">
        <f>'06_Сеть_и_дети'!AA25</f>
        <v/>
      </c>
      <c r="G129" s="103">
        <f>'06_Сеть_и_дети'!AA4</f>
        <v/>
      </c>
      <c r="H129" s="104">
        <f>CHOOSE(MONTH(A129),"янв","фев","мар","апр","май","июн","июл","авг","сен","окт","ноя","дек")&amp;" "&amp;YEAR(A129)</f>
        <v/>
      </c>
      <c r="I129" s="73">
        <f>'04_Продажи'!AA15</f>
        <v/>
      </c>
      <c r="J129" s="73">
        <f>'04_Продажи'!AA18</f>
        <v/>
      </c>
      <c r="K129" s="73">
        <f>'02_Модель'!AA44</f>
        <v/>
      </c>
      <c r="L129" s="73">
        <f>'02_Модель'!AA72</f>
        <v/>
      </c>
      <c r="M129" s="73">
        <f>'02_Модель'!AA75</f>
        <v/>
      </c>
      <c r="N129" s="73">
        <f>'10_Выплаты_ФК'!AA34</f>
        <v/>
      </c>
    </row>
    <row r="130" ht="26" customHeight="1">
      <c r="A130" s="102">
        <f>'06_Сеть_и_дети'!AB3</f>
        <v/>
      </c>
      <c r="B130" s="103">
        <f>'06_Сеть_и_дети'!AB17</f>
        <v/>
      </c>
      <c r="C130" s="103">
        <f>'06_Сеть_и_дети'!AB10</f>
        <v/>
      </c>
      <c r="D130" s="103">
        <f>'06_Сеть_и_дети'!AB20</f>
        <v/>
      </c>
      <c r="E130" s="103">
        <f>'06_Сеть_и_дети'!AB24</f>
        <v/>
      </c>
      <c r="F130" s="103">
        <f>'06_Сеть_и_дети'!AB25</f>
        <v/>
      </c>
      <c r="G130" s="103">
        <f>'06_Сеть_и_дети'!AB4</f>
        <v/>
      </c>
      <c r="H130" s="104">
        <f>CHOOSE(MONTH(A130),"янв","фев","мар","апр","май","июн","июл","авг","сен","окт","ноя","дек")&amp;" "&amp;YEAR(A130)</f>
        <v/>
      </c>
      <c r="I130" s="73">
        <f>'04_Продажи'!AB15</f>
        <v/>
      </c>
      <c r="J130" s="73">
        <f>'04_Продажи'!AB18</f>
        <v/>
      </c>
      <c r="K130" s="73">
        <f>'02_Модель'!AB44</f>
        <v/>
      </c>
      <c r="L130" s="73">
        <f>'02_Модель'!AB72</f>
        <v/>
      </c>
      <c r="M130" s="73">
        <f>'02_Модель'!AB75</f>
        <v/>
      </c>
      <c r="N130" s="73">
        <f>'10_Выплаты_ФК'!AB34</f>
        <v/>
      </c>
    </row>
    <row r="131" ht="26" customHeight="1">
      <c r="A131" s="102">
        <f>'06_Сеть_и_дети'!AC3</f>
        <v/>
      </c>
      <c r="B131" s="103">
        <f>'06_Сеть_и_дети'!AC17</f>
        <v/>
      </c>
      <c r="C131" s="103">
        <f>'06_Сеть_и_дети'!AC10</f>
        <v/>
      </c>
      <c r="D131" s="103">
        <f>'06_Сеть_и_дети'!AC20</f>
        <v/>
      </c>
      <c r="E131" s="103">
        <f>'06_Сеть_и_дети'!AC24</f>
        <v/>
      </c>
      <c r="F131" s="103">
        <f>'06_Сеть_и_дети'!AC25</f>
        <v/>
      </c>
      <c r="G131" s="103">
        <f>'06_Сеть_и_дети'!AC4</f>
        <v/>
      </c>
      <c r="H131" s="104">
        <f>CHOOSE(MONTH(A131),"янв","фев","мар","апр","май","июн","июл","авг","сен","окт","ноя","дек")&amp;" "&amp;YEAR(A131)</f>
        <v/>
      </c>
      <c r="I131" s="73">
        <f>'04_Продажи'!AC15</f>
        <v/>
      </c>
      <c r="J131" s="73">
        <f>'04_Продажи'!AC18</f>
        <v/>
      </c>
      <c r="K131" s="73">
        <f>'02_Модель'!AC44</f>
        <v/>
      </c>
      <c r="L131" s="73">
        <f>'02_Модель'!AC72</f>
        <v/>
      </c>
      <c r="M131" s="73">
        <f>'02_Модель'!AC75</f>
        <v/>
      </c>
      <c r="N131" s="73">
        <f>'10_Выплаты_ФК'!AC34</f>
        <v/>
      </c>
    </row>
    <row r="132" ht="26" customHeight="1">
      <c r="A132" s="102">
        <f>'06_Сеть_и_дети'!AD3</f>
        <v/>
      </c>
      <c r="B132" s="103">
        <f>'06_Сеть_и_дети'!AD17</f>
        <v/>
      </c>
      <c r="C132" s="103">
        <f>'06_Сеть_и_дети'!AD10</f>
        <v/>
      </c>
      <c r="D132" s="103">
        <f>'06_Сеть_и_дети'!AD20</f>
        <v/>
      </c>
      <c r="E132" s="103">
        <f>'06_Сеть_и_дети'!AD24</f>
        <v/>
      </c>
      <c r="F132" s="103">
        <f>'06_Сеть_и_дети'!AD25</f>
        <v/>
      </c>
      <c r="G132" s="103">
        <f>'06_Сеть_и_дети'!AD4</f>
        <v/>
      </c>
      <c r="H132" s="104">
        <f>CHOOSE(MONTH(A132),"янв","фев","мар","апр","май","июн","июл","авг","сен","окт","ноя","дек")&amp;" "&amp;YEAR(A132)</f>
        <v/>
      </c>
      <c r="I132" s="73">
        <f>'04_Продажи'!AD15</f>
        <v/>
      </c>
      <c r="J132" s="73">
        <f>'04_Продажи'!AD18</f>
        <v/>
      </c>
      <c r="K132" s="73">
        <f>'02_Модель'!AD44</f>
        <v/>
      </c>
      <c r="L132" s="73">
        <f>'02_Модель'!AD72</f>
        <v/>
      </c>
      <c r="M132" s="73">
        <f>'02_Модель'!AD75</f>
        <v/>
      </c>
      <c r="N132" s="73">
        <f>'10_Выплаты_ФК'!AD34</f>
        <v/>
      </c>
    </row>
    <row r="133" ht="26" customHeight="1">
      <c r="A133" s="102">
        <f>'06_Сеть_и_дети'!AE3</f>
        <v/>
      </c>
      <c r="B133" s="103">
        <f>'06_Сеть_и_дети'!AE17</f>
        <v/>
      </c>
      <c r="C133" s="103">
        <f>'06_Сеть_и_дети'!AE10</f>
        <v/>
      </c>
      <c r="D133" s="103">
        <f>'06_Сеть_и_дети'!AE20</f>
        <v/>
      </c>
      <c r="E133" s="103">
        <f>'06_Сеть_и_дети'!AE24</f>
        <v/>
      </c>
      <c r="F133" s="103">
        <f>'06_Сеть_и_дети'!AE25</f>
        <v/>
      </c>
      <c r="G133" s="103">
        <f>'06_Сеть_и_дети'!AE4</f>
        <v/>
      </c>
      <c r="H133" s="104">
        <f>CHOOSE(MONTH(A133),"янв","фев","мар","апр","май","июн","июл","авг","сен","окт","ноя","дек")&amp;" "&amp;YEAR(A133)</f>
        <v/>
      </c>
      <c r="I133" s="73">
        <f>'04_Продажи'!AE15</f>
        <v/>
      </c>
      <c r="J133" s="73">
        <f>'04_Продажи'!AE18</f>
        <v/>
      </c>
      <c r="K133" s="73">
        <f>'02_Модель'!AE44</f>
        <v/>
      </c>
      <c r="L133" s="73">
        <f>'02_Модель'!AE72</f>
        <v/>
      </c>
      <c r="M133" s="73">
        <f>'02_Модель'!AE75</f>
        <v/>
      </c>
      <c r="N133" s="73">
        <f>'10_Выплаты_ФК'!AE34</f>
        <v/>
      </c>
    </row>
    <row r="134" ht="26" customHeight="1">
      <c r="A134" s="102">
        <f>'06_Сеть_и_дети'!AF3</f>
        <v/>
      </c>
      <c r="B134" s="103">
        <f>'06_Сеть_и_дети'!AF17</f>
        <v/>
      </c>
      <c r="C134" s="103">
        <f>'06_Сеть_и_дети'!AF10</f>
        <v/>
      </c>
      <c r="D134" s="103">
        <f>'06_Сеть_и_дети'!AF20</f>
        <v/>
      </c>
      <c r="E134" s="103">
        <f>'06_Сеть_и_дети'!AF24</f>
        <v/>
      </c>
      <c r="F134" s="103">
        <f>'06_Сеть_и_дети'!AF25</f>
        <v/>
      </c>
      <c r="G134" s="103">
        <f>'06_Сеть_и_дети'!AF4</f>
        <v/>
      </c>
      <c r="H134" s="104">
        <f>CHOOSE(MONTH(A134),"янв","фев","мар","апр","май","июн","июл","авг","сен","окт","ноя","дек")&amp;" "&amp;YEAR(A134)</f>
        <v/>
      </c>
      <c r="I134" s="73">
        <f>'04_Продажи'!AF15</f>
        <v/>
      </c>
      <c r="J134" s="73">
        <f>'04_Продажи'!AF18</f>
        <v/>
      </c>
      <c r="K134" s="73">
        <f>'02_Модель'!AF44</f>
        <v/>
      </c>
      <c r="L134" s="73">
        <f>'02_Модель'!AF72</f>
        <v/>
      </c>
      <c r="M134" s="73">
        <f>'02_Модель'!AF75</f>
        <v/>
      </c>
      <c r="N134" s="73">
        <f>'10_Выплаты_ФК'!AF34</f>
        <v/>
      </c>
    </row>
    <row r="135" ht="26" customHeight="1">
      <c r="A135" s="102">
        <f>'06_Сеть_и_дети'!AG3</f>
        <v/>
      </c>
      <c r="B135" s="103">
        <f>'06_Сеть_и_дети'!AG17</f>
        <v/>
      </c>
      <c r="C135" s="103">
        <f>'06_Сеть_и_дети'!AG10</f>
        <v/>
      </c>
      <c r="D135" s="103">
        <f>'06_Сеть_и_дети'!AG20</f>
        <v/>
      </c>
      <c r="E135" s="103">
        <f>'06_Сеть_и_дети'!AG24</f>
        <v/>
      </c>
      <c r="F135" s="103">
        <f>'06_Сеть_и_дети'!AG25</f>
        <v/>
      </c>
      <c r="G135" s="103">
        <f>'06_Сеть_и_дети'!AG4</f>
        <v/>
      </c>
      <c r="H135" s="104">
        <f>CHOOSE(MONTH(A135),"янв","фев","мар","апр","май","июн","июл","авг","сен","окт","ноя","дек")&amp;" "&amp;YEAR(A135)</f>
        <v/>
      </c>
      <c r="I135" s="73">
        <f>'04_Продажи'!AG15</f>
        <v/>
      </c>
      <c r="J135" s="73">
        <f>'04_Продажи'!AG18</f>
        <v/>
      </c>
      <c r="K135" s="73">
        <f>'02_Модель'!AG44</f>
        <v/>
      </c>
      <c r="L135" s="73">
        <f>'02_Модель'!AG72</f>
        <v/>
      </c>
      <c r="M135" s="73">
        <f>'02_Модель'!AG75</f>
        <v/>
      </c>
      <c r="N135" s="73">
        <f>'10_Выплаты_ФК'!AG34</f>
        <v/>
      </c>
    </row>
    <row r="136" ht="26" customHeight="1">
      <c r="A136" s="102">
        <f>'06_Сеть_и_дети'!AH3</f>
        <v/>
      </c>
      <c r="B136" s="103">
        <f>'06_Сеть_и_дети'!AH17</f>
        <v/>
      </c>
      <c r="C136" s="103">
        <f>'06_Сеть_и_дети'!AH10</f>
        <v/>
      </c>
      <c r="D136" s="103">
        <f>'06_Сеть_и_дети'!AH20</f>
        <v/>
      </c>
      <c r="E136" s="103">
        <f>'06_Сеть_и_дети'!AH24</f>
        <v/>
      </c>
      <c r="F136" s="103">
        <f>'06_Сеть_и_дети'!AH25</f>
        <v/>
      </c>
      <c r="G136" s="103">
        <f>'06_Сеть_и_дети'!AH4</f>
        <v/>
      </c>
      <c r="H136" s="104">
        <f>CHOOSE(MONTH(A136),"янв","фев","мар","апр","май","июн","июл","авг","сен","окт","ноя","дек")&amp;" "&amp;YEAR(A136)</f>
        <v/>
      </c>
      <c r="I136" s="73">
        <f>'04_Продажи'!AH15</f>
        <v/>
      </c>
      <c r="J136" s="73">
        <f>'04_Продажи'!AH18</f>
        <v/>
      </c>
      <c r="K136" s="73">
        <f>'02_Модель'!AH44</f>
        <v/>
      </c>
      <c r="L136" s="73">
        <f>'02_Модель'!AH72</f>
        <v/>
      </c>
      <c r="M136" s="73">
        <f>'02_Модель'!AH75</f>
        <v/>
      </c>
      <c r="N136" s="73">
        <f>'10_Выплаты_ФК'!AH34</f>
        <v/>
      </c>
    </row>
    <row r="137" ht="26" customHeight="1">
      <c r="A137" s="102">
        <f>'06_Сеть_и_дети'!AI3</f>
        <v/>
      </c>
      <c r="B137" s="103">
        <f>'06_Сеть_и_дети'!AI17</f>
        <v/>
      </c>
      <c r="C137" s="103">
        <f>'06_Сеть_и_дети'!AI10</f>
        <v/>
      </c>
      <c r="D137" s="103">
        <f>'06_Сеть_и_дети'!AI20</f>
        <v/>
      </c>
      <c r="E137" s="103">
        <f>'06_Сеть_и_дети'!AI24</f>
        <v/>
      </c>
      <c r="F137" s="103">
        <f>'06_Сеть_и_дети'!AI25</f>
        <v/>
      </c>
      <c r="G137" s="103">
        <f>'06_Сеть_и_дети'!AI4</f>
        <v/>
      </c>
      <c r="H137" s="104">
        <f>CHOOSE(MONTH(A137),"янв","фев","мар","апр","май","июн","июл","авг","сен","окт","ноя","дек")&amp;" "&amp;YEAR(A137)</f>
        <v/>
      </c>
      <c r="I137" s="73">
        <f>'04_Продажи'!AI15</f>
        <v/>
      </c>
      <c r="J137" s="73">
        <f>'04_Продажи'!AI18</f>
        <v/>
      </c>
      <c r="K137" s="73">
        <f>'02_Модель'!AI44</f>
        <v/>
      </c>
      <c r="L137" s="73">
        <f>'02_Модель'!AI72</f>
        <v/>
      </c>
      <c r="M137" s="73">
        <f>'02_Модель'!AI75</f>
        <v/>
      </c>
      <c r="N137" s="73">
        <f>'10_Выплаты_ФК'!AI34</f>
        <v/>
      </c>
    </row>
    <row r="138" ht="26" customHeight="1">
      <c r="A138" s="102">
        <f>'06_Сеть_и_дети'!AJ3</f>
        <v/>
      </c>
      <c r="B138" s="103">
        <f>'06_Сеть_и_дети'!AJ17</f>
        <v/>
      </c>
      <c r="C138" s="103">
        <f>'06_Сеть_и_дети'!AJ10</f>
        <v/>
      </c>
      <c r="D138" s="103">
        <f>'06_Сеть_и_дети'!AJ20</f>
        <v/>
      </c>
      <c r="E138" s="103">
        <f>'06_Сеть_и_дети'!AJ24</f>
        <v/>
      </c>
      <c r="F138" s="103">
        <f>'06_Сеть_и_дети'!AJ25</f>
        <v/>
      </c>
      <c r="G138" s="103">
        <f>'06_Сеть_и_дети'!AJ4</f>
        <v/>
      </c>
      <c r="H138" s="104">
        <f>CHOOSE(MONTH(A138),"янв","фев","мар","апр","май","июн","июл","авг","сен","окт","ноя","дек")&amp;" "&amp;YEAR(A138)</f>
        <v/>
      </c>
      <c r="I138" s="73">
        <f>'04_Продажи'!AJ15</f>
        <v/>
      </c>
      <c r="J138" s="73">
        <f>'04_Продажи'!AJ18</f>
        <v/>
      </c>
      <c r="K138" s="73">
        <f>'02_Модель'!AJ44</f>
        <v/>
      </c>
      <c r="L138" s="73">
        <f>'02_Модель'!AJ72</f>
        <v/>
      </c>
      <c r="M138" s="73">
        <f>'02_Модель'!AJ75</f>
        <v/>
      </c>
      <c r="N138" s="73">
        <f>'10_Выплаты_ФК'!AJ34</f>
        <v/>
      </c>
    </row>
    <row r="139" ht="26" customHeight="1">
      <c r="A139" s="102">
        <f>'06_Сеть_и_дети'!AK3</f>
        <v/>
      </c>
      <c r="B139" s="103">
        <f>'06_Сеть_и_дети'!AK17</f>
        <v/>
      </c>
      <c r="C139" s="103">
        <f>'06_Сеть_и_дети'!AK10</f>
        <v/>
      </c>
      <c r="D139" s="103">
        <f>'06_Сеть_и_дети'!AK20</f>
        <v/>
      </c>
      <c r="E139" s="103">
        <f>'06_Сеть_и_дети'!AK24</f>
        <v/>
      </c>
      <c r="F139" s="103">
        <f>'06_Сеть_и_дети'!AK25</f>
        <v/>
      </c>
      <c r="G139" s="103">
        <f>'06_Сеть_и_дети'!AK4</f>
        <v/>
      </c>
      <c r="H139" s="104">
        <f>CHOOSE(MONTH(A139),"янв","фев","мар","апр","май","июн","июл","авг","сен","окт","ноя","дек")&amp;" "&amp;YEAR(A139)</f>
        <v/>
      </c>
      <c r="I139" s="73">
        <f>'04_Продажи'!AK15</f>
        <v/>
      </c>
      <c r="J139" s="73">
        <f>'04_Продажи'!AK18</f>
        <v/>
      </c>
      <c r="K139" s="73">
        <f>'02_Модель'!AK44</f>
        <v/>
      </c>
      <c r="L139" s="73">
        <f>'02_Модель'!AK72</f>
        <v/>
      </c>
      <c r="M139" s="73">
        <f>'02_Модель'!AK75</f>
        <v/>
      </c>
      <c r="N139" s="73">
        <f>'10_Выплаты_ФК'!AK34</f>
        <v/>
      </c>
    </row>
    <row r="140" ht="26" customHeight="1">
      <c r="A140" s="102">
        <f>'06_Сеть_и_дети'!AL3</f>
        <v/>
      </c>
      <c r="B140" s="103">
        <f>'06_Сеть_и_дети'!AL17</f>
        <v/>
      </c>
      <c r="C140" s="103">
        <f>'06_Сеть_и_дети'!AL10</f>
        <v/>
      </c>
      <c r="D140" s="103">
        <f>'06_Сеть_и_дети'!AL20</f>
        <v/>
      </c>
      <c r="E140" s="103">
        <f>'06_Сеть_и_дети'!AL24</f>
        <v/>
      </c>
      <c r="F140" s="103">
        <f>'06_Сеть_и_дети'!AL25</f>
        <v/>
      </c>
      <c r="G140" s="103">
        <f>'06_Сеть_и_дети'!AL4</f>
        <v/>
      </c>
      <c r="H140" s="104">
        <f>CHOOSE(MONTH(A140),"янв","фев","мар","апр","май","июн","июл","авг","сен","окт","ноя","дек")&amp;" "&amp;YEAR(A140)</f>
        <v/>
      </c>
      <c r="I140" s="73">
        <f>'04_Продажи'!AL15</f>
        <v/>
      </c>
      <c r="J140" s="73">
        <f>'04_Продажи'!AL18</f>
        <v/>
      </c>
      <c r="K140" s="73">
        <f>'02_Модель'!AL44</f>
        <v/>
      </c>
      <c r="L140" s="73">
        <f>'02_Модель'!AL72</f>
        <v/>
      </c>
      <c r="M140" s="73">
        <f>'02_Модель'!AL75</f>
        <v/>
      </c>
      <c r="N140" s="73">
        <f>'10_Выплаты_ФК'!AL34</f>
        <v/>
      </c>
    </row>
    <row r="141" ht="26" customHeight="1">
      <c r="A141" s="102">
        <f>'06_Сеть_и_дети'!AM3</f>
        <v/>
      </c>
      <c r="B141" s="103">
        <f>'06_Сеть_и_дети'!AM17</f>
        <v/>
      </c>
      <c r="C141" s="103">
        <f>'06_Сеть_и_дети'!AM10</f>
        <v/>
      </c>
      <c r="D141" s="103">
        <f>'06_Сеть_и_дети'!AM20</f>
        <v/>
      </c>
      <c r="E141" s="103">
        <f>'06_Сеть_и_дети'!AM24</f>
        <v/>
      </c>
      <c r="F141" s="103">
        <f>'06_Сеть_и_дети'!AM25</f>
        <v/>
      </c>
      <c r="G141" s="103">
        <f>'06_Сеть_и_дети'!AM4</f>
        <v/>
      </c>
      <c r="H141" s="104">
        <f>CHOOSE(MONTH(A141),"янв","фев","мар","апр","май","июн","июл","авг","сен","окт","ноя","дек")&amp;" "&amp;YEAR(A141)</f>
        <v/>
      </c>
      <c r="I141" s="73">
        <f>'04_Продажи'!AM15</f>
        <v/>
      </c>
      <c r="J141" s="73">
        <f>'04_Продажи'!AM18</f>
        <v/>
      </c>
      <c r="K141" s="73">
        <f>'02_Модель'!AM44</f>
        <v/>
      </c>
      <c r="L141" s="73">
        <f>'02_Модель'!AM72</f>
        <v/>
      </c>
      <c r="M141" s="73">
        <f>'02_Модель'!AM75</f>
        <v/>
      </c>
      <c r="N141" s="73">
        <f>'10_Выплаты_ФК'!AM34</f>
        <v/>
      </c>
    </row>
    <row r="142" ht="26" customHeight="1">
      <c r="A142" s="102">
        <f>'06_Сеть_и_дети'!AN3</f>
        <v/>
      </c>
      <c r="B142" s="103">
        <f>'06_Сеть_и_дети'!AN17</f>
        <v/>
      </c>
      <c r="C142" s="103">
        <f>'06_Сеть_и_дети'!AN10</f>
        <v/>
      </c>
      <c r="D142" s="103">
        <f>'06_Сеть_и_дети'!AN20</f>
        <v/>
      </c>
      <c r="E142" s="103">
        <f>'06_Сеть_и_дети'!AN24</f>
        <v/>
      </c>
      <c r="F142" s="103">
        <f>'06_Сеть_и_дети'!AN25</f>
        <v/>
      </c>
      <c r="G142" s="103">
        <f>'06_Сеть_и_дети'!AN4</f>
        <v/>
      </c>
      <c r="H142" s="104">
        <f>CHOOSE(MONTH(A142),"янв","фев","мар","апр","май","июн","июл","авг","сен","окт","ноя","дек")&amp;" "&amp;YEAR(A142)</f>
        <v/>
      </c>
      <c r="I142" s="73">
        <f>'04_Продажи'!AN15</f>
        <v/>
      </c>
      <c r="J142" s="73">
        <f>'04_Продажи'!AN18</f>
        <v/>
      </c>
      <c r="K142" s="73">
        <f>'02_Модель'!AN44</f>
        <v/>
      </c>
      <c r="L142" s="73">
        <f>'02_Модель'!AN72</f>
        <v/>
      </c>
      <c r="M142" s="73">
        <f>'02_Модель'!AN75</f>
        <v/>
      </c>
      <c r="N142" s="73">
        <f>'10_Выплаты_ФК'!AN34</f>
        <v/>
      </c>
    </row>
    <row r="143" ht="26" customHeight="1">
      <c r="A143" s="102">
        <f>'06_Сеть_и_дети'!AO3</f>
        <v/>
      </c>
      <c r="B143" s="103">
        <f>'06_Сеть_и_дети'!AO17</f>
        <v/>
      </c>
      <c r="C143" s="103">
        <f>'06_Сеть_и_дети'!AO10</f>
        <v/>
      </c>
      <c r="D143" s="103">
        <f>'06_Сеть_и_дети'!AO20</f>
        <v/>
      </c>
      <c r="E143" s="103">
        <f>'06_Сеть_и_дети'!AO24</f>
        <v/>
      </c>
      <c r="F143" s="103">
        <f>'06_Сеть_и_дети'!AO25</f>
        <v/>
      </c>
      <c r="G143" s="103">
        <f>'06_Сеть_и_дети'!AO4</f>
        <v/>
      </c>
      <c r="H143" s="104">
        <f>CHOOSE(MONTH(A143),"янв","фев","мар","апр","май","июн","июл","авг","сен","окт","ноя","дек")&amp;" "&amp;YEAR(A143)</f>
        <v/>
      </c>
      <c r="I143" s="73">
        <f>'04_Продажи'!AO15</f>
        <v/>
      </c>
      <c r="J143" s="73">
        <f>'04_Продажи'!AO18</f>
        <v/>
      </c>
      <c r="K143" s="73">
        <f>'02_Модель'!AO44</f>
        <v/>
      </c>
      <c r="L143" s="73">
        <f>'02_Модель'!AO72</f>
        <v/>
      </c>
      <c r="M143" s="73">
        <f>'02_Модель'!AO75</f>
        <v/>
      </c>
      <c r="N143" s="73">
        <f>'10_Выплаты_ФК'!AO34</f>
        <v/>
      </c>
    </row>
    <row r="144" ht="26" customHeight="1">
      <c r="A144" s="102">
        <f>'06_Сеть_и_дети'!AP3</f>
        <v/>
      </c>
      <c r="B144" s="103">
        <f>'06_Сеть_и_дети'!AP17</f>
        <v/>
      </c>
      <c r="C144" s="103">
        <f>'06_Сеть_и_дети'!AP10</f>
        <v/>
      </c>
      <c r="D144" s="103">
        <f>'06_Сеть_и_дети'!AP20</f>
        <v/>
      </c>
      <c r="E144" s="103">
        <f>'06_Сеть_и_дети'!AP24</f>
        <v/>
      </c>
      <c r="F144" s="103">
        <f>'06_Сеть_и_дети'!AP25</f>
        <v/>
      </c>
      <c r="G144" s="103">
        <f>'06_Сеть_и_дети'!AP4</f>
        <v/>
      </c>
      <c r="H144" s="104">
        <f>CHOOSE(MONTH(A144),"янв","фев","мар","апр","май","июн","июл","авг","сен","окт","ноя","дек")&amp;" "&amp;YEAR(A144)</f>
        <v/>
      </c>
      <c r="I144" s="73">
        <f>'04_Продажи'!AP15</f>
        <v/>
      </c>
      <c r="J144" s="73">
        <f>'04_Продажи'!AP18</f>
        <v/>
      </c>
      <c r="K144" s="73">
        <f>'02_Модель'!AP44</f>
        <v/>
      </c>
      <c r="L144" s="73">
        <f>'02_Модель'!AP72</f>
        <v/>
      </c>
      <c r="M144" s="73">
        <f>'02_Модель'!AP75</f>
        <v/>
      </c>
      <c r="N144" s="73">
        <f>'10_Выплаты_ФК'!AP34</f>
        <v/>
      </c>
    </row>
    <row r="145" ht="26" customHeight="1">
      <c r="A145" s="102">
        <f>'06_Сеть_и_дети'!AQ3</f>
        <v/>
      </c>
      <c r="B145" s="103">
        <f>'06_Сеть_и_дети'!AQ17</f>
        <v/>
      </c>
      <c r="C145" s="103">
        <f>'06_Сеть_и_дети'!AQ10</f>
        <v/>
      </c>
      <c r="D145" s="103">
        <f>'06_Сеть_и_дети'!AQ20</f>
        <v/>
      </c>
      <c r="E145" s="103">
        <f>'06_Сеть_и_дети'!AQ24</f>
        <v/>
      </c>
      <c r="F145" s="103">
        <f>'06_Сеть_и_дети'!AQ25</f>
        <v/>
      </c>
      <c r="G145" s="103">
        <f>'06_Сеть_и_дети'!AQ4</f>
        <v/>
      </c>
      <c r="H145" s="104">
        <f>CHOOSE(MONTH(A145),"янв","фев","мар","апр","май","июн","июл","авг","сен","окт","ноя","дек")&amp;" "&amp;YEAR(A145)</f>
        <v/>
      </c>
      <c r="I145" s="73">
        <f>'04_Продажи'!AQ15</f>
        <v/>
      </c>
      <c r="J145" s="73">
        <f>'04_Продажи'!AQ18</f>
        <v/>
      </c>
      <c r="K145" s="73">
        <f>'02_Модель'!AQ44</f>
        <v/>
      </c>
      <c r="L145" s="73">
        <f>'02_Модель'!AQ72</f>
        <v/>
      </c>
      <c r="M145" s="73">
        <f>'02_Модель'!AQ75</f>
        <v/>
      </c>
      <c r="N145" s="73">
        <f>'10_Выплаты_ФК'!AQ34</f>
        <v/>
      </c>
    </row>
    <row r="146" ht="26" customHeight="1">
      <c r="A146" s="102">
        <f>'06_Сеть_и_дети'!AR3</f>
        <v/>
      </c>
      <c r="B146" s="103">
        <f>'06_Сеть_и_дети'!AR17</f>
        <v/>
      </c>
      <c r="C146" s="103">
        <f>'06_Сеть_и_дети'!AR10</f>
        <v/>
      </c>
      <c r="D146" s="103">
        <f>'06_Сеть_и_дети'!AR20</f>
        <v/>
      </c>
      <c r="E146" s="103">
        <f>'06_Сеть_и_дети'!AR24</f>
        <v/>
      </c>
      <c r="F146" s="103">
        <f>'06_Сеть_и_дети'!AR25</f>
        <v/>
      </c>
      <c r="G146" s="103">
        <f>'06_Сеть_и_дети'!AR4</f>
        <v/>
      </c>
      <c r="H146" s="104">
        <f>CHOOSE(MONTH(A146),"янв","фев","мар","апр","май","июн","июл","авг","сен","окт","ноя","дек")&amp;" "&amp;YEAR(A146)</f>
        <v/>
      </c>
      <c r="I146" s="73">
        <f>'04_Продажи'!AR15</f>
        <v/>
      </c>
      <c r="J146" s="73">
        <f>'04_Продажи'!AR18</f>
        <v/>
      </c>
      <c r="K146" s="73">
        <f>'02_Модель'!AR44</f>
        <v/>
      </c>
      <c r="L146" s="73">
        <f>'02_Модель'!AR72</f>
        <v/>
      </c>
      <c r="M146" s="73">
        <f>'02_Модель'!AR75</f>
        <v/>
      </c>
      <c r="N146" s="73">
        <f>'10_Выплаты_ФК'!AR34</f>
        <v/>
      </c>
    </row>
    <row r="147" ht="26" customHeight="1">
      <c r="A147" s="102">
        <f>'06_Сеть_и_дети'!AS3</f>
        <v/>
      </c>
      <c r="B147" s="103">
        <f>'06_Сеть_и_дети'!AS17</f>
        <v/>
      </c>
      <c r="C147" s="103">
        <f>'06_Сеть_и_дети'!AS10</f>
        <v/>
      </c>
      <c r="D147" s="103">
        <f>'06_Сеть_и_дети'!AS20</f>
        <v/>
      </c>
      <c r="E147" s="103">
        <f>'06_Сеть_и_дети'!AS24</f>
        <v/>
      </c>
      <c r="F147" s="103">
        <f>'06_Сеть_и_дети'!AS25</f>
        <v/>
      </c>
      <c r="G147" s="103">
        <f>'06_Сеть_и_дети'!AS4</f>
        <v/>
      </c>
      <c r="H147" s="104">
        <f>CHOOSE(MONTH(A147),"янв","фев","мар","апр","май","июн","июл","авг","сен","окт","ноя","дек")&amp;" "&amp;YEAR(A147)</f>
        <v/>
      </c>
      <c r="I147" s="73">
        <f>'04_Продажи'!AS15</f>
        <v/>
      </c>
      <c r="J147" s="73">
        <f>'04_Продажи'!AS18</f>
        <v/>
      </c>
      <c r="K147" s="73">
        <f>'02_Модель'!AS44</f>
        <v/>
      </c>
      <c r="L147" s="73">
        <f>'02_Модель'!AS72</f>
        <v/>
      </c>
      <c r="M147" s="73">
        <f>'02_Модель'!AS75</f>
        <v/>
      </c>
      <c r="N147" s="73">
        <f>'10_Выплаты_ФК'!AS34</f>
        <v/>
      </c>
    </row>
    <row r="148" ht="26" customHeight="1">
      <c r="A148" s="102">
        <f>'06_Сеть_и_дети'!AT3</f>
        <v/>
      </c>
      <c r="B148" s="103">
        <f>'06_Сеть_и_дети'!AT17</f>
        <v/>
      </c>
      <c r="C148" s="103">
        <f>'06_Сеть_и_дети'!AT10</f>
        <v/>
      </c>
      <c r="D148" s="103">
        <f>'06_Сеть_и_дети'!AT20</f>
        <v/>
      </c>
      <c r="E148" s="103">
        <f>'06_Сеть_и_дети'!AT24</f>
        <v/>
      </c>
      <c r="F148" s="103">
        <f>'06_Сеть_и_дети'!AT25</f>
        <v/>
      </c>
      <c r="G148" s="103">
        <f>'06_Сеть_и_дети'!AT4</f>
        <v/>
      </c>
      <c r="H148" s="104">
        <f>CHOOSE(MONTH(A148),"янв","фев","мар","апр","май","июн","июл","авг","сен","окт","ноя","дек")&amp;" "&amp;YEAR(A148)</f>
        <v/>
      </c>
      <c r="I148" s="73">
        <f>'04_Продажи'!AT15</f>
        <v/>
      </c>
      <c r="J148" s="73">
        <f>'04_Продажи'!AT18</f>
        <v/>
      </c>
      <c r="K148" s="73">
        <f>'02_Модель'!AT44</f>
        <v/>
      </c>
      <c r="L148" s="73">
        <f>'02_Модель'!AT72</f>
        <v/>
      </c>
      <c r="M148" s="73">
        <f>'02_Модель'!AT75</f>
        <v/>
      </c>
      <c r="N148" s="73">
        <f>'10_Выплаты_ФК'!AT34</f>
        <v/>
      </c>
    </row>
    <row r="149" ht="26" customHeight="1">
      <c r="A149" s="102">
        <f>'06_Сеть_и_дети'!AU3</f>
        <v/>
      </c>
      <c r="B149" s="103">
        <f>'06_Сеть_и_дети'!AU17</f>
        <v/>
      </c>
      <c r="C149" s="103">
        <f>'06_Сеть_и_дети'!AU10</f>
        <v/>
      </c>
      <c r="D149" s="103">
        <f>'06_Сеть_и_дети'!AU20</f>
        <v/>
      </c>
      <c r="E149" s="103">
        <f>'06_Сеть_и_дети'!AU24</f>
        <v/>
      </c>
      <c r="F149" s="103">
        <f>'06_Сеть_и_дети'!AU25</f>
        <v/>
      </c>
      <c r="G149" s="103">
        <f>'06_Сеть_и_дети'!AU4</f>
        <v/>
      </c>
      <c r="H149" s="104">
        <f>CHOOSE(MONTH(A149),"янв","фев","мар","апр","май","июн","июл","авг","сен","окт","ноя","дек")&amp;" "&amp;YEAR(A149)</f>
        <v/>
      </c>
      <c r="I149" s="73">
        <f>'04_Продажи'!AU15</f>
        <v/>
      </c>
      <c r="J149" s="73">
        <f>'04_Продажи'!AU18</f>
        <v/>
      </c>
      <c r="K149" s="73">
        <f>'02_Модель'!AU44</f>
        <v/>
      </c>
      <c r="L149" s="73">
        <f>'02_Модель'!AU72</f>
        <v/>
      </c>
      <c r="M149" s="73">
        <f>'02_Модель'!AU75</f>
        <v/>
      </c>
      <c r="N149" s="73">
        <f>'10_Выплаты_ФК'!AU34</f>
        <v/>
      </c>
    </row>
    <row r="150" ht="26" customHeight="1">
      <c r="A150" s="102">
        <f>'06_Сеть_и_дети'!AV3</f>
        <v/>
      </c>
      <c r="B150" s="103">
        <f>'06_Сеть_и_дети'!AV17</f>
        <v/>
      </c>
      <c r="C150" s="103">
        <f>'06_Сеть_и_дети'!AV10</f>
        <v/>
      </c>
      <c r="D150" s="103">
        <f>'06_Сеть_и_дети'!AV20</f>
        <v/>
      </c>
      <c r="E150" s="103">
        <f>'06_Сеть_и_дети'!AV24</f>
        <v/>
      </c>
      <c r="F150" s="103">
        <f>'06_Сеть_и_дети'!AV25</f>
        <v/>
      </c>
      <c r="G150" s="103">
        <f>'06_Сеть_и_дети'!AV4</f>
        <v/>
      </c>
      <c r="H150" s="104">
        <f>CHOOSE(MONTH(A150),"янв","фев","мар","апр","май","июн","июл","авг","сен","окт","ноя","дек")&amp;" "&amp;YEAR(A150)</f>
        <v/>
      </c>
      <c r="I150" s="73">
        <f>'04_Продажи'!AV15</f>
        <v/>
      </c>
      <c r="J150" s="73">
        <f>'04_Продажи'!AV18</f>
        <v/>
      </c>
      <c r="K150" s="73">
        <f>'02_Модель'!AV44</f>
        <v/>
      </c>
      <c r="L150" s="73">
        <f>'02_Модель'!AV72</f>
        <v/>
      </c>
      <c r="M150" s="73">
        <f>'02_Модель'!AV75</f>
        <v/>
      </c>
      <c r="N150" s="73">
        <f>'10_Выплаты_ФК'!AV34</f>
        <v/>
      </c>
    </row>
    <row r="151" ht="26" customHeight="1">
      <c r="A151" s="102">
        <f>'06_Сеть_и_дети'!AW3</f>
        <v/>
      </c>
      <c r="B151" s="103">
        <f>'06_Сеть_и_дети'!AW17</f>
        <v/>
      </c>
      <c r="C151" s="103">
        <f>'06_Сеть_и_дети'!AW10</f>
        <v/>
      </c>
      <c r="D151" s="103">
        <f>'06_Сеть_и_дети'!AW20</f>
        <v/>
      </c>
      <c r="E151" s="103">
        <f>'06_Сеть_и_дети'!AW24</f>
        <v/>
      </c>
      <c r="F151" s="103">
        <f>'06_Сеть_и_дети'!AW25</f>
        <v/>
      </c>
      <c r="G151" s="103">
        <f>'06_Сеть_и_дети'!AW4</f>
        <v/>
      </c>
      <c r="H151" s="104">
        <f>CHOOSE(MONTH(A151),"янв","фев","мар","апр","май","июн","июл","авг","сен","окт","ноя","дек")&amp;" "&amp;YEAR(A151)</f>
        <v/>
      </c>
      <c r="I151" s="73">
        <f>'04_Продажи'!AW15</f>
        <v/>
      </c>
      <c r="J151" s="73">
        <f>'04_Продажи'!AW18</f>
        <v/>
      </c>
      <c r="K151" s="73">
        <f>'02_Модель'!AW44</f>
        <v/>
      </c>
      <c r="L151" s="73">
        <f>'02_Модель'!AW72</f>
        <v/>
      </c>
      <c r="M151" s="73">
        <f>'02_Модель'!AW75</f>
        <v/>
      </c>
      <c r="N151" s="73">
        <f>'10_Выплаты_ФК'!AW34</f>
        <v/>
      </c>
    </row>
    <row r="152" ht="26" customHeight="1">
      <c r="A152" s="102">
        <f>'06_Сеть_и_дети'!AX3</f>
        <v/>
      </c>
      <c r="B152" s="103">
        <f>'06_Сеть_и_дети'!AX17</f>
        <v/>
      </c>
      <c r="C152" s="103">
        <f>'06_Сеть_и_дети'!AX10</f>
        <v/>
      </c>
      <c r="D152" s="103">
        <f>'06_Сеть_и_дети'!AX20</f>
        <v/>
      </c>
      <c r="E152" s="103">
        <f>'06_Сеть_и_дети'!AX24</f>
        <v/>
      </c>
      <c r="F152" s="103">
        <f>'06_Сеть_и_дети'!AX25</f>
        <v/>
      </c>
      <c r="G152" s="103">
        <f>'06_Сеть_и_дети'!AX4</f>
        <v/>
      </c>
      <c r="H152" s="104">
        <f>CHOOSE(MONTH(A152),"янв","фев","мар","апр","май","июн","июл","авг","сен","окт","ноя","дек")&amp;" "&amp;YEAR(A152)</f>
        <v/>
      </c>
      <c r="I152" s="73">
        <f>'04_Продажи'!AX15</f>
        <v/>
      </c>
      <c r="J152" s="73">
        <f>'04_Продажи'!AX18</f>
        <v/>
      </c>
      <c r="K152" s="73">
        <f>'02_Модель'!AX44</f>
        <v/>
      </c>
      <c r="L152" s="73">
        <f>'02_Модель'!AX72</f>
        <v/>
      </c>
      <c r="M152" s="73">
        <f>'02_Модель'!AX75</f>
        <v/>
      </c>
      <c r="N152" s="73">
        <f>'10_Выплаты_ФК'!AX34</f>
        <v/>
      </c>
    </row>
    <row r="153" ht="26" customHeight="1">
      <c r="A153" s="102">
        <f>'06_Сеть_и_дети'!AY3</f>
        <v/>
      </c>
      <c r="B153" s="103">
        <f>'06_Сеть_и_дети'!AY17</f>
        <v/>
      </c>
      <c r="C153" s="103">
        <f>'06_Сеть_и_дети'!AY10</f>
        <v/>
      </c>
      <c r="D153" s="103">
        <f>'06_Сеть_и_дети'!AY20</f>
        <v/>
      </c>
      <c r="E153" s="103">
        <f>'06_Сеть_и_дети'!AY24</f>
        <v/>
      </c>
      <c r="F153" s="103">
        <f>'06_Сеть_и_дети'!AY25</f>
        <v/>
      </c>
      <c r="G153" s="103">
        <f>'06_Сеть_и_дети'!AY4</f>
        <v/>
      </c>
      <c r="H153" s="104">
        <f>CHOOSE(MONTH(A153),"янв","фев","мар","апр","май","июн","июл","авг","сен","окт","ноя","дек")&amp;" "&amp;YEAR(A153)</f>
        <v/>
      </c>
      <c r="I153" s="73">
        <f>'04_Продажи'!AY15</f>
        <v/>
      </c>
      <c r="J153" s="73">
        <f>'04_Продажи'!AY18</f>
        <v/>
      </c>
      <c r="K153" s="73">
        <f>'02_Модель'!AY44</f>
        <v/>
      </c>
      <c r="L153" s="73">
        <f>'02_Модель'!AY72</f>
        <v/>
      </c>
      <c r="M153" s="73">
        <f>'02_Модель'!AY75</f>
        <v/>
      </c>
      <c r="N153" s="73">
        <f>'10_Выплаты_ФК'!AY34</f>
        <v/>
      </c>
    </row>
    <row r="154" ht="26" customHeight="1">
      <c r="A154" s="102">
        <f>'06_Сеть_и_дети'!AZ3</f>
        <v/>
      </c>
      <c r="B154" s="103">
        <f>'06_Сеть_и_дети'!AZ17</f>
        <v/>
      </c>
      <c r="C154" s="103">
        <f>'06_Сеть_и_дети'!AZ10</f>
        <v/>
      </c>
      <c r="D154" s="103">
        <f>'06_Сеть_и_дети'!AZ20</f>
        <v/>
      </c>
      <c r="E154" s="103">
        <f>'06_Сеть_и_дети'!AZ24</f>
        <v/>
      </c>
      <c r="F154" s="103">
        <f>'06_Сеть_и_дети'!AZ25</f>
        <v/>
      </c>
      <c r="G154" s="103">
        <f>'06_Сеть_и_дети'!AZ4</f>
        <v/>
      </c>
      <c r="H154" s="104">
        <f>CHOOSE(MONTH(A154),"янв","фев","мар","апр","май","июн","июл","авг","сен","окт","ноя","дек")&amp;" "&amp;YEAR(A154)</f>
        <v/>
      </c>
      <c r="I154" s="73">
        <f>'04_Продажи'!AZ15</f>
        <v/>
      </c>
      <c r="J154" s="73">
        <f>'04_Продажи'!AZ18</f>
        <v/>
      </c>
      <c r="K154" s="73">
        <f>'02_Модель'!AZ44</f>
        <v/>
      </c>
      <c r="L154" s="73">
        <f>'02_Модель'!AZ72</f>
        <v/>
      </c>
      <c r="M154" s="73">
        <f>'02_Модель'!AZ75</f>
        <v/>
      </c>
      <c r="N154" s="73">
        <f>'10_Выплаты_ФК'!AZ34</f>
        <v/>
      </c>
    </row>
    <row r="155" ht="26" customHeight="1">
      <c r="A155" s="102">
        <f>'06_Сеть_и_дети'!BA3</f>
        <v/>
      </c>
      <c r="B155" s="103">
        <f>'06_Сеть_и_дети'!BA17</f>
        <v/>
      </c>
      <c r="C155" s="103">
        <f>'06_Сеть_и_дети'!BA10</f>
        <v/>
      </c>
      <c r="D155" s="103">
        <f>'06_Сеть_и_дети'!BA20</f>
        <v/>
      </c>
      <c r="E155" s="103">
        <f>'06_Сеть_и_дети'!BA24</f>
        <v/>
      </c>
      <c r="F155" s="103">
        <f>'06_Сеть_и_дети'!BA25</f>
        <v/>
      </c>
      <c r="G155" s="103">
        <f>'06_Сеть_и_дети'!BA4</f>
        <v/>
      </c>
      <c r="H155" s="104">
        <f>CHOOSE(MONTH(A155),"янв","фев","мар","апр","май","июн","июл","авг","сен","окт","ноя","дек")&amp;" "&amp;YEAR(A155)</f>
        <v/>
      </c>
      <c r="I155" s="73">
        <f>'04_Продажи'!BA15</f>
        <v/>
      </c>
      <c r="J155" s="73">
        <f>'04_Продажи'!BA18</f>
        <v/>
      </c>
      <c r="K155" s="73">
        <f>'02_Модель'!BA44</f>
        <v/>
      </c>
      <c r="L155" s="73">
        <f>'02_Модель'!BA72</f>
        <v/>
      </c>
      <c r="M155" s="73">
        <f>'02_Модель'!BA75</f>
        <v/>
      </c>
      <c r="N155" s="73">
        <f>'10_Выплаты_ФК'!BA34</f>
        <v/>
      </c>
    </row>
    <row r="156" ht="26" customHeight="1">
      <c r="A156" s="102">
        <f>'06_Сеть_и_дети'!BB3</f>
        <v/>
      </c>
      <c r="B156" s="103">
        <f>'06_Сеть_и_дети'!BB17</f>
        <v/>
      </c>
      <c r="C156" s="103">
        <f>'06_Сеть_и_дети'!BB10</f>
        <v/>
      </c>
      <c r="D156" s="103">
        <f>'06_Сеть_и_дети'!BB20</f>
        <v/>
      </c>
      <c r="E156" s="103">
        <f>'06_Сеть_и_дети'!BB24</f>
        <v/>
      </c>
      <c r="F156" s="103">
        <f>'06_Сеть_и_дети'!BB25</f>
        <v/>
      </c>
      <c r="G156" s="103">
        <f>'06_Сеть_и_дети'!BB4</f>
        <v/>
      </c>
      <c r="H156" s="104">
        <f>CHOOSE(MONTH(A156),"янв","фев","мар","апр","май","июн","июл","авг","сен","окт","ноя","дек")&amp;" "&amp;YEAR(A156)</f>
        <v/>
      </c>
      <c r="I156" s="73">
        <f>'04_Продажи'!BB15</f>
        <v/>
      </c>
      <c r="J156" s="73">
        <f>'04_Продажи'!BB18</f>
        <v/>
      </c>
      <c r="K156" s="73">
        <f>'02_Модель'!BB44</f>
        <v/>
      </c>
      <c r="L156" s="73">
        <f>'02_Модель'!BB72</f>
        <v/>
      </c>
      <c r="M156" s="73">
        <f>'02_Модель'!BB75</f>
        <v/>
      </c>
      <c r="N156" s="73">
        <f>'10_Выплаты_ФК'!BB34</f>
        <v/>
      </c>
    </row>
    <row r="157" ht="26" customHeight="1">
      <c r="A157" s="102">
        <f>'06_Сеть_и_дети'!BC3</f>
        <v/>
      </c>
      <c r="B157" s="103">
        <f>'06_Сеть_и_дети'!BC17</f>
        <v/>
      </c>
      <c r="C157" s="103">
        <f>'06_Сеть_и_дети'!BC10</f>
        <v/>
      </c>
      <c r="D157" s="103">
        <f>'06_Сеть_и_дети'!BC20</f>
        <v/>
      </c>
      <c r="E157" s="103">
        <f>'06_Сеть_и_дети'!BC24</f>
        <v/>
      </c>
      <c r="F157" s="103">
        <f>'06_Сеть_и_дети'!BC25</f>
        <v/>
      </c>
      <c r="G157" s="103">
        <f>'06_Сеть_и_дети'!BC4</f>
        <v/>
      </c>
      <c r="H157" s="104">
        <f>CHOOSE(MONTH(A157),"янв","фев","мар","апр","май","июн","июл","авг","сен","окт","ноя","дек")&amp;" "&amp;YEAR(A157)</f>
        <v/>
      </c>
      <c r="I157" s="73">
        <f>'04_Продажи'!BC15</f>
        <v/>
      </c>
      <c r="J157" s="73">
        <f>'04_Продажи'!BC18</f>
        <v/>
      </c>
      <c r="K157" s="73">
        <f>'02_Модель'!BC44</f>
        <v/>
      </c>
      <c r="L157" s="73">
        <f>'02_Модель'!BC72</f>
        <v/>
      </c>
      <c r="M157" s="73">
        <f>'02_Модель'!BC75</f>
        <v/>
      </c>
      <c r="N157" s="73">
        <f>'10_Выплаты_ФК'!BC34</f>
        <v/>
      </c>
    </row>
    <row r="158" ht="26" customHeight="1">
      <c r="A158" s="102">
        <f>'06_Сеть_и_дети'!BD3</f>
        <v/>
      </c>
      <c r="B158" s="103">
        <f>'06_Сеть_и_дети'!BD17</f>
        <v/>
      </c>
      <c r="C158" s="103">
        <f>'06_Сеть_и_дети'!BD10</f>
        <v/>
      </c>
      <c r="D158" s="103">
        <f>'06_Сеть_и_дети'!BD20</f>
        <v/>
      </c>
      <c r="E158" s="103">
        <f>'06_Сеть_и_дети'!BD24</f>
        <v/>
      </c>
      <c r="F158" s="103">
        <f>'06_Сеть_и_дети'!BD25</f>
        <v/>
      </c>
      <c r="G158" s="103">
        <f>'06_Сеть_и_дети'!BD4</f>
        <v/>
      </c>
      <c r="H158" s="104">
        <f>CHOOSE(MONTH(A158),"янв","фев","мар","апр","май","июн","июл","авг","сен","окт","ноя","дек")&amp;" "&amp;YEAR(A158)</f>
        <v/>
      </c>
      <c r="I158" s="73">
        <f>'04_Продажи'!BD15</f>
        <v/>
      </c>
      <c r="J158" s="73">
        <f>'04_Продажи'!BD18</f>
        <v/>
      </c>
      <c r="K158" s="73">
        <f>'02_Модель'!BD44</f>
        <v/>
      </c>
      <c r="L158" s="73">
        <f>'02_Модель'!BD72</f>
        <v/>
      </c>
      <c r="M158" s="73">
        <f>'02_Модель'!BD75</f>
        <v/>
      </c>
      <c r="N158" s="73">
        <f>'10_Выплаты_ФК'!BD34</f>
        <v/>
      </c>
    </row>
    <row r="159" ht="26" customHeight="1">
      <c r="A159" s="102">
        <f>'06_Сеть_и_дети'!BE3</f>
        <v/>
      </c>
      <c r="B159" s="103">
        <f>'06_Сеть_и_дети'!BE17</f>
        <v/>
      </c>
      <c r="C159" s="103">
        <f>'06_Сеть_и_дети'!BE10</f>
        <v/>
      </c>
      <c r="D159" s="103">
        <f>'06_Сеть_и_дети'!BE20</f>
        <v/>
      </c>
      <c r="E159" s="103">
        <f>'06_Сеть_и_дети'!BE24</f>
        <v/>
      </c>
      <c r="F159" s="103">
        <f>'06_Сеть_и_дети'!BE25</f>
        <v/>
      </c>
      <c r="G159" s="103">
        <f>'06_Сеть_и_дети'!BE4</f>
        <v/>
      </c>
      <c r="H159" s="104">
        <f>CHOOSE(MONTH(A159),"янв","фев","мар","апр","май","июн","июл","авг","сен","окт","ноя","дек")&amp;" "&amp;YEAR(A159)</f>
        <v/>
      </c>
      <c r="I159" s="73">
        <f>'04_Продажи'!BE15</f>
        <v/>
      </c>
      <c r="J159" s="73">
        <f>'04_Продажи'!BE18</f>
        <v/>
      </c>
      <c r="K159" s="73">
        <f>'02_Модель'!BE44</f>
        <v/>
      </c>
      <c r="L159" s="73">
        <f>'02_Модель'!BE72</f>
        <v/>
      </c>
      <c r="M159" s="73">
        <f>'02_Модель'!BE75</f>
        <v/>
      </c>
      <c r="N159" s="73">
        <f>'10_Выплаты_ФК'!BE34</f>
        <v/>
      </c>
    </row>
    <row r="160" ht="26" customHeight="1">
      <c r="A160" s="102">
        <f>'06_Сеть_и_дети'!BF3</f>
        <v/>
      </c>
      <c r="B160" s="103">
        <f>'06_Сеть_и_дети'!BF17</f>
        <v/>
      </c>
      <c r="C160" s="103">
        <f>'06_Сеть_и_дети'!BF10</f>
        <v/>
      </c>
      <c r="D160" s="103">
        <f>'06_Сеть_и_дети'!BF20</f>
        <v/>
      </c>
      <c r="E160" s="103">
        <f>'06_Сеть_и_дети'!BF24</f>
        <v/>
      </c>
      <c r="F160" s="103">
        <f>'06_Сеть_и_дети'!BF25</f>
        <v/>
      </c>
      <c r="G160" s="103">
        <f>'06_Сеть_и_дети'!BF4</f>
        <v/>
      </c>
      <c r="H160" s="104">
        <f>CHOOSE(MONTH(A160),"янв","фев","мар","апр","май","июн","июл","авг","сен","окт","ноя","дек")&amp;" "&amp;YEAR(A160)</f>
        <v/>
      </c>
      <c r="I160" s="73">
        <f>'04_Продажи'!BF15</f>
        <v/>
      </c>
      <c r="J160" s="73">
        <f>'04_Продажи'!BF18</f>
        <v/>
      </c>
      <c r="K160" s="73">
        <f>'02_Модель'!BF44</f>
        <v/>
      </c>
      <c r="L160" s="73">
        <f>'02_Модель'!BF72</f>
        <v/>
      </c>
      <c r="M160" s="73">
        <f>'02_Модель'!BF75</f>
        <v/>
      </c>
      <c r="N160" s="73">
        <f>'10_Выплаты_ФК'!BF34</f>
        <v/>
      </c>
    </row>
    <row r="161" ht="26" customHeight="1">
      <c r="A161" s="102">
        <f>'06_Сеть_и_дети'!BG3</f>
        <v/>
      </c>
      <c r="B161" s="103">
        <f>'06_Сеть_и_дети'!BG17</f>
        <v/>
      </c>
      <c r="C161" s="103">
        <f>'06_Сеть_и_дети'!BG10</f>
        <v/>
      </c>
      <c r="D161" s="103">
        <f>'06_Сеть_и_дети'!BG20</f>
        <v/>
      </c>
      <c r="E161" s="103">
        <f>'06_Сеть_и_дети'!BG24</f>
        <v/>
      </c>
      <c r="F161" s="103">
        <f>'06_Сеть_и_дети'!BG25</f>
        <v/>
      </c>
      <c r="G161" s="103">
        <f>'06_Сеть_и_дети'!BG4</f>
        <v/>
      </c>
      <c r="H161" s="104">
        <f>CHOOSE(MONTH(A161),"янв","фев","мар","апр","май","июн","июл","авг","сен","окт","ноя","дек")&amp;" "&amp;YEAR(A161)</f>
        <v/>
      </c>
      <c r="I161" s="73">
        <f>'04_Продажи'!BG15</f>
        <v/>
      </c>
      <c r="J161" s="73">
        <f>'04_Продажи'!BG18</f>
        <v/>
      </c>
      <c r="K161" s="73">
        <f>'02_Модель'!BG44</f>
        <v/>
      </c>
      <c r="L161" s="73">
        <f>'02_Модель'!BG72</f>
        <v/>
      </c>
      <c r="M161" s="73">
        <f>'02_Модель'!BG75</f>
        <v/>
      </c>
      <c r="N161" s="73">
        <f>'10_Выплаты_ФК'!BG34</f>
        <v/>
      </c>
    </row>
    <row r="162" ht="26" customHeight="1">
      <c r="A162" s="102">
        <f>'06_Сеть_и_дети'!BH3</f>
        <v/>
      </c>
      <c r="B162" s="103">
        <f>'06_Сеть_и_дети'!BH17</f>
        <v/>
      </c>
      <c r="C162" s="103">
        <f>'06_Сеть_и_дети'!BH10</f>
        <v/>
      </c>
      <c r="D162" s="103">
        <f>'06_Сеть_и_дети'!BH20</f>
        <v/>
      </c>
      <c r="E162" s="103">
        <f>'06_Сеть_и_дети'!BH24</f>
        <v/>
      </c>
      <c r="F162" s="103">
        <f>'06_Сеть_и_дети'!BH25</f>
        <v/>
      </c>
      <c r="G162" s="103">
        <f>'06_Сеть_и_дети'!BH4</f>
        <v/>
      </c>
      <c r="H162" s="104">
        <f>CHOOSE(MONTH(A162),"янв","фев","мар","апр","май","июн","июл","авг","сен","окт","ноя","дек")&amp;" "&amp;YEAR(A162)</f>
        <v/>
      </c>
      <c r="I162" s="73">
        <f>'04_Продажи'!BH15</f>
        <v/>
      </c>
      <c r="J162" s="73">
        <f>'04_Продажи'!BH18</f>
        <v/>
      </c>
      <c r="K162" s="73">
        <f>'02_Модель'!BH44</f>
        <v/>
      </c>
      <c r="L162" s="73">
        <f>'02_Модель'!BH72</f>
        <v/>
      </c>
      <c r="M162" s="73">
        <f>'02_Модель'!BH75</f>
        <v/>
      </c>
      <c r="N162" s="73">
        <f>'10_Выплаты_ФК'!BH34</f>
        <v/>
      </c>
    </row>
    <row r="163" ht="26" customHeight="1">
      <c r="A163" s="102">
        <f>'06_Сеть_и_дети'!BI3</f>
        <v/>
      </c>
      <c r="B163" s="103">
        <f>'06_Сеть_и_дети'!BI17</f>
        <v/>
      </c>
      <c r="C163" s="103">
        <f>'06_Сеть_и_дети'!BI10</f>
        <v/>
      </c>
      <c r="D163" s="103">
        <f>'06_Сеть_и_дети'!BI20</f>
        <v/>
      </c>
      <c r="E163" s="103">
        <f>'06_Сеть_и_дети'!BI24</f>
        <v/>
      </c>
      <c r="F163" s="103">
        <f>'06_Сеть_и_дети'!BI25</f>
        <v/>
      </c>
      <c r="G163" s="103">
        <f>'06_Сеть_и_дети'!BI4</f>
        <v/>
      </c>
      <c r="H163" s="104">
        <f>CHOOSE(MONTH(A163),"янв","фев","мар","апр","май","июн","июл","авг","сен","окт","ноя","дек")&amp;" "&amp;YEAR(A163)</f>
        <v/>
      </c>
      <c r="I163" s="73">
        <f>'04_Продажи'!BI15</f>
        <v/>
      </c>
      <c r="J163" s="73">
        <f>'04_Продажи'!BI18</f>
        <v/>
      </c>
      <c r="K163" s="73">
        <f>'02_Модель'!BI44</f>
        <v/>
      </c>
      <c r="L163" s="73">
        <f>'02_Модель'!BI72</f>
        <v/>
      </c>
      <c r="M163" s="73">
        <f>'02_Модель'!BI75</f>
        <v/>
      </c>
      <c r="N163" s="73">
        <f>'10_Выплаты_ФК'!BI34</f>
        <v/>
      </c>
    </row>
  </sheetData>
  <mergeCells count="32">
    <mergeCell ref="A15:H15"/>
    <mergeCell ref="B49:H49"/>
    <mergeCell ref="J5:N5"/>
    <mergeCell ref="A60:H60"/>
    <mergeCell ref="E54:H54"/>
    <mergeCell ref="J10:N10"/>
    <mergeCell ref="A1:H1"/>
    <mergeCell ref="B51:H51"/>
    <mergeCell ref="J9:N9"/>
    <mergeCell ref="B50:H50"/>
    <mergeCell ref="J6:N6"/>
    <mergeCell ref="B47:H47"/>
    <mergeCell ref="A46:H46"/>
    <mergeCell ref="B3:H3"/>
    <mergeCell ref="E55:H55"/>
    <mergeCell ref="A56:H56"/>
    <mergeCell ref="J4:N4"/>
    <mergeCell ref="B58:H58"/>
    <mergeCell ref="J11:N11"/>
    <mergeCell ref="B52:H52"/>
    <mergeCell ref="A57:H57"/>
    <mergeCell ref="J7:N7"/>
    <mergeCell ref="B43:H43"/>
    <mergeCell ref="A54:D54"/>
    <mergeCell ref="B48:H48"/>
    <mergeCell ref="A5:H5"/>
    <mergeCell ref="J3:N3"/>
    <mergeCell ref="J12:N12"/>
    <mergeCell ref="B53:H53"/>
    <mergeCell ref="A55:D55"/>
    <mergeCell ref="J8:N8"/>
    <mergeCell ref="A40:H40"/>
  </mergeCells>
  <hyperlinks>
    <hyperlink ref="J4" location="'01_Вводные'!A1"/>
    <hyperlink ref="J5" location="'02_Модель'!A1"/>
    <hyperlink ref="E6" location="'01_Вводные'!B192"/>
    <hyperlink ref="J6" location="'03_Сценарии'!A1"/>
    <hyperlink ref="E7" location="'03_Сценарии'!A1"/>
    <hyperlink ref="J7" location="'04_Продажи'!A1"/>
    <hyperlink ref="E8" location="'12_Чувствительность'!A1"/>
    <hyperlink ref="J8" location="'06_Сеть_и_дети'!A1"/>
    <hyperlink ref="J9" location="'07_Мерч'!A1"/>
    <hyperlink ref="E10" location="'13_Проверки'!A1"/>
    <hyperlink ref="J10" location="'08_ФОТ'!A1"/>
    <hyperlink ref="G11" location="'00_Старт'!A1"/>
    <hyperlink ref="J11" location="'10_Выплаты_ФК'!A1"/>
    <hyperlink ref="J12" location="'13_Проверки'!A1"/>
    <hyperlink ref="A45" location="'15_Изменения'!A1"/>
    <hyperlink ref="A54" location="'05_Воронка'!A1"/>
    <hyperlink ref="E54" location="'10_Выплаты_ФК'!A1"/>
    <hyperlink ref="A55" location="'15_Изменения'!A1"/>
    <hyperlink ref="E55" location="'14_Ревизия'!A1"/>
    <hyperlink ref="A56" location="'16_Инструкция'!A1"/>
  </hyperlink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00_Дашборд&amp;R&amp;P /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0" summaryRight="0"/>
    <pageSetUpPr fitToPage="1"/>
  </sheetPr>
  <dimension ref="A1:O369"/>
  <sheetViews>
    <sheetView showGridLines="0" zoomScale="9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31" customWidth="1" min="2" max="2"/>
    <col width="18" customWidth="1" min="3" max="3"/>
    <col width="22" customWidth="1" min="4" max="4"/>
    <col width="90" customWidth="1" min="5" max="5"/>
    <col width="60" customWidth="1" min="6" max="6"/>
    <col width="40" customWidth="1" min="7" max="7"/>
    <col width="36" customWidth="1" min="8" max="8"/>
    <col width="18" customWidth="1" min="9" max="9"/>
    <col width="18" customWidth="1" min="10" max="10"/>
    <col width="45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1" ht="14.5" customHeight="1">
      <c r="A1" s="1" t="inlineStr">
        <is>
          <t>Финмодель Спартак — единый лист вводных</t>
        </is>
      </c>
    </row>
    <row r="2" ht="14.5" customHeight="1">
      <c r="A2" s="264" t="inlineStr">
        <is>
          <t>Легенда:</t>
        </is>
      </c>
      <c r="B2" s="265" t="inlineStr">
        <is>
          <t>ввод</t>
        </is>
      </c>
      <c r="C2" s="266" t="inlineStr">
        <is>
          <t>уточнить</t>
        </is>
      </c>
      <c r="D2" s="267" t="inlineStr">
        <is>
          <t>переключатель</t>
        </is>
      </c>
      <c r="E2" s="268" t="inlineStr">
        <is>
          <t>блок ревизии</t>
        </is>
      </c>
      <c r="F2" s="269" t="inlineStr">
        <is>
          <t>формула — не трогать</t>
        </is>
      </c>
      <c r="G2" s="270" t="inlineStr">
        <is>
          <t>→ 00_Старт: оглавление, переключатели, легенда</t>
        </is>
      </c>
      <c r="H2" s="270" t="inlineStr">
        <is>
          <t>→ 14а_Сверка_с_ТЗ: пункт ТЗ → формула</t>
        </is>
      </c>
    </row>
    <row r="3" ht="14.5" customHeight="1">
      <c r="A3" s="2" t="inlineStr">
        <is>
          <t>Правило работы</t>
        </is>
      </c>
      <c r="B3" s="3" t="inlineStr">
        <is>
          <t>Менять жёлтые ячейки только здесь. Сценарий: B192. Чувствительность: B233:B234. Параметры, микс и история собраны на одном листе.</t>
        </is>
      </c>
    </row>
    <row r="4" ht="14.5" customHeight="1">
      <c r="A4" t="inlineStr">
        <is>
          <t>Сценарии и чувствительность</t>
        </is>
      </c>
      <c r="G4" s="271" t="inlineStr">
        <is>
          <t>→ Раздел 11: сценарии и чувствительность</t>
        </is>
      </c>
      <c r="H4" s="271" t="inlineStr">
        <is>
          <t>→ Раздел 13: тарифные группы</t>
        </is>
      </c>
    </row>
    <row r="5" ht="14.5" customHeight="1">
      <c r="A5" s="272" t="inlineStr">
        <is>
          <t>1. Календарь, стартовая сеть и оборотный капитал</t>
        </is>
      </c>
    </row>
    <row r="6" ht="14.5" customHeight="1">
      <c r="A6" s="6" t="inlineStr">
        <is>
          <t>Параметр</t>
        </is>
      </c>
      <c r="B6" s="6" t="inlineStr">
        <is>
          <t>Значение</t>
        </is>
      </c>
      <c r="C6" s="6" t="inlineStr">
        <is>
          <t>Ед.</t>
        </is>
      </c>
      <c r="D6" s="6" t="inlineStr">
        <is>
          <t>Статус / источник</t>
        </is>
      </c>
      <c r="E6" s="6" t="inlineStr">
        <is>
          <t>Комментарий</t>
        </is>
      </c>
      <c r="G6" s="271" t="inlineStr">
        <is>
          <t>→ Раздел 12: настройки ревизии</t>
        </is>
      </c>
      <c r="H6" s="273" t="inlineStr">
        <is>
          <t>→ Раздел 14: CAPEX и индексация</t>
        </is>
      </c>
    </row>
    <row r="7" outlineLevel="1" ht="29" customHeight="1">
      <c r="A7" s="2" t="inlineStr">
        <is>
          <t>Дата старта модели</t>
        </is>
      </c>
      <c r="B7" s="49" t="n">
        <v>46266</v>
      </c>
      <c r="C7" s="7" t="inlineStr">
        <is>
          <t>дата</t>
        </is>
      </c>
      <c r="D7" s="7" t="inlineStr">
        <is>
          <t>ТЗ 5.1</t>
        </is>
      </c>
      <c r="E7" s="17" t="inlineStr">
        <is>
          <t>Сезон считается от даты старта: 12 месяцев — один сезон. Сезонность посещаемости, веса плана продаж и согласованный мерч привязаны к календарю и не зависят от месяца старта.</t>
        </is>
      </c>
    </row>
    <row r="8" outlineLevel="1" ht="29" customHeight="1">
      <c r="A8" s="2" t="inlineStr">
        <is>
          <t>Горизонт прогноза</t>
        </is>
      </c>
      <c r="B8" s="274" t="n">
        <v>60</v>
      </c>
      <c r="C8" s="7" t="inlineStr">
        <is>
          <t>мес.</t>
        </is>
      </c>
      <c r="D8" s="7" t="inlineStr">
        <is>
          <t>Фиксированная структура</t>
        </is>
      </c>
      <c r="E8" s="17" t="inlineStr">
        <is>
          <t>Фиксированное окно 60 месяцев + 6 технических. Изменение длины требует расширения структуры.</t>
        </is>
      </c>
      <c r="G8" s="275" t="inlineStr">
        <is>
          <t>→ Раздел 15–16: займ, открытие школ, роялти по группам</t>
        </is>
      </c>
      <c r="H8" s="275" t="inlineStr">
        <is>
          <t>→ Раздел 17: история сезона 25/26</t>
        </is>
      </c>
    </row>
    <row r="9" outlineLevel="1" ht="29" customHeight="1">
      <c r="A9" s="2" t="inlineStr">
        <is>
          <t>Активные школы действующей сети на старте</t>
        </is>
      </c>
      <c r="B9" s="276" t="n">
        <v>104</v>
      </c>
      <c r="C9" s="7" t="inlineStr">
        <is>
          <t>шт.</t>
        </is>
      </c>
      <c r="D9" s="7" t="inlineStr">
        <is>
          <t>Фактический реестр на 09.09.2026</t>
        </is>
      </c>
      <c r="E9" s="17" t="inlineStr">
        <is>
          <t>104 действующие школы у 51 действующего партнёра; 3 новых партнёра пока без школ и в 104 не входят.</t>
        </is>
      </c>
    </row>
    <row r="10" outlineLevel="1" ht="29" customHeight="1">
      <c r="A10" s="2" t="inlineStr">
        <is>
          <t>Активные юрлица на старте</t>
        </is>
      </c>
      <c r="B10" s="277" t="n">
        <v>51</v>
      </c>
      <c r="C10" s="7" t="inlineStr">
        <is>
          <t>шт.</t>
        </is>
      </c>
      <c r="D10" s="7" t="inlineStr">
        <is>
          <t>Реестр сети 21.08.2026</t>
        </is>
      </c>
      <c r="E10" s="17" t="inlineStr">
        <is>
          <t>51 действующий партнёр: 48 подписали ДКК, 3 в переговорах. В ТЗ v6.011 указано 49 — цифра реестра точнее, подтверждена 11.09.2026.</t>
        </is>
      </c>
    </row>
    <row r="11" outlineLevel="1" ht="14.5" customHeight="1">
      <c r="A11" s="2" t="inlineStr">
        <is>
          <t>Дети действующей сети, 100% база</t>
        </is>
      </c>
      <c r="B11" s="278" t="n">
        <v>5200</v>
      </c>
      <c r="C11" s="7" t="inlineStr">
        <is>
          <t>чел.</t>
        </is>
      </c>
      <c r="D11" s="7" t="inlineStr">
        <is>
          <t>ТЗ 5.3</t>
        </is>
      </c>
      <c r="E11" s="17" t="inlineStr">
        <is>
          <t>100% загрузка; внутри сезона применяется посещаемость</t>
        </is>
      </c>
    </row>
    <row r="12" outlineLevel="1" ht="14.5" customHeight="1">
      <c r="A12" s="2" t="inlineStr">
        <is>
          <t>Рост детей действующей сети</t>
        </is>
      </c>
      <c r="B12" s="52" t="n">
        <v>0.1</v>
      </c>
      <c r="C12" s="7" t="inlineStr">
        <is>
          <t>%/год</t>
        </is>
      </c>
      <c r="D12" s="7" t="inlineStr">
        <is>
          <t>ТЗ 5.3</t>
        </is>
      </c>
      <c r="E12" s="17" t="inlineStr">
        <is>
          <t>Сложный рост, пересчёт каждый сентябрь</t>
        </is>
      </c>
    </row>
    <row r="13" outlineLevel="1" ht="14.5" customHeight="1">
      <c r="A13" s="2" t="inlineStr">
        <is>
          <t>Закрытие школ / юрлиц</t>
        </is>
      </c>
      <c r="B13" s="279" t="n">
        <v>0.03</v>
      </c>
      <c r="C13" s="7" t="inlineStr">
        <is>
          <t>%/год</t>
        </is>
      </c>
      <c r="D13" s="7" t="inlineStr">
        <is>
          <t>Согласовано 11.09.2026</t>
        </is>
      </c>
      <c r="E13" s="17">
        <f>IF($B$13=0,"Механика работает, пока 0%","Закрывается "&amp;ROUND($B$13*100,1)&amp;" % школ и юрлиц в год; помесячно через коэффициент B14")</f>
        <v/>
      </c>
    </row>
    <row r="14" outlineLevel="1" ht="14.5" customHeight="1">
      <c r="A14" s="2" t="inlineStr">
        <is>
          <t>Месячный коэффициент сохранения</t>
        </is>
      </c>
      <c r="B14" s="280">
        <f>(1-B13)^(1/12)</f>
        <v/>
      </c>
      <c r="C14" s="7" t="inlineStr">
        <is>
          <t>коэфф.</t>
        </is>
      </c>
      <c r="D14" s="7" t="inlineStr">
        <is>
          <t>Расчёт</t>
        </is>
      </c>
      <c r="E14" s="7" t="inlineStr">
        <is>
          <t>Технический коэффициент для закрытий</t>
        </is>
      </c>
    </row>
    <row r="15" outlineLevel="1" ht="14.5" customHeight="1">
      <c r="A15" s="2" t="inlineStr">
        <is>
          <t>Лаг продажа → открытие</t>
        </is>
      </c>
      <c r="B15" s="281" t="n">
        <v>2</v>
      </c>
      <c r="C15" s="7" t="inlineStr">
        <is>
          <t>мес.</t>
        </is>
      </c>
      <c r="D15" s="7" t="inlineStr">
        <is>
          <t>ТЗ 5.2</t>
        </is>
      </c>
      <c r="E15" s="17" t="inlineStr">
        <is>
          <t>Продажа, открытие и ERP — разные события</t>
        </is>
      </c>
    </row>
    <row r="16" outlineLevel="1" ht="14.5" customHeight="1">
      <c r="A16" s="2" t="inlineStr">
        <is>
          <t>Новых юрлиц на 1 продажу</t>
        </is>
      </c>
      <c r="B16" s="282" t="n">
        <v>1</v>
      </c>
      <c r="C16" s="7" t="inlineStr">
        <is>
          <t>юрлиц/продажу</t>
        </is>
      </c>
      <c r="D16" s="7" t="inlineStr">
        <is>
          <t>Временно</t>
        </is>
      </c>
      <c r="E16" s="17" t="inlineStr">
        <is>
          <t>Связь продаж с новыми юрлицами. Пока 1:1; отдельно от количества школ на партнёра.</t>
        </is>
      </c>
    </row>
    <row r="17" outlineLevel="1" ht="14.5" customHeight="1">
      <c r="A17" s="2" t="inlineStr">
        <is>
          <t>Стартовый денежный остаток</t>
        </is>
      </c>
      <c r="B17" s="283" t="n">
        <v>187878</v>
      </c>
      <c r="C17" s="7" t="inlineStr">
        <is>
          <t>₽</t>
        </is>
      </c>
      <c r="D17" s="7" t="inlineStr">
        <is>
          <t>ДДС на 02.07.2026</t>
        </is>
      </c>
      <c r="E17" s="17" t="inlineStr">
        <is>
          <t>Обновить на 31.08.2026</t>
        </is>
      </c>
    </row>
    <row r="18" outlineLevel="1" ht="14.5" customHeight="1">
      <c r="A18" s="2" t="inlineStr">
        <is>
          <t>Дебиторка</t>
        </is>
      </c>
      <c r="B18" s="284">
        <f>$B$225*$F$203</f>
        <v/>
      </c>
      <c r="C18" s="7" t="inlineStr">
        <is>
          <t>дней</t>
        </is>
      </c>
      <c r="D18" s="7" t="inlineStr">
        <is>
          <t>Расчет по сценарию</t>
        </is>
      </c>
      <c r="E18" s="17" t="inlineStr">
        <is>
          <t>Базовое допущение</t>
        </is>
      </c>
      <c r="G18" s="285" t="inlineStr">
        <is>
          <t>← формула; база: B225</t>
        </is>
      </c>
    </row>
    <row r="19" outlineLevel="1" ht="14.5" customHeight="1">
      <c r="A19" s="2" t="inlineStr">
        <is>
          <t>Кредиторка</t>
        </is>
      </c>
      <c r="B19" s="286" t="n">
        <v>15</v>
      </c>
      <c r="C19" s="7" t="inlineStr">
        <is>
          <t>дней</t>
        </is>
      </c>
      <c r="D19" s="7" t="inlineStr">
        <is>
          <t>ТЗ 8</t>
        </is>
      </c>
      <c r="E19" s="17" t="inlineStr">
        <is>
          <t>Базовое допущение</t>
        </is>
      </c>
    </row>
    <row r="20" outlineLevel="1" ht="14.5" customHeight="1">
      <c r="A20" s="2" t="inlineStr">
        <is>
          <t>Доля поступления в текущем месяце</t>
        </is>
      </c>
      <c r="B20" s="287">
        <f>MAX(0,MIN(1,(30-B18)/30))</f>
        <v/>
      </c>
      <c r="C20" s="7" t="inlineStr">
        <is>
          <t>%</t>
        </is>
      </c>
      <c r="D20" s="7" t="inlineStr">
        <is>
          <t>Расчёт</t>
        </is>
      </c>
      <c r="E20" s="7" t="inlineStr">
        <is>
          <t>15 дней ≈ 50% текущий / 50% следующий месяц</t>
        </is>
      </c>
    </row>
    <row r="21" outlineLevel="1" ht="14.5" customHeight="1">
      <c r="A21" s="2" t="inlineStr">
        <is>
          <t>Доля оплаты в текущем месяце</t>
        </is>
      </c>
      <c r="B21" s="287">
        <f>MAX(0,MIN(1,(30-B19)/30))</f>
        <v/>
      </c>
      <c r="C21" s="7" t="inlineStr">
        <is>
          <t>%</t>
        </is>
      </c>
      <c r="D21" s="7" t="inlineStr">
        <is>
          <t>Расчёт</t>
        </is>
      </c>
      <c r="E21" s="7" t="inlineStr">
        <is>
          <t>15 дней ≈ 50% текущий / 50% следующий месяц</t>
        </is>
      </c>
    </row>
    <row r="22" outlineLevel="1" ht="14.5" customHeight="1">
      <c r="A22" s="2" t="inlineStr">
        <is>
          <t>Новых школ на 1 продажу / нового партнёра</t>
        </is>
      </c>
      <c r="B22" s="288" t="n">
        <v>1.5</v>
      </c>
      <c r="C22" s="7" t="inlineStr">
        <is>
          <t>школ/продажу</t>
        </is>
      </c>
      <c r="D22" s="7" t="inlineStr">
        <is>
          <t>Согласовано 11.09.2026</t>
        </is>
      </c>
      <c r="E22" s="17">
        <f>"Новый партнёр открывает "&amp;ROUND($B$22,1)&amp;" школы. Действующая сеть: 2,04 школы на партнёра (104 на 51)"</f>
        <v/>
      </c>
    </row>
    <row r="23" ht="14.5" customHeight="1">
      <c r="A23" s="272" t="inlineStr">
        <is>
          <t>2. Продажи франшиз и маркетинг</t>
        </is>
      </c>
    </row>
    <row r="24" outlineLevel="1" ht="14.5" customHeight="1">
      <c r="A24" s="6" t="inlineStr">
        <is>
          <t>Параметр</t>
        </is>
      </c>
      <c r="B24" s="6" t="inlineStr">
        <is>
          <t>Значение</t>
        </is>
      </c>
      <c r="C24" s="6" t="inlineStr">
        <is>
          <t>Ед.</t>
        </is>
      </c>
      <c r="D24" s="6" t="inlineStr">
        <is>
          <t>Статус / источник</t>
        </is>
      </c>
      <c r="E24" s="6" t="inlineStr">
        <is>
          <t>Комментарий</t>
        </is>
      </c>
    </row>
    <row r="25" outlineLevel="1" ht="14.5" customHeight="1">
      <c r="A25" s="2" t="inlineStr">
        <is>
          <t>Конверсия лид → продажа</t>
        </is>
      </c>
      <c r="B25" s="52" t="n">
        <v>0.03</v>
      </c>
      <c r="C25" s="7" t="inlineStr">
        <is>
          <t>%</t>
        </is>
      </c>
      <c r="D25" s="7" t="inlineStr">
        <is>
          <t>ТЗ 7</t>
        </is>
      </c>
      <c r="E25" s="17" t="inlineStr"/>
    </row>
    <row r="26" outlineLevel="1" ht="14.5" customHeight="1">
      <c r="A26" s="2" t="inlineStr">
        <is>
          <t>Таргет на будущую продажу</t>
        </is>
      </c>
      <c r="B26" s="289">
        <f>$B$224*$F$202</f>
        <v/>
      </c>
      <c r="C26" s="7" t="inlineStr">
        <is>
          <t>₽/продажа</t>
        </is>
      </c>
      <c r="D26" s="7" t="inlineStr">
        <is>
          <t>Расчет по сценарию</t>
        </is>
      </c>
      <c r="E26" s="17" t="inlineStr">
        <is>
          <t>Обычно M-2; для октября 2026 исключение M-1</t>
        </is>
      </c>
      <c r="G26" s="285" t="inlineStr">
        <is>
          <t>← формула; база: B224</t>
        </is>
      </c>
    </row>
    <row r="27" outlineLevel="1" ht="14.5" customHeight="1">
      <c r="A27" s="2" t="inlineStr">
        <is>
          <t>Лаг таргета до продажи</t>
        </is>
      </c>
      <c r="B27" s="281" t="n">
        <v>2</v>
      </c>
      <c r="C27" s="7" t="inlineStr">
        <is>
          <t>мес.</t>
        </is>
      </c>
      <c r="D27" s="7" t="inlineStr">
        <is>
          <t>ТЗ 7</t>
        </is>
      </c>
      <c r="E27" s="17" t="inlineStr">
        <is>
          <t>Октябрь 2026 — отдельное исключение</t>
        </is>
      </c>
    </row>
    <row r="28" outlineLevel="1" ht="14.5" customHeight="1">
      <c r="A28" s="2" t="inlineStr">
        <is>
          <t>БИБОСС — сумма</t>
        </is>
      </c>
      <c r="B28" s="50" t="n">
        <v>250000</v>
      </c>
      <c r="C28" s="7" t="inlineStr">
        <is>
          <t>₽</t>
        </is>
      </c>
      <c r="D28" s="7" t="inlineStr">
        <is>
          <t>ТЗ 7</t>
        </is>
      </c>
      <c r="E28" s="17" t="inlineStr">
        <is>
          <t>Ежегодно</t>
        </is>
      </c>
    </row>
    <row r="29" outlineLevel="1" ht="14.5" customHeight="1">
      <c r="A29" s="2" t="inlineStr">
        <is>
          <t>БИБОСС — месяц</t>
        </is>
      </c>
      <c r="B29" s="290" t="n">
        <v>10</v>
      </c>
      <c r="C29" s="7" t="inlineStr">
        <is>
          <t>номер месяца</t>
        </is>
      </c>
      <c r="D29" s="7" t="inlineStr">
        <is>
          <t>ТЗ 7</t>
        </is>
      </c>
      <c r="E29" s="17" t="inlineStr">
        <is>
          <t>Октябрь</t>
        </is>
      </c>
    </row>
    <row r="30" outlineLevel="1" ht="14.5" customHeight="1">
      <c r="A30" s="2" t="inlineStr">
        <is>
          <t>TopFranchise — сумма</t>
        </is>
      </c>
      <c r="B30" s="50" t="n">
        <v>250000</v>
      </c>
      <c r="C30" s="7" t="inlineStr">
        <is>
          <t>₽</t>
        </is>
      </c>
      <c r="D30" s="7" t="inlineStr">
        <is>
          <t>ТЗ 7</t>
        </is>
      </c>
      <c r="E30" s="17" t="inlineStr">
        <is>
          <t>Ежегодно</t>
        </is>
      </c>
    </row>
    <row r="31" outlineLevel="1" ht="14.5" customHeight="1">
      <c r="A31" s="2" t="inlineStr">
        <is>
          <t>TopFranchise — месяц</t>
        </is>
      </c>
      <c r="B31" s="290" t="n">
        <v>11</v>
      </c>
      <c r="C31" s="7" t="inlineStr">
        <is>
          <t>номер месяца</t>
        </is>
      </c>
      <c r="D31" s="7" t="inlineStr">
        <is>
          <t>ТЗ 7</t>
        </is>
      </c>
      <c r="E31" s="17" t="inlineStr">
        <is>
          <t>Ноябрь</t>
        </is>
      </c>
    </row>
    <row r="32" outlineLevel="1" ht="14.5" customHeight="1">
      <c r="A32" s="2" t="inlineStr">
        <is>
          <t>Forbes — сумма</t>
        </is>
      </c>
      <c r="B32" s="50" t="n">
        <v>250000</v>
      </c>
      <c r="C32" s="7" t="inlineStr">
        <is>
          <t>₽</t>
        </is>
      </c>
      <c r="D32" s="7" t="inlineStr">
        <is>
          <t>ТЗ 7</t>
        </is>
      </c>
      <c r="E32" s="17" t="inlineStr">
        <is>
          <t>Ежегодно</t>
        </is>
      </c>
    </row>
    <row r="33" outlineLevel="1" ht="14.5" customHeight="1">
      <c r="A33" s="2" t="inlineStr">
        <is>
          <t>Forbes — месяц</t>
        </is>
      </c>
      <c r="B33" s="290" t="n">
        <v>12</v>
      </c>
      <c r="C33" s="7" t="inlineStr">
        <is>
          <t>номер месяца</t>
        </is>
      </c>
      <c r="D33" s="7" t="inlineStr">
        <is>
          <t>ТЗ 7</t>
        </is>
      </c>
      <c r="E33" s="17" t="inlineStr">
        <is>
          <t>Декабрь</t>
        </is>
      </c>
    </row>
    <row r="34" outlineLevel="1" ht="14.5" customHeight="1">
      <c r="A34" s="4" t="inlineStr">
        <is>
          <t>2а. Планы продаж и сезонность (веса — по календарным месяцам, первый месяц модели без продаж)</t>
        </is>
      </c>
    </row>
    <row r="35" outlineLevel="1" ht="14.5" customHeight="1">
      <c r="A35" s="6" t="inlineStr">
        <is>
          <t>Сезон</t>
        </is>
      </c>
      <c r="B35" s="6" t="inlineStr">
        <is>
          <t>Годовой план</t>
        </is>
      </c>
      <c r="C35" s="6" t="inlineStr">
        <is>
          <t>Сен</t>
        </is>
      </c>
      <c r="D35" s="6" t="inlineStr">
        <is>
          <t>Окт</t>
        </is>
      </c>
      <c r="E35" s="6" t="inlineStr">
        <is>
          <t>Ноя</t>
        </is>
      </c>
      <c r="F35" s="6" t="inlineStr">
        <is>
          <t>Дек</t>
        </is>
      </c>
      <c r="G35" s="6" t="inlineStr">
        <is>
          <t>Янв</t>
        </is>
      </c>
      <c r="H35" s="6" t="inlineStr">
        <is>
          <t>Фев</t>
        </is>
      </c>
      <c r="I35" s="6" t="inlineStr">
        <is>
          <t>Мар</t>
        </is>
      </c>
      <c r="J35" s="6" t="inlineStr">
        <is>
          <t>Апр</t>
        </is>
      </c>
      <c r="K35" s="6" t="inlineStr">
        <is>
          <t>Май</t>
        </is>
      </c>
      <c r="L35" s="6" t="inlineStr">
        <is>
          <t>Июн</t>
        </is>
      </c>
      <c r="M35" s="6" t="inlineStr">
        <is>
          <t>Июл</t>
        </is>
      </c>
      <c r="N35" s="6" t="inlineStr">
        <is>
          <t>Авг</t>
        </is>
      </c>
      <c r="O35" s="6" t="inlineStr">
        <is>
          <t>Контроль</t>
        </is>
      </c>
    </row>
    <row r="36" outlineLevel="1" ht="14.5" customHeight="1">
      <c r="A36" s="24" t="n">
        <v>1</v>
      </c>
      <c r="B36" s="289">
        <f>$B$210*$F$198</f>
        <v/>
      </c>
      <c r="C36" s="52" t="n">
        <v>0.18</v>
      </c>
      <c r="D36" s="52" t="n">
        <v>0.09</v>
      </c>
      <c r="E36" s="52" t="n">
        <v>0.03</v>
      </c>
      <c r="F36" s="52" t="n">
        <v>0.02</v>
      </c>
      <c r="G36" s="52" t="n">
        <v>0.08</v>
      </c>
      <c r="H36" s="52" t="n">
        <v>0.13</v>
      </c>
      <c r="I36" s="52" t="n">
        <v>0.05</v>
      </c>
      <c r="J36" s="52" t="n">
        <v>0.06</v>
      </c>
      <c r="K36" s="52" t="n">
        <v>0.08</v>
      </c>
      <c r="L36" s="52" t="n">
        <v>0.05</v>
      </c>
      <c r="M36" s="52" t="n">
        <v>0.09</v>
      </c>
      <c r="N36" s="52" t="n">
        <v>0.14</v>
      </c>
      <c r="O36" s="287">
        <f>SUM(C36:N36)</f>
        <v/>
      </c>
    </row>
    <row r="37" outlineLevel="1" ht="14.5" customHeight="1">
      <c r="A37" s="24" t="n">
        <v>2</v>
      </c>
      <c r="B37" s="289">
        <f>$B$211*$F$198</f>
        <v/>
      </c>
      <c r="C37" s="52" t="n">
        <v>0.18</v>
      </c>
      <c r="D37" s="52" t="n">
        <v>0.09</v>
      </c>
      <c r="E37" s="52" t="n">
        <v>0.03</v>
      </c>
      <c r="F37" s="52" t="n">
        <v>0.02</v>
      </c>
      <c r="G37" s="52" t="n">
        <v>0.08</v>
      </c>
      <c r="H37" s="52" t="n">
        <v>0.13</v>
      </c>
      <c r="I37" s="52" t="n">
        <v>0.05</v>
      </c>
      <c r="J37" s="52" t="n">
        <v>0.06</v>
      </c>
      <c r="K37" s="52" t="n">
        <v>0.08</v>
      </c>
      <c r="L37" s="52" t="n">
        <v>0.05</v>
      </c>
      <c r="M37" s="52" t="n">
        <v>0.09</v>
      </c>
      <c r="N37" s="52" t="n">
        <v>0.14</v>
      </c>
      <c r="O37" s="287">
        <f>SUM(C37:N37)</f>
        <v/>
      </c>
    </row>
    <row r="38" outlineLevel="1" ht="14.5" customHeight="1">
      <c r="A38" s="24" t="n">
        <v>3</v>
      </c>
      <c r="B38" s="289">
        <f>$B$212*$F$198</f>
        <v/>
      </c>
      <c r="C38" s="52" t="n">
        <v>0.18</v>
      </c>
      <c r="D38" s="52" t="n">
        <v>0.09</v>
      </c>
      <c r="E38" s="52" t="n">
        <v>0.03</v>
      </c>
      <c r="F38" s="52" t="n">
        <v>0.02</v>
      </c>
      <c r="G38" s="52" t="n">
        <v>0.08</v>
      </c>
      <c r="H38" s="52" t="n">
        <v>0.13</v>
      </c>
      <c r="I38" s="52" t="n">
        <v>0.05</v>
      </c>
      <c r="J38" s="52" t="n">
        <v>0.06</v>
      </c>
      <c r="K38" s="52" t="n">
        <v>0.08</v>
      </c>
      <c r="L38" s="52" t="n">
        <v>0.05</v>
      </c>
      <c r="M38" s="52" t="n">
        <v>0.09</v>
      </c>
      <c r="N38" s="52" t="n">
        <v>0.14</v>
      </c>
      <c r="O38" s="287">
        <f>SUM(C38:N38)</f>
        <v/>
      </c>
    </row>
    <row r="39" outlineLevel="1" ht="14.5" customHeight="1">
      <c r="A39" s="24" t="n">
        <v>4</v>
      </c>
      <c r="B39" s="289">
        <f>$B$213*$F$198</f>
        <v/>
      </c>
      <c r="C39" s="52" t="n">
        <v>0.18</v>
      </c>
      <c r="D39" s="52" t="n">
        <v>0.09</v>
      </c>
      <c r="E39" s="52" t="n">
        <v>0.03</v>
      </c>
      <c r="F39" s="52" t="n">
        <v>0.02</v>
      </c>
      <c r="G39" s="52" t="n">
        <v>0.08</v>
      </c>
      <c r="H39" s="52" t="n">
        <v>0.13</v>
      </c>
      <c r="I39" s="52" t="n">
        <v>0.05</v>
      </c>
      <c r="J39" s="52" t="n">
        <v>0.06</v>
      </c>
      <c r="K39" s="52" t="n">
        <v>0.08</v>
      </c>
      <c r="L39" s="52" t="n">
        <v>0.05</v>
      </c>
      <c r="M39" s="52" t="n">
        <v>0.09</v>
      </c>
      <c r="N39" s="52" t="n">
        <v>0.14</v>
      </c>
      <c r="O39" s="287">
        <f>SUM(C39:N39)</f>
        <v/>
      </c>
    </row>
    <row r="40" outlineLevel="1" ht="14.5" customHeight="1">
      <c r="A40" s="24" t="n">
        <v>5</v>
      </c>
      <c r="B40" s="289">
        <f>$B$214*$F$198</f>
        <v/>
      </c>
      <c r="C40" s="52" t="n">
        <v>0.18</v>
      </c>
      <c r="D40" s="52" t="n">
        <v>0.09</v>
      </c>
      <c r="E40" s="52" t="n">
        <v>0.03</v>
      </c>
      <c r="F40" s="52" t="n">
        <v>0.02</v>
      </c>
      <c r="G40" s="52" t="n">
        <v>0.08</v>
      </c>
      <c r="H40" s="52" t="n">
        <v>0.13</v>
      </c>
      <c r="I40" s="52" t="n">
        <v>0.05</v>
      </c>
      <c r="J40" s="52" t="n">
        <v>0.06</v>
      </c>
      <c r="K40" s="52" t="n">
        <v>0.08</v>
      </c>
      <c r="L40" s="52" t="n">
        <v>0.05</v>
      </c>
      <c r="M40" s="52" t="n">
        <v>0.09</v>
      </c>
      <c r="N40" s="52" t="n">
        <v>0.14</v>
      </c>
      <c r="O40" s="287">
        <f>SUM(C40:N40)</f>
        <v/>
      </c>
    </row>
    <row r="41" ht="14.5" customHeight="1"/>
    <row r="42" ht="14.5" customHeight="1">
      <c r="A42" s="272" t="inlineStr">
        <is>
          <t>3. Дети и сезонность посещаемости</t>
        </is>
      </c>
    </row>
    <row r="43" outlineLevel="1" ht="14.5" customHeight="1">
      <c r="A43" s="6" t="inlineStr">
        <is>
          <t>Месяц</t>
        </is>
      </c>
      <c r="B43" s="6" t="inlineStr">
        <is>
          <t>Янв</t>
        </is>
      </c>
      <c r="C43" s="6" t="inlineStr">
        <is>
          <t>Фев</t>
        </is>
      </c>
      <c r="D43" s="6" t="inlineStr">
        <is>
          <t>Мар</t>
        </is>
      </c>
      <c r="E43" s="6" t="inlineStr">
        <is>
          <t>Апр</t>
        </is>
      </c>
      <c r="F43" s="6" t="inlineStr">
        <is>
          <t>Май</t>
        </is>
      </c>
      <c r="G43" s="6" t="inlineStr">
        <is>
          <t>Июн</t>
        </is>
      </c>
      <c r="H43" s="6" t="inlineStr">
        <is>
          <t>Июл</t>
        </is>
      </c>
      <c r="I43" s="6" t="inlineStr">
        <is>
          <t>Авг</t>
        </is>
      </c>
      <c r="J43" s="6" t="inlineStr">
        <is>
          <t>Сен</t>
        </is>
      </c>
      <c r="K43" s="6" t="inlineStr">
        <is>
          <t>Окт</t>
        </is>
      </c>
      <c r="L43" s="6" t="inlineStr">
        <is>
          <t>Ноя</t>
        </is>
      </c>
      <c r="M43" s="6" t="inlineStr">
        <is>
          <t>Дек</t>
        </is>
      </c>
    </row>
    <row r="44" outlineLevel="1" ht="14.5" customHeight="1">
      <c r="A44" s="2" t="inlineStr">
        <is>
          <t>Индекс посещаемости</t>
        </is>
      </c>
      <c r="B44" s="52" t="n">
        <v>0.963235294117647</v>
      </c>
      <c r="C44" s="52" t="n">
        <v>1</v>
      </c>
      <c r="D44" s="52" t="n">
        <v>0.9926470588235294</v>
      </c>
      <c r="E44" s="52" t="n">
        <v>0.926470588235294</v>
      </c>
      <c r="F44" s="52" t="n">
        <v>0.8235294117647058</v>
      </c>
      <c r="G44" s="52" t="n">
        <v>0.3161764705882353</v>
      </c>
      <c r="H44" s="52" t="n">
        <v>0.1397058823529412</v>
      </c>
      <c r="I44" s="52" t="n">
        <v>0.05882352941176471</v>
      </c>
      <c r="J44" s="52" t="n">
        <v>0.7941176470588235</v>
      </c>
      <c r="K44" s="52" t="n">
        <v>0.9411764705882353</v>
      </c>
      <c r="L44" s="52" t="n">
        <v>0.9411764705882353</v>
      </c>
      <c r="M44" s="52" t="n">
        <v>0.926470588235294</v>
      </c>
    </row>
    <row r="45" outlineLevel="1" ht="14.5" customHeight="1"/>
    <row r="46" outlineLevel="1" ht="14.5" customHeight="1">
      <c r="A46" s="178" t="inlineStr">
        <is>
          <t>Дети к концу 12-го месяца, 100%</t>
        </is>
      </c>
      <c r="B46" s="291">
        <f>$B$215*$F$199</f>
        <v/>
      </c>
      <c r="C46" s="7" t="inlineStr">
        <is>
          <t>чел. при 100%</t>
        </is>
      </c>
      <c r="D46" s="7" t="inlineStr">
        <is>
          <t>Расчет по сценарию</t>
        </is>
      </c>
      <c r="E46" s="17" t="inlineStr">
        <is>
          <t>Взвешенное среднее</t>
        </is>
      </c>
      <c r="G46" s="285" t="inlineStr">
        <is>
          <t>← формула; база: B215</t>
        </is>
      </c>
    </row>
    <row r="47" outlineLevel="1" ht="14.5" customHeight="1">
      <c r="A47" s="178" t="inlineStr">
        <is>
          <t>Дети к концу 24-го месяца, 100%</t>
        </is>
      </c>
      <c r="B47" s="291">
        <f>$B$216*$F$199</f>
        <v/>
      </c>
      <c r="C47" s="7" t="inlineStr">
        <is>
          <t>чел. при 100%</t>
        </is>
      </c>
      <c r="D47" s="7" t="inlineStr">
        <is>
          <t>Роман 10.08.2026 / тарифный микс</t>
        </is>
      </c>
      <c r="E47" s="179" t="inlineStr">
        <is>
          <t>Не полный план с 13-го месяца: плавный рост за месяцы 13-24.</t>
        </is>
      </c>
      <c r="G47" s="285" t="inlineStr">
        <is>
          <t>← формула; база: B216</t>
        </is>
      </c>
    </row>
    <row r="48" ht="14.5" customHeight="1"/>
    <row r="49" ht="14.5" customHeight="1">
      <c r="A49" s="272" t="inlineStr">
        <is>
          <t>4. Паушальный взнос и роялти</t>
        </is>
      </c>
    </row>
    <row r="50" outlineLevel="1" ht="14.5" customHeight="1">
      <c r="A50" s="6" t="inlineStr">
        <is>
          <t>Параметр</t>
        </is>
      </c>
      <c r="B50" s="6" t="inlineStr">
        <is>
          <t>Значение</t>
        </is>
      </c>
      <c r="C50" s="6" t="inlineStr">
        <is>
          <t>Ед.</t>
        </is>
      </c>
      <c r="D50" s="6" t="inlineStr">
        <is>
          <t>Статус / источник</t>
        </is>
      </c>
      <c r="E50" s="6" t="inlineStr">
        <is>
          <t>Комментарий</t>
        </is>
      </c>
    </row>
    <row r="51" outlineLevel="1" ht="14.5" customHeight="1">
      <c r="A51" s="2" t="inlineStr">
        <is>
          <t>Абонемент действующей сети</t>
        </is>
      </c>
      <c r="B51" s="289">
        <f>$B$217*$F$200</f>
        <v/>
      </c>
      <c r="C51" s="7" t="inlineStr">
        <is>
          <t>₽/мес.</t>
        </is>
      </c>
      <c r="D51" s="7" t="inlineStr">
        <is>
          <t>Расчет по сценарию</t>
        </is>
      </c>
      <c r="E51" s="17" t="inlineStr"/>
      <c r="G51" s="285" t="inlineStr">
        <is>
          <t>← формула; база: B217</t>
        </is>
      </c>
    </row>
    <row r="52" outlineLevel="1" ht="29" customHeight="1">
      <c r="A52" s="2" t="inlineStr">
        <is>
          <t>Средний фикс на точку начисления</t>
        </is>
      </c>
      <c r="B52" s="283">
        <f>SUMPRODUCT(B314:B318,D314:D318)/SUM(B314:B318)</f>
        <v/>
      </c>
      <c r="C52" s="7" t="inlineStr">
        <is>
          <t>₽/точку/мес.</t>
        </is>
      </c>
      <c r="D52" s="7" t="inlineStr">
        <is>
          <t>Расчёт из групп</t>
        </is>
      </c>
      <c r="E52" s="17" t="inlineStr">
        <is>
          <t>Считается из таблицы групп в разделе 16. Руками не вводится: в роялти входят фиксы групп, а не это среднее.</t>
        </is>
      </c>
    </row>
    <row r="53" outlineLevel="1" ht="14.5" customHeight="1">
      <c r="A53" s="2" t="inlineStr">
        <is>
          <t>Мин. роялти новой школы — 1-й год</t>
        </is>
      </c>
      <c r="B53" s="292">
        <f>SUMPRODUCT($C$263:$C$282,$I$263:$I$282)/$C$283</f>
        <v/>
      </c>
      <c r="C53" s="7" t="inlineStr">
        <is>
          <t>₽/школа/мес.</t>
        </is>
      </c>
      <c r="D53" s="7" t="inlineStr">
        <is>
          <t>Взвешенный микс</t>
        </is>
      </c>
      <c r="E53" s="17" t="inlineStr">
        <is>
          <t>Минимум применяется по каждой школе</t>
        </is>
      </c>
      <c r="G53" s="285" t="inlineStr">
        <is>
          <t>← формула; база: I263:I282</t>
        </is>
      </c>
    </row>
    <row r="54" outlineLevel="1" ht="14.5" customHeight="1">
      <c r="A54" s="2" t="inlineStr">
        <is>
          <t>Мин. роялти новой школы — 2-й год+</t>
        </is>
      </c>
      <c r="B54" s="292">
        <f>SUMPRODUCT($C$263:$C$282,$J$263:$J$282)/$C$283</f>
        <v/>
      </c>
      <c r="C54" s="7" t="inlineStr">
        <is>
          <t>₽/школа/мес.</t>
        </is>
      </c>
      <c r="D54" s="7" t="inlineStr">
        <is>
          <t>Взвешенный микс</t>
        </is>
      </c>
      <c r="E54" s="17" t="inlineStr">
        <is>
          <t>Минимум применяется по каждой школе</t>
        </is>
      </c>
      <c r="G54" s="285" t="inlineStr">
        <is>
          <t>← формула; база: J263:J282</t>
        </is>
      </c>
    </row>
    <row r="55" outlineLevel="1" ht="14.5" customHeight="1">
      <c r="A55" s="2">
        <f>"Роялти старых / продаж до "&amp;TEXT(DAY($B$244),"00")&amp;"."&amp;TEXT(MONTH($B$244),"00")&amp;"."&amp;YEAR($B$244)</f>
        <v/>
      </c>
      <c r="B55" s="52" t="n">
        <v>0.065</v>
      </c>
      <c r="C55" s="7" t="inlineStr">
        <is>
          <t>%</t>
        </is>
      </c>
      <c r="D55" s="7" t="inlineStr">
        <is>
          <t>ТЗ 5.4</t>
        </is>
      </c>
      <c r="E55" s="17" t="inlineStr">
        <is>
          <t>До 31.12.2029</t>
        </is>
      </c>
    </row>
    <row r="56" outlineLevel="1" ht="14.5" customHeight="1">
      <c r="A56" s="2">
        <f>"Роялти новых с "&amp;TEXT(DAY($B$244+1),"00")&amp;"."&amp;TEXT(MONTH($B$244+1),"00")&amp;"."&amp;YEAR($B$244+1)</f>
        <v/>
      </c>
      <c r="B56" s="52" t="n">
        <v>0.08500000000000001</v>
      </c>
      <c r="C56" s="7" t="inlineStr">
        <is>
          <t>%</t>
        </is>
      </c>
      <c r="D56" s="7" t="inlineStr">
        <is>
          <t>ТЗ 5.4</t>
        </is>
      </c>
      <c r="E56" s="17" t="inlineStr">
        <is>
          <t>До 31.12.2029</t>
        </is>
      </c>
    </row>
    <row r="57" outlineLevel="1" ht="14.5" customHeight="1">
      <c r="A57" s="2">
        <f>"Роялти всех с "&amp;TEXT(DAY($B$245),"00")&amp;"."&amp;TEXT(MONTH($B$245),"00")&amp;"."&amp;YEAR($B$245)</f>
        <v/>
      </c>
      <c r="B57" s="52" t="n">
        <v>0.1</v>
      </c>
      <c r="C57" s="7" t="inlineStr">
        <is>
          <t>%</t>
        </is>
      </c>
      <c r="D57" s="7" t="inlineStr">
        <is>
          <t>ТЗ 5.4</t>
        </is>
      </c>
      <c r="E57" s="293" t="inlineStr">
        <is>
          <t>Дата перехода задаётся в B245; подпись слева следует за ней.</t>
        </is>
      </c>
    </row>
    <row r="58" outlineLevel="1" ht="14.5" customHeight="1">
      <c r="A58" s="2" t="inlineStr">
        <is>
          <t>НДС основной деятельности</t>
        </is>
      </c>
      <c r="B58" s="279" t="n">
        <v>0.05</v>
      </c>
      <c r="C58" s="7" t="inlineStr">
        <is>
          <t>%</t>
        </is>
      </c>
      <c r="D58" s="7" t="inlineStr">
        <is>
          <t>Временно</t>
        </is>
      </c>
      <c r="E58" s="17" t="inlineStr">
        <is>
          <t>Требует налоговой сверки</t>
        </is>
      </c>
    </row>
    <row r="59" outlineLevel="1" ht="14.5" customHeight="1">
      <c r="A59" s="2" t="inlineStr">
        <is>
          <t>Доля ФК от паушального</t>
        </is>
      </c>
      <c r="B59" s="52" t="n">
        <v>0.35</v>
      </c>
      <c r="C59" s="7" t="inlineStr">
        <is>
          <t>% без НДС</t>
        </is>
      </c>
      <c r="D59" s="7" t="inlineStr">
        <is>
          <t>V5</t>
        </is>
      </c>
      <c r="E59" s="17" t="inlineStr"/>
      <c r="F59" s="294" t="inlineStr">
        <is>
          <t>35% выручки. Не связано с B76: там 35% ПРИБЫЛИ мерча. Совпадение ставок случайно — пересмотр одной не двигает другую.</t>
        </is>
      </c>
    </row>
    <row r="60" outlineLevel="1" ht="14.5" customHeight="1">
      <c r="A60" s="2" t="inlineStr">
        <is>
          <t>Доля ФК от роялти</t>
        </is>
      </c>
      <c r="B60" s="52" t="n">
        <v>0.1</v>
      </c>
      <c r="C60" s="7" t="inlineStr">
        <is>
          <t>% без НДС</t>
        </is>
      </c>
      <c r="D60" s="7" t="inlineStr">
        <is>
          <t>V5</t>
        </is>
      </c>
      <c r="E60" s="17" t="inlineStr"/>
    </row>
    <row r="61" outlineLevel="1" ht="14.5" customHeight="1">
      <c r="A61" s="4" t="inlineStr">
        <is>
          <t>Средние по взвешенному миксу продуктов — по сезонам</t>
        </is>
      </c>
    </row>
    <row r="62" outlineLevel="1" ht="14.5" customHeight="1">
      <c r="A62" s="6" t="inlineStr">
        <is>
          <t>Сезон</t>
        </is>
      </c>
      <c r="B62" s="6" t="inlineStr">
        <is>
          <t>Средний паушальный, ₽ с НДС</t>
        </is>
      </c>
      <c r="C62" s="6" t="inlineStr">
        <is>
          <t>Средний абонемент, ₽/мес.</t>
        </is>
      </c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</row>
    <row r="63" outlineLevel="1" ht="14.5" customHeight="1">
      <c r="A63" s="24" t="n">
        <v>1</v>
      </c>
      <c r="B63" s="292">
        <f>SUMPRODUCT($C$263:$C$282,$D$263:$D$282)/$C$283</f>
        <v/>
      </c>
      <c r="C63" s="289">
        <f>$B$218*$F$200</f>
        <v/>
      </c>
      <c r="G63" s="285" t="inlineStr">
        <is>
          <t>← формула; база: D263:D282</t>
        </is>
      </c>
    </row>
    <row r="64" outlineLevel="1" ht="14.5" customHeight="1">
      <c r="A64" s="24" t="n">
        <v>2</v>
      </c>
      <c r="B64" s="292">
        <f>SUMPRODUCT($C$263:$C$282,$D$263:$D$282)/$C$283</f>
        <v/>
      </c>
      <c r="C64" s="289">
        <f>$B$219*$F$200</f>
        <v/>
      </c>
      <c r="G64" s="285" t="inlineStr">
        <is>
          <t>← формула; база: D263:D282</t>
        </is>
      </c>
    </row>
    <row r="65" outlineLevel="1" ht="14.5" customHeight="1">
      <c r="A65" s="24" t="n">
        <v>3</v>
      </c>
      <c r="B65" s="292">
        <f>SUMPRODUCT($C$263:$C$282,$D$263:$D$282)/$C$283</f>
        <v/>
      </c>
      <c r="C65" s="289">
        <f>$B$220*$F$200</f>
        <v/>
      </c>
      <c r="G65" s="285" t="inlineStr">
        <is>
          <t>← формула; база: D263:D282</t>
        </is>
      </c>
    </row>
    <row r="66" outlineLevel="1" ht="14.5" customHeight="1">
      <c r="A66" s="24" t="n">
        <v>4</v>
      </c>
      <c r="B66" s="292">
        <f>SUMPRODUCT($C$263:$C$282,$D$263:$D$282)/$C$283</f>
        <v/>
      </c>
      <c r="C66" s="289">
        <f>$B$221*$F$200</f>
        <v/>
      </c>
      <c r="G66" s="285" t="inlineStr">
        <is>
          <t>← формула; база: D263:D282</t>
        </is>
      </c>
    </row>
    <row r="67" outlineLevel="1" ht="14.5" customHeight="1">
      <c r="A67" s="24" t="n">
        <v>5</v>
      </c>
      <c r="B67" s="292">
        <f>SUMPRODUCT($C$263:$C$282,$D$263:$D$282)/$C$283</f>
        <v/>
      </c>
      <c r="C67" s="289">
        <f>$B$222*$F$200</f>
        <v/>
      </c>
      <c r="G67" s="285" t="inlineStr">
        <is>
          <t>← формула; база: D263:D282</t>
        </is>
      </c>
    </row>
    <row r="68" ht="14.5" customHeight="1"/>
    <row r="69" ht="14.5" customHeight="1">
      <c r="A69" s="272" t="inlineStr">
        <is>
          <t>5. Мерч, склад и займ</t>
        </is>
      </c>
    </row>
    <row r="70" outlineLevel="1" ht="14.5" customHeight="1">
      <c r="A70" s="6" t="inlineStr">
        <is>
          <t>Параметр</t>
        </is>
      </c>
      <c r="B70" s="6" t="inlineStr">
        <is>
          <t>Значение</t>
        </is>
      </c>
      <c r="C70" s="6" t="inlineStr">
        <is>
          <t>Ед.</t>
        </is>
      </c>
      <c r="D70" s="6" t="inlineStr">
        <is>
          <t>Статус / источник</t>
        </is>
      </c>
      <c r="E70" s="6" t="inlineStr">
        <is>
          <t>Комментарий</t>
        </is>
      </c>
    </row>
    <row r="71" outlineLevel="1" ht="14.5" customHeight="1">
      <c r="A71" s="2" t="inlineStr">
        <is>
          <t>Себестоимость комплекта</t>
        </is>
      </c>
      <c r="B71" s="50" t="n">
        <v>2100</v>
      </c>
      <c r="C71" s="7" t="inlineStr">
        <is>
          <t>₽</t>
        </is>
      </c>
      <c r="D71" s="7" t="inlineStr">
        <is>
          <t>ТЗ 5.5</t>
        </is>
      </c>
      <c r="E71" s="17" t="inlineStr"/>
    </row>
    <row r="72" outlineLevel="1" ht="14.5" customHeight="1">
      <c r="A72" s="2" t="inlineStr">
        <is>
          <t>Наценка мерча</t>
        </is>
      </c>
      <c r="B72" s="52" t="n">
        <v>0.85</v>
      </c>
      <c r="C72" s="7" t="inlineStr">
        <is>
          <t>% к COGS</t>
        </is>
      </c>
      <c r="D72" s="7" t="inlineStr">
        <is>
          <t>ТЗ 5.5</t>
        </is>
      </c>
      <c r="E72" s="17" t="inlineStr"/>
    </row>
    <row r="73" outlineLevel="1" ht="14.5" customHeight="1">
      <c r="A73" s="2" t="inlineStr">
        <is>
          <t>Цена комплекта</t>
        </is>
      </c>
      <c r="B73" s="295">
        <f>B71*(1+B72)</f>
        <v/>
      </c>
      <c r="C73" s="7" t="inlineStr">
        <is>
          <t>₽</t>
        </is>
      </c>
      <c r="D73" s="7" t="inlineStr">
        <is>
          <t>Расчёт</t>
        </is>
      </c>
      <c r="E73" s="7" t="inlineStr">
        <is>
          <t>2 100 × 1,85 = 3 885</t>
        </is>
      </c>
    </row>
    <row r="74" outlineLevel="1" ht="14.5" customHeight="1">
      <c r="A74" s="2" t="inlineStr">
        <is>
          <t>Коэффициент мерча</t>
        </is>
      </c>
      <c r="B74" s="296">
        <f>$B$223*$F$201</f>
        <v/>
      </c>
      <c r="C74" s="7" t="inlineStr">
        <is>
          <t>компл./ребёнок/сезон</t>
        </is>
      </c>
      <c r="D74" s="7" t="inlineStr">
        <is>
          <t>Расчет по сценарию</t>
        </is>
      </c>
      <c r="E74" s="17" t="inlineStr">
        <is>
          <t>Ежегодная докупка</t>
        </is>
      </c>
      <c r="G74" s="285" t="inlineStr">
        <is>
          <t>← формула; база: B223</t>
        </is>
      </c>
    </row>
    <row r="75" outlineLevel="1" ht="14.5" customHeight="1">
      <c r="A75" s="2" t="inlineStr">
        <is>
          <t>Логистика/возвраты/брак</t>
        </is>
      </c>
      <c r="B75" s="52" t="n">
        <v>0.02</v>
      </c>
      <c r="C75" s="7" t="inlineStr">
        <is>
          <t>% выручки без НДС</t>
        </is>
      </c>
      <c r="D75" s="7" t="inlineStr">
        <is>
          <t>V5</t>
        </is>
      </c>
      <c r="E75" s="17" t="inlineStr">
        <is>
          <t>До уточнения</t>
        </is>
      </c>
    </row>
    <row r="76" outlineLevel="1" ht="14.5" customHeight="1">
      <c r="A76" s="2" t="inlineStr">
        <is>
          <t>Доля ФК от прибыли мерча</t>
        </is>
      </c>
      <c r="B76" s="52" t="n">
        <v>0.35</v>
      </c>
      <c r="C76" s="7" t="inlineStr">
        <is>
          <t>%</t>
        </is>
      </c>
      <c r="D76" s="7" t="inlineStr">
        <is>
          <t>Подтверждено</t>
        </is>
      </c>
      <c r="E76" s="17" t="inlineStr">
        <is>
          <t>Отдельно от возврата займа</t>
        </is>
      </c>
      <c r="F76" s="294" t="inlineStr">
        <is>
          <t>35% прибыли (выручка − COGS − логистика). Не связано с B59: там 35% ВЫРУЧКИ по паушальным. Базы разные.</t>
        </is>
      </c>
    </row>
    <row r="77" outlineLevel="1" ht="14.5" customHeight="1">
      <c r="A77" s="2" t="inlineStr">
        <is>
          <t>Стартовый товарный запас</t>
        </is>
      </c>
      <c r="B77" s="50" t="n">
        <v>50000000</v>
      </c>
      <c r="C77" s="7" t="inlineStr">
        <is>
          <t>₽ по COGS</t>
        </is>
      </c>
      <c r="D77" s="7" t="inlineStr">
        <is>
          <t>ТЗ 5.6</t>
        </is>
      </c>
      <c r="E77" s="17" t="inlineStr"/>
    </row>
    <row r="78" outlineLevel="1" ht="14.5" customHeight="1">
      <c r="A78" s="2" t="inlineStr">
        <is>
          <t>Стартовый займ на мерч</t>
        </is>
      </c>
      <c r="B78" s="50" t="n">
        <v>50000000</v>
      </c>
      <c r="C78" s="7" t="inlineStr">
        <is>
          <t>₽</t>
        </is>
      </c>
      <c r="D78" s="7" t="inlineStr">
        <is>
          <t>ТЗ 5.6</t>
        </is>
      </c>
      <c r="E78" s="17" t="inlineStr"/>
    </row>
    <row r="79" outlineLevel="1" ht="14.5" customHeight="1">
      <c r="A79" s="2" t="inlineStr">
        <is>
          <t>Доля COGS на погашение займа</t>
        </is>
      </c>
      <c r="B79" s="52" t="n">
        <v>0.6</v>
      </c>
      <c r="C79" s="7" t="inlineStr">
        <is>
          <t>%</t>
        </is>
      </c>
      <c r="D79" s="7" t="inlineStr">
        <is>
          <t>ТЗ 5.6</t>
        </is>
      </c>
      <c r="E79" s="17" t="inlineStr"/>
    </row>
    <row r="80" outlineLevel="1" ht="14.5" customHeight="1">
      <c r="A80" s="2" t="inlineStr">
        <is>
          <t>Целевой запас</t>
        </is>
      </c>
      <c r="B80" s="281" t="n">
        <v>3</v>
      </c>
      <c r="C80" s="7" t="inlineStr">
        <is>
          <t>мес. будущих продаж</t>
        </is>
      </c>
      <c r="D80" s="7" t="inlineStr">
        <is>
          <t>ТЗ 5.6 / уточнено 10.09.2026</t>
        </is>
      </c>
      <c r="E80" s="17">
        <f>"При закупке доводим склад до будущих "&amp;$B$80&amp;" мес. продаж по себестоимости"</f>
        <v/>
      </c>
    </row>
    <row r="81" outlineLevel="1" ht="14.5" customHeight="1">
      <c r="A81" s="2" t="inlineStr">
        <is>
          <t>Начало регулярного пополнения</t>
        </is>
      </c>
      <c r="B81" s="49" t="n">
        <v>46692</v>
      </c>
      <c r="C81" s="7" t="inlineStr">
        <is>
          <t>дата</t>
        </is>
      </c>
      <c r="D81" s="7" t="inlineStr">
        <is>
          <t>Комментарий Романа</t>
        </is>
      </c>
      <c r="E81" s="17" t="inlineStr">
        <is>
          <t>Стартовые ~50 млн распродаются около 2 лет</t>
        </is>
      </c>
    </row>
    <row r="82" outlineLevel="1" ht="14.5" customHeight="1">
      <c r="A82" s="2" t="inlineStr">
        <is>
          <t>Месяц проверки закупки 1</t>
        </is>
      </c>
      <c r="B82" s="297" t="n">
        <v>2</v>
      </c>
      <c r="C82" s="7" t="inlineStr">
        <is>
          <t>номер месяца</t>
        </is>
      </c>
      <c r="D82" s="7" t="inlineStr">
        <is>
          <t>Рабочее</t>
        </is>
      </c>
      <c r="E82" s="17" t="inlineStr">
        <is>
          <t>Февраль; уточнить точные месяцы закупок</t>
        </is>
      </c>
    </row>
    <row r="83" outlineLevel="1" ht="14.5" customHeight="1">
      <c r="A83" s="2" t="inlineStr">
        <is>
          <t>Месяц проверки закупки 2</t>
        </is>
      </c>
      <c r="B83" s="297" t="n">
        <v>5</v>
      </c>
      <c r="C83" s="7" t="inlineStr">
        <is>
          <t>номер месяца</t>
        </is>
      </c>
      <c r="D83" s="7" t="inlineStr">
        <is>
          <t>Рабочее</t>
        </is>
      </c>
      <c r="E83" s="17" t="inlineStr">
        <is>
          <t>Май; уточнить точные месяцы закупок</t>
        </is>
      </c>
    </row>
    <row r="84" outlineLevel="1" ht="14.5" customHeight="1">
      <c r="A84" s="2" t="inlineStr">
        <is>
          <t>Месяц проверки закупки 3</t>
        </is>
      </c>
      <c r="B84" s="297" t="n">
        <v>8</v>
      </c>
      <c r="C84" s="7" t="inlineStr">
        <is>
          <t>номер месяца</t>
        </is>
      </c>
      <c r="D84" s="7" t="inlineStr">
        <is>
          <t>Рабочее</t>
        </is>
      </c>
      <c r="E84" s="17" t="inlineStr">
        <is>
          <t>Август; уточнить точные месяцы закупок</t>
        </is>
      </c>
    </row>
    <row r="85" outlineLevel="1" ht="14.5" customHeight="1">
      <c r="A85" s="2" t="inlineStr">
        <is>
          <t>Месяц проверки закупки 4</t>
        </is>
      </c>
      <c r="B85" s="297" t="n">
        <v>11</v>
      </c>
      <c r="C85" s="7" t="inlineStr">
        <is>
          <t>номер месяца</t>
        </is>
      </c>
      <c r="D85" s="7" t="inlineStr">
        <is>
          <t>Рабочее</t>
        </is>
      </c>
      <c r="E85" s="17" t="inlineStr">
        <is>
          <t>Ноябрь; уточнить точные месяцы закупок</t>
        </is>
      </c>
    </row>
    <row r="86" outlineLevel="1" ht="14.5" customHeight="1">
      <c r="A86" s="4" t="inlineStr">
        <is>
          <t>Первичная закупка новой школы</t>
        </is>
      </c>
    </row>
    <row r="87" outlineLevel="1" ht="14.5" customHeight="1">
      <c r="A87" s="2" t="inlineStr">
        <is>
          <t>1-й месяц после открытия</t>
        </is>
      </c>
      <c r="B87" s="52" t="n">
        <v>0.5</v>
      </c>
    </row>
    <row r="88" outlineLevel="1" ht="14.5" customHeight="1">
      <c r="A88" s="2" t="inlineStr">
        <is>
          <t>2-й месяц после открытия</t>
        </is>
      </c>
      <c r="B88" s="52" t="n">
        <v>0.3</v>
      </c>
    </row>
    <row r="89" outlineLevel="1" ht="14.5" customHeight="1">
      <c r="A89" s="2" t="inlineStr">
        <is>
          <t>3-й месяц после открытия</t>
        </is>
      </c>
      <c r="B89" s="52" t="n">
        <v>0.2</v>
      </c>
    </row>
    <row r="90" outlineLevel="1" ht="14.5" customHeight="1">
      <c r="A90" s="2" t="inlineStr">
        <is>
          <t>Контроль</t>
        </is>
      </c>
      <c r="B90" s="287">
        <f>SUM(B87:B89)</f>
        <v/>
      </c>
    </row>
    <row r="91" outlineLevel="1" ht="14.5" customHeight="1"/>
    <row r="92" outlineLevel="1" ht="14.5" customHeight="1">
      <c r="A92" s="4" t="inlineStr">
        <is>
          <t>Сезонность повторной закупки мерча</t>
        </is>
      </c>
    </row>
    <row r="93" outlineLevel="1" ht="14.5" customHeight="1">
      <c r="B93" s="6" t="inlineStr">
        <is>
          <t>Янв</t>
        </is>
      </c>
      <c r="C93" s="6" t="inlineStr">
        <is>
          <t>Фев</t>
        </is>
      </c>
      <c r="D93" s="6" t="inlineStr">
        <is>
          <t>Мар</t>
        </is>
      </c>
      <c r="E93" s="6" t="inlineStr">
        <is>
          <t>Апр</t>
        </is>
      </c>
      <c r="F93" s="6" t="inlineStr">
        <is>
          <t>Май</t>
        </is>
      </c>
      <c r="G93" s="6" t="inlineStr">
        <is>
          <t>Июн</t>
        </is>
      </c>
      <c r="H93" s="6" t="inlineStr">
        <is>
          <t>Июл</t>
        </is>
      </c>
      <c r="I93" s="6" t="inlineStr">
        <is>
          <t>Авг</t>
        </is>
      </c>
      <c r="J93" s="6" t="inlineStr">
        <is>
          <t>Сен</t>
        </is>
      </c>
      <c r="K93" s="6" t="inlineStr">
        <is>
          <t>Окт</t>
        </is>
      </c>
      <c r="L93" s="6" t="inlineStr">
        <is>
          <t>Ноя</t>
        </is>
      </c>
      <c r="M93" s="6" t="inlineStr">
        <is>
          <t>Дек</t>
        </is>
      </c>
    </row>
    <row r="94" outlineLevel="1" ht="14.5" customHeight="1">
      <c r="A94" s="2" t="inlineStr">
        <is>
          <t>Доля годовых повторных продаж</t>
        </is>
      </c>
      <c r="B94" s="52" t="n">
        <v>0</v>
      </c>
      <c r="C94" s="52" t="n">
        <v>0</v>
      </c>
      <c r="D94" s="52" t="n">
        <v>0</v>
      </c>
      <c r="E94" s="52" t="n">
        <v>0</v>
      </c>
      <c r="F94" s="52" t="n">
        <v>0</v>
      </c>
      <c r="G94" s="52" t="n">
        <v>0</v>
      </c>
      <c r="H94" s="52" t="n">
        <v>0</v>
      </c>
      <c r="I94" s="52" t="n">
        <v>0.25</v>
      </c>
      <c r="J94" s="52" t="n">
        <v>0.4</v>
      </c>
      <c r="K94" s="52" t="n">
        <v>0.25</v>
      </c>
      <c r="L94" s="52" t="n">
        <v>0.1</v>
      </c>
      <c r="M94" s="52" t="n">
        <v>0</v>
      </c>
    </row>
    <row r="95" outlineLevel="1" ht="14.5" customHeight="1">
      <c r="A95" s="2" t="inlineStr">
        <is>
          <t>Контроль</t>
        </is>
      </c>
      <c r="B95" s="287">
        <f>SUM(B94:M94)</f>
        <v/>
      </c>
    </row>
    <row r="96" outlineLevel="1" ht="14.5" customHeight="1"/>
    <row r="97" outlineLevel="1" ht="14.5" customHeight="1">
      <c r="A97" s="4" t="inlineStr">
        <is>
          <t>5а. Согласованный мерч действующей сети — факт сентябрь–декабрь 2026</t>
        </is>
      </c>
    </row>
    <row r="98" outlineLevel="1" ht="14.5" customHeight="1">
      <c r="A98" s="6" t="inlineStr">
        <is>
          <t>Месяц (факт, ищется по дате)</t>
        </is>
      </c>
      <c r="B98" s="29" t="n">
        <v>46266</v>
      </c>
      <c r="C98" s="29" t="n">
        <v>46296</v>
      </c>
      <c r="D98" s="29" t="n">
        <v>46327</v>
      </c>
      <c r="E98" s="29" t="n">
        <v>46357</v>
      </c>
    </row>
    <row r="99" outlineLevel="1" ht="14.5" customHeight="1">
      <c r="A99" s="2" t="inlineStr">
        <is>
          <t>Комплекты, шт.</t>
        </is>
      </c>
      <c r="B99" s="50" t="n">
        <v>5070</v>
      </c>
      <c r="C99" s="50" t="n">
        <v>2550</v>
      </c>
      <c r="D99" s="50" t="n">
        <v>1260</v>
      </c>
      <c r="E99" s="50" t="n">
        <v>720</v>
      </c>
    </row>
    <row r="100" outlineLevel="1" ht="14.5" customHeight="1">
      <c r="A100" s="2" t="inlineStr">
        <is>
          <t>Выручка, ₽ с НДС</t>
        </is>
      </c>
      <c r="B100" s="50" t="n">
        <v>10022370</v>
      </c>
      <c r="C100" s="50" t="n">
        <v>4335000</v>
      </c>
      <c r="D100" s="50" t="n">
        <v>2142000</v>
      </c>
      <c r="E100" s="50" t="n">
        <v>1224000</v>
      </c>
    </row>
    <row r="101" outlineLevel="1" ht="14.5" customHeight="1">
      <c r="A101" s="2" t="inlineStr">
        <is>
          <t>COGS, ₽</t>
        </is>
      </c>
      <c r="B101" s="50" t="n">
        <v>5237418.6</v>
      </c>
      <c r="C101" s="50" t="n">
        <v>2167500</v>
      </c>
      <c r="D101" s="50" t="n">
        <v>1178100</v>
      </c>
      <c r="E101" s="50" t="n">
        <v>673200</v>
      </c>
    </row>
    <row r="102" ht="14.5" customHeight="1"/>
    <row r="103" ht="14.5" customHeight="1">
      <c r="A103" s="272" t="inlineStr">
        <is>
          <t>6. ERP и операционные расходы</t>
        </is>
      </c>
    </row>
    <row r="104" outlineLevel="1" ht="14.5" customHeight="1">
      <c r="A104" s="6" t="inlineStr">
        <is>
          <t>Параметр</t>
        </is>
      </c>
      <c r="B104" s="6" t="inlineStr">
        <is>
          <t>Значение</t>
        </is>
      </c>
      <c r="C104" s="6" t="inlineStr">
        <is>
          <t>Ед.</t>
        </is>
      </c>
      <c r="D104" s="6" t="inlineStr">
        <is>
          <t>Статус / источник</t>
        </is>
      </c>
      <c r="E104" s="6" t="inlineStr">
        <is>
          <t>Комментарий</t>
        </is>
      </c>
    </row>
    <row r="105" outlineLevel="1" ht="14.5" customHeight="1">
      <c r="A105" s="2" t="inlineStr">
        <is>
          <t>ERP база</t>
        </is>
      </c>
      <c r="B105" s="50" t="n">
        <v>80000</v>
      </c>
      <c r="C105" s="7" t="inlineStr">
        <is>
          <t>₽/мес.</t>
        </is>
      </c>
      <c r="D105" s="7" t="inlineStr">
        <is>
          <t>ТЗ 5.7</t>
        </is>
      </c>
      <c r="E105" s="17" t="inlineStr"/>
    </row>
    <row r="106" outlineLevel="1" ht="29" customHeight="1">
      <c r="A106" s="2" t="inlineStr">
        <is>
          <t>Школ в ERP-базе</t>
        </is>
      </c>
      <c r="B106" s="276" t="n">
        <v>104</v>
      </c>
      <c r="C106" s="7" t="inlineStr">
        <is>
          <t>шт.</t>
        </is>
      </c>
      <c r="D106" s="7" t="inlineStr">
        <is>
          <t>Фактический реестр на 09.09.2026</t>
        </is>
      </c>
      <c r="E106" s="17" t="inlineStr">
        <is>
          <t>Базовые 80 тыс. ₽ ERP покрывают 104 действующие школы на старте; доплата 3 тыс. ₽ применяется к новым подключённым школам сверх этой базы.</t>
        </is>
      </c>
    </row>
    <row r="107" outlineLevel="1" ht="14.5" customHeight="1">
      <c r="A107" s="2" t="inlineStr">
        <is>
          <t>ERP на новую активную школу</t>
        </is>
      </c>
      <c r="B107" s="50" t="n">
        <v>3000</v>
      </c>
      <c r="C107" s="7" t="inlineStr">
        <is>
          <t>₽/мес.</t>
        </is>
      </c>
      <c r="D107" s="7" t="inlineStr">
        <is>
          <t>ТЗ 5.7</t>
        </is>
      </c>
      <c r="E107" s="17" t="inlineStr">
        <is>
          <t>С месяца открытия</t>
        </is>
      </c>
    </row>
    <row r="108" outlineLevel="1" ht="14.5" customHeight="1">
      <c r="A108" s="2" t="inlineStr">
        <is>
          <t>Офис / аренда / уборка / парковка</t>
        </is>
      </c>
      <c r="B108" s="50" t="n">
        <v>390000</v>
      </c>
      <c r="C108" s="7" t="inlineStr">
        <is>
          <t>₽/мес.</t>
        </is>
      </c>
      <c r="D108" s="7" t="inlineStr">
        <is>
          <t>V6 / оставить</t>
        </is>
      </c>
      <c r="E108" s="17" t="inlineStr">
        <is>
          <t>До переезда</t>
        </is>
      </c>
    </row>
    <row r="109" outlineLevel="1" ht="14.5" customHeight="1">
      <c r="A109" s="2" t="inlineStr">
        <is>
          <t>Юристы / аудит / бухгалтерия</t>
        </is>
      </c>
      <c r="B109" s="50" t="n">
        <v>40000</v>
      </c>
      <c r="C109" s="7" t="inlineStr">
        <is>
          <t>₽/мес.</t>
        </is>
      </c>
      <c r="D109" s="7" t="inlineStr">
        <is>
          <t>ТЗ 5.7</t>
        </is>
      </c>
      <c r="E109" s="17" t="inlineStr"/>
    </row>
    <row r="110" outlineLevel="1" ht="14.5" customHeight="1">
      <c r="A110" s="2" t="inlineStr">
        <is>
          <t>Прочие IT-сервисы</t>
        </is>
      </c>
      <c r="B110" s="50" t="n">
        <v>80000</v>
      </c>
      <c r="C110" s="7" t="inlineStr">
        <is>
          <t>₽/мес.</t>
        </is>
      </c>
      <c r="D110" s="7" t="inlineStr">
        <is>
          <t>ТЗ 5.7</t>
        </is>
      </c>
      <c r="E110" s="17" t="inlineStr"/>
    </row>
    <row r="111" outlineLevel="1" ht="14.5" customHeight="1">
      <c r="A111" s="2" t="inlineStr">
        <is>
          <t>Маркетинг/SMM подрядчики до 31.08.27</t>
        </is>
      </c>
      <c r="B111" s="50" t="n">
        <v>100000</v>
      </c>
      <c r="C111" s="7" t="inlineStr">
        <is>
          <t>₽/мес.</t>
        </is>
      </c>
      <c r="D111" s="7" t="inlineStr">
        <is>
          <t>ТЗ 5.7</t>
        </is>
      </c>
      <c r="E111" s="17" t="inlineStr"/>
    </row>
    <row r="112" outlineLevel="1" ht="14.5" customHeight="1">
      <c r="A112" s="2" t="inlineStr">
        <is>
          <t>Маркетинг/SMM подрядчики с 01.09.27</t>
        </is>
      </c>
      <c r="B112" s="50" t="n">
        <v>40000</v>
      </c>
      <c r="C112" s="7" t="inlineStr">
        <is>
          <t>₽/мес.</t>
        </is>
      </c>
      <c r="D112" s="7" t="inlineStr">
        <is>
          <t>ТЗ 5.7</t>
        </is>
      </c>
      <c r="E112" s="17" t="inlineStr"/>
    </row>
    <row r="113" ht="14.5" customHeight="1"/>
    <row r="114" ht="14.5" customHeight="1">
      <c r="A114" s="272" t="inlineStr">
        <is>
          <t>7. ФОТ, найм и премии</t>
        </is>
      </c>
    </row>
    <row r="115" outlineLevel="1" ht="14.5" customHeight="1">
      <c r="A115" s="6" t="inlineStr">
        <is>
          <t>Параметр</t>
        </is>
      </c>
      <c r="B115" s="6" t="inlineStr">
        <is>
          <t>Значение</t>
        </is>
      </c>
      <c r="C115" s="6" t="inlineStr">
        <is>
          <t>Ед.</t>
        </is>
      </c>
      <c r="D115" s="6" t="inlineStr">
        <is>
          <t>Статус / источник</t>
        </is>
      </c>
      <c r="E115" s="6" t="inlineStr">
        <is>
          <t>Комментарий</t>
        </is>
      </c>
    </row>
    <row r="116" outlineLevel="1" ht="14.5" customHeight="1">
      <c r="A116" s="2" t="inlineStr">
        <is>
          <t>Инфляция зарплат</t>
        </is>
      </c>
      <c r="B116" s="52" t="n">
        <v>0.07000000000000001</v>
      </c>
      <c r="C116" s="7" t="inlineStr">
        <is>
          <t>%/год</t>
        </is>
      </c>
      <c r="D116" s="7" t="inlineStr">
        <is>
          <t>ТЗ 6.1 / рабочее</t>
        </is>
      </c>
      <c r="E116" s="17" t="inlineStr">
        <is>
          <t>Каждое 1 сентября</t>
        </is>
      </c>
    </row>
    <row r="117" outlineLevel="1" ht="14.5" customHeight="1">
      <c r="A117" s="2" t="inlineStr">
        <is>
          <t>Юрлиц на 1 менеджера развития</t>
        </is>
      </c>
      <c r="B117" s="298" t="n">
        <v>35</v>
      </c>
      <c r="C117" s="7" t="inlineStr">
        <is>
          <t>шт.</t>
        </is>
      </c>
      <c r="D117" s="7" t="inlineStr">
        <is>
          <t>ТЗ 6.2</t>
        </is>
      </c>
      <c r="E117" s="17" t="inlineStr"/>
    </row>
    <row r="118" outlineLevel="1" ht="14.5" customHeight="1">
      <c r="A118" s="2" t="inlineStr">
        <is>
          <t>Базовые менеджеры развития</t>
        </is>
      </c>
      <c r="B118" s="299" t="n">
        <v>2</v>
      </c>
      <c r="C118" s="7" t="inlineStr">
        <is>
          <t>чел.</t>
        </is>
      </c>
      <c r="D118" s="7" t="inlineStr">
        <is>
          <t>ТЗ 6.2</t>
        </is>
      </c>
      <c r="E118" s="17" t="inlineStr">
        <is>
          <t>После перевода Левона</t>
        </is>
      </c>
    </row>
    <row r="119" outlineLevel="1" ht="14.5" customHeight="1">
      <c r="A119" s="2" t="inlineStr">
        <is>
          <t>Оклад нового менеджера развития gross</t>
        </is>
      </c>
      <c r="B119" s="50" t="n">
        <v>114943</v>
      </c>
      <c r="C119" s="7" t="inlineStr">
        <is>
          <t>₽/мес.</t>
        </is>
      </c>
      <c r="D119" s="7" t="inlineStr">
        <is>
          <t>V5</t>
        </is>
      </c>
      <c r="E119" s="17" t="inlineStr"/>
    </row>
    <row r="120" outlineLevel="1" ht="14.5" customHeight="1">
      <c r="A120" s="2" t="inlineStr">
        <is>
          <t>Комиссия кадрового агентства</t>
        </is>
      </c>
      <c r="B120" s="300" t="n">
        <v>1</v>
      </c>
      <c r="C120" s="7" t="inlineStr">
        <is>
          <t>× gross оклада</t>
        </is>
      </c>
      <c r="D120" s="7" t="inlineStr">
        <is>
          <t>ТЗ 6.2</t>
        </is>
      </c>
      <c r="E120" s="17" t="inlineStr"/>
    </row>
    <row r="121" outlineLevel="1" ht="14.5" customHeight="1">
      <c r="A121" s="2" t="inlineStr">
        <is>
          <t>Разовая замена директора маркетинга</t>
        </is>
      </c>
      <c r="B121" s="50" t="n">
        <v>240000</v>
      </c>
      <c r="C121" s="7" t="inlineStr">
        <is>
          <t>₽</t>
        </is>
      </c>
      <c r="D121" s="7" t="inlineStr">
        <is>
          <t>ТЗ 6.3</t>
        </is>
      </c>
      <c r="E121" s="17" t="inlineStr">
        <is>
          <t>Октябрь 2026</t>
        </is>
      </c>
    </row>
    <row r="122" outlineLevel="1" ht="14.5" customHeight="1">
      <c r="A122" s="2" t="inlineStr">
        <is>
          <t>Резерв на ротацию кадров</t>
        </is>
      </c>
      <c r="B122" s="50" t="n">
        <v>350000</v>
      </c>
      <c r="C122" s="7" t="inlineStr">
        <is>
          <t>₽/год</t>
        </is>
      </c>
      <c r="D122" s="7" t="inlineStr">
        <is>
          <t>ТЗ 6.3</t>
        </is>
      </c>
      <c r="E122" s="17" t="inlineStr">
        <is>
          <t>Каждый сентябрь</t>
        </is>
      </c>
    </row>
    <row r="123" outlineLevel="1" ht="14.5" customHeight="1">
      <c r="A123" s="2" t="inlineStr">
        <is>
          <t>Премия развития net до 31.12.26</t>
        </is>
      </c>
      <c r="B123" s="50" t="n">
        <v>25000</v>
      </c>
      <c r="C123" s="7" t="inlineStr">
        <is>
          <t>₽/чел./мес.</t>
        </is>
      </c>
      <c r="D123" s="7" t="inlineStr">
        <is>
          <t>ТЗ 6.4</t>
        </is>
      </c>
      <c r="E123" s="17" t="inlineStr">
        <is>
          <t>2 менеджера + Левон</t>
        </is>
      </c>
    </row>
    <row r="124" outlineLevel="1" ht="14.5" customHeight="1">
      <c r="A124" s="2" t="inlineStr">
        <is>
          <t>Премия развития net с 01.01.27</t>
        </is>
      </c>
      <c r="B124" s="50" t="n">
        <v>30000</v>
      </c>
      <c r="C124" s="7" t="inlineStr">
        <is>
          <t>₽/чел./мес.</t>
        </is>
      </c>
      <c r="D124" s="7" t="inlineStr">
        <is>
          <t>ТЗ 6.4</t>
        </is>
      </c>
      <c r="E124" s="17" t="inlineStr"/>
    </row>
    <row r="125" outlineLevel="1" ht="14.5" customHeight="1">
      <c r="A125" s="2" t="inlineStr">
        <is>
          <t>Премия Евгения</t>
        </is>
      </c>
      <c r="B125" s="52" t="n">
        <v>0.04</v>
      </c>
      <c r="C125" s="7" t="inlineStr">
        <is>
          <t>% паушального без НДС</t>
        </is>
      </c>
      <c r="D125" s="7" t="inlineStr">
        <is>
          <t>ТЗ 6.4</t>
        </is>
      </c>
      <c r="E125" s="17" t="inlineStr">
        <is>
          <t>При 2+ продажах</t>
        </is>
      </c>
    </row>
    <row r="126" outlineLevel="1" ht="14.5" customHeight="1">
      <c r="A126" s="2" t="inlineStr">
        <is>
          <t>Триггер временного продавца</t>
        </is>
      </c>
      <c r="B126" s="301" t="n">
        <v>5</v>
      </c>
      <c r="C126" s="7" t="inlineStr">
        <is>
          <t>продаж/мес.</t>
        </is>
      </c>
      <c r="D126" s="7" t="inlineStr">
        <is>
          <t>ТЗ 6.4</t>
        </is>
      </c>
      <c r="E126" s="17" t="inlineStr"/>
    </row>
    <row r="127" outlineLevel="1" ht="14.5" customHeight="1">
      <c r="A127" s="2" t="inlineStr">
        <is>
          <t>Временный продавец — фикс</t>
        </is>
      </c>
      <c r="B127" s="50" t="n">
        <v>80000</v>
      </c>
      <c r="C127" s="7" t="inlineStr">
        <is>
          <t>₽/мес.</t>
        </is>
      </c>
      <c r="D127" s="7" t="inlineStr">
        <is>
          <t>ТЗ 6.4</t>
        </is>
      </c>
      <c r="E127" s="17" t="inlineStr">
        <is>
          <t>Пока считаем как ИП</t>
        </is>
      </c>
    </row>
    <row r="128" outlineLevel="1" ht="14.5" customHeight="1">
      <c r="A128" s="2" t="inlineStr">
        <is>
          <t>Временный продавец — бонус</t>
        </is>
      </c>
      <c r="B128" s="52" t="n">
        <v>0.05</v>
      </c>
      <c r="C128" s="7" t="inlineStr">
        <is>
          <t>% паушального без НДС</t>
        </is>
      </c>
      <c r="D128" s="7" t="inlineStr">
        <is>
          <t>ТЗ 6.4</t>
        </is>
      </c>
      <c r="E128" s="17" t="inlineStr">
        <is>
          <t>Пока считаем как ИП</t>
        </is>
      </c>
    </row>
    <row r="129" outlineLevel="1" ht="14.5" customHeight="1">
      <c r="A129" s="2" t="inlineStr">
        <is>
          <t>Статус временного продавца</t>
        </is>
      </c>
      <c r="B129" s="302" t="inlineStr">
        <is>
          <t>ИП</t>
        </is>
      </c>
      <c r="C129" s="7" t="inlineStr">
        <is>
          <t>статус</t>
        </is>
      </c>
      <c r="D129" s="7" t="inlineStr">
        <is>
          <t>Временно</t>
        </is>
      </c>
      <c r="E129" s="17" t="inlineStr">
        <is>
          <t>Временно ИП, по последнему указанию пользователя.</t>
        </is>
      </c>
    </row>
    <row r="130" outlineLevel="1" ht="14.5" customHeight="1">
      <c r="A130" s="2" t="inlineStr">
        <is>
          <t>Квартальная премия</t>
        </is>
      </c>
      <c r="B130" s="300" t="n">
        <v>0.6</v>
      </c>
      <c r="C130" s="7" t="inlineStr">
        <is>
          <t>× месячного gross</t>
        </is>
      </c>
      <c r="D130" s="7" t="inlineStr">
        <is>
          <t>ТЗ 6.4</t>
        </is>
      </c>
      <c r="E130" s="17" t="inlineStr">
        <is>
          <t>С IV кв.2027, первая выплата декабрь 2027</t>
        </is>
      </c>
    </row>
    <row r="131" outlineLevel="1" ht="14.5" customHeight="1">
      <c r="A131" s="2" t="inlineStr">
        <is>
          <t>Страховые взносы</t>
        </is>
      </c>
      <c r="B131" s="279" t="n">
        <v>0.3</v>
      </c>
      <c r="C131" s="7" t="inlineStr">
        <is>
          <t>% gross</t>
        </is>
      </c>
      <c r="D131" s="7" t="inlineStr">
        <is>
          <t>Подтверждено 11.09.2026</t>
        </is>
      </c>
      <c r="E131" s="17" t="inlineStr">
        <is>
          <t>Льготных режимов нет: полная ставка 30% к gross</t>
        </is>
      </c>
    </row>
    <row r="132" outlineLevel="1" ht="14.5" customHeight="1">
      <c r="A132" s="2" t="inlineStr">
        <is>
          <t>Net / gross</t>
        </is>
      </c>
      <c r="B132" s="303" t="n">
        <v>0.87</v>
      </c>
      <c r="C132" s="7" t="inlineStr">
        <is>
          <t>коэффициент</t>
        </is>
      </c>
      <c r="D132" s="7" t="inlineStr">
        <is>
          <t>Рабочее</t>
        </is>
      </c>
      <c r="E132" s="17" t="inlineStr">
        <is>
          <t>Используется для новых net-окладов</t>
        </is>
      </c>
    </row>
    <row r="133" outlineLevel="1" ht="14.5" customHeight="1">
      <c r="A133" s="2" t="inlineStr">
        <is>
          <t>Офис-менеджер net</t>
        </is>
      </c>
      <c r="B133" s="50" t="n">
        <v>70000</v>
      </c>
      <c r="C133" s="7" t="inlineStr">
        <is>
          <t>₽/мес.</t>
        </is>
      </c>
      <c r="D133" s="7" t="inlineStr">
        <is>
          <t>ТЗ 6.1</t>
        </is>
      </c>
      <c r="E133" s="17" t="inlineStr">
        <is>
          <t>С 01.01.2027</t>
        </is>
      </c>
    </row>
    <row r="134" outlineLevel="1" ht="14.5" customHeight="1">
      <c r="A134" s="2" t="inlineStr">
        <is>
          <t>SMM net</t>
        </is>
      </c>
      <c r="B134" s="50" t="n">
        <v>100000</v>
      </c>
      <c r="C134" s="7" t="inlineStr">
        <is>
          <t>₽/мес.</t>
        </is>
      </c>
      <c r="D134" s="7" t="inlineStr">
        <is>
          <t>ТЗ 6.1</t>
        </is>
      </c>
      <c r="E134" s="17" t="inlineStr">
        <is>
          <t>С 01.09.2027</t>
        </is>
      </c>
    </row>
    <row r="135" outlineLevel="1" ht="14.5" customHeight="1">
      <c r="A135" s="2" t="inlineStr">
        <is>
          <t>Повышение ГД net</t>
        </is>
      </c>
      <c r="B135" s="50" t="n">
        <v>100000</v>
      </c>
      <c r="C135" s="7" t="inlineStr">
        <is>
          <t>₽/мес.</t>
        </is>
      </c>
      <c r="D135" s="7" t="inlineStr">
        <is>
          <t>ТЗ 6.1</t>
        </is>
      </c>
      <c r="E135" s="17" t="inlineStr">
        <is>
          <t>С 01.01.2028</t>
        </is>
      </c>
    </row>
    <row r="136" outlineLevel="1" ht="14.5" customHeight="1">
      <c r="A136" s="4" t="inlineStr">
        <is>
          <t>Действующее ядро сотрудников</t>
        </is>
      </c>
    </row>
    <row r="137" outlineLevel="1" ht="14.5" customHeight="1">
      <c r="A137" s="6" t="inlineStr">
        <is>
          <t>Роль</t>
        </is>
      </c>
      <c r="B137" s="6" t="inlineStr">
        <is>
          <t>Сотрудник</t>
        </is>
      </c>
      <c r="C137" s="6" t="inlineStr">
        <is>
          <t>Gross 01.09.26</t>
        </is>
      </c>
      <c r="D137" s="6" t="inlineStr">
        <is>
          <t>Квартальная премия?</t>
        </is>
      </c>
      <c r="E137" s="6" t="inlineStr">
        <is>
          <t>Комментарий</t>
        </is>
      </c>
    </row>
    <row r="138" outlineLevel="1" ht="14.5" customHeight="1">
      <c r="A138" s="27" t="inlineStr">
        <is>
          <t>Генеральный директор</t>
        </is>
      </c>
      <c r="B138" s="28" t="inlineStr">
        <is>
          <t>Ермаков Роман Константинович</t>
        </is>
      </c>
      <c r="C138" s="50" t="n">
        <v>402300</v>
      </c>
      <c r="D138" s="304" t="inlineStr">
        <is>
          <t>Да</t>
        </is>
      </c>
      <c r="E138" s="7" t="inlineStr"/>
    </row>
    <row r="139" outlineLevel="1" ht="14.5" customHeight="1">
      <c r="A139" s="27" t="inlineStr">
        <is>
          <t>Главный бухгалтер</t>
        </is>
      </c>
      <c r="B139" s="28" t="inlineStr">
        <is>
          <t>Попова Екатерина Андреевна</t>
        </is>
      </c>
      <c r="C139" s="50" t="n">
        <v>230000</v>
      </c>
      <c r="D139" s="304" t="inlineStr">
        <is>
          <t>Да</t>
        </is>
      </c>
      <c r="E139" s="7" t="inlineStr"/>
    </row>
    <row r="140" outlineLevel="1" ht="14.5" customHeight="1">
      <c r="A140" s="27" t="inlineStr">
        <is>
          <t>Директор по развитию</t>
        </is>
      </c>
      <c r="B140" s="28" t="inlineStr">
        <is>
          <t>Степанов Юрий Александрович</t>
        </is>
      </c>
      <c r="C140" s="50" t="n">
        <v>287360</v>
      </c>
      <c r="D140" s="304" t="inlineStr">
        <is>
          <t>Да</t>
        </is>
      </c>
      <c r="E140" s="7" t="inlineStr"/>
    </row>
    <row r="141" outlineLevel="1" ht="14.5" customHeight="1">
      <c r="A141" s="27" t="inlineStr">
        <is>
          <t>Проектный менеджер</t>
        </is>
      </c>
      <c r="B141" s="28" t="inlineStr">
        <is>
          <t>Авакян Левон</t>
        </is>
      </c>
      <c r="C141" s="50" t="n">
        <v>126436</v>
      </c>
      <c r="D141" s="304" t="inlineStr">
        <is>
          <t>Нет</t>
        </is>
      </c>
      <c r="E141" s="7" t="inlineStr"/>
    </row>
    <row r="142" outlineLevel="1" ht="14.5" customHeight="1">
      <c r="A142" s="27" t="inlineStr">
        <is>
          <t>Менеджер по развитию</t>
        </is>
      </c>
      <c r="B142" s="28" t="inlineStr">
        <is>
          <t>Захаров Ярослав Александрович</t>
        </is>
      </c>
      <c r="C142" s="50" t="n">
        <v>114943</v>
      </c>
      <c r="D142" s="304" t="inlineStr">
        <is>
          <t>Нет</t>
        </is>
      </c>
      <c r="E142" s="7" t="inlineStr"/>
    </row>
    <row r="143" outlineLevel="1" ht="14.5" customHeight="1">
      <c r="A143" s="27" t="inlineStr">
        <is>
          <t>Менеджер по развитию</t>
        </is>
      </c>
      <c r="B143" s="28" t="inlineStr">
        <is>
          <t>Ярков Даниил Антонович</t>
        </is>
      </c>
      <c r="C143" s="50" t="n">
        <v>114943</v>
      </c>
      <c r="D143" s="304" t="inlineStr">
        <is>
          <t>Нет</t>
        </is>
      </c>
      <c r="E143" s="7" t="inlineStr"/>
    </row>
    <row r="144" outlineLevel="1" ht="14.5" customHeight="1">
      <c r="A144" s="27" t="inlineStr">
        <is>
          <t>Юрист</t>
        </is>
      </c>
      <c r="B144" s="28" t="inlineStr">
        <is>
          <t>Эсти Лайла Александровна</t>
        </is>
      </c>
      <c r="C144" s="50" t="n">
        <v>229890</v>
      </c>
      <c r="D144" s="304" t="inlineStr">
        <is>
          <t>Да</t>
        </is>
      </c>
      <c r="E144" s="7" t="inlineStr"/>
    </row>
    <row r="145" outlineLevel="1" ht="14.5" customHeight="1">
      <c r="A145" s="27" t="inlineStr">
        <is>
          <t>Спортивный куратор сети</t>
        </is>
      </c>
      <c r="B145" s="28" t="inlineStr">
        <is>
          <t>Стрижов Роман Сергеевич</t>
        </is>
      </c>
      <c r="C145" s="50" t="n">
        <v>229885</v>
      </c>
      <c r="D145" s="304" t="inlineStr">
        <is>
          <t>Да</t>
        </is>
      </c>
      <c r="E145" s="7" t="inlineStr"/>
    </row>
    <row r="146" outlineLevel="1" ht="14.5" customHeight="1">
      <c r="A146" s="27" t="inlineStr">
        <is>
          <t>Директор по маркетингу</t>
        </is>
      </c>
      <c r="B146" s="28" t="inlineStr">
        <is>
          <t>Печерских Павел Сергеевич</t>
        </is>
      </c>
      <c r="C146" s="50" t="n">
        <v>287360</v>
      </c>
      <c r="D146" s="304" t="inlineStr">
        <is>
          <t>Да</t>
        </is>
      </c>
      <c r="E146" s="7" t="inlineStr"/>
    </row>
    <row r="147" outlineLevel="1" ht="14.5" customHeight="1">
      <c r="A147" s="27" t="inlineStr">
        <is>
          <t>Ведущий финансовый менеджер</t>
        </is>
      </c>
      <c r="B147" s="28" t="inlineStr">
        <is>
          <t>Беренцвейг Мария Сергеевна</t>
        </is>
      </c>
      <c r="C147" s="50" t="n">
        <v>229885</v>
      </c>
      <c r="D147" s="304" t="inlineStr">
        <is>
          <t>Да</t>
        </is>
      </c>
      <c r="E147" s="7" t="inlineStr"/>
    </row>
    <row r="148" outlineLevel="1" ht="14.5" customHeight="1">
      <c r="A148" s="27" t="inlineStr">
        <is>
          <t>Исполнительный директор</t>
        </is>
      </c>
      <c r="B148" s="28" t="inlineStr">
        <is>
          <t>Штеблов Илья Николаевич</t>
        </is>
      </c>
      <c r="C148" s="50" t="n">
        <v>288000</v>
      </c>
      <c r="D148" s="304" t="inlineStr">
        <is>
          <t>Да</t>
        </is>
      </c>
      <c r="E148" s="7" t="inlineStr"/>
    </row>
    <row r="149" outlineLevel="1" ht="14.5" customHeight="1">
      <c r="A149" s="27" t="inlineStr">
        <is>
          <t>Спортивный директор</t>
        </is>
      </c>
      <c r="B149" s="28" t="inlineStr">
        <is>
          <t>Рогов Роман Дмитриевич</t>
        </is>
      </c>
      <c r="C149" s="50" t="n">
        <v>287400</v>
      </c>
      <c r="D149" s="304" t="inlineStr">
        <is>
          <t>Да</t>
        </is>
      </c>
      <c r="E149" s="7" t="inlineStr"/>
    </row>
    <row r="150" outlineLevel="1" ht="14.5" customHeight="1">
      <c r="A150" s="27" t="inlineStr">
        <is>
          <t>Руководитель отдела продаж / менеджер по продажам</t>
        </is>
      </c>
      <c r="B150" s="28" t="inlineStr">
        <is>
          <t>Жосан Евгений</t>
        </is>
      </c>
      <c r="C150" s="50" t="n">
        <v>230000</v>
      </c>
      <c r="D150" s="304" t="inlineStr">
        <is>
          <t>Нет</t>
        </is>
      </c>
      <c r="E150" s="7" t="inlineStr"/>
    </row>
    <row r="151" outlineLevel="1" ht="14.5" customHeight="1">
      <c r="A151" s="2" t="inlineStr">
        <is>
          <t>ФОТ ядра gross — база</t>
        </is>
      </c>
      <c r="B151" s="295">
        <f>SUM(C138:C150)</f>
        <v/>
      </c>
      <c r="D151" s="7" t="inlineStr">
        <is>
          <t>Расчёт</t>
        </is>
      </c>
    </row>
    <row r="152" outlineLevel="1" ht="14.5" customHeight="1">
      <c r="A152" s="2" t="inlineStr">
        <is>
          <t>База gross для квартальной премии</t>
        </is>
      </c>
      <c r="B152" s="295">
        <f>SUMIF(D138:D150,"Да",C138:C150)</f>
        <v/>
      </c>
      <c r="D152" s="7" t="inlineStr">
        <is>
          <t>Расчёт</t>
        </is>
      </c>
    </row>
    <row r="153" ht="14.5" customHeight="1"/>
    <row r="154" ht="14.5" customHeight="1">
      <c r="A154" s="272" t="inlineStr">
        <is>
          <t>8. Налоги</t>
        </is>
      </c>
    </row>
    <row r="155" outlineLevel="1" ht="14.5" customHeight="1">
      <c r="A155" s="6" t="inlineStr">
        <is>
          <t>Параметр</t>
        </is>
      </c>
      <c r="B155" s="6" t="inlineStr">
        <is>
          <t>Значение</t>
        </is>
      </c>
      <c r="C155" s="6" t="inlineStr">
        <is>
          <t>Ед.</t>
        </is>
      </c>
      <c r="D155" s="6" t="inlineStr">
        <is>
          <t>Статус / источник</t>
        </is>
      </c>
      <c r="E155" s="6" t="inlineStr">
        <is>
          <t>Комментарий</t>
        </is>
      </c>
    </row>
    <row r="156" outlineLevel="1" ht="14.5" customHeight="1">
      <c r="A156" s="2" t="inlineStr">
        <is>
          <t>УСН доходы-расходы</t>
        </is>
      </c>
      <c r="B156" s="279" t="n">
        <v>0.15</v>
      </c>
      <c r="C156" s="7" t="inlineStr">
        <is>
          <t>% прибыли</t>
        </is>
      </c>
      <c r="D156" s="7" t="inlineStr">
        <is>
          <t>Временно</t>
        </is>
      </c>
      <c r="E156" s="17" t="inlineStr">
        <is>
          <t>Помесячно; подтвердить</t>
        </is>
      </c>
    </row>
    <row r="157" outlineLevel="1" ht="14.5" customHeight="1">
      <c r="A157" s="2" t="inlineStr">
        <is>
          <t>Минимальный УСН</t>
        </is>
      </c>
      <c r="B157" s="279" t="n">
        <v>0.01</v>
      </c>
      <c r="C157" s="7" t="inlineStr">
        <is>
          <t>% дохода</t>
        </is>
      </c>
      <c r="D157" s="7" t="inlineStr">
        <is>
          <t>Временно</t>
        </is>
      </c>
      <c r="E157" s="17" t="inlineStr">
        <is>
          <t>Помесячно; подтвердить</t>
        </is>
      </c>
    </row>
    <row r="158" ht="14.5" customHeight="1"/>
    <row r="159" ht="14.5" customHeight="1">
      <c r="A159" s="272" t="inlineStr">
        <is>
          <t>9. Лагеря — блок ВЫКЛЮЧЕН (B241 = «Нет»), в расчёт не входит</t>
        </is>
      </c>
    </row>
    <row r="160" outlineLevel="1" ht="14.5" customHeight="1">
      <c r="A160" s="6" t="inlineStr">
        <is>
          <t>Параметр</t>
        </is>
      </c>
      <c r="B160" s="6" t="inlineStr">
        <is>
          <t>Значение</t>
        </is>
      </c>
      <c r="C160" s="6" t="inlineStr">
        <is>
          <t>Ед.</t>
        </is>
      </c>
      <c r="D160" s="6" t="inlineStr">
        <is>
          <t>Статус / источник</t>
        </is>
      </c>
      <c r="E160" s="6" t="inlineStr">
        <is>
          <t>Комментарий</t>
        </is>
      </c>
    </row>
    <row r="161" outlineLevel="1" ht="14.5" customHeight="1">
      <c r="A161" s="2" t="inlineStr">
        <is>
          <t>Лагеря — смен в июне</t>
        </is>
      </c>
      <c r="B161" s="305" t="n">
        <v>2</v>
      </c>
      <c r="C161" s="7" t="inlineStr">
        <is>
          <t>шт.</t>
        </is>
      </c>
      <c r="D161" s="7" t="inlineStr">
        <is>
          <t>Не в расчёте — ТЗ 9</t>
        </is>
      </c>
      <c r="E161" s="17" t="inlineStr"/>
    </row>
    <row r="162" outlineLevel="1" ht="14.5" customHeight="1">
      <c r="A162" s="2" t="inlineStr">
        <is>
          <t>Лагеря — участников без проживания / смена</t>
        </is>
      </c>
      <c r="B162" s="305" t="n">
        <v>50</v>
      </c>
      <c r="C162" s="7" t="inlineStr">
        <is>
          <t>чел.</t>
        </is>
      </c>
      <c r="D162" s="7" t="inlineStr">
        <is>
          <t>Не в расчёте — Лагеря Спартак Будущее</t>
        </is>
      </c>
      <c r="E162" s="17" t="inlineStr"/>
    </row>
    <row r="163" outlineLevel="1" ht="14.5" customHeight="1">
      <c r="A163" s="2" t="inlineStr">
        <is>
          <t>Лагеря — участников с проживанием / смена</t>
        </is>
      </c>
      <c r="B163" s="305" t="n">
        <v>50</v>
      </c>
      <c r="C163" s="7" t="inlineStr">
        <is>
          <t>чел.</t>
        </is>
      </c>
      <c r="D163" s="7" t="inlineStr">
        <is>
          <t>Не в расчёте — Лагеря Спартак Будущее</t>
        </is>
      </c>
      <c r="E163" s="17" t="inlineStr"/>
    </row>
    <row r="164" outlineLevel="1" ht="14.5" customHeight="1">
      <c r="A164" s="2" t="inlineStr">
        <is>
          <t>Лагеря — цена без проживания</t>
        </is>
      </c>
      <c r="B164" s="306" t="n">
        <v>80000</v>
      </c>
      <c r="C164" s="7" t="inlineStr">
        <is>
          <t>₽</t>
        </is>
      </c>
      <c r="D164" s="7" t="inlineStr">
        <is>
          <t>Не в расчёте — Лагеря Спартак Будущее</t>
        </is>
      </c>
      <c r="E164" s="17" t="inlineStr"/>
    </row>
    <row r="165" outlineLevel="1" ht="14.5" customHeight="1">
      <c r="A165" s="2" t="inlineStr">
        <is>
          <t>Лагеря — цена с проживанием</t>
        </is>
      </c>
      <c r="B165" s="306" t="n">
        <v>120000</v>
      </c>
      <c r="C165" s="7" t="inlineStr">
        <is>
          <t>₽</t>
        </is>
      </c>
      <c r="D165" s="7" t="inlineStr">
        <is>
          <t>Не в расчёте — Лагеря Спартак Будущее</t>
        </is>
      </c>
      <c r="E165" s="17" t="inlineStr"/>
    </row>
    <row r="166" outlineLevel="1" ht="14.5" customHeight="1">
      <c r="A166" s="2" t="inlineStr">
        <is>
          <t>Лагеря — оборот / смена</t>
        </is>
      </c>
      <c r="B166" s="306">
        <f>B162*B164+B163*B165</f>
        <v/>
      </c>
      <c r="C166" s="7" t="inlineStr">
        <is>
          <t>₽</t>
        </is>
      </c>
      <c r="D166" s="7" t="inlineStr">
        <is>
          <t>Не в расчёте — Лагеря Спартак Будущее</t>
        </is>
      </c>
      <c r="E166" s="17" t="inlineStr"/>
    </row>
    <row r="167" outlineLevel="1" ht="14.5" customHeight="1">
      <c r="A167" s="2" t="inlineStr">
        <is>
          <t>Лагеря — расходы / смена</t>
        </is>
      </c>
      <c r="B167" s="306" t="n">
        <v>5386000</v>
      </c>
      <c r="C167" s="7" t="inlineStr">
        <is>
          <t>₽</t>
        </is>
      </c>
      <c r="D167" s="7" t="inlineStr">
        <is>
          <t>Не в расчёте — Лагеря Спартак Будущее</t>
        </is>
      </c>
      <c r="E167" s="17" t="inlineStr"/>
    </row>
    <row r="168" outlineLevel="1" ht="14.5" customHeight="1">
      <c r="A168" s="2" t="inlineStr">
        <is>
          <t>Лагеря — НДС</t>
        </is>
      </c>
      <c r="B168" s="307">
        <f>B240</f>
        <v/>
      </c>
      <c r="C168" s="7" t="inlineStr">
        <is>
          <t>%</t>
        </is>
      </c>
      <c r="D168" s="7" t="inlineStr">
        <is>
          <t>Не в расчёте — Лагеря Спартак Будущее</t>
        </is>
      </c>
      <c r="E168" s="17" t="inlineStr">
        <is>
          <t>Временный резерв 10% от оборота из исходника, не проверенная методика НДС.</t>
        </is>
      </c>
    </row>
    <row r="169" outlineLevel="1" ht="14.5" customHeight="1">
      <c r="A169" s="2" t="inlineStr">
        <is>
          <t>Лагеря — доля партнёра-продавца</t>
        </is>
      </c>
      <c r="B169" s="307" t="n">
        <v>0.125</v>
      </c>
      <c r="C169" s="7" t="inlineStr">
        <is>
          <t>%</t>
        </is>
      </c>
      <c r="D169" s="7" t="inlineStr">
        <is>
          <t>Не в расчёте — Лагеря Спартак Будущее</t>
        </is>
      </c>
      <c r="E169" s="17" t="inlineStr"/>
    </row>
    <row r="170" outlineLevel="1" ht="14.5" customHeight="1">
      <c r="A170" s="2" t="inlineStr">
        <is>
          <t>Лагеря — проживание / смена</t>
        </is>
      </c>
      <c r="B170" s="306" t="n">
        <v>700000</v>
      </c>
      <c r="C170" s="7" t="inlineStr">
        <is>
          <t>₽</t>
        </is>
      </c>
      <c r="D170" s="7" t="inlineStr">
        <is>
          <t>Не в расчёте — Лагеря Спартак Будущее</t>
        </is>
      </c>
      <c r="E170" s="17" t="inlineStr"/>
    </row>
    <row r="171" outlineLevel="1" ht="14.5" customHeight="1">
      <c r="A171" s="2" t="inlineStr">
        <is>
          <t>Лагеря — аванс клиента</t>
        </is>
      </c>
      <c r="B171" s="307" t="n">
        <v>0.4</v>
      </c>
      <c r="C171" s="7" t="inlineStr">
        <is>
          <t>%</t>
        </is>
      </c>
      <c r="D171" s="7" t="inlineStr">
        <is>
          <t>Не в расчёте — ТЗ 9</t>
        </is>
      </c>
      <c r="E171" s="17" t="inlineStr"/>
    </row>
    <row r="172" outlineLevel="1" ht="14.5" customHeight="1">
      <c r="A172" s="2" t="inlineStr">
        <is>
          <t>Лагеря — финальная оплата клиента</t>
        </is>
      </c>
      <c r="B172" s="307" t="n">
        <v>0.6</v>
      </c>
      <c r="C172" s="7" t="inlineStr">
        <is>
          <t>%</t>
        </is>
      </c>
      <c r="D172" s="7" t="inlineStr">
        <is>
          <t>Не в расчёте — ТЗ 9</t>
        </is>
      </c>
      <c r="E172" s="17" t="inlineStr"/>
    </row>
    <row r="173" outlineLevel="1" ht="14.5" customHeight="1">
      <c r="A173" s="2" t="inlineStr">
        <is>
          <t>Лагеря — месяц финальной оплаты клиента</t>
        </is>
      </c>
      <c r="B173" s="308" t="n">
        <v>5</v>
      </c>
      <c r="C173" s="7" t="inlineStr">
        <is>
          <t>номер месяца</t>
        </is>
      </c>
      <c r="D173" s="7" t="inlineStr">
        <is>
          <t>Не в расчёте — Рабочее</t>
        </is>
      </c>
      <c r="E173" s="17" t="inlineStr">
        <is>
          <t>Пока май; уточнить</t>
        </is>
      </c>
    </row>
    <row r="174" outlineLevel="1" ht="14.5" customHeight="1">
      <c r="A174" s="2" t="inlineStr">
        <is>
          <t>Лагеря — первая оплата проживания</t>
        </is>
      </c>
      <c r="B174" s="307" t="n">
        <v>0.4</v>
      </c>
      <c r="C174" s="7" t="inlineStr">
        <is>
          <t>%</t>
        </is>
      </c>
      <c r="D174" s="7" t="inlineStr">
        <is>
          <t>Не в расчёте — ТЗ 9</t>
        </is>
      </c>
      <c r="E174" s="17" t="inlineStr"/>
    </row>
    <row r="175" outlineLevel="1" ht="14.5" customHeight="1">
      <c r="A175" s="2" t="inlineStr">
        <is>
          <t>Лагеря — месяц первой оплаты проживания</t>
        </is>
      </c>
      <c r="B175" s="308" t="n">
        <v>3</v>
      </c>
      <c r="C175" s="7" t="inlineStr">
        <is>
          <t>номер месяца</t>
        </is>
      </c>
      <c r="D175" s="7" t="inlineStr">
        <is>
          <t>Не в расчёте — ТЗ 9</t>
        </is>
      </c>
      <c r="E175" s="17" t="inlineStr">
        <is>
          <t>Март</t>
        </is>
      </c>
    </row>
    <row r="176" outlineLevel="1" ht="14.5" customHeight="1">
      <c r="A176" s="2" t="inlineStr">
        <is>
          <t>Лагеря — вторая оплата проживания</t>
        </is>
      </c>
      <c r="B176" s="307" t="n">
        <v>0.6</v>
      </c>
      <c r="C176" s="7" t="inlineStr">
        <is>
          <t>%</t>
        </is>
      </c>
      <c r="D176" s="7" t="inlineStr">
        <is>
          <t>Не в расчёте — ТЗ 9</t>
        </is>
      </c>
      <c r="E176" s="17" t="inlineStr"/>
    </row>
    <row r="177" outlineLevel="1" ht="14.5" customHeight="1">
      <c r="A177" s="2" t="inlineStr">
        <is>
          <t>Лагеря — месяц второй оплаты проживания</t>
        </is>
      </c>
      <c r="B177" s="308" t="n">
        <v>5</v>
      </c>
      <c r="C177" s="7" t="inlineStr">
        <is>
          <t>номер месяца</t>
        </is>
      </c>
      <c r="D177" s="7" t="inlineStr">
        <is>
          <t>Не в расчёте — Подтверждено</t>
        </is>
      </c>
      <c r="E177" s="17" t="inlineStr">
        <is>
          <t>За месяц до июня = май</t>
        </is>
      </c>
    </row>
    <row r="178" ht="14.5" customHeight="1"/>
    <row r="179" ht="14.5" customHeight="1">
      <c r="A179" s="272" t="inlineStr">
        <is>
          <t>10. История сезона 2025/26 — перенесена в раздел 17 (там же помесячный P&amp;L и реестр начислений)</t>
        </is>
      </c>
    </row>
    <row r="180" outlineLevel="1" ht="14.5" customHeight="1">
      <c r="A180" s="6" t="n"/>
      <c r="B180" s="147" t="n"/>
      <c r="C180" s="147" t="n"/>
      <c r="D180" s="147" t="n"/>
      <c r="E180" s="147" t="n"/>
      <c r="F180" s="147" t="n"/>
      <c r="G180" s="147" t="n"/>
      <c r="H180" s="147" t="n"/>
      <c r="I180" s="147" t="n"/>
      <c r="J180" s="147" t="n"/>
      <c r="K180" s="147" t="n"/>
      <c r="L180" s="147" t="n"/>
      <c r="M180" s="147" t="n"/>
      <c r="N180" s="6" t="n"/>
    </row>
    <row r="181" outlineLevel="1" ht="14.5" customHeight="1">
      <c r="A181" s="2" t="n"/>
      <c r="B181" s="50" t="n"/>
      <c r="C181" s="50" t="n"/>
      <c r="D181" s="50" t="n"/>
      <c r="E181" s="50" t="n"/>
      <c r="F181" s="50" t="n"/>
      <c r="G181" s="50" t="n"/>
      <c r="H181" s="50" t="n"/>
      <c r="I181" s="50" t="n"/>
      <c r="J181" s="50" t="n"/>
      <c r="K181" s="50" t="n"/>
      <c r="L181" s="309" t="n"/>
      <c r="M181" s="309" t="n"/>
      <c r="N181" s="295" t="n"/>
    </row>
    <row r="182" outlineLevel="1" ht="14.5" customHeight="1">
      <c r="A182" s="2" t="n"/>
      <c r="B182" s="50" t="n"/>
      <c r="C182" s="50" t="n"/>
      <c r="D182" s="50" t="n"/>
      <c r="E182" s="50" t="n"/>
      <c r="F182" s="50" t="n"/>
      <c r="G182" s="50" t="n"/>
      <c r="H182" s="50" t="n"/>
      <c r="I182" s="50" t="n"/>
      <c r="J182" s="50" t="n"/>
      <c r="K182" s="50" t="n"/>
      <c r="L182" s="309" t="n"/>
      <c r="M182" s="309" t="n"/>
      <c r="N182" s="295" t="n"/>
    </row>
    <row r="183" outlineLevel="1" ht="14.5" customHeight="1">
      <c r="A183" s="2" t="n"/>
      <c r="B183" s="50" t="n"/>
      <c r="C183" s="50" t="n"/>
      <c r="D183" s="50" t="n"/>
      <c r="E183" s="50" t="n"/>
      <c r="F183" s="50" t="n"/>
      <c r="G183" s="50" t="n"/>
      <c r="H183" s="50" t="n"/>
      <c r="I183" s="50" t="n"/>
      <c r="J183" s="50" t="n"/>
      <c r="K183" s="50" t="n"/>
      <c r="L183" s="309" t="n"/>
      <c r="M183" s="309" t="n"/>
      <c r="N183" s="295" t="n"/>
    </row>
    <row r="184" outlineLevel="1" ht="14.5" customHeight="1">
      <c r="A184" s="2" t="n"/>
      <c r="B184" s="50" t="n"/>
      <c r="C184" s="50" t="n"/>
      <c r="D184" s="50" t="n"/>
      <c r="E184" s="50" t="n"/>
      <c r="F184" s="50" t="n"/>
      <c r="G184" s="50" t="n"/>
      <c r="H184" s="50" t="n"/>
      <c r="I184" s="50" t="n"/>
      <c r="J184" s="50" t="n"/>
      <c r="K184" s="50" t="n"/>
      <c r="L184" s="309" t="n"/>
      <c r="M184" s="309" t="n"/>
      <c r="N184" s="295" t="n"/>
    </row>
    <row r="185" outlineLevel="1" ht="14.5" customHeight="1">
      <c r="A185" s="2" t="n"/>
      <c r="B185" s="50" t="n"/>
      <c r="C185" s="50" t="n"/>
      <c r="D185" s="50" t="n"/>
      <c r="E185" s="50" t="n"/>
      <c r="F185" s="50" t="n"/>
      <c r="G185" s="50" t="n"/>
      <c r="H185" s="50" t="n"/>
      <c r="I185" s="50" t="n"/>
      <c r="J185" s="50" t="n"/>
      <c r="K185" s="50" t="n"/>
      <c r="L185" s="309" t="n"/>
      <c r="M185" s="309" t="n"/>
      <c r="N185" s="295" t="n"/>
    </row>
    <row r="186" outlineLevel="1" ht="14.5" customHeight="1">
      <c r="A186" s="2" t="n"/>
      <c r="B186" s="50" t="n"/>
      <c r="C186" s="50" t="n"/>
      <c r="D186" s="50" t="n"/>
      <c r="E186" s="50" t="n"/>
      <c r="F186" s="50" t="n"/>
      <c r="G186" s="50" t="n"/>
      <c r="H186" s="50" t="n"/>
      <c r="I186" s="50" t="n"/>
      <c r="J186" s="50" t="n"/>
      <c r="K186" s="50" t="n"/>
      <c r="L186" s="309" t="n"/>
      <c r="M186" s="309" t="n"/>
      <c r="N186" s="295" t="n"/>
    </row>
    <row r="187" outlineLevel="1" ht="14.5" customHeight="1">
      <c r="A187" s="2" t="n"/>
      <c r="B187" s="309" t="n"/>
      <c r="C187" s="309" t="n"/>
      <c r="D187" s="309" t="n"/>
      <c r="E187" s="309" t="n"/>
      <c r="F187" s="50" t="n"/>
      <c r="G187" s="50" t="n"/>
      <c r="H187" s="50" t="n"/>
      <c r="I187" s="50" t="n"/>
      <c r="J187" s="50" t="n"/>
      <c r="K187" s="50" t="n"/>
      <c r="L187" s="50" t="n"/>
      <c r="M187" s="309" t="n"/>
      <c r="N187" s="295" t="n"/>
    </row>
    <row r="188" outlineLevel="1" ht="14.5" customHeight="1">
      <c r="A188" s="2" t="inlineStr">
        <is>
          <t>Режим просмотра результата на дашборде</t>
        </is>
      </c>
      <c r="B188" s="310">
        <f>IF(B322="Да","С историей","Без истории")</f>
        <v/>
      </c>
      <c r="C188" s="309" t="inlineStr">
        <is>
          <t>режим</t>
        </is>
      </c>
      <c r="D188" s="309" t="inlineStr">
        <is>
          <t>Следует за B322</t>
        </is>
      </c>
      <c r="E188" s="309" t="inlineStr">
        <is>
          <t>Переключатель один — B322 в разделе 17. Здесь показано его следствие: так лист «00_Старт» продолжает работать.</t>
        </is>
      </c>
    </row>
    <row r="189" ht="14.5" customHeight="1"/>
    <row r="190" ht="14.5" customHeight="1">
      <c r="A190" s="311" t="inlineStr">
        <is>
          <t>11. Сценарии и чувствительность</t>
        </is>
      </c>
    </row>
    <row r="191" outlineLevel="1" ht="43.5" customHeight="1">
      <c r="A191" s="41" t="inlineStr">
        <is>
          <t>Предварительные сценарные коэффициенты. Базовый сценарий использует исходные параметры ниже; коэффициент 1,00x означает отсутствие изменения.</t>
        </is>
      </c>
    </row>
    <row r="192" outlineLevel="1" ht="14.5" customHeight="1">
      <c r="A192" s="38" t="inlineStr">
        <is>
          <t>Активный сценарий</t>
        </is>
      </c>
      <c r="B192" s="310" t="inlineStr">
        <is>
          <t>Базовый</t>
        </is>
      </c>
      <c r="D192" s="221" t="inlineStr">
        <is>
          <t>03_Сценарии</t>
        </is>
      </c>
      <c r="E192" s="221" t="inlineStr">
        <is>
          <t>12_Чувствительность</t>
        </is>
      </c>
    </row>
    <row r="193" outlineLevel="1" ht="14.5" customHeight="1"/>
    <row r="194" outlineLevel="1" ht="14.5" customHeight="1">
      <c r="A194" s="41" t="inlineStr">
        <is>
          <t>Номер сценария</t>
        </is>
      </c>
      <c r="B194" s="312">
        <f>IF(B192=C197,1,IF(B192=D197,2,3))</f>
        <v/>
      </c>
    </row>
    <row r="195" outlineLevel="1" ht="43.5" customHeight="1">
      <c r="A195" s="41" t="inlineStr">
        <is>
          <t>Выбор B192 пересчитывает дашборд и основную модель. Сравнение трех сценариев и чувствительность рассчитываются отдельно от этого выбора.</t>
        </is>
      </c>
    </row>
    <row r="196" outlineLevel="1" ht="14.5" customHeight="1"/>
    <row r="197" outlineLevel="1" ht="14.5" customHeight="1">
      <c r="A197" s="62" t="inlineStr">
        <is>
          <t>Драйвер</t>
        </is>
      </c>
      <c r="B197" s="62" t="inlineStr">
        <is>
          <t>Ед.</t>
        </is>
      </c>
      <c r="C197" s="62" t="inlineStr">
        <is>
          <t>Негативный</t>
        </is>
      </c>
      <c r="D197" s="62" t="inlineStr">
        <is>
          <t>Базовый</t>
        </is>
      </c>
      <c r="E197" s="62" t="inlineStr">
        <is>
          <t>Позитивный</t>
        </is>
      </c>
      <c r="F197" s="62" t="inlineStr">
        <is>
          <t>В расчете</t>
        </is>
      </c>
      <c r="G197" s="62" t="inlineStr">
        <is>
          <t>Шаг ±</t>
        </is>
      </c>
    </row>
    <row r="198" outlineLevel="1" ht="14.5" customHeight="1">
      <c r="A198" s="41" t="inlineStr">
        <is>
          <t>План продаж франшиз</t>
        </is>
      </c>
      <c r="B198" s="41" t="inlineStr">
        <is>
          <t>× база</t>
        </is>
      </c>
      <c r="C198" s="63" t="n">
        <v>0.8</v>
      </c>
      <c r="D198" s="64" t="n">
        <v>1</v>
      </c>
      <c r="E198" s="63" t="n">
        <v>1.2</v>
      </c>
      <c r="F198" s="313">
        <f>INDEX(C198:E198,1,$B$194)</f>
        <v/>
      </c>
      <c r="G198" s="66" t="n">
        <v>0.1</v>
      </c>
    </row>
    <row r="199" outlineLevel="1" ht="14.5" customHeight="1">
      <c r="A199" s="41" t="inlineStr">
        <is>
          <t>Дети новых школ</t>
        </is>
      </c>
      <c r="B199" s="41" t="inlineStr">
        <is>
          <t>× база</t>
        </is>
      </c>
      <c r="C199" s="63" t="n">
        <v>0.9</v>
      </c>
      <c r="D199" s="64" t="n">
        <v>1</v>
      </c>
      <c r="E199" s="63" t="n">
        <v>1.1</v>
      </c>
      <c r="F199" s="313">
        <f>INDEX(C199:E199,1,$B$194)</f>
        <v/>
      </c>
      <c r="G199" s="66" t="n">
        <v>0.1</v>
      </c>
    </row>
    <row r="200" outlineLevel="1" ht="14.5" customHeight="1">
      <c r="A200" s="41" t="inlineStr">
        <is>
          <t>Цена абонемента</t>
        </is>
      </c>
      <c r="B200" s="41" t="inlineStr">
        <is>
          <t>× база</t>
        </is>
      </c>
      <c r="C200" s="63" t="n">
        <v>0.95</v>
      </c>
      <c r="D200" s="64" t="n">
        <v>1</v>
      </c>
      <c r="E200" s="63" t="n">
        <v>1.05</v>
      </c>
      <c r="F200" s="313">
        <f>INDEX(C200:E200,1,$B$194)</f>
        <v/>
      </c>
      <c r="G200" s="66" t="n">
        <v>0.1</v>
      </c>
    </row>
    <row r="201" outlineLevel="1" ht="14.5" customHeight="1">
      <c r="A201" s="41" t="inlineStr">
        <is>
          <t>Мерч на ребенка</t>
        </is>
      </c>
      <c r="B201" s="41" t="inlineStr">
        <is>
          <t>× база</t>
        </is>
      </c>
      <c r="C201" s="63" t="n">
        <v>0.9</v>
      </c>
      <c r="D201" s="64" t="n">
        <v>1</v>
      </c>
      <c r="E201" s="63" t="n">
        <v>1.1</v>
      </c>
      <c r="F201" s="313">
        <f>INDEX(C201:E201,1,$B$194)</f>
        <v/>
      </c>
      <c r="G201" s="66" t="n">
        <v>0.1</v>
      </c>
    </row>
    <row r="202" outlineLevel="1" ht="14.5" customHeight="1">
      <c r="A202" s="41" t="inlineStr">
        <is>
          <t>Таргет на продажу</t>
        </is>
      </c>
      <c r="B202" s="41" t="inlineStr">
        <is>
          <t>× база</t>
        </is>
      </c>
      <c r="C202" s="63" t="n">
        <v>1.2</v>
      </c>
      <c r="D202" s="64" t="n">
        <v>1</v>
      </c>
      <c r="E202" s="63" t="n">
        <v>0.8</v>
      </c>
      <c r="F202" s="313">
        <f>INDEX(C202:E202,1,$B$194)</f>
        <v/>
      </c>
      <c r="G202" s="66" t="n">
        <v>0.1</v>
      </c>
    </row>
    <row r="203" outlineLevel="1" ht="14.5" customHeight="1">
      <c r="A203" s="41" t="inlineStr">
        <is>
          <t>Срок получения роялти</t>
        </is>
      </c>
      <c r="B203" s="41" t="inlineStr">
        <is>
          <t>× база</t>
        </is>
      </c>
      <c r="C203" s="63" t="n">
        <v>2</v>
      </c>
      <c r="D203" s="64" t="n">
        <v>1</v>
      </c>
      <c r="E203" s="63" t="n">
        <v>0.5</v>
      </c>
      <c r="F203" s="313">
        <f>INDEX(C203:E203,1,$B$194)</f>
        <v/>
      </c>
      <c r="G203" s="66" t="n">
        <v>0.1</v>
      </c>
    </row>
    <row r="204" outlineLevel="1" ht="14.5" customHeight="1"/>
    <row r="205" outlineLevel="1" ht="43.5" customHeight="1">
      <c r="A205" s="41" t="inlineStr">
        <is>
          <t>Чувствительность: меняется только один драйвер на ±шаг G198:G203; все остальные вводные остаются базовыми. Эффекты не слагать.</t>
        </is>
      </c>
    </row>
    <row r="206" outlineLevel="1" ht="43.5" customHeight="1">
      <c r="A206" s="41" t="inlineStr">
        <is>
          <t>Стартовые 5 200 детей, рост 10%, ставки роялти, налоги и лагеря сценариями не меняются. Мерч сентября-декабря 2026 остается по согласованному плану.</t>
        </is>
      </c>
    </row>
    <row r="207" outlineLevel="1" ht="43.5" customHeight="1">
      <c r="A207" s="41" t="inlineStr">
        <is>
          <t>Дебиторка распределяется между текущим и следующим месяцем. Диапазон 0–30 дней; большие сроки требуют расширения расчёта БДДС.</t>
        </is>
      </c>
    </row>
    <row r="208" outlineLevel="1" ht="14.5" customHeight="1"/>
    <row r="209" outlineLevel="1" ht="14.5" customHeight="1">
      <c r="A209" s="47" t="inlineStr">
        <is>
          <t>Базовые значения сценарных параметров</t>
        </is>
      </c>
    </row>
    <row r="210" outlineLevel="1" ht="14.5" customHeight="1">
      <c r="A210" s="41" t="inlineStr">
        <is>
          <t>План продаж: сезон 1</t>
        </is>
      </c>
      <c r="B210" s="67" t="n">
        <v>66</v>
      </c>
      <c r="C210" s="41" t="inlineStr">
        <is>
          <t>01_Вводные!B36</t>
        </is>
      </c>
      <c r="D210" s="41" t="inlineStr">
        <is>
          <t>База V8</t>
        </is>
      </c>
    </row>
    <row r="211" outlineLevel="1" ht="14.5" customHeight="1">
      <c r="A211" s="41" t="inlineStr">
        <is>
          <t>План продаж: сезон 2</t>
        </is>
      </c>
      <c r="B211" s="67" t="n">
        <v>72</v>
      </c>
      <c r="C211" s="41" t="inlineStr">
        <is>
          <t>01_Вводные!B37</t>
        </is>
      </c>
      <c r="D211" s="41" t="inlineStr">
        <is>
          <t>База V8</t>
        </is>
      </c>
    </row>
    <row r="212" outlineLevel="1" ht="14.5" customHeight="1">
      <c r="A212" s="41" t="inlineStr">
        <is>
          <t>План продаж: сезон 3</t>
        </is>
      </c>
      <c r="B212" s="67" t="n">
        <v>72</v>
      </c>
      <c r="C212" s="41" t="inlineStr">
        <is>
          <t>01_Вводные!B38</t>
        </is>
      </c>
      <c r="D212" s="41" t="inlineStr">
        <is>
          <t>База V8</t>
        </is>
      </c>
    </row>
    <row r="213" outlineLevel="1" ht="14.5" customHeight="1">
      <c r="A213" s="41" t="inlineStr">
        <is>
          <t>План продаж: сезон 4</t>
        </is>
      </c>
      <c r="B213" s="67" t="n">
        <v>60</v>
      </c>
      <c r="C213" s="41" t="inlineStr">
        <is>
          <t>01_Вводные!B39</t>
        </is>
      </c>
      <c r="D213" s="41" t="inlineStr">
        <is>
          <t>База V8</t>
        </is>
      </c>
    </row>
    <row r="214" outlineLevel="1" ht="14.5" customHeight="1">
      <c r="A214" s="41" t="inlineStr">
        <is>
          <t>План продаж: сезон 5</t>
        </is>
      </c>
      <c r="B214" s="67" t="n">
        <v>50</v>
      </c>
      <c r="C214" s="41" t="inlineStr">
        <is>
          <t>01_Вводные!B40</t>
        </is>
      </c>
      <c r="D214" s="41" t="inlineStr">
        <is>
          <t>База V8</t>
        </is>
      </c>
    </row>
    <row r="215" outlineLevel="1" ht="14.5" customHeight="1">
      <c r="A215" s="180" t="inlineStr">
        <is>
          <t>Мощность новой школы: 12-й месяц</t>
        </is>
      </c>
      <c r="B215" s="291">
        <f>SUMPRODUCT($C$263:$C$282,$E$263:$E$282)/$C$283</f>
        <v/>
      </c>
      <c r="C215" s="41" t="inlineStr">
        <is>
          <t>01_Вводные!B46</t>
        </is>
      </c>
      <c r="D215" s="41" t="inlineStr">
        <is>
          <t>База V8</t>
        </is>
      </c>
      <c r="G215" s="285" t="inlineStr">
        <is>
          <t>← формула; база: E263:E282</t>
        </is>
      </c>
    </row>
    <row r="216" outlineLevel="1" ht="14.5" customHeight="1">
      <c r="A216" s="180" t="inlineStr">
        <is>
          <t>Мощность новой школы: 24-й месяц</t>
        </is>
      </c>
      <c r="B216" s="291">
        <f>SUMPRODUCT($C$263:$C$282,$F$263:$F$282)/$C$283</f>
        <v/>
      </c>
      <c r="C216" s="41" t="inlineStr">
        <is>
          <t>01_Вводные!B47</t>
        </is>
      </c>
      <c r="D216" s="41" t="inlineStr">
        <is>
          <t>База V8</t>
        </is>
      </c>
      <c r="G216" s="285" t="inlineStr">
        <is>
          <t>← формула; база: F263:F282</t>
        </is>
      </c>
    </row>
    <row r="217" outlineLevel="1" ht="14.5" customHeight="1">
      <c r="A217" s="41" t="inlineStr">
        <is>
          <t>Абонемент действующей сети</t>
        </is>
      </c>
      <c r="B217" s="67" t="n">
        <v>6000</v>
      </c>
      <c r="C217" s="41" t="inlineStr">
        <is>
          <t>01_Вводные!B51</t>
        </is>
      </c>
      <c r="D217" s="41" t="inlineStr">
        <is>
          <t>База V8</t>
        </is>
      </c>
    </row>
    <row r="218" outlineLevel="1" ht="14.5" customHeight="1">
      <c r="A218" s="41" t="inlineStr">
        <is>
          <t>Абонемент новых школ: сезон 1</t>
        </is>
      </c>
      <c r="B218" s="289">
        <f>SUMPRODUCT($C$263:$C$282,$H$263:$H$282)/$C$283</f>
        <v/>
      </c>
      <c r="C218" s="41" t="inlineStr">
        <is>
          <t>01_Вводные!C63</t>
        </is>
      </c>
      <c r="D218" s="41" t="inlineStr">
        <is>
          <t>База V8</t>
        </is>
      </c>
      <c r="G218" s="285" t="inlineStr">
        <is>
          <t>← формула; база: H263:H282</t>
        </is>
      </c>
    </row>
    <row r="219" outlineLevel="1" ht="14.5" customHeight="1">
      <c r="A219" s="41" t="inlineStr">
        <is>
          <t>Абонемент новых школ: сезон 2</t>
        </is>
      </c>
      <c r="B219" s="289">
        <f>SUMPRODUCT($C$263:$C$282,$H$263:$H$282)/$C$283</f>
        <v/>
      </c>
      <c r="C219" s="41" t="inlineStr">
        <is>
          <t>01_Вводные!C64</t>
        </is>
      </c>
      <c r="D219" s="41" t="inlineStr">
        <is>
          <t>База V8</t>
        </is>
      </c>
      <c r="G219" s="285" t="inlineStr">
        <is>
          <t>← формула; база: H263:H282</t>
        </is>
      </c>
    </row>
    <row r="220" outlineLevel="1" ht="14.5" customHeight="1">
      <c r="A220" s="41" t="inlineStr">
        <is>
          <t>Абонемент новых школ: сезон 3</t>
        </is>
      </c>
      <c r="B220" s="289">
        <f>SUMPRODUCT($C$263:$C$282,$H$263:$H$282)/$C$283</f>
        <v/>
      </c>
      <c r="C220" s="41" t="inlineStr">
        <is>
          <t>01_Вводные!C65</t>
        </is>
      </c>
      <c r="D220" s="41" t="inlineStr">
        <is>
          <t>База V8</t>
        </is>
      </c>
      <c r="G220" s="285" t="inlineStr">
        <is>
          <t>← формула; база: H263:H282</t>
        </is>
      </c>
    </row>
    <row r="221" outlineLevel="1" ht="14.5" customHeight="1">
      <c r="A221" s="41" t="inlineStr">
        <is>
          <t>Абонемент новых школ: сезон 4</t>
        </is>
      </c>
      <c r="B221" s="289">
        <f>SUMPRODUCT($C$263:$C$282,$H$263:$H$282)/$C$283</f>
        <v/>
      </c>
      <c r="C221" s="41" t="inlineStr">
        <is>
          <t>01_Вводные!C66</t>
        </is>
      </c>
      <c r="D221" s="41" t="inlineStr">
        <is>
          <t>База V8</t>
        </is>
      </c>
      <c r="G221" s="285" t="inlineStr">
        <is>
          <t>← формула; база: H263:H282</t>
        </is>
      </c>
    </row>
    <row r="222" outlineLevel="1" ht="14.5" customHeight="1">
      <c r="A222" s="41" t="inlineStr">
        <is>
          <t>Абонемент новых школ: сезон 5</t>
        </is>
      </c>
      <c r="B222" s="289">
        <f>SUMPRODUCT($C$263:$C$282,$H$263:$H$282)/$C$283</f>
        <v/>
      </c>
      <c r="C222" s="41" t="inlineStr">
        <is>
          <t>01_Вводные!C67</t>
        </is>
      </c>
      <c r="D222" s="41" t="inlineStr">
        <is>
          <t>База V8</t>
        </is>
      </c>
      <c r="G222" s="285" t="inlineStr">
        <is>
          <t>← формула; база: H263:H282</t>
        </is>
      </c>
    </row>
    <row r="223" outlineLevel="1" ht="14.5" customHeight="1">
      <c r="A223" s="41" t="inlineStr">
        <is>
          <t>Коэффициент мерча</t>
        </is>
      </c>
      <c r="B223" s="314" t="n">
        <v>1.2</v>
      </c>
      <c r="C223" s="41" t="inlineStr">
        <is>
          <t>01_Вводные!B74</t>
        </is>
      </c>
      <c r="D223" s="41" t="inlineStr">
        <is>
          <t>База V8</t>
        </is>
      </c>
    </row>
    <row r="224" outlineLevel="1" ht="14.5" customHeight="1">
      <c r="A224" s="41" t="inlineStr">
        <is>
          <t>Таргет на будущую продажу</t>
        </is>
      </c>
      <c r="B224" s="67" t="n">
        <v>160000</v>
      </c>
      <c r="C224" s="41" t="inlineStr">
        <is>
          <t>01_Вводные!B26</t>
        </is>
      </c>
      <c r="D224" s="41" t="inlineStr">
        <is>
          <t>База V8</t>
        </is>
      </c>
    </row>
    <row r="225" outlineLevel="1" ht="14.5" customHeight="1">
      <c r="A225" s="41" t="inlineStr">
        <is>
          <t>Дебиторка</t>
        </is>
      </c>
      <c r="B225" s="315" t="n">
        <v>15</v>
      </c>
      <c r="C225" s="41" t="inlineStr">
        <is>
          <t>01_Вводные!B18</t>
        </is>
      </c>
      <c r="D225" s="41" t="inlineStr">
        <is>
          <t>База V8</t>
        </is>
      </c>
    </row>
    <row r="226" outlineLevel="1" ht="14.5" customHeight="1"/>
    <row r="227" outlineLevel="1" ht="14.5" customHeight="1">
      <c r="A227" s="41" t="inlineStr">
        <is>
          <t>Валидность дебиторки</t>
        </is>
      </c>
      <c r="B227" s="316">
        <f>IF(AND(MIN(C203:E203)*B225&gt;=0,MAX(C203:E203)*B225&lt;=30,(1+G203)*B225&lt;=30,(1-G203)*B225&gt;=0),"OK","CHECK")</f>
        <v/>
      </c>
    </row>
    <row r="228" outlineLevel="1" ht="14.5" customHeight="1">
      <c r="A228" s="41" t="inlineStr">
        <is>
          <t>Параметры стрессов</t>
        </is>
      </c>
      <c r="B228" s="316">
        <f>IF(AND(MIN(C198:E203)&gt;=0,MIN(G198:G203)&gt;=0,MAX(G198:G203)&lt;1),"OK","CHECK")</f>
        <v/>
      </c>
    </row>
    <row r="229" ht="14.5" customHeight="1"/>
    <row r="230" ht="43.5" customHeight="1">
      <c r="A230" s="41" t="inlineStr">
        <is>
          <t>Ревизия: обязательные вводные сохранены; непроверенные налоговые и договорные допущения отмечены. Показатели без финансирования могут быть отрицательными.</t>
        </is>
      </c>
    </row>
    <row r="231" ht="14.5" customHeight="1"/>
    <row r="232" ht="14.5" customHeight="1">
      <c r="A232" s="257" t="inlineStr">
        <is>
          <t>12. Настройки ревизии и чувствительности</t>
        </is>
      </c>
    </row>
    <row r="233" outlineLevel="1" ht="14.5" customHeight="1">
      <c r="A233" s="2" t="inlineStr">
        <is>
          <t>Драйвер чувствительности</t>
        </is>
      </c>
      <c r="B233" s="317" t="inlineStr">
        <is>
          <t>Дети новых школ</t>
        </is>
      </c>
      <c r="C233" s="7" t="inlineStr">
        <is>
          <t>выбор</t>
        </is>
      </c>
      <c r="D233" s="7" t="inlineStr">
        <is>
          <t>Ревизия / ТЗ</t>
        </is>
      </c>
      <c r="E233" s="17" t="inlineStr">
        <is>
          <t>Один драйвер за раз; все шесть сохранены в списке.</t>
        </is>
      </c>
    </row>
    <row r="234" outlineLevel="1" ht="14.5" customHeight="1">
      <c r="A234" s="2" t="inlineStr">
        <is>
          <t>Чувствительность включена</t>
        </is>
      </c>
      <c r="B234" s="317" t="inlineStr">
        <is>
          <t>Да</t>
        </is>
      </c>
      <c r="C234" s="7" t="inlineStr">
        <is>
          <t>Да / Нет</t>
        </is>
      </c>
      <c r="D234" s="7" t="inlineStr">
        <is>
          <t>Ревизия / ТЗ</t>
        </is>
      </c>
      <c r="E234" s="17" t="inlineStr">
        <is>
          <t>При Нет два дополнительных расчёта не выполняются.</t>
        </is>
      </c>
    </row>
    <row r="235" outlineLevel="1" ht="14.5" customHeight="1">
      <c r="A235" s="2" t="inlineStr">
        <is>
          <t>Лаг открытия → подключения ERP</t>
        </is>
      </c>
      <c r="B235" s="318" t="n">
        <v>0</v>
      </c>
      <c r="C235" s="7" t="inlineStr">
        <is>
          <t>мес.</t>
        </is>
      </c>
      <c r="D235" s="7" t="inlineStr">
        <is>
          <t>Ревизия / ТЗ</t>
        </is>
      </c>
      <c r="E235" s="17" t="inlineStr">
        <is>
          <t>Отдельное событие; до подтверждения подключение в месяц открытия.</t>
        </is>
      </c>
    </row>
    <row r="236" outlineLevel="1" ht="14.5" customHeight="1">
      <c r="A236" s="2" t="inlineStr">
        <is>
          <t>Дети зрелой школы, база</t>
        </is>
      </c>
      <c r="B236" s="319">
        <f>SUMPRODUCT($C$263:$C$282,$G$263:$G$282)/$C$283</f>
        <v/>
      </c>
      <c r="C236" s="7" t="inlineStr">
        <is>
          <t>чел.</t>
        </is>
      </c>
      <c r="D236" s="7" t="inlineStr">
        <is>
          <t>Ревизия / ТЗ</t>
        </is>
      </c>
      <c r="E236" s="17" t="inlineStr">
        <is>
          <t>Считается по тарифной матрице ниже; множитель сценария учитывается отдельно.</t>
        </is>
      </c>
    </row>
    <row r="237" outlineLevel="1" ht="14.5" customHeight="1">
      <c r="A237" s="2" t="inlineStr">
        <is>
          <t>Минимальный остаток денег при возврате займа</t>
        </is>
      </c>
      <c r="B237" s="320" t="n">
        <v>10000000</v>
      </c>
      <c r="C237" s="7" t="inlineStr">
        <is>
          <t>₽</t>
        </is>
      </c>
      <c r="D237" s="7" t="inlineStr">
        <is>
          <t>Согласовано 11.09.2026</t>
        </is>
      </c>
      <c r="E237" s="17" t="inlineStr">
        <is>
          <t>Ниже этого остатка возврат займа клубу не платится: формула 02_Модель!93 = MAX(0; остаток − B237). Ноль означал «платим до нуля на счёте».</t>
        </is>
      </c>
    </row>
    <row r="238" outlineLevel="1" ht="14.5" customHeight="1">
      <c r="A238" s="2" t="inlineStr">
        <is>
          <t>Ограничивать возврат займа запасом</t>
        </is>
      </c>
      <c r="B238" s="317" t="inlineStr">
        <is>
          <t>Да</t>
        </is>
      </c>
      <c r="C238" s="7" t="inlineStr">
        <is>
          <t>Да / Нет</t>
        </is>
      </c>
      <c r="D238" s="7" t="inlineStr">
        <is>
          <t>Ревизия / ТЗ</t>
        </is>
      </c>
      <c r="E238" s="17" t="inlineStr">
        <is>
          <t>По п.27 ТЗ: возврат только при остатке товара не ниже цели будущих месяцев.</t>
        </is>
      </c>
    </row>
    <row r="239" outlineLevel="1" ht="14.5" customHeight="1">
      <c r="A239" s="2" t="inlineStr">
        <is>
          <t>Роялти по тарифным группам</t>
        </is>
      </c>
      <c r="B239" s="317" t="inlineStr">
        <is>
          <t>Да</t>
        </is>
      </c>
      <c r="C239" s="7" t="inlineStr">
        <is>
          <t>Да / Нет</t>
        </is>
      </c>
      <c r="D239" s="7" t="inlineStr">
        <is>
          <t>Ревизия / ТЗ</t>
        </is>
      </c>
      <c r="E239" s="17" t="inlineStr">
        <is>
          <t>Да — отдельно по 20 форматам/территориям; Нет — прежнее усреднение для сверки.</t>
        </is>
      </c>
    </row>
    <row r="240" outlineLevel="1" ht="29" customHeight="1">
      <c r="A240" s="2" t="inlineStr">
        <is>
          <t>Налог лагеря — как в файле-источнике</t>
        </is>
      </c>
      <c r="B240" s="321" t="n">
        <v>0.1</v>
      </c>
      <c r="C240" s="7" t="inlineStr">
        <is>
          <t>% оборота</t>
        </is>
      </c>
      <c r="D240" s="7" t="inlineStr">
        <is>
          <t>Ревизия / ТЗ</t>
        </is>
      </c>
      <c r="E240" s="17" t="inlineStr">
        <is>
          <t>Сохранён резерв 10% от оборота из Сокольники!C36. Это не подтверждение ставки/методики НДС.</t>
        </is>
      </c>
    </row>
    <row r="241" outlineLevel="1" ht="14.5" customHeight="1">
      <c r="A241" s="2" t="inlineStr">
        <is>
          <t>Лагеря включены</t>
        </is>
      </c>
      <c r="B241" s="317" t="inlineStr">
        <is>
          <t>Нет</t>
        </is>
      </c>
      <c r="C241" s="7" t="inlineStr">
        <is>
          <t>Да / Нет</t>
        </is>
      </c>
      <c r="D241" s="7" t="inlineStr">
        <is>
          <t>Ревизия / ТЗ</t>
        </is>
      </c>
      <c r="E241" s="17" t="inlineStr">
        <is>
          <t>Отключение лагеря обнуляет продажи, начисления и оплаты.</t>
        </is>
      </c>
    </row>
    <row r="242" outlineLevel="1" ht="14.5" customHeight="1">
      <c r="A242" s="2" t="inlineStr">
        <is>
          <t>Продажи с особым лагом маркетинга</t>
        </is>
      </c>
      <c r="B242" s="322" t="n">
        <v>46296</v>
      </c>
      <c r="C242" s="7" t="inlineStr">
        <is>
          <t>дата</t>
        </is>
      </c>
      <c r="D242" s="7" t="inlineStr">
        <is>
          <t>Ревизия / ТЗ</t>
        </is>
      </c>
      <c r="E242" s="17" t="inlineStr">
        <is>
          <t>Только октябрь 2026 оплачивается за 1 месяц.</t>
        </is>
      </c>
    </row>
    <row r="243" outlineLevel="1" ht="14.5" customHeight="1">
      <c r="A243" s="2" t="inlineStr">
        <is>
          <t>Особый лаг маркетинга</t>
        </is>
      </c>
      <c r="B243" s="318" t="n">
        <v>1</v>
      </c>
      <c r="C243" s="7" t="inlineStr">
        <is>
          <t>мес.</t>
        </is>
      </c>
      <c r="D243" s="7" t="inlineStr">
        <is>
          <t>Ревизия / ТЗ</t>
        </is>
      </c>
      <c r="E243" s="17" t="inlineStr">
        <is>
          <t>Для октября 2026; далее обычный лаг B27.</t>
        </is>
      </c>
    </row>
    <row r="244" outlineLevel="1" ht="14.5" customHeight="1">
      <c r="A244" s="2" t="inlineStr">
        <is>
          <t>Последняя дата старой ставки для продаж</t>
        </is>
      </c>
      <c r="B244" s="322" t="n">
        <v>46387</v>
      </c>
      <c r="C244" s="7" t="inlineStr">
        <is>
          <t>дата</t>
        </is>
      </c>
      <c r="D244" s="7" t="inlineStr">
        <is>
          <t>Ревизия / ТЗ</t>
        </is>
      </c>
      <c r="E244" s="17" t="inlineStr">
        <is>
          <t>6,5% по договорам до этой даты.</t>
        </is>
      </c>
    </row>
    <row r="245" outlineLevel="1" ht="14.5" customHeight="1">
      <c r="A245" s="2" t="inlineStr">
        <is>
          <t>Дата общей ставки роялти</t>
        </is>
      </c>
      <c r="B245" s="322" t="n">
        <v>47484</v>
      </c>
      <c r="C245" s="7" t="inlineStr">
        <is>
          <t>дата</t>
        </is>
      </c>
      <c r="D245" s="7" t="inlineStr">
        <is>
          <t>Ревизия / ТЗ</t>
        </is>
      </c>
      <c r="E245" s="17" t="inlineStr">
        <is>
          <t>С этой даты применяется B57 ко всем.</t>
        </is>
      </c>
    </row>
    <row r="246" outlineLevel="1" ht="14.5" customHeight="1">
      <c r="A246" s="2" t="inlineStr">
        <is>
          <t>Первая квартальная премия</t>
        </is>
      </c>
      <c r="B246" s="322" t="n">
        <v>46722</v>
      </c>
      <c r="C246" s="7" t="inlineStr">
        <is>
          <t>дата</t>
        </is>
      </c>
      <c r="D246" s="7" t="inlineStr">
        <is>
          <t>Ревизия / ТЗ</t>
        </is>
      </c>
      <c r="E246" s="17" t="inlineStr">
        <is>
          <t>За IV квартал 2027; далее март/июнь/сентябрь/декабрь.</t>
        </is>
      </c>
    </row>
    <row r="247" outlineLevel="1" ht="14.5" customHeight="1">
      <c r="A247" s="2" t="inlineStr">
        <is>
          <t>Выход офис-менеджера</t>
        </is>
      </c>
      <c r="B247" s="322" t="n">
        <v>46388</v>
      </c>
      <c r="C247" s="7" t="inlineStr">
        <is>
          <t>дата</t>
        </is>
      </c>
      <c r="D247" s="7" t="inlineStr">
        <is>
          <t>Ревизия / ТЗ</t>
        </is>
      </c>
      <c r="E247" s="17" t="inlineStr">
        <is>
          <t>70 тыс. net по B133.</t>
        </is>
      </c>
    </row>
    <row r="248" outlineLevel="1" ht="14.5" customHeight="1">
      <c r="A248" s="2" t="inlineStr">
        <is>
          <t>Выход SMM-специалиста</t>
        </is>
      </c>
      <c r="B248" s="322" t="n">
        <v>46631</v>
      </c>
      <c r="C248" s="7" t="inlineStr">
        <is>
          <t>дата</t>
        </is>
      </c>
      <c r="D248" s="7" t="inlineStr">
        <is>
          <t>Ревизия / ТЗ</t>
        </is>
      </c>
      <c r="E248" s="17" t="inlineStr">
        <is>
          <t>100 тыс. net по B134.</t>
        </is>
      </c>
    </row>
    <row r="249" outlineLevel="1" ht="14.5" customHeight="1">
      <c r="A249" s="2" t="inlineStr">
        <is>
          <t>Повышение оклада генерального директора</t>
        </is>
      </c>
      <c r="B249" s="322" t="n">
        <v>46753</v>
      </c>
      <c r="C249" s="7" t="inlineStr">
        <is>
          <t>дата</t>
        </is>
      </c>
      <c r="D249" s="7" t="inlineStr">
        <is>
          <t>Ревизия / ТЗ</t>
        </is>
      </c>
      <c r="E249" s="17" t="inlineStr">
        <is>
          <t>Повышение участвует в премии при Да у ГД.</t>
        </is>
      </c>
    </row>
    <row r="250" outlineLevel="1" ht="14.5" customHeight="1">
      <c r="A250" s="2" t="inlineStr">
        <is>
          <t>Повышение ежемесячной премии развития</t>
        </is>
      </c>
      <c r="B250" s="322" t="n">
        <v>46388</v>
      </c>
      <c r="C250" s="7" t="inlineStr">
        <is>
          <t>дата</t>
        </is>
      </c>
      <c r="D250" s="7" t="inlineStr">
        <is>
          <t>Ревизия / ТЗ</t>
        </is>
      </c>
      <c r="E250" s="17" t="inlineStr">
        <is>
          <t>С B123 на B124.</t>
        </is>
      </c>
    </row>
    <row r="251" outlineLevel="1" ht="14.5" customHeight="1">
      <c r="A251" s="2" t="inlineStr">
        <is>
          <t>Первая общая индексация окладов</t>
        </is>
      </c>
      <c r="B251" s="322" t="n">
        <v>46631</v>
      </c>
      <c r="C251" s="7" t="inlineStr">
        <is>
          <t>дата</t>
        </is>
      </c>
      <c r="D251" s="7" t="inlineStr">
        <is>
          <t>Ревизия / ТЗ</t>
        </is>
      </c>
      <c r="E251" s="17" t="inlineStr">
        <is>
          <t>Далее каждый сентябрь.</t>
        </is>
      </c>
    </row>
    <row r="252" outlineLevel="1" ht="14.5" customHeight="1">
      <c r="A252" s="2" t="inlineStr">
        <is>
          <t>Месяц проведения лагерей</t>
        </is>
      </c>
      <c r="B252" s="323" t="n">
        <v>6</v>
      </c>
      <c r="C252" s="7" t="inlineStr">
        <is>
          <t>1–12</t>
        </is>
      </c>
      <c r="D252" s="7" t="inlineStr">
        <is>
          <t>Ревизия / ТЗ</t>
        </is>
      </c>
      <c r="E252" s="17" t="inlineStr">
        <is>
          <t>Июнь по ТЗ.</t>
        </is>
      </c>
    </row>
    <row r="253" outlineLevel="1" ht="14.5" customHeight="1">
      <c r="A253" s="2" t="inlineStr">
        <is>
          <t>Первый месяц продаж лагерей</t>
        </is>
      </c>
      <c r="B253" s="323" t="n">
        <v>2</v>
      </c>
      <c r="C253" s="7" t="inlineStr">
        <is>
          <t>1–12</t>
        </is>
      </c>
      <c r="D253" s="7" t="inlineStr">
        <is>
          <t>Ревизия / ТЗ</t>
        </is>
      </c>
      <c r="E253" s="17" t="inlineStr">
        <is>
          <t>Февраль; равномерно до B254.</t>
        </is>
      </c>
    </row>
    <row r="254" outlineLevel="1" ht="14.5" customHeight="1">
      <c r="A254" s="2" t="inlineStr">
        <is>
          <t>Последний месяц продаж лагерей</t>
        </is>
      </c>
      <c r="B254" s="323" t="n">
        <v>5</v>
      </c>
      <c r="C254" s="7" t="inlineStr">
        <is>
          <t>1–12</t>
        </is>
      </c>
      <c r="D254" s="7" t="inlineStr">
        <is>
          <t>Ревизия / ТЗ</t>
        </is>
      </c>
      <c r="E254" s="17" t="inlineStr">
        <is>
          <t>Май включительно.</t>
        </is>
      </c>
    </row>
    <row r="255" outlineLevel="1" ht="14.5" customHeight="1">
      <c r="A255" s="2" t="inlineStr">
        <is>
          <t>Замена директора маркетинга</t>
        </is>
      </c>
      <c r="B255" s="322" t="n">
        <v>46296</v>
      </c>
      <c r="C255" s="7" t="inlineStr">
        <is>
          <t>дата</t>
        </is>
      </c>
      <c r="D255" s="7" t="inlineStr">
        <is>
          <t>Ревизия / ТЗ</t>
        </is>
      </c>
      <c r="E255" s="17" t="inlineStr">
        <is>
          <t>Разовая комиссия B121.</t>
        </is>
      </c>
    </row>
    <row r="256" outlineLevel="1" ht="14.5" customHeight="1">
      <c r="A256" s="2" t="inlineStr">
        <is>
          <t>Месяц резерва кадровой ротации</t>
        </is>
      </c>
      <c r="B256" s="323" t="n">
        <v>9</v>
      </c>
      <c r="C256" s="7" t="inlineStr">
        <is>
          <t>1–12</t>
        </is>
      </c>
      <c r="D256" s="7" t="inlineStr">
        <is>
          <t>Ревизия / ТЗ</t>
        </is>
      </c>
      <c r="E256" s="17" t="inlineStr">
        <is>
          <t>Раз в год; сумма B122.</t>
        </is>
      </c>
    </row>
    <row r="257" outlineLevel="1" ht="14.5" customHeight="1">
      <c r="A257" t="inlineStr">
        <is>
          <t>Номер выбранного драйвера</t>
        </is>
      </c>
      <c r="B257" s="324">
        <f>IF(B233=A198,1,IF(B233=A199,2,IF(B233=A200,3,IF(B233=A201,4,IF(B233=A202,5,6)))))</f>
        <v/>
      </c>
      <c r="E257" s="17" t="n"/>
    </row>
    <row r="258" outlineLevel="1" ht="14.5" customHeight="1">
      <c r="A258" t="inlineStr">
        <is>
          <t>Шаг выбранной чувствительности</t>
        </is>
      </c>
      <c r="B258" s="325">
        <f>INDEX(G198:G203,B257,1)</f>
        <v/>
      </c>
      <c r="E258" s="17" t="n"/>
    </row>
    <row r="259" ht="14.5" customHeight="1"/>
    <row r="260" ht="14.5" customHeight="1">
      <c r="A260" s="257" t="inlineStr">
        <is>
          <t>13. Тарифные группы — исходный микс, без усреднения роялти</t>
        </is>
      </c>
    </row>
    <row r="261" outlineLevel="1" ht="14.5" customHeight="1"/>
    <row r="262" outlineLevel="1" ht="14.5" customHeight="1">
      <c r="A262" s="87" t="inlineStr">
        <is>
          <t>Территория</t>
        </is>
      </c>
      <c r="B262" s="87" t="inlineStr">
        <is>
          <t>Формат</t>
        </is>
      </c>
      <c r="C262" s="87" t="inlineStr">
        <is>
          <t>Вес</t>
        </is>
      </c>
      <c r="D262" s="87" t="inlineStr">
        <is>
          <t>Паушальный, с НДС</t>
        </is>
      </c>
      <c r="E262" s="87" t="inlineStr">
        <is>
          <t>Дети 1–12</t>
        </is>
      </c>
      <c r="F262" s="87" t="inlineStr">
        <is>
          <t>Дети 13–24</t>
        </is>
      </c>
      <c r="G262" s="87" t="inlineStr">
        <is>
          <t>Дети зрелые</t>
        </is>
      </c>
      <c r="H262" s="87" t="inlineStr">
        <is>
          <t>Абонемент</t>
        </is>
      </c>
      <c r="I262" s="87" t="inlineStr">
        <is>
          <t>Минимум 1-й год</t>
        </is>
      </c>
      <c r="J262" s="87" t="inlineStr">
        <is>
          <t>Минимум 2-й+</t>
        </is>
      </c>
      <c r="K262" s="87" t="inlineStr">
        <is>
          <t>Источник</t>
        </is>
      </c>
    </row>
    <row r="263" outlineLevel="1" ht="14.5" customHeight="1">
      <c r="A263" s="17" t="inlineStr">
        <is>
          <t>Москва</t>
        </is>
      </c>
      <c r="B263" s="17" t="inlineStr">
        <is>
          <t>Детский сад</t>
        </is>
      </c>
      <c r="C263" s="326" t="n">
        <v>0.005000000000000001</v>
      </c>
      <c r="D263" s="327" t="n">
        <v>890000</v>
      </c>
      <c r="E263" s="328" t="n">
        <v>25</v>
      </c>
      <c r="F263" s="328" t="n">
        <v>37.5</v>
      </c>
      <c r="G263" s="328" t="n">
        <v>37.5</v>
      </c>
      <c r="H263" s="327" t="n">
        <v>6000</v>
      </c>
      <c r="I263" s="327" t="n">
        <v>20000</v>
      </c>
      <c r="J263" s="327" t="n">
        <v>35000</v>
      </c>
      <c r="K263" s="17" t="inlineStr">
        <is>
          <t>V5.1: Типы_продукта!A14:M14; Микс_продаж!B5; B14</t>
        </is>
      </c>
    </row>
    <row r="264" outlineLevel="1" ht="14.5" customHeight="1">
      <c r="A264" s="17" t="inlineStr">
        <is>
          <t>Москва</t>
        </is>
      </c>
      <c r="B264" s="17" t="inlineStr">
        <is>
          <t>Школа</t>
        </is>
      </c>
      <c r="C264" s="326" t="n">
        <v>0.02</v>
      </c>
      <c r="D264" s="327" t="n">
        <v>990000</v>
      </c>
      <c r="E264" s="328" t="n">
        <v>75</v>
      </c>
      <c r="F264" s="328" t="n">
        <v>112.5</v>
      </c>
      <c r="G264" s="328" t="n">
        <v>112.5</v>
      </c>
      <c r="H264" s="327" t="n">
        <v>10500</v>
      </c>
      <c r="I264" s="327" t="n">
        <v>20000</v>
      </c>
      <c r="J264" s="327" t="n">
        <v>90000</v>
      </c>
      <c r="K264" s="17" t="inlineStr">
        <is>
          <t>V5.1: Типы_продукта!A15:M15; Микс_продаж!B5; C14</t>
        </is>
      </c>
    </row>
    <row r="265" outlineLevel="1" ht="14.5" customHeight="1">
      <c r="A265" s="17" t="inlineStr">
        <is>
          <t>Москва</t>
        </is>
      </c>
      <c r="B265" s="17" t="inlineStr">
        <is>
          <t>ФОК/Стадион</t>
        </is>
      </c>
      <c r="C265" s="326" t="n">
        <v>0.05066666666666667</v>
      </c>
      <c r="D265" s="327" t="n">
        <v>1290000</v>
      </c>
      <c r="E265" s="328" t="n">
        <v>87.5</v>
      </c>
      <c r="F265" s="328" t="n">
        <v>187.5</v>
      </c>
      <c r="G265" s="328" t="n">
        <v>187.5</v>
      </c>
      <c r="H265" s="327" t="n">
        <v>11500</v>
      </c>
      <c r="I265" s="327" t="n">
        <v>20000</v>
      </c>
      <c r="J265" s="327" t="n">
        <v>55000</v>
      </c>
      <c r="K265" s="17" t="inlineStr">
        <is>
          <t>V5.1: Типы_продукта!A16:M16; Микс_продаж!B5; D14</t>
        </is>
      </c>
    </row>
    <row r="266" outlineLevel="1" ht="14.5" customHeight="1">
      <c r="A266" s="17" t="inlineStr">
        <is>
          <t>Москва</t>
        </is>
      </c>
      <c r="B266" s="17" t="inlineStr">
        <is>
          <t>Манеж</t>
        </is>
      </c>
      <c r="C266" s="326" t="n">
        <v>0.02433333333333333</v>
      </c>
      <c r="D266" s="327" t="n">
        <v>1490000</v>
      </c>
      <c r="E266" s="328" t="n">
        <v>87.5</v>
      </c>
      <c r="F266" s="328" t="n">
        <v>250</v>
      </c>
      <c r="G266" s="328" t="n">
        <v>250</v>
      </c>
      <c r="H266" s="327" t="n">
        <v>14000</v>
      </c>
      <c r="I266" s="327" t="n">
        <v>20000</v>
      </c>
      <c r="J266" s="327" t="n">
        <v>90000</v>
      </c>
      <c r="K266" s="17" t="inlineStr">
        <is>
          <t>V5.1: Типы_продукта!A17:M17; Микс_продаж!B5; E14</t>
        </is>
      </c>
    </row>
    <row r="267" outlineLevel="1" ht="14.5" customHeight="1">
      <c r="A267" s="17" t="inlineStr">
        <is>
          <t>1 000 000+ чел. + МО</t>
        </is>
      </c>
      <c r="B267" s="17" t="inlineStr">
        <is>
          <t>Детский сад</t>
        </is>
      </c>
      <c r="C267" s="326" t="n">
        <v>0.015</v>
      </c>
      <c r="D267" s="327" t="n">
        <v>690000</v>
      </c>
      <c r="E267" s="328" t="n">
        <v>18.75</v>
      </c>
      <c r="F267" s="328" t="n">
        <v>31.25</v>
      </c>
      <c r="G267" s="328" t="n">
        <v>31.25</v>
      </c>
      <c r="H267" s="327" t="n">
        <v>4200</v>
      </c>
      <c r="I267" s="327" t="n">
        <v>12000</v>
      </c>
      <c r="J267" s="327" t="n">
        <v>20000</v>
      </c>
      <c r="K267" s="17" t="inlineStr">
        <is>
          <t>V5.1: Типы_продукта!A18:M18; Микс_продаж!B6; B15</t>
        </is>
      </c>
    </row>
    <row r="268" outlineLevel="1" ht="14.5" customHeight="1">
      <c r="A268" s="17" t="inlineStr">
        <is>
          <t>1 000 000+ чел. + МО</t>
        </is>
      </c>
      <c r="B268" s="17" t="inlineStr">
        <is>
          <t>Школа</t>
        </is>
      </c>
      <c r="C268" s="326" t="n">
        <v>0.06</v>
      </c>
      <c r="D268" s="327" t="n">
        <v>890000</v>
      </c>
      <c r="E268" s="328" t="n">
        <v>75</v>
      </c>
      <c r="F268" s="328" t="n">
        <v>112.5</v>
      </c>
      <c r="G268" s="328" t="n">
        <v>112.5</v>
      </c>
      <c r="H268" s="327" t="n">
        <v>6750</v>
      </c>
      <c r="I268" s="327" t="n">
        <v>20000</v>
      </c>
      <c r="J268" s="327" t="n">
        <v>60000</v>
      </c>
      <c r="K268" s="17" t="inlineStr">
        <is>
          <t>V5.1: Типы_продукта!A19:M19; Микс_продаж!B6; C15</t>
        </is>
      </c>
    </row>
    <row r="269" outlineLevel="1" ht="14.5" customHeight="1">
      <c r="A269" s="17" t="inlineStr">
        <is>
          <t>1 000 000+ чел. + МО</t>
        </is>
      </c>
      <c r="B269" s="17" t="inlineStr">
        <is>
          <t>ФОК/Стадион</t>
        </is>
      </c>
      <c r="C269" s="326" t="n">
        <v>0.152</v>
      </c>
      <c r="D269" s="327" t="n">
        <v>1190000</v>
      </c>
      <c r="E269" s="328" t="n">
        <v>87.5</v>
      </c>
      <c r="F269" s="328" t="n">
        <v>187.5</v>
      </c>
      <c r="G269" s="328" t="n">
        <v>187.5</v>
      </c>
      <c r="H269" s="327" t="n">
        <v>7250</v>
      </c>
      <c r="I269" s="327" t="n">
        <v>20000</v>
      </c>
      <c r="J269" s="327" t="n">
        <v>35000</v>
      </c>
      <c r="K269" s="17" t="inlineStr">
        <is>
          <t>V5.1: Типы_продукта!A20:M20; Микс_продаж!B6; D15</t>
        </is>
      </c>
    </row>
    <row r="270" outlineLevel="1" ht="14.5" customHeight="1">
      <c r="A270" s="17" t="inlineStr">
        <is>
          <t>1 000 000+ чел. + МО</t>
        </is>
      </c>
      <c r="B270" s="17" t="inlineStr">
        <is>
          <t>Манеж</t>
        </is>
      </c>
      <c r="C270" s="326" t="n">
        <v>0.07299999999999998</v>
      </c>
      <c r="D270" s="327" t="n">
        <v>1290000</v>
      </c>
      <c r="E270" s="328" t="n">
        <v>87.5</v>
      </c>
      <c r="F270" s="328" t="n">
        <v>250</v>
      </c>
      <c r="G270" s="328" t="n">
        <v>250</v>
      </c>
      <c r="H270" s="327" t="n">
        <v>7250</v>
      </c>
      <c r="I270" s="327" t="n">
        <v>20000</v>
      </c>
      <c r="J270" s="327" t="n">
        <v>45000</v>
      </c>
      <c r="K270" s="17" t="inlineStr">
        <is>
          <t>V5.1: Типы_продукта!A21:M21; Микс_продаж!B6; E15</t>
        </is>
      </c>
    </row>
    <row r="271" outlineLevel="1" ht="14.5" customHeight="1">
      <c r="A271" s="17" t="inlineStr">
        <is>
          <t>от 500к до 1 млн чел.</t>
        </is>
      </c>
      <c r="B271" s="17" t="inlineStr">
        <is>
          <t>Детский сад</t>
        </is>
      </c>
      <c r="C271" s="326" t="n">
        <v>0.0125</v>
      </c>
      <c r="D271" s="327" t="n">
        <v>590000</v>
      </c>
      <c r="E271" s="328" t="n">
        <v>12.5</v>
      </c>
      <c r="F271" s="328" t="n">
        <v>25</v>
      </c>
      <c r="G271" s="328" t="n">
        <v>25</v>
      </c>
      <c r="H271" s="327" t="n">
        <v>3800</v>
      </c>
      <c r="I271" s="327" t="n">
        <v>7000</v>
      </c>
      <c r="J271" s="327" t="n">
        <v>14000</v>
      </c>
      <c r="K271" s="17" t="inlineStr">
        <is>
          <t>V5.1: Типы_продукта!A22:M22; Микс_продаж!B7; B16</t>
        </is>
      </c>
    </row>
    <row r="272" outlineLevel="1" ht="14.5" customHeight="1">
      <c r="A272" s="17" t="inlineStr">
        <is>
          <t>от 500к до 1 млн чел.</t>
        </is>
      </c>
      <c r="B272" s="17" t="inlineStr">
        <is>
          <t>Школа</t>
        </is>
      </c>
      <c r="C272" s="326" t="n">
        <v>0.05</v>
      </c>
      <c r="D272" s="327" t="n">
        <v>790000</v>
      </c>
      <c r="E272" s="328" t="n">
        <v>75</v>
      </c>
      <c r="F272" s="328" t="n">
        <v>112.5</v>
      </c>
      <c r="G272" s="328" t="n">
        <v>112.5</v>
      </c>
      <c r="H272" s="327" t="n">
        <v>4900</v>
      </c>
      <c r="I272" s="327" t="n">
        <v>20000</v>
      </c>
      <c r="J272" s="327" t="n">
        <v>45000</v>
      </c>
      <c r="K272" s="17" t="inlineStr">
        <is>
          <t>V5.1: Типы_продукта!A23:M23; Микс_продаж!B7; C16</t>
        </is>
      </c>
    </row>
    <row r="273" outlineLevel="1" ht="14.5" customHeight="1">
      <c r="A273" s="17" t="inlineStr">
        <is>
          <t>от 500к до 1 млн чел.</t>
        </is>
      </c>
      <c r="B273" s="17" t="inlineStr">
        <is>
          <t>ФОК/Стадион</t>
        </is>
      </c>
      <c r="C273" s="326" t="n">
        <v>0.1266666666666667</v>
      </c>
      <c r="D273" s="327" t="n">
        <v>890000</v>
      </c>
      <c r="E273" s="328" t="n">
        <v>87.5</v>
      </c>
      <c r="F273" s="328" t="n">
        <v>187.5</v>
      </c>
      <c r="G273" s="328" t="n">
        <v>187.5</v>
      </c>
      <c r="H273" s="327" t="n">
        <v>5750</v>
      </c>
      <c r="I273" s="327" t="n">
        <v>20000</v>
      </c>
      <c r="J273" s="327" t="n">
        <v>30000</v>
      </c>
      <c r="K273" s="17" t="inlineStr">
        <is>
          <t>V5.1: Типы_продукта!A24:M24; Микс_продаж!B7; D16</t>
        </is>
      </c>
    </row>
    <row r="274" outlineLevel="1" ht="14.5" customHeight="1">
      <c r="A274" s="17" t="inlineStr">
        <is>
          <t>от 500к до 1 млн чел.</t>
        </is>
      </c>
      <c r="B274" s="17" t="inlineStr">
        <is>
          <t>Манеж</t>
        </is>
      </c>
      <c r="C274" s="326" t="n">
        <v>0.06083333333333332</v>
      </c>
      <c r="D274" s="327" t="n">
        <v>990000</v>
      </c>
      <c r="E274" s="328" t="n">
        <v>87.5</v>
      </c>
      <c r="F274" s="328" t="n">
        <v>250</v>
      </c>
      <c r="G274" s="328" t="n">
        <v>250</v>
      </c>
      <c r="H274" s="327" t="n">
        <v>5750</v>
      </c>
      <c r="I274" s="327" t="n">
        <v>20000</v>
      </c>
      <c r="J274" s="327" t="n">
        <v>35000</v>
      </c>
      <c r="K274" s="17" t="inlineStr">
        <is>
          <t>V5.1: Типы_продукта!A25:M25; Микс_продаж!B7; E16</t>
        </is>
      </c>
    </row>
    <row r="275" outlineLevel="1" ht="14.5" customHeight="1">
      <c r="A275" s="17" t="inlineStr">
        <is>
          <t>от 100к до 500к чел.</t>
        </is>
      </c>
      <c r="B275" s="17" t="inlineStr">
        <is>
          <t>Детский сад</t>
        </is>
      </c>
      <c r="C275" s="326" t="n">
        <v>0.0125</v>
      </c>
      <c r="D275" s="327" t="n">
        <v>490000</v>
      </c>
      <c r="E275" s="328" t="n">
        <v>12.5</v>
      </c>
      <c r="F275" s="328" t="n">
        <v>25</v>
      </c>
      <c r="G275" s="328" t="n">
        <v>25</v>
      </c>
      <c r="H275" s="327" t="n">
        <v>3300</v>
      </c>
      <c r="I275" s="327" t="n">
        <v>6000</v>
      </c>
      <c r="J275" s="327" t="n">
        <v>12000</v>
      </c>
      <c r="K275" s="17" t="inlineStr">
        <is>
          <t>V5.1: Типы_продукта!A26:M26; Микс_продаж!B8; B17</t>
        </is>
      </c>
    </row>
    <row r="276" outlineLevel="1" ht="14.5" customHeight="1">
      <c r="A276" s="17" t="inlineStr">
        <is>
          <t>от 100к до 500к чел.</t>
        </is>
      </c>
      <c r="B276" s="17" t="inlineStr">
        <is>
          <t>Школа</t>
        </is>
      </c>
      <c r="C276" s="326" t="n">
        <v>0.05</v>
      </c>
      <c r="D276" s="327" t="n">
        <v>690000</v>
      </c>
      <c r="E276" s="328" t="n">
        <v>60</v>
      </c>
      <c r="F276" s="328" t="n">
        <v>90</v>
      </c>
      <c r="G276" s="328" t="n">
        <v>90</v>
      </c>
      <c r="H276" s="327" t="n">
        <v>4650</v>
      </c>
      <c r="I276" s="327" t="n">
        <v>20000</v>
      </c>
      <c r="J276" s="327" t="n">
        <v>30000</v>
      </c>
      <c r="K276" s="17" t="inlineStr">
        <is>
          <t>V5.1: Типы_продукта!A27:M27; Микс_продаж!B8; C17</t>
        </is>
      </c>
    </row>
    <row r="277" outlineLevel="1" ht="14.5" customHeight="1">
      <c r="A277" s="17" t="inlineStr">
        <is>
          <t>от 100к до 500к чел.</t>
        </is>
      </c>
      <c r="B277" s="17" t="inlineStr">
        <is>
          <t>ФОК/Стадион</t>
        </is>
      </c>
      <c r="C277" s="326" t="n">
        <v>0.1266666666666667</v>
      </c>
      <c r="D277" s="327" t="n">
        <v>790000</v>
      </c>
      <c r="E277" s="328" t="n">
        <v>70</v>
      </c>
      <c r="F277" s="328" t="n">
        <v>150</v>
      </c>
      <c r="G277" s="328" t="n">
        <v>150</v>
      </c>
      <c r="H277" s="327" t="n">
        <v>5750</v>
      </c>
      <c r="I277" s="327" t="n">
        <v>20000</v>
      </c>
      <c r="J277" s="327" t="n">
        <v>25000</v>
      </c>
      <c r="K277" s="17" t="inlineStr">
        <is>
          <t>V5.1: Типы_продукта!A28:M28; Микс_продаж!B8; D17</t>
        </is>
      </c>
    </row>
    <row r="278" outlineLevel="1" ht="14.5" customHeight="1">
      <c r="A278" s="17" t="inlineStr">
        <is>
          <t>от 100к до 500к чел.</t>
        </is>
      </c>
      <c r="B278" s="17" t="inlineStr">
        <is>
          <t>Манеж</t>
        </is>
      </c>
      <c r="C278" s="326" t="n">
        <v>0.06083333333333332</v>
      </c>
      <c r="D278" s="327" t="n">
        <v>890000</v>
      </c>
      <c r="E278" s="328" t="n">
        <v>70</v>
      </c>
      <c r="F278" s="328" t="n">
        <v>200</v>
      </c>
      <c r="G278" s="328" t="n">
        <v>200</v>
      </c>
      <c r="H278" s="327" t="n">
        <v>5750</v>
      </c>
      <c r="I278" s="327" t="n">
        <v>20000</v>
      </c>
      <c r="J278" s="327" t="n">
        <v>30000</v>
      </c>
      <c r="K278" s="17" t="inlineStr">
        <is>
          <t>V5.1: Типы_продукта!A29:M29; Микс_продаж!B8; E17</t>
        </is>
      </c>
    </row>
    <row r="279" outlineLevel="1" ht="14.5" customHeight="1">
      <c r="A279" s="17" t="inlineStr">
        <is>
          <t>до 100к чел.</t>
        </is>
      </c>
      <c r="B279" s="17" t="inlineStr">
        <is>
          <t>Детский сад</t>
        </is>
      </c>
      <c r="C279" s="326" t="n">
        <v>0.005000000000000001</v>
      </c>
      <c r="D279" s="327" t="n">
        <v>390000</v>
      </c>
      <c r="E279" s="328" t="n">
        <v>12.5</v>
      </c>
      <c r="F279" s="328" t="n">
        <v>18.75</v>
      </c>
      <c r="G279" s="328" t="n">
        <v>18.75</v>
      </c>
      <c r="H279" s="327" t="n">
        <v>3000</v>
      </c>
      <c r="I279" s="327" t="n">
        <v>5000</v>
      </c>
      <c r="J279" s="327" t="n">
        <v>8000</v>
      </c>
      <c r="K279" s="17" t="inlineStr">
        <is>
          <t>V5.1: Типы_продукта!A30:M30; Микс_продаж!B9; B18</t>
        </is>
      </c>
    </row>
    <row r="280" outlineLevel="1" ht="14.5" customHeight="1">
      <c r="A280" s="17" t="inlineStr">
        <is>
          <t>до 100к чел.</t>
        </is>
      </c>
      <c r="B280" s="17" t="inlineStr">
        <is>
          <t>Школа</t>
        </is>
      </c>
      <c r="C280" s="326" t="n">
        <v>0.02</v>
      </c>
      <c r="D280" s="327" t="n">
        <v>490000</v>
      </c>
      <c r="E280" s="328" t="n">
        <v>52.5</v>
      </c>
      <c r="F280" s="328" t="n">
        <v>78.75</v>
      </c>
      <c r="G280" s="328" t="n">
        <v>78.75</v>
      </c>
      <c r="H280" s="327" t="n">
        <v>4000</v>
      </c>
      <c r="I280" s="327" t="n">
        <v>20000</v>
      </c>
      <c r="J280" s="327" t="n">
        <v>25000</v>
      </c>
      <c r="K280" s="17" t="inlineStr">
        <is>
          <t>V5.1: Типы_продукта!A31:M31; Микс_продаж!B9; C18</t>
        </is>
      </c>
    </row>
    <row r="281" outlineLevel="1" ht="14.5" customHeight="1">
      <c r="A281" s="17" t="inlineStr">
        <is>
          <t>до 100к чел.</t>
        </is>
      </c>
      <c r="B281" s="17" t="inlineStr">
        <is>
          <t>ФОК/Стадион</t>
        </is>
      </c>
      <c r="C281" s="326" t="n">
        <v>0.05066666666666667</v>
      </c>
      <c r="D281" s="327" t="n">
        <v>590000</v>
      </c>
      <c r="E281" s="328" t="n">
        <v>62.5</v>
      </c>
      <c r="F281" s="328" t="n">
        <v>125</v>
      </c>
      <c r="G281" s="328" t="n">
        <v>125</v>
      </c>
      <c r="H281" s="327" t="n">
        <v>4500</v>
      </c>
      <c r="I281" s="327" t="n">
        <v>20000</v>
      </c>
      <c r="J281" s="327" t="n">
        <v>25000</v>
      </c>
      <c r="K281" s="17" t="inlineStr">
        <is>
          <t>V5.1: Типы_продукта!A32:M32; Микс_продаж!B9; D18</t>
        </is>
      </c>
    </row>
    <row r="282" outlineLevel="1" ht="14.5" customHeight="1">
      <c r="A282" s="17" t="inlineStr">
        <is>
          <t>до 100к чел.</t>
        </is>
      </c>
      <c r="B282" s="17" t="inlineStr">
        <is>
          <t>Манеж</t>
        </is>
      </c>
      <c r="C282" s="326" t="n">
        <v>0.02433333333333333</v>
      </c>
      <c r="D282" s="327" t="n">
        <v>690000</v>
      </c>
      <c r="E282" s="328" t="n">
        <v>62.5</v>
      </c>
      <c r="F282" s="328" t="n">
        <v>175</v>
      </c>
      <c r="G282" s="328" t="n">
        <v>175</v>
      </c>
      <c r="H282" s="327" t="n">
        <v>4500</v>
      </c>
      <c r="I282" s="327" t="n">
        <v>20000</v>
      </c>
      <c r="J282" s="327" t="n">
        <v>30000</v>
      </c>
      <c r="K282" s="17" t="inlineStr">
        <is>
          <t>V5.1: Типы_продукта!A33:M33; Микс_продаж!B9; E18</t>
        </is>
      </c>
    </row>
    <row r="283" outlineLevel="1" ht="14.5" customHeight="1">
      <c r="A283" t="inlineStr">
        <is>
          <t>Сумма весов</t>
        </is>
      </c>
      <c r="C283" s="325">
        <f>SUM(C263:C282)</f>
        <v/>
      </c>
    </row>
    <row r="284" ht="14.5" customHeight="1"/>
    <row r="285" ht="14.5" customHeight="1">
      <c r="A285" s="311" t="inlineStr">
        <is>
          <t>14. CAPEX — вложения в бизнес</t>
        </is>
      </c>
    </row>
    <row r="286" outlineLevel="1" ht="14.5" customHeight="1">
      <c r="A286" s="2" t="inlineStr">
        <is>
          <t>Поддерживающий CAPEX</t>
        </is>
      </c>
      <c r="B286" s="329" t="n">
        <v>0.01</v>
      </c>
      <c r="C286" s="7" t="inlineStr">
        <is>
          <t>%</t>
        </is>
      </c>
      <c r="D286" s="7" t="inlineStr">
        <is>
          <t>v4: Допущения!B42</t>
        </is>
      </c>
      <c r="E286" s="17" t="inlineStr">
        <is>
          <t>1% выручки с НДС — сохранено правило v4; база не заменена молча на чистую выручку.</t>
        </is>
      </c>
    </row>
    <row r="287" outlineLevel="1" ht="14.5" customHeight="1">
      <c r="A287" s="2" t="inlineStr">
        <is>
          <t>Разовый CAPEX</t>
        </is>
      </c>
      <c r="B287" s="330" t="n">
        <v>1000</v>
      </c>
      <c r="C287" s="7" t="inlineStr">
        <is>
          <t>₽</t>
        </is>
      </c>
      <c r="D287" s="7" t="inlineStr">
        <is>
          <t>v4: Допущения!B41</t>
        </is>
      </c>
      <c r="E287" s="17" t="inlineStr">
        <is>
          <t>Как в приложенной v4: 1 000 ₽ разово в первом месяце прогноза.</t>
        </is>
      </c>
    </row>
    <row r="288" outlineLevel="1" ht="14.5" customHeight="1">
      <c r="A288" s="2" t="inlineStr">
        <is>
          <t>База поддерживающего CAPEX</t>
        </is>
      </c>
      <c r="B288" s="331" t="inlineStr">
        <is>
          <t>С НДС</t>
        </is>
      </c>
      <c r="C288" s="7" t="inlineStr"/>
      <c r="D288" s="7" t="inlineStr">
        <is>
          <t>v4: Допущения!B41:B42</t>
        </is>
      </c>
      <c r="E288" s="17" t="inlineStr">
        <is>
          <t>По умолчанию С НДС, как в v4. Начисленная выручка всех направлений, не авансы.</t>
        </is>
      </c>
    </row>
    <row r="289" outlineLevel="1" ht="14.5" customHeight="1">
      <c r="A289" s="2" t="inlineStr">
        <is>
          <t>Дата разового CAPEX</t>
        </is>
      </c>
      <c r="B289" s="332">
        <f>$B$7</f>
        <v/>
      </c>
      <c r="C289" s="7" t="inlineStr"/>
      <c r="D289" s="7" t="inlineStr">
        <is>
          <t>v4: Допущения!B41:B42</t>
        </is>
      </c>
      <c r="E289" s="17" t="inlineStr">
        <is>
          <t>Первый месяц прогноза, как в v4. Дату можно изменить.</t>
        </is>
      </c>
    </row>
    <row r="290" outlineLevel="1" ht="14.5" customHeight="1">
      <c r="A290" s="2" t="inlineStr">
        <is>
          <t>CAPEX включён</t>
        </is>
      </c>
      <c r="B290" s="331" t="inlineStr">
        <is>
          <t>Да</t>
        </is>
      </c>
      <c r="C290" s="7" t="inlineStr"/>
      <c r="D290" s="7" t="inlineStr">
        <is>
          <t>v4: Допущения!B41:B42</t>
        </is>
      </c>
      <c r="E290" s="17" t="inlineStr">
        <is>
          <t>Да — CAPEX вычитается из денег до погашения займа. Нет — расчёт без CAPEX.</t>
        </is>
      </c>
    </row>
    <row r="291" ht="14.5" customHeight="1"/>
    <row r="292" ht="14.5" customHeight="1">
      <c r="A292" s="311" t="inlineStr">
        <is>
          <t>Постепенный набор, индексация и повтор формы</t>
        </is>
      </c>
    </row>
    <row r="293" outlineLevel="1" ht="14.5" customHeight="1">
      <c r="A293" s="17" t="inlineStr">
        <is>
          <t>Первая индексация цен / OPEX</t>
        </is>
      </c>
      <c r="B293" s="333" t="n">
        <v>46539</v>
      </c>
      <c r="C293" s="17" t="inlineStr">
        <is>
          <t>дата</t>
        </is>
      </c>
      <c r="D293" s="17" t="inlineStr">
        <is>
          <t>Подтверждено 09.09.2026</t>
        </is>
      </c>
      <c r="E293" s="17" t="inlineStr">
        <is>
          <t>Ежегодно в июне, как в v4; зарплаты отдельно в сентябре.</t>
        </is>
      </c>
    </row>
    <row r="294" outlineLevel="1" ht="29" customHeight="1">
      <c r="A294" s="17" t="inlineStr">
        <is>
          <t>Индексация вне ФОТ включена</t>
        </is>
      </c>
      <c r="B294" s="334" t="inlineStr">
        <is>
          <t>Да</t>
        </is>
      </c>
      <c r="C294" s="17" t="inlineStr">
        <is>
          <t>Да / Нет</t>
        </is>
      </c>
      <c r="D294" s="17" t="inlineStr">
        <is>
          <t>Подтверждено 09.09.2026</t>
        </is>
      </c>
      <c r="E294" s="17" t="inlineStr">
        <is>
          <t>Абонемент, паушальный, форма, ERP, IT, юристы, реклама, SMM-подрядчики, резерв ротации. Офис, мин. роялти, лагеря не меняются.</t>
        </is>
      </c>
    </row>
    <row r="295" outlineLevel="1" ht="29" customHeight="1">
      <c r="A295" s="17" t="inlineStr">
        <is>
          <t>Постепенный набор как в v4</t>
        </is>
      </c>
      <c r="B295" s="334" t="inlineStr">
        <is>
          <t>Да</t>
        </is>
      </c>
      <c r="C295" s="17" t="inlineStr">
        <is>
          <t>Да / Нет</t>
        </is>
      </c>
      <c r="D295" s="17" t="inlineStr">
        <is>
          <t>Подтверждено 09.09.2026</t>
        </is>
      </c>
      <c r="E295" s="17" t="inlineStr">
        <is>
          <t>Месяцы 1–12: постепенный выход на план первого года; 13–24: плавный выход на план второго. Нет — расчёт без плавного набора.</t>
        </is>
      </c>
    </row>
    <row r="296" outlineLevel="1" ht="29" customHeight="1">
      <c r="A296" s="17" t="inlineStr">
        <is>
          <t>Первый повторный заказ</t>
        </is>
      </c>
      <c r="B296" s="334" t="inlineStr">
        <is>
          <t>Новый сезон</t>
        </is>
      </c>
      <c r="C296" s="17" t="inlineStr">
        <is>
          <t>правило</t>
        </is>
      </c>
      <c r="D296" s="17" t="inlineStr">
        <is>
          <t>Подтверждено 09.09.2026</t>
        </is>
      </c>
      <c r="E296" s="17" t="inlineStr">
        <is>
          <t>С следующего сентября, но не раньше завершения трех первичных поставок. Без ожидания 12 месяцев.</t>
        </is>
      </c>
    </row>
    <row r="297" outlineLevel="1" ht="14.5" customHeight="1">
      <c r="A297" s="17" t="inlineStr">
        <is>
          <t>Каникулы по роялти</t>
        </is>
      </c>
      <c r="B297" s="335" t="n">
        <v>0</v>
      </c>
      <c r="C297" s="17" t="inlineStr">
        <is>
          <t>мес.</t>
        </is>
      </c>
      <c r="D297" s="17" t="inlineStr">
        <is>
          <t>Параметр; по умолчанию 0</t>
        </is>
      </c>
      <c r="E297" s="17">
        <f>IF($B$297=0,"По умолчанию 0. Поставьте число месяцев — роялти не начисляется столько месяцев с открытия школы","Роялти не начисляется первые "&amp;$B$297&amp;" мес. с открытия школы")</f>
        <v/>
      </c>
    </row>
    <row r="298" outlineLevel="1" ht="14.5" customHeight="1">
      <c r="A298" s="17" t="inlineStr">
        <is>
          <t>Конверсия продажа - открытие</t>
        </is>
      </c>
      <c r="B298" s="336" t="n">
        <v>0.85</v>
      </c>
      <c r="C298" s="17" t="inlineStr">
        <is>
          <t>%</t>
        </is>
      </c>
      <c r="D298" s="17" t="inlineStr">
        <is>
          <t>Параметр; по умолчанию 100%</t>
        </is>
      </c>
      <c r="E298" s="17">
        <f>IF($B$298=1,"По умолчанию 100%: каждая оплаченная продажа доходит до открытия. Поставьте меньше, если часть продаж не открывается","Из продаж открывается "&amp;TEXT($B$298,"0%")&amp;"; остальные не доходят до школы")</f>
        <v/>
      </c>
    </row>
    <row r="299" ht="14.5" customHeight="1"/>
    <row r="300" ht="14.5" customHeight="1">
      <c r="A300" s="311" t="inlineStr">
        <is>
          <t>Инфляция по годам</t>
        </is>
      </c>
    </row>
    <row r="301" outlineLevel="1" ht="14.5" customHeight="1">
      <c r="A301" t="n">
        <v>2026</v>
      </c>
      <c r="B301" s="337" t="n">
        <v>0.07000000000000001</v>
      </c>
      <c r="D301" t="inlineStr">
        <is>
          <t>v4 / ежегодный план</t>
        </is>
      </c>
    </row>
    <row r="302" outlineLevel="1" ht="14.5" customHeight="1">
      <c r="A302" t="n">
        <v>2027</v>
      </c>
      <c r="B302" s="337" t="n">
        <v>0.07000000000000001</v>
      </c>
      <c r="D302" t="inlineStr">
        <is>
          <t>v4 / ежегодный план</t>
        </is>
      </c>
    </row>
    <row r="303" outlineLevel="1" ht="14.5" customHeight="1">
      <c r="A303" t="n">
        <v>2028</v>
      </c>
      <c r="B303" s="337" t="n">
        <v>0.07000000000000001</v>
      </c>
      <c r="D303" t="inlineStr">
        <is>
          <t>v4 / ежегодный план</t>
        </is>
      </c>
    </row>
    <row r="304" outlineLevel="1" ht="14.5" customHeight="1">
      <c r="A304" t="n">
        <v>2029</v>
      </c>
      <c r="B304" s="337" t="n">
        <v>0.07000000000000001</v>
      </c>
      <c r="D304" t="inlineStr">
        <is>
          <t>v4 / ежегодный план</t>
        </is>
      </c>
    </row>
    <row r="305" outlineLevel="1" ht="14.5" customHeight="1">
      <c r="A305" t="n">
        <v>2030</v>
      </c>
      <c r="B305" s="337" t="n">
        <v>0.07000000000000001</v>
      </c>
      <c r="D305" t="inlineStr">
        <is>
          <t>v4 / ежегодный план</t>
        </is>
      </c>
    </row>
    <row r="306" outlineLevel="1" ht="14.5" customHeight="1">
      <c r="A306" t="n">
        <v>2031</v>
      </c>
      <c r="B306" s="337" t="n">
        <v>0.07000000000000001</v>
      </c>
      <c r="D306" t="inlineStr">
        <is>
          <t>v4 / ежегодный план</t>
        </is>
      </c>
    </row>
    <row r="307" outlineLevel="1" ht="14.5" customHeight="1">
      <c r="A307" t="n">
        <v>2032</v>
      </c>
      <c r="B307" s="337" t="n">
        <v>0.07000000000000001</v>
      </c>
      <c r="D307" t="inlineStr">
        <is>
          <t>v4 / ежегодный план</t>
        </is>
      </c>
    </row>
    <row r="308" ht="14.5" customHeight="1"/>
    <row r="309" ht="14.5" customHeight="1">
      <c r="A309" s="338" t="inlineStr">
        <is>
          <t>15. Возврат займа и открытие школ партнёра</t>
        </is>
      </c>
    </row>
    <row r="310" ht="14.5" customHeight="1">
      <c r="A310" t="inlineStr">
        <is>
          <t>Минимальный запас для возврата займа</t>
        </is>
      </c>
      <c r="B310" s="339" t="n">
        <v>3</v>
      </c>
      <c r="C310" t="inlineStr">
        <is>
          <t>мес. будущих продаж</t>
        </is>
      </c>
      <c r="D310" t="inlineStr">
        <is>
          <t>Согласовано 11.09.2026</t>
        </is>
      </c>
      <c r="E310" t="inlineStr">
        <is>
          <t>Займ возвращаем, только если на складе остаётся запас на столько месяцев вперёд. Отдельно от целевого запаса закупки в B80, хотя сейчас значения совпадают: при шести месяцах порог недостижим и займ не гасится.</t>
        </is>
      </c>
    </row>
    <row r="311" ht="14.5" customHeight="1">
      <c r="A311" t="inlineStr">
        <is>
          <t>Лаг открытия следующих школ партнёра</t>
        </is>
      </c>
      <c r="B311" t="n">
        <v>3</v>
      </c>
      <c r="C311" t="inlineStr">
        <is>
          <t>мес.</t>
        </is>
      </c>
      <c r="D311" t="inlineStr">
        <is>
          <t>Рабочее — подтвердить</t>
        </is>
      </c>
      <c r="E311" t="inlineStr">
        <is>
          <t>Первую школу партнёр открывает через лаг B15. Остальные (B22 минус одна) — через столько месяцев после первой. Ноль означает возврат к прежнему «все школы разом».</t>
        </is>
      </c>
    </row>
    <row r="312" ht="14.5" customHeight="1">
      <c r="A312" t="inlineStr">
        <is>
          <t>16. Роялти действующей сети — группы точек начисления</t>
        </is>
      </c>
    </row>
    <row r="313" ht="14.5" customHeight="1">
      <c r="A313" t="inlineStr">
        <is>
          <t>Группа точек начисления</t>
        </is>
      </c>
      <c r="B313" t="inlineStr">
        <is>
          <t>Точек на старте</t>
        </is>
      </c>
      <c r="C313" t="inlineStr">
        <is>
          <t>Доля выручки сети</t>
        </is>
      </c>
      <c r="D313" t="inlineStr">
        <is>
          <t>Средний фикс</t>
        </is>
      </c>
      <c r="E313" t="inlineStr">
        <is>
          <t>Ставка роялти</t>
        </is>
      </c>
      <c r="F313" t="inlineStr">
        <is>
          <t>Источник</t>
        </is>
      </c>
    </row>
    <row r="314" ht="14.5" customHeight="1">
      <c r="A314" t="inlineStr">
        <is>
          <t>Крупные — платят процент</t>
        </is>
      </c>
      <c r="B314" t="n">
        <v>10</v>
      </c>
      <c r="C314" s="340" t="n">
        <v>0.555592</v>
      </c>
      <c r="D314" s="341" t="n">
        <v>13560</v>
      </c>
      <c r="E314" s="340" t="n">
        <v>0.065</v>
      </c>
      <c r="F314" t="inlineStr">
        <is>
          <t>Реестр начислений, август 2026</t>
        </is>
      </c>
    </row>
    <row r="315" ht="14.5" customHeight="1">
      <c r="A315" t="inlineStr">
        <is>
          <t>Льготная ставка</t>
        </is>
      </c>
      <c r="B315" t="n">
        <v>5</v>
      </c>
      <c r="C315" s="340" t="n">
        <v>0.29611</v>
      </c>
      <c r="D315" s="341" t="n">
        <v>9000</v>
      </c>
      <c r="E315" s="340" t="n">
        <v>0.0325</v>
      </c>
      <c r="F315" t="inlineStr">
        <is>
          <t>Реестр начислений, август 2026</t>
        </is>
      </c>
    </row>
    <row r="316" ht="14.5" customHeight="1">
      <c r="A316" t="inlineStr">
        <is>
          <t>Средние — у порога фикса</t>
        </is>
      </c>
      <c r="B316" t="n">
        <v>16</v>
      </c>
      <c r="C316" s="340" t="n">
        <v>0.09134100000000001</v>
      </c>
      <c r="D316" s="341" t="n">
        <v>19138</v>
      </c>
      <c r="E316" s="340" t="n">
        <v>0.065</v>
      </c>
      <c r="F316" t="inlineStr">
        <is>
          <t>Реестр начислений, август 2026</t>
        </is>
      </c>
    </row>
    <row r="317" ht="14.5" customHeight="1">
      <c r="A317" t="inlineStr">
        <is>
          <t>Мелкие — платят фикс</t>
        </is>
      </c>
      <c r="B317" t="n">
        <v>15</v>
      </c>
      <c r="C317" s="340" t="n">
        <v>0.033143</v>
      </c>
      <c r="D317" s="341" t="n">
        <v>20067</v>
      </c>
      <c r="E317" s="340" t="n">
        <v>0.065</v>
      </c>
      <c r="F317" t="inlineStr">
        <is>
          <t>Реестр начислений, август 2026</t>
        </is>
      </c>
    </row>
    <row r="318" ht="14.5" customHeight="1">
      <c r="A318" t="inlineStr">
        <is>
          <t>Только фикс, без процента</t>
        </is>
      </c>
      <c r="B318" t="n">
        <v>2</v>
      </c>
      <c r="C318" s="340" t="n">
        <v>0.023814</v>
      </c>
      <c r="D318" s="341" t="n">
        <v>20000</v>
      </c>
      <c r="E318" s="340" t="n">
        <v>0</v>
      </c>
      <c r="F318" t="inlineStr">
        <is>
          <t>Реестр начислений, август 2026</t>
        </is>
      </c>
    </row>
    <row r="319" ht="14.5" customHeight="1">
      <c r="A319" t="inlineStr">
        <is>
          <t>Итого</t>
        </is>
      </c>
      <c r="B319">
        <f>SUM(B314:B318)</f>
        <v/>
      </c>
      <c r="C319" s="340">
        <f>SUM(C314:C318)</f>
        <v/>
      </c>
      <c r="F319" t="inlineStr">
        <is>
          <t>Доли должны давать 100%: это разложение выручки сети, а не отдельные источники</t>
        </is>
      </c>
    </row>
    <row r="320" ht="14.5" customHeight="1"/>
    <row r="321" ht="14.5" customHeight="1">
      <c r="A321" t="inlineStr">
        <is>
          <t>17. История: сезон 25/26 — факт</t>
        </is>
      </c>
    </row>
    <row r="322" ht="14.5" customHeight="1">
      <c r="A322" t="inlineStr">
        <is>
          <t>Учитывать сезон 25/26</t>
        </is>
      </c>
      <c r="B322" t="inlineStr">
        <is>
          <t>Нет</t>
        </is>
      </c>
      <c r="C322" t="inlineStr">
        <is>
          <t>Да / Нет</t>
        </is>
      </c>
      <c r="D322" t="inlineStr">
        <is>
          <t>Решение владельца</t>
        </is>
      </c>
      <c r="E322" t="inlineStr">
        <is>
          <t>«Да» добавляет на дашборд колонку сезона 25/26 и итог за шесть сезонов. Прогноз при этом не меняется: сезон закончился, он вводится фактом, а не считается.</t>
        </is>
      </c>
    </row>
    <row r="323" ht="14.5" customHeight="1">
      <c r="A323" t="inlineStr">
        <is>
          <t>Показатель</t>
        </is>
      </c>
      <c r="B323" t="inlineStr">
        <is>
          <t>Значение</t>
        </is>
      </c>
      <c r="C323" t="inlineStr">
        <is>
          <t>Ед.</t>
        </is>
      </c>
      <c r="D323" t="inlineStr">
        <is>
          <t>Статус</t>
        </is>
      </c>
      <c r="E323" t="inlineStr">
        <is>
          <t>Откуда взято</t>
        </is>
      </c>
    </row>
    <row r="324" ht="14.5" customHeight="1">
      <c r="A324" t="inlineStr">
        <is>
          <t>Паушальные взносы</t>
        </is>
      </c>
      <c r="B324" s="341">
        <f>SUM(B343:B353)</f>
        <v/>
      </c>
      <c r="C324" t="inlineStr">
        <is>
          <t>₽</t>
        </is>
      </c>
      <c r="D324" t="inlineStr">
        <is>
          <t>Факт: отчёт о финрезультатах</t>
        </is>
      </c>
      <c r="E324" t="inlineStr">
        <is>
          <t>За сезон продано немного: суммы в отчёте символические.</t>
        </is>
      </c>
    </row>
    <row r="325" ht="14.5" customHeight="1">
      <c r="A325" t="inlineStr">
        <is>
          <t>Роялти</t>
        </is>
      </c>
      <c r="B325" s="341">
        <f>SUM(C343:C353)</f>
        <v/>
      </c>
      <c r="C325" t="inlineStr">
        <is>
          <t>₽</t>
        </is>
      </c>
      <c r="D325" t="inlineStr">
        <is>
          <t>Факт: отчёт о финрезультатах</t>
        </is>
      </c>
      <c r="E325" t="inlineStr">
        <is>
          <t>Реестр начислений за те же месяцы даёт меньше: он считает начисление по школам, отчёт — выручку управляющей компании.</t>
        </is>
      </c>
    </row>
    <row r="326" ht="14.5" customHeight="1">
      <c r="A326" t="inlineStr">
        <is>
          <t>Мерч</t>
        </is>
      </c>
      <c r="B326" s="341">
        <f>SUM(D343:D353)</f>
        <v/>
      </c>
      <c r="C326" t="inlineStr">
        <is>
          <t>₽</t>
        </is>
      </c>
      <c r="D326" t="inlineStr">
        <is>
          <t>Факт: отчёт о финрезультатах</t>
        </is>
      </c>
      <c r="E326" t="inlineStr">
        <is>
          <t>«Спортивная форма» отчёта. Продаётся рывками: февраль 1,47 млн, июль 67 тыс.</t>
        </is>
      </c>
    </row>
    <row r="327" ht="14.5" customHeight="1">
      <c r="A327" t="inlineStr">
        <is>
          <t>Выручка без НДС</t>
        </is>
      </c>
      <c r="B327" s="341">
        <f>SUM(B343:B353)+SUM(C343:C353)+SUM(D343:D353)</f>
        <v/>
      </c>
      <c r="C327" t="inlineStr">
        <is>
          <t>₽</t>
        </is>
      </c>
      <c r="D327" t="inlineStr">
        <is>
          <t>Факт: отчёт о финрезультатах</t>
        </is>
      </c>
      <c r="E327" t="inlineStr">
        <is>
          <t>Паушальные, роялти и мерч.</t>
        </is>
      </c>
    </row>
    <row r="328" ht="14.5" customHeight="1">
      <c r="A328" t="inlineStr">
        <is>
          <t>Прямые расходы</t>
        </is>
      </c>
      <c r="B328" s="341">
        <f>SUM(E343:E353)+SUM(F343:F353)</f>
        <v/>
      </c>
      <c r="C328" t="inlineStr">
        <is>
          <t>₽</t>
        </is>
      </c>
      <c r="D328" t="inlineStr">
        <is>
          <t>Факт: отчёт о финрезультатах</t>
        </is>
      </c>
      <c r="E328" t="inlineStr">
        <is>
          <t>Себестоимость формы плюс выплаты клубу («коммерческие расходы» отчёта).</t>
        </is>
      </c>
    </row>
    <row r="329" ht="14.5" customHeight="1">
      <c r="A329" t="inlineStr">
        <is>
          <t>Валовая прибыль</t>
        </is>
      </c>
      <c r="B329" s="341">
        <f>B327-B328</f>
        <v/>
      </c>
      <c r="C329" t="inlineStr">
        <is>
          <t>₽ ±</t>
        </is>
      </c>
      <c r="D329" t="inlineStr">
        <is>
          <t>Факт: отчёт о финрезультатах</t>
        </is>
      </c>
      <c r="E329" t="inlineStr">
        <is>
          <t>Выручка минус прямые расходы — как в БДР модели, а не как в строке 03 отчёта: там выплаты клубу ещё не вычтены.</t>
        </is>
      </c>
    </row>
    <row r="330" ht="14.5" customHeight="1">
      <c r="A330" t="inlineStr">
        <is>
          <t>ФОТ и кадровые расходы</t>
        </is>
      </c>
      <c r="B330" s="341">
        <f>SUM(G343:G353)</f>
        <v/>
      </c>
      <c r="C330" t="inlineStr">
        <is>
          <t>₽</t>
        </is>
      </c>
      <c r="D330" t="inlineStr">
        <is>
          <t>Факт: отчёт о финрезультатах</t>
        </is>
      </c>
      <c r="E330" t="inlineStr">
        <is>
          <t>Оплата труда, страховые взносы и взносы в ФСС от НС и ПЗ. Растёт весь сезон: 1,57 млн в сентябре, 4,28 млн в июле.</t>
        </is>
      </c>
    </row>
    <row r="331" ht="14.5" customHeight="1">
      <c r="A331" t="inlineStr">
        <is>
          <t>OPEX — прочие</t>
        </is>
      </c>
      <c r="B331" s="341">
        <f>SUM(H343:H353)+SUM(I343:I353)</f>
        <v/>
      </c>
      <c r="C331" t="inlineStr">
        <is>
          <t>₽</t>
        </is>
      </c>
      <c r="D331" t="inlineStr">
        <is>
          <t>Факт: отчёт о финрезультатах</t>
        </is>
      </c>
      <c r="E331" t="inlineStr">
        <is>
          <t>Административные расходы за вычетом ФОТ плюс прочие расходы: аренда, CRM, ПО, реклама, связь, уборка, банк.</t>
        </is>
      </c>
    </row>
    <row r="332" ht="14.5" customHeight="1">
      <c r="A332" t="inlineStr">
        <is>
          <t>EBITDA</t>
        </is>
      </c>
      <c r="B332" s="341">
        <f>B329-B330-B331</f>
        <v/>
      </c>
      <c r="C332" t="inlineStr">
        <is>
          <t>₽ ±</t>
        </is>
      </c>
      <c r="D332" t="inlineStr">
        <is>
          <t>Факт: отчёт о финрезультатах</t>
        </is>
      </c>
      <c r="E332" t="inlineStr">
        <is>
          <t>Расходы сезона почти вдвое больше выручки: ФОТ один съедает больше, чем вся выручка.</t>
        </is>
      </c>
    </row>
    <row r="333" ht="14.5" customHeight="1">
      <c r="A333" t="inlineStr">
        <is>
          <t>УСН / минимальный налог</t>
        </is>
      </c>
      <c r="B333" s="341">
        <f>SUM(J343:J353)</f>
        <v/>
      </c>
      <c r="C333" t="inlineStr">
        <is>
          <t>₽</t>
        </is>
      </c>
      <c r="D333" t="inlineStr">
        <is>
          <t>Факт: отчёт о финрезультатах</t>
        </is>
      </c>
      <c r="E333" t="inlineStr">
        <is>
          <t>Единственное начисление за сезон — в декабре 2025.</t>
        </is>
      </c>
    </row>
    <row r="334" ht="14.5" customHeight="1">
      <c r="A334" t="inlineStr">
        <is>
          <t>Прибыль после налога</t>
        </is>
      </c>
      <c r="B334" s="341">
        <f>B332-B333</f>
        <v/>
      </c>
      <c r="C334" t="inlineStr">
        <is>
          <t>₽ ±</t>
        </is>
      </c>
      <c r="D334" t="inlineStr">
        <is>
          <t>Факт: отчёт о финрезультатах</t>
        </is>
      </c>
      <c r="E334" t="inlineStr">
        <is>
          <t>EBITDA минус налог.</t>
        </is>
      </c>
    </row>
    <row r="335" ht="14.5" customHeight="1">
      <c r="A335" t="inlineStr">
        <is>
          <t>Денежный поток за сезон</t>
        </is>
      </c>
      <c r="B335" s="341">
        <f>SUM(K343:K353)</f>
        <v/>
      </c>
      <c r="C335" t="inlineStr">
        <is>
          <t>₽ ±</t>
        </is>
      </c>
      <c r="D335" t="inlineStr">
        <is>
          <t>Факт: январь–июль 2026</t>
        </is>
      </c>
      <c r="E335" t="inlineStr">
        <is>
          <t>За сентябрь–декабрь 2025 потока в отчётности нет, поэтому сумма неполная: она покрывает семь месяцев из одиннадцати.</t>
        </is>
      </c>
    </row>
    <row r="336" ht="14.5" customHeight="1">
      <c r="A336" t="inlineStr">
        <is>
          <t>Деньги на конец сезона</t>
        </is>
      </c>
      <c r="B336" s="341" t="n">
        <v>187878</v>
      </c>
      <c r="C336" t="inlineStr">
        <is>
          <t>₽ ±</t>
        </is>
      </c>
      <c r="D336" t="inlineStr">
        <is>
          <t>ДДС на 02.07.2026</t>
        </is>
      </c>
      <c r="E336" t="inlineStr">
        <is>
          <t>Тот же остаток, с которого стартует прогноз (B17).</t>
        </is>
      </c>
    </row>
    <row r="337" ht="14.5" customHeight="1">
      <c r="A337" t="inlineStr">
        <is>
          <t>Школы на конец сезона</t>
        </is>
      </c>
      <c r="B337" s="341" t="n">
        <v>104</v>
      </c>
      <c r="C337" t="inlineStr">
        <is>
          <t>шт.</t>
        </is>
      </c>
      <c r="D337" t="inlineStr">
        <is>
          <t>Реестр сети 21.08.2026</t>
        </is>
      </c>
      <c r="E337" t="inlineStr"/>
    </row>
    <row r="338" ht="14.5" customHeight="1">
      <c r="A338" t="inlineStr">
        <is>
          <t>Партнёры на конец сезона</t>
        </is>
      </c>
      <c r="B338" s="341" t="n">
        <v>51</v>
      </c>
      <c r="C338" t="inlineStr">
        <is>
          <t>шт.</t>
        </is>
      </c>
      <c r="D338" t="inlineStr">
        <is>
          <t>Реестр сети 21.08.2026</t>
        </is>
      </c>
      <c r="E338" t="inlineStr">
        <is>
          <t>48 подписали ДКК, 3 в переговорах.</t>
        </is>
      </c>
    </row>
    <row r="339" ht="14.5" customHeight="1">
      <c r="A339" t="inlineStr">
        <is>
          <t>Дети на конец сезона</t>
        </is>
      </c>
      <c r="B339" s="341" t="n">
        <v>3808</v>
      </c>
      <c r="C339" t="inlineStr">
        <is>
          <t>чел.</t>
        </is>
      </c>
      <c r="D339" t="inlineStr">
        <is>
          <t>Реестр: август 2026</t>
        </is>
      </c>
      <c r="E339" t="inlineStr">
        <is>
          <t>Проданных абонементов в августе 2026. Абонемент не равен ребёнку: часть из них многомесячные.</t>
        </is>
      </c>
    </row>
    <row r="340" ht="14.5" customHeight="1"/>
    <row r="341" ht="14.5" customHeight="1">
      <c r="A341" t="inlineStr">
        <is>
          <t>P&amp;L управляющей компании помесячно — сентябрь 2025 — июль 2026</t>
        </is>
      </c>
    </row>
    <row r="342" ht="14.5" customHeight="1">
      <c r="A342" t="inlineStr">
        <is>
          <t>Месяц</t>
        </is>
      </c>
      <c r="B342" t="inlineStr">
        <is>
          <t>Паушальные</t>
        </is>
      </c>
      <c r="C342" t="inlineStr">
        <is>
          <t>Роялти</t>
        </is>
      </c>
      <c r="D342" t="inlineStr">
        <is>
          <t>Мерч</t>
        </is>
      </c>
      <c r="E342" t="inlineStr">
        <is>
          <t>Себестоимость формы</t>
        </is>
      </c>
      <c r="F342" t="inlineStr">
        <is>
          <t>Выплаты клубу</t>
        </is>
      </c>
      <c r="G342" t="inlineStr">
        <is>
          <t>ФОТ со взносами</t>
        </is>
      </c>
      <c r="H342" t="inlineStr">
        <is>
          <t>OPEX — прочие</t>
        </is>
      </c>
      <c r="I342" t="inlineStr">
        <is>
          <t>Прочие расходы</t>
        </is>
      </c>
      <c r="J342" t="inlineStr">
        <is>
          <t>Налог на прибыль</t>
        </is>
      </c>
      <c r="K342" t="inlineStr">
        <is>
          <t>Чистый денежный поток</t>
        </is>
      </c>
    </row>
    <row r="343" ht="14.5" customHeight="1">
      <c r="A343" s="342" t="n">
        <v>45901</v>
      </c>
      <c r="B343" s="341" t="n">
        <v>0</v>
      </c>
      <c r="C343" s="341" t="n">
        <v>0</v>
      </c>
      <c r="D343" s="341" t="n">
        <v>0</v>
      </c>
      <c r="E343" s="341" t="n">
        <v>0</v>
      </c>
      <c r="F343" s="341" t="n">
        <v>0</v>
      </c>
      <c r="G343" s="341" t="n">
        <v>1574401</v>
      </c>
      <c r="H343" s="341" t="n">
        <v>1024059</v>
      </c>
      <c r="I343" s="341" t="n">
        <v>9335</v>
      </c>
      <c r="J343" s="341" t="n">
        <v>0</v>
      </c>
      <c r="K343" s="341" t="n">
        <v>0</v>
      </c>
    </row>
    <row r="344" ht="14.5" customHeight="1">
      <c r="A344" s="342" t="n">
        <v>45931</v>
      </c>
      <c r="B344" s="341" t="n">
        <v>0</v>
      </c>
      <c r="C344" s="341" t="n">
        <v>0</v>
      </c>
      <c r="D344" s="341" t="n">
        <v>0</v>
      </c>
      <c r="E344" s="341" t="n">
        <v>0</v>
      </c>
      <c r="F344" s="341" t="n">
        <v>0</v>
      </c>
      <c r="G344" s="341" t="n">
        <v>2219727</v>
      </c>
      <c r="H344" s="341" t="n">
        <v>1050057</v>
      </c>
      <c r="I344" s="341" t="n">
        <v>32927</v>
      </c>
      <c r="J344" s="341" t="n">
        <v>0</v>
      </c>
      <c r="K344" s="341" t="n">
        <v>0</v>
      </c>
    </row>
    <row r="345" ht="14.5" customHeight="1">
      <c r="A345" s="342" t="n">
        <v>45962</v>
      </c>
      <c r="B345" s="341" t="n">
        <v>34000</v>
      </c>
      <c r="C345" s="341" t="n">
        <v>1166894</v>
      </c>
      <c r="D345" s="341" t="n">
        <v>688036</v>
      </c>
      <c r="E345" s="341" t="n">
        <v>353026</v>
      </c>
      <c r="F345" s="341" t="n">
        <v>245843</v>
      </c>
      <c r="G345" s="341" t="n">
        <v>2153520</v>
      </c>
      <c r="H345" s="341" t="n">
        <v>1720573</v>
      </c>
      <c r="I345" s="341" t="n">
        <v>5574</v>
      </c>
      <c r="J345" s="341" t="n">
        <v>0</v>
      </c>
      <c r="K345" s="341" t="n">
        <v>0</v>
      </c>
    </row>
    <row r="346" ht="14.5" customHeight="1">
      <c r="A346" s="342" t="n">
        <v>45992</v>
      </c>
      <c r="B346" s="341" t="n">
        <v>17000</v>
      </c>
      <c r="C346" s="341" t="n">
        <v>2833884</v>
      </c>
      <c r="D346" s="341" t="n">
        <v>285361</v>
      </c>
      <c r="E346" s="341" t="n">
        <v>147883</v>
      </c>
      <c r="F346" s="341" t="n">
        <v>337456</v>
      </c>
      <c r="G346" s="341" t="n">
        <v>2242835</v>
      </c>
      <c r="H346" s="341" t="n">
        <v>2469730</v>
      </c>
      <c r="I346" s="341" t="n">
        <v>7214</v>
      </c>
      <c r="J346" s="341" t="n">
        <v>52243</v>
      </c>
      <c r="K346" s="341" t="n">
        <v>0</v>
      </c>
    </row>
    <row r="347" ht="14.5" customHeight="1">
      <c r="A347" s="342" t="n">
        <v>46023</v>
      </c>
      <c r="B347" s="341" t="n">
        <v>5000</v>
      </c>
      <c r="C347" s="341" t="n">
        <v>3199001</v>
      </c>
      <c r="D347" s="341" t="n">
        <v>74550</v>
      </c>
      <c r="E347" s="341" t="n">
        <v>42910</v>
      </c>
      <c r="F347" s="341" t="n">
        <v>332724</v>
      </c>
      <c r="G347" s="341" t="n">
        <v>2688896</v>
      </c>
      <c r="H347" s="341" t="n">
        <v>765322</v>
      </c>
      <c r="I347" s="341" t="n">
        <v>3595</v>
      </c>
      <c r="J347" s="341" t="n">
        <v>0</v>
      </c>
      <c r="K347" s="341" t="n">
        <v>40198</v>
      </c>
    </row>
    <row r="348" ht="14.5" customHeight="1">
      <c r="A348" s="342" t="n">
        <v>46054</v>
      </c>
      <c r="B348" s="341" t="n">
        <v>1000</v>
      </c>
      <c r="C348" s="341" t="n">
        <v>2192174</v>
      </c>
      <c r="D348" s="341" t="n">
        <v>1468002</v>
      </c>
      <c r="E348" s="341" t="n">
        <v>926633</v>
      </c>
      <c r="F348" s="341" t="n">
        <v>409047</v>
      </c>
      <c r="G348" s="341" t="n">
        <v>2623154</v>
      </c>
      <c r="H348" s="341" t="n">
        <v>1436154</v>
      </c>
      <c r="I348" s="341" t="n">
        <v>4123</v>
      </c>
      <c r="J348" s="341" t="n">
        <v>0</v>
      </c>
      <c r="K348" s="341" t="n">
        <v>2070755</v>
      </c>
    </row>
    <row r="349" ht="14.5" customHeight="1">
      <c r="A349" s="342" t="n">
        <v>46082</v>
      </c>
      <c r="B349" s="341" t="n">
        <v>3000</v>
      </c>
      <c r="C349" s="341" t="n">
        <v>2641557</v>
      </c>
      <c r="D349" s="341" t="n">
        <v>101600</v>
      </c>
      <c r="E349" s="341" t="n">
        <v>64493</v>
      </c>
      <c r="F349" s="341" t="n">
        <v>278193</v>
      </c>
      <c r="G349" s="341" t="n">
        <v>2889209</v>
      </c>
      <c r="H349" s="341" t="n">
        <v>906213</v>
      </c>
      <c r="I349" s="341" t="n">
        <v>6990</v>
      </c>
      <c r="J349" s="341" t="n">
        <v>0</v>
      </c>
      <c r="K349" s="341" t="n">
        <v>-1429475</v>
      </c>
    </row>
    <row r="350" ht="14.5" customHeight="1">
      <c r="A350" s="342" t="n">
        <v>46113</v>
      </c>
      <c r="B350" s="341" t="n">
        <v>1000</v>
      </c>
      <c r="C350" s="341" t="n">
        <v>2644045</v>
      </c>
      <c r="D350" s="341" t="n">
        <v>149300</v>
      </c>
      <c r="E350" s="341" t="n">
        <v>86054</v>
      </c>
      <c r="F350" s="341" t="n">
        <v>286891</v>
      </c>
      <c r="G350" s="341" t="n">
        <v>3281358</v>
      </c>
      <c r="H350" s="341" t="n">
        <v>731943</v>
      </c>
      <c r="I350" s="341" t="n">
        <v>4957</v>
      </c>
      <c r="J350" s="341" t="n">
        <v>0</v>
      </c>
      <c r="K350" s="341" t="n">
        <v>61645</v>
      </c>
    </row>
    <row r="351" ht="14.5" customHeight="1">
      <c r="A351" s="342" t="n">
        <v>46143</v>
      </c>
      <c r="B351" s="341" t="n">
        <v>1922</v>
      </c>
      <c r="C351" s="341" t="n">
        <v>1816506</v>
      </c>
      <c r="D351" s="341" t="n">
        <v>238899</v>
      </c>
      <c r="E351" s="341" t="n">
        <v>139894</v>
      </c>
      <c r="F351" s="341" t="n">
        <v>216975</v>
      </c>
      <c r="G351" s="341" t="n">
        <v>3179444</v>
      </c>
      <c r="H351" s="341" t="n">
        <v>1330966</v>
      </c>
      <c r="I351" s="341" t="n">
        <v>3243</v>
      </c>
      <c r="J351" s="341" t="n">
        <v>0</v>
      </c>
      <c r="K351" s="341" t="n">
        <v>-517789</v>
      </c>
    </row>
    <row r="352" ht="14.5" customHeight="1">
      <c r="A352" s="342" t="n">
        <v>46174</v>
      </c>
      <c r="B352" s="341" t="n">
        <v>0</v>
      </c>
      <c r="C352" s="341" t="n">
        <v>2452155</v>
      </c>
      <c r="D352" s="341" t="n">
        <v>1290902</v>
      </c>
      <c r="E352" s="341" t="n">
        <v>735974</v>
      </c>
      <c r="F352" s="341" t="n">
        <v>439440</v>
      </c>
      <c r="G352" s="341" t="n">
        <v>3895182</v>
      </c>
      <c r="H352" s="341" t="n">
        <v>1102727</v>
      </c>
      <c r="I352" s="341" t="n">
        <v>6449</v>
      </c>
      <c r="J352" s="341" t="n">
        <v>0</v>
      </c>
      <c r="K352" s="341" t="n">
        <v>-345792</v>
      </c>
    </row>
    <row r="353" ht="14.5" customHeight="1">
      <c r="A353" s="342" t="n">
        <v>46204</v>
      </c>
      <c r="B353" s="341" t="n">
        <v>0</v>
      </c>
      <c r="C353" s="341" t="n">
        <v>3070178</v>
      </c>
      <c r="D353" s="341" t="n">
        <v>66750</v>
      </c>
      <c r="E353" s="341" t="n">
        <v>44505</v>
      </c>
      <c r="F353" s="341" t="n">
        <v>314803</v>
      </c>
      <c r="G353" s="341" t="n">
        <v>4280247</v>
      </c>
      <c r="H353" s="341" t="n">
        <v>1068367</v>
      </c>
      <c r="I353" s="341" t="n">
        <v>5010</v>
      </c>
      <c r="J353" s="341" t="n">
        <v>0</v>
      </c>
      <c r="K353" s="341" t="n">
        <v>6862</v>
      </c>
    </row>
    <row r="354" ht="14.5" customHeight="1">
      <c r="A354" t="inlineStr">
        <is>
          <t>Итого за 11 месяцев</t>
        </is>
      </c>
      <c r="B354" s="341">
        <f>SUM(B343:B353)</f>
        <v/>
      </c>
      <c r="C354" s="341">
        <f>SUM(C343:C353)</f>
        <v/>
      </c>
      <c r="D354" s="341">
        <f>SUM(D343:D353)</f>
        <v/>
      </c>
      <c r="E354" s="341">
        <f>SUM(E343:E353)</f>
        <v/>
      </c>
      <c r="F354" s="341">
        <f>SUM(F343:F353)</f>
        <v/>
      </c>
      <c r="G354" s="341">
        <f>SUM(G343:G353)</f>
        <v/>
      </c>
      <c r="H354" s="341">
        <f>SUM(H343:H353)</f>
        <v/>
      </c>
      <c r="I354" s="341">
        <f>SUM(I343:I353)</f>
        <v/>
      </c>
      <c r="J354" s="341">
        <f>SUM(J343:J353)</f>
        <v/>
      </c>
      <c r="K354" s="341">
        <f>SUM(K343:K353)</f>
        <v/>
      </c>
      <c r="L354" t="inlineStr">
        <is>
          <t>Август 2025 в отчёте есть, но относится к прошлому сезону. Август 2026 в отчётность ещё не попал — сезон закрыт на одиннадцать месяцев из двенадцати.</t>
        </is>
      </c>
    </row>
    <row r="355" ht="14.5" customHeight="1"/>
    <row r="356" ht="14.5" customHeight="1">
      <c r="A356" t="inlineStr">
        <is>
          <t>Реестр начислений помесячно — оборот сети и роялти</t>
        </is>
      </c>
    </row>
    <row r="357" ht="14.5" customHeight="1">
      <c r="A357" t="inlineStr">
        <is>
          <t>Месяц</t>
        </is>
      </c>
      <c r="B357" t="inlineStr">
        <is>
          <t>Оборот сети, ₽</t>
        </is>
      </c>
      <c r="C357" t="inlineStr">
        <is>
          <t>Роялти начислено, ₽</t>
        </is>
      </c>
    </row>
    <row r="358" ht="14.5" customHeight="1">
      <c r="A358" s="342" t="n">
        <v>45931</v>
      </c>
      <c r="B358" s="341" t="n">
        <v>23763743</v>
      </c>
      <c r="C358" s="341" t="n">
        <v>1721989</v>
      </c>
    </row>
    <row r="359" ht="14.5" customHeight="1">
      <c r="A359" s="342" t="n">
        <v>45962</v>
      </c>
      <c r="B359" s="341" t="n">
        <v>28003516</v>
      </c>
      <c r="C359" s="341" t="n">
        <v>1926571</v>
      </c>
    </row>
    <row r="360" ht="14.5" customHeight="1">
      <c r="A360" s="342" t="n">
        <v>45992</v>
      </c>
      <c r="B360" s="341" t="n">
        <v>30210358</v>
      </c>
      <c r="C360" s="341" t="n">
        <v>1920426</v>
      </c>
    </row>
    <row r="361" ht="14.5" customHeight="1">
      <c r="A361" s="342" t="n">
        <v>46023</v>
      </c>
      <c r="B361" s="341" t="n">
        <v>32411412</v>
      </c>
      <c r="C361" s="341" t="n">
        <v>2109980</v>
      </c>
    </row>
    <row r="362" ht="14.5" customHeight="1">
      <c r="A362" s="342" t="n">
        <v>46054</v>
      </c>
      <c r="B362" s="341" t="n">
        <v>36606090</v>
      </c>
      <c r="C362" s="341" t="n">
        <v>2276950</v>
      </c>
    </row>
    <row r="363" ht="14.5" customHeight="1">
      <c r="A363" s="342" t="n">
        <v>46082</v>
      </c>
      <c r="B363" s="341" t="n">
        <v>44107279</v>
      </c>
      <c r="C363" s="341" t="n">
        <v>2617615</v>
      </c>
    </row>
    <row r="364" ht="14.5" customHeight="1">
      <c r="A364" s="342" t="n">
        <v>46113</v>
      </c>
      <c r="B364" s="341" t="n">
        <v>41035864</v>
      </c>
      <c r="C364" s="341" t="n">
        <v>2472905</v>
      </c>
    </row>
    <row r="365" ht="14.5" customHeight="1">
      <c r="A365" s="342" t="n">
        <v>46143</v>
      </c>
      <c r="B365" s="341" t="n">
        <v>42817500</v>
      </c>
      <c r="C365" s="341" t="n">
        <v>2749786</v>
      </c>
    </row>
    <row r="366" ht="14.5" customHeight="1">
      <c r="A366" s="342" t="n">
        <v>46174</v>
      </c>
      <c r="B366" s="341" t="n">
        <v>31522552</v>
      </c>
      <c r="C366" s="341" t="n">
        <v>2183764</v>
      </c>
    </row>
    <row r="367" ht="14.5" customHeight="1">
      <c r="A367" s="342" t="n">
        <v>46204</v>
      </c>
      <c r="B367" s="341" t="n">
        <v>26948036</v>
      </c>
      <c r="C367" s="341" t="n">
        <v>2097917</v>
      </c>
    </row>
    <row r="368" ht="14.5" customHeight="1">
      <c r="A368" s="342" t="n">
        <v>46235</v>
      </c>
      <c r="B368" s="341" t="n">
        <v>44849008</v>
      </c>
      <c r="C368" s="341" t="n">
        <v>2701108</v>
      </c>
    </row>
    <row r="369" ht="14.5" customHeight="1">
      <c r="A369" t="inlineStr">
        <is>
          <t>Итого по реестру</t>
        </is>
      </c>
      <c r="B369" s="341">
        <f>SUM(B358:B368)</f>
        <v/>
      </c>
      <c r="C369" s="341">
        <f>SUM(C358:C368)</f>
        <v/>
      </c>
      <c r="E369" t="inlineStr">
        <is>
          <t>Октябрь 2025 — август 2026. Сентябрь 2025 в реестре отсутствует, окно не совпадает с P&amp;L.</t>
        </is>
      </c>
    </row>
  </sheetData>
  <mergeCells count="57">
    <mergeCell ref="A69:O69"/>
    <mergeCell ref="E250:H250"/>
    <mergeCell ref="A232:H232"/>
    <mergeCell ref="A205:O205"/>
    <mergeCell ref="E237:H237"/>
    <mergeCell ref="A300:E300"/>
    <mergeCell ref="E256:H256"/>
    <mergeCell ref="B3:O3"/>
    <mergeCell ref="A260:K260"/>
    <mergeCell ref="A285:F285"/>
    <mergeCell ref="E243:H243"/>
    <mergeCell ref="E239:H239"/>
    <mergeCell ref="A136:O136"/>
    <mergeCell ref="E246:H246"/>
    <mergeCell ref="A154:O154"/>
    <mergeCell ref="E242:H242"/>
    <mergeCell ref="E255:H255"/>
    <mergeCell ref="E233:H233"/>
    <mergeCell ref="E251:H251"/>
    <mergeCell ref="A86:O86"/>
    <mergeCell ref="A179:O179"/>
    <mergeCell ref="A195:O195"/>
    <mergeCell ref="A42:O42"/>
    <mergeCell ref="E238:H238"/>
    <mergeCell ref="E258:H258"/>
    <mergeCell ref="A292:E292"/>
    <mergeCell ref="A5:O5"/>
    <mergeCell ref="A23:O23"/>
    <mergeCell ref="E248:H248"/>
    <mergeCell ref="A159:O159"/>
    <mergeCell ref="E235:H235"/>
    <mergeCell ref="A97:O97"/>
    <mergeCell ref="A206:O206"/>
    <mergeCell ref="A209:O209"/>
    <mergeCell ref="E247:H247"/>
    <mergeCell ref="E254:H254"/>
    <mergeCell ref="E234:H234"/>
    <mergeCell ref="A190:O190"/>
    <mergeCell ref="E253:H253"/>
    <mergeCell ref="E244:H244"/>
    <mergeCell ref="E240:H240"/>
    <mergeCell ref="A230:O230"/>
    <mergeCell ref="E236:H236"/>
    <mergeCell ref="A34:O34"/>
    <mergeCell ref="A92:O92"/>
    <mergeCell ref="A114:O114"/>
    <mergeCell ref="E249:H249"/>
    <mergeCell ref="E245:H245"/>
    <mergeCell ref="A191:O191"/>
    <mergeCell ref="A207:O207"/>
    <mergeCell ref="A49:O49"/>
    <mergeCell ref="E252:H252"/>
    <mergeCell ref="A1:O1"/>
    <mergeCell ref="A103:O103"/>
    <mergeCell ref="E241:H241"/>
    <mergeCell ref="E257:H257"/>
    <mergeCell ref="A61:O61"/>
  </mergeCells>
  <dataValidations count="37">
    <dataValidation sqref="B192" showDropDown="0" showInputMessage="0" showErrorMessage="1" allowBlank="0" errorTitle="Выбери значение из списка" error="Свободный ввод не предусмотрен для этого поля." type="list" errorStyle="stop">
      <formula1>$C$197:$E$197</formula1>
    </dataValidation>
    <dataValidation sqref="C198:C203 E198:E203" showDropDown="0" showInputMessage="0" showErrorMessage="1" allowBlank="0" type="decimal" operator="greaterThanOrEqual">
      <formula1>0</formula1>
    </dataValidation>
    <dataValidation sqref="G198:G203" showDropDown="0" showInputMessage="0" showErrorMessage="1" allowBlank="0" type="decimal" operator="between">
      <formula1>0</formula1>
      <formula2>0.99</formula2>
    </dataValidation>
    <dataValidation sqref="D138:D150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129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"ИП,Сотрудник"</formula1>
    </dataValidation>
    <dataValidation sqref="B29 B31 B33 B82:B85 B173 B175 B177 B252:B254 B256" showDropDown="0" showInputMessage="0" showErrorMessage="1" allowBlank="0" errorTitle="Выбери значение из списка" error="Свободный ввод не предусмотрен для этого поля." type="list" errorStyle="stop">
      <formula1>"1,2,3,4,5,6,7,8,9,10,11,12"</formula1>
    </dataValidation>
    <dataValidation sqref="B234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38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39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41" showDropDown="0" showInputMessage="0" showErrorMessage="1" allowBlank="0" errorTitle="Выбери значение из списка" error="Свободный ввод не предусмотрен для этого поля." type="list" errorStyle="stop">
      <formula1>"Да,Нет"</formula1>
    </dataValidation>
    <dataValidation sqref="B233" showDropDown="0" showInputMessage="0" showErrorMessage="1" allowBlank="0" errorTitle="Выбери значение из списка" error="Свободный ввод не предусмотрен для этого поля." type="list" errorStyle="stop">
      <formula1>$A$198:$A$203</formula1>
    </dataValidation>
    <dataValidation sqref="B15" showDropDown="0" showInputMessage="0" showErrorMessage="1" allowBlank="0" type="whole" operator="between">
      <formula1>0</formula1>
      <formula2>12</formula2>
    </dataValidation>
    <dataValidation sqref="B27" showDropDown="0" showInputMessage="0" showErrorMessage="1" allowBlank="0" type="whole" operator="between">
      <formula1>0</formula1>
      <formula2>12</formula2>
    </dataValidation>
    <dataValidation sqref="B235" showDropDown="0" showInputMessage="0" showErrorMessage="1" allowBlank="0" type="whole" operator="between">
      <formula1>0</formula1>
      <formula2>12</formula2>
    </dataValidation>
    <dataValidation sqref="B243" showDropDown="0" showInputMessage="0" showErrorMessage="1" allowBlank="0" type="whole" operator="between">
      <formula1>0</formula1>
      <formula2>12</formula2>
    </dataValidation>
    <dataValidation sqref="B80" showDropDown="0" showInputMessage="0" showErrorMessage="1" allowBlank="0" type="whole" operator="between">
      <formula1>1</formula1>
      <formula2>6</formula2>
    </dataValidation>
    <dataValidation sqref="B19" showDropDown="0" showInputMessage="0" showErrorMessage="1" allowBlank="0" type="decimal" operator="between">
      <formula1>0</formula1>
      <formula2>30</formula2>
    </dataValidation>
    <dataValidation sqref="B225" showDropDown="0" showInputMessage="0" showErrorMessage="1" allowBlank="0" type="decimal" operator="between">
      <formula1>0</formula1>
      <formula2>30</formula2>
    </dataValidation>
    <dataValidation sqref="B288" showDropDown="0" showInputMessage="0" showErrorMessage="1" allowBlank="0" error="Выбери значение из списка." type="list" errorStyle="stop">
      <formula1>"С НДС,Без НДС"</formula1>
    </dataValidation>
    <dataValidation sqref="B290" showDropDown="0" showInputMessage="0" showErrorMessage="1" allowBlank="0" error="Выбери значение из списка." type="list" errorStyle="stop">
      <formula1>"Да,Нет"</formula1>
    </dataValidation>
    <dataValidation sqref="B286" showDropDown="0" showInputMessage="0" showErrorMessage="1" allowBlank="0" type="decimal" operator="between">
      <formula1>0</formula1>
      <formula2>1</formula2>
    </dataValidation>
    <dataValidation sqref="B287" showDropDown="0" showInputMessage="0" showErrorMessage="1" allowBlank="0" type="decimal" operator="between">
      <formula1>0</formula1>
      <formula2>10000000000</formula2>
    </dataValidation>
    <dataValidation sqref="B294:B295" showDropDown="0" showInputMessage="0" showErrorMessage="1" allowBlank="0" type="list">
      <formula1>"Да,Нет"</formula1>
    </dataValidation>
    <dataValidation sqref="B296" showDropDown="0" showInputMessage="0" showErrorMessage="1" allowBlank="0" type="list">
      <formula1>"Новый сезон,Через 12 месяцев"</formula1>
    </dataValidation>
    <dataValidation sqref="B297" showDropDown="0" showInputMessage="0" showErrorMessage="0" allowBlank="0" type="whole" operator="between">
      <formula1>0</formula1>
      <formula2>24</formula2>
    </dataValidation>
    <dataValidation sqref="B298" showDropDown="0" showInputMessage="0" showErrorMessage="0" allowBlank="0" type="decimal" operator="between">
      <formula1>0</formula1>
      <formula2>1</formula2>
    </dataValidation>
    <dataValidation sqref="B188" showDropDown="0" showInputMessage="0" showErrorMessage="0" allowBlank="0" errorTitle="Некорректный режим" error="Выберите один из двух режимов." promptTitle="История" prompt="Выберите, включать ли доступный факт сезона 25/26 в общий результат." type="list">
      <formula1>"Без истории,С историей"</formula1>
    </dataValidation>
    <dataValidation sqref="B7" showDropDown="0" showInputMessage="1" showErrorMessage="1" allowBlank="0" errorTitle="Дата старта" error="Старт ставится на первое число месяца: месяц — минимальный шаг модели. Месяц может быть любым — сезонность, веса продаж и согласованный мерч ищутся по календарю." promptTitle="Дата старта модели" prompt="Первое число любого месяца." type="custom">
      <formula1>=DAY($B$7)=1</formula1>
    </dataValidation>
    <dataValidation sqref="B7 B81 B242 B244 B245 B246 B247 B248 B249 B250 B251 B255 B293" showDropDown="0" showInputMessage="1" showErrorMessage="1" allowBlank="0" errorTitle="Нужна дата" error="Введите дату между 2020 и 2040 годом." type="date" operator="between">
      <formula1>DATE(2020,1,1)</formula1>
      <formula2>DATE(2040,12,31)</formula2>
    </dataValidation>
    <dataValidation sqref="B8 B15 B19 B27 B80 B235 B243 B297 B310 B311" showDropDown="0" showInputMessage="1" showErrorMessage="1" allowBlank="0" errorTitle="Целое число" error="Срок задаётся целым числом, от 0 до 120." type="whole" operator="between">
      <formula1>0</formula1>
      <formula2>120</formula2>
    </dataValidation>
    <dataValidation sqref="B9 B10 B11 B16 B22 B106 B117 B118 B161 B162 B163 B337 B338 B339" showDropDown="0" showInputMessage="1" showErrorMessage="1" allowBlank="0" errorTitle="Количество" error="Введите неотрицательное число." type="decimal" operator="between">
      <formula1>0</formula1>
      <formula2>100000</formula2>
    </dataValidation>
    <dataValidation sqref="B12 B13 B25 B55 B56 B57 B58 B59 B60 B72 B75 B76 B79 B116 B125 B128 B131 B156 B157 B169 B171 B172 B174 B176 B240 B286 B298" showDropDown="0" showInputMessage="1" showErrorMessage="1" allowBlank="0" errorTitle="Доля, а не проценты" error="Вводите долей: 6,5 % это 0,065. Допустимо от 0 до 1." promptTitle="Конверсия продажа - открытие" prompt="Долей: 0,065 = 6,5 %" type="decimal" operator="between">
      <formula1>0</formula1>
      <formula2>1</formula2>
    </dataValidation>
    <dataValidation sqref="B17 B28 B30 B32 B71 B77 B78 B105 B107 B108 B109 B110 B111 B112 B119 B121 B122 B123 B124 B127 B133 B134 B135 B164 B165 B167 B170 B237 B287" showDropDown="0" showInputMessage="1" showErrorMessage="1" allowBlank="0" errorTitle="Сумма в рублях" error="Введите сумму числом, без пробелов и знака рубля. Отрицательные суммы не принимаются." type="decimal" operator="greaterThanOrEqual">
      <formula1>0</formula1>
    </dataValidation>
    <dataValidation sqref="B29 B31 B33 B82 B83 B84 B85 B173 B175 B177" showDropDown="0" showInputMessage="1" showErrorMessage="1" allowBlank="0" errorTitle="Номер месяца" error="От 1 (январь) до 12 (декабрь)." type="whole" operator="between">
      <formula1>1</formula1>
      <formula2>12</formula2>
    </dataValidation>
    <dataValidation sqref="B192" showDropDown="0" showInputMessage="1" showErrorMessage="1" allowBlank="0" errorTitle="Только три сценария" error="Выберите негативный, базовый или позитивный." type="list">
      <formula1>"Негативный,Базовый,Позитивный"</formula1>
    </dataValidation>
    <dataValidation sqref="B234 B238 B239 B241 B294 B295 B322" showDropDown="0" showInputMessage="1" showErrorMessage="1" allowBlank="0" errorTitle="Только Да или Нет" error="Выберите значение из списка." promptTitle="Учитывать сезон 25/26" prompt="Да или Нет" type="list">
      <formula1>"Да,Нет"</formula1>
    </dataValidation>
    <dataValidation sqref="B336" showDropDown="0" showInputMessage="1" showErrorMessage="1" allowBlank="0" errorTitle="Сумма в рублях" error="Введите сумму числом, без пробелов и знака рубля. Минус допустим: убыток и отток — тоже результат." type="decimal" operator="between">
      <formula1>-1000000000000</formula1>
      <formula2>1000000000000</formula2>
    </dataValidation>
  </dataValidations>
  <hyperlinks>
    <hyperlink ref="G2" location="'00_Старт'!A1"/>
    <hyperlink ref="H2" location="'14а_Сверка_с_ТЗ'!A1"/>
    <hyperlink ref="A4" location="'01_Вводные'!A190"/>
    <hyperlink ref="G4" location="'01_Вводные'!A190"/>
    <hyperlink ref="H4" location="'01_Вводные'!A260"/>
    <hyperlink ref="G6" location="'01_Вводные'!A232"/>
    <hyperlink ref="H6" location="'01_Вводные'!A285"/>
    <hyperlink ref="G8" location="'01_Вводные'!A309"/>
    <hyperlink ref="H8" location="'01_Вводные'!A321"/>
    <hyperlink ref="D192" location="'03_Сценарии'!A1"/>
    <hyperlink ref="E192" location="'12_Чувствительность'!A1"/>
  </hyperlink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01_Вводные&amp;R&amp;P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BI100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24" customHeight="1">
      <c r="A1" s="1" t="inlineStr">
        <is>
          <t>Помесячная модель — БДР и БДДС</t>
        </is>
      </c>
    </row>
    <row r="2"/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</row>
    <row r="4">
      <c r="B4" s="127">
        <f>INT((0)/12)+1</f>
        <v/>
      </c>
      <c r="C4" s="127">
        <f>INT((1)/12)+1</f>
        <v/>
      </c>
      <c r="D4" s="127">
        <f>INT((2)/12)+1</f>
        <v/>
      </c>
      <c r="E4" s="127">
        <f>INT((3)/12)+1</f>
        <v/>
      </c>
      <c r="F4" s="127">
        <f>INT((4)/12)+1</f>
        <v/>
      </c>
      <c r="G4" s="127">
        <f>INT((5)/12)+1</f>
        <v/>
      </c>
      <c r="H4" s="127">
        <f>INT((6)/12)+1</f>
        <v/>
      </c>
      <c r="I4" s="127">
        <f>INT((7)/12)+1</f>
        <v/>
      </c>
      <c r="J4" s="127">
        <f>INT((8)/12)+1</f>
        <v/>
      </c>
      <c r="K4" s="127">
        <f>INT((9)/12)+1</f>
        <v/>
      </c>
      <c r="L4" s="127">
        <f>INT((10)/12)+1</f>
        <v/>
      </c>
      <c r="M4" s="127">
        <f>INT((11)/12)+1</f>
        <v/>
      </c>
      <c r="N4" s="127">
        <f>INT((12)/12)+1</f>
        <v/>
      </c>
      <c r="O4" s="127">
        <f>INT((13)/12)+1</f>
        <v/>
      </c>
      <c r="P4" s="127">
        <f>INT((14)/12)+1</f>
        <v/>
      </c>
      <c r="Q4" s="127">
        <f>INT((15)/12)+1</f>
        <v/>
      </c>
      <c r="R4" s="127">
        <f>INT((16)/12)+1</f>
        <v/>
      </c>
      <c r="S4" s="127">
        <f>INT((17)/12)+1</f>
        <v/>
      </c>
      <c r="T4" s="127">
        <f>INT((18)/12)+1</f>
        <v/>
      </c>
      <c r="U4" s="127">
        <f>INT((19)/12)+1</f>
        <v/>
      </c>
      <c r="V4" s="127">
        <f>INT((20)/12)+1</f>
        <v/>
      </c>
      <c r="W4" s="127">
        <f>INT((21)/12)+1</f>
        <v/>
      </c>
      <c r="X4" s="127">
        <f>INT((22)/12)+1</f>
        <v/>
      </c>
      <c r="Y4" s="127">
        <f>INT((23)/12)+1</f>
        <v/>
      </c>
      <c r="Z4" s="127">
        <f>INT((24)/12)+1</f>
        <v/>
      </c>
      <c r="AA4" s="127">
        <f>INT((25)/12)+1</f>
        <v/>
      </c>
      <c r="AB4" s="127">
        <f>INT((26)/12)+1</f>
        <v/>
      </c>
      <c r="AC4" s="127">
        <f>INT((27)/12)+1</f>
        <v/>
      </c>
      <c r="AD4" s="127">
        <f>INT((28)/12)+1</f>
        <v/>
      </c>
      <c r="AE4" s="127">
        <f>INT((29)/12)+1</f>
        <v/>
      </c>
      <c r="AF4" s="127">
        <f>INT((30)/12)+1</f>
        <v/>
      </c>
      <c r="AG4" s="127">
        <f>INT((31)/12)+1</f>
        <v/>
      </c>
      <c r="AH4" s="127">
        <f>INT((32)/12)+1</f>
        <v/>
      </c>
      <c r="AI4" s="127">
        <f>INT((33)/12)+1</f>
        <v/>
      </c>
      <c r="AJ4" s="127">
        <f>INT((34)/12)+1</f>
        <v/>
      </c>
      <c r="AK4" s="127">
        <f>INT((35)/12)+1</f>
        <v/>
      </c>
      <c r="AL4" s="127">
        <f>INT((36)/12)+1</f>
        <v/>
      </c>
      <c r="AM4" s="127">
        <f>INT((37)/12)+1</f>
        <v/>
      </c>
      <c r="AN4" s="127">
        <f>INT((38)/12)+1</f>
        <v/>
      </c>
      <c r="AO4" s="127">
        <f>INT((39)/12)+1</f>
        <v/>
      </c>
      <c r="AP4" s="127">
        <f>INT((40)/12)+1</f>
        <v/>
      </c>
      <c r="AQ4" s="127">
        <f>INT((41)/12)+1</f>
        <v/>
      </c>
      <c r="AR4" s="127">
        <f>INT((42)/12)+1</f>
        <v/>
      </c>
      <c r="AS4" s="127">
        <f>INT((43)/12)+1</f>
        <v/>
      </c>
      <c r="AT4" s="127">
        <f>INT((44)/12)+1</f>
        <v/>
      </c>
      <c r="AU4" s="127">
        <f>INT((45)/12)+1</f>
        <v/>
      </c>
      <c r="AV4" s="127">
        <f>INT((46)/12)+1</f>
        <v/>
      </c>
      <c r="AW4" s="127">
        <f>INT((47)/12)+1</f>
        <v/>
      </c>
      <c r="AX4" s="127">
        <f>INT((48)/12)+1</f>
        <v/>
      </c>
      <c r="AY4" s="127">
        <f>INT((49)/12)+1</f>
        <v/>
      </c>
      <c r="AZ4" s="127">
        <f>INT((50)/12)+1</f>
        <v/>
      </c>
      <c r="BA4" s="127">
        <f>INT((51)/12)+1</f>
        <v/>
      </c>
      <c r="BB4" s="127">
        <f>INT((52)/12)+1</f>
        <v/>
      </c>
      <c r="BC4" s="127">
        <f>INT((53)/12)+1</f>
        <v/>
      </c>
      <c r="BD4" s="127">
        <f>INT((54)/12)+1</f>
        <v/>
      </c>
      <c r="BE4" s="127">
        <f>INT((55)/12)+1</f>
        <v/>
      </c>
      <c r="BF4" s="127">
        <f>INT((56)/12)+1</f>
        <v/>
      </c>
      <c r="BG4" s="127">
        <f>INT((57)/12)+1</f>
        <v/>
      </c>
      <c r="BH4" s="127">
        <f>INT((58)/12)+1</f>
        <v/>
      </c>
      <c r="BI4" s="127">
        <f>INT((59)/12)+1</f>
        <v/>
      </c>
    </row>
    <row r="5" ht="20" customHeight="1">
      <c r="A5" s="4" t="inlineStr">
        <is>
          <t>Операционные драйверы</t>
        </is>
      </c>
    </row>
    <row r="6">
      <c r="A6" s="2" t="inlineStr">
        <is>
          <t>Сезон</t>
        </is>
      </c>
      <c r="B6" s="40">
        <f>'06_Сеть_и_дети'!B4</f>
        <v/>
      </c>
      <c r="C6" s="40">
        <f>'06_Сеть_и_дети'!C4</f>
        <v/>
      </c>
      <c r="D6" s="40">
        <f>'06_Сеть_и_дети'!D4</f>
        <v/>
      </c>
      <c r="E6" s="40">
        <f>'06_Сеть_и_дети'!E4</f>
        <v/>
      </c>
      <c r="F6" s="40">
        <f>'06_Сеть_и_дети'!F4</f>
        <v/>
      </c>
      <c r="G6" s="40">
        <f>'06_Сеть_и_дети'!G4</f>
        <v/>
      </c>
      <c r="H6" s="40">
        <f>'06_Сеть_и_дети'!H4</f>
        <v/>
      </c>
      <c r="I6" s="40">
        <f>'06_Сеть_и_дети'!I4</f>
        <v/>
      </c>
      <c r="J6" s="40">
        <f>'06_Сеть_и_дети'!J4</f>
        <v/>
      </c>
      <c r="K6" s="40">
        <f>'06_Сеть_и_дети'!K4</f>
        <v/>
      </c>
      <c r="L6" s="40">
        <f>'06_Сеть_и_дети'!L4</f>
        <v/>
      </c>
      <c r="M6" s="40">
        <f>'06_Сеть_и_дети'!M4</f>
        <v/>
      </c>
      <c r="N6" s="40">
        <f>'06_Сеть_и_дети'!N4</f>
        <v/>
      </c>
      <c r="O6" s="40">
        <f>'06_Сеть_и_дети'!O4</f>
        <v/>
      </c>
      <c r="P6" s="40">
        <f>'06_Сеть_и_дети'!P4</f>
        <v/>
      </c>
      <c r="Q6" s="40">
        <f>'06_Сеть_и_дети'!Q4</f>
        <v/>
      </c>
      <c r="R6" s="40">
        <f>'06_Сеть_и_дети'!R4</f>
        <v/>
      </c>
      <c r="S6" s="40">
        <f>'06_Сеть_и_дети'!S4</f>
        <v/>
      </c>
      <c r="T6" s="40">
        <f>'06_Сеть_и_дети'!T4</f>
        <v/>
      </c>
      <c r="U6" s="40">
        <f>'06_Сеть_и_дети'!U4</f>
        <v/>
      </c>
      <c r="V6" s="40">
        <f>'06_Сеть_и_дети'!V4</f>
        <v/>
      </c>
      <c r="W6" s="40">
        <f>'06_Сеть_и_дети'!W4</f>
        <v/>
      </c>
      <c r="X6" s="40">
        <f>'06_Сеть_и_дети'!X4</f>
        <v/>
      </c>
      <c r="Y6" s="40">
        <f>'06_Сеть_и_дети'!Y4</f>
        <v/>
      </c>
      <c r="Z6" s="40">
        <f>'06_Сеть_и_дети'!Z4</f>
        <v/>
      </c>
      <c r="AA6" s="40">
        <f>'06_Сеть_и_дети'!AA4</f>
        <v/>
      </c>
      <c r="AB6" s="40">
        <f>'06_Сеть_и_дети'!AB4</f>
        <v/>
      </c>
      <c r="AC6" s="40">
        <f>'06_Сеть_и_дети'!AC4</f>
        <v/>
      </c>
      <c r="AD6" s="40">
        <f>'06_Сеть_и_дети'!AD4</f>
        <v/>
      </c>
      <c r="AE6" s="40">
        <f>'06_Сеть_и_дети'!AE4</f>
        <v/>
      </c>
      <c r="AF6" s="40">
        <f>'06_Сеть_и_дети'!AF4</f>
        <v/>
      </c>
      <c r="AG6" s="40">
        <f>'06_Сеть_и_дети'!AG4</f>
        <v/>
      </c>
      <c r="AH6" s="40">
        <f>'06_Сеть_и_дети'!AH4</f>
        <v/>
      </c>
      <c r="AI6" s="40">
        <f>'06_Сеть_и_дети'!AI4</f>
        <v/>
      </c>
      <c r="AJ6" s="40">
        <f>'06_Сеть_и_дети'!AJ4</f>
        <v/>
      </c>
      <c r="AK6" s="40">
        <f>'06_Сеть_и_дети'!AK4</f>
        <v/>
      </c>
      <c r="AL6" s="40">
        <f>'06_Сеть_и_дети'!AL4</f>
        <v/>
      </c>
      <c r="AM6" s="40">
        <f>'06_Сеть_и_дети'!AM4</f>
        <v/>
      </c>
      <c r="AN6" s="40">
        <f>'06_Сеть_и_дети'!AN4</f>
        <v/>
      </c>
      <c r="AO6" s="40">
        <f>'06_Сеть_и_дети'!AO4</f>
        <v/>
      </c>
      <c r="AP6" s="40">
        <f>'06_Сеть_и_дети'!AP4</f>
        <v/>
      </c>
      <c r="AQ6" s="40">
        <f>'06_Сеть_и_дети'!AQ4</f>
        <v/>
      </c>
      <c r="AR6" s="40">
        <f>'06_Сеть_и_дети'!AR4</f>
        <v/>
      </c>
      <c r="AS6" s="40">
        <f>'06_Сеть_и_дети'!AS4</f>
        <v/>
      </c>
      <c r="AT6" s="40">
        <f>'06_Сеть_и_дети'!AT4</f>
        <v/>
      </c>
      <c r="AU6" s="40">
        <f>'06_Сеть_и_дети'!AU4</f>
        <v/>
      </c>
      <c r="AV6" s="40">
        <f>'06_Сеть_и_дети'!AV4</f>
        <v/>
      </c>
      <c r="AW6" s="40">
        <f>'06_Сеть_и_дети'!AW4</f>
        <v/>
      </c>
      <c r="AX6" s="40">
        <f>'06_Сеть_и_дети'!AX4</f>
        <v/>
      </c>
      <c r="AY6" s="40">
        <f>'06_Сеть_и_дети'!AY4</f>
        <v/>
      </c>
      <c r="AZ6" s="40">
        <f>'06_Сеть_и_дети'!AZ4</f>
        <v/>
      </c>
      <c r="BA6" s="40">
        <f>'06_Сеть_и_дети'!BA4</f>
        <v/>
      </c>
      <c r="BB6" s="40">
        <f>'06_Сеть_и_дети'!BB4</f>
        <v/>
      </c>
      <c r="BC6" s="40">
        <f>'06_Сеть_и_дети'!BC4</f>
        <v/>
      </c>
      <c r="BD6" s="40">
        <f>'06_Сеть_и_дети'!BD4</f>
        <v/>
      </c>
      <c r="BE6" s="40">
        <f>'06_Сеть_и_дети'!BE4</f>
        <v/>
      </c>
      <c r="BF6" s="40">
        <f>'06_Сеть_и_дети'!BF4</f>
        <v/>
      </c>
      <c r="BG6" s="40">
        <f>'06_Сеть_и_дети'!BG4</f>
        <v/>
      </c>
      <c r="BH6" s="40">
        <f>'06_Сеть_и_дети'!BH4</f>
        <v/>
      </c>
      <c r="BI6" s="40">
        <f>'06_Сеть_и_дети'!BI4</f>
        <v/>
      </c>
    </row>
    <row r="7">
      <c r="A7" s="2" t="inlineStr">
        <is>
          <t>Сезонность посещаемости</t>
        </is>
      </c>
      <c r="B7" s="124">
        <f>'06_Сеть_и_дети'!B5</f>
        <v/>
      </c>
      <c r="C7" s="124">
        <f>'06_Сеть_и_дети'!C5</f>
        <v/>
      </c>
      <c r="D7" s="124">
        <f>'06_Сеть_и_дети'!D5</f>
        <v/>
      </c>
      <c r="E7" s="124">
        <f>'06_Сеть_и_дети'!E5</f>
        <v/>
      </c>
      <c r="F7" s="124">
        <f>'06_Сеть_и_дети'!F5</f>
        <v/>
      </c>
      <c r="G7" s="124">
        <f>'06_Сеть_и_дети'!G5</f>
        <v/>
      </c>
      <c r="H7" s="124">
        <f>'06_Сеть_и_дети'!H5</f>
        <v/>
      </c>
      <c r="I7" s="124">
        <f>'06_Сеть_и_дети'!I5</f>
        <v/>
      </c>
      <c r="J7" s="124">
        <f>'06_Сеть_и_дети'!J5</f>
        <v/>
      </c>
      <c r="K7" s="124">
        <f>'06_Сеть_и_дети'!K5</f>
        <v/>
      </c>
      <c r="L7" s="124">
        <f>'06_Сеть_и_дети'!L5</f>
        <v/>
      </c>
      <c r="M7" s="124">
        <f>'06_Сеть_и_дети'!M5</f>
        <v/>
      </c>
      <c r="N7" s="124">
        <f>'06_Сеть_и_дети'!N5</f>
        <v/>
      </c>
      <c r="O7" s="124">
        <f>'06_Сеть_и_дети'!O5</f>
        <v/>
      </c>
      <c r="P7" s="124">
        <f>'06_Сеть_и_дети'!P5</f>
        <v/>
      </c>
      <c r="Q7" s="124">
        <f>'06_Сеть_и_дети'!Q5</f>
        <v/>
      </c>
      <c r="R7" s="124">
        <f>'06_Сеть_и_дети'!R5</f>
        <v/>
      </c>
      <c r="S7" s="124">
        <f>'06_Сеть_и_дети'!S5</f>
        <v/>
      </c>
      <c r="T7" s="124">
        <f>'06_Сеть_и_дети'!T5</f>
        <v/>
      </c>
      <c r="U7" s="124">
        <f>'06_Сеть_и_дети'!U5</f>
        <v/>
      </c>
      <c r="V7" s="124">
        <f>'06_Сеть_и_дети'!V5</f>
        <v/>
      </c>
      <c r="W7" s="124">
        <f>'06_Сеть_и_дети'!W5</f>
        <v/>
      </c>
      <c r="X7" s="124">
        <f>'06_Сеть_и_дети'!X5</f>
        <v/>
      </c>
      <c r="Y7" s="124">
        <f>'06_Сеть_и_дети'!Y5</f>
        <v/>
      </c>
      <c r="Z7" s="124">
        <f>'06_Сеть_и_дети'!Z5</f>
        <v/>
      </c>
      <c r="AA7" s="124">
        <f>'06_Сеть_и_дети'!AA5</f>
        <v/>
      </c>
      <c r="AB7" s="124">
        <f>'06_Сеть_и_дети'!AB5</f>
        <v/>
      </c>
      <c r="AC7" s="124">
        <f>'06_Сеть_и_дети'!AC5</f>
        <v/>
      </c>
      <c r="AD7" s="124">
        <f>'06_Сеть_и_дети'!AD5</f>
        <v/>
      </c>
      <c r="AE7" s="124">
        <f>'06_Сеть_и_дети'!AE5</f>
        <v/>
      </c>
      <c r="AF7" s="124">
        <f>'06_Сеть_и_дети'!AF5</f>
        <v/>
      </c>
      <c r="AG7" s="124">
        <f>'06_Сеть_и_дети'!AG5</f>
        <v/>
      </c>
      <c r="AH7" s="124">
        <f>'06_Сеть_и_дети'!AH5</f>
        <v/>
      </c>
      <c r="AI7" s="124">
        <f>'06_Сеть_и_дети'!AI5</f>
        <v/>
      </c>
      <c r="AJ7" s="124">
        <f>'06_Сеть_и_дети'!AJ5</f>
        <v/>
      </c>
      <c r="AK7" s="124">
        <f>'06_Сеть_и_дети'!AK5</f>
        <v/>
      </c>
      <c r="AL7" s="124">
        <f>'06_Сеть_и_дети'!AL5</f>
        <v/>
      </c>
      <c r="AM7" s="124">
        <f>'06_Сеть_и_дети'!AM5</f>
        <v/>
      </c>
      <c r="AN7" s="124">
        <f>'06_Сеть_и_дети'!AN5</f>
        <v/>
      </c>
      <c r="AO7" s="124">
        <f>'06_Сеть_и_дети'!AO5</f>
        <v/>
      </c>
      <c r="AP7" s="124">
        <f>'06_Сеть_и_дети'!AP5</f>
        <v/>
      </c>
      <c r="AQ7" s="124">
        <f>'06_Сеть_и_дети'!AQ5</f>
        <v/>
      </c>
      <c r="AR7" s="124">
        <f>'06_Сеть_и_дети'!AR5</f>
        <v/>
      </c>
      <c r="AS7" s="124">
        <f>'06_Сеть_и_дети'!AS5</f>
        <v/>
      </c>
      <c r="AT7" s="124">
        <f>'06_Сеть_и_дети'!AT5</f>
        <v/>
      </c>
      <c r="AU7" s="124">
        <f>'06_Сеть_и_дети'!AU5</f>
        <v/>
      </c>
      <c r="AV7" s="124">
        <f>'06_Сеть_и_дети'!AV5</f>
        <v/>
      </c>
      <c r="AW7" s="124">
        <f>'06_Сеть_и_дети'!AW5</f>
        <v/>
      </c>
      <c r="AX7" s="124">
        <f>'06_Сеть_и_дети'!AX5</f>
        <v/>
      </c>
      <c r="AY7" s="124">
        <f>'06_Сеть_и_дети'!AY5</f>
        <v/>
      </c>
      <c r="AZ7" s="124">
        <f>'06_Сеть_и_дети'!AZ5</f>
        <v/>
      </c>
      <c r="BA7" s="124">
        <f>'06_Сеть_и_дети'!BA5</f>
        <v/>
      </c>
      <c r="BB7" s="124">
        <f>'06_Сеть_и_дети'!BB5</f>
        <v/>
      </c>
      <c r="BC7" s="124">
        <f>'06_Сеть_и_дети'!BC5</f>
        <v/>
      </c>
      <c r="BD7" s="124">
        <f>'06_Сеть_и_дети'!BD5</f>
        <v/>
      </c>
      <c r="BE7" s="124">
        <f>'06_Сеть_и_дети'!BE5</f>
        <v/>
      </c>
      <c r="BF7" s="124">
        <f>'06_Сеть_и_дети'!BF5</f>
        <v/>
      </c>
      <c r="BG7" s="124">
        <f>'06_Сеть_и_дети'!BG5</f>
        <v/>
      </c>
      <c r="BH7" s="124">
        <f>'06_Сеть_и_дети'!BH5</f>
        <v/>
      </c>
      <c r="BI7" s="124">
        <f>'06_Сеть_и_дети'!BI5</f>
        <v/>
      </c>
    </row>
    <row r="8"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</row>
    <row r="9">
      <c r="A9" s="2" t="inlineStr">
        <is>
          <t>Действующая сеть — школы</t>
        </is>
      </c>
      <c r="B9" s="40">
        <f>'06_Сеть_и_дети'!B11</f>
        <v/>
      </c>
      <c r="C9" s="40">
        <f>'06_Сеть_и_дети'!C11</f>
        <v/>
      </c>
      <c r="D9" s="40">
        <f>'06_Сеть_и_дети'!D11</f>
        <v/>
      </c>
      <c r="E9" s="40">
        <f>'06_Сеть_и_дети'!E11</f>
        <v/>
      </c>
      <c r="F9" s="40">
        <f>'06_Сеть_и_дети'!F11</f>
        <v/>
      </c>
      <c r="G9" s="40">
        <f>'06_Сеть_и_дети'!G11</f>
        <v/>
      </c>
      <c r="H9" s="40">
        <f>'06_Сеть_и_дети'!H11</f>
        <v/>
      </c>
      <c r="I9" s="40">
        <f>'06_Сеть_и_дети'!I11</f>
        <v/>
      </c>
      <c r="J9" s="40">
        <f>'06_Сеть_и_дети'!J11</f>
        <v/>
      </c>
      <c r="K9" s="40">
        <f>'06_Сеть_и_дети'!K11</f>
        <v/>
      </c>
      <c r="L9" s="40">
        <f>'06_Сеть_и_дети'!L11</f>
        <v/>
      </c>
      <c r="M9" s="40">
        <f>'06_Сеть_и_дети'!M11</f>
        <v/>
      </c>
      <c r="N9" s="40">
        <f>'06_Сеть_и_дети'!N11</f>
        <v/>
      </c>
      <c r="O9" s="40">
        <f>'06_Сеть_и_дети'!O11</f>
        <v/>
      </c>
      <c r="P9" s="40">
        <f>'06_Сеть_и_дети'!P11</f>
        <v/>
      </c>
      <c r="Q9" s="40">
        <f>'06_Сеть_и_дети'!Q11</f>
        <v/>
      </c>
      <c r="R9" s="40">
        <f>'06_Сеть_и_дети'!R11</f>
        <v/>
      </c>
      <c r="S9" s="40">
        <f>'06_Сеть_и_дети'!S11</f>
        <v/>
      </c>
      <c r="T9" s="40">
        <f>'06_Сеть_и_дети'!T11</f>
        <v/>
      </c>
      <c r="U9" s="40">
        <f>'06_Сеть_и_дети'!U11</f>
        <v/>
      </c>
      <c r="V9" s="40">
        <f>'06_Сеть_и_дети'!V11</f>
        <v/>
      </c>
      <c r="W9" s="40">
        <f>'06_Сеть_и_дети'!W11</f>
        <v/>
      </c>
      <c r="X9" s="40">
        <f>'06_Сеть_и_дети'!X11</f>
        <v/>
      </c>
      <c r="Y9" s="40">
        <f>'06_Сеть_и_дети'!Y11</f>
        <v/>
      </c>
      <c r="Z9" s="40">
        <f>'06_Сеть_и_дети'!Z11</f>
        <v/>
      </c>
      <c r="AA9" s="40">
        <f>'06_Сеть_и_дети'!AA11</f>
        <v/>
      </c>
      <c r="AB9" s="40">
        <f>'06_Сеть_и_дети'!AB11</f>
        <v/>
      </c>
      <c r="AC9" s="40">
        <f>'06_Сеть_и_дети'!AC11</f>
        <v/>
      </c>
      <c r="AD9" s="40">
        <f>'06_Сеть_и_дети'!AD11</f>
        <v/>
      </c>
      <c r="AE9" s="40">
        <f>'06_Сеть_и_дети'!AE11</f>
        <v/>
      </c>
      <c r="AF9" s="40">
        <f>'06_Сеть_и_дети'!AF11</f>
        <v/>
      </c>
      <c r="AG9" s="40">
        <f>'06_Сеть_и_дети'!AG11</f>
        <v/>
      </c>
      <c r="AH9" s="40">
        <f>'06_Сеть_и_дети'!AH11</f>
        <v/>
      </c>
      <c r="AI9" s="40">
        <f>'06_Сеть_и_дети'!AI11</f>
        <v/>
      </c>
      <c r="AJ9" s="40">
        <f>'06_Сеть_и_дети'!AJ11</f>
        <v/>
      </c>
      <c r="AK9" s="40">
        <f>'06_Сеть_и_дети'!AK11</f>
        <v/>
      </c>
      <c r="AL9" s="40">
        <f>'06_Сеть_и_дети'!AL11</f>
        <v/>
      </c>
      <c r="AM9" s="40">
        <f>'06_Сеть_и_дети'!AM11</f>
        <v/>
      </c>
      <c r="AN9" s="40">
        <f>'06_Сеть_и_дети'!AN11</f>
        <v/>
      </c>
      <c r="AO9" s="40">
        <f>'06_Сеть_и_дети'!AO11</f>
        <v/>
      </c>
      <c r="AP9" s="40">
        <f>'06_Сеть_и_дети'!AP11</f>
        <v/>
      </c>
      <c r="AQ9" s="40">
        <f>'06_Сеть_и_дети'!AQ11</f>
        <v/>
      </c>
      <c r="AR9" s="40">
        <f>'06_Сеть_и_дети'!AR11</f>
        <v/>
      </c>
      <c r="AS9" s="40">
        <f>'06_Сеть_и_дети'!AS11</f>
        <v/>
      </c>
      <c r="AT9" s="40">
        <f>'06_Сеть_и_дети'!AT11</f>
        <v/>
      </c>
      <c r="AU9" s="40">
        <f>'06_Сеть_и_дети'!AU11</f>
        <v/>
      </c>
      <c r="AV9" s="40">
        <f>'06_Сеть_и_дети'!AV11</f>
        <v/>
      </c>
      <c r="AW9" s="40">
        <f>'06_Сеть_и_дети'!AW11</f>
        <v/>
      </c>
      <c r="AX9" s="40">
        <f>'06_Сеть_и_дети'!AX11</f>
        <v/>
      </c>
      <c r="AY9" s="40">
        <f>'06_Сеть_и_дети'!AY11</f>
        <v/>
      </c>
      <c r="AZ9" s="40">
        <f>'06_Сеть_и_дети'!AZ11</f>
        <v/>
      </c>
      <c r="BA9" s="40">
        <f>'06_Сеть_и_дети'!BA11</f>
        <v/>
      </c>
      <c r="BB9" s="40">
        <f>'06_Сеть_и_дети'!BB11</f>
        <v/>
      </c>
      <c r="BC9" s="40">
        <f>'06_Сеть_и_дети'!BC11</f>
        <v/>
      </c>
      <c r="BD9" s="40">
        <f>'06_Сеть_и_дети'!BD11</f>
        <v/>
      </c>
      <c r="BE9" s="40">
        <f>'06_Сеть_и_дети'!BE11</f>
        <v/>
      </c>
      <c r="BF9" s="40">
        <f>'06_Сеть_и_дети'!BF11</f>
        <v/>
      </c>
      <c r="BG9" s="40">
        <f>'06_Сеть_и_дети'!BG11</f>
        <v/>
      </c>
      <c r="BH9" s="40">
        <f>'06_Сеть_и_дети'!BH11</f>
        <v/>
      </c>
      <c r="BI9" s="40">
        <f>'06_Сеть_и_дети'!BI11</f>
        <v/>
      </c>
    </row>
    <row r="10">
      <c r="A10" s="2" t="inlineStr">
        <is>
          <t>Действующая сеть — дети 100% база</t>
        </is>
      </c>
      <c r="B10" s="40">
        <f>'06_Сеть_и_дети'!B19</f>
        <v/>
      </c>
      <c r="C10" s="40">
        <f>'06_Сеть_и_дети'!C19</f>
        <v/>
      </c>
      <c r="D10" s="40">
        <f>'06_Сеть_и_дети'!D19</f>
        <v/>
      </c>
      <c r="E10" s="40">
        <f>'06_Сеть_и_дети'!E19</f>
        <v/>
      </c>
      <c r="F10" s="40">
        <f>'06_Сеть_и_дети'!F19</f>
        <v/>
      </c>
      <c r="G10" s="40">
        <f>'06_Сеть_и_дети'!G19</f>
        <v/>
      </c>
      <c r="H10" s="40">
        <f>'06_Сеть_и_дети'!H19</f>
        <v/>
      </c>
      <c r="I10" s="40">
        <f>'06_Сеть_и_дети'!I19</f>
        <v/>
      </c>
      <c r="J10" s="40">
        <f>'06_Сеть_и_дети'!J19</f>
        <v/>
      </c>
      <c r="K10" s="40">
        <f>'06_Сеть_и_дети'!K19</f>
        <v/>
      </c>
      <c r="L10" s="40">
        <f>'06_Сеть_и_дети'!L19</f>
        <v/>
      </c>
      <c r="M10" s="40">
        <f>'06_Сеть_и_дети'!M19</f>
        <v/>
      </c>
      <c r="N10" s="40">
        <f>'06_Сеть_и_дети'!N19</f>
        <v/>
      </c>
      <c r="O10" s="40">
        <f>'06_Сеть_и_дети'!O19</f>
        <v/>
      </c>
      <c r="P10" s="40">
        <f>'06_Сеть_и_дети'!P19</f>
        <v/>
      </c>
      <c r="Q10" s="40">
        <f>'06_Сеть_и_дети'!Q19</f>
        <v/>
      </c>
      <c r="R10" s="40">
        <f>'06_Сеть_и_дети'!R19</f>
        <v/>
      </c>
      <c r="S10" s="40">
        <f>'06_Сеть_и_дети'!S19</f>
        <v/>
      </c>
      <c r="T10" s="40">
        <f>'06_Сеть_и_дети'!T19</f>
        <v/>
      </c>
      <c r="U10" s="40">
        <f>'06_Сеть_и_дети'!U19</f>
        <v/>
      </c>
      <c r="V10" s="40">
        <f>'06_Сеть_и_дети'!V19</f>
        <v/>
      </c>
      <c r="W10" s="40">
        <f>'06_Сеть_и_дети'!W19</f>
        <v/>
      </c>
      <c r="X10" s="40">
        <f>'06_Сеть_и_дети'!X19</f>
        <v/>
      </c>
      <c r="Y10" s="40">
        <f>'06_Сеть_и_дети'!Y19</f>
        <v/>
      </c>
      <c r="Z10" s="40">
        <f>'06_Сеть_и_дети'!Z19</f>
        <v/>
      </c>
      <c r="AA10" s="40">
        <f>'06_Сеть_и_дети'!AA19</f>
        <v/>
      </c>
      <c r="AB10" s="40">
        <f>'06_Сеть_и_дети'!AB19</f>
        <v/>
      </c>
      <c r="AC10" s="40">
        <f>'06_Сеть_и_дети'!AC19</f>
        <v/>
      </c>
      <c r="AD10" s="40">
        <f>'06_Сеть_и_дети'!AD19</f>
        <v/>
      </c>
      <c r="AE10" s="40">
        <f>'06_Сеть_и_дети'!AE19</f>
        <v/>
      </c>
      <c r="AF10" s="40">
        <f>'06_Сеть_и_дети'!AF19</f>
        <v/>
      </c>
      <c r="AG10" s="40">
        <f>'06_Сеть_и_дети'!AG19</f>
        <v/>
      </c>
      <c r="AH10" s="40">
        <f>'06_Сеть_и_дети'!AH19</f>
        <v/>
      </c>
      <c r="AI10" s="40">
        <f>'06_Сеть_и_дети'!AI19</f>
        <v/>
      </c>
      <c r="AJ10" s="40">
        <f>'06_Сеть_и_дети'!AJ19</f>
        <v/>
      </c>
      <c r="AK10" s="40">
        <f>'06_Сеть_и_дети'!AK19</f>
        <v/>
      </c>
      <c r="AL10" s="40">
        <f>'06_Сеть_и_дети'!AL19</f>
        <v/>
      </c>
      <c r="AM10" s="40">
        <f>'06_Сеть_и_дети'!AM19</f>
        <v/>
      </c>
      <c r="AN10" s="40">
        <f>'06_Сеть_и_дети'!AN19</f>
        <v/>
      </c>
      <c r="AO10" s="40">
        <f>'06_Сеть_и_дети'!AO19</f>
        <v/>
      </c>
      <c r="AP10" s="40">
        <f>'06_Сеть_и_дети'!AP19</f>
        <v/>
      </c>
      <c r="AQ10" s="40">
        <f>'06_Сеть_и_дети'!AQ19</f>
        <v/>
      </c>
      <c r="AR10" s="40">
        <f>'06_Сеть_и_дети'!AR19</f>
        <v/>
      </c>
      <c r="AS10" s="40">
        <f>'06_Сеть_и_дети'!AS19</f>
        <v/>
      </c>
      <c r="AT10" s="40">
        <f>'06_Сеть_и_дети'!AT19</f>
        <v/>
      </c>
      <c r="AU10" s="40">
        <f>'06_Сеть_и_дети'!AU19</f>
        <v/>
      </c>
      <c r="AV10" s="40">
        <f>'06_Сеть_и_дети'!AV19</f>
        <v/>
      </c>
      <c r="AW10" s="40">
        <f>'06_Сеть_и_дети'!AW19</f>
        <v/>
      </c>
      <c r="AX10" s="40">
        <f>'06_Сеть_и_дети'!AX19</f>
        <v/>
      </c>
      <c r="AY10" s="40">
        <f>'06_Сеть_и_дети'!AY19</f>
        <v/>
      </c>
      <c r="AZ10" s="40">
        <f>'06_Сеть_и_дети'!AZ19</f>
        <v/>
      </c>
      <c r="BA10" s="40">
        <f>'06_Сеть_и_дети'!BA19</f>
        <v/>
      </c>
      <c r="BB10" s="40">
        <f>'06_Сеть_и_дети'!BB19</f>
        <v/>
      </c>
      <c r="BC10" s="40">
        <f>'06_Сеть_и_дети'!BC19</f>
        <v/>
      </c>
      <c r="BD10" s="40">
        <f>'06_Сеть_и_дети'!BD19</f>
        <v/>
      </c>
      <c r="BE10" s="40">
        <f>'06_Сеть_и_дети'!BE19</f>
        <v/>
      </c>
      <c r="BF10" s="40">
        <f>'06_Сеть_и_дети'!BF19</f>
        <v/>
      </c>
      <c r="BG10" s="40">
        <f>'06_Сеть_и_дети'!BG19</f>
        <v/>
      </c>
      <c r="BH10" s="40">
        <f>'06_Сеть_и_дети'!BH19</f>
        <v/>
      </c>
      <c r="BI10" s="40">
        <f>'06_Сеть_и_дети'!BI19</f>
        <v/>
      </c>
    </row>
    <row r="11">
      <c r="A11" s="2" t="inlineStr">
        <is>
          <t>Действующая сеть — активные дети</t>
        </is>
      </c>
      <c r="B11" s="40">
        <f>'06_Сеть_и_дети'!B20</f>
        <v/>
      </c>
      <c r="C11" s="40">
        <f>'06_Сеть_и_дети'!C20</f>
        <v/>
      </c>
      <c r="D11" s="40">
        <f>'06_Сеть_и_дети'!D20</f>
        <v/>
      </c>
      <c r="E11" s="40">
        <f>'06_Сеть_и_дети'!E20</f>
        <v/>
      </c>
      <c r="F11" s="40">
        <f>'06_Сеть_и_дети'!F20</f>
        <v/>
      </c>
      <c r="G11" s="40">
        <f>'06_Сеть_и_дети'!G20</f>
        <v/>
      </c>
      <c r="H11" s="40">
        <f>'06_Сеть_и_дети'!H20</f>
        <v/>
      </c>
      <c r="I11" s="40">
        <f>'06_Сеть_и_дети'!I20</f>
        <v/>
      </c>
      <c r="J11" s="40">
        <f>'06_Сеть_и_дети'!J20</f>
        <v/>
      </c>
      <c r="K11" s="40">
        <f>'06_Сеть_и_дети'!K20</f>
        <v/>
      </c>
      <c r="L11" s="40">
        <f>'06_Сеть_и_дети'!L20</f>
        <v/>
      </c>
      <c r="M11" s="40">
        <f>'06_Сеть_и_дети'!M20</f>
        <v/>
      </c>
      <c r="N11" s="40">
        <f>'06_Сеть_и_дети'!N20</f>
        <v/>
      </c>
      <c r="O11" s="40">
        <f>'06_Сеть_и_дети'!O20</f>
        <v/>
      </c>
      <c r="P11" s="40">
        <f>'06_Сеть_и_дети'!P20</f>
        <v/>
      </c>
      <c r="Q11" s="40">
        <f>'06_Сеть_и_дети'!Q20</f>
        <v/>
      </c>
      <c r="R11" s="40">
        <f>'06_Сеть_и_дети'!R20</f>
        <v/>
      </c>
      <c r="S11" s="40">
        <f>'06_Сеть_и_дети'!S20</f>
        <v/>
      </c>
      <c r="T11" s="40">
        <f>'06_Сеть_и_дети'!T20</f>
        <v/>
      </c>
      <c r="U11" s="40">
        <f>'06_Сеть_и_дети'!U20</f>
        <v/>
      </c>
      <c r="V11" s="40">
        <f>'06_Сеть_и_дети'!V20</f>
        <v/>
      </c>
      <c r="W11" s="40">
        <f>'06_Сеть_и_дети'!W20</f>
        <v/>
      </c>
      <c r="X11" s="40">
        <f>'06_Сеть_и_дети'!X20</f>
        <v/>
      </c>
      <c r="Y11" s="40">
        <f>'06_Сеть_и_дети'!Y20</f>
        <v/>
      </c>
      <c r="Z11" s="40">
        <f>'06_Сеть_и_дети'!Z20</f>
        <v/>
      </c>
      <c r="AA11" s="40">
        <f>'06_Сеть_и_дети'!AA20</f>
        <v/>
      </c>
      <c r="AB11" s="40">
        <f>'06_Сеть_и_дети'!AB20</f>
        <v/>
      </c>
      <c r="AC11" s="40">
        <f>'06_Сеть_и_дети'!AC20</f>
        <v/>
      </c>
      <c r="AD11" s="40">
        <f>'06_Сеть_и_дети'!AD20</f>
        <v/>
      </c>
      <c r="AE11" s="40">
        <f>'06_Сеть_и_дети'!AE20</f>
        <v/>
      </c>
      <c r="AF11" s="40">
        <f>'06_Сеть_и_дети'!AF20</f>
        <v/>
      </c>
      <c r="AG11" s="40">
        <f>'06_Сеть_и_дети'!AG20</f>
        <v/>
      </c>
      <c r="AH11" s="40">
        <f>'06_Сеть_и_дети'!AH20</f>
        <v/>
      </c>
      <c r="AI11" s="40">
        <f>'06_Сеть_и_дети'!AI20</f>
        <v/>
      </c>
      <c r="AJ11" s="40">
        <f>'06_Сеть_и_дети'!AJ20</f>
        <v/>
      </c>
      <c r="AK11" s="40">
        <f>'06_Сеть_и_дети'!AK20</f>
        <v/>
      </c>
      <c r="AL11" s="40">
        <f>'06_Сеть_и_дети'!AL20</f>
        <v/>
      </c>
      <c r="AM11" s="40">
        <f>'06_Сеть_и_дети'!AM20</f>
        <v/>
      </c>
      <c r="AN11" s="40">
        <f>'06_Сеть_и_дети'!AN20</f>
        <v/>
      </c>
      <c r="AO11" s="40">
        <f>'06_Сеть_и_дети'!AO20</f>
        <v/>
      </c>
      <c r="AP11" s="40">
        <f>'06_Сеть_и_дети'!AP20</f>
        <v/>
      </c>
      <c r="AQ11" s="40">
        <f>'06_Сеть_и_дети'!AQ20</f>
        <v/>
      </c>
      <c r="AR11" s="40">
        <f>'06_Сеть_и_дети'!AR20</f>
        <v/>
      </c>
      <c r="AS11" s="40">
        <f>'06_Сеть_и_дети'!AS20</f>
        <v/>
      </c>
      <c r="AT11" s="40">
        <f>'06_Сеть_и_дети'!AT20</f>
        <v/>
      </c>
      <c r="AU11" s="40">
        <f>'06_Сеть_и_дети'!AU20</f>
        <v/>
      </c>
      <c r="AV11" s="40">
        <f>'06_Сеть_и_дети'!AV20</f>
        <v/>
      </c>
      <c r="AW11" s="40">
        <f>'06_Сеть_и_дети'!AW20</f>
        <v/>
      </c>
      <c r="AX11" s="40">
        <f>'06_Сеть_и_дети'!AX20</f>
        <v/>
      </c>
      <c r="AY11" s="40">
        <f>'06_Сеть_и_дети'!AY20</f>
        <v/>
      </c>
      <c r="AZ11" s="40">
        <f>'06_Сеть_и_дети'!AZ20</f>
        <v/>
      </c>
      <c r="BA11" s="40">
        <f>'06_Сеть_и_дети'!BA20</f>
        <v/>
      </c>
      <c r="BB11" s="40">
        <f>'06_Сеть_и_дети'!BB20</f>
        <v/>
      </c>
      <c r="BC11" s="40">
        <f>'06_Сеть_и_дети'!BC20</f>
        <v/>
      </c>
      <c r="BD11" s="40">
        <f>'06_Сеть_и_дети'!BD20</f>
        <v/>
      </c>
      <c r="BE11" s="40">
        <f>'06_Сеть_и_дети'!BE20</f>
        <v/>
      </c>
      <c r="BF11" s="40">
        <f>'06_Сеть_и_дети'!BF20</f>
        <v/>
      </c>
      <c r="BG11" s="40">
        <f>'06_Сеть_и_дети'!BG20</f>
        <v/>
      </c>
      <c r="BH11" s="40">
        <f>'06_Сеть_и_дети'!BH20</f>
        <v/>
      </c>
      <c r="BI11" s="40">
        <f>'06_Сеть_и_дети'!BI20</f>
        <v/>
      </c>
    </row>
    <row r="12">
      <c r="A12" s="2" t="inlineStr">
        <is>
          <t>Новые школы — активные школы</t>
        </is>
      </c>
      <c r="B12" s="40">
        <f>'06_Сеть_и_дети'!B16</f>
        <v/>
      </c>
      <c r="C12" s="40">
        <f>'06_Сеть_и_дети'!C16</f>
        <v/>
      </c>
      <c r="D12" s="40">
        <f>'06_Сеть_и_дети'!D16</f>
        <v/>
      </c>
      <c r="E12" s="40">
        <f>'06_Сеть_и_дети'!E16</f>
        <v/>
      </c>
      <c r="F12" s="40">
        <f>'06_Сеть_и_дети'!F16</f>
        <v/>
      </c>
      <c r="G12" s="40">
        <f>'06_Сеть_и_дети'!G16</f>
        <v/>
      </c>
      <c r="H12" s="40">
        <f>'06_Сеть_и_дети'!H16</f>
        <v/>
      </c>
      <c r="I12" s="40">
        <f>'06_Сеть_и_дети'!I16</f>
        <v/>
      </c>
      <c r="J12" s="40">
        <f>'06_Сеть_и_дети'!J16</f>
        <v/>
      </c>
      <c r="K12" s="40">
        <f>'06_Сеть_и_дети'!K16</f>
        <v/>
      </c>
      <c r="L12" s="40">
        <f>'06_Сеть_и_дети'!L16</f>
        <v/>
      </c>
      <c r="M12" s="40">
        <f>'06_Сеть_и_дети'!M16</f>
        <v/>
      </c>
      <c r="N12" s="40">
        <f>'06_Сеть_и_дети'!N16</f>
        <v/>
      </c>
      <c r="O12" s="40">
        <f>'06_Сеть_и_дети'!O16</f>
        <v/>
      </c>
      <c r="P12" s="40">
        <f>'06_Сеть_и_дети'!P16</f>
        <v/>
      </c>
      <c r="Q12" s="40">
        <f>'06_Сеть_и_дети'!Q16</f>
        <v/>
      </c>
      <c r="R12" s="40">
        <f>'06_Сеть_и_дети'!R16</f>
        <v/>
      </c>
      <c r="S12" s="40">
        <f>'06_Сеть_и_дети'!S16</f>
        <v/>
      </c>
      <c r="T12" s="40">
        <f>'06_Сеть_и_дети'!T16</f>
        <v/>
      </c>
      <c r="U12" s="40">
        <f>'06_Сеть_и_дети'!U16</f>
        <v/>
      </c>
      <c r="V12" s="40">
        <f>'06_Сеть_и_дети'!V16</f>
        <v/>
      </c>
      <c r="W12" s="40">
        <f>'06_Сеть_и_дети'!W16</f>
        <v/>
      </c>
      <c r="X12" s="40">
        <f>'06_Сеть_и_дети'!X16</f>
        <v/>
      </c>
      <c r="Y12" s="40">
        <f>'06_Сеть_и_дети'!Y16</f>
        <v/>
      </c>
      <c r="Z12" s="40">
        <f>'06_Сеть_и_дети'!Z16</f>
        <v/>
      </c>
      <c r="AA12" s="40">
        <f>'06_Сеть_и_дети'!AA16</f>
        <v/>
      </c>
      <c r="AB12" s="40">
        <f>'06_Сеть_и_дети'!AB16</f>
        <v/>
      </c>
      <c r="AC12" s="40">
        <f>'06_Сеть_и_дети'!AC16</f>
        <v/>
      </c>
      <c r="AD12" s="40">
        <f>'06_Сеть_и_дети'!AD16</f>
        <v/>
      </c>
      <c r="AE12" s="40">
        <f>'06_Сеть_и_дети'!AE16</f>
        <v/>
      </c>
      <c r="AF12" s="40">
        <f>'06_Сеть_и_дети'!AF16</f>
        <v/>
      </c>
      <c r="AG12" s="40">
        <f>'06_Сеть_и_дети'!AG16</f>
        <v/>
      </c>
      <c r="AH12" s="40">
        <f>'06_Сеть_и_дети'!AH16</f>
        <v/>
      </c>
      <c r="AI12" s="40">
        <f>'06_Сеть_и_дети'!AI16</f>
        <v/>
      </c>
      <c r="AJ12" s="40">
        <f>'06_Сеть_и_дети'!AJ16</f>
        <v/>
      </c>
      <c r="AK12" s="40">
        <f>'06_Сеть_и_дети'!AK16</f>
        <v/>
      </c>
      <c r="AL12" s="40">
        <f>'06_Сеть_и_дети'!AL16</f>
        <v/>
      </c>
      <c r="AM12" s="40">
        <f>'06_Сеть_и_дети'!AM16</f>
        <v/>
      </c>
      <c r="AN12" s="40">
        <f>'06_Сеть_и_дети'!AN16</f>
        <v/>
      </c>
      <c r="AO12" s="40">
        <f>'06_Сеть_и_дети'!AO16</f>
        <v/>
      </c>
      <c r="AP12" s="40">
        <f>'06_Сеть_и_дети'!AP16</f>
        <v/>
      </c>
      <c r="AQ12" s="40">
        <f>'06_Сеть_и_дети'!AQ16</f>
        <v/>
      </c>
      <c r="AR12" s="40">
        <f>'06_Сеть_и_дети'!AR16</f>
        <v/>
      </c>
      <c r="AS12" s="40">
        <f>'06_Сеть_и_дети'!AS16</f>
        <v/>
      </c>
      <c r="AT12" s="40">
        <f>'06_Сеть_и_дети'!AT16</f>
        <v/>
      </c>
      <c r="AU12" s="40">
        <f>'06_Сеть_и_дети'!AU16</f>
        <v/>
      </c>
      <c r="AV12" s="40">
        <f>'06_Сеть_и_дети'!AV16</f>
        <v/>
      </c>
      <c r="AW12" s="40">
        <f>'06_Сеть_и_дети'!AW16</f>
        <v/>
      </c>
      <c r="AX12" s="40">
        <f>'06_Сеть_и_дети'!AX16</f>
        <v/>
      </c>
      <c r="AY12" s="40">
        <f>'06_Сеть_и_дети'!AY16</f>
        <v/>
      </c>
      <c r="AZ12" s="40">
        <f>'06_Сеть_и_дети'!AZ16</f>
        <v/>
      </c>
      <c r="BA12" s="40">
        <f>'06_Сеть_и_дети'!BA16</f>
        <v/>
      </c>
      <c r="BB12" s="40">
        <f>'06_Сеть_и_дети'!BB16</f>
        <v/>
      </c>
      <c r="BC12" s="40">
        <f>'06_Сеть_и_дети'!BC16</f>
        <v/>
      </c>
      <c r="BD12" s="40">
        <f>'06_Сеть_и_дети'!BD16</f>
        <v/>
      </c>
      <c r="BE12" s="40">
        <f>'06_Сеть_и_дети'!BE16</f>
        <v/>
      </c>
      <c r="BF12" s="40">
        <f>'06_Сеть_и_дети'!BF16</f>
        <v/>
      </c>
      <c r="BG12" s="40">
        <f>'06_Сеть_и_дети'!BG16</f>
        <v/>
      </c>
      <c r="BH12" s="40">
        <f>'06_Сеть_и_дети'!BH16</f>
        <v/>
      </c>
      <c r="BI12" s="40">
        <f>'06_Сеть_и_дети'!BI16</f>
        <v/>
      </c>
    </row>
    <row r="13">
      <c r="A13" s="2" t="inlineStr">
        <is>
          <t>Активные юрлица</t>
        </is>
      </c>
      <c r="B13" s="40">
        <f>'06_Сеть_и_дети'!B10</f>
        <v/>
      </c>
      <c r="C13" s="40">
        <f>'06_Сеть_и_дети'!C10</f>
        <v/>
      </c>
      <c r="D13" s="40">
        <f>'06_Сеть_и_дети'!D10</f>
        <v/>
      </c>
      <c r="E13" s="40">
        <f>'06_Сеть_и_дети'!E10</f>
        <v/>
      </c>
      <c r="F13" s="40">
        <f>'06_Сеть_и_дети'!F10</f>
        <v/>
      </c>
      <c r="G13" s="40">
        <f>'06_Сеть_и_дети'!G10</f>
        <v/>
      </c>
      <c r="H13" s="40">
        <f>'06_Сеть_и_дети'!H10</f>
        <v/>
      </c>
      <c r="I13" s="40">
        <f>'06_Сеть_и_дети'!I10</f>
        <v/>
      </c>
      <c r="J13" s="40">
        <f>'06_Сеть_и_дети'!J10</f>
        <v/>
      </c>
      <c r="K13" s="40">
        <f>'06_Сеть_и_дети'!K10</f>
        <v/>
      </c>
      <c r="L13" s="40">
        <f>'06_Сеть_и_дети'!L10</f>
        <v/>
      </c>
      <c r="M13" s="40">
        <f>'06_Сеть_и_дети'!M10</f>
        <v/>
      </c>
      <c r="N13" s="40">
        <f>'06_Сеть_и_дети'!N10</f>
        <v/>
      </c>
      <c r="O13" s="40">
        <f>'06_Сеть_и_дети'!O10</f>
        <v/>
      </c>
      <c r="P13" s="40">
        <f>'06_Сеть_и_дети'!P10</f>
        <v/>
      </c>
      <c r="Q13" s="40">
        <f>'06_Сеть_и_дети'!Q10</f>
        <v/>
      </c>
      <c r="R13" s="40">
        <f>'06_Сеть_и_дети'!R10</f>
        <v/>
      </c>
      <c r="S13" s="40">
        <f>'06_Сеть_и_дети'!S10</f>
        <v/>
      </c>
      <c r="T13" s="40">
        <f>'06_Сеть_и_дети'!T10</f>
        <v/>
      </c>
      <c r="U13" s="40">
        <f>'06_Сеть_и_дети'!U10</f>
        <v/>
      </c>
      <c r="V13" s="40">
        <f>'06_Сеть_и_дети'!V10</f>
        <v/>
      </c>
      <c r="W13" s="40">
        <f>'06_Сеть_и_дети'!W10</f>
        <v/>
      </c>
      <c r="X13" s="40">
        <f>'06_Сеть_и_дети'!X10</f>
        <v/>
      </c>
      <c r="Y13" s="40">
        <f>'06_Сеть_и_дети'!Y10</f>
        <v/>
      </c>
      <c r="Z13" s="40">
        <f>'06_Сеть_и_дети'!Z10</f>
        <v/>
      </c>
      <c r="AA13" s="40">
        <f>'06_Сеть_и_дети'!AA10</f>
        <v/>
      </c>
      <c r="AB13" s="40">
        <f>'06_Сеть_и_дети'!AB10</f>
        <v/>
      </c>
      <c r="AC13" s="40">
        <f>'06_Сеть_и_дети'!AC10</f>
        <v/>
      </c>
      <c r="AD13" s="40">
        <f>'06_Сеть_и_дети'!AD10</f>
        <v/>
      </c>
      <c r="AE13" s="40">
        <f>'06_Сеть_и_дети'!AE10</f>
        <v/>
      </c>
      <c r="AF13" s="40">
        <f>'06_Сеть_и_дети'!AF10</f>
        <v/>
      </c>
      <c r="AG13" s="40">
        <f>'06_Сеть_и_дети'!AG10</f>
        <v/>
      </c>
      <c r="AH13" s="40">
        <f>'06_Сеть_и_дети'!AH10</f>
        <v/>
      </c>
      <c r="AI13" s="40">
        <f>'06_Сеть_и_дети'!AI10</f>
        <v/>
      </c>
      <c r="AJ13" s="40">
        <f>'06_Сеть_и_дети'!AJ10</f>
        <v/>
      </c>
      <c r="AK13" s="40">
        <f>'06_Сеть_и_дети'!AK10</f>
        <v/>
      </c>
      <c r="AL13" s="40">
        <f>'06_Сеть_и_дети'!AL10</f>
        <v/>
      </c>
      <c r="AM13" s="40">
        <f>'06_Сеть_и_дети'!AM10</f>
        <v/>
      </c>
      <c r="AN13" s="40">
        <f>'06_Сеть_и_дети'!AN10</f>
        <v/>
      </c>
      <c r="AO13" s="40">
        <f>'06_Сеть_и_дети'!AO10</f>
        <v/>
      </c>
      <c r="AP13" s="40">
        <f>'06_Сеть_и_дети'!AP10</f>
        <v/>
      </c>
      <c r="AQ13" s="40">
        <f>'06_Сеть_и_дети'!AQ10</f>
        <v/>
      </c>
      <c r="AR13" s="40">
        <f>'06_Сеть_и_дети'!AR10</f>
        <v/>
      </c>
      <c r="AS13" s="40">
        <f>'06_Сеть_и_дети'!AS10</f>
        <v/>
      </c>
      <c r="AT13" s="40">
        <f>'06_Сеть_и_дети'!AT10</f>
        <v/>
      </c>
      <c r="AU13" s="40">
        <f>'06_Сеть_и_дети'!AU10</f>
        <v/>
      </c>
      <c r="AV13" s="40">
        <f>'06_Сеть_и_дети'!AV10</f>
        <v/>
      </c>
      <c r="AW13" s="40">
        <f>'06_Сеть_и_дети'!AW10</f>
        <v/>
      </c>
      <c r="AX13" s="40">
        <f>'06_Сеть_и_дети'!AX10</f>
        <v/>
      </c>
      <c r="AY13" s="40">
        <f>'06_Сеть_и_дети'!AY10</f>
        <v/>
      </c>
      <c r="AZ13" s="40">
        <f>'06_Сеть_и_дети'!AZ10</f>
        <v/>
      </c>
      <c r="BA13" s="40">
        <f>'06_Сеть_и_дети'!BA10</f>
        <v/>
      </c>
      <c r="BB13" s="40">
        <f>'06_Сеть_и_дети'!BB10</f>
        <v/>
      </c>
      <c r="BC13" s="40">
        <f>'06_Сеть_и_дети'!BC10</f>
        <v/>
      </c>
      <c r="BD13" s="40">
        <f>'06_Сеть_и_дети'!BD10</f>
        <v/>
      </c>
      <c r="BE13" s="40">
        <f>'06_Сеть_и_дети'!BE10</f>
        <v/>
      </c>
      <c r="BF13" s="40">
        <f>'06_Сеть_и_дети'!BF10</f>
        <v/>
      </c>
      <c r="BG13" s="40">
        <f>'06_Сеть_и_дети'!BG10</f>
        <v/>
      </c>
      <c r="BH13" s="40">
        <f>'06_Сеть_и_дети'!BH10</f>
        <v/>
      </c>
      <c r="BI13" s="40">
        <f>'06_Сеть_и_дети'!BI10</f>
        <v/>
      </c>
    </row>
    <row r="14">
      <c r="A14" s="2" t="inlineStr">
        <is>
          <t>Новые школы — дети</t>
        </is>
      </c>
      <c r="B14" s="40">
        <f>'06_Сеть_и_дети'!B24</f>
        <v/>
      </c>
      <c r="C14" s="40">
        <f>'06_Сеть_и_дети'!C24</f>
        <v/>
      </c>
      <c r="D14" s="40">
        <f>'06_Сеть_и_дети'!D24</f>
        <v/>
      </c>
      <c r="E14" s="40">
        <f>'06_Сеть_и_дети'!E24</f>
        <v/>
      </c>
      <c r="F14" s="40">
        <f>'06_Сеть_и_дети'!F24</f>
        <v/>
      </c>
      <c r="G14" s="40">
        <f>'06_Сеть_и_дети'!G24</f>
        <v/>
      </c>
      <c r="H14" s="40">
        <f>'06_Сеть_и_дети'!H24</f>
        <v/>
      </c>
      <c r="I14" s="40">
        <f>'06_Сеть_и_дети'!I24</f>
        <v/>
      </c>
      <c r="J14" s="40">
        <f>'06_Сеть_и_дети'!J24</f>
        <v/>
      </c>
      <c r="K14" s="40">
        <f>'06_Сеть_и_дети'!K24</f>
        <v/>
      </c>
      <c r="L14" s="40">
        <f>'06_Сеть_и_дети'!L24</f>
        <v/>
      </c>
      <c r="M14" s="40">
        <f>'06_Сеть_и_дети'!M24</f>
        <v/>
      </c>
      <c r="N14" s="40">
        <f>'06_Сеть_и_дети'!N24</f>
        <v/>
      </c>
      <c r="O14" s="40">
        <f>'06_Сеть_и_дети'!O24</f>
        <v/>
      </c>
      <c r="P14" s="40">
        <f>'06_Сеть_и_дети'!P24</f>
        <v/>
      </c>
      <c r="Q14" s="40">
        <f>'06_Сеть_и_дети'!Q24</f>
        <v/>
      </c>
      <c r="R14" s="40">
        <f>'06_Сеть_и_дети'!R24</f>
        <v/>
      </c>
      <c r="S14" s="40">
        <f>'06_Сеть_и_дети'!S24</f>
        <v/>
      </c>
      <c r="T14" s="40">
        <f>'06_Сеть_и_дети'!T24</f>
        <v/>
      </c>
      <c r="U14" s="40">
        <f>'06_Сеть_и_дети'!U24</f>
        <v/>
      </c>
      <c r="V14" s="40">
        <f>'06_Сеть_и_дети'!V24</f>
        <v/>
      </c>
      <c r="W14" s="40">
        <f>'06_Сеть_и_дети'!W24</f>
        <v/>
      </c>
      <c r="X14" s="40">
        <f>'06_Сеть_и_дети'!X24</f>
        <v/>
      </c>
      <c r="Y14" s="40">
        <f>'06_Сеть_и_дети'!Y24</f>
        <v/>
      </c>
      <c r="Z14" s="40">
        <f>'06_Сеть_и_дети'!Z24</f>
        <v/>
      </c>
      <c r="AA14" s="40">
        <f>'06_Сеть_и_дети'!AA24</f>
        <v/>
      </c>
      <c r="AB14" s="40">
        <f>'06_Сеть_и_дети'!AB24</f>
        <v/>
      </c>
      <c r="AC14" s="40">
        <f>'06_Сеть_и_дети'!AC24</f>
        <v/>
      </c>
      <c r="AD14" s="40">
        <f>'06_Сеть_и_дети'!AD24</f>
        <v/>
      </c>
      <c r="AE14" s="40">
        <f>'06_Сеть_и_дети'!AE24</f>
        <v/>
      </c>
      <c r="AF14" s="40">
        <f>'06_Сеть_и_дети'!AF24</f>
        <v/>
      </c>
      <c r="AG14" s="40">
        <f>'06_Сеть_и_дети'!AG24</f>
        <v/>
      </c>
      <c r="AH14" s="40">
        <f>'06_Сеть_и_дети'!AH24</f>
        <v/>
      </c>
      <c r="AI14" s="40">
        <f>'06_Сеть_и_дети'!AI24</f>
        <v/>
      </c>
      <c r="AJ14" s="40">
        <f>'06_Сеть_и_дети'!AJ24</f>
        <v/>
      </c>
      <c r="AK14" s="40">
        <f>'06_Сеть_и_дети'!AK24</f>
        <v/>
      </c>
      <c r="AL14" s="40">
        <f>'06_Сеть_и_дети'!AL24</f>
        <v/>
      </c>
      <c r="AM14" s="40">
        <f>'06_Сеть_и_дети'!AM24</f>
        <v/>
      </c>
      <c r="AN14" s="40">
        <f>'06_Сеть_и_дети'!AN24</f>
        <v/>
      </c>
      <c r="AO14" s="40">
        <f>'06_Сеть_и_дети'!AO24</f>
        <v/>
      </c>
      <c r="AP14" s="40">
        <f>'06_Сеть_и_дети'!AP24</f>
        <v/>
      </c>
      <c r="AQ14" s="40">
        <f>'06_Сеть_и_дети'!AQ24</f>
        <v/>
      </c>
      <c r="AR14" s="40">
        <f>'06_Сеть_и_дети'!AR24</f>
        <v/>
      </c>
      <c r="AS14" s="40">
        <f>'06_Сеть_и_дети'!AS24</f>
        <v/>
      </c>
      <c r="AT14" s="40">
        <f>'06_Сеть_и_дети'!AT24</f>
        <v/>
      </c>
      <c r="AU14" s="40">
        <f>'06_Сеть_и_дети'!AU24</f>
        <v/>
      </c>
      <c r="AV14" s="40">
        <f>'06_Сеть_и_дети'!AV24</f>
        <v/>
      </c>
      <c r="AW14" s="40">
        <f>'06_Сеть_и_дети'!AW24</f>
        <v/>
      </c>
      <c r="AX14" s="40">
        <f>'06_Сеть_и_дети'!AX24</f>
        <v/>
      </c>
      <c r="AY14" s="40">
        <f>'06_Сеть_и_дети'!AY24</f>
        <v/>
      </c>
      <c r="AZ14" s="40">
        <f>'06_Сеть_и_дети'!AZ24</f>
        <v/>
      </c>
      <c r="BA14" s="40">
        <f>'06_Сеть_и_дети'!BA24</f>
        <v/>
      </c>
      <c r="BB14" s="40">
        <f>'06_Сеть_и_дети'!BB24</f>
        <v/>
      </c>
      <c r="BC14" s="40">
        <f>'06_Сеть_и_дети'!BC24</f>
        <v/>
      </c>
      <c r="BD14" s="40">
        <f>'06_Сеть_и_дети'!BD24</f>
        <v/>
      </c>
      <c r="BE14" s="40">
        <f>'06_Сеть_и_дети'!BE24</f>
        <v/>
      </c>
      <c r="BF14" s="40">
        <f>'06_Сеть_и_дети'!BF24</f>
        <v/>
      </c>
      <c r="BG14" s="40">
        <f>'06_Сеть_и_дети'!BG24</f>
        <v/>
      </c>
      <c r="BH14" s="40">
        <f>'06_Сеть_и_дети'!BH24</f>
        <v/>
      </c>
      <c r="BI14" s="40">
        <f>'06_Сеть_и_дети'!BI24</f>
        <v/>
      </c>
    </row>
    <row r="15">
      <c r="A15" s="2" t="inlineStr">
        <is>
          <t>Всего активных детей</t>
        </is>
      </c>
      <c r="B15" s="40">
        <f>'06_Сеть_и_дети'!B25</f>
        <v/>
      </c>
      <c r="C15" s="40">
        <f>'06_Сеть_и_дети'!C25</f>
        <v/>
      </c>
      <c r="D15" s="40">
        <f>'06_Сеть_и_дети'!D25</f>
        <v/>
      </c>
      <c r="E15" s="40">
        <f>'06_Сеть_и_дети'!E25</f>
        <v/>
      </c>
      <c r="F15" s="40">
        <f>'06_Сеть_и_дети'!F25</f>
        <v/>
      </c>
      <c r="G15" s="40">
        <f>'06_Сеть_и_дети'!G25</f>
        <v/>
      </c>
      <c r="H15" s="40">
        <f>'06_Сеть_и_дети'!H25</f>
        <v/>
      </c>
      <c r="I15" s="40">
        <f>'06_Сеть_и_дети'!I25</f>
        <v/>
      </c>
      <c r="J15" s="40">
        <f>'06_Сеть_и_дети'!J25</f>
        <v/>
      </c>
      <c r="K15" s="40">
        <f>'06_Сеть_и_дети'!K25</f>
        <v/>
      </c>
      <c r="L15" s="40">
        <f>'06_Сеть_и_дети'!L25</f>
        <v/>
      </c>
      <c r="M15" s="40">
        <f>'06_Сеть_и_дети'!M25</f>
        <v/>
      </c>
      <c r="N15" s="40">
        <f>'06_Сеть_и_дети'!N25</f>
        <v/>
      </c>
      <c r="O15" s="40">
        <f>'06_Сеть_и_дети'!O25</f>
        <v/>
      </c>
      <c r="P15" s="40">
        <f>'06_Сеть_и_дети'!P25</f>
        <v/>
      </c>
      <c r="Q15" s="40">
        <f>'06_Сеть_и_дети'!Q25</f>
        <v/>
      </c>
      <c r="R15" s="40">
        <f>'06_Сеть_и_дети'!R25</f>
        <v/>
      </c>
      <c r="S15" s="40">
        <f>'06_Сеть_и_дети'!S25</f>
        <v/>
      </c>
      <c r="T15" s="40">
        <f>'06_Сеть_и_дети'!T25</f>
        <v/>
      </c>
      <c r="U15" s="40">
        <f>'06_Сеть_и_дети'!U25</f>
        <v/>
      </c>
      <c r="V15" s="40">
        <f>'06_Сеть_и_дети'!V25</f>
        <v/>
      </c>
      <c r="W15" s="40">
        <f>'06_Сеть_и_дети'!W25</f>
        <v/>
      </c>
      <c r="X15" s="40">
        <f>'06_Сеть_и_дети'!X25</f>
        <v/>
      </c>
      <c r="Y15" s="40">
        <f>'06_Сеть_и_дети'!Y25</f>
        <v/>
      </c>
      <c r="Z15" s="40">
        <f>'06_Сеть_и_дети'!Z25</f>
        <v/>
      </c>
      <c r="AA15" s="40">
        <f>'06_Сеть_и_дети'!AA25</f>
        <v/>
      </c>
      <c r="AB15" s="40">
        <f>'06_Сеть_и_дети'!AB25</f>
        <v/>
      </c>
      <c r="AC15" s="40">
        <f>'06_Сеть_и_дети'!AC25</f>
        <v/>
      </c>
      <c r="AD15" s="40">
        <f>'06_Сеть_и_дети'!AD25</f>
        <v/>
      </c>
      <c r="AE15" s="40">
        <f>'06_Сеть_и_дети'!AE25</f>
        <v/>
      </c>
      <c r="AF15" s="40">
        <f>'06_Сеть_и_дети'!AF25</f>
        <v/>
      </c>
      <c r="AG15" s="40">
        <f>'06_Сеть_и_дети'!AG25</f>
        <v/>
      </c>
      <c r="AH15" s="40">
        <f>'06_Сеть_и_дети'!AH25</f>
        <v/>
      </c>
      <c r="AI15" s="40">
        <f>'06_Сеть_и_дети'!AI25</f>
        <v/>
      </c>
      <c r="AJ15" s="40">
        <f>'06_Сеть_и_дети'!AJ25</f>
        <v/>
      </c>
      <c r="AK15" s="40">
        <f>'06_Сеть_и_дети'!AK25</f>
        <v/>
      </c>
      <c r="AL15" s="40">
        <f>'06_Сеть_и_дети'!AL25</f>
        <v/>
      </c>
      <c r="AM15" s="40">
        <f>'06_Сеть_и_дети'!AM25</f>
        <v/>
      </c>
      <c r="AN15" s="40">
        <f>'06_Сеть_и_дети'!AN25</f>
        <v/>
      </c>
      <c r="AO15" s="40">
        <f>'06_Сеть_и_дети'!AO25</f>
        <v/>
      </c>
      <c r="AP15" s="40">
        <f>'06_Сеть_и_дети'!AP25</f>
        <v/>
      </c>
      <c r="AQ15" s="40">
        <f>'06_Сеть_и_дети'!AQ25</f>
        <v/>
      </c>
      <c r="AR15" s="40">
        <f>'06_Сеть_и_дети'!AR25</f>
        <v/>
      </c>
      <c r="AS15" s="40">
        <f>'06_Сеть_и_дети'!AS25</f>
        <v/>
      </c>
      <c r="AT15" s="40">
        <f>'06_Сеть_и_дети'!AT25</f>
        <v/>
      </c>
      <c r="AU15" s="40">
        <f>'06_Сеть_и_дети'!AU25</f>
        <v/>
      </c>
      <c r="AV15" s="40">
        <f>'06_Сеть_и_дети'!AV25</f>
        <v/>
      </c>
      <c r="AW15" s="40">
        <f>'06_Сеть_и_дети'!AW25</f>
        <v/>
      </c>
      <c r="AX15" s="40">
        <f>'06_Сеть_и_дети'!AX25</f>
        <v/>
      </c>
      <c r="AY15" s="40">
        <f>'06_Сеть_и_дети'!AY25</f>
        <v/>
      </c>
      <c r="AZ15" s="40">
        <f>'06_Сеть_и_дети'!AZ25</f>
        <v/>
      </c>
      <c r="BA15" s="40">
        <f>'06_Сеть_и_дети'!BA25</f>
        <v/>
      </c>
      <c r="BB15" s="40">
        <f>'06_Сеть_и_дети'!BB25</f>
        <v/>
      </c>
      <c r="BC15" s="40">
        <f>'06_Сеть_и_дети'!BC25</f>
        <v/>
      </c>
      <c r="BD15" s="40">
        <f>'06_Сеть_и_дети'!BD25</f>
        <v/>
      </c>
      <c r="BE15" s="40">
        <f>'06_Сеть_и_дети'!BE25</f>
        <v/>
      </c>
      <c r="BF15" s="40">
        <f>'06_Сеть_и_дети'!BF25</f>
        <v/>
      </c>
      <c r="BG15" s="40">
        <f>'06_Сеть_и_дети'!BG25</f>
        <v/>
      </c>
      <c r="BH15" s="40">
        <f>'06_Сеть_и_дети'!BH25</f>
        <v/>
      </c>
      <c r="BI15" s="40">
        <f>'06_Сеть_и_дети'!BI25</f>
        <v/>
      </c>
    </row>
    <row r="16">
      <c r="B16" s="73" t="n"/>
      <c r="C16" s="73" t="n"/>
      <c r="D16" s="73" t="n"/>
      <c r="E16" s="73" t="n"/>
      <c r="F16" s="73" t="n"/>
      <c r="G16" s="73" t="n"/>
      <c r="H16" s="73" t="n"/>
      <c r="I16" s="73" t="n"/>
      <c r="J16" s="73" t="n"/>
      <c r="K16" s="73" t="n"/>
      <c r="L16" s="73" t="n"/>
      <c r="M16" s="73" t="n"/>
      <c r="N16" s="73" t="n"/>
      <c r="O16" s="73" t="n"/>
      <c r="P16" s="73" t="n"/>
      <c r="Q16" s="73" t="n"/>
      <c r="R16" s="73" t="n"/>
      <c r="S16" s="73" t="n"/>
      <c r="T16" s="73" t="n"/>
      <c r="U16" s="7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  <c r="AM16" s="73" t="n"/>
      <c r="AN16" s="73" t="n"/>
      <c r="AO16" s="73" t="n"/>
      <c r="AP16" s="73" t="n"/>
      <c r="AQ16" s="73" t="n"/>
      <c r="AR16" s="73" t="n"/>
      <c r="AS16" s="73" t="n"/>
      <c r="AT16" s="73" t="n"/>
      <c r="AU16" s="73" t="n"/>
      <c r="AV16" s="73" t="n"/>
      <c r="AW16" s="73" t="n"/>
      <c r="AX16" s="73" t="n"/>
      <c r="AY16" s="73" t="n"/>
      <c r="AZ16" s="73" t="n"/>
      <c r="BA16" s="73" t="n"/>
      <c r="BB16" s="73" t="n"/>
      <c r="BC16" s="73" t="n"/>
      <c r="BD16" s="73" t="n"/>
      <c r="BE16" s="73" t="n"/>
      <c r="BF16" s="73" t="n"/>
      <c r="BG16" s="73" t="n"/>
      <c r="BH16" s="73" t="n"/>
      <c r="BI16" s="73" t="n"/>
    </row>
    <row r="17" ht="20" customHeight="1">
      <c r="A17" s="4" t="inlineStr">
        <is>
          <t>БДР — выручка</t>
        </is>
      </c>
    </row>
    <row r="18">
      <c r="A18" s="2" t="inlineStr">
        <is>
          <t>Паушальные взносы, без НДС</t>
        </is>
      </c>
      <c r="B18" s="40">
        <f>'04_Продажи'!B26</f>
        <v/>
      </c>
      <c r="C18" s="40">
        <f>'04_Продажи'!C26</f>
        <v/>
      </c>
      <c r="D18" s="40">
        <f>'04_Продажи'!D26</f>
        <v/>
      </c>
      <c r="E18" s="40">
        <f>'04_Продажи'!E26</f>
        <v/>
      </c>
      <c r="F18" s="40">
        <f>'04_Продажи'!F26</f>
        <v/>
      </c>
      <c r="G18" s="40">
        <f>'04_Продажи'!G26</f>
        <v/>
      </c>
      <c r="H18" s="40">
        <f>'04_Продажи'!H26</f>
        <v/>
      </c>
      <c r="I18" s="40">
        <f>'04_Продажи'!I26</f>
        <v/>
      </c>
      <c r="J18" s="40">
        <f>'04_Продажи'!J26</f>
        <v/>
      </c>
      <c r="K18" s="40">
        <f>'04_Продажи'!K26</f>
        <v/>
      </c>
      <c r="L18" s="40">
        <f>'04_Продажи'!L26</f>
        <v/>
      </c>
      <c r="M18" s="40">
        <f>'04_Продажи'!M26</f>
        <v/>
      </c>
      <c r="N18" s="40">
        <f>'04_Продажи'!N26</f>
        <v/>
      </c>
      <c r="O18" s="40">
        <f>'04_Продажи'!O26</f>
        <v/>
      </c>
      <c r="P18" s="40">
        <f>'04_Продажи'!P26</f>
        <v/>
      </c>
      <c r="Q18" s="40">
        <f>'04_Продажи'!Q26</f>
        <v/>
      </c>
      <c r="R18" s="40">
        <f>'04_Продажи'!R26</f>
        <v/>
      </c>
      <c r="S18" s="40">
        <f>'04_Продажи'!S26</f>
        <v/>
      </c>
      <c r="T18" s="40">
        <f>'04_Продажи'!T26</f>
        <v/>
      </c>
      <c r="U18" s="40">
        <f>'04_Продажи'!U26</f>
        <v/>
      </c>
      <c r="V18" s="40">
        <f>'04_Продажи'!V26</f>
        <v/>
      </c>
      <c r="W18" s="40">
        <f>'04_Продажи'!W26</f>
        <v/>
      </c>
      <c r="X18" s="40">
        <f>'04_Продажи'!X26</f>
        <v/>
      </c>
      <c r="Y18" s="40">
        <f>'04_Продажи'!Y26</f>
        <v/>
      </c>
      <c r="Z18" s="40">
        <f>'04_Продажи'!Z26</f>
        <v/>
      </c>
      <c r="AA18" s="40">
        <f>'04_Продажи'!AA26</f>
        <v/>
      </c>
      <c r="AB18" s="40">
        <f>'04_Продажи'!AB26</f>
        <v/>
      </c>
      <c r="AC18" s="40">
        <f>'04_Продажи'!AC26</f>
        <v/>
      </c>
      <c r="AD18" s="40">
        <f>'04_Продажи'!AD26</f>
        <v/>
      </c>
      <c r="AE18" s="40">
        <f>'04_Продажи'!AE26</f>
        <v/>
      </c>
      <c r="AF18" s="40">
        <f>'04_Продажи'!AF26</f>
        <v/>
      </c>
      <c r="AG18" s="40">
        <f>'04_Продажи'!AG26</f>
        <v/>
      </c>
      <c r="AH18" s="40">
        <f>'04_Продажи'!AH26</f>
        <v/>
      </c>
      <c r="AI18" s="40">
        <f>'04_Продажи'!AI26</f>
        <v/>
      </c>
      <c r="AJ18" s="40">
        <f>'04_Продажи'!AJ26</f>
        <v/>
      </c>
      <c r="AK18" s="40">
        <f>'04_Продажи'!AK26</f>
        <v/>
      </c>
      <c r="AL18" s="40">
        <f>'04_Продажи'!AL26</f>
        <v/>
      </c>
      <c r="AM18" s="40">
        <f>'04_Продажи'!AM26</f>
        <v/>
      </c>
      <c r="AN18" s="40">
        <f>'04_Продажи'!AN26</f>
        <v/>
      </c>
      <c r="AO18" s="40">
        <f>'04_Продажи'!AO26</f>
        <v/>
      </c>
      <c r="AP18" s="40">
        <f>'04_Продажи'!AP26</f>
        <v/>
      </c>
      <c r="AQ18" s="40">
        <f>'04_Продажи'!AQ26</f>
        <v/>
      </c>
      <c r="AR18" s="40">
        <f>'04_Продажи'!AR26</f>
        <v/>
      </c>
      <c r="AS18" s="40">
        <f>'04_Продажи'!AS26</f>
        <v/>
      </c>
      <c r="AT18" s="40">
        <f>'04_Продажи'!AT26</f>
        <v/>
      </c>
      <c r="AU18" s="40">
        <f>'04_Продажи'!AU26</f>
        <v/>
      </c>
      <c r="AV18" s="40">
        <f>'04_Продажи'!AV26</f>
        <v/>
      </c>
      <c r="AW18" s="40">
        <f>'04_Продажи'!AW26</f>
        <v/>
      </c>
      <c r="AX18" s="40">
        <f>'04_Продажи'!AX26</f>
        <v/>
      </c>
      <c r="AY18" s="40">
        <f>'04_Продажи'!AY26</f>
        <v/>
      </c>
      <c r="AZ18" s="40">
        <f>'04_Продажи'!AZ26</f>
        <v/>
      </c>
      <c r="BA18" s="40">
        <f>'04_Продажи'!BA26</f>
        <v/>
      </c>
      <c r="BB18" s="40">
        <f>'04_Продажи'!BB26</f>
        <v/>
      </c>
      <c r="BC18" s="40">
        <f>'04_Продажи'!BC26</f>
        <v/>
      </c>
      <c r="BD18" s="40">
        <f>'04_Продажи'!BD26</f>
        <v/>
      </c>
      <c r="BE18" s="40">
        <f>'04_Продажи'!BE26</f>
        <v/>
      </c>
      <c r="BF18" s="40">
        <f>'04_Продажи'!BF26</f>
        <v/>
      </c>
      <c r="BG18" s="40">
        <f>'04_Продажи'!BG26</f>
        <v/>
      </c>
      <c r="BH18" s="40">
        <f>'04_Продажи'!BH26</f>
        <v/>
      </c>
      <c r="BI18" s="40">
        <f>'04_Продажи'!BI26</f>
        <v/>
      </c>
    </row>
    <row r="19">
      <c r="A19" s="2" t="inlineStr">
        <is>
          <t>Роялти действующей сети, без НДС</t>
        </is>
      </c>
      <c r="B19" s="40">
        <f>'06_Сеть_и_дети'!B28/(1+'01_Вводные'!$B$58)</f>
        <v/>
      </c>
      <c r="C19" s="40">
        <f>'06_Сеть_и_дети'!C28/(1+'01_Вводные'!$B$58)</f>
        <v/>
      </c>
      <c r="D19" s="40">
        <f>'06_Сеть_и_дети'!D28/(1+'01_Вводные'!$B$58)</f>
        <v/>
      </c>
      <c r="E19" s="40">
        <f>'06_Сеть_и_дети'!E28/(1+'01_Вводные'!$B$58)</f>
        <v/>
      </c>
      <c r="F19" s="40">
        <f>'06_Сеть_и_дети'!F28/(1+'01_Вводные'!$B$58)</f>
        <v/>
      </c>
      <c r="G19" s="40">
        <f>'06_Сеть_и_дети'!G28/(1+'01_Вводные'!$B$58)</f>
        <v/>
      </c>
      <c r="H19" s="40">
        <f>'06_Сеть_и_дети'!H28/(1+'01_Вводные'!$B$58)</f>
        <v/>
      </c>
      <c r="I19" s="40">
        <f>'06_Сеть_и_дети'!I28/(1+'01_Вводные'!$B$58)</f>
        <v/>
      </c>
      <c r="J19" s="40">
        <f>'06_Сеть_и_дети'!J28/(1+'01_Вводные'!$B$58)</f>
        <v/>
      </c>
      <c r="K19" s="40">
        <f>'06_Сеть_и_дети'!K28/(1+'01_Вводные'!$B$58)</f>
        <v/>
      </c>
      <c r="L19" s="40">
        <f>'06_Сеть_и_дети'!L28/(1+'01_Вводные'!$B$58)</f>
        <v/>
      </c>
      <c r="M19" s="40">
        <f>'06_Сеть_и_дети'!M28/(1+'01_Вводные'!$B$58)</f>
        <v/>
      </c>
      <c r="N19" s="40">
        <f>'06_Сеть_и_дети'!N28/(1+'01_Вводные'!$B$58)</f>
        <v/>
      </c>
      <c r="O19" s="40">
        <f>'06_Сеть_и_дети'!O28/(1+'01_Вводные'!$B$58)</f>
        <v/>
      </c>
      <c r="P19" s="40">
        <f>'06_Сеть_и_дети'!P28/(1+'01_Вводные'!$B$58)</f>
        <v/>
      </c>
      <c r="Q19" s="40">
        <f>'06_Сеть_и_дети'!Q28/(1+'01_Вводные'!$B$58)</f>
        <v/>
      </c>
      <c r="R19" s="40">
        <f>'06_Сеть_и_дети'!R28/(1+'01_Вводные'!$B$58)</f>
        <v/>
      </c>
      <c r="S19" s="40">
        <f>'06_Сеть_и_дети'!S28/(1+'01_Вводные'!$B$58)</f>
        <v/>
      </c>
      <c r="T19" s="40">
        <f>'06_Сеть_и_дети'!T28/(1+'01_Вводные'!$B$58)</f>
        <v/>
      </c>
      <c r="U19" s="40">
        <f>'06_Сеть_и_дети'!U28/(1+'01_Вводные'!$B$58)</f>
        <v/>
      </c>
      <c r="V19" s="40">
        <f>'06_Сеть_и_дети'!V28/(1+'01_Вводные'!$B$58)</f>
        <v/>
      </c>
      <c r="W19" s="40">
        <f>'06_Сеть_и_дети'!W28/(1+'01_Вводные'!$B$58)</f>
        <v/>
      </c>
      <c r="X19" s="40">
        <f>'06_Сеть_и_дети'!X28/(1+'01_Вводные'!$B$58)</f>
        <v/>
      </c>
      <c r="Y19" s="40">
        <f>'06_Сеть_и_дети'!Y28/(1+'01_Вводные'!$B$58)</f>
        <v/>
      </c>
      <c r="Z19" s="40">
        <f>'06_Сеть_и_дети'!Z28/(1+'01_Вводные'!$B$58)</f>
        <v/>
      </c>
      <c r="AA19" s="40">
        <f>'06_Сеть_и_дети'!AA28/(1+'01_Вводные'!$B$58)</f>
        <v/>
      </c>
      <c r="AB19" s="40">
        <f>'06_Сеть_и_дети'!AB28/(1+'01_Вводные'!$B$58)</f>
        <v/>
      </c>
      <c r="AC19" s="40">
        <f>'06_Сеть_и_дети'!AC28/(1+'01_Вводные'!$B$58)</f>
        <v/>
      </c>
      <c r="AD19" s="40">
        <f>'06_Сеть_и_дети'!AD28/(1+'01_Вводные'!$B$58)</f>
        <v/>
      </c>
      <c r="AE19" s="40">
        <f>'06_Сеть_и_дети'!AE28/(1+'01_Вводные'!$B$58)</f>
        <v/>
      </c>
      <c r="AF19" s="40">
        <f>'06_Сеть_и_дети'!AF28/(1+'01_Вводные'!$B$58)</f>
        <v/>
      </c>
      <c r="AG19" s="40">
        <f>'06_Сеть_и_дети'!AG28/(1+'01_Вводные'!$B$58)</f>
        <v/>
      </c>
      <c r="AH19" s="40">
        <f>'06_Сеть_и_дети'!AH28/(1+'01_Вводные'!$B$58)</f>
        <v/>
      </c>
      <c r="AI19" s="40">
        <f>'06_Сеть_и_дети'!AI28/(1+'01_Вводные'!$B$58)</f>
        <v/>
      </c>
      <c r="AJ19" s="40">
        <f>'06_Сеть_и_дети'!AJ28/(1+'01_Вводные'!$B$58)</f>
        <v/>
      </c>
      <c r="AK19" s="40">
        <f>'06_Сеть_и_дети'!AK28/(1+'01_Вводные'!$B$58)</f>
        <v/>
      </c>
      <c r="AL19" s="40">
        <f>'06_Сеть_и_дети'!AL28/(1+'01_Вводные'!$B$58)</f>
        <v/>
      </c>
      <c r="AM19" s="40">
        <f>'06_Сеть_и_дети'!AM28/(1+'01_Вводные'!$B$58)</f>
        <v/>
      </c>
      <c r="AN19" s="40">
        <f>'06_Сеть_и_дети'!AN28/(1+'01_Вводные'!$B$58)</f>
        <v/>
      </c>
      <c r="AO19" s="40">
        <f>'06_Сеть_и_дети'!AO28/(1+'01_Вводные'!$B$58)</f>
        <v/>
      </c>
      <c r="AP19" s="40">
        <f>'06_Сеть_и_дети'!AP28/(1+'01_Вводные'!$B$58)</f>
        <v/>
      </c>
      <c r="AQ19" s="40">
        <f>'06_Сеть_и_дети'!AQ28/(1+'01_Вводные'!$B$58)</f>
        <v/>
      </c>
      <c r="AR19" s="40">
        <f>'06_Сеть_и_дети'!AR28/(1+'01_Вводные'!$B$58)</f>
        <v/>
      </c>
      <c r="AS19" s="40">
        <f>'06_Сеть_и_дети'!AS28/(1+'01_Вводные'!$B$58)</f>
        <v/>
      </c>
      <c r="AT19" s="40">
        <f>'06_Сеть_и_дети'!AT28/(1+'01_Вводные'!$B$58)</f>
        <v/>
      </c>
      <c r="AU19" s="40">
        <f>'06_Сеть_и_дети'!AU28/(1+'01_Вводные'!$B$58)</f>
        <v/>
      </c>
      <c r="AV19" s="40">
        <f>'06_Сеть_и_дети'!AV28/(1+'01_Вводные'!$B$58)</f>
        <v/>
      </c>
      <c r="AW19" s="40">
        <f>'06_Сеть_и_дети'!AW28/(1+'01_Вводные'!$B$58)</f>
        <v/>
      </c>
      <c r="AX19" s="40">
        <f>'06_Сеть_и_дети'!AX28/(1+'01_Вводные'!$B$58)</f>
        <v/>
      </c>
      <c r="AY19" s="40">
        <f>'06_Сеть_и_дети'!AY28/(1+'01_Вводные'!$B$58)</f>
        <v/>
      </c>
      <c r="AZ19" s="40">
        <f>'06_Сеть_и_дети'!AZ28/(1+'01_Вводные'!$B$58)</f>
        <v/>
      </c>
      <c r="BA19" s="40">
        <f>'06_Сеть_и_дети'!BA28/(1+'01_Вводные'!$B$58)</f>
        <v/>
      </c>
      <c r="BB19" s="40">
        <f>'06_Сеть_и_дети'!BB28/(1+'01_Вводные'!$B$58)</f>
        <v/>
      </c>
      <c r="BC19" s="40">
        <f>'06_Сеть_и_дети'!BC28/(1+'01_Вводные'!$B$58)</f>
        <v/>
      </c>
      <c r="BD19" s="40">
        <f>'06_Сеть_и_дети'!BD28/(1+'01_Вводные'!$B$58)</f>
        <v/>
      </c>
      <c r="BE19" s="40">
        <f>'06_Сеть_и_дети'!BE28/(1+'01_Вводные'!$B$58)</f>
        <v/>
      </c>
      <c r="BF19" s="40">
        <f>'06_Сеть_и_дети'!BF28/(1+'01_Вводные'!$B$58)</f>
        <v/>
      </c>
      <c r="BG19" s="40">
        <f>'06_Сеть_и_дети'!BG28/(1+'01_Вводные'!$B$58)</f>
        <v/>
      </c>
      <c r="BH19" s="40">
        <f>'06_Сеть_и_дети'!BH28/(1+'01_Вводные'!$B$58)</f>
        <v/>
      </c>
      <c r="BI19" s="40">
        <f>'06_Сеть_и_дети'!BI28/(1+'01_Вводные'!$B$58)</f>
        <v/>
      </c>
    </row>
    <row r="20">
      <c r="A20" s="2" t="inlineStr">
        <is>
          <t>Роялти новых школ, без НДС</t>
        </is>
      </c>
      <c r="B20" s="40">
        <f>'06_Сеть_и_дети'!B29/(1+'01_Вводные'!$B$58)</f>
        <v/>
      </c>
      <c r="C20" s="40">
        <f>'06_Сеть_и_дети'!C29/(1+'01_Вводные'!$B$58)</f>
        <v/>
      </c>
      <c r="D20" s="40">
        <f>'06_Сеть_и_дети'!D29/(1+'01_Вводные'!$B$58)</f>
        <v/>
      </c>
      <c r="E20" s="40">
        <f>'06_Сеть_и_дети'!E29/(1+'01_Вводные'!$B$58)</f>
        <v/>
      </c>
      <c r="F20" s="40">
        <f>'06_Сеть_и_дети'!F29/(1+'01_Вводные'!$B$58)</f>
        <v/>
      </c>
      <c r="G20" s="40">
        <f>'06_Сеть_и_дети'!G29/(1+'01_Вводные'!$B$58)</f>
        <v/>
      </c>
      <c r="H20" s="40">
        <f>'06_Сеть_и_дети'!H29/(1+'01_Вводные'!$B$58)</f>
        <v/>
      </c>
      <c r="I20" s="40">
        <f>'06_Сеть_и_дети'!I29/(1+'01_Вводные'!$B$58)</f>
        <v/>
      </c>
      <c r="J20" s="40">
        <f>'06_Сеть_и_дети'!J29/(1+'01_Вводные'!$B$58)</f>
        <v/>
      </c>
      <c r="K20" s="40">
        <f>'06_Сеть_и_дети'!K29/(1+'01_Вводные'!$B$58)</f>
        <v/>
      </c>
      <c r="L20" s="40">
        <f>'06_Сеть_и_дети'!L29/(1+'01_Вводные'!$B$58)</f>
        <v/>
      </c>
      <c r="M20" s="40">
        <f>'06_Сеть_и_дети'!M29/(1+'01_Вводные'!$B$58)</f>
        <v/>
      </c>
      <c r="N20" s="40">
        <f>'06_Сеть_и_дети'!N29/(1+'01_Вводные'!$B$58)</f>
        <v/>
      </c>
      <c r="O20" s="40">
        <f>'06_Сеть_и_дети'!O29/(1+'01_Вводные'!$B$58)</f>
        <v/>
      </c>
      <c r="P20" s="40">
        <f>'06_Сеть_и_дети'!P29/(1+'01_Вводные'!$B$58)</f>
        <v/>
      </c>
      <c r="Q20" s="40">
        <f>'06_Сеть_и_дети'!Q29/(1+'01_Вводные'!$B$58)</f>
        <v/>
      </c>
      <c r="R20" s="40">
        <f>'06_Сеть_и_дети'!R29/(1+'01_Вводные'!$B$58)</f>
        <v/>
      </c>
      <c r="S20" s="40">
        <f>'06_Сеть_и_дети'!S29/(1+'01_Вводные'!$B$58)</f>
        <v/>
      </c>
      <c r="T20" s="40">
        <f>'06_Сеть_и_дети'!T29/(1+'01_Вводные'!$B$58)</f>
        <v/>
      </c>
      <c r="U20" s="40">
        <f>'06_Сеть_и_дети'!U29/(1+'01_Вводные'!$B$58)</f>
        <v/>
      </c>
      <c r="V20" s="40">
        <f>'06_Сеть_и_дети'!V29/(1+'01_Вводные'!$B$58)</f>
        <v/>
      </c>
      <c r="W20" s="40">
        <f>'06_Сеть_и_дети'!W29/(1+'01_Вводные'!$B$58)</f>
        <v/>
      </c>
      <c r="X20" s="40">
        <f>'06_Сеть_и_дети'!X29/(1+'01_Вводные'!$B$58)</f>
        <v/>
      </c>
      <c r="Y20" s="40">
        <f>'06_Сеть_и_дети'!Y29/(1+'01_Вводные'!$B$58)</f>
        <v/>
      </c>
      <c r="Z20" s="40">
        <f>'06_Сеть_и_дети'!Z29/(1+'01_Вводные'!$B$58)</f>
        <v/>
      </c>
      <c r="AA20" s="40">
        <f>'06_Сеть_и_дети'!AA29/(1+'01_Вводные'!$B$58)</f>
        <v/>
      </c>
      <c r="AB20" s="40">
        <f>'06_Сеть_и_дети'!AB29/(1+'01_Вводные'!$B$58)</f>
        <v/>
      </c>
      <c r="AC20" s="40">
        <f>'06_Сеть_и_дети'!AC29/(1+'01_Вводные'!$B$58)</f>
        <v/>
      </c>
      <c r="AD20" s="40">
        <f>'06_Сеть_и_дети'!AD29/(1+'01_Вводные'!$B$58)</f>
        <v/>
      </c>
      <c r="AE20" s="40">
        <f>'06_Сеть_и_дети'!AE29/(1+'01_Вводные'!$B$58)</f>
        <v/>
      </c>
      <c r="AF20" s="40">
        <f>'06_Сеть_и_дети'!AF29/(1+'01_Вводные'!$B$58)</f>
        <v/>
      </c>
      <c r="AG20" s="40">
        <f>'06_Сеть_и_дети'!AG29/(1+'01_Вводные'!$B$58)</f>
        <v/>
      </c>
      <c r="AH20" s="40">
        <f>'06_Сеть_и_дети'!AH29/(1+'01_Вводные'!$B$58)</f>
        <v/>
      </c>
      <c r="AI20" s="40">
        <f>'06_Сеть_и_дети'!AI29/(1+'01_Вводные'!$B$58)</f>
        <v/>
      </c>
      <c r="AJ20" s="40">
        <f>'06_Сеть_и_дети'!AJ29/(1+'01_Вводные'!$B$58)</f>
        <v/>
      </c>
      <c r="AK20" s="40">
        <f>'06_Сеть_и_дети'!AK29/(1+'01_Вводные'!$B$58)</f>
        <v/>
      </c>
      <c r="AL20" s="40">
        <f>'06_Сеть_и_дети'!AL29/(1+'01_Вводные'!$B$58)</f>
        <v/>
      </c>
      <c r="AM20" s="40">
        <f>'06_Сеть_и_дети'!AM29/(1+'01_Вводные'!$B$58)</f>
        <v/>
      </c>
      <c r="AN20" s="40">
        <f>'06_Сеть_и_дети'!AN29/(1+'01_Вводные'!$B$58)</f>
        <v/>
      </c>
      <c r="AO20" s="40">
        <f>'06_Сеть_и_дети'!AO29/(1+'01_Вводные'!$B$58)</f>
        <v/>
      </c>
      <c r="AP20" s="40">
        <f>'06_Сеть_и_дети'!AP29/(1+'01_Вводные'!$B$58)</f>
        <v/>
      </c>
      <c r="AQ20" s="40">
        <f>'06_Сеть_и_дети'!AQ29/(1+'01_Вводные'!$B$58)</f>
        <v/>
      </c>
      <c r="AR20" s="40">
        <f>'06_Сеть_и_дети'!AR29/(1+'01_Вводные'!$B$58)</f>
        <v/>
      </c>
      <c r="AS20" s="40">
        <f>'06_Сеть_и_дети'!AS29/(1+'01_Вводные'!$B$58)</f>
        <v/>
      </c>
      <c r="AT20" s="40">
        <f>'06_Сеть_и_дети'!AT29/(1+'01_Вводные'!$B$58)</f>
        <v/>
      </c>
      <c r="AU20" s="40">
        <f>'06_Сеть_и_дети'!AU29/(1+'01_Вводные'!$B$58)</f>
        <v/>
      </c>
      <c r="AV20" s="40">
        <f>'06_Сеть_и_дети'!AV29/(1+'01_Вводные'!$B$58)</f>
        <v/>
      </c>
      <c r="AW20" s="40">
        <f>'06_Сеть_и_дети'!AW29/(1+'01_Вводные'!$B$58)</f>
        <v/>
      </c>
      <c r="AX20" s="40">
        <f>'06_Сеть_и_дети'!AX29/(1+'01_Вводные'!$B$58)</f>
        <v/>
      </c>
      <c r="AY20" s="40">
        <f>'06_Сеть_и_дети'!AY29/(1+'01_Вводные'!$B$58)</f>
        <v/>
      </c>
      <c r="AZ20" s="40">
        <f>'06_Сеть_и_дети'!AZ29/(1+'01_Вводные'!$B$58)</f>
        <v/>
      </c>
      <c r="BA20" s="40">
        <f>'06_Сеть_и_дети'!BA29/(1+'01_Вводные'!$B$58)</f>
        <v/>
      </c>
      <c r="BB20" s="40">
        <f>'06_Сеть_и_дети'!BB29/(1+'01_Вводные'!$B$58)</f>
        <v/>
      </c>
      <c r="BC20" s="40">
        <f>'06_Сеть_и_дети'!BC29/(1+'01_Вводные'!$B$58)</f>
        <v/>
      </c>
      <c r="BD20" s="40">
        <f>'06_Сеть_и_дети'!BD29/(1+'01_Вводные'!$B$58)</f>
        <v/>
      </c>
      <c r="BE20" s="40">
        <f>'06_Сеть_и_дети'!BE29/(1+'01_Вводные'!$B$58)</f>
        <v/>
      </c>
      <c r="BF20" s="40">
        <f>'06_Сеть_и_дети'!BF29/(1+'01_Вводные'!$B$58)</f>
        <v/>
      </c>
      <c r="BG20" s="40">
        <f>'06_Сеть_и_дети'!BG29/(1+'01_Вводные'!$B$58)</f>
        <v/>
      </c>
      <c r="BH20" s="40">
        <f>'06_Сеть_и_дети'!BH29/(1+'01_Вводные'!$B$58)</f>
        <v/>
      </c>
      <c r="BI20" s="40">
        <f>'06_Сеть_и_дети'!BI29/(1+'01_Вводные'!$B$58)</f>
        <v/>
      </c>
    </row>
    <row r="21">
      <c r="A21" s="2" t="inlineStr">
        <is>
          <t>Мерч, без НДС</t>
        </is>
      </c>
      <c r="B21" s="40">
        <f>'07_Мерч'!B15</f>
        <v/>
      </c>
      <c r="C21" s="40">
        <f>'07_Мерч'!C15</f>
        <v/>
      </c>
      <c r="D21" s="40">
        <f>'07_Мерч'!D15</f>
        <v/>
      </c>
      <c r="E21" s="40">
        <f>'07_Мерч'!E15</f>
        <v/>
      </c>
      <c r="F21" s="40">
        <f>'07_Мерч'!F15</f>
        <v/>
      </c>
      <c r="G21" s="40">
        <f>'07_Мерч'!G15</f>
        <v/>
      </c>
      <c r="H21" s="40">
        <f>'07_Мерч'!H15</f>
        <v/>
      </c>
      <c r="I21" s="40">
        <f>'07_Мерч'!I15</f>
        <v/>
      </c>
      <c r="J21" s="40">
        <f>'07_Мерч'!J15</f>
        <v/>
      </c>
      <c r="K21" s="40">
        <f>'07_Мерч'!K15</f>
        <v/>
      </c>
      <c r="L21" s="40">
        <f>'07_Мерч'!L15</f>
        <v/>
      </c>
      <c r="M21" s="40">
        <f>'07_Мерч'!M15</f>
        <v/>
      </c>
      <c r="N21" s="40">
        <f>'07_Мерч'!N15</f>
        <v/>
      </c>
      <c r="O21" s="40">
        <f>'07_Мерч'!O15</f>
        <v/>
      </c>
      <c r="P21" s="40">
        <f>'07_Мерч'!P15</f>
        <v/>
      </c>
      <c r="Q21" s="40">
        <f>'07_Мерч'!Q15</f>
        <v/>
      </c>
      <c r="R21" s="40">
        <f>'07_Мерч'!R15</f>
        <v/>
      </c>
      <c r="S21" s="40">
        <f>'07_Мерч'!S15</f>
        <v/>
      </c>
      <c r="T21" s="40">
        <f>'07_Мерч'!T15</f>
        <v/>
      </c>
      <c r="U21" s="40">
        <f>'07_Мерч'!U15</f>
        <v/>
      </c>
      <c r="V21" s="40">
        <f>'07_Мерч'!V15</f>
        <v/>
      </c>
      <c r="W21" s="40">
        <f>'07_Мерч'!W15</f>
        <v/>
      </c>
      <c r="X21" s="40">
        <f>'07_Мерч'!X15</f>
        <v/>
      </c>
      <c r="Y21" s="40">
        <f>'07_Мерч'!Y15</f>
        <v/>
      </c>
      <c r="Z21" s="40">
        <f>'07_Мерч'!Z15</f>
        <v/>
      </c>
      <c r="AA21" s="40">
        <f>'07_Мерч'!AA15</f>
        <v/>
      </c>
      <c r="AB21" s="40">
        <f>'07_Мерч'!AB15</f>
        <v/>
      </c>
      <c r="AC21" s="40">
        <f>'07_Мерч'!AC15</f>
        <v/>
      </c>
      <c r="AD21" s="40">
        <f>'07_Мерч'!AD15</f>
        <v/>
      </c>
      <c r="AE21" s="40">
        <f>'07_Мерч'!AE15</f>
        <v/>
      </c>
      <c r="AF21" s="40">
        <f>'07_Мерч'!AF15</f>
        <v/>
      </c>
      <c r="AG21" s="40">
        <f>'07_Мерч'!AG15</f>
        <v/>
      </c>
      <c r="AH21" s="40">
        <f>'07_Мерч'!AH15</f>
        <v/>
      </c>
      <c r="AI21" s="40">
        <f>'07_Мерч'!AI15</f>
        <v/>
      </c>
      <c r="AJ21" s="40">
        <f>'07_Мерч'!AJ15</f>
        <v/>
      </c>
      <c r="AK21" s="40">
        <f>'07_Мерч'!AK15</f>
        <v/>
      </c>
      <c r="AL21" s="40">
        <f>'07_Мерч'!AL15</f>
        <v/>
      </c>
      <c r="AM21" s="40">
        <f>'07_Мерч'!AM15</f>
        <v/>
      </c>
      <c r="AN21" s="40">
        <f>'07_Мерч'!AN15</f>
        <v/>
      </c>
      <c r="AO21" s="40">
        <f>'07_Мерч'!AO15</f>
        <v/>
      </c>
      <c r="AP21" s="40">
        <f>'07_Мерч'!AP15</f>
        <v/>
      </c>
      <c r="AQ21" s="40">
        <f>'07_Мерч'!AQ15</f>
        <v/>
      </c>
      <c r="AR21" s="40">
        <f>'07_Мерч'!AR15</f>
        <v/>
      </c>
      <c r="AS21" s="40">
        <f>'07_Мерч'!AS15</f>
        <v/>
      </c>
      <c r="AT21" s="40">
        <f>'07_Мерч'!AT15</f>
        <v/>
      </c>
      <c r="AU21" s="40">
        <f>'07_Мерч'!AU15</f>
        <v/>
      </c>
      <c r="AV21" s="40">
        <f>'07_Мерч'!AV15</f>
        <v/>
      </c>
      <c r="AW21" s="40">
        <f>'07_Мерч'!AW15</f>
        <v/>
      </c>
      <c r="AX21" s="40">
        <f>'07_Мерч'!AX15</f>
        <v/>
      </c>
      <c r="AY21" s="40">
        <f>'07_Мерч'!AY15</f>
        <v/>
      </c>
      <c r="AZ21" s="40">
        <f>'07_Мерч'!AZ15</f>
        <v/>
      </c>
      <c r="BA21" s="40">
        <f>'07_Мерч'!BA15</f>
        <v/>
      </c>
      <c r="BB21" s="40">
        <f>'07_Мерч'!BB15</f>
        <v/>
      </c>
      <c r="BC21" s="40">
        <f>'07_Мерч'!BC15</f>
        <v/>
      </c>
      <c r="BD21" s="40">
        <f>'07_Мерч'!BD15</f>
        <v/>
      </c>
      <c r="BE21" s="40">
        <f>'07_Мерч'!BE15</f>
        <v/>
      </c>
      <c r="BF21" s="40">
        <f>'07_Мерч'!BF15</f>
        <v/>
      </c>
      <c r="BG21" s="40">
        <f>'07_Мерч'!BG15</f>
        <v/>
      </c>
      <c r="BH21" s="40">
        <f>'07_Мерч'!BH15</f>
        <v/>
      </c>
      <c r="BI21" s="40">
        <f>'07_Мерч'!BI15</f>
        <v/>
      </c>
    </row>
    <row r="22">
      <c r="A22" s="2" t="inlineStr">
        <is>
          <t>Лагеря, без НДС</t>
        </is>
      </c>
      <c r="B22" s="40">
        <f>('09_Лагеря'!B10-'09_Лагеря'!B11)</f>
        <v/>
      </c>
      <c r="C22" s="40">
        <f>('09_Лагеря'!C10-'09_Лагеря'!C11)</f>
        <v/>
      </c>
      <c r="D22" s="40">
        <f>('09_Лагеря'!D10-'09_Лагеря'!D11)</f>
        <v/>
      </c>
      <c r="E22" s="40">
        <f>('09_Лагеря'!E10-'09_Лагеря'!E11)</f>
        <v/>
      </c>
      <c r="F22" s="40">
        <f>('09_Лагеря'!F10-'09_Лагеря'!F11)</f>
        <v/>
      </c>
      <c r="G22" s="40">
        <f>('09_Лагеря'!G10-'09_Лагеря'!G11)</f>
        <v/>
      </c>
      <c r="H22" s="40">
        <f>('09_Лагеря'!H10-'09_Лагеря'!H11)</f>
        <v/>
      </c>
      <c r="I22" s="40">
        <f>('09_Лагеря'!I10-'09_Лагеря'!I11)</f>
        <v/>
      </c>
      <c r="J22" s="40">
        <f>('09_Лагеря'!J10-'09_Лагеря'!J11)</f>
        <v/>
      </c>
      <c r="K22" s="40">
        <f>('09_Лагеря'!K10-'09_Лагеря'!K11)</f>
        <v/>
      </c>
      <c r="L22" s="40">
        <f>('09_Лагеря'!L10-'09_Лагеря'!L11)</f>
        <v/>
      </c>
      <c r="M22" s="40">
        <f>('09_Лагеря'!M10-'09_Лагеря'!M11)</f>
        <v/>
      </c>
      <c r="N22" s="40">
        <f>('09_Лагеря'!N10-'09_Лагеря'!N11)</f>
        <v/>
      </c>
      <c r="O22" s="40">
        <f>('09_Лагеря'!O10-'09_Лагеря'!O11)</f>
        <v/>
      </c>
      <c r="P22" s="40">
        <f>('09_Лагеря'!P10-'09_Лагеря'!P11)</f>
        <v/>
      </c>
      <c r="Q22" s="40">
        <f>('09_Лагеря'!Q10-'09_Лагеря'!Q11)</f>
        <v/>
      </c>
      <c r="R22" s="40">
        <f>('09_Лагеря'!R10-'09_Лагеря'!R11)</f>
        <v/>
      </c>
      <c r="S22" s="40">
        <f>('09_Лагеря'!S10-'09_Лагеря'!S11)</f>
        <v/>
      </c>
      <c r="T22" s="40">
        <f>('09_Лагеря'!T10-'09_Лагеря'!T11)</f>
        <v/>
      </c>
      <c r="U22" s="40">
        <f>('09_Лагеря'!U10-'09_Лагеря'!U11)</f>
        <v/>
      </c>
      <c r="V22" s="40">
        <f>('09_Лагеря'!V10-'09_Лагеря'!V11)</f>
        <v/>
      </c>
      <c r="W22" s="40">
        <f>('09_Лагеря'!W10-'09_Лагеря'!W11)</f>
        <v/>
      </c>
      <c r="X22" s="40">
        <f>('09_Лагеря'!X10-'09_Лагеря'!X11)</f>
        <v/>
      </c>
      <c r="Y22" s="40">
        <f>('09_Лагеря'!Y10-'09_Лагеря'!Y11)</f>
        <v/>
      </c>
      <c r="Z22" s="40">
        <f>('09_Лагеря'!Z10-'09_Лагеря'!Z11)</f>
        <v/>
      </c>
      <c r="AA22" s="40">
        <f>('09_Лагеря'!AA10-'09_Лагеря'!AA11)</f>
        <v/>
      </c>
      <c r="AB22" s="40">
        <f>('09_Лагеря'!AB10-'09_Лагеря'!AB11)</f>
        <v/>
      </c>
      <c r="AC22" s="40">
        <f>('09_Лагеря'!AC10-'09_Лагеря'!AC11)</f>
        <v/>
      </c>
      <c r="AD22" s="40">
        <f>('09_Лагеря'!AD10-'09_Лагеря'!AD11)</f>
        <v/>
      </c>
      <c r="AE22" s="40">
        <f>('09_Лагеря'!AE10-'09_Лагеря'!AE11)</f>
        <v/>
      </c>
      <c r="AF22" s="40">
        <f>('09_Лагеря'!AF10-'09_Лагеря'!AF11)</f>
        <v/>
      </c>
      <c r="AG22" s="40">
        <f>('09_Лагеря'!AG10-'09_Лагеря'!AG11)</f>
        <v/>
      </c>
      <c r="AH22" s="40">
        <f>('09_Лагеря'!AH10-'09_Лагеря'!AH11)</f>
        <v/>
      </c>
      <c r="AI22" s="40">
        <f>('09_Лагеря'!AI10-'09_Лагеря'!AI11)</f>
        <v/>
      </c>
      <c r="AJ22" s="40">
        <f>('09_Лагеря'!AJ10-'09_Лагеря'!AJ11)</f>
        <v/>
      </c>
      <c r="AK22" s="40">
        <f>('09_Лагеря'!AK10-'09_Лагеря'!AK11)</f>
        <v/>
      </c>
      <c r="AL22" s="40">
        <f>('09_Лагеря'!AL10-'09_Лагеря'!AL11)</f>
        <v/>
      </c>
      <c r="AM22" s="40">
        <f>('09_Лагеря'!AM10-'09_Лагеря'!AM11)</f>
        <v/>
      </c>
      <c r="AN22" s="40">
        <f>('09_Лагеря'!AN10-'09_Лагеря'!AN11)</f>
        <v/>
      </c>
      <c r="AO22" s="40">
        <f>('09_Лагеря'!AO10-'09_Лагеря'!AO11)</f>
        <v/>
      </c>
      <c r="AP22" s="40">
        <f>('09_Лагеря'!AP10-'09_Лагеря'!AP11)</f>
        <v/>
      </c>
      <c r="AQ22" s="40">
        <f>('09_Лагеря'!AQ10-'09_Лагеря'!AQ11)</f>
        <v/>
      </c>
      <c r="AR22" s="40">
        <f>('09_Лагеря'!AR10-'09_Лагеря'!AR11)</f>
        <v/>
      </c>
      <c r="AS22" s="40">
        <f>('09_Лагеря'!AS10-'09_Лагеря'!AS11)</f>
        <v/>
      </c>
      <c r="AT22" s="40">
        <f>('09_Лагеря'!AT10-'09_Лагеря'!AT11)</f>
        <v/>
      </c>
      <c r="AU22" s="40">
        <f>('09_Лагеря'!AU10-'09_Лагеря'!AU11)</f>
        <v/>
      </c>
      <c r="AV22" s="40">
        <f>('09_Лагеря'!AV10-'09_Лагеря'!AV11)</f>
        <v/>
      </c>
      <c r="AW22" s="40">
        <f>('09_Лагеря'!AW10-'09_Лагеря'!AW11)</f>
        <v/>
      </c>
      <c r="AX22" s="40">
        <f>('09_Лагеря'!AX10-'09_Лагеря'!AX11)</f>
        <v/>
      </c>
      <c r="AY22" s="40">
        <f>('09_Лагеря'!AY10-'09_Лагеря'!AY11)</f>
        <v/>
      </c>
      <c r="AZ22" s="40">
        <f>('09_Лагеря'!AZ10-'09_Лагеря'!AZ11)</f>
        <v/>
      </c>
      <c r="BA22" s="40">
        <f>('09_Лагеря'!BA10-'09_Лагеря'!BA11)</f>
        <v/>
      </c>
      <c r="BB22" s="40">
        <f>('09_Лагеря'!BB10-'09_Лагеря'!BB11)</f>
        <v/>
      </c>
      <c r="BC22" s="40">
        <f>('09_Лагеря'!BC10-'09_Лагеря'!BC11)</f>
        <v/>
      </c>
      <c r="BD22" s="40">
        <f>('09_Лагеря'!BD10-'09_Лагеря'!BD11)</f>
        <v/>
      </c>
      <c r="BE22" s="40">
        <f>('09_Лагеря'!BE10-'09_Лагеря'!BE11)</f>
        <v/>
      </c>
      <c r="BF22" s="40">
        <f>('09_Лагеря'!BF10-'09_Лагеря'!BF11)</f>
        <v/>
      </c>
      <c r="BG22" s="40">
        <f>('09_Лагеря'!BG10-'09_Лагеря'!BG11)</f>
        <v/>
      </c>
      <c r="BH22" s="40">
        <f>('09_Лагеря'!BH10-'09_Лагеря'!BH11)</f>
        <v/>
      </c>
      <c r="BI22" s="40">
        <f>('09_Лагеря'!BI10-'09_Лагеря'!BI11)</f>
        <v/>
      </c>
    </row>
    <row r="23">
      <c r="A23" s="10" t="inlineStr">
        <is>
          <t>Выручка — всего, без НДС</t>
        </is>
      </c>
      <c r="B23" s="43">
        <f>SUM(B18:B22)</f>
        <v/>
      </c>
      <c r="C23" s="43">
        <f>SUM(C18:C22)</f>
        <v/>
      </c>
      <c r="D23" s="43">
        <f>SUM(D18:D22)</f>
        <v/>
      </c>
      <c r="E23" s="43">
        <f>SUM(E18:E22)</f>
        <v/>
      </c>
      <c r="F23" s="43">
        <f>SUM(F18:F22)</f>
        <v/>
      </c>
      <c r="G23" s="43">
        <f>SUM(G18:G22)</f>
        <v/>
      </c>
      <c r="H23" s="43">
        <f>SUM(H18:H22)</f>
        <v/>
      </c>
      <c r="I23" s="43">
        <f>SUM(I18:I22)</f>
        <v/>
      </c>
      <c r="J23" s="43">
        <f>SUM(J18:J22)</f>
        <v/>
      </c>
      <c r="K23" s="43">
        <f>SUM(K18:K22)</f>
        <v/>
      </c>
      <c r="L23" s="43">
        <f>SUM(L18:L22)</f>
        <v/>
      </c>
      <c r="M23" s="43">
        <f>SUM(M18:M22)</f>
        <v/>
      </c>
      <c r="N23" s="43">
        <f>SUM(N18:N22)</f>
        <v/>
      </c>
      <c r="O23" s="43">
        <f>SUM(O18:O22)</f>
        <v/>
      </c>
      <c r="P23" s="43">
        <f>SUM(P18:P22)</f>
        <v/>
      </c>
      <c r="Q23" s="43">
        <f>SUM(Q18:Q22)</f>
        <v/>
      </c>
      <c r="R23" s="43">
        <f>SUM(R18:R22)</f>
        <v/>
      </c>
      <c r="S23" s="43">
        <f>SUM(S18:S22)</f>
        <v/>
      </c>
      <c r="T23" s="43">
        <f>SUM(T18:T22)</f>
        <v/>
      </c>
      <c r="U23" s="43">
        <f>SUM(U18:U22)</f>
        <v/>
      </c>
      <c r="V23" s="43">
        <f>SUM(V18:V22)</f>
        <v/>
      </c>
      <c r="W23" s="43">
        <f>SUM(W18:W22)</f>
        <v/>
      </c>
      <c r="X23" s="43">
        <f>SUM(X18:X22)</f>
        <v/>
      </c>
      <c r="Y23" s="43">
        <f>SUM(Y18:Y22)</f>
        <v/>
      </c>
      <c r="Z23" s="43">
        <f>SUM(Z18:Z22)</f>
        <v/>
      </c>
      <c r="AA23" s="43">
        <f>SUM(AA18:AA22)</f>
        <v/>
      </c>
      <c r="AB23" s="43">
        <f>SUM(AB18:AB22)</f>
        <v/>
      </c>
      <c r="AC23" s="43">
        <f>SUM(AC18:AC22)</f>
        <v/>
      </c>
      <c r="AD23" s="43">
        <f>SUM(AD18:AD22)</f>
        <v/>
      </c>
      <c r="AE23" s="43">
        <f>SUM(AE18:AE22)</f>
        <v/>
      </c>
      <c r="AF23" s="43">
        <f>SUM(AF18:AF22)</f>
        <v/>
      </c>
      <c r="AG23" s="43">
        <f>SUM(AG18:AG22)</f>
        <v/>
      </c>
      <c r="AH23" s="43">
        <f>SUM(AH18:AH22)</f>
        <v/>
      </c>
      <c r="AI23" s="43">
        <f>SUM(AI18:AI22)</f>
        <v/>
      </c>
      <c r="AJ23" s="43">
        <f>SUM(AJ18:AJ22)</f>
        <v/>
      </c>
      <c r="AK23" s="43">
        <f>SUM(AK18:AK22)</f>
        <v/>
      </c>
      <c r="AL23" s="43">
        <f>SUM(AL18:AL22)</f>
        <v/>
      </c>
      <c r="AM23" s="43">
        <f>SUM(AM18:AM22)</f>
        <v/>
      </c>
      <c r="AN23" s="43">
        <f>SUM(AN18:AN22)</f>
        <v/>
      </c>
      <c r="AO23" s="43">
        <f>SUM(AO18:AO22)</f>
        <v/>
      </c>
      <c r="AP23" s="43">
        <f>SUM(AP18:AP22)</f>
        <v/>
      </c>
      <c r="AQ23" s="43">
        <f>SUM(AQ18:AQ22)</f>
        <v/>
      </c>
      <c r="AR23" s="43">
        <f>SUM(AR18:AR22)</f>
        <v/>
      </c>
      <c r="AS23" s="43">
        <f>SUM(AS18:AS22)</f>
        <v/>
      </c>
      <c r="AT23" s="43">
        <f>SUM(AT18:AT22)</f>
        <v/>
      </c>
      <c r="AU23" s="43">
        <f>SUM(AU18:AU22)</f>
        <v/>
      </c>
      <c r="AV23" s="43">
        <f>SUM(AV18:AV22)</f>
        <v/>
      </c>
      <c r="AW23" s="43">
        <f>SUM(AW18:AW22)</f>
        <v/>
      </c>
      <c r="AX23" s="43">
        <f>SUM(AX18:AX22)</f>
        <v/>
      </c>
      <c r="AY23" s="43">
        <f>SUM(AY18:AY22)</f>
        <v/>
      </c>
      <c r="AZ23" s="43">
        <f>SUM(AZ18:AZ22)</f>
        <v/>
      </c>
      <c r="BA23" s="43">
        <f>SUM(BA18:BA22)</f>
        <v/>
      </c>
      <c r="BB23" s="43">
        <f>SUM(BB18:BB22)</f>
        <v/>
      </c>
      <c r="BC23" s="43">
        <f>SUM(BC18:BC22)</f>
        <v/>
      </c>
      <c r="BD23" s="43">
        <f>SUM(BD18:BD22)</f>
        <v/>
      </c>
      <c r="BE23" s="43">
        <f>SUM(BE18:BE22)</f>
        <v/>
      </c>
      <c r="BF23" s="43">
        <f>SUM(BF18:BF22)</f>
        <v/>
      </c>
      <c r="BG23" s="43">
        <f>SUM(BG18:BG22)</f>
        <v/>
      </c>
      <c r="BH23" s="43">
        <f>SUM(BH18:BH22)</f>
        <v/>
      </c>
      <c r="BI23" s="43">
        <f>SUM(BI18:BI22)</f>
        <v/>
      </c>
    </row>
    <row r="24">
      <c r="B24" s="73" t="n"/>
      <c r="C24" s="73" t="n"/>
      <c r="D24" s="73" t="n"/>
      <c r="E24" s="73" t="n"/>
      <c r="F24" s="73" t="n"/>
      <c r="G24" s="73" t="n"/>
      <c r="H24" s="73" t="n"/>
      <c r="I24" s="73" t="n"/>
      <c r="J24" s="73" t="n"/>
      <c r="K24" s="73" t="n"/>
      <c r="L24" s="73" t="n"/>
      <c r="M24" s="73" t="n"/>
      <c r="N24" s="73" t="n"/>
      <c r="O24" s="73" t="n"/>
      <c r="P24" s="73" t="n"/>
      <c r="Q24" s="73" t="n"/>
      <c r="R24" s="73" t="n"/>
      <c r="S24" s="73" t="n"/>
      <c r="T24" s="73" t="n"/>
      <c r="U24" s="73" t="n"/>
      <c r="V24" s="73" t="n"/>
      <c r="W24" s="73" t="n"/>
      <c r="X24" s="73" t="n"/>
      <c r="Y24" s="73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  <c r="AM24" s="73" t="n"/>
      <c r="AN24" s="73" t="n"/>
      <c r="AO24" s="73" t="n"/>
      <c r="AP24" s="73" t="n"/>
      <c r="AQ24" s="73" t="n"/>
      <c r="AR24" s="73" t="n"/>
      <c r="AS24" s="73" t="n"/>
      <c r="AT24" s="73" t="n"/>
      <c r="AU24" s="73" t="n"/>
      <c r="AV24" s="73" t="n"/>
      <c r="AW24" s="73" t="n"/>
      <c r="AX24" s="73" t="n"/>
      <c r="AY24" s="73" t="n"/>
      <c r="AZ24" s="73" t="n"/>
      <c r="BA24" s="73" t="n"/>
      <c r="BB24" s="73" t="n"/>
      <c r="BC24" s="73" t="n"/>
      <c r="BD24" s="73" t="n"/>
      <c r="BE24" s="73" t="n"/>
      <c r="BF24" s="73" t="n"/>
      <c r="BG24" s="73" t="n"/>
      <c r="BH24" s="73" t="n"/>
      <c r="BI24" s="73" t="n"/>
    </row>
    <row r="25" ht="20" customHeight="1">
      <c r="A25" s="4" t="inlineStr">
        <is>
          <t>БДР — прямые расходы</t>
        </is>
      </c>
    </row>
    <row r="26">
      <c r="A26" s="2" t="inlineStr">
        <is>
          <t>COGS мерча</t>
        </is>
      </c>
      <c r="B26" s="40">
        <f>'07_Мерч'!B16</f>
        <v/>
      </c>
      <c r="C26" s="40">
        <f>'07_Мерч'!C16</f>
        <v/>
      </c>
      <c r="D26" s="40">
        <f>'07_Мерч'!D16</f>
        <v/>
      </c>
      <c r="E26" s="40">
        <f>'07_Мерч'!E16</f>
        <v/>
      </c>
      <c r="F26" s="40">
        <f>'07_Мерч'!F16</f>
        <v/>
      </c>
      <c r="G26" s="40">
        <f>'07_Мерч'!G16</f>
        <v/>
      </c>
      <c r="H26" s="40">
        <f>'07_Мерч'!H16</f>
        <v/>
      </c>
      <c r="I26" s="40">
        <f>'07_Мерч'!I16</f>
        <v/>
      </c>
      <c r="J26" s="40">
        <f>'07_Мерч'!J16</f>
        <v/>
      </c>
      <c r="K26" s="40">
        <f>'07_Мерч'!K16</f>
        <v/>
      </c>
      <c r="L26" s="40">
        <f>'07_Мерч'!L16</f>
        <v/>
      </c>
      <c r="M26" s="40">
        <f>'07_Мерч'!M16</f>
        <v/>
      </c>
      <c r="N26" s="40">
        <f>'07_Мерч'!N16</f>
        <v/>
      </c>
      <c r="O26" s="40">
        <f>'07_Мерч'!O16</f>
        <v/>
      </c>
      <c r="P26" s="40">
        <f>'07_Мерч'!P16</f>
        <v/>
      </c>
      <c r="Q26" s="40">
        <f>'07_Мерч'!Q16</f>
        <v/>
      </c>
      <c r="R26" s="40">
        <f>'07_Мерч'!R16</f>
        <v/>
      </c>
      <c r="S26" s="40">
        <f>'07_Мерч'!S16</f>
        <v/>
      </c>
      <c r="T26" s="40">
        <f>'07_Мерч'!T16</f>
        <v/>
      </c>
      <c r="U26" s="40">
        <f>'07_Мерч'!U16</f>
        <v/>
      </c>
      <c r="V26" s="40">
        <f>'07_Мерч'!V16</f>
        <v/>
      </c>
      <c r="W26" s="40">
        <f>'07_Мерч'!W16</f>
        <v/>
      </c>
      <c r="X26" s="40">
        <f>'07_Мерч'!X16</f>
        <v/>
      </c>
      <c r="Y26" s="40">
        <f>'07_Мерч'!Y16</f>
        <v/>
      </c>
      <c r="Z26" s="40">
        <f>'07_Мерч'!Z16</f>
        <v/>
      </c>
      <c r="AA26" s="40">
        <f>'07_Мерч'!AA16</f>
        <v/>
      </c>
      <c r="AB26" s="40">
        <f>'07_Мерч'!AB16</f>
        <v/>
      </c>
      <c r="AC26" s="40">
        <f>'07_Мерч'!AC16</f>
        <v/>
      </c>
      <c r="AD26" s="40">
        <f>'07_Мерч'!AD16</f>
        <v/>
      </c>
      <c r="AE26" s="40">
        <f>'07_Мерч'!AE16</f>
        <v/>
      </c>
      <c r="AF26" s="40">
        <f>'07_Мерч'!AF16</f>
        <v/>
      </c>
      <c r="AG26" s="40">
        <f>'07_Мерч'!AG16</f>
        <v/>
      </c>
      <c r="AH26" s="40">
        <f>'07_Мерч'!AH16</f>
        <v/>
      </c>
      <c r="AI26" s="40">
        <f>'07_Мерч'!AI16</f>
        <v/>
      </c>
      <c r="AJ26" s="40">
        <f>'07_Мерч'!AJ16</f>
        <v/>
      </c>
      <c r="AK26" s="40">
        <f>'07_Мерч'!AK16</f>
        <v/>
      </c>
      <c r="AL26" s="40">
        <f>'07_Мерч'!AL16</f>
        <v/>
      </c>
      <c r="AM26" s="40">
        <f>'07_Мерч'!AM16</f>
        <v/>
      </c>
      <c r="AN26" s="40">
        <f>'07_Мерч'!AN16</f>
        <v/>
      </c>
      <c r="AO26" s="40">
        <f>'07_Мерч'!AO16</f>
        <v/>
      </c>
      <c r="AP26" s="40">
        <f>'07_Мерч'!AP16</f>
        <v/>
      </c>
      <c r="AQ26" s="40">
        <f>'07_Мерч'!AQ16</f>
        <v/>
      </c>
      <c r="AR26" s="40">
        <f>'07_Мерч'!AR16</f>
        <v/>
      </c>
      <c r="AS26" s="40">
        <f>'07_Мерч'!AS16</f>
        <v/>
      </c>
      <c r="AT26" s="40">
        <f>'07_Мерч'!AT16</f>
        <v/>
      </c>
      <c r="AU26" s="40">
        <f>'07_Мерч'!AU16</f>
        <v/>
      </c>
      <c r="AV26" s="40">
        <f>'07_Мерч'!AV16</f>
        <v/>
      </c>
      <c r="AW26" s="40">
        <f>'07_Мерч'!AW16</f>
        <v/>
      </c>
      <c r="AX26" s="40">
        <f>'07_Мерч'!AX16</f>
        <v/>
      </c>
      <c r="AY26" s="40">
        <f>'07_Мерч'!AY16</f>
        <v/>
      </c>
      <c r="AZ26" s="40">
        <f>'07_Мерч'!AZ16</f>
        <v/>
      </c>
      <c r="BA26" s="40">
        <f>'07_Мерч'!BA16</f>
        <v/>
      </c>
      <c r="BB26" s="40">
        <f>'07_Мерч'!BB16</f>
        <v/>
      </c>
      <c r="BC26" s="40">
        <f>'07_Мерч'!BC16</f>
        <v/>
      </c>
      <c r="BD26" s="40">
        <f>'07_Мерч'!BD16</f>
        <v/>
      </c>
      <c r="BE26" s="40">
        <f>'07_Мерч'!BE16</f>
        <v/>
      </c>
      <c r="BF26" s="40">
        <f>'07_Мерч'!BF16</f>
        <v/>
      </c>
      <c r="BG26" s="40">
        <f>'07_Мерч'!BG16</f>
        <v/>
      </c>
      <c r="BH26" s="40">
        <f>'07_Мерч'!BH16</f>
        <v/>
      </c>
      <c r="BI26" s="40">
        <f>'07_Мерч'!BI16</f>
        <v/>
      </c>
    </row>
    <row r="27">
      <c r="A27" s="2" t="inlineStr">
        <is>
          <t>Логистика/возвраты/брак</t>
        </is>
      </c>
      <c r="B27" s="40">
        <f>'07_Мерч'!B17</f>
        <v/>
      </c>
      <c r="C27" s="40">
        <f>'07_Мерч'!C17</f>
        <v/>
      </c>
      <c r="D27" s="40">
        <f>'07_Мерч'!D17</f>
        <v/>
      </c>
      <c r="E27" s="40">
        <f>'07_Мерч'!E17</f>
        <v/>
      </c>
      <c r="F27" s="40">
        <f>'07_Мерч'!F17</f>
        <v/>
      </c>
      <c r="G27" s="40">
        <f>'07_Мерч'!G17</f>
        <v/>
      </c>
      <c r="H27" s="40">
        <f>'07_Мерч'!H17</f>
        <v/>
      </c>
      <c r="I27" s="40">
        <f>'07_Мерч'!I17</f>
        <v/>
      </c>
      <c r="J27" s="40">
        <f>'07_Мерч'!J17</f>
        <v/>
      </c>
      <c r="K27" s="40">
        <f>'07_Мерч'!K17</f>
        <v/>
      </c>
      <c r="L27" s="40">
        <f>'07_Мерч'!L17</f>
        <v/>
      </c>
      <c r="M27" s="40">
        <f>'07_Мерч'!M17</f>
        <v/>
      </c>
      <c r="N27" s="40">
        <f>'07_Мерч'!N17</f>
        <v/>
      </c>
      <c r="O27" s="40">
        <f>'07_Мерч'!O17</f>
        <v/>
      </c>
      <c r="P27" s="40">
        <f>'07_Мерч'!P17</f>
        <v/>
      </c>
      <c r="Q27" s="40">
        <f>'07_Мерч'!Q17</f>
        <v/>
      </c>
      <c r="R27" s="40">
        <f>'07_Мерч'!R17</f>
        <v/>
      </c>
      <c r="S27" s="40">
        <f>'07_Мерч'!S17</f>
        <v/>
      </c>
      <c r="T27" s="40">
        <f>'07_Мерч'!T17</f>
        <v/>
      </c>
      <c r="U27" s="40">
        <f>'07_Мерч'!U17</f>
        <v/>
      </c>
      <c r="V27" s="40">
        <f>'07_Мерч'!V17</f>
        <v/>
      </c>
      <c r="W27" s="40">
        <f>'07_Мерч'!W17</f>
        <v/>
      </c>
      <c r="X27" s="40">
        <f>'07_Мерч'!X17</f>
        <v/>
      </c>
      <c r="Y27" s="40">
        <f>'07_Мерч'!Y17</f>
        <v/>
      </c>
      <c r="Z27" s="40">
        <f>'07_Мерч'!Z17</f>
        <v/>
      </c>
      <c r="AA27" s="40">
        <f>'07_Мерч'!AA17</f>
        <v/>
      </c>
      <c r="AB27" s="40">
        <f>'07_Мерч'!AB17</f>
        <v/>
      </c>
      <c r="AC27" s="40">
        <f>'07_Мерч'!AC17</f>
        <v/>
      </c>
      <c r="AD27" s="40">
        <f>'07_Мерч'!AD17</f>
        <v/>
      </c>
      <c r="AE27" s="40">
        <f>'07_Мерч'!AE17</f>
        <v/>
      </c>
      <c r="AF27" s="40">
        <f>'07_Мерч'!AF17</f>
        <v/>
      </c>
      <c r="AG27" s="40">
        <f>'07_Мерч'!AG17</f>
        <v/>
      </c>
      <c r="AH27" s="40">
        <f>'07_Мерч'!AH17</f>
        <v/>
      </c>
      <c r="AI27" s="40">
        <f>'07_Мерч'!AI17</f>
        <v/>
      </c>
      <c r="AJ27" s="40">
        <f>'07_Мерч'!AJ17</f>
        <v/>
      </c>
      <c r="AK27" s="40">
        <f>'07_Мерч'!AK17</f>
        <v/>
      </c>
      <c r="AL27" s="40">
        <f>'07_Мерч'!AL17</f>
        <v/>
      </c>
      <c r="AM27" s="40">
        <f>'07_Мерч'!AM17</f>
        <v/>
      </c>
      <c r="AN27" s="40">
        <f>'07_Мерч'!AN17</f>
        <v/>
      </c>
      <c r="AO27" s="40">
        <f>'07_Мерч'!AO17</f>
        <v/>
      </c>
      <c r="AP27" s="40">
        <f>'07_Мерч'!AP17</f>
        <v/>
      </c>
      <c r="AQ27" s="40">
        <f>'07_Мерч'!AQ17</f>
        <v/>
      </c>
      <c r="AR27" s="40">
        <f>'07_Мерч'!AR17</f>
        <v/>
      </c>
      <c r="AS27" s="40">
        <f>'07_Мерч'!AS17</f>
        <v/>
      </c>
      <c r="AT27" s="40">
        <f>'07_Мерч'!AT17</f>
        <v/>
      </c>
      <c r="AU27" s="40">
        <f>'07_Мерч'!AU17</f>
        <v/>
      </c>
      <c r="AV27" s="40">
        <f>'07_Мерч'!AV17</f>
        <v/>
      </c>
      <c r="AW27" s="40">
        <f>'07_Мерч'!AW17</f>
        <v/>
      </c>
      <c r="AX27" s="40">
        <f>'07_Мерч'!AX17</f>
        <v/>
      </c>
      <c r="AY27" s="40">
        <f>'07_Мерч'!AY17</f>
        <v/>
      </c>
      <c r="AZ27" s="40">
        <f>'07_Мерч'!AZ17</f>
        <v/>
      </c>
      <c r="BA27" s="40">
        <f>'07_Мерч'!BA17</f>
        <v/>
      </c>
      <c r="BB27" s="40">
        <f>'07_Мерч'!BB17</f>
        <v/>
      </c>
      <c r="BC27" s="40">
        <f>'07_Мерч'!BC17</f>
        <v/>
      </c>
      <c r="BD27" s="40">
        <f>'07_Мерч'!BD17</f>
        <v/>
      </c>
      <c r="BE27" s="40">
        <f>'07_Мерч'!BE17</f>
        <v/>
      </c>
      <c r="BF27" s="40">
        <f>'07_Мерч'!BF17</f>
        <v/>
      </c>
      <c r="BG27" s="40">
        <f>'07_Мерч'!BG17</f>
        <v/>
      </c>
      <c r="BH27" s="40">
        <f>'07_Мерч'!BH17</f>
        <v/>
      </c>
      <c r="BI27" s="40">
        <f>'07_Мерч'!BI17</f>
        <v/>
      </c>
    </row>
    <row r="28">
      <c r="A28" s="2" t="inlineStr">
        <is>
          <t>ФК — 35% прибыли мерча</t>
        </is>
      </c>
      <c r="B28" s="40">
        <f>'07_Мерч'!B19</f>
        <v/>
      </c>
      <c r="C28" s="40">
        <f>'07_Мерч'!C19</f>
        <v/>
      </c>
      <c r="D28" s="40">
        <f>'07_Мерч'!D19</f>
        <v/>
      </c>
      <c r="E28" s="40">
        <f>'07_Мерч'!E19</f>
        <v/>
      </c>
      <c r="F28" s="40">
        <f>'07_Мерч'!F19</f>
        <v/>
      </c>
      <c r="G28" s="40">
        <f>'07_Мерч'!G19</f>
        <v/>
      </c>
      <c r="H28" s="40">
        <f>'07_Мерч'!H19</f>
        <v/>
      </c>
      <c r="I28" s="40">
        <f>'07_Мерч'!I19</f>
        <v/>
      </c>
      <c r="J28" s="40">
        <f>'07_Мерч'!J19</f>
        <v/>
      </c>
      <c r="K28" s="40">
        <f>'07_Мерч'!K19</f>
        <v/>
      </c>
      <c r="L28" s="40">
        <f>'07_Мерч'!L19</f>
        <v/>
      </c>
      <c r="M28" s="40">
        <f>'07_Мерч'!M19</f>
        <v/>
      </c>
      <c r="N28" s="40">
        <f>'07_Мерч'!N19</f>
        <v/>
      </c>
      <c r="O28" s="40">
        <f>'07_Мерч'!O19</f>
        <v/>
      </c>
      <c r="P28" s="40">
        <f>'07_Мерч'!P19</f>
        <v/>
      </c>
      <c r="Q28" s="40">
        <f>'07_Мерч'!Q19</f>
        <v/>
      </c>
      <c r="R28" s="40">
        <f>'07_Мерч'!R19</f>
        <v/>
      </c>
      <c r="S28" s="40">
        <f>'07_Мерч'!S19</f>
        <v/>
      </c>
      <c r="T28" s="40">
        <f>'07_Мерч'!T19</f>
        <v/>
      </c>
      <c r="U28" s="40">
        <f>'07_Мерч'!U19</f>
        <v/>
      </c>
      <c r="V28" s="40">
        <f>'07_Мерч'!V19</f>
        <v/>
      </c>
      <c r="W28" s="40">
        <f>'07_Мерч'!W19</f>
        <v/>
      </c>
      <c r="X28" s="40">
        <f>'07_Мерч'!X19</f>
        <v/>
      </c>
      <c r="Y28" s="40">
        <f>'07_Мерч'!Y19</f>
        <v/>
      </c>
      <c r="Z28" s="40">
        <f>'07_Мерч'!Z19</f>
        <v/>
      </c>
      <c r="AA28" s="40">
        <f>'07_Мерч'!AA19</f>
        <v/>
      </c>
      <c r="AB28" s="40">
        <f>'07_Мерч'!AB19</f>
        <v/>
      </c>
      <c r="AC28" s="40">
        <f>'07_Мерч'!AC19</f>
        <v/>
      </c>
      <c r="AD28" s="40">
        <f>'07_Мерч'!AD19</f>
        <v/>
      </c>
      <c r="AE28" s="40">
        <f>'07_Мерч'!AE19</f>
        <v/>
      </c>
      <c r="AF28" s="40">
        <f>'07_Мерч'!AF19</f>
        <v/>
      </c>
      <c r="AG28" s="40">
        <f>'07_Мерч'!AG19</f>
        <v/>
      </c>
      <c r="AH28" s="40">
        <f>'07_Мерч'!AH19</f>
        <v/>
      </c>
      <c r="AI28" s="40">
        <f>'07_Мерч'!AI19</f>
        <v/>
      </c>
      <c r="AJ28" s="40">
        <f>'07_Мерч'!AJ19</f>
        <v/>
      </c>
      <c r="AK28" s="40">
        <f>'07_Мерч'!AK19</f>
        <v/>
      </c>
      <c r="AL28" s="40">
        <f>'07_Мерч'!AL19</f>
        <v/>
      </c>
      <c r="AM28" s="40">
        <f>'07_Мерч'!AM19</f>
        <v/>
      </c>
      <c r="AN28" s="40">
        <f>'07_Мерч'!AN19</f>
        <v/>
      </c>
      <c r="AO28" s="40">
        <f>'07_Мерч'!AO19</f>
        <v/>
      </c>
      <c r="AP28" s="40">
        <f>'07_Мерч'!AP19</f>
        <v/>
      </c>
      <c r="AQ28" s="40">
        <f>'07_Мерч'!AQ19</f>
        <v/>
      </c>
      <c r="AR28" s="40">
        <f>'07_Мерч'!AR19</f>
        <v/>
      </c>
      <c r="AS28" s="40">
        <f>'07_Мерч'!AS19</f>
        <v/>
      </c>
      <c r="AT28" s="40">
        <f>'07_Мерч'!AT19</f>
        <v/>
      </c>
      <c r="AU28" s="40">
        <f>'07_Мерч'!AU19</f>
        <v/>
      </c>
      <c r="AV28" s="40">
        <f>'07_Мерч'!AV19</f>
        <v/>
      </c>
      <c r="AW28" s="40">
        <f>'07_Мерч'!AW19</f>
        <v/>
      </c>
      <c r="AX28" s="40">
        <f>'07_Мерч'!AX19</f>
        <v/>
      </c>
      <c r="AY28" s="40">
        <f>'07_Мерч'!AY19</f>
        <v/>
      </c>
      <c r="AZ28" s="40">
        <f>'07_Мерч'!AZ19</f>
        <v/>
      </c>
      <c r="BA28" s="40">
        <f>'07_Мерч'!BA19</f>
        <v/>
      </c>
      <c r="BB28" s="40">
        <f>'07_Мерч'!BB19</f>
        <v/>
      </c>
      <c r="BC28" s="40">
        <f>'07_Мерч'!BC19</f>
        <v/>
      </c>
      <c r="BD28" s="40">
        <f>'07_Мерч'!BD19</f>
        <v/>
      </c>
      <c r="BE28" s="40">
        <f>'07_Мерч'!BE19</f>
        <v/>
      </c>
      <c r="BF28" s="40">
        <f>'07_Мерч'!BF19</f>
        <v/>
      </c>
      <c r="BG28" s="40">
        <f>'07_Мерч'!BG19</f>
        <v/>
      </c>
      <c r="BH28" s="40">
        <f>'07_Мерч'!BH19</f>
        <v/>
      </c>
      <c r="BI28" s="40">
        <f>'07_Мерч'!BI19</f>
        <v/>
      </c>
    </row>
    <row r="29">
      <c r="A29" s="2" t="inlineStr">
        <is>
          <t>ФК — паушальные</t>
        </is>
      </c>
      <c r="B29" s="42">
        <f>B18*'01_Вводные'!$B$59</f>
        <v/>
      </c>
      <c r="C29" s="42">
        <f>C18*'01_Вводные'!$B$59</f>
        <v/>
      </c>
      <c r="D29" s="42">
        <f>D18*'01_Вводные'!$B$59</f>
        <v/>
      </c>
      <c r="E29" s="42">
        <f>E18*'01_Вводные'!$B$59</f>
        <v/>
      </c>
      <c r="F29" s="42">
        <f>F18*'01_Вводные'!$B$59</f>
        <v/>
      </c>
      <c r="G29" s="42">
        <f>G18*'01_Вводные'!$B$59</f>
        <v/>
      </c>
      <c r="H29" s="42">
        <f>H18*'01_Вводные'!$B$59</f>
        <v/>
      </c>
      <c r="I29" s="42">
        <f>I18*'01_Вводные'!$B$59</f>
        <v/>
      </c>
      <c r="J29" s="42">
        <f>J18*'01_Вводные'!$B$59</f>
        <v/>
      </c>
      <c r="K29" s="42">
        <f>K18*'01_Вводные'!$B$59</f>
        <v/>
      </c>
      <c r="L29" s="42">
        <f>L18*'01_Вводные'!$B$59</f>
        <v/>
      </c>
      <c r="M29" s="42">
        <f>M18*'01_Вводные'!$B$59</f>
        <v/>
      </c>
      <c r="N29" s="42">
        <f>N18*'01_Вводные'!$B$59</f>
        <v/>
      </c>
      <c r="O29" s="42">
        <f>O18*'01_Вводные'!$B$59</f>
        <v/>
      </c>
      <c r="P29" s="42">
        <f>P18*'01_Вводные'!$B$59</f>
        <v/>
      </c>
      <c r="Q29" s="42">
        <f>Q18*'01_Вводные'!$B$59</f>
        <v/>
      </c>
      <c r="R29" s="42">
        <f>R18*'01_Вводные'!$B$59</f>
        <v/>
      </c>
      <c r="S29" s="42">
        <f>S18*'01_Вводные'!$B$59</f>
        <v/>
      </c>
      <c r="T29" s="42">
        <f>T18*'01_Вводные'!$B$59</f>
        <v/>
      </c>
      <c r="U29" s="42">
        <f>U18*'01_Вводные'!$B$59</f>
        <v/>
      </c>
      <c r="V29" s="42">
        <f>V18*'01_Вводные'!$B$59</f>
        <v/>
      </c>
      <c r="W29" s="42">
        <f>W18*'01_Вводные'!$B$59</f>
        <v/>
      </c>
      <c r="X29" s="42">
        <f>X18*'01_Вводные'!$B$59</f>
        <v/>
      </c>
      <c r="Y29" s="42">
        <f>Y18*'01_Вводные'!$B$59</f>
        <v/>
      </c>
      <c r="Z29" s="42">
        <f>Z18*'01_Вводные'!$B$59</f>
        <v/>
      </c>
      <c r="AA29" s="42">
        <f>AA18*'01_Вводные'!$B$59</f>
        <v/>
      </c>
      <c r="AB29" s="42">
        <f>AB18*'01_Вводные'!$B$59</f>
        <v/>
      </c>
      <c r="AC29" s="42">
        <f>AC18*'01_Вводные'!$B$59</f>
        <v/>
      </c>
      <c r="AD29" s="42">
        <f>AD18*'01_Вводные'!$B$59</f>
        <v/>
      </c>
      <c r="AE29" s="42">
        <f>AE18*'01_Вводные'!$B$59</f>
        <v/>
      </c>
      <c r="AF29" s="42">
        <f>AF18*'01_Вводные'!$B$59</f>
        <v/>
      </c>
      <c r="AG29" s="42">
        <f>AG18*'01_Вводные'!$B$59</f>
        <v/>
      </c>
      <c r="AH29" s="42">
        <f>AH18*'01_Вводные'!$B$59</f>
        <v/>
      </c>
      <c r="AI29" s="42">
        <f>AI18*'01_Вводные'!$B$59</f>
        <v/>
      </c>
      <c r="AJ29" s="42">
        <f>AJ18*'01_Вводные'!$B$59</f>
        <v/>
      </c>
      <c r="AK29" s="42">
        <f>AK18*'01_Вводные'!$B$59</f>
        <v/>
      </c>
      <c r="AL29" s="42">
        <f>AL18*'01_Вводные'!$B$59</f>
        <v/>
      </c>
      <c r="AM29" s="42">
        <f>AM18*'01_Вводные'!$B$59</f>
        <v/>
      </c>
      <c r="AN29" s="42">
        <f>AN18*'01_Вводные'!$B$59</f>
        <v/>
      </c>
      <c r="AO29" s="42">
        <f>AO18*'01_Вводные'!$B$59</f>
        <v/>
      </c>
      <c r="AP29" s="42">
        <f>AP18*'01_Вводные'!$B$59</f>
        <v/>
      </c>
      <c r="AQ29" s="42">
        <f>AQ18*'01_Вводные'!$B$59</f>
        <v/>
      </c>
      <c r="AR29" s="42">
        <f>AR18*'01_Вводные'!$B$59</f>
        <v/>
      </c>
      <c r="AS29" s="42">
        <f>AS18*'01_Вводные'!$B$59</f>
        <v/>
      </c>
      <c r="AT29" s="42">
        <f>AT18*'01_Вводные'!$B$59</f>
        <v/>
      </c>
      <c r="AU29" s="42">
        <f>AU18*'01_Вводные'!$B$59</f>
        <v/>
      </c>
      <c r="AV29" s="42">
        <f>AV18*'01_Вводные'!$B$59</f>
        <v/>
      </c>
      <c r="AW29" s="42">
        <f>AW18*'01_Вводные'!$B$59</f>
        <v/>
      </c>
      <c r="AX29" s="42">
        <f>AX18*'01_Вводные'!$B$59</f>
        <v/>
      </c>
      <c r="AY29" s="42">
        <f>AY18*'01_Вводные'!$B$59</f>
        <v/>
      </c>
      <c r="AZ29" s="42">
        <f>AZ18*'01_Вводные'!$B$59</f>
        <v/>
      </c>
      <c r="BA29" s="42">
        <f>BA18*'01_Вводные'!$B$59</f>
        <v/>
      </c>
      <c r="BB29" s="42">
        <f>BB18*'01_Вводные'!$B$59</f>
        <v/>
      </c>
      <c r="BC29" s="42">
        <f>BC18*'01_Вводные'!$B$59</f>
        <v/>
      </c>
      <c r="BD29" s="42">
        <f>BD18*'01_Вводные'!$B$59</f>
        <v/>
      </c>
      <c r="BE29" s="42">
        <f>BE18*'01_Вводные'!$B$59</f>
        <v/>
      </c>
      <c r="BF29" s="42">
        <f>BF18*'01_Вводные'!$B$59</f>
        <v/>
      </c>
      <c r="BG29" s="42">
        <f>BG18*'01_Вводные'!$B$59</f>
        <v/>
      </c>
      <c r="BH29" s="42">
        <f>BH18*'01_Вводные'!$B$59</f>
        <v/>
      </c>
      <c r="BI29" s="42">
        <f>BI18*'01_Вводные'!$B$59</f>
        <v/>
      </c>
    </row>
    <row r="30">
      <c r="A30" s="2" t="inlineStr">
        <is>
          <t>ФК — роялти</t>
        </is>
      </c>
      <c r="B30" s="42">
        <f>(B19+B20)*'01_Вводные'!$B$60</f>
        <v/>
      </c>
      <c r="C30" s="42">
        <f>(C19+C20)*'01_Вводные'!$B$60</f>
        <v/>
      </c>
      <c r="D30" s="42">
        <f>(D19+D20)*'01_Вводные'!$B$60</f>
        <v/>
      </c>
      <c r="E30" s="42">
        <f>(E19+E20)*'01_Вводные'!$B$60</f>
        <v/>
      </c>
      <c r="F30" s="42">
        <f>(F19+F20)*'01_Вводные'!$B$60</f>
        <v/>
      </c>
      <c r="G30" s="42">
        <f>(G19+G20)*'01_Вводные'!$B$60</f>
        <v/>
      </c>
      <c r="H30" s="42">
        <f>(H19+H20)*'01_Вводные'!$B$60</f>
        <v/>
      </c>
      <c r="I30" s="42">
        <f>(I19+I20)*'01_Вводные'!$B$60</f>
        <v/>
      </c>
      <c r="J30" s="42">
        <f>(J19+J20)*'01_Вводные'!$B$60</f>
        <v/>
      </c>
      <c r="K30" s="42">
        <f>(K19+K20)*'01_Вводные'!$B$60</f>
        <v/>
      </c>
      <c r="L30" s="42">
        <f>(L19+L20)*'01_Вводные'!$B$60</f>
        <v/>
      </c>
      <c r="M30" s="42">
        <f>(M19+M20)*'01_Вводные'!$B$60</f>
        <v/>
      </c>
      <c r="N30" s="42">
        <f>(N19+N20)*'01_Вводные'!$B$60</f>
        <v/>
      </c>
      <c r="O30" s="42">
        <f>(O19+O20)*'01_Вводные'!$B$60</f>
        <v/>
      </c>
      <c r="P30" s="42">
        <f>(P19+P20)*'01_Вводные'!$B$60</f>
        <v/>
      </c>
      <c r="Q30" s="42">
        <f>(Q19+Q20)*'01_Вводные'!$B$60</f>
        <v/>
      </c>
      <c r="R30" s="42">
        <f>(R19+R20)*'01_Вводные'!$B$60</f>
        <v/>
      </c>
      <c r="S30" s="42">
        <f>(S19+S20)*'01_Вводные'!$B$60</f>
        <v/>
      </c>
      <c r="T30" s="42">
        <f>(T19+T20)*'01_Вводные'!$B$60</f>
        <v/>
      </c>
      <c r="U30" s="42">
        <f>(U19+U20)*'01_Вводные'!$B$60</f>
        <v/>
      </c>
      <c r="V30" s="42">
        <f>(V19+V20)*'01_Вводные'!$B$60</f>
        <v/>
      </c>
      <c r="W30" s="42">
        <f>(W19+W20)*'01_Вводные'!$B$60</f>
        <v/>
      </c>
      <c r="X30" s="42">
        <f>(X19+X20)*'01_Вводные'!$B$60</f>
        <v/>
      </c>
      <c r="Y30" s="42">
        <f>(Y19+Y20)*'01_Вводные'!$B$60</f>
        <v/>
      </c>
      <c r="Z30" s="42">
        <f>(Z19+Z20)*'01_Вводные'!$B$60</f>
        <v/>
      </c>
      <c r="AA30" s="42">
        <f>(AA19+AA20)*'01_Вводные'!$B$60</f>
        <v/>
      </c>
      <c r="AB30" s="42">
        <f>(AB19+AB20)*'01_Вводные'!$B$60</f>
        <v/>
      </c>
      <c r="AC30" s="42">
        <f>(AC19+AC20)*'01_Вводные'!$B$60</f>
        <v/>
      </c>
      <c r="AD30" s="42">
        <f>(AD19+AD20)*'01_Вводные'!$B$60</f>
        <v/>
      </c>
      <c r="AE30" s="42">
        <f>(AE19+AE20)*'01_Вводные'!$B$60</f>
        <v/>
      </c>
      <c r="AF30" s="42">
        <f>(AF19+AF20)*'01_Вводные'!$B$60</f>
        <v/>
      </c>
      <c r="AG30" s="42">
        <f>(AG19+AG20)*'01_Вводные'!$B$60</f>
        <v/>
      </c>
      <c r="AH30" s="42">
        <f>(AH19+AH20)*'01_Вводные'!$B$60</f>
        <v/>
      </c>
      <c r="AI30" s="42">
        <f>(AI19+AI20)*'01_Вводные'!$B$60</f>
        <v/>
      </c>
      <c r="AJ30" s="42">
        <f>(AJ19+AJ20)*'01_Вводные'!$B$60</f>
        <v/>
      </c>
      <c r="AK30" s="42">
        <f>(AK19+AK20)*'01_Вводные'!$B$60</f>
        <v/>
      </c>
      <c r="AL30" s="42">
        <f>(AL19+AL20)*'01_Вводные'!$B$60</f>
        <v/>
      </c>
      <c r="AM30" s="42">
        <f>(AM19+AM20)*'01_Вводные'!$B$60</f>
        <v/>
      </c>
      <c r="AN30" s="42">
        <f>(AN19+AN20)*'01_Вводные'!$B$60</f>
        <v/>
      </c>
      <c r="AO30" s="42">
        <f>(AO19+AO20)*'01_Вводные'!$B$60</f>
        <v/>
      </c>
      <c r="AP30" s="42">
        <f>(AP19+AP20)*'01_Вводные'!$B$60</f>
        <v/>
      </c>
      <c r="AQ30" s="42">
        <f>(AQ19+AQ20)*'01_Вводные'!$B$60</f>
        <v/>
      </c>
      <c r="AR30" s="42">
        <f>(AR19+AR20)*'01_Вводные'!$B$60</f>
        <v/>
      </c>
      <c r="AS30" s="42">
        <f>(AS19+AS20)*'01_Вводные'!$B$60</f>
        <v/>
      </c>
      <c r="AT30" s="42">
        <f>(AT19+AT20)*'01_Вводные'!$B$60</f>
        <v/>
      </c>
      <c r="AU30" s="42">
        <f>(AU19+AU20)*'01_Вводные'!$B$60</f>
        <v/>
      </c>
      <c r="AV30" s="42">
        <f>(AV19+AV20)*'01_Вводные'!$B$60</f>
        <v/>
      </c>
      <c r="AW30" s="42">
        <f>(AW19+AW20)*'01_Вводные'!$B$60</f>
        <v/>
      </c>
      <c r="AX30" s="42">
        <f>(AX19+AX20)*'01_Вводные'!$B$60</f>
        <v/>
      </c>
      <c r="AY30" s="42">
        <f>(AY19+AY20)*'01_Вводные'!$B$60</f>
        <v/>
      </c>
      <c r="AZ30" s="42">
        <f>(AZ19+AZ20)*'01_Вводные'!$B$60</f>
        <v/>
      </c>
      <c r="BA30" s="42">
        <f>(BA19+BA20)*'01_Вводные'!$B$60</f>
        <v/>
      </c>
      <c r="BB30" s="42">
        <f>(BB19+BB20)*'01_Вводные'!$B$60</f>
        <v/>
      </c>
      <c r="BC30" s="42">
        <f>(BC19+BC20)*'01_Вводные'!$B$60</f>
        <v/>
      </c>
      <c r="BD30" s="42">
        <f>(BD19+BD20)*'01_Вводные'!$B$60</f>
        <v/>
      </c>
      <c r="BE30" s="42">
        <f>(BE19+BE20)*'01_Вводные'!$B$60</f>
        <v/>
      </c>
      <c r="BF30" s="42">
        <f>(BF19+BF20)*'01_Вводные'!$B$60</f>
        <v/>
      </c>
      <c r="BG30" s="42">
        <f>(BG19+BG20)*'01_Вводные'!$B$60</f>
        <v/>
      </c>
      <c r="BH30" s="42">
        <f>(BH19+BH20)*'01_Вводные'!$B$60</f>
        <v/>
      </c>
      <c r="BI30" s="42">
        <f>(BI19+BI20)*'01_Вводные'!$B$60</f>
        <v/>
      </c>
    </row>
    <row r="31">
      <c r="A31" s="2" t="inlineStr">
        <is>
          <t>Лагеря — расходы + партнёр</t>
        </is>
      </c>
      <c r="B31" s="40">
        <f>'09_Лагеря'!B12+'09_Лагеря'!B13</f>
        <v/>
      </c>
      <c r="C31" s="40">
        <f>'09_Лагеря'!C12+'09_Лагеря'!C13</f>
        <v/>
      </c>
      <c r="D31" s="40">
        <f>'09_Лагеря'!D12+'09_Лагеря'!D13</f>
        <v/>
      </c>
      <c r="E31" s="40">
        <f>'09_Лагеря'!E12+'09_Лагеря'!E13</f>
        <v/>
      </c>
      <c r="F31" s="40">
        <f>'09_Лагеря'!F12+'09_Лагеря'!F13</f>
        <v/>
      </c>
      <c r="G31" s="40">
        <f>'09_Лагеря'!G12+'09_Лагеря'!G13</f>
        <v/>
      </c>
      <c r="H31" s="40">
        <f>'09_Лагеря'!H12+'09_Лагеря'!H13</f>
        <v/>
      </c>
      <c r="I31" s="40">
        <f>'09_Лагеря'!I12+'09_Лагеря'!I13</f>
        <v/>
      </c>
      <c r="J31" s="40">
        <f>'09_Лагеря'!J12+'09_Лагеря'!J13</f>
        <v/>
      </c>
      <c r="K31" s="40">
        <f>'09_Лагеря'!K12+'09_Лагеря'!K13</f>
        <v/>
      </c>
      <c r="L31" s="40">
        <f>'09_Лагеря'!L12+'09_Лагеря'!L13</f>
        <v/>
      </c>
      <c r="M31" s="40">
        <f>'09_Лагеря'!M12+'09_Лагеря'!M13</f>
        <v/>
      </c>
      <c r="N31" s="40">
        <f>'09_Лагеря'!N12+'09_Лагеря'!N13</f>
        <v/>
      </c>
      <c r="O31" s="40">
        <f>'09_Лагеря'!O12+'09_Лагеря'!O13</f>
        <v/>
      </c>
      <c r="P31" s="40">
        <f>'09_Лагеря'!P12+'09_Лагеря'!P13</f>
        <v/>
      </c>
      <c r="Q31" s="40">
        <f>'09_Лагеря'!Q12+'09_Лагеря'!Q13</f>
        <v/>
      </c>
      <c r="R31" s="40">
        <f>'09_Лагеря'!R12+'09_Лагеря'!R13</f>
        <v/>
      </c>
      <c r="S31" s="40">
        <f>'09_Лагеря'!S12+'09_Лагеря'!S13</f>
        <v/>
      </c>
      <c r="T31" s="40">
        <f>'09_Лагеря'!T12+'09_Лагеря'!T13</f>
        <v/>
      </c>
      <c r="U31" s="40">
        <f>'09_Лагеря'!U12+'09_Лагеря'!U13</f>
        <v/>
      </c>
      <c r="V31" s="40">
        <f>'09_Лагеря'!V12+'09_Лагеря'!V13</f>
        <v/>
      </c>
      <c r="W31" s="40">
        <f>'09_Лагеря'!W12+'09_Лагеря'!W13</f>
        <v/>
      </c>
      <c r="X31" s="40">
        <f>'09_Лагеря'!X12+'09_Лагеря'!X13</f>
        <v/>
      </c>
      <c r="Y31" s="40">
        <f>'09_Лагеря'!Y12+'09_Лагеря'!Y13</f>
        <v/>
      </c>
      <c r="Z31" s="40">
        <f>'09_Лагеря'!Z12+'09_Лагеря'!Z13</f>
        <v/>
      </c>
      <c r="AA31" s="40">
        <f>'09_Лагеря'!AA12+'09_Лагеря'!AA13</f>
        <v/>
      </c>
      <c r="AB31" s="40">
        <f>'09_Лагеря'!AB12+'09_Лагеря'!AB13</f>
        <v/>
      </c>
      <c r="AC31" s="40">
        <f>'09_Лагеря'!AC12+'09_Лагеря'!AC13</f>
        <v/>
      </c>
      <c r="AD31" s="40">
        <f>'09_Лагеря'!AD12+'09_Лагеря'!AD13</f>
        <v/>
      </c>
      <c r="AE31" s="40">
        <f>'09_Лагеря'!AE12+'09_Лагеря'!AE13</f>
        <v/>
      </c>
      <c r="AF31" s="40">
        <f>'09_Лагеря'!AF12+'09_Лагеря'!AF13</f>
        <v/>
      </c>
      <c r="AG31" s="40">
        <f>'09_Лагеря'!AG12+'09_Лагеря'!AG13</f>
        <v/>
      </c>
      <c r="AH31" s="40">
        <f>'09_Лагеря'!AH12+'09_Лагеря'!AH13</f>
        <v/>
      </c>
      <c r="AI31" s="40">
        <f>'09_Лагеря'!AI12+'09_Лагеря'!AI13</f>
        <v/>
      </c>
      <c r="AJ31" s="40">
        <f>'09_Лагеря'!AJ12+'09_Лагеря'!AJ13</f>
        <v/>
      </c>
      <c r="AK31" s="40">
        <f>'09_Лагеря'!AK12+'09_Лагеря'!AK13</f>
        <v/>
      </c>
      <c r="AL31" s="40">
        <f>'09_Лагеря'!AL12+'09_Лагеря'!AL13</f>
        <v/>
      </c>
      <c r="AM31" s="40">
        <f>'09_Лагеря'!AM12+'09_Лагеря'!AM13</f>
        <v/>
      </c>
      <c r="AN31" s="40">
        <f>'09_Лагеря'!AN12+'09_Лагеря'!AN13</f>
        <v/>
      </c>
      <c r="AO31" s="40">
        <f>'09_Лагеря'!AO12+'09_Лагеря'!AO13</f>
        <v/>
      </c>
      <c r="AP31" s="40">
        <f>'09_Лагеря'!AP12+'09_Лагеря'!AP13</f>
        <v/>
      </c>
      <c r="AQ31" s="40">
        <f>'09_Лагеря'!AQ12+'09_Лагеря'!AQ13</f>
        <v/>
      </c>
      <c r="AR31" s="40">
        <f>'09_Лагеря'!AR12+'09_Лагеря'!AR13</f>
        <v/>
      </c>
      <c r="AS31" s="40">
        <f>'09_Лагеря'!AS12+'09_Лагеря'!AS13</f>
        <v/>
      </c>
      <c r="AT31" s="40">
        <f>'09_Лагеря'!AT12+'09_Лагеря'!AT13</f>
        <v/>
      </c>
      <c r="AU31" s="40">
        <f>'09_Лагеря'!AU12+'09_Лагеря'!AU13</f>
        <v/>
      </c>
      <c r="AV31" s="40">
        <f>'09_Лагеря'!AV12+'09_Лагеря'!AV13</f>
        <v/>
      </c>
      <c r="AW31" s="40">
        <f>'09_Лагеря'!AW12+'09_Лагеря'!AW13</f>
        <v/>
      </c>
      <c r="AX31" s="40">
        <f>'09_Лагеря'!AX12+'09_Лагеря'!AX13</f>
        <v/>
      </c>
      <c r="AY31" s="40">
        <f>'09_Лагеря'!AY12+'09_Лагеря'!AY13</f>
        <v/>
      </c>
      <c r="AZ31" s="40">
        <f>'09_Лагеря'!AZ12+'09_Лагеря'!AZ13</f>
        <v/>
      </c>
      <c r="BA31" s="40">
        <f>'09_Лагеря'!BA12+'09_Лагеря'!BA13</f>
        <v/>
      </c>
      <c r="BB31" s="40">
        <f>'09_Лагеря'!BB12+'09_Лагеря'!BB13</f>
        <v/>
      </c>
      <c r="BC31" s="40">
        <f>'09_Лагеря'!BC12+'09_Лагеря'!BC13</f>
        <v/>
      </c>
      <c r="BD31" s="40">
        <f>'09_Лагеря'!BD12+'09_Лагеря'!BD13</f>
        <v/>
      </c>
      <c r="BE31" s="40">
        <f>'09_Лагеря'!BE12+'09_Лагеря'!BE13</f>
        <v/>
      </c>
      <c r="BF31" s="40">
        <f>'09_Лагеря'!BF12+'09_Лагеря'!BF13</f>
        <v/>
      </c>
      <c r="BG31" s="40">
        <f>'09_Лагеря'!BG12+'09_Лагеря'!BG13</f>
        <v/>
      </c>
      <c r="BH31" s="40">
        <f>'09_Лагеря'!BH12+'09_Лагеря'!BH13</f>
        <v/>
      </c>
      <c r="BI31" s="40">
        <f>'09_Лагеря'!BI12+'09_Лагеря'!BI13</f>
        <v/>
      </c>
    </row>
    <row r="32">
      <c r="A32" s="2" t="inlineStr">
        <is>
          <t>Прямые расходы — всего</t>
        </is>
      </c>
      <c r="B32" s="42">
        <f>SUM(B26:B31)</f>
        <v/>
      </c>
      <c r="C32" s="42">
        <f>SUM(C26:C31)</f>
        <v/>
      </c>
      <c r="D32" s="42">
        <f>SUM(D26:D31)</f>
        <v/>
      </c>
      <c r="E32" s="42">
        <f>SUM(E26:E31)</f>
        <v/>
      </c>
      <c r="F32" s="42">
        <f>SUM(F26:F31)</f>
        <v/>
      </c>
      <c r="G32" s="42">
        <f>SUM(G26:G31)</f>
        <v/>
      </c>
      <c r="H32" s="42">
        <f>SUM(H26:H31)</f>
        <v/>
      </c>
      <c r="I32" s="42">
        <f>SUM(I26:I31)</f>
        <v/>
      </c>
      <c r="J32" s="42">
        <f>SUM(J26:J31)</f>
        <v/>
      </c>
      <c r="K32" s="42">
        <f>SUM(K26:K31)</f>
        <v/>
      </c>
      <c r="L32" s="42">
        <f>SUM(L26:L31)</f>
        <v/>
      </c>
      <c r="M32" s="42">
        <f>SUM(M26:M31)</f>
        <v/>
      </c>
      <c r="N32" s="42">
        <f>SUM(N26:N31)</f>
        <v/>
      </c>
      <c r="O32" s="42">
        <f>SUM(O26:O31)</f>
        <v/>
      </c>
      <c r="P32" s="42">
        <f>SUM(P26:P31)</f>
        <v/>
      </c>
      <c r="Q32" s="42">
        <f>SUM(Q26:Q31)</f>
        <v/>
      </c>
      <c r="R32" s="42">
        <f>SUM(R26:R31)</f>
        <v/>
      </c>
      <c r="S32" s="42">
        <f>SUM(S26:S31)</f>
        <v/>
      </c>
      <c r="T32" s="42">
        <f>SUM(T26:T31)</f>
        <v/>
      </c>
      <c r="U32" s="42">
        <f>SUM(U26:U31)</f>
        <v/>
      </c>
      <c r="V32" s="42">
        <f>SUM(V26:V31)</f>
        <v/>
      </c>
      <c r="W32" s="42">
        <f>SUM(W26:W31)</f>
        <v/>
      </c>
      <c r="X32" s="42">
        <f>SUM(X26:X31)</f>
        <v/>
      </c>
      <c r="Y32" s="42">
        <f>SUM(Y26:Y31)</f>
        <v/>
      </c>
      <c r="Z32" s="42">
        <f>SUM(Z26:Z31)</f>
        <v/>
      </c>
      <c r="AA32" s="42">
        <f>SUM(AA26:AA31)</f>
        <v/>
      </c>
      <c r="AB32" s="42">
        <f>SUM(AB26:AB31)</f>
        <v/>
      </c>
      <c r="AC32" s="42">
        <f>SUM(AC26:AC31)</f>
        <v/>
      </c>
      <c r="AD32" s="42">
        <f>SUM(AD26:AD31)</f>
        <v/>
      </c>
      <c r="AE32" s="42">
        <f>SUM(AE26:AE31)</f>
        <v/>
      </c>
      <c r="AF32" s="42">
        <f>SUM(AF26:AF31)</f>
        <v/>
      </c>
      <c r="AG32" s="42">
        <f>SUM(AG26:AG31)</f>
        <v/>
      </c>
      <c r="AH32" s="42">
        <f>SUM(AH26:AH31)</f>
        <v/>
      </c>
      <c r="AI32" s="42">
        <f>SUM(AI26:AI31)</f>
        <v/>
      </c>
      <c r="AJ32" s="42">
        <f>SUM(AJ26:AJ31)</f>
        <v/>
      </c>
      <c r="AK32" s="42">
        <f>SUM(AK26:AK31)</f>
        <v/>
      </c>
      <c r="AL32" s="42">
        <f>SUM(AL26:AL31)</f>
        <v/>
      </c>
      <c r="AM32" s="42">
        <f>SUM(AM26:AM31)</f>
        <v/>
      </c>
      <c r="AN32" s="42">
        <f>SUM(AN26:AN31)</f>
        <v/>
      </c>
      <c r="AO32" s="42">
        <f>SUM(AO26:AO31)</f>
        <v/>
      </c>
      <c r="AP32" s="42">
        <f>SUM(AP26:AP31)</f>
        <v/>
      </c>
      <c r="AQ32" s="42">
        <f>SUM(AQ26:AQ31)</f>
        <v/>
      </c>
      <c r="AR32" s="42">
        <f>SUM(AR26:AR31)</f>
        <v/>
      </c>
      <c r="AS32" s="42">
        <f>SUM(AS26:AS31)</f>
        <v/>
      </c>
      <c r="AT32" s="42">
        <f>SUM(AT26:AT31)</f>
        <v/>
      </c>
      <c r="AU32" s="42">
        <f>SUM(AU26:AU31)</f>
        <v/>
      </c>
      <c r="AV32" s="42">
        <f>SUM(AV26:AV31)</f>
        <v/>
      </c>
      <c r="AW32" s="42">
        <f>SUM(AW26:AW31)</f>
        <v/>
      </c>
      <c r="AX32" s="42">
        <f>SUM(AX26:AX31)</f>
        <v/>
      </c>
      <c r="AY32" s="42">
        <f>SUM(AY26:AY31)</f>
        <v/>
      </c>
      <c r="AZ32" s="42">
        <f>SUM(AZ26:AZ31)</f>
        <v/>
      </c>
      <c r="BA32" s="42">
        <f>SUM(BA26:BA31)</f>
        <v/>
      </c>
      <c r="BB32" s="42">
        <f>SUM(BB26:BB31)</f>
        <v/>
      </c>
      <c r="BC32" s="42">
        <f>SUM(BC26:BC31)</f>
        <v/>
      </c>
      <c r="BD32" s="42">
        <f>SUM(BD26:BD31)</f>
        <v/>
      </c>
      <c r="BE32" s="42">
        <f>SUM(BE26:BE31)</f>
        <v/>
      </c>
      <c r="BF32" s="42">
        <f>SUM(BF26:BF31)</f>
        <v/>
      </c>
      <c r="BG32" s="42">
        <f>SUM(BG26:BG31)</f>
        <v/>
      </c>
      <c r="BH32" s="42">
        <f>SUM(BH26:BH31)</f>
        <v/>
      </c>
      <c r="BI32" s="42">
        <f>SUM(BI26:BI31)</f>
        <v/>
      </c>
    </row>
    <row r="33">
      <c r="A33" s="10" t="inlineStr">
        <is>
          <t>Валовая прибыль</t>
        </is>
      </c>
      <c r="B33" s="43">
        <f>B23-B32</f>
        <v/>
      </c>
      <c r="C33" s="43">
        <f>C23-C32</f>
        <v/>
      </c>
      <c r="D33" s="43">
        <f>D23-D32</f>
        <v/>
      </c>
      <c r="E33" s="43">
        <f>E23-E32</f>
        <v/>
      </c>
      <c r="F33" s="43">
        <f>F23-F32</f>
        <v/>
      </c>
      <c r="G33" s="43">
        <f>G23-G32</f>
        <v/>
      </c>
      <c r="H33" s="43">
        <f>H23-H32</f>
        <v/>
      </c>
      <c r="I33" s="43">
        <f>I23-I32</f>
        <v/>
      </c>
      <c r="J33" s="43">
        <f>J23-J32</f>
        <v/>
      </c>
      <c r="K33" s="43">
        <f>K23-K32</f>
        <v/>
      </c>
      <c r="L33" s="43">
        <f>L23-L32</f>
        <v/>
      </c>
      <c r="M33" s="43">
        <f>M23-M32</f>
        <v/>
      </c>
      <c r="N33" s="43">
        <f>N23-N32</f>
        <v/>
      </c>
      <c r="O33" s="43">
        <f>O23-O32</f>
        <v/>
      </c>
      <c r="P33" s="43">
        <f>P23-P32</f>
        <v/>
      </c>
      <c r="Q33" s="43">
        <f>Q23-Q32</f>
        <v/>
      </c>
      <c r="R33" s="43">
        <f>R23-R32</f>
        <v/>
      </c>
      <c r="S33" s="43">
        <f>S23-S32</f>
        <v/>
      </c>
      <c r="T33" s="43">
        <f>T23-T32</f>
        <v/>
      </c>
      <c r="U33" s="43">
        <f>U23-U32</f>
        <v/>
      </c>
      <c r="V33" s="43">
        <f>V23-V32</f>
        <v/>
      </c>
      <c r="W33" s="43">
        <f>W23-W32</f>
        <v/>
      </c>
      <c r="X33" s="43">
        <f>X23-X32</f>
        <v/>
      </c>
      <c r="Y33" s="43">
        <f>Y23-Y32</f>
        <v/>
      </c>
      <c r="Z33" s="43">
        <f>Z23-Z32</f>
        <v/>
      </c>
      <c r="AA33" s="43">
        <f>AA23-AA32</f>
        <v/>
      </c>
      <c r="AB33" s="43">
        <f>AB23-AB32</f>
        <v/>
      </c>
      <c r="AC33" s="43">
        <f>AC23-AC32</f>
        <v/>
      </c>
      <c r="AD33" s="43">
        <f>AD23-AD32</f>
        <v/>
      </c>
      <c r="AE33" s="43">
        <f>AE23-AE32</f>
        <v/>
      </c>
      <c r="AF33" s="43">
        <f>AF23-AF32</f>
        <v/>
      </c>
      <c r="AG33" s="43">
        <f>AG23-AG32</f>
        <v/>
      </c>
      <c r="AH33" s="43">
        <f>AH23-AH32</f>
        <v/>
      </c>
      <c r="AI33" s="43">
        <f>AI23-AI32</f>
        <v/>
      </c>
      <c r="AJ33" s="43">
        <f>AJ23-AJ32</f>
        <v/>
      </c>
      <c r="AK33" s="43">
        <f>AK23-AK32</f>
        <v/>
      </c>
      <c r="AL33" s="43">
        <f>AL23-AL32</f>
        <v/>
      </c>
      <c r="AM33" s="43">
        <f>AM23-AM32</f>
        <v/>
      </c>
      <c r="AN33" s="43">
        <f>AN23-AN32</f>
        <v/>
      </c>
      <c r="AO33" s="43">
        <f>AO23-AO32</f>
        <v/>
      </c>
      <c r="AP33" s="43">
        <f>AP23-AP32</f>
        <v/>
      </c>
      <c r="AQ33" s="43">
        <f>AQ23-AQ32</f>
        <v/>
      </c>
      <c r="AR33" s="43">
        <f>AR23-AR32</f>
        <v/>
      </c>
      <c r="AS33" s="43">
        <f>AS23-AS32</f>
        <v/>
      </c>
      <c r="AT33" s="43">
        <f>AT23-AT32</f>
        <v/>
      </c>
      <c r="AU33" s="43">
        <f>AU23-AU32</f>
        <v/>
      </c>
      <c r="AV33" s="43">
        <f>AV23-AV32</f>
        <v/>
      </c>
      <c r="AW33" s="43">
        <f>AW23-AW32</f>
        <v/>
      </c>
      <c r="AX33" s="43">
        <f>AX23-AX32</f>
        <v/>
      </c>
      <c r="AY33" s="43">
        <f>AY23-AY32</f>
        <v/>
      </c>
      <c r="AZ33" s="43">
        <f>AZ23-AZ32</f>
        <v/>
      </c>
      <c r="BA33" s="43">
        <f>BA23-BA32</f>
        <v/>
      </c>
      <c r="BB33" s="43">
        <f>BB23-BB32</f>
        <v/>
      </c>
      <c r="BC33" s="43">
        <f>BC23-BC32</f>
        <v/>
      </c>
      <c r="BD33" s="43">
        <f>BD23-BD32</f>
        <v/>
      </c>
      <c r="BE33" s="43">
        <f>BE23-BE32</f>
        <v/>
      </c>
      <c r="BF33" s="43">
        <f>BF23-BF32</f>
        <v/>
      </c>
      <c r="BG33" s="43">
        <f>BG23-BG32</f>
        <v/>
      </c>
      <c r="BH33" s="43">
        <f>BH23-BH32</f>
        <v/>
      </c>
      <c r="BI33" s="43">
        <f>BI23-BI32</f>
        <v/>
      </c>
    </row>
    <row r="34">
      <c r="B34" s="73" t="n"/>
      <c r="C34" s="73" t="n"/>
      <c r="D34" s="73" t="n"/>
      <c r="E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O34" s="73" t="n"/>
      <c r="P34" s="73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  <c r="AM34" s="73" t="n"/>
      <c r="AN34" s="73" t="n"/>
      <c r="AO34" s="73" t="n"/>
      <c r="AP34" s="73" t="n"/>
      <c r="AQ34" s="73" t="n"/>
      <c r="AR34" s="73" t="n"/>
      <c r="AS34" s="73" t="n"/>
      <c r="AT34" s="73" t="n"/>
      <c r="AU34" s="73" t="n"/>
      <c r="AV34" s="73" t="n"/>
      <c r="AW34" s="73" t="n"/>
      <c r="AX34" s="73" t="n"/>
      <c r="AY34" s="73" t="n"/>
      <c r="AZ34" s="73" t="n"/>
      <c r="BA34" s="73" t="n"/>
      <c r="BB34" s="73" t="n"/>
      <c r="BC34" s="73" t="n"/>
      <c r="BD34" s="73" t="n"/>
      <c r="BE34" s="73" t="n"/>
      <c r="BF34" s="73" t="n"/>
      <c r="BG34" s="73" t="n"/>
      <c r="BH34" s="73" t="n"/>
      <c r="BI34" s="73" t="n"/>
    </row>
    <row r="35" ht="20" customHeight="1">
      <c r="A35" s="4" t="inlineStr">
        <is>
          <t>БДР — OPEX</t>
        </is>
      </c>
    </row>
    <row r="36">
      <c r="A36" s="2" t="inlineStr">
        <is>
          <t>ФОТ и кадровые расходы</t>
        </is>
      </c>
      <c r="B36" s="40">
        <f>'08_ФОТ'!B28</f>
        <v/>
      </c>
      <c r="C36" s="40">
        <f>'08_ФОТ'!C28</f>
        <v/>
      </c>
      <c r="D36" s="40">
        <f>'08_ФОТ'!D28</f>
        <v/>
      </c>
      <c r="E36" s="40">
        <f>'08_ФОТ'!E28</f>
        <v/>
      </c>
      <c r="F36" s="40">
        <f>'08_ФОТ'!F28</f>
        <v/>
      </c>
      <c r="G36" s="40">
        <f>'08_ФОТ'!G28</f>
        <v/>
      </c>
      <c r="H36" s="40">
        <f>'08_ФОТ'!H28</f>
        <v/>
      </c>
      <c r="I36" s="40">
        <f>'08_ФОТ'!I28</f>
        <v/>
      </c>
      <c r="J36" s="40">
        <f>'08_ФОТ'!J28</f>
        <v/>
      </c>
      <c r="K36" s="40">
        <f>'08_ФОТ'!K28</f>
        <v/>
      </c>
      <c r="L36" s="40">
        <f>'08_ФОТ'!L28</f>
        <v/>
      </c>
      <c r="M36" s="40">
        <f>'08_ФОТ'!M28</f>
        <v/>
      </c>
      <c r="N36" s="40">
        <f>'08_ФОТ'!N28</f>
        <v/>
      </c>
      <c r="O36" s="40">
        <f>'08_ФОТ'!O28</f>
        <v/>
      </c>
      <c r="P36" s="40">
        <f>'08_ФОТ'!P28</f>
        <v/>
      </c>
      <c r="Q36" s="40">
        <f>'08_ФОТ'!Q28</f>
        <v/>
      </c>
      <c r="R36" s="40">
        <f>'08_ФОТ'!R28</f>
        <v/>
      </c>
      <c r="S36" s="40">
        <f>'08_ФОТ'!S28</f>
        <v/>
      </c>
      <c r="T36" s="40">
        <f>'08_ФОТ'!T28</f>
        <v/>
      </c>
      <c r="U36" s="40">
        <f>'08_ФОТ'!U28</f>
        <v/>
      </c>
      <c r="V36" s="40">
        <f>'08_ФОТ'!V28</f>
        <v/>
      </c>
      <c r="W36" s="40">
        <f>'08_ФОТ'!W28</f>
        <v/>
      </c>
      <c r="X36" s="40">
        <f>'08_ФОТ'!X28</f>
        <v/>
      </c>
      <c r="Y36" s="40">
        <f>'08_ФОТ'!Y28</f>
        <v/>
      </c>
      <c r="Z36" s="40">
        <f>'08_ФОТ'!Z28</f>
        <v/>
      </c>
      <c r="AA36" s="40">
        <f>'08_ФОТ'!AA28</f>
        <v/>
      </c>
      <c r="AB36" s="40">
        <f>'08_ФОТ'!AB28</f>
        <v/>
      </c>
      <c r="AC36" s="40">
        <f>'08_ФОТ'!AC28</f>
        <v/>
      </c>
      <c r="AD36" s="40">
        <f>'08_ФОТ'!AD28</f>
        <v/>
      </c>
      <c r="AE36" s="40">
        <f>'08_ФОТ'!AE28</f>
        <v/>
      </c>
      <c r="AF36" s="40">
        <f>'08_ФОТ'!AF28</f>
        <v/>
      </c>
      <c r="AG36" s="40">
        <f>'08_ФОТ'!AG28</f>
        <v/>
      </c>
      <c r="AH36" s="40">
        <f>'08_ФОТ'!AH28</f>
        <v/>
      </c>
      <c r="AI36" s="40">
        <f>'08_ФОТ'!AI28</f>
        <v/>
      </c>
      <c r="AJ36" s="40">
        <f>'08_ФОТ'!AJ28</f>
        <v/>
      </c>
      <c r="AK36" s="40">
        <f>'08_ФОТ'!AK28</f>
        <v/>
      </c>
      <c r="AL36" s="40">
        <f>'08_ФОТ'!AL28</f>
        <v/>
      </c>
      <c r="AM36" s="40">
        <f>'08_ФОТ'!AM28</f>
        <v/>
      </c>
      <c r="AN36" s="40">
        <f>'08_ФОТ'!AN28</f>
        <v/>
      </c>
      <c r="AO36" s="40">
        <f>'08_ФОТ'!AO28</f>
        <v/>
      </c>
      <c r="AP36" s="40">
        <f>'08_ФОТ'!AP28</f>
        <v/>
      </c>
      <c r="AQ36" s="40">
        <f>'08_ФОТ'!AQ28</f>
        <v/>
      </c>
      <c r="AR36" s="40">
        <f>'08_ФОТ'!AR28</f>
        <v/>
      </c>
      <c r="AS36" s="40">
        <f>'08_ФОТ'!AS28</f>
        <v/>
      </c>
      <c r="AT36" s="40">
        <f>'08_ФОТ'!AT28</f>
        <v/>
      </c>
      <c r="AU36" s="40">
        <f>'08_ФОТ'!AU28</f>
        <v/>
      </c>
      <c r="AV36" s="40">
        <f>'08_ФОТ'!AV28</f>
        <v/>
      </c>
      <c r="AW36" s="40">
        <f>'08_ФОТ'!AW28</f>
        <v/>
      </c>
      <c r="AX36" s="40">
        <f>'08_ФОТ'!AX28</f>
        <v/>
      </c>
      <c r="AY36" s="40">
        <f>'08_ФОТ'!AY28</f>
        <v/>
      </c>
      <c r="AZ36" s="40">
        <f>'08_ФОТ'!AZ28</f>
        <v/>
      </c>
      <c r="BA36" s="40">
        <f>'08_ФОТ'!BA28</f>
        <v/>
      </c>
      <c r="BB36" s="40">
        <f>'08_ФОТ'!BB28</f>
        <v/>
      </c>
      <c r="BC36" s="40">
        <f>'08_ФОТ'!BC28</f>
        <v/>
      </c>
      <c r="BD36" s="40">
        <f>'08_ФОТ'!BD28</f>
        <v/>
      </c>
      <c r="BE36" s="40">
        <f>'08_ФОТ'!BE28</f>
        <v/>
      </c>
      <c r="BF36" s="40">
        <f>'08_ФОТ'!BF28</f>
        <v/>
      </c>
      <c r="BG36" s="40">
        <f>'08_ФОТ'!BG28</f>
        <v/>
      </c>
      <c r="BH36" s="40">
        <f>'08_ФОТ'!BH28</f>
        <v/>
      </c>
      <c r="BI36" s="40">
        <f>'08_ФОТ'!BI28</f>
        <v/>
      </c>
    </row>
    <row r="37">
      <c r="A37" s="2" t="inlineStr">
        <is>
          <t>ERP</t>
        </is>
      </c>
      <c r="B37" s="185">
        <f>('01_Вводные'!$B$105+(MAX(0,'06_Сеть_и_дети'!B11-'01_Вводные'!$B$106)+'06_Сеть_и_дети'!B44)*'01_Вводные'!$B$107)*'18_Календарь_тарифы'!B4</f>
        <v/>
      </c>
      <c r="C37" s="185">
        <f>('01_Вводные'!$B$105+(MAX(0,'06_Сеть_и_дети'!C11-'01_Вводные'!$B$106)+'06_Сеть_и_дети'!C44)*'01_Вводные'!$B$107)*'18_Календарь_тарифы'!C4</f>
        <v/>
      </c>
      <c r="D37" s="185">
        <f>('01_Вводные'!$B$105+(MAX(0,'06_Сеть_и_дети'!D11-'01_Вводные'!$B$106)+'06_Сеть_и_дети'!D44)*'01_Вводные'!$B$107)*'18_Календарь_тарифы'!D4</f>
        <v/>
      </c>
      <c r="E37" s="185">
        <f>('01_Вводные'!$B$105+(MAX(0,'06_Сеть_и_дети'!E11-'01_Вводные'!$B$106)+'06_Сеть_и_дети'!E44)*'01_Вводные'!$B$107)*'18_Календарь_тарифы'!E4</f>
        <v/>
      </c>
      <c r="F37" s="185">
        <f>('01_Вводные'!$B$105+(MAX(0,'06_Сеть_и_дети'!F11-'01_Вводные'!$B$106)+'06_Сеть_и_дети'!F44)*'01_Вводные'!$B$107)*'18_Календарь_тарифы'!F4</f>
        <v/>
      </c>
      <c r="G37" s="185">
        <f>('01_Вводные'!$B$105+(MAX(0,'06_Сеть_и_дети'!G11-'01_Вводные'!$B$106)+'06_Сеть_и_дети'!G44)*'01_Вводные'!$B$107)*'18_Календарь_тарифы'!G4</f>
        <v/>
      </c>
      <c r="H37" s="185">
        <f>('01_Вводные'!$B$105+(MAX(0,'06_Сеть_и_дети'!H11-'01_Вводные'!$B$106)+'06_Сеть_и_дети'!H44)*'01_Вводные'!$B$107)*'18_Календарь_тарифы'!H4</f>
        <v/>
      </c>
      <c r="I37" s="185">
        <f>('01_Вводные'!$B$105+(MAX(0,'06_Сеть_и_дети'!I11-'01_Вводные'!$B$106)+'06_Сеть_и_дети'!I44)*'01_Вводные'!$B$107)*'18_Календарь_тарифы'!I4</f>
        <v/>
      </c>
      <c r="J37" s="185">
        <f>('01_Вводные'!$B$105+(MAX(0,'06_Сеть_и_дети'!J11-'01_Вводные'!$B$106)+'06_Сеть_и_дети'!J44)*'01_Вводные'!$B$107)*'18_Календарь_тарифы'!J4</f>
        <v/>
      </c>
      <c r="K37" s="185">
        <f>('01_Вводные'!$B$105+(MAX(0,'06_Сеть_и_дети'!K11-'01_Вводные'!$B$106)+'06_Сеть_и_дети'!K44)*'01_Вводные'!$B$107)*'18_Календарь_тарифы'!K4</f>
        <v/>
      </c>
      <c r="L37" s="185">
        <f>('01_Вводные'!$B$105+(MAX(0,'06_Сеть_и_дети'!L11-'01_Вводные'!$B$106)+'06_Сеть_и_дети'!L44)*'01_Вводные'!$B$107)*'18_Календарь_тарифы'!L4</f>
        <v/>
      </c>
      <c r="M37" s="185">
        <f>('01_Вводные'!$B$105+(MAX(0,'06_Сеть_и_дети'!M11-'01_Вводные'!$B$106)+'06_Сеть_и_дети'!M44)*'01_Вводные'!$B$107)*'18_Календарь_тарифы'!M4</f>
        <v/>
      </c>
      <c r="N37" s="185">
        <f>('01_Вводные'!$B$105+(MAX(0,'06_Сеть_и_дети'!N11-'01_Вводные'!$B$106)+'06_Сеть_и_дети'!N44)*'01_Вводные'!$B$107)*'18_Календарь_тарифы'!N4</f>
        <v/>
      </c>
      <c r="O37" s="185">
        <f>('01_Вводные'!$B$105+(MAX(0,'06_Сеть_и_дети'!O11-'01_Вводные'!$B$106)+'06_Сеть_и_дети'!O44)*'01_Вводные'!$B$107)*'18_Календарь_тарифы'!O4</f>
        <v/>
      </c>
      <c r="P37" s="185">
        <f>('01_Вводные'!$B$105+(MAX(0,'06_Сеть_и_дети'!P11-'01_Вводные'!$B$106)+'06_Сеть_и_дети'!P44)*'01_Вводные'!$B$107)*'18_Календарь_тарифы'!P4</f>
        <v/>
      </c>
      <c r="Q37" s="185">
        <f>('01_Вводные'!$B$105+(MAX(0,'06_Сеть_и_дети'!Q11-'01_Вводные'!$B$106)+'06_Сеть_и_дети'!Q44)*'01_Вводные'!$B$107)*'18_Календарь_тарифы'!Q4</f>
        <v/>
      </c>
      <c r="R37" s="185">
        <f>('01_Вводные'!$B$105+(MAX(0,'06_Сеть_и_дети'!R11-'01_Вводные'!$B$106)+'06_Сеть_и_дети'!R44)*'01_Вводные'!$B$107)*'18_Календарь_тарифы'!R4</f>
        <v/>
      </c>
      <c r="S37" s="185">
        <f>('01_Вводные'!$B$105+(MAX(0,'06_Сеть_и_дети'!S11-'01_Вводные'!$B$106)+'06_Сеть_и_дети'!S44)*'01_Вводные'!$B$107)*'18_Календарь_тарифы'!S4</f>
        <v/>
      </c>
      <c r="T37" s="185">
        <f>('01_Вводные'!$B$105+(MAX(0,'06_Сеть_и_дети'!T11-'01_Вводные'!$B$106)+'06_Сеть_и_дети'!T44)*'01_Вводные'!$B$107)*'18_Календарь_тарифы'!T4</f>
        <v/>
      </c>
      <c r="U37" s="185">
        <f>('01_Вводные'!$B$105+(MAX(0,'06_Сеть_и_дети'!U11-'01_Вводные'!$B$106)+'06_Сеть_и_дети'!U44)*'01_Вводные'!$B$107)*'18_Календарь_тарифы'!U4</f>
        <v/>
      </c>
      <c r="V37" s="185">
        <f>('01_Вводные'!$B$105+(MAX(0,'06_Сеть_и_дети'!V11-'01_Вводные'!$B$106)+'06_Сеть_и_дети'!V44)*'01_Вводные'!$B$107)*'18_Календарь_тарифы'!V4</f>
        <v/>
      </c>
      <c r="W37" s="185">
        <f>('01_Вводные'!$B$105+(MAX(0,'06_Сеть_и_дети'!W11-'01_Вводные'!$B$106)+'06_Сеть_и_дети'!W44)*'01_Вводные'!$B$107)*'18_Календарь_тарифы'!W4</f>
        <v/>
      </c>
      <c r="X37" s="185">
        <f>('01_Вводные'!$B$105+(MAX(0,'06_Сеть_и_дети'!X11-'01_Вводные'!$B$106)+'06_Сеть_и_дети'!X44)*'01_Вводные'!$B$107)*'18_Календарь_тарифы'!X4</f>
        <v/>
      </c>
      <c r="Y37" s="185">
        <f>('01_Вводные'!$B$105+(MAX(0,'06_Сеть_и_дети'!Y11-'01_Вводные'!$B$106)+'06_Сеть_и_дети'!Y44)*'01_Вводные'!$B$107)*'18_Календарь_тарифы'!Y4</f>
        <v/>
      </c>
      <c r="Z37" s="185">
        <f>('01_Вводные'!$B$105+(MAX(0,'06_Сеть_и_дети'!Z11-'01_Вводные'!$B$106)+'06_Сеть_и_дети'!Z44)*'01_Вводные'!$B$107)*'18_Календарь_тарифы'!Z4</f>
        <v/>
      </c>
      <c r="AA37" s="185">
        <f>('01_Вводные'!$B$105+(MAX(0,'06_Сеть_и_дети'!AA11-'01_Вводные'!$B$106)+'06_Сеть_и_дети'!AA44)*'01_Вводные'!$B$107)*'18_Календарь_тарифы'!AA4</f>
        <v/>
      </c>
      <c r="AB37" s="185">
        <f>('01_Вводные'!$B$105+(MAX(0,'06_Сеть_и_дети'!AB11-'01_Вводные'!$B$106)+'06_Сеть_и_дети'!AB44)*'01_Вводные'!$B$107)*'18_Календарь_тарифы'!AB4</f>
        <v/>
      </c>
      <c r="AC37" s="185">
        <f>('01_Вводные'!$B$105+(MAX(0,'06_Сеть_и_дети'!AC11-'01_Вводные'!$B$106)+'06_Сеть_и_дети'!AC44)*'01_Вводные'!$B$107)*'18_Календарь_тарифы'!AC4</f>
        <v/>
      </c>
      <c r="AD37" s="185">
        <f>('01_Вводные'!$B$105+(MAX(0,'06_Сеть_и_дети'!AD11-'01_Вводные'!$B$106)+'06_Сеть_и_дети'!AD44)*'01_Вводные'!$B$107)*'18_Календарь_тарифы'!AD4</f>
        <v/>
      </c>
      <c r="AE37" s="185">
        <f>('01_Вводные'!$B$105+(MAX(0,'06_Сеть_и_дети'!AE11-'01_Вводные'!$B$106)+'06_Сеть_и_дети'!AE44)*'01_Вводные'!$B$107)*'18_Календарь_тарифы'!AE4</f>
        <v/>
      </c>
      <c r="AF37" s="185">
        <f>('01_Вводные'!$B$105+(MAX(0,'06_Сеть_и_дети'!AF11-'01_Вводные'!$B$106)+'06_Сеть_и_дети'!AF44)*'01_Вводные'!$B$107)*'18_Календарь_тарифы'!AF4</f>
        <v/>
      </c>
      <c r="AG37" s="185">
        <f>('01_Вводные'!$B$105+(MAX(0,'06_Сеть_и_дети'!AG11-'01_Вводные'!$B$106)+'06_Сеть_и_дети'!AG44)*'01_Вводные'!$B$107)*'18_Календарь_тарифы'!AG4</f>
        <v/>
      </c>
      <c r="AH37" s="185">
        <f>('01_Вводные'!$B$105+(MAX(0,'06_Сеть_и_дети'!AH11-'01_Вводные'!$B$106)+'06_Сеть_и_дети'!AH44)*'01_Вводные'!$B$107)*'18_Календарь_тарифы'!AH4</f>
        <v/>
      </c>
      <c r="AI37" s="185">
        <f>('01_Вводные'!$B$105+(MAX(0,'06_Сеть_и_дети'!AI11-'01_Вводные'!$B$106)+'06_Сеть_и_дети'!AI44)*'01_Вводные'!$B$107)*'18_Календарь_тарифы'!AI4</f>
        <v/>
      </c>
      <c r="AJ37" s="185">
        <f>('01_Вводные'!$B$105+(MAX(0,'06_Сеть_и_дети'!AJ11-'01_Вводные'!$B$106)+'06_Сеть_и_дети'!AJ44)*'01_Вводные'!$B$107)*'18_Календарь_тарифы'!AJ4</f>
        <v/>
      </c>
      <c r="AK37" s="185">
        <f>('01_Вводные'!$B$105+(MAX(0,'06_Сеть_и_дети'!AK11-'01_Вводные'!$B$106)+'06_Сеть_и_дети'!AK44)*'01_Вводные'!$B$107)*'18_Календарь_тарифы'!AK4</f>
        <v/>
      </c>
      <c r="AL37" s="185">
        <f>('01_Вводные'!$B$105+(MAX(0,'06_Сеть_и_дети'!AL11-'01_Вводные'!$B$106)+'06_Сеть_и_дети'!AL44)*'01_Вводные'!$B$107)*'18_Календарь_тарифы'!AL4</f>
        <v/>
      </c>
      <c r="AM37" s="185">
        <f>('01_Вводные'!$B$105+(MAX(0,'06_Сеть_и_дети'!AM11-'01_Вводные'!$B$106)+'06_Сеть_и_дети'!AM44)*'01_Вводные'!$B$107)*'18_Календарь_тарифы'!AM4</f>
        <v/>
      </c>
      <c r="AN37" s="185">
        <f>('01_Вводные'!$B$105+(MAX(0,'06_Сеть_и_дети'!AN11-'01_Вводные'!$B$106)+'06_Сеть_и_дети'!AN44)*'01_Вводные'!$B$107)*'18_Календарь_тарифы'!AN4</f>
        <v/>
      </c>
      <c r="AO37" s="185">
        <f>('01_Вводные'!$B$105+(MAX(0,'06_Сеть_и_дети'!AO11-'01_Вводные'!$B$106)+'06_Сеть_и_дети'!AO44)*'01_Вводные'!$B$107)*'18_Календарь_тарифы'!AO4</f>
        <v/>
      </c>
      <c r="AP37" s="185">
        <f>('01_Вводные'!$B$105+(MAX(0,'06_Сеть_и_дети'!AP11-'01_Вводные'!$B$106)+'06_Сеть_и_дети'!AP44)*'01_Вводные'!$B$107)*'18_Календарь_тарифы'!AP4</f>
        <v/>
      </c>
      <c r="AQ37" s="185">
        <f>('01_Вводные'!$B$105+(MAX(0,'06_Сеть_и_дети'!AQ11-'01_Вводные'!$B$106)+'06_Сеть_и_дети'!AQ44)*'01_Вводные'!$B$107)*'18_Календарь_тарифы'!AQ4</f>
        <v/>
      </c>
      <c r="AR37" s="185">
        <f>('01_Вводные'!$B$105+(MAX(0,'06_Сеть_и_дети'!AR11-'01_Вводные'!$B$106)+'06_Сеть_и_дети'!AR44)*'01_Вводные'!$B$107)*'18_Календарь_тарифы'!AR4</f>
        <v/>
      </c>
      <c r="AS37" s="185">
        <f>('01_Вводные'!$B$105+(MAX(0,'06_Сеть_и_дети'!AS11-'01_Вводные'!$B$106)+'06_Сеть_и_дети'!AS44)*'01_Вводные'!$B$107)*'18_Календарь_тарифы'!AS4</f>
        <v/>
      </c>
      <c r="AT37" s="185">
        <f>('01_Вводные'!$B$105+(MAX(0,'06_Сеть_и_дети'!AT11-'01_Вводные'!$B$106)+'06_Сеть_и_дети'!AT44)*'01_Вводные'!$B$107)*'18_Календарь_тарифы'!AT4</f>
        <v/>
      </c>
      <c r="AU37" s="185">
        <f>('01_Вводные'!$B$105+(MAX(0,'06_Сеть_и_дети'!AU11-'01_Вводные'!$B$106)+'06_Сеть_и_дети'!AU44)*'01_Вводные'!$B$107)*'18_Календарь_тарифы'!AU4</f>
        <v/>
      </c>
      <c r="AV37" s="185">
        <f>('01_Вводные'!$B$105+(MAX(0,'06_Сеть_и_дети'!AV11-'01_Вводные'!$B$106)+'06_Сеть_и_дети'!AV44)*'01_Вводные'!$B$107)*'18_Календарь_тарифы'!AV4</f>
        <v/>
      </c>
      <c r="AW37" s="185">
        <f>('01_Вводные'!$B$105+(MAX(0,'06_Сеть_и_дети'!AW11-'01_Вводные'!$B$106)+'06_Сеть_и_дети'!AW44)*'01_Вводные'!$B$107)*'18_Календарь_тарифы'!AW4</f>
        <v/>
      </c>
      <c r="AX37" s="185">
        <f>('01_Вводные'!$B$105+(MAX(0,'06_Сеть_и_дети'!AX11-'01_Вводные'!$B$106)+'06_Сеть_и_дети'!AX44)*'01_Вводные'!$B$107)*'18_Календарь_тарифы'!AX4</f>
        <v/>
      </c>
      <c r="AY37" s="185">
        <f>('01_Вводные'!$B$105+(MAX(0,'06_Сеть_и_дети'!AY11-'01_Вводные'!$B$106)+'06_Сеть_и_дети'!AY44)*'01_Вводные'!$B$107)*'18_Календарь_тарифы'!AY4</f>
        <v/>
      </c>
      <c r="AZ37" s="185">
        <f>('01_Вводные'!$B$105+(MAX(0,'06_Сеть_и_дети'!AZ11-'01_Вводные'!$B$106)+'06_Сеть_и_дети'!AZ44)*'01_Вводные'!$B$107)*'18_Календарь_тарифы'!AZ4</f>
        <v/>
      </c>
      <c r="BA37" s="185">
        <f>('01_Вводные'!$B$105+(MAX(0,'06_Сеть_и_дети'!BA11-'01_Вводные'!$B$106)+'06_Сеть_и_дети'!BA44)*'01_Вводные'!$B$107)*'18_Календарь_тарифы'!BA4</f>
        <v/>
      </c>
      <c r="BB37" s="185">
        <f>('01_Вводные'!$B$105+(MAX(0,'06_Сеть_и_дети'!BB11-'01_Вводные'!$B$106)+'06_Сеть_и_дети'!BB44)*'01_Вводные'!$B$107)*'18_Календарь_тарифы'!BB4</f>
        <v/>
      </c>
      <c r="BC37" s="185">
        <f>('01_Вводные'!$B$105+(MAX(0,'06_Сеть_и_дети'!BC11-'01_Вводные'!$B$106)+'06_Сеть_и_дети'!BC44)*'01_Вводные'!$B$107)*'18_Календарь_тарифы'!BC4</f>
        <v/>
      </c>
      <c r="BD37" s="185">
        <f>('01_Вводные'!$B$105+(MAX(0,'06_Сеть_и_дети'!BD11-'01_Вводные'!$B$106)+'06_Сеть_и_дети'!BD44)*'01_Вводные'!$B$107)*'18_Календарь_тарифы'!BD4</f>
        <v/>
      </c>
      <c r="BE37" s="185">
        <f>('01_Вводные'!$B$105+(MAX(0,'06_Сеть_и_дети'!BE11-'01_Вводные'!$B$106)+'06_Сеть_и_дети'!BE44)*'01_Вводные'!$B$107)*'18_Календарь_тарифы'!BE4</f>
        <v/>
      </c>
      <c r="BF37" s="185">
        <f>('01_Вводные'!$B$105+(MAX(0,'06_Сеть_и_дети'!BF11-'01_Вводные'!$B$106)+'06_Сеть_и_дети'!BF44)*'01_Вводные'!$B$107)*'18_Календарь_тарифы'!BF4</f>
        <v/>
      </c>
      <c r="BG37" s="185">
        <f>('01_Вводные'!$B$105+(MAX(0,'06_Сеть_и_дети'!BG11-'01_Вводные'!$B$106)+'06_Сеть_и_дети'!BG44)*'01_Вводные'!$B$107)*'18_Календарь_тарифы'!BG4</f>
        <v/>
      </c>
      <c r="BH37" s="185">
        <f>('01_Вводные'!$B$105+(MAX(0,'06_Сеть_и_дети'!BH11-'01_Вводные'!$B$106)+'06_Сеть_и_дети'!BH44)*'01_Вводные'!$B$107)*'18_Календарь_тарифы'!BH4</f>
        <v/>
      </c>
      <c r="BI37" s="185">
        <f>('01_Вводные'!$B$105+(MAX(0,'06_Сеть_и_дети'!BI11-'01_Вводные'!$B$106)+'06_Сеть_и_дети'!BI44)*'01_Вводные'!$B$107)*'18_Календарь_тарифы'!BI4</f>
        <v/>
      </c>
    </row>
    <row r="38">
      <c r="A38" s="2" t="inlineStr">
        <is>
          <t>Офис / аренда / уборка / парковка</t>
        </is>
      </c>
      <c r="B38" s="40">
        <f>'01_Вводные'!$B$108</f>
        <v/>
      </c>
      <c r="C38" s="40">
        <f>'01_Вводные'!$B$108</f>
        <v/>
      </c>
      <c r="D38" s="40">
        <f>'01_Вводные'!$B$108</f>
        <v/>
      </c>
      <c r="E38" s="40">
        <f>'01_Вводные'!$B$108</f>
        <v/>
      </c>
      <c r="F38" s="40">
        <f>'01_Вводные'!$B$108</f>
        <v/>
      </c>
      <c r="G38" s="40">
        <f>'01_Вводные'!$B$108</f>
        <v/>
      </c>
      <c r="H38" s="40">
        <f>'01_Вводные'!$B$108</f>
        <v/>
      </c>
      <c r="I38" s="40">
        <f>'01_Вводные'!$B$108</f>
        <v/>
      </c>
      <c r="J38" s="40">
        <f>'01_Вводные'!$B$108</f>
        <v/>
      </c>
      <c r="K38" s="40">
        <f>'01_Вводные'!$B$108</f>
        <v/>
      </c>
      <c r="L38" s="40">
        <f>'01_Вводные'!$B$108</f>
        <v/>
      </c>
      <c r="M38" s="40">
        <f>'01_Вводные'!$B$108</f>
        <v/>
      </c>
      <c r="N38" s="40">
        <f>'01_Вводные'!$B$108</f>
        <v/>
      </c>
      <c r="O38" s="40">
        <f>'01_Вводные'!$B$108</f>
        <v/>
      </c>
      <c r="P38" s="40">
        <f>'01_Вводные'!$B$108</f>
        <v/>
      </c>
      <c r="Q38" s="40">
        <f>'01_Вводные'!$B$108</f>
        <v/>
      </c>
      <c r="R38" s="40">
        <f>'01_Вводные'!$B$108</f>
        <v/>
      </c>
      <c r="S38" s="40">
        <f>'01_Вводные'!$B$108</f>
        <v/>
      </c>
      <c r="T38" s="40">
        <f>'01_Вводные'!$B$108</f>
        <v/>
      </c>
      <c r="U38" s="40">
        <f>'01_Вводные'!$B$108</f>
        <v/>
      </c>
      <c r="V38" s="40">
        <f>'01_Вводные'!$B$108</f>
        <v/>
      </c>
      <c r="W38" s="40">
        <f>'01_Вводные'!$B$108</f>
        <v/>
      </c>
      <c r="X38" s="40">
        <f>'01_Вводные'!$B$108</f>
        <v/>
      </c>
      <c r="Y38" s="40">
        <f>'01_Вводные'!$B$108</f>
        <v/>
      </c>
      <c r="Z38" s="40">
        <f>'01_Вводные'!$B$108</f>
        <v/>
      </c>
      <c r="AA38" s="40">
        <f>'01_Вводные'!$B$108</f>
        <v/>
      </c>
      <c r="AB38" s="40">
        <f>'01_Вводные'!$B$108</f>
        <v/>
      </c>
      <c r="AC38" s="40">
        <f>'01_Вводные'!$B$108</f>
        <v/>
      </c>
      <c r="AD38" s="40">
        <f>'01_Вводные'!$B$108</f>
        <v/>
      </c>
      <c r="AE38" s="40">
        <f>'01_Вводные'!$B$108</f>
        <v/>
      </c>
      <c r="AF38" s="40">
        <f>'01_Вводные'!$B$108</f>
        <v/>
      </c>
      <c r="AG38" s="40">
        <f>'01_Вводные'!$B$108</f>
        <v/>
      </c>
      <c r="AH38" s="40">
        <f>'01_Вводные'!$B$108</f>
        <v/>
      </c>
      <c r="AI38" s="40">
        <f>'01_Вводные'!$B$108</f>
        <v/>
      </c>
      <c r="AJ38" s="40">
        <f>'01_Вводные'!$B$108</f>
        <v/>
      </c>
      <c r="AK38" s="40">
        <f>'01_Вводные'!$B$108</f>
        <v/>
      </c>
      <c r="AL38" s="40">
        <f>'01_Вводные'!$B$108</f>
        <v/>
      </c>
      <c r="AM38" s="40">
        <f>'01_Вводные'!$B$108</f>
        <v/>
      </c>
      <c r="AN38" s="40">
        <f>'01_Вводные'!$B$108</f>
        <v/>
      </c>
      <c r="AO38" s="40">
        <f>'01_Вводные'!$B$108</f>
        <v/>
      </c>
      <c r="AP38" s="40">
        <f>'01_Вводные'!$B$108</f>
        <v/>
      </c>
      <c r="AQ38" s="40">
        <f>'01_Вводные'!$B$108</f>
        <v/>
      </c>
      <c r="AR38" s="40">
        <f>'01_Вводные'!$B$108</f>
        <v/>
      </c>
      <c r="AS38" s="40">
        <f>'01_Вводные'!$B$108</f>
        <v/>
      </c>
      <c r="AT38" s="40">
        <f>'01_Вводные'!$B$108</f>
        <v/>
      </c>
      <c r="AU38" s="40">
        <f>'01_Вводные'!$B$108</f>
        <v/>
      </c>
      <c r="AV38" s="40">
        <f>'01_Вводные'!$B$108</f>
        <v/>
      </c>
      <c r="AW38" s="40">
        <f>'01_Вводные'!$B$108</f>
        <v/>
      </c>
      <c r="AX38" s="40">
        <f>'01_Вводные'!$B$108</f>
        <v/>
      </c>
      <c r="AY38" s="40">
        <f>'01_Вводные'!$B$108</f>
        <v/>
      </c>
      <c r="AZ38" s="40">
        <f>'01_Вводные'!$B$108</f>
        <v/>
      </c>
      <c r="BA38" s="40">
        <f>'01_Вводные'!$B$108</f>
        <v/>
      </c>
      <c r="BB38" s="40">
        <f>'01_Вводные'!$B$108</f>
        <v/>
      </c>
      <c r="BC38" s="40">
        <f>'01_Вводные'!$B$108</f>
        <v/>
      </c>
      <c r="BD38" s="40">
        <f>'01_Вводные'!$B$108</f>
        <v/>
      </c>
      <c r="BE38" s="40">
        <f>'01_Вводные'!$B$108</f>
        <v/>
      </c>
      <c r="BF38" s="40">
        <f>'01_Вводные'!$B$108</f>
        <v/>
      </c>
      <c r="BG38" s="40">
        <f>'01_Вводные'!$B$108</f>
        <v/>
      </c>
      <c r="BH38" s="40">
        <f>'01_Вводные'!$B$108</f>
        <v/>
      </c>
      <c r="BI38" s="40">
        <f>'01_Вводные'!$B$108</f>
        <v/>
      </c>
    </row>
    <row r="39">
      <c r="A39" s="2" t="inlineStr">
        <is>
          <t>Юристы / аудит / бухгалтерия</t>
        </is>
      </c>
      <c r="B39" s="185">
        <f>'01_Вводные'!$B$109*'18_Календарь_тарифы'!B4</f>
        <v/>
      </c>
      <c r="C39" s="185">
        <f>'01_Вводные'!$B$109*'18_Календарь_тарифы'!C4</f>
        <v/>
      </c>
      <c r="D39" s="185">
        <f>'01_Вводные'!$B$109*'18_Календарь_тарифы'!D4</f>
        <v/>
      </c>
      <c r="E39" s="185">
        <f>'01_Вводные'!$B$109*'18_Календарь_тарифы'!E4</f>
        <v/>
      </c>
      <c r="F39" s="185">
        <f>'01_Вводные'!$B$109*'18_Календарь_тарифы'!F4</f>
        <v/>
      </c>
      <c r="G39" s="185">
        <f>'01_Вводные'!$B$109*'18_Календарь_тарифы'!G4</f>
        <v/>
      </c>
      <c r="H39" s="185">
        <f>'01_Вводные'!$B$109*'18_Календарь_тарифы'!H4</f>
        <v/>
      </c>
      <c r="I39" s="185">
        <f>'01_Вводные'!$B$109*'18_Календарь_тарифы'!I4</f>
        <v/>
      </c>
      <c r="J39" s="185">
        <f>'01_Вводные'!$B$109*'18_Календарь_тарифы'!J4</f>
        <v/>
      </c>
      <c r="K39" s="185">
        <f>'01_Вводные'!$B$109*'18_Календарь_тарифы'!K4</f>
        <v/>
      </c>
      <c r="L39" s="185">
        <f>'01_Вводные'!$B$109*'18_Календарь_тарифы'!L4</f>
        <v/>
      </c>
      <c r="M39" s="185">
        <f>'01_Вводные'!$B$109*'18_Календарь_тарифы'!M4</f>
        <v/>
      </c>
      <c r="N39" s="185">
        <f>'01_Вводные'!$B$109*'18_Календарь_тарифы'!N4</f>
        <v/>
      </c>
      <c r="O39" s="185">
        <f>'01_Вводные'!$B$109*'18_Календарь_тарифы'!O4</f>
        <v/>
      </c>
      <c r="P39" s="185">
        <f>'01_Вводные'!$B$109*'18_Календарь_тарифы'!P4</f>
        <v/>
      </c>
      <c r="Q39" s="185">
        <f>'01_Вводные'!$B$109*'18_Календарь_тарифы'!Q4</f>
        <v/>
      </c>
      <c r="R39" s="185">
        <f>'01_Вводные'!$B$109*'18_Календарь_тарифы'!R4</f>
        <v/>
      </c>
      <c r="S39" s="185">
        <f>'01_Вводные'!$B$109*'18_Календарь_тарифы'!S4</f>
        <v/>
      </c>
      <c r="T39" s="185">
        <f>'01_Вводные'!$B$109*'18_Календарь_тарифы'!T4</f>
        <v/>
      </c>
      <c r="U39" s="185">
        <f>'01_Вводные'!$B$109*'18_Календарь_тарифы'!U4</f>
        <v/>
      </c>
      <c r="V39" s="185">
        <f>'01_Вводные'!$B$109*'18_Календарь_тарифы'!V4</f>
        <v/>
      </c>
      <c r="W39" s="185">
        <f>'01_Вводные'!$B$109*'18_Календарь_тарифы'!W4</f>
        <v/>
      </c>
      <c r="X39" s="185">
        <f>'01_Вводные'!$B$109*'18_Календарь_тарифы'!X4</f>
        <v/>
      </c>
      <c r="Y39" s="185">
        <f>'01_Вводные'!$B$109*'18_Календарь_тарифы'!Y4</f>
        <v/>
      </c>
      <c r="Z39" s="185">
        <f>'01_Вводные'!$B$109*'18_Календарь_тарифы'!Z4</f>
        <v/>
      </c>
      <c r="AA39" s="185">
        <f>'01_Вводные'!$B$109*'18_Календарь_тарифы'!AA4</f>
        <v/>
      </c>
      <c r="AB39" s="185">
        <f>'01_Вводные'!$B$109*'18_Календарь_тарифы'!AB4</f>
        <v/>
      </c>
      <c r="AC39" s="185">
        <f>'01_Вводные'!$B$109*'18_Календарь_тарифы'!AC4</f>
        <v/>
      </c>
      <c r="AD39" s="185">
        <f>'01_Вводные'!$B$109*'18_Календарь_тарифы'!AD4</f>
        <v/>
      </c>
      <c r="AE39" s="185">
        <f>'01_Вводные'!$B$109*'18_Календарь_тарифы'!AE4</f>
        <v/>
      </c>
      <c r="AF39" s="185">
        <f>'01_Вводные'!$B$109*'18_Календарь_тарифы'!AF4</f>
        <v/>
      </c>
      <c r="AG39" s="185">
        <f>'01_Вводные'!$B$109*'18_Календарь_тарифы'!AG4</f>
        <v/>
      </c>
      <c r="AH39" s="185">
        <f>'01_Вводные'!$B$109*'18_Календарь_тарифы'!AH4</f>
        <v/>
      </c>
      <c r="AI39" s="185">
        <f>'01_Вводные'!$B$109*'18_Календарь_тарифы'!AI4</f>
        <v/>
      </c>
      <c r="AJ39" s="185">
        <f>'01_Вводные'!$B$109*'18_Календарь_тарифы'!AJ4</f>
        <v/>
      </c>
      <c r="AK39" s="185">
        <f>'01_Вводные'!$B$109*'18_Календарь_тарифы'!AK4</f>
        <v/>
      </c>
      <c r="AL39" s="185">
        <f>'01_Вводные'!$B$109*'18_Календарь_тарифы'!AL4</f>
        <v/>
      </c>
      <c r="AM39" s="185">
        <f>'01_Вводные'!$B$109*'18_Календарь_тарифы'!AM4</f>
        <v/>
      </c>
      <c r="AN39" s="185">
        <f>'01_Вводные'!$B$109*'18_Календарь_тарифы'!AN4</f>
        <v/>
      </c>
      <c r="AO39" s="185">
        <f>'01_Вводные'!$B$109*'18_Календарь_тарифы'!AO4</f>
        <v/>
      </c>
      <c r="AP39" s="185">
        <f>'01_Вводные'!$B$109*'18_Календарь_тарифы'!AP4</f>
        <v/>
      </c>
      <c r="AQ39" s="185">
        <f>'01_Вводные'!$B$109*'18_Календарь_тарифы'!AQ4</f>
        <v/>
      </c>
      <c r="AR39" s="185">
        <f>'01_Вводные'!$B$109*'18_Календарь_тарифы'!AR4</f>
        <v/>
      </c>
      <c r="AS39" s="185">
        <f>'01_Вводные'!$B$109*'18_Календарь_тарифы'!AS4</f>
        <v/>
      </c>
      <c r="AT39" s="185">
        <f>'01_Вводные'!$B$109*'18_Календарь_тарифы'!AT4</f>
        <v/>
      </c>
      <c r="AU39" s="185">
        <f>'01_Вводные'!$B$109*'18_Календарь_тарифы'!AU4</f>
        <v/>
      </c>
      <c r="AV39" s="185">
        <f>'01_Вводные'!$B$109*'18_Календарь_тарифы'!AV4</f>
        <v/>
      </c>
      <c r="AW39" s="185">
        <f>'01_Вводные'!$B$109*'18_Календарь_тарифы'!AW4</f>
        <v/>
      </c>
      <c r="AX39" s="185">
        <f>'01_Вводные'!$B$109*'18_Календарь_тарифы'!AX4</f>
        <v/>
      </c>
      <c r="AY39" s="185">
        <f>'01_Вводные'!$B$109*'18_Календарь_тарифы'!AY4</f>
        <v/>
      </c>
      <c r="AZ39" s="185">
        <f>'01_Вводные'!$B$109*'18_Календарь_тарифы'!AZ4</f>
        <v/>
      </c>
      <c r="BA39" s="185">
        <f>'01_Вводные'!$B$109*'18_Календарь_тарифы'!BA4</f>
        <v/>
      </c>
      <c r="BB39" s="185">
        <f>'01_Вводные'!$B$109*'18_Календарь_тарифы'!BB4</f>
        <v/>
      </c>
      <c r="BC39" s="185">
        <f>'01_Вводные'!$B$109*'18_Календарь_тарифы'!BC4</f>
        <v/>
      </c>
      <c r="BD39" s="185">
        <f>'01_Вводные'!$B$109*'18_Календарь_тарифы'!BD4</f>
        <v/>
      </c>
      <c r="BE39" s="185">
        <f>'01_Вводные'!$B$109*'18_Календарь_тарифы'!BE4</f>
        <v/>
      </c>
      <c r="BF39" s="185">
        <f>'01_Вводные'!$B$109*'18_Календарь_тарифы'!BF4</f>
        <v/>
      </c>
      <c r="BG39" s="185">
        <f>'01_Вводные'!$B$109*'18_Календарь_тарифы'!BG4</f>
        <v/>
      </c>
      <c r="BH39" s="185">
        <f>'01_Вводные'!$B$109*'18_Календарь_тарифы'!BH4</f>
        <v/>
      </c>
      <c r="BI39" s="185">
        <f>'01_Вводные'!$B$109*'18_Календарь_тарифы'!BI4</f>
        <v/>
      </c>
    </row>
    <row r="40">
      <c r="A40" s="2" t="inlineStr">
        <is>
          <t>Прочие IT</t>
        </is>
      </c>
      <c r="B40" s="185">
        <f>'01_Вводные'!$B$110*'18_Календарь_тарифы'!B4</f>
        <v/>
      </c>
      <c r="C40" s="185">
        <f>'01_Вводные'!$B$110*'18_Календарь_тарифы'!C4</f>
        <v/>
      </c>
      <c r="D40" s="185">
        <f>'01_Вводные'!$B$110*'18_Календарь_тарифы'!D4</f>
        <v/>
      </c>
      <c r="E40" s="185">
        <f>'01_Вводные'!$B$110*'18_Календарь_тарифы'!E4</f>
        <v/>
      </c>
      <c r="F40" s="185">
        <f>'01_Вводные'!$B$110*'18_Календарь_тарифы'!F4</f>
        <v/>
      </c>
      <c r="G40" s="185">
        <f>'01_Вводные'!$B$110*'18_Календарь_тарифы'!G4</f>
        <v/>
      </c>
      <c r="H40" s="185">
        <f>'01_Вводные'!$B$110*'18_Календарь_тарифы'!H4</f>
        <v/>
      </c>
      <c r="I40" s="185">
        <f>'01_Вводные'!$B$110*'18_Календарь_тарифы'!I4</f>
        <v/>
      </c>
      <c r="J40" s="185">
        <f>'01_Вводные'!$B$110*'18_Календарь_тарифы'!J4</f>
        <v/>
      </c>
      <c r="K40" s="185">
        <f>'01_Вводные'!$B$110*'18_Календарь_тарифы'!K4</f>
        <v/>
      </c>
      <c r="L40" s="185">
        <f>'01_Вводные'!$B$110*'18_Календарь_тарифы'!L4</f>
        <v/>
      </c>
      <c r="M40" s="185">
        <f>'01_Вводные'!$B$110*'18_Календарь_тарифы'!M4</f>
        <v/>
      </c>
      <c r="N40" s="185">
        <f>'01_Вводные'!$B$110*'18_Календарь_тарифы'!N4</f>
        <v/>
      </c>
      <c r="O40" s="185">
        <f>'01_Вводные'!$B$110*'18_Календарь_тарифы'!O4</f>
        <v/>
      </c>
      <c r="P40" s="185">
        <f>'01_Вводные'!$B$110*'18_Календарь_тарифы'!P4</f>
        <v/>
      </c>
      <c r="Q40" s="185">
        <f>'01_Вводные'!$B$110*'18_Календарь_тарифы'!Q4</f>
        <v/>
      </c>
      <c r="R40" s="185">
        <f>'01_Вводные'!$B$110*'18_Календарь_тарифы'!R4</f>
        <v/>
      </c>
      <c r="S40" s="185">
        <f>'01_Вводные'!$B$110*'18_Календарь_тарифы'!S4</f>
        <v/>
      </c>
      <c r="T40" s="185">
        <f>'01_Вводные'!$B$110*'18_Календарь_тарифы'!T4</f>
        <v/>
      </c>
      <c r="U40" s="185">
        <f>'01_Вводные'!$B$110*'18_Календарь_тарифы'!U4</f>
        <v/>
      </c>
      <c r="V40" s="185">
        <f>'01_Вводные'!$B$110*'18_Календарь_тарифы'!V4</f>
        <v/>
      </c>
      <c r="W40" s="185">
        <f>'01_Вводные'!$B$110*'18_Календарь_тарифы'!W4</f>
        <v/>
      </c>
      <c r="X40" s="185">
        <f>'01_Вводные'!$B$110*'18_Календарь_тарифы'!X4</f>
        <v/>
      </c>
      <c r="Y40" s="185">
        <f>'01_Вводные'!$B$110*'18_Календарь_тарифы'!Y4</f>
        <v/>
      </c>
      <c r="Z40" s="185">
        <f>'01_Вводные'!$B$110*'18_Календарь_тарифы'!Z4</f>
        <v/>
      </c>
      <c r="AA40" s="185">
        <f>'01_Вводные'!$B$110*'18_Календарь_тарифы'!AA4</f>
        <v/>
      </c>
      <c r="AB40" s="185">
        <f>'01_Вводные'!$B$110*'18_Календарь_тарифы'!AB4</f>
        <v/>
      </c>
      <c r="AC40" s="185">
        <f>'01_Вводные'!$B$110*'18_Календарь_тарифы'!AC4</f>
        <v/>
      </c>
      <c r="AD40" s="185">
        <f>'01_Вводные'!$B$110*'18_Календарь_тарифы'!AD4</f>
        <v/>
      </c>
      <c r="AE40" s="185">
        <f>'01_Вводные'!$B$110*'18_Календарь_тарифы'!AE4</f>
        <v/>
      </c>
      <c r="AF40" s="185">
        <f>'01_Вводные'!$B$110*'18_Календарь_тарифы'!AF4</f>
        <v/>
      </c>
      <c r="AG40" s="185">
        <f>'01_Вводные'!$B$110*'18_Календарь_тарифы'!AG4</f>
        <v/>
      </c>
      <c r="AH40" s="185">
        <f>'01_Вводные'!$B$110*'18_Календарь_тарифы'!AH4</f>
        <v/>
      </c>
      <c r="AI40" s="185">
        <f>'01_Вводные'!$B$110*'18_Календарь_тарифы'!AI4</f>
        <v/>
      </c>
      <c r="AJ40" s="185">
        <f>'01_Вводные'!$B$110*'18_Календарь_тарифы'!AJ4</f>
        <v/>
      </c>
      <c r="AK40" s="185">
        <f>'01_Вводные'!$B$110*'18_Календарь_тарифы'!AK4</f>
        <v/>
      </c>
      <c r="AL40" s="185">
        <f>'01_Вводные'!$B$110*'18_Календарь_тарифы'!AL4</f>
        <v/>
      </c>
      <c r="AM40" s="185">
        <f>'01_Вводные'!$B$110*'18_Календарь_тарифы'!AM4</f>
        <v/>
      </c>
      <c r="AN40" s="185">
        <f>'01_Вводные'!$B$110*'18_Календарь_тарифы'!AN4</f>
        <v/>
      </c>
      <c r="AO40" s="185">
        <f>'01_Вводные'!$B$110*'18_Календарь_тарифы'!AO4</f>
        <v/>
      </c>
      <c r="AP40" s="185">
        <f>'01_Вводные'!$B$110*'18_Календарь_тарифы'!AP4</f>
        <v/>
      </c>
      <c r="AQ40" s="185">
        <f>'01_Вводные'!$B$110*'18_Календарь_тарифы'!AQ4</f>
        <v/>
      </c>
      <c r="AR40" s="185">
        <f>'01_Вводные'!$B$110*'18_Календарь_тарифы'!AR4</f>
        <v/>
      </c>
      <c r="AS40" s="185">
        <f>'01_Вводные'!$B$110*'18_Календарь_тарифы'!AS4</f>
        <v/>
      </c>
      <c r="AT40" s="185">
        <f>'01_Вводные'!$B$110*'18_Календарь_тарифы'!AT4</f>
        <v/>
      </c>
      <c r="AU40" s="185">
        <f>'01_Вводные'!$B$110*'18_Календарь_тарифы'!AU4</f>
        <v/>
      </c>
      <c r="AV40" s="185">
        <f>'01_Вводные'!$B$110*'18_Календарь_тарифы'!AV4</f>
        <v/>
      </c>
      <c r="AW40" s="185">
        <f>'01_Вводные'!$B$110*'18_Календарь_тарифы'!AW4</f>
        <v/>
      </c>
      <c r="AX40" s="185">
        <f>'01_Вводные'!$B$110*'18_Календарь_тарифы'!AX4</f>
        <v/>
      </c>
      <c r="AY40" s="185">
        <f>'01_Вводные'!$B$110*'18_Календарь_тарифы'!AY4</f>
        <v/>
      </c>
      <c r="AZ40" s="185">
        <f>'01_Вводные'!$B$110*'18_Календарь_тарифы'!AZ4</f>
        <v/>
      </c>
      <c r="BA40" s="185">
        <f>'01_Вводные'!$B$110*'18_Календарь_тарифы'!BA4</f>
        <v/>
      </c>
      <c r="BB40" s="185">
        <f>'01_Вводные'!$B$110*'18_Календарь_тарифы'!BB4</f>
        <v/>
      </c>
      <c r="BC40" s="185">
        <f>'01_Вводные'!$B$110*'18_Календарь_тарифы'!BC4</f>
        <v/>
      </c>
      <c r="BD40" s="185">
        <f>'01_Вводные'!$B$110*'18_Календарь_тарифы'!BD4</f>
        <v/>
      </c>
      <c r="BE40" s="185">
        <f>'01_Вводные'!$B$110*'18_Календарь_тарифы'!BE4</f>
        <v/>
      </c>
      <c r="BF40" s="185">
        <f>'01_Вводные'!$B$110*'18_Календарь_тарифы'!BF4</f>
        <v/>
      </c>
      <c r="BG40" s="185">
        <f>'01_Вводные'!$B$110*'18_Календарь_тарифы'!BG4</f>
        <v/>
      </c>
      <c r="BH40" s="185">
        <f>'01_Вводные'!$B$110*'18_Календарь_тарифы'!BH4</f>
        <v/>
      </c>
      <c r="BI40" s="185">
        <f>'01_Вводные'!$B$110*'18_Календарь_тарифы'!BI4</f>
        <v/>
      </c>
    </row>
    <row r="41">
      <c r="A41" s="2" t="inlineStr">
        <is>
          <t>SMM / подрядчики</t>
        </is>
      </c>
      <c r="B41" s="185">
        <f>'18_Календарь_тарифы'!B13</f>
        <v/>
      </c>
      <c r="C41" s="185">
        <f>'18_Календарь_тарифы'!C13</f>
        <v/>
      </c>
      <c r="D41" s="185">
        <f>'18_Календарь_тарифы'!D13</f>
        <v/>
      </c>
      <c r="E41" s="185">
        <f>'18_Календарь_тарифы'!E13</f>
        <v/>
      </c>
      <c r="F41" s="185">
        <f>'18_Календарь_тарифы'!F13</f>
        <v/>
      </c>
      <c r="G41" s="185">
        <f>'18_Календарь_тарифы'!G13</f>
        <v/>
      </c>
      <c r="H41" s="185">
        <f>'18_Календарь_тарифы'!H13</f>
        <v/>
      </c>
      <c r="I41" s="185">
        <f>'18_Календарь_тарифы'!I13</f>
        <v/>
      </c>
      <c r="J41" s="185">
        <f>'18_Календарь_тарифы'!J13</f>
        <v/>
      </c>
      <c r="K41" s="185">
        <f>'18_Календарь_тарифы'!K13</f>
        <v/>
      </c>
      <c r="L41" s="185">
        <f>'18_Календарь_тарифы'!L13</f>
        <v/>
      </c>
      <c r="M41" s="185">
        <f>'18_Календарь_тарифы'!M13</f>
        <v/>
      </c>
      <c r="N41" s="185">
        <f>'18_Календарь_тарифы'!N13</f>
        <v/>
      </c>
      <c r="O41" s="185">
        <f>'18_Календарь_тарифы'!O13</f>
        <v/>
      </c>
      <c r="P41" s="185">
        <f>'18_Календарь_тарифы'!P13</f>
        <v/>
      </c>
      <c r="Q41" s="185">
        <f>'18_Календарь_тарифы'!Q13</f>
        <v/>
      </c>
      <c r="R41" s="185">
        <f>'18_Календарь_тарифы'!R13</f>
        <v/>
      </c>
      <c r="S41" s="185">
        <f>'18_Календарь_тарифы'!S13</f>
        <v/>
      </c>
      <c r="T41" s="185">
        <f>'18_Календарь_тарифы'!T13</f>
        <v/>
      </c>
      <c r="U41" s="185">
        <f>'18_Календарь_тарифы'!U13</f>
        <v/>
      </c>
      <c r="V41" s="185">
        <f>'18_Календарь_тарифы'!V13</f>
        <v/>
      </c>
      <c r="W41" s="185">
        <f>'18_Календарь_тарифы'!W13</f>
        <v/>
      </c>
      <c r="X41" s="185">
        <f>'18_Календарь_тарифы'!X13</f>
        <v/>
      </c>
      <c r="Y41" s="185">
        <f>'18_Календарь_тарифы'!Y13</f>
        <v/>
      </c>
      <c r="Z41" s="185">
        <f>'18_Календарь_тарифы'!Z13</f>
        <v/>
      </c>
      <c r="AA41" s="185">
        <f>'18_Календарь_тарифы'!AA13</f>
        <v/>
      </c>
      <c r="AB41" s="185">
        <f>'18_Календарь_тарифы'!AB13</f>
        <v/>
      </c>
      <c r="AC41" s="185">
        <f>'18_Календарь_тарифы'!AC13</f>
        <v/>
      </c>
      <c r="AD41" s="185">
        <f>'18_Календарь_тарифы'!AD13</f>
        <v/>
      </c>
      <c r="AE41" s="185">
        <f>'18_Календарь_тарифы'!AE13</f>
        <v/>
      </c>
      <c r="AF41" s="185">
        <f>'18_Календарь_тарифы'!AF13</f>
        <v/>
      </c>
      <c r="AG41" s="185">
        <f>'18_Календарь_тарифы'!AG13</f>
        <v/>
      </c>
      <c r="AH41" s="185">
        <f>'18_Календарь_тарифы'!AH13</f>
        <v/>
      </c>
      <c r="AI41" s="185">
        <f>'18_Календарь_тарифы'!AI13</f>
        <v/>
      </c>
      <c r="AJ41" s="185">
        <f>'18_Календарь_тарифы'!AJ13</f>
        <v/>
      </c>
      <c r="AK41" s="185">
        <f>'18_Календарь_тарифы'!AK13</f>
        <v/>
      </c>
      <c r="AL41" s="185">
        <f>'18_Календарь_тарифы'!AL13</f>
        <v/>
      </c>
      <c r="AM41" s="185">
        <f>'18_Календарь_тарифы'!AM13</f>
        <v/>
      </c>
      <c r="AN41" s="185">
        <f>'18_Календарь_тарифы'!AN13</f>
        <v/>
      </c>
      <c r="AO41" s="185">
        <f>'18_Календарь_тарифы'!AO13</f>
        <v/>
      </c>
      <c r="AP41" s="185">
        <f>'18_Календарь_тарифы'!AP13</f>
        <v/>
      </c>
      <c r="AQ41" s="185">
        <f>'18_Календарь_тарифы'!AQ13</f>
        <v/>
      </c>
      <c r="AR41" s="185">
        <f>'18_Календарь_тарифы'!AR13</f>
        <v/>
      </c>
      <c r="AS41" s="185">
        <f>'18_Календарь_тарифы'!AS13</f>
        <v/>
      </c>
      <c r="AT41" s="185">
        <f>'18_Календарь_тарифы'!AT13</f>
        <v/>
      </c>
      <c r="AU41" s="185">
        <f>'18_Календарь_тарифы'!AU13</f>
        <v/>
      </c>
      <c r="AV41" s="185">
        <f>'18_Календарь_тарифы'!AV13</f>
        <v/>
      </c>
      <c r="AW41" s="185">
        <f>'18_Календарь_тарифы'!AW13</f>
        <v/>
      </c>
      <c r="AX41" s="185">
        <f>'18_Календарь_тарифы'!AX13</f>
        <v/>
      </c>
      <c r="AY41" s="185">
        <f>'18_Календарь_тарифы'!AY13</f>
        <v/>
      </c>
      <c r="AZ41" s="185">
        <f>'18_Календарь_тарифы'!AZ13</f>
        <v/>
      </c>
      <c r="BA41" s="185">
        <f>'18_Календарь_тарифы'!BA13</f>
        <v/>
      </c>
      <c r="BB41" s="185">
        <f>'18_Календарь_тарифы'!BB13</f>
        <v/>
      </c>
      <c r="BC41" s="185">
        <f>'18_Календарь_тарифы'!BC13</f>
        <v/>
      </c>
      <c r="BD41" s="185">
        <f>'18_Календарь_тарифы'!BD13</f>
        <v/>
      </c>
      <c r="BE41" s="185">
        <f>'18_Календарь_тарифы'!BE13</f>
        <v/>
      </c>
      <c r="BF41" s="185">
        <f>'18_Календарь_тарифы'!BF13</f>
        <v/>
      </c>
      <c r="BG41" s="185">
        <f>'18_Календарь_тарифы'!BG13</f>
        <v/>
      </c>
      <c r="BH41" s="185">
        <f>'18_Календарь_тарифы'!BH13</f>
        <v/>
      </c>
      <c r="BI41" s="185">
        <f>'18_Календарь_тарифы'!BI13</f>
        <v/>
      </c>
    </row>
    <row r="42">
      <c r="A42" s="2" t="inlineStr">
        <is>
          <t>Маркетинг привлечения франшиз</t>
        </is>
      </c>
      <c r="B42" s="40">
        <f>'04_Продажи'!B23</f>
        <v/>
      </c>
      <c r="C42" s="40">
        <f>'04_Продажи'!C23</f>
        <v/>
      </c>
      <c r="D42" s="40">
        <f>'04_Продажи'!D23</f>
        <v/>
      </c>
      <c r="E42" s="40">
        <f>'04_Продажи'!E23</f>
        <v/>
      </c>
      <c r="F42" s="40">
        <f>'04_Продажи'!F23</f>
        <v/>
      </c>
      <c r="G42" s="40">
        <f>'04_Продажи'!G23</f>
        <v/>
      </c>
      <c r="H42" s="40">
        <f>'04_Продажи'!H23</f>
        <v/>
      </c>
      <c r="I42" s="40">
        <f>'04_Продажи'!I23</f>
        <v/>
      </c>
      <c r="J42" s="40">
        <f>'04_Продажи'!J23</f>
        <v/>
      </c>
      <c r="K42" s="40">
        <f>'04_Продажи'!K23</f>
        <v/>
      </c>
      <c r="L42" s="40">
        <f>'04_Продажи'!L23</f>
        <v/>
      </c>
      <c r="M42" s="40">
        <f>'04_Продажи'!M23</f>
        <v/>
      </c>
      <c r="N42" s="40">
        <f>'04_Продажи'!N23</f>
        <v/>
      </c>
      <c r="O42" s="40">
        <f>'04_Продажи'!O23</f>
        <v/>
      </c>
      <c r="P42" s="40">
        <f>'04_Продажи'!P23</f>
        <v/>
      </c>
      <c r="Q42" s="40">
        <f>'04_Продажи'!Q23</f>
        <v/>
      </c>
      <c r="R42" s="40">
        <f>'04_Продажи'!R23</f>
        <v/>
      </c>
      <c r="S42" s="40">
        <f>'04_Продажи'!S23</f>
        <v/>
      </c>
      <c r="T42" s="40">
        <f>'04_Продажи'!T23</f>
        <v/>
      </c>
      <c r="U42" s="40">
        <f>'04_Продажи'!U23</f>
        <v/>
      </c>
      <c r="V42" s="40">
        <f>'04_Продажи'!V23</f>
        <v/>
      </c>
      <c r="W42" s="40">
        <f>'04_Продажи'!W23</f>
        <v/>
      </c>
      <c r="X42" s="40">
        <f>'04_Продажи'!X23</f>
        <v/>
      </c>
      <c r="Y42" s="40">
        <f>'04_Продажи'!Y23</f>
        <v/>
      </c>
      <c r="Z42" s="40">
        <f>'04_Продажи'!Z23</f>
        <v/>
      </c>
      <c r="AA42" s="40">
        <f>'04_Продажи'!AA23</f>
        <v/>
      </c>
      <c r="AB42" s="40">
        <f>'04_Продажи'!AB23</f>
        <v/>
      </c>
      <c r="AC42" s="40">
        <f>'04_Продажи'!AC23</f>
        <v/>
      </c>
      <c r="AD42" s="40">
        <f>'04_Продажи'!AD23</f>
        <v/>
      </c>
      <c r="AE42" s="40">
        <f>'04_Продажи'!AE23</f>
        <v/>
      </c>
      <c r="AF42" s="40">
        <f>'04_Продажи'!AF23</f>
        <v/>
      </c>
      <c r="AG42" s="40">
        <f>'04_Продажи'!AG23</f>
        <v/>
      </c>
      <c r="AH42" s="40">
        <f>'04_Продажи'!AH23</f>
        <v/>
      </c>
      <c r="AI42" s="40">
        <f>'04_Продажи'!AI23</f>
        <v/>
      </c>
      <c r="AJ42" s="40">
        <f>'04_Продажи'!AJ23</f>
        <v/>
      </c>
      <c r="AK42" s="40">
        <f>'04_Продажи'!AK23</f>
        <v/>
      </c>
      <c r="AL42" s="40">
        <f>'04_Продажи'!AL23</f>
        <v/>
      </c>
      <c r="AM42" s="40">
        <f>'04_Продажи'!AM23</f>
        <v/>
      </c>
      <c r="AN42" s="40">
        <f>'04_Продажи'!AN23</f>
        <v/>
      </c>
      <c r="AO42" s="40">
        <f>'04_Продажи'!AO23</f>
        <v/>
      </c>
      <c r="AP42" s="40">
        <f>'04_Продажи'!AP23</f>
        <v/>
      </c>
      <c r="AQ42" s="40">
        <f>'04_Продажи'!AQ23</f>
        <v/>
      </c>
      <c r="AR42" s="40">
        <f>'04_Продажи'!AR23</f>
        <v/>
      </c>
      <c r="AS42" s="40">
        <f>'04_Продажи'!AS23</f>
        <v/>
      </c>
      <c r="AT42" s="40">
        <f>'04_Продажи'!AT23</f>
        <v/>
      </c>
      <c r="AU42" s="40">
        <f>'04_Продажи'!AU23</f>
        <v/>
      </c>
      <c r="AV42" s="40">
        <f>'04_Продажи'!AV23</f>
        <v/>
      </c>
      <c r="AW42" s="40">
        <f>'04_Продажи'!AW23</f>
        <v/>
      </c>
      <c r="AX42" s="40">
        <f>'04_Продажи'!AX23</f>
        <v/>
      </c>
      <c r="AY42" s="40">
        <f>'04_Продажи'!AY23</f>
        <v/>
      </c>
      <c r="AZ42" s="40">
        <f>'04_Продажи'!AZ23</f>
        <v/>
      </c>
      <c r="BA42" s="40">
        <f>'04_Продажи'!BA23</f>
        <v/>
      </c>
      <c r="BB42" s="40">
        <f>'04_Продажи'!BB23</f>
        <v/>
      </c>
      <c r="BC42" s="40">
        <f>'04_Продажи'!BC23</f>
        <v/>
      </c>
      <c r="BD42" s="40">
        <f>'04_Продажи'!BD23</f>
        <v/>
      </c>
      <c r="BE42" s="40">
        <f>'04_Продажи'!BE23</f>
        <v/>
      </c>
      <c r="BF42" s="40">
        <f>'04_Продажи'!BF23</f>
        <v/>
      </c>
      <c r="BG42" s="40">
        <f>'04_Продажи'!BG23</f>
        <v/>
      </c>
      <c r="BH42" s="40">
        <f>'04_Продажи'!BH23</f>
        <v/>
      </c>
      <c r="BI42" s="40">
        <f>'04_Продажи'!BI23</f>
        <v/>
      </c>
    </row>
    <row r="43">
      <c r="A43" s="10" t="inlineStr">
        <is>
          <t>OPEX — всего</t>
        </is>
      </c>
      <c r="B43" s="43">
        <f>SUM(B36:B42)</f>
        <v/>
      </c>
      <c r="C43" s="43">
        <f>SUM(C36:C42)</f>
        <v/>
      </c>
      <c r="D43" s="43">
        <f>SUM(D36:D42)</f>
        <v/>
      </c>
      <c r="E43" s="43">
        <f>SUM(E36:E42)</f>
        <v/>
      </c>
      <c r="F43" s="43">
        <f>SUM(F36:F42)</f>
        <v/>
      </c>
      <c r="G43" s="43">
        <f>SUM(G36:G42)</f>
        <v/>
      </c>
      <c r="H43" s="43">
        <f>SUM(H36:H42)</f>
        <v/>
      </c>
      <c r="I43" s="43">
        <f>SUM(I36:I42)</f>
        <v/>
      </c>
      <c r="J43" s="43">
        <f>SUM(J36:J42)</f>
        <v/>
      </c>
      <c r="K43" s="43">
        <f>SUM(K36:K42)</f>
        <v/>
      </c>
      <c r="L43" s="43">
        <f>SUM(L36:L42)</f>
        <v/>
      </c>
      <c r="M43" s="43">
        <f>SUM(M36:M42)</f>
        <v/>
      </c>
      <c r="N43" s="43">
        <f>SUM(N36:N42)</f>
        <v/>
      </c>
      <c r="O43" s="43">
        <f>SUM(O36:O42)</f>
        <v/>
      </c>
      <c r="P43" s="43">
        <f>SUM(P36:P42)</f>
        <v/>
      </c>
      <c r="Q43" s="43">
        <f>SUM(Q36:Q42)</f>
        <v/>
      </c>
      <c r="R43" s="43">
        <f>SUM(R36:R42)</f>
        <v/>
      </c>
      <c r="S43" s="43">
        <f>SUM(S36:S42)</f>
        <v/>
      </c>
      <c r="T43" s="43">
        <f>SUM(T36:T42)</f>
        <v/>
      </c>
      <c r="U43" s="43">
        <f>SUM(U36:U42)</f>
        <v/>
      </c>
      <c r="V43" s="43">
        <f>SUM(V36:V42)</f>
        <v/>
      </c>
      <c r="W43" s="43">
        <f>SUM(W36:W42)</f>
        <v/>
      </c>
      <c r="X43" s="43">
        <f>SUM(X36:X42)</f>
        <v/>
      </c>
      <c r="Y43" s="43">
        <f>SUM(Y36:Y42)</f>
        <v/>
      </c>
      <c r="Z43" s="43">
        <f>SUM(Z36:Z42)</f>
        <v/>
      </c>
      <c r="AA43" s="43">
        <f>SUM(AA36:AA42)</f>
        <v/>
      </c>
      <c r="AB43" s="43">
        <f>SUM(AB36:AB42)</f>
        <v/>
      </c>
      <c r="AC43" s="43">
        <f>SUM(AC36:AC42)</f>
        <v/>
      </c>
      <c r="AD43" s="43">
        <f>SUM(AD36:AD42)</f>
        <v/>
      </c>
      <c r="AE43" s="43">
        <f>SUM(AE36:AE42)</f>
        <v/>
      </c>
      <c r="AF43" s="43">
        <f>SUM(AF36:AF42)</f>
        <v/>
      </c>
      <c r="AG43" s="43">
        <f>SUM(AG36:AG42)</f>
        <v/>
      </c>
      <c r="AH43" s="43">
        <f>SUM(AH36:AH42)</f>
        <v/>
      </c>
      <c r="AI43" s="43">
        <f>SUM(AI36:AI42)</f>
        <v/>
      </c>
      <c r="AJ43" s="43">
        <f>SUM(AJ36:AJ42)</f>
        <v/>
      </c>
      <c r="AK43" s="43">
        <f>SUM(AK36:AK42)</f>
        <v/>
      </c>
      <c r="AL43" s="43">
        <f>SUM(AL36:AL42)</f>
        <v/>
      </c>
      <c r="AM43" s="43">
        <f>SUM(AM36:AM42)</f>
        <v/>
      </c>
      <c r="AN43" s="43">
        <f>SUM(AN36:AN42)</f>
        <v/>
      </c>
      <c r="AO43" s="43">
        <f>SUM(AO36:AO42)</f>
        <v/>
      </c>
      <c r="AP43" s="43">
        <f>SUM(AP36:AP42)</f>
        <v/>
      </c>
      <c r="AQ43" s="43">
        <f>SUM(AQ36:AQ42)</f>
        <v/>
      </c>
      <c r="AR43" s="43">
        <f>SUM(AR36:AR42)</f>
        <v/>
      </c>
      <c r="AS43" s="43">
        <f>SUM(AS36:AS42)</f>
        <v/>
      </c>
      <c r="AT43" s="43">
        <f>SUM(AT36:AT42)</f>
        <v/>
      </c>
      <c r="AU43" s="43">
        <f>SUM(AU36:AU42)</f>
        <v/>
      </c>
      <c r="AV43" s="43">
        <f>SUM(AV36:AV42)</f>
        <v/>
      </c>
      <c r="AW43" s="43">
        <f>SUM(AW36:AW42)</f>
        <v/>
      </c>
      <c r="AX43" s="43">
        <f>SUM(AX36:AX42)</f>
        <v/>
      </c>
      <c r="AY43" s="43">
        <f>SUM(AY36:AY42)</f>
        <v/>
      </c>
      <c r="AZ43" s="43">
        <f>SUM(AZ36:AZ42)</f>
        <v/>
      </c>
      <c r="BA43" s="43">
        <f>SUM(BA36:BA42)</f>
        <v/>
      </c>
      <c r="BB43" s="43">
        <f>SUM(BB36:BB42)</f>
        <v/>
      </c>
      <c r="BC43" s="43">
        <f>SUM(BC36:BC42)</f>
        <v/>
      </c>
      <c r="BD43" s="43">
        <f>SUM(BD36:BD42)</f>
        <v/>
      </c>
      <c r="BE43" s="43">
        <f>SUM(BE36:BE42)</f>
        <v/>
      </c>
      <c r="BF43" s="43">
        <f>SUM(BF36:BF42)</f>
        <v/>
      </c>
      <c r="BG43" s="43">
        <f>SUM(BG36:BG42)</f>
        <v/>
      </c>
      <c r="BH43" s="43">
        <f>SUM(BH36:BH42)</f>
        <v/>
      </c>
      <c r="BI43" s="43">
        <f>SUM(BI36:BI42)</f>
        <v/>
      </c>
    </row>
    <row r="44">
      <c r="A44" s="10" t="inlineStr">
        <is>
          <t>EBITDA</t>
        </is>
      </c>
      <c r="B44" s="43">
        <f>B33-B43</f>
        <v/>
      </c>
      <c r="C44" s="43">
        <f>C33-C43</f>
        <v/>
      </c>
      <c r="D44" s="43">
        <f>D33-D43</f>
        <v/>
      </c>
      <c r="E44" s="43">
        <f>E33-E43</f>
        <v/>
      </c>
      <c r="F44" s="43">
        <f>F33-F43</f>
        <v/>
      </c>
      <c r="G44" s="43">
        <f>G33-G43</f>
        <v/>
      </c>
      <c r="H44" s="43">
        <f>H33-H43</f>
        <v/>
      </c>
      <c r="I44" s="43">
        <f>I33-I43</f>
        <v/>
      </c>
      <c r="J44" s="43">
        <f>J33-J43</f>
        <v/>
      </c>
      <c r="K44" s="43">
        <f>K33-K43</f>
        <v/>
      </c>
      <c r="L44" s="43">
        <f>L33-L43</f>
        <v/>
      </c>
      <c r="M44" s="43">
        <f>M33-M43</f>
        <v/>
      </c>
      <c r="N44" s="43">
        <f>N33-N43</f>
        <v/>
      </c>
      <c r="O44" s="43">
        <f>O33-O43</f>
        <v/>
      </c>
      <c r="P44" s="43">
        <f>P33-P43</f>
        <v/>
      </c>
      <c r="Q44" s="43">
        <f>Q33-Q43</f>
        <v/>
      </c>
      <c r="R44" s="43">
        <f>R33-R43</f>
        <v/>
      </c>
      <c r="S44" s="43">
        <f>S33-S43</f>
        <v/>
      </c>
      <c r="T44" s="43">
        <f>T33-T43</f>
        <v/>
      </c>
      <c r="U44" s="43">
        <f>U33-U43</f>
        <v/>
      </c>
      <c r="V44" s="43">
        <f>V33-V43</f>
        <v/>
      </c>
      <c r="W44" s="43">
        <f>W33-W43</f>
        <v/>
      </c>
      <c r="X44" s="43">
        <f>X33-X43</f>
        <v/>
      </c>
      <c r="Y44" s="43">
        <f>Y33-Y43</f>
        <v/>
      </c>
      <c r="Z44" s="43">
        <f>Z33-Z43</f>
        <v/>
      </c>
      <c r="AA44" s="43">
        <f>AA33-AA43</f>
        <v/>
      </c>
      <c r="AB44" s="43">
        <f>AB33-AB43</f>
        <v/>
      </c>
      <c r="AC44" s="43">
        <f>AC33-AC43</f>
        <v/>
      </c>
      <c r="AD44" s="43">
        <f>AD33-AD43</f>
        <v/>
      </c>
      <c r="AE44" s="43">
        <f>AE33-AE43</f>
        <v/>
      </c>
      <c r="AF44" s="43">
        <f>AF33-AF43</f>
        <v/>
      </c>
      <c r="AG44" s="43">
        <f>AG33-AG43</f>
        <v/>
      </c>
      <c r="AH44" s="43">
        <f>AH33-AH43</f>
        <v/>
      </c>
      <c r="AI44" s="43">
        <f>AI33-AI43</f>
        <v/>
      </c>
      <c r="AJ44" s="43">
        <f>AJ33-AJ43</f>
        <v/>
      </c>
      <c r="AK44" s="43">
        <f>AK33-AK43</f>
        <v/>
      </c>
      <c r="AL44" s="43">
        <f>AL33-AL43</f>
        <v/>
      </c>
      <c r="AM44" s="43">
        <f>AM33-AM43</f>
        <v/>
      </c>
      <c r="AN44" s="43">
        <f>AN33-AN43</f>
        <v/>
      </c>
      <c r="AO44" s="43">
        <f>AO33-AO43</f>
        <v/>
      </c>
      <c r="AP44" s="43">
        <f>AP33-AP43</f>
        <v/>
      </c>
      <c r="AQ44" s="43">
        <f>AQ33-AQ43</f>
        <v/>
      </c>
      <c r="AR44" s="43">
        <f>AR33-AR43</f>
        <v/>
      </c>
      <c r="AS44" s="43">
        <f>AS33-AS43</f>
        <v/>
      </c>
      <c r="AT44" s="43">
        <f>AT33-AT43</f>
        <v/>
      </c>
      <c r="AU44" s="43">
        <f>AU33-AU43</f>
        <v/>
      </c>
      <c r="AV44" s="43">
        <f>AV33-AV43</f>
        <v/>
      </c>
      <c r="AW44" s="43">
        <f>AW33-AW43</f>
        <v/>
      </c>
      <c r="AX44" s="43">
        <f>AX33-AX43</f>
        <v/>
      </c>
      <c r="AY44" s="43">
        <f>AY33-AY43</f>
        <v/>
      </c>
      <c r="AZ44" s="43">
        <f>AZ33-AZ43</f>
        <v/>
      </c>
      <c r="BA44" s="43">
        <f>BA33-BA43</f>
        <v/>
      </c>
      <c r="BB44" s="43">
        <f>BB33-BB43</f>
        <v/>
      </c>
      <c r="BC44" s="43">
        <f>BC33-BC43</f>
        <v/>
      </c>
      <c r="BD44" s="43">
        <f>BD33-BD43</f>
        <v/>
      </c>
      <c r="BE44" s="43">
        <f>BE33-BE43</f>
        <v/>
      </c>
      <c r="BF44" s="43">
        <f>BF33-BF43</f>
        <v/>
      </c>
      <c r="BG44" s="43">
        <f>BG33-BG43</f>
        <v/>
      </c>
      <c r="BH44" s="43">
        <f>BH33-BH43</f>
        <v/>
      </c>
      <c r="BI44" s="43">
        <f>BI33-BI43</f>
        <v/>
      </c>
    </row>
    <row r="45">
      <c r="A45" s="2" t="inlineStr">
        <is>
          <t>EBITDA margin</t>
        </is>
      </c>
      <c r="B45" s="45">
        <f>IF(B23=0,0,B44/B23)</f>
        <v/>
      </c>
      <c r="C45" s="45">
        <f>IF(C23=0,0,C44/C23)</f>
        <v/>
      </c>
      <c r="D45" s="45">
        <f>IF(D23=0,0,D44/D23)</f>
        <v/>
      </c>
      <c r="E45" s="45">
        <f>IF(E23=0,0,E44/E23)</f>
        <v/>
      </c>
      <c r="F45" s="45">
        <f>IF(F23=0,0,F44/F23)</f>
        <v/>
      </c>
      <c r="G45" s="45">
        <f>IF(G23=0,0,G44/G23)</f>
        <v/>
      </c>
      <c r="H45" s="45">
        <f>IF(H23=0,0,H44/H23)</f>
        <v/>
      </c>
      <c r="I45" s="45">
        <f>IF(I23=0,0,I44/I23)</f>
        <v/>
      </c>
      <c r="J45" s="45">
        <f>IF(J23=0,0,J44/J23)</f>
        <v/>
      </c>
      <c r="K45" s="45">
        <f>IF(K23=0,0,K44/K23)</f>
        <v/>
      </c>
      <c r="L45" s="45">
        <f>IF(L23=0,0,L44/L23)</f>
        <v/>
      </c>
      <c r="M45" s="45">
        <f>IF(M23=0,0,M44/M23)</f>
        <v/>
      </c>
      <c r="N45" s="45">
        <f>IF(N23=0,0,N44/N23)</f>
        <v/>
      </c>
      <c r="O45" s="45">
        <f>IF(O23=0,0,O44/O23)</f>
        <v/>
      </c>
      <c r="P45" s="45">
        <f>IF(P23=0,0,P44/P23)</f>
        <v/>
      </c>
      <c r="Q45" s="45">
        <f>IF(Q23=0,0,Q44/Q23)</f>
        <v/>
      </c>
      <c r="R45" s="45">
        <f>IF(R23=0,0,R44/R23)</f>
        <v/>
      </c>
      <c r="S45" s="45">
        <f>IF(S23=0,0,S44/S23)</f>
        <v/>
      </c>
      <c r="T45" s="45">
        <f>IF(T23=0,0,T44/T23)</f>
        <v/>
      </c>
      <c r="U45" s="45">
        <f>IF(U23=0,0,U44/U23)</f>
        <v/>
      </c>
      <c r="V45" s="45">
        <f>IF(V23=0,0,V44/V23)</f>
        <v/>
      </c>
      <c r="W45" s="45">
        <f>IF(W23=0,0,W44/W23)</f>
        <v/>
      </c>
      <c r="X45" s="45">
        <f>IF(X23=0,0,X44/X23)</f>
        <v/>
      </c>
      <c r="Y45" s="45">
        <f>IF(Y23=0,0,Y44/Y23)</f>
        <v/>
      </c>
      <c r="Z45" s="45">
        <f>IF(Z23=0,0,Z44/Z23)</f>
        <v/>
      </c>
      <c r="AA45" s="45">
        <f>IF(AA23=0,0,AA44/AA23)</f>
        <v/>
      </c>
      <c r="AB45" s="45">
        <f>IF(AB23=0,0,AB44/AB23)</f>
        <v/>
      </c>
      <c r="AC45" s="45">
        <f>IF(AC23=0,0,AC44/AC23)</f>
        <v/>
      </c>
      <c r="AD45" s="45">
        <f>IF(AD23=0,0,AD44/AD23)</f>
        <v/>
      </c>
      <c r="AE45" s="45">
        <f>IF(AE23=0,0,AE44/AE23)</f>
        <v/>
      </c>
      <c r="AF45" s="45">
        <f>IF(AF23=0,0,AF44/AF23)</f>
        <v/>
      </c>
      <c r="AG45" s="45">
        <f>IF(AG23=0,0,AG44/AG23)</f>
        <v/>
      </c>
      <c r="AH45" s="45">
        <f>IF(AH23=0,0,AH44/AH23)</f>
        <v/>
      </c>
      <c r="AI45" s="45">
        <f>IF(AI23=0,0,AI44/AI23)</f>
        <v/>
      </c>
      <c r="AJ45" s="45">
        <f>IF(AJ23=0,0,AJ44/AJ23)</f>
        <v/>
      </c>
      <c r="AK45" s="45">
        <f>IF(AK23=0,0,AK44/AK23)</f>
        <v/>
      </c>
      <c r="AL45" s="45">
        <f>IF(AL23=0,0,AL44/AL23)</f>
        <v/>
      </c>
      <c r="AM45" s="45">
        <f>IF(AM23=0,0,AM44/AM23)</f>
        <v/>
      </c>
      <c r="AN45" s="45">
        <f>IF(AN23=0,0,AN44/AN23)</f>
        <v/>
      </c>
      <c r="AO45" s="45">
        <f>IF(AO23=0,0,AO44/AO23)</f>
        <v/>
      </c>
      <c r="AP45" s="45">
        <f>IF(AP23=0,0,AP44/AP23)</f>
        <v/>
      </c>
      <c r="AQ45" s="45">
        <f>IF(AQ23=0,0,AQ44/AQ23)</f>
        <v/>
      </c>
      <c r="AR45" s="45">
        <f>IF(AR23=0,0,AR44/AR23)</f>
        <v/>
      </c>
      <c r="AS45" s="45">
        <f>IF(AS23=0,0,AS44/AS23)</f>
        <v/>
      </c>
      <c r="AT45" s="45">
        <f>IF(AT23=0,0,AT44/AT23)</f>
        <v/>
      </c>
      <c r="AU45" s="45">
        <f>IF(AU23=0,0,AU44/AU23)</f>
        <v/>
      </c>
      <c r="AV45" s="45">
        <f>IF(AV23=0,0,AV44/AV23)</f>
        <v/>
      </c>
      <c r="AW45" s="45">
        <f>IF(AW23=0,0,AW44/AW23)</f>
        <v/>
      </c>
      <c r="AX45" s="45">
        <f>IF(AX23=0,0,AX44/AX23)</f>
        <v/>
      </c>
      <c r="AY45" s="45">
        <f>IF(AY23=0,0,AY44/AY23)</f>
        <v/>
      </c>
      <c r="AZ45" s="45">
        <f>IF(AZ23=0,0,AZ44/AZ23)</f>
        <v/>
      </c>
      <c r="BA45" s="45">
        <f>IF(BA23=0,0,BA44/BA23)</f>
        <v/>
      </c>
      <c r="BB45" s="45">
        <f>IF(BB23=0,0,BB44/BB23)</f>
        <v/>
      </c>
      <c r="BC45" s="45">
        <f>IF(BC23=0,0,BC44/BC23)</f>
        <v/>
      </c>
      <c r="BD45" s="45">
        <f>IF(BD23=0,0,BD44/BD23)</f>
        <v/>
      </c>
      <c r="BE45" s="45">
        <f>IF(BE23=0,0,BE44/BE23)</f>
        <v/>
      </c>
      <c r="BF45" s="45">
        <f>IF(BF23=0,0,BF44/BF23)</f>
        <v/>
      </c>
      <c r="BG45" s="45">
        <f>IF(BG23=0,0,BG44/BG23)</f>
        <v/>
      </c>
      <c r="BH45" s="45">
        <f>IF(BH23=0,0,BH44/BH23)</f>
        <v/>
      </c>
      <c r="BI45" s="45">
        <f>IF(BI23=0,0,BI44/BI23)</f>
        <v/>
      </c>
    </row>
    <row r="46">
      <c r="A46" s="2" t="inlineStr">
        <is>
          <t>УСН / минимальный налог</t>
        </is>
      </c>
      <c r="B46" s="42">
        <f>MAX('01_Вводные'!$B$157*B23,'01_Вводные'!$B$156*MAX(0,B44))</f>
        <v/>
      </c>
      <c r="C46" s="42">
        <f>MAX('01_Вводные'!$B$157*C23,'01_Вводные'!$B$156*MAX(0,C44))</f>
        <v/>
      </c>
      <c r="D46" s="42">
        <f>MAX('01_Вводные'!$B$157*D23,'01_Вводные'!$B$156*MAX(0,D44))</f>
        <v/>
      </c>
      <c r="E46" s="42">
        <f>MAX('01_Вводные'!$B$157*E23,'01_Вводные'!$B$156*MAX(0,E44))</f>
        <v/>
      </c>
      <c r="F46" s="42">
        <f>MAX('01_Вводные'!$B$157*F23,'01_Вводные'!$B$156*MAX(0,F44))</f>
        <v/>
      </c>
      <c r="G46" s="42">
        <f>MAX('01_Вводные'!$B$157*G23,'01_Вводные'!$B$156*MAX(0,G44))</f>
        <v/>
      </c>
      <c r="H46" s="42">
        <f>MAX('01_Вводные'!$B$157*H23,'01_Вводные'!$B$156*MAX(0,H44))</f>
        <v/>
      </c>
      <c r="I46" s="42">
        <f>MAX('01_Вводные'!$B$157*I23,'01_Вводные'!$B$156*MAX(0,I44))</f>
        <v/>
      </c>
      <c r="J46" s="42">
        <f>MAX('01_Вводные'!$B$157*J23,'01_Вводные'!$B$156*MAX(0,J44))</f>
        <v/>
      </c>
      <c r="K46" s="42">
        <f>MAX('01_Вводные'!$B$157*K23,'01_Вводные'!$B$156*MAX(0,K44))</f>
        <v/>
      </c>
      <c r="L46" s="42">
        <f>MAX('01_Вводные'!$B$157*L23,'01_Вводные'!$B$156*MAX(0,L44))</f>
        <v/>
      </c>
      <c r="M46" s="42">
        <f>MAX('01_Вводные'!$B$157*M23,'01_Вводные'!$B$156*MAX(0,M44))</f>
        <v/>
      </c>
      <c r="N46" s="42">
        <f>MAX('01_Вводные'!$B$157*N23,'01_Вводные'!$B$156*MAX(0,N44))</f>
        <v/>
      </c>
      <c r="O46" s="42">
        <f>MAX('01_Вводные'!$B$157*O23,'01_Вводные'!$B$156*MAX(0,O44))</f>
        <v/>
      </c>
      <c r="P46" s="42">
        <f>MAX('01_Вводные'!$B$157*P23,'01_Вводные'!$B$156*MAX(0,P44))</f>
        <v/>
      </c>
      <c r="Q46" s="42">
        <f>MAX('01_Вводные'!$B$157*Q23,'01_Вводные'!$B$156*MAX(0,Q44))</f>
        <v/>
      </c>
      <c r="R46" s="42">
        <f>MAX('01_Вводные'!$B$157*R23,'01_Вводные'!$B$156*MAX(0,R44))</f>
        <v/>
      </c>
      <c r="S46" s="42">
        <f>MAX('01_Вводные'!$B$157*S23,'01_Вводные'!$B$156*MAX(0,S44))</f>
        <v/>
      </c>
      <c r="T46" s="42">
        <f>MAX('01_Вводные'!$B$157*T23,'01_Вводные'!$B$156*MAX(0,T44))</f>
        <v/>
      </c>
      <c r="U46" s="42">
        <f>MAX('01_Вводные'!$B$157*U23,'01_Вводные'!$B$156*MAX(0,U44))</f>
        <v/>
      </c>
      <c r="V46" s="42">
        <f>MAX('01_Вводные'!$B$157*V23,'01_Вводные'!$B$156*MAX(0,V44))</f>
        <v/>
      </c>
      <c r="W46" s="42">
        <f>MAX('01_Вводные'!$B$157*W23,'01_Вводные'!$B$156*MAX(0,W44))</f>
        <v/>
      </c>
      <c r="X46" s="42">
        <f>MAX('01_Вводные'!$B$157*X23,'01_Вводные'!$B$156*MAX(0,X44))</f>
        <v/>
      </c>
      <c r="Y46" s="42">
        <f>MAX('01_Вводные'!$B$157*Y23,'01_Вводные'!$B$156*MAX(0,Y44))</f>
        <v/>
      </c>
      <c r="Z46" s="42">
        <f>MAX('01_Вводные'!$B$157*Z23,'01_Вводные'!$B$156*MAX(0,Z44))</f>
        <v/>
      </c>
      <c r="AA46" s="42">
        <f>MAX('01_Вводные'!$B$157*AA23,'01_Вводные'!$B$156*MAX(0,AA44))</f>
        <v/>
      </c>
      <c r="AB46" s="42">
        <f>MAX('01_Вводные'!$B$157*AB23,'01_Вводные'!$B$156*MAX(0,AB44))</f>
        <v/>
      </c>
      <c r="AC46" s="42">
        <f>MAX('01_Вводные'!$B$157*AC23,'01_Вводные'!$B$156*MAX(0,AC44))</f>
        <v/>
      </c>
      <c r="AD46" s="42">
        <f>MAX('01_Вводные'!$B$157*AD23,'01_Вводные'!$B$156*MAX(0,AD44))</f>
        <v/>
      </c>
      <c r="AE46" s="42">
        <f>MAX('01_Вводные'!$B$157*AE23,'01_Вводные'!$B$156*MAX(0,AE44))</f>
        <v/>
      </c>
      <c r="AF46" s="42">
        <f>MAX('01_Вводные'!$B$157*AF23,'01_Вводные'!$B$156*MAX(0,AF44))</f>
        <v/>
      </c>
      <c r="AG46" s="42">
        <f>MAX('01_Вводные'!$B$157*AG23,'01_Вводные'!$B$156*MAX(0,AG44))</f>
        <v/>
      </c>
      <c r="AH46" s="42">
        <f>MAX('01_Вводные'!$B$157*AH23,'01_Вводные'!$B$156*MAX(0,AH44))</f>
        <v/>
      </c>
      <c r="AI46" s="42">
        <f>MAX('01_Вводные'!$B$157*AI23,'01_Вводные'!$B$156*MAX(0,AI44))</f>
        <v/>
      </c>
      <c r="AJ46" s="42">
        <f>MAX('01_Вводные'!$B$157*AJ23,'01_Вводные'!$B$156*MAX(0,AJ44))</f>
        <v/>
      </c>
      <c r="AK46" s="42">
        <f>MAX('01_Вводные'!$B$157*AK23,'01_Вводные'!$B$156*MAX(0,AK44))</f>
        <v/>
      </c>
      <c r="AL46" s="42">
        <f>MAX('01_Вводные'!$B$157*AL23,'01_Вводные'!$B$156*MAX(0,AL44))</f>
        <v/>
      </c>
      <c r="AM46" s="42">
        <f>MAX('01_Вводные'!$B$157*AM23,'01_Вводные'!$B$156*MAX(0,AM44))</f>
        <v/>
      </c>
      <c r="AN46" s="42">
        <f>MAX('01_Вводные'!$B$157*AN23,'01_Вводные'!$B$156*MAX(0,AN44))</f>
        <v/>
      </c>
      <c r="AO46" s="42">
        <f>MAX('01_Вводные'!$B$157*AO23,'01_Вводные'!$B$156*MAX(0,AO44))</f>
        <v/>
      </c>
      <c r="AP46" s="42">
        <f>MAX('01_Вводные'!$B$157*AP23,'01_Вводные'!$B$156*MAX(0,AP44))</f>
        <v/>
      </c>
      <c r="AQ46" s="42">
        <f>MAX('01_Вводные'!$B$157*AQ23,'01_Вводные'!$B$156*MAX(0,AQ44))</f>
        <v/>
      </c>
      <c r="AR46" s="42">
        <f>MAX('01_Вводные'!$B$157*AR23,'01_Вводные'!$B$156*MAX(0,AR44))</f>
        <v/>
      </c>
      <c r="AS46" s="42">
        <f>MAX('01_Вводные'!$B$157*AS23,'01_Вводные'!$B$156*MAX(0,AS44))</f>
        <v/>
      </c>
      <c r="AT46" s="42">
        <f>MAX('01_Вводные'!$B$157*AT23,'01_Вводные'!$B$156*MAX(0,AT44))</f>
        <v/>
      </c>
      <c r="AU46" s="42">
        <f>MAX('01_Вводные'!$B$157*AU23,'01_Вводные'!$B$156*MAX(0,AU44))</f>
        <v/>
      </c>
      <c r="AV46" s="42">
        <f>MAX('01_Вводные'!$B$157*AV23,'01_Вводные'!$B$156*MAX(0,AV44))</f>
        <v/>
      </c>
      <c r="AW46" s="42">
        <f>MAX('01_Вводные'!$B$157*AW23,'01_Вводные'!$B$156*MAX(0,AW44))</f>
        <v/>
      </c>
      <c r="AX46" s="42">
        <f>MAX('01_Вводные'!$B$157*AX23,'01_Вводные'!$B$156*MAX(0,AX44))</f>
        <v/>
      </c>
      <c r="AY46" s="42">
        <f>MAX('01_Вводные'!$B$157*AY23,'01_Вводные'!$B$156*MAX(0,AY44))</f>
        <v/>
      </c>
      <c r="AZ46" s="42">
        <f>MAX('01_Вводные'!$B$157*AZ23,'01_Вводные'!$B$156*MAX(0,AZ44))</f>
        <v/>
      </c>
      <c r="BA46" s="42">
        <f>MAX('01_Вводные'!$B$157*BA23,'01_Вводные'!$B$156*MAX(0,BA44))</f>
        <v/>
      </c>
      <c r="BB46" s="42">
        <f>MAX('01_Вводные'!$B$157*BB23,'01_Вводные'!$B$156*MAX(0,BB44))</f>
        <v/>
      </c>
      <c r="BC46" s="42">
        <f>MAX('01_Вводные'!$B$157*BC23,'01_Вводные'!$B$156*MAX(0,BC44))</f>
        <v/>
      </c>
      <c r="BD46" s="42">
        <f>MAX('01_Вводные'!$B$157*BD23,'01_Вводные'!$B$156*MAX(0,BD44))</f>
        <v/>
      </c>
      <c r="BE46" s="42">
        <f>MAX('01_Вводные'!$B$157*BE23,'01_Вводные'!$B$156*MAX(0,BE44))</f>
        <v/>
      </c>
      <c r="BF46" s="42">
        <f>MAX('01_Вводные'!$B$157*BF23,'01_Вводные'!$B$156*MAX(0,BF44))</f>
        <v/>
      </c>
      <c r="BG46" s="42">
        <f>MAX('01_Вводные'!$B$157*BG23,'01_Вводные'!$B$156*MAX(0,BG44))</f>
        <v/>
      </c>
      <c r="BH46" s="42">
        <f>MAX('01_Вводные'!$B$157*BH23,'01_Вводные'!$B$156*MAX(0,BH44))</f>
        <v/>
      </c>
      <c r="BI46" s="42">
        <f>MAX('01_Вводные'!$B$157*BI23,'01_Вводные'!$B$156*MAX(0,BI44))</f>
        <v/>
      </c>
    </row>
    <row r="47">
      <c r="A47" s="10" t="inlineStr">
        <is>
          <t>Прибыль после УСН</t>
        </is>
      </c>
      <c r="B47" s="43">
        <f>B44-B46</f>
        <v/>
      </c>
      <c r="C47" s="43">
        <f>C44-C46</f>
        <v/>
      </c>
      <c r="D47" s="43">
        <f>D44-D46</f>
        <v/>
      </c>
      <c r="E47" s="43">
        <f>E44-E46</f>
        <v/>
      </c>
      <c r="F47" s="43">
        <f>F44-F46</f>
        <v/>
      </c>
      <c r="G47" s="43">
        <f>G44-G46</f>
        <v/>
      </c>
      <c r="H47" s="43">
        <f>H44-H46</f>
        <v/>
      </c>
      <c r="I47" s="43">
        <f>I44-I46</f>
        <v/>
      </c>
      <c r="J47" s="43">
        <f>J44-J46</f>
        <v/>
      </c>
      <c r="K47" s="43">
        <f>K44-K46</f>
        <v/>
      </c>
      <c r="L47" s="43">
        <f>L44-L46</f>
        <v/>
      </c>
      <c r="M47" s="43">
        <f>M44-M46</f>
        <v/>
      </c>
      <c r="N47" s="43">
        <f>N44-N46</f>
        <v/>
      </c>
      <c r="O47" s="43">
        <f>O44-O46</f>
        <v/>
      </c>
      <c r="P47" s="43">
        <f>P44-P46</f>
        <v/>
      </c>
      <c r="Q47" s="43">
        <f>Q44-Q46</f>
        <v/>
      </c>
      <c r="R47" s="43">
        <f>R44-R46</f>
        <v/>
      </c>
      <c r="S47" s="43">
        <f>S44-S46</f>
        <v/>
      </c>
      <c r="T47" s="43">
        <f>T44-T46</f>
        <v/>
      </c>
      <c r="U47" s="43">
        <f>U44-U46</f>
        <v/>
      </c>
      <c r="V47" s="43">
        <f>V44-V46</f>
        <v/>
      </c>
      <c r="W47" s="43">
        <f>W44-W46</f>
        <v/>
      </c>
      <c r="X47" s="43">
        <f>X44-X46</f>
        <v/>
      </c>
      <c r="Y47" s="43">
        <f>Y44-Y46</f>
        <v/>
      </c>
      <c r="Z47" s="43">
        <f>Z44-Z46</f>
        <v/>
      </c>
      <c r="AA47" s="43">
        <f>AA44-AA46</f>
        <v/>
      </c>
      <c r="AB47" s="43">
        <f>AB44-AB46</f>
        <v/>
      </c>
      <c r="AC47" s="43">
        <f>AC44-AC46</f>
        <v/>
      </c>
      <c r="AD47" s="43">
        <f>AD44-AD46</f>
        <v/>
      </c>
      <c r="AE47" s="43">
        <f>AE44-AE46</f>
        <v/>
      </c>
      <c r="AF47" s="43">
        <f>AF44-AF46</f>
        <v/>
      </c>
      <c r="AG47" s="43">
        <f>AG44-AG46</f>
        <v/>
      </c>
      <c r="AH47" s="43">
        <f>AH44-AH46</f>
        <v/>
      </c>
      <c r="AI47" s="43">
        <f>AI44-AI46</f>
        <v/>
      </c>
      <c r="AJ47" s="43">
        <f>AJ44-AJ46</f>
        <v/>
      </c>
      <c r="AK47" s="43">
        <f>AK44-AK46</f>
        <v/>
      </c>
      <c r="AL47" s="43">
        <f>AL44-AL46</f>
        <v/>
      </c>
      <c r="AM47" s="43">
        <f>AM44-AM46</f>
        <v/>
      </c>
      <c r="AN47" s="43">
        <f>AN44-AN46</f>
        <v/>
      </c>
      <c r="AO47" s="43">
        <f>AO44-AO46</f>
        <v/>
      </c>
      <c r="AP47" s="43">
        <f>AP44-AP46</f>
        <v/>
      </c>
      <c r="AQ47" s="43">
        <f>AQ44-AQ46</f>
        <v/>
      </c>
      <c r="AR47" s="43">
        <f>AR44-AR46</f>
        <v/>
      </c>
      <c r="AS47" s="43">
        <f>AS44-AS46</f>
        <v/>
      </c>
      <c r="AT47" s="43">
        <f>AT44-AT46</f>
        <v/>
      </c>
      <c r="AU47" s="43">
        <f>AU44-AU46</f>
        <v/>
      </c>
      <c r="AV47" s="43">
        <f>AV44-AV46</f>
        <v/>
      </c>
      <c r="AW47" s="43">
        <f>AW44-AW46</f>
        <v/>
      </c>
      <c r="AX47" s="43">
        <f>AX44-AX46</f>
        <v/>
      </c>
      <c r="AY47" s="43">
        <f>AY44-AY46</f>
        <v/>
      </c>
      <c r="AZ47" s="43">
        <f>AZ44-AZ46</f>
        <v/>
      </c>
      <c r="BA47" s="43">
        <f>BA44-BA46</f>
        <v/>
      </c>
      <c r="BB47" s="43">
        <f>BB44-BB46</f>
        <v/>
      </c>
      <c r="BC47" s="43">
        <f>BC44-BC46</f>
        <v/>
      </c>
      <c r="BD47" s="43">
        <f>BD44-BD46</f>
        <v/>
      </c>
      <c r="BE47" s="43">
        <f>BE44-BE46</f>
        <v/>
      </c>
      <c r="BF47" s="43">
        <f>BF44-BF46</f>
        <v/>
      </c>
      <c r="BG47" s="43">
        <f>BG44-BG46</f>
        <v/>
      </c>
      <c r="BH47" s="43">
        <f>BH44-BH46</f>
        <v/>
      </c>
      <c r="BI47" s="43">
        <f>BI44-BI46</f>
        <v/>
      </c>
    </row>
    <row r="48">
      <c r="B48" s="73" t="n"/>
      <c r="C48" s="73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  <c r="AM48" s="73" t="n"/>
      <c r="AN48" s="73" t="n"/>
      <c r="AO48" s="73" t="n"/>
      <c r="AP48" s="73" t="n"/>
      <c r="AQ48" s="73" t="n"/>
      <c r="AR48" s="73" t="n"/>
      <c r="AS48" s="73" t="n"/>
      <c r="AT48" s="73" t="n"/>
      <c r="AU48" s="73" t="n"/>
      <c r="AV48" s="73" t="n"/>
      <c r="AW48" s="73" t="n"/>
      <c r="AX48" s="73" t="n"/>
      <c r="AY48" s="73" t="n"/>
      <c r="AZ48" s="73" t="n"/>
      <c r="BA48" s="73" t="n"/>
      <c r="BB48" s="73" t="n"/>
      <c r="BC48" s="73" t="n"/>
      <c r="BD48" s="73" t="n"/>
      <c r="BE48" s="73" t="n"/>
      <c r="BF48" s="73" t="n"/>
      <c r="BG48" s="73" t="n"/>
      <c r="BH48" s="73" t="n"/>
      <c r="BI48" s="73" t="n"/>
    </row>
    <row r="49">
      <c r="B49" s="73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3" t="n"/>
      <c r="AS49" s="73" t="n"/>
      <c r="AT49" s="73" t="n"/>
      <c r="AU49" s="73" t="n"/>
      <c r="AV49" s="73" t="n"/>
      <c r="AW49" s="73" t="n"/>
      <c r="AX49" s="73" t="n"/>
      <c r="AY49" s="73" t="n"/>
      <c r="AZ49" s="73" t="n"/>
      <c r="BA49" s="73" t="n"/>
      <c r="BB49" s="73" t="n"/>
      <c r="BC49" s="73" t="n"/>
      <c r="BD49" s="73" t="n"/>
      <c r="BE49" s="73" t="n"/>
      <c r="BF49" s="73" t="n"/>
      <c r="BG49" s="73" t="n"/>
      <c r="BH49" s="73" t="n"/>
      <c r="BI49" s="73" t="n"/>
    </row>
    <row r="50" ht="20" customHeight="1">
      <c r="A50" s="4" t="inlineStr">
        <is>
          <t>БДДС</t>
        </is>
      </c>
    </row>
    <row r="51">
      <c r="A51" s="2" t="inlineStr">
        <is>
          <t>Денежный остаток на начало</t>
        </is>
      </c>
      <c r="B51" s="42">
        <f>'01_Вводные'!$B$17</f>
        <v/>
      </c>
      <c r="C51" s="42">
        <f>B72</f>
        <v/>
      </c>
      <c r="D51" s="42">
        <f>C72</f>
        <v/>
      </c>
      <c r="E51" s="42">
        <f>D72</f>
        <v/>
      </c>
      <c r="F51" s="42">
        <f>E72</f>
        <v/>
      </c>
      <c r="G51" s="42">
        <f>F72</f>
        <v/>
      </c>
      <c r="H51" s="42">
        <f>G72</f>
        <v/>
      </c>
      <c r="I51" s="42">
        <f>H72</f>
        <v/>
      </c>
      <c r="J51" s="42">
        <f>I72</f>
        <v/>
      </c>
      <c r="K51" s="42">
        <f>J72</f>
        <v/>
      </c>
      <c r="L51" s="42">
        <f>K72</f>
        <v/>
      </c>
      <c r="M51" s="42">
        <f>L72</f>
        <v/>
      </c>
      <c r="N51" s="42">
        <f>M72</f>
        <v/>
      </c>
      <c r="O51" s="42">
        <f>N72</f>
        <v/>
      </c>
      <c r="P51" s="42">
        <f>O72</f>
        <v/>
      </c>
      <c r="Q51" s="42">
        <f>P72</f>
        <v/>
      </c>
      <c r="R51" s="42">
        <f>Q72</f>
        <v/>
      </c>
      <c r="S51" s="42">
        <f>R72</f>
        <v/>
      </c>
      <c r="T51" s="42">
        <f>S72</f>
        <v/>
      </c>
      <c r="U51" s="42">
        <f>T72</f>
        <v/>
      </c>
      <c r="V51" s="42">
        <f>U72</f>
        <v/>
      </c>
      <c r="W51" s="42">
        <f>V72</f>
        <v/>
      </c>
      <c r="X51" s="42">
        <f>W72</f>
        <v/>
      </c>
      <c r="Y51" s="42">
        <f>X72</f>
        <v/>
      </c>
      <c r="Z51" s="42">
        <f>Y72</f>
        <v/>
      </c>
      <c r="AA51" s="42">
        <f>Z72</f>
        <v/>
      </c>
      <c r="AB51" s="42">
        <f>AA72</f>
        <v/>
      </c>
      <c r="AC51" s="42">
        <f>AB72</f>
        <v/>
      </c>
      <c r="AD51" s="42">
        <f>AC72</f>
        <v/>
      </c>
      <c r="AE51" s="42">
        <f>AD72</f>
        <v/>
      </c>
      <c r="AF51" s="42">
        <f>AE72</f>
        <v/>
      </c>
      <c r="AG51" s="42">
        <f>AF72</f>
        <v/>
      </c>
      <c r="AH51" s="42">
        <f>AG72</f>
        <v/>
      </c>
      <c r="AI51" s="42">
        <f>AH72</f>
        <v/>
      </c>
      <c r="AJ51" s="42">
        <f>AI72</f>
        <v/>
      </c>
      <c r="AK51" s="42">
        <f>AJ72</f>
        <v/>
      </c>
      <c r="AL51" s="42">
        <f>AK72</f>
        <v/>
      </c>
      <c r="AM51" s="42">
        <f>AL72</f>
        <v/>
      </c>
      <c r="AN51" s="42">
        <f>AM72</f>
        <v/>
      </c>
      <c r="AO51" s="42">
        <f>AN72</f>
        <v/>
      </c>
      <c r="AP51" s="42">
        <f>AO72</f>
        <v/>
      </c>
      <c r="AQ51" s="42">
        <f>AP72</f>
        <v/>
      </c>
      <c r="AR51" s="42">
        <f>AQ72</f>
        <v/>
      </c>
      <c r="AS51" s="42">
        <f>AR72</f>
        <v/>
      </c>
      <c r="AT51" s="42">
        <f>AS72</f>
        <v/>
      </c>
      <c r="AU51" s="42">
        <f>AT72</f>
        <v/>
      </c>
      <c r="AV51" s="42">
        <f>AU72</f>
        <v/>
      </c>
      <c r="AW51" s="42">
        <f>AV72</f>
        <v/>
      </c>
      <c r="AX51" s="42">
        <f>AW72</f>
        <v/>
      </c>
      <c r="AY51" s="42">
        <f>AX72</f>
        <v/>
      </c>
      <c r="AZ51" s="42">
        <f>AY72</f>
        <v/>
      </c>
      <c r="BA51" s="42">
        <f>AZ72</f>
        <v/>
      </c>
      <c r="BB51" s="42">
        <f>BA72</f>
        <v/>
      </c>
      <c r="BC51" s="42">
        <f>BB72</f>
        <v/>
      </c>
      <c r="BD51" s="42">
        <f>BC72</f>
        <v/>
      </c>
      <c r="BE51" s="42">
        <f>BD72</f>
        <v/>
      </c>
      <c r="BF51" s="42">
        <f>BE72</f>
        <v/>
      </c>
      <c r="BG51" s="42">
        <f>BF72</f>
        <v/>
      </c>
      <c r="BH51" s="42">
        <f>BG72</f>
        <v/>
      </c>
      <c r="BI51" s="42">
        <f>BH72</f>
        <v/>
      </c>
    </row>
    <row r="52">
      <c r="A52" s="2" t="inlineStr">
        <is>
          <t>Паушальные поступления</t>
        </is>
      </c>
      <c r="B52" s="40">
        <f>'04_Продажи'!B25</f>
        <v/>
      </c>
      <c r="C52" s="40">
        <f>'04_Продажи'!C25</f>
        <v/>
      </c>
      <c r="D52" s="40">
        <f>'04_Продажи'!D25</f>
        <v/>
      </c>
      <c r="E52" s="40">
        <f>'04_Продажи'!E25</f>
        <v/>
      </c>
      <c r="F52" s="40">
        <f>'04_Продажи'!F25</f>
        <v/>
      </c>
      <c r="G52" s="40">
        <f>'04_Продажи'!G25</f>
        <v/>
      </c>
      <c r="H52" s="40">
        <f>'04_Продажи'!H25</f>
        <v/>
      </c>
      <c r="I52" s="40">
        <f>'04_Продажи'!I25</f>
        <v/>
      </c>
      <c r="J52" s="40">
        <f>'04_Продажи'!J25</f>
        <v/>
      </c>
      <c r="K52" s="40">
        <f>'04_Продажи'!K25</f>
        <v/>
      </c>
      <c r="L52" s="40">
        <f>'04_Продажи'!L25</f>
        <v/>
      </c>
      <c r="M52" s="40">
        <f>'04_Продажи'!M25</f>
        <v/>
      </c>
      <c r="N52" s="40">
        <f>'04_Продажи'!N25</f>
        <v/>
      </c>
      <c r="O52" s="40">
        <f>'04_Продажи'!O25</f>
        <v/>
      </c>
      <c r="P52" s="40">
        <f>'04_Продажи'!P25</f>
        <v/>
      </c>
      <c r="Q52" s="40">
        <f>'04_Продажи'!Q25</f>
        <v/>
      </c>
      <c r="R52" s="40">
        <f>'04_Продажи'!R25</f>
        <v/>
      </c>
      <c r="S52" s="40">
        <f>'04_Продажи'!S25</f>
        <v/>
      </c>
      <c r="T52" s="40">
        <f>'04_Продажи'!T25</f>
        <v/>
      </c>
      <c r="U52" s="40">
        <f>'04_Продажи'!U25</f>
        <v/>
      </c>
      <c r="V52" s="40">
        <f>'04_Продажи'!V25</f>
        <v/>
      </c>
      <c r="W52" s="40">
        <f>'04_Продажи'!W25</f>
        <v/>
      </c>
      <c r="X52" s="40">
        <f>'04_Продажи'!X25</f>
        <v/>
      </c>
      <c r="Y52" s="40">
        <f>'04_Продажи'!Y25</f>
        <v/>
      </c>
      <c r="Z52" s="40">
        <f>'04_Продажи'!Z25</f>
        <v/>
      </c>
      <c r="AA52" s="40">
        <f>'04_Продажи'!AA25</f>
        <v/>
      </c>
      <c r="AB52" s="40">
        <f>'04_Продажи'!AB25</f>
        <v/>
      </c>
      <c r="AC52" s="40">
        <f>'04_Продажи'!AC25</f>
        <v/>
      </c>
      <c r="AD52" s="40">
        <f>'04_Продажи'!AD25</f>
        <v/>
      </c>
      <c r="AE52" s="40">
        <f>'04_Продажи'!AE25</f>
        <v/>
      </c>
      <c r="AF52" s="40">
        <f>'04_Продажи'!AF25</f>
        <v/>
      </c>
      <c r="AG52" s="40">
        <f>'04_Продажи'!AG25</f>
        <v/>
      </c>
      <c r="AH52" s="40">
        <f>'04_Продажи'!AH25</f>
        <v/>
      </c>
      <c r="AI52" s="40">
        <f>'04_Продажи'!AI25</f>
        <v/>
      </c>
      <c r="AJ52" s="40">
        <f>'04_Продажи'!AJ25</f>
        <v/>
      </c>
      <c r="AK52" s="40">
        <f>'04_Продажи'!AK25</f>
        <v/>
      </c>
      <c r="AL52" s="40">
        <f>'04_Продажи'!AL25</f>
        <v/>
      </c>
      <c r="AM52" s="40">
        <f>'04_Продажи'!AM25</f>
        <v/>
      </c>
      <c r="AN52" s="40">
        <f>'04_Продажи'!AN25</f>
        <v/>
      </c>
      <c r="AO52" s="40">
        <f>'04_Продажи'!AO25</f>
        <v/>
      </c>
      <c r="AP52" s="40">
        <f>'04_Продажи'!AP25</f>
        <v/>
      </c>
      <c r="AQ52" s="40">
        <f>'04_Продажи'!AQ25</f>
        <v/>
      </c>
      <c r="AR52" s="40">
        <f>'04_Продажи'!AR25</f>
        <v/>
      </c>
      <c r="AS52" s="40">
        <f>'04_Продажи'!AS25</f>
        <v/>
      </c>
      <c r="AT52" s="40">
        <f>'04_Продажи'!AT25</f>
        <v/>
      </c>
      <c r="AU52" s="40">
        <f>'04_Продажи'!AU25</f>
        <v/>
      </c>
      <c r="AV52" s="40">
        <f>'04_Продажи'!AV25</f>
        <v/>
      </c>
      <c r="AW52" s="40">
        <f>'04_Продажи'!AW25</f>
        <v/>
      </c>
      <c r="AX52" s="40">
        <f>'04_Продажи'!AX25</f>
        <v/>
      </c>
      <c r="AY52" s="40">
        <f>'04_Продажи'!AY25</f>
        <v/>
      </c>
      <c r="AZ52" s="40">
        <f>'04_Продажи'!AZ25</f>
        <v/>
      </c>
      <c r="BA52" s="40">
        <f>'04_Продажи'!BA25</f>
        <v/>
      </c>
      <c r="BB52" s="40">
        <f>'04_Продажи'!BB25</f>
        <v/>
      </c>
      <c r="BC52" s="40">
        <f>'04_Продажи'!BC25</f>
        <v/>
      </c>
      <c r="BD52" s="40">
        <f>'04_Продажи'!BD25</f>
        <v/>
      </c>
      <c r="BE52" s="40">
        <f>'04_Продажи'!BE25</f>
        <v/>
      </c>
      <c r="BF52" s="40">
        <f>'04_Продажи'!BF25</f>
        <v/>
      </c>
      <c r="BG52" s="40">
        <f>'04_Продажи'!BG25</f>
        <v/>
      </c>
      <c r="BH52" s="40">
        <f>'04_Продажи'!BH25</f>
        <v/>
      </c>
      <c r="BI52" s="40">
        <f>'04_Продажи'!BI25</f>
        <v/>
      </c>
    </row>
    <row r="53">
      <c r="A53" s="2" t="inlineStr">
        <is>
          <t>Роялти поступления</t>
        </is>
      </c>
      <c r="B53" s="42">
        <f>'01_Вводные'!$B$20*(B19+B20)*(1+'01_Вводные'!$B$58)+(1-'01_Вводные'!$B$20)*0</f>
        <v/>
      </c>
      <c r="C53" s="42">
        <f>'01_Вводные'!$B$20*(C19+C20)*(1+'01_Вводные'!$B$58)+(1-'01_Вводные'!$B$20)*(B19+B20)*(1+'01_Вводные'!$B$58)</f>
        <v/>
      </c>
      <c r="D53" s="42">
        <f>'01_Вводные'!$B$20*(D19+D20)*(1+'01_Вводные'!$B$58)+(1-'01_Вводные'!$B$20)*(C19+C20)*(1+'01_Вводные'!$B$58)</f>
        <v/>
      </c>
      <c r="E53" s="42">
        <f>'01_Вводные'!$B$20*(E19+E20)*(1+'01_Вводные'!$B$58)+(1-'01_Вводные'!$B$20)*(D19+D20)*(1+'01_Вводные'!$B$58)</f>
        <v/>
      </c>
      <c r="F53" s="42">
        <f>'01_Вводные'!$B$20*(F19+F20)*(1+'01_Вводные'!$B$58)+(1-'01_Вводные'!$B$20)*(E19+E20)*(1+'01_Вводные'!$B$58)</f>
        <v/>
      </c>
      <c r="G53" s="42">
        <f>'01_Вводные'!$B$20*(G19+G20)*(1+'01_Вводные'!$B$58)+(1-'01_Вводные'!$B$20)*(F19+F20)*(1+'01_Вводные'!$B$58)</f>
        <v/>
      </c>
      <c r="H53" s="42">
        <f>'01_Вводные'!$B$20*(H19+H20)*(1+'01_Вводные'!$B$58)+(1-'01_Вводные'!$B$20)*(G19+G20)*(1+'01_Вводные'!$B$58)</f>
        <v/>
      </c>
      <c r="I53" s="42">
        <f>'01_Вводные'!$B$20*(I19+I20)*(1+'01_Вводные'!$B$58)+(1-'01_Вводные'!$B$20)*(H19+H20)*(1+'01_Вводные'!$B$58)</f>
        <v/>
      </c>
      <c r="J53" s="42">
        <f>'01_Вводные'!$B$20*(J19+J20)*(1+'01_Вводные'!$B$58)+(1-'01_Вводные'!$B$20)*(I19+I20)*(1+'01_Вводные'!$B$58)</f>
        <v/>
      </c>
      <c r="K53" s="42">
        <f>'01_Вводные'!$B$20*(K19+K20)*(1+'01_Вводные'!$B$58)+(1-'01_Вводные'!$B$20)*(J19+J20)*(1+'01_Вводные'!$B$58)</f>
        <v/>
      </c>
      <c r="L53" s="42">
        <f>'01_Вводные'!$B$20*(L19+L20)*(1+'01_Вводные'!$B$58)+(1-'01_Вводные'!$B$20)*(K19+K20)*(1+'01_Вводные'!$B$58)</f>
        <v/>
      </c>
      <c r="M53" s="42">
        <f>'01_Вводные'!$B$20*(M19+M20)*(1+'01_Вводные'!$B$58)+(1-'01_Вводные'!$B$20)*(L19+L20)*(1+'01_Вводные'!$B$58)</f>
        <v/>
      </c>
      <c r="N53" s="42">
        <f>'01_Вводные'!$B$20*(N19+N20)*(1+'01_Вводные'!$B$58)+(1-'01_Вводные'!$B$20)*(M19+M20)*(1+'01_Вводные'!$B$58)</f>
        <v/>
      </c>
      <c r="O53" s="42">
        <f>'01_Вводные'!$B$20*(O19+O20)*(1+'01_Вводные'!$B$58)+(1-'01_Вводные'!$B$20)*(N19+N20)*(1+'01_Вводные'!$B$58)</f>
        <v/>
      </c>
      <c r="P53" s="42">
        <f>'01_Вводные'!$B$20*(P19+P20)*(1+'01_Вводные'!$B$58)+(1-'01_Вводные'!$B$20)*(O19+O20)*(1+'01_Вводные'!$B$58)</f>
        <v/>
      </c>
      <c r="Q53" s="42">
        <f>'01_Вводные'!$B$20*(Q19+Q20)*(1+'01_Вводные'!$B$58)+(1-'01_Вводные'!$B$20)*(P19+P20)*(1+'01_Вводные'!$B$58)</f>
        <v/>
      </c>
      <c r="R53" s="42">
        <f>'01_Вводные'!$B$20*(R19+R20)*(1+'01_Вводные'!$B$58)+(1-'01_Вводные'!$B$20)*(Q19+Q20)*(1+'01_Вводные'!$B$58)</f>
        <v/>
      </c>
      <c r="S53" s="42">
        <f>'01_Вводные'!$B$20*(S19+S20)*(1+'01_Вводные'!$B$58)+(1-'01_Вводные'!$B$20)*(R19+R20)*(1+'01_Вводные'!$B$58)</f>
        <v/>
      </c>
      <c r="T53" s="42">
        <f>'01_Вводные'!$B$20*(T19+T20)*(1+'01_Вводные'!$B$58)+(1-'01_Вводные'!$B$20)*(S19+S20)*(1+'01_Вводные'!$B$58)</f>
        <v/>
      </c>
      <c r="U53" s="42">
        <f>'01_Вводные'!$B$20*(U19+U20)*(1+'01_Вводные'!$B$58)+(1-'01_Вводные'!$B$20)*(T19+T20)*(1+'01_Вводные'!$B$58)</f>
        <v/>
      </c>
      <c r="V53" s="42">
        <f>'01_Вводные'!$B$20*(V19+V20)*(1+'01_Вводные'!$B$58)+(1-'01_Вводные'!$B$20)*(U19+U20)*(1+'01_Вводные'!$B$58)</f>
        <v/>
      </c>
      <c r="W53" s="42">
        <f>'01_Вводные'!$B$20*(W19+W20)*(1+'01_Вводные'!$B$58)+(1-'01_Вводные'!$B$20)*(V19+V20)*(1+'01_Вводные'!$B$58)</f>
        <v/>
      </c>
      <c r="X53" s="42">
        <f>'01_Вводные'!$B$20*(X19+X20)*(1+'01_Вводные'!$B$58)+(1-'01_Вводные'!$B$20)*(W19+W20)*(1+'01_Вводные'!$B$58)</f>
        <v/>
      </c>
      <c r="Y53" s="42">
        <f>'01_Вводные'!$B$20*(Y19+Y20)*(1+'01_Вводные'!$B$58)+(1-'01_Вводные'!$B$20)*(X19+X20)*(1+'01_Вводные'!$B$58)</f>
        <v/>
      </c>
      <c r="Z53" s="42">
        <f>'01_Вводные'!$B$20*(Z19+Z20)*(1+'01_Вводные'!$B$58)+(1-'01_Вводные'!$B$20)*(Y19+Y20)*(1+'01_Вводные'!$B$58)</f>
        <v/>
      </c>
      <c r="AA53" s="42">
        <f>'01_Вводные'!$B$20*(AA19+AA20)*(1+'01_Вводные'!$B$58)+(1-'01_Вводные'!$B$20)*(Z19+Z20)*(1+'01_Вводные'!$B$58)</f>
        <v/>
      </c>
      <c r="AB53" s="42">
        <f>'01_Вводные'!$B$20*(AB19+AB20)*(1+'01_Вводные'!$B$58)+(1-'01_Вводные'!$B$20)*(AA19+AA20)*(1+'01_Вводные'!$B$58)</f>
        <v/>
      </c>
      <c r="AC53" s="42">
        <f>'01_Вводные'!$B$20*(AC19+AC20)*(1+'01_Вводные'!$B$58)+(1-'01_Вводные'!$B$20)*(AB19+AB20)*(1+'01_Вводные'!$B$58)</f>
        <v/>
      </c>
      <c r="AD53" s="42">
        <f>'01_Вводные'!$B$20*(AD19+AD20)*(1+'01_Вводные'!$B$58)+(1-'01_Вводные'!$B$20)*(AC19+AC20)*(1+'01_Вводные'!$B$58)</f>
        <v/>
      </c>
      <c r="AE53" s="42">
        <f>'01_Вводные'!$B$20*(AE19+AE20)*(1+'01_Вводные'!$B$58)+(1-'01_Вводные'!$B$20)*(AD19+AD20)*(1+'01_Вводные'!$B$58)</f>
        <v/>
      </c>
      <c r="AF53" s="42">
        <f>'01_Вводные'!$B$20*(AF19+AF20)*(1+'01_Вводные'!$B$58)+(1-'01_Вводные'!$B$20)*(AE19+AE20)*(1+'01_Вводные'!$B$58)</f>
        <v/>
      </c>
      <c r="AG53" s="42">
        <f>'01_Вводные'!$B$20*(AG19+AG20)*(1+'01_Вводные'!$B$58)+(1-'01_Вводные'!$B$20)*(AF19+AF20)*(1+'01_Вводные'!$B$58)</f>
        <v/>
      </c>
      <c r="AH53" s="42">
        <f>'01_Вводные'!$B$20*(AH19+AH20)*(1+'01_Вводные'!$B$58)+(1-'01_Вводные'!$B$20)*(AG19+AG20)*(1+'01_Вводные'!$B$58)</f>
        <v/>
      </c>
      <c r="AI53" s="42">
        <f>'01_Вводные'!$B$20*(AI19+AI20)*(1+'01_Вводные'!$B$58)+(1-'01_Вводные'!$B$20)*(AH19+AH20)*(1+'01_Вводные'!$B$58)</f>
        <v/>
      </c>
      <c r="AJ53" s="42">
        <f>'01_Вводные'!$B$20*(AJ19+AJ20)*(1+'01_Вводные'!$B$58)+(1-'01_Вводные'!$B$20)*(AI19+AI20)*(1+'01_Вводные'!$B$58)</f>
        <v/>
      </c>
      <c r="AK53" s="42">
        <f>'01_Вводные'!$B$20*(AK19+AK20)*(1+'01_Вводные'!$B$58)+(1-'01_Вводные'!$B$20)*(AJ19+AJ20)*(1+'01_Вводные'!$B$58)</f>
        <v/>
      </c>
      <c r="AL53" s="42">
        <f>'01_Вводные'!$B$20*(AL19+AL20)*(1+'01_Вводные'!$B$58)+(1-'01_Вводные'!$B$20)*(AK19+AK20)*(1+'01_Вводные'!$B$58)</f>
        <v/>
      </c>
      <c r="AM53" s="42">
        <f>'01_Вводные'!$B$20*(AM19+AM20)*(1+'01_Вводные'!$B$58)+(1-'01_Вводные'!$B$20)*(AL19+AL20)*(1+'01_Вводные'!$B$58)</f>
        <v/>
      </c>
      <c r="AN53" s="42">
        <f>'01_Вводные'!$B$20*(AN19+AN20)*(1+'01_Вводные'!$B$58)+(1-'01_Вводные'!$B$20)*(AM19+AM20)*(1+'01_Вводные'!$B$58)</f>
        <v/>
      </c>
      <c r="AO53" s="42">
        <f>'01_Вводные'!$B$20*(AO19+AO20)*(1+'01_Вводные'!$B$58)+(1-'01_Вводные'!$B$20)*(AN19+AN20)*(1+'01_Вводные'!$B$58)</f>
        <v/>
      </c>
      <c r="AP53" s="42">
        <f>'01_Вводные'!$B$20*(AP19+AP20)*(1+'01_Вводные'!$B$58)+(1-'01_Вводные'!$B$20)*(AO19+AO20)*(1+'01_Вводные'!$B$58)</f>
        <v/>
      </c>
      <c r="AQ53" s="42">
        <f>'01_Вводные'!$B$20*(AQ19+AQ20)*(1+'01_Вводные'!$B$58)+(1-'01_Вводные'!$B$20)*(AP19+AP20)*(1+'01_Вводные'!$B$58)</f>
        <v/>
      </c>
      <c r="AR53" s="42">
        <f>'01_Вводные'!$B$20*(AR19+AR20)*(1+'01_Вводные'!$B$58)+(1-'01_Вводные'!$B$20)*(AQ19+AQ20)*(1+'01_Вводные'!$B$58)</f>
        <v/>
      </c>
      <c r="AS53" s="42">
        <f>'01_Вводные'!$B$20*(AS19+AS20)*(1+'01_Вводные'!$B$58)+(1-'01_Вводные'!$B$20)*(AR19+AR20)*(1+'01_Вводные'!$B$58)</f>
        <v/>
      </c>
      <c r="AT53" s="42">
        <f>'01_Вводные'!$B$20*(AT19+AT20)*(1+'01_Вводные'!$B$58)+(1-'01_Вводные'!$B$20)*(AS19+AS20)*(1+'01_Вводные'!$B$58)</f>
        <v/>
      </c>
      <c r="AU53" s="42">
        <f>'01_Вводные'!$B$20*(AU19+AU20)*(1+'01_Вводные'!$B$58)+(1-'01_Вводные'!$B$20)*(AT19+AT20)*(1+'01_Вводные'!$B$58)</f>
        <v/>
      </c>
      <c r="AV53" s="42">
        <f>'01_Вводные'!$B$20*(AV19+AV20)*(1+'01_Вводные'!$B$58)+(1-'01_Вводные'!$B$20)*(AU19+AU20)*(1+'01_Вводные'!$B$58)</f>
        <v/>
      </c>
      <c r="AW53" s="42">
        <f>'01_Вводные'!$B$20*(AW19+AW20)*(1+'01_Вводные'!$B$58)+(1-'01_Вводные'!$B$20)*(AV19+AV20)*(1+'01_Вводные'!$B$58)</f>
        <v/>
      </c>
      <c r="AX53" s="42">
        <f>'01_Вводные'!$B$20*(AX19+AX20)*(1+'01_Вводные'!$B$58)+(1-'01_Вводные'!$B$20)*(AW19+AW20)*(1+'01_Вводные'!$B$58)</f>
        <v/>
      </c>
      <c r="AY53" s="42">
        <f>'01_Вводные'!$B$20*(AY19+AY20)*(1+'01_Вводные'!$B$58)+(1-'01_Вводные'!$B$20)*(AX19+AX20)*(1+'01_Вводные'!$B$58)</f>
        <v/>
      </c>
      <c r="AZ53" s="42">
        <f>'01_Вводные'!$B$20*(AZ19+AZ20)*(1+'01_Вводные'!$B$58)+(1-'01_Вводные'!$B$20)*(AY19+AY20)*(1+'01_Вводные'!$B$58)</f>
        <v/>
      </c>
      <c r="BA53" s="42">
        <f>'01_Вводные'!$B$20*(BA19+BA20)*(1+'01_Вводные'!$B$58)+(1-'01_Вводные'!$B$20)*(AZ19+AZ20)*(1+'01_Вводные'!$B$58)</f>
        <v/>
      </c>
      <c r="BB53" s="42">
        <f>'01_Вводные'!$B$20*(BB19+BB20)*(1+'01_Вводные'!$B$58)+(1-'01_Вводные'!$B$20)*(BA19+BA20)*(1+'01_Вводные'!$B$58)</f>
        <v/>
      </c>
      <c r="BC53" s="42">
        <f>'01_Вводные'!$B$20*(BC19+BC20)*(1+'01_Вводные'!$B$58)+(1-'01_Вводные'!$B$20)*(BB19+BB20)*(1+'01_Вводные'!$B$58)</f>
        <v/>
      </c>
      <c r="BD53" s="42">
        <f>'01_Вводные'!$B$20*(BD19+BD20)*(1+'01_Вводные'!$B$58)+(1-'01_Вводные'!$B$20)*(BC19+BC20)*(1+'01_Вводные'!$B$58)</f>
        <v/>
      </c>
      <c r="BE53" s="42">
        <f>'01_Вводные'!$B$20*(BE19+BE20)*(1+'01_Вводные'!$B$58)+(1-'01_Вводные'!$B$20)*(BD19+BD20)*(1+'01_Вводные'!$B$58)</f>
        <v/>
      </c>
      <c r="BF53" s="42">
        <f>'01_Вводные'!$B$20*(BF19+BF20)*(1+'01_Вводные'!$B$58)+(1-'01_Вводные'!$B$20)*(BE19+BE20)*(1+'01_Вводные'!$B$58)</f>
        <v/>
      </c>
      <c r="BG53" s="42">
        <f>'01_Вводные'!$B$20*(BG19+BG20)*(1+'01_Вводные'!$B$58)+(1-'01_Вводные'!$B$20)*(BF19+BF20)*(1+'01_Вводные'!$B$58)</f>
        <v/>
      </c>
      <c r="BH53" s="42">
        <f>'01_Вводные'!$B$20*(BH19+BH20)*(1+'01_Вводные'!$B$58)+(1-'01_Вводные'!$B$20)*(BG19+BG20)*(1+'01_Вводные'!$B$58)</f>
        <v/>
      </c>
      <c r="BI53" s="42">
        <f>'01_Вводные'!$B$20*(BI19+BI20)*(1+'01_Вводные'!$B$58)+(1-'01_Вводные'!$B$20)*(BH19+BH20)*(1+'01_Вводные'!$B$58)</f>
        <v/>
      </c>
    </row>
    <row r="54">
      <c r="A54" s="2" t="inlineStr">
        <is>
          <t>Мерч поступления</t>
        </is>
      </c>
      <c r="B54" s="40">
        <f>'07_Мерч'!B14</f>
        <v/>
      </c>
      <c r="C54" s="40">
        <f>'07_Мерч'!C14</f>
        <v/>
      </c>
      <c r="D54" s="40">
        <f>'07_Мерч'!D14</f>
        <v/>
      </c>
      <c r="E54" s="40">
        <f>'07_Мерч'!E14</f>
        <v/>
      </c>
      <c r="F54" s="40">
        <f>'07_Мерч'!F14</f>
        <v/>
      </c>
      <c r="G54" s="40">
        <f>'07_Мерч'!G14</f>
        <v/>
      </c>
      <c r="H54" s="40">
        <f>'07_Мерч'!H14</f>
        <v/>
      </c>
      <c r="I54" s="40">
        <f>'07_Мерч'!I14</f>
        <v/>
      </c>
      <c r="J54" s="40">
        <f>'07_Мерч'!J14</f>
        <v/>
      </c>
      <c r="K54" s="40">
        <f>'07_Мерч'!K14</f>
        <v/>
      </c>
      <c r="L54" s="40">
        <f>'07_Мерч'!L14</f>
        <v/>
      </c>
      <c r="M54" s="40">
        <f>'07_Мерч'!M14</f>
        <v/>
      </c>
      <c r="N54" s="40">
        <f>'07_Мерч'!N14</f>
        <v/>
      </c>
      <c r="O54" s="40">
        <f>'07_Мерч'!O14</f>
        <v/>
      </c>
      <c r="P54" s="40">
        <f>'07_Мерч'!P14</f>
        <v/>
      </c>
      <c r="Q54" s="40">
        <f>'07_Мерч'!Q14</f>
        <v/>
      </c>
      <c r="R54" s="40">
        <f>'07_Мерч'!R14</f>
        <v/>
      </c>
      <c r="S54" s="40">
        <f>'07_Мерч'!S14</f>
        <v/>
      </c>
      <c r="T54" s="40">
        <f>'07_Мерч'!T14</f>
        <v/>
      </c>
      <c r="U54" s="40">
        <f>'07_Мерч'!U14</f>
        <v/>
      </c>
      <c r="V54" s="40">
        <f>'07_Мерч'!V14</f>
        <v/>
      </c>
      <c r="W54" s="40">
        <f>'07_Мерч'!W14</f>
        <v/>
      </c>
      <c r="X54" s="40">
        <f>'07_Мерч'!X14</f>
        <v/>
      </c>
      <c r="Y54" s="40">
        <f>'07_Мерч'!Y14</f>
        <v/>
      </c>
      <c r="Z54" s="40">
        <f>'07_Мерч'!Z14</f>
        <v/>
      </c>
      <c r="AA54" s="40">
        <f>'07_Мерч'!AA14</f>
        <v/>
      </c>
      <c r="AB54" s="40">
        <f>'07_Мерч'!AB14</f>
        <v/>
      </c>
      <c r="AC54" s="40">
        <f>'07_Мерч'!AC14</f>
        <v/>
      </c>
      <c r="AD54" s="40">
        <f>'07_Мерч'!AD14</f>
        <v/>
      </c>
      <c r="AE54" s="40">
        <f>'07_Мерч'!AE14</f>
        <v/>
      </c>
      <c r="AF54" s="40">
        <f>'07_Мерч'!AF14</f>
        <v/>
      </c>
      <c r="AG54" s="40">
        <f>'07_Мерч'!AG14</f>
        <v/>
      </c>
      <c r="AH54" s="40">
        <f>'07_Мерч'!AH14</f>
        <v/>
      </c>
      <c r="AI54" s="40">
        <f>'07_Мерч'!AI14</f>
        <v/>
      </c>
      <c r="AJ54" s="40">
        <f>'07_Мерч'!AJ14</f>
        <v/>
      </c>
      <c r="AK54" s="40">
        <f>'07_Мерч'!AK14</f>
        <v/>
      </c>
      <c r="AL54" s="40">
        <f>'07_Мерч'!AL14</f>
        <v/>
      </c>
      <c r="AM54" s="40">
        <f>'07_Мерч'!AM14</f>
        <v/>
      </c>
      <c r="AN54" s="40">
        <f>'07_Мерч'!AN14</f>
        <v/>
      </c>
      <c r="AO54" s="40">
        <f>'07_Мерч'!AO14</f>
        <v/>
      </c>
      <c r="AP54" s="40">
        <f>'07_Мерч'!AP14</f>
        <v/>
      </c>
      <c r="AQ54" s="40">
        <f>'07_Мерч'!AQ14</f>
        <v/>
      </c>
      <c r="AR54" s="40">
        <f>'07_Мерч'!AR14</f>
        <v/>
      </c>
      <c r="AS54" s="40">
        <f>'07_Мерч'!AS14</f>
        <v/>
      </c>
      <c r="AT54" s="40">
        <f>'07_Мерч'!AT14</f>
        <v/>
      </c>
      <c r="AU54" s="40">
        <f>'07_Мерч'!AU14</f>
        <v/>
      </c>
      <c r="AV54" s="40">
        <f>'07_Мерч'!AV14</f>
        <v/>
      </c>
      <c r="AW54" s="40">
        <f>'07_Мерч'!AW14</f>
        <v/>
      </c>
      <c r="AX54" s="40">
        <f>'07_Мерч'!AX14</f>
        <v/>
      </c>
      <c r="AY54" s="40">
        <f>'07_Мерч'!AY14</f>
        <v/>
      </c>
      <c r="AZ54" s="40">
        <f>'07_Мерч'!AZ14</f>
        <v/>
      </c>
      <c r="BA54" s="40">
        <f>'07_Мерч'!BA14</f>
        <v/>
      </c>
      <c r="BB54" s="40">
        <f>'07_Мерч'!BB14</f>
        <v/>
      </c>
      <c r="BC54" s="40">
        <f>'07_Мерч'!BC14</f>
        <v/>
      </c>
      <c r="BD54" s="40">
        <f>'07_Мерч'!BD14</f>
        <v/>
      </c>
      <c r="BE54" s="40">
        <f>'07_Мерч'!BE14</f>
        <v/>
      </c>
      <c r="BF54" s="40">
        <f>'07_Мерч'!BF14</f>
        <v/>
      </c>
      <c r="BG54" s="40">
        <f>'07_Мерч'!BG14</f>
        <v/>
      </c>
      <c r="BH54" s="40">
        <f>'07_Мерч'!BH14</f>
        <v/>
      </c>
      <c r="BI54" s="40">
        <f>'07_Мерч'!BI14</f>
        <v/>
      </c>
    </row>
    <row r="55">
      <c r="A55" s="2" t="inlineStr">
        <is>
          <t>Лагеря поступления</t>
        </is>
      </c>
      <c r="B55" s="40">
        <f>'09_Лагеря'!B8</f>
        <v/>
      </c>
      <c r="C55" s="40">
        <f>'09_Лагеря'!C8</f>
        <v/>
      </c>
      <c r="D55" s="40">
        <f>'09_Лагеря'!D8</f>
        <v/>
      </c>
      <c r="E55" s="40">
        <f>'09_Лагеря'!E8</f>
        <v/>
      </c>
      <c r="F55" s="40">
        <f>'09_Лагеря'!F8</f>
        <v/>
      </c>
      <c r="G55" s="40">
        <f>'09_Лагеря'!G8</f>
        <v/>
      </c>
      <c r="H55" s="40">
        <f>'09_Лагеря'!H8</f>
        <v/>
      </c>
      <c r="I55" s="40">
        <f>'09_Лагеря'!I8</f>
        <v/>
      </c>
      <c r="J55" s="40">
        <f>'09_Лагеря'!J8</f>
        <v/>
      </c>
      <c r="K55" s="40">
        <f>'09_Лагеря'!K8</f>
        <v/>
      </c>
      <c r="L55" s="40">
        <f>'09_Лагеря'!L8</f>
        <v/>
      </c>
      <c r="M55" s="40">
        <f>'09_Лагеря'!M8</f>
        <v/>
      </c>
      <c r="N55" s="40">
        <f>'09_Лагеря'!N8</f>
        <v/>
      </c>
      <c r="O55" s="40">
        <f>'09_Лагеря'!O8</f>
        <v/>
      </c>
      <c r="P55" s="40">
        <f>'09_Лагеря'!P8</f>
        <v/>
      </c>
      <c r="Q55" s="40">
        <f>'09_Лагеря'!Q8</f>
        <v/>
      </c>
      <c r="R55" s="40">
        <f>'09_Лагеря'!R8</f>
        <v/>
      </c>
      <c r="S55" s="40">
        <f>'09_Лагеря'!S8</f>
        <v/>
      </c>
      <c r="T55" s="40">
        <f>'09_Лагеря'!T8</f>
        <v/>
      </c>
      <c r="U55" s="40">
        <f>'09_Лагеря'!U8</f>
        <v/>
      </c>
      <c r="V55" s="40">
        <f>'09_Лагеря'!V8</f>
        <v/>
      </c>
      <c r="W55" s="40">
        <f>'09_Лагеря'!W8</f>
        <v/>
      </c>
      <c r="X55" s="40">
        <f>'09_Лагеря'!X8</f>
        <v/>
      </c>
      <c r="Y55" s="40">
        <f>'09_Лагеря'!Y8</f>
        <v/>
      </c>
      <c r="Z55" s="40">
        <f>'09_Лагеря'!Z8</f>
        <v/>
      </c>
      <c r="AA55" s="40">
        <f>'09_Лагеря'!AA8</f>
        <v/>
      </c>
      <c r="AB55" s="40">
        <f>'09_Лагеря'!AB8</f>
        <v/>
      </c>
      <c r="AC55" s="40">
        <f>'09_Лагеря'!AC8</f>
        <v/>
      </c>
      <c r="AD55" s="40">
        <f>'09_Лагеря'!AD8</f>
        <v/>
      </c>
      <c r="AE55" s="40">
        <f>'09_Лагеря'!AE8</f>
        <v/>
      </c>
      <c r="AF55" s="40">
        <f>'09_Лагеря'!AF8</f>
        <v/>
      </c>
      <c r="AG55" s="40">
        <f>'09_Лагеря'!AG8</f>
        <v/>
      </c>
      <c r="AH55" s="40">
        <f>'09_Лагеря'!AH8</f>
        <v/>
      </c>
      <c r="AI55" s="40">
        <f>'09_Лагеря'!AI8</f>
        <v/>
      </c>
      <c r="AJ55" s="40">
        <f>'09_Лагеря'!AJ8</f>
        <v/>
      </c>
      <c r="AK55" s="40">
        <f>'09_Лагеря'!AK8</f>
        <v/>
      </c>
      <c r="AL55" s="40">
        <f>'09_Лагеря'!AL8</f>
        <v/>
      </c>
      <c r="AM55" s="40">
        <f>'09_Лагеря'!AM8</f>
        <v/>
      </c>
      <c r="AN55" s="40">
        <f>'09_Лагеря'!AN8</f>
        <v/>
      </c>
      <c r="AO55" s="40">
        <f>'09_Лагеря'!AO8</f>
        <v/>
      </c>
      <c r="AP55" s="40">
        <f>'09_Лагеря'!AP8</f>
        <v/>
      </c>
      <c r="AQ55" s="40">
        <f>'09_Лагеря'!AQ8</f>
        <v/>
      </c>
      <c r="AR55" s="40">
        <f>'09_Лагеря'!AR8</f>
        <v/>
      </c>
      <c r="AS55" s="40">
        <f>'09_Лагеря'!AS8</f>
        <v/>
      </c>
      <c r="AT55" s="40">
        <f>'09_Лагеря'!AT8</f>
        <v/>
      </c>
      <c r="AU55" s="40">
        <f>'09_Лагеря'!AU8</f>
        <v/>
      </c>
      <c r="AV55" s="40">
        <f>'09_Лагеря'!AV8</f>
        <v/>
      </c>
      <c r="AW55" s="40">
        <f>'09_Лагеря'!AW8</f>
        <v/>
      </c>
      <c r="AX55" s="40">
        <f>'09_Лагеря'!AX8</f>
        <v/>
      </c>
      <c r="AY55" s="40">
        <f>'09_Лагеря'!AY8</f>
        <v/>
      </c>
      <c r="AZ55" s="40">
        <f>'09_Лагеря'!AZ8</f>
        <v/>
      </c>
      <c r="BA55" s="40">
        <f>'09_Лагеря'!BA8</f>
        <v/>
      </c>
      <c r="BB55" s="40">
        <f>'09_Лагеря'!BB8</f>
        <v/>
      </c>
      <c r="BC55" s="40">
        <f>'09_Лагеря'!BC8</f>
        <v/>
      </c>
      <c r="BD55" s="40">
        <f>'09_Лагеря'!BD8</f>
        <v/>
      </c>
      <c r="BE55" s="40">
        <f>'09_Лагеря'!BE8</f>
        <v/>
      </c>
      <c r="BF55" s="40">
        <f>'09_Лагеря'!BF8</f>
        <v/>
      </c>
      <c r="BG55" s="40">
        <f>'09_Лагеря'!BG8</f>
        <v/>
      </c>
      <c r="BH55" s="40">
        <f>'09_Лагеря'!BH8</f>
        <v/>
      </c>
      <c r="BI55" s="40">
        <f>'09_Лагеря'!BI8</f>
        <v/>
      </c>
    </row>
    <row r="56">
      <c r="A56" s="10" t="inlineStr">
        <is>
          <t>Денежные поступления — всего</t>
        </is>
      </c>
      <c r="B56" s="43">
        <f>SUM(B52:B55)</f>
        <v/>
      </c>
      <c r="C56" s="43">
        <f>SUM(C52:C55)</f>
        <v/>
      </c>
      <c r="D56" s="43">
        <f>SUM(D52:D55)</f>
        <v/>
      </c>
      <c r="E56" s="43">
        <f>SUM(E52:E55)</f>
        <v/>
      </c>
      <c r="F56" s="43">
        <f>SUM(F52:F55)</f>
        <v/>
      </c>
      <c r="G56" s="43">
        <f>SUM(G52:G55)</f>
        <v/>
      </c>
      <c r="H56" s="43">
        <f>SUM(H52:H55)</f>
        <v/>
      </c>
      <c r="I56" s="43">
        <f>SUM(I52:I55)</f>
        <v/>
      </c>
      <c r="J56" s="43">
        <f>SUM(J52:J55)</f>
        <v/>
      </c>
      <c r="K56" s="43">
        <f>SUM(K52:K55)</f>
        <v/>
      </c>
      <c r="L56" s="43">
        <f>SUM(L52:L55)</f>
        <v/>
      </c>
      <c r="M56" s="43">
        <f>SUM(M52:M55)</f>
        <v/>
      </c>
      <c r="N56" s="43">
        <f>SUM(N52:N55)</f>
        <v/>
      </c>
      <c r="O56" s="43">
        <f>SUM(O52:O55)</f>
        <v/>
      </c>
      <c r="P56" s="43">
        <f>SUM(P52:P55)</f>
        <v/>
      </c>
      <c r="Q56" s="43">
        <f>SUM(Q52:Q55)</f>
        <v/>
      </c>
      <c r="R56" s="43">
        <f>SUM(R52:R55)</f>
        <v/>
      </c>
      <c r="S56" s="43">
        <f>SUM(S52:S55)</f>
        <v/>
      </c>
      <c r="T56" s="43">
        <f>SUM(T52:T55)</f>
        <v/>
      </c>
      <c r="U56" s="43">
        <f>SUM(U52:U55)</f>
        <v/>
      </c>
      <c r="V56" s="43">
        <f>SUM(V52:V55)</f>
        <v/>
      </c>
      <c r="W56" s="43">
        <f>SUM(W52:W55)</f>
        <v/>
      </c>
      <c r="X56" s="43">
        <f>SUM(X52:X55)</f>
        <v/>
      </c>
      <c r="Y56" s="43">
        <f>SUM(Y52:Y55)</f>
        <v/>
      </c>
      <c r="Z56" s="43">
        <f>SUM(Z52:Z55)</f>
        <v/>
      </c>
      <c r="AA56" s="43">
        <f>SUM(AA52:AA55)</f>
        <v/>
      </c>
      <c r="AB56" s="43">
        <f>SUM(AB52:AB55)</f>
        <v/>
      </c>
      <c r="AC56" s="43">
        <f>SUM(AC52:AC55)</f>
        <v/>
      </c>
      <c r="AD56" s="43">
        <f>SUM(AD52:AD55)</f>
        <v/>
      </c>
      <c r="AE56" s="43">
        <f>SUM(AE52:AE55)</f>
        <v/>
      </c>
      <c r="AF56" s="43">
        <f>SUM(AF52:AF55)</f>
        <v/>
      </c>
      <c r="AG56" s="43">
        <f>SUM(AG52:AG55)</f>
        <v/>
      </c>
      <c r="AH56" s="43">
        <f>SUM(AH52:AH55)</f>
        <v/>
      </c>
      <c r="AI56" s="43">
        <f>SUM(AI52:AI55)</f>
        <v/>
      </c>
      <c r="AJ56" s="43">
        <f>SUM(AJ52:AJ55)</f>
        <v/>
      </c>
      <c r="AK56" s="43">
        <f>SUM(AK52:AK55)</f>
        <v/>
      </c>
      <c r="AL56" s="43">
        <f>SUM(AL52:AL55)</f>
        <v/>
      </c>
      <c r="AM56" s="43">
        <f>SUM(AM52:AM55)</f>
        <v/>
      </c>
      <c r="AN56" s="43">
        <f>SUM(AN52:AN55)</f>
        <v/>
      </c>
      <c r="AO56" s="43">
        <f>SUM(AO52:AO55)</f>
        <v/>
      </c>
      <c r="AP56" s="43">
        <f>SUM(AP52:AP55)</f>
        <v/>
      </c>
      <c r="AQ56" s="43">
        <f>SUM(AQ52:AQ55)</f>
        <v/>
      </c>
      <c r="AR56" s="43">
        <f>SUM(AR52:AR55)</f>
        <v/>
      </c>
      <c r="AS56" s="43">
        <f>SUM(AS52:AS55)</f>
        <v/>
      </c>
      <c r="AT56" s="43">
        <f>SUM(AT52:AT55)</f>
        <v/>
      </c>
      <c r="AU56" s="43">
        <f>SUM(AU52:AU55)</f>
        <v/>
      </c>
      <c r="AV56" s="43">
        <f>SUM(AV52:AV55)</f>
        <v/>
      </c>
      <c r="AW56" s="43">
        <f>SUM(AW52:AW55)</f>
        <v/>
      </c>
      <c r="AX56" s="43">
        <f>SUM(AX52:AX55)</f>
        <v/>
      </c>
      <c r="AY56" s="43">
        <f>SUM(AY52:AY55)</f>
        <v/>
      </c>
      <c r="AZ56" s="43">
        <f>SUM(AZ52:AZ55)</f>
        <v/>
      </c>
      <c r="BA56" s="43">
        <f>SUM(BA52:BA55)</f>
        <v/>
      </c>
      <c r="BB56" s="43">
        <f>SUM(BB52:BB55)</f>
        <v/>
      </c>
      <c r="BC56" s="43">
        <f>SUM(BC52:BC55)</f>
        <v/>
      </c>
      <c r="BD56" s="43">
        <f>SUM(BD52:BD55)</f>
        <v/>
      </c>
      <c r="BE56" s="43">
        <f>SUM(BE52:BE55)</f>
        <v/>
      </c>
      <c r="BF56" s="43">
        <f>SUM(BF52:BF55)</f>
        <v/>
      </c>
      <c r="BG56" s="43">
        <f>SUM(BG52:BG55)</f>
        <v/>
      </c>
      <c r="BH56" s="43">
        <f>SUM(BH52:BH55)</f>
        <v/>
      </c>
      <c r="BI56" s="43">
        <f>SUM(BI52:BI55)</f>
        <v/>
      </c>
    </row>
    <row r="57" ht="28" customHeight="1">
      <c r="A57" t="inlineStr">
        <is>
          <t>CAPEX — денежная оплата</t>
        </is>
      </c>
      <c r="B57" s="165">
        <f>B99</f>
        <v/>
      </c>
      <c r="C57" s="165">
        <f>C99</f>
        <v/>
      </c>
      <c r="D57" s="165">
        <f>D99</f>
        <v/>
      </c>
      <c r="E57" s="165">
        <f>E99</f>
        <v/>
      </c>
      <c r="F57" s="165">
        <f>F99</f>
        <v/>
      </c>
      <c r="G57" s="165">
        <f>G99</f>
        <v/>
      </c>
      <c r="H57" s="165">
        <f>H99</f>
        <v/>
      </c>
      <c r="I57" s="165">
        <f>I99</f>
        <v/>
      </c>
      <c r="J57" s="165">
        <f>J99</f>
        <v/>
      </c>
      <c r="K57" s="165">
        <f>K99</f>
        <v/>
      </c>
      <c r="L57" s="165">
        <f>L99</f>
        <v/>
      </c>
      <c r="M57" s="165">
        <f>M99</f>
        <v/>
      </c>
      <c r="N57" s="165">
        <f>N99</f>
        <v/>
      </c>
      <c r="O57" s="165">
        <f>O99</f>
        <v/>
      </c>
      <c r="P57" s="165">
        <f>P99</f>
        <v/>
      </c>
      <c r="Q57" s="165">
        <f>Q99</f>
        <v/>
      </c>
      <c r="R57" s="165">
        <f>R99</f>
        <v/>
      </c>
      <c r="S57" s="165">
        <f>S99</f>
        <v/>
      </c>
      <c r="T57" s="165">
        <f>T99</f>
        <v/>
      </c>
      <c r="U57" s="165">
        <f>U99</f>
        <v/>
      </c>
      <c r="V57" s="165">
        <f>V99</f>
        <v/>
      </c>
      <c r="W57" s="165">
        <f>W99</f>
        <v/>
      </c>
      <c r="X57" s="165">
        <f>X99</f>
        <v/>
      </c>
      <c r="Y57" s="165">
        <f>Y99</f>
        <v/>
      </c>
      <c r="Z57" s="165">
        <f>Z99</f>
        <v/>
      </c>
      <c r="AA57" s="165">
        <f>AA99</f>
        <v/>
      </c>
      <c r="AB57" s="165">
        <f>AB99</f>
        <v/>
      </c>
      <c r="AC57" s="165">
        <f>AC99</f>
        <v/>
      </c>
      <c r="AD57" s="165">
        <f>AD99</f>
        <v/>
      </c>
      <c r="AE57" s="165">
        <f>AE99</f>
        <v/>
      </c>
      <c r="AF57" s="165">
        <f>AF99</f>
        <v/>
      </c>
      <c r="AG57" s="165">
        <f>AG99</f>
        <v/>
      </c>
      <c r="AH57" s="165">
        <f>AH99</f>
        <v/>
      </c>
      <c r="AI57" s="165">
        <f>AI99</f>
        <v/>
      </c>
      <c r="AJ57" s="165">
        <f>AJ99</f>
        <v/>
      </c>
      <c r="AK57" s="165">
        <f>AK99</f>
        <v/>
      </c>
      <c r="AL57" s="165">
        <f>AL99</f>
        <v/>
      </c>
      <c r="AM57" s="165">
        <f>AM99</f>
        <v/>
      </c>
      <c r="AN57" s="165">
        <f>AN99</f>
        <v/>
      </c>
      <c r="AO57" s="165">
        <f>AO99</f>
        <v/>
      </c>
      <c r="AP57" s="165">
        <f>AP99</f>
        <v/>
      </c>
      <c r="AQ57" s="165">
        <f>AQ99</f>
        <v/>
      </c>
      <c r="AR57" s="165">
        <f>AR99</f>
        <v/>
      </c>
      <c r="AS57" s="165">
        <f>AS99</f>
        <v/>
      </c>
      <c r="AT57" s="165">
        <f>AT99</f>
        <v/>
      </c>
      <c r="AU57" s="165">
        <f>AU99</f>
        <v/>
      </c>
      <c r="AV57" s="165">
        <f>AV99</f>
        <v/>
      </c>
      <c r="AW57" s="165">
        <f>AW99</f>
        <v/>
      </c>
      <c r="AX57" s="165">
        <f>AX99</f>
        <v/>
      </c>
      <c r="AY57" s="165">
        <f>AY99</f>
        <v/>
      </c>
      <c r="AZ57" s="165">
        <f>AZ99</f>
        <v/>
      </c>
      <c r="BA57" s="165">
        <f>BA99</f>
        <v/>
      </c>
      <c r="BB57" s="165">
        <f>BB99</f>
        <v/>
      </c>
      <c r="BC57" s="165">
        <f>BC99</f>
        <v/>
      </c>
      <c r="BD57" s="165">
        <f>BD99</f>
        <v/>
      </c>
      <c r="BE57" s="165">
        <f>BE99</f>
        <v/>
      </c>
      <c r="BF57" s="165">
        <f>BF99</f>
        <v/>
      </c>
      <c r="BG57" s="165">
        <f>BG99</f>
        <v/>
      </c>
      <c r="BH57" s="165">
        <f>BH99</f>
        <v/>
      </c>
      <c r="BI57" s="165">
        <f>BI99</f>
        <v/>
      </c>
    </row>
    <row r="58">
      <c r="A58" t="inlineStr">
        <is>
          <t>Логистика мерча — оплата</t>
        </is>
      </c>
      <c r="B58" s="100">
        <f>B27</f>
        <v/>
      </c>
      <c r="C58" s="100">
        <f>C27</f>
        <v/>
      </c>
      <c r="D58" s="100">
        <f>D27</f>
        <v/>
      </c>
      <c r="E58" s="100">
        <f>E27</f>
        <v/>
      </c>
      <c r="F58" s="100">
        <f>F27</f>
        <v/>
      </c>
      <c r="G58" s="100">
        <f>G27</f>
        <v/>
      </c>
      <c r="H58" s="100">
        <f>H27</f>
        <v/>
      </c>
      <c r="I58" s="100">
        <f>I27</f>
        <v/>
      </c>
      <c r="J58" s="100">
        <f>J27</f>
        <v/>
      </c>
      <c r="K58" s="100">
        <f>K27</f>
        <v/>
      </c>
      <c r="L58" s="100">
        <f>L27</f>
        <v/>
      </c>
      <c r="M58" s="100">
        <f>M27</f>
        <v/>
      </c>
      <c r="N58" s="100">
        <f>N27</f>
        <v/>
      </c>
      <c r="O58" s="100">
        <f>O27</f>
        <v/>
      </c>
      <c r="P58" s="100">
        <f>P27</f>
        <v/>
      </c>
      <c r="Q58" s="100">
        <f>Q27</f>
        <v/>
      </c>
      <c r="R58" s="100">
        <f>R27</f>
        <v/>
      </c>
      <c r="S58" s="100">
        <f>S27</f>
        <v/>
      </c>
      <c r="T58" s="100">
        <f>T27</f>
        <v/>
      </c>
      <c r="U58" s="100">
        <f>U27</f>
        <v/>
      </c>
      <c r="V58" s="100">
        <f>V27</f>
        <v/>
      </c>
      <c r="W58" s="100">
        <f>W27</f>
        <v/>
      </c>
      <c r="X58" s="100">
        <f>X27</f>
        <v/>
      </c>
      <c r="Y58" s="100">
        <f>Y27</f>
        <v/>
      </c>
      <c r="Z58" s="100">
        <f>Z27</f>
        <v/>
      </c>
      <c r="AA58" s="100">
        <f>AA27</f>
        <v/>
      </c>
      <c r="AB58" s="100">
        <f>AB27</f>
        <v/>
      </c>
      <c r="AC58" s="100">
        <f>AC27</f>
        <v/>
      </c>
      <c r="AD58" s="100">
        <f>AD27</f>
        <v/>
      </c>
      <c r="AE58" s="100">
        <f>AE27</f>
        <v/>
      </c>
      <c r="AF58" s="100">
        <f>AF27</f>
        <v/>
      </c>
      <c r="AG58" s="100">
        <f>AG27</f>
        <v/>
      </c>
      <c r="AH58" s="100">
        <f>AH27</f>
        <v/>
      </c>
      <c r="AI58" s="100">
        <f>AI27</f>
        <v/>
      </c>
      <c r="AJ58" s="100">
        <f>AJ27</f>
        <v/>
      </c>
      <c r="AK58" s="100">
        <f>AK27</f>
        <v/>
      </c>
      <c r="AL58" s="100">
        <f>AL27</f>
        <v/>
      </c>
      <c r="AM58" s="100">
        <f>AM27</f>
        <v/>
      </c>
      <c r="AN58" s="100">
        <f>AN27</f>
        <v/>
      </c>
      <c r="AO58" s="100">
        <f>AO27</f>
        <v/>
      </c>
      <c r="AP58" s="100">
        <f>AP27</f>
        <v/>
      </c>
      <c r="AQ58" s="100">
        <f>AQ27</f>
        <v/>
      </c>
      <c r="AR58" s="100">
        <f>AR27</f>
        <v/>
      </c>
      <c r="AS58" s="100">
        <f>AS27</f>
        <v/>
      </c>
      <c r="AT58" s="100">
        <f>AT27</f>
        <v/>
      </c>
      <c r="AU58" s="100">
        <f>AU27</f>
        <v/>
      </c>
      <c r="AV58" s="100">
        <f>AV27</f>
        <v/>
      </c>
      <c r="AW58" s="100">
        <f>AW27</f>
        <v/>
      </c>
      <c r="AX58" s="100">
        <f>AX27</f>
        <v/>
      </c>
      <c r="AY58" s="100">
        <f>AY27</f>
        <v/>
      </c>
      <c r="AZ58" s="100">
        <f>AZ27</f>
        <v/>
      </c>
      <c r="BA58" s="100">
        <f>BA27</f>
        <v/>
      </c>
      <c r="BB58" s="100">
        <f>BB27</f>
        <v/>
      </c>
      <c r="BC58" s="100">
        <f>BC27</f>
        <v/>
      </c>
      <c r="BD58" s="100">
        <f>BD27</f>
        <v/>
      </c>
      <c r="BE58" s="100">
        <f>BE27</f>
        <v/>
      </c>
      <c r="BF58" s="100">
        <f>BF27</f>
        <v/>
      </c>
      <c r="BG58" s="100">
        <f>BG27</f>
        <v/>
      </c>
      <c r="BH58" s="100">
        <f>BH27</f>
        <v/>
      </c>
      <c r="BI58" s="100">
        <f>BI27</f>
        <v/>
      </c>
    </row>
    <row r="59">
      <c r="A59" s="2" t="inlineStr">
        <is>
          <t>Поставщицкие OPEX к оплате</t>
        </is>
      </c>
      <c r="B59" s="42">
        <f>'01_Вводные'!$B$21*(B37+B38+B39+B40+B41+B42+'07_Мерч'!B25)+(1-'01_Вводные'!$B$21)*0</f>
        <v/>
      </c>
      <c r="C59" s="42">
        <f>'01_Вводные'!$B$21*(C37+C38+C39+C40+C41+C42+'07_Мерч'!C25)+(1-'01_Вводные'!$B$21)*(B37+B38+B39+B40+B41+B42+'07_Мерч'!B25)</f>
        <v/>
      </c>
      <c r="D59" s="42">
        <f>'01_Вводные'!$B$21*(D37+D38+D39+D40+D41+D42+'07_Мерч'!D25)+(1-'01_Вводные'!$B$21)*(C37+C38+C39+C40+C41+C42+'07_Мерч'!C25)</f>
        <v/>
      </c>
      <c r="E59" s="42">
        <f>'01_Вводные'!$B$21*(E37+E38+E39+E40+E41+E42+'07_Мерч'!E25)+(1-'01_Вводные'!$B$21)*(D37+D38+D39+D40+D41+D42+'07_Мерч'!D25)</f>
        <v/>
      </c>
      <c r="F59" s="42">
        <f>'01_Вводные'!$B$21*(F37+F38+F39+F40+F41+F42+'07_Мерч'!F25)+(1-'01_Вводные'!$B$21)*(E37+E38+E39+E40+E41+E42+'07_Мерч'!E25)</f>
        <v/>
      </c>
      <c r="G59" s="42">
        <f>'01_Вводные'!$B$21*(G37+G38+G39+G40+G41+G42+'07_Мерч'!G25)+(1-'01_Вводные'!$B$21)*(F37+F38+F39+F40+F41+F42+'07_Мерч'!F25)</f>
        <v/>
      </c>
      <c r="H59" s="42">
        <f>'01_Вводные'!$B$21*(H37+H38+H39+H40+H41+H42+'07_Мерч'!H25)+(1-'01_Вводные'!$B$21)*(G37+G38+G39+G40+G41+G42+'07_Мерч'!G25)</f>
        <v/>
      </c>
      <c r="I59" s="42">
        <f>'01_Вводные'!$B$21*(I37+I38+I39+I40+I41+I42+'07_Мерч'!I25)+(1-'01_Вводные'!$B$21)*(H37+H38+H39+H40+H41+H42+'07_Мерч'!H25)</f>
        <v/>
      </c>
      <c r="J59" s="42">
        <f>'01_Вводные'!$B$21*(J37+J38+J39+J40+J41+J42+'07_Мерч'!J25)+(1-'01_Вводные'!$B$21)*(I37+I38+I39+I40+I41+I42+'07_Мерч'!I25)</f>
        <v/>
      </c>
      <c r="K59" s="42">
        <f>'01_Вводные'!$B$21*(K37+K38+K39+K40+K41+K42+'07_Мерч'!K25)+(1-'01_Вводные'!$B$21)*(J37+J38+J39+J40+J41+J42+'07_Мерч'!J25)</f>
        <v/>
      </c>
      <c r="L59" s="42">
        <f>'01_Вводные'!$B$21*(L37+L38+L39+L40+L41+L42+'07_Мерч'!L25)+(1-'01_Вводные'!$B$21)*(K37+K38+K39+K40+K41+K42+'07_Мерч'!K25)</f>
        <v/>
      </c>
      <c r="M59" s="42">
        <f>'01_Вводные'!$B$21*(M37+M38+M39+M40+M41+M42+'07_Мерч'!M25)+(1-'01_Вводные'!$B$21)*(L37+L38+L39+L40+L41+L42+'07_Мерч'!L25)</f>
        <v/>
      </c>
      <c r="N59" s="42">
        <f>'01_Вводные'!$B$21*(N37+N38+N39+N40+N41+N42+'07_Мерч'!N25)+(1-'01_Вводные'!$B$21)*(M37+M38+M39+M40+M41+M42+'07_Мерч'!M25)</f>
        <v/>
      </c>
      <c r="O59" s="42">
        <f>'01_Вводные'!$B$21*(O37+O38+O39+O40+O41+O42+'07_Мерч'!O25)+(1-'01_Вводные'!$B$21)*(N37+N38+N39+N40+N41+N42+'07_Мерч'!N25)</f>
        <v/>
      </c>
      <c r="P59" s="42">
        <f>'01_Вводные'!$B$21*(P37+P38+P39+P40+P41+P42+'07_Мерч'!P25)+(1-'01_Вводные'!$B$21)*(O37+O38+O39+O40+O41+O42+'07_Мерч'!O25)</f>
        <v/>
      </c>
      <c r="Q59" s="42">
        <f>'01_Вводные'!$B$21*(Q37+Q38+Q39+Q40+Q41+Q42+'07_Мерч'!Q25)+(1-'01_Вводные'!$B$21)*(P37+P38+P39+P40+P41+P42+'07_Мерч'!P25)</f>
        <v/>
      </c>
      <c r="R59" s="42">
        <f>'01_Вводные'!$B$21*(R37+R38+R39+R40+R41+R42+'07_Мерч'!R25)+(1-'01_Вводные'!$B$21)*(Q37+Q38+Q39+Q40+Q41+Q42+'07_Мерч'!Q25)</f>
        <v/>
      </c>
      <c r="S59" s="42">
        <f>'01_Вводные'!$B$21*(S37+S38+S39+S40+S41+S42+'07_Мерч'!S25)+(1-'01_Вводные'!$B$21)*(R37+R38+R39+R40+R41+R42+'07_Мерч'!R25)</f>
        <v/>
      </c>
      <c r="T59" s="42">
        <f>'01_Вводные'!$B$21*(T37+T38+T39+T40+T41+T42+'07_Мерч'!T25)+(1-'01_Вводные'!$B$21)*(S37+S38+S39+S40+S41+S42+'07_Мерч'!S25)</f>
        <v/>
      </c>
      <c r="U59" s="42">
        <f>'01_Вводные'!$B$21*(U37+U38+U39+U40+U41+U42+'07_Мерч'!U25)+(1-'01_Вводные'!$B$21)*(T37+T38+T39+T40+T41+T42+'07_Мерч'!T25)</f>
        <v/>
      </c>
      <c r="V59" s="42">
        <f>'01_Вводные'!$B$21*(V37+V38+V39+V40+V41+V42+'07_Мерч'!V25)+(1-'01_Вводные'!$B$21)*(U37+U38+U39+U40+U41+U42+'07_Мерч'!U25)</f>
        <v/>
      </c>
      <c r="W59" s="42">
        <f>'01_Вводные'!$B$21*(W37+W38+W39+W40+W41+W42+'07_Мерч'!W25)+(1-'01_Вводные'!$B$21)*(V37+V38+V39+V40+V41+V42+'07_Мерч'!V25)</f>
        <v/>
      </c>
      <c r="X59" s="42">
        <f>'01_Вводные'!$B$21*(X37+X38+X39+X40+X41+X42+'07_Мерч'!X25)+(1-'01_Вводные'!$B$21)*(W37+W38+W39+W40+W41+W42+'07_Мерч'!W25)</f>
        <v/>
      </c>
      <c r="Y59" s="42">
        <f>'01_Вводные'!$B$21*(Y37+Y38+Y39+Y40+Y41+Y42+'07_Мерч'!Y25)+(1-'01_Вводные'!$B$21)*(X37+X38+X39+X40+X41+X42+'07_Мерч'!X25)</f>
        <v/>
      </c>
      <c r="Z59" s="42">
        <f>'01_Вводные'!$B$21*(Z37+Z38+Z39+Z40+Z41+Z42+'07_Мерч'!Z25)+(1-'01_Вводные'!$B$21)*(Y37+Y38+Y39+Y40+Y41+Y42+'07_Мерч'!Y25)</f>
        <v/>
      </c>
      <c r="AA59" s="42">
        <f>'01_Вводные'!$B$21*(AA37+AA38+AA39+AA40+AA41+AA42+'07_Мерч'!AA25)+(1-'01_Вводные'!$B$21)*(Z37+Z38+Z39+Z40+Z41+Z42+'07_Мерч'!Z25)</f>
        <v/>
      </c>
      <c r="AB59" s="42">
        <f>'01_Вводные'!$B$21*(AB37+AB38+AB39+AB40+AB41+AB42+'07_Мерч'!AB25)+(1-'01_Вводные'!$B$21)*(AA37+AA38+AA39+AA40+AA41+AA42+'07_Мерч'!AA25)</f>
        <v/>
      </c>
      <c r="AC59" s="42">
        <f>'01_Вводные'!$B$21*(AC37+AC38+AC39+AC40+AC41+AC42+'07_Мерч'!AC25)+(1-'01_Вводные'!$B$21)*(AB37+AB38+AB39+AB40+AB41+AB42+'07_Мерч'!AB25)</f>
        <v/>
      </c>
      <c r="AD59" s="42">
        <f>'01_Вводные'!$B$21*(AD37+AD38+AD39+AD40+AD41+AD42+'07_Мерч'!AD25)+(1-'01_Вводные'!$B$21)*(AC37+AC38+AC39+AC40+AC41+AC42+'07_Мерч'!AC25)</f>
        <v/>
      </c>
      <c r="AE59" s="42">
        <f>'01_Вводные'!$B$21*(AE37+AE38+AE39+AE40+AE41+AE42+'07_Мерч'!AE25)+(1-'01_Вводные'!$B$21)*(AD37+AD38+AD39+AD40+AD41+AD42+'07_Мерч'!AD25)</f>
        <v/>
      </c>
      <c r="AF59" s="42">
        <f>'01_Вводные'!$B$21*(AF37+AF38+AF39+AF40+AF41+AF42+'07_Мерч'!AF25)+(1-'01_Вводные'!$B$21)*(AE37+AE38+AE39+AE40+AE41+AE42+'07_Мерч'!AE25)</f>
        <v/>
      </c>
      <c r="AG59" s="42">
        <f>'01_Вводные'!$B$21*(AG37+AG38+AG39+AG40+AG41+AG42+'07_Мерч'!AG25)+(1-'01_Вводные'!$B$21)*(AF37+AF38+AF39+AF40+AF41+AF42+'07_Мерч'!AF25)</f>
        <v/>
      </c>
      <c r="AH59" s="42">
        <f>'01_Вводные'!$B$21*(AH37+AH38+AH39+AH40+AH41+AH42+'07_Мерч'!AH25)+(1-'01_Вводные'!$B$21)*(AG37+AG38+AG39+AG40+AG41+AG42+'07_Мерч'!AG25)</f>
        <v/>
      </c>
      <c r="AI59" s="42">
        <f>'01_Вводные'!$B$21*(AI37+AI38+AI39+AI40+AI41+AI42+'07_Мерч'!AI25)+(1-'01_Вводные'!$B$21)*(AH37+AH38+AH39+AH40+AH41+AH42+'07_Мерч'!AH25)</f>
        <v/>
      </c>
      <c r="AJ59" s="42">
        <f>'01_Вводные'!$B$21*(AJ37+AJ38+AJ39+AJ40+AJ41+AJ42+'07_Мерч'!AJ25)+(1-'01_Вводные'!$B$21)*(AI37+AI38+AI39+AI40+AI41+AI42+'07_Мерч'!AI25)</f>
        <v/>
      </c>
      <c r="AK59" s="42">
        <f>'01_Вводные'!$B$21*(AK37+AK38+AK39+AK40+AK41+AK42+'07_Мерч'!AK25)+(1-'01_Вводные'!$B$21)*(AJ37+AJ38+AJ39+AJ40+AJ41+AJ42+'07_Мерч'!AJ25)</f>
        <v/>
      </c>
      <c r="AL59" s="42">
        <f>'01_Вводные'!$B$21*(AL37+AL38+AL39+AL40+AL41+AL42+'07_Мерч'!AL25)+(1-'01_Вводные'!$B$21)*(AK37+AK38+AK39+AK40+AK41+AK42+'07_Мерч'!AK25)</f>
        <v/>
      </c>
      <c r="AM59" s="42">
        <f>'01_Вводные'!$B$21*(AM37+AM38+AM39+AM40+AM41+AM42+'07_Мерч'!AM25)+(1-'01_Вводные'!$B$21)*(AL37+AL38+AL39+AL40+AL41+AL42+'07_Мерч'!AL25)</f>
        <v/>
      </c>
      <c r="AN59" s="42">
        <f>'01_Вводные'!$B$21*(AN37+AN38+AN39+AN40+AN41+AN42+'07_Мерч'!AN25)+(1-'01_Вводные'!$B$21)*(AM37+AM38+AM39+AM40+AM41+AM42+'07_Мерч'!AM25)</f>
        <v/>
      </c>
      <c r="AO59" s="42">
        <f>'01_Вводные'!$B$21*(AO37+AO38+AO39+AO40+AO41+AO42+'07_Мерч'!AO25)+(1-'01_Вводные'!$B$21)*(AN37+AN38+AN39+AN40+AN41+AN42+'07_Мерч'!AN25)</f>
        <v/>
      </c>
      <c r="AP59" s="42">
        <f>'01_Вводные'!$B$21*(AP37+AP38+AP39+AP40+AP41+AP42+'07_Мерч'!AP25)+(1-'01_Вводные'!$B$21)*(AO37+AO38+AO39+AO40+AO41+AO42+'07_Мерч'!AO25)</f>
        <v/>
      </c>
      <c r="AQ59" s="42">
        <f>'01_Вводные'!$B$21*(AQ37+AQ38+AQ39+AQ40+AQ41+AQ42+'07_Мерч'!AQ25)+(1-'01_Вводные'!$B$21)*(AP37+AP38+AP39+AP40+AP41+AP42+'07_Мерч'!AP25)</f>
        <v/>
      </c>
      <c r="AR59" s="42">
        <f>'01_Вводные'!$B$21*(AR37+AR38+AR39+AR40+AR41+AR42+'07_Мерч'!AR25)+(1-'01_Вводные'!$B$21)*(AQ37+AQ38+AQ39+AQ40+AQ41+AQ42+'07_Мерч'!AQ25)</f>
        <v/>
      </c>
      <c r="AS59" s="42">
        <f>'01_Вводные'!$B$21*(AS37+AS38+AS39+AS40+AS41+AS42+'07_Мерч'!AS25)+(1-'01_Вводные'!$B$21)*(AR37+AR38+AR39+AR40+AR41+AR42+'07_Мерч'!AR25)</f>
        <v/>
      </c>
      <c r="AT59" s="42">
        <f>'01_Вводные'!$B$21*(AT37+AT38+AT39+AT40+AT41+AT42+'07_Мерч'!AT25)+(1-'01_Вводные'!$B$21)*(AS37+AS38+AS39+AS40+AS41+AS42+'07_Мерч'!AS25)</f>
        <v/>
      </c>
      <c r="AU59" s="42">
        <f>'01_Вводные'!$B$21*(AU37+AU38+AU39+AU40+AU41+AU42+'07_Мерч'!AU25)+(1-'01_Вводные'!$B$21)*(AT37+AT38+AT39+AT40+AT41+AT42+'07_Мерч'!AT25)</f>
        <v/>
      </c>
      <c r="AV59" s="42">
        <f>'01_Вводные'!$B$21*(AV37+AV38+AV39+AV40+AV41+AV42+'07_Мерч'!AV25)+(1-'01_Вводные'!$B$21)*(AU37+AU38+AU39+AU40+AU41+AU42+'07_Мерч'!AU25)</f>
        <v/>
      </c>
      <c r="AW59" s="42">
        <f>'01_Вводные'!$B$21*(AW37+AW38+AW39+AW40+AW41+AW42+'07_Мерч'!AW25)+(1-'01_Вводные'!$B$21)*(AV37+AV38+AV39+AV40+AV41+AV42+'07_Мерч'!AV25)</f>
        <v/>
      </c>
      <c r="AX59" s="42">
        <f>'01_Вводные'!$B$21*(AX37+AX38+AX39+AX40+AX41+AX42+'07_Мерч'!AX25)+(1-'01_Вводные'!$B$21)*(AW37+AW38+AW39+AW40+AW41+AW42+'07_Мерч'!AW25)</f>
        <v/>
      </c>
      <c r="AY59" s="42">
        <f>'01_Вводные'!$B$21*(AY37+AY38+AY39+AY40+AY41+AY42+'07_Мерч'!AY25)+(1-'01_Вводные'!$B$21)*(AX37+AX38+AX39+AX40+AX41+AX42+'07_Мерч'!AX25)</f>
        <v/>
      </c>
      <c r="AZ59" s="42">
        <f>'01_Вводные'!$B$21*(AZ37+AZ38+AZ39+AZ40+AZ41+AZ42+'07_Мерч'!AZ25)+(1-'01_Вводные'!$B$21)*(AY37+AY38+AY39+AY40+AY41+AY42+'07_Мерч'!AY25)</f>
        <v/>
      </c>
      <c r="BA59" s="42">
        <f>'01_Вводные'!$B$21*(BA37+BA38+BA39+BA40+BA41+BA42+'07_Мерч'!BA25)+(1-'01_Вводные'!$B$21)*(AZ37+AZ38+AZ39+AZ40+AZ41+AZ42+'07_Мерч'!AZ25)</f>
        <v/>
      </c>
      <c r="BB59" s="42">
        <f>'01_Вводные'!$B$21*(BB37+BB38+BB39+BB40+BB41+BB42+'07_Мерч'!BB25)+(1-'01_Вводные'!$B$21)*(BA37+BA38+BA39+BA40+BA41+BA42+'07_Мерч'!BA25)</f>
        <v/>
      </c>
      <c r="BC59" s="42">
        <f>'01_Вводные'!$B$21*(BC37+BC38+BC39+BC40+BC41+BC42+'07_Мерч'!BC25)+(1-'01_Вводные'!$B$21)*(BB37+BB38+BB39+BB40+BB41+BB42+'07_Мерч'!BB25)</f>
        <v/>
      </c>
      <c r="BD59" s="42">
        <f>'01_Вводные'!$B$21*(BD37+BD38+BD39+BD40+BD41+BD42+'07_Мерч'!BD25)+(1-'01_Вводные'!$B$21)*(BC37+BC38+BC39+BC40+BC41+BC42+'07_Мерч'!BC25)</f>
        <v/>
      </c>
      <c r="BE59" s="42">
        <f>'01_Вводные'!$B$21*(BE37+BE38+BE39+BE40+BE41+BE42+'07_Мерч'!BE25)+(1-'01_Вводные'!$B$21)*(BD37+BD38+BD39+BD40+BD41+BD42+'07_Мерч'!BD25)</f>
        <v/>
      </c>
      <c r="BF59" s="42">
        <f>'01_Вводные'!$B$21*(BF37+BF38+BF39+BF40+BF41+BF42+'07_Мерч'!BF25)+(1-'01_Вводные'!$B$21)*(BE37+BE38+BE39+BE40+BE41+BE42+'07_Мерч'!BE25)</f>
        <v/>
      </c>
      <c r="BG59" s="42">
        <f>'01_Вводные'!$B$21*(BG37+BG38+BG39+BG40+BG41+BG42+'07_Мерч'!BG25)+(1-'01_Вводные'!$B$21)*(BF37+BF38+BF39+BF40+BF41+BF42+'07_Мерч'!BF25)</f>
        <v/>
      </c>
      <c r="BH59" s="42">
        <f>'01_Вводные'!$B$21*(BH37+BH38+BH39+BH40+BH41+BH42+'07_Мерч'!BH25)+(1-'01_Вводные'!$B$21)*(BG37+BG38+BG39+BG40+BG41+BG42+'07_Мерч'!BG25)</f>
        <v/>
      </c>
      <c r="BI59" s="42">
        <f>'01_Вводные'!$B$21*(BI37+BI38+BI39+BI40+BI41+BI42+'07_Мерч'!BI25)+(1-'01_Вводные'!$B$21)*(BH37+BH38+BH39+BH40+BH41+BH42+'07_Мерч'!BH25)</f>
        <v/>
      </c>
    </row>
    <row r="60">
      <c r="A60" s="2" t="inlineStr">
        <is>
          <t>ФОТ / кадровые cash</t>
        </is>
      </c>
      <c r="B60" s="42">
        <f>B36</f>
        <v/>
      </c>
      <c r="C60" s="42">
        <f>C36</f>
        <v/>
      </c>
      <c r="D60" s="42">
        <f>D36</f>
        <v/>
      </c>
      <c r="E60" s="42">
        <f>E36</f>
        <v/>
      </c>
      <c r="F60" s="42">
        <f>F36</f>
        <v/>
      </c>
      <c r="G60" s="42">
        <f>G36</f>
        <v/>
      </c>
      <c r="H60" s="42">
        <f>H36</f>
        <v/>
      </c>
      <c r="I60" s="42">
        <f>I36</f>
        <v/>
      </c>
      <c r="J60" s="42">
        <f>J36</f>
        <v/>
      </c>
      <c r="K60" s="42">
        <f>K36</f>
        <v/>
      </c>
      <c r="L60" s="42">
        <f>L36</f>
        <v/>
      </c>
      <c r="M60" s="42">
        <f>M36</f>
        <v/>
      </c>
      <c r="N60" s="42">
        <f>N36</f>
        <v/>
      </c>
      <c r="O60" s="42">
        <f>O36</f>
        <v/>
      </c>
      <c r="P60" s="42">
        <f>P36</f>
        <v/>
      </c>
      <c r="Q60" s="42">
        <f>Q36</f>
        <v/>
      </c>
      <c r="R60" s="42">
        <f>R36</f>
        <v/>
      </c>
      <c r="S60" s="42">
        <f>S36</f>
        <v/>
      </c>
      <c r="T60" s="42">
        <f>T36</f>
        <v/>
      </c>
      <c r="U60" s="42">
        <f>U36</f>
        <v/>
      </c>
      <c r="V60" s="42">
        <f>V36</f>
        <v/>
      </c>
      <c r="W60" s="42">
        <f>W36</f>
        <v/>
      </c>
      <c r="X60" s="42">
        <f>X36</f>
        <v/>
      </c>
      <c r="Y60" s="42">
        <f>Y36</f>
        <v/>
      </c>
      <c r="Z60" s="42">
        <f>Z36</f>
        <v/>
      </c>
      <c r="AA60" s="42">
        <f>AA36</f>
        <v/>
      </c>
      <c r="AB60" s="42">
        <f>AB36</f>
        <v/>
      </c>
      <c r="AC60" s="42">
        <f>AC36</f>
        <v/>
      </c>
      <c r="AD60" s="42">
        <f>AD36</f>
        <v/>
      </c>
      <c r="AE60" s="42">
        <f>AE36</f>
        <v/>
      </c>
      <c r="AF60" s="42">
        <f>AF36</f>
        <v/>
      </c>
      <c r="AG60" s="42">
        <f>AG36</f>
        <v/>
      </c>
      <c r="AH60" s="42">
        <f>AH36</f>
        <v/>
      </c>
      <c r="AI60" s="42">
        <f>AI36</f>
        <v/>
      </c>
      <c r="AJ60" s="42">
        <f>AJ36</f>
        <v/>
      </c>
      <c r="AK60" s="42">
        <f>AK36</f>
        <v/>
      </c>
      <c r="AL60" s="42">
        <f>AL36</f>
        <v/>
      </c>
      <c r="AM60" s="42">
        <f>AM36</f>
        <v/>
      </c>
      <c r="AN60" s="42">
        <f>AN36</f>
        <v/>
      </c>
      <c r="AO60" s="42">
        <f>AO36</f>
        <v/>
      </c>
      <c r="AP60" s="42">
        <f>AP36</f>
        <v/>
      </c>
      <c r="AQ60" s="42">
        <f>AQ36</f>
        <v/>
      </c>
      <c r="AR60" s="42">
        <f>AR36</f>
        <v/>
      </c>
      <c r="AS60" s="42">
        <f>AS36</f>
        <v/>
      </c>
      <c r="AT60" s="42">
        <f>AT36</f>
        <v/>
      </c>
      <c r="AU60" s="42">
        <f>AU36</f>
        <v/>
      </c>
      <c r="AV60" s="42">
        <f>AV36</f>
        <v/>
      </c>
      <c r="AW60" s="42">
        <f>AW36</f>
        <v/>
      </c>
      <c r="AX60" s="42">
        <f>AX36</f>
        <v/>
      </c>
      <c r="AY60" s="42">
        <f>AY36</f>
        <v/>
      </c>
      <c r="AZ60" s="42">
        <f>AZ36</f>
        <v/>
      </c>
      <c r="BA60" s="42">
        <f>BA36</f>
        <v/>
      </c>
      <c r="BB60" s="42">
        <f>BB36</f>
        <v/>
      </c>
      <c r="BC60" s="42">
        <f>BC36</f>
        <v/>
      </c>
      <c r="BD60" s="42">
        <f>BD36</f>
        <v/>
      </c>
      <c r="BE60" s="42">
        <f>BE36</f>
        <v/>
      </c>
      <c r="BF60" s="42">
        <f>BF36</f>
        <v/>
      </c>
      <c r="BG60" s="42">
        <f>BG36</f>
        <v/>
      </c>
      <c r="BH60" s="42">
        <f>BH36</f>
        <v/>
      </c>
      <c r="BI60" s="42">
        <f>BI36</f>
        <v/>
      </c>
    </row>
    <row r="61">
      <c r="A61" s="2" t="inlineStr">
        <is>
          <t>ФК — cash</t>
        </is>
      </c>
      <c r="B61" s="42">
        <f>B29+(B53/(1+'01_Вводные'!$B$58))*'01_Вводные'!$B$60+B28</f>
        <v/>
      </c>
      <c r="C61" s="42">
        <f>C29+(C53/(1+'01_Вводные'!$B$58))*'01_Вводные'!$B$60+C28</f>
        <v/>
      </c>
      <c r="D61" s="42">
        <f>D29+(D53/(1+'01_Вводные'!$B$58))*'01_Вводные'!$B$60+D28</f>
        <v/>
      </c>
      <c r="E61" s="42">
        <f>E29+(E53/(1+'01_Вводные'!$B$58))*'01_Вводные'!$B$60+E28</f>
        <v/>
      </c>
      <c r="F61" s="42">
        <f>F29+(F53/(1+'01_Вводные'!$B$58))*'01_Вводные'!$B$60+F28</f>
        <v/>
      </c>
      <c r="G61" s="42">
        <f>G29+(G53/(1+'01_Вводные'!$B$58))*'01_Вводные'!$B$60+G28</f>
        <v/>
      </c>
      <c r="H61" s="42">
        <f>H29+(H53/(1+'01_Вводные'!$B$58))*'01_Вводные'!$B$60+H28</f>
        <v/>
      </c>
      <c r="I61" s="42">
        <f>I29+(I53/(1+'01_Вводные'!$B$58))*'01_Вводные'!$B$60+I28</f>
        <v/>
      </c>
      <c r="J61" s="42">
        <f>J29+(J53/(1+'01_Вводные'!$B$58))*'01_Вводные'!$B$60+J28</f>
        <v/>
      </c>
      <c r="K61" s="42">
        <f>K29+(K53/(1+'01_Вводные'!$B$58))*'01_Вводные'!$B$60+K28</f>
        <v/>
      </c>
      <c r="L61" s="42">
        <f>L29+(L53/(1+'01_Вводные'!$B$58))*'01_Вводные'!$B$60+L28</f>
        <v/>
      </c>
      <c r="M61" s="42">
        <f>M29+(M53/(1+'01_Вводные'!$B$58))*'01_Вводные'!$B$60+M28</f>
        <v/>
      </c>
      <c r="N61" s="42">
        <f>N29+(N53/(1+'01_Вводные'!$B$58))*'01_Вводные'!$B$60+N28</f>
        <v/>
      </c>
      <c r="O61" s="42">
        <f>O29+(O53/(1+'01_Вводные'!$B$58))*'01_Вводные'!$B$60+O28</f>
        <v/>
      </c>
      <c r="P61" s="42">
        <f>P29+(P53/(1+'01_Вводные'!$B$58))*'01_Вводные'!$B$60+P28</f>
        <v/>
      </c>
      <c r="Q61" s="42">
        <f>Q29+(Q53/(1+'01_Вводные'!$B$58))*'01_Вводные'!$B$60+Q28</f>
        <v/>
      </c>
      <c r="R61" s="42">
        <f>R29+(R53/(1+'01_Вводные'!$B$58))*'01_Вводные'!$B$60+R28</f>
        <v/>
      </c>
      <c r="S61" s="42">
        <f>S29+(S53/(1+'01_Вводные'!$B$58))*'01_Вводные'!$B$60+S28</f>
        <v/>
      </c>
      <c r="T61" s="42">
        <f>T29+(T53/(1+'01_Вводные'!$B$58))*'01_Вводные'!$B$60+T28</f>
        <v/>
      </c>
      <c r="U61" s="42">
        <f>U29+(U53/(1+'01_Вводные'!$B$58))*'01_Вводные'!$B$60+U28</f>
        <v/>
      </c>
      <c r="V61" s="42">
        <f>V29+(V53/(1+'01_Вводные'!$B$58))*'01_Вводные'!$B$60+V28</f>
        <v/>
      </c>
      <c r="W61" s="42">
        <f>W29+(W53/(1+'01_Вводные'!$B$58))*'01_Вводные'!$B$60+W28</f>
        <v/>
      </c>
      <c r="X61" s="42">
        <f>X29+(X53/(1+'01_Вводные'!$B$58))*'01_Вводные'!$B$60+X28</f>
        <v/>
      </c>
      <c r="Y61" s="42">
        <f>Y29+(Y53/(1+'01_Вводные'!$B$58))*'01_Вводные'!$B$60+Y28</f>
        <v/>
      </c>
      <c r="Z61" s="42">
        <f>Z29+(Z53/(1+'01_Вводные'!$B$58))*'01_Вводные'!$B$60+Z28</f>
        <v/>
      </c>
      <c r="AA61" s="42">
        <f>AA29+(AA53/(1+'01_Вводные'!$B$58))*'01_Вводные'!$B$60+AA28</f>
        <v/>
      </c>
      <c r="AB61" s="42">
        <f>AB29+(AB53/(1+'01_Вводные'!$B$58))*'01_Вводные'!$B$60+AB28</f>
        <v/>
      </c>
      <c r="AC61" s="42">
        <f>AC29+(AC53/(1+'01_Вводные'!$B$58))*'01_Вводные'!$B$60+AC28</f>
        <v/>
      </c>
      <c r="AD61" s="42">
        <f>AD29+(AD53/(1+'01_Вводные'!$B$58))*'01_Вводные'!$B$60+AD28</f>
        <v/>
      </c>
      <c r="AE61" s="42">
        <f>AE29+(AE53/(1+'01_Вводные'!$B$58))*'01_Вводные'!$B$60+AE28</f>
        <v/>
      </c>
      <c r="AF61" s="42">
        <f>AF29+(AF53/(1+'01_Вводные'!$B$58))*'01_Вводные'!$B$60+AF28</f>
        <v/>
      </c>
      <c r="AG61" s="42">
        <f>AG29+(AG53/(1+'01_Вводные'!$B$58))*'01_Вводные'!$B$60+AG28</f>
        <v/>
      </c>
      <c r="AH61" s="42">
        <f>AH29+(AH53/(1+'01_Вводные'!$B$58))*'01_Вводные'!$B$60+AH28</f>
        <v/>
      </c>
      <c r="AI61" s="42">
        <f>AI29+(AI53/(1+'01_Вводные'!$B$58))*'01_Вводные'!$B$60+AI28</f>
        <v/>
      </c>
      <c r="AJ61" s="42">
        <f>AJ29+(AJ53/(1+'01_Вводные'!$B$58))*'01_Вводные'!$B$60+AJ28</f>
        <v/>
      </c>
      <c r="AK61" s="42">
        <f>AK29+(AK53/(1+'01_Вводные'!$B$58))*'01_Вводные'!$B$60+AK28</f>
        <v/>
      </c>
      <c r="AL61" s="42">
        <f>AL29+(AL53/(1+'01_Вводные'!$B$58))*'01_Вводные'!$B$60+AL28</f>
        <v/>
      </c>
      <c r="AM61" s="42">
        <f>AM29+(AM53/(1+'01_Вводные'!$B$58))*'01_Вводные'!$B$60+AM28</f>
        <v/>
      </c>
      <c r="AN61" s="42">
        <f>AN29+(AN53/(1+'01_Вводные'!$B$58))*'01_Вводные'!$B$60+AN28</f>
        <v/>
      </c>
      <c r="AO61" s="42">
        <f>AO29+(AO53/(1+'01_Вводные'!$B$58))*'01_Вводные'!$B$60+AO28</f>
        <v/>
      </c>
      <c r="AP61" s="42">
        <f>AP29+(AP53/(1+'01_Вводные'!$B$58))*'01_Вводные'!$B$60+AP28</f>
        <v/>
      </c>
      <c r="AQ61" s="42">
        <f>AQ29+(AQ53/(1+'01_Вводные'!$B$58))*'01_Вводные'!$B$60+AQ28</f>
        <v/>
      </c>
      <c r="AR61" s="42">
        <f>AR29+(AR53/(1+'01_Вводные'!$B$58))*'01_Вводные'!$B$60+AR28</f>
        <v/>
      </c>
      <c r="AS61" s="42">
        <f>AS29+(AS53/(1+'01_Вводные'!$B$58))*'01_Вводные'!$B$60+AS28</f>
        <v/>
      </c>
      <c r="AT61" s="42">
        <f>AT29+(AT53/(1+'01_Вводные'!$B$58))*'01_Вводные'!$B$60+AT28</f>
        <v/>
      </c>
      <c r="AU61" s="42">
        <f>AU29+(AU53/(1+'01_Вводные'!$B$58))*'01_Вводные'!$B$60+AU28</f>
        <v/>
      </c>
      <c r="AV61" s="42">
        <f>AV29+(AV53/(1+'01_Вводные'!$B$58))*'01_Вводные'!$B$60+AV28</f>
        <v/>
      </c>
      <c r="AW61" s="42">
        <f>AW29+(AW53/(1+'01_Вводные'!$B$58))*'01_Вводные'!$B$60+AW28</f>
        <v/>
      </c>
      <c r="AX61" s="42">
        <f>AX29+(AX53/(1+'01_Вводные'!$B$58))*'01_Вводные'!$B$60+AX28</f>
        <v/>
      </c>
      <c r="AY61" s="42">
        <f>AY29+(AY53/(1+'01_Вводные'!$B$58))*'01_Вводные'!$B$60+AY28</f>
        <v/>
      </c>
      <c r="AZ61" s="42">
        <f>AZ29+(AZ53/(1+'01_Вводные'!$B$58))*'01_Вводные'!$B$60+AZ28</f>
        <v/>
      </c>
      <c r="BA61" s="42">
        <f>BA29+(BA53/(1+'01_Вводные'!$B$58))*'01_Вводные'!$B$60+BA28</f>
        <v/>
      </c>
      <c r="BB61" s="42">
        <f>BB29+(BB53/(1+'01_Вводные'!$B$58))*'01_Вводные'!$B$60+BB28</f>
        <v/>
      </c>
      <c r="BC61" s="42">
        <f>BC29+(BC53/(1+'01_Вводные'!$B$58))*'01_Вводные'!$B$60+BC28</f>
        <v/>
      </c>
      <c r="BD61" s="42">
        <f>BD29+(BD53/(1+'01_Вводные'!$B$58))*'01_Вводные'!$B$60+BD28</f>
        <v/>
      </c>
      <c r="BE61" s="42">
        <f>BE29+(BE53/(1+'01_Вводные'!$B$58))*'01_Вводные'!$B$60+BE28</f>
        <v/>
      </c>
      <c r="BF61" s="42">
        <f>BF29+(BF53/(1+'01_Вводные'!$B$58))*'01_Вводные'!$B$60+BF28</f>
        <v/>
      </c>
      <c r="BG61" s="42">
        <f>BG29+(BG53/(1+'01_Вводные'!$B$58))*'01_Вводные'!$B$60+BG28</f>
        <v/>
      </c>
      <c r="BH61" s="42">
        <f>BH29+(BH53/(1+'01_Вводные'!$B$58))*'01_Вводные'!$B$60+BH28</f>
        <v/>
      </c>
      <c r="BI61" s="42">
        <f>BI29+(BI53/(1+'01_Вводные'!$B$58))*'01_Вводные'!$B$60+BI28</f>
        <v/>
      </c>
    </row>
    <row r="62">
      <c r="A62" s="2" t="inlineStr">
        <is>
          <t>НДС основной деятельности</t>
        </is>
      </c>
      <c r="B62" s="42">
        <f>(B52+B53+B54)-(B52+B53+B54)/(1+'01_Вводные'!$B$58)</f>
        <v/>
      </c>
      <c r="C62" s="42">
        <f>(C52+C53+C54)-(C52+C53+C54)/(1+'01_Вводные'!$B$58)</f>
        <v/>
      </c>
      <c r="D62" s="42">
        <f>(D52+D53+D54)-(D52+D53+D54)/(1+'01_Вводные'!$B$58)</f>
        <v/>
      </c>
      <c r="E62" s="42">
        <f>(E52+E53+E54)-(E52+E53+E54)/(1+'01_Вводные'!$B$58)</f>
        <v/>
      </c>
      <c r="F62" s="42">
        <f>(F52+F53+F54)-(F52+F53+F54)/(1+'01_Вводные'!$B$58)</f>
        <v/>
      </c>
      <c r="G62" s="42">
        <f>(G52+G53+G54)-(G52+G53+G54)/(1+'01_Вводные'!$B$58)</f>
        <v/>
      </c>
      <c r="H62" s="42">
        <f>(H52+H53+H54)-(H52+H53+H54)/(1+'01_Вводные'!$B$58)</f>
        <v/>
      </c>
      <c r="I62" s="42">
        <f>(I52+I53+I54)-(I52+I53+I54)/(1+'01_Вводные'!$B$58)</f>
        <v/>
      </c>
      <c r="J62" s="42">
        <f>(J52+J53+J54)-(J52+J53+J54)/(1+'01_Вводные'!$B$58)</f>
        <v/>
      </c>
      <c r="K62" s="42">
        <f>(K52+K53+K54)-(K52+K53+K54)/(1+'01_Вводные'!$B$58)</f>
        <v/>
      </c>
      <c r="L62" s="42">
        <f>(L52+L53+L54)-(L52+L53+L54)/(1+'01_Вводные'!$B$58)</f>
        <v/>
      </c>
      <c r="M62" s="42">
        <f>(M52+M53+M54)-(M52+M53+M54)/(1+'01_Вводные'!$B$58)</f>
        <v/>
      </c>
      <c r="N62" s="42">
        <f>(N52+N53+N54)-(N52+N53+N54)/(1+'01_Вводные'!$B$58)</f>
        <v/>
      </c>
      <c r="O62" s="42">
        <f>(O52+O53+O54)-(O52+O53+O54)/(1+'01_Вводные'!$B$58)</f>
        <v/>
      </c>
      <c r="P62" s="42">
        <f>(P52+P53+P54)-(P52+P53+P54)/(1+'01_Вводные'!$B$58)</f>
        <v/>
      </c>
      <c r="Q62" s="42">
        <f>(Q52+Q53+Q54)-(Q52+Q53+Q54)/(1+'01_Вводные'!$B$58)</f>
        <v/>
      </c>
      <c r="R62" s="42">
        <f>(R52+R53+R54)-(R52+R53+R54)/(1+'01_Вводные'!$B$58)</f>
        <v/>
      </c>
      <c r="S62" s="42">
        <f>(S52+S53+S54)-(S52+S53+S54)/(1+'01_Вводные'!$B$58)</f>
        <v/>
      </c>
      <c r="T62" s="42">
        <f>(T52+T53+T54)-(T52+T53+T54)/(1+'01_Вводные'!$B$58)</f>
        <v/>
      </c>
      <c r="U62" s="42">
        <f>(U52+U53+U54)-(U52+U53+U54)/(1+'01_Вводные'!$B$58)</f>
        <v/>
      </c>
      <c r="V62" s="42">
        <f>(V52+V53+V54)-(V52+V53+V54)/(1+'01_Вводные'!$B$58)</f>
        <v/>
      </c>
      <c r="W62" s="42">
        <f>(W52+W53+W54)-(W52+W53+W54)/(1+'01_Вводные'!$B$58)</f>
        <v/>
      </c>
      <c r="X62" s="42">
        <f>(X52+X53+X54)-(X52+X53+X54)/(1+'01_Вводные'!$B$58)</f>
        <v/>
      </c>
      <c r="Y62" s="42">
        <f>(Y52+Y53+Y54)-(Y52+Y53+Y54)/(1+'01_Вводные'!$B$58)</f>
        <v/>
      </c>
      <c r="Z62" s="42">
        <f>(Z52+Z53+Z54)-(Z52+Z53+Z54)/(1+'01_Вводные'!$B$58)</f>
        <v/>
      </c>
      <c r="AA62" s="42">
        <f>(AA52+AA53+AA54)-(AA52+AA53+AA54)/(1+'01_Вводные'!$B$58)</f>
        <v/>
      </c>
      <c r="AB62" s="42">
        <f>(AB52+AB53+AB54)-(AB52+AB53+AB54)/(1+'01_Вводные'!$B$58)</f>
        <v/>
      </c>
      <c r="AC62" s="42">
        <f>(AC52+AC53+AC54)-(AC52+AC53+AC54)/(1+'01_Вводные'!$B$58)</f>
        <v/>
      </c>
      <c r="AD62" s="42">
        <f>(AD52+AD53+AD54)-(AD52+AD53+AD54)/(1+'01_Вводные'!$B$58)</f>
        <v/>
      </c>
      <c r="AE62" s="42">
        <f>(AE52+AE53+AE54)-(AE52+AE53+AE54)/(1+'01_Вводные'!$B$58)</f>
        <v/>
      </c>
      <c r="AF62" s="42">
        <f>(AF52+AF53+AF54)-(AF52+AF53+AF54)/(1+'01_Вводные'!$B$58)</f>
        <v/>
      </c>
      <c r="AG62" s="42">
        <f>(AG52+AG53+AG54)-(AG52+AG53+AG54)/(1+'01_Вводные'!$B$58)</f>
        <v/>
      </c>
      <c r="AH62" s="42">
        <f>(AH52+AH53+AH54)-(AH52+AH53+AH54)/(1+'01_Вводные'!$B$58)</f>
        <v/>
      </c>
      <c r="AI62" s="42">
        <f>(AI52+AI53+AI54)-(AI52+AI53+AI54)/(1+'01_Вводные'!$B$58)</f>
        <v/>
      </c>
      <c r="AJ62" s="42">
        <f>(AJ52+AJ53+AJ54)-(AJ52+AJ53+AJ54)/(1+'01_Вводные'!$B$58)</f>
        <v/>
      </c>
      <c r="AK62" s="42">
        <f>(AK52+AK53+AK54)-(AK52+AK53+AK54)/(1+'01_Вводные'!$B$58)</f>
        <v/>
      </c>
      <c r="AL62" s="42">
        <f>(AL52+AL53+AL54)-(AL52+AL53+AL54)/(1+'01_Вводные'!$B$58)</f>
        <v/>
      </c>
      <c r="AM62" s="42">
        <f>(AM52+AM53+AM54)-(AM52+AM53+AM54)/(1+'01_Вводные'!$B$58)</f>
        <v/>
      </c>
      <c r="AN62" s="42">
        <f>(AN52+AN53+AN54)-(AN52+AN53+AN54)/(1+'01_Вводные'!$B$58)</f>
        <v/>
      </c>
      <c r="AO62" s="42">
        <f>(AO52+AO53+AO54)-(AO52+AO53+AO54)/(1+'01_Вводные'!$B$58)</f>
        <v/>
      </c>
      <c r="AP62" s="42">
        <f>(AP52+AP53+AP54)-(AP52+AP53+AP54)/(1+'01_Вводные'!$B$58)</f>
        <v/>
      </c>
      <c r="AQ62" s="42">
        <f>(AQ52+AQ53+AQ54)-(AQ52+AQ53+AQ54)/(1+'01_Вводные'!$B$58)</f>
        <v/>
      </c>
      <c r="AR62" s="42">
        <f>(AR52+AR53+AR54)-(AR52+AR53+AR54)/(1+'01_Вводные'!$B$58)</f>
        <v/>
      </c>
      <c r="AS62" s="42">
        <f>(AS52+AS53+AS54)-(AS52+AS53+AS54)/(1+'01_Вводные'!$B$58)</f>
        <v/>
      </c>
      <c r="AT62" s="42">
        <f>(AT52+AT53+AT54)-(AT52+AT53+AT54)/(1+'01_Вводные'!$B$58)</f>
        <v/>
      </c>
      <c r="AU62" s="42">
        <f>(AU52+AU53+AU54)-(AU52+AU53+AU54)/(1+'01_Вводные'!$B$58)</f>
        <v/>
      </c>
      <c r="AV62" s="42">
        <f>(AV52+AV53+AV54)-(AV52+AV53+AV54)/(1+'01_Вводные'!$B$58)</f>
        <v/>
      </c>
      <c r="AW62" s="42">
        <f>(AW52+AW53+AW54)-(AW52+AW53+AW54)/(1+'01_Вводные'!$B$58)</f>
        <v/>
      </c>
      <c r="AX62" s="42">
        <f>(AX52+AX53+AX54)-(AX52+AX53+AX54)/(1+'01_Вводные'!$B$58)</f>
        <v/>
      </c>
      <c r="AY62" s="42">
        <f>(AY52+AY53+AY54)-(AY52+AY53+AY54)/(1+'01_Вводные'!$B$58)</f>
        <v/>
      </c>
      <c r="AZ62" s="42">
        <f>(AZ52+AZ53+AZ54)-(AZ52+AZ53+AZ54)/(1+'01_Вводные'!$B$58)</f>
        <v/>
      </c>
      <c r="BA62" s="42">
        <f>(BA52+BA53+BA54)-(BA52+BA53+BA54)/(1+'01_Вводные'!$B$58)</f>
        <v/>
      </c>
      <c r="BB62" s="42">
        <f>(BB52+BB53+BB54)-(BB52+BB53+BB54)/(1+'01_Вводные'!$B$58)</f>
        <v/>
      </c>
      <c r="BC62" s="42">
        <f>(BC52+BC53+BC54)-(BC52+BC53+BC54)/(1+'01_Вводные'!$B$58)</f>
        <v/>
      </c>
      <c r="BD62" s="42">
        <f>(BD52+BD53+BD54)-(BD52+BD53+BD54)/(1+'01_Вводные'!$B$58)</f>
        <v/>
      </c>
      <c r="BE62" s="42">
        <f>(BE52+BE53+BE54)-(BE52+BE53+BE54)/(1+'01_Вводные'!$B$58)</f>
        <v/>
      </c>
      <c r="BF62" s="42">
        <f>(BF52+BF53+BF54)-(BF52+BF53+BF54)/(1+'01_Вводные'!$B$58)</f>
        <v/>
      </c>
      <c r="BG62" s="42">
        <f>(BG52+BG53+BG54)-(BG52+BG53+BG54)/(1+'01_Вводные'!$B$58)</f>
        <v/>
      </c>
      <c r="BH62" s="42">
        <f>(BH52+BH53+BH54)-(BH52+BH53+BH54)/(1+'01_Вводные'!$B$58)</f>
        <v/>
      </c>
      <c r="BI62" s="42">
        <f>(BI52+BI53+BI54)-(BI52+BI53+BI54)/(1+'01_Вводные'!$B$58)</f>
        <v/>
      </c>
    </row>
    <row r="63">
      <c r="A63" s="2" t="inlineStr">
        <is>
          <t>НДС лагеря</t>
        </is>
      </c>
      <c r="B63" s="40">
        <f>'09_Лагеря'!B11</f>
        <v/>
      </c>
      <c r="C63" s="40">
        <f>'09_Лагеря'!C11</f>
        <v/>
      </c>
      <c r="D63" s="40">
        <f>'09_Лагеря'!D11</f>
        <v/>
      </c>
      <c r="E63" s="40">
        <f>'09_Лагеря'!E11</f>
        <v/>
      </c>
      <c r="F63" s="40">
        <f>'09_Лагеря'!F11</f>
        <v/>
      </c>
      <c r="G63" s="40">
        <f>'09_Лагеря'!G11</f>
        <v/>
      </c>
      <c r="H63" s="40">
        <f>'09_Лагеря'!H11</f>
        <v/>
      </c>
      <c r="I63" s="40">
        <f>'09_Лагеря'!I11</f>
        <v/>
      </c>
      <c r="J63" s="40">
        <f>'09_Лагеря'!J11</f>
        <v/>
      </c>
      <c r="K63" s="40">
        <f>'09_Лагеря'!K11</f>
        <v/>
      </c>
      <c r="L63" s="40">
        <f>'09_Лагеря'!L11</f>
        <v/>
      </c>
      <c r="M63" s="40">
        <f>'09_Лагеря'!M11</f>
        <v/>
      </c>
      <c r="N63" s="40">
        <f>'09_Лагеря'!N11</f>
        <v/>
      </c>
      <c r="O63" s="40">
        <f>'09_Лагеря'!O11</f>
        <v/>
      </c>
      <c r="P63" s="40">
        <f>'09_Лагеря'!P11</f>
        <v/>
      </c>
      <c r="Q63" s="40">
        <f>'09_Лагеря'!Q11</f>
        <v/>
      </c>
      <c r="R63" s="40">
        <f>'09_Лагеря'!R11</f>
        <v/>
      </c>
      <c r="S63" s="40">
        <f>'09_Лагеря'!S11</f>
        <v/>
      </c>
      <c r="T63" s="40">
        <f>'09_Лагеря'!T11</f>
        <v/>
      </c>
      <c r="U63" s="40">
        <f>'09_Лагеря'!U11</f>
        <v/>
      </c>
      <c r="V63" s="40">
        <f>'09_Лагеря'!V11</f>
        <v/>
      </c>
      <c r="W63" s="40">
        <f>'09_Лагеря'!W11</f>
        <v/>
      </c>
      <c r="X63" s="40">
        <f>'09_Лагеря'!X11</f>
        <v/>
      </c>
      <c r="Y63" s="40">
        <f>'09_Лагеря'!Y11</f>
        <v/>
      </c>
      <c r="Z63" s="40">
        <f>'09_Лагеря'!Z11</f>
        <v/>
      </c>
      <c r="AA63" s="40">
        <f>'09_Лагеря'!AA11</f>
        <v/>
      </c>
      <c r="AB63" s="40">
        <f>'09_Лагеря'!AB11</f>
        <v/>
      </c>
      <c r="AC63" s="40">
        <f>'09_Лагеря'!AC11</f>
        <v/>
      </c>
      <c r="AD63" s="40">
        <f>'09_Лагеря'!AD11</f>
        <v/>
      </c>
      <c r="AE63" s="40">
        <f>'09_Лагеря'!AE11</f>
        <v/>
      </c>
      <c r="AF63" s="40">
        <f>'09_Лагеря'!AF11</f>
        <v/>
      </c>
      <c r="AG63" s="40">
        <f>'09_Лагеря'!AG11</f>
        <v/>
      </c>
      <c r="AH63" s="40">
        <f>'09_Лагеря'!AH11</f>
        <v/>
      </c>
      <c r="AI63" s="40">
        <f>'09_Лагеря'!AI11</f>
        <v/>
      </c>
      <c r="AJ63" s="40">
        <f>'09_Лагеря'!AJ11</f>
        <v/>
      </c>
      <c r="AK63" s="40">
        <f>'09_Лагеря'!AK11</f>
        <v/>
      </c>
      <c r="AL63" s="40">
        <f>'09_Лагеря'!AL11</f>
        <v/>
      </c>
      <c r="AM63" s="40">
        <f>'09_Лагеря'!AM11</f>
        <v/>
      </c>
      <c r="AN63" s="40">
        <f>'09_Лагеря'!AN11</f>
        <v/>
      </c>
      <c r="AO63" s="40">
        <f>'09_Лагеря'!AO11</f>
        <v/>
      </c>
      <c r="AP63" s="40">
        <f>'09_Лагеря'!AP11</f>
        <v/>
      </c>
      <c r="AQ63" s="40">
        <f>'09_Лагеря'!AQ11</f>
        <v/>
      </c>
      <c r="AR63" s="40">
        <f>'09_Лагеря'!AR11</f>
        <v/>
      </c>
      <c r="AS63" s="40">
        <f>'09_Лагеря'!AS11</f>
        <v/>
      </c>
      <c r="AT63" s="40">
        <f>'09_Лагеря'!AT11</f>
        <v/>
      </c>
      <c r="AU63" s="40">
        <f>'09_Лагеря'!AU11</f>
        <v/>
      </c>
      <c r="AV63" s="40">
        <f>'09_Лагеря'!AV11</f>
        <v/>
      </c>
      <c r="AW63" s="40">
        <f>'09_Лагеря'!AW11</f>
        <v/>
      </c>
      <c r="AX63" s="40">
        <f>'09_Лагеря'!AX11</f>
        <v/>
      </c>
      <c r="AY63" s="40">
        <f>'09_Лагеря'!AY11</f>
        <v/>
      </c>
      <c r="AZ63" s="40">
        <f>'09_Лагеря'!AZ11</f>
        <v/>
      </c>
      <c r="BA63" s="40">
        <f>'09_Лагеря'!BA11</f>
        <v/>
      </c>
      <c r="BB63" s="40">
        <f>'09_Лагеря'!BB11</f>
        <v/>
      </c>
      <c r="BC63" s="40">
        <f>'09_Лагеря'!BC11</f>
        <v/>
      </c>
      <c r="BD63" s="40">
        <f>'09_Лагеря'!BD11</f>
        <v/>
      </c>
      <c r="BE63" s="40">
        <f>'09_Лагеря'!BE11</f>
        <v/>
      </c>
      <c r="BF63" s="40">
        <f>'09_Лагеря'!BF11</f>
        <v/>
      </c>
      <c r="BG63" s="40">
        <f>'09_Лагеря'!BG11</f>
        <v/>
      </c>
      <c r="BH63" s="40">
        <f>'09_Лагеря'!BH11</f>
        <v/>
      </c>
      <c r="BI63" s="40">
        <f>'09_Лагеря'!BI11</f>
        <v/>
      </c>
    </row>
    <row r="64">
      <c r="A64" s="2" t="inlineStr">
        <is>
          <t>УСН cash</t>
        </is>
      </c>
      <c r="B64" s="42">
        <f>B46</f>
        <v/>
      </c>
      <c r="C64" s="42">
        <f>C46</f>
        <v/>
      </c>
      <c r="D64" s="42">
        <f>D46</f>
        <v/>
      </c>
      <c r="E64" s="42">
        <f>E46</f>
        <v/>
      </c>
      <c r="F64" s="42">
        <f>F46</f>
        <v/>
      </c>
      <c r="G64" s="42">
        <f>G46</f>
        <v/>
      </c>
      <c r="H64" s="42">
        <f>H46</f>
        <v/>
      </c>
      <c r="I64" s="42">
        <f>I46</f>
        <v/>
      </c>
      <c r="J64" s="42">
        <f>J46</f>
        <v/>
      </c>
      <c r="K64" s="42">
        <f>K46</f>
        <v/>
      </c>
      <c r="L64" s="42">
        <f>L46</f>
        <v/>
      </c>
      <c r="M64" s="42">
        <f>M46</f>
        <v/>
      </c>
      <c r="N64" s="42">
        <f>N46</f>
        <v/>
      </c>
      <c r="O64" s="42">
        <f>O46</f>
        <v/>
      </c>
      <c r="P64" s="42">
        <f>P46</f>
        <v/>
      </c>
      <c r="Q64" s="42">
        <f>Q46</f>
        <v/>
      </c>
      <c r="R64" s="42">
        <f>R46</f>
        <v/>
      </c>
      <c r="S64" s="42">
        <f>S46</f>
        <v/>
      </c>
      <c r="T64" s="42">
        <f>T46</f>
        <v/>
      </c>
      <c r="U64" s="42">
        <f>U46</f>
        <v/>
      </c>
      <c r="V64" s="42">
        <f>V46</f>
        <v/>
      </c>
      <c r="W64" s="42">
        <f>W46</f>
        <v/>
      </c>
      <c r="X64" s="42">
        <f>X46</f>
        <v/>
      </c>
      <c r="Y64" s="42">
        <f>Y46</f>
        <v/>
      </c>
      <c r="Z64" s="42">
        <f>Z46</f>
        <v/>
      </c>
      <c r="AA64" s="42">
        <f>AA46</f>
        <v/>
      </c>
      <c r="AB64" s="42">
        <f>AB46</f>
        <v/>
      </c>
      <c r="AC64" s="42">
        <f>AC46</f>
        <v/>
      </c>
      <c r="AD64" s="42">
        <f>AD46</f>
        <v/>
      </c>
      <c r="AE64" s="42">
        <f>AE46</f>
        <v/>
      </c>
      <c r="AF64" s="42">
        <f>AF46</f>
        <v/>
      </c>
      <c r="AG64" s="42">
        <f>AG46</f>
        <v/>
      </c>
      <c r="AH64" s="42">
        <f>AH46</f>
        <v/>
      </c>
      <c r="AI64" s="42">
        <f>AI46</f>
        <v/>
      </c>
      <c r="AJ64" s="42">
        <f>AJ46</f>
        <v/>
      </c>
      <c r="AK64" s="42">
        <f>AK46</f>
        <v/>
      </c>
      <c r="AL64" s="42">
        <f>AL46</f>
        <v/>
      </c>
      <c r="AM64" s="42">
        <f>AM46</f>
        <v/>
      </c>
      <c r="AN64" s="42">
        <f>AN46</f>
        <v/>
      </c>
      <c r="AO64" s="42">
        <f>AO46</f>
        <v/>
      </c>
      <c r="AP64" s="42">
        <f>AP46</f>
        <v/>
      </c>
      <c r="AQ64" s="42">
        <f>AQ46</f>
        <v/>
      </c>
      <c r="AR64" s="42">
        <f>AR46</f>
        <v/>
      </c>
      <c r="AS64" s="42">
        <f>AS46</f>
        <v/>
      </c>
      <c r="AT64" s="42">
        <f>AT46</f>
        <v/>
      </c>
      <c r="AU64" s="42">
        <f>AU46</f>
        <v/>
      </c>
      <c r="AV64" s="42">
        <f>AV46</f>
        <v/>
      </c>
      <c r="AW64" s="42">
        <f>AW46</f>
        <v/>
      </c>
      <c r="AX64" s="42">
        <f>AX46</f>
        <v/>
      </c>
      <c r="AY64" s="42">
        <f>AY46</f>
        <v/>
      </c>
      <c r="AZ64" s="42">
        <f>AZ46</f>
        <v/>
      </c>
      <c r="BA64" s="42">
        <f>BA46</f>
        <v/>
      </c>
      <c r="BB64" s="42">
        <f>BB46</f>
        <v/>
      </c>
      <c r="BC64" s="42">
        <f>BC46</f>
        <v/>
      </c>
      <c r="BD64" s="42">
        <f>BD46</f>
        <v/>
      </c>
      <c r="BE64" s="42">
        <f>BE46</f>
        <v/>
      </c>
      <c r="BF64" s="42">
        <f>BF46</f>
        <v/>
      </c>
      <c r="BG64" s="42">
        <f>BG46</f>
        <v/>
      </c>
      <c r="BH64" s="42">
        <f>BH46</f>
        <v/>
      </c>
      <c r="BI64" s="42">
        <f>BI46</f>
        <v/>
      </c>
    </row>
    <row r="65">
      <c r="A65" s="2" t="inlineStr">
        <is>
          <t>Закупки на склад (справочно)</t>
        </is>
      </c>
      <c r="B65" s="40">
        <f>'07_Мерч'!B25</f>
        <v/>
      </c>
      <c r="C65" s="40">
        <f>'07_Мерч'!C25</f>
        <v/>
      </c>
      <c r="D65" s="40">
        <f>'07_Мерч'!D25</f>
        <v/>
      </c>
      <c r="E65" s="40">
        <f>'07_Мерч'!E25</f>
        <v/>
      </c>
      <c r="F65" s="40">
        <f>'07_Мерч'!F25</f>
        <v/>
      </c>
      <c r="G65" s="40">
        <f>'07_Мерч'!G25</f>
        <v/>
      </c>
      <c r="H65" s="40">
        <f>'07_Мерч'!H25</f>
        <v/>
      </c>
      <c r="I65" s="40">
        <f>'07_Мерч'!I25</f>
        <v/>
      </c>
      <c r="J65" s="40">
        <f>'07_Мерч'!J25</f>
        <v/>
      </c>
      <c r="K65" s="40">
        <f>'07_Мерч'!K25</f>
        <v/>
      </c>
      <c r="L65" s="40">
        <f>'07_Мерч'!L25</f>
        <v/>
      </c>
      <c r="M65" s="40">
        <f>'07_Мерч'!M25</f>
        <v/>
      </c>
      <c r="N65" s="40">
        <f>'07_Мерч'!N25</f>
        <v/>
      </c>
      <c r="O65" s="40">
        <f>'07_Мерч'!O25</f>
        <v/>
      </c>
      <c r="P65" s="40">
        <f>'07_Мерч'!P25</f>
        <v/>
      </c>
      <c r="Q65" s="40">
        <f>'07_Мерч'!Q25</f>
        <v/>
      </c>
      <c r="R65" s="40">
        <f>'07_Мерч'!R25</f>
        <v/>
      </c>
      <c r="S65" s="40">
        <f>'07_Мерч'!S25</f>
        <v/>
      </c>
      <c r="T65" s="40">
        <f>'07_Мерч'!T25</f>
        <v/>
      </c>
      <c r="U65" s="40">
        <f>'07_Мерч'!U25</f>
        <v/>
      </c>
      <c r="V65" s="40">
        <f>'07_Мерч'!V25</f>
        <v/>
      </c>
      <c r="W65" s="40">
        <f>'07_Мерч'!W25</f>
        <v/>
      </c>
      <c r="X65" s="40">
        <f>'07_Мерч'!X25</f>
        <v/>
      </c>
      <c r="Y65" s="40">
        <f>'07_Мерч'!Y25</f>
        <v/>
      </c>
      <c r="Z65" s="40">
        <f>'07_Мерч'!Z25</f>
        <v/>
      </c>
      <c r="AA65" s="40">
        <f>'07_Мерч'!AA25</f>
        <v/>
      </c>
      <c r="AB65" s="40">
        <f>'07_Мерч'!AB25</f>
        <v/>
      </c>
      <c r="AC65" s="40">
        <f>'07_Мерч'!AC25</f>
        <v/>
      </c>
      <c r="AD65" s="40">
        <f>'07_Мерч'!AD25</f>
        <v/>
      </c>
      <c r="AE65" s="40">
        <f>'07_Мерч'!AE25</f>
        <v/>
      </c>
      <c r="AF65" s="40">
        <f>'07_Мерч'!AF25</f>
        <v/>
      </c>
      <c r="AG65" s="40">
        <f>'07_Мерч'!AG25</f>
        <v/>
      </c>
      <c r="AH65" s="40">
        <f>'07_Мерч'!AH25</f>
        <v/>
      </c>
      <c r="AI65" s="40">
        <f>'07_Мерч'!AI25</f>
        <v/>
      </c>
      <c r="AJ65" s="40">
        <f>'07_Мерч'!AJ25</f>
        <v/>
      </c>
      <c r="AK65" s="40">
        <f>'07_Мерч'!AK25</f>
        <v/>
      </c>
      <c r="AL65" s="40">
        <f>'07_Мерч'!AL25</f>
        <v/>
      </c>
      <c r="AM65" s="40">
        <f>'07_Мерч'!AM25</f>
        <v/>
      </c>
      <c r="AN65" s="40">
        <f>'07_Мерч'!AN25</f>
        <v/>
      </c>
      <c r="AO65" s="40">
        <f>'07_Мерч'!AO25</f>
        <v/>
      </c>
      <c r="AP65" s="40">
        <f>'07_Мерч'!AP25</f>
        <v/>
      </c>
      <c r="AQ65" s="40">
        <f>'07_Мерч'!AQ25</f>
        <v/>
      </c>
      <c r="AR65" s="40">
        <f>'07_Мерч'!AR25</f>
        <v/>
      </c>
      <c r="AS65" s="40">
        <f>'07_Мерч'!AS25</f>
        <v/>
      </c>
      <c r="AT65" s="40">
        <f>'07_Мерч'!AT25</f>
        <v/>
      </c>
      <c r="AU65" s="40">
        <f>'07_Мерч'!AU25</f>
        <v/>
      </c>
      <c r="AV65" s="40">
        <f>'07_Мерч'!AV25</f>
        <v/>
      </c>
      <c r="AW65" s="40">
        <f>'07_Мерч'!AW25</f>
        <v/>
      </c>
      <c r="AX65" s="40">
        <f>'07_Мерч'!AX25</f>
        <v/>
      </c>
      <c r="AY65" s="40">
        <f>'07_Мерч'!AY25</f>
        <v/>
      </c>
      <c r="AZ65" s="40">
        <f>'07_Мерч'!AZ25</f>
        <v/>
      </c>
      <c r="BA65" s="40">
        <f>'07_Мерч'!BA25</f>
        <v/>
      </c>
      <c r="BB65" s="40">
        <f>'07_Мерч'!BB25</f>
        <v/>
      </c>
      <c r="BC65" s="40">
        <f>'07_Мерч'!BC25</f>
        <v/>
      </c>
      <c r="BD65" s="40">
        <f>'07_Мерч'!BD25</f>
        <v/>
      </c>
      <c r="BE65" s="40">
        <f>'07_Мерч'!BE25</f>
        <v/>
      </c>
      <c r="BF65" s="40">
        <f>'07_Мерч'!BF25</f>
        <v/>
      </c>
      <c r="BG65" s="40">
        <f>'07_Мерч'!BG25</f>
        <v/>
      </c>
      <c r="BH65" s="40">
        <f>'07_Мерч'!BH25</f>
        <v/>
      </c>
      <c r="BI65" s="40">
        <f>'07_Мерч'!BI25</f>
        <v/>
      </c>
    </row>
    <row r="66">
      <c r="A66" s="2" t="inlineStr">
        <is>
          <t>Лагеря cash out</t>
        </is>
      </c>
      <c r="B66" s="40">
        <f>'09_Лагеря'!B19</f>
        <v/>
      </c>
      <c r="C66" s="40">
        <f>'09_Лагеря'!C19</f>
        <v/>
      </c>
      <c r="D66" s="40">
        <f>'09_Лагеря'!D19</f>
        <v/>
      </c>
      <c r="E66" s="40">
        <f>'09_Лагеря'!E19</f>
        <v/>
      </c>
      <c r="F66" s="40">
        <f>'09_Лагеря'!F19</f>
        <v/>
      </c>
      <c r="G66" s="40">
        <f>'09_Лагеря'!G19</f>
        <v/>
      </c>
      <c r="H66" s="40">
        <f>'09_Лагеря'!H19</f>
        <v/>
      </c>
      <c r="I66" s="40">
        <f>'09_Лагеря'!I19</f>
        <v/>
      </c>
      <c r="J66" s="40">
        <f>'09_Лагеря'!J19</f>
        <v/>
      </c>
      <c r="K66" s="40">
        <f>'09_Лагеря'!K19</f>
        <v/>
      </c>
      <c r="L66" s="40">
        <f>'09_Лагеря'!L19</f>
        <v/>
      </c>
      <c r="M66" s="40">
        <f>'09_Лагеря'!M19</f>
        <v/>
      </c>
      <c r="N66" s="40">
        <f>'09_Лагеря'!N19</f>
        <v/>
      </c>
      <c r="O66" s="40">
        <f>'09_Лагеря'!O19</f>
        <v/>
      </c>
      <c r="P66" s="40">
        <f>'09_Лагеря'!P19</f>
        <v/>
      </c>
      <c r="Q66" s="40">
        <f>'09_Лагеря'!Q19</f>
        <v/>
      </c>
      <c r="R66" s="40">
        <f>'09_Лагеря'!R19</f>
        <v/>
      </c>
      <c r="S66" s="40">
        <f>'09_Лагеря'!S19</f>
        <v/>
      </c>
      <c r="T66" s="40">
        <f>'09_Лагеря'!T19</f>
        <v/>
      </c>
      <c r="U66" s="40">
        <f>'09_Лагеря'!U19</f>
        <v/>
      </c>
      <c r="V66" s="40">
        <f>'09_Лагеря'!V19</f>
        <v/>
      </c>
      <c r="W66" s="40">
        <f>'09_Лагеря'!W19</f>
        <v/>
      </c>
      <c r="X66" s="40">
        <f>'09_Лагеря'!X19</f>
        <v/>
      </c>
      <c r="Y66" s="40">
        <f>'09_Лагеря'!Y19</f>
        <v/>
      </c>
      <c r="Z66" s="40">
        <f>'09_Лагеря'!Z19</f>
        <v/>
      </c>
      <c r="AA66" s="40">
        <f>'09_Лагеря'!AA19</f>
        <v/>
      </c>
      <c r="AB66" s="40">
        <f>'09_Лагеря'!AB19</f>
        <v/>
      </c>
      <c r="AC66" s="40">
        <f>'09_Лагеря'!AC19</f>
        <v/>
      </c>
      <c r="AD66" s="40">
        <f>'09_Лагеря'!AD19</f>
        <v/>
      </c>
      <c r="AE66" s="40">
        <f>'09_Лагеря'!AE19</f>
        <v/>
      </c>
      <c r="AF66" s="40">
        <f>'09_Лагеря'!AF19</f>
        <v/>
      </c>
      <c r="AG66" s="40">
        <f>'09_Лагеря'!AG19</f>
        <v/>
      </c>
      <c r="AH66" s="40">
        <f>'09_Лагеря'!AH19</f>
        <v/>
      </c>
      <c r="AI66" s="40">
        <f>'09_Лагеря'!AI19</f>
        <v/>
      </c>
      <c r="AJ66" s="40">
        <f>'09_Лагеря'!AJ19</f>
        <v/>
      </c>
      <c r="AK66" s="40">
        <f>'09_Лагеря'!AK19</f>
        <v/>
      </c>
      <c r="AL66" s="40">
        <f>'09_Лагеря'!AL19</f>
        <v/>
      </c>
      <c r="AM66" s="40">
        <f>'09_Лагеря'!AM19</f>
        <v/>
      </c>
      <c r="AN66" s="40">
        <f>'09_Лагеря'!AN19</f>
        <v/>
      </c>
      <c r="AO66" s="40">
        <f>'09_Лагеря'!AO19</f>
        <v/>
      </c>
      <c r="AP66" s="40">
        <f>'09_Лагеря'!AP19</f>
        <v/>
      </c>
      <c r="AQ66" s="40">
        <f>'09_Лагеря'!AQ19</f>
        <v/>
      </c>
      <c r="AR66" s="40">
        <f>'09_Лагеря'!AR19</f>
        <v/>
      </c>
      <c r="AS66" s="40">
        <f>'09_Лагеря'!AS19</f>
        <v/>
      </c>
      <c r="AT66" s="40">
        <f>'09_Лагеря'!AT19</f>
        <v/>
      </c>
      <c r="AU66" s="40">
        <f>'09_Лагеря'!AU19</f>
        <v/>
      </c>
      <c r="AV66" s="40">
        <f>'09_Лагеря'!AV19</f>
        <v/>
      </c>
      <c r="AW66" s="40">
        <f>'09_Лагеря'!AW19</f>
        <v/>
      </c>
      <c r="AX66" s="40">
        <f>'09_Лагеря'!AX19</f>
        <v/>
      </c>
      <c r="AY66" s="40">
        <f>'09_Лагеря'!AY19</f>
        <v/>
      </c>
      <c r="AZ66" s="40">
        <f>'09_Лагеря'!AZ19</f>
        <v/>
      </c>
      <c r="BA66" s="40">
        <f>'09_Лагеря'!BA19</f>
        <v/>
      </c>
      <c r="BB66" s="40">
        <f>'09_Лагеря'!BB19</f>
        <v/>
      </c>
      <c r="BC66" s="40">
        <f>'09_Лагеря'!BC19</f>
        <v/>
      </c>
      <c r="BD66" s="40">
        <f>'09_Лагеря'!BD19</f>
        <v/>
      </c>
      <c r="BE66" s="40">
        <f>'09_Лагеря'!BE19</f>
        <v/>
      </c>
      <c r="BF66" s="40">
        <f>'09_Лагеря'!BF19</f>
        <v/>
      </c>
      <c r="BG66" s="40">
        <f>'09_Лагеря'!BG19</f>
        <v/>
      </c>
      <c r="BH66" s="40">
        <f>'09_Лагеря'!BH19</f>
        <v/>
      </c>
      <c r="BI66" s="40">
        <f>'09_Лагеря'!BI19</f>
        <v/>
      </c>
    </row>
    <row r="67">
      <c r="A67" s="10" t="inlineStr">
        <is>
          <t>Денежные расходы до займа</t>
        </is>
      </c>
      <c r="B67" s="166">
        <f>SUM(B57:B64)+B66</f>
        <v/>
      </c>
      <c r="C67" s="166">
        <f>SUM(C57:C64)+C66</f>
        <v/>
      </c>
      <c r="D67" s="166">
        <f>SUM(D57:D64)+D66</f>
        <v/>
      </c>
      <c r="E67" s="166">
        <f>SUM(E57:E64)+E66</f>
        <v/>
      </c>
      <c r="F67" s="166">
        <f>SUM(F57:F64)+F66</f>
        <v/>
      </c>
      <c r="G67" s="166">
        <f>SUM(G57:G64)+G66</f>
        <v/>
      </c>
      <c r="H67" s="166">
        <f>SUM(H57:H64)+H66</f>
        <v/>
      </c>
      <c r="I67" s="166">
        <f>SUM(I57:I64)+I66</f>
        <v/>
      </c>
      <c r="J67" s="166">
        <f>SUM(J57:J64)+J66</f>
        <v/>
      </c>
      <c r="K67" s="166">
        <f>SUM(K57:K64)+K66</f>
        <v/>
      </c>
      <c r="L67" s="166">
        <f>SUM(L57:L64)+L66</f>
        <v/>
      </c>
      <c r="M67" s="166">
        <f>SUM(M57:M64)+M66</f>
        <v/>
      </c>
      <c r="N67" s="166">
        <f>SUM(N57:N64)+N66</f>
        <v/>
      </c>
      <c r="O67" s="166">
        <f>SUM(O57:O64)+O66</f>
        <v/>
      </c>
      <c r="P67" s="166">
        <f>SUM(P57:P64)+P66</f>
        <v/>
      </c>
      <c r="Q67" s="166">
        <f>SUM(Q57:Q64)+Q66</f>
        <v/>
      </c>
      <c r="R67" s="166">
        <f>SUM(R57:R64)+R66</f>
        <v/>
      </c>
      <c r="S67" s="166">
        <f>SUM(S57:S64)+S66</f>
        <v/>
      </c>
      <c r="T67" s="166">
        <f>SUM(T57:T64)+T66</f>
        <v/>
      </c>
      <c r="U67" s="166">
        <f>SUM(U57:U64)+U66</f>
        <v/>
      </c>
      <c r="V67" s="166">
        <f>SUM(V57:V64)+V66</f>
        <v/>
      </c>
      <c r="W67" s="166">
        <f>SUM(W57:W64)+W66</f>
        <v/>
      </c>
      <c r="X67" s="166">
        <f>SUM(X57:X64)+X66</f>
        <v/>
      </c>
      <c r="Y67" s="166">
        <f>SUM(Y57:Y64)+Y66</f>
        <v/>
      </c>
      <c r="Z67" s="166">
        <f>SUM(Z57:Z64)+Z66</f>
        <v/>
      </c>
      <c r="AA67" s="166">
        <f>SUM(AA57:AA64)+AA66</f>
        <v/>
      </c>
      <c r="AB67" s="166">
        <f>SUM(AB57:AB64)+AB66</f>
        <v/>
      </c>
      <c r="AC67" s="166">
        <f>SUM(AC57:AC64)+AC66</f>
        <v/>
      </c>
      <c r="AD67" s="166">
        <f>SUM(AD57:AD64)+AD66</f>
        <v/>
      </c>
      <c r="AE67" s="166">
        <f>SUM(AE57:AE64)+AE66</f>
        <v/>
      </c>
      <c r="AF67" s="166">
        <f>SUM(AF57:AF64)+AF66</f>
        <v/>
      </c>
      <c r="AG67" s="166">
        <f>SUM(AG57:AG64)+AG66</f>
        <v/>
      </c>
      <c r="AH67" s="166">
        <f>SUM(AH57:AH64)+AH66</f>
        <v/>
      </c>
      <c r="AI67" s="166">
        <f>SUM(AI57:AI64)+AI66</f>
        <v/>
      </c>
      <c r="AJ67" s="166">
        <f>SUM(AJ57:AJ64)+AJ66</f>
        <v/>
      </c>
      <c r="AK67" s="166">
        <f>SUM(AK57:AK64)+AK66</f>
        <v/>
      </c>
      <c r="AL67" s="166">
        <f>SUM(AL57:AL64)+AL66</f>
        <v/>
      </c>
      <c r="AM67" s="166">
        <f>SUM(AM57:AM64)+AM66</f>
        <v/>
      </c>
      <c r="AN67" s="166">
        <f>SUM(AN57:AN64)+AN66</f>
        <v/>
      </c>
      <c r="AO67" s="166">
        <f>SUM(AO57:AO64)+AO66</f>
        <v/>
      </c>
      <c r="AP67" s="166">
        <f>SUM(AP57:AP64)+AP66</f>
        <v/>
      </c>
      <c r="AQ67" s="166">
        <f>SUM(AQ57:AQ64)+AQ66</f>
        <v/>
      </c>
      <c r="AR67" s="166">
        <f>SUM(AR57:AR64)+AR66</f>
        <v/>
      </c>
      <c r="AS67" s="166">
        <f>SUM(AS57:AS64)+AS66</f>
        <v/>
      </c>
      <c r="AT67" s="166">
        <f>SUM(AT57:AT64)+AT66</f>
        <v/>
      </c>
      <c r="AU67" s="166">
        <f>SUM(AU57:AU64)+AU66</f>
        <v/>
      </c>
      <c r="AV67" s="166">
        <f>SUM(AV57:AV64)+AV66</f>
        <v/>
      </c>
      <c r="AW67" s="166">
        <f>SUM(AW57:AW64)+AW66</f>
        <v/>
      </c>
      <c r="AX67" s="166">
        <f>SUM(AX57:AX64)+AX66</f>
        <v/>
      </c>
      <c r="AY67" s="166">
        <f>SUM(AY57:AY64)+AY66</f>
        <v/>
      </c>
      <c r="AZ67" s="166">
        <f>SUM(AZ57:AZ64)+AZ66</f>
        <v/>
      </c>
      <c r="BA67" s="166">
        <f>SUM(BA57:BA64)+BA66</f>
        <v/>
      </c>
      <c r="BB67" s="166">
        <f>SUM(BB57:BB64)+BB66</f>
        <v/>
      </c>
      <c r="BC67" s="166">
        <f>SUM(BC57:BC64)+BC66</f>
        <v/>
      </c>
      <c r="BD67" s="166">
        <f>SUM(BD57:BD64)+BD66</f>
        <v/>
      </c>
      <c r="BE67" s="166">
        <f>SUM(BE57:BE64)+BE66</f>
        <v/>
      </c>
      <c r="BF67" s="166">
        <f>SUM(BF57:BF64)+BF66</f>
        <v/>
      </c>
      <c r="BG67" s="166">
        <f>SUM(BG57:BG64)+BG66</f>
        <v/>
      </c>
      <c r="BH67" s="166">
        <f>SUM(BH57:BH64)+BH66</f>
        <v/>
      </c>
      <c r="BI67" s="166">
        <f>SUM(BI57:BI64)+BI66</f>
        <v/>
      </c>
    </row>
    <row r="68">
      <c r="A68" s="2" t="inlineStr">
        <is>
          <t>Чистый поток до займа</t>
        </is>
      </c>
      <c r="B68" s="42">
        <f>B56-B67</f>
        <v/>
      </c>
      <c r="C68" s="42">
        <f>C56-C67</f>
        <v/>
      </c>
      <c r="D68" s="42">
        <f>D56-D67</f>
        <v/>
      </c>
      <c r="E68" s="42">
        <f>E56-E67</f>
        <v/>
      </c>
      <c r="F68" s="42">
        <f>F56-F67</f>
        <v/>
      </c>
      <c r="G68" s="42">
        <f>G56-G67</f>
        <v/>
      </c>
      <c r="H68" s="42">
        <f>H56-H67</f>
        <v/>
      </c>
      <c r="I68" s="42">
        <f>I56-I67</f>
        <v/>
      </c>
      <c r="J68" s="42">
        <f>J56-J67</f>
        <v/>
      </c>
      <c r="K68" s="42">
        <f>K56-K67</f>
        <v/>
      </c>
      <c r="L68" s="42">
        <f>L56-L67</f>
        <v/>
      </c>
      <c r="M68" s="42">
        <f>M56-M67</f>
        <v/>
      </c>
      <c r="N68" s="42">
        <f>N56-N67</f>
        <v/>
      </c>
      <c r="O68" s="42">
        <f>O56-O67</f>
        <v/>
      </c>
      <c r="P68" s="42">
        <f>P56-P67</f>
        <v/>
      </c>
      <c r="Q68" s="42">
        <f>Q56-Q67</f>
        <v/>
      </c>
      <c r="R68" s="42">
        <f>R56-R67</f>
        <v/>
      </c>
      <c r="S68" s="42">
        <f>S56-S67</f>
        <v/>
      </c>
      <c r="T68" s="42">
        <f>T56-T67</f>
        <v/>
      </c>
      <c r="U68" s="42">
        <f>U56-U67</f>
        <v/>
      </c>
      <c r="V68" s="42">
        <f>V56-V67</f>
        <v/>
      </c>
      <c r="W68" s="42">
        <f>W56-W67</f>
        <v/>
      </c>
      <c r="X68" s="42">
        <f>X56-X67</f>
        <v/>
      </c>
      <c r="Y68" s="42">
        <f>Y56-Y67</f>
        <v/>
      </c>
      <c r="Z68" s="42">
        <f>Z56-Z67</f>
        <v/>
      </c>
      <c r="AA68" s="42">
        <f>AA56-AA67</f>
        <v/>
      </c>
      <c r="AB68" s="42">
        <f>AB56-AB67</f>
        <v/>
      </c>
      <c r="AC68" s="42">
        <f>AC56-AC67</f>
        <v/>
      </c>
      <c r="AD68" s="42">
        <f>AD56-AD67</f>
        <v/>
      </c>
      <c r="AE68" s="42">
        <f>AE56-AE67</f>
        <v/>
      </c>
      <c r="AF68" s="42">
        <f>AF56-AF67</f>
        <v/>
      </c>
      <c r="AG68" s="42">
        <f>AG56-AG67</f>
        <v/>
      </c>
      <c r="AH68" s="42">
        <f>AH56-AH67</f>
        <v/>
      </c>
      <c r="AI68" s="42">
        <f>AI56-AI67</f>
        <v/>
      </c>
      <c r="AJ68" s="42">
        <f>AJ56-AJ67</f>
        <v/>
      </c>
      <c r="AK68" s="42">
        <f>AK56-AK67</f>
        <v/>
      </c>
      <c r="AL68" s="42">
        <f>AL56-AL67</f>
        <v/>
      </c>
      <c r="AM68" s="42">
        <f>AM56-AM67</f>
        <v/>
      </c>
      <c r="AN68" s="42">
        <f>AN56-AN67</f>
        <v/>
      </c>
      <c r="AO68" s="42">
        <f>AO56-AO67</f>
        <v/>
      </c>
      <c r="AP68" s="42">
        <f>AP56-AP67</f>
        <v/>
      </c>
      <c r="AQ68" s="42">
        <f>AQ56-AQ67</f>
        <v/>
      </c>
      <c r="AR68" s="42">
        <f>AR56-AR67</f>
        <v/>
      </c>
      <c r="AS68" s="42">
        <f>AS56-AS67</f>
        <v/>
      </c>
      <c r="AT68" s="42">
        <f>AT56-AT67</f>
        <v/>
      </c>
      <c r="AU68" s="42">
        <f>AU56-AU67</f>
        <v/>
      </c>
      <c r="AV68" s="42">
        <f>AV56-AV67</f>
        <v/>
      </c>
      <c r="AW68" s="42">
        <f>AW56-AW67</f>
        <v/>
      </c>
      <c r="AX68" s="42">
        <f>AX56-AX67</f>
        <v/>
      </c>
      <c r="AY68" s="42">
        <f>AY56-AY67</f>
        <v/>
      </c>
      <c r="AZ68" s="42">
        <f>AZ56-AZ67</f>
        <v/>
      </c>
      <c r="BA68" s="42">
        <f>BA56-BA67</f>
        <v/>
      </c>
      <c r="BB68" s="42">
        <f>BB56-BB67</f>
        <v/>
      </c>
      <c r="BC68" s="42">
        <f>BC56-BC67</f>
        <v/>
      </c>
      <c r="BD68" s="42">
        <f>BD56-BD67</f>
        <v/>
      </c>
      <c r="BE68" s="42">
        <f>BE56-BE67</f>
        <v/>
      </c>
      <c r="BF68" s="42">
        <f>BF56-BF67</f>
        <v/>
      </c>
      <c r="BG68" s="42">
        <f>BG56-BG67</f>
        <v/>
      </c>
      <c r="BH68" s="42">
        <f>BH56-BH67</f>
        <v/>
      </c>
      <c r="BI68" s="42">
        <f>BI56-BI67</f>
        <v/>
      </c>
    </row>
    <row r="69">
      <c r="A69" s="2" t="inlineStr">
        <is>
          <t>Денежный остаток до погашения займа</t>
        </is>
      </c>
      <c r="B69" s="42">
        <f>B51+B68</f>
        <v/>
      </c>
      <c r="C69" s="42">
        <f>C51+C68</f>
        <v/>
      </c>
      <c r="D69" s="42">
        <f>D51+D68</f>
        <v/>
      </c>
      <c r="E69" s="42">
        <f>E51+E68</f>
        <v/>
      </c>
      <c r="F69" s="42">
        <f>F51+F68</f>
        <v/>
      </c>
      <c r="G69" s="42">
        <f>G51+G68</f>
        <v/>
      </c>
      <c r="H69" s="42">
        <f>H51+H68</f>
        <v/>
      </c>
      <c r="I69" s="42">
        <f>I51+I68</f>
        <v/>
      </c>
      <c r="J69" s="42">
        <f>J51+J68</f>
        <v/>
      </c>
      <c r="K69" s="42">
        <f>K51+K68</f>
        <v/>
      </c>
      <c r="L69" s="42">
        <f>L51+L68</f>
        <v/>
      </c>
      <c r="M69" s="42">
        <f>M51+M68</f>
        <v/>
      </c>
      <c r="N69" s="42">
        <f>N51+N68</f>
        <v/>
      </c>
      <c r="O69" s="42">
        <f>O51+O68</f>
        <v/>
      </c>
      <c r="P69" s="42">
        <f>P51+P68</f>
        <v/>
      </c>
      <c r="Q69" s="42">
        <f>Q51+Q68</f>
        <v/>
      </c>
      <c r="R69" s="42">
        <f>R51+R68</f>
        <v/>
      </c>
      <c r="S69" s="42">
        <f>S51+S68</f>
        <v/>
      </c>
      <c r="T69" s="42">
        <f>T51+T68</f>
        <v/>
      </c>
      <c r="U69" s="42">
        <f>U51+U68</f>
        <v/>
      </c>
      <c r="V69" s="42">
        <f>V51+V68</f>
        <v/>
      </c>
      <c r="W69" s="42">
        <f>W51+W68</f>
        <v/>
      </c>
      <c r="X69" s="42">
        <f>X51+X68</f>
        <v/>
      </c>
      <c r="Y69" s="42">
        <f>Y51+Y68</f>
        <v/>
      </c>
      <c r="Z69" s="42">
        <f>Z51+Z68</f>
        <v/>
      </c>
      <c r="AA69" s="42">
        <f>AA51+AA68</f>
        <v/>
      </c>
      <c r="AB69" s="42">
        <f>AB51+AB68</f>
        <v/>
      </c>
      <c r="AC69" s="42">
        <f>AC51+AC68</f>
        <v/>
      </c>
      <c r="AD69" s="42">
        <f>AD51+AD68</f>
        <v/>
      </c>
      <c r="AE69" s="42">
        <f>AE51+AE68</f>
        <v/>
      </c>
      <c r="AF69" s="42">
        <f>AF51+AF68</f>
        <v/>
      </c>
      <c r="AG69" s="42">
        <f>AG51+AG68</f>
        <v/>
      </c>
      <c r="AH69" s="42">
        <f>AH51+AH68</f>
        <v/>
      </c>
      <c r="AI69" s="42">
        <f>AI51+AI68</f>
        <v/>
      </c>
      <c r="AJ69" s="42">
        <f>AJ51+AJ68</f>
        <v/>
      </c>
      <c r="AK69" s="42">
        <f>AK51+AK68</f>
        <v/>
      </c>
      <c r="AL69" s="42">
        <f>AL51+AL68</f>
        <v/>
      </c>
      <c r="AM69" s="42">
        <f>AM51+AM68</f>
        <v/>
      </c>
      <c r="AN69" s="42">
        <f>AN51+AN68</f>
        <v/>
      </c>
      <c r="AO69" s="42">
        <f>AO51+AO68</f>
        <v/>
      </c>
      <c r="AP69" s="42">
        <f>AP51+AP68</f>
        <v/>
      </c>
      <c r="AQ69" s="42">
        <f>AQ51+AQ68</f>
        <v/>
      </c>
      <c r="AR69" s="42">
        <f>AR51+AR68</f>
        <v/>
      </c>
      <c r="AS69" s="42">
        <f>AS51+AS68</f>
        <v/>
      </c>
      <c r="AT69" s="42">
        <f>AT51+AT68</f>
        <v/>
      </c>
      <c r="AU69" s="42">
        <f>AU51+AU68</f>
        <v/>
      </c>
      <c r="AV69" s="42">
        <f>AV51+AV68</f>
        <v/>
      </c>
      <c r="AW69" s="42">
        <f>AW51+AW68</f>
        <v/>
      </c>
      <c r="AX69" s="42">
        <f>AX51+AX68</f>
        <v/>
      </c>
      <c r="AY69" s="42">
        <f>AY51+AY68</f>
        <v/>
      </c>
      <c r="AZ69" s="42">
        <f>AZ51+AZ68</f>
        <v/>
      </c>
      <c r="BA69" s="42">
        <f>BA51+BA68</f>
        <v/>
      </c>
      <c r="BB69" s="42">
        <f>BB51+BB68</f>
        <v/>
      </c>
      <c r="BC69" s="42">
        <f>BC51+BC68</f>
        <v/>
      </c>
      <c r="BD69" s="42">
        <f>BD51+BD68</f>
        <v/>
      </c>
      <c r="BE69" s="42">
        <f>BE51+BE68</f>
        <v/>
      </c>
      <c r="BF69" s="42">
        <f>BF51+BF68</f>
        <v/>
      </c>
      <c r="BG69" s="42">
        <f>BG51+BG68</f>
        <v/>
      </c>
      <c r="BH69" s="42">
        <f>BH51+BH68</f>
        <v/>
      </c>
      <c r="BI69" s="42">
        <f>BI51+BI68</f>
        <v/>
      </c>
    </row>
    <row r="70">
      <c r="A70" s="2" t="inlineStr">
        <is>
          <t>Погашение займа</t>
        </is>
      </c>
      <c r="B70" s="40">
        <f>'07_Мерч'!B31</f>
        <v/>
      </c>
      <c r="C70" s="40">
        <f>'07_Мерч'!C31</f>
        <v/>
      </c>
      <c r="D70" s="40">
        <f>'07_Мерч'!D31</f>
        <v/>
      </c>
      <c r="E70" s="40">
        <f>'07_Мерч'!E31</f>
        <v/>
      </c>
      <c r="F70" s="40">
        <f>'07_Мерч'!F31</f>
        <v/>
      </c>
      <c r="G70" s="40">
        <f>'07_Мерч'!G31</f>
        <v/>
      </c>
      <c r="H70" s="40">
        <f>'07_Мерч'!H31</f>
        <v/>
      </c>
      <c r="I70" s="40">
        <f>'07_Мерч'!I31</f>
        <v/>
      </c>
      <c r="J70" s="40">
        <f>'07_Мерч'!J31</f>
        <v/>
      </c>
      <c r="K70" s="40">
        <f>'07_Мерч'!K31</f>
        <v/>
      </c>
      <c r="L70" s="40">
        <f>'07_Мерч'!L31</f>
        <v/>
      </c>
      <c r="M70" s="40">
        <f>'07_Мерч'!M31</f>
        <v/>
      </c>
      <c r="N70" s="40">
        <f>'07_Мерч'!N31</f>
        <v/>
      </c>
      <c r="O70" s="40">
        <f>'07_Мерч'!O31</f>
        <v/>
      </c>
      <c r="P70" s="40">
        <f>'07_Мерч'!P31</f>
        <v/>
      </c>
      <c r="Q70" s="40">
        <f>'07_Мерч'!Q31</f>
        <v/>
      </c>
      <c r="R70" s="40">
        <f>'07_Мерч'!R31</f>
        <v/>
      </c>
      <c r="S70" s="40">
        <f>'07_Мерч'!S31</f>
        <v/>
      </c>
      <c r="T70" s="40">
        <f>'07_Мерч'!T31</f>
        <v/>
      </c>
      <c r="U70" s="40">
        <f>'07_Мерч'!U31</f>
        <v/>
      </c>
      <c r="V70" s="40">
        <f>'07_Мерч'!V31</f>
        <v/>
      </c>
      <c r="W70" s="40">
        <f>'07_Мерч'!W31</f>
        <v/>
      </c>
      <c r="X70" s="40">
        <f>'07_Мерч'!X31</f>
        <v/>
      </c>
      <c r="Y70" s="40">
        <f>'07_Мерч'!Y31</f>
        <v/>
      </c>
      <c r="Z70" s="40">
        <f>'07_Мерч'!Z31</f>
        <v/>
      </c>
      <c r="AA70" s="40">
        <f>'07_Мерч'!AA31</f>
        <v/>
      </c>
      <c r="AB70" s="40">
        <f>'07_Мерч'!AB31</f>
        <v/>
      </c>
      <c r="AC70" s="40">
        <f>'07_Мерч'!AC31</f>
        <v/>
      </c>
      <c r="AD70" s="40">
        <f>'07_Мерч'!AD31</f>
        <v/>
      </c>
      <c r="AE70" s="40">
        <f>'07_Мерч'!AE31</f>
        <v/>
      </c>
      <c r="AF70" s="40">
        <f>'07_Мерч'!AF31</f>
        <v/>
      </c>
      <c r="AG70" s="40">
        <f>'07_Мерч'!AG31</f>
        <v/>
      </c>
      <c r="AH70" s="40">
        <f>'07_Мерч'!AH31</f>
        <v/>
      </c>
      <c r="AI70" s="40">
        <f>'07_Мерч'!AI31</f>
        <v/>
      </c>
      <c r="AJ70" s="40">
        <f>'07_Мерч'!AJ31</f>
        <v/>
      </c>
      <c r="AK70" s="40">
        <f>'07_Мерч'!AK31</f>
        <v/>
      </c>
      <c r="AL70" s="40">
        <f>'07_Мерч'!AL31</f>
        <v/>
      </c>
      <c r="AM70" s="40">
        <f>'07_Мерч'!AM31</f>
        <v/>
      </c>
      <c r="AN70" s="40">
        <f>'07_Мерч'!AN31</f>
        <v/>
      </c>
      <c r="AO70" s="40">
        <f>'07_Мерч'!AO31</f>
        <v/>
      </c>
      <c r="AP70" s="40">
        <f>'07_Мерч'!AP31</f>
        <v/>
      </c>
      <c r="AQ70" s="40">
        <f>'07_Мерч'!AQ31</f>
        <v/>
      </c>
      <c r="AR70" s="40">
        <f>'07_Мерч'!AR31</f>
        <v/>
      </c>
      <c r="AS70" s="40">
        <f>'07_Мерч'!AS31</f>
        <v/>
      </c>
      <c r="AT70" s="40">
        <f>'07_Мерч'!AT31</f>
        <v/>
      </c>
      <c r="AU70" s="40">
        <f>'07_Мерч'!AU31</f>
        <v/>
      </c>
      <c r="AV70" s="40">
        <f>'07_Мерч'!AV31</f>
        <v/>
      </c>
      <c r="AW70" s="40">
        <f>'07_Мерч'!AW31</f>
        <v/>
      </c>
      <c r="AX70" s="40">
        <f>'07_Мерч'!AX31</f>
        <v/>
      </c>
      <c r="AY70" s="40">
        <f>'07_Мерч'!AY31</f>
        <v/>
      </c>
      <c r="AZ70" s="40">
        <f>'07_Мерч'!AZ31</f>
        <v/>
      </c>
      <c r="BA70" s="40">
        <f>'07_Мерч'!BA31</f>
        <v/>
      </c>
      <c r="BB70" s="40">
        <f>'07_Мерч'!BB31</f>
        <v/>
      </c>
      <c r="BC70" s="40">
        <f>'07_Мерч'!BC31</f>
        <v/>
      </c>
      <c r="BD70" s="40">
        <f>'07_Мерч'!BD31</f>
        <v/>
      </c>
      <c r="BE70" s="40">
        <f>'07_Мерч'!BE31</f>
        <v/>
      </c>
      <c r="BF70" s="40">
        <f>'07_Мерч'!BF31</f>
        <v/>
      </c>
      <c r="BG70" s="40">
        <f>'07_Мерч'!BG31</f>
        <v/>
      </c>
      <c r="BH70" s="40">
        <f>'07_Мерч'!BH31</f>
        <v/>
      </c>
      <c r="BI70" s="40">
        <f>'07_Мерч'!BI31</f>
        <v/>
      </c>
    </row>
    <row r="71">
      <c r="A71" s="2" t="inlineStr">
        <is>
          <t>Чистый денежный поток</t>
        </is>
      </c>
      <c r="B71" s="42">
        <f>B68-B70</f>
        <v/>
      </c>
      <c r="C71" s="42">
        <f>C68-C70</f>
        <v/>
      </c>
      <c r="D71" s="42">
        <f>D68-D70</f>
        <v/>
      </c>
      <c r="E71" s="42">
        <f>E68-E70</f>
        <v/>
      </c>
      <c r="F71" s="42">
        <f>F68-F70</f>
        <v/>
      </c>
      <c r="G71" s="42">
        <f>G68-G70</f>
        <v/>
      </c>
      <c r="H71" s="42">
        <f>H68-H70</f>
        <v/>
      </c>
      <c r="I71" s="42">
        <f>I68-I70</f>
        <v/>
      </c>
      <c r="J71" s="42">
        <f>J68-J70</f>
        <v/>
      </c>
      <c r="K71" s="42">
        <f>K68-K70</f>
        <v/>
      </c>
      <c r="L71" s="42">
        <f>L68-L70</f>
        <v/>
      </c>
      <c r="M71" s="42">
        <f>M68-M70</f>
        <v/>
      </c>
      <c r="N71" s="42">
        <f>N68-N70</f>
        <v/>
      </c>
      <c r="O71" s="42">
        <f>O68-O70</f>
        <v/>
      </c>
      <c r="P71" s="42">
        <f>P68-P70</f>
        <v/>
      </c>
      <c r="Q71" s="42">
        <f>Q68-Q70</f>
        <v/>
      </c>
      <c r="R71" s="42">
        <f>R68-R70</f>
        <v/>
      </c>
      <c r="S71" s="42">
        <f>S68-S70</f>
        <v/>
      </c>
      <c r="T71" s="42">
        <f>T68-T70</f>
        <v/>
      </c>
      <c r="U71" s="42">
        <f>U68-U70</f>
        <v/>
      </c>
      <c r="V71" s="42">
        <f>V68-V70</f>
        <v/>
      </c>
      <c r="W71" s="42">
        <f>W68-W70</f>
        <v/>
      </c>
      <c r="X71" s="42">
        <f>X68-X70</f>
        <v/>
      </c>
      <c r="Y71" s="42">
        <f>Y68-Y70</f>
        <v/>
      </c>
      <c r="Z71" s="42">
        <f>Z68-Z70</f>
        <v/>
      </c>
      <c r="AA71" s="42">
        <f>AA68-AA70</f>
        <v/>
      </c>
      <c r="AB71" s="42">
        <f>AB68-AB70</f>
        <v/>
      </c>
      <c r="AC71" s="42">
        <f>AC68-AC70</f>
        <v/>
      </c>
      <c r="AD71" s="42">
        <f>AD68-AD70</f>
        <v/>
      </c>
      <c r="AE71" s="42">
        <f>AE68-AE70</f>
        <v/>
      </c>
      <c r="AF71" s="42">
        <f>AF68-AF70</f>
        <v/>
      </c>
      <c r="AG71" s="42">
        <f>AG68-AG70</f>
        <v/>
      </c>
      <c r="AH71" s="42">
        <f>AH68-AH70</f>
        <v/>
      </c>
      <c r="AI71" s="42">
        <f>AI68-AI70</f>
        <v/>
      </c>
      <c r="AJ71" s="42">
        <f>AJ68-AJ70</f>
        <v/>
      </c>
      <c r="AK71" s="42">
        <f>AK68-AK70</f>
        <v/>
      </c>
      <c r="AL71" s="42">
        <f>AL68-AL70</f>
        <v/>
      </c>
      <c r="AM71" s="42">
        <f>AM68-AM70</f>
        <v/>
      </c>
      <c r="AN71" s="42">
        <f>AN68-AN70</f>
        <v/>
      </c>
      <c r="AO71" s="42">
        <f>AO68-AO70</f>
        <v/>
      </c>
      <c r="AP71" s="42">
        <f>AP68-AP70</f>
        <v/>
      </c>
      <c r="AQ71" s="42">
        <f>AQ68-AQ70</f>
        <v/>
      </c>
      <c r="AR71" s="42">
        <f>AR68-AR70</f>
        <v/>
      </c>
      <c r="AS71" s="42">
        <f>AS68-AS70</f>
        <v/>
      </c>
      <c r="AT71" s="42">
        <f>AT68-AT70</f>
        <v/>
      </c>
      <c r="AU71" s="42">
        <f>AU68-AU70</f>
        <v/>
      </c>
      <c r="AV71" s="42">
        <f>AV68-AV70</f>
        <v/>
      </c>
      <c r="AW71" s="42">
        <f>AW68-AW70</f>
        <v/>
      </c>
      <c r="AX71" s="42">
        <f>AX68-AX70</f>
        <v/>
      </c>
      <c r="AY71" s="42">
        <f>AY68-AY70</f>
        <v/>
      </c>
      <c r="AZ71" s="42">
        <f>AZ68-AZ70</f>
        <v/>
      </c>
      <c r="BA71" s="42">
        <f>BA68-BA70</f>
        <v/>
      </c>
      <c r="BB71" s="42">
        <f>BB68-BB70</f>
        <v/>
      </c>
      <c r="BC71" s="42">
        <f>BC68-BC70</f>
        <v/>
      </c>
      <c r="BD71" s="42">
        <f>BD68-BD70</f>
        <v/>
      </c>
      <c r="BE71" s="42">
        <f>BE68-BE70</f>
        <v/>
      </c>
      <c r="BF71" s="42">
        <f>BF68-BF70</f>
        <v/>
      </c>
      <c r="BG71" s="42">
        <f>BG68-BG70</f>
        <v/>
      </c>
      <c r="BH71" s="42">
        <f>BH68-BH70</f>
        <v/>
      </c>
      <c r="BI71" s="42">
        <f>BI68-BI70</f>
        <v/>
      </c>
    </row>
    <row r="72">
      <c r="A72" s="10" t="inlineStr">
        <is>
          <t>Денежный остаток на конец</t>
        </is>
      </c>
      <c r="B72" s="43">
        <f>B51+B71</f>
        <v/>
      </c>
      <c r="C72" s="43">
        <f>C51+C71</f>
        <v/>
      </c>
      <c r="D72" s="43">
        <f>D51+D71</f>
        <v/>
      </c>
      <c r="E72" s="43">
        <f>E51+E71</f>
        <v/>
      </c>
      <c r="F72" s="43">
        <f>F51+F71</f>
        <v/>
      </c>
      <c r="G72" s="43">
        <f>G51+G71</f>
        <v/>
      </c>
      <c r="H72" s="43">
        <f>H51+H71</f>
        <v/>
      </c>
      <c r="I72" s="43">
        <f>I51+I71</f>
        <v/>
      </c>
      <c r="J72" s="43">
        <f>J51+J71</f>
        <v/>
      </c>
      <c r="K72" s="43">
        <f>K51+K71</f>
        <v/>
      </c>
      <c r="L72" s="43">
        <f>L51+L71</f>
        <v/>
      </c>
      <c r="M72" s="43">
        <f>M51+M71</f>
        <v/>
      </c>
      <c r="N72" s="43">
        <f>N51+N71</f>
        <v/>
      </c>
      <c r="O72" s="43">
        <f>O51+O71</f>
        <v/>
      </c>
      <c r="P72" s="43">
        <f>P51+P71</f>
        <v/>
      </c>
      <c r="Q72" s="43">
        <f>Q51+Q71</f>
        <v/>
      </c>
      <c r="R72" s="43">
        <f>R51+R71</f>
        <v/>
      </c>
      <c r="S72" s="43">
        <f>S51+S71</f>
        <v/>
      </c>
      <c r="T72" s="43">
        <f>T51+T71</f>
        <v/>
      </c>
      <c r="U72" s="43">
        <f>U51+U71</f>
        <v/>
      </c>
      <c r="V72" s="43">
        <f>V51+V71</f>
        <v/>
      </c>
      <c r="W72" s="43">
        <f>W51+W71</f>
        <v/>
      </c>
      <c r="X72" s="43">
        <f>X51+X71</f>
        <v/>
      </c>
      <c r="Y72" s="43">
        <f>Y51+Y71</f>
        <v/>
      </c>
      <c r="Z72" s="43">
        <f>Z51+Z71</f>
        <v/>
      </c>
      <c r="AA72" s="43">
        <f>AA51+AA71</f>
        <v/>
      </c>
      <c r="AB72" s="43">
        <f>AB51+AB71</f>
        <v/>
      </c>
      <c r="AC72" s="43">
        <f>AC51+AC71</f>
        <v/>
      </c>
      <c r="AD72" s="43">
        <f>AD51+AD71</f>
        <v/>
      </c>
      <c r="AE72" s="43">
        <f>AE51+AE71</f>
        <v/>
      </c>
      <c r="AF72" s="43">
        <f>AF51+AF71</f>
        <v/>
      </c>
      <c r="AG72" s="43">
        <f>AG51+AG71</f>
        <v/>
      </c>
      <c r="AH72" s="43">
        <f>AH51+AH71</f>
        <v/>
      </c>
      <c r="AI72" s="43">
        <f>AI51+AI71</f>
        <v/>
      </c>
      <c r="AJ72" s="43">
        <f>AJ51+AJ71</f>
        <v/>
      </c>
      <c r="AK72" s="43">
        <f>AK51+AK71</f>
        <v/>
      </c>
      <c r="AL72" s="43">
        <f>AL51+AL71</f>
        <v/>
      </c>
      <c r="AM72" s="43">
        <f>AM51+AM71</f>
        <v/>
      </c>
      <c r="AN72" s="43">
        <f>AN51+AN71</f>
        <v/>
      </c>
      <c r="AO72" s="43">
        <f>AO51+AO71</f>
        <v/>
      </c>
      <c r="AP72" s="43">
        <f>AP51+AP71</f>
        <v/>
      </c>
      <c r="AQ72" s="43">
        <f>AQ51+AQ71</f>
        <v/>
      </c>
      <c r="AR72" s="43">
        <f>AR51+AR71</f>
        <v/>
      </c>
      <c r="AS72" s="43">
        <f>AS51+AS71</f>
        <v/>
      </c>
      <c r="AT72" s="43">
        <f>AT51+AT71</f>
        <v/>
      </c>
      <c r="AU72" s="43">
        <f>AU51+AU71</f>
        <v/>
      </c>
      <c r="AV72" s="43">
        <f>AV51+AV71</f>
        <v/>
      </c>
      <c r="AW72" s="43">
        <f>AW51+AW71</f>
        <v/>
      </c>
      <c r="AX72" s="43">
        <f>AX51+AX71</f>
        <v/>
      </c>
      <c r="AY72" s="43">
        <f>AY51+AY71</f>
        <v/>
      </c>
      <c r="AZ72" s="43">
        <f>AZ51+AZ71</f>
        <v/>
      </c>
      <c r="BA72" s="43">
        <f>BA51+BA71</f>
        <v/>
      </c>
      <c r="BB72" s="43">
        <f>BB51+BB71</f>
        <v/>
      </c>
      <c r="BC72" s="43">
        <f>BC51+BC71</f>
        <v/>
      </c>
      <c r="BD72" s="43">
        <f>BD51+BD71</f>
        <v/>
      </c>
      <c r="BE72" s="43">
        <f>BE51+BE71</f>
        <v/>
      </c>
      <c r="BF72" s="43">
        <f>BF51+BF71</f>
        <v/>
      </c>
      <c r="BG72" s="43">
        <f>BG51+BG71</f>
        <v/>
      </c>
      <c r="BH72" s="43">
        <f>BH51+BH71</f>
        <v/>
      </c>
      <c r="BI72" s="43">
        <f>BI51+BI71</f>
        <v/>
      </c>
    </row>
    <row r="73">
      <c r="B73" s="73" t="n"/>
      <c r="C73" s="73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73" t="n"/>
      <c r="AR73" s="73" t="n"/>
      <c r="AS73" s="73" t="n"/>
      <c r="AT73" s="73" t="n"/>
      <c r="AU73" s="73" t="n"/>
      <c r="AV73" s="73" t="n"/>
      <c r="AW73" s="73" t="n"/>
      <c r="AX73" s="73" t="n"/>
      <c r="AY73" s="73" t="n"/>
      <c r="AZ73" s="73" t="n"/>
      <c r="BA73" s="73" t="n"/>
      <c r="BB73" s="73" t="n"/>
      <c r="BC73" s="73" t="n"/>
      <c r="BD73" s="73" t="n"/>
      <c r="BE73" s="73" t="n"/>
      <c r="BF73" s="73" t="n"/>
      <c r="BG73" s="73" t="n"/>
      <c r="BH73" s="73" t="n"/>
      <c r="BI73" s="73" t="n"/>
    </row>
    <row r="74" ht="20" customHeight="1">
      <c r="A74" s="4" t="inlineStr">
        <is>
          <t>Контроль оборотного капитала</t>
        </is>
      </c>
    </row>
    <row r="75">
      <c r="A75" s="2" t="inlineStr">
        <is>
          <t>Займ на конец</t>
        </is>
      </c>
      <c r="B75" s="40">
        <f>'07_Мерч'!B32</f>
        <v/>
      </c>
      <c r="C75" s="40">
        <f>'07_Мерч'!C32</f>
        <v/>
      </c>
      <c r="D75" s="40">
        <f>'07_Мерч'!D32</f>
        <v/>
      </c>
      <c r="E75" s="40">
        <f>'07_Мерч'!E32</f>
        <v/>
      </c>
      <c r="F75" s="40">
        <f>'07_Мерч'!F32</f>
        <v/>
      </c>
      <c r="G75" s="40">
        <f>'07_Мерч'!G32</f>
        <v/>
      </c>
      <c r="H75" s="40">
        <f>'07_Мерч'!H32</f>
        <v/>
      </c>
      <c r="I75" s="40">
        <f>'07_Мерч'!I32</f>
        <v/>
      </c>
      <c r="J75" s="40">
        <f>'07_Мерч'!J32</f>
        <v/>
      </c>
      <c r="K75" s="40">
        <f>'07_Мерч'!K32</f>
        <v/>
      </c>
      <c r="L75" s="40">
        <f>'07_Мерч'!L32</f>
        <v/>
      </c>
      <c r="M75" s="40">
        <f>'07_Мерч'!M32</f>
        <v/>
      </c>
      <c r="N75" s="40">
        <f>'07_Мерч'!N32</f>
        <v/>
      </c>
      <c r="O75" s="40">
        <f>'07_Мерч'!O32</f>
        <v/>
      </c>
      <c r="P75" s="40">
        <f>'07_Мерч'!P32</f>
        <v/>
      </c>
      <c r="Q75" s="40">
        <f>'07_Мерч'!Q32</f>
        <v/>
      </c>
      <c r="R75" s="40">
        <f>'07_Мерч'!R32</f>
        <v/>
      </c>
      <c r="S75" s="40">
        <f>'07_Мерч'!S32</f>
        <v/>
      </c>
      <c r="T75" s="40">
        <f>'07_Мерч'!T32</f>
        <v/>
      </c>
      <c r="U75" s="40">
        <f>'07_Мерч'!U32</f>
        <v/>
      </c>
      <c r="V75" s="40">
        <f>'07_Мерч'!V32</f>
        <v/>
      </c>
      <c r="W75" s="40">
        <f>'07_Мерч'!W32</f>
        <v/>
      </c>
      <c r="X75" s="40">
        <f>'07_Мерч'!X32</f>
        <v/>
      </c>
      <c r="Y75" s="40">
        <f>'07_Мерч'!Y32</f>
        <v/>
      </c>
      <c r="Z75" s="40">
        <f>'07_Мерч'!Z32</f>
        <v/>
      </c>
      <c r="AA75" s="40">
        <f>'07_Мерч'!AA32</f>
        <v/>
      </c>
      <c r="AB75" s="40">
        <f>'07_Мерч'!AB32</f>
        <v/>
      </c>
      <c r="AC75" s="40">
        <f>'07_Мерч'!AC32</f>
        <v/>
      </c>
      <c r="AD75" s="40">
        <f>'07_Мерч'!AD32</f>
        <v/>
      </c>
      <c r="AE75" s="40">
        <f>'07_Мерч'!AE32</f>
        <v/>
      </c>
      <c r="AF75" s="40">
        <f>'07_Мерч'!AF32</f>
        <v/>
      </c>
      <c r="AG75" s="40">
        <f>'07_Мерч'!AG32</f>
        <v/>
      </c>
      <c r="AH75" s="40">
        <f>'07_Мерч'!AH32</f>
        <v/>
      </c>
      <c r="AI75" s="40">
        <f>'07_Мерч'!AI32</f>
        <v/>
      </c>
      <c r="AJ75" s="40">
        <f>'07_Мерч'!AJ32</f>
        <v/>
      </c>
      <c r="AK75" s="40">
        <f>'07_Мерч'!AK32</f>
        <v/>
      </c>
      <c r="AL75" s="40">
        <f>'07_Мерч'!AL32</f>
        <v/>
      </c>
      <c r="AM75" s="40">
        <f>'07_Мерч'!AM32</f>
        <v/>
      </c>
      <c r="AN75" s="40">
        <f>'07_Мерч'!AN32</f>
        <v/>
      </c>
      <c r="AO75" s="40">
        <f>'07_Мерч'!AO32</f>
        <v/>
      </c>
      <c r="AP75" s="40">
        <f>'07_Мерч'!AP32</f>
        <v/>
      </c>
      <c r="AQ75" s="40">
        <f>'07_Мерч'!AQ32</f>
        <v/>
      </c>
      <c r="AR75" s="40">
        <f>'07_Мерч'!AR32</f>
        <v/>
      </c>
      <c r="AS75" s="40">
        <f>'07_Мерч'!AS32</f>
        <v/>
      </c>
      <c r="AT75" s="40">
        <f>'07_Мерч'!AT32</f>
        <v/>
      </c>
      <c r="AU75" s="40">
        <f>'07_Мерч'!AU32</f>
        <v/>
      </c>
      <c r="AV75" s="40">
        <f>'07_Мерч'!AV32</f>
        <v/>
      </c>
      <c r="AW75" s="40">
        <f>'07_Мерч'!AW32</f>
        <v/>
      </c>
      <c r="AX75" s="40">
        <f>'07_Мерч'!AX32</f>
        <v/>
      </c>
      <c r="AY75" s="40">
        <f>'07_Мерч'!AY32</f>
        <v/>
      </c>
      <c r="AZ75" s="40">
        <f>'07_Мерч'!AZ32</f>
        <v/>
      </c>
      <c r="BA75" s="40">
        <f>'07_Мерч'!BA32</f>
        <v/>
      </c>
      <c r="BB75" s="40">
        <f>'07_Мерч'!BB32</f>
        <v/>
      </c>
      <c r="BC75" s="40">
        <f>'07_Мерч'!BC32</f>
        <v/>
      </c>
      <c r="BD75" s="40">
        <f>'07_Мерч'!BD32</f>
        <v/>
      </c>
      <c r="BE75" s="40">
        <f>'07_Мерч'!BE32</f>
        <v/>
      </c>
      <c r="BF75" s="40">
        <f>'07_Мерч'!BF32</f>
        <v/>
      </c>
      <c r="BG75" s="40">
        <f>'07_Мерч'!BG32</f>
        <v/>
      </c>
      <c r="BH75" s="40">
        <f>'07_Мерч'!BH32</f>
        <v/>
      </c>
      <c r="BI75" s="40">
        <f>'07_Мерч'!BI32</f>
        <v/>
      </c>
    </row>
    <row r="76">
      <c r="A76" s="2" t="inlineStr">
        <is>
          <t>Склад на конец</t>
        </is>
      </c>
      <c r="B76" s="40">
        <f>'07_Мерч'!B26</f>
        <v/>
      </c>
      <c r="C76" s="40">
        <f>'07_Мерч'!C26</f>
        <v/>
      </c>
      <c r="D76" s="40">
        <f>'07_Мерч'!D26</f>
        <v/>
      </c>
      <c r="E76" s="40">
        <f>'07_Мерч'!E26</f>
        <v/>
      </c>
      <c r="F76" s="40">
        <f>'07_Мерч'!F26</f>
        <v/>
      </c>
      <c r="G76" s="40">
        <f>'07_Мерч'!G26</f>
        <v/>
      </c>
      <c r="H76" s="40">
        <f>'07_Мерч'!H26</f>
        <v/>
      </c>
      <c r="I76" s="40">
        <f>'07_Мерч'!I26</f>
        <v/>
      </c>
      <c r="J76" s="40">
        <f>'07_Мерч'!J26</f>
        <v/>
      </c>
      <c r="K76" s="40">
        <f>'07_Мерч'!K26</f>
        <v/>
      </c>
      <c r="L76" s="40">
        <f>'07_Мерч'!L26</f>
        <v/>
      </c>
      <c r="M76" s="40">
        <f>'07_Мерч'!M26</f>
        <v/>
      </c>
      <c r="N76" s="40">
        <f>'07_Мерч'!N26</f>
        <v/>
      </c>
      <c r="O76" s="40">
        <f>'07_Мерч'!O26</f>
        <v/>
      </c>
      <c r="P76" s="40">
        <f>'07_Мерч'!P26</f>
        <v/>
      </c>
      <c r="Q76" s="40">
        <f>'07_Мерч'!Q26</f>
        <v/>
      </c>
      <c r="R76" s="40">
        <f>'07_Мерч'!R26</f>
        <v/>
      </c>
      <c r="S76" s="40">
        <f>'07_Мерч'!S26</f>
        <v/>
      </c>
      <c r="T76" s="40">
        <f>'07_Мерч'!T26</f>
        <v/>
      </c>
      <c r="U76" s="40">
        <f>'07_Мерч'!U26</f>
        <v/>
      </c>
      <c r="V76" s="40">
        <f>'07_Мерч'!V26</f>
        <v/>
      </c>
      <c r="W76" s="40">
        <f>'07_Мерч'!W26</f>
        <v/>
      </c>
      <c r="X76" s="40">
        <f>'07_Мерч'!X26</f>
        <v/>
      </c>
      <c r="Y76" s="40">
        <f>'07_Мерч'!Y26</f>
        <v/>
      </c>
      <c r="Z76" s="40">
        <f>'07_Мерч'!Z26</f>
        <v/>
      </c>
      <c r="AA76" s="40">
        <f>'07_Мерч'!AA26</f>
        <v/>
      </c>
      <c r="AB76" s="40">
        <f>'07_Мерч'!AB26</f>
        <v/>
      </c>
      <c r="AC76" s="40">
        <f>'07_Мерч'!AC26</f>
        <v/>
      </c>
      <c r="AD76" s="40">
        <f>'07_Мерч'!AD26</f>
        <v/>
      </c>
      <c r="AE76" s="40">
        <f>'07_Мерч'!AE26</f>
        <v/>
      </c>
      <c r="AF76" s="40">
        <f>'07_Мерч'!AF26</f>
        <v/>
      </c>
      <c r="AG76" s="40">
        <f>'07_Мерч'!AG26</f>
        <v/>
      </c>
      <c r="AH76" s="40">
        <f>'07_Мерч'!AH26</f>
        <v/>
      </c>
      <c r="AI76" s="40">
        <f>'07_Мерч'!AI26</f>
        <v/>
      </c>
      <c r="AJ76" s="40">
        <f>'07_Мерч'!AJ26</f>
        <v/>
      </c>
      <c r="AK76" s="40">
        <f>'07_Мерч'!AK26</f>
        <v/>
      </c>
      <c r="AL76" s="40">
        <f>'07_Мерч'!AL26</f>
        <v/>
      </c>
      <c r="AM76" s="40">
        <f>'07_Мерч'!AM26</f>
        <v/>
      </c>
      <c r="AN76" s="40">
        <f>'07_Мерч'!AN26</f>
        <v/>
      </c>
      <c r="AO76" s="40">
        <f>'07_Мерч'!AO26</f>
        <v/>
      </c>
      <c r="AP76" s="40">
        <f>'07_Мерч'!AP26</f>
        <v/>
      </c>
      <c r="AQ76" s="40">
        <f>'07_Мерч'!AQ26</f>
        <v/>
      </c>
      <c r="AR76" s="40">
        <f>'07_Мерч'!AR26</f>
        <v/>
      </c>
      <c r="AS76" s="40">
        <f>'07_Мерч'!AS26</f>
        <v/>
      </c>
      <c r="AT76" s="40">
        <f>'07_Мерч'!AT26</f>
        <v/>
      </c>
      <c r="AU76" s="40">
        <f>'07_Мерч'!AU26</f>
        <v/>
      </c>
      <c r="AV76" s="40">
        <f>'07_Мерч'!AV26</f>
        <v/>
      </c>
      <c r="AW76" s="40">
        <f>'07_Мерч'!AW26</f>
        <v/>
      </c>
      <c r="AX76" s="40">
        <f>'07_Мерч'!AX26</f>
        <v/>
      </c>
      <c r="AY76" s="40">
        <f>'07_Мерч'!AY26</f>
        <v/>
      </c>
      <c r="AZ76" s="40">
        <f>'07_Мерч'!AZ26</f>
        <v/>
      </c>
      <c r="BA76" s="40">
        <f>'07_Мерч'!BA26</f>
        <v/>
      </c>
      <c r="BB76" s="40">
        <f>'07_Мерч'!BB26</f>
        <v/>
      </c>
      <c r="BC76" s="40">
        <f>'07_Мерч'!BC26</f>
        <v/>
      </c>
      <c r="BD76" s="40">
        <f>'07_Мерч'!BD26</f>
        <v/>
      </c>
      <c r="BE76" s="40">
        <f>'07_Мерч'!BE26</f>
        <v/>
      </c>
      <c r="BF76" s="40">
        <f>'07_Мерч'!BF26</f>
        <v/>
      </c>
      <c r="BG76" s="40">
        <f>'07_Мерч'!BG26</f>
        <v/>
      </c>
      <c r="BH76" s="40">
        <f>'07_Мерч'!BH26</f>
        <v/>
      </c>
      <c r="BI76" s="40">
        <f>'07_Мерч'!BI26</f>
        <v/>
      </c>
    </row>
    <row r="77">
      <c r="A77" s="2" t="inlineStr">
        <is>
          <t>Целевой запас 6 мес.</t>
        </is>
      </c>
      <c r="B77" s="40">
        <f>'07_Мерч'!B24</f>
        <v/>
      </c>
      <c r="C77" s="40">
        <f>'07_Мерч'!C24</f>
        <v/>
      </c>
      <c r="D77" s="40">
        <f>'07_Мерч'!D24</f>
        <v/>
      </c>
      <c r="E77" s="40">
        <f>'07_Мерч'!E24</f>
        <v/>
      </c>
      <c r="F77" s="40">
        <f>'07_Мерч'!F24</f>
        <v/>
      </c>
      <c r="G77" s="40">
        <f>'07_Мерч'!G24</f>
        <v/>
      </c>
      <c r="H77" s="40">
        <f>'07_Мерч'!H24</f>
        <v/>
      </c>
      <c r="I77" s="40">
        <f>'07_Мерч'!I24</f>
        <v/>
      </c>
      <c r="J77" s="40">
        <f>'07_Мерч'!J24</f>
        <v/>
      </c>
      <c r="K77" s="40">
        <f>'07_Мерч'!K24</f>
        <v/>
      </c>
      <c r="L77" s="40">
        <f>'07_Мерч'!L24</f>
        <v/>
      </c>
      <c r="M77" s="40">
        <f>'07_Мерч'!M24</f>
        <v/>
      </c>
      <c r="N77" s="40">
        <f>'07_Мерч'!N24</f>
        <v/>
      </c>
      <c r="O77" s="40">
        <f>'07_Мерч'!O24</f>
        <v/>
      </c>
      <c r="P77" s="40">
        <f>'07_Мерч'!P24</f>
        <v/>
      </c>
      <c r="Q77" s="40">
        <f>'07_Мерч'!Q24</f>
        <v/>
      </c>
      <c r="R77" s="40">
        <f>'07_Мерч'!R24</f>
        <v/>
      </c>
      <c r="S77" s="40">
        <f>'07_Мерч'!S24</f>
        <v/>
      </c>
      <c r="T77" s="40">
        <f>'07_Мерч'!T24</f>
        <v/>
      </c>
      <c r="U77" s="40">
        <f>'07_Мерч'!U24</f>
        <v/>
      </c>
      <c r="V77" s="40">
        <f>'07_Мерч'!V24</f>
        <v/>
      </c>
      <c r="W77" s="40">
        <f>'07_Мерч'!W24</f>
        <v/>
      </c>
      <c r="X77" s="40">
        <f>'07_Мерч'!X24</f>
        <v/>
      </c>
      <c r="Y77" s="40">
        <f>'07_Мерч'!Y24</f>
        <v/>
      </c>
      <c r="Z77" s="40">
        <f>'07_Мерч'!Z24</f>
        <v/>
      </c>
      <c r="AA77" s="40">
        <f>'07_Мерч'!AA24</f>
        <v/>
      </c>
      <c r="AB77" s="40">
        <f>'07_Мерч'!AB24</f>
        <v/>
      </c>
      <c r="AC77" s="40">
        <f>'07_Мерч'!AC24</f>
        <v/>
      </c>
      <c r="AD77" s="40">
        <f>'07_Мерч'!AD24</f>
        <v/>
      </c>
      <c r="AE77" s="40">
        <f>'07_Мерч'!AE24</f>
        <v/>
      </c>
      <c r="AF77" s="40">
        <f>'07_Мерч'!AF24</f>
        <v/>
      </c>
      <c r="AG77" s="40">
        <f>'07_Мерч'!AG24</f>
        <v/>
      </c>
      <c r="AH77" s="40">
        <f>'07_Мерч'!AH24</f>
        <v/>
      </c>
      <c r="AI77" s="40">
        <f>'07_Мерч'!AI24</f>
        <v/>
      </c>
      <c r="AJ77" s="40">
        <f>'07_Мерч'!AJ24</f>
        <v/>
      </c>
      <c r="AK77" s="40">
        <f>'07_Мерч'!AK24</f>
        <v/>
      </c>
      <c r="AL77" s="40">
        <f>'07_Мерч'!AL24</f>
        <v/>
      </c>
      <c r="AM77" s="40">
        <f>'07_Мерч'!AM24</f>
        <v/>
      </c>
      <c r="AN77" s="40">
        <f>'07_Мерч'!AN24</f>
        <v/>
      </c>
      <c r="AO77" s="40">
        <f>'07_Мерч'!AO24</f>
        <v/>
      </c>
      <c r="AP77" s="40">
        <f>'07_Мерч'!AP24</f>
        <v/>
      </c>
      <c r="AQ77" s="40">
        <f>'07_Мерч'!AQ24</f>
        <v/>
      </c>
      <c r="AR77" s="40">
        <f>'07_Мерч'!AR24</f>
        <v/>
      </c>
      <c r="AS77" s="40">
        <f>'07_Мерч'!AS24</f>
        <v/>
      </c>
      <c r="AT77" s="40">
        <f>'07_Мерч'!AT24</f>
        <v/>
      </c>
      <c r="AU77" s="40">
        <f>'07_Мерч'!AU24</f>
        <v/>
      </c>
      <c r="AV77" s="40">
        <f>'07_Мерч'!AV24</f>
        <v/>
      </c>
      <c r="AW77" s="40">
        <f>'07_Мерч'!AW24</f>
        <v/>
      </c>
      <c r="AX77" s="40">
        <f>'07_Мерч'!AX24</f>
        <v/>
      </c>
      <c r="AY77" s="40">
        <f>'07_Мерч'!AY24</f>
        <v/>
      </c>
      <c r="AZ77" s="40">
        <f>'07_Мерч'!AZ24</f>
        <v/>
      </c>
      <c r="BA77" s="40">
        <f>'07_Мерч'!BA24</f>
        <v/>
      </c>
      <c r="BB77" s="40">
        <f>'07_Мерч'!BB24</f>
        <v/>
      </c>
      <c r="BC77" s="40">
        <f>'07_Мерч'!BC24</f>
        <v/>
      </c>
      <c r="BD77" s="40">
        <f>'07_Мерч'!BD24</f>
        <v/>
      </c>
      <c r="BE77" s="40">
        <f>'07_Мерч'!BE24</f>
        <v/>
      </c>
      <c r="BF77" s="40">
        <f>'07_Мерч'!BF24</f>
        <v/>
      </c>
      <c r="BG77" s="40">
        <f>'07_Мерч'!BG24</f>
        <v/>
      </c>
      <c r="BH77" s="40">
        <f>'07_Мерч'!BH24</f>
        <v/>
      </c>
      <c r="BI77" s="40">
        <f>'07_Мерч'!BI24</f>
        <v/>
      </c>
    </row>
    <row r="78">
      <c r="A78" s="2" t="inlineStr">
        <is>
          <t>Дефицит склада</t>
        </is>
      </c>
      <c r="B78" s="40">
        <f>'07_Мерч'!B27</f>
        <v/>
      </c>
      <c r="C78" s="40">
        <f>'07_Мерч'!C27</f>
        <v/>
      </c>
      <c r="D78" s="40">
        <f>'07_Мерч'!D27</f>
        <v/>
      </c>
      <c r="E78" s="40">
        <f>'07_Мерч'!E27</f>
        <v/>
      </c>
      <c r="F78" s="40">
        <f>'07_Мерч'!F27</f>
        <v/>
      </c>
      <c r="G78" s="40">
        <f>'07_Мерч'!G27</f>
        <v/>
      </c>
      <c r="H78" s="40">
        <f>'07_Мерч'!H27</f>
        <v/>
      </c>
      <c r="I78" s="40">
        <f>'07_Мерч'!I27</f>
        <v/>
      </c>
      <c r="J78" s="40">
        <f>'07_Мерч'!J27</f>
        <v/>
      </c>
      <c r="K78" s="40">
        <f>'07_Мерч'!K27</f>
        <v/>
      </c>
      <c r="L78" s="40">
        <f>'07_Мерч'!L27</f>
        <v/>
      </c>
      <c r="M78" s="40">
        <f>'07_Мерч'!M27</f>
        <v/>
      </c>
      <c r="N78" s="40">
        <f>'07_Мерч'!N27</f>
        <v/>
      </c>
      <c r="O78" s="40">
        <f>'07_Мерч'!O27</f>
        <v/>
      </c>
      <c r="P78" s="40">
        <f>'07_Мерч'!P27</f>
        <v/>
      </c>
      <c r="Q78" s="40">
        <f>'07_Мерч'!Q27</f>
        <v/>
      </c>
      <c r="R78" s="40">
        <f>'07_Мерч'!R27</f>
        <v/>
      </c>
      <c r="S78" s="40">
        <f>'07_Мерч'!S27</f>
        <v/>
      </c>
      <c r="T78" s="40">
        <f>'07_Мерч'!T27</f>
        <v/>
      </c>
      <c r="U78" s="40">
        <f>'07_Мерч'!U27</f>
        <v/>
      </c>
      <c r="V78" s="40">
        <f>'07_Мерч'!V27</f>
        <v/>
      </c>
      <c r="W78" s="40">
        <f>'07_Мерч'!W27</f>
        <v/>
      </c>
      <c r="X78" s="40">
        <f>'07_Мерч'!X27</f>
        <v/>
      </c>
      <c r="Y78" s="40">
        <f>'07_Мерч'!Y27</f>
        <v/>
      </c>
      <c r="Z78" s="40">
        <f>'07_Мерч'!Z27</f>
        <v/>
      </c>
      <c r="AA78" s="40">
        <f>'07_Мерч'!AA27</f>
        <v/>
      </c>
      <c r="AB78" s="40">
        <f>'07_Мерч'!AB27</f>
        <v/>
      </c>
      <c r="AC78" s="40">
        <f>'07_Мерч'!AC27</f>
        <v/>
      </c>
      <c r="AD78" s="40">
        <f>'07_Мерч'!AD27</f>
        <v/>
      </c>
      <c r="AE78" s="40">
        <f>'07_Мерч'!AE27</f>
        <v/>
      </c>
      <c r="AF78" s="40">
        <f>'07_Мерч'!AF27</f>
        <v/>
      </c>
      <c r="AG78" s="40">
        <f>'07_Мерч'!AG27</f>
        <v/>
      </c>
      <c r="AH78" s="40">
        <f>'07_Мерч'!AH27</f>
        <v/>
      </c>
      <c r="AI78" s="40">
        <f>'07_Мерч'!AI27</f>
        <v/>
      </c>
      <c r="AJ78" s="40">
        <f>'07_Мерч'!AJ27</f>
        <v/>
      </c>
      <c r="AK78" s="40">
        <f>'07_Мерч'!AK27</f>
        <v/>
      </c>
      <c r="AL78" s="40">
        <f>'07_Мерч'!AL27</f>
        <v/>
      </c>
      <c r="AM78" s="40">
        <f>'07_Мерч'!AM27</f>
        <v/>
      </c>
      <c r="AN78" s="40">
        <f>'07_Мерч'!AN27</f>
        <v/>
      </c>
      <c r="AO78" s="40">
        <f>'07_Мерч'!AO27</f>
        <v/>
      </c>
      <c r="AP78" s="40">
        <f>'07_Мерч'!AP27</f>
        <v/>
      </c>
      <c r="AQ78" s="40">
        <f>'07_Мерч'!AQ27</f>
        <v/>
      </c>
      <c r="AR78" s="40">
        <f>'07_Мерч'!AR27</f>
        <v/>
      </c>
      <c r="AS78" s="40">
        <f>'07_Мерч'!AS27</f>
        <v/>
      </c>
      <c r="AT78" s="40">
        <f>'07_Мерч'!AT27</f>
        <v/>
      </c>
      <c r="AU78" s="40">
        <f>'07_Мерч'!AU27</f>
        <v/>
      </c>
      <c r="AV78" s="40">
        <f>'07_Мерч'!AV27</f>
        <v/>
      </c>
      <c r="AW78" s="40">
        <f>'07_Мерч'!AW27</f>
        <v/>
      </c>
      <c r="AX78" s="40">
        <f>'07_Мерч'!AX27</f>
        <v/>
      </c>
      <c r="AY78" s="40">
        <f>'07_Мерч'!AY27</f>
        <v/>
      </c>
      <c r="AZ78" s="40">
        <f>'07_Мерч'!AZ27</f>
        <v/>
      </c>
      <c r="BA78" s="40">
        <f>'07_Мерч'!BA27</f>
        <v/>
      </c>
      <c r="BB78" s="40">
        <f>'07_Мерч'!BB27</f>
        <v/>
      </c>
      <c r="BC78" s="40">
        <f>'07_Мерч'!BC27</f>
        <v/>
      </c>
      <c r="BD78" s="40">
        <f>'07_Мерч'!BD27</f>
        <v/>
      </c>
      <c r="BE78" s="40">
        <f>'07_Мерч'!BE27</f>
        <v/>
      </c>
      <c r="BF78" s="40">
        <f>'07_Мерч'!BF27</f>
        <v/>
      </c>
      <c r="BG78" s="40">
        <f>'07_Мерч'!BG27</f>
        <v/>
      </c>
      <c r="BH78" s="40">
        <f>'07_Мерч'!BH27</f>
        <v/>
      </c>
      <c r="BI78" s="40">
        <f>'07_Мерч'!BI27</f>
        <v/>
      </c>
    </row>
    <row r="79">
      <c r="B79" s="73" t="n"/>
      <c r="C79" s="73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  <c r="AS79" s="73" t="n"/>
      <c r="AT79" s="73" t="n"/>
      <c r="AU79" s="73" t="n"/>
      <c r="AV79" s="73" t="n"/>
      <c r="AW79" s="73" t="n"/>
      <c r="AX79" s="73" t="n"/>
      <c r="AY79" s="73" t="n"/>
      <c r="AZ79" s="73" t="n"/>
      <c r="BA79" s="73" t="n"/>
      <c r="BB79" s="73" t="n"/>
      <c r="BC79" s="73" t="n"/>
      <c r="BD79" s="73" t="n"/>
      <c r="BE79" s="73" t="n"/>
      <c r="BF79" s="73" t="n"/>
      <c r="BG79" s="73" t="n"/>
      <c r="BH79" s="73" t="n"/>
      <c r="BI79" s="73" t="n"/>
    </row>
    <row r="80">
      <c r="A80" t="inlineStr">
        <is>
          <t>Дебиторка роялти на конец (без НДС)</t>
        </is>
      </c>
      <c r="B80" s="129">
        <f>0+B19+B20-B53/(1+'01_Вводные'!$B$58)</f>
        <v/>
      </c>
      <c r="C80" s="129">
        <f>B80+C19+C20-C53/(1+'01_Вводные'!$B$58)</f>
        <v/>
      </c>
      <c r="D80" s="129">
        <f>C80+D19+D20-D53/(1+'01_Вводные'!$B$58)</f>
        <v/>
      </c>
      <c r="E80" s="129">
        <f>D80+E19+E20-E53/(1+'01_Вводные'!$B$58)</f>
        <v/>
      </c>
      <c r="F80" s="129">
        <f>E80+F19+F20-F53/(1+'01_Вводные'!$B$58)</f>
        <v/>
      </c>
      <c r="G80" s="129">
        <f>F80+G19+G20-G53/(1+'01_Вводные'!$B$58)</f>
        <v/>
      </c>
      <c r="H80" s="129">
        <f>G80+H19+H20-H53/(1+'01_Вводные'!$B$58)</f>
        <v/>
      </c>
      <c r="I80" s="129">
        <f>H80+I19+I20-I53/(1+'01_Вводные'!$B$58)</f>
        <v/>
      </c>
      <c r="J80" s="129">
        <f>I80+J19+J20-J53/(1+'01_Вводные'!$B$58)</f>
        <v/>
      </c>
      <c r="K80" s="129">
        <f>J80+K19+K20-K53/(1+'01_Вводные'!$B$58)</f>
        <v/>
      </c>
      <c r="L80" s="129">
        <f>K80+L19+L20-L53/(1+'01_Вводные'!$B$58)</f>
        <v/>
      </c>
      <c r="M80" s="129">
        <f>L80+M19+M20-M53/(1+'01_Вводные'!$B$58)</f>
        <v/>
      </c>
      <c r="N80" s="129">
        <f>M80+N19+N20-N53/(1+'01_Вводные'!$B$58)</f>
        <v/>
      </c>
      <c r="O80" s="129">
        <f>N80+O19+O20-O53/(1+'01_Вводные'!$B$58)</f>
        <v/>
      </c>
      <c r="P80" s="129">
        <f>O80+P19+P20-P53/(1+'01_Вводные'!$B$58)</f>
        <v/>
      </c>
      <c r="Q80" s="129">
        <f>P80+Q19+Q20-Q53/(1+'01_Вводные'!$B$58)</f>
        <v/>
      </c>
      <c r="R80" s="129">
        <f>Q80+R19+R20-R53/(1+'01_Вводные'!$B$58)</f>
        <v/>
      </c>
      <c r="S80" s="129">
        <f>R80+S19+S20-S53/(1+'01_Вводные'!$B$58)</f>
        <v/>
      </c>
      <c r="T80" s="129">
        <f>S80+T19+T20-T53/(1+'01_Вводные'!$B$58)</f>
        <v/>
      </c>
      <c r="U80" s="129">
        <f>T80+U19+U20-U53/(1+'01_Вводные'!$B$58)</f>
        <v/>
      </c>
      <c r="V80" s="129">
        <f>U80+V19+V20-V53/(1+'01_Вводные'!$B$58)</f>
        <v/>
      </c>
      <c r="W80" s="129">
        <f>V80+W19+W20-W53/(1+'01_Вводные'!$B$58)</f>
        <v/>
      </c>
      <c r="X80" s="129">
        <f>W80+X19+X20-X53/(1+'01_Вводные'!$B$58)</f>
        <v/>
      </c>
      <c r="Y80" s="129">
        <f>X80+Y19+Y20-Y53/(1+'01_Вводные'!$B$58)</f>
        <v/>
      </c>
      <c r="Z80" s="129">
        <f>Y80+Z19+Z20-Z53/(1+'01_Вводные'!$B$58)</f>
        <v/>
      </c>
      <c r="AA80" s="129">
        <f>Z80+AA19+AA20-AA53/(1+'01_Вводные'!$B$58)</f>
        <v/>
      </c>
      <c r="AB80" s="129">
        <f>AA80+AB19+AB20-AB53/(1+'01_Вводные'!$B$58)</f>
        <v/>
      </c>
      <c r="AC80" s="129">
        <f>AB80+AC19+AC20-AC53/(1+'01_Вводные'!$B$58)</f>
        <v/>
      </c>
      <c r="AD80" s="129">
        <f>AC80+AD19+AD20-AD53/(1+'01_Вводные'!$B$58)</f>
        <v/>
      </c>
      <c r="AE80" s="129">
        <f>AD80+AE19+AE20-AE53/(1+'01_Вводные'!$B$58)</f>
        <v/>
      </c>
      <c r="AF80" s="129">
        <f>AE80+AF19+AF20-AF53/(1+'01_Вводные'!$B$58)</f>
        <v/>
      </c>
      <c r="AG80" s="129">
        <f>AF80+AG19+AG20-AG53/(1+'01_Вводные'!$B$58)</f>
        <v/>
      </c>
      <c r="AH80" s="129">
        <f>AG80+AH19+AH20-AH53/(1+'01_Вводные'!$B$58)</f>
        <v/>
      </c>
      <c r="AI80" s="129">
        <f>AH80+AI19+AI20-AI53/(1+'01_Вводные'!$B$58)</f>
        <v/>
      </c>
      <c r="AJ80" s="129">
        <f>AI80+AJ19+AJ20-AJ53/(1+'01_Вводные'!$B$58)</f>
        <v/>
      </c>
      <c r="AK80" s="129">
        <f>AJ80+AK19+AK20-AK53/(1+'01_Вводные'!$B$58)</f>
        <v/>
      </c>
      <c r="AL80" s="129">
        <f>AK80+AL19+AL20-AL53/(1+'01_Вводные'!$B$58)</f>
        <v/>
      </c>
      <c r="AM80" s="129">
        <f>AL80+AM19+AM20-AM53/(1+'01_Вводные'!$B$58)</f>
        <v/>
      </c>
      <c r="AN80" s="129">
        <f>AM80+AN19+AN20-AN53/(1+'01_Вводные'!$B$58)</f>
        <v/>
      </c>
      <c r="AO80" s="129">
        <f>AN80+AO19+AO20-AO53/(1+'01_Вводные'!$B$58)</f>
        <v/>
      </c>
      <c r="AP80" s="129">
        <f>AO80+AP19+AP20-AP53/(1+'01_Вводные'!$B$58)</f>
        <v/>
      </c>
      <c r="AQ80" s="129">
        <f>AP80+AQ19+AQ20-AQ53/(1+'01_Вводные'!$B$58)</f>
        <v/>
      </c>
      <c r="AR80" s="129">
        <f>AQ80+AR19+AR20-AR53/(1+'01_Вводные'!$B$58)</f>
        <v/>
      </c>
      <c r="AS80" s="129">
        <f>AR80+AS19+AS20-AS53/(1+'01_Вводные'!$B$58)</f>
        <v/>
      </c>
      <c r="AT80" s="129">
        <f>AS80+AT19+AT20-AT53/(1+'01_Вводные'!$B$58)</f>
        <v/>
      </c>
      <c r="AU80" s="129">
        <f>AT80+AU19+AU20-AU53/(1+'01_Вводные'!$B$58)</f>
        <v/>
      </c>
      <c r="AV80" s="129">
        <f>AU80+AV19+AV20-AV53/(1+'01_Вводные'!$B$58)</f>
        <v/>
      </c>
      <c r="AW80" s="129">
        <f>AV80+AW19+AW20-AW53/(1+'01_Вводные'!$B$58)</f>
        <v/>
      </c>
      <c r="AX80" s="129">
        <f>AW80+AX19+AX20-AX53/(1+'01_Вводные'!$B$58)</f>
        <v/>
      </c>
      <c r="AY80" s="129">
        <f>AX80+AY19+AY20-AY53/(1+'01_Вводные'!$B$58)</f>
        <v/>
      </c>
      <c r="AZ80" s="129">
        <f>AY80+AZ19+AZ20-AZ53/(1+'01_Вводные'!$B$58)</f>
        <v/>
      </c>
      <c r="BA80" s="129">
        <f>AZ80+BA19+BA20-BA53/(1+'01_Вводные'!$B$58)</f>
        <v/>
      </c>
      <c r="BB80" s="129">
        <f>BA80+BB19+BB20-BB53/(1+'01_Вводные'!$B$58)</f>
        <v/>
      </c>
      <c r="BC80" s="129">
        <f>BB80+BC19+BC20-BC53/(1+'01_Вводные'!$B$58)</f>
        <v/>
      </c>
      <c r="BD80" s="129">
        <f>BC80+BD19+BD20-BD53/(1+'01_Вводные'!$B$58)</f>
        <v/>
      </c>
      <c r="BE80" s="129">
        <f>BD80+BE19+BE20-BE53/(1+'01_Вводные'!$B$58)</f>
        <v/>
      </c>
      <c r="BF80" s="129">
        <f>BE80+BF19+BF20-BF53/(1+'01_Вводные'!$B$58)</f>
        <v/>
      </c>
      <c r="BG80" s="129">
        <f>BF80+BG19+BG20-BG53/(1+'01_Вводные'!$B$58)</f>
        <v/>
      </c>
      <c r="BH80" s="129">
        <f>BG80+BH19+BH20-BH53/(1+'01_Вводные'!$B$58)</f>
        <v/>
      </c>
      <c r="BI80" s="129">
        <f>BH80+BI19+BI20-BI53/(1+'01_Вводные'!$B$58)</f>
        <v/>
      </c>
    </row>
    <row r="81">
      <c r="A81" t="inlineStr">
        <is>
          <t>Кредиторка OPEX / поставщиков</t>
        </is>
      </c>
      <c r="B81" s="129">
        <f>0+SUM(B37:B42)+'07_Мерч'!B25-B59</f>
        <v/>
      </c>
      <c r="C81" s="129">
        <f>B81+SUM(C37:C42)+'07_Мерч'!C25-C59</f>
        <v/>
      </c>
      <c r="D81" s="129">
        <f>C81+SUM(D37:D42)+'07_Мерч'!D25-D59</f>
        <v/>
      </c>
      <c r="E81" s="129">
        <f>D81+SUM(E37:E42)+'07_Мерч'!E25-E59</f>
        <v/>
      </c>
      <c r="F81" s="129">
        <f>E81+SUM(F37:F42)+'07_Мерч'!F25-F59</f>
        <v/>
      </c>
      <c r="G81" s="129">
        <f>F81+SUM(G37:G42)+'07_Мерч'!G25-G59</f>
        <v/>
      </c>
      <c r="H81" s="129">
        <f>G81+SUM(H37:H42)+'07_Мерч'!H25-H59</f>
        <v/>
      </c>
      <c r="I81" s="129">
        <f>H81+SUM(I37:I42)+'07_Мерч'!I25-I59</f>
        <v/>
      </c>
      <c r="J81" s="129">
        <f>I81+SUM(J37:J42)+'07_Мерч'!J25-J59</f>
        <v/>
      </c>
      <c r="K81" s="129">
        <f>J81+SUM(K37:K42)+'07_Мерч'!K25-K59</f>
        <v/>
      </c>
      <c r="L81" s="129">
        <f>K81+SUM(L37:L42)+'07_Мерч'!L25-L59</f>
        <v/>
      </c>
      <c r="M81" s="129">
        <f>L81+SUM(M37:M42)+'07_Мерч'!M25-M59</f>
        <v/>
      </c>
      <c r="N81" s="129">
        <f>M81+SUM(N37:N42)+'07_Мерч'!N25-N59</f>
        <v/>
      </c>
      <c r="O81" s="129">
        <f>N81+SUM(O37:O42)+'07_Мерч'!O25-O59</f>
        <v/>
      </c>
      <c r="P81" s="129">
        <f>O81+SUM(P37:P42)+'07_Мерч'!P25-P59</f>
        <v/>
      </c>
      <c r="Q81" s="129">
        <f>P81+SUM(Q37:Q42)+'07_Мерч'!Q25-Q59</f>
        <v/>
      </c>
      <c r="R81" s="129">
        <f>Q81+SUM(R37:R42)+'07_Мерч'!R25-R59</f>
        <v/>
      </c>
      <c r="S81" s="129">
        <f>R81+SUM(S37:S42)+'07_Мерч'!S25-S59</f>
        <v/>
      </c>
      <c r="T81" s="129">
        <f>S81+SUM(T37:T42)+'07_Мерч'!T25-T59</f>
        <v/>
      </c>
      <c r="U81" s="129">
        <f>T81+SUM(U37:U42)+'07_Мерч'!U25-U59</f>
        <v/>
      </c>
      <c r="V81" s="129">
        <f>U81+SUM(V37:V42)+'07_Мерч'!V25-V59</f>
        <v/>
      </c>
      <c r="W81" s="129">
        <f>V81+SUM(W37:W42)+'07_Мерч'!W25-W59</f>
        <v/>
      </c>
      <c r="X81" s="129">
        <f>W81+SUM(X37:X42)+'07_Мерч'!X25-X59</f>
        <v/>
      </c>
      <c r="Y81" s="129">
        <f>X81+SUM(Y37:Y42)+'07_Мерч'!Y25-Y59</f>
        <v/>
      </c>
      <c r="Z81" s="129">
        <f>Y81+SUM(Z37:Z42)+'07_Мерч'!Z25-Z59</f>
        <v/>
      </c>
      <c r="AA81" s="129">
        <f>Z81+SUM(AA37:AA42)+'07_Мерч'!AA25-AA59</f>
        <v/>
      </c>
      <c r="AB81" s="129">
        <f>AA81+SUM(AB37:AB42)+'07_Мерч'!AB25-AB59</f>
        <v/>
      </c>
      <c r="AC81" s="129">
        <f>AB81+SUM(AC37:AC42)+'07_Мерч'!AC25-AC59</f>
        <v/>
      </c>
      <c r="AD81" s="129">
        <f>AC81+SUM(AD37:AD42)+'07_Мерч'!AD25-AD59</f>
        <v/>
      </c>
      <c r="AE81" s="129">
        <f>AD81+SUM(AE37:AE42)+'07_Мерч'!AE25-AE59</f>
        <v/>
      </c>
      <c r="AF81" s="129">
        <f>AE81+SUM(AF37:AF42)+'07_Мерч'!AF25-AF59</f>
        <v/>
      </c>
      <c r="AG81" s="129">
        <f>AF81+SUM(AG37:AG42)+'07_Мерч'!AG25-AG59</f>
        <v/>
      </c>
      <c r="AH81" s="129">
        <f>AG81+SUM(AH37:AH42)+'07_Мерч'!AH25-AH59</f>
        <v/>
      </c>
      <c r="AI81" s="129">
        <f>AH81+SUM(AI37:AI42)+'07_Мерч'!AI25-AI59</f>
        <v/>
      </c>
      <c r="AJ81" s="129">
        <f>AI81+SUM(AJ37:AJ42)+'07_Мерч'!AJ25-AJ59</f>
        <v/>
      </c>
      <c r="AK81" s="129">
        <f>AJ81+SUM(AK37:AK42)+'07_Мерч'!AK25-AK59</f>
        <v/>
      </c>
      <c r="AL81" s="129">
        <f>AK81+SUM(AL37:AL42)+'07_Мерч'!AL25-AL59</f>
        <v/>
      </c>
      <c r="AM81" s="129">
        <f>AL81+SUM(AM37:AM42)+'07_Мерч'!AM25-AM59</f>
        <v/>
      </c>
      <c r="AN81" s="129">
        <f>AM81+SUM(AN37:AN42)+'07_Мерч'!AN25-AN59</f>
        <v/>
      </c>
      <c r="AO81" s="129">
        <f>AN81+SUM(AO37:AO42)+'07_Мерч'!AO25-AO59</f>
        <v/>
      </c>
      <c r="AP81" s="129">
        <f>AO81+SUM(AP37:AP42)+'07_Мерч'!AP25-AP59</f>
        <v/>
      </c>
      <c r="AQ81" s="129">
        <f>AP81+SUM(AQ37:AQ42)+'07_Мерч'!AQ25-AQ59</f>
        <v/>
      </c>
      <c r="AR81" s="129">
        <f>AQ81+SUM(AR37:AR42)+'07_Мерч'!AR25-AR59</f>
        <v/>
      </c>
      <c r="AS81" s="129">
        <f>AR81+SUM(AS37:AS42)+'07_Мерч'!AS25-AS59</f>
        <v/>
      </c>
      <c r="AT81" s="129">
        <f>AS81+SUM(AT37:AT42)+'07_Мерч'!AT25-AT59</f>
        <v/>
      </c>
      <c r="AU81" s="129">
        <f>AT81+SUM(AU37:AU42)+'07_Мерч'!AU25-AU59</f>
        <v/>
      </c>
      <c r="AV81" s="129">
        <f>AU81+SUM(AV37:AV42)+'07_Мерч'!AV25-AV59</f>
        <v/>
      </c>
      <c r="AW81" s="129">
        <f>AV81+SUM(AW37:AW42)+'07_Мерч'!AW25-AW59</f>
        <v/>
      </c>
      <c r="AX81" s="129">
        <f>AW81+SUM(AX37:AX42)+'07_Мерч'!AX25-AX59</f>
        <v/>
      </c>
      <c r="AY81" s="129">
        <f>AX81+SUM(AY37:AY42)+'07_Мерч'!AY25-AY59</f>
        <v/>
      </c>
      <c r="AZ81" s="129">
        <f>AY81+SUM(AZ37:AZ42)+'07_Мерч'!AZ25-AZ59</f>
        <v/>
      </c>
      <c r="BA81" s="129">
        <f>AZ81+SUM(BA37:BA42)+'07_Мерч'!BA25-BA59</f>
        <v/>
      </c>
      <c r="BB81" s="129">
        <f>BA81+SUM(BB37:BB42)+'07_Мерч'!BB25-BB59</f>
        <v/>
      </c>
      <c r="BC81" s="129">
        <f>BB81+SUM(BC37:BC42)+'07_Мерч'!BC25-BC59</f>
        <v/>
      </c>
      <c r="BD81" s="129">
        <f>BC81+SUM(BD37:BD42)+'07_Мерч'!BD25-BD59</f>
        <v/>
      </c>
      <c r="BE81" s="129">
        <f>BD81+SUM(BE37:BE42)+'07_Мерч'!BE25-BE59</f>
        <v/>
      </c>
      <c r="BF81" s="129">
        <f>BE81+SUM(BF37:BF42)+'07_Мерч'!BF25-BF59</f>
        <v/>
      </c>
      <c r="BG81" s="129">
        <f>BF81+SUM(BG37:BG42)+'07_Мерч'!BG25-BG59</f>
        <v/>
      </c>
      <c r="BH81" s="129">
        <f>BG81+SUM(BH37:BH42)+'07_Мерч'!BH25-BH59</f>
        <v/>
      </c>
      <c r="BI81" s="129">
        <f>BH81+SUM(BI37:BI42)+'07_Мерч'!BI25-BI59</f>
        <v/>
      </c>
    </row>
    <row r="82">
      <c r="A82" t="inlineStr">
        <is>
          <t>Авансы клиентов лагеря на конец</t>
        </is>
      </c>
      <c r="B82" s="129">
        <f>0+B55-'09_Лагеря'!B10</f>
        <v/>
      </c>
      <c r="C82" s="129">
        <f>B82+C55-'09_Лагеря'!C10</f>
        <v/>
      </c>
      <c r="D82" s="129">
        <f>C82+D55-'09_Лагеря'!D10</f>
        <v/>
      </c>
      <c r="E82" s="129">
        <f>D82+E55-'09_Лагеря'!E10</f>
        <v/>
      </c>
      <c r="F82" s="129">
        <f>E82+F55-'09_Лагеря'!F10</f>
        <v/>
      </c>
      <c r="G82" s="129">
        <f>F82+G55-'09_Лагеря'!G10</f>
        <v/>
      </c>
      <c r="H82" s="129">
        <f>G82+H55-'09_Лагеря'!H10</f>
        <v/>
      </c>
      <c r="I82" s="129">
        <f>H82+I55-'09_Лагеря'!I10</f>
        <v/>
      </c>
      <c r="J82" s="129">
        <f>I82+J55-'09_Лагеря'!J10</f>
        <v/>
      </c>
      <c r="K82" s="129">
        <f>J82+K55-'09_Лагеря'!K10</f>
        <v/>
      </c>
      <c r="L82" s="129">
        <f>K82+L55-'09_Лагеря'!L10</f>
        <v/>
      </c>
      <c r="M82" s="129">
        <f>L82+M55-'09_Лагеря'!M10</f>
        <v/>
      </c>
      <c r="N82" s="129">
        <f>M82+N55-'09_Лагеря'!N10</f>
        <v/>
      </c>
      <c r="O82" s="129">
        <f>N82+O55-'09_Лагеря'!O10</f>
        <v/>
      </c>
      <c r="P82" s="129">
        <f>O82+P55-'09_Лагеря'!P10</f>
        <v/>
      </c>
      <c r="Q82" s="129">
        <f>P82+Q55-'09_Лагеря'!Q10</f>
        <v/>
      </c>
      <c r="R82" s="129">
        <f>Q82+R55-'09_Лагеря'!R10</f>
        <v/>
      </c>
      <c r="S82" s="129">
        <f>R82+S55-'09_Лагеря'!S10</f>
        <v/>
      </c>
      <c r="T82" s="129">
        <f>S82+T55-'09_Лагеря'!T10</f>
        <v/>
      </c>
      <c r="U82" s="129">
        <f>T82+U55-'09_Лагеря'!U10</f>
        <v/>
      </c>
      <c r="V82" s="129">
        <f>U82+V55-'09_Лагеря'!V10</f>
        <v/>
      </c>
      <c r="W82" s="129">
        <f>V82+W55-'09_Лагеря'!W10</f>
        <v/>
      </c>
      <c r="X82" s="129">
        <f>W82+X55-'09_Лагеря'!X10</f>
        <v/>
      </c>
      <c r="Y82" s="129">
        <f>X82+Y55-'09_Лагеря'!Y10</f>
        <v/>
      </c>
      <c r="Z82" s="129">
        <f>Y82+Z55-'09_Лагеря'!Z10</f>
        <v/>
      </c>
      <c r="AA82" s="129">
        <f>Z82+AA55-'09_Лагеря'!AA10</f>
        <v/>
      </c>
      <c r="AB82" s="129">
        <f>AA82+AB55-'09_Лагеря'!AB10</f>
        <v/>
      </c>
      <c r="AC82" s="129">
        <f>AB82+AC55-'09_Лагеря'!AC10</f>
        <v/>
      </c>
      <c r="AD82" s="129">
        <f>AC82+AD55-'09_Лагеря'!AD10</f>
        <v/>
      </c>
      <c r="AE82" s="129">
        <f>AD82+AE55-'09_Лагеря'!AE10</f>
        <v/>
      </c>
      <c r="AF82" s="129">
        <f>AE82+AF55-'09_Лагеря'!AF10</f>
        <v/>
      </c>
      <c r="AG82" s="129">
        <f>AF82+AG55-'09_Лагеря'!AG10</f>
        <v/>
      </c>
      <c r="AH82" s="129">
        <f>AG82+AH55-'09_Лагеря'!AH10</f>
        <v/>
      </c>
      <c r="AI82" s="129">
        <f>AH82+AI55-'09_Лагеря'!AI10</f>
        <v/>
      </c>
      <c r="AJ82" s="129">
        <f>AI82+AJ55-'09_Лагеря'!AJ10</f>
        <v/>
      </c>
      <c r="AK82" s="129">
        <f>AJ82+AK55-'09_Лагеря'!AK10</f>
        <v/>
      </c>
      <c r="AL82" s="129">
        <f>AK82+AL55-'09_Лагеря'!AL10</f>
        <v/>
      </c>
      <c r="AM82" s="129">
        <f>AL82+AM55-'09_Лагеря'!AM10</f>
        <v/>
      </c>
      <c r="AN82" s="129">
        <f>AM82+AN55-'09_Лагеря'!AN10</f>
        <v/>
      </c>
      <c r="AO82" s="129">
        <f>AN82+AO55-'09_Лагеря'!AO10</f>
        <v/>
      </c>
      <c r="AP82" s="129">
        <f>AO82+AP55-'09_Лагеря'!AP10</f>
        <v/>
      </c>
      <c r="AQ82" s="129">
        <f>AP82+AQ55-'09_Лагеря'!AQ10</f>
        <v/>
      </c>
      <c r="AR82" s="129">
        <f>AQ82+AR55-'09_Лагеря'!AR10</f>
        <v/>
      </c>
      <c r="AS82" s="129">
        <f>AR82+AS55-'09_Лагеря'!AS10</f>
        <v/>
      </c>
      <c r="AT82" s="129">
        <f>AS82+AT55-'09_Лагеря'!AT10</f>
        <v/>
      </c>
      <c r="AU82" s="129">
        <f>AT82+AU55-'09_Лагеря'!AU10</f>
        <v/>
      </c>
      <c r="AV82" s="129">
        <f>AU82+AV55-'09_Лагеря'!AV10</f>
        <v/>
      </c>
      <c r="AW82" s="129">
        <f>AV82+AW55-'09_Лагеря'!AW10</f>
        <v/>
      </c>
      <c r="AX82" s="129">
        <f>AW82+AX55-'09_Лагеря'!AX10</f>
        <v/>
      </c>
      <c r="AY82" s="129">
        <f>AX82+AY55-'09_Лагеря'!AY10</f>
        <v/>
      </c>
      <c r="AZ82" s="129">
        <f>AY82+AZ55-'09_Лагеря'!AZ10</f>
        <v/>
      </c>
      <c r="BA82" s="129">
        <f>AZ82+BA55-'09_Лагеря'!BA10</f>
        <v/>
      </c>
      <c r="BB82" s="129">
        <f>BA82+BB55-'09_Лагеря'!BB10</f>
        <v/>
      </c>
      <c r="BC82" s="129">
        <f>BB82+BC55-'09_Лагеря'!BC10</f>
        <v/>
      </c>
      <c r="BD82" s="129">
        <f>BC82+BD55-'09_Лагеря'!BD10</f>
        <v/>
      </c>
      <c r="BE82" s="129">
        <f>BD82+BE55-'09_Лагеря'!BE10</f>
        <v/>
      </c>
      <c r="BF82" s="129">
        <f>BE82+BF55-'09_Лагеря'!BF10</f>
        <v/>
      </c>
      <c r="BG82" s="129">
        <f>BF82+BG55-'09_Лагеря'!BG10</f>
        <v/>
      </c>
      <c r="BH82" s="129">
        <f>BG82+BH55-'09_Лагеря'!BH10</f>
        <v/>
      </c>
      <c r="BI82" s="129">
        <f>BH82+BI55-'09_Лагеря'!BI10</f>
        <v/>
      </c>
    </row>
    <row r="83">
      <c r="A83" t="inlineStr">
        <is>
          <t>Предоплата проживания на конец</t>
        </is>
      </c>
      <c r="B83" s="129">
        <f>0+'09_Лагеря'!B16+'09_Лагеря'!B17-IF(AND('01_Вводные'!$B$241="Да",MONTH(B$3)='01_Вводные'!$B$252),'01_Вводные'!$B$170*'01_Вводные'!$B$161,0)</f>
        <v/>
      </c>
      <c r="C83" s="129">
        <f>B83+'09_Лагеря'!C16+'09_Лагеря'!C17-IF(AND('01_Вводные'!$B$241="Да",MONTH(C$3)='01_Вводные'!$B$252),'01_Вводные'!$B$170*'01_Вводные'!$B$161,0)</f>
        <v/>
      </c>
      <c r="D83" s="129">
        <f>C83+'09_Лагеря'!D16+'09_Лагеря'!D17-IF(AND('01_Вводные'!$B$241="Да",MONTH(D$3)='01_Вводные'!$B$252),'01_Вводные'!$B$170*'01_Вводные'!$B$161,0)</f>
        <v/>
      </c>
      <c r="E83" s="129">
        <f>D83+'09_Лагеря'!E16+'09_Лагеря'!E17-IF(AND('01_Вводные'!$B$241="Да",MONTH(E$3)='01_Вводные'!$B$252),'01_Вводные'!$B$170*'01_Вводные'!$B$161,0)</f>
        <v/>
      </c>
      <c r="F83" s="129">
        <f>E83+'09_Лагеря'!F16+'09_Лагеря'!F17-IF(AND('01_Вводные'!$B$241="Да",MONTH(F$3)='01_Вводные'!$B$252),'01_Вводные'!$B$170*'01_Вводные'!$B$161,0)</f>
        <v/>
      </c>
      <c r="G83" s="129">
        <f>F83+'09_Лагеря'!G16+'09_Лагеря'!G17-IF(AND('01_Вводные'!$B$241="Да",MONTH(G$3)='01_Вводные'!$B$252),'01_Вводные'!$B$170*'01_Вводные'!$B$161,0)</f>
        <v/>
      </c>
      <c r="H83" s="129">
        <f>G83+'09_Лагеря'!H16+'09_Лагеря'!H17-IF(AND('01_Вводные'!$B$241="Да",MONTH(H$3)='01_Вводные'!$B$252),'01_Вводные'!$B$170*'01_Вводные'!$B$161,0)</f>
        <v/>
      </c>
      <c r="I83" s="129">
        <f>H83+'09_Лагеря'!I16+'09_Лагеря'!I17-IF(AND('01_Вводные'!$B$241="Да",MONTH(I$3)='01_Вводные'!$B$252),'01_Вводные'!$B$170*'01_Вводные'!$B$161,0)</f>
        <v/>
      </c>
      <c r="J83" s="129">
        <f>I83+'09_Лагеря'!J16+'09_Лагеря'!J17-IF(AND('01_Вводные'!$B$241="Да",MONTH(J$3)='01_Вводные'!$B$252),'01_Вводные'!$B$170*'01_Вводные'!$B$161,0)</f>
        <v/>
      </c>
      <c r="K83" s="129">
        <f>J83+'09_Лагеря'!K16+'09_Лагеря'!K17-IF(AND('01_Вводные'!$B$241="Да",MONTH(K$3)='01_Вводные'!$B$252),'01_Вводные'!$B$170*'01_Вводные'!$B$161,0)</f>
        <v/>
      </c>
      <c r="L83" s="129">
        <f>K83+'09_Лагеря'!L16+'09_Лагеря'!L17-IF(AND('01_Вводные'!$B$241="Да",MONTH(L$3)='01_Вводные'!$B$252),'01_Вводные'!$B$170*'01_Вводные'!$B$161,0)</f>
        <v/>
      </c>
      <c r="M83" s="129">
        <f>L83+'09_Лагеря'!M16+'09_Лагеря'!M17-IF(AND('01_Вводные'!$B$241="Да",MONTH(M$3)='01_Вводные'!$B$252),'01_Вводные'!$B$170*'01_Вводные'!$B$161,0)</f>
        <v/>
      </c>
      <c r="N83" s="129">
        <f>M83+'09_Лагеря'!N16+'09_Лагеря'!N17-IF(AND('01_Вводные'!$B$241="Да",MONTH(N$3)='01_Вводные'!$B$252),'01_Вводные'!$B$170*'01_Вводные'!$B$161,0)</f>
        <v/>
      </c>
      <c r="O83" s="129">
        <f>N83+'09_Лагеря'!O16+'09_Лагеря'!O17-IF(AND('01_Вводные'!$B$241="Да",MONTH(O$3)='01_Вводные'!$B$252),'01_Вводные'!$B$170*'01_Вводные'!$B$161,0)</f>
        <v/>
      </c>
      <c r="P83" s="129">
        <f>O83+'09_Лагеря'!P16+'09_Лагеря'!P17-IF(AND('01_Вводные'!$B$241="Да",MONTH(P$3)='01_Вводные'!$B$252),'01_Вводные'!$B$170*'01_Вводные'!$B$161,0)</f>
        <v/>
      </c>
      <c r="Q83" s="129">
        <f>P83+'09_Лагеря'!Q16+'09_Лагеря'!Q17-IF(AND('01_Вводные'!$B$241="Да",MONTH(Q$3)='01_Вводные'!$B$252),'01_Вводные'!$B$170*'01_Вводные'!$B$161,0)</f>
        <v/>
      </c>
      <c r="R83" s="129">
        <f>Q83+'09_Лагеря'!R16+'09_Лагеря'!R17-IF(AND('01_Вводные'!$B$241="Да",MONTH(R$3)='01_Вводные'!$B$252),'01_Вводные'!$B$170*'01_Вводные'!$B$161,0)</f>
        <v/>
      </c>
      <c r="S83" s="129">
        <f>R83+'09_Лагеря'!S16+'09_Лагеря'!S17-IF(AND('01_Вводные'!$B$241="Да",MONTH(S$3)='01_Вводные'!$B$252),'01_Вводные'!$B$170*'01_Вводные'!$B$161,0)</f>
        <v/>
      </c>
      <c r="T83" s="129">
        <f>S83+'09_Лагеря'!T16+'09_Лагеря'!T17-IF(AND('01_Вводные'!$B$241="Да",MONTH(T$3)='01_Вводные'!$B$252),'01_Вводные'!$B$170*'01_Вводные'!$B$161,0)</f>
        <v/>
      </c>
      <c r="U83" s="129">
        <f>T83+'09_Лагеря'!U16+'09_Лагеря'!U17-IF(AND('01_Вводные'!$B$241="Да",MONTH(U$3)='01_Вводные'!$B$252),'01_Вводные'!$B$170*'01_Вводные'!$B$161,0)</f>
        <v/>
      </c>
      <c r="V83" s="129">
        <f>U83+'09_Лагеря'!V16+'09_Лагеря'!V17-IF(AND('01_Вводные'!$B$241="Да",MONTH(V$3)='01_Вводные'!$B$252),'01_Вводные'!$B$170*'01_Вводные'!$B$161,0)</f>
        <v/>
      </c>
      <c r="W83" s="129">
        <f>V83+'09_Лагеря'!W16+'09_Лагеря'!W17-IF(AND('01_Вводные'!$B$241="Да",MONTH(W$3)='01_Вводные'!$B$252),'01_Вводные'!$B$170*'01_Вводные'!$B$161,0)</f>
        <v/>
      </c>
      <c r="X83" s="129">
        <f>W83+'09_Лагеря'!X16+'09_Лагеря'!X17-IF(AND('01_Вводные'!$B$241="Да",MONTH(X$3)='01_Вводные'!$B$252),'01_Вводные'!$B$170*'01_Вводные'!$B$161,0)</f>
        <v/>
      </c>
      <c r="Y83" s="129">
        <f>X83+'09_Лагеря'!Y16+'09_Лагеря'!Y17-IF(AND('01_Вводные'!$B$241="Да",MONTH(Y$3)='01_Вводные'!$B$252),'01_Вводные'!$B$170*'01_Вводные'!$B$161,0)</f>
        <v/>
      </c>
      <c r="Z83" s="129">
        <f>Y83+'09_Лагеря'!Z16+'09_Лагеря'!Z17-IF(AND('01_Вводные'!$B$241="Да",MONTH(Z$3)='01_Вводные'!$B$252),'01_Вводные'!$B$170*'01_Вводные'!$B$161,0)</f>
        <v/>
      </c>
      <c r="AA83" s="129">
        <f>Z83+'09_Лагеря'!AA16+'09_Лагеря'!AA17-IF(AND('01_Вводные'!$B$241="Да",MONTH(AA$3)='01_Вводные'!$B$252),'01_Вводные'!$B$170*'01_Вводные'!$B$161,0)</f>
        <v/>
      </c>
      <c r="AB83" s="129">
        <f>AA83+'09_Лагеря'!AB16+'09_Лагеря'!AB17-IF(AND('01_Вводные'!$B$241="Да",MONTH(AB$3)='01_Вводные'!$B$252),'01_Вводные'!$B$170*'01_Вводные'!$B$161,0)</f>
        <v/>
      </c>
      <c r="AC83" s="129">
        <f>AB83+'09_Лагеря'!AC16+'09_Лагеря'!AC17-IF(AND('01_Вводные'!$B$241="Да",MONTH(AC$3)='01_Вводные'!$B$252),'01_Вводные'!$B$170*'01_Вводные'!$B$161,0)</f>
        <v/>
      </c>
      <c r="AD83" s="129">
        <f>AC83+'09_Лагеря'!AD16+'09_Лагеря'!AD17-IF(AND('01_Вводные'!$B$241="Да",MONTH(AD$3)='01_Вводные'!$B$252),'01_Вводные'!$B$170*'01_Вводные'!$B$161,0)</f>
        <v/>
      </c>
      <c r="AE83" s="129">
        <f>AD83+'09_Лагеря'!AE16+'09_Лагеря'!AE17-IF(AND('01_Вводные'!$B$241="Да",MONTH(AE$3)='01_Вводные'!$B$252),'01_Вводные'!$B$170*'01_Вводные'!$B$161,0)</f>
        <v/>
      </c>
      <c r="AF83" s="129">
        <f>AE83+'09_Лагеря'!AF16+'09_Лагеря'!AF17-IF(AND('01_Вводные'!$B$241="Да",MONTH(AF$3)='01_Вводные'!$B$252),'01_Вводные'!$B$170*'01_Вводные'!$B$161,0)</f>
        <v/>
      </c>
      <c r="AG83" s="129">
        <f>AF83+'09_Лагеря'!AG16+'09_Лагеря'!AG17-IF(AND('01_Вводные'!$B$241="Да",MONTH(AG$3)='01_Вводные'!$B$252),'01_Вводные'!$B$170*'01_Вводные'!$B$161,0)</f>
        <v/>
      </c>
      <c r="AH83" s="129">
        <f>AG83+'09_Лагеря'!AH16+'09_Лагеря'!AH17-IF(AND('01_Вводные'!$B$241="Да",MONTH(AH$3)='01_Вводные'!$B$252),'01_Вводные'!$B$170*'01_Вводные'!$B$161,0)</f>
        <v/>
      </c>
      <c r="AI83" s="129">
        <f>AH83+'09_Лагеря'!AI16+'09_Лагеря'!AI17-IF(AND('01_Вводные'!$B$241="Да",MONTH(AI$3)='01_Вводные'!$B$252),'01_Вводные'!$B$170*'01_Вводные'!$B$161,0)</f>
        <v/>
      </c>
      <c r="AJ83" s="129">
        <f>AI83+'09_Лагеря'!AJ16+'09_Лагеря'!AJ17-IF(AND('01_Вводные'!$B$241="Да",MONTH(AJ$3)='01_Вводные'!$B$252),'01_Вводные'!$B$170*'01_Вводные'!$B$161,0)</f>
        <v/>
      </c>
      <c r="AK83" s="129">
        <f>AJ83+'09_Лагеря'!AK16+'09_Лагеря'!AK17-IF(AND('01_Вводные'!$B$241="Да",MONTH(AK$3)='01_Вводные'!$B$252),'01_Вводные'!$B$170*'01_Вводные'!$B$161,0)</f>
        <v/>
      </c>
      <c r="AL83" s="129">
        <f>AK83+'09_Лагеря'!AL16+'09_Лагеря'!AL17-IF(AND('01_Вводные'!$B$241="Да",MONTH(AL$3)='01_Вводные'!$B$252),'01_Вводные'!$B$170*'01_Вводные'!$B$161,0)</f>
        <v/>
      </c>
      <c r="AM83" s="129">
        <f>AL83+'09_Лагеря'!AM16+'09_Лагеря'!AM17-IF(AND('01_Вводные'!$B$241="Да",MONTH(AM$3)='01_Вводные'!$B$252),'01_Вводные'!$B$170*'01_Вводные'!$B$161,0)</f>
        <v/>
      </c>
      <c r="AN83" s="129">
        <f>AM83+'09_Лагеря'!AN16+'09_Лагеря'!AN17-IF(AND('01_Вводные'!$B$241="Да",MONTH(AN$3)='01_Вводные'!$B$252),'01_Вводные'!$B$170*'01_Вводные'!$B$161,0)</f>
        <v/>
      </c>
      <c r="AO83" s="129">
        <f>AN83+'09_Лагеря'!AO16+'09_Лагеря'!AO17-IF(AND('01_Вводные'!$B$241="Да",MONTH(AO$3)='01_Вводные'!$B$252),'01_Вводные'!$B$170*'01_Вводные'!$B$161,0)</f>
        <v/>
      </c>
      <c r="AP83" s="129">
        <f>AO83+'09_Лагеря'!AP16+'09_Лагеря'!AP17-IF(AND('01_Вводные'!$B$241="Да",MONTH(AP$3)='01_Вводные'!$B$252),'01_Вводные'!$B$170*'01_Вводные'!$B$161,0)</f>
        <v/>
      </c>
      <c r="AQ83" s="129">
        <f>AP83+'09_Лагеря'!AQ16+'09_Лагеря'!AQ17-IF(AND('01_Вводные'!$B$241="Да",MONTH(AQ$3)='01_Вводные'!$B$252),'01_Вводные'!$B$170*'01_Вводные'!$B$161,0)</f>
        <v/>
      </c>
      <c r="AR83" s="129">
        <f>AQ83+'09_Лагеря'!AR16+'09_Лагеря'!AR17-IF(AND('01_Вводные'!$B$241="Да",MONTH(AR$3)='01_Вводные'!$B$252),'01_Вводные'!$B$170*'01_Вводные'!$B$161,0)</f>
        <v/>
      </c>
      <c r="AS83" s="129">
        <f>AR83+'09_Лагеря'!AS16+'09_Лагеря'!AS17-IF(AND('01_Вводные'!$B$241="Да",MONTH(AS$3)='01_Вводные'!$B$252),'01_Вводные'!$B$170*'01_Вводные'!$B$161,0)</f>
        <v/>
      </c>
      <c r="AT83" s="129">
        <f>AS83+'09_Лагеря'!AT16+'09_Лагеря'!AT17-IF(AND('01_Вводные'!$B$241="Да",MONTH(AT$3)='01_Вводные'!$B$252),'01_Вводные'!$B$170*'01_Вводные'!$B$161,0)</f>
        <v/>
      </c>
      <c r="AU83" s="129">
        <f>AT83+'09_Лагеря'!AU16+'09_Лагеря'!AU17-IF(AND('01_Вводные'!$B$241="Да",MONTH(AU$3)='01_Вводные'!$B$252),'01_Вводные'!$B$170*'01_Вводные'!$B$161,0)</f>
        <v/>
      </c>
      <c r="AV83" s="129">
        <f>AU83+'09_Лагеря'!AV16+'09_Лагеря'!AV17-IF(AND('01_Вводные'!$B$241="Да",MONTH(AV$3)='01_Вводные'!$B$252),'01_Вводные'!$B$170*'01_Вводные'!$B$161,0)</f>
        <v/>
      </c>
      <c r="AW83" s="129">
        <f>AV83+'09_Лагеря'!AW16+'09_Лагеря'!AW17-IF(AND('01_Вводные'!$B$241="Да",MONTH(AW$3)='01_Вводные'!$B$252),'01_Вводные'!$B$170*'01_Вводные'!$B$161,0)</f>
        <v/>
      </c>
      <c r="AX83" s="129">
        <f>AW83+'09_Лагеря'!AX16+'09_Лагеря'!AX17-IF(AND('01_Вводные'!$B$241="Да",MONTH(AX$3)='01_Вводные'!$B$252),'01_Вводные'!$B$170*'01_Вводные'!$B$161,0)</f>
        <v/>
      </c>
      <c r="AY83" s="129">
        <f>AX83+'09_Лагеря'!AY16+'09_Лагеря'!AY17-IF(AND('01_Вводные'!$B$241="Да",MONTH(AY$3)='01_Вводные'!$B$252),'01_Вводные'!$B$170*'01_Вводные'!$B$161,0)</f>
        <v/>
      </c>
      <c r="AZ83" s="129">
        <f>AY83+'09_Лагеря'!AZ16+'09_Лагеря'!AZ17-IF(AND('01_Вводные'!$B$241="Да",MONTH(AZ$3)='01_Вводные'!$B$252),'01_Вводные'!$B$170*'01_Вводные'!$B$161,0)</f>
        <v/>
      </c>
      <c r="BA83" s="129">
        <f>AZ83+'09_Лагеря'!BA16+'09_Лагеря'!BA17-IF(AND('01_Вводные'!$B$241="Да",MONTH(BA$3)='01_Вводные'!$B$252),'01_Вводные'!$B$170*'01_Вводные'!$B$161,0)</f>
        <v/>
      </c>
      <c r="BB83" s="129">
        <f>BA83+'09_Лагеря'!BB16+'09_Лагеря'!BB17-IF(AND('01_Вводные'!$B$241="Да",MONTH(BB$3)='01_Вводные'!$B$252),'01_Вводные'!$B$170*'01_Вводные'!$B$161,0)</f>
        <v/>
      </c>
      <c r="BC83" s="129">
        <f>BB83+'09_Лагеря'!BC16+'09_Лагеря'!BC17-IF(AND('01_Вводные'!$B$241="Да",MONTH(BC$3)='01_Вводные'!$B$252),'01_Вводные'!$B$170*'01_Вводные'!$B$161,0)</f>
        <v/>
      </c>
      <c r="BD83" s="129">
        <f>BC83+'09_Лагеря'!BD16+'09_Лагеря'!BD17-IF(AND('01_Вводные'!$B$241="Да",MONTH(BD$3)='01_Вводные'!$B$252),'01_Вводные'!$B$170*'01_Вводные'!$B$161,0)</f>
        <v/>
      </c>
      <c r="BE83" s="129">
        <f>BD83+'09_Лагеря'!BE16+'09_Лагеря'!BE17-IF(AND('01_Вводные'!$B$241="Да",MONTH(BE$3)='01_Вводные'!$B$252),'01_Вводные'!$B$170*'01_Вводные'!$B$161,0)</f>
        <v/>
      </c>
      <c r="BF83" s="129">
        <f>BE83+'09_Лагеря'!BF16+'09_Лагеря'!BF17-IF(AND('01_Вводные'!$B$241="Да",MONTH(BF$3)='01_Вводные'!$B$252),'01_Вводные'!$B$170*'01_Вводные'!$B$161,0)</f>
        <v/>
      </c>
      <c r="BG83" s="129">
        <f>BF83+'09_Лагеря'!BG16+'09_Лагеря'!BG17-IF(AND('01_Вводные'!$B$241="Да",MONTH(BG$3)='01_Вводные'!$B$252),'01_Вводные'!$B$170*'01_Вводные'!$B$161,0)</f>
        <v/>
      </c>
      <c r="BH83" s="129">
        <f>BG83+'09_Лагеря'!BH16+'09_Лагеря'!BH17-IF(AND('01_Вводные'!$B$241="Да",MONTH(BH$3)='01_Вводные'!$B$252),'01_Вводные'!$B$170*'01_Вводные'!$B$161,0)</f>
        <v/>
      </c>
      <c r="BI83" s="129">
        <f>BH83+'09_Лагеря'!BI16+'09_Лагеря'!BI17-IF(AND('01_Вводные'!$B$241="Да",MONTH(BI$3)='01_Вводные'!$B$252),'01_Вводные'!$B$170*'01_Вводные'!$B$161,0)</f>
        <v/>
      </c>
    </row>
    <row r="84">
      <c r="A84" t="inlineStr">
        <is>
          <t>Изменение товарного запаса</t>
        </is>
      </c>
      <c r="B84" s="129">
        <f>'07_Мерч'!B26-'07_Мерч'!B22</f>
        <v/>
      </c>
      <c r="C84" s="129">
        <f>'07_Мерч'!C26-'07_Мерч'!C22</f>
        <v/>
      </c>
      <c r="D84" s="129">
        <f>'07_Мерч'!D26-'07_Мерч'!D22</f>
        <v/>
      </c>
      <c r="E84" s="129">
        <f>'07_Мерч'!E26-'07_Мерч'!E22</f>
        <v/>
      </c>
      <c r="F84" s="129">
        <f>'07_Мерч'!F26-'07_Мерч'!F22</f>
        <v/>
      </c>
      <c r="G84" s="129">
        <f>'07_Мерч'!G26-'07_Мерч'!G22</f>
        <v/>
      </c>
      <c r="H84" s="129">
        <f>'07_Мерч'!H26-'07_Мерч'!H22</f>
        <v/>
      </c>
      <c r="I84" s="129">
        <f>'07_Мерч'!I26-'07_Мерч'!I22</f>
        <v/>
      </c>
      <c r="J84" s="129">
        <f>'07_Мерч'!J26-'07_Мерч'!J22</f>
        <v/>
      </c>
      <c r="K84" s="129">
        <f>'07_Мерч'!K26-'07_Мерч'!K22</f>
        <v/>
      </c>
      <c r="L84" s="129">
        <f>'07_Мерч'!L26-'07_Мерч'!L22</f>
        <v/>
      </c>
      <c r="M84" s="129">
        <f>'07_Мерч'!M26-'07_Мерч'!M22</f>
        <v/>
      </c>
      <c r="N84" s="129">
        <f>'07_Мерч'!N26-'07_Мерч'!N22</f>
        <v/>
      </c>
      <c r="O84" s="129">
        <f>'07_Мерч'!O26-'07_Мерч'!O22</f>
        <v/>
      </c>
      <c r="P84" s="129">
        <f>'07_Мерч'!P26-'07_Мерч'!P22</f>
        <v/>
      </c>
      <c r="Q84" s="129">
        <f>'07_Мерч'!Q26-'07_Мерч'!Q22</f>
        <v/>
      </c>
      <c r="R84" s="129">
        <f>'07_Мерч'!R26-'07_Мерч'!R22</f>
        <v/>
      </c>
      <c r="S84" s="129">
        <f>'07_Мерч'!S26-'07_Мерч'!S22</f>
        <v/>
      </c>
      <c r="T84" s="129">
        <f>'07_Мерч'!T26-'07_Мерч'!T22</f>
        <v/>
      </c>
      <c r="U84" s="129">
        <f>'07_Мерч'!U26-'07_Мерч'!U22</f>
        <v/>
      </c>
      <c r="V84" s="129">
        <f>'07_Мерч'!V26-'07_Мерч'!V22</f>
        <v/>
      </c>
      <c r="W84" s="129">
        <f>'07_Мерч'!W26-'07_Мерч'!W22</f>
        <v/>
      </c>
      <c r="X84" s="129">
        <f>'07_Мерч'!X26-'07_Мерч'!X22</f>
        <v/>
      </c>
      <c r="Y84" s="129">
        <f>'07_Мерч'!Y26-'07_Мерч'!Y22</f>
        <v/>
      </c>
      <c r="Z84" s="129">
        <f>'07_Мерч'!Z26-'07_Мерч'!Z22</f>
        <v/>
      </c>
      <c r="AA84" s="129">
        <f>'07_Мерч'!AA26-'07_Мерч'!AA22</f>
        <v/>
      </c>
      <c r="AB84" s="129">
        <f>'07_Мерч'!AB26-'07_Мерч'!AB22</f>
        <v/>
      </c>
      <c r="AC84" s="129">
        <f>'07_Мерч'!AC26-'07_Мерч'!AC22</f>
        <v/>
      </c>
      <c r="AD84" s="129">
        <f>'07_Мерч'!AD26-'07_Мерч'!AD22</f>
        <v/>
      </c>
      <c r="AE84" s="129">
        <f>'07_Мерч'!AE26-'07_Мерч'!AE22</f>
        <v/>
      </c>
      <c r="AF84" s="129">
        <f>'07_Мерч'!AF26-'07_Мерч'!AF22</f>
        <v/>
      </c>
      <c r="AG84" s="129">
        <f>'07_Мерч'!AG26-'07_Мерч'!AG22</f>
        <v/>
      </c>
      <c r="AH84" s="129">
        <f>'07_Мерч'!AH26-'07_Мерч'!AH22</f>
        <v/>
      </c>
      <c r="AI84" s="129">
        <f>'07_Мерч'!AI26-'07_Мерч'!AI22</f>
        <v/>
      </c>
      <c r="AJ84" s="129">
        <f>'07_Мерч'!AJ26-'07_Мерч'!AJ22</f>
        <v/>
      </c>
      <c r="AK84" s="129">
        <f>'07_Мерч'!AK26-'07_Мерч'!AK22</f>
        <v/>
      </c>
      <c r="AL84" s="129">
        <f>'07_Мерч'!AL26-'07_Мерч'!AL22</f>
        <v/>
      </c>
      <c r="AM84" s="129">
        <f>'07_Мерч'!AM26-'07_Мерч'!AM22</f>
        <v/>
      </c>
      <c r="AN84" s="129">
        <f>'07_Мерч'!AN26-'07_Мерч'!AN22</f>
        <v/>
      </c>
      <c r="AO84" s="129">
        <f>'07_Мерч'!AO26-'07_Мерч'!AO22</f>
        <v/>
      </c>
      <c r="AP84" s="129">
        <f>'07_Мерч'!AP26-'07_Мерч'!AP22</f>
        <v/>
      </c>
      <c r="AQ84" s="129">
        <f>'07_Мерч'!AQ26-'07_Мерч'!AQ22</f>
        <v/>
      </c>
      <c r="AR84" s="129">
        <f>'07_Мерч'!AR26-'07_Мерч'!AR22</f>
        <v/>
      </c>
      <c r="AS84" s="129">
        <f>'07_Мерч'!AS26-'07_Мерч'!AS22</f>
        <v/>
      </c>
      <c r="AT84" s="129">
        <f>'07_Мерч'!AT26-'07_Мерч'!AT22</f>
        <v/>
      </c>
      <c r="AU84" s="129">
        <f>'07_Мерч'!AU26-'07_Мерч'!AU22</f>
        <v/>
      </c>
      <c r="AV84" s="129">
        <f>'07_Мерч'!AV26-'07_Мерч'!AV22</f>
        <v/>
      </c>
      <c r="AW84" s="129">
        <f>'07_Мерч'!AW26-'07_Мерч'!AW22</f>
        <v/>
      </c>
      <c r="AX84" s="129">
        <f>'07_Мерч'!AX26-'07_Мерч'!AX22</f>
        <v/>
      </c>
      <c r="AY84" s="129">
        <f>'07_Мерч'!AY26-'07_Мерч'!AY22</f>
        <v/>
      </c>
      <c r="AZ84" s="129">
        <f>'07_Мерч'!AZ26-'07_Мерч'!AZ22</f>
        <v/>
      </c>
      <c r="BA84" s="129">
        <f>'07_Мерч'!BA26-'07_Мерч'!BA22</f>
        <v/>
      </c>
      <c r="BB84" s="129">
        <f>'07_Мерч'!BB26-'07_Мерч'!BB22</f>
        <v/>
      </c>
      <c r="BC84" s="129">
        <f>'07_Мерч'!BC26-'07_Мерч'!BC22</f>
        <v/>
      </c>
      <c r="BD84" s="129">
        <f>'07_Мерч'!BD26-'07_Мерч'!BD22</f>
        <v/>
      </c>
      <c r="BE84" s="129">
        <f>'07_Мерч'!BE26-'07_Мерч'!BE22</f>
        <v/>
      </c>
      <c r="BF84" s="129">
        <f>'07_Мерч'!BF26-'07_Мерч'!BF22</f>
        <v/>
      </c>
      <c r="BG84" s="129">
        <f>'07_Мерч'!BG26-'07_Мерч'!BG22</f>
        <v/>
      </c>
      <c r="BH84" s="129">
        <f>'07_Мерч'!BH26-'07_Мерч'!BH22</f>
        <v/>
      </c>
      <c r="BI84" s="129">
        <f>'07_Мерч'!BI26-'07_Мерч'!BI22</f>
        <v/>
      </c>
    </row>
    <row r="85">
      <c r="A85" t="inlineStr">
        <is>
          <t>Денежный поток через мост от EBITDA</t>
        </is>
      </c>
      <c r="B85" s="167">
        <f>B44-B46-(B80-0)+(B81-0)+(B82-0)-(B83-0)-B84-B70+(B88-0)-B57</f>
        <v/>
      </c>
      <c r="C85" s="167">
        <f>C44-C46-(C80-B80)+(C81-B81)+(C82-B82)-(C83-B83)-C84-C70+(C88-B88)-C57</f>
        <v/>
      </c>
      <c r="D85" s="167">
        <f>D44-D46-(D80-C80)+(D81-C81)+(D82-C82)-(D83-C83)-D84-D70+(D88-C88)-D57</f>
        <v/>
      </c>
      <c r="E85" s="167">
        <f>E44-E46-(E80-D80)+(E81-D81)+(E82-D82)-(E83-D83)-E84-E70+(E88-D88)-E57</f>
        <v/>
      </c>
      <c r="F85" s="167">
        <f>F44-F46-(F80-E80)+(F81-E81)+(F82-E82)-(F83-E83)-F84-F70+(F88-E88)-F57</f>
        <v/>
      </c>
      <c r="G85" s="167">
        <f>G44-G46-(G80-F80)+(G81-F81)+(G82-F82)-(G83-F83)-G84-G70+(G88-F88)-G57</f>
        <v/>
      </c>
      <c r="H85" s="167">
        <f>H44-H46-(H80-G80)+(H81-G81)+(H82-G82)-(H83-G83)-H84-H70+(H88-G88)-H57</f>
        <v/>
      </c>
      <c r="I85" s="167">
        <f>I44-I46-(I80-H80)+(I81-H81)+(I82-H82)-(I83-H83)-I84-I70+(I88-H88)-I57</f>
        <v/>
      </c>
      <c r="J85" s="167">
        <f>J44-J46-(J80-I80)+(J81-I81)+(J82-I82)-(J83-I83)-J84-J70+(J88-I88)-J57</f>
        <v/>
      </c>
      <c r="K85" s="167">
        <f>K44-K46-(K80-J80)+(K81-J81)+(K82-J82)-(K83-J83)-K84-K70+(K88-J88)-K57</f>
        <v/>
      </c>
      <c r="L85" s="167">
        <f>L44-L46-(L80-K80)+(L81-K81)+(L82-K82)-(L83-K83)-L84-L70+(L88-K88)-L57</f>
        <v/>
      </c>
      <c r="M85" s="167">
        <f>M44-M46-(M80-L80)+(M81-L81)+(M82-L82)-(M83-L83)-M84-M70+(M88-L88)-M57</f>
        <v/>
      </c>
      <c r="N85" s="167">
        <f>N44-N46-(N80-M80)+(N81-M81)+(N82-M82)-(N83-M83)-N84-N70+(N88-M88)-N57</f>
        <v/>
      </c>
      <c r="O85" s="167">
        <f>O44-O46-(O80-N80)+(O81-N81)+(O82-N82)-(O83-N83)-O84-O70+(O88-N88)-O57</f>
        <v/>
      </c>
      <c r="P85" s="167">
        <f>P44-P46-(P80-O80)+(P81-O81)+(P82-O82)-(P83-O83)-P84-P70+(P88-O88)-P57</f>
        <v/>
      </c>
      <c r="Q85" s="167">
        <f>Q44-Q46-(Q80-P80)+(Q81-P81)+(Q82-P82)-(Q83-P83)-Q84-Q70+(Q88-P88)-Q57</f>
        <v/>
      </c>
      <c r="R85" s="167">
        <f>R44-R46-(R80-Q80)+(R81-Q81)+(R82-Q82)-(R83-Q83)-R84-R70+(R88-Q88)-R57</f>
        <v/>
      </c>
      <c r="S85" s="167">
        <f>S44-S46-(S80-R80)+(S81-R81)+(S82-R82)-(S83-R83)-S84-S70+(S88-R88)-S57</f>
        <v/>
      </c>
      <c r="T85" s="167">
        <f>T44-T46-(T80-S80)+(T81-S81)+(T82-S82)-(T83-S83)-T84-T70+(T88-S88)-T57</f>
        <v/>
      </c>
      <c r="U85" s="167">
        <f>U44-U46-(U80-T80)+(U81-T81)+(U82-T82)-(U83-T83)-U84-U70+(U88-T88)-U57</f>
        <v/>
      </c>
      <c r="V85" s="167">
        <f>V44-V46-(V80-U80)+(V81-U81)+(V82-U82)-(V83-U83)-V84-V70+(V88-U88)-V57</f>
        <v/>
      </c>
      <c r="W85" s="167">
        <f>W44-W46-(W80-V80)+(W81-V81)+(W82-V82)-(W83-V83)-W84-W70+(W88-V88)-W57</f>
        <v/>
      </c>
      <c r="X85" s="167">
        <f>X44-X46-(X80-W80)+(X81-W81)+(X82-W82)-(X83-W83)-X84-X70+(X88-W88)-X57</f>
        <v/>
      </c>
      <c r="Y85" s="167">
        <f>Y44-Y46-(Y80-X80)+(Y81-X81)+(Y82-X82)-(Y83-X83)-Y84-Y70+(Y88-X88)-Y57</f>
        <v/>
      </c>
      <c r="Z85" s="167">
        <f>Z44-Z46-(Z80-Y80)+(Z81-Y81)+(Z82-Y82)-(Z83-Y83)-Z84-Z70+(Z88-Y88)-Z57</f>
        <v/>
      </c>
      <c r="AA85" s="167">
        <f>AA44-AA46-(AA80-Z80)+(AA81-Z81)+(AA82-Z82)-(AA83-Z83)-AA84-AA70+(AA88-Z88)-AA57</f>
        <v/>
      </c>
      <c r="AB85" s="167">
        <f>AB44-AB46-(AB80-AA80)+(AB81-AA81)+(AB82-AA82)-(AB83-AA83)-AB84-AB70+(AB88-AA88)-AB57</f>
        <v/>
      </c>
      <c r="AC85" s="167">
        <f>AC44-AC46-(AC80-AB80)+(AC81-AB81)+(AC82-AB82)-(AC83-AB83)-AC84-AC70+(AC88-AB88)-AC57</f>
        <v/>
      </c>
      <c r="AD85" s="167">
        <f>AD44-AD46-(AD80-AC80)+(AD81-AC81)+(AD82-AC82)-(AD83-AC83)-AD84-AD70+(AD88-AC88)-AD57</f>
        <v/>
      </c>
      <c r="AE85" s="167">
        <f>AE44-AE46-(AE80-AD80)+(AE81-AD81)+(AE82-AD82)-(AE83-AD83)-AE84-AE70+(AE88-AD88)-AE57</f>
        <v/>
      </c>
      <c r="AF85" s="167">
        <f>AF44-AF46-(AF80-AE80)+(AF81-AE81)+(AF82-AE82)-(AF83-AE83)-AF84-AF70+(AF88-AE88)-AF57</f>
        <v/>
      </c>
      <c r="AG85" s="167">
        <f>AG44-AG46-(AG80-AF80)+(AG81-AF81)+(AG82-AF82)-(AG83-AF83)-AG84-AG70+(AG88-AF88)-AG57</f>
        <v/>
      </c>
      <c r="AH85" s="167">
        <f>AH44-AH46-(AH80-AG80)+(AH81-AG81)+(AH82-AG82)-(AH83-AG83)-AH84-AH70+(AH88-AG88)-AH57</f>
        <v/>
      </c>
      <c r="AI85" s="167">
        <f>AI44-AI46-(AI80-AH80)+(AI81-AH81)+(AI82-AH82)-(AI83-AH83)-AI84-AI70+(AI88-AH88)-AI57</f>
        <v/>
      </c>
      <c r="AJ85" s="167">
        <f>AJ44-AJ46-(AJ80-AI80)+(AJ81-AI81)+(AJ82-AI82)-(AJ83-AI83)-AJ84-AJ70+(AJ88-AI88)-AJ57</f>
        <v/>
      </c>
      <c r="AK85" s="167">
        <f>AK44-AK46-(AK80-AJ80)+(AK81-AJ81)+(AK82-AJ82)-(AK83-AJ83)-AK84-AK70+(AK88-AJ88)-AK57</f>
        <v/>
      </c>
      <c r="AL85" s="167">
        <f>AL44-AL46-(AL80-AK80)+(AL81-AK81)+(AL82-AK82)-(AL83-AK83)-AL84-AL70+(AL88-AK88)-AL57</f>
        <v/>
      </c>
      <c r="AM85" s="167">
        <f>AM44-AM46-(AM80-AL80)+(AM81-AL81)+(AM82-AL82)-(AM83-AL83)-AM84-AM70+(AM88-AL88)-AM57</f>
        <v/>
      </c>
      <c r="AN85" s="167">
        <f>AN44-AN46-(AN80-AM80)+(AN81-AM81)+(AN82-AM82)-(AN83-AM83)-AN84-AN70+(AN88-AM88)-AN57</f>
        <v/>
      </c>
      <c r="AO85" s="167">
        <f>AO44-AO46-(AO80-AN80)+(AO81-AN81)+(AO82-AN82)-(AO83-AN83)-AO84-AO70+(AO88-AN88)-AO57</f>
        <v/>
      </c>
      <c r="AP85" s="167">
        <f>AP44-AP46-(AP80-AO80)+(AP81-AO81)+(AP82-AO82)-(AP83-AO83)-AP84-AP70+(AP88-AO88)-AP57</f>
        <v/>
      </c>
      <c r="AQ85" s="167">
        <f>AQ44-AQ46-(AQ80-AP80)+(AQ81-AP81)+(AQ82-AP82)-(AQ83-AP83)-AQ84-AQ70+(AQ88-AP88)-AQ57</f>
        <v/>
      </c>
      <c r="AR85" s="167">
        <f>AR44-AR46-(AR80-AQ80)+(AR81-AQ81)+(AR82-AQ82)-(AR83-AQ83)-AR84-AR70+(AR88-AQ88)-AR57</f>
        <v/>
      </c>
      <c r="AS85" s="167">
        <f>AS44-AS46-(AS80-AR80)+(AS81-AR81)+(AS82-AR82)-(AS83-AR83)-AS84-AS70+(AS88-AR88)-AS57</f>
        <v/>
      </c>
      <c r="AT85" s="167">
        <f>AT44-AT46-(AT80-AS80)+(AT81-AS81)+(AT82-AS82)-(AT83-AS83)-AT84-AT70+(AT88-AS88)-AT57</f>
        <v/>
      </c>
      <c r="AU85" s="167">
        <f>AU44-AU46-(AU80-AT80)+(AU81-AT81)+(AU82-AT82)-(AU83-AT83)-AU84-AU70+(AU88-AT88)-AU57</f>
        <v/>
      </c>
      <c r="AV85" s="167">
        <f>AV44-AV46-(AV80-AU80)+(AV81-AU81)+(AV82-AU82)-(AV83-AU83)-AV84-AV70+(AV88-AU88)-AV57</f>
        <v/>
      </c>
      <c r="AW85" s="167">
        <f>AW44-AW46-(AW80-AV80)+(AW81-AV81)+(AW82-AV82)-(AW83-AV83)-AW84-AW70+(AW88-AV88)-AW57</f>
        <v/>
      </c>
      <c r="AX85" s="167">
        <f>AX44-AX46-(AX80-AW80)+(AX81-AW81)+(AX82-AW82)-(AX83-AW83)-AX84-AX70+(AX88-AW88)-AX57</f>
        <v/>
      </c>
      <c r="AY85" s="167">
        <f>AY44-AY46-(AY80-AX80)+(AY81-AX81)+(AY82-AX82)-(AY83-AX83)-AY84-AY70+(AY88-AX88)-AY57</f>
        <v/>
      </c>
      <c r="AZ85" s="167">
        <f>AZ44-AZ46-(AZ80-AY80)+(AZ81-AY81)+(AZ82-AY82)-(AZ83-AY83)-AZ84-AZ70+(AZ88-AY88)-AZ57</f>
        <v/>
      </c>
      <c r="BA85" s="167">
        <f>BA44-BA46-(BA80-AZ80)+(BA81-AZ81)+(BA82-AZ82)-(BA83-AZ83)-BA84-BA70+(BA88-AZ88)-BA57</f>
        <v/>
      </c>
      <c r="BB85" s="167">
        <f>BB44-BB46-(BB80-BA80)+(BB81-BA81)+(BB82-BA82)-(BB83-BA83)-BB84-BB70+(BB88-BA88)-BB57</f>
        <v/>
      </c>
      <c r="BC85" s="167">
        <f>BC44-BC46-(BC80-BB80)+(BC81-BB81)+(BC82-BB82)-(BC83-BB83)-BC84-BC70+(BC88-BB88)-BC57</f>
        <v/>
      </c>
      <c r="BD85" s="167">
        <f>BD44-BD46-(BD80-BC80)+(BD81-BC81)+(BD82-BC82)-(BD83-BC83)-BD84-BD70+(BD88-BC88)-BD57</f>
        <v/>
      </c>
      <c r="BE85" s="167">
        <f>BE44-BE46-(BE80-BD80)+(BE81-BD81)+(BE82-BD82)-(BE83-BD83)-BE84-BE70+(BE88-BD88)-BE57</f>
        <v/>
      </c>
      <c r="BF85" s="167">
        <f>BF44-BF46-(BF80-BE80)+(BF81-BE81)+(BF82-BE82)-(BF83-BE83)-BF84-BF70+(BF88-BE88)-BF57</f>
        <v/>
      </c>
      <c r="BG85" s="167">
        <f>BG44-BG46-(BG80-BF80)+(BG81-BF81)+(BG82-BF82)-(BG83-BF83)-BG84-BG70+(BG88-BF88)-BG57</f>
        <v/>
      </c>
      <c r="BH85" s="167">
        <f>BH44-BH46-(BH80-BG80)+(BH81-BG81)+(BH82-BG82)-(BH83-BG83)-BH84-BH70+(BH88-BG88)-BH57</f>
        <v/>
      </c>
      <c r="BI85" s="167">
        <f>BI44-BI46-(BI80-BH80)+(BI81-BH81)+(BI82-BH82)-(BI83-BH83)-BI84-BI70+(BI88-BH88)-BI57</f>
        <v/>
      </c>
    </row>
    <row r="86">
      <c r="A86" t="inlineStr">
        <is>
          <t>Сверка БДР → БДДС (должен быть 0)</t>
        </is>
      </c>
      <c r="B86" s="100">
        <f>B85-B71</f>
        <v/>
      </c>
      <c r="C86" s="100">
        <f>C85-C71</f>
        <v/>
      </c>
      <c r="D86" s="100">
        <f>D85-D71</f>
        <v/>
      </c>
      <c r="E86" s="100">
        <f>E85-E71</f>
        <v/>
      </c>
      <c r="F86" s="100">
        <f>F85-F71</f>
        <v/>
      </c>
      <c r="G86" s="100">
        <f>G85-G71</f>
        <v/>
      </c>
      <c r="H86" s="100">
        <f>H85-H71</f>
        <v/>
      </c>
      <c r="I86" s="100">
        <f>I85-I71</f>
        <v/>
      </c>
      <c r="J86" s="100">
        <f>J85-J71</f>
        <v/>
      </c>
      <c r="K86" s="100">
        <f>K85-K71</f>
        <v/>
      </c>
      <c r="L86" s="100">
        <f>L85-L71</f>
        <v/>
      </c>
      <c r="M86" s="100">
        <f>M85-M71</f>
        <v/>
      </c>
      <c r="N86" s="100">
        <f>N85-N71</f>
        <v/>
      </c>
      <c r="O86" s="100">
        <f>O85-O71</f>
        <v/>
      </c>
      <c r="P86" s="100">
        <f>P85-P71</f>
        <v/>
      </c>
      <c r="Q86" s="100">
        <f>Q85-Q71</f>
        <v/>
      </c>
      <c r="R86" s="100">
        <f>R85-R71</f>
        <v/>
      </c>
      <c r="S86" s="100">
        <f>S85-S71</f>
        <v/>
      </c>
      <c r="T86" s="100">
        <f>T85-T71</f>
        <v/>
      </c>
      <c r="U86" s="100">
        <f>U85-U71</f>
        <v/>
      </c>
      <c r="V86" s="100">
        <f>V85-V71</f>
        <v/>
      </c>
      <c r="W86" s="100">
        <f>W85-W71</f>
        <v/>
      </c>
      <c r="X86" s="100">
        <f>X85-X71</f>
        <v/>
      </c>
      <c r="Y86" s="100">
        <f>Y85-Y71</f>
        <v/>
      </c>
      <c r="Z86" s="100">
        <f>Z85-Z71</f>
        <v/>
      </c>
      <c r="AA86" s="100">
        <f>AA85-AA71</f>
        <v/>
      </c>
      <c r="AB86" s="100">
        <f>AB85-AB71</f>
        <v/>
      </c>
      <c r="AC86" s="100">
        <f>AC85-AC71</f>
        <v/>
      </c>
      <c r="AD86" s="100">
        <f>AD85-AD71</f>
        <v/>
      </c>
      <c r="AE86" s="100">
        <f>AE85-AE71</f>
        <v/>
      </c>
      <c r="AF86" s="100">
        <f>AF85-AF71</f>
        <v/>
      </c>
      <c r="AG86" s="100">
        <f>AG85-AG71</f>
        <v/>
      </c>
      <c r="AH86" s="100">
        <f>AH85-AH71</f>
        <v/>
      </c>
      <c r="AI86" s="100">
        <f>AI85-AI71</f>
        <v/>
      </c>
      <c r="AJ86" s="100">
        <f>AJ85-AJ71</f>
        <v/>
      </c>
      <c r="AK86" s="100">
        <f>AK85-AK71</f>
        <v/>
      </c>
      <c r="AL86" s="100">
        <f>AL85-AL71</f>
        <v/>
      </c>
      <c r="AM86" s="100">
        <f>AM85-AM71</f>
        <v/>
      </c>
      <c r="AN86" s="100">
        <f>AN85-AN71</f>
        <v/>
      </c>
      <c r="AO86" s="100">
        <f>AO85-AO71</f>
        <v/>
      </c>
      <c r="AP86" s="100">
        <f>AP85-AP71</f>
        <v/>
      </c>
      <c r="AQ86" s="100">
        <f>AQ85-AQ71</f>
        <v/>
      </c>
      <c r="AR86" s="100">
        <f>AR85-AR71</f>
        <v/>
      </c>
      <c r="AS86" s="100">
        <f>AS85-AS71</f>
        <v/>
      </c>
      <c r="AT86" s="100">
        <f>AT85-AT71</f>
        <v/>
      </c>
      <c r="AU86" s="100">
        <f>AU85-AU71</f>
        <v/>
      </c>
      <c r="AV86" s="100">
        <f>AV85-AV71</f>
        <v/>
      </c>
      <c r="AW86" s="100">
        <f>AW85-AW71</f>
        <v/>
      </c>
      <c r="AX86" s="100">
        <f>AX85-AX71</f>
        <v/>
      </c>
      <c r="AY86" s="100">
        <f>AY85-AY71</f>
        <v/>
      </c>
      <c r="AZ86" s="100">
        <f>AZ85-AZ71</f>
        <v/>
      </c>
      <c r="BA86" s="100">
        <f>BA85-BA71</f>
        <v/>
      </c>
      <c r="BB86" s="100">
        <f>BB85-BB71</f>
        <v/>
      </c>
      <c r="BC86" s="100">
        <f>BC85-BC71</f>
        <v/>
      </c>
      <c r="BD86" s="100">
        <f>BD85-BD71</f>
        <v/>
      </c>
      <c r="BE86" s="100">
        <f>BE85-BE71</f>
        <v/>
      </c>
      <c r="BF86" s="100">
        <f>BF85-BF71</f>
        <v/>
      </c>
      <c r="BG86" s="100">
        <f>BG85-BG71</f>
        <v/>
      </c>
      <c r="BH86" s="100">
        <f>BH85-BH71</f>
        <v/>
      </c>
      <c r="BI86" s="100">
        <f>BI85-BI71</f>
        <v/>
      </c>
    </row>
    <row r="87">
      <c r="A87" t="inlineStr">
        <is>
          <t>Баланс склада (должен быть 0)</t>
        </is>
      </c>
      <c r="B87" s="129">
        <f>'07_Мерч'!B22+'07_Мерч'!B25-'07_Мерч'!B23-'07_Мерч'!B26</f>
        <v/>
      </c>
      <c r="C87" s="129">
        <f>'07_Мерч'!C22+'07_Мерч'!C25-'07_Мерч'!C23-'07_Мерч'!C26</f>
        <v/>
      </c>
      <c r="D87" s="129">
        <f>'07_Мерч'!D22+'07_Мерч'!D25-'07_Мерч'!D23-'07_Мерч'!D26</f>
        <v/>
      </c>
      <c r="E87" s="129">
        <f>'07_Мерч'!E22+'07_Мерч'!E25-'07_Мерч'!E23-'07_Мерч'!E26</f>
        <v/>
      </c>
      <c r="F87" s="129">
        <f>'07_Мерч'!F22+'07_Мерч'!F25-'07_Мерч'!F23-'07_Мерч'!F26</f>
        <v/>
      </c>
      <c r="G87" s="129">
        <f>'07_Мерч'!G22+'07_Мерч'!G25-'07_Мерч'!G23-'07_Мерч'!G26</f>
        <v/>
      </c>
      <c r="H87" s="129">
        <f>'07_Мерч'!H22+'07_Мерч'!H25-'07_Мерч'!H23-'07_Мерч'!H26</f>
        <v/>
      </c>
      <c r="I87" s="129">
        <f>'07_Мерч'!I22+'07_Мерч'!I25-'07_Мерч'!I23-'07_Мерч'!I26</f>
        <v/>
      </c>
      <c r="J87" s="129">
        <f>'07_Мерч'!J22+'07_Мерч'!J25-'07_Мерч'!J23-'07_Мерч'!J26</f>
        <v/>
      </c>
      <c r="K87" s="129">
        <f>'07_Мерч'!K22+'07_Мерч'!K25-'07_Мерч'!K23-'07_Мерч'!K26</f>
        <v/>
      </c>
      <c r="L87" s="129">
        <f>'07_Мерч'!L22+'07_Мерч'!L25-'07_Мерч'!L23-'07_Мерч'!L26</f>
        <v/>
      </c>
      <c r="M87" s="129">
        <f>'07_Мерч'!M22+'07_Мерч'!M25-'07_Мерч'!M23-'07_Мерч'!M26</f>
        <v/>
      </c>
      <c r="N87" s="129">
        <f>'07_Мерч'!N22+'07_Мерч'!N25-'07_Мерч'!N23-'07_Мерч'!N26</f>
        <v/>
      </c>
      <c r="O87" s="129">
        <f>'07_Мерч'!O22+'07_Мерч'!O25-'07_Мерч'!O23-'07_Мерч'!O26</f>
        <v/>
      </c>
      <c r="P87" s="129">
        <f>'07_Мерч'!P22+'07_Мерч'!P25-'07_Мерч'!P23-'07_Мерч'!P26</f>
        <v/>
      </c>
      <c r="Q87" s="129">
        <f>'07_Мерч'!Q22+'07_Мерч'!Q25-'07_Мерч'!Q23-'07_Мерч'!Q26</f>
        <v/>
      </c>
      <c r="R87" s="129">
        <f>'07_Мерч'!R22+'07_Мерч'!R25-'07_Мерч'!R23-'07_Мерч'!R26</f>
        <v/>
      </c>
      <c r="S87" s="129">
        <f>'07_Мерч'!S22+'07_Мерч'!S25-'07_Мерч'!S23-'07_Мерч'!S26</f>
        <v/>
      </c>
      <c r="T87" s="129">
        <f>'07_Мерч'!T22+'07_Мерч'!T25-'07_Мерч'!T23-'07_Мерч'!T26</f>
        <v/>
      </c>
      <c r="U87" s="129">
        <f>'07_Мерч'!U22+'07_Мерч'!U25-'07_Мерч'!U23-'07_Мерч'!U26</f>
        <v/>
      </c>
      <c r="V87" s="129">
        <f>'07_Мерч'!V22+'07_Мерч'!V25-'07_Мерч'!V23-'07_Мерч'!V26</f>
        <v/>
      </c>
      <c r="W87" s="129">
        <f>'07_Мерч'!W22+'07_Мерч'!W25-'07_Мерч'!W23-'07_Мерч'!W26</f>
        <v/>
      </c>
      <c r="X87" s="129">
        <f>'07_Мерч'!X22+'07_Мерч'!X25-'07_Мерч'!X23-'07_Мерч'!X26</f>
        <v/>
      </c>
      <c r="Y87" s="129">
        <f>'07_Мерч'!Y22+'07_Мерч'!Y25-'07_Мерч'!Y23-'07_Мерч'!Y26</f>
        <v/>
      </c>
      <c r="Z87" s="129">
        <f>'07_Мерч'!Z22+'07_Мерч'!Z25-'07_Мерч'!Z23-'07_Мерч'!Z26</f>
        <v/>
      </c>
      <c r="AA87" s="129">
        <f>'07_Мерч'!AA22+'07_Мерч'!AA25-'07_Мерч'!AA23-'07_Мерч'!AA26</f>
        <v/>
      </c>
      <c r="AB87" s="129">
        <f>'07_Мерч'!AB22+'07_Мерч'!AB25-'07_Мерч'!AB23-'07_Мерч'!AB26</f>
        <v/>
      </c>
      <c r="AC87" s="129">
        <f>'07_Мерч'!AC22+'07_Мерч'!AC25-'07_Мерч'!AC23-'07_Мерч'!AC26</f>
        <v/>
      </c>
      <c r="AD87" s="129">
        <f>'07_Мерч'!AD22+'07_Мерч'!AD25-'07_Мерч'!AD23-'07_Мерч'!AD26</f>
        <v/>
      </c>
      <c r="AE87" s="129">
        <f>'07_Мерч'!AE22+'07_Мерч'!AE25-'07_Мерч'!AE23-'07_Мерч'!AE26</f>
        <v/>
      </c>
      <c r="AF87" s="129">
        <f>'07_Мерч'!AF22+'07_Мерч'!AF25-'07_Мерч'!AF23-'07_Мерч'!AF26</f>
        <v/>
      </c>
      <c r="AG87" s="129">
        <f>'07_Мерч'!AG22+'07_Мерч'!AG25-'07_Мерч'!AG23-'07_Мерч'!AG26</f>
        <v/>
      </c>
      <c r="AH87" s="129">
        <f>'07_Мерч'!AH22+'07_Мерч'!AH25-'07_Мерч'!AH23-'07_Мерч'!AH26</f>
        <v/>
      </c>
      <c r="AI87" s="129">
        <f>'07_Мерч'!AI22+'07_Мерч'!AI25-'07_Мерч'!AI23-'07_Мерч'!AI26</f>
        <v/>
      </c>
      <c r="AJ87" s="129">
        <f>'07_Мерч'!AJ22+'07_Мерч'!AJ25-'07_Мерч'!AJ23-'07_Мерч'!AJ26</f>
        <v/>
      </c>
      <c r="AK87" s="129">
        <f>'07_Мерч'!AK22+'07_Мерч'!AK25-'07_Мерч'!AK23-'07_Мерч'!AK26</f>
        <v/>
      </c>
      <c r="AL87" s="129">
        <f>'07_Мерч'!AL22+'07_Мерч'!AL25-'07_Мерч'!AL23-'07_Мерч'!AL26</f>
        <v/>
      </c>
      <c r="AM87" s="129">
        <f>'07_Мерч'!AM22+'07_Мерч'!AM25-'07_Мерч'!AM23-'07_Мерч'!AM26</f>
        <v/>
      </c>
      <c r="AN87" s="129">
        <f>'07_Мерч'!AN22+'07_Мерч'!AN25-'07_Мерч'!AN23-'07_Мерч'!AN26</f>
        <v/>
      </c>
      <c r="AO87" s="129">
        <f>'07_Мерч'!AO22+'07_Мерч'!AO25-'07_Мерч'!AO23-'07_Мерч'!AO26</f>
        <v/>
      </c>
      <c r="AP87" s="129">
        <f>'07_Мерч'!AP22+'07_Мерч'!AP25-'07_Мерч'!AP23-'07_Мерч'!AP26</f>
        <v/>
      </c>
      <c r="AQ87" s="129">
        <f>'07_Мерч'!AQ22+'07_Мерч'!AQ25-'07_Мерч'!AQ23-'07_Мерч'!AQ26</f>
        <v/>
      </c>
      <c r="AR87" s="129">
        <f>'07_Мерч'!AR22+'07_Мерч'!AR25-'07_Мерч'!AR23-'07_Мерч'!AR26</f>
        <v/>
      </c>
      <c r="AS87" s="129">
        <f>'07_Мерч'!AS22+'07_Мерч'!AS25-'07_Мерч'!AS23-'07_Мерч'!AS26</f>
        <v/>
      </c>
      <c r="AT87" s="129">
        <f>'07_Мерч'!AT22+'07_Мерч'!AT25-'07_Мерч'!AT23-'07_Мерч'!AT26</f>
        <v/>
      </c>
      <c r="AU87" s="129">
        <f>'07_Мерч'!AU22+'07_Мерч'!AU25-'07_Мерч'!AU23-'07_Мерч'!AU26</f>
        <v/>
      </c>
      <c r="AV87" s="129">
        <f>'07_Мерч'!AV22+'07_Мерч'!AV25-'07_Мерч'!AV23-'07_Мерч'!AV26</f>
        <v/>
      </c>
      <c r="AW87" s="129">
        <f>'07_Мерч'!AW22+'07_Мерч'!AW25-'07_Мерч'!AW23-'07_Мерч'!AW26</f>
        <v/>
      </c>
      <c r="AX87" s="129">
        <f>'07_Мерч'!AX22+'07_Мерч'!AX25-'07_Мерч'!AX23-'07_Мерч'!AX26</f>
        <v/>
      </c>
      <c r="AY87" s="129">
        <f>'07_Мерч'!AY22+'07_Мерч'!AY25-'07_Мерч'!AY23-'07_Мерч'!AY26</f>
        <v/>
      </c>
      <c r="AZ87" s="129">
        <f>'07_Мерч'!AZ22+'07_Мерч'!AZ25-'07_Мерч'!AZ23-'07_Мерч'!AZ26</f>
        <v/>
      </c>
      <c r="BA87" s="129">
        <f>'07_Мерч'!BA22+'07_Мерч'!BA25-'07_Мерч'!BA23-'07_Мерч'!BA26</f>
        <v/>
      </c>
      <c r="BB87" s="129">
        <f>'07_Мерч'!BB22+'07_Мерч'!BB25-'07_Мерч'!BB23-'07_Мерч'!BB26</f>
        <v/>
      </c>
      <c r="BC87" s="129">
        <f>'07_Мерч'!BC22+'07_Мерч'!BC25-'07_Мерч'!BC23-'07_Мерч'!BC26</f>
        <v/>
      </c>
      <c r="BD87" s="129">
        <f>'07_Мерч'!BD22+'07_Мерч'!BD25-'07_Мерч'!BD23-'07_Мерч'!BD26</f>
        <v/>
      </c>
      <c r="BE87" s="129">
        <f>'07_Мерч'!BE22+'07_Мерч'!BE25-'07_Мерч'!BE23-'07_Мерч'!BE26</f>
        <v/>
      </c>
      <c r="BF87" s="129">
        <f>'07_Мерч'!BF22+'07_Мерч'!BF25-'07_Мерч'!BF23-'07_Мерч'!BF26</f>
        <v/>
      </c>
      <c r="BG87" s="129">
        <f>'07_Мерч'!BG22+'07_Мерч'!BG25-'07_Мерч'!BG23-'07_Мерч'!BG26</f>
        <v/>
      </c>
      <c r="BH87" s="129">
        <f>'07_Мерч'!BH22+'07_Мерч'!BH25-'07_Мерч'!BH23-'07_Мерч'!BH26</f>
        <v/>
      </c>
      <c r="BI87" s="129">
        <f>'07_Мерч'!BI22+'07_Мерч'!BI25-'07_Мерч'!BI23-'07_Мерч'!BI26</f>
        <v/>
      </c>
    </row>
    <row r="88">
      <c r="A88" t="inlineStr">
        <is>
          <t>Обязательство перед ФК по операционным выплатам</t>
        </is>
      </c>
      <c r="B88" s="100">
        <f>0+SUM(B28:B30)-B61</f>
        <v/>
      </c>
      <c r="C88" s="100">
        <f>B88+SUM(C28:C30)-C61</f>
        <v/>
      </c>
      <c r="D88" s="100">
        <f>C88+SUM(D28:D30)-D61</f>
        <v/>
      </c>
      <c r="E88" s="100">
        <f>D88+SUM(E28:E30)-E61</f>
        <v/>
      </c>
      <c r="F88" s="100">
        <f>E88+SUM(F28:F30)-F61</f>
        <v/>
      </c>
      <c r="G88" s="100">
        <f>F88+SUM(G28:G30)-G61</f>
        <v/>
      </c>
      <c r="H88" s="100">
        <f>G88+SUM(H28:H30)-H61</f>
        <v/>
      </c>
      <c r="I88" s="100">
        <f>H88+SUM(I28:I30)-I61</f>
        <v/>
      </c>
      <c r="J88" s="100">
        <f>I88+SUM(J28:J30)-J61</f>
        <v/>
      </c>
      <c r="K88" s="100">
        <f>J88+SUM(K28:K30)-K61</f>
        <v/>
      </c>
      <c r="L88" s="100">
        <f>K88+SUM(L28:L30)-L61</f>
        <v/>
      </c>
      <c r="M88" s="100">
        <f>L88+SUM(M28:M30)-M61</f>
        <v/>
      </c>
      <c r="N88" s="100">
        <f>M88+SUM(N28:N30)-N61</f>
        <v/>
      </c>
      <c r="O88" s="100">
        <f>N88+SUM(O28:O30)-O61</f>
        <v/>
      </c>
      <c r="P88" s="100">
        <f>O88+SUM(P28:P30)-P61</f>
        <v/>
      </c>
      <c r="Q88" s="100">
        <f>P88+SUM(Q28:Q30)-Q61</f>
        <v/>
      </c>
      <c r="R88" s="100">
        <f>Q88+SUM(R28:R30)-R61</f>
        <v/>
      </c>
      <c r="S88" s="100">
        <f>R88+SUM(S28:S30)-S61</f>
        <v/>
      </c>
      <c r="T88" s="100">
        <f>S88+SUM(T28:T30)-T61</f>
        <v/>
      </c>
      <c r="U88" s="100">
        <f>T88+SUM(U28:U30)-U61</f>
        <v/>
      </c>
      <c r="V88" s="100">
        <f>U88+SUM(V28:V30)-V61</f>
        <v/>
      </c>
      <c r="W88" s="100">
        <f>V88+SUM(W28:W30)-W61</f>
        <v/>
      </c>
      <c r="X88" s="100">
        <f>W88+SUM(X28:X30)-X61</f>
        <v/>
      </c>
      <c r="Y88" s="100">
        <f>X88+SUM(Y28:Y30)-Y61</f>
        <v/>
      </c>
      <c r="Z88" s="100">
        <f>Y88+SUM(Z28:Z30)-Z61</f>
        <v/>
      </c>
      <c r="AA88" s="100">
        <f>Z88+SUM(AA28:AA30)-AA61</f>
        <v/>
      </c>
      <c r="AB88" s="100">
        <f>AA88+SUM(AB28:AB30)-AB61</f>
        <v/>
      </c>
      <c r="AC88" s="100">
        <f>AB88+SUM(AC28:AC30)-AC61</f>
        <v/>
      </c>
      <c r="AD88" s="100">
        <f>AC88+SUM(AD28:AD30)-AD61</f>
        <v/>
      </c>
      <c r="AE88" s="100">
        <f>AD88+SUM(AE28:AE30)-AE61</f>
        <v/>
      </c>
      <c r="AF88" s="100">
        <f>AE88+SUM(AF28:AF30)-AF61</f>
        <v/>
      </c>
      <c r="AG88" s="100">
        <f>AF88+SUM(AG28:AG30)-AG61</f>
        <v/>
      </c>
      <c r="AH88" s="100">
        <f>AG88+SUM(AH28:AH30)-AH61</f>
        <v/>
      </c>
      <c r="AI88" s="100">
        <f>AH88+SUM(AI28:AI30)-AI61</f>
        <v/>
      </c>
      <c r="AJ88" s="100">
        <f>AI88+SUM(AJ28:AJ30)-AJ61</f>
        <v/>
      </c>
      <c r="AK88" s="100">
        <f>AJ88+SUM(AK28:AK30)-AK61</f>
        <v/>
      </c>
      <c r="AL88" s="100">
        <f>AK88+SUM(AL28:AL30)-AL61</f>
        <v/>
      </c>
      <c r="AM88" s="100">
        <f>AL88+SUM(AM28:AM30)-AM61</f>
        <v/>
      </c>
      <c r="AN88" s="100">
        <f>AM88+SUM(AN28:AN30)-AN61</f>
        <v/>
      </c>
      <c r="AO88" s="100">
        <f>AN88+SUM(AO28:AO30)-AO61</f>
        <v/>
      </c>
      <c r="AP88" s="100">
        <f>AO88+SUM(AP28:AP30)-AP61</f>
        <v/>
      </c>
      <c r="AQ88" s="100">
        <f>AP88+SUM(AQ28:AQ30)-AQ61</f>
        <v/>
      </c>
      <c r="AR88" s="100">
        <f>AQ88+SUM(AR28:AR30)-AR61</f>
        <v/>
      </c>
      <c r="AS88" s="100">
        <f>AR88+SUM(AS28:AS30)-AS61</f>
        <v/>
      </c>
      <c r="AT88" s="100">
        <f>AS88+SUM(AT28:AT30)-AT61</f>
        <v/>
      </c>
      <c r="AU88" s="100">
        <f>AT88+SUM(AU28:AU30)-AU61</f>
        <v/>
      </c>
      <c r="AV88" s="100">
        <f>AU88+SUM(AV28:AV30)-AV61</f>
        <v/>
      </c>
      <c r="AW88" s="100">
        <f>AV88+SUM(AW28:AW30)-AW61</f>
        <v/>
      </c>
      <c r="AX88" s="100">
        <f>AW88+SUM(AX28:AX30)-AX61</f>
        <v/>
      </c>
      <c r="AY88" s="100">
        <f>AX88+SUM(AY28:AY30)-AY61</f>
        <v/>
      </c>
      <c r="AZ88" s="100">
        <f>AY88+SUM(AZ28:AZ30)-AZ61</f>
        <v/>
      </c>
      <c r="BA88" s="100">
        <f>AZ88+SUM(BA28:BA30)-BA61</f>
        <v/>
      </c>
      <c r="BB88" s="100">
        <f>BA88+SUM(BB28:BB30)-BB61</f>
        <v/>
      </c>
      <c r="BC88" s="100">
        <f>BB88+SUM(BC28:BC30)-BC61</f>
        <v/>
      </c>
      <c r="BD88" s="100">
        <f>BC88+SUM(BD28:BD30)-BD61</f>
        <v/>
      </c>
      <c r="BE88" s="100">
        <f>BD88+SUM(BE28:BE30)-BE61</f>
        <v/>
      </c>
      <c r="BF88" s="100">
        <f>BE88+SUM(BF28:BF30)-BF61</f>
        <v/>
      </c>
      <c r="BG88" s="100">
        <f>BF88+SUM(BG28:BG30)-BG61</f>
        <v/>
      </c>
      <c r="BH88" s="100">
        <f>BG88+SUM(BH28:BH30)-BH61</f>
        <v/>
      </c>
      <c r="BI88" s="100">
        <f>BH88+SUM(BI28:BI30)-BI61</f>
        <v/>
      </c>
    </row>
    <row r="89">
      <c r="B89" s="73" t="n"/>
      <c r="C89" s="73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  <c r="AM89" s="73" t="n"/>
      <c r="AN89" s="73" t="n"/>
      <c r="AO89" s="73" t="n"/>
      <c r="AP89" s="73" t="n"/>
      <c r="AQ89" s="73" t="n"/>
      <c r="AR89" s="73" t="n"/>
      <c r="AS89" s="73" t="n"/>
      <c r="AT89" s="73" t="n"/>
      <c r="AU89" s="73" t="n"/>
      <c r="AV89" s="73" t="n"/>
      <c r="AW89" s="73" t="n"/>
      <c r="AX89" s="73" t="n"/>
      <c r="AY89" s="73" t="n"/>
      <c r="AZ89" s="73" t="n"/>
      <c r="BA89" s="73" t="n"/>
      <c r="BB89" s="73" t="n"/>
      <c r="BC89" s="73" t="n"/>
      <c r="BD89" s="73" t="n"/>
      <c r="BE89" s="73" t="n"/>
      <c r="BF89" s="73" t="n"/>
      <c r="BG89" s="73" t="n"/>
      <c r="BH89" s="73" t="n"/>
      <c r="BI89" s="73" t="n"/>
    </row>
    <row r="90">
      <c r="B90" s="73" t="n"/>
      <c r="C90" s="73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  <c r="AM90" s="73" t="n"/>
      <c r="AN90" s="73" t="n"/>
      <c r="AO90" s="73" t="n"/>
      <c r="AP90" s="73" t="n"/>
      <c r="AQ90" s="73" t="n"/>
      <c r="AR90" s="73" t="n"/>
      <c r="AS90" s="73" t="n"/>
      <c r="AT90" s="73" t="n"/>
      <c r="AU90" s="73" t="n"/>
      <c r="AV90" s="73" t="n"/>
      <c r="AW90" s="73" t="n"/>
      <c r="AX90" s="73" t="n"/>
      <c r="AY90" s="73" t="n"/>
      <c r="AZ90" s="73" t="n"/>
      <c r="BA90" s="73" t="n"/>
      <c r="BB90" s="73" t="n"/>
      <c r="BC90" s="73" t="n"/>
      <c r="BD90" s="73" t="n"/>
      <c r="BE90" s="73" t="n"/>
      <c r="BF90" s="73" t="n"/>
      <c r="BG90" s="73" t="n"/>
      <c r="BH90" s="73" t="n"/>
      <c r="BI90" s="73" t="n"/>
    </row>
    <row r="91">
      <c r="B91" s="73" t="n"/>
      <c r="C91" s="73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  <c r="AM91" s="73" t="n"/>
      <c r="AN91" s="73" t="n"/>
      <c r="AO91" s="73" t="n"/>
      <c r="AP91" s="73" t="n"/>
      <c r="AQ91" s="73" t="n"/>
      <c r="AR91" s="73" t="n"/>
      <c r="AS91" s="73" t="n"/>
      <c r="AT91" s="73" t="n"/>
      <c r="AU91" s="73" t="n"/>
      <c r="AV91" s="73" t="n"/>
      <c r="AW91" s="73" t="n"/>
      <c r="AX91" s="73" t="n"/>
      <c r="AY91" s="73" t="n"/>
      <c r="AZ91" s="73" t="n"/>
      <c r="BA91" s="73" t="n"/>
      <c r="BB91" s="73" t="n"/>
      <c r="BC91" s="73" t="n"/>
      <c r="BD91" s="73" t="n"/>
      <c r="BE91" s="73" t="n"/>
      <c r="BF91" s="73" t="n"/>
      <c r="BG91" s="73" t="n"/>
      <c r="BH91" s="73" t="n"/>
      <c r="BI91" s="73" t="n"/>
    </row>
    <row r="92" hidden="1" ht="20" customHeight="1">
      <c r="A92" s="4" t="inlineStr">
        <is>
          <t>Helper: cash cap для займа</t>
        </is>
      </c>
    </row>
    <row r="93" hidden="1">
      <c r="A93" s="2" t="inlineStr">
        <is>
          <t>Доступный cash до погашения займа</t>
        </is>
      </c>
      <c r="B93" s="95">
        <f>MAX(0,B69-'01_Вводные'!$B$237-B94)</f>
        <v/>
      </c>
      <c r="C93" s="95">
        <f>MAX(0,C69-'01_Вводные'!$B$237-C94)</f>
        <v/>
      </c>
      <c r="D93" s="95">
        <f>MAX(0,D69-'01_Вводные'!$B$237-D94)</f>
        <v/>
      </c>
      <c r="E93" s="95">
        <f>MAX(0,E69-'01_Вводные'!$B$237-E94)</f>
        <v/>
      </c>
      <c r="F93" s="95">
        <f>MAX(0,F69-'01_Вводные'!$B$237-F94)</f>
        <v/>
      </c>
      <c r="G93" s="95">
        <f>MAX(0,G69-'01_Вводные'!$B$237-G94)</f>
        <v/>
      </c>
      <c r="H93" s="95">
        <f>MAX(0,H69-'01_Вводные'!$B$237-H94)</f>
        <v/>
      </c>
      <c r="I93" s="95">
        <f>MAX(0,I69-'01_Вводные'!$B$237-I94)</f>
        <v/>
      </c>
      <c r="J93" s="95">
        <f>MAX(0,J69-'01_Вводные'!$B$237-J94)</f>
        <v/>
      </c>
      <c r="K93" s="95">
        <f>MAX(0,K69-'01_Вводные'!$B$237-K94)</f>
        <v/>
      </c>
      <c r="L93" s="95">
        <f>MAX(0,L69-'01_Вводные'!$B$237-L94)</f>
        <v/>
      </c>
      <c r="M93" s="95">
        <f>MAX(0,M69-'01_Вводные'!$B$237-M94)</f>
        <v/>
      </c>
      <c r="N93" s="95">
        <f>MAX(0,N69-'01_Вводные'!$B$237-N94)</f>
        <v/>
      </c>
      <c r="O93" s="95">
        <f>MAX(0,O69-'01_Вводные'!$B$237-O94)</f>
        <v/>
      </c>
      <c r="P93" s="95">
        <f>MAX(0,P69-'01_Вводные'!$B$237-P94)</f>
        <v/>
      </c>
      <c r="Q93" s="95">
        <f>MAX(0,Q69-'01_Вводные'!$B$237-Q94)</f>
        <v/>
      </c>
      <c r="R93" s="95">
        <f>MAX(0,R69-'01_Вводные'!$B$237-R94)</f>
        <v/>
      </c>
      <c r="S93" s="95">
        <f>MAX(0,S69-'01_Вводные'!$B$237-S94)</f>
        <v/>
      </c>
      <c r="T93" s="95">
        <f>MAX(0,T69-'01_Вводные'!$B$237-T94)</f>
        <v/>
      </c>
      <c r="U93" s="95">
        <f>MAX(0,U69-'01_Вводные'!$B$237-U94)</f>
        <v/>
      </c>
      <c r="V93" s="95">
        <f>MAX(0,V69-'01_Вводные'!$B$237-V94)</f>
        <v/>
      </c>
      <c r="W93" s="95">
        <f>MAX(0,W69-'01_Вводные'!$B$237-W94)</f>
        <v/>
      </c>
      <c r="X93" s="95">
        <f>MAX(0,X69-'01_Вводные'!$B$237-X94)</f>
        <v/>
      </c>
      <c r="Y93" s="95">
        <f>MAX(0,Y69-'01_Вводные'!$B$237-Y94)</f>
        <v/>
      </c>
      <c r="Z93" s="95">
        <f>MAX(0,Z69-'01_Вводные'!$B$237-Z94)</f>
        <v/>
      </c>
      <c r="AA93" s="95">
        <f>MAX(0,AA69-'01_Вводные'!$B$237-AA94)</f>
        <v/>
      </c>
      <c r="AB93" s="95">
        <f>MAX(0,AB69-'01_Вводные'!$B$237-AB94)</f>
        <v/>
      </c>
      <c r="AC93" s="95">
        <f>MAX(0,AC69-'01_Вводные'!$B$237-AC94)</f>
        <v/>
      </c>
      <c r="AD93" s="95">
        <f>MAX(0,AD69-'01_Вводные'!$B$237-AD94)</f>
        <v/>
      </c>
      <c r="AE93" s="95">
        <f>MAX(0,AE69-'01_Вводные'!$B$237-AE94)</f>
        <v/>
      </c>
      <c r="AF93" s="95">
        <f>MAX(0,AF69-'01_Вводные'!$B$237-AF94)</f>
        <v/>
      </c>
      <c r="AG93" s="95">
        <f>MAX(0,AG69-'01_Вводные'!$B$237-AG94)</f>
        <v/>
      </c>
      <c r="AH93" s="95">
        <f>MAX(0,AH69-'01_Вводные'!$B$237-AH94)</f>
        <v/>
      </c>
      <c r="AI93" s="95">
        <f>MAX(0,AI69-'01_Вводные'!$B$237-AI94)</f>
        <v/>
      </c>
      <c r="AJ93" s="95">
        <f>MAX(0,AJ69-'01_Вводные'!$B$237-AJ94)</f>
        <v/>
      </c>
      <c r="AK93" s="95">
        <f>MAX(0,AK69-'01_Вводные'!$B$237-AK94)</f>
        <v/>
      </c>
      <c r="AL93" s="95">
        <f>MAX(0,AL69-'01_Вводные'!$B$237-AL94)</f>
        <v/>
      </c>
      <c r="AM93" s="95">
        <f>MAX(0,AM69-'01_Вводные'!$B$237-AM94)</f>
        <v/>
      </c>
      <c r="AN93" s="95">
        <f>MAX(0,AN69-'01_Вводные'!$B$237-AN94)</f>
        <v/>
      </c>
      <c r="AO93" s="95">
        <f>MAX(0,AO69-'01_Вводные'!$B$237-AO94)</f>
        <v/>
      </c>
      <c r="AP93" s="95">
        <f>MAX(0,AP69-'01_Вводные'!$B$237-AP94)</f>
        <v/>
      </c>
      <c r="AQ93" s="95">
        <f>MAX(0,AQ69-'01_Вводные'!$B$237-AQ94)</f>
        <v/>
      </c>
      <c r="AR93" s="95">
        <f>MAX(0,AR69-'01_Вводные'!$B$237-AR94)</f>
        <v/>
      </c>
      <c r="AS93" s="95">
        <f>MAX(0,AS69-'01_Вводные'!$B$237-AS94)</f>
        <v/>
      </c>
      <c r="AT93" s="95">
        <f>MAX(0,AT69-'01_Вводные'!$B$237-AT94)</f>
        <v/>
      </c>
      <c r="AU93" s="95">
        <f>MAX(0,AU69-'01_Вводные'!$B$237-AU94)</f>
        <v/>
      </c>
      <c r="AV93" s="95">
        <f>MAX(0,AV69-'01_Вводные'!$B$237-AV94)</f>
        <v/>
      </c>
      <c r="AW93" s="95">
        <f>MAX(0,AW69-'01_Вводные'!$B$237-AW94)</f>
        <v/>
      </c>
      <c r="AX93" s="95">
        <f>MAX(0,AX69-'01_Вводные'!$B$237-AX94)</f>
        <v/>
      </c>
      <c r="AY93" s="95">
        <f>MAX(0,AY69-'01_Вводные'!$B$237-AY94)</f>
        <v/>
      </c>
      <c r="AZ93" s="95">
        <f>MAX(0,AZ69-'01_Вводные'!$B$237-AZ94)</f>
        <v/>
      </c>
      <c r="BA93" s="95">
        <f>MAX(0,BA69-'01_Вводные'!$B$237-BA94)</f>
        <v/>
      </c>
      <c r="BB93" s="95">
        <f>MAX(0,BB69-'01_Вводные'!$B$237-BB94)</f>
        <v/>
      </c>
      <c r="BC93" s="95">
        <f>MAX(0,BC69-'01_Вводные'!$B$237-BC94)</f>
        <v/>
      </c>
      <c r="BD93" s="95">
        <f>MAX(0,BD69-'01_Вводные'!$B$237-BD94)</f>
        <v/>
      </c>
      <c r="BE93" s="95">
        <f>MAX(0,BE69-'01_Вводные'!$B$237-BE94)</f>
        <v/>
      </c>
      <c r="BF93" s="95">
        <f>MAX(0,BF69-'01_Вводные'!$B$237-BF94)</f>
        <v/>
      </c>
      <c r="BG93" s="95">
        <f>MAX(0,BG69-'01_Вводные'!$B$237-BG94)</f>
        <v/>
      </c>
      <c r="BH93" s="95">
        <f>MAX(0,BH69-'01_Вводные'!$B$237-BH94)</f>
        <v/>
      </c>
      <c r="BI93" s="95">
        <f>MAX(0,BI69-'01_Вводные'!$B$237-BI94)</f>
        <v/>
      </c>
    </row>
    <row r="94">
      <c r="A94" t="inlineStr">
        <is>
          <t>Резерв на просадку ближайших месяцев</t>
        </is>
      </c>
      <c r="B94">
        <f>MAX(0,C94-C68)</f>
        <v/>
      </c>
      <c r="C94">
        <f>MAX(0,D94-D68)</f>
        <v/>
      </c>
      <c r="D94">
        <f>MAX(0,E94-E68)</f>
        <v/>
      </c>
      <c r="E94">
        <f>MAX(0,F94-F68)</f>
        <v/>
      </c>
      <c r="F94">
        <f>MAX(0,G94-G68)</f>
        <v/>
      </c>
      <c r="G94">
        <f>MAX(0,H94-H68)</f>
        <v/>
      </c>
      <c r="H94">
        <f>MAX(0,I94-I68)</f>
        <v/>
      </c>
      <c r="I94">
        <f>MAX(0,J94-J68)</f>
        <v/>
      </c>
      <c r="J94">
        <f>MAX(0,K94-K68)</f>
        <v/>
      </c>
      <c r="K94">
        <f>MAX(0,L94-L68)</f>
        <v/>
      </c>
      <c r="L94">
        <f>MAX(0,M94-M68)</f>
        <v/>
      </c>
      <c r="M94">
        <f>MAX(0,N94-N68)</f>
        <v/>
      </c>
      <c r="N94">
        <f>MAX(0,O94-O68)</f>
        <v/>
      </c>
      <c r="O94">
        <f>MAX(0,P94-P68)</f>
        <v/>
      </c>
      <c r="P94">
        <f>MAX(0,Q94-Q68)</f>
        <v/>
      </c>
      <c r="Q94">
        <f>MAX(0,R94-R68)</f>
        <v/>
      </c>
      <c r="R94">
        <f>MAX(0,S94-S68)</f>
        <v/>
      </c>
      <c r="S94">
        <f>MAX(0,T94-T68)</f>
        <v/>
      </c>
      <c r="T94">
        <f>MAX(0,U94-U68)</f>
        <v/>
      </c>
      <c r="U94">
        <f>MAX(0,V94-V68)</f>
        <v/>
      </c>
      <c r="V94">
        <f>MAX(0,W94-W68)</f>
        <v/>
      </c>
      <c r="W94">
        <f>MAX(0,X94-X68)</f>
        <v/>
      </c>
      <c r="X94">
        <f>MAX(0,Y94-Y68)</f>
        <v/>
      </c>
      <c r="Y94">
        <f>MAX(0,Z94-Z68)</f>
        <v/>
      </c>
      <c r="Z94">
        <f>MAX(0,AA94-AA68)</f>
        <v/>
      </c>
      <c r="AA94">
        <f>MAX(0,AB94-AB68)</f>
        <v/>
      </c>
      <c r="AB94">
        <f>MAX(0,AC94-AC68)</f>
        <v/>
      </c>
      <c r="AC94">
        <f>MAX(0,AD94-AD68)</f>
        <v/>
      </c>
      <c r="AD94">
        <f>MAX(0,AE94-AE68)</f>
        <v/>
      </c>
      <c r="AE94">
        <f>MAX(0,AF94-AF68)</f>
        <v/>
      </c>
      <c r="AF94">
        <f>MAX(0,AG94-AG68)</f>
        <v/>
      </c>
      <c r="AG94">
        <f>MAX(0,AH94-AH68)</f>
        <v/>
      </c>
      <c r="AH94">
        <f>MAX(0,AI94-AI68)</f>
        <v/>
      </c>
      <c r="AI94">
        <f>MAX(0,AJ94-AJ68)</f>
        <v/>
      </c>
      <c r="AJ94">
        <f>MAX(0,AK94-AK68)</f>
        <v/>
      </c>
      <c r="AK94">
        <f>MAX(0,AL94-AL68)</f>
        <v/>
      </c>
      <c r="AL94">
        <f>MAX(0,AM94-AM68)</f>
        <v/>
      </c>
      <c r="AM94">
        <f>MAX(0,AN94-AN68)</f>
        <v/>
      </c>
      <c r="AN94">
        <f>MAX(0,AO94-AO68)</f>
        <v/>
      </c>
      <c r="AO94">
        <f>MAX(0,AP94-AP68)</f>
        <v/>
      </c>
      <c r="AP94">
        <f>MAX(0,AQ94-AQ68)</f>
        <v/>
      </c>
      <c r="AQ94">
        <f>MAX(0,AR94-AR68)</f>
        <v/>
      </c>
      <c r="AR94">
        <f>MAX(0,AS94-AS68)</f>
        <v/>
      </c>
      <c r="AS94">
        <f>MAX(0,AT94-AT68)</f>
        <v/>
      </c>
      <c r="AT94">
        <f>MAX(0,AU94-AU68)</f>
        <v/>
      </c>
      <c r="AU94">
        <f>MAX(0,AV94-AV68)</f>
        <v/>
      </c>
      <c r="AV94">
        <f>MAX(0,AW94-AW68)</f>
        <v/>
      </c>
      <c r="AW94">
        <f>MAX(0,AX94-AX68)</f>
        <v/>
      </c>
      <c r="AX94">
        <f>MAX(0,AY94-AY68)</f>
        <v/>
      </c>
      <c r="AY94">
        <f>MAX(0,AZ94-AZ68)</f>
        <v/>
      </c>
      <c r="AZ94">
        <f>MAX(0,BA94-BA68)</f>
        <v/>
      </c>
      <c r="BA94">
        <f>MAX(0,BB94-BB68)</f>
        <v/>
      </c>
      <c r="BB94">
        <f>MAX(0,BC94-BC68)</f>
        <v/>
      </c>
      <c r="BC94">
        <f>MAX(0,BD94-BD68)</f>
        <v/>
      </c>
      <c r="BD94">
        <f>MAX(0,BE94-BE68)</f>
        <v/>
      </c>
      <c r="BE94">
        <f>MAX(0,BF94-BF68)</f>
        <v/>
      </c>
      <c r="BF94">
        <f>MAX(0,BG94-BG68)</f>
        <v/>
      </c>
      <c r="BG94">
        <f>MAX(0,BH94-BH68)</f>
        <v/>
      </c>
      <c r="BH94">
        <f>MAX(0,BI94-BI68)</f>
        <v/>
      </c>
      <c r="BI94" t="n">
        <v>0</v>
      </c>
    </row>
    <row r="95" ht="28" customHeight="1">
      <c r="A95" s="47" t="inlineStr">
        <is>
          <t>Инвестиции: CAPEX по правилу v4</t>
        </is>
      </c>
    </row>
    <row r="96" ht="28" customHeight="1">
      <c r="A96" s="2" t="inlineStr">
        <is>
          <t>Выручка — база CAPEX</t>
        </is>
      </c>
      <c r="B96" s="168">
        <f>IF('01_Вводные'!$B$288="С НДС",SUM(B18:B21)*(1+'01_Вводные'!$B$58)+'09_Лагеря'!B10,B23)</f>
        <v/>
      </c>
      <c r="C96" s="168">
        <f>IF('01_Вводные'!$B$288="С НДС",SUM(C18:C21)*(1+'01_Вводные'!$B$58)+'09_Лагеря'!C10,C23)</f>
        <v/>
      </c>
      <c r="D96" s="168">
        <f>IF('01_Вводные'!$B$288="С НДС",SUM(D18:D21)*(1+'01_Вводные'!$B$58)+'09_Лагеря'!D10,D23)</f>
        <v/>
      </c>
      <c r="E96" s="168">
        <f>IF('01_Вводные'!$B$288="С НДС",SUM(E18:E21)*(1+'01_Вводные'!$B$58)+'09_Лагеря'!E10,E23)</f>
        <v/>
      </c>
      <c r="F96" s="168">
        <f>IF('01_Вводные'!$B$288="С НДС",SUM(F18:F21)*(1+'01_Вводные'!$B$58)+'09_Лагеря'!F10,F23)</f>
        <v/>
      </c>
      <c r="G96" s="168">
        <f>IF('01_Вводные'!$B$288="С НДС",SUM(G18:G21)*(1+'01_Вводные'!$B$58)+'09_Лагеря'!G10,G23)</f>
        <v/>
      </c>
      <c r="H96" s="168">
        <f>IF('01_Вводные'!$B$288="С НДС",SUM(H18:H21)*(1+'01_Вводные'!$B$58)+'09_Лагеря'!H10,H23)</f>
        <v/>
      </c>
      <c r="I96" s="168">
        <f>IF('01_Вводные'!$B$288="С НДС",SUM(I18:I21)*(1+'01_Вводные'!$B$58)+'09_Лагеря'!I10,I23)</f>
        <v/>
      </c>
      <c r="J96" s="168">
        <f>IF('01_Вводные'!$B$288="С НДС",SUM(J18:J21)*(1+'01_Вводные'!$B$58)+'09_Лагеря'!J10,J23)</f>
        <v/>
      </c>
      <c r="K96" s="168">
        <f>IF('01_Вводные'!$B$288="С НДС",SUM(K18:K21)*(1+'01_Вводные'!$B$58)+'09_Лагеря'!K10,K23)</f>
        <v/>
      </c>
      <c r="L96" s="168">
        <f>IF('01_Вводные'!$B$288="С НДС",SUM(L18:L21)*(1+'01_Вводные'!$B$58)+'09_Лагеря'!L10,L23)</f>
        <v/>
      </c>
      <c r="M96" s="168">
        <f>IF('01_Вводные'!$B$288="С НДС",SUM(M18:M21)*(1+'01_Вводные'!$B$58)+'09_Лагеря'!M10,M23)</f>
        <v/>
      </c>
      <c r="N96" s="168">
        <f>IF('01_Вводные'!$B$288="С НДС",SUM(N18:N21)*(1+'01_Вводные'!$B$58)+'09_Лагеря'!N10,N23)</f>
        <v/>
      </c>
      <c r="O96" s="168">
        <f>IF('01_Вводные'!$B$288="С НДС",SUM(O18:O21)*(1+'01_Вводные'!$B$58)+'09_Лагеря'!O10,O23)</f>
        <v/>
      </c>
      <c r="P96" s="168">
        <f>IF('01_Вводные'!$B$288="С НДС",SUM(P18:P21)*(1+'01_Вводные'!$B$58)+'09_Лагеря'!P10,P23)</f>
        <v/>
      </c>
      <c r="Q96" s="168">
        <f>IF('01_Вводные'!$B$288="С НДС",SUM(Q18:Q21)*(1+'01_Вводные'!$B$58)+'09_Лагеря'!Q10,Q23)</f>
        <v/>
      </c>
      <c r="R96" s="168">
        <f>IF('01_Вводные'!$B$288="С НДС",SUM(R18:R21)*(1+'01_Вводные'!$B$58)+'09_Лагеря'!R10,R23)</f>
        <v/>
      </c>
      <c r="S96" s="168">
        <f>IF('01_Вводные'!$B$288="С НДС",SUM(S18:S21)*(1+'01_Вводные'!$B$58)+'09_Лагеря'!S10,S23)</f>
        <v/>
      </c>
      <c r="T96" s="168">
        <f>IF('01_Вводные'!$B$288="С НДС",SUM(T18:T21)*(1+'01_Вводные'!$B$58)+'09_Лагеря'!T10,T23)</f>
        <v/>
      </c>
      <c r="U96" s="168">
        <f>IF('01_Вводные'!$B$288="С НДС",SUM(U18:U21)*(1+'01_Вводные'!$B$58)+'09_Лагеря'!U10,U23)</f>
        <v/>
      </c>
      <c r="V96" s="168">
        <f>IF('01_Вводные'!$B$288="С НДС",SUM(V18:V21)*(1+'01_Вводные'!$B$58)+'09_Лагеря'!V10,V23)</f>
        <v/>
      </c>
      <c r="W96" s="168">
        <f>IF('01_Вводные'!$B$288="С НДС",SUM(W18:W21)*(1+'01_Вводные'!$B$58)+'09_Лагеря'!W10,W23)</f>
        <v/>
      </c>
      <c r="X96" s="168">
        <f>IF('01_Вводные'!$B$288="С НДС",SUM(X18:X21)*(1+'01_Вводные'!$B$58)+'09_Лагеря'!X10,X23)</f>
        <v/>
      </c>
      <c r="Y96" s="168">
        <f>IF('01_Вводные'!$B$288="С НДС",SUM(Y18:Y21)*(1+'01_Вводные'!$B$58)+'09_Лагеря'!Y10,Y23)</f>
        <v/>
      </c>
      <c r="Z96" s="168">
        <f>IF('01_Вводные'!$B$288="С НДС",SUM(Z18:Z21)*(1+'01_Вводные'!$B$58)+'09_Лагеря'!Z10,Z23)</f>
        <v/>
      </c>
      <c r="AA96" s="168">
        <f>IF('01_Вводные'!$B$288="С НДС",SUM(AA18:AA21)*(1+'01_Вводные'!$B$58)+'09_Лагеря'!AA10,AA23)</f>
        <v/>
      </c>
      <c r="AB96" s="168">
        <f>IF('01_Вводные'!$B$288="С НДС",SUM(AB18:AB21)*(1+'01_Вводные'!$B$58)+'09_Лагеря'!AB10,AB23)</f>
        <v/>
      </c>
      <c r="AC96" s="168">
        <f>IF('01_Вводные'!$B$288="С НДС",SUM(AC18:AC21)*(1+'01_Вводные'!$B$58)+'09_Лагеря'!AC10,AC23)</f>
        <v/>
      </c>
      <c r="AD96" s="168">
        <f>IF('01_Вводные'!$B$288="С НДС",SUM(AD18:AD21)*(1+'01_Вводные'!$B$58)+'09_Лагеря'!AD10,AD23)</f>
        <v/>
      </c>
      <c r="AE96" s="168">
        <f>IF('01_Вводные'!$B$288="С НДС",SUM(AE18:AE21)*(1+'01_Вводные'!$B$58)+'09_Лагеря'!AE10,AE23)</f>
        <v/>
      </c>
      <c r="AF96" s="168">
        <f>IF('01_Вводные'!$B$288="С НДС",SUM(AF18:AF21)*(1+'01_Вводные'!$B$58)+'09_Лагеря'!AF10,AF23)</f>
        <v/>
      </c>
      <c r="AG96" s="168">
        <f>IF('01_Вводные'!$B$288="С НДС",SUM(AG18:AG21)*(1+'01_Вводные'!$B$58)+'09_Лагеря'!AG10,AG23)</f>
        <v/>
      </c>
      <c r="AH96" s="168">
        <f>IF('01_Вводные'!$B$288="С НДС",SUM(AH18:AH21)*(1+'01_Вводные'!$B$58)+'09_Лагеря'!AH10,AH23)</f>
        <v/>
      </c>
      <c r="AI96" s="168">
        <f>IF('01_Вводные'!$B$288="С НДС",SUM(AI18:AI21)*(1+'01_Вводные'!$B$58)+'09_Лагеря'!AI10,AI23)</f>
        <v/>
      </c>
      <c r="AJ96" s="168">
        <f>IF('01_Вводные'!$B$288="С НДС",SUM(AJ18:AJ21)*(1+'01_Вводные'!$B$58)+'09_Лагеря'!AJ10,AJ23)</f>
        <v/>
      </c>
      <c r="AK96" s="168">
        <f>IF('01_Вводные'!$B$288="С НДС",SUM(AK18:AK21)*(1+'01_Вводные'!$B$58)+'09_Лагеря'!AK10,AK23)</f>
        <v/>
      </c>
      <c r="AL96" s="168">
        <f>IF('01_Вводные'!$B$288="С НДС",SUM(AL18:AL21)*(1+'01_Вводные'!$B$58)+'09_Лагеря'!AL10,AL23)</f>
        <v/>
      </c>
      <c r="AM96" s="168">
        <f>IF('01_Вводные'!$B$288="С НДС",SUM(AM18:AM21)*(1+'01_Вводные'!$B$58)+'09_Лагеря'!AM10,AM23)</f>
        <v/>
      </c>
      <c r="AN96" s="168">
        <f>IF('01_Вводные'!$B$288="С НДС",SUM(AN18:AN21)*(1+'01_Вводные'!$B$58)+'09_Лагеря'!AN10,AN23)</f>
        <v/>
      </c>
      <c r="AO96" s="168">
        <f>IF('01_Вводные'!$B$288="С НДС",SUM(AO18:AO21)*(1+'01_Вводные'!$B$58)+'09_Лагеря'!AO10,AO23)</f>
        <v/>
      </c>
      <c r="AP96" s="168">
        <f>IF('01_Вводные'!$B$288="С НДС",SUM(AP18:AP21)*(1+'01_Вводные'!$B$58)+'09_Лагеря'!AP10,AP23)</f>
        <v/>
      </c>
      <c r="AQ96" s="168">
        <f>IF('01_Вводные'!$B$288="С НДС",SUM(AQ18:AQ21)*(1+'01_Вводные'!$B$58)+'09_Лагеря'!AQ10,AQ23)</f>
        <v/>
      </c>
      <c r="AR96" s="168">
        <f>IF('01_Вводные'!$B$288="С НДС",SUM(AR18:AR21)*(1+'01_Вводные'!$B$58)+'09_Лагеря'!AR10,AR23)</f>
        <v/>
      </c>
      <c r="AS96" s="168">
        <f>IF('01_Вводные'!$B$288="С НДС",SUM(AS18:AS21)*(1+'01_Вводные'!$B$58)+'09_Лагеря'!AS10,AS23)</f>
        <v/>
      </c>
      <c r="AT96" s="168">
        <f>IF('01_Вводные'!$B$288="С НДС",SUM(AT18:AT21)*(1+'01_Вводные'!$B$58)+'09_Лагеря'!AT10,AT23)</f>
        <v/>
      </c>
      <c r="AU96" s="168">
        <f>IF('01_Вводные'!$B$288="С НДС",SUM(AU18:AU21)*(1+'01_Вводные'!$B$58)+'09_Лагеря'!AU10,AU23)</f>
        <v/>
      </c>
      <c r="AV96" s="168">
        <f>IF('01_Вводные'!$B$288="С НДС",SUM(AV18:AV21)*(1+'01_Вводные'!$B$58)+'09_Лагеря'!AV10,AV23)</f>
        <v/>
      </c>
      <c r="AW96" s="168">
        <f>IF('01_Вводные'!$B$288="С НДС",SUM(AW18:AW21)*(1+'01_Вводные'!$B$58)+'09_Лагеря'!AW10,AW23)</f>
        <v/>
      </c>
      <c r="AX96" s="168">
        <f>IF('01_Вводные'!$B$288="С НДС",SUM(AX18:AX21)*(1+'01_Вводные'!$B$58)+'09_Лагеря'!AX10,AX23)</f>
        <v/>
      </c>
      <c r="AY96" s="168">
        <f>IF('01_Вводные'!$B$288="С НДС",SUM(AY18:AY21)*(1+'01_Вводные'!$B$58)+'09_Лагеря'!AY10,AY23)</f>
        <v/>
      </c>
      <c r="AZ96" s="168">
        <f>IF('01_Вводные'!$B$288="С НДС",SUM(AZ18:AZ21)*(1+'01_Вводные'!$B$58)+'09_Лагеря'!AZ10,AZ23)</f>
        <v/>
      </c>
      <c r="BA96" s="168">
        <f>IF('01_Вводные'!$B$288="С НДС",SUM(BA18:BA21)*(1+'01_Вводные'!$B$58)+'09_Лагеря'!BA10,BA23)</f>
        <v/>
      </c>
      <c r="BB96" s="168">
        <f>IF('01_Вводные'!$B$288="С НДС",SUM(BB18:BB21)*(1+'01_Вводные'!$B$58)+'09_Лагеря'!BB10,BB23)</f>
        <v/>
      </c>
      <c r="BC96" s="168">
        <f>IF('01_Вводные'!$B$288="С НДС",SUM(BC18:BC21)*(1+'01_Вводные'!$B$58)+'09_Лагеря'!BC10,BC23)</f>
        <v/>
      </c>
      <c r="BD96" s="168">
        <f>IF('01_Вводные'!$B$288="С НДС",SUM(BD18:BD21)*(1+'01_Вводные'!$B$58)+'09_Лагеря'!BD10,BD23)</f>
        <v/>
      </c>
      <c r="BE96" s="168">
        <f>IF('01_Вводные'!$B$288="С НДС",SUM(BE18:BE21)*(1+'01_Вводные'!$B$58)+'09_Лагеря'!BE10,BE23)</f>
        <v/>
      </c>
      <c r="BF96" s="168">
        <f>IF('01_Вводные'!$B$288="С НДС",SUM(BF18:BF21)*(1+'01_Вводные'!$B$58)+'09_Лагеря'!BF10,BF23)</f>
        <v/>
      </c>
      <c r="BG96" s="168">
        <f>IF('01_Вводные'!$B$288="С НДС",SUM(BG18:BG21)*(1+'01_Вводные'!$B$58)+'09_Лагеря'!BG10,BG23)</f>
        <v/>
      </c>
      <c r="BH96" s="168">
        <f>IF('01_Вводные'!$B$288="С НДС",SUM(BH18:BH21)*(1+'01_Вводные'!$B$58)+'09_Лагеря'!BH10,BH23)</f>
        <v/>
      </c>
      <c r="BI96" s="168">
        <f>IF('01_Вводные'!$B$288="С НДС",SUM(BI18:BI21)*(1+'01_Вводные'!$B$58)+'09_Лагеря'!BI10,BI23)</f>
        <v/>
      </c>
    </row>
    <row r="97" ht="28" customHeight="1">
      <c r="A97" s="2" t="inlineStr">
        <is>
          <t>Поддерживающий CAPEX</t>
        </is>
      </c>
      <c r="B97" s="168">
        <f>IF('01_Вводные'!$B$290="Да",B96*'01_Вводные'!$B$286,0)</f>
        <v/>
      </c>
      <c r="C97" s="168">
        <f>IF('01_Вводные'!$B$290="Да",C96*'01_Вводные'!$B$286,0)</f>
        <v/>
      </c>
      <c r="D97" s="168">
        <f>IF('01_Вводные'!$B$290="Да",D96*'01_Вводные'!$B$286,0)</f>
        <v/>
      </c>
      <c r="E97" s="168">
        <f>IF('01_Вводные'!$B$290="Да",E96*'01_Вводные'!$B$286,0)</f>
        <v/>
      </c>
      <c r="F97" s="168">
        <f>IF('01_Вводные'!$B$290="Да",F96*'01_Вводные'!$B$286,0)</f>
        <v/>
      </c>
      <c r="G97" s="168">
        <f>IF('01_Вводные'!$B$290="Да",G96*'01_Вводные'!$B$286,0)</f>
        <v/>
      </c>
      <c r="H97" s="168">
        <f>IF('01_Вводные'!$B$290="Да",H96*'01_Вводные'!$B$286,0)</f>
        <v/>
      </c>
      <c r="I97" s="168">
        <f>IF('01_Вводные'!$B$290="Да",I96*'01_Вводные'!$B$286,0)</f>
        <v/>
      </c>
      <c r="J97" s="168">
        <f>IF('01_Вводные'!$B$290="Да",J96*'01_Вводные'!$B$286,0)</f>
        <v/>
      </c>
      <c r="K97" s="168">
        <f>IF('01_Вводные'!$B$290="Да",K96*'01_Вводные'!$B$286,0)</f>
        <v/>
      </c>
      <c r="L97" s="168">
        <f>IF('01_Вводные'!$B$290="Да",L96*'01_Вводные'!$B$286,0)</f>
        <v/>
      </c>
      <c r="M97" s="168">
        <f>IF('01_Вводные'!$B$290="Да",M96*'01_Вводные'!$B$286,0)</f>
        <v/>
      </c>
      <c r="N97" s="168">
        <f>IF('01_Вводные'!$B$290="Да",N96*'01_Вводные'!$B$286,0)</f>
        <v/>
      </c>
      <c r="O97" s="168">
        <f>IF('01_Вводные'!$B$290="Да",O96*'01_Вводные'!$B$286,0)</f>
        <v/>
      </c>
      <c r="P97" s="168">
        <f>IF('01_Вводные'!$B$290="Да",P96*'01_Вводные'!$B$286,0)</f>
        <v/>
      </c>
      <c r="Q97" s="168">
        <f>IF('01_Вводные'!$B$290="Да",Q96*'01_Вводные'!$B$286,0)</f>
        <v/>
      </c>
      <c r="R97" s="168">
        <f>IF('01_Вводные'!$B$290="Да",R96*'01_Вводные'!$B$286,0)</f>
        <v/>
      </c>
      <c r="S97" s="168">
        <f>IF('01_Вводные'!$B$290="Да",S96*'01_Вводные'!$B$286,0)</f>
        <v/>
      </c>
      <c r="T97" s="168">
        <f>IF('01_Вводные'!$B$290="Да",T96*'01_Вводные'!$B$286,0)</f>
        <v/>
      </c>
      <c r="U97" s="168">
        <f>IF('01_Вводные'!$B$290="Да",U96*'01_Вводные'!$B$286,0)</f>
        <v/>
      </c>
      <c r="V97" s="168">
        <f>IF('01_Вводные'!$B$290="Да",V96*'01_Вводные'!$B$286,0)</f>
        <v/>
      </c>
      <c r="W97" s="168">
        <f>IF('01_Вводные'!$B$290="Да",W96*'01_Вводные'!$B$286,0)</f>
        <v/>
      </c>
      <c r="X97" s="168">
        <f>IF('01_Вводные'!$B$290="Да",X96*'01_Вводные'!$B$286,0)</f>
        <v/>
      </c>
      <c r="Y97" s="168">
        <f>IF('01_Вводные'!$B$290="Да",Y96*'01_Вводные'!$B$286,0)</f>
        <v/>
      </c>
      <c r="Z97" s="168">
        <f>IF('01_Вводные'!$B$290="Да",Z96*'01_Вводные'!$B$286,0)</f>
        <v/>
      </c>
      <c r="AA97" s="168">
        <f>IF('01_Вводные'!$B$290="Да",AA96*'01_Вводные'!$B$286,0)</f>
        <v/>
      </c>
      <c r="AB97" s="168">
        <f>IF('01_Вводные'!$B$290="Да",AB96*'01_Вводные'!$B$286,0)</f>
        <v/>
      </c>
      <c r="AC97" s="168">
        <f>IF('01_Вводные'!$B$290="Да",AC96*'01_Вводные'!$B$286,0)</f>
        <v/>
      </c>
      <c r="AD97" s="168">
        <f>IF('01_Вводные'!$B$290="Да",AD96*'01_Вводные'!$B$286,0)</f>
        <v/>
      </c>
      <c r="AE97" s="168">
        <f>IF('01_Вводные'!$B$290="Да",AE96*'01_Вводные'!$B$286,0)</f>
        <v/>
      </c>
      <c r="AF97" s="168">
        <f>IF('01_Вводные'!$B$290="Да",AF96*'01_Вводные'!$B$286,0)</f>
        <v/>
      </c>
      <c r="AG97" s="168">
        <f>IF('01_Вводные'!$B$290="Да",AG96*'01_Вводные'!$B$286,0)</f>
        <v/>
      </c>
      <c r="AH97" s="168">
        <f>IF('01_Вводные'!$B$290="Да",AH96*'01_Вводные'!$B$286,0)</f>
        <v/>
      </c>
      <c r="AI97" s="168">
        <f>IF('01_Вводные'!$B$290="Да",AI96*'01_Вводные'!$B$286,0)</f>
        <v/>
      </c>
      <c r="AJ97" s="168">
        <f>IF('01_Вводные'!$B$290="Да",AJ96*'01_Вводные'!$B$286,0)</f>
        <v/>
      </c>
      <c r="AK97" s="168">
        <f>IF('01_Вводные'!$B$290="Да",AK96*'01_Вводные'!$B$286,0)</f>
        <v/>
      </c>
      <c r="AL97" s="168">
        <f>IF('01_Вводные'!$B$290="Да",AL96*'01_Вводные'!$B$286,0)</f>
        <v/>
      </c>
      <c r="AM97" s="168">
        <f>IF('01_Вводные'!$B$290="Да",AM96*'01_Вводные'!$B$286,0)</f>
        <v/>
      </c>
      <c r="AN97" s="168">
        <f>IF('01_Вводные'!$B$290="Да",AN96*'01_Вводные'!$B$286,0)</f>
        <v/>
      </c>
      <c r="AO97" s="168">
        <f>IF('01_Вводные'!$B$290="Да",AO96*'01_Вводные'!$B$286,0)</f>
        <v/>
      </c>
      <c r="AP97" s="168">
        <f>IF('01_Вводные'!$B$290="Да",AP96*'01_Вводные'!$B$286,0)</f>
        <v/>
      </c>
      <c r="AQ97" s="168">
        <f>IF('01_Вводные'!$B$290="Да",AQ96*'01_Вводные'!$B$286,0)</f>
        <v/>
      </c>
      <c r="AR97" s="168">
        <f>IF('01_Вводные'!$B$290="Да",AR96*'01_Вводные'!$B$286,0)</f>
        <v/>
      </c>
      <c r="AS97" s="168">
        <f>IF('01_Вводные'!$B$290="Да",AS96*'01_Вводные'!$B$286,0)</f>
        <v/>
      </c>
      <c r="AT97" s="168">
        <f>IF('01_Вводные'!$B$290="Да",AT96*'01_Вводные'!$B$286,0)</f>
        <v/>
      </c>
      <c r="AU97" s="168">
        <f>IF('01_Вводные'!$B$290="Да",AU96*'01_Вводные'!$B$286,0)</f>
        <v/>
      </c>
      <c r="AV97" s="168">
        <f>IF('01_Вводные'!$B$290="Да",AV96*'01_Вводные'!$B$286,0)</f>
        <v/>
      </c>
      <c r="AW97" s="168">
        <f>IF('01_Вводные'!$B$290="Да",AW96*'01_Вводные'!$B$286,0)</f>
        <v/>
      </c>
      <c r="AX97" s="168">
        <f>IF('01_Вводные'!$B$290="Да",AX96*'01_Вводные'!$B$286,0)</f>
        <v/>
      </c>
      <c r="AY97" s="168">
        <f>IF('01_Вводные'!$B$290="Да",AY96*'01_Вводные'!$B$286,0)</f>
        <v/>
      </c>
      <c r="AZ97" s="168">
        <f>IF('01_Вводные'!$B$290="Да",AZ96*'01_Вводные'!$B$286,0)</f>
        <v/>
      </c>
      <c r="BA97" s="168">
        <f>IF('01_Вводные'!$B$290="Да",BA96*'01_Вводные'!$B$286,0)</f>
        <v/>
      </c>
      <c r="BB97" s="168">
        <f>IF('01_Вводные'!$B$290="Да",BB96*'01_Вводные'!$B$286,0)</f>
        <v/>
      </c>
      <c r="BC97" s="168">
        <f>IF('01_Вводные'!$B$290="Да",BC96*'01_Вводные'!$B$286,0)</f>
        <v/>
      </c>
      <c r="BD97" s="168">
        <f>IF('01_Вводные'!$B$290="Да",BD96*'01_Вводные'!$B$286,0)</f>
        <v/>
      </c>
      <c r="BE97" s="168">
        <f>IF('01_Вводные'!$B$290="Да",BE96*'01_Вводные'!$B$286,0)</f>
        <v/>
      </c>
      <c r="BF97" s="168">
        <f>IF('01_Вводные'!$B$290="Да",BF96*'01_Вводные'!$B$286,0)</f>
        <v/>
      </c>
      <c r="BG97" s="168">
        <f>IF('01_Вводные'!$B$290="Да",BG96*'01_Вводные'!$B$286,0)</f>
        <v/>
      </c>
      <c r="BH97" s="168">
        <f>IF('01_Вводные'!$B$290="Да",BH96*'01_Вводные'!$B$286,0)</f>
        <v/>
      </c>
      <c r="BI97" s="168">
        <f>IF('01_Вводные'!$B$290="Да",BI96*'01_Вводные'!$B$286,0)</f>
        <v/>
      </c>
    </row>
    <row r="98" ht="28" customHeight="1">
      <c r="A98" s="2" t="inlineStr">
        <is>
          <t>Разовый CAPEX</t>
        </is>
      </c>
      <c r="B98" s="168">
        <f>IF(AND('01_Вводные'!$B$290="Да",B$3='01_Вводные'!$B$289),'01_Вводные'!$B$287,0)</f>
        <v/>
      </c>
      <c r="C98" s="168">
        <f>IF(AND('01_Вводные'!$B$290="Да",C$3='01_Вводные'!$B$289),'01_Вводные'!$B$287,0)</f>
        <v/>
      </c>
      <c r="D98" s="168">
        <f>IF(AND('01_Вводные'!$B$290="Да",D$3='01_Вводные'!$B$289),'01_Вводные'!$B$287,0)</f>
        <v/>
      </c>
      <c r="E98" s="168">
        <f>IF(AND('01_Вводные'!$B$290="Да",E$3='01_Вводные'!$B$289),'01_Вводные'!$B$287,0)</f>
        <v/>
      </c>
      <c r="F98" s="168">
        <f>IF(AND('01_Вводные'!$B$290="Да",F$3='01_Вводные'!$B$289),'01_Вводные'!$B$287,0)</f>
        <v/>
      </c>
      <c r="G98" s="168">
        <f>IF(AND('01_Вводные'!$B$290="Да",G$3='01_Вводные'!$B$289),'01_Вводные'!$B$287,0)</f>
        <v/>
      </c>
      <c r="H98" s="168">
        <f>IF(AND('01_Вводные'!$B$290="Да",H$3='01_Вводные'!$B$289),'01_Вводные'!$B$287,0)</f>
        <v/>
      </c>
      <c r="I98" s="168">
        <f>IF(AND('01_Вводные'!$B$290="Да",I$3='01_Вводные'!$B$289),'01_Вводные'!$B$287,0)</f>
        <v/>
      </c>
      <c r="J98" s="168">
        <f>IF(AND('01_Вводные'!$B$290="Да",J$3='01_Вводные'!$B$289),'01_Вводные'!$B$287,0)</f>
        <v/>
      </c>
      <c r="K98" s="168">
        <f>IF(AND('01_Вводные'!$B$290="Да",K$3='01_Вводные'!$B$289),'01_Вводные'!$B$287,0)</f>
        <v/>
      </c>
      <c r="L98" s="168">
        <f>IF(AND('01_Вводные'!$B$290="Да",L$3='01_Вводные'!$B$289),'01_Вводные'!$B$287,0)</f>
        <v/>
      </c>
      <c r="M98" s="168">
        <f>IF(AND('01_Вводные'!$B$290="Да",M$3='01_Вводные'!$B$289),'01_Вводные'!$B$287,0)</f>
        <v/>
      </c>
      <c r="N98" s="168">
        <f>IF(AND('01_Вводные'!$B$290="Да",N$3='01_Вводные'!$B$289),'01_Вводные'!$B$287,0)</f>
        <v/>
      </c>
      <c r="O98" s="168">
        <f>IF(AND('01_Вводные'!$B$290="Да",O$3='01_Вводные'!$B$289),'01_Вводные'!$B$287,0)</f>
        <v/>
      </c>
      <c r="P98" s="168">
        <f>IF(AND('01_Вводные'!$B$290="Да",P$3='01_Вводные'!$B$289),'01_Вводные'!$B$287,0)</f>
        <v/>
      </c>
      <c r="Q98" s="168">
        <f>IF(AND('01_Вводные'!$B$290="Да",Q$3='01_Вводные'!$B$289),'01_Вводные'!$B$287,0)</f>
        <v/>
      </c>
      <c r="R98" s="168">
        <f>IF(AND('01_Вводные'!$B$290="Да",R$3='01_Вводные'!$B$289),'01_Вводные'!$B$287,0)</f>
        <v/>
      </c>
      <c r="S98" s="168">
        <f>IF(AND('01_Вводные'!$B$290="Да",S$3='01_Вводные'!$B$289),'01_Вводные'!$B$287,0)</f>
        <v/>
      </c>
      <c r="T98" s="168">
        <f>IF(AND('01_Вводные'!$B$290="Да",T$3='01_Вводные'!$B$289),'01_Вводные'!$B$287,0)</f>
        <v/>
      </c>
      <c r="U98" s="168">
        <f>IF(AND('01_Вводные'!$B$290="Да",U$3='01_Вводные'!$B$289),'01_Вводные'!$B$287,0)</f>
        <v/>
      </c>
      <c r="V98" s="168">
        <f>IF(AND('01_Вводные'!$B$290="Да",V$3='01_Вводные'!$B$289),'01_Вводные'!$B$287,0)</f>
        <v/>
      </c>
      <c r="W98" s="168">
        <f>IF(AND('01_Вводные'!$B$290="Да",W$3='01_Вводные'!$B$289),'01_Вводные'!$B$287,0)</f>
        <v/>
      </c>
      <c r="X98" s="168">
        <f>IF(AND('01_Вводные'!$B$290="Да",X$3='01_Вводные'!$B$289),'01_Вводные'!$B$287,0)</f>
        <v/>
      </c>
      <c r="Y98" s="168">
        <f>IF(AND('01_Вводные'!$B$290="Да",Y$3='01_Вводные'!$B$289),'01_Вводные'!$B$287,0)</f>
        <v/>
      </c>
      <c r="Z98" s="168">
        <f>IF(AND('01_Вводные'!$B$290="Да",Z$3='01_Вводные'!$B$289),'01_Вводные'!$B$287,0)</f>
        <v/>
      </c>
      <c r="AA98" s="168">
        <f>IF(AND('01_Вводные'!$B$290="Да",AA$3='01_Вводные'!$B$289),'01_Вводные'!$B$287,0)</f>
        <v/>
      </c>
      <c r="AB98" s="168">
        <f>IF(AND('01_Вводные'!$B$290="Да",AB$3='01_Вводные'!$B$289),'01_Вводные'!$B$287,0)</f>
        <v/>
      </c>
      <c r="AC98" s="168">
        <f>IF(AND('01_Вводные'!$B$290="Да",AC$3='01_Вводные'!$B$289),'01_Вводные'!$B$287,0)</f>
        <v/>
      </c>
      <c r="AD98" s="168">
        <f>IF(AND('01_Вводные'!$B$290="Да",AD$3='01_Вводные'!$B$289),'01_Вводные'!$B$287,0)</f>
        <v/>
      </c>
      <c r="AE98" s="168">
        <f>IF(AND('01_Вводные'!$B$290="Да",AE$3='01_Вводные'!$B$289),'01_Вводные'!$B$287,0)</f>
        <v/>
      </c>
      <c r="AF98" s="168">
        <f>IF(AND('01_Вводные'!$B$290="Да",AF$3='01_Вводные'!$B$289),'01_Вводные'!$B$287,0)</f>
        <v/>
      </c>
      <c r="AG98" s="168">
        <f>IF(AND('01_Вводные'!$B$290="Да",AG$3='01_Вводные'!$B$289),'01_Вводные'!$B$287,0)</f>
        <v/>
      </c>
      <c r="AH98" s="168">
        <f>IF(AND('01_Вводные'!$B$290="Да",AH$3='01_Вводные'!$B$289),'01_Вводные'!$B$287,0)</f>
        <v/>
      </c>
      <c r="AI98" s="168">
        <f>IF(AND('01_Вводные'!$B$290="Да",AI$3='01_Вводные'!$B$289),'01_Вводные'!$B$287,0)</f>
        <v/>
      </c>
      <c r="AJ98" s="168">
        <f>IF(AND('01_Вводные'!$B$290="Да",AJ$3='01_Вводные'!$B$289),'01_Вводные'!$B$287,0)</f>
        <v/>
      </c>
      <c r="AK98" s="168">
        <f>IF(AND('01_Вводные'!$B$290="Да",AK$3='01_Вводные'!$B$289),'01_Вводные'!$B$287,0)</f>
        <v/>
      </c>
      <c r="AL98" s="168">
        <f>IF(AND('01_Вводные'!$B$290="Да",AL$3='01_Вводные'!$B$289),'01_Вводные'!$B$287,0)</f>
        <v/>
      </c>
      <c r="AM98" s="168">
        <f>IF(AND('01_Вводные'!$B$290="Да",AM$3='01_Вводные'!$B$289),'01_Вводные'!$B$287,0)</f>
        <v/>
      </c>
      <c r="AN98" s="168">
        <f>IF(AND('01_Вводные'!$B$290="Да",AN$3='01_Вводные'!$B$289),'01_Вводные'!$B$287,0)</f>
        <v/>
      </c>
      <c r="AO98" s="168">
        <f>IF(AND('01_Вводные'!$B$290="Да",AO$3='01_Вводные'!$B$289),'01_Вводные'!$B$287,0)</f>
        <v/>
      </c>
      <c r="AP98" s="168">
        <f>IF(AND('01_Вводные'!$B$290="Да",AP$3='01_Вводные'!$B$289),'01_Вводные'!$B$287,0)</f>
        <v/>
      </c>
      <c r="AQ98" s="168">
        <f>IF(AND('01_Вводные'!$B$290="Да",AQ$3='01_Вводные'!$B$289),'01_Вводные'!$B$287,0)</f>
        <v/>
      </c>
      <c r="AR98" s="168">
        <f>IF(AND('01_Вводные'!$B$290="Да",AR$3='01_Вводные'!$B$289),'01_Вводные'!$B$287,0)</f>
        <v/>
      </c>
      <c r="AS98" s="168">
        <f>IF(AND('01_Вводные'!$B$290="Да",AS$3='01_Вводные'!$B$289),'01_Вводные'!$B$287,0)</f>
        <v/>
      </c>
      <c r="AT98" s="168">
        <f>IF(AND('01_Вводные'!$B$290="Да",AT$3='01_Вводные'!$B$289),'01_Вводные'!$B$287,0)</f>
        <v/>
      </c>
      <c r="AU98" s="168">
        <f>IF(AND('01_Вводные'!$B$290="Да",AU$3='01_Вводные'!$B$289),'01_Вводные'!$B$287,0)</f>
        <v/>
      </c>
      <c r="AV98" s="168">
        <f>IF(AND('01_Вводные'!$B$290="Да",AV$3='01_Вводные'!$B$289),'01_Вводные'!$B$287,0)</f>
        <v/>
      </c>
      <c r="AW98" s="168">
        <f>IF(AND('01_Вводные'!$B$290="Да",AW$3='01_Вводные'!$B$289),'01_Вводные'!$B$287,0)</f>
        <v/>
      </c>
      <c r="AX98" s="168">
        <f>IF(AND('01_Вводные'!$B$290="Да",AX$3='01_Вводные'!$B$289),'01_Вводные'!$B$287,0)</f>
        <v/>
      </c>
      <c r="AY98" s="168">
        <f>IF(AND('01_Вводные'!$B$290="Да",AY$3='01_Вводные'!$B$289),'01_Вводные'!$B$287,0)</f>
        <v/>
      </c>
      <c r="AZ98" s="168">
        <f>IF(AND('01_Вводные'!$B$290="Да",AZ$3='01_Вводные'!$B$289),'01_Вводные'!$B$287,0)</f>
        <v/>
      </c>
      <c r="BA98" s="168">
        <f>IF(AND('01_Вводные'!$B$290="Да",BA$3='01_Вводные'!$B$289),'01_Вводные'!$B$287,0)</f>
        <v/>
      </c>
      <c r="BB98" s="168">
        <f>IF(AND('01_Вводные'!$B$290="Да",BB$3='01_Вводные'!$B$289),'01_Вводные'!$B$287,0)</f>
        <v/>
      </c>
      <c r="BC98" s="168">
        <f>IF(AND('01_Вводные'!$B$290="Да",BC$3='01_Вводные'!$B$289),'01_Вводные'!$B$287,0)</f>
        <v/>
      </c>
      <c r="BD98" s="168">
        <f>IF(AND('01_Вводные'!$B$290="Да",BD$3='01_Вводные'!$B$289),'01_Вводные'!$B$287,0)</f>
        <v/>
      </c>
      <c r="BE98" s="168">
        <f>IF(AND('01_Вводные'!$B$290="Да",BE$3='01_Вводные'!$B$289),'01_Вводные'!$B$287,0)</f>
        <v/>
      </c>
      <c r="BF98" s="168">
        <f>IF(AND('01_Вводные'!$B$290="Да",BF$3='01_Вводные'!$B$289),'01_Вводные'!$B$287,0)</f>
        <v/>
      </c>
      <c r="BG98" s="168">
        <f>IF(AND('01_Вводные'!$B$290="Да",BG$3='01_Вводные'!$B$289),'01_Вводные'!$B$287,0)</f>
        <v/>
      </c>
      <c r="BH98" s="168">
        <f>IF(AND('01_Вводные'!$B$290="Да",BH$3='01_Вводные'!$B$289),'01_Вводные'!$B$287,0)</f>
        <v/>
      </c>
      <c r="BI98" s="168">
        <f>IF(AND('01_Вводные'!$B$290="Да",BI$3='01_Вводные'!$B$289),'01_Вводные'!$B$287,0)</f>
        <v/>
      </c>
    </row>
    <row r="99" ht="28" customHeight="1">
      <c r="A99" s="2" t="inlineStr">
        <is>
          <t>CAPEX — всего</t>
        </is>
      </c>
      <c r="B99" s="168">
        <f>SUM(B97:B98)</f>
        <v/>
      </c>
      <c r="C99" s="168">
        <f>SUM(C97:C98)</f>
        <v/>
      </c>
      <c r="D99" s="168">
        <f>SUM(D97:D98)</f>
        <v/>
      </c>
      <c r="E99" s="168">
        <f>SUM(E97:E98)</f>
        <v/>
      </c>
      <c r="F99" s="168">
        <f>SUM(F97:F98)</f>
        <v/>
      </c>
      <c r="G99" s="168">
        <f>SUM(G97:G98)</f>
        <v/>
      </c>
      <c r="H99" s="168">
        <f>SUM(H97:H98)</f>
        <v/>
      </c>
      <c r="I99" s="168">
        <f>SUM(I97:I98)</f>
        <v/>
      </c>
      <c r="J99" s="168">
        <f>SUM(J97:J98)</f>
        <v/>
      </c>
      <c r="K99" s="168">
        <f>SUM(K97:K98)</f>
        <v/>
      </c>
      <c r="L99" s="168">
        <f>SUM(L97:L98)</f>
        <v/>
      </c>
      <c r="M99" s="168">
        <f>SUM(M97:M98)</f>
        <v/>
      </c>
      <c r="N99" s="168">
        <f>SUM(N97:N98)</f>
        <v/>
      </c>
      <c r="O99" s="168">
        <f>SUM(O97:O98)</f>
        <v/>
      </c>
      <c r="P99" s="168">
        <f>SUM(P97:P98)</f>
        <v/>
      </c>
      <c r="Q99" s="168">
        <f>SUM(Q97:Q98)</f>
        <v/>
      </c>
      <c r="R99" s="168">
        <f>SUM(R97:R98)</f>
        <v/>
      </c>
      <c r="S99" s="168">
        <f>SUM(S97:S98)</f>
        <v/>
      </c>
      <c r="T99" s="168">
        <f>SUM(T97:T98)</f>
        <v/>
      </c>
      <c r="U99" s="168">
        <f>SUM(U97:U98)</f>
        <v/>
      </c>
      <c r="V99" s="168">
        <f>SUM(V97:V98)</f>
        <v/>
      </c>
      <c r="W99" s="168">
        <f>SUM(W97:W98)</f>
        <v/>
      </c>
      <c r="X99" s="168">
        <f>SUM(X97:X98)</f>
        <v/>
      </c>
      <c r="Y99" s="168">
        <f>SUM(Y97:Y98)</f>
        <v/>
      </c>
      <c r="Z99" s="168">
        <f>SUM(Z97:Z98)</f>
        <v/>
      </c>
      <c r="AA99" s="168">
        <f>SUM(AA97:AA98)</f>
        <v/>
      </c>
      <c r="AB99" s="168">
        <f>SUM(AB97:AB98)</f>
        <v/>
      </c>
      <c r="AC99" s="168">
        <f>SUM(AC97:AC98)</f>
        <v/>
      </c>
      <c r="AD99" s="168">
        <f>SUM(AD97:AD98)</f>
        <v/>
      </c>
      <c r="AE99" s="168">
        <f>SUM(AE97:AE98)</f>
        <v/>
      </c>
      <c r="AF99" s="168">
        <f>SUM(AF97:AF98)</f>
        <v/>
      </c>
      <c r="AG99" s="168">
        <f>SUM(AG97:AG98)</f>
        <v/>
      </c>
      <c r="AH99" s="168">
        <f>SUM(AH97:AH98)</f>
        <v/>
      </c>
      <c r="AI99" s="168">
        <f>SUM(AI97:AI98)</f>
        <v/>
      </c>
      <c r="AJ99" s="168">
        <f>SUM(AJ97:AJ98)</f>
        <v/>
      </c>
      <c r="AK99" s="168">
        <f>SUM(AK97:AK98)</f>
        <v/>
      </c>
      <c r="AL99" s="168">
        <f>SUM(AL97:AL98)</f>
        <v/>
      </c>
      <c r="AM99" s="168">
        <f>SUM(AM97:AM98)</f>
        <v/>
      </c>
      <c r="AN99" s="168">
        <f>SUM(AN97:AN98)</f>
        <v/>
      </c>
      <c r="AO99" s="168">
        <f>SUM(AO97:AO98)</f>
        <v/>
      </c>
      <c r="AP99" s="168">
        <f>SUM(AP97:AP98)</f>
        <v/>
      </c>
      <c r="AQ99" s="168">
        <f>SUM(AQ97:AQ98)</f>
        <v/>
      </c>
      <c r="AR99" s="168">
        <f>SUM(AR97:AR98)</f>
        <v/>
      </c>
      <c r="AS99" s="168">
        <f>SUM(AS97:AS98)</f>
        <v/>
      </c>
      <c r="AT99" s="168">
        <f>SUM(AT97:AT98)</f>
        <v/>
      </c>
      <c r="AU99" s="168">
        <f>SUM(AU97:AU98)</f>
        <v/>
      </c>
      <c r="AV99" s="168">
        <f>SUM(AV97:AV98)</f>
        <v/>
      </c>
      <c r="AW99" s="168">
        <f>SUM(AW97:AW98)</f>
        <v/>
      </c>
      <c r="AX99" s="168">
        <f>SUM(AX97:AX98)</f>
        <v/>
      </c>
      <c r="AY99" s="168">
        <f>SUM(AY97:AY98)</f>
        <v/>
      </c>
      <c r="AZ99" s="168">
        <f>SUM(AZ97:AZ98)</f>
        <v/>
      </c>
      <c r="BA99" s="168">
        <f>SUM(BA97:BA98)</f>
        <v/>
      </c>
      <c r="BB99" s="168">
        <f>SUM(BB97:BB98)</f>
        <v/>
      </c>
      <c r="BC99" s="168">
        <f>SUM(BC97:BC98)</f>
        <v/>
      </c>
      <c r="BD99" s="168">
        <f>SUM(BD97:BD98)</f>
        <v/>
      </c>
      <c r="BE99" s="168">
        <f>SUM(BE97:BE98)</f>
        <v/>
      </c>
      <c r="BF99" s="168">
        <f>SUM(BF97:BF98)</f>
        <v/>
      </c>
      <c r="BG99" s="168">
        <f>SUM(BG97:BG98)</f>
        <v/>
      </c>
      <c r="BH99" s="168">
        <f>SUM(BH97:BH98)</f>
        <v/>
      </c>
      <c r="BI99" s="168">
        <f>SUM(BI97:BI98)</f>
        <v/>
      </c>
    </row>
    <row r="100" ht="28" customHeight="1">
      <c r="A100" s="2" t="inlineStr">
        <is>
          <t>CAPEX накопленным итогом</t>
        </is>
      </c>
      <c r="B100" s="168">
        <f>SUM($B99:B99)</f>
        <v/>
      </c>
      <c r="C100" s="168">
        <f>SUM($B99:C99)</f>
        <v/>
      </c>
      <c r="D100" s="168">
        <f>SUM($B99:D99)</f>
        <v/>
      </c>
      <c r="E100" s="168">
        <f>SUM($B99:E99)</f>
        <v/>
      </c>
      <c r="F100" s="168">
        <f>SUM($B99:F99)</f>
        <v/>
      </c>
      <c r="G100" s="168">
        <f>SUM($B99:G99)</f>
        <v/>
      </c>
      <c r="H100" s="168">
        <f>SUM($B99:H99)</f>
        <v/>
      </c>
      <c r="I100" s="168">
        <f>SUM($B99:I99)</f>
        <v/>
      </c>
      <c r="J100" s="168">
        <f>SUM($B99:J99)</f>
        <v/>
      </c>
      <c r="K100" s="168">
        <f>SUM($B99:K99)</f>
        <v/>
      </c>
      <c r="L100" s="168">
        <f>SUM($B99:L99)</f>
        <v/>
      </c>
      <c r="M100" s="168">
        <f>SUM($B99:M99)</f>
        <v/>
      </c>
      <c r="N100" s="168">
        <f>SUM($B99:N99)</f>
        <v/>
      </c>
      <c r="O100" s="168">
        <f>SUM($B99:O99)</f>
        <v/>
      </c>
      <c r="P100" s="168">
        <f>SUM($B99:P99)</f>
        <v/>
      </c>
      <c r="Q100" s="168">
        <f>SUM($B99:Q99)</f>
        <v/>
      </c>
      <c r="R100" s="168">
        <f>SUM($B99:R99)</f>
        <v/>
      </c>
      <c r="S100" s="168">
        <f>SUM($B99:S99)</f>
        <v/>
      </c>
      <c r="T100" s="168">
        <f>SUM($B99:T99)</f>
        <v/>
      </c>
      <c r="U100" s="168">
        <f>SUM($B99:U99)</f>
        <v/>
      </c>
      <c r="V100" s="168">
        <f>SUM($B99:V99)</f>
        <v/>
      </c>
      <c r="W100" s="168">
        <f>SUM($B99:W99)</f>
        <v/>
      </c>
      <c r="X100" s="168">
        <f>SUM($B99:X99)</f>
        <v/>
      </c>
      <c r="Y100" s="168">
        <f>SUM($B99:Y99)</f>
        <v/>
      </c>
      <c r="Z100" s="168">
        <f>SUM($B99:Z99)</f>
        <v/>
      </c>
      <c r="AA100" s="168">
        <f>SUM($B99:AA99)</f>
        <v/>
      </c>
      <c r="AB100" s="168">
        <f>SUM($B99:AB99)</f>
        <v/>
      </c>
      <c r="AC100" s="168">
        <f>SUM($B99:AC99)</f>
        <v/>
      </c>
      <c r="AD100" s="168">
        <f>SUM($B99:AD99)</f>
        <v/>
      </c>
      <c r="AE100" s="168">
        <f>SUM($B99:AE99)</f>
        <v/>
      </c>
      <c r="AF100" s="168">
        <f>SUM($B99:AF99)</f>
        <v/>
      </c>
      <c r="AG100" s="168">
        <f>SUM($B99:AG99)</f>
        <v/>
      </c>
      <c r="AH100" s="168">
        <f>SUM($B99:AH99)</f>
        <v/>
      </c>
      <c r="AI100" s="168">
        <f>SUM($B99:AI99)</f>
        <v/>
      </c>
      <c r="AJ100" s="168">
        <f>SUM($B99:AJ99)</f>
        <v/>
      </c>
      <c r="AK100" s="168">
        <f>SUM($B99:AK99)</f>
        <v/>
      </c>
      <c r="AL100" s="168">
        <f>SUM($B99:AL99)</f>
        <v/>
      </c>
      <c r="AM100" s="168">
        <f>SUM($B99:AM99)</f>
        <v/>
      </c>
      <c r="AN100" s="168">
        <f>SUM($B99:AN99)</f>
        <v/>
      </c>
      <c r="AO100" s="168">
        <f>SUM($B99:AO99)</f>
        <v/>
      </c>
      <c r="AP100" s="168">
        <f>SUM($B99:AP99)</f>
        <v/>
      </c>
      <c r="AQ100" s="168">
        <f>SUM($B99:AQ99)</f>
        <v/>
      </c>
      <c r="AR100" s="168">
        <f>SUM($B99:AR99)</f>
        <v/>
      </c>
      <c r="AS100" s="168">
        <f>SUM($B99:AS99)</f>
        <v/>
      </c>
      <c r="AT100" s="168">
        <f>SUM($B99:AT99)</f>
        <v/>
      </c>
      <c r="AU100" s="168">
        <f>SUM($B99:AU99)</f>
        <v/>
      </c>
      <c r="AV100" s="168">
        <f>SUM($B99:AV99)</f>
        <v/>
      </c>
      <c r="AW100" s="168">
        <f>SUM($B99:AW99)</f>
        <v/>
      </c>
      <c r="AX100" s="168">
        <f>SUM($B99:AX99)</f>
        <v/>
      </c>
      <c r="AY100" s="168">
        <f>SUM($B99:AY99)</f>
        <v/>
      </c>
      <c r="AZ100" s="168">
        <f>SUM($B99:AZ99)</f>
        <v/>
      </c>
      <c r="BA100" s="168">
        <f>SUM($B99:BA99)</f>
        <v/>
      </c>
      <c r="BB100" s="168">
        <f>SUM($B99:BB99)</f>
        <v/>
      </c>
      <c r="BC100" s="168">
        <f>SUM($B99:BC99)</f>
        <v/>
      </c>
      <c r="BD100" s="168">
        <f>SUM($B99:BD99)</f>
        <v/>
      </c>
      <c r="BE100" s="168">
        <f>SUM($B99:BE99)</f>
        <v/>
      </c>
      <c r="BF100" s="168">
        <f>SUM($B99:BF99)</f>
        <v/>
      </c>
      <c r="BG100" s="168">
        <f>SUM($B99:BG99)</f>
        <v/>
      </c>
      <c r="BH100" s="168">
        <f>SUM($B99:BH99)</f>
        <v/>
      </c>
      <c r="BI100" s="168">
        <f>SUM($B99:BI99)</f>
        <v/>
      </c>
    </row>
  </sheetData>
  <mergeCells count="9">
    <mergeCell ref="A5:BI5"/>
    <mergeCell ref="A1:BI1"/>
    <mergeCell ref="A17:BI17"/>
    <mergeCell ref="A74:BI74"/>
    <mergeCell ref="A35:BI35"/>
    <mergeCell ref="A50:BI50"/>
    <mergeCell ref="A92:BI92"/>
    <mergeCell ref="A25:BI25"/>
    <mergeCell ref="A95:BI95"/>
  </mergeCells>
  <printOptions horizontalCentered="0"/>
  <pageMargins left="0.75" right="0.75" top="1" bottom="1" header="0.5" footer="0.5"/>
  <pageSetup orientation="landscape" fitToHeight="0" fitToWidth="1"/>
  <headerFooter>
    <oddHeader/>
    <oddFooter>&amp;LФинмодель Спартак · 02_Модель&amp;R&amp;P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F35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20" customWidth="1" min="4" max="4"/>
    <col width="15" customWidth="1" min="5" max="5"/>
    <col width="57" customWidth="1" min="6" max="6"/>
  </cols>
  <sheetData>
    <row r="1" ht="27" customHeight="1">
      <c r="A1" s="60" t="inlineStr">
        <is>
          <t>СПАРТАК | Три сценария</t>
        </is>
      </c>
    </row>
    <row r="2"/>
    <row r="3" ht="40" customHeight="1">
      <c r="A3" s="111" t="inlineStr">
        <is>
          <t>Сценарные множители — рабочие стресс-допущения, не утверждённый бюджет. Все суммы в млн ₽. Сценарии не зависят от выбранного варианта на дашборде.</t>
        </is>
      </c>
    </row>
    <row r="4"/>
    <row r="5" ht="33" customHeight="1">
      <c r="A5" s="87" t="inlineStr">
        <is>
          <t>Показатель</t>
        </is>
      </c>
      <c r="B5" s="87" t="inlineStr">
        <is>
          <t>Негативный</t>
        </is>
      </c>
      <c r="C5" s="87" t="inlineStr">
        <is>
          <t>Базовый</t>
        </is>
      </c>
      <c r="D5" s="87" t="inlineStr">
        <is>
          <t>Позитивный</t>
        </is>
      </c>
      <c r="E5" s="87" t="inlineStr">
        <is>
          <t>Ед.</t>
        </is>
      </c>
      <c r="F5" s="87" t="inlineStr">
        <is>
          <t>Пояснение</t>
        </is>
      </c>
    </row>
    <row r="6" ht="26" customHeight="1">
      <c r="A6" s="112" t="inlineStr">
        <is>
          <t>Выручка без НДС</t>
        </is>
      </c>
      <c r="B6" s="150">
        <f>SUM('19_Расчет_аналитики'!$B$717:$BI$717)/1000000</f>
        <v/>
      </c>
      <c r="C6" s="150">
        <f>SUM('19_Расчет_аналитики'!$B$1729:$BI$1729)/1000000</f>
        <v/>
      </c>
      <c r="D6" s="150">
        <f>SUM('19_Расчет_аналитики'!$B$2741:$BI$2741)/1000000</f>
        <v/>
      </c>
      <c r="E6" s="114" t="inlineStr">
        <is>
          <t>млн ₽</t>
        </is>
      </c>
      <c r="F6" s="112" t="n"/>
    </row>
    <row r="7" ht="26" customHeight="1">
      <c r="A7" s="104" t="inlineStr">
        <is>
          <t>Паушальные</t>
        </is>
      </c>
      <c r="B7" s="151">
        <f>SUM('19_Расчет_аналитики'!$B$712:$BI$712)/1000000</f>
        <v/>
      </c>
      <c r="C7" s="151">
        <f>SUM('19_Расчет_аналитики'!$B$1724:$BI$1724)/1000000</f>
        <v/>
      </c>
      <c r="D7" s="151">
        <f>SUM('19_Расчет_аналитики'!$B$2736:$BI$2736)/1000000</f>
        <v/>
      </c>
      <c r="E7" s="115" t="inlineStr">
        <is>
          <t>млн ₽</t>
        </is>
      </c>
      <c r="F7" s="104" t="n"/>
    </row>
    <row r="8" ht="26" customHeight="1">
      <c r="A8" s="104" t="inlineStr">
        <is>
          <t>Роялти</t>
        </is>
      </c>
      <c r="B8" s="151">
        <f>SUM('19_Расчет_аналитики'!$B$713:$BI$713,'19_Расчет_аналитики'!$B$714:$BI$714)/1000000</f>
        <v/>
      </c>
      <c r="C8" s="151">
        <f>SUM('19_Расчет_аналитики'!$B$1725:$BI$1725,'19_Расчет_аналитики'!$B$1726:$BI$1726)/1000000</f>
        <v/>
      </c>
      <c r="D8" s="151">
        <f>SUM('19_Расчет_аналитики'!$B$2737:$BI$2737,'19_Расчет_аналитики'!$B$2738:$BI$2738)/1000000</f>
        <v/>
      </c>
      <c r="E8" s="115" t="inlineStr">
        <is>
          <t>млн ₽</t>
        </is>
      </c>
      <c r="F8" s="104" t="n"/>
    </row>
    <row r="9" ht="26" customHeight="1">
      <c r="A9" s="104" t="inlineStr">
        <is>
          <t>Мерч</t>
        </is>
      </c>
      <c r="B9" s="151">
        <f>SUM('19_Расчет_аналитики'!$B$715:$BI$715)/1000000</f>
        <v/>
      </c>
      <c r="C9" s="151">
        <f>SUM('19_Расчет_аналитики'!$B$1727:$BI$1727)/1000000</f>
        <v/>
      </c>
      <c r="D9" s="151">
        <f>SUM('19_Расчет_аналитики'!$B$2739:$BI$2739)/1000000</f>
        <v/>
      </c>
      <c r="E9" s="115" t="inlineStr">
        <is>
          <t>млн ₽</t>
        </is>
      </c>
      <c r="F9" s="104" t="n"/>
    </row>
    <row r="10" ht="26" customHeight="1">
      <c r="A10" s="104" t="inlineStr">
        <is>
          <t>Лагеря</t>
        </is>
      </c>
      <c r="B10" s="151">
        <f>SUM('19_Расчет_аналитики'!$B$716:$BI$716)/1000000</f>
        <v/>
      </c>
      <c r="C10" s="151">
        <f>SUM('19_Расчет_аналитики'!$B$1728:$BI$1728)/1000000</f>
        <v/>
      </c>
      <c r="D10" s="151">
        <f>SUM('19_Расчет_аналитики'!$B$2740:$BI$2740)/1000000</f>
        <v/>
      </c>
      <c r="E10" s="115" t="inlineStr">
        <is>
          <t>млн ₽</t>
        </is>
      </c>
      <c r="F10" s="104" t="n"/>
    </row>
    <row r="11" ht="26" customHeight="1">
      <c r="A11" s="112" t="inlineStr">
        <is>
          <t>EBITDA</t>
        </is>
      </c>
      <c r="B11" s="150">
        <f>SUM('19_Расчет_аналитики'!$B$738:$BI$738)/1000000</f>
        <v/>
      </c>
      <c r="C11" s="150">
        <f>SUM('19_Расчет_аналитики'!$B$1750:$BI$1750)/1000000</f>
        <v/>
      </c>
      <c r="D11" s="150">
        <f>SUM('19_Расчет_аналитики'!$B$2762:$BI$2762)/1000000</f>
        <v/>
      </c>
      <c r="E11" s="114" t="inlineStr">
        <is>
          <t>млн ₽</t>
        </is>
      </c>
      <c r="F11" s="112" t="n"/>
    </row>
    <row r="12" ht="26" customHeight="1">
      <c r="A12" s="104" t="inlineStr">
        <is>
          <t>Рентабельность EBITDA</t>
        </is>
      </c>
      <c r="B12" s="152">
        <f>IF(SUM('19_Расчет_аналитики'!$B$717:$BI$717)=0,0,SUM('19_Расчет_аналитики'!$B$738:$BI$738)/SUM('19_Расчет_аналитики'!$B$717:$BI$717))</f>
        <v/>
      </c>
      <c r="C12" s="152">
        <f>IF(SUM('19_Расчет_аналитики'!$B$1729:$BI$1729)=0,0,SUM('19_Расчет_аналитики'!$B$1750:$BI$1750)/SUM('19_Расчет_аналитики'!$B$1729:$BI$1729))</f>
        <v/>
      </c>
      <c r="D12" s="152">
        <f>IF(SUM('19_Расчет_аналитики'!$B$2741:$BI$2741)=0,0,SUM('19_Расчет_аналитики'!$B$2762:$BI$2762)/SUM('19_Расчет_аналитики'!$B$2741:$BI$2741))</f>
        <v/>
      </c>
      <c r="E12" s="115" t="inlineStr">
        <is>
          <t>%</t>
        </is>
      </c>
      <c r="F12" s="104" t="n"/>
    </row>
    <row r="13" ht="26" customHeight="1">
      <c r="A13" s="104" t="inlineStr">
        <is>
          <t>Поток после CAPEX, до займа</t>
        </is>
      </c>
      <c r="B13" s="151">
        <f>SUM('19_Расчет_аналитики'!$B$762:$BI$762)/1000000</f>
        <v/>
      </c>
      <c r="C13" s="151">
        <f>SUM('19_Расчет_аналитики'!$B$1774:$BI$1774)/1000000</f>
        <v/>
      </c>
      <c r="D13" s="151">
        <f>SUM('19_Расчет_аналитики'!$B$2786:$BI$2786)/1000000</f>
        <v/>
      </c>
      <c r="E13" s="115" t="inlineStr">
        <is>
          <t>млн ₽</t>
        </is>
      </c>
      <c r="F13" s="104" t="n"/>
    </row>
    <row r="14" ht="26" customHeight="1">
      <c r="A14" s="104" t="inlineStr">
        <is>
          <t>Возврат займа ФК</t>
        </is>
      </c>
      <c r="B14" s="151">
        <f>SUM('19_Расчет_аналитики'!$B$764:$BI$764)/1000000</f>
        <v/>
      </c>
      <c r="C14" s="151">
        <f>SUM('19_Расчет_аналитики'!$B$1776:$BI$1776)/1000000</f>
        <v/>
      </c>
      <c r="D14" s="151">
        <f>SUM('19_Расчет_аналитики'!$B$2788:$BI$2788)/1000000</f>
        <v/>
      </c>
      <c r="E14" s="115" t="inlineStr">
        <is>
          <t>млн ₽</t>
        </is>
      </c>
      <c r="F14" s="104" t="n"/>
    </row>
    <row r="15" ht="26" customHeight="1">
      <c r="A15" s="104" t="inlineStr">
        <is>
          <t>Поток после займа</t>
        </is>
      </c>
      <c r="B15" s="151">
        <f>SUM('19_Расчет_аналитики'!$B$765:$BI$765)/1000000</f>
        <v/>
      </c>
      <c r="C15" s="151">
        <f>SUM('19_Расчет_аналитики'!$B$1777:$BI$1777)/1000000</f>
        <v/>
      </c>
      <c r="D15" s="151">
        <f>SUM('19_Расчет_аналитики'!$B$2789:$BI$2789)/1000000</f>
        <v/>
      </c>
      <c r="E15" s="115" t="inlineStr">
        <is>
          <t>млн ₽</t>
        </is>
      </c>
      <c r="F15" s="104" t="n"/>
    </row>
    <row r="16" ht="26" customHeight="1">
      <c r="A16" s="104" t="inlineStr">
        <is>
          <t>Деньги на конец</t>
        </is>
      </c>
      <c r="B16" s="151">
        <f>'19_Расчет_аналитики'!$BI$766/1000000</f>
        <v/>
      </c>
      <c r="C16" s="151">
        <f>'19_Расчет_аналитики'!$BI$1778/1000000</f>
        <v/>
      </c>
      <c r="D16" s="151">
        <f>'19_Расчет_аналитики'!$BI$2790/1000000</f>
        <v/>
      </c>
      <c r="E16" s="115" t="inlineStr">
        <is>
          <t>млн ₽</t>
        </is>
      </c>
      <c r="F16" s="104" t="n"/>
    </row>
    <row r="17" ht="26" customHeight="1">
      <c r="A17" s="112" t="inlineStr">
        <is>
          <t>Пиковый кассовый дефицит</t>
        </is>
      </c>
      <c r="B17" s="150">
        <f>MAX(0,-MIN('19_Расчет_аналитики'!$B$766:$BI$766))/1000000</f>
        <v/>
      </c>
      <c r="C17" s="150">
        <f>MAX(0,-MIN('19_Расчет_аналитики'!$B$1778:$BI$1778))/1000000</f>
        <v/>
      </c>
      <c r="D17" s="150">
        <f>MAX(0,-MIN('19_Расчет_аналитики'!$B$2790:$BI$2790))/1000000</f>
        <v/>
      </c>
      <c r="E17" s="114" t="inlineStr">
        <is>
          <t>млн ₽</t>
        </is>
      </c>
      <c r="F17" s="112" t="inlineStr">
        <is>
          <t>Не оформленный кредит: сумма минимального отрицательного остатка. Проценты на допфинансирование не добавлены.</t>
        </is>
      </c>
    </row>
    <row r="18" ht="26" customHeight="1">
      <c r="A18" s="104" t="inlineStr">
        <is>
          <t>Закупки товара</t>
        </is>
      </c>
      <c r="B18" s="151">
        <f>SUM('19_Расчет_аналитики'!$B$626:$BI$626)/1000000</f>
        <v/>
      </c>
      <c r="C18" s="151">
        <f>SUM('19_Расчет_аналитики'!$B$1638:$BI$1638)/1000000</f>
        <v/>
      </c>
      <c r="D18" s="151">
        <f>SUM('19_Расчет_аналитики'!$B$2650:$BI$2650)/1000000</f>
        <v/>
      </c>
      <c r="E18" s="115" t="inlineStr">
        <is>
          <t>млн ₽</t>
        </is>
      </c>
      <c r="F18" s="104" t="n"/>
    </row>
    <row r="19" ht="26" customHeight="1">
      <c r="A19" s="104" t="inlineStr">
        <is>
          <t>Пик товарного остатка</t>
        </is>
      </c>
      <c r="B19" s="151">
        <f>MAX('19_Расчет_аналитики'!$B$627:$BI$627)/1000000</f>
        <v/>
      </c>
      <c r="C19" s="151">
        <f>MAX('19_Расчет_аналитики'!$B$1639:$BI$1639)/1000000</f>
        <v/>
      </c>
      <c r="D19" s="151">
        <f>MAX('19_Расчет_аналитики'!$B$2651:$BI$2651)/1000000</f>
        <v/>
      </c>
      <c r="E19" s="115" t="inlineStr">
        <is>
          <t>млн ₽</t>
        </is>
      </c>
      <c r="F19" s="104" t="n"/>
    </row>
    <row r="20" ht="26" customHeight="1">
      <c r="A20" s="104" t="inlineStr">
        <is>
          <t>Склад на конец</t>
        </is>
      </c>
      <c r="B20" s="151">
        <f>'19_Расчет_аналитики'!$BI$770/1000000</f>
        <v/>
      </c>
      <c r="C20" s="151">
        <f>'19_Расчет_аналитики'!$BI$1782/1000000</f>
        <v/>
      </c>
      <c r="D20" s="151">
        <f>'19_Расчет_аналитики'!$BI$2794/1000000</f>
        <v/>
      </c>
      <c r="E20" s="115" t="inlineStr">
        <is>
          <t>млн ₽</t>
        </is>
      </c>
      <c r="F20" s="104" t="n"/>
    </row>
    <row r="21" ht="26" customHeight="1">
      <c r="A21" s="104" t="inlineStr">
        <is>
          <t>Займ на конец</t>
        </is>
      </c>
      <c r="B21" s="151">
        <f>'19_Расчет_аналитики'!$BI$769/1000000</f>
        <v/>
      </c>
      <c r="C21" s="151">
        <f>'19_Расчет_аналитики'!$BI$1781/1000000</f>
        <v/>
      </c>
      <c r="D21" s="151">
        <f>'19_Расчет_аналитики'!$BI$2793/1000000</f>
        <v/>
      </c>
      <c r="E21" s="115" t="inlineStr">
        <is>
          <t>млн ₽</t>
        </is>
      </c>
      <c r="F21" s="104" t="n"/>
    </row>
    <row r="22" ht="45" customHeight="1">
      <c r="A22" s="104" t="inlineStr">
        <is>
          <t>Нехватка товара (по себестоимости)</t>
        </is>
      </c>
      <c r="B22" s="151">
        <f>MAX('19_Расчет_аналитики'!$B$628:$BI$628)/1000000</f>
        <v/>
      </c>
      <c r="C22" s="151">
        <f>MAX('19_Расчет_аналитики'!$B$1640:$BI$1640)/1000000</f>
        <v/>
      </c>
      <c r="D22" s="151">
        <f>MAX('19_Расчет_аналитики'!$B$2652:$BI$2652)/1000000</f>
        <v/>
      </c>
      <c r="E22" s="115" t="inlineStr">
        <is>
          <t>млн ₽</t>
        </is>
      </c>
      <c r="F22" s="104" t="inlineStr">
        <is>
          <t>Если &gt;0, выручка плана не обеспечена запасом: нужны другие сроки/объёмы закупок.</t>
        </is>
      </c>
    </row>
    <row r="23" ht="26" customHeight="1">
      <c r="A23" s="104" t="inlineStr">
        <is>
          <t>Продано франшиз</t>
        </is>
      </c>
      <c r="B23" s="151">
        <f>SUM('19_Расчет_аналитики'!$B$338:$BI$338)</f>
        <v/>
      </c>
      <c r="C23" s="151">
        <f>SUM('19_Расчет_аналитики'!$B$1350:$BI$1350)</f>
        <v/>
      </c>
      <c r="D23" s="151">
        <f>SUM('19_Расчет_аналитики'!$B$2362:$BI$2362)</f>
        <v/>
      </c>
      <c r="E23" s="115" t="inlineStr">
        <is>
          <t>шт.</t>
        </is>
      </c>
      <c r="F23" s="104" t="n"/>
    </row>
    <row r="24" ht="26" customHeight="1">
      <c r="A24" s="104" t="inlineStr">
        <is>
          <t>Открыто школ</t>
        </is>
      </c>
      <c r="B24" s="151">
        <f>SUM('19_Расчет_аналитики'!$B$341:$BI$341)</f>
        <v/>
      </c>
      <c r="C24" s="151">
        <f>SUM('19_Расчет_аналитики'!$B$1353:$BI$1353)</f>
        <v/>
      </c>
      <c r="D24" s="151">
        <f>SUM('19_Расчет_аналитики'!$B$2365:$BI$2365)</f>
        <v/>
      </c>
      <c r="E24" s="115" t="inlineStr">
        <is>
          <t>шт.</t>
        </is>
      </c>
      <c r="F24" s="104" t="n"/>
    </row>
    <row r="25" ht="26" customHeight="1">
      <c r="A25" s="104" t="inlineStr">
        <is>
          <t>Активные школы на конец</t>
        </is>
      </c>
      <c r="B25" s="151">
        <f>'19_Расчет_аналитики'!$BI$372</f>
        <v/>
      </c>
      <c r="C25" s="151">
        <f>'19_Расчет_аналитики'!$BI$1384</f>
        <v/>
      </c>
      <c r="D25" s="151">
        <f>'19_Расчет_аналитики'!$BI$2396</f>
        <v/>
      </c>
      <c r="E25" s="115" t="inlineStr">
        <is>
          <t>шт.</t>
        </is>
      </c>
      <c r="F25" s="104" t="n"/>
    </row>
    <row r="26" ht="26" customHeight="1">
      <c r="A26" s="104" t="inlineStr">
        <is>
          <t>Среднее активных детей в месяц</t>
        </is>
      </c>
      <c r="B26" s="151">
        <f>AVERAGE('19_Расчет_аналитики'!$B$380:$BI$380)</f>
        <v/>
      </c>
      <c r="C26" s="151">
        <f>AVERAGE('19_Расчет_аналитики'!$B$1392:$BI$1392)</f>
        <v/>
      </c>
      <c r="D26" s="151">
        <f>AVERAGE('19_Расчет_аналитики'!$B$2404:$BI$2404)</f>
        <v/>
      </c>
      <c r="E26" s="115" t="inlineStr">
        <is>
          <t>чел.</t>
        </is>
      </c>
      <c r="F26" s="104" t="n"/>
    </row>
    <row r="27" ht="26" customHeight="1">
      <c r="A27" s="104" t="inlineStr">
        <is>
          <t>Операционные выплаты ФК, деньги</t>
        </is>
      </c>
      <c r="B27" s="151">
        <f>SUM('19_Расчет_аналитики'!$B$755:$BI$755)/1000000</f>
        <v/>
      </c>
      <c r="C27" s="151">
        <f>SUM('19_Расчет_аналитики'!$B$1767:$BI$1767)/1000000</f>
        <v/>
      </c>
      <c r="D27" s="151">
        <f>SUM('19_Расчет_аналитики'!$B$2779:$BI$2779)/1000000</f>
        <v/>
      </c>
      <c r="E27" s="115" t="inlineStr">
        <is>
          <t>млн ₽</t>
        </is>
      </c>
      <c r="F27" s="104" t="n"/>
    </row>
    <row r="28">
      <c r="A28" s="104" t="inlineStr">
        <is>
          <t>CAPEX — всего</t>
        </is>
      </c>
      <c r="B28" s="162">
        <f>SUM('19_Расчет_аналитики'!$B$751:$BI$751)/1000000</f>
        <v/>
      </c>
      <c r="C28" s="162">
        <f>SUM('19_Расчет_аналитики'!$B$1763:$BI$1763)/1000000</f>
        <v/>
      </c>
      <c r="D28" s="162">
        <f>SUM('19_Расчет_аналитики'!$B$2775:$BI$2775)/1000000</f>
        <v/>
      </c>
      <c r="E28" s="115" t="inlineStr">
        <is>
          <t>млн ₽</t>
        </is>
      </c>
      <c r="F28" s="104" t="n"/>
    </row>
    <row r="29"/>
    <row r="30" ht="27" customHeight="1">
      <c r="A30" s="60" t="inlineStr">
        <is>
          <t>EBITDA по сезонам, млн ₽</t>
        </is>
      </c>
    </row>
    <row r="31" ht="26" customHeight="1">
      <c r="A31" s="104" t="inlineStr">
        <is>
          <t>2026/27</t>
        </is>
      </c>
      <c r="B31" s="151">
        <f>SUM('19_Расчет_аналитики'!$B$738:$M$738)/1000000</f>
        <v/>
      </c>
      <c r="C31" s="151">
        <f>SUM('19_Расчет_аналитики'!$B$1750:$M$1750)/1000000</f>
        <v/>
      </c>
      <c r="D31" s="151">
        <f>SUM('19_Расчет_аналитики'!$B$2762:$M$2762)/1000000</f>
        <v/>
      </c>
      <c r="E31" s="115" t="n"/>
      <c r="F31" s="104" t="n"/>
    </row>
    <row r="32" ht="26" customHeight="1">
      <c r="A32" s="104" t="inlineStr">
        <is>
          <t>2027/28</t>
        </is>
      </c>
      <c r="B32" s="151">
        <f>SUM('19_Расчет_аналитики'!$N$738:$Y$738)/1000000</f>
        <v/>
      </c>
      <c r="C32" s="151">
        <f>SUM('19_Расчет_аналитики'!$N$1750:$Y$1750)/1000000</f>
        <v/>
      </c>
      <c r="D32" s="151">
        <f>SUM('19_Расчет_аналитики'!$N$2762:$Y$2762)/1000000</f>
        <v/>
      </c>
      <c r="E32" s="115" t="n"/>
      <c r="F32" s="104" t="n"/>
    </row>
    <row r="33" ht="26" customHeight="1">
      <c r="A33" s="104" t="inlineStr">
        <is>
          <t>2028/29</t>
        </is>
      </c>
      <c r="B33" s="151">
        <f>SUM('19_Расчет_аналитики'!$Z$738:$AK$738)/1000000</f>
        <v/>
      </c>
      <c r="C33" s="151">
        <f>SUM('19_Расчет_аналитики'!$Z$1750:$AK$1750)/1000000</f>
        <v/>
      </c>
      <c r="D33" s="151">
        <f>SUM('19_Расчет_аналитики'!$Z$2762:$AK$2762)/1000000</f>
        <v/>
      </c>
      <c r="E33" s="115" t="n"/>
      <c r="F33" s="104" t="n"/>
    </row>
    <row r="34" ht="26" customHeight="1">
      <c r="A34" s="104" t="inlineStr">
        <is>
          <t>2029/30</t>
        </is>
      </c>
      <c r="B34" s="151">
        <f>SUM('19_Расчет_аналитики'!$AL$738:$AW$738)/1000000</f>
        <v/>
      </c>
      <c r="C34" s="151">
        <f>SUM('19_Расчет_аналитики'!$AL$1750:$AW$1750)/1000000</f>
        <v/>
      </c>
      <c r="D34" s="151">
        <f>SUM('19_Расчет_аналитики'!$AL$2762:$AW$2762)/1000000</f>
        <v/>
      </c>
      <c r="E34" s="115" t="n"/>
      <c r="F34" s="104" t="n"/>
    </row>
    <row r="35" ht="26" customHeight="1">
      <c r="A35" s="104" t="inlineStr">
        <is>
          <t>2030/31</t>
        </is>
      </c>
      <c r="B35" s="151">
        <f>SUM('19_Расчет_аналитики'!$AX$738:$BI$738)/1000000</f>
        <v/>
      </c>
      <c r="C35" s="151">
        <f>SUM('19_Расчет_аналитики'!$AX$1750:$BI$1750)/1000000</f>
        <v/>
      </c>
      <c r="D35" s="151">
        <f>SUM('19_Расчет_аналитики'!$AX$2762:$BI$2762)/1000000</f>
        <v/>
      </c>
      <c r="E35" s="115" t="n"/>
      <c r="F35" s="104" t="n"/>
    </row>
  </sheetData>
  <mergeCells count="3">
    <mergeCell ref="A3:F3"/>
    <mergeCell ref="A30:F30"/>
    <mergeCell ref="A1:F1"/>
  </mergeCell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03_Сценарии&amp;R&amp;P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BI28"/>
  <sheetViews>
    <sheetView showGridLines="0" zoomScale="82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24" customHeight="1">
      <c r="A1" s="1" t="inlineStr">
        <is>
          <t>Продажи франшиз, лиды и маркетинг</t>
        </is>
      </c>
    </row>
    <row r="2"/>
    <row r="3" ht="20" customHeight="1">
      <c r="A3" s="4" t="inlineStr">
        <is>
          <t>Контроль сезонных планов</t>
        </is>
      </c>
    </row>
    <row r="4">
      <c r="A4" s="6" t="inlineStr">
        <is>
          <t>Сезон</t>
        </is>
      </c>
      <c r="B4" s="6" t="inlineStr">
        <is>
          <t>Годовой план</t>
        </is>
      </c>
      <c r="C4" s="6" t="inlineStr">
        <is>
          <t>Сумма весов</t>
        </is>
      </c>
      <c r="D4" s="6" t="inlineStr">
        <is>
          <t>Расчёт продаж</t>
        </is>
      </c>
      <c r="E4" s="6" t="inlineStr">
        <is>
          <t>Отклонение</t>
        </is>
      </c>
    </row>
    <row r="5">
      <c r="A5" s="123" t="n">
        <v>1</v>
      </c>
      <c r="B5" s="124">
        <f>'01_Вводные'!B36</f>
        <v/>
      </c>
      <c r="C5" s="44">
        <f>'01_Вводные'!O36</f>
        <v/>
      </c>
      <c r="D5" s="117">
        <f>SUM(B15:M15)</f>
        <v/>
      </c>
      <c r="E5" s="117">
        <f>ROUND(D5-B5,8)</f>
        <v/>
      </c>
    </row>
    <row r="6">
      <c r="A6" s="123" t="n">
        <v>2</v>
      </c>
      <c r="B6" s="124">
        <f>'01_Вводные'!B37</f>
        <v/>
      </c>
      <c r="C6" s="44">
        <f>'01_Вводные'!O37</f>
        <v/>
      </c>
      <c r="D6" s="117">
        <f>SUM(N15:Y15)</f>
        <v/>
      </c>
      <c r="E6" s="117">
        <f>ROUND(D6-B6,8)</f>
        <v/>
      </c>
    </row>
    <row r="7">
      <c r="A7" s="123" t="n">
        <v>3</v>
      </c>
      <c r="B7" s="124">
        <f>'01_Вводные'!B38</f>
        <v/>
      </c>
      <c r="C7" s="44">
        <f>'01_Вводные'!O38</f>
        <v/>
      </c>
      <c r="D7" s="117">
        <f>SUM(Z15:AK15)</f>
        <v/>
      </c>
      <c r="E7" s="117">
        <f>ROUND(D7-B7,8)</f>
        <v/>
      </c>
    </row>
    <row r="8">
      <c r="A8" s="123" t="n">
        <v>4</v>
      </c>
      <c r="B8" s="124">
        <f>'01_Вводные'!B39</f>
        <v/>
      </c>
      <c r="C8" s="44">
        <f>'01_Вводные'!O39</f>
        <v/>
      </c>
      <c r="D8" s="117">
        <f>SUM(AL15:AW15)</f>
        <v/>
      </c>
      <c r="E8" s="117">
        <f>ROUND(D8-B8,8)</f>
        <v/>
      </c>
    </row>
    <row r="9">
      <c r="A9" s="123" t="n">
        <v>5</v>
      </c>
      <c r="B9" s="124">
        <f>'01_Вводные'!B40</f>
        <v/>
      </c>
      <c r="C9" s="44">
        <f>'01_Вводные'!O40</f>
        <v/>
      </c>
      <c r="D9" s="117">
        <f>SUM(AX15:BI15)</f>
        <v/>
      </c>
      <c r="E9" s="117">
        <f>ROUND(D9-B9,8)</f>
        <v/>
      </c>
    </row>
    <row r="10" ht="20" customHeight="1">
      <c r="A10" s="4" t="inlineStr">
        <is>
          <t>Помесячный план</t>
        </is>
      </c>
    </row>
    <row r="11">
      <c r="B11" s="94">
        <f>DATE(YEAR('01_Вводные'!$B$7),MONTH('01_Вводные'!$B$7)+0,1)</f>
        <v/>
      </c>
      <c r="C11" s="94">
        <f>DATE(YEAR('01_Вводные'!$B$7),MONTH('01_Вводные'!$B$7)+1,1)</f>
        <v/>
      </c>
      <c r="D11" s="94">
        <f>DATE(YEAR('01_Вводные'!$B$7),MONTH('01_Вводные'!$B$7)+2,1)</f>
        <v/>
      </c>
      <c r="E11" s="94">
        <f>DATE(YEAR('01_Вводные'!$B$7),MONTH('01_Вводные'!$B$7)+3,1)</f>
        <v/>
      </c>
      <c r="F11" s="94">
        <f>DATE(YEAR('01_Вводные'!$B$7),MONTH('01_Вводные'!$B$7)+4,1)</f>
        <v/>
      </c>
      <c r="G11" s="94">
        <f>DATE(YEAR('01_Вводные'!$B$7),MONTH('01_Вводные'!$B$7)+5,1)</f>
        <v/>
      </c>
      <c r="H11" s="94">
        <f>DATE(YEAR('01_Вводные'!$B$7),MONTH('01_Вводные'!$B$7)+6,1)</f>
        <v/>
      </c>
      <c r="I11" s="94">
        <f>DATE(YEAR('01_Вводные'!$B$7),MONTH('01_Вводные'!$B$7)+7,1)</f>
        <v/>
      </c>
      <c r="J11" s="94">
        <f>DATE(YEAR('01_Вводные'!$B$7),MONTH('01_Вводные'!$B$7)+8,1)</f>
        <v/>
      </c>
      <c r="K11" s="94">
        <f>DATE(YEAR('01_Вводные'!$B$7),MONTH('01_Вводные'!$B$7)+9,1)</f>
        <v/>
      </c>
      <c r="L11" s="94">
        <f>DATE(YEAR('01_Вводные'!$B$7),MONTH('01_Вводные'!$B$7)+10,1)</f>
        <v/>
      </c>
      <c r="M11" s="94">
        <f>DATE(YEAR('01_Вводные'!$B$7),MONTH('01_Вводные'!$B$7)+11,1)</f>
        <v/>
      </c>
      <c r="N11" s="94">
        <f>DATE(YEAR('01_Вводные'!$B$7),MONTH('01_Вводные'!$B$7)+12,1)</f>
        <v/>
      </c>
      <c r="O11" s="94">
        <f>DATE(YEAR('01_Вводные'!$B$7),MONTH('01_Вводные'!$B$7)+13,1)</f>
        <v/>
      </c>
      <c r="P11" s="94">
        <f>DATE(YEAR('01_Вводные'!$B$7),MONTH('01_Вводные'!$B$7)+14,1)</f>
        <v/>
      </c>
      <c r="Q11" s="94">
        <f>DATE(YEAR('01_Вводные'!$B$7),MONTH('01_Вводные'!$B$7)+15,1)</f>
        <v/>
      </c>
      <c r="R11" s="94">
        <f>DATE(YEAR('01_Вводные'!$B$7),MONTH('01_Вводные'!$B$7)+16,1)</f>
        <v/>
      </c>
      <c r="S11" s="94">
        <f>DATE(YEAR('01_Вводные'!$B$7),MONTH('01_Вводные'!$B$7)+17,1)</f>
        <v/>
      </c>
      <c r="T11" s="94">
        <f>DATE(YEAR('01_Вводные'!$B$7),MONTH('01_Вводные'!$B$7)+18,1)</f>
        <v/>
      </c>
      <c r="U11" s="94">
        <f>DATE(YEAR('01_Вводные'!$B$7),MONTH('01_Вводные'!$B$7)+19,1)</f>
        <v/>
      </c>
      <c r="V11" s="94">
        <f>DATE(YEAR('01_Вводные'!$B$7),MONTH('01_Вводные'!$B$7)+20,1)</f>
        <v/>
      </c>
      <c r="W11" s="94">
        <f>DATE(YEAR('01_Вводные'!$B$7),MONTH('01_Вводные'!$B$7)+21,1)</f>
        <v/>
      </c>
      <c r="X11" s="94">
        <f>DATE(YEAR('01_Вводные'!$B$7),MONTH('01_Вводные'!$B$7)+22,1)</f>
        <v/>
      </c>
      <c r="Y11" s="94">
        <f>DATE(YEAR('01_Вводные'!$B$7),MONTH('01_Вводные'!$B$7)+23,1)</f>
        <v/>
      </c>
      <c r="Z11" s="94">
        <f>DATE(YEAR('01_Вводные'!$B$7),MONTH('01_Вводные'!$B$7)+24,1)</f>
        <v/>
      </c>
      <c r="AA11" s="94">
        <f>DATE(YEAR('01_Вводные'!$B$7),MONTH('01_Вводные'!$B$7)+25,1)</f>
        <v/>
      </c>
      <c r="AB11" s="94">
        <f>DATE(YEAR('01_Вводные'!$B$7),MONTH('01_Вводные'!$B$7)+26,1)</f>
        <v/>
      </c>
      <c r="AC11" s="94">
        <f>DATE(YEAR('01_Вводные'!$B$7),MONTH('01_Вводные'!$B$7)+27,1)</f>
        <v/>
      </c>
      <c r="AD11" s="94">
        <f>DATE(YEAR('01_Вводные'!$B$7),MONTH('01_Вводные'!$B$7)+28,1)</f>
        <v/>
      </c>
      <c r="AE11" s="94">
        <f>DATE(YEAR('01_Вводные'!$B$7),MONTH('01_Вводные'!$B$7)+29,1)</f>
        <v/>
      </c>
      <c r="AF11" s="94">
        <f>DATE(YEAR('01_Вводные'!$B$7),MONTH('01_Вводные'!$B$7)+30,1)</f>
        <v/>
      </c>
      <c r="AG11" s="94">
        <f>DATE(YEAR('01_Вводные'!$B$7),MONTH('01_Вводные'!$B$7)+31,1)</f>
        <v/>
      </c>
      <c r="AH11" s="94">
        <f>DATE(YEAR('01_Вводные'!$B$7),MONTH('01_Вводные'!$B$7)+32,1)</f>
        <v/>
      </c>
      <c r="AI11" s="94">
        <f>DATE(YEAR('01_Вводные'!$B$7),MONTH('01_Вводные'!$B$7)+33,1)</f>
        <v/>
      </c>
      <c r="AJ11" s="94">
        <f>DATE(YEAR('01_Вводные'!$B$7),MONTH('01_Вводные'!$B$7)+34,1)</f>
        <v/>
      </c>
      <c r="AK11" s="94">
        <f>DATE(YEAR('01_Вводные'!$B$7),MONTH('01_Вводные'!$B$7)+35,1)</f>
        <v/>
      </c>
      <c r="AL11" s="94">
        <f>DATE(YEAR('01_Вводные'!$B$7),MONTH('01_Вводные'!$B$7)+36,1)</f>
        <v/>
      </c>
      <c r="AM11" s="94">
        <f>DATE(YEAR('01_Вводные'!$B$7),MONTH('01_Вводные'!$B$7)+37,1)</f>
        <v/>
      </c>
      <c r="AN11" s="94">
        <f>DATE(YEAR('01_Вводные'!$B$7),MONTH('01_Вводные'!$B$7)+38,1)</f>
        <v/>
      </c>
      <c r="AO11" s="94">
        <f>DATE(YEAR('01_Вводные'!$B$7),MONTH('01_Вводные'!$B$7)+39,1)</f>
        <v/>
      </c>
      <c r="AP11" s="94">
        <f>DATE(YEAR('01_Вводные'!$B$7),MONTH('01_Вводные'!$B$7)+40,1)</f>
        <v/>
      </c>
      <c r="AQ11" s="94">
        <f>DATE(YEAR('01_Вводные'!$B$7),MONTH('01_Вводные'!$B$7)+41,1)</f>
        <v/>
      </c>
      <c r="AR11" s="94">
        <f>DATE(YEAR('01_Вводные'!$B$7),MONTH('01_Вводные'!$B$7)+42,1)</f>
        <v/>
      </c>
      <c r="AS11" s="94">
        <f>DATE(YEAR('01_Вводные'!$B$7),MONTH('01_Вводные'!$B$7)+43,1)</f>
        <v/>
      </c>
      <c r="AT11" s="94">
        <f>DATE(YEAR('01_Вводные'!$B$7),MONTH('01_Вводные'!$B$7)+44,1)</f>
        <v/>
      </c>
      <c r="AU11" s="94">
        <f>DATE(YEAR('01_Вводные'!$B$7),MONTH('01_Вводные'!$B$7)+45,1)</f>
        <v/>
      </c>
      <c r="AV11" s="94">
        <f>DATE(YEAR('01_Вводные'!$B$7),MONTH('01_Вводные'!$B$7)+46,1)</f>
        <v/>
      </c>
      <c r="AW11" s="94">
        <f>DATE(YEAR('01_Вводные'!$B$7),MONTH('01_Вводные'!$B$7)+47,1)</f>
        <v/>
      </c>
      <c r="AX11" s="94">
        <f>DATE(YEAR('01_Вводные'!$B$7),MONTH('01_Вводные'!$B$7)+48,1)</f>
        <v/>
      </c>
      <c r="AY11" s="94">
        <f>DATE(YEAR('01_Вводные'!$B$7),MONTH('01_Вводные'!$B$7)+49,1)</f>
        <v/>
      </c>
      <c r="AZ11" s="94">
        <f>DATE(YEAR('01_Вводные'!$B$7),MONTH('01_Вводные'!$B$7)+50,1)</f>
        <v/>
      </c>
      <c r="BA11" s="94">
        <f>DATE(YEAR('01_Вводные'!$B$7),MONTH('01_Вводные'!$B$7)+51,1)</f>
        <v/>
      </c>
      <c r="BB11" s="94">
        <f>DATE(YEAR('01_Вводные'!$B$7),MONTH('01_Вводные'!$B$7)+52,1)</f>
        <v/>
      </c>
      <c r="BC11" s="94">
        <f>DATE(YEAR('01_Вводные'!$B$7),MONTH('01_Вводные'!$B$7)+53,1)</f>
        <v/>
      </c>
      <c r="BD11" s="94">
        <f>DATE(YEAR('01_Вводные'!$B$7),MONTH('01_Вводные'!$B$7)+54,1)</f>
        <v/>
      </c>
      <c r="BE11" s="94">
        <f>DATE(YEAR('01_Вводные'!$B$7),MONTH('01_Вводные'!$B$7)+55,1)</f>
        <v/>
      </c>
      <c r="BF11" s="94">
        <f>DATE(YEAR('01_Вводные'!$B$7),MONTH('01_Вводные'!$B$7)+56,1)</f>
        <v/>
      </c>
      <c r="BG11" s="94">
        <f>DATE(YEAR('01_Вводные'!$B$7),MONTH('01_Вводные'!$B$7)+57,1)</f>
        <v/>
      </c>
      <c r="BH11" s="94">
        <f>DATE(YEAR('01_Вводные'!$B$7),MONTH('01_Вводные'!$B$7)+58,1)</f>
        <v/>
      </c>
      <c r="BI11" s="94">
        <f>DATE(YEAR('01_Вводные'!$B$7),MONTH('01_Вводные'!$B$7)+59,1)</f>
        <v/>
      </c>
    </row>
    <row r="12">
      <c r="A12" s="2" t="inlineStr">
        <is>
          <t>Сезон</t>
        </is>
      </c>
      <c r="B12" s="117">
        <f>INT((0)/12)+1</f>
        <v/>
      </c>
      <c r="C12" s="117">
        <f>INT((1)/12)+1</f>
        <v/>
      </c>
      <c r="D12" s="117">
        <f>INT((2)/12)+1</f>
        <v/>
      </c>
      <c r="E12" s="117">
        <f>INT((3)/12)+1</f>
        <v/>
      </c>
      <c r="F12" s="117">
        <f>INT((4)/12)+1</f>
        <v/>
      </c>
      <c r="G12" s="117">
        <f>INT((5)/12)+1</f>
        <v/>
      </c>
      <c r="H12" s="117">
        <f>INT((6)/12)+1</f>
        <v/>
      </c>
      <c r="I12" s="117">
        <f>INT((7)/12)+1</f>
        <v/>
      </c>
      <c r="J12" s="117">
        <f>INT((8)/12)+1</f>
        <v/>
      </c>
      <c r="K12" s="117">
        <f>INT((9)/12)+1</f>
        <v/>
      </c>
      <c r="L12" s="117">
        <f>INT((10)/12)+1</f>
        <v/>
      </c>
      <c r="M12" s="117">
        <f>INT((11)/12)+1</f>
        <v/>
      </c>
      <c r="N12" s="117">
        <f>INT((12)/12)+1</f>
        <v/>
      </c>
      <c r="O12" s="117">
        <f>INT((13)/12)+1</f>
        <v/>
      </c>
      <c r="P12" s="117">
        <f>INT((14)/12)+1</f>
        <v/>
      </c>
      <c r="Q12" s="117">
        <f>INT((15)/12)+1</f>
        <v/>
      </c>
      <c r="R12" s="117">
        <f>INT((16)/12)+1</f>
        <v/>
      </c>
      <c r="S12" s="117">
        <f>INT((17)/12)+1</f>
        <v/>
      </c>
      <c r="T12" s="117">
        <f>INT((18)/12)+1</f>
        <v/>
      </c>
      <c r="U12" s="117">
        <f>INT((19)/12)+1</f>
        <v/>
      </c>
      <c r="V12" s="117">
        <f>INT((20)/12)+1</f>
        <v/>
      </c>
      <c r="W12" s="117">
        <f>INT((21)/12)+1</f>
        <v/>
      </c>
      <c r="X12" s="117">
        <f>INT((22)/12)+1</f>
        <v/>
      </c>
      <c r="Y12" s="117">
        <f>INT((23)/12)+1</f>
        <v/>
      </c>
      <c r="Z12" s="117">
        <f>INT((24)/12)+1</f>
        <v/>
      </c>
      <c r="AA12" s="117">
        <f>INT((25)/12)+1</f>
        <v/>
      </c>
      <c r="AB12" s="117">
        <f>INT((26)/12)+1</f>
        <v/>
      </c>
      <c r="AC12" s="117">
        <f>INT((27)/12)+1</f>
        <v/>
      </c>
      <c r="AD12" s="117">
        <f>INT((28)/12)+1</f>
        <v/>
      </c>
      <c r="AE12" s="117">
        <f>INT((29)/12)+1</f>
        <v/>
      </c>
      <c r="AF12" s="117">
        <f>INT((30)/12)+1</f>
        <v/>
      </c>
      <c r="AG12" s="117">
        <f>INT((31)/12)+1</f>
        <v/>
      </c>
      <c r="AH12" s="117">
        <f>INT((32)/12)+1</f>
        <v/>
      </c>
      <c r="AI12" s="117">
        <f>INT((33)/12)+1</f>
        <v/>
      </c>
      <c r="AJ12" s="117">
        <f>INT((34)/12)+1</f>
        <v/>
      </c>
      <c r="AK12" s="117">
        <f>INT((35)/12)+1</f>
        <v/>
      </c>
      <c r="AL12" s="117">
        <f>INT((36)/12)+1</f>
        <v/>
      </c>
      <c r="AM12" s="117">
        <f>INT((37)/12)+1</f>
        <v/>
      </c>
      <c r="AN12" s="117">
        <f>INT((38)/12)+1</f>
        <v/>
      </c>
      <c r="AO12" s="117">
        <f>INT((39)/12)+1</f>
        <v/>
      </c>
      <c r="AP12" s="117">
        <f>INT((40)/12)+1</f>
        <v/>
      </c>
      <c r="AQ12" s="117">
        <f>INT((41)/12)+1</f>
        <v/>
      </c>
      <c r="AR12" s="117">
        <f>INT((42)/12)+1</f>
        <v/>
      </c>
      <c r="AS12" s="117">
        <f>INT((43)/12)+1</f>
        <v/>
      </c>
      <c r="AT12" s="117">
        <f>INT((44)/12)+1</f>
        <v/>
      </c>
      <c r="AU12" s="117">
        <f>INT((45)/12)+1</f>
        <v/>
      </c>
      <c r="AV12" s="117">
        <f>INT((46)/12)+1</f>
        <v/>
      </c>
      <c r="AW12" s="117">
        <f>INT((47)/12)+1</f>
        <v/>
      </c>
      <c r="AX12" s="117">
        <f>INT((48)/12)+1</f>
        <v/>
      </c>
      <c r="AY12" s="117">
        <f>INT((49)/12)+1</f>
        <v/>
      </c>
      <c r="AZ12" s="117">
        <f>INT((50)/12)+1</f>
        <v/>
      </c>
      <c r="BA12" s="117">
        <f>INT((51)/12)+1</f>
        <v/>
      </c>
      <c r="BB12" s="117">
        <f>INT((52)/12)+1</f>
        <v/>
      </c>
      <c r="BC12" s="117">
        <f>INT((53)/12)+1</f>
        <v/>
      </c>
      <c r="BD12" s="117">
        <f>INT((54)/12)+1</f>
        <v/>
      </c>
      <c r="BE12" s="117">
        <f>INT((55)/12)+1</f>
        <v/>
      </c>
      <c r="BF12" s="117">
        <f>INT((56)/12)+1</f>
        <v/>
      </c>
      <c r="BG12" s="117">
        <f>INT((57)/12)+1</f>
        <v/>
      </c>
      <c r="BH12" s="117">
        <f>INT((58)/12)+1</f>
        <v/>
      </c>
      <c r="BI12" s="117">
        <f>INT((59)/12)+1</f>
        <v/>
      </c>
    </row>
    <row r="13">
      <c r="A13" s="2" t="inlineStr">
        <is>
          <t>Месяц сезона</t>
        </is>
      </c>
      <c r="B13" s="125" t="n">
        <v>1</v>
      </c>
      <c r="C13" s="125" t="n">
        <v>2</v>
      </c>
      <c r="D13" s="125" t="n">
        <v>3</v>
      </c>
      <c r="E13" s="125" t="n">
        <v>4</v>
      </c>
      <c r="F13" s="125" t="n">
        <v>5</v>
      </c>
      <c r="G13" s="125" t="n">
        <v>6</v>
      </c>
      <c r="H13" s="125" t="n">
        <v>7</v>
      </c>
      <c r="I13" s="125" t="n">
        <v>8</v>
      </c>
      <c r="J13" s="125" t="n">
        <v>9</v>
      </c>
      <c r="K13" s="125" t="n">
        <v>10</v>
      </c>
      <c r="L13" s="125" t="n">
        <v>11</v>
      </c>
      <c r="M13" s="125" t="n">
        <v>12</v>
      </c>
      <c r="N13" s="125" t="n">
        <v>1</v>
      </c>
      <c r="O13" s="125" t="n">
        <v>2</v>
      </c>
      <c r="P13" s="125" t="n">
        <v>3</v>
      </c>
      <c r="Q13" s="125" t="n">
        <v>4</v>
      </c>
      <c r="R13" s="125" t="n">
        <v>5</v>
      </c>
      <c r="S13" s="125" t="n">
        <v>6</v>
      </c>
      <c r="T13" s="125" t="n">
        <v>7</v>
      </c>
      <c r="U13" s="125" t="n">
        <v>8</v>
      </c>
      <c r="V13" s="125" t="n">
        <v>9</v>
      </c>
      <c r="W13" s="125" t="n">
        <v>10</v>
      </c>
      <c r="X13" s="125" t="n">
        <v>11</v>
      </c>
      <c r="Y13" s="125" t="n">
        <v>12</v>
      </c>
      <c r="Z13" s="125" t="n">
        <v>1</v>
      </c>
      <c r="AA13" s="125" t="n">
        <v>2</v>
      </c>
      <c r="AB13" s="125" t="n">
        <v>3</v>
      </c>
      <c r="AC13" s="125" t="n">
        <v>4</v>
      </c>
      <c r="AD13" s="125" t="n">
        <v>5</v>
      </c>
      <c r="AE13" s="125" t="n">
        <v>6</v>
      </c>
      <c r="AF13" s="125" t="n">
        <v>7</v>
      </c>
      <c r="AG13" s="125" t="n">
        <v>8</v>
      </c>
      <c r="AH13" s="125" t="n">
        <v>9</v>
      </c>
      <c r="AI13" s="125" t="n">
        <v>10</v>
      </c>
      <c r="AJ13" s="125" t="n">
        <v>11</v>
      </c>
      <c r="AK13" s="125" t="n">
        <v>12</v>
      </c>
      <c r="AL13" s="125" t="n">
        <v>1</v>
      </c>
      <c r="AM13" s="125" t="n">
        <v>2</v>
      </c>
      <c r="AN13" s="125" t="n">
        <v>3</v>
      </c>
      <c r="AO13" s="125" t="n">
        <v>4</v>
      </c>
      <c r="AP13" s="125" t="n">
        <v>5</v>
      </c>
      <c r="AQ13" s="125" t="n">
        <v>6</v>
      </c>
      <c r="AR13" s="125" t="n">
        <v>7</v>
      </c>
      <c r="AS13" s="125" t="n">
        <v>8</v>
      </c>
      <c r="AT13" s="125" t="n">
        <v>9</v>
      </c>
      <c r="AU13" s="125" t="n">
        <v>10</v>
      </c>
      <c r="AV13" s="125" t="n">
        <v>11</v>
      </c>
      <c r="AW13" s="125" t="n">
        <v>12</v>
      </c>
      <c r="AX13" s="125" t="n">
        <v>1</v>
      </c>
      <c r="AY13" s="125" t="n">
        <v>2</v>
      </c>
      <c r="AZ13" s="125" t="n">
        <v>3</v>
      </c>
      <c r="BA13" s="125" t="n">
        <v>4</v>
      </c>
      <c r="BB13" s="125" t="n">
        <v>5</v>
      </c>
      <c r="BC13" s="125" t="n">
        <v>6</v>
      </c>
      <c r="BD13" s="125" t="n">
        <v>7</v>
      </c>
      <c r="BE13" s="125" t="n">
        <v>8</v>
      </c>
      <c r="BF13" s="125" t="n">
        <v>9</v>
      </c>
      <c r="BG13" s="125" t="n">
        <v>10</v>
      </c>
      <c r="BH13" s="125" t="n">
        <v>11</v>
      </c>
      <c r="BI13" s="125" t="n">
        <v>12</v>
      </c>
    </row>
    <row r="14"/>
    <row r="15">
      <c r="A15" s="2" t="inlineStr">
        <is>
          <t>Продажи франшиз — финансовый план</t>
        </is>
      </c>
      <c r="B15" s="77">
        <f>0</f>
        <v/>
      </c>
      <c r="C15" s="95">
        <f>'01_Вводные'!$B$36*INDEX('01_Вводные'!$C$36:$N$36,1,MOD(MONTH(C$11)-9,12)+1)/(SUM('01_Вводные'!$C$36:$N$36)-INDEX('01_Вводные'!$C$36:$N$36,1,MOD(MONTH('01_Вводные'!$B$7)-9,12)+1))</f>
        <v/>
      </c>
      <c r="D15" s="95">
        <f>'01_Вводные'!$B$36*INDEX('01_Вводные'!$C$36:$N$36,1,MOD(MONTH(D$11)-9,12)+1)/(SUM('01_Вводные'!$C$36:$N$36)-INDEX('01_Вводные'!$C$36:$N$36,1,MOD(MONTH('01_Вводные'!$B$7)-9,12)+1))</f>
        <v/>
      </c>
      <c r="E15" s="95">
        <f>'01_Вводные'!$B$36*INDEX('01_Вводные'!$C$36:$N$36,1,MOD(MONTH(E$11)-9,12)+1)/(SUM('01_Вводные'!$C$36:$N$36)-INDEX('01_Вводные'!$C$36:$N$36,1,MOD(MONTH('01_Вводные'!$B$7)-9,12)+1))</f>
        <v/>
      </c>
      <c r="F15" s="95">
        <f>'01_Вводные'!$B$36*INDEX('01_Вводные'!$C$36:$N$36,1,MOD(MONTH(F$11)-9,12)+1)/(SUM('01_Вводные'!$C$36:$N$36)-INDEX('01_Вводные'!$C$36:$N$36,1,MOD(MONTH('01_Вводные'!$B$7)-9,12)+1))</f>
        <v/>
      </c>
      <c r="G15" s="95">
        <f>'01_Вводные'!$B$36*INDEX('01_Вводные'!$C$36:$N$36,1,MOD(MONTH(G$11)-9,12)+1)/(SUM('01_Вводные'!$C$36:$N$36)-INDEX('01_Вводные'!$C$36:$N$36,1,MOD(MONTH('01_Вводные'!$B$7)-9,12)+1))</f>
        <v/>
      </c>
      <c r="H15" s="95">
        <f>'01_Вводные'!$B$36*INDEX('01_Вводные'!$C$36:$N$36,1,MOD(MONTH(H$11)-9,12)+1)/(SUM('01_Вводные'!$C$36:$N$36)-INDEX('01_Вводные'!$C$36:$N$36,1,MOD(MONTH('01_Вводные'!$B$7)-9,12)+1))</f>
        <v/>
      </c>
      <c r="I15" s="95">
        <f>'01_Вводные'!$B$36*INDEX('01_Вводные'!$C$36:$N$36,1,MOD(MONTH(I$11)-9,12)+1)/(SUM('01_Вводные'!$C$36:$N$36)-INDEX('01_Вводные'!$C$36:$N$36,1,MOD(MONTH('01_Вводные'!$B$7)-9,12)+1))</f>
        <v/>
      </c>
      <c r="J15" s="95">
        <f>'01_Вводные'!$B$36*INDEX('01_Вводные'!$C$36:$N$36,1,MOD(MONTH(J$11)-9,12)+1)/(SUM('01_Вводные'!$C$36:$N$36)-INDEX('01_Вводные'!$C$36:$N$36,1,MOD(MONTH('01_Вводные'!$B$7)-9,12)+1))</f>
        <v/>
      </c>
      <c r="K15" s="95">
        <f>'01_Вводные'!$B$36*INDEX('01_Вводные'!$C$36:$N$36,1,MOD(MONTH(K$11)-9,12)+1)/(SUM('01_Вводные'!$C$36:$N$36)-INDEX('01_Вводные'!$C$36:$N$36,1,MOD(MONTH('01_Вводные'!$B$7)-9,12)+1))</f>
        <v/>
      </c>
      <c r="L15" s="95">
        <f>'01_Вводные'!$B$36*INDEX('01_Вводные'!$C$36:$N$36,1,MOD(MONTH(L$11)-9,12)+1)/(SUM('01_Вводные'!$C$36:$N$36)-INDEX('01_Вводные'!$C$36:$N$36,1,MOD(MONTH('01_Вводные'!$B$7)-9,12)+1))</f>
        <v/>
      </c>
      <c r="M15" s="95">
        <f>'01_Вводные'!$B$36*INDEX('01_Вводные'!$C$36:$N$36,1,MOD(MONTH(M$11)-9,12)+1)/(SUM('01_Вводные'!$C$36:$N$36)-INDEX('01_Вводные'!$C$36:$N$36,1,MOD(MONTH('01_Вводные'!$B$7)-9,12)+1))</f>
        <v/>
      </c>
      <c r="N15" s="95">
        <f>'01_Вводные'!$B$37*INDEX('01_Вводные'!$C$37:$N$37,1,MOD(MONTH(N$11)-9,12)+1)/SUM('01_Вводные'!$C$37:$N$37)</f>
        <v/>
      </c>
      <c r="O15" s="95">
        <f>'01_Вводные'!$B$37*INDEX('01_Вводные'!$C$37:$N$37,1,MOD(MONTH(O$11)-9,12)+1)/SUM('01_Вводные'!$C$37:$N$37)</f>
        <v/>
      </c>
      <c r="P15" s="95">
        <f>'01_Вводные'!$B$37*INDEX('01_Вводные'!$C$37:$N$37,1,MOD(MONTH(P$11)-9,12)+1)/SUM('01_Вводные'!$C$37:$N$37)</f>
        <v/>
      </c>
      <c r="Q15" s="95">
        <f>'01_Вводные'!$B$37*INDEX('01_Вводные'!$C$37:$N$37,1,MOD(MONTH(Q$11)-9,12)+1)/SUM('01_Вводные'!$C$37:$N$37)</f>
        <v/>
      </c>
      <c r="R15" s="95">
        <f>'01_Вводные'!$B$37*INDEX('01_Вводные'!$C$37:$N$37,1,MOD(MONTH(R$11)-9,12)+1)/SUM('01_Вводные'!$C$37:$N$37)</f>
        <v/>
      </c>
      <c r="S15" s="95">
        <f>'01_Вводные'!$B$37*INDEX('01_Вводные'!$C$37:$N$37,1,MOD(MONTH(S$11)-9,12)+1)/SUM('01_Вводные'!$C$37:$N$37)</f>
        <v/>
      </c>
      <c r="T15" s="95">
        <f>'01_Вводные'!$B$37*INDEX('01_Вводные'!$C$37:$N$37,1,MOD(MONTH(T$11)-9,12)+1)/SUM('01_Вводные'!$C$37:$N$37)</f>
        <v/>
      </c>
      <c r="U15" s="95">
        <f>'01_Вводные'!$B$37*INDEX('01_Вводные'!$C$37:$N$37,1,MOD(MONTH(U$11)-9,12)+1)/SUM('01_Вводные'!$C$37:$N$37)</f>
        <v/>
      </c>
      <c r="V15" s="95">
        <f>'01_Вводные'!$B$37*INDEX('01_Вводные'!$C$37:$N$37,1,MOD(MONTH(V$11)-9,12)+1)/SUM('01_Вводные'!$C$37:$N$37)</f>
        <v/>
      </c>
      <c r="W15" s="95">
        <f>'01_Вводные'!$B$37*INDEX('01_Вводные'!$C$37:$N$37,1,MOD(MONTH(W$11)-9,12)+1)/SUM('01_Вводные'!$C$37:$N$37)</f>
        <v/>
      </c>
      <c r="X15" s="95">
        <f>'01_Вводные'!$B$37*INDEX('01_Вводные'!$C$37:$N$37,1,MOD(MONTH(X$11)-9,12)+1)/SUM('01_Вводные'!$C$37:$N$37)</f>
        <v/>
      </c>
      <c r="Y15" s="95">
        <f>'01_Вводные'!$B$37*INDEX('01_Вводные'!$C$37:$N$37,1,MOD(MONTH(Y$11)-9,12)+1)/SUM('01_Вводные'!$C$37:$N$37)</f>
        <v/>
      </c>
      <c r="Z15" s="95">
        <f>'01_Вводные'!$B$38*INDEX('01_Вводные'!$C$38:$N$38,1,MOD(MONTH(Z$11)-9,12)+1)/SUM('01_Вводные'!$C$38:$N$38)</f>
        <v/>
      </c>
      <c r="AA15" s="95">
        <f>'01_Вводные'!$B$38*INDEX('01_Вводные'!$C$38:$N$38,1,MOD(MONTH(AA$11)-9,12)+1)/SUM('01_Вводные'!$C$38:$N$38)</f>
        <v/>
      </c>
      <c r="AB15" s="95">
        <f>'01_Вводные'!$B$38*INDEX('01_Вводные'!$C$38:$N$38,1,MOD(MONTH(AB$11)-9,12)+1)/SUM('01_Вводные'!$C$38:$N$38)</f>
        <v/>
      </c>
      <c r="AC15" s="95">
        <f>'01_Вводные'!$B$38*INDEX('01_Вводные'!$C$38:$N$38,1,MOD(MONTH(AC$11)-9,12)+1)/SUM('01_Вводные'!$C$38:$N$38)</f>
        <v/>
      </c>
      <c r="AD15" s="95">
        <f>'01_Вводные'!$B$38*INDEX('01_Вводные'!$C$38:$N$38,1,MOD(MONTH(AD$11)-9,12)+1)/SUM('01_Вводные'!$C$38:$N$38)</f>
        <v/>
      </c>
      <c r="AE15" s="95">
        <f>'01_Вводные'!$B$38*INDEX('01_Вводные'!$C$38:$N$38,1,MOD(MONTH(AE$11)-9,12)+1)/SUM('01_Вводные'!$C$38:$N$38)</f>
        <v/>
      </c>
      <c r="AF15" s="95">
        <f>'01_Вводные'!$B$38*INDEX('01_Вводные'!$C$38:$N$38,1,MOD(MONTH(AF$11)-9,12)+1)/SUM('01_Вводные'!$C$38:$N$38)</f>
        <v/>
      </c>
      <c r="AG15" s="95">
        <f>'01_Вводные'!$B$38*INDEX('01_Вводные'!$C$38:$N$38,1,MOD(MONTH(AG$11)-9,12)+1)/SUM('01_Вводные'!$C$38:$N$38)</f>
        <v/>
      </c>
      <c r="AH15" s="95">
        <f>'01_Вводные'!$B$38*INDEX('01_Вводные'!$C$38:$N$38,1,MOD(MONTH(AH$11)-9,12)+1)/SUM('01_Вводные'!$C$38:$N$38)</f>
        <v/>
      </c>
      <c r="AI15" s="95">
        <f>'01_Вводные'!$B$38*INDEX('01_Вводные'!$C$38:$N$38,1,MOD(MONTH(AI$11)-9,12)+1)/SUM('01_Вводные'!$C$38:$N$38)</f>
        <v/>
      </c>
      <c r="AJ15" s="95">
        <f>'01_Вводные'!$B$38*INDEX('01_Вводные'!$C$38:$N$38,1,MOD(MONTH(AJ$11)-9,12)+1)/SUM('01_Вводные'!$C$38:$N$38)</f>
        <v/>
      </c>
      <c r="AK15" s="95">
        <f>'01_Вводные'!$B$38*INDEX('01_Вводные'!$C$38:$N$38,1,MOD(MONTH(AK$11)-9,12)+1)/SUM('01_Вводные'!$C$38:$N$38)</f>
        <v/>
      </c>
      <c r="AL15" s="95">
        <f>'01_Вводные'!$B$39*INDEX('01_Вводные'!$C$39:$N$39,1,MOD(MONTH(AL$11)-9,12)+1)/SUM('01_Вводные'!$C$39:$N$39)</f>
        <v/>
      </c>
      <c r="AM15" s="95">
        <f>'01_Вводные'!$B$39*INDEX('01_Вводные'!$C$39:$N$39,1,MOD(MONTH(AM$11)-9,12)+1)/SUM('01_Вводные'!$C$39:$N$39)</f>
        <v/>
      </c>
      <c r="AN15" s="95">
        <f>'01_Вводные'!$B$39*INDEX('01_Вводные'!$C$39:$N$39,1,MOD(MONTH(AN$11)-9,12)+1)/SUM('01_Вводные'!$C$39:$N$39)</f>
        <v/>
      </c>
      <c r="AO15" s="95">
        <f>'01_Вводные'!$B$39*INDEX('01_Вводные'!$C$39:$N$39,1,MOD(MONTH(AO$11)-9,12)+1)/SUM('01_Вводные'!$C$39:$N$39)</f>
        <v/>
      </c>
      <c r="AP15" s="95">
        <f>'01_Вводные'!$B$39*INDEX('01_Вводные'!$C$39:$N$39,1,MOD(MONTH(AP$11)-9,12)+1)/SUM('01_Вводные'!$C$39:$N$39)</f>
        <v/>
      </c>
      <c r="AQ15" s="95">
        <f>'01_Вводные'!$B$39*INDEX('01_Вводные'!$C$39:$N$39,1,MOD(MONTH(AQ$11)-9,12)+1)/SUM('01_Вводные'!$C$39:$N$39)</f>
        <v/>
      </c>
      <c r="AR15" s="95">
        <f>'01_Вводные'!$B$39*INDEX('01_Вводные'!$C$39:$N$39,1,MOD(MONTH(AR$11)-9,12)+1)/SUM('01_Вводные'!$C$39:$N$39)</f>
        <v/>
      </c>
      <c r="AS15" s="95">
        <f>'01_Вводные'!$B$39*INDEX('01_Вводные'!$C$39:$N$39,1,MOD(MONTH(AS$11)-9,12)+1)/SUM('01_Вводные'!$C$39:$N$39)</f>
        <v/>
      </c>
      <c r="AT15" s="95">
        <f>'01_Вводные'!$B$39*INDEX('01_Вводные'!$C$39:$N$39,1,MOD(MONTH(AT$11)-9,12)+1)/SUM('01_Вводные'!$C$39:$N$39)</f>
        <v/>
      </c>
      <c r="AU15" s="95">
        <f>'01_Вводные'!$B$39*INDEX('01_Вводные'!$C$39:$N$39,1,MOD(MONTH(AU$11)-9,12)+1)/SUM('01_Вводные'!$C$39:$N$39)</f>
        <v/>
      </c>
      <c r="AV15" s="95">
        <f>'01_Вводные'!$B$39*INDEX('01_Вводные'!$C$39:$N$39,1,MOD(MONTH(AV$11)-9,12)+1)/SUM('01_Вводные'!$C$39:$N$39)</f>
        <v/>
      </c>
      <c r="AW15" s="95">
        <f>'01_Вводные'!$B$39*INDEX('01_Вводные'!$C$39:$N$39,1,MOD(MONTH(AW$11)-9,12)+1)/SUM('01_Вводные'!$C$39:$N$39)</f>
        <v/>
      </c>
      <c r="AX15" s="95">
        <f>'01_Вводные'!$B$40*INDEX('01_Вводные'!$C$40:$N$40,1,MOD(MONTH(AX$11)-9,12)+1)/SUM('01_Вводные'!$C$40:$N$40)</f>
        <v/>
      </c>
      <c r="AY15" s="95">
        <f>'01_Вводные'!$B$40*INDEX('01_Вводные'!$C$40:$N$40,1,MOD(MONTH(AY$11)-9,12)+1)/SUM('01_Вводные'!$C$40:$N$40)</f>
        <v/>
      </c>
      <c r="AZ15" s="95">
        <f>'01_Вводные'!$B$40*INDEX('01_Вводные'!$C$40:$N$40,1,MOD(MONTH(AZ$11)-9,12)+1)/SUM('01_Вводные'!$C$40:$N$40)</f>
        <v/>
      </c>
      <c r="BA15" s="95">
        <f>'01_Вводные'!$B$40*INDEX('01_Вводные'!$C$40:$N$40,1,MOD(MONTH(BA$11)-9,12)+1)/SUM('01_Вводные'!$C$40:$N$40)</f>
        <v/>
      </c>
      <c r="BB15" s="95">
        <f>'01_Вводные'!$B$40*INDEX('01_Вводные'!$C$40:$N$40,1,MOD(MONTH(BB$11)-9,12)+1)/SUM('01_Вводные'!$C$40:$N$40)</f>
        <v/>
      </c>
      <c r="BC15" s="95">
        <f>'01_Вводные'!$B$40*INDEX('01_Вводные'!$C$40:$N$40,1,MOD(MONTH(BC$11)-9,12)+1)/SUM('01_Вводные'!$C$40:$N$40)</f>
        <v/>
      </c>
      <c r="BD15" s="95">
        <f>'01_Вводные'!$B$40*INDEX('01_Вводные'!$C$40:$N$40,1,MOD(MONTH(BD$11)-9,12)+1)/SUM('01_Вводные'!$C$40:$N$40)</f>
        <v/>
      </c>
      <c r="BE15" s="95">
        <f>'01_Вводные'!$B$40*INDEX('01_Вводные'!$C$40:$N$40,1,MOD(MONTH(BE$11)-9,12)+1)/SUM('01_Вводные'!$C$40:$N$40)</f>
        <v/>
      </c>
      <c r="BF15" s="95">
        <f>'01_Вводные'!$B$40*INDEX('01_Вводные'!$C$40:$N$40,1,MOD(MONTH(BF$11)-9,12)+1)/SUM('01_Вводные'!$C$40:$N$40)</f>
        <v/>
      </c>
      <c r="BG15" s="95">
        <f>'01_Вводные'!$B$40*INDEX('01_Вводные'!$C$40:$N$40,1,MOD(MONTH(BG$11)-9,12)+1)/SUM('01_Вводные'!$C$40:$N$40)</f>
        <v/>
      </c>
      <c r="BH15" s="95">
        <f>'01_Вводные'!$B$40*INDEX('01_Вводные'!$C$40:$N$40,1,MOD(MONTH(BH$11)-9,12)+1)/SUM('01_Вводные'!$C$40:$N$40)</f>
        <v/>
      </c>
      <c r="BI15" s="95">
        <f>'01_Вводные'!$B$40*INDEX('01_Вводные'!$C$40:$N$40,1,MOD(MONTH(BI$11)-9,12)+1)/SUM('01_Вводные'!$C$40:$N$40)</f>
        <v/>
      </c>
    </row>
    <row r="16">
      <c r="A16" s="2" t="inlineStr">
        <is>
          <t>Операционный ориентир, целые</t>
        </is>
      </c>
      <c r="B16" s="77">
        <f>ROUND(B15,0)</f>
        <v/>
      </c>
      <c r="C16" s="77">
        <f>ROUND(SUM($B15:C15),0)-ROUND(SUM($B15:B15),0)</f>
        <v/>
      </c>
      <c r="D16" s="77">
        <f>ROUND(SUM($B15:D15),0)-ROUND(SUM($B15:C15),0)</f>
        <v/>
      </c>
      <c r="E16" s="77">
        <f>ROUND(SUM($B15:E15),0)-ROUND(SUM($B15:D15),0)</f>
        <v/>
      </c>
      <c r="F16" s="77">
        <f>ROUND(SUM($B15:F15),0)-ROUND(SUM($B15:E15),0)</f>
        <v/>
      </c>
      <c r="G16" s="77">
        <f>ROUND(SUM($B15:G15),0)-ROUND(SUM($B15:F15),0)</f>
        <v/>
      </c>
      <c r="H16" s="77">
        <f>ROUND(SUM($B15:H15),0)-ROUND(SUM($B15:G15),0)</f>
        <v/>
      </c>
      <c r="I16" s="77">
        <f>ROUND(SUM($B15:I15),0)-ROUND(SUM($B15:H15),0)</f>
        <v/>
      </c>
      <c r="J16" s="77">
        <f>ROUND(SUM($B15:J15),0)-ROUND(SUM($B15:I15),0)</f>
        <v/>
      </c>
      <c r="K16" s="77">
        <f>ROUND(SUM($B15:K15),0)-ROUND(SUM($B15:J15),0)</f>
        <v/>
      </c>
      <c r="L16" s="77">
        <f>ROUND(SUM($B15:L15),0)-ROUND(SUM($B15:K15),0)</f>
        <v/>
      </c>
      <c r="M16" s="77">
        <f>ROUND(SUM($B15:M15),0)-ROUND(SUM($B15:L15),0)</f>
        <v/>
      </c>
      <c r="N16" s="77">
        <f>ROUND(N15,0)</f>
        <v/>
      </c>
      <c r="O16" s="77">
        <f>ROUND(SUM($N15:O15),0)-ROUND(SUM($N15:N15),0)</f>
        <v/>
      </c>
      <c r="P16" s="77">
        <f>ROUND(SUM($N15:P15),0)-ROUND(SUM($N15:O15),0)</f>
        <v/>
      </c>
      <c r="Q16" s="77">
        <f>ROUND(SUM($N15:Q15),0)-ROUND(SUM($N15:P15),0)</f>
        <v/>
      </c>
      <c r="R16" s="77">
        <f>ROUND(SUM($N15:R15),0)-ROUND(SUM($N15:Q15),0)</f>
        <v/>
      </c>
      <c r="S16" s="77">
        <f>ROUND(SUM($N15:S15),0)-ROUND(SUM($N15:R15),0)</f>
        <v/>
      </c>
      <c r="T16" s="77">
        <f>ROUND(SUM($N15:T15),0)-ROUND(SUM($N15:S15),0)</f>
        <v/>
      </c>
      <c r="U16" s="77">
        <f>ROUND(SUM($N15:U15),0)-ROUND(SUM($N15:T15),0)</f>
        <v/>
      </c>
      <c r="V16" s="77">
        <f>ROUND(SUM($N15:V15),0)-ROUND(SUM($N15:U15),0)</f>
        <v/>
      </c>
      <c r="W16" s="77">
        <f>ROUND(SUM($N15:W15),0)-ROUND(SUM($N15:V15),0)</f>
        <v/>
      </c>
      <c r="X16" s="77">
        <f>ROUND(SUM($N15:X15),0)-ROUND(SUM($N15:W15),0)</f>
        <v/>
      </c>
      <c r="Y16" s="77">
        <f>ROUND(SUM($N15:Y15),0)-ROUND(SUM($N15:X15),0)</f>
        <v/>
      </c>
      <c r="Z16" s="77">
        <f>ROUND(Z15,0)</f>
        <v/>
      </c>
      <c r="AA16" s="77">
        <f>ROUND(SUM($Z15:AA15),0)-ROUND(SUM($Z15:Z15),0)</f>
        <v/>
      </c>
      <c r="AB16" s="77">
        <f>ROUND(SUM($Z15:AB15),0)-ROUND(SUM($Z15:AA15),0)</f>
        <v/>
      </c>
      <c r="AC16" s="77">
        <f>ROUND(SUM($Z15:AC15),0)-ROUND(SUM($Z15:AB15),0)</f>
        <v/>
      </c>
      <c r="AD16" s="77">
        <f>ROUND(SUM($Z15:AD15),0)-ROUND(SUM($Z15:AC15),0)</f>
        <v/>
      </c>
      <c r="AE16" s="77">
        <f>ROUND(SUM($Z15:AE15),0)-ROUND(SUM($Z15:AD15),0)</f>
        <v/>
      </c>
      <c r="AF16" s="77">
        <f>ROUND(SUM($Z15:AF15),0)-ROUND(SUM($Z15:AE15),0)</f>
        <v/>
      </c>
      <c r="AG16" s="77">
        <f>ROUND(SUM($Z15:AG15),0)-ROUND(SUM($Z15:AF15),0)</f>
        <v/>
      </c>
      <c r="AH16" s="77">
        <f>ROUND(SUM($Z15:AH15),0)-ROUND(SUM($Z15:AG15),0)</f>
        <v/>
      </c>
      <c r="AI16" s="77">
        <f>ROUND(SUM($Z15:AI15),0)-ROUND(SUM($Z15:AH15),0)</f>
        <v/>
      </c>
      <c r="AJ16" s="77">
        <f>ROUND(SUM($Z15:AJ15),0)-ROUND(SUM($Z15:AI15),0)</f>
        <v/>
      </c>
      <c r="AK16" s="77">
        <f>ROUND(SUM($Z15:AK15),0)-ROUND(SUM($Z15:AJ15),0)</f>
        <v/>
      </c>
      <c r="AL16" s="77">
        <f>ROUND(AL15,0)</f>
        <v/>
      </c>
      <c r="AM16" s="77">
        <f>ROUND(SUM($AL15:AM15),0)-ROUND(SUM($AL15:AL15),0)</f>
        <v/>
      </c>
      <c r="AN16" s="77">
        <f>ROUND(SUM($AL15:AN15),0)-ROUND(SUM($AL15:AM15),0)</f>
        <v/>
      </c>
      <c r="AO16" s="77">
        <f>ROUND(SUM($AL15:AO15),0)-ROUND(SUM($AL15:AN15),0)</f>
        <v/>
      </c>
      <c r="AP16" s="77">
        <f>ROUND(SUM($AL15:AP15),0)-ROUND(SUM($AL15:AO15),0)</f>
        <v/>
      </c>
      <c r="AQ16" s="77">
        <f>ROUND(SUM($AL15:AQ15),0)-ROUND(SUM($AL15:AP15),0)</f>
        <v/>
      </c>
      <c r="AR16" s="77">
        <f>ROUND(SUM($AL15:AR15),0)-ROUND(SUM($AL15:AQ15),0)</f>
        <v/>
      </c>
      <c r="AS16" s="77">
        <f>ROUND(SUM($AL15:AS15),0)-ROUND(SUM($AL15:AR15),0)</f>
        <v/>
      </c>
      <c r="AT16" s="77">
        <f>ROUND(SUM($AL15:AT15),0)-ROUND(SUM($AL15:AS15),0)</f>
        <v/>
      </c>
      <c r="AU16" s="77">
        <f>ROUND(SUM($AL15:AU15),0)-ROUND(SUM($AL15:AT15),0)</f>
        <v/>
      </c>
      <c r="AV16" s="77">
        <f>ROUND(SUM($AL15:AV15),0)-ROUND(SUM($AL15:AU15),0)</f>
        <v/>
      </c>
      <c r="AW16" s="77">
        <f>ROUND(SUM($AL15:AW15),0)-ROUND(SUM($AL15:AV15),0)</f>
        <v/>
      </c>
      <c r="AX16" s="77">
        <f>ROUND(AX15,0)</f>
        <v/>
      </c>
      <c r="AY16" s="77">
        <f>ROUND(SUM($AX15:AY15),0)-ROUND(SUM($AX15:AX15),0)</f>
        <v/>
      </c>
      <c r="AZ16" s="77">
        <f>ROUND(SUM($AX15:AZ15),0)-ROUND(SUM($AX15:AY15),0)</f>
        <v/>
      </c>
      <c r="BA16" s="77">
        <f>ROUND(SUM($AX15:BA15),0)-ROUND(SUM($AX15:AZ15),0)</f>
        <v/>
      </c>
      <c r="BB16" s="77">
        <f>ROUND(SUM($AX15:BB15),0)-ROUND(SUM($AX15:BA15),0)</f>
        <v/>
      </c>
      <c r="BC16" s="77">
        <f>ROUND(SUM($AX15:BC15),0)-ROUND(SUM($AX15:BB15),0)</f>
        <v/>
      </c>
      <c r="BD16" s="77">
        <f>ROUND(SUM($AX15:BD15),0)-ROUND(SUM($AX15:BC15),0)</f>
        <v/>
      </c>
      <c r="BE16" s="77">
        <f>ROUND(SUM($AX15:BE15),0)-ROUND(SUM($AX15:BD15),0)</f>
        <v/>
      </c>
      <c r="BF16" s="77">
        <f>ROUND(SUM($AX15:BF15),0)-ROUND(SUM($AX15:BE15),0)</f>
        <v/>
      </c>
      <c r="BG16" s="77">
        <f>ROUND(SUM($AX15:BG15),0)-ROUND(SUM($AX15:BF15),0)</f>
        <v/>
      </c>
      <c r="BH16" s="77">
        <f>ROUND(SUM($AX15:BH15),0)-ROUND(SUM($AX15:BG15),0)</f>
        <v/>
      </c>
      <c r="BI16" s="77">
        <f>ROUND(SUM($AX15:BI15),0)-ROUND(SUM($AX15:BH15),0)</f>
        <v/>
      </c>
    </row>
    <row r="17">
      <c r="A17" s="2" t="inlineStr">
        <is>
          <t>Лиды</t>
        </is>
      </c>
      <c r="B17" s="164">
        <f>IF('01_Вводные'!$B$25&gt;0,ROUNDUP(ROUND(B15/'01_Вводные'!$B$25,10),0),0)</f>
        <v/>
      </c>
      <c r="C17" s="164">
        <f>IF('01_Вводные'!$B$25&gt;0,ROUNDUP(ROUND(C15/'01_Вводные'!$B$25,10),0),0)</f>
        <v/>
      </c>
      <c r="D17" s="164">
        <f>IF('01_Вводные'!$B$25&gt;0,ROUNDUP(ROUND(D15/'01_Вводные'!$B$25,10),0),0)</f>
        <v/>
      </c>
      <c r="E17" s="164">
        <f>IF('01_Вводные'!$B$25&gt;0,ROUNDUP(ROUND(E15/'01_Вводные'!$B$25,10),0),0)</f>
        <v/>
      </c>
      <c r="F17" s="164">
        <f>IF('01_Вводные'!$B$25&gt;0,ROUNDUP(ROUND(F15/'01_Вводные'!$B$25,10),0),0)</f>
        <v/>
      </c>
      <c r="G17" s="164">
        <f>IF('01_Вводные'!$B$25&gt;0,ROUNDUP(ROUND(G15/'01_Вводные'!$B$25,10),0),0)</f>
        <v/>
      </c>
      <c r="H17" s="164">
        <f>IF('01_Вводные'!$B$25&gt;0,ROUNDUP(ROUND(H15/'01_Вводные'!$B$25,10),0),0)</f>
        <v/>
      </c>
      <c r="I17" s="164">
        <f>IF('01_Вводные'!$B$25&gt;0,ROUNDUP(ROUND(I15/'01_Вводные'!$B$25,10),0),0)</f>
        <v/>
      </c>
      <c r="J17" s="164">
        <f>IF('01_Вводные'!$B$25&gt;0,ROUNDUP(ROUND(J15/'01_Вводные'!$B$25,10),0),0)</f>
        <v/>
      </c>
      <c r="K17" s="164">
        <f>IF('01_Вводные'!$B$25&gt;0,ROUNDUP(ROUND(K15/'01_Вводные'!$B$25,10),0),0)</f>
        <v/>
      </c>
      <c r="L17" s="164">
        <f>IF('01_Вводные'!$B$25&gt;0,ROUNDUP(ROUND(L15/'01_Вводные'!$B$25,10),0),0)</f>
        <v/>
      </c>
      <c r="M17" s="164">
        <f>IF('01_Вводные'!$B$25&gt;0,ROUNDUP(ROUND(M15/'01_Вводные'!$B$25,10),0),0)</f>
        <v/>
      </c>
      <c r="N17" s="164">
        <f>IF('01_Вводные'!$B$25&gt;0,ROUNDUP(ROUND(N15/'01_Вводные'!$B$25,10),0),0)</f>
        <v/>
      </c>
      <c r="O17" s="164">
        <f>IF('01_Вводные'!$B$25&gt;0,ROUNDUP(ROUND(O15/'01_Вводные'!$B$25,10),0),0)</f>
        <v/>
      </c>
      <c r="P17" s="164">
        <f>IF('01_Вводные'!$B$25&gt;0,ROUNDUP(ROUND(P15/'01_Вводные'!$B$25,10),0),0)</f>
        <v/>
      </c>
      <c r="Q17" s="164">
        <f>IF('01_Вводные'!$B$25&gt;0,ROUNDUP(ROUND(Q15/'01_Вводные'!$B$25,10),0),0)</f>
        <v/>
      </c>
      <c r="R17" s="164">
        <f>IF('01_Вводные'!$B$25&gt;0,ROUNDUP(ROUND(R15/'01_Вводные'!$B$25,10),0),0)</f>
        <v/>
      </c>
      <c r="S17" s="164">
        <f>IF('01_Вводные'!$B$25&gt;0,ROUNDUP(ROUND(S15/'01_Вводные'!$B$25,10),0),0)</f>
        <v/>
      </c>
      <c r="T17" s="164">
        <f>IF('01_Вводные'!$B$25&gt;0,ROUNDUP(ROUND(T15/'01_Вводные'!$B$25,10),0),0)</f>
        <v/>
      </c>
      <c r="U17" s="164">
        <f>IF('01_Вводные'!$B$25&gt;0,ROUNDUP(ROUND(U15/'01_Вводные'!$B$25,10),0),0)</f>
        <v/>
      </c>
      <c r="V17" s="164">
        <f>IF('01_Вводные'!$B$25&gt;0,ROUNDUP(ROUND(V15/'01_Вводные'!$B$25,10),0),0)</f>
        <v/>
      </c>
      <c r="W17" s="164">
        <f>IF('01_Вводные'!$B$25&gt;0,ROUNDUP(ROUND(W15/'01_Вводные'!$B$25,10),0),0)</f>
        <v/>
      </c>
      <c r="X17" s="164">
        <f>IF('01_Вводные'!$B$25&gt;0,ROUNDUP(ROUND(X15/'01_Вводные'!$B$25,10),0),0)</f>
        <v/>
      </c>
      <c r="Y17" s="164">
        <f>IF('01_Вводные'!$B$25&gt;0,ROUNDUP(ROUND(Y15/'01_Вводные'!$B$25,10),0),0)</f>
        <v/>
      </c>
      <c r="Z17" s="164">
        <f>IF('01_Вводные'!$B$25&gt;0,ROUNDUP(ROUND(Z15/'01_Вводные'!$B$25,10),0),0)</f>
        <v/>
      </c>
      <c r="AA17" s="164">
        <f>IF('01_Вводные'!$B$25&gt;0,ROUNDUP(ROUND(AA15/'01_Вводные'!$B$25,10),0),0)</f>
        <v/>
      </c>
      <c r="AB17" s="164">
        <f>IF('01_Вводные'!$B$25&gt;0,ROUNDUP(ROUND(AB15/'01_Вводные'!$B$25,10),0),0)</f>
        <v/>
      </c>
      <c r="AC17" s="164">
        <f>IF('01_Вводные'!$B$25&gt;0,ROUNDUP(ROUND(AC15/'01_Вводные'!$B$25,10),0),0)</f>
        <v/>
      </c>
      <c r="AD17" s="164">
        <f>IF('01_Вводные'!$B$25&gt;0,ROUNDUP(ROUND(AD15/'01_Вводные'!$B$25,10),0),0)</f>
        <v/>
      </c>
      <c r="AE17" s="164">
        <f>IF('01_Вводные'!$B$25&gt;0,ROUNDUP(ROUND(AE15/'01_Вводные'!$B$25,10),0),0)</f>
        <v/>
      </c>
      <c r="AF17" s="164">
        <f>IF('01_Вводные'!$B$25&gt;0,ROUNDUP(ROUND(AF15/'01_Вводные'!$B$25,10),0),0)</f>
        <v/>
      </c>
      <c r="AG17" s="164">
        <f>IF('01_Вводные'!$B$25&gt;0,ROUNDUP(ROUND(AG15/'01_Вводные'!$B$25,10),0),0)</f>
        <v/>
      </c>
      <c r="AH17" s="164">
        <f>IF('01_Вводные'!$B$25&gt;0,ROUNDUP(ROUND(AH15/'01_Вводные'!$B$25,10),0),0)</f>
        <v/>
      </c>
      <c r="AI17" s="164">
        <f>IF('01_Вводные'!$B$25&gt;0,ROUNDUP(ROUND(AI15/'01_Вводные'!$B$25,10),0),0)</f>
        <v/>
      </c>
      <c r="AJ17" s="164">
        <f>IF('01_Вводные'!$B$25&gt;0,ROUNDUP(ROUND(AJ15/'01_Вводные'!$B$25,10),0),0)</f>
        <v/>
      </c>
      <c r="AK17" s="164">
        <f>IF('01_Вводные'!$B$25&gt;0,ROUNDUP(ROUND(AK15/'01_Вводные'!$B$25,10),0),0)</f>
        <v/>
      </c>
      <c r="AL17" s="164">
        <f>IF('01_Вводные'!$B$25&gt;0,ROUNDUP(ROUND(AL15/'01_Вводные'!$B$25,10),0),0)</f>
        <v/>
      </c>
      <c r="AM17" s="164">
        <f>IF('01_Вводные'!$B$25&gt;0,ROUNDUP(ROUND(AM15/'01_Вводные'!$B$25,10),0),0)</f>
        <v/>
      </c>
      <c r="AN17" s="164">
        <f>IF('01_Вводные'!$B$25&gt;0,ROUNDUP(ROUND(AN15/'01_Вводные'!$B$25,10),0),0)</f>
        <v/>
      </c>
      <c r="AO17" s="164">
        <f>IF('01_Вводные'!$B$25&gt;0,ROUNDUP(ROUND(AO15/'01_Вводные'!$B$25,10),0),0)</f>
        <v/>
      </c>
      <c r="AP17" s="164">
        <f>IF('01_Вводные'!$B$25&gt;0,ROUNDUP(ROUND(AP15/'01_Вводные'!$B$25,10),0),0)</f>
        <v/>
      </c>
      <c r="AQ17" s="164">
        <f>IF('01_Вводные'!$B$25&gt;0,ROUNDUP(ROUND(AQ15/'01_Вводные'!$B$25,10),0),0)</f>
        <v/>
      </c>
      <c r="AR17" s="164">
        <f>IF('01_Вводные'!$B$25&gt;0,ROUNDUP(ROUND(AR15/'01_Вводные'!$B$25,10),0),0)</f>
        <v/>
      </c>
      <c r="AS17" s="164">
        <f>IF('01_Вводные'!$B$25&gt;0,ROUNDUP(ROUND(AS15/'01_Вводные'!$B$25,10),0),0)</f>
        <v/>
      </c>
      <c r="AT17" s="164">
        <f>IF('01_Вводные'!$B$25&gt;0,ROUNDUP(ROUND(AT15/'01_Вводные'!$B$25,10),0),0)</f>
        <v/>
      </c>
      <c r="AU17" s="164">
        <f>IF('01_Вводные'!$B$25&gt;0,ROUNDUP(ROUND(AU15/'01_Вводные'!$B$25,10),0),0)</f>
        <v/>
      </c>
      <c r="AV17" s="164">
        <f>IF('01_Вводные'!$B$25&gt;0,ROUNDUP(ROUND(AV15/'01_Вводные'!$B$25,10),0),0)</f>
        <v/>
      </c>
      <c r="AW17" s="164">
        <f>IF('01_Вводные'!$B$25&gt;0,ROUNDUP(ROUND(AW15/'01_Вводные'!$B$25,10),0),0)</f>
        <v/>
      </c>
      <c r="AX17" s="164">
        <f>IF('01_Вводные'!$B$25&gt;0,ROUNDUP(ROUND(AX15/'01_Вводные'!$B$25,10),0),0)</f>
        <v/>
      </c>
      <c r="AY17" s="164">
        <f>IF('01_Вводные'!$B$25&gt;0,ROUNDUP(ROUND(AY15/'01_Вводные'!$B$25,10),0),0)</f>
        <v/>
      </c>
      <c r="AZ17" s="164">
        <f>IF('01_Вводные'!$B$25&gt;0,ROUNDUP(ROUND(AZ15/'01_Вводные'!$B$25,10),0),0)</f>
        <v/>
      </c>
      <c r="BA17" s="164">
        <f>IF('01_Вводные'!$B$25&gt;0,ROUNDUP(ROUND(BA15/'01_Вводные'!$B$25,10),0),0)</f>
        <v/>
      </c>
      <c r="BB17" s="164">
        <f>IF('01_Вводные'!$B$25&gt;0,ROUNDUP(ROUND(BB15/'01_Вводные'!$B$25,10),0),0)</f>
        <v/>
      </c>
      <c r="BC17" s="164">
        <f>IF('01_Вводные'!$B$25&gt;0,ROUNDUP(ROUND(BC15/'01_Вводные'!$B$25,10),0),0)</f>
        <v/>
      </c>
      <c r="BD17" s="164">
        <f>IF('01_Вводные'!$B$25&gt;0,ROUNDUP(ROUND(BD15/'01_Вводные'!$B$25,10),0),0)</f>
        <v/>
      </c>
      <c r="BE17" s="164">
        <f>IF('01_Вводные'!$B$25&gt;0,ROUNDUP(ROUND(BE15/'01_Вводные'!$B$25,10),0),0)</f>
        <v/>
      </c>
      <c r="BF17" s="164">
        <f>IF('01_Вводные'!$B$25&gt;0,ROUNDUP(ROUND(BF15/'01_Вводные'!$B$25,10),0),0)</f>
        <v/>
      </c>
      <c r="BG17" s="164">
        <f>IF('01_Вводные'!$B$25&gt;0,ROUNDUP(ROUND(BG15/'01_Вводные'!$B$25,10),0),0)</f>
        <v/>
      </c>
      <c r="BH17" s="164">
        <f>IF('01_Вводные'!$B$25&gt;0,ROUNDUP(ROUND(BH15/'01_Вводные'!$B$25,10),0),0)</f>
        <v/>
      </c>
      <c r="BI17" s="164">
        <f>IF('01_Вводные'!$B$25&gt;0,ROUNDUP(ROUND(BI15/'01_Вводные'!$B$25,10),0),0)</f>
        <v/>
      </c>
    </row>
    <row r="18">
      <c r="A18" s="2" t="inlineStr">
        <is>
          <t>Открытия школ</t>
        </is>
      </c>
      <c r="B18" s="185">
        <f>IF(1&lt;='01_Вводные'!$B$15,0,INDEX($B$15:$BI$15,1,1-'01_Вводные'!$B$15))*'01_Вводные'!$B$298</f>
        <v/>
      </c>
      <c r="C18" s="185">
        <f>IF(2&lt;='01_Вводные'!$B$15,0,INDEX($B$15:$BI$15,1,2-'01_Вводные'!$B$15))*'01_Вводные'!$B$298</f>
        <v/>
      </c>
      <c r="D18" s="185">
        <f>IF(3&lt;='01_Вводные'!$B$15,0,INDEX($B$15:$BI$15,1,3-'01_Вводные'!$B$15))*'01_Вводные'!$B$298</f>
        <v/>
      </c>
      <c r="E18" s="185">
        <f>IF(4&lt;='01_Вводные'!$B$15,0,INDEX($B$15:$BI$15,1,4-'01_Вводные'!$B$15))*'01_Вводные'!$B$298</f>
        <v/>
      </c>
      <c r="F18" s="185">
        <f>IF(5&lt;='01_Вводные'!$B$15,0,INDEX($B$15:$BI$15,1,5-'01_Вводные'!$B$15))*'01_Вводные'!$B$298</f>
        <v/>
      </c>
      <c r="G18" s="185">
        <f>IF(6&lt;='01_Вводные'!$B$15,0,INDEX($B$15:$BI$15,1,6-'01_Вводные'!$B$15))*'01_Вводные'!$B$298</f>
        <v/>
      </c>
      <c r="H18" s="185">
        <f>IF(7&lt;='01_Вводные'!$B$15,0,INDEX($B$15:$BI$15,1,7-'01_Вводные'!$B$15))*'01_Вводные'!$B$298</f>
        <v/>
      </c>
      <c r="I18" s="185">
        <f>IF(8&lt;='01_Вводные'!$B$15,0,INDEX($B$15:$BI$15,1,8-'01_Вводные'!$B$15))*'01_Вводные'!$B$298</f>
        <v/>
      </c>
      <c r="J18" s="185">
        <f>IF(9&lt;='01_Вводные'!$B$15,0,INDEX($B$15:$BI$15,1,9-'01_Вводные'!$B$15))*'01_Вводные'!$B$298</f>
        <v/>
      </c>
      <c r="K18" s="185">
        <f>IF(10&lt;='01_Вводные'!$B$15,0,INDEX($B$15:$BI$15,1,10-'01_Вводные'!$B$15))*'01_Вводные'!$B$298</f>
        <v/>
      </c>
      <c r="L18" s="185">
        <f>IF(11&lt;='01_Вводные'!$B$15,0,INDEX($B$15:$BI$15,1,11-'01_Вводные'!$B$15))*'01_Вводные'!$B$298</f>
        <v/>
      </c>
      <c r="M18" s="185">
        <f>IF(12&lt;='01_Вводные'!$B$15,0,INDEX($B$15:$BI$15,1,12-'01_Вводные'!$B$15))*'01_Вводные'!$B$298</f>
        <v/>
      </c>
      <c r="N18" s="185">
        <f>IF(13&lt;='01_Вводные'!$B$15,0,INDEX($B$15:$BI$15,1,13-'01_Вводные'!$B$15))*'01_Вводные'!$B$298</f>
        <v/>
      </c>
      <c r="O18" s="185">
        <f>IF(14&lt;='01_Вводные'!$B$15,0,INDEX($B$15:$BI$15,1,14-'01_Вводные'!$B$15))*'01_Вводные'!$B$298</f>
        <v/>
      </c>
      <c r="P18" s="185">
        <f>IF(15&lt;='01_Вводные'!$B$15,0,INDEX($B$15:$BI$15,1,15-'01_Вводные'!$B$15))*'01_Вводные'!$B$298</f>
        <v/>
      </c>
      <c r="Q18" s="185">
        <f>IF(16&lt;='01_Вводные'!$B$15,0,INDEX($B$15:$BI$15,1,16-'01_Вводные'!$B$15))*'01_Вводные'!$B$298</f>
        <v/>
      </c>
      <c r="R18" s="185">
        <f>IF(17&lt;='01_Вводные'!$B$15,0,INDEX($B$15:$BI$15,1,17-'01_Вводные'!$B$15))*'01_Вводные'!$B$298</f>
        <v/>
      </c>
      <c r="S18" s="185">
        <f>IF(18&lt;='01_Вводные'!$B$15,0,INDEX($B$15:$BI$15,1,18-'01_Вводные'!$B$15))*'01_Вводные'!$B$298</f>
        <v/>
      </c>
      <c r="T18" s="185">
        <f>IF(19&lt;='01_Вводные'!$B$15,0,INDEX($B$15:$BI$15,1,19-'01_Вводные'!$B$15))*'01_Вводные'!$B$298</f>
        <v/>
      </c>
      <c r="U18" s="185">
        <f>IF(20&lt;='01_Вводные'!$B$15,0,INDEX($B$15:$BI$15,1,20-'01_Вводные'!$B$15))*'01_Вводные'!$B$298</f>
        <v/>
      </c>
      <c r="V18" s="185">
        <f>IF(21&lt;='01_Вводные'!$B$15,0,INDEX($B$15:$BI$15,1,21-'01_Вводные'!$B$15))*'01_Вводные'!$B$298</f>
        <v/>
      </c>
      <c r="W18" s="185">
        <f>IF(22&lt;='01_Вводные'!$B$15,0,INDEX($B$15:$BI$15,1,22-'01_Вводные'!$B$15))*'01_Вводные'!$B$298</f>
        <v/>
      </c>
      <c r="X18" s="185">
        <f>IF(23&lt;='01_Вводные'!$B$15,0,INDEX($B$15:$BI$15,1,23-'01_Вводные'!$B$15))*'01_Вводные'!$B$298</f>
        <v/>
      </c>
      <c r="Y18" s="185">
        <f>IF(24&lt;='01_Вводные'!$B$15,0,INDEX($B$15:$BI$15,1,24-'01_Вводные'!$B$15))*'01_Вводные'!$B$298</f>
        <v/>
      </c>
      <c r="Z18" s="185">
        <f>IF(25&lt;='01_Вводные'!$B$15,0,INDEX($B$15:$BI$15,1,25-'01_Вводные'!$B$15))*'01_Вводные'!$B$298</f>
        <v/>
      </c>
      <c r="AA18" s="185">
        <f>IF(26&lt;='01_Вводные'!$B$15,0,INDEX($B$15:$BI$15,1,26-'01_Вводные'!$B$15))*'01_Вводные'!$B$298</f>
        <v/>
      </c>
      <c r="AB18" s="185">
        <f>IF(27&lt;='01_Вводные'!$B$15,0,INDEX($B$15:$BI$15,1,27-'01_Вводные'!$B$15))*'01_Вводные'!$B$298</f>
        <v/>
      </c>
      <c r="AC18" s="185">
        <f>IF(28&lt;='01_Вводные'!$B$15,0,INDEX($B$15:$BI$15,1,28-'01_Вводные'!$B$15))*'01_Вводные'!$B$298</f>
        <v/>
      </c>
      <c r="AD18" s="185">
        <f>IF(29&lt;='01_Вводные'!$B$15,0,INDEX($B$15:$BI$15,1,29-'01_Вводные'!$B$15))*'01_Вводные'!$B$298</f>
        <v/>
      </c>
      <c r="AE18" s="185">
        <f>IF(30&lt;='01_Вводные'!$B$15,0,INDEX($B$15:$BI$15,1,30-'01_Вводные'!$B$15))*'01_Вводные'!$B$298</f>
        <v/>
      </c>
      <c r="AF18" s="185">
        <f>IF(31&lt;='01_Вводные'!$B$15,0,INDEX($B$15:$BI$15,1,31-'01_Вводные'!$B$15))*'01_Вводные'!$B$298</f>
        <v/>
      </c>
      <c r="AG18" s="185">
        <f>IF(32&lt;='01_Вводные'!$B$15,0,INDEX($B$15:$BI$15,1,32-'01_Вводные'!$B$15))*'01_Вводные'!$B$298</f>
        <v/>
      </c>
      <c r="AH18" s="185">
        <f>IF(33&lt;='01_Вводные'!$B$15,0,INDEX($B$15:$BI$15,1,33-'01_Вводные'!$B$15))*'01_Вводные'!$B$298</f>
        <v/>
      </c>
      <c r="AI18" s="185">
        <f>IF(34&lt;='01_Вводные'!$B$15,0,INDEX($B$15:$BI$15,1,34-'01_Вводные'!$B$15))*'01_Вводные'!$B$298</f>
        <v/>
      </c>
      <c r="AJ18" s="185">
        <f>IF(35&lt;='01_Вводные'!$B$15,0,INDEX($B$15:$BI$15,1,35-'01_Вводные'!$B$15))*'01_Вводные'!$B$298</f>
        <v/>
      </c>
      <c r="AK18" s="185">
        <f>IF(36&lt;='01_Вводные'!$B$15,0,INDEX($B$15:$BI$15,1,36-'01_Вводные'!$B$15))*'01_Вводные'!$B$298</f>
        <v/>
      </c>
      <c r="AL18" s="185">
        <f>IF(37&lt;='01_Вводные'!$B$15,0,INDEX($B$15:$BI$15,1,37-'01_Вводные'!$B$15))*'01_Вводные'!$B$298</f>
        <v/>
      </c>
      <c r="AM18" s="185">
        <f>IF(38&lt;='01_Вводные'!$B$15,0,INDEX($B$15:$BI$15,1,38-'01_Вводные'!$B$15))*'01_Вводные'!$B$298</f>
        <v/>
      </c>
      <c r="AN18" s="185">
        <f>IF(39&lt;='01_Вводные'!$B$15,0,INDEX($B$15:$BI$15,1,39-'01_Вводные'!$B$15))*'01_Вводные'!$B$298</f>
        <v/>
      </c>
      <c r="AO18" s="185">
        <f>IF(40&lt;='01_Вводные'!$B$15,0,INDEX($B$15:$BI$15,1,40-'01_Вводные'!$B$15))*'01_Вводные'!$B$298</f>
        <v/>
      </c>
      <c r="AP18" s="185">
        <f>IF(41&lt;='01_Вводные'!$B$15,0,INDEX($B$15:$BI$15,1,41-'01_Вводные'!$B$15))*'01_Вводные'!$B$298</f>
        <v/>
      </c>
      <c r="AQ18" s="185">
        <f>IF(42&lt;='01_Вводные'!$B$15,0,INDEX($B$15:$BI$15,1,42-'01_Вводные'!$B$15))*'01_Вводные'!$B$298</f>
        <v/>
      </c>
      <c r="AR18" s="185">
        <f>IF(43&lt;='01_Вводные'!$B$15,0,INDEX($B$15:$BI$15,1,43-'01_Вводные'!$B$15))*'01_Вводные'!$B$298</f>
        <v/>
      </c>
      <c r="AS18" s="185">
        <f>IF(44&lt;='01_Вводные'!$B$15,0,INDEX($B$15:$BI$15,1,44-'01_Вводные'!$B$15))*'01_Вводные'!$B$298</f>
        <v/>
      </c>
      <c r="AT18" s="185">
        <f>IF(45&lt;='01_Вводные'!$B$15,0,INDEX($B$15:$BI$15,1,45-'01_Вводные'!$B$15))*'01_Вводные'!$B$298</f>
        <v/>
      </c>
      <c r="AU18" s="185">
        <f>IF(46&lt;='01_Вводные'!$B$15,0,INDEX($B$15:$BI$15,1,46-'01_Вводные'!$B$15))*'01_Вводные'!$B$298</f>
        <v/>
      </c>
      <c r="AV18" s="185">
        <f>IF(47&lt;='01_Вводные'!$B$15,0,INDEX($B$15:$BI$15,1,47-'01_Вводные'!$B$15))*'01_Вводные'!$B$298</f>
        <v/>
      </c>
      <c r="AW18" s="185">
        <f>IF(48&lt;='01_Вводные'!$B$15,0,INDEX($B$15:$BI$15,1,48-'01_Вводные'!$B$15))*'01_Вводные'!$B$298</f>
        <v/>
      </c>
      <c r="AX18" s="185">
        <f>IF(49&lt;='01_Вводные'!$B$15,0,INDEX($B$15:$BI$15,1,49-'01_Вводные'!$B$15))*'01_Вводные'!$B$298</f>
        <v/>
      </c>
      <c r="AY18" s="185">
        <f>IF(50&lt;='01_Вводные'!$B$15,0,INDEX($B$15:$BI$15,1,50-'01_Вводные'!$B$15))*'01_Вводные'!$B$298</f>
        <v/>
      </c>
      <c r="AZ18" s="185">
        <f>IF(51&lt;='01_Вводные'!$B$15,0,INDEX($B$15:$BI$15,1,51-'01_Вводные'!$B$15))*'01_Вводные'!$B$298</f>
        <v/>
      </c>
      <c r="BA18" s="185">
        <f>IF(52&lt;='01_Вводные'!$B$15,0,INDEX($B$15:$BI$15,1,52-'01_Вводные'!$B$15))*'01_Вводные'!$B$298</f>
        <v/>
      </c>
      <c r="BB18" s="185">
        <f>IF(53&lt;='01_Вводные'!$B$15,0,INDEX($B$15:$BI$15,1,53-'01_Вводные'!$B$15))*'01_Вводные'!$B$298</f>
        <v/>
      </c>
      <c r="BC18" s="185">
        <f>IF(54&lt;='01_Вводные'!$B$15,0,INDEX($B$15:$BI$15,1,54-'01_Вводные'!$B$15))*'01_Вводные'!$B$298</f>
        <v/>
      </c>
      <c r="BD18" s="185">
        <f>IF(55&lt;='01_Вводные'!$B$15,0,INDEX($B$15:$BI$15,1,55-'01_Вводные'!$B$15))*'01_Вводные'!$B$298</f>
        <v/>
      </c>
      <c r="BE18" s="185">
        <f>IF(56&lt;='01_Вводные'!$B$15,0,INDEX($B$15:$BI$15,1,56-'01_Вводные'!$B$15))*'01_Вводные'!$B$298</f>
        <v/>
      </c>
      <c r="BF18" s="185">
        <f>IF(57&lt;='01_Вводные'!$B$15,0,INDEX($B$15:$BI$15,1,57-'01_Вводные'!$B$15))*'01_Вводные'!$B$298</f>
        <v/>
      </c>
      <c r="BG18" s="185">
        <f>IF(58&lt;='01_Вводные'!$B$15,0,INDEX($B$15:$BI$15,1,58-'01_Вводные'!$B$15))*'01_Вводные'!$B$298</f>
        <v/>
      </c>
      <c r="BH18" s="185">
        <f>IF(59&lt;='01_Вводные'!$B$15,0,INDEX($B$15:$BI$15,1,59-'01_Вводные'!$B$15))*'01_Вводные'!$B$298</f>
        <v/>
      </c>
      <c r="BI18" s="185">
        <f>IF(60&lt;='01_Вводные'!$B$15,0,INDEX($B$15:$BI$15,1,60-'01_Вводные'!$B$15))*'01_Вводные'!$B$298</f>
        <v/>
      </c>
    </row>
    <row r="19">
      <c r="A19" s="2" t="inlineStr">
        <is>
          <t>Новые юрлица</t>
        </is>
      </c>
      <c r="B19" s="42">
        <f>B15*'01_Вводные'!$B$16</f>
        <v/>
      </c>
      <c r="C19" s="42">
        <f>C15*'01_Вводные'!$B$16</f>
        <v/>
      </c>
      <c r="D19" s="42">
        <f>D15*'01_Вводные'!$B$16</f>
        <v/>
      </c>
      <c r="E19" s="42">
        <f>E15*'01_Вводные'!$B$16</f>
        <v/>
      </c>
      <c r="F19" s="42">
        <f>F15*'01_Вводные'!$B$16</f>
        <v/>
      </c>
      <c r="G19" s="42">
        <f>G15*'01_Вводные'!$B$16</f>
        <v/>
      </c>
      <c r="H19" s="42">
        <f>H15*'01_Вводные'!$B$16</f>
        <v/>
      </c>
      <c r="I19" s="42">
        <f>I15*'01_Вводные'!$B$16</f>
        <v/>
      </c>
      <c r="J19" s="42">
        <f>J15*'01_Вводные'!$B$16</f>
        <v/>
      </c>
      <c r="K19" s="42">
        <f>K15*'01_Вводные'!$B$16</f>
        <v/>
      </c>
      <c r="L19" s="42">
        <f>L15*'01_Вводные'!$B$16</f>
        <v/>
      </c>
      <c r="M19" s="42">
        <f>M15*'01_Вводные'!$B$16</f>
        <v/>
      </c>
      <c r="N19" s="42">
        <f>N15*'01_Вводные'!$B$16</f>
        <v/>
      </c>
      <c r="O19" s="42">
        <f>O15*'01_Вводные'!$B$16</f>
        <v/>
      </c>
      <c r="P19" s="42">
        <f>P15*'01_Вводные'!$B$16</f>
        <v/>
      </c>
      <c r="Q19" s="42">
        <f>Q15*'01_Вводные'!$B$16</f>
        <v/>
      </c>
      <c r="R19" s="42">
        <f>R15*'01_Вводные'!$B$16</f>
        <v/>
      </c>
      <c r="S19" s="42">
        <f>S15*'01_Вводные'!$B$16</f>
        <v/>
      </c>
      <c r="T19" s="42">
        <f>T15*'01_Вводные'!$B$16</f>
        <v/>
      </c>
      <c r="U19" s="42">
        <f>U15*'01_Вводные'!$B$16</f>
        <v/>
      </c>
      <c r="V19" s="42">
        <f>V15*'01_Вводные'!$B$16</f>
        <v/>
      </c>
      <c r="W19" s="42">
        <f>W15*'01_Вводные'!$B$16</f>
        <v/>
      </c>
      <c r="X19" s="42">
        <f>X15*'01_Вводные'!$B$16</f>
        <v/>
      </c>
      <c r="Y19" s="42">
        <f>Y15*'01_Вводные'!$B$16</f>
        <v/>
      </c>
      <c r="Z19" s="42">
        <f>Z15*'01_Вводные'!$B$16</f>
        <v/>
      </c>
      <c r="AA19" s="42">
        <f>AA15*'01_Вводные'!$B$16</f>
        <v/>
      </c>
      <c r="AB19" s="42">
        <f>AB15*'01_Вводные'!$B$16</f>
        <v/>
      </c>
      <c r="AC19" s="42">
        <f>AC15*'01_Вводные'!$B$16</f>
        <v/>
      </c>
      <c r="AD19" s="42">
        <f>AD15*'01_Вводные'!$B$16</f>
        <v/>
      </c>
      <c r="AE19" s="42">
        <f>AE15*'01_Вводные'!$B$16</f>
        <v/>
      </c>
      <c r="AF19" s="42">
        <f>AF15*'01_Вводные'!$B$16</f>
        <v/>
      </c>
      <c r="AG19" s="42">
        <f>AG15*'01_Вводные'!$B$16</f>
        <v/>
      </c>
      <c r="AH19" s="42">
        <f>AH15*'01_Вводные'!$B$16</f>
        <v/>
      </c>
      <c r="AI19" s="42">
        <f>AI15*'01_Вводные'!$B$16</f>
        <v/>
      </c>
      <c r="AJ19" s="42">
        <f>AJ15*'01_Вводные'!$B$16</f>
        <v/>
      </c>
      <c r="AK19" s="42">
        <f>AK15*'01_Вводные'!$B$16</f>
        <v/>
      </c>
      <c r="AL19" s="42">
        <f>AL15*'01_Вводные'!$B$16</f>
        <v/>
      </c>
      <c r="AM19" s="42">
        <f>AM15*'01_Вводные'!$B$16</f>
        <v/>
      </c>
      <c r="AN19" s="42">
        <f>AN15*'01_Вводные'!$B$16</f>
        <v/>
      </c>
      <c r="AO19" s="42">
        <f>AO15*'01_Вводные'!$B$16</f>
        <v/>
      </c>
      <c r="AP19" s="42">
        <f>AP15*'01_Вводные'!$B$16</f>
        <v/>
      </c>
      <c r="AQ19" s="42">
        <f>AQ15*'01_Вводные'!$B$16</f>
        <v/>
      </c>
      <c r="AR19" s="42">
        <f>AR15*'01_Вводные'!$B$16</f>
        <v/>
      </c>
      <c r="AS19" s="42">
        <f>AS15*'01_Вводные'!$B$16</f>
        <v/>
      </c>
      <c r="AT19" s="42">
        <f>AT15*'01_Вводные'!$B$16</f>
        <v/>
      </c>
      <c r="AU19" s="42">
        <f>AU15*'01_Вводные'!$B$16</f>
        <v/>
      </c>
      <c r="AV19" s="42">
        <f>AV15*'01_Вводные'!$B$16</f>
        <v/>
      </c>
      <c r="AW19" s="42">
        <f>AW15*'01_Вводные'!$B$16</f>
        <v/>
      </c>
      <c r="AX19" s="42">
        <f>AX15*'01_Вводные'!$B$16</f>
        <v/>
      </c>
      <c r="AY19" s="42">
        <f>AY15*'01_Вводные'!$B$16</f>
        <v/>
      </c>
      <c r="AZ19" s="42">
        <f>AZ15*'01_Вводные'!$B$16</f>
        <v/>
      </c>
      <c r="BA19" s="42">
        <f>BA15*'01_Вводные'!$B$16</f>
        <v/>
      </c>
      <c r="BB19" s="42">
        <f>BB15*'01_Вводные'!$B$16</f>
        <v/>
      </c>
      <c r="BC19" s="42">
        <f>BC15*'01_Вводные'!$B$16</f>
        <v/>
      </c>
      <c r="BD19" s="42">
        <f>BD15*'01_Вводные'!$B$16</f>
        <v/>
      </c>
      <c r="BE19" s="42">
        <f>BE15*'01_Вводные'!$B$16</f>
        <v/>
      </c>
      <c r="BF19" s="42">
        <f>BF15*'01_Вводные'!$B$16</f>
        <v/>
      </c>
      <c r="BG19" s="42">
        <f>BG15*'01_Вводные'!$B$16</f>
        <v/>
      </c>
      <c r="BH19" s="42">
        <f>BH15*'01_Вводные'!$B$16</f>
        <v/>
      </c>
      <c r="BI19" s="42">
        <f>BI15*'01_Вводные'!$B$16</f>
        <v/>
      </c>
    </row>
    <row r="20"/>
    <row r="21">
      <c r="A21" s="2" t="inlineStr">
        <is>
          <t>Таргет на будущие продажи</t>
        </is>
      </c>
      <c r="B21" s="185">
        <f>SUMIF($B$28:$BI$28,B$11,$B$15:$BI$15)*'18_Календарь_тарифы'!B11</f>
        <v/>
      </c>
      <c r="C21" s="185">
        <f>SUMIF($B$28:$BI$28,C$11,$B$15:$BI$15)*'18_Календарь_тарифы'!C11</f>
        <v/>
      </c>
      <c r="D21" s="185">
        <f>SUMIF($B$28:$BI$28,D$11,$B$15:$BI$15)*'18_Календарь_тарифы'!D11</f>
        <v/>
      </c>
      <c r="E21" s="185">
        <f>SUMIF($B$28:$BI$28,E$11,$B$15:$BI$15)*'18_Календарь_тарифы'!E11</f>
        <v/>
      </c>
      <c r="F21" s="185">
        <f>SUMIF($B$28:$BI$28,F$11,$B$15:$BI$15)*'18_Календарь_тарифы'!F11</f>
        <v/>
      </c>
      <c r="G21" s="185">
        <f>SUMIF($B$28:$BI$28,G$11,$B$15:$BI$15)*'18_Календарь_тарифы'!G11</f>
        <v/>
      </c>
      <c r="H21" s="185">
        <f>SUMIF($B$28:$BI$28,H$11,$B$15:$BI$15)*'18_Календарь_тарифы'!H11</f>
        <v/>
      </c>
      <c r="I21" s="185">
        <f>SUMIF($B$28:$BI$28,I$11,$B$15:$BI$15)*'18_Календарь_тарифы'!I11</f>
        <v/>
      </c>
      <c r="J21" s="185">
        <f>SUMIF($B$28:$BI$28,J$11,$B$15:$BI$15)*'18_Календарь_тарифы'!J11</f>
        <v/>
      </c>
      <c r="K21" s="185">
        <f>SUMIF($B$28:$BI$28,K$11,$B$15:$BI$15)*'18_Календарь_тарифы'!K11</f>
        <v/>
      </c>
      <c r="L21" s="185">
        <f>SUMIF($B$28:$BI$28,L$11,$B$15:$BI$15)*'18_Календарь_тарифы'!L11</f>
        <v/>
      </c>
      <c r="M21" s="185">
        <f>SUMIF($B$28:$BI$28,M$11,$B$15:$BI$15)*'18_Календарь_тарифы'!M11</f>
        <v/>
      </c>
      <c r="N21" s="185">
        <f>SUMIF($B$28:$BI$28,N$11,$B$15:$BI$15)*'18_Календарь_тарифы'!N11</f>
        <v/>
      </c>
      <c r="O21" s="185">
        <f>SUMIF($B$28:$BI$28,O$11,$B$15:$BI$15)*'18_Календарь_тарифы'!O11</f>
        <v/>
      </c>
      <c r="P21" s="185">
        <f>SUMIF($B$28:$BI$28,P$11,$B$15:$BI$15)*'18_Календарь_тарифы'!P11</f>
        <v/>
      </c>
      <c r="Q21" s="185">
        <f>SUMIF($B$28:$BI$28,Q$11,$B$15:$BI$15)*'18_Календарь_тарифы'!Q11</f>
        <v/>
      </c>
      <c r="R21" s="185">
        <f>SUMIF($B$28:$BI$28,R$11,$B$15:$BI$15)*'18_Календарь_тарифы'!R11</f>
        <v/>
      </c>
      <c r="S21" s="185">
        <f>SUMIF($B$28:$BI$28,S$11,$B$15:$BI$15)*'18_Календарь_тарифы'!S11</f>
        <v/>
      </c>
      <c r="T21" s="185">
        <f>SUMIF($B$28:$BI$28,T$11,$B$15:$BI$15)*'18_Календарь_тарифы'!T11</f>
        <v/>
      </c>
      <c r="U21" s="185">
        <f>SUMIF($B$28:$BI$28,U$11,$B$15:$BI$15)*'18_Календарь_тарифы'!U11</f>
        <v/>
      </c>
      <c r="V21" s="185">
        <f>SUMIF($B$28:$BI$28,V$11,$B$15:$BI$15)*'18_Календарь_тарифы'!V11</f>
        <v/>
      </c>
      <c r="W21" s="185">
        <f>SUMIF($B$28:$BI$28,W$11,$B$15:$BI$15)*'18_Календарь_тарифы'!W11</f>
        <v/>
      </c>
      <c r="X21" s="185">
        <f>SUMIF($B$28:$BI$28,X$11,$B$15:$BI$15)*'18_Календарь_тарифы'!X11</f>
        <v/>
      </c>
      <c r="Y21" s="185">
        <f>SUMIF($B$28:$BI$28,Y$11,$B$15:$BI$15)*'18_Календарь_тарифы'!Y11</f>
        <v/>
      </c>
      <c r="Z21" s="185">
        <f>SUMIF($B$28:$BI$28,Z$11,$B$15:$BI$15)*'18_Календарь_тарифы'!Z11</f>
        <v/>
      </c>
      <c r="AA21" s="185">
        <f>SUMIF($B$28:$BI$28,AA$11,$B$15:$BI$15)*'18_Календарь_тарифы'!AA11</f>
        <v/>
      </c>
      <c r="AB21" s="185">
        <f>SUMIF($B$28:$BI$28,AB$11,$B$15:$BI$15)*'18_Календарь_тарифы'!AB11</f>
        <v/>
      </c>
      <c r="AC21" s="185">
        <f>SUMIF($B$28:$BI$28,AC$11,$B$15:$BI$15)*'18_Календарь_тарифы'!AC11</f>
        <v/>
      </c>
      <c r="AD21" s="185">
        <f>SUMIF($B$28:$BI$28,AD$11,$B$15:$BI$15)*'18_Календарь_тарифы'!AD11</f>
        <v/>
      </c>
      <c r="AE21" s="185">
        <f>SUMIF($B$28:$BI$28,AE$11,$B$15:$BI$15)*'18_Календарь_тарифы'!AE11</f>
        <v/>
      </c>
      <c r="AF21" s="185">
        <f>SUMIF($B$28:$BI$28,AF$11,$B$15:$BI$15)*'18_Календарь_тарифы'!AF11</f>
        <v/>
      </c>
      <c r="AG21" s="185">
        <f>SUMIF($B$28:$BI$28,AG$11,$B$15:$BI$15)*'18_Календарь_тарифы'!AG11</f>
        <v/>
      </c>
      <c r="AH21" s="185">
        <f>SUMIF($B$28:$BI$28,AH$11,$B$15:$BI$15)*'18_Календарь_тарифы'!AH11</f>
        <v/>
      </c>
      <c r="AI21" s="185">
        <f>SUMIF($B$28:$BI$28,AI$11,$B$15:$BI$15)*'18_Календарь_тарифы'!AI11</f>
        <v/>
      </c>
      <c r="AJ21" s="185">
        <f>SUMIF($B$28:$BI$28,AJ$11,$B$15:$BI$15)*'18_Календарь_тарифы'!AJ11</f>
        <v/>
      </c>
      <c r="AK21" s="185">
        <f>SUMIF($B$28:$BI$28,AK$11,$B$15:$BI$15)*'18_Календарь_тарифы'!AK11</f>
        <v/>
      </c>
      <c r="AL21" s="185">
        <f>SUMIF($B$28:$BI$28,AL$11,$B$15:$BI$15)*'18_Календарь_тарифы'!AL11</f>
        <v/>
      </c>
      <c r="AM21" s="185">
        <f>SUMIF($B$28:$BI$28,AM$11,$B$15:$BI$15)*'18_Календарь_тарифы'!AM11</f>
        <v/>
      </c>
      <c r="AN21" s="185">
        <f>SUMIF($B$28:$BI$28,AN$11,$B$15:$BI$15)*'18_Календарь_тарифы'!AN11</f>
        <v/>
      </c>
      <c r="AO21" s="185">
        <f>SUMIF($B$28:$BI$28,AO$11,$B$15:$BI$15)*'18_Календарь_тарифы'!AO11</f>
        <v/>
      </c>
      <c r="AP21" s="185">
        <f>SUMIF($B$28:$BI$28,AP$11,$B$15:$BI$15)*'18_Календарь_тарифы'!AP11</f>
        <v/>
      </c>
      <c r="AQ21" s="185">
        <f>SUMIF($B$28:$BI$28,AQ$11,$B$15:$BI$15)*'18_Календарь_тарифы'!AQ11</f>
        <v/>
      </c>
      <c r="AR21" s="185">
        <f>SUMIF($B$28:$BI$28,AR$11,$B$15:$BI$15)*'18_Календарь_тарифы'!AR11</f>
        <v/>
      </c>
      <c r="AS21" s="185">
        <f>SUMIF($B$28:$BI$28,AS$11,$B$15:$BI$15)*'18_Календарь_тарифы'!AS11</f>
        <v/>
      </c>
      <c r="AT21" s="185">
        <f>SUMIF($B$28:$BI$28,AT$11,$B$15:$BI$15)*'18_Календарь_тарифы'!AT11</f>
        <v/>
      </c>
      <c r="AU21" s="185">
        <f>SUMIF($B$28:$BI$28,AU$11,$B$15:$BI$15)*'18_Календарь_тарифы'!AU11</f>
        <v/>
      </c>
      <c r="AV21" s="185">
        <f>SUMIF($B$28:$BI$28,AV$11,$B$15:$BI$15)*'18_Календарь_тарифы'!AV11</f>
        <v/>
      </c>
      <c r="AW21" s="185">
        <f>SUMIF($B$28:$BI$28,AW$11,$B$15:$BI$15)*'18_Календарь_тарифы'!AW11</f>
        <v/>
      </c>
      <c r="AX21" s="185">
        <f>SUMIF($B$28:$BI$28,AX$11,$B$15:$BI$15)*'18_Календарь_тарифы'!AX11</f>
        <v/>
      </c>
      <c r="AY21" s="185">
        <f>SUMIF($B$28:$BI$28,AY$11,$B$15:$BI$15)*'18_Календарь_тарифы'!AY11</f>
        <v/>
      </c>
      <c r="AZ21" s="185">
        <f>SUMIF($B$28:$BI$28,AZ$11,$B$15:$BI$15)*'18_Календарь_тарифы'!AZ11</f>
        <v/>
      </c>
      <c r="BA21" s="185">
        <f>SUMIF($B$28:$BI$28,BA$11,$B$15:$BI$15)*'18_Календарь_тарифы'!BA11</f>
        <v/>
      </c>
      <c r="BB21" s="185">
        <f>SUMIF($B$28:$BI$28,BB$11,$B$15:$BI$15)*'18_Календарь_тарифы'!BB11</f>
        <v/>
      </c>
      <c r="BC21" s="185">
        <f>SUMIF($B$28:$BI$28,BC$11,$B$15:$BI$15)*'18_Календарь_тарифы'!BC11</f>
        <v/>
      </c>
      <c r="BD21" s="185">
        <f>SUMIF($B$28:$BI$28,BD$11,$B$15:$BI$15)*'18_Календарь_тарифы'!BD11</f>
        <v/>
      </c>
      <c r="BE21" s="185">
        <f>SUMIF($B$28:$BI$28,BE$11,$B$15:$BI$15)*'18_Календарь_тарифы'!BE11</f>
        <v/>
      </c>
      <c r="BF21" s="185">
        <f>SUMIF($B$28:$BI$28,BF$11,$B$15:$BI$15)*'18_Календарь_тарифы'!BF11</f>
        <v/>
      </c>
      <c r="BG21" s="185">
        <f>SUMIF($B$28:$BI$28,BG$11,$B$15:$BI$15)*'18_Календарь_тарифы'!BG11</f>
        <v/>
      </c>
      <c r="BH21" s="185">
        <f>SUMIF($B$28:$BI$28,BH$11,$B$15:$BI$15)*'18_Календарь_тарифы'!BH11</f>
        <v/>
      </c>
      <c r="BI21" s="185">
        <f>SUMIF($B$28:$BI$28,BI$11,$B$15:$BI$15)*'18_Календарь_тарифы'!BI11</f>
        <v/>
      </c>
    </row>
    <row r="22">
      <c r="A22" s="2" t="inlineStr">
        <is>
          <t>БИБОСС / TopFranchise / Forbes</t>
        </is>
      </c>
      <c r="B22" s="185">
        <f>(IF(MONTH(B$11)='01_Вводные'!$B$29,'01_Вводные'!$B$28,0)+IF(MONTH(B$11)='01_Вводные'!$B$31,'01_Вводные'!$B$30,0)+IF(MONTH(B$11)='01_Вводные'!$B$33,'01_Вводные'!$B$32,0))*'18_Календарь_тарифы'!B4</f>
        <v/>
      </c>
      <c r="C22" s="185">
        <f>(IF(MONTH(C$11)='01_Вводные'!$B$29,'01_Вводные'!$B$28,0)+IF(MONTH(C$11)='01_Вводные'!$B$31,'01_Вводные'!$B$30,0)+IF(MONTH(C$11)='01_Вводные'!$B$33,'01_Вводные'!$B$32,0))*'18_Календарь_тарифы'!C4</f>
        <v/>
      </c>
      <c r="D22" s="185">
        <f>(IF(MONTH(D$11)='01_Вводные'!$B$29,'01_Вводные'!$B$28,0)+IF(MONTH(D$11)='01_Вводные'!$B$31,'01_Вводные'!$B$30,0)+IF(MONTH(D$11)='01_Вводные'!$B$33,'01_Вводные'!$B$32,0))*'18_Календарь_тарифы'!D4</f>
        <v/>
      </c>
      <c r="E22" s="185">
        <f>(IF(MONTH(E$11)='01_Вводные'!$B$29,'01_Вводные'!$B$28,0)+IF(MONTH(E$11)='01_Вводные'!$B$31,'01_Вводные'!$B$30,0)+IF(MONTH(E$11)='01_Вводные'!$B$33,'01_Вводные'!$B$32,0))*'18_Календарь_тарифы'!E4</f>
        <v/>
      </c>
      <c r="F22" s="185">
        <f>(IF(MONTH(F$11)='01_Вводные'!$B$29,'01_Вводные'!$B$28,0)+IF(MONTH(F$11)='01_Вводные'!$B$31,'01_Вводные'!$B$30,0)+IF(MONTH(F$11)='01_Вводные'!$B$33,'01_Вводные'!$B$32,0))*'18_Календарь_тарифы'!F4</f>
        <v/>
      </c>
      <c r="G22" s="185">
        <f>(IF(MONTH(G$11)='01_Вводные'!$B$29,'01_Вводные'!$B$28,0)+IF(MONTH(G$11)='01_Вводные'!$B$31,'01_Вводные'!$B$30,0)+IF(MONTH(G$11)='01_Вводные'!$B$33,'01_Вводные'!$B$32,0))*'18_Календарь_тарифы'!G4</f>
        <v/>
      </c>
      <c r="H22" s="185">
        <f>(IF(MONTH(H$11)='01_Вводные'!$B$29,'01_Вводные'!$B$28,0)+IF(MONTH(H$11)='01_Вводные'!$B$31,'01_Вводные'!$B$30,0)+IF(MONTH(H$11)='01_Вводные'!$B$33,'01_Вводные'!$B$32,0))*'18_Календарь_тарифы'!H4</f>
        <v/>
      </c>
      <c r="I22" s="185">
        <f>(IF(MONTH(I$11)='01_Вводные'!$B$29,'01_Вводные'!$B$28,0)+IF(MONTH(I$11)='01_Вводные'!$B$31,'01_Вводные'!$B$30,0)+IF(MONTH(I$11)='01_Вводные'!$B$33,'01_Вводные'!$B$32,0))*'18_Календарь_тарифы'!I4</f>
        <v/>
      </c>
      <c r="J22" s="185">
        <f>(IF(MONTH(J$11)='01_Вводные'!$B$29,'01_Вводные'!$B$28,0)+IF(MONTH(J$11)='01_Вводные'!$B$31,'01_Вводные'!$B$30,0)+IF(MONTH(J$11)='01_Вводные'!$B$33,'01_Вводные'!$B$32,0))*'18_Календарь_тарифы'!J4</f>
        <v/>
      </c>
      <c r="K22" s="185">
        <f>(IF(MONTH(K$11)='01_Вводные'!$B$29,'01_Вводные'!$B$28,0)+IF(MONTH(K$11)='01_Вводные'!$B$31,'01_Вводные'!$B$30,0)+IF(MONTH(K$11)='01_Вводные'!$B$33,'01_Вводные'!$B$32,0))*'18_Календарь_тарифы'!K4</f>
        <v/>
      </c>
      <c r="L22" s="185">
        <f>(IF(MONTH(L$11)='01_Вводные'!$B$29,'01_Вводные'!$B$28,0)+IF(MONTH(L$11)='01_Вводные'!$B$31,'01_Вводные'!$B$30,0)+IF(MONTH(L$11)='01_Вводные'!$B$33,'01_Вводные'!$B$32,0))*'18_Календарь_тарифы'!L4</f>
        <v/>
      </c>
      <c r="M22" s="185">
        <f>(IF(MONTH(M$11)='01_Вводные'!$B$29,'01_Вводные'!$B$28,0)+IF(MONTH(M$11)='01_Вводные'!$B$31,'01_Вводные'!$B$30,0)+IF(MONTH(M$11)='01_Вводные'!$B$33,'01_Вводные'!$B$32,0))*'18_Календарь_тарифы'!M4</f>
        <v/>
      </c>
      <c r="N22" s="185">
        <f>(IF(MONTH(N$11)='01_Вводные'!$B$29,'01_Вводные'!$B$28,0)+IF(MONTH(N$11)='01_Вводные'!$B$31,'01_Вводные'!$B$30,0)+IF(MONTH(N$11)='01_Вводные'!$B$33,'01_Вводные'!$B$32,0))*'18_Календарь_тарифы'!N4</f>
        <v/>
      </c>
      <c r="O22" s="185">
        <f>(IF(MONTH(O$11)='01_Вводные'!$B$29,'01_Вводные'!$B$28,0)+IF(MONTH(O$11)='01_Вводные'!$B$31,'01_Вводные'!$B$30,0)+IF(MONTH(O$11)='01_Вводные'!$B$33,'01_Вводные'!$B$32,0))*'18_Календарь_тарифы'!O4</f>
        <v/>
      </c>
      <c r="P22" s="185">
        <f>(IF(MONTH(P$11)='01_Вводные'!$B$29,'01_Вводные'!$B$28,0)+IF(MONTH(P$11)='01_Вводные'!$B$31,'01_Вводные'!$B$30,0)+IF(MONTH(P$11)='01_Вводные'!$B$33,'01_Вводные'!$B$32,0))*'18_Календарь_тарифы'!P4</f>
        <v/>
      </c>
      <c r="Q22" s="185">
        <f>(IF(MONTH(Q$11)='01_Вводные'!$B$29,'01_Вводные'!$B$28,0)+IF(MONTH(Q$11)='01_Вводные'!$B$31,'01_Вводные'!$B$30,0)+IF(MONTH(Q$11)='01_Вводные'!$B$33,'01_Вводные'!$B$32,0))*'18_Календарь_тарифы'!Q4</f>
        <v/>
      </c>
      <c r="R22" s="185">
        <f>(IF(MONTH(R$11)='01_Вводные'!$B$29,'01_Вводные'!$B$28,0)+IF(MONTH(R$11)='01_Вводные'!$B$31,'01_Вводные'!$B$30,0)+IF(MONTH(R$11)='01_Вводные'!$B$33,'01_Вводные'!$B$32,0))*'18_Календарь_тарифы'!R4</f>
        <v/>
      </c>
      <c r="S22" s="185">
        <f>(IF(MONTH(S$11)='01_Вводные'!$B$29,'01_Вводные'!$B$28,0)+IF(MONTH(S$11)='01_Вводные'!$B$31,'01_Вводные'!$B$30,0)+IF(MONTH(S$11)='01_Вводные'!$B$33,'01_Вводные'!$B$32,0))*'18_Календарь_тарифы'!S4</f>
        <v/>
      </c>
      <c r="T22" s="185">
        <f>(IF(MONTH(T$11)='01_Вводные'!$B$29,'01_Вводные'!$B$28,0)+IF(MONTH(T$11)='01_Вводные'!$B$31,'01_Вводные'!$B$30,0)+IF(MONTH(T$11)='01_Вводные'!$B$33,'01_Вводные'!$B$32,0))*'18_Календарь_тарифы'!T4</f>
        <v/>
      </c>
      <c r="U22" s="185">
        <f>(IF(MONTH(U$11)='01_Вводные'!$B$29,'01_Вводные'!$B$28,0)+IF(MONTH(U$11)='01_Вводные'!$B$31,'01_Вводные'!$B$30,0)+IF(MONTH(U$11)='01_Вводные'!$B$33,'01_Вводные'!$B$32,0))*'18_Календарь_тарифы'!U4</f>
        <v/>
      </c>
      <c r="V22" s="185">
        <f>(IF(MONTH(V$11)='01_Вводные'!$B$29,'01_Вводные'!$B$28,0)+IF(MONTH(V$11)='01_Вводные'!$B$31,'01_Вводные'!$B$30,0)+IF(MONTH(V$11)='01_Вводные'!$B$33,'01_Вводные'!$B$32,0))*'18_Календарь_тарифы'!V4</f>
        <v/>
      </c>
      <c r="W22" s="185">
        <f>(IF(MONTH(W$11)='01_Вводные'!$B$29,'01_Вводные'!$B$28,0)+IF(MONTH(W$11)='01_Вводные'!$B$31,'01_Вводные'!$B$30,0)+IF(MONTH(W$11)='01_Вводные'!$B$33,'01_Вводные'!$B$32,0))*'18_Календарь_тарифы'!W4</f>
        <v/>
      </c>
      <c r="X22" s="185">
        <f>(IF(MONTH(X$11)='01_Вводные'!$B$29,'01_Вводные'!$B$28,0)+IF(MONTH(X$11)='01_Вводные'!$B$31,'01_Вводные'!$B$30,0)+IF(MONTH(X$11)='01_Вводные'!$B$33,'01_Вводные'!$B$32,0))*'18_Календарь_тарифы'!X4</f>
        <v/>
      </c>
      <c r="Y22" s="185">
        <f>(IF(MONTH(Y$11)='01_Вводные'!$B$29,'01_Вводные'!$B$28,0)+IF(MONTH(Y$11)='01_Вводные'!$B$31,'01_Вводные'!$B$30,0)+IF(MONTH(Y$11)='01_Вводные'!$B$33,'01_Вводные'!$B$32,0))*'18_Календарь_тарифы'!Y4</f>
        <v/>
      </c>
      <c r="Z22" s="185">
        <f>(IF(MONTH(Z$11)='01_Вводные'!$B$29,'01_Вводные'!$B$28,0)+IF(MONTH(Z$11)='01_Вводные'!$B$31,'01_Вводные'!$B$30,0)+IF(MONTH(Z$11)='01_Вводные'!$B$33,'01_Вводные'!$B$32,0))*'18_Календарь_тарифы'!Z4</f>
        <v/>
      </c>
      <c r="AA22" s="185">
        <f>(IF(MONTH(AA$11)='01_Вводные'!$B$29,'01_Вводные'!$B$28,0)+IF(MONTH(AA$11)='01_Вводные'!$B$31,'01_Вводные'!$B$30,0)+IF(MONTH(AA$11)='01_Вводные'!$B$33,'01_Вводные'!$B$32,0))*'18_Календарь_тарифы'!AA4</f>
        <v/>
      </c>
      <c r="AB22" s="185">
        <f>(IF(MONTH(AB$11)='01_Вводные'!$B$29,'01_Вводные'!$B$28,0)+IF(MONTH(AB$11)='01_Вводные'!$B$31,'01_Вводные'!$B$30,0)+IF(MONTH(AB$11)='01_Вводные'!$B$33,'01_Вводные'!$B$32,0))*'18_Календарь_тарифы'!AB4</f>
        <v/>
      </c>
      <c r="AC22" s="185">
        <f>(IF(MONTH(AC$11)='01_Вводные'!$B$29,'01_Вводные'!$B$28,0)+IF(MONTH(AC$11)='01_Вводные'!$B$31,'01_Вводные'!$B$30,0)+IF(MONTH(AC$11)='01_Вводные'!$B$33,'01_Вводные'!$B$32,0))*'18_Календарь_тарифы'!AC4</f>
        <v/>
      </c>
      <c r="AD22" s="185">
        <f>(IF(MONTH(AD$11)='01_Вводные'!$B$29,'01_Вводные'!$B$28,0)+IF(MONTH(AD$11)='01_Вводные'!$B$31,'01_Вводные'!$B$30,0)+IF(MONTH(AD$11)='01_Вводные'!$B$33,'01_Вводные'!$B$32,0))*'18_Календарь_тарифы'!AD4</f>
        <v/>
      </c>
      <c r="AE22" s="185">
        <f>(IF(MONTH(AE$11)='01_Вводные'!$B$29,'01_Вводные'!$B$28,0)+IF(MONTH(AE$11)='01_Вводные'!$B$31,'01_Вводные'!$B$30,0)+IF(MONTH(AE$11)='01_Вводные'!$B$33,'01_Вводные'!$B$32,0))*'18_Календарь_тарифы'!AE4</f>
        <v/>
      </c>
      <c r="AF22" s="185">
        <f>(IF(MONTH(AF$11)='01_Вводные'!$B$29,'01_Вводные'!$B$28,0)+IF(MONTH(AF$11)='01_Вводные'!$B$31,'01_Вводные'!$B$30,0)+IF(MONTH(AF$11)='01_Вводные'!$B$33,'01_Вводные'!$B$32,0))*'18_Календарь_тарифы'!AF4</f>
        <v/>
      </c>
      <c r="AG22" s="185">
        <f>(IF(MONTH(AG$11)='01_Вводные'!$B$29,'01_Вводные'!$B$28,0)+IF(MONTH(AG$11)='01_Вводные'!$B$31,'01_Вводные'!$B$30,0)+IF(MONTH(AG$11)='01_Вводные'!$B$33,'01_Вводные'!$B$32,0))*'18_Календарь_тарифы'!AG4</f>
        <v/>
      </c>
      <c r="AH22" s="185">
        <f>(IF(MONTH(AH$11)='01_Вводные'!$B$29,'01_Вводные'!$B$28,0)+IF(MONTH(AH$11)='01_Вводные'!$B$31,'01_Вводные'!$B$30,0)+IF(MONTH(AH$11)='01_Вводные'!$B$33,'01_Вводные'!$B$32,0))*'18_Календарь_тарифы'!AH4</f>
        <v/>
      </c>
      <c r="AI22" s="185">
        <f>(IF(MONTH(AI$11)='01_Вводные'!$B$29,'01_Вводные'!$B$28,0)+IF(MONTH(AI$11)='01_Вводные'!$B$31,'01_Вводные'!$B$30,0)+IF(MONTH(AI$11)='01_Вводные'!$B$33,'01_Вводные'!$B$32,0))*'18_Календарь_тарифы'!AI4</f>
        <v/>
      </c>
      <c r="AJ22" s="185">
        <f>(IF(MONTH(AJ$11)='01_Вводные'!$B$29,'01_Вводные'!$B$28,0)+IF(MONTH(AJ$11)='01_Вводные'!$B$31,'01_Вводные'!$B$30,0)+IF(MONTH(AJ$11)='01_Вводные'!$B$33,'01_Вводные'!$B$32,0))*'18_Календарь_тарифы'!AJ4</f>
        <v/>
      </c>
      <c r="AK22" s="185">
        <f>(IF(MONTH(AK$11)='01_Вводные'!$B$29,'01_Вводные'!$B$28,0)+IF(MONTH(AK$11)='01_Вводные'!$B$31,'01_Вводные'!$B$30,0)+IF(MONTH(AK$11)='01_Вводные'!$B$33,'01_Вводные'!$B$32,0))*'18_Календарь_тарифы'!AK4</f>
        <v/>
      </c>
      <c r="AL22" s="185">
        <f>(IF(MONTH(AL$11)='01_Вводные'!$B$29,'01_Вводные'!$B$28,0)+IF(MONTH(AL$11)='01_Вводные'!$B$31,'01_Вводные'!$B$30,0)+IF(MONTH(AL$11)='01_Вводные'!$B$33,'01_Вводные'!$B$32,0))*'18_Календарь_тарифы'!AL4</f>
        <v/>
      </c>
      <c r="AM22" s="185">
        <f>(IF(MONTH(AM$11)='01_Вводные'!$B$29,'01_Вводные'!$B$28,0)+IF(MONTH(AM$11)='01_Вводные'!$B$31,'01_Вводные'!$B$30,0)+IF(MONTH(AM$11)='01_Вводные'!$B$33,'01_Вводные'!$B$32,0))*'18_Календарь_тарифы'!AM4</f>
        <v/>
      </c>
      <c r="AN22" s="185">
        <f>(IF(MONTH(AN$11)='01_Вводные'!$B$29,'01_Вводные'!$B$28,0)+IF(MONTH(AN$11)='01_Вводные'!$B$31,'01_Вводные'!$B$30,0)+IF(MONTH(AN$11)='01_Вводные'!$B$33,'01_Вводные'!$B$32,0))*'18_Календарь_тарифы'!AN4</f>
        <v/>
      </c>
      <c r="AO22" s="185">
        <f>(IF(MONTH(AO$11)='01_Вводные'!$B$29,'01_Вводные'!$B$28,0)+IF(MONTH(AO$11)='01_Вводные'!$B$31,'01_Вводные'!$B$30,0)+IF(MONTH(AO$11)='01_Вводные'!$B$33,'01_Вводные'!$B$32,0))*'18_Календарь_тарифы'!AO4</f>
        <v/>
      </c>
      <c r="AP22" s="185">
        <f>(IF(MONTH(AP$11)='01_Вводные'!$B$29,'01_Вводные'!$B$28,0)+IF(MONTH(AP$11)='01_Вводные'!$B$31,'01_Вводные'!$B$30,0)+IF(MONTH(AP$11)='01_Вводные'!$B$33,'01_Вводные'!$B$32,0))*'18_Календарь_тарифы'!AP4</f>
        <v/>
      </c>
      <c r="AQ22" s="185">
        <f>(IF(MONTH(AQ$11)='01_Вводные'!$B$29,'01_Вводные'!$B$28,0)+IF(MONTH(AQ$11)='01_Вводные'!$B$31,'01_Вводные'!$B$30,0)+IF(MONTH(AQ$11)='01_Вводные'!$B$33,'01_Вводные'!$B$32,0))*'18_Календарь_тарифы'!AQ4</f>
        <v/>
      </c>
      <c r="AR22" s="185">
        <f>(IF(MONTH(AR$11)='01_Вводные'!$B$29,'01_Вводные'!$B$28,0)+IF(MONTH(AR$11)='01_Вводные'!$B$31,'01_Вводные'!$B$30,0)+IF(MONTH(AR$11)='01_Вводные'!$B$33,'01_Вводные'!$B$32,0))*'18_Календарь_тарифы'!AR4</f>
        <v/>
      </c>
      <c r="AS22" s="185">
        <f>(IF(MONTH(AS$11)='01_Вводные'!$B$29,'01_Вводные'!$B$28,0)+IF(MONTH(AS$11)='01_Вводные'!$B$31,'01_Вводные'!$B$30,0)+IF(MONTH(AS$11)='01_Вводные'!$B$33,'01_Вводные'!$B$32,0))*'18_Календарь_тарифы'!AS4</f>
        <v/>
      </c>
      <c r="AT22" s="185">
        <f>(IF(MONTH(AT$11)='01_Вводные'!$B$29,'01_Вводные'!$B$28,0)+IF(MONTH(AT$11)='01_Вводные'!$B$31,'01_Вводные'!$B$30,0)+IF(MONTH(AT$11)='01_Вводные'!$B$33,'01_Вводные'!$B$32,0))*'18_Календарь_тарифы'!AT4</f>
        <v/>
      </c>
      <c r="AU22" s="185">
        <f>(IF(MONTH(AU$11)='01_Вводные'!$B$29,'01_Вводные'!$B$28,0)+IF(MONTH(AU$11)='01_Вводные'!$B$31,'01_Вводные'!$B$30,0)+IF(MONTH(AU$11)='01_Вводные'!$B$33,'01_Вводные'!$B$32,0))*'18_Календарь_тарифы'!AU4</f>
        <v/>
      </c>
      <c r="AV22" s="185">
        <f>(IF(MONTH(AV$11)='01_Вводные'!$B$29,'01_Вводные'!$B$28,0)+IF(MONTH(AV$11)='01_Вводные'!$B$31,'01_Вводные'!$B$30,0)+IF(MONTH(AV$11)='01_Вводные'!$B$33,'01_Вводные'!$B$32,0))*'18_Календарь_тарифы'!AV4</f>
        <v/>
      </c>
      <c r="AW22" s="185">
        <f>(IF(MONTH(AW$11)='01_Вводные'!$B$29,'01_Вводные'!$B$28,0)+IF(MONTH(AW$11)='01_Вводные'!$B$31,'01_Вводные'!$B$30,0)+IF(MONTH(AW$11)='01_Вводные'!$B$33,'01_Вводные'!$B$32,0))*'18_Календарь_тарифы'!AW4</f>
        <v/>
      </c>
      <c r="AX22" s="185">
        <f>(IF(MONTH(AX$11)='01_Вводные'!$B$29,'01_Вводные'!$B$28,0)+IF(MONTH(AX$11)='01_Вводные'!$B$31,'01_Вводные'!$B$30,0)+IF(MONTH(AX$11)='01_Вводные'!$B$33,'01_Вводные'!$B$32,0))*'18_Календарь_тарифы'!AX4</f>
        <v/>
      </c>
      <c r="AY22" s="185">
        <f>(IF(MONTH(AY$11)='01_Вводные'!$B$29,'01_Вводные'!$B$28,0)+IF(MONTH(AY$11)='01_Вводные'!$B$31,'01_Вводные'!$B$30,0)+IF(MONTH(AY$11)='01_Вводные'!$B$33,'01_Вводные'!$B$32,0))*'18_Календарь_тарифы'!AY4</f>
        <v/>
      </c>
      <c r="AZ22" s="185">
        <f>(IF(MONTH(AZ$11)='01_Вводные'!$B$29,'01_Вводные'!$B$28,0)+IF(MONTH(AZ$11)='01_Вводные'!$B$31,'01_Вводные'!$B$30,0)+IF(MONTH(AZ$11)='01_Вводные'!$B$33,'01_Вводные'!$B$32,0))*'18_Календарь_тарифы'!AZ4</f>
        <v/>
      </c>
      <c r="BA22" s="185">
        <f>(IF(MONTH(BA$11)='01_Вводные'!$B$29,'01_Вводные'!$B$28,0)+IF(MONTH(BA$11)='01_Вводные'!$B$31,'01_Вводные'!$B$30,0)+IF(MONTH(BA$11)='01_Вводные'!$B$33,'01_Вводные'!$B$32,0))*'18_Календарь_тарифы'!BA4</f>
        <v/>
      </c>
      <c r="BB22" s="185">
        <f>(IF(MONTH(BB$11)='01_Вводные'!$B$29,'01_Вводные'!$B$28,0)+IF(MONTH(BB$11)='01_Вводные'!$B$31,'01_Вводные'!$B$30,0)+IF(MONTH(BB$11)='01_Вводные'!$B$33,'01_Вводные'!$B$32,0))*'18_Календарь_тарифы'!BB4</f>
        <v/>
      </c>
      <c r="BC22" s="185">
        <f>(IF(MONTH(BC$11)='01_Вводные'!$B$29,'01_Вводные'!$B$28,0)+IF(MONTH(BC$11)='01_Вводные'!$B$31,'01_Вводные'!$B$30,0)+IF(MONTH(BC$11)='01_Вводные'!$B$33,'01_Вводные'!$B$32,0))*'18_Календарь_тарифы'!BC4</f>
        <v/>
      </c>
      <c r="BD22" s="185">
        <f>(IF(MONTH(BD$11)='01_Вводные'!$B$29,'01_Вводные'!$B$28,0)+IF(MONTH(BD$11)='01_Вводные'!$B$31,'01_Вводные'!$B$30,0)+IF(MONTH(BD$11)='01_Вводные'!$B$33,'01_Вводные'!$B$32,0))*'18_Календарь_тарифы'!BD4</f>
        <v/>
      </c>
      <c r="BE22" s="185">
        <f>(IF(MONTH(BE$11)='01_Вводные'!$B$29,'01_Вводные'!$B$28,0)+IF(MONTH(BE$11)='01_Вводные'!$B$31,'01_Вводные'!$B$30,0)+IF(MONTH(BE$11)='01_Вводные'!$B$33,'01_Вводные'!$B$32,0))*'18_Календарь_тарифы'!BE4</f>
        <v/>
      </c>
      <c r="BF22" s="185">
        <f>(IF(MONTH(BF$11)='01_Вводные'!$B$29,'01_Вводные'!$B$28,0)+IF(MONTH(BF$11)='01_Вводные'!$B$31,'01_Вводные'!$B$30,0)+IF(MONTH(BF$11)='01_Вводные'!$B$33,'01_Вводные'!$B$32,0))*'18_Календарь_тарифы'!BF4</f>
        <v/>
      </c>
      <c r="BG22" s="185">
        <f>(IF(MONTH(BG$11)='01_Вводные'!$B$29,'01_Вводные'!$B$28,0)+IF(MONTH(BG$11)='01_Вводные'!$B$31,'01_Вводные'!$B$30,0)+IF(MONTH(BG$11)='01_Вводные'!$B$33,'01_Вводные'!$B$32,0))*'18_Календарь_тарифы'!BG4</f>
        <v/>
      </c>
      <c r="BH22" s="185">
        <f>(IF(MONTH(BH$11)='01_Вводные'!$B$29,'01_Вводные'!$B$28,0)+IF(MONTH(BH$11)='01_Вводные'!$B$31,'01_Вводные'!$B$30,0)+IF(MONTH(BH$11)='01_Вводные'!$B$33,'01_Вводные'!$B$32,0))*'18_Календарь_тарифы'!BH4</f>
        <v/>
      </c>
      <c r="BI22" s="185">
        <f>(IF(MONTH(BI$11)='01_Вводные'!$B$29,'01_Вводные'!$B$28,0)+IF(MONTH(BI$11)='01_Вводные'!$B$31,'01_Вводные'!$B$30,0)+IF(MONTH(BI$11)='01_Вводные'!$B$33,'01_Вводные'!$B$32,0))*'18_Календарь_тарифы'!BI4</f>
        <v/>
      </c>
    </row>
    <row r="23">
      <c r="A23" s="10" t="inlineStr">
        <is>
          <t>Маркетинг привлечения — всего</t>
        </is>
      </c>
      <c r="B23" s="43">
        <f>B21+B22</f>
        <v/>
      </c>
      <c r="C23" s="43">
        <f>C21+C22</f>
        <v/>
      </c>
      <c r="D23" s="43">
        <f>D21+D22</f>
        <v/>
      </c>
      <c r="E23" s="43">
        <f>E21+E22</f>
        <v/>
      </c>
      <c r="F23" s="43">
        <f>F21+F22</f>
        <v/>
      </c>
      <c r="G23" s="43">
        <f>G21+G22</f>
        <v/>
      </c>
      <c r="H23" s="43">
        <f>H21+H22</f>
        <v/>
      </c>
      <c r="I23" s="43">
        <f>I21+I22</f>
        <v/>
      </c>
      <c r="J23" s="43">
        <f>J21+J22</f>
        <v/>
      </c>
      <c r="K23" s="43">
        <f>K21+K22</f>
        <v/>
      </c>
      <c r="L23" s="43">
        <f>L21+L22</f>
        <v/>
      </c>
      <c r="M23" s="43">
        <f>M21+M22</f>
        <v/>
      </c>
      <c r="N23" s="43">
        <f>N21+N22</f>
        <v/>
      </c>
      <c r="O23" s="43">
        <f>O21+O22</f>
        <v/>
      </c>
      <c r="P23" s="43">
        <f>P21+P22</f>
        <v/>
      </c>
      <c r="Q23" s="43">
        <f>Q21+Q22</f>
        <v/>
      </c>
      <c r="R23" s="43">
        <f>R21+R22</f>
        <v/>
      </c>
      <c r="S23" s="43">
        <f>S21+S22</f>
        <v/>
      </c>
      <c r="T23" s="43">
        <f>T21+T22</f>
        <v/>
      </c>
      <c r="U23" s="43">
        <f>U21+U22</f>
        <v/>
      </c>
      <c r="V23" s="43">
        <f>V21+V22</f>
        <v/>
      </c>
      <c r="W23" s="43">
        <f>W21+W22</f>
        <v/>
      </c>
      <c r="X23" s="43">
        <f>X21+X22</f>
        <v/>
      </c>
      <c r="Y23" s="43">
        <f>Y21+Y22</f>
        <v/>
      </c>
      <c r="Z23" s="43">
        <f>Z21+Z22</f>
        <v/>
      </c>
      <c r="AA23" s="43">
        <f>AA21+AA22</f>
        <v/>
      </c>
      <c r="AB23" s="43">
        <f>AB21+AB22</f>
        <v/>
      </c>
      <c r="AC23" s="43">
        <f>AC21+AC22</f>
        <v/>
      </c>
      <c r="AD23" s="43">
        <f>AD21+AD22</f>
        <v/>
      </c>
      <c r="AE23" s="43">
        <f>AE21+AE22</f>
        <v/>
      </c>
      <c r="AF23" s="43">
        <f>AF21+AF22</f>
        <v/>
      </c>
      <c r="AG23" s="43">
        <f>AG21+AG22</f>
        <v/>
      </c>
      <c r="AH23" s="43">
        <f>AH21+AH22</f>
        <v/>
      </c>
      <c r="AI23" s="43">
        <f>AI21+AI22</f>
        <v/>
      </c>
      <c r="AJ23" s="43">
        <f>AJ21+AJ22</f>
        <v/>
      </c>
      <c r="AK23" s="43">
        <f>AK21+AK22</f>
        <v/>
      </c>
      <c r="AL23" s="43">
        <f>AL21+AL22</f>
        <v/>
      </c>
      <c r="AM23" s="43">
        <f>AM21+AM22</f>
        <v/>
      </c>
      <c r="AN23" s="43">
        <f>AN21+AN22</f>
        <v/>
      </c>
      <c r="AO23" s="43">
        <f>AO21+AO22</f>
        <v/>
      </c>
      <c r="AP23" s="43">
        <f>AP21+AP22</f>
        <v/>
      </c>
      <c r="AQ23" s="43">
        <f>AQ21+AQ22</f>
        <v/>
      </c>
      <c r="AR23" s="43">
        <f>AR21+AR22</f>
        <v/>
      </c>
      <c r="AS23" s="43">
        <f>AS21+AS22</f>
        <v/>
      </c>
      <c r="AT23" s="43">
        <f>AT21+AT22</f>
        <v/>
      </c>
      <c r="AU23" s="43">
        <f>AU21+AU22</f>
        <v/>
      </c>
      <c r="AV23" s="43">
        <f>AV21+AV22</f>
        <v/>
      </c>
      <c r="AW23" s="43">
        <f>AW21+AW22</f>
        <v/>
      </c>
      <c r="AX23" s="43">
        <f>AX21+AX22</f>
        <v/>
      </c>
      <c r="AY23" s="43">
        <f>AY21+AY22</f>
        <v/>
      </c>
      <c r="AZ23" s="43">
        <f>AZ21+AZ22</f>
        <v/>
      </c>
      <c r="BA23" s="43">
        <f>BA21+BA22</f>
        <v/>
      </c>
      <c r="BB23" s="43">
        <f>BB21+BB22</f>
        <v/>
      </c>
      <c r="BC23" s="43">
        <f>BC21+BC22</f>
        <v/>
      </c>
      <c r="BD23" s="43">
        <f>BD21+BD22</f>
        <v/>
      </c>
      <c r="BE23" s="43">
        <f>BE21+BE22</f>
        <v/>
      </c>
      <c r="BF23" s="43">
        <f>BF21+BF22</f>
        <v/>
      </c>
      <c r="BG23" s="43">
        <f>BG21+BG22</f>
        <v/>
      </c>
      <c r="BH23" s="43">
        <f>BH21+BH22</f>
        <v/>
      </c>
      <c r="BI23" s="43">
        <f>BI21+BI22</f>
        <v/>
      </c>
    </row>
    <row r="24"/>
    <row r="25">
      <c r="A25" s="2" t="inlineStr">
        <is>
          <t>Паушальные взносы, с НДС</t>
        </is>
      </c>
      <c r="B25" s="185">
        <f>B15*'18_Календарь_тарифы'!B6</f>
        <v/>
      </c>
      <c r="C25" s="185">
        <f>C15*'18_Календарь_тарифы'!C6</f>
        <v/>
      </c>
      <c r="D25" s="185">
        <f>D15*'18_Календарь_тарифы'!D6</f>
        <v/>
      </c>
      <c r="E25" s="185">
        <f>E15*'18_Календарь_тарифы'!E6</f>
        <v/>
      </c>
      <c r="F25" s="185">
        <f>F15*'18_Календарь_тарифы'!F6</f>
        <v/>
      </c>
      <c r="G25" s="185">
        <f>G15*'18_Календарь_тарифы'!G6</f>
        <v/>
      </c>
      <c r="H25" s="185">
        <f>H15*'18_Календарь_тарифы'!H6</f>
        <v/>
      </c>
      <c r="I25" s="185">
        <f>I15*'18_Календарь_тарифы'!I6</f>
        <v/>
      </c>
      <c r="J25" s="185">
        <f>J15*'18_Календарь_тарифы'!J6</f>
        <v/>
      </c>
      <c r="K25" s="185">
        <f>K15*'18_Календарь_тарифы'!K6</f>
        <v/>
      </c>
      <c r="L25" s="185">
        <f>L15*'18_Календарь_тарифы'!L6</f>
        <v/>
      </c>
      <c r="M25" s="185">
        <f>M15*'18_Календарь_тарифы'!M6</f>
        <v/>
      </c>
      <c r="N25" s="185">
        <f>N15*'18_Календарь_тарифы'!N6</f>
        <v/>
      </c>
      <c r="O25" s="185">
        <f>O15*'18_Календарь_тарифы'!O6</f>
        <v/>
      </c>
      <c r="P25" s="185">
        <f>P15*'18_Календарь_тарифы'!P6</f>
        <v/>
      </c>
      <c r="Q25" s="185">
        <f>Q15*'18_Календарь_тарифы'!Q6</f>
        <v/>
      </c>
      <c r="R25" s="185">
        <f>R15*'18_Календарь_тарифы'!R6</f>
        <v/>
      </c>
      <c r="S25" s="185">
        <f>S15*'18_Календарь_тарифы'!S6</f>
        <v/>
      </c>
      <c r="T25" s="185">
        <f>T15*'18_Календарь_тарифы'!T6</f>
        <v/>
      </c>
      <c r="U25" s="185">
        <f>U15*'18_Календарь_тарифы'!U6</f>
        <v/>
      </c>
      <c r="V25" s="185">
        <f>V15*'18_Календарь_тарифы'!V6</f>
        <v/>
      </c>
      <c r="W25" s="185">
        <f>W15*'18_Календарь_тарифы'!W6</f>
        <v/>
      </c>
      <c r="X25" s="185">
        <f>X15*'18_Календарь_тарифы'!X6</f>
        <v/>
      </c>
      <c r="Y25" s="185">
        <f>Y15*'18_Календарь_тарифы'!Y6</f>
        <v/>
      </c>
      <c r="Z25" s="185">
        <f>Z15*'18_Календарь_тарифы'!Z6</f>
        <v/>
      </c>
      <c r="AA25" s="185">
        <f>AA15*'18_Календарь_тарифы'!AA6</f>
        <v/>
      </c>
      <c r="AB25" s="185">
        <f>AB15*'18_Календарь_тарифы'!AB6</f>
        <v/>
      </c>
      <c r="AC25" s="185">
        <f>AC15*'18_Календарь_тарифы'!AC6</f>
        <v/>
      </c>
      <c r="AD25" s="185">
        <f>AD15*'18_Календарь_тарифы'!AD6</f>
        <v/>
      </c>
      <c r="AE25" s="185">
        <f>AE15*'18_Календарь_тарифы'!AE6</f>
        <v/>
      </c>
      <c r="AF25" s="185">
        <f>AF15*'18_Календарь_тарифы'!AF6</f>
        <v/>
      </c>
      <c r="AG25" s="185">
        <f>AG15*'18_Календарь_тарифы'!AG6</f>
        <v/>
      </c>
      <c r="AH25" s="185">
        <f>AH15*'18_Календарь_тарифы'!AH6</f>
        <v/>
      </c>
      <c r="AI25" s="185">
        <f>AI15*'18_Календарь_тарифы'!AI6</f>
        <v/>
      </c>
      <c r="AJ25" s="185">
        <f>AJ15*'18_Календарь_тарифы'!AJ6</f>
        <v/>
      </c>
      <c r="AK25" s="185">
        <f>AK15*'18_Календарь_тарифы'!AK6</f>
        <v/>
      </c>
      <c r="AL25" s="185">
        <f>AL15*'18_Календарь_тарифы'!AL6</f>
        <v/>
      </c>
      <c r="AM25" s="185">
        <f>AM15*'18_Календарь_тарифы'!AM6</f>
        <v/>
      </c>
      <c r="AN25" s="185">
        <f>AN15*'18_Календарь_тарифы'!AN6</f>
        <v/>
      </c>
      <c r="AO25" s="185">
        <f>AO15*'18_Календарь_тарифы'!AO6</f>
        <v/>
      </c>
      <c r="AP25" s="185">
        <f>AP15*'18_Календарь_тарифы'!AP6</f>
        <v/>
      </c>
      <c r="AQ25" s="185">
        <f>AQ15*'18_Календарь_тарифы'!AQ6</f>
        <v/>
      </c>
      <c r="AR25" s="185">
        <f>AR15*'18_Календарь_тарифы'!AR6</f>
        <v/>
      </c>
      <c r="AS25" s="185">
        <f>AS15*'18_Календарь_тарифы'!AS6</f>
        <v/>
      </c>
      <c r="AT25" s="185">
        <f>AT15*'18_Календарь_тарифы'!AT6</f>
        <v/>
      </c>
      <c r="AU25" s="185">
        <f>AU15*'18_Календарь_тарифы'!AU6</f>
        <v/>
      </c>
      <c r="AV25" s="185">
        <f>AV15*'18_Календарь_тарифы'!AV6</f>
        <v/>
      </c>
      <c r="AW25" s="185">
        <f>AW15*'18_Календарь_тарифы'!AW6</f>
        <v/>
      </c>
      <c r="AX25" s="185">
        <f>AX15*'18_Календарь_тарифы'!AX6</f>
        <v/>
      </c>
      <c r="AY25" s="185">
        <f>AY15*'18_Календарь_тарифы'!AY6</f>
        <v/>
      </c>
      <c r="AZ25" s="185">
        <f>AZ15*'18_Календарь_тарифы'!AZ6</f>
        <v/>
      </c>
      <c r="BA25" s="185">
        <f>BA15*'18_Календарь_тарифы'!BA6</f>
        <v/>
      </c>
      <c r="BB25" s="185">
        <f>BB15*'18_Календарь_тарифы'!BB6</f>
        <v/>
      </c>
      <c r="BC25" s="185">
        <f>BC15*'18_Календарь_тарифы'!BC6</f>
        <v/>
      </c>
      <c r="BD25" s="185">
        <f>BD15*'18_Календарь_тарифы'!BD6</f>
        <v/>
      </c>
      <c r="BE25" s="185">
        <f>BE15*'18_Календарь_тарифы'!BE6</f>
        <v/>
      </c>
      <c r="BF25" s="185">
        <f>BF15*'18_Календарь_тарифы'!BF6</f>
        <v/>
      </c>
      <c r="BG25" s="185">
        <f>BG15*'18_Календарь_тарифы'!BG6</f>
        <v/>
      </c>
      <c r="BH25" s="185">
        <f>BH15*'18_Календарь_тарифы'!BH6</f>
        <v/>
      </c>
      <c r="BI25" s="185">
        <f>BI15*'18_Календарь_тарифы'!BI6</f>
        <v/>
      </c>
    </row>
    <row r="26">
      <c r="A26" s="10" t="inlineStr">
        <is>
          <t>Паушальные взносы, без НДС</t>
        </is>
      </c>
      <c r="B26" s="43">
        <f>B25/(1+'01_Вводные'!$B$58)</f>
        <v/>
      </c>
      <c r="C26" s="43">
        <f>C25/(1+'01_Вводные'!$B$58)</f>
        <v/>
      </c>
      <c r="D26" s="43">
        <f>D25/(1+'01_Вводные'!$B$58)</f>
        <v/>
      </c>
      <c r="E26" s="43">
        <f>E25/(1+'01_Вводные'!$B$58)</f>
        <v/>
      </c>
      <c r="F26" s="43">
        <f>F25/(1+'01_Вводные'!$B$58)</f>
        <v/>
      </c>
      <c r="G26" s="43">
        <f>G25/(1+'01_Вводные'!$B$58)</f>
        <v/>
      </c>
      <c r="H26" s="43">
        <f>H25/(1+'01_Вводные'!$B$58)</f>
        <v/>
      </c>
      <c r="I26" s="43">
        <f>I25/(1+'01_Вводные'!$B$58)</f>
        <v/>
      </c>
      <c r="J26" s="43">
        <f>J25/(1+'01_Вводные'!$B$58)</f>
        <v/>
      </c>
      <c r="K26" s="43">
        <f>K25/(1+'01_Вводные'!$B$58)</f>
        <v/>
      </c>
      <c r="L26" s="43">
        <f>L25/(1+'01_Вводные'!$B$58)</f>
        <v/>
      </c>
      <c r="M26" s="43">
        <f>M25/(1+'01_Вводные'!$B$58)</f>
        <v/>
      </c>
      <c r="N26" s="43">
        <f>N25/(1+'01_Вводные'!$B$58)</f>
        <v/>
      </c>
      <c r="O26" s="43">
        <f>O25/(1+'01_Вводные'!$B$58)</f>
        <v/>
      </c>
      <c r="P26" s="43">
        <f>P25/(1+'01_Вводные'!$B$58)</f>
        <v/>
      </c>
      <c r="Q26" s="43">
        <f>Q25/(1+'01_Вводные'!$B$58)</f>
        <v/>
      </c>
      <c r="R26" s="43">
        <f>R25/(1+'01_Вводные'!$B$58)</f>
        <v/>
      </c>
      <c r="S26" s="43">
        <f>S25/(1+'01_Вводные'!$B$58)</f>
        <v/>
      </c>
      <c r="T26" s="43">
        <f>T25/(1+'01_Вводные'!$B$58)</f>
        <v/>
      </c>
      <c r="U26" s="43">
        <f>U25/(1+'01_Вводные'!$B$58)</f>
        <v/>
      </c>
      <c r="V26" s="43">
        <f>V25/(1+'01_Вводные'!$B$58)</f>
        <v/>
      </c>
      <c r="W26" s="43">
        <f>W25/(1+'01_Вводные'!$B$58)</f>
        <v/>
      </c>
      <c r="X26" s="43">
        <f>X25/(1+'01_Вводные'!$B$58)</f>
        <v/>
      </c>
      <c r="Y26" s="43">
        <f>Y25/(1+'01_Вводные'!$B$58)</f>
        <v/>
      </c>
      <c r="Z26" s="43">
        <f>Z25/(1+'01_Вводные'!$B$58)</f>
        <v/>
      </c>
      <c r="AA26" s="43">
        <f>AA25/(1+'01_Вводные'!$B$58)</f>
        <v/>
      </c>
      <c r="AB26" s="43">
        <f>AB25/(1+'01_Вводные'!$B$58)</f>
        <v/>
      </c>
      <c r="AC26" s="43">
        <f>AC25/(1+'01_Вводные'!$B$58)</f>
        <v/>
      </c>
      <c r="AD26" s="43">
        <f>AD25/(1+'01_Вводные'!$B$58)</f>
        <v/>
      </c>
      <c r="AE26" s="43">
        <f>AE25/(1+'01_Вводные'!$B$58)</f>
        <v/>
      </c>
      <c r="AF26" s="43">
        <f>AF25/(1+'01_Вводные'!$B$58)</f>
        <v/>
      </c>
      <c r="AG26" s="43">
        <f>AG25/(1+'01_Вводные'!$B$58)</f>
        <v/>
      </c>
      <c r="AH26" s="43">
        <f>AH25/(1+'01_Вводные'!$B$58)</f>
        <v/>
      </c>
      <c r="AI26" s="43">
        <f>AI25/(1+'01_Вводные'!$B$58)</f>
        <v/>
      </c>
      <c r="AJ26" s="43">
        <f>AJ25/(1+'01_Вводные'!$B$58)</f>
        <v/>
      </c>
      <c r="AK26" s="43">
        <f>AK25/(1+'01_Вводные'!$B$58)</f>
        <v/>
      </c>
      <c r="AL26" s="43">
        <f>AL25/(1+'01_Вводные'!$B$58)</f>
        <v/>
      </c>
      <c r="AM26" s="43">
        <f>AM25/(1+'01_Вводные'!$B$58)</f>
        <v/>
      </c>
      <c r="AN26" s="43">
        <f>AN25/(1+'01_Вводные'!$B$58)</f>
        <v/>
      </c>
      <c r="AO26" s="43">
        <f>AO25/(1+'01_Вводные'!$B$58)</f>
        <v/>
      </c>
      <c r="AP26" s="43">
        <f>AP25/(1+'01_Вводные'!$B$58)</f>
        <v/>
      </c>
      <c r="AQ26" s="43">
        <f>AQ25/(1+'01_Вводные'!$B$58)</f>
        <v/>
      </c>
      <c r="AR26" s="43">
        <f>AR25/(1+'01_Вводные'!$B$58)</f>
        <v/>
      </c>
      <c r="AS26" s="43">
        <f>AS25/(1+'01_Вводные'!$B$58)</f>
        <v/>
      </c>
      <c r="AT26" s="43">
        <f>AT25/(1+'01_Вводные'!$B$58)</f>
        <v/>
      </c>
      <c r="AU26" s="43">
        <f>AU25/(1+'01_Вводные'!$B$58)</f>
        <v/>
      </c>
      <c r="AV26" s="43">
        <f>AV25/(1+'01_Вводные'!$B$58)</f>
        <v/>
      </c>
      <c r="AW26" s="43">
        <f>AW25/(1+'01_Вводные'!$B$58)</f>
        <v/>
      </c>
      <c r="AX26" s="43">
        <f>AX25/(1+'01_Вводные'!$B$58)</f>
        <v/>
      </c>
      <c r="AY26" s="43">
        <f>AY25/(1+'01_Вводные'!$B$58)</f>
        <v/>
      </c>
      <c r="AZ26" s="43">
        <f>AZ25/(1+'01_Вводные'!$B$58)</f>
        <v/>
      </c>
      <c r="BA26" s="43">
        <f>BA25/(1+'01_Вводные'!$B$58)</f>
        <v/>
      </c>
      <c r="BB26" s="43">
        <f>BB25/(1+'01_Вводные'!$B$58)</f>
        <v/>
      </c>
      <c r="BC26" s="43">
        <f>BC25/(1+'01_Вводные'!$B$58)</f>
        <v/>
      </c>
      <c r="BD26" s="43">
        <f>BD25/(1+'01_Вводные'!$B$58)</f>
        <v/>
      </c>
      <c r="BE26" s="43">
        <f>BE25/(1+'01_Вводные'!$B$58)</f>
        <v/>
      </c>
      <c r="BF26" s="43">
        <f>BF25/(1+'01_Вводные'!$B$58)</f>
        <v/>
      </c>
      <c r="BG26" s="43">
        <f>BG25/(1+'01_Вводные'!$B$58)</f>
        <v/>
      </c>
      <c r="BH26" s="43">
        <f>BH25/(1+'01_Вводные'!$B$58)</f>
        <v/>
      </c>
      <c r="BI26" s="43">
        <f>BI25/(1+'01_Вводные'!$B$58)</f>
        <v/>
      </c>
    </row>
    <row r="27"/>
    <row r="28" hidden="1">
      <c r="A28" t="inlineStr">
        <is>
          <t>Месяц оплаты рекламы для продажи</t>
        </is>
      </c>
      <c r="B28" s="126">
        <f>DATE(YEAR(B$11),MONTH(B$11)-IF(B$11='01_Вводные'!$B$242,'01_Вводные'!$B$243,'01_Вводные'!$B$27),1)</f>
        <v/>
      </c>
      <c r="C28" s="126">
        <f>DATE(YEAR(C$11),MONTH(C$11)-IF(C$11='01_Вводные'!$B$242,'01_Вводные'!$B$243,'01_Вводные'!$B$27),1)</f>
        <v/>
      </c>
      <c r="D28" s="126">
        <f>DATE(YEAR(D$11),MONTH(D$11)-IF(D$11='01_Вводные'!$B$242,'01_Вводные'!$B$243,'01_Вводные'!$B$27),1)</f>
        <v/>
      </c>
      <c r="E28" s="126">
        <f>DATE(YEAR(E$11),MONTH(E$11)-IF(E$11='01_Вводные'!$B$242,'01_Вводные'!$B$243,'01_Вводные'!$B$27),1)</f>
        <v/>
      </c>
      <c r="F28" s="126">
        <f>DATE(YEAR(F$11),MONTH(F$11)-IF(F$11='01_Вводные'!$B$242,'01_Вводные'!$B$243,'01_Вводные'!$B$27),1)</f>
        <v/>
      </c>
      <c r="G28" s="126">
        <f>DATE(YEAR(G$11),MONTH(G$11)-IF(G$11='01_Вводные'!$B$242,'01_Вводные'!$B$243,'01_Вводные'!$B$27),1)</f>
        <v/>
      </c>
      <c r="H28" s="126">
        <f>DATE(YEAR(H$11),MONTH(H$11)-IF(H$11='01_Вводные'!$B$242,'01_Вводные'!$B$243,'01_Вводные'!$B$27),1)</f>
        <v/>
      </c>
      <c r="I28" s="126">
        <f>DATE(YEAR(I$11),MONTH(I$11)-IF(I$11='01_Вводные'!$B$242,'01_Вводные'!$B$243,'01_Вводные'!$B$27),1)</f>
        <v/>
      </c>
      <c r="J28" s="126">
        <f>DATE(YEAR(J$11),MONTH(J$11)-IF(J$11='01_Вводные'!$B$242,'01_Вводные'!$B$243,'01_Вводные'!$B$27),1)</f>
        <v/>
      </c>
      <c r="K28" s="126">
        <f>DATE(YEAR(K$11),MONTH(K$11)-IF(K$11='01_Вводные'!$B$242,'01_Вводные'!$B$243,'01_Вводные'!$B$27),1)</f>
        <v/>
      </c>
      <c r="L28" s="126">
        <f>DATE(YEAR(L$11),MONTH(L$11)-IF(L$11='01_Вводные'!$B$242,'01_Вводные'!$B$243,'01_Вводные'!$B$27),1)</f>
        <v/>
      </c>
      <c r="M28" s="126">
        <f>DATE(YEAR(M$11),MONTH(M$11)-IF(M$11='01_Вводные'!$B$242,'01_Вводные'!$B$243,'01_Вводные'!$B$27),1)</f>
        <v/>
      </c>
      <c r="N28" s="126">
        <f>DATE(YEAR(N$11),MONTH(N$11)-IF(N$11='01_Вводные'!$B$242,'01_Вводные'!$B$243,'01_Вводные'!$B$27),1)</f>
        <v/>
      </c>
      <c r="O28" s="126">
        <f>DATE(YEAR(O$11),MONTH(O$11)-IF(O$11='01_Вводные'!$B$242,'01_Вводные'!$B$243,'01_Вводные'!$B$27),1)</f>
        <v/>
      </c>
      <c r="P28" s="126">
        <f>DATE(YEAR(P$11),MONTH(P$11)-IF(P$11='01_Вводные'!$B$242,'01_Вводные'!$B$243,'01_Вводные'!$B$27),1)</f>
        <v/>
      </c>
      <c r="Q28" s="126">
        <f>DATE(YEAR(Q$11),MONTH(Q$11)-IF(Q$11='01_Вводные'!$B$242,'01_Вводные'!$B$243,'01_Вводные'!$B$27),1)</f>
        <v/>
      </c>
      <c r="R28" s="126">
        <f>DATE(YEAR(R$11),MONTH(R$11)-IF(R$11='01_Вводные'!$B$242,'01_Вводные'!$B$243,'01_Вводные'!$B$27),1)</f>
        <v/>
      </c>
      <c r="S28" s="126">
        <f>DATE(YEAR(S$11),MONTH(S$11)-IF(S$11='01_Вводные'!$B$242,'01_Вводные'!$B$243,'01_Вводные'!$B$27),1)</f>
        <v/>
      </c>
      <c r="T28" s="126">
        <f>DATE(YEAR(T$11),MONTH(T$11)-IF(T$11='01_Вводные'!$B$242,'01_Вводные'!$B$243,'01_Вводные'!$B$27),1)</f>
        <v/>
      </c>
      <c r="U28" s="126">
        <f>DATE(YEAR(U$11),MONTH(U$11)-IF(U$11='01_Вводные'!$B$242,'01_Вводные'!$B$243,'01_Вводные'!$B$27),1)</f>
        <v/>
      </c>
      <c r="V28" s="126">
        <f>DATE(YEAR(V$11),MONTH(V$11)-IF(V$11='01_Вводные'!$B$242,'01_Вводные'!$B$243,'01_Вводные'!$B$27),1)</f>
        <v/>
      </c>
      <c r="W28" s="126">
        <f>DATE(YEAR(W$11),MONTH(W$11)-IF(W$11='01_Вводные'!$B$242,'01_Вводные'!$B$243,'01_Вводные'!$B$27),1)</f>
        <v/>
      </c>
      <c r="X28" s="126">
        <f>DATE(YEAR(X$11),MONTH(X$11)-IF(X$11='01_Вводные'!$B$242,'01_Вводные'!$B$243,'01_Вводные'!$B$27),1)</f>
        <v/>
      </c>
      <c r="Y28" s="126">
        <f>DATE(YEAR(Y$11),MONTH(Y$11)-IF(Y$11='01_Вводные'!$B$242,'01_Вводные'!$B$243,'01_Вводные'!$B$27),1)</f>
        <v/>
      </c>
      <c r="Z28" s="126">
        <f>DATE(YEAR(Z$11),MONTH(Z$11)-IF(Z$11='01_Вводные'!$B$242,'01_Вводные'!$B$243,'01_Вводные'!$B$27),1)</f>
        <v/>
      </c>
      <c r="AA28" s="126">
        <f>DATE(YEAR(AA$11),MONTH(AA$11)-IF(AA$11='01_Вводные'!$B$242,'01_Вводные'!$B$243,'01_Вводные'!$B$27),1)</f>
        <v/>
      </c>
      <c r="AB28" s="126">
        <f>DATE(YEAR(AB$11),MONTH(AB$11)-IF(AB$11='01_Вводные'!$B$242,'01_Вводные'!$B$243,'01_Вводные'!$B$27),1)</f>
        <v/>
      </c>
      <c r="AC28" s="126">
        <f>DATE(YEAR(AC$11),MONTH(AC$11)-IF(AC$11='01_Вводные'!$B$242,'01_Вводные'!$B$243,'01_Вводные'!$B$27),1)</f>
        <v/>
      </c>
      <c r="AD28" s="126">
        <f>DATE(YEAR(AD$11),MONTH(AD$11)-IF(AD$11='01_Вводные'!$B$242,'01_Вводные'!$B$243,'01_Вводные'!$B$27),1)</f>
        <v/>
      </c>
      <c r="AE28" s="126">
        <f>DATE(YEAR(AE$11),MONTH(AE$11)-IF(AE$11='01_Вводные'!$B$242,'01_Вводные'!$B$243,'01_Вводные'!$B$27),1)</f>
        <v/>
      </c>
      <c r="AF28" s="126">
        <f>DATE(YEAR(AF$11),MONTH(AF$11)-IF(AF$11='01_Вводные'!$B$242,'01_Вводные'!$B$243,'01_Вводные'!$B$27),1)</f>
        <v/>
      </c>
      <c r="AG28" s="126">
        <f>DATE(YEAR(AG$11),MONTH(AG$11)-IF(AG$11='01_Вводные'!$B$242,'01_Вводные'!$B$243,'01_Вводные'!$B$27),1)</f>
        <v/>
      </c>
      <c r="AH28" s="126">
        <f>DATE(YEAR(AH$11),MONTH(AH$11)-IF(AH$11='01_Вводные'!$B$242,'01_Вводные'!$B$243,'01_Вводные'!$B$27),1)</f>
        <v/>
      </c>
      <c r="AI28" s="126">
        <f>DATE(YEAR(AI$11),MONTH(AI$11)-IF(AI$11='01_Вводные'!$B$242,'01_Вводные'!$B$243,'01_Вводные'!$B$27),1)</f>
        <v/>
      </c>
      <c r="AJ28" s="126">
        <f>DATE(YEAR(AJ$11),MONTH(AJ$11)-IF(AJ$11='01_Вводные'!$B$242,'01_Вводные'!$B$243,'01_Вводные'!$B$27),1)</f>
        <v/>
      </c>
      <c r="AK28" s="126">
        <f>DATE(YEAR(AK$11),MONTH(AK$11)-IF(AK$11='01_Вводные'!$B$242,'01_Вводные'!$B$243,'01_Вводные'!$B$27),1)</f>
        <v/>
      </c>
      <c r="AL28" s="126">
        <f>DATE(YEAR(AL$11),MONTH(AL$11)-IF(AL$11='01_Вводные'!$B$242,'01_Вводные'!$B$243,'01_Вводные'!$B$27),1)</f>
        <v/>
      </c>
      <c r="AM28" s="126">
        <f>DATE(YEAR(AM$11),MONTH(AM$11)-IF(AM$11='01_Вводные'!$B$242,'01_Вводные'!$B$243,'01_Вводные'!$B$27),1)</f>
        <v/>
      </c>
      <c r="AN28" s="126">
        <f>DATE(YEAR(AN$11),MONTH(AN$11)-IF(AN$11='01_Вводные'!$B$242,'01_Вводные'!$B$243,'01_Вводные'!$B$27),1)</f>
        <v/>
      </c>
      <c r="AO28" s="126">
        <f>DATE(YEAR(AO$11),MONTH(AO$11)-IF(AO$11='01_Вводные'!$B$242,'01_Вводные'!$B$243,'01_Вводные'!$B$27),1)</f>
        <v/>
      </c>
      <c r="AP28" s="126">
        <f>DATE(YEAR(AP$11),MONTH(AP$11)-IF(AP$11='01_Вводные'!$B$242,'01_Вводные'!$B$243,'01_Вводные'!$B$27),1)</f>
        <v/>
      </c>
      <c r="AQ28" s="126">
        <f>DATE(YEAR(AQ$11),MONTH(AQ$11)-IF(AQ$11='01_Вводные'!$B$242,'01_Вводные'!$B$243,'01_Вводные'!$B$27),1)</f>
        <v/>
      </c>
      <c r="AR28" s="126">
        <f>DATE(YEAR(AR$11),MONTH(AR$11)-IF(AR$11='01_Вводные'!$B$242,'01_Вводные'!$B$243,'01_Вводные'!$B$27),1)</f>
        <v/>
      </c>
      <c r="AS28" s="126">
        <f>DATE(YEAR(AS$11),MONTH(AS$11)-IF(AS$11='01_Вводные'!$B$242,'01_Вводные'!$B$243,'01_Вводные'!$B$27),1)</f>
        <v/>
      </c>
      <c r="AT28" s="126">
        <f>DATE(YEAR(AT$11),MONTH(AT$11)-IF(AT$11='01_Вводные'!$B$242,'01_Вводные'!$B$243,'01_Вводные'!$B$27),1)</f>
        <v/>
      </c>
      <c r="AU28" s="126">
        <f>DATE(YEAR(AU$11),MONTH(AU$11)-IF(AU$11='01_Вводные'!$B$242,'01_Вводные'!$B$243,'01_Вводные'!$B$27),1)</f>
        <v/>
      </c>
      <c r="AV28" s="126">
        <f>DATE(YEAR(AV$11),MONTH(AV$11)-IF(AV$11='01_Вводные'!$B$242,'01_Вводные'!$B$243,'01_Вводные'!$B$27),1)</f>
        <v/>
      </c>
      <c r="AW28" s="126">
        <f>DATE(YEAR(AW$11),MONTH(AW$11)-IF(AW$11='01_Вводные'!$B$242,'01_Вводные'!$B$243,'01_Вводные'!$B$27),1)</f>
        <v/>
      </c>
      <c r="AX28" s="126">
        <f>DATE(YEAR(AX$11),MONTH(AX$11)-IF(AX$11='01_Вводные'!$B$242,'01_Вводные'!$B$243,'01_Вводные'!$B$27),1)</f>
        <v/>
      </c>
      <c r="AY28" s="126">
        <f>DATE(YEAR(AY$11),MONTH(AY$11)-IF(AY$11='01_Вводные'!$B$242,'01_Вводные'!$B$243,'01_Вводные'!$B$27),1)</f>
        <v/>
      </c>
      <c r="AZ28" s="126">
        <f>DATE(YEAR(AZ$11),MONTH(AZ$11)-IF(AZ$11='01_Вводные'!$B$242,'01_Вводные'!$B$243,'01_Вводные'!$B$27),1)</f>
        <v/>
      </c>
      <c r="BA28" s="126">
        <f>DATE(YEAR(BA$11),MONTH(BA$11)-IF(BA$11='01_Вводные'!$B$242,'01_Вводные'!$B$243,'01_Вводные'!$B$27),1)</f>
        <v/>
      </c>
      <c r="BB28" s="126">
        <f>DATE(YEAR(BB$11),MONTH(BB$11)-IF(BB$11='01_Вводные'!$B$242,'01_Вводные'!$B$243,'01_Вводные'!$B$27),1)</f>
        <v/>
      </c>
      <c r="BC28" s="126">
        <f>DATE(YEAR(BC$11),MONTH(BC$11)-IF(BC$11='01_Вводные'!$B$242,'01_Вводные'!$B$243,'01_Вводные'!$B$27),1)</f>
        <v/>
      </c>
      <c r="BD28" s="126">
        <f>DATE(YEAR(BD$11),MONTH(BD$11)-IF(BD$11='01_Вводные'!$B$242,'01_Вводные'!$B$243,'01_Вводные'!$B$27),1)</f>
        <v/>
      </c>
      <c r="BE28" s="126">
        <f>DATE(YEAR(BE$11),MONTH(BE$11)-IF(BE$11='01_Вводные'!$B$242,'01_Вводные'!$B$243,'01_Вводные'!$B$27),1)</f>
        <v/>
      </c>
      <c r="BF28" s="126">
        <f>DATE(YEAR(BF$11),MONTH(BF$11)-IF(BF$11='01_Вводные'!$B$242,'01_Вводные'!$B$243,'01_Вводные'!$B$27),1)</f>
        <v/>
      </c>
      <c r="BG28" s="126">
        <f>DATE(YEAR(BG$11),MONTH(BG$11)-IF(BG$11='01_Вводные'!$B$242,'01_Вводные'!$B$243,'01_Вводные'!$B$27),1)</f>
        <v/>
      </c>
      <c r="BH28" s="126">
        <f>DATE(YEAR(BH$11),MONTH(BH$11)-IF(BH$11='01_Вводные'!$B$242,'01_Вводные'!$B$243,'01_Вводные'!$B$27),1)</f>
        <v/>
      </c>
      <c r="BI28" s="126">
        <f>DATE(YEAR(BI$11),MONTH(BI$11)-IF(BI$11='01_Вводные'!$B$242,'01_Вводные'!$B$243,'01_Вводные'!$B$27),1)</f>
        <v/>
      </c>
    </row>
  </sheetData>
  <mergeCells count="3">
    <mergeCell ref="A1:BI1"/>
    <mergeCell ref="A3:H3"/>
    <mergeCell ref="A10:BI10"/>
  </mergeCells>
  <printOptions horizontalCentered="0"/>
  <pageMargins left="0.75" right="0.75" top="1" bottom="1" header="0.5" footer="0.5"/>
  <pageSetup orientation="landscape" fitToHeight="0" fitToWidth="1"/>
  <headerFooter>
    <oddHeader/>
    <oddFooter>&amp;LФинмодель Спартак · 04_Продажи&amp;R&amp;P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BI27"/>
  <sheetViews>
    <sheetView showGridLines="0" workbookViewId="0">
      <pane xSplit="1" ySplit="19" topLeftCell="B20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40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</cols>
  <sheetData>
    <row r="1" ht="27" customHeight="1">
      <c r="A1" s="60" t="inlineStr">
        <is>
          <t>СПАРТАК | Воронка продаж и запуск школ</t>
        </is>
      </c>
    </row>
    <row r="2"/>
    <row r="3" ht="40" customHeight="1">
      <c r="A3" s="111" t="inlineStr">
        <is>
          <t>Плановая воронка: требуемые лиды → оплаченные продажи → открытия с лагом → ERP. Промежуточные конверсии встреч/заявок не заданы и не придуманы. Продажа считается состоявшейся после оплаты.</t>
        </is>
      </c>
    </row>
    <row r="4"/>
    <row r="5" ht="33" customHeight="1">
      <c r="A5" s="87" t="inlineStr">
        <is>
          <t>Показатель</t>
        </is>
      </c>
      <c r="B5" s="87" t="inlineStr">
        <is>
          <t>2026/27</t>
        </is>
      </c>
      <c r="C5" s="87" t="inlineStr">
        <is>
          <t>2027/28</t>
        </is>
      </c>
      <c r="D5" s="87" t="inlineStr">
        <is>
          <t>2028/29</t>
        </is>
      </c>
      <c r="E5" s="87" t="inlineStr">
        <is>
          <t>2029/30</t>
        </is>
      </c>
      <c r="F5" s="87" t="inlineStr">
        <is>
          <t>2030/31</t>
        </is>
      </c>
      <c r="G5" s="87" t="inlineStr">
        <is>
          <t>Итого / конец</t>
        </is>
      </c>
      <c r="H5" s="87" t="inlineStr">
        <is>
          <t>Комментарий</t>
        </is>
      </c>
    </row>
    <row r="6" ht="26" customHeight="1">
      <c r="A6" s="104" t="inlineStr">
        <is>
          <t>Требуемые лиды, расчётно</t>
        </is>
      </c>
      <c r="B6" s="103">
        <f>SUM('04_Продажи'!B15:M15)/'01_Вводные'!$B$25</f>
        <v/>
      </c>
      <c r="C6" s="103">
        <f>SUM('04_Продажи'!N15:Y15)/'01_Вводные'!$B$25</f>
        <v/>
      </c>
      <c r="D6" s="103">
        <f>SUM('04_Продажи'!Z15:AK15)/'01_Вводные'!$B$25</f>
        <v/>
      </c>
      <c r="E6" s="103">
        <f>SUM('04_Продажи'!AL15:AW15)/'01_Вводные'!$B$25</f>
        <v/>
      </c>
      <c r="F6" s="103">
        <f>SUM('04_Продажи'!AX15:BI15)/'01_Вводные'!$B$25</f>
        <v/>
      </c>
      <c r="G6" s="117">
        <f>SUM(B6:F6)</f>
        <v/>
      </c>
      <c r="H6" s="104" t="inlineStr">
        <is>
          <t>Требуемый объём, не гарантия лидов от ФК.</t>
        </is>
      </c>
    </row>
    <row r="7" ht="26" customHeight="1">
      <c r="A7" s="104" t="inlineStr">
        <is>
          <t>Лиды, целый операционный ориентир</t>
        </is>
      </c>
      <c r="B7" s="103">
        <f>SUM('04_Продажи'!B17:M17)</f>
        <v/>
      </c>
      <c r="C7" s="103">
        <f>SUM('04_Продажи'!N17:Y17)</f>
        <v/>
      </c>
      <c r="D7" s="103">
        <f>SUM('04_Продажи'!Z17:AK17)</f>
        <v/>
      </c>
      <c r="E7" s="103">
        <f>SUM('04_Продажи'!AL17:AW17)</f>
        <v/>
      </c>
      <c r="F7" s="103">
        <f>SUM('04_Продажи'!AX17:BI17)</f>
        <v/>
      </c>
      <c r="G7" s="117">
        <f>SUM(B7:F7)</f>
        <v/>
      </c>
      <c r="H7" s="104" t="n"/>
    </row>
    <row r="8" ht="26" customHeight="1">
      <c r="A8" s="104" t="inlineStr">
        <is>
          <t>Оплаченные продажи — финансовый план</t>
        </is>
      </c>
      <c r="B8" s="103">
        <f>SUM('04_Продажи'!B15:M15)</f>
        <v/>
      </c>
      <c r="C8" s="103">
        <f>SUM('04_Продажи'!N15:Y15)</f>
        <v/>
      </c>
      <c r="D8" s="103">
        <f>SUM('04_Продажи'!Z15:AK15)</f>
        <v/>
      </c>
      <c r="E8" s="103">
        <f>SUM('04_Продажи'!AL15:AW15)</f>
        <v/>
      </c>
      <c r="F8" s="103">
        <f>SUM('04_Продажи'!AX15:BI15)</f>
        <v/>
      </c>
      <c r="G8" s="117">
        <f>SUM(B8:F8)</f>
        <v/>
      </c>
      <c r="H8" s="104" t="n"/>
    </row>
    <row r="9" ht="26" customHeight="1">
      <c r="A9" s="104" t="inlineStr">
        <is>
          <t>Продажи — целый операционный ориентир</t>
        </is>
      </c>
      <c r="B9" s="103">
        <f>SUM('04_Продажи'!B16:M16)</f>
        <v/>
      </c>
      <c r="C9" s="103">
        <f>SUM('04_Продажи'!N16:Y16)</f>
        <v/>
      </c>
      <c r="D9" s="103">
        <f>SUM('04_Продажи'!Z16:AK16)</f>
        <v/>
      </c>
      <c r="E9" s="103">
        <f>SUM('04_Продажи'!AL16:AW16)</f>
        <v/>
      </c>
      <c r="F9" s="103">
        <f>SUM('04_Продажи'!AX16:BI16)</f>
        <v/>
      </c>
      <c r="G9" s="117">
        <f>SUM(B9:F9)</f>
        <v/>
      </c>
      <c r="H9" s="104" t="inlineStr">
        <is>
          <t>Округление накопленного плана; сумма сезона сохранена.</t>
        </is>
      </c>
    </row>
    <row r="10" ht="26" customHeight="1">
      <c r="A10" s="104" t="inlineStr">
        <is>
          <t>Открытия школ</t>
        </is>
      </c>
      <c r="B10" s="103">
        <f>SUM('04_Продажи'!B18:M18)</f>
        <v/>
      </c>
      <c r="C10" s="103">
        <f>SUM('04_Продажи'!N18:Y18)</f>
        <v/>
      </c>
      <c r="D10" s="103">
        <f>SUM('04_Продажи'!Z18:AK18)</f>
        <v/>
      </c>
      <c r="E10" s="103">
        <f>SUM('04_Продажи'!AL18:AW18)</f>
        <v/>
      </c>
      <c r="F10" s="103">
        <f>SUM('04_Продажи'!AX18:BI18)</f>
        <v/>
      </c>
      <c r="G10" s="117">
        <f>SUM(B10:F10)</f>
        <v/>
      </c>
      <c r="H10" s="104" t="n"/>
    </row>
    <row r="11" ht="26" customHeight="1">
      <c r="A11" s="104" t="inlineStr">
        <is>
          <t>Подключения школ к ERP</t>
        </is>
      </c>
      <c r="B11" s="103">
        <f>SUM('06_Сеть_и_дети'!B43:M43)</f>
        <v/>
      </c>
      <c r="C11" s="103">
        <f>SUM('06_Сеть_и_дети'!N43:Y43)</f>
        <v/>
      </c>
      <c r="D11" s="103">
        <f>SUM('06_Сеть_и_дети'!Z43:AK43)</f>
        <v/>
      </c>
      <c r="E11" s="103">
        <f>SUM('06_Сеть_и_дети'!AL43:AW43)</f>
        <v/>
      </c>
      <c r="F11" s="103">
        <f>SUM('06_Сеть_и_дети'!AX43:BI43)</f>
        <v/>
      </c>
      <c r="G11" s="117">
        <f>SUM(B11:F11)</f>
        <v/>
      </c>
      <c r="H11" s="104" t="n"/>
    </row>
    <row r="12" ht="26" customHeight="1">
      <c r="A12" s="104" t="inlineStr">
        <is>
          <t>Продано, но ещё не открыто на конец</t>
        </is>
      </c>
      <c r="B12" s="103">
        <f>SUM('04_Продажи'!$B$15:M15)-SUM('04_Продажи'!$B$18:M18)</f>
        <v/>
      </c>
      <c r="C12" s="103">
        <f>SUM('04_Продажи'!$B$15:Y15)-SUM('04_Продажи'!$B$18:Y18)</f>
        <v/>
      </c>
      <c r="D12" s="103">
        <f>SUM('04_Продажи'!$B$15:AK15)-SUM('04_Продажи'!$B$18:AK18)</f>
        <v/>
      </c>
      <c r="E12" s="103">
        <f>SUM('04_Продажи'!$B$15:AW15)-SUM('04_Продажи'!$B$18:AW18)</f>
        <v/>
      </c>
      <c r="F12" s="103">
        <f>SUM('04_Продажи'!$B$15:BI15)-SUM('04_Продажи'!$B$18:BI18)</f>
        <v/>
      </c>
      <c r="G12" s="117">
        <f>F12</f>
        <v/>
      </c>
      <c r="H12" s="104" t="inlineStr">
        <is>
          <t>Хвост последнего сезона не потерян: запуск за горизонтом.</t>
        </is>
      </c>
    </row>
    <row r="13" ht="26" customHeight="1">
      <c r="A13" s="104" t="inlineStr">
        <is>
          <t>Таргетированная реклама, ₽</t>
        </is>
      </c>
      <c r="B13" s="103">
        <f>SUM('04_Продажи'!B21:M21)</f>
        <v/>
      </c>
      <c r="C13" s="103">
        <f>SUM('04_Продажи'!N21:Y21)</f>
        <v/>
      </c>
      <c r="D13" s="103">
        <f>SUM('04_Продажи'!Z21:AK21)</f>
        <v/>
      </c>
      <c r="E13" s="103">
        <f>SUM('04_Продажи'!AL21:AW21)</f>
        <v/>
      </c>
      <c r="F13" s="103">
        <f>SUM('04_Продажи'!AX21:BI21)</f>
        <v/>
      </c>
      <c r="G13" s="117">
        <f>SUM(B13:F13)</f>
        <v/>
      </c>
      <c r="H13" s="104" t="n"/>
    </row>
    <row r="14" ht="26" customHeight="1">
      <c r="A14" s="104" t="inlineStr">
        <is>
          <t>Все затраты привлечения, ₽</t>
        </is>
      </c>
      <c r="B14" s="103">
        <f>SUM('04_Продажи'!B23:M23)</f>
        <v/>
      </c>
      <c r="C14" s="103">
        <f>SUM('04_Продажи'!N23:Y23)</f>
        <v/>
      </c>
      <c r="D14" s="103">
        <f>SUM('04_Продажи'!Z23:AK23)</f>
        <v/>
      </c>
      <c r="E14" s="103">
        <f>SUM('04_Продажи'!AL23:AW23)</f>
        <v/>
      </c>
      <c r="F14" s="103">
        <f>SUM('04_Продажи'!AX23:BI23)</f>
        <v/>
      </c>
      <c r="G14" s="117">
        <f>SUM(B14:F14)</f>
        <v/>
      </c>
      <c r="H14" s="104" t="n"/>
    </row>
    <row r="15" ht="26" customHeight="1">
      <c r="A15" s="104" t="inlineStr">
        <is>
          <t>Конверсия лид → оплаченная продажа</t>
        </is>
      </c>
      <c r="B15" s="116">
        <f>'01_Вводные'!$B$25</f>
        <v/>
      </c>
      <c r="C15" s="116">
        <f>'01_Вводные'!$B$25</f>
        <v/>
      </c>
      <c r="D15" s="116">
        <f>'01_Вводные'!$B$25</f>
        <v/>
      </c>
      <c r="E15" s="116">
        <f>'01_Вводные'!$B$25</f>
        <v/>
      </c>
      <c r="F15" s="116">
        <f>'01_Вводные'!$B$25</f>
        <v/>
      </c>
      <c r="G15" s="118">
        <f>F15</f>
        <v/>
      </c>
      <c r="H15" s="104" t="n"/>
    </row>
    <row r="16"/>
    <row r="17"/>
    <row r="18" ht="27" customHeight="1">
      <c r="A18" s="60" t="inlineStr">
        <is>
          <t>Помесячная воронка</t>
        </is>
      </c>
    </row>
    <row r="19" ht="33" customHeight="1">
      <c r="A19" s="87" t="inlineStr">
        <is>
          <t>Показатель</t>
        </is>
      </c>
      <c r="B19" s="119">
        <f>'04_Продажи'!B11</f>
        <v/>
      </c>
      <c r="C19" s="119">
        <f>'04_Продажи'!C11</f>
        <v/>
      </c>
      <c r="D19" s="119">
        <f>'04_Продажи'!D11</f>
        <v/>
      </c>
      <c r="E19" s="119">
        <f>'04_Продажи'!E11</f>
        <v/>
      </c>
      <c r="F19" s="119">
        <f>'04_Продажи'!F11</f>
        <v/>
      </c>
      <c r="G19" s="119">
        <f>'04_Продажи'!G11</f>
        <v/>
      </c>
      <c r="H19" s="119">
        <f>'04_Продажи'!H11</f>
        <v/>
      </c>
      <c r="I19" s="120">
        <f>'04_Продажи'!I11</f>
        <v/>
      </c>
      <c r="J19" s="120">
        <f>'04_Продажи'!J11</f>
        <v/>
      </c>
      <c r="K19" s="120">
        <f>'04_Продажи'!K11</f>
        <v/>
      </c>
      <c r="L19" s="120">
        <f>'04_Продажи'!L11</f>
        <v/>
      </c>
      <c r="M19" s="120">
        <f>'04_Продажи'!M11</f>
        <v/>
      </c>
      <c r="N19" s="120">
        <f>'04_Продажи'!N11</f>
        <v/>
      </c>
      <c r="O19" s="120">
        <f>'04_Продажи'!O11</f>
        <v/>
      </c>
      <c r="P19" s="120">
        <f>'04_Продажи'!P11</f>
        <v/>
      </c>
      <c r="Q19" s="120">
        <f>'04_Продажи'!Q11</f>
        <v/>
      </c>
      <c r="R19" s="120">
        <f>'04_Продажи'!R11</f>
        <v/>
      </c>
      <c r="S19" s="120">
        <f>'04_Продажи'!S11</f>
        <v/>
      </c>
      <c r="T19" s="120">
        <f>'04_Продажи'!T11</f>
        <v/>
      </c>
      <c r="U19" s="120">
        <f>'04_Продажи'!U11</f>
        <v/>
      </c>
      <c r="V19" s="120">
        <f>'04_Продажи'!V11</f>
        <v/>
      </c>
      <c r="W19" s="120">
        <f>'04_Продажи'!W11</f>
        <v/>
      </c>
      <c r="X19" s="120">
        <f>'04_Продажи'!X11</f>
        <v/>
      </c>
      <c r="Y19" s="120">
        <f>'04_Продажи'!Y11</f>
        <v/>
      </c>
      <c r="Z19" s="120">
        <f>'04_Продажи'!Z11</f>
        <v/>
      </c>
      <c r="AA19" s="120">
        <f>'04_Продажи'!AA11</f>
        <v/>
      </c>
      <c r="AB19" s="120">
        <f>'04_Продажи'!AB11</f>
        <v/>
      </c>
      <c r="AC19" s="120">
        <f>'04_Продажи'!AC11</f>
        <v/>
      </c>
      <c r="AD19" s="120">
        <f>'04_Продажи'!AD11</f>
        <v/>
      </c>
      <c r="AE19" s="120">
        <f>'04_Продажи'!AE11</f>
        <v/>
      </c>
      <c r="AF19" s="120">
        <f>'04_Продажи'!AF11</f>
        <v/>
      </c>
      <c r="AG19" s="120">
        <f>'04_Продажи'!AG11</f>
        <v/>
      </c>
      <c r="AH19" s="120">
        <f>'04_Продажи'!AH11</f>
        <v/>
      </c>
      <c r="AI19" s="120">
        <f>'04_Продажи'!AI11</f>
        <v/>
      </c>
      <c r="AJ19" s="120">
        <f>'04_Продажи'!AJ11</f>
        <v/>
      </c>
      <c r="AK19" s="120">
        <f>'04_Продажи'!AK11</f>
        <v/>
      </c>
      <c r="AL19" s="120">
        <f>'04_Продажи'!AL11</f>
        <v/>
      </c>
      <c r="AM19" s="120">
        <f>'04_Продажи'!AM11</f>
        <v/>
      </c>
      <c r="AN19" s="120">
        <f>'04_Продажи'!AN11</f>
        <v/>
      </c>
      <c r="AO19" s="120">
        <f>'04_Продажи'!AO11</f>
        <v/>
      </c>
      <c r="AP19" s="120">
        <f>'04_Продажи'!AP11</f>
        <v/>
      </c>
      <c r="AQ19" s="120">
        <f>'04_Продажи'!AQ11</f>
        <v/>
      </c>
      <c r="AR19" s="120">
        <f>'04_Продажи'!AR11</f>
        <v/>
      </c>
      <c r="AS19" s="120">
        <f>'04_Продажи'!AS11</f>
        <v/>
      </c>
      <c r="AT19" s="120">
        <f>'04_Продажи'!AT11</f>
        <v/>
      </c>
      <c r="AU19" s="120">
        <f>'04_Продажи'!AU11</f>
        <v/>
      </c>
      <c r="AV19" s="120">
        <f>'04_Продажи'!AV11</f>
        <v/>
      </c>
      <c r="AW19" s="120">
        <f>'04_Продажи'!AW11</f>
        <v/>
      </c>
      <c r="AX19" s="120">
        <f>'04_Продажи'!AX11</f>
        <v/>
      </c>
      <c r="AY19" s="120">
        <f>'04_Продажи'!AY11</f>
        <v/>
      </c>
      <c r="AZ19" s="120">
        <f>'04_Продажи'!AZ11</f>
        <v/>
      </c>
      <c r="BA19" s="120">
        <f>'04_Продажи'!BA11</f>
        <v/>
      </c>
      <c r="BB19" s="120">
        <f>'04_Продажи'!BB11</f>
        <v/>
      </c>
      <c r="BC19" s="120">
        <f>'04_Продажи'!BC11</f>
        <v/>
      </c>
      <c r="BD19" s="120">
        <f>'04_Продажи'!BD11</f>
        <v/>
      </c>
      <c r="BE19" s="120">
        <f>'04_Продажи'!BE11</f>
        <v/>
      </c>
      <c r="BF19" s="120">
        <f>'04_Продажи'!BF11</f>
        <v/>
      </c>
      <c r="BG19" s="120">
        <f>'04_Продажи'!BG11</f>
        <v/>
      </c>
      <c r="BH19" s="120">
        <f>'04_Продажи'!BH11</f>
        <v/>
      </c>
      <c r="BI19" s="120">
        <f>'04_Продажи'!BI11</f>
        <v/>
      </c>
    </row>
    <row r="20" ht="26" customHeight="1">
      <c r="A20" s="104" t="inlineStr">
        <is>
          <t>Лиды, шт.</t>
        </is>
      </c>
      <c r="B20" s="103">
        <f>'04_Продажи'!B17</f>
        <v/>
      </c>
      <c r="C20" s="103">
        <f>'04_Продажи'!C17</f>
        <v/>
      </c>
      <c r="D20" s="103">
        <f>'04_Продажи'!D17</f>
        <v/>
      </c>
      <c r="E20" s="103">
        <f>'04_Продажи'!E17</f>
        <v/>
      </c>
      <c r="F20" s="103">
        <f>'04_Продажи'!F17</f>
        <v/>
      </c>
      <c r="G20" s="103">
        <f>'04_Продажи'!G17</f>
        <v/>
      </c>
      <c r="H20" s="103">
        <f>'04_Продажи'!H17</f>
        <v/>
      </c>
      <c r="I20" s="103">
        <f>'04_Продажи'!I17</f>
        <v/>
      </c>
      <c r="J20" s="103">
        <f>'04_Продажи'!J17</f>
        <v/>
      </c>
      <c r="K20" s="103">
        <f>'04_Продажи'!K17</f>
        <v/>
      </c>
      <c r="L20" s="103">
        <f>'04_Продажи'!L17</f>
        <v/>
      </c>
      <c r="M20" s="103">
        <f>'04_Продажи'!M17</f>
        <v/>
      </c>
      <c r="N20" s="103">
        <f>'04_Продажи'!N17</f>
        <v/>
      </c>
      <c r="O20" s="103">
        <f>'04_Продажи'!O17</f>
        <v/>
      </c>
      <c r="P20" s="103">
        <f>'04_Продажи'!P17</f>
        <v/>
      </c>
      <c r="Q20" s="103">
        <f>'04_Продажи'!Q17</f>
        <v/>
      </c>
      <c r="R20" s="103">
        <f>'04_Продажи'!R17</f>
        <v/>
      </c>
      <c r="S20" s="103">
        <f>'04_Продажи'!S17</f>
        <v/>
      </c>
      <c r="T20" s="103">
        <f>'04_Продажи'!T17</f>
        <v/>
      </c>
      <c r="U20" s="103">
        <f>'04_Продажи'!U17</f>
        <v/>
      </c>
      <c r="V20" s="103">
        <f>'04_Продажи'!V17</f>
        <v/>
      </c>
      <c r="W20" s="103">
        <f>'04_Продажи'!W17</f>
        <v/>
      </c>
      <c r="X20" s="103">
        <f>'04_Продажи'!X17</f>
        <v/>
      </c>
      <c r="Y20" s="103">
        <f>'04_Продажи'!Y17</f>
        <v/>
      </c>
      <c r="Z20" s="103">
        <f>'04_Продажи'!Z17</f>
        <v/>
      </c>
      <c r="AA20" s="103">
        <f>'04_Продажи'!AA17</f>
        <v/>
      </c>
      <c r="AB20" s="103">
        <f>'04_Продажи'!AB17</f>
        <v/>
      </c>
      <c r="AC20" s="103">
        <f>'04_Продажи'!AC17</f>
        <v/>
      </c>
      <c r="AD20" s="103">
        <f>'04_Продажи'!AD17</f>
        <v/>
      </c>
      <c r="AE20" s="103">
        <f>'04_Продажи'!AE17</f>
        <v/>
      </c>
      <c r="AF20" s="103">
        <f>'04_Продажи'!AF17</f>
        <v/>
      </c>
      <c r="AG20" s="103">
        <f>'04_Продажи'!AG17</f>
        <v/>
      </c>
      <c r="AH20" s="103">
        <f>'04_Продажи'!AH17</f>
        <v/>
      </c>
      <c r="AI20" s="103">
        <f>'04_Продажи'!AI17</f>
        <v/>
      </c>
      <c r="AJ20" s="103">
        <f>'04_Продажи'!AJ17</f>
        <v/>
      </c>
      <c r="AK20" s="103">
        <f>'04_Продажи'!AK17</f>
        <v/>
      </c>
      <c r="AL20" s="103">
        <f>'04_Продажи'!AL17</f>
        <v/>
      </c>
      <c r="AM20" s="103">
        <f>'04_Продажи'!AM17</f>
        <v/>
      </c>
      <c r="AN20" s="103">
        <f>'04_Продажи'!AN17</f>
        <v/>
      </c>
      <c r="AO20" s="103">
        <f>'04_Продажи'!AO17</f>
        <v/>
      </c>
      <c r="AP20" s="103">
        <f>'04_Продажи'!AP17</f>
        <v/>
      </c>
      <c r="AQ20" s="103">
        <f>'04_Продажи'!AQ17</f>
        <v/>
      </c>
      <c r="AR20" s="103">
        <f>'04_Продажи'!AR17</f>
        <v/>
      </c>
      <c r="AS20" s="103">
        <f>'04_Продажи'!AS17</f>
        <v/>
      </c>
      <c r="AT20" s="103">
        <f>'04_Продажи'!AT17</f>
        <v/>
      </c>
      <c r="AU20" s="103">
        <f>'04_Продажи'!AU17</f>
        <v/>
      </c>
      <c r="AV20" s="103">
        <f>'04_Продажи'!AV17</f>
        <v/>
      </c>
      <c r="AW20" s="103">
        <f>'04_Продажи'!AW17</f>
        <v/>
      </c>
      <c r="AX20" s="103">
        <f>'04_Продажи'!AX17</f>
        <v/>
      </c>
      <c r="AY20" s="103">
        <f>'04_Продажи'!AY17</f>
        <v/>
      </c>
      <c r="AZ20" s="103">
        <f>'04_Продажи'!AZ17</f>
        <v/>
      </c>
      <c r="BA20" s="103">
        <f>'04_Продажи'!BA17</f>
        <v/>
      </c>
      <c r="BB20" s="103">
        <f>'04_Продажи'!BB17</f>
        <v/>
      </c>
      <c r="BC20" s="103">
        <f>'04_Продажи'!BC17</f>
        <v/>
      </c>
      <c r="BD20" s="103">
        <f>'04_Продажи'!BD17</f>
        <v/>
      </c>
      <c r="BE20" s="103">
        <f>'04_Продажи'!BE17</f>
        <v/>
      </c>
      <c r="BF20" s="103">
        <f>'04_Продажи'!BF17</f>
        <v/>
      </c>
      <c r="BG20" s="103">
        <f>'04_Продажи'!BG17</f>
        <v/>
      </c>
      <c r="BH20" s="103">
        <f>'04_Продажи'!BH17</f>
        <v/>
      </c>
      <c r="BI20" s="121">
        <f>'04_Продажи'!BI17</f>
        <v/>
      </c>
    </row>
    <row r="21" ht="26" customHeight="1">
      <c r="A21" s="104" t="inlineStr">
        <is>
          <t>Оплаченные продажи</t>
        </is>
      </c>
      <c r="B21" s="103">
        <f>'04_Продажи'!B15</f>
        <v/>
      </c>
      <c r="C21" s="103">
        <f>'04_Продажи'!C15</f>
        <v/>
      </c>
      <c r="D21" s="103">
        <f>'04_Продажи'!D15</f>
        <v/>
      </c>
      <c r="E21" s="103">
        <f>'04_Продажи'!E15</f>
        <v/>
      </c>
      <c r="F21" s="103">
        <f>'04_Продажи'!F15</f>
        <v/>
      </c>
      <c r="G21" s="103">
        <f>'04_Продажи'!G15</f>
        <v/>
      </c>
      <c r="H21" s="103">
        <f>'04_Продажи'!H15</f>
        <v/>
      </c>
      <c r="I21" s="103">
        <f>'04_Продажи'!I15</f>
        <v/>
      </c>
      <c r="J21" s="103">
        <f>'04_Продажи'!J15</f>
        <v/>
      </c>
      <c r="K21" s="103">
        <f>'04_Продажи'!K15</f>
        <v/>
      </c>
      <c r="L21" s="103">
        <f>'04_Продажи'!L15</f>
        <v/>
      </c>
      <c r="M21" s="103">
        <f>'04_Продажи'!M15</f>
        <v/>
      </c>
      <c r="N21" s="103">
        <f>'04_Продажи'!N15</f>
        <v/>
      </c>
      <c r="O21" s="103">
        <f>'04_Продажи'!O15</f>
        <v/>
      </c>
      <c r="P21" s="103">
        <f>'04_Продажи'!P15</f>
        <v/>
      </c>
      <c r="Q21" s="103">
        <f>'04_Продажи'!Q15</f>
        <v/>
      </c>
      <c r="R21" s="103">
        <f>'04_Продажи'!R15</f>
        <v/>
      </c>
      <c r="S21" s="103">
        <f>'04_Продажи'!S15</f>
        <v/>
      </c>
      <c r="T21" s="103">
        <f>'04_Продажи'!T15</f>
        <v/>
      </c>
      <c r="U21" s="103">
        <f>'04_Продажи'!U15</f>
        <v/>
      </c>
      <c r="V21" s="103">
        <f>'04_Продажи'!V15</f>
        <v/>
      </c>
      <c r="W21" s="103">
        <f>'04_Продажи'!W15</f>
        <v/>
      </c>
      <c r="X21" s="103">
        <f>'04_Продажи'!X15</f>
        <v/>
      </c>
      <c r="Y21" s="103">
        <f>'04_Продажи'!Y15</f>
        <v/>
      </c>
      <c r="Z21" s="103">
        <f>'04_Продажи'!Z15</f>
        <v/>
      </c>
      <c r="AA21" s="103">
        <f>'04_Продажи'!AA15</f>
        <v/>
      </c>
      <c r="AB21" s="103">
        <f>'04_Продажи'!AB15</f>
        <v/>
      </c>
      <c r="AC21" s="103">
        <f>'04_Продажи'!AC15</f>
        <v/>
      </c>
      <c r="AD21" s="103">
        <f>'04_Продажи'!AD15</f>
        <v/>
      </c>
      <c r="AE21" s="103">
        <f>'04_Продажи'!AE15</f>
        <v/>
      </c>
      <c r="AF21" s="103">
        <f>'04_Продажи'!AF15</f>
        <v/>
      </c>
      <c r="AG21" s="103">
        <f>'04_Продажи'!AG15</f>
        <v/>
      </c>
      <c r="AH21" s="103">
        <f>'04_Продажи'!AH15</f>
        <v/>
      </c>
      <c r="AI21" s="103">
        <f>'04_Продажи'!AI15</f>
        <v/>
      </c>
      <c r="AJ21" s="103">
        <f>'04_Продажи'!AJ15</f>
        <v/>
      </c>
      <c r="AK21" s="103">
        <f>'04_Продажи'!AK15</f>
        <v/>
      </c>
      <c r="AL21" s="103">
        <f>'04_Продажи'!AL15</f>
        <v/>
      </c>
      <c r="AM21" s="103">
        <f>'04_Продажи'!AM15</f>
        <v/>
      </c>
      <c r="AN21" s="103">
        <f>'04_Продажи'!AN15</f>
        <v/>
      </c>
      <c r="AO21" s="103">
        <f>'04_Продажи'!AO15</f>
        <v/>
      </c>
      <c r="AP21" s="103">
        <f>'04_Продажи'!AP15</f>
        <v/>
      </c>
      <c r="AQ21" s="103">
        <f>'04_Продажи'!AQ15</f>
        <v/>
      </c>
      <c r="AR21" s="103">
        <f>'04_Продажи'!AR15</f>
        <v/>
      </c>
      <c r="AS21" s="103">
        <f>'04_Продажи'!AS15</f>
        <v/>
      </c>
      <c r="AT21" s="103">
        <f>'04_Продажи'!AT15</f>
        <v/>
      </c>
      <c r="AU21" s="103">
        <f>'04_Продажи'!AU15</f>
        <v/>
      </c>
      <c r="AV21" s="103">
        <f>'04_Продажи'!AV15</f>
        <v/>
      </c>
      <c r="AW21" s="103">
        <f>'04_Продажи'!AW15</f>
        <v/>
      </c>
      <c r="AX21" s="103">
        <f>'04_Продажи'!AX15</f>
        <v/>
      </c>
      <c r="AY21" s="103">
        <f>'04_Продажи'!AY15</f>
        <v/>
      </c>
      <c r="AZ21" s="103">
        <f>'04_Продажи'!AZ15</f>
        <v/>
      </c>
      <c r="BA21" s="103">
        <f>'04_Продажи'!BA15</f>
        <v/>
      </c>
      <c r="BB21" s="103">
        <f>'04_Продажи'!BB15</f>
        <v/>
      </c>
      <c r="BC21" s="103">
        <f>'04_Продажи'!BC15</f>
        <v/>
      </c>
      <c r="BD21" s="103">
        <f>'04_Продажи'!BD15</f>
        <v/>
      </c>
      <c r="BE21" s="103">
        <f>'04_Продажи'!BE15</f>
        <v/>
      </c>
      <c r="BF21" s="103">
        <f>'04_Продажи'!BF15</f>
        <v/>
      </c>
      <c r="BG21" s="103">
        <f>'04_Продажи'!BG15</f>
        <v/>
      </c>
      <c r="BH21" s="103">
        <f>'04_Продажи'!BH15</f>
        <v/>
      </c>
      <c r="BI21" s="121">
        <f>'04_Продажи'!BI15</f>
        <v/>
      </c>
    </row>
    <row r="22" ht="26" customHeight="1">
      <c r="A22" s="104" t="inlineStr">
        <is>
          <t>Продажи целые</t>
        </is>
      </c>
      <c r="B22" s="103">
        <f>'04_Продажи'!B16</f>
        <v/>
      </c>
      <c r="C22" s="103">
        <f>'04_Продажи'!C16</f>
        <v/>
      </c>
      <c r="D22" s="103">
        <f>'04_Продажи'!D16</f>
        <v/>
      </c>
      <c r="E22" s="103">
        <f>'04_Продажи'!E16</f>
        <v/>
      </c>
      <c r="F22" s="103">
        <f>'04_Продажи'!F16</f>
        <v/>
      </c>
      <c r="G22" s="103">
        <f>'04_Продажи'!G16</f>
        <v/>
      </c>
      <c r="H22" s="103">
        <f>'04_Продажи'!H16</f>
        <v/>
      </c>
      <c r="I22" s="103">
        <f>'04_Продажи'!I16</f>
        <v/>
      </c>
      <c r="J22" s="103">
        <f>'04_Продажи'!J16</f>
        <v/>
      </c>
      <c r="K22" s="103">
        <f>'04_Продажи'!K16</f>
        <v/>
      </c>
      <c r="L22" s="103">
        <f>'04_Продажи'!L16</f>
        <v/>
      </c>
      <c r="M22" s="103">
        <f>'04_Продажи'!M16</f>
        <v/>
      </c>
      <c r="N22" s="103">
        <f>'04_Продажи'!N16</f>
        <v/>
      </c>
      <c r="O22" s="103">
        <f>'04_Продажи'!O16</f>
        <v/>
      </c>
      <c r="P22" s="103">
        <f>'04_Продажи'!P16</f>
        <v/>
      </c>
      <c r="Q22" s="103">
        <f>'04_Продажи'!Q16</f>
        <v/>
      </c>
      <c r="R22" s="103">
        <f>'04_Продажи'!R16</f>
        <v/>
      </c>
      <c r="S22" s="103">
        <f>'04_Продажи'!S16</f>
        <v/>
      </c>
      <c r="T22" s="103">
        <f>'04_Продажи'!T16</f>
        <v/>
      </c>
      <c r="U22" s="103">
        <f>'04_Продажи'!U16</f>
        <v/>
      </c>
      <c r="V22" s="103">
        <f>'04_Продажи'!V16</f>
        <v/>
      </c>
      <c r="W22" s="103">
        <f>'04_Продажи'!W16</f>
        <v/>
      </c>
      <c r="X22" s="103">
        <f>'04_Продажи'!X16</f>
        <v/>
      </c>
      <c r="Y22" s="103">
        <f>'04_Продажи'!Y16</f>
        <v/>
      </c>
      <c r="Z22" s="103">
        <f>'04_Продажи'!Z16</f>
        <v/>
      </c>
      <c r="AA22" s="103">
        <f>'04_Продажи'!AA16</f>
        <v/>
      </c>
      <c r="AB22" s="103">
        <f>'04_Продажи'!AB16</f>
        <v/>
      </c>
      <c r="AC22" s="103">
        <f>'04_Продажи'!AC16</f>
        <v/>
      </c>
      <c r="AD22" s="103">
        <f>'04_Продажи'!AD16</f>
        <v/>
      </c>
      <c r="AE22" s="103">
        <f>'04_Продажи'!AE16</f>
        <v/>
      </c>
      <c r="AF22" s="103">
        <f>'04_Продажи'!AF16</f>
        <v/>
      </c>
      <c r="AG22" s="103">
        <f>'04_Продажи'!AG16</f>
        <v/>
      </c>
      <c r="AH22" s="103">
        <f>'04_Продажи'!AH16</f>
        <v/>
      </c>
      <c r="AI22" s="103">
        <f>'04_Продажи'!AI16</f>
        <v/>
      </c>
      <c r="AJ22" s="103">
        <f>'04_Продажи'!AJ16</f>
        <v/>
      </c>
      <c r="AK22" s="103">
        <f>'04_Продажи'!AK16</f>
        <v/>
      </c>
      <c r="AL22" s="103">
        <f>'04_Продажи'!AL16</f>
        <v/>
      </c>
      <c r="AM22" s="103">
        <f>'04_Продажи'!AM16</f>
        <v/>
      </c>
      <c r="AN22" s="103">
        <f>'04_Продажи'!AN16</f>
        <v/>
      </c>
      <c r="AO22" s="103">
        <f>'04_Продажи'!AO16</f>
        <v/>
      </c>
      <c r="AP22" s="103">
        <f>'04_Продажи'!AP16</f>
        <v/>
      </c>
      <c r="AQ22" s="103">
        <f>'04_Продажи'!AQ16</f>
        <v/>
      </c>
      <c r="AR22" s="103">
        <f>'04_Продажи'!AR16</f>
        <v/>
      </c>
      <c r="AS22" s="103">
        <f>'04_Продажи'!AS16</f>
        <v/>
      </c>
      <c r="AT22" s="103">
        <f>'04_Продажи'!AT16</f>
        <v/>
      </c>
      <c r="AU22" s="103">
        <f>'04_Продажи'!AU16</f>
        <v/>
      </c>
      <c r="AV22" s="103">
        <f>'04_Продажи'!AV16</f>
        <v/>
      </c>
      <c r="AW22" s="103">
        <f>'04_Продажи'!AW16</f>
        <v/>
      </c>
      <c r="AX22" s="103">
        <f>'04_Продажи'!AX16</f>
        <v/>
      </c>
      <c r="AY22" s="103">
        <f>'04_Продажи'!AY16</f>
        <v/>
      </c>
      <c r="AZ22" s="103">
        <f>'04_Продажи'!AZ16</f>
        <v/>
      </c>
      <c r="BA22" s="103">
        <f>'04_Продажи'!BA16</f>
        <v/>
      </c>
      <c r="BB22" s="103">
        <f>'04_Продажи'!BB16</f>
        <v/>
      </c>
      <c r="BC22" s="103">
        <f>'04_Продажи'!BC16</f>
        <v/>
      </c>
      <c r="BD22" s="103">
        <f>'04_Продажи'!BD16</f>
        <v/>
      </c>
      <c r="BE22" s="103">
        <f>'04_Продажи'!BE16</f>
        <v/>
      </c>
      <c r="BF22" s="103">
        <f>'04_Продажи'!BF16</f>
        <v/>
      </c>
      <c r="BG22" s="103">
        <f>'04_Продажи'!BG16</f>
        <v/>
      </c>
      <c r="BH22" s="103">
        <f>'04_Продажи'!BH16</f>
        <v/>
      </c>
      <c r="BI22" s="121">
        <f>'04_Продажи'!BI16</f>
        <v/>
      </c>
    </row>
    <row r="23" ht="26" customHeight="1">
      <c r="A23" s="104" t="inlineStr">
        <is>
          <t>Открытия школ</t>
        </is>
      </c>
      <c r="B23" s="103">
        <f>'04_Продажи'!B18</f>
        <v/>
      </c>
      <c r="C23" s="103">
        <f>'04_Продажи'!C18</f>
        <v/>
      </c>
      <c r="D23" s="103">
        <f>'04_Продажи'!D18</f>
        <v/>
      </c>
      <c r="E23" s="103">
        <f>'04_Продажи'!E18</f>
        <v/>
      </c>
      <c r="F23" s="103">
        <f>'04_Продажи'!F18</f>
        <v/>
      </c>
      <c r="G23" s="103">
        <f>'04_Продажи'!G18</f>
        <v/>
      </c>
      <c r="H23" s="103">
        <f>'04_Продажи'!H18</f>
        <v/>
      </c>
      <c r="I23" s="103">
        <f>'04_Продажи'!I18</f>
        <v/>
      </c>
      <c r="J23" s="103">
        <f>'04_Продажи'!J18</f>
        <v/>
      </c>
      <c r="K23" s="103">
        <f>'04_Продажи'!K18</f>
        <v/>
      </c>
      <c r="L23" s="103">
        <f>'04_Продажи'!L18</f>
        <v/>
      </c>
      <c r="M23" s="103">
        <f>'04_Продажи'!M18</f>
        <v/>
      </c>
      <c r="N23" s="103">
        <f>'04_Продажи'!N18</f>
        <v/>
      </c>
      <c r="O23" s="103">
        <f>'04_Продажи'!O18</f>
        <v/>
      </c>
      <c r="P23" s="103">
        <f>'04_Продажи'!P18</f>
        <v/>
      </c>
      <c r="Q23" s="103">
        <f>'04_Продажи'!Q18</f>
        <v/>
      </c>
      <c r="R23" s="103">
        <f>'04_Продажи'!R18</f>
        <v/>
      </c>
      <c r="S23" s="103">
        <f>'04_Продажи'!S18</f>
        <v/>
      </c>
      <c r="T23" s="103">
        <f>'04_Продажи'!T18</f>
        <v/>
      </c>
      <c r="U23" s="103">
        <f>'04_Продажи'!U18</f>
        <v/>
      </c>
      <c r="V23" s="103">
        <f>'04_Продажи'!V18</f>
        <v/>
      </c>
      <c r="W23" s="103">
        <f>'04_Продажи'!W18</f>
        <v/>
      </c>
      <c r="X23" s="103">
        <f>'04_Продажи'!X18</f>
        <v/>
      </c>
      <c r="Y23" s="103">
        <f>'04_Продажи'!Y18</f>
        <v/>
      </c>
      <c r="Z23" s="103">
        <f>'04_Продажи'!Z18</f>
        <v/>
      </c>
      <c r="AA23" s="103">
        <f>'04_Продажи'!AA18</f>
        <v/>
      </c>
      <c r="AB23" s="103">
        <f>'04_Продажи'!AB18</f>
        <v/>
      </c>
      <c r="AC23" s="103">
        <f>'04_Продажи'!AC18</f>
        <v/>
      </c>
      <c r="AD23" s="103">
        <f>'04_Продажи'!AD18</f>
        <v/>
      </c>
      <c r="AE23" s="103">
        <f>'04_Продажи'!AE18</f>
        <v/>
      </c>
      <c r="AF23" s="103">
        <f>'04_Продажи'!AF18</f>
        <v/>
      </c>
      <c r="AG23" s="103">
        <f>'04_Продажи'!AG18</f>
        <v/>
      </c>
      <c r="AH23" s="103">
        <f>'04_Продажи'!AH18</f>
        <v/>
      </c>
      <c r="AI23" s="103">
        <f>'04_Продажи'!AI18</f>
        <v/>
      </c>
      <c r="AJ23" s="103">
        <f>'04_Продажи'!AJ18</f>
        <v/>
      </c>
      <c r="AK23" s="103">
        <f>'04_Продажи'!AK18</f>
        <v/>
      </c>
      <c r="AL23" s="103">
        <f>'04_Продажи'!AL18</f>
        <v/>
      </c>
      <c r="AM23" s="103">
        <f>'04_Продажи'!AM18</f>
        <v/>
      </c>
      <c r="AN23" s="103">
        <f>'04_Продажи'!AN18</f>
        <v/>
      </c>
      <c r="AO23" s="103">
        <f>'04_Продажи'!AO18</f>
        <v/>
      </c>
      <c r="AP23" s="103">
        <f>'04_Продажи'!AP18</f>
        <v/>
      </c>
      <c r="AQ23" s="103">
        <f>'04_Продажи'!AQ18</f>
        <v/>
      </c>
      <c r="AR23" s="103">
        <f>'04_Продажи'!AR18</f>
        <v/>
      </c>
      <c r="AS23" s="103">
        <f>'04_Продажи'!AS18</f>
        <v/>
      </c>
      <c r="AT23" s="103">
        <f>'04_Продажи'!AT18</f>
        <v/>
      </c>
      <c r="AU23" s="103">
        <f>'04_Продажи'!AU18</f>
        <v/>
      </c>
      <c r="AV23" s="103">
        <f>'04_Продажи'!AV18</f>
        <v/>
      </c>
      <c r="AW23" s="103">
        <f>'04_Продажи'!AW18</f>
        <v/>
      </c>
      <c r="AX23" s="103">
        <f>'04_Продажи'!AX18</f>
        <v/>
      </c>
      <c r="AY23" s="103">
        <f>'04_Продажи'!AY18</f>
        <v/>
      </c>
      <c r="AZ23" s="103">
        <f>'04_Продажи'!AZ18</f>
        <v/>
      </c>
      <c r="BA23" s="103">
        <f>'04_Продажи'!BA18</f>
        <v/>
      </c>
      <c r="BB23" s="103">
        <f>'04_Продажи'!BB18</f>
        <v/>
      </c>
      <c r="BC23" s="103">
        <f>'04_Продажи'!BC18</f>
        <v/>
      </c>
      <c r="BD23" s="103">
        <f>'04_Продажи'!BD18</f>
        <v/>
      </c>
      <c r="BE23" s="103">
        <f>'04_Продажи'!BE18</f>
        <v/>
      </c>
      <c r="BF23" s="103">
        <f>'04_Продажи'!BF18</f>
        <v/>
      </c>
      <c r="BG23" s="103">
        <f>'04_Продажи'!BG18</f>
        <v/>
      </c>
      <c r="BH23" s="103">
        <f>'04_Продажи'!BH18</f>
        <v/>
      </c>
      <c r="BI23" s="121">
        <f>'04_Продажи'!BI18</f>
        <v/>
      </c>
    </row>
    <row r="24" ht="26" customHeight="1">
      <c r="A24" s="104" t="inlineStr">
        <is>
          <t>Подключения ERP</t>
        </is>
      </c>
      <c r="B24" s="103">
        <f>'06_Сеть_и_дети'!B43</f>
        <v/>
      </c>
      <c r="C24" s="103">
        <f>'06_Сеть_и_дети'!C43</f>
        <v/>
      </c>
      <c r="D24" s="103">
        <f>'06_Сеть_и_дети'!D43</f>
        <v/>
      </c>
      <c r="E24" s="103">
        <f>'06_Сеть_и_дети'!E43</f>
        <v/>
      </c>
      <c r="F24" s="103">
        <f>'06_Сеть_и_дети'!F43</f>
        <v/>
      </c>
      <c r="G24" s="103">
        <f>'06_Сеть_и_дети'!G43</f>
        <v/>
      </c>
      <c r="H24" s="103">
        <f>'06_Сеть_и_дети'!H43</f>
        <v/>
      </c>
      <c r="I24" s="103">
        <f>'06_Сеть_и_дети'!I43</f>
        <v/>
      </c>
      <c r="J24" s="103">
        <f>'06_Сеть_и_дети'!J43</f>
        <v/>
      </c>
      <c r="K24" s="103">
        <f>'06_Сеть_и_дети'!K43</f>
        <v/>
      </c>
      <c r="L24" s="103">
        <f>'06_Сеть_и_дети'!L43</f>
        <v/>
      </c>
      <c r="M24" s="103">
        <f>'06_Сеть_и_дети'!M43</f>
        <v/>
      </c>
      <c r="N24" s="103">
        <f>'06_Сеть_и_дети'!N43</f>
        <v/>
      </c>
      <c r="O24" s="103">
        <f>'06_Сеть_и_дети'!O43</f>
        <v/>
      </c>
      <c r="P24" s="103">
        <f>'06_Сеть_и_дети'!P43</f>
        <v/>
      </c>
      <c r="Q24" s="103">
        <f>'06_Сеть_и_дети'!Q43</f>
        <v/>
      </c>
      <c r="R24" s="103">
        <f>'06_Сеть_и_дети'!R43</f>
        <v/>
      </c>
      <c r="S24" s="103">
        <f>'06_Сеть_и_дети'!S43</f>
        <v/>
      </c>
      <c r="T24" s="103">
        <f>'06_Сеть_и_дети'!T43</f>
        <v/>
      </c>
      <c r="U24" s="103">
        <f>'06_Сеть_и_дети'!U43</f>
        <v/>
      </c>
      <c r="V24" s="103">
        <f>'06_Сеть_и_дети'!V43</f>
        <v/>
      </c>
      <c r="W24" s="103">
        <f>'06_Сеть_и_дети'!W43</f>
        <v/>
      </c>
      <c r="X24" s="103">
        <f>'06_Сеть_и_дети'!X43</f>
        <v/>
      </c>
      <c r="Y24" s="103">
        <f>'06_Сеть_и_дети'!Y43</f>
        <v/>
      </c>
      <c r="Z24" s="103">
        <f>'06_Сеть_и_дети'!Z43</f>
        <v/>
      </c>
      <c r="AA24" s="103">
        <f>'06_Сеть_и_дети'!AA43</f>
        <v/>
      </c>
      <c r="AB24" s="103">
        <f>'06_Сеть_и_дети'!AB43</f>
        <v/>
      </c>
      <c r="AC24" s="103">
        <f>'06_Сеть_и_дети'!AC43</f>
        <v/>
      </c>
      <c r="AD24" s="103">
        <f>'06_Сеть_и_дети'!AD43</f>
        <v/>
      </c>
      <c r="AE24" s="103">
        <f>'06_Сеть_и_дети'!AE43</f>
        <v/>
      </c>
      <c r="AF24" s="103">
        <f>'06_Сеть_и_дети'!AF43</f>
        <v/>
      </c>
      <c r="AG24" s="103">
        <f>'06_Сеть_и_дети'!AG43</f>
        <v/>
      </c>
      <c r="AH24" s="103">
        <f>'06_Сеть_и_дети'!AH43</f>
        <v/>
      </c>
      <c r="AI24" s="103">
        <f>'06_Сеть_и_дети'!AI43</f>
        <v/>
      </c>
      <c r="AJ24" s="103">
        <f>'06_Сеть_и_дети'!AJ43</f>
        <v/>
      </c>
      <c r="AK24" s="103">
        <f>'06_Сеть_и_дети'!AK43</f>
        <v/>
      </c>
      <c r="AL24" s="103">
        <f>'06_Сеть_и_дети'!AL43</f>
        <v/>
      </c>
      <c r="AM24" s="103">
        <f>'06_Сеть_и_дети'!AM43</f>
        <v/>
      </c>
      <c r="AN24" s="103">
        <f>'06_Сеть_и_дети'!AN43</f>
        <v/>
      </c>
      <c r="AO24" s="103">
        <f>'06_Сеть_и_дети'!AO43</f>
        <v/>
      </c>
      <c r="AP24" s="103">
        <f>'06_Сеть_и_дети'!AP43</f>
        <v/>
      </c>
      <c r="AQ24" s="103">
        <f>'06_Сеть_и_дети'!AQ43</f>
        <v/>
      </c>
      <c r="AR24" s="103">
        <f>'06_Сеть_и_дети'!AR43</f>
        <v/>
      </c>
      <c r="AS24" s="103">
        <f>'06_Сеть_и_дети'!AS43</f>
        <v/>
      </c>
      <c r="AT24" s="103">
        <f>'06_Сеть_и_дети'!AT43</f>
        <v/>
      </c>
      <c r="AU24" s="103">
        <f>'06_Сеть_и_дети'!AU43</f>
        <v/>
      </c>
      <c r="AV24" s="103">
        <f>'06_Сеть_и_дети'!AV43</f>
        <v/>
      </c>
      <c r="AW24" s="103">
        <f>'06_Сеть_и_дети'!AW43</f>
        <v/>
      </c>
      <c r="AX24" s="103">
        <f>'06_Сеть_и_дети'!AX43</f>
        <v/>
      </c>
      <c r="AY24" s="103">
        <f>'06_Сеть_и_дети'!AY43</f>
        <v/>
      </c>
      <c r="AZ24" s="103">
        <f>'06_Сеть_и_дети'!AZ43</f>
        <v/>
      </c>
      <c r="BA24" s="103">
        <f>'06_Сеть_и_дети'!BA43</f>
        <v/>
      </c>
      <c r="BB24" s="103">
        <f>'06_Сеть_и_дети'!BB43</f>
        <v/>
      </c>
      <c r="BC24" s="103">
        <f>'06_Сеть_и_дети'!BC43</f>
        <v/>
      </c>
      <c r="BD24" s="103">
        <f>'06_Сеть_и_дети'!BD43</f>
        <v/>
      </c>
      <c r="BE24" s="103">
        <f>'06_Сеть_и_дети'!BE43</f>
        <v/>
      </c>
      <c r="BF24" s="103">
        <f>'06_Сеть_и_дети'!BF43</f>
        <v/>
      </c>
      <c r="BG24" s="103">
        <f>'06_Сеть_и_дети'!BG43</f>
        <v/>
      </c>
      <c r="BH24" s="103">
        <f>'06_Сеть_и_дети'!BH43</f>
        <v/>
      </c>
      <c r="BI24" s="121">
        <f>'06_Сеть_и_дети'!BI43</f>
        <v/>
      </c>
    </row>
    <row r="25" ht="26" customHeight="1">
      <c r="A25" s="104" t="inlineStr">
        <is>
          <t>Продано, но не открыто</t>
        </is>
      </c>
      <c r="B25" s="103">
        <f>SUM('04_Продажи'!$B$15:B15)-SUM('04_Продажи'!$B$18:B18)</f>
        <v/>
      </c>
      <c r="C25" s="103">
        <f>SUM('04_Продажи'!$B$15:C15)-SUM('04_Продажи'!$B$18:C18)</f>
        <v/>
      </c>
      <c r="D25" s="103">
        <f>SUM('04_Продажи'!$B$15:D15)-SUM('04_Продажи'!$B$18:D18)</f>
        <v/>
      </c>
      <c r="E25" s="103">
        <f>SUM('04_Продажи'!$B$15:E15)-SUM('04_Продажи'!$B$18:E18)</f>
        <v/>
      </c>
      <c r="F25" s="103">
        <f>SUM('04_Продажи'!$B$15:F15)-SUM('04_Продажи'!$B$18:F18)</f>
        <v/>
      </c>
      <c r="G25" s="103">
        <f>SUM('04_Продажи'!$B$15:G15)-SUM('04_Продажи'!$B$18:G18)</f>
        <v/>
      </c>
      <c r="H25" s="103">
        <f>SUM('04_Продажи'!$B$15:H15)-SUM('04_Продажи'!$B$18:H18)</f>
        <v/>
      </c>
      <c r="I25" s="103">
        <f>SUM('04_Продажи'!$B$15:I15)-SUM('04_Продажи'!$B$18:I18)</f>
        <v/>
      </c>
      <c r="J25" s="103">
        <f>SUM('04_Продажи'!$B$15:J15)-SUM('04_Продажи'!$B$18:J18)</f>
        <v/>
      </c>
      <c r="K25" s="103">
        <f>SUM('04_Продажи'!$B$15:K15)-SUM('04_Продажи'!$B$18:K18)</f>
        <v/>
      </c>
      <c r="L25" s="103">
        <f>SUM('04_Продажи'!$B$15:L15)-SUM('04_Продажи'!$B$18:L18)</f>
        <v/>
      </c>
      <c r="M25" s="103">
        <f>SUM('04_Продажи'!$B$15:M15)-SUM('04_Продажи'!$B$18:M18)</f>
        <v/>
      </c>
      <c r="N25" s="103">
        <f>SUM('04_Продажи'!$B$15:N15)-SUM('04_Продажи'!$B$18:N18)</f>
        <v/>
      </c>
      <c r="O25" s="103">
        <f>SUM('04_Продажи'!$B$15:O15)-SUM('04_Продажи'!$B$18:O18)</f>
        <v/>
      </c>
      <c r="P25" s="103">
        <f>SUM('04_Продажи'!$B$15:P15)-SUM('04_Продажи'!$B$18:P18)</f>
        <v/>
      </c>
      <c r="Q25" s="103">
        <f>SUM('04_Продажи'!$B$15:Q15)-SUM('04_Продажи'!$B$18:Q18)</f>
        <v/>
      </c>
      <c r="R25" s="103">
        <f>SUM('04_Продажи'!$B$15:R15)-SUM('04_Продажи'!$B$18:R18)</f>
        <v/>
      </c>
      <c r="S25" s="103">
        <f>SUM('04_Продажи'!$B$15:S15)-SUM('04_Продажи'!$B$18:S18)</f>
        <v/>
      </c>
      <c r="T25" s="103">
        <f>SUM('04_Продажи'!$B$15:T15)-SUM('04_Продажи'!$B$18:T18)</f>
        <v/>
      </c>
      <c r="U25" s="103">
        <f>SUM('04_Продажи'!$B$15:U15)-SUM('04_Продажи'!$B$18:U18)</f>
        <v/>
      </c>
      <c r="V25" s="103">
        <f>SUM('04_Продажи'!$B$15:V15)-SUM('04_Продажи'!$B$18:V18)</f>
        <v/>
      </c>
      <c r="W25" s="103">
        <f>SUM('04_Продажи'!$B$15:W15)-SUM('04_Продажи'!$B$18:W18)</f>
        <v/>
      </c>
      <c r="X25" s="103">
        <f>SUM('04_Продажи'!$B$15:X15)-SUM('04_Продажи'!$B$18:X18)</f>
        <v/>
      </c>
      <c r="Y25" s="103">
        <f>SUM('04_Продажи'!$B$15:Y15)-SUM('04_Продажи'!$B$18:Y18)</f>
        <v/>
      </c>
      <c r="Z25" s="103">
        <f>SUM('04_Продажи'!$B$15:Z15)-SUM('04_Продажи'!$B$18:Z18)</f>
        <v/>
      </c>
      <c r="AA25" s="103">
        <f>SUM('04_Продажи'!$B$15:AA15)-SUM('04_Продажи'!$B$18:AA18)</f>
        <v/>
      </c>
      <c r="AB25" s="103">
        <f>SUM('04_Продажи'!$B$15:AB15)-SUM('04_Продажи'!$B$18:AB18)</f>
        <v/>
      </c>
      <c r="AC25" s="103">
        <f>SUM('04_Продажи'!$B$15:AC15)-SUM('04_Продажи'!$B$18:AC18)</f>
        <v/>
      </c>
      <c r="AD25" s="103">
        <f>SUM('04_Продажи'!$B$15:AD15)-SUM('04_Продажи'!$B$18:AD18)</f>
        <v/>
      </c>
      <c r="AE25" s="103">
        <f>SUM('04_Продажи'!$B$15:AE15)-SUM('04_Продажи'!$B$18:AE18)</f>
        <v/>
      </c>
      <c r="AF25" s="103">
        <f>SUM('04_Продажи'!$B$15:AF15)-SUM('04_Продажи'!$B$18:AF18)</f>
        <v/>
      </c>
      <c r="AG25" s="103">
        <f>SUM('04_Продажи'!$B$15:AG15)-SUM('04_Продажи'!$B$18:AG18)</f>
        <v/>
      </c>
      <c r="AH25" s="103">
        <f>SUM('04_Продажи'!$B$15:AH15)-SUM('04_Продажи'!$B$18:AH18)</f>
        <v/>
      </c>
      <c r="AI25" s="103">
        <f>SUM('04_Продажи'!$B$15:AI15)-SUM('04_Продажи'!$B$18:AI18)</f>
        <v/>
      </c>
      <c r="AJ25" s="103">
        <f>SUM('04_Продажи'!$B$15:AJ15)-SUM('04_Продажи'!$B$18:AJ18)</f>
        <v/>
      </c>
      <c r="AK25" s="103">
        <f>SUM('04_Продажи'!$B$15:AK15)-SUM('04_Продажи'!$B$18:AK18)</f>
        <v/>
      </c>
      <c r="AL25" s="103">
        <f>SUM('04_Продажи'!$B$15:AL15)-SUM('04_Продажи'!$B$18:AL18)</f>
        <v/>
      </c>
      <c r="AM25" s="103">
        <f>SUM('04_Продажи'!$B$15:AM15)-SUM('04_Продажи'!$B$18:AM18)</f>
        <v/>
      </c>
      <c r="AN25" s="103">
        <f>SUM('04_Продажи'!$B$15:AN15)-SUM('04_Продажи'!$B$18:AN18)</f>
        <v/>
      </c>
      <c r="AO25" s="103">
        <f>SUM('04_Продажи'!$B$15:AO15)-SUM('04_Продажи'!$B$18:AO18)</f>
        <v/>
      </c>
      <c r="AP25" s="103">
        <f>SUM('04_Продажи'!$B$15:AP15)-SUM('04_Продажи'!$B$18:AP18)</f>
        <v/>
      </c>
      <c r="AQ25" s="103">
        <f>SUM('04_Продажи'!$B$15:AQ15)-SUM('04_Продажи'!$B$18:AQ18)</f>
        <v/>
      </c>
      <c r="AR25" s="103">
        <f>SUM('04_Продажи'!$B$15:AR15)-SUM('04_Продажи'!$B$18:AR18)</f>
        <v/>
      </c>
      <c r="AS25" s="103">
        <f>SUM('04_Продажи'!$B$15:AS15)-SUM('04_Продажи'!$B$18:AS18)</f>
        <v/>
      </c>
      <c r="AT25" s="103">
        <f>SUM('04_Продажи'!$B$15:AT15)-SUM('04_Продажи'!$B$18:AT18)</f>
        <v/>
      </c>
      <c r="AU25" s="103">
        <f>SUM('04_Продажи'!$B$15:AU15)-SUM('04_Продажи'!$B$18:AU18)</f>
        <v/>
      </c>
      <c r="AV25" s="103">
        <f>SUM('04_Продажи'!$B$15:AV15)-SUM('04_Продажи'!$B$18:AV18)</f>
        <v/>
      </c>
      <c r="AW25" s="103">
        <f>SUM('04_Продажи'!$B$15:AW15)-SUM('04_Продажи'!$B$18:AW18)</f>
        <v/>
      </c>
      <c r="AX25" s="103">
        <f>SUM('04_Продажи'!$B$15:AX15)-SUM('04_Продажи'!$B$18:AX18)</f>
        <v/>
      </c>
      <c r="AY25" s="103">
        <f>SUM('04_Продажи'!$B$15:AY15)-SUM('04_Продажи'!$B$18:AY18)</f>
        <v/>
      </c>
      <c r="AZ25" s="103">
        <f>SUM('04_Продажи'!$B$15:AZ15)-SUM('04_Продажи'!$B$18:AZ18)</f>
        <v/>
      </c>
      <c r="BA25" s="103">
        <f>SUM('04_Продажи'!$B$15:BA15)-SUM('04_Продажи'!$B$18:BA18)</f>
        <v/>
      </c>
      <c r="BB25" s="103">
        <f>SUM('04_Продажи'!$B$15:BB15)-SUM('04_Продажи'!$B$18:BB18)</f>
        <v/>
      </c>
      <c r="BC25" s="103">
        <f>SUM('04_Продажи'!$B$15:BC15)-SUM('04_Продажи'!$B$18:BC18)</f>
        <v/>
      </c>
      <c r="BD25" s="103">
        <f>SUM('04_Продажи'!$B$15:BD15)-SUM('04_Продажи'!$B$18:BD18)</f>
        <v/>
      </c>
      <c r="BE25" s="103">
        <f>SUM('04_Продажи'!$B$15:BE15)-SUM('04_Продажи'!$B$18:BE18)</f>
        <v/>
      </c>
      <c r="BF25" s="103">
        <f>SUM('04_Продажи'!$B$15:BF15)-SUM('04_Продажи'!$B$18:BF18)</f>
        <v/>
      </c>
      <c r="BG25" s="103">
        <f>SUM('04_Продажи'!$B$15:BG15)-SUM('04_Продажи'!$B$18:BG18)</f>
        <v/>
      </c>
      <c r="BH25" s="103">
        <f>SUM('04_Продажи'!$B$15:BH15)-SUM('04_Продажи'!$B$18:BH18)</f>
        <v/>
      </c>
      <c r="BI25" s="121">
        <f>SUM('04_Продажи'!$B$15:BI15)-SUM('04_Продажи'!$B$18:BI18)</f>
        <v/>
      </c>
    </row>
    <row r="26" ht="26" customHeight="1">
      <c r="A26" s="104" t="inlineStr">
        <is>
          <t>Таргет, ₽</t>
        </is>
      </c>
      <c r="B26" s="103">
        <f>'04_Продажи'!B21</f>
        <v/>
      </c>
      <c r="C26" s="103">
        <f>'04_Продажи'!C21</f>
        <v/>
      </c>
      <c r="D26" s="103">
        <f>'04_Продажи'!D21</f>
        <v/>
      </c>
      <c r="E26" s="103">
        <f>'04_Продажи'!E21</f>
        <v/>
      </c>
      <c r="F26" s="103">
        <f>'04_Продажи'!F21</f>
        <v/>
      </c>
      <c r="G26" s="103">
        <f>'04_Продажи'!G21</f>
        <v/>
      </c>
      <c r="H26" s="103">
        <f>'04_Продажи'!H21</f>
        <v/>
      </c>
      <c r="I26" s="103">
        <f>'04_Продажи'!I21</f>
        <v/>
      </c>
      <c r="J26" s="103">
        <f>'04_Продажи'!J21</f>
        <v/>
      </c>
      <c r="K26" s="103">
        <f>'04_Продажи'!K21</f>
        <v/>
      </c>
      <c r="L26" s="103">
        <f>'04_Продажи'!L21</f>
        <v/>
      </c>
      <c r="M26" s="103">
        <f>'04_Продажи'!M21</f>
        <v/>
      </c>
      <c r="N26" s="103">
        <f>'04_Продажи'!N21</f>
        <v/>
      </c>
      <c r="O26" s="103">
        <f>'04_Продажи'!O21</f>
        <v/>
      </c>
      <c r="P26" s="103">
        <f>'04_Продажи'!P21</f>
        <v/>
      </c>
      <c r="Q26" s="103">
        <f>'04_Продажи'!Q21</f>
        <v/>
      </c>
      <c r="R26" s="103">
        <f>'04_Продажи'!R21</f>
        <v/>
      </c>
      <c r="S26" s="103">
        <f>'04_Продажи'!S21</f>
        <v/>
      </c>
      <c r="T26" s="103">
        <f>'04_Продажи'!T21</f>
        <v/>
      </c>
      <c r="U26" s="103">
        <f>'04_Продажи'!U21</f>
        <v/>
      </c>
      <c r="V26" s="103">
        <f>'04_Продажи'!V21</f>
        <v/>
      </c>
      <c r="W26" s="103">
        <f>'04_Продажи'!W21</f>
        <v/>
      </c>
      <c r="X26" s="103">
        <f>'04_Продажи'!X21</f>
        <v/>
      </c>
      <c r="Y26" s="103">
        <f>'04_Продажи'!Y21</f>
        <v/>
      </c>
      <c r="Z26" s="103">
        <f>'04_Продажи'!Z21</f>
        <v/>
      </c>
      <c r="AA26" s="103">
        <f>'04_Продажи'!AA21</f>
        <v/>
      </c>
      <c r="AB26" s="103">
        <f>'04_Продажи'!AB21</f>
        <v/>
      </c>
      <c r="AC26" s="103">
        <f>'04_Продажи'!AC21</f>
        <v/>
      </c>
      <c r="AD26" s="103">
        <f>'04_Продажи'!AD21</f>
        <v/>
      </c>
      <c r="AE26" s="103">
        <f>'04_Продажи'!AE21</f>
        <v/>
      </c>
      <c r="AF26" s="103">
        <f>'04_Продажи'!AF21</f>
        <v/>
      </c>
      <c r="AG26" s="103">
        <f>'04_Продажи'!AG21</f>
        <v/>
      </c>
      <c r="AH26" s="103">
        <f>'04_Продажи'!AH21</f>
        <v/>
      </c>
      <c r="AI26" s="103">
        <f>'04_Продажи'!AI21</f>
        <v/>
      </c>
      <c r="AJ26" s="103">
        <f>'04_Продажи'!AJ21</f>
        <v/>
      </c>
      <c r="AK26" s="103">
        <f>'04_Продажи'!AK21</f>
        <v/>
      </c>
      <c r="AL26" s="103">
        <f>'04_Продажи'!AL21</f>
        <v/>
      </c>
      <c r="AM26" s="103">
        <f>'04_Продажи'!AM21</f>
        <v/>
      </c>
      <c r="AN26" s="103">
        <f>'04_Продажи'!AN21</f>
        <v/>
      </c>
      <c r="AO26" s="103">
        <f>'04_Продажи'!AO21</f>
        <v/>
      </c>
      <c r="AP26" s="103">
        <f>'04_Продажи'!AP21</f>
        <v/>
      </c>
      <c r="AQ26" s="103">
        <f>'04_Продажи'!AQ21</f>
        <v/>
      </c>
      <c r="AR26" s="103">
        <f>'04_Продажи'!AR21</f>
        <v/>
      </c>
      <c r="AS26" s="103">
        <f>'04_Продажи'!AS21</f>
        <v/>
      </c>
      <c r="AT26" s="103">
        <f>'04_Продажи'!AT21</f>
        <v/>
      </c>
      <c r="AU26" s="103">
        <f>'04_Продажи'!AU21</f>
        <v/>
      </c>
      <c r="AV26" s="103">
        <f>'04_Продажи'!AV21</f>
        <v/>
      </c>
      <c r="AW26" s="103">
        <f>'04_Продажи'!AW21</f>
        <v/>
      </c>
      <c r="AX26" s="103">
        <f>'04_Продажи'!AX21</f>
        <v/>
      </c>
      <c r="AY26" s="103">
        <f>'04_Продажи'!AY21</f>
        <v/>
      </c>
      <c r="AZ26" s="103">
        <f>'04_Продажи'!AZ21</f>
        <v/>
      </c>
      <c r="BA26" s="103">
        <f>'04_Продажи'!BA21</f>
        <v/>
      </c>
      <c r="BB26" s="103">
        <f>'04_Продажи'!BB21</f>
        <v/>
      </c>
      <c r="BC26" s="103">
        <f>'04_Продажи'!BC21</f>
        <v/>
      </c>
      <c r="BD26" s="103">
        <f>'04_Продажи'!BD21</f>
        <v/>
      </c>
      <c r="BE26" s="103">
        <f>'04_Продажи'!BE21</f>
        <v/>
      </c>
      <c r="BF26" s="103">
        <f>'04_Продажи'!BF21</f>
        <v/>
      </c>
      <c r="BG26" s="103">
        <f>'04_Продажи'!BG21</f>
        <v/>
      </c>
      <c r="BH26" s="103">
        <f>'04_Продажи'!BH21</f>
        <v/>
      </c>
      <c r="BI26" s="121">
        <f>'04_Продажи'!BI21</f>
        <v/>
      </c>
    </row>
    <row r="27" ht="26" customHeight="1">
      <c r="A27" s="104" t="inlineStr">
        <is>
          <t>Маркетинг привлечения, ₽</t>
        </is>
      </c>
      <c r="B27" s="103">
        <f>'04_Продажи'!B23</f>
        <v/>
      </c>
      <c r="C27" s="103">
        <f>'04_Продажи'!C23</f>
        <v/>
      </c>
      <c r="D27" s="103">
        <f>'04_Продажи'!D23</f>
        <v/>
      </c>
      <c r="E27" s="103">
        <f>'04_Продажи'!E23</f>
        <v/>
      </c>
      <c r="F27" s="103">
        <f>'04_Продажи'!F23</f>
        <v/>
      </c>
      <c r="G27" s="103">
        <f>'04_Продажи'!G23</f>
        <v/>
      </c>
      <c r="H27" s="103">
        <f>'04_Продажи'!H23</f>
        <v/>
      </c>
      <c r="I27" s="103">
        <f>'04_Продажи'!I23</f>
        <v/>
      </c>
      <c r="J27" s="103">
        <f>'04_Продажи'!J23</f>
        <v/>
      </c>
      <c r="K27" s="103">
        <f>'04_Продажи'!K23</f>
        <v/>
      </c>
      <c r="L27" s="103">
        <f>'04_Продажи'!L23</f>
        <v/>
      </c>
      <c r="M27" s="103">
        <f>'04_Продажи'!M23</f>
        <v/>
      </c>
      <c r="N27" s="103">
        <f>'04_Продажи'!N23</f>
        <v/>
      </c>
      <c r="O27" s="103">
        <f>'04_Продажи'!O23</f>
        <v/>
      </c>
      <c r="P27" s="103">
        <f>'04_Продажи'!P23</f>
        <v/>
      </c>
      <c r="Q27" s="103">
        <f>'04_Продажи'!Q23</f>
        <v/>
      </c>
      <c r="R27" s="103">
        <f>'04_Продажи'!R23</f>
        <v/>
      </c>
      <c r="S27" s="103">
        <f>'04_Продажи'!S23</f>
        <v/>
      </c>
      <c r="T27" s="103">
        <f>'04_Продажи'!T23</f>
        <v/>
      </c>
      <c r="U27" s="103">
        <f>'04_Продажи'!U23</f>
        <v/>
      </c>
      <c r="V27" s="103">
        <f>'04_Продажи'!V23</f>
        <v/>
      </c>
      <c r="W27" s="103">
        <f>'04_Продажи'!W23</f>
        <v/>
      </c>
      <c r="X27" s="103">
        <f>'04_Продажи'!X23</f>
        <v/>
      </c>
      <c r="Y27" s="103">
        <f>'04_Продажи'!Y23</f>
        <v/>
      </c>
      <c r="Z27" s="103">
        <f>'04_Продажи'!Z23</f>
        <v/>
      </c>
      <c r="AA27" s="103">
        <f>'04_Продажи'!AA23</f>
        <v/>
      </c>
      <c r="AB27" s="103">
        <f>'04_Продажи'!AB23</f>
        <v/>
      </c>
      <c r="AC27" s="103">
        <f>'04_Продажи'!AC23</f>
        <v/>
      </c>
      <c r="AD27" s="103">
        <f>'04_Продажи'!AD23</f>
        <v/>
      </c>
      <c r="AE27" s="103">
        <f>'04_Продажи'!AE23</f>
        <v/>
      </c>
      <c r="AF27" s="103">
        <f>'04_Продажи'!AF23</f>
        <v/>
      </c>
      <c r="AG27" s="103">
        <f>'04_Продажи'!AG23</f>
        <v/>
      </c>
      <c r="AH27" s="103">
        <f>'04_Продажи'!AH23</f>
        <v/>
      </c>
      <c r="AI27" s="103">
        <f>'04_Продажи'!AI23</f>
        <v/>
      </c>
      <c r="AJ27" s="103">
        <f>'04_Продажи'!AJ23</f>
        <v/>
      </c>
      <c r="AK27" s="103">
        <f>'04_Продажи'!AK23</f>
        <v/>
      </c>
      <c r="AL27" s="103">
        <f>'04_Продажи'!AL23</f>
        <v/>
      </c>
      <c r="AM27" s="103">
        <f>'04_Продажи'!AM23</f>
        <v/>
      </c>
      <c r="AN27" s="103">
        <f>'04_Продажи'!AN23</f>
        <v/>
      </c>
      <c r="AO27" s="103">
        <f>'04_Продажи'!AO23</f>
        <v/>
      </c>
      <c r="AP27" s="103">
        <f>'04_Продажи'!AP23</f>
        <v/>
      </c>
      <c r="AQ27" s="103">
        <f>'04_Продажи'!AQ23</f>
        <v/>
      </c>
      <c r="AR27" s="103">
        <f>'04_Продажи'!AR23</f>
        <v/>
      </c>
      <c r="AS27" s="103">
        <f>'04_Продажи'!AS23</f>
        <v/>
      </c>
      <c r="AT27" s="103">
        <f>'04_Продажи'!AT23</f>
        <v/>
      </c>
      <c r="AU27" s="103">
        <f>'04_Продажи'!AU23</f>
        <v/>
      </c>
      <c r="AV27" s="103">
        <f>'04_Продажи'!AV23</f>
        <v/>
      </c>
      <c r="AW27" s="103">
        <f>'04_Продажи'!AW23</f>
        <v/>
      </c>
      <c r="AX27" s="103">
        <f>'04_Продажи'!AX23</f>
        <v/>
      </c>
      <c r="AY27" s="103">
        <f>'04_Продажи'!AY23</f>
        <v/>
      </c>
      <c r="AZ27" s="103">
        <f>'04_Продажи'!AZ23</f>
        <v/>
      </c>
      <c r="BA27" s="103">
        <f>'04_Продажи'!BA23</f>
        <v/>
      </c>
      <c r="BB27" s="103">
        <f>'04_Продажи'!BB23</f>
        <v/>
      </c>
      <c r="BC27" s="103">
        <f>'04_Продажи'!BC23</f>
        <v/>
      </c>
      <c r="BD27" s="103">
        <f>'04_Продажи'!BD23</f>
        <v/>
      </c>
      <c r="BE27" s="103">
        <f>'04_Продажи'!BE23</f>
        <v/>
      </c>
      <c r="BF27" s="103">
        <f>'04_Продажи'!BF23</f>
        <v/>
      </c>
      <c r="BG27" s="103">
        <f>'04_Продажи'!BG23</f>
        <v/>
      </c>
      <c r="BH27" s="103">
        <f>'04_Продажи'!BH23</f>
        <v/>
      </c>
      <c r="BI27" s="121">
        <f>'04_Продажи'!BI23</f>
        <v/>
      </c>
    </row>
  </sheetData>
  <mergeCells count="3">
    <mergeCell ref="A18:H18"/>
    <mergeCell ref="A3:H3"/>
    <mergeCell ref="A1:H1"/>
  </mergeCells>
  <printOptions horizontalCentered="0"/>
  <pageMargins left="0.75" right="0.75" top="1" bottom="1" header="0.5" footer="0.5"/>
  <pageSetup orientation="landscape" fitToHeight="0" fitToWidth="1"/>
  <headerFooter>
    <oddHeader/>
    <oddFooter>&amp;LФинмодель Спартак · 05_Воронка&amp;R&amp;P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BO242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hidden="1" width="10" customWidth="1" min="62" max="62"/>
    <col hidden="1" width="10" customWidth="1" min="63" max="63"/>
    <col hidden="1" width="10" customWidth="1" min="64" max="64"/>
    <col hidden="1" width="10" customWidth="1" min="65" max="65"/>
    <col hidden="1" width="10" customWidth="1" min="66" max="66"/>
    <col hidden="1" width="10" customWidth="1" min="67" max="67"/>
  </cols>
  <sheetData>
    <row r="1" ht="24" customHeight="1">
      <c r="A1" s="186" t="inlineStr">
        <is>
          <t>Сеть, постепенный набор детей и роялти по каждому тарифу</t>
        </is>
      </c>
    </row>
    <row r="2"/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  <c r="BJ3" s="94">
        <f>DATE(YEAR('01_Вводные'!$B$7),MONTH('01_Вводные'!$B$7)+60,1)</f>
        <v/>
      </c>
      <c r="BK3" s="94">
        <f>DATE(YEAR('01_Вводные'!$B$7),MONTH('01_Вводные'!$B$7)+61,1)</f>
        <v/>
      </c>
      <c r="BL3" s="94">
        <f>DATE(YEAR('01_Вводные'!$B$7),MONTH('01_Вводные'!$B$7)+62,1)</f>
        <v/>
      </c>
      <c r="BM3" s="94">
        <f>DATE(YEAR('01_Вводные'!$B$7),MONTH('01_Вводные'!$B$7)+63,1)</f>
        <v/>
      </c>
      <c r="BN3" s="94">
        <f>DATE(YEAR('01_Вводные'!$B$7),MONTH('01_Вводные'!$B$7)+64,1)</f>
        <v/>
      </c>
      <c r="BO3" s="94">
        <f>DATE(YEAR('01_Вводные'!$B$7),MONTH('01_Вводные'!$B$7)+65,1)</f>
        <v/>
      </c>
    </row>
    <row r="4">
      <c r="A4" s="2" t="inlineStr">
        <is>
          <t>Сезон</t>
        </is>
      </c>
      <c r="B4" s="77">
        <f>INT((0)/12)+1</f>
        <v/>
      </c>
      <c r="C4" s="77">
        <f>INT((1)/12)+1</f>
        <v/>
      </c>
      <c r="D4" s="77">
        <f>INT((2)/12)+1</f>
        <v/>
      </c>
      <c r="E4" s="77">
        <f>INT((3)/12)+1</f>
        <v/>
      </c>
      <c r="F4" s="77">
        <f>INT((4)/12)+1</f>
        <v/>
      </c>
      <c r="G4" s="77">
        <f>INT((5)/12)+1</f>
        <v/>
      </c>
      <c r="H4" s="77">
        <f>INT((6)/12)+1</f>
        <v/>
      </c>
      <c r="I4" s="77">
        <f>INT((7)/12)+1</f>
        <v/>
      </c>
      <c r="J4" s="77">
        <f>INT((8)/12)+1</f>
        <v/>
      </c>
      <c r="K4" s="77">
        <f>INT((9)/12)+1</f>
        <v/>
      </c>
      <c r="L4" s="77">
        <f>INT((10)/12)+1</f>
        <v/>
      </c>
      <c r="M4" s="77">
        <f>INT((11)/12)+1</f>
        <v/>
      </c>
      <c r="N4" s="77">
        <f>INT((12)/12)+1</f>
        <v/>
      </c>
      <c r="O4" s="77">
        <f>INT((13)/12)+1</f>
        <v/>
      </c>
      <c r="P4" s="77">
        <f>INT((14)/12)+1</f>
        <v/>
      </c>
      <c r="Q4" s="77">
        <f>INT((15)/12)+1</f>
        <v/>
      </c>
      <c r="R4" s="77">
        <f>INT((16)/12)+1</f>
        <v/>
      </c>
      <c r="S4" s="77">
        <f>INT((17)/12)+1</f>
        <v/>
      </c>
      <c r="T4" s="77">
        <f>INT((18)/12)+1</f>
        <v/>
      </c>
      <c r="U4" s="77">
        <f>INT((19)/12)+1</f>
        <v/>
      </c>
      <c r="V4" s="77">
        <f>INT((20)/12)+1</f>
        <v/>
      </c>
      <c r="W4" s="77">
        <f>INT((21)/12)+1</f>
        <v/>
      </c>
      <c r="X4" s="77">
        <f>INT((22)/12)+1</f>
        <v/>
      </c>
      <c r="Y4" s="77">
        <f>INT((23)/12)+1</f>
        <v/>
      </c>
      <c r="Z4" s="77">
        <f>INT((24)/12)+1</f>
        <v/>
      </c>
      <c r="AA4" s="77">
        <f>INT((25)/12)+1</f>
        <v/>
      </c>
      <c r="AB4" s="77">
        <f>INT((26)/12)+1</f>
        <v/>
      </c>
      <c r="AC4" s="77">
        <f>INT((27)/12)+1</f>
        <v/>
      </c>
      <c r="AD4" s="77">
        <f>INT((28)/12)+1</f>
        <v/>
      </c>
      <c r="AE4" s="77">
        <f>INT((29)/12)+1</f>
        <v/>
      </c>
      <c r="AF4" s="77">
        <f>INT((30)/12)+1</f>
        <v/>
      </c>
      <c r="AG4" s="77">
        <f>INT((31)/12)+1</f>
        <v/>
      </c>
      <c r="AH4" s="77">
        <f>INT((32)/12)+1</f>
        <v/>
      </c>
      <c r="AI4" s="77">
        <f>INT((33)/12)+1</f>
        <v/>
      </c>
      <c r="AJ4" s="77">
        <f>INT((34)/12)+1</f>
        <v/>
      </c>
      <c r="AK4" s="77">
        <f>INT((35)/12)+1</f>
        <v/>
      </c>
      <c r="AL4" s="77">
        <f>INT((36)/12)+1</f>
        <v/>
      </c>
      <c r="AM4" s="77">
        <f>INT((37)/12)+1</f>
        <v/>
      </c>
      <c r="AN4" s="77">
        <f>INT((38)/12)+1</f>
        <v/>
      </c>
      <c r="AO4" s="77">
        <f>INT((39)/12)+1</f>
        <v/>
      </c>
      <c r="AP4" s="77">
        <f>INT((40)/12)+1</f>
        <v/>
      </c>
      <c r="AQ4" s="77">
        <f>INT((41)/12)+1</f>
        <v/>
      </c>
      <c r="AR4" s="77">
        <f>INT((42)/12)+1</f>
        <v/>
      </c>
      <c r="AS4" s="77">
        <f>INT((43)/12)+1</f>
        <v/>
      </c>
      <c r="AT4" s="77">
        <f>INT((44)/12)+1</f>
        <v/>
      </c>
      <c r="AU4" s="77">
        <f>INT((45)/12)+1</f>
        <v/>
      </c>
      <c r="AV4" s="77">
        <f>INT((46)/12)+1</f>
        <v/>
      </c>
      <c r="AW4" s="77">
        <f>INT((47)/12)+1</f>
        <v/>
      </c>
      <c r="AX4" s="77">
        <f>INT((48)/12)+1</f>
        <v/>
      </c>
      <c r="AY4" s="77">
        <f>INT((49)/12)+1</f>
        <v/>
      </c>
      <c r="AZ4" s="77">
        <f>INT((50)/12)+1</f>
        <v/>
      </c>
      <c r="BA4" s="77">
        <f>INT((51)/12)+1</f>
        <v/>
      </c>
      <c r="BB4" s="77">
        <f>INT((52)/12)+1</f>
        <v/>
      </c>
      <c r="BC4" s="77">
        <f>INT((53)/12)+1</f>
        <v/>
      </c>
      <c r="BD4" s="77">
        <f>INT((54)/12)+1</f>
        <v/>
      </c>
      <c r="BE4" s="77">
        <f>INT((55)/12)+1</f>
        <v/>
      </c>
      <c r="BF4" s="77">
        <f>INT((56)/12)+1</f>
        <v/>
      </c>
      <c r="BG4" s="77">
        <f>INT((57)/12)+1</f>
        <v/>
      </c>
      <c r="BH4" s="77">
        <f>INT((58)/12)+1</f>
        <v/>
      </c>
      <c r="BI4" s="77">
        <f>INT((59)/12)+1</f>
        <v/>
      </c>
      <c r="BJ4" s="77">
        <f>INT((60)/12)+1</f>
        <v/>
      </c>
      <c r="BK4" s="77">
        <f>INT((61)/12)+1</f>
        <v/>
      </c>
      <c r="BL4" s="77">
        <f>INT((62)/12)+1</f>
        <v/>
      </c>
      <c r="BM4" s="77">
        <f>INT((63)/12)+1</f>
        <v/>
      </c>
      <c r="BN4" s="77">
        <f>INT((64)/12)+1</f>
        <v/>
      </c>
      <c r="BO4" s="77">
        <f>INT((65)/12)+1</f>
        <v/>
      </c>
    </row>
    <row r="5">
      <c r="A5" s="2" t="inlineStr">
        <is>
          <t>Сезонность посещаемости</t>
        </is>
      </c>
      <c r="B5" s="97">
        <f>INDEX('01_Вводные'!$B$44:$M$44,1,MONTH(B$3))</f>
        <v/>
      </c>
      <c r="C5" s="97">
        <f>INDEX('01_Вводные'!$B$44:$M$44,1,MONTH(C$3))</f>
        <v/>
      </c>
      <c r="D5" s="97">
        <f>INDEX('01_Вводные'!$B$44:$M$44,1,MONTH(D$3))</f>
        <v/>
      </c>
      <c r="E5" s="97">
        <f>INDEX('01_Вводные'!$B$44:$M$44,1,MONTH(E$3))</f>
        <v/>
      </c>
      <c r="F5" s="97">
        <f>INDEX('01_Вводные'!$B$44:$M$44,1,MONTH(F$3))</f>
        <v/>
      </c>
      <c r="G5" s="97">
        <f>INDEX('01_Вводные'!$B$44:$M$44,1,MONTH(G$3))</f>
        <v/>
      </c>
      <c r="H5" s="97">
        <f>INDEX('01_Вводные'!$B$44:$M$44,1,MONTH(H$3))</f>
        <v/>
      </c>
      <c r="I5" s="97">
        <f>INDEX('01_Вводные'!$B$44:$M$44,1,MONTH(I$3))</f>
        <v/>
      </c>
      <c r="J5" s="97">
        <f>INDEX('01_Вводные'!$B$44:$M$44,1,MONTH(J$3))</f>
        <v/>
      </c>
      <c r="K5" s="97">
        <f>INDEX('01_Вводные'!$B$44:$M$44,1,MONTH(K$3))</f>
        <v/>
      </c>
      <c r="L5" s="97">
        <f>INDEX('01_Вводные'!$B$44:$M$44,1,MONTH(L$3))</f>
        <v/>
      </c>
      <c r="M5" s="97">
        <f>INDEX('01_Вводные'!$B$44:$M$44,1,MONTH(M$3))</f>
        <v/>
      </c>
      <c r="N5" s="97">
        <f>INDEX('01_Вводные'!$B$44:$M$44,1,MONTH(N$3))</f>
        <v/>
      </c>
      <c r="O5" s="97">
        <f>INDEX('01_Вводные'!$B$44:$M$44,1,MONTH(O$3))</f>
        <v/>
      </c>
      <c r="P5" s="97">
        <f>INDEX('01_Вводные'!$B$44:$M$44,1,MONTH(P$3))</f>
        <v/>
      </c>
      <c r="Q5" s="97">
        <f>INDEX('01_Вводные'!$B$44:$M$44,1,MONTH(Q$3))</f>
        <v/>
      </c>
      <c r="R5" s="97">
        <f>INDEX('01_Вводные'!$B$44:$M$44,1,MONTH(R$3))</f>
        <v/>
      </c>
      <c r="S5" s="97">
        <f>INDEX('01_Вводные'!$B$44:$M$44,1,MONTH(S$3))</f>
        <v/>
      </c>
      <c r="T5" s="97">
        <f>INDEX('01_Вводные'!$B$44:$M$44,1,MONTH(T$3))</f>
        <v/>
      </c>
      <c r="U5" s="97">
        <f>INDEX('01_Вводные'!$B$44:$M$44,1,MONTH(U$3))</f>
        <v/>
      </c>
      <c r="V5" s="97">
        <f>INDEX('01_Вводные'!$B$44:$M$44,1,MONTH(V$3))</f>
        <v/>
      </c>
      <c r="W5" s="97">
        <f>INDEX('01_Вводные'!$B$44:$M$44,1,MONTH(W$3))</f>
        <v/>
      </c>
      <c r="X5" s="97">
        <f>INDEX('01_Вводные'!$B$44:$M$44,1,MONTH(X$3))</f>
        <v/>
      </c>
      <c r="Y5" s="97">
        <f>INDEX('01_Вводные'!$B$44:$M$44,1,MONTH(Y$3))</f>
        <v/>
      </c>
      <c r="Z5" s="97">
        <f>INDEX('01_Вводные'!$B$44:$M$44,1,MONTH(Z$3))</f>
        <v/>
      </c>
      <c r="AA5" s="97">
        <f>INDEX('01_Вводные'!$B$44:$M$44,1,MONTH(AA$3))</f>
        <v/>
      </c>
      <c r="AB5" s="97">
        <f>INDEX('01_Вводные'!$B$44:$M$44,1,MONTH(AB$3))</f>
        <v/>
      </c>
      <c r="AC5" s="97">
        <f>INDEX('01_Вводные'!$B$44:$M$44,1,MONTH(AC$3))</f>
        <v/>
      </c>
      <c r="AD5" s="97">
        <f>INDEX('01_Вводные'!$B$44:$M$44,1,MONTH(AD$3))</f>
        <v/>
      </c>
      <c r="AE5" s="97">
        <f>INDEX('01_Вводные'!$B$44:$M$44,1,MONTH(AE$3))</f>
        <v/>
      </c>
      <c r="AF5" s="97">
        <f>INDEX('01_Вводные'!$B$44:$M$44,1,MONTH(AF$3))</f>
        <v/>
      </c>
      <c r="AG5" s="97">
        <f>INDEX('01_Вводные'!$B$44:$M$44,1,MONTH(AG$3))</f>
        <v/>
      </c>
      <c r="AH5" s="97">
        <f>INDEX('01_Вводные'!$B$44:$M$44,1,MONTH(AH$3))</f>
        <v/>
      </c>
      <c r="AI5" s="97">
        <f>INDEX('01_Вводные'!$B$44:$M$44,1,MONTH(AI$3))</f>
        <v/>
      </c>
      <c r="AJ5" s="97">
        <f>INDEX('01_Вводные'!$B$44:$M$44,1,MONTH(AJ$3))</f>
        <v/>
      </c>
      <c r="AK5" s="97">
        <f>INDEX('01_Вводные'!$B$44:$M$44,1,MONTH(AK$3))</f>
        <v/>
      </c>
      <c r="AL5" s="97">
        <f>INDEX('01_Вводные'!$B$44:$M$44,1,MONTH(AL$3))</f>
        <v/>
      </c>
      <c r="AM5" s="97">
        <f>INDEX('01_Вводные'!$B$44:$M$44,1,MONTH(AM$3))</f>
        <v/>
      </c>
      <c r="AN5" s="97">
        <f>INDEX('01_Вводные'!$B$44:$M$44,1,MONTH(AN$3))</f>
        <v/>
      </c>
      <c r="AO5" s="97">
        <f>INDEX('01_Вводные'!$B$44:$M$44,1,MONTH(AO$3))</f>
        <v/>
      </c>
      <c r="AP5" s="97">
        <f>INDEX('01_Вводные'!$B$44:$M$44,1,MONTH(AP$3))</f>
        <v/>
      </c>
      <c r="AQ5" s="97">
        <f>INDEX('01_Вводные'!$B$44:$M$44,1,MONTH(AQ$3))</f>
        <v/>
      </c>
      <c r="AR5" s="97">
        <f>INDEX('01_Вводные'!$B$44:$M$44,1,MONTH(AR$3))</f>
        <v/>
      </c>
      <c r="AS5" s="97">
        <f>INDEX('01_Вводные'!$B$44:$M$44,1,MONTH(AS$3))</f>
        <v/>
      </c>
      <c r="AT5" s="97">
        <f>INDEX('01_Вводные'!$B$44:$M$44,1,MONTH(AT$3))</f>
        <v/>
      </c>
      <c r="AU5" s="97">
        <f>INDEX('01_Вводные'!$B$44:$M$44,1,MONTH(AU$3))</f>
        <v/>
      </c>
      <c r="AV5" s="97">
        <f>INDEX('01_Вводные'!$B$44:$M$44,1,MONTH(AV$3))</f>
        <v/>
      </c>
      <c r="AW5" s="97">
        <f>INDEX('01_Вводные'!$B$44:$M$44,1,MONTH(AW$3))</f>
        <v/>
      </c>
      <c r="AX5" s="97">
        <f>INDEX('01_Вводные'!$B$44:$M$44,1,MONTH(AX$3))</f>
        <v/>
      </c>
      <c r="AY5" s="97">
        <f>INDEX('01_Вводные'!$B$44:$M$44,1,MONTH(AY$3))</f>
        <v/>
      </c>
      <c r="AZ5" s="97">
        <f>INDEX('01_Вводные'!$B$44:$M$44,1,MONTH(AZ$3))</f>
        <v/>
      </c>
      <c r="BA5" s="97">
        <f>INDEX('01_Вводные'!$B$44:$M$44,1,MONTH(BA$3))</f>
        <v/>
      </c>
      <c r="BB5" s="97">
        <f>INDEX('01_Вводные'!$B$44:$M$44,1,MONTH(BB$3))</f>
        <v/>
      </c>
      <c r="BC5" s="97">
        <f>INDEX('01_Вводные'!$B$44:$M$44,1,MONTH(BC$3))</f>
        <v/>
      </c>
      <c r="BD5" s="97">
        <f>INDEX('01_Вводные'!$B$44:$M$44,1,MONTH(BD$3))</f>
        <v/>
      </c>
      <c r="BE5" s="97">
        <f>INDEX('01_Вводные'!$B$44:$M$44,1,MONTH(BE$3))</f>
        <v/>
      </c>
      <c r="BF5" s="97">
        <f>INDEX('01_Вводные'!$B$44:$M$44,1,MONTH(BF$3))</f>
        <v/>
      </c>
      <c r="BG5" s="97">
        <f>INDEX('01_Вводные'!$B$44:$M$44,1,MONTH(BG$3))</f>
        <v/>
      </c>
      <c r="BH5" s="97">
        <f>INDEX('01_Вводные'!$B$44:$M$44,1,MONTH(BH$3))</f>
        <v/>
      </c>
      <c r="BI5" s="97">
        <f>INDEX('01_Вводные'!$B$44:$M$44,1,MONTH(BI$3))</f>
        <v/>
      </c>
      <c r="BJ5" s="97">
        <f>INDEX('01_Вводные'!$B$44:$M$44,1,MONTH(BJ$3))</f>
        <v/>
      </c>
      <c r="BK5" s="97">
        <f>INDEX('01_Вводные'!$B$44:$M$44,1,MONTH(BK$3))</f>
        <v/>
      </c>
      <c r="BL5" s="97">
        <f>INDEX('01_Вводные'!$B$44:$M$44,1,MONTH(BL$3))</f>
        <v/>
      </c>
      <c r="BM5" s="97">
        <f>INDEX('01_Вводные'!$B$44:$M$44,1,MONTH(BM$3))</f>
        <v/>
      </c>
      <c r="BN5" s="97">
        <f>INDEX('01_Вводные'!$B$44:$M$44,1,MONTH(BN$3))</f>
        <v/>
      </c>
      <c r="BO5" s="97">
        <f>INDEX('01_Вводные'!$B$44:$M$44,1,MONTH(BO$3))</f>
        <v/>
      </c>
    </row>
    <row r="6" ht="20" customHeight="1">
      <c r="A6" s="4" t="inlineStr">
        <is>
          <t>Сеть</t>
        </is>
      </c>
    </row>
    <row r="7">
      <c r="A7" s="2" t="inlineStr">
        <is>
          <t>Продажи</t>
        </is>
      </c>
      <c r="B7" s="40">
        <f>'04_Продажи'!B15</f>
        <v/>
      </c>
      <c r="C7" s="40">
        <f>'04_Продажи'!C15</f>
        <v/>
      </c>
      <c r="D7" s="40">
        <f>'04_Продажи'!D15</f>
        <v/>
      </c>
      <c r="E7" s="40">
        <f>'04_Продажи'!E15</f>
        <v/>
      </c>
      <c r="F7" s="40">
        <f>'04_Продажи'!F15</f>
        <v/>
      </c>
      <c r="G7" s="40">
        <f>'04_Продажи'!G15</f>
        <v/>
      </c>
      <c r="H7" s="40">
        <f>'04_Продажи'!H15</f>
        <v/>
      </c>
      <c r="I7" s="40">
        <f>'04_Продажи'!I15</f>
        <v/>
      </c>
      <c r="J7" s="40">
        <f>'04_Продажи'!J15</f>
        <v/>
      </c>
      <c r="K7" s="40">
        <f>'04_Продажи'!K15</f>
        <v/>
      </c>
      <c r="L7" s="40">
        <f>'04_Продажи'!L15</f>
        <v/>
      </c>
      <c r="M7" s="40">
        <f>'04_Продажи'!M15</f>
        <v/>
      </c>
      <c r="N7" s="40">
        <f>'04_Продажи'!N15</f>
        <v/>
      </c>
      <c r="O7" s="40">
        <f>'04_Продажи'!O15</f>
        <v/>
      </c>
      <c r="P7" s="40">
        <f>'04_Продажи'!P15</f>
        <v/>
      </c>
      <c r="Q7" s="40">
        <f>'04_Продажи'!Q15</f>
        <v/>
      </c>
      <c r="R7" s="40">
        <f>'04_Продажи'!R15</f>
        <v/>
      </c>
      <c r="S7" s="40">
        <f>'04_Продажи'!S15</f>
        <v/>
      </c>
      <c r="T7" s="40">
        <f>'04_Продажи'!T15</f>
        <v/>
      </c>
      <c r="U7" s="40">
        <f>'04_Продажи'!U15</f>
        <v/>
      </c>
      <c r="V7" s="40">
        <f>'04_Продажи'!V15</f>
        <v/>
      </c>
      <c r="W7" s="40">
        <f>'04_Продажи'!W15</f>
        <v/>
      </c>
      <c r="X7" s="40">
        <f>'04_Продажи'!X15</f>
        <v/>
      </c>
      <c r="Y7" s="40">
        <f>'04_Продажи'!Y15</f>
        <v/>
      </c>
      <c r="Z7" s="40">
        <f>'04_Продажи'!Z15</f>
        <v/>
      </c>
      <c r="AA7" s="40">
        <f>'04_Продажи'!AA15</f>
        <v/>
      </c>
      <c r="AB7" s="40">
        <f>'04_Продажи'!AB15</f>
        <v/>
      </c>
      <c r="AC7" s="40">
        <f>'04_Продажи'!AC15</f>
        <v/>
      </c>
      <c r="AD7" s="40">
        <f>'04_Продажи'!AD15</f>
        <v/>
      </c>
      <c r="AE7" s="40">
        <f>'04_Продажи'!AE15</f>
        <v/>
      </c>
      <c r="AF7" s="40">
        <f>'04_Продажи'!AF15</f>
        <v/>
      </c>
      <c r="AG7" s="40">
        <f>'04_Продажи'!AG15</f>
        <v/>
      </c>
      <c r="AH7" s="40">
        <f>'04_Продажи'!AH15</f>
        <v/>
      </c>
      <c r="AI7" s="40">
        <f>'04_Продажи'!AI15</f>
        <v/>
      </c>
      <c r="AJ7" s="40">
        <f>'04_Продажи'!AJ15</f>
        <v/>
      </c>
      <c r="AK7" s="40">
        <f>'04_Продажи'!AK15</f>
        <v/>
      </c>
      <c r="AL7" s="40">
        <f>'04_Продажи'!AL15</f>
        <v/>
      </c>
      <c r="AM7" s="40">
        <f>'04_Продажи'!AM15</f>
        <v/>
      </c>
      <c r="AN7" s="40">
        <f>'04_Продажи'!AN15</f>
        <v/>
      </c>
      <c r="AO7" s="40">
        <f>'04_Продажи'!AO15</f>
        <v/>
      </c>
      <c r="AP7" s="40">
        <f>'04_Продажи'!AP15</f>
        <v/>
      </c>
      <c r="AQ7" s="40">
        <f>'04_Продажи'!AQ15</f>
        <v/>
      </c>
      <c r="AR7" s="40">
        <f>'04_Продажи'!AR15</f>
        <v/>
      </c>
      <c r="AS7" s="40">
        <f>'04_Продажи'!AS15</f>
        <v/>
      </c>
      <c r="AT7" s="40">
        <f>'04_Продажи'!AT15</f>
        <v/>
      </c>
      <c r="AU7" s="40">
        <f>'04_Продажи'!AU15</f>
        <v/>
      </c>
      <c r="AV7" s="40">
        <f>'04_Продажи'!AV15</f>
        <v/>
      </c>
      <c r="AW7" s="40">
        <f>'04_Продажи'!AW15</f>
        <v/>
      </c>
      <c r="AX7" s="40">
        <f>'04_Продажи'!AX15</f>
        <v/>
      </c>
      <c r="AY7" s="40">
        <f>'04_Продажи'!AY15</f>
        <v/>
      </c>
      <c r="AZ7" s="40">
        <f>'04_Продажи'!AZ15</f>
        <v/>
      </c>
      <c r="BA7" s="40">
        <f>'04_Продажи'!BA15</f>
        <v/>
      </c>
      <c r="BB7" s="40">
        <f>'04_Продажи'!BB15</f>
        <v/>
      </c>
      <c r="BC7" s="40">
        <f>'04_Продажи'!BC15</f>
        <v/>
      </c>
      <c r="BD7" s="40">
        <f>'04_Продажи'!BD15</f>
        <v/>
      </c>
      <c r="BE7" s="40">
        <f>'04_Продажи'!BE15</f>
        <v/>
      </c>
      <c r="BF7" s="40">
        <f>'04_Продажи'!BF15</f>
        <v/>
      </c>
      <c r="BG7" s="40">
        <f>'04_Продажи'!BG15</f>
        <v/>
      </c>
      <c r="BH7" s="40">
        <f>'04_Продажи'!BH15</f>
        <v/>
      </c>
      <c r="BI7" s="40">
        <f>'04_Продажи'!BI15</f>
        <v/>
      </c>
      <c r="BJ7" s="72" t="n">
        <v>0</v>
      </c>
      <c r="BK7" s="72" t="n">
        <v>0</v>
      </c>
      <c r="BL7" s="72" t="n">
        <v>0</v>
      </c>
      <c r="BM7" s="72" t="n">
        <v>0</v>
      </c>
      <c r="BN7" s="72" t="n">
        <v>0</v>
      </c>
      <c r="BO7" s="72" t="n">
        <v>0</v>
      </c>
    </row>
    <row r="8">
      <c r="A8" s="2" t="inlineStr">
        <is>
          <t>Открытия школ</t>
        </is>
      </c>
      <c r="B8" s="185">
        <f>IF(OR(1&lt;='01_Вводные'!$B$15,1-'01_Вводные'!$B$15&gt;60),0,INDEX('04_Продажи'!$B$15:$BI$15,1,1-'01_Вводные'!$B$15))*'01_Вводные'!$B$298*MIN(1,'01_Вводные'!$B$22)+IF(OR(1&lt;=('01_Вводные'!$B$15+'01_Вводные'!$B$311),1-('01_Вводные'!$B$15+'01_Вводные'!$B$311)&gt;60),0,INDEX('04_Продажи'!$B$15:$BI$15,1,1-('01_Вводные'!$B$15+'01_Вводные'!$B$311)))*'01_Вводные'!$B$298*MAX(0,'01_Вводные'!$B$22-1)</f>
        <v/>
      </c>
      <c r="C8" s="185">
        <f>IF(OR(2&lt;='01_Вводные'!$B$15,2-'01_Вводные'!$B$15&gt;60),0,INDEX('04_Продажи'!$B$15:$BI$15,1,2-'01_Вводные'!$B$15))*'01_Вводные'!$B$298*MIN(1,'01_Вводные'!$B$22)+IF(OR(2&lt;=('01_Вводные'!$B$15+'01_Вводные'!$B$311),2-('01_Вводные'!$B$15+'01_Вводные'!$B$311)&gt;60),0,INDEX('04_Продажи'!$B$15:$BI$15,1,2-('01_Вводные'!$B$15+'01_Вводные'!$B$311)))*'01_Вводные'!$B$298*MAX(0,'01_Вводные'!$B$22-1)</f>
        <v/>
      </c>
      <c r="D8" s="185">
        <f>IF(OR(3&lt;='01_Вводные'!$B$15,3-'01_Вводные'!$B$15&gt;60),0,INDEX('04_Продажи'!$B$15:$BI$15,1,3-'01_Вводные'!$B$15))*'01_Вводные'!$B$298*MIN(1,'01_Вводные'!$B$22)+IF(OR(3&lt;=('01_Вводные'!$B$15+'01_Вводные'!$B$311),3-('01_Вводные'!$B$15+'01_Вводные'!$B$311)&gt;60),0,INDEX('04_Продажи'!$B$15:$BI$15,1,3-('01_Вводные'!$B$15+'01_Вводные'!$B$311)))*'01_Вводные'!$B$298*MAX(0,'01_Вводные'!$B$22-1)</f>
        <v/>
      </c>
      <c r="E8" s="185">
        <f>IF(OR(4&lt;='01_Вводные'!$B$15,4-'01_Вводные'!$B$15&gt;60),0,INDEX('04_Продажи'!$B$15:$BI$15,1,4-'01_Вводные'!$B$15))*'01_Вводные'!$B$298*MIN(1,'01_Вводные'!$B$22)+IF(OR(4&lt;=('01_Вводные'!$B$15+'01_Вводные'!$B$311),4-('01_Вводные'!$B$15+'01_Вводные'!$B$311)&gt;60),0,INDEX('04_Продажи'!$B$15:$BI$15,1,4-('01_Вводные'!$B$15+'01_Вводные'!$B$311)))*'01_Вводные'!$B$298*MAX(0,'01_Вводные'!$B$22-1)</f>
        <v/>
      </c>
      <c r="F8" s="185">
        <f>IF(OR(5&lt;='01_Вводные'!$B$15,5-'01_Вводные'!$B$15&gt;60),0,INDEX('04_Продажи'!$B$15:$BI$15,1,5-'01_Вводные'!$B$15))*'01_Вводные'!$B$298*MIN(1,'01_Вводные'!$B$22)+IF(OR(5&lt;=('01_Вводные'!$B$15+'01_Вводные'!$B$311),5-('01_Вводные'!$B$15+'01_Вводные'!$B$311)&gt;60),0,INDEX('04_Продажи'!$B$15:$BI$15,1,5-('01_Вводные'!$B$15+'01_Вводные'!$B$311)))*'01_Вводные'!$B$298*MAX(0,'01_Вводные'!$B$22-1)</f>
        <v/>
      </c>
      <c r="G8" s="185">
        <f>IF(OR(6&lt;='01_Вводные'!$B$15,6-'01_Вводные'!$B$15&gt;60),0,INDEX('04_Продажи'!$B$15:$BI$15,1,6-'01_Вводные'!$B$15))*'01_Вводные'!$B$298*MIN(1,'01_Вводные'!$B$22)+IF(OR(6&lt;=('01_Вводные'!$B$15+'01_Вводные'!$B$311),6-('01_Вводные'!$B$15+'01_Вводные'!$B$311)&gt;60),0,INDEX('04_Продажи'!$B$15:$BI$15,1,6-('01_Вводные'!$B$15+'01_Вводные'!$B$311)))*'01_Вводные'!$B$298*MAX(0,'01_Вводные'!$B$22-1)</f>
        <v/>
      </c>
      <c r="H8" s="185">
        <f>IF(OR(7&lt;='01_Вводные'!$B$15,7-'01_Вводные'!$B$15&gt;60),0,INDEX('04_Продажи'!$B$15:$BI$15,1,7-'01_Вводные'!$B$15))*'01_Вводные'!$B$298*MIN(1,'01_Вводные'!$B$22)+IF(OR(7&lt;=('01_Вводные'!$B$15+'01_Вводные'!$B$311),7-('01_Вводные'!$B$15+'01_Вводные'!$B$311)&gt;60),0,INDEX('04_Продажи'!$B$15:$BI$15,1,7-('01_Вводные'!$B$15+'01_Вводные'!$B$311)))*'01_Вводные'!$B$298*MAX(0,'01_Вводные'!$B$22-1)</f>
        <v/>
      </c>
      <c r="I8" s="185">
        <f>IF(OR(8&lt;='01_Вводные'!$B$15,8-'01_Вводные'!$B$15&gt;60),0,INDEX('04_Продажи'!$B$15:$BI$15,1,8-'01_Вводные'!$B$15))*'01_Вводные'!$B$298*MIN(1,'01_Вводные'!$B$22)+IF(OR(8&lt;=('01_Вводные'!$B$15+'01_Вводные'!$B$311),8-('01_Вводные'!$B$15+'01_Вводные'!$B$311)&gt;60),0,INDEX('04_Продажи'!$B$15:$BI$15,1,8-('01_Вводные'!$B$15+'01_Вводные'!$B$311)))*'01_Вводные'!$B$298*MAX(0,'01_Вводные'!$B$22-1)</f>
        <v/>
      </c>
      <c r="J8" s="185">
        <f>IF(OR(9&lt;='01_Вводные'!$B$15,9-'01_Вводные'!$B$15&gt;60),0,INDEX('04_Продажи'!$B$15:$BI$15,1,9-'01_Вводные'!$B$15))*'01_Вводные'!$B$298*MIN(1,'01_Вводные'!$B$22)+IF(OR(9&lt;=('01_Вводные'!$B$15+'01_Вводные'!$B$311),9-('01_Вводные'!$B$15+'01_Вводные'!$B$311)&gt;60),0,INDEX('04_Продажи'!$B$15:$BI$15,1,9-('01_Вводные'!$B$15+'01_Вводные'!$B$311)))*'01_Вводные'!$B$298*MAX(0,'01_Вводные'!$B$22-1)</f>
        <v/>
      </c>
      <c r="K8" s="185">
        <f>IF(OR(10&lt;='01_Вводные'!$B$15,10-'01_Вводные'!$B$15&gt;60),0,INDEX('04_Продажи'!$B$15:$BI$15,1,10-'01_Вводные'!$B$15))*'01_Вводные'!$B$298*MIN(1,'01_Вводные'!$B$22)+IF(OR(10&lt;=('01_Вводные'!$B$15+'01_Вводные'!$B$311),10-('01_Вводные'!$B$15+'01_Вводные'!$B$311)&gt;60),0,INDEX('04_Продажи'!$B$15:$BI$15,1,10-('01_Вводные'!$B$15+'01_Вводные'!$B$311)))*'01_Вводные'!$B$298*MAX(0,'01_Вводные'!$B$22-1)</f>
        <v/>
      </c>
      <c r="L8" s="185">
        <f>IF(OR(11&lt;='01_Вводные'!$B$15,11-'01_Вводные'!$B$15&gt;60),0,INDEX('04_Продажи'!$B$15:$BI$15,1,11-'01_Вводные'!$B$15))*'01_Вводные'!$B$298*MIN(1,'01_Вводные'!$B$22)+IF(OR(11&lt;=('01_Вводные'!$B$15+'01_Вводные'!$B$311),11-('01_Вводные'!$B$15+'01_Вводные'!$B$311)&gt;60),0,INDEX('04_Продажи'!$B$15:$BI$15,1,11-('01_Вводные'!$B$15+'01_Вводные'!$B$311)))*'01_Вводные'!$B$298*MAX(0,'01_Вводные'!$B$22-1)</f>
        <v/>
      </c>
      <c r="M8" s="185">
        <f>IF(OR(12&lt;='01_Вводные'!$B$15,12-'01_Вводные'!$B$15&gt;60),0,INDEX('04_Продажи'!$B$15:$BI$15,1,12-'01_Вводные'!$B$15))*'01_Вводные'!$B$298*MIN(1,'01_Вводные'!$B$22)+IF(OR(12&lt;=('01_Вводные'!$B$15+'01_Вводные'!$B$311),12-('01_Вводные'!$B$15+'01_Вводные'!$B$311)&gt;60),0,INDEX('04_Продажи'!$B$15:$BI$15,1,12-('01_Вводные'!$B$15+'01_Вводные'!$B$311)))*'01_Вводные'!$B$298*MAX(0,'01_Вводные'!$B$22-1)</f>
        <v/>
      </c>
      <c r="N8" s="185">
        <f>IF(OR(13&lt;='01_Вводные'!$B$15,13-'01_Вводные'!$B$15&gt;60),0,INDEX('04_Продажи'!$B$15:$BI$15,1,13-'01_Вводные'!$B$15))*'01_Вводные'!$B$298*MIN(1,'01_Вводные'!$B$22)+IF(OR(13&lt;=('01_Вводные'!$B$15+'01_Вводные'!$B$311),13-('01_Вводные'!$B$15+'01_Вводные'!$B$311)&gt;60),0,INDEX('04_Продажи'!$B$15:$BI$15,1,13-('01_Вводные'!$B$15+'01_Вводные'!$B$311)))*'01_Вводные'!$B$298*MAX(0,'01_Вводные'!$B$22-1)</f>
        <v/>
      </c>
      <c r="O8" s="185">
        <f>IF(OR(14&lt;='01_Вводные'!$B$15,14-'01_Вводные'!$B$15&gt;60),0,INDEX('04_Продажи'!$B$15:$BI$15,1,14-'01_Вводные'!$B$15))*'01_Вводные'!$B$298*MIN(1,'01_Вводные'!$B$22)+IF(OR(14&lt;=('01_Вводные'!$B$15+'01_Вводные'!$B$311),14-('01_Вводные'!$B$15+'01_Вводные'!$B$311)&gt;60),0,INDEX('04_Продажи'!$B$15:$BI$15,1,14-('01_Вводные'!$B$15+'01_Вводные'!$B$311)))*'01_Вводные'!$B$298*MAX(0,'01_Вводные'!$B$22-1)</f>
        <v/>
      </c>
      <c r="P8" s="185">
        <f>IF(OR(15&lt;='01_Вводные'!$B$15,15-'01_Вводные'!$B$15&gt;60),0,INDEX('04_Продажи'!$B$15:$BI$15,1,15-'01_Вводные'!$B$15))*'01_Вводные'!$B$298*MIN(1,'01_Вводные'!$B$22)+IF(OR(15&lt;=('01_Вводные'!$B$15+'01_Вводные'!$B$311),15-('01_Вводные'!$B$15+'01_Вводные'!$B$311)&gt;60),0,INDEX('04_Продажи'!$B$15:$BI$15,1,15-('01_Вводные'!$B$15+'01_Вводные'!$B$311)))*'01_Вводные'!$B$298*MAX(0,'01_Вводные'!$B$22-1)</f>
        <v/>
      </c>
      <c r="Q8" s="185">
        <f>IF(OR(16&lt;='01_Вводные'!$B$15,16-'01_Вводные'!$B$15&gt;60),0,INDEX('04_Продажи'!$B$15:$BI$15,1,16-'01_Вводные'!$B$15))*'01_Вводные'!$B$298*MIN(1,'01_Вводные'!$B$22)+IF(OR(16&lt;=('01_Вводные'!$B$15+'01_Вводные'!$B$311),16-('01_Вводные'!$B$15+'01_Вводные'!$B$311)&gt;60),0,INDEX('04_Продажи'!$B$15:$BI$15,1,16-('01_Вводные'!$B$15+'01_Вводные'!$B$311)))*'01_Вводные'!$B$298*MAX(0,'01_Вводные'!$B$22-1)</f>
        <v/>
      </c>
      <c r="R8" s="185">
        <f>IF(OR(17&lt;='01_Вводные'!$B$15,17-'01_Вводные'!$B$15&gt;60),0,INDEX('04_Продажи'!$B$15:$BI$15,1,17-'01_Вводные'!$B$15))*'01_Вводные'!$B$298*MIN(1,'01_Вводные'!$B$22)+IF(OR(17&lt;=('01_Вводные'!$B$15+'01_Вводные'!$B$311),17-('01_Вводные'!$B$15+'01_Вводные'!$B$311)&gt;60),0,INDEX('04_Продажи'!$B$15:$BI$15,1,17-('01_Вводные'!$B$15+'01_Вводные'!$B$311)))*'01_Вводные'!$B$298*MAX(0,'01_Вводные'!$B$22-1)</f>
        <v/>
      </c>
      <c r="S8" s="185">
        <f>IF(OR(18&lt;='01_Вводные'!$B$15,18-'01_Вводные'!$B$15&gt;60),0,INDEX('04_Продажи'!$B$15:$BI$15,1,18-'01_Вводные'!$B$15))*'01_Вводные'!$B$298*MIN(1,'01_Вводные'!$B$22)+IF(OR(18&lt;=('01_Вводные'!$B$15+'01_Вводные'!$B$311),18-('01_Вводные'!$B$15+'01_Вводные'!$B$311)&gt;60),0,INDEX('04_Продажи'!$B$15:$BI$15,1,18-('01_Вводные'!$B$15+'01_Вводные'!$B$311)))*'01_Вводные'!$B$298*MAX(0,'01_Вводные'!$B$22-1)</f>
        <v/>
      </c>
      <c r="T8" s="185">
        <f>IF(OR(19&lt;='01_Вводные'!$B$15,19-'01_Вводные'!$B$15&gt;60),0,INDEX('04_Продажи'!$B$15:$BI$15,1,19-'01_Вводные'!$B$15))*'01_Вводные'!$B$298*MIN(1,'01_Вводные'!$B$22)+IF(OR(19&lt;=('01_Вводные'!$B$15+'01_Вводные'!$B$311),19-('01_Вводные'!$B$15+'01_Вводные'!$B$311)&gt;60),0,INDEX('04_Продажи'!$B$15:$BI$15,1,19-('01_Вводные'!$B$15+'01_Вводные'!$B$311)))*'01_Вводные'!$B$298*MAX(0,'01_Вводные'!$B$22-1)</f>
        <v/>
      </c>
      <c r="U8" s="185">
        <f>IF(OR(20&lt;='01_Вводные'!$B$15,20-'01_Вводные'!$B$15&gt;60),0,INDEX('04_Продажи'!$B$15:$BI$15,1,20-'01_Вводные'!$B$15))*'01_Вводные'!$B$298*MIN(1,'01_Вводные'!$B$22)+IF(OR(20&lt;=('01_Вводные'!$B$15+'01_Вводные'!$B$311),20-('01_Вводные'!$B$15+'01_Вводные'!$B$311)&gt;60),0,INDEX('04_Продажи'!$B$15:$BI$15,1,20-('01_Вводные'!$B$15+'01_Вводные'!$B$311)))*'01_Вводные'!$B$298*MAX(0,'01_Вводные'!$B$22-1)</f>
        <v/>
      </c>
      <c r="V8" s="185">
        <f>IF(OR(21&lt;='01_Вводные'!$B$15,21-'01_Вводные'!$B$15&gt;60),0,INDEX('04_Продажи'!$B$15:$BI$15,1,21-'01_Вводные'!$B$15))*'01_Вводные'!$B$298*MIN(1,'01_Вводные'!$B$22)+IF(OR(21&lt;=('01_Вводные'!$B$15+'01_Вводные'!$B$311),21-('01_Вводные'!$B$15+'01_Вводные'!$B$311)&gt;60),0,INDEX('04_Продажи'!$B$15:$BI$15,1,21-('01_Вводные'!$B$15+'01_Вводные'!$B$311)))*'01_Вводные'!$B$298*MAX(0,'01_Вводные'!$B$22-1)</f>
        <v/>
      </c>
      <c r="W8" s="185">
        <f>IF(OR(22&lt;='01_Вводные'!$B$15,22-'01_Вводные'!$B$15&gt;60),0,INDEX('04_Продажи'!$B$15:$BI$15,1,22-'01_Вводные'!$B$15))*'01_Вводные'!$B$298*MIN(1,'01_Вводные'!$B$22)+IF(OR(22&lt;=('01_Вводные'!$B$15+'01_Вводные'!$B$311),22-('01_Вводные'!$B$15+'01_Вводные'!$B$311)&gt;60),0,INDEX('04_Продажи'!$B$15:$BI$15,1,22-('01_Вводные'!$B$15+'01_Вводные'!$B$311)))*'01_Вводные'!$B$298*MAX(0,'01_Вводные'!$B$22-1)</f>
        <v/>
      </c>
      <c r="X8" s="185">
        <f>IF(OR(23&lt;='01_Вводные'!$B$15,23-'01_Вводные'!$B$15&gt;60),0,INDEX('04_Продажи'!$B$15:$BI$15,1,23-'01_Вводные'!$B$15))*'01_Вводные'!$B$298*MIN(1,'01_Вводные'!$B$22)+IF(OR(23&lt;=('01_Вводные'!$B$15+'01_Вводные'!$B$311),23-('01_Вводные'!$B$15+'01_Вводные'!$B$311)&gt;60),0,INDEX('04_Продажи'!$B$15:$BI$15,1,23-('01_Вводные'!$B$15+'01_Вводные'!$B$311)))*'01_Вводные'!$B$298*MAX(0,'01_Вводные'!$B$22-1)</f>
        <v/>
      </c>
      <c r="Y8" s="185">
        <f>IF(OR(24&lt;='01_Вводные'!$B$15,24-'01_Вводные'!$B$15&gt;60),0,INDEX('04_Продажи'!$B$15:$BI$15,1,24-'01_Вводные'!$B$15))*'01_Вводные'!$B$298*MIN(1,'01_Вводные'!$B$22)+IF(OR(24&lt;=('01_Вводные'!$B$15+'01_Вводные'!$B$311),24-('01_Вводные'!$B$15+'01_Вводные'!$B$311)&gt;60),0,INDEX('04_Продажи'!$B$15:$BI$15,1,24-('01_Вводные'!$B$15+'01_Вводные'!$B$311)))*'01_Вводные'!$B$298*MAX(0,'01_Вводные'!$B$22-1)</f>
        <v/>
      </c>
      <c r="Z8" s="185">
        <f>IF(OR(25&lt;='01_Вводные'!$B$15,25-'01_Вводные'!$B$15&gt;60),0,INDEX('04_Продажи'!$B$15:$BI$15,1,25-'01_Вводные'!$B$15))*'01_Вводные'!$B$298*MIN(1,'01_Вводные'!$B$22)+IF(OR(25&lt;=('01_Вводные'!$B$15+'01_Вводные'!$B$311),25-('01_Вводные'!$B$15+'01_Вводные'!$B$311)&gt;60),0,INDEX('04_Продажи'!$B$15:$BI$15,1,25-('01_Вводные'!$B$15+'01_Вводные'!$B$311)))*'01_Вводные'!$B$298*MAX(0,'01_Вводные'!$B$22-1)</f>
        <v/>
      </c>
      <c r="AA8" s="185">
        <f>IF(OR(26&lt;='01_Вводные'!$B$15,26-'01_Вводные'!$B$15&gt;60),0,INDEX('04_Продажи'!$B$15:$BI$15,1,26-'01_Вводные'!$B$15))*'01_Вводные'!$B$298*MIN(1,'01_Вводные'!$B$22)+IF(OR(26&lt;=('01_Вводные'!$B$15+'01_Вводные'!$B$311),26-('01_Вводные'!$B$15+'01_Вводные'!$B$311)&gt;60),0,INDEX('04_Продажи'!$B$15:$BI$15,1,26-('01_Вводные'!$B$15+'01_Вводные'!$B$311)))*'01_Вводные'!$B$298*MAX(0,'01_Вводные'!$B$22-1)</f>
        <v/>
      </c>
      <c r="AB8" s="185">
        <f>IF(OR(27&lt;='01_Вводные'!$B$15,27-'01_Вводные'!$B$15&gt;60),0,INDEX('04_Продажи'!$B$15:$BI$15,1,27-'01_Вводные'!$B$15))*'01_Вводные'!$B$298*MIN(1,'01_Вводные'!$B$22)+IF(OR(27&lt;=('01_Вводные'!$B$15+'01_Вводные'!$B$311),27-('01_Вводные'!$B$15+'01_Вводные'!$B$311)&gt;60),0,INDEX('04_Продажи'!$B$15:$BI$15,1,27-('01_Вводные'!$B$15+'01_Вводные'!$B$311)))*'01_Вводные'!$B$298*MAX(0,'01_Вводные'!$B$22-1)</f>
        <v/>
      </c>
      <c r="AC8" s="185">
        <f>IF(OR(28&lt;='01_Вводные'!$B$15,28-'01_Вводные'!$B$15&gt;60),0,INDEX('04_Продажи'!$B$15:$BI$15,1,28-'01_Вводные'!$B$15))*'01_Вводные'!$B$298*MIN(1,'01_Вводные'!$B$22)+IF(OR(28&lt;=('01_Вводные'!$B$15+'01_Вводные'!$B$311),28-('01_Вводные'!$B$15+'01_Вводные'!$B$311)&gt;60),0,INDEX('04_Продажи'!$B$15:$BI$15,1,28-('01_Вводные'!$B$15+'01_Вводные'!$B$311)))*'01_Вводные'!$B$298*MAX(0,'01_Вводные'!$B$22-1)</f>
        <v/>
      </c>
      <c r="AD8" s="185">
        <f>IF(OR(29&lt;='01_Вводные'!$B$15,29-'01_Вводные'!$B$15&gt;60),0,INDEX('04_Продажи'!$B$15:$BI$15,1,29-'01_Вводные'!$B$15))*'01_Вводные'!$B$298*MIN(1,'01_Вводные'!$B$22)+IF(OR(29&lt;=('01_Вводные'!$B$15+'01_Вводные'!$B$311),29-('01_Вводные'!$B$15+'01_Вводные'!$B$311)&gt;60),0,INDEX('04_Продажи'!$B$15:$BI$15,1,29-('01_Вводные'!$B$15+'01_Вводные'!$B$311)))*'01_Вводные'!$B$298*MAX(0,'01_Вводные'!$B$22-1)</f>
        <v/>
      </c>
      <c r="AE8" s="185">
        <f>IF(OR(30&lt;='01_Вводные'!$B$15,30-'01_Вводные'!$B$15&gt;60),0,INDEX('04_Продажи'!$B$15:$BI$15,1,30-'01_Вводные'!$B$15))*'01_Вводные'!$B$298*MIN(1,'01_Вводные'!$B$22)+IF(OR(30&lt;=('01_Вводные'!$B$15+'01_Вводные'!$B$311),30-('01_Вводные'!$B$15+'01_Вводные'!$B$311)&gt;60),0,INDEX('04_Продажи'!$B$15:$BI$15,1,30-('01_Вводные'!$B$15+'01_Вводные'!$B$311)))*'01_Вводные'!$B$298*MAX(0,'01_Вводные'!$B$22-1)</f>
        <v/>
      </c>
      <c r="AF8" s="185">
        <f>IF(OR(31&lt;='01_Вводные'!$B$15,31-'01_Вводные'!$B$15&gt;60),0,INDEX('04_Продажи'!$B$15:$BI$15,1,31-'01_Вводные'!$B$15))*'01_Вводные'!$B$298*MIN(1,'01_Вводные'!$B$22)+IF(OR(31&lt;=('01_Вводные'!$B$15+'01_Вводные'!$B$311),31-('01_Вводные'!$B$15+'01_Вводные'!$B$311)&gt;60),0,INDEX('04_Продажи'!$B$15:$BI$15,1,31-('01_Вводные'!$B$15+'01_Вводные'!$B$311)))*'01_Вводные'!$B$298*MAX(0,'01_Вводные'!$B$22-1)</f>
        <v/>
      </c>
      <c r="AG8" s="185">
        <f>IF(OR(32&lt;='01_Вводные'!$B$15,32-'01_Вводные'!$B$15&gt;60),0,INDEX('04_Продажи'!$B$15:$BI$15,1,32-'01_Вводные'!$B$15))*'01_Вводные'!$B$298*MIN(1,'01_Вводные'!$B$22)+IF(OR(32&lt;=('01_Вводные'!$B$15+'01_Вводные'!$B$311),32-('01_Вводные'!$B$15+'01_Вводные'!$B$311)&gt;60),0,INDEX('04_Продажи'!$B$15:$BI$15,1,32-('01_Вводные'!$B$15+'01_Вводные'!$B$311)))*'01_Вводные'!$B$298*MAX(0,'01_Вводные'!$B$22-1)</f>
        <v/>
      </c>
      <c r="AH8" s="185">
        <f>IF(OR(33&lt;='01_Вводные'!$B$15,33-'01_Вводные'!$B$15&gt;60),0,INDEX('04_Продажи'!$B$15:$BI$15,1,33-'01_Вводные'!$B$15))*'01_Вводные'!$B$298*MIN(1,'01_Вводные'!$B$22)+IF(OR(33&lt;=('01_Вводные'!$B$15+'01_Вводные'!$B$311),33-('01_Вводные'!$B$15+'01_Вводные'!$B$311)&gt;60),0,INDEX('04_Продажи'!$B$15:$BI$15,1,33-('01_Вводные'!$B$15+'01_Вводные'!$B$311)))*'01_Вводные'!$B$298*MAX(0,'01_Вводные'!$B$22-1)</f>
        <v/>
      </c>
      <c r="AI8" s="185">
        <f>IF(OR(34&lt;='01_Вводные'!$B$15,34-'01_Вводные'!$B$15&gt;60),0,INDEX('04_Продажи'!$B$15:$BI$15,1,34-'01_Вводные'!$B$15))*'01_Вводные'!$B$298*MIN(1,'01_Вводные'!$B$22)+IF(OR(34&lt;=('01_Вводные'!$B$15+'01_Вводные'!$B$311),34-('01_Вводные'!$B$15+'01_Вводные'!$B$311)&gt;60),0,INDEX('04_Продажи'!$B$15:$BI$15,1,34-('01_Вводные'!$B$15+'01_Вводные'!$B$311)))*'01_Вводные'!$B$298*MAX(0,'01_Вводные'!$B$22-1)</f>
        <v/>
      </c>
      <c r="AJ8" s="185">
        <f>IF(OR(35&lt;='01_Вводные'!$B$15,35-'01_Вводные'!$B$15&gt;60),0,INDEX('04_Продажи'!$B$15:$BI$15,1,35-'01_Вводные'!$B$15))*'01_Вводные'!$B$298*MIN(1,'01_Вводные'!$B$22)+IF(OR(35&lt;=('01_Вводные'!$B$15+'01_Вводные'!$B$311),35-('01_Вводные'!$B$15+'01_Вводные'!$B$311)&gt;60),0,INDEX('04_Продажи'!$B$15:$BI$15,1,35-('01_Вводные'!$B$15+'01_Вводные'!$B$311)))*'01_Вводные'!$B$298*MAX(0,'01_Вводные'!$B$22-1)</f>
        <v/>
      </c>
      <c r="AK8" s="185">
        <f>IF(OR(36&lt;='01_Вводные'!$B$15,36-'01_Вводные'!$B$15&gt;60),0,INDEX('04_Продажи'!$B$15:$BI$15,1,36-'01_Вводные'!$B$15))*'01_Вводные'!$B$298*MIN(1,'01_Вводные'!$B$22)+IF(OR(36&lt;=('01_Вводные'!$B$15+'01_Вводные'!$B$311),36-('01_Вводные'!$B$15+'01_Вводные'!$B$311)&gt;60),0,INDEX('04_Продажи'!$B$15:$BI$15,1,36-('01_Вводные'!$B$15+'01_Вводные'!$B$311)))*'01_Вводные'!$B$298*MAX(0,'01_Вводные'!$B$22-1)</f>
        <v/>
      </c>
      <c r="AL8" s="185">
        <f>IF(OR(37&lt;='01_Вводные'!$B$15,37-'01_Вводные'!$B$15&gt;60),0,INDEX('04_Продажи'!$B$15:$BI$15,1,37-'01_Вводные'!$B$15))*'01_Вводные'!$B$298*MIN(1,'01_Вводные'!$B$22)+IF(OR(37&lt;=('01_Вводные'!$B$15+'01_Вводные'!$B$311),37-('01_Вводные'!$B$15+'01_Вводные'!$B$311)&gt;60),0,INDEX('04_Продажи'!$B$15:$BI$15,1,37-('01_Вводные'!$B$15+'01_Вводные'!$B$311)))*'01_Вводные'!$B$298*MAX(0,'01_Вводные'!$B$22-1)</f>
        <v/>
      </c>
      <c r="AM8" s="185">
        <f>IF(OR(38&lt;='01_Вводные'!$B$15,38-'01_Вводные'!$B$15&gt;60),0,INDEX('04_Продажи'!$B$15:$BI$15,1,38-'01_Вводные'!$B$15))*'01_Вводные'!$B$298*MIN(1,'01_Вводные'!$B$22)+IF(OR(38&lt;=('01_Вводные'!$B$15+'01_Вводные'!$B$311),38-('01_Вводные'!$B$15+'01_Вводные'!$B$311)&gt;60),0,INDEX('04_Продажи'!$B$15:$BI$15,1,38-('01_Вводные'!$B$15+'01_Вводные'!$B$311)))*'01_Вводные'!$B$298*MAX(0,'01_Вводные'!$B$22-1)</f>
        <v/>
      </c>
      <c r="AN8" s="185">
        <f>IF(OR(39&lt;='01_Вводные'!$B$15,39-'01_Вводные'!$B$15&gt;60),0,INDEX('04_Продажи'!$B$15:$BI$15,1,39-'01_Вводные'!$B$15))*'01_Вводные'!$B$298*MIN(1,'01_Вводные'!$B$22)+IF(OR(39&lt;=('01_Вводные'!$B$15+'01_Вводные'!$B$311),39-('01_Вводные'!$B$15+'01_Вводные'!$B$311)&gt;60),0,INDEX('04_Продажи'!$B$15:$BI$15,1,39-('01_Вводные'!$B$15+'01_Вводные'!$B$311)))*'01_Вводные'!$B$298*MAX(0,'01_Вводные'!$B$22-1)</f>
        <v/>
      </c>
      <c r="AO8" s="185">
        <f>IF(OR(40&lt;='01_Вводные'!$B$15,40-'01_Вводные'!$B$15&gt;60),0,INDEX('04_Продажи'!$B$15:$BI$15,1,40-'01_Вводные'!$B$15))*'01_Вводные'!$B$298*MIN(1,'01_Вводные'!$B$22)+IF(OR(40&lt;=('01_Вводные'!$B$15+'01_Вводные'!$B$311),40-('01_Вводные'!$B$15+'01_Вводные'!$B$311)&gt;60),0,INDEX('04_Продажи'!$B$15:$BI$15,1,40-('01_Вводные'!$B$15+'01_Вводные'!$B$311)))*'01_Вводные'!$B$298*MAX(0,'01_Вводные'!$B$22-1)</f>
        <v/>
      </c>
      <c r="AP8" s="185">
        <f>IF(OR(41&lt;='01_Вводные'!$B$15,41-'01_Вводные'!$B$15&gt;60),0,INDEX('04_Продажи'!$B$15:$BI$15,1,41-'01_Вводные'!$B$15))*'01_Вводные'!$B$298*MIN(1,'01_Вводные'!$B$22)+IF(OR(41&lt;=('01_Вводные'!$B$15+'01_Вводные'!$B$311),41-('01_Вводные'!$B$15+'01_Вводные'!$B$311)&gt;60),0,INDEX('04_Продажи'!$B$15:$BI$15,1,41-('01_Вводные'!$B$15+'01_Вводные'!$B$311)))*'01_Вводные'!$B$298*MAX(0,'01_Вводные'!$B$22-1)</f>
        <v/>
      </c>
      <c r="AQ8" s="185">
        <f>IF(OR(42&lt;='01_Вводные'!$B$15,42-'01_Вводные'!$B$15&gt;60),0,INDEX('04_Продажи'!$B$15:$BI$15,1,42-'01_Вводные'!$B$15))*'01_Вводные'!$B$298*MIN(1,'01_Вводные'!$B$22)+IF(OR(42&lt;=('01_Вводные'!$B$15+'01_Вводные'!$B$311),42-('01_Вводные'!$B$15+'01_Вводные'!$B$311)&gt;60),0,INDEX('04_Продажи'!$B$15:$BI$15,1,42-('01_Вводные'!$B$15+'01_Вводные'!$B$311)))*'01_Вводные'!$B$298*MAX(0,'01_Вводные'!$B$22-1)</f>
        <v/>
      </c>
      <c r="AR8" s="185">
        <f>IF(OR(43&lt;='01_Вводные'!$B$15,43-'01_Вводные'!$B$15&gt;60),0,INDEX('04_Продажи'!$B$15:$BI$15,1,43-'01_Вводные'!$B$15))*'01_Вводные'!$B$298*MIN(1,'01_Вводные'!$B$22)+IF(OR(43&lt;=('01_Вводные'!$B$15+'01_Вводные'!$B$311),43-('01_Вводные'!$B$15+'01_Вводные'!$B$311)&gt;60),0,INDEX('04_Продажи'!$B$15:$BI$15,1,43-('01_Вводные'!$B$15+'01_Вводные'!$B$311)))*'01_Вводные'!$B$298*MAX(0,'01_Вводные'!$B$22-1)</f>
        <v/>
      </c>
      <c r="AS8" s="185">
        <f>IF(OR(44&lt;='01_Вводные'!$B$15,44-'01_Вводные'!$B$15&gt;60),0,INDEX('04_Продажи'!$B$15:$BI$15,1,44-'01_Вводные'!$B$15))*'01_Вводные'!$B$298*MIN(1,'01_Вводные'!$B$22)+IF(OR(44&lt;=('01_Вводные'!$B$15+'01_Вводные'!$B$311),44-('01_Вводные'!$B$15+'01_Вводные'!$B$311)&gt;60),0,INDEX('04_Продажи'!$B$15:$BI$15,1,44-('01_Вводные'!$B$15+'01_Вводные'!$B$311)))*'01_Вводные'!$B$298*MAX(0,'01_Вводные'!$B$22-1)</f>
        <v/>
      </c>
      <c r="AT8" s="185">
        <f>IF(OR(45&lt;='01_Вводные'!$B$15,45-'01_Вводные'!$B$15&gt;60),0,INDEX('04_Продажи'!$B$15:$BI$15,1,45-'01_Вводные'!$B$15))*'01_Вводные'!$B$298*MIN(1,'01_Вводные'!$B$22)+IF(OR(45&lt;=('01_Вводные'!$B$15+'01_Вводные'!$B$311),45-('01_Вводные'!$B$15+'01_Вводные'!$B$311)&gt;60),0,INDEX('04_Продажи'!$B$15:$BI$15,1,45-('01_Вводные'!$B$15+'01_Вводные'!$B$311)))*'01_Вводные'!$B$298*MAX(0,'01_Вводные'!$B$22-1)</f>
        <v/>
      </c>
      <c r="AU8" s="185">
        <f>IF(OR(46&lt;='01_Вводные'!$B$15,46-'01_Вводные'!$B$15&gt;60),0,INDEX('04_Продажи'!$B$15:$BI$15,1,46-'01_Вводные'!$B$15))*'01_Вводные'!$B$298*MIN(1,'01_Вводные'!$B$22)+IF(OR(46&lt;=('01_Вводные'!$B$15+'01_Вводные'!$B$311),46-('01_Вводные'!$B$15+'01_Вводные'!$B$311)&gt;60),0,INDEX('04_Продажи'!$B$15:$BI$15,1,46-('01_Вводные'!$B$15+'01_Вводные'!$B$311)))*'01_Вводные'!$B$298*MAX(0,'01_Вводные'!$B$22-1)</f>
        <v/>
      </c>
      <c r="AV8" s="185">
        <f>IF(OR(47&lt;='01_Вводные'!$B$15,47-'01_Вводные'!$B$15&gt;60),0,INDEX('04_Продажи'!$B$15:$BI$15,1,47-'01_Вводные'!$B$15))*'01_Вводные'!$B$298*MIN(1,'01_Вводные'!$B$22)+IF(OR(47&lt;=('01_Вводные'!$B$15+'01_Вводные'!$B$311),47-('01_Вводные'!$B$15+'01_Вводные'!$B$311)&gt;60),0,INDEX('04_Продажи'!$B$15:$BI$15,1,47-('01_Вводные'!$B$15+'01_Вводные'!$B$311)))*'01_Вводные'!$B$298*MAX(0,'01_Вводные'!$B$22-1)</f>
        <v/>
      </c>
      <c r="AW8" s="185">
        <f>IF(OR(48&lt;='01_Вводные'!$B$15,48-'01_Вводные'!$B$15&gt;60),0,INDEX('04_Продажи'!$B$15:$BI$15,1,48-'01_Вводные'!$B$15))*'01_Вводные'!$B$298*MIN(1,'01_Вводные'!$B$22)+IF(OR(48&lt;=('01_Вводные'!$B$15+'01_Вводные'!$B$311),48-('01_Вводные'!$B$15+'01_Вводные'!$B$311)&gt;60),0,INDEX('04_Продажи'!$B$15:$BI$15,1,48-('01_Вводные'!$B$15+'01_Вводные'!$B$311)))*'01_Вводные'!$B$298*MAX(0,'01_Вводные'!$B$22-1)</f>
        <v/>
      </c>
      <c r="AX8" s="185">
        <f>IF(OR(49&lt;='01_Вводные'!$B$15,49-'01_Вводные'!$B$15&gt;60),0,INDEX('04_Продажи'!$B$15:$BI$15,1,49-'01_Вводные'!$B$15))*'01_Вводные'!$B$298*MIN(1,'01_Вводные'!$B$22)+IF(OR(49&lt;=('01_Вводные'!$B$15+'01_Вводные'!$B$311),49-('01_Вводные'!$B$15+'01_Вводные'!$B$311)&gt;60),0,INDEX('04_Продажи'!$B$15:$BI$15,1,49-('01_Вводные'!$B$15+'01_Вводные'!$B$311)))*'01_Вводные'!$B$298*MAX(0,'01_Вводные'!$B$22-1)</f>
        <v/>
      </c>
      <c r="AY8" s="185">
        <f>IF(OR(50&lt;='01_Вводные'!$B$15,50-'01_Вводные'!$B$15&gt;60),0,INDEX('04_Продажи'!$B$15:$BI$15,1,50-'01_Вводные'!$B$15))*'01_Вводные'!$B$298*MIN(1,'01_Вводные'!$B$22)+IF(OR(50&lt;=('01_Вводные'!$B$15+'01_Вводные'!$B$311),50-('01_Вводные'!$B$15+'01_Вводные'!$B$311)&gt;60),0,INDEX('04_Продажи'!$B$15:$BI$15,1,50-('01_Вводные'!$B$15+'01_Вводные'!$B$311)))*'01_Вводные'!$B$298*MAX(0,'01_Вводные'!$B$22-1)</f>
        <v/>
      </c>
      <c r="AZ8" s="185">
        <f>IF(OR(51&lt;='01_Вводные'!$B$15,51-'01_Вводные'!$B$15&gt;60),0,INDEX('04_Продажи'!$B$15:$BI$15,1,51-'01_Вводные'!$B$15))*'01_Вводные'!$B$298*MIN(1,'01_Вводные'!$B$22)+IF(OR(51&lt;=('01_Вводные'!$B$15+'01_Вводные'!$B$311),51-('01_Вводные'!$B$15+'01_Вводные'!$B$311)&gt;60),0,INDEX('04_Продажи'!$B$15:$BI$15,1,51-('01_Вводные'!$B$15+'01_Вводные'!$B$311)))*'01_Вводные'!$B$298*MAX(0,'01_Вводные'!$B$22-1)</f>
        <v/>
      </c>
      <c r="BA8" s="185">
        <f>IF(OR(52&lt;='01_Вводные'!$B$15,52-'01_Вводные'!$B$15&gt;60),0,INDEX('04_Продажи'!$B$15:$BI$15,1,52-'01_Вводные'!$B$15))*'01_Вводные'!$B$298*MIN(1,'01_Вводные'!$B$22)+IF(OR(52&lt;=('01_Вводные'!$B$15+'01_Вводные'!$B$311),52-('01_Вводные'!$B$15+'01_Вводные'!$B$311)&gt;60),0,INDEX('04_Продажи'!$B$15:$BI$15,1,52-('01_Вводные'!$B$15+'01_Вводные'!$B$311)))*'01_Вводные'!$B$298*MAX(0,'01_Вводные'!$B$22-1)</f>
        <v/>
      </c>
      <c r="BB8" s="185">
        <f>IF(OR(53&lt;='01_Вводные'!$B$15,53-'01_Вводные'!$B$15&gt;60),0,INDEX('04_Продажи'!$B$15:$BI$15,1,53-'01_Вводные'!$B$15))*'01_Вводные'!$B$298*MIN(1,'01_Вводные'!$B$22)+IF(OR(53&lt;=('01_Вводные'!$B$15+'01_Вводные'!$B$311),53-('01_Вводные'!$B$15+'01_Вводные'!$B$311)&gt;60),0,INDEX('04_Продажи'!$B$15:$BI$15,1,53-('01_Вводные'!$B$15+'01_Вводные'!$B$311)))*'01_Вводные'!$B$298*MAX(0,'01_Вводные'!$B$22-1)</f>
        <v/>
      </c>
      <c r="BC8" s="185">
        <f>IF(OR(54&lt;='01_Вводные'!$B$15,54-'01_Вводные'!$B$15&gt;60),0,INDEX('04_Продажи'!$B$15:$BI$15,1,54-'01_Вводные'!$B$15))*'01_Вводные'!$B$298*MIN(1,'01_Вводные'!$B$22)+IF(OR(54&lt;=('01_Вводные'!$B$15+'01_Вводные'!$B$311),54-('01_Вводные'!$B$15+'01_Вводные'!$B$311)&gt;60),0,INDEX('04_Продажи'!$B$15:$BI$15,1,54-('01_Вводные'!$B$15+'01_Вводные'!$B$311)))*'01_Вводные'!$B$298*MAX(0,'01_Вводные'!$B$22-1)</f>
        <v/>
      </c>
      <c r="BD8" s="185">
        <f>IF(OR(55&lt;='01_Вводные'!$B$15,55-'01_Вводные'!$B$15&gt;60),0,INDEX('04_Продажи'!$B$15:$BI$15,1,55-'01_Вводные'!$B$15))*'01_Вводные'!$B$298*MIN(1,'01_Вводные'!$B$22)+IF(OR(55&lt;=('01_Вводные'!$B$15+'01_Вводные'!$B$311),55-('01_Вводные'!$B$15+'01_Вводные'!$B$311)&gt;60),0,INDEX('04_Продажи'!$B$15:$BI$15,1,55-('01_Вводные'!$B$15+'01_Вводные'!$B$311)))*'01_Вводные'!$B$298*MAX(0,'01_Вводные'!$B$22-1)</f>
        <v/>
      </c>
      <c r="BE8" s="185">
        <f>IF(OR(56&lt;='01_Вводные'!$B$15,56-'01_Вводные'!$B$15&gt;60),0,INDEX('04_Продажи'!$B$15:$BI$15,1,56-'01_Вводные'!$B$15))*'01_Вводные'!$B$298*MIN(1,'01_Вводные'!$B$22)+IF(OR(56&lt;=('01_Вводные'!$B$15+'01_Вводные'!$B$311),56-('01_Вводные'!$B$15+'01_Вводные'!$B$311)&gt;60),0,INDEX('04_Продажи'!$B$15:$BI$15,1,56-('01_Вводные'!$B$15+'01_Вводные'!$B$311)))*'01_Вводные'!$B$298*MAX(0,'01_Вводные'!$B$22-1)</f>
        <v/>
      </c>
      <c r="BF8" s="185">
        <f>IF(OR(57&lt;='01_Вводные'!$B$15,57-'01_Вводные'!$B$15&gt;60),0,INDEX('04_Продажи'!$B$15:$BI$15,1,57-'01_Вводные'!$B$15))*'01_Вводные'!$B$298*MIN(1,'01_Вводные'!$B$22)+IF(OR(57&lt;=('01_Вводные'!$B$15+'01_Вводные'!$B$311),57-('01_Вводные'!$B$15+'01_Вводные'!$B$311)&gt;60),0,INDEX('04_Продажи'!$B$15:$BI$15,1,57-('01_Вводные'!$B$15+'01_Вводные'!$B$311)))*'01_Вводные'!$B$298*MAX(0,'01_Вводные'!$B$22-1)</f>
        <v/>
      </c>
      <c r="BG8" s="185">
        <f>IF(OR(58&lt;='01_Вводные'!$B$15,58-'01_Вводные'!$B$15&gt;60),0,INDEX('04_Продажи'!$B$15:$BI$15,1,58-'01_Вводные'!$B$15))*'01_Вводные'!$B$298*MIN(1,'01_Вводные'!$B$22)+IF(OR(58&lt;=('01_Вводные'!$B$15+'01_Вводные'!$B$311),58-('01_Вводные'!$B$15+'01_Вводные'!$B$311)&gt;60),0,INDEX('04_Продажи'!$B$15:$BI$15,1,58-('01_Вводные'!$B$15+'01_Вводные'!$B$311)))*'01_Вводные'!$B$298*MAX(0,'01_Вводные'!$B$22-1)</f>
        <v/>
      </c>
      <c r="BH8" s="185">
        <f>IF(OR(59&lt;='01_Вводные'!$B$15,59-'01_Вводные'!$B$15&gt;60),0,INDEX('04_Продажи'!$B$15:$BI$15,1,59-'01_Вводные'!$B$15))*'01_Вводные'!$B$298*MIN(1,'01_Вводные'!$B$22)+IF(OR(59&lt;=('01_Вводные'!$B$15+'01_Вводные'!$B$311),59-('01_Вводные'!$B$15+'01_Вводные'!$B$311)&gt;60),0,INDEX('04_Продажи'!$B$15:$BI$15,1,59-('01_Вводные'!$B$15+'01_Вводные'!$B$311)))*'01_Вводные'!$B$298*MAX(0,'01_Вводные'!$B$22-1)</f>
        <v/>
      </c>
      <c r="BI8" s="185">
        <f>IF(OR(60&lt;='01_Вводные'!$B$15,60-'01_Вводные'!$B$15&gt;60),0,INDEX('04_Продажи'!$B$15:$BI$15,1,60-'01_Вводные'!$B$15))*'01_Вводные'!$B$298*MIN(1,'01_Вводные'!$B$22)+IF(OR(60&lt;=('01_Вводные'!$B$15+'01_Вводные'!$B$311),60-('01_Вводные'!$B$15+'01_Вводные'!$B$311)&gt;60),0,INDEX('04_Продажи'!$B$15:$BI$15,1,60-('01_Вводные'!$B$15+'01_Вводные'!$B$311)))*'01_Вводные'!$B$298*MAX(0,'01_Вводные'!$B$22-1)</f>
        <v/>
      </c>
      <c r="BJ8" s="185">
        <f>IF(OR(61&lt;='01_Вводные'!$B$15,61-'01_Вводные'!$B$15&gt;60),0,INDEX('04_Продажи'!$B$15:$BI$15,1,61-'01_Вводные'!$B$15))*'01_Вводные'!$B$298*MIN(1,'01_Вводные'!$B$22)+IF(OR(61&lt;=('01_Вводные'!$B$15+'01_Вводные'!$B$311),61-('01_Вводные'!$B$15+'01_Вводные'!$B$311)&gt;60),0,INDEX('04_Продажи'!$B$15:$BI$15,1,61-('01_Вводные'!$B$15+'01_Вводные'!$B$311)))*'01_Вводные'!$B$298*MAX(0,'01_Вводные'!$B$22-1)</f>
        <v/>
      </c>
      <c r="BK8" s="185">
        <f>IF(OR(62&lt;='01_Вводные'!$B$15,62-'01_Вводные'!$B$15&gt;60),0,INDEX('04_Продажи'!$B$15:$BI$15,1,62-'01_Вводные'!$B$15))*'01_Вводные'!$B$298*MIN(1,'01_Вводные'!$B$22)+IF(OR(62&lt;=('01_Вводные'!$B$15+'01_Вводные'!$B$311),62-('01_Вводные'!$B$15+'01_Вводные'!$B$311)&gt;60),0,INDEX('04_Продажи'!$B$15:$BI$15,1,62-('01_Вводные'!$B$15+'01_Вводные'!$B$311)))*'01_Вводные'!$B$298*MAX(0,'01_Вводные'!$B$22-1)</f>
        <v/>
      </c>
      <c r="BL8" s="185">
        <f>IF(OR(63&lt;='01_Вводные'!$B$15,63-'01_Вводные'!$B$15&gt;60),0,INDEX('04_Продажи'!$B$15:$BI$15,1,63-'01_Вводные'!$B$15))*'01_Вводные'!$B$298*MIN(1,'01_Вводные'!$B$22)+IF(OR(63&lt;=('01_Вводные'!$B$15+'01_Вводные'!$B$311),63-('01_Вводные'!$B$15+'01_Вводные'!$B$311)&gt;60),0,INDEX('04_Продажи'!$B$15:$BI$15,1,63-('01_Вводные'!$B$15+'01_Вводные'!$B$311)))*'01_Вводные'!$B$298*MAX(0,'01_Вводные'!$B$22-1)</f>
        <v/>
      </c>
      <c r="BM8" s="185">
        <f>IF(OR(64&lt;='01_Вводные'!$B$15,64-'01_Вводные'!$B$15&gt;60),0,INDEX('04_Продажи'!$B$15:$BI$15,1,64-'01_Вводные'!$B$15))*'01_Вводные'!$B$298*MIN(1,'01_Вводные'!$B$22)+IF(OR(64&lt;=('01_Вводные'!$B$15+'01_Вводные'!$B$311),64-('01_Вводные'!$B$15+'01_Вводные'!$B$311)&gt;60),0,INDEX('04_Продажи'!$B$15:$BI$15,1,64-('01_Вводные'!$B$15+'01_Вводные'!$B$311)))*'01_Вводные'!$B$298*MAX(0,'01_Вводные'!$B$22-1)</f>
        <v/>
      </c>
      <c r="BN8" s="185">
        <f>IF(OR(65&lt;='01_Вводные'!$B$15,65-'01_Вводные'!$B$15&gt;60),0,INDEX('04_Продажи'!$B$15:$BI$15,1,65-'01_Вводные'!$B$15))*'01_Вводные'!$B$298*MIN(1,'01_Вводные'!$B$22)+IF(OR(65&lt;=('01_Вводные'!$B$15+'01_Вводные'!$B$311),65-('01_Вводные'!$B$15+'01_Вводные'!$B$311)&gt;60),0,INDEX('04_Продажи'!$B$15:$BI$15,1,65-('01_Вводные'!$B$15+'01_Вводные'!$B$311)))*'01_Вводные'!$B$298*MAX(0,'01_Вводные'!$B$22-1)</f>
        <v/>
      </c>
      <c r="BO8" s="185">
        <f>IF(OR(66&lt;='01_Вводные'!$B$15,66-'01_Вводные'!$B$15&gt;60),0,INDEX('04_Продажи'!$B$15:$BI$15,1,66-'01_Вводные'!$B$15))*'01_Вводные'!$B$298*MIN(1,'01_Вводные'!$B$22)+IF(OR(66&lt;=('01_Вводные'!$B$15+'01_Вводные'!$B$311),66-('01_Вводные'!$B$15+'01_Вводные'!$B$311)&gt;60),0,INDEX('04_Продажи'!$B$15:$BI$15,1,66-('01_Вводные'!$B$15+'01_Вводные'!$B$311)))*'01_Вводные'!$B$298*MAX(0,'01_Вводные'!$B$22-1)</f>
        <v/>
      </c>
    </row>
    <row r="9">
      <c r="A9" s="2" t="inlineStr">
        <is>
          <t>Новые юрлица</t>
        </is>
      </c>
      <c r="B9" s="42">
        <f>B7*'01_Вводные'!$B$16</f>
        <v/>
      </c>
      <c r="C9" s="42">
        <f>C7*'01_Вводные'!$B$16</f>
        <v/>
      </c>
      <c r="D9" s="42">
        <f>D7*'01_Вводные'!$B$16</f>
        <v/>
      </c>
      <c r="E9" s="42">
        <f>E7*'01_Вводные'!$B$16</f>
        <v/>
      </c>
      <c r="F9" s="42">
        <f>F7*'01_Вводные'!$B$16</f>
        <v/>
      </c>
      <c r="G9" s="42">
        <f>G7*'01_Вводные'!$B$16</f>
        <v/>
      </c>
      <c r="H9" s="42">
        <f>H7*'01_Вводные'!$B$16</f>
        <v/>
      </c>
      <c r="I9" s="42">
        <f>I7*'01_Вводные'!$B$16</f>
        <v/>
      </c>
      <c r="J9" s="42">
        <f>J7*'01_Вводные'!$B$16</f>
        <v/>
      </c>
      <c r="K9" s="42">
        <f>K7*'01_Вводные'!$B$16</f>
        <v/>
      </c>
      <c r="L9" s="42">
        <f>L7*'01_Вводные'!$B$16</f>
        <v/>
      </c>
      <c r="M9" s="42">
        <f>M7*'01_Вводные'!$B$16</f>
        <v/>
      </c>
      <c r="N9" s="42">
        <f>N7*'01_Вводные'!$B$16</f>
        <v/>
      </c>
      <c r="O9" s="42">
        <f>O7*'01_Вводные'!$B$16</f>
        <v/>
      </c>
      <c r="P9" s="42">
        <f>P7*'01_Вводные'!$B$16</f>
        <v/>
      </c>
      <c r="Q9" s="42">
        <f>Q7*'01_Вводные'!$B$16</f>
        <v/>
      </c>
      <c r="R9" s="42">
        <f>R7*'01_Вводные'!$B$16</f>
        <v/>
      </c>
      <c r="S9" s="42">
        <f>S7*'01_Вводные'!$B$16</f>
        <v/>
      </c>
      <c r="T9" s="42">
        <f>T7*'01_Вводные'!$B$16</f>
        <v/>
      </c>
      <c r="U9" s="42">
        <f>U7*'01_Вводные'!$B$16</f>
        <v/>
      </c>
      <c r="V9" s="42">
        <f>V7*'01_Вводные'!$B$16</f>
        <v/>
      </c>
      <c r="W9" s="42">
        <f>W7*'01_Вводные'!$B$16</f>
        <v/>
      </c>
      <c r="X9" s="42">
        <f>X7*'01_Вводные'!$B$16</f>
        <v/>
      </c>
      <c r="Y9" s="42">
        <f>Y7*'01_Вводные'!$B$16</f>
        <v/>
      </c>
      <c r="Z9" s="42">
        <f>Z7*'01_Вводные'!$B$16</f>
        <v/>
      </c>
      <c r="AA9" s="42">
        <f>AA7*'01_Вводные'!$B$16</f>
        <v/>
      </c>
      <c r="AB9" s="42">
        <f>AB7*'01_Вводные'!$B$16</f>
        <v/>
      </c>
      <c r="AC9" s="42">
        <f>AC7*'01_Вводные'!$B$16</f>
        <v/>
      </c>
      <c r="AD9" s="42">
        <f>AD7*'01_Вводные'!$B$16</f>
        <v/>
      </c>
      <c r="AE9" s="42">
        <f>AE7*'01_Вводные'!$B$16</f>
        <v/>
      </c>
      <c r="AF9" s="42">
        <f>AF7*'01_Вводные'!$B$16</f>
        <v/>
      </c>
      <c r="AG9" s="42">
        <f>AG7*'01_Вводные'!$B$16</f>
        <v/>
      </c>
      <c r="AH9" s="42">
        <f>AH7*'01_Вводные'!$B$16</f>
        <v/>
      </c>
      <c r="AI9" s="42">
        <f>AI7*'01_Вводные'!$B$16</f>
        <v/>
      </c>
      <c r="AJ9" s="42">
        <f>AJ7*'01_Вводные'!$B$16</f>
        <v/>
      </c>
      <c r="AK9" s="42">
        <f>AK7*'01_Вводные'!$B$16</f>
        <v/>
      </c>
      <c r="AL9" s="42">
        <f>AL7*'01_Вводные'!$B$16</f>
        <v/>
      </c>
      <c r="AM9" s="42">
        <f>AM7*'01_Вводные'!$B$16</f>
        <v/>
      </c>
      <c r="AN9" s="42">
        <f>AN7*'01_Вводные'!$B$16</f>
        <v/>
      </c>
      <c r="AO9" s="42">
        <f>AO7*'01_Вводные'!$B$16</f>
        <v/>
      </c>
      <c r="AP9" s="42">
        <f>AP7*'01_Вводные'!$B$16</f>
        <v/>
      </c>
      <c r="AQ9" s="42">
        <f>AQ7*'01_Вводные'!$B$16</f>
        <v/>
      </c>
      <c r="AR9" s="42">
        <f>AR7*'01_Вводные'!$B$16</f>
        <v/>
      </c>
      <c r="AS9" s="42">
        <f>AS7*'01_Вводные'!$B$16</f>
        <v/>
      </c>
      <c r="AT9" s="42">
        <f>AT7*'01_Вводные'!$B$16</f>
        <v/>
      </c>
      <c r="AU9" s="42">
        <f>AU7*'01_Вводные'!$B$16</f>
        <v/>
      </c>
      <c r="AV9" s="42">
        <f>AV7*'01_Вводные'!$B$16</f>
        <v/>
      </c>
      <c r="AW9" s="42">
        <f>AW7*'01_Вводные'!$B$16</f>
        <v/>
      </c>
      <c r="AX9" s="42">
        <f>AX7*'01_Вводные'!$B$16</f>
        <v/>
      </c>
      <c r="AY9" s="42">
        <f>AY7*'01_Вводные'!$B$16</f>
        <v/>
      </c>
      <c r="AZ9" s="42">
        <f>AZ7*'01_Вводные'!$B$16</f>
        <v/>
      </c>
      <c r="BA9" s="42">
        <f>BA7*'01_Вводные'!$B$16</f>
        <v/>
      </c>
      <c r="BB9" s="42">
        <f>BB7*'01_Вводные'!$B$16</f>
        <v/>
      </c>
      <c r="BC9" s="42">
        <f>BC7*'01_Вводные'!$B$16</f>
        <v/>
      </c>
      <c r="BD9" s="42">
        <f>BD7*'01_Вводные'!$B$16</f>
        <v/>
      </c>
      <c r="BE9" s="42">
        <f>BE7*'01_Вводные'!$B$16</f>
        <v/>
      </c>
      <c r="BF9" s="42">
        <f>BF7*'01_Вводные'!$B$16</f>
        <v/>
      </c>
      <c r="BG9" s="42">
        <f>BG7*'01_Вводные'!$B$16</f>
        <v/>
      </c>
      <c r="BH9" s="42">
        <f>BH7*'01_Вводные'!$B$16</f>
        <v/>
      </c>
      <c r="BI9" s="42">
        <f>BI7*'01_Вводные'!$B$16</f>
        <v/>
      </c>
      <c r="BJ9" s="42">
        <f>BJ7*'01_Вводные'!$B$16</f>
        <v/>
      </c>
      <c r="BK9" s="42">
        <f>BK7*'01_Вводные'!$B$16</f>
        <v/>
      </c>
      <c r="BL9" s="42">
        <f>BL7*'01_Вводные'!$B$16</f>
        <v/>
      </c>
      <c r="BM9" s="42">
        <f>BM7*'01_Вводные'!$B$16</f>
        <v/>
      </c>
      <c r="BN9" s="42">
        <f>BN7*'01_Вводные'!$B$16</f>
        <v/>
      </c>
      <c r="BO9" s="42">
        <f>BO7*'01_Вводные'!$B$16</f>
        <v/>
      </c>
    </row>
    <row r="10">
      <c r="A10" s="2" t="inlineStr">
        <is>
          <t>Активные юрлица</t>
        </is>
      </c>
      <c r="B10" s="42">
        <f>'01_Вводные'!$B$10*'01_Вводные'!$B$14+B9</f>
        <v/>
      </c>
      <c r="C10" s="42">
        <f>B10*'01_Вводные'!$B$14+C9</f>
        <v/>
      </c>
      <c r="D10" s="42">
        <f>C10*'01_Вводные'!$B$14+D9</f>
        <v/>
      </c>
      <c r="E10" s="42">
        <f>D10*'01_Вводные'!$B$14+E9</f>
        <v/>
      </c>
      <c r="F10" s="42">
        <f>E10*'01_Вводные'!$B$14+F9</f>
        <v/>
      </c>
      <c r="G10" s="42">
        <f>F10*'01_Вводные'!$B$14+G9</f>
        <v/>
      </c>
      <c r="H10" s="42">
        <f>G10*'01_Вводные'!$B$14+H9</f>
        <v/>
      </c>
      <c r="I10" s="42">
        <f>H10*'01_Вводные'!$B$14+I9</f>
        <v/>
      </c>
      <c r="J10" s="42">
        <f>I10*'01_Вводные'!$B$14+J9</f>
        <v/>
      </c>
      <c r="K10" s="42">
        <f>J10*'01_Вводные'!$B$14+K9</f>
        <v/>
      </c>
      <c r="L10" s="42">
        <f>K10*'01_Вводные'!$B$14+L9</f>
        <v/>
      </c>
      <c r="M10" s="42">
        <f>L10*'01_Вводные'!$B$14+M9</f>
        <v/>
      </c>
      <c r="N10" s="42">
        <f>M10*'01_Вводные'!$B$14+N9</f>
        <v/>
      </c>
      <c r="O10" s="42">
        <f>N10*'01_Вводные'!$B$14+O9</f>
        <v/>
      </c>
      <c r="P10" s="42">
        <f>O10*'01_Вводные'!$B$14+P9</f>
        <v/>
      </c>
      <c r="Q10" s="42">
        <f>P10*'01_Вводные'!$B$14+Q9</f>
        <v/>
      </c>
      <c r="R10" s="42">
        <f>Q10*'01_Вводные'!$B$14+R9</f>
        <v/>
      </c>
      <c r="S10" s="42">
        <f>R10*'01_Вводные'!$B$14+S9</f>
        <v/>
      </c>
      <c r="T10" s="42">
        <f>S10*'01_Вводные'!$B$14+T9</f>
        <v/>
      </c>
      <c r="U10" s="42">
        <f>T10*'01_Вводные'!$B$14+U9</f>
        <v/>
      </c>
      <c r="V10" s="42">
        <f>U10*'01_Вводные'!$B$14+V9</f>
        <v/>
      </c>
      <c r="W10" s="42">
        <f>V10*'01_Вводные'!$B$14+W9</f>
        <v/>
      </c>
      <c r="X10" s="42">
        <f>W10*'01_Вводные'!$B$14+X9</f>
        <v/>
      </c>
      <c r="Y10" s="42">
        <f>X10*'01_Вводные'!$B$14+Y9</f>
        <v/>
      </c>
      <c r="Z10" s="42">
        <f>Y10*'01_Вводные'!$B$14+Z9</f>
        <v/>
      </c>
      <c r="AA10" s="42">
        <f>Z10*'01_Вводные'!$B$14+AA9</f>
        <v/>
      </c>
      <c r="AB10" s="42">
        <f>AA10*'01_Вводные'!$B$14+AB9</f>
        <v/>
      </c>
      <c r="AC10" s="42">
        <f>AB10*'01_Вводные'!$B$14+AC9</f>
        <v/>
      </c>
      <c r="AD10" s="42">
        <f>AC10*'01_Вводные'!$B$14+AD9</f>
        <v/>
      </c>
      <c r="AE10" s="42">
        <f>AD10*'01_Вводные'!$B$14+AE9</f>
        <v/>
      </c>
      <c r="AF10" s="42">
        <f>AE10*'01_Вводные'!$B$14+AF9</f>
        <v/>
      </c>
      <c r="AG10" s="42">
        <f>AF10*'01_Вводные'!$B$14+AG9</f>
        <v/>
      </c>
      <c r="AH10" s="42">
        <f>AG10*'01_Вводные'!$B$14+AH9</f>
        <v/>
      </c>
      <c r="AI10" s="42">
        <f>AH10*'01_Вводные'!$B$14+AI9</f>
        <v/>
      </c>
      <c r="AJ10" s="42">
        <f>AI10*'01_Вводные'!$B$14+AJ9</f>
        <v/>
      </c>
      <c r="AK10" s="42">
        <f>AJ10*'01_Вводные'!$B$14+AK9</f>
        <v/>
      </c>
      <c r="AL10" s="42">
        <f>AK10*'01_Вводные'!$B$14+AL9</f>
        <v/>
      </c>
      <c r="AM10" s="42">
        <f>AL10*'01_Вводные'!$B$14+AM9</f>
        <v/>
      </c>
      <c r="AN10" s="42">
        <f>AM10*'01_Вводные'!$B$14+AN9</f>
        <v/>
      </c>
      <c r="AO10" s="42">
        <f>AN10*'01_Вводные'!$B$14+AO9</f>
        <v/>
      </c>
      <c r="AP10" s="42">
        <f>AO10*'01_Вводные'!$B$14+AP9</f>
        <v/>
      </c>
      <c r="AQ10" s="42">
        <f>AP10*'01_Вводные'!$B$14+AQ9</f>
        <v/>
      </c>
      <c r="AR10" s="42">
        <f>AQ10*'01_Вводные'!$B$14+AR9</f>
        <v/>
      </c>
      <c r="AS10" s="42">
        <f>AR10*'01_Вводные'!$B$14+AS9</f>
        <v/>
      </c>
      <c r="AT10" s="42">
        <f>AS10*'01_Вводные'!$B$14+AT9</f>
        <v/>
      </c>
      <c r="AU10" s="42">
        <f>AT10*'01_Вводные'!$B$14+AU9</f>
        <v/>
      </c>
      <c r="AV10" s="42">
        <f>AU10*'01_Вводные'!$B$14+AV9</f>
        <v/>
      </c>
      <c r="AW10" s="42">
        <f>AV10*'01_Вводные'!$B$14+AW9</f>
        <v/>
      </c>
      <c r="AX10" s="42">
        <f>AW10*'01_Вводные'!$B$14+AX9</f>
        <v/>
      </c>
      <c r="AY10" s="42">
        <f>AX10*'01_Вводные'!$B$14+AY9</f>
        <v/>
      </c>
      <c r="AZ10" s="42">
        <f>AY10*'01_Вводные'!$B$14+AZ9</f>
        <v/>
      </c>
      <c r="BA10" s="42">
        <f>AZ10*'01_Вводные'!$B$14+BA9</f>
        <v/>
      </c>
      <c r="BB10" s="42">
        <f>BA10*'01_Вводные'!$B$14+BB9</f>
        <v/>
      </c>
      <c r="BC10" s="42">
        <f>BB10*'01_Вводные'!$B$14+BC9</f>
        <v/>
      </c>
      <c r="BD10" s="42">
        <f>BC10*'01_Вводные'!$B$14+BD9</f>
        <v/>
      </c>
      <c r="BE10" s="42">
        <f>BD10*'01_Вводные'!$B$14+BE9</f>
        <v/>
      </c>
      <c r="BF10" s="42">
        <f>BE10*'01_Вводные'!$B$14+BF9</f>
        <v/>
      </c>
      <c r="BG10" s="42">
        <f>BF10*'01_Вводные'!$B$14+BG9</f>
        <v/>
      </c>
      <c r="BH10" s="42">
        <f>BG10*'01_Вводные'!$B$14+BH9</f>
        <v/>
      </c>
      <c r="BI10" s="42">
        <f>BH10*'01_Вводные'!$B$14+BI9</f>
        <v/>
      </c>
      <c r="BJ10" s="42">
        <f>BI10*'01_Вводные'!$B$14+BJ9</f>
        <v/>
      </c>
      <c r="BK10" s="42">
        <f>BJ10*'01_Вводные'!$B$14+BK9</f>
        <v/>
      </c>
      <c r="BL10" s="42">
        <f>BK10*'01_Вводные'!$B$14+BL9</f>
        <v/>
      </c>
      <c r="BM10" s="42">
        <f>BL10*'01_Вводные'!$B$14+BM9</f>
        <v/>
      </c>
      <c r="BN10" s="42">
        <f>BM10*'01_Вводные'!$B$14+BN9</f>
        <v/>
      </c>
      <c r="BO10" s="42">
        <f>BN10*'01_Вводные'!$B$14+BO9</f>
        <v/>
      </c>
    </row>
    <row r="11">
      <c r="A11" s="2" t="inlineStr">
        <is>
          <t>Действующая сеть — школы</t>
        </is>
      </c>
      <c r="B11" s="42">
        <f>'01_Вводные'!$B$9*'01_Вводные'!$B$14</f>
        <v/>
      </c>
      <c r="C11" s="42">
        <f>B11*'01_Вводные'!$B$14</f>
        <v/>
      </c>
      <c r="D11" s="42">
        <f>C11*'01_Вводные'!$B$14</f>
        <v/>
      </c>
      <c r="E11" s="42">
        <f>D11*'01_Вводные'!$B$14</f>
        <v/>
      </c>
      <c r="F11" s="42">
        <f>E11*'01_Вводные'!$B$14</f>
        <v/>
      </c>
      <c r="G11" s="42">
        <f>F11*'01_Вводные'!$B$14</f>
        <v/>
      </c>
      <c r="H11" s="42">
        <f>G11*'01_Вводные'!$B$14</f>
        <v/>
      </c>
      <c r="I11" s="42">
        <f>H11*'01_Вводные'!$B$14</f>
        <v/>
      </c>
      <c r="J11" s="42">
        <f>I11*'01_Вводные'!$B$14</f>
        <v/>
      </c>
      <c r="K11" s="42">
        <f>J11*'01_Вводные'!$B$14</f>
        <v/>
      </c>
      <c r="L11" s="42">
        <f>K11*'01_Вводные'!$B$14</f>
        <v/>
      </c>
      <c r="M11" s="42">
        <f>L11*'01_Вводные'!$B$14</f>
        <v/>
      </c>
      <c r="N11" s="42">
        <f>M11*'01_Вводные'!$B$14</f>
        <v/>
      </c>
      <c r="O11" s="42">
        <f>N11*'01_Вводные'!$B$14</f>
        <v/>
      </c>
      <c r="P11" s="42">
        <f>O11*'01_Вводные'!$B$14</f>
        <v/>
      </c>
      <c r="Q11" s="42">
        <f>P11*'01_Вводные'!$B$14</f>
        <v/>
      </c>
      <c r="R11" s="42">
        <f>Q11*'01_Вводные'!$B$14</f>
        <v/>
      </c>
      <c r="S11" s="42">
        <f>R11*'01_Вводные'!$B$14</f>
        <v/>
      </c>
      <c r="T11" s="42">
        <f>S11*'01_Вводные'!$B$14</f>
        <v/>
      </c>
      <c r="U11" s="42">
        <f>T11*'01_Вводные'!$B$14</f>
        <v/>
      </c>
      <c r="V11" s="42">
        <f>U11*'01_Вводные'!$B$14</f>
        <v/>
      </c>
      <c r="W11" s="42">
        <f>V11*'01_Вводные'!$B$14</f>
        <v/>
      </c>
      <c r="X11" s="42">
        <f>W11*'01_Вводные'!$B$14</f>
        <v/>
      </c>
      <c r="Y11" s="42">
        <f>X11*'01_Вводные'!$B$14</f>
        <v/>
      </c>
      <c r="Z11" s="42">
        <f>Y11*'01_Вводные'!$B$14</f>
        <v/>
      </c>
      <c r="AA11" s="42">
        <f>Z11*'01_Вводные'!$B$14</f>
        <v/>
      </c>
      <c r="AB11" s="42">
        <f>AA11*'01_Вводные'!$B$14</f>
        <v/>
      </c>
      <c r="AC11" s="42">
        <f>AB11*'01_Вводные'!$B$14</f>
        <v/>
      </c>
      <c r="AD11" s="42">
        <f>AC11*'01_Вводные'!$B$14</f>
        <v/>
      </c>
      <c r="AE11" s="42">
        <f>AD11*'01_Вводные'!$B$14</f>
        <v/>
      </c>
      <c r="AF11" s="42">
        <f>AE11*'01_Вводные'!$B$14</f>
        <v/>
      </c>
      <c r="AG11" s="42">
        <f>AF11*'01_Вводные'!$B$14</f>
        <v/>
      </c>
      <c r="AH11" s="42">
        <f>AG11*'01_Вводные'!$B$14</f>
        <v/>
      </c>
      <c r="AI11" s="42">
        <f>AH11*'01_Вводные'!$B$14</f>
        <v/>
      </c>
      <c r="AJ11" s="42">
        <f>AI11*'01_Вводные'!$B$14</f>
        <v/>
      </c>
      <c r="AK11" s="42">
        <f>AJ11*'01_Вводные'!$B$14</f>
        <v/>
      </c>
      <c r="AL11" s="42">
        <f>AK11*'01_Вводные'!$B$14</f>
        <v/>
      </c>
      <c r="AM11" s="42">
        <f>AL11*'01_Вводные'!$B$14</f>
        <v/>
      </c>
      <c r="AN11" s="42">
        <f>AM11*'01_Вводные'!$B$14</f>
        <v/>
      </c>
      <c r="AO11" s="42">
        <f>AN11*'01_Вводные'!$B$14</f>
        <v/>
      </c>
      <c r="AP11" s="42">
        <f>AO11*'01_Вводные'!$B$14</f>
        <v/>
      </c>
      <c r="AQ11" s="42">
        <f>AP11*'01_Вводные'!$B$14</f>
        <v/>
      </c>
      <c r="AR11" s="42">
        <f>AQ11*'01_Вводные'!$B$14</f>
        <v/>
      </c>
      <c r="AS11" s="42">
        <f>AR11*'01_Вводные'!$B$14</f>
        <v/>
      </c>
      <c r="AT11" s="42">
        <f>AS11*'01_Вводные'!$B$14</f>
        <v/>
      </c>
      <c r="AU11" s="42">
        <f>AT11*'01_Вводные'!$B$14</f>
        <v/>
      </c>
      <c r="AV11" s="42">
        <f>AU11*'01_Вводные'!$B$14</f>
        <v/>
      </c>
      <c r="AW11" s="42">
        <f>AV11*'01_Вводные'!$B$14</f>
        <v/>
      </c>
      <c r="AX11" s="42">
        <f>AW11*'01_Вводные'!$B$14</f>
        <v/>
      </c>
      <c r="AY11" s="42">
        <f>AX11*'01_Вводные'!$B$14</f>
        <v/>
      </c>
      <c r="AZ11" s="42">
        <f>AY11*'01_Вводные'!$B$14</f>
        <v/>
      </c>
      <c r="BA11" s="42">
        <f>AZ11*'01_Вводные'!$B$14</f>
        <v/>
      </c>
      <c r="BB11" s="42">
        <f>BA11*'01_Вводные'!$B$14</f>
        <v/>
      </c>
      <c r="BC11" s="42">
        <f>BB11*'01_Вводные'!$B$14</f>
        <v/>
      </c>
      <c r="BD11" s="42">
        <f>BC11*'01_Вводные'!$B$14</f>
        <v/>
      </c>
      <c r="BE11" s="42">
        <f>BD11*'01_Вводные'!$B$14</f>
        <v/>
      </c>
      <c r="BF11" s="42">
        <f>BE11*'01_Вводные'!$B$14</f>
        <v/>
      </c>
      <c r="BG11" s="42">
        <f>BF11*'01_Вводные'!$B$14</f>
        <v/>
      </c>
      <c r="BH11" s="42">
        <f>BG11*'01_Вводные'!$B$14</f>
        <v/>
      </c>
      <c r="BI11" s="42">
        <f>BH11*'01_Вводные'!$B$14</f>
        <v/>
      </c>
      <c r="BJ11" s="42">
        <f>BI11*'01_Вводные'!$B$14</f>
        <v/>
      </c>
      <c r="BK11" s="42">
        <f>BJ11*'01_Вводные'!$B$14</f>
        <v/>
      </c>
      <c r="BL11" s="42">
        <f>BK11*'01_Вводные'!$B$14</f>
        <v/>
      </c>
      <c r="BM11" s="42">
        <f>BL11*'01_Вводные'!$B$14</f>
        <v/>
      </c>
      <c r="BN11" s="42">
        <f>BM11*'01_Вводные'!$B$14</f>
        <v/>
      </c>
      <c r="BO11" s="42">
        <f>BN11*'01_Вводные'!$B$14</f>
        <v/>
      </c>
    </row>
    <row r="12">
      <c r="B12" s="73" t="n"/>
      <c r="C12" s="73" t="n"/>
      <c r="D12" s="73" t="n"/>
      <c r="E12" s="73" t="n"/>
      <c r="F12" s="73" t="n"/>
      <c r="G12" s="73" t="n"/>
      <c r="H12" s="73" t="n"/>
      <c r="I12" s="73" t="n"/>
      <c r="J12" s="73" t="n"/>
      <c r="K12" s="73" t="n"/>
      <c r="L12" s="73" t="n"/>
      <c r="M12" s="73" t="n"/>
      <c r="N12" s="73" t="n"/>
      <c r="O12" s="73" t="n"/>
      <c r="P12" s="73" t="n"/>
      <c r="Q12" s="73" t="n"/>
      <c r="R12" s="73" t="n"/>
      <c r="S12" s="73" t="n"/>
      <c r="T12" s="73" t="n"/>
      <c r="U12" s="73" t="n"/>
      <c r="V12" s="73" t="n"/>
      <c r="W12" s="73" t="n"/>
      <c r="X12" s="73" t="n"/>
      <c r="Y12" s="73" t="n"/>
      <c r="Z12" s="73" t="n"/>
      <c r="AA12" s="73" t="n"/>
      <c r="AB12" s="73" t="n"/>
      <c r="AC12" s="73" t="n"/>
      <c r="AD12" s="73" t="n"/>
      <c r="AE12" s="73" t="n"/>
      <c r="AF12" s="73" t="n"/>
      <c r="AG12" s="73" t="n"/>
      <c r="AH12" s="73" t="n"/>
      <c r="AI12" s="73" t="n"/>
      <c r="AJ12" s="73" t="n"/>
      <c r="AK12" s="73" t="n"/>
      <c r="AL12" s="73" t="n"/>
      <c r="AM12" s="73" t="n"/>
      <c r="AN12" s="73" t="n"/>
      <c r="AO12" s="73" t="n"/>
      <c r="AP12" s="73" t="n"/>
      <c r="AQ12" s="73" t="n"/>
      <c r="AR12" s="73" t="n"/>
      <c r="AS12" s="73" t="n"/>
      <c r="AT12" s="73" t="n"/>
      <c r="AU12" s="73" t="n"/>
      <c r="AV12" s="73" t="n"/>
      <c r="AW12" s="73" t="n"/>
      <c r="AX12" s="73" t="n"/>
      <c r="AY12" s="73" t="n"/>
      <c r="AZ12" s="73" t="n"/>
      <c r="BA12" s="73" t="n"/>
      <c r="BB12" s="73" t="n"/>
      <c r="BC12" s="73" t="n"/>
      <c r="BD12" s="73" t="n"/>
      <c r="BE12" s="73" t="n"/>
      <c r="BF12" s="73" t="n"/>
      <c r="BG12" s="73" t="n"/>
      <c r="BH12" s="73" t="n"/>
      <c r="BI12" s="73" t="n"/>
      <c r="BJ12" s="73" t="n"/>
      <c r="BK12" s="73" t="n"/>
      <c r="BL12" s="73" t="n"/>
      <c r="BM12" s="73" t="n"/>
      <c r="BN12" s="73" t="n"/>
      <c r="BO12" s="73" t="n"/>
    </row>
    <row r="13">
      <c r="A13" s="2" t="inlineStr">
        <is>
          <t>Новые школы — 1–12 мес.</t>
        </is>
      </c>
      <c r="B13" s="187">
        <f>SUM(B53:B64)</f>
        <v/>
      </c>
      <c r="C13" s="187">
        <f>SUM(C53:C64)</f>
        <v/>
      </c>
      <c r="D13" s="187">
        <f>SUM(D53:D64)</f>
        <v/>
      </c>
      <c r="E13" s="187">
        <f>SUM(E53:E64)</f>
        <v/>
      </c>
      <c r="F13" s="187">
        <f>SUM(F53:F64)</f>
        <v/>
      </c>
      <c r="G13" s="187">
        <f>SUM(G53:G64)</f>
        <v/>
      </c>
      <c r="H13" s="187">
        <f>SUM(H53:H64)</f>
        <v/>
      </c>
      <c r="I13" s="187">
        <f>SUM(I53:I64)</f>
        <v/>
      </c>
      <c r="J13" s="187">
        <f>SUM(J53:J64)</f>
        <v/>
      </c>
      <c r="K13" s="187">
        <f>SUM(K53:K64)</f>
        <v/>
      </c>
      <c r="L13" s="187">
        <f>SUM(L53:L64)</f>
        <v/>
      </c>
      <c r="M13" s="187">
        <f>SUM(M53:M64)</f>
        <v/>
      </c>
      <c r="N13" s="187">
        <f>SUM(N53:N64)</f>
        <v/>
      </c>
      <c r="O13" s="187">
        <f>SUM(O53:O64)</f>
        <v/>
      </c>
      <c r="P13" s="187">
        <f>SUM(P53:P64)</f>
        <v/>
      </c>
      <c r="Q13" s="187">
        <f>SUM(Q53:Q64)</f>
        <v/>
      </c>
      <c r="R13" s="187">
        <f>SUM(R53:R64)</f>
        <v/>
      </c>
      <c r="S13" s="187">
        <f>SUM(S53:S64)</f>
        <v/>
      </c>
      <c r="T13" s="187">
        <f>SUM(T53:T64)</f>
        <v/>
      </c>
      <c r="U13" s="187">
        <f>SUM(U53:U64)</f>
        <v/>
      </c>
      <c r="V13" s="187">
        <f>SUM(V53:V64)</f>
        <v/>
      </c>
      <c r="W13" s="187">
        <f>SUM(W53:W64)</f>
        <v/>
      </c>
      <c r="X13" s="187">
        <f>SUM(X53:X64)</f>
        <v/>
      </c>
      <c r="Y13" s="187">
        <f>SUM(Y53:Y64)</f>
        <v/>
      </c>
      <c r="Z13" s="187">
        <f>SUM(Z53:Z64)</f>
        <v/>
      </c>
      <c r="AA13" s="187">
        <f>SUM(AA53:AA64)</f>
        <v/>
      </c>
      <c r="AB13" s="187">
        <f>SUM(AB53:AB64)</f>
        <v/>
      </c>
      <c r="AC13" s="187">
        <f>SUM(AC53:AC64)</f>
        <v/>
      </c>
      <c r="AD13" s="187">
        <f>SUM(AD53:AD64)</f>
        <v/>
      </c>
      <c r="AE13" s="187">
        <f>SUM(AE53:AE64)</f>
        <v/>
      </c>
      <c r="AF13" s="187">
        <f>SUM(AF53:AF64)</f>
        <v/>
      </c>
      <c r="AG13" s="187">
        <f>SUM(AG53:AG64)</f>
        <v/>
      </c>
      <c r="AH13" s="187">
        <f>SUM(AH53:AH64)</f>
        <v/>
      </c>
      <c r="AI13" s="187">
        <f>SUM(AI53:AI64)</f>
        <v/>
      </c>
      <c r="AJ13" s="187">
        <f>SUM(AJ53:AJ64)</f>
        <v/>
      </c>
      <c r="AK13" s="187">
        <f>SUM(AK53:AK64)</f>
        <v/>
      </c>
      <c r="AL13" s="187">
        <f>SUM(AL53:AL64)</f>
        <v/>
      </c>
      <c r="AM13" s="187">
        <f>SUM(AM53:AM64)</f>
        <v/>
      </c>
      <c r="AN13" s="187">
        <f>SUM(AN53:AN64)</f>
        <v/>
      </c>
      <c r="AO13" s="187">
        <f>SUM(AO53:AO64)</f>
        <v/>
      </c>
      <c r="AP13" s="187">
        <f>SUM(AP53:AP64)</f>
        <v/>
      </c>
      <c r="AQ13" s="187">
        <f>SUM(AQ53:AQ64)</f>
        <v/>
      </c>
      <c r="AR13" s="187">
        <f>SUM(AR53:AR64)</f>
        <v/>
      </c>
      <c r="AS13" s="187">
        <f>SUM(AS53:AS64)</f>
        <v/>
      </c>
      <c r="AT13" s="187">
        <f>SUM(AT53:AT64)</f>
        <v/>
      </c>
      <c r="AU13" s="187">
        <f>SUM(AU53:AU64)</f>
        <v/>
      </c>
      <c r="AV13" s="187">
        <f>SUM(AV53:AV64)</f>
        <v/>
      </c>
      <c r="AW13" s="187">
        <f>SUM(AW53:AW64)</f>
        <v/>
      </c>
      <c r="AX13" s="187">
        <f>SUM(AX53:AX64)</f>
        <v/>
      </c>
      <c r="AY13" s="187">
        <f>SUM(AY53:AY64)</f>
        <v/>
      </c>
      <c r="AZ13" s="187">
        <f>SUM(AZ53:AZ64)</f>
        <v/>
      </c>
      <c r="BA13" s="187">
        <f>SUM(BA53:BA64)</f>
        <v/>
      </c>
      <c r="BB13" s="187">
        <f>SUM(BB53:BB64)</f>
        <v/>
      </c>
      <c r="BC13" s="187">
        <f>SUM(BC53:BC64)</f>
        <v/>
      </c>
      <c r="BD13" s="187">
        <f>SUM(BD53:BD64)</f>
        <v/>
      </c>
      <c r="BE13" s="187">
        <f>SUM(BE53:BE64)</f>
        <v/>
      </c>
      <c r="BF13" s="187">
        <f>SUM(BF53:BF64)</f>
        <v/>
      </c>
      <c r="BG13" s="187">
        <f>SUM(BG53:BG64)</f>
        <v/>
      </c>
      <c r="BH13" s="187">
        <f>SUM(BH53:BH64)</f>
        <v/>
      </c>
      <c r="BI13" s="187">
        <f>SUM(BI53:BI64)</f>
        <v/>
      </c>
      <c r="BJ13" s="187">
        <f>SUM(BJ53:BJ64)</f>
        <v/>
      </c>
      <c r="BK13" s="187">
        <f>SUM(BK53:BK64)</f>
        <v/>
      </c>
      <c r="BL13" s="187">
        <f>SUM(BL53:BL64)</f>
        <v/>
      </c>
      <c r="BM13" s="187">
        <f>SUM(BM53:BM64)</f>
        <v/>
      </c>
      <c r="BN13" s="187">
        <f>SUM(BN53:BN64)</f>
        <v/>
      </c>
      <c r="BO13" s="187">
        <f>SUM(BO53:BO64)</f>
        <v/>
      </c>
    </row>
    <row r="14">
      <c r="A14" s="2" t="inlineStr">
        <is>
          <t>Новые школы — 13–24 мес.</t>
        </is>
      </c>
      <c r="B14" s="187">
        <f>SUM(B65:B76)</f>
        <v/>
      </c>
      <c r="C14" s="187">
        <f>SUM(C65:C76)</f>
        <v/>
      </c>
      <c r="D14" s="187">
        <f>SUM(D65:D76)</f>
        <v/>
      </c>
      <c r="E14" s="187">
        <f>SUM(E65:E76)</f>
        <v/>
      </c>
      <c r="F14" s="187">
        <f>SUM(F65:F76)</f>
        <v/>
      </c>
      <c r="G14" s="187">
        <f>SUM(G65:G76)</f>
        <v/>
      </c>
      <c r="H14" s="187">
        <f>SUM(H65:H76)</f>
        <v/>
      </c>
      <c r="I14" s="187">
        <f>SUM(I65:I76)</f>
        <v/>
      </c>
      <c r="J14" s="187">
        <f>SUM(J65:J76)</f>
        <v/>
      </c>
      <c r="K14" s="187">
        <f>SUM(K65:K76)</f>
        <v/>
      </c>
      <c r="L14" s="187">
        <f>SUM(L65:L76)</f>
        <v/>
      </c>
      <c r="M14" s="187">
        <f>SUM(M65:M76)</f>
        <v/>
      </c>
      <c r="N14" s="187">
        <f>SUM(N65:N76)</f>
        <v/>
      </c>
      <c r="O14" s="187">
        <f>SUM(O65:O76)</f>
        <v/>
      </c>
      <c r="P14" s="187">
        <f>SUM(P65:P76)</f>
        <v/>
      </c>
      <c r="Q14" s="187">
        <f>SUM(Q65:Q76)</f>
        <v/>
      </c>
      <c r="R14" s="187">
        <f>SUM(R65:R76)</f>
        <v/>
      </c>
      <c r="S14" s="187">
        <f>SUM(S65:S76)</f>
        <v/>
      </c>
      <c r="T14" s="187">
        <f>SUM(T65:T76)</f>
        <v/>
      </c>
      <c r="U14" s="187">
        <f>SUM(U65:U76)</f>
        <v/>
      </c>
      <c r="V14" s="187">
        <f>SUM(V65:V76)</f>
        <v/>
      </c>
      <c r="W14" s="187">
        <f>SUM(W65:W76)</f>
        <v/>
      </c>
      <c r="X14" s="187">
        <f>SUM(X65:X76)</f>
        <v/>
      </c>
      <c r="Y14" s="187">
        <f>SUM(Y65:Y76)</f>
        <v/>
      </c>
      <c r="Z14" s="187">
        <f>SUM(Z65:Z76)</f>
        <v/>
      </c>
      <c r="AA14" s="187">
        <f>SUM(AA65:AA76)</f>
        <v/>
      </c>
      <c r="AB14" s="187">
        <f>SUM(AB65:AB76)</f>
        <v/>
      </c>
      <c r="AC14" s="187">
        <f>SUM(AC65:AC76)</f>
        <v/>
      </c>
      <c r="AD14" s="187">
        <f>SUM(AD65:AD76)</f>
        <v/>
      </c>
      <c r="AE14" s="187">
        <f>SUM(AE65:AE76)</f>
        <v/>
      </c>
      <c r="AF14" s="187">
        <f>SUM(AF65:AF76)</f>
        <v/>
      </c>
      <c r="AG14" s="187">
        <f>SUM(AG65:AG76)</f>
        <v/>
      </c>
      <c r="AH14" s="187">
        <f>SUM(AH65:AH76)</f>
        <v/>
      </c>
      <c r="AI14" s="187">
        <f>SUM(AI65:AI76)</f>
        <v/>
      </c>
      <c r="AJ14" s="187">
        <f>SUM(AJ65:AJ76)</f>
        <v/>
      </c>
      <c r="AK14" s="187">
        <f>SUM(AK65:AK76)</f>
        <v/>
      </c>
      <c r="AL14" s="187">
        <f>SUM(AL65:AL76)</f>
        <v/>
      </c>
      <c r="AM14" s="187">
        <f>SUM(AM65:AM76)</f>
        <v/>
      </c>
      <c r="AN14" s="187">
        <f>SUM(AN65:AN76)</f>
        <v/>
      </c>
      <c r="AO14" s="187">
        <f>SUM(AO65:AO76)</f>
        <v/>
      </c>
      <c r="AP14" s="187">
        <f>SUM(AP65:AP76)</f>
        <v/>
      </c>
      <c r="AQ14" s="187">
        <f>SUM(AQ65:AQ76)</f>
        <v/>
      </c>
      <c r="AR14" s="187">
        <f>SUM(AR65:AR76)</f>
        <v/>
      </c>
      <c r="AS14" s="187">
        <f>SUM(AS65:AS76)</f>
        <v/>
      </c>
      <c r="AT14" s="187">
        <f>SUM(AT65:AT76)</f>
        <v/>
      </c>
      <c r="AU14" s="187">
        <f>SUM(AU65:AU76)</f>
        <v/>
      </c>
      <c r="AV14" s="187">
        <f>SUM(AV65:AV76)</f>
        <v/>
      </c>
      <c r="AW14" s="187">
        <f>SUM(AW65:AW76)</f>
        <v/>
      </c>
      <c r="AX14" s="187">
        <f>SUM(AX65:AX76)</f>
        <v/>
      </c>
      <c r="AY14" s="187">
        <f>SUM(AY65:AY76)</f>
        <v/>
      </c>
      <c r="AZ14" s="187">
        <f>SUM(AZ65:AZ76)</f>
        <v/>
      </c>
      <c r="BA14" s="187">
        <f>SUM(BA65:BA76)</f>
        <v/>
      </c>
      <c r="BB14" s="187">
        <f>SUM(BB65:BB76)</f>
        <v/>
      </c>
      <c r="BC14" s="187">
        <f>SUM(BC65:BC76)</f>
        <v/>
      </c>
      <c r="BD14" s="187">
        <f>SUM(BD65:BD76)</f>
        <v/>
      </c>
      <c r="BE14" s="187">
        <f>SUM(BE65:BE76)</f>
        <v/>
      </c>
      <c r="BF14" s="187">
        <f>SUM(BF65:BF76)</f>
        <v/>
      </c>
      <c r="BG14" s="187">
        <f>SUM(BG65:BG76)</f>
        <v/>
      </c>
      <c r="BH14" s="187">
        <f>SUM(BH65:BH76)</f>
        <v/>
      </c>
      <c r="BI14" s="187">
        <f>SUM(BI65:BI76)</f>
        <v/>
      </c>
      <c r="BJ14" s="187">
        <f>SUM(BJ65:BJ76)</f>
        <v/>
      </c>
      <c r="BK14" s="187">
        <f>SUM(BK65:BK76)</f>
        <v/>
      </c>
      <c r="BL14" s="187">
        <f>SUM(BL65:BL76)</f>
        <v/>
      </c>
      <c r="BM14" s="187">
        <f>SUM(BM65:BM76)</f>
        <v/>
      </c>
      <c r="BN14" s="187">
        <f>SUM(BN65:BN76)</f>
        <v/>
      </c>
      <c r="BO14" s="187">
        <f>SUM(BO65:BO76)</f>
        <v/>
      </c>
    </row>
    <row r="15">
      <c r="A15" s="2" t="inlineStr">
        <is>
          <t>Новые школы — зрелые</t>
        </is>
      </c>
      <c r="B15" s="187">
        <f>B77</f>
        <v/>
      </c>
      <c r="C15" s="187">
        <f>C77</f>
        <v/>
      </c>
      <c r="D15" s="187">
        <f>D77</f>
        <v/>
      </c>
      <c r="E15" s="187">
        <f>E77</f>
        <v/>
      </c>
      <c r="F15" s="187">
        <f>F77</f>
        <v/>
      </c>
      <c r="G15" s="187">
        <f>G77</f>
        <v/>
      </c>
      <c r="H15" s="187">
        <f>H77</f>
        <v/>
      </c>
      <c r="I15" s="187">
        <f>I77</f>
        <v/>
      </c>
      <c r="J15" s="187">
        <f>J77</f>
        <v/>
      </c>
      <c r="K15" s="187">
        <f>K77</f>
        <v/>
      </c>
      <c r="L15" s="187">
        <f>L77</f>
        <v/>
      </c>
      <c r="M15" s="187">
        <f>M77</f>
        <v/>
      </c>
      <c r="N15" s="187">
        <f>N77</f>
        <v/>
      </c>
      <c r="O15" s="187">
        <f>O77</f>
        <v/>
      </c>
      <c r="P15" s="187">
        <f>P77</f>
        <v/>
      </c>
      <c r="Q15" s="187">
        <f>Q77</f>
        <v/>
      </c>
      <c r="R15" s="187">
        <f>R77</f>
        <v/>
      </c>
      <c r="S15" s="187">
        <f>S77</f>
        <v/>
      </c>
      <c r="T15" s="187">
        <f>T77</f>
        <v/>
      </c>
      <c r="U15" s="187">
        <f>U77</f>
        <v/>
      </c>
      <c r="V15" s="187">
        <f>V77</f>
        <v/>
      </c>
      <c r="W15" s="187">
        <f>W77</f>
        <v/>
      </c>
      <c r="X15" s="187">
        <f>X77</f>
        <v/>
      </c>
      <c r="Y15" s="187">
        <f>Y77</f>
        <v/>
      </c>
      <c r="Z15" s="187">
        <f>Z77</f>
        <v/>
      </c>
      <c r="AA15" s="187">
        <f>AA77</f>
        <v/>
      </c>
      <c r="AB15" s="187">
        <f>AB77</f>
        <v/>
      </c>
      <c r="AC15" s="187">
        <f>AC77</f>
        <v/>
      </c>
      <c r="AD15" s="187">
        <f>AD77</f>
        <v/>
      </c>
      <c r="AE15" s="187">
        <f>AE77</f>
        <v/>
      </c>
      <c r="AF15" s="187">
        <f>AF77</f>
        <v/>
      </c>
      <c r="AG15" s="187">
        <f>AG77</f>
        <v/>
      </c>
      <c r="AH15" s="187">
        <f>AH77</f>
        <v/>
      </c>
      <c r="AI15" s="187">
        <f>AI77</f>
        <v/>
      </c>
      <c r="AJ15" s="187">
        <f>AJ77</f>
        <v/>
      </c>
      <c r="AK15" s="187">
        <f>AK77</f>
        <v/>
      </c>
      <c r="AL15" s="187">
        <f>AL77</f>
        <v/>
      </c>
      <c r="AM15" s="187">
        <f>AM77</f>
        <v/>
      </c>
      <c r="AN15" s="187">
        <f>AN77</f>
        <v/>
      </c>
      <c r="AO15" s="187">
        <f>AO77</f>
        <v/>
      </c>
      <c r="AP15" s="187">
        <f>AP77</f>
        <v/>
      </c>
      <c r="AQ15" s="187">
        <f>AQ77</f>
        <v/>
      </c>
      <c r="AR15" s="187">
        <f>AR77</f>
        <v/>
      </c>
      <c r="AS15" s="187">
        <f>AS77</f>
        <v/>
      </c>
      <c r="AT15" s="187">
        <f>AT77</f>
        <v/>
      </c>
      <c r="AU15" s="187">
        <f>AU77</f>
        <v/>
      </c>
      <c r="AV15" s="187">
        <f>AV77</f>
        <v/>
      </c>
      <c r="AW15" s="187">
        <f>AW77</f>
        <v/>
      </c>
      <c r="AX15" s="187">
        <f>AX77</f>
        <v/>
      </c>
      <c r="AY15" s="187">
        <f>AY77</f>
        <v/>
      </c>
      <c r="AZ15" s="187">
        <f>AZ77</f>
        <v/>
      </c>
      <c r="BA15" s="187">
        <f>BA77</f>
        <v/>
      </c>
      <c r="BB15" s="187">
        <f>BB77</f>
        <v/>
      </c>
      <c r="BC15" s="187">
        <f>BC77</f>
        <v/>
      </c>
      <c r="BD15" s="187">
        <f>BD77</f>
        <v/>
      </c>
      <c r="BE15" s="187">
        <f>BE77</f>
        <v/>
      </c>
      <c r="BF15" s="187">
        <f>BF77</f>
        <v/>
      </c>
      <c r="BG15" s="187">
        <f>BG77</f>
        <v/>
      </c>
      <c r="BH15" s="187">
        <f>BH77</f>
        <v/>
      </c>
      <c r="BI15" s="187">
        <f>BI77</f>
        <v/>
      </c>
      <c r="BJ15" s="187">
        <f>BJ77</f>
        <v/>
      </c>
      <c r="BK15" s="187">
        <f>BK77</f>
        <v/>
      </c>
      <c r="BL15" s="187">
        <f>BL77</f>
        <v/>
      </c>
      <c r="BM15" s="187">
        <f>BM77</f>
        <v/>
      </c>
      <c r="BN15" s="187">
        <f>BN77</f>
        <v/>
      </c>
      <c r="BO15" s="187">
        <f>BO77</f>
        <v/>
      </c>
    </row>
    <row r="16">
      <c r="A16" s="10" t="inlineStr">
        <is>
          <t>Новые школы — всего</t>
        </is>
      </c>
      <c r="B16" s="43">
        <f>SUM(B13:B15)</f>
        <v/>
      </c>
      <c r="C16" s="43">
        <f>SUM(C13:C15)</f>
        <v/>
      </c>
      <c r="D16" s="43">
        <f>SUM(D13:D15)</f>
        <v/>
      </c>
      <c r="E16" s="43">
        <f>SUM(E13:E15)</f>
        <v/>
      </c>
      <c r="F16" s="43">
        <f>SUM(F13:F15)</f>
        <v/>
      </c>
      <c r="G16" s="43">
        <f>SUM(G13:G15)</f>
        <v/>
      </c>
      <c r="H16" s="43">
        <f>SUM(H13:H15)</f>
        <v/>
      </c>
      <c r="I16" s="43">
        <f>SUM(I13:I15)</f>
        <v/>
      </c>
      <c r="J16" s="43">
        <f>SUM(J13:J15)</f>
        <v/>
      </c>
      <c r="K16" s="43">
        <f>SUM(K13:K15)</f>
        <v/>
      </c>
      <c r="L16" s="43">
        <f>SUM(L13:L15)</f>
        <v/>
      </c>
      <c r="M16" s="43">
        <f>SUM(M13:M15)</f>
        <v/>
      </c>
      <c r="N16" s="43">
        <f>SUM(N13:N15)</f>
        <v/>
      </c>
      <c r="O16" s="43">
        <f>SUM(O13:O15)</f>
        <v/>
      </c>
      <c r="P16" s="43">
        <f>SUM(P13:P15)</f>
        <v/>
      </c>
      <c r="Q16" s="43">
        <f>SUM(Q13:Q15)</f>
        <v/>
      </c>
      <c r="R16" s="43">
        <f>SUM(R13:R15)</f>
        <v/>
      </c>
      <c r="S16" s="43">
        <f>SUM(S13:S15)</f>
        <v/>
      </c>
      <c r="T16" s="43">
        <f>SUM(T13:T15)</f>
        <v/>
      </c>
      <c r="U16" s="43">
        <f>SUM(U13:U15)</f>
        <v/>
      </c>
      <c r="V16" s="43">
        <f>SUM(V13:V15)</f>
        <v/>
      </c>
      <c r="W16" s="43">
        <f>SUM(W13:W15)</f>
        <v/>
      </c>
      <c r="X16" s="43">
        <f>SUM(X13:X15)</f>
        <v/>
      </c>
      <c r="Y16" s="43">
        <f>SUM(Y13:Y15)</f>
        <v/>
      </c>
      <c r="Z16" s="43">
        <f>SUM(Z13:Z15)</f>
        <v/>
      </c>
      <c r="AA16" s="43">
        <f>SUM(AA13:AA15)</f>
        <v/>
      </c>
      <c r="AB16" s="43">
        <f>SUM(AB13:AB15)</f>
        <v/>
      </c>
      <c r="AC16" s="43">
        <f>SUM(AC13:AC15)</f>
        <v/>
      </c>
      <c r="AD16" s="43">
        <f>SUM(AD13:AD15)</f>
        <v/>
      </c>
      <c r="AE16" s="43">
        <f>SUM(AE13:AE15)</f>
        <v/>
      </c>
      <c r="AF16" s="43">
        <f>SUM(AF13:AF15)</f>
        <v/>
      </c>
      <c r="AG16" s="43">
        <f>SUM(AG13:AG15)</f>
        <v/>
      </c>
      <c r="AH16" s="43">
        <f>SUM(AH13:AH15)</f>
        <v/>
      </c>
      <c r="AI16" s="43">
        <f>SUM(AI13:AI15)</f>
        <v/>
      </c>
      <c r="AJ16" s="43">
        <f>SUM(AJ13:AJ15)</f>
        <v/>
      </c>
      <c r="AK16" s="43">
        <f>SUM(AK13:AK15)</f>
        <v/>
      </c>
      <c r="AL16" s="43">
        <f>SUM(AL13:AL15)</f>
        <v/>
      </c>
      <c r="AM16" s="43">
        <f>SUM(AM13:AM15)</f>
        <v/>
      </c>
      <c r="AN16" s="43">
        <f>SUM(AN13:AN15)</f>
        <v/>
      </c>
      <c r="AO16" s="43">
        <f>SUM(AO13:AO15)</f>
        <v/>
      </c>
      <c r="AP16" s="43">
        <f>SUM(AP13:AP15)</f>
        <v/>
      </c>
      <c r="AQ16" s="43">
        <f>SUM(AQ13:AQ15)</f>
        <v/>
      </c>
      <c r="AR16" s="43">
        <f>SUM(AR13:AR15)</f>
        <v/>
      </c>
      <c r="AS16" s="43">
        <f>SUM(AS13:AS15)</f>
        <v/>
      </c>
      <c r="AT16" s="43">
        <f>SUM(AT13:AT15)</f>
        <v/>
      </c>
      <c r="AU16" s="43">
        <f>SUM(AU13:AU15)</f>
        <v/>
      </c>
      <c r="AV16" s="43">
        <f>SUM(AV13:AV15)</f>
        <v/>
      </c>
      <c r="AW16" s="43">
        <f>SUM(AW13:AW15)</f>
        <v/>
      </c>
      <c r="AX16" s="43">
        <f>SUM(AX13:AX15)</f>
        <v/>
      </c>
      <c r="AY16" s="43">
        <f>SUM(AY13:AY15)</f>
        <v/>
      </c>
      <c r="AZ16" s="43">
        <f>SUM(AZ13:AZ15)</f>
        <v/>
      </c>
      <c r="BA16" s="43">
        <f>SUM(BA13:BA15)</f>
        <v/>
      </c>
      <c r="BB16" s="43">
        <f>SUM(BB13:BB15)</f>
        <v/>
      </c>
      <c r="BC16" s="43">
        <f>SUM(BC13:BC15)</f>
        <v/>
      </c>
      <c r="BD16" s="43">
        <f>SUM(BD13:BD15)</f>
        <v/>
      </c>
      <c r="BE16" s="43">
        <f>SUM(BE13:BE15)</f>
        <v/>
      </c>
      <c r="BF16" s="43">
        <f>SUM(BF13:BF15)</f>
        <v/>
      </c>
      <c r="BG16" s="43">
        <f>SUM(BG13:BG15)</f>
        <v/>
      </c>
      <c r="BH16" s="43">
        <f>SUM(BH13:BH15)</f>
        <v/>
      </c>
      <c r="BI16" s="43">
        <f>SUM(BI13:BI15)</f>
        <v/>
      </c>
      <c r="BJ16" s="43">
        <f>SUM(BJ13:BJ15)</f>
        <v/>
      </c>
      <c r="BK16" s="43">
        <f>SUM(BK13:BK15)</f>
        <v/>
      </c>
      <c r="BL16" s="43">
        <f>SUM(BL13:BL15)</f>
        <v/>
      </c>
      <c r="BM16" s="43">
        <f>SUM(BM13:BM15)</f>
        <v/>
      </c>
      <c r="BN16" s="43">
        <f>SUM(BN13:BN15)</f>
        <v/>
      </c>
      <c r="BO16" s="43">
        <f>SUM(BO13:BO15)</f>
        <v/>
      </c>
    </row>
    <row r="17">
      <c r="A17" s="10" t="inlineStr">
        <is>
          <t>Активные школы — всего</t>
        </is>
      </c>
      <c r="B17" s="43">
        <f>B11+B16</f>
        <v/>
      </c>
      <c r="C17" s="43">
        <f>C11+C16</f>
        <v/>
      </c>
      <c r="D17" s="43">
        <f>D11+D16</f>
        <v/>
      </c>
      <c r="E17" s="43">
        <f>E11+E16</f>
        <v/>
      </c>
      <c r="F17" s="43">
        <f>F11+F16</f>
        <v/>
      </c>
      <c r="G17" s="43">
        <f>G11+G16</f>
        <v/>
      </c>
      <c r="H17" s="43">
        <f>H11+H16</f>
        <v/>
      </c>
      <c r="I17" s="43">
        <f>I11+I16</f>
        <v/>
      </c>
      <c r="J17" s="43">
        <f>J11+J16</f>
        <v/>
      </c>
      <c r="K17" s="43">
        <f>K11+K16</f>
        <v/>
      </c>
      <c r="L17" s="43">
        <f>L11+L16</f>
        <v/>
      </c>
      <c r="M17" s="43">
        <f>M11+M16</f>
        <v/>
      </c>
      <c r="N17" s="43">
        <f>N11+N16</f>
        <v/>
      </c>
      <c r="O17" s="43">
        <f>O11+O16</f>
        <v/>
      </c>
      <c r="P17" s="43">
        <f>P11+P16</f>
        <v/>
      </c>
      <c r="Q17" s="43">
        <f>Q11+Q16</f>
        <v/>
      </c>
      <c r="R17" s="43">
        <f>R11+R16</f>
        <v/>
      </c>
      <c r="S17" s="43">
        <f>S11+S16</f>
        <v/>
      </c>
      <c r="T17" s="43">
        <f>T11+T16</f>
        <v/>
      </c>
      <c r="U17" s="43">
        <f>U11+U16</f>
        <v/>
      </c>
      <c r="V17" s="43">
        <f>V11+V16</f>
        <v/>
      </c>
      <c r="W17" s="43">
        <f>W11+W16</f>
        <v/>
      </c>
      <c r="X17" s="43">
        <f>X11+X16</f>
        <v/>
      </c>
      <c r="Y17" s="43">
        <f>Y11+Y16</f>
        <v/>
      </c>
      <c r="Z17" s="43">
        <f>Z11+Z16</f>
        <v/>
      </c>
      <c r="AA17" s="43">
        <f>AA11+AA16</f>
        <v/>
      </c>
      <c r="AB17" s="43">
        <f>AB11+AB16</f>
        <v/>
      </c>
      <c r="AC17" s="43">
        <f>AC11+AC16</f>
        <v/>
      </c>
      <c r="AD17" s="43">
        <f>AD11+AD16</f>
        <v/>
      </c>
      <c r="AE17" s="43">
        <f>AE11+AE16</f>
        <v/>
      </c>
      <c r="AF17" s="43">
        <f>AF11+AF16</f>
        <v/>
      </c>
      <c r="AG17" s="43">
        <f>AG11+AG16</f>
        <v/>
      </c>
      <c r="AH17" s="43">
        <f>AH11+AH16</f>
        <v/>
      </c>
      <c r="AI17" s="43">
        <f>AI11+AI16</f>
        <v/>
      </c>
      <c r="AJ17" s="43">
        <f>AJ11+AJ16</f>
        <v/>
      </c>
      <c r="AK17" s="43">
        <f>AK11+AK16</f>
        <v/>
      </c>
      <c r="AL17" s="43">
        <f>AL11+AL16</f>
        <v/>
      </c>
      <c r="AM17" s="43">
        <f>AM11+AM16</f>
        <v/>
      </c>
      <c r="AN17" s="43">
        <f>AN11+AN16</f>
        <v/>
      </c>
      <c r="AO17" s="43">
        <f>AO11+AO16</f>
        <v/>
      </c>
      <c r="AP17" s="43">
        <f>AP11+AP16</f>
        <v/>
      </c>
      <c r="AQ17" s="43">
        <f>AQ11+AQ16</f>
        <v/>
      </c>
      <c r="AR17" s="43">
        <f>AR11+AR16</f>
        <v/>
      </c>
      <c r="AS17" s="43">
        <f>AS11+AS16</f>
        <v/>
      </c>
      <c r="AT17" s="43">
        <f>AT11+AT16</f>
        <v/>
      </c>
      <c r="AU17" s="43">
        <f>AU11+AU16</f>
        <v/>
      </c>
      <c r="AV17" s="43">
        <f>AV11+AV16</f>
        <v/>
      </c>
      <c r="AW17" s="43">
        <f>AW11+AW16</f>
        <v/>
      </c>
      <c r="AX17" s="43">
        <f>AX11+AX16</f>
        <v/>
      </c>
      <c r="AY17" s="43">
        <f>AY11+AY16</f>
        <v/>
      </c>
      <c r="AZ17" s="43">
        <f>AZ11+AZ16</f>
        <v/>
      </c>
      <c r="BA17" s="43">
        <f>BA11+BA16</f>
        <v/>
      </c>
      <c r="BB17" s="43">
        <f>BB11+BB16</f>
        <v/>
      </c>
      <c r="BC17" s="43">
        <f>BC11+BC16</f>
        <v/>
      </c>
      <c r="BD17" s="43">
        <f>BD11+BD16</f>
        <v/>
      </c>
      <c r="BE17" s="43">
        <f>BE11+BE16</f>
        <v/>
      </c>
      <c r="BF17" s="43">
        <f>BF11+BF16</f>
        <v/>
      </c>
      <c r="BG17" s="43">
        <f>BG11+BG16</f>
        <v/>
      </c>
      <c r="BH17" s="43">
        <f>BH11+BH16</f>
        <v/>
      </c>
      <c r="BI17" s="43">
        <f>BI11+BI16</f>
        <v/>
      </c>
      <c r="BJ17" s="43">
        <f>BJ11+BJ16</f>
        <v/>
      </c>
      <c r="BK17" s="43">
        <f>BK11+BK16</f>
        <v/>
      </c>
      <c r="BL17" s="43">
        <f>BL11+BL16</f>
        <v/>
      </c>
      <c r="BM17" s="43">
        <f>BM11+BM16</f>
        <v/>
      </c>
      <c r="BN17" s="43">
        <f>BN11+BN16</f>
        <v/>
      </c>
      <c r="BO17" s="43">
        <f>BO11+BO16</f>
        <v/>
      </c>
    </row>
    <row r="18" ht="20" customHeight="1">
      <c r="A18" s="4" t="inlineStr">
        <is>
          <t>Дети</t>
        </is>
      </c>
    </row>
    <row r="19">
      <c r="A19" s="2" t="inlineStr">
        <is>
          <t>Действующая сеть — дети 100%</t>
        </is>
      </c>
      <c r="B19" s="95">
        <f>'01_Вводные'!$B$11*(1+'01_Вводные'!$B$12)^(B4-1)*IF('01_Вводные'!$B$9=0,0,B11/'01_Вводные'!$B$9)</f>
        <v/>
      </c>
      <c r="C19" s="95">
        <f>'01_Вводные'!$B$11*(1+'01_Вводные'!$B$12)^(C4-1)*IF('01_Вводные'!$B$9=0,0,C11/'01_Вводные'!$B$9)</f>
        <v/>
      </c>
      <c r="D19" s="95">
        <f>'01_Вводные'!$B$11*(1+'01_Вводные'!$B$12)^(D4-1)*IF('01_Вводные'!$B$9=0,0,D11/'01_Вводные'!$B$9)</f>
        <v/>
      </c>
      <c r="E19" s="95">
        <f>'01_Вводные'!$B$11*(1+'01_Вводные'!$B$12)^(E4-1)*IF('01_Вводные'!$B$9=0,0,E11/'01_Вводные'!$B$9)</f>
        <v/>
      </c>
      <c r="F19" s="95">
        <f>'01_Вводные'!$B$11*(1+'01_Вводные'!$B$12)^(F4-1)*IF('01_Вводные'!$B$9=0,0,F11/'01_Вводные'!$B$9)</f>
        <v/>
      </c>
      <c r="G19" s="95">
        <f>'01_Вводные'!$B$11*(1+'01_Вводные'!$B$12)^(G4-1)*IF('01_Вводные'!$B$9=0,0,G11/'01_Вводные'!$B$9)</f>
        <v/>
      </c>
      <c r="H19" s="95">
        <f>'01_Вводные'!$B$11*(1+'01_Вводные'!$B$12)^(H4-1)*IF('01_Вводные'!$B$9=0,0,H11/'01_Вводные'!$B$9)</f>
        <v/>
      </c>
      <c r="I19" s="95">
        <f>'01_Вводные'!$B$11*(1+'01_Вводные'!$B$12)^(I4-1)*IF('01_Вводные'!$B$9=0,0,I11/'01_Вводные'!$B$9)</f>
        <v/>
      </c>
      <c r="J19" s="95">
        <f>'01_Вводные'!$B$11*(1+'01_Вводные'!$B$12)^(J4-1)*IF('01_Вводные'!$B$9=0,0,J11/'01_Вводные'!$B$9)</f>
        <v/>
      </c>
      <c r="K19" s="95">
        <f>'01_Вводные'!$B$11*(1+'01_Вводные'!$B$12)^(K4-1)*IF('01_Вводные'!$B$9=0,0,K11/'01_Вводные'!$B$9)</f>
        <v/>
      </c>
      <c r="L19" s="95">
        <f>'01_Вводные'!$B$11*(1+'01_Вводные'!$B$12)^(L4-1)*IF('01_Вводные'!$B$9=0,0,L11/'01_Вводные'!$B$9)</f>
        <v/>
      </c>
      <c r="M19" s="95">
        <f>'01_Вводные'!$B$11*(1+'01_Вводные'!$B$12)^(M4-1)*IF('01_Вводные'!$B$9=0,0,M11/'01_Вводные'!$B$9)</f>
        <v/>
      </c>
      <c r="N19" s="95">
        <f>'01_Вводные'!$B$11*(1+'01_Вводные'!$B$12)^(N4-1)*IF('01_Вводные'!$B$9=0,0,N11/'01_Вводные'!$B$9)</f>
        <v/>
      </c>
      <c r="O19" s="95">
        <f>'01_Вводные'!$B$11*(1+'01_Вводные'!$B$12)^(O4-1)*IF('01_Вводные'!$B$9=0,0,O11/'01_Вводные'!$B$9)</f>
        <v/>
      </c>
      <c r="P19" s="95">
        <f>'01_Вводные'!$B$11*(1+'01_Вводные'!$B$12)^(P4-1)*IF('01_Вводные'!$B$9=0,0,P11/'01_Вводные'!$B$9)</f>
        <v/>
      </c>
      <c r="Q19" s="95">
        <f>'01_Вводные'!$B$11*(1+'01_Вводные'!$B$12)^(Q4-1)*IF('01_Вводные'!$B$9=0,0,Q11/'01_Вводные'!$B$9)</f>
        <v/>
      </c>
      <c r="R19" s="95">
        <f>'01_Вводные'!$B$11*(1+'01_Вводные'!$B$12)^(R4-1)*IF('01_Вводные'!$B$9=0,0,R11/'01_Вводные'!$B$9)</f>
        <v/>
      </c>
      <c r="S19" s="95">
        <f>'01_Вводные'!$B$11*(1+'01_Вводные'!$B$12)^(S4-1)*IF('01_Вводные'!$B$9=0,0,S11/'01_Вводные'!$B$9)</f>
        <v/>
      </c>
      <c r="T19" s="95">
        <f>'01_Вводные'!$B$11*(1+'01_Вводные'!$B$12)^(T4-1)*IF('01_Вводные'!$B$9=0,0,T11/'01_Вводные'!$B$9)</f>
        <v/>
      </c>
      <c r="U19" s="95">
        <f>'01_Вводные'!$B$11*(1+'01_Вводные'!$B$12)^(U4-1)*IF('01_Вводные'!$B$9=0,0,U11/'01_Вводные'!$B$9)</f>
        <v/>
      </c>
      <c r="V19" s="95">
        <f>'01_Вводные'!$B$11*(1+'01_Вводные'!$B$12)^(V4-1)*IF('01_Вводные'!$B$9=0,0,V11/'01_Вводные'!$B$9)</f>
        <v/>
      </c>
      <c r="W19" s="95">
        <f>'01_Вводные'!$B$11*(1+'01_Вводные'!$B$12)^(W4-1)*IF('01_Вводные'!$B$9=0,0,W11/'01_Вводные'!$B$9)</f>
        <v/>
      </c>
      <c r="X19" s="95">
        <f>'01_Вводные'!$B$11*(1+'01_Вводные'!$B$12)^(X4-1)*IF('01_Вводные'!$B$9=0,0,X11/'01_Вводные'!$B$9)</f>
        <v/>
      </c>
      <c r="Y19" s="95">
        <f>'01_Вводные'!$B$11*(1+'01_Вводные'!$B$12)^(Y4-1)*IF('01_Вводные'!$B$9=0,0,Y11/'01_Вводные'!$B$9)</f>
        <v/>
      </c>
      <c r="Z19" s="95">
        <f>'01_Вводные'!$B$11*(1+'01_Вводные'!$B$12)^(Z4-1)*IF('01_Вводные'!$B$9=0,0,Z11/'01_Вводные'!$B$9)</f>
        <v/>
      </c>
      <c r="AA19" s="95">
        <f>'01_Вводные'!$B$11*(1+'01_Вводные'!$B$12)^(AA4-1)*IF('01_Вводные'!$B$9=0,0,AA11/'01_Вводные'!$B$9)</f>
        <v/>
      </c>
      <c r="AB19" s="95">
        <f>'01_Вводные'!$B$11*(1+'01_Вводные'!$B$12)^(AB4-1)*IF('01_Вводные'!$B$9=0,0,AB11/'01_Вводные'!$B$9)</f>
        <v/>
      </c>
      <c r="AC19" s="95">
        <f>'01_Вводные'!$B$11*(1+'01_Вводные'!$B$12)^(AC4-1)*IF('01_Вводные'!$B$9=0,0,AC11/'01_Вводные'!$B$9)</f>
        <v/>
      </c>
      <c r="AD19" s="95">
        <f>'01_Вводные'!$B$11*(1+'01_Вводные'!$B$12)^(AD4-1)*IF('01_Вводные'!$B$9=0,0,AD11/'01_Вводные'!$B$9)</f>
        <v/>
      </c>
      <c r="AE19" s="95">
        <f>'01_Вводные'!$B$11*(1+'01_Вводные'!$B$12)^(AE4-1)*IF('01_Вводные'!$B$9=0,0,AE11/'01_Вводные'!$B$9)</f>
        <v/>
      </c>
      <c r="AF19" s="95">
        <f>'01_Вводные'!$B$11*(1+'01_Вводные'!$B$12)^(AF4-1)*IF('01_Вводные'!$B$9=0,0,AF11/'01_Вводные'!$B$9)</f>
        <v/>
      </c>
      <c r="AG19" s="95">
        <f>'01_Вводные'!$B$11*(1+'01_Вводные'!$B$12)^(AG4-1)*IF('01_Вводные'!$B$9=0,0,AG11/'01_Вводные'!$B$9)</f>
        <v/>
      </c>
      <c r="AH19" s="95">
        <f>'01_Вводные'!$B$11*(1+'01_Вводные'!$B$12)^(AH4-1)*IF('01_Вводные'!$B$9=0,0,AH11/'01_Вводные'!$B$9)</f>
        <v/>
      </c>
      <c r="AI19" s="95">
        <f>'01_Вводные'!$B$11*(1+'01_Вводные'!$B$12)^(AI4-1)*IF('01_Вводные'!$B$9=0,0,AI11/'01_Вводные'!$B$9)</f>
        <v/>
      </c>
      <c r="AJ19" s="95">
        <f>'01_Вводные'!$B$11*(1+'01_Вводные'!$B$12)^(AJ4-1)*IF('01_Вводные'!$B$9=0,0,AJ11/'01_Вводные'!$B$9)</f>
        <v/>
      </c>
      <c r="AK19" s="95">
        <f>'01_Вводные'!$B$11*(1+'01_Вводные'!$B$12)^(AK4-1)*IF('01_Вводные'!$B$9=0,0,AK11/'01_Вводные'!$B$9)</f>
        <v/>
      </c>
      <c r="AL19" s="95">
        <f>'01_Вводные'!$B$11*(1+'01_Вводные'!$B$12)^(AL4-1)*IF('01_Вводные'!$B$9=0,0,AL11/'01_Вводные'!$B$9)</f>
        <v/>
      </c>
      <c r="AM19" s="95">
        <f>'01_Вводные'!$B$11*(1+'01_Вводные'!$B$12)^(AM4-1)*IF('01_Вводные'!$B$9=0,0,AM11/'01_Вводные'!$B$9)</f>
        <v/>
      </c>
      <c r="AN19" s="95">
        <f>'01_Вводные'!$B$11*(1+'01_Вводные'!$B$12)^(AN4-1)*IF('01_Вводные'!$B$9=0,0,AN11/'01_Вводные'!$B$9)</f>
        <v/>
      </c>
      <c r="AO19" s="95">
        <f>'01_Вводные'!$B$11*(1+'01_Вводные'!$B$12)^(AO4-1)*IF('01_Вводные'!$B$9=0,0,AO11/'01_Вводные'!$B$9)</f>
        <v/>
      </c>
      <c r="AP19" s="95">
        <f>'01_Вводные'!$B$11*(1+'01_Вводные'!$B$12)^(AP4-1)*IF('01_Вводные'!$B$9=0,0,AP11/'01_Вводные'!$B$9)</f>
        <v/>
      </c>
      <c r="AQ19" s="95">
        <f>'01_Вводные'!$B$11*(1+'01_Вводные'!$B$12)^(AQ4-1)*IF('01_Вводные'!$B$9=0,0,AQ11/'01_Вводные'!$B$9)</f>
        <v/>
      </c>
      <c r="AR19" s="95">
        <f>'01_Вводные'!$B$11*(1+'01_Вводные'!$B$12)^(AR4-1)*IF('01_Вводные'!$B$9=0,0,AR11/'01_Вводные'!$B$9)</f>
        <v/>
      </c>
      <c r="AS19" s="95">
        <f>'01_Вводные'!$B$11*(1+'01_Вводные'!$B$12)^(AS4-1)*IF('01_Вводные'!$B$9=0,0,AS11/'01_Вводные'!$B$9)</f>
        <v/>
      </c>
      <c r="AT19" s="95">
        <f>'01_Вводные'!$B$11*(1+'01_Вводные'!$B$12)^(AT4-1)*IF('01_Вводные'!$B$9=0,0,AT11/'01_Вводные'!$B$9)</f>
        <v/>
      </c>
      <c r="AU19" s="95">
        <f>'01_Вводные'!$B$11*(1+'01_Вводные'!$B$12)^(AU4-1)*IF('01_Вводные'!$B$9=0,0,AU11/'01_Вводные'!$B$9)</f>
        <v/>
      </c>
      <c r="AV19" s="95">
        <f>'01_Вводные'!$B$11*(1+'01_Вводные'!$B$12)^(AV4-1)*IF('01_Вводные'!$B$9=0,0,AV11/'01_Вводные'!$B$9)</f>
        <v/>
      </c>
      <c r="AW19" s="95">
        <f>'01_Вводные'!$B$11*(1+'01_Вводные'!$B$12)^(AW4-1)*IF('01_Вводные'!$B$9=0,0,AW11/'01_Вводные'!$B$9)</f>
        <v/>
      </c>
      <c r="AX19" s="95">
        <f>'01_Вводные'!$B$11*(1+'01_Вводные'!$B$12)^(AX4-1)*IF('01_Вводные'!$B$9=0,0,AX11/'01_Вводные'!$B$9)</f>
        <v/>
      </c>
      <c r="AY19" s="95">
        <f>'01_Вводные'!$B$11*(1+'01_Вводные'!$B$12)^(AY4-1)*IF('01_Вводные'!$B$9=0,0,AY11/'01_Вводные'!$B$9)</f>
        <v/>
      </c>
      <c r="AZ19" s="95">
        <f>'01_Вводные'!$B$11*(1+'01_Вводные'!$B$12)^(AZ4-1)*IF('01_Вводные'!$B$9=0,0,AZ11/'01_Вводные'!$B$9)</f>
        <v/>
      </c>
      <c r="BA19" s="95">
        <f>'01_Вводные'!$B$11*(1+'01_Вводные'!$B$12)^(BA4-1)*IF('01_Вводные'!$B$9=0,0,BA11/'01_Вводные'!$B$9)</f>
        <v/>
      </c>
      <c r="BB19" s="95">
        <f>'01_Вводные'!$B$11*(1+'01_Вводные'!$B$12)^(BB4-1)*IF('01_Вводные'!$B$9=0,0,BB11/'01_Вводные'!$B$9)</f>
        <v/>
      </c>
      <c r="BC19" s="95">
        <f>'01_Вводные'!$B$11*(1+'01_Вводные'!$B$12)^(BC4-1)*IF('01_Вводные'!$B$9=0,0,BC11/'01_Вводные'!$B$9)</f>
        <v/>
      </c>
      <c r="BD19" s="95">
        <f>'01_Вводные'!$B$11*(1+'01_Вводные'!$B$12)^(BD4-1)*IF('01_Вводные'!$B$9=0,0,BD11/'01_Вводные'!$B$9)</f>
        <v/>
      </c>
      <c r="BE19" s="95">
        <f>'01_Вводные'!$B$11*(1+'01_Вводные'!$B$12)^(BE4-1)*IF('01_Вводные'!$B$9=0,0,BE11/'01_Вводные'!$B$9)</f>
        <v/>
      </c>
      <c r="BF19" s="95">
        <f>'01_Вводные'!$B$11*(1+'01_Вводные'!$B$12)^(BF4-1)*IF('01_Вводные'!$B$9=0,0,BF11/'01_Вводные'!$B$9)</f>
        <v/>
      </c>
      <c r="BG19" s="95">
        <f>'01_Вводные'!$B$11*(1+'01_Вводные'!$B$12)^(BG4-1)*IF('01_Вводные'!$B$9=0,0,BG11/'01_Вводные'!$B$9)</f>
        <v/>
      </c>
      <c r="BH19" s="95">
        <f>'01_Вводные'!$B$11*(1+'01_Вводные'!$B$12)^(BH4-1)*IF('01_Вводные'!$B$9=0,0,BH11/'01_Вводные'!$B$9)</f>
        <v/>
      </c>
      <c r="BI19" s="95">
        <f>'01_Вводные'!$B$11*(1+'01_Вводные'!$B$12)^(BI4-1)*IF('01_Вводные'!$B$9=0,0,BI11/'01_Вводные'!$B$9)</f>
        <v/>
      </c>
      <c r="BJ19" s="95">
        <f>'01_Вводные'!$B$11*(1+'01_Вводные'!$B$12)^(BJ4-1)*IF('01_Вводные'!$B$9=0,0,BJ11/'01_Вводные'!$B$9)</f>
        <v/>
      </c>
      <c r="BK19" s="95">
        <f>'01_Вводные'!$B$11*(1+'01_Вводные'!$B$12)^(BK4-1)*IF('01_Вводные'!$B$9=0,0,BK11/'01_Вводные'!$B$9)</f>
        <v/>
      </c>
      <c r="BL19" s="95">
        <f>'01_Вводные'!$B$11*(1+'01_Вводные'!$B$12)^(BL4-1)*IF('01_Вводные'!$B$9=0,0,BL11/'01_Вводные'!$B$9)</f>
        <v/>
      </c>
      <c r="BM19" s="95">
        <f>'01_Вводные'!$B$11*(1+'01_Вводные'!$B$12)^(BM4-1)*IF('01_Вводные'!$B$9=0,0,BM11/'01_Вводные'!$B$9)</f>
        <v/>
      </c>
      <c r="BN19" s="95">
        <f>'01_Вводные'!$B$11*(1+'01_Вводные'!$B$12)^(BN4-1)*IF('01_Вводные'!$B$9=0,0,BN11/'01_Вводные'!$B$9)</f>
        <v/>
      </c>
      <c r="BO19" s="95">
        <f>'01_Вводные'!$B$11*(1+'01_Вводные'!$B$12)^(BO4-1)*IF('01_Вводные'!$B$9=0,0,BO11/'01_Вводные'!$B$9)</f>
        <v/>
      </c>
    </row>
    <row r="20">
      <c r="A20" s="2" t="inlineStr">
        <is>
          <t>Действующая сеть — активные дети</t>
        </is>
      </c>
      <c r="B20" s="42">
        <f>B19*B5</f>
        <v/>
      </c>
      <c r="C20" s="42">
        <f>C19*C5</f>
        <v/>
      </c>
      <c r="D20" s="42">
        <f>D19*D5</f>
        <v/>
      </c>
      <c r="E20" s="42">
        <f>E19*E5</f>
        <v/>
      </c>
      <c r="F20" s="42">
        <f>F19*F5</f>
        <v/>
      </c>
      <c r="G20" s="42">
        <f>G19*G5</f>
        <v/>
      </c>
      <c r="H20" s="42">
        <f>H19*H5</f>
        <v/>
      </c>
      <c r="I20" s="42">
        <f>I19*I5</f>
        <v/>
      </c>
      <c r="J20" s="42">
        <f>J19*J5</f>
        <v/>
      </c>
      <c r="K20" s="42">
        <f>K19*K5</f>
        <v/>
      </c>
      <c r="L20" s="42">
        <f>L19*L5</f>
        <v/>
      </c>
      <c r="M20" s="42">
        <f>M19*M5</f>
        <v/>
      </c>
      <c r="N20" s="42">
        <f>N19*N5</f>
        <v/>
      </c>
      <c r="O20" s="42">
        <f>O19*O5</f>
        <v/>
      </c>
      <c r="P20" s="42">
        <f>P19*P5</f>
        <v/>
      </c>
      <c r="Q20" s="42">
        <f>Q19*Q5</f>
        <v/>
      </c>
      <c r="R20" s="42">
        <f>R19*R5</f>
        <v/>
      </c>
      <c r="S20" s="42">
        <f>S19*S5</f>
        <v/>
      </c>
      <c r="T20" s="42">
        <f>T19*T5</f>
        <v/>
      </c>
      <c r="U20" s="42">
        <f>U19*U5</f>
        <v/>
      </c>
      <c r="V20" s="42">
        <f>V19*V5</f>
        <v/>
      </c>
      <c r="W20" s="42">
        <f>W19*W5</f>
        <v/>
      </c>
      <c r="X20" s="42">
        <f>X19*X5</f>
        <v/>
      </c>
      <c r="Y20" s="42">
        <f>Y19*Y5</f>
        <v/>
      </c>
      <c r="Z20" s="42">
        <f>Z19*Z5</f>
        <v/>
      </c>
      <c r="AA20" s="42">
        <f>AA19*AA5</f>
        <v/>
      </c>
      <c r="AB20" s="42">
        <f>AB19*AB5</f>
        <v/>
      </c>
      <c r="AC20" s="42">
        <f>AC19*AC5</f>
        <v/>
      </c>
      <c r="AD20" s="42">
        <f>AD19*AD5</f>
        <v/>
      </c>
      <c r="AE20" s="42">
        <f>AE19*AE5</f>
        <v/>
      </c>
      <c r="AF20" s="42">
        <f>AF19*AF5</f>
        <v/>
      </c>
      <c r="AG20" s="42">
        <f>AG19*AG5</f>
        <v/>
      </c>
      <c r="AH20" s="42">
        <f>AH19*AH5</f>
        <v/>
      </c>
      <c r="AI20" s="42">
        <f>AI19*AI5</f>
        <v/>
      </c>
      <c r="AJ20" s="42">
        <f>AJ19*AJ5</f>
        <v/>
      </c>
      <c r="AK20" s="42">
        <f>AK19*AK5</f>
        <v/>
      </c>
      <c r="AL20" s="42">
        <f>AL19*AL5</f>
        <v/>
      </c>
      <c r="AM20" s="42">
        <f>AM19*AM5</f>
        <v/>
      </c>
      <c r="AN20" s="42">
        <f>AN19*AN5</f>
        <v/>
      </c>
      <c r="AO20" s="42">
        <f>AO19*AO5</f>
        <v/>
      </c>
      <c r="AP20" s="42">
        <f>AP19*AP5</f>
        <v/>
      </c>
      <c r="AQ20" s="42">
        <f>AQ19*AQ5</f>
        <v/>
      </c>
      <c r="AR20" s="42">
        <f>AR19*AR5</f>
        <v/>
      </c>
      <c r="AS20" s="42">
        <f>AS19*AS5</f>
        <v/>
      </c>
      <c r="AT20" s="42">
        <f>AT19*AT5</f>
        <v/>
      </c>
      <c r="AU20" s="42">
        <f>AU19*AU5</f>
        <v/>
      </c>
      <c r="AV20" s="42">
        <f>AV19*AV5</f>
        <v/>
      </c>
      <c r="AW20" s="42">
        <f>AW19*AW5</f>
        <v/>
      </c>
      <c r="AX20" s="42">
        <f>AX19*AX5</f>
        <v/>
      </c>
      <c r="AY20" s="42">
        <f>AY19*AY5</f>
        <v/>
      </c>
      <c r="AZ20" s="42">
        <f>AZ19*AZ5</f>
        <v/>
      </c>
      <c r="BA20" s="42">
        <f>BA19*BA5</f>
        <v/>
      </c>
      <c r="BB20" s="42">
        <f>BB19*BB5</f>
        <v/>
      </c>
      <c r="BC20" s="42">
        <f>BC19*BC5</f>
        <v/>
      </c>
      <c r="BD20" s="42">
        <f>BD19*BD5</f>
        <v/>
      </c>
      <c r="BE20" s="42">
        <f>BE19*BE5</f>
        <v/>
      </c>
      <c r="BF20" s="42">
        <f>BF19*BF5</f>
        <v/>
      </c>
      <c r="BG20" s="42">
        <f>BG19*BG5</f>
        <v/>
      </c>
      <c r="BH20" s="42">
        <f>BH19*BH5</f>
        <v/>
      </c>
      <c r="BI20" s="42">
        <f>BI19*BI5</f>
        <v/>
      </c>
      <c r="BJ20" s="42">
        <f>BJ19*BJ5</f>
        <v/>
      </c>
      <c r="BK20" s="42">
        <f>BK19*BK5</f>
        <v/>
      </c>
      <c r="BL20" s="42">
        <f>BL19*BL5</f>
        <v/>
      </c>
      <c r="BM20" s="42">
        <f>BM19*BM5</f>
        <v/>
      </c>
      <c r="BN20" s="42">
        <f>BN19*BN5</f>
        <v/>
      </c>
      <c r="BO20" s="42">
        <f>BO19*BO5</f>
        <v/>
      </c>
    </row>
    <row r="21">
      <c r="A21" s="2" t="inlineStr">
        <is>
          <t>Новые школы - дети в мес. 1-12, набор</t>
        </is>
      </c>
      <c r="B21" s="185">
        <f>SUMPRODUCT(B53:B64,CapacityYear1)*'01_Вводные'!$F$199*B5</f>
        <v/>
      </c>
      <c r="C21" s="185">
        <f>SUMPRODUCT(C53:C64,CapacityYear1)*'01_Вводные'!$F$199*C5</f>
        <v/>
      </c>
      <c r="D21" s="185">
        <f>SUMPRODUCT(D53:D64,CapacityYear1)*'01_Вводные'!$F$199*D5</f>
        <v/>
      </c>
      <c r="E21" s="185">
        <f>SUMPRODUCT(E53:E64,CapacityYear1)*'01_Вводные'!$F$199*E5</f>
        <v/>
      </c>
      <c r="F21" s="185">
        <f>SUMPRODUCT(F53:F64,CapacityYear1)*'01_Вводные'!$F$199*F5</f>
        <v/>
      </c>
      <c r="G21" s="185">
        <f>SUMPRODUCT(G53:G64,CapacityYear1)*'01_Вводные'!$F$199*G5</f>
        <v/>
      </c>
      <c r="H21" s="185">
        <f>SUMPRODUCT(H53:H64,CapacityYear1)*'01_Вводные'!$F$199*H5</f>
        <v/>
      </c>
      <c r="I21" s="185">
        <f>SUMPRODUCT(I53:I64,CapacityYear1)*'01_Вводные'!$F$199*I5</f>
        <v/>
      </c>
      <c r="J21" s="185">
        <f>SUMPRODUCT(J53:J64,CapacityYear1)*'01_Вводные'!$F$199*J5</f>
        <v/>
      </c>
      <c r="K21" s="185">
        <f>SUMPRODUCT(K53:K64,CapacityYear1)*'01_Вводные'!$F$199*K5</f>
        <v/>
      </c>
      <c r="L21" s="185">
        <f>SUMPRODUCT(L53:L64,CapacityYear1)*'01_Вводные'!$F$199*L5</f>
        <v/>
      </c>
      <c r="M21" s="185">
        <f>SUMPRODUCT(M53:M64,CapacityYear1)*'01_Вводные'!$F$199*M5</f>
        <v/>
      </c>
      <c r="N21" s="185">
        <f>SUMPRODUCT(N53:N64,CapacityYear1)*'01_Вводные'!$F$199*N5</f>
        <v/>
      </c>
      <c r="O21" s="185">
        <f>SUMPRODUCT(O53:O64,CapacityYear1)*'01_Вводные'!$F$199*O5</f>
        <v/>
      </c>
      <c r="P21" s="185">
        <f>SUMPRODUCT(P53:P64,CapacityYear1)*'01_Вводные'!$F$199*P5</f>
        <v/>
      </c>
      <c r="Q21" s="185">
        <f>SUMPRODUCT(Q53:Q64,CapacityYear1)*'01_Вводные'!$F$199*Q5</f>
        <v/>
      </c>
      <c r="R21" s="185">
        <f>SUMPRODUCT(R53:R64,CapacityYear1)*'01_Вводные'!$F$199*R5</f>
        <v/>
      </c>
      <c r="S21" s="185">
        <f>SUMPRODUCT(S53:S64,CapacityYear1)*'01_Вводные'!$F$199*S5</f>
        <v/>
      </c>
      <c r="T21" s="185">
        <f>SUMPRODUCT(T53:T64,CapacityYear1)*'01_Вводные'!$F$199*T5</f>
        <v/>
      </c>
      <c r="U21" s="185">
        <f>SUMPRODUCT(U53:U64,CapacityYear1)*'01_Вводные'!$F$199*U5</f>
        <v/>
      </c>
      <c r="V21" s="185">
        <f>SUMPRODUCT(V53:V64,CapacityYear1)*'01_Вводные'!$F$199*V5</f>
        <v/>
      </c>
      <c r="W21" s="185">
        <f>SUMPRODUCT(W53:W64,CapacityYear1)*'01_Вводные'!$F$199*W5</f>
        <v/>
      </c>
      <c r="X21" s="185">
        <f>SUMPRODUCT(X53:X64,CapacityYear1)*'01_Вводные'!$F$199*X5</f>
        <v/>
      </c>
      <c r="Y21" s="185">
        <f>SUMPRODUCT(Y53:Y64,CapacityYear1)*'01_Вводные'!$F$199*Y5</f>
        <v/>
      </c>
      <c r="Z21" s="185">
        <f>SUMPRODUCT(Z53:Z64,CapacityYear1)*'01_Вводные'!$F$199*Z5</f>
        <v/>
      </c>
      <c r="AA21" s="185">
        <f>SUMPRODUCT(AA53:AA64,CapacityYear1)*'01_Вводные'!$F$199*AA5</f>
        <v/>
      </c>
      <c r="AB21" s="185">
        <f>SUMPRODUCT(AB53:AB64,CapacityYear1)*'01_Вводные'!$F$199*AB5</f>
        <v/>
      </c>
      <c r="AC21" s="185">
        <f>SUMPRODUCT(AC53:AC64,CapacityYear1)*'01_Вводные'!$F$199*AC5</f>
        <v/>
      </c>
      <c r="AD21" s="185">
        <f>SUMPRODUCT(AD53:AD64,CapacityYear1)*'01_Вводные'!$F$199*AD5</f>
        <v/>
      </c>
      <c r="AE21" s="185">
        <f>SUMPRODUCT(AE53:AE64,CapacityYear1)*'01_Вводные'!$F$199*AE5</f>
        <v/>
      </c>
      <c r="AF21" s="185">
        <f>SUMPRODUCT(AF53:AF64,CapacityYear1)*'01_Вводные'!$F$199*AF5</f>
        <v/>
      </c>
      <c r="AG21" s="185">
        <f>SUMPRODUCT(AG53:AG64,CapacityYear1)*'01_Вводные'!$F$199*AG5</f>
        <v/>
      </c>
      <c r="AH21" s="185">
        <f>SUMPRODUCT(AH53:AH64,CapacityYear1)*'01_Вводные'!$F$199*AH5</f>
        <v/>
      </c>
      <c r="AI21" s="185">
        <f>SUMPRODUCT(AI53:AI64,CapacityYear1)*'01_Вводные'!$F$199*AI5</f>
        <v/>
      </c>
      <c r="AJ21" s="185">
        <f>SUMPRODUCT(AJ53:AJ64,CapacityYear1)*'01_Вводные'!$F$199*AJ5</f>
        <v/>
      </c>
      <c r="AK21" s="185">
        <f>SUMPRODUCT(AK53:AK64,CapacityYear1)*'01_Вводные'!$F$199*AK5</f>
        <v/>
      </c>
      <c r="AL21" s="185">
        <f>SUMPRODUCT(AL53:AL64,CapacityYear1)*'01_Вводные'!$F$199*AL5</f>
        <v/>
      </c>
      <c r="AM21" s="185">
        <f>SUMPRODUCT(AM53:AM64,CapacityYear1)*'01_Вводные'!$F$199*AM5</f>
        <v/>
      </c>
      <c r="AN21" s="185">
        <f>SUMPRODUCT(AN53:AN64,CapacityYear1)*'01_Вводные'!$F$199*AN5</f>
        <v/>
      </c>
      <c r="AO21" s="185">
        <f>SUMPRODUCT(AO53:AO64,CapacityYear1)*'01_Вводные'!$F$199*AO5</f>
        <v/>
      </c>
      <c r="AP21" s="185">
        <f>SUMPRODUCT(AP53:AP64,CapacityYear1)*'01_Вводные'!$F$199*AP5</f>
        <v/>
      </c>
      <c r="AQ21" s="185">
        <f>SUMPRODUCT(AQ53:AQ64,CapacityYear1)*'01_Вводные'!$F$199*AQ5</f>
        <v/>
      </c>
      <c r="AR21" s="185">
        <f>SUMPRODUCT(AR53:AR64,CapacityYear1)*'01_Вводные'!$F$199*AR5</f>
        <v/>
      </c>
      <c r="AS21" s="185">
        <f>SUMPRODUCT(AS53:AS64,CapacityYear1)*'01_Вводные'!$F$199*AS5</f>
        <v/>
      </c>
      <c r="AT21" s="185">
        <f>SUMPRODUCT(AT53:AT64,CapacityYear1)*'01_Вводные'!$F$199*AT5</f>
        <v/>
      </c>
      <c r="AU21" s="185">
        <f>SUMPRODUCT(AU53:AU64,CapacityYear1)*'01_Вводные'!$F$199*AU5</f>
        <v/>
      </c>
      <c r="AV21" s="185">
        <f>SUMPRODUCT(AV53:AV64,CapacityYear1)*'01_Вводные'!$F$199*AV5</f>
        <v/>
      </c>
      <c r="AW21" s="185">
        <f>SUMPRODUCT(AW53:AW64,CapacityYear1)*'01_Вводные'!$F$199*AW5</f>
        <v/>
      </c>
      <c r="AX21" s="185">
        <f>SUMPRODUCT(AX53:AX64,CapacityYear1)*'01_Вводные'!$F$199*AX5</f>
        <v/>
      </c>
      <c r="AY21" s="185">
        <f>SUMPRODUCT(AY53:AY64,CapacityYear1)*'01_Вводные'!$F$199*AY5</f>
        <v/>
      </c>
      <c r="AZ21" s="185">
        <f>SUMPRODUCT(AZ53:AZ64,CapacityYear1)*'01_Вводные'!$F$199*AZ5</f>
        <v/>
      </c>
      <c r="BA21" s="185">
        <f>SUMPRODUCT(BA53:BA64,CapacityYear1)*'01_Вводные'!$F$199*BA5</f>
        <v/>
      </c>
      <c r="BB21" s="185">
        <f>SUMPRODUCT(BB53:BB64,CapacityYear1)*'01_Вводные'!$F$199*BB5</f>
        <v/>
      </c>
      <c r="BC21" s="185">
        <f>SUMPRODUCT(BC53:BC64,CapacityYear1)*'01_Вводные'!$F$199*BC5</f>
        <v/>
      </c>
      <c r="BD21" s="185">
        <f>SUMPRODUCT(BD53:BD64,CapacityYear1)*'01_Вводные'!$F$199*BD5</f>
        <v/>
      </c>
      <c r="BE21" s="185">
        <f>SUMPRODUCT(BE53:BE64,CapacityYear1)*'01_Вводные'!$F$199*BE5</f>
        <v/>
      </c>
      <c r="BF21" s="185">
        <f>SUMPRODUCT(BF53:BF64,CapacityYear1)*'01_Вводные'!$F$199*BF5</f>
        <v/>
      </c>
      <c r="BG21" s="185">
        <f>SUMPRODUCT(BG53:BG64,CapacityYear1)*'01_Вводные'!$F$199*BG5</f>
        <v/>
      </c>
      <c r="BH21" s="185">
        <f>SUMPRODUCT(BH53:BH64,CapacityYear1)*'01_Вводные'!$F$199*BH5</f>
        <v/>
      </c>
      <c r="BI21" s="185">
        <f>SUMPRODUCT(BI53:BI64,CapacityYear1)*'01_Вводные'!$F$199*BI5</f>
        <v/>
      </c>
      <c r="BJ21" s="185">
        <f>SUMPRODUCT(BJ53:BJ64,CapacityYear1)*'01_Вводные'!$F$199*BJ5</f>
        <v/>
      </c>
      <c r="BK21" s="185">
        <f>SUMPRODUCT(BK53:BK64,CapacityYear1)*'01_Вводные'!$F$199*BK5</f>
        <v/>
      </c>
      <c r="BL21" s="185">
        <f>SUMPRODUCT(BL53:BL64,CapacityYear1)*'01_Вводные'!$F$199*BL5</f>
        <v/>
      </c>
      <c r="BM21" s="185">
        <f>SUMPRODUCT(BM53:BM64,CapacityYear1)*'01_Вводные'!$F$199*BM5</f>
        <v/>
      </c>
      <c r="BN21" s="185">
        <f>SUMPRODUCT(BN53:BN64,CapacityYear1)*'01_Вводные'!$F$199*BN5</f>
        <v/>
      </c>
      <c r="BO21" s="185">
        <f>SUMPRODUCT(BO53:BO64,CapacityYear1)*'01_Вводные'!$F$199*BO5</f>
        <v/>
      </c>
    </row>
    <row r="22">
      <c r="A22" s="2" t="inlineStr">
        <is>
          <t>Новые школы - дети в мес. 13-24, рост</t>
        </is>
      </c>
      <c r="B22" s="185">
        <f>SUMPRODUCT(B65:B76,CapacityYear2)*'01_Вводные'!$F$199*B5</f>
        <v/>
      </c>
      <c r="C22" s="185">
        <f>SUMPRODUCT(C65:C76,CapacityYear2)*'01_Вводные'!$F$199*C5</f>
        <v/>
      </c>
      <c r="D22" s="185">
        <f>SUMPRODUCT(D65:D76,CapacityYear2)*'01_Вводные'!$F$199*D5</f>
        <v/>
      </c>
      <c r="E22" s="185">
        <f>SUMPRODUCT(E65:E76,CapacityYear2)*'01_Вводные'!$F$199*E5</f>
        <v/>
      </c>
      <c r="F22" s="185">
        <f>SUMPRODUCT(F65:F76,CapacityYear2)*'01_Вводные'!$F$199*F5</f>
        <v/>
      </c>
      <c r="G22" s="185">
        <f>SUMPRODUCT(G65:G76,CapacityYear2)*'01_Вводные'!$F$199*G5</f>
        <v/>
      </c>
      <c r="H22" s="185">
        <f>SUMPRODUCT(H65:H76,CapacityYear2)*'01_Вводные'!$F$199*H5</f>
        <v/>
      </c>
      <c r="I22" s="185">
        <f>SUMPRODUCT(I65:I76,CapacityYear2)*'01_Вводные'!$F$199*I5</f>
        <v/>
      </c>
      <c r="J22" s="185">
        <f>SUMPRODUCT(J65:J76,CapacityYear2)*'01_Вводные'!$F$199*J5</f>
        <v/>
      </c>
      <c r="K22" s="185">
        <f>SUMPRODUCT(K65:K76,CapacityYear2)*'01_Вводные'!$F$199*K5</f>
        <v/>
      </c>
      <c r="L22" s="185">
        <f>SUMPRODUCT(L65:L76,CapacityYear2)*'01_Вводные'!$F$199*L5</f>
        <v/>
      </c>
      <c r="M22" s="185">
        <f>SUMPRODUCT(M65:M76,CapacityYear2)*'01_Вводные'!$F$199*M5</f>
        <v/>
      </c>
      <c r="N22" s="185">
        <f>SUMPRODUCT(N65:N76,CapacityYear2)*'01_Вводные'!$F$199*N5</f>
        <v/>
      </c>
      <c r="O22" s="185">
        <f>SUMPRODUCT(O65:O76,CapacityYear2)*'01_Вводные'!$F$199*O5</f>
        <v/>
      </c>
      <c r="P22" s="185">
        <f>SUMPRODUCT(P65:P76,CapacityYear2)*'01_Вводные'!$F$199*P5</f>
        <v/>
      </c>
      <c r="Q22" s="185">
        <f>SUMPRODUCT(Q65:Q76,CapacityYear2)*'01_Вводные'!$F$199*Q5</f>
        <v/>
      </c>
      <c r="R22" s="185">
        <f>SUMPRODUCT(R65:R76,CapacityYear2)*'01_Вводные'!$F$199*R5</f>
        <v/>
      </c>
      <c r="S22" s="185">
        <f>SUMPRODUCT(S65:S76,CapacityYear2)*'01_Вводные'!$F$199*S5</f>
        <v/>
      </c>
      <c r="T22" s="185">
        <f>SUMPRODUCT(T65:T76,CapacityYear2)*'01_Вводные'!$F$199*T5</f>
        <v/>
      </c>
      <c r="U22" s="185">
        <f>SUMPRODUCT(U65:U76,CapacityYear2)*'01_Вводные'!$F$199*U5</f>
        <v/>
      </c>
      <c r="V22" s="185">
        <f>SUMPRODUCT(V65:V76,CapacityYear2)*'01_Вводные'!$F$199*V5</f>
        <v/>
      </c>
      <c r="W22" s="185">
        <f>SUMPRODUCT(W65:W76,CapacityYear2)*'01_Вводные'!$F$199*W5</f>
        <v/>
      </c>
      <c r="X22" s="185">
        <f>SUMPRODUCT(X65:X76,CapacityYear2)*'01_Вводные'!$F$199*X5</f>
        <v/>
      </c>
      <c r="Y22" s="185">
        <f>SUMPRODUCT(Y65:Y76,CapacityYear2)*'01_Вводные'!$F$199*Y5</f>
        <v/>
      </c>
      <c r="Z22" s="185">
        <f>SUMPRODUCT(Z65:Z76,CapacityYear2)*'01_Вводные'!$F$199*Z5</f>
        <v/>
      </c>
      <c r="AA22" s="185">
        <f>SUMPRODUCT(AA65:AA76,CapacityYear2)*'01_Вводные'!$F$199*AA5</f>
        <v/>
      </c>
      <c r="AB22" s="185">
        <f>SUMPRODUCT(AB65:AB76,CapacityYear2)*'01_Вводные'!$F$199*AB5</f>
        <v/>
      </c>
      <c r="AC22" s="185">
        <f>SUMPRODUCT(AC65:AC76,CapacityYear2)*'01_Вводные'!$F$199*AC5</f>
        <v/>
      </c>
      <c r="AD22" s="185">
        <f>SUMPRODUCT(AD65:AD76,CapacityYear2)*'01_Вводные'!$F$199*AD5</f>
        <v/>
      </c>
      <c r="AE22" s="185">
        <f>SUMPRODUCT(AE65:AE76,CapacityYear2)*'01_Вводные'!$F$199*AE5</f>
        <v/>
      </c>
      <c r="AF22" s="185">
        <f>SUMPRODUCT(AF65:AF76,CapacityYear2)*'01_Вводные'!$F$199*AF5</f>
        <v/>
      </c>
      <c r="AG22" s="185">
        <f>SUMPRODUCT(AG65:AG76,CapacityYear2)*'01_Вводные'!$F$199*AG5</f>
        <v/>
      </c>
      <c r="AH22" s="185">
        <f>SUMPRODUCT(AH65:AH76,CapacityYear2)*'01_Вводные'!$F$199*AH5</f>
        <v/>
      </c>
      <c r="AI22" s="185">
        <f>SUMPRODUCT(AI65:AI76,CapacityYear2)*'01_Вводные'!$F$199*AI5</f>
        <v/>
      </c>
      <c r="AJ22" s="185">
        <f>SUMPRODUCT(AJ65:AJ76,CapacityYear2)*'01_Вводные'!$F$199*AJ5</f>
        <v/>
      </c>
      <c r="AK22" s="185">
        <f>SUMPRODUCT(AK65:AK76,CapacityYear2)*'01_Вводные'!$F$199*AK5</f>
        <v/>
      </c>
      <c r="AL22" s="185">
        <f>SUMPRODUCT(AL65:AL76,CapacityYear2)*'01_Вводные'!$F$199*AL5</f>
        <v/>
      </c>
      <c r="AM22" s="185">
        <f>SUMPRODUCT(AM65:AM76,CapacityYear2)*'01_Вводные'!$F$199*AM5</f>
        <v/>
      </c>
      <c r="AN22" s="185">
        <f>SUMPRODUCT(AN65:AN76,CapacityYear2)*'01_Вводные'!$F$199*AN5</f>
        <v/>
      </c>
      <c r="AO22" s="185">
        <f>SUMPRODUCT(AO65:AO76,CapacityYear2)*'01_Вводные'!$F$199*AO5</f>
        <v/>
      </c>
      <c r="AP22" s="185">
        <f>SUMPRODUCT(AP65:AP76,CapacityYear2)*'01_Вводные'!$F$199*AP5</f>
        <v/>
      </c>
      <c r="AQ22" s="185">
        <f>SUMPRODUCT(AQ65:AQ76,CapacityYear2)*'01_Вводные'!$F$199*AQ5</f>
        <v/>
      </c>
      <c r="AR22" s="185">
        <f>SUMPRODUCT(AR65:AR76,CapacityYear2)*'01_Вводные'!$F$199*AR5</f>
        <v/>
      </c>
      <c r="AS22" s="185">
        <f>SUMPRODUCT(AS65:AS76,CapacityYear2)*'01_Вводные'!$F$199*AS5</f>
        <v/>
      </c>
      <c r="AT22" s="185">
        <f>SUMPRODUCT(AT65:AT76,CapacityYear2)*'01_Вводные'!$F$199*AT5</f>
        <v/>
      </c>
      <c r="AU22" s="185">
        <f>SUMPRODUCT(AU65:AU76,CapacityYear2)*'01_Вводные'!$F$199*AU5</f>
        <v/>
      </c>
      <c r="AV22" s="185">
        <f>SUMPRODUCT(AV65:AV76,CapacityYear2)*'01_Вводные'!$F$199*AV5</f>
        <v/>
      </c>
      <c r="AW22" s="185">
        <f>SUMPRODUCT(AW65:AW76,CapacityYear2)*'01_Вводные'!$F$199*AW5</f>
        <v/>
      </c>
      <c r="AX22" s="185">
        <f>SUMPRODUCT(AX65:AX76,CapacityYear2)*'01_Вводные'!$F$199*AX5</f>
        <v/>
      </c>
      <c r="AY22" s="185">
        <f>SUMPRODUCT(AY65:AY76,CapacityYear2)*'01_Вводные'!$F$199*AY5</f>
        <v/>
      </c>
      <c r="AZ22" s="185">
        <f>SUMPRODUCT(AZ65:AZ76,CapacityYear2)*'01_Вводные'!$F$199*AZ5</f>
        <v/>
      </c>
      <c r="BA22" s="185">
        <f>SUMPRODUCT(BA65:BA76,CapacityYear2)*'01_Вводные'!$F$199*BA5</f>
        <v/>
      </c>
      <c r="BB22" s="185">
        <f>SUMPRODUCT(BB65:BB76,CapacityYear2)*'01_Вводные'!$F$199*BB5</f>
        <v/>
      </c>
      <c r="BC22" s="185">
        <f>SUMPRODUCT(BC65:BC76,CapacityYear2)*'01_Вводные'!$F$199*BC5</f>
        <v/>
      </c>
      <c r="BD22" s="185">
        <f>SUMPRODUCT(BD65:BD76,CapacityYear2)*'01_Вводные'!$F$199*BD5</f>
        <v/>
      </c>
      <c r="BE22" s="185">
        <f>SUMPRODUCT(BE65:BE76,CapacityYear2)*'01_Вводные'!$F$199*BE5</f>
        <v/>
      </c>
      <c r="BF22" s="185">
        <f>SUMPRODUCT(BF65:BF76,CapacityYear2)*'01_Вводные'!$F$199*BF5</f>
        <v/>
      </c>
      <c r="BG22" s="185">
        <f>SUMPRODUCT(BG65:BG76,CapacityYear2)*'01_Вводные'!$F$199*BG5</f>
        <v/>
      </c>
      <c r="BH22" s="185">
        <f>SUMPRODUCT(BH65:BH76,CapacityYear2)*'01_Вводные'!$F$199*BH5</f>
        <v/>
      </c>
      <c r="BI22" s="185">
        <f>SUMPRODUCT(BI65:BI76,CapacityYear2)*'01_Вводные'!$F$199*BI5</f>
        <v/>
      </c>
      <c r="BJ22" s="185">
        <f>SUMPRODUCT(BJ65:BJ76,CapacityYear2)*'01_Вводные'!$F$199*BJ5</f>
        <v/>
      </c>
      <c r="BK22" s="185">
        <f>SUMPRODUCT(BK65:BK76,CapacityYear2)*'01_Вводные'!$F$199*BK5</f>
        <v/>
      </c>
      <c r="BL22" s="185">
        <f>SUMPRODUCT(BL65:BL76,CapacityYear2)*'01_Вводные'!$F$199*BL5</f>
        <v/>
      </c>
      <c r="BM22" s="185">
        <f>SUMPRODUCT(BM65:BM76,CapacityYear2)*'01_Вводные'!$F$199*BM5</f>
        <v/>
      </c>
      <c r="BN22" s="185">
        <f>SUMPRODUCT(BN65:BN76,CapacityYear2)*'01_Вводные'!$F$199*BN5</f>
        <v/>
      </c>
      <c r="BO22" s="185">
        <f>SUMPRODUCT(BO65:BO76,CapacityYear2)*'01_Вводные'!$F$199*BO5</f>
        <v/>
      </c>
    </row>
    <row r="23">
      <c r="A23" s="2" t="inlineStr">
        <is>
          <t>Новые школы — дети зрелые</t>
        </is>
      </c>
      <c r="B23" s="185">
        <f>B77*CapacityAge25*'01_Вводные'!$F$199*B5</f>
        <v/>
      </c>
      <c r="C23" s="185">
        <f>C77*CapacityAge25*'01_Вводные'!$F$199*C5</f>
        <v/>
      </c>
      <c r="D23" s="185">
        <f>D77*CapacityAge25*'01_Вводные'!$F$199*D5</f>
        <v/>
      </c>
      <c r="E23" s="185">
        <f>E77*CapacityAge25*'01_Вводные'!$F$199*E5</f>
        <v/>
      </c>
      <c r="F23" s="185">
        <f>F77*CapacityAge25*'01_Вводные'!$F$199*F5</f>
        <v/>
      </c>
      <c r="G23" s="185">
        <f>G77*CapacityAge25*'01_Вводные'!$F$199*G5</f>
        <v/>
      </c>
      <c r="H23" s="185">
        <f>H77*CapacityAge25*'01_Вводные'!$F$199*H5</f>
        <v/>
      </c>
      <c r="I23" s="185">
        <f>I77*CapacityAge25*'01_Вводные'!$F$199*I5</f>
        <v/>
      </c>
      <c r="J23" s="185">
        <f>J77*CapacityAge25*'01_Вводные'!$F$199*J5</f>
        <v/>
      </c>
      <c r="K23" s="185">
        <f>K77*CapacityAge25*'01_Вводные'!$F$199*K5</f>
        <v/>
      </c>
      <c r="L23" s="185">
        <f>L77*CapacityAge25*'01_Вводные'!$F$199*L5</f>
        <v/>
      </c>
      <c r="M23" s="185">
        <f>M77*CapacityAge25*'01_Вводные'!$F$199*M5</f>
        <v/>
      </c>
      <c r="N23" s="185">
        <f>N77*CapacityAge25*'01_Вводные'!$F$199*N5</f>
        <v/>
      </c>
      <c r="O23" s="185">
        <f>O77*CapacityAge25*'01_Вводные'!$F$199*O5</f>
        <v/>
      </c>
      <c r="P23" s="185">
        <f>P77*CapacityAge25*'01_Вводные'!$F$199*P5</f>
        <v/>
      </c>
      <c r="Q23" s="185">
        <f>Q77*CapacityAge25*'01_Вводные'!$F$199*Q5</f>
        <v/>
      </c>
      <c r="R23" s="185">
        <f>R77*CapacityAge25*'01_Вводные'!$F$199*R5</f>
        <v/>
      </c>
      <c r="S23" s="185">
        <f>S77*CapacityAge25*'01_Вводные'!$F$199*S5</f>
        <v/>
      </c>
      <c r="T23" s="185">
        <f>T77*CapacityAge25*'01_Вводные'!$F$199*T5</f>
        <v/>
      </c>
      <c r="U23" s="185">
        <f>U77*CapacityAge25*'01_Вводные'!$F$199*U5</f>
        <v/>
      </c>
      <c r="V23" s="185">
        <f>V77*CapacityAge25*'01_Вводные'!$F$199*V5</f>
        <v/>
      </c>
      <c r="W23" s="185">
        <f>W77*CapacityAge25*'01_Вводные'!$F$199*W5</f>
        <v/>
      </c>
      <c r="X23" s="185">
        <f>X77*CapacityAge25*'01_Вводные'!$F$199*X5</f>
        <v/>
      </c>
      <c r="Y23" s="185">
        <f>Y77*CapacityAge25*'01_Вводные'!$F$199*Y5</f>
        <v/>
      </c>
      <c r="Z23" s="185">
        <f>Z77*CapacityAge25*'01_Вводные'!$F$199*Z5</f>
        <v/>
      </c>
      <c r="AA23" s="185">
        <f>AA77*CapacityAge25*'01_Вводные'!$F$199*AA5</f>
        <v/>
      </c>
      <c r="AB23" s="185">
        <f>AB77*CapacityAge25*'01_Вводные'!$F$199*AB5</f>
        <v/>
      </c>
      <c r="AC23" s="185">
        <f>AC77*CapacityAge25*'01_Вводные'!$F$199*AC5</f>
        <v/>
      </c>
      <c r="AD23" s="185">
        <f>AD77*CapacityAge25*'01_Вводные'!$F$199*AD5</f>
        <v/>
      </c>
      <c r="AE23" s="185">
        <f>AE77*CapacityAge25*'01_Вводные'!$F$199*AE5</f>
        <v/>
      </c>
      <c r="AF23" s="185">
        <f>AF77*CapacityAge25*'01_Вводные'!$F$199*AF5</f>
        <v/>
      </c>
      <c r="AG23" s="185">
        <f>AG77*CapacityAge25*'01_Вводные'!$F$199*AG5</f>
        <v/>
      </c>
      <c r="AH23" s="185">
        <f>AH77*CapacityAge25*'01_Вводные'!$F$199*AH5</f>
        <v/>
      </c>
      <c r="AI23" s="185">
        <f>AI77*CapacityAge25*'01_Вводные'!$F$199*AI5</f>
        <v/>
      </c>
      <c r="AJ23" s="185">
        <f>AJ77*CapacityAge25*'01_Вводные'!$F$199*AJ5</f>
        <v/>
      </c>
      <c r="AK23" s="185">
        <f>AK77*CapacityAge25*'01_Вводные'!$F$199*AK5</f>
        <v/>
      </c>
      <c r="AL23" s="185">
        <f>AL77*CapacityAge25*'01_Вводные'!$F$199*AL5</f>
        <v/>
      </c>
      <c r="AM23" s="185">
        <f>AM77*CapacityAge25*'01_Вводные'!$F$199*AM5</f>
        <v/>
      </c>
      <c r="AN23" s="185">
        <f>AN77*CapacityAge25*'01_Вводные'!$F$199*AN5</f>
        <v/>
      </c>
      <c r="AO23" s="185">
        <f>AO77*CapacityAge25*'01_Вводные'!$F$199*AO5</f>
        <v/>
      </c>
      <c r="AP23" s="185">
        <f>AP77*CapacityAge25*'01_Вводные'!$F$199*AP5</f>
        <v/>
      </c>
      <c r="AQ23" s="185">
        <f>AQ77*CapacityAge25*'01_Вводные'!$F$199*AQ5</f>
        <v/>
      </c>
      <c r="AR23" s="185">
        <f>AR77*CapacityAge25*'01_Вводные'!$F$199*AR5</f>
        <v/>
      </c>
      <c r="AS23" s="185">
        <f>AS77*CapacityAge25*'01_Вводные'!$F$199*AS5</f>
        <v/>
      </c>
      <c r="AT23" s="185">
        <f>AT77*CapacityAge25*'01_Вводные'!$F$199*AT5</f>
        <v/>
      </c>
      <c r="AU23" s="185">
        <f>AU77*CapacityAge25*'01_Вводные'!$F$199*AU5</f>
        <v/>
      </c>
      <c r="AV23" s="185">
        <f>AV77*CapacityAge25*'01_Вводные'!$F$199*AV5</f>
        <v/>
      </c>
      <c r="AW23" s="185">
        <f>AW77*CapacityAge25*'01_Вводные'!$F$199*AW5</f>
        <v/>
      </c>
      <c r="AX23" s="185">
        <f>AX77*CapacityAge25*'01_Вводные'!$F$199*AX5</f>
        <v/>
      </c>
      <c r="AY23" s="185">
        <f>AY77*CapacityAge25*'01_Вводные'!$F$199*AY5</f>
        <v/>
      </c>
      <c r="AZ23" s="185">
        <f>AZ77*CapacityAge25*'01_Вводные'!$F$199*AZ5</f>
        <v/>
      </c>
      <c r="BA23" s="185">
        <f>BA77*CapacityAge25*'01_Вводные'!$F$199*BA5</f>
        <v/>
      </c>
      <c r="BB23" s="185">
        <f>BB77*CapacityAge25*'01_Вводные'!$F$199*BB5</f>
        <v/>
      </c>
      <c r="BC23" s="185">
        <f>BC77*CapacityAge25*'01_Вводные'!$F$199*BC5</f>
        <v/>
      </c>
      <c r="BD23" s="185">
        <f>BD77*CapacityAge25*'01_Вводные'!$F$199*BD5</f>
        <v/>
      </c>
      <c r="BE23" s="185">
        <f>BE77*CapacityAge25*'01_Вводные'!$F$199*BE5</f>
        <v/>
      </c>
      <c r="BF23" s="185">
        <f>BF77*CapacityAge25*'01_Вводные'!$F$199*BF5</f>
        <v/>
      </c>
      <c r="BG23" s="185">
        <f>BG77*CapacityAge25*'01_Вводные'!$F$199*BG5</f>
        <v/>
      </c>
      <c r="BH23" s="185">
        <f>BH77*CapacityAge25*'01_Вводные'!$F$199*BH5</f>
        <v/>
      </c>
      <c r="BI23" s="185">
        <f>BI77*CapacityAge25*'01_Вводные'!$F$199*BI5</f>
        <v/>
      </c>
      <c r="BJ23" s="185">
        <f>BJ77*CapacityAge25*'01_Вводные'!$F$199*BJ5</f>
        <v/>
      </c>
      <c r="BK23" s="185">
        <f>BK77*CapacityAge25*'01_Вводные'!$F$199*BK5</f>
        <v/>
      </c>
      <c r="BL23" s="185">
        <f>BL77*CapacityAge25*'01_Вводные'!$F$199*BL5</f>
        <v/>
      </c>
      <c r="BM23" s="185">
        <f>BM77*CapacityAge25*'01_Вводные'!$F$199*BM5</f>
        <v/>
      </c>
      <c r="BN23" s="185">
        <f>BN77*CapacityAge25*'01_Вводные'!$F$199*BN5</f>
        <v/>
      </c>
      <c r="BO23" s="185">
        <f>BO77*CapacityAge25*'01_Вводные'!$F$199*BO5</f>
        <v/>
      </c>
    </row>
    <row r="24">
      <c r="A24" s="10" t="inlineStr">
        <is>
          <t>Новые школы — дети всего</t>
        </is>
      </c>
      <c r="B24" s="43">
        <f>SUM(B21:B23)</f>
        <v/>
      </c>
      <c r="C24" s="43">
        <f>SUM(C21:C23)</f>
        <v/>
      </c>
      <c r="D24" s="43">
        <f>SUM(D21:D23)</f>
        <v/>
      </c>
      <c r="E24" s="43">
        <f>SUM(E21:E23)</f>
        <v/>
      </c>
      <c r="F24" s="43">
        <f>SUM(F21:F23)</f>
        <v/>
      </c>
      <c r="G24" s="43">
        <f>SUM(G21:G23)</f>
        <v/>
      </c>
      <c r="H24" s="43">
        <f>SUM(H21:H23)</f>
        <v/>
      </c>
      <c r="I24" s="43">
        <f>SUM(I21:I23)</f>
        <v/>
      </c>
      <c r="J24" s="43">
        <f>SUM(J21:J23)</f>
        <v/>
      </c>
      <c r="K24" s="43">
        <f>SUM(K21:K23)</f>
        <v/>
      </c>
      <c r="L24" s="43">
        <f>SUM(L21:L23)</f>
        <v/>
      </c>
      <c r="M24" s="43">
        <f>SUM(M21:M23)</f>
        <v/>
      </c>
      <c r="N24" s="43">
        <f>SUM(N21:N23)</f>
        <v/>
      </c>
      <c r="O24" s="43">
        <f>SUM(O21:O23)</f>
        <v/>
      </c>
      <c r="P24" s="43">
        <f>SUM(P21:P23)</f>
        <v/>
      </c>
      <c r="Q24" s="43">
        <f>SUM(Q21:Q23)</f>
        <v/>
      </c>
      <c r="R24" s="43">
        <f>SUM(R21:R23)</f>
        <v/>
      </c>
      <c r="S24" s="43">
        <f>SUM(S21:S23)</f>
        <v/>
      </c>
      <c r="T24" s="43">
        <f>SUM(T21:T23)</f>
        <v/>
      </c>
      <c r="U24" s="43">
        <f>SUM(U21:U23)</f>
        <v/>
      </c>
      <c r="V24" s="43">
        <f>SUM(V21:V23)</f>
        <v/>
      </c>
      <c r="W24" s="43">
        <f>SUM(W21:W23)</f>
        <v/>
      </c>
      <c r="X24" s="43">
        <f>SUM(X21:X23)</f>
        <v/>
      </c>
      <c r="Y24" s="43">
        <f>SUM(Y21:Y23)</f>
        <v/>
      </c>
      <c r="Z24" s="43">
        <f>SUM(Z21:Z23)</f>
        <v/>
      </c>
      <c r="AA24" s="43">
        <f>SUM(AA21:AA23)</f>
        <v/>
      </c>
      <c r="AB24" s="43">
        <f>SUM(AB21:AB23)</f>
        <v/>
      </c>
      <c r="AC24" s="43">
        <f>SUM(AC21:AC23)</f>
        <v/>
      </c>
      <c r="AD24" s="43">
        <f>SUM(AD21:AD23)</f>
        <v/>
      </c>
      <c r="AE24" s="43">
        <f>SUM(AE21:AE23)</f>
        <v/>
      </c>
      <c r="AF24" s="43">
        <f>SUM(AF21:AF23)</f>
        <v/>
      </c>
      <c r="AG24" s="43">
        <f>SUM(AG21:AG23)</f>
        <v/>
      </c>
      <c r="AH24" s="43">
        <f>SUM(AH21:AH23)</f>
        <v/>
      </c>
      <c r="AI24" s="43">
        <f>SUM(AI21:AI23)</f>
        <v/>
      </c>
      <c r="AJ24" s="43">
        <f>SUM(AJ21:AJ23)</f>
        <v/>
      </c>
      <c r="AK24" s="43">
        <f>SUM(AK21:AK23)</f>
        <v/>
      </c>
      <c r="AL24" s="43">
        <f>SUM(AL21:AL23)</f>
        <v/>
      </c>
      <c r="AM24" s="43">
        <f>SUM(AM21:AM23)</f>
        <v/>
      </c>
      <c r="AN24" s="43">
        <f>SUM(AN21:AN23)</f>
        <v/>
      </c>
      <c r="AO24" s="43">
        <f>SUM(AO21:AO23)</f>
        <v/>
      </c>
      <c r="AP24" s="43">
        <f>SUM(AP21:AP23)</f>
        <v/>
      </c>
      <c r="AQ24" s="43">
        <f>SUM(AQ21:AQ23)</f>
        <v/>
      </c>
      <c r="AR24" s="43">
        <f>SUM(AR21:AR23)</f>
        <v/>
      </c>
      <c r="AS24" s="43">
        <f>SUM(AS21:AS23)</f>
        <v/>
      </c>
      <c r="AT24" s="43">
        <f>SUM(AT21:AT23)</f>
        <v/>
      </c>
      <c r="AU24" s="43">
        <f>SUM(AU21:AU23)</f>
        <v/>
      </c>
      <c r="AV24" s="43">
        <f>SUM(AV21:AV23)</f>
        <v/>
      </c>
      <c r="AW24" s="43">
        <f>SUM(AW21:AW23)</f>
        <v/>
      </c>
      <c r="AX24" s="43">
        <f>SUM(AX21:AX23)</f>
        <v/>
      </c>
      <c r="AY24" s="43">
        <f>SUM(AY21:AY23)</f>
        <v/>
      </c>
      <c r="AZ24" s="43">
        <f>SUM(AZ21:AZ23)</f>
        <v/>
      </c>
      <c r="BA24" s="43">
        <f>SUM(BA21:BA23)</f>
        <v/>
      </c>
      <c r="BB24" s="43">
        <f>SUM(BB21:BB23)</f>
        <v/>
      </c>
      <c r="BC24" s="43">
        <f>SUM(BC21:BC23)</f>
        <v/>
      </c>
      <c r="BD24" s="43">
        <f>SUM(BD21:BD23)</f>
        <v/>
      </c>
      <c r="BE24" s="43">
        <f>SUM(BE21:BE23)</f>
        <v/>
      </c>
      <c r="BF24" s="43">
        <f>SUM(BF21:BF23)</f>
        <v/>
      </c>
      <c r="BG24" s="43">
        <f>SUM(BG21:BG23)</f>
        <v/>
      </c>
      <c r="BH24" s="43">
        <f>SUM(BH21:BH23)</f>
        <v/>
      </c>
      <c r="BI24" s="43">
        <f>SUM(BI21:BI23)</f>
        <v/>
      </c>
      <c r="BJ24" s="43">
        <f>SUM(BJ21:BJ23)</f>
        <v/>
      </c>
      <c r="BK24" s="43">
        <f>SUM(BK21:BK23)</f>
        <v/>
      </c>
      <c r="BL24" s="43">
        <f>SUM(BL21:BL23)</f>
        <v/>
      </c>
      <c r="BM24" s="43">
        <f>SUM(BM21:BM23)</f>
        <v/>
      </c>
      <c r="BN24" s="43">
        <f>SUM(BN21:BN23)</f>
        <v/>
      </c>
      <c r="BO24" s="43">
        <f>SUM(BO21:BO23)</f>
        <v/>
      </c>
    </row>
    <row r="25">
      <c r="A25" s="10" t="inlineStr">
        <is>
          <t>Всего активных детей</t>
        </is>
      </c>
      <c r="B25" s="43">
        <f>B20+B24</f>
        <v/>
      </c>
      <c r="C25" s="43">
        <f>C20+C24</f>
        <v/>
      </c>
      <c r="D25" s="43">
        <f>D20+D24</f>
        <v/>
      </c>
      <c r="E25" s="43">
        <f>E20+E24</f>
        <v/>
      </c>
      <c r="F25" s="43">
        <f>F20+F24</f>
        <v/>
      </c>
      <c r="G25" s="43">
        <f>G20+G24</f>
        <v/>
      </c>
      <c r="H25" s="43">
        <f>H20+H24</f>
        <v/>
      </c>
      <c r="I25" s="43">
        <f>I20+I24</f>
        <v/>
      </c>
      <c r="J25" s="43">
        <f>J20+J24</f>
        <v/>
      </c>
      <c r="K25" s="43">
        <f>K20+K24</f>
        <v/>
      </c>
      <c r="L25" s="43">
        <f>L20+L24</f>
        <v/>
      </c>
      <c r="M25" s="43">
        <f>M20+M24</f>
        <v/>
      </c>
      <c r="N25" s="43">
        <f>N20+N24</f>
        <v/>
      </c>
      <c r="O25" s="43">
        <f>O20+O24</f>
        <v/>
      </c>
      <c r="P25" s="43">
        <f>P20+P24</f>
        <v/>
      </c>
      <c r="Q25" s="43">
        <f>Q20+Q24</f>
        <v/>
      </c>
      <c r="R25" s="43">
        <f>R20+R24</f>
        <v/>
      </c>
      <c r="S25" s="43">
        <f>S20+S24</f>
        <v/>
      </c>
      <c r="T25" s="43">
        <f>T20+T24</f>
        <v/>
      </c>
      <c r="U25" s="43">
        <f>U20+U24</f>
        <v/>
      </c>
      <c r="V25" s="43">
        <f>V20+V24</f>
        <v/>
      </c>
      <c r="W25" s="43">
        <f>W20+W24</f>
        <v/>
      </c>
      <c r="X25" s="43">
        <f>X20+X24</f>
        <v/>
      </c>
      <c r="Y25" s="43">
        <f>Y20+Y24</f>
        <v/>
      </c>
      <c r="Z25" s="43">
        <f>Z20+Z24</f>
        <v/>
      </c>
      <c r="AA25" s="43">
        <f>AA20+AA24</f>
        <v/>
      </c>
      <c r="AB25" s="43">
        <f>AB20+AB24</f>
        <v/>
      </c>
      <c r="AC25" s="43">
        <f>AC20+AC24</f>
        <v/>
      </c>
      <c r="AD25" s="43">
        <f>AD20+AD24</f>
        <v/>
      </c>
      <c r="AE25" s="43">
        <f>AE20+AE24</f>
        <v/>
      </c>
      <c r="AF25" s="43">
        <f>AF20+AF24</f>
        <v/>
      </c>
      <c r="AG25" s="43">
        <f>AG20+AG24</f>
        <v/>
      </c>
      <c r="AH25" s="43">
        <f>AH20+AH24</f>
        <v/>
      </c>
      <c r="AI25" s="43">
        <f>AI20+AI24</f>
        <v/>
      </c>
      <c r="AJ25" s="43">
        <f>AJ20+AJ24</f>
        <v/>
      </c>
      <c r="AK25" s="43">
        <f>AK20+AK24</f>
        <v/>
      </c>
      <c r="AL25" s="43">
        <f>AL20+AL24</f>
        <v/>
      </c>
      <c r="AM25" s="43">
        <f>AM20+AM24</f>
        <v/>
      </c>
      <c r="AN25" s="43">
        <f>AN20+AN24</f>
        <v/>
      </c>
      <c r="AO25" s="43">
        <f>AO20+AO24</f>
        <v/>
      </c>
      <c r="AP25" s="43">
        <f>AP20+AP24</f>
        <v/>
      </c>
      <c r="AQ25" s="43">
        <f>AQ20+AQ24</f>
        <v/>
      </c>
      <c r="AR25" s="43">
        <f>AR20+AR24</f>
        <v/>
      </c>
      <c r="AS25" s="43">
        <f>AS20+AS24</f>
        <v/>
      </c>
      <c r="AT25" s="43">
        <f>AT20+AT24</f>
        <v/>
      </c>
      <c r="AU25" s="43">
        <f>AU20+AU24</f>
        <v/>
      </c>
      <c r="AV25" s="43">
        <f>AV20+AV24</f>
        <v/>
      </c>
      <c r="AW25" s="43">
        <f>AW20+AW24</f>
        <v/>
      </c>
      <c r="AX25" s="43">
        <f>AX20+AX24</f>
        <v/>
      </c>
      <c r="AY25" s="43">
        <f>AY20+AY24</f>
        <v/>
      </c>
      <c r="AZ25" s="43">
        <f>AZ20+AZ24</f>
        <v/>
      </c>
      <c r="BA25" s="43">
        <f>BA20+BA24</f>
        <v/>
      </c>
      <c r="BB25" s="43">
        <f>BB20+BB24</f>
        <v/>
      </c>
      <c r="BC25" s="43">
        <f>BC20+BC24</f>
        <v/>
      </c>
      <c r="BD25" s="43">
        <f>BD20+BD24</f>
        <v/>
      </c>
      <c r="BE25" s="43">
        <f>BE20+BE24</f>
        <v/>
      </c>
      <c r="BF25" s="43">
        <f>BF20+BF24</f>
        <v/>
      </c>
      <c r="BG25" s="43">
        <f>BG20+BG24</f>
        <v/>
      </c>
      <c r="BH25" s="43">
        <f>BH20+BH24</f>
        <v/>
      </c>
      <c r="BI25" s="43">
        <f>BI20+BI24</f>
        <v/>
      </c>
      <c r="BJ25" s="43">
        <f>BJ20+BJ24</f>
        <v/>
      </c>
      <c r="BK25" s="43">
        <f>BK20+BK24</f>
        <v/>
      </c>
      <c r="BL25" s="43">
        <f>BL20+BL24</f>
        <v/>
      </c>
      <c r="BM25" s="43">
        <f>BM20+BM24</f>
        <v/>
      </c>
      <c r="BN25" s="43">
        <f>BN20+BN24</f>
        <v/>
      </c>
      <c r="BO25" s="43">
        <f>BO20+BO24</f>
        <v/>
      </c>
    </row>
    <row r="26">
      <c r="B26" s="73" t="n"/>
      <c r="C26" s="73" t="n"/>
      <c r="D26" s="73" t="n"/>
      <c r="E26" s="73" t="n"/>
      <c r="F26" s="73" t="n"/>
      <c r="G26" s="73" t="n"/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S26" s="73" t="n"/>
      <c r="T26" s="73" t="n"/>
      <c r="U26" s="73" t="n"/>
      <c r="V26" s="73" t="n"/>
      <c r="W26" s="73" t="n"/>
      <c r="X26" s="73" t="n"/>
      <c r="Y26" s="73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  <c r="AM26" s="73" t="n"/>
      <c r="AN26" s="73" t="n"/>
      <c r="AO26" s="73" t="n"/>
      <c r="AP26" s="73" t="n"/>
      <c r="AQ26" s="73" t="n"/>
      <c r="AR26" s="73" t="n"/>
      <c r="AS26" s="73" t="n"/>
      <c r="AT26" s="73" t="n"/>
      <c r="AU26" s="73" t="n"/>
      <c r="AV26" s="73" t="n"/>
      <c r="AW26" s="73" t="n"/>
      <c r="AX26" s="73" t="n"/>
      <c r="AY26" s="73" t="n"/>
      <c r="AZ26" s="73" t="n"/>
      <c r="BA26" s="73" t="n"/>
      <c r="BB26" s="73" t="n"/>
      <c r="BC26" s="73" t="n"/>
      <c r="BD26" s="73" t="n"/>
      <c r="BE26" s="73" t="n"/>
      <c r="BF26" s="73" t="n"/>
      <c r="BG26" s="73" t="n"/>
      <c r="BH26" s="73" t="n"/>
      <c r="BI26" s="73" t="n"/>
      <c r="BJ26" s="73" t="n"/>
      <c r="BK26" s="73" t="n"/>
      <c r="BL26" s="73" t="n"/>
      <c r="BM26" s="73" t="n"/>
      <c r="BN26" s="73" t="n"/>
      <c r="BO26" s="73" t="n"/>
    </row>
    <row r="27" ht="20" customHeight="1">
      <c r="A27" s="4" t="inlineStr">
        <is>
          <t>Роялти</t>
        </is>
      </c>
    </row>
    <row r="28">
      <c r="A28" s="2" t="inlineStr">
        <is>
          <t>Роялти действующей сети, с НДС</t>
        </is>
      </c>
      <c r="B28" s="185">
        <f>SUMPRODUCT(('01_Вводные'!$D$314:$D$318*'01_Вводные'!$B$314:$B$318*IF('01_Вводные'!$B$9=0,0,B11/'01_Вводные'!$B$9)+B20*'18_Календарь_тарифы'!B8*'01_Вводные'!$C$314:$C$318*('01_Вводные'!$E$314:$E$318*(B$3&lt;'01_Вводные'!$B$245)+'01_Вводные'!$B$57*(B$3&gt;='01_Вводные'!$B$245))+ABS('01_Вводные'!$D$314:$D$318*'01_Вводные'!$B$314:$B$318*IF('01_Вводные'!$B$9=0,0,B11/'01_Вводные'!$B$9)-B20*'18_Календарь_тарифы'!B8*'01_Вводные'!$C$314:$C$318*('01_Вводные'!$E$314:$E$318*(B$3&lt;'01_Вводные'!$B$245)+'01_Вводные'!$B$57*(B$3&gt;='01_Вводные'!$B$245))))/2)</f>
        <v/>
      </c>
      <c r="C28" s="185">
        <f>SUMPRODUCT(('01_Вводные'!$D$314:$D$318*'01_Вводные'!$B$314:$B$318*IF('01_Вводные'!$B$9=0,0,C11/'01_Вводные'!$B$9)+C20*'18_Календарь_тарифы'!C8*'01_Вводные'!$C$314:$C$318*('01_Вводные'!$E$314:$E$318*(C$3&lt;'01_Вводные'!$B$245)+'01_Вводные'!$B$57*(C$3&gt;='01_Вводные'!$B$245))+ABS('01_Вводные'!$D$314:$D$318*'01_Вводные'!$B$314:$B$318*IF('01_Вводные'!$B$9=0,0,C11/'01_Вводные'!$B$9)-C20*'18_Календарь_тарифы'!C8*'01_Вводные'!$C$314:$C$318*('01_Вводные'!$E$314:$E$318*(C$3&lt;'01_Вводные'!$B$245)+'01_Вводные'!$B$57*(C$3&gt;='01_Вводные'!$B$245))))/2)</f>
        <v/>
      </c>
      <c r="D28" s="185">
        <f>SUMPRODUCT(('01_Вводные'!$D$314:$D$318*'01_Вводные'!$B$314:$B$318*IF('01_Вводные'!$B$9=0,0,D11/'01_Вводные'!$B$9)+D20*'18_Календарь_тарифы'!D8*'01_Вводные'!$C$314:$C$318*('01_Вводные'!$E$314:$E$318*(D$3&lt;'01_Вводные'!$B$245)+'01_Вводные'!$B$57*(D$3&gt;='01_Вводные'!$B$245))+ABS('01_Вводные'!$D$314:$D$318*'01_Вводные'!$B$314:$B$318*IF('01_Вводные'!$B$9=0,0,D11/'01_Вводные'!$B$9)-D20*'18_Календарь_тарифы'!D8*'01_Вводные'!$C$314:$C$318*('01_Вводные'!$E$314:$E$318*(D$3&lt;'01_Вводные'!$B$245)+'01_Вводные'!$B$57*(D$3&gt;='01_Вводные'!$B$245))))/2)</f>
        <v/>
      </c>
      <c r="E28" s="185">
        <f>SUMPRODUCT(('01_Вводные'!$D$314:$D$318*'01_Вводные'!$B$314:$B$318*IF('01_Вводные'!$B$9=0,0,E11/'01_Вводные'!$B$9)+E20*'18_Календарь_тарифы'!E8*'01_Вводные'!$C$314:$C$318*('01_Вводные'!$E$314:$E$318*(E$3&lt;'01_Вводные'!$B$245)+'01_Вводные'!$B$57*(E$3&gt;='01_Вводные'!$B$245))+ABS('01_Вводные'!$D$314:$D$318*'01_Вводные'!$B$314:$B$318*IF('01_Вводные'!$B$9=0,0,E11/'01_Вводные'!$B$9)-E20*'18_Календарь_тарифы'!E8*'01_Вводные'!$C$314:$C$318*('01_Вводные'!$E$314:$E$318*(E$3&lt;'01_Вводные'!$B$245)+'01_Вводные'!$B$57*(E$3&gt;='01_Вводные'!$B$245))))/2)</f>
        <v/>
      </c>
      <c r="F28" s="185">
        <f>SUMPRODUCT(('01_Вводные'!$D$314:$D$318*'01_Вводные'!$B$314:$B$318*IF('01_Вводные'!$B$9=0,0,F11/'01_Вводные'!$B$9)+F20*'18_Календарь_тарифы'!F8*'01_Вводные'!$C$314:$C$318*('01_Вводные'!$E$314:$E$318*(F$3&lt;'01_Вводные'!$B$245)+'01_Вводные'!$B$57*(F$3&gt;='01_Вводные'!$B$245))+ABS('01_Вводные'!$D$314:$D$318*'01_Вводные'!$B$314:$B$318*IF('01_Вводные'!$B$9=0,0,F11/'01_Вводные'!$B$9)-F20*'18_Календарь_тарифы'!F8*'01_Вводные'!$C$314:$C$318*('01_Вводные'!$E$314:$E$318*(F$3&lt;'01_Вводные'!$B$245)+'01_Вводные'!$B$57*(F$3&gt;='01_Вводные'!$B$245))))/2)</f>
        <v/>
      </c>
      <c r="G28" s="185">
        <f>SUMPRODUCT(('01_Вводные'!$D$314:$D$318*'01_Вводные'!$B$314:$B$318*IF('01_Вводные'!$B$9=0,0,G11/'01_Вводные'!$B$9)+G20*'18_Календарь_тарифы'!G8*'01_Вводные'!$C$314:$C$318*('01_Вводные'!$E$314:$E$318*(G$3&lt;'01_Вводные'!$B$245)+'01_Вводные'!$B$57*(G$3&gt;='01_Вводные'!$B$245))+ABS('01_Вводные'!$D$314:$D$318*'01_Вводные'!$B$314:$B$318*IF('01_Вводные'!$B$9=0,0,G11/'01_Вводные'!$B$9)-G20*'18_Календарь_тарифы'!G8*'01_Вводные'!$C$314:$C$318*('01_Вводные'!$E$314:$E$318*(G$3&lt;'01_Вводные'!$B$245)+'01_Вводные'!$B$57*(G$3&gt;='01_Вводные'!$B$245))))/2)</f>
        <v/>
      </c>
      <c r="H28" s="185">
        <f>SUMPRODUCT(('01_Вводные'!$D$314:$D$318*'01_Вводные'!$B$314:$B$318*IF('01_Вводные'!$B$9=0,0,H11/'01_Вводные'!$B$9)+H20*'18_Календарь_тарифы'!H8*'01_Вводные'!$C$314:$C$318*('01_Вводные'!$E$314:$E$318*(H$3&lt;'01_Вводные'!$B$245)+'01_Вводные'!$B$57*(H$3&gt;='01_Вводные'!$B$245))+ABS('01_Вводные'!$D$314:$D$318*'01_Вводные'!$B$314:$B$318*IF('01_Вводные'!$B$9=0,0,H11/'01_Вводные'!$B$9)-H20*'18_Календарь_тарифы'!H8*'01_Вводные'!$C$314:$C$318*('01_Вводные'!$E$314:$E$318*(H$3&lt;'01_Вводные'!$B$245)+'01_Вводные'!$B$57*(H$3&gt;='01_Вводные'!$B$245))))/2)</f>
        <v/>
      </c>
      <c r="I28" s="185">
        <f>SUMPRODUCT(('01_Вводные'!$D$314:$D$318*'01_Вводные'!$B$314:$B$318*IF('01_Вводные'!$B$9=0,0,I11/'01_Вводные'!$B$9)+I20*'18_Календарь_тарифы'!I8*'01_Вводные'!$C$314:$C$318*('01_Вводные'!$E$314:$E$318*(I$3&lt;'01_Вводные'!$B$245)+'01_Вводные'!$B$57*(I$3&gt;='01_Вводные'!$B$245))+ABS('01_Вводные'!$D$314:$D$318*'01_Вводные'!$B$314:$B$318*IF('01_Вводные'!$B$9=0,0,I11/'01_Вводные'!$B$9)-I20*'18_Календарь_тарифы'!I8*'01_Вводные'!$C$314:$C$318*('01_Вводные'!$E$314:$E$318*(I$3&lt;'01_Вводные'!$B$245)+'01_Вводные'!$B$57*(I$3&gt;='01_Вводные'!$B$245))))/2)</f>
        <v/>
      </c>
      <c r="J28" s="185">
        <f>SUMPRODUCT(('01_Вводные'!$D$314:$D$318*'01_Вводные'!$B$314:$B$318*IF('01_Вводные'!$B$9=0,0,J11/'01_Вводные'!$B$9)+J20*'18_Календарь_тарифы'!J8*'01_Вводные'!$C$314:$C$318*('01_Вводные'!$E$314:$E$318*(J$3&lt;'01_Вводные'!$B$245)+'01_Вводные'!$B$57*(J$3&gt;='01_Вводные'!$B$245))+ABS('01_Вводные'!$D$314:$D$318*'01_Вводные'!$B$314:$B$318*IF('01_Вводные'!$B$9=0,0,J11/'01_Вводные'!$B$9)-J20*'18_Календарь_тарифы'!J8*'01_Вводные'!$C$314:$C$318*('01_Вводные'!$E$314:$E$318*(J$3&lt;'01_Вводные'!$B$245)+'01_Вводные'!$B$57*(J$3&gt;='01_Вводные'!$B$245))))/2)</f>
        <v/>
      </c>
      <c r="K28" s="185">
        <f>SUMPRODUCT(('01_Вводные'!$D$314:$D$318*'01_Вводные'!$B$314:$B$318*IF('01_Вводные'!$B$9=0,0,K11/'01_Вводные'!$B$9)+K20*'18_Календарь_тарифы'!K8*'01_Вводные'!$C$314:$C$318*('01_Вводные'!$E$314:$E$318*(K$3&lt;'01_Вводные'!$B$245)+'01_Вводные'!$B$57*(K$3&gt;='01_Вводные'!$B$245))+ABS('01_Вводные'!$D$314:$D$318*'01_Вводные'!$B$314:$B$318*IF('01_Вводные'!$B$9=0,0,K11/'01_Вводные'!$B$9)-K20*'18_Календарь_тарифы'!K8*'01_Вводные'!$C$314:$C$318*('01_Вводные'!$E$314:$E$318*(K$3&lt;'01_Вводные'!$B$245)+'01_Вводные'!$B$57*(K$3&gt;='01_Вводные'!$B$245))))/2)</f>
        <v/>
      </c>
      <c r="L28" s="185">
        <f>SUMPRODUCT(('01_Вводные'!$D$314:$D$318*'01_Вводные'!$B$314:$B$318*IF('01_Вводные'!$B$9=0,0,L11/'01_Вводные'!$B$9)+L20*'18_Календарь_тарифы'!L8*'01_Вводные'!$C$314:$C$318*('01_Вводные'!$E$314:$E$318*(L$3&lt;'01_Вводные'!$B$245)+'01_Вводные'!$B$57*(L$3&gt;='01_Вводные'!$B$245))+ABS('01_Вводные'!$D$314:$D$318*'01_Вводные'!$B$314:$B$318*IF('01_Вводные'!$B$9=0,0,L11/'01_Вводные'!$B$9)-L20*'18_Календарь_тарифы'!L8*'01_Вводные'!$C$314:$C$318*('01_Вводные'!$E$314:$E$318*(L$3&lt;'01_Вводные'!$B$245)+'01_Вводные'!$B$57*(L$3&gt;='01_Вводные'!$B$245))))/2)</f>
        <v/>
      </c>
      <c r="M28" s="185">
        <f>SUMPRODUCT(('01_Вводные'!$D$314:$D$318*'01_Вводные'!$B$314:$B$318*IF('01_Вводные'!$B$9=0,0,M11/'01_Вводные'!$B$9)+M20*'18_Календарь_тарифы'!M8*'01_Вводные'!$C$314:$C$318*('01_Вводные'!$E$314:$E$318*(M$3&lt;'01_Вводные'!$B$245)+'01_Вводные'!$B$57*(M$3&gt;='01_Вводные'!$B$245))+ABS('01_Вводные'!$D$314:$D$318*'01_Вводные'!$B$314:$B$318*IF('01_Вводные'!$B$9=0,0,M11/'01_Вводные'!$B$9)-M20*'18_Календарь_тарифы'!M8*'01_Вводные'!$C$314:$C$318*('01_Вводные'!$E$314:$E$318*(M$3&lt;'01_Вводные'!$B$245)+'01_Вводные'!$B$57*(M$3&gt;='01_Вводные'!$B$245))))/2)</f>
        <v/>
      </c>
      <c r="N28" s="185">
        <f>SUMPRODUCT(('01_Вводные'!$D$314:$D$318*'01_Вводные'!$B$314:$B$318*IF('01_Вводные'!$B$9=0,0,N11/'01_Вводные'!$B$9)+N20*'18_Календарь_тарифы'!N8*'01_Вводные'!$C$314:$C$318*('01_Вводные'!$E$314:$E$318*(N$3&lt;'01_Вводные'!$B$245)+'01_Вводные'!$B$57*(N$3&gt;='01_Вводные'!$B$245))+ABS('01_Вводные'!$D$314:$D$318*'01_Вводные'!$B$314:$B$318*IF('01_Вводные'!$B$9=0,0,N11/'01_Вводные'!$B$9)-N20*'18_Календарь_тарифы'!N8*'01_Вводные'!$C$314:$C$318*('01_Вводные'!$E$314:$E$318*(N$3&lt;'01_Вводные'!$B$245)+'01_Вводные'!$B$57*(N$3&gt;='01_Вводные'!$B$245))))/2)</f>
        <v/>
      </c>
      <c r="O28" s="185">
        <f>SUMPRODUCT(('01_Вводные'!$D$314:$D$318*'01_Вводные'!$B$314:$B$318*IF('01_Вводные'!$B$9=0,0,O11/'01_Вводные'!$B$9)+O20*'18_Календарь_тарифы'!O8*'01_Вводные'!$C$314:$C$318*('01_Вводные'!$E$314:$E$318*(O$3&lt;'01_Вводные'!$B$245)+'01_Вводные'!$B$57*(O$3&gt;='01_Вводные'!$B$245))+ABS('01_Вводные'!$D$314:$D$318*'01_Вводные'!$B$314:$B$318*IF('01_Вводные'!$B$9=0,0,O11/'01_Вводные'!$B$9)-O20*'18_Календарь_тарифы'!O8*'01_Вводные'!$C$314:$C$318*('01_Вводные'!$E$314:$E$318*(O$3&lt;'01_Вводные'!$B$245)+'01_Вводные'!$B$57*(O$3&gt;='01_Вводные'!$B$245))))/2)</f>
        <v/>
      </c>
      <c r="P28" s="185">
        <f>SUMPRODUCT(('01_Вводные'!$D$314:$D$318*'01_Вводные'!$B$314:$B$318*IF('01_Вводные'!$B$9=0,0,P11/'01_Вводные'!$B$9)+P20*'18_Календарь_тарифы'!P8*'01_Вводные'!$C$314:$C$318*('01_Вводные'!$E$314:$E$318*(P$3&lt;'01_Вводные'!$B$245)+'01_Вводные'!$B$57*(P$3&gt;='01_Вводные'!$B$245))+ABS('01_Вводные'!$D$314:$D$318*'01_Вводные'!$B$314:$B$318*IF('01_Вводные'!$B$9=0,0,P11/'01_Вводные'!$B$9)-P20*'18_Календарь_тарифы'!P8*'01_Вводные'!$C$314:$C$318*('01_Вводные'!$E$314:$E$318*(P$3&lt;'01_Вводные'!$B$245)+'01_Вводные'!$B$57*(P$3&gt;='01_Вводные'!$B$245))))/2)</f>
        <v/>
      </c>
      <c r="Q28" s="185">
        <f>SUMPRODUCT(('01_Вводные'!$D$314:$D$318*'01_Вводные'!$B$314:$B$318*IF('01_Вводные'!$B$9=0,0,Q11/'01_Вводные'!$B$9)+Q20*'18_Календарь_тарифы'!Q8*'01_Вводные'!$C$314:$C$318*('01_Вводные'!$E$314:$E$318*(Q$3&lt;'01_Вводные'!$B$245)+'01_Вводные'!$B$57*(Q$3&gt;='01_Вводные'!$B$245))+ABS('01_Вводные'!$D$314:$D$318*'01_Вводные'!$B$314:$B$318*IF('01_Вводные'!$B$9=0,0,Q11/'01_Вводные'!$B$9)-Q20*'18_Календарь_тарифы'!Q8*'01_Вводные'!$C$314:$C$318*('01_Вводные'!$E$314:$E$318*(Q$3&lt;'01_Вводные'!$B$245)+'01_Вводные'!$B$57*(Q$3&gt;='01_Вводные'!$B$245))))/2)</f>
        <v/>
      </c>
      <c r="R28" s="185">
        <f>SUMPRODUCT(('01_Вводные'!$D$314:$D$318*'01_Вводные'!$B$314:$B$318*IF('01_Вводные'!$B$9=0,0,R11/'01_Вводные'!$B$9)+R20*'18_Календарь_тарифы'!R8*'01_Вводные'!$C$314:$C$318*('01_Вводные'!$E$314:$E$318*(R$3&lt;'01_Вводные'!$B$245)+'01_Вводные'!$B$57*(R$3&gt;='01_Вводные'!$B$245))+ABS('01_Вводные'!$D$314:$D$318*'01_Вводные'!$B$314:$B$318*IF('01_Вводные'!$B$9=0,0,R11/'01_Вводные'!$B$9)-R20*'18_Календарь_тарифы'!R8*'01_Вводные'!$C$314:$C$318*('01_Вводные'!$E$314:$E$318*(R$3&lt;'01_Вводные'!$B$245)+'01_Вводные'!$B$57*(R$3&gt;='01_Вводные'!$B$245))))/2)</f>
        <v/>
      </c>
      <c r="S28" s="185">
        <f>SUMPRODUCT(('01_Вводные'!$D$314:$D$318*'01_Вводные'!$B$314:$B$318*IF('01_Вводные'!$B$9=0,0,S11/'01_Вводные'!$B$9)+S20*'18_Календарь_тарифы'!S8*'01_Вводные'!$C$314:$C$318*('01_Вводные'!$E$314:$E$318*(S$3&lt;'01_Вводные'!$B$245)+'01_Вводные'!$B$57*(S$3&gt;='01_Вводные'!$B$245))+ABS('01_Вводные'!$D$314:$D$318*'01_Вводные'!$B$314:$B$318*IF('01_Вводные'!$B$9=0,0,S11/'01_Вводные'!$B$9)-S20*'18_Календарь_тарифы'!S8*'01_Вводные'!$C$314:$C$318*('01_Вводные'!$E$314:$E$318*(S$3&lt;'01_Вводные'!$B$245)+'01_Вводные'!$B$57*(S$3&gt;='01_Вводные'!$B$245))))/2)</f>
        <v/>
      </c>
      <c r="T28" s="185">
        <f>SUMPRODUCT(('01_Вводные'!$D$314:$D$318*'01_Вводные'!$B$314:$B$318*IF('01_Вводные'!$B$9=0,0,T11/'01_Вводные'!$B$9)+T20*'18_Календарь_тарифы'!T8*'01_Вводные'!$C$314:$C$318*('01_Вводные'!$E$314:$E$318*(T$3&lt;'01_Вводные'!$B$245)+'01_Вводные'!$B$57*(T$3&gt;='01_Вводные'!$B$245))+ABS('01_Вводные'!$D$314:$D$318*'01_Вводные'!$B$314:$B$318*IF('01_Вводные'!$B$9=0,0,T11/'01_Вводные'!$B$9)-T20*'18_Календарь_тарифы'!T8*'01_Вводные'!$C$314:$C$318*('01_Вводные'!$E$314:$E$318*(T$3&lt;'01_Вводные'!$B$245)+'01_Вводные'!$B$57*(T$3&gt;='01_Вводные'!$B$245))))/2)</f>
        <v/>
      </c>
      <c r="U28" s="185">
        <f>SUMPRODUCT(('01_Вводные'!$D$314:$D$318*'01_Вводные'!$B$314:$B$318*IF('01_Вводные'!$B$9=0,0,U11/'01_Вводные'!$B$9)+U20*'18_Календарь_тарифы'!U8*'01_Вводные'!$C$314:$C$318*('01_Вводные'!$E$314:$E$318*(U$3&lt;'01_Вводные'!$B$245)+'01_Вводные'!$B$57*(U$3&gt;='01_Вводные'!$B$245))+ABS('01_Вводные'!$D$314:$D$318*'01_Вводные'!$B$314:$B$318*IF('01_Вводные'!$B$9=0,0,U11/'01_Вводные'!$B$9)-U20*'18_Календарь_тарифы'!U8*'01_Вводные'!$C$314:$C$318*('01_Вводные'!$E$314:$E$318*(U$3&lt;'01_Вводные'!$B$245)+'01_Вводные'!$B$57*(U$3&gt;='01_Вводные'!$B$245))))/2)</f>
        <v/>
      </c>
      <c r="V28" s="185">
        <f>SUMPRODUCT(('01_Вводные'!$D$314:$D$318*'01_Вводные'!$B$314:$B$318*IF('01_Вводные'!$B$9=0,0,V11/'01_Вводные'!$B$9)+V20*'18_Календарь_тарифы'!V8*'01_Вводные'!$C$314:$C$318*('01_Вводные'!$E$314:$E$318*(V$3&lt;'01_Вводные'!$B$245)+'01_Вводные'!$B$57*(V$3&gt;='01_Вводные'!$B$245))+ABS('01_Вводные'!$D$314:$D$318*'01_Вводные'!$B$314:$B$318*IF('01_Вводные'!$B$9=0,0,V11/'01_Вводные'!$B$9)-V20*'18_Календарь_тарифы'!V8*'01_Вводные'!$C$314:$C$318*('01_Вводные'!$E$314:$E$318*(V$3&lt;'01_Вводные'!$B$245)+'01_Вводные'!$B$57*(V$3&gt;='01_Вводные'!$B$245))))/2)</f>
        <v/>
      </c>
      <c r="W28" s="185">
        <f>SUMPRODUCT(('01_Вводные'!$D$314:$D$318*'01_Вводные'!$B$314:$B$318*IF('01_Вводные'!$B$9=0,0,W11/'01_Вводные'!$B$9)+W20*'18_Календарь_тарифы'!W8*'01_Вводные'!$C$314:$C$318*('01_Вводные'!$E$314:$E$318*(W$3&lt;'01_Вводные'!$B$245)+'01_Вводные'!$B$57*(W$3&gt;='01_Вводные'!$B$245))+ABS('01_Вводные'!$D$314:$D$318*'01_Вводные'!$B$314:$B$318*IF('01_Вводные'!$B$9=0,0,W11/'01_Вводные'!$B$9)-W20*'18_Календарь_тарифы'!W8*'01_Вводные'!$C$314:$C$318*('01_Вводные'!$E$314:$E$318*(W$3&lt;'01_Вводные'!$B$245)+'01_Вводные'!$B$57*(W$3&gt;='01_Вводные'!$B$245))))/2)</f>
        <v/>
      </c>
      <c r="X28" s="185">
        <f>SUMPRODUCT(('01_Вводные'!$D$314:$D$318*'01_Вводные'!$B$314:$B$318*IF('01_Вводные'!$B$9=0,0,X11/'01_Вводные'!$B$9)+X20*'18_Календарь_тарифы'!X8*'01_Вводные'!$C$314:$C$318*('01_Вводные'!$E$314:$E$318*(X$3&lt;'01_Вводные'!$B$245)+'01_Вводные'!$B$57*(X$3&gt;='01_Вводные'!$B$245))+ABS('01_Вводные'!$D$314:$D$318*'01_Вводные'!$B$314:$B$318*IF('01_Вводные'!$B$9=0,0,X11/'01_Вводные'!$B$9)-X20*'18_Календарь_тарифы'!X8*'01_Вводные'!$C$314:$C$318*('01_Вводные'!$E$314:$E$318*(X$3&lt;'01_Вводные'!$B$245)+'01_Вводные'!$B$57*(X$3&gt;='01_Вводные'!$B$245))))/2)</f>
        <v/>
      </c>
      <c r="Y28" s="185">
        <f>SUMPRODUCT(('01_Вводные'!$D$314:$D$318*'01_Вводные'!$B$314:$B$318*IF('01_Вводные'!$B$9=0,0,Y11/'01_Вводные'!$B$9)+Y20*'18_Календарь_тарифы'!Y8*'01_Вводные'!$C$314:$C$318*('01_Вводные'!$E$314:$E$318*(Y$3&lt;'01_Вводные'!$B$245)+'01_Вводные'!$B$57*(Y$3&gt;='01_Вводные'!$B$245))+ABS('01_Вводные'!$D$314:$D$318*'01_Вводные'!$B$314:$B$318*IF('01_Вводные'!$B$9=0,0,Y11/'01_Вводные'!$B$9)-Y20*'18_Календарь_тарифы'!Y8*'01_Вводные'!$C$314:$C$318*('01_Вводные'!$E$314:$E$318*(Y$3&lt;'01_Вводные'!$B$245)+'01_Вводные'!$B$57*(Y$3&gt;='01_Вводные'!$B$245))))/2)</f>
        <v/>
      </c>
      <c r="Z28" s="185">
        <f>SUMPRODUCT(('01_Вводные'!$D$314:$D$318*'01_Вводные'!$B$314:$B$318*IF('01_Вводные'!$B$9=0,0,Z11/'01_Вводные'!$B$9)+Z20*'18_Календарь_тарифы'!Z8*'01_Вводные'!$C$314:$C$318*('01_Вводные'!$E$314:$E$318*(Z$3&lt;'01_Вводные'!$B$245)+'01_Вводные'!$B$57*(Z$3&gt;='01_Вводные'!$B$245))+ABS('01_Вводные'!$D$314:$D$318*'01_Вводные'!$B$314:$B$318*IF('01_Вводные'!$B$9=0,0,Z11/'01_Вводные'!$B$9)-Z20*'18_Календарь_тарифы'!Z8*'01_Вводные'!$C$314:$C$318*('01_Вводные'!$E$314:$E$318*(Z$3&lt;'01_Вводные'!$B$245)+'01_Вводные'!$B$57*(Z$3&gt;='01_Вводные'!$B$245))))/2)</f>
        <v/>
      </c>
      <c r="AA28" s="185">
        <f>SUMPRODUCT(('01_Вводные'!$D$314:$D$318*'01_Вводные'!$B$314:$B$318*IF('01_Вводные'!$B$9=0,0,AA11/'01_Вводные'!$B$9)+AA20*'18_Календарь_тарифы'!AA8*'01_Вводные'!$C$314:$C$318*('01_Вводные'!$E$314:$E$318*(AA$3&lt;'01_Вводные'!$B$245)+'01_Вводные'!$B$57*(AA$3&gt;='01_Вводные'!$B$245))+ABS('01_Вводные'!$D$314:$D$318*'01_Вводные'!$B$314:$B$318*IF('01_Вводные'!$B$9=0,0,AA11/'01_Вводные'!$B$9)-AA20*'18_Календарь_тарифы'!AA8*'01_Вводные'!$C$314:$C$318*('01_Вводные'!$E$314:$E$318*(AA$3&lt;'01_Вводные'!$B$245)+'01_Вводные'!$B$57*(AA$3&gt;='01_Вводные'!$B$245))))/2)</f>
        <v/>
      </c>
      <c r="AB28" s="185">
        <f>SUMPRODUCT(('01_Вводные'!$D$314:$D$318*'01_Вводные'!$B$314:$B$318*IF('01_Вводные'!$B$9=0,0,AB11/'01_Вводные'!$B$9)+AB20*'18_Календарь_тарифы'!AB8*'01_Вводные'!$C$314:$C$318*('01_Вводные'!$E$314:$E$318*(AB$3&lt;'01_Вводные'!$B$245)+'01_Вводные'!$B$57*(AB$3&gt;='01_Вводные'!$B$245))+ABS('01_Вводные'!$D$314:$D$318*'01_Вводные'!$B$314:$B$318*IF('01_Вводные'!$B$9=0,0,AB11/'01_Вводные'!$B$9)-AB20*'18_Календарь_тарифы'!AB8*'01_Вводные'!$C$314:$C$318*('01_Вводные'!$E$314:$E$318*(AB$3&lt;'01_Вводные'!$B$245)+'01_Вводные'!$B$57*(AB$3&gt;='01_Вводные'!$B$245))))/2)</f>
        <v/>
      </c>
      <c r="AC28" s="185">
        <f>SUMPRODUCT(('01_Вводные'!$D$314:$D$318*'01_Вводные'!$B$314:$B$318*IF('01_Вводные'!$B$9=0,0,AC11/'01_Вводные'!$B$9)+AC20*'18_Календарь_тарифы'!AC8*'01_Вводные'!$C$314:$C$318*('01_Вводные'!$E$314:$E$318*(AC$3&lt;'01_Вводные'!$B$245)+'01_Вводные'!$B$57*(AC$3&gt;='01_Вводные'!$B$245))+ABS('01_Вводные'!$D$314:$D$318*'01_Вводные'!$B$314:$B$318*IF('01_Вводные'!$B$9=0,0,AC11/'01_Вводные'!$B$9)-AC20*'18_Календарь_тарифы'!AC8*'01_Вводные'!$C$314:$C$318*('01_Вводные'!$E$314:$E$318*(AC$3&lt;'01_Вводные'!$B$245)+'01_Вводные'!$B$57*(AC$3&gt;='01_Вводные'!$B$245))))/2)</f>
        <v/>
      </c>
      <c r="AD28" s="185">
        <f>SUMPRODUCT(('01_Вводные'!$D$314:$D$318*'01_Вводные'!$B$314:$B$318*IF('01_Вводные'!$B$9=0,0,AD11/'01_Вводные'!$B$9)+AD20*'18_Календарь_тарифы'!AD8*'01_Вводные'!$C$314:$C$318*('01_Вводные'!$E$314:$E$318*(AD$3&lt;'01_Вводные'!$B$245)+'01_Вводные'!$B$57*(AD$3&gt;='01_Вводные'!$B$245))+ABS('01_Вводные'!$D$314:$D$318*'01_Вводные'!$B$314:$B$318*IF('01_Вводные'!$B$9=0,0,AD11/'01_Вводные'!$B$9)-AD20*'18_Календарь_тарифы'!AD8*'01_Вводные'!$C$314:$C$318*('01_Вводные'!$E$314:$E$318*(AD$3&lt;'01_Вводные'!$B$245)+'01_Вводные'!$B$57*(AD$3&gt;='01_Вводные'!$B$245))))/2)</f>
        <v/>
      </c>
      <c r="AE28" s="185">
        <f>SUMPRODUCT(('01_Вводные'!$D$314:$D$318*'01_Вводные'!$B$314:$B$318*IF('01_Вводные'!$B$9=0,0,AE11/'01_Вводные'!$B$9)+AE20*'18_Календарь_тарифы'!AE8*'01_Вводные'!$C$314:$C$318*('01_Вводные'!$E$314:$E$318*(AE$3&lt;'01_Вводные'!$B$245)+'01_Вводные'!$B$57*(AE$3&gt;='01_Вводные'!$B$245))+ABS('01_Вводные'!$D$314:$D$318*'01_Вводные'!$B$314:$B$318*IF('01_Вводные'!$B$9=0,0,AE11/'01_Вводные'!$B$9)-AE20*'18_Календарь_тарифы'!AE8*'01_Вводные'!$C$314:$C$318*('01_Вводные'!$E$314:$E$318*(AE$3&lt;'01_Вводные'!$B$245)+'01_Вводные'!$B$57*(AE$3&gt;='01_Вводные'!$B$245))))/2)</f>
        <v/>
      </c>
      <c r="AF28" s="185">
        <f>SUMPRODUCT(('01_Вводные'!$D$314:$D$318*'01_Вводные'!$B$314:$B$318*IF('01_Вводные'!$B$9=0,0,AF11/'01_Вводные'!$B$9)+AF20*'18_Календарь_тарифы'!AF8*'01_Вводные'!$C$314:$C$318*('01_Вводные'!$E$314:$E$318*(AF$3&lt;'01_Вводные'!$B$245)+'01_Вводные'!$B$57*(AF$3&gt;='01_Вводные'!$B$245))+ABS('01_Вводные'!$D$314:$D$318*'01_Вводные'!$B$314:$B$318*IF('01_Вводные'!$B$9=0,0,AF11/'01_Вводные'!$B$9)-AF20*'18_Календарь_тарифы'!AF8*'01_Вводные'!$C$314:$C$318*('01_Вводные'!$E$314:$E$318*(AF$3&lt;'01_Вводные'!$B$245)+'01_Вводные'!$B$57*(AF$3&gt;='01_Вводные'!$B$245))))/2)</f>
        <v/>
      </c>
      <c r="AG28" s="185">
        <f>SUMPRODUCT(('01_Вводные'!$D$314:$D$318*'01_Вводные'!$B$314:$B$318*IF('01_Вводные'!$B$9=0,0,AG11/'01_Вводные'!$B$9)+AG20*'18_Календарь_тарифы'!AG8*'01_Вводные'!$C$314:$C$318*('01_Вводные'!$E$314:$E$318*(AG$3&lt;'01_Вводные'!$B$245)+'01_Вводные'!$B$57*(AG$3&gt;='01_Вводные'!$B$245))+ABS('01_Вводные'!$D$314:$D$318*'01_Вводные'!$B$314:$B$318*IF('01_Вводные'!$B$9=0,0,AG11/'01_Вводные'!$B$9)-AG20*'18_Календарь_тарифы'!AG8*'01_Вводные'!$C$314:$C$318*('01_Вводные'!$E$314:$E$318*(AG$3&lt;'01_Вводные'!$B$245)+'01_Вводные'!$B$57*(AG$3&gt;='01_Вводные'!$B$245))))/2)</f>
        <v/>
      </c>
      <c r="AH28" s="185">
        <f>SUMPRODUCT(('01_Вводные'!$D$314:$D$318*'01_Вводные'!$B$314:$B$318*IF('01_Вводные'!$B$9=0,0,AH11/'01_Вводные'!$B$9)+AH20*'18_Календарь_тарифы'!AH8*'01_Вводные'!$C$314:$C$318*('01_Вводные'!$E$314:$E$318*(AH$3&lt;'01_Вводные'!$B$245)+'01_Вводные'!$B$57*(AH$3&gt;='01_Вводные'!$B$245))+ABS('01_Вводные'!$D$314:$D$318*'01_Вводные'!$B$314:$B$318*IF('01_Вводные'!$B$9=0,0,AH11/'01_Вводные'!$B$9)-AH20*'18_Календарь_тарифы'!AH8*'01_Вводные'!$C$314:$C$318*('01_Вводные'!$E$314:$E$318*(AH$3&lt;'01_Вводные'!$B$245)+'01_Вводные'!$B$57*(AH$3&gt;='01_Вводные'!$B$245))))/2)</f>
        <v/>
      </c>
      <c r="AI28" s="185">
        <f>SUMPRODUCT(('01_Вводные'!$D$314:$D$318*'01_Вводные'!$B$314:$B$318*IF('01_Вводные'!$B$9=0,0,AI11/'01_Вводные'!$B$9)+AI20*'18_Календарь_тарифы'!AI8*'01_Вводные'!$C$314:$C$318*('01_Вводные'!$E$314:$E$318*(AI$3&lt;'01_Вводные'!$B$245)+'01_Вводные'!$B$57*(AI$3&gt;='01_Вводные'!$B$245))+ABS('01_Вводные'!$D$314:$D$318*'01_Вводные'!$B$314:$B$318*IF('01_Вводные'!$B$9=0,0,AI11/'01_Вводные'!$B$9)-AI20*'18_Календарь_тарифы'!AI8*'01_Вводные'!$C$314:$C$318*('01_Вводные'!$E$314:$E$318*(AI$3&lt;'01_Вводные'!$B$245)+'01_Вводные'!$B$57*(AI$3&gt;='01_Вводные'!$B$245))))/2)</f>
        <v/>
      </c>
      <c r="AJ28" s="185">
        <f>SUMPRODUCT(('01_Вводные'!$D$314:$D$318*'01_Вводные'!$B$314:$B$318*IF('01_Вводные'!$B$9=0,0,AJ11/'01_Вводные'!$B$9)+AJ20*'18_Календарь_тарифы'!AJ8*'01_Вводные'!$C$314:$C$318*('01_Вводные'!$E$314:$E$318*(AJ$3&lt;'01_Вводные'!$B$245)+'01_Вводные'!$B$57*(AJ$3&gt;='01_Вводные'!$B$245))+ABS('01_Вводные'!$D$314:$D$318*'01_Вводные'!$B$314:$B$318*IF('01_Вводные'!$B$9=0,0,AJ11/'01_Вводные'!$B$9)-AJ20*'18_Календарь_тарифы'!AJ8*'01_Вводные'!$C$314:$C$318*('01_Вводные'!$E$314:$E$318*(AJ$3&lt;'01_Вводные'!$B$245)+'01_Вводные'!$B$57*(AJ$3&gt;='01_Вводные'!$B$245))))/2)</f>
        <v/>
      </c>
      <c r="AK28" s="185">
        <f>SUMPRODUCT(('01_Вводные'!$D$314:$D$318*'01_Вводные'!$B$314:$B$318*IF('01_Вводные'!$B$9=0,0,AK11/'01_Вводные'!$B$9)+AK20*'18_Календарь_тарифы'!AK8*'01_Вводные'!$C$314:$C$318*('01_Вводные'!$E$314:$E$318*(AK$3&lt;'01_Вводные'!$B$245)+'01_Вводные'!$B$57*(AK$3&gt;='01_Вводные'!$B$245))+ABS('01_Вводные'!$D$314:$D$318*'01_Вводные'!$B$314:$B$318*IF('01_Вводные'!$B$9=0,0,AK11/'01_Вводные'!$B$9)-AK20*'18_Календарь_тарифы'!AK8*'01_Вводные'!$C$314:$C$318*('01_Вводные'!$E$314:$E$318*(AK$3&lt;'01_Вводные'!$B$245)+'01_Вводные'!$B$57*(AK$3&gt;='01_Вводные'!$B$245))))/2)</f>
        <v/>
      </c>
      <c r="AL28" s="185">
        <f>SUMPRODUCT(('01_Вводные'!$D$314:$D$318*'01_Вводные'!$B$314:$B$318*IF('01_Вводные'!$B$9=0,0,AL11/'01_Вводные'!$B$9)+AL20*'18_Календарь_тарифы'!AL8*'01_Вводные'!$C$314:$C$318*('01_Вводные'!$E$314:$E$318*(AL$3&lt;'01_Вводные'!$B$245)+'01_Вводные'!$B$57*(AL$3&gt;='01_Вводные'!$B$245))+ABS('01_Вводные'!$D$314:$D$318*'01_Вводные'!$B$314:$B$318*IF('01_Вводные'!$B$9=0,0,AL11/'01_Вводные'!$B$9)-AL20*'18_Календарь_тарифы'!AL8*'01_Вводные'!$C$314:$C$318*('01_Вводные'!$E$314:$E$318*(AL$3&lt;'01_Вводные'!$B$245)+'01_Вводные'!$B$57*(AL$3&gt;='01_Вводные'!$B$245))))/2)</f>
        <v/>
      </c>
      <c r="AM28" s="185">
        <f>SUMPRODUCT(('01_Вводные'!$D$314:$D$318*'01_Вводные'!$B$314:$B$318*IF('01_Вводные'!$B$9=0,0,AM11/'01_Вводные'!$B$9)+AM20*'18_Календарь_тарифы'!AM8*'01_Вводные'!$C$314:$C$318*('01_Вводные'!$E$314:$E$318*(AM$3&lt;'01_Вводные'!$B$245)+'01_Вводные'!$B$57*(AM$3&gt;='01_Вводные'!$B$245))+ABS('01_Вводные'!$D$314:$D$318*'01_Вводные'!$B$314:$B$318*IF('01_Вводные'!$B$9=0,0,AM11/'01_Вводные'!$B$9)-AM20*'18_Календарь_тарифы'!AM8*'01_Вводные'!$C$314:$C$318*('01_Вводные'!$E$314:$E$318*(AM$3&lt;'01_Вводные'!$B$245)+'01_Вводные'!$B$57*(AM$3&gt;='01_Вводные'!$B$245))))/2)</f>
        <v/>
      </c>
      <c r="AN28" s="185">
        <f>SUMPRODUCT(('01_Вводные'!$D$314:$D$318*'01_Вводные'!$B$314:$B$318*IF('01_Вводные'!$B$9=0,0,AN11/'01_Вводные'!$B$9)+AN20*'18_Календарь_тарифы'!AN8*'01_Вводные'!$C$314:$C$318*('01_Вводные'!$E$314:$E$318*(AN$3&lt;'01_Вводные'!$B$245)+'01_Вводные'!$B$57*(AN$3&gt;='01_Вводные'!$B$245))+ABS('01_Вводные'!$D$314:$D$318*'01_Вводные'!$B$314:$B$318*IF('01_Вводные'!$B$9=0,0,AN11/'01_Вводные'!$B$9)-AN20*'18_Календарь_тарифы'!AN8*'01_Вводные'!$C$314:$C$318*('01_Вводные'!$E$314:$E$318*(AN$3&lt;'01_Вводные'!$B$245)+'01_Вводные'!$B$57*(AN$3&gt;='01_Вводные'!$B$245))))/2)</f>
        <v/>
      </c>
      <c r="AO28" s="185">
        <f>SUMPRODUCT(('01_Вводные'!$D$314:$D$318*'01_Вводные'!$B$314:$B$318*IF('01_Вводные'!$B$9=0,0,AO11/'01_Вводные'!$B$9)+AO20*'18_Календарь_тарифы'!AO8*'01_Вводные'!$C$314:$C$318*('01_Вводные'!$E$314:$E$318*(AO$3&lt;'01_Вводные'!$B$245)+'01_Вводные'!$B$57*(AO$3&gt;='01_Вводные'!$B$245))+ABS('01_Вводные'!$D$314:$D$318*'01_Вводные'!$B$314:$B$318*IF('01_Вводные'!$B$9=0,0,AO11/'01_Вводные'!$B$9)-AO20*'18_Календарь_тарифы'!AO8*'01_Вводные'!$C$314:$C$318*('01_Вводные'!$E$314:$E$318*(AO$3&lt;'01_Вводные'!$B$245)+'01_Вводные'!$B$57*(AO$3&gt;='01_Вводные'!$B$245))))/2)</f>
        <v/>
      </c>
      <c r="AP28" s="185">
        <f>SUMPRODUCT(('01_Вводные'!$D$314:$D$318*'01_Вводные'!$B$314:$B$318*IF('01_Вводные'!$B$9=0,0,AP11/'01_Вводные'!$B$9)+AP20*'18_Календарь_тарифы'!AP8*'01_Вводные'!$C$314:$C$318*('01_Вводные'!$E$314:$E$318*(AP$3&lt;'01_Вводные'!$B$245)+'01_Вводные'!$B$57*(AP$3&gt;='01_Вводные'!$B$245))+ABS('01_Вводные'!$D$314:$D$318*'01_Вводные'!$B$314:$B$318*IF('01_Вводные'!$B$9=0,0,AP11/'01_Вводные'!$B$9)-AP20*'18_Календарь_тарифы'!AP8*'01_Вводные'!$C$314:$C$318*('01_Вводные'!$E$314:$E$318*(AP$3&lt;'01_Вводные'!$B$245)+'01_Вводные'!$B$57*(AP$3&gt;='01_Вводные'!$B$245))))/2)</f>
        <v/>
      </c>
      <c r="AQ28" s="185">
        <f>SUMPRODUCT(('01_Вводные'!$D$314:$D$318*'01_Вводные'!$B$314:$B$318*IF('01_Вводные'!$B$9=0,0,AQ11/'01_Вводные'!$B$9)+AQ20*'18_Календарь_тарифы'!AQ8*'01_Вводные'!$C$314:$C$318*('01_Вводные'!$E$314:$E$318*(AQ$3&lt;'01_Вводные'!$B$245)+'01_Вводные'!$B$57*(AQ$3&gt;='01_Вводные'!$B$245))+ABS('01_Вводные'!$D$314:$D$318*'01_Вводные'!$B$314:$B$318*IF('01_Вводные'!$B$9=0,0,AQ11/'01_Вводные'!$B$9)-AQ20*'18_Календарь_тарифы'!AQ8*'01_Вводные'!$C$314:$C$318*('01_Вводные'!$E$314:$E$318*(AQ$3&lt;'01_Вводные'!$B$245)+'01_Вводные'!$B$57*(AQ$3&gt;='01_Вводные'!$B$245))))/2)</f>
        <v/>
      </c>
      <c r="AR28" s="185">
        <f>SUMPRODUCT(('01_Вводные'!$D$314:$D$318*'01_Вводные'!$B$314:$B$318*IF('01_Вводные'!$B$9=0,0,AR11/'01_Вводные'!$B$9)+AR20*'18_Календарь_тарифы'!AR8*'01_Вводные'!$C$314:$C$318*('01_Вводные'!$E$314:$E$318*(AR$3&lt;'01_Вводные'!$B$245)+'01_Вводные'!$B$57*(AR$3&gt;='01_Вводные'!$B$245))+ABS('01_Вводные'!$D$314:$D$318*'01_Вводные'!$B$314:$B$318*IF('01_Вводные'!$B$9=0,0,AR11/'01_Вводные'!$B$9)-AR20*'18_Календарь_тарифы'!AR8*'01_Вводные'!$C$314:$C$318*('01_Вводные'!$E$314:$E$318*(AR$3&lt;'01_Вводные'!$B$245)+'01_Вводные'!$B$57*(AR$3&gt;='01_Вводные'!$B$245))))/2)</f>
        <v/>
      </c>
      <c r="AS28" s="185">
        <f>SUMPRODUCT(('01_Вводные'!$D$314:$D$318*'01_Вводные'!$B$314:$B$318*IF('01_Вводные'!$B$9=0,0,AS11/'01_Вводные'!$B$9)+AS20*'18_Календарь_тарифы'!AS8*'01_Вводные'!$C$314:$C$318*('01_Вводные'!$E$314:$E$318*(AS$3&lt;'01_Вводные'!$B$245)+'01_Вводные'!$B$57*(AS$3&gt;='01_Вводные'!$B$245))+ABS('01_Вводные'!$D$314:$D$318*'01_Вводные'!$B$314:$B$318*IF('01_Вводные'!$B$9=0,0,AS11/'01_Вводные'!$B$9)-AS20*'18_Календарь_тарифы'!AS8*'01_Вводные'!$C$314:$C$318*('01_Вводные'!$E$314:$E$318*(AS$3&lt;'01_Вводные'!$B$245)+'01_Вводные'!$B$57*(AS$3&gt;='01_Вводные'!$B$245))))/2)</f>
        <v/>
      </c>
      <c r="AT28" s="185">
        <f>SUMPRODUCT(('01_Вводные'!$D$314:$D$318*'01_Вводные'!$B$314:$B$318*IF('01_Вводные'!$B$9=0,0,AT11/'01_Вводные'!$B$9)+AT20*'18_Календарь_тарифы'!AT8*'01_Вводные'!$C$314:$C$318*('01_Вводные'!$E$314:$E$318*(AT$3&lt;'01_Вводные'!$B$245)+'01_Вводные'!$B$57*(AT$3&gt;='01_Вводные'!$B$245))+ABS('01_Вводные'!$D$314:$D$318*'01_Вводные'!$B$314:$B$318*IF('01_Вводные'!$B$9=0,0,AT11/'01_Вводные'!$B$9)-AT20*'18_Календарь_тарифы'!AT8*'01_Вводные'!$C$314:$C$318*('01_Вводные'!$E$314:$E$318*(AT$3&lt;'01_Вводные'!$B$245)+'01_Вводные'!$B$57*(AT$3&gt;='01_Вводные'!$B$245))))/2)</f>
        <v/>
      </c>
      <c r="AU28" s="185">
        <f>SUMPRODUCT(('01_Вводные'!$D$314:$D$318*'01_Вводные'!$B$314:$B$318*IF('01_Вводные'!$B$9=0,0,AU11/'01_Вводные'!$B$9)+AU20*'18_Календарь_тарифы'!AU8*'01_Вводные'!$C$314:$C$318*('01_Вводные'!$E$314:$E$318*(AU$3&lt;'01_Вводные'!$B$245)+'01_Вводные'!$B$57*(AU$3&gt;='01_Вводные'!$B$245))+ABS('01_Вводные'!$D$314:$D$318*'01_Вводные'!$B$314:$B$318*IF('01_Вводные'!$B$9=0,0,AU11/'01_Вводные'!$B$9)-AU20*'18_Календарь_тарифы'!AU8*'01_Вводные'!$C$314:$C$318*('01_Вводные'!$E$314:$E$318*(AU$3&lt;'01_Вводные'!$B$245)+'01_Вводные'!$B$57*(AU$3&gt;='01_Вводные'!$B$245))))/2)</f>
        <v/>
      </c>
      <c r="AV28" s="185">
        <f>SUMPRODUCT(('01_Вводные'!$D$314:$D$318*'01_Вводные'!$B$314:$B$318*IF('01_Вводные'!$B$9=0,0,AV11/'01_Вводные'!$B$9)+AV20*'18_Календарь_тарифы'!AV8*'01_Вводные'!$C$314:$C$318*('01_Вводные'!$E$314:$E$318*(AV$3&lt;'01_Вводные'!$B$245)+'01_Вводные'!$B$57*(AV$3&gt;='01_Вводные'!$B$245))+ABS('01_Вводные'!$D$314:$D$318*'01_Вводные'!$B$314:$B$318*IF('01_Вводные'!$B$9=0,0,AV11/'01_Вводные'!$B$9)-AV20*'18_Календарь_тарифы'!AV8*'01_Вводные'!$C$314:$C$318*('01_Вводные'!$E$314:$E$318*(AV$3&lt;'01_Вводные'!$B$245)+'01_Вводные'!$B$57*(AV$3&gt;='01_Вводные'!$B$245))))/2)</f>
        <v/>
      </c>
      <c r="AW28" s="185">
        <f>SUMPRODUCT(('01_Вводные'!$D$314:$D$318*'01_Вводные'!$B$314:$B$318*IF('01_Вводные'!$B$9=0,0,AW11/'01_Вводные'!$B$9)+AW20*'18_Календарь_тарифы'!AW8*'01_Вводные'!$C$314:$C$318*('01_Вводные'!$E$314:$E$318*(AW$3&lt;'01_Вводные'!$B$245)+'01_Вводные'!$B$57*(AW$3&gt;='01_Вводные'!$B$245))+ABS('01_Вводные'!$D$314:$D$318*'01_Вводные'!$B$314:$B$318*IF('01_Вводные'!$B$9=0,0,AW11/'01_Вводные'!$B$9)-AW20*'18_Календарь_тарифы'!AW8*'01_Вводные'!$C$314:$C$318*('01_Вводные'!$E$314:$E$318*(AW$3&lt;'01_Вводные'!$B$245)+'01_Вводные'!$B$57*(AW$3&gt;='01_Вводные'!$B$245))))/2)</f>
        <v/>
      </c>
      <c r="AX28" s="185">
        <f>SUMPRODUCT(('01_Вводные'!$D$314:$D$318*'01_Вводные'!$B$314:$B$318*IF('01_Вводные'!$B$9=0,0,AX11/'01_Вводные'!$B$9)+AX20*'18_Календарь_тарифы'!AX8*'01_Вводные'!$C$314:$C$318*('01_Вводные'!$E$314:$E$318*(AX$3&lt;'01_Вводные'!$B$245)+'01_Вводные'!$B$57*(AX$3&gt;='01_Вводные'!$B$245))+ABS('01_Вводные'!$D$314:$D$318*'01_Вводные'!$B$314:$B$318*IF('01_Вводные'!$B$9=0,0,AX11/'01_Вводные'!$B$9)-AX20*'18_Календарь_тарифы'!AX8*'01_Вводные'!$C$314:$C$318*('01_Вводные'!$E$314:$E$318*(AX$3&lt;'01_Вводные'!$B$245)+'01_Вводные'!$B$57*(AX$3&gt;='01_Вводные'!$B$245))))/2)</f>
        <v/>
      </c>
      <c r="AY28" s="185">
        <f>SUMPRODUCT(('01_Вводные'!$D$314:$D$318*'01_Вводные'!$B$314:$B$318*IF('01_Вводные'!$B$9=0,0,AY11/'01_Вводные'!$B$9)+AY20*'18_Календарь_тарифы'!AY8*'01_Вводные'!$C$314:$C$318*('01_Вводные'!$E$314:$E$318*(AY$3&lt;'01_Вводные'!$B$245)+'01_Вводные'!$B$57*(AY$3&gt;='01_Вводные'!$B$245))+ABS('01_Вводные'!$D$314:$D$318*'01_Вводные'!$B$314:$B$318*IF('01_Вводные'!$B$9=0,0,AY11/'01_Вводные'!$B$9)-AY20*'18_Календарь_тарифы'!AY8*'01_Вводные'!$C$314:$C$318*('01_Вводные'!$E$314:$E$318*(AY$3&lt;'01_Вводные'!$B$245)+'01_Вводные'!$B$57*(AY$3&gt;='01_Вводные'!$B$245))))/2)</f>
        <v/>
      </c>
      <c r="AZ28" s="185">
        <f>SUMPRODUCT(('01_Вводные'!$D$314:$D$318*'01_Вводные'!$B$314:$B$318*IF('01_Вводные'!$B$9=0,0,AZ11/'01_Вводные'!$B$9)+AZ20*'18_Календарь_тарифы'!AZ8*'01_Вводные'!$C$314:$C$318*('01_Вводные'!$E$314:$E$318*(AZ$3&lt;'01_Вводные'!$B$245)+'01_Вводные'!$B$57*(AZ$3&gt;='01_Вводные'!$B$245))+ABS('01_Вводные'!$D$314:$D$318*'01_Вводные'!$B$314:$B$318*IF('01_Вводные'!$B$9=0,0,AZ11/'01_Вводные'!$B$9)-AZ20*'18_Календарь_тарифы'!AZ8*'01_Вводные'!$C$314:$C$318*('01_Вводные'!$E$314:$E$318*(AZ$3&lt;'01_Вводные'!$B$245)+'01_Вводные'!$B$57*(AZ$3&gt;='01_Вводные'!$B$245))))/2)</f>
        <v/>
      </c>
      <c r="BA28" s="185">
        <f>SUMPRODUCT(('01_Вводные'!$D$314:$D$318*'01_Вводные'!$B$314:$B$318*IF('01_Вводные'!$B$9=0,0,BA11/'01_Вводные'!$B$9)+BA20*'18_Календарь_тарифы'!BA8*'01_Вводные'!$C$314:$C$318*('01_Вводные'!$E$314:$E$318*(BA$3&lt;'01_Вводные'!$B$245)+'01_Вводные'!$B$57*(BA$3&gt;='01_Вводные'!$B$245))+ABS('01_Вводные'!$D$314:$D$318*'01_Вводные'!$B$314:$B$318*IF('01_Вводные'!$B$9=0,0,BA11/'01_Вводные'!$B$9)-BA20*'18_Календарь_тарифы'!BA8*'01_Вводные'!$C$314:$C$318*('01_Вводные'!$E$314:$E$318*(BA$3&lt;'01_Вводные'!$B$245)+'01_Вводные'!$B$57*(BA$3&gt;='01_Вводные'!$B$245))))/2)</f>
        <v/>
      </c>
      <c r="BB28" s="185">
        <f>SUMPRODUCT(('01_Вводные'!$D$314:$D$318*'01_Вводные'!$B$314:$B$318*IF('01_Вводные'!$B$9=0,0,BB11/'01_Вводные'!$B$9)+BB20*'18_Календарь_тарифы'!BB8*'01_Вводные'!$C$314:$C$318*('01_Вводные'!$E$314:$E$318*(BB$3&lt;'01_Вводные'!$B$245)+'01_Вводные'!$B$57*(BB$3&gt;='01_Вводные'!$B$245))+ABS('01_Вводные'!$D$314:$D$318*'01_Вводные'!$B$314:$B$318*IF('01_Вводные'!$B$9=0,0,BB11/'01_Вводные'!$B$9)-BB20*'18_Календарь_тарифы'!BB8*'01_Вводные'!$C$314:$C$318*('01_Вводные'!$E$314:$E$318*(BB$3&lt;'01_Вводные'!$B$245)+'01_Вводные'!$B$57*(BB$3&gt;='01_Вводные'!$B$245))))/2)</f>
        <v/>
      </c>
      <c r="BC28" s="185">
        <f>SUMPRODUCT(('01_Вводные'!$D$314:$D$318*'01_Вводные'!$B$314:$B$318*IF('01_Вводные'!$B$9=0,0,BC11/'01_Вводные'!$B$9)+BC20*'18_Календарь_тарифы'!BC8*'01_Вводные'!$C$314:$C$318*('01_Вводные'!$E$314:$E$318*(BC$3&lt;'01_Вводные'!$B$245)+'01_Вводные'!$B$57*(BC$3&gt;='01_Вводные'!$B$245))+ABS('01_Вводные'!$D$314:$D$318*'01_Вводные'!$B$314:$B$318*IF('01_Вводные'!$B$9=0,0,BC11/'01_Вводные'!$B$9)-BC20*'18_Календарь_тарифы'!BC8*'01_Вводные'!$C$314:$C$318*('01_Вводные'!$E$314:$E$318*(BC$3&lt;'01_Вводные'!$B$245)+'01_Вводные'!$B$57*(BC$3&gt;='01_Вводные'!$B$245))))/2)</f>
        <v/>
      </c>
      <c r="BD28" s="185">
        <f>SUMPRODUCT(('01_Вводные'!$D$314:$D$318*'01_Вводные'!$B$314:$B$318*IF('01_Вводные'!$B$9=0,0,BD11/'01_Вводные'!$B$9)+BD20*'18_Календарь_тарифы'!BD8*'01_Вводные'!$C$314:$C$318*('01_Вводные'!$E$314:$E$318*(BD$3&lt;'01_Вводные'!$B$245)+'01_Вводные'!$B$57*(BD$3&gt;='01_Вводные'!$B$245))+ABS('01_Вводные'!$D$314:$D$318*'01_Вводные'!$B$314:$B$318*IF('01_Вводные'!$B$9=0,0,BD11/'01_Вводные'!$B$9)-BD20*'18_Календарь_тарифы'!BD8*'01_Вводные'!$C$314:$C$318*('01_Вводные'!$E$314:$E$318*(BD$3&lt;'01_Вводные'!$B$245)+'01_Вводные'!$B$57*(BD$3&gt;='01_Вводные'!$B$245))))/2)</f>
        <v/>
      </c>
      <c r="BE28" s="185">
        <f>SUMPRODUCT(('01_Вводные'!$D$314:$D$318*'01_Вводные'!$B$314:$B$318*IF('01_Вводные'!$B$9=0,0,BE11/'01_Вводные'!$B$9)+BE20*'18_Календарь_тарифы'!BE8*'01_Вводные'!$C$314:$C$318*('01_Вводные'!$E$314:$E$318*(BE$3&lt;'01_Вводные'!$B$245)+'01_Вводные'!$B$57*(BE$3&gt;='01_Вводные'!$B$245))+ABS('01_Вводные'!$D$314:$D$318*'01_Вводные'!$B$314:$B$318*IF('01_Вводные'!$B$9=0,0,BE11/'01_Вводные'!$B$9)-BE20*'18_Календарь_тарифы'!BE8*'01_Вводные'!$C$314:$C$318*('01_Вводные'!$E$314:$E$318*(BE$3&lt;'01_Вводные'!$B$245)+'01_Вводные'!$B$57*(BE$3&gt;='01_Вводные'!$B$245))))/2)</f>
        <v/>
      </c>
      <c r="BF28" s="185">
        <f>SUMPRODUCT(('01_Вводные'!$D$314:$D$318*'01_Вводные'!$B$314:$B$318*IF('01_Вводные'!$B$9=0,0,BF11/'01_Вводные'!$B$9)+BF20*'18_Календарь_тарифы'!BF8*'01_Вводные'!$C$314:$C$318*('01_Вводные'!$E$314:$E$318*(BF$3&lt;'01_Вводные'!$B$245)+'01_Вводные'!$B$57*(BF$3&gt;='01_Вводные'!$B$245))+ABS('01_Вводные'!$D$314:$D$318*'01_Вводные'!$B$314:$B$318*IF('01_Вводные'!$B$9=0,0,BF11/'01_Вводные'!$B$9)-BF20*'18_Календарь_тарифы'!BF8*'01_Вводные'!$C$314:$C$318*('01_Вводные'!$E$314:$E$318*(BF$3&lt;'01_Вводные'!$B$245)+'01_Вводные'!$B$57*(BF$3&gt;='01_Вводные'!$B$245))))/2)</f>
        <v/>
      </c>
      <c r="BG28" s="185">
        <f>SUMPRODUCT(('01_Вводные'!$D$314:$D$318*'01_Вводные'!$B$314:$B$318*IF('01_Вводные'!$B$9=0,0,BG11/'01_Вводные'!$B$9)+BG20*'18_Календарь_тарифы'!BG8*'01_Вводные'!$C$314:$C$318*('01_Вводные'!$E$314:$E$318*(BG$3&lt;'01_Вводные'!$B$245)+'01_Вводные'!$B$57*(BG$3&gt;='01_Вводные'!$B$245))+ABS('01_Вводные'!$D$314:$D$318*'01_Вводные'!$B$314:$B$318*IF('01_Вводные'!$B$9=0,0,BG11/'01_Вводные'!$B$9)-BG20*'18_Календарь_тарифы'!BG8*'01_Вводные'!$C$314:$C$318*('01_Вводные'!$E$314:$E$318*(BG$3&lt;'01_Вводные'!$B$245)+'01_Вводные'!$B$57*(BG$3&gt;='01_Вводные'!$B$245))))/2)</f>
        <v/>
      </c>
      <c r="BH28" s="185">
        <f>SUMPRODUCT(('01_Вводные'!$D$314:$D$318*'01_Вводные'!$B$314:$B$318*IF('01_Вводные'!$B$9=0,0,BH11/'01_Вводные'!$B$9)+BH20*'18_Календарь_тарифы'!BH8*'01_Вводные'!$C$314:$C$318*('01_Вводные'!$E$314:$E$318*(BH$3&lt;'01_Вводные'!$B$245)+'01_Вводные'!$B$57*(BH$3&gt;='01_Вводные'!$B$245))+ABS('01_Вводные'!$D$314:$D$318*'01_Вводные'!$B$314:$B$318*IF('01_Вводные'!$B$9=0,0,BH11/'01_Вводные'!$B$9)-BH20*'18_Календарь_тарифы'!BH8*'01_Вводные'!$C$314:$C$318*('01_Вводные'!$E$314:$E$318*(BH$3&lt;'01_Вводные'!$B$245)+'01_Вводные'!$B$57*(BH$3&gt;='01_Вводные'!$B$245))))/2)</f>
        <v/>
      </c>
      <c r="BI28" s="185">
        <f>SUMPRODUCT(('01_Вводные'!$D$314:$D$318*'01_Вводные'!$B$314:$B$318*IF('01_Вводные'!$B$9=0,0,BI11/'01_Вводные'!$B$9)+BI20*'18_Календарь_тарифы'!BI8*'01_Вводные'!$C$314:$C$318*('01_Вводные'!$E$314:$E$318*(BI$3&lt;'01_Вводные'!$B$245)+'01_Вводные'!$B$57*(BI$3&gt;='01_Вводные'!$B$245))+ABS('01_Вводные'!$D$314:$D$318*'01_Вводные'!$B$314:$B$318*IF('01_Вводные'!$B$9=0,0,BI11/'01_Вводные'!$B$9)-BI20*'18_Календарь_тарифы'!BI8*'01_Вводные'!$C$314:$C$318*('01_Вводные'!$E$314:$E$318*(BI$3&lt;'01_Вводные'!$B$245)+'01_Вводные'!$B$57*(BI$3&gt;='01_Вводные'!$B$245))))/2)</f>
        <v/>
      </c>
      <c r="BJ28" s="185">
        <f>SUMPRODUCT(('01_Вводные'!$D$314:$D$318*'01_Вводные'!$B$314:$B$318*IF('01_Вводные'!$B$9=0,0,BJ11/'01_Вводные'!$B$9)+BJ20*'18_Календарь_тарифы'!BJ8*'01_Вводные'!$C$314:$C$318*('01_Вводные'!$E$314:$E$318*(BJ$3&lt;'01_Вводные'!$B$245)+'01_Вводные'!$B$57*(BJ$3&gt;='01_Вводные'!$B$245))+ABS('01_Вводные'!$D$314:$D$318*'01_Вводные'!$B$314:$B$318*IF('01_Вводные'!$B$9=0,0,BJ11/'01_Вводные'!$B$9)-BJ20*'18_Календарь_тарифы'!BJ8*'01_Вводные'!$C$314:$C$318*('01_Вводные'!$E$314:$E$318*(BJ$3&lt;'01_Вводные'!$B$245)+'01_Вводные'!$B$57*(BJ$3&gt;='01_Вводные'!$B$245))))/2)</f>
        <v/>
      </c>
      <c r="BK28" s="185">
        <f>SUMPRODUCT(('01_Вводные'!$D$314:$D$318*'01_Вводные'!$B$314:$B$318*IF('01_Вводные'!$B$9=0,0,BK11/'01_Вводные'!$B$9)+BK20*'18_Календарь_тарифы'!BK8*'01_Вводные'!$C$314:$C$318*('01_Вводные'!$E$314:$E$318*(BK$3&lt;'01_Вводные'!$B$245)+'01_Вводные'!$B$57*(BK$3&gt;='01_Вводные'!$B$245))+ABS('01_Вводные'!$D$314:$D$318*'01_Вводные'!$B$314:$B$318*IF('01_Вводные'!$B$9=0,0,BK11/'01_Вводные'!$B$9)-BK20*'18_Календарь_тарифы'!BK8*'01_Вводные'!$C$314:$C$318*('01_Вводные'!$E$314:$E$318*(BK$3&lt;'01_Вводные'!$B$245)+'01_Вводные'!$B$57*(BK$3&gt;='01_Вводные'!$B$245))))/2)</f>
        <v/>
      </c>
      <c r="BL28" s="185">
        <f>SUMPRODUCT(('01_Вводные'!$D$314:$D$318*'01_Вводные'!$B$314:$B$318*IF('01_Вводные'!$B$9=0,0,BL11/'01_Вводные'!$B$9)+BL20*'18_Календарь_тарифы'!BL8*'01_Вводные'!$C$314:$C$318*('01_Вводные'!$E$314:$E$318*(BL$3&lt;'01_Вводные'!$B$245)+'01_Вводные'!$B$57*(BL$3&gt;='01_Вводные'!$B$245))+ABS('01_Вводные'!$D$314:$D$318*'01_Вводные'!$B$314:$B$318*IF('01_Вводные'!$B$9=0,0,BL11/'01_Вводные'!$B$9)-BL20*'18_Календарь_тарифы'!BL8*'01_Вводные'!$C$314:$C$318*('01_Вводные'!$E$314:$E$318*(BL$3&lt;'01_Вводные'!$B$245)+'01_Вводные'!$B$57*(BL$3&gt;='01_Вводные'!$B$245))))/2)</f>
        <v/>
      </c>
      <c r="BM28" s="185">
        <f>SUMPRODUCT(('01_Вводные'!$D$314:$D$318*'01_Вводные'!$B$314:$B$318*IF('01_Вводные'!$B$9=0,0,BM11/'01_Вводные'!$B$9)+BM20*'18_Календарь_тарифы'!BM8*'01_Вводные'!$C$314:$C$318*('01_Вводные'!$E$314:$E$318*(BM$3&lt;'01_Вводные'!$B$245)+'01_Вводные'!$B$57*(BM$3&gt;='01_Вводные'!$B$245))+ABS('01_Вводные'!$D$314:$D$318*'01_Вводные'!$B$314:$B$318*IF('01_Вводные'!$B$9=0,0,BM11/'01_Вводные'!$B$9)-BM20*'18_Календарь_тарифы'!BM8*'01_Вводные'!$C$314:$C$318*('01_Вводные'!$E$314:$E$318*(BM$3&lt;'01_Вводные'!$B$245)+'01_Вводные'!$B$57*(BM$3&gt;='01_Вводные'!$B$245))))/2)</f>
        <v/>
      </c>
      <c r="BN28" s="185">
        <f>SUMPRODUCT(('01_Вводные'!$D$314:$D$318*'01_Вводные'!$B$314:$B$318*IF('01_Вводные'!$B$9=0,0,BN11/'01_Вводные'!$B$9)+BN20*'18_Календарь_тарифы'!BN8*'01_Вводные'!$C$314:$C$318*('01_Вводные'!$E$314:$E$318*(BN$3&lt;'01_Вводные'!$B$245)+'01_Вводные'!$B$57*(BN$3&gt;='01_Вводные'!$B$245))+ABS('01_Вводные'!$D$314:$D$318*'01_Вводные'!$B$314:$B$318*IF('01_Вводные'!$B$9=0,0,BN11/'01_Вводные'!$B$9)-BN20*'18_Календарь_тарифы'!BN8*'01_Вводные'!$C$314:$C$318*('01_Вводные'!$E$314:$E$318*(BN$3&lt;'01_Вводные'!$B$245)+'01_Вводные'!$B$57*(BN$3&gt;='01_Вводные'!$B$245))))/2)</f>
        <v/>
      </c>
      <c r="BO28" s="185">
        <f>SUMPRODUCT(('01_Вводные'!$D$314:$D$318*'01_Вводные'!$B$314:$B$318*IF('01_Вводные'!$B$9=0,0,BO11/'01_Вводные'!$B$9)+BO20*'18_Календарь_тарифы'!BO8*'01_Вводные'!$C$314:$C$318*('01_Вводные'!$E$314:$E$318*(BO$3&lt;'01_Вводные'!$B$245)+'01_Вводные'!$B$57*(BO$3&gt;='01_Вводные'!$B$245))+ABS('01_Вводные'!$D$314:$D$318*'01_Вводные'!$B$314:$B$318*IF('01_Вводные'!$B$9=0,0,BO11/'01_Вводные'!$B$9)-BO20*'18_Календарь_тарифы'!BO8*'01_Вводные'!$C$314:$C$318*('01_Вводные'!$E$314:$E$318*(BO$3&lt;'01_Вводные'!$B$245)+'01_Вводные'!$B$57*(BO$3&gt;='01_Вводные'!$B$245))))/2)</f>
        <v/>
      </c>
    </row>
    <row r="29">
      <c r="A29" s="2" t="inlineStr">
        <is>
          <t>Роялти новых школ, с НДС</t>
        </is>
      </c>
      <c r="B29" s="187">
        <f>SUM(B109:B133,B137:B161)</f>
        <v/>
      </c>
      <c r="C29" s="187">
        <f>SUM(C109:C133,C137:C161)</f>
        <v/>
      </c>
      <c r="D29" s="187">
        <f>SUM(D109:D133,D137:D161)</f>
        <v/>
      </c>
      <c r="E29" s="187">
        <f>SUM(E109:E133,E137:E161)</f>
        <v/>
      </c>
      <c r="F29" s="187">
        <f>SUM(F109:F133,F137:F161)</f>
        <v/>
      </c>
      <c r="G29" s="187">
        <f>SUM(G109:G133,G137:G161)</f>
        <v/>
      </c>
      <c r="H29" s="187">
        <f>SUM(H109:H133,H137:H161)</f>
        <v/>
      </c>
      <c r="I29" s="187">
        <f>SUM(I109:I133,I137:I161)</f>
        <v/>
      </c>
      <c r="J29" s="187">
        <f>SUM(J109:J133,J137:J161)</f>
        <v/>
      </c>
      <c r="K29" s="187">
        <f>SUM(K109:K133,K137:K161)</f>
        <v/>
      </c>
      <c r="L29" s="187">
        <f>SUM(L109:L133,L137:L161)</f>
        <v/>
      </c>
      <c r="M29" s="187">
        <f>SUM(M109:M133,M137:M161)</f>
        <v/>
      </c>
      <c r="N29" s="187">
        <f>SUM(N109:N133,N137:N161)</f>
        <v/>
      </c>
      <c r="O29" s="187">
        <f>SUM(O109:O133,O137:O161)</f>
        <v/>
      </c>
      <c r="P29" s="187">
        <f>SUM(P109:P133,P137:P161)</f>
        <v/>
      </c>
      <c r="Q29" s="187">
        <f>SUM(Q109:Q133,Q137:Q161)</f>
        <v/>
      </c>
      <c r="R29" s="187">
        <f>SUM(R109:R133,R137:R161)</f>
        <v/>
      </c>
      <c r="S29" s="187">
        <f>SUM(S109:S133,S137:S161)</f>
        <v/>
      </c>
      <c r="T29" s="187">
        <f>SUM(T109:T133,T137:T161)</f>
        <v/>
      </c>
      <c r="U29" s="187">
        <f>SUM(U109:U133,U137:U161)</f>
        <v/>
      </c>
      <c r="V29" s="187">
        <f>SUM(V109:V133,V137:V161)</f>
        <v/>
      </c>
      <c r="W29" s="187">
        <f>SUM(W109:W133,W137:W161)</f>
        <v/>
      </c>
      <c r="X29" s="187">
        <f>SUM(X109:X133,X137:X161)</f>
        <v/>
      </c>
      <c r="Y29" s="187">
        <f>SUM(Y109:Y133,Y137:Y161)</f>
        <v/>
      </c>
      <c r="Z29" s="187">
        <f>SUM(Z109:Z133,Z137:Z161)</f>
        <v/>
      </c>
      <c r="AA29" s="187">
        <f>SUM(AA109:AA133,AA137:AA161)</f>
        <v/>
      </c>
      <c r="AB29" s="187">
        <f>SUM(AB109:AB133,AB137:AB161)</f>
        <v/>
      </c>
      <c r="AC29" s="187">
        <f>SUM(AC109:AC133,AC137:AC161)</f>
        <v/>
      </c>
      <c r="AD29" s="187">
        <f>SUM(AD109:AD133,AD137:AD161)</f>
        <v/>
      </c>
      <c r="AE29" s="187">
        <f>SUM(AE109:AE133,AE137:AE161)</f>
        <v/>
      </c>
      <c r="AF29" s="187">
        <f>SUM(AF109:AF133,AF137:AF161)</f>
        <v/>
      </c>
      <c r="AG29" s="187">
        <f>SUM(AG109:AG133,AG137:AG161)</f>
        <v/>
      </c>
      <c r="AH29" s="187">
        <f>SUM(AH109:AH133,AH137:AH161)</f>
        <v/>
      </c>
      <c r="AI29" s="187">
        <f>SUM(AI109:AI133,AI137:AI161)</f>
        <v/>
      </c>
      <c r="AJ29" s="187">
        <f>SUM(AJ109:AJ133,AJ137:AJ161)</f>
        <v/>
      </c>
      <c r="AK29" s="187">
        <f>SUM(AK109:AK133,AK137:AK161)</f>
        <v/>
      </c>
      <c r="AL29" s="187">
        <f>SUM(AL109:AL133,AL137:AL161)</f>
        <v/>
      </c>
      <c r="AM29" s="187">
        <f>SUM(AM109:AM133,AM137:AM161)</f>
        <v/>
      </c>
      <c r="AN29" s="187">
        <f>SUM(AN109:AN133,AN137:AN161)</f>
        <v/>
      </c>
      <c r="AO29" s="187">
        <f>SUM(AO109:AO133,AO137:AO161)</f>
        <v/>
      </c>
      <c r="AP29" s="187">
        <f>SUM(AP109:AP133,AP137:AP161)</f>
        <v/>
      </c>
      <c r="AQ29" s="187">
        <f>SUM(AQ109:AQ133,AQ137:AQ161)</f>
        <v/>
      </c>
      <c r="AR29" s="187">
        <f>SUM(AR109:AR133,AR137:AR161)</f>
        <v/>
      </c>
      <c r="AS29" s="187">
        <f>SUM(AS109:AS133,AS137:AS161)</f>
        <v/>
      </c>
      <c r="AT29" s="187">
        <f>SUM(AT109:AT133,AT137:AT161)</f>
        <v/>
      </c>
      <c r="AU29" s="187">
        <f>SUM(AU109:AU133,AU137:AU161)</f>
        <v/>
      </c>
      <c r="AV29" s="187">
        <f>SUM(AV109:AV133,AV137:AV161)</f>
        <v/>
      </c>
      <c r="AW29" s="187">
        <f>SUM(AW109:AW133,AW137:AW161)</f>
        <v/>
      </c>
      <c r="AX29" s="187">
        <f>SUM(AX109:AX133,AX137:AX161)</f>
        <v/>
      </c>
      <c r="AY29" s="187">
        <f>SUM(AY109:AY133,AY137:AY161)</f>
        <v/>
      </c>
      <c r="AZ29" s="187">
        <f>SUM(AZ109:AZ133,AZ137:AZ161)</f>
        <v/>
      </c>
      <c r="BA29" s="187">
        <f>SUM(BA109:BA133,BA137:BA161)</f>
        <v/>
      </c>
      <c r="BB29" s="187">
        <f>SUM(BB109:BB133,BB137:BB161)</f>
        <v/>
      </c>
      <c r="BC29" s="187">
        <f>SUM(BC109:BC133,BC137:BC161)</f>
        <v/>
      </c>
      <c r="BD29" s="187">
        <f>SUM(BD109:BD133,BD137:BD161)</f>
        <v/>
      </c>
      <c r="BE29" s="187">
        <f>SUM(BE109:BE133,BE137:BE161)</f>
        <v/>
      </c>
      <c r="BF29" s="187">
        <f>SUM(BF109:BF133,BF137:BF161)</f>
        <v/>
      </c>
      <c r="BG29" s="187">
        <f>SUM(BG109:BG133,BG137:BG161)</f>
        <v/>
      </c>
      <c r="BH29" s="187">
        <f>SUM(BH109:BH133,BH137:BH161)</f>
        <v/>
      </c>
      <c r="BI29" s="187">
        <f>SUM(BI109:BI133,BI137:BI161)</f>
        <v/>
      </c>
      <c r="BJ29" s="187">
        <f>SUM(BJ109:BJ133,BJ137:BJ161)</f>
        <v/>
      </c>
      <c r="BK29" s="187">
        <f>SUM(BK109:BK133,BK137:BK161)</f>
        <v/>
      </c>
      <c r="BL29" s="187">
        <f>SUM(BL109:BL133,BL137:BL161)</f>
        <v/>
      </c>
      <c r="BM29" s="187">
        <f>SUM(BM109:BM133,BM137:BM161)</f>
        <v/>
      </c>
      <c r="BN29" s="187">
        <f>SUM(BN109:BN133,BN137:BN161)</f>
        <v/>
      </c>
      <c r="BO29" s="187">
        <f>SUM(BO109:BO133,BO137:BO161)</f>
        <v/>
      </c>
    </row>
    <row r="30">
      <c r="A30" s="10" t="inlineStr">
        <is>
          <t>Роялти всего, с НДС</t>
        </is>
      </c>
      <c r="B30" s="43">
        <f>B28+B29</f>
        <v/>
      </c>
      <c r="C30" s="43">
        <f>C28+C29</f>
        <v/>
      </c>
      <c r="D30" s="43">
        <f>D28+D29</f>
        <v/>
      </c>
      <c r="E30" s="43">
        <f>E28+E29</f>
        <v/>
      </c>
      <c r="F30" s="43">
        <f>F28+F29</f>
        <v/>
      </c>
      <c r="G30" s="43">
        <f>G28+G29</f>
        <v/>
      </c>
      <c r="H30" s="43">
        <f>H28+H29</f>
        <v/>
      </c>
      <c r="I30" s="43">
        <f>I28+I29</f>
        <v/>
      </c>
      <c r="J30" s="43">
        <f>J28+J29</f>
        <v/>
      </c>
      <c r="K30" s="43">
        <f>K28+K29</f>
        <v/>
      </c>
      <c r="L30" s="43">
        <f>L28+L29</f>
        <v/>
      </c>
      <c r="M30" s="43">
        <f>M28+M29</f>
        <v/>
      </c>
      <c r="N30" s="43">
        <f>N28+N29</f>
        <v/>
      </c>
      <c r="O30" s="43">
        <f>O28+O29</f>
        <v/>
      </c>
      <c r="P30" s="43">
        <f>P28+P29</f>
        <v/>
      </c>
      <c r="Q30" s="43">
        <f>Q28+Q29</f>
        <v/>
      </c>
      <c r="R30" s="43">
        <f>R28+R29</f>
        <v/>
      </c>
      <c r="S30" s="43">
        <f>S28+S29</f>
        <v/>
      </c>
      <c r="T30" s="43">
        <f>T28+T29</f>
        <v/>
      </c>
      <c r="U30" s="43">
        <f>U28+U29</f>
        <v/>
      </c>
      <c r="V30" s="43">
        <f>V28+V29</f>
        <v/>
      </c>
      <c r="W30" s="43">
        <f>W28+W29</f>
        <v/>
      </c>
      <c r="X30" s="43">
        <f>X28+X29</f>
        <v/>
      </c>
      <c r="Y30" s="43">
        <f>Y28+Y29</f>
        <v/>
      </c>
      <c r="Z30" s="43">
        <f>Z28+Z29</f>
        <v/>
      </c>
      <c r="AA30" s="43">
        <f>AA28+AA29</f>
        <v/>
      </c>
      <c r="AB30" s="43">
        <f>AB28+AB29</f>
        <v/>
      </c>
      <c r="AC30" s="43">
        <f>AC28+AC29</f>
        <v/>
      </c>
      <c r="AD30" s="43">
        <f>AD28+AD29</f>
        <v/>
      </c>
      <c r="AE30" s="43">
        <f>AE28+AE29</f>
        <v/>
      </c>
      <c r="AF30" s="43">
        <f>AF28+AF29</f>
        <v/>
      </c>
      <c r="AG30" s="43">
        <f>AG28+AG29</f>
        <v/>
      </c>
      <c r="AH30" s="43">
        <f>AH28+AH29</f>
        <v/>
      </c>
      <c r="AI30" s="43">
        <f>AI28+AI29</f>
        <v/>
      </c>
      <c r="AJ30" s="43">
        <f>AJ28+AJ29</f>
        <v/>
      </c>
      <c r="AK30" s="43">
        <f>AK28+AK29</f>
        <v/>
      </c>
      <c r="AL30" s="43">
        <f>AL28+AL29</f>
        <v/>
      </c>
      <c r="AM30" s="43">
        <f>AM28+AM29</f>
        <v/>
      </c>
      <c r="AN30" s="43">
        <f>AN28+AN29</f>
        <v/>
      </c>
      <c r="AO30" s="43">
        <f>AO28+AO29</f>
        <v/>
      </c>
      <c r="AP30" s="43">
        <f>AP28+AP29</f>
        <v/>
      </c>
      <c r="AQ30" s="43">
        <f>AQ28+AQ29</f>
        <v/>
      </c>
      <c r="AR30" s="43">
        <f>AR28+AR29</f>
        <v/>
      </c>
      <c r="AS30" s="43">
        <f>AS28+AS29</f>
        <v/>
      </c>
      <c r="AT30" s="43">
        <f>AT28+AT29</f>
        <v/>
      </c>
      <c r="AU30" s="43">
        <f>AU28+AU29</f>
        <v/>
      </c>
      <c r="AV30" s="43">
        <f>AV28+AV29</f>
        <v/>
      </c>
      <c r="AW30" s="43">
        <f>AW28+AW29</f>
        <v/>
      </c>
      <c r="AX30" s="43">
        <f>AX28+AX29</f>
        <v/>
      </c>
      <c r="AY30" s="43">
        <f>AY28+AY29</f>
        <v/>
      </c>
      <c r="AZ30" s="43">
        <f>AZ28+AZ29</f>
        <v/>
      </c>
      <c r="BA30" s="43">
        <f>BA28+BA29</f>
        <v/>
      </c>
      <c r="BB30" s="43">
        <f>BB28+BB29</f>
        <v/>
      </c>
      <c r="BC30" s="43">
        <f>BC28+BC29</f>
        <v/>
      </c>
      <c r="BD30" s="43">
        <f>BD28+BD29</f>
        <v/>
      </c>
      <c r="BE30" s="43">
        <f>BE28+BE29</f>
        <v/>
      </c>
      <c r="BF30" s="43">
        <f>BF28+BF29</f>
        <v/>
      </c>
      <c r="BG30" s="43">
        <f>BG28+BG29</f>
        <v/>
      </c>
      <c r="BH30" s="43">
        <f>BH28+BH29</f>
        <v/>
      </c>
      <c r="BI30" s="43">
        <f>BI28+BI29</f>
        <v/>
      </c>
      <c r="BJ30" s="43">
        <f>BJ28+BJ29</f>
        <v/>
      </c>
      <c r="BK30" s="43">
        <f>BK28+BK29</f>
        <v/>
      </c>
      <c r="BL30" s="43">
        <f>BL28+BL29</f>
        <v/>
      </c>
      <c r="BM30" s="43">
        <f>BM28+BM29</f>
        <v/>
      </c>
      <c r="BN30" s="43">
        <f>BN28+BN29</f>
        <v/>
      </c>
      <c r="BO30" s="43">
        <f>BO28+BO29</f>
        <v/>
      </c>
    </row>
    <row r="31">
      <c r="B31" s="73" t="n"/>
      <c r="C31" s="73" t="n"/>
      <c r="D31" s="73" t="n"/>
      <c r="E31" s="73" t="n"/>
      <c r="F31" s="73" t="n"/>
      <c r="G31" s="73" t="n"/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  <c r="AP31" s="73" t="n"/>
      <c r="AQ31" s="73" t="n"/>
      <c r="AR31" s="73" t="n"/>
      <c r="AS31" s="73" t="n"/>
      <c r="AT31" s="73" t="n"/>
      <c r="AU31" s="73" t="n"/>
      <c r="AV31" s="73" t="n"/>
      <c r="AW31" s="73" t="n"/>
      <c r="AX31" s="73" t="n"/>
      <c r="AY31" s="73" t="n"/>
      <c r="AZ31" s="73" t="n"/>
      <c r="BA31" s="73" t="n"/>
      <c r="BB31" s="73" t="n"/>
      <c r="BC31" s="73" t="n"/>
      <c r="BD31" s="73" t="n"/>
      <c r="BE31" s="73" t="n"/>
      <c r="BF31" s="73" t="n"/>
      <c r="BG31" s="73" t="n"/>
      <c r="BH31" s="73" t="n"/>
      <c r="BI31" s="73" t="n"/>
      <c r="BJ31" s="73" t="n"/>
      <c r="BK31" s="73" t="n"/>
      <c r="BL31" s="73" t="n"/>
      <c r="BM31" s="73" t="n"/>
      <c r="BN31" s="73" t="n"/>
      <c r="BO31" s="73" t="n"/>
    </row>
    <row r="32" hidden="1" outlineLevel="1" ht="20" customHeight="1">
      <c r="A32" s="4" t="inlineStr">
        <is>
          <t>Helper для ставок роялти</t>
        </is>
      </c>
    </row>
    <row r="33" hidden="1" outlineLevel="1">
      <c r="A33" s="2" t="inlineStr">
        <is>
          <t>Legacy открытия (продажи до 31.12.26)</t>
        </is>
      </c>
      <c r="B33" s="95">
        <f>IF(OR(1&lt;='01_Вводные'!$B$15,1-'01_Вводные'!$B$15&gt;60),0,IF(INDEX('04_Продажи'!$B$11:$BI$11,1,1-'01_Вводные'!$B$15)&lt;='01_Вводные'!$B$244,B8,0))</f>
        <v/>
      </c>
      <c r="C33" s="95">
        <f>IF(OR(2&lt;='01_Вводные'!$B$15,2-'01_Вводные'!$B$15&gt;60),0,IF(INDEX('04_Продажи'!$B$11:$BI$11,1,2-'01_Вводные'!$B$15)&lt;='01_Вводные'!$B$244,C8,0))</f>
        <v/>
      </c>
      <c r="D33" s="95">
        <f>IF(OR(3&lt;='01_Вводные'!$B$15,3-'01_Вводные'!$B$15&gt;60),0,IF(INDEX('04_Продажи'!$B$11:$BI$11,1,3-'01_Вводные'!$B$15)&lt;='01_Вводные'!$B$244,D8,0))</f>
        <v/>
      </c>
      <c r="E33" s="95">
        <f>IF(OR(4&lt;='01_Вводные'!$B$15,4-'01_Вводные'!$B$15&gt;60),0,IF(INDEX('04_Продажи'!$B$11:$BI$11,1,4-'01_Вводные'!$B$15)&lt;='01_Вводные'!$B$244,E8,0))</f>
        <v/>
      </c>
      <c r="F33" s="95">
        <f>IF(OR(5&lt;='01_Вводные'!$B$15,5-'01_Вводные'!$B$15&gt;60),0,IF(INDEX('04_Продажи'!$B$11:$BI$11,1,5-'01_Вводные'!$B$15)&lt;='01_Вводные'!$B$244,F8,0))</f>
        <v/>
      </c>
      <c r="G33" s="95">
        <f>IF(OR(6&lt;='01_Вводные'!$B$15,6-'01_Вводные'!$B$15&gt;60),0,IF(INDEX('04_Продажи'!$B$11:$BI$11,1,6-'01_Вводные'!$B$15)&lt;='01_Вводные'!$B$244,G8,0))</f>
        <v/>
      </c>
      <c r="H33" s="95">
        <f>IF(OR(7&lt;='01_Вводные'!$B$15,7-'01_Вводные'!$B$15&gt;60),0,IF(INDEX('04_Продажи'!$B$11:$BI$11,1,7-'01_Вводные'!$B$15)&lt;='01_Вводные'!$B$244,H8,0))</f>
        <v/>
      </c>
      <c r="I33" s="95">
        <f>IF(OR(8&lt;='01_Вводные'!$B$15,8-'01_Вводные'!$B$15&gt;60),0,IF(INDEX('04_Продажи'!$B$11:$BI$11,1,8-'01_Вводные'!$B$15)&lt;='01_Вводные'!$B$244,I8,0))</f>
        <v/>
      </c>
      <c r="J33" s="95">
        <f>IF(OR(9&lt;='01_Вводные'!$B$15,9-'01_Вводные'!$B$15&gt;60),0,IF(INDEX('04_Продажи'!$B$11:$BI$11,1,9-'01_Вводные'!$B$15)&lt;='01_Вводные'!$B$244,J8,0))</f>
        <v/>
      </c>
      <c r="K33" s="95">
        <f>IF(OR(10&lt;='01_Вводные'!$B$15,10-'01_Вводные'!$B$15&gt;60),0,IF(INDEX('04_Продажи'!$B$11:$BI$11,1,10-'01_Вводные'!$B$15)&lt;='01_Вводные'!$B$244,K8,0))</f>
        <v/>
      </c>
      <c r="L33" s="95">
        <f>IF(OR(11&lt;='01_Вводные'!$B$15,11-'01_Вводные'!$B$15&gt;60),0,IF(INDEX('04_Продажи'!$B$11:$BI$11,1,11-'01_Вводные'!$B$15)&lt;='01_Вводные'!$B$244,L8,0))</f>
        <v/>
      </c>
      <c r="M33" s="95">
        <f>IF(OR(12&lt;='01_Вводные'!$B$15,12-'01_Вводные'!$B$15&gt;60),0,IF(INDEX('04_Продажи'!$B$11:$BI$11,1,12-'01_Вводные'!$B$15)&lt;='01_Вводные'!$B$244,M8,0))</f>
        <v/>
      </c>
      <c r="N33" s="95">
        <f>IF(OR(13&lt;='01_Вводные'!$B$15,13-'01_Вводные'!$B$15&gt;60),0,IF(INDEX('04_Продажи'!$B$11:$BI$11,1,13-'01_Вводные'!$B$15)&lt;='01_Вводные'!$B$244,N8,0))</f>
        <v/>
      </c>
      <c r="O33" s="95">
        <f>IF(OR(14&lt;='01_Вводные'!$B$15,14-'01_Вводные'!$B$15&gt;60),0,IF(INDEX('04_Продажи'!$B$11:$BI$11,1,14-'01_Вводные'!$B$15)&lt;='01_Вводные'!$B$244,O8,0))</f>
        <v/>
      </c>
      <c r="P33" s="95">
        <f>IF(OR(15&lt;='01_Вводные'!$B$15,15-'01_Вводные'!$B$15&gt;60),0,IF(INDEX('04_Продажи'!$B$11:$BI$11,1,15-'01_Вводные'!$B$15)&lt;='01_Вводные'!$B$244,P8,0))</f>
        <v/>
      </c>
      <c r="Q33" s="95">
        <f>IF(OR(16&lt;='01_Вводные'!$B$15,16-'01_Вводные'!$B$15&gt;60),0,IF(INDEX('04_Продажи'!$B$11:$BI$11,1,16-'01_Вводные'!$B$15)&lt;='01_Вводные'!$B$244,Q8,0))</f>
        <v/>
      </c>
      <c r="R33" s="95">
        <f>IF(OR(17&lt;='01_Вводные'!$B$15,17-'01_Вводные'!$B$15&gt;60),0,IF(INDEX('04_Продажи'!$B$11:$BI$11,1,17-'01_Вводные'!$B$15)&lt;='01_Вводные'!$B$244,R8,0))</f>
        <v/>
      </c>
      <c r="S33" s="95">
        <f>IF(OR(18&lt;='01_Вводные'!$B$15,18-'01_Вводные'!$B$15&gt;60),0,IF(INDEX('04_Продажи'!$B$11:$BI$11,1,18-'01_Вводные'!$B$15)&lt;='01_Вводные'!$B$244,S8,0))</f>
        <v/>
      </c>
      <c r="T33" s="95">
        <f>IF(OR(19&lt;='01_Вводные'!$B$15,19-'01_Вводные'!$B$15&gt;60),0,IF(INDEX('04_Продажи'!$B$11:$BI$11,1,19-'01_Вводные'!$B$15)&lt;='01_Вводные'!$B$244,T8,0))</f>
        <v/>
      </c>
      <c r="U33" s="95">
        <f>IF(OR(20&lt;='01_Вводные'!$B$15,20-'01_Вводные'!$B$15&gt;60),0,IF(INDEX('04_Продажи'!$B$11:$BI$11,1,20-'01_Вводные'!$B$15)&lt;='01_Вводные'!$B$244,U8,0))</f>
        <v/>
      </c>
      <c r="V33" s="95">
        <f>IF(OR(21&lt;='01_Вводные'!$B$15,21-'01_Вводные'!$B$15&gt;60),0,IF(INDEX('04_Продажи'!$B$11:$BI$11,1,21-'01_Вводные'!$B$15)&lt;='01_Вводные'!$B$244,V8,0))</f>
        <v/>
      </c>
      <c r="W33" s="95">
        <f>IF(OR(22&lt;='01_Вводные'!$B$15,22-'01_Вводные'!$B$15&gt;60),0,IF(INDEX('04_Продажи'!$B$11:$BI$11,1,22-'01_Вводные'!$B$15)&lt;='01_Вводные'!$B$244,W8,0))</f>
        <v/>
      </c>
      <c r="X33" s="95">
        <f>IF(OR(23&lt;='01_Вводные'!$B$15,23-'01_Вводные'!$B$15&gt;60),0,IF(INDEX('04_Продажи'!$B$11:$BI$11,1,23-'01_Вводные'!$B$15)&lt;='01_Вводные'!$B$244,X8,0))</f>
        <v/>
      </c>
      <c r="Y33" s="95">
        <f>IF(OR(24&lt;='01_Вводные'!$B$15,24-'01_Вводные'!$B$15&gt;60),0,IF(INDEX('04_Продажи'!$B$11:$BI$11,1,24-'01_Вводные'!$B$15)&lt;='01_Вводные'!$B$244,Y8,0))</f>
        <v/>
      </c>
      <c r="Z33" s="95">
        <f>IF(OR(25&lt;='01_Вводные'!$B$15,25-'01_Вводные'!$B$15&gt;60),0,IF(INDEX('04_Продажи'!$B$11:$BI$11,1,25-'01_Вводные'!$B$15)&lt;='01_Вводные'!$B$244,Z8,0))</f>
        <v/>
      </c>
      <c r="AA33" s="95">
        <f>IF(OR(26&lt;='01_Вводные'!$B$15,26-'01_Вводные'!$B$15&gt;60),0,IF(INDEX('04_Продажи'!$B$11:$BI$11,1,26-'01_Вводные'!$B$15)&lt;='01_Вводные'!$B$244,AA8,0))</f>
        <v/>
      </c>
      <c r="AB33" s="95">
        <f>IF(OR(27&lt;='01_Вводные'!$B$15,27-'01_Вводные'!$B$15&gt;60),0,IF(INDEX('04_Продажи'!$B$11:$BI$11,1,27-'01_Вводные'!$B$15)&lt;='01_Вводные'!$B$244,AB8,0))</f>
        <v/>
      </c>
      <c r="AC33" s="95">
        <f>IF(OR(28&lt;='01_Вводные'!$B$15,28-'01_Вводные'!$B$15&gt;60),0,IF(INDEX('04_Продажи'!$B$11:$BI$11,1,28-'01_Вводные'!$B$15)&lt;='01_Вводные'!$B$244,AC8,0))</f>
        <v/>
      </c>
      <c r="AD33" s="95">
        <f>IF(OR(29&lt;='01_Вводные'!$B$15,29-'01_Вводные'!$B$15&gt;60),0,IF(INDEX('04_Продажи'!$B$11:$BI$11,1,29-'01_Вводные'!$B$15)&lt;='01_Вводные'!$B$244,AD8,0))</f>
        <v/>
      </c>
      <c r="AE33" s="95">
        <f>IF(OR(30&lt;='01_Вводные'!$B$15,30-'01_Вводные'!$B$15&gt;60),0,IF(INDEX('04_Продажи'!$B$11:$BI$11,1,30-'01_Вводные'!$B$15)&lt;='01_Вводные'!$B$244,AE8,0))</f>
        <v/>
      </c>
      <c r="AF33" s="95">
        <f>IF(OR(31&lt;='01_Вводные'!$B$15,31-'01_Вводные'!$B$15&gt;60),0,IF(INDEX('04_Продажи'!$B$11:$BI$11,1,31-'01_Вводные'!$B$15)&lt;='01_Вводные'!$B$244,AF8,0))</f>
        <v/>
      </c>
      <c r="AG33" s="95">
        <f>IF(OR(32&lt;='01_Вводные'!$B$15,32-'01_Вводные'!$B$15&gt;60),0,IF(INDEX('04_Продажи'!$B$11:$BI$11,1,32-'01_Вводные'!$B$15)&lt;='01_Вводные'!$B$244,AG8,0))</f>
        <v/>
      </c>
      <c r="AH33" s="95">
        <f>IF(OR(33&lt;='01_Вводные'!$B$15,33-'01_Вводные'!$B$15&gt;60),0,IF(INDEX('04_Продажи'!$B$11:$BI$11,1,33-'01_Вводные'!$B$15)&lt;='01_Вводные'!$B$244,AH8,0))</f>
        <v/>
      </c>
      <c r="AI33" s="95">
        <f>IF(OR(34&lt;='01_Вводные'!$B$15,34-'01_Вводные'!$B$15&gt;60),0,IF(INDEX('04_Продажи'!$B$11:$BI$11,1,34-'01_Вводные'!$B$15)&lt;='01_Вводные'!$B$244,AI8,0))</f>
        <v/>
      </c>
      <c r="AJ33" s="95">
        <f>IF(OR(35&lt;='01_Вводные'!$B$15,35-'01_Вводные'!$B$15&gt;60),0,IF(INDEX('04_Продажи'!$B$11:$BI$11,1,35-'01_Вводные'!$B$15)&lt;='01_Вводные'!$B$244,AJ8,0))</f>
        <v/>
      </c>
      <c r="AK33" s="95">
        <f>IF(OR(36&lt;='01_Вводные'!$B$15,36-'01_Вводные'!$B$15&gt;60),0,IF(INDEX('04_Продажи'!$B$11:$BI$11,1,36-'01_Вводные'!$B$15)&lt;='01_Вводные'!$B$244,AK8,0))</f>
        <v/>
      </c>
      <c r="AL33" s="95">
        <f>IF(OR(37&lt;='01_Вводные'!$B$15,37-'01_Вводные'!$B$15&gt;60),0,IF(INDEX('04_Продажи'!$B$11:$BI$11,1,37-'01_Вводные'!$B$15)&lt;='01_Вводные'!$B$244,AL8,0))</f>
        <v/>
      </c>
      <c r="AM33" s="95">
        <f>IF(OR(38&lt;='01_Вводные'!$B$15,38-'01_Вводные'!$B$15&gt;60),0,IF(INDEX('04_Продажи'!$B$11:$BI$11,1,38-'01_Вводные'!$B$15)&lt;='01_Вводные'!$B$244,AM8,0))</f>
        <v/>
      </c>
      <c r="AN33" s="95">
        <f>IF(OR(39&lt;='01_Вводные'!$B$15,39-'01_Вводные'!$B$15&gt;60),0,IF(INDEX('04_Продажи'!$B$11:$BI$11,1,39-'01_Вводные'!$B$15)&lt;='01_Вводные'!$B$244,AN8,0))</f>
        <v/>
      </c>
      <c r="AO33" s="95">
        <f>IF(OR(40&lt;='01_Вводные'!$B$15,40-'01_Вводные'!$B$15&gt;60),0,IF(INDEX('04_Продажи'!$B$11:$BI$11,1,40-'01_Вводные'!$B$15)&lt;='01_Вводные'!$B$244,AO8,0))</f>
        <v/>
      </c>
      <c r="AP33" s="95">
        <f>IF(OR(41&lt;='01_Вводные'!$B$15,41-'01_Вводные'!$B$15&gt;60),0,IF(INDEX('04_Продажи'!$B$11:$BI$11,1,41-'01_Вводные'!$B$15)&lt;='01_Вводные'!$B$244,AP8,0))</f>
        <v/>
      </c>
      <c r="AQ33" s="95">
        <f>IF(OR(42&lt;='01_Вводные'!$B$15,42-'01_Вводные'!$B$15&gt;60),0,IF(INDEX('04_Продажи'!$B$11:$BI$11,1,42-'01_Вводные'!$B$15)&lt;='01_Вводные'!$B$244,AQ8,0))</f>
        <v/>
      </c>
      <c r="AR33" s="95">
        <f>IF(OR(43&lt;='01_Вводные'!$B$15,43-'01_Вводные'!$B$15&gt;60),0,IF(INDEX('04_Продажи'!$B$11:$BI$11,1,43-'01_Вводные'!$B$15)&lt;='01_Вводные'!$B$244,AR8,0))</f>
        <v/>
      </c>
      <c r="AS33" s="95">
        <f>IF(OR(44&lt;='01_Вводные'!$B$15,44-'01_Вводные'!$B$15&gt;60),0,IF(INDEX('04_Продажи'!$B$11:$BI$11,1,44-'01_Вводные'!$B$15)&lt;='01_Вводные'!$B$244,AS8,0))</f>
        <v/>
      </c>
      <c r="AT33" s="95">
        <f>IF(OR(45&lt;='01_Вводные'!$B$15,45-'01_Вводные'!$B$15&gt;60),0,IF(INDEX('04_Продажи'!$B$11:$BI$11,1,45-'01_Вводные'!$B$15)&lt;='01_Вводные'!$B$244,AT8,0))</f>
        <v/>
      </c>
      <c r="AU33" s="95">
        <f>IF(OR(46&lt;='01_Вводные'!$B$15,46-'01_Вводные'!$B$15&gt;60),0,IF(INDEX('04_Продажи'!$B$11:$BI$11,1,46-'01_Вводные'!$B$15)&lt;='01_Вводные'!$B$244,AU8,0))</f>
        <v/>
      </c>
      <c r="AV33" s="95">
        <f>IF(OR(47&lt;='01_Вводные'!$B$15,47-'01_Вводные'!$B$15&gt;60),0,IF(INDEX('04_Продажи'!$B$11:$BI$11,1,47-'01_Вводные'!$B$15)&lt;='01_Вводные'!$B$244,AV8,0))</f>
        <v/>
      </c>
      <c r="AW33" s="95">
        <f>IF(OR(48&lt;='01_Вводные'!$B$15,48-'01_Вводные'!$B$15&gt;60),0,IF(INDEX('04_Продажи'!$B$11:$BI$11,1,48-'01_Вводные'!$B$15)&lt;='01_Вводные'!$B$244,AW8,0))</f>
        <v/>
      </c>
      <c r="AX33" s="95">
        <f>IF(OR(49&lt;='01_Вводные'!$B$15,49-'01_Вводные'!$B$15&gt;60),0,IF(INDEX('04_Продажи'!$B$11:$BI$11,1,49-'01_Вводные'!$B$15)&lt;='01_Вводные'!$B$244,AX8,0))</f>
        <v/>
      </c>
      <c r="AY33" s="95">
        <f>IF(OR(50&lt;='01_Вводные'!$B$15,50-'01_Вводные'!$B$15&gt;60),0,IF(INDEX('04_Продажи'!$B$11:$BI$11,1,50-'01_Вводные'!$B$15)&lt;='01_Вводные'!$B$244,AY8,0))</f>
        <v/>
      </c>
      <c r="AZ33" s="95">
        <f>IF(OR(51&lt;='01_Вводные'!$B$15,51-'01_Вводные'!$B$15&gt;60),0,IF(INDEX('04_Продажи'!$B$11:$BI$11,1,51-'01_Вводные'!$B$15)&lt;='01_Вводные'!$B$244,AZ8,0))</f>
        <v/>
      </c>
      <c r="BA33" s="95">
        <f>IF(OR(52&lt;='01_Вводные'!$B$15,52-'01_Вводные'!$B$15&gt;60),0,IF(INDEX('04_Продажи'!$B$11:$BI$11,1,52-'01_Вводные'!$B$15)&lt;='01_Вводные'!$B$244,BA8,0))</f>
        <v/>
      </c>
      <c r="BB33" s="95">
        <f>IF(OR(53&lt;='01_Вводные'!$B$15,53-'01_Вводные'!$B$15&gt;60),0,IF(INDEX('04_Продажи'!$B$11:$BI$11,1,53-'01_Вводные'!$B$15)&lt;='01_Вводные'!$B$244,BB8,0))</f>
        <v/>
      </c>
      <c r="BC33" s="95">
        <f>IF(OR(54&lt;='01_Вводные'!$B$15,54-'01_Вводные'!$B$15&gt;60),0,IF(INDEX('04_Продажи'!$B$11:$BI$11,1,54-'01_Вводные'!$B$15)&lt;='01_Вводные'!$B$244,BC8,0))</f>
        <v/>
      </c>
      <c r="BD33" s="95">
        <f>IF(OR(55&lt;='01_Вводные'!$B$15,55-'01_Вводные'!$B$15&gt;60),0,IF(INDEX('04_Продажи'!$B$11:$BI$11,1,55-'01_Вводные'!$B$15)&lt;='01_Вводные'!$B$244,BD8,0))</f>
        <v/>
      </c>
      <c r="BE33" s="95">
        <f>IF(OR(56&lt;='01_Вводные'!$B$15,56-'01_Вводные'!$B$15&gt;60),0,IF(INDEX('04_Продажи'!$B$11:$BI$11,1,56-'01_Вводные'!$B$15)&lt;='01_Вводные'!$B$244,BE8,0))</f>
        <v/>
      </c>
      <c r="BF33" s="95">
        <f>IF(OR(57&lt;='01_Вводные'!$B$15,57-'01_Вводные'!$B$15&gt;60),0,IF(INDEX('04_Продажи'!$B$11:$BI$11,1,57-'01_Вводные'!$B$15)&lt;='01_Вводные'!$B$244,BF8,0))</f>
        <v/>
      </c>
      <c r="BG33" s="95">
        <f>IF(OR(58&lt;='01_Вводные'!$B$15,58-'01_Вводные'!$B$15&gt;60),0,IF(INDEX('04_Продажи'!$B$11:$BI$11,1,58-'01_Вводные'!$B$15)&lt;='01_Вводные'!$B$244,BG8,0))</f>
        <v/>
      </c>
      <c r="BH33" s="95">
        <f>IF(OR(59&lt;='01_Вводные'!$B$15,59-'01_Вводные'!$B$15&gt;60),0,IF(INDEX('04_Продажи'!$B$11:$BI$11,1,59-'01_Вводные'!$B$15)&lt;='01_Вводные'!$B$244,BH8,0))</f>
        <v/>
      </c>
      <c r="BI33" s="95">
        <f>IF(OR(60&lt;='01_Вводные'!$B$15,60-'01_Вводные'!$B$15&gt;60),0,IF(INDEX('04_Продажи'!$B$11:$BI$11,1,60-'01_Вводные'!$B$15)&lt;='01_Вводные'!$B$244,BI8,0))</f>
        <v/>
      </c>
      <c r="BJ33" s="95">
        <f>IF(OR(61&lt;='01_Вводные'!$B$15,61-'01_Вводные'!$B$15&gt;60),0,IF(INDEX('04_Продажи'!$B$11:$BI$11,1,61-'01_Вводные'!$B$15)&lt;='01_Вводные'!$B$244,BJ8,0))</f>
        <v/>
      </c>
      <c r="BK33" s="95">
        <f>IF(OR(62&lt;='01_Вводные'!$B$15,62-'01_Вводные'!$B$15&gt;60),0,IF(INDEX('04_Продажи'!$B$11:$BI$11,1,62-'01_Вводные'!$B$15)&lt;='01_Вводные'!$B$244,BK8,0))</f>
        <v/>
      </c>
      <c r="BL33" s="95">
        <f>IF(OR(63&lt;='01_Вводные'!$B$15,63-'01_Вводные'!$B$15&gt;60),0,IF(INDEX('04_Продажи'!$B$11:$BI$11,1,63-'01_Вводные'!$B$15)&lt;='01_Вводные'!$B$244,BL8,0))</f>
        <v/>
      </c>
      <c r="BM33" s="95">
        <f>IF(OR(64&lt;='01_Вводные'!$B$15,64-'01_Вводные'!$B$15&gt;60),0,IF(INDEX('04_Продажи'!$B$11:$BI$11,1,64-'01_Вводные'!$B$15)&lt;='01_Вводные'!$B$244,BM8,0))</f>
        <v/>
      </c>
      <c r="BN33" s="95">
        <f>IF(OR(65&lt;='01_Вводные'!$B$15,65-'01_Вводные'!$B$15&gt;60),0,IF(INDEX('04_Продажи'!$B$11:$BI$11,1,65-'01_Вводные'!$B$15)&lt;='01_Вводные'!$B$244,BN8,0))</f>
        <v/>
      </c>
      <c r="BO33" s="95">
        <f>IF(OR(66&lt;='01_Вводные'!$B$15,66-'01_Вводные'!$B$15&gt;60),0,IF(INDEX('04_Продажи'!$B$11:$BI$11,1,66-'01_Вводные'!$B$15)&lt;='01_Вводные'!$B$244,BO8,0))</f>
        <v/>
      </c>
    </row>
    <row r="34" hidden="1" outlineLevel="1">
      <c r="A34" s="2" t="inlineStr">
        <is>
          <t>Legacy школы 1–12 мес.</t>
        </is>
      </c>
      <c r="B34" s="187">
        <f>SUM(B81:B92)</f>
        <v/>
      </c>
      <c r="C34" s="187">
        <f>SUM(C81:C92)</f>
        <v/>
      </c>
      <c r="D34" s="187">
        <f>SUM(D81:D92)</f>
        <v/>
      </c>
      <c r="E34" s="187">
        <f>SUM(E81:E92)</f>
        <v/>
      </c>
      <c r="F34" s="187">
        <f>SUM(F81:F92)</f>
        <v/>
      </c>
      <c r="G34" s="187">
        <f>SUM(G81:G92)</f>
        <v/>
      </c>
      <c r="H34" s="187">
        <f>SUM(H81:H92)</f>
        <v/>
      </c>
      <c r="I34" s="187">
        <f>SUM(I81:I92)</f>
        <v/>
      </c>
      <c r="J34" s="187">
        <f>SUM(J81:J92)</f>
        <v/>
      </c>
      <c r="K34" s="187">
        <f>SUM(K81:K92)</f>
        <v/>
      </c>
      <c r="L34" s="187">
        <f>SUM(L81:L92)</f>
        <v/>
      </c>
      <c r="M34" s="187">
        <f>SUM(M81:M92)</f>
        <v/>
      </c>
      <c r="N34" s="187">
        <f>SUM(N81:N92)</f>
        <v/>
      </c>
      <c r="O34" s="187">
        <f>SUM(O81:O92)</f>
        <v/>
      </c>
      <c r="P34" s="187">
        <f>SUM(P81:P92)</f>
        <v/>
      </c>
      <c r="Q34" s="187">
        <f>SUM(Q81:Q92)</f>
        <v/>
      </c>
      <c r="R34" s="187">
        <f>SUM(R81:R92)</f>
        <v/>
      </c>
      <c r="S34" s="187">
        <f>SUM(S81:S92)</f>
        <v/>
      </c>
      <c r="T34" s="187">
        <f>SUM(T81:T92)</f>
        <v/>
      </c>
      <c r="U34" s="187">
        <f>SUM(U81:U92)</f>
        <v/>
      </c>
      <c r="V34" s="187">
        <f>SUM(V81:V92)</f>
        <v/>
      </c>
      <c r="W34" s="187">
        <f>SUM(W81:W92)</f>
        <v/>
      </c>
      <c r="X34" s="187">
        <f>SUM(X81:X92)</f>
        <v/>
      </c>
      <c r="Y34" s="187">
        <f>SUM(Y81:Y92)</f>
        <v/>
      </c>
      <c r="Z34" s="187">
        <f>SUM(Z81:Z92)</f>
        <v/>
      </c>
      <c r="AA34" s="187">
        <f>SUM(AA81:AA92)</f>
        <v/>
      </c>
      <c r="AB34" s="187">
        <f>SUM(AB81:AB92)</f>
        <v/>
      </c>
      <c r="AC34" s="187">
        <f>SUM(AC81:AC92)</f>
        <v/>
      </c>
      <c r="AD34" s="187">
        <f>SUM(AD81:AD92)</f>
        <v/>
      </c>
      <c r="AE34" s="187">
        <f>SUM(AE81:AE92)</f>
        <v/>
      </c>
      <c r="AF34" s="187">
        <f>SUM(AF81:AF92)</f>
        <v/>
      </c>
      <c r="AG34" s="187">
        <f>SUM(AG81:AG92)</f>
        <v/>
      </c>
      <c r="AH34" s="187">
        <f>SUM(AH81:AH92)</f>
        <v/>
      </c>
      <c r="AI34" s="187">
        <f>SUM(AI81:AI92)</f>
        <v/>
      </c>
      <c r="AJ34" s="187">
        <f>SUM(AJ81:AJ92)</f>
        <v/>
      </c>
      <c r="AK34" s="187">
        <f>SUM(AK81:AK92)</f>
        <v/>
      </c>
      <c r="AL34" s="187">
        <f>SUM(AL81:AL92)</f>
        <v/>
      </c>
      <c r="AM34" s="187">
        <f>SUM(AM81:AM92)</f>
        <v/>
      </c>
      <c r="AN34" s="187">
        <f>SUM(AN81:AN92)</f>
        <v/>
      </c>
      <c r="AO34" s="187">
        <f>SUM(AO81:AO92)</f>
        <v/>
      </c>
      <c r="AP34" s="187">
        <f>SUM(AP81:AP92)</f>
        <v/>
      </c>
      <c r="AQ34" s="187">
        <f>SUM(AQ81:AQ92)</f>
        <v/>
      </c>
      <c r="AR34" s="187">
        <f>SUM(AR81:AR92)</f>
        <v/>
      </c>
      <c r="AS34" s="187">
        <f>SUM(AS81:AS92)</f>
        <v/>
      </c>
      <c r="AT34" s="187">
        <f>SUM(AT81:AT92)</f>
        <v/>
      </c>
      <c r="AU34" s="187">
        <f>SUM(AU81:AU92)</f>
        <v/>
      </c>
      <c r="AV34" s="187">
        <f>SUM(AV81:AV92)</f>
        <v/>
      </c>
      <c r="AW34" s="187">
        <f>SUM(AW81:AW92)</f>
        <v/>
      </c>
      <c r="AX34" s="187">
        <f>SUM(AX81:AX92)</f>
        <v/>
      </c>
      <c r="AY34" s="187">
        <f>SUM(AY81:AY92)</f>
        <v/>
      </c>
      <c r="AZ34" s="187">
        <f>SUM(AZ81:AZ92)</f>
        <v/>
      </c>
      <c r="BA34" s="187">
        <f>SUM(BA81:BA92)</f>
        <v/>
      </c>
      <c r="BB34" s="187">
        <f>SUM(BB81:BB92)</f>
        <v/>
      </c>
      <c r="BC34" s="187">
        <f>SUM(BC81:BC92)</f>
        <v/>
      </c>
      <c r="BD34" s="187">
        <f>SUM(BD81:BD92)</f>
        <v/>
      </c>
      <c r="BE34" s="187">
        <f>SUM(BE81:BE92)</f>
        <v/>
      </c>
      <c r="BF34" s="187">
        <f>SUM(BF81:BF92)</f>
        <v/>
      </c>
      <c r="BG34" s="187">
        <f>SUM(BG81:BG92)</f>
        <v/>
      </c>
      <c r="BH34" s="187">
        <f>SUM(BH81:BH92)</f>
        <v/>
      </c>
      <c r="BI34" s="187">
        <f>SUM(BI81:BI92)</f>
        <v/>
      </c>
      <c r="BJ34" s="187">
        <f>SUM(BJ81:BJ92)</f>
        <v/>
      </c>
      <c r="BK34" s="187">
        <f>SUM(BK81:BK92)</f>
        <v/>
      </c>
      <c r="BL34" s="187">
        <f>SUM(BL81:BL92)</f>
        <v/>
      </c>
      <c r="BM34" s="187">
        <f>SUM(BM81:BM92)</f>
        <v/>
      </c>
      <c r="BN34" s="187">
        <f>SUM(BN81:BN92)</f>
        <v/>
      </c>
      <c r="BO34" s="187">
        <f>SUM(BO81:BO92)</f>
        <v/>
      </c>
    </row>
    <row r="35" hidden="1" outlineLevel="1">
      <c r="A35" s="2" t="inlineStr">
        <is>
          <t>Legacy школы 13+ мес.</t>
        </is>
      </c>
      <c r="B35" s="187">
        <f>SUM(B93:B105)</f>
        <v/>
      </c>
      <c r="C35" s="187">
        <f>SUM(C93:C105)</f>
        <v/>
      </c>
      <c r="D35" s="187">
        <f>SUM(D93:D105)</f>
        <v/>
      </c>
      <c r="E35" s="187">
        <f>SUM(E93:E105)</f>
        <v/>
      </c>
      <c r="F35" s="187">
        <f>SUM(F93:F105)</f>
        <v/>
      </c>
      <c r="G35" s="187">
        <f>SUM(G93:G105)</f>
        <v/>
      </c>
      <c r="H35" s="187">
        <f>SUM(H93:H105)</f>
        <v/>
      </c>
      <c r="I35" s="187">
        <f>SUM(I93:I105)</f>
        <v/>
      </c>
      <c r="J35" s="187">
        <f>SUM(J93:J105)</f>
        <v/>
      </c>
      <c r="K35" s="187">
        <f>SUM(K93:K105)</f>
        <v/>
      </c>
      <c r="L35" s="187">
        <f>SUM(L93:L105)</f>
        <v/>
      </c>
      <c r="M35" s="187">
        <f>SUM(M93:M105)</f>
        <v/>
      </c>
      <c r="N35" s="187">
        <f>SUM(N93:N105)</f>
        <v/>
      </c>
      <c r="O35" s="187">
        <f>SUM(O93:O105)</f>
        <v/>
      </c>
      <c r="P35" s="187">
        <f>SUM(P93:P105)</f>
        <v/>
      </c>
      <c r="Q35" s="187">
        <f>SUM(Q93:Q105)</f>
        <v/>
      </c>
      <c r="R35" s="187">
        <f>SUM(R93:R105)</f>
        <v/>
      </c>
      <c r="S35" s="187">
        <f>SUM(S93:S105)</f>
        <v/>
      </c>
      <c r="T35" s="187">
        <f>SUM(T93:T105)</f>
        <v/>
      </c>
      <c r="U35" s="187">
        <f>SUM(U93:U105)</f>
        <v/>
      </c>
      <c r="V35" s="187">
        <f>SUM(V93:V105)</f>
        <v/>
      </c>
      <c r="W35" s="187">
        <f>SUM(W93:W105)</f>
        <v/>
      </c>
      <c r="X35" s="187">
        <f>SUM(X93:X105)</f>
        <v/>
      </c>
      <c r="Y35" s="187">
        <f>SUM(Y93:Y105)</f>
        <v/>
      </c>
      <c r="Z35" s="187">
        <f>SUM(Z93:Z105)</f>
        <v/>
      </c>
      <c r="AA35" s="187">
        <f>SUM(AA93:AA105)</f>
        <v/>
      </c>
      <c r="AB35" s="187">
        <f>SUM(AB93:AB105)</f>
        <v/>
      </c>
      <c r="AC35" s="187">
        <f>SUM(AC93:AC105)</f>
        <v/>
      </c>
      <c r="AD35" s="187">
        <f>SUM(AD93:AD105)</f>
        <v/>
      </c>
      <c r="AE35" s="187">
        <f>SUM(AE93:AE105)</f>
        <v/>
      </c>
      <c r="AF35" s="187">
        <f>SUM(AF93:AF105)</f>
        <v/>
      </c>
      <c r="AG35" s="187">
        <f>SUM(AG93:AG105)</f>
        <v/>
      </c>
      <c r="AH35" s="187">
        <f>SUM(AH93:AH105)</f>
        <v/>
      </c>
      <c r="AI35" s="187">
        <f>SUM(AI93:AI105)</f>
        <v/>
      </c>
      <c r="AJ35" s="187">
        <f>SUM(AJ93:AJ105)</f>
        <v/>
      </c>
      <c r="AK35" s="187">
        <f>SUM(AK93:AK105)</f>
        <v/>
      </c>
      <c r="AL35" s="187">
        <f>SUM(AL93:AL105)</f>
        <v/>
      </c>
      <c r="AM35" s="187">
        <f>SUM(AM93:AM105)</f>
        <v/>
      </c>
      <c r="AN35" s="187">
        <f>SUM(AN93:AN105)</f>
        <v/>
      </c>
      <c r="AO35" s="187">
        <f>SUM(AO93:AO105)</f>
        <v/>
      </c>
      <c r="AP35" s="187">
        <f>SUM(AP93:AP105)</f>
        <v/>
      </c>
      <c r="AQ35" s="187">
        <f>SUM(AQ93:AQ105)</f>
        <v/>
      </c>
      <c r="AR35" s="187">
        <f>SUM(AR93:AR105)</f>
        <v/>
      </c>
      <c r="AS35" s="187">
        <f>SUM(AS93:AS105)</f>
        <v/>
      </c>
      <c r="AT35" s="187">
        <f>SUM(AT93:AT105)</f>
        <v/>
      </c>
      <c r="AU35" s="187">
        <f>SUM(AU93:AU105)</f>
        <v/>
      </c>
      <c r="AV35" s="187">
        <f>SUM(AV93:AV105)</f>
        <v/>
      </c>
      <c r="AW35" s="187">
        <f>SUM(AW93:AW105)</f>
        <v/>
      </c>
      <c r="AX35" s="187">
        <f>SUM(AX93:AX105)</f>
        <v/>
      </c>
      <c r="AY35" s="187">
        <f>SUM(AY93:AY105)</f>
        <v/>
      </c>
      <c r="AZ35" s="187">
        <f>SUM(AZ93:AZ105)</f>
        <v/>
      </c>
      <c r="BA35" s="187">
        <f>SUM(BA93:BA105)</f>
        <v/>
      </c>
      <c r="BB35" s="187">
        <f>SUM(BB93:BB105)</f>
        <v/>
      </c>
      <c r="BC35" s="187">
        <f>SUM(BC93:BC105)</f>
        <v/>
      </c>
      <c r="BD35" s="187">
        <f>SUM(BD93:BD105)</f>
        <v/>
      </c>
      <c r="BE35" s="187">
        <f>SUM(BE93:BE105)</f>
        <v/>
      </c>
      <c r="BF35" s="187">
        <f>SUM(BF93:BF105)</f>
        <v/>
      </c>
      <c r="BG35" s="187">
        <f>SUM(BG93:BG105)</f>
        <v/>
      </c>
      <c r="BH35" s="187">
        <f>SUM(BH93:BH105)</f>
        <v/>
      </c>
      <c r="BI35" s="187">
        <f>SUM(BI93:BI105)</f>
        <v/>
      </c>
      <c r="BJ35" s="187">
        <f>SUM(BJ93:BJ105)</f>
        <v/>
      </c>
      <c r="BK35" s="187">
        <f>SUM(BK93:BK105)</f>
        <v/>
      </c>
      <c r="BL35" s="187">
        <f>SUM(BL93:BL105)</f>
        <v/>
      </c>
      <c r="BM35" s="187">
        <f>SUM(BM93:BM105)</f>
        <v/>
      </c>
      <c r="BN35" s="187">
        <f>SUM(BN93:BN105)</f>
        <v/>
      </c>
      <c r="BO35" s="187">
        <f>SUM(BO93:BO105)</f>
        <v/>
      </c>
    </row>
    <row r="36" hidden="1" outlineLevel="1">
      <c r="A36" s="2" t="inlineStr">
        <is>
          <t>Новые 01.01.27+ школы 1–12 мес.</t>
        </is>
      </c>
      <c r="B36" s="42">
        <f>MAX(0,B13-B34)</f>
        <v/>
      </c>
      <c r="C36" s="42">
        <f>MAX(0,C13-C34)</f>
        <v/>
      </c>
      <c r="D36" s="42">
        <f>MAX(0,D13-D34)</f>
        <v/>
      </c>
      <c r="E36" s="42">
        <f>MAX(0,E13-E34)</f>
        <v/>
      </c>
      <c r="F36" s="42">
        <f>MAX(0,F13-F34)</f>
        <v/>
      </c>
      <c r="G36" s="42">
        <f>MAX(0,G13-G34)</f>
        <v/>
      </c>
      <c r="H36" s="42">
        <f>MAX(0,H13-H34)</f>
        <v/>
      </c>
      <c r="I36" s="42">
        <f>MAX(0,I13-I34)</f>
        <v/>
      </c>
      <c r="J36" s="42">
        <f>MAX(0,J13-J34)</f>
        <v/>
      </c>
      <c r="K36" s="42">
        <f>MAX(0,K13-K34)</f>
        <v/>
      </c>
      <c r="L36" s="42">
        <f>MAX(0,L13-L34)</f>
        <v/>
      </c>
      <c r="M36" s="42">
        <f>MAX(0,M13-M34)</f>
        <v/>
      </c>
      <c r="N36" s="42">
        <f>MAX(0,N13-N34)</f>
        <v/>
      </c>
      <c r="O36" s="42">
        <f>MAX(0,O13-O34)</f>
        <v/>
      </c>
      <c r="P36" s="42">
        <f>MAX(0,P13-P34)</f>
        <v/>
      </c>
      <c r="Q36" s="42">
        <f>MAX(0,Q13-Q34)</f>
        <v/>
      </c>
      <c r="R36" s="42">
        <f>MAX(0,R13-R34)</f>
        <v/>
      </c>
      <c r="S36" s="42">
        <f>MAX(0,S13-S34)</f>
        <v/>
      </c>
      <c r="T36" s="42">
        <f>MAX(0,T13-T34)</f>
        <v/>
      </c>
      <c r="U36" s="42">
        <f>MAX(0,U13-U34)</f>
        <v/>
      </c>
      <c r="V36" s="42">
        <f>MAX(0,V13-V34)</f>
        <v/>
      </c>
      <c r="W36" s="42">
        <f>MAX(0,W13-W34)</f>
        <v/>
      </c>
      <c r="X36" s="42">
        <f>MAX(0,X13-X34)</f>
        <v/>
      </c>
      <c r="Y36" s="42">
        <f>MAX(0,Y13-Y34)</f>
        <v/>
      </c>
      <c r="Z36" s="42">
        <f>MAX(0,Z13-Z34)</f>
        <v/>
      </c>
      <c r="AA36" s="42">
        <f>MAX(0,AA13-AA34)</f>
        <v/>
      </c>
      <c r="AB36" s="42">
        <f>MAX(0,AB13-AB34)</f>
        <v/>
      </c>
      <c r="AC36" s="42">
        <f>MAX(0,AC13-AC34)</f>
        <v/>
      </c>
      <c r="AD36" s="42">
        <f>MAX(0,AD13-AD34)</f>
        <v/>
      </c>
      <c r="AE36" s="42">
        <f>MAX(0,AE13-AE34)</f>
        <v/>
      </c>
      <c r="AF36" s="42">
        <f>MAX(0,AF13-AF34)</f>
        <v/>
      </c>
      <c r="AG36" s="42">
        <f>MAX(0,AG13-AG34)</f>
        <v/>
      </c>
      <c r="AH36" s="42">
        <f>MAX(0,AH13-AH34)</f>
        <v/>
      </c>
      <c r="AI36" s="42">
        <f>MAX(0,AI13-AI34)</f>
        <v/>
      </c>
      <c r="AJ36" s="42">
        <f>MAX(0,AJ13-AJ34)</f>
        <v/>
      </c>
      <c r="AK36" s="42">
        <f>MAX(0,AK13-AK34)</f>
        <v/>
      </c>
      <c r="AL36" s="42">
        <f>MAX(0,AL13-AL34)</f>
        <v/>
      </c>
      <c r="AM36" s="42">
        <f>MAX(0,AM13-AM34)</f>
        <v/>
      </c>
      <c r="AN36" s="42">
        <f>MAX(0,AN13-AN34)</f>
        <v/>
      </c>
      <c r="AO36" s="42">
        <f>MAX(0,AO13-AO34)</f>
        <v/>
      </c>
      <c r="AP36" s="42">
        <f>MAX(0,AP13-AP34)</f>
        <v/>
      </c>
      <c r="AQ36" s="42">
        <f>MAX(0,AQ13-AQ34)</f>
        <v/>
      </c>
      <c r="AR36" s="42">
        <f>MAX(0,AR13-AR34)</f>
        <v/>
      </c>
      <c r="AS36" s="42">
        <f>MAX(0,AS13-AS34)</f>
        <v/>
      </c>
      <c r="AT36" s="42">
        <f>MAX(0,AT13-AT34)</f>
        <v/>
      </c>
      <c r="AU36" s="42">
        <f>MAX(0,AU13-AU34)</f>
        <v/>
      </c>
      <c r="AV36" s="42">
        <f>MAX(0,AV13-AV34)</f>
        <v/>
      </c>
      <c r="AW36" s="42">
        <f>MAX(0,AW13-AW34)</f>
        <v/>
      </c>
      <c r="AX36" s="42">
        <f>MAX(0,AX13-AX34)</f>
        <v/>
      </c>
      <c r="AY36" s="42">
        <f>MAX(0,AY13-AY34)</f>
        <v/>
      </c>
      <c r="AZ36" s="42">
        <f>MAX(0,AZ13-AZ34)</f>
        <v/>
      </c>
      <c r="BA36" s="42">
        <f>MAX(0,BA13-BA34)</f>
        <v/>
      </c>
      <c r="BB36" s="42">
        <f>MAX(0,BB13-BB34)</f>
        <v/>
      </c>
      <c r="BC36" s="42">
        <f>MAX(0,BC13-BC34)</f>
        <v/>
      </c>
      <c r="BD36" s="42">
        <f>MAX(0,BD13-BD34)</f>
        <v/>
      </c>
      <c r="BE36" s="42">
        <f>MAX(0,BE13-BE34)</f>
        <v/>
      </c>
      <c r="BF36" s="42">
        <f>MAX(0,BF13-BF34)</f>
        <v/>
      </c>
      <c r="BG36" s="42">
        <f>MAX(0,BG13-BG34)</f>
        <v/>
      </c>
      <c r="BH36" s="42">
        <f>MAX(0,BH13-BH34)</f>
        <v/>
      </c>
      <c r="BI36" s="42">
        <f>MAX(0,BI13-BI34)</f>
        <v/>
      </c>
      <c r="BJ36" s="42">
        <f>MAX(0,BJ13-BJ34)</f>
        <v/>
      </c>
      <c r="BK36" s="42">
        <f>MAX(0,BK13-BK34)</f>
        <v/>
      </c>
      <c r="BL36" s="42">
        <f>MAX(0,BL13-BL34)</f>
        <v/>
      </c>
      <c r="BM36" s="42">
        <f>MAX(0,BM13-BM34)</f>
        <v/>
      </c>
      <c r="BN36" s="42">
        <f>MAX(0,BN13-BN34)</f>
        <v/>
      </c>
      <c r="BO36" s="42">
        <f>MAX(0,BO13-BO34)</f>
        <v/>
      </c>
    </row>
    <row r="37" hidden="1" outlineLevel="1">
      <c r="A37" s="2" t="inlineStr">
        <is>
          <t>Новые 01.01.27+ школы 13+ мес.</t>
        </is>
      </c>
      <c r="B37" s="42">
        <f>MAX(0,B14+B15-B35)</f>
        <v/>
      </c>
      <c r="C37" s="42">
        <f>MAX(0,C14+C15-C35)</f>
        <v/>
      </c>
      <c r="D37" s="42">
        <f>MAX(0,D14+D15-D35)</f>
        <v/>
      </c>
      <c r="E37" s="42">
        <f>MAX(0,E14+E15-E35)</f>
        <v/>
      </c>
      <c r="F37" s="42">
        <f>MAX(0,F14+F15-F35)</f>
        <v/>
      </c>
      <c r="G37" s="42">
        <f>MAX(0,G14+G15-G35)</f>
        <v/>
      </c>
      <c r="H37" s="42">
        <f>MAX(0,H14+H15-H35)</f>
        <v/>
      </c>
      <c r="I37" s="42">
        <f>MAX(0,I14+I15-I35)</f>
        <v/>
      </c>
      <c r="J37" s="42">
        <f>MAX(0,J14+J15-J35)</f>
        <v/>
      </c>
      <c r="K37" s="42">
        <f>MAX(0,K14+K15-K35)</f>
        <v/>
      </c>
      <c r="L37" s="42">
        <f>MAX(0,L14+L15-L35)</f>
        <v/>
      </c>
      <c r="M37" s="42">
        <f>MAX(0,M14+M15-M35)</f>
        <v/>
      </c>
      <c r="N37" s="42">
        <f>MAX(0,N14+N15-N35)</f>
        <v/>
      </c>
      <c r="O37" s="42">
        <f>MAX(0,O14+O15-O35)</f>
        <v/>
      </c>
      <c r="P37" s="42">
        <f>MAX(0,P14+P15-P35)</f>
        <v/>
      </c>
      <c r="Q37" s="42">
        <f>MAX(0,Q14+Q15-Q35)</f>
        <v/>
      </c>
      <c r="R37" s="42">
        <f>MAX(0,R14+R15-R35)</f>
        <v/>
      </c>
      <c r="S37" s="42">
        <f>MAX(0,S14+S15-S35)</f>
        <v/>
      </c>
      <c r="T37" s="42">
        <f>MAX(0,T14+T15-T35)</f>
        <v/>
      </c>
      <c r="U37" s="42">
        <f>MAX(0,U14+U15-U35)</f>
        <v/>
      </c>
      <c r="V37" s="42">
        <f>MAX(0,V14+V15-V35)</f>
        <v/>
      </c>
      <c r="W37" s="42">
        <f>MAX(0,W14+W15-W35)</f>
        <v/>
      </c>
      <c r="X37" s="42">
        <f>MAX(0,X14+X15-X35)</f>
        <v/>
      </c>
      <c r="Y37" s="42">
        <f>MAX(0,Y14+Y15-Y35)</f>
        <v/>
      </c>
      <c r="Z37" s="42">
        <f>MAX(0,Z14+Z15-Z35)</f>
        <v/>
      </c>
      <c r="AA37" s="42">
        <f>MAX(0,AA14+AA15-AA35)</f>
        <v/>
      </c>
      <c r="AB37" s="42">
        <f>MAX(0,AB14+AB15-AB35)</f>
        <v/>
      </c>
      <c r="AC37" s="42">
        <f>MAX(0,AC14+AC15-AC35)</f>
        <v/>
      </c>
      <c r="AD37" s="42">
        <f>MAX(0,AD14+AD15-AD35)</f>
        <v/>
      </c>
      <c r="AE37" s="42">
        <f>MAX(0,AE14+AE15-AE35)</f>
        <v/>
      </c>
      <c r="AF37" s="42">
        <f>MAX(0,AF14+AF15-AF35)</f>
        <v/>
      </c>
      <c r="AG37" s="42">
        <f>MAX(0,AG14+AG15-AG35)</f>
        <v/>
      </c>
      <c r="AH37" s="42">
        <f>MAX(0,AH14+AH15-AH35)</f>
        <v/>
      </c>
      <c r="AI37" s="42">
        <f>MAX(0,AI14+AI15-AI35)</f>
        <v/>
      </c>
      <c r="AJ37" s="42">
        <f>MAX(0,AJ14+AJ15-AJ35)</f>
        <v/>
      </c>
      <c r="AK37" s="42">
        <f>MAX(0,AK14+AK15-AK35)</f>
        <v/>
      </c>
      <c r="AL37" s="42">
        <f>MAX(0,AL14+AL15-AL35)</f>
        <v/>
      </c>
      <c r="AM37" s="42">
        <f>MAX(0,AM14+AM15-AM35)</f>
        <v/>
      </c>
      <c r="AN37" s="42">
        <f>MAX(0,AN14+AN15-AN35)</f>
        <v/>
      </c>
      <c r="AO37" s="42">
        <f>MAX(0,AO14+AO15-AO35)</f>
        <v/>
      </c>
      <c r="AP37" s="42">
        <f>MAX(0,AP14+AP15-AP35)</f>
        <v/>
      </c>
      <c r="AQ37" s="42">
        <f>MAX(0,AQ14+AQ15-AQ35)</f>
        <v/>
      </c>
      <c r="AR37" s="42">
        <f>MAX(0,AR14+AR15-AR35)</f>
        <v/>
      </c>
      <c r="AS37" s="42">
        <f>MAX(0,AS14+AS15-AS35)</f>
        <v/>
      </c>
      <c r="AT37" s="42">
        <f>MAX(0,AT14+AT15-AT35)</f>
        <v/>
      </c>
      <c r="AU37" s="42">
        <f>MAX(0,AU14+AU15-AU35)</f>
        <v/>
      </c>
      <c r="AV37" s="42">
        <f>MAX(0,AV14+AV15-AV35)</f>
        <v/>
      </c>
      <c r="AW37" s="42">
        <f>MAX(0,AW14+AW15-AW35)</f>
        <v/>
      </c>
      <c r="AX37" s="42">
        <f>MAX(0,AX14+AX15-AX35)</f>
        <v/>
      </c>
      <c r="AY37" s="42">
        <f>MAX(0,AY14+AY15-AY35)</f>
        <v/>
      </c>
      <c r="AZ37" s="42">
        <f>MAX(0,AZ14+AZ15-AZ35)</f>
        <v/>
      </c>
      <c r="BA37" s="42">
        <f>MAX(0,BA14+BA15-BA35)</f>
        <v/>
      </c>
      <c r="BB37" s="42">
        <f>MAX(0,BB14+BB15-BB35)</f>
        <v/>
      </c>
      <c r="BC37" s="42">
        <f>MAX(0,BC14+BC15-BC35)</f>
        <v/>
      </c>
      <c r="BD37" s="42">
        <f>MAX(0,BD14+BD15-BD35)</f>
        <v/>
      </c>
      <c r="BE37" s="42">
        <f>MAX(0,BE14+BE15-BE35)</f>
        <v/>
      </c>
      <c r="BF37" s="42">
        <f>MAX(0,BF14+BF15-BF35)</f>
        <v/>
      </c>
      <c r="BG37" s="42">
        <f>MAX(0,BG14+BG15-BG35)</f>
        <v/>
      </c>
      <c r="BH37" s="42">
        <f>MAX(0,BH14+BH15-BH35)</f>
        <v/>
      </c>
      <c r="BI37" s="42">
        <f>MAX(0,BI14+BI15-BI35)</f>
        <v/>
      </c>
      <c r="BJ37" s="42">
        <f>MAX(0,BJ14+BJ15-BJ35)</f>
        <v/>
      </c>
      <c r="BK37" s="42">
        <f>MAX(0,BK14+BK15-BK35)</f>
        <v/>
      </c>
      <c r="BL37" s="42">
        <f>MAX(0,BL14+BL15-BL35)</f>
        <v/>
      </c>
      <c r="BM37" s="42">
        <f>MAX(0,BM14+BM15-BM35)</f>
        <v/>
      </c>
      <c r="BN37" s="42">
        <f>MAX(0,BN14+BN15-BN35)</f>
        <v/>
      </c>
      <c r="BO37" s="42">
        <f>MAX(0,BO14+BO15-BO35)</f>
        <v/>
      </c>
    </row>
    <row r="38" hidden="1" outlineLevel="1">
      <c r="A38" s="2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  <c r="T38" s="95" t="n"/>
      <c r="U38" s="95" t="n"/>
      <c r="V38" s="95" t="n"/>
      <c r="W38" s="95" t="n"/>
      <c r="X38" s="95" t="n"/>
      <c r="Y38" s="95" t="n"/>
      <c r="Z38" s="95" t="n"/>
      <c r="AA38" s="95" t="n"/>
      <c r="AB38" s="95" t="n"/>
      <c r="AC38" s="95" t="n"/>
      <c r="AD38" s="95" t="n"/>
      <c r="AE38" s="95" t="n"/>
      <c r="AF38" s="95" t="n"/>
      <c r="AG38" s="95" t="n"/>
      <c r="AH38" s="95" t="n"/>
      <c r="AI38" s="95" t="n"/>
      <c r="AJ38" s="95" t="n"/>
      <c r="AK38" s="95" t="n"/>
      <c r="AL38" s="95" t="n"/>
      <c r="AM38" s="95" t="n"/>
      <c r="AN38" s="95" t="n"/>
      <c r="AO38" s="95" t="n"/>
      <c r="AP38" s="95" t="n"/>
      <c r="AQ38" s="95" t="n"/>
      <c r="AR38" s="95" t="n"/>
      <c r="AS38" s="95" t="n"/>
      <c r="AT38" s="95" t="n"/>
      <c r="AU38" s="95" t="n"/>
      <c r="AV38" s="95" t="n"/>
      <c r="AW38" s="95" t="n"/>
      <c r="AX38" s="95" t="n"/>
      <c r="AY38" s="95" t="n"/>
      <c r="AZ38" s="95" t="n"/>
      <c r="BA38" s="95" t="n"/>
      <c r="BB38" s="95" t="n"/>
      <c r="BC38" s="95" t="n"/>
      <c r="BD38" s="95" t="n"/>
      <c r="BE38" s="95" t="n"/>
      <c r="BF38" s="95" t="n"/>
      <c r="BG38" s="95" t="n"/>
      <c r="BH38" s="95" t="n"/>
      <c r="BI38" s="95" t="n"/>
      <c r="BJ38" s="95" t="n"/>
      <c r="BK38" s="95" t="n"/>
      <c r="BL38" s="95" t="n"/>
      <c r="BM38" s="95" t="n"/>
      <c r="BN38" s="95" t="n"/>
      <c r="BO38" s="95" t="n"/>
    </row>
    <row r="39" hidden="1" outlineLevel="1">
      <c r="A39" s="2" t="n"/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  <c r="T39" s="95" t="n"/>
      <c r="U39" s="95" t="n"/>
      <c r="V39" s="95" t="n"/>
      <c r="W39" s="95" t="n"/>
      <c r="X39" s="95" t="n"/>
      <c r="Y39" s="95" t="n"/>
      <c r="Z39" s="95" t="n"/>
      <c r="AA39" s="95" t="n"/>
      <c r="AB39" s="95" t="n"/>
      <c r="AC39" s="95" t="n"/>
      <c r="AD39" s="95" t="n"/>
      <c r="AE39" s="95" t="n"/>
      <c r="AF39" s="95" t="n"/>
      <c r="AG39" s="95" t="n"/>
      <c r="AH39" s="95" t="n"/>
      <c r="AI39" s="95" t="n"/>
      <c r="AJ39" s="95" t="n"/>
      <c r="AK39" s="95" t="n"/>
      <c r="AL39" s="95" t="n"/>
      <c r="AM39" s="95" t="n"/>
      <c r="AN39" s="95" t="n"/>
      <c r="AO39" s="95" t="n"/>
      <c r="AP39" s="95" t="n"/>
      <c r="AQ39" s="95" t="n"/>
      <c r="AR39" s="95" t="n"/>
      <c r="AS39" s="95" t="n"/>
      <c r="AT39" s="95" t="n"/>
      <c r="AU39" s="95" t="n"/>
      <c r="AV39" s="95" t="n"/>
      <c r="AW39" s="95" t="n"/>
      <c r="AX39" s="95" t="n"/>
      <c r="AY39" s="95" t="n"/>
      <c r="AZ39" s="95" t="n"/>
      <c r="BA39" s="95" t="n"/>
      <c r="BB39" s="95" t="n"/>
      <c r="BC39" s="95" t="n"/>
      <c r="BD39" s="95" t="n"/>
      <c r="BE39" s="95" t="n"/>
      <c r="BF39" s="95" t="n"/>
      <c r="BG39" s="95" t="n"/>
      <c r="BH39" s="95" t="n"/>
      <c r="BI39" s="95" t="n"/>
      <c r="BJ39" s="95" t="n"/>
      <c r="BK39" s="95" t="n"/>
      <c r="BL39" s="95" t="n"/>
      <c r="BM39" s="95" t="n"/>
      <c r="BN39" s="95" t="n"/>
      <c r="BO39" s="95" t="n"/>
    </row>
    <row r="40" hidden="1" outlineLevel="1">
      <c r="A40" s="2" t="n"/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  <c r="T40" s="95" t="n"/>
      <c r="U40" s="95" t="n"/>
      <c r="V40" s="95" t="n"/>
      <c r="W40" s="95" t="n"/>
      <c r="X40" s="95" t="n"/>
      <c r="Y40" s="95" t="n"/>
      <c r="Z40" s="95" t="n"/>
      <c r="AA40" s="95" t="n"/>
      <c r="AB40" s="95" t="n"/>
      <c r="AC40" s="95" t="n"/>
      <c r="AD40" s="95" t="n"/>
      <c r="AE40" s="95" t="n"/>
      <c r="AF40" s="95" t="n"/>
      <c r="AG40" s="95" t="n"/>
      <c r="AH40" s="95" t="n"/>
      <c r="AI40" s="95" t="n"/>
      <c r="AJ40" s="95" t="n"/>
      <c r="AK40" s="95" t="n"/>
      <c r="AL40" s="95" t="n"/>
      <c r="AM40" s="95" t="n"/>
      <c r="AN40" s="95" t="n"/>
      <c r="AO40" s="95" t="n"/>
      <c r="AP40" s="95" t="n"/>
      <c r="AQ40" s="95" t="n"/>
      <c r="AR40" s="95" t="n"/>
      <c r="AS40" s="95" t="n"/>
      <c r="AT40" s="95" t="n"/>
      <c r="AU40" s="95" t="n"/>
      <c r="AV40" s="95" t="n"/>
      <c r="AW40" s="95" t="n"/>
      <c r="AX40" s="95" t="n"/>
      <c r="AY40" s="95" t="n"/>
      <c r="AZ40" s="95" t="n"/>
      <c r="BA40" s="95" t="n"/>
      <c r="BB40" s="95" t="n"/>
      <c r="BC40" s="95" t="n"/>
      <c r="BD40" s="95" t="n"/>
      <c r="BE40" s="95" t="n"/>
      <c r="BF40" s="95" t="n"/>
      <c r="BG40" s="95" t="n"/>
      <c r="BH40" s="95" t="n"/>
      <c r="BI40" s="95" t="n"/>
      <c r="BJ40" s="95" t="n"/>
      <c r="BK40" s="95" t="n"/>
      <c r="BL40" s="95" t="n"/>
      <c r="BM40" s="95" t="n"/>
      <c r="BN40" s="95" t="n"/>
      <c r="BO40" s="95" t="n"/>
    </row>
    <row r="41" hidden="1" outlineLevel="1">
      <c r="A41" s="2" t="n"/>
      <c r="B41" s="95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5" t="n"/>
      <c r="T41" s="95" t="n"/>
      <c r="U41" s="95" t="n"/>
      <c r="V41" s="95" t="n"/>
      <c r="W41" s="95" t="n"/>
      <c r="X41" s="95" t="n"/>
      <c r="Y41" s="95" t="n"/>
      <c r="Z41" s="95" t="n"/>
      <c r="AA41" s="95" t="n"/>
      <c r="AB41" s="95" t="n"/>
      <c r="AC41" s="95" t="n"/>
      <c r="AD41" s="95" t="n"/>
      <c r="AE41" s="95" t="n"/>
      <c r="AF41" s="95" t="n"/>
      <c r="AG41" s="95" t="n"/>
      <c r="AH41" s="95" t="n"/>
      <c r="AI41" s="95" t="n"/>
      <c r="AJ41" s="95" t="n"/>
      <c r="AK41" s="95" t="n"/>
      <c r="AL41" s="95" t="n"/>
      <c r="AM41" s="95" t="n"/>
      <c r="AN41" s="95" t="n"/>
      <c r="AO41" s="95" t="n"/>
      <c r="AP41" s="95" t="n"/>
      <c r="AQ41" s="95" t="n"/>
      <c r="AR41" s="95" t="n"/>
      <c r="AS41" s="95" t="n"/>
      <c r="AT41" s="95" t="n"/>
      <c r="AU41" s="95" t="n"/>
      <c r="AV41" s="95" t="n"/>
      <c r="AW41" s="95" t="n"/>
      <c r="AX41" s="95" t="n"/>
      <c r="AY41" s="95" t="n"/>
      <c r="AZ41" s="95" t="n"/>
      <c r="BA41" s="95" t="n"/>
      <c r="BB41" s="95" t="n"/>
      <c r="BC41" s="95" t="n"/>
      <c r="BD41" s="95" t="n"/>
      <c r="BE41" s="95" t="n"/>
      <c r="BF41" s="95" t="n"/>
      <c r="BG41" s="95" t="n"/>
      <c r="BH41" s="95" t="n"/>
      <c r="BI41" s="95" t="n"/>
      <c r="BJ41" s="95" t="n"/>
      <c r="BK41" s="95" t="n"/>
      <c r="BL41" s="95" t="n"/>
      <c r="BM41" s="95" t="n"/>
      <c r="BN41" s="95" t="n"/>
      <c r="BO41" s="95" t="n"/>
    </row>
    <row r="42" hidden="1" outlineLevel="1"/>
    <row r="43" hidden="1" outlineLevel="1">
      <c r="A43" t="inlineStr">
        <is>
          <t>Подключения новых школ к ERP</t>
        </is>
      </c>
      <c r="B43" s="126">
        <f>IF(1&lt;='01_Вводные'!$B$235,0,INDEX($B$8:$BO$8,1,1-'01_Вводные'!$B$235)*'01_Вводные'!$B$14^'01_Вводные'!$B$235)</f>
        <v/>
      </c>
      <c r="C43" s="126">
        <f>IF(2&lt;='01_Вводные'!$B$235,0,INDEX($B$8:$BO$8,1,2-'01_Вводные'!$B$235)*'01_Вводные'!$B$14^'01_Вводные'!$B$235)</f>
        <v/>
      </c>
      <c r="D43" s="126">
        <f>IF(3&lt;='01_Вводные'!$B$235,0,INDEX($B$8:$BO$8,1,3-'01_Вводные'!$B$235)*'01_Вводные'!$B$14^'01_Вводные'!$B$235)</f>
        <v/>
      </c>
      <c r="E43" s="126">
        <f>IF(4&lt;='01_Вводные'!$B$235,0,INDEX($B$8:$BO$8,1,4-'01_Вводные'!$B$235)*'01_Вводные'!$B$14^'01_Вводные'!$B$235)</f>
        <v/>
      </c>
      <c r="F43" s="126">
        <f>IF(5&lt;='01_Вводные'!$B$235,0,INDEX($B$8:$BO$8,1,5-'01_Вводные'!$B$235)*'01_Вводные'!$B$14^'01_Вводные'!$B$235)</f>
        <v/>
      </c>
      <c r="G43" s="126">
        <f>IF(6&lt;='01_Вводные'!$B$235,0,INDEX($B$8:$BO$8,1,6-'01_Вводные'!$B$235)*'01_Вводные'!$B$14^'01_Вводные'!$B$235)</f>
        <v/>
      </c>
      <c r="H43" s="126">
        <f>IF(7&lt;='01_Вводные'!$B$235,0,INDEX($B$8:$BO$8,1,7-'01_Вводные'!$B$235)*'01_Вводные'!$B$14^'01_Вводные'!$B$235)</f>
        <v/>
      </c>
      <c r="I43" s="126">
        <f>IF(8&lt;='01_Вводные'!$B$235,0,INDEX($B$8:$BO$8,1,8-'01_Вводные'!$B$235)*'01_Вводные'!$B$14^'01_Вводные'!$B$235)</f>
        <v/>
      </c>
      <c r="J43" s="126">
        <f>IF(9&lt;='01_Вводные'!$B$235,0,INDEX($B$8:$BO$8,1,9-'01_Вводные'!$B$235)*'01_Вводные'!$B$14^'01_Вводные'!$B$235)</f>
        <v/>
      </c>
      <c r="K43" s="126">
        <f>IF(10&lt;='01_Вводные'!$B$235,0,INDEX($B$8:$BO$8,1,10-'01_Вводные'!$B$235)*'01_Вводные'!$B$14^'01_Вводные'!$B$235)</f>
        <v/>
      </c>
      <c r="L43" s="126">
        <f>IF(11&lt;='01_Вводные'!$B$235,0,INDEX($B$8:$BO$8,1,11-'01_Вводные'!$B$235)*'01_Вводные'!$B$14^'01_Вводные'!$B$235)</f>
        <v/>
      </c>
      <c r="M43" s="126">
        <f>IF(12&lt;='01_Вводные'!$B$235,0,INDEX($B$8:$BO$8,1,12-'01_Вводные'!$B$235)*'01_Вводные'!$B$14^'01_Вводные'!$B$235)</f>
        <v/>
      </c>
      <c r="N43" s="126">
        <f>IF(13&lt;='01_Вводные'!$B$235,0,INDEX($B$8:$BO$8,1,13-'01_Вводные'!$B$235)*'01_Вводные'!$B$14^'01_Вводные'!$B$235)</f>
        <v/>
      </c>
      <c r="O43" s="126">
        <f>IF(14&lt;='01_Вводные'!$B$235,0,INDEX($B$8:$BO$8,1,14-'01_Вводные'!$B$235)*'01_Вводные'!$B$14^'01_Вводные'!$B$235)</f>
        <v/>
      </c>
      <c r="P43" s="126">
        <f>IF(15&lt;='01_Вводные'!$B$235,0,INDEX($B$8:$BO$8,1,15-'01_Вводные'!$B$235)*'01_Вводные'!$B$14^'01_Вводные'!$B$235)</f>
        <v/>
      </c>
      <c r="Q43" s="126">
        <f>IF(16&lt;='01_Вводные'!$B$235,0,INDEX($B$8:$BO$8,1,16-'01_Вводные'!$B$235)*'01_Вводные'!$B$14^'01_Вводные'!$B$235)</f>
        <v/>
      </c>
      <c r="R43" s="126">
        <f>IF(17&lt;='01_Вводные'!$B$235,0,INDEX($B$8:$BO$8,1,17-'01_Вводные'!$B$235)*'01_Вводные'!$B$14^'01_Вводные'!$B$235)</f>
        <v/>
      </c>
      <c r="S43" s="126">
        <f>IF(18&lt;='01_Вводные'!$B$235,0,INDEX($B$8:$BO$8,1,18-'01_Вводные'!$B$235)*'01_Вводные'!$B$14^'01_Вводные'!$B$235)</f>
        <v/>
      </c>
      <c r="T43" s="126">
        <f>IF(19&lt;='01_Вводные'!$B$235,0,INDEX($B$8:$BO$8,1,19-'01_Вводные'!$B$235)*'01_Вводные'!$B$14^'01_Вводные'!$B$235)</f>
        <v/>
      </c>
      <c r="U43" s="126">
        <f>IF(20&lt;='01_Вводные'!$B$235,0,INDEX($B$8:$BO$8,1,20-'01_Вводные'!$B$235)*'01_Вводные'!$B$14^'01_Вводные'!$B$235)</f>
        <v/>
      </c>
      <c r="V43" s="126">
        <f>IF(21&lt;='01_Вводные'!$B$235,0,INDEX($B$8:$BO$8,1,21-'01_Вводные'!$B$235)*'01_Вводные'!$B$14^'01_Вводные'!$B$235)</f>
        <v/>
      </c>
      <c r="W43" s="126">
        <f>IF(22&lt;='01_Вводные'!$B$235,0,INDEX($B$8:$BO$8,1,22-'01_Вводные'!$B$235)*'01_Вводные'!$B$14^'01_Вводные'!$B$235)</f>
        <v/>
      </c>
      <c r="X43" s="126">
        <f>IF(23&lt;='01_Вводные'!$B$235,0,INDEX($B$8:$BO$8,1,23-'01_Вводные'!$B$235)*'01_Вводные'!$B$14^'01_Вводные'!$B$235)</f>
        <v/>
      </c>
      <c r="Y43" s="126">
        <f>IF(24&lt;='01_Вводные'!$B$235,0,INDEX($B$8:$BO$8,1,24-'01_Вводные'!$B$235)*'01_Вводные'!$B$14^'01_Вводные'!$B$235)</f>
        <v/>
      </c>
      <c r="Z43" s="126">
        <f>IF(25&lt;='01_Вводные'!$B$235,0,INDEX($B$8:$BO$8,1,25-'01_Вводные'!$B$235)*'01_Вводные'!$B$14^'01_Вводные'!$B$235)</f>
        <v/>
      </c>
      <c r="AA43" s="126">
        <f>IF(26&lt;='01_Вводные'!$B$235,0,INDEX($B$8:$BO$8,1,26-'01_Вводные'!$B$235)*'01_Вводные'!$B$14^'01_Вводные'!$B$235)</f>
        <v/>
      </c>
      <c r="AB43" s="126">
        <f>IF(27&lt;='01_Вводные'!$B$235,0,INDEX($B$8:$BO$8,1,27-'01_Вводные'!$B$235)*'01_Вводные'!$B$14^'01_Вводные'!$B$235)</f>
        <v/>
      </c>
      <c r="AC43" s="126">
        <f>IF(28&lt;='01_Вводные'!$B$235,0,INDEX($B$8:$BO$8,1,28-'01_Вводные'!$B$235)*'01_Вводные'!$B$14^'01_Вводные'!$B$235)</f>
        <v/>
      </c>
      <c r="AD43" s="126">
        <f>IF(29&lt;='01_Вводные'!$B$235,0,INDEX($B$8:$BO$8,1,29-'01_Вводные'!$B$235)*'01_Вводные'!$B$14^'01_Вводные'!$B$235)</f>
        <v/>
      </c>
      <c r="AE43" s="126">
        <f>IF(30&lt;='01_Вводные'!$B$235,0,INDEX($B$8:$BO$8,1,30-'01_Вводные'!$B$235)*'01_Вводные'!$B$14^'01_Вводные'!$B$235)</f>
        <v/>
      </c>
      <c r="AF43" s="126">
        <f>IF(31&lt;='01_Вводные'!$B$235,0,INDEX($B$8:$BO$8,1,31-'01_Вводные'!$B$235)*'01_Вводные'!$B$14^'01_Вводные'!$B$235)</f>
        <v/>
      </c>
      <c r="AG43" s="126">
        <f>IF(32&lt;='01_Вводные'!$B$235,0,INDEX($B$8:$BO$8,1,32-'01_Вводные'!$B$235)*'01_Вводные'!$B$14^'01_Вводные'!$B$235)</f>
        <v/>
      </c>
      <c r="AH43" s="126">
        <f>IF(33&lt;='01_Вводные'!$B$235,0,INDEX($B$8:$BO$8,1,33-'01_Вводные'!$B$235)*'01_Вводные'!$B$14^'01_Вводные'!$B$235)</f>
        <v/>
      </c>
      <c r="AI43" s="126">
        <f>IF(34&lt;='01_Вводные'!$B$235,0,INDEX($B$8:$BO$8,1,34-'01_Вводные'!$B$235)*'01_Вводные'!$B$14^'01_Вводные'!$B$235)</f>
        <v/>
      </c>
      <c r="AJ43" s="126">
        <f>IF(35&lt;='01_Вводные'!$B$235,0,INDEX($B$8:$BO$8,1,35-'01_Вводные'!$B$235)*'01_Вводные'!$B$14^'01_Вводные'!$B$235)</f>
        <v/>
      </c>
      <c r="AK43" s="126">
        <f>IF(36&lt;='01_Вводные'!$B$235,0,INDEX($B$8:$BO$8,1,36-'01_Вводные'!$B$235)*'01_Вводные'!$B$14^'01_Вводные'!$B$235)</f>
        <v/>
      </c>
      <c r="AL43" s="126">
        <f>IF(37&lt;='01_Вводные'!$B$235,0,INDEX($B$8:$BO$8,1,37-'01_Вводные'!$B$235)*'01_Вводные'!$B$14^'01_Вводные'!$B$235)</f>
        <v/>
      </c>
      <c r="AM43" s="126">
        <f>IF(38&lt;='01_Вводные'!$B$235,0,INDEX($B$8:$BO$8,1,38-'01_Вводные'!$B$235)*'01_Вводные'!$B$14^'01_Вводные'!$B$235)</f>
        <v/>
      </c>
      <c r="AN43" s="126">
        <f>IF(39&lt;='01_Вводные'!$B$235,0,INDEX($B$8:$BO$8,1,39-'01_Вводные'!$B$235)*'01_Вводные'!$B$14^'01_Вводные'!$B$235)</f>
        <v/>
      </c>
      <c r="AO43" s="126">
        <f>IF(40&lt;='01_Вводные'!$B$235,0,INDEX($B$8:$BO$8,1,40-'01_Вводные'!$B$235)*'01_Вводные'!$B$14^'01_Вводные'!$B$235)</f>
        <v/>
      </c>
      <c r="AP43" s="126">
        <f>IF(41&lt;='01_Вводные'!$B$235,0,INDEX($B$8:$BO$8,1,41-'01_Вводные'!$B$235)*'01_Вводные'!$B$14^'01_Вводные'!$B$235)</f>
        <v/>
      </c>
      <c r="AQ43" s="126">
        <f>IF(42&lt;='01_Вводные'!$B$235,0,INDEX($B$8:$BO$8,1,42-'01_Вводные'!$B$235)*'01_Вводные'!$B$14^'01_Вводные'!$B$235)</f>
        <v/>
      </c>
      <c r="AR43" s="126">
        <f>IF(43&lt;='01_Вводные'!$B$235,0,INDEX($B$8:$BO$8,1,43-'01_Вводные'!$B$235)*'01_Вводные'!$B$14^'01_Вводные'!$B$235)</f>
        <v/>
      </c>
      <c r="AS43" s="126">
        <f>IF(44&lt;='01_Вводные'!$B$235,0,INDEX($B$8:$BO$8,1,44-'01_Вводные'!$B$235)*'01_Вводные'!$B$14^'01_Вводные'!$B$235)</f>
        <v/>
      </c>
      <c r="AT43" s="126">
        <f>IF(45&lt;='01_Вводные'!$B$235,0,INDEX($B$8:$BO$8,1,45-'01_Вводные'!$B$235)*'01_Вводные'!$B$14^'01_Вводные'!$B$235)</f>
        <v/>
      </c>
      <c r="AU43" s="126">
        <f>IF(46&lt;='01_Вводные'!$B$235,0,INDEX($B$8:$BO$8,1,46-'01_Вводные'!$B$235)*'01_Вводные'!$B$14^'01_Вводные'!$B$235)</f>
        <v/>
      </c>
      <c r="AV43" s="126">
        <f>IF(47&lt;='01_Вводные'!$B$235,0,INDEX($B$8:$BO$8,1,47-'01_Вводные'!$B$235)*'01_Вводные'!$B$14^'01_Вводные'!$B$235)</f>
        <v/>
      </c>
      <c r="AW43" s="126">
        <f>IF(48&lt;='01_Вводные'!$B$235,0,INDEX($B$8:$BO$8,1,48-'01_Вводные'!$B$235)*'01_Вводные'!$B$14^'01_Вводные'!$B$235)</f>
        <v/>
      </c>
      <c r="AX43" s="126">
        <f>IF(49&lt;='01_Вводные'!$B$235,0,INDEX($B$8:$BO$8,1,49-'01_Вводные'!$B$235)*'01_Вводные'!$B$14^'01_Вводные'!$B$235)</f>
        <v/>
      </c>
      <c r="AY43" s="126">
        <f>IF(50&lt;='01_Вводные'!$B$235,0,INDEX($B$8:$BO$8,1,50-'01_Вводные'!$B$235)*'01_Вводные'!$B$14^'01_Вводные'!$B$235)</f>
        <v/>
      </c>
      <c r="AZ43" s="126">
        <f>IF(51&lt;='01_Вводные'!$B$235,0,INDEX($B$8:$BO$8,1,51-'01_Вводные'!$B$235)*'01_Вводные'!$B$14^'01_Вводные'!$B$235)</f>
        <v/>
      </c>
      <c r="BA43" s="126">
        <f>IF(52&lt;='01_Вводные'!$B$235,0,INDEX($B$8:$BO$8,1,52-'01_Вводные'!$B$235)*'01_Вводные'!$B$14^'01_Вводные'!$B$235)</f>
        <v/>
      </c>
      <c r="BB43" s="126">
        <f>IF(53&lt;='01_Вводные'!$B$235,0,INDEX($B$8:$BO$8,1,53-'01_Вводные'!$B$235)*'01_Вводные'!$B$14^'01_Вводные'!$B$235)</f>
        <v/>
      </c>
      <c r="BC43" s="126">
        <f>IF(54&lt;='01_Вводные'!$B$235,0,INDEX($B$8:$BO$8,1,54-'01_Вводные'!$B$235)*'01_Вводные'!$B$14^'01_Вводные'!$B$235)</f>
        <v/>
      </c>
      <c r="BD43" s="126">
        <f>IF(55&lt;='01_Вводные'!$B$235,0,INDEX($B$8:$BO$8,1,55-'01_Вводные'!$B$235)*'01_Вводные'!$B$14^'01_Вводные'!$B$235)</f>
        <v/>
      </c>
      <c r="BE43" s="126">
        <f>IF(56&lt;='01_Вводные'!$B$235,0,INDEX($B$8:$BO$8,1,56-'01_Вводные'!$B$235)*'01_Вводные'!$B$14^'01_Вводные'!$B$235)</f>
        <v/>
      </c>
      <c r="BF43" s="126">
        <f>IF(57&lt;='01_Вводные'!$B$235,0,INDEX($B$8:$BO$8,1,57-'01_Вводные'!$B$235)*'01_Вводные'!$B$14^'01_Вводные'!$B$235)</f>
        <v/>
      </c>
      <c r="BG43" s="126">
        <f>IF(58&lt;='01_Вводные'!$B$235,0,INDEX($B$8:$BO$8,1,58-'01_Вводные'!$B$235)*'01_Вводные'!$B$14^'01_Вводные'!$B$235)</f>
        <v/>
      </c>
      <c r="BH43" s="126">
        <f>IF(59&lt;='01_Вводные'!$B$235,0,INDEX($B$8:$BO$8,1,59-'01_Вводные'!$B$235)*'01_Вводные'!$B$14^'01_Вводные'!$B$235)</f>
        <v/>
      </c>
      <c r="BI43" s="126">
        <f>IF(60&lt;='01_Вводные'!$B$235,0,INDEX($B$8:$BO$8,1,60-'01_Вводные'!$B$235)*'01_Вводные'!$B$14^'01_Вводные'!$B$235)</f>
        <v/>
      </c>
      <c r="BJ43" s="126">
        <f>IF(61&lt;='01_Вводные'!$B$235,0,INDEX($B$8:$BO$8,1,61-'01_Вводные'!$B$235)*'01_Вводные'!$B$14^'01_Вводные'!$B$235)</f>
        <v/>
      </c>
      <c r="BK43" s="126">
        <f>IF(62&lt;='01_Вводные'!$B$235,0,INDEX($B$8:$BO$8,1,62-'01_Вводные'!$B$235)*'01_Вводные'!$B$14^'01_Вводные'!$B$235)</f>
        <v/>
      </c>
      <c r="BL43" s="126">
        <f>IF(63&lt;='01_Вводные'!$B$235,0,INDEX($B$8:$BO$8,1,63-'01_Вводные'!$B$235)*'01_Вводные'!$B$14^'01_Вводные'!$B$235)</f>
        <v/>
      </c>
      <c r="BM43" s="126">
        <f>IF(64&lt;='01_Вводные'!$B$235,0,INDEX($B$8:$BO$8,1,64-'01_Вводные'!$B$235)*'01_Вводные'!$B$14^'01_Вводные'!$B$235)</f>
        <v/>
      </c>
      <c r="BN43" s="126">
        <f>IF(65&lt;='01_Вводные'!$B$235,0,INDEX($B$8:$BO$8,1,65-'01_Вводные'!$B$235)*'01_Вводные'!$B$14^'01_Вводные'!$B$235)</f>
        <v/>
      </c>
      <c r="BO43" s="126">
        <f>IF(66&lt;='01_Вводные'!$B$235,0,INDEX($B$8:$BO$8,1,66-'01_Вводные'!$B$235)*'01_Вводные'!$B$14^'01_Вводные'!$B$235)</f>
        <v/>
      </c>
    </row>
    <row r="44" hidden="1" outlineLevel="1">
      <c r="A44" t="inlineStr">
        <is>
          <t>Активные новые школы в ERP</t>
        </is>
      </c>
      <c r="B44" s="127">
        <f>B43</f>
        <v/>
      </c>
      <c r="C44" s="126">
        <f>B44*'01_Вводные'!$B$14+C43</f>
        <v/>
      </c>
      <c r="D44" s="126">
        <f>C44*'01_Вводные'!$B$14+D43</f>
        <v/>
      </c>
      <c r="E44" s="126">
        <f>D44*'01_Вводные'!$B$14+E43</f>
        <v/>
      </c>
      <c r="F44" s="126">
        <f>E44*'01_Вводные'!$B$14+F43</f>
        <v/>
      </c>
      <c r="G44" s="126">
        <f>F44*'01_Вводные'!$B$14+G43</f>
        <v/>
      </c>
      <c r="H44" s="126">
        <f>G44*'01_Вводные'!$B$14+H43</f>
        <v/>
      </c>
      <c r="I44" s="126">
        <f>H44*'01_Вводные'!$B$14+I43</f>
        <v/>
      </c>
      <c r="J44" s="126">
        <f>I44*'01_Вводные'!$B$14+J43</f>
        <v/>
      </c>
      <c r="K44" s="126">
        <f>J44*'01_Вводные'!$B$14+K43</f>
        <v/>
      </c>
      <c r="L44" s="126">
        <f>K44*'01_Вводные'!$B$14+L43</f>
        <v/>
      </c>
      <c r="M44" s="126">
        <f>L44*'01_Вводные'!$B$14+M43</f>
        <v/>
      </c>
      <c r="N44" s="126">
        <f>M44*'01_Вводные'!$B$14+N43</f>
        <v/>
      </c>
      <c r="O44" s="126">
        <f>N44*'01_Вводные'!$B$14+O43</f>
        <v/>
      </c>
      <c r="P44" s="126">
        <f>O44*'01_Вводные'!$B$14+P43</f>
        <v/>
      </c>
      <c r="Q44" s="126">
        <f>P44*'01_Вводные'!$B$14+Q43</f>
        <v/>
      </c>
      <c r="R44" s="126">
        <f>Q44*'01_Вводные'!$B$14+R43</f>
        <v/>
      </c>
      <c r="S44" s="126">
        <f>R44*'01_Вводные'!$B$14+S43</f>
        <v/>
      </c>
      <c r="T44" s="126">
        <f>S44*'01_Вводные'!$B$14+T43</f>
        <v/>
      </c>
      <c r="U44" s="126">
        <f>T44*'01_Вводные'!$B$14+U43</f>
        <v/>
      </c>
      <c r="V44" s="126">
        <f>U44*'01_Вводные'!$B$14+V43</f>
        <v/>
      </c>
      <c r="W44" s="126">
        <f>V44*'01_Вводные'!$B$14+W43</f>
        <v/>
      </c>
      <c r="X44" s="126">
        <f>W44*'01_Вводные'!$B$14+X43</f>
        <v/>
      </c>
      <c r="Y44" s="126">
        <f>X44*'01_Вводные'!$B$14+Y43</f>
        <v/>
      </c>
      <c r="Z44" s="126">
        <f>Y44*'01_Вводные'!$B$14+Z43</f>
        <v/>
      </c>
      <c r="AA44" s="126">
        <f>Z44*'01_Вводные'!$B$14+AA43</f>
        <v/>
      </c>
      <c r="AB44" s="126">
        <f>AA44*'01_Вводные'!$B$14+AB43</f>
        <v/>
      </c>
      <c r="AC44" s="126">
        <f>AB44*'01_Вводные'!$B$14+AC43</f>
        <v/>
      </c>
      <c r="AD44" s="126">
        <f>AC44*'01_Вводные'!$B$14+AD43</f>
        <v/>
      </c>
      <c r="AE44" s="126">
        <f>AD44*'01_Вводные'!$B$14+AE43</f>
        <v/>
      </c>
      <c r="AF44" s="126">
        <f>AE44*'01_Вводные'!$B$14+AF43</f>
        <v/>
      </c>
      <c r="AG44" s="126">
        <f>AF44*'01_Вводные'!$B$14+AG43</f>
        <v/>
      </c>
      <c r="AH44" s="126">
        <f>AG44*'01_Вводные'!$B$14+AH43</f>
        <v/>
      </c>
      <c r="AI44" s="126">
        <f>AH44*'01_Вводные'!$B$14+AI43</f>
        <v/>
      </c>
      <c r="AJ44" s="126">
        <f>AI44*'01_Вводные'!$B$14+AJ43</f>
        <v/>
      </c>
      <c r="AK44" s="126">
        <f>AJ44*'01_Вводные'!$B$14+AK43</f>
        <v/>
      </c>
      <c r="AL44" s="126">
        <f>AK44*'01_Вводные'!$B$14+AL43</f>
        <v/>
      </c>
      <c r="AM44" s="126">
        <f>AL44*'01_Вводные'!$B$14+AM43</f>
        <v/>
      </c>
      <c r="AN44" s="126">
        <f>AM44*'01_Вводные'!$B$14+AN43</f>
        <v/>
      </c>
      <c r="AO44" s="126">
        <f>AN44*'01_Вводные'!$B$14+AO43</f>
        <v/>
      </c>
      <c r="AP44" s="126">
        <f>AO44*'01_Вводные'!$B$14+AP43</f>
        <v/>
      </c>
      <c r="AQ44" s="126">
        <f>AP44*'01_Вводные'!$B$14+AQ43</f>
        <v/>
      </c>
      <c r="AR44" s="126">
        <f>AQ44*'01_Вводные'!$B$14+AR43</f>
        <v/>
      </c>
      <c r="AS44" s="126">
        <f>AR44*'01_Вводные'!$B$14+AS43</f>
        <v/>
      </c>
      <c r="AT44" s="126">
        <f>AS44*'01_Вводные'!$B$14+AT43</f>
        <v/>
      </c>
      <c r="AU44" s="126">
        <f>AT44*'01_Вводные'!$B$14+AU43</f>
        <v/>
      </c>
      <c r="AV44" s="126">
        <f>AU44*'01_Вводные'!$B$14+AV43</f>
        <v/>
      </c>
      <c r="AW44" s="126">
        <f>AV44*'01_Вводные'!$B$14+AW43</f>
        <v/>
      </c>
      <c r="AX44" s="126">
        <f>AW44*'01_Вводные'!$B$14+AX43</f>
        <v/>
      </c>
      <c r="AY44" s="126">
        <f>AX44*'01_Вводные'!$B$14+AY43</f>
        <v/>
      </c>
      <c r="AZ44" s="126">
        <f>AY44*'01_Вводные'!$B$14+AZ43</f>
        <v/>
      </c>
      <c r="BA44" s="126">
        <f>AZ44*'01_Вводные'!$B$14+BA43</f>
        <v/>
      </c>
      <c r="BB44" s="126">
        <f>BA44*'01_Вводные'!$B$14+BB43</f>
        <v/>
      </c>
      <c r="BC44" s="126">
        <f>BB44*'01_Вводные'!$B$14+BC43</f>
        <v/>
      </c>
      <c r="BD44" s="126">
        <f>BC44*'01_Вводные'!$B$14+BD43</f>
        <v/>
      </c>
      <c r="BE44" s="126">
        <f>BD44*'01_Вводные'!$B$14+BE43</f>
        <v/>
      </c>
      <c r="BF44" s="126">
        <f>BE44*'01_Вводные'!$B$14+BF43</f>
        <v/>
      </c>
      <c r="BG44" s="126">
        <f>BF44*'01_Вводные'!$B$14+BG43</f>
        <v/>
      </c>
      <c r="BH44" s="126">
        <f>BG44*'01_Вводные'!$B$14+BH43</f>
        <v/>
      </c>
      <c r="BI44" s="126">
        <f>BH44*'01_Вводные'!$B$14+BI43</f>
        <v/>
      </c>
      <c r="BJ44" s="126">
        <f>BI44*'01_Вводные'!$B$14+BJ43</f>
        <v/>
      </c>
      <c r="BK44" s="126">
        <f>BJ44*'01_Вводные'!$B$14+BK43</f>
        <v/>
      </c>
      <c r="BL44" s="126">
        <f>BK44*'01_Вводные'!$B$14+BL43</f>
        <v/>
      </c>
      <c r="BM44" s="126">
        <f>BL44*'01_Вводные'!$B$14+BM43</f>
        <v/>
      </c>
      <c r="BN44" s="126">
        <f>BM44*'01_Вводные'!$B$14+BN43</f>
        <v/>
      </c>
      <c r="BO44" s="126">
        <f>BN44*'01_Вводные'!$B$14+BO43</f>
        <v/>
      </c>
    </row>
    <row r="45" hidden="1" outlineLevel="1">
      <c r="B45" s="188">
        <f>B105</f>
        <v/>
      </c>
      <c r="C45" s="188">
        <f>C105</f>
        <v/>
      </c>
      <c r="D45" s="188">
        <f>D105</f>
        <v/>
      </c>
      <c r="E45" s="188">
        <f>E105</f>
        <v/>
      </c>
      <c r="F45" s="188">
        <f>F105</f>
        <v/>
      </c>
      <c r="G45" s="188">
        <f>G105</f>
        <v/>
      </c>
      <c r="H45" s="188">
        <f>H105</f>
        <v/>
      </c>
      <c r="I45" s="188">
        <f>I105</f>
        <v/>
      </c>
      <c r="J45" s="188">
        <f>J105</f>
        <v/>
      </c>
      <c r="K45" s="188">
        <f>K105</f>
        <v/>
      </c>
      <c r="L45" s="188">
        <f>L105</f>
        <v/>
      </c>
      <c r="M45" s="188">
        <f>M105</f>
        <v/>
      </c>
      <c r="N45" s="188">
        <f>N105</f>
        <v/>
      </c>
      <c r="O45" s="188">
        <f>O105</f>
        <v/>
      </c>
      <c r="P45" s="188">
        <f>P105</f>
        <v/>
      </c>
      <c r="Q45" s="188">
        <f>Q105</f>
        <v/>
      </c>
      <c r="R45" s="188">
        <f>R105</f>
        <v/>
      </c>
      <c r="S45" s="188">
        <f>S105</f>
        <v/>
      </c>
      <c r="T45" s="188">
        <f>T105</f>
        <v/>
      </c>
      <c r="U45" s="188">
        <f>U105</f>
        <v/>
      </c>
      <c r="V45" s="188">
        <f>V105</f>
        <v/>
      </c>
      <c r="W45" s="188">
        <f>W105</f>
        <v/>
      </c>
      <c r="X45" s="188">
        <f>X105</f>
        <v/>
      </c>
      <c r="Y45" s="188">
        <f>Y105</f>
        <v/>
      </c>
      <c r="Z45" s="188">
        <f>Z105</f>
        <v/>
      </c>
      <c r="AA45" s="188">
        <f>AA105</f>
        <v/>
      </c>
      <c r="AB45" s="188">
        <f>AB105</f>
        <v/>
      </c>
      <c r="AC45" s="188">
        <f>AC105</f>
        <v/>
      </c>
      <c r="AD45" s="188">
        <f>AD105</f>
        <v/>
      </c>
      <c r="AE45" s="188">
        <f>AE105</f>
        <v/>
      </c>
      <c r="AF45" s="188">
        <f>AF105</f>
        <v/>
      </c>
      <c r="AG45" s="188">
        <f>AG105</f>
        <v/>
      </c>
      <c r="AH45" s="188">
        <f>AH105</f>
        <v/>
      </c>
      <c r="AI45" s="188">
        <f>AI105</f>
        <v/>
      </c>
      <c r="AJ45" s="188">
        <f>AJ105</f>
        <v/>
      </c>
      <c r="AK45" s="188">
        <f>AK105</f>
        <v/>
      </c>
      <c r="AL45" s="188">
        <f>AL105</f>
        <v/>
      </c>
      <c r="AM45" s="188">
        <f>AM105</f>
        <v/>
      </c>
      <c r="AN45" s="188">
        <f>AN105</f>
        <v/>
      </c>
      <c r="AO45" s="188">
        <f>AO105</f>
        <v/>
      </c>
      <c r="AP45" s="188">
        <f>AP105</f>
        <v/>
      </c>
      <c r="AQ45" s="188">
        <f>AQ105</f>
        <v/>
      </c>
      <c r="AR45" s="188">
        <f>AR105</f>
        <v/>
      </c>
      <c r="AS45" s="188">
        <f>AS105</f>
        <v/>
      </c>
      <c r="AT45" s="188">
        <f>AT105</f>
        <v/>
      </c>
      <c r="AU45" s="188">
        <f>AU105</f>
        <v/>
      </c>
      <c r="AV45" s="188">
        <f>AV105</f>
        <v/>
      </c>
      <c r="AW45" s="188">
        <f>AW105</f>
        <v/>
      </c>
      <c r="AX45" s="188">
        <f>AX105</f>
        <v/>
      </c>
      <c r="AY45" s="188">
        <f>AY105</f>
        <v/>
      </c>
      <c r="AZ45" s="188">
        <f>AZ105</f>
        <v/>
      </c>
      <c r="BA45" s="188">
        <f>BA105</f>
        <v/>
      </c>
      <c r="BB45" s="188">
        <f>BB105</f>
        <v/>
      </c>
      <c r="BC45" s="188">
        <f>BC105</f>
        <v/>
      </c>
      <c r="BD45" s="188">
        <f>BD105</f>
        <v/>
      </c>
      <c r="BE45" s="188">
        <f>BE105</f>
        <v/>
      </c>
      <c r="BF45" s="188">
        <f>BF105</f>
        <v/>
      </c>
      <c r="BG45" s="188">
        <f>BG105</f>
        <v/>
      </c>
      <c r="BH45" s="188">
        <f>BH105</f>
        <v/>
      </c>
      <c r="BI45" s="188">
        <f>BI105</f>
        <v/>
      </c>
      <c r="BJ45" s="188">
        <f>BJ105</f>
        <v/>
      </c>
      <c r="BK45" s="188">
        <f>BK105</f>
        <v/>
      </c>
      <c r="BL45" s="188">
        <f>BL105</f>
        <v/>
      </c>
      <c r="BM45" s="188">
        <f>BM105</f>
        <v/>
      </c>
      <c r="BN45" s="188">
        <f>BN105</f>
        <v/>
      </c>
      <c r="BO45" s="188">
        <f>BO105</f>
        <v/>
      </c>
    </row>
    <row r="46" hidden="1" outlineLevel="1">
      <c r="B46" s="188">
        <f>SUM(B93:B104)</f>
        <v/>
      </c>
      <c r="C46" s="188">
        <f>SUM(C93:C104)</f>
        <v/>
      </c>
      <c r="D46" s="188">
        <f>SUM(D93:D104)</f>
        <v/>
      </c>
      <c r="E46" s="188">
        <f>SUM(E93:E104)</f>
        <v/>
      </c>
      <c r="F46" s="188">
        <f>SUM(F93:F104)</f>
        <v/>
      </c>
      <c r="G46" s="188">
        <f>SUM(G93:G104)</f>
        <v/>
      </c>
      <c r="H46" s="188">
        <f>SUM(H93:H104)</f>
        <v/>
      </c>
      <c r="I46" s="188">
        <f>SUM(I93:I104)</f>
        <v/>
      </c>
      <c r="J46" s="188">
        <f>SUM(J93:J104)</f>
        <v/>
      </c>
      <c r="K46" s="188">
        <f>SUM(K93:K104)</f>
        <v/>
      </c>
      <c r="L46" s="188">
        <f>SUM(L93:L104)</f>
        <v/>
      </c>
      <c r="M46" s="188">
        <f>SUM(M93:M104)</f>
        <v/>
      </c>
      <c r="N46" s="188">
        <f>SUM(N93:N104)</f>
        <v/>
      </c>
      <c r="O46" s="188">
        <f>SUM(O93:O104)</f>
        <v/>
      </c>
      <c r="P46" s="188">
        <f>SUM(P93:P104)</f>
        <v/>
      </c>
      <c r="Q46" s="188">
        <f>SUM(Q93:Q104)</f>
        <v/>
      </c>
      <c r="R46" s="188">
        <f>SUM(R93:R104)</f>
        <v/>
      </c>
      <c r="S46" s="188">
        <f>SUM(S93:S104)</f>
        <v/>
      </c>
      <c r="T46" s="188">
        <f>SUM(T93:T104)</f>
        <v/>
      </c>
      <c r="U46" s="188">
        <f>SUM(U93:U104)</f>
        <v/>
      </c>
      <c r="V46" s="188">
        <f>SUM(V93:V104)</f>
        <v/>
      </c>
      <c r="W46" s="188">
        <f>SUM(W93:W104)</f>
        <v/>
      </c>
      <c r="X46" s="188">
        <f>SUM(X93:X104)</f>
        <v/>
      </c>
      <c r="Y46" s="188">
        <f>SUM(Y93:Y104)</f>
        <v/>
      </c>
      <c r="Z46" s="188">
        <f>SUM(Z93:Z104)</f>
        <v/>
      </c>
      <c r="AA46" s="188">
        <f>SUM(AA93:AA104)</f>
        <v/>
      </c>
      <c r="AB46" s="188">
        <f>SUM(AB93:AB104)</f>
        <v/>
      </c>
      <c r="AC46" s="188">
        <f>SUM(AC93:AC104)</f>
        <v/>
      </c>
      <c r="AD46" s="188">
        <f>SUM(AD93:AD104)</f>
        <v/>
      </c>
      <c r="AE46" s="188">
        <f>SUM(AE93:AE104)</f>
        <v/>
      </c>
      <c r="AF46" s="188">
        <f>SUM(AF93:AF104)</f>
        <v/>
      </c>
      <c r="AG46" s="188">
        <f>SUM(AG93:AG104)</f>
        <v/>
      </c>
      <c r="AH46" s="188">
        <f>SUM(AH93:AH104)</f>
        <v/>
      </c>
      <c r="AI46" s="188">
        <f>SUM(AI93:AI104)</f>
        <v/>
      </c>
      <c r="AJ46" s="188">
        <f>SUM(AJ93:AJ104)</f>
        <v/>
      </c>
      <c r="AK46" s="188">
        <f>SUM(AK93:AK104)</f>
        <v/>
      </c>
      <c r="AL46" s="188">
        <f>SUM(AL93:AL104)</f>
        <v/>
      </c>
      <c r="AM46" s="188">
        <f>SUM(AM93:AM104)</f>
        <v/>
      </c>
      <c r="AN46" s="188">
        <f>SUM(AN93:AN104)</f>
        <v/>
      </c>
      <c r="AO46" s="188">
        <f>SUM(AO93:AO104)</f>
        <v/>
      </c>
      <c r="AP46" s="188">
        <f>SUM(AP93:AP104)</f>
        <v/>
      </c>
      <c r="AQ46" s="188">
        <f>SUM(AQ93:AQ104)</f>
        <v/>
      </c>
      <c r="AR46" s="188">
        <f>SUM(AR93:AR104)</f>
        <v/>
      </c>
      <c r="AS46" s="188">
        <f>SUM(AS93:AS104)</f>
        <v/>
      </c>
      <c r="AT46" s="188">
        <f>SUM(AT93:AT104)</f>
        <v/>
      </c>
      <c r="AU46" s="188">
        <f>SUM(AU93:AU104)</f>
        <v/>
      </c>
      <c r="AV46" s="188">
        <f>SUM(AV93:AV104)</f>
        <v/>
      </c>
      <c r="AW46" s="188">
        <f>SUM(AW93:AW104)</f>
        <v/>
      </c>
      <c r="AX46" s="188">
        <f>SUM(AX93:AX104)</f>
        <v/>
      </c>
      <c r="AY46" s="188">
        <f>SUM(AY93:AY104)</f>
        <v/>
      </c>
      <c r="AZ46" s="188">
        <f>SUM(AZ93:AZ104)</f>
        <v/>
      </c>
      <c r="BA46" s="188">
        <f>SUM(BA93:BA104)</f>
        <v/>
      </c>
      <c r="BB46" s="188">
        <f>SUM(BB93:BB104)</f>
        <v/>
      </c>
      <c r="BC46" s="188">
        <f>SUM(BC93:BC104)</f>
        <v/>
      </c>
      <c r="BD46" s="188">
        <f>SUM(BD93:BD104)</f>
        <v/>
      </c>
      <c r="BE46" s="188">
        <f>SUM(BE93:BE104)</f>
        <v/>
      </c>
      <c r="BF46" s="188">
        <f>SUM(BF93:BF104)</f>
        <v/>
      </c>
      <c r="BG46" s="188">
        <f>SUM(BG93:BG104)</f>
        <v/>
      </c>
      <c r="BH46" s="188">
        <f>SUM(BH93:BH104)</f>
        <v/>
      </c>
      <c r="BI46" s="188">
        <f>SUM(BI93:BI104)</f>
        <v/>
      </c>
      <c r="BJ46" s="188">
        <f>SUM(BJ93:BJ104)</f>
        <v/>
      </c>
      <c r="BK46" s="188">
        <f>SUM(BK93:BK104)</f>
        <v/>
      </c>
      <c r="BL46" s="188">
        <f>SUM(BL93:BL104)</f>
        <v/>
      </c>
      <c r="BM46" s="188">
        <f>SUM(BM93:BM104)</f>
        <v/>
      </c>
      <c r="BN46" s="188">
        <f>SUM(BN93:BN104)</f>
        <v/>
      </c>
      <c r="BO46" s="188">
        <f>SUM(BO93:BO104)</f>
        <v/>
      </c>
    </row>
    <row r="47" hidden="1" outlineLevel="1">
      <c r="B47" s="188">
        <f>B14-B46</f>
        <v/>
      </c>
      <c r="C47" s="188">
        <f>C14-C46</f>
        <v/>
      </c>
      <c r="D47" s="188">
        <f>D14-D46</f>
        <v/>
      </c>
      <c r="E47" s="188">
        <f>E14-E46</f>
        <v/>
      </c>
      <c r="F47" s="188">
        <f>F14-F46</f>
        <v/>
      </c>
      <c r="G47" s="188">
        <f>G14-G46</f>
        <v/>
      </c>
      <c r="H47" s="188">
        <f>H14-H46</f>
        <v/>
      </c>
      <c r="I47" s="188">
        <f>I14-I46</f>
        <v/>
      </c>
      <c r="J47" s="188">
        <f>J14-J46</f>
        <v/>
      </c>
      <c r="K47" s="188">
        <f>K14-K46</f>
        <v/>
      </c>
      <c r="L47" s="188">
        <f>L14-L46</f>
        <v/>
      </c>
      <c r="M47" s="188">
        <f>M14-M46</f>
        <v/>
      </c>
      <c r="N47" s="188">
        <f>N14-N46</f>
        <v/>
      </c>
      <c r="O47" s="188">
        <f>O14-O46</f>
        <v/>
      </c>
      <c r="P47" s="188">
        <f>P14-P46</f>
        <v/>
      </c>
      <c r="Q47" s="188">
        <f>Q14-Q46</f>
        <v/>
      </c>
      <c r="R47" s="188">
        <f>R14-R46</f>
        <v/>
      </c>
      <c r="S47" s="188">
        <f>S14-S46</f>
        <v/>
      </c>
      <c r="T47" s="188">
        <f>T14-T46</f>
        <v/>
      </c>
      <c r="U47" s="188">
        <f>U14-U46</f>
        <v/>
      </c>
      <c r="V47" s="188">
        <f>V14-V46</f>
        <v/>
      </c>
      <c r="W47" s="188">
        <f>W14-W46</f>
        <v/>
      </c>
      <c r="X47" s="188">
        <f>X14-X46</f>
        <v/>
      </c>
      <c r="Y47" s="188">
        <f>Y14-Y46</f>
        <v/>
      </c>
      <c r="Z47" s="188">
        <f>Z14-Z46</f>
        <v/>
      </c>
      <c r="AA47" s="188">
        <f>AA14-AA46</f>
        <v/>
      </c>
      <c r="AB47" s="188">
        <f>AB14-AB46</f>
        <v/>
      </c>
      <c r="AC47" s="188">
        <f>AC14-AC46</f>
        <v/>
      </c>
      <c r="AD47" s="188">
        <f>AD14-AD46</f>
        <v/>
      </c>
      <c r="AE47" s="188">
        <f>AE14-AE46</f>
        <v/>
      </c>
      <c r="AF47" s="188">
        <f>AF14-AF46</f>
        <v/>
      </c>
      <c r="AG47" s="188">
        <f>AG14-AG46</f>
        <v/>
      </c>
      <c r="AH47" s="188">
        <f>AH14-AH46</f>
        <v/>
      </c>
      <c r="AI47" s="188">
        <f>AI14-AI46</f>
        <v/>
      </c>
      <c r="AJ47" s="188">
        <f>AJ14-AJ46</f>
        <v/>
      </c>
      <c r="AK47" s="188">
        <f>AK14-AK46</f>
        <v/>
      </c>
      <c r="AL47" s="188">
        <f>AL14-AL46</f>
        <v/>
      </c>
      <c r="AM47" s="188">
        <f>AM14-AM46</f>
        <v/>
      </c>
      <c r="AN47" s="188">
        <f>AN14-AN46</f>
        <v/>
      </c>
      <c r="AO47" s="188">
        <f>AO14-AO46</f>
        <v/>
      </c>
      <c r="AP47" s="188">
        <f>AP14-AP46</f>
        <v/>
      </c>
      <c r="AQ47" s="188">
        <f>AQ14-AQ46</f>
        <v/>
      </c>
      <c r="AR47" s="188">
        <f>AR14-AR46</f>
        <v/>
      </c>
      <c r="AS47" s="188">
        <f>AS14-AS46</f>
        <v/>
      </c>
      <c r="AT47" s="188">
        <f>AT14-AT46</f>
        <v/>
      </c>
      <c r="AU47" s="188">
        <f>AU14-AU46</f>
        <v/>
      </c>
      <c r="AV47" s="188">
        <f>AV14-AV46</f>
        <v/>
      </c>
      <c r="AW47" s="188">
        <f>AW14-AW46</f>
        <v/>
      </c>
      <c r="AX47" s="188">
        <f>AX14-AX46</f>
        <v/>
      </c>
      <c r="AY47" s="188">
        <f>AY14-AY46</f>
        <v/>
      </c>
      <c r="AZ47" s="188">
        <f>AZ14-AZ46</f>
        <v/>
      </c>
      <c r="BA47" s="188">
        <f>BA14-BA46</f>
        <v/>
      </c>
      <c r="BB47" s="188">
        <f>BB14-BB46</f>
        <v/>
      </c>
      <c r="BC47" s="188">
        <f>BC14-BC46</f>
        <v/>
      </c>
      <c r="BD47" s="188">
        <f>BD14-BD46</f>
        <v/>
      </c>
      <c r="BE47" s="188">
        <f>BE14-BE46</f>
        <v/>
      </c>
      <c r="BF47" s="188">
        <f>BF14-BF46</f>
        <v/>
      </c>
      <c r="BG47" s="188">
        <f>BG14-BG46</f>
        <v/>
      </c>
      <c r="BH47" s="188">
        <f>BH14-BH46</f>
        <v/>
      </c>
      <c r="BI47" s="188">
        <f>BI14-BI46</f>
        <v/>
      </c>
      <c r="BJ47" s="188">
        <f>BJ14-BJ46</f>
        <v/>
      </c>
      <c r="BK47" s="188">
        <f>BK14-BK46</f>
        <v/>
      </c>
      <c r="BL47" s="188">
        <f>BL14-BL46</f>
        <v/>
      </c>
      <c r="BM47" s="188">
        <f>BM14-BM46</f>
        <v/>
      </c>
      <c r="BN47" s="188">
        <f>BN14-BN46</f>
        <v/>
      </c>
      <c r="BO47" s="188">
        <f>BO14-BO46</f>
        <v/>
      </c>
    </row>
    <row r="48" hidden="1" outlineLevel="1">
      <c r="B48" s="188">
        <f>B15-B45</f>
        <v/>
      </c>
      <c r="C48" s="188">
        <f>C15-C45</f>
        <v/>
      </c>
      <c r="D48" s="188">
        <f>D15-D45</f>
        <v/>
      </c>
      <c r="E48" s="188">
        <f>E15-E45</f>
        <v/>
      </c>
      <c r="F48" s="188">
        <f>F15-F45</f>
        <v/>
      </c>
      <c r="G48" s="188">
        <f>G15-G45</f>
        <v/>
      </c>
      <c r="H48" s="188">
        <f>H15-H45</f>
        <v/>
      </c>
      <c r="I48" s="188">
        <f>I15-I45</f>
        <v/>
      </c>
      <c r="J48" s="188">
        <f>J15-J45</f>
        <v/>
      </c>
      <c r="K48" s="188">
        <f>K15-K45</f>
        <v/>
      </c>
      <c r="L48" s="188">
        <f>L15-L45</f>
        <v/>
      </c>
      <c r="M48" s="188">
        <f>M15-M45</f>
        <v/>
      </c>
      <c r="N48" s="188">
        <f>N15-N45</f>
        <v/>
      </c>
      <c r="O48" s="188">
        <f>O15-O45</f>
        <v/>
      </c>
      <c r="P48" s="188">
        <f>P15-P45</f>
        <v/>
      </c>
      <c r="Q48" s="188">
        <f>Q15-Q45</f>
        <v/>
      </c>
      <c r="R48" s="188">
        <f>R15-R45</f>
        <v/>
      </c>
      <c r="S48" s="188">
        <f>S15-S45</f>
        <v/>
      </c>
      <c r="T48" s="188">
        <f>T15-T45</f>
        <v/>
      </c>
      <c r="U48" s="188">
        <f>U15-U45</f>
        <v/>
      </c>
      <c r="V48" s="188">
        <f>V15-V45</f>
        <v/>
      </c>
      <c r="W48" s="188">
        <f>W15-W45</f>
        <v/>
      </c>
      <c r="X48" s="188">
        <f>X15-X45</f>
        <v/>
      </c>
      <c r="Y48" s="188">
        <f>Y15-Y45</f>
        <v/>
      </c>
      <c r="Z48" s="188">
        <f>Z15-Z45</f>
        <v/>
      </c>
      <c r="AA48" s="188">
        <f>AA15-AA45</f>
        <v/>
      </c>
      <c r="AB48" s="188">
        <f>AB15-AB45</f>
        <v/>
      </c>
      <c r="AC48" s="188">
        <f>AC15-AC45</f>
        <v/>
      </c>
      <c r="AD48" s="188">
        <f>AD15-AD45</f>
        <v/>
      </c>
      <c r="AE48" s="188">
        <f>AE15-AE45</f>
        <v/>
      </c>
      <c r="AF48" s="188">
        <f>AF15-AF45</f>
        <v/>
      </c>
      <c r="AG48" s="188">
        <f>AG15-AG45</f>
        <v/>
      </c>
      <c r="AH48" s="188">
        <f>AH15-AH45</f>
        <v/>
      </c>
      <c r="AI48" s="188">
        <f>AI15-AI45</f>
        <v/>
      </c>
      <c r="AJ48" s="188">
        <f>AJ15-AJ45</f>
        <v/>
      </c>
      <c r="AK48" s="188">
        <f>AK15-AK45</f>
        <v/>
      </c>
      <c r="AL48" s="188">
        <f>AL15-AL45</f>
        <v/>
      </c>
      <c r="AM48" s="188">
        <f>AM15-AM45</f>
        <v/>
      </c>
      <c r="AN48" s="188">
        <f>AN15-AN45</f>
        <v/>
      </c>
      <c r="AO48" s="188">
        <f>AO15-AO45</f>
        <v/>
      </c>
      <c r="AP48" s="188">
        <f>AP15-AP45</f>
        <v/>
      </c>
      <c r="AQ48" s="188">
        <f>AQ15-AQ45</f>
        <v/>
      </c>
      <c r="AR48" s="188">
        <f>AR15-AR45</f>
        <v/>
      </c>
      <c r="AS48" s="188">
        <f>AS15-AS45</f>
        <v/>
      </c>
      <c r="AT48" s="188">
        <f>AT15-AT45</f>
        <v/>
      </c>
      <c r="AU48" s="188">
        <f>AU15-AU45</f>
        <v/>
      </c>
      <c r="AV48" s="188">
        <f>AV15-AV45</f>
        <v/>
      </c>
      <c r="AW48" s="188">
        <f>AW15-AW45</f>
        <v/>
      </c>
      <c r="AX48" s="188">
        <f>AX15-AX45</f>
        <v/>
      </c>
      <c r="AY48" s="188">
        <f>AY15-AY45</f>
        <v/>
      </c>
      <c r="AZ48" s="188">
        <f>AZ15-AZ45</f>
        <v/>
      </c>
      <c r="BA48" s="188">
        <f>BA15-BA45</f>
        <v/>
      </c>
      <c r="BB48" s="188">
        <f>BB15-BB45</f>
        <v/>
      </c>
      <c r="BC48" s="188">
        <f>BC15-BC45</f>
        <v/>
      </c>
      <c r="BD48" s="188">
        <f>BD15-BD45</f>
        <v/>
      </c>
      <c r="BE48" s="188">
        <f>BE15-BE45</f>
        <v/>
      </c>
      <c r="BF48" s="188">
        <f>BF15-BF45</f>
        <v/>
      </c>
      <c r="BG48" s="188">
        <f>BG15-BG45</f>
        <v/>
      </c>
      <c r="BH48" s="188">
        <f>BH15-BH45</f>
        <v/>
      </c>
      <c r="BI48" s="188">
        <f>BI15-BI45</f>
        <v/>
      </c>
      <c r="BJ48" s="188">
        <f>BJ15-BJ45</f>
        <v/>
      </c>
      <c r="BK48" s="188">
        <f>BK15-BK45</f>
        <v/>
      </c>
      <c r="BL48" s="188">
        <f>BL15-BL45</f>
        <v/>
      </c>
      <c r="BM48" s="188">
        <f>BM15-BM45</f>
        <v/>
      </c>
      <c r="BN48" s="188">
        <f>BN15-BN45</f>
        <v/>
      </c>
      <c r="BO48" s="188">
        <f>BO15-BO45</f>
        <v/>
      </c>
    </row>
    <row r="49" hidden="1" outlineLevel="1">
      <c r="B49" s="127" t="n"/>
      <c r="C49" s="127" t="n"/>
      <c r="D49" s="127" t="n"/>
      <c r="E49" s="127" t="n"/>
      <c r="F49" s="127" t="n"/>
      <c r="G49" s="127" t="n"/>
      <c r="H49" s="127" t="n"/>
      <c r="I49" s="127" t="n"/>
      <c r="J49" s="127" t="n"/>
      <c r="K49" s="127" t="n"/>
      <c r="L49" s="127" t="n"/>
      <c r="M49" s="127" t="n"/>
      <c r="N49" s="127" t="n"/>
      <c r="O49" s="127" t="n"/>
      <c r="P49" s="127" t="n"/>
      <c r="Q49" s="127" t="n"/>
      <c r="R49" s="127" t="n"/>
      <c r="S49" s="127" t="n"/>
      <c r="T49" s="127" t="n"/>
      <c r="U49" s="127" t="n"/>
      <c r="V49" s="127" t="n"/>
      <c r="W49" s="127" t="n"/>
      <c r="X49" s="127" t="n"/>
      <c r="Y49" s="127" t="n"/>
      <c r="Z49" s="127" t="n"/>
      <c r="AA49" s="127" t="n"/>
      <c r="AB49" s="127" t="n"/>
      <c r="AC49" s="127" t="n"/>
      <c r="AD49" s="127" t="n"/>
      <c r="AE49" s="127" t="n"/>
      <c r="AF49" s="127" t="n"/>
      <c r="AG49" s="127" t="n"/>
      <c r="AH49" s="127" t="n"/>
      <c r="AI49" s="127" t="n"/>
      <c r="AJ49" s="127" t="n"/>
      <c r="AK49" s="127" t="n"/>
      <c r="AL49" s="127" t="n"/>
      <c r="AM49" s="127" t="n"/>
      <c r="AN49" s="127" t="n"/>
      <c r="AO49" s="127" t="n"/>
      <c r="AP49" s="127" t="n"/>
      <c r="AQ49" s="127" t="n"/>
      <c r="AR49" s="127" t="n"/>
      <c r="AS49" s="127" t="n"/>
      <c r="AT49" s="127" t="n"/>
      <c r="AU49" s="127" t="n"/>
      <c r="AV49" s="127" t="n"/>
      <c r="AW49" s="127" t="n"/>
      <c r="AX49" s="127" t="n"/>
      <c r="AY49" s="127" t="n"/>
      <c r="AZ49" s="127" t="n"/>
      <c r="BA49" s="127" t="n"/>
      <c r="BB49" s="127" t="n"/>
      <c r="BC49" s="127" t="n"/>
      <c r="BD49" s="127" t="n"/>
      <c r="BE49" s="127" t="n"/>
      <c r="BF49" s="127" t="n"/>
      <c r="BG49" s="127" t="n"/>
      <c r="BH49" s="127" t="n"/>
      <c r="BI49" s="127" t="n"/>
      <c r="BJ49" s="127" t="n"/>
      <c r="BK49" s="127" t="n"/>
      <c r="BL49" s="127" t="n"/>
      <c r="BM49" s="127" t="n"/>
      <c r="BN49" s="127" t="n"/>
      <c r="BO49" s="127" t="n"/>
    </row>
    <row r="50" hidden="1" outlineLevel="1"/>
    <row r="51" hidden="1" outlineLevel="1"/>
    <row r="52" hidden="1" outlineLevel="1" ht="28" customHeight="1">
      <c r="A52" s="181" t="inlineStr">
        <is>
          <t>Школы по месяцам жизни</t>
        </is>
      </c>
      <c r="I52" s="96" t="n"/>
      <c r="J52" s="96" t="n"/>
      <c r="K52" s="96" t="n"/>
      <c r="L52" s="96" t="n"/>
      <c r="M52" s="96" t="n"/>
      <c r="N52" s="96" t="n"/>
      <c r="O52" s="96" t="n"/>
      <c r="P52" s="96" t="n"/>
      <c r="Q52" s="96" t="n"/>
      <c r="R52" s="96" t="n"/>
      <c r="S52" s="96" t="n"/>
      <c r="T52" s="96" t="n"/>
      <c r="U52" s="96" t="n"/>
      <c r="V52" s="96" t="n"/>
      <c r="W52" s="96" t="n"/>
      <c r="X52" s="96" t="n"/>
      <c r="Y52" s="96" t="n"/>
      <c r="Z52" s="96" t="n"/>
      <c r="AA52" s="96" t="n"/>
      <c r="AB52" s="96" t="n"/>
      <c r="AC52" s="96" t="n"/>
      <c r="AD52" s="96" t="n"/>
      <c r="AE52" s="96" t="n"/>
      <c r="AF52" s="96" t="n"/>
      <c r="AG52" s="96" t="n"/>
      <c r="AH52" s="96" t="n"/>
      <c r="AI52" s="96" t="n"/>
      <c r="AJ52" s="96" t="n"/>
      <c r="AK52" s="96" t="n"/>
      <c r="AL52" s="96" t="n"/>
      <c r="AM52" s="96" t="n"/>
      <c r="AN52" s="96" t="n"/>
      <c r="AO52" s="96" t="n"/>
      <c r="AP52" s="96" t="n"/>
      <c r="AQ52" s="96" t="n"/>
      <c r="AR52" s="96" t="n"/>
      <c r="AS52" s="96" t="n"/>
      <c r="AT52" s="96" t="n"/>
      <c r="AU52" s="96" t="n"/>
      <c r="AV52" s="96" t="n"/>
      <c r="AW52" s="96" t="n"/>
      <c r="AX52" s="96" t="n"/>
      <c r="AY52" s="96" t="n"/>
      <c r="AZ52" s="96" t="n"/>
      <c r="BA52" s="96" t="n"/>
      <c r="BB52" s="96" t="n"/>
      <c r="BC52" s="96" t="n"/>
      <c r="BD52" s="96" t="n"/>
      <c r="BE52" s="96" t="n"/>
      <c r="BF52" s="96" t="n"/>
      <c r="BG52" s="96" t="n"/>
      <c r="BH52" s="96" t="n"/>
      <c r="BI52" s="96" t="n"/>
      <c r="BJ52" s="96" t="n"/>
      <c r="BK52" s="96" t="n"/>
      <c r="BL52" s="96" t="n"/>
      <c r="BM52" s="96" t="n"/>
      <c r="BN52" s="96" t="n"/>
      <c r="BO52" s="96" t="n"/>
    </row>
    <row r="53" hidden="1" outlineLevel="1">
      <c r="A53" t="inlineStr">
        <is>
          <t>1 мес.</t>
        </is>
      </c>
      <c r="B53" s="189">
        <f>B8</f>
        <v/>
      </c>
      <c r="C53" s="189">
        <f>C8</f>
        <v/>
      </c>
      <c r="D53" s="189">
        <f>D8</f>
        <v/>
      </c>
      <c r="E53" s="189">
        <f>E8</f>
        <v/>
      </c>
      <c r="F53" s="189">
        <f>F8</f>
        <v/>
      </c>
      <c r="G53" s="189">
        <f>G8</f>
        <v/>
      </c>
      <c r="H53" s="189">
        <f>H8</f>
        <v/>
      </c>
      <c r="I53" s="189">
        <f>I8</f>
        <v/>
      </c>
      <c r="J53" s="189">
        <f>J8</f>
        <v/>
      </c>
      <c r="K53" s="189">
        <f>K8</f>
        <v/>
      </c>
      <c r="L53" s="189">
        <f>L8</f>
        <v/>
      </c>
      <c r="M53" s="189">
        <f>M8</f>
        <v/>
      </c>
      <c r="N53" s="189">
        <f>N8</f>
        <v/>
      </c>
      <c r="O53" s="189">
        <f>O8</f>
        <v/>
      </c>
      <c r="P53" s="189">
        <f>P8</f>
        <v/>
      </c>
      <c r="Q53" s="189">
        <f>Q8</f>
        <v/>
      </c>
      <c r="R53" s="189">
        <f>R8</f>
        <v/>
      </c>
      <c r="S53" s="189">
        <f>S8</f>
        <v/>
      </c>
      <c r="T53" s="189">
        <f>T8</f>
        <v/>
      </c>
      <c r="U53" s="189">
        <f>U8</f>
        <v/>
      </c>
      <c r="V53" s="189">
        <f>V8</f>
        <v/>
      </c>
      <c r="W53" s="189">
        <f>W8</f>
        <v/>
      </c>
      <c r="X53" s="189">
        <f>X8</f>
        <v/>
      </c>
      <c r="Y53" s="189">
        <f>Y8</f>
        <v/>
      </c>
      <c r="Z53" s="189">
        <f>Z8</f>
        <v/>
      </c>
      <c r="AA53" s="189">
        <f>AA8</f>
        <v/>
      </c>
      <c r="AB53" s="189">
        <f>AB8</f>
        <v/>
      </c>
      <c r="AC53" s="189">
        <f>AC8</f>
        <v/>
      </c>
      <c r="AD53" s="189">
        <f>AD8</f>
        <v/>
      </c>
      <c r="AE53" s="189">
        <f>AE8</f>
        <v/>
      </c>
      <c r="AF53" s="189">
        <f>AF8</f>
        <v/>
      </c>
      <c r="AG53" s="189">
        <f>AG8</f>
        <v/>
      </c>
      <c r="AH53" s="189">
        <f>AH8</f>
        <v/>
      </c>
      <c r="AI53" s="189">
        <f>AI8</f>
        <v/>
      </c>
      <c r="AJ53" s="189">
        <f>AJ8</f>
        <v/>
      </c>
      <c r="AK53" s="189">
        <f>AK8</f>
        <v/>
      </c>
      <c r="AL53" s="189">
        <f>AL8</f>
        <v/>
      </c>
      <c r="AM53" s="189">
        <f>AM8</f>
        <v/>
      </c>
      <c r="AN53" s="189">
        <f>AN8</f>
        <v/>
      </c>
      <c r="AO53" s="189">
        <f>AO8</f>
        <v/>
      </c>
      <c r="AP53" s="189">
        <f>AP8</f>
        <v/>
      </c>
      <c r="AQ53" s="189">
        <f>AQ8</f>
        <v/>
      </c>
      <c r="AR53" s="189">
        <f>AR8</f>
        <v/>
      </c>
      <c r="AS53" s="189">
        <f>AS8</f>
        <v/>
      </c>
      <c r="AT53" s="189">
        <f>AT8</f>
        <v/>
      </c>
      <c r="AU53" s="189">
        <f>AU8</f>
        <v/>
      </c>
      <c r="AV53" s="189">
        <f>AV8</f>
        <v/>
      </c>
      <c r="AW53" s="189">
        <f>AW8</f>
        <v/>
      </c>
      <c r="AX53" s="189">
        <f>AX8</f>
        <v/>
      </c>
      <c r="AY53" s="189">
        <f>AY8</f>
        <v/>
      </c>
      <c r="AZ53" s="189">
        <f>AZ8</f>
        <v/>
      </c>
      <c r="BA53" s="189">
        <f>BA8</f>
        <v/>
      </c>
      <c r="BB53" s="189">
        <f>BB8</f>
        <v/>
      </c>
      <c r="BC53" s="189">
        <f>BC8</f>
        <v/>
      </c>
      <c r="BD53" s="189">
        <f>BD8</f>
        <v/>
      </c>
      <c r="BE53" s="189">
        <f>BE8</f>
        <v/>
      </c>
      <c r="BF53" s="189">
        <f>BF8</f>
        <v/>
      </c>
      <c r="BG53" s="189">
        <f>BG8</f>
        <v/>
      </c>
      <c r="BH53" s="189">
        <f>BH8</f>
        <v/>
      </c>
      <c r="BI53" s="189">
        <f>BI8</f>
        <v/>
      </c>
      <c r="BJ53" s="189">
        <f>BJ8</f>
        <v/>
      </c>
      <c r="BK53" s="189">
        <f>BK8</f>
        <v/>
      </c>
      <c r="BL53" s="189">
        <f>BL8</f>
        <v/>
      </c>
      <c r="BM53" s="189">
        <f>BM8</f>
        <v/>
      </c>
      <c r="BN53" s="189">
        <f>BN8</f>
        <v/>
      </c>
      <c r="BO53" s="189">
        <f>BO8</f>
        <v/>
      </c>
    </row>
    <row r="54" hidden="1" outlineLevel="1">
      <c r="A54" t="inlineStr">
        <is>
          <t>2 мес.</t>
        </is>
      </c>
      <c r="B54" s="189">
        <f>0</f>
        <v/>
      </c>
      <c r="C54" s="190">
        <f>B53*'01_Вводные'!$B$14</f>
        <v/>
      </c>
      <c r="D54" s="190">
        <f>C53*'01_Вводные'!$B$14</f>
        <v/>
      </c>
      <c r="E54" s="190">
        <f>D53*'01_Вводные'!$B$14</f>
        <v/>
      </c>
      <c r="F54" s="190">
        <f>E53*'01_Вводные'!$B$14</f>
        <v/>
      </c>
      <c r="G54" s="190">
        <f>F53*'01_Вводные'!$B$14</f>
        <v/>
      </c>
      <c r="H54" s="190">
        <f>G53*'01_Вводные'!$B$14</f>
        <v/>
      </c>
      <c r="I54" s="190">
        <f>H53*'01_Вводные'!$B$14</f>
        <v/>
      </c>
      <c r="J54" s="190">
        <f>I53*'01_Вводные'!$B$14</f>
        <v/>
      </c>
      <c r="K54" s="190">
        <f>J53*'01_Вводные'!$B$14</f>
        <v/>
      </c>
      <c r="L54" s="190">
        <f>K53*'01_Вводные'!$B$14</f>
        <v/>
      </c>
      <c r="M54" s="190">
        <f>L53*'01_Вводные'!$B$14</f>
        <v/>
      </c>
      <c r="N54" s="190">
        <f>M53*'01_Вводные'!$B$14</f>
        <v/>
      </c>
      <c r="O54" s="190">
        <f>N53*'01_Вводные'!$B$14</f>
        <v/>
      </c>
      <c r="P54" s="190">
        <f>O53*'01_Вводные'!$B$14</f>
        <v/>
      </c>
      <c r="Q54" s="190">
        <f>P53*'01_Вводные'!$B$14</f>
        <v/>
      </c>
      <c r="R54" s="190">
        <f>Q53*'01_Вводные'!$B$14</f>
        <v/>
      </c>
      <c r="S54" s="190">
        <f>R53*'01_Вводные'!$B$14</f>
        <v/>
      </c>
      <c r="T54" s="190">
        <f>S53*'01_Вводные'!$B$14</f>
        <v/>
      </c>
      <c r="U54" s="190">
        <f>T53*'01_Вводные'!$B$14</f>
        <v/>
      </c>
      <c r="V54" s="190">
        <f>U53*'01_Вводные'!$B$14</f>
        <v/>
      </c>
      <c r="W54" s="190">
        <f>V53*'01_Вводные'!$B$14</f>
        <v/>
      </c>
      <c r="X54" s="190">
        <f>W53*'01_Вводные'!$B$14</f>
        <v/>
      </c>
      <c r="Y54" s="190">
        <f>X53*'01_Вводные'!$B$14</f>
        <v/>
      </c>
      <c r="Z54" s="190">
        <f>Y53*'01_Вводные'!$B$14</f>
        <v/>
      </c>
      <c r="AA54" s="190">
        <f>Z53*'01_Вводные'!$B$14</f>
        <v/>
      </c>
      <c r="AB54" s="190">
        <f>AA53*'01_Вводные'!$B$14</f>
        <v/>
      </c>
      <c r="AC54" s="190">
        <f>AB53*'01_Вводные'!$B$14</f>
        <v/>
      </c>
      <c r="AD54" s="190">
        <f>AC53*'01_Вводные'!$B$14</f>
        <v/>
      </c>
      <c r="AE54" s="190">
        <f>AD53*'01_Вводные'!$B$14</f>
        <v/>
      </c>
      <c r="AF54" s="190">
        <f>AE53*'01_Вводные'!$B$14</f>
        <v/>
      </c>
      <c r="AG54" s="190">
        <f>AF53*'01_Вводные'!$B$14</f>
        <v/>
      </c>
      <c r="AH54" s="190">
        <f>AG53*'01_Вводные'!$B$14</f>
        <v/>
      </c>
      <c r="AI54" s="190">
        <f>AH53*'01_Вводные'!$B$14</f>
        <v/>
      </c>
      <c r="AJ54" s="190">
        <f>AI53*'01_Вводные'!$B$14</f>
        <v/>
      </c>
      <c r="AK54" s="190">
        <f>AJ53*'01_Вводные'!$B$14</f>
        <v/>
      </c>
      <c r="AL54" s="190">
        <f>AK53*'01_Вводные'!$B$14</f>
        <v/>
      </c>
      <c r="AM54" s="190">
        <f>AL53*'01_Вводные'!$B$14</f>
        <v/>
      </c>
      <c r="AN54" s="190">
        <f>AM53*'01_Вводные'!$B$14</f>
        <v/>
      </c>
      <c r="AO54" s="190">
        <f>AN53*'01_Вводные'!$B$14</f>
        <v/>
      </c>
      <c r="AP54" s="190">
        <f>AO53*'01_Вводные'!$B$14</f>
        <v/>
      </c>
      <c r="AQ54" s="190">
        <f>AP53*'01_Вводные'!$B$14</f>
        <v/>
      </c>
      <c r="AR54" s="190">
        <f>AQ53*'01_Вводные'!$B$14</f>
        <v/>
      </c>
      <c r="AS54" s="190">
        <f>AR53*'01_Вводные'!$B$14</f>
        <v/>
      </c>
      <c r="AT54" s="190">
        <f>AS53*'01_Вводные'!$B$14</f>
        <v/>
      </c>
      <c r="AU54" s="190">
        <f>AT53*'01_Вводные'!$B$14</f>
        <v/>
      </c>
      <c r="AV54" s="190">
        <f>AU53*'01_Вводные'!$B$14</f>
        <v/>
      </c>
      <c r="AW54" s="190">
        <f>AV53*'01_Вводные'!$B$14</f>
        <v/>
      </c>
      <c r="AX54" s="190">
        <f>AW53*'01_Вводные'!$B$14</f>
        <v/>
      </c>
      <c r="AY54" s="190">
        <f>AX53*'01_Вводные'!$B$14</f>
        <v/>
      </c>
      <c r="AZ54" s="190">
        <f>AY53*'01_Вводные'!$B$14</f>
        <v/>
      </c>
      <c r="BA54" s="190">
        <f>AZ53*'01_Вводные'!$B$14</f>
        <v/>
      </c>
      <c r="BB54" s="190">
        <f>BA53*'01_Вводные'!$B$14</f>
        <v/>
      </c>
      <c r="BC54" s="190">
        <f>BB53*'01_Вводные'!$B$14</f>
        <v/>
      </c>
      <c r="BD54" s="190">
        <f>BC53*'01_Вводные'!$B$14</f>
        <v/>
      </c>
      <c r="BE54" s="190">
        <f>BD53*'01_Вводные'!$B$14</f>
        <v/>
      </c>
      <c r="BF54" s="190">
        <f>BE53*'01_Вводные'!$B$14</f>
        <v/>
      </c>
      <c r="BG54" s="190">
        <f>BF53*'01_Вводные'!$B$14</f>
        <v/>
      </c>
      <c r="BH54" s="190">
        <f>BG53*'01_Вводные'!$B$14</f>
        <v/>
      </c>
      <c r="BI54" s="190">
        <f>BH53*'01_Вводные'!$B$14</f>
        <v/>
      </c>
      <c r="BJ54" s="190">
        <f>BI53*'01_Вводные'!$B$14</f>
        <v/>
      </c>
      <c r="BK54" s="190">
        <f>BJ53*'01_Вводные'!$B$14</f>
        <v/>
      </c>
      <c r="BL54" s="190">
        <f>BK53*'01_Вводные'!$B$14</f>
        <v/>
      </c>
      <c r="BM54" s="190">
        <f>BL53*'01_Вводные'!$B$14</f>
        <v/>
      </c>
      <c r="BN54" s="190">
        <f>BM53*'01_Вводные'!$B$14</f>
        <v/>
      </c>
      <c r="BO54" s="190">
        <f>BN53*'01_Вводные'!$B$14</f>
        <v/>
      </c>
    </row>
    <row r="55" hidden="1" outlineLevel="1">
      <c r="A55" t="inlineStr">
        <is>
          <t>3 мес.</t>
        </is>
      </c>
      <c r="B55" s="189">
        <f>0</f>
        <v/>
      </c>
      <c r="C55" s="190">
        <f>B54*'01_Вводные'!$B$14</f>
        <v/>
      </c>
      <c r="D55" s="190">
        <f>C54*'01_Вводные'!$B$14</f>
        <v/>
      </c>
      <c r="E55" s="190">
        <f>D54*'01_Вводные'!$B$14</f>
        <v/>
      </c>
      <c r="F55" s="190">
        <f>E54*'01_Вводные'!$B$14</f>
        <v/>
      </c>
      <c r="G55" s="190">
        <f>F54*'01_Вводные'!$B$14</f>
        <v/>
      </c>
      <c r="H55" s="190">
        <f>G54*'01_Вводные'!$B$14</f>
        <v/>
      </c>
      <c r="I55" s="190">
        <f>H54*'01_Вводные'!$B$14</f>
        <v/>
      </c>
      <c r="J55" s="190">
        <f>I54*'01_Вводные'!$B$14</f>
        <v/>
      </c>
      <c r="K55" s="190">
        <f>J54*'01_Вводные'!$B$14</f>
        <v/>
      </c>
      <c r="L55" s="190">
        <f>K54*'01_Вводные'!$B$14</f>
        <v/>
      </c>
      <c r="M55" s="190">
        <f>L54*'01_Вводные'!$B$14</f>
        <v/>
      </c>
      <c r="N55" s="190">
        <f>M54*'01_Вводные'!$B$14</f>
        <v/>
      </c>
      <c r="O55" s="190">
        <f>N54*'01_Вводные'!$B$14</f>
        <v/>
      </c>
      <c r="P55" s="190">
        <f>O54*'01_Вводные'!$B$14</f>
        <v/>
      </c>
      <c r="Q55" s="190">
        <f>P54*'01_Вводные'!$B$14</f>
        <v/>
      </c>
      <c r="R55" s="190">
        <f>Q54*'01_Вводные'!$B$14</f>
        <v/>
      </c>
      <c r="S55" s="190">
        <f>R54*'01_Вводные'!$B$14</f>
        <v/>
      </c>
      <c r="T55" s="190">
        <f>S54*'01_Вводные'!$B$14</f>
        <v/>
      </c>
      <c r="U55" s="190">
        <f>T54*'01_Вводные'!$B$14</f>
        <v/>
      </c>
      <c r="V55" s="190">
        <f>U54*'01_Вводные'!$B$14</f>
        <v/>
      </c>
      <c r="W55" s="190">
        <f>V54*'01_Вводные'!$B$14</f>
        <v/>
      </c>
      <c r="X55" s="190">
        <f>W54*'01_Вводные'!$B$14</f>
        <v/>
      </c>
      <c r="Y55" s="190">
        <f>X54*'01_Вводные'!$B$14</f>
        <v/>
      </c>
      <c r="Z55" s="190">
        <f>Y54*'01_Вводные'!$B$14</f>
        <v/>
      </c>
      <c r="AA55" s="190">
        <f>Z54*'01_Вводные'!$B$14</f>
        <v/>
      </c>
      <c r="AB55" s="190">
        <f>AA54*'01_Вводные'!$B$14</f>
        <v/>
      </c>
      <c r="AC55" s="190">
        <f>AB54*'01_Вводные'!$B$14</f>
        <v/>
      </c>
      <c r="AD55" s="190">
        <f>AC54*'01_Вводные'!$B$14</f>
        <v/>
      </c>
      <c r="AE55" s="190">
        <f>AD54*'01_Вводные'!$B$14</f>
        <v/>
      </c>
      <c r="AF55" s="190">
        <f>AE54*'01_Вводные'!$B$14</f>
        <v/>
      </c>
      <c r="AG55" s="190">
        <f>AF54*'01_Вводные'!$B$14</f>
        <v/>
      </c>
      <c r="AH55" s="190">
        <f>AG54*'01_Вводные'!$B$14</f>
        <v/>
      </c>
      <c r="AI55" s="190">
        <f>AH54*'01_Вводные'!$B$14</f>
        <v/>
      </c>
      <c r="AJ55" s="190">
        <f>AI54*'01_Вводные'!$B$14</f>
        <v/>
      </c>
      <c r="AK55" s="190">
        <f>AJ54*'01_Вводные'!$B$14</f>
        <v/>
      </c>
      <c r="AL55" s="190">
        <f>AK54*'01_Вводные'!$B$14</f>
        <v/>
      </c>
      <c r="AM55" s="190">
        <f>AL54*'01_Вводные'!$B$14</f>
        <v/>
      </c>
      <c r="AN55" s="190">
        <f>AM54*'01_Вводные'!$B$14</f>
        <v/>
      </c>
      <c r="AO55" s="190">
        <f>AN54*'01_Вводные'!$B$14</f>
        <v/>
      </c>
      <c r="AP55" s="190">
        <f>AO54*'01_Вводные'!$B$14</f>
        <v/>
      </c>
      <c r="AQ55" s="190">
        <f>AP54*'01_Вводные'!$B$14</f>
        <v/>
      </c>
      <c r="AR55" s="190">
        <f>AQ54*'01_Вводные'!$B$14</f>
        <v/>
      </c>
      <c r="AS55" s="190">
        <f>AR54*'01_Вводные'!$B$14</f>
        <v/>
      </c>
      <c r="AT55" s="190">
        <f>AS54*'01_Вводные'!$B$14</f>
        <v/>
      </c>
      <c r="AU55" s="190">
        <f>AT54*'01_Вводные'!$B$14</f>
        <v/>
      </c>
      <c r="AV55" s="190">
        <f>AU54*'01_Вводные'!$B$14</f>
        <v/>
      </c>
      <c r="AW55" s="190">
        <f>AV54*'01_Вводные'!$B$14</f>
        <v/>
      </c>
      <c r="AX55" s="190">
        <f>AW54*'01_Вводные'!$B$14</f>
        <v/>
      </c>
      <c r="AY55" s="190">
        <f>AX54*'01_Вводные'!$B$14</f>
        <v/>
      </c>
      <c r="AZ55" s="190">
        <f>AY54*'01_Вводные'!$B$14</f>
        <v/>
      </c>
      <c r="BA55" s="190">
        <f>AZ54*'01_Вводные'!$B$14</f>
        <v/>
      </c>
      <c r="BB55" s="190">
        <f>BA54*'01_Вводные'!$B$14</f>
        <v/>
      </c>
      <c r="BC55" s="190">
        <f>BB54*'01_Вводные'!$B$14</f>
        <v/>
      </c>
      <c r="BD55" s="190">
        <f>BC54*'01_Вводные'!$B$14</f>
        <v/>
      </c>
      <c r="BE55" s="190">
        <f>BD54*'01_Вводные'!$B$14</f>
        <v/>
      </c>
      <c r="BF55" s="190">
        <f>BE54*'01_Вводные'!$B$14</f>
        <v/>
      </c>
      <c r="BG55" s="190">
        <f>BF54*'01_Вводные'!$B$14</f>
        <v/>
      </c>
      <c r="BH55" s="190">
        <f>BG54*'01_Вводные'!$B$14</f>
        <v/>
      </c>
      <c r="BI55" s="190">
        <f>BH54*'01_Вводные'!$B$14</f>
        <v/>
      </c>
      <c r="BJ55" s="190">
        <f>BI54*'01_Вводные'!$B$14</f>
        <v/>
      </c>
      <c r="BK55" s="190">
        <f>BJ54*'01_Вводные'!$B$14</f>
        <v/>
      </c>
      <c r="BL55" s="190">
        <f>BK54*'01_Вводные'!$B$14</f>
        <v/>
      </c>
      <c r="BM55" s="190">
        <f>BL54*'01_Вводные'!$B$14</f>
        <v/>
      </c>
      <c r="BN55" s="190">
        <f>BM54*'01_Вводные'!$B$14</f>
        <v/>
      </c>
      <c r="BO55" s="190">
        <f>BN54*'01_Вводные'!$B$14</f>
        <v/>
      </c>
    </row>
    <row r="56" hidden="1" outlineLevel="1">
      <c r="A56" t="inlineStr">
        <is>
          <t>4 мес.</t>
        </is>
      </c>
      <c r="B56" s="189">
        <f>0</f>
        <v/>
      </c>
      <c r="C56" s="190">
        <f>B55*'01_Вводные'!$B$14</f>
        <v/>
      </c>
      <c r="D56" s="190">
        <f>C55*'01_Вводные'!$B$14</f>
        <v/>
      </c>
      <c r="E56" s="190">
        <f>D55*'01_Вводные'!$B$14</f>
        <v/>
      </c>
      <c r="F56" s="190">
        <f>E55*'01_Вводные'!$B$14</f>
        <v/>
      </c>
      <c r="G56" s="190">
        <f>F55*'01_Вводные'!$B$14</f>
        <v/>
      </c>
      <c r="H56" s="190">
        <f>G55*'01_Вводные'!$B$14</f>
        <v/>
      </c>
      <c r="I56" s="190">
        <f>H55*'01_Вводные'!$B$14</f>
        <v/>
      </c>
      <c r="J56" s="190">
        <f>I55*'01_Вводные'!$B$14</f>
        <v/>
      </c>
      <c r="K56" s="190">
        <f>J55*'01_Вводные'!$B$14</f>
        <v/>
      </c>
      <c r="L56" s="190">
        <f>K55*'01_Вводные'!$B$14</f>
        <v/>
      </c>
      <c r="M56" s="190">
        <f>L55*'01_Вводные'!$B$14</f>
        <v/>
      </c>
      <c r="N56" s="190">
        <f>M55*'01_Вводные'!$B$14</f>
        <v/>
      </c>
      <c r="O56" s="190">
        <f>N55*'01_Вводные'!$B$14</f>
        <v/>
      </c>
      <c r="P56" s="190">
        <f>O55*'01_Вводные'!$B$14</f>
        <v/>
      </c>
      <c r="Q56" s="190">
        <f>P55*'01_Вводные'!$B$14</f>
        <v/>
      </c>
      <c r="R56" s="190">
        <f>Q55*'01_Вводные'!$B$14</f>
        <v/>
      </c>
      <c r="S56" s="190">
        <f>R55*'01_Вводные'!$B$14</f>
        <v/>
      </c>
      <c r="T56" s="190">
        <f>S55*'01_Вводные'!$B$14</f>
        <v/>
      </c>
      <c r="U56" s="190">
        <f>T55*'01_Вводные'!$B$14</f>
        <v/>
      </c>
      <c r="V56" s="190">
        <f>U55*'01_Вводные'!$B$14</f>
        <v/>
      </c>
      <c r="W56" s="190">
        <f>V55*'01_Вводные'!$B$14</f>
        <v/>
      </c>
      <c r="X56" s="190">
        <f>W55*'01_Вводные'!$B$14</f>
        <v/>
      </c>
      <c r="Y56" s="190">
        <f>X55*'01_Вводные'!$B$14</f>
        <v/>
      </c>
      <c r="Z56" s="190">
        <f>Y55*'01_Вводные'!$B$14</f>
        <v/>
      </c>
      <c r="AA56" s="190">
        <f>Z55*'01_Вводные'!$B$14</f>
        <v/>
      </c>
      <c r="AB56" s="190">
        <f>AA55*'01_Вводные'!$B$14</f>
        <v/>
      </c>
      <c r="AC56" s="190">
        <f>AB55*'01_Вводные'!$B$14</f>
        <v/>
      </c>
      <c r="AD56" s="190">
        <f>AC55*'01_Вводные'!$B$14</f>
        <v/>
      </c>
      <c r="AE56" s="190">
        <f>AD55*'01_Вводные'!$B$14</f>
        <v/>
      </c>
      <c r="AF56" s="190">
        <f>AE55*'01_Вводные'!$B$14</f>
        <v/>
      </c>
      <c r="AG56" s="190">
        <f>AF55*'01_Вводные'!$B$14</f>
        <v/>
      </c>
      <c r="AH56" s="190">
        <f>AG55*'01_Вводные'!$B$14</f>
        <v/>
      </c>
      <c r="AI56" s="190">
        <f>AH55*'01_Вводные'!$B$14</f>
        <v/>
      </c>
      <c r="AJ56" s="190">
        <f>AI55*'01_Вводные'!$B$14</f>
        <v/>
      </c>
      <c r="AK56" s="190">
        <f>AJ55*'01_Вводные'!$B$14</f>
        <v/>
      </c>
      <c r="AL56" s="190">
        <f>AK55*'01_Вводные'!$B$14</f>
        <v/>
      </c>
      <c r="AM56" s="190">
        <f>AL55*'01_Вводные'!$B$14</f>
        <v/>
      </c>
      <c r="AN56" s="190">
        <f>AM55*'01_Вводные'!$B$14</f>
        <v/>
      </c>
      <c r="AO56" s="190">
        <f>AN55*'01_Вводные'!$B$14</f>
        <v/>
      </c>
      <c r="AP56" s="190">
        <f>AO55*'01_Вводные'!$B$14</f>
        <v/>
      </c>
      <c r="AQ56" s="190">
        <f>AP55*'01_Вводные'!$B$14</f>
        <v/>
      </c>
      <c r="AR56" s="190">
        <f>AQ55*'01_Вводные'!$B$14</f>
        <v/>
      </c>
      <c r="AS56" s="190">
        <f>AR55*'01_Вводные'!$B$14</f>
        <v/>
      </c>
      <c r="AT56" s="190">
        <f>AS55*'01_Вводные'!$B$14</f>
        <v/>
      </c>
      <c r="AU56" s="190">
        <f>AT55*'01_Вводные'!$B$14</f>
        <v/>
      </c>
      <c r="AV56" s="190">
        <f>AU55*'01_Вводные'!$B$14</f>
        <v/>
      </c>
      <c r="AW56" s="190">
        <f>AV55*'01_Вводные'!$B$14</f>
        <v/>
      </c>
      <c r="AX56" s="190">
        <f>AW55*'01_Вводные'!$B$14</f>
        <v/>
      </c>
      <c r="AY56" s="190">
        <f>AX55*'01_Вводные'!$B$14</f>
        <v/>
      </c>
      <c r="AZ56" s="190">
        <f>AY55*'01_Вводные'!$B$14</f>
        <v/>
      </c>
      <c r="BA56" s="190">
        <f>AZ55*'01_Вводные'!$B$14</f>
        <v/>
      </c>
      <c r="BB56" s="190">
        <f>BA55*'01_Вводные'!$B$14</f>
        <v/>
      </c>
      <c r="BC56" s="190">
        <f>BB55*'01_Вводные'!$B$14</f>
        <v/>
      </c>
      <c r="BD56" s="190">
        <f>BC55*'01_Вводные'!$B$14</f>
        <v/>
      </c>
      <c r="BE56" s="190">
        <f>BD55*'01_Вводные'!$B$14</f>
        <v/>
      </c>
      <c r="BF56" s="190">
        <f>BE55*'01_Вводные'!$B$14</f>
        <v/>
      </c>
      <c r="BG56" s="190">
        <f>BF55*'01_Вводные'!$B$14</f>
        <v/>
      </c>
      <c r="BH56" s="190">
        <f>BG55*'01_Вводные'!$B$14</f>
        <v/>
      </c>
      <c r="BI56" s="190">
        <f>BH55*'01_Вводные'!$B$14</f>
        <v/>
      </c>
      <c r="BJ56" s="190">
        <f>BI55*'01_Вводные'!$B$14</f>
        <v/>
      </c>
      <c r="BK56" s="190">
        <f>BJ55*'01_Вводные'!$B$14</f>
        <v/>
      </c>
      <c r="BL56" s="190">
        <f>BK55*'01_Вводные'!$B$14</f>
        <v/>
      </c>
      <c r="BM56" s="190">
        <f>BL55*'01_Вводные'!$B$14</f>
        <v/>
      </c>
      <c r="BN56" s="190">
        <f>BM55*'01_Вводные'!$B$14</f>
        <v/>
      </c>
      <c r="BO56" s="190">
        <f>BN55*'01_Вводные'!$B$14</f>
        <v/>
      </c>
    </row>
    <row r="57" hidden="1" outlineLevel="1">
      <c r="A57" t="inlineStr">
        <is>
          <t>5 мес.</t>
        </is>
      </c>
      <c r="B57" s="189">
        <f>0</f>
        <v/>
      </c>
      <c r="C57" s="190">
        <f>B56*'01_Вводные'!$B$14</f>
        <v/>
      </c>
      <c r="D57" s="190">
        <f>C56*'01_Вводные'!$B$14</f>
        <v/>
      </c>
      <c r="E57" s="190">
        <f>D56*'01_Вводные'!$B$14</f>
        <v/>
      </c>
      <c r="F57" s="190">
        <f>E56*'01_Вводные'!$B$14</f>
        <v/>
      </c>
      <c r="G57" s="190">
        <f>F56*'01_Вводные'!$B$14</f>
        <v/>
      </c>
      <c r="H57" s="190">
        <f>G56*'01_Вводные'!$B$14</f>
        <v/>
      </c>
      <c r="I57" s="190">
        <f>H56*'01_Вводные'!$B$14</f>
        <v/>
      </c>
      <c r="J57" s="190">
        <f>I56*'01_Вводные'!$B$14</f>
        <v/>
      </c>
      <c r="K57" s="190">
        <f>J56*'01_Вводные'!$B$14</f>
        <v/>
      </c>
      <c r="L57" s="190">
        <f>K56*'01_Вводные'!$B$14</f>
        <v/>
      </c>
      <c r="M57" s="190">
        <f>L56*'01_Вводные'!$B$14</f>
        <v/>
      </c>
      <c r="N57" s="190">
        <f>M56*'01_Вводные'!$B$14</f>
        <v/>
      </c>
      <c r="O57" s="190">
        <f>N56*'01_Вводные'!$B$14</f>
        <v/>
      </c>
      <c r="P57" s="190">
        <f>O56*'01_Вводные'!$B$14</f>
        <v/>
      </c>
      <c r="Q57" s="190">
        <f>P56*'01_Вводные'!$B$14</f>
        <v/>
      </c>
      <c r="R57" s="190">
        <f>Q56*'01_Вводные'!$B$14</f>
        <v/>
      </c>
      <c r="S57" s="190">
        <f>R56*'01_Вводные'!$B$14</f>
        <v/>
      </c>
      <c r="T57" s="190">
        <f>S56*'01_Вводные'!$B$14</f>
        <v/>
      </c>
      <c r="U57" s="190">
        <f>T56*'01_Вводные'!$B$14</f>
        <v/>
      </c>
      <c r="V57" s="190">
        <f>U56*'01_Вводные'!$B$14</f>
        <v/>
      </c>
      <c r="W57" s="190">
        <f>V56*'01_Вводные'!$B$14</f>
        <v/>
      </c>
      <c r="X57" s="190">
        <f>W56*'01_Вводные'!$B$14</f>
        <v/>
      </c>
      <c r="Y57" s="190">
        <f>X56*'01_Вводные'!$B$14</f>
        <v/>
      </c>
      <c r="Z57" s="190">
        <f>Y56*'01_Вводные'!$B$14</f>
        <v/>
      </c>
      <c r="AA57" s="190">
        <f>Z56*'01_Вводные'!$B$14</f>
        <v/>
      </c>
      <c r="AB57" s="190">
        <f>AA56*'01_Вводные'!$B$14</f>
        <v/>
      </c>
      <c r="AC57" s="190">
        <f>AB56*'01_Вводные'!$B$14</f>
        <v/>
      </c>
      <c r="AD57" s="190">
        <f>AC56*'01_Вводные'!$B$14</f>
        <v/>
      </c>
      <c r="AE57" s="190">
        <f>AD56*'01_Вводные'!$B$14</f>
        <v/>
      </c>
      <c r="AF57" s="190">
        <f>AE56*'01_Вводные'!$B$14</f>
        <v/>
      </c>
      <c r="AG57" s="190">
        <f>AF56*'01_Вводные'!$B$14</f>
        <v/>
      </c>
      <c r="AH57" s="190">
        <f>AG56*'01_Вводные'!$B$14</f>
        <v/>
      </c>
      <c r="AI57" s="190">
        <f>AH56*'01_Вводные'!$B$14</f>
        <v/>
      </c>
      <c r="AJ57" s="190">
        <f>AI56*'01_Вводные'!$B$14</f>
        <v/>
      </c>
      <c r="AK57" s="190">
        <f>AJ56*'01_Вводные'!$B$14</f>
        <v/>
      </c>
      <c r="AL57" s="190">
        <f>AK56*'01_Вводные'!$B$14</f>
        <v/>
      </c>
      <c r="AM57" s="190">
        <f>AL56*'01_Вводные'!$B$14</f>
        <v/>
      </c>
      <c r="AN57" s="190">
        <f>AM56*'01_Вводные'!$B$14</f>
        <v/>
      </c>
      <c r="AO57" s="190">
        <f>AN56*'01_Вводные'!$B$14</f>
        <v/>
      </c>
      <c r="AP57" s="190">
        <f>AO56*'01_Вводные'!$B$14</f>
        <v/>
      </c>
      <c r="AQ57" s="190">
        <f>AP56*'01_Вводные'!$B$14</f>
        <v/>
      </c>
      <c r="AR57" s="190">
        <f>AQ56*'01_Вводные'!$B$14</f>
        <v/>
      </c>
      <c r="AS57" s="190">
        <f>AR56*'01_Вводные'!$B$14</f>
        <v/>
      </c>
      <c r="AT57" s="190">
        <f>AS56*'01_Вводные'!$B$14</f>
        <v/>
      </c>
      <c r="AU57" s="190">
        <f>AT56*'01_Вводные'!$B$14</f>
        <v/>
      </c>
      <c r="AV57" s="190">
        <f>AU56*'01_Вводные'!$B$14</f>
        <v/>
      </c>
      <c r="AW57" s="190">
        <f>AV56*'01_Вводные'!$B$14</f>
        <v/>
      </c>
      <c r="AX57" s="190">
        <f>AW56*'01_Вводные'!$B$14</f>
        <v/>
      </c>
      <c r="AY57" s="190">
        <f>AX56*'01_Вводные'!$B$14</f>
        <v/>
      </c>
      <c r="AZ57" s="190">
        <f>AY56*'01_Вводные'!$B$14</f>
        <v/>
      </c>
      <c r="BA57" s="190">
        <f>AZ56*'01_Вводные'!$B$14</f>
        <v/>
      </c>
      <c r="BB57" s="190">
        <f>BA56*'01_Вводные'!$B$14</f>
        <v/>
      </c>
      <c r="BC57" s="190">
        <f>BB56*'01_Вводные'!$B$14</f>
        <v/>
      </c>
      <c r="BD57" s="190">
        <f>BC56*'01_Вводные'!$B$14</f>
        <v/>
      </c>
      <c r="BE57" s="190">
        <f>BD56*'01_Вводные'!$B$14</f>
        <v/>
      </c>
      <c r="BF57" s="190">
        <f>BE56*'01_Вводные'!$B$14</f>
        <v/>
      </c>
      <c r="BG57" s="190">
        <f>BF56*'01_Вводные'!$B$14</f>
        <v/>
      </c>
      <c r="BH57" s="190">
        <f>BG56*'01_Вводные'!$B$14</f>
        <v/>
      </c>
      <c r="BI57" s="190">
        <f>BH56*'01_Вводные'!$B$14</f>
        <v/>
      </c>
      <c r="BJ57" s="190">
        <f>BI56*'01_Вводные'!$B$14</f>
        <v/>
      </c>
      <c r="BK57" s="190">
        <f>BJ56*'01_Вводные'!$B$14</f>
        <v/>
      </c>
      <c r="BL57" s="190">
        <f>BK56*'01_Вводные'!$B$14</f>
        <v/>
      </c>
      <c r="BM57" s="190">
        <f>BL56*'01_Вводные'!$B$14</f>
        <v/>
      </c>
      <c r="BN57" s="190">
        <f>BM56*'01_Вводные'!$B$14</f>
        <v/>
      </c>
      <c r="BO57" s="190">
        <f>BN56*'01_Вводные'!$B$14</f>
        <v/>
      </c>
    </row>
    <row r="58" hidden="1" outlineLevel="1">
      <c r="A58" t="inlineStr">
        <is>
          <t>6 мес.</t>
        </is>
      </c>
      <c r="B58" s="189">
        <f>0</f>
        <v/>
      </c>
      <c r="C58" s="190">
        <f>B57*'01_Вводные'!$B$14</f>
        <v/>
      </c>
      <c r="D58" s="190">
        <f>C57*'01_Вводные'!$B$14</f>
        <v/>
      </c>
      <c r="E58" s="190">
        <f>D57*'01_Вводные'!$B$14</f>
        <v/>
      </c>
      <c r="F58" s="190">
        <f>E57*'01_Вводные'!$B$14</f>
        <v/>
      </c>
      <c r="G58" s="190">
        <f>F57*'01_Вводные'!$B$14</f>
        <v/>
      </c>
      <c r="H58" s="190">
        <f>G57*'01_Вводные'!$B$14</f>
        <v/>
      </c>
      <c r="I58" s="190">
        <f>H57*'01_Вводные'!$B$14</f>
        <v/>
      </c>
      <c r="J58" s="190">
        <f>I57*'01_Вводные'!$B$14</f>
        <v/>
      </c>
      <c r="K58" s="190">
        <f>J57*'01_Вводные'!$B$14</f>
        <v/>
      </c>
      <c r="L58" s="190">
        <f>K57*'01_Вводные'!$B$14</f>
        <v/>
      </c>
      <c r="M58" s="190">
        <f>L57*'01_Вводные'!$B$14</f>
        <v/>
      </c>
      <c r="N58" s="190">
        <f>M57*'01_Вводные'!$B$14</f>
        <v/>
      </c>
      <c r="O58" s="190">
        <f>N57*'01_Вводные'!$B$14</f>
        <v/>
      </c>
      <c r="P58" s="190">
        <f>O57*'01_Вводные'!$B$14</f>
        <v/>
      </c>
      <c r="Q58" s="190">
        <f>P57*'01_Вводные'!$B$14</f>
        <v/>
      </c>
      <c r="R58" s="190">
        <f>Q57*'01_Вводные'!$B$14</f>
        <v/>
      </c>
      <c r="S58" s="190">
        <f>R57*'01_Вводные'!$B$14</f>
        <v/>
      </c>
      <c r="T58" s="190">
        <f>S57*'01_Вводные'!$B$14</f>
        <v/>
      </c>
      <c r="U58" s="190">
        <f>T57*'01_Вводные'!$B$14</f>
        <v/>
      </c>
      <c r="V58" s="190">
        <f>U57*'01_Вводные'!$B$14</f>
        <v/>
      </c>
      <c r="W58" s="190">
        <f>V57*'01_Вводные'!$B$14</f>
        <v/>
      </c>
      <c r="X58" s="190">
        <f>W57*'01_Вводные'!$B$14</f>
        <v/>
      </c>
      <c r="Y58" s="190">
        <f>X57*'01_Вводные'!$B$14</f>
        <v/>
      </c>
      <c r="Z58" s="190">
        <f>Y57*'01_Вводные'!$B$14</f>
        <v/>
      </c>
      <c r="AA58" s="190">
        <f>Z57*'01_Вводные'!$B$14</f>
        <v/>
      </c>
      <c r="AB58" s="190">
        <f>AA57*'01_Вводные'!$B$14</f>
        <v/>
      </c>
      <c r="AC58" s="190">
        <f>AB57*'01_Вводные'!$B$14</f>
        <v/>
      </c>
      <c r="AD58" s="190">
        <f>AC57*'01_Вводные'!$B$14</f>
        <v/>
      </c>
      <c r="AE58" s="190">
        <f>AD57*'01_Вводные'!$B$14</f>
        <v/>
      </c>
      <c r="AF58" s="190">
        <f>AE57*'01_Вводные'!$B$14</f>
        <v/>
      </c>
      <c r="AG58" s="190">
        <f>AF57*'01_Вводные'!$B$14</f>
        <v/>
      </c>
      <c r="AH58" s="190">
        <f>AG57*'01_Вводные'!$B$14</f>
        <v/>
      </c>
      <c r="AI58" s="190">
        <f>AH57*'01_Вводные'!$B$14</f>
        <v/>
      </c>
      <c r="AJ58" s="190">
        <f>AI57*'01_Вводные'!$B$14</f>
        <v/>
      </c>
      <c r="AK58" s="190">
        <f>AJ57*'01_Вводные'!$B$14</f>
        <v/>
      </c>
      <c r="AL58" s="190">
        <f>AK57*'01_Вводные'!$B$14</f>
        <v/>
      </c>
      <c r="AM58" s="190">
        <f>AL57*'01_Вводные'!$B$14</f>
        <v/>
      </c>
      <c r="AN58" s="190">
        <f>AM57*'01_Вводные'!$B$14</f>
        <v/>
      </c>
      <c r="AO58" s="190">
        <f>AN57*'01_Вводные'!$B$14</f>
        <v/>
      </c>
      <c r="AP58" s="190">
        <f>AO57*'01_Вводные'!$B$14</f>
        <v/>
      </c>
      <c r="AQ58" s="190">
        <f>AP57*'01_Вводные'!$B$14</f>
        <v/>
      </c>
      <c r="AR58" s="190">
        <f>AQ57*'01_Вводные'!$B$14</f>
        <v/>
      </c>
      <c r="AS58" s="190">
        <f>AR57*'01_Вводные'!$B$14</f>
        <v/>
      </c>
      <c r="AT58" s="190">
        <f>AS57*'01_Вводные'!$B$14</f>
        <v/>
      </c>
      <c r="AU58" s="190">
        <f>AT57*'01_Вводные'!$B$14</f>
        <v/>
      </c>
      <c r="AV58" s="190">
        <f>AU57*'01_Вводные'!$B$14</f>
        <v/>
      </c>
      <c r="AW58" s="190">
        <f>AV57*'01_Вводные'!$B$14</f>
        <v/>
      </c>
      <c r="AX58" s="190">
        <f>AW57*'01_Вводные'!$B$14</f>
        <v/>
      </c>
      <c r="AY58" s="190">
        <f>AX57*'01_Вводные'!$B$14</f>
        <v/>
      </c>
      <c r="AZ58" s="190">
        <f>AY57*'01_Вводные'!$B$14</f>
        <v/>
      </c>
      <c r="BA58" s="190">
        <f>AZ57*'01_Вводные'!$B$14</f>
        <v/>
      </c>
      <c r="BB58" s="190">
        <f>BA57*'01_Вводные'!$B$14</f>
        <v/>
      </c>
      <c r="BC58" s="190">
        <f>BB57*'01_Вводные'!$B$14</f>
        <v/>
      </c>
      <c r="BD58" s="190">
        <f>BC57*'01_Вводные'!$B$14</f>
        <v/>
      </c>
      <c r="BE58" s="190">
        <f>BD57*'01_Вводные'!$B$14</f>
        <v/>
      </c>
      <c r="BF58" s="190">
        <f>BE57*'01_Вводные'!$B$14</f>
        <v/>
      </c>
      <c r="BG58" s="190">
        <f>BF57*'01_Вводные'!$B$14</f>
        <v/>
      </c>
      <c r="BH58" s="190">
        <f>BG57*'01_Вводные'!$B$14</f>
        <v/>
      </c>
      <c r="BI58" s="190">
        <f>BH57*'01_Вводные'!$B$14</f>
        <v/>
      </c>
      <c r="BJ58" s="190">
        <f>BI57*'01_Вводные'!$B$14</f>
        <v/>
      </c>
      <c r="BK58" s="190">
        <f>BJ57*'01_Вводные'!$B$14</f>
        <v/>
      </c>
      <c r="BL58" s="190">
        <f>BK57*'01_Вводные'!$B$14</f>
        <v/>
      </c>
      <c r="BM58" s="190">
        <f>BL57*'01_Вводные'!$B$14</f>
        <v/>
      </c>
      <c r="BN58" s="190">
        <f>BM57*'01_Вводные'!$B$14</f>
        <v/>
      </c>
      <c r="BO58" s="190">
        <f>BN57*'01_Вводные'!$B$14</f>
        <v/>
      </c>
    </row>
    <row r="59" hidden="1" outlineLevel="1">
      <c r="A59" t="inlineStr">
        <is>
          <t>7 мес.</t>
        </is>
      </c>
      <c r="B59" s="189">
        <f>0</f>
        <v/>
      </c>
      <c r="C59" s="190">
        <f>B58*'01_Вводные'!$B$14</f>
        <v/>
      </c>
      <c r="D59" s="190">
        <f>C58*'01_Вводные'!$B$14</f>
        <v/>
      </c>
      <c r="E59" s="190">
        <f>D58*'01_Вводные'!$B$14</f>
        <v/>
      </c>
      <c r="F59" s="190">
        <f>E58*'01_Вводные'!$B$14</f>
        <v/>
      </c>
      <c r="G59" s="190">
        <f>F58*'01_Вводные'!$B$14</f>
        <v/>
      </c>
      <c r="H59" s="190">
        <f>G58*'01_Вводные'!$B$14</f>
        <v/>
      </c>
      <c r="I59" s="190">
        <f>H58*'01_Вводные'!$B$14</f>
        <v/>
      </c>
      <c r="J59" s="190">
        <f>I58*'01_Вводные'!$B$14</f>
        <v/>
      </c>
      <c r="K59" s="190">
        <f>J58*'01_Вводные'!$B$14</f>
        <v/>
      </c>
      <c r="L59" s="190">
        <f>K58*'01_Вводные'!$B$14</f>
        <v/>
      </c>
      <c r="M59" s="190">
        <f>L58*'01_Вводные'!$B$14</f>
        <v/>
      </c>
      <c r="N59" s="190">
        <f>M58*'01_Вводные'!$B$14</f>
        <v/>
      </c>
      <c r="O59" s="190">
        <f>N58*'01_Вводные'!$B$14</f>
        <v/>
      </c>
      <c r="P59" s="190">
        <f>O58*'01_Вводные'!$B$14</f>
        <v/>
      </c>
      <c r="Q59" s="190">
        <f>P58*'01_Вводные'!$B$14</f>
        <v/>
      </c>
      <c r="R59" s="190">
        <f>Q58*'01_Вводные'!$B$14</f>
        <v/>
      </c>
      <c r="S59" s="190">
        <f>R58*'01_Вводные'!$B$14</f>
        <v/>
      </c>
      <c r="T59" s="190">
        <f>S58*'01_Вводные'!$B$14</f>
        <v/>
      </c>
      <c r="U59" s="190">
        <f>T58*'01_Вводные'!$B$14</f>
        <v/>
      </c>
      <c r="V59" s="190">
        <f>U58*'01_Вводные'!$B$14</f>
        <v/>
      </c>
      <c r="W59" s="190">
        <f>V58*'01_Вводные'!$B$14</f>
        <v/>
      </c>
      <c r="X59" s="190">
        <f>W58*'01_Вводные'!$B$14</f>
        <v/>
      </c>
      <c r="Y59" s="190">
        <f>X58*'01_Вводные'!$B$14</f>
        <v/>
      </c>
      <c r="Z59" s="190">
        <f>Y58*'01_Вводные'!$B$14</f>
        <v/>
      </c>
      <c r="AA59" s="190">
        <f>Z58*'01_Вводные'!$B$14</f>
        <v/>
      </c>
      <c r="AB59" s="190">
        <f>AA58*'01_Вводные'!$B$14</f>
        <v/>
      </c>
      <c r="AC59" s="190">
        <f>AB58*'01_Вводные'!$B$14</f>
        <v/>
      </c>
      <c r="AD59" s="190">
        <f>AC58*'01_Вводные'!$B$14</f>
        <v/>
      </c>
      <c r="AE59" s="190">
        <f>AD58*'01_Вводные'!$B$14</f>
        <v/>
      </c>
      <c r="AF59" s="190">
        <f>AE58*'01_Вводные'!$B$14</f>
        <v/>
      </c>
      <c r="AG59" s="190">
        <f>AF58*'01_Вводные'!$B$14</f>
        <v/>
      </c>
      <c r="AH59" s="190">
        <f>AG58*'01_Вводные'!$B$14</f>
        <v/>
      </c>
      <c r="AI59" s="190">
        <f>AH58*'01_Вводные'!$B$14</f>
        <v/>
      </c>
      <c r="AJ59" s="190">
        <f>AI58*'01_Вводные'!$B$14</f>
        <v/>
      </c>
      <c r="AK59" s="190">
        <f>AJ58*'01_Вводные'!$B$14</f>
        <v/>
      </c>
      <c r="AL59" s="190">
        <f>AK58*'01_Вводные'!$B$14</f>
        <v/>
      </c>
      <c r="AM59" s="190">
        <f>AL58*'01_Вводные'!$B$14</f>
        <v/>
      </c>
      <c r="AN59" s="190">
        <f>AM58*'01_Вводные'!$B$14</f>
        <v/>
      </c>
      <c r="AO59" s="190">
        <f>AN58*'01_Вводные'!$B$14</f>
        <v/>
      </c>
      <c r="AP59" s="190">
        <f>AO58*'01_Вводные'!$B$14</f>
        <v/>
      </c>
      <c r="AQ59" s="190">
        <f>AP58*'01_Вводные'!$B$14</f>
        <v/>
      </c>
      <c r="AR59" s="190">
        <f>AQ58*'01_Вводные'!$B$14</f>
        <v/>
      </c>
      <c r="AS59" s="190">
        <f>AR58*'01_Вводные'!$B$14</f>
        <v/>
      </c>
      <c r="AT59" s="190">
        <f>AS58*'01_Вводные'!$B$14</f>
        <v/>
      </c>
      <c r="AU59" s="190">
        <f>AT58*'01_Вводные'!$B$14</f>
        <v/>
      </c>
      <c r="AV59" s="190">
        <f>AU58*'01_Вводные'!$B$14</f>
        <v/>
      </c>
      <c r="AW59" s="190">
        <f>AV58*'01_Вводные'!$B$14</f>
        <v/>
      </c>
      <c r="AX59" s="190">
        <f>AW58*'01_Вводные'!$B$14</f>
        <v/>
      </c>
      <c r="AY59" s="190">
        <f>AX58*'01_Вводные'!$B$14</f>
        <v/>
      </c>
      <c r="AZ59" s="190">
        <f>AY58*'01_Вводные'!$B$14</f>
        <v/>
      </c>
      <c r="BA59" s="190">
        <f>AZ58*'01_Вводные'!$B$14</f>
        <v/>
      </c>
      <c r="BB59" s="190">
        <f>BA58*'01_Вводные'!$B$14</f>
        <v/>
      </c>
      <c r="BC59" s="190">
        <f>BB58*'01_Вводные'!$B$14</f>
        <v/>
      </c>
      <c r="BD59" s="190">
        <f>BC58*'01_Вводные'!$B$14</f>
        <v/>
      </c>
      <c r="BE59" s="190">
        <f>BD58*'01_Вводные'!$B$14</f>
        <v/>
      </c>
      <c r="BF59" s="190">
        <f>BE58*'01_Вводные'!$B$14</f>
        <v/>
      </c>
      <c r="BG59" s="190">
        <f>BF58*'01_Вводные'!$B$14</f>
        <v/>
      </c>
      <c r="BH59" s="190">
        <f>BG58*'01_Вводные'!$B$14</f>
        <v/>
      </c>
      <c r="BI59" s="190">
        <f>BH58*'01_Вводные'!$B$14</f>
        <v/>
      </c>
      <c r="BJ59" s="190">
        <f>BI58*'01_Вводные'!$B$14</f>
        <v/>
      </c>
      <c r="BK59" s="190">
        <f>BJ58*'01_Вводные'!$B$14</f>
        <v/>
      </c>
      <c r="BL59" s="190">
        <f>BK58*'01_Вводные'!$B$14</f>
        <v/>
      </c>
      <c r="BM59" s="190">
        <f>BL58*'01_Вводные'!$B$14</f>
        <v/>
      </c>
      <c r="BN59" s="190">
        <f>BM58*'01_Вводные'!$B$14</f>
        <v/>
      </c>
      <c r="BO59" s="190">
        <f>BN58*'01_Вводные'!$B$14</f>
        <v/>
      </c>
    </row>
    <row r="60" hidden="1" outlineLevel="1">
      <c r="A60" t="inlineStr">
        <is>
          <t>8 мес.</t>
        </is>
      </c>
      <c r="B60" s="189">
        <f>0</f>
        <v/>
      </c>
      <c r="C60" s="190">
        <f>B59*'01_Вводные'!$B$14</f>
        <v/>
      </c>
      <c r="D60" s="190">
        <f>C59*'01_Вводные'!$B$14</f>
        <v/>
      </c>
      <c r="E60" s="190">
        <f>D59*'01_Вводные'!$B$14</f>
        <v/>
      </c>
      <c r="F60" s="190">
        <f>E59*'01_Вводные'!$B$14</f>
        <v/>
      </c>
      <c r="G60" s="190">
        <f>F59*'01_Вводные'!$B$14</f>
        <v/>
      </c>
      <c r="H60" s="190">
        <f>G59*'01_Вводные'!$B$14</f>
        <v/>
      </c>
      <c r="I60" s="190">
        <f>H59*'01_Вводные'!$B$14</f>
        <v/>
      </c>
      <c r="J60" s="190">
        <f>I59*'01_Вводные'!$B$14</f>
        <v/>
      </c>
      <c r="K60" s="190">
        <f>J59*'01_Вводные'!$B$14</f>
        <v/>
      </c>
      <c r="L60" s="190">
        <f>K59*'01_Вводные'!$B$14</f>
        <v/>
      </c>
      <c r="M60" s="190">
        <f>L59*'01_Вводные'!$B$14</f>
        <v/>
      </c>
      <c r="N60" s="190">
        <f>M59*'01_Вводные'!$B$14</f>
        <v/>
      </c>
      <c r="O60" s="190">
        <f>N59*'01_Вводные'!$B$14</f>
        <v/>
      </c>
      <c r="P60" s="190">
        <f>O59*'01_Вводные'!$B$14</f>
        <v/>
      </c>
      <c r="Q60" s="190">
        <f>P59*'01_Вводные'!$B$14</f>
        <v/>
      </c>
      <c r="R60" s="190">
        <f>Q59*'01_Вводные'!$B$14</f>
        <v/>
      </c>
      <c r="S60" s="190">
        <f>R59*'01_Вводные'!$B$14</f>
        <v/>
      </c>
      <c r="T60" s="190">
        <f>S59*'01_Вводные'!$B$14</f>
        <v/>
      </c>
      <c r="U60" s="190">
        <f>T59*'01_Вводные'!$B$14</f>
        <v/>
      </c>
      <c r="V60" s="190">
        <f>U59*'01_Вводные'!$B$14</f>
        <v/>
      </c>
      <c r="W60" s="190">
        <f>V59*'01_Вводные'!$B$14</f>
        <v/>
      </c>
      <c r="X60" s="190">
        <f>W59*'01_Вводные'!$B$14</f>
        <v/>
      </c>
      <c r="Y60" s="190">
        <f>X59*'01_Вводные'!$B$14</f>
        <v/>
      </c>
      <c r="Z60" s="190">
        <f>Y59*'01_Вводные'!$B$14</f>
        <v/>
      </c>
      <c r="AA60" s="190">
        <f>Z59*'01_Вводные'!$B$14</f>
        <v/>
      </c>
      <c r="AB60" s="190">
        <f>AA59*'01_Вводные'!$B$14</f>
        <v/>
      </c>
      <c r="AC60" s="190">
        <f>AB59*'01_Вводные'!$B$14</f>
        <v/>
      </c>
      <c r="AD60" s="190">
        <f>AC59*'01_Вводные'!$B$14</f>
        <v/>
      </c>
      <c r="AE60" s="190">
        <f>AD59*'01_Вводные'!$B$14</f>
        <v/>
      </c>
      <c r="AF60" s="190">
        <f>AE59*'01_Вводные'!$B$14</f>
        <v/>
      </c>
      <c r="AG60" s="190">
        <f>AF59*'01_Вводные'!$B$14</f>
        <v/>
      </c>
      <c r="AH60" s="190">
        <f>AG59*'01_Вводные'!$B$14</f>
        <v/>
      </c>
      <c r="AI60" s="190">
        <f>AH59*'01_Вводные'!$B$14</f>
        <v/>
      </c>
      <c r="AJ60" s="190">
        <f>AI59*'01_Вводные'!$B$14</f>
        <v/>
      </c>
      <c r="AK60" s="190">
        <f>AJ59*'01_Вводные'!$B$14</f>
        <v/>
      </c>
      <c r="AL60" s="190">
        <f>AK59*'01_Вводные'!$B$14</f>
        <v/>
      </c>
      <c r="AM60" s="190">
        <f>AL59*'01_Вводные'!$B$14</f>
        <v/>
      </c>
      <c r="AN60" s="190">
        <f>AM59*'01_Вводные'!$B$14</f>
        <v/>
      </c>
      <c r="AO60" s="190">
        <f>AN59*'01_Вводные'!$B$14</f>
        <v/>
      </c>
      <c r="AP60" s="190">
        <f>AO59*'01_Вводные'!$B$14</f>
        <v/>
      </c>
      <c r="AQ60" s="190">
        <f>AP59*'01_Вводные'!$B$14</f>
        <v/>
      </c>
      <c r="AR60" s="190">
        <f>AQ59*'01_Вводные'!$B$14</f>
        <v/>
      </c>
      <c r="AS60" s="190">
        <f>AR59*'01_Вводные'!$B$14</f>
        <v/>
      </c>
      <c r="AT60" s="190">
        <f>AS59*'01_Вводные'!$B$14</f>
        <v/>
      </c>
      <c r="AU60" s="190">
        <f>AT59*'01_Вводные'!$B$14</f>
        <v/>
      </c>
      <c r="AV60" s="190">
        <f>AU59*'01_Вводные'!$B$14</f>
        <v/>
      </c>
      <c r="AW60" s="190">
        <f>AV59*'01_Вводные'!$B$14</f>
        <v/>
      </c>
      <c r="AX60" s="190">
        <f>AW59*'01_Вводные'!$B$14</f>
        <v/>
      </c>
      <c r="AY60" s="190">
        <f>AX59*'01_Вводные'!$B$14</f>
        <v/>
      </c>
      <c r="AZ60" s="190">
        <f>AY59*'01_Вводные'!$B$14</f>
        <v/>
      </c>
      <c r="BA60" s="190">
        <f>AZ59*'01_Вводные'!$B$14</f>
        <v/>
      </c>
      <c r="BB60" s="190">
        <f>BA59*'01_Вводные'!$B$14</f>
        <v/>
      </c>
      <c r="BC60" s="190">
        <f>BB59*'01_Вводные'!$B$14</f>
        <v/>
      </c>
      <c r="BD60" s="190">
        <f>BC59*'01_Вводные'!$B$14</f>
        <v/>
      </c>
      <c r="BE60" s="190">
        <f>BD59*'01_Вводные'!$B$14</f>
        <v/>
      </c>
      <c r="BF60" s="190">
        <f>BE59*'01_Вводные'!$B$14</f>
        <v/>
      </c>
      <c r="BG60" s="190">
        <f>BF59*'01_Вводные'!$B$14</f>
        <v/>
      </c>
      <c r="BH60" s="190">
        <f>BG59*'01_Вводные'!$B$14</f>
        <v/>
      </c>
      <c r="BI60" s="190">
        <f>BH59*'01_Вводные'!$B$14</f>
        <v/>
      </c>
      <c r="BJ60" s="190">
        <f>BI59*'01_Вводные'!$B$14</f>
        <v/>
      </c>
      <c r="BK60" s="190">
        <f>BJ59*'01_Вводные'!$B$14</f>
        <v/>
      </c>
      <c r="BL60" s="190">
        <f>BK59*'01_Вводные'!$B$14</f>
        <v/>
      </c>
      <c r="BM60" s="190">
        <f>BL59*'01_Вводные'!$B$14</f>
        <v/>
      </c>
      <c r="BN60" s="190">
        <f>BM59*'01_Вводные'!$B$14</f>
        <v/>
      </c>
      <c r="BO60" s="190">
        <f>BN59*'01_Вводные'!$B$14</f>
        <v/>
      </c>
    </row>
    <row r="61" hidden="1" outlineLevel="1">
      <c r="A61" t="inlineStr">
        <is>
          <t>9 мес.</t>
        </is>
      </c>
      <c r="B61" s="189">
        <f>0</f>
        <v/>
      </c>
      <c r="C61" s="190">
        <f>B60*'01_Вводные'!$B$14</f>
        <v/>
      </c>
      <c r="D61" s="190">
        <f>C60*'01_Вводные'!$B$14</f>
        <v/>
      </c>
      <c r="E61" s="190">
        <f>D60*'01_Вводные'!$B$14</f>
        <v/>
      </c>
      <c r="F61" s="190">
        <f>E60*'01_Вводные'!$B$14</f>
        <v/>
      </c>
      <c r="G61" s="190">
        <f>F60*'01_Вводные'!$B$14</f>
        <v/>
      </c>
      <c r="H61" s="190">
        <f>G60*'01_Вводные'!$B$14</f>
        <v/>
      </c>
      <c r="I61" s="190">
        <f>H60*'01_Вводные'!$B$14</f>
        <v/>
      </c>
      <c r="J61" s="190">
        <f>I60*'01_Вводные'!$B$14</f>
        <v/>
      </c>
      <c r="K61" s="190">
        <f>J60*'01_Вводные'!$B$14</f>
        <v/>
      </c>
      <c r="L61" s="190">
        <f>K60*'01_Вводные'!$B$14</f>
        <v/>
      </c>
      <c r="M61" s="190">
        <f>L60*'01_Вводные'!$B$14</f>
        <v/>
      </c>
      <c r="N61" s="190">
        <f>M60*'01_Вводные'!$B$14</f>
        <v/>
      </c>
      <c r="O61" s="190">
        <f>N60*'01_Вводные'!$B$14</f>
        <v/>
      </c>
      <c r="P61" s="190">
        <f>O60*'01_Вводные'!$B$14</f>
        <v/>
      </c>
      <c r="Q61" s="190">
        <f>P60*'01_Вводные'!$B$14</f>
        <v/>
      </c>
      <c r="R61" s="190">
        <f>Q60*'01_Вводные'!$B$14</f>
        <v/>
      </c>
      <c r="S61" s="190">
        <f>R60*'01_Вводные'!$B$14</f>
        <v/>
      </c>
      <c r="T61" s="190">
        <f>S60*'01_Вводные'!$B$14</f>
        <v/>
      </c>
      <c r="U61" s="190">
        <f>T60*'01_Вводные'!$B$14</f>
        <v/>
      </c>
      <c r="V61" s="190">
        <f>U60*'01_Вводные'!$B$14</f>
        <v/>
      </c>
      <c r="W61" s="190">
        <f>V60*'01_Вводные'!$B$14</f>
        <v/>
      </c>
      <c r="X61" s="190">
        <f>W60*'01_Вводные'!$B$14</f>
        <v/>
      </c>
      <c r="Y61" s="190">
        <f>X60*'01_Вводные'!$B$14</f>
        <v/>
      </c>
      <c r="Z61" s="190">
        <f>Y60*'01_Вводные'!$B$14</f>
        <v/>
      </c>
      <c r="AA61" s="190">
        <f>Z60*'01_Вводные'!$B$14</f>
        <v/>
      </c>
      <c r="AB61" s="190">
        <f>AA60*'01_Вводные'!$B$14</f>
        <v/>
      </c>
      <c r="AC61" s="190">
        <f>AB60*'01_Вводные'!$B$14</f>
        <v/>
      </c>
      <c r="AD61" s="190">
        <f>AC60*'01_Вводные'!$B$14</f>
        <v/>
      </c>
      <c r="AE61" s="190">
        <f>AD60*'01_Вводные'!$B$14</f>
        <v/>
      </c>
      <c r="AF61" s="190">
        <f>AE60*'01_Вводные'!$B$14</f>
        <v/>
      </c>
      <c r="AG61" s="190">
        <f>AF60*'01_Вводные'!$B$14</f>
        <v/>
      </c>
      <c r="AH61" s="190">
        <f>AG60*'01_Вводные'!$B$14</f>
        <v/>
      </c>
      <c r="AI61" s="190">
        <f>AH60*'01_Вводные'!$B$14</f>
        <v/>
      </c>
      <c r="AJ61" s="190">
        <f>AI60*'01_Вводные'!$B$14</f>
        <v/>
      </c>
      <c r="AK61" s="190">
        <f>AJ60*'01_Вводные'!$B$14</f>
        <v/>
      </c>
      <c r="AL61" s="190">
        <f>AK60*'01_Вводные'!$B$14</f>
        <v/>
      </c>
      <c r="AM61" s="190">
        <f>AL60*'01_Вводные'!$B$14</f>
        <v/>
      </c>
      <c r="AN61" s="190">
        <f>AM60*'01_Вводные'!$B$14</f>
        <v/>
      </c>
      <c r="AO61" s="190">
        <f>AN60*'01_Вводные'!$B$14</f>
        <v/>
      </c>
      <c r="AP61" s="190">
        <f>AO60*'01_Вводные'!$B$14</f>
        <v/>
      </c>
      <c r="AQ61" s="190">
        <f>AP60*'01_Вводные'!$B$14</f>
        <v/>
      </c>
      <c r="AR61" s="190">
        <f>AQ60*'01_Вводные'!$B$14</f>
        <v/>
      </c>
      <c r="AS61" s="190">
        <f>AR60*'01_Вводные'!$B$14</f>
        <v/>
      </c>
      <c r="AT61" s="190">
        <f>AS60*'01_Вводные'!$B$14</f>
        <v/>
      </c>
      <c r="AU61" s="190">
        <f>AT60*'01_Вводные'!$B$14</f>
        <v/>
      </c>
      <c r="AV61" s="190">
        <f>AU60*'01_Вводные'!$B$14</f>
        <v/>
      </c>
      <c r="AW61" s="190">
        <f>AV60*'01_Вводные'!$B$14</f>
        <v/>
      </c>
      <c r="AX61" s="190">
        <f>AW60*'01_Вводные'!$B$14</f>
        <v/>
      </c>
      <c r="AY61" s="190">
        <f>AX60*'01_Вводные'!$B$14</f>
        <v/>
      </c>
      <c r="AZ61" s="190">
        <f>AY60*'01_Вводные'!$B$14</f>
        <v/>
      </c>
      <c r="BA61" s="190">
        <f>AZ60*'01_Вводные'!$B$14</f>
        <v/>
      </c>
      <c r="BB61" s="190">
        <f>BA60*'01_Вводные'!$B$14</f>
        <v/>
      </c>
      <c r="BC61" s="190">
        <f>BB60*'01_Вводные'!$B$14</f>
        <v/>
      </c>
      <c r="BD61" s="190">
        <f>BC60*'01_Вводные'!$B$14</f>
        <v/>
      </c>
      <c r="BE61" s="190">
        <f>BD60*'01_Вводные'!$B$14</f>
        <v/>
      </c>
      <c r="BF61" s="190">
        <f>BE60*'01_Вводные'!$B$14</f>
        <v/>
      </c>
      <c r="BG61" s="190">
        <f>BF60*'01_Вводные'!$B$14</f>
        <v/>
      </c>
      <c r="BH61" s="190">
        <f>BG60*'01_Вводные'!$B$14</f>
        <v/>
      </c>
      <c r="BI61" s="190">
        <f>BH60*'01_Вводные'!$B$14</f>
        <v/>
      </c>
      <c r="BJ61" s="190">
        <f>BI60*'01_Вводные'!$B$14</f>
        <v/>
      </c>
      <c r="BK61" s="190">
        <f>BJ60*'01_Вводные'!$B$14</f>
        <v/>
      </c>
      <c r="BL61" s="190">
        <f>BK60*'01_Вводные'!$B$14</f>
        <v/>
      </c>
      <c r="BM61" s="190">
        <f>BL60*'01_Вводные'!$B$14</f>
        <v/>
      </c>
      <c r="BN61" s="190">
        <f>BM60*'01_Вводные'!$B$14</f>
        <v/>
      </c>
      <c r="BO61" s="190">
        <f>BN60*'01_Вводные'!$B$14</f>
        <v/>
      </c>
    </row>
    <row r="62" hidden="1" outlineLevel="1">
      <c r="A62" t="inlineStr">
        <is>
          <t>10 мес.</t>
        </is>
      </c>
      <c r="B62" s="189">
        <f>0</f>
        <v/>
      </c>
      <c r="C62" s="190">
        <f>B61*'01_Вводные'!$B$14</f>
        <v/>
      </c>
      <c r="D62" s="190">
        <f>C61*'01_Вводные'!$B$14</f>
        <v/>
      </c>
      <c r="E62" s="190">
        <f>D61*'01_Вводные'!$B$14</f>
        <v/>
      </c>
      <c r="F62" s="190">
        <f>E61*'01_Вводные'!$B$14</f>
        <v/>
      </c>
      <c r="G62" s="190">
        <f>F61*'01_Вводные'!$B$14</f>
        <v/>
      </c>
      <c r="H62" s="190">
        <f>G61*'01_Вводные'!$B$14</f>
        <v/>
      </c>
      <c r="I62" s="190">
        <f>H61*'01_Вводные'!$B$14</f>
        <v/>
      </c>
      <c r="J62" s="190">
        <f>I61*'01_Вводные'!$B$14</f>
        <v/>
      </c>
      <c r="K62" s="190">
        <f>J61*'01_Вводные'!$B$14</f>
        <v/>
      </c>
      <c r="L62" s="190">
        <f>K61*'01_Вводные'!$B$14</f>
        <v/>
      </c>
      <c r="M62" s="190">
        <f>L61*'01_Вводные'!$B$14</f>
        <v/>
      </c>
      <c r="N62" s="190">
        <f>M61*'01_Вводные'!$B$14</f>
        <v/>
      </c>
      <c r="O62" s="190">
        <f>N61*'01_Вводные'!$B$14</f>
        <v/>
      </c>
      <c r="P62" s="190">
        <f>O61*'01_Вводные'!$B$14</f>
        <v/>
      </c>
      <c r="Q62" s="190">
        <f>P61*'01_Вводные'!$B$14</f>
        <v/>
      </c>
      <c r="R62" s="190">
        <f>Q61*'01_Вводные'!$B$14</f>
        <v/>
      </c>
      <c r="S62" s="190">
        <f>R61*'01_Вводные'!$B$14</f>
        <v/>
      </c>
      <c r="T62" s="190">
        <f>S61*'01_Вводные'!$B$14</f>
        <v/>
      </c>
      <c r="U62" s="190">
        <f>T61*'01_Вводные'!$B$14</f>
        <v/>
      </c>
      <c r="V62" s="190">
        <f>U61*'01_Вводные'!$B$14</f>
        <v/>
      </c>
      <c r="W62" s="190">
        <f>V61*'01_Вводные'!$B$14</f>
        <v/>
      </c>
      <c r="X62" s="190">
        <f>W61*'01_Вводные'!$B$14</f>
        <v/>
      </c>
      <c r="Y62" s="190">
        <f>X61*'01_Вводные'!$B$14</f>
        <v/>
      </c>
      <c r="Z62" s="190">
        <f>Y61*'01_Вводные'!$B$14</f>
        <v/>
      </c>
      <c r="AA62" s="190">
        <f>Z61*'01_Вводные'!$B$14</f>
        <v/>
      </c>
      <c r="AB62" s="190">
        <f>AA61*'01_Вводные'!$B$14</f>
        <v/>
      </c>
      <c r="AC62" s="190">
        <f>AB61*'01_Вводные'!$B$14</f>
        <v/>
      </c>
      <c r="AD62" s="190">
        <f>AC61*'01_Вводные'!$B$14</f>
        <v/>
      </c>
      <c r="AE62" s="190">
        <f>AD61*'01_Вводные'!$B$14</f>
        <v/>
      </c>
      <c r="AF62" s="190">
        <f>AE61*'01_Вводные'!$B$14</f>
        <v/>
      </c>
      <c r="AG62" s="190">
        <f>AF61*'01_Вводные'!$B$14</f>
        <v/>
      </c>
      <c r="AH62" s="190">
        <f>AG61*'01_Вводные'!$B$14</f>
        <v/>
      </c>
      <c r="AI62" s="190">
        <f>AH61*'01_Вводные'!$B$14</f>
        <v/>
      </c>
      <c r="AJ62" s="190">
        <f>AI61*'01_Вводные'!$B$14</f>
        <v/>
      </c>
      <c r="AK62" s="190">
        <f>AJ61*'01_Вводные'!$B$14</f>
        <v/>
      </c>
      <c r="AL62" s="190">
        <f>AK61*'01_Вводные'!$B$14</f>
        <v/>
      </c>
      <c r="AM62" s="190">
        <f>AL61*'01_Вводные'!$B$14</f>
        <v/>
      </c>
      <c r="AN62" s="190">
        <f>AM61*'01_Вводные'!$B$14</f>
        <v/>
      </c>
      <c r="AO62" s="190">
        <f>AN61*'01_Вводные'!$B$14</f>
        <v/>
      </c>
      <c r="AP62" s="190">
        <f>AO61*'01_Вводные'!$B$14</f>
        <v/>
      </c>
      <c r="AQ62" s="190">
        <f>AP61*'01_Вводные'!$B$14</f>
        <v/>
      </c>
      <c r="AR62" s="190">
        <f>AQ61*'01_Вводные'!$B$14</f>
        <v/>
      </c>
      <c r="AS62" s="190">
        <f>AR61*'01_Вводные'!$B$14</f>
        <v/>
      </c>
      <c r="AT62" s="190">
        <f>AS61*'01_Вводные'!$B$14</f>
        <v/>
      </c>
      <c r="AU62" s="190">
        <f>AT61*'01_Вводные'!$B$14</f>
        <v/>
      </c>
      <c r="AV62" s="190">
        <f>AU61*'01_Вводные'!$B$14</f>
        <v/>
      </c>
      <c r="AW62" s="190">
        <f>AV61*'01_Вводные'!$B$14</f>
        <v/>
      </c>
      <c r="AX62" s="190">
        <f>AW61*'01_Вводные'!$B$14</f>
        <v/>
      </c>
      <c r="AY62" s="190">
        <f>AX61*'01_Вводные'!$B$14</f>
        <v/>
      </c>
      <c r="AZ62" s="190">
        <f>AY61*'01_Вводные'!$B$14</f>
        <v/>
      </c>
      <c r="BA62" s="190">
        <f>AZ61*'01_Вводные'!$B$14</f>
        <v/>
      </c>
      <c r="BB62" s="190">
        <f>BA61*'01_Вводные'!$B$14</f>
        <v/>
      </c>
      <c r="BC62" s="190">
        <f>BB61*'01_Вводные'!$B$14</f>
        <v/>
      </c>
      <c r="BD62" s="190">
        <f>BC61*'01_Вводные'!$B$14</f>
        <v/>
      </c>
      <c r="BE62" s="190">
        <f>BD61*'01_Вводные'!$B$14</f>
        <v/>
      </c>
      <c r="BF62" s="190">
        <f>BE61*'01_Вводные'!$B$14</f>
        <v/>
      </c>
      <c r="BG62" s="190">
        <f>BF61*'01_Вводные'!$B$14</f>
        <v/>
      </c>
      <c r="BH62" s="190">
        <f>BG61*'01_Вводные'!$B$14</f>
        <v/>
      </c>
      <c r="BI62" s="190">
        <f>BH61*'01_Вводные'!$B$14</f>
        <v/>
      </c>
      <c r="BJ62" s="190">
        <f>BI61*'01_Вводные'!$B$14</f>
        <v/>
      </c>
      <c r="BK62" s="190">
        <f>BJ61*'01_Вводные'!$B$14</f>
        <v/>
      </c>
      <c r="BL62" s="190">
        <f>BK61*'01_Вводные'!$B$14</f>
        <v/>
      </c>
      <c r="BM62" s="190">
        <f>BL61*'01_Вводные'!$B$14</f>
        <v/>
      </c>
      <c r="BN62" s="190">
        <f>BM61*'01_Вводные'!$B$14</f>
        <v/>
      </c>
      <c r="BO62" s="190">
        <f>BN61*'01_Вводные'!$B$14</f>
        <v/>
      </c>
    </row>
    <row r="63" hidden="1" outlineLevel="1">
      <c r="A63" t="inlineStr">
        <is>
          <t>11 мес.</t>
        </is>
      </c>
      <c r="B63" s="189">
        <f>0</f>
        <v/>
      </c>
      <c r="C63" s="190">
        <f>B62*'01_Вводные'!$B$14</f>
        <v/>
      </c>
      <c r="D63" s="190">
        <f>C62*'01_Вводные'!$B$14</f>
        <v/>
      </c>
      <c r="E63" s="190">
        <f>D62*'01_Вводные'!$B$14</f>
        <v/>
      </c>
      <c r="F63" s="190">
        <f>E62*'01_Вводные'!$B$14</f>
        <v/>
      </c>
      <c r="G63" s="190">
        <f>F62*'01_Вводные'!$B$14</f>
        <v/>
      </c>
      <c r="H63" s="190">
        <f>G62*'01_Вводные'!$B$14</f>
        <v/>
      </c>
      <c r="I63" s="190">
        <f>H62*'01_Вводные'!$B$14</f>
        <v/>
      </c>
      <c r="J63" s="190">
        <f>I62*'01_Вводные'!$B$14</f>
        <v/>
      </c>
      <c r="K63" s="190">
        <f>J62*'01_Вводные'!$B$14</f>
        <v/>
      </c>
      <c r="L63" s="190">
        <f>K62*'01_Вводные'!$B$14</f>
        <v/>
      </c>
      <c r="M63" s="190">
        <f>L62*'01_Вводные'!$B$14</f>
        <v/>
      </c>
      <c r="N63" s="190">
        <f>M62*'01_Вводные'!$B$14</f>
        <v/>
      </c>
      <c r="O63" s="190">
        <f>N62*'01_Вводные'!$B$14</f>
        <v/>
      </c>
      <c r="P63" s="190">
        <f>O62*'01_Вводные'!$B$14</f>
        <v/>
      </c>
      <c r="Q63" s="190">
        <f>P62*'01_Вводные'!$B$14</f>
        <v/>
      </c>
      <c r="R63" s="190">
        <f>Q62*'01_Вводные'!$B$14</f>
        <v/>
      </c>
      <c r="S63" s="190">
        <f>R62*'01_Вводные'!$B$14</f>
        <v/>
      </c>
      <c r="T63" s="190">
        <f>S62*'01_Вводные'!$B$14</f>
        <v/>
      </c>
      <c r="U63" s="190">
        <f>T62*'01_Вводные'!$B$14</f>
        <v/>
      </c>
      <c r="V63" s="190">
        <f>U62*'01_Вводные'!$B$14</f>
        <v/>
      </c>
      <c r="W63" s="190">
        <f>V62*'01_Вводные'!$B$14</f>
        <v/>
      </c>
      <c r="X63" s="190">
        <f>W62*'01_Вводные'!$B$14</f>
        <v/>
      </c>
      <c r="Y63" s="190">
        <f>X62*'01_Вводные'!$B$14</f>
        <v/>
      </c>
      <c r="Z63" s="190">
        <f>Y62*'01_Вводные'!$B$14</f>
        <v/>
      </c>
      <c r="AA63" s="190">
        <f>Z62*'01_Вводные'!$B$14</f>
        <v/>
      </c>
      <c r="AB63" s="190">
        <f>AA62*'01_Вводные'!$B$14</f>
        <v/>
      </c>
      <c r="AC63" s="190">
        <f>AB62*'01_Вводные'!$B$14</f>
        <v/>
      </c>
      <c r="AD63" s="190">
        <f>AC62*'01_Вводные'!$B$14</f>
        <v/>
      </c>
      <c r="AE63" s="190">
        <f>AD62*'01_Вводные'!$B$14</f>
        <v/>
      </c>
      <c r="AF63" s="190">
        <f>AE62*'01_Вводные'!$B$14</f>
        <v/>
      </c>
      <c r="AG63" s="190">
        <f>AF62*'01_Вводные'!$B$14</f>
        <v/>
      </c>
      <c r="AH63" s="190">
        <f>AG62*'01_Вводные'!$B$14</f>
        <v/>
      </c>
      <c r="AI63" s="190">
        <f>AH62*'01_Вводные'!$B$14</f>
        <v/>
      </c>
      <c r="AJ63" s="190">
        <f>AI62*'01_Вводные'!$B$14</f>
        <v/>
      </c>
      <c r="AK63" s="190">
        <f>AJ62*'01_Вводные'!$B$14</f>
        <v/>
      </c>
      <c r="AL63" s="190">
        <f>AK62*'01_Вводные'!$B$14</f>
        <v/>
      </c>
      <c r="AM63" s="190">
        <f>AL62*'01_Вводные'!$B$14</f>
        <v/>
      </c>
      <c r="AN63" s="190">
        <f>AM62*'01_Вводные'!$B$14</f>
        <v/>
      </c>
      <c r="AO63" s="190">
        <f>AN62*'01_Вводные'!$B$14</f>
        <v/>
      </c>
      <c r="AP63" s="190">
        <f>AO62*'01_Вводные'!$B$14</f>
        <v/>
      </c>
      <c r="AQ63" s="190">
        <f>AP62*'01_Вводные'!$B$14</f>
        <v/>
      </c>
      <c r="AR63" s="190">
        <f>AQ62*'01_Вводные'!$B$14</f>
        <v/>
      </c>
      <c r="AS63" s="190">
        <f>AR62*'01_Вводные'!$B$14</f>
        <v/>
      </c>
      <c r="AT63" s="190">
        <f>AS62*'01_Вводные'!$B$14</f>
        <v/>
      </c>
      <c r="AU63" s="190">
        <f>AT62*'01_Вводные'!$B$14</f>
        <v/>
      </c>
      <c r="AV63" s="190">
        <f>AU62*'01_Вводные'!$B$14</f>
        <v/>
      </c>
      <c r="AW63" s="190">
        <f>AV62*'01_Вводные'!$B$14</f>
        <v/>
      </c>
      <c r="AX63" s="190">
        <f>AW62*'01_Вводные'!$B$14</f>
        <v/>
      </c>
      <c r="AY63" s="190">
        <f>AX62*'01_Вводные'!$B$14</f>
        <v/>
      </c>
      <c r="AZ63" s="190">
        <f>AY62*'01_Вводные'!$B$14</f>
        <v/>
      </c>
      <c r="BA63" s="190">
        <f>AZ62*'01_Вводные'!$B$14</f>
        <v/>
      </c>
      <c r="BB63" s="190">
        <f>BA62*'01_Вводные'!$B$14</f>
        <v/>
      </c>
      <c r="BC63" s="190">
        <f>BB62*'01_Вводные'!$B$14</f>
        <v/>
      </c>
      <c r="BD63" s="190">
        <f>BC62*'01_Вводные'!$B$14</f>
        <v/>
      </c>
      <c r="BE63" s="190">
        <f>BD62*'01_Вводные'!$B$14</f>
        <v/>
      </c>
      <c r="BF63" s="190">
        <f>BE62*'01_Вводные'!$B$14</f>
        <v/>
      </c>
      <c r="BG63" s="190">
        <f>BF62*'01_Вводные'!$B$14</f>
        <v/>
      </c>
      <c r="BH63" s="190">
        <f>BG62*'01_Вводные'!$B$14</f>
        <v/>
      </c>
      <c r="BI63" s="190">
        <f>BH62*'01_Вводные'!$B$14</f>
        <v/>
      </c>
      <c r="BJ63" s="190">
        <f>BI62*'01_Вводные'!$B$14</f>
        <v/>
      </c>
      <c r="BK63" s="190">
        <f>BJ62*'01_Вводные'!$B$14</f>
        <v/>
      </c>
      <c r="BL63" s="190">
        <f>BK62*'01_Вводные'!$B$14</f>
        <v/>
      </c>
      <c r="BM63" s="190">
        <f>BL62*'01_Вводные'!$B$14</f>
        <v/>
      </c>
      <c r="BN63" s="190">
        <f>BM62*'01_Вводные'!$B$14</f>
        <v/>
      </c>
      <c r="BO63" s="190">
        <f>BN62*'01_Вводные'!$B$14</f>
        <v/>
      </c>
    </row>
    <row r="64" hidden="1" outlineLevel="1">
      <c r="A64" t="inlineStr">
        <is>
          <t>12 мес.</t>
        </is>
      </c>
      <c r="B64" s="189">
        <f>0</f>
        <v/>
      </c>
      <c r="C64" s="190">
        <f>B63*'01_Вводные'!$B$14</f>
        <v/>
      </c>
      <c r="D64" s="190">
        <f>C63*'01_Вводные'!$B$14</f>
        <v/>
      </c>
      <c r="E64" s="190">
        <f>D63*'01_Вводные'!$B$14</f>
        <v/>
      </c>
      <c r="F64" s="190">
        <f>E63*'01_Вводные'!$B$14</f>
        <v/>
      </c>
      <c r="G64" s="190">
        <f>F63*'01_Вводные'!$B$14</f>
        <v/>
      </c>
      <c r="H64" s="190">
        <f>G63*'01_Вводные'!$B$14</f>
        <v/>
      </c>
      <c r="I64" s="190">
        <f>H63*'01_Вводные'!$B$14</f>
        <v/>
      </c>
      <c r="J64" s="190">
        <f>I63*'01_Вводные'!$B$14</f>
        <v/>
      </c>
      <c r="K64" s="190">
        <f>J63*'01_Вводные'!$B$14</f>
        <v/>
      </c>
      <c r="L64" s="190">
        <f>K63*'01_Вводные'!$B$14</f>
        <v/>
      </c>
      <c r="M64" s="190">
        <f>L63*'01_Вводные'!$B$14</f>
        <v/>
      </c>
      <c r="N64" s="190">
        <f>M63*'01_Вводные'!$B$14</f>
        <v/>
      </c>
      <c r="O64" s="190">
        <f>N63*'01_Вводные'!$B$14</f>
        <v/>
      </c>
      <c r="P64" s="190">
        <f>O63*'01_Вводные'!$B$14</f>
        <v/>
      </c>
      <c r="Q64" s="190">
        <f>P63*'01_Вводные'!$B$14</f>
        <v/>
      </c>
      <c r="R64" s="190">
        <f>Q63*'01_Вводные'!$B$14</f>
        <v/>
      </c>
      <c r="S64" s="190">
        <f>R63*'01_Вводные'!$B$14</f>
        <v/>
      </c>
      <c r="T64" s="190">
        <f>S63*'01_Вводные'!$B$14</f>
        <v/>
      </c>
      <c r="U64" s="190">
        <f>T63*'01_Вводные'!$B$14</f>
        <v/>
      </c>
      <c r="V64" s="190">
        <f>U63*'01_Вводные'!$B$14</f>
        <v/>
      </c>
      <c r="W64" s="190">
        <f>V63*'01_Вводные'!$B$14</f>
        <v/>
      </c>
      <c r="X64" s="190">
        <f>W63*'01_Вводные'!$B$14</f>
        <v/>
      </c>
      <c r="Y64" s="190">
        <f>X63*'01_Вводные'!$B$14</f>
        <v/>
      </c>
      <c r="Z64" s="190">
        <f>Y63*'01_Вводные'!$B$14</f>
        <v/>
      </c>
      <c r="AA64" s="190">
        <f>Z63*'01_Вводные'!$B$14</f>
        <v/>
      </c>
      <c r="AB64" s="190">
        <f>AA63*'01_Вводные'!$B$14</f>
        <v/>
      </c>
      <c r="AC64" s="190">
        <f>AB63*'01_Вводные'!$B$14</f>
        <v/>
      </c>
      <c r="AD64" s="190">
        <f>AC63*'01_Вводные'!$B$14</f>
        <v/>
      </c>
      <c r="AE64" s="190">
        <f>AD63*'01_Вводные'!$B$14</f>
        <v/>
      </c>
      <c r="AF64" s="190">
        <f>AE63*'01_Вводные'!$B$14</f>
        <v/>
      </c>
      <c r="AG64" s="190">
        <f>AF63*'01_Вводные'!$B$14</f>
        <v/>
      </c>
      <c r="AH64" s="190">
        <f>AG63*'01_Вводные'!$B$14</f>
        <v/>
      </c>
      <c r="AI64" s="190">
        <f>AH63*'01_Вводные'!$B$14</f>
        <v/>
      </c>
      <c r="AJ64" s="190">
        <f>AI63*'01_Вводные'!$B$14</f>
        <v/>
      </c>
      <c r="AK64" s="190">
        <f>AJ63*'01_Вводные'!$B$14</f>
        <v/>
      </c>
      <c r="AL64" s="190">
        <f>AK63*'01_Вводные'!$B$14</f>
        <v/>
      </c>
      <c r="AM64" s="190">
        <f>AL63*'01_Вводные'!$B$14</f>
        <v/>
      </c>
      <c r="AN64" s="190">
        <f>AM63*'01_Вводные'!$B$14</f>
        <v/>
      </c>
      <c r="AO64" s="190">
        <f>AN63*'01_Вводные'!$B$14</f>
        <v/>
      </c>
      <c r="AP64" s="190">
        <f>AO63*'01_Вводные'!$B$14</f>
        <v/>
      </c>
      <c r="AQ64" s="190">
        <f>AP63*'01_Вводные'!$B$14</f>
        <v/>
      </c>
      <c r="AR64" s="190">
        <f>AQ63*'01_Вводные'!$B$14</f>
        <v/>
      </c>
      <c r="AS64" s="190">
        <f>AR63*'01_Вводные'!$B$14</f>
        <v/>
      </c>
      <c r="AT64" s="190">
        <f>AS63*'01_Вводные'!$B$14</f>
        <v/>
      </c>
      <c r="AU64" s="190">
        <f>AT63*'01_Вводные'!$B$14</f>
        <v/>
      </c>
      <c r="AV64" s="190">
        <f>AU63*'01_Вводные'!$B$14</f>
        <v/>
      </c>
      <c r="AW64" s="190">
        <f>AV63*'01_Вводные'!$B$14</f>
        <v/>
      </c>
      <c r="AX64" s="190">
        <f>AW63*'01_Вводные'!$B$14</f>
        <v/>
      </c>
      <c r="AY64" s="190">
        <f>AX63*'01_Вводные'!$B$14</f>
        <v/>
      </c>
      <c r="AZ64" s="190">
        <f>AY63*'01_Вводные'!$B$14</f>
        <v/>
      </c>
      <c r="BA64" s="190">
        <f>AZ63*'01_Вводные'!$B$14</f>
        <v/>
      </c>
      <c r="BB64" s="190">
        <f>BA63*'01_Вводные'!$B$14</f>
        <v/>
      </c>
      <c r="BC64" s="190">
        <f>BB63*'01_Вводные'!$B$14</f>
        <v/>
      </c>
      <c r="BD64" s="190">
        <f>BC63*'01_Вводные'!$B$14</f>
        <v/>
      </c>
      <c r="BE64" s="190">
        <f>BD63*'01_Вводные'!$B$14</f>
        <v/>
      </c>
      <c r="BF64" s="190">
        <f>BE63*'01_Вводные'!$B$14</f>
        <v/>
      </c>
      <c r="BG64" s="190">
        <f>BF63*'01_Вводные'!$B$14</f>
        <v/>
      </c>
      <c r="BH64" s="190">
        <f>BG63*'01_Вводные'!$B$14</f>
        <v/>
      </c>
      <c r="BI64" s="190">
        <f>BH63*'01_Вводные'!$B$14</f>
        <v/>
      </c>
      <c r="BJ64" s="190">
        <f>BI63*'01_Вводные'!$B$14</f>
        <v/>
      </c>
      <c r="BK64" s="190">
        <f>BJ63*'01_Вводные'!$B$14</f>
        <v/>
      </c>
      <c r="BL64" s="190">
        <f>BK63*'01_Вводные'!$B$14</f>
        <v/>
      </c>
      <c r="BM64" s="190">
        <f>BL63*'01_Вводные'!$B$14</f>
        <v/>
      </c>
      <c r="BN64" s="190">
        <f>BM63*'01_Вводные'!$B$14</f>
        <v/>
      </c>
      <c r="BO64" s="190">
        <f>BN63*'01_Вводные'!$B$14</f>
        <v/>
      </c>
    </row>
    <row r="65" hidden="1" outlineLevel="1">
      <c r="A65" t="inlineStr">
        <is>
          <t>13 мес.</t>
        </is>
      </c>
      <c r="B65" s="189">
        <f>0</f>
        <v/>
      </c>
      <c r="C65" s="190">
        <f>B64*'01_Вводные'!$B$14</f>
        <v/>
      </c>
      <c r="D65" s="190">
        <f>C64*'01_Вводные'!$B$14</f>
        <v/>
      </c>
      <c r="E65" s="190">
        <f>D64*'01_Вводные'!$B$14</f>
        <v/>
      </c>
      <c r="F65" s="190">
        <f>E64*'01_Вводные'!$B$14</f>
        <v/>
      </c>
      <c r="G65" s="190">
        <f>F64*'01_Вводные'!$B$14</f>
        <v/>
      </c>
      <c r="H65" s="190">
        <f>G64*'01_Вводные'!$B$14</f>
        <v/>
      </c>
      <c r="I65" s="190">
        <f>H64*'01_Вводные'!$B$14</f>
        <v/>
      </c>
      <c r="J65" s="190">
        <f>I64*'01_Вводные'!$B$14</f>
        <v/>
      </c>
      <c r="K65" s="190">
        <f>J64*'01_Вводные'!$B$14</f>
        <v/>
      </c>
      <c r="L65" s="190">
        <f>K64*'01_Вводные'!$B$14</f>
        <v/>
      </c>
      <c r="M65" s="190">
        <f>L64*'01_Вводные'!$B$14</f>
        <v/>
      </c>
      <c r="N65" s="190">
        <f>M64*'01_Вводные'!$B$14</f>
        <v/>
      </c>
      <c r="O65" s="190">
        <f>N64*'01_Вводные'!$B$14</f>
        <v/>
      </c>
      <c r="P65" s="190">
        <f>O64*'01_Вводные'!$B$14</f>
        <v/>
      </c>
      <c r="Q65" s="190">
        <f>P64*'01_Вводные'!$B$14</f>
        <v/>
      </c>
      <c r="R65" s="190">
        <f>Q64*'01_Вводные'!$B$14</f>
        <v/>
      </c>
      <c r="S65" s="190">
        <f>R64*'01_Вводные'!$B$14</f>
        <v/>
      </c>
      <c r="T65" s="190">
        <f>S64*'01_Вводные'!$B$14</f>
        <v/>
      </c>
      <c r="U65" s="190">
        <f>T64*'01_Вводные'!$B$14</f>
        <v/>
      </c>
      <c r="V65" s="190">
        <f>U64*'01_Вводные'!$B$14</f>
        <v/>
      </c>
      <c r="W65" s="190">
        <f>V64*'01_Вводные'!$B$14</f>
        <v/>
      </c>
      <c r="X65" s="190">
        <f>W64*'01_Вводные'!$B$14</f>
        <v/>
      </c>
      <c r="Y65" s="190">
        <f>X64*'01_Вводные'!$B$14</f>
        <v/>
      </c>
      <c r="Z65" s="190">
        <f>Y64*'01_Вводные'!$B$14</f>
        <v/>
      </c>
      <c r="AA65" s="190">
        <f>Z64*'01_Вводные'!$B$14</f>
        <v/>
      </c>
      <c r="AB65" s="190">
        <f>AA64*'01_Вводные'!$B$14</f>
        <v/>
      </c>
      <c r="AC65" s="190">
        <f>AB64*'01_Вводные'!$B$14</f>
        <v/>
      </c>
      <c r="AD65" s="190">
        <f>AC64*'01_Вводные'!$B$14</f>
        <v/>
      </c>
      <c r="AE65" s="190">
        <f>AD64*'01_Вводные'!$B$14</f>
        <v/>
      </c>
      <c r="AF65" s="190">
        <f>AE64*'01_Вводные'!$B$14</f>
        <v/>
      </c>
      <c r="AG65" s="190">
        <f>AF64*'01_Вводные'!$B$14</f>
        <v/>
      </c>
      <c r="AH65" s="190">
        <f>AG64*'01_Вводные'!$B$14</f>
        <v/>
      </c>
      <c r="AI65" s="190">
        <f>AH64*'01_Вводные'!$B$14</f>
        <v/>
      </c>
      <c r="AJ65" s="190">
        <f>AI64*'01_Вводные'!$B$14</f>
        <v/>
      </c>
      <c r="AK65" s="190">
        <f>AJ64*'01_Вводные'!$B$14</f>
        <v/>
      </c>
      <c r="AL65" s="190">
        <f>AK64*'01_Вводные'!$B$14</f>
        <v/>
      </c>
      <c r="AM65" s="190">
        <f>AL64*'01_Вводные'!$B$14</f>
        <v/>
      </c>
      <c r="AN65" s="190">
        <f>AM64*'01_Вводные'!$B$14</f>
        <v/>
      </c>
      <c r="AO65" s="190">
        <f>AN64*'01_Вводные'!$B$14</f>
        <v/>
      </c>
      <c r="AP65" s="190">
        <f>AO64*'01_Вводные'!$B$14</f>
        <v/>
      </c>
      <c r="AQ65" s="190">
        <f>AP64*'01_Вводные'!$B$14</f>
        <v/>
      </c>
      <c r="AR65" s="190">
        <f>AQ64*'01_Вводные'!$B$14</f>
        <v/>
      </c>
      <c r="AS65" s="190">
        <f>AR64*'01_Вводные'!$B$14</f>
        <v/>
      </c>
      <c r="AT65" s="190">
        <f>AS64*'01_Вводные'!$B$14</f>
        <v/>
      </c>
      <c r="AU65" s="190">
        <f>AT64*'01_Вводные'!$B$14</f>
        <v/>
      </c>
      <c r="AV65" s="190">
        <f>AU64*'01_Вводные'!$B$14</f>
        <v/>
      </c>
      <c r="AW65" s="190">
        <f>AV64*'01_Вводные'!$B$14</f>
        <v/>
      </c>
      <c r="AX65" s="190">
        <f>AW64*'01_Вводные'!$B$14</f>
        <v/>
      </c>
      <c r="AY65" s="190">
        <f>AX64*'01_Вводные'!$B$14</f>
        <v/>
      </c>
      <c r="AZ65" s="190">
        <f>AY64*'01_Вводные'!$B$14</f>
        <v/>
      </c>
      <c r="BA65" s="190">
        <f>AZ64*'01_Вводные'!$B$14</f>
        <v/>
      </c>
      <c r="BB65" s="190">
        <f>BA64*'01_Вводные'!$B$14</f>
        <v/>
      </c>
      <c r="BC65" s="190">
        <f>BB64*'01_Вводные'!$B$14</f>
        <v/>
      </c>
      <c r="BD65" s="190">
        <f>BC64*'01_Вводные'!$B$14</f>
        <v/>
      </c>
      <c r="BE65" s="190">
        <f>BD64*'01_Вводные'!$B$14</f>
        <v/>
      </c>
      <c r="BF65" s="190">
        <f>BE64*'01_Вводные'!$B$14</f>
        <v/>
      </c>
      <c r="BG65" s="190">
        <f>BF64*'01_Вводные'!$B$14</f>
        <v/>
      </c>
      <c r="BH65" s="190">
        <f>BG64*'01_Вводные'!$B$14</f>
        <v/>
      </c>
      <c r="BI65" s="190">
        <f>BH64*'01_Вводные'!$B$14</f>
        <v/>
      </c>
      <c r="BJ65" s="190">
        <f>BI64*'01_Вводные'!$B$14</f>
        <v/>
      </c>
      <c r="BK65" s="190">
        <f>BJ64*'01_Вводные'!$B$14</f>
        <v/>
      </c>
      <c r="BL65" s="190">
        <f>BK64*'01_Вводные'!$B$14</f>
        <v/>
      </c>
      <c r="BM65" s="190">
        <f>BL64*'01_Вводные'!$B$14</f>
        <v/>
      </c>
      <c r="BN65" s="190">
        <f>BM64*'01_Вводные'!$B$14</f>
        <v/>
      </c>
      <c r="BO65" s="190">
        <f>BN64*'01_Вводные'!$B$14</f>
        <v/>
      </c>
    </row>
    <row r="66" hidden="1" outlineLevel="1">
      <c r="A66" t="inlineStr">
        <is>
          <t>14 мес.</t>
        </is>
      </c>
      <c r="B66" s="189">
        <f>0</f>
        <v/>
      </c>
      <c r="C66" s="190">
        <f>B65*'01_Вводные'!$B$14</f>
        <v/>
      </c>
      <c r="D66" s="190">
        <f>C65*'01_Вводные'!$B$14</f>
        <v/>
      </c>
      <c r="E66" s="190">
        <f>D65*'01_Вводные'!$B$14</f>
        <v/>
      </c>
      <c r="F66" s="190">
        <f>E65*'01_Вводные'!$B$14</f>
        <v/>
      </c>
      <c r="G66" s="190">
        <f>F65*'01_Вводные'!$B$14</f>
        <v/>
      </c>
      <c r="H66" s="190">
        <f>G65*'01_Вводные'!$B$14</f>
        <v/>
      </c>
      <c r="I66" s="190">
        <f>H65*'01_Вводные'!$B$14</f>
        <v/>
      </c>
      <c r="J66" s="190">
        <f>I65*'01_Вводные'!$B$14</f>
        <v/>
      </c>
      <c r="K66" s="190">
        <f>J65*'01_Вводные'!$B$14</f>
        <v/>
      </c>
      <c r="L66" s="190">
        <f>K65*'01_Вводные'!$B$14</f>
        <v/>
      </c>
      <c r="M66" s="190">
        <f>L65*'01_Вводные'!$B$14</f>
        <v/>
      </c>
      <c r="N66" s="190">
        <f>M65*'01_Вводные'!$B$14</f>
        <v/>
      </c>
      <c r="O66" s="190">
        <f>N65*'01_Вводные'!$B$14</f>
        <v/>
      </c>
      <c r="P66" s="190">
        <f>O65*'01_Вводные'!$B$14</f>
        <v/>
      </c>
      <c r="Q66" s="190">
        <f>P65*'01_Вводные'!$B$14</f>
        <v/>
      </c>
      <c r="R66" s="190">
        <f>Q65*'01_Вводные'!$B$14</f>
        <v/>
      </c>
      <c r="S66" s="190">
        <f>R65*'01_Вводные'!$B$14</f>
        <v/>
      </c>
      <c r="T66" s="190">
        <f>S65*'01_Вводные'!$B$14</f>
        <v/>
      </c>
      <c r="U66" s="190">
        <f>T65*'01_Вводные'!$B$14</f>
        <v/>
      </c>
      <c r="V66" s="190">
        <f>U65*'01_Вводные'!$B$14</f>
        <v/>
      </c>
      <c r="W66" s="190">
        <f>V65*'01_Вводные'!$B$14</f>
        <v/>
      </c>
      <c r="X66" s="190">
        <f>W65*'01_Вводные'!$B$14</f>
        <v/>
      </c>
      <c r="Y66" s="190">
        <f>X65*'01_Вводные'!$B$14</f>
        <v/>
      </c>
      <c r="Z66" s="190">
        <f>Y65*'01_Вводные'!$B$14</f>
        <v/>
      </c>
      <c r="AA66" s="190">
        <f>Z65*'01_Вводные'!$B$14</f>
        <v/>
      </c>
      <c r="AB66" s="190">
        <f>AA65*'01_Вводные'!$B$14</f>
        <v/>
      </c>
      <c r="AC66" s="190">
        <f>AB65*'01_Вводные'!$B$14</f>
        <v/>
      </c>
      <c r="AD66" s="190">
        <f>AC65*'01_Вводные'!$B$14</f>
        <v/>
      </c>
      <c r="AE66" s="190">
        <f>AD65*'01_Вводные'!$B$14</f>
        <v/>
      </c>
      <c r="AF66" s="190">
        <f>AE65*'01_Вводные'!$B$14</f>
        <v/>
      </c>
      <c r="AG66" s="190">
        <f>AF65*'01_Вводные'!$B$14</f>
        <v/>
      </c>
      <c r="AH66" s="190">
        <f>AG65*'01_Вводные'!$B$14</f>
        <v/>
      </c>
      <c r="AI66" s="190">
        <f>AH65*'01_Вводные'!$B$14</f>
        <v/>
      </c>
      <c r="AJ66" s="190">
        <f>AI65*'01_Вводные'!$B$14</f>
        <v/>
      </c>
      <c r="AK66" s="190">
        <f>AJ65*'01_Вводные'!$B$14</f>
        <v/>
      </c>
      <c r="AL66" s="190">
        <f>AK65*'01_Вводные'!$B$14</f>
        <v/>
      </c>
      <c r="AM66" s="190">
        <f>AL65*'01_Вводные'!$B$14</f>
        <v/>
      </c>
      <c r="AN66" s="190">
        <f>AM65*'01_Вводные'!$B$14</f>
        <v/>
      </c>
      <c r="AO66" s="190">
        <f>AN65*'01_Вводные'!$B$14</f>
        <v/>
      </c>
      <c r="AP66" s="190">
        <f>AO65*'01_Вводные'!$B$14</f>
        <v/>
      </c>
      <c r="AQ66" s="190">
        <f>AP65*'01_Вводные'!$B$14</f>
        <v/>
      </c>
      <c r="AR66" s="190">
        <f>AQ65*'01_Вводные'!$B$14</f>
        <v/>
      </c>
      <c r="AS66" s="190">
        <f>AR65*'01_Вводные'!$B$14</f>
        <v/>
      </c>
      <c r="AT66" s="190">
        <f>AS65*'01_Вводные'!$B$14</f>
        <v/>
      </c>
      <c r="AU66" s="190">
        <f>AT65*'01_Вводные'!$B$14</f>
        <v/>
      </c>
      <c r="AV66" s="190">
        <f>AU65*'01_Вводные'!$B$14</f>
        <v/>
      </c>
      <c r="AW66" s="190">
        <f>AV65*'01_Вводные'!$B$14</f>
        <v/>
      </c>
      <c r="AX66" s="190">
        <f>AW65*'01_Вводные'!$B$14</f>
        <v/>
      </c>
      <c r="AY66" s="190">
        <f>AX65*'01_Вводные'!$B$14</f>
        <v/>
      </c>
      <c r="AZ66" s="190">
        <f>AY65*'01_Вводные'!$B$14</f>
        <v/>
      </c>
      <c r="BA66" s="190">
        <f>AZ65*'01_Вводные'!$B$14</f>
        <v/>
      </c>
      <c r="BB66" s="190">
        <f>BA65*'01_Вводные'!$B$14</f>
        <v/>
      </c>
      <c r="BC66" s="190">
        <f>BB65*'01_Вводные'!$B$14</f>
        <v/>
      </c>
      <c r="BD66" s="190">
        <f>BC65*'01_Вводные'!$B$14</f>
        <v/>
      </c>
      <c r="BE66" s="190">
        <f>BD65*'01_Вводные'!$B$14</f>
        <v/>
      </c>
      <c r="BF66" s="190">
        <f>BE65*'01_Вводные'!$B$14</f>
        <v/>
      </c>
      <c r="BG66" s="190">
        <f>BF65*'01_Вводные'!$B$14</f>
        <v/>
      </c>
      <c r="BH66" s="190">
        <f>BG65*'01_Вводные'!$B$14</f>
        <v/>
      </c>
      <c r="BI66" s="190">
        <f>BH65*'01_Вводные'!$B$14</f>
        <v/>
      </c>
      <c r="BJ66" s="190">
        <f>BI65*'01_Вводные'!$B$14</f>
        <v/>
      </c>
      <c r="BK66" s="190">
        <f>BJ65*'01_Вводные'!$B$14</f>
        <v/>
      </c>
      <c r="BL66" s="190">
        <f>BK65*'01_Вводные'!$B$14</f>
        <v/>
      </c>
      <c r="BM66" s="190">
        <f>BL65*'01_Вводные'!$B$14</f>
        <v/>
      </c>
      <c r="BN66" s="190">
        <f>BM65*'01_Вводные'!$B$14</f>
        <v/>
      </c>
      <c r="BO66" s="190">
        <f>BN65*'01_Вводные'!$B$14</f>
        <v/>
      </c>
    </row>
    <row r="67" hidden="1" outlineLevel="1">
      <c r="A67" t="inlineStr">
        <is>
          <t>15 мес.</t>
        </is>
      </c>
      <c r="B67" s="189">
        <f>0</f>
        <v/>
      </c>
      <c r="C67" s="190">
        <f>B66*'01_Вводные'!$B$14</f>
        <v/>
      </c>
      <c r="D67" s="190">
        <f>C66*'01_Вводные'!$B$14</f>
        <v/>
      </c>
      <c r="E67" s="190">
        <f>D66*'01_Вводные'!$B$14</f>
        <v/>
      </c>
      <c r="F67" s="190">
        <f>E66*'01_Вводные'!$B$14</f>
        <v/>
      </c>
      <c r="G67" s="190">
        <f>F66*'01_Вводные'!$B$14</f>
        <v/>
      </c>
      <c r="H67" s="190">
        <f>G66*'01_Вводные'!$B$14</f>
        <v/>
      </c>
      <c r="I67" s="190">
        <f>H66*'01_Вводные'!$B$14</f>
        <v/>
      </c>
      <c r="J67" s="190">
        <f>I66*'01_Вводные'!$B$14</f>
        <v/>
      </c>
      <c r="K67" s="190">
        <f>J66*'01_Вводные'!$B$14</f>
        <v/>
      </c>
      <c r="L67" s="190">
        <f>K66*'01_Вводные'!$B$14</f>
        <v/>
      </c>
      <c r="M67" s="190">
        <f>L66*'01_Вводные'!$B$14</f>
        <v/>
      </c>
      <c r="N67" s="190">
        <f>M66*'01_Вводные'!$B$14</f>
        <v/>
      </c>
      <c r="O67" s="190">
        <f>N66*'01_Вводные'!$B$14</f>
        <v/>
      </c>
      <c r="P67" s="190">
        <f>O66*'01_Вводные'!$B$14</f>
        <v/>
      </c>
      <c r="Q67" s="190">
        <f>P66*'01_Вводные'!$B$14</f>
        <v/>
      </c>
      <c r="R67" s="190">
        <f>Q66*'01_Вводные'!$B$14</f>
        <v/>
      </c>
      <c r="S67" s="190">
        <f>R66*'01_Вводные'!$B$14</f>
        <v/>
      </c>
      <c r="T67" s="190">
        <f>S66*'01_Вводные'!$B$14</f>
        <v/>
      </c>
      <c r="U67" s="190">
        <f>T66*'01_Вводные'!$B$14</f>
        <v/>
      </c>
      <c r="V67" s="190">
        <f>U66*'01_Вводные'!$B$14</f>
        <v/>
      </c>
      <c r="W67" s="190">
        <f>V66*'01_Вводные'!$B$14</f>
        <v/>
      </c>
      <c r="X67" s="190">
        <f>W66*'01_Вводные'!$B$14</f>
        <v/>
      </c>
      <c r="Y67" s="190">
        <f>X66*'01_Вводные'!$B$14</f>
        <v/>
      </c>
      <c r="Z67" s="190">
        <f>Y66*'01_Вводные'!$B$14</f>
        <v/>
      </c>
      <c r="AA67" s="190">
        <f>Z66*'01_Вводные'!$B$14</f>
        <v/>
      </c>
      <c r="AB67" s="190">
        <f>AA66*'01_Вводные'!$B$14</f>
        <v/>
      </c>
      <c r="AC67" s="190">
        <f>AB66*'01_Вводные'!$B$14</f>
        <v/>
      </c>
      <c r="AD67" s="190">
        <f>AC66*'01_Вводные'!$B$14</f>
        <v/>
      </c>
      <c r="AE67" s="190">
        <f>AD66*'01_Вводные'!$B$14</f>
        <v/>
      </c>
      <c r="AF67" s="190">
        <f>AE66*'01_Вводные'!$B$14</f>
        <v/>
      </c>
      <c r="AG67" s="190">
        <f>AF66*'01_Вводные'!$B$14</f>
        <v/>
      </c>
      <c r="AH67" s="190">
        <f>AG66*'01_Вводные'!$B$14</f>
        <v/>
      </c>
      <c r="AI67" s="190">
        <f>AH66*'01_Вводные'!$B$14</f>
        <v/>
      </c>
      <c r="AJ67" s="190">
        <f>AI66*'01_Вводные'!$B$14</f>
        <v/>
      </c>
      <c r="AK67" s="190">
        <f>AJ66*'01_Вводные'!$B$14</f>
        <v/>
      </c>
      <c r="AL67" s="190">
        <f>AK66*'01_Вводные'!$B$14</f>
        <v/>
      </c>
      <c r="AM67" s="190">
        <f>AL66*'01_Вводные'!$B$14</f>
        <v/>
      </c>
      <c r="AN67" s="190">
        <f>AM66*'01_Вводные'!$B$14</f>
        <v/>
      </c>
      <c r="AO67" s="190">
        <f>AN66*'01_Вводные'!$B$14</f>
        <v/>
      </c>
      <c r="AP67" s="190">
        <f>AO66*'01_Вводные'!$B$14</f>
        <v/>
      </c>
      <c r="AQ67" s="190">
        <f>AP66*'01_Вводные'!$B$14</f>
        <v/>
      </c>
      <c r="AR67" s="190">
        <f>AQ66*'01_Вводные'!$B$14</f>
        <v/>
      </c>
      <c r="AS67" s="190">
        <f>AR66*'01_Вводные'!$B$14</f>
        <v/>
      </c>
      <c r="AT67" s="190">
        <f>AS66*'01_Вводные'!$B$14</f>
        <v/>
      </c>
      <c r="AU67" s="190">
        <f>AT66*'01_Вводные'!$B$14</f>
        <v/>
      </c>
      <c r="AV67" s="190">
        <f>AU66*'01_Вводные'!$B$14</f>
        <v/>
      </c>
      <c r="AW67" s="190">
        <f>AV66*'01_Вводные'!$B$14</f>
        <v/>
      </c>
      <c r="AX67" s="190">
        <f>AW66*'01_Вводные'!$B$14</f>
        <v/>
      </c>
      <c r="AY67" s="190">
        <f>AX66*'01_Вводные'!$B$14</f>
        <v/>
      </c>
      <c r="AZ67" s="190">
        <f>AY66*'01_Вводные'!$B$14</f>
        <v/>
      </c>
      <c r="BA67" s="190">
        <f>AZ66*'01_Вводные'!$B$14</f>
        <v/>
      </c>
      <c r="BB67" s="190">
        <f>BA66*'01_Вводные'!$B$14</f>
        <v/>
      </c>
      <c r="BC67" s="190">
        <f>BB66*'01_Вводные'!$B$14</f>
        <v/>
      </c>
      <c r="BD67" s="190">
        <f>BC66*'01_Вводные'!$B$14</f>
        <v/>
      </c>
      <c r="BE67" s="190">
        <f>BD66*'01_Вводные'!$B$14</f>
        <v/>
      </c>
      <c r="BF67" s="190">
        <f>BE66*'01_Вводные'!$B$14</f>
        <v/>
      </c>
      <c r="BG67" s="190">
        <f>BF66*'01_Вводные'!$B$14</f>
        <v/>
      </c>
      <c r="BH67" s="190">
        <f>BG66*'01_Вводные'!$B$14</f>
        <v/>
      </c>
      <c r="BI67" s="190">
        <f>BH66*'01_Вводные'!$B$14</f>
        <v/>
      </c>
      <c r="BJ67" s="190">
        <f>BI66*'01_Вводные'!$B$14</f>
        <v/>
      </c>
      <c r="BK67" s="190">
        <f>BJ66*'01_Вводные'!$B$14</f>
        <v/>
      </c>
      <c r="BL67" s="190">
        <f>BK66*'01_Вводные'!$B$14</f>
        <v/>
      </c>
      <c r="BM67" s="190">
        <f>BL66*'01_Вводные'!$B$14</f>
        <v/>
      </c>
      <c r="BN67" s="190">
        <f>BM66*'01_Вводные'!$B$14</f>
        <v/>
      </c>
      <c r="BO67" s="190">
        <f>BN66*'01_Вводные'!$B$14</f>
        <v/>
      </c>
    </row>
    <row r="68" hidden="1" outlineLevel="1">
      <c r="A68" t="inlineStr">
        <is>
          <t>16 мес.</t>
        </is>
      </c>
      <c r="B68" s="189">
        <f>0</f>
        <v/>
      </c>
      <c r="C68" s="190">
        <f>B67*'01_Вводные'!$B$14</f>
        <v/>
      </c>
      <c r="D68" s="190">
        <f>C67*'01_Вводные'!$B$14</f>
        <v/>
      </c>
      <c r="E68" s="190">
        <f>D67*'01_Вводные'!$B$14</f>
        <v/>
      </c>
      <c r="F68" s="190">
        <f>E67*'01_Вводные'!$B$14</f>
        <v/>
      </c>
      <c r="G68" s="190">
        <f>F67*'01_Вводные'!$B$14</f>
        <v/>
      </c>
      <c r="H68" s="190">
        <f>G67*'01_Вводные'!$B$14</f>
        <v/>
      </c>
      <c r="I68" s="190">
        <f>H67*'01_Вводные'!$B$14</f>
        <v/>
      </c>
      <c r="J68" s="190">
        <f>I67*'01_Вводные'!$B$14</f>
        <v/>
      </c>
      <c r="K68" s="190">
        <f>J67*'01_Вводные'!$B$14</f>
        <v/>
      </c>
      <c r="L68" s="190">
        <f>K67*'01_Вводные'!$B$14</f>
        <v/>
      </c>
      <c r="M68" s="190">
        <f>L67*'01_Вводные'!$B$14</f>
        <v/>
      </c>
      <c r="N68" s="190">
        <f>M67*'01_Вводные'!$B$14</f>
        <v/>
      </c>
      <c r="O68" s="190">
        <f>N67*'01_Вводные'!$B$14</f>
        <v/>
      </c>
      <c r="P68" s="190">
        <f>O67*'01_Вводные'!$B$14</f>
        <v/>
      </c>
      <c r="Q68" s="190">
        <f>P67*'01_Вводные'!$B$14</f>
        <v/>
      </c>
      <c r="R68" s="190">
        <f>Q67*'01_Вводные'!$B$14</f>
        <v/>
      </c>
      <c r="S68" s="190">
        <f>R67*'01_Вводные'!$B$14</f>
        <v/>
      </c>
      <c r="T68" s="190">
        <f>S67*'01_Вводные'!$B$14</f>
        <v/>
      </c>
      <c r="U68" s="190">
        <f>T67*'01_Вводные'!$B$14</f>
        <v/>
      </c>
      <c r="V68" s="190">
        <f>U67*'01_Вводные'!$B$14</f>
        <v/>
      </c>
      <c r="W68" s="190">
        <f>V67*'01_Вводные'!$B$14</f>
        <v/>
      </c>
      <c r="X68" s="190">
        <f>W67*'01_Вводные'!$B$14</f>
        <v/>
      </c>
      <c r="Y68" s="190">
        <f>X67*'01_Вводные'!$B$14</f>
        <v/>
      </c>
      <c r="Z68" s="190">
        <f>Y67*'01_Вводные'!$B$14</f>
        <v/>
      </c>
      <c r="AA68" s="190">
        <f>Z67*'01_Вводные'!$B$14</f>
        <v/>
      </c>
      <c r="AB68" s="190">
        <f>AA67*'01_Вводные'!$B$14</f>
        <v/>
      </c>
      <c r="AC68" s="190">
        <f>AB67*'01_Вводные'!$B$14</f>
        <v/>
      </c>
      <c r="AD68" s="190">
        <f>AC67*'01_Вводные'!$B$14</f>
        <v/>
      </c>
      <c r="AE68" s="190">
        <f>AD67*'01_Вводные'!$B$14</f>
        <v/>
      </c>
      <c r="AF68" s="190">
        <f>AE67*'01_Вводные'!$B$14</f>
        <v/>
      </c>
      <c r="AG68" s="190">
        <f>AF67*'01_Вводные'!$B$14</f>
        <v/>
      </c>
      <c r="AH68" s="190">
        <f>AG67*'01_Вводные'!$B$14</f>
        <v/>
      </c>
      <c r="AI68" s="190">
        <f>AH67*'01_Вводные'!$B$14</f>
        <v/>
      </c>
      <c r="AJ68" s="190">
        <f>AI67*'01_Вводные'!$B$14</f>
        <v/>
      </c>
      <c r="AK68" s="190">
        <f>AJ67*'01_Вводные'!$B$14</f>
        <v/>
      </c>
      <c r="AL68" s="190">
        <f>AK67*'01_Вводные'!$B$14</f>
        <v/>
      </c>
      <c r="AM68" s="190">
        <f>AL67*'01_Вводные'!$B$14</f>
        <v/>
      </c>
      <c r="AN68" s="190">
        <f>AM67*'01_Вводные'!$B$14</f>
        <v/>
      </c>
      <c r="AO68" s="190">
        <f>AN67*'01_Вводные'!$B$14</f>
        <v/>
      </c>
      <c r="AP68" s="190">
        <f>AO67*'01_Вводные'!$B$14</f>
        <v/>
      </c>
      <c r="AQ68" s="190">
        <f>AP67*'01_Вводные'!$B$14</f>
        <v/>
      </c>
      <c r="AR68" s="190">
        <f>AQ67*'01_Вводные'!$B$14</f>
        <v/>
      </c>
      <c r="AS68" s="190">
        <f>AR67*'01_Вводные'!$B$14</f>
        <v/>
      </c>
      <c r="AT68" s="190">
        <f>AS67*'01_Вводные'!$B$14</f>
        <v/>
      </c>
      <c r="AU68" s="190">
        <f>AT67*'01_Вводные'!$B$14</f>
        <v/>
      </c>
      <c r="AV68" s="190">
        <f>AU67*'01_Вводные'!$B$14</f>
        <v/>
      </c>
      <c r="AW68" s="190">
        <f>AV67*'01_Вводные'!$B$14</f>
        <v/>
      </c>
      <c r="AX68" s="190">
        <f>AW67*'01_Вводные'!$B$14</f>
        <v/>
      </c>
      <c r="AY68" s="190">
        <f>AX67*'01_Вводные'!$B$14</f>
        <v/>
      </c>
      <c r="AZ68" s="190">
        <f>AY67*'01_Вводные'!$B$14</f>
        <v/>
      </c>
      <c r="BA68" s="190">
        <f>AZ67*'01_Вводные'!$B$14</f>
        <v/>
      </c>
      <c r="BB68" s="190">
        <f>BA67*'01_Вводные'!$B$14</f>
        <v/>
      </c>
      <c r="BC68" s="190">
        <f>BB67*'01_Вводные'!$B$14</f>
        <v/>
      </c>
      <c r="BD68" s="190">
        <f>BC67*'01_Вводные'!$B$14</f>
        <v/>
      </c>
      <c r="BE68" s="190">
        <f>BD67*'01_Вводные'!$B$14</f>
        <v/>
      </c>
      <c r="BF68" s="190">
        <f>BE67*'01_Вводные'!$B$14</f>
        <v/>
      </c>
      <c r="BG68" s="190">
        <f>BF67*'01_Вводные'!$B$14</f>
        <v/>
      </c>
      <c r="BH68" s="190">
        <f>BG67*'01_Вводные'!$B$14</f>
        <v/>
      </c>
      <c r="BI68" s="190">
        <f>BH67*'01_Вводные'!$B$14</f>
        <v/>
      </c>
      <c r="BJ68" s="190">
        <f>BI67*'01_Вводные'!$B$14</f>
        <v/>
      </c>
      <c r="BK68" s="190">
        <f>BJ67*'01_Вводные'!$B$14</f>
        <v/>
      </c>
      <c r="BL68" s="190">
        <f>BK67*'01_Вводные'!$B$14</f>
        <v/>
      </c>
      <c r="BM68" s="190">
        <f>BL67*'01_Вводные'!$B$14</f>
        <v/>
      </c>
      <c r="BN68" s="190">
        <f>BM67*'01_Вводные'!$B$14</f>
        <v/>
      </c>
      <c r="BO68" s="190">
        <f>BN67*'01_Вводные'!$B$14</f>
        <v/>
      </c>
    </row>
    <row r="69" hidden="1" outlineLevel="1">
      <c r="A69" t="inlineStr">
        <is>
          <t>17 мес.</t>
        </is>
      </c>
      <c r="B69" s="189">
        <f>0</f>
        <v/>
      </c>
      <c r="C69" s="190">
        <f>B68*'01_Вводные'!$B$14</f>
        <v/>
      </c>
      <c r="D69" s="190">
        <f>C68*'01_Вводные'!$B$14</f>
        <v/>
      </c>
      <c r="E69" s="190">
        <f>D68*'01_Вводные'!$B$14</f>
        <v/>
      </c>
      <c r="F69" s="190">
        <f>E68*'01_Вводные'!$B$14</f>
        <v/>
      </c>
      <c r="G69" s="190">
        <f>F68*'01_Вводные'!$B$14</f>
        <v/>
      </c>
      <c r="H69" s="190">
        <f>G68*'01_Вводные'!$B$14</f>
        <v/>
      </c>
      <c r="I69" s="190">
        <f>H68*'01_Вводные'!$B$14</f>
        <v/>
      </c>
      <c r="J69" s="190">
        <f>I68*'01_Вводные'!$B$14</f>
        <v/>
      </c>
      <c r="K69" s="190">
        <f>J68*'01_Вводные'!$B$14</f>
        <v/>
      </c>
      <c r="L69" s="190">
        <f>K68*'01_Вводные'!$B$14</f>
        <v/>
      </c>
      <c r="M69" s="190">
        <f>L68*'01_Вводные'!$B$14</f>
        <v/>
      </c>
      <c r="N69" s="190">
        <f>M68*'01_Вводные'!$B$14</f>
        <v/>
      </c>
      <c r="O69" s="190">
        <f>N68*'01_Вводные'!$B$14</f>
        <v/>
      </c>
      <c r="P69" s="190">
        <f>O68*'01_Вводные'!$B$14</f>
        <v/>
      </c>
      <c r="Q69" s="190">
        <f>P68*'01_Вводные'!$B$14</f>
        <v/>
      </c>
      <c r="R69" s="190">
        <f>Q68*'01_Вводные'!$B$14</f>
        <v/>
      </c>
      <c r="S69" s="190">
        <f>R68*'01_Вводные'!$B$14</f>
        <v/>
      </c>
      <c r="T69" s="190">
        <f>S68*'01_Вводные'!$B$14</f>
        <v/>
      </c>
      <c r="U69" s="190">
        <f>T68*'01_Вводные'!$B$14</f>
        <v/>
      </c>
      <c r="V69" s="190">
        <f>U68*'01_Вводные'!$B$14</f>
        <v/>
      </c>
      <c r="W69" s="190">
        <f>V68*'01_Вводные'!$B$14</f>
        <v/>
      </c>
      <c r="X69" s="190">
        <f>W68*'01_Вводные'!$B$14</f>
        <v/>
      </c>
      <c r="Y69" s="190">
        <f>X68*'01_Вводные'!$B$14</f>
        <v/>
      </c>
      <c r="Z69" s="190">
        <f>Y68*'01_Вводные'!$B$14</f>
        <v/>
      </c>
      <c r="AA69" s="190">
        <f>Z68*'01_Вводные'!$B$14</f>
        <v/>
      </c>
      <c r="AB69" s="190">
        <f>AA68*'01_Вводные'!$B$14</f>
        <v/>
      </c>
      <c r="AC69" s="190">
        <f>AB68*'01_Вводные'!$B$14</f>
        <v/>
      </c>
      <c r="AD69" s="190">
        <f>AC68*'01_Вводные'!$B$14</f>
        <v/>
      </c>
      <c r="AE69" s="190">
        <f>AD68*'01_Вводные'!$B$14</f>
        <v/>
      </c>
      <c r="AF69" s="190">
        <f>AE68*'01_Вводные'!$B$14</f>
        <v/>
      </c>
      <c r="AG69" s="190">
        <f>AF68*'01_Вводные'!$B$14</f>
        <v/>
      </c>
      <c r="AH69" s="190">
        <f>AG68*'01_Вводные'!$B$14</f>
        <v/>
      </c>
      <c r="AI69" s="190">
        <f>AH68*'01_Вводные'!$B$14</f>
        <v/>
      </c>
      <c r="AJ69" s="190">
        <f>AI68*'01_Вводные'!$B$14</f>
        <v/>
      </c>
      <c r="AK69" s="190">
        <f>AJ68*'01_Вводные'!$B$14</f>
        <v/>
      </c>
      <c r="AL69" s="190">
        <f>AK68*'01_Вводные'!$B$14</f>
        <v/>
      </c>
      <c r="AM69" s="190">
        <f>AL68*'01_Вводные'!$B$14</f>
        <v/>
      </c>
      <c r="AN69" s="190">
        <f>AM68*'01_Вводные'!$B$14</f>
        <v/>
      </c>
      <c r="AO69" s="190">
        <f>AN68*'01_Вводные'!$B$14</f>
        <v/>
      </c>
      <c r="AP69" s="190">
        <f>AO68*'01_Вводные'!$B$14</f>
        <v/>
      </c>
      <c r="AQ69" s="190">
        <f>AP68*'01_Вводные'!$B$14</f>
        <v/>
      </c>
      <c r="AR69" s="190">
        <f>AQ68*'01_Вводные'!$B$14</f>
        <v/>
      </c>
      <c r="AS69" s="190">
        <f>AR68*'01_Вводные'!$B$14</f>
        <v/>
      </c>
      <c r="AT69" s="190">
        <f>AS68*'01_Вводные'!$B$14</f>
        <v/>
      </c>
      <c r="AU69" s="190">
        <f>AT68*'01_Вводные'!$B$14</f>
        <v/>
      </c>
      <c r="AV69" s="190">
        <f>AU68*'01_Вводные'!$B$14</f>
        <v/>
      </c>
      <c r="AW69" s="190">
        <f>AV68*'01_Вводные'!$B$14</f>
        <v/>
      </c>
      <c r="AX69" s="190">
        <f>AW68*'01_Вводные'!$B$14</f>
        <v/>
      </c>
      <c r="AY69" s="190">
        <f>AX68*'01_Вводные'!$B$14</f>
        <v/>
      </c>
      <c r="AZ69" s="190">
        <f>AY68*'01_Вводные'!$B$14</f>
        <v/>
      </c>
      <c r="BA69" s="190">
        <f>AZ68*'01_Вводные'!$B$14</f>
        <v/>
      </c>
      <c r="BB69" s="190">
        <f>BA68*'01_Вводные'!$B$14</f>
        <v/>
      </c>
      <c r="BC69" s="190">
        <f>BB68*'01_Вводные'!$B$14</f>
        <v/>
      </c>
      <c r="BD69" s="190">
        <f>BC68*'01_Вводные'!$B$14</f>
        <v/>
      </c>
      <c r="BE69" s="190">
        <f>BD68*'01_Вводные'!$B$14</f>
        <v/>
      </c>
      <c r="BF69" s="190">
        <f>BE68*'01_Вводные'!$B$14</f>
        <v/>
      </c>
      <c r="BG69" s="190">
        <f>BF68*'01_Вводные'!$B$14</f>
        <v/>
      </c>
      <c r="BH69" s="190">
        <f>BG68*'01_Вводные'!$B$14</f>
        <v/>
      </c>
      <c r="BI69" s="190">
        <f>BH68*'01_Вводные'!$B$14</f>
        <v/>
      </c>
      <c r="BJ69" s="190">
        <f>BI68*'01_Вводные'!$B$14</f>
        <v/>
      </c>
      <c r="BK69" s="190">
        <f>BJ68*'01_Вводные'!$B$14</f>
        <v/>
      </c>
      <c r="BL69" s="190">
        <f>BK68*'01_Вводные'!$B$14</f>
        <v/>
      </c>
      <c r="BM69" s="190">
        <f>BL68*'01_Вводные'!$B$14</f>
        <v/>
      </c>
      <c r="BN69" s="190">
        <f>BM68*'01_Вводные'!$B$14</f>
        <v/>
      </c>
      <c r="BO69" s="190">
        <f>BN68*'01_Вводные'!$B$14</f>
        <v/>
      </c>
    </row>
    <row r="70" hidden="1" outlineLevel="1">
      <c r="A70" t="inlineStr">
        <is>
          <t>18 мес.</t>
        </is>
      </c>
      <c r="B70" s="189">
        <f>0</f>
        <v/>
      </c>
      <c r="C70" s="190">
        <f>B69*'01_Вводные'!$B$14</f>
        <v/>
      </c>
      <c r="D70" s="190">
        <f>C69*'01_Вводные'!$B$14</f>
        <v/>
      </c>
      <c r="E70" s="190">
        <f>D69*'01_Вводные'!$B$14</f>
        <v/>
      </c>
      <c r="F70" s="190">
        <f>E69*'01_Вводные'!$B$14</f>
        <v/>
      </c>
      <c r="G70" s="190">
        <f>F69*'01_Вводные'!$B$14</f>
        <v/>
      </c>
      <c r="H70" s="190">
        <f>G69*'01_Вводные'!$B$14</f>
        <v/>
      </c>
      <c r="I70" s="190">
        <f>H69*'01_Вводные'!$B$14</f>
        <v/>
      </c>
      <c r="J70" s="190">
        <f>I69*'01_Вводные'!$B$14</f>
        <v/>
      </c>
      <c r="K70" s="190">
        <f>J69*'01_Вводные'!$B$14</f>
        <v/>
      </c>
      <c r="L70" s="190">
        <f>K69*'01_Вводные'!$B$14</f>
        <v/>
      </c>
      <c r="M70" s="190">
        <f>L69*'01_Вводные'!$B$14</f>
        <v/>
      </c>
      <c r="N70" s="190">
        <f>M69*'01_Вводные'!$B$14</f>
        <v/>
      </c>
      <c r="O70" s="190">
        <f>N69*'01_Вводные'!$B$14</f>
        <v/>
      </c>
      <c r="P70" s="190">
        <f>O69*'01_Вводные'!$B$14</f>
        <v/>
      </c>
      <c r="Q70" s="190">
        <f>P69*'01_Вводные'!$B$14</f>
        <v/>
      </c>
      <c r="R70" s="190">
        <f>Q69*'01_Вводные'!$B$14</f>
        <v/>
      </c>
      <c r="S70" s="190">
        <f>R69*'01_Вводные'!$B$14</f>
        <v/>
      </c>
      <c r="T70" s="190">
        <f>S69*'01_Вводные'!$B$14</f>
        <v/>
      </c>
      <c r="U70" s="190">
        <f>T69*'01_Вводные'!$B$14</f>
        <v/>
      </c>
      <c r="V70" s="190">
        <f>U69*'01_Вводные'!$B$14</f>
        <v/>
      </c>
      <c r="W70" s="190">
        <f>V69*'01_Вводные'!$B$14</f>
        <v/>
      </c>
      <c r="X70" s="190">
        <f>W69*'01_Вводные'!$B$14</f>
        <v/>
      </c>
      <c r="Y70" s="190">
        <f>X69*'01_Вводные'!$B$14</f>
        <v/>
      </c>
      <c r="Z70" s="190">
        <f>Y69*'01_Вводные'!$B$14</f>
        <v/>
      </c>
      <c r="AA70" s="190">
        <f>Z69*'01_Вводные'!$B$14</f>
        <v/>
      </c>
      <c r="AB70" s="190">
        <f>AA69*'01_Вводные'!$B$14</f>
        <v/>
      </c>
      <c r="AC70" s="190">
        <f>AB69*'01_Вводные'!$B$14</f>
        <v/>
      </c>
      <c r="AD70" s="190">
        <f>AC69*'01_Вводные'!$B$14</f>
        <v/>
      </c>
      <c r="AE70" s="190">
        <f>AD69*'01_Вводные'!$B$14</f>
        <v/>
      </c>
      <c r="AF70" s="190">
        <f>AE69*'01_Вводные'!$B$14</f>
        <v/>
      </c>
      <c r="AG70" s="190">
        <f>AF69*'01_Вводные'!$B$14</f>
        <v/>
      </c>
      <c r="AH70" s="190">
        <f>AG69*'01_Вводные'!$B$14</f>
        <v/>
      </c>
      <c r="AI70" s="190">
        <f>AH69*'01_Вводные'!$B$14</f>
        <v/>
      </c>
      <c r="AJ70" s="190">
        <f>AI69*'01_Вводные'!$B$14</f>
        <v/>
      </c>
      <c r="AK70" s="190">
        <f>AJ69*'01_Вводные'!$B$14</f>
        <v/>
      </c>
      <c r="AL70" s="190">
        <f>AK69*'01_Вводные'!$B$14</f>
        <v/>
      </c>
      <c r="AM70" s="190">
        <f>AL69*'01_Вводные'!$B$14</f>
        <v/>
      </c>
      <c r="AN70" s="190">
        <f>AM69*'01_Вводные'!$B$14</f>
        <v/>
      </c>
      <c r="AO70" s="190">
        <f>AN69*'01_Вводные'!$B$14</f>
        <v/>
      </c>
      <c r="AP70" s="190">
        <f>AO69*'01_Вводные'!$B$14</f>
        <v/>
      </c>
      <c r="AQ70" s="190">
        <f>AP69*'01_Вводные'!$B$14</f>
        <v/>
      </c>
      <c r="AR70" s="190">
        <f>AQ69*'01_Вводные'!$B$14</f>
        <v/>
      </c>
      <c r="AS70" s="190">
        <f>AR69*'01_Вводные'!$B$14</f>
        <v/>
      </c>
      <c r="AT70" s="190">
        <f>AS69*'01_Вводные'!$B$14</f>
        <v/>
      </c>
      <c r="AU70" s="190">
        <f>AT69*'01_Вводные'!$B$14</f>
        <v/>
      </c>
      <c r="AV70" s="190">
        <f>AU69*'01_Вводные'!$B$14</f>
        <v/>
      </c>
      <c r="AW70" s="190">
        <f>AV69*'01_Вводные'!$B$14</f>
        <v/>
      </c>
      <c r="AX70" s="190">
        <f>AW69*'01_Вводные'!$B$14</f>
        <v/>
      </c>
      <c r="AY70" s="190">
        <f>AX69*'01_Вводные'!$B$14</f>
        <v/>
      </c>
      <c r="AZ70" s="190">
        <f>AY69*'01_Вводные'!$B$14</f>
        <v/>
      </c>
      <c r="BA70" s="190">
        <f>AZ69*'01_Вводные'!$B$14</f>
        <v/>
      </c>
      <c r="BB70" s="190">
        <f>BA69*'01_Вводные'!$B$14</f>
        <v/>
      </c>
      <c r="BC70" s="190">
        <f>BB69*'01_Вводные'!$B$14</f>
        <v/>
      </c>
      <c r="BD70" s="190">
        <f>BC69*'01_Вводные'!$B$14</f>
        <v/>
      </c>
      <c r="BE70" s="190">
        <f>BD69*'01_Вводные'!$B$14</f>
        <v/>
      </c>
      <c r="BF70" s="190">
        <f>BE69*'01_Вводные'!$B$14</f>
        <v/>
      </c>
      <c r="BG70" s="190">
        <f>BF69*'01_Вводные'!$B$14</f>
        <v/>
      </c>
      <c r="BH70" s="190">
        <f>BG69*'01_Вводные'!$B$14</f>
        <v/>
      </c>
      <c r="BI70" s="190">
        <f>BH69*'01_Вводные'!$B$14</f>
        <v/>
      </c>
      <c r="BJ70" s="190">
        <f>BI69*'01_Вводные'!$B$14</f>
        <v/>
      </c>
      <c r="BK70" s="190">
        <f>BJ69*'01_Вводные'!$B$14</f>
        <v/>
      </c>
      <c r="BL70" s="190">
        <f>BK69*'01_Вводные'!$B$14</f>
        <v/>
      </c>
      <c r="BM70" s="190">
        <f>BL69*'01_Вводные'!$B$14</f>
        <v/>
      </c>
      <c r="BN70" s="190">
        <f>BM69*'01_Вводные'!$B$14</f>
        <v/>
      </c>
      <c r="BO70" s="190">
        <f>BN69*'01_Вводные'!$B$14</f>
        <v/>
      </c>
    </row>
    <row r="71" hidden="1" outlineLevel="1">
      <c r="A71" t="inlineStr">
        <is>
          <t>19 мес.</t>
        </is>
      </c>
      <c r="B71" s="189">
        <f>0</f>
        <v/>
      </c>
      <c r="C71" s="190">
        <f>B70*'01_Вводные'!$B$14</f>
        <v/>
      </c>
      <c r="D71" s="190">
        <f>C70*'01_Вводные'!$B$14</f>
        <v/>
      </c>
      <c r="E71" s="190">
        <f>D70*'01_Вводные'!$B$14</f>
        <v/>
      </c>
      <c r="F71" s="190">
        <f>E70*'01_Вводные'!$B$14</f>
        <v/>
      </c>
      <c r="G71" s="190">
        <f>F70*'01_Вводные'!$B$14</f>
        <v/>
      </c>
      <c r="H71" s="190">
        <f>G70*'01_Вводные'!$B$14</f>
        <v/>
      </c>
      <c r="I71" s="190">
        <f>H70*'01_Вводные'!$B$14</f>
        <v/>
      </c>
      <c r="J71" s="190">
        <f>I70*'01_Вводные'!$B$14</f>
        <v/>
      </c>
      <c r="K71" s="190">
        <f>J70*'01_Вводные'!$B$14</f>
        <v/>
      </c>
      <c r="L71" s="190">
        <f>K70*'01_Вводные'!$B$14</f>
        <v/>
      </c>
      <c r="M71" s="190">
        <f>L70*'01_Вводные'!$B$14</f>
        <v/>
      </c>
      <c r="N71" s="190">
        <f>M70*'01_Вводные'!$B$14</f>
        <v/>
      </c>
      <c r="O71" s="190">
        <f>N70*'01_Вводные'!$B$14</f>
        <v/>
      </c>
      <c r="P71" s="190">
        <f>O70*'01_Вводные'!$B$14</f>
        <v/>
      </c>
      <c r="Q71" s="190">
        <f>P70*'01_Вводные'!$B$14</f>
        <v/>
      </c>
      <c r="R71" s="190">
        <f>Q70*'01_Вводные'!$B$14</f>
        <v/>
      </c>
      <c r="S71" s="190">
        <f>R70*'01_Вводные'!$B$14</f>
        <v/>
      </c>
      <c r="T71" s="190">
        <f>S70*'01_Вводные'!$B$14</f>
        <v/>
      </c>
      <c r="U71" s="190">
        <f>T70*'01_Вводные'!$B$14</f>
        <v/>
      </c>
      <c r="V71" s="190">
        <f>U70*'01_Вводные'!$B$14</f>
        <v/>
      </c>
      <c r="W71" s="190">
        <f>V70*'01_Вводные'!$B$14</f>
        <v/>
      </c>
      <c r="X71" s="190">
        <f>W70*'01_Вводные'!$B$14</f>
        <v/>
      </c>
      <c r="Y71" s="190">
        <f>X70*'01_Вводные'!$B$14</f>
        <v/>
      </c>
      <c r="Z71" s="190">
        <f>Y70*'01_Вводные'!$B$14</f>
        <v/>
      </c>
      <c r="AA71" s="190">
        <f>Z70*'01_Вводные'!$B$14</f>
        <v/>
      </c>
      <c r="AB71" s="190">
        <f>AA70*'01_Вводные'!$B$14</f>
        <v/>
      </c>
      <c r="AC71" s="190">
        <f>AB70*'01_Вводные'!$B$14</f>
        <v/>
      </c>
      <c r="AD71" s="190">
        <f>AC70*'01_Вводные'!$B$14</f>
        <v/>
      </c>
      <c r="AE71" s="190">
        <f>AD70*'01_Вводные'!$B$14</f>
        <v/>
      </c>
      <c r="AF71" s="190">
        <f>AE70*'01_Вводные'!$B$14</f>
        <v/>
      </c>
      <c r="AG71" s="190">
        <f>AF70*'01_Вводные'!$B$14</f>
        <v/>
      </c>
      <c r="AH71" s="190">
        <f>AG70*'01_Вводные'!$B$14</f>
        <v/>
      </c>
      <c r="AI71" s="190">
        <f>AH70*'01_Вводные'!$B$14</f>
        <v/>
      </c>
      <c r="AJ71" s="190">
        <f>AI70*'01_Вводные'!$B$14</f>
        <v/>
      </c>
      <c r="AK71" s="190">
        <f>AJ70*'01_Вводные'!$B$14</f>
        <v/>
      </c>
      <c r="AL71" s="190">
        <f>AK70*'01_Вводные'!$B$14</f>
        <v/>
      </c>
      <c r="AM71" s="190">
        <f>AL70*'01_Вводные'!$B$14</f>
        <v/>
      </c>
      <c r="AN71" s="190">
        <f>AM70*'01_Вводные'!$B$14</f>
        <v/>
      </c>
      <c r="AO71" s="190">
        <f>AN70*'01_Вводные'!$B$14</f>
        <v/>
      </c>
      <c r="AP71" s="190">
        <f>AO70*'01_Вводные'!$B$14</f>
        <v/>
      </c>
      <c r="AQ71" s="190">
        <f>AP70*'01_Вводные'!$B$14</f>
        <v/>
      </c>
      <c r="AR71" s="190">
        <f>AQ70*'01_Вводные'!$B$14</f>
        <v/>
      </c>
      <c r="AS71" s="190">
        <f>AR70*'01_Вводные'!$B$14</f>
        <v/>
      </c>
      <c r="AT71" s="190">
        <f>AS70*'01_Вводные'!$B$14</f>
        <v/>
      </c>
      <c r="AU71" s="190">
        <f>AT70*'01_Вводные'!$B$14</f>
        <v/>
      </c>
      <c r="AV71" s="190">
        <f>AU70*'01_Вводные'!$B$14</f>
        <v/>
      </c>
      <c r="AW71" s="190">
        <f>AV70*'01_Вводные'!$B$14</f>
        <v/>
      </c>
      <c r="AX71" s="190">
        <f>AW70*'01_Вводные'!$B$14</f>
        <v/>
      </c>
      <c r="AY71" s="190">
        <f>AX70*'01_Вводные'!$B$14</f>
        <v/>
      </c>
      <c r="AZ71" s="190">
        <f>AY70*'01_Вводные'!$B$14</f>
        <v/>
      </c>
      <c r="BA71" s="190">
        <f>AZ70*'01_Вводные'!$B$14</f>
        <v/>
      </c>
      <c r="BB71" s="190">
        <f>BA70*'01_Вводные'!$B$14</f>
        <v/>
      </c>
      <c r="BC71" s="190">
        <f>BB70*'01_Вводные'!$B$14</f>
        <v/>
      </c>
      <c r="BD71" s="190">
        <f>BC70*'01_Вводные'!$B$14</f>
        <v/>
      </c>
      <c r="BE71" s="190">
        <f>BD70*'01_Вводные'!$B$14</f>
        <v/>
      </c>
      <c r="BF71" s="190">
        <f>BE70*'01_Вводные'!$B$14</f>
        <v/>
      </c>
      <c r="BG71" s="190">
        <f>BF70*'01_Вводные'!$B$14</f>
        <v/>
      </c>
      <c r="BH71" s="190">
        <f>BG70*'01_Вводные'!$B$14</f>
        <v/>
      </c>
      <c r="BI71" s="190">
        <f>BH70*'01_Вводные'!$B$14</f>
        <v/>
      </c>
      <c r="BJ71" s="190">
        <f>BI70*'01_Вводные'!$B$14</f>
        <v/>
      </c>
      <c r="BK71" s="190">
        <f>BJ70*'01_Вводные'!$B$14</f>
        <v/>
      </c>
      <c r="BL71" s="190">
        <f>BK70*'01_Вводные'!$B$14</f>
        <v/>
      </c>
      <c r="BM71" s="190">
        <f>BL70*'01_Вводные'!$B$14</f>
        <v/>
      </c>
      <c r="BN71" s="190">
        <f>BM70*'01_Вводные'!$B$14</f>
        <v/>
      </c>
      <c r="BO71" s="190">
        <f>BN70*'01_Вводные'!$B$14</f>
        <v/>
      </c>
    </row>
    <row r="72" hidden="1" outlineLevel="1">
      <c r="A72" t="inlineStr">
        <is>
          <t>20 мес.</t>
        </is>
      </c>
      <c r="B72" s="188">
        <f>0</f>
        <v/>
      </c>
      <c r="C72" s="191">
        <f>B71*'01_Вводные'!$B$14</f>
        <v/>
      </c>
      <c r="D72" s="191">
        <f>C71*'01_Вводные'!$B$14</f>
        <v/>
      </c>
      <c r="E72" s="191">
        <f>D71*'01_Вводные'!$B$14</f>
        <v/>
      </c>
      <c r="F72" s="191">
        <f>E71*'01_Вводные'!$B$14</f>
        <v/>
      </c>
      <c r="G72" s="191">
        <f>F71*'01_Вводные'!$B$14</f>
        <v/>
      </c>
      <c r="H72" s="191">
        <f>G71*'01_Вводные'!$B$14</f>
        <v/>
      </c>
      <c r="I72" s="191">
        <f>H71*'01_Вводные'!$B$14</f>
        <v/>
      </c>
      <c r="J72" s="191">
        <f>I71*'01_Вводные'!$B$14</f>
        <v/>
      </c>
      <c r="K72" s="191">
        <f>J71*'01_Вводные'!$B$14</f>
        <v/>
      </c>
      <c r="L72" s="191">
        <f>K71*'01_Вводные'!$B$14</f>
        <v/>
      </c>
      <c r="M72" s="191">
        <f>L71*'01_Вводные'!$B$14</f>
        <v/>
      </c>
      <c r="N72" s="191">
        <f>M71*'01_Вводные'!$B$14</f>
        <v/>
      </c>
      <c r="O72" s="191">
        <f>N71*'01_Вводные'!$B$14</f>
        <v/>
      </c>
      <c r="P72" s="191">
        <f>O71*'01_Вводные'!$B$14</f>
        <v/>
      </c>
      <c r="Q72" s="191">
        <f>P71*'01_Вводные'!$B$14</f>
        <v/>
      </c>
      <c r="R72" s="191">
        <f>Q71*'01_Вводные'!$B$14</f>
        <v/>
      </c>
      <c r="S72" s="191">
        <f>R71*'01_Вводные'!$B$14</f>
        <v/>
      </c>
      <c r="T72" s="191">
        <f>S71*'01_Вводные'!$B$14</f>
        <v/>
      </c>
      <c r="U72" s="191">
        <f>T71*'01_Вводные'!$B$14</f>
        <v/>
      </c>
      <c r="V72" s="191">
        <f>U71*'01_Вводные'!$B$14</f>
        <v/>
      </c>
      <c r="W72" s="191">
        <f>V71*'01_Вводные'!$B$14</f>
        <v/>
      </c>
      <c r="X72" s="191">
        <f>W71*'01_Вводные'!$B$14</f>
        <v/>
      </c>
      <c r="Y72" s="191">
        <f>X71*'01_Вводные'!$B$14</f>
        <v/>
      </c>
      <c r="Z72" s="191">
        <f>Y71*'01_Вводные'!$B$14</f>
        <v/>
      </c>
      <c r="AA72" s="191">
        <f>Z71*'01_Вводные'!$B$14</f>
        <v/>
      </c>
      <c r="AB72" s="191">
        <f>AA71*'01_Вводные'!$B$14</f>
        <v/>
      </c>
      <c r="AC72" s="191">
        <f>AB71*'01_Вводные'!$B$14</f>
        <v/>
      </c>
      <c r="AD72" s="191">
        <f>AC71*'01_Вводные'!$B$14</f>
        <v/>
      </c>
      <c r="AE72" s="191">
        <f>AD71*'01_Вводные'!$B$14</f>
        <v/>
      </c>
      <c r="AF72" s="191">
        <f>AE71*'01_Вводные'!$B$14</f>
        <v/>
      </c>
      <c r="AG72" s="191">
        <f>AF71*'01_Вводные'!$B$14</f>
        <v/>
      </c>
      <c r="AH72" s="191">
        <f>AG71*'01_Вводные'!$B$14</f>
        <v/>
      </c>
      <c r="AI72" s="191">
        <f>AH71*'01_Вводные'!$B$14</f>
        <v/>
      </c>
      <c r="AJ72" s="191">
        <f>AI71*'01_Вводные'!$B$14</f>
        <v/>
      </c>
      <c r="AK72" s="191">
        <f>AJ71*'01_Вводные'!$B$14</f>
        <v/>
      </c>
      <c r="AL72" s="191">
        <f>AK71*'01_Вводные'!$B$14</f>
        <v/>
      </c>
      <c r="AM72" s="191">
        <f>AL71*'01_Вводные'!$B$14</f>
        <v/>
      </c>
      <c r="AN72" s="191">
        <f>AM71*'01_Вводные'!$B$14</f>
        <v/>
      </c>
      <c r="AO72" s="191">
        <f>AN71*'01_Вводные'!$B$14</f>
        <v/>
      </c>
      <c r="AP72" s="191">
        <f>AO71*'01_Вводные'!$B$14</f>
        <v/>
      </c>
      <c r="AQ72" s="191">
        <f>AP71*'01_Вводные'!$B$14</f>
        <v/>
      </c>
      <c r="AR72" s="191">
        <f>AQ71*'01_Вводные'!$B$14</f>
        <v/>
      </c>
      <c r="AS72" s="191">
        <f>AR71*'01_Вводные'!$B$14</f>
        <v/>
      </c>
      <c r="AT72" s="191">
        <f>AS71*'01_Вводные'!$B$14</f>
        <v/>
      </c>
      <c r="AU72" s="191">
        <f>AT71*'01_Вводные'!$B$14</f>
        <v/>
      </c>
      <c r="AV72" s="191">
        <f>AU71*'01_Вводные'!$B$14</f>
        <v/>
      </c>
      <c r="AW72" s="191">
        <f>AV71*'01_Вводные'!$B$14</f>
        <v/>
      </c>
      <c r="AX72" s="191">
        <f>AW71*'01_Вводные'!$B$14</f>
        <v/>
      </c>
      <c r="AY72" s="191">
        <f>AX71*'01_Вводные'!$B$14</f>
        <v/>
      </c>
      <c r="AZ72" s="191">
        <f>AY71*'01_Вводные'!$B$14</f>
        <v/>
      </c>
      <c r="BA72" s="191">
        <f>AZ71*'01_Вводные'!$B$14</f>
        <v/>
      </c>
      <c r="BB72" s="191">
        <f>BA71*'01_Вводные'!$B$14</f>
        <v/>
      </c>
      <c r="BC72" s="191">
        <f>BB71*'01_Вводные'!$B$14</f>
        <v/>
      </c>
      <c r="BD72" s="191">
        <f>BC71*'01_Вводные'!$B$14</f>
        <v/>
      </c>
      <c r="BE72" s="191">
        <f>BD71*'01_Вводные'!$B$14</f>
        <v/>
      </c>
      <c r="BF72" s="191">
        <f>BE71*'01_Вводные'!$B$14</f>
        <v/>
      </c>
      <c r="BG72" s="191">
        <f>BF71*'01_Вводные'!$B$14</f>
        <v/>
      </c>
      <c r="BH72" s="191">
        <f>BG71*'01_Вводные'!$B$14</f>
        <v/>
      </c>
      <c r="BI72" s="191">
        <f>BH71*'01_Вводные'!$B$14</f>
        <v/>
      </c>
      <c r="BJ72" s="191">
        <f>BI71*'01_Вводные'!$B$14</f>
        <v/>
      </c>
      <c r="BK72" s="191">
        <f>BJ71*'01_Вводные'!$B$14</f>
        <v/>
      </c>
      <c r="BL72" s="191">
        <f>BK71*'01_Вводные'!$B$14</f>
        <v/>
      </c>
      <c r="BM72" s="191">
        <f>BL71*'01_Вводные'!$B$14</f>
        <v/>
      </c>
      <c r="BN72" s="191">
        <f>BM71*'01_Вводные'!$B$14</f>
        <v/>
      </c>
      <c r="BO72" s="191">
        <f>BN71*'01_Вводные'!$B$14</f>
        <v/>
      </c>
    </row>
    <row r="73" hidden="1" outlineLevel="1">
      <c r="A73" t="inlineStr">
        <is>
          <t>21 мес.</t>
        </is>
      </c>
      <c r="B73" s="189">
        <f>0</f>
        <v/>
      </c>
      <c r="C73" s="190">
        <f>B72*'01_Вводные'!$B$14</f>
        <v/>
      </c>
      <c r="D73" s="190">
        <f>C72*'01_Вводные'!$B$14</f>
        <v/>
      </c>
      <c r="E73" s="190">
        <f>D72*'01_Вводные'!$B$14</f>
        <v/>
      </c>
      <c r="F73" s="190">
        <f>E72*'01_Вводные'!$B$14</f>
        <v/>
      </c>
      <c r="G73" s="190">
        <f>F72*'01_Вводные'!$B$14</f>
        <v/>
      </c>
      <c r="H73" s="190">
        <f>G72*'01_Вводные'!$B$14</f>
        <v/>
      </c>
      <c r="I73" s="190">
        <f>H72*'01_Вводные'!$B$14</f>
        <v/>
      </c>
      <c r="J73" s="190">
        <f>I72*'01_Вводные'!$B$14</f>
        <v/>
      </c>
      <c r="K73" s="190">
        <f>J72*'01_Вводные'!$B$14</f>
        <v/>
      </c>
      <c r="L73" s="190">
        <f>K72*'01_Вводные'!$B$14</f>
        <v/>
      </c>
      <c r="M73" s="190">
        <f>L72*'01_Вводные'!$B$14</f>
        <v/>
      </c>
      <c r="N73" s="190">
        <f>M72*'01_Вводные'!$B$14</f>
        <v/>
      </c>
      <c r="O73" s="190">
        <f>N72*'01_Вводные'!$B$14</f>
        <v/>
      </c>
      <c r="P73" s="190">
        <f>O72*'01_Вводные'!$B$14</f>
        <v/>
      </c>
      <c r="Q73" s="190">
        <f>P72*'01_Вводные'!$B$14</f>
        <v/>
      </c>
      <c r="R73" s="190">
        <f>Q72*'01_Вводные'!$B$14</f>
        <v/>
      </c>
      <c r="S73" s="190">
        <f>R72*'01_Вводные'!$B$14</f>
        <v/>
      </c>
      <c r="T73" s="190">
        <f>S72*'01_Вводные'!$B$14</f>
        <v/>
      </c>
      <c r="U73" s="190">
        <f>T72*'01_Вводные'!$B$14</f>
        <v/>
      </c>
      <c r="V73" s="190">
        <f>U72*'01_Вводные'!$B$14</f>
        <v/>
      </c>
      <c r="W73" s="190">
        <f>V72*'01_Вводные'!$B$14</f>
        <v/>
      </c>
      <c r="X73" s="190">
        <f>W72*'01_Вводные'!$B$14</f>
        <v/>
      </c>
      <c r="Y73" s="190">
        <f>X72*'01_Вводные'!$B$14</f>
        <v/>
      </c>
      <c r="Z73" s="190">
        <f>Y72*'01_Вводные'!$B$14</f>
        <v/>
      </c>
      <c r="AA73" s="190">
        <f>Z72*'01_Вводные'!$B$14</f>
        <v/>
      </c>
      <c r="AB73" s="190">
        <f>AA72*'01_Вводные'!$B$14</f>
        <v/>
      </c>
      <c r="AC73" s="190">
        <f>AB72*'01_Вводные'!$B$14</f>
        <v/>
      </c>
      <c r="AD73" s="190">
        <f>AC72*'01_Вводные'!$B$14</f>
        <v/>
      </c>
      <c r="AE73" s="190">
        <f>AD72*'01_Вводные'!$B$14</f>
        <v/>
      </c>
      <c r="AF73" s="190">
        <f>AE72*'01_Вводные'!$B$14</f>
        <v/>
      </c>
      <c r="AG73" s="190">
        <f>AF72*'01_Вводные'!$B$14</f>
        <v/>
      </c>
      <c r="AH73" s="190">
        <f>AG72*'01_Вводные'!$B$14</f>
        <v/>
      </c>
      <c r="AI73" s="190">
        <f>AH72*'01_Вводные'!$B$14</f>
        <v/>
      </c>
      <c r="AJ73" s="190">
        <f>AI72*'01_Вводные'!$B$14</f>
        <v/>
      </c>
      <c r="AK73" s="190">
        <f>AJ72*'01_Вводные'!$B$14</f>
        <v/>
      </c>
      <c r="AL73" s="190">
        <f>AK72*'01_Вводные'!$B$14</f>
        <v/>
      </c>
      <c r="AM73" s="190">
        <f>AL72*'01_Вводные'!$B$14</f>
        <v/>
      </c>
      <c r="AN73" s="190">
        <f>AM72*'01_Вводные'!$B$14</f>
        <v/>
      </c>
      <c r="AO73" s="190">
        <f>AN72*'01_Вводные'!$B$14</f>
        <v/>
      </c>
      <c r="AP73" s="190">
        <f>AO72*'01_Вводные'!$B$14</f>
        <v/>
      </c>
      <c r="AQ73" s="190">
        <f>AP72*'01_Вводные'!$B$14</f>
        <v/>
      </c>
      <c r="AR73" s="190">
        <f>AQ72*'01_Вводные'!$B$14</f>
        <v/>
      </c>
      <c r="AS73" s="190">
        <f>AR72*'01_Вводные'!$B$14</f>
        <v/>
      </c>
      <c r="AT73" s="190">
        <f>AS72*'01_Вводные'!$B$14</f>
        <v/>
      </c>
      <c r="AU73" s="190">
        <f>AT72*'01_Вводные'!$B$14</f>
        <v/>
      </c>
      <c r="AV73" s="190">
        <f>AU72*'01_Вводные'!$B$14</f>
        <v/>
      </c>
      <c r="AW73" s="190">
        <f>AV72*'01_Вводные'!$B$14</f>
        <v/>
      </c>
      <c r="AX73" s="190">
        <f>AW72*'01_Вводные'!$B$14</f>
        <v/>
      </c>
      <c r="AY73" s="190">
        <f>AX72*'01_Вводные'!$B$14</f>
        <v/>
      </c>
      <c r="AZ73" s="190">
        <f>AY72*'01_Вводные'!$B$14</f>
        <v/>
      </c>
      <c r="BA73" s="190">
        <f>AZ72*'01_Вводные'!$B$14</f>
        <v/>
      </c>
      <c r="BB73" s="190">
        <f>BA72*'01_Вводные'!$B$14</f>
        <v/>
      </c>
      <c r="BC73" s="190">
        <f>BB72*'01_Вводные'!$B$14</f>
        <v/>
      </c>
      <c r="BD73" s="190">
        <f>BC72*'01_Вводные'!$B$14</f>
        <v/>
      </c>
      <c r="BE73" s="190">
        <f>BD72*'01_Вводные'!$B$14</f>
        <v/>
      </c>
      <c r="BF73" s="190">
        <f>BE72*'01_Вводные'!$B$14</f>
        <v/>
      </c>
      <c r="BG73" s="190">
        <f>BF72*'01_Вводные'!$B$14</f>
        <v/>
      </c>
      <c r="BH73" s="190">
        <f>BG72*'01_Вводные'!$B$14</f>
        <v/>
      </c>
      <c r="BI73" s="190">
        <f>BH72*'01_Вводные'!$B$14</f>
        <v/>
      </c>
      <c r="BJ73" s="190">
        <f>BI72*'01_Вводные'!$B$14</f>
        <v/>
      </c>
      <c r="BK73" s="190">
        <f>BJ72*'01_Вводные'!$B$14</f>
        <v/>
      </c>
      <c r="BL73" s="190">
        <f>BK72*'01_Вводные'!$B$14</f>
        <v/>
      </c>
      <c r="BM73" s="190">
        <f>BL72*'01_Вводные'!$B$14</f>
        <v/>
      </c>
      <c r="BN73" s="190">
        <f>BM72*'01_Вводные'!$B$14</f>
        <v/>
      </c>
      <c r="BO73" s="190">
        <f>BN72*'01_Вводные'!$B$14</f>
        <v/>
      </c>
    </row>
    <row r="74" hidden="1" outlineLevel="1">
      <c r="A74" t="inlineStr">
        <is>
          <t>22 мес.</t>
        </is>
      </c>
      <c r="B74" s="189">
        <f>0</f>
        <v/>
      </c>
      <c r="C74" s="190">
        <f>B73*'01_Вводные'!$B$14</f>
        <v/>
      </c>
      <c r="D74" s="190">
        <f>C73*'01_Вводные'!$B$14</f>
        <v/>
      </c>
      <c r="E74" s="190">
        <f>D73*'01_Вводные'!$B$14</f>
        <v/>
      </c>
      <c r="F74" s="190">
        <f>E73*'01_Вводные'!$B$14</f>
        <v/>
      </c>
      <c r="G74" s="190">
        <f>F73*'01_Вводные'!$B$14</f>
        <v/>
      </c>
      <c r="H74" s="190">
        <f>G73*'01_Вводные'!$B$14</f>
        <v/>
      </c>
      <c r="I74" s="190">
        <f>H73*'01_Вводные'!$B$14</f>
        <v/>
      </c>
      <c r="J74" s="190">
        <f>I73*'01_Вводные'!$B$14</f>
        <v/>
      </c>
      <c r="K74" s="190">
        <f>J73*'01_Вводные'!$B$14</f>
        <v/>
      </c>
      <c r="L74" s="190">
        <f>K73*'01_Вводные'!$B$14</f>
        <v/>
      </c>
      <c r="M74" s="190">
        <f>L73*'01_Вводные'!$B$14</f>
        <v/>
      </c>
      <c r="N74" s="190">
        <f>M73*'01_Вводные'!$B$14</f>
        <v/>
      </c>
      <c r="O74" s="190">
        <f>N73*'01_Вводные'!$B$14</f>
        <v/>
      </c>
      <c r="P74" s="190">
        <f>O73*'01_Вводные'!$B$14</f>
        <v/>
      </c>
      <c r="Q74" s="190">
        <f>P73*'01_Вводные'!$B$14</f>
        <v/>
      </c>
      <c r="R74" s="190">
        <f>Q73*'01_Вводные'!$B$14</f>
        <v/>
      </c>
      <c r="S74" s="190">
        <f>R73*'01_Вводные'!$B$14</f>
        <v/>
      </c>
      <c r="T74" s="190">
        <f>S73*'01_Вводные'!$B$14</f>
        <v/>
      </c>
      <c r="U74" s="190">
        <f>T73*'01_Вводные'!$B$14</f>
        <v/>
      </c>
      <c r="V74" s="190">
        <f>U73*'01_Вводные'!$B$14</f>
        <v/>
      </c>
      <c r="W74" s="190">
        <f>V73*'01_Вводные'!$B$14</f>
        <v/>
      </c>
      <c r="X74" s="190">
        <f>W73*'01_Вводные'!$B$14</f>
        <v/>
      </c>
      <c r="Y74" s="190">
        <f>X73*'01_Вводные'!$B$14</f>
        <v/>
      </c>
      <c r="Z74" s="190">
        <f>Y73*'01_Вводные'!$B$14</f>
        <v/>
      </c>
      <c r="AA74" s="190">
        <f>Z73*'01_Вводные'!$B$14</f>
        <v/>
      </c>
      <c r="AB74" s="190">
        <f>AA73*'01_Вводные'!$B$14</f>
        <v/>
      </c>
      <c r="AC74" s="190">
        <f>AB73*'01_Вводные'!$B$14</f>
        <v/>
      </c>
      <c r="AD74" s="190">
        <f>AC73*'01_Вводные'!$B$14</f>
        <v/>
      </c>
      <c r="AE74" s="190">
        <f>AD73*'01_Вводные'!$B$14</f>
        <v/>
      </c>
      <c r="AF74" s="190">
        <f>AE73*'01_Вводные'!$B$14</f>
        <v/>
      </c>
      <c r="AG74" s="190">
        <f>AF73*'01_Вводные'!$B$14</f>
        <v/>
      </c>
      <c r="AH74" s="190">
        <f>AG73*'01_Вводные'!$B$14</f>
        <v/>
      </c>
      <c r="AI74" s="190">
        <f>AH73*'01_Вводные'!$B$14</f>
        <v/>
      </c>
      <c r="AJ74" s="190">
        <f>AI73*'01_Вводные'!$B$14</f>
        <v/>
      </c>
      <c r="AK74" s="190">
        <f>AJ73*'01_Вводные'!$B$14</f>
        <v/>
      </c>
      <c r="AL74" s="190">
        <f>AK73*'01_Вводные'!$B$14</f>
        <v/>
      </c>
      <c r="AM74" s="190">
        <f>AL73*'01_Вводные'!$B$14</f>
        <v/>
      </c>
      <c r="AN74" s="190">
        <f>AM73*'01_Вводные'!$B$14</f>
        <v/>
      </c>
      <c r="AO74" s="190">
        <f>AN73*'01_Вводные'!$B$14</f>
        <v/>
      </c>
      <c r="AP74" s="190">
        <f>AO73*'01_Вводные'!$B$14</f>
        <v/>
      </c>
      <c r="AQ74" s="190">
        <f>AP73*'01_Вводные'!$B$14</f>
        <v/>
      </c>
      <c r="AR74" s="190">
        <f>AQ73*'01_Вводные'!$B$14</f>
        <v/>
      </c>
      <c r="AS74" s="190">
        <f>AR73*'01_Вводные'!$B$14</f>
        <v/>
      </c>
      <c r="AT74" s="190">
        <f>AS73*'01_Вводные'!$B$14</f>
        <v/>
      </c>
      <c r="AU74" s="190">
        <f>AT73*'01_Вводные'!$B$14</f>
        <v/>
      </c>
      <c r="AV74" s="190">
        <f>AU73*'01_Вводные'!$B$14</f>
        <v/>
      </c>
      <c r="AW74" s="190">
        <f>AV73*'01_Вводные'!$B$14</f>
        <v/>
      </c>
      <c r="AX74" s="190">
        <f>AW73*'01_Вводные'!$B$14</f>
        <v/>
      </c>
      <c r="AY74" s="190">
        <f>AX73*'01_Вводные'!$B$14</f>
        <v/>
      </c>
      <c r="AZ74" s="190">
        <f>AY73*'01_Вводные'!$B$14</f>
        <v/>
      </c>
      <c r="BA74" s="190">
        <f>AZ73*'01_Вводные'!$B$14</f>
        <v/>
      </c>
      <c r="BB74" s="190">
        <f>BA73*'01_Вводные'!$B$14</f>
        <v/>
      </c>
      <c r="BC74" s="190">
        <f>BB73*'01_Вводные'!$B$14</f>
        <v/>
      </c>
      <c r="BD74" s="190">
        <f>BC73*'01_Вводные'!$B$14</f>
        <v/>
      </c>
      <c r="BE74" s="190">
        <f>BD73*'01_Вводные'!$B$14</f>
        <v/>
      </c>
      <c r="BF74" s="190">
        <f>BE73*'01_Вводные'!$B$14</f>
        <v/>
      </c>
      <c r="BG74" s="190">
        <f>BF73*'01_Вводные'!$B$14</f>
        <v/>
      </c>
      <c r="BH74" s="190">
        <f>BG73*'01_Вводные'!$B$14</f>
        <v/>
      </c>
      <c r="BI74" s="190">
        <f>BH73*'01_Вводные'!$B$14</f>
        <v/>
      </c>
      <c r="BJ74" s="190">
        <f>BI73*'01_Вводные'!$B$14</f>
        <v/>
      </c>
      <c r="BK74" s="190">
        <f>BJ73*'01_Вводные'!$B$14</f>
        <v/>
      </c>
      <c r="BL74" s="190">
        <f>BK73*'01_Вводные'!$B$14</f>
        <v/>
      </c>
      <c r="BM74" s="190">
        <f>BL73*'01_Вводные'!$B$14</f>
        <v/>
      </c>
      <c r="BN74" s="190">
        <f>BM73*'01_Вводные'!$B$14</f>
        <v/>
      </c>
      <c r="BO74" s="190">
        <f>BN73*'01_Вводные'!$B$14</f>
        <v/>
      </c>
    </row>
    <row r="75" hidden="1" outlineLevel="1">
      <c r="A75" t="inlineStr">
        <is>
          <t>23 мес.</t>
        </is>
      </c>
      <c r="B75" s="189">
        <f>0</f>
        <v/>
      </c>
      <c r="C75" s="190">
        <f>B74*'01_Вводные'!$B$14</f>
        <v/>
      </c>
      <c r="D75" s="190">
        <f>C74*'01_Вводные'!$B$14</f>
        <v/>
      </c>
      <c r="E75" s="190">
        <f>D74*'01_Вводные'!$B$14</f>
        <v/>
      </c>
      <c r="F75" s="190">
        <f>E74*'01_Вводные'!$B$14</f>
        <v/>
      </c>
      <c r="G75" s="190">
        <f>F74*'01_Вводные'!$B$14</f>
        <v/>
      </c>
      <c r="H75" s="190">
        <f>G74*'01_Вводные'!$B$14</f>
        <v/>
      </c>
      <c r="I75" s="190">
        <f>H74*'01_Вводные'!$B$14</f>
        <v/>
      </c>
      <c r="J75" s="190">
        <f>I74*'01_Вводные'!$B$14</f>
        <v/>
      </c>
      <c r="K75" s="190">
        <f>J74*'01_Вводные'!$B$14</f>
        <v/>
      </c>
      <c r="L75" s="190">
        <f>K74*'01_Вводные'!$B$14</f>
        <v/>
      </c>
      <c r="M75" s="190">
        <f>L74*'01_Вводные'!$B$14</f>
        <v/>
      </c>
      <c r="N75" s="190">
        <f>M74*'01_Вводные'!$B$14</f>
        <v/>
      </c>
      <c r="O75" s="190">
        <f>N74*'01_Вводные'!$B$14</f>
        <v/>
      </c>
      <c r="P75" s="190">
        <f>O74*'01_Вводные'!$B$14</f>
        <v/>
      </c>
      <c r="Q75" s="190">
        <f>P74*'01_Вводные'!$B$14</f>
        <v/>
      </c>
      <c r="R75" s="190">
        <f>Q74*'01_Вводные'!$B$14</f>
        <v/>
      </c>
      <c r="S75" s="190">
        <f>R74*'01_Вводные'!$B$14</f>
        <v/>
      </c>
      <c r="T75" s="190">
        <f>S74*'01_Вводные'!$B$14</f>
        <v/>
      </c>
      <c r="U75" s="190">
        <f>T74*'01_Вводные'!$B$14</f>
        <v/>
      </c>
      <c r="V75" s="190">
        <f>U74*'01_Вводные'!$B$14</f>
        <v/>
      </c>
      <c r="W75" s="190">
        <f>V74*'01_Вводные'!$B$14</f>
        <v/>
      </c>
      <c r="X75" s="190">
        <f>W74*'01_Вводные'!$B$14</f>
        <v/>
      </c>
      <c r="Y75" s="190">
        <f>X74*'01_Вводные'!$B$14</f>
        <v/>
      </c>
      <c r="Z75" s="190">
        <f>Y74*'01_Вводные'!$B$14</f>
        <v/>
      </c>
      <c r="AA75" s="190">
        <f>Z74*'01_Вводные'!$B$14</f>
        <v/>
      </c>
      <c r="AB75" s="190">
        <f>AA74*'01_Вводные'!$B$14</f>
        <v/>
      </c>
      <c r="AC75" s="190">
        <f>AB74*'01_Вводные'!$B$14</f>
        <v/>
      </c>
      <c r="AD75" s="190">
        <f>AC74*'01_Вводные'!$B$14</f>
        <v/>
      </c>
      <c r="AE75" s="190">
        <f>AD74*'01_Вводные'!$B$14</f>
        <v/>
      </c>
      <c r="AF75" s="190">
        <f>AE74*'01_Вводные'!$B$14</f>
        <v/>
      </c>
      <c r="AG75" s="190">
        <f>AF74*'01_Вводные'!$B$14</f>
        <v/>
      </c>
      <c r="AH75" s="190">
        <f>AG74*'01_Вводные'!$B$14</f>
        <v/>
      </c>
      <c r="AI75" s="190">
        <f>AH74*'01_Вводные'!$B$14</f>
        <v/>
      </c>
      <c r="AJ75" s="190">
        <f>AI74*'01_Вводные'!$B$14</f>
        <v/>
      </c>
      <c r="AK75" s="190">
        <f>AJ74*'01_Вводные'!$B$14</f>
        <v/>
      </c>
      <c r="AL75" s="190">
        <f>AK74*'01_Вводные'!$B$14</f>
        <v/>
      </c>
      <c r="AM75" s="190">
        <f>AL74*'01_Вводные'!$B$14</f>
        <v/>
      </c>
      <c r="AN75" s="190">
        <f>AM74*'01_Вводные'!$B$14</f>
        <v/>
      </c>
      <c r="AO75" s="190">
        <f>AN74*'01_Вводные'!$B$14</f>
        <v/>
      </c>
      <c r="AP75" s="190">
        <f>AO74*'01_Вводные'!$B$14</f>
        <v/>
      </c>
      <c r="AQ75" s="190">
        <f>AP74*'01_Вводные'!$B$14</f>
        <v/>
      </c>
      <c r="AR75" s="190">
        <f>AQ74*'01_Вводные'!$B$14</f>
        <v/>
      </c>
      <c r="AS75" s="190">
        <f>AR74*'01_Вводные'!$B$14</f>
        <v/>
      </c>
      <c r="AT75" s="190">
        <f>AS74*'01_Вводные'!$B$14</f>
        <v/>
      </c>
      <c r="AU75" s="190">
        <f>AT74*'01_Вводные'!$B$14</f>
        <v/>
      </c>
      <c r="AV75" s="190">
        <f>AU74*'01_Вводные'!$B$14</f>
        <v/>
      </c>
      <c r="AW75" s="190">
        <f>AV74*'01_Вводные'!$B$14</f>
        <v/>
      </c>
      <c r="AX75" s="190">
        <f>AW74*'01_Вводные'!$B$14</f>
        <v/>
      </c>
      <c r="AY75" s="190">
        <f>AX74*'01_Вводные'!$B$14</f>
        <v/>
      </c>
      <c r="AZ75" s="190">
        <f>AY74*'01_Вводные'!$B$14</f>
        <v/>
      </c>
      <c r="BA75" s="190">
        <f>AZ74*'01_Вводные'!$B$14</f>
        <v/>
      </c>
      <c r="BB75" s="190">
        <f>BA74*'01_Вводные'!$B$14</f>
        <v/>
      </c>
      <c r="BC75" s="190">
        <f>BB74*'01_Вводные'!$B$14</f>
        <v/>
      </c>
      <c r="BD75" s="190">
        <f>BC74*'01_Вводные'!$B$14</f>
        <v/>
      </c>
      <c r="BE75" s="190">
        <f>BD74*'01_Вводные'!$B$14</f>
        <v/>
      </c>
      <c r="BF75" s="190">
        <f>BE74*'01_Вводные'!$B$14</f>
        <v/>
      </c>
      <c r="BG75" s="190">
        <f>BF74*'01_Вводные'!$B$14</f>
        <v/>
      </c>
      <c r="BH75" s="190">
        <f>BG74*'01_Вводные'!$B$14</f>
        <v/>
      </c>
      <c r="BI75" s="190">
        <f>BH74*'01_Вводные'!$B$14</f>
        <v/>
      </c>
      <c r="BJ75" s="190">
        <f>BI74*'01_Вводные'!$B$14</f>
        <v/>
      </c>
      <c r="BK75" s="190">
        <f>BJ74*'01_Вводные'!$B$14</f>
        <v/>
      </c>
      <c r="BL75" s="190">
        <f>BK74*'01_Вводные'!$B$14</f>
        <v/>
      </c>
      <c r="BM75" s="190">
        <f>BL74*'01_Вводные'!$B$14</f>
        <v/>
      </c>
      <c r="BN75" s="190">
        <f>BM74*'01_Вводные'!$B$14</f>
        <v/>
      </c>
      <c r="BO75" s="190">
        <f>BN74*'01_Вводные'!$B$14</f>
        <v/>
      </c>
    </row>
    <row r="76" hidden="1" outlineLevel="1">
      <c r="A76" t="inlineStr">
        <is>
          <t>24 мес.</t>
        </is>
      </c>
      <c r="B76" s="189">
        <f>0</f>
        <v/>
      </c>
      <c r="C76" s="190">
        <f>B75*'01_Вводные'!$B$14</f>
        <v/>
      </c>
      <c r="D76" s="190">
        <f>C75*'01_Вводные'!$B$14</f>
        <v/>
      </c>
      <c r="E76" s="190">
        <f>D75*'01_Вводные'!$B$14</f>
        <v/>
      </c>
      <c r="F76" s="190">
        <f>E75*'01_Вводные'!$B$14</f>
        <v/>
      </c>
      <c r="G76" s="190">
        <f>F75*'01_Вводные'!$B$14</f>
        <v/>
      </c>
      <c r="H76" s="190">
        <f>G75*'01_Вводные'!$B$14</f>
        <v/>
      </c>
      <c r="I76" s="190">
        <f>H75*'01_Вводные'!$B$14</f>
        <v/>
      </c>
      <c r="J76" s="190">
        <f>I75*'01_Вводные'!$B$14</f>
        <v/>
      </c>
      <c r="K76" s="190">
        <f>J75*'01_Вводные'!$B$14</f>
        <v/>
      </c>
      <c r="L76" s="190">
        <f>K75*'01_Вводные'!$B$14</f>
        <v/>
      </c>
      <c r="M76" s="190">
        <f>L75*'01_Вводные'!$B$14</f>
        <v/>
      </c>
      <c r="N76" s="190">
        <f>M75*'01_Вводные'!$B$14</f>
        <v/>
      </c>
      <c r="O76" s="190">
        <f>N75*'01_Вводные'!$B$14</f>
        <v/>
      </c>
      <c r="P76" s="190">
        <f>O75*'01_Вводные'!$B$14</f>
        <v/>
      </c>
      <c r="Q76" s="190">
        <f>P75*'01_Вводные'!$B$14</f>
        <v/>
      </c>
      <c r="R76" s="190">
        <f>Q75*'01_Вводные'!$B$14</f>
        <v/>
      </c>
      <c r="S76" s="190">
        <f>R75*'01_Вводные'!$B$14</f>
        <v/>
      </c>
      <c r="T76" s="190">
        <f>S75*'01_Вводные'!$B$14</f>
        <v/>
      </c>
      <c r="U76" s="190">
        <f>T75*'01_Вводные'!$B$14</f>
        <v/>
      </c>
      <c r="V76" s="190">
        <f>U75*'01_Вводные'!$B$14</f>
        <v/>
      </c>
      <c r="W76" s="190">
        <f>V75*'01_Вводные'!$B$14</f>
        <v/>
      </c>
      <c r="X76" s="190">
        <f>W75*'01_Вводные'!$B$14</f>
        <v/>
      </c>
      <c r="Y76" s="190">
        <f>X75*'01_Вводные'!$B$14</f>
        <v/>
      </c>
      <c r="Z76" s="190">
        <f>Y75*'01_Вводные'!$B$14</f>
        <v/>
      </c>
      <c r="AA76" s="190">
        <f>Z75*'01_Вводные'!$B$14</f>
        <v/>
      </c>
      <c r="AB76" s="190">
        <f>AA75*'01_Вводные'!$B$14</f>
        <v/>
      </c>
      <c r="AC76" s="190">
        <f>AB75*'01_Вводные'!$B$14</f>
        <v/>
      </c>
      <c r="AD76" s="190">
        <f>AC75*'01_Вводные'!$B$14</f>
        <v/>
      </c>
      <c r="AE76" s="190">
        <f>AD75*'01_Вводные'!$B$14</f>
        <v/>
      </c>
      <c r="AF76" s="190">
        <f>AE75*'01_Вводные'!$B$14</f>
        <v/>
      </c>
      <c r="AG76" s="190">
        <f>AF75*'01_Вводные'!$B$14</f>
        <v/>
      </c>
      <c r="AH76" s="190">
        <f>AG75*'01_Вводные'!$B$14</f>
        <v/>
      </c>
      <c r="AI76" s="190">
        <f>AH75*'01_Вводные'!$B$14</f>
        <v/>
      </c>
      <c r="AJ76" s="190">
        <f>AI75*'01_Вводные'!$B$14</f>
        <v/>
      </c>
      <c r="AK76" s="190">
        <f>AJ75*'01_Вводные'!$B$14</f>
        <v/>
      </c>
      <c r="AL76" s="190">
        <f>AK75*'01_Вводные'!$B$14</f>
        <v/>
      </c>
      <c r="AM76" s="190">
        <f>AL75*'01_Вводные'!$B$14</f>
        <v/>
      </c>
      <c r="AN76" s="190">
        <f>AM75*'01_Вводные'!$B$14</f>
        <v/>
      </c>
      <c r="AO76" s="190">
        <f>AN75*'01_Вводные'!$B$14</f>
        <v/>
      </c>
      <c r="AP76" s="190">
        <f>AO75*'01_Вводные'!$B$14</f>
        <v/>
      </c>
      <c r="AQ76" s="190">
        <f>AP75*'01_Вводные'!$B$14</f>
        <v/>
      </c>
      <c r="AR76" s="190">
        <f>AQ75*'01_Вводные'!$B$14</f>
        <v/>
      </c>
      <c r="AS76" s="190">
        <f>AR75*'01_Вводные'!$B$14</f>
        <v/>
      </c>
      <c r="AT76" s="190">
        <f>AS75*'01_Вводные'!$B$14</f>
        <v/>
      </c>
      <c r="AU76" s="190">
        <f>AT75*'01_Вводные'!$B$14</f>
        <v/>
      </c>
      <c r="AV76" s="190">
        <f>AU75*'01_Вводные'!$B$14</f>
        <v/>
      </c>
      <c r="AW76" s="190">
        <f>AV75*'01_Вводные'!$B$14</f>
        <v/>
      </c>
      <c r="AX76" s="190">
        <f>AW75*'01_Вводные'!$B$14</f>
        <v/>
      </c>
      <c r="AY76" s="190">
        <f>AX75*'01_Вводные'!$B$14</f>
        <v/>
      </c>
      <c r="AZ76" s="190">
        <f>AY75*'01_Вводные'!$B$14</f>
        <v/>
      </c>
      <c r="BA76" s="190">
        <f>AZ75*'01_Вводные'!$B$14</f>
        <v/>
      </c>
      <c r="BB76" s="190">
        <f>BA75*'01_Вводные'!$B$14</f>
        <v/>
      </c>
      <c r="BC76" s="190">
        <f>BB75*'01_Вводные'!$B$14</f>
        <v/>
      </c>
      <c r="BD76" s="190">
        <f>BC75*'01_Вводные'!$B$14</f>
        <v/>
      </c>
      <c r="BE76" s="190">
        <f>BD75*'01_Вводные'!$B$14</f>
        <v/>
      </c>
      <c r="BF76" s="190">
        <f>BE75*'01_Вводные'!$B$14</f>
        <v/>
      </c>
      <c r="BG76" s="190">
        <f>BF75*'01_Вводные'!$B$14</f>
        <v/>
      </c>
      <c r="BH76" s="190">
        <f>BG75*'01_Вводные'!$B$14</f>
        <v/>
      </c>
      <c r="BI76" s="190">
        <f>BH75*'01_Вводные'!$B$14</f>
        <v/>
      </c>
      <c r="BJ76" s="190">
        <f>BI75*'01_Вводные'!$B$14</f>
        <v/>
      </c>
      <c r="BK76" s="190">
        <f>BJ75*'01_Вводные'!$B$14</f>
        <v/>
      </c>
      <c r="BL76" s="190">
        <f>BK75*'01_Вводные'!$B$14</f>
        <v/>
      </c>
      <c r="BM76" s="190">
        <f>BL75*'01_Вводные'!$B$14</f>
        <v/>
      </c>
      <c r="BN76" s="190">
        <f>BM75*'01_Вводные'!$B$14</f>
        <v/>
      </c>
      <c r="BO76" s="190">
        <f>BN75*'01_Вводные'!$B$14</f>
        <v/>
      </c>
    </row>
    <row r="77" hidden="1" outlineLevel="1">
      <c r="A77" t="inlineStr">
        <is>
          <t>25+ мес.</t>
        </is>
      </c>
      <c r="B77" s="189">
        <f>0</f>
        <v/>
      </c>
      <c r="C77" s="190">
        <f>SUM(B76:B77)*'01_Вводные'!$B$14</f>
        <v/>
      </c>
      <c r="D77" s="190">
        <f>SUM(C76:C77)*'01_Вводные'!$B$14</f>
        <v/>
      </c>
      <c r="E77" s="190">
        <f>SUM(D76:D77)*'01_Вводные'!$B$14</f>
        <v/>
      </c>
      <c r="F77" s="190">
        <f>SUM(E76:E77)*'01_Вводные'!$B$14</f>
        <v/>
      </c>
      <c r="G77" s="190">
        <f>SUM(F76:F77)*'01_Вводные'!$B$14</f>
        <v/>
      </c>
      <c r="H77" s="190">
        <f>SUM(G76:G77)*'01_Вводные'!$B$14</f>
        <v/>
      </c>
      <c r="I77" s="190">
        <f>SUM(H76:H77)*'01_Вводные'!$B$14</f>
        <v/>
      </c>
      <c r="J77" s="190">
        <f>SUM(I76:I77)*'01_Вводные'!$B$14</f>
        <v/>
      </c>
      <c r="K77" s="190">
        <f>SUM(J76:J77)*'01_Вводные'!$B$14</f>
        <v/>
      </c>
      <c r="L77" s="190">
        <f>SUM(K76:K77)*'01_Вводные'!$B$14</f>
        <v/>
      </c>
      <c r="M77" s="190">
        <f>SUM(L76:L77)*'01_Вводные'!$B$14</f>
        <v/>
      </c>
      <c r="N77" s="190">
        <f>SUM(M76:M77)*'01_Вводные'!$B$14</f>
        <v/>
      </c>
      <c r="O77" s="190">
        <f>SUM(N76:N77)*'01_Вводные'!$B$14</f>
        <v/>
      </c>
      <c r="P77" s="190">
        <f>SUM(O76:O77)*'01_Вводные'!$B$14</f>
        <v/>
      </c>
      <c r="Q77" s="190">
        <f>SUM(P76:P77)*'01_Вводные'!$B$14</f>
        <v/>
      </c>
      <c r="R77" s="190">
        <f>SUM(Q76:Q77)*'01_Вводные'!$B$14</f>
        <v/>
      </c>
      <c r="S77" s="190">
        <f>SUM(R76:R77)*'01_Вводные'!$B$14</f>
        <v/>
      </c>
      <c r="T77" s="190">
        <f>SUM(S76:S77)*'01_Вводные'!$B$14</f>
        <v/>
      </c>
      <c r="U77" s="190">
        <f>SUM(T76:T77)*'01_Вводные'!$B$14</f>
        <v/>
      </c>
      <c r="V77" s="190">
        <f>SUM(U76:U77)*'01_Вводные'!$B$14</f>
        <v/>
      </c>
      <c r="W77" s="190">
        <f>SUM(V76:V77)*'01_Вводные'!$B$14</f>
        <v/>
      </c>
      <c r="X77" s="190">
        <f>SUM(W76:W77)*'01_Вводные'!$B$14</f>
        <v/>
      </c>
      <c r="Y77" s="190">
        <f>SUM(X76:X77)*'01_Вводные'!$B$14</f>
        <v/>
      </c>
      <c r="Z77" s="190">
        <f>SUM(Y76:Y77)*'01_Вводные'!$B$14</f>
        <v/>
      </c>
      <c r="AA77" s="190">
        <f>SUM(Z76:Z77)*'01_Вводные'!$B$14</f>
        <v/>
      </c>
      <c r="AB77" s="190">
        <f>SUM(AA76:AA77)*'01_Вводные'!$B$14</f>
        <v/>
      </c>
      <c r="AC77" s="190">
        <f>SUM(AB76:AB77)*'01_Вводные'!$B$14</f>
        <v/>
      </c>
      <c r="AD77" s="190">
        <f>SUM(AC76:AC77)*'01_Вводные'!$B$14</f>
        <v/>
      </c>
      <c r="AE77" s="190">
        <f>SUM(AD76:AD77)*'01_Вводные'!$B$14</f>
        <v/>
      </c>
      <c r="AF77" s="190">
        <f>SUM(AE76:AE77)*'01_Вводные'!$B$14</f>
        <v/>
      </c>
      <c r="AG77" s="190">
        <f>SUM(AF76:AF77)*'01_Вводные'!$B$14</f>
        <v/>
      </c>
      <c r="AH77" s="190">
        <f>SUM(AG76:AG77)*'01_Вводные'!$B$14</f>
        <v/>
      </c>
      <c r="AI77" s="190">
        <f>SUM(AH76:AH77)*'01_Вводные'!$B$14</f>
        <v/>
      </c>
      <c r="AJ77" s="190">
        <f>SUM(AI76:AI77)*'01_Вводные'!$B$14</f>
        <v/>
      </c>
      <c r="AK77" s="190">
        <f>SUM(AJ76:AJ77)*'01_Вводные'!$B$14</f>
        <v/>
      </c>
      <c r="AL77" s="190">
        <f>SUM(AK76:AK77)*'01_Вводные'!$B$14</f>
        <v/>
      </c>
      <c r="AM77" s="190">
        <f>SUM(AL76:AL77)*'01_Вводные'!$B$14</f>
        <v/>
      </c>
      <c r="AN77" s="190">
        <f>SUM(AM76:AM77)*'01_Вводные'!$B$14</f>
        <v/>
      </c>
      <c r="AO77" s="190">
        <f>SUM(AN76:AN77)*'01_Вводные'!$B$14</f>
        <v/>
      </c>
      <c r="AP77" s="190">
        <f>SUM(AO76:AO77)*'01_Вводные'!$B$14</f>
        <v/>
      </c>
      <c r="AQ77" s="190">
        <f>SUM(AP76:AP77)*'01_Вводные'!$B$14</f>
        <v/>
      </c>
      <c r="AR77" s="190">
        <f>SUM(AQ76:AQ77)*'01_Вводные'!$B$14</f>
        <v/>
      </c>
      <c r="AS77" s="190">
        <f>SUM(AR76:AR77)*'01_Вводные'!$B$14</f>
        <v/>
      </c>
      <c r="AT77" s="190">
        <f>SUM(AS76:AS77)*'01_Вводные'!$B$14</f>
        <v/>
      </c>
      <c r="AU77" s="190">
        <f>SUM(AT76:AT77)*'01_Вводные'!$B$14</f>
        <v/>
      </c>
      <c r="AV77" s="190">
        <f>SUM(AU76:AU77)*'01_Вводные'!$B$14</f>
        <v/>
      </c>
      <c r="AW77" s="190">
        <f>SUM(AV76:AV77)*'01_Вводные'!$B$14</f>
        <v/>
      </c>
      <c r="AX77" s="190">
        <f>SUM(AW76:AW77)*'01_Вводные'!$B$14</f>
        <v/>
      </c>
      <c r="AY77" s="190">
        <f>SUM(AX76:AX77)*'01_Вводные'!$B$14</f>
        <v/>
      </c>
      <c r="AZ77" s="190">
        <f>SUM(AY76:AY77)*'01_Вводные'!$B$14</f>
        <v/>
      </c>
      <c r="BA77" s="190">
        <f>SUM(AZ76:AZ77)*'01_Вводные'!$B$14</f>
        <v/>
      </c>
      <c r="BB77" s="190">
        <f>SUM(BA76:BA77)*'01_Вводные'!$B$14</f>
        <v/>
      </c>
      <c r="BC77" s="190">
        <f>SUM(BB76:BB77)*'01_Вводные'!$B$14</f>
        <v/>
      </c>
      <c r="BD77" s="190">
        <f>SUM(BC76:BC77)*'01_Вводные'!$B$14</f>
        <v/>
      </c>
      <c r="BE77" s="190">
        <f>SUM(BD76:BD77)*'01_Вводные'!$B$14</f>
        <v/>
      </c>
      <c r="BF77" s="190">
        <f>SUM(BE76:BE77)*'01_Вводные'!$B$14</f>
        <v/>
      </c>
      <c r="BG77" s="190">
        <f>SUM(BF76:BF77)*'01_Вводные'!$B$14</f>
        <v/>
      </c>
      <c r="BH77" s="190">
        <f>SUM(BG76:BG77)*'01_Вводные'!$B$14</f>
        <v/>
      </c>
      <c r="BI77" s="190">
        <f>SUM(BH76:BH77)*'01_Вводные'!$B$14</f>
        <v/>
      </c>
      <c r="BJ77" s="190">
        <f>SUM(BI76:BI77)*'01_Вводные'!$B$14</f>
        <v/>
      </c>
      <c r="BK77" s="190">
        <f>SUM(BJ76:BJ77)*'01_Вводные'!$B$14</f>
        <v/>
      </c>
      <c r="BL77" s="190">
        <f>SUM(BK76:BK77)*'01_Вводные'!$B$14</f>
        <v/>
      </c>
      <c r="BM77" s="190">
        <f>SUM(BL76:BL77)*'01_Вводные'!$B$14</f>
        <v/>
      </c>
      <c r="BN77" s="190">
        <f>SUM(BM76:BM77)*'01_Вводные'!$B$14</f>
        <v/>
      </c>
      <c r="BO77" s="190">
        <f>SUM(BN76:BN77)*'01_Вводные'!$B$14</f>
        <v/>
      </c>
    </row>
    <row r="78" hidden="1" outlineLevel="1">
      <c r="B78" s="96" t="n"/>
      <c r="C78" s="96" t="n"/>
      <c r="D78" s="96" t="n"/>
      <c r="E78" s="96" t="n"/>
      <c r="F78" s="96" t="n"/>
      <c r="G78" s="96" t="n"/>
      <c r="H78" s="96" t="n"/>
      <c r="I78" s="96" t="n"/>
      <c r="J78" s="96" t="n"/>
      <c r="K78" s="96" t="n"/>
      <c r="L78" s="96" t="n"/>
      <c r="M78" s="96" t="n"/>
      <c r="N78" s="96" t="n"/>
      <c r="O78" s="96" t="n"/>
      <c r="P78" s="96" t="n"/>
      <c r="Q78" s="96" t="n"/>
      <c r="R78" s="96" t="n"/>
      <c r="S78" s="96" t="n"/>
      <c r="T78" s="96" t="n"/>
      <c r="U78" s="96" t="n"/>
      <c r="V78" s="96" t="n"/>
      <c r="W78" s="96" t="n"/>
      <c r="X78" s="96" t="n"/>
      <c r="Y78" s="96" t="n"/>
      <c r="Z78" s="96" t="n"/>
      <c r="AA78" s="96" t="n"/>
      <c r="AB78" s="96" t="n"/>
      <c r="AC78" s="96" t="n"/>
      <c r="AD78" s="96" t="n"/>
      <c r="AE78" s="96" t="n"/>
      <c r="AF78" s="96" t="n"/>
      <c r="AG78" s="96" t="n"/>
      <c r="AH78" s="96" t="n"/>
      <c r="AI78" s="96" t="n"/>
      <c r="AJ78" s="96" t="n"/>
      <c r="AK78" s="96" t="n"/>
      <c r="AL78" s="96" t="n"/>
      <c r="AM78" s="96" t="n"/>
      <c r="AN78" s="96" t="n"/>
      <c r="AO78" s="96" t="n"/>
      <c r="AP78" s="96" t="n"/>
      <c r="AQ78" s="96" t="n"/>
      <c r="AR78" s="96" t="n"/>
      <c r="AS78" s="96" t="n"/>
      <c r="AT78" s="96" t="n"/>
      <c r="AU78" s="96" t="n"/>
      <c r="AV78" s="96" t="n"/>
      <c r="AW78" s="96" t="n"/>
      <c r="AX78" s="96" t="n"/>
      <c r="AY78" s="96" t="n"/>
      <c r="AZ78" s="96" t="n"/>
      <c r="BA78" s="96" t="n"/>
      <c r="BB78" s="96" t="n"/>
      <c r="BC78" s="96" t="n"/>
      <c r="BD78" s="96" t="n"/>
      <c r="BE78" s="96" t="n"/>
      <c r="BF78" s="96" t="n"/>
      <c r="BG78" s="96" t="n"/>
      <c r="BH78" s="96" t="n"/>
      <c r="BI78" s="96" t="n"/>
      <c r="BJ78" s="96" t="n"/>
      <c r="BK78" s="96" t="n"/>
      <c r="BL78" s="96" t="n"/>
      <c r="BM78" s="96" t="n"/>
      <c r="BN78" s="96" t="n"/>
      <c r="BO78" s="96" t="n"/>
    </row>
    <row r="79" hidden="1" outlineLevel="1">
      <c r="B79" s="96" t="n"/>
      <c r="C79" s="96" t="n"/>
      <c r="D79" s="96" t="n"/>
      <c r="E79" s="96" t="n"/>
      <c r="F79" s="96" t="n"/>
      <c r="G79" s="96" t="n"/>
      <c r="H79" s="96" t="n"/>
      <c r="I79" s="96" t="n"/>
      <c r="J79" s="96" t="n"/>
      <c r="K79" s="96" t="n"/>
      <c r="L79" s="96" t="n"/>
      <c r="M79" s="96" t="n"/>
      <c r="N79" s="96" t="n"/>
      <c r="O79" s="96" t="n"/>
      <c r="P79" s="96" t="n"/>
      <c r="Q79" s="96" t="n"/>
      <c r="R79" s="96" t="n"/>
      <c r="S79" s="96" t="n"/>
      <c r="T79" s="96" t="n"/>
      <c r="U79" s="96" t="n"/>
      <c r="V79" s="96" t="n"/>
      <c r="W79" s="96" t="n"/>
      <c r="X79" s="96" t="n"/>
      <c r="Y79" s="96" t="n"/>
      <c r="Z79" s="96" t="n"/>
      <c r="AA79" s="96" t="n"/>
      <c r="AB79" s="96" t="n"/>
      <c r="AC79" s="96" t="n"/>
      <c r="AD79" s="96" t="n"/>
      <c r="AE79" s="96" t="n"/>
      <c r="AF79" s="96" t="n"/>
      <c r="AG79" s="96" t="n"/>
      <c r="AH79" s="96" t="n"/>
      <c r="AI79" s="96" t="n"/>
      <c r="AJ79" s="96" t="n"/>
      <c r="AK79" s="96" t="n"/>
      <c r="AL79" s="96" t="n"/>
      <c r="AM79" s="96" t="n"/>
      <c r="AN79" s="96" t="n"/>
      <c r="AO79" s="96" t="n"/>
      <c r="AP79" s="96" t="n"/>
      <c r="AQ79" s="96" t="n"/>
      <c r="AR79" s="96" t="n"/>
      <c r="AS79" s="96" t="n"/>
      <c r="AT79" s="96" t="n"/>
      <c r="AU79" s="96" t="n"/>
      <c r="AV79" s="96" t="n"/>
      <c r="AW79" s="96" t="n"/>
      <c r="AX79" s="96" t="n"/>
      <c r="AY79" s="96" t="n"/>
      <c r="AZ79" s="96" t="n"/>
      <c r="BA79" s="96" t="n"/>
      <c r="BB79" s="96" t="n"/>
      <c r="BC79" s="96" t="n"/>
      <c r="BD79" s="96" t="n"/>
      <c r="BE79" s="96" t="n"/>
      <c r="BF79" s="96" t="n"/>
      <c r="BG79" s="96" t="n"/>
      <c r="BH79" s="96" t="n"/>
      <c r="BI79" s="96" t="n"/>
      <c r="BJ79" s="96" t="n"/>
      <c r="BK79" s="96" t="n"/>
      <c r="BL79" s="96" t="n"/>
      <c r="BM79" s="96" t="n"/>
      <c r="BN79" s="96" t="n"/>
      <c r="BO79" s="96" t="n"/>
    </row>
    <row r="80" hidden="1" outlineLevel="1" ht="28" customHeight="1">
      <c r="A80" s="181" t="inlineStr">
        <is>
          <t>Из них: договоры по старой ставке</t>
        </is>
      </c>
      <c r="I80" s="96" t="n"/>
      <c r="J80" s="96" t="n"/>
      <c r="K80" s="96" t="n"/>
      <c r="L80" s="96" t="n"/>
      <c r="M80" s="96" t="n"/>
      <c r="N80" s="96" t="n"/>
      <c r="O80" s="96" t="n"/>
      <c r="P80" s="96" t="n"/>
      <c r="Q80" s="96" t="n"/>
      <c r="R80" s="96" t="n"/>
      <c r="S80" s="96" t="n"/>
      <c r="T80" s="96" t="n"/>
      <c r="U80" s="96" t="n"/>
      <c r="V80" s="96" t="n"/>
      <c r="W80" s="96" t="n"/>
      <c r="X80" s="96" t="n"/>
      <c r="Y80" s="96" t="n"/>
      <c r="Z80" s="96" t="n"/>
      <c r="AA80" s="96" t="n"/>
      <c r="AB80" s="96" t="n"/>
      <c r="AC80" s="96" t="n"/>
      <c r="AD80" s="96" t="n"/>
      <c r="AE80" s="96" t="n"/>
      <c r="AF80" s="96" t="n"/>
      <c r="AG80" s="96" t="n"/>
      <c r="AH80" s="96" t="n"/>
      <c r="AI80" s="96" t="n"/>
      <c r="AJ80" s="96" t="n"/>
      <c r="AK80" s="96" t="n"/>
      <c r="AL80" s="96" t="n"/>
      <c r="AM80" s="96" t="n"/>
      <c r="AN80" s="96" t="n"/>
      <c r="AO80" s="96" t="n"/>
      <c r="AP80" s="96" t="n"/>
      <c r="AQ80" s="96" t="n"/>
      <c r="AR80" s="96" t="n"/>
      <c r="AS80" s="96" t="n"/>
      <c r="AT80" s="96" t="n"/>
      <c r="AU80" s="96" t="n"/>
      <c r="AV80" s="96" t="n"/>
      <c r="AW80" s="96" t="n"/>
      <c r="AX80" s="96" t="n"/>
      <c r="AY80" s="96" t="n"/>
      <c r="AZ80" s="96" t="n"/>
      <c r="BA80" s="96" t="n"/>
      <c r="BB80" s="96" t="n"/>
      <c r="BC80" s="96" t="n"/>
      <c r="BD80" s="96" t="n"/>
      <c r="BE80" s="96" t="n"/>
      <c r="BF80" s="96" t="n"/>
      <c r="BG80" s="96" t="n"/>
      <c r="BH80" s="96" t="n"/>
      <c r="BI80" s="96" t="n"/>
      <c r="BJ80" s="96" t="n"/>
      <c r="BK80" s="96" t="n"/>
      <c r="BL80" s="96" t="n"/>
      <c r="BM80" s="96" t="n"/>
      <c r="BN80" s="96" t="n"/>
      <c r="BO80" s="96" t="n"/>
    </row>
    <row r="81" hidden="1" outlineLevel="1">
      <c r="A81" t="inlineStr">
        <is>
          <t>1 мес.</t>
        </is>
      </c>
      <c r="B81" s="189">
        <f>B33</f>
        <v/>
      </c>
      <c r="C81" s="189">
        <f>C33</f>
        <v/>
      </c>
      <c r="D81" s="189">
        <f>D33</f>
        <v/>
      </c>
      <c r="E81" s="189">
        <f>E33</f>
        <v/>
      </c>
      <c r="F81" s="189">
        <f>F33</f>
        <v/>
      </c>
      <c r="G81" s="189">
        <f>G33</f>
        <v/>
      </c>
      <c r="H81" s="189">
        <f>H33</f>
        <v/>
      </c>
      <c r="I81" s="189">
        <f>I33</f>
        <v/>
      </c>
      <c r="J81" s="189">
        <f>J33</f>
        <v/>
      </c>
      <c r="K81" s="189">
        <f>K33</f>
        <v/>
      </c>
      <c r="L81" s="189">
        <f>L33</f>
        <v/>
      </c>
      <c r="M81" s="189">
        <f>M33</f>
        <v/>
      </c>
      <c r="N81" s="189">
        <f>N33</f>
        <v/>
      </c>
      <c r="O81" s="189">
        <f>O33</f>
        <v/>
      </c>
      <c r="P81" s="189">
        <f>P33</f>
        <v/>
      </c>
      <c r="Q81" s="189">
        <f>Q33</f>
        <v/>
      </c>
      <c r="R81" s="189">
        <f>R33</f>
        <v/>
      </c>
      <c r="S81" s="189">
        <f>S33</f>
        <v/>
      </c>
      <c r="T81" s="189">
        <f>T33</f>
        <v/>
      </c>
      <c r="U81" s="189">
        <f>U33</f>
        <v/>
      </c>
      <c r="V81" s="189">
        <f>V33</f>
        <v/>
      </c>
      <c r="W81" s="189">
        <f>W33</f>
        <v/>
      </c>
      <c r="X81" s="189">
        <f>X33</f>
        <v/>
      </c>
      <c r="Y81" s="189">
        <f>Y33</f>
        <v/>
      </c>
      <c r="Z81" s="189">
        <f>Z33</f>
        <v/>
      </c>
      <c r="AA81" s="189">
        <f>AA33</f>
        <v/>
      </c>
      <c r="AB81" s="189">
        <f>AB33</f>
        <v/>
      </c>
      <c r="AC81" s="189">
        <f>AC33</f>
        <v/>
      </c>
      <c r="AD81" s="189">
        <f>AD33</f>
        <v/>
      </c>
      <c r="AE81" s="189">
        <f>AE33</f>
        <v/>
      </c>
      <c r="AF81" s="189">
        <f>AF33</f>
        <v/>
      </c>
      <c r="AG81" s="189">
        <f>AG33</f>
        <v/>
      </c>
      <c r="AH81" s="189">
        <f>AH33</f>
        <v/>
      </c>
      <c r="AI81" s="189">
        <f>AI33</f>
        <v/>
      </c>
      <c r="AJ81" s="189">
        <f>AJ33</f>
        <v/>
      </c>
      <c r="AK81" s="189">
        <f>AK33</f>
        <v/>
      </c>
      <c r="AL81" s="189">
        <f>AL33</f>
        <v/>
      </c>
      <c r="AM81" s="189">
        <f>AM33</f>
        <v/>
      </c>
      <c r="AN81" s="189">
        <f>AN33</f>
        <v/>
      </c>
      <c r="AO81" s="189">
        <f>AO33</f>
        <v/>
      </c>
      <c r="AP81" s="189">
        <f>AP33</f>
        <v/>
      </c>
      <c r="AQ81" s="189">
        <f>AQ33</f>
        <v/>
      </c>
      <c r="AR81" s="189">
        <f>AR33</f>
        <v/>
      </c>
      <c r="AS81" s="189">
        <f>AS33</f>
        <v/>
      </c>
      <c r="AT81" s="189">
        <f>AT33</f>
        <v/>
      </c>
      <c r="AU81" s="189">
        <f>AU33</f>
        <v/>
      </c>
      <c r="AV81" s="189">
        <f>AV33</f>
        <v/>
      </c>
      <c r="AW81" s="189">
        <f>AW33</f>
        <v/>
      </c>
      <c r="AX81" s="189">
        <f>AX33</f>
        <v/>
      </c>
      <c r="AY81" s="189">
        <f>AY33</f>
        <v/>
      </c>
      <c r="AZ81" s="189">
        <f>AZ33</f>
        <v/>
      </c>
      <c r="BA81" s="189">
        <f>BA33</f>
        <v/>
      </c>
      <c r="BB81" s="189">
        <f>BB33</f>
        <v/>
      </c>
      <c r="BC81" s="189">
        <f>BC33</f>
        <v/>
      </c>
      <c r="BD81" s="189">
        <f>BD33</f>
        <v/>
      </c>
      <c r="BE81" s="189">
        <f>BE33</f>
        <v/>
      </c>
      <c r="BF81" s="189">
        <f>BF33</f>
        <v/>
      </c>
      <c r="BG81" s="189">
        <f>BG33</f>
        <v/>
      </c>
      <c r="BH81" s="189">
        <f>BH33</f>
        <v/>
      </c>
      <c r="BI81" s="189">
        <f>BI33</f>
        <v/>
      </c>
      <c r="BJ81" s="189">
        <f>BJ33</f>
        <v/>
      </c>
      <c r="BK81" s="189">
        <f>BK33</f>
        <v/>
      </c>
      <c r="BL81" s="189">
        <f>BL33</f>
        <v/>
      </c>
      <c r="BM81" s="189">
        <f>BM33</f>
        <v/>
      </c>
      <c r="BN81" s="189">
        <f>BN33</f>
        <v/>
      </c>
      <c r="BO81" s="189">
        <f>BO33</f>
        <v/>
      </c>
    </row>
    <row r="82" hidden="1" outlineLevel="1">
      <c r="A82" t="inlineStr">
        <is>
          <t>2 мес.</t>
        </is>
      </c>
      <c r="B82" s="189">
        <f>0</f>
        <v/>
      </c>
      <c r="C82" s="190">
        <f>B81*'01_Вводные'!$B$14</f>
        <v/>
      </c>
      <c r="D82" s="190">
        <f>C81*'01_Вводные'!$B$14</f>
        <v/>
      </c>
      <c r="E82" s="190">
        <f>D81*'01_Вводные'!$B$14</f>
        <v/>
      </c>
      <c r="F82" s="190">
        <f>E81*'01_Вводные'!$B$14</f>
        <v/>
      </c>
      <c r="G82" s="190">
        <f>F81*'01_Вводные'!$B$14</f>
        <v/>
      </c>
      <c r="H82" s="190">
        <f>G81*'01_Вводные'!$B$14</f>
        <v/>
      </c>
      <c r="I82" s="190">
        <f>H81*'01_Вводные'!$B$14</f>
        <v/>
      </c>
      <c r="J82" s="190">
        <f>I81*'01_Вводные'!$B$14</f>
        <v/>
      </c>
      <c r="K82" s="190">
        <f>J81*'01_Вводные'!$B$14</f>
        <v/>
      </c>
      <c r="L82" s="190">
        <f>K81*'01_Вводные'!$B$14</f>
        <v/>
      </c>
      <c r="M82" s="190">
        <f>L81*'01_Вводные'!$B$14</f>
        <v/>
      </c>
      <c r="N82" s="190">
        <f>M81*'01_Вводные'!$B$14</f>
        <v/>
      </c>
      <c r="O82" s="190">
        <f>N81*'01_Вводные'!$B$14</f>
        <v/>
      </c>
      <c r="P82" s="190">
        <f>O81*'01_Вводные'!$B$14</f>
        <v/>
      </c>
      <c r="Q82" s="190">
        <f>P81*'01_Вводные'!$B$14</f>
        <v/>
      </c>
      <c r="R82" s="190">
        <f>Q81*'01_Вводные'!$B$14</f>
        <v/>
      </c>
      <c r="S82" s="190">
        <f>R81*'01_Вводные'!$B$14</f>
        <v/>
      </c>
      <c r="T82" s="190">
        <f>S81*'01_Вводные'!$B$14</f>
        <v/>
      </c>
      <c r="U82" s="190">
        <f>T81*'01_Вводные'!$B$14</f>
        <v/>
      </c>
      <c r="V82" s="190">
        <f>U81*'01_Вводные'!$B$14</f>
        <v/>
      </c>
      <c r="W82" s="190">
        <f>V81*'01_Вводные'!$B$14</f>
        <v/>
      </c>
      <c r="X82" s="190">
        <f>W81*'01_Вводные'!$B$14</f>
        <v/>
      </c>
      <c r="Y82" s="190">
        <f>X81*'01_Вводные'!$B$14</f>
        <v/>
      </c>
      <c r="Z82" s="190">
        <f>Y81*'01_Вводные'!$B$14</f>
        <v/>
      </c>
      <c r="AA82" s="190">
        <f>Z81*'01_Вводные'!$B$14</f>
        <v/>
      </c>
      <c r="AB82" s="190">
        <f>AA81*'01_Вводные'!$B$14</f>
        <v/>
      </c>
      <c r="AC82" s="190">
        <f>AB81*'01_Вводные'!$B$14</f>
        <v/>
      </c>
      <c r="AD82" s="190">
        <f>AC81*'01_Вводные'!$B$14</f>
        <v/>
      </c>
      <c r="AE82" s="190">
        <f>AD81*'01_Вводные'!$B$14</f>
        <v/>
      </c>
      <c r="AF82" s="190">
        <f>AE81*'01_Вводные'!$B$14</f>
        <v/>
      </c>
      <c r="AG82" s="190">
        <f>AF81*'01_Вводные'!$B$14</f>
        <v/>
      </c>
      <c r="AH82" s="190">
        <f>AG81*'01_Вводные'!$B$14</f>
        <v/>
      </c>
      <c r="AI82" s="190">
        <f>AH81*'01_Вводные'!$B$14</f>
        <v/>
      </c>
      <c r="AJ82" s="190">
        <f>AI81*'01_Вводные'!$B$14</f>
        <v/>
      </c>
      <c r="AK82" s="190">
        <f>AJ81*'01_Вводные'!$B$14</f>
        <v/>
      </c>
      <c r="AL82" s="190">
        <f>AK81*'01_Вводные'!$B$14</f>
        <v/>
      </c>
      <c r="AM82" s="190">
        <f>AL81*'01_Вводные'!$B$14</f>
        <v/>
      </c>
      <c r="AN82" s="190">
        <f>AM81*'01_Вводные'!$B$14</f>
        <v/>
      </c>
      <c r="AO82" s="190">
        <f>AN81*'01_Вводные'!$B$14</f>
        <v/>
      </c>
      <c r="AP82" s="190">
        <f>AO81*'01_Вводные'!$B$14</f>
        <v/>
      </c>
      <c r="AQ82" s="190">
        <f>AP81*'01_Вводные'!$B$14</f>
        <v/>
      </c>
      <c r="AR82" s="190">
        <f>AQ81*'01_Вводные'!$B$14</f>
        <v/>
      </c>
      <c r="AS82" s="190">
        <f>AR81*'01_Вводные'!$B$14</f>
        <v/>
      </c>
      <c r="AT82" s="190">
        <f>AS81*'01_Вводные'!$B$14</f>
        <v/>
      </c>
      <c r="AU82" s="190">
        <f>AT81*'01_Вводные'!$B$14</f>
        <v/>
      </c>
      <c r="AV82" s="190">
        <f>AU81*'01_Вводные'!$B$14</f>
        <v/>
      </c>
      <c r="AW82" s="190">
        <f>AV81*'01_Вводные'!$B$14</f>
        <v/>
      </c>
      <c r="AX82" s="190">
        <f>AW81*'01_Вводные'!$B$14</f>
        <v/>
      </c>
      <c r="AY82" s="190">
        <f>AX81*'01_Вводные'!$B$14</f>
        <v/>
      </c>
      <c r="AZ82" s="190">
        <f>AY81*'01_Вводные'!$B$14</f>
        <v/>
      </c>
      <c r="BA82" s="190">
        <f>AZ81*'01_Вводные'!$B$14</f>
        <v/>
      </c>
      <c r="BB82" s="190">
        <f>BA81*'01_Вводные'!$B$14</f>
        <v/>
      </c>
      <c r="BC82" s="190">
        <f>BB81*'01_Вводные'!$B$14</f>
        <v/>
      </c>
      <c r="BD82" s="190">
        <f>BC81*'01_Вводные'!$B$14</f>
        <v/>
      </c>
      <c r="BE82" s="190">
        <f>BD81*'01_Вводные'!$B$14</f>
        <v/>
      </c>
      <c r="BF82" s="190">
        <f>BE81*'01_Вводные'!$B$14</f>
        <v/>
      </c>
      <c r="BG82" s="190">
        <f>BF81*'01_Вводные'!$B$14</f>
        <v/>
      </c>
      <c r="BH82" s="190">
        <f>BG81*'01_Вводные'!$B$14</f>
        <v/>
      </c>
      <c r="BI82" s="190">
        <f>BH81*'01_Вводные'!$B$14</f>
        <v/>
      </c>
      <c r="BJ82" s="190">
        <f>BI81*'01_Вводные'!$B$14</f>
        <v/>
      </c>
      <c r="BK82" s="190">
        <f>BJ81*'01_Вводные'!$B$14</f>
        <v/>
      </c>
      <c r="BL82" s="190">
        <f>BK81*'01_Вводные'!$B$14</f>
        <v/>
      </c>
      <c r="BM82" s="190">
        <f>BL81*'01_Вводные'!$B$14</f>
        <v/>
      </c>
      <c r="BN82" s="190">
        <f>BM81*'01_Вводные'!$B$14</f>
        <v/>
      </c>
      <c r="BO82" s="190">
        <f>BN81*'01_Вводные'!$B$14</f>
        <v/>
      </c>
    </row>
    <row r="83" hidden="1" outlineLevel="1">
      <c r="A83" t="inlineStr">
        <is>
          <t>3 мес.</t>
        </is>
      </c>
      <c r="B83" s="189">
        <f>0</f>
        <v/>
      </c>
      <c r="C83" s="190">
        <f>B82*'01_Вводные'!$B$14</f>
        <v/>
      </c>
      <c r="D83" s="190">
        <f>C82*'01_Вводные'!$B$14</f>
        <v/>
      </c>
      <c r="E83" s="190">
        <f>D82*'01_Вводные'!$B$14</f>
        <v/>
      </c>
      <c r="F83" s="190">
        <f>E82*'01_Вводные'!$B$14</f>
        <v/>
      </c>
      <c r="G83" s="190">
        <f>F82*'01_Вводные'!$B$14</f>
        <v/>
      </c>
      <c r="H83" s="190">
        <f>G82*'01_Вводные'!$B$14</f>
        <v/>
      </c>
      <c r="I83" s="190">
        <f>H82*'01_Вводные'!$B$14</f>
        <v/>
      </c>
      <c r="J83" s="190">
        <f>I82*'01_Вводные'!$B$14</f>
        <v/>
      </c>
      <c r="K83" s="190">
        <f>J82*'01_Вводные'!$B$14</f>
        <v/>
      </c>
      <c r="L83" s="190">
        <f>K82*'01_Вводные'!$B$14</f>
        <v/>
      </c>
      <c r="M83" s="190">
        <f>L82*'01_Вводные'!$B$14</f>
        <v/>
      </c>
      <c r="N83" s="190">
        <f>M82*'01_Вводные'!$B$14</f>
        <v/>
      </c>
      <c r="O83" s="190">
        <f>N82*'01_Вводные'!$B$14</f>
        <v/>
      </c>
      <c r="P83" s="190">
        <f>O82*'01_Вводные'!$B$14</f>
        <v/>
      </c>
      <c r="Q83" s="190">
        <f>P82*'01_Вводные'!$B$14</f>
        <v/>
      </c>
      <c r="R83" s="190">
        <f>Q82*'01_Вводные'!$B$14</f>
        <v/>
      </c>
      <c r="S83" s="190">
        <f>R82*'01_Вводные'!$B$14</f>
        <v/>
      </c>
      <c r="T83" s="190">
        <f>S82*'01_Вводные'!$B$14</f>
        <v/>
      </c>
      <c r="U83" s="190">
        <f>T82*'01_Вводные'!$B$14</f>
        <v/>
      </c>
      <c r="V83" s="190">
        <f>U82*'01_Вводные'!$B$14</f>
        <v/>
      </c>
      <c r="W83" s="190">
        <f>V82*'01_Вводные'!$B$14</f>
        <v/>
      </c>
      <c r="X83" s="190">
        <f>W82*'01_Вводные'!$B$14</f>
        <v/>
      </c>
      <c r="Y83" s="190">
        <f>X82*'01_Вводные'!$B$14</f>
        <v/>
      </c>
      <c r="Z83" s="190">
        <f>Y82*'01_Вводные'!$B$14</f>
        <v/>
      </c>
      <c r="AA83" s="190">
        <f>Z82*'01_Вводные'!$B$14</f>
        <v/>
      </c>
      <c r="AB83" s="190">
        <f>AA82*'01_Вводные'!$B$14</f>
        <v/>
      </c>
      <c r="AC83" s="190">
        <f>AB82*'01_Вводные'!$B$14</f>
        <v/>
      </c>
      <c r="AD83" s="190">
        <f>AC82*'01_Вводные'!$B$14</f>
        <v/>
      </c>
      <c r="AE83" s="190">
        <f>AD82*'01_Вводные'!$B$14</f>
        <v/>
      </c>
      <c r="AF83" s="190">
        <f>AE82*'01_Вводные'!$B$14</f>
        <v/>
      </c>
      <c r="AG83" s="190">
        <f>AF82*'01_Вводные'!$B$14</f>
        <v/>
      </c>
      <c r="AH83" s="190">
        <f>AG82*'01_Вводные'!$B$14</f>
        <v/>
      </c>
      <c r="AI83" s="190">
        <f>AH82*'01_Вводные'!$B$14</f>
        <v/>
      </c>
      <c r="AJ83" s="190">
        <f>AI82*'01_Вводные'!$B$14</f>
        <v/>
      </c>
      <c r="AK83" s="190">
        <f>AJ82*'01_Вводные'!$B$14</f>
        <v/>
      </c>
      <c r="AL83" s="190">
        <f>AK82*'01_Вводные'!$B$14</f>
        <v/>
      </c>
      <c r="AM83" s="190">
        <f>AL82*'01_Вводные'!$B$14</f>
        <v/>
      </c>
      <c r="AN83" s="190">
        <f>AM82*'01_Вводные'!$B$14</f>
        <v/>
      </c>
      <c r="AO83" s="190">
        <f>AN82*'01_Вводные'!$B$14</f>
        <v/>
      </c>
      <c r="AP83" s="190">
        <f>AO82*'01_Вводные'!$B$14</f>
        <v/>
      </c>
      <c r="AQ83" s="190">
        <f>AP82*'01_Вводные'!$B$14</f>
        <v/>
      </c>
      <c r="AR83" s="190">
        <f>AQ82*'01_Вводные'!$B$14</f>
        <v/>
      </c>
      <c r="AS83" s="190">
        <f>AR82*'01_Вводные'!$B$14</f>
        <v/>
      </c>
      <c r="AT83" s="190">
        <f>AS82*'01_Вводные'!$B$14</f>
        <v/>
      </c>
      <c r="AU83" s="190">
        <f>AT82*'01_Вводные'!$B$14</f>
        <v/>
      </c>
      <c r="AV83" s="190">
        <f>AU82*'01_Вводные'!$B$14</f>
        <v/>
      </c>
      <c r="AW83" s="190">
        <f>AV82*'01_Вводные'!$B$14</f>
        <v/>
      </c>
      <c r="AX83" s="190">
        <f>AW82*'01_Вводные'!$B$14</f>
        <v/>
      </c>
      <c r="AY83" s="190">
        <f>AX82*'01_Вводные'!$B$14</f>
        <v/>
      </c>
      <c r="AZ83" s="190">
        <f>AY82*'01_Вводные'!$B$14</f>
        <v/>
      </c>
      <c r="BA83" s="190">
        <f>AZ82*'01_Вводные'!$B$14</f>
        <v/>
      </c>
      <c r="BB83" s="190">
        <f>BA82*'01_Вводные'!$B$14</f>
        <v/>
      </c>
      <c r="BC83" s="190">
        <f>BB82*'01_Вводные'!$B$14</f>
        <v/>
      </c>
      <c r="BD83" s="190">
        <f>BC82*'01_Вводные'!$B$14</f>
        <v/>
      </c>
      <c r="BE83" s="190">
        <f>BD82*'01_Вводные'!$B$14</f>
        <v/>
      </c>
      <c r="BF83" s="190">
        <f>BE82*'01_Вводные'!$B$14</f>
        <v/>
      </c>
      <c r="BG83" s="190">
        <f>BF82*'01_Вводные'!$B$14</f>
        <v/>
      </c>
      <c r="BH83" s="190">
        <f>BG82*'01_Вводные'!$B$14</f>
        <v/>
      </c>
      <c r="BI83" s="190">
        <f>BH82*'01_Вводные'!$B$14</f>
        <v/>
      </c>
      <c r="BJ83" s="190">
        <f>BI82*'01_Вводные'!$B$14</f>
        <v/>
      </c>
      <c r="BK83" s="190">
        <f>BJ82*'01_Вводные'!$B$14</f>
        <v/>
      </c>
      <c r="BL83" s="190">
        <f>BK82*'01_Вводные'!$B$14</f>
        <v/>
      </c>
      <c r="BM83" s="190">
        <f>BL82*'01_Вводные'!$B$14</f>
        <v/>
      </c>
      <c r="BN83" s="190">
        <f>BM82*'01_Вводные'!$B$14</f>
        <v/>
      </c>
      <c r="BO83" s="190">
        <f>BN82*'01_Вводные'!$B$14</f>
        <v/>
      </c>
    </row>
    <row r="84" hidden="1" outlineLevel="1">
      <c r="A84" t="inlineStr">
        <is>
          <t>4 мес.</t>
        </is>
      </c>
      <c r="B84" s="189">
        <f>0</f>
        <v/>
      </c>
      <c r="C84" s="190">
        <f>B83*'01_Вводные'!$B$14</f>
        <v/>
      </c>
      <c r="D84" s="190">
        <f>C83*'01_Вводные'!$B$14</f>
        <v/>
      </c>
      <c r="E84" s="190">
        <f>D83*'01_Вводные'!$B$14</f>
        <v/>
      </c>
      <c r="F84" s="190">
        <f>E83*'01_Вводные'!$B$14</f>
        <v/>
      </c>
      <c r="G84" s="190">
        <f>F83*'01_Вводные'!$B$14</f>
        <v/>
      </c>
      <c r="H84" s="190">
        <f>G83*'01_Вводные'!$B$14</f>
        <v/>
      </c>
      <c r="I84" s="190">
        <f>H83*'01_Вводные'!$B$14</f>
        <v/>
      </c>
      <c r="J84" s="190">
        <f>I83*'01_Вводные'!$B$14</f>
        <v/>
      </c>
      <c r="K84" s="190">
        <f>J83*'01_Вводные'!$B$14</f>
        <v/>
      </c>
      <c r="L84" s="190">
        <f>K83*'01_Вводные'!$B$14</f>
        <v/>
      </c>
      <c r="M84" s="190">
        <f>L83*'01_Вводные'!$B$14</f>
        <v/>
      </c>
      <c r="N84" s="190">
        <f>M83*'01_Вводные'!$B$14</f>
        <v/>
      </c>
      <c r="O84" s="190">
        <f>N83*'01_Вводные'!$B$14</f>
        <v/>
      </c>
      <c r="P84" s="190">
        <f>O83*'01_Вводные'!$B$14</f>
        <v/>
      </c>
      <c r="Q84" s="190">
        <f>P83*'01_Вводные'!$B$14</f>
        <v/>
      </c>
      <c r="R84" s="190">
        <f>Q83*'01_Вводные'!$B$14</f>
        <v/>
      </c>
      <c r="S84" s="190">
        <f>R83*'01_Вводные'!$B$14</f>
        <v/>
      </c>
      <c r="T84" s="190">
        <f>S83*'01_Вводные'!$B$14</f>
        <v/>
      </c>
      <c r="U84" s="190">
        <f>T83*'01_Вводные'!$B$14</f>
        <v/>
      </c>
      <c r="V84" s="190">
        <f>U83*'01_Вводные'!$B$14</f>
        <v/>
      </c>
      <c r="W84" s="190">
        <f>V83*'01_Вводные'!$B$14</f>
        <v/>
      </c>
      <c r="X84" s="190">
        <f>W83*'01_Вводные'!$B$14</f>
        <v/>
      </c>
      <c r="Y84" s="190">
        <f>X83*'01_Вводные'!$B$14</f>
        <v/>
      </c>
      <c r="Z84" s="190">
        <f>Y83*'01_Вводные'!$B$14</f>
        <v/>
      </c>
      <c r="AA84" s="190">
        <f>Z83*'01_Вводные'!$B$14</f>
        <v/>
      </c>
      <c r="AB84" s="190">
        <f>AA83*'01_Вводные'!$B$14</f>
        <v/>
      </c>
      <c r="AC84" s="190">
        <f>AB83*'01_Вводные'!$B$14</f>
        <v/>
      </c>
      <c r="AD84" s="190">
        <f>AC83*'01_Вводные'!$B$14</f>
        <v/>
      </c>
      <c r="AE84" s="190">
        <f>AD83*'01_Вводные'!$B$14</f>
        <v/>
      </c>
      <c r="AF84" s="190">
        <f>AE83*'01_Вводные'!$B$14</f>
        <v/>
      </c>
      <c r="AG84" s="190">
        <f>AF83*'01_Вводные'!$B$14</f>
        <v/>
      </c>
      <c r="AH84" s="190">
        <f>AG83*'01_Вводные'!$B$14</f>
        <v/>
      </c>
      <c r="AI84" s="190">
        <f>AH83*'01_Вводные'!$B$14</f>
        <v/>
      </c>
      <c r="AJ84" s="190">
        <f>AI83*'01_Вводные'!$B$14</f>
        <v/>
      </c>
      <c r="AK84" s="190">
        <f>AJ83*'01_Вводные'!$B$14</f>
        <v/>
      </c>
      <c r="AL84" s="190">
        <f>AK83*'01_Вводные'!$B$14</f>
        <v/>
      </c>
      <c r="AM84" s="190">
        <f>AL83*'01_Вводные'!$B$14</f>
        <v/>
      </c>
      <c r="AN84" s="190">
        <f>AM83*'01_Вводные'!$B$14</f>
        <v/>
      </c>
      <c r="AO84" s="190">
        <f>AN83*'01_Вводные'!$B$14</f>
        <v/>
      </c>
      <c r="AP84" s="190">
        <f>AO83*'01_Вводные'!$B$14</f>
        <v/>
      </c>
      <c r="AQ84" s="190">
        <f>AP83*'01_Вводные'!$B$14</f>
        <v/>
      </c>
      <c r="AR84" s="190">
        <f>AQ83*'01_Вводные'!$B$14</f>
        <v/>
      </c>
      <c r="AS84" s="190">
        <f>AR83*'01_Вводные'!$B$14</f>
        <v/>
      </c>
      <c r="AT84" s="190">
        <f>AS83*'01_Вводные'!$B$14</f>
        <v/>
      </c>
      <c r="AU84" s="190">
        <f>AT83*'01_Вводные'!$B$14</f>
        <v/>
      </c>
      <c r="AV84" s="190">
        <f>AU83*'01_Вводные'!$B$14</f>
        <v/>
      </c>
      <c r="AW84" s="190">
        <f>AV83*'01_Вводные'!$B$14</f>
        <v/>
      </c>
      <c r="AX84" s="190">
        <f>AW83*'01_Вводные'!$B$14</f>
        <v/>
      </c>
      <c r="AY84" s="190">
        <f>AX83*'01_Вводные'!$B$14</f>
        <v/>
      </c>
      <c r="AZ84" s="190">
        <f>AY83*'01_Вводные'!$B$14</f>
        <v/>
      </c>
      <c r="BA84" s="190">
        <f>AZ83*'01_Вводные'!$B$14</f>
        <v/>
      </c>
      <c r="BB84" s="190">
        <f>BA83*'01_Вводные'!$B$14</f>
        <v/>
      </c>
      <c r="BC84" s="190">
        <f>BB83*'01_Вводные'!$B$14</f>
        <v/>
      </c>
      <c r="BD84" s="190">
        <f>BC83*'01_Вводные'!$B$14</f>
        <v/>
      </c>
      <c r="BE84" s="190">
        <f>BD83*'01_Вводные'!$B$14</f>
        <v/>
      </c>
      <c r="BF84" s="190">
        <f>BE83*'01_Вводные'!$B$14</f>
        <v/>
      </c>
      <c r="BG84" s="190">
        <f>BF83*'01_Вводные'!$B$14</f>
        <v/>
      </c>
      <c r="BH84" s="190">
        <f>BG83*'01_Вводные'!$B$14</f>
        <v/>
      </c>
      <c r="BI84" s="190">
        <f>BH83*'01_Вводные'!$B$14</f>
        <v/>
      </c>
      <c r="BJ84" s="190">
        <f>BI83*'01_Вводные'!$B$14</f>
        <v/>
      </c>
      <c r="BK84" s="190">
        <f>BJ83*'01_Вводные'!$B$14</f>
        <v/>
      </c>
      <c r="BL84" s="190">
        <f>BK83*'01_Вводные'!$B$14</f>
        <v/>
      </c>
      <c r="BM84" s="190">
        <f>BL83*'01_Вводные'!$B$14</f>
        <v/>
      </c>
      <c r="BN84" s="190">
        <f>BM83*'01_Вводные'!$B$14</f>
        <v/>
      </c>
      <c r="BO84" s="190">
        <f>BN83*'01_Вводные'!$B$14</f>
        <v/>
      </c>
    </row>
    <row r="85" hidden="1" outlineLevel="1">
      <c r="A85" t="inlineStr">
        <is>
          <t>5 мес.</t>
        </is>
      </c>
      <c r="B85" s="189">
        <f>0</f>
        <v/>
      </c>
      <c r="C85" s="190">
        <f>B84*'01_Вводные'!$B$14</f>
        <v/>
      </c>
      <c r="D85" s="190">
        <f>C84*'01_Вводные'!$B$14</f>
        <v/>
      </c>
      <c r="E85" s="190">
        <f>D84*'01_Вводные'!$B$14</f>
        <v/>
      </c>
      <c r="F85" s="190">
        <f>E84*'01_Вводные'!$B$14</f>
        <v/>
      </c>
      <c r="G85" s="190">
        <f>F84*'01_Вводные'!$B$14</f>
        <v/>
      </c>
      <c r="H85" s="190">
        <f>G84*'01_Вводные'!$B$14</f>
        <v/>
      </c>
      <c r="I85" s="190">
        <f>H84*'01_Вводные'!$B$14</f>
        <v/>
      </c>
      <c r="J85" s="190">
        <f>I84*'01_Вводные'!$B$14</f>
        <v/>
      </c>
      <c r="K85" s="190">
        <f>J84*'01_Вводные'!$B$14</f>
        <v/>
      </c>
      <c r="L85" s="190">
        <f>K84*'01_Вводные'!$B$14</f>
        <v/>
      </c>
      <c r="M85" s="190">
        <f>L84*'01_Вводные'!$B$14</f>
        <v/>
      </c>
      <c r="N85" s="190">
        <f>M84*'01_Вводные'!$B$14</f>
        <v/>
      </c>
      <c r="O85" s="190">
        <f>N84*'01_Вводные'!$B$14</f>
        <v/>
      </c>
      <c r="P85" s="190">
        <f>O84*'01_Вводные'!$B$14</f>
        <v/>
      </c>
      <c r="Q85" s="190">
        <f>P84*'01_Вводные'!$B$14</f>
        <v/>
      </c>
      <c r="R85" s="190">
        <f>Q84*'01_Вводные'!$B$14</f>
        <v/>
      </c>
      <c r="S85" s="190">
        <f>R84*'01_Вводные'!$B$14</f>
        <v/>
      </c>
      <c r="T85" s="190">
        <f>S84*'01_Вводные'!$B$14</f>
        <v/>
      </c>
      <c r="U85" s="190">
        <f>T84*'01_Вводные'!$B$14</f>
        <v/>
      </c>
      <c r="V85" s="190">
        <f>U84*'01_Вводные'!$B$14</f>
        <v/>
      </c>
      <c r="W85" s="190">
        <f>V84*'01_Вводные'!$B$14</f>
        <v/>
      </c>
      <c r="X85" s="190">
        <f>W84*'01_Вводные'!$B$14</f>
        <v/>
      </c>
      <c r="Y85" s="190">
        <f>X84*'01_Вводные'!$B$14</f>
        <v/>
      </c>
      <c r="Z85" s="190">
        <f>Y84*'01_Вводные'!$B$14</f>
        <v/>
      </c>
      <c r="AA85" s="190">
        <f>Z84*'01_Вводные'!$B$14</f>
        <v/>
      </c>
      <c r="AB85" s="190">
        <f>AA84*'01_Вводные'!$B$14</f>
        <v/>
      </c>
      <c r="AC85" s="190">
        <f>AB84*'01_Вводные'!$B$14</f>
        <v/>
      </c>
      <c r="AD85" s="190">
        <f>AC84*'01_Вводные'!$B$14</f>
        <v/>
      </c>
      <c r="AE85" s="190">
        <f>AD84*'01_Вводные'!$B$14</f>
        <v/>
      </c>
      <c r="AF85" s="190">
        <f>AE84*'01_Вводные'!$B$14</f>
        <v/>
      </c>
      <c r="AG85" s="190">
        <f>AF84*'01_Вводные'!$B$14</f>
        <v/>
      </c>
      <c r="AH85" s="190">
        <f>AG84*'01_Вводные'!$B$14</f>
        <v/>
      </c>
      <c r="AI85" s="190">
        <f>AH84*'01_Вводные'!$B$14</f>
        <v/>
      </c>
      <c r="AJ85" s="190">
        <f>AI84*'01_Вводные'!$B$14</f>
        <v/>
      </c>
      <c r="AK85" s="190">
        <f>AJ84*'01_Вводные'!$B$14</f>
        <v/>
      </c>
      <c r="AL85" s="190">
        <f>AK84*'01_Вводные'!$B$14</f>
        <v/>
      </c>
      <c r="AM85" s="190">
        <f>AL84*'01_Вводные'!$B$14</f>
        <v/>
      </c>
      <c r="AN85" s="190">
        <f>AM84*'01_Вводные'!$B$14</f>
        <v/>
      </c>
      <c r="AO85" s="190">
        <f>AN84*'01_Вводные'!$B$14</f>
        <v/>
      </c>
      <c r="AP85" s="190">
        <f>AO84*'01_Вводные'!$B$14</f>
        <v/>
      </c>
      <c r="AQ85" s="190">
        <f>AP84*'01_Вводные'!$B$14</f>
        <v/>
      </c>
      <c r="AR85" s="190">
        <f>AQ84*'01_Вводные'!$B$14</f>
        <v/>
      </c>
      <c r="AS85" s="190">
        <f>AR84*'01_Вводные'!$B$14</f>
        <v/>
      </c>
      <c r="AT85" s="190">
        <f>AS84*'01_Вводные'!$B$14</f>
        <v/>
      </c>
      <c r="AU85" s="190">
        <f>AT84*'01_Вводные'!$B$14</f>
        <v/>
      </c>
      <c r="AV85" s="190">
        <f>AU84*'01_Вводные'!$B$14</f>
        <v/>
      </c>
      <c r="AW85" s="190">
        <f>AV84*'01_Вводные'!$B$14</f>
        <v/>
      </c>
      <c r="AX85" s="190">
        <f>AW84*'01_Вводные'!$B$14</f>
        <v/>
      </c>
      <c r="AY85" s="190">
        <f>AX84*'01_Вводные'!$B$14</f>
        <v/>
      </c>
      <c r="AZ85" s="190">
        <f>AY84*'01_Вводные'!$B$14</f>
        <v/>
      </c>
      <c r="BA85" s="190">
        <f>AZ84*'01_Вводные'!$B$14</f>
        <v/>
      </c>
      <c r="BB85" s="190">
        <f>BA84*'01_Вводные'!$B$14</f>
        <v/>
      </c>
      <c r="BC85" s="190">
        <f>BB84*'01_Вводные'!$B$14</f>
        <v/>
      </c>
      <c r="BD85" s="190">
        <f>BC84*'01_Вводные'!$B$14</f>
        <v/>
      </c>
      <c r="BE85" s="190">
        <f>BD84*'01_Вводные'!$B$14</f>
        <v/>
      </c>
      <c r="BF85" s="190">
        <f>BE84*'01_Вводные'!$B$14</f>
        <v/>
      </c>
      <c r="BG85" s="190">
        <f>BF84*'01_Вводные'!$B$14</f>
        <v/>
      </c>
      <c r="BH85" s="190">
        <f>BG84*'01_Вводные'!$B$14</f>
        <v/>
      </c>
      <c r="BI85" s="190">
        <f>BH84*'01_Вводные'!$B$14</f>
        <v/>
      </c>
      <c r="BJ85" s="190">
        <f>BI84*'01_Вводные'!$B$14</f>
        <v/>
      </c>
      <c r="BK85" s="190">
        <f>BJ84*'01_Вводные'!$B$14</f>
        <v/>
      </c>
      <c r="BL85" s="190">
        <f>BK84*'01_Вводные'!$B$14</f>
        <v/>
      </c>
      <c r="BM85" s="190">
        <f>BL84*'01_Вводные'!$B$14</f>
        <v/>
      </c>
      <c r="BN85" s="190">
        <f>BM84*'01_Вводные'!$B$14</f>
        <v/>
      </c>
      <c r="BO85" s="190">
        <f>BN84*'01_Вводные'!$B$14</f>
        <v/>
      </c>
    </row>
    <row r="86" hidden="1" outlineLevel="1">
      <c r="A86" t="inlineStr">
        <is>
          <t>6 мес.</t>
        </is>
      </c>
      <c r="B86" s="189">
        <f>0</f>
        <v/>
      </c>
      <c r="C86" s="190">
        <f>B85*'01_Вводные'!$B$14</f>
        <v/>
      </c>
      <c r="D86" s="190">
        <f>C85*'01_Вводные'!$B$14</f>
        <v/>
      </c>
      <c r="E86" s="190">
        <f>D85*'01_Вводные'!$B$14</f>
        <v/>
      </c>
      <c r="F86" s="190">
        <f>E85*'01_Вводные'!$B$14</f>
        <v/>
      </c>
      <c r="G86" s="190">
        <f>F85*'01_Вводные'!$B$14</f>
        <v/>
      </c>
      <c r="H86" s="190">
        <f>G85*'01_Вводные'!$B$14</f>
        <v/>
      </c>
      <c r="I86" s="190">
        <f>H85*'01_Вводные'!$B$14</f>
        <v/>
      </c>
      <c r="J86" s="190">
        <f>I85*'01_Вводные'!$B$14</f>
        <v/>
      </c>
      <c r="K86" s="190">
        <f>J85*'01_Вводные'!$B$14</f>
        <v/>
      </c>
      <c r="L86" s="190">
        <f>K85*'01_Вводные'!$B$14</f>
        <v/>
      </c>
      <c r="M86" s="190">
        <f>L85*'01_Вводные'!$B$14</f>
        <v/>
      </c>
      <c r="N86" s="190">
        <f>M85*'01_Вводные'!$B$14</f>
        <v/>
      </c>
      <c r="O86" s="190">
        <f>N85*'01_Вводные'!$B$14</f>
        <v/>
      </c>
      <c r="P86" s="190">
        <f>O85*'01_Вводные'!$B$14</f>
        <v/>
      </c>
      <c r="Q86" s="190">
        <f>P85*'01_Вводные'!$B$14</f>
        <v/>
      </c>
      <c r="R86" s="190">
        <f>Q85*'01_Вводные'!$B$14</f>
        <v/>
      </c>
      <c r="S86" s="190">
        <f>R85*'01_Вводные'!$B$14</f>
        <v/>
      </c>
      <c r="T86" s="190">
        <f>S85*'01_Вводные'!$B$14</f>
        <v/>
      </c>
      <c r="U86" s="190">
        <f>T85*'01_Вводные'!$B$14</f>
        <v/>
      </c>
      <c r="V86" s="190">
        <f>U85*'01_Вводные'!$B$14</f>
        <v/>
      </c>
      <c r="W86" s="190">
        <f>V85*'01_Вводные'!$B$14</f>
        <v/>
      </c>
      <c r="X86" s="190">
        <f>W85*'01_Вводные'!$B$14</f>
        <v/>
      </c>
      <c r="Y86" s="190">
        <f>X85*'01_Вводные'!$B$14</f>
        <v/>
      </c>
      <c r="Z86" s="190">
        <f>Y85*'01_Вводные'!$B$14</f>
        <v/>
      </c>
      <c r="AA86" s="190">
        <f>Z85*'01_Вводные'!$B$14</f>
        <v/>
      </c>
      <c r="AB86" s="190">
        <f>AA85*'01_Вводные'!$B$14</f>
        <v/>
      </c>
      <c r="AC86" s="190">
        <f>AB85*'01_Вводные'!$B$14</f>
        <v/>
      </c>
      <c r="AD86" s="190">
        <f>AC85*'01_Вводные'!$B$14</f>
        <v/>
      </c>
      <c r="AE86" s="190">
        <f>AD85*'01_Вводные'!$B$14</f>
        <v/>
      </c>
      <c r="AF86" s="190">
        <f>AE85*'01_Вводные'!$B$14</f>
        <v/>
      </c>
      <c r="AG86" s="190">
        <f>AF85*'01_Вводные'!$B$14</f>
        <v/>
      </c>
      <c r="AH86" s="190">
        <f>AG85*'01_Вводные'!$B$14</f>
        <v/>
      </c>
      <c r="AI86" s="190">
        <f>AH85*'01_Вводные'!$B$14</f>
        <v/>
      </c>
      <c r="AJ86" s="190">
        <f>AI85*'01_Вводные'!$B$14</f>
        <v/>
      </c>
      <c r="AK86" s="190">
        <f>AJ85*'01_Вводные'!$B$14</f>
        <v/>
      </c>
      <c r="AL86" s="190">
        <f>AK85*'01_Вводные'!$B$14</f>
        <v/>
      </c>
      <c r="AM86" s="190">
        <f>AL85*'01_Вводные'!$B$14</f>
        <v/>
      </c>
      <c r="AN86" s="190">
        <f>AM85*'01_Вводные'!$B$14</f>
        <v/>
      </c>
      <c r="AO86" s="190">
        <f>AN85*'01_Вводные'!$B$14</f>
        <v/>
      </c>
      <c r="AP86" s="190">
        <f>AO85*'01_Вводные'!$B$14</f>
        <v/>
      </c>
      <c r="AQ86" s="190">
        <f>AP85*'01_Вводные'!$B$14</f>
        <v/>
      </c>
      <c r="AR86" s="190">
        <f>AQ85*'01_Вводные'!$B$14</f>
        <v/>
      </c>
      <c r="AS86" s="190">
        <f>AR85*'01_Вводные'!$B$14</f>
        <v/>
      </c>
      <c r="AT86" s="190">
        <f>AS85*'01_Вводные'!$B$14</f>
        <v/>
      </c>
      <c r="AU86" s="190">
        <f>AT85*'01_Вводные'!$B$14</f>
        <v/>
      </c>
      <c r="AV86" s="190">
        <f>AU85*'01_Вводные'!$B$14</f>
        <v/>
      </c>
      <c r="AW86" s="190">
        <f>AV85*'01_Вводные'!$B$14</f>
        <v/>
      </c>
      <c r="AX86" s="190">
        <f>AW85*'01_Вводные'!$B$14</f>
        <v/>
      </c>
      <c r="AY86" s="190">
        <f>AX85*'01_Вводные'!$B$14</f>
        <v/>
      </c>
      <c r="AZ86" s="190">
        <f>AY85*'01_Вводные'!$B$14</f>
        <v/>
      </c>
      <c r="BA86" s="190">
        <f>AZ85*'01_Вводные'!$B$14</f>
        <v/>
      </c>
      <c r="BB86" s="190">
        <f>BA85*'01_Вводные'!$B$14</f>
        <v/>
      </c>
      <c r="BC86" s="190">
        <f>BB85*'01_Вводные'!$B$14</f>
        <v/>
      </c>
      <c r="BD86" s="190">
        <f>BC85*'01_Вводные'!$B$14</f>
        <v/>
      </c>
      <c r="BE86" s="190">
        <f>BD85*'01_Вводные'!$B$14</f>
        <v/>
      </c>
      <c r="BF86" s="190">
        <f>BE85*'01_Вводные'!$B$14</f>
        <v/>
      </c>
      <c r="BG86" s="190">
        <f>BF85*'01_Вводные'!$B$14</f>
        <v/>
      </c>
      <c r="BH86" s="190">
        <f>BG85*'01_Вводные'!$B$14</f>
        <v/>
      </c>
      <c r="BI86" s="190">
        <f>BH85*'01_Вводные'!$B$14</f>
        <v/>
      </c>
      <c r="BJ86" s="190">
        <f>BI85*'01_Вводные'!$B$14</f>
        <v/>
      </c>
      <c r="BK86" s="190">
        <f>BJ85*'01_Вводные'!$B$14</f>
        <v/>
      </c>
      <c r="BL86" s="190">
        <f>BK85*'01_Вводные'!$B$14</f>
        <v/>
      </c>
      <c r="BM86" s="190">
        <f>BL85*'01_Вводные'!$B$14</f>
        <v/>
      </c>
      <c r="BN86" s="190">
        <f>BM85*'01_Вводные'!$B$14</f>
        <v/>
      </c>
      <c r="BO86" s="190">
        <f>BN85*'01_Вводные'!$B$14</f>
        <v/>
      </c>
    </row>
    <row r="87" hidden="1" outlineLevel="1">
      <c r="A87" t="inlineStr">
        <is>
          <t>7 мес.</t>
        </is>
      </c>
      <c r="B87" s="189">
        <f>0</f>
        <v/>
      </c>
      <c r="C87" s="190">
        <f>B86*'01_Вводные'!$B$14</f>
        <v/>
      </c>
      <c r="D87" s="190">
        <f>C86*'01_Вводные'!$B$14</f>
        <v/>
      </c>
      <c r="E87" s="190">
        <f>D86*'01_Вводные'!$B$14</f>
        <v/>
      </c>
      <c r="F87" s="190">
        <f>E86*'01_Вводные'!$B$14</f>
        <v/>
      </c>
      <c r="G87" s="190">
        <f>F86*'01_Вводные'!$B$14</f>
        <v/>
      </c>
      <c r="H87" s="190">
        <f>G86*'01_Вводные'!$B$14</f>
        <v/>
      </c>
      <c r="I87" s="190">
        <f>H86*'01_Вводные'!$B$14</f>
        <v/>
      </c>
      <c r="J87" s="190">
        <f>I86*'01_Вводные'!$B$14</f>
        <v/>
      </c>
      <c r="K87" s="190">
        <f>J86*'01_Вводные'!$B$14</f>
        <v/>
      </c>
      <c r="L87" s="190">
        <f>K86*'01_Вводные'!$B$14</f>
        <v/>
      </c>
      <c r="M87" s="190">
        <f>L86*'01_Вводные'!$B$14</f>
        <v/>
      </c>
      <c r="N87" s="190">
        <f>M86*'01_Вводные'!$B$14</f>
        <v/>
      </c>
      <c r="O87" s="190">
        <f>N86*'01_Вводные'!$B$14</f>
        <v/>
      </c>
      <c r="P87" s="190">
        <f>O86*'01_Вводные'!$B$14</f>
        <v/>
      </c>
      <c r="Q87" s="190">
        <f>P86*'01_Вводные'!$B$14</f>
        <v/>
      </c>
      <c r="R87" s="190">
        <f>Q86*'01_Вводные'!$B$14</f>
        <v/>
      </c>
      <c r="S87" s="190">
        <f>R86*'01_Вводные'!$B$14</f>
        <v/>
      </c>
      <c r="T87" s="190">
        <f>S86*'01_Вводные'!$B$14</f>
        <v/>
      </c>
      <c r="U87" s="190">
        <f>T86*'01_Вводные'!$B$14</f>
        <v/>
      </c>
      <c r="V87" s="190">
        <f>U86*'01_Вводные'!$B$14</f>
        <v/>
      </c>
      <c r="W87" s="190">
        <f>V86*'01_Вводные'!$B$14</f>
        <v/>
      </c>
      <c r="X87" s="190">
        <f>W86*'01_Вводные'!$B$14</f>
        <v/>
      </c>
      <c r="Y87" s="190">
        <f>X86*'01_Вводные'!$B$14</f>
        <v/>
      </c>
      <c r="Z87" s="190">
        <f>Y86*'01_Вводные'!$B$14</f>
        <v/>
      </c>
      <c r="AA87" s="190">
        <f>Z86*'01_Вводные'!$B$14</f>
        <v/>
      </c>
      <c r="AB87" s="190">
        <f>AA86*'01_Вводные'!$B$14</f>
        <v/>
      </c>
      <c r="AC87" s="190">
        <f>AB86*'01_Вводные'!$B$14</f>
        <v/>
      </c>
      <c r="AD87" s="190">
        <f>AC86*'01_Вводные'!$B$14</f>
        <v/>
      </c>
      <c r="AE87" s="190">
        <f>AD86*'01_Вводные'!$B$14</f>
        <v/>
      </c>
      <c r="AF87" s="190">
        <f>AE86*'01_Вводные'!$B$14</f>
        <v/>
      </c>
      <c r="AG87" s="190">
        <f>AF86*'01_Вводные'!$B$14</f>
        <v/>
      </c>
      <c r="AH87" s="190">
        <f>AG86*'01_Вводные'!$B$14</f>
        <v/>
      </c>
      <c r="AI87" s="190">
        <f>AH86*'01_Вводные'!$B$14</f>
        <v/>
      </c>
      <c r="AJ87" s="190">
        <f>AI86*'01_Вводные'!$B$14</f>
        <v/>
      </c>
      <c r="AK87" s="190">
        <f>AJ86*'01_Вводные'!$B$14</f>
        <v/>
      </c>
      <c r="AL87" s="190">
        <f>AK86*'01_Вводные'!$B$14</f>
        <v/>
      </c>
      <c r="AM87" s="190">
        <f>AL86*'01_Вводные'!$B$14</f>
        <v/>
      </c>
      <c r="AN87" s="190">
        <f>AM86*'01_Вводные'!$B$14</f>
        <v/>
      </c>
      <c r="AO87" s="190">
        <f>AN86*'01_Вводные'!$B$14</f>
        <v/>
      </c>
      <c r="AP87" s="190">
        <f>AO86*'01_Вводные'!$B$14</f>
        <v/>
      </c>
      <c r="AQ87" s="190">
        <f>AP86*'01_Вводные'!$B$14</f>
        <v/>
      </c>
      <c r="AR87" s="190">
        <f>AQ86*'01_Вводные'!$B$14</f>
        <v/>
      </c>
      <c r="AS87" s="190">
        <f>AR86*'01_Вводные'!$B$14</f>
        <v/>
      </c>
      <c r="AT87" s="190">
        <f>AS86*'01_Вводные'!$B$14</f>
        <v/>
      </c>
      <c r="AU87" s="190">
        <f>AT86*'01_Вводные'!$B$14</f>
        <v/>
      </c>
      <c r="AV87" s="190">
        <f>AU86*'01_Вводные'!$B$14</f>
        <v/>
      </c>
      <c r="AW87" s="190">
        <f>AV86*'01_Вводные'!$B$14</f>
        <v/>
      </c>
      <c r="AX87" s="190">
        <f>AW86*'01_Вводные'!$B$14</f>
        <v/>
      </c>
      <c r="AY87" s="190">
        <f>AX86*'01_Вводные'!$B$14</f>
        <v/>
      </c>
      <c r="AZ87" s="190">
        <f>AY86*'01_Вводные'!$B$14</f>
        <v/>
      </c>
      <c r="BA87" s="190">
        <f>AZ86*'01_Вводные'!$B$14</f>
        <v/>
      </c>
      <c r="BB87" s="190">
        <f>BA86*'01_Вводные'!$B$14</f>
        <v/>
      </c>
      <c r="BC87" s="190">
        <f>BB86*'01_Вводные'!$B$14</f>
        <v/>
      </c>
      <c r="BD87" s="190">
        <f>BC86*'01_Вводные'!$B$14</f>
        <v/>
      </c>
      <c r="BE87" s="190">
        <f>BD86*'01_Вводные'!$B$14</f>
        <v/>
      </c>
      <c r="BF87" s="190">
        <f>BE86*'01_Вводные'!$B$14</f>
        <v/>
      </c>
      <c r="BG87" s="190">
        <f>BF86*'01_Вводные'!$B$14</f>
        <v/>
      </c>
      <c r="BH87" s="190">
        <f>BG86*'01_Вводные'!$B$14</f>
        <v/>
      </c>
      <c r="BI87" s="190">
        <f>BH86*'01_Вводные'!$B$14</f>
        <v/>
      </c>
      <c r="BJ87" s="190">
        <f>BI86*'01_Вводные'!$B$14</f>
        <v/>
      </c>
      <c r="BK87" s="190">
        <f>BJ86*'01_Вводные'!$B$14</f>
        <v/>
      </c>
      <c r="BL87" s="190">
        <f>BK86*'01_Вводные'!$B$14</f>
        <v/>
      </c>
      <c r="BM87" s="190">
        <f>BL86*'01_Вводные'!$B$14</f>
        <v/>
      </c>
      <c r="BN87" s="190">
        <f>BM86*'01_Вводные'!$B$14</f>
        <v/>
      </c>
      <c r="BO87" s="190">
        <f>BN86*'01_Вводные'!$B$14</f>
        <v/>
      </c>
    </row>
    <row r="88" hidden="1" outlineLevel="1">
      <c r="A88" t="inlineStr">
        <is>
          <t>8 мес.</t>
        </is>
      </c>
      <c r="B88" s="189">
        <f>0</f>
        <v/>
      </c>
      <c r="C88" s="190">
        <f>B87*'01_Вводные'!$B$14</f>
        <v/>
      </c>
      <c r="D88" s="190">
        <f>C87*'01_Вводные'!$B$14</f>
        <v/>
      </c>
      <c r="E88" s="190">
        <f>D87*'01_Вводные'!$B$14</f>
        <v/>
      </c>
      <c r="F88" s="190">
        <f>E87*'01_Вводные'!$B$14</f>
        <v/>
      </c>
      <c r="G88" s="190">
        <f>F87*'01_Вводные'!$B$14</f>
        <v/>
      </c>
      <c r="H88" s="190">
        <f>G87*'01_Вводные'!$B$14</f>
        <v/>
      </c>
      <c r="I88" s="190">
        <f>H87*'01_Вводные'!$B$14</f>
        <v/>
      </c>
      <c r="J88" s="190">
        <f>I87*'01_Вводные'!$B$14</f>
        <v/>
      </c>
      <c r="K88" s="190">
        <f>J87*'01_Вводные'!$B$14</f>
        <v/>
      </c>
      <c r="L88" s="190">
        <f>K87*'01_Вводные'!$B$14</f>
        <v/>
      </c>
      <c r="M88" s="190">
        <f>L87*'01_Вводные'!$B$14</f>
        <v/>
      </c>
      <c r="N88" s="190">
        <f>M87*'01_Вводные'!$B$14</f>
        <v/>
      </c>
      <c r="O88" s="190">
        <f>N87*'01_Вводные'!$B$14</f>
        <v/>
      </c>
      <c r="P88" s="190">
        <f>O87*'01_Вводные'!$B$14</f>
        <v/>
      </c>
      <c r="Q88" s="190">
        <f>P87*'01_Вводные'!$B$14</f>
        <v/>
      </c>
      <c r="R88" s="190">
        <f>Q87*'01_Вводные'!$B$14</f>
        <v/>
      </c>
      <c r="S88" s="190">
        <f>R87*'01_Вводные'!$B$14</f>
        <v/>
      </c>
      <c r="T88" s="190">
        <f>S87*'01_Вводные'!$B$14</f>
        <v/>
      </c>
      <c r="U88" s="190">
        <f>T87*'01_Вводные'!$B$14</f>
        <v/>
      </c>
      <c r="V88" s="190">
        <f>U87*'01_Вводные'!$B$14</f>
        <v/>
      </c>
      <c r="W88" s="190">
        <f>V87*'01_Вводные'!$B$14</f>
        <v/>
      </c>
      <c r="X88" s="190">
        <f>W87*'01_Вводные'!$B$14</f>
        <v/>
      </c>
      <c r="Y88" s="190">
        <f>X87*'01_Вводные'!$B$14</f>
        <v/>
      </c>
      <c r="Z88" s="190">
        <f>Y87*'01_Вводные'!$B$14</f>
        <v/>
      </c>
      <c r="AA88" s="190">
        <f>Z87*'01_Вводные'!$B$14</f>
        <v/>
      </c>
      <c r="AB88" s="190">
        <f>AA87*'01_Вводные'!$B$14</f>
        <v/>
      </c>
      <c r="AC88" s="190">
        <f>AB87*'01_Вводные'!$B$14</f>
        <v/>
      </c>
      <c r="AD88" s="190">
        <f>AC87*'01_Вводные'!$B$14</f>
        <v/>
      </c>
      <c r="AE88" s="190">
        <f>AD87*'01_Вводные'!$B$14</f>
        <v/>
      </c>
      <c r="AF88" s="190">
        <f>AE87*'01_Вводные'!$B$14</f>
        <v/>
      </c>
      <c r="AG88" s="190">
        <f>AF87*'01_Вводные'!$B$14</f>
        <v/>
      </c>
      <c r="AH88" s="190">
        <f>AG87*'01_Вводные'!$B$14</f>
        <v/>
      </c>
      <c r="AI88" s="190">
        <f>AH87*'01_Вводные'!$B$14</f>
        <v/>
      </c>
      <c r="AJ88" s="190">
        <f>AI87*'01_Вводные'!$B$14</f>
        <v/>
      </c>
      <c r="AK88" s="190">
        <f>AJ87*'01_Вводные'!$B$14</f>
        <v/>
      </c>
      <c r="AL88" s="190">
        <f>AK87*'01_Вводные'!$B$14</f>
        <v/>
      </c>
      <c r="AM88" s="190">
        <f>AL87*'01_Вводные'!$B$14</f>
        <v/>
      </c>
      <c r="AN88" s="190">
        <f>AM87*'01_Вводные'!$B$14</f>
        <v/>
      </c>
      <c r="AO88" s="190">
        <f>AN87*'01_Вводные'!$B$14</f>
        <v/>
      </c>
      <c r="AP88" s="190">
        <f>AO87*'01_Вводные'!$B$14</f>
        <v/>
      </c>
      <c r="AQ88" s="190">
        <f>AP87*'01_Вводные'!$B$14</f>
        <v/>
      </c>
      <c r="AR88" s="190">
        <f>AQ87*'01_Вводные'!$B$14</f>
        <v/>
      </c>
      <c r="AS88" s="190">
        <f>AR87*'01_Вводные'!$B$14</f>
        <v/>
      </c>
      <c r="AT88" s="190">
        <f>AS87*'01_Вводные'!$B$14</f>
        <v/>
      </c>
      <c r="AU88" s="190">
        <f>AT87*'01_Вводные'!$B$14</f>
        <v/>
      </c>
      <c r="AV88" s="190">
        <f>AU87*'01_Вводные'!$B$14</f>
        <v/>
      </c>
      <c r="AW88" s="190">
        <f>AV87*'01_Вводные'!$B$14</f>
        <v/>
      </c>
      <c r="AX88" s="190">
        <f>AW87*'01_Вводные'!$B$14</f>
        <v/>
      </c>
      <c r="AY88" s="190">
        <f>AX87*'01_Вводные'!$B$14</f>
        <v/>
      </c>
      <c r="AZ88" s="190">
        <f>AY87*'01_Вводные'!$B$14</f>
        <v/>
      </c>
      <c r="BA88" s="190">
        <f>AZ87*'01_Вводные'!$B$14</f>
        <v/>
      </c>
      <c r="BB88" s="190">
        <f>BA87*'01_Вводные'!$B$14</f>
        <v/>
      </c>
      <c r="BC88" s="190">
        <f>BB87*'01_Вводные'!$B$14</f>
        <v/>
      </c>
      <c r="BD88" s="190">
        <f>BC87*'01_Вводные'!$B$14</f>
        <v/>
      </c>
      <c r="BE88" s="190">
        <f>BD87*'01_Вводные'!$B$14</f>
        <v/>
      </c>
      <c r="BF88" s="190">
        <f>BE87*'01_Вводные'!$B$14</f>
        <v/>
      </c>
      <c r="BG88" s="190">
        <f>BF87*'01_Вводные'!$B$14</f>
        <v/>
      </c>
      <c r="BH88" s="190">
        <f>BG87*'01_Вводные'!$B$14</f>
        <v/>
      </c>
      <c r="BI88" s="190">
        <f>BH87*'01_Вводные'!$B$14</f>
        <v/>
      </c>
      <c r="BJ88" s="190">
        <f>BI87*'01_Вводные'!$B$14</f>
        <v/>
      </c>
      <c r="BK88" s="190">
        <f>BJ87*'01_Вводные'!$B$14</f>
        <v/>
      </c>
      <c r="BL88" s="190">
        <f>BK87*'01_Вводные'!$B$14</f>
        <v/>
      </c>
      <c r="BM88" s="190">
        <f>BL87*'01_Вводные'!$B$14</f>
        <v/>
      </c>
      <c r="BN88" s="190">
        <f>BM87*'01_Вводные'!$B$14</f>
        <v/>
      </c>
      <c r="BO88" s="190">
        <f>BN87*'01_Вводные'!$B$14</f>
        <v/>
      </c>
    </row>
    <row r="89" hidden="1" outlineLevel="1">
      <c r="A89" t="inlineStr">
        <is>
          <t>9 мес.</t>
        </is>
      </c>
      <c r="B89" s="189">
        <f>0</f>
        <v/>
      </c>
      <c r="C89" s="190">
        <f>B88*'01_Вводные'!$B$14</f>
        <v/>
      </c>
      <c r="D89" s="190">
        <f>C88*'01_Вводные'!$B$14</f>
        <v/>
      </c>
      <c r="E89" s="190">
        <f>D88*'01_Вводные'!$B$14</f>
        <v/>
      </c>
      <c r="F89" s="190">
        <f>E88*'01_Вводные'!$B$14</f>
        <v/>
      </c>
      <c r="G89" s="190">
        <f>F88*'01_Вводные'!$B$14</f>
        <v/>
      </c>
      <c r="H89" s="190">
        <f>G88*'01_Вводные'!$B$14</f>
        <v/>
      </c>
      <c r="I89" s="190">
        <f>H88*'01_Вводные'!$B$14</f>
        <v/>
      </c>
      <c r="J89" s="190">
        <f>I88*'01_Вводные'!$B$14</f>
        <v/>
      </c>
      <c r="K89" s="190">
        <f>J88*'01_Вводные'!$B$14</f>
        <v/>
      </c>
      <c r="L89" s="190">
        <f>K88*'01_Вводные'!$B$14</f>
        <v/>
      </c>
      <c r="M89" s="190">
        <f>L88*'01_Вводные'!$B$14</f>
        <v/>
      </c>
      <c r="N89" s="190">
        <f>M88*'01_Вводные'!$B$14</f>
        <v/>
      </c>
      <c r="O89" s="190">
        <f>N88*'01_Вводные'!$B$14</f>
        <v/>
      </c>
      <c r="P89" s="190">
        <f>O88*'01_Вводные'!$B$14</f>
        <v/>
      </c>
      <c r="Q89" s="190">
        <f>P88*'01_Вводные'!$B$14</f>
        <v/>
      </c>
      <c r="R89" s="190">
        <f>Q88*'01_Вводные'!$B$14</f>
        <v/>
      </c>
      <c r="S89" s="190">
        <f>R88*'01_Вводные'!$B$14</f>
        <v/>
      </c>
      <c r="T89" s="190">
        <f>S88*'01_Вводные'!$B$14</f>
        <v/>
      </c>
      <c r="U89" s="190">
        <f>T88*'01_Вводные'!$B$14</f>
        <v/>
      </c>
      <c r="V89" s="190">
        <f>U88*'01_Вводные'!$B$14</f>
        <v/>
      </c>
      <c r="W89" s="190">
        <f>V88*'01_Вводные'!$B$14</f>
        <v/>
      </c>
      <c r="X89" s="190">
        <f>W88*'01_Вводные'!$B$14</f>
        <v/>
      </c>
      <c r="Y89" s="190">
        <f>X88*'01_Вводные'!$B$14</f>
        <v/>
      </c>
      <c r="Z89" s="190">
        <f>Y88*'01_Вводные'!$B$14</f>
        <v/>
      </c>
      <c r="AA89" s="190">
        <f>Z88*'01_Вводные'!$B$14</f>
        <v/>
      </c>
      <c r="AB89" s="190">
        <f>AA88*'01_Вводные'!$B$14</f>
        <v/>
      </c>
      <c r="AC89" s="190">
        <f>AB88*'01_Вводные'!$B$14</f>
        <v/>
      </c>
      <c r="AD89" s="190">
        <f>AC88*'01_Вводные'!$B$14</f>
        <v/>
      </c>
      <c r="AE89" s="190">
        <f>AD88*'01_Вводные'!$B$14</f>
        <v/>
      </c>
      <c r="AF89" s="190">
        <f>AE88*'01_Вводные'!$B$14</f>
        <v/>
      </c>
      <c r="AG89" s="190">
        <f>AF88*'01_Вводные'!$B$14</f>
        <v/>
      </c>
      <c r="AH89" s="190">
        <f>AG88*'01_Вводные'!$B$14</f>
        <v/>
      </c>
      <c r="AI89" s="190">
        <f>AH88*'01_Вводные'!$B$14</f>
        <v/>
      </c>
      <c r="AJ89" s="190">
        <f>AI88*'01_Вводные'!$B$14</f>
        <v/>
      </c>
      <c r="AK89" s="190">
        <f>AJ88*'01_Вводные'!$B$14</f>
        <v/>
      </c>
      <c r="AL89" s="190">
        <f>AK88*'01_Вводные'!$B$14</f>
        <v/>
      </c>
      <c r="AM89" s="190">
        <f>AL88*'01_Вводные'!$B$14</f>
        <v/>
      </c>
      <c r="AN89" s="190">
        <f>AM88*'01_Вводные'!$B$14</f>
        <v/>
      </c>
      <c r="AO89" s="190">
        <f>AN88*'01_Вводные'!$B$14</f>
        <v/>
      </c>
      <c r="AP89" s="190">
        <f>AO88*'01_Вводные'!$B$14</f>
        <v/>
      </c>
      <c r="AQ89" s="190">
        <f>AP88*'01_Вводные'!$B$14</f>
        <v/>
      </c>
      <c r="AR89" s="190">
        <f>AQ88*'01_Вводные'!$B$14</f>
        <v/>
      </c>
      <c r="AS89" s="190">
        <f>AR88*'01_Вводные'!$B$14</f>
        <v/>
      </c>
      <c r="AT89" s="190">
        <f>AS88*'01_Вводные'!$B$14</f>
        <v/>
      </c>
      <c r="AU89" s="190">
        <f>AT88*'01_Вводные'!$B$14</f>
        <v/>
      </c>
      <c r="AV89" s="190">
        <f>AU88*'01_Вводные'!$B$14</f>
        <v/>
      </c>
      <c r="AW89" s="190">
        <f>AV88*'01_Вводные'!$B$14</f>
        <v/>
      </c>
      <c r="AX89" s="190">
        <f>AW88*'01_Вводные'!$B$14</f>
        <v/>
      </c>
      <c r="AY89" s="190">
        <f>AX88*'01_Вводные'!$B$14</f>
        <v/>
      </c>
      <c r="AZ89" s="190">
        <f>AY88*'01_Вводные'!$B$14</f>
        <v/>
      </c>
      <c r="BA89" s="190">
        <f>AZ88*'01_Вводные'!$B$14</f>
        <v/>
      </c>
      <c r="BB89" s="190">
        <f>BA88*'01_Вводные'!$B$14</f>
        <v/>
      </c>
      <c r="BC89" s="190">
        <f>BB88*'01_Вводные'!$B$14</f>
        <v/>
      </c>
      <c r="BD89" s="190">
        <f>BC88*'01_Вводные'!$B$14</f>
        <v/>
      </c>
      <c r="BE89" s="190">
        <f>BD88*'01_Вводные'!$B$14</f>
        <v/>
      </c>
      <c r="BF89" s="190">
        <f>BE88*'01_Вводные'!$B$14</f>
        <v/>
      </c>
      <c r="BG89" s="190">
        <f>BF88*'01_Вводные'!$B$14</f>
        <v/>
      </c>
      <c r="BH89" s="190">
        <f>BG88*'01_Вводные'!$B$14</f>
        <v/>
      </c>
      <c r="BI89" s="190">
        <f>BH88*'01_Вводные'!$B$14</f>
        <v/>
      </c>
      <c r="BJ89" s="190">
        <f>BI88*'01_Вводные'!$B$14</f>
        <v/>
      </c>
      <c r="BK89" s="190">
        <f>BJ88*'01_Вводные'!$B$14</f>
        <v/>
      </c>
      <c r="BL89" s="190">
        <f>BK88*'01_Вводные'!$B$14</f>
        <v/>
      </c>
      <c r="BM89" s="190">
        <f>BL88*'01_Вводные'!$B$14</f>
        <v/>
      </c>
      <c r="BN89" s="190">
        <f>BM88*'01_Вводные'!$B$14</f>
        <v/>
      </c>
      <c r="BO89" s="190">
        <f>BN88*'01_Вводные'!$B$14</f>
        <v/>
      </c>
    </row>
    <row r="90" hidden="1" outlineLevel="1">
      <c r="A90" t="inlineStr">
        <is>
          <t>10 мес.</t>
        </is>
      </c>
      <c r="B90" s="189">
        <f>0</f>
        <v/>
      </c>
      <c r="C90" s="190">
        <f>B89*'01_Вводные'!$B$14</f>
        <v/>
      </c>
      <c r="D90" s="190">
        <f>C89*'01_Вводные'!$B$14</f>
        <v/>
      </c>
      <c r="E90" s="190">
        <f>D89*'01_Вводные'!$B$14</f>
        <v/>
      </c>
      <c r="F90" s="190">
        <f>E89*'01_Вводные'!$B$14</f>
        <v/>
      </c>
      <c r="G90" s="190">
        <f>F89*'01_Вводные'!$B$14</f>
        <v/>
      </c>
      <c r="H90" s="190">
        <f>G89*'01_Вводные'!$B$14</f>
        <v/>
      </c>
      <c r="I90" s="190">
        <f>H89*'01_Вводные'!$B$14</f>
        <v/>
      </c>
      <c r="J90" s="190">
        <f>I89*'01_Вводные'!$B$14</f>
        <v/>
      </c>
      <c r="K90" s="190">
        <f>J89*'01_Вводные'!$B$14</f>
        <v/>
      </c>
      <c r="L90" s="190">
        <f>K89*'01_Вводные'!$B$14</f>
        <v/>
      </c>
      <c r="M90" s="190">
        <f>L89*'01_Вводные'!$B$14</f>
        <v/>
      </c>
      <c r="N90" s="190">
        <f>M89*'01_Вводные'!$B$14</f>
        <v/>
      </c>
      <c r="O90" s="190">
        <f>N89*'01_Вводные'!$B$14</f>
        <v/>
      </c>
      <c r="P90" s="190">
        <f>O89*'01_Вводные'!$B$14</f>
        <v/>
      </c>
      <c r="Q90" s="190">
        <f>P89*'01_Вводные'!$B$14</f>
        <v/>
      </c>
      <c r="R90" s="190">
        <f>Q89*'01_Вводные'!$B$14</f>
        <v/>
      </c>
      <c r="S90" s="190">
        <f>R89*'01_Вводные'!$B$14</f>
        <v/>
      </c>
      <c r="T90" s="190">
        <f>S89*'01_Вводные'!$B$14</f>
        <v/>
      </c>
      <c r="U90" s="190">
        <f>T89*'01_Вводные'!$B$14</f>
        <v/>
      </c>
      <c r="V90" s="190">
        <f>U89*'01_Вводные'!$B$14</f>
        <v/>
      </c>
      <c r="W90" s="190">
        <f>V89*'01_Вводные'!$B$14</f>
        <v/>
      </c>
      <c r="X90" s="190">
        <f>W89*'01_Вводные'!$B$14</f>
        <v/>
      </c>
      <c r="Y90" s="190">
        <f>X89*'01_Вводные'!$B$14</f>
        <v/>
      </c>
      <c r="Z90" s="190">
        <f>Y89*'01_Вводные'!$B$14</f>
        <v/>
      </c>
      <c r="AA90" s="190">
        <f>Z89*'01_Вводные'!$B$14</f>
        <v/>
      </c>
      <c r="AB90" s="190">
        <f>AA89*'01_Вводные'!$B$14</f>
        <v/>
      </c>
      <c r="AC90" s="190">
        <f>AB89*'01_Вводные'!$B$14</f>
        <v/>
      </c>
      <c r="AD90" s="190">
        <f>AC89*'01_Вводные'!$B$14</f>
        <v/>
      </c>
      <c r="AE90" s="190">
        <f>AD89*'01_Вводные'!$B$14</f>
        <v/>
      </c>
      <c r="AF90" s="190">
        <f>AE89*'01_Вводные'!$B$14</f>
        <v/>
      </c>
      <c r="AG90" s="190">
        <f>AF89*'01_Вводные'!$B$14</f>
        <v/>
      </c>
      <c r="AH90" s="190">
        <f>AG89*'01_Вводные'!$B$14</f>
        <v/>
      </c>
      <c r="AI90" s="190">
        <f>AH89*'01_Вводные'!$B$14</f>
        <v/>
      </c>
      <c r="AJ90" s="190">
        <f>AI89*'01_Вводные'!$B$14</f>
        <v/>
      </c>
      <c r="AK90" s="190">
        <f>AJ89*'01_Вводные'!$B$14</f>
        <v/>
      </c>
      <c r="AL90" s="190">
        <f>AK89*'01_Вводные'!$B$14</f>
        <v/>
      </c>
      <c r="AM90" s="190">
        <f>AL89*'01_Вводные'!$B$14</f>
        <v/>
      </c>
      <c r="AN90" s="190">
        <f>AM89*'01_Вводные'!$B$14</f>
        <v/>
      </c>
      <c r="AO90" s="190">
        <f>AN89*'01_Вводные'!$B$14</f>
        <v/>
      </c>
      <c r="AP90" s="190">
        <f>AO89*'01_Вводные'!$B$14</f>
        <v/>
      </c>
      <c r="AQ90" s="190">
        <f>AP89*'01_Вводные'!$B$14</f>
        <v/>
      </c>
      <c r="AR90" s="190">
        <f>AQ89*'01_Вводные'!$B$14</f>
        <v/>
      </c>
      <c r="AS90" s="190">
        <f>AR89*'01_Вводные'!$B$14</f>
        <v/>
      </c>
      <c r="AT90" s="190">
        <f>AS89*'01_Вводные'!$B$14</f>
        <v/>
      </c>
      <c r="AU90" s="190">
        <f>AT89*'01_Вводные'!$B$14</f>
        <v/>
      </c>
      <c r="AV90" s="190">
        <f>AU89*'01_Вводные'!$B$14</f>
        <v/>
      </c>
      <c r="AW90" s="190">
        <f>AV89*'01_Вводные'!$B$14</f>
        <v/>
      </c>
      <c r="AX90" s="190">
        <f>AW89*'01_Вводные'!$B$14</f>
        <v/>
      </c>
      <c r="AY90" s="190">
        <f>AX89*'01_Вводные'!$B$14</f>
        <v/>
      </c>
      <c r="AZ90" s="190">
        <f>AY89*'01_Вводные'!$B$14</f>
        <v/>
      </c>
      <c r="BA90" s="190">
        <f>AZ89*'01_Вводные'!$B$14</f>
        <v/>
      </c>
      <c r="BB90" s="190">
        <f>BA89*'01_Вводные'!$B$14</f>
        <v/>
      </c>
      <c r="BC90" s="190">
        <f>BB89*'01_Вводные'!$B$14</f>
        <v/>
      </c>
      <c r="BD90" s="190">
        <f>BC89*'01_Вводные'!$B$14</f>
        <v/>
      </c>
      <c r="BE90" s="190">
        <f>BD89*'01_Вводные'!$B$14</f>
        <v/>
      </c>
      <c r="BF90" s="190">
        <f>BE89*'01_Вводные'!$B$14</f>
        <v/>
      </c>
      <c r="BG90" s="190">
        <f>BF89*'01_Вводные'!$B$14</f>
        <v/>
      </c>
      <c r="BH90" s="190">
        <f>BG89*'01_Вводные'!$B$14</f>
        <v/>
      </c>
      <c r="BI90" s="190">
        <f>BH89*'01_Вводные'!$B$14</f>
        <v/>
      </c>
      <c r="BJ90" s="190">
        <f>BI89*'01_Вводные'!$B$14</f>
        <v/>
      </c>
      <c r="BK90" s="190">
        <f>BJ89*'01_Вводные'!$B$14</f>
        <v/>
      </c>
      <c r="BL90" s="190">
        <f>BK89*'01_Вводные'!$B$14</f>
        <v/>
      </c>
      <c r="BM90" s="190">
        <f>BL89*'01_Вводные'!$B$14</f>
        <v/>
      </c>
      <c r="BN90" s="190">
        <f>BM89*'01_Вводные'!$B$14</f>
        <v/>
      </c>
      <c r="BO90" s="190">
        <f>BN89*'01_Вводные'!$B$14</f>
        <v/>
      </c>
    </row>
    <row r="91" hidden="1" outlineLevel="1">
      <c r="A91" t="inlineStr">
        <is>
          <t>11 мес.</t>
        </is>
      </c>
      <c r="B91" s="189">
        <f>0</f>
        <v/>
      </c>
      <c r="C91" s="190">
        <f>B90*'01_Вводные'!$B$14</f>
        <v/>
      </c>
      <c r="D91" s="190">
        <f>C90*'01_Вводные'!$B$14</f>
        <v/>
      </c>
      <c r="E91" s="190">
        <f>D90*'01_Вводные'!$B$14</f>
        <v/>
      </c>
      <c r="F91" s="190">
        <f>E90*'01_Вводные'!$B$14</f>
        <v/>
      </c>
      <c r="G91" s="190">
        <f>F90*'01_Вводные'!$B$14</f>
        <v/>
      </c>
      <c r="H91" s="190">
        <f>G90*'01_Вводные'!$B$14</f>
        <v/>
      </c>
      <c r="I91" s="190">
        <f>H90*'01_Вводные'!$B$14</f>
        <v/>
      </c>
      <c r="J91" s="190">
        <f>I90*'01_Вводные'!$B$14</f>
        <v/>
      </c>
      <c r="K91" s="190">
        <f>J90*'01_Вводные'!$B$14</f>
        <v/>
      </c>
      <c r="L91" s="190">
        <f>K90*'01_Вводные'!$B$14</f>
        <v/>
      </c>
      <c r="M91" s="190">
        <f>L90*'01_Вводные'!$B$14</f>
        <v/>
      </c>
      <c r="N91" s="190">
        <f>M90*'01_Вводные'!$B$14</f>
        <v/>
      </c>
      <c r="O91" s="190">
        <f>N90*'01_Вводные'!$B$14</f>
        <v/>
      </c>
      <c r="P91" s="190">
        <f>O90*'01_Вводные'!$B$14</f>
        <v/>
      </c>
      <c r="Q91" s="190">
        <f>P90*'01_Вводные'!$B$14</f>
        <v/>
      </c>
      <c r="R91" s="190">
        <f>Q90*'01_Вводные'!$B$14</f>
        <v/>
      </c>
      <c r="S91" s="190">
        <f>R90*'01_Вводные'!$B$14</f>
        <v/>
      </c>
      <c r="T91" s="190">
        <f>S90*'01_Вводные'!$B$14</f>
        <v/>
      </c>
      <c r="U91" s="190">
        <f>T90*'01_Вводные'!$B$14</f>
        <v/>
      </c>
      <c r="V91" s="190">
        <f>U90*'01_Вводные'!$B$14</f>
        <v/>
      </c>
      <c r="W91" s="190">
        <f>V90*'01_Вводные'!$B$14</f>
        <v/>
      </c>
      <c r="X91" s="190">
        <f>W90*'01_Вводные'!$B$14</f>
        <v/>
      </c>
      <c r="Y91" s="190">
        <f>X90*'01_Вводные'!$B$14</f>
        <v/>
      </c>
      <c r="Z91" s="190">
        <f>Y90*'01_Вводные'!$B$14</f>
        <v/>
      </c>
      <c r="AA91" s="190">
        <f>Z90*'01_Вводные'!$B$14</f>
        <v/>
      </c>
      <c r="AB91" s="190">
        <f>AA90*'01_Вводные'!$B$14</f>
        <v/>
      </c>
      <c r="AC91" s="190">
        <f>AB90*'01_Вводные'!$B$14</f>
        <v/>
      </c>
      <c r="AD91" s="190">
        <f>AC90*'01_Вводные'!$B$14</f>
        <v/>
      </c>
      <c r="AE91" s="190">
        <f>AD90*'01_Вводные'!$B$14</f>
        <v/>
      </c>
      <c r="AF91" s="190">
        <f>AE90*'01_Вводные'!$B$14</f>
        <v/>
      </c>
      <c r="AG91" s="190">
        <f>AF90*'01_Вводные'!$B$14</f>
        <v/>
      </c>
      <c r="AH91" s="190">
        <f>AG90*'01_Вводные'!$B$14</f>
        <v/>
      </c>
      <c r="AI91" s="190">
        <f>AH90*'01_Вводные'!$B$14</f>
        <v/>
      </c>
      <c r="AJ91" s="190">
        <f>AI90*'01_Вводные'!$B$14</f>
        <v/>
      </c>
      <c r="AK91" s="190">
        <f>AJ90*'01_Вводные'!$B$14</f>
        <v/>
      </c>
      <c r="AL91" s="190">
        <f>AK90*'01_Вводные'!$B$14</f>
        <v/>
      </c>
      <c r="AM91" s="190">
        <f>AL90*'01_Вводные'!$B$14</f>
        <v/>
      </c>
      <c r="AN91" s="190">
        <f>AM90*'01_Вводные'!$B$14</f>
        <v/>
      </c>
      <c r="AO91" s="190">
        <f>AN90*'01_Вводные'!$B$14</f>
        <v/>
      </c>
      <c r="AP91" s="190">
        <f>AO90*'01_Вводные'!$B$14</f>
        <v/>
      </c>
      <c r="AQ91" s="190">
        <f>AP90*'01_Вводные'!$B$14</f>
        <v/>
      </c>
      <c r="AR91" s="190">
        <f>AQ90*'01_Вводные'!$B$14</f>
        <v/>
      </c>
      <c r="AS91" s="190">
        <f>AR90*'01_Вводные'!$B$14</f>
        <v/>
      </c>
      <c r="AT91" s="190">
        <f>AS90*'01_Вводные'!$B$14</f>
        <v/>
      </c>
      <c r="AU91" s="190">
        <f>AT90*'01_Вводные'!$B$14</f>
        <v/>
      </c>
      <c r="AV91" s="190">
        <f>AU90*'01_Вводные'!$B$14</f>
        <v/>
      </c>
      <c r="AW91" s="190">
        <f>AV90*'01_Вводные'!$B$14</f>
        <v/>
      </c>
      <c r="AX91" s="190">
        <f>AW90*'01_Вводные'!$B$14</f>
        <v/>
      </c>
      <c r="AY91" s="190">
        <f>AX90*'01_Вводные'!$B$14</f>
        <v/>
      </c>
      <c r="AZ91" s="190">
        <f>AY90*'01_Вводные'!$B$14</f>
        <v/>
      </c>
      <c r="BA91" s="190">
        <f>AZ90*'01_Вводные'!$B$14</f>
        <v/>
      </c>
      <c r="BB91" s="190">
        <f>BA90*'01_Вводные'!$B$14</f>
        <v/>
      </c>
      <c r="BC91" s="190">
        <f>BB90*'01_Вводные'!$B$14</f>
        <v/>
      </c>
      <c r="BD91" s="190">
        <f>BC90*'01_Вводные'!$B$14</f>
        <v/>
      </c>
      <c r="BE91" s="190">
        <f>BD90*'01_Вводные'!$B$14</f>
        <v/>
      </c>
      <c r="BF91" s="190">
        <f>BE90*'01_Вводные'!$B$14</f>
        <v/>
      </c>
      <c r="BG91" s="190">
        <f>BF90*'01_Вводные'!$B$14</f>
        <v/>
      </c>
      <c r="BH91" s="190">
        <f>BG90*'01_Вводные'!$B$14</f>
        <v/>
      </c>
      <c r="BI91" s="190">
        <f>BH90*'01_Вводные'!$B$14</f>
        <v/>
      </c>
      <c r="BJ91" s="190">
        <f>BI90*'01_Вводные'!$B$14</f>
        <v/>
      </c>
      <c r="BK91" s="190">
        <f>BJ90*'01_Вводные'!$B$14</f>
        <v/>
      </c>
      <c r="BL91" s="190">
        <f>BK90*'01_Вводные'!$B$14</f>
        <v/>
      </c>
      <c r="BM91" s="190">
        <f>BL90*'01_Вводные'!$B$14</f>
        <v/>
      </c>
      <c r="BN91" s="190">
        <f>BM90*'01_Вводные'!$B$14</f>
        <v/>
      </c>
      <c r="BO91" s="190">
        <f>BN90*'01_Вводные'!$B$14</f>
        <v/>
      </c>
    </row>
    <row r="92" hidden="1" outlineLevel="1">
      <c r="A92" t="inlineStr">
        <is>
          <t>12 мес.</t>
        </is>
      </c>
      <c r="B92" s="189">
        <f>0</f>
        <v/>
      </c>
      <c r="C92" s="190">
        <f>B91*'01_Вводные'!$B$14</f>
        <v/>
      </c>
      <c r="D92" s="190">
        <f>C91*'01_Вводные'!$B$14</f>
        <v/>
      </c>
      <c r="E92" s="190">
        <f>D91*'01_Вводные'!$B$14</f>
        <v/>
      </c>
      <c r="F92" s="190">
        <f>E91*'01_Вводные'!$B$14</f>
        <v/>
      </c>
      <c r="G92" s="190">
        <f>F91*'01_Вводные'!$B$14</f>
        <v/>
      </c>
      <c r="H92" s="190">
        <f>G91*'01_Вводные'!$B$14</f>
        <v/>
      </c>
      <c r="I92" s="190">
        <f>H91*'01_Вводные'!$B$14</f>
        <v/>
      </c>
      <c r="J92" s="190">
        <f>I91*'01_Вводные'!$B$14</f>
        <v/>
      </c>
      <c r="K92" s="190">
        <f>J91*'01_Вводные'!$B$14</f>
        <v/>
      </c>
      <c r="L92" s="190">
        <f>K91*'01_Вводные'!$B$14</f>
        <v/>
      </c>
      <c r="M92" s="190">
        <f>L91*'01_Вводные'!$B$14</f>
        <v/>
      </c>
      <c r="N92" s="190">
        <f>M91*'01_Вводные'!$B$14</f>
        <v/>
      </c>
      <c r="O92" s="190">
        <f>N91*'01_Вводные'!$B$14</f>
        <v/>
      </c>
      <c r="P92" s="190">
        <f>O91*'01_Вводные'!$B$14</f>
        <v/>
      </c>
      <c r="Q92" s="190">
        <f>P91*'01_Вводные'!$B$14</f>
        <v/>
      </c>
      <c r="R92" s="190">
        <f>Q91*'01_Вводные'!$B$14</f>
        <v/>
      </c>
      <c r="S92" s="190">
        <f>R91*'01_Вводные'!$B$14</f>
        <v/>
      </c>
      <c r="T92" s="190">
        <f>S91*'01_Вводные'!$B$14</f>
        <v/>
      </c>
      <c r="U92" s="190">
        <f>T91*'01_Вводные'!$B$14</f>
        <v/>
      </c>
      <c r="V92" s="190">
        <f>U91*'01_Вводные'!$B$14</f>
        <v/>
      </c>
      <c r="W92" s="190">
        <f>V91*'01_Вводные'!$B$14</f>
        <v/>
      </c>
      <c r="X92" s="190">
        <f>W91*'01_Вводные'!$B$14</f>
        <v/>
      </c>
      <c r="Y92" s="190">
        <f>X91*'01_Вводные'!$B$14</f>
        <v/>
      </c>
      <c r="Z92" s="190">
        <f>Y91*'01_Вводные'!$B$14</f>
        <v/>
      </c>
      <c r="AA92" s="190">
        <f>Z91*'01_Вводные'!$B$14</f>
        <v/>
      </c>
      <c r="AB92" s="190">
        <f>AA91*'01_Вводные'!$B$14</f>
        <v/>
      </c>
      <c r="AC92" s="190">
        <f>AB91*'01_Вводные'!$B$14</f>
        <v/>
      </c>
      <c r="AD92" s="190">
        <f>AC91*'01_Вводные'!$B$14</f>
        <v/>
      </c>
      <c r="AE92" s="190">
        <f>AD91*'01_Вводные'!$B$14</f>
        <v/>
      </c>
      <c r="AF92" s="190">
        <f>AE91*'01_Вводные'!$B$14</f>
        <v/>
      </c>
      <c r="AG92" s="190">
        <f>AF91*'01_Вводные'!$B$14</f>
        <v/>
      </c>
      <c r="AH92" s="190">
        <f>AG91*'01_Вводные'!$B$14</f>
        <v/>
      </c>
      <c r="AI92" s="190">
        <f>AH91*'01_Вводные'!$B$14</f>
        <v/>
      </c>
      <c r="AJ92" s="190">
        <f>AI91*'01_Вводные'!$B$14</f>
        <v/>
      </c>
      <c r="AK92" s="190">
        <f>AJ91*'01_Вводные'!$B$14</f>
        <v/>
      </c>
      <c r="AL92" s="190">
        <f>AK91*'01_Вводные'!$B$14</f>
        <v/>
      </c>
      <c r="AM92" s="190">
        <f>AL91*'01_Вводные'!$B$14</f>
        <v/>
      </c>
      <c r="AN92" s="190">
        <f>AM91*'01_Вводные'!$B$14</f>
        <v/>
      </c>
      <c r="AO92" s="190">
        <f>AN91*'01_Вводные'!$B$14</f>
        <v/>
      </c>
      <c r="AP92" s="190">
        <f>AO91*'01_Вводные'!$B$14</f>
        <v/>
      </c>
      <c r="AQ92" s="190">
        <f>AP91*'01_Вводные'!$B$14</f>
        <v/>
      </c>
      <c r="AR92" s="190">
        <f>AQ91*'01_Вводные'!$B$14</f>
        <v/>
      </c>
      <c r="AS92" s="190">
        <f>AR91*'01_Вводные'!$B$14</f>
        <v/>
      </c>
      <c r="AT92" s="190">
        <f>AS91*'01_Вводные'!$B$14</f>
        <v/>
      </c>
      <c r="AU92" s="190">
        <f>AT91*'01_Вводные'!$B$14</f>
        <v/>
      </c>
      <c r="AV92" s="190">
        <f>AU91*'01_Вводные'!$B$14</f>
        <v/>
      </c>
      <c r="AW92" s="190">
        <f>AV91*'01_Вводные'!$B$14</f>
        <v/>
      </c>
      <c r="AX92" s="190">
        <f>AW91*'01_Вводные'!$B$14</f>
        <v/>
      </c>
      <c r="AY92" s="190">
        <f>AX91*'01_Вводные'!$B$14</f>
        <v/>
      </c>
      <c r="AZ92" s="190">
        <f>AY91*'01_Вводные'!$B$14</f>
        <v/>
      </c>
      <c r="BA92" s="190">
        <f>AZ91*'01_Вводные'!$B$14</f>
        <v/>
      </c>
      <c r="BB92" s="190">
        <f>BA91*'01_Вводные'!$B$14</f>
        <v/>
      </c>
      <c r="BC92" s="190">
        <f>BB91*'01_Вводные'!$B$14</f>
        <v/>
      </c>
      <c r="BD92" s="190">
        <f>BC91*'01_Вводные'!$B$14</f>
        <v/>
      </c>
      <c r="BE92" s="190">
        <f>BD91*'01_Вводные'!$B$14</f>
        <v/>
      </c>
      <c r="BF92" s="190">
        <f>BE91*'01_Вводные'!$B$14</f>
        <v/>
      </c>
      <c r="BG92" s="190">
        <f>BF91*'01_Вводные'!$B$14</f>
        <v/>
      </c>
      <c r="BH92" s="190">
        <f>BG91*'01_Вводные'!$B$14</f>
        <v/>
      </c>
      <c r="BI92" s="190">
        <f>BH91*'01_Вводные'!$B$14</f>
        <v/>
      </c>
      <c r="BJ92" s="190">
        <f>BI91*'01_Вводные'!$B$14</f>
        <v/>
      </c>
      <c r="BK92" s="190">
        <f>BJ91*'01_Вводные'!$B$14</f>
        <v/>
      </c>
      <c r="BL92" s="190">
        <f>BK91*'01_Вводные'!$B$14</f>
        <v/>
      </c>
      <c r="BM92" s="190">
        <f>BL91*'01_Вводные'!$B$14</f>
        <v/>
      </c>
      <c r="BN92" s="190">
        <f>BM91*'01_Вводные'!$B$14</f>
        <v/>
      </c>
      <c r="BO92" s="190">
        <f>BN91*'01_Вводные'!$B$14</f>
        <v/>
      </c>
    </row>
    <row r="93" hidden="1" outlineLevel="1">
      <c r="A93" t="inlineStr">
        <is>
          <t>13 мес.</t>
        </is>
      </c>
      <c r="B93" s="188">
        <f>0</f>
        <v/>
      </c>
      <c r="C93" s="191">
        <f>B92*'01_Вводные'!$B$14</f>
        <v/>
      </c>
      <c r="D93" s="191">
        <f>C92*'01_Вводные'!$B$14</f>
        <v/>
      </c>
      <c r="E93" s="191">
        <f>D92*'01_Вводные'!$B$14</f>
        <v/>
      </c>
      <c r="F93" s="191">
        <f>E92*'01_Вводные'!$B$14</f>
        <v/>
      </c>
      <c r="G93" s="191">
        <f>F92*'01_Вводные'!$B$14</f>
        <v/>
      </c>
      <c r="H93" s="191">
        <f>G92*'01_Вводные'!$B$14</f>
        <v/>
      </c>
      <c r="I93" s="191">
        <f>H92*'01_Вводные'!$B$14</f>
        <v/>
      </c>
      <c r="J93" s="191">
        <f>I92*'01_Вводные'!$B$14</f>
        <v/>
      </c>
      <c r="K93" s="191">
        <f>J92*'01_Вводные'!$B$14</f>
        <v/>
      </c>
      <c r="L93" s="191">
        <f>K92*'01_Вводные'!$B$14</f>
        <v/>
      </c>
      <c r="M93" s="191">
        <f>L92*'01_Вводные'!$B$14</f>
        <v/>
      </c>
      <c r="N93" s="191">
        <f>M92*'01_Вводные'!$B$14</f>
        <v/>
      </c>
      <c r="O93" s="191">
        <f>N92*'01_Вводные'!$B$14</f>
        <v/>
      </c>
      <c r="P93" s="191">
        <f>O92*'01_Вводные'!$B$14</f>
        <v/>
      </c>
      <c r="Q93" s="191">
        <f>P92*'01_Вводные'!$B$14</f>
        <v/>
      </c>
      <c r="R93" s="191">
        <f>Q92*'01_Вводные'!$B$14</f>
        <v/>
      </c>
      <c r="S93" s="191">
        <f>R92*'01_Вводные'!$B$14</f>
        <v/>
      </c>
      <c r="T93" s="191">
        <f>S92*'01_Вводные'!$B$14</f>
        <v/>
      </c>
      <c r="U93" s="191">
        <f>T92*'01_Вводные'!$B$14</f>
        <v/>
      </c>
      <c r="V93" s="191">
        <f>U92*'01_Вводные'!$B$14</f>
        <v/>
      </c>
      <c r="W93" s="191">
        <f>V92*'01_Вводные'!$B$14</f>
        <v/>
      </c>
      <c r="X93" s="191">
        <f>W92*'01_Вводные'!$B$14</f>
        <v/>
      </c>
      <c r="Y93" s="191">
        <f>X92*'01_Вводные'!$B$14</f>
        <v/>
      </c>
      <c r="Z93" s="191">
        <f>Y92*'01_Вводные'!$B$14</f>
        <v/>
      </c>
      <c r="AA93" s="191">
        <f>Z92*'01_Вводные'!$B$14</f>
        <v/>
      </c>
      <c r="AB93" s="191">
        <f>AA92*'01_Вводные'!$B$14</f>
        <v/>
      </c>
      <c r="AC93" s="191">
        <f>AB92*'01_Вводные'!$B$14</f>
        <v/>
      </c>
      <c r="AD93" s="191">
        <f>AC92*'01_Вводные'!$B$14</f>
        <v/>
      </c>
      <c r="AE93" s="191">
        <f>AD92*'01_Вводные'!$B$14</f>
        <v/>
      </c>
      <c r="AF93" s="191">
        <f>AE92*'01_Вводные'!$B$14</f>
        <v/>
      </c>
      <c r="AG93" s="191">
        <f>AF92*'01_Вводные'!$B$14</f>
        <v/>
      </c>
      <c r="AH93" s="191">
        <f>AG92*'01_Вводные'!$B$14</f>
        <v/>
      </c>
      <c r="AI93" s="191">
        <f>AH92*'01_Вводные'!$B$14</f>
        <v/>
      </c>
      <c r="AJ93" s="191">
        <f>AI92*'01_Вводные'!$B$14</f>
        <v/>
      </c>
      <c r="AK93" s="191">
        <f>AJ92*'01_Вводные'!$B$14</f>
        <v/>
      </c>
      <c r="AL93" s="191">
        <f>AK92*'01_Вводные'!$B$14</f>
        <v/>
      </c>
      <c r="AM93" s="191">
        <f>AL92*'01_Вводные'!$B$14</f>
        <v/>
      </c>
      <c r="AN93" s="191">
        <f>AM92*'01_Вводные'!$B$14</f>
        <v/>
      </c>
      <c r="AO93" s="191">
        <f>AN92*'01_Вводные'!$B$14</f>
        <v/>
      </c>
      <c r="AP93" s="191">
        <f>AO92*'01_Вводные'!$B$14</f>
        <v/>
      </c>
      <c r="AQ93" s="191">
        <f>AP92*'01_Вводные'!$B$14</f>
        <v/>
      </c>
      <c r="AR93" s="191">
        <f>AQ92*'01_Вводные'!$B$14</f>
        <v/>
      </c>
      <c r="AS93" s="191">
        <f>AR92*'01_Вводные'!$B$14</f>
        <v/>
      </c>
      <c r="AT93" s="191">
        <f>AS92*'01_Вводные'!$B$14</f>
        <v/>
      </c>
      <c r="AU93" s="191">
        <f>AT92*'01_Вводные'!$B$14</f>
        <v/>
      </c>
      <c r="AV93" s="191">
        <f>AU92*'01_Вводные'!$B$14</f>
        <v/>
      </c>
      <c r="AW93" s="191">
        <f>AV92*'01_Вводные'!$B$14</f>
        <v/>
      </c>
      <c r="AX93" s="191">
        <f>AW92*'01_Вводные'!$B$14</f>
        <v/>
      </c>
      <c r="AY93" s="191">
        <f>AX92*'01_Вводные'!$B$14</f>
        <v/>
      </c>
      <c r="AZ93" s="191">
        <f>AY92*'01_Вводные'!$B$14</f>
        <v/>
      </c>
      <c r="BA93" s="191">
        <f>AZ92*'01_Вводные'!$B$14</f>
        <v/>
      </c>
      <c r="BB93" s="191">
        <f>BA92*'01_Вводные'!$B$14</f>
        <v/>
      </c>
      <c r="BC93" s="191">
        <f>BB92*'01_Вводные'!$B$14</f>
        <v/>
      </c>
      <c r="BD93" s="191">
        <f>BC92*'01_Вводные'!$B$14</f>
        <v/>
      </c>
      <c r="BE93" s="191">
        <f>BD92*'01_Вводные'!$B$14</f>
        <v/>
      </c>
      <c r="BF93" s="191">
        <f>BE92*'01_Вводные'!$B$14</f>
        <v/>
      </c>
      <c r="BG93" s="191">
        <f>BF92*'01_Вводные'!$B$14</f>
        <v/>
      </c>
      <c r="BH93" s="191">
        <f>BG92*'01_Вводные'!$B$14</f>
        <v/>
      </c>
      <c r="BI93" s="191">
        <f>BH92*'01_Вводные'!$B$14</f>
        <v/>
      </c>
      <c r="BJ93" s="191">
        <f>BI92*'01_Вводные'!$B$14</f>
        <v/>
      </c>
      <c r="BK93" s="191">
        <f>BJ92*'01_Вводные'!$B$14</f>
        <v/>
      </c>
      <c r="BL93" s="191">
        <f>BK92*'01_Вводные'!$B$14</f>
        <v/>
      </c>
      <c r="BM93" s="191">
        <f>BL92*'01_Вводные'!$B$14</f>
        <v/>
      </c>
      <c r="BN93" s="191">
        <f>BM92*'01_Вводные'!$B$14</f>
        <v/>
      </c>
      <c r="BO93" s="191">
        <f>BN92*'01_Вводные'!$B$14</f>
        <v/>
      </c>
    </row>
    <row r="94" hidden="1" outlineLevel="1">
      <c r="A94" t="inlineStr">
        <is>
          <t>14 мес.</t>
        </is>
      </c>
      <c r="B94" s="189">
        <f>0</f>
        <v/>
      </c>
      <c r="C94" s="190">
        <f>B93*'01_Вводные'!$B$14</f>
        <v/>
      </c>
      <c r="D94" s="190">
        <f>C93*'01_Вводные'!$B$14</f>
        <v/>
      </c>
      <c r="E94" s="190">
        <f>D93*'01_Вводные'!$B$14</f>
        <v/>
      </c>
      <c r="F94" s="190">
        <f>E93*'01_Вводные'!$B$14</f>
        <v/>
      </c>
      <c r="G94" s="190">
        <f>F93*'01_Вводные'!$B$14</f>
        <v/>
      </c>
      <c r="H94" s="190">
        <f>G93*'01_Вводные'!$B$14</f>
        <v/>
      </c>
      <c r="I94" s="190">
        <f>H93*'01_Вводные'!$B$14</f>
        <v/>
      </c>
      <c r="J94" s="190">
        <f>I93*'01_Вводные'!$B$14</f>
        <v/>
      </c>
      <c r="K94" s="190">
        <f>J93*'01_Вводные'!$B$14</f>
        <v/>
      </c>
      <c r="L94" s="190">
        <f>K93*'01_Вводные'!$B$14</f>
        <v/>
      </c>
      <c r="M94" s="190">
        <f>L93*'01_Вводные'!$B$14</f>
        <v/>
      </c>
      <c r="N94" s="190">
        <f>M93*'01_Вводные'!$B$14</f>
        <v/>
      </c>
      <c r="O94" s="190">
        <f>N93*'01_Вводные'!$B$14</f>
        <v/>
      </c>
      <c r="P94" s="190">
        <f>O93*'01_Вводные'!$B$14</f>
        <v/>
      </c>
      <c r="Q94" s="190">
        <f>P93*'01_Вводные'!$B$14</f>
        <v/>
      </c>
      <c r="R94" s="190">
        <f>Q93*'01_Вводные'!$B$14</f>
        <v/>
      </c>
      <c r="S94" s="190">
        <f>R93*'01_Вводные'!$B$14</f>
        <v/>
      </c>
      <c r="T94" s="190">
        <f>S93*'01_Вводные'!$B$14</f>
        <v/>
      </c>
      <c r="U94" s="190">
        <f>T93*'01_Вводные'!$B$14</f>
        <v/>
      </c>
      <c r="V94" s="190">
        <f>U93*'01_Вводные'!$B$14</f>
        <v/>
      </c>
      <c r="W94" s="190">
        <f>V93*'01_Вводные'!$B$14</f>
        <v/>
      </c>
      <c r="X94" s="190">
        <f>W93*'01_Вводные'!$B$14</f>
        <v/>
      </c>
      <c r="Y94" s="190">
        <f>X93*'01_Вводные'!$B$14</f>
        <v/>
      </c>
      <c r="Z94" s="190">
        <f>Y93*'01_Вводные'!$B$14</f>
        <v/>
      </c>
      <c r="AA94" s="190">
        <f>Z93*'01_Вводные'!$B$14</f>
        <v/>
      </c>
      <c r="AB94" s="190">
        <f>AA93*'01_Вводные'!$B$14</f>
        <v/>
      </c>
      <c r="AC94" s="190">
        <f>AB93*'01_Вводные'!$B$14</f>
        <v/>
      </c>
      <c r="AD94" s="190">
        <f>AC93*'01_Вводные'!$B$14</f>
        <v/>
      </c>
      <c r="AE94" s="190">
        <f>AD93*'01_Вводные'!$B$14</f>
        <v/>
      </c>
      <c r="AF94" s="190">
        <f>AE93*'01_Вводные'!$B$14</f>
        <v/>
      </c>
      <c r="AG94" s="190">
        <f>AF93*'01_Вводные'!$B$14</f>
        <v/>
      </c>
      <c r="AH94" s="190">
        <f>AG93*'01_Вводные'!$B$14</f>
        <v/>
      </c>
      <c r="AI94" s="190">
        <f>AH93*'01_Вводные'!$B$14</f>
        <v/>
      </c>
      <c r="AJ94" s="190">
        <f>AI93*'01_Вводные'!$B$14</f>
        <v/>
      </c>
      <c r="AK94" s="190">
        <f>AJ93*'01_Вводные'!$B$14</f>
        <v/>
      </c>
      <c r="AL94" s="190">
        <f>AK93*'01_Вводные'!$B$14</f>
        <v/>
      </c>
      <c r="AM94" s="190">
        <f>AL93*'01_Вводные'!$B$14</f>
        <v/>
      </c>
      <c r="AN94" s="190">
        <f>AM93*'01_Вводные'!$B$14</f>
        <v/>
      </c>
      <c r="AO94" s="190">
        <f>AN93*'01_Вводные'!$B$14</f>
        <v/>
      </c>
      <c r="AP94" s="190">
        <f>AO93*'01_Вводные'!$B$14</f>
        <v/>
      </c>
      <c r="AQ94" s="190">
        <f>AP93*'01_Вводные'!$B$14</f>
        <v/>
      </c>
      <c r="AR94" s="190">
        <f>AQ93*'01_Вводные'!$B$14</f>
        <v/>
      </c>
      <c r="AS94" s="190">
        <f>AR93*'01_Вводные'!$B$14</f>
        <v/>
      </c>
      <c r="AT94" s="190">
        <f>AS93*'01_Вводные'!$B$14</f>
        <v/>
      </c>
      <c r="AU94" s="190">
        <f>AT93*'01_Вводные'!$B$14</f>
        <v/>
      </c>
      <c r="AV94" s="190">
        <f>AU93*'01_Вводные'!$B$14</f>
        <v/>
      </c>
      <c r="AW94" s="190">
        <f>AV93*'01_Вводные'!$B$14</f>
        <v/>
      </c>
      <c r="AX94" s="190">
        <f>AW93*'01_Вводные'!$B$14</f>
        <v/>
      </c>
      <c r="AY94" s="190">
        <f>AX93*'01_Вводные'!$B$14</f>
        <v/>
      </c>
      <c r="AZ94" s="190">
        <f>AY93*'01_Вводные'!$B$14</f>
        <v/>
      </c>
      <c r="BA94" s="190">
        <f>AZ93*'01_Вводные'!$B$14</f>
        <v/>
      </c>
      <c r="BB94" s="190">
        <f>BA93*'01_Вводные'!$B$14</f>
        <v/>
      </c>
      <c r="BC94" s="190">
        <f>BB93*'01_Вводные'!$B$14</f>
        <v/>
      </c>
      <c r="BD94" s="190">
        <f>BC93*'01_Вводные'!$B$14</f>
        <v/>
      </c>
      <c r="BE94" s="190">
        <f>BD93*'01_Вводные'!$B$14</f>
        <v/>
      </c>
      <c r="BF94" s="190">
        <f>BE93*'01_Вводные'!$B$14</f>
        <v/>
      </c>
      <c r="BG94" s="190">
        <f>BF93*'01_Вводные'!$B$14</f>
        <v/>
      </c>
      <c r="BH94" s="190">
        <f>BG93*'01_Вводные'!$B$14</f>
        <v/>
      </c>
      <c r="BI94" s="190">
        <f>BH93*'01_Вводные'!$B$14</f>
        <v/>
      </c>
      <c r="BJ94" s="190">
        <f>BI93*'01_Вводные'!$B$14</f>
        <v/>
      </c>
      <c r="BK94" s="190">
        <f>BJ93*'01_Вводные'!$B$14</f>
        <v/>
      </c>
      <c r="BL94" s="190">
        <f>BK93*'01_Вводные'!$B$14</f>
        <v/>
      </c>
      <c r="BM94" s="190">
        <f>BL93*'01_Вводные'!$B$14</f>
        <v/>
      </c>
      <c r="BN94" s="190">
        <f>BM93*'01_Вводные'!$B$14</f>
        <v/>
      </c>
      <c r="BO94" s="190">
        <f>BN93*'01_Вводные'!$B$14</f>
        <v/>
      </c>
    </row>
    <row r="95" hidden="1" outlineLevel="1">
      <c r="A95" t="inlineStr">
        <is>
          <t>15 мес.</t>
        </is>
      </c>
      <c r="B95" s="189">
        <f>0</f>
        <v/>
      </c>
      <c r="C95" s="190">
        <f>B94*'01_Вводные'!$B$14</f>
        <v/>
      </c>
      <c r="D95" s="190">
        <f>C94*'01_Вводные'!$B$14</f>
        <v/>
      </c>
      <c r="E95" s="190">
        <f>D94*'01_Вводные'!$B$14</f>
        <v/>
      </c>
      <c r="F95" s="190">
        <f>E94*'01_Вводные'!$B$14</f>
        <v/>
      </c>
      <c r="G95" s="190">
        <f>F94*'01_Вводные'!$B$14</f>
        <v/>
      </c>
      <c r="H95" s="190">
        <f>G94*'01_Вводные'!$B$14</f>
        <v/>
      </c>
      <c r="I95" s="190">
        <f>H94*'01_Вводные'!$B$14</f>
        <v/>
      </c>
      <c r="J95" s="190">
        <f>I94*'01_Вводные'!$B$14</f>
        <v/>
      </c>
      <c r="K95" s="190">
        <f>J94*'01_Вводные'!$B$14</f>
        <v/>
      </c>
      <c r="L95" s="190">
        <f>K94*'01_Вводные'!$B$14</f>
        <v/>
      </c>
      <c r="M95" s="190">
        <f>L94*'01_Вводные'!$B$14</f>
        <v/>
      </c>
      <c r="N95" s="190">
        <f>M94*'01_Вводные'!$B$14</f>
        <v/>
      </c>
      <c r="O95" s="190">
        <f>N94*'01_Вводные'!$B$14</f>
        <v/>
      </c>
      <c r="P95" s="190">
        <f>O94*'01_Вводные'!$B$14</f>
        <v/>
      </c>
      <c r="Q95" s="190">
        <f>P94*'01_Вводные'!$B$14</f>
        <v/>
      </c>
      <c r="R95" s="190">
        <f>Q94*'01_Вводные'!$B$14</f>
        <v/>
      </c>
      <c r="S95" s="190">
        <f>R94*'01_Вводные'!$B$14</f>
        <v/>
      </c>
      <c r="T95" s="190">
        <f>S94*'01_Вводные'!$B$14</f>
        <v/>
      </c>
      <c r="U95" s="190">
        <f>T94*'01_Вводные'!$B$14</f>
        <v/>
      </c>
      <c r="V95" s="190">
        <f>U94*'01_Вводные'!$B$14</f>
        <v/>
      </c>
      <c r="W95" s="190">
        <f>V94*'01_Вводные'!$B$14</f>
        <v/>
      </c>
      <c r="X95" s="190">
        <f>W94*'01_Вводные'!$B$14</f>
        <v/>
      </c>
      <c r="Y95" s="190">
        <f>X94*'01_Вводные'!$B$14</f>
        <v/>
      </c>
      <c r="Z95" s="190">
        <f>Y94*'01_Вводные'!$B$14</f>
        <v/>
      </c>
      <c r="AA95" s="190">
        <f>Z94*'01_Вводные'!$B$14</f>
        <v/>
      </c>
      <c r="AB95" s="190">
        <f>AA94*'01_Вводные'!$B$14</f>
        <v/>
      </c>
      <c r="AC95" s="190">
        <f>AB94*'01_Вводные'!$B$14</f>
        <v/>
      </c>
      <c r="AD95" s="190">
        <f>AC94*'01_Вводные'!$B$14</f>
        <v/>
      </c>
      <c r="AE95" s="190">
        <f>AD94*'01_Вводные'!$B$14</f>
        <v/>
      </c>
      <c r="AF95" s="190">
        <f>AE94*'01_Вводные'!$B$14</f>
        <v/>
      </c>
      <c r="AG95" s="190">
        <f>AF94*'01_Вводные'!$B$14</f>
        <v/>
      </c>
      <c r="AH95" s="190">
        <f>AG94*'01_Вводные'!$B$14</f>
        <v/>
      </c>
      <c r="AI95" s="190">
        <f>AH94*'01_Вводные'!$B$14</f>
        <v/>
      </c>
      <c r="AJ95" s="190">
        <f>AI94*'01_Вводные'!$B$14</f>
        <v/>
      </c>
      <c r="AK95" s="190">
        <f>AJ94*'01_Вводные'!$B$14</f>
        <v/>
      </c>
      <c r="AL95" s="190">
        <f>AK94*'01_Вводные'!$B$14</f>
        <v/>
      </c>
      <c r="AM95" s="190">
        <f>AL94*'01_Вводные'!$B$14</f>
        <v/>
      </c>
      <c r="AN95" s="190">
        <f>AM94*'01_Вводные'!$B$14</f>
        <v/>
      </c>
      <c r="AO95" s="190">
        <f>AN94*'01_Вводные'!$B$14</f>
        <v/>
      </c>
      <c r="AP95" s="190">
        <f>AO94*'01_Вводные'!$B$14</f>
        <v/>
      </c>
      <c r="AQ95" s="190">
        <f>AP94*'01_Вводные'!$B$14</f>
        <v/>
      </c>
      <c r="AR95" s="190">
        <f>AQ94*'01_Вводные'!$B$14</f>
        <v/>
      </c>
      <c r="AS95" s="190">
        <f>AR94*'01_Вводные'!$B$14</f>
        <v/>
      </c>
      <c r="AT95" s="190">
        <f>AS94*'01_Вводные'!$B$14</f>
        <v/>
      </c>
      <c r="AU95" s="190">
        <f>AT94*'01_Вводные'!$B$14</f>
        <v/>
      </c>
      <c r="AV95" s="190">
        <f>AU94*'01_Вводные'!$B$14</f>
        <v/>
      </c>
      <c r="AW95" s="190">
        <f>AV94*'01_Вводные'!$B$14</f>
        <v/>
      </c>
      <c r="AX95" s="190">
        <f>AW94*'01_Вводные'!$B$14</f>
        <v/>
      </c>
      <c r="AY95" s="190">
        <f>AX94*'01_Вводные'!$B$14</f>
        <v/>
      </c>
      <c r="AZ95" s="190">
        <f>AY94*'01_Вводные'!$B$14</f>
        <v/>
      </c>
      <c r="BA95" s="190">
        <f>AZ94*'01_Вводные'!$B$14</f>
        <v/>
      </c>
      <c r="BB95" s="190">
        <f>BA94*'01_Вводные'!$B$14</f>
        <v/>
      </c>
      <c r="BC95" s="190">
        <f>BB94*'01_Вводные'!$B$14</f>
        <v/>
      </c>
      <c r="BD95" s="190">
        <f>BC94*'01_Вводные'!$B$14</f>
        <v/>
      </c>
      <c r="BE95" s="190">
        <f>BD94*'01_Вводные'!$B$14</f>
        <v/>
      </c>
      <c r="BF95" s="190">
        <f>BE94*'01_Вводные'!$B$14</f>
        <v/>
      </c>
      <c r="BG95" s="190">
        <f>BF94*'01_Вводные'!$B$14</f>
        <v/>
      </c>
      <c r="BH95" s="190">
        <f>BG94*'01_Вводные'!$B$14</f>
        <v/>
      </c>
      <c r="BI95" s="190">
        <f>BH94*'01_Вводные'!$B$14</f>
        <v/>
      </c>
      <c r="BJ95" s="190">
        <f>BI94*'01_Вводные'!$B$14</f>
        <v/>
      </c>
      <c r="BK95" s="190">
        <f>BJ94*'01_Вводные'!$B$14</f>
        <v/>
      </c>
      <c r="BL95" s="190">
        <f>BK94*'01_Вводные'!$B$14</f>
        <v/>
      </c>
      <c r="BM95" s="190">
        <f>BL94*'01_Вводные'!$B$14</f>
        <v/>
      </c>
      <c r="BN95" s="190">
        <f>BM94*'01_Вводные'!$B$14</f>
        <v/>
      </c>
      <c r="BO95" s="190">
        <f>BN94*'01_Вводные'!$B$14</f>
        <v/>
      </c>
    </row>
    <row r="96" hidden="1" outlineLevel="1">
      <c r="A96" t="inlineStr">
        <is>
          <t>16 мес.</t>
        </is>
      </c>
      <c r="B96" s="189">
        <f>0</f>
        <v/>
      </c>
      <c r="C96" s="190">
        <f>B95*'01_Вводные'!$B$14</f>
        <v/>
      </c>
      <c r="D96" s="190">
        <f>C95*'01_Вводные'!$B$14</f>
        <v/>
      </c>
      <c r="E96" s="190">
        <f>D95*'01_Вводные'!$B$14</f>
        <v/>
      </c>
      <c r="F96" s="190">
        <f>E95*'01_Вводные'!$B$14</f>
        <v/>
      </c>
      <c r="G96" s="190">
        <f>F95*'01_Вводные'!$B$14</f>
        <v/>
      </c>
      <c r="H96" s="190">
        <f>G95*'01_Вводные'!$B$14</f>
        <v/>
      </c>
      <c r="I96" s="190">
        <f>H95*'01_Вводные'!$B$14</f>
        <v/>
      </c>
      <c r="J96" s="190">
        <f>I95*'01_Вводные'!$B$14</f>
        <v/>
      </c>
      <c r="K96" s="190">
        <f>J95*'01_Вводные'!$B$14</f>
        <v/>
      </c>
      <c r="L96" s="190">
        <f>K95*'01_Вводные'!$B$14</f>
        <v/>
      </c>
      <c r="M96" s="190">
        <f>L95*'01_Вводные'!$B$14</f>
        <v/>
      </c>
      <c r="N96" s="190">
        <f>M95*'01_Вводные'!$B$14</f>
        <v/>
      </c>
      <c r="O96" s="190">
        <f>N95*'01_Вводные'!$B$14</f>
        <v/>
      </c>
      <c r="P96" s="190">
        <f>O95*'01_Вводные'!$B$14</f>
        <v/>
      </c>
      <c r="Q96" s="190">
        <f>P95*'01_Вводные'!$B$14</f>
        <v/>
      </c>
      <c r="R96" s="190">
        <f>Q95*'01_Вводные'!$B$14</f>
        <v/>
      </c>
      <c r="S96" s="190">
        <f>R95*'01_Вводные'!$B$14</f>
        <v/>
      </c>
      <c r="T96" s="190">
        <f>S95*'01_Вводные'!$B$14</f>
        <v/>
      </c>
      <c r="U96" s="190">
        <f>T95*'01_Вводные'!$B$14</f>
        <v/>
      </c>
      <c r="V96" s="190">
        <f>U95*'01_Вводные'!$B$14</f>
        <v/>
      </c>
      <c r="W96" s="190">
        <f>V95*'01_Вводные'!$B$14</f>
        <v/>
      </c>
      <c r="X96" s="190">
        <f>W95*'01_Вводные'!$B$14</f>
        <v/>
      </c>
      <c r="Y96" s="190">
        <f>X95*'01_Вводные'!$B$14</f>
        <v/>
      </c>
      <c r="Z96" s="190">
        <f>Y95*'01_Вводные'!$B$14</f>
        <v/>
      </c>
      <c r="AA96" s="190">
        <f>Z95*'01_Вводные'!$B$14</f>
        <v/>
      </c>
      <c r="AB96" s="190">
        <f>AA95*'01_Вводные'!$B$14</f>
        <v/>
      </c>
      <c r="AC96" s="190">
        <f>AB95*'01_Вводные'!$B$14</f>
        <v/>
      </c>
      <c r="AD96" s="190">
        <f>AC95*'01_Вводные'!$B$14</f>
        <v/>
      </c>
      <c r="AE96" s="190">
        <f>AD95*'01_Вводные'!$B$14</f>
        <v/>
      </c>
      <c r="AF96" s="190">
        <f>AE95*'01_Вводные'!$B$14</f>
        <v/>
      </c>
      <c r="AG96" s="190">
        <f>AF95*'01_Вводные'!$B$14</f>
        <v/>
      </c>
      <c r="AH96" s="190">
        <f>AG95*'01_Вводные'!$B$14</f>
        <v/>
      </c>
      <c r="AI96" s="190">
        <f>AH95*'01_Вводные'!$B$14</f>
        <v/>
      </c>
      <c r="AJ96" s="190">
        <f>AI95*'01_Вводные'!$B$14</f>
        <v/>
      </c>
      <c r="AK96" s="190">
        <f>AJ95*'01_Вводные'!$B$14</f>
        <v/>
      </c>
      <c r="AL96" s="190">
        <f>AK95*'01_Вводные'!$B$14</f>
        <v/>
      </c>
      <c r="AM96" s="190">
        <f>AL95*'01_Вводные'!$B$14</f>
        <v/>
      </c>
      <c r="AN96" s="190">
        <f>AM95*'01_Вводные'!$B$14</f>
        <v/>
      </c>
      <c r="AO96" s="190">
        <f>AN95*'01_Вводные'!$B$14</f>
        <v/>
      </c>
      <c r="AP96" s="190">
        <f>AO95*'01_Вводные'!$B$14</f>
        <v/>
      </c>
      <c r="AQ96" s="190">
        <f>AP95*'01_Вводные'!$B$14</f>
        <v/>
      </c>
      <c r="AR96" s="190">
        <f>AQ95*'01_Вводные'!$B$14</f>
        <v/>
      </c>
      <c r="AS96" s="190">
        <f>AR95*'01_Вводные'!$B$14</f>
        <v/>
      </c>
      <c r="AT96" s="190">
        <f>AS95*'01_Вводные'!$B$14</f>
        <v/>
      </c>
      <c r="AU96" s="190">
        <f>AT95*'01_Вводные'!$B$14</f>
        <v/>
      </c>
      <c r="AV96" s="190">
        <f>AU95*'01_Вводные'!$B$14</f>
        <v/>
      </c>
      <c r="AW96" s="190">
        <f>AV95*'01_Вводные'!$B$14</f>
        <v/>
      </c>
      <c r="AX96" s="190">
        <f>AW95*'01_Вводные'!$B$14</f>
        <v/>
      </c>
      <c r="AY96" s="190">
        <f>AX95*'01_Вводные'!$B$14</f>
        <v/>
      </c>
      <c r="AZ96" s="190">
        <f>AY95*'01_Вводные'!$B$14</f>
        <v/>
      </c>
      <c r="BA96" s="190">
        <f>AZ95*'01_Вводные'!$B$14</f>
        <v/>
      </c>
      <c r="BB96" s="190">
        <f>BA95*'01_Вводные'!$B$14</f>
        <v/>
      </c>
      <c r="BC96" s="190">
        <f>BB95*'01_Вводные'!$B$14</f>
        <v/>
      </c>
      <c r="BD96" s="190">
        <f>BC95*'01_Вводные'!$B$14</f>
        <v/>
      </c>
      <c r="BE96" s="190">
        <f>BD95*'01_Вводные'!$B$14</f>
        <v/>
      </c>
      <c r="BF96" s="190">
        <f>BE95*'01_Вводные'!$B$14</f>
        <v/>
      </c>
      <c r="BG96" s="190">
        <f>BF95*'01_Вводные'!$B$14</f>
        <v/>
      </c>
      <c r="BH96" s="190">
        <f>BG95*'01_Вводные'!$B$14</f>
        <v/>
      </c>
      <c r="BI96" s="190">
        <f>BH95*'01_Вводные'!$B$14</f>
        <v/>
      </c>
      <c r="BJ96" s="190">
        <f>BI95*'01_Вводные'!$B$14</f>
        <v/>
      </c>
      <c r="BK96" s="190">
        <f>BJ95*'01_Вводные'!$B$14</f>
        <v/>
      </c>
      <c r="BL96" s="190">
        <f>BK95*'01_Вводные'!$B$14</f>
        <v/>
      </c>
      <c r="BM96" s="190">
        <f>BL95*'01_Вводные'!$B$14</f>
        <v/>
      </c>
      <c r="BN96" s="190">
        <f>BM95*'01_Вводные'!$B$14</f>
        <v/>
      </c>
      <c r="BO96" s="190">
        <f>BN95*'01_Вводные'!$B$14</f>
        <v/>
      </c>
    </row>
    <row r="97" hidden="1" outlineLevel="1">
      <c r="A97" t="inlineStr">
        <is>
          <t>17 мес.</t>
        </is>
      </c>
      <c r="B97" s="189">
        <f>0</f>
        <v/>
      </c>
      <c r="C97" s="190">
        <f>B96*'01_Вводные'!$B$14</f>
        <v/>
      </c>
      <c r="D97" s="190">
        <f>C96*'01_Вводные'!$B$14</f>
        <v/>
      </c>
      <c r="E97" s="190">
        <f>D96*'01_Вводные'!$B$14</f>
        <v/>
      </c>
      <c r="F97" s="190">
        <f>E96*'01_Вводные'!$B$14</f>
        <v/>
      </c>
      <c r="G97" s="190">
        <f>F96*'01_Вводные'!$B$14</f>
        <v/>
      </c>
      <c r="H97" s="190">
        <f>G96*'01_Вводные'!$B$14</f>
        <v/>
      </c>
      <c r="I97" s="190">
        <f>H96*'01_Вводные'!$B$14</f>
        <v/>
      </c>
      <c r="J97" s="190">
        <f>I96*'01_Вводные'!$B$14</f>
        <v/>
      </c>
      <c r="K97" s="190">
        <f>J96*'01_Вводные'!$B$14</f>
        <v/>
      </c>
      <c r="L97" s="190">
        <f>K96*'01_Вводные'!$B$14</f>
        <v/>
      </c>
      <c r="M97" s="190">
        <f>L96*'01_Вводные'!$B$14</f>
        <v/>
      </c>
      <c r="N97" s="190">
        <f>M96*'01_Вводные'!$B$14</f>
        <v/>
      </c>
      <c r="O97" s="190">
        <f>N96*'01_Вводные'!$B$14</f>
        <v/>
      </c>
      <c r="P97" s="190">
        <f>O96*'01_Вводные'!$B$14</f>
        <v/>
      </c>
      <c r="Q97" s="190">
        <f>P96*'01_Вводные'!$B$14</f>
        <v/>
      </c>
      <c r="R97" s="190">
        <f>Q96*'01_Вводные'!$B$14</f>
        <v/>
      </c>
      <c r="S97" s="190">
        <f>R96*'01_Вводные'!$B$14</f>
        <v/>
      </c>
      <c r="T97" s="190">
        <f>S96*'01_Вводные'!$B$14</f>
        <v/>
      </c>
      <c r="U97" s="190">
        <f>T96*'01_Вводные'!$B$14</f>
        <v/>
      </c>
      <c r="V97" s="190">
        <f>U96*'01_Вводные'!$B$14</f>
        <v/>
      </c>
      <c r="W97" s="190">
        <f>V96*'01_Вводные'!$B$14</f>
        <v/>
      </c>
      <c r="X97" s="190">
        <f>W96*'01_Вводные'!$B$14</f>
        <v/>
      </c>
      <c r="Y97" s="190">
        <f>X96*'01_Вводные'!$B$14</f>
        <v/>
      </c>
      <c r="Z97" s="190">
        <f>Y96*'01_Вводные'!$B$14</f>
        <v/>
      </c>
      <c r="AA97" s="190">
        <f>Z96*'01_Вводные'!$B$14</f>
        <v/>
      </c>
      <c r="AB97" s="190">
        <f>AA96*'01_Вводные'!$B$14</f>
        <v/>
      </c>
      <c r="AC97" s="190">
        <f>AB96*'01_Вводные'!$B$14</f>
        <v/>
      </c>
      <c r="AD97" s="190">
        <f>AC96*'01_Вводные'!$B$14</f>
        <v/>
      </c>
      <c r="AE97" s="190">
        <f>AD96*'01_Вводные'!$B$14</f>
        <v/>
      </c>
      <c r="AF97" s="190">
        <f>AE96*'01_Вводные'!$B$14</f>
        <v/>
      </c>
      <c r="AG97" s="190">
        <f>AF96*'01_Вводные'!$B$14</f>
        <v/>
      </c>
      <c r="AH97" s="190">
        <f>AG96*'01_Вводные'!$B$14</f>
        <v/>
      </c>
      <c r="AI97" s="190">
        <f>AH96*'01_Вводные'!$B$14</f>
        <v/>
      </c>
      <c r="AJ97" s="190">
        <f>AI96*'01_Вводные'!$B$14</f>
        <v/>
      </c>
      <c r="AK97" s="190">
        <f>AJ96*'01_Вводные'!$B$14</f>
        <v/>
      </c>
      <c r="AL97" s="190">
        <f>AK96*'01_Вводные'!$B$14</f>
        <v/>
      </c>
      <c r="AM97" s="190">
        <f>AL96*'01_Вводные'!$B$14</f>
        <v/>
      </c>
      <c r="AN97" s="190">
        <f>AM96*'01_Вводные'!$B$14</f>
        <v/>
      </c>
      <c r="AO97" s="190">
        <f>AN96*'01_Вводные'!$B$14</f>
        <v/>
      </c>
      <c r="AP97" s="190">
        <f>AO96*'01_Вводные'!$B$14</f>
        <v/>
      </c>
      <c r="AQ97" s="190">
        <f>AP96*'01_Вводные'!$B$14</f>
        <v/>
      </c>
      <c r="AR97" s="190">
        <f>AQ96*'01_Вводные'!$B$14</f>
        <v/>
      </c>
      <c r="AS97" s="190">
        <f>AR96*'01_Вводные'!$B$14</f>
        <v/>
      </c>
      <c r="AT97" s="190">
        <f>AS96*'01_Вводные'!$B$14</f>
        <v/>
      </c>
      <c r="AU97" s="190">
        <f>AT96*'01_Вводные'!$B$14</f>
        <v/>
      </c>
      <c r="AV97" s="190">
        <f>AU96*'01_Вводные'!$B$14</f>
        <v/>
      </c>
      <c r="AW97" s="190">
        <f>AV96*'01_Вводные'!$B$14</f>
        <v/>
      </c>
      <c r="AX97" s="190">
        <f>AW96*'01_Вводные'!$B$14</f>
        <v/>
      </c>
      <c r="AY97" s="190">
        <f>AX96*'01_Вводные'!$B$14</f>
        <v/>
      </c>
      <c r="AZ97" s="190">
        <f>AY96*'01_Вводные'!$B$14</f>
        <v/>
      </c>
      <c r="BA97" s="190">
        <f>AZ96*'01_Вводные'!$B$14</f>
        <v/>
      </c>
      <c r="BB97" s="190">
        <f>BA96*'01_Вводные'!$B$14</f>
        <v/>
      </c>
      <c r="BC97" s="190">
        <f>BB96*'01_Вводные'!$B$14</f>
        <v/>
      </c>
      <c r="BD97" s="190">
        <f>BC96*'01_Вводные'!$B$14</f>
        <v/>
      </c>
      <c r="BE97" s="190">
        <f>BD96*'01_Вводные'!$B$14</f>
        <v/>
      </c>
      <c r="BF97" s="190">
        <f>BE96*'01_Вводные'!$B$14</f>
        <v/>
      </c>
      <c r="BG97" s="190">
        <f>BF96*'01_Вводные'!$B$14</f>
        <v/>
      </c>
      <c r="BH97" s="190">
        <f>BG96*'01_Вводные'!$B$14</f>
        <v/>
      </c>
      <c r="BI97" s="190">
        <f>BH96*'01_Вводные'!$B$14</f>
        <v/>
      </c>
      <c r="BJ97" s="190">
        <f>BI96*'01_Вводные'!$B$14</f>
        <v/>
      </c>
      <c r="BK97" s="190">
        <f>BJ96*'01_Вводные'!$B$14</f>
        <v/>
      </c>
      <c r="BL97" s="190">
        <f>BK96*'01_Вводные'!$B$14</f>
        <v/>
      </c>
      <c r="BM97" s="190">
        <f>BL96*'01_Вводные'!$B$14</f>
        <v/>
      </c>
      <c r="BN97" s="190">
        <f>BM96*'01_Вводные'!$B$14</f>
        <v/>
      </c>
      <c r="BO97" s="190">
        <f>BN96*'01_Вводные'!$B$14</f>
        <v/>
      </c>
    </row>
    <row r="98" hidden="1" outlineLevel="1">
      <c r="A98" t="inlineStr">
        <is>
          <t>18 мес.</t>
        </is>
      </c>
      <c r="B98" s="189">
        <f>0</f>
        <v/>
      </c>
      <c r="C98" s="190">
        <f>B97*'01_Вводные'!$B$14</f>
        <v/>
      </c>
      <c r="D98" s="190">
        <f>C97*'01_Вводные'!$B$14</f>
        <v/>
      </c>
      <c r="E98" s="190">
        <f>D97*'01_Вводные'!$B$14</f>
        <v/>
      </c>
      <c r="F98" s="190">
        <f>E97*'01_Вводные'!$B$14</f>
        <v/>
      </c>
      <c r="G98" s="190">
        <f>F97*'01_Вводные'!$B$14</f>
        <v/>
      </c>
      <c r="H98" s="190">
        <f>G97*'01_Вводные'!$B$14</f>
        <v/>
      </c>
      <c r="I98" s="190">
        <f>H97*'01_Вводные'!$B$14</f>
        <v/>
      </c>
      <c r="J98" s="190">
        <f>I97*'01_Вводные'!$B$14</f>
        <v/>
      </c>
      <c r="K98" s="190">
        <f>J97*'01_Вводные'!$B$14</f>
        <v/>
      </c>
      <c r="L98" s="190">
        <f>K97*'01_Вводные'!$B$14</f>
        <v/>
      </c>
      <c r="M98" s="190">
        <f>L97*'01_Вводные'!$B$14</f>
        <v/>
      </c>
      <c r="N98" s="190">
        <f>M97*'01_Вводные'!$B$14</f>
        <v/>
      </c>
      <c r="O98" s="190">
        <f>N97*'01_Вводные'!$B$14</f>
        <v/>
      </c>
      <c r="P98" s="190">
        <f>O97*'01_Вводные'!$B$14</f>
        <v/>
      </c>
      <c r="Q98" s="190">
        <f>P97*'01_Вводные'!$B$14</f>
        <v/>
      </c>
      <c r="R98" s="190">
        <f>Q97*'01_Вводные'!$B$14</f>
        <v/>
      </c>
      <c r="S98" s="190">
        <f>R97*'01_Вводные'!$B$14</f>
        <v/>
      </c>
      <c r="T98" s="190">
        <f>S97*'01_Вводные'!$B$14</f>
        <v/>
      </c>
      <c r="U98" s="190">
        <f>T97*'01_Вводные'!$B$14</f>
        <v/>
      </c>
      <c r="V98" s="190">
        <f>U97*'01_Вводные'!$B$14</f>
        <v/>
      </c>
      <c r="W98" s="190">
        <f>V97*'01_Вводные'!$B$14</f>
        <v/>
      </c>
      <c r="X98" s="190">
        <f>W97*'01_Вводные'!$B$14</f>
        <v/>
      </c>
      <c r="Y98" s="190">
        <f>X97*'01_Вводные'!$B$14</f>
        <v/>
      </c>
      <c r="Z98" s="190">
        <f>Y97*'01_Вводные'!$B$14</f>
        <v/>
      </c>
      <c r="AA98" s="190">
        <f>Z97*'01_Вводные'!$B$14</f>
        <v/>
      </c>
      <c r="AB98" s="190">
        <f>AA97*'01_Вводные'!$B$14</f>
        <v/>
      </c>
      <c r="AC98" s="190">
        <f>AB97*'01_Вводные'!$B$14</f>
        <v/>
      </c>
      <c r="AD98" s="190">
        <f>AC97*'01_Вводные'!$B$14</f>
        <v/>
      </c>
      <c r="AE98" s="190">
        <f>AD97*'01_Вводные'!$B$14</f>
        <v/>
      </c>
      <c r="AF98" s="190">
        <f>AE97*'01_Вводные'!$B$14</f>
        <v/>
      </c>
      <c r="AG98" s="190">
        <f>AF97*'01_Вводные'!$B$14</f>
        <v/>
      </c>
      <c r="AH98" s="190">
        <f>AG97*'01_Вводные'!$B$14</f>
        <v/>
      </c>
      <c r="AI98" s="190">
        <f>AH97*'01_Вводные'!$B$14</f>
        <v/>
      </c>
      <c r="AJ98" s="190">
        <f>AI97*'01_Вводные'!$B$14</f>
        <v/>
      </c>
      <c r="AK98" s="190">
        <f>AJ97*'01_Вводные'!$B$14</f>
        <v/>
      </c>
      <c r="AL98" s="190">
        <f>AK97*'01_Вводные'!$B$14</f>
        <v/>
      </c>
      <c r="AM98" s="190">
        <f>AL97*'01_Вводные'!$B$14</f>
        <v/>
      </c>
      <c r="AN98" s="190">
        <f>AM97*'01_Вводные'!$B$14</f>
        <v/>
      </c>
      <c r="AO98" s="190">
        <f>AN97*'01_Вводные'!$B$14</f>
        <v/>
      </c>
      <c r="AP98" s="190">
        <f>AO97*'01_Вводные'!$B$14</f>
        <v/>
      </c>
      <c r="AQ98" s="190">
        <f>AP97*'01_Вводные'!$B$14</f>
        <v/>
      </c>
      <c r="AR98" s="190">
        <f>AQ97*'01_Вводные'!$B$14</f>
        <v/>
      </c>
      <c r="AS98" s="190">
        <f>AR97*'01_Вводные'!$B$14</f>
        <v/>
      </c>
      <c r="AT98" s="190">
        <f>AS97*'01_Вводные'!$B$14</f>
        <v/>
      </c>
      <c r="AU98" s="190">
        <f>AT97*'01_Вводные'!$B$14</f>
        <v/>
      </c>
      <c r="AV98" s="190">
        <f>AU97*'01_Вводные'!$B$14</f>
        <v/>
      </c>
      <c r="AW98" s="190">
        <f>AV97*'01_Вводные'!$B$14</f>
        <v/>
      </c>
      <c r="AX98" s="190">
        <f>AW97*'01_Вводные'!$B$14</f>
        <v/>
      </c>
      <c r="AY98" s="190">
        <f>AX97*'01_Вводные'!$B$14</f>
        <v/>
      </c>
      <c r="AZ98" s="190">
        <f>AY97*'01_Вводные'!$B$14</f>
        <v/>
      </c>
      <c r="BA98" s="190">
        <f>AZ97*'01_Вводные'!$B$14</f>
        <v/>
      </c>
      <c r="BB98" s="190">
        <f>BA97*'01_Вводные'!$B$14</f>
        <v/>
      </c>
      <c r="BC98" s="190">
        <f>BB97*'01_Вводные'!$B$14</f>
        <v/>
      </c>
      <c r="BD98" s="190">
        <f>BC97*'01_Вводные'!$B$14</f>
        <v/>
      </c>
      <c r="BE98" s="190">
        <f>BD97*'01_Вводные'!$B$14</f>
        <v/>
      </c>
      <c r="BF98" s="190">
        <f>BE97*'01_Вводные'!$B$14</f>
        <v/>
      </c>
      <c r="BG98" s="190">
        <f>BF97*'01_Вводные'!$B$14</f>
        <v/>
      </c>
      <c r="BH98" s="190">
        <f>BG97*'01_Вводные'!$B$14</f>
        <v/>
      </c>
      <c r="BI98" s="190">
        <f>BH97*'01_Вводные'!$B$14</f>
        <v/>
      </c>
      <c r="BJ98" s="190">
        <f>BI97*'01_Вводные'!$B$14</f>
        <v/>
      </c>
      <c r="BK98" s="190">
        <f>BJ97*'01_Вводные'!$B$14</f>
        <v/>
      </c>
      <c r="BL98" s="190">
        <f>BK97*'01_Вводные'!$B$14</f>
        <v/>
      </c>
      <c r="BM98" s="190">
        <f>BL97*'01_Вводные'!$B$14</f>
        <v/>
      </c>
      <c r="BN98" s="190">
        <f>BM97*'01_Вводные'!$B$14</f>
        <v/>
      </c>
      <c r="BO98" s="190">
        <f>BN97*'01_Вводные'!$B$14</f>
        <v/>
      </c>
    </row>
    <row r="99" hidden="1" outlineLevel="1">
      <c r="A99" t="inlineStr">
        <is>
          <t>19 мес.</t>
        </is>
      </c>
      <c r="B99" s="189">
        <f>0</f>
        <v/>
      </c>
      <c r="C99" s="190">
        <f>B98*'01_Вводные'!$B$14</f>
        <v/>
      </c>
      <c r="D99" s="190">
        <f>C98*'01_Вводные'!$B$14</f>
        <v/>
      </c>
      <c r="E99" s="190">
        <f>D98*'01_Вводные'!$B$14</f>
        <v/>
      </c>
      <c r="F99" s="190">
        <f>E98*'01_Вводные'!$B$14</f>
        <v/>
      </c>
      <c r="G99" s="190">
        <f>F98*'01_Вводные'!$B$14</f>
        <v/>
      </c>
      <c r="H99" s="190">
        <f>G98*'01_Вводные'!$B$14</f>
        <v/>
      </c>
      <c r="I99" s="190">
        <f>H98*'01_Вводные'!$B$14</f>
        <v/>
      </c>
      <c r="J99" s="190">
        <f>I98*'01_Вводные'!$B$14</f>
        <v/>
      </c>
      <c r="K99" s="190">
        <f>J98*'01_Вводные'!$B$14</f>
        <v/>
      </c>
      <c r="L99" s="190">
        <f>K98*'01_Вводные'!$B$14</f>
        <v/>
      </c>
      <c r="M99" s="190">
        <f>L98*'01_Вводные'!$B$14</f>
        <v/>
      </c>
      <c r="N99" s="190">
        <f>M98*'01_Вводные'!$B$14</f>
        <v/>
      </c>
      <c r="O99" s="190">
        <f>N98*'01_Вводные'!$B$14</f>
        <v/>
      </c>
      <c r="P99" s="190">
        <f>O98*'01_Вводные'!$B$14</f>
        <v/>
      </c>
      <c r="Q99" s="190">
        <f>P98*'01_Вводные'!$B$14</f>
        <v/>
      </c>
      <c r="R99" s="190">
        <f>Q98*'01_Вводные'!$B$14</f>
        <v/>
      </c>
      <c r="S99" s="190">
        <f>R98*'01_Вводные'!$B$14</f>
        <v/>
      </c>
      <c r="T99" s="190">
        <f>S98*'01_Вводные'!$B$14</f>
        <v/>
      </c>
      <c r="U99" s="190">
        <f>T98*'01_Вводные'!$B$14</f>
        <v/>
      </c>
      <c r="V99" s="190">
        <f>U98*'01_Вводные'!$B$14</f>
        <v/>
      </c>
      <c r="W99" s="190">
        <f>V98*'01_Вводные'!$B$14</f>
        <v/>
      </c>
      <c r="X99" s="190">
        <f>W98*'01_Вводные'!$B$14</f>
        <v/>
      </c>
      <c r="Y99" s="190">
        <f>X98*'01_Вводные'!$B$14</f>
        <v/>
      </c>
      <c r="Z99" s="190">
        <f>Y98*'01_Вводные'!$B$14</f>
        <v/>
      </c>
      <c r="AA99" s="190">
        <f>Z98*'01_Вводные'!$B$14</f>
        <v/>
      </c>
      <c r="AB99" s="190">
        <f>AA98*'01_Вводные'!$B$14</f>
        <v/>
      </c>
      <c r="AC99" s="190">
        <f>AB98*'01_Вводные'!$B$14</f>
        <v/>
      </c>
      <c r="AD99" s="190">
        <f>AC98*'01_Вводные'!$B$14</f>
        <v/>
      </c>
      <c r="AE99" s="190">
        <f>AD98*'01_Вводные'!$B$14</f>
        <v/>
      </c>
      <c r="AF99" s="190">
        <f>AE98*'01_Вводные'!$B$14</f>
        <v/>
      </c>
      <c r="AG99" s="190">
        <f>AF98*'01_Вводные'!$B$14</f>
        <v/>
      </c>
      <c r="AH99" s="190">
        <f>AG98*'01_Вводные'!$B$14</f>
        <v/>
      </c>
      <c r="AI99" s="190">
        <f>AH98*'01_Вводные'!$B$14</f>
        <v/>
      </c>
      <c r="AJ99" s="190">
        <f>AI98*'01_Вводные'!$B$14</f>
        <v/>
      </c>
      <c r="AK99" s="190">
        <f>AJ98*'01_Вводные'!$B$14</f>
        <v/>
      </c>
      <c r="AL99" s="190">
        <f>AK98*'01_Вводные'!$B$14</f>
        <v/>
      </c>
      <c r="AM99" s="190">
        <f>AL98*'01_Вводные'!$B$14</f>
        <v/>
      </c>
      <c r="AN99" s="190">
        <f>AM98*'01_Вводные'!$B$14</f>
        <v/>
      </c>
      <c r="AO99" s="190">
        <f>AN98*'01_Вводные'!$B$14</f>
        <v/>
      </c>
      <c r="AP99" s="190">
        <f>AO98*'01_Вводные'!$B$14</f>
        <v/>
      </c>
      <c r="AQ99" s="190">
        <f>AP98*'01_Вводные'!$B$14</f>
        <v/>
      </c>
      <c r="AR99" s="190">
        <f>AQ98*'01_Вводные'!$B$14</f>
        <v/>
      </c>
      <c r="AS99" s="190">
        <f>AR98*'01_Вводные'!$B$14</f>
        <v/>
      </c>
      <c r="AT99" s="190">
        <f>AS98*'01_Вводные'!$B$14</f>
        <v/>
      </c>
      <c r="AU99" s="190">
        <f>AT98*'01_Вводные'!$B$14</f>
        <v/>
      </c>
      <c r="AV99" s="190">
        <f>AU98*'01_Вводные'!$B$14</f>
        <v/>
      </c>
      <c r="AW99" s="190">
        <f>AV98*'01_Вводные'!$B$14</f>
        <v/>
      </c>
      <c r="AX99" s="190">
        <f>AW98*'01_Вводные'!$B$14</f>
        <v/>
      </c>
      <c r="AY99" s="190">
        <f>AX98*'01_Вводные'!$B$14</f>
        <v/>
      </c>
      <c r="AZ99" s="190">
        <f>AY98*'01_Вводные'!$B$14</f>
        <v/>
      </c>
      <c r="BA99" s="190">
        <f>AZ98*'01_Вводные'!$B$14</f>
        <v/>
      </c>
      <c r="BB99" s="190">
        <f>BA98*'01_Вводные'!$B$14</f>
        <v/>
      </c>
      <c r="BC99" s="190">
        <f>BB98*'01_Вводные'!$B$14</f>
        <v/>
      </c>
      <c r="BD99" s="190">
        <f>BC98*'01_Вводные'!$B$14</f>
        <v/>
      </c>
      <c r="BE99" s="190">
        <f>BD98*'01_Вводные'!$B$14</f>
        <v/>
      </c>
      <c r="BF99" s="190">
        <f>BE98*'01_Вводные'!$B$14</f>
        <v/>
      </c>
      <c r="BG99" s="190">
        <f>BF98*'01_Вводные'!$B$14</f>
        <v/>
      </c>
      <c r="BH99" s="190">
        <f>BG98*'01_Вводные'!$B$14</f>
        <v/>
      </c>
      <c r="BI99" s="190">
        <f>BH98*'01_Вводные'!$B$14</f>
        <v/>
      </c>
      <c r="BJ99" s="190">
        <f>BI98*'01_Вводные'!$B$14</f>
        <v/>
      </c>
      <c r="BK99" s="190">
        <f>BJ98*'01_Вводные'!$B$14</f>
        <v/>
      </c>
      <c r="BL99" s="190">
        <f>BK98*'01_Вводные'!$B$14</f>
        <v/>
      </c>
      <c r="BM99" s="190">
        <f>BL98*'01_Вводные'!$B$14</f>
        <v/>
      </c>
      <c r="BN99" s="190">
        <f>BM98*'01_Вводные'!$B$14</f>
        <v/>
      </c>
      <c r="BO99" s="190">
        <f>BN98*'01_Вводные'!$B$14</f>
        <v/>
      </c>
    </row>
    <row r="100" hidden="1" outlineLevel="1">
      <c r="A100" t="inlineStr">
        <is>
          <t>20 мес.</t>
        </is>
      </c>
      <c r="B100" s="189">
        <f>0</f>
        <v/>
      </c>
      <c r="C100" s="190">
        <f>B99*'01_Вводные'!$B$14</f>
        <v/>
      </c>
      <c r="D100" s="190">
        <f>C99*'01_Вводные'!$B$14</f>
        <v/>
      </c>
      <c r="E100" s="190">
        <f>D99*'01_Вводные'!$B$14</f>
        <v/>
      </c>
      <c r="F100" s="190">
        <f>E99*'01_Вводные'!$B$14</f>
        <v/>
      </c>
      <c r="G100" s="190">
        <f>F99*'01_Вводные'!$B$14</f>
        <v/>
      </c>
      <c r="H100" s="190">
        <f>G99*'01_Вводные'!$B$14</f>
        <v/>
      </c>
      <c r="I100" s="190">
        <f>H99*'01_Вводные'!$B$14</f>
        <v/>
      </c>
      <c r="J100" s="190">
        <f>I99*'01_Вводные'!$B$14</f>
        <v/>
      </c>
      <c r="K100" s="190">
        <f>J99*'01_Вводные'!$B$14</f>
        <v/>
      </c>
      <c r="L100" s="190">
        <f>K99*'01_Вводные'!$B$14</f>
        <v/>
      </c>
      <c r="M100" s="190">
        <f>L99*'01_Вводные'!$B$14</f>
        <v/>
      </c>
      <c r="N100" s="190">
        <f>M99*'01_Вводные'!$B$14</f>
        <v/>
      </c>
      <c r="O100" s="190">
        <f>N99*'01_Вводные'!$B$14</f>
        <v/>
      </c>
      <c r="P100" s="190">
        <f>O99*'01_Вводные'!$B$14</f>
        <v/>
      </c>
      <c r="Q100" s="190">
        <f>P99*'01_Вводные'!$B$14</f>
        <v/>
      </c>
      <c r="R100" s="190">
        <f>Q99*'01_Вводные'!$B$14</f>
        <v/>
      </c>
      <c r="S100" s="190">
        <f>R99*'01_Вводные'!$B$14</f>
        <v/>
      </c>
      <c r="T100" s="190">
        <f>S99*'01_Вводные'!$B$14</f>
        <v/>
      </c>
      <c r="U100" s="190">
        <f>T99*'01_Вводные'!$B$14</f>
        <v/>
      </c>
      <c r="V100" s="190">
        <f>U99*'01_Вводные'!$B$14</f>
        <v/>
      </c>
      <c r="W100" s="190">
        <f>V99*'01_Вводные'!$B$14</f>
        <v/>
      </c>
      <c r="X100" s="190">
        <f>W99*'01_Вводные'!$B$14</f>
        <v/>
      </c>
      <c r="Y100" s="190">
        <f>X99*'01_Вводные'!$B$14</f>
        <v/>
      </c>
      <c r="Z100" s="190">
        <f>Y99*'01_Вводные'!$B$14</f>
        <v/>
      </c>
      <c r="AA100" s="190">
        <f>Z99*'01_Вводные'!$B$14</f>
        <v/>
      </c>
      <c r="AB100" s="190">
        <f>AA99*'01_Вводные'!$B$14</f>
        <v/>
      </c>
      <c r="AC100" s="190">
        <f>AB99*'01_Вводные'!$B$14</f>
        <v/>
      </c>
      <c r="AD100" s="190">
        <f>AC99*'01_Вводные'!$B$14</f>
        <v/>
      </c>
      <c r="AE100" s="190">
        <f>AD99*'01_Вводные'!$B$14</f>
        <v/>
      </c>
      <c r="AF100" s="190">
        <f>AE99*'01_Вводные'!$B$14</f>
        <v/>
      </c>
      <c r="AG100" s="190">
        <f>AF99*'01_Вводные'!$B$14</f>
        <v/>
      </c>
      <c r="AH100" s="190">
        <f>AG99*'01_Вводные'!$B$14</f>
        <v/>
      </c>
      <c r="AI100" s="190">
        <f>AH99*'01_Вводные'!$B$14</f>
        <v/>
      </c>
      <c r="AJ100" s="190">
        <f>AI99*'01_Вводные'!$B$14</f>
        <v/>
      </c>
      <c r="AK100" s="190">
        <f>AJ99*'01_Вводные'!$B$14</f>
        <v/>
      </c>
      <c r="AL100" s="190">
        <f>AK99*'01_Вводные'!$B$14</f>
        <v/>
      </c>
      <c r="AM100" s="190">
        <f>AL99*'01_Вводные'!$B$14</f>
        <v/>
      </c>
      <c r="AN100" s="190">
        <f>AM99*'01_Вводные'!$B$14</f>
        <v/>
      </c>
      <c r="AO100" s="190">
        <f>AN99*'01_Вводные'!$B$14</f>
        <v/>
      </c>
      <c r="AP100" s="190">
        <f>AO99*'01_Вводные'!$B$14</f>
        <v/>
      </c>
      <c r="AQ100" s="190">
        <f>AP99*'01_Вводные'!$B$14</f>
        <v/>
      </c>
      <c r="AR100" s="190">
        <f>AQ99*'01_Вводные'!$B$14</f>
        <v/>
      </c>
      <c r="AS100" s="190">
        <f>AR99*'01_Вводные'!$B$14</f>
        <v/>
      </c>
      <c r="AT100" s="190">
        <f>AS99*'01_Вводные'!$B$14</f>
        <v/>
      </c>
      <c r="AU100" s="190">
        <f>AT99*'01_Вводные'!$B$14</f>
        <v/>
      </c>
      <c r="AV100" s="190">
        <f>AU99*'01_Вводные'!$B$14</f>
        <v/>
      </c>
      <c r="AW100" s="190">
        <f>AV99*'01_Вводные'!$B$14</f>
        <v/>
      </c>
      <c r="AX100" s="190">
        <f>AW99*'01_Вводные'!$B$14</f>
        <v/>
      </c>
      <c r="AY100" s="190">
        <f>AX99*'01_Вводные'!$B$14</f>
        <v/>
      </c>
      <c r="AZ100" s="190">
        <f>AY99*'01_Вводные'!$B$14</f>
        <v/>
      </c>
      <c r="BA100" s="190">
        <f>AZ99*'01_Вводные'!$B$14</f>
        <v/>
      </c>
      <c r="BB100" s="190">
        <f>BA99*'01_Вводные'!$B$14</f>
        <v/>
      </c>
      <c r="BC100" s="190">
        <f>BB99*'01_Вводные'!$B$14</f>
        <v/>
      </c>
      <c r="BD100" s="190">
        <f>BC99*'01_Вводные'!$B$14</f>
        <v/>
      </c>
      <c r="BE100" s="190">
        <f>BD99*'01_Вводные'!$B$14</f>
        <v/>
      </c>
      <c r="BF100" s="190">
        <f>BE99*'01_Вводные'!$B$14</f>
        <v/>
      </c>
      <c r="BG100" s="190">
        <f>BF99*'01_Вводные'!$B$14</f>
        <v/>
      </c>
      <c r="BH100" s="190">
        <f>BG99*'01_Вводные'!$B$14</f>
        <v/>
      </c>
      <c r="BI100" s="190">
        <f>BH99*'01_Вводные'!$B$14</f>
        <v/>
      </c>
      <c r="BJ100" s="190">
        <f>BI99*'01_Вводные'!$B$14</f>
        <v/>
      </c>
      <c r="BK100" s="190">
        <f>BJ99*'01_Вводные'!$B$14</f>
        <v/>
      </c>
      <c r="BL100" s="190">
        <f>BK99*'01_Вводные'!$B$14</f>
        <v/>
      </c>
      <c r="BM100" s="190">
        <f>BL99*'01_Вводные'!$B$14</f>
        <v/>
      </c>
      <c r="BN100" s="190">
        <f>BM99*'01_Вводные'!$B$14</f>
        <v/>
      </c>
      <c r="BO100" s="190">
        <f>BN99*'01_Вводные'!$B$14</f>
        <v/>
      </c>
    </row>
    <row r="101" hidden="1" outlineLevel="1">
      <c r="A101" t="inlineStr">
        <is>
          <t>21 мес.</t>
        </is>
      </c>
      <c r="B101" s="189">
        <f>0</f>
        <v/>
      </c>
      <c r="C101" s="190">
        <f>B100*'01_Вводные'!$B$14</f>
        <v/>
      </c>
      <c r="D101" s="190">
        <f>C100*'01_Вводные'!$B$14</f>
        <v/>
      </c>
      <c r="E101" s="190">
        <f>D100*'01_Вводные'!$B$14</f>
        <v/>
      </c>
      <c r="F101" s="190">
        <f>E100*'01_Вводные'!$B$14</f>
        <v/>
      </c>
      <c r="G101" s="190">
        <f>F100*'01_Вводные'!$B$14</f>
        <v/>
      </c>
      <c r="H101" s="190">
        <f>G100*'01_Вводные'!$B$14</f>
        <v/>
      </c>
      <c r="I101" s="190">
        <f>H100*'01_Вводные'!$B$14</f>
        <v/>
      </c>
      <c r="J101" s="190">
        <f>I100*'01_Вводные'!$B$14</f>
        <v/>
      </c>
      <c r="K101" s="190">
        <f>J100*'01_Вводные'!$B$14</f>
        <v/>
      </c>
      <c r="L101" s="190">
        <f>K100*'01_Вводные'!$B$14</f>
        <v/>
      </c>
      <c r="M101" s="190">
        <f>L100*'01_Вводные'!$B$14</f>
        <v/>
      </c>
      <c r="N101" s="190">
        <f>M100*'01_Вводные'!$B$14</f>
        <v/>
      </c>
      <c r="O101" s="190">
        <f>N100*'01_Вводные'!$B$14</f>
        <v/>
      </c>
      <c r="P101" s="190">
        <f>O100*'01_Вводные'!$B$14</f>
        <v/>
      </c>
      <c r="Q101" s="190">
        <f>P100*'01_Вводные'!$B$14</f>
        <v/>
      </c>
      <c r="R101" s="190">
        <f>Q100*'01_Вводные'!$B$14</f>
        <v/>
      </c>
      <c r="S101" s="190">
        <f>R100*'01_Вводные'!$B$14</f>
        <v/>
      </c>
      <c r="T101" s="190">
        <f>S100*'01_Вводные'!$B$14</f>
        <v/>
      </c>
      <c r="U101" s="190">
        <f>T100*'01_Вводные'!$B$14</f>
        <v/>
      </c>
      <c r="V101" s="190">
        <f>U100*'01_Вводные'!$B$14</f>
        <v/>
      </c>
      <c r="W101" s="190">
        <f>V100*'01_Вводные'!$B$14</f>
        <v/>
      </c>
      <c r="X101" s="190">
        <f>W100*'01_Вводные'!$B$14</f>
        <v/>
      </c>
      <c r="Y101" s="190">
        <f>X100*'01_Вводные'!$B$14</f>
        <v/>
      </c>
      <c r="Z101" s="190">
        <f>Y100*'01_Вводные'!$B$14</f>
        <v/>
      </c>
      <c r="AA101" s="190">
        <f>Z100*'01_Вводные'!$B$14</f>
        <v/>
      </c>
      <c r="AB101" s="190">
        <f>AA100*'01_Вводные'!$B$14</f>
        <v/>
      </c>
      <c r="AC101" s="190">
        <f>AB100*'01_Вводные'!$B$14</f>
        <v/>
      </c>
      <c r="AD101" s="190">
        <f>AC100*'01_Вводные'!$B$14</f>
        <v/>
      </c>
      <c r="AE101" s="190">
        <f>AD100*'01_Вводные'!$B$14</f>
        <v/>
      </c>
      <c r="AF101" s="190">
        <f>AE100*'01_Вводные'!$B$14</f>
        <v/>
      </c>
      <c r="AG101" s="190">
        <f>AF100*'01_Вводные'!$B$14</f>
        <v/>
      </c>
      <c r="AH101" s="190">
        <f>AG100*'01_Вводные'!$B$14</f>
        <v/>
      </c>
      <c r="AI101" s="190">
        <f>AH100*'01_Вводные'!$B$14</f>
        <v/>
      </c>
      <c r="AJ101" s="190">
        <f>AI100*'01_Вводные'!$B$14</f>
        <v/>
      </c>
      <c r="AK101" s="190">
        <f>AJ100*'01_Вводные'!$B$14</f>
        <v/>
      </c>
      <c r="AL101" s="190">
        <f>AK100*'01_Вводные'!$B$14</f>
        <v/>
      </c>
      <c r="AM101" s="190">
        <f>AL100*'01_Вводные'!$B$14</f>
        <v/>
      </c>
      <c r="AN101" s="190">
        <f>AM100*'01_Вводные'!$B$14</f>
        <v/>
      </c>
      <c r="AO101" s="190">
        <f>AN100*'01_Вводные'!$B$14</f>
        <v/>
      </c>
      <c r="AP101" s="190">
        <f>AO100*'01_Вводные'!$B$14</f>
        <v/>
      </c>
      <c r="AQ101" s="190">
        <f>AP100*'01_Вводные'!$B$14</f>
        <v/>
      </c>
      <c r="AR101" s="190">
        <f>AQ100*'01_Вводные'!$B$14</f>
        <v/>
      </c>
      <c r="AS101" s="190">
        <f>AR100*'01_Вводные'!$B$14</f>
        <v/>
      </c>
      <c r="AT101" s="190">
        <f>AS100*'01_Вводные'!$B$14</f>
        <v/>
      </c>
      <c r="AU101" s="190">
        <f>AT100*'01_Вводные'!$B$14</f>
        <v/>
      </c>
      <c r="AV101" s="190">
        <f>AU100*'01_Вводные'!$B$14</f>
        <v/>
      </c>
      <c r="AW101" s="190">
        <f>AV100*'01_Вводные'!$B$14</f>
        <v/>
      </c>
      <c r="AX101" s="190">
        <f>AW100*'01_Вводные'!$B$14</f>
        <v/>
      </c>
      <c r="AY101" s="190">
        <f>AX100*'01_Вводные'!$B$14</f>
        <v/>
      </c>
      <c r="AZ101" s="190">
        <f>AY100*'01_Вводные'!$B$14</f>
        <v/>
      </c>
      <c r="BA101" s="190">
        <f>AZ100*'01_Вводные'!$B$14</f>
        <v/>
      </c>
      <c r="BB101" s="190">
        <f>BA100*'01_Вводные'!$B$14</f>
        <v/>
      </c>
      <c r="BC101" s="190">
        <f>BB100*'01_Вводные'!$B$14</f>
        <v/>
      </c>
      <c r="BD101" s="190">
        <f>BC100*'01_Вводные'!$B$14</f>
        <v/>
      </c>
      <c r="BE101" s="190">
        <f>BD100*'01_Вводные'!$B$14</f>
        <v/>
      </c>
      <c r="BF101" s="190">
        <f>BE100*'01_Вводные'!$B$14</f>
        <v/>
      </c>
      <c r="BG101" s="190">
        <f>BF100*'01_Вводные'!$B$14</f>
        <v/>
      </c>
      <c r="BH101" s="190">
        <f>BG100*'01_Вводные'!$B$14</f>
        <v/>
      </c>
      <c r="BI101" s="190">
        <f>BH100*'01_Вводные'!$B$14</f>
        <v/>
      </c>
      <c r="BJ101" s="190">
        <f>BI100*'01_Вводные'!$B$14</f>
        <v/>
      </c>
      <c r="BK101" s="190">
        <f>BJ100*'01_Вводные'!$B$14</f>
        <v/>
      </c>
      <c r="BL101" s="190">
        <f>BK100*'01_Вводные'!$B$14</f>
        <v/>
      </c>
      <c r="BM101" s="190">
        <f>BL100*'01_Вводные'!$B$14</f>
        <v/>
      </c>
      <c r="BN101" s="190">
        <f>BM100*'01_Вводные'!$B$14</f>
        <v/>
      </c>
      <c r="BO101" s="190">
        <f>BN100*'01_Вводные'!$B$14</f>
        <v/>
      </c>
    </row>
    <row r="102" hidden="1" outlineLevel="1">
      <c r="A102" t="inlineStr">
        <is>
          <t>22 мес.</t>
        </is>
      </c>
      <c r="B102" s="189">
        <f>0</f>
        <v/>
      </c>
      <c r="C102" s="190">
        <f>B101*'01_Вводные'!$B$14</f>
        <v/>
      </c>
      <c r="D102" s="190">
        <f>C101*'01_Вводные'!$B$14</f>
        <v/>
      </c>
      <c r="E102" s="190">
        <f>D101*'01_Вводные'!$B$14</f>
        <v/>
      </c>
      <c r="F102" s="190">
        <f>E101*'01_Вводные'!$B$14</f>
        <v/>
      </c>
      <c r="G102" s="190">
        <f>F101*'01_Вводные'!$B$14</f>
        <v/>
      </c>
      <c r="H102" s="190">
        <f>G101*'01_Вводные'!$B$14</f>
        <v/>
      </c>
      <c r="I102" s="190">
        <f>H101*'01_Вводные'!$B$14</f>
        <v/>
      </c>
      <c r="J102" s="190">
        <f>I101*'01_Вводные'!$B$14</f>
        <v/>
      </c>
      <c r="K102" s="190">
        <f>J101*'01_Вводные'!$B$14</f>
        <v/>
      </c>
      <c r="L102" s="190">
        <f>K101*'01_Вводные'!$B$14</f>
        <v/>
      </c>
      <c r="M102" s="190">
        <f>L101*'01_Вводные'!$B$14</f>
        <v/>
      </c>
      <c r="N102" s="190">
        <f>M101*'01_Вводные'!$B$14</f>
        <v/>
      </c>
      <c r="O102" s="190">
        <f>N101*'01_Вводные'!$B$14</f>
        <v/>
      </c>
      <c r="P102" s="190">
        <f>O101*'01_Вводные'!$B$14</f>
        <v/>
      </c>
      <c r="Q102" s="190">
        <f>P101*'01_Вводные'!$B$14</f>
        <v/>
      </c>
      <c r="R102" s="190">
        <f>Q101*'01_Вводные'!$B$14</f>
        <v/>
      </c>
      <c r="S102" s="190">
        <f>R101*'01_Вводные'!$B$14</f>
        <v/>
      </c>
      <c r="T102" s="190">
        <f>S101*'01_Вводные'!$B$14</f>
        <v/>
      </c>
      <c r="U102" s="190">
        <f>T101*'01_Вводные'!$B$14</f>
        <v/>
      </c>
      <c r="V102" s="190">
        <f>U101*'01_Вводные'!$B$14</f>
        <v/>
      </c>
      <c r="W102" s="190">
        <f>V101*'01_Вводные'!$B$14</f>
        <v/>
      </c>
      <c r="X102" s="190">
        <f>W101*'01_Вводные'!$B$14</f>
        <v/>
      </c>
      <c r="Y102" s="190">
        <f>X101*'01_Вводные'!$B$14</f>
        <v/>
      </c>
      <c r="Z102" s="190">
        <f>Y101*'01_Вводные'!$B$14</f>
        <v/>
      </c>
      <c r="AA102" s="190">
        <f>Z101*'01_Вводные'!$B$14</f>
        <v/>
      </c>
      <c r="AB102" s="190">
        <f>AA101*'01_Вводные'!$B$14</f>
        <v/>
      </c>
      <c r="AC102" s="190">
        <f>AB101*'01_Вводные'!$B$14</f>
        <v/>
      </c>
      <c r="AD102" s="190">
        <f>AC101*'01_Вводные'!$B$14</f>
        <v/>
      </c>
      <c r="AE102" s="190">
        <f>AD101*'01_Вводные'!$B$14</f>
        <v/>
      </c>
      <c r="AF102" s="190">
        <f>AE101*'01_Вводные'!$B$14</f>
        <v/>
      </c>
      <c r="AG102" s="190">
        <f>AF101*'01_Вводные'!$B$14</f>
        <v/>
      </c>
      <c r="AH102" s="190">
        <f>AG101*'01_Вводные'!$B$14</f>
        <v/>
      </c>
      <c r="AI102" s="190">
        <f>AH101*'01_Вводные'!$B$14</f>
        <v/>
      </c>
      <c r="AJ102" s="190">
        <f>AI101*'01_Вводные'!$B$14</f>
        <v/>
      </c>
      <c r="AK102" s="190">
        <f>AJ101*'01_Вводные'!$B$14</f>
        <v/>
      </c>
      <c r="AL102" s="190">
        <f>AK101*'01_Вводные'!$B$14</f>
        <v/>
      </c>
      <c r="AM102" s="190">
        <f>AL101*'01_Вводные'!$B$14</f>
        <v/>
      </c>
      <c r="AN102" s="190">
        <f>AM101*'01_Вводные'!$B$14</f>
        <v/>
      </c>
      <c r="AO102" s="190">
        <f>AN101*'01_Вводные'!$B$14</f>
        <v/>
      </c>
      <c r="AP102" s="190">
        <f>AO101*'01_Вводные'!$B$14</f>
        <v/>
      </c>
      <c r="AQ102" s="190">
        <f>AP101*'01_Вводные'!$B$14</f>
        <v/>
      </c>
      <c r="AR102" s="190">
        <f>AQ101*'01_Вводные'!$B$14</f>
        <v/>
      </c>
      <c r="AS102" s="190">
        <f>AR101*'01_Вводные'!$B$14</f>
        <v/>
      </c>
      <c r="AT102" s="190">
        <f>AS101*'01_Вводные'!$B$14</f>
        <v/>
      </c>
      <c r="AU102" s="190">
        <f>AT101*'01_Вводные'!$B$14</f>
        <v/>
      </c>
      <c r="AV102" s="190">
        <f>AU101*'01_Вводные'!$B$14</f>
        <v/>
      </c>
      <c r="AW102" s="190">
        <f>AV101*'01_Вводные'!$B$14</f>
        <v/>
      </c>
      <c r="AX102" s="190">
        <f>AW101*'01_Вводные'!$B$14</f>
        <v/>
      </c>
      <c r="AY102" s="190">
        <f>AX101*'01_Вводные'!$B$14</f>
        <v/>
      </c>
      <c r="AZ102" s="190">
        <f>AY101*'01_Вводные'!$B$14</f>
        <v/>
      </c>
      <c r="BA102" s="190">
        <f>AZ101*'01_Вводные'!$B$14</f>
        <v/>
      </c>
      <c r="BB102" s="190">
        <f>BA101*'01_Вводные'!$B$14</f>
        <v/>
      </c>
      <c r="BC102" s="190">
        <f>BB101*'01_Вводные'!$B$14</f>
        <v/>
      </c>
      <c r="BD102" s="190">
        <f>BC101*'01_Вводные'!$B$14</f>
        <v/>
      </c>
      <c r="BE102" s="190">
        <f>BD101*'01_Вводные'!$B$14</f>
        <v/>
      </c>
      <c r="BF102" s="190">
        <f>BE101*'01_Вводные'!$B$14</f>
        <v/>
      </c>
      <c r="BG102" s="190">
        <f>BF101*'01_Вводные'!$B$14</f>
        <v/>
      </c>
      <c r="BH102" s="190">
        <f>BG101*'01_Вводные'!$B$14</f>
        <v/>
      </c>
      <c r="BI102" s="190">
        <f>BH101*'01_Вводные'!$B$14</f>
        <v/>
      </c>
      <c r="BJ102" s="190">
        <f>BI101*'01_Вводные'!$B$14</f>
        <v/>
      </c>
      <c r="BK102" s="190">
        <f>BJ101*'01_Вводные'!$B$14</f>
        <v/>
      </c>
      <c r="BL102" s="190">
        <f>BK101*'01_Вводные'!$B$14</f>
        <v/>
      </c>
      <c r="BM102" s="190">
        <f>BL101*'01_Вводные'!$B$14</f>
        <v/>
      </c>
      <c r="BN102" s="190">
        <f>BM101*'01_Вводные'!$B$14</f>
        <v/>
      </c>
      <c r="BO102" s="190">
        <f>BN101*'01_Вводные'!$B$14</f>
        <v/>
      </c>
    </row>
    <row r="103" hidden="1" outlineLevel="1">
      <c r="A103" t="inlineStr">
        <is>
          <t>23 мес.</t>
        </is>
      </c>
      <c r="B103" s="189">
        <f>0</f>
        <v/>
      </c>
      <c r="C103" s="190">
        <f>B102*'01_Вводные'!$B$14</f>
        <v/>
      </c>
      <c r="D103" s="190">
        <f>C102*'01_Вводные'!$B$14</f>
        <v/>
      </c>
      <c r="E103" s="190">
        <f>D102*'01_Вводные'!$B$14</f>
        <v/>
      </c>
      <c r="F103" s="190">
        <f>E102*'01_Вводные'!$B$14</f>
        <v/>
      </c>
      <c r="G103" s="190">
        <f>F102*'01_Вводные'!$B$14</f>
        <v/>
      </c>
      <c r="H103" s="190">
        <f>G102*'01_Вводные'!$B$14</f>
        <v/>
      </c>
      <c r="I103" s="190">
        <f>H102*'01_Вводные'!$B$14</f>
        <v/>
      </c>
      <c r="J103" s="190">
        <f>I102*'01_Вводные'!$B$14</f>
        <v/>
      </c>
      <c r="K103" s="190">
        <f>J102*'01_Вводные'!$B$14</f>
        <v/>
      </c>
      <c r="L103" s="190">
        <f>K102*'01_Вводные'!$B$14</f>
        <v/>
      </c>
      <c r="M103" s="190">
        <f>L102*'01_Вводные'!$B$14</f>
        <v/>
      </c>
      <c r="N103" s="190">
        <f>M102*'01_Вводные'!$B$14</f>
        <v/>
      </c>
      <c r="O103" s="190">
        <f>N102*'01_Вводные'!$B$14</f>
        <v/>
      </c>
      <c r="P103" s="190">
        <f>O102*'01_Вводные'!$B$14</f>
        <v/>
      </c>
      <c r="Q103" s="190">
        <f>P102*'01_Вводные'!$B$14</f>
        <v/>
      </c>
      <c r="R103" s="190">
        <f>Q102*'01_Вводные'!$B$14</f>
        <v/>
      </c>
      <c r="S103" s="190">
        <f>R102*'01_Вводные'!$B$14</f>
        <v/>
      </c>
      <c r="T103" s="190">
        <f>S102*'01_Вводные'!$B$14</f>
        <v/>
      </c>
      <c r="U103" s="190">
        <f>T102*'01_Вводные'!$B$14</f>
        <v/>
      </c>
      <c r="V103" s="190">
        <f>U102*'01_Вводные'!$B$14</f>
        <v/>
      </c>
      <c r="W103" s="190">
        <f>V102*'01_Вводные'!$B$14</f>
        <v/>
      </c>
      <c r="X103" s="190">
        <f>W102*'01_Вводные'!$B$14</f>
        <v/>
      </c>
      <c r="Y103" s="190">
        <f>X102*'01_Вводные'!$B$14</f>
        <v/>
      </c>
      <c r="Z103" s="190">
        <f>Y102*'01_Вводные'!$B$14</f>
        <v/>
      </c>
      <c r="AA103" s="190">
        <f>Z102*'01_Вводные'!$B$14</f>
        <v/>
      </c>
      <c r="AB103" s="190">
        <f>AA102*'01_Вводные'!$B$14</f>
        <v/>
      </c>
      <c r="AC103" s="190">
        <f>AB102*'01_Вводные'!$B$14</f>
        <v/>
      </c>
      <c r="AD103" s="190">
        <f>AC102*'01_Вводные'!$B$14</f>
        <v/>
      </c>
      <c r="AE103" s="190">
        <f>AD102*'01_Вводные'!$B$14</f>
        <v/>
      </c>
      <c r="AF103" s="190">
        <f>AE102*'01_Вводные'!$B$14</f>
        <v/>
      </c>
      <c r="AG103" s="190">
        <f>AF102*'01_Вводные'!$B$14</f>
        <v/>
      </c>
      <c r="AH103" s="190">
        <f>AG102*'01_Вводные'!$B$14</f>
        <v/>
      </c>
      <c r="AI103" s="190">
        <f>AH102*'01_Вводные'!$B$14</f>
        <v/>
      </c>
      <c r="AJ103" s="190">
        <f>AI102*'01_Вводные'!$B$14</f>
        <v/>
      </c>
      <c r="AK103" s="190">
        <f>AJ102*'01_Вводные'!$B$14</f>
        <v/>
      </c>
      <c r="AL103" s="190">
        <f>AK102*'01_Вводные'!$B$14</f>
        <v/>
      </c>
      <c r="AM103" s="190">
        <f>AL102*'01_Вводные'!$B$14</f>
        <v/>
      </c>
      <c r="AN103" s="190">
        <f>AM102*'01_Вводные'!$B$14</f>
        <v/>
      </c>
      <c r="AO103" s="190">
        <f>AN102*'01_Вводные'!$B$14</f>
        <v/>
      </c>
      <c r="AP103" s="190">
        <f>AO102*'01_Вводные'!$B$14</f>
        <v/>
      </c>
      <c r="AQ103" s="190">
        <f>AP102*'01_Вводные'!$B$14</f>
        <v/>
      </c>
      <c r="AR103" s="190">
        <f>AQ102*'01_Вводные'!$B$14</f>
        <v/>
      </c>
      <c r="AS103" s="190">
        <f>AR102*'01_Вводные'!$B$14</f>
        <v/>
      </c>
      <c r="AT103" s="190">
        <f>AS102*'01_Вводные'!$B$14</f>
        <v/>
      </c>
      <c r="AU103" s="190">
        <f>AT102*'01_Вводные'!$B$14</f>
        <v/>
      </c>
      <c r="AV103" s="190">
        <f>AU102*'01_Вводные'!$B$14</f>
        <v/>
      </c>
      <c r="AW103" s="190">
        <f>AV102*'01_Вводные'!$B$14</f>
        <v/>
      </c>
      <c r="AX103" s="190">
        <f>AW102*'01_Вводные'!$B$14</f>
        <v/>
      </c>
      <c r="AY103" s="190">
        <f>AX102*'01_Вводные'!$B$14</f>
        <v/>
      </c>
      <c r="AZ103" s="190">
        <f>AY102*'01_Вводные'!$B$14</f>
        <v/>
      </c>
      <c r="BA103" s="190">
        <f>AZ102*'01_Вводные'!$B$14</f>
        <v/>
      </c>
      <c r="BB103" s="190">
        <f>BA102*'01_Вводные'!$B$14</f>
        <v/>
      </c>
      <c r="BC103" s="190">
        <f>BB102*'01_Вводные'!$B$14</f>
        <v/>
      </c>
      <c r="BD103" s="190">
        <f>BC102*'01_Вводные'!$B$14</f>
        <v/>
      </c>
      <c r="BE103" s="190">
        <f>BD102*'01_Вводные'!$B$14</f>
        <v/>
      </c>
      <c r="BF103" s="190">
        <f>BE102*'01_Вводные'!$B$14</f>
        <v/>
      </c>
      <c r="BG103" s="190">
        <f>BF102*'01_Вводные'!$B$14</f>
        <v/>
      </c>
      <c r="BH103" s="190">
        <f>BG102*'01_Вводные'!$B$14</f>
        <v/>
      </c>
      <c r="BI103" s="190">
        <f>BH102*'01_Вводные'!$B$14</f>
        <v/>
      </c>
      <c r="BJ103" s="190">
        <f>BI102*'01_Вводные'!$B$14</f>
        <v/>
      </c>
      <c r="BK103" s="190">
        <f>BJ102*'01_Вводные'!$B$14</f>
        <v/>
      </c>
      <c r="BL103" s="190">
        <f>BK102*'01_Вводные'!$B$14</f>
        <v/>
      </c>
      <c r="BM103" s="190">
        <f>BL102*'01_Вводные'!$B$14</f>
        <v/>
      </c>
      <c r="BN103" s="190">
        <f>BM102*'01_Вводные'!$B$14</f>
        <v/>
      </c>
      <c r="BO103" s="190">
        <f>BN102*'01_Вводные'!$B$14</f>
        <v/>
      </c>
    </row>
    <row r="104" hidden="1" outlineLevel="1">
      <c r="A104" t="inlineStr">
        <is>
          <t>24 мес.</t>
        </is>
      </c>
      <c r="B104" s="189">
        <f>0</f>
        <v/>
      </c>
      <c r="C104" s="190">
        <f>B103*'01_Вводные'!$B$14</f>
        <v/>
      </c>
      <c r="D104" s="190">
        <f>C103*'01_Вводные'!$B$14</f>
        <v/>
      </c>
      <c r="E104" s="190">
        <f>D103*'01_Вводные'!$B$14</f>
        <v/>
      </c>
      <c r="F104" s="190">
        <f>E103*'01_Вводные'!$B$14</f>
        <v/>
      </c>
      <c r="G104" s="190">
        <f>F103*'01_Вводные'!$B$14</f>
        <v/>
      </c>
      <c r="H104" s="190">
        <f>G103*'01_Вводные'!$B$14</f>
        <v/>
      </c>
      <c r="I104" s="190">
        <f>H103*'01_Вводные'!$B$14</f>
        <v/>
      </c>
      <c r="J104" s="190">
        <f>I103*'01_Вводные'!$B$14</f>
        <v/>
      </c>
      <c r="K104" s="190">
        <f>J103*'01_Вводные'!$B$14</f>
        <v/>
      </c>
      <c r="L104" s="190">
        <f>K103*'01_Вводные'!$B$14</f>
        <v/>
      </c>
      <c r="M104" s="190">
        <f>L103*'01_Вводные'!$B$14</f>
        <v/>
      </c>
      <c r="N104" s="190">
        <f>M103*'01_Вводные'!$B$14</f>
        <v/>
      </c>
      <c r="O104" s="190">
        <f>N103*'01_Вводные'!$B$14</f>
        <v/>
      </c>
      <c r="P104" s="190">
        <f>O103*'01_Вводные'!$B$14</f>
        <v/>
      </c>
      <c r="Q104" s="190">
        <f>P103*'01_Вводные'!$B$14</f>
        <v/>
      </c>
      <c r="R104" s="190">
        <f>Q103*'01_Вводные'!$B$14</f>
        <v/>
      </c>
      <c r="S104" s="190">
        <f>R103*'01_Вводные'!$B$14</f>
        <v/>
      </c>
      <c r="T104" s="190">
        <f>S103*'01_Вводные'!$B$14</f>
        <v/>
      </c>
      <c r="U104" s="190">
        <f>T103*'01_Вводные'!$B$14</f>
        <v/>
      </c>
      <c r="V104" s="190">
        <f>U103*'01_Вводные'!$B$14</f>
        <v/>
      </c>
      <c r="W104" s="190">
        <f>V103*'01_Вводные'!$B$14</f>
        <v/>
      </c>
      <c r="X104" s="190">
        <f>W103*'01_Вводные'!$B$14</f>
        <v/>
      </c>
      <c r="Y104" s="190">
        <f>X103*'01_Вводные'!$B$14</f>
        <v/>
      </c>
      <c r="Z104" s="190">
        <f>Y103*'01_Вводные'!$B$14</f>
        <v/>
      </c>
      <c r="AA104" s="190">
        <f>Z103*'01_Вводные'!$B$14</f>
        <v/>
      </c>
      <c r="AB104" s="190">
        <f>AA103*'01_Вводные'!$B$14</f>
        <v/>
      </c>
      <c r="AC104" s="190">
        <f>AB103*'01_Вводные'!$B$14</f>
        <v/>
      </c>
      <c r="AD104" s="190">
        <f>AC103*'01_Вводные'!$B$14</f>
        <v/>
      </c>
      <c r="AE104" s="190">
        <f>AD103*'01_Вводные'!$B$14</f>
        <v/>
      </c>
      <c r="AF104" s="190">
        <f>AE103*'01_Вводные'!$B$14</f>
        <v/>
      </c>
      <c r="AG104" s="190">
        <f>AF103*'01_Вводные'!$B$14</f>
        <v/>
      </c>
      <c r="AH104" s="190">
        <f>AG103*'01_Вводные'!$B$14</f>
        <v/>
      </c>
      <c r="AI104" s="190">
        <f>AH103*'01_Вводные'!$B$14</f>
        <v/>
      </c>
      <c r="AJ104" s="190">
        <f>AI103*'01_Вводные'!$B$14</f>
        <v/>
      </c>
      <c r="AK104" s="190">
        <f>AJ103*'01_Вводные'!$B$14</f>
        <v/>
      </c>
      <c r="AL104" s="190">
        <f>AK103*'01_Вводные'!$B$14</f>
        <v/>
      </c>
      <c r="AM104" s="190">
        <f>AL103*'01_Вводные'!$B$14</f>
        <v/>
      </c>
      <c r="AN104" s="190">
        <f>AM103*'01_Вводные'!$B$14</f>
        <v/>
      </c>
      <c r="AO104" s="190">
        <f>AN103*'01_Вводные'!$B$14</f>
        <v/>
      </c>
      <c r="AP104" s="190">
        <f>AO103*'01_Вводные'!$B$14</f>
        <v/>
      </c>
      <c r="AQ104" s="190">
        <f>AP103*'01_Вводные'!$B$14</f>
        <v/>
      </c>
      <c r="AR104" s="190">
        <f>AQ103*'01_Вводные'!$B$14</f>
        <v/>
      </c>
      <c r="AS104" s="190">
        <f>AR103*'01_Вводные'!$B$14</f>
        <v/>
      </c>
      <c r="AT104" s="190">
        <f>AS103*'01_Вводные'!$B$14</f>
        <v/>
      </c>
      <c r="AU104" s="190">
        <f>AT103*'01_Вводные'!$B$14</f>
        <v/>
      </c>
      <c r="AV104" s="190">
        <f>AU103*'01_Вводные'!$B$14</f>
        <v/>
      </c>
      <c r="AW104" s="190">
        <f>AV103*'01_Вводные'!$B$14</f>
        <v/>
      </c>
      <c r="AX104" s="190">
        <f>AW103*'01_Вводные'!$B$14</f>
        <v/>
      </c>
      <c r="AY104" s="190">
        <f>AX103*'01_Вводные'!$B$14</f>
        <v/>
      </c>
      <c r="AZ104" s="190">
        <f>AY103*'01_Вводные'!$B$14</f>
        <v/>
      </c>
      <c r="BA104" s="190">
        <f>AZ103*'01_Вводные'!$B$14</f>
        <v/>
      </c>
      <c r="BB104" s="190">
        <f>BA103*'01_Вводные'!$B$14</f>
        <v/>
      </c>
      <c r="BC104" s="190">
        <f>BB103*'01_Вводные'!$B$14</f>
        <v/>
      </c>
      <c r="BD104" s="190">
        <f>BC103*'01_Вводные'!$B$14</f>
        <v/>
      </c>
      <c r="BE104" s="190">
        <f>BD103*'01_Вводные'!$B$14</f>
        <v/>
      </c>
      <c r="BF104" s="190">
        <f>BE103*'01_Вводные'!$B$14</f>
        <v/>
      </c>
      <c r="BG104" s="190">
        <f>BF103*'01_Вводные'!$B$14</f>
        <v/>
      </c>
      <c r="BH104" s="190">
        <f>BG103*'01_Вводные'!$B$14</f>
        <v/>
      </c>
      <c r="BI104" s="190">
        <f>BH103*'01_Вводные'!$B$14</f>
        <v/>
      </c>
      <c r="BJ104" s="190">
        <f>BI103*'01_Вводные'!$B$14</f>
        <v/>
      </c>
      <c r="BK104" s="190">
        <f>BJ103*'01_Вводные'!$B$14</f>
        <v/>
      </c>
      <c r="BL104" s="190">
        <f>BK103*'01_Вводные'!$B$14</f>
        <v/>
      </c>
      <c r="BM104" s="190">
        <f>BL103*'01_Вводные'!$B$14</f>
        <v/>
      </c>
      <c r="BN104" s="190">
        <f>BM103*'01_Вводные'!$B$14</f>
        <v/>
      </c>
      <c r="BO104" s="190">
        <f>BN103*'01_Вводные'!$B$14</f>
        <v/>
      </c>
    </row>
    <row r="105" hidden="1" outlineLevel="1">
      <c r="A105" t="inlineStr">
        <is>
          <t>25+ мес.</t>
        </is>
      </c>
      <c r="B105" s="189">
        <f>0</f>
        <v/>
      </c>
      <c r="C105" s="190">
        <f>SUM(B104:B105)*'01_Вводные'!$B$14</f>
        <v/>
      </c>
      <c r="D105" s="190">
        <f>SUM(C104:C105)*'01_Вводные'!$B$14</f>
        <v/>
      </c>
      <c r="E105" s="190">
        <f>SUM(D104:D105)*'01_Вводные'!$B$14</f>
        <v/>
      </c>
      <c r="F105" s="190">
        <f>SUM(E104:E105)*'01_Вводные'!$B$14</f>
        <v/>
      </c>
      <c r="G105" s="190">
        <f>SUM(F104:F105)*'01_Вводные'!$B$14</f>
        <v/>
      </c>
      <c r="H105" s="190">
        <f>SUM(G104:G105)*'01_Вводные'!$B$14</f>
        <v/>
      </c>
      <c r="I105" s="190">
        <f>SUM(H104:H105)*'01_Вводные'!$B$14</f>
        <v/>
      </c>
      <c r="J105" s="190">
        <f>SUM(I104:I105)*'01_Вводные'!$B$14</f>
        <v/>
      </c>
      <c r="K105" s="190">
        <f>SUM(J104:J105)*'01_Вводные'!$B$14</f>
        <v/>
      </c>
      <c r="L105" s="190">
        <f>SUM(K104:K105)*'01_Вводные'!$B$14</f>
        <v/>
      </c>
      <c r="M105" s="190">
        <f>SUM(L104:L105)*'01_Вводные'!$B$14</f>
        <v/>
      </c>
      <c r="N105" s="190">
        <f>SUM(M104:M105)*'01_Вводные'!$B$14</f>
        <v/>
      </c>
      <c r="O105" s="190">
        <f>SUM(N104:N105)*'01_Вводные'!$B$14</f>
        <v/>
      </c>
      <c r="P105" s="190">
        <f>SUM(O104:O105)*'01_Вводные'!$B$14</f>
        <v/>
      </c>
      <c r="Q105" s="190">
        <f>SUM(P104:P105)*'01_Вводные'!$B$14</f>
        <v/>
      </c>
      <c r="R105" s="190">
        <f>SUM(Q104:Q105)*'01_Вводные'!$B$14</f>
        <v/>
      </c>
      <c r="S105" s="190">
        <f>SUM(R104:R105)*'01_Вводные'!$B$14</f>
        <v/>
      </c>
      <c r="T105" s="190">
        <f>SUM(S104:S105)*'01_Вводные'!$B$14</f>
        <v/>
      </c>
      <c r="U105" s="190">
        <f>SUM(T104:T105)*'01_Вводные'!$B$14</f>
        <v/>
      </c>
      <c r="V105" s="190">
        <f>SUM(U104:U105)*'01_Вводные'!$B$14</f>
        <v/>
      </c>
      <c r="W105" s="190">
        <f>SUM(V104:V105)*'01_Вводные'!$B$14</f>
        <v/>
      </c>
      <c r="X105" s="190">
        <f>SUM(W104:W105)*'01_Вводные'!$B$14</f>
        <v/>
      </c>
      <c r="Y105" s="190">
        <f>SUM(X104:X105)*'01_Вводные'!$B$14</f>
        <v/>
      </c>
      <c r="Z105" s="190">
        <f>SUM(Y104:Y105)*'01_Вводные'!$B$14</f>
        <v/>
      </c>
      <c r="AA105" s="190">
        <f>SUM(Z104:Z105)*'01_Вводные'!$B$14</f>
        <v/>
      </c>
      <c r="AB105" s="190">
        <f>SUM(AA104:AA105)*'01_Вводные'!$B$14</f>
        <v/>
      </c>
      <c r="AC105" s="190">
        <f>SUM(AB104:AB105)*'01_Вводные'!$B$14</f>
        <v/>
      </c>
      <c r="AD105" s="190">
        <f>SUM(AC104:AC105)*'01_Вводные'!$B$14</f>
        <v/>
      </c>
      <c r="AE105" s="190">
        <f>SUM(AD104:AD105)*'01_Вводные'!$B$14</f>
        <v/>
      </c>
      <c r="AF105" s="190">
        <f>SUM(AE104:AE105)*'01_Вводные'!$B$14</f>
        <v/>
      </c>
      <c r="AG105" s="190">
        <f>SUM(AF104:AF105)*'01_Вводные'!$B$14</f>
        <v/>
      </c>
      <c r="AH105" s="190">
        <f>SUM(AG104:AG105)*'01_Вводные'!$B$14</f>
        <v/>
      </c>
      <c r="AI105" s="190">
        <f>SUM(AH104:AH105)*'01_Вводные'!$B$14</f>
        <v/>
      </c>
      <c r="AJ105" s="190">
        <f>SUM(AI104:AI105)*'01_Вводные'!$B$14</f>
        <v/>
      </c>
      <c r="AK105" s="190">
        <f>SUM(AJ104:AJ105)*'01_Вводные'!$B$14</f>
        <v/>
      </c>
      <c r="AL105" s="190">
        <f>SUM(AK104:AK105)*'01_Вводные'!$B$14</f>
        <v/>
      </c>
      <c r="AM105" s="190">
        <f>SUM(AL104:AL105)*'01_Вводные'!$B$14</f>
        <v/>
      </c>
      <c r="AN105" s="190">
        <f>SUM(AM104:AM105)*'01_Вводные'!$B$14</f>
        <v/>
      </c>
      <c r="AO105" s="190">
        <f>SUM(AN104:AN105)*'01_Вводные'!$B$14</f>
        <v/>
      </c>
      <c r="AP105" s="190">
        <f>SUM(AO104:AO105)*'01_Вводные'!$B$14</f>
        <v/>
      </c>
      <c r="AQ105" s="190">
        <f>SUM(AP104:AP105)*'01_Вводные'!$B$14</f>
        <v/>
      </c>
      <c r="AR105" s="190">
        <f>SUM(AQ104:AQ105)*'01_Вводные'!$B$14</f>
        <v/>
      </c>
      <c r="AS105" s="190">
        <f>SUM(AR104:AR105)*'01_Вводные'!$B$14</f>
        <v/>
      </c>
      <c r="AT105" s="190">
        <f>SUM(AS104:AS105)*'01_Вводные'!$B$14</f>
        <v/>
      </c>
      <c r="AU105" s="190">
        <f>SUM(AT104:AT105)*'01_Вводные'!$B$14</f>
        <v/>
      </c>
      <c r="AV105" s="190">
        <f>SUM(AU104:AU105)*'01_Вводные'!$B$14</f>
        <v/>
      </c>
      <c r="AW105" s="190">
        <f>SUM(AV104:AV105)*'01_Вводные'!$B$14</f>
        <v/>
      </c>
      <c r="AX105" s="190">
        <f>SUM(AW104:AW105)*'01_Вводные'!$B$14</f>
        <v/>
      </c>
      <c r="AY105" s="190">
        <f>SUM(AX104:AX105)*'01_Вводные'!$B$14</f>
        <v/>
      </c>
      <c r="AZ105" s="190">
        <f>SUM(AY104:AY105)*'01_Вводные'!$B$14</f>
        <v/>
      </c>
      <c r="BA105" s="190">
        <f>SUM(AZ104:AZ105)*'01_Вводные'!$B$14</f>
        <v/>
      </c>
      <c r="BB105" s="190">
        <f>SUM(BA104:BA105)*'01_Вводные'!$B$14</f>
        <v/>
      </c>
      <c r="BC105" s="190">
        <f>SUM(BB104:BB105)*'01_Вводные'!$B$14</f>
        <v/>
      </c>
      <c r="BD105" s="190">
        <f>SUM(BC104:BC105)*'01_Вводные'!$B$14</f>
        <v/>
      </c>
      <c r="BE105" s="190">
        <f>SUM(BD104:BD105)*'01_Вводные'!$B$14</f>
        <v/>
      </c>
      <c r="BF105" s="190">
        <f>SUM(BE104:BE105)*'01_Вводные'!$B$14</f>
        <v/>
      </c>
      <c r="BG105" s="190">
        <f>SUM(BF104:BF105)*'01_Вводные'!$B$14</f>
        <v/>
      </c>
      <c r="BH105" s="190">
        <f>SUM(BG104:BG105)*'01_Вводные'!$B$14</f>
        <v/>
      </c>
      <c r="BI105" s="190">
        <f>SUM(BH104:BH105)*'01_Вводные'!$B$14</f>
        <v/>
      </c>
      <c r="BJ105" s="190">
        <f>SUM(BI104:BI105)*'01_Вводные'!$B$14</f>
        <v/>
      </c>
      <c r="BK105" s="190">
        <f>SUM(BJ104:BJ105)*'01_Вводные'!$B$14</f>
        <v/>
      </c>
      <c r="BL105" s="190">
        <f>SUM(BK104:BK105)*'01_Вводные'!$B$14</f>
        <v/>
      </c>
      <c r="BM105" s="190">
        <f>SUM(BL104:BL105)*'01_Вводные'!$B$14</f>
        <v/>
      </c>
      <c r="BN105" s="190">
        <f>SUM(BM104:BM105)*'01_Вводные'!$B$14</f>
        <v/>
      </c>
      <c r="BO105" s="190">
        <f>SUM(BN104:BN105)*'01_Вводные'!$B$14</f>
        <v/>
      </c>
    </row>
    <row r="106" hidden="1" outlineLevel="1">
      <c r="B106" s="96" t="n"/>
      <c r="C106" s="96" t="n"/>
      <c r="D106" s="96" t="n"/>
      <c r="E106" s="96" t="n"/>
      <c r="F106" s="96" t="n"/>
      <c r="G106" s="96" t="n"/>
      <c r="H106" s="96" t="n"/>
      <c r="I106" s="96" t="n"/>
      <c r="J106" s="96" t="n"/>
      <c r="K106" s="96" t="n"/>
      <c r="L106" s="96" t="n"/>
      <c r="M106" s="96" t="n"/>
      <c r="N106" s="96" t="n"/>
      <c r="O106" s="96" t="n"/>
      <c r="P106" s="96" t="n"/>
      <c r="Q106" s="96" t="n"/>
      <c r="R106" s="96" t="n"/>
      <c r="S106" s="96" t="n"/>
      <c r="T106" s="96" t="n"/>
      <c r="U106" s="96" t="n"/>
      <c r="V106" s="96" t="n"/>
      <c r="W106" s="96" t="n"/>
      <c r="X106" s="96" t="n"/>
      <c r="Y106" s="96" t="n"/>
      <c r="Z106" s="96" t="n"/>
      <c r="AA106" s="96" t="n"/>
      <c r="AB106" s="96" t="n"/>
      <c r="AC106" s="96" t="n"/>
      <c r="AD106" s="96" t="n"/>
      <c r="AE106" s="96" t="n"/>
      <c r="AF106" s="96" t="n"/>
      <c r="AG106" s="96" t="n"/>
      <c r="AH106" s="96" t="n"/>
      <c r="AI106" s="96" t="n"/>
      <c r="AJ106" s="96" t="n"/>
      <c r="AK106" s="96" t="n"/>
      <c r="AL106" s="96" t="n"/>
      <c r="AM106" s="96" t="n"/>
      <c r="AN106" s="96" t="n"/>
      <c r="AO106" s="96" t="n"/>
      <c r="AP106" s="96" t="n"/>
      <c r="AQ106" s="96" t="n"/>
      <c r="AR106" s="96" t="n"/>
      <c r="AS106" s="96" t="n"/>
      <c r="AT106" s="96" t="n"/>
      <c r="AU106" s="96" t="n"/>
      <c r="AV106" s="96" t="n"/>
      <c r="AW106" s="96" t="n"/>
      <c r="AX106" s="96" t="n"/>
      <c r="AY106" s="96" t="n"/>
      <c r="AZ106" s="96" t="n"/>
      <c r="BA106" s="96" t="n"/>
      <c r="BB106" s="96" t="n"/>
      <c r="BC106" s="96" t="n"/>
      <c r="BD106" s="96" t="n"/>
      <c r="BE106" s="96" t="n"/>
      <c r="BF106" s="96" t="n"/>
      <c r="BG106" s="96" t="n"/>
      <c r="BH106" s="96" t="n"/>
      <c r="BI106" s="96" t="n"/>
      <c r="BJ106" s="96" t="n"/>
      <c r="BK106" s="96" t="n"/>
      <c r="BL106" s="96" t="n"/>
      <c r="BM106" s="96" t="n"/>
      <c r="BN106" s="96" t="n"/>
      <c r="BO106" s="96" t="n"/>
    </row>
    <row r="107" hidden="1" outlineLevel="1">
      <c r="B107" s="96" t="n"/>
      <c r="C107" s="96" t="n"/>
      <c r="D107" s="96" t="n"/>
      <c r="E107" s="96" t="n"/>
      <c r="F107" s="96" t="n"/>
      <c r="G107" s="96" t="n"/>
      <c r="H107" s="96" t="n"/>
      <c r="I107" s="96" t="n"/>
      <c r="J107" s="96" t="n"/>
      <c r="K107" s="96" t="n"/>
      <c r="L107" s="96" t="n"/>
      <c r="M107" s="96" t="n"/>
      <c r="N107" s="96" t="n"/>
      <c r="O107" s="96" t="n"/>
      <c r="P107" s="96" t="n"/>
      <c r="Q107" s="96" t="n"/>
      <c r="R107" s="96" t="n"/>
      <c r="S107" s="96" t="n"/>
      <c r="T107" s="96" t="n"/>
      <c r="U107" s="96" t="n"/>
      <c r="V107" s="96" t="n"/>
      <c r="W107" s="96" t="n"/>
      <c r="X107" s="96" t="n"/>
      <c r="Y107" s="96" t="n"/>
      <c r="Z107" s="96" t="n"/>
      <c r="AA107" s="96" t="n"/>
      <c r="AB107" s="96" t="n"/>
      <c r="AC107" s="96" t="n"/>
      <c r="AD107" s="96" t="n"/>
      <c r="AE107" s="96" t="n"/>
      <c r="AF107" s="96" t="n"/>
      <c r="AG107" s="96" t="n"/>
      <c r="AH107" s="96" t="n"/>
      <c r="AI107" s="96" t="n"/>
      <c r="AJ107" s="96" t="n"/>
      <c r="AK107" s="96" t="n"/>
      <c r="AL107" s="96" t="n"/>
      <c r="AM107" s="96" t="n"/>
      <c r="AN107" s="96" t="n"/>
      <c r="AO107" s="96" t="n"/>
      <c r="AP107" s="96" t="n"/>
      <c r="AQ107" s="96" t="n"/>
      <c r="AR107" s="96" t="n"/>
      <c r="AS107" s="96" t="n"/>
      <c r="AT107" s="96" t="n"/>
      <c r="AU107" s="96" t="n"/>
      <c r="AV107" s="96" t="n"/>
      <c r="AW107" s="96" t="n"/>
      <c r="AX107" s="96" t="n"/>
      <c r="AY107" s="96" t="n"/>
      <c r="AZ107" s="96" t="n"/>
      <c r="BA107" s="96" t="n"/>
      <c r="BB107" s="96" t="n"/>
      <c r="BC107" s="96" t="n"/>
      <c r="BD107" s="96" t="n"/>
      <c r="BE107" s="96" t="n"/>
      <c r="BF107" s="96" t="n"/>
      <c r="BG107" s="96" t="n"/>
      <c r="BH107" s="96" t="n"/>
      <c r="BI107" s="96" t="n"/>
      <c r="BJ107" s="96" t="n"/>
      <c r="BK107" s="96" t="n"/>
      <c r="BL107" s="96" t="n"/>
      <c r="BM107" s="96" t="n"/>
      <c r="BN107" s="96" t="n"/>
      <c r="BO107" s="96" t="n"/>
    </row>
    <row r="108" hidden="1" outlineLevel="1" ht="28" customHeight="1">
      <c r="A108" s="181" t="inlineStr">
        <is>
          <t>Роялти: старая ставка, по возрасту</t>
        </is>
      </c>
      <c r="I108" s="96" t="n"/>
      <c r="J108" s="96" t="n"/>
      <c r="K108" s="96" t="n"/>
      <c r="L108" s="96" t="n"/>
      <c r="M108" s="96" t="n"/>
      <c r="N108" s="96" t="n"/>
      <c r="O108" s="96" t="n"/>
      <c r="P108" s="96" t="n"/>
      <c r="Q108" s="96" t="n"/>
      <c r="R108" s="96" t="n"/>
      <c r="S108" s="96" t="n"/>
      <c r="T108" s="96" t="n"/>
      <c r="U108" s="96" t="n"/>
      <c r="V108" s="96" t="n"/>
      <c r="W108" s="96" t="n"/>
      <c r="X108" s="96" t="n"/>
      <c r="Y108" s="96" t="n"/>
      <c r="Z108" s="96" t="n"/>
      <c r="AA108" s="96" t="n"/>
      <c r="AB108" s="96" t="n"/>
      <c r="AC108" s="96" t="n"/>
      <c r="AD108" s="96" t="n"/>
      <c r="AE108" s="96" t="n"/>
      <c r="AF108" s="96" t="n"/>
      <c r="AG108" s="96" t="n"/>
      <c r="AH108" s="96" t="n"/>
      <c r="AI108" s="96" t="n"/>
      <c r="AJ108" s="96" t="n"/>
      <c r="AK108" s="96" t="n"/>
      <c r="AL108" s="96" t="n"/>
      <c r="AM108" s="96" t="n"/>
      <c r="AN108" s="96" t="n"/>
      <c r="AO108" s="96" t="n"/>
      <c r="AP108" s="96" t="n"/>
      <c r="AQ108" s="96" t="n"/>
      <c r="AR108" s="96" t="n"/>
      <c r="AS108" s="96" t="n"/>
      <c r="AT108" s="96" t="n"/>
      <c r="AU108" s="96" t="n"/>
      <c r="AV108" s="96" t="n"/>
      <c r="AW108" s="96" t="n"/>
      <c r="AX108" s="96" t="n"/>
      <c r="AY108" s="96" t="n"/>
      <c r="AZ108" s="96" t="n"/>
      <c r="BA108" s="96" t="n"/>
      <c r="BB108" s="96" t="n"/>
      <c r="BC108" s="96" t="n"/>
      <c r="BD108" s="96" t="n"/>
      <c r="BE108" s="96" t="n"/>
      <c r="BF108" s="96" t="n"/>
      <c r="BG108" s="96" t="n"/>
      <c r="BH108" s="96" t="n"/>
      <c r="BI108" s="96" t="n"/>
      <c r="BJ108" s="96" t="n"/>
      <c r="BK108" s="96" t="n"/>
      <c r="BL108" s="96" t="n"/>
      <c r="BM108" s="96" t="n"/>
      <c r="BN108" s="96" t="n"/>
      <c r="BO108" s="96" t="n"/>
    </row>
    <row r="109" hidden="1" outlineLevel="1">
      <c r="A109" t="inlineStr">
        <is>
          <t>1 мес.</t>
        </is>
      </c>
      <c r="B109" s="190">
        <f>IF(OR(B81=0,1&lt;='01_Вводные'!$B$297),0,B81*IF('01_Вводные'!$B$239="Да",MeanMinAge01+B204*SUMIF(ThresholdAge01,"&lt;"&amp;B204,WeightedRevAge01)-SUMIF(ThresholdAge01,"&lt;"&amp;B204,WeightedMinAge01),MAX(CapacityAge01*'01_Вводные'!$B$218*B204,MeanMinAge01)))</f>
        <v/>
      </c>
      <c r="C109" s="190">
        <f>IF(OR(C81=0,1&lt;='01_Вводные'!$B$297),0,C81*IF('01_Вводные'!$B$239="Да",MeanMinAge01+C204*SUMIF(ThresholdAge01,"&lt;"&amp;C204,WeightedRevAge01)-SUMIF(ThresholdAge01,"&lt;"&amp;C204,WeightedMinAge01),MAX(CapacityAge01*'01_Вводные'!$B$218*C204,MeanMinAge01)))</f>
        <v/>
      </c>
      <c r="D109" s="190">
        <f>IF(OR(D81=0,1&lt;='01_Вводные'!$B$297),0,D81*IF('01_Вводные'!$B$239="Да",MeanMinAge01+D204*SUMIF(ThresholdAge01,"&lt;"&amp;D204,WeightedRevAge01)-SUMIF(ThresholdAge01,"&lt;"&amp;D204,WeightedMinAge01),MAX(CapacityAge01*'01_Вводные'!$B$218*D204,MeanMinAge01)))</f>
        <v/>
      </c>
      <c r="E109" s="190">
        <f>IF(OR(E81=0,1&lt;='01_Вводные'!$B$297),0,E81*IF('01_Вводные'!$B$239="Да",MeanMinAge01+E204*SUMIF(ThresholdAge01,"&lt;"&amp;E204,WeightedRevAge01)-SUMIF(ThresholdAge01,"&lt;"&amp;E204,WeightedMinAge01),MAX(CapacityAge01*'01_Вводные'!$B$218*E204,MeanMinAge01)))</f>
        <v/>
      </c>
      <c r="F109" s="190">
        <f>IF(OR(F81=0,1&lt;='01_Вводные'!$B$297),0,F81*IF('01_Вводные'!$B$239="Да",MeanMinAge01+F204*SUMIF(ThresholdAge01,"&lt;"&amp;F204,WeightedRevAge01)-SUMIF(ThresholdAge01,"&lt;"&amp;F204,WeightedMinAge01),MAX(CapacityAge01*'01_Вводные'!$B$218*F204,MeanMinAge01)))</f>
        <v/>
      </c>
      <c r="G109" s="190">
        <f>IF(OR(G81=0,1&lt;='01_Вводные'!$B$297),0,G81*IF('01_Вводные'!$B$239="Да",MeanMinAge01+G204*SUMIF(ThresholdAge01,"&lt;"&amp;G204,WeightedRevAge01)-SUMIF(ThresholdAge01,"&lt;"&amp;G204,WeightedMinAge01),MAX(CapacityAge01*'01_Вводные'!$B$218*G204,MeanMinAge01)))</f>
        <v/>
      </c>
      <c r="H109" s="190">
        <f>IF(OR(H81=0,1&lt;='01_Вводные'!$B$297),0,H81*IF('01_Вводные'!$B$239="Да",MeanMinAge01+H204*SUMIF(ThresholdAge01,"&lt;"&amp;H204,WeightedRevAge01)-SUMIF(ThresholdAge01,"&lt;"&amp;H204,WeightedMinAge01),MAX(CapacityAge01*'01_Вводные'!$B$218*H204,MeanMinAge01)))</f>
        <v/>
      </c>
      <c r="I109" s="190">
        <f>IF(OR(I81=0,1&lt;='01_Вводные'!$B$297),0,I81*IF('01_Вводные'!$B$239="Да",MeanMinAge01+I204*SUMIF(ThresholdAge01,"&lt;"&amp;I204,WeightedRevAge01)-SUMIF(ThresholdAge01,"&lt;"&amp;I204,WeightedMinAge01),MAX(CapacityAge01*'01_Вводные'!$B$218*I204,MeanMinAge01)))</f>
        <v/>
      </c>
      <c r="J109" s="190">
        <f>IF(OR(J81=0,1&lt;='01_Вводные'!$B$297),0,J81*IF('01_Вводные'!$B$239="Да",MeanMinAge01+J204*SUMIF(ThresholdAge01,"&lt;"&amp;J204,WeightedRevAge01)-SUMIF(ThresholdAge01,"&lt;"&amp;J204,WeightedMinAge01),MAX(CapacityAge01*'01_Вводные'!$B$218*J204,MeanMinAge01)))</f>
        <v/>
      </c>
      <c r="K109" s="190">
        <f>IF(OR(K81=0,1&lt;='01_Вводные'!$B$297),0,K81*IF('01_Вводные'!$B$239="Да",MeanMinAge01+K204*SUMIF(ThresholdAge01,"&lt;"&amp;K204,WeightedRevAge01)-SUMIF(ThresholdAge01,"&lt;"&amp;K204,WeightedMinAge01),MAX(CapacityAge01*'01_Вводные'!$B$218*K204,MeanMinAge01)))</f>
        <v/>
      </c>
      <c r="L109" s="190">
        <f>IF(OR(L81=0,1&lt;='01_Вводные'!$B$297),0,L81*IF('01_Вводные'!$B$239="Да",MeanMinAge01+L204*SUMIF(ThresholdAge01,"&lt;"&amp;L204,WeightedRevAge01)-SUMIF(ThresholdAge01,"&lt;"&amp;L204,WeightedMinAge01),MAX(CapacityAge01*'01_Вводные'!$B$218*L204,MeanMinAge01)))</f>
        <v/>
      </c>
      <c r="M109" s="190">
        <f>IF(OR(M81=0,1&lt;='01_Вводные'!$B$297),0,M81*IF('01_Вводные'!$B$239="Да",MeanMinAge01+M204*SUMIF(ThresholdAge01,"&lt;"&amp;M204,WeightedRevAge01)-SUMIF(ThresholdAge01,"&lt;"&amp;M204,WeightedMinAge01),MAX(CapacityAge01*'01_Вводные'!$B$218*M204,MeanMinAge01)))</f>
        <v/>
      </c>
      <c r="N109" s="190">
        <f>IF(OR(N81=0,1&lt;='01_Вводные'!$B$297),0,N81*IF('01_Вводные'!$B$239="Да",MeanMinAge01+N204*SUMIF(ThresholdAge01,"&lt;"&amp;N204,WeightedRevAge01)-SUMIF(ThresholdAge01,"&lt;"&amp;N204,WeightedMinAge01),MAX(CapacityAge01*'01_Вводные'!$B$218*N204,MeanMinAge01)))</f>
        <v/>
      </c>
      <c r="O109" s="190">
        <f>IF(OR(O81=0,1&lt;='01_Вводные'!$B$297),0,O81*IF('01_Вводные'!$B$239="Да",MeanMinAge01+O204*SUMIF(ThresholdAge01,"&lt;"&amp;O204,WeightedRevAge01)-SUMIF(ThresholdAge01,"&lt;"&amp;O204,WeightedMinAge01),MAX(CapacityAge01*'01_Вводные'!$B$218*O204,MeanMinAge01)))</f>
        <v/>
      </c>
      <c r="P109" s="190">
        <f>IF(OR(P81=0,1&lt;='01_Вводные'!$B$297),0,P81*IF('01_Вводные'!$B$239="Да",MeanMinAge01+P204*SUMIF(ThresholdAge01,"&lt;"&amp;P204,WeightedRevAge01)-SUMIF(ThresholdAge01,"&lt;"&amp;P204,WeightedMinAge01),MAX(CapacityAge01*'01_Вводные'!$B$218*P204,MeanMinAge01)))</f>
        <v/>
      </c>
      <c r="Q109" s="190">
        <f>IF(OR(Q81=0,1&lt;='01_Вводные'!$B$297),0,Q81*IF('01_Вводные'!$B$239="Да",MeanMinAge01+Q204*SUMIF(ThresholdAge01,"&lt;"&amp;Q204,WeightedRevAge01)-SUMIF(ThresholdAge01,"&lt;"&amp;Q204,WeightedMinAge01),MAX(CapacityAge01*'01_Вводные'!$B$218*Q204,MeanMinAge01)))</f>
        <v/>
      </c>
      <c r="R109" s="190">
        <f>IF(OR(R81=0,1&lt;='01_Вводные'!$B$297),0,R81*IF('01_Вводные'!$B$239="Да",MeanMinAge01+R204*SUMIF(ThresholdAge01,"&lt;"&amp;R204,WeightedRevAge01)-SUMIF(ThresholdAge01,"&lt;"&amp;R204,WeightedMinAge01),MAX(CapacityAge01*'01_Вводные'!$B$218*R204,MeanMinAge01)))</f>
        <v/>
      </c>
      <c r="S109" s="190">
        <f>IF(OR(S81=0,1&lt;='01_Вводные'!$B$297),0,S81*IF('01_Вводные'!$B$239="Да",MeanMinAge01+S204*SUMIF(ThresholdAge01,"&lt;"&amp;S204,WeightedRevAge01)-SUMIF(ThresholdAge01,"&lt;"&amp;S204,WeightedMinAge01),MAX(CapacityAge01*'01_Вводные'!$B$218*S204,MeanMinAge01)))</f>
        <v/>
      </c>
      <c r="T109" s="190">
        <f>IF(OR(T81=0,1&lt;='01_Вводные'!$B$297),0,T81*IF('01_Вводные'!$B$239="Да",MeanMinAge01+T204*SUMIF(ThresholdAge01,"&lt;"&amp;T204,WeightedRevAge01)-SUMIF(ThresholdAge01,"&lt;"&amp;T204,WeightedMinAge01),MAX(CapacityAge01*'01_Вводные'!$B$218*T204,MeanMinAge01)))</f>
        <v/>
      </c>
      <c r="U109" s="190">
        <f>IF(OR(U81=0,1&lt;='01_Вводные'!$B$297),0,U81*IF('01_Вводные'!$B$239="Да",MeanMinAge01+U204*SUMIF(ThresholdAge01,"&lt;"&amp;U204,WeightedRevAge01)-SUMIF(ThresholdAge01,"&lt;"&amp;U204,WeightedMinAge01),MAX(CapacityAge01*'01_Вводные'!$B$218*U204,MeanMinAge01)))</f>
        <v/>
      </c>
      <c r="V109" s="190">
        <f>IF(OR(V81=0,1&lt;='01_Вводные'!$B$297),0,V81*IF('01_Вводные'!$B$239="Да",MeanMinAge01+V204*SUMIF(ThresholdAge01,"&lt;"&amp;V204,WeightedRevAge01)-SUMIF(ThresholdAge01,"&lt;"&amp;V204,WeightedMinAge01),MAX(CapacityAge01*'01_Вводные'!$B$218*V204,MeanMinAge01)))</f>
        <v/>
      </c>
      <c r="W109" s="190">
        <f>IF(OR(W81=0,1&lt;='01_Вводные'!$B$297),0,W81*IF('01_Вводные'!$B$239="Да",MeanMinAge01+W204*SUMIF(ThresholdAge01,"&lt;"&amp;W204,WeightedRevAge01)-SUMIF(ThresholdAge01,"&lt;"&amp;W204,WeightedMinAge01),MAX(CapacityAge01*'01_Вводные'!$B$218*W204,MeanMinAge01)))</f>
        <v/>
      </c>
      <c r="X109" s="190">
        <f>IF(OR(X81=0,1&lt;='01_Вводные'!$B$297),0,X81*IF('01_Вводные'!$B$239="Да",MeanMinAge01+X204*SUMIF(ThresholdAge01,"&lt;"&amp;X204,WeightedRevAge01)-SUMIF(ThresholdAge01,"&lt;"&amp;X204,WeightedMinAge01),MAX(CapacityAge01*'01_Вводные'!$B$218*X204,MeanMinAge01)))</f>
        <v/>
      </c>
      <c r="Y109" s="190">
        <f>IF(OR(Y81=0,1&lt;='01_Вводные'!$B$297),0,Y81*IF('01_Вводные'!$B$239="Да",MeanMinAge01+Y204*SUMIF(ThresholdAge01,"&lt;"&amp;Y204,WeightedRevAge01)-SUMIF(ThresholdAge01,"&lt;"&amp;Y204,WeightedMinAge01),MAX(CapacityAge01*'01_Вводные'!$B$218*Y204,MeanMinAge01)))</f>
        <v/>
      </c>
      <c r="Z109" s="190">
        <f>IF(OR(Z81=0,1&lt;='01_Вводные'!$B$297),0,Z81*IF('01_Вводные'!$B$239="Да",MeanMinAge01+Z204*SUMIF(ThresholdAge01,"&lt;"&amp;Z204,WeightedRevAge01)-SUMIF(ThresholdAge01,"&lt;"&amp;Z204,WeightedMinAge01),MAX(CapacityAge01*'01_Вводные'!$B$218*Z204,MeanMinAge01)))</f>
        <v/>
      </c>
      <c r="AA109" s="190">
        <f>IF(OR(AA81=0,1&lt;='01_Вводные'!$B$297),0,AA81*IF('01_Вводные'!$B$239="Да",MeanMinAge01+AA204*SUMIF(ThresholdAge01,"&lt;"&amp;AA204,WeightedRevAge01)-SUMIF(ThresholdAge01,"&lt;"&amp;AA204,WeightedMinAge01),MAX(CapacityAge01*'01_Вводные'!$B$218*AA204,MeanMinAge01)))</f>
        <v/>
      </c>
      <c r="AB109" s="190">
        <f>IF(OR(AB81=0,1&lt;='01_Вводные'!$B$297),0,AB81*IF('01_Вводные'!$B$239="Да",MeanMinAge01+AB204*SUMIF(ThresholdAge01,"&lt;"&amp;AB204,WeightedRevAge01)-SUMIF(ThresholdAge01,"&lt;"&amp;AB204,WeightedMinAge01),MAX(CapacityAge01*'01_Вводные'!$B$218*AB204,MeanMinAge01)))</f>
        <v/>
      </c>
      <c r="AC109" s="190">
        <f>IF(OR(AC81=0,1&lt;='01_Вводные'!$B$297),0,AC81*IF('01_Вводные'!$B$239="Да",MeanMinAge01+AC204*SUMIF(ThresholdAge01,"&lt;"&amp;AC204,WeightedRevAge01)-SUMIF(ThresholdAge01,"&lt;"&amp;AC204,WeightedMinAge01),MAX(CapacityAge01*'01_Вводные'!$B$218*AC204,MeanMinAge01)))</f>
        <v/>
      </c>
      <c r="AD109" s="190">
        <f>IF(OR(AD81=0,1&lt;='01_Вводные'!$B$297),0,AD81*IF('01_Вводные'!$B$239="Да",MeanMinAge01+AD204*SUMIF(ThresholdAge01,"&lt;"&amp;AD204,WeightedRevAge01)-SUMIF(ThresholdAge01,"&lt;"&amp;AD204,WeightedMinAge01),MAX(CapacityAge01*'01_Вводные'!$B$218*AD204,MeanMinAge01)))</f>
        <v/>
      </c>
      <c r="AE109" s="190">
        <f>IF(OR(AE81=0,1&lt;='01_Вводные'!$B$297),0,AE81*IF('01_Вводные'!$B$239="Да",MeanMinAge01+AE204*SUMIF(ThresholdAge01,"&lt;"&amp;AE204,WeightedRevAge01)-SUMIF(ThresholdAge01,"&lt;"&amp;AE204,WeightedMinAge01),MAX(CapacityAge01*'01_Вводные'!$B$218*AE204,MeanMinAge01)))</f>
        <v/>
      </c>
      <c r="AF109" s="190">
        <f>IF(OR(AF81=0,1&lt;='01_Вводные'!$B$297),0,AF81*IF('01_Вводные'!$B$239="Да",MeanMinAge01+AF204*SUMIF(ThresholdAge01,"&lt;"&amp;AF204,WeightedRevAge01)-SUMIF(ThresholdAge01,"&lt;"&amp;AF204,WeightedMinAge01),MAX(CapacityAge01*'01_Вводные'!$B$218*AF204,MeanMinAge01)))</f>
        <v/>
      </c>
      <c r="AG109" s="190">
        <f>IF(OR(AG81=0,1&lt;='01_Вводные'!$B$297),0,AG81*IF('01_Вводные'!$B$239="Да",MeanMinAge01+AG204*SUMIF(ThresholdAge01,"&lt;"&amp;AG204,WeightedRevAge01)-SUMIF(ThresholdAge01,"&lt;"&amp;AG204,WeightedMinAge01),MAX(CapacityAge01*'01_Вводные'!$B$218*AG204,MeanMinAge01)))</f>
        <v/>
      </c>
      <c r="AH109" s="190">
        <f>IF(OR(AH81=0,1&lt;='01_Вводные'!$B$297),0,AH81*IF('01_Вводные'!$B$239="Да",MeanMinAge01+AH204*SUMIF(ThresholdAge01,"&lt;"&amp;AH204,WeightedRevAge01)-SUMIF(ThresholdAge01,"&lt;"&amp;AH204,WeightedMinAge01),MAX(CapacityAge01*'01_Вводные'!$B$218*AH204,MeanMinAge01)))</f>
        <v/>
      </c>
      <c r="AI109" s="190">
        <f>IF(OR(AI81=0,1&lt;='01_Вводные'!$B$297),0,AI81*IF('01_Вводные'!$B$239="Да",MeanMinAge01+AI204*SUMIF(ThresholdAge01,"&lt;"&amp;AI204,WeightedRevAge01)-SUMIF(ThresholdAge01,"&lt;"&amp;AI204,WeightedMinAge01),MAX(CapacityAge01*'01_Вводные'!$B$218*AI204,MeanMinAge01)))</f>
        <v/>
      </c>
      <c r="AJ109" s="190">
        <f>IF(OR(AJ81=0,1&lt;='01_Вводные'!$B$297),0,AJ81*IF('01_Вводные'!$B$239="Да",MeanMinAge01+AJ204*SUMIF(ThresholdAge01,"&lt;"&amp;AJ204,WeightedRevAge01)-SUMIF(ThresholdAge01,"&lt;"&amp;AJ204,WeightedMinAge01),MAX(CapacityAge01*'01_Вводные'!$B$218*AJ204,MeanMinAge01)))</f>
        <v/>
      </c>
      <c r="AK109" s="190">
        <f>IF(OR(AK81=0,1&lt;='01_Вводные'!$B$297),0,AK81*IF('01_Вводные'!$B$239="Да",MeanMinAge01+AK204*SUMIF(ThresholdAge01,"&lt;"&amp;AK204,WeightedRevAge01)-SUMIF(ThresholdAge01,"&lt;"&amp;AK204,WeightedMinAge01),MAX(CapacityAge01*'01_Вводные'!$B$218*AK204,MeanMinAge01)))</f>
        <v/>
      </c>
      <c r="AL109" s="190">
        <f>IF(OR(AL81=0,1&lt;='01_Вводные'!$B$297),0,AL81*IF('01_Вводные'!$B$239="Да",MeanMinAge01+AL204*SUMIF(ThresholdAge01,"&lt;"&amp;AL204,WeightedRevAge01)-SUMIF(ThresholdAge01,"&lt;"&amp;AL204,WeightedMinAge01),MAX(CapacityAge01*'01_Вводные'!$B$218*AL204,MeanMinAge01)))</f>
        <v/>
      </c>
      <c r="AM109" s="190">
        <f>IF(OR(AM81=0,1&lt;='01_Вводные'!$B$297),0,AM81*IF('01_Вводные'!$B$239="Да",MeanMinAge01+AM204*SUMIF(ThresholdAge01,"&lt;"&amp;AM204,WeightedRevAge01)-SUMIF(ThresholdAge01,"&lt;"&amp;AM204,WeightedMinAge01),MAX(CapacityAge01*'01_Вводные'!$B$218*AM204,MeanMinAge01)))</f>
        <v/>
      </c>
      <c r="AN109" s="190">
        <f>IF(OR(AN81=0,1&lt;='01_Вводные'!$B$297),0,AN81*IF('01_Вводные'!$B$239="Да",MeanMinAge01+AN204*SUMIF(ThresholdAge01,"&lt;"&amp;AN204,WeightedRevAge01)-SUMIF(ThresholdAge01,"&lt;"&amp;AN204,WeightedMinAge01),MAX(CapacityAge01*'01_Вводные'!$B$218*AN204,MeanMinAge01)))</f>
        <v/>
      </c>
      <c r="AO109" s="190">
        <f>IF(OR(AO81=0,1&lt;='01_Вводные'!$B$297),0,AO81*IF('01_Вводные'!$B$239="Да",MeanMinAge01+AO204*SUMIF(ThresholdAge01,"&lt;"&amp;AO204,WeightedRevAge01)-SUMIF(ThresholdAge01,"&lt;"&amp;AO204,WeightedMinAge01),MAX(CapacityAge01*'01_Вводные'!$B$218*AO204,MeanMinAge01)))</f>
        <v/>
      </c>
      <c r="AP109" s="190">
        <f>IF(OR(AP81=0,1&lt;='01_Вводные'!$B$297),0,AP81*IF('01_Вводные'!$B$239="Да",MeanMinAge01+AP204*SUMIF(ThresholdAge01,"&lt;"&amp;AP204,WeightedRevAge01)-SUMIF(ThresholdAge01,"&lt;"&amp;AP204,WeightedMinAge01),MAX(CapacityAge01*'01_Вводные'!$B$218*AP204,MeanMinAge01)))</f>
        <v/>
      </c>
      <c r="AQ109" s="190">
        <f>IF(OR(AQ81=0,1&lt;='01_Вводные'!$B$297),0,AQ81*IF('01_Вводные'!$B$239="Да",MeanMinAge01+AQ204*SUMIF(ThresholdAge01,"&lt;"&amp;AQ204,WeightedRevAge01)-SUMIF(ThresholdAge01,"&lt;"&amp;AQ204,WeightedMinAge01),MAX(CapacityAge01*'01_Вводные'!$B$218*AQ204,MeanMinAge01)))</f>
        <v/>
      </c>
      <c r="AR109" s="190">
        <f>IF(OR(AR81=0,1&lt;='01_Вводные'!$B$297),0,AR81*IF('01_Вводные'!$B$239="Да",MeanMinAge01+AR204*SUMIF(ThresholdAge01,"&lt;"&amp;AR204,WeightedRevAge01)-SUMIF(ThresholdAge01,"&lt;"&amp;AR204,WeightedMinAge01),MAX(CapacityAge01*'01_Вводные'!$B$218*AR204,MeanMinAge01)))</f>
        <v/>
      </c>
      <c r="AS109" s="190">
        <f>IF(OR(AS81=0,1&lt;='01_Вводные'!$B$297),0,AS81*IF('01_Вводные'!$B$239="Да",MeanMinAge01+AS204*SUMIF(ThresholdAge01,"&lt;"&amp;AS204,WeightedRevAge01)-SUMIF(ThresholdAge01,"&lt;"&amp;AS204,WeightedMinAge01),MAX(CapacityAge01*'01_Вводные'!$B$218*AS204,MeanMinAge01)))</f>
        <v/>
      </c>
      <c r="AT109" s="190">
        <f>IF(OR(AT81=0,1&lt;='01_Вводные'!$B$297),0,AT81*IF('01_Вводные'!$B$239="Да",MeanMinAge01+AT204*SUMIF(ThresholdAge01,"&lt;"&amp;AT204,WeightedRevAge01)-SUMIF(ThresholdAge01,"&lt;"&amp;AT204,WeightedMinAge01),MAX(CapacityAge01*'01_Вводные'!$B$218*AT204,MeanMinAge01)))</f>
        <v/>
      </c>
      <c r="AU109" s="190">
        <f>IF(OR(AU81=0,1&lt;='01_Вводные'!$B$297),0,AU81*IF('01_Вводные'!$B$239="Да",MeanMinAge01+AU204*SUMIF(ThresholdAge01,"&lt;"&amp;AU204,WeightedRevAge01)-SUMIF(ThresholdAge01,"&lt;"&amp;AU204,WeightedMinAge01),MAX(CapacityAge01*'01_Вводные'!$B$218*AU204,MeanMinAge01)))</f>
        <v/>
      </c>
      <c r="AV109" s="190">
        <f>IF(OR(AV81=0,1&lt;='01_Вводные'!$B$297),0,AV81*IF('01_Вводные'!$B$239="Да",MeanMinAge01+AV204*SUMIF(ThresholdAge01,"&lt;"&amp;AV204,WeightedRevAge01)-SUMIF(ThresholdAge01,"&lt;"&amp;AV204,WeightedMinAge01),MAX(CapacityAge01*'01_Вводные'!$B$218*AV204,MeanMinAge01)))</f>
        <v/>
      </c>
      <c r="AW109" s="190">
        <f>IF(OR(AW81=0,1&lt;='01_Вводные'!$B$297),0,AW81*IF('01_Вводные'!$B$239="Да",MeanMinAge01+AW204*SUMIF(ThresholdAge01,"&lt;"&amp;AW204,WeightedRevAge01)-SUMIF(ThresholdAge01,"&lt;"&amp;AW204,WeightedMinAge01),MAX(CapacityAge01*'01_Вводные'!$B$218*AW204,MeanMinAge01)))</f>
        <v/>
      </c>
      <c r="AX109" s="190">
        <f>IF(OR(AX81=0,1&lt;='01_Вводные'!$B$297),0,AX81*IF('01_Вводные'!$B$239="Да",MeanMinAge01+AX204*SUMIF(ThresholdAge01,"&lt;"&amp;AX204,WeightedRevAge01)-SUMIF(ThresholdAge01,"&lt;"&amp;AX204,WeightedMinAge01),MAX(CapacityAge01*'01_Вводные'!$B$218*AX204,MeanMinAge01)))</f>
        <v/>
      </c>
      <c r="AY109" s="190">
        <f>IF(OR(AY81=0,1&lt;='01_Вводные'!$B$297),0,AY81*IF('01_Вводные'!$B$239="Да",MeanMinAge01+AY204*SUMIF(ThresholdAge01,"&lt;"&amp;AY204,WeightedRevAge01)-SUMIF(ThresholdAge01,"&lt;"&amp;AY204,WeightedMinAge01),MAX(CapacityAge01*'01_Вводные'!$B$218*AY204,MeanMinAge01)))</f>
        <v/>
      </c>
      <c r="AZ109" s="190">
        <f>IF(OR(AZ81=0,1&lt;='01_Вводные'!$B$297),0,AZ81*IF('01_Вводные'!$B$239="Да",MeanMinAge01+AZ204*SUMIF(ThresholdAge01,"&lt;"&amp;AZ204,WeightedRevAge01)-SUMIF(ThresholdAge01,"&lt;"&amp;AZ204,WeightedMinAge01),MAX(CapacityAge01*'01_Вводные'!$B$218*AZ204,MeanMinAge01)))</f>
        <v/>
      </c>
      <c r="BA109" s="190">
        <f>IF(OR(BA81=0,1&lt;='01_Вводные'!$B$297),0,BA81*IF('01_Вводные'!$B$239="Да",MeanMinAge01+BA204*SUMIF(ThresholdAge01,"&lt;"&amp;BA204,WeightedRevAge01)-SUMIF(ThresholdAge01,"&lt;"&amp;BA204,WeightedMinAge01),MAX(CapacityAge01*'01_Вводные'!$B$218*BA204,MeanMinAge01)))</f>
        <v/>
      </c>
      <c r="BB109" s="190">
        <f>IF(OR(BB81=0,1&lt;='01_Вводные'!$B$297),0,BB81*IF('01_Вводные'!$B$239="Да",MeanMinAge01+BB204*SUMIF(ThresholdAge01,"&lt;"&amp;BB204,WeightedRevAge01)-SUMIF(ThresholdAge01,"&lt;"&amp;BB204,WeightedMinAge01),MAX(CapacityAge01*'01_Вводные'!$B$218*BB204,MeanMinAge01)))</f>
        <v/>
      </c>
      <c r="BC109" s="190">
        <f>IF(OR(BC81=0,1&lt;='01_Вводные'!$B$297),0,BC81*IF('01_Вводные'!$B$239="Да",MeanMinAge01+BC204*SUMIF(ThresholdAge01,"&lt;"&amp;BC204,WeightedRevAge01)-SUMIF(ThresholdAge01,"&lt;"&amp;BC204,WeightedMinAge01),MAX(CapacityAge01*'01_Вводные'!$B$218*BC204,MeanMinAge01)))</f>
        <v/>
      </c>
      <c r="BD109" s="190">
        <f>IF(OR(BD81=0,1&lt;='01_Вводные'!$B$297),0,BD81*IF('01_Вводные'!$B$239="Да",MeanMinAge01+BD204*SUMIF(ThresholdAge01,"&lt;"&amp;BD204,WeightedRevAge01)-SUMIF(ThresholdAge01,"&lt;"&amp;BD204,WeightedMinAge01),MAX(CapacityAge01*'01_Вводные'!$B$218*BD204,MeanMinAge01)))</f>
        <v/>
      </c>
      <c r="BE109" s="190">
        <f>IF(OR(BE81=0,1&lt;='01_Вводные'!$B$297),0,BE81*IF('01_Вводные'!$B$239="Да",MeanMinAge01+BE204*SUMIF(ThresholdAge01,"&lt;"&amp;BE204,WeightedRevAge01)-SUMIF(ThresholdAge01,"&lt;"&amp;BE204,WeightedMinAge01),MAX(CapacityAge01*'01_Вводные'!$B$218*BE204,MeanMinAge01)))</f>
        <v/>
      </c>
      <c r="BF109" s="190">
        <f>IF(OR(BF81=0,1&lt;='01_Вводные'!$B$297),0,BF81*IF('01_Вводные'!$B$239="Да",MeanMinAge01+BF204*SUMIF(ThresholdAge01,"&lt;"&amp;BF204,WeightedRevAge01)-SUMIF(ThresholdAge01,"&lt;"&amp;BF204,WeightedMinAge01),MAX(CapacityAge01*'01_Вводные'!$B$218*BF204,MeanMinAge01)))</f>
        <v/>
      </c>
      <c r="BG109" s="190">
        <f>IF(OR(BG81=0,1&lt;='01_Вводные'!$B$297),0,BG81*IF('01_Вводные'!$B$239="Да",MeanMinAge01+BG204*SUMIF(ThresholdAge01,"&lt;"&amp;BG204,WeightedRevAge01)-SUMIF(ThresholdAge01,"&lt;"&amp;BG204,WeightedMinAge01),MAX(CapacityAge01*'01_Вводные'!$B$218*BG204,MeanMinAge01)))</f>
        <v/>
      </c>
      <c r="BH109" s="190">
        <f>IF(OR(BH81=0,1&lt;='01_Вводные'!$B$297),0,BH81*IF('01_Вводные'!$B$239="Да",MeanMinAge01+BH204*SUMIF(ThresholdAge01,"&lt;"&amp;BH204,WeightedRevAge01)-SUMIF(ThresholdAge01,"&lt;"&amp;BH204,WeightedMinAge01),MAX(CapacityAge01*'01_Вводные'!$B$218*BH204,MeanMinAge01)))</f>
        <v/>
      </c>
      <c r="BI109" s="190">
        <f>IF(OR(BI81=0,1&lt;='01_Вводные'!$B$297),0,BI81*IF('01_Вводные'!$B$239="Да",MeanMinAge01+BI204*SUMIF(ThresholdAge01,"&lt;"&amp;BI204,WeightedRevAge01)-SUMIF(ThresholdAge01,"&lt;"&amp;BI204,WeightedMinAge01),MAX(CapacityAge01*'01_Вводные'!$B$218*BI204,MeanMinAge01)))</f>
        <v/>
      </c>
      <c r="BJ109" s="190">
        <f>IF(OR(BJ81=0,1&lt;='01_Вводные'!$B$297),0,BJ81*IF('01_Вводные'!$B$239="Да",MeanMinAge01+BJ204*SUMIF(ThresholdAge01,"&lt;"&amp;BJ204,WeightedRevAge01)-SUMIF(ThresholdAge01,"&lt;"&amp;BJ204,WeightedMinAge01),MAX(CapacityAge01*'01_Вводные'!$B$218*BJ204,MeanMinAge01)))</f>
        <v/>
      </c>
      <c r="BK109" s="190">
        <f>IF(OR(BK81=0,1&lt;='01_Вводные'!$B$297),0,BK81*IF('01_Вводные'!$B$239="Да",MeanMinAge01+BK204*SUMIF(ThresholdAge01,"&lt;"&amp;BK204,WeightedRevAge01)-SUMIF(ThresholdAge01,"&lt;"&amp;BK204,WeightedMinAge01),MAX(CapacityAge01*'01_Вводные'!$B$218*BK204,MeanMinAge01)))</f>
        <v/>
      </c>
      <c r="BL109" s="190">
        <f>IF(OR(BL81=0,1&lt;='01_Вводные'!$B$297),0,BL81*IF('01_Вводные'!$B$239="Да",MeanMinAge01+BL204*SUMIF(ThresholdAge01,"&lt;"&amp;BL204,WeightedRevAge01)-SUMIF(ThresholdAge01,"&lt;"&amp;BL204,WeightedMinAge01),MAX(CapacityAge01*'01_Вводные'!$B$218*BL204,MeanMinAge01)))</f>
        <v/>
      </c>
      <c r="BM109" s="190">
        <f>IF(OR(BM81=0,1&lt;='01_Вводные'!$B$297),0,BM81*IF('01_Вводные'!$B$239="Да",MeanMinAge01+BM204*SUMIF(ThresholdAge01,"&lt;"&amp;BM204,WeightedRevAge01)-SUMIF(ThresholdAge01,"&lt;"&amp;BM204,WeightedMinAge01),MAX(CapacityAge01*'01_Вводные'!$B$218*BM204,MeanMinAge01)))</f>
        <v/>
      </c>
      <c r="BN109" s="190">
        <f>IF(OR(BN81=0,1&lt;='01_Вводные'!$B$297),0,BN81*IF('01_Вводные'!$B$239="Да",MeanMinAge01+BN204*SUMIF(ThresholdAge01,"&lt;"&amp;BN204,WeightedRevAge01)-SUMIF(ThresholdAge01,"&lt;"&amp;BN204,WeightedMinAge01),MAX(CapacityAge01*'01_Вводные'!$B$218*BN204,MeanMinAge01)))</f>
        <v/>
      </c>
      <c r="BO109" s="190">
        <f>IF(OR(BO81=0,1&lt;='01_Вводные'!$B$297),0,BO81*IF('01_Вводные'!$B$239="Да",MeanMinAge01+BO204*SUMIF(ThresholdAge01,"&lt;"&amp;BO204,WeightedRevAge01)-SUMIF(ThresholdAge01,"&lt;"&amp;BO204,WeightedMinAge01),MAX(CapacityAge01*'01_Вводные'!$B$218*BO204,MeanMinAge01)))</f>
        <v/>
      </c>
    </row>
    <row r="110" hidden="1" outlineLevel="1">
      <c r="A110" t="inlineStr">
        <is>
          <t>2 мес.</t>
        </is>
      </c>
      <c r="B110" s="190">
        <f>IF(OR(B82=0,2&lt;='01_Вводные'!$B$297),0,B82*IF('01_Вводные'!$B$239="Да",MeanMinAge02+B204*SUMIF(ThresholdAge02,"&lt;"&amp;B204,WeightedRevAge02)-SUMIF(ThresholdAge02,"&lt;"&amp;B204,WeightedMinAge02),MAX(CapacityAge02*'01_Вводные'!$B$218*B204,MeanMinAge02)))</f>
        <v/>
      </c>
      <c r="C110" s="190">
        <f>IF(OR(C82=0,2&lt;='01_Вводные'!$B$297),0,C82*IF('01_Вводные'!$B$239="Да",MeanMinAge02+C204*SUMIF(ThresholdAge02,"&lt;"&amp;C204,WeightedRevAge02)-SUMIF(ThresholdAge02,"&lt;"&amp;C204,WeightedMinAge02),MAX(CapacityAge02*'01_Вводные'!$B$218*C204,MeanMinAge02)))</f>
        <v/>
      </c>
      <c r="D110" s="190">
        <f>IF(OR(D82=0,2&lt;='01_Вводные'!$B$297),0,D82*IF('01_Вводные'!$B$239="Да",MeanMinAge02+D204*SUMIF(ThresholdAge02,"&lt;"&amp;D204,WeightedRevAge02)-SUMIF(ThresholdAge02,"&lt;"&amp;D204,WeightedMinAge02),MAX(CapacityAge02*'01_Вводные'!$B$218*D204,MeanMinAge02)))</f>
        <v/>
      </c>
      <c r="E110" s="190">
        <f>IF(OR(E82=0,2&lt;='01_Вводные'!$B$297),0,E82*IF('01_Вводные'!$B$239="Да",MeanMinAge02+E204*SUMIF(ThresholdAge02,"&lt;"&amp;E204,WeightedRevAge02)-SUMIF(ThresholdAge02,"&lt;"&amp;E204,WeightedMinAge02),MAX(CapacityAge02*'01_Вводные'!$B$218*E204,MeanMinAge02)))</f>
        <v/>
      </c>
      <c r="F110" s="190">
        <f>IF(OR(F82=0,2&lt;='01_Вводные'!$B$297),0,F82*IF('01_Вводные'!$B$239="Да",MeanMinAge02+F204*SUMIF(ThresholdAge02,"&lt;"&amp;F204,WeightedRevAge02)-SUMIF(ThresholdAge02,"&lt;"&amp;F204,WeightedMinAge02),MAX(CapacityAge02*'01_Вводные'!$B$218*F204,MeanMinAge02)))</f>
        <v/>
      </c>
      <c r="G110" s="190">
        <f>IF(OR(G82=0,2&lt;='01_Вводные'!$B$297),0,G82*IF('01_Вводные'!$B$239="Да",MeanMinAge02+G204*SUMIF(ThresholdAge02,"&lt;"&amp;G204,WeightedRevAge02)-SUMIF(ThresholdAge02,"&lt;"&amp;G204,WeightedMinAge02),MAX(CapacityAge02*'01_Вводные'!$B$218*G204,MeanMinAge02)))</f>
        <v/>
      </c>
      <c r="H110" s="190">
        <f>IF(OR(H82=0,2&lt;='01_Вводные'!$B$297),0,H82*IF('01_Вводные'!$B$239="Да",MeanMinAge02+H204*SUMIF(ThresholdAge02,"&lt;"&amp;H204,WeightedRevAge02)-SUMIF(ThresholdAge02,"&lt;"&amp;H204,WeightedMinAge02),MAX(CapacityAge02*'01_Вводные'!$B$218*H204,MeanMinAge02)))</f>
        <v/>
      </c>
      <c r="I110" s="190">
        <f>IF(OR(I82=0,2&lt;='01_Вводные'!$B$297),0,I82*IF('01_Вводные'!$B$239="Да",MeanMinAge02+I204*SUMIF(ThresholdAge02,"&lt;"&amp;I204,WeightedRevAge02)-SUMIF(ThresholdAge02,"&lt;"&amp;I204,WeightedMinAge02),MAX(CapacityAge02*'01_Вводные'!$B$218*I204,MeanMinAge02)))</f>
        <v/>
      </c>
      <c r="J110" s="190">
        <f>IF(OR(J82=0,2&lt;='01_Вводные'!$B$297),0,J82*IF('01_Вводные'!$B$239="Да",MeanMinAge02+J204*SUMIF(ThresholdAge02,"&lt;"&amp;J204,WeightedRevAge02)-SUMIF(ThresholdAge02,"&lt;"&amp;J204,WeightedMinAge02),MAX(CapacityAge02*'01_Вводные'!$B$218*J204,MeanMinAge02)))</f>
        <v/>
      </c>
      <c r="K110" s="190">
        <f>IF(OR(K82=0,2&lt;='01_Вводные'!$B$297),0,K82*IF('01_Вводные'!$B$239="Да",MeanMinAge02+K204*SUMIF(ThresholdAge02,"&lt;"&amp;K204,WeightedRevAge02)-SUMIF(ThresholdAge02,"&lt;"&amp;K204,WeightedMinAge02),MAX(CapacityAge02*'01_Вводные'!$B$218*K204,MeanMinAge02)))</f>
        <v/>
      </c>
      <c r="L110" s="190">
        <f>IF(OR(L82=0,2&lt;='01_Вводные'!$B$297),0,L82*IF('01_Вводные'!$B$239="Да",MeanMinAge02+L204*SUMIF(ThresholdAge02,"&lt;"&amp;L204,WeightedRevAge02)-SUMIF(ThresholdAge02,"&lt;"&amp;L204,WeightedMinAge02),MAX(CapacityAge02*'01_Вводные'!$B$218*L204,MeanMinAge02)))</f>
        <v/>
      </c>
      <c r="M110" s="190">
        <f>IF(OR(M82=0,2&lt;='01_Вводные'!$B$297),0,M82*IF('01_Вводные'!$B$239="Да",MeanMinAge02+M204*SUMIF(ThresholdAge02,"&lt;"&amp;M204,WeightedRevAge02)-SUMIF(ThresholdAge02,"&lt;"&amp;M204,WeightedMinAge02),MAX(CapacityAge02*'01_Вводные'!$B$218*M204,MeanMinAge02)))</f>
        <v/>
      </c>
      <c r="N110" s="190">
        <f>IF(OR(N82=0,2&lt;='01_Вводные'!$B$297),0,N82*IF('01_Вводные'!$B$239="Да",MeanMinAge02+N204*SUMIF(ThresholdAge02,"&lt;"&amp;N204,WeightedRevAge02)-SUMIF(ThresholdAge02,"&lt;"&amp;N204,WeightedMinAge02),MAX(CapacityAge02*'01_Вводные'!$B$218*N204,MeanMinAge02)))</f>
        <v/>
      </c>
      <c r="O110" s="190">
        <f>IF(OR(O82=0,2&lt;='01_Вводные'!$B$297),0,O82*IF('01_Вводные'!$B$239="Да",MeanMinAge02+O204*SUMIF(ThresholdAge02,"&lt;"&amp;O204,WeightedRevAge02)-SUMIF(ThresholdAge02,"&lt;"&amp;O204,WeightedMinAge02),MAX(CapacityAge02*'01_Вводные'!$B$218*O204,MeanMinAge02)))</f>
        <v/>
      </c>
      <c r="P110" s="190">
        <f>IF(OR(P82=0,2&lt;='01_Вводные'!$B$297),0,P82*IF('01_Вводные'!$B$239="Да",MeanMinAge02+P204*SUMIF(ThresholdAge02,"&lt;"&amp;P204,WeightedRevAge02)-SUMIF(ThresholdAge02,"&lt;"&amp;P204,WeightedMinAge02),MAX(CapacityAge02*'01_Вводные'!$B$218*P204,MeanMinAge02)))</f>
        <v/>
      </c>
      <c r="Q110" s="190">
        <f>IF(OR(Q82=0,2&lt;='01_Вводные'!$B$297),0,Q82*IF('01_Вводные'!$B$239="Да",MeanMinAge02+Q204*SUMIF(ThresholdAge02,"&lt;"&amp;Q204,WeightedRevAge02)-SUMIF(ThresholdAge02,"&lt;"&amp;Q204,WeightedMinAge02),MAX(CapacityAge02*'01_Вводные'!$B$218*Q204,MeanMinAge02)))</f>
        <v/>
      </c>
      <c r="R110" s="190">
        <f>IF(OR(R82=0,2&lt;='01_Вводные'!$B$297),0,R82*IF('01_Вводные'!$B$239="Да",MeanMinAge02+R204*SUMIF(ThresholdAge02,"&lt;"&amp;R204,WeightedRevAge02)-SUMIF(ThresholdAge02,"&lt;"&amp;R204,WeightedMinAge02),MAX(CapacityAge02*'01_Вводные'!$B$218*R204,MeanMinAge02)))</f>
        <v/>
      </c>
      <c r="S110" s="190">
        <f>IF(OR(S82=0,2&lt;='01_Вводные'!$B$297),0,S82*IF('01_Вводные'!$B$239="Да",MeanMinAge02+S204*SUMIF(ThresholdAge02,"&lt;"&amp;S204,WeightedRevAge02)-SUMIF(ThresholdAge02,"&lt;"&amp;S204,WeightedMinAge02),MAX(CapacityAge02*'01_Вводные'!$B$218*S204,MeanMinAge02)))</f>
        <v/>
      </c>
      <c r="T110" s="190">
        <f>IF(OR(T82=0,2&lt;='01_Вводные'!$B$297),0,T82*IF('01_Вводные'!$B$239="Да",MeanMinAge02+T204*SUMIF(ThresholdAge02,"&lt;"&amp;T204,WeightedRevAge02)-SUMIF(ThresholdAge02,"&lt;"&amp;T204,WeightedMinAge02),MAX(CapacityAge02*'01_Вводные'!$B$218*T204,MeanMinAge02)))</f>
        <v/>
      </c>
      <c r="U110" s="190">
        <f>IF(OR(U82=0,2&lt;='01_Вводные'!$B$297),0,U82*IF('01_Вводные'!$B$239="Да",MeanMinAge02+U204*SUMIF(ThresholdAge02,"&lt;"&amp;U204,WeightedRevAge02)-SUMIF(ThresholdAge02,"&lt;"&amp;U204,WeightedMinAge02),MAX(CapacityAge02*'01_Вводные'!$B$218*U204,MeanMinAge02)))</f>
        <v/>
      </c>
      <c r="V110" s="190">
        <f>IF(OR(V82=0,2&lt;='01_Вводные'!$B$297),0,V82*IF('01_Вводные'!$B$239="Да",MeanMinAge02+V204*SUMIF(ThresholdAge02,"&lt;"&amp;V204,WeightedRevAge02)-SUMIF(ThresholdAge02,"&lt;"&amp;V204,WeightedMinAge02),MAX(CapacityAge02*'01_Вводные'!$B$218*V204,MeanMinAge02)))</f>
        <v/>
      </c>
      <c r="W110" s="190">
        <f>IF(OR(W82=0,2&lt;='01_Вводные'!$B$297),0,W82*IF('01_Вводные'!$B$239="Да",MeanMinAge02+W204*SUMIF(ThresholdAge02,"&lt;"&amp;W204,WeightedRevAge02)-SUMIF(ThresholdAge02,"&lt;"&amp;W204,WeightedMinAge02),MAX(CapacityAge02*'01_Вводные'!$B$218*W204,MeanMinAge02)))</f>
        <v/>
      </c>
      <c r="X110" s="190">
        <f>IF(OR(X82=0,2&lt;='01_Вводные'!$B$297),0,X82*IF('01_Вводные'!$B$239="Да",MeanMinAge02+X204*SUMIF(ThresholdAge02,"&lt;"&amp;X204,WeightedRevAge02)-SUMIF(ThresholdAge02,"&lt;"&amp;X204,WeightedMinAge02),MAX(CapacityAge02*'01_Вводные'!$B$218*X204,MeanMinAge02)))</f>
        <v/>
      </c>
      <c r="Y110" s="190">
        <f>IF(OR(Y82=0,2&lt;='01_Вводные'!$B$297),0,Y82*IF('01_Вводные'!$B$239="Да",MeanMinAge02+Y204*SUMIF(ThresholdAge02,"&lt;"&amp;Y204,WeightedRevAge02)-SUMIF(ThresholdAge02,"&lt;"&amp;Y204,WeightedMinAge02),MAX(CapacityAge02*'01_Вводные'!$B$218*Y204,MeanMinAge02)))</f>
        <v/>
      </c>
      <c r="Z110" s="190">
        <f>IF(OR(Z82=0,2&lt;='01_Вводные'!$B$297),0,Z82*IF('01_Вводные'!$B$239="Да",MeanMinAge02+Z204*SUMIF(ThresholdAge02,"&lt;"&amp;Z204,WeightedRevAge02)-SUMIF(ThresholdAge02,"&lt;"&amp;Z204,WeightedMinAge02),MAX(CapacityAge02*'01_Вводные'!$B$218*Z204,MeanMinAge02)))</f>
        <v/>
      </c>
      <c r="AA110" s="190">
        <f>IF(OR(AA82=0,2&lt;='01_Вводные'!$B$297),0,AA82*IF('01_Вводные'!$B$239="Да",MeanMinAge02+AA204*SUMIF(ThresholdAge02,"&lt;"&amp;AA204,WeightedRevAge02)-SUMIF(ThresholdAge02,"&lt;"&amp;AA204,WeightedMinAge02),MAX(CapacityAge02*'01_Вводные'!$B$218*AA204,MeanMinAge02)))</f>
        <v/>
      </c>
      <c r="AB110" s="190">
        <f>IF(OR(AB82=0,2&lt;='01_Вводные'!$B$297),0,AB82*IF('01_Вводные'!$B$239="Да",MeanMinAge02+AB204*SUMIF(ThresholdAge02,"&lt;"&amp;AB204,WeightedRevAge02)-SUMIF(ThresholdAge02,"&lt;"&amp;AB204,WeightedMinAge02),MAX(CapacityAge02*'01_Вводные'!$B$218*AB204,MeanMinAge02)))</f>
        <v/>
      </c>
      <c r="AC110" s="190">
        <f>IF(OR(AC82=0,2&lt;='01_Вводные'!$B$297),0,AC82*IF('01_Вводные'!$B$239="Да",MeanMinAge02+AC204*SUMIF(ThresholdAge02,"&lt;"&amp;AC204,WeightedRevAge02)-SUMIF(ThresholdAge02,"&lt;"&amp;AC204,WeightedMinAge02),MAX(CapacityAge02*'01_Вводные'!$B$218*AC204,MeanMinAge02)))</f>
        <v/>
      </c>
      <c r="AD110" s="190">
        <f>IF(OR(AD82=0,2&lt;='01_Вводные'!$B$297),0,AD82*IF('01_Вводные'!$B$239="Да",MeanMinAge02+AD204*SUMIF(ThresholdAge02,"&lt;"&amp;AD204,WeightedRevAge02)-SUMIF(ThresholdAge02,"&lt;"&amp;AD204,WeightedMinAge02),MAX(CapacityAge02*'01_Вводные'!$B$218*AD204,MeanMinAge02)))</f>
        <v/>
      </c>
      <c r="AE110" s="190">
        <f>IF(OR(AE82=0,2&lt;='01_Вводные'!$B$297),0,AE82*IF('01_Вводные'!$B$239="Да",MeanMinAge02+AE204*SUMIF(ThresholdAge02,"&lt;"&amp;AE204,WeightedRevAge02)-SUMIF(ThresholdAge02,"&lt;"&amp;AE204,WeightedMinAge02),MAX(CapacityAge02*'01_Вводные'!$B$218*AE204,MeanMinAge02)))</f>
        <v/>
      </c>
      <c r="AF110" s="190">
        <f>IF(OR(AF82=0,2&lt;='01_Вводные'!$B$297),0,AF82*IF('01_Вводные'!$B$239="Да",MeanMinAge02+AF204*SUMIF(ThresholdAge02,"&lt;"&amp;AF204,WeightedRevAge02)-SUMIF(ThresholdAge02,"&lt;"&amp;AF204,WeightedMinAge02),MAX(CapacityAge02*'01_Вводные'!$B$218*AF204,MeanMinAge02)))</f>
        <v/>
      </c>
      <c r="AG110" s="190">
        <f>IF(OR(AG82=0,2&lt;='01_Вводные'!$B$297),0,AG82*IF('01_Вводные'!$B$239="Да",MeanMinAge02+AG204*SUMIF(ThresholdAge02,"&lt;"&amp;AG204,WeightedRevAge02)-SUMIF(ThresholdAge02,"&lt;"&amp;AG204,WeightedMinAge02),MAX(CapacityAge02*'01_Вводные'!$B$218*AG204,MeanMinAge02)))</f>
        <v/>
      </c>
      <c r="AH110" s="190">
        <f>IF(OR(AH82=0,2&lt;='01_Вводные'!$B$297),0,AH82*IF('01_Вводные'!$B$239="Да",MeanMinAge02+AH204*SUMIF(ThresholdAge02,"&lt;"&amp;AH204,WeightedRevAge02)-SUMIF(ThresholdAge02,"&lt;"&amp;AH204,WeightedMinAge02),MAX(CapacityAge02*'01_Вводные'!$B$218*AH204,MeanMinAge02)))</f>
        <v/>
      </c>
      <c r="AI110" s="190">
        <f>IF(OR(AI82=0,2&lt;='01_Вводные'!$B$297),0,AI82*IF('01_Вводные'!$B$239="Да",MeanMinAge02+AI204*SUMIF(ThresholdAge02,"&lt;"&amp;AI204,WeightedRevAge02)-SUMIF(ThresholdAge02,"&lt;"&amp;AI204,WeightedMinAge02),MAX(CapacityAge02*'01_Вводные'!$B$218*AI204,MeanMinAge02)))</f>
        <v/>
      </c>
      <c r="AJ110" s="190">
        <f>IF(OR(AJ82=0,2&lt;='01_Вводные'!$B$297),0,AJ82*IF('01_Вводные'!$B$239="Да",MeanMinAge02+AJ204*SUMIF(ThresholdAge02,"&lt;"&amp;AJ204,WeightedRevAge02)-SUMIF(ThresholdAge02,"&lt;"&amp;AJ204,WeightedMinAge02),MAX(CapacityAge02*'01_Вводные'!$B$218*AJ204,MeanMinAge02)))</f>
        <v/>
      </c>
      <c r="AK110" s="190">
        <f>IF(OR(AK82=0,2&lt;='01_Вводные'!$B$297),0,AK82*IF('01_Вводные'!$B$239="Да",MeanMinAge02+AK204*SUMIF(ThresholdAge02,"&lt;"&amp;AK204,WeightedRevAge02)-SUMIF(ThresholdAge02,"&lt;"&amp;AK204,WeightedMinAge02),MAX(CapacityAge02*'01_Вводные'!$B$218*AK204,MeanMinAge02)))</f>
        <v/>
      </c>
      <c r="AL110" s="190">
        <f>IF(OR(AL82=0,2&lt;='01_Вводные'!$B$297),0,AL82*IF('01_Вводные'!$B$239="Да",MeanMinAge02+AL204*SUMIF(ThresholdAge02,"&lt;"&amp;AL204,WeightedRevAge02)-SUMIF(ThresholdAge02,"&lt;"&amp;AL204,WeightedMinAge02),MAX(CapacityAge02*'01_Вводные'!$B$218*AL204,MeanMinAge02)))</f>
        <v/>
      </c>
      <c r="AM110" s="190">
        <f>IF(OR(AM82=0,2&lt;='01_Вводные'!$B$297),0,AM82*IF('01_Вводные'!$B$239="Да",MeanMinAge02+AM204*SUMIF(ThresholdAge02,"&lt;"&amp;AM204,WeightedRevAge02)-SUMIF(ThresholdAge02,"&lt;"&amp;AM204,WeightedMinAge02),MAX(CapacityAge02*'01_Вводные'!$B$218*AM204,MeanMinAge02)))</f>
        <v/>
      </c>
      <c r="AN110" s="190">
        <f>IF(OR(AN82=0,2&lt;='01_Вводные'!$B$297),0,AN82*IF('01_Вводные'!$B$239="Да",MeanMinAge02+AN204*SUMIF(ThresholdAge02,"&lt;"&amp;AN204,WeightedRevAge02)-SUMIF(ThresholdAge02,"&lt;"&amp;AN204,WeightedMinAge02),MAX(CapacityAge02*'01_Вводные'!$B$218*AN204,MeanMinAge02)))</f>
        <v/>
      </c>
      <c r="AO110" s="190">
        <f>IF(OR(AO82=0,2&lt;='01_Вводные'!$B$297),0,AO82*IF('01_Вводные'!$B$239="Да",MeanMinAge02+AO204*SUMIF(ThresholdAge02,"&lt;"&amp;AO204,WeightedRevAge02)-SUMIF(ThresholdAge02,"&lt;"&amp;AO204,WeightedMinAge02),MAX(CapacityAge02*'01_Вводные'!$B$218*AO204,MeanMinAge02)))</f>
        <v/>
      </c>
      <c r="AP110" s="190">
        <f>IF(OR(AP82=0,2&lt;='01_Вводные'!$B$297),0,AP82*IF('01_Вводные'!$B$239="Да",MeanMinAge02+AP204*SUMIF(ThresholdAge02,"&lt;"&amp;AP204,WeightedRevAge02)-SUMIF(ThresholdAge02,"&lt;"&amp;AP204,WeightedMinAge02),MAX(CapacityAge02*'01_Вводные'!$B$218*AP204,MeanMinAge02)))</f>
        <v/>
      </c>
      <c r="AQ110" s="190">
        <f>IF(OR(AQ82=0,2&lt;='01_Вводные'!$B$297),0,AQ82*IF('01_Вводные'!$B$239="Да",MeanMinAge02+AQ204*SUMIF(ThresholdAge02,"&lt;"&amp;AQ204,WeightedRevAge02)-SUMIF(ThresholdAge02,"&lt;"&amp;AQ204,WeightedMinAge02),MAX(CapacityAge02*'01_Вводные'!$B$218*AQ204,MeanMinAge02)))</f>
        <v/>
      </c>
      <c r="AR110" s="190">
        <f>IF(OR(AR82=0,2&lt;='01_Вводные'!$B$297),0,AR82*IF('01_Вводные'!$B$239="Да",MeanMinAge02+AR204*SUMIF(ThresholdAge02,"&lt;"&amp;AR204,WeightedRevAge02)-SUMIF(ThresholdAge02,"&lt;"&amp;AR204,WeightedMinAge02),MAX(CapacityAge02*'01_Вводные'!$B$218*AR204,MeanMinAge02)))</f>
        <v/>
      </c>
      <c r="AS110" s="190">
        <f>IF(OR(AS82=0,2&lt;='01_Вводные'!$B$297),0,AS82*IF('01_Вводные'!$B$239="Да",MeanMinAge02+AS204*SUMIF(ThresholdAge02,"&lt;"&amp;AS204,WeightedRevAge02)-SUMIF(ThresholdAge02,"&lt;"&amp;AS204,WeightedMinAge02),MAX(CapacityAge02*'01_Вводные'!$B$218*AS204,MeanMinAge02)))</f>
        <v/>
      </c>
      <c r="AT110" s="190">
        <f>IF(OR(AT82=0,2&lt;='01_Вводные'!$B$297),0,AT82*IF('01_Вводные'!$B$239="Да",MeanMinAge02+AT204*SUMIF(ThresholdAge02,"&lt;"&amp;AT204,WeightedRevAge02)-SUMIF(ThresholdAge02,"&lt;"&amp;AT204,WeightedMinAge02),MAX(CapacityAge02*'01_Вводные'!$B$218*AT204,MeanMinAge02)))</f>
        <v/>
      </c>
      <c r="AU110" s="190">
        <f>IF(OR(AU82=0,2&lt;='01_Вводные'!$B$297),0,AU82*IF('01_Вводные'!$B$239="Да",MeanMinAge02+AU204*SUMIF(ThresholdAge02,"&lt;"&amp;AU204,WeightedRevAge02)-SUMIF(ThresholdAge02,"&lt;"&amp;AU204,WeightedMinAge02),MAX(CapacityAge02*'01_Вводные'!$B$218*AU204,MeanMinAge02)))</f>
        <v/>
      </c>
      <c r="AV110" s="190">
        <f>IF(OR(AV82=0,2&lt;='01_Вводные'!$B$297),0,AV82*IF('01_Вводные'!$B$239="Да",MeanMinAge02+AV204*SUMIF(ThresholdAge02,"&lt;"&amp;AV204,WeightedRevAge02)-SUMIF(ThresholdAge02,"&lt;"&amp;AV204,WeightedMinAge02),MAX(CapacityAge02*'01_Вводные'!$B$218*AV204,MeanMinAge02)))</f>
        <v/>
      </c>
      <c r="AW110" s="190">
        <f>IF(OR(AW82=0,2&lt;='01_Вводные'!$B$297),0,AW82*IF('01_Вводные'!$B$239="Да",MeanMinAge02+AW204*SUMIF(ThresholdAge02,"&lt;"&amp;AW204,WeightedRevAge02)-SUMIF(ThresholdAge02,"&lt;"&amp;AW204,WeightedMinAge02),MAX(CapacityAge02*'01_Вводные'!$B$218*AW204,MeanMinAge02)))</f>
        <v/>
      </c>
      <c r="AX110" s="190">
        <f>IF(OR(AX82=0,2&lt;='01_Вводные'!$B$297),0,AX82*IF('01_Вводные'!$B$239="Да",MeanMinAge02+AX204*SUMIF(ThresholdAge02,"&lt;"&amp;AX204,WeightedRevAge02)-SUMIF(ThresholdAge02,"&lt;"&amp;AX204,WeightedMinAge02),MAX(CapacityAge02*'01_Вводные'!$B$218*AX204,MeanMinAge02)))</f>
        <v/>
      </c>
      <c r="AY110" s="190">
        <f>IF(OR(AY82=0,2&lt;='01_Вводные'!$B$297),0,AY82*IF('01_Вводные'!$B$239="Да",MeanMinAge02+AY204*SUMIF(ThresholdAge02,"&lt;"&amp;AY204,WeightedRevAge02)-SUMIF(ThresholdAge02,"&lt;"&amp;AY204,WeightedMinAge02),MAX(CapacityAge02*'01_Вводные'!$B$218*AY204,MeanMinAge02)))</f>
        <v/>
      </c>
      <c r="AZ110" s="190">
        <f>IF(OR(AZ82=0,2&lt;='01_Вводные'!$B$297),0,AZ82*IF('01_Вводные'!$B$239="Да",MeanMinAge02+AZ204*SUMIF(ThresholdAge02,"&lt;"&amp;AZ204,WeightedRevAge02)-SUMIF(ThresholdAge02,"&lt;"&amp;AZ204,WeightedMinAge02),MAX(CapacityAge02*'01_Вводные'!$B$218*AZ204,MeanMinAge02)))</f>
        <v/>
      </c>
      <c r="BA110" s="190">
        <f>IF(OR(BA82=0,2&lt;='01_Вводные'!$B$297),0,BA82*IF('01_Вводные'!$B$239="Да",MeanMinAge02+BA204*SUMIF(ThresholdAge02,"&lt;"&amp;BA204,WeightedRevAge02)-SUMIF(ThresholdAge02,"&lt;"&amp;BA204,WeightedMinAge02),MAX(CapacityAge02*'01_Вводные'!$B$218*BA204,MeanMinAge02)))</f>
        <v/>
      </c>
      <c r="BB110" s="190">
        <f>IF(OR(BB82=0,2&lt;='01_Вводные'!$B$297),0,BB82*IF('01_Вводные'!$B$239="Да",MeanMinAge02+BB204*SUMIF(ThresholdAge02,"&lt;"&amp;BB204,WeightedRevAge02)-SUMIF(ThresholdAge02,"&lt;"&amp;BB204,WeightedMinAge02),MAX(CapacityAge02*'01_Вводные'!$B$218*BB204,MeanMinAge02)))</f>
        <v/>
      </c>
      <c r="BC110" s="190">
        <f>IF(OR(BC82=0,2&lt;='01_Вводные'!$B$297),0,BC82*IF('01_Вводные'!$B$239="Да",MeanMinAge02+BC204*SUMIF(ThresholdAge02,"&lt;"&amp;BC204,WeightedRevAge02)-SUMIF(ThresholdAge02,"&lt;"&amp;BC204,WeightedMinAge02),MAX(CapacityAge02*'01_Вводные'!$B$218*BC204,MeanMinAge02)))</f>
        <v/>
      </c>
      <c r="BD110" s="190">
        <f>IF(OR(BD82=0,2&lt;='01_Вводные'!$B$297),0,BD82*IF('01_Вводные'!$B$239="Да",MeanMinAge02+BD204*SUMIF(ThresholdAge02,"&lt;"&amp;BD204,WeightedRevAge02)-SUMIF(ThresholdAge02,"&lt;"&amp;BD204,WeightedMinAge02),MAX(CapacityAge02*'01_Вводные'!$B$218*BD204,MeanMinAge02)))</f>
        <v/>
      </c>
      <c r="BE110" s="190">
        <f>IF(OR(BE82=0,2&lt;='01_Вводные'!$B$297),0,BE82*IF('01_Вводные'!$B$239="Да",MeanMinAge02+BE204*SUMIF(ThresholdAge02,"&lt;"&amp;BE204,WeightedRevAge02)-SUMIF(ThresholdAge02,"&lt;"&amp;BE204,WeightedMinAge02),MAX(CapacityAge02*'01_Вводные'!$B$218*BE204,MeanMinAge02)))</f>
        <v/>
      </c>
      <c r="BF110" s="190">
        <f>IF(OR(BF82=0,2&lt;='01_Вводные'!$B$297),0,BF82*IF('01_Вводные'!$B$239="Да",MeanMinAge02+BF204*SUMIF(ThresholdAge02,"&lt;"&amp;BF204,WeightedRevAge02)-SUMIF(ThresholdAge02,"&lt;"&amp;BF204,WeightedMinAge02),MAX(CapacityAge02*'01_Вводные'!$B$218*BF204,MeanMinAge02)))</f>
        <v/>
      </c>
      <c r="BG110" s="190">
        <f>IF(OR(BG82=0,2&lt;='01_Вводные'!$B$297),0,BG82*IF('01_Вводные'!$B$239="Да",MeanMinAge02+BG204*SUMIF(ThresholdAge02,"&lt;"&amp;BG204,WeightedRevAge02)-SUMIF(ThresholdAge02,"&lt;"&amp;BG204,WeightedMinAge02),MAX(CapacityAge02*'01_Вводные'!$B$218*BG204,MeanMinAge02)))</f>
        <v/>
      </c>
      <c r="BH110" s="190">
        <f>IF(OR(BH82=0,2&lt;='01_Вводные'!$B$297),0,BH82*IF('01_Вводные'!$B$239="Да",MeanMinAge02+BH204*SUMIF(ThresholdAge02,"&lt;"&amp;BH204,WeightedRevAge02)-SUMIF(ThresholdAge02,"&lt;"&amp;BH204,WeightedMinAge02),MAX(CapacityAge02*'01_Вводные'!$B$218*BH204,MeanMinAge02)))</f>
        <v/>
      </c>
      <c r="BI110" s="190">
        <f>IF(OR(BI82=0,2&lt;='01_Вводные'!$B$297),0,BI82*IF('01_Вводные'!$B$239="Да",MeanMinAge02+BI204*SUMIF(ThresholdAge02,"&lt;"&amp;BI204,WeightedRevAge02)-SUMIF(ThresholdAge02,"&lt;"&amp;BI204,WeightedMinAge02),MAX(CapacityAge02*'01_Вводные'!$B$218*BI204,MeanMinAge02)))</f>
        <v/>
      </c>
      <c r="BJ110" s="190">
        <f>IF(OR(BJ82=0,2&lt;='01_Вводные'!$B$297),0,BJ82*IF('01_Вводные'!$B$239="Да",MeanMinAge02+BJ204*SUMIF(ThresholdAge02,"&lt;"&amp;BJ204,WeightedRevAge02)-SUMIF(ThresholdAge02,"&lt;"&amp;BJ204,WeightedMinAge02),MAX(CapacityAge02*'01_Вводные'!$B$218*BJ204,MeanMinAge02)))</f>
        <v/>
      </c>
      <c r="BK110" s="190">
        <f>IF(OR(BK82=0,2&lt;='01_Вводные'!$B$297),0,BK82*IF('01_Вводные'!$B$239="Да",MeanMinAge02+BK204*SUMIF(ThresholdAge02,"&lt;"&amp;BK204,WeightedRevAge02)-SUMIF(ThresholdAge02,"&lt;"&amp;BK204,WeightedMinAge02),MAX(CapacityAge02*'01_Вводные'!$B$218*BK204,MeanMinAge02)))</f>
        <v/>
      </c>
      <c r="BL110" s="190">
        <f>IF(OR(BL82=0,2&lt;='01_Вводные'!$B$297),0,BL82*IF('01_Вводные'!$B$239="Да",MeanMinAge02+BL204*SUMIF(ThresholdAge02,"&lt;"&amp;BL204,WeightedRevAge02)-SUMIF(ThresholdAge02,"&lt;"&amp;BL204,WeightedMinAge02),MAX(CapacityAge02*'01_Вводные'!$B$218*BL204,MeanMinAge02)))</f>
        <v/>
      </c>
      <c r="BM110" s="190">
        <f>IF(OR(BM82=0,2&lt;='01_Вводные'!$B$297),0,BM82*IF('01_Вводные'!$B$239="Да",MeanMinAge02+BM204*SUMIF(ThresholdAge02,"&lt;"&amp;BM204,WeightedRevAge02)-SUMIF(ThresholdAge02,"&lt;"&amp;BM204,WeightedMinAge02),MAX(CapacityAge02*'01_Вводные'!$B$218*BM204,MeanMinAge02)))</f>
        <v/>
      </c>
      <c r="BN110" s="190">
        <f>IF(OR(BN82=0,2&lt;='01_Вводные'!$B$297),0,BN82*IF('01_Вводные'!$B$239="Да",MeanMinAge02+BN204*SUMIF(ThresholdAge02,"&lt;"&amp;BN204,WeightedRevAge02)-SUMIF(ThresholdAge02,"&lt;"&amp;BN204,WeightedMinAge02),MAX(CapacityAge02*'01_Вводные'!$B$218*BN204,MeanMinAge02)))</f>
        <v/>
      </c>
      <c r="BO110" s="190">
        <f>IF(OR(BO82=0,2&lt;='01_Вводные'!$B$297),0,BO82*IF('01_Вводные'!$B$239="Да",MeanMinAge02+BO204*SUMIF(ThresholdAge02,"&lt;"&amp;BO204,WeightedRevAge02)-SUMIF(ThresholdAge02,"&lt;"&amp;BO204,WeightedMinAge02),MAX(CapacityAge02*'01_Вводные'!$B$218*BO204,MeanMinAge02)))</f>
        <v/>
      </c>
    </row>
    <row r="111" hidden="1" outlineLevel="1">
      <c r="A111" t="inlineStr">
        <is>
          <t>3 мес.</t>
        </is>
      </c>
      <c r="B111" s="190">
        <f>IF(OR(B83=0,3&lt;='01_Вводные'!$B$297),0,B83*IF('01_Вводные'!$B$239="Да",MeanMinAge03+B204*SUMIF(ThresholdAge03,"&lt;"&amp;B204,WeightedRevAge03)-SUMIF(ThresholdAge03,"&lt;"&amp;B204,WeightedMinAge03),MAX(CapacityAge03*'01_Вводные'!$B$218*B204,MeanMinAge03)))</f>
        <v/>
      </c>
      <c r="C111" s="190">
        <f>IF(OR(C83=0,3&lt;='01_Вводные'!$B$297),0,C83*IF('01_Вводные'!$B$239="Да",MeanMinAge03+C204*SUMIF(ThresholdAge03,"&lt;"&amp;C204,WeightedRevAge03)-SUMIF(ThresholdAge03,"&lt;"&amp;C204,WeightedMinAge03),MAX(CapacityAge03*'01_Вводные'!$B$218*C204,MeanMinAge03)))</f>
        <v/>
      </c>
      <c r="D111" s="190">
        <f>IF(OR(D83=0,3&lt;='01_Вводные'!$B$297),0,D83*IF('01_Вводные'!$B$239="Да",MeanMinAge03+D204*SUMIF(ThresholdAge03,"&lt;"&amp;D204,WeightedRevAge03)-SUMIF(ThresholdAge03,"&lt;"&amp;D204,WeightedMinAge03),MAX(CapacityAge03*'01_Вводные'!$B$218*D204,MeanMinAge03)))</f>
        <v/>
      </c>
      <c r="E111" s="190">
        <f>IF(OR(E83=0,3&lt;='01_Вводные'!$B$297),0,E83*IF('01_Вводные'!$B$239="Да",MeanMinAge03+E204*SUMIF(ThresholdAge03,"&lt;"&amp;E204,WeightedRevAge03)-SUMIF(ThresholdAge03,"&lt;"&amp;E204,WeightedMinAge03),MAX(CapacityAge03*'01_Вводные'!$B$218*E204,MeanMinAge03)))</f>
        <v/>
      </c>
      <c r="F111" s="190">
        <f>IF(OR(F83=0,3&lt;='01_Вводные'!$B$297),0,F83*IF('01_Вводные'!$B$239="Да",MeanMinAge03+F204*SUMIF(ThresholdAge03,"&lt;"&amp;F204,WeightedRevAge03)-SUMIF(ThresholdAge03,"&lt;"&amp;F204,WeightedMinAge03),MAX(CapacityAge03*'01_Вводные'!$B$218*F204,MeanMinAge03)))</f>
        <v/>
      </c>
      <c r="G111" s="190">
        <f>IF(OR(G83=0,3&lt;='01_Вводные'!$B$297),0,G83*IF('01_Вводные'!$B$239="Да",MeanMinAge03+G204*SUMIF(ThresholdAge03,"&lt;"&amp;G204,WeightedRevAge03)-SUMIF(ThresholdAge03,"&lt;"&amp;G204,WeightedMinAge03),MAX(CapacityAge03*'01_Вводные'!$B$218*G204,MeanMinAge03)))</f>
        <v/>
      </c>
      <c r="H111" s="190">
        <f>IF(OR(H83=0,3&lt;='01_Вводные'!$B$297),0,H83*IF('01_Вводные'!$B$239="Да",MeanMinAge03+H204*SUMIF(ThresholdAge03,"&lt;"&amp;H204,WeightedRevAge03)-SUMIF(ThresholdAge03,"&lt;"&amp;H204,WeightedMinAge03),MAX(CapacityAge03*'01_Вводные'!$B$218*H204,MeanMinAge03)))</f>
        <v/>
      </c>
      <c r="I111" s="190">
        <f>IF(OR(I83=0,3&lt;='01_Вводные'!$B$297),0,I83*IF('01_Вводные'!$B$239="Да",MeanMinAge03+I204*SUMIF(ThresholdAge03,"&lt;"&amp;I204,WeightedRevAge03)-SUMIF(ThresholdAge03,"&lt;"&amp;I204,WeightedMinAge03),MAX(CapacityAge03*'01_Вводные'!$B$218*I204,MeanMinAge03)))</f>
        <v/>
      </c>
      <c r="J111" s="190">
        <f>IF(OR(J83=0,3&lt;='01_Вводные'!$B$297),0,J83*IF('01_Вводные'!$B$239="Да",MeanMinAge03+J204*SUMIF(ThresholdAge03,"&lt;"&amp;J204,WeightedRevAge03)-SUMIF(ThresholdAge03,"&lt;"&amp;J204,WeightedMinAge03),MAX(CapacityAge03*'01_Вводные'!$B$218*J204,MeanMinAge03)))</f>
        <v/>
      </c>
      <c r="K111" s="190">
        <f>IF(OR(K83=0,3&lt;='01_Вводные'!$B$297),0,K83*IF('01_Вводные'!$B$239="Да",MeanMinAge03+K204*SUMIF(ThresholdAge03,"&lt;"&amp;K204,WeightedRevAge03)-SUMIF(ThresholdAge03,"&lt;"&amp;K204,WeightedMinAge03),MAX(CapacityAge03*'01_Вводные'!$B$218*K204,MeanMinAge03)))</f>
        <v/>
      </c>
      <c r="L111" s="190">
        <f>IF(OR(L83=0,3&lt;='01_Вводные'!$B$297),0,L83*IF('01_Вводные'!$B$239="Да",MeanMinAge03+L204*SUMIF(ThresholdAge03,"&lt;"&amp;L204,WeightedRevAge03)-SUMIF(ThresholdAge03,"&lt;"&amp;L204,WeightedMinAge03),MAX(CapacityAge03*'01_Вводные'!$B$218*L204,MeanMinAge03)))</f>
        <v/>
      </c>
      <c r="M111" s="190">
        <f>IF(OR(M83=0,3&lt;='01_Вводные'!$B$297),0,M83*IF('01_Вводные'!$B$239="Да",MeanMinAge03+M204*SUMIF(ThresholdAge03,"&lt;"&amp;M204,WeightedRevAge03)-SUMIF(ThresholdAge03,"&lt;"&amp;M204,WeightedMinAge03),MAX(CapacityAge03*'01_Вводные'!$B$218*M204,MeanMinAge03)))</f>
        <v/>
      </c>
      <c r="N111" s="190">
        <f>IF(OR(N83=0,3&lt;='01_Вводные'!$B$297),0,N83*IF('01_Вводные'!$B$239="Да",MeanMinAge03+N204*SUMIF(ThresholdAge03,"&lt;"&amp;N204,WeightedRevAge03)-SUMIF(ThresholdAge03,"&lt;"&amp;N204,WeightedMinAge03),MAX(CapacityAge03*'01_Вводные'!$B$218*N204,MeanMinAge03)))</f>
        <v/>
      </c>
      <c r="O111" s="190">
        <f>IF(OR(O83=0,3&lt;='01_Вводные'!$B$297),0,O83*IF('01_Вводные'!$B$239="Да",MeanMinAge03+O204*SUMIF(ThresholdAge03,"&lt;"&amp;O204,WeightedRevAge03)-SUMIF(ThresholdAge03,"&lt;"&amp;O204,WeightedMinAge03),MAX(CapacityAge03*'01_Вводные'!$B$218*O204,MeanMinAge03)))</f>
        <v/>
      </c>
      <c r="P111" s="190">
        <f>IF(OR(P83=0,3&lt;='01_Вводные'!$B$297),0,P83*IF('01_Вводные'!$B$239="Да",MeanMinAge03+P204*SUMIF(ThresholdAge03,"&lt;"&amp;P204,WeightedRevAge03)-SUMIF(ThresholdAge03,"&lt;"&amp;P204,WeightedMinAge03),MAX(CapacityAge03*'01_Вводные'!$B$218*P204,MeanMinAge03)))</f>
        <v/>
      </c>
      <c r="Q111" s="190">
        <f>IF(OR(Q83=0,3&lt;='01_Вводные'!$B$297),0,Q83*IF('01_Вводные'!$B$239="Да",MeanMinAge03+Q204*SUMIF(ThresholdAge03,"&lt;"&amp;Q204,WeightedRevAge03)-SUMIF(ThresholdAge03,"&lt;"&amp;Q204,WeightedMinAge03),MAX(CapacityAge03*'01_Вводные'!$B$218*Q204,MeanMinAge03)))</f>
        <v/>
      </c>
      <c r="R111" s="190">
        <f>IF(OR(R83=0,3&lt;='01_Вводные'!$B$297),0,R83*IF('01_Вводные'!$B$239="Да",MeanMinAge03+R204*SUMIF(ThresholdAge03,"&lt;"&amp;R204,WeightedRevAge03)-SUMIF(ThresholdAge03,"&lt;"&amp;R204,WeightedMinAge03),MAX(CapacityAge03*'01_Вводные'!$B$218*R204,MeanMinAge03)))</f>
        <v/>
      </c>
      <c r="S111" s="190">
        <f>IF(OR(S83=0,3&lt;='01_Вводные'!$B$297),0,S83*IF('01_Вводные'!$B$239="Да",MeanMinAge03+S204*SUMIF(ThresholdAge03,"&lt;"&amp;S204,WeightedRevAge03)-SUMIF(ThresholdAge03,"&lt;"&amp;S204,WeightedMinAge03),MAX(CapacityAge03*'01_Вводные'!$B$218*S204,MeanMinAge03)))</f>
        <v/>
      </c>
      <c r="T111" s="190">
        <f>IF(OR(T83=0,3&lt;='01_Вводные'!$B$297),0,T83*IF('01_Вводные'!$B$239="Да",MeanMinAge03+T204*SUMIF(ThresholdAge03,"&lt;"&amp;T204,WeightedRevAge03)-SUMIF(ThresholdAge03,"&lt;"&amp;T204,WeightedMinAge03),MAX(CapacityAge03*'01_Вводные'!$B$218*T204,MeanMinAge03)))</f>
        <v/>
      </c>
      <c r="U111" s="190">
        <f>IF(OR(U83=0,3&lt;='01_Вводные'!$B$297),0,U83*IF('01_Вводные'!$B$239="Да",MeanMinAge03+U204*SUMIF(ThresholdAge03,"&lt;"&amp;U204,WeightedRevAge03)-SUMIF(ThresholdAge03,"&lt;"&amp;U204,WeightedMinAge03),MAX(CapacityAge03*'01_Вводные'!$B$218*U204,MeanMinAge03)))</f>
        <v/>
      </c>
      <c r="V111" s="190">
        <f>IF(OR(V83=0,3&lt;='01_Вводные'!$B$297),0,V83*IF('01_Вводные'!$B$239="Да",MeanMinAge03+V204*SUMIF(ThresholdAge03,"&lt;"&amp;V204,WeightedRevAge03)-SUMIF(ThresholdAge03,"&lt;"&amp;V204,WeightedMinAge03),MAX(CapacityAge03*'01_Вводные'!$B$218*V204,MeanMinAge03)))</f>
        <v/>
      </c>
      <c r="W111" s="190">
        <f>IF(OR(W83=0,3&lt;='01_Вводные'!$B$297),0,W83*IF('01_Вводные'!$B$239="Да",MeanMinAge03+W204*SUMIF(ThresholdAge03,"&lt;"&amp;W204,WeightedRevAge03)-SUMIF(ThresholdAge03,"&lt;"&amp;W204,WeightedMinAge03),MAX(CapacityAge03*'01_Вводные'!$B$218*W204,MeanMinAge03)))</f>
        <v/>
      </c>
      <c r="X111" s="190">
        <f>IF(OR(X83=0,3&lt;='01_Вводные'!$B$297),0,X83*IF('01_Вводные'!$B$239="Да",MeanMinAge03+X204*SUMIF(ThresholdAge03,"&lt;"&amp;X204,WeightedRevAge03)-SUMIF(ThresholdAge03,"&lt;"&amp;X204,WeightedMinAge03),MAX(CapacityAge03*'01_Вводные'!$B$218*X204,MeanMinAge03)))</f>
        <v/>
      </c>
      <c r="Y111" s="190">
        <f>IF(OR(Y83=0,3&lt;='01_Вводные'!$B$297),0,Y83*IF('01_Вводные'!$B$239="Да",MeanMinAge03+Y204*SUMIF(ThresholdAge03,"&lt;"&amp;Y204,WeightedRevAge03)-SUMIF(ThresholdAge03,"&lt;"&amp;Y204,WeightedMinAge03),MAX(CapacityAge03*'01_Вводные'!$B$218*Y204,MeanMinAge03)))</f>
        <v/>
      </c>
      <c r="Z111" s="190">
        <f>IF(OR(Z83=0,3&lt;='01_Вводные'!$B$297),0,Z83*IF('01_Вводные'!$B$239="Да",MeanMinAge03+Z204*SUMIF(ThresholdAge03,"&lt;"&amp;Z204,WeightedRevAge03)-SUMIF(ThresholdAge03,"&lt;"&amp;Z204,WeightedMinAge03),MAX(CapacityAge03*'01_Вводные'!$B$218*Z204,MeanMinAge03)))</f>
        <v/>
      </c>
      <c r="AA111" s="190">
        <f>IF(OR(AA83=0,3&lt;='01_Вводные'!$B$297),0,AA83*IF('01_Вводные'!$B$239="Да",MeanMinAge03+AA204*SUMIF(ThresholdAge03,"&lt;"&amp;AA204,WeightedRevAge03)-SUMIF(ThresholdAge03,"&lt;"&amp;AA204,WeightedMinAge03),MAX(CapacityAge03*'01_Вводные'!$B$218*AA204,MeanMinAge03)))</f>
        <v/>
      </c>
      <c r="AB111" s="190">
        <f>IF(OR(AB83=0,3&lt;='01_Вводные'!$B$297),0,AB83*IF('01_Вводные'!$B$239="Да",MeanMinAge03+AB204*SUMIF(ThresholdAge03,"&lt;"&amp;AB204,WeightedRevAge03)-SUMIF(ThresholdAge03,"&lt;"&amp;AB204,WeightedMinAge03),MAX(CapacityAge03*'01_Вводные'!$B$218*AB204,MeanMinAge03)))</f>
        <v/>
      </c>
      <c r="AC111" s="190">
        <f>IF(OR(AC83=0,3&lt;='01_Вводные'!$B$297),0,AC83*IF('01_Вводные'!$B$239="Да",MeanMinAge03+AC204*SUMIF(ThresholdAge03,"&lt;"&amp;AC204,WeightedRevAge03)-SUMIF(ThresholdAge03,"&lt;"&amp;AC204,WeightedMinAge03),MAX(CapacityAge03*'01_Вводные'!$B$218*AC204,MeanMinAge03)))</f>
        <v/>
      </c>
      <c r="AD111" s="190">
        <f>IF(OR(AD83=0,3&lt;='01_Вводные'!$B$297),0,AD83*IF('01_Вводные'!$B$239="Да",MeanMinAge03+AD204*SUMIF(ThresholdAge03,"&lt;"&amp;AD204,WeightedRevAge03)-SUMIF(ThresholdAge03,"&lt;"&amp;AD204,WeightedMinAge03),MAX(CapacityAge03*'01_Вводные'!$B$218*AD204,MeanMinAge03)))</f>
        <v/>
      </c>
      <c r="AE111" s="190">
        <f>IF(OR(AE83=0,3&lt;='01_Вводные'!$B$297),0,AE83*IF('01_Вводные'!$B$239="Да",MeanMinAge03+AE204*SUMIF(ThresholdAge03,"&lt;"&amp;AE204,WeightedRevAge03)-SUMIF(ThresholdAge03,"&lt;"&amp;AE204,WeightedMinAge03),MAX(CapacityAge03*'01_Вводные'!$B$218*AE204,MeanMinAge03)))</f>
        <v/>
      </c>
      <c r="AF111" s="190">
        <f>IF(OR(AF83=0,3&lt;='01_Вводные'!$B$297),0,AF83*IF('01_Вводные'!$B$239="Да",MeanMinAge03+AF204*SUMIF(ThresholdAge03,"&lt;"&amp;AF204,WeightedRevAge03)-SUMIF(ThresholdAge03,"&lt;"&amp;AF204,WeightedMinAge03),MAX(CapacityAge03*'01_Вводные'!$B$218*AF204,MeanMinAge03)))</f>
        <v/>
      </c>
      <c r="AG111" s="190">
        <f>IF(OR(AG83=0,3&lt;='01_Вводные'!$B$297),0,AG83*IF('01_Вводные'!$B$239="Да",MeanMinAge03+AG204*SUMIF(ThresholdAge03,"&lt;"&amp;AG204,WeightedRevAge03)-SUMIF(ThresholdAge03,"&lt;"&amp;AG204,WeightedMinAge03),MAX(CapacityAge03*'01_Вводные'!$B$218*AG204,MeanMinAge03)))</f>
        <v/>
      </c>
      <c r="AH111" s="190">
        <f>IF(OR(AH83=0,3&lt;='01_Вводные'!$B$297),0,AH83*IF('01_Вводные'!$B$239="Да",MeanMinAge03+AH204*SUMIF(ThresholdAge03,"&lt;"&amp;AH204,WeightedRevAge03)-SUMIF(ThresholdAge03,"&lt;"&amp;AH204,WeightedMinAge03),MAX(CapacityAge03*'01_Вводные'!$B$218*AH204,MeanMinAge03)))</f>
        <v/>
      </c>
      <c r="AI111" s="190">
        <f>IF(OR(AI83=0,3&lt;='01_Вводные'!$B$297),0,AI83*IF('01_Вводные'!$B$239="Да",MeanMinAge03+AI204*SUMIF(ThresholdAge03,"&lt;"&amp;AI204,WeightedRevAge03)-SUMIF(ThresholdAge03,"&lt;"&amp;AI204,WeightedMinAge03),MAX(CapacityAge03*'01_Вводные'!$B$218*AI204,MeanMinAge03)))</f>
        <v/>
      </c>
      <c r="AJ111" s="190">
        <f>IF(OR(AJ83=0,3&lt;='01_Вводные'!$B$297),0,AJ83*IF('01_Вводные'!$B$239="Да",MeanMinAge03+AJ204*SUMIF(ThresholdAge03,"&lt;"&amp;AJ204,WeightedRevAge03)-SUMIF(ThresholdAge03,"&lt;"&amp;AJ204,WeightedMinAge03),MAX(CapacityAge03*'01_Вводные'!$B$218*AJ204,MeanMinAge03)))</f>
        <v/>
      </c>
      <c r="AK111" s="190">
        <f>IF(OR(AK83=0,3&lt;='01_Вводные'!$B$297),0,AK83*IF('01_Вводные'!$B$239="Да",MeanMinAge03+AK204*SUMIF(ThresholdAge03,"&lt;"&amp;AK204,WeightedRevAge03)-SUMIF(ThresholdAge03,"&lt;"&amp;AK204,WeightedMinAge03),MAX(CapacityAge03*'01_Вводные'!$B$218*AK204,MeanMinAge03)))</f>
        <v/>
      </c>
      <c r="AL111" s="190">
        <f>IF(OR(AL83=0,3&lt;='01_Вводные'!$B$297),0,AL83*IF('01_Вводные'!$B$239="Да",MeanMinAge03+AL204*SUMIF(ThresholdAge03,"&lt;"&amp;AL204,WeightedRevAge03)-SUMIF(ThresholdAge03,"&lt;"&amp;AL204,WeightedMinAge03),MAX(CapacityAge03*'01_Вводные'!$B$218*AL204,MeanMinAge03)))</f>
        <v/>
      </c>
      <c r="AM111" s="190">
        <f>IF(OR(AM83=0,3&lt;='01_Вводные'!$B$297),0,AM83*IF('01_Вводные'!$B$239="Да",MeanMinAge03+AM204*SUMIF(ThresholdAge03,"&lt;"&amp;AM204,WeightedRevAge03)-SUMIF(ThresholdAge03,"&lt;"&amp;AM204,WeightedMinAge03),MAX(CapacityAge03*'01_Вводные'!$B$218*AM204,MeanMinAge03)))</f>
        <v/>
      </c>
      <c r="AN111" s="190">
        <f>IF(OR(AN83=0,3&lt;='01_Вводные'!$B$297),0,AN83*IF('01_Вводные'!$B$239="Да",MeanMinAge03+AN204*SUMIF(ThresholdAge03,"&lt;"&amp;AN204,WeightedRevAge03)-SUMIF(ThresholdAge03,"&lt;"&amp;AN204,WeightedMinAge03),MAX(CapacityAge03*'01_Вводные'!$B$218*AN204,MeanMinAge03)))</f>
        <v/>
      </c>
      <c r="AO111" s="190">
        <f>IF(OR(AO83=0,3&lt;='01_Вводные'!$B$297),0,AO83*IF('01_Вводные'!$B$239="Да",MeanMinAge03+AO204*SUMIF(ThresholdAge03,"&lt;"&amp;AO204,WeightedRevAge03)-SUMIF(ThresholdAge03,"&lt;"&amp;AO204,WeightedMinAge03),MAX(CapacityAge03*'01_Вводные'!$B$218*AO204,MeanMinAge03)))</f>
        <v/>
      </c>
      <c r="AP111" s="190">
        <f>IF(OR(AP83=0,3&lt;='01_Вводные'!$B$297),0,AP83*IF('01_Вводные'!$B$239="Да",MeanMinAge03+AP204*SUMIF(ThresholdAge03,"&lt;"&amp;AP204,WeightedRevAge03)-SUMIF(ThresholdAge03,"&lt;"&amp;AP204,WeightedMinAge03),MAX(CapacityAge03*'01_Вводные'!$B$218*AP204,MeanMinAge03)))</f>
        <v/>
      </c>
      <c r="AQ111" s="190">
        <f>IF(OR(AQ83=0,3&lt;='01_Вводные'!$B$297),0,AQ83*IF('01_Вводные'!$B$239="Да",MeanMinAge03+AQ204*SUMIF(ThresholdAge03,"&lt;"&amp;AQ204,WeightedRevAge03)-SUMIF(ThresholdAge03,"&lt;"&amp;AQ204,WeightedMinAge03),MAX(CapacityAge03*'01_Вводные'!$B$218*AQ204,MeanMinAge03)))</f>
        <v/>
      </c>
      <c r="AR111" s="190">
        <f>IF(OR(AR83=0,3&lt;='01_Вводные'!$B$297),0,AR83*IF('01_Вводные'!$B$239="Да",MeanMinAge03+AR204*SUMIF(ThresholdAge03,"&lt;"&amp;AR204,WeightedRevAge03)-SUMIF(ThresholdAge03,"&lt;"&amp;AR204,WeightedMinAge03),MAX(CapacityAge03*'01_Вводные'!$B$218*AR204,MeanMinAge03)))</f>
        <v/>
      </c>
      <c r="AS111" s="190">
        <f>IF(OR(AS83=0,3&lt;='01_Вводные'!$B$297),0,AS83*IF('01_Вводные'!$B$239="Да",MeanMinAge03+AS204*SUMIF(ThresholdAge03,"&lt;"&amp;AS204,WeightedRevAge03)-SUMIF(ThresholdAge03,"&lt;"&amp;AS204,WeightedMinAge03),MAX(CapacityAge03*'01_Вводные'!$B$218*AS204,MeanMinAge03)))</f>
        <v/>
      </c>
      <c r="AT111" s="190">
        <f>IF(OR(AT83=0,3&lt;='01_Вводные'!$B$297),0,AT83*IF('01_Вводные'!$B$239="Да",MeanMinAge03+AT204*SUMIF(ThresholdAge03,"&lt;"&amp;AT204,WeightedRevAge03)-SUMIF(ThresholdAge03,"&lt;"&amp;AT204,WeightedMinAge03),MAX(CapacityAge03*'01_Вводные'!$B$218*AT204,MeanMinAge03)))</f>
        <v/>
      </c>
      <c r="AU111" s="190">
        <f>IF(OR(AU83=0,3&lt;='01_Вводные'!$B$297),0,AU83*IF('01_Вводные'!$B$239="Да",MeanMinAge03+AU204*SUMIF(ThresholdAge03,"&lt;"&amp;AU204,WeightedRevAge03)-SUMIF(ThresholdAge03,"&lt;"&amp;AU204,WeightedMinAge03),MAX(CapacityAge03*'01_Вводные'!$B$218*AU204,MeanMinAge03)))</f>
        <v/>
      </c>
      <c r="AV111" s="190">
        <f>IF(OR(AV83=0,3&lt;='01_Вводные'!$B$297),0,AV83*IF('01_Вводные'!$B$239="Да",MeanMinAge03+AV204*SUMIF(ThresholdAge03,"&lt;"&amp;AV204,WeightedRevAge03)-SUMIF(ThresholdAge03,"&lt;"&amp;AV204,WeightedMinAge03),MAX(CapacityAge03*'01_Вводные'!$B$218*AV204,MeanMinAge03)))</f>
        <v/>
      </c>
      <c r="AW111" s="190">
        <f>IF(OR(AW83=0,3&lt;='01_Вводные'!$B$297),0,AW83*IF('01_Вводные'!$B$239="Да",MeanMinAge03+AW204*SUMIF(ThresholdAge03,"&lt;"&amp;AW204,WeightedRevAge03)-SUMIF(ThresholdAge03,"&lt;"&amp;AW204,WeightedMinAge03),MAX(CapacityAge03*'01_Вводные'!$B$218*AW204,MeanMinAge03)))</f>
        <v/>
      </c>
      <c r="AX111" s="190">
        <f>IF(OR(AX83=0,3&lt;='01_Вводные'!$B$297),0,AX83*IF('01_Вводные'!$B$239="Да",MeanMinAge03+AX204*SUMIF(ThresholdAge03,"&lt;"&amp;AX204,WeightedRevAge03)-SUMIF(ThresholdAge03,"&lt;"&amp;AX204,WeightedMinAge03),MAX(CapacityAge03*'01_Вводные'!$B$218*AX204,MeanMinAge03)))</f>
        <v/>
      </c>
      <c r="AY111" s="190">
        <f>IF(OR(AY83=0,3&lt;='01_Вводные'!$B$297),0,AY83*IF('01_Вводные'!$B$239="Да",MeanMinAge03+AY204*SUMIF(ThresholdAge03,"&lt;"&amp;AY204,WeightedRevAge03)-SUMIF(ThresholdAge03,"&lt;"&amp;AY204,WeightedMinAge03),MAX(CapacityAge03*'01_Вводные'!$B$218*AY204,MeanMinAge03)))</f>
        <v/>
      </c>
      <c r="AZ111" s="190">
        <f>IF(OR(AZ83=0,3&lt;='01_Вводные'!$B$297),0,AZ83*IF('01_Вводные'!$B$239="Да",MeanMinAge03+AZ204*SUMIF(ThresholdAge03,"&lt;"&amp;AZ204,WeightedRevAge03)-SUMIF(ThresholdAge03,"&lt;"&amp;AZ204,WeightedMinAge03),MAX(CapacityAge03*'01_Вводные'!$B$218*AZ204,MeanMinAge03)))</f>
        <v/>
      </c>
      <c r="BA111" s="190">
        <f>IF(OR(BA83=0,3&lt;='01_Вводные'!$B$297),0,BA83*IF('01_Вводные'!$B$239="Да",MeanMinAge03+BA204*SUMIF(ThresholdAge03,"&lt;"&amp;BA204,WeightedRevAge03)-SUMIF(ThresholdAge03,"&lt;"&amp;BA204,WeightedMinAge03),MAX(CapacityAge03*'01_Вводные'!$B$218*BA204,MeanMinAge03)))</f>
        <v/>
      </c>
      <c r="BB111" s="190">
        <f>IF(OR(BB83=0,3&lt;='01_Вводные'!$B$297),0,BB83*IF('01_Вводные'!$B$239="Да",MeanMinAge03+BB204*SUMIF(ThresholdAge03,"&lt;"&amp;BB204,WeightedRevAge03)-SUMIF(ThresholdAge03,"&lt;"&amp;BB204,WeightedMinAge03),MAX(CapacityAge03*'01_Вводные'!$B$218*BB204,MeanMinAge03)))</f>
        <v/>
      </c>
      <c r="BC111" s="190">
        <f>IF(OR(BC83=0,3&lt;='01_Вводные'!$B$297),0,BC83*IF('01_Вводные'!$B$239="Да",MeanMinAge03+BC204*SUMIF(ThresholdAge03,"&lt;"&amp;BC204,WeightedRevAge03)-SUMIF(ThresholdAge03,"&lt;"&amp;BC204,WeightedMinAge03),MAX(CapacityAge03*'01_Вводные'!$B$218*BC204,MeanMinAge03)))</f>
        <v/>
      </c>
      <c r="BD111" s="190">
        <f>IF(OR(BD83=0,3&lt;='01_Вводные'!$B$297),0,BD83*IF('01_Вводные'!$B$239="Да",MeanMinAge03+BD204*SUMIF(ThresholdAge03,"&lt;"&amp;BD204,WeightedRevAge03)-SUMIF(ThresholdAge03,"&lt;"&amp;BD204,WeightedMinAge03),MAX(CapacityAge03*'01_Вводные'!$B$218*BD204,MeanMinAge03)))</f>
        <v/>
      </c>
      <c r="BE111" s="190">
        <f>IF(OR(BE83=0,3&lt;='01_Вводные'!$B$297),0,BE83*IF('01_Вводные'!$B$239="Да",MeanMinAge03+BE204*SUMIF(ThresholdAge03,"&lt;"&amp;BE204,WeightedRevAge03)-SUMIF(ThresholdAge03,"&lt;"&amp;BE204,WeightedMinAge03),MAX(CapacityAge03*'01_Вводные'!$B$218*BE204,MeanMinAge03)))</f>
        <v/>
      </c>
      <c r="BF111" s="190">
        <f>IF(OR(BF83=0,3&lt;='01_Вводные'!$B$297),0,BF83*IF('01_Вводные'!$B$239="Да",MeanMinAge03+BF204*SUMIF(ThresholdAge03,"&lt;"&amp;BF204,WeightedRevAge03)-SUMIF(ThresholdAge03,"&lt;"&amp;BF204,WeightedMinAge03),MAX(CapacityAge03*'01_Вводные'!$B$218*BF204,MeanMinAge03)))</f>
        <v/>
      </c>
      <c r="BG111" s="190">
        <f>IF(OR(BG83=0,3&lt;='01_Вводные'!$B$297),0,BG83*IF('01_Вводные'!$B$239="Да",MeanMinAge03+BG204*SUMIF(ThresholdAge03,"&lt;"&amp;BG204,WeightedRevAge03)-SUMIF(ThresholdAge03,"&lt;"&amp;BG204,WeightedMinAge03),MAX(CapacityAge03*'01_Вводные'!$B$218*BG204,MeanMinAge03)))</f>
        <v/>
      </c>
      <c r="BH111" s="190">
        <f>IF(OR(BH83=0,3&lt;='01_Вводные'!$B$297),0,BH83*IF('01_Вводные'!$B$239="Да",MeanMinAge03+BH204*SUMIF(ThresholdAge03,"&lt;"&amp;BH204,WeightedRevAge03)-SUMIF(ThresholdAge03,"&lt;"&amp;BH204,WeightedMinAge03),MAX(CapacityAge03*'01_Вводные'!$B$218*BH204,MeanMinAge03)))</f>
        <v/>
      </c>
      <c r="BI111" s="190">
        <f>IF(OR(BI83=0,3&lt;='01_Вводные'!$B$297),0,BI83*IF('01_Вводные'!$B$239="Да",MeanMinAge03+BI204*SUMIF(ThresholdAge03,"&lt;"&amp;BI204,WeightedRevAge03)-SUMIF(ThresholdAge03,"&lt;"&amp;BI204,WeightedMinAge03),MAX(CapacityAge03*'01_Вводные'!$B$218*BI204,MeanMinAge03)))</f>
        <v/>
      </c>
      <c r="BJ111" s="190">
        <f>IF(OR(BJ83=0,3&lt;='01_Вводные'!$B$297),0,BJ83*IF('01_Вводные'!$B$239="Да",MeanMinAge03+BJ204*SUMIF(ThresholdAge03,"&lt;"&amp;BJ204,WeightedRevAge03)-SUMIF(ThresholdAge03,"&lt;"&amp;BJ204,WeightedMinAge03),MAX(CapacityAge03*'01_Вводные'!$B$218*BJ204,MeanMinAge03)))</f>
        <v/>
      </c>
      <c r="BK111" s="190">
        <f>IF(OR(BK83=0,3&lt;='01_Вводные'!$B$297),0,BK83*IF('01_Вводные'!$B$239="Да",MeanMinAge03+BK204*SUMIF(ThresholdAge03,"&lt;"&amp;BK204,WeightedRevAge03)-SUMIF(ThresholdAge03,"&lt;"&amp;BK204,WeightedMinAge03),MAX(CapacityAge03*'01_Вводные'!$B$218*BK204,MeanMinAge03)))</f>
        <v/>
      </c>
      <c r="BL111" s="190">
        <f>IF(OR(BL83=0,3&lt;='01_Вводные'!$B$297),0,BL83*IF('01_Вводные'!$B$239="Да",MeanMinAge03+BL204*SUMIF(ThresholdAge03,"&lt;"&amp;BL204,WeightedRevAge03)-SUMIF(ThresholdAge03,"&lt;"&amp;BL204,WeightedMinAge03),MAX(CapacityAge03*'01_Вводные'!$B$218*BL204,MeanMinAge03)))</f>
        <v/>
      </c>
      <c r="BM111" s="190">
        <f>IF(OR(BM83=0,3&lt;='01_Вводные'!$B$297),0,BM83*IF('01_Вводные'!$B$239="Да",MeanMinAge03+BM204*SUMIF(ThresholdAge03,"&lt;"&amp;BM204,WeightedRevAge03)-SUMIF(ThresholdAge03,"&lt;"&amp;BM204,WeightedMinAge03),MAX(CapacityAge03*'01_Вводные'!$B$218*BM204,MeanMinAge03)))</f>
        <v/>
      </c>
      <c r="BN111" s="190">
        <f>IF(OR(BN83=0,3&lt;='01_Вводные'!$B$297),0,BN83*IF('01_Вводные'!$B$239="Да",MeanMinAge03+BN204*SUMIF(ThresholdAge03,"&lt;"&amp;BN204,WeightedRevAge03)-SUMIF(ThresholdAge03,"&lt;"&amp;BN204,WeightedMinAge03),MAX(CapacityAge03*'01_Вводные'!$B$218*BN204,MeanMinAge03)))</f>
        <v/>
      </c>
      <c r="BO111" s="190">
        <f>IF(OR(BO83=0,3&lt;='01_Вводные'!$B$297),0,BO83*IF('01_Вводные'!$B$239="Да",MeanMinAge03+BO204*SUMIF(ThresholdAge03,"&lt;"&amp;BO204,WeightedRevAge03)-SUMIF(ThresholdAge03,"&lt;"&amp;BO204,WeightedMinAge03),MAX(CapacityAge03*'01_Вводные'!$B$218*BO204,MeanMinAge03)))</f>
        <v/>
      </c>
    </row>
    <row r="112" hidden="1" outlineLevel="1">
      <c r="A112" t="inlineStr">
        <is>
          <t>4 мес.</t>
        </is>
      </c>
      <c r="B112" s="190">
        <f>IF(OR(B84=0,4&lt;='01_Вводные'!$B$297),0,B84*IF('01_Вводные'!$B$239="Да",MeanMinAge04+B204*SUMIF(ThresholdAge04,"&lt;"&amp;B204,WeightedRevAge04)-SUMIF(ThresholdAge04,"&lt;"&amp;B204,WeightedMinAge04),MAX(CapacityAge04*'01_Вводные'!$B$218*B204,MeanMinAge04)))</f>
        <v/>
      </c>
      <c r="C112" s="190">
        <f>IF(OR(C84=0,4&lt;='01_Вводные'!$B$297),0,C84*IF('01_Вводные'!$B$239="Да",MeanMinAge04+C204*SUMIF(ThresholdAge04,"&lt;"&amp;C204,WeightedRevAge04)-SUMIF(ThresholdAge04,"&lt;"&amp;C204,WeightedMinAge04),MAX(CapacityAge04*'01_Вводные'!$B$218*C204,MeanMinAge04)))</f>
        <v/>
      </c>
      <c r="D112" s="190">
        <f>IF(OR(D84=0,4&lt;='01_Вводные'!$B$297),0,D84*IF('01_Вводные'!$B$239="Да",MeanMinAge04+D204*SUMIF(ThresholdAge04,"&lt;"&amp;D204,WeightedRevAge04)-SUMIF(ThresholdAge04,"&lt;"&amp;D204,WeightedMinAge04),MAX(CapacityAge04*'01_Вводные'!$B$218*D204,MeanMinAge04)))</f>
        <v/>
      </c>
      <c r="E112" s="190">
        <f>IF(OR(E84=0,4&lt;='01_Вводные'!$B$297),0,E84*IF('01_Вводные'!$B$239="Да",MeanMinAge04+E204*SUMIF(ThresholdAge04,"&lt;"&amp;E204,WeightedRevAge04)-SUMIF(ThresholdAge04,"&lt;"&amp;E204,WeightedMinAge04),MAX(CapacityAge04*'01_Вводные'!$B$218*E204,MeanMinAge04)))</f>
        <v/>
      </c>
      <c r="F112" s="190">
        <f>IF(OR(F84=0,4&lt;='01_Вводные'!$B$297),0,F84*IF('01_Вводные'!$B$239="Да",MeanMinAge04+F204*SUMIF(ThresholdAge04,"&lt;"&amp;F204,WeightedRevAge04)-SUMIF(ThresholdAge04,"&lt;"&amp;F204,WeightedMinAge04),MAX(CapacityAge04*'01_Вводные'!$B$218*F204,MeanMinAge04)))</f>
        <v/>
      </c>
      <c r="G112" s="190">
        <f>IF(OR(G84=0,4&lt;='01_Вводные'!$B$297),0,G84*IF('01_Вводные'!$B$239="Да",MeanMinAge04+G204*SUMIF(ThresholdAge04,"&lt;"&amp;G204,WeightedRevAge04)-SUMIF(ThresholdAge04,"&lt;"&amp;G204,WeightedMinAge04),MAX(CapacityAge04*'01_Вводные'!$B$218*G204,MeanMinAge04)))</f>
        <v/>
      </c>
      <c r="H112" s="190">
        <f>IF(OR(H84=0,4&lt;='01_Вводные'!$B$297),0,H84*IF('01_Вводные'!$B$239="Да",MeanMinAge04+H204*SUMIF(ThresholdAge04,"&lt;"&amp;H204,WeightedRevAge04)-SUMIF(ThresholdAge04,"&lt;"&amp;H204,WeightedMinAge04),MAX(CapacityAge04*'01_Вводные'!$B$218*H204,MeanMinAge04)))</f>
        <v/>
      </c>
      <c r="I112" s="190">
        <f>IF(OR(I84=0,4&lt;='01_Вводные'!$B$297),0,I84*IF('01_Вводные'!$B$239="Да",MeanMinAge04+I204*SUMIF(ThresholdAge04,"&lt;"&amp;I204,WeightedRevAge04)-SUMIF(ThresholdAge04,"&lt;"&amp;I204,WeightedMinAge04),MAX(CapacityAge04*'01_Вводные'!$B$218*I204,MeanMinAge04)))</f>
        <v/>
      </c>
      <c r="J112" s="190">
        <f>IF(OR(J84=0,4&lt;='01_Вводные'!$B$297),0,J84*IF('01_Вводные'!$B$239="Да",MeanMinAge04+J204*SUMIF(ThresholdAge04,"&lt;"&amp;J204,WeightedRevAge04)-SUMIF(ThresholdAge04,"&lt;"&amp;J204,WeightedMinAge04),MAX(CapacityAge04*'01_Вводные'!$B$218*J204,MeanMinAge04)))</f>
        <v/>
      </c>
      <c r="K112" s="190">
        <f>IF(OR(K84=0,4&lt;='01_Вводные'!$B$297),0,K84*IF('01_Вводные'!$B$239="Да",MeanMinAge04+K204*SUMIF(ThresholdAge04,"&lt;"&amp;K204,WeightedRevAge04)-SUMIF(ThresholdAge04,"&lt;"&amp;K204,WeightedMinAge04),MAX(CapacityAge04*'01_Вводные'!$B$218*K204,MeanMinAge04)))</f>
        <v/>
      </c>
      <c r="L112" s="190">
        <f>IF(OR(L84=0,4&lt;='01_Вводные'!$B$297),0,L84*IF('01_Вводные'!$B$239="Да",MeanMinAge04+L204*SUMIF(ThresholdAge04,"&lt;"&amp;L204,WeightedRevAge04)-SUMIF(ThresholdAge04,"&lt;"&amp;L204,WeightedMinAge04),MAX(CapacityAge04*'01_Вводные'!$B$218*L204,MeanMinAge04)))</f>
        <v/>
      </c>
      <c r="M112" s="190">
        <f>IF(OR(M84=0,4&lt;='01_Вводные'!$B$297),0,M84*IF('01_Вводные'!$B$239="Да",MeanMinAge04+M204*SUMIF(ThresholdAge04,"&lt;"&amp;M204,WeightedRevAge04)-SUMIF(ThresholdAge04,"&lt;"&amp;M204,WeightedMinAge04),MAX(CapacityAge04*'01_Вводные'!$B$218*M204,MeanMinAge04)))</f>
        <v/>
      </c>
      <c r="N112" s="190">
        <f>IF(OR(N84=0,4&lt;='01_Вводные'!$B$297),0,N84*IF('01_Вводные'!$B$239="Да",MeanMinAge04+N204*SUMIF(ThresholdAge04,"&lt;"&amp;N204,WeightedRevAge04)-SUMIF(ThresholdAge04,"&lt;"&amp;N204,WeightedMinAge04),MAX(CapacityAge04*'01_Вводные'!$B$218*N204,MeanMinAge04)))</f>
        <v/>
      </c>
      <c r="O112" s="190">
        <f>IF(OR(O84=0,4&lt;='01_Вводные'!$B$297),0,O84*IF('01_Вводные'!$B$239="Да",MeanMinAge04+O204*SUMIF(ThresholdAge04,"&lt;"&amp;O204,WeightedRevAge04)-SUMIF(ThresholdAge04,"&lt;"&amp;O204,WeightedMinAge04),MAX(CapacityAge04*'01_Вводные'!$B$218*O204,MeanMinAge04)))</f>
        <v/>
      </c>
      <c r="P112" s="190">
        <f>IF(OR(P84=0,4&lt;='01_Вводные'!$B$297),0,P84*IF('01_Вводные'!$B$239="Да",MeanMinAge04+P204*SUMIF(ThresholdAge04,"&lt;"&amp;P204,WeightedRevAge04)-SUMIF(ThresholdAge04,"&lt;"&amp;P204,WeightedMinAge04),MAX(CapacityAge04*'01_Вводные'!$B$218*P204,MeanMinAge04)))</f>
        <v/>
      </c>
      <c r="Q112" s="190">
        <f>IF(OR(Q84=0,4&lt;='01_Вводные'!$B$297),0,Q84*IF('01_Вводные'!$B$239="Да",MeanMinAge04+Q204*SUMIF(ThresholdAge04,"&lt;"&amp;Q204,WeightedRevAge04)-SUMIF(ThresholdAge04,"&lt;"&amp;Q204,WeightedMinAge04),MAX(CapacityAge04*'01_Вводные'!$B$218*Q204,MeanMinAge04)))</f>
        <v/>
      </c>
      <c r="R112" s="190">
        <f>IF(OR(R84=0,4&lt;='01_Вводные'!$B$297),0,R84*IF('01_Вводные'!$B$239="Да",MeanMinAge04+R204*SUMIF(ThresholdAge04,"&lt;"&amp;R204,WeightedRevAge04)-SUMIF(ThresholdAge04,"&lt;"&amp;R204,WeightedMinAge04),MAX(CapacityAge04*'01_Вводные'!$B$218*R204,MeanMinAge04)))</f>
        <v/>
      </c>
      <c r="S112" s="190">
        <f>IF(OR(S84=0,4&lt;='01_Вводные'!$B$297),0,S84*IF('01_Вводные'!$B$239="Да",MeanMinAge04+S204*SUMIF(ThresholdAge04,"&lt;"&amp;S204,WeightedRevAge04)-SUMIF(ThresholdAge04,"&lt;"&amp;S204,WeightedMinAge04),MAX(CapacityAge04*'01_Вводные'!$B$218*S204,MeanMinAge04)))</f>
        <v/>
      </c>
      <c r="T112" s="190">
        <f>IF(OR(T84=0,4&lt;='01_Вводные'!$B$297),0,T84*IF('01_Вводные'!$B$239="Да",MeanMinAge04+T204*SUMIF(ThresholdAge04,"&lt;"&amp;T204,WeightedRevAge04)-SUMIF(ThresholdAge04,"&lt;"&amp;T204,WeightedMinAge04),MAX(CapacityAge04*'01_Вводные'!$B$218*T204,MeanMinAge04)))</f>
        <v/>
      </c>
      <c r="U112" s="190">
        <f>IF(OR(U84=0,4&lt;='01_Вводные'!$B$297),0,U84*IF('01_Вводные'!$B$239="Да",MeanMinAge04+U204*SUMIF(ThresholdAge04,"&lt;"&amp;U204,WeightedRevAge04)-SUMIF(ThresholdAge04,"&lt;"&amp;U204,WeightedMinAge04),MAX(CapacityAge04*'01_Вводные'!$B$218*U204,MeanMinAge04)))</f>
        <v/>
      </c>
      <c r="V112" s="190">
        <f>IF(OR(V84=0,4&lt;='01_Вводные'!$B$297),0,V84*IF('01_Вводные'!$B$239="Да",MeanMinAge04+V204*SUMIF(ThresholdAge04,"&lt;"&amp;V204,WeightedRevAge04)-SUMIF(ThresholdAge04,"&lt;"&amp;V204,WeightedMinAge04),MAX(CapacityAge04*'01_Вводные'!$B$218*V204,MeanMinAge04)))</f>
        <v/>
      </c>
      <c r="W112" s="190">
        <f>IF(OR(W84=0,4&lt;='01_Вводные'!$B$297),0,W84*IF('01_Вводные'!$B$239="Да",MeanMinAge04+W204*SUMIF(ThresholdAge04,"&lt;"&amp;W204,WeightedRevAge04)-SUMIF(ThresholdAge04,"&lt;"&amp;W204,WeightedMinAge04),MAX(CapacityAge04*'01_Вводные'!$B$218*W204,MeanMinAge04)))</f>
        <v/>
      </c>
      <c r="X112" s="190">
        <f>IF(OR(X84=0,4&lt;='01_Вводные'!$B$297),0,X84*IF('01_Вводные'!$B$239="Да",MeanMinAge04+X204*SUMIF(ThresholdAge04,"&lt;"&amp;X204,WeightedRevAge04)-SUMIF(ThresholdAge04,"&lt;"&amp;X204,WeightedMinAge04),MAX(CapacityAge04*'01_Вводные'!$B$218*X204,MeanMinAge04)))</f>
        <v/>
      </c>
      <c r="Y112" s="190">
        <f>IF(OR(Y84=0,4&lt;='01_Вводные'!$B$297),0,Y84*IF('01_Вводные'!$B$239="Да",MeanMinAge04+Y204*SUMIF(ThresholdAge04,"&lt;"&amp;Y204,WeightedRevAge04)-SUMIF(ThresholdAge04,"&lt;"&amp;Y204,WeightedMinAge04),MAX(CapacityAge04*'01_Вводные'!$B$218*Y204,MeanMinAge04)))</f>
        <v/>
      </c>
      <c r="Z112" s="190">
        <f>IF(OR(Z84=0,4&lt;='01_Вводные'!$B$297),0,Z84*IF('01_Вводные'!$B$239="Да",MeanMinAge04+Z204*SUMIF(ThresholdAge04,"&lt;"&amp;Z204,WeightedRevAge04)-SUMIF(ThresholdAge04,"&lt;"&amp;Z204,WeightedMinAge04),MAX(CapacityAge04*'01_Вводные'!$B$218*Z204,MeanMinAge04)))</f>
        <v/>
      </c>
      <c r="AA112" s="190">
        <f>IF(OR(AA84=0,4&lt;='01_Вводные'!$B$297),0,AA84*IF('01_Вводные'!$B$239="Да",MeanMinAge04+AA204*SUMIF(ThresholdAge04,"&lt;"&amp;AA204,WeightedRevAge04)-SUMIF(ThresholdAge04,"&lt;"&amp;AA204,WeightedMinAge04),MAX(CapacityAge04*'01_Вводные'!$B$218*AA204,MeanMinAge04)))</f>
        <v/>
      </c>
      <c r="AB112" s="190">
        <f>IF(OR(AB84=0,4&lt;='01_Вводные'!$B$297),0,AB84*IF('01_Вводные'!$B$239="Да",MeanMinAge04+AB204*SUMIF(ThresholdAge04,"&lt;"&amp;AB204,WeightedRevAge04)-SUMIF(ThresholdAge04,"&lt;"&amp;AB204,WeightedMinAge04),MAX(CapacityAge04*'01_Вводные'!$B$218*AB204,MeanMinAge04)))</f>
        <v/>
      </c>
      <c r="AC112" s="190">
        <f>IF(OR(AC84=0,4&lt;='01_Вводные'!$B$297),0,AC84*IF('01_Вводные'!$B$239="Да",MeanMinAge04+AC204*SUMIF(ThresholdAge04,"&lt;"&amp;AC204,WeightedRevAge04)-SUMIF(ThresholdAge04,"&lt;"&amp;AC204,WeightedMinAge04),MAX(CapacityAge04*'01_Вводные'!$B$218*AC204,MeanMinAge04)))</f>
        <v/>
      </c>
      <c r="AD112" s="190">
        <f>IF(OR(AD84=0,4&lt;='01_Вводные'!$B$297),0,AD84*IF('01_Вводные'!$B$239="Да",MeanMinAge04+AD204*SUMIF(ThresholdAge04,"&lt;"&amp;AD204,WeightedRevAge04)-SUMIF(ThresholdAge04,"&lt;"&amp;AD204,WeightedMinAge04),MAX(CapacityAge04*'01_Вводные'!$B$218*AD204,MeanMinAge04)))</f>
        <v/>
      </c>
      <c r="AE112" s="190">
        <f>IF(OR(AE84=0,4&lt;='01_Вводные'!$B$297),0,AE84*IF('01_Вводные'!$B$239="Да",MeanMinAge04+AE204*SUMIF(ThresholdAge04,"&lt;"&amp;AE204,WeightedRevAge04)-SUMIF(ThresholdAge04,"&lt;"&amp;AE204,WeightedMinAge04),MAX(CapacityAge04*'01_Вводные'!$B$218*AE204,MeanMinAge04)))</f>
        <v/>
      </c>
      <c r="AF112" s="190">
        <f>IF(OR(AF84=0,4&lt;='01_Вводные'!$B$297),0,AF84*IF('01_Вводные'!$B$239="Да",MeanMinAge04+AF204*SUMIF(ThresholdAge04,"&lt;"&amp;AF204,WeightedRevAge04)-SUMIF(ThresholdAge04,"&lt;"&amp;AF204,WeightedMinAge04),MAX(CapacityAge04*'01_Вводные'!$B$218*AF204,MeanMinAge04)))</f>
        <v/>
      </c>
      <c r="AG112" s="190">
        <f>IF(OR(AG84=0,4&lt;='01_Вводные'!$B$297),0,AG84*IF('01_Вводные'!$B$239="Да",MeanMinAge04+AG204*SUMIF(ThresholdAge04,"&lt;"&amp;AG204,WeightedRevAge04)-SUMIF(ThresholdAge04,"&lt;"&amp;AG204,WeightedMinAge04),MAX(CapacityAge04*'01_Вводные'!$B$218*AG204,MeanMinAge04)))</f>
        <v/>
      </c>
      <c r="AH112" s="190">
        <f>IF(OR(AH84=0,4&lt;='01_Вводные'!$B$297),0,AH84*IF('01_Вводные'!$B$239="Да",MeanMinAge04+AH204*SUMIF(ThresholdAge04,"&lt;"&amp;AH204,WeightedRevAge04)-SUMIF(ThresholdAge04,"&lt;"&amp;AH204,WeightedMinAge04),MAX(CapacityAge04*'01_Вводные'!$B$218*AH204,MeanMinAge04)))</f>
        <v/>
      </c>
      <c r="AI112" s="190">
        <f>IF(OR(AI84=0,4&lt;='01_Вводные'!$B$297),0,AI84*IF('01_Вводные'!$B$239="Да",MeanMinAge04+AI204*SUMIF(ThresholdAge04,"&lt;"&amp;AI204,WeightedRevAge04)-SUMIF(ThresholdAge04,"&lt;"&amp;AI204,WeightedMinAge04),MAX(CapacityAge04*'01_Вводные'!$B$218*AI204,MeanMinAge04)))</f>
        <v/>
      </c>
      <c r="AJ112" s="190">
        <f>IF(OR(AJ84=0,4&lt;='01_Вводные'!$B$297),0,AJ84*IF('01_Вводные'!$B$239="Да",MeanMinAge04+AJ204*SUMIF(ThresholdAge04,"&lt;"&amp;AJ204,WeightedRevAge04)-SUMIF(ThresholdAge04,"&lt;"&amp;AJ204,WeightedMinAge04),MAX(CapacityAge04*'01_Вводные'!$B$218*AJ204,MeanMinAge04)))</f>
        <v/>
      </c>
      <c r="AK112" s="190">
        <f>IF(OR(AK84=0,4&lt;='01_Вводные'!$B$297),0,AK84*IF('01_Вводные'!$B$239="Да",MeanMinAge04+AK204*SUMIF(ThresholdAge04,"&lt;"&amp;AK204,WeightedRevAge04)-SUMIF(ThresholdAge04,"&lt;"&amp;AK204,WeightedMinAge04),MAX(CapacityAge04*'01_Вводные'!$B$218*AK204,MeanMinAge04)))</f>
        <v/>
      </c>
      <c r="AL112" s="190">
        <f>IF(OR(AL84=0,4&lt;='01_Вводные'!$B$297),0,AL84*IF('01_Вводные'!$B$239="Да",MeanMinAge04+AL204*SUMIF(ThresholdAge04,"&lt;"&amp;AL204,WeightedRevAge04)-SUMIF(ThresholdAge04,"&lt;"&amp;AL204,WeightedMinAge04),MAX(CapacityAge04*'01_Вводные'!$B$218*AL204,MeanMinAge04)))</f>
        <v/>
      </c>
      <c r="AM112" s="190">
        <f>IF(OR(AM84=0,4&lt;='01_Вводные'!$B$297),0,AM84*IF('01_Вводные'!$B$239="Да",MeanMinAge04+AM204*SUMIF(ThresholdAge04,"&lt;"&amp;AM204,WeightedRevAge04)-SUMIF(ThresholdAge04,"&lt;"&amp;AM204,WeightedMinAge04),MAX(CapacityAge04*'01_Вводные'!$B$218*AM204,MeanMinAge04)))</f>
        <v/>
      </c>
      <c r="AN112" s="190">
        <f>IF(OR(AN84=0,4&lt;='01_Вводные'!$B$297),0,AN84*IF('01_Вводные'!$B$239="Да",MeanMinAge04+AN204*SUMIF(ThresholdAge04,"&lt;"&amp;AN204,WeightedRevAge04)-SUMIF(ThresholdAge04,"&lt;"&amp;AN204,WeightedMinAge04),MAX(CapacityAge04*'01_Вводные'!$B$218*AN204,MeanMinAge04)))</f>
        <v/>
      </c>
      <c r="AO112" s="190">
        <f>IF(OR(AO84=0,4&lt;='01_Вводные'!$B$297),0,AO84*IF('01_Вводные'!$B$239="Да",MeanMinAge04+AO204*SUMIF(ThresholdAge04,"&lt;"&amp;AO204,WeightedRevAge04)-SUMIF(ThresholdAge04,"&lt;"&amp;AO204,WeightedMinAge04),MAX(CapacityAge04*'01_Вводные'!$B$218*AO204,MeanMinAge04)))</f>
        <v/>
      </c>
      <c r="AP112" s="190">
        <f>IF(OR(AP84=0,4&lt;='01_Вводные'!$B$297),0,AP84*IF('01_Вводные'!$B$239="Да",MeanMinAge04+AP204*SUMIF(ThresholdAge04,"&lt;"&amp;AP204,WeightedRevAge04)-SUMIF(ThresholdAge04,"&lt;"&amp;AP204,WeightedMinAge04),MAX(CapacityAge04*'01_Вводные'!$B$218*AP204,MeanMinAge04)))</f>
        <v/>
      </c>
      <c r="AQ112" s="190">
        <f>IF(OR(AQ84=0,4&lt;='01_Вводные'!$B$297),0,AQ84*IF('01_Вводные'!$B$239="Да",MeanMinAge04+AQ204*SUMIF(ThresholdAge04,"&lt;"&amp;AQ204,WeightedRevAge04)-SUMIF(ThresholdAge04,"&lt;"&amp;AQ204,WeightedMinAge04),MAX(CapacityAge04*'01_Вводные'!$B$218*AQ204,MeanMinAge04)))</f>
        <v/>
      </c>
      <c r="AR112" s="190">
        <f>IF(OR(AR84=0,4&lt;='01_Вводные'!$B$297),0,AR84*IF('01_Вводные'!$B$239="Да",MeanMinAge04+AR204*SUMIF(ThresholdAge04,"&lt;"&amp;AR204,WeightedRevAge04)-SUMIF(ThresholdAge04,"&lt;"&amp;AR204,WeightedMinAge04),MAX(CapacityAge04*'01_Вводные'!$B$218*AR204,MeanMinAge04)))</f>
        <v/>
      </c>
      <c r="AS112" s="190">
        <f>IF(OR(AS84=0,4&lt;='01_Вводные'!$B$297),0,AS84*IF('01_Вводные'!$B$239="Да",MeanMinAge04+AS204*SUMIF(ThresholdAge04,"&lt;"&amp;AS204,WeightedRevAge04)-SUMIF(ThresholdAge04,"&lt;"&amp;AS204,WeightedMinAge04),MAX(CapacityAge04*'01_Вводные'!$B$218*AS204,MeanMinAge04)))</f>
        <v/>
      </c>
      <c r="AT112" s="190">
        <f>IF(OR(AT84=0,4&lt;='01_Вводные'!$B$297),0,AT84*IF('01_Вводные'!$B$239="Да",MeanMinAge04+AT204*SUMIF(ThresholdAge04,"&lt;"&amp;AT204,WeightedRevAge04)-SUMIF(ThresholdAge04,"&lt;"&amp;AT204,WeightedMinAge04),MAX(CapacityAge04*'01_Вводные'!$B$218*AT204,MeanMinAge04)))</f>
        <v/>
      </c>
      <c r="AU112" s="190">
        <f>IF(OR(AU84=0,4&lt;='01_Вводные'!$B$297),0,AU84*IF('01_Вводные'!$B$239="Да",MeanMinAge04+AU204*SUMIF(ThresholdAge04,"&lt;"&amp;AU204,WeightedRevAge04)-SUMIF(ThresholdAge04,"&lt;"&amp;AU204,WeightedMinAge04),MAX(CapacityAge04*'01_Вводные'!$B$218*AU204,MeanMinAge04)))</f>
        <v/>
      </c>
      <c r="AV112" s="190">
        <f>IF(OR(AV84=0,4&lt;='01_Вводные'!$B$297),0,AV84*IF('01_Вводные'!$B$239="Да",MeanMinAge04+AV204*SUMIF(ThresholdAge04,"&lt;"&amp;AV204,WeightedRevAge04)-SUMIF(ThresholdAge04,"&lt;"&amp;AV204,WeightedMinAge04),MAX(CapacityAge04*'01_Вводные'!$B$218*AV204,MeanMinAge04)))</f>
        <v/>
      </c>
      <c r="AW112" s="190">
        <f>IF(OR(AW84=0,4&lt;='01_Вводные'!$B$297),0,AW84*IF('01_Вводные'!$B$239="Да",MeanMinAge04+AW204*SUMIF(ThresholdAge04,"&lt;"&amp;AW204,WeightedRevAge04)-SUMIF(ThresholdAge04,"&lt;"&amp;AW204,WeightedMinAge04),MAX(CapacityAge04*'01_Вводные'!$B$218*AW204,MeanMinAge04)))</f>
        <v/>
      </c>
      <c r="AX112" s="190">
        <f>IF(OR(AX84=0,4&lt;='01_Вводные'!$B$297),0,AX84*IF('01_Вводные'!$B$239="Да",MeanMinAge04+AX204*SUMIF(ThresholdAge04,"&lt;"&amp;AX204,WeightedRevAge04)-SUMIF(ThresholdAge04,"&lt;"&amp;AX204,WeightedMinAge04),MAX(CapacityAge04*'01_Вводные'!$B$218*AX204,MeanMinAge04)))</f>
        <v/>
      </c>
      <c r="AY112" s="190">
        <f>IF(OR(AY84=0,4&lt;='01_Вводные'!$B$297),0,AY84*IF('01_Вводные'!$B$239="Да",MeanMinAge04+AY204*SUMIF(ThresholdAge04,"&lt;"&amp;AY204,WeightedRevAge04)-SUMIF(ThresholdAge04,"&lt;"&amp;AY204,WeightedMinAge04),MAX(CapacityAge04*'01_Вводные'!$B$218*AY204,MeanMinAge04)))</f>
        <v/>
      </c>
      <c r="AZ112" s="190">
        <f>IF(OR(AZ84=0,4&lt;='01_Вводные'!$B$297),0,AZ84*IF('01_Вводные'!$B$239="Да",MeanMinAge04+AZ204*SUMIF(ThresholdAge04,"&lt;"&amp;AZ204,WeightedRevAge04)-SUMIF(ThresholdAge04,"&lt;"&amp;AZ204,WeightedMinAge04),MAX(CapacityAge04*'01_Вводные'!$B$218*AZ204,MeanMinAge04)))</f>
        <v/>
      </c>
      <c r="BA112" s="190">
        <f>IF(OR(BA84=0,4&lt;='01_Вводные'!$B$297),0,BA84*IF('01_Вводные'!$B$239="Да",MeanMinAge04+BA204*SUMIF(ThresholdAge04,"&lt;"&amp;BA204,WeightedRevAge04)-SUMIF(ThresholdAge04,"&lt;"&amp;BA204,WeightedMinAge04),MAX(CapacityAge04*'01_Вводные'!$B$218*BA204,MeanMinAge04)))</f>
        <v/>
      </c>
      <c r="BB112" s="190">
        <f>IF(OR(BB84=0,4&lt;='01_Вводные'!$B$297),0,BB84*IF('01_Вводные'!$B$239="Да",MeanMinAge04+BB204*SUMIF(ThresholdAge04,"&lt;"&amp;BB204,WeightedRevAge04)-SUMIF(ThresholdAge04,"&lt;"&amp;BB204,WeightedMinAge04),MAX(CapacityAge04*'01_Вводные'!$B$218*BB204,MeanMinAge04)))</f>
        <v/>
      </c>
      <c r="BC112" s="190">
        <f>IF(OR(BC84=0,4&lt;='01_Вводные'!$B$297),0,BC84*IF('01_Вводные'!$B$239="Да",MeanMinAge04+BC204*SUMIF(ThresholdAge04,"&lt;"&amp;BC204,WeightedRevAge04)-SUMIF(ThresholdAge04,"&lt;"&amp;BC204,WeightedMinAge04),MAX(CapacityAge04*'01_Вводные'!$B$218*BC204,MeanMinAge04)))</f>
        <v/>
      </c>
      <c r="BD112" s="190">
        <f>IF(OR(BD84=0,4&lt;='01_Вводные'!$B$297),0,BD84*IF('01_Вводные'!$B$239="Да",MeanMinAge04+BD204*SUMIF(ThresholdAge04,"&lt;"&amp;BD204,WeightedRevAge04)-SUMIF(ThresholdAge04,"&lt;"&amp;BD204,WeightedMinAge04),MAX(CapacityAge04*'01_Вводные'!$B$218*BD204,MeanMinAge04)))</f>
        <v/>
      </c>
      <c r="BE112" s="190">
        <f>IF(OR(BE84=0,4&lt;='01_Вводные'!$B$297),0,BE84*IF('01_Вводные'!$B$239="Да",MeanMinAge04+BE204*SUMIF(ThresholdAge04,"&lt;"&amp;BE204,WeightedRevAge04)-SUMIF(ThresholdAge04,"&lt;"&amp;BE204,WeightedMinAge04),MAX(CapacityAge04*'01_Вводные'!$B$218*BE204,MeanMinAge04)))</f>
        <v/>
      </c>
      <c r="BF112" s="190">
        <f>IF(OR(BF84=0,4&lt;='01_Вводные'!$B$297),0,BF84*IF('01_Вводные'!$B$239="Да",MeanMinAge04+BF204*SUMIF(ThresholdAge04,"&lt;"&amp;BF204,WeightedRevAge04)-SUMIF(ThresholdAge04,"&lt;"&amp;BF204,WeightedMinAge04),MAX(CapacityAge04*'01_Вводные'!$B$218*BF204,MeanMinAge04)))</f>
        <v/>
      </c>
      <c r="BG112" s="190">
        <f>IF(OR(BG84=0,4&lt;='01_Вводные'!$B$297),0,BG84*IF('01_Вводные'!$B$239="Да",MeanMinAge04+BG204*SUMIF(ThresholdAge04,"&lt;"&amp;BG204,WeightedRevAge04)-SUMIF(ThresholdAge04,"&lt;"&amp;BG204,WeightedMinAge04),MAX(CapacityAge04*'01_Вводные'!$B$218*BG204,MeanMinAge04)))</f>
        <v/>
      </c>
      <c r="BH112" s="190">
        <f>IF(OR(BH84=0,4&lt;='01_Вводные'!$B$297),0,BH84*IF('01_Вводные'!$B$239="Да",MeanMinAge04+BH204*SUMIF(ThresholdAge04,"&lt;"&amp;BH204,WeightedRevAge04)-SUMIF(ThresholdAge04,"&lt;"&amp;BH204,WeightedMinAge04),MAX(CapacityAge04*'01_Вводные'!$B$218*BH204,MeanMinAge04)))</f>
        <v/>
      </c>
      <c r="BI112" s="190">
        <f>IF(OR(BI84=0,4&lt;='01_Вводные'!$B$297),0,BI84*IF('01_Вводные'!$B$239="Да",MeanMinAge04+BI204*SUMIF(ThresholdAge04,"&lt;"&amp;BI204,WeightedRevAge04)-SUMIF(ThresholdAge04,"&lt;"&amp;BI204,WeightedMinAge04),MAX(CapacityAge04*'01_Вводные'!$B$218*BI204,MeanMinAge04)))</f>
        <v/>
      </c>
      <c r="BJ112" s="190">
        <f>IF(OR(BJ84=0,4&lt;='01_Вводные'!$B$297),0,BJ84*IF('01_Вводные'!$B$239="Да",MeanMinAge04+BJ204*SUMIF(ThresholdAge04,"&lt;"&amp;BJ204,WeightedRevAge04)-SUMIF(ThresholdAge04,"&lt;"&amp;BJ204,WeightedMinAge04),MAX(CapacityAge04*'01_Вводные'!$B$218*BJ204,MeanMinAge04)))</f>
        <v/>
      </c>
      <c r="BK112" s="190">
        <f>IF(OR(BK84=0,4&lt;='01_Вводные'!$B$297),0,BK84*IF('01_Вводные'!$B$239="Да",MeanMinAge04+BK204*SUMIF(ThresholdAge04,"&lt;"&amp;BK204,WeightedRevAge04)-SUMIF(ThresholdAge04,"&lt;"&amp;BK204,WeightedMinAge04),MAX(CapacityAge04*'01_Вводные'!$B$218*BK204,MeanMinAge04)))</f>
        <v/>
      </c>
      <c r="BL112" s="190">
        <f>IF(OR(BL84=0,4&lt;='01_Вводные'!$B$297),0,BL84*IF('01_Вводные'!$B$239="Да",MeanMinAge04+BL204*SUMIF(ThresholdAge04,"&lt;"&amp;BL204,WeightedRevAge04)-SUMIF(ThresholdAge04,"&lt;"&amp;BL204,WeightedMinAge04),MAX(CapacityAge04*'01_Вводные'!$B$218*BL204,MeanMinAge04)))</f>
        <v/>
      </c>
      <c r="BM112" s="190">
        <f>IF(OR(BM84=0,4&lt;='01_Вводные'!$B$297),0,BM84*IF('01_Вводные'!$B$239="Да",MeanMinAge04+BM204*SUMIF(ThresholdAge04,"&lt;"&amp;BM204,WeightedRevAge04)-SUMIF(ThresholdAge04,"&lt;"&amp;BM204,WeightedMinAge04),MAX(CapacityAge04*'01_Вводные'!$B$218*BM204,MeanMinAge04)))</f>
        <v/>
      </c>
      <c r="BN112" s="190">
        <f>IF(OR(BN84=0,4&lt;='01_Вводные'!$B$297),0,BN84*IF('01_Вводные'!$B$239="Да",MeanMinAge04+BN204*SUMIF(ThresholdAge04,"&lt;"&amp;BN204,WeightedRevAge04)-SUMIF(ThresholdAge04,"&lt;"&amp;BN204,WeightedMinAge04),MAX(CapacityAge04*'01_Вводные'!$B$218*BN204,MeanMinAge04)))</f>
        <v/>
      </c>
      <c r="BO112" s="190">
        <f>IF(OR(BO84=0,4&lt;='01_Вводные'!$B$297),0,BO84*IF('01_Вводные'!$B$239="Да",MeanMinAge04+BO204*SUMIF(ThresholdAge04,"&lt;"&amp;BO204,WeightedRevAge04)-SUMIF(ThresholdAge04,"&lt;"&amp;BO204,WeightedMinAge04),MAX(CapacityAge04*'01_Вводные'!$B$218*BO204,MeanMinAge04)))</f>
        <v/>
      </c>
    </row>
    <row r="113" hidden="1" outlineLevel="1">
      <c r="A113" t="inlineStr">
        <is>
          <t>5 мес.</t>
        </is>
      </c>
      <c r="B113" s="190">
        <f>IF(OR(B85=0,5&lt;='01_Вводные'!$B$297),0,B85*IF('01_Вводные'!$B$239="Да",MeanMinAge05+B204*SUMIF(ThresholdAge05,"&lt;"&amp;B204,WeightedRevAge05)-SUMIF(ThresholdAge05,"&lt;"&amp;B204,WeightedMinAge05),MAX(CapacityAge05*'01_Вводные'!$B$218*B204,MeanMinAge05)))</f>
        <v/>
      </c>
      <c r="C113" s="190">
        <f>IF(OR(C85=0,5&lt;='01_Вводные'!$B$297),0,C85*IF('01_Вводные'!$B$239="Да",MeanMinAge05+C204*SUMIF(ThresholdAge05,"&lt;"&amp;C204,WeightedRevAge05)-SUMIF(ThresholdAge05,"&lt;"&amp;C204,WeightedMinAge05),MAX(CapacityAge05*'01_Вводные'!$B$218*C204,MeanMinAge05)))</f>
        <v/>
      </c>
      <c r="D113" s="190">
        <f>IF(OR(D85=0,5&lt;='01_Вводные'!$B$297),0,D85*IF('01_Вводные'!$B$239="Да",MeanMinAge05+D204*SUMIF(ThresholdAge05,"&lt;"&amp;D204,WeightedRevAge05)-SUMIF(ThresholdAge05,"&lt;"&amp;D204,WeightedMinAge05),MAX(CapacityAge05*'01_Вводные'!$B$218*D204,MeanMinAge05)))</f>
        <v/>
      </c>
      <c r="E113" s="190">
        <f>IF(OR(E85=0,5&lt;='01_Вводные'!$B$297),0,E85*IF('01_Вводные'!$B$239="Да",MeanMinAge05+E204*SUMIF(ThresholdAge05,"&lt;"&amp;E204,WeightedRevAge05)-SUMIF(ThresholdAge05,"&lt;"&amp;E204,WeightedMinAge05),MAX(CapacityAge05*'01_Вводные'!$B$218*E204,MeanMinAge05)))</f>
        <v/>
      </c>
      <c r="F113" s="190">
        <f>IF(OR(F85=0,5&lt;='01_Вводные'!$B$297),0,F85*IF('01_Вводные'!$B$239="Да",MeanMinAge05+F204*SUMIF(ThresholdAge05,"&lt;"&amp;F204,WeightedRevAge05)-SUMIF(ThresholdAge05,"&lt;"&amp;F204,WeightedMinAge05),MAX(CapacityAge05*'01_Вводные'!$B$218*F204,MeanMinAge05)))</f>
        <v/>
      </c>
      <c r="G113" s="190">
        <f>IF(OR(G85=0,5&lt;='01_Вводные'!$B$297),0,G85*IF('01_Вводные'!$B$239="Да",MeanMinAge05+G204*SUMIF(ThresholdAge05,"&lt;"&amp;G204,WeightedRevAge05)-SUMIF(ThresholdAge05,"&lt;"&amp;G204,WeightedMinAge05),MAX(CapacityAge05*'01_Вводные'!$B$218*G204,MeanMinAge05)))</f>
        <v/>
      </c>
      <c r="H113" s="190">
        <f>IF(OR(H85=0,5&lt;='01_Вводные'!$B$297),0,H85*IF('01_Вводные'!$B$239="Да",MeanMinAge05+H204*SUMIF(ThresholdAge05,"&lt;"&amp;H204,WeightedRevAge05)-SUMIF(ThresholdAge05,"&lt;"&amp;H204,WeightedMinAge05),MAX(CapacityAge05*'01_Вводные'!$B$218*H204,MeanMinAge05)))</f>
        <v/>
      </c>
      <c r="I113" s="190">
        <f>IF(OR(I85=0,5&lt;='01_Вводные'!$B$297),0,I85*IF('01_Вводные'!$B$239="Да",MeanMinAge05+I204*SUMIF(ThresholdAge05,"&lt;"&amp;I204,WeightedRevAge05)-SUMIF(ThresholdAge05,"&lt;"&amp;I204,WeightedMinAge05),MAX(CapacityAge05*'01_Вводные'!$B$218*I204,MeanMinAge05)))</f>
        <v/>
      </c>
      <c r="J113" s="190">
        <f>IF(OR(J85=0,5&lt;='01_Вводные'!$B$297),0,J85*IF('01_Вводные'!$B$239="Да",MeanMinAge05+J204*SUMIF(ThresholdAge05,"&lt;"&amp;J204,WeightedRevAge05)-SUMIF(ThresholdAge05,"&lt;"&amp;J204,WeightedMinAge05),MAX(CapacityAge05*'01_Вводные'!$B$218*J204,MeanMinAge05)))</f>
        <v/>
      </c>
      <c r="K113" s="190">
        <f>IF(OR(K85=0,5&lt;='01_Вводные'!$B$297),0,K85*IF('01_Вводные'!$B$239="Да",MeanMinAge05+K204*SUMIF(ThresholdAge05,"&lt;"&amp;K204,WeightedRevAge05)-SUMIF(ThresholdAge05,"&lt;"&amp;K204,WeightedMinAge05),MAX(CapacityAge05*'01_Вводные'!$B$218*K204,MeanMinAge05)))</f>
        <v/>
      </c>
      <c r="L113" s="190">
        <f>IF(OR(L85=0,5&lt;='01_Вводные'!$B$297),0,L85*IF('01_Вводные'!$B$239="Да",MeanMinAge05+L204*SUMIF(ThresholdAge05,"&lt;"&amp;L204,WeightedRevAge05)-SUMIF(ThresholdAge05,"&lt;"&amp;L204,WeightedMinAge05),MAX(CapacityAge05*'01_Вводные'!$B$218*L204,MeanMinAge05)))</f>
        <v/>
      </c>
      <c r="M113" s="190">
        <f>IF(OR(M85=0,5&lt;='01_Вводные'!$B$297),0,M85*IF('01_Вводные'!$B$239="Да",MeanMinAge05+M204*SUMIF(ThresholdAge05,"&lt;"&amp;M204,WeightedRevAge05)-SUMIF(ThresholdAge05,"&lt;"&amp;M204,WeightedMinAge05),MAX(CapacityAge05*'01_Вводные'!$B$218*M204,MeanMinAge05)))</f>
        <v/>
      </c>
      <c r="N113" s="190">
        <f>IF(OR(N85=0,5&lt;='01_Вводные'!$B$297),0,N85*IF('01_Вводные'!$B$239="Да",MeanMinAge05+N204*SUMIF(ThresholdAge05,"&lt;"&amp;N204,WeightedRevAge05)-SUMIF(ThresholdAge05,"&lt;"&amp;N204,WeightedMinAge05),MAX(CapacityAge05*'01_Вводные'!$B$218*N204,MeanMinAge05)))</f>
        <v/>
      </c>
      <c r="O113" s="190">
        <f>IF(OR(O85=0,5&lt;='01_Вводные'!$B$297),0,O85*IF('01_Вводные'!$B$239="Да",MeanMinAge05+O204*SUMIF(ThresholdAge05,"&lt;"&amp;O204,WeightedRevAge05)-SUMIF(ThresholdAge05,"&lt;"&amp;O204,WeightedMinAge05),MAX(CapacityAge05*'01_Вводные'!$B$218*O204,MeanMinAge05)))</f>
        <v/>
      </c>
      <c r="P113" s="190">
        <f>IF(OR(P85=0,5&lt;='01_Вводные'!$B$297),0,P85*IF('01_Вводные'!$B$239="Да",MeanMinAge05+P204*SUMIF(ThresholdAge05,"&lt;"&amp;P204,WeightedRevAge05)-SUMIF(ThresholdAge05,"&lt;"&amp;P204,WeightedMinAge05),MAX(CapacityAge05*'01_Вводные'!$B$218*P204,MeanMinAge05)))</f>
        <v/>
      </c>
      <c r="Q113" s="190">
        <f>IF(OR(Q85=0,5&lt;='01_Вводные'!$B$297),0,Q85*IF('01_Вводные'!$B$239="Да",MeanMinAge05+Q204*SUMIF(ThresholdAge05,"&lt;"&amp;Q204,WeightedRevAge05)-SUMIF(ThresholdAge05,"&lt;"&amp;Q204,WeightedMinAge05),MAX(CapacityAge05*'01_Вводные'!$B$218*Q204,MeanMinAge05)))</f>
        <v/>
      </c>
      <c r="R113" s="190">
        <f>IF(OR(R85=0,5&lt;='01_Вводные'!$B$297),0,R85*IF('01_Вводные'!$B$239="Да",MeanMinAge05+R204*SUMIF(ThresholdAge05,"&lt;"&amp;R204,WeightedRevAge05)-SUMIF(ThresholdAge05,"&lt;"&amp;R204,WeightedMinAge05),MAX(CapacityAge05*'01_Вводные'!$B$218*R204,MeanMinAge05)))</f>
        <v/>
      </c>
      <c r="S113" s="190">
        <f>IF(OR(S85=0,5&lt;='01_Вводные'!$B$297),0,S85*IF('01_Вводные'!$B$239="Да",MeanMinAge05+S204*SUMIF(ThresholdAge05,"&lt;"&amp;S204,WeightedRevAge05)-SUMIF(ThresholdAge05,"&lt;"&amp;S204,WeightedMinAge05),MAX(CapacityAge05*'01_Вводные'!$B$218*S204,MeanMinAge05)))</f>
        <v/>
      </c>
      <c r="T113" s="190">
        <f>IF(OR(T85=0,5&lt;='01_Вводные'!$B$297),0,T85*IF('01_Вводные'!$B$239="Да",MeanMinAge05+T204*SUMIF(ThresholdAge05,"&lt;"&amp;T204,WeightedRevAge05)-SUMIF(ThresholdAge05,"&lt;"&amp;T204,WeightedMinAge05),MAX(CapacityAge05*'01_Вводные'!$B$218*T204,MeanMinAge05)))</f>
        <v/>
      </c>
      <c r="U113" s="190">
        <f>IF(OR(U85=0,5&lt;='01_Вводные'!$B$297),0,U85*IF('01_Вводные'!$B$239="Да",MeanMinAge05+U204*SUMIF(ThresholdAge05,"&lt;"&amp;U204,WeightedRevAge05)-SUMIF(ThresholdAge05,"&lt;"&amp;U204,WeightedMinAge05),MAX(CapacityAge05*'01_Вводные'!$B$218*U204,MeanMinAge05)))</f>
        <v/>
      </c>
      <c r="V113" s="190">
        <f>IF(OR(V85=0,5&lt;='01_Вводные'!$B$297),0,V85*IF('01_Вводные'!$B$239="Да",MeanMinAge05+V204*SUMIF(ThresholdAge05,"&lt;"&amp;V204,WeightedRevAge05)-SUMIF(ThresholdAge05,"&lt;"&amp;V204,WeightedMinAge05),MAX(CapacityAge05*'01_Вводные'!$B$218*V204,MeanMinAge05)))</f>
        <v/>
      </c>
      <c r="W113" s="190">
        <f>IF(OR(W85=0,5&lt;='01_Вводные'!$B$297),0,W85*IF('01_Вводные'!$B$239="Да",MeanMinAge05+W204*SUMIF(ThresholdAge05,"&lt;"&amp;W204,WeightedRevAge05)-SUMIF(ThresholdAge05,"&lt;"&amp;W204,WeightedMinAge05),MAX(CapacityAge05*'01_Вводные'!$B$218*W204,MeanMinAge05)))</f>
        <v/>
      </c>
      <c r="X113" s="190">
        <f>IF(OR(X85=0,5&lt;='01_Вводные'!$B$297),0,X85*IF('01_Вводные'!$B$239="Да",MeanMinAge05+X204*SUMIF(ThresholdAge05,"&lt;"&amp;X204,WeightedRevAge05)-SUMIF(ThresholdAge05,"&lt;"&amp;X204,WeightedMinAge05),MAX(CapacityAge05*'01_Вводные'!$B$218*X204,MeanMinAge05)))</f>
        <v/>
      </c>
      <c r="Y113" s="190">
        <f>IF(OR(Y85=0,5&lt;='01_Вводные'!$B$297),0,Y85*IF('01_Вводные'!$B$239="Да",MeanMinAge05+Y204*SUMIF(ThresholdAge05,"&lt;"&amp;Y204,WeightedRevAge05)-SUMIF(ThresholdAge05,"&lt;"&amp;Y204,WeightedMinAge05),MAX(CapacityAge05*'01_Вводные'!$B$218*Y204,MeanMinAge05)))</f>
        <v/>
      </c>
      <c r="Z113" s="190">
        <f>IF(OR(Z85=0,5&lt;='01_Вводные'!$B$297),0,Z85*IF('01_Вводные'!$B$239="Да",MeanMinAge05+Z204*SUMIF(ThresholdAge05,"&lt;"&amp;Z204,WeightedRevAge05)-SUMIF(ThresholdAge05,"&lt;"&amp;Z204,WeightedMinAge05),MAX(CapacityAge05*'01_Вводные'!$B$218*Z204,MeanMinAge05)))</f>
        <v/>
      </c>
      <c r="AA113" s="190">
        <f>IF(OR(AA85=0,5&lt;='01_Вводные'!$B$297),0,AA85*IF('01_Вводные'!$B$239="Да",MeanMinAge05+AA204*SUMIF(ThresholdAge05,"&lt;"&amp;AA204,WeightedRevAge05)-SUMIF(ThresholdAge05,"&lt;"&amp;AA204,WeightedMinAge05),MAX(CapacityAge05*'01_Вводные'!$B$218*AA204,MeanMinAge05)))</f>
        <v/>
      </c>
      <c r="AB113" s="190">
        <f>IF(OR(AB85=0,5&lt;='01_Вводные'!$B$297),0,AB85*IF('01_Вводные'!$B$239="Да",MeanMinAge05+AB204*SUMIF(ThresholdAge05,"&lt;"&amp;AB204,WeightedRevAge05)-SUMIF(ThresholdAge05,"&lt;"&amp;AB204,WeightedMinAge05),MAX(CapacityAge05*'01_Вводные'!$B$218*AB204,MeanMinAge05)))</f>
        <v/>
      </c>
      <c r="AC113" s="190">
        <f>IF(OR(AC85=0,5&lt;='01_Вводные'!$B$297),0,AC85*IF('01_Вводные'!$B$239="Да",MeanMinAge05+AC204*SUMIF(ThresholdAge05,"&lt;"&amp;AC204,WeightedRevAge05)-SUMIF(ThresholdAge05,"&lt;"&amp;AC204,WeightedMinAge05),MAX(CapacityAge05*'01_Вводные'!$B$218*AC204,MeanMinAge05)))</f>
        <v/>
      </c>
      <c r="AD113" s="190">
        <f>IF(OR(AD85=0,5&lt;='01_Вводные'!$B$297),0,AD85*IF('01_Вводные'!$B$239="Да",MeanMinAge05+AD204*SUMIF(ThresholdAge05,"&lt;"&amp;AD204,WeightedRevAge05)-SUMIF(ThresholdAge05,"&lt;"&amp;AD204,WeightedMinAge05),MAX(CapacityAge05*'01_Вводные'!$B$218*AD204,MeanMinAge05)))</f>
        <v/>
      </c>
      <c r="AE113" s="190">
        <f>IF(OR(AE85=0,5&lt;='01_Вводные'!$B$297),0,AE85*IF('01_Вводные'!$B$239="Да",MeanMinAge05+AE204*SUMIF(ThresholdAge05,"&lt;"&amp;AE204,WeightedRevAge05)-SUMIF(ThresholdAge05,"&lt;"&amp;AE204,WeightedMinAge05),MAX(CapacityAge05*'01_Вводные'!$B$218*AE204,MeanMinAge05)))</f>
        <v/>
      </c>
      <c r="AF113" s="190">
        <f>IF(OR(AF85=0,5&lt;='01_Вводные'!$B$297),0,AF85*IF('01_Вводные'!$B$239="Да",MeanMinAge05+AF204*SUMIF(ThresholdAge05,"&lt;"&amp;AF204,WeightedRevAge05)-SUMIF(ThresholdAge05,"&lt;"&amp;AF204,WeightedMinAge05),MAX(CapacityAge05*'01_Вводные'!$B$218*AF204,MeanMinAge05)))</f>
        <v/>
      </c>
      <c r="AG113" s="190">
        <f>IF(OR(AG85=0,5&lt;='01_Вводные'!$B$297),0,AG85*IF('01_Вводные'!$B$239="Да",MeanMinAge05+AG204*SUMIF(ThresholdAge05,"&lt;"&amp;AG204,WeightedRevAge05)-SUMIF(ThresholdAge05,"&lt;"&amp;AG204,WeightedMinAge05),MAX(CapacityAge05*'01_Вводные'!$B$218*AG204,MeanMinAge05)))</f>
        <v/>
      </c>
      <c r="AH113" s="190">
        <f>IF(OR(AH85=0,5&lt;='01_Вводные'!$B$297),0,AH85*IF('01_Вводные'!$B$239="Да",MeanMinAge05+AH204*SUMIF(ThresholdAge05,"&lt;"&amp;AH204,WeightedRevAge05)-SUMIF(ThresholdAge05,"&lt;"&amp;AH204,WeightedMinAge05),MAX(CapacityAge05*'01_Вводные'!$B$218*AH204,MeanMinAge05)))</f>
        <v/>
      </c>
      <c r="AI113" s="190">
        <f>IF(OR(AI85=0,5&lt;='01_Вводные'!$B$297),0,AI85*IF('01_Вводные'!$B$239="Да",MeanMinAge05+AI204*SUMIF(ThresholdAge05,"&lt;"&amp;AI204,WeightedRevAge05)-SUMIF(ThresholdAge05,"&lt;"&amp;AI204,WeightedMinAge05),MAX(CapacityAge05*'01_Вводные'!$B$218*AI204,MeanMinAge05)))</f>
        <v/>
      </c>
      <c r="AJ113" s="190">
        <f>IF(OR(AJ85=0,5&lt;='01_Вводные'!$B$297),0,AJ85*IF('01_Вводные'!$B$239="Да",MeanMinAge05+AJ204*SUMIF(ThresholdAge05,"&lt;"&amp;AJ204,WeightedRevAge05)-SUMIF(ThresholdAge05,"&lt;"&amp;AJ204,WeightedMinAge05),MAX(CapacityAge05*'01_Вводные'!$B$218*AJ204,MeanMinAge05)))</f>
        <v/>
      </c>
      <c r="AK113" s="190">
        <f>IF(OR(AK85=0,5&lt;='01_Вводные'!$B$297),0,AK85*IF('01_Вводные'!$B$239="Да",MeanMinAge05+AK204*SUMIF(ThresholdAge05,"&lt;"&amp;AK204,WeightedRevAge05)-SUMIF(ThresholdAge05,"&lt;"&amp;AK204,WeightedMinAge05),MAX(CapacityAge05*'01_Вводные'!$B$218*AK204,MeanMinAge05)))</f>
        <v/>
      </c>
      <c r="AL113" s="190">
        <f>IF(OR(AL85=0,5&lt;='01_Вводные'!$B$297),0,AL85*IF('01_Вводные'!$B$239="Да",MeanMinAge05+AL204*SUMIF(ThresholdAge05,"&lt;"&amp;AL204,WeightedRevAge05)-SUMIF(ThresholdAge05,"&lt;"&amp;AL204,WeightedMinAge05),MAX(CapacityAge05*'01_Вводные'!$B$218*AL204,MeanMinAge05)))</f>
        <v/>
      </c>
      <c r="AM113" s="190">
        <f>IF(OR(AM85=0,5&lt;='01_Вводные'!$B$297),0,AM85*IF('01_Вводные'!$B$239="Да",MeanMinAge05+AM204*SUMIF(ThresholdAge05,"&lt;"&amp;AM204,WeightedRevAge05)-SUMIF(ThresholdAge05,"&lt;"&amp;AM204,WeightedMinAge05),MAX(CapacityAge05*'01_Вводные'!$B$218*AM204,MeanMinAge05)))</f>
        <v/>
      </c>
      <c r="AN113" s="190">
        <f>IF(OR(AN85=0,5&lt;='01_Вводные'!$B$297),0,AN85*IF('01_Вводные'!$B$239="Да",MeanMinAge05+AN204*SUMIF(ThresholdAge05,"&lt;"&amp;AN204,WeightedRevAge05)-SUMIF(ThresholdAge05,"&lt;"&amp;AN204,WeightedMinAge05),MAX(CapacityAge05*'01_Вводные'!$B$218*AN204,MeanMinAge05)))</f>
        <v/>
      </c>
      <c r="AO113" s="190">
        <f>IF(OR(AO85=0,5&lt;='01_Вводные'!$B$297),0,AO85*IF('01_Вводные'!$B$239="Да",MeanMinAge05+AO204*SUMIF(ThresholdAge05,"&lt;"&amp;AO204,WeightedRevAge05)-SUMIF(ThresholdAge05,"&lt;"&amp;AO204,WeightedMinAge05),MAX(CapacityAge05*'01_Вводные'!$B$218*AO204,MeanMinAge05)))</f>
        <v/>
      </c>
      <c r="AP113" s="190">
        <f>IF(OR(AP85=0,5&lt;='01_Вводные'!$B$297),0,AP85*IF('01_Вводные'!$B$239="Да",MeanMinAge05+AP204*SUMIF(ThresholdAge05,"&lt;"&amp;AP204,WeightedRevAge05)-SUMIF(ThresholdAge05,"&lt;"&amp;AP204,WeightedMinAge05),MAX(CapacityAge05*'01_Вводные'!$B$218*AP204,MeanMinAge05)))</f>
        <v/>
      </c>
      <c r="AQ113" s="190">
        <f>IF(OR(AQ85=0,5&lt;='01_Вводные'!$B$297),0,AQ85*IF('01_Вводные'!$B$239="Да",MeanMinAge05+AQ204*SUMIF(ThresholdAge05,"&lt;"&amp;AQ204,WeightedRevAge05)-SUMIF(ThresholdAge05,"&lt;"&amp;AQ204,WeightedMinAge05),MAX(CapacityAge05*'01_Вводные'!$B$218*AQ204,MeanMinAge05)))</f>
        <v/>
      </c>
      <c r="AR113" s="190">
        <f>IF(OR(AR85=0,5&lt;='01_Вводные'!$B$297),0,AR85*IF('01_Вводные'!$B$239="Да",MeanMinAge05+AR204*SUMIF(ThresholdAge05,"&lt;"&amp;AR204,WeightedRevAge05)-SUMIF(ThresholdAge05,"&lt;"&amp;AR204,WeightedMinAge05),MAX(CapacityAge05*'01_Вводные'!$B$218*AR204,MeanMinAge05)))</f>
        <v/>
      </c>
      <c r="AS113" s="190">
        <f>IF(OR(AS85=0,5&lt;='01_Вводные'!$B$297),0,AS85*IF('01_Вводные'!$B$239="Да",MeanMinAge05+AS204*SUMIF(ThresholdAge05,"&lt;"&amp;AS204,WeightedRevAge05)-SUMIF(ThresholdAge05,"&lt;"&amp;AS204,WeightedMinAge05),MAX(CapacityAge05*'01_Вводные'!$B$218*AS204,MeanMinAge05)))</f>
        <v/>
      </c>
      <c r="AT113" s="190">
        <f>IF(OR(AT85=0,5&lt;='01_Вводные'!$B$297),0,AT85*IF('01_Вводные'!$B$239="Да",MeanMinAge05+AT204*SUMIF(ThresholdAge05,"&lt;"&amp;AT204,WeightedRevAge05)-SUMIF(ThresholdAge05,"&lt;"&amp;AT204,WeightedMinAge05),MAX(CapacityAge05*'01_Вводные'!$B$218*AT204,MeanMinAge05)))</f>
        <v/>
      </c>
      <c r="AU113" s="190">
        <f>IF(OR(AU85=0,5&lt;='01_Вводные'!$B$297),0,AU85*IF('01_Вводные'!$B$239="Да",MeanMinAge05+AU204*SUMIF(ThresholdAge05,"&lt;"&amp;AU204,WeightedRevAge05)-SUMIF(ThresholdAge05,"&lt;"&amp;AU204,WeightedMinAge05),MAX(CapacityAge05*'01_Вводные'!$B$218*AU204,MeanMinAge05)))</f>
        <v/>
      </c>
      <c r="AV113" s="190">
        <f>IF(OR(AV85=0,5&lt;='01_Вводные'!$B$297),0,AV85*IF('01_Вводные'!$B$239="Да",MeanMinAge05+AV204*SUMIF(ThresholdAge05,"&lt;"&amp;AV204,WeightedRevAge05)-SUMIF(ThresholdAge05,"&lt;"&amp;AV204,WeightedMinAge05),MAX(CapacityAge05*'01_Вводные'!$B$218*AV204,MeanMinAge05)))</f>
        <v/>
      </c>
      <c r="AW113" s="190">
        <f>IF(OR(AW85=0,5&lt;='01_Вводные'!$B$297),0,AW85*IF('01_Вводные'!$B$239="Да",MeanMinAge05+AW204*SUMIF(ThresholdAge05,"&lt;"&amp;AW204,WeightedRevAge05)-SUMIF(ThresholdAge05,"&lt;"&amp;AW204,WeightedMinAge05),MAX(CapacityAge05*'01_Вводные'!$B$218*AW204,MeanMinAge05)))</f>
        <v/>
      </c>
      <c r="AX113" s="190">
        <f>IF(OR(AX85=0,5&lt;='01_Вводные'!$B$297),0,AX85*IF('01_Вводные'!$B$239="Да",MeanMinAge05+AX204*SUMIF(ThresholdAge05,"&lt;"&amp;AX204,WeightedRevAge05)-SUMIF(ThresholdAge05,"&lt;"&amp;AX204,WeightedMinAge05),MAX(CapacityAge05*'01_Вводные'!$B$218*AX204,MeanMinAge05)))</f>
        <v/>
      </c>
      <c r="AY113" s="190">
        <f>IF(OR(AY85=0,5&lt;='01_Вводные'!$B$297),0,AY85*IF('01_Вводные'!$B$239="Да",MeanMinAge05+AY204*SUMIF(ThresholdAge05,"&lt;"&amp;AY204,WeightedRevAge05)-SUMIF(ThresholdAge05,"&lt;"&amp;AY204,WeightedMinAge05),MAX(CapacityAge05*'01_Вводные'!$B$218*AY204,MeanMinAge05)))</f>
        <v/>
      </c>
      <c r="AZ113" s="190">
        <f>IF(OR(AZ85=0,5&lt;='01_Вводные'!$B$297),0,AZ85*IF('01_Вводные'!$B$239="Да",MeanMinAge05+AZ204*SUMIF(ThresholdAge05,"&lt;"&amp;AZ204,WeightedRevAge05)-SUMIF(ThresholdAge05,"&lt;"&amp;AZ204,WeightedMinAge05),MAX(CapacityAge05*'01_Вводные'!$B$218*AZ204,MeanMinAge05)))</f>
        <v/>
      </c>
      <c r="BA113" s="190">
        <f>IF(OR(BA85=0,5&lt;='01_Вводные'!$B$297),0,BA85*IF('01_Вводные'!$B$239="Да",MeanMinAge05+BA204*SUMIF(ThresholdAge05,"&lt;"&amp;BA204,WeightedRevAge05)-SUMIF(ThresholdAge05,"&lt;"&amp;BA204,WeightedMinAge05),MAX(CapacityAge05*'01_Вводные'!$B$218*BA204,MeanMinAge05)))</f>
        <v/>
      </c>
      <c r="BB113" s="190">
        <f>IF(OR(BB85=0,5&lt;='01_Вводные'!$B$297),0,BB85*IF('01_Вводные'!$B$239="Да",MeanMinAge05+BB204*SUMIF(ThresholdAge05,"&lt;"&amp;BB204,WeightedRevAge05)-SUMIF(ThresholdAge05,"&lt;"&amp;BB204,WeightedMinAge05),MAX(CapacityAge05*'01_Вводные'!$B$218*BB204,MeanMinAge05)))</f>
        <v/>
      </c>
      <c r="BC113" s="190">
        <f>IF(OR(BC85=0,5&lt;='01_Вводные'!$B$297),0,BC85*IF('01_Вводные'!$B$239="Да",MeanMinAge05+BC204*SUMIF(ThresholdAge05,"&lt;"&amp;BC204,WeightedRevAge05)-SUMIF(ThresholdAge05,"&lt;"&amp;BC204,WeightedMinAge05),MAX(CapacityAge05*'01_Вводные'!$B$218*BC204,MeanMinAge05)))</f>
        <v/>
      </c>
      <c r="BD113" s="190">
        <f>IF(OR(BD85=0,5&lt;='01_Вводные'!$B$297),0,BD85*IF('01_Вводные'!$B$239="Да",MeanMinAge05+BD204*SUMIF(ThresholdAge05,"&lt;"&amp;BD204,WeightedRevAge05)-SUMIF(ThresholdAge05,"&lt;"&amp;BD204,WeightedMinAge05),MAX(CapacityAge05*'01_Вводные'!$B$218*BD204,MeanMinAge05)))</f>
        <v/>
      </c>
      <c r="BE113" s="190">
        <f>IF(OR(BE85=0,5&lt;='01_Вводные'!$B$297),0,BE85*IF('01_Вводные'!$B$239="Да",MeanMinAge05+BE204*SUMIF(ThresholdAge05,"&lt;"&amp;BE204,WeightedRevAge05)-SUMIF(ThresholdAge05,"&lt;"&amp;BE204,WeightedMinAge05),MAX(CapacityAge05*'01_Вводные'!$B$218*BE204,MeanMinAge05)))</f>
        <v/>
      </c>
      <c r="BF113" s="190">
        <f>IF(OR(BF85=0,5&lt;='01_Вводные'!$B$297),0,BF85*IF('01_Вводные'!$B$239="Да",MeanMinAge05+BF204*SUMIF(ThresholdAge05,"&lt;"&amp;BF204,WeightedRevAge05)-SUMIF(ThresholdAge05,"&lt;"&amp;BF204,WeightedMinAge05),MAX(CapacityAge05*'01_Вводные'!$B$218*BF204,MeanMinAge05)))</f>
        <v/>
      </c>
      <c r="BG113" s="190">
        <f>IF(OR(BG85=0,5&lt;='01_Вводные'!$B$297),0,BG85*IF('01_Вводные'!$B$239="Да",MeanMinAge05+BG204*SUMIF(ThresholdAge05,"&lt;"&amp;BG204,WeightedRevAge05)-SUMIF(ThresholdAge05,"&lt;"&amp;BG204,WeightedMinAge05),MAX(CapacityAge05*'01_Вводные'!$B$218*BG204,MeanMinAge05)))</f>
        <v/>
      </c>
      <c r="BH113" s="190">
        <f>IF(OR(BH85=0,5&lt;='01_Вводные'!$B$297),0,BH85*IF('01_Вводные'!$B$239="Да",MeanMinAge05+BH204*SUMIF(ThresholdAge05,"&lt;"&amp;BH204,WeightedRevAge05)-SUMIF(ThresholdAge05,"&lt;"&amp;BH204,WeightedMinAge05),MAX(CapacityAge05*'01_Вводные'!$B$218*BH204,MeanMinAge05)))</f>
        <v/>
      </c>
      <c r="BI113" s="190">
        <f>IF(OR(BI85=0,5&lt;='01_Вводные'!$B$297),0,BI85*IF('01_Вводные'!$B$239="Да",MeanMinAge05+BI204*SUMIF(ThresholdAge05,"&lt;"&amp;BI204,WeightedRevAge05)-SUMIF(ThresholdAge05,"&lt;"&amp;BI204,WeightedMinAge05),MAX(CapacityAge05*'01_Вводные'!$B$218*BI204,MeanMinAge05)))</f>
        <v/>
      </c>
      <c r="BJ113" s="190">
        <f>IF(OR(BJ85=0,5&lt;='01_Вводные'!$B$297),0,BJ85*IF('01_Вводные'!$B$239="Да",MeanMinAge05+BJ204*SUMIF(ThresholdAge05,"&lt;"&amp;BJ204,WeightedRevAge05)-SUMIF(ThresholdAge05,"&lt;"&amp;BJ204,WeightedMinAge05),MAX(CapacityAge05*'01_Вводные'!$B$218*BJ204,MeanMinAge05)))</f>
        <v/>
      </c>
      <c r="BK113" s="190">
        <f>IF(OR(BK85=0,5&lt;='01_Вводные'!$B$297),0,BK85*IF('01_Вводные'!$B$239="Да",MeanMinAge05+BK204*SUMIF(ThresholdAge05,"&lt;"&amp;BK204,WeightedRevAge05)-SUMIF(ThresholdAge05,"&lt;"&amp;BK204,WeightedMinAge05),MAX(CapacityAge05*'01_Вводные'!$B$218*BK204,MeanMinAge05)))</f>
        <v/>
      </c>
      <c r="BL113" s="190">
        <f>IF(OR(BL85=0,5&lt;='01_Вводные'!$B$297),0,BL85*IF('01_Вводные'!$B$239="Да",MeanMinAge05+BL204*SUMIF(ThresholdAge05,"&lt;"&amp;BL204,WeightedRevAge05)-SUMIF(ThresholdAge05,"&lt;"&amp;BL204,WeightedMinAge05),MAX(CapacityAge05*'01_Вводные'!$B$218*BL204,MeanMinAge05)))</f>
        <v/>
      </c>
      <c r="BM113" s="190">
        <f>IF(OR(BM85=0,5&lt;='01_Вводные'!$B$297),0,BM85*IF('01_Вводные'!$B$239="Да",MeanMinAge05+BM204*SUMIF(ThresholdAge05,"&lt;"&amp;BM204,WeightedRevAge05)-SUMIF(ThresholdAge05,"&lt;"&amp;BM204,WeightedMinAge05),MAX(CapacityAge05*'01_Вводные'!$B$218*BM204,MeanMinAge05)))</f>
        <v/>
      </c>
      <c r="BN113" s="190">
        <f>IF(OR(BN85=0,5&lt;='01_Вводные'!$B$297),0,BN85*IF('01_Вводные'!$B$239="Да",MeanMinAge05+BN204*SUMIF(ThresholdAge05,"&lt;"&amp;BN204,WeightedRevAge05)-SUMIF(ThresholdAge05,"&lt;"&amp;BN204,WeightedMinAge05),MAX(CapacityAge05*'01_Вводные'!$B$218*BN204,MeanMinAge05)))</f>
        <v/>
      </c>
      <c r="BO113" s="190">
        <f>IF(OR(BO85=0,5&lt;='01_Вводные'!$B$297),0,BO85*IF('01_Вводные'!$B$239="Да",MeanMinAge05+BO204*SUMIF(ThresholdAge05,"&lt;"&amp;BO204,WeightedRevAge05)-SUMIF(ThresholdAge05,"&lt;"&amp;BO204,WeightedMinAge05),MAX(CapacityAge05*'01_Вводные'!$B$218*BO204,MeanMinAge05)))</f>
        <v/>
      </c>
    </row>
    <row r="114" hidden="1" outlineLevel="1">
      <c r="A114" t="inlineStr">
        <is>
          <t>6 мес.</t>
        </is>
      </c>
      <c r="B114" s="191">
        <f>IF(OR(B86=0,6&lt;='01_Вводные'!$B$297),0,B86*IF('01_Вводные'!$B$239="Да",MeanMinAge06+B204*SUMIF(ThresholdAge06,"&lt;"&amp;B204,WeightedRevAge06)-SUMIF(ThresholdAge06,"&lt;"&amp;B204,WeightedMinAge06),MAX(CapacityAge06*'01_Вводные'!$B$218*B204,MeanMinAge06)))</f>
        <v/>
      </c>
      <c r="C114" s="191">
        <f>IF(OR(C86=0,6&lt;='01_Вводные'!$B$297),0,C86*IF('01_Вводные'!$B$239="Да",MeanMinAge06+C204*SUMIF(ThresholdAge06,"&lt;"&amp;C204,WeightedRevAge06)-SUMIF(ThresholdAge06,"&lt;"&amp;C204,WeightedMinAge06),MAX(CapacityAge06*'01_Вводные'!$B$218*C204,MeanMinAge06)))</f>
        <v/>
      </c>
      <c r="D114" s="191">
        <f>IF(OR(D86=0,6&lt;='01_Вводные'!$B$297),0,D86*IF('01_Вводные'!$B$239="Да",MeanMinAge06+D204*SUMIF(ThresholdAge06,"&lt;"&amp;D204,WeightedRevAge06)-SUMIF(ThresholdAge06,"&lt;"&amp;D204,WeightedMinAge06),MAX(CapacityAge06*'01_Вводные'!$B$218*D204,MeanMinAge06)))</f>
        <v/>
      </c>
      <c r="E114" s="191">
        <f>IF(OR(E86=0,6&lt;='01_Вводные'!$B$297),0,E86*IF('01_Вводные'!$B$239="Да",MeanMinAge06+E204*SUMIF(ThresholdAge06,"&lt;"&amp;E204,WeightedRevAge06)-SUMIF(ThresholdAge06,"&lt;"&amp;E204,WeightedMinAge06),MAX(CapacityAge06*'01_Вводные'!$B$218*E204,MeanMinAge06)))</f>
        <v/>
      </c>
      <c r="F114" s="191">
        <f>IF(OR(F86=0,6&lt;='01_Вводные'!$B$297),0,F86*IF('01_Вводные'!$B$239="Да",MeanMinAge06+F204*SUMIF(ThresholdAge06,"&lt;"&amp;F204,WeightedRevAge06)-SUMIF(ThresholdAge06,"&lt;"&amp;F204,WeightedMinAge06),MAX(CapacityAge06*'01_Вводные'!$B$218*F204,MeanMinAge06)))</f>
        <v/>
      </c>
      <c r="G114" s="191">
        <f>IF(OR(G86=0,6&lt;='01_Вводные'!$B$297),0,G86*IF('01_Вводные'!$B$239="Да",MeanMinAge06+G204*SUMIF(ThresholdAge06,"&lt;"&amp;G204,WeightedRevAge06)-SUMIF(ThresholdAge06,"&lt;"&amp;G204,WeightedMinAge06),MAX(CapacityAge06*'01_Вводные'!$B$218*G204,MeanMinAge06)))</f>
        <v/>
      </c>
      <c r="H114" s="191">
        <f>IF(OR(H86=0,6&lt;='01_Вводные'!$B$297),0,H86*IF('01_Вводные'!$B$239="Да",MeanMinAge06+H204*SUMIF(ThresholdAge06,"&lt;"&amp;H204,WeightedRevAge06)-SUMIF(ThresholdAge06,"&lt;"&amp;H204,WeightedMinAge06),MAX(CapacityAge06*'01_Вводные'!$B$218*H204,MeanMinAge06)))</f>
        <v/>
      </c>
      <c r="I114" s="191">
        <f>IF(OR(I86=0,6&lt;='01_Вводные'!$B$297),0,I86*IF('01_Вводные'!$B$239="Да",MeanMinAge06+I204*SUMIF(ThresholdAge06,"&lt;"&amp;I204,WeightedRevAge06)-SUMIF(ThresholdAge06,"&lt;"&amp;I204,WeightedMinAge06),MAX(CapacityAge06*'01_Вводные'!$B$218*I204,MeanMinAge06)))</f>
        <v/>
      </c>
      <c r="J114" s="191">
        <f>IF(OR(J86=0,6&lt;='01_Вводные'!$B$297),0,J86*IF('01_Вводные'!$B$239="Да",MeanMinAge06+J204*SUMIF(ThresholdAge06,"&lt;"&amp;J204,WeightedRevAge06)-SUMIF(ThresholdAge06,"&lt;"&amp;J204,WeightedMinAge06),MAX(CapacityAge06*'01_Вводные'!$B$218*J204,MeanMinAge06)))</f>
        <v/>
      </c>
      <c r="K114" s="191">
        <f>IF(OR(K86=0,6&lt;='01_Вводные'!$B$297),0,K86*IF('01_Вводные'!$B$239="Да",MeanMinAge06+K204*SUMIF(ThresholdAge06,"&lt;"&amp;K204,WeightedRevAge06)-SUMIF(ThresholdAge06,"&lt;"&amp;K204,WeightedMinAge06),MAX(CapacityAge06*'01_Вводные'!$B$218*K204,MeanMinAge06)))</f>
        <v/>
      </c>
      <c r="L114" s="191">
        <f>IF(OR(L86=0,6&lt;='01_Вводные'!$B$297),0,L86*IF('01_Вводные'!$B$239="Да",MeanMinAge06+L204*SUMIF(ThresholdAge06,"&lt;"&amp;L204,WeightedRevAge06)-SUMIF(ThresholdAge06,"&lt;"&amp;L204,WeightedMinAge06),MAX(CapacityAge06*'01_Вводные'!$B$218*L204,MeanMinAge06)))</f>
        <v/>
      </c>
      <c r="M114" s="191">
        <f>IF(OR(M86=0,6&lt;='01_Вводные'!$B$297),0,M86*IF('01_Вводные'!$B$239="Да",MeanMinAge06+M204*SUMIF(ThresholdAge06,"&lt;"&amp;M204,WeightedRevAge06)-SUMIF(ThresholdAge06,"&lt;"&amp;M204,WeightedMinAge06),MAX(CapacityAge06*'01_Вводные'!$B$218*M204,MeanMinAge06)))</f>
        <v/>
      </c>
      <c r="N114" s="191">
        <f>IF(OR(N86=0,6&lt;='01_Вводные'!$B$297),0,N86*IF('01_Вводные'!$B$239="Да",MeanMinAge06+N204*SUMIF(ThresholdAge06,"&lt;"&amp;N204,WeightedRevAge06)-SUMIF(ThresholdAge06,"&lt;"&amp;N204,WeightedMinAge06),MAX(CapacityAge06*'01_Вводные'!$B$218*N204,MeanMinAge06)))</f>
        <v/>
      </c>
      <c r="O114" s="191">
        <f>IF(OR(O86=0,6&lt;='01_Вводные'!$B$297),0,O86*IF('01_Вводные'!$B$239="Да",MeanMinAge06+O204*SUMIF(ThresholdAge06,"&lt;"&amp;O204,WeightedRevAge06)-SUMIF(ThresholdAge06,"&lt;"&amp;O204,WeightedMinAge06),MAX(CapacityAge06*'01_Вводные'!$B$218*O204,MeanMinAge06)))</f>
        <v/>
      </c>
      <c r="P114" s="191">
        <f>IF(OR(P86=0,6&lt;='01_Вводные'!$B$297),0,P86*IF('01_Вводные'!$B$239="Да",MeanMinAge06+P204*SUMIF(ThresholdAge06,"&lt;"&amp;P204,WeightedRevAge06)-SUMIF(ThresholdAge06,"&lt;"&amp;P204,WeightedMinAge06),MAX(CapacityAge06*'01_Вводные'!$B$218*P204,MeanMinAge06)))</f>
        <v/>
      </c>
      <c r="Q114" s="191">
        <f>IF(OR(Q86=0,6&lt;='01_Вводные'!$B$297),0,Q86*IF('01_Вводные'!$B$239="Да",MeanMinAge06+Q204*SUMIF(ThresholdAge06,"&lt;"&amp;Q204,WeightedRevAge06)-SUMIF(ThresholdAge06,"&lt;"&amp;Q204,WeightedMinAge06),MAX(CapacityAge06*'01_Вводные'!$B$218*Q204,MeanMinAge06)))</f>
        <v/>
      </c>
      <c r="R114" s="191">
        <f>IF(OR(R86=0,6&lt;='01_Вводные'!$B$297),0,R86*IF('01_Вводные'!$B$239="Да",MeanMinAge06+R204*SUMIF(ThresholdAge06,"&lt;"&amp;R204,WeightedRevAge06)-SUMIF(ThresholdAge06,"&lt;"&amp;R204,WeightedMinAge06),MAX(CapacityAge06*'01_Вводные'!$B$218*R204,MeanMinAge06)))</f>
        <v/>
      </c>
      <c r="S114" s="191">
        <f>IF(OR(S86=0,6&lt;='01_Вводные'!$B$297),0,S86*IF('01_Вводные'!$B$239="Да",MeanMinAge06+S204*SUMIF(ThresholdAge06,"&lt;"&amp;S204,WeightedRevAge06)-SUMIF(ThresholdAge06,"&lt;"&amp;S204,WeightedMinAge06),MAX(CapacityAge06*'01_Вводные'!$B$218*S204,MeanMinAge06)))</f>
        <v/>
      </c>
      <c r="T114" s="191">
        <f>IF(OR(T86=0,6&lt;='01_Вводные'!$B$297),0,T86*IF('01_Вводные'!$B$239="Да",MeanMinAge06+T204*SUMIF(ThresholdAge06,"&lt;"&amp;T204,WeightedRevAge06)-SUMIF(ThresholdAge06,"&lt;"&amp;T204,WeightedMinAge06),MAX(CapacityAge06*'01_Вводные'!$B$218*T204,MeanMinAge06)))</f>
        <v/>
      </c>
      <c r="U114" s="191">
        <f>IF(OR(U86=0,6&lt;='01_Вводные'!$B$297),0,U86*IF('01_Вводные'!$B$239="Да",MeanMinAge06+U204*SUMIF(ThresholdAge06,"&lt;"&amp;U204,WeightedRevAge06)-SUMIF(ThresholdAge06,"&lt;"&amp;U204,WeightedMinAge06),MAX(CapacityAge06*'01_Вводные'!$B$218*U204,MeanMinAge06)))</f>
        <v/>
      </c>
      <c r="V114" s="191">
        <f>IF(OR(V86=0,6&lt;='01_Вводные'!$B$297),0,V86*IF('01_Вводные'!$B$239="Да",MeanMinAge06+V204*SUMIF(ThresholdAge06,"&lt;"&amp;V204,WeightedRevAge06)-SUMIF(ThresholdAge06,"&lt;"&amp;V204,WeightedMinAge06),MAX(CapacityAge06*'01_Вводные'!$B$218*V204,MeanMinAge06)))</f>
        <v/>
      </c>
      <c r="W114" s="191">
        <f>IF(OR(W86=0,6&lt;='01_Вводные'!$B$297),0,W86*IF('01_Вводные'!$B$239="Да",MeanMinAge06+W204*SUMIF(ThresholdAge06,"&lt;"&amp;W204,WeightedRevAge06)-SUMIF(ThresholdAge06,"&lt;"&amp;W204,WeightedMinAge06),MAX(CapacityAge06*'01_Вводные'!$B$218*W204,MeanMinAge06)))</f>
        <v/>
      </c>
      <c r="X114" s="191">
        <f>IF(OR(X86=0,6&lt;='01_Вводные'!$B$297),0,X86*IF('01_Вводные'!$B$239="Да",MeanMinAge06+X204*SUMIF(ThresholdAge06,"&lt;"&amp;X204,WeightedRevAge06)-SUMIF(ThresholdAge06,"&lt;"&amp;X204,WeightedMinAge06),MAX(CapacityAge06*'01_Вводные'!$B$218*X204,MeanMinAge06)))</f>
        <v/>
      </c>
      <c r="Y114" s="191">
        <f>IF(OR(Y86=0,6&lt;='01_Вводные'!$B$297),0,Y86*IF('01_Вводные'!$B$239="Да",MeanMinAge06+Y204*SUMIF(ThresholdAge06,"&lt;"&amp;Y204,WeightedRevAge06)-SUMIF(ThresholdAge06,"&lt;"&amp;Y204,WeightedMinAge06),MAX(CapacityAge06*'01_Вводные'!$B$218*Y204,MeanMinAge06)))</f>
        <v/>
      </c>
      <c r="Z114" s="191">
        <f>IF(OR(Z86=0,6&lt;='01_Вводные'!$B$297),0,Z86*IF('01_Вводные'!$B$239="Да",MeanMinAge06+Z204*SUMIF(ThresholdAge06,"&lt;"&amp;Z204,WeightedRevAge06)-SUMIF(ThresholdAge06,"&lt;"&amp;Z204,WeightedMinAge06),MAX(CapacityAge06*'01_Вводные'!$B$218*Z204,MeanMinAge06)))</f>
        <v/>
      </c>
      <c r="AA114" s="191">
        <f>IF(OR(AA86=0,6&lt;='01_Вводные'!$B$297),0,AA86*IF('01_Вводные'!$B$239="Да",MeanMinAge06+AA204*SUMIF(ThresholdAge06,"&lt;"&amp;AA204,WeightedRevAge06)-SUMIF(ThresholdAge06,"&lt;"&amp;AA204,WeightedMinAge06),MAX(CapacityAge06*'01_Вводные'!$B$218*AA204,MeanMinAge06)))</f>
        <v/>
      </c>
      <c r="AB114" s="191">
        <f>IF(OR(AB86=0,6&lt;='01_Вводные'!$B$297),0,AB86*IF('01_Вводные'!$B$239="Да",MeanMinAge06+AB204*SUMIF(ThresholdAge06,"&lt;"&amp;AB204,WeightedRevAge06)-SUMIF(ThresholdAge06,"&lt;"&amp;AB204,WeightedMinAge06),MAX(CapacityAge06*'01_Вводные'!$B$218*AB204,MeanMinAge06)))</f>
        <v/>
      </c>
      <c r="AC114" s="191">
        <f>IF(OR(AC86=0,6&lt;='01_Вводные'!$B$297),0,AC86*IF('01_Вводные'!$B$239="Да",MeanMinAge06+AC204*SUMIF(ThresholdAge06,"&lt;"&amp;AC204,WeightedRevAge06)-SUMIF(ThresholdAge06,"&lt;"&amp;AC204,WeightedMinAge06),MAX(CapacityAge06*'01_Вводные'!$B$218*AC204,MeanMinAge06)))</f>
        <v/>
      </c>
      <c r="AD114" s="191">
        <f>IF(OR(AD86=0,6&lt;='01_Вводные'!$B$297),0,AD86*IF('01_Вводные'!$B$239="Да",MeanMinAge06+AD204*SUMIF(ThresholdAge06,"&lt;"&amp;AD204,WeightedRevAge06)-SUMIF(ThresholdAge06,"&lt;"&amp;AD204,WeightedMinAge06),MAX(CapacityAge06*'01_Вводные'!$B$218*AD204,MeanMinAge06)))</f>
        <v/>
      </c>
      <c r="AE114" s="191">
        <f>IF(OR(AE86=0,6&lt;='01_Вводные'!$B$297),0,AE86*IF('01_Вводные'!$B$239="Да",MeanMinAge06+AE204*SUMIF(ThresholdAge06,"&lt;"&amp;AE204,WeightedRevAge06)-SUMIF(ThresholdAge06,"&lt;"&amp;AE204,WeightedMinAge06),MAX(CapacityAge06*'01_Вводные'!$B$218*AE204,MeanMinAge06)))</f>
        <v/>
      </c>
      <c r="AF114" s="191">
        <f>IF(OR(AF86=0,6&lt;='01_Вводные'!$B$297),0,AF86*IF('01_Вводные'!$B$239="Да",MeanMinAge06+AF204*SUMIF(ThresholdAge06,"&lt;"&amp;AF204,WeightedRevAge06)-SUMIF(ThresholdAge06,"&lt;"&amp;AF204,WeightedMinAge06),MAX(CapacityAge06*'01_Вводные'!$B$218*AF204,MeanMinAge06)))</f>
        <v/>
      </c>
      <c r="AG114" s="191">
        <f>IF(OR(AG86=0,6&lt;='01_Вводные'!$B$297),0,AG86*IF('01_Вводные'!$B$239="Да",MeanMinAge06+AG204*SUMIF(ThresholdAge06,"&lt;"&amp;AG204,WeightedRevAge06)-SUMIF(ThresholdAge06,"&lt;"&amp;AG204,WeightedMinAge06),MAX(CapacityAge06*'01_Вводные'!$B$218*AG204,MeanMinAge06)))</f>
        <v/>
      </c>
      <c r="AH114" s="191">
        <f>IF(OR(AH86=0,6&lt;='01_Вводные'!$B$297),0,AH86*IF('01_Вводные'!$B$239="Да",MeanMinAge06+AH204*SUMIF(ThresholdAge06,"&lt;"&amp;AH204,WeightedRevAge06)-SUMIF(ThresholdAge06,"&lt;"&amp;AH204,WeightedMinAge06),MAX(CapacityAge06*'01_Вводные'!$B$218*AH204,MeanMinAge06)))</f>
        <v/>
      </c>
      <c r="AI114" s="191">
        <f>IF(OR(AI86=0,6&lt;='01_Вводные'!$B$297),0,AI86*IF('01_Вводные'!$B$239="Да",MeanMinAge06+AI204*SUMIF(ThresholdAge06,"&lt;"&amp;AI204,WeightedRevAge06)-SUMIF(ThresholdAge06,"&lt;"&amp;AI204,WeightedMinAge06),MAX(CapacityAge06*'01_Вводные'!$B$218*AI204,MeanMinAge06)))</f>
        <v/>
      </c>
      <c r="AJ114" s="191">
        <f>IF(OR(AJ86=0,6&lt;='01_Вводные'!$B$297),0,AJ86*IF('01_Вводные'!$B$239="Да",MeanMinAge06+AJ204*SUMIF(ThresholdAge06,"&lt;"&amp;AJ204,WeightedRevAge06)-SUMIF(ThresholdAge06,"&lt;"&amp;AJ204,WeightedMinAge06),MAX(CapacityAge06*'01_Вводные'!$B$218*AJ204,MeanMinAge06)))</f>
        <v/>
      </c>
      <c r="AK114" s="191">
        <f>IF(OR(AK86=0,6&lt;='01_Вводные'!$B$297),0,AK86*IF('01_Вводные'!$B$239="Да",MeanMinAge06+AK204*SUMIF(ThresholdAge06,"&lt;"&amp;AK204,WeightedRevAge06)-SUMIF(ThresholdAge06,"&lt;"&amp;AK204,WeightedMinAge06),MAX(CapacityAge06*'01_Вводные'!$B$218*AK204,MeanMinAge06)))</f>
        <v/>
      </c>
      <c r="AL114" s="191">
        <f>IF(OR(AL86=0,6&lt;='01_Вводные'!$B$297),0,AL86*IF('01_Вводные'!$B$239="Да",MeanMinAge06+AL204*SUMIF(ThresholdAge06,"&lt;"&amp;AL204,WeightedRevAge06)-SUMIF(ThresholdAge06,"&lt;"&amp;AL204,WeightedMinAge06),MAX(CapacityAge06*'01_Вводные'!$B$218*AL204,MeanMinAge06)))</f>
        <v/>
      </c>
      <c r="AM114" s="191">
        <f>IF(OR(AM86=0,6&lt;='01_Вводные'!$B$297),0,AM86*IF('01_Вводные'!$B$239="Да",MeanMinAge06+AM204*SUMIF(ThresholdAge06,"&lt;"&amp;AM204,WeightedRevAge06)-SUMIF(ThresholdAge06,"&lt;"&amp;AM204,WeightedMinAge06),MAX(CapacityAge06*'01_Вводные'!$B$218*AM204,MeanMinAge06)))</f>
        <v/>
      </c>
      <c r="AN114" s="191">
        <f>IF(OR(AN86=0,6&lt;='01_Вводные'!$B$297),0,AN86*IF('01_Вводные'!$B$239="Да",MeanMinAge06+AN204*SUMIF(ThresholdAge06,"&lt;"&amp;AN204,WeightedRevAge06)-SUMIF(ThresholdAge06,"&lt;"&amp;AN204,WeightedMinAge06),MAX(CapacityAge06*'01_Вводные'!$B$218*AN204,MeanMinAge06)))</f>
        <v/>
      </c>
      <c r="AO114" s="191">
        <f>IF(OR(AO86=0,6&lt;='01_Вводные'!$B$297),0,AO86*IF('01_Вводные'!$B$239="Да",MeanMinAge06+AO204*SUMIF(ThresholdAge06,"&lt;"&amp;AO204,WeightedRevAge06)-SUMIF(ThresholdAge06,"&lt;"&amp;AO204,WeightedMinAge06),MAX(CapacityAge06*'01_Вводные'!$B$218*AO204,MeanMinAge06)))</f>
        <v/>
      </c>
      <c r="AP114" s="191">
        <f>IF(OR(AP86=0,6&lt;='01_Вводные'!$B$297),0,AP86*IF('01_Вводные'!$B$239="Да",MeanMinAge06+AP204*SUMIF(ThresholdAge06,"&lt;"&amp;AP204,WeightedRevAge06)-SUMIF(ThresholdAge06,"&lt;"&amp;AP204,WeightedMinAge06),MAX(CapacityAge06*'01_Вводные'!$B$218*AP204,MeanMinAge06)))</f>
        <v/>
      </c>
      <c r="AQ114" s="191">
        <f>IF(OR(AQ86=0,6&lt;='01_Вводные'!$B$297),0,AQ86*IF('01_Вводные'!$B$239="Да",MeanMinAge06+AQ204*SUMIF(ThresholdAge06,"&lt;"&amp;AQ204,WeightedRevAge06)-SUMIF(ThresholdAge06,"&lt;"&amp;AQ204,WeightedMinAge06),MAX(CapacityAge06*'01_Вводные'!$B$218*AQ204,MeanMinAge06)))</f>
        <v/>
      </c>
      <c r="AR114" s="191">
        <f>IF(OR(AR86=0,6&lt;='01_Вводные'!$B$297),0,AR86*IF('01_Вводные'!$B$239="Да",MeanMinAge06+AR204*SUMIF(ThresholdAge06,"&lt;"&amp;AR204,WeightedRevAge06)-SUMIF(ThresholdAge06,"&lt;"&amp;AR204,WeightedMinAge06),MAX(CapacityAge06*'01_Вводные'!$B$218*AR204,MeanMinAge06)))</f>
        <v/>
      </c>
      <c r="AS114" s="191">
        <f>IF(OR(AS86=0,6&lt;='01_Вводные'!$B$297),0,AS86*IF('01_Вводные'!$B$239="Да",MeanMinAge06+AS204*SUMIF(ThresholdAge06,"&lt;"&amp;AS204,WeightedRevAge06)-SUMIF(ThresholdAge06,"&lt;"&amp;AS204,WeightedMinAge06),MAX(CapacityAge06*'01_Вводные'!$B$218*AS204,MeanMinAge06)))</f>
        <v/>
      </c>
      <c r="AT114" s="191">
        <f>IF(OR(AT86=0,6&lt;='01_Вводные'!$B$297),0,AT86*IF('01_Вводные'!$B$239="Да",MeanMinAge06+AT204*SUMIF(ThresholdAge06,"&lt;"&amp;AT204,WeightedRevAge06)-SUMIF(ThresholdAge06,"&lt;"&amp;AT204,WeightedMinAge06),MAX(CapacityAge06*'01_Вводные'!$B$218*AT204,MeanMinAge06)))</f>
        <v/>
      </c>
      <c r="AU114" s="191">
        <f>IF(OR(AU86=0,6&lt;='01_Вводные'!$B$297),0,AU86*IF('01_Вводные'!$B$239="Да",MeanMinAge06+AU204*SUMIF(ThresholdAge06,"&lt;"&amp;AU204,WeightedRevAge06)-SUMIF(ThresholdAge06,"&lt;"&amp;AU204,WeightedMinAge06),MAX(CapacityAge06*'01_Вводные'!$B$218*AU204,MeanMinAge06)))</f>
        <v/>
      </c>
      <c r="AV114" s="191">
        <f>IF(OR(AV86=0,6&lt;='01_Вводные'!$B$297),0,AV86*IF('01_Вводные'!$B$239="Да",MeanMinAge06+AV204*SUMIF(ThresholdAge06,"&lt;"&amp;AV204,WeightedRevAge06)-SUMIF(ThresholdAge06,"&lt;"&amp;AV204,WeightedMinAge06),MAX(CapacityAge06*'01_Вводные'!$B$218*AV204,MeanMinAge06)))</f>
        <v/>
      </c>
      <c r="AW114" s="191">
        <f>IF(OR(AW86=0,6&lt;='01_Вводные'!$B$297),0,AW86*IF('01_Вводные'!$B$239="Да",MeanMinAge06+AW204*SUMIF(ThresholdAge06,"&lt;"&amp;AW204,WeightedRevAge06)-SUMIF(ThresholdAge06,"&lt;"&amp;AW204,WeightedMinAge06),MAX(CapacityAge06*'01_Вводные'!$B$218*AW204,MeanMinAge06)))</f>
        <v/>
      </c>
      <c r="AX114" s="191">
        <f>IF(OR(AX86=0,6&lt;='01_Вводные'!$B$297),0,AX86*IF('01_Вводные'!$B$239="Да",MeanMinAge06+AX204*SUMIF(ThresholdAge06,"&lt;"&amp;AX204,WeightedRevAge06)-SUMIF(ThresholdAge06,"&lt;"&amp;AX204,WeightedMinAge06),MAX(CapacityAge06*'01_Вводные'!$B$218*AX204,MeanMinAge06)))</f>
        <v/>
      </c>
      <c r="AY114" s="191">
        <f>IF(OR(AY86=0,6&lt;='01_Вводные'!$B$297),0,AY86*IF('01_Вводные'!$B$239="Да",MeanMinAge06+AY204*SUMIF(ThresholdAge06,"&lt;"&amp;AY204,WeightedRevAge06)-SUMIF(ThresholdAge06,"&lt;"&amp;AY204,WeightedMinAge06),MAX(CapacityAge06*'01_Вводные'!$B$218*AY204,MeanMinAge06)))</f>
        <v/>
      </c>
      <c r="AZ114" s="191">
        <f>IF(OR(AZ86=0,6&lt;='01_Вводные'!$B$297),0,AZ86*IF('01_Вводные'!$B$239="Да",MeanMinAge06+AZ204*SUMIF(ThresholdAge06,"&lt;"&amp;AZ204,WeightedRevAge06)-SUMIF(ThresholdAge06,"&lt;"&amp;AZ204,WeightedMinAge06),MAX(CapacityAge06*'01_Вводные'!$B$218*AZ204,MeanMinAge06)))</f>
        <v/>
      </c>
      <c r="BA114" s="191">
        <f>IF(OR(BA86=0,6&lt;='01_Вводные'!$B$297),0,BA86*IF('01_Вводные'!$B$239="Да",MeanMinAge06+BA204*SUMIF(ThresholdAge06,"&lt;"&amp;BA204,WeightedRevAge06)-SUMIF(ThresholdAge06,"&lt;"&amp;BA204,WeightedMinAge06),MAX(CapacityAge06*'01_Вводные'!$B$218*BA204,MeanMinAge06)))</f>
        <v/>
      </c>
      <c r="BB114" s="191">
        <f>IF(OR(BB86=0,6&lt;='01_Вводные'!$B$297),0,BB86*IF('01_Вводные'!$B$239="Да",MeanMinAge06+BB204*SUMIF(ThresholdAge06,"&lt;"&amp;BB204,WeightedRevAge06)-SUMIF(ThresholdAge06,"&lt;"&amp;BB204,WeightedMinAge06),MAX(CapacityAge06*'01_Вводные'!$B$218*BB204,MeanMinAge06)))</f>
        <v/>
      </c>
      <c r="BC114" s="191">
        <f>IF(OR(BC86=0,6&lt;='01_Вводные'!$B$297),0,BC86*IF('01_Вводные'!$B$239="Да",MeanMinAge06+BC204*SUMIF(ThresholdAge06,"&lt;"&amp;BC204,WeightedRevAge06)-SUMIF(ThresholdAge06,"&lt;"&amp;BC204,WeightedMinAge06),MAX(CapacityAge06*'01_Вводные'!$B$218*BC204,MeanMinAge06)))</f>
        <v/>
      </c>
      <c r="BD114" s="191">
        <f>IF(OR(BD86=0,6&lt;='01_Вводные'!$B$297),0,BD86*IF('01_Вводные'!$B$239="Да",MeanMinAge06+BD204*SUMIF(ThresholdAge06,"&lt;"&amp;BD204,WeightedRevAge06)-SUMIF(ThresholdAge06,"&lt;"&amp;BD204,WeightedMinAge06),MAX(CapacityAge06*'01_Вводные'!$B$218*BD204,MeanMinAge06)))</f>
        <v/>
      </c>
      <c r="BE114" s="191">
        <f>IF(OR(BE86=0,6&lt;='01_Вводные'!$B$297),0,BE86*IF('01_Вводные'!$B$239="Да",MeanMinAge06+BE204*SUMIF(ThresholdAge06,"&lt;"&amp;BE204,WeightedRevAge06)-SUMIF(ThresholdAge06,"&lt;"&amp;BE204,WeightedMinAge06),MAX(CapacityAge06*'01_Вводные'!$B$218*BE204,MeanMinAge06)))</f>
        <v/>
      </c>
      <c r="BF114" s="191">
        <f>IF(OR(BF86=0,6&lt;='01_Вводные'!$B$297),0,BF86*IF('01_Вводные'!$B$239="Да",MeanMinAge06+BF204*SUMIF(ThresholdAge06,"&lt;"&amp;BF204,WeightedRevAge06)-SUMIF(ThresholdAge06,"&lt;"&amp;BF204,WeightedMinAge06),MAX(CapacityAge06*'01_Вводные'!$B$218*BF204,MeanMinAge06)))</f>
        <v/>
      </c>
      <c r="BG114" s="191">
        <f>IF(OR(BG86=0,6&lt;='01_Вводные'!$B$297),0,BG86*IF('01_Вводные'!$B$239="Да",MeanMinAge06+BG204*SUMIF(ThresholdAge06,"&lt;"&amp;BG204,WeightedRevAge06)-SUMIF(ThresholdAge06,"&lt;"&amp;BG204,WeightedMinAge06),MAX(CapacityAge06*'01_Вводные'!$B$218*BG204,MeanMinAge06)))</f>
        <v/>
      </c>
      <c r="BH114" s="191">
        <f>IF(OR(BH86=0,6&lt;='01_Вводные'!$B$297),0,BH86*IF('01_Вводные'!$B$239="Да",MeanMinAge06+BH204*SUMIF(ThresholdAge06,"&lt;"&amp;BH204,WeightedRevAge06)-SUMIF(ThresholdAge06,"&lt;"&amp;BH204,WeightedMinAge06),MAX(CapacityAge06*'01_Вводные'!$B$218*BH204,MeanMinAge06)))</f>
        <v/>
      </c>
      <c r="BI114" s="191">
        <f>IF(OR(BI86=0,6&lt;='01_Вводные'!$B$297),0,BI86*IF('01_Вводные'!$B$239="Да",MeanMinAge06+BI204*SUMIF(ThresholdAge06,"&lt;"&amp;BI204,WeightedRevAge06)-SUMIF(ThresholdAge06,"&lt;"&amp;BI204,WeightedMinAge06),MAX(CapacityAge06*'01_Вводные'!$B$218*BI204,MeanMinAge06)))</f>
        <v/>
      </c>
      <c r="BJ114" s="191">
        <f>IF(OR(BJ86=0,6&lt;='01_Вводные'!$B$297),0,BJ86*IF('01_Вводные'!$B$239="Да",MeanMinAge06+BJ204*SUMIF(ThresholdAge06,"&lt;"&amp;BJ204,WeightedRevAge06)-SUMIF(ThresholdAge06,"&lt;"&amp;BJ204,WeightedMinAge06),MAX(CapacityAge06*'01_Вводные'!$B$218*BJ204,MeanMinAge06)))</f>
        <v/>
      </c>
      <c r="BK114" s="191">
        <f>IF(OR(BK86=0,6&lt;='01_Вводные'!$B$297),0,BK86*IF('01_Вводные'!$B$239="Да",MeanMinAge06+BK204*SUMIF(ThresholdAge06,"&lt;"&amp;BK204,WeightedRevAge06)-SUMIF(ThresholdAge06,"&lt;"&amp;BK204,WeightedMinAge06),MAX(CapacityAge06*'01_Вводные'!$B$218*BK204,MeanMinAge06)))</f>
        <v/>
      </c>
      <c r="BL114" s="191">
        <f>IF(OR(BL86=0,6&lt;='01_Вводные'!$B$297),0,BL86*IF('01_Вводные'!$B$239="Да",MeanMinAge06+BL204*SUMIF(ThresholdAge06,"&lt;"&amp;BL204,WeightedRevAge06)-SUMIF(ThresholdAge06,"&lt;"&amp;BL204,WeightedMinAge06),MAX(CapacityAge06*'01_Вводные'!$B$218*BL204,MeanMinAge06)))</f>
        <v/>
      </c>
      <c r="BM114" s="191">
        <f>IF(OR(BM86=0,6&lt;='01_Вводные'!$B$297),0,BM86*IF('01_Вводные'!$B$239="Да",MeanMinAge06+BM204*SUMIF(ThresholdAge06,"&lt;"&amp;BM204,WeightedRevAge06)-SUMIF(ThresholdAge06,"&lt;"&amp;BM204,WeightedMinAge06),MAX(CapacityAge06*'01_Вводные'!$B$218*BM204,MeanMinAge06)))</f>
        <v/>
      </c>
      <c r="BN114" s="191">
        <f>IF(OR(BN86=0,6&lt;='01_Вводные'!$B$297),0,BN86*IF('01_Вводные'!$B$239="Да",MeanMinAge06+BN204*SUMIF(ThresholdAge06,"&lt;"&amp;BN204,WeightedRevAge06)-SUMIF(ThresholdAge06,"&lt;"&amp;BN204,WeightedMinAge06),MAX(CapacityAge06*'01_Вводные'!$B$218*BN204,MeanMinAge06)))</f>
        <v/>
      </c>
      <c r="BO114" s="191">
        <f>IF(OR(BO86=0,6&lt;='01_Вводные'!$B$297),0,BO86*IF('01_Вводные'!$B$239="Да",MeanMinAge06+BO204*SUMIF(ThresholdAge06,"&lt;"&amp;BO204,WeightedRevAge06)-SUMIF(ThresholdAge06,"&lt;"&amp;BO204,WeightedMinAge06),MAX(CapacityAge06*'01_Вводные'!$B$218*BO204,MeanMinAge06)))</f>
        <v/>
      </c>
    </row>
    <row r="115" hidden="1" outlineLevel="1">
      <c r="A115" t="inlineStr">
        <is>
          <t>7 мес.</t>
        </is>
      </c>
      <c r="B115" s="190">
        <f>IF(OR(B87=0,7&lt;='01_Вводные'!$B$297),0,B87*IF('01_Вводные'!$B$239="Да",MeanMinAge07+B204*SUMIF(ThresholdAge07,"&lt;"&amp;B204,WeightedRevAge07)-SUMIF(ThresholdAge07,"&lt;"&amp;B204,WeightedMinAge07),MAX(CapacityAge07*'01_Вводные'!$B$218*B204,MeanMinAge07)))</f>
        <v/>
      </c>
      <c r="C115" s="190">
        <f>IF(OR(C87=0,7&lt;='01_Вводные'!$B$297),0,C87*IF('01_Вводные'!$B$239="Да",MeanMinAge07+C204*SUMIF(ThresholdAge07,"&lt;"&amp;C204,WeightedRevAge07)-SUMIF(ThresholdAge07,"&lt;"&amp;C204,WeightedMinAge07),MAX(CapacityAge07*'01_Вводные'!$B$218*C204,MeanMinAge07)))</f>
        <v/>
      </c>
      <c r="D115" s="190">
        <f>IF(OR(D87=0,7&lt;='01_Вводные'!$B$297),0,D87*IF('01_Вводные'!$B$239="Да",MeanMinAge07+D204*SUMIF(ThresholdAge07,"&lt;"&amp;D204,WeightedRevAge07)-SUMIF(ThresholdAge07,"&lt;"&amp;D204,WeightedMinAge07),MAX(CapacityAge07*'01_Вводные'!$B$218*D204,MeanMinAge07)))</f>
        <v/>
      </c>
      <c r="E115" s="190">
        <f>IF(OR(E87=0,7&lt;='01_Вводные'!$B$297),0,E87*IF('01_Вводные'!$B$239="Да",MeanMinAge07+E204*SUMIF(ThresholdAge07,"&lt;"&amp;E204,WeightedRevAge07)-SUMIF(ThresholdAge07,"&lt;"&amp;E204,WeightedMinAge07),MAX(CapacityAge07*'01_Вводные'!$B$218*E204,MeanMinAge07)))</f>
        <v/>
      </c>
      <c r="F115" s="190">
        <f>IF(OR(F87=0,7&lt;='01_Вводные'!$B$297),0,F87*IF('01_Вводные'!$B$239="Да",MeanMinAge07+F204*SUMIF(ThresholdAge07,"&lt;"&amp;F204,WeightedRevAge07)-SUMIF(ThresholdAge07,"&lt;"&amp;F204,WeightedMinAge07),MAX(CapacityAge07*'01_Вводные'!$B$218*F204,MeanMinAge07)))</f>
        <v/>
      </c>
      <c r="G115" s="190">
        <f>IF(OR(G87=0,7&lt;='01_Вводные'!$B$297),0,G87*IF('01_Вводные'!$B$239="Да",MeanMinAge07+G204*SUMIF(ThresholdAge07,"&lt;"&amp;G204,WeightedRevAge07)-SUMIF(ThresholdAge07,"&lt;"&amp;G204,WeightedMinAge07),MAX(CapacityAge07*'01_Вводные'!$B$218*G204,MeanMinAge07)))</f>
        <v/>
      </c>
      <c r="H115" s="190">
        <f>IF(OR(H87=0,7&lt;='01_Вводные'!$B$297),0,H87*IF('01_Вводные'!$B$239="Да",MeanMinAge07+H204*SUMIF(ThresholdAge07,"&lt;"&amp;H204,WeightedRevAge07)-SUMIF(ThresholdAge07,"&lt;"&amp;H204,WeightedMinAge07),MAX(CapacityAge07*'01_Вводные'!$B$218*H204,MeanMinAge07)))</f>
        <v/>
      </c>
      <c r="I115" s="190">
        <f>IF(OR(I87=0,7&lt;='01_Вводные'!$B$297),0,I87*IF('01_Вводные'!$B$239="Да",MeanMinAge07+I204*SUMIF(ThresholdAge07,"&lt;"&amp;I204,WeightedRevAge07)-SUMIF(ThresholdAge07,"&lt;"&amp;I204,WeightedMinAge07),MAX(CapacityAge07*'01_Вводные'!$B$218*I204,MeanMinAge07)))</f>
        <v/>
      </c>
      <c r="J115" s="190">
        <f>IF(OR(J87=0,7&lt;='01_Вводные'!$B$297),0,J87*IF('01_Вводные'!$B$239="Да",MeanMinAge07+J204*SUMIF(ThresholdAge07,"&lt;"&amp;J204,WeightedRevAge07)-SUMIF(ThresholdAge07,"&lt;"&amp;J204,WeightedMinAge07),MAX(CapacityAge07*'01_Вводные'!$B$218*J204,MeanMinAge07)))</f>
        <v/>
      </c>
      <c r="K115" s="190">
        <f>IF(OR(K87=0,7&lt;='01_Вводные'!$B$297),0,K87*IF('01_Вводные'!$B$239="Да",MeanMinAge07+K204*SUMIF(ThresholdAge07,"&lt;"&amp;K204,WeightedRevAge07)-SUMIF(ThresholdAge07,"&lt;"&amp;K204,WeightedMinAge07),MAX(CapacityAge07*'01_Вводные'!$B$218*K204,MeanMinAge07)))</f>
        <v/>
      </c>
      <c r="L115" s="190">
        <f>IF(OR(L87=0,7&lt;='01_Вводные'!$B$297),0,L87*IF('01_Вводные'!$B$239="Да",MeanMinAge07+L204*SUMIF(ThresholdAge07,"&lt;"&amp;L204,WeightedRevAge07)-SUMIF(ThresholdAge07,"&lt;"&amp;L204,WeightedMinAge07),MAX(CapacityAge07*'01_Вводные'!$B$218*L204,MeanMinAge07)))</f>
        <v/>
      </c>
      <c r="M115" s="190">
        <f>IF(OR(M87=0,7&lt;='01_Вводные'!$B$297),0,M87*IF('01_Вводные'!$B$239="Да",MeanMinAge07+M204*SUMIF(ThresholdAge07,"&lt;"&amp;M204,WeightedRevAge07)-SUMIF(ThresholdAge07,"&lt;"&amp;M204,WeightedMinAge07),MAX(CapacityAge07*'01_Вводные'!$B$218*M204,MeanMinAge07)))</f>
        <v/>
      </c>
      <c r="N115" s="190">
        <f>IF(OR(N87=0,7&lt;='01_Вводные'!$B$297),0,N87*IF('01_Вводные'!$B$239="Да",MeanMinAge07+N204*SUMIF(ThresholdAge07,"&lt;"&amp;N204,WeightedRevAge07)-SUMIF(ThresholdAge07,"&lt;"&amp;N204,WeightedMinAge07),MAX(CapacityAge07*'01_Вводные'!$B$218*N204,MeanMinAge07)))</f>
        <v/>
      </c>
      <c r="O115" s="190">
        <f>IF(OR(O87=0,7&lt;='01_Вводные'!$B$297),0,O87*IF('01_Вводные'!$B$239="Да",MeanMinAge07+O204*SUMIF(ThresholdAge07,"&lt;"&amp;O204,WeightedRevAge07)-SUMIF(ThresholdAge07,"&lt;"&amp;O204,WeightedMinAge07),MAX(CapacityAge07*'01_Вводные'!$B$218*O204,MeanMinAge07)))</f>
        <v/>
      </c>
      <c r="P115" s="190">
        <f>IF(OR(P87=0,7&lt;='01_Вводные'!$B$297),0,P87*IF('01_Вводные'!$B$239="Да",MeanMinAge07+P204*SUMIF(ThresholdAge07,"&lt;"&amp;P204,WeightedRevAge07)-SUMIF(ThresholdAge07,"&lt;"&amp;P204,WeightedMinAge07),MAX(CapacityAge07*'01_Вводные'!$B$218*P204,MeanMinAge07)))</f>
        <v/>
      </c>
      <c r="Q115" s="190">
        <f>IF(OR(Q87=0,7&lt;='01_Вводные'!$B$297),0,Q87*IF('01_Вводные'!$B$239="Да",MeanMinAge07+Q204*SUMIF(ThresholdAge07,"&lt;"&amp;Q204,WeightedRevAge07)-SUMIF(ThresholdAge07,"&lt;"&amp;Q204,WeightedMinAge07),MAX(CapacityAge07*'01_Вводные'!$B$218*Q204,MeanMinAge07)))</f>
        <v/>
      </c>
      <c r="R115" s="190">
        <f>IF(OR(R87=0,7&lt;='01_Вводные'!$B$297),0,R87*IF('01_Вводные'!$B$239="Да",MeanMinAge07+R204*SUMIF(ThresholdAge07,"&lt;"&amp;R204,WeightedRevAge07)-SUMIF(ThresholdAge07,"&lt;"&amp;R204,WeightedMinAge07),MAX(CapacityAge07*'01_Вводные'!$B$218*R204,MeanMinAge07)))</f>
        <v/>
      </c>
      <c r="S115" s="190">
        <f>IF(OR(S87=0,7&lt;='01_Вводные'!$B$297),0,S87*IF('01_Вводные'!$B$239="Да",MeanMinAge07+S204*SUMIF(ThresholdAge07,"&lt;"&amp;S204,WeightedRevAge07)-SUMIF(ThresholdAge07,"&lt;"&amp;S204,WeightedMinAge07),MAX(CapacityAge07*'01_Вводные'!$B$218*S204,MeanMinAge07)))</f>
        <v/>
      </c>
      <c r="T115" s="190">
        <f>IF(OR(T87=0,7&lt;='01_Вводные'!$B$297),0,T87*IF('01_Вводные'!$B$239="Да",MeanMinAge07+T204*SUMIF(ThresholdAge07,"&lt;"&amp;T204,WeightedRevAge07)-SUMIF(ThresholdAge07,"&lt;"&amp;T204,WeightedMinAge07),MAX(CapacityAge07*'01_Вводные'!$B$218*T204,MeanMinAge07)))</f>
        <v/>
      </c>
      <c r="U115" s="190">
        <f>IF(OR(U87=0,7&lt;='01_Вводные'!$B$297),0,U87*IF('01_Вводные'!$B$239="Да",MeanMinAge07+U204*SUMIF(ThresholdAge07,"&lt;"&amp;U204,WeightedRevAge07)-SUMIF(ThresholdAge07,"&lt;"&amp;U204,WeightedMinAge07),MAX(CapacityAge07*'01_Вводные'!$B$218*U204,MeanMinAge07)))</f>
        <v/>
      </c>
      <c r="V115" s="190">
        <f>IF(OR(V87=0,7&lt;='01_Вводные'!$B$297),0,V87*IF('01_Вводные'!$B$239="Да",MeanMinAge07+V204*SUMIF(ThresholdAge07,"&lt;"&amp;V204,WeightedRevAge07)-SUMIF(ThresholdAge07,"&lt;"&amp;V204,WeightedMinAge07),MAX(CapacityAge07*'01_Вводные'!$B$218*V204,MeanMinAge07)))</f>
        <v/>
      </c>
      <c r="W115" s="190">
        <f>IF(OR(W87=0,7&lt;='01_Вводные'!$B$297),0,W87*IF('01_Вводные'!$B$239="Да",MeanMinAge07+W204*SUMIF(ThresholdAge07,"&lt;"&amp;W204,WeightedRevAge07)-SUMIF(ThresholdAge07,"&lt;"&amp;W204,WeightedMinAge07),MAX(CapacityAge07*'01_Вводные'!$B$218*W204,MeanMinAge07)))</f>
        <v/>
      </c>
      <c r="X115" s="190">
        <f>IF(OR(X87=0,7&lt;='01_Вводные'!$B$297),0,X87*IF('01_Вводные'!$B$239="Да",MeanMinAge07+X204*SUMIF(ThresholdAge07,"&lt;"&amp;X204,WeightedRevAge07)-SUMIF(ThresholdAge07,"&lt;"&amp;X204,WeightedMinAge07),MAX(CapacityAge07*'01_Вводные'!$B$218*X204,MeanMinAge07)))</f>
        <v/>
      </c>
      <c r="Y115" s="190">
        <f>IF(OR(Y87=0,7&lt;='01_Вводные'!$B$297),0,Y87*IF('01_Вводные'!$B$239="Да",MeanMinAge07+Y204*SUMIF(ThresholdAge07,"&lt;"&amp;Y204,WeightedRevAge07)-SUMIF(ThresholdAge07,"&lt;"&amp;Y204,WeightedMinAge07),MAX(CapacityAge07*'01_Вводные'!$B$218*Y204,MeanMinAge07)))</f>
        <v/>
      </c>
      <c r="Z115" s="190">
        <f>IF(OR(Z87=0,7&lt;='01_Вводные'!$B$297),0,Z87*IF('01_Вводные'!$B$239="Да",MeanMinAge07+Z204*SUMIF(ThresholdAge07,"&lt;"&amp;Z204,WeightedRevAge07)-SUMIF(ThresholdAge07,"&lt;"&amp;Z204,WeightedMinAge07),MAX(CapacityAge07*'01_Вводные'!$B$218*Z204,MeanMinAge07)))</f>
        <v/>
      </c>
      <c r="AA115" s="190">
        <f>IF(OR(AA87=0,7&lt;='01_Вводные'!$B$297),0,AA87*IF('01_Вводные'!$B$239="Да",MeanMinAge07+AA204*SUMIF(ThresholdAge07,"&lt;"&amp;AA204,WeightedRevAge07)-SUMIF(ThresholdAge07,"&lt;"&amp;AA204,WeightedMinAge07),MAX(CapacityAge07*'01_Вводные'!$B$218*AA204,MeanMinAge07)))</f>
        <v/>
      </c>
      <c r="AB115" s="190">
        <f>IF(OR(AB87=0,7&lt;='01_Вводные'!$B$297),0,AB87*IF('01_Вводные'!$B$239="Да",MeanMinAge07+AB204*SUMIF(ThresholdAge07,"&lt;"&amp;AB204,WeightedRevAge07)-SUMIF(ThresholdAge07,"&lt;"&amp;AB204,WeightedMinAge07),MAX(CapacityAge07*'01_Вводные'!$B$218*AB204,MeanMinAge07)))</f>
        <v/>
      </c>
      <c r="AC115" s="190">
        <f>IF(OR(AC87=0,7&lt;='01_Вводные'!$B$297),0,AC87*IF('01_Вводные'!$B$239="Да",MeanMinAge07+AC204*SUMIF(ThresholdAge07,"&lt;"&amp;AC204,WeightedRevAge07)-SUMIF(ThresholdAge07,"&lt;"&amp;AC204,WeightedMinAge07),MAX(CapacityAge07*'01_Вводные'!$B$218*AC204,MeanMinAge07)))</f>
        <v/>
      </c>
      <c r="AD115" s="190">
        <f>IF(OR(AD87=0,7&lt;='01_Вводные'!$B$297),0,AD87*IF('01_Вводные'!$B$239="Да",MeanMinAge07+AD204*SUMIF(ThresholdAge07,"&lt;"&amp;AD204,WeightedRevAge07)-SUMIF(ThresholdAge07,"&lt;"&amp;AD204,WeightedMinAge07),MAX(CapacityAge07*'01_Вводные'!$B$218*AD204,MeanMinAge07)))</f>
        <v/>
      </c>
      <c r="AE115" s="190">
        <f>IF(OR(AE87=0,7&lt;='01_Вводные'!$B$297),0,AE87*IF('01_Вводные'!$B$239="Да",MeanMinAge07+AE204*SUMIF(ThresholdAge07,"&lt;"&amp;AE204,WeightedRevAge07)-SUMIF(ThresholdAge07,"&lt;"&amp;AE204,WeightedMinAge07),MAX(CapacityAge07*'01_Вводные'!$B$218*AE204,MeanMinAge07)))</f>
        <v/>
      </c>
      <c r="AF115" s="190">
        <f>IF(OR(AF87=0,7&lt;='01_Вводные'!$B$297),0,AF87*IF('01_Вводные'!$B$239="Да",MeanMinAge07+AF204*SUMIF(ThresholdAge07,"&lt;"&amp;AF204,WeightedRevAge07)-SUMIF(ThresholdAge07,"&lt;"&amp;AF204,WeightedMinAge07),MAX(CapacityAge07*'01_Вводные'!$B$218*AF204,MeanMinAge07)))</f>
        <v/>
      </c>
      <c r="AG115" s="190">
        <f>IF(OR(AG87=0,7&lt;='01_Вводные'!$B$297),0,AG87*IF('01_Вводные'!$B$239="Да",MeanMinAge07+AG204*SUMIF(ThresholdAge07,"&lt;"&amp;AG204,WeightedRevAge07)-SUMIF(ThresholdAge07,"&lt;"&amp;AG204,WeightedMinAge07),MAX(CapacityAge07*'01_Вводные'!$B$218*AG204,MeanMinAge07)))</f>
        <v/>
      </c>
      <c r="AH115" s="190">
        <f>IF(OR(AH87=0,7&lt;='01_Вводные'!$B$297),0,AH87*IF('01_Вводные'!$B$239="Да",MeanMinAge07+AH204*SUMIF(ThresholdAge07,"&lt;"&amp;AH204,WeightedRevAge07)-SUMIF(ThresholdAge07,"&lt;"&amp;AH204,WeightedMinAge07),MAX(CapacityAge07*'01_Вводные'!$B$218*AH204,MeanMinAge07)))</f>
        <v/>
      </c>
      <c r="AI115" s="190">
        <f>IF(OR(AI87=0,7&lt;='01_Вводные'!$B$297),0,AI87*IF('01_Вводные'!$B$239="Да",MeanMinAge07+AI204*SUMIF(ThresholdAge07,"&lt;"&amp;AI204,WeightedRevAge07)-SUMIF(ThresholdAge07,"&lt;"&amp;AI204,WeightedMinAge07),MAX(CapacityAge07*'01_Вводные'!$B$218*AI204,MeanMinAge07)))</f>
        <v/>
      </c>
      <c r="AJ115" s="190">
        <f>IF(OR(AJ87=0,7&lt;='01_Вводные'!$B$297),0,AJ87*IF('01_Вводные'!$B$239="Да",MeanMinAge07+AJ204*SUMIF(ThresholdAge07,"&lt;"&amp;AJ204,WeightedRevAge07)-SUMIF(ThresholdAge07,"&lt;"&amp;AJ204,WeightedMinAge07),MAX(CapacityAge07*'01_Вводные'!$B$218*AJ204,MeanMinAge07)))</f>
        <v/>
      </c>
      <c r="AK115" s="190">
        <f>IF(OR(AK87=0,7&lt;='01_Вводные'!$B$297),0,AK87*IF('01_Вводные'!$B$239="Да",MeanMinAge07+AK204*SUMIF(ThresholdAge07,"&lt;"&amp;AK204,WeightedRevAge07)-SUMIF(ThresholdAge07,"&lt;"&amp;AK204,WeightedMinAge07),MAX(CapacityAge07*'01_Вводные'!$B$218*AK204,MeanMinAge07)))</f>
        <v/>
      </c>
      <c r="AL115" s="190">
        <f>IF(OR(AL87=0,7&lt;='01_Вводные'!$B$297),0,AL87*IF('01_Вводные'!$B$239="Да",MeanMinAge07+AL204*SUMIF(ThresholdAge07,"&lt;"&amp;AL204,WeightedRevAge07)-SUMIF(ThresholdAge07,"&lt;"&amp;AL204,WeightedMinAge07),MAX(CapacityAge07*'01_Вводные'!$B$218*AL204,MeanMinAge07)))</f>
        <v/>
      </c>
      <c r="AM115" s="190">
        <f>IF(OR(AM87=0,7&lt;='01_Вводные'!$B$297),0,AM87*IF('01_Вводные'!$B$239="Да",MeanMinAge07+AM204*SUMIF(ThresholdAge07,"&lt;"&amp;AM204,WeightedRevAge07)-SUMIF(ThresholdAge07,"&lt;"&amp;AM204,WeightedMinAge07),MAX(CapacityAge07*'01_Вводные'!$B$218*AM204,MeanMinAge07)))</f>
        <v/>
      </c>
      <c r="AN115" s="190">
        <f>IF(OR(AN87=0,7&lt;='01_Вводные'!$B$297),0,AN87*IF('01_Вводные'!$B$239="Да",MeanMinAge07+AN204*SUMIF(ThresholdAge07,"&lt;"&amp;AN204,WeightedRevAge07)-SUMIF(ThresholdAge07,"&lt;"&amp;AN204,WeightedMinAge07),MAX(CapacityAge07*'01_Вводные'!$B$218*AN204,MeanMinAge07)))</f>
        <v/>
      </c>
      <c r="AO115" s="190">
        <f>IF(OR(AO87=0,7&lt;='01_Вводные'!$B$297),0,AO87*IF('01_Вводные'!$B$239="Да",MeanMinAge07+AO204*SUMIF(ThresholdAge07,"&lt;"&amp;AO204,WeightedRevAge07)-SUMIF(ThresholdAge07,"&lt;"&amp;AO204,WeightedMinAge07),MAX(CapacityAge07*'01_Вводные'!$B$218*AO204,MeanMinAge07)))</f>
        <v/>
      </c>
      <c r="AP115" s="190">
        <f>IF(OR(AP87=0,7&lt;='01_Вводные'!$B$297),0,AP87*IF('01_Вводные'!$B$239="Да",MeanMinAge07+AP204*SUMIF(ThresholdAge07,"&lt;"&amp;AP204,WeightedRevAge07)-SUMIF(ThresholdAge07,"&lt;"&amp;AP204,WeightedMinAge07),MAX(CapacityAge07*'01_Вводные'!$B$218*AP204,MeanMinAge07)))</f>
        <v/>
      </c>
      <c r="AQ115" s="190">
        <f>IF(OR(AQ87=0,7&lt;='01_Вводные'!$B$297),0,AQ87*IF('01_Вводные'!$B$239="Да",MeanMinAge07+AQ204*SUMIF(ThresholdAge07,"&lt;"&amp;AQ204,WeightedRevAge07)-SUMIF(ThresholdAge07,"&lt;"&amp;AQ204,WeightedMinAge07),MAX(CapacityAge07*'01_Вводные'!$B$218*AQ204,MeanMinAge07)))</f>
        <v/>
      </c>
      <c r="AR115" s="190">
        <f>IF(OR(AR87=0,7&lt;='01_Вводные'!$B$297),0,AR87*IF('01_Вводные'!$B$239="Да",MeanMinAge07+AR204*SUMIF(ThresholdAge07,"&lt;"&amp;AR204,WeightedRevAge07)-SUMIF(ThresholdAge07,"&lt;"&amp;AR204,WeightedMinAge07),MAX(CapacityAge07*'01_Вводные'!$B$218*AR204,MeanMinAge07)))</f>
        <v/>
      </c>
      <c r="AS115" s="190">
        <f>IF(OR(AS87=0,7&lt;='01_Вводные'!$B$297),0,AS87*IF('01_Вводные'!$B$239="Да",MeanMinAge07+AS204*SUMIF(ThresholdAge07,"&lt;"&amp;AS204,WeightedRevAge07)-SUMIF(ThresholdAge07,"&lt;"&amp;AS204,WeightedMinAge07),MAX(CapacityAge07*'01_Вводные'!$B$218*AS204,MeanMinAge07)))</f>
        <v/>
      </c>
      <c r="AT115" s="190">
        <f>IF(OR(AT87=0,7&lt;='01_Вводные'!$B$297),0,AT87*IF('01_Вводные'!$B$239="Да",MeanMinAge07+AT204*SUMIF(ThresholdAge07,"&lt;"&amp;AT204,WeightedRevAge07)-SUMIF(ThresholdAge07,"&lt;"&amp;AT204,WeightedMinAge07),MAX(CapacityAge07*'01_Вводные'!$B$218*AT204,MeanMinAge07)))</f>
        <v/>
      </c>
      <c r="AU115" s="190">
        <f>IF(OR(AU87=0,7&lt;='01_Вводные'!$B$297),0,AU87*IF('01_Вводные'!$B$239="Да",MeanMinAge07+AU204*SUMIF(ThresholdAge07,"&lt;"&amp;AU204,WeightedRevAge07)-SUMIF(ThresholdAge07,"&lt;"&amp;AU204,WeightedMinAge07),MAX(CapacityAge07*'01_Вводные'!$B$218*AU204,MeanMinAge07)))</f>
        <v/>
      </c>
      <c r="AV115" s="190">
        <f>IF(OR(AV87=0,7&lt;='01_Вводные'!$B$297),0,AV87*IF('01_Вводные'!$B$239="Да",MeanMinAge07+AV204*SUMIF(ThresholdAge07,"&lt;"&amp;AV204,WeightedRevAge07)-SUMIF(ThresholdAge07,"&lt;"&amp;AV204,WeightedMinAge07),MAX(CapacityAge07*'01_Вводные'!$B$218*AV204,MeanMinAge07)))</f>
        <v/>
      </c>
      <c r="AW115" s="190">
        <f>IF(OR(AW87=0,7&lt;='01_Вводные'!$B$297),0,AW87*IF('01_Вводные'!$B$239="Да",MeanMinAge07+AW204*SUMIF(ThresholdAge07,"&lt;"&amp;AW204,WeightedRevAge07)-SUMIF(ThresholdAge07,"&lt;"&amp;AW204,WeightedMinAge07),MAX(CapacityAge07*'01_Вводные'!$B$218*AW204,MeanMinAge07)))</f>
        <v/>
      </c>
      <c r="AX115" s="190">
        <f>IF(OR(AX87=0,7&lt;='01_Вводные'!$B$297),0,AX87*IF('01_Вводные'!$B$239="Да",MeanMinAge07+AX204*SUMIF(ThresholdAge07,"&lt;"&amp;AX204,WeightedRevAge07)-SUMIF(ThresholdAge07,"&lt;"&amp;AX204,WeightedMinAge07),MAX(CapacityAge07*'01_Вводные'!$B$218*AX204,MeanMinAge07)))</f>
        <v/>
      </c>
      <c r="AY115" s="190">
        <f>IF(OR(AY87=0,7&lt;='01_Вводные'!$B$297),0,AY87*IF('01_Вводные'!$B$239="Да",MeanMinAge07+AY204*SUMIF(ThresholdAge07,"&lt;"&amp;AY204,WeightedRevAge07)-SUMIF(ThresholdAge07,"&lt;"&amp;AY204,WeightedMinAge07),MAX(CapacityAge07*'01_Вводные'!$B$218*AY204,MeanMinAge07)))</f>
        <v/>
      </c>
      <c r="AZ115" s="190">
        <f>IF(OR(AZ87=0,7&lt;='01_Вводные'!$B$297),0,AZ87*IF('01_Вводные'!$B$239="Да",MeanMinAge07+AZ204*SUMIF(ThresholdAge07,"&lt;"&amp;AZ204,WeightedRevAge07)-SUMIF(ThresholdAge07,"&lt;"&amp;AZ204,WeightedMinAge07),MAX(CapacityAge07*'01_Вводные'!$B$218*AZ204,MeanMinAge07)))</f>
        <v/>
      </c>
      <c r="BA115" s="190">
        <f>IF(OR(BA87=0,7&lt;='01_Вводные'!$B$297),0,BA87*IF('01_Вводные'!$B$239="Да",MeanMinAge07+BA204*SUMIF(ThresholdAge07,"&lt;"&amp;BA204,WeightedRevAge07)-SUMIF(ThresholdAge07,"&lt;"&amp;BA204,WeightedMinAge07),MAX(CapacityAge07*'01_Вводные'!$B$218*BA204,MeanMinAge07)))</f>
        <v/>
      </c>
      <c r="BB115" s="190">
        <f>IF(OR(BB87=0,7&lt;='01_Вводные'!$B$297),0,BB87*IF('01_Вводные'!$B$239="Да",MeanMinAge07+BB204*SUMIF(ThresholdAge07,"&lt;"&amp;BB204,WeightedRevAge07)-SUMIF(ThresholdAge07,"&lt;"&amp;BB204,WeightedMinAge07),MAX(CapacityAge07*'01_Вводные'!$B$218*BB204,MeanMinAge07)))</f>
        <v/>
      </c>
      <c r="BC115" s="190">
        <f>IF(OR(BC87=0,7&lt;='01_Вводные'!$B$297),0,BC87*IF('01_Вводные'!$B$239="Да",MeanMinAge07+BC204*SUMIF(ThresholdAge07,"&lt;"&amp;BC204,WeightedRevAge07)-SUMIF(ThresholdAge07,"&lt;"&amp;BC204,WeightedMinAge07),MAX(CapacityAge07*'01_Вводные'!$B$218*BC204,MeanMinAge07)))</f>
        <v/>
      </c>
      <c r="BD115" s="190">
        <f>IF(OR(BD87=0,7&lt;='01_Вводные'!$B$297),0,BD87*IF('01_Вводные'!$B$239="Да",MeanMinAge07+BD204*SUMIF(ThresholdAge07,"&lt;"&amp;BD204,WeightedRevAge07)-SUMIF(ThresholdAge07,"&lt;"&amp;BD204,WeightedMinAge07),MAX(CapacityAge07*'01_Вводные'!$B$218*BD204,MeanMinAge07)))</f>
        <v/>
      </c>
      <c r="BE115" s="190">
        <f>IF(OR(BE87=0,7&lt;='01_Вводные'!$B$297),0,BE87*IF('01_Вводные'!$B$239="Да",MeanMinAge07+BE204*SUMIF(ThresholdAge07,"&lt;"&amp;BE204,WeightedRevAge07)-SUMIF(ThresholdAge07,"&lt;"&amp;BE204,WeightedMinAge07),MAX(CapacityAge07*'01_Вводные'!$B$218*BE204,MeanMinAge07)))</f>
        <v/>
      </c>
      <c r="BF115" s="190">
        <f>IF(OR(BF87=0,7&lt;='01_Вводные'!$B$297),0,BF87*IF('01_Вводные'!$B$239="Да",MeanMinAge07+BF204*SUMIF(ThresholdAge07,"&lt;"&amp;BF204,WeightedRevAge07)-SUMIF(ThresholdAge07,"&lt;"&amp;BF204,WeightedMinAge07),MAX(CapacityAge07*'01_Вводные'!$B$218*BF204,MeanMinAge07)))</f>
        <v/>
      </c>
      <c r="BG115" s="190">
        <f>IF(OR(BG87=0,7&lt;='01_Вводные'!$B$297),0,BG87*IF('01_Вводные'!$B$239="Да",MeanMinAge07+BG204*SUMIF(ThresholdAge07,"&lt;"&amp;BG204,WeightedRevAge07)-SUMIF(ThresholdAge07,"&lt;"&amp;BG204,WeightedMinAge07),MAX(CapacityAge07*'01_Вводные'!$B$218*BG204,MeanMinAge07)))</f>
        <v/>
      </c>
      <c r="BH115" s="190">
        <f>IF(OR(BH87=0,7&lt;='01_Вводные'!$B$297),0,BH87*IF('01_Вводные'!$B$239="Да",MeanMinAge07+BH204*SUMIF(ThresholdAge07,"&lt;"&amp;BH204,WeightedRevAge07)-SUMIF(ThresholdAge07,"&lt;"&amp;BH204,WeightedMinAge07),MAX(CapacityAge07*'01_Вводные'!$B$218*BH204,MeanMinAge07)))</f>
        <v/>
      </c>
      <c r="BI115" s="190">
        <f>IF(OR(BI87=0,7&lt;='01_Вводные'!$B$297),0,BI87*IF('01_Вводные'!$B$239="Да",MeanMinAge07+BI204*SUMIF(ThresholdAge07,"&lt;"&amp;BI204,WeightedRevAge07)-SUMIF(ThresholdAge07,"&lt;"&amp;BI204,WeightedMinAge07),MAX(CapacityAge07*'01_Вводные'!$B$218*BI204,MeanMinAge07)))</f>
        <v/>
      </c>
      <c r="BJ115" s="190">
        <f>IF(OR(BJ87=0,7&lt;='01_Вводные'!$B$297),0,BJ87*IF('01_Вводные'!$B$239="Да",MeanMinAge07+BJ204*SUMIF(ThresholdAge07,"&lt;"&amp;BJ204,WeightedRevAge07)-SUMIF(ThresholdAge07,"&lt;"&amp;BJ204,WeightedMinAge07),MAX(CapacityAge07*'01_Вводные'!$B$218*BJ204,MeanMinAge07)))</f>
        <v/>
      </c>
      <c r="BK115" s="190">
        <f>IF(OR(BK87=0,7&lt;='01_Вводные'!$B$297),0,BK87*IF('01_Вводные'!$B$239="Да",MeanMinAge07+BK204*SUMIF(ThresholdAge07,"&lt;"&amp;BK204,WeightedRevAge07)-SUMIF(ThresholdAge07,"&lt;"&amp;BK204,WeightedMinAge07),MAX(CapacityAge07*'01_Вводные'!$B$218*BK204,MeanMinAge07)))</f>
        <v/>
      </c>
      <c r="BL115" s="190">
        <f>IF(OR(BL87=0,7&lt;='01_Вводные'!$B$297),0,BL87*IF('01_Вводные'!$B$239="Да",MeanMinAge07+BL204*SUMIF(ThresholdAge07,"&lt;"&amp;BL204,WeightedRevAge07)-SUMIF(ThresholdAge07,"&lt;"&amp;BL204,WeightedMinAge07),MAX(CapacityAge07*'01_Вводные'!$B$218*BL204,MeanMinAge07)))</f>
        <v/>
      </c>
      <c r="BM115" s="190">
        <f>IF(OR(BM87=0,7&lt;='01_Вводные'!$B$297),0,BM87*IF('01_Вводные'!$B$239="Да",MeanMinAge07+BM204*SUMIF(ThresholdAge07,"&lt;"&amp;BM204,WeightedRevAge07)-SUMIF(ThresholdAge07,"&lt;"&amp;BM204,WeightedMinAge07),MAX(CapacityAge07*'01_Вводные'!$B$218*BM204,MeanMinAge07)))</f>
        <v/>
      </c>
      <c r="BN115" s="190">
        <f>IF(OR(BN87=0,7&lt;='01_Вводные'!$B$297),0,BN87*IF('01_Вводные'!$B$239="Да",MeanMinAge07+BN204*SUMIF(ThresholdAge07,"&lt;"&amp;BN204,WeightedRevAge07)-SUMIF(ThresholdAge07,"&lt;"&amp;BN204,WeightedMinAge07),MAX(CapacityAge07*'01_Вводные'!$B$218*BN204,MeanMinAge07)))</f>
        <v/>
      </c>
      <c r="BO115" s="190">
        <f>IF(OR(BO87=0,7&lt;='01_Вводные'!$B$297),0,BO87*IF('01_Вводные'!$B$239="Да",MeanMinAge07+BO204*SUMIF(ThresholdAge07,"&lt;"&amp;BO204,WeightedRevAge07)-SUMIF(ThresholdAge07,"&lt;"&amp;BO204,WeightedMinAge07),MAX(CapacityAge07*'01_Вводные'!$B$218*BO204,MeanMinAge07)))</f>
        <v/>
      </c>
    </row>
    <row r="116" hidden="1" outlineLevel="1">
      <c r="A116" t="inlineStr">
        <is>
          <t>8 мес.</t>
        </is>
      </c>
      <c r="B116" s="190">
        <f>IF(OR(B88=0,8&lt;='01_Вводные'!$B$297),0,B88*IF('01_Вводные'!$B$239="Да",MeanMinAge08+B204*SUMIF(ThresholdAge08,"&lt;"&amp;B204,WeightedRevAge08)-SUMIF(ThresholdAge08,"&lt;"&amp;B204,WeightedMinAge08),MAX(CapacityAge08*'01_Вводные'!$B$218*B204,MeanMinAge08)))</f>
        <v/>
      </c>
      <c r="C116" s="190">
        <f>IF(OR(C88=0,8&lt;='01_Вводные'!$B$297),0,C88*IF('01_Вводные'!$B$239="Да",MeanMinAge08+C204*SUMIF(ThresholdAge08,"&lt;"&amp;C204,WeightedRevAge08)-SUMIF(ThresholdAge08,"&lt;"&amp;C204,WeightedMinAge08),MAX(CapacityAge08*'01_Вводные'!$B$218*C204,MeanMinAge08)))</f>
        <v/>
      </c>
      <c r="D116" s="190">
        <f>IF(OR(D88=0,8&lt;='01_Вводные'!$B$297),0,D88*IF('01_Вводные'!$B$239="Да",MeanMinAge08+D204*SUMIF(ThresholdAge08,"&lt;"&amp;D204,WeightedRevAge08)-SUMIF(ThresholdAge08,"&lt;"&amp;D204,WeightedMinAge08),MAX(CapacityAge08*'01_Вводные'!$B$218*D204,MeanMinAge08)))</f>
        <v/>
      </c>
      <c r="E116" s="190">
        <f>IF(OR(E88=0,8&lt;='01_Вводные'!$B$297),0,E88*IF('01_Вводные'!$B$239="Да",MeanMinAge08+E204*SUMIF(ThresholdAge08,"&lt;"&amp;E204,WeightedRevAge08)-SUMIF(ThresholdAge08,"&lt;"&amp;E204,WeightedMinAge08),MAX(CapacityAge08*'01_Вводные'!$B$218*E204,MeanMinAge08)))</f>
        <v/>
      </c>
      <c r="F116" s="190">
        <f>IF(OR(F88=0,8&lt;='01_Вводные'!$B$297),0,F88*IF('01_Вводные'!$B$239="Да",MeanMinAge08+F204*SUMIF(ThresholdAge08,"&lt;"&amp;F204,WeightedRevAge08)-SUMIF(ThresholdAge08,"&lt;"&amp;F204,WeightedMinAge08),MAX(CapacityAge08*'01_Вводные'!$B$218*F204,MeanMinAge08)))</f>
        <v/>
      </c>
      <c r="G116" s="190">
        <f>IF(OR(G88=0,8&lt;='01_Вводные'!$B$297),0,G88*IF('01_Вводные'!$B$239="Да",MeanMinAge08+G204*SUMIF(ThresholdAge08,"&lt;"&amp;G204,WeightedRevAge08)-SUMIF(ThresholdAge08,"&lt;"&amp;G204,WeightedMinAge08),MAX(CapacityAge08*'01_Вводные'!$B$218*G204,MeanMinAge08)))</f>
        <v/>
      </c>
      <c r="H116" s="190">
        <f>IF(OR(H88=0,8&lt;='01_Вводные'!$B$297),0,H88*IF('01_Вводные'!$B$239="Да",MeanMinAge08+H204*SUMIF(ThresholdAge08,"&lt;"&amp;H204,WeightedRevAge08)-SUMIF(ThresholdAge08,"&lt;"&amp;H204,WeightedMinAge08),MAX(CapacityAge08*'01_Вводные'!$B$218*H204,MeanMinAge08)))</f>
        <v/>
      </c>
      <c r="I116" s="190">
        <f>IF(OR(I88=0,8&lt;='01_Вводные'!$B$297),0,I88*IF('01_Вводные'!$B$239="Да",MeanMinAge08+I204*SUMIF(ThresholdAge08,"&lt;"&amp;I204,WeightedRevAge08)-SUMIF(ThresholdAge08,"&lt;"&amp;I204,WeightedMinAge08),MAX(CapacityAge08*'01_Вводные'!$B$218*I204,MeanMinAge08)))</f>
        <v/>
      </c>
      <c r="J116" s="190">
        <f>IF(OR(J88=0,8&lt;='01_Вводные'!$B$297),0,J88*IF('01_Вводные'!$B$239="Да",MeanMinAge08+J204*SUMIF(ThresholdAge08,"&lt;"&amp;J204,WeightedRevAge08)-SUMIF(ThresholdAge08,"&lt;"&amp;J204,WeightedMinAge08),MAX(CapacityAge08*'01_Вводные'!$B$218*J204,MeanMinAge08)))</f>
        <v/>
      </c>
      <c r="K116" s="190">
        <f>IF(OR(K88=0,8&lt;='01_Вводные'!$B$297),0,K88*IF('01_Вводные'!$B$239="Да",MeanMinAge08+K204*SUMIF(ThresholdAge08,"&lt;"&amp;K204,WeightedRevAge08)-SUMIF(ThresholdAge08,"&lt;"&amp;K204,WeightedMinAge08),MAX(CapacityAge08*'01_Вводные'!$B$218*K204,MeanMinAge08)))</f>
        <v/>
      </c>
      <c r="L116" s="190">
        <f>IF(OR(L88=0,8&lt;='01_Вводные'!$B$297),0,L88*IF('01_Вводные'!$B$239="Да",MeanMinAge08+L204*SUMIF(ThresholdAge08,"&lt;"&amp;L204,WeightedRevAge08)-SUMIF(ThresholdAge08,"&lt;"&amp;L204,WeightedMinAge08),MAX(CapacityAge08*'01_Вводные'!$B$218*L204,MeanMinAge08)))</f>
        <v/>
      </c>
      <c r="M116" s="190">
        <f>IF(OR(M88=0,8&lt;='01_Вводные'!$B$297),0,M88*IF('01_Вводные'!$B$239="Да",MeanMinAge08+M204*SUMIF(ThresholdAge08,"&lt;"&amp;M204,WeightedRevAge08)-SUMIF(ThresholdAge08,"&lt;"&amp;M204,WeightedMinAge08),MAX(CapacityAge08*'01_Вводные'!$B$218*M204,MeanMinAge08)))</f>
        <v/>
      </c>
      <c r="N116" s="190">
        <f>IF(OR(N88=0,8&lt;='01_Вводные'!$B$297),0,N88*IF('01_Вводные'!$B$239="Да",MeanMinAge08+N204*SUMIF(ThresholdAge08,"&lt;"&amp;N204,WeightedRevAge08)-SUMIF(ThresholdAge08,"&lt;"&amp;N204,WeightedMinAge08),MAX(CapacityAge08*'01_Вводные'!$B$218*N204,MeanMinAge08)))</f>
        <v/>
      </c>
      <c r="O116" s="190">
        <f>IF(OR(O88=0,8&lt;='01_Вводные'!$B$297),0,O88*IF('01_Вводные'!$B$239="Да",MeanMinAge08+O204*SUMIF(ThresholdAge08,"&lt;"&amp;O204,WeightedRevAge08)-SUMIF(ThresholdAge08,"&lt;"&amp;O204,WeightedMinAge08),MAX(CapacityAge08*'01_Вводные'!$B$218*O204,MeanMinAge08)))</f>
        <v/>
      </c>
      <c r="P116" s="190">
        <f>IF(OR(P88=0,8&lt;='01_Вводные'!$B$297),0,P88*IF('01_Вводные'!$B$239="Да",MeanMinAge08+P204*SUMIF(ThresholdAge08,"&lt;"&amp;P204,WeightedRevAge08)-SUMIF(ThresholdAge08,"&lt;"&amp;P204,WeightedMinAge08),MAX(CapacityAge08*'01_Вводные'!$B$218*P204,MeanMinAge08)))</f>
        <v/>
      </c>
      <c r="Q116" s="190">
        <f>IF(OR(Q88=0,8&lt;='01_Вводные'!$B$297),0,Q88*IF('01_Вводные'!$B$239="Да",MeanMinAge08+Q204*SUMIF(ThresholdAge08,"&lt;"&amp;Q204,WeightedRevAge08)-SUMIF(ThresholdAge08,"&lt;"&amp;Q204,WeightedMinAge08),MAX(CapacityAge08*'01_Вводные'!$B$218*Q204,MeanMinAge08)))</f>
        <v/>
      </c>
      <c r="R116" s="190">
        <f>IF(OR(R88=0,8&lt;='01_Вводные'!$B$297),0,R88*IF('01_Вводные'!$B$239="Да",MeanMinAge08+R204*SUMIF(ThresholdAge08,"&lt;"&amp;R204,WeightedRevAge08)-SUMIF(ThresholdAge08,"&lt;"&amp;R204,WeightedMinAge08),MAX(CapacityAge08*'01_Вводные'!$B$218*R204,MeanMinAge08)))</f>
        <v/>
      </c>
      <c r="S116" s="190">
        <f>IF(OR(S88=0,8&lt;='01_Вводные'!$B$297),0,S88*IF('01_Вводные'!$B$239="Да",MeanMinAge08+S204*SUMIF(ThresholdAge08,"&lt;"&amp;S204,WeightedRevAge08)-SUMIF(ThresholdAge08,"&lt;"&amp;S204,WeightedMinAge08),MAX(CapacityAge08*'01_Вводные'!$B$218*S204,MeanMinAge08)))</f>
        <v/>
      </c>
      <c r="T116" s="190">
        <f>IF(OR(T88=0,8&lt;='01_Вводные'!$B$297),0,T88*IF('01_Вводные'!$B$239="Да",MeanMinAge08+T204*SUMIF(ThresholdAge08,"&lt;"&amp;T204,WeightedRevAge08)-SUMIF(ThresholdAge08,"&lt;"&amp;T204,WeightedMinAge08),MAX(CapacityAge08*'01_Вводные'!$B$218*T204,MeanMinAge08)))</f>
        <v/>
      </c>
      <c r="U116" s="190">
        <f>IF(OR(U88=0,8&lt;='01_Вводные'!$B$297),0,U88*IF('01_Вводные'!$B$239="Да",MeanMinAge08+U204*SUMIF(ThresholdAge08,"&lt;"&amp;U204,WeightedRevAge08)-SUMIF(ThresholdAge08,"&lt;"&amp;U204,WeightedMinAge08),MAX(CapacityAge08*'01_Вводные'!$B$218*U204,MeanMinAge08)))</f>
        <v/>
      </c>
      <c r="V116" s="190">
        <f>IF(OR(V88=0,8&lt;='01_Вводные'!$B$297),0,V88*IF('01_Вводные'!$B$239="Да",MeanMinAge08+V204*SUMIF(ThresholdAge08,"&lt;"&amp;V204,WeightedRevAge08)-SUMIF(ThresholdAge08,"&lt;"&amp;V204,WeightedMinAge08),MAX(CapacityAge08*'01_Вводные'!$B$218*V204,MeanMinAge08)))</f>
        <v/>
      </c>
      <c r="W116" s="190">
        <f>IF(OR(W88=0,8&lt;='01_Вводные'!$B$297),0,W88*IF('01_Вводные'!$B$239="Да",MeanMinAge08+W204*SUMIF(ThresholdAge08,"&lt;"&amp;W204,WeightedRevAge08)-SUMIF(ThresholdAge08,"&lt;"&amp;W204,WeightedMinAge08),MAX(CapacityAge08*'01_Вводные'!$B$218*W204,MeanMinAge08)))</f>
        <v/>
      </c>
      <c r="X116" s="190">
        <f>IF(OR(X88=0,8&lt;='01_Вводные'!$B$297),0,X88*IF('01_Вводные'!$B$239="Да",MeanMinAge08+X204*SUMIF(ThresholdAge08,"&lt;"&amp;X204,WeightedRevAge08)-SUMIF(ThresholdAge08,"&lt;"&amp;X204,WeightedMinAge08),MAX(CapacityAge08*'01_Вводные'!$B$218*X204,MeanMinAge08)))</f>
        <v/>
      </c>
      <c r="Y116" s="190">
        <f>IF(OR(Y88=0,8&lt;='01_Вводные'!$B$297),0,Y88*IF('01_Вводные'!$B$239="Да",MeanMinAge08+Y204*SUMIF(ThresholdAge08,"&lt;"&amp;Y204,WeightedRevAge08)-SUMIF(ThresholdAge08,"&lt;"&amp;Y204,WeightedMinAge08),MAX(CapacityAge08*'01_Вводные'!$B$218*Y204,MeanMinAge08)))</f>
        <v/>
      </c>
      <c r="Z116" s="190">
        <f>IF(OR(Z88=0,8&lt;='01_Вводные'!$B$297),0,Z88*IF('01_Вводные'!$B$239="Да",MeanMinAge08+Z204*SUMIF(ThresholdAge08,"&lt;"&amp;Z204,WeightedRevAge08)-SUMIF(ThresholdAge08,"&lt;"&amp;Z204,WeightedMinAge08),MAX(CapacityAge08*'01_Вводные'!$B$218*Z204,MeanMinAge08)))</f>
        <v/>
      </c>
      <c r="AA116" s="190">
        <f>IF(OR(AA88=0,8&lt;='01_Вводные'!$B$297),0,AA88*IF('01_Вводные'!$B$239="Да",MeanMinAge08+AA204*SUMIF(ThresholdAge08,"&lt;"&amp;AA204,WeightedRevAge08)-SUMIF(ThresholdAge08,"&lt;"&amp;AA204,WeightedMinAge08),MAX(CapacityAge08*'01_Вводные'!$B$218*AA204,MeanMinAge08)))</f>
        <v/>
      </c>
      <c r="AB116" s="190">
        <f>IF(OR(AB88=0,8&lt;='01_Вводные'!$B$297),0,AB88*IF('01_Вводные'!$B$239="Да",MeanMinAge08+AB204*SUMIF(ThresholdAge08,"&lt;"&amp;AB204,WeightedRevAge08)-SUMIF(ThresholdAge08,"&lt;"&amp;AB204,WeightedMinAge08),MAX(CapacityAge08*'01_Вводные'!$B$218*AB204,MeanMinAge08)))</f>
        <v/>
      </c>
      <c r="AC116" s="190">
        <f>IF(OR(AC88=0,8&lt;='01_Вводные'!$B$297),0,AC88*IF('01_Вводные'!$B$239="Да",MeanMinAge08+AC204*SUMIF(ThresholdAge08,"&lt;"&amp;AC204,WeightedRevAge08)-SUMIF(ThresholdAge08,"&lt;"&amp;AC204,WeightedMinAge08),MAX(CapacityAge08*'01_Вводные'!$B$218*AC204,MeanMinAge08)))</f>
        <v/>
      </c>
      <c r="AD116" s="190">
        <f>IF(OR(AD88=0,8&lt;='01_Вводные'!$B$297),0,AD88*IF('01_Вводные'!$B$239="Да",MeanMinAge08+AD204*SUMIF(ThresholdAge08,"&lt;"&amp;AD204,WeightedRevAge08)-SUMIF(ThresholdAge08,"&lt;"&amp;AD204,WeightedMinAge08),MAX(CapacityAge08*'01_Вводные'!$B$218*AD204,MeanMinAge08)))</f>
        <v/>
      </c>
      <c r="AE116" s="190">
        <f>IF(OR(AE88=0,8&lt;='01_Вводные'!$B$297),0,AE88*IF('01_Вводные'!$B$239="Да",MeanMinAge08+AE204*SUMIF(ThresholdAge08,"&lt;"&amp;AE204,WeightedRevAge08)-SUMIF(ThresholdAge08,"&lt;"&amp;AE204,WeightedMinAge08),MAX(CapacityAge08*'01_Вводные'!$B$218*AE204,MeanMinAge08)))</f>
        <v/>
      </c>
      <c r="AF116" s="190">
        <f>IF(OR(AF88=0,8&lt;='01_Вводные'!$B$297),0,AF88*IF('01_Вводные'!$B$239="Да",MeanMinAge08+AF204*SUMIF(ThresholdAge08,"&lt;"&amp;AF204,WeightedRevAge08)-SUMIF(ThresholdAge08,"&lt;"&amp;AF204,WeightedMinAge08),MAX(CapacityAge08*'01_Вводные'!$B$218*AF204,MeanMinAge08)))</f>
        <v/>
      </c>
      <c r="AG116" s="190">
        <f>IF(OR(AG88=0,8&lt;='01_Вводные'!$B$297),0,AG88*IF('01_Вводные'!$B$239="Да",MeanMinAge08+AG204*SUMIF(ThresholdAge08,"&lt;"&amp;AG204,WeightedRevAge08)-SUMIF(ThresholdAge08,"&lt;"&amp;AG204,WeightedMinAge08),MAX(CapacityAge08*'01_Вводные'!$B$218*AG204,MeanMinAge08)))</f>
        <v/>
      </c>
      <c r="AH116" s="190">
        <f>IF(OR(AH88=0,8&lt;='01_Вводные'!$B$297),0,AH88*IF('01_Вводные'!$B$239="Да",MeanMinAge08+AH204*SUMIF(ThresholdAge08,"&lt;"&amp;AH204,WeightedRevAge08)-SUMIF(ThresholdAge08,"&lt;"&amp;AH204,WeightedMinAge08),MAX(CapacityAge08*'01_Вводные'!$B$218*AH204,MeanMinAge08)))</f>
        <v/>
      </c>
      <c r="AI116" s="190">
        <f>IF(OR(AI88=0,8&lt;='01_Вводные'!$B$297),0,AI88*IF('01_Вводные'!$B$239="Да",MeanMinAge08+AI204*SUMIF(ThresholdAge08,"&lt;"&amp;AI204,WeightedRevAge08)-SUMIF(ThresholdAge08,"&lt;"&amp;AI204,WeightedMinAge08),MAX(CapacityAge08*'01_Вводные'!$B$218*AI204,MeanMinAge08)))</f>
        <v/>
      </c>
      <c r="AJ116" s="190">
        <f>IF(OR(AJ88=0,8&lt;='01_Вводные'!$B$297),0,AJ88*IF('01_Вводные'!$B$239="Да",MeanMinAge08+AJ204*SUMIF(ThresholdAge08,"&lt;"&amp;AJ204,WeightedRevAge08)-SUMIF(ThresholdAge08,"&lt;"&amp;AJ204,WeightedMinAge08),MAX(CapacityAge08*'01_Вводные'!$B$218*AJ204,MeanMinAge08)))</f>
        <v/>
      </c>
      <c r="AK116" s="190">
        <f>IF(OR(AK88=0,8&lt;='01_Вводные'!$B$297),0,AK88*IF('01_Вводные'!$B$239="Да",MeanMinAge08+AK204*SUMIF(ThresholdAge08,"&lt;"&amp;AK204,WeightedRevAge08)-SUMIF(ThresholdAge08,"&lt;"&amp;AK204,WeightedMinAge08),MAX(CapacityAge08*'01_Вводные'!$B$218*AK204,MeanMinAge08)))</f>
        <v/>
      </c>
      <c r="AL116" s="190">
        <f>IF(OR(AL88=0,8&lt;='01_Вводные'!$B$297),0,AL88*IF('01_Вводные'!$B$239="Да",MeanMinAge08+AL204*SUMIF(ThresholdAge08,"&lt;"&amp;AL204,WeightedRevAge08)-SUMIF(ThresholdAge08,"&lt;"&amp;AL204,WeightedMinAge08),MAX(CapacityAge08*'01_Вводные'!$B$218*AL204,MeanMinAge08)))</f>
        <v/>
      </c>
      <c r="AM116" s="190">
        <f>IF(OR(AM88=0,8&lt;='01_Вводные'!$B$297),0,AM88*IF('01_Вводные'!$B$239="Да",MeanMinAge08+AM204*SUMIF(ThresholdAge08,"&lt;"&amp;AM204,WeightedRevAge08)-SUMIF(ThresholdAge08,"&lt;"&amp;AM204,WeightedMinAge08),MAX(CapacityAge08*'01_Вводные'!$B$218*AM204,MeanMinAge08)))</f>
        <v/>
      </c>
      <c r="AN116" s="190">
        <f>IF(OR(AN88=0,8&lt;='01_Вводные'!$B$297),0,AN88*IF('01_Вводные'!$B$239="Да",MeanMinAge08+AN204*SUMIF(ThresholdAge08,"&lt;"&amp;AN204,WeightedRevAge08)-SUMIF(ThresholdAge08,"&lt;"&amp;AN204,WeightedMinAge08),MAX(CapacityAge08*'01_Вводные'!$B$218*AN204,MeanMinAge08)))</f>
        <v/>
      </c>
      <c r="AO116" s="190">
        <f>IF(OR(AO88=0,8&lt;='01_Вводные'!$B$297),0,AO88*IF('01_Вводные'!$B$239="Да",MeanMinAge08+AO204*SUMIF(ThresholdAge08,"&lt;"&amp;AO204,WeightedRevAge08)-SUMIF(ThresholdAge08,"&lt;"&amp;AO204,WeightedMinAge08),MAX(CapacityAge08*'01_Вводные'!$B$218*AO204,MeanMinAge08)))</f>
        <v/>
      </c>
      <c r="AP116" s="190">
        <f>IF(OR(AP88=0,8&lt;='01_Вводные'!$B$297),0,AP88*IF('01_Вводные'!$B$239="Да",MeanMinAge08+AP204*SUMIF(ThresholdAge08,"&lt;"&amp;AP204,WeightedRevAge08)-SUMIF(ThresholdAge08,"&lt;"&amp;AP204,WeightedMinAge08),MAX(CapacityAge08*'01_Вводные'!$B$218*AP204,MeanMinAge08)))</f>
        <v/>
      </c>
      <c r="AQ116" s="190">
        <f>IF(OR(AQ88=0,8&lt;='01_Вводные'!$B$297),0,AQ88*IF('01_Вводные'!$B$239="Да",MeanMinAge08+AQ204*SUMIF(ThresholdAge08,"&lt;"&amp;AQ204,WeightedRevAge08)-SUMIF(ThresholdAge08,"&lt;"&amp;AQ204,WeightedMinAge08),MAX(CapacityAge08*'01_Вводные'!$B$218*AQ204,MeanMinAge08)))</f>
        <v/>
      </c>
      <c r="AR116" s="190">
        <f>IF(OR(AR88=0,8&lt;='01_Вводные'!$B$297),0,AR88*IF('01_Вводные'!$B$239="Да",MeanMinAge08+AR204*SUMIF(ThresholdAge08,"&lt;"&amp;AR204,WeightedRevAge08)-SUMIF(ThresholdAge08,"&lt;"&amp;AR204,WeightedMinAge08),MAX(CapacityAge08*'01_Вводные'!$B$218*AR204,MeanMinAge08)))</f>
        <v/>
      </c>
      <c r="AS116" s="190">
        <f>IF(OR(AS88=0,8&lt;='01_Вводные'!$B$297),0,AS88*IF('01_Вводные'!$B$239="Да",MeanMinAge08+AS204*SUMIF(ThresholdAge08,"&lt;"&amp;AS204,WeightedRevAge08)-SUMIF(ThresholdAge08,"&lt;"&amp;AS204,WeightedMinAge08),MAX(CapacityAge08*'01_Вводные'!$B$218*AS204,MeanMinAge08)))</f>
        <v/>
      </c>
      <c r="AT116" s="190">
        <f>IF(OR(AT88=0,8&lt;='01_Вводные'!$B$297),0,AT88*IF('01_Вводные'!$B$239="Да",MeanMinAge08+AT204*SUMIF(ThresholdAge08,"&lt;"&amp;AT204,WeightedRevAge08)-SUMIF(ThresholdAge08,"&lt;"&amp;AT204,WeightedMinAge08),MAX(CapacityAge08*'01_Вводные'!$B$218*AT204,MeanMinAge08)))</f>
        <v/>
      </c>
      <c r="AU116" s="190">
        <f>IF(OR(AU88=0,8&lt;='01_Вводные'!$B$297),0,AU88*IF('01_Вводные'!$B$239="Да",MeanMinAge08+AU204*SUMIF(ThresholdAge08,"&lt;"&amp;AU204,WeightedRevAge08)-SUMIF(ThresholdAge08,"&lt;"&amp;AU204,WeightedMinAge08),MAX(CapacityAge08*'01_Вводные'!$B$218*AU204,MeanMinAge08)))</f>
        <v/>
      </c>
      <c r="AV116" s="190">
        <f>IF(OR(AV88=0,8&lt;='01_Вводные'!$B$297),0,AV88*IF('01_Вводные'!$B$239="Да",MeanMinAge08+AV204*SUMIF(ThresholdAge08,"&lt;"&amp;AV204,WeightedRevAge08)-SUMIF(ThresholdAge08,"&lt;"&amp;AV204,WeightedMinAge08),MAX(CapacityAge08*'01_Вводные'!$B$218*AV204,MeanMinAge08)))</f>
        <v/>
      </c>
      <c r="AW116" s="190">
        <f>IF(OR(AW88=0,8&lt;='01_Вводные'!$B$297),0,AW88*IF('01_Вводные'!$B$239="Да",MeanMinAge08+AW204*SUMIF(ThresholdAge08,"&lt;"&amp;AW204,WeightedRevAge08)-SUMIF(ThresholdAge08,"&lt;"&amp;AW204,WeightedMinAge08),MAX(CapacityAge08*'01_Вводные'!$B$218*AW204,MeanMinAge08)))</f>
        <v/>
      </c>
      <c r="AX116" s="190">
        <f>IF(OR(AX88=0,8&lt;='01_Вводные'!$B$297),0,AX88*IF('01_Вводные'!$B$239="Да",MeanMinAge08+AX204*SUMIF(ThresholdAge08,"&lt;"&amp;AX204,WeightedRevAge08)-SUMIF(ThresholdAge08,"&lt;"&amp;AX204,WeightedMinAge08),MAX(CapacityAge08*'01_Вводные'!$B$218*AX204,MeanMinAge08)))</f>
        <v/>
      </c>
      <c r="AY116" s="190">
        <f>IF(OR(AY88=0,8&lt;='01_Вводные'!$B$297),0,AY88*IF('01_Вводные'!$B$239="Да",MeanMinAge08+AY204*SUMIF(ThresholdAge08,"&lt;"&amp;AY204,WeightedRevAge08)-SUMIF(ThresholdAge08,"&lt;"&amp;AY204,WeightedMinAge08),MAX(CapacityAge08*'01_Вводные'!$B$218*AY204,MeanMinAge08)))</f>
        <v/>
      </c>
      <c r="AZ116" s="190">
        <f>IF(OR(AZ88=0,8&lt;='01_Вводные'!$B$297),0,AZ88*IF('01_Вводные'!$B$239="Да",MeanMinAge08+AZ204*SUMIF(ThresholdAge08,"&lt;"&amp;AZ204,WeightedRevAge08)-SUMIF(ThresholdAge08,"&lt;"&amp;AZ204,WeightedMinAge08),MAX(CapacityAge08*'01_Вводные'!$B$218*AZ204,MeanMinAge08)))</f>
        <v/>
      </c>
      <c r="BA116" s="190">
        <f>IF(OR(BA88=0,8&lt;='01_Вводные'!$B$297),0,BA88*IF('01_Вводные'!$B$239="Да",MeanMinAge08+BA204*SUMIF(ThresholdAge08,"&lt;"&amp;BA204,WeightedRevAge08)-SUMIF(ThresholdAge08,"&lt;"&amp;BA204,WeightedMinAge08),MAX(CapacityAge08*'01_Вводные'!$B$218*BA204,MeanMinAge08)))</f>
        <v/>
      </c>
      <c r="BB116" s="190">
        <f>IF(OR(BB88=0,8&lt;='01_Вводные'!$B$297),0,BB88*IF('01_Вводные'!$B$239="Да",MeanMinAge08+BB204*SUMIF(ThresholdAge08,"&lt;"&amp;BB204,WeightedRevAge08)-SUMIF(ThresholdAge08,"&lt;"&amp;BB204,WeightedMinAge08),MAX(CapacityAge08*'01_Вводные'!$B$218*BB204,MeanMinAge08)))</f>
        <v/>
      </c>
      <c r="BC116" s="190">
        <f>IF(OR(BC88=0,8&lt;='01_Вводные'!$B$297),0,BC88*IF('01_Вводные'!$B$239="Да",MeanMinAge08+BC204*SUMIF(ThresholdAge08,"&lt;"&amp;BC204,WeightedRevAge08)-SUMIF(ThresholdAge08,"&lt;"&amp;BC204,WeightedMinAge08),MAX(CapacityAge08*'01_Вводные'!$B$218*BC204,MeanMinAge08)))</f>
        <v/>
      </c>
      <c r="BD116" s="190">
        <f>IF(OR(BD88=0,8&lt;='01_Вводные'!$B$297),0,BD88*IF('01_Вводные'!$B$239="Да",MeanMinAge08+BD204*SUMIF(ThresholdAge08,"&lt;"&amp;BD204,WeightedRevAge08)-SUMIF(ThresholdAge08,"&lt;"&amp;BD204,WeightedMinAge08),MAX(CapacityAge08*'01_Вводные'!$B$218*BD204,MeanMinAge08)))</f>
        <v/>
      </c>
      <c r="BE116" s="190">
        <f>IF(OR(BE88=0,8&lt;='01_Вводные'!$B$297),0,BE88*IF('01_Вводные'!$B$239="Да",MeanMinAge08+BE204*SUMIF(ThresholdAge08,"&lt;"&amp;BE204,WeightedRevAge08)-SUMIF(ThresholdAge08,"&lt;"&amp;BE204,WeightedMinAge08),MAX(CapacityAge08*'01_Вводные'!$B$218*BE204,MeanMinAge08)))</f>
        <v/>
      </c>
      <c r="BF116" s="190">
        <f>IF(OR(BF88=0,8&lt;='01_Вводные'!$B$297),0,BF88*IF('01_Вводные'!$B$239="Да",MeanMinAge08+BF204*SUMIF(ThresholdAge08,"&lt;"&amp;BF204,WeightedRevAge08)-SUMIF(ThresholdAge08,"&lt;"&amp;BF204,WeightedMinAge08),MAX(CapacityAge08*'01_Вводные'!$B$218*BF204,MeanMinAge08)))</f>
        <v/>
      </c>
      <c r="BG116" s="190">
        <f>IF(OR(BG88=0,8&lt;='01_Вводные'!$B$297),0,BG88*IF('01_Вводные'!$B$239="Да",MeanMinAge08+BG204*SUMIF(ThresholdAge08,"&lt;"&amp;BG204,WeightedRevAge08)-SUMIF(ThresholdAge08,"&lt;"&amp;BG204,WeightedMinAge08),MAX(CapacityAge08*'01_Вводные'!$B$218*BG204,MeanMinAge08)))</f>
        <v/>
      </c>
      <c r="BH116" s="190">
        <f>IF(OR(BH88=0,8&lt;='01_Вводные'!$B$297),0,BH88*IF('01_Вводные'!$B$239="Да",MeanMinAge08+BH204*SUMIF(ThresholdAge08,"&lt;"&amp;BH204,WeightedRevAge08)-SUMIF(ThresholdAge08,"&lt;"&amp;BH204,WeightedMinAge08),MAX(CapacityAge08*'01_Вводные'!$B$218*BH204,MeanMinAge08)))</f>
        <v/>
      </c>
      <c r="BI116" s="190">
        <f>IF(OR(BI88=0,8&lt;='01_Вводные'!$B$297),0,BI88*IF('01_Вводные'!$B$239="Да",MeanMinAge08+BI204*SUMIF(ThresholdAge08,"&lt;"&amp;BI204,WeightedRevAge08)-SUMIF(ThresholdAge08,"&lt;"&amp;BI204,WeightedMinAge08),MAX(CapacityAge08*'01_Вводные'!$B$218*BI204,MeanMinAge08)))</f>
        <v/>
      </c>
      <c r="BJ116" s="190">
        <f>IF(OR(BJ88=0,8&lt;='01_Вводные'!$B$297),0,BJ88*IF('01_Вводные'!$B$239="Да",MeanMinAge08+BJ204*SUMIF(ThresholdAge08,"&lt;"&amp;BJ204,WeightedRevAge08)-SUMIF(ThresholdAge08,"&lt;"&amp;BJ204,WeightedMinAge08),MAX(CapacityAge08*'01_Вводные'!$B$218*BJ204,MeanMinAge08)))</f>
        <v/>
      </c>
      <c r="BK116" s="190">
        <f>IF(OR(BK88=0,8&lt;='01_Вводные'!$B$297),0,BK88*IF('01_Вводные'!$B$239="Да",MeanMinAge08+BK204*SUMIF(ThresholdAge08,"&lt;"&amp;BK204,WeightedRevAge08)-SUMIF(ThresholdAge08,"&lt;"&amp;BK204,WeightedMinAge08),MAX(CapacityAge08*'01_Вводные'!$B$218*BK204,MeanMinAge08)))</f>
        <v/>
      </c>
      <c r="BL116" s="190">
        <f>IF(OR(BL88=0,8&lt;='01_Вводные'!$B$297),0,BL88*IF('01_Вводные'!$B$239="Да",MeanMinAge08+BL204*SUMIF(ThresholdAge08,"&lt;"&amp;BL204,WeightedRevAge08)-SUMIF(ThresholdAge08,"&lt;"&amp;BL204,WeightedMinAge08),MAX(CapacityAge08*'01_Вводные'!$B$218*BL204,MeanMinAge08)))</f>
        <v/>
      </c>
      <c r="BM116" s="190">
        <f>IF(OR(BM88=0,8&lt;='01_Вводные'!$B$297),0,BM88*IF('01_Вводные'!$B$239="Да",MeanMinAge08+BM204*SUMIF(ThresholdAge08,"&lt;"&amp;BM204,WeightedRevAge08)-SUMIF(ThresholdAge08,"&lt;"&amp;BM204,WeightedMinAge08),MAX(CapacityAge08*'01_Вводные'!$B$218*BM204,MeanMinAge08)))</f>
        <v/>
      </c>
      <c r="BN116" s="190">
        <f>IF(OR(BN88=0,8&lt;='01_Вводные'!$B$297),0,BN88*IF('01_Вводные'!$B$239="Да",MeanMinAge08+BN204*SUMIF(ThresholdAge08,"&lt;"&amp;BN204,WeightedRevAge08)-SUMIF(ThresholdAge08,"&lt;"&amp;BN204,WeightedMinAge08),MAX(CapacityAge08*'01_Вводные'!$B$218*BN204,MeanMinAge08)))</f>
        <v/>
      </c>
      <c r="BO116" s="190">
        <f>IF(OR(BO88=0,8&lt;='01_Вводные'!$B$297),0,BO88*IF('01_Вводные'!$B$239="Да",MeanMinAge08+BO204*SUMIF(ThresholdAge08,"&lt;"&amp;BO204,WeightedRevAge08)-SUMIF(ThresholdAge08,"&lt;"&amp;BO204,WeightedMinAge08),MAX(CapacityAge08*'01_Вводные'!$B$218*BO204,MeanMinAge08)))</f>
        <v/>
      </c>
    </row>
    <row r="117" hidden="1" outlineLevel="1">
      <c r="A117" t="inlineStr">
        <is>
          <t>9 мес.</t>
        </is>
      </c>
      <c r="B117" s="190">
        <f>IF(OR(B89=0,9&lt;='01_Вводные'!$B$297),0,B89*IF('01_Вводные'!$B$239="Да",MeanMinAge09+B204*SUMIF(ThresholdAge09,"&lt;"&amp;B204,WeightedRevAge09)-SUMIF(ThresholdAge09,"&lt;"&amp;B204,WeightedMinAge09),MAX(CapacityAge09*'01_Вводные'!$B$218*B204,MeanMinAge09)))</f>
        <v/>
      </c>
      <c r="C117" s="190">
        <f>IF(OR(C89=0,9&lt;='01_Вводные'!$B$297),0,C89*IF('01_Вводные'!$B$239="Да",MeanMinAge09+C204*SUMIF(ThresholdAge09,"&lt;"&amp;C204,WeightedRevAge09)-SUMIF(ThresholdAge09,"&lt;"&amp;C204,WeightedMinAge09),MAX(CapacityAge09*'01_Вводные'!$B$218*C204,MeanMinAge09)))</f>
        <v/>
      </c>
      <c r="D117" s="190">
        <f>IF(OR(D89=0,9&lt;='01_Вводные'!$B$297),0,D89*IF('01_Вводные'!$B$239="Да",MeanMinAge09+D204*SUMIF(ThresholdAge09,"&lt;"&amp;D204,WeightedRevAge09)-SUMIF(ThresholdAge09,"&lt;"&amp;D204,WeightedMinAge09),MAX(CapacityAge09*'01_Вводные'!$B$218*D204,MeanMinAge09)))</f>
        <v/>
      </c>
      <c r="E117" s="190">
        <f>IF(OR(E89=0,9&lt;='01_Вводные'!$B$297),0,E89*IF('01_Вводные'!$B$239="Да",MeanMinAge09+E204*SUMIF(ThresholdAge09,"&lt;"&amp;E204,WeightedRevAge09)-SUMIF(ThresholdAge09,"&lt;"&amp;E204,WeightedMinAge09),MAX(CapacityAge09*'01_Вводные'!$B$218*E204,MeanMinAge09)))</f>
        <v/>
      </c>
      <c r="F117" s="190">
        <f>IF(OR(F89=0,9&lt;='01_Вводные'!$B$297),0,F89*IF('01_Вводные'!$B$239="Да",MeanMinAge09+F204*SUMIF(ThresholdAge09,"&lt;"&amp;F204,WeightedRevAge09)-SUMIF(ThresholdAge09,"&lt;"&amp;F204,WeightedMinAge09),MAX(CapacityAge09*'01_Вводные'!$B$218*F204,MeanMinAge09)))</f>
        <v/>
      </c>
      <c r="G117" s="190">
        <f>IF(OR(G89=0,9&lt;='01_Вводные'!$B$297),0,G89*IF('01_Вводные'!$B$239="Да",MeanMinAge09+G204*SUMIF(ThresholdAge09,"&lt;"&amp;G204,WeightedRevAge09)-SUMIF(ThresholdAge09,"&lt;"&amp;G204,WeightedMinAge09),MAX(CapacityAge09*'01_Вводные'!$B$218*G204,MeanMinAge09)))</f>
        <v/>
      </c>
      <c r="H117" s="190">
        <f>IF(OR(H89=0,9&lt;='01_Вводные'!$B$297),0,H89*IF('01_Вводные'!$B$239="Да",MeanMinAge09+H204*SUMIF(ThresholdAge09,"&lt;"&amp;H204,WeightedRevAge09)-SUMIF(ThresholdAge09,"&lt;"&amp;H204,WeightedMinAge09),MAX(CapacityAge09*'01_Вводные'!$B$218*H204,MeanMinAge09)))</f>
        <v/>
      </c>
      <c r="I117" s="190">
        <f>IF(OR(I89=0,9&lt;='01_Вводные'!$B$297),0,I89*IF('01_Вводные'!$B$239="Да",MeanMinAge09+I204*SUMIF(ThresholdAge09,"&lt;"&amp;I204,WeightedRevAge09)-SUMIF(ThresholdAge09,"&lt;"&amp;I204,WeightedMinAge09),MAX(CapacityAge09*'01_Вводные'!$B$218*I204,MeanMinAge09)))</f>
        <v/>
      </c>
      <c r="J117" s="190">
        <f>IF(OR(J89=0,9&lt;='01_Вводные'!$B$297),0,J89*IF('01_Вводные'!$B$239="Да",MeanMinAge09+J204*SUMIF(ThresholdAge09,"&lt;"&amp;J204,WeightedRevAge09)-SUMIF(ThresholdAge09,"&lt;"&amp;J204,WeightedMinAge09),MAX(CapacityAge09*'01_Вводные'!$B$218*J204,MeanMinAge09)))</f>
        <v/>
      </c>
      <c r="K117" s="190">
        <f>IF(OR(K89=0,9&lt;='01_Вводные'!$B$297),0,K89*IF('01_Вводные'!$B$239="Да",MeanMinAge09+K204*SUMIF(ThresholdAge09,"&lt;"&amp;K204,WeightedRevAge09)-SUMIF(ThresholdAge09,"&lt;"&amp;K204,WeightedMinAge09),MAX(CapacityAge09*'01_Вводные'!$B$218*K204,MeanMinAge09)))</f>
        <v/>
      </c>
      <c r="L117" s="190">
        <f>IF(OR(L89=0,9&lt;='01_Вводные'!$B$297),0,L89*IF('01_Вводные'!$B$239="Да",MeanMinAge09+L204*SUMIF(ThresholdAge09,"&lt;"&amp;L204,WeightedRevAge09)-SUMIF(ThresholdAge09,"&lt;"&amp;L204,WeightedMinAge09),MAX(CapacityAge09*'01_Вводные'!$B$218*L204,MeanMinAge09)))</f>
        <v/>
      </c>
      <c r="M117" s="190">
        <f>IF(OR(M89=0,9&lt;='01_Вводные'!$B$297),0,M89*IF('01_Вводные'!$B$239="Да",MeanMinAge09+M204*SUMIF(ThresholdAge09,"&lt;"&amp;M204,WeightedRevAge09)-SUMIF(ThresholdAge09,"&lt;"&amp;M204,WeightedMinAge09),MAX(CapacityAge09*'01_Вводные'!$B$218*M204,MeanMinAge09)))</f>
        <v/>
      </c>
      <c r="N117" s="190">
        <f>IF(OR(N89=0,9&lt;='01_Вводные'!$B$297),0,N89*IF('01_Вводные'!$B$239="Да",MeanMinAge09+N204*SUMIF(ThresholdAge09,"&lt;"&amp;N204,WeightedRevAge09)-SUMIF(ThresholdAge09,"&lt;"&amp;N204,WeightedMinAge09),MAX(CapacityAge09*'01_Вводные'!$B$218*N204,MeanMinAge09)))</f>
        <v/>
      </c>
      <c r="O117" s="190">
        <f>IF(OR(O89=0,9&lt;='01_Вводные'!$B$297),0,O89*IF('01_Вводные'!$B$239="Да",MeanMinAge09+O204*SUMIF(ThresholdAge09,"&lt;"&amp;O204,WeightedRevAge09)-SUMIF(ThresholdAge09,"&lt;"&amp;O204,WeightedMinAge09),MAX(CapacityAge09*'01_Вводные'!$B$218*O204,MeanMinAge09)))</f>
        <v/>
      </c>
      <c r="P117" s="190">
        <f>IF(OR(P89=0,9&lt;='01_Вводные'!$B$297),0,P89*IF('01_Вводные'!$B$239="Да",MeanMinAge09+P204*SUMIF(ThresholdAge09,"&lt;"&amp;P204,WeightedRevAge09)-SUMIF(ThresholdAge09,"&lt;"&amp;P204,WeightedMinAge09),MAX(CapacityAge09*'01_Вводные'!$B$218*P204,MeanMinAge09)))</f>
        <v/>
      </c>
      <c r="Q117" s="190">
        <f>IF(OR(Q89=0,9&lt;='01_Вводные'!$B$297),0,Q89*IF('01_Вводные'!$B$239="Да",MeanMinAge09+Q204*SUMIF(ThresholdAge09,"&lt;"&amp;Q204,WeightedRevAge09)-SUMIF(ThresholdAge09,"&lt;"&amp;Q204,WeightedMinAge09),MAX(CapacityAge09*'01_Вводные'!$B$218*Q204,MeanMinAge09)))</f>
        <v/>
      </c>
      <c r="R117" s="190">
        <f>IF(OR(R89=0,9&lt;='01_Вводные'!$B$297),0,R89*IF('01_Вводные'!$B$239="Да",MeanMinAge09+R204*SUMIF(ThresholdAge09,"&lt;"&amp;R204,WeightedRevAge09)-SUMIF(ThresholdAge09,"&lt;"&amp;R204,WeightedMinAge09),MAX(CapacityAge09*'01_Вводные'!$B$218*R204,MeanMinAge09)))</f>
        <v/>
      </c>
      <c r="S117" s="190">
        <f>IF(OR(S89=0,9&lt;='01_Вводные'!$B$297),0,S89*IF('01_Вводные'!$B$239="Да",MeanMinAge09+S204*SUMIF(ThresholdAge09,"&lt;"&amp;S204,WeightedRevAge09)-SUMIF(ThresholdAge09,"&lt;"&amp;S204,WeightedMinAge09),MAX(CapacityAge09*'01_Вводные'!$B$218*S204,MeanMinAge09)))</f>
        <v/>
      </c>
      <c r="T117" s="190">
        <f>IF(OR(T89=0,9&lt;='01_Вводные'!$B$297),0,T89*IF('01_Вводные'!$B$239="Да",MeanMinAge09+T204*SUMIF(ThresholdAge09,"&lt;"&amp;T204,WeightedRevAge09)-SUMIF(ThresholdAge09,"&lt;"&amp;T204,WeightedMinAge09),MAX(CapacityAge09*'01_Вводные'!$B$218*T204,MeanMinAge09)))</f>
        <v/>
      </c>
      <c r="U117" s="190">
        <f>IF(OR(U89=0,9&lt;='01_Вводные'!$B$297),0,U89*IF('01_Вводные'!$B$239="Да",MeanMinAge09+U204*SUMIF(ThresholdAge09,"&lt;"&amp;U204,WeightedRevAge09)-SUMIF(ThresholdAge09,"&lt;"&amp;U204,WeightedMinAge09),MAX(CapacityAge09*'01_Вводные'!$B$218*U204,MeanMinAge09)))</f>
        <v/>
      </c>
      <c r="V117" s="190">
        <f>IF(OR(V89=0,9&lt;='01_Вводные'!$B$297),0,V89*IF('01_Вводные'!$B$239="Да",MeanMinAge09+V204*SUMIF(ThresholdAge09,"&lt;"&amp;V204,WeightedRevAge09)-SUMIF(ThresholdAge09,"&lt;"&amp;V204,WeightedMinAge09),MAX(CapacityAge09*'01_Вводные'!$B$218*V204,MeanMinAge09)))</f>
        <v/>
      </c>
      <c r="W117" s="190">
        <f>IF(OR(W89=0,9&lt;='01_Вводные'!$B$297),0,W89*IF('01_Вводные'!$B$239="Да",MeanMinAge09+W204*SUMIF(ThresholdAge09,"&lt;"&amp;W204,WeightedRevAge09)-SUMIF(ThresholdAge09,"&lt;"&amp;W204,WeightedMinAge09),MAX(CapacityAge09*'01_Вводные'!$B$218*W204,MeanMinAge09)))</f>
        <v/>
      </c>
      <c r="X117" s="190">
        <f>IF(OR(X89=0,9&lt;='01_Вводные'!$B$297),0,X89*IF('01_Вводные'!$B$239="Да",MeanMinAge09+X204*SUMIF(ThresholdAge09,"&lt;"&amp;X204,WeightedRevAge09)-SUMIF(ThresholdAge09,"&lt;"&amp;X204,WeightedMinAge09),MAX(CapacityAge09*'01_Вводные'!$B$218*X204,MeanMinAge09)))</f>
        <v/>
      </c>
      <c r="Y117" s="190">
        <f>IF(OR(Y89=0,9&lt;='01_Вводные'!$B$297),0,Y89*IF('01_Вводные'!$B$239="Да",MeanMinAge09+Y204*SUMIF(ThresholdAge09,"&lt;"&amp;Y204,WeightedRevAge09)-SUMIF(ThresholdAge09,"&lt;"&amp;Y204,WeightedMinAge09),MAX(CapacityAge09*'01_Вводные'!$B$218*Y204,MeanMinAge09)))</f>
        <v/>
      </c>
      <c r="Z117" s="190">
        <f>IF(OR(Z89=0,9&lt;='01_Вводные'!$B$297),0,Z89*IF('01_Вводные'!$B$239="Да",MeanMinAge09+Z204*SUMIF(ThresholdAge09,"&lt;"&amp;Z204,WeightedRevAge09)-SUMIF(ThresholdAge09,"&lt;"&amp;Z204,WeightedMinAge09),MAX(CapacityAge09*'01_Вводные'!$B$218*Z204,MeanMinAge09)))</f>
        <v/>
      </c>
      <c r="AA117" s="190">
        <f>IF(OR(AA89=0,9&lt;='01_Вводные'!$B$297),0,AA89*IF('01_Вводные'!$B$239="Да",MeanMinAge09+AA204*SUMIF(ThresholdAge09,"&lt;"&amp;AA204,WeightedRevAge09)-SUMIF(ThresholdAge09,"&lt;"&amp;AA204,WeightedMinAge09),MAX(CapacityAge09*'01_Вводные'!$B$218*AA204,MeanMinAge09)))</f>
        <v/>
      </c>
      <c r="AB117" s="190">
        <f>IF(OR(AB89=0,9&lt;='01_Вводные'!$B$297),0,AB89*IF('01_Вводные'!$B$239="Да",MeanMinAge09+AB204*SUMIF(ThresholdAge09,"&lt;"&amp;AB204,WeightedRevAge09)-SUMIF(ThresholdAge09,"&lt;"&amp;AB204,WeightedMinAge09),MAX(CapacityAge09*'01_Вводные'!$B$218*AB204,MeanMinAge09)))</f>
        <v/>
      </c>
      <c r="AC117" s="190">
        <f>IF(OR(AC89=0,9&lt;='01_Вводные'!$B$297),0,AC89*IF('01_Вводные'!$B$239="Да",MeanMinAge09+AC204*SUMIF(ThresholdAge09,"&lt;"&amp;AC204,WeightedRevAge09)-SUMIF(ThresholdAge09,"&lt;"&amp;AC204,WeightedMinAge09),MAX(CapacityAge09*'01_Вводные'!$B$218*AC204,MeanMinAge09)))</f>
        <v/>
      </c>
      <c r="AD117" s="190">
        <f>IF(OR(AD89=0,9&lt;='01_Вводные'!$B$297),0,AD89*IF('01_Вводные'!$B$239="Да",MeanMinAge09+AD204*SUMIF(ThresholdAge09,"&lt;"&amp;AD204,WeightedRevAge09)-SUMIF(ThresholdAge09,"&lt;"&amp;AD204,WeightedMinAge09),MAX(CapacityAge09*'01_Вводные'!$B$218*AD204,MeanMinAge09)))</f>
        <v/>
      </c>
      <c r="AE117" s="190">
        <f>IF(OR(AE89=0,9&lt;='01_Вводные'!$B$297),0,AE89*IF('01_Вводные'!$B$239="Да",MeanMinAge09+AE204*SUMIF(ThresholdAge09,"&lt;"&amp;AE204,WeightedRevAge09)-SUMIF(ThresholdAge09,"&lt;"&amp;AE204,WeightedMinAge09),MAX(CapacityAge09*'01_Вводные'!$B$218*AE204,MeanMinAge09)))</f>
        <v/>
      </c>
      <c r="AF117" s="190">
        <f>IF(OR(AF89=0,9&lt;='01_Вводные'!$B$297),0,AF89*IF('01_Вводные'!$B$239="Да",MeanMinAge09+AF204*SUMIF(ThresholdAge09,"&lt;"&amp;AF204,WeightedRevAge09)-SUMIF(ThresholdAge09,"&lt;"&amp;AF204,WeightedMinAge09),MAX(CapacityAge09*'01_Вводные'!$B$218*AF204,MeanMinAge09)))</f>
        <v/>
      </c>
      <c r="AG117" s="190">
        <f>IF(OR(AG89=0,9&lt;='01_Вводные'!$B$297),0,AG89*IF('01_Вводные'!$B$239="Да",MeanMinAge09+AG204*SUMIF(ThresholdAge09,"&lt;"&amp;AG204,WeightedRevAge09)-SUMIF(ThresholdAge09,"&lt;"&amp;AG204,WeightedMinAge09),MAX(CapacityAge09*'01_Вводные'!$B$218*AG204,MeanMinAge09)))</f>
        <v/>
      </c>
      <c r="AH117" s="190">
        <f>IF(OR(AH89=0,9&lt;='01_Вводные'!$B$297),0,AH89*IF('01_Вводные'!$B$239="Да",MeanMinAge09+AH204*SUMIF(ThresholdAge09,"&lt;"&amp;AH204,WeightedRevAge09)-SUMIF(ThresholdAge09,"&lt;"&amp;AH204,WeightedMinAge09),MAX(CapacityAge09*'01_Вводные'!$B$218*AH204,MeanMinAge09)))</f>
        <v/>
      </c>
      <c r="AI117" s="190">
        <f>IF(OR(AI89=0,9&lt;='01_Вводные'!$B$297),0,AI89*IF('01_Вводные'!$B$239="Да",MeanMinAge09+AI204*SUMIF(ThresholdAge09,"&lt;"&amp;AI204,WeightedRevAge09)-SUMIF(ThresholdAge09,"&lt;"&amp;AI204,WeightedMinAge09),MAX(CapacityAge09*'01_Вводные'!$B$218*AI204,MeanMinAge09)))</f>
        <v/>
      </c>
      <c r="AJ117" s="190">
        <f>IF(OR(AJ89=0,9&lt;='01_Вводные'!$B$297),0,AJ89*IF('01_Вводные'!$B$239="Да",MeanMinAge09+AJ204*SUMIF(ThresholdAge09,"&lt;"&amp;AJ204,WeightedRevAge09)-SUMIF(ThresholdAge09,"&lt;"&amp;AJ204,WeightedMinAge09),MAX(CapacityAge09*'01_Вводные'!$B$218*AJ204,MeanMinAge09)))</f>
        <v/>
      </c>
      <c r="AK117" s="190">
        <f>IF(OR(AK89=0,9&lt;='01_Вводные'!$B$297),0,AK89*IF('01_Вводные'!$B$239="Да",MeanMinAge09+AK204*SUMIF(ThresholdAge09,"&lt;"&amp;AK204,WeightedRevAge09)-SUMIF(ThresholdAge09,"&lt;"&amp;AK204,WeightedMinAge09),MAX(CapacityAge09*'01_Вводные'!$B$218*AK204,MeanMinAge09)))</f>
        <v/>
      </c>
      <c r="AL117" s="190">
        <f>IF(OR(AL89=0,9&lt;='01_Вводные'!$B$297),0,AL89*IF('01_Вводные'!$B$239="Да",MeanMinAge09+AL204*SUMIF(ThresholdAge09,"&lt;"&amp;AL204,WeightedRevAge09)-SUMIF(ThresholdAge09,"&lt;"&amp;AL204,WeightedMinAge09),MAX(CapacityAge09*'01_Вводные'!$B$218*AL204,MeanMinAge09)))</f>
        <v/>
      </c>
      <c r="AM117" s="190">
        <f>IF(OR(AM89=0,9&lt;='01_Вводные'!$B$297),0,AM89*IF('01_Вводные'!$B$239="Да",MeanMinAge09+AM204*SUMIF(ThresholdAge09,"&lt;"&amp;AM204,WeightedRevAge09)-SUMIF(ThresholdAge09,"&lt;"&amp;AM204,WeightedMinAge09),MAX(CapacityAge09*'01_Вводные'!$B$218*AM204,MeanMinAge09)))</f>
        <v/>
      </c>
      <c r="AN117" s="190">
        <f>IF(OR(AN89=0,9&lt;='01_Вводные'!$B$297),0,AN89*IF('01_Вводные'!$B$239="Да",MeanMinAge09+AN204*SUMIF(ThresholdAge09,"&lt;"&amp;AN204,WeightedRevAge09)-SUMIF(ThresholdAge09,"&lt;"&amp;AN204,WeightedMinAge09),MAX(CapacityAge09*'01_Вводные'!$B$218*AN204,MeanMinAge09)))</f>
        <v/>
      </c>
      <c r="AO117" s="190">
        <f>IF(OR(AO89=0,9&lt;='01_Вводные'!$B$297),0,AO89*IF('01_Вводные'!$B$239="Да",MeanMinAge09+AO204*SUMIF(ThresholdAge09,"&lt;"&amp;AO204,WeightedRevAge09)-SUMIF(ThresholdAge09,"&lt;"&amp;AO204,WeightedMinAge09),MAX(CapacityAge09*'01_Вводные'!$B$218*AO204,MeanMinAge09)))</f>
        <v/>
      </c>
      <c r="AP117" s="190">
        <f>IF(OR(AP89=0,9&lt;='01_Вводные'!$B$297),0,AP89*IF('01_Вводные'!$B$239="Да",MeanMinAge09+AP204*SUMIF(ThresholdAge09,"&lt;"&amp;AP204,WeightedRevAge09)-SUMIF(ThresholdAge09,"&lt;"&amp;AP204,WeightedMinAge09),MAX(CapacityAge09*'01_Вводные'!$B$218*AP204,MeanMinAge09)))</f>
        <v/>
      </c>
      <c r="AQ117" s="190">
        <f>IF(OR(AQ89=0,9&lt;='01_Вводные'!$B$297),0,AQ89*IF('01_Вводные'!$B$239="Да",MeanMinAge09+AQ204*SUMIF(ThresholdAge09,"&lt;"&amp;AQ204,WeightedRevAge09)-SUMIF(ThresholdAge09,"&lt;"&amp;AQ204,WeightedMinAge09),MAX(CapacityAge09*'01_Вводные'!$B$218*AQ204,MeanMinAge09)))</f>
        <v/>
      </c>
      <c r="AR117" s="190">
        <f>IF(OR(AR89=0,9&lt;='01_Вводные'!$B$297),0,AR89*IF('01_Вводные'!$B$239="Да",MeanMinAge09+AR204*SUMIF(ThresholdAge09,"&lt;"&amp;AR204,WeightedRevAge09)-SUMIF(ThresholdAge09,"&lt;"&amp;AR204,WeightedMinAge09),MAX(CapacityAge09*'01_Вводные'!$B$218*AR204,MeanMinAge09)))</f>
        <v/>
      </c>
      <c r="AS117" s="190">
        <f>IF(OR(AS89=0,9&lt;='01_Вводные'!$B$297),0,AS89*IF('01_Вводные'!$B$239="Да",MeanMinAge09+AS204*SUMIF(ThresholdAge09,"&lt;"&amp;AS204,WeightedRevAge09)-SUMIF(ThresholdAge09,"&lt;"&amp;AS204,WeightedMinAge09),MAX(CapacityAge09*'01_Вводные'!$B$218*AS204,MeanMinAge09)))</f>
        <v/>
      </c>
      <c r="AT117" s="190">
        <f>IF(OR(AT89=0,9&lt;='01_Вводные'!$B$297),0,AT89*IF('01_Вводные'!$B$239="Да",MeanMinAge09+AT204*SUMIF(ThresholdAge09,"&lt;"&amp;AT204,WeightedRevAge09)-SUMIF(ThresholdAge09,"&lt;"&amp;AT204,WeightedMinAge09),MAX(CapacityAge09*'01_Вводные'!$B$218*AT204,MeanMinAge09)))</f>
        <v/>
      </c>
      <c r="AU117" s="190">
        <f>IF(OR(AU89=0,9&lt;='01_Вводные'!$B$297),0,AU89*IF('01_Вводные'!$B$239="Да",MeanMinAge09+AU204*SUMIF(ThresholdAge09,"&lt;"&amp;AU204,WeightedRevAge09)-SUMIF(ThresholdAge09,"&lt;"&amp;AU204,WeightedMinAge09),MAX(CapacityAge09*'01_Вводные'!$B$218*AU204,MeanMinAge09)))</f>
        <v/>
      </c>
      <c r="AV117" s="190">
        <f>IF(OR(AV89=0,9&lt;='01_Вводные'!$B$297),0,AV89*IF('01_Вводные'!$B$239="Да",MeanMinAge09+AV204*SUMIF(ThresholdAge09,"&lt;"&amp;AV204,WeightedRevAge09)-SUMIF(ThresholdAge09,"&lt;"&amp;AV204,WeightedMinAge09),MAX(CapacityAge09*'01_Вводные'!$B$218*AV204,MeanMinAge09)))</f>
        <v/>
      </c>
      <c r="AW117" s="190">
        <f>IF(OR(AW89=0,9&lt;='01_Вводные'!$B$297),0,AW89*IF('01_Вводные'!$B$239="Да",MeanMinAge09+AW204*SUMIF(ThresholdAge09,"&lt;"&amp;AW204,WeightedRevAge09)-SUMIF(ThresholdAge09,"&lt;"&amp;AW204,WeightedMinAge09),MAX(CapacityAge09*'01_Вводные'!$B$218*AW204,MeanMinAge09)))</f>
        <v/>
      </c>
      <c r="AX117" s="190">
        <f>IF(OR(AX89=0,9&lt;='01_Вводные'!$B$297),0,AX89*IF('01_Вводные'!$B$239="Да",MeanMinAge09+AX204*SUMIF(ThresholdAge09,"&lt;"&amp;AX204,WeightedRevAge09)-SUMIF(ThresholdAge09,"&lt;"&amp;AX204,WeightedMinAge09),MAX(CapacityAge09*'01_Вводные'!$B$218*AX204,MeanMinAge09)))</f>
        <v/>
      </c>
      <c r="AY117" s="190">
        <f>IF(OR(AY89=0,9&lt;='01_Вводные'!$B$297),0,AY89*IF('01_Вводные'!$B$239="Да",MeanMinAge09+AY204*SUMIF(ThresholdAge09,"&lt;"&amp;AY204,WeightedRevAge09)-SUMIF(ThresholdAge09,"&lt;"&amp;AY204,WeightedMinAge09),MAX(CapacityAge09*'01_Вводные'!$B$218*AY204,MeanMinAge09)))</f>
        <v/>
      </c>
      <c r="AZ117" s="190">
        <f>IF(OR(AZ89=0,9&lt;='01_Вводные'!$B$297),0,AZ89*IF('01_Вводные'!$B$239="Да",MeanMinAge09+AZ204*SUMIF(ThresholdAge09,"&lt;"&amp;AZ204,WeightedRevAge09)-SUMIF(ThresholdAge09,"&lt;"&amp;AZ204,WeightedMinAge09),MAX(CapacityAge09*'01_Вводные'!$B$218*AZ204,MeanMinAge09)))</f>
        <v/>
      </c>
      <c r="BA117" s="190">
        <f>IF(OR(BA89=0,9&lt;='01_Вводные'!$B$297),0,BA89*IF('01_Вводные'!$B$239="Да",MeanMinAge09+BA204*SUMIF(ThresholdAge09,"&lt;"&amp;BA204,WeightedRevAge09)-SUMIF(ThresholdAge09,"&lt;"&amp;BA204,WeightedMinAge09),MAX(CapacityAge09*'01_Вводные'!$B$218*BA204,MeanMinAge09)))</f>
        <v/>
      </c>
      <c r="BB117" s="190">
        <f>IF(OR(BB89=0,9&lt;='01_Вводные'!$B$297),0,BB89*IF('01_Вводные'!$B$239="Да",MeanMinAge09+BB204*SUMIF(ThresholdAge09,"&lt;"&amp;BB204,WeightedRevAge09)-SUMIF(ThresholdAge09,"&lt;"&amp;BB204,WeightedMinAge09),MAX(CapacityAge09*'01_Вводные'!$B$218*BB204,MeanMinAge09)))</f>
        <v/>
      </c>
      <c r="BC117" s="190">
        <f>IF(OR(BC89=0,9&lt;='01_Вводные'!$B$297),0,BC89*IF('01_Вводные'!$B$239="Да",MeanMinAge09+BC204*SUMIF(ThresholdAge09,"&lt;"&amp;BC204,WeightedRevAge09)-SUMIF(ThresholdAge09,"&lt;"&amp;BC204,WeightedMinAge09),MAX(CapacityAge09*'01_Вводные'!$B$218*BC204,MeanMinAge09)))</f>
        <v/>
      </c>
      <c r="BD117" s="190">
        <f>IF(OR(BD89=0,9&lt;='01_Вводные'!$B$297),0,BD89*IF('01_Вводные'!$B$239="Да",MeanMinAge09+BD204*SUMIF(ThresholdAge09,"&lt;"&amp;BD204,WeightedRevAge09)-SUMIF(ThresholdAge09,"&lt;"&amp;BD204,WeightedMinAge09),MAX(CapacityAge09*'01_Вводные'!$B$218*BD204,MeanMinAge09)))</f>
        <v/>
      </c>
      <c r="BE117" s="190">
        <f>IF(OR(BE89=0,9&lt;='01_Вводные'!$B$297),0,BE89*IF('01_Вводные'!$B$239="Да",MeanMinAge09+BE204*SUMIF(ThresholdAge09,"&lt;"&amp;BE204,WeightedRevAge09)-SUMIF(ThresholdAge09,"&lt;"&amp;BE204,WeightedMinAge09),MAX(CapacityAge09*'01_Вводные'!$B$218*BE204,MeanMinAge09)))</f>
        <v/>
      </c>
      <c r="BF117" s="190">
        <f>IF(OR(BF89=0,9&lt;='01_Вводные'!$B$297),0,BF89*IF('01_Вводные'!$B$239="Да",MeanMinAge09+BF204*SUMIF(ThresholdAge09,"&lt;"&amp;BF204,WeightedRevAge09)-SUMIF(ThresholdAge09,"&lt;"&amp;BF204,WeightedMinAge09),MAX(CapacityAge09*'01_Вводные'!$B$218*BF204,MeanMinAge09)))</f>
        <v/>
      </c>
      <c r="BG117" s="190">
        <f>IF(OR(BG89=0,9&lt;='01_Вводные'!$B$297),0,BG89*IF('01_Вводные'!$B$239="Да",MeanMinAge09+BG204*SUMIF(ThresholdAge09,"&lt;"&amp;BG204,WeightedRevAge09)-SUMIF(ThresholdAge09,"&lt;"&amp;BG204,WeightedMinAge09),MAX(CapacityAge09*'01_Вводные'!$B$218*BG204,MeanMinAge09)))</f>
        <v/>
      </c>
      <c r="BH117" s="190">
        <f>IF(OR(BH89=0,9&lt;='01_Вводные'!$B$297),0,BH89*IF('01_Вводные'!$B$239="Да",MeanMinAge09+BH204*SUMIF(ThresholdAge09,"&lt;"&amp;BH204,WeightedRevAge09)-SUMIF(ThresholdAge09,"&lt;"&amp;BH204,WeightedMinAge09),MAX(CapacityAge09*'01_Вводные'!$B$218*BH204,MeanMinAge09)))</f>
        <v/>
      </c>
      <c r="BI117" s="190">
        <f>IF(OR(BI89=0,9&lt;='01_Вводные'!$B$297),0,BI89*IF('01_Вводные'!$B$239="Да",MeanMinAge09+BI204*SUMIF(ThresholdAge09,"&lt;"&amp;BI204,WeightedRevAge09)-SUMIF(ThresholdAge09,"&lt;"&amp;BI204,WeightedMinAge09),MAX(CapacityAge09*'01_Вводные'!$B$218*BI204,MeanMinAge09)))</f>
        <v/>
      </c>
      <c r="BJ117" s="190">
        <f>IF(OR(BJ89=0,9&lt;='01_Вводные'!$B$297),0,BJ89*IF('01_Вводные'!$B$239="Да",MeanMinAge09+BJ204*SUMIF(ThresholdAge09,"&lt;"&amp;BJ204,WeightedRevAge09)-SUMIF(ThresholdAge09,"&lt;"&amp;BJ204,WeightedMinAge09),MAX(CapacityAge09*'01_Вводные'!$B$218*BJ204,MeanMinAge09)))</f>
        <v/>
      </c>
      <c r="BK117" s="190">
        <f>IF(OR(BK89=0,9&lt;='01_Вводные'!$B$297),0,BK89*IF('01_Вводные'!$B$239="Да",MeanMinAge09+BK204*SUMIF(ThresholdAge09,"&lt;"&amp;BK204,WeightedRevAge09)-SUMIF(ThresholdAge09,"&lt;"&amp;BK204,WeightedMinAge09),MAX(CapacityAge09*'01_Вводные'!$B$218*BK204,MeanMinAge09)))</f>
        <v/>
      </c>
      <c r="BL117" s="190">
        <f>IF(OR(BL89=0,9&lt;='01_Вводные'!$B$297),0,BL89*IF('01_Вводные'!$B$239="Да",MeanMinAge09+BL204*SUMIF(ThresholdAge09,"&lt;"&amp;BL204,WeightedRevAge09)-SUMIF(ThresholdAge09,"&lt;"&amp;BL204,WeightedMinAge09),MAX(CapacityAge09*'01_Вводные'!$B$218*BL204,MeanMinAge09)))</f>
        <v/>
      </c>
      <c r="BM117" s="190">
        <f>IF(OR(BM89=0,9&lt;='01_Вводные'!$B$297),0,BM89*IF('01_Вводные'!$B$239="Да",MeanMinAge09+BM204*SUMIF(ThresholdAge09,"&lt;"&amp;BM204,WeightedRevAge09)-SUMIF(ThresholdAge09,"&lt;"&amp;BM204,WeightedMinAge09),MAX(CapacityAge09*'01_Вводные'!$B$218*BM204,MeanMinAge09)))</f>
        <v/>
      </c>
      <c r="BN117" s="190">
        <f>IF(OR(BN89=0,9&lt;='01_Вводные'!$B$297),0,BN89*IF('01_Вводные'!$B$239="Да",MeanMinAge09+BN204*SUMIF(ThresholdAge09,"&lt;"&amp;BN204,WeightedRevAge09)-SUMIF(ThresholdAge09,"&lt;"&amp;BN204,WeightedMinAge09),MAX(CapacityAge09*'01_Вводные'!$B$218*BN204,MeanMinAge09)))</f>
        <v/>
      </c>
      <c r="BO117" s="190">
        <f>IF(OR(BO89=0,9&lt;='01_Вводные'!$B$297),0,BO89*IF('01_Вводные'!$B$239="Да",MeanMinAge09+BO204*SUMIF(ThresholdAge09,"&lt;"&amp;BO204,WeightedRevAge09)-SUMIF(ThresholdAge09,"&lt;"&amp;BO204,WeightedMinAge09),MAX(CapacityAge09*'01_Вводные'!$B$218*BO204,MeanMinAge09)))</f>
        <v/>
      </c>
    </row>
    <row r="118" hidden="1" outlineLevel="1">
      <c r="A118" t="inlineStr">
        <is>
          <t>10 мес.</t>
        </is>
      </c>
      <c r="B118" s="190">
        <f>IF(OR(B90=0,10&lt;='01_Вводные'!$B$297),0,B90*IF('01_Вводные'!$B$239="Да",MeanMinAge10+B204*SUMIF(ThresholdAge10,"&lt;"&amp;B204,WeightedRevAge10)-SUMIF(ThresholdAge10,"&lt;"&amp;B204,WeightedMinAge10),MAX(CapacityAge10*'01_Вводные'!$B$218*B204,MeanMinAge10)))</f>
        <v/>
      </c>
      <c r="C118" s="190">
        <f>IF(OR(C90=0,10&lt;='01_Вводные'!$B$297),0,C90*IF('01_Вводные'!$B$239="Да",MeanMinAge10+C204*SUMIF(ThresholdAge10,"&lt;"&amp;C204,WeightedRevAge10)-SUMIF(ThresholdAge10,"&lt;"&amp;C204,WeightedMinAge10),MAX(CapacityAge10*'01_Вводные'!$B$218*C204,MeanMinAge10)))</f>
        <v/>
      </c>
      <c r="D118" s="190">
        <f>IF(OR(D90=0,10&lt;='01_Вводные'!$B$297),0,D90*IF('01_Вводные'!$B$239="Да",MeanMinAge10+D204*SUMIF(ThresholdAge10,"&lt;"&amp;D204,WeightedRevAge10)-SUMIF(ThresholdAge10,"&lt;"&amp;D204,WeightedMinAge10),MAX(CapacityAge10*'01_Вводные'!$B$218*D204,MeanMinAge10)))</f>
        <v/>
      </c>
      <c r="E118" s="190">
        <f>IF(OR(E90=0,10&lt;='01_Вводные'!$B$297),0,E90*IF('01_Вводные'!$B$239="Да",MeanMinAge10+E204*SUMIF(ThresholdAge10,"&lt;"&amp;E204,WeightedRevAge10)-SUMIF(ThresholdAge10,"&lt;"&amp;E204,WeightedMinAge10),MAX(CapacityAge10*'01_Вводные'!$B$218*E204,MeanMinAge10)))</f>
        <v/>
      </c>
      <c r="F118" s="190">
        <f>IF(OR(F90=0,10&lt;='01_Вводные'!$B$297),0,F90*IF('01_Вводные'!$B$239="Да",MeanMinAge10+F204*SUMIF(ThresholdAge10,"&lt;"&amp;F204,WeightedRevAge10)-SUMIF(ThresholdAge10,"&lt;"&amp;F204,WeightedMinAge10),MAX(CapacityAge10*'01_Вводные'!$B$218*F204,MeanMinAge10)))</f>
        <v/>
      </c>
      <c r="G118" s="190">
        <f>IF(OR(G90=0,10&lt;='01_Вводные'!$B$297),0,G90*IF('01_Вводные'!$B$239="Да",MeanMinAge10+G204*SUMIF(ThresholdAge10,"&lt;"&amp;G204,WeightedRevAge10)-SUMIF(ThresholdAge10,"&lt;"&amp;G204,WeightedMinAge10),MAX(CapacityAge10*'01_Вводные'!$B$218*G204,MeanMinAge10)))</f>
        <v/>
      </c>
      <c r="H118" s="190">
        <f>IF(OR(H90=0,10&lt;='01_Вводные'!$B$297),0,H90*IF('01_Вводные'!$B$239="Да",MeanMinAge10+H204*SUMIF(ThresholdAge10,"&lt;"&amp;H204,WeightedRevAge10)-SUMIF(ThresholdAge10,"&lt;"&amp;H204,WeightedMinAge10),MAX(CapacityAge10*'01_Вводные'!$B$218*H204,MeanMinAge10)))</f>
        <v/>
      </c>
      <c r="I118" s="190">
        <f>IF(OR(I90=0,10&lt;='01_Вводные'!$B$297),0,I90*IF('01_Вводные'!$B$239="Да",MeanMinAge10+I204*SUMIF(ThresholdAge10,"&lt;"&amp;I204,WeightedRevAge10)-SUMIF(ThresholdAge10,"&lt;"&amp;I204,WeightedMinAge10),MAX(CapacityAge10*'01_Вводные'!$B$218*I204,MeanMinAge10)))</f>
        <v/>
      </c>
      <c r="J118" s="190">
        <f>IF(OR(J90=0,10&lt;='01_Вводные'!$B$297),0,J90*IF('01_Вводные'!$B$239="Да",MeanMinAge10+J204*SUMIF(ThresholdAge10,"&lt;"&amp;J204,WeightedRevAge10)-SUMIF(ThresholdAge10,"&lt;"&amp;J204,WeightedMinAge10),MAX(CapacityAge10*'01_Вводные'!$B$218*J204,MeanMinAge10)))</f>
        <v/>
      </c>
      <c r="K118" s="190">
        <f>IF(OR(K90=0,10&lt;='01_Вводные'!$B$297),0,K90*IF('01_Вводные'!$B$239="Да",MeanMinAge10+K204*SUMIF(ThresholdAge10,"&lt;"&amp;K204,WeightedRevAge10)-SUMIF(ThresholdAge10,"&lt;"&amp;K204,WeightedMinAge10),MAX(CapacityAge10*'01_Вводные'!$B$218*K204,MeanMinAge10)))</f>
        <v/>
      </c>
      <c r="L118" s="190">
        <f>IF(OR(L90=0,10&lt;='01_Вводные'!$B$297),0,L90*IF('01_Вводные'!$B$239="Да",MeanMinAge10+L204*SUMIF(ThresholdAge10,"&lt;"&amp;L204,WeightedRevAge10)-SUMIF(ThresholdAge10,"&lt;"&amp;L204,WeightedMinAge10),MAX(CapacityAge10*'01_Вводные'!$B$218*L204,MeanMinAge10)))</f>
        <v/>
      </c>
      <c r="M118" s="190">
        <f>IF(OR(M90=0,10&lt;='01_Вводные'!$B$297),0,M90*IF('01_Вводные'!$B$239="Да",MeanMinAge10+M204*SUMIF(ThresholdAge10,"&lt;"&amp;M204,WeightedRevAge10)-SUMIF(ThresholdAge10,"&lt;"&amp;M204,WeightedMinAge10),MAX(CapacityAge10*'01_Вводные'!$B$218*M204,MeanMinAge10)))</f>
        <v/>
      </c>
      <c r="N118" s="190">
        <f>IF(OR(N90=0,10&lt;='01_Вводные'!$B$297),0,N90*IF('01_Вводные'!$B$239="Да",MeanMinAge10+N204*SUMIF(ThresholdAge10,"&lt;"&amp;N204,WeightedRevAge10)-SUMIF(ThresholdAge10,"&lt;"&amp;N204,WeightedMinAge10),MAX(CapacityAge10*'01_Вводные'!$B$218*N204,MeanMinAge10)))</f>
        <v/>
      </c>
      <c r="O118" s="190">
        <f>IF(OR(O90=0,10&lt;='01_Вводные'!$B$297),0,O90*IF('01_Вводные'!$B$239="Да",MeanMinAge10+O204*SUMIF(ThresholdAge10,"&lt;"&amp;O204,WeightedRevAge10)-SUMIF(ThresholdAge10,"&lt;"&amp;O204,WeightedMinAge10),MAX(CapacityAge10*'01_Вводные'!$B$218*O204,MeanMinAge10)))</f>
        <v/>
      </c>
      <c r="P118" s="190">
        <f>IF(OR(P90=0,10&lt;='01_Вводные'!$B$297),0,P90*IF('01_Вводные'!$B$239="Да",MeanMinAge10+P204*SUMIF(ThresholdAge10,"&lt;"&amp;P204,WeightedRevAge10)-SUMIF(ThresholdAge10,"&lt;"&amp;P204,WeightedMinAge10),MAX(CapacityAge10*'01_Вводные'!$B$218*P204,MeanMinAge10)))</f>
        <v/>
      </c>
      <c r="Q118" s="190">
        <f>IF(OR(Q90=0,10&lt;='01_Вводные'!$B$297),0,Q90*IF('01_Вводные'!$B$239="Да",MeanMinAge10+Q204*SUMIF(ThresholdAge10,"&lt;"&amp;Q204,WeightedRevAge10)-SUMIF(ThresholdAge10,"&lt;"&amp;Q204,WeightedMinAge10),MAX(CapacityAge10*'01_Вводные'!$B$218*Q204,MeanMinAge10)))</f>
        <v/>
      </c>
      <c r="R118" s="190">
        <f>IF(OR(R90=0,10&lt;='01_Вводные'!$B$297),0,R90*IF('01_Вводные'!$B$239="Да",MeanMinAge10+R204*SUMIF(ThresholdAge10,"&lt;"&amp;R204,WeightedRevAge10)-SUMIF(ThresholdAge10,"&lt;"&amp;R204,WeightedMinAge10),MAX(CapacityAge10*'01_Вводные'!$B$218*R204,MeanMinAge10)))</f>
        <v/>
      </c>
      <c r="S118" s="190">
        <f>IF(OR(S90=0,10&lt;='01_Вводные'!$B$297),0,S90*IF('01_Вводные'!$B$239="Да",MeanMinAge10+S204*SUMIF(ThresholdAge10,"&lt;"&amp;S204,WeightedRevAge10)-SUMIF(ThresholdAge10,"&lt;"&amp;S204,WeightedMinAge10),MAX(CapacityAge10*'01_Вводные'!$B$218*S204,MeanMinAge10)))</f>
        <v/>
      </c>
      <c r="T118" s="190">
        <f>IF(OR(T90=0,10&lt;='01_Вводные'!$B$297),0,T90*IF('01_Вводные'!$B$239="Да",MeanMinAge10+T204*SUMIF(ThresholdAge10,"&lt;"&amp;T204,WeightedRevAge10)-SUMIF(ThresholdAge10,"&lt;"&amp;T204,WeightedMinAge10),MAX(CapacityAge10*'01_Вводные'!$B$218*T204,MeanMinAge10)))</f>
        <v/>
      </c>
      <c r="U118" s="190">
        <f>IF(OR(U90=0,10&lt;='01_Вводные'!$B$297),0,U90*IF('01_Вводные'!$B$239="Да",MeanMinAge10+U204*SUMIF(ThresholdAge10,"&lt;"&amp;U204,WeightedRevAge10)-SUMIF(ThresholdAge10,"&lt;"&amp;U204,WeightedMinAge10),MAX(CapacityAge10*'01_Вводные'!$B$218*U204,MeanMinAge10)))</f>
        <v/>
      </c>
      <c r="V118" s="190">
        <f>IF(OR(V90=0,10&lt;='01_Вводные'!$B$297),0,V90*IF('01_Вводные'!$B$239="Да",MeanMinAge10+V204*SUMIF(ThresholdAge10,"&lt;"&amp;V204,WeightedRevAge10)-SUMIF(ThresholdAge10,"&lt;"&amp;V204,WeightedMinAge10),MAX(CapacityAge10*'01_Вводные'!$B$218*V204,MeanMinAge10)))</f>
        <v/>
      </c>
      <c r="W118" s="190">
        <f>IF(OR(W90=0,10&lt;='01_Вводные'!$B$297),0,W90*IF('01_Вводные'!$B$239="Да",MeanMinAge10+W204*SUMIF(ThresholdAge10,"&lt;"&amp;W204,WeightedRevAge10)-SUMIF(ThresholdAge10,"&lt;"&amp;W204,WeightedMinAge10),MAX(CapacityAge10*'01_Вводные'!$B$218*W204,MeanMinAge10)))</f>
        <v/>
      </c>
      <c r="X118" s="190">
        <f>IF(OR(X90=0,10&lt;='01_Вводные'!$B$297),0,X90*IF('01_Вводные'!$B$239="Да",MeanMinAge10+X204*SUMIF(ThresholdAge10,"&lt;"&amp;X204,WeightedRevAge10)-SUMIF(ThresholdAge10,"&lt;"&amp;X204,WeightedMinAge10),MAX(CapacityAge10*'01_Вводные'!$B$218*X204,MeanMinAge10)))</f>
        <v/>
      </c>
      <c r="Y118" s="190">
        <f>IF(OR(Y90=0,10&lt;='01_Вводные'!$B$297),0,Y90*IF('01_Вводные'!$B$239="Да",MeanMinAge10+Y204*SUMIF(ThresholdAge10,"&lt;"&amp;Y204,WeightedRevAge10)-SUMIF(ThresholdAge10,"&lt;"&amp;Y204,WeightedMinAge10),MAX(CapacityAge10*'01_Вводные'!$B$218*Y204,MeanMinAge10)))</f>
        <v/>
      </c>
      <c r="Z118" s="190">
        <f>IF(OR(Z90=0,10&lt;='01_Вводные'!$B$297),0,Z90*IF('01_Вводные'!$B$239="Да",MeanMinAge10+Z204*SUMIF(ThresholdAge10,"&lt;"&amp;Z204,WeightedRevAge10)-SUMIF(ThresholdAge10,"&lt;"&amp;Z204,WeightedMinAge10),MAX(CapacityAge10*'01_Вводные'!$B$218*Z204,MeanMinAge10)))</f>
        <v/>
      </c>
      <c r="AA118" s="190">
        <f>IF(OR(AA90=0,10&lt;='01_Вводные'!$B$297),0,AA90*IF('01_Вводные'!$B$239="Да",MeanMinAge10+AA204*SUMIF(ThresholdAge10,"&lt;"&amp;AA204,WeightedRevAge10)-SUMIF(ThresholdAge10,"&lt;"&amp;AA204,WeightedMinAge10),MAX(CapacityAge10*'01_Вводные'!$B$218*AA204,MeanMinAge10)))</f>
        <v/>
      </c>
      <c r="AB118" s="190">
        <f>IF(OR(AB90=0,10&lt;='01_Вводные'!$B$297),0,AB90*IF('01_Вводные'!$B$239="Да",MeanMinAge10+AB204*SUMIF(ThresholdAge10,"&lt;"&amp;AB204,WeightedRevAge10)-SUMIF(ThresholdAge10,"&lt;"&amp;AB204,WeightedMinAge10),MAX(CapacityAge10*'01_Вводные'!$B$218*AB204,MeanMinAge10)))</f>
        <v/>
      </c>
      <c r="AC118" s="190">
        <f>IF(OR(AC90=0,10&lt;='01_Вводные'!$B$297),0,AC90*IF('01_Вводные'!$B$239="Да",MeanMinAge10+AC204*SUMIF(ThresholdAge10,"&lt;"&amp;AC204,WeightedRevAge10)-SUMIF(ThresholdAge10,"&lt;"&amp;AC204,WeightedMinAge10),MAX(CapacityAge10*'01_Вводные'!$B$218*AC204,MeanMinAge10)))</f>
        <v/>
      </c>
      <c r="AD118" s="190">
        <f>IF(OR(AD90=0,10&lt;='01_Вводные'!$B$297),0,AD90*IF('01_Вводные'!$B$239="Да",MeanMinAge10+AD204*SUMIF(ThresholdAge10,"&lt;"&amp;AD204,WeightedRevAge10)-SUMIF(ThresholdAge10,"&lt;"&amp;AD204,WeightedMinAge10),MAX(CapacityAge10*'01_Вводные'!$B$218*AD204,MeanMinAge10)))</f>
        <v/>
      </c>
      <c r="AE118" s="190">
        <f>IF(OR(AE90=0,10&lt;='01_Вводные'!$B$297),0,AE90*IF('01_Вводные'!$B$239="Да",MeanMinAge10+AE204*SUMIF(ThresholdAge10,"&lt;"&amp;AE204,WeightedRevAge10)-SUMIF(ThresholdAge10,"&lt;"&amp;AE204,WeightedMinAge10),MAX(CapacityAge10*'01_Вводные'!$B$218*AE204,MeanMinAge10)))</f>
        <v/>
      </c>
      <c r="AF118" s="190">
        <f>IF(OR(AF90=0,10&lt;='01_Вводные'!$B$297),0,AF90*IF('01_Вводные'!$B$239="Да",MeanMinAge10+AF204*SUMIF(ThresholdAge10,"&lt;"&amp;AF204,WeightedRevAge10)-SUMIF(ThresholdAge10,"&lt;"&amp;AF204,WeightedMinAge10),MAX(CapacityAge10*'01_Вводные'!$B$218*AF204,MeanMinAge10)))</f>
        <v/>
      </c>
      <c r="AG118" s="190">
        <f>IF(OR(AG90=0,10&lt;='01_Вводные'!$B$297),0,AG90*IF('01_Вводные'!$B$239="Да",MeanMinAge10+AG204*SUMIF(ThresholdAge10,"&lt;"&amp;AG204,WeightedRevAge10)-SUMIF(ThresholdAge10,"&lt;"&amp;AG204,WeightedMinAge10),MAX(CapacityAge10*'01_Вводные'!$B$218*AG204,MeanMinAge10)))</f>
        <v/>
      </c>
      <c r="AH118" s="190">
        <f>IF(OR(AH90=0,10&lt;='01_Вводные'!$B$297),0,AH90*IF('01_Вводные'!$B$239="Да",MeanMinAge10+AH204*SUMIF(ThresholdAge10,"&lt;"&amp;AH204,WeightedRevAge10)-SUMIF(ThresholdAge10,"&lt;"&amp;AH204,WeightedMinAge10),MAX(CapacityAge10*'01_Вводные'!$B$218*AH204,MeanMinAge10)))</f>
        <v/>
      </c>
      <c r="AI118" s="190">
        <f>IF(OR(AI90=0,10&lt;='01_Вводные'!$B$297),0,AI90*IF('01_Вводные'!$B$239="Да",MeanMinAge10+AI204*SUMIF(ThresholdAge10,"&lt;"&amp;AI204,WeightedRevAge10)-SUMIF(ThresholdAge10,"&lt;"&amp;AI204,WeightedMinAge10),MAX(CapacityAge10*'01_Вводные'!$B$218*AI204,MeanMinAge10)))</f>
        <v/>
      </c>
      <c r="AJ118" s="190">
        <f>IF(OR(AJ90=0,10&lt;='01_Вводные'!$B$297),0,AJ90*IF('01_Вводные'!$B$239="Да",MeanMinAge10+AJ204*SUMIF(ThresholdAge10,"&lt;"&amp;AJ204,WeightedRevAge10)-SUMIF(ThresholdAge10,"&lt;"&amp;AJ204,WeightedMinAge10),MAX(CapacityAge10*'01_Вводные'!$B$218*AJ204,MeanMinAge10)))</f>
        <v/>
      </c>
      <c r="AK118" s="190">
        <f>IF(OR(AK90=0,10&lt;='01_Вводные'!$B$297),0,AK90*IF('01_Вводные'!$B$239="Да",MeanMinAge10+AK204*SUMIF(ThresholdAge10,"&lt;"&amp;AK204,WeightedRevAge10)-SUMIF(ThresholdAge10,"&lt;"&amp;AK204,WeightedMinAge10),MAX(CapacityAge10*'01_Вводные'!$B$218*AK204,MeanMinAge10)))</f>
        <v/>
      </c>
      <c r="AL118" s="190">
        <f>IF(OR(AL90=0,10&lt;='01_Вводные'!$B$297),0,AL90*IF('01_Вводные'!$B$239="Да",MeanMinAge10+AL204*SUMIF(ThresholdAge10,"&lt;"&amp;AL204,WeightedRevAge10)-SUMIF(ThresholdAge10,"&lt;"&amp;AL204,WeightedMinAge10),MAX(CapacityAge10*'01_Вводные'!$B$218*AL204,MeanMinAge10)))</f>
        <v/>
      </c>
      <c r="AM118" s="190">
        <f>IF(OR(AM90=0,10&lt;='01_Вводные'!$B$297),0,AM90*IF('01_Вводные'!$B$239="Да",MeanMinAge10+AM204*SUMIF(ThresholdAge10,"&lt;"&amp;AM204,WeightedRevAge10)-SUMIF(ThresholdAge10,"&lt;"&amp;AM204,WeightedMinAge10),MAX(CapacityAge10*'01_Вводные'!$B$218*AM204,MeanMinAge10)))</f>
        <v/>
      </c>
      <c r="AN118" s="190">
        <f>IF(OR(AN90=0,10&lt;='01_Вводные'!$B$297),0,AN90*IF('01_Вводные'!$B$239="Да",MeanMinAge10+AN204*SUMIF(ThresholdAge10,"&lt;"&amp;AN204,WeightedRevAge10)-SUMIF(ThresholdAge10,"&lt;"&amp;AN204,WeightedMinAge10),MAX(CapacityAge10*'01_Вводные'!$B$218*AN204,MeanMinAge10)))</f>
        <v/>
      </c>
      <c r="AO118" s="190">
        <f>IF(OR(AO90=0,10&lt;='01_Вводные'!$B$297),0,AO90*IF('01_Вводные'!$B$239="Да",MeanMinAge10+AO204*SUMIF(ThresholdAge10,"&lt;"&amp;AO204,WeightedRevAge10)-SUMIF(ThresholdAge10,"&lt;"&amp;AO204,WeightedMinAge10),MAX(CapacityAge10*'01_Вводные'!$B$218*AO204,MeanMinAge10)))</f>
        <v/>
      </c>
      <c r="AP118" s="190">
        <f>IF(OR(AP90=0,10&lt;='01_Вводные'!$B$297),0,AP90*IF('01_Вводные'!$B$239="Да",MeanMinAge10+AP204*SUMIF(ThresholdAge10,"&lt;"&amp;AP204,WeightedRevAge10)-SUMIF(ThresholdAge10,"&lt;"&amp;AP204,WeightedMinAge10),MAX(CapacityAge10*'01_Вводные'!$B$218*AP204,MeanMinAge10)))</f>
        <v/>
      </c>
      <c r="AQ118" s="190">
        <f>IF(OR(AQ90=0,10&lt;='01_Вводные'!$B$297),0,AQ90*IF('01_Вводные'!$B$239="Да",MeanMinAge10+AQ204*SUMIF(ThresholdAge10,"&lt;"&amp;AQ204,WeightedRevAge10)-SUMIF(ThresholdAge10,"&lt;"&amp;AQ204,WeightedMinAge10),MAX(CapacityAge10*'01_Вводные'!$B$218*AQ204,MeanMinAge10)))</f>
        <v/>
      </c>
      <c r="AR118" s="190">
        <f>IF(OR(AR90=0,10&lt;='01_Вводные'!$B$297),0,AR90*IF('01_Вводные'!$B$239="Да",MeanMinAge10+AR204*SUMIF(ThresholdAge10,"&lt;"&amp;AR204,WeightedRevAge10)-SUMIF(ThresholdAge10,"&lt;"&amp;AR204,WeightedMinAge10),MAX(CapacityAge10*'01_Вводные'!$B$218*AR204,MeanMinAge10)))</f>
        <v/>
      </c>
      <c r="AS118" s="190">
        <f>IF(OR(AS90=0,10&lt;='01_Вводные'!$B$297),0,AS90*IF('01_Вводные'!$B$239="Да",MeanMinAge10+AS204*SUMIF(ThresholdAge10,"&lt;"&amp;AS204,WeightedRevAge10)-SUMIF(ThresholdAge10,"&lt;"&amp;AS204,WeightedMinAge10),MAX(CapacityAge10*'01_Вводные'!$B$218*AS204,MeanMinAge10)))</f>
        <v/>
      </c>
      <c r="AT118" s="190">
        <f>IF(OR(AT90=0,10&lt;='01_Вводные'!$B$297),0,AT90*IF('01_Вводные'!$B$239="Да",MeanMinAge10+AT204*SUMIF(ThresholdAge10,"&lt;"&amp;AT204,WeightedRevAge10)-SUMIF(ThresholdAge10,"&lt;"&amp;AT204,WeightedMinAge10),MAX(CapacityAge10*'01_Вводные'!$B$218*AT204,MeanMinAge10)))</f>
        <v/>
      </c>
      <c r="AU118" s="190">
        <f>IF(OR(AU90=0,10&lt;='01_Вводные'!$B$297),0,AU90*IF('01_Вводные'!$B$239="Да",MeanMinAge10+AU204*SUMIF(ThresholdAge10,"&lt;"&amp;AU204,WeightedRevAge10)-SUMIF(ThresholdAge10,"&lt;"&amp;AU204,WeightedMinAge10),MAX(CapacityAge10*'01_Вводные'!$B$218*AU204,MeanMinAge10)))</f>
        <v/>
      </c>
      <c r="AV118" s="190">
        <f>IF(OR(AV90=0,10&lt;='01_Вводные'!$B$297),0,AV90*IF('01_Вводные'!$B$239="Да",MeanMinAge10+AV204*SUMIF(ThresholdAge10,"&lt;"&amp;AV204,WeightedRevAge10)-SUMIF(ThresholdAge10,"&lt;"&amp;AV204,WeightedMinAge10),MAX(CapacityAge10*'01_Вводные'!$B$218*AV204,MeanMinAge10)))</f>
        <v/>
      </c>
      <c r="AW118" s="190">
        <f>IF(OR(AW90=0,10&lt;='01_Вводные'!$B$297),0,AW90*IF('01_Вводные'!$B$239="Да",MeanMinAge10+AW204*SUMIF(ThresholdAge10,"&lt;"&amp;AW204,WeightedRevAge10)-SUMIF(ThresholdAge10,"&lt;"&amp;AW204,WeightedMinAge10),MAX(CapacityAge10*'01_Вводные'!$B$218*AW204,MeanMinAge10)))</f>
        <v/>
      </c>
      <c r="AX118" s="190">
        <f>IF(OR(AX90=0,10&lt;='01_Вводные'!$B$297),0,AX90*IF('01_Вводные'!$B$239="Да",MeanMinAge10+AX204*SUMIF(ThresholdAge10,"&lt;"&amp;AX204,WeightedRevAge10)-SUMIF(ThresholdAge10,"&lt;"&amp;AX204,WeightedMinAge10),MAX(CapacityAge10*'01_Вводные'!$B$218*AX204,MeanMinAge10)))</f>
        <v/>
      </c>
      <c r="AY118" s="190">
        <f>IF(OR(AY90=0,10&lt;='01_Вводные'!$B$297),0,AY90*IF('01_Вводные'!$B$239="Да",MeanMinAge10+AY204*SUMIF(ThresholdAge10,"&lt;"&amp;AY204,WeightedRevAge10)-SUMIF(ThresholdAge10,"&lt;"&amp;AY204,WeightedMinAge10),MAX(CapacityAge10*'01_Вводные'!$B$218*AY204,MeanMinAge10)))</f>
        <v/>
      </c>
      <c r="AZ118" s="190">
        <f>IF(OR(AZ90=0,10&lt;='01_Вводные'!$B$297),0,AZ90*IF('01_Вводные'!$B$239="Да",MeanMinAge10+AZ204*SUMIF(ThresholdAge10,"&lt;"&amp;AZ204,WeightedRevAge10)-SUMIF(ThresholdAge10,"&lt;"&amp;AZ204,WeightedMinAge10),MAX(CapacityAge10*'01_Вводные'!$B$218*AZ204,MeanMinAge10)))</f>
        <v/>
      </c>
      <c r="BA118" s="190">
        <f>IF(OR(BA90=0,10&lt;='01_Вводные'!$B$297),0,BA90*IF('01_Вводные'!$B$239="Да",MeanMinAge10+BA204*SUMIF(ThresholdAge10,"&lt;"&amp;BA204,WeightedRevAge10)-SUMIF(ThresholdAge10,"&lt;"&amp;BA204,WeightedMinAge10),MAX(CapacityAge10*'01_Вводные'!$B$218*BA204,MeanMinAge10)))</f>
        <v/>
      </c>
      <c r="BB118" s="190">
        <f>IF(OR(BB90=0,10&lt;='01_Вводные'!$B$297),0,BB90*IF('01_Вводные'!$B$239="Да",MeanMinAge10+BB204*SUMIF(ThresholdAge10,"&lt;"&amp;BB204,WeightedRevAge10)-SUMIF(ThresholdAge10,"&lt;"&amp;BB204,WeightedMinAge10),MAX(CapacityAge10*'01_Вводные'!$B$218*BB204,MeanMinAge10)))</f>
        <v/>
      </c>
      <c r="BC118" s="190">
        <f>IF(OR(BC90=0,10&lt;='01_Вводные'!$B$297),0,BC90*IF('01_Вводные'!$B$239="Да",MeanMinAge10+BC204*SUMIF(ThresholdAge10,"&lt;"&amp;BC204,WeightedRevAge10)-SUMIF(ThresholdAge10,"&lt;"&amp;BC204,WeightedMinAge10),MAX(CapacityAge10*'01_Вводные'!$B$218*BC204,MeanMinAge10)))</f>
        <v/>
      </c>
      <c r="BD118" s="190">
        <f>IF(OR(BD90=0,10&lt;='01_Вводные'!$B$297),0,BD90*IF('01_Вводные'!$B$239="Да",MeanMinAge10+BD204*SUMIF(ThresholdAge10,"&lt;"&amp;BD204,WeightedRevAge10)-SUMIF(ThresholdAge10,"&lt;"&amp;BD204,WeightedMinAge10),MAX(CapacityAge10*'01_Вводные'!$B$218*BD204,MeanMinAge10)))</f>
        <v/>
      </c>
      <c r="BE118" s="190">
        <f>IF(OR(BE90=0,10&lt;='01_Вводные'!$B$297),0,BE90*IF('01_Вводные'!$B$239="Да",MeanMinAge10+BE204*SUMIF(ThresholdAge10,"&lt;"&amp;BE204,WeightedRevAge10)-SUMIF(ThresholdAge10,"&lt;"&amp;BE204,WeightedMinAge10),MAX(CapacityAge10*'01_Вводные'!$B$218*BE204,MeanMinAge10)))</f>
        <v/>
      </c>
      <c r="BF118" s="190">
        <f>IF(OR(BF90=0,10&lt;='01_Вводные'!$B$297),0,BF90*IF('01_Вводные'!$B$239="Да",MeanMinAge10+BF204*SUMIF(ThresholdAge10,"&lt;"&amp;BF204,WeightedRevAge10)-SUMIF(ThresholdAge10,"&lt;"&amp;BF204,WeightedMinAge10),MAX(CapacityAge10*'01_Вводные'!$B$218*BF204,MeanMinAge10)))</f>
        <v/>
      </c>
      <c r="BG118" s="190">
        <f>IF(OR(BG90=0,10&lt;='01_Вводные'!$B$297),0,BG90*IF('01_Вводные'!$B$239="Да",MeanMinAge10+BG204*SUMIF(ThresholdAge10,"&lt;"&amp;BG204,WeightedRevAge10)-SUMIF(ThresholdAge10,"&lt;"&amp;BG204,WeightedMinAge10),MAX(CapacityAge10*'01_Вводные'!$B$218*BG204,MeanMinAge10)))</f>
        <v/>
      </c>
      <c r="BH118" s="190">
        <f>IF(OR(BH90=0,10&lt;='01_Вводные'!$B$297),0,BH90*IF('01_Вводные'!$B$239="Да",MeanMinAge10+BH204*SUMIF(ThresholdAge10,"&lt;"&amp;BH204,WeightedRevAge10)-SUMIF(ThresholdAge10,"&lt;"&amp;BH204,WeightedMinAge10),MAX(CapacityAge10*'01_Вводные'!$B$218*BH204,MeanMinAge10)))</f>
        <v/>
      </c>
      <c r="BI118" s="190">
        <f>IF(OR(BI90=0,10&lt;='01_Вводные'!$B$297),0,BI90*IF('01_Вводные'!$B$239="Да",MeanMinAge10+BI204*SUMIF(ThresholdAge10,"&lt;"&amp;BI204,WeightedRevAge10)-SUMIF(ThresholdAge10,"&lt;"&amp;BI204,WeightedMinAge10),MAX(CapacityAge10*'01_Вводные'!$B$218*BI204,MeanMinAge10)))</f>
        <v/>
      </c>
      <c r="BJ118" s="190">
        <f>IF(OR(BJ90=0,10&lt;='01_Вводные'!$B$297),0,BJ90*IF('01_Вводные'!$B$239="Да",MeanMinAge10+BJ204*SUMIF(ThresholdAge10,"&lt;"&amp;BJ204,WeightedRevAge10)-SUMIF(ThresholdAge10,"&lt;"&amp;BJ204,WeightedMinAge10),MAX(CapacityAge10*'01_Вводные'!$B$218*BJ204,MeanMinAge10)))</f>
        <v/>
      </c>
      <c r="BK118" s="190">
        <f>IF(OR(BK90=0,10&lt;='01_Вводные'!$B$297),0,BK90*IF('01_Вводные'!$B$239="Да",MeanMinAge10+BK204*SUMIF(ThresholdAge10,"&lt;"&amp;BK204,WeightedRevAge10)-SUMIF(ThresholdAge10,"&lt;"&amp;BK204,WeightedMinAge10),MAX(CapacityAge10*'01_Вводные'!$B$218*BK204,MeanMinAge10)))</f>
        <v/>
      </c>
      <c r="BL118" s="190">
        <f>IF(OR(BL90=0,10&lt;='01_Вводные'!$B$297),0,BL90*IF('01_Вводные'!$B$239="Да",MeanMinAge10+BL204*SUMIF(ThresholdAge10,"&lt;"&amp;BL204,WeightedRevAge10)-SUMIF(ThresholdAge10,"&lt;"&amp;BL204,WeightedMinAge10),MAX(CapacityAge10*'01_Вводные'!$B$218*BL204,MeanMinAge10)))</f>
        <v/>
      </c>
      <c r="BM118" s="190">
        <f>IF(OR(BM90=0,10&lt;='01_Вводные'!$B$297),0,BM90*IF('01_Вводные'!$B$239="Да",MeanMinAge10+BM204*SUMIF(ThresholdAge10,"&lt;"&amp;BM204,WeightedRevAge10)-SUMIF(ThresholdAge10,"&lt;"&amp;BM204,WeightedMinAge10),MAX(CapacityAge10*'01_Вводные'!$B$218*BM204,MeanMinAge10)))</f>
        <v/>
      </c>
      <c r="BN118" s="190">
        <f>IF(OR(BN90=0,10&lt;='01_Вводные'!$B$297),0,BN90*IF('01_Вводные'!$B$239="Да",MeanMinAge10+BN204*SUMIF(ThresholdAge10,"&lt;"&amp;BN204,WeightedRevAge10)-SUMIF(ThresholdAge10,"&lt;"&amp;BN204,WeightedMinAge10),MAX(CapacityAge10*'01_Вводные'!$B$218*BN204,MeanMinAge10)))</f>
        <v/>
      </c>
      <c r="BO118" s="190">
        <f>IF(OR(BO90=0,10&lt;='01_Вводные'!$B$297),0,BO90*IF('01_Вводные'!$B$239="Да",MeanMinAge10+BO204*SUMIF(ThresholdAge10,"&lt;"&amp;BO204,WeightedRevAge10)-SUMIF(ThresholdAge10,"&lt;"&amp;BO204,WeightedMinAge10),MAX(CapacityAge10*'01_Вводные'!$B$218*BO204,MeanMinAge10)))</f>
        <v/>
      </c>
    </row>
    <row r="119" hidden="1" outlineLevel="1">
      <c r="A119" t="inlineStr">
        <is>
          <t>11 мес.</t>
        </is>
      </c>
      <c r="B119" s="190">
        <f>IF(OR(B91=0,11&lt;='01_Вводные'!$B$297),0,B91*IF('01_Вводные'!$B$239="Да",MeanMinAge11+B204*SUMIF(ThresholdAge11,"&lt;"&amp;B204,WeightedRevAge11)-SUMIF(ThresholdAge11,"&lt;"&amp;B204,WeightedMinAge11),MAX(CapacityAge11*'01_Вводные'!$B$218*B204,MeanMinAge11)))</f>
        <v/>
      </c>
      <c r="C119" s="190">
        <f>IF(OR(C91=0,11&lt;='01_Вводные'!$B$297),0,C91*IF('01_Вводные'!$B$239="Да",MeanMinAge11+C204*SUMIF(ThresholdAge11,"&lt;"&amp;C204,WeightedRevAge11)-SUMIF(ThresholdAge11,"&lt;"&amp;C204,WeightedMinAge11),MAX(CapacityAge11*'01_Вводные'!$B$218*C204,MeanMinAge11)))</f>
        <v/>
      </c>
      <c r="D119" s="190">
        <f>IF(OR(D91=0,11&lt;='01_Вводные'!$B$297),0,D91*IF('01_Вводные'!$B$239="Да",MeanMinAge11+D204*SUMIF(ThresholdAge11,"&lt;"&amp;D204,WeightedRevAge11)-SUMIF(ThresholdAge11,"&lt;"&amp;D204,WeightedMinAge11),MAX(CapacityAge11*'01_Вводные'!$B$218*D204,MeanMinAge11)))</f>
        <v/>
      </c>
      <c r="E119" s="190">
        <f>IF(OR(E91=0,11&lt;='01_Вводные'!$B$297),0,E91*IF('01_Вводные'!$B$239="Да",MeanMinAge11+E204*SUMIF(ThresholdAge11,"&lt;"&amp;E204,WeightedRevAge11)-SUMIF(ThresholdAge11,"&lt;"&amp;E204,WeightedMinAge11),MAX(CapacityAge11*'01_Вводные'!$B$218*E204,MeanMinAge11)))</f>
        <v/>
      </c>
      <c r="F119" s="190">
        <f>IF(OR(F91=0,11&lt;='01_Вводные'!$B$297),0,F91*IF('01_Вводные'!$B$239="Да",MeanMinAge11+F204*SUMIF(ThresholdAge11,"&lt;"&amp;F204,WeightedRevAge11)-SUMIF(ThresholdAge11,"&lt;"&amp;F204,WeightedMinAge11),MAX(CapacityAge11*'01_Вводные'!$B$218*F204,MeanMinAge11)))</f>
        <v/>
      </c>
      <c r="G119" s="190">
        <f>IF(OR(G91=0,11&lt;='01_Вводные'!$B$297),0,G91*IF('01_Вводные'!$B$239="Да",MeanMinAge11+G204*SUMIF(ThresholdAge11,"&lt;"&amp;G204,WeightedRevAge11)-SUMIF(ThresholdAge11,"&lt;"&amp;G204,WeightedMinAge11),MAX(CapacityAge11*'01_Вводные'!$B$218*G204,MeanMinAge11)))</f>
        <v/>
      </c>
      <c r="H119" s="190">
        <f>IF(OR(H91=0,11&lt;='01_Вводные'!$B$297),0,H91*IF('01_Вводные'!$B$239="Да",MeanMinAge11+H204*SUMIF(ThresholdAge11,"&lt;"&amp;H204,WeightedRevAge11)-SUMIF(ThresholdAge11,"&lt;"&amp;H204,WeightedMinAge11),MAX(CapacityAge11*'01_Вводные'!$B$218*H204,MeanMinAge11)))</f>
        <v/>
      </c>
      <c r="I119" s="190">
        <f>IF(OR(I91=0,11&lt;='01_Вводные'!$B$297),0,I91*IF('01_Вводные'!$B$239="Да",MeanMinAge11+I204*SUMIF(ThresholdAge11,"&lt;"&amp;I204,WeightedRevAge11)-SUMIF(ThresholdAge11,"&lt;"&amp;I204,WeightedMinAge11),MAX(CapacityAge11*'01_Вводные'!$B$218*I204,MeanMinAge11)))</f>
        <v/>
      </c>
      <c r="J119" s="190">
        <f>IF(OR(J91=0,11&lt;='01_Вводные'!$B$297),0,J91*IF('01_Вводные'!$B$239="Да",MeanMinAge11+J204*SUMIF(ThresholdAge11,"&lt;"&amp;J204,WeightedRevAge11)-SUMIF(ThresholdAge11,"&lt;"&amp;J204,WeightedMinAge11),MAX(CapacityAge11*'01_Вводные'!$B$218*J204,MeanMinAge11)))</f>
        <v/>
      </c>
      <c r="K119" s="190">
        <f>IF(OR(K91=0,11&lt;='01_Вводные'!$B$297),0,K91*IF('01_Вводные'!$B$239="Да",MeanMinAge11+K204*SUMIF(ThresholdAge11,"&lt;"&amp;K204,WeightedRevAge11)-SUMIF(ThresholdAge11,"&lt;"&amp;K204,WeightedMinAge11),MAX(CapacityAge11*'01_Вводные'!$B$218*K204,MeanMinAge11)))</f>
        <v/>
      </c>
      <c r="L119" s="190">
        <f>IF(OR(L91=0,11&lt;='01_Вводные'!$B$297),0,L91*IF('01_Вводные'!$B$239="Да",MeanMinAge11+L204*SUMIF(ThresholdAge11,"&lt;"&amp;L204,WeightedRevAge11)-SUMIF(ThresholdAge11,"&lt;"&amp;L204,WeightedMinAge11),MAX(CapacityAge11*'01_Вводные'!$B$218*L204,MeanMinAge11)))</f>
        <v/>
      </c>
      <c r="M119" s="190">
        <f>IF(OR(M91=0,11&lt;='01_Вводные'!$B$297),0,M91*IF('01_Вводные'!$B$239="Да",MeanMinAge11+M204*SUMIF(ThresholdAge11,"&lt;"&amp;M204,WeightedRevAge11)-SUMIF(ThresholdAge11,"&lt;"&amp;M204,WeightedMinAge11),MAX(CapacityAge11*'01_Вводные'!$B$218*M204,MeanMinAge11)))</f>
        <v/>
      </c>
      <c r="N119" s="190">
        <f>IF(OR(N91=0,11&lt;='01_Вводные'!$B$297),0,N91*IF('01_Вводные'!$B$239="Да",MeanMinAge11+N204*SUMIF(ThresholdAge11,"&lt;"&amp;N204,WeightedRevAge11)-SUMIF(ThresholdAge11,"&lt;"&amp;N204,WeightedMinAge11),MAX(CapacityAge11*'01_Вводные'!$B$218*N204,MeanMinAge11)))</f>
        <v/>
      </c>
      <c r="O119" s="190">
        <f>IF(OR(O91=0,11&lt;='01_Вводные'!$B$297),0,O91*IF('01_Вводные'!$B$239="Да",MeanMinAge11+O204*SUMIF(ThresholdAge11,"&lt;"&amp;O204,WeightedRevAge11)-SUMIF(ThresholdAge11,"&lt;"&amp;O204,WeightedMinAge11),MAX(CapacityAge11*'01_Вводные'!$B$218*O204,MeanMinAge11)))</f>
        <v/>
      </c>
      <c r="P119" s="190">
        <f>IF(OR(P91=0,11&lt;='01_Вводные'!$B$297),0,P91*IF('01_Вводные'!$B$239="Да",MeanMinAge11+P204*SUMIF(ThresholdAge11,"&lt;"&amp;P204,WeightedRevAge11)-SUMIF(ThresholdAge11,"&lt;"&amp;P204,WeightedMinAge11),MAX(CapacityAge11*'01_Вводные'!$B$218*P204,MeanMinAge11)))</f>
        <v/>
      </c>
      <c r="Q119" s="190">
        <f>IF(OR(Q91=0,11&lt;='01_Вводные'!$B$297),0,Q91*IF('01_Вводные'!$B$239="Да",MeanMinAge11+Q204*SUMIF(ThresholdAge11,"&lt;"&amp;Q204,WeightedRevAge11)-SUMIF(ThresholdAge11,"&lt;"&amp;Q204,WeightedMinAge11),MAX(CapacityAge11*'01_Вводные'!$B$218*Q204,MeanMinAge11)))</f>
        <v/>
      </c>
      <c r="R119" s="190">
        <f>IF(OR(R91=0,11&lt;='01_Вводные'!$B$297),0,R91*IF('01_Вводные'!$B$239="Да",MeanMinAge11+R204*SUMIF(ThresholdAge11,"&lt;"&amp;R204,WeightedRevAge11)-SUMIF(ThresholdAge11,"&lt;"&amp;R204,WeightedMinAge11),MAX(CapacityAge11*'01_Вводные'!$B$218*R204,MeanMinAge11)))</f>
        <v/>
      </c>
      <c r="S119" s="190">
        <f>IF(OR(S91=0,11&lt;='01_Вводные'!$B$297),0,S91*IF('01_Вводные'!$B$239="Да",MeanMinAge11+S204*SUMIF(ThresholdAge11,"&lt;"&amp;S204,WeightedRevAge11)-SUMIF(ThresholdAge11,"&lt;"&amp;S204,WeightedMinAge11),MAX(CapacityAge11*'01_Вводные'!$B$218*S204,MeanMinAge11)))</f>
        <v/>
      </c>
      <c r="T119" s="190">
        <f>IF(OR(T91=0,11&lt;='01_Вводные'!$B$297),0,T91*IF('01_Вводные'!$B$239="Да",MeanMinAge11+T204*SUMIF(ThresholdAge11,"&lt;"&amp;T204,WeightedRevAge11)-SUMIF(ThresholdAge11,"&lt;"&amp;T204,WeightedMinAge11),MAX(CapacityAge11*'01_Вводные'!$B$218*T204,MeanMinAge11)))</f>
        <v/>
      </c>
      <c r="U119" s="190">
        <f>IF(OR(U91=0,11&lt;='01_Вводные'!$B$297),0,U91*IF('01_Вводные'!$B$239="Да",MeanMinAge11+U204*SUMIF(ThresholdAge11,"&lt;"&amp;U204,WeightedRevAge11)-SUMIF(ThresholdAge11,"&lt;"&amp;U204,WeightedMinAge11),MAX(CapacityAge11*'01_Вводные'!$B$218*U204,MeanMinAge11)))</f>
        <v/>
      </c>
      <c r="V119" s="190">
        <f>IF(OR(V91=0,11&lt;='01_Вводные'!$B$297),0,V91*IF('01_Вводные'!$B$239="Да",MeanMinAge11+V204*SUMIF(ThresholdAge11,"&lt;"&amp;V204,WeightedRevAge11)-SUMIF(ThresholdAge11,"&lt;"&amp;V204,WeightedMinAge11),MAX(CapacityAge11*'01_Вводные'!$B$218*V204,MeanMinAge11)))</f>
        <v/>
      </c>
      <c r="W119" s="190">
        <f>IF(OR(W91=0,11&lt;='01_Вводные'!$B$297),0,W91*IF('01_Вводные'!$B$239="Да",MeanMinAge11+W204*SUMIF(ThresholdAge11,"&lt;"&amp;W204,WeightedRevAge11)-SUMIF(ThresholdAge11,"&lt;"&amp;W204,WeightedMinAge11),MAX(CapacityAge11*'01_Вводные'!$B$218*W204,MeanMinAge11)))</f>
        <v/>
      </c>
      <c r="X119" s="190">
        <f>IF(OR(X91=0,11&lt;='01_Вводные'!$B$297),0,X91*IF('01_Вводные'!$B$239="Да",MeanMinAge11+X204*SUMIF(ThresholdAge11,"&lt;"&amp;X204,WeightedRevAge11)-SUMIF(ThresholdAge11,"&lt;"&amp;X204,WeightedMinAge11),MAX(CapacityAge11*'01_Вводные'!$B$218*X204,MeanMinAge11)))</f>
        <v/>
      </c>
      <c r="Y119" s="190">
        <f>IF(OR(Y91=0,11&lt;='01_Вводные'!$B$297),0,Y91*IF('01_Вводные'!$B$239="Да",MeanMinAge11+Y204*SUMIF(ThresholdAge11,"&lt;"&amp;Y204,WeightedRevAge11)-SUMIF(ThresholdAge11,"&lt;"&amp;Y204,WeightedMinAge11),MAX(CapacityAge11*'01_Вводные'!$B$218*Y204,MeanMinAge11)))</f>
        <v/>
      </c>
      <c r="Z119" s="190">
        <f>IF(OR(Z91=0,11&lt;='01_Вводные'!$B$297),0,Z91*IF('01_Вводные'!$B$239="Да",MeanMinAge11+Z204*SUMIF(ThresholdAge11,"&lt;"&amp;Z204,WeightedRevAge11)-SUMIF(ThresholdAge11,"&lt;"&amp;Z204,WeightedMinAge11),MAX(CapacityAge11*'01_Вводные'!$B$218*Z204,MeanMinAge11)))</f>
        <v/>
      </c>
      <c r="AA119" s="190">
        <f>IF(OR(AA91=0,11&lt;='01_Вводные'!$B$297),0,AA91*IF('01_Вводные'!$B$239="Да",MeanMinAge11+AA204*SUMIF(ThresholdAge11,"&lt;"&amp;AA204,WeightedRevAge11)-SUMIF(ThresholdAge11,"&lt;"&amp;AA204,WeightedMinAge11),MAX(CapacityAge11*'01_Вводные'!$B$218*AA204,MeanMinAge11)))</f>
        <v/>
      </c>
      <c r="AB119" s="190">
        <f>IF(OR(AB91=0,11&lt;='01_Вводные'!$B$297),0,AB91*IF('01_Вводные'!$B$239="Да",MeanMinAge11+AB204*SUMIF(ThresholdAge11,"&lt;"&amp;AB204,WeightedRevAge11)-SUMIF(ThresholdAge11,"&lt;"&amp;AB204,WeightedMinAge11),MAX(CapacityAge11*'01_Вводные'!$B$218*AB204,MeanMinAge11)))</f>
        <v/>
      </c>
      <c r="AC119" s="190">
        <f>IF(OR(AC91=0,11&lt;='01_Вводные'!$B$297),0,AC91*IF('01_Вводные'!$B$239="Да",MeanMinAge11+AC204*SUMIF(ThresholdAge11,"&lt;"&amp;AC204,WeightedRevAge11)-SUMIF(ThresholdAge11,"&lt;"&amp;AC204,WeightedMinAge11),MAX(CapacityAge11*'01_Вводные'!$B$218*AC204,MeanMinAge11)))</f>
        <v/>
      </c>
      <c r="AD119" s="190">
        <f>IF(OR(AD91=0,11&lt;='01_Вводные'!$B$297),0,AD91*IF('01_Вводные'!$B$239="Да",MeanMinAge11+AD204*SUMIF(ThresholdAge11,"&lt;"&amp;AD204,WeightedRevAge11)-SUMIF(ThresholdAge11,"&lt;"&amp;AD204,WeightedMinAge11),MAX(CapacityAge11*'01_Вводные'!$B$218*AD204,MeanMinAge11)))</f>
        <v/>
      </c>
      <c r="AE119" s="190">
        <f>IF(OR(AE91=0,11&lt;='01_Вводные'!$B$297),0,AE91*IF('01_Вводные'!$B$239="Да",MeanMinAge11+AE204*SUMIF(ThresholdAge11,"&lt;"&amp;AE204,WeightedRevAge11)-SUMIF(ThresholdAge11,"&lt;"&amp;AE204,WeightedMinAge11),MAX(CapacityAge11*'01_Вводные'!$B$218*AE204,MeanMinAge11)))</f>
        <v/>
      </c>
      <c r="AF119" s="190">
        <f>IF(OR(AF91=0,11&lt;='01_Вводные'!$B$297),0,AF91*IF('01_Вводные'!$B$239="Да",MeanMinAge11+AF204*SUMIF(ThresholdAge11,"&lt;"&amp;AF204,WeightedRevAge11)-SUMIF(ThresholdAge11,"&lt;"&amp;AF204,WeightedMinAge11),MAX(CapacityAge11*'01_Вводные'!$B$218*AF204,MeanMinAge11)))</f>
        <v/>
      </c>
      <c r="AG119" s="190">
        <f>IF(OR(AG91=0,11&lt;='01_Вводные'!$B$297),0,AG91*IF('01_Вводные'!$B$239="Да",MeanMinAge11+AG204*SUMIF(ThresholdAge11,"&lt;"&amp;AG204,WeightedRevAge11)-SUMIF(ThresholdAge11,"&lt;"&amp;AG204,WeightedMinAge11),MAX(CapacityAge11*'01_Вводные'!$B$218*AG204,MeanMinAge11)))</f>
        <v/>
      </c>
      <c r="AH119" s="190">
        <f>IF(OR(AH91=0,11&lt;='01_Вводные'!$B$297),0,AH91*IF('01_Вводные'!$B$239="Да",MeanMinAge11+AH204*SUMIF(ThresholdAge11,"&lt;"&amp;AH204,WeightedRevAge11)-SUMIF(ThresholdAge11,"&lt;"&amp;AH204,WeightedMinAge11),MAX(CapacityAge11*'01_Вводные'!$B$218*AH204,MeanMinAge11)))</f>
        <v/>
      </c>
      <c r="AI119" s="190">
        <f>IF(OR(AI91=0,11&lt;='01_Вводные'!$B$297),0,AI91*IF('01_Вводные'!$B$239="Да",MeanMinAge11+AI204*SUMIF(ThresholdAge11,"&lt;"&amp;AI204,WeightedRevAge11)-SUMIF(ThresholdAge11,"&lt;"&amp;AI204,WeightedMinAge11),MAX(CapacityAge11*'01_Вводные'!$B$218*AI204,MeanMinAge11)))</f>
        <v/>
      </c>
      <c r="AJ119" s="190">
        <f>IF(OR(AJ91=0,11&lt;='01_Вводные'!$B$297),0,AJ91*IF('01_Вводные'!$B$239="Да",MeanMinAge11+AJ204*SUMIF(ThresholdAge11,"&lt;"&amp;AJ204,WeightedRevAge11)-SUMIF(ThresholdAge11,"&lt;"&amp;AJ204,WeightedMinAge11),MAX(CapacityAge11*'01_Вводные'!$B$218*AJ204,MeanMinAge11)))</f>
        <v/>
      </c>
      <c r="AK119" s="190">
        <f>IF(OR(AK91=0,11&lt;='01_Вводные'!$B$297),0,AK91*IF('01_Вводные'!$B$239="Да",MeanMinAge11+AK204*SUMIF(ThresholdAge11,"&lt;"&amp;AK204,WeightedRevAge11)-SUMIF(ThresholdAge11,"&lt;"&amp;AK204,WeightedMinAge11),MAX(CapacityAge11*'01_Вводные'!$B$218*AK204,MeanMinAge11)))</f>
        <v/>
      </c>
      <c r="AL119" s="190">
        <f>IF(OR(AL91=0,11&lt;='01_Вводные'!$B$297),0,AL91*IF('01_Вводные'!$B$239="Да",MeanMinAge11+AL204*SUMIF(ThresholdAge11,"&lt;"&amp;AL204,WeightedRevAge11)-SUMIF(ThresholdAge11,"&lt;"&amp;AL204,WeightedMinAge11),MAX(CapacityAge11*'01_Вводные'!$B$218*AL204,MeanMinAge11)))</f>
        <v/>
      </c>
      <c r="AM119" s="190">
        <f>IF(OR(AM91=0,11&lt;='01_Вводные'!$B$297),0,AM91*IF('01_Вводные'!$B$239="Да",MeanMinAge11+AM204*SUMIF(ThresholdAge11,"&lt;"&amp;AM204,WeightedRevAge11)-SUMIF(ThresholdAge11,"&lt;"&amp;AM204,WeightedMinAge11),MAX(CapacityAge11*'01_Вводные'!$B$218*AM204,MeanMinAge11)))</f>
        <v/>
      </c>
      <c r="AN119" s="190">
        <f>IF(OR(AN91=0,11&lt;='01_Вводные'!$B$297),0,AN91*IF('01_Вводные'!$B$239="Да",MeanMinAge11+AN204*SUMIF(ThresholdAge11,"&lt;"&amp;AN204,WeightedRevAge11)-SUMIF(ThresholdAge11,"&lt;"&amp;AN204,WeightedMinAge11),MAX(CapacityAge11*'01_Вводные'!$B$218*AN204,MeanMinAge11)))</f>
        <v/>
      </c>
      <c r="AO119" s="190">
        <f>IF(OR(AO91=0,11&lt;='01_Вводные'!$B$297),0,AO91*IF('01_Вводные'!$B$239="Да",MeanMinAge11+AO204*SUMIF(ThresholdAge11,"&lt;"&amp;AO204,WeightedRevAge11)-SUMIF(ThresholdAge11,"&lt;"&amp;AO204,WeightedMinAge11),MAX(CapacityAge11*'01_Вводные'!$B$218*AO204,MeanMinAge11)))</f>
        <v/>
      </c>
      <c r="AP119" s="190">
        <f>IF(OR(AP91=0,11&lt;='01_Вводные'!$B$297),0,AP91*IF('01_Вводные'!$B$239="Да",MeanMinAge11+AP204*SUMIF(ThresholdAge11,"&lt;"&amp;AP204,WeightedRevAge11)-SUMIF(ThresholdAge11,"&lt;"&amp;AP204,WeightedMinAge11),MAX(CapacityAge11*'01_Вводные'!$B$218*AP204,MeanMinAge11)))</f>
        <v/>
      </c>
      <c r="AQ119" s="190">
        <f>IF(OR(AQ91=0,11&lt;='01_Вводные'!$B$297),0,AQ91*IF('01_Вводные'!$B$239="Да",MeanMinAge11+AQ204*SUMIF(ThresholdAge11,"&lt;"&amp;AQ204,WeightedRevAge11)-SUMIF(ThresholdAge11,"&lt;"&amp;AQ204,WeightedMinAge11),MAX(CapacityAge11*'01_Вводные'!$B$218*AQ204,MeanMinAge11)))</f>
        <v/>
      </c>
      <c r="AR119" s="190">
        <f>IF(OR(AR91=0,11&lt;='01_Вводные'!$B$297),0,AR91*IF('01_Вводные'!$B$239="Да",MeanMinAge11+AR204*SUMIF(ThresholdAge11,"&lt;"&amp;AR204,WeightedRevAge11)-SUMIF(ThresholdAge11,"&lt;"&amp;AR204,WeightedMinAge11),MAX(CapacityAge11*'01_Вводные'!$B$218*AR204,MeanMinAge11)))</f>
        <v/>
      </c>
      <c r="AS119" s="190">
        <f>IF(OR(AS91=0,11&lt;='01_Вводные'!$B$297),0,AS91*IF('01_Вводные'!$B$239="Да",MeanMinAge11+AS204*SUMIF(ThresholdAge11,"&lt;"&amp;AS204,WeightedRevAge11)-SUMIF(ThresholdAge11,"&lt;"&amp;AS204,WeightedMinAge11),MAX(CapacityAge11*'01_Вводные'!$B$218*AS204,MeanMinAge11)))</f>
        <v/>
      </c>
      <c r="AT119" s="190">
        <f>IF(OR(AT91=0,11&lt;='01_Вводные'!$B$297),0,AT91*IF('01_Вводные'!$B$239="Да",MeanMinAge11+AT204*SUMIF(ThresholdAge11,"&lt;"&amp;AT204,WeightedRevAge11)-SUMIF(ThresholdAge11,"&lt;"&amp;AT204,WeightedMinAge11),MAX(CapacityAge11*'01_Вводные'!$B$218*AT204,MeanMinAge11)))</f>
        <v/>
      </c>
      <c r="AU119" s="190">
        <f>IF(OR(AU91=0,11&lt;='01_Вводные'!$B$297),0,AU91*IF('01_Вводные'!$B$239="Да",MeanMinAge11+AU204*SUMIF(ThresholdAge11,"&lt;"&amp;AU204,WeightedRevAge11)-SUMIF(ThresholdAge11,"&lt;"&amp;AU204,WeightedMinAge11),MAX(CapacityAge11*'01_Вводные'!$B$218*AU204,MeanMinAge11)))</f>
        <v/>
      </c>
      <c r="AV119" s="190">
        <f>IF(OR(AV91=0,11&lt;='01_Вводные'!$B$297),0,AV91*IF('01_Вводные'!$B$239="Да",MeanMinAge11+AV204*SUMIF(ThresholdAge11,"&lt;"&amp;AV204,WeightedRevAge11)-SUMIF(ThresholdAge11,"&lt;"&amp;AV204,WeightedMinAge11),MAX(CapacityAge11*'01_Вводные'!$B$218*AV204,MeanMinAge11)))</f>
        <v/>
      </c>
      <c r="AW119" s="190">
        <f>IF(OR(AW91=0,11&lt;='01_Вводные'!$B$297),0,AW91*IF('01_Вводные'!$B$239="Да",MeanMinAge11+AW204*SUMIF(ThresholdAge11,"&lt;"&amp;AW204,WeightedRevAge11)-SUMIF(ThresholdAge11,"&lt;"&amp;AW204,WeightedMinAge11),MAX(CapacityAge11*'01_Вводные'!$B$218*AW204,MeanMinAge11)))</f>
        <v/>
      </c>
      <c r="AX119" s="190">
        <f>IF(OR(AX91=0,11&lt;='01_Вводные'!$B$297),0,AX91*IF('01_Вводные'!$B$239="Да",MeanMinAge11+AX204*SUMIF(ThresholdAge11,"&lt;"&amp;AX204,WeightedRevAge11)-SUMIF(ThresholdAge11,"&lt;"&amp;AX204,WeightedMinAge11),MAX(CapacityAge11*'01_Вводные'!$B$218*AX204,MeanMinAge11)))</f>
        <v/>
      </c>
      <c r="AY119" s="190">
        <f>IF(OR(AY91=0,11&lt;='01_Вводные'!$B$297),0,AY91*IF('01_Вводные'!$B$239="Да",MeanMinAge11+AY204*SUMIF(ThresholdAge11,"&lt;"&amp;AY204,WeightedRevAge11)-SUMIF(ThresholdAge11,"&lt;"&amp;AY204,WeightedMinAge11),MAX(CapacityAge11*'01_Вводные'!$B$218*AY204,MeanMinAge11)))</f>
        <v/>
      </c>
      <c r="AZ119" s="190">
        <f>IF(OR(AZ91=0,11&lt;='01_Вводные'!$B$297),0,AZ91*IF('01_Вводные'!$B$239="Да",MeanMinAge11+AZ204*SUMIF(ThresholdAge11,"&lt;"&amp;AZ204,WeightedRevAge11)-SUMIF(ThresholdAge11,"&lt;"&amp;AZ204,WeightedMinAge11),MAX(CapacityAge11*'01_Вводные'!$B$218*AZ204,MeanMinAge11)))</f>
        <v/>
      </c>
      <c r="BA119" s="190">
        <f>IF(OR(BA91=0,11&lt;='01_Вводные'!$B$297),0,BA91*IF('01_Вводные'!$B$239="Да",MeanMinAge11+BA204*SUMIF(ThresholdAge11,"&lt;"&amp;BA204,WeightedRevAge11)-SUMIF(ThresholdAge11,"&lt;"&amp;BA204,WeightedMinAge11),MAX(CapacityAge11*'01_Вводные'!$B$218*BA204,MeanMinAge11)))</f>
        <v/>
      </c>
      <c r="BB119" s="190">
        <f>IF(OR(BB91=0,11&lt;='01_Вводные'!$B$297),0,BB91*IF('01_Вводные'!$B$239="Да",MeanMinAge11+BB204*SUMIF(ThresholdAge11,"&lt;"&amp;BB204,WeightedRevAge11)-SUMIF(ThresholdAge11,"&lt;"&amp;BB204,WeightedMinAge11),MAX(CapacityAge11*'01_Вводные'!$B$218*BB204,MeanMinAge11)))</f>
        <v/>
      </c>
      <c r="BC119" s="190">
        <f>IF(OR(BC91=0,11&lt;='01_Вводные'!$B$297),0,BC91*IF('01_Вводные'!$B$239="Да",MeanMinAge11+BC204*SUMIF(ThresholdAge11,"&lt;"&amp;BC204,WeightedRevAge11)-SUMIF(ThresholdAge11,"&lt;"&amp;BC204,WeightedMinAge11),MAX(CapacityAge11*'01_Вводные'!$B$218*BC204,MeanMinAge11)))</f>
        <v/>
      </c>
      <c r="BD119" s="190">
        <f>IF(OR(BD91=0,11&lt;='01_Вводные'!$B$297),0,BD91*IF('01_Вводные'!$B$239="Да",MeanMinAge11+BD204*SUMIF(ThresholdAge11,"&lt;"&amp;BD204,WeightedRevAge11)-SUMIF(ThresholdAge11,"&lt;"&amp;BD204,WeightedMinAge11),MAX(CapacityAge11*'01_Вводные'!$B$218*BD204,MeanMinAge11)))</f>
        <v/>
      </c>
      <c r="BE119" s="190">
        <f>IF(OR(BE91=0,11&lt;='01_Вводные'!$B$297),0,BE91*IF('01_Вводные'!$B$239="Да",MeanMinAge11+BE204*SUMIF(ThresholdAge11,"&lt;"&amp;BE204,WeightedRevAge11)-SUMIF(ThresholdAge11,"&lt;"&amp;BE204,WeightedMinAge11),MAX(CapacityAge11*'01_Вводные'!$B$218*BE204,MeanMinAge11)))</f>
        <v/>
      </c>
      <c r="BF119" s="190">
        <f>IF(OR(BF91=0,11&lt;='01_Вводные'!$B$297),0,BF91*IF('01_Вводные'!$B$239="Да",MeanMinAge11+BF204*SUMIF(ThresholdAge11,"&lt;"&amp;BF204,WeightedRevAge11)-SUMIF(ThresholdAge11,"&lt;"&amp;BF204,WeightedMinAge11),MAX(CapacityAge11*'01_Вводные'!$B$218*BF204,MeanMinAge11)))</f>
        <v/>
      </c>
      <c r="BG119" s="190">
        <f>IF(OR(BG91=0,11&lt;='01_Вводные'!$B$297),0,BG91*IF('01_Вводные'!$B$239="Да",MeanMinAge11+BG204*SUMIF(ThresholdAge11,"&lt;"&amp;BG204,WeightedRevAge11)-SUMIF(ThresholdAge11,"&lt;"&amp;BG204,WeightedMinAge11),MAX(CapacityAge11*'01_Вводные'!$B$218*BG204,MeanMinAge11)))</f>
        <v/>
      </c>
      <c r="BH119" s="190">
        <f>IF(OR(BH91=0,11&lt;='01_Вводные'!$B$297),0,BH91*IF('01_Вводные'!$B$239="Да",MeanMinAge11+BH204*SUMIF(ThresholdAge11,"&lt;"&amp;BH204,WeightedRevAge11)-SUMIF(ThresholdAge11,"&lt;"&amp;BH204,WeightedMinAge11),MAX(CapacityAge11*'01_Вводные'!$B$218*BH204,MeanMinAge11)))</f>
        <v/>
      </c>
      <c r="BI119" s="190">
        <f>IF(OR(BI91=0,11&lt;='01_Вводные'!$B$297),0,BI91*IF('01_Вводные'!$B$239="Да",MeanMinAge11+BI204*SUMIF(ThresholdAge11,"&lt;"&amp;BI204,WeightedRevAge11)-SUMIF(ThresholdAge11,"&lt;"&amp;BI204,WeightedMinAge11),MAX(CapacityAge11*'01_Вводные'!$B$218*BI204,MeanMinAge11)))</f>
        <v/>
      </c>
      <c r="BJ119" s="190">
        <f>IF(OR(BJ91=0,11&lt;='01_Вводные'!$B$297),0,BJ91*IF('01_Вводные'!$B$239="Да",MeanMinAge11+BJ204*SUMIF(ThresholdAge11,"&lt;"&amp;BJ204,WeightedRevAge11)-SUMIF(ThresholdAge11,"&lt;"&amp;BJ204,WeightedMinAge11),MAX(CapacityAge11*'01_Вводные'!$B$218*BJ204,MeanMinAge11)))</f>
        <v/>
      </c>
      <c r="BK119" s="190">
        <f>IF(OR(BK91=0,11&lt;='01_Вводные'!$B$297),0,BK91*IF('01_Вводные'!$B$239="Да",MeanMinAge11+BK204*SUMIF(ThresholdAge11,"&lt;"&amp;BK204,WeightedRevAge11)-SUMIF(ThresholdAge11,"&lt;"&amp;BK204,WeightedMinAge11),MAX(CapacityAge11*'01_Вводные'!$B$218*BK204,MeanMinAge11)))</f>
        <v/>
      </c>
      <c r="BL119" s="190">
        <f>IF(OR(BL91=0,11&lt;='01_Вводные'!$B$297),0,BL91*IF('01_Вводные'!$B$239="Да",MeanMinAge11+BL204*SUMIF(ThresholdAge11,"&lt;"&amp;BL204,WeightedRevAge11)-SUMIF(ThresholdAge11,"&lt;"&amp;BL204,WeightedMinAge11),MAX(CapacityAge11*'01_Вводные'!$B$218*BL204,MeanMinAge11)))</f>
        <v/>
      </c>
      <c r="BM119" s="190">
        <f>IF(OR(BM91=0,11&lt;='01_Вводные'!$B$297),0,BM91*IF('01_Вводные'!$B$239="Да",MeanMinAge11+BM204*SUMIF(ThresholdAge11,"&lt;"&amp;BM204,WeightedRevAge11)-SUMIF(ThresholdAge11,"&lt;"&amp;BM204,WeightedMinAge11),MAX(CapacityAge11*'01_Вводные'!$B$218*BM204,MeanMinAge11)))</f>
        <v/>
      </c>
      <c r="BN119" s="190">
        <f>IF(OR(BN91=0,11&lt;='01_Вводные'!$B$297),0,BN91*IF('01_Вводные'!$B$239="Да",MeanMinAge11+BN204*SUMIF(ThresholdAge11,"&lt;"&amp;BN204,WeightedRevAge11)-SUMIF(ThresholdAge11,"&lt;"&amp;BN204,WeightedMinAge11),MAX(CapacityAge11*'01_Вводные'!$B$218*BN204,MeanMinAge11)))</f>
        <v/>
      </c>
      <c r="BO119" s="190">
        <f>IF(OR(BO91=0,11&lt;='01_Вводные'!$B$297),0,BO91*IF('01_Вводные'!$B$239="Да",MeanMinAge11+BO204*SUMIF(ThresholdAge11,"&lt;"&amp;BO204,WeightedRevAge11)-SUMIF(ThresholdAge11,"&lt;"&amp;BO204,WeightedMinAge11),MAX(CapacityAge11*'01_Вводные'!$B$218*BO204,MeanMinAge11)))</f>
        <v/>
      </c>
    </row>
    <row r="120" hidden="1" outlineLevel="1">
      <c r="A120" t="inlineStr">
        <is>
          <t>12 мес.</t>
        </is>
      </c>
      <c r="B120" s="190">
        <f>IF(OR(B92=0,12&lt;='01_Вводные'!$B$297),0,B92*IF('01_Вводные'!$B$239="Да",MeanMinAge12+B204*SUMIF(ThresholdAge12,"&lt;"&amp;B204,WeightedRevAge12)-SUMIF(ThresholdAge12,"&lt;"&amp;B204,WeightedMinAge12),MAX(CapacityAge12*'01_Вводные'!$B$218*B204,MeanMinAge12)))</f>
        <v/>
      </c>
      <c r="C120" s="190">
        <f>IF(OR(C92=0,12&lt;='01_Вводные'!$B$297),0,C92*IF('01_Вводные'!$B$239="Да",MeanMinAge12+C204*SUMIF(ThresholdAge12,"&lt;"&amp;C204,WeightedRevAge12)-SUMIF(ThresholdAge12,"&lt;"&amp;C204,WeightedMinAge12),MAX(CapacityAge12*'01_Вводные'!$B$218*C204,MeanMinAge12)))</f>
        <v/>
      </c>
      <c r="D120" s="190">
        <f>IF(OR(D92=0,12&lt;='01_Вводные'!$B$297),0,D92*IF('01_Вводные'!$B$239="Да",MeanMinAge12+D204*SUMIF(ThresholdAge12,"&lt;"&amp;D204,WeightedRevAge12)-SUMIF(ThresholdAge12,"&lt;"&amp;D204,WeightedMinAge12),MAX(CapacityAge12*'01_Вводные'!$B$218*D204,MeanMinAge12)))</f>
        <v/>
      </c>
      <c r="E120" s="190">
        <f>IF(OR(E92=0,12&lt;='01_Вводные'!$B$297),0,E92*IF('01_Вводные'!$B$239="Да",MeanMinAge12+E204*SUMIF(ThresholdAge12,"&lt;"&amp;E204,WeightedRevAge12)-SUMIF(ThresholdAge12,"&lt;"&amp;E204,WeightedMinAge12),MAX(CapacityAge12*'01_Вводные'!$B$218*E204,MeanMinAge12)))</f>
        <v/>
      </c>
      <c r="F120" s="190">
        <f>IF(OR(F92=0,12&lt;='01_Вводные'!$B$297),0,F92*IF('01_Вводные'!$B$239="Да",MeanMinAge12+F204*SUMIF(ThresholdAge12,"&lt;"&amp;F204,WeightedRevAge12)-SUMIF(ThresholdAge12,"&lt;"&amp;F204,WeightedMinAge12),MAX(CapacityAge12*'01_Вводные'!$B$218*F204,MeanMinAge12)))</f>
        <v/>
      </c>
      <c r="G120" s="190">
        <f>IF(OR(G92=0,12&lt;='01_Вводные'!$B$297),0,G92*IF('01_Вводные'!$B$239="Да",MeanMinAge12+G204*SUMIF(ThresholdAge12,"&lt;"&amp;G204,WeightedRevAge12)-SUMIF(ThresholdAge12,"&lt;"&amp;G204,WeightedMinAge12),MAX(CapacityAge12*'01_Вводные'!$B$218*G204,MeanMinAge12)))</f>
        <v/>
      </c>
      <c r="H120" s="190">
        <f>IF(OR(H92=0,12&lt;='01_Вводные'!$B$297),0,H92*IF('01_Вводные'!$B$239="Да",MeanMinAge12+H204*SUMIF(ThresholdAge12,"&lt;"&amp;H204,WeightedRevAge12)-SUMIF(ThresholdAge12,"&lt;"&amp;H204,WeightedMinAge12),MAX(CapacityAge12*'01_Вводные'!$B$218*H204,MeanMinAge12)))</f>
        <v/>
      </c>
      <c r="I120" s="190">
        <f>IF(OR(I92=0,12&lt;='01_Вводные'!$B$297),0,I92*IF('01_Вводные'!$B$239="Да",MeanMinAge12+I204*SUMIF(ThresholdAge12,"&lt;"&amp;I204,WeightedRevAge12)-SUMIF(ThresholdAge12,"&lt;"&amp;I204,WeightedMinAge12),MAX(CapacityAge12*'01_Вводные'!$B$218*I204,MeanMinAge12)))</f>
        <v/>
      </c>
      <c r="J120" s="190">
        <f>IF(OR(J92=0,12&lt;='01_Вводные'!$B$297),0,J92*IF('01_Вводные'!$B$239="Да",MeanMinAge12+J204*SUMIF(ThresholdAge12,"&lt;"&amp;J204,WeightedRevAge12)-SUMIF(ThresholdAge12,"&lt;"&amp;J204,WeightedMinAge12),MAX(CapacityAge12*'01_Вводные'!$B$218*J204,MeanMinAge12)))</f>
        <v/>
      </c>
      <c r="K120" s="190">
        <f>IF(OR(K92=0,12&lt;='01_Вводные'!$B$297),0,K92*IF('01_Вводные'!$B$239="Да",MeanMinAge12+K204*SUMIF(ThresholdAge12,"&lt;"&amp;K204,WeightedRevAge12)-SUMIF(ThresholdAge12,"&lt;"&amp;K204,WeightedMinAge12),MAX(CapacityAge12*'01_Вводные'!$B$218*K204,MeanMinAge12)))</f>
        <v/>
      </c>
      <c r="L120" s="190">
        <f>IF(OR(L92=0,12&lt;='01_Вводные'!$B$297),0,L92*IF('01_Вводные'!$B$239="Да",MeanMinAge12+L204*SUMIF(ThresholdAge12,"&lt;"&amp;L204,WeightedRevAge12)-SUMIF(ThresholdAge12,"&lt;"&amp;L204,WeightedMinAge12),MAX(CapacityAge12*'01_Вводные'!$B$218*L204,MeanMinAge12)))</f>
        <v/>
      </c>
      <c r="M120" s="190">
        <f>IF(OR(M92=0,12&lt;='01_Вводные'!$B$297),0,M92*IF('01_Вводные'!$B$239="Да",MeanMinAge12+M204*SUMIF(ThresholdAge12,"&lt;"&amp;M204,WeightedRevAge12)-SUMIF(ThresholdAge12,"&lt;"&amp;M204,WeightedMinAge12),MAX(CapacityAge12*'01_Вводные'!$B$218*M204,MeanMinAge12)))</f>
        <v/>
      </c>
      <c r="N120" s="190">
        <f>IF(OR(N92=0,12&lt;='01_Вводные'!$B$297),0,N92*IF('01_Вводные'!$B$239="Да",MeanMinAge12+N204*SUMIF(ThresholdAge12,"&lt;"&amp;N204,WeightedRevAge12)-SUMIF(ThresholdAge12,"&lt;"&amp;N204,WeightedMinAge12),MAX(CapacityAge12*'01_Вводные'!$B$218*N204,MeanMinAge12)))</f>
        <v/>
      </c>
      <c r="O120" s="190">
        <f>IF(OR(O92=0,12&lt;='01_Вводные'!$B$297),0,O92*IF('01_Вводные'!$B$239="Да",MeanMinAge12+O204*SUMIF(ThresholdAge12,"&lt;"&amp;O204,WeightedRevAge12)-SUMIF(ThresholdAge12,"&lt;"&amp;O204,WeightedMinAge12),MAX(CapacityAge12*'01_Вводные'!$B$218*O204,MeanMinAge12)))</f>
        <v/>
      </c>
      <c r="P120" s="190">
        <f>IF(OR(P92=0,12&lt;='01_Вводные'!$B$297),0,P92*IF('01_Вводные'!$B$239="Да",MeanMinAge12+P204*SUMIF(ThresholdAge12,"&lt;"&amp;P204,WeightedRevAge12)-SUMIF(ThresholdAge12,"&lt;"&amp;P204,WeightedMinAge12),MAX(CapacityAge12*'01_Вводные'!$B$218*P204,MeanMinAge12)))</f>
        <v/>
      </c>
      <c r="Q120" s="190">
        <f>IF(OR(Q92=0,12&lt;='01_Вводные'!$B$297),0,Q92*IF('01_Вводные'!$B$239="Да",MeanMinAge12+Q204*SUMIF(ThresholdAge12,"&lt;"&amp;Q204,WeightedRevAge12)-SUMIF(ThresholdAge12,"&lt;"&amp;Q204,WeightedMinAge12),MAX(CapacityAge12*'01_Вводные'!$B$218*Q204,MeanMinAge12)))</f>
        <v/>
      </c>
      <c r="R120" s="190">
        <f>IF(OR(R92=0,12&lt;='01_Вводные'!$B$297),0,R92*IF('01_Вводные'!$B$239="Да",MeanMinAge12+R204*SUMIF(ThresholdAge12,"&lt;"&amp;R204,WeightedRevAge12)-SUMIF(ThresholdAge12,"&lt;"&amp;R204,WeightedMinAge12),MAX(CapacityAge12*'01_Вводные'!$B$218*R204,MeanMinAge12)))</f>
        <v/>
      </c>
      <c r="S120" s="190">
        <f>IF(OR(S92=0,12&lt;='01_Вводные'!$B$297),0,S92*IF('01_Вводные'!$B$239="Да",MeanMinAge12+S204*SUMIF(ThresholdAge12,"&lt;"&amp;S204,WeightedRevAge12)-SUMIF(ThresholdAge12,"&lt;"&amp;S204,WeightedMinAge12),MAX(CapacityAge12*'01_Вводные'!$B$218*S204,MeanMinAge12)))</f>
        <v/>
      </c>
      <c r="T120" s="190">
        <f>IF(OR(T92=0,12&lt;='01_Вводные'!$B$297),0,T92*IF('01_Вводные'!$B$239="Да",MeanMinAge12+T204*SUMIF(ThresholdAge12,"&lt;"&amp;T204,WeightedRevAge12)-SUMIF(ThresholdAge12,"&lt;"&amp;T204,WeightedMinAge12),MAX(CapacityAge12*'01_Вводные'!$B$218*T204,MeanMinAge12)))</f>
        <v/>
      </c>
      <c r="U120" s="190">
        <f>IF(OR(U92=0,12&lt;='01_Вводные'!$B$297),0,U92*IF('01_Вводные'!$B$239="Да",MeanMinAge12+U204*SUMIF(ThresholdAge12,"&lt;"&amp;U204,WeightedRevAge12)-SUMIF(ThresholdAge12,"&lt;"&amp;U204,WeightedMinAge12),MAX(CapacityAge12*'01_Вводные'!$B$218*U204,MeanMinAge12)))</f>
        <v/>
      </c>
      <c r="V120" s="190">
        <f>IF(OR(V92=0,12&lt;='01_Вводные'!$B$297),0,V92*IF('01_Вводные'!$B$239="Да",MeanMinAge12+V204*SUMIF(ThresholdAge12,"&lt;"&amp;V204,WeightedRevAge12)-SUMIF(ThresholdAge12,"&lt;"&amp;V204,WeightedMinAge12),MAX(CapacityAge12*'01_Вводные'!$B$218*V204,MeanMinAge12)))</f>
        <v/>
      </c>
      <c r="W120" s="190">
        <f>IF(OR(W92=0,12&lt;='01_Вводные'!$B$297),0,W92*IF('01_Вводные'!$B$239="Да",MeanMinAge12+W204*SUMIF(ThresholdAge12,"&lt;"&amp;W204,WeightedRevAge12)-SUMIF(ThresholdAge12,"&lt;"&amp;W204,WeightedMinAge12),MAX(CapacityAge12*'01_Вводные'!$B$218*W204,MeanMinAge12)))</f>
        <v/>
      </c>
      <c r="X120" s="190">
        <f>IF(OR(X92=0,12&lt;='01_Вводные'!$B$297),0,X92*IF('01_Вводные'!$B$239="Да",MeanMinAge12+X204*SUMIF(ThresholdAge12,"&lt;"&amp;X204,WeightedRevAge12)-SUMIF(ThresholdAge12,"&lt;"&amp;X204,WeightedMinAge12),MAX(CapacityAge12*'01_Вводные'!$B$218*X204,MeanMinAge12)))</f>
        <v/>
      </c>
      <c r="Y120" s="190">
        <f>IF(OR(Y92=0,12&lt;='01_Вводные'!$B$297),0,Y92*IF('01_Вводные'!$B$239="Да",MeanMinAge12+Y204*SUMIF(ThresholdAge12,"&lt;"&amp;Y204,WeightedRevAge12)-SUMIF(ThresholdAge12,"&lt;"&amp;Y204,WeightedMinAge12),MAX(CapacityAge12*'01_Вводные'!$B$218*Y204,MeanMinAge12)))</f>
        <v/>
      </c>
      <c r="Z120" s="190">
        <f>IF(OR(Z92=0,12&lt;='01_Вводные'!$B$297),0,Z92*IF('01_Вводные'!$B$239="Да",MeanMinAge12+Z204*SUMIF(ThresholdAge12,"&lt;"&amp;Z204,WeightedRevAge12)-SUMIF(ThresholdAge12,"&lt;"&amp;Z204,WeightedMinAge12),MAX(CapacityAge12*'01_Вводные'!$B$218*Z204,MeanMinAge12)))</f>
        <v/>
      </c>
      <c r="AA120" s="190">
        <f>IF(OR(AA92=0,12&lt;='01_Вводные'!$B$297),0,AA92*IF('01_Вводные'!$B$239="Да",MeanMinAge12+AA204*SUMIF(ThresholdAge12,"&lt;"&amp;AA204,WeightedRevAge12)-SUMIF(ThresholdAge12,"&lt;"&amp;AA204,WeightedMinAge12),MAX(CapacityAge12*'01_Вводные'!$B$218*AA204,MeanMinAge12)))</f>
        <v/>
      </c>
      <c r="AB120" s="190">
        <f>IF(OR(AB92=0,12&lt;='01_Вводные'!$B$297),0,AB92*IF('01_Вводные'!$B$239="Да",MeanMinAge12+AB204*SUMIF(ThresholdAge12,"&lt;"&amp;AB204,WeightedRevAge12)-SUMIF(ThresholdAge12,"&lt;"&amp;AB204,WeightedMinAge12),MAX(CapacityAge12*'01_Вводные'!$B$218*AB204,MeanMinAge12)))</f>
        <v/>
      </c>
      <c r="AC120" s="190">
        <f>IF(OR(AC92=0,12&lt;='01_Вводные'!$B$297),0,AC92*IF('01_Вводные'!$B$239="Да",MeanMinAge12+AC204*SUMIF(ThresholdAge12,"&lt;"&amp;AC204,WeightedRevAge12)-SUMIF(ThresholdAge12,"&lt;"&amp;AC204,WeightedMinAge12),MAX(CapacityAge12*'01_Вводные'!$B$218*AC204,MeanMinAge12)))</f>
        <v/>
      </c>
      <c r="AD120" s="190">
        <f>IF(OR(AD92=0,12&lt;='01_Вводные'!$B$297),0,AD92*IF('01_Вводные'!$B$239="Да",MeanMinAge12+AD204*SUMIF(ThresholdAge12,"&lt;"&amp;AD204,WeightedRevAge12)-SUMIF(ThresholdAge12,"&lt;"&amp;AD204,WeightedMinAge12),MAX(CapacityAge12*'01_Вводные'!$B$218*AD204,MeanMinAge12)))</f>
        <v/>
      </c>
      <c r="AE120" s="190">
        <f>IF(OR(AE92=0,12&lt;='01_Вводные'!$B$297),0,AE92*IF('01_Вводные'!$B$239="Да",MeanMinAge12+AE204*SUMIF(ThresholdAge12,"&lt;"&amp;AE204,WeightedRevAge12)-SUMIF(ThresholdAge12,"&lt;"&amp;AE204,WeightedMinAge12),MAX(CapacityAge12*'01_Вводные'!$B$218*AE204,MeanMinAge12)))</f>
        <v/>
      </c>
      <c r="AF120" s="190">
        <f>IF(OR(AF92=0,12&lt;='01_Вводные'!$B$297),0,AF92*IF('01_Вводные'!$B$239="Да",MeanMinAge12+AF204*SUMIF(ThresholdAge12,"&lt;"&amp;AF204,WeightedRevAge12)-SUMIF(ThresholdAge12,"&lt;"&amp;AF204,WeightedMinAge12),MAX(CapacityAge12*'01_Вводные'!$B$218*AF204,MeanMinAge12)))</f>
        <v/>
      </c>
      <c r="AG120" s="190">
        <f>IF(OR(AG92=0,12&lt;='01_Вводные'!$B$297),0,AG92*IF('01_Вводные'!$B$239="Да",MeanMinAge12+AG204*SUMIF(ThresholdAge12,"&lt;"&amp;AG204,WeightedRevAge12)-SUMIF(ThresholdAge12,"&lt;"&amp;AG204,WeightedMinAge12),MAX(CapacityAge12*'01_Вводные'!$B$218*AG204,MeanMinAge12)))</f>
        <v/>
      </c>
      <c r="AH120" s="190">
        <f>IF(OR(AH92=0,12&lt;='01_Вводные'!$B$297),0,AH92*IF('01_Вводные'!$B$239="Да",MeanMinAge12+AH204*SUMIF(ThresholdAge12,"&lt;"&amp;AH204,WeightedRevAge12)-SUMIF(ThresholdAge12,"&lt;"&amp;AH204,WeightedMinAge12),MAX(CapacityAge12*'01_Вводные'!$B$218*AH204,MeanMinAge12)))</f>
        <v/>
      </c>
      <c r="AI120" s="190">
        <f>IF(OR(AI92=0,12&lt;='01_Вводные'!$B$297),0,AI92*IF('01_Вводные'!$B$239="Да",MeanMinAge12+AI204*SUMIF(ThresholdAge12,"&lt;"&amp;AI204,WeightedRevAge12)-SUMIF(ThresholdAge12,"&lt;"&amp;AI204,WeightedMinAge12),MAX(CapacityAge12*'01_Вводные'!$B$218*AI204,MeanMinAge12)))</f>
        <v/>
      </c>
      <c r="AJ120" s="190">
        <f>IF(OR(AJ92=0,12&lt;='01_Вводные'!$B$297),0,AJ92*IF('01_Вводные'!$B$239="Да",MeanMinAge12+AJ204*SUMIF(ThresholdAge12,"&lt;"&amp;AJ204,WeightedRevAge12)-SUMIF(ThresholdAge12,"&lt;"&amp;AJ204,WeightedMinAge12),MAX(CapacityAge12*'01_Вводные'!$B$218*AJ204,MeanMinAge12)))</f>
        <v/>
      </c>
      <c r="AK120" s="190">
        <f>IF(OR(AK92=0,12&lt;='01_Вводные'!$B$297),0,AK92*IF('01_Вводные'!$B$239="Да",MeanMinAge12+AK204*SUMIF(ThresholdAge12,"&lt;"&amp;AK204,WeightedRevAge12)-SUMIF(ThresholdAge12,"&lt;"&amp;AK204,WeightedMinAge12),MAX(CapacityAge12*'01_Вводные'!$B$218*AK204,MeanMinAge12)))</f>
        <v/>
      </c>
      <c r="AL120" s="190">
        <f>IF(OR(AL92=0,12&lt;='01_Вводные'!$B$297),0,AL92*IF('01_Вводные'!$B$239="Да",MeanMinAge12+AL204*SUMIF(ThresholdAge12,"&lt;"&amp;AL204,WeightedRevAge12)-SUMIF(ThresholdAge12,"&lt;"&amp;AL204,WeightedMinAge12),MAX(CapacityAge12*'01_Вводные'!$B$218*AL204,MeanMinAge12)))</f>
        <v/>
      </c>
      <c r="AM120" s="190">
        <f>IF(OR(AM92=0,12&lt;='01_Вводные'!$B$297),0,AM92*IF('01_Вводные'!$B$239="Да",MeanMinAge12+AM204*SUMIF(ThresholdAge12,"&lt;"&amp;AM204,WeightedRevAge12)-SUMIF(ThresholdAge12,"&lt;"&amp;AM204,WeightedMinAge12),MAX(CapacityAge12*'01_Вводные'!$B$218*AM204,MeanMinAge12)))</f>
        <v/>
      </c>
      <c r="AN120" s="190">
        <f>IF(OR(AN92=0,12&lt;='01_Вводные'!$B$297),0,AN92*IF('01_Вводные'!$B$239="Да",MeanMinAge12+AN204*SUMIF(ThresholdAge12,"&lt;"&amp;AN204,WeightedRevAge12)-SUMIF(ThresholdAge12,"&lt;"&amp;AN204,WeightedMinAge12),MAX(CapacityAge12*'01_Вводные'!$B$218*AN204,MeanMinAge12)))</f>
        <v/>
      </c>
      <c r="AO120" s="190">
        <f>IF(OR(AO92=0,12&lt;='01_Вводные'!$B$297),0,AO92*IF('01_Вводные'!$B$239="Да",MeanMinAge12+AO204*SUMIF(ThresholdAge12,"&lt;"&amp;AO204,WeightedRevAge12)-SUMIF(ThresholdAge12,"&lt;"&amp;AO204,WeightedMinAge12),MAX(CapacityAge12*'01_Вводные'!$B$218*AO204,MeanMinAge12)))</f>
        <v/>
      </c>
      <c r="AP120" s="190">
        <f>IF(OR(AP92=0,12&lt;='01_Вводные'!$B$297),0,AP92*IF('01_Вводные'!$B$239="Да",MeanMinAge12+AP204*SUMIF(ThresholdAge12,"&lt;"&amp;AP204,WeightedRevAge12)-SUMIF(ThresholdAge12,"&lt;"&amp;AP204,WeightedMinAge12),MAX(CapacityAge12*'01_Вводные'!$B$218*AP204,MeanMinAge12)))</f>
        <v/>
      </c>
      <c r="AQ120" s="190">
        <f>IF(OR(AQ92=0,12&lt;='01_Вводные'!$B$297),0,AQ92*IF('01_Вводные'!$B$239="Да",MeanMinAge12+AQ204*SUMIF(ThresholdAge12,"&lt;"&amp;AQ204,WeightedRevAge12)-SUMIF(ThresholdAge12,"&lt;"&amp;AQ204,WeightedMinAge12),MAX(CapacityAge12*'01_Вводные'!$B$218*AQ204,MeanMinAge12)))</f>
        <v/>
      </c>
      <c r="AR120" s="190">
        <f>IF(OR(AR92=0,12&lt;='01_Вводные'!$B$297),0,AR92*IF('01_Вводные'!$B$239="Да",MeanMinAge12+AR204*SUMIF(ThresholdAge12,"&lt;"&amp;AR204,WeightedRevAge12)-SUMIF(ThresholdAge12,"&lt;"&amp;AR204,WeightedMinAge12),MAX(CapacityAge12*'01_Вводные'!$B$218*AR204,MeanMinAge12)))</f>
        <v/>
      </c>
      <c r="AS120" s="190">
        <f>IF(OR(AS92=0,12&lt;='01_Вводные'!$B$297),0,AS92*IF('01_Вводные'!$B$239="Да",MeanMinAge12+AS204*SUMIF(ThresholdAge12,"&lt;"&amp;AS204,WeightedRevAge12)-SUMIF(ThresholdAge12,"&lt;"&amp;AS204,WeightedMinAge12),MAX(CapacityAge12*'01_Вводные'!$B$218*AS204,MeanMinAge12)))</f>
        <v/>
      </c>
      <c r="AT120" s="190">
        <f>IF(OR(AT92=0,12&lt;='01_Вводные'!$B$297),0,AT92*IF('01_Вводные'!$B$239="Да",MeanMinAge12+AT204*SUMIF(ThresholdAge12,"&lt;"&amp;AT204,WeightedRevAge12)-SUMIF(ThresholdAge12,"&lt;"&amp;AT204,WeightedMinAge12),MAX(CapacityAge12*'01_Вводные'!$B$218*AT204,MeanMinAge12)))</f>
        <v/>
      </c>
      <c r="AU120" s="190">
        <f>IF(OR(AU92=0,12&lt;='01_Вводные'!$B$297),0,AU92*IF('01_Вводные'!$B$239="Да",MeanMinAge12+AU204*SUMIF(ThresholdAge12,"&lt;"&amp;AU204,WeightedRevAge12)-SUMIF(ThresholdAge12,"&lt;"&amp;AU204,WeightedMinAge12),MAX(CapacityAge12*'01_Вводные'!$B$218*AU204,MeanMinAge12)))</f>
        <v/>
      </c>
      <c r="AV120" s="190">
        <f>IF(OR(AV92=0,12&lt;='01_Вводные'!$B$297),0,AV92*IF('01_Вводные'!$B$239="Да",MeanMinAge12+AV204*SUMIF(ThresholdAge12,"&lt;"&amp;AV204,WeightedRevAge12)-SUMIF(ThresholdAge12,"&lt;"&amp;AV204,WeightedMinAge12),MAX(CapacityAge12*'01_Вводные'!$B$218*AV204,MeanMinAge12)))</f>
        <v/>
      </c>
      <c r="AW120" s="190">
        <f>IF(OR(AW92=0,12&lt;='01_Вводные'!$B$297),0,AW92*IF('01_Вводные'!$B$239="Да",MeanMinAge12+AW204*SUMIF(ThresholdAge12,"&lt;"&amp;AW204,WeightedRevAge12)-SUMIF(ThresholdAge12,"&lt;"&amp;AW204,WeightedMinAge12),MAX(CapacityAge12*'01_Вводные'!$B$218*AW204,MeanMinAge12)))</f>
        <v/>
      </c>
      <c r="AX120" s="190">
        <f>IF(OR(AX92=0,12&lt;='01_Вводные'!$B$297),0,AX92*IF('01_Вводные'!$B$239="Да",MeanMinAge12+AX204*SUMIF(ThresholdAge12,"&lt;"&amp;AX204,WeightedRevAge12)-SUMIF(ThresholdAge12,"&lt;"&amp;AX204,WeightedMinAge12),MAX(CapacityAge12*'01_Вводные'!$B$218*AX204,MeanMinAge12)))</f>
        <v/>
      </c>
      <c r="AY120" s="190">
        <f>IF(OR(AY92=0,12&lt;='01_Вводные'!$B$297),0,AY92*IF('01_Вводные'!$B$239="Да",MeanMinAge12+AY204*SUMIF(ThresholdAge12,"&lt;"&amp;AY204,WeightedRevAge12)-SUMIF(ThresholdAge12,"&lt;"&amp;AY204,WeightedMinAge12),MAX(CapacityAge12*'01_Вводные'!$B$218*AY204,MeanMinAge12)))</f>
        <v/>
      </c>
      <c r="AZ120" s="190">
        <f>IF(OR(AZ92=0,12&lt;='01_Вводные'!$B$297),0,AZ92*IF('01_Вводные'!$B$239="Да",MeanMinAge12+AZ204*SUMIF(ThresholdAge12,"&lt;"&amp;AZ204,WeightedRevAge12)-SUMIF(ThresholdAge12,"&lt;"&amp;AZ204,WeightedMinAge12),MAX(CapacityAge12*'01_Вводные'!$B$218*AZ204,MeanMinAge12)))</f>
        <v/>
      </c>
      <c r="BA120" s="190">
        <f>IF(OR(BA92=0,12&lt;='01_Вводные'!$B$297),0,BA92*IF('01_Вводные'!$B$239="Да",MeanMinAge12+BA204*SUMIF(ThresholdAge12,"&lt;"&amp;BA204,WeightedRevAge12)-SUMIF(ThresholdAge12,"&lt;"&amp;BA204,WeightedMinAge12),MAX(CapacityAge12*'01_Вводные'!$B$218*BA204,MeanMinAge12)))</f>
        <v/>
      </c>
      <c r="BB120" s="190">
        <f>IF(OR(BB92=0,12&lt;='01_Вводные'!$B$297),0,BB92*IF('01_Вводные'!$B$239="Да",MeanMinAge12+BB204*SUMIF(ThresholdAge12,"&lt;"&amp;BB204,WeightedRevAge12)-SUMIF(ThresholdAge12,"&lt;"&amp;BB204,WeightedMinAge12),MAX(CapacityAge12*'01_Вводные'!$B$218*BB204,MeanMinAge12)))</f>
        <v/>
      </c>
      <c r="BC120" s="190">
        <f>IF(OR(BC92=0,12&lt;='01_Вводные'!$B$297),0,BC92*IF('01_Вводные'!$B$239="Да",MeanMinAge12+BC204*SUMIF(ThresholdAge12,"&lt;"&amp;BC204,WeightedRevAge12)-SUMIF(ThresholdAge12,"&lt;"&amp;BC204,WeightedMinAge12),MAX(CapacityAge12*'01_Вводные'!$B$218*BC204,MeanMinAge12)))</f>
        <v/>
      </c>
      <c r="BD120" s="190">
        <f>IF(OR(BD92=0,12&lt;='01_Вводные'!$B$297),0,BD92*IF('01_Вводные'!$B$239="Да",MeanMinAge12+BD204*SUMIF(ThresholdAge12,"&lt;"&amp;BD204,WeightedRevAge12)-SUMIF(ThresholdAge12,"&lt;"&amp;BD204,WeightedMinAge12),MAX(CapacityAge12*'01_Вводные'!$B$218*BD204,MeanMinAge12)))</f>
        <v/>
      </c>
      <c r="BE120" s="190">
        <f>IF(OR(BE92=0,12&lt;='01_Вводные'!$B$297),0,BE92*IF('01_Вводные'!$B$239="Да",MeanMinAge12+BE204*SUMIF(ThresholdAge12,"&lt;"&amp;BE204,WeightedRevAge12)-SUMIF(ThresholdAge12,"&lt;"&amp;BE204,WeightedMinAge12),MAX(CapacityAge12*'01_Вводные'!$B$218*BE204,MeanMinAge12)))</f>
        <v/>
      </c>
      <c r="BF120" s="190">
        <f>IF(OR(BF92=0,12&lt;='01_Вводные'!$B$297),0,BF92*IF('01_Вводные'!$B$239="Да",MeanMinAge12+BF204*SUMIF(ThresholdAge12,"&lt;"&amp;BF204,WeightedRevAge12)-SUMIF(ThresholdAge12,"&lt;"&amp;BF204,WeightedMinAge12),MAX(CapacityAge12*'01_Вводные'!$B$218*BF204,MeanMinAge12)))</f>
        <v/>
      </c>
      <c r="BG120" s="190">
        <f>IF(OR(BG92=0,12&lt;='01_Вводные'!$B$297),0,BG92*IF('01_Вводные'!$B$239="Да",MeanMinAge12+BG204*SUMIF(ThresholdAge12,"&lt;"&amp;BG204,WeightedRevAge12)-SUMIF(ThresholdAge12,"&lt;"&amp;BG204,WeightedMinAge12),MAX(CapacityAge12*'01_Вводные'!$B$218*BG204,MeanMinAge12)))</f>
        <v/>
      </c>
      <c r="BH120" s="190">
        <f>IF(OR(BH92=0,12&lt;='01_Вводные'!$B$297),0,BH92*IF('01_Вводные'!$B$239="Да",MeanMinAge12+BH204*SUMIF(ThresholdAge12,"&lt;"&amp;BH204,WeightedRevAge12)-SUMIF(ThresholdAge12,"&lt;"&amp;BH204,WeightedMinAge12),MAX(CapacityAge12*'01_Вводные'!$B$218*BH204,MeanMinAge12)))</f>
        <v/>
      </c>
      <c r="BI120" s="190">
        <f>IF(OR(BI92=0,12&lt;='01_Вводные'!$B$297),0,BI92*IF('01_Вводные'!$B$239="Да",MeanMinAge12+BI204*SUMIF(ThresholdAge12,"&lt;"&amp;BI204,WeightedRevAge12)-SUMIF(ThresholdAge12,"&lt;"&amp;BI204,WeightedMinAge12),MAX(CapacityAge12*'01_Вводные'!$B$218*BI204,MeanMinAge12)))</f>
        <v/>
      </c>
      <c r="BJ120" s="190">
        <f>IF(OR(BJ92=0,12&lt;='01_Вводные'!$B$297),0,BJ92*IF('01_Вводные'!$B$239="Да",MeanMinAge12+BJ204*SUMIF(ThresholdAge12,"&lt;"&amp;BJ204,WeightedRevAge12)-SUMIF(ThresholdAge12,"&lt;"&amp;BJ204,WeightedMinAge12),MAX(CapacityAge12*'01_Вводные'!$B$218*BJ204,MeanMinAge12)))</f>
        <v/>
      </c>
      <c r="BK120" s="190">
        <f>IF(OR(BK92=0,12&lt;='01_Вводные'!$B$297),0,BK92*IF('01_Вводные'!$B$239="Да",MeanMinAge12+BK204*SUMIF(ThresholdAge12,"&lt;"&amp;BK204,WeightedRevAge12)-SUMIF(ThresholdAge12,"&lt;"&amp;BK204,WeightedMinAge12),MAX(CapacityAge12*'01_Вводные'!$B$218*BK204,MeanMinAge12)))</f>
        <v/>
      </c>
      <c r="BL120" s="190">
        <f>IF(OR(BL92=0,12&lt;='01_Вводные'!$B$297),0,BL92*IF('01_Вводные'!$B$239="Да",MeanMinAge12+BL204*SUMIF(ThresholdAge12,"&lt;"&amp;BL204,WeightedRevAge12)-SUMIF(ThresholdAge12,"&lt;"&amp;BL204,WeightedMinAge12),MAX(CapacityAge12*'01_Вводные'!$B$218*BL204,MeanMinAge12)))</f>
        <v/>
      </c>
      <c r="BM120" s="190">
        <f>IF(OR(BM92=0,12&lt;='01_Вводные'!$B$297),0,BM92*IF('01_Вводные'!$B$239="Да",MeanMinAge12+BM204*SUMIF(ThresholdAge12,"&lt;"&amp;BM204,WeightedRevAge12)-SUMIF(ThresholdAge12,"&lt;"&amp;BM204,WeightedMinAge12),MAX(CapacityAge12*'01_Вводные'!$B$218*BM204,MeanMinAge12)))</f>
        <v/>
      </c>
      <c r="BN120" s="190">
        <f>IF(OR(BN92=0,12&lt;='01_Вводные'!$B$297),0,BN92*IF('01_Вводные'!$B$239="Да",MeanMinAge12+BN204*SUMIF(ThresholdAge12,"&lt;"&amp;BN204,WeightedRevAge12)-SUMIF(ThresholdAge12,"&lt;"&amp;BN204,WeightedMinAge12),MAX(CapacityAge12*'01_Вводные'!$B$218*BN204,MeanMinAge12)))</f>
        <v/>
      </c>
      <c r="BO120" s="190">
        <f>IF(OR(BO92=0,12&lt;='01_Вводные'!$B$297),0,BO92*IF('01_Вводные'!$B$239="Да",MeanMinAge12+BO204*SUMIF(ThresholdAge12,"&lt;"&amp;BO204,WeightedRevAge12)-SUMIF(ThresholdAge12,"&lt;"&amp;BO204,WeightedMinAge12),MAX(CapacityAge12*'01_Вводные'!$B$218*BO204,MeanMinAge12)))</f>
        <v/>
      </c>
    </row>
    <row r="121" hidden="1" outlineLevel="1">
      <c r="A121" t="inlineStr">
        <is>
          <t>13 мес.</t>
        </is>
      </c>
      <c r="B121" s="190">
        <f>IF(OR(B93=0,13&lt;='01_Вводные'!$B$297),0,B93*IF('01_Вводные'!$B$239="Да",MeanMinAge13+B204*SUMIF(ThresholdAge13,"&lt;"&amp;B204,WeightedRevAge13)-SUMIF(ThresholdAge13,"&lt;"&amp;B204,WeightedMinAge13),MAX(CapacityAge13*'01_Вводные'!$B$218*B204,MeanMinAge13)))</f>
        <v/>
      </c>
      <c r="C121" s="190">
        <f>IF(OR(C93=0,13&lt;='01_Вводные'!$B$297),0,C93*IF('01_Вводные'!$B$239="Да",MeanMinAge13+C204*SUMIF(ThresholdAge13,"&lt;"&amp;C204,WeightedRevAge13)-SUMIF(ThresholdAge13,"&lt;"&amp;C204,WeightedMinAge13),MAX(CapacityAge13*'01_Вводные'!$B$218*C204,MeanMinAge13)))</f>
        <v/>
      </c>
      <c r="D121" s="190">
        <f>IF(OR(D93=0,13&lt;='01_Вводные'!$B$297),0,D93*IF('01_Вводные'!$B$239="Да",MeanMinAge13+D204*SUMIF(ThresholdAge13,"&lt;"&amp;D204,WeightedRevAge13)-SUMIF(ThresholdAge13,"&lt;"&amp;D204,WeightedMinAge13),MAX(CapacityAge13*'01_Вводные'!$B$218*D204,MeanMinAge13)))</f>
        <v/>
      </c>
      <c r="E121" s="190">
        <f>IF(OR(E93=0,13&lt;='01_Вводные'!$B$297),0,E93*IF('01_Вводные'!$B$239="Да",MeanMinAge13+E204*SUMIF(ThresholdAge13,"&lt;"&amp;E204,WeightedRevAge13)-SUMIF(ThresholdAge13,"&lt;"&amp;E204,WeightedMinAge13),MAX(CapacityAge13*'01_Вводные'!$B$218*E204,MeanMinAge13)))</f>
        <v/>
      </c>
      <c r="F121" s="190">
        <f>IF(OR(F93=0,13&lt;='01_Вводные'!$B$297),0,F93*IF('01_Вводные'!$B$239="Да",MeanMinAge13+F204*SUMIF(ThresholdAge13,"&lt;"&amp;F204,WeightedRevAge13)-SUMIF(ThresholdAge13,"&lt;"&amp;F204,WeightedMinAge13),MAX(CapacityAge13*'01_Вводные'!$B$218*F204,MeanMinAge13)))</f>
        <v/>
      </c>
      <c r="G121" s="190">
        <f>IF(OR(G93=0,13&lt;='01_Вводные'!$B$297),0,G93*IF('01_Вводные'!$B$239="Да",MeanMinAge13+G204*SUMIF(ThresholdAge13,"&lt;"&amp;G204,WeightedRevAge13)-SUMIF(ThresholdAge13,"&lt;"&amp;G204,WeightedMinAge13),MAX(CapacityAge13*'01_Вводные'!$B$218*G204,MeanMinAge13)))</f>
        <v/>
      </c>
      <c r="H121" s="190">
        <f>IF(OR(H93=0,13&lt;='01_Вводные'!$B$297),0,H93*IF('01_Вводные'!$B$239="Да",MeanMinAge13+H204*SUMIF(ThresholdAge13,"&lt;"&amp;H204,WeightedRevAge13)-SUMIF(ThresholdAge13,"&lt;"&amp;H204,WeightedMinAge13),MAX(CapacityAge13*'01_Вводные'!$B$218*H204,MeanMinAge13)))</f>
        <v/>
      </c>
      <c r="I121" s="190">
        <f>IF(OR(I93=0,13&lt;='01_Вводные'!$B$297),0,I93*IF('01_Вводные'!$B$239="Да",MeanMinAge13+I204*SUMIF(ThresholdAge13,"&lt;"&amp;I204,WeightedRevAge13)-SUMIF(ThresholdAge13,"&lt;"&amp;I204,WeightedMinAge13),MAX(CapacityAge13*'01_Вводные'!$B$218*I204,MeanMinAge13)))</f>
        <v/>
      </c>
      <c r="J121" s="190">
        <f>IF(OR(J93=0,13&lt;='01_Вводные'!$B$297),0,J93*IF('01_Вводные'!$B$239="Да",MeanMinAge13+J204*SUMIF(ThresholdAge13,"&lt;"&amp;J204,WeightedRevAge13)-SUMIF(ThresholdAge13,"&lt;"&amp;J204,WeightedMinAge13),MAX(CapacityAge13*'01_Вводные'!$B$218*J204,MeanMinAge13)))</f>
        <v/>
      </c>
      <c r="K121" s="190">
        <f>IF(OR(K93=0,13&lt;='01_Вводные'!$B$297),0,K93*IF('01_Вводные'!$B$239="Да",MeanMinAge13+K204*SUMIF(ThresholdAge13,"&lt;"&amp;K204,WeightedRevAge13)-SUMIF(ThresholdAge13,"&lt;"&amp;K204,WeightedMinAge13),MAX(CapacityAge13*'01_Вводные'!$B$218*K204,MeanMinAge13)))</f>
        <v/>
      </c>
      <c r="L121" s="190">
        <f>IF(OR(L93=0,13&lt;='01_Вводные'!$B$297),0,L93*IF('01_Вводные'!$B$239="Да",MeanMinAge13+L204*SUMIF(ThresholdAge13,"&lt;"&amp;L204,WeightedRevAge13)-SUMIF(ThresholdAge13,"&lt;"&amp;L204,WeightedMinAge13),MAX(CapacityAge13*'01_Вводные'!$B$218*L204,MeanMinAge13)))</f>
        <v/>
      </c>
      <c r="M121" s="190">
        <f>IF(OR(M93=0,13&lt;='01_Вводные'!$B$297),0,M93*IF('01_Вводные'!$B$239="Да",MeanMinAge13+M204*SUMIF(ThresholdAge13,"&lt;"&amp;M204,WeightedRevAge13)-SUMIF(ThresholdAge13,"&lt;"&amp;M204,WeightedMinAge13),MAX(CapacityAge13*'01_Вводные'!$B$218*M204,MeanMinAge13)))</f>
        <v/>
      </c>
      <c r="N121" s="190">
        <f>IF(OR(N93=0,13&lt;='01_Вводные'!$B$297),0,N93*IF('01_Вводные'!$B$239="Да",MeanMinAge13+N204*SUMIF(ThresholdAge13,"&lt;"&amp;N204,WeightedRevAge13)-SUMIF(ThresholdAge13,"&lt;"&amp;N204,WeightedMinAge13),MAX(CapacityAge13*'01_Вводные'!$B$218*N204,MeanMinAge13)))</f>
        <v/>
      </c>
      <c r="O121" s="190">
        <f>IF(OR(O93=0,13&lt;='01_Вводные'!$B$297),0,O93*IF('01_Вводные'!$B$239="Да",MeanMinAge13+O204*SUMIF(ThresholdAge13,"&lt;"&amp;O204,WeightedRevAge13)-SUMIF(ThresholdAge13,"&lt;"&amp;O204,WeightedMinAge13),MAX(CapacityAge13*'01_Вводные'!$B$218*O204,MeanMinAge13)))</f>
        <v/>
      </c>
      <c r="P121" s="190">
        <f>IF(OR(P93=0,13&lt;='01_Вводные'!$B$297),0,P93*IF('01_Вводные'!$B$239="Да",MeanMinAge13+P204*SUMIF(ThresholdAge13,"&lt;"&amp;P204,WeightedRevAge13)-SUMIF(ThresholdAge13,"&lt;"&amp;P204,WeightedMinAge13),MAX(CapacityAge13*'01_Вводные'!$B$218*P204,MeanMinAge13)))</f>
        <v/>
      </c>
      <c r="Q121" s="190">
        <f>IF(OR(Q93=0,13&lt;='01_Вводные'!$B$297),0,Q93*IF('01_Вводные'!$B$239="Да",MeanMinAge13+Q204*SUMIF(ThresholdAge13,"&lt;"&amp;Q204,WeightedRevAge13)-SUMIF(ThresholdAge13,"&lt;"&amp;Q204,WeightedMinAge13),MAX(CapacityAge13*'01_Вводные'!$B$218*Q204,MeanMinAge13)))</f>
        <v/>
      </c>
      <c r="R121" s="190">
        <f>IF(OR(R93=0,13&lt;='01_Вводные'!$B$297),0,R93*IF('01_Вводные'!$B$239="Да",MeanMinAge13+R204*SUMIF(ThresholdAge13,"&lt;"&amp;R204,WeightedRevAge13)-SUMIF(ThresholdAge13,"&lt;"&amp;R204,WeightedMinAge13),MAX(CapacityAge13*'01_Вводные'!$B$218*R204,MeanMinAge13)))</f>
        <v/>
      </c>
      <c r="S121" s="190">
        <f>IF(OR(S93=0,13&lt;='01_Вводные'!$B$297),0,S93*IF('01_Вводные'!$B$239="Да",MeanMinAge13+S204*SUMIF(ThresholdAge13,"&lt;"&amp;S204,WeightedRevAge13)-SUMIF(ThresholdAge13,"&lt;"&amp;S204,WeightedMinAge13),MAX(CapacityAge13*'01_Вводные'!$B$218*S204,MeanMinAge13)))</f>
        <v/>
      </c>
      <c r="T121" s="190">
        <f>IF(OR(T93=0,13&lt;='01_Вводные'!$B$297),0,T93*IF('01_Вводные'!$B$239="Да",MeanMinAge13+T204*SUMIF(ThresholdAge13,"&lt;"&amp;T204,WeightedRevAge13)-SUMIF(ThresholdAge13,"&lt;"&amp;T204,WeightedMinAge13),MAX(CapacityAge13*'01_Вводные'!$B$218*T204,MeanMinAge13)))</f>
        <v/>
      </c>
      <c r="U121" s="190">
        <f>IF(OR(U93=0,13&lt;='01_Вводные'!$B$297),0,U93*IF('01_Вводные'!$B$239="Да",MeanMinAge13+U204*SUMIF(ThresholdAge13,"&lt;"&amp;U204,WeightedRevAge13)-SUMIF(ThresholdAge13,"&lt;"&amp;U204,WeightedMinAge13),MAX(CapacityAge13*'01_Вводные'!$B$218*U204,MeanMinAge13)))</f>
        <v/>
      </c>
      <c r="V121" s="190">
        <f>IF(OR(V93=0,13&lt;='01_Вводные'!$B$297),0,V93*IF('01_Вводные'!$B$239="Да",MeanMinAge13+V204*SUMIF(ThresholdAge13,"&lt;"&amp;V204,WeightedRevAge13)-SUMIF(ThresholdAge13,"&lt;"&amp;V204,WeightedMinAge13),MAX(CapacityAge13*'01_Вводные'!$B$218*V204,MeanMinAge13)))</f>
        <v/>
      </c>
      <c r="W121" s="190">
        <f>IF(OR(W93=0,13&lt;='01_Вводные'!$B$297),0,W93*IF('01_Вводные'!$B$239="Да",MeanMinAge13+W204*SUMIF(ThresholdAge13,"&lt;"&amp;W204,WeightedRevAge13)-SUMIF(ThresholdAge13,"&lt;"&amp;W204,WeightedMinAge13),MAX(CapacityAge13*'01_Вводные'!$B$218*W204,MeanMinAge13)))</f>
        <v/>
      </c>
      <c r="X121" s="190">
        <f>IF(OR(X93=0,13&lt;='01_Вводные'!$B$297),0,X93*IF('01_Вводные'!$B$239="Да",MeanMinAge13+X204*SUMIF(ThresholdAge13,"&lt;"&amp;X204,WeightedRevAge13)-SUMIF(ThresholdAge13,"&lt;"&amp;X204,WeightedMinAge13),MAX(CapacityAge13*'01_Вводные'!$B$218*X204,MeanMinAge13)))</f>
        <v/>
      </c>
      <c r="Y121" s="190">
        <f>IF(OR(Y93=0,13&lt;='01_Вводные'!$B$297),0,Y93*IF('01_Вводные'!$B$239="Да",MeanMinAge13+Y204*SUMIF(ThresholdAge13,"&lt;"&amp;Y204,WeightedRevAge13)-SUMIF(ThresholdAge13,"&lt;"&amp;Y204,WeightedMinAge13),MAX(CapacityAge13*'01_Вводные'!$B$218*Y204,MeanMinAge13)))</f>
        <v/>
      </c>
      <c r="Z121" s="190">
        <f>IF(OR(Z93=0,13&lt;='01_Вводные'!$B$297),0,Z93*IF('01_Вводные'!$B$239="Да",MeanMinAge13+Z204*SUMIF(ThresholdAge13,"&lt;"&amp;Z204,WeightedRevAge13)-SUMIF(ThresholdAge13,"&lt;"&amp;Z204,WeightedMinAge13),MAX(CapacityAge13*'01_Вводные'!$B$218*Z204,MeanMinAge13)))</f>
        <v/>
      </c>
      <c r="AA121" s="190">
        <f>IF(OR(AA93=0,13&lt;='01_Вводные'!$B$297),0,AA93*IF('01_Вводные'!$B$239="Да",MeanMinAge13+AA204*SUMIF(ThresholdAge13,"&lt;"&amp;AA204,WeightedRevAge13)-SUMIF(ThresholdAge13,"&lt;"&amp;AA204,WeightedMinAge13),MAX(CapacityAge13*'01_Вводные'!$B$218*AA204,MeanMinAge13)))</f>
        <v/>
      </c>
      <c r="AB121" s="190">
        <f>IF(OR(AB93=0,13&lt;='01_Вводные'!$B$297),0,AB93*IF('01_Вводные'!$B$239="Да",MeanMinAge13+AB204*SUMIF(ThresholdAge13,"&lt;"&amp;AB204,WeightedRevAge13)-SUMIF(ThresholdAge13,"&lt;"&amp;AB204,WeightedMinAge13),MAX(CapacityAge13*'01_Вводные'!$B$218*AB204,MeanMinAge13)))</f>
        <v/>
      </c>
      <c r="AC121" s="190">
        <f>IF(OR(AC93=0,13&lt;='01_Вводные'!$B$297),0,AC93*IF('01_Вводные'!$B$239="Да",MeanMinAge13+AC204*SUMIF(ThresholdAge13,"&lt;"&amp;AC204,WeightedRevAge13)-SUMIF(ThresholdAge13,"&lt;"&amp;AC204,WeightedMinAge13),MAX(CapacityAge13*'01_Вводные'!$B$218*AC204,MeanMinAge13)))</f>
        <v/>
      </c>
      <c r="AD121" s="190">
        <f>IF(OR(AD93=0,13&lt;='01_Вводные'!$B$297),0,AD93*IF('01_Вводные'!$B$239="Да",MeanMinAge13+AD204*SUMIF(ThresholdAge13,"&lt;"&amp;AD204,WeightedRevAge13)-SUMIF(ThresholdAge13,"&lt;"&amp;AD204,WeightedMinAge13),MAX(CapacityAge13*'01_Вводные'!$B$218*AD204,MeanMinAge13)))</f>
        <v/>
      </c>
      <c r="AE121" s="190">
        <f>IF(OR(AE93=0,13&lt;='01_Вводные'!$B$297),0,AE93*IF('01_Вводные'!$B$239="Да",MeanMinAge13+AE204*SUMIF(ThresholdAge13,"&lt;"&amp;AE204,WeightedRevAge13)-SUMIF(ThresholdAge13,"&lt;"&amp;AE204,WeightedMinAge13),MAX(CapacityAge13*'01_Вводные'!$B$218*AE204,MeanMinAge13)))</f>
        <v/>
      </c>
      <c r="AF121" s="190">
        <f>IF(OR(AF93=0,13&lt;='01_Вводные'!$B$297),0,AF93*IF('01_Вводные'!$B$239="Да",MeanMinAge13+AF204*SUMIF(ThresholdAge13,"&lt;"&amp;AF204,WeightedRevAge13)-SUMIF(ThresholdAge13,"&lt;"&amp;AF204,WeightedMinAge13),MAX(CapacityAge13*'01_Вводные'!$B$218*AF204,MeanMinAge13)))</f>
        <v/>
      </c>
      <c r="AG121" s="190">
        <f>IF(OR(AG93=0,13&lt;='01_Вводные'!$B$297),0,AG93*IF('01_Вводные'!$B$239="Да",MeanMinAge13+AG204*SUMIF(ThresholdAge13,"&lt;"&amp;AG204,WeightedRevAge13)-SUMIF(ThresholdAge13,"&lt;"&amp;AG204,WeightedMinAge13),MAX(CapacityAge13*'01_Вводные'!$B$218*AG204,MeanMinAge13)))</f>
        <v/>
      </c>
      <c r="AH121" s="190">
        <f>IF(OR(AH93=0,13&lt;='01_Вводные'!$B$297),0,AH93*IF('01_Вводные'!$B$239="Да",MeanMinAge13+AH204*SUMIF(ThresholdAge13,"&lt;"&amp;AH204,WeightedRevAge13)-SUMIF(ThresholdAge13,"&lt;"&amp;AH204,WeightedMinAge13),MAX(CapacityAge13*'01_Вводные'!$B$218*AH204,MeanMinAge13)))</f>
        <v/>
      </c>
      <c r="AI121" s="190">
        <f>IF(OR(AI93=0,13&lt;='01_Вводные'!$B$297),0,AI93*IF('01_Вводные'!$B$239="Да",MeanMinAge13+AI204*SUMIF(ThresholdAge13,"&lt;"&amp;AI204,WeightedRevAge13)-SUMIF(ThresholdAge13,"&lt;"&amp;AI204,WeightedMinAge13),MAX(CapacityAge13*'01_Вводные'!$B$218*AI204,MeanMinAge13)))</f>
        <v/>
      </c>
      <c r="AJ121" s="190">
        <f>IF(OR(AJ93=0,13&lt;='01_Вводные'!$B$297),0,AJ93*IF('01_Вводные'!$B$239="Да",MeanMinAge13+AJ204*SUMIF(ThresholdAge13,"&lt;"&amp;AJ204,WeightedRevAge13)-SUMIF(ThresholdAge13,"&lt;"&amp;AJ204,WeightedMinAge13),MAX(CapacityAge13*'01_Вводные'!$B$218*AJ204,MeanMinAge13)))</f>
        <v/>
      </c>
      <c r="AK121" s="190">
        <f>IF(OR(AK93=0,13&lt;='01_Вводные'!$B$297),0,AK93*IF('01_Вводные'!$B$239="Да",MeanMinAge13+AK204*SUMIF(ThresholdAge13,"&lt;"&amp;AK204,WeightedRevAge13)-SUMIF(ThresholdAge13,"&lt;"&amp;AK204,WeightedMinAge13),MAX(CapacityAge13*'01_Вводные'!$B$218*AK204,MeanMinAge13)))</f>
        <v/>
      </c>
      <c r="AL121" s="190">
        <f>IF(OR(AL93=0,13&lt;='01_Вводные'!$B$297),0,AL93*IF('01_Вводные'!$B$239="Да",MeanMinAge13+AL204*SUMIF(ThresholdAge13,"&lt;"&amp;AL204,WeightedRevAge13)-SUMIF(ThresholdAge13,"&lt;"&amp;AL204,WeightedMinAge13),MAX(CapacityAge13*'01_Вводные'!$B$218*AL204,MeanMinAge13)))</f>
        <v/>
      </c>
      <c r="AM121" s="190">
        <f>IF(OR(AM93=0,13&lt;='01_Вводные'!$B$297),0,AM93*IF('01_Вводные'!$B$239="Да",MeanMinAge13+AM204*SUMIF(ThresholdAge13,"&lt;"&amp;AM204,WeightedRevAge13)-SUMIF(ThresholdAge13,"&lt;"&amp;AM204,WeightedMinAge13),MAX(CapacityAge13*'01_Вводные'!$B$218*AM204,MeanMinAge13)))</f>
        <v/>
      </c>
      <c r="AN121" s="190">
        <f>IF(OR(AN93=0,13&lt;='01_Вводные'!$B$297),0,AN93*IF('01_Вводные'!$B$239="Да",MeanMinAge13+AN204*SUMIF(ThresholdAge13,"&lt;"&amp;AN204,WeightedRevAge13)-SUMIF(ThresholdAge13,"&lt;"&amp;AN204,WeightedMinAge13),MAX(CapacityAge13*'01_Вводные'!$B$218*AN204,MeanMinAge13)))</f>
        <v/>
      </c>
      <c r="AO121" s="190">
        <f>IF(OR(AO93=0,13&lt;='01_Вводные'!$B$297),0,AO93*IF('01_Вводные'!$B$239="Да",MeanMinAge13+AO204*SUMIF(ThresholdAge13,"&lt;"&amp;AO204,WeightedRevAge13)-SUMIF(ThresholdAge13,"&lt;"&amp;AO204,WeightedMinAge13),MAX(CapacityAge13*'01_Вводные'!$B$218*AO204,MeanMinAge13)))</f>
        <v/>
      </c>
      <c r="AP121" s="190">
        <f>IF(OR(AP93=0,13&lt;='01_Вводные'!$B$297),0,AP93*IF('01_Вводные'!$B$239="Да",MeanMinAge13+AP204*SUMIF(ThresholdAge13,"&lt;"&amp;AP204,WeightedRevAge13)-SUMIF(ThresholdAge13,"&lt;"&amp;AP204,WeightedMinAge13),MAX(CapacityAge13*'01_Вводные'!$B$218*AP204,MeanMinAge13)))</f>
        <v/>
      </c>
      <c r="AQ121" s="190">
        <f>IF(OR(AQ93=0,13&lt;='01_Вводные'!$B$297),0,AQ93*IF('01_Вводные'!$B$239="Да",MeanMinAge13+AQ204*SUMIF(ThresholdAge13,"&lt;"&amp;AQ204,WeightedRevAge13)-SUMIF(ThresholdAge13,"&lt;"&amp;AQ204,WeightedMinAge13),MAX(CapacityAge13*'01_Вводные'!$B$218*AQ204,MeanMinAge13)))</f>
        <v/>
      </c>
      <c r="AR121" s="190">
        <f>IF(OR(AR93=0,13&lt;='01_Вводные'!$B$297),0,AR93*IF('01_Вводные'!$B$239="Да",MeanMinAge13+AR204*SUMIF(ThresholdAge13,"&lt;"&amp;AR204,WeightedRevAge13)-SUMIF(ThresholdAge13,"&lt;"&amp;AR204,WeightedMinAge13),MAX(CapacityAge13*'01_Вводные'!$B$218*AR204,MeanMinAge13)))</f>
        <v/>
      </c>
      <c r="AS121" s="190">
        <f>IF(OR(AS93=0,13&lt;='01_Вводные'!$B$297),0,AS93*IF('01_Вводные'!$B$239="Да",MeanMinAge13+AS204*SUMIF(ThresholdAge13,"&lt;"&amp;AS204,WeightedRevAge13)-SUMIF(ThresholdAge13,"&lt;"&amp;AS204,WeightedMinAge13),MAX(CapacityAge13*'01_Вводные'!$B$218*AS204,MeanMinAge13)))</f>
        <v/>
      </c>
      <c r="AT121" s="190">
        <f>IF(OR(AT93=0,13&lt;='01_Вводные'!$B$297),0,AT93*IF('01_Вводные'!$B$239="Да",MeanMinAge13+AT204*SUMIF(ThresholdAge13,"&lt;"&amp;AT204,WeightedRevAge13)-SUMIF(ThresholdAge13,"&lt;"&amp;AT204,WeightedMinAge13),MAX(CapacityAge13*'01_Вводные'!$B$218*AT204,MeanMinAge13)))</f>
        <v/>
      </c>
      <c r="AU121" s="190">
        <f>IF(OR(AU93=0,13&lt;='01_Вводные'!$B$297),0,AU93*IF('01_Вводные'!$B$239="Да",MeanMinAge13+AU204*SUMIF(ThresholdAge13,"&lt;"&amp;AU204,WeightedRevAge13)-SUMIF(ThresholdAge13,"&lt;"&amp;AU204,WeightedMinAge13),MAX(CapacityAge13*'01_Вводные'!$B$218*AU204,MeanMinAge13)))</f>
        <v/>
      </c>
      <c r="AV121" s="190">
        <f>IF(OR(AV93=0,13&lt;='01_Вводные'!$B$297),0,AV93*IF('01_Вводные'!$B$239="Да",MeanMinAge13+AV204*SUMIF(ThresholdAge13,"&lt;"&amp;AV204,WeightedRevAge13)-SUMIF(ThresholdAge13,"&lt;"&amp;AV204,WeightedMinAge13),MAX(CapacityAge13*'01_Вводные'!$B$218*AV204,MeanMinAge13)))</f>
        <v/>
      </c>
      <c r="AW121" s="190">
        <f>IF(OR(AW93=0,13&lt;='01_Вводные'!$B$297),0,AW93*IF('01_Вводные'!$B$239="Да",MeanMinAge13+AW204*SUMIF(ThresholdAge13,"&lt;"&amp;AW204,WeightedRevAge13)-SUMIF(ThresholdAge13,"&lt;"&amp;AW204,WeightedMinAge13),MAX(CapacityAge13*'01_Вводные'!$B$218*AW204,MeanMinAge13)))</f>
        <v/>
      </c>
      <c r="AX121" s="190">
        <f>IF(OR(AX93=0,13&lt;='01_Вводные'!$B$297),0,AX93*IF('01_Вводные'!$B$239="Да",MeanMinAge13+AX204*SUMIF(ThresholdAge13,"&lt;"&amp;AX204,WeightedRevAge13)-SUMIF(ThresholdAge13,"&lt;"&amp;AX204,WeightedMinAge13),MAX(CapacityAge13*'01_Вводные'!$B$218*AX204,MeanMinAge13)))</f>
        <v/>
      </c>
      <c r="AY121" s="190">
        <f>IF(OR(AY93=0,13&lt;='01_Вводные'!$B$297),0,AY93*IF('01_Вводные'!$B$239="Да",MeanMinAge13+AY204*SUMIF(ThresholdAge13,"&lt;"&amp;AY204,WeightedRevAge13)-SUMIF(ThresholdAge13,"&lt;"&amp;AY204,WeightedMinAge13),MAX(CapacityAge13*'01_Вводные'!$B$218*AY204,MeanMinAge13)))</f>
        <v/>
      </c>
      <c r="AZ121" s="190">
        <f>IF(OR(AZ93=0,13&lt;='01_Вводные'!$B$297),0,AZ93*IF('01_Вводные'!$B$239="Да",MeanMinAge13+AZ204*SUMIF(ThresholdAge13,"&lt;"&amp;AZ204,WeightedRevAge13)-SUMIF(ThresholdAge13,"&lt;"&amp;AZ204,WeightedMinAge13),MAX(CapacityAge13*'01_Вводные'!$B$218*AZ204,MeanMinAge13)))</f>
        <v/>
      </c>
      <c r="BA121" s="190">
        <f>IF(OR(BA93=0,13&lt;='01_Вводные'!$B$297),0,BA93*IF('01_Вводные'!$B$239="Да",MeanMinAge13+BA204*SUMIF(ThresholdAge13,"&lt;"&amp;BA204,WeightedRevAge13)-SUMIF(ThresholdAge13,"&lt;"&amp;BA204,WeightedMinAge13),MAX(CapacityAge13*'01_Вводные'!$B$218*BA204,MeanMinAge13)))</f>
        <v/>
      </c>
      <c r="BB121" s="190">
        <f>IF(OR(BB93=0,13&lt;='01_Вводные'!$B$297),0,BB93*IF('01_Вводные'!$B$239="Да",MeanMinAge13+BB204*SUMIF(ThresholdAge13,"&lt;"&amp;BB204,WeightedRevAge13)-SUMIF(ThresholdAge13,"&lt;"&amp;BB204,WeightedMinAge13),MAX(CapacityAge13*'01_Вводные'!$B$218*BB204,MeanMinAge13)))</f>
        <v/>
      </c>
      <c r="BC121" s="190">
        <f>IF(OR(BC93=0,13&lt;='01_Вводные'!$B$297),0,BC93*IF('01_Вводные'!$B$239="Да",MeanMinAge13+BC204*SUMIF(ThresholdAge13,"&lt;"&amp;BC204,WeightedRevAge13)-SUMIF(ThresholdAge13,"&lt;"&amp;BC204,WeightedMinAge13),MAX(CapacityAge13*'01_Вводные'!$B$218*BC204,MeanMinAge13)))</f>
        <v/>
      </c>
      <c r="BD121" s="190">
        <f>IF(OR(BD93=0,13&lt;='01_Вводные'!$B$297),0,BD93*IF('01_Вводные'!$B$239="Да",MeanMinAge13+BD204*SUMIF(ThresholdAge13,"&lt;"&amp;BD204,WeightedRevAge13)-SUMIF(ThresholdAge13,"&lt;"&amp;BD204,WeightedMinAge13),MAX(CapacityAge13*'01_Вводные'!$B$218*BD204,MeanMinAge13)))</f>
        <v/>
      </c>
      <c r="BE121" s="190">
        <f>IF(OR(BE93=0,13&lt;='01_Вводные'!$B$297),0,BE93*IF('01_Вводные'!$B$239="Да",MeanMinAge13+BE204*SUMIF(ThresholdAge13,"&lt;"&amp;BE204,WeightedRevAge13)-SUMIF(ThresholdAge13,"&lt;"&amp;BE204,WeightedMinAge13),MAX(CapacityAge13*'01_Вводные'!$B$218*BE204,MeanMinAge13)))</f>
        <v/>
      </c>
      <c r="BF121" s="190">
        <f>IF(OR(BF93=0,13&lt;='01_Вводные'!$B$297),0,BF93*IF('01_Вводные'!$B$239="Да",MeanMinAge13+BF204*SUMIF(ThresholdAge13,"&lt;"&amp;BF204,WeightedRevAge13)-SUMIF(ThresholdAge13,"&lt;"&amp;BF204,WeightedMinAge13),MAX(CapacityAge13*'01_Вводные'!$B$218*BF204,MeanMinAge13)))</f>
        <v/>
      </c>
      <c r="BG121" s="190">
        <f>IF(OR(BG93=0,13&lt;='01_Вводные'!$B$297),0,BG93*IF('01_Вводные'!$B$239="Да",MeanMinAge13+BG204*SUMIF(ThresholdAge13,"&lt;"&amp;BG204,WeightedRevAge13)-SUMIF(ThresholdAge13,"&lt;"&amp;BG204,WeightedMinAge13),MAX(CapacityAge13*'01_Вводные'!$B$218*BG204,MeanMinAge13)))</f>
        <v/>
      </c>
      <c r="BH121" s="190">
        <f>IF(OR(BH93=0,13&lt;='01_Вводные'!$B$297),0,BH93*IF('01_Вводные'!$B$239="Да",MeanMinAge13+BH204*SUMIF(ThresholdAge13,"&lt;"&amp;BH204,WeightedRevAge13)-SUMIF(ThresholdAge13,"&lt;"&amp;BH204,WeightedMinAge13),MAX(CapacityAge13*'01_Вводные'!$B$218*BH204,MeanMinAge13)))</f>
        <v/>
      </c>
      <c r="BI121" s="190">
        <f>IF(OR(BI93=0,13&lt;='01_Вводные'!$B$297),0,BI93*IF('01_Вводные'!$B$239="Да",MeanMinAge13+BI204*SUMIF(ThresholdAge13,"&lt;"&amp;BI204,WeightedRevAge13)-SUMIF(ThresholdAge13,"&lt;"&amp;BI204,WeightedMinAge13),MAX(CapacityAge13*'01_Вводные'!$B$218*BI204,MeanMinAge13)))</f>
        <v/>
      </c>
      <c r="BJ121" s="190">
        <f>IF(OR(BJ93=0,13&lt;='01_Вводные'!$B$297),0,BJ93*IF('01_Вводные'!$B$239="Да",MeanMinAge13+BJ204*SUMIF(ThresholdAge13,"&lt;"&amp;BJ204,WeightedRevAge13)-SUMIF(ThresholdAge13,"&lt;"&amp;BJ204,WeightedMinAge13),MAX(CapacityAge13*'01_Вводные'!$B$218*BJ204,MeanMinAge13)))</f>
        <v/>
      </c>
      <c r="BK121" s="190">
        <f>IF(OR(BK93=0,13&lt;='01_Вводные'!$B$297),0,BK93*IF('01_Вводные'!$B$239="Да",MeanMinAge13+BK204*SUMIF(ThresholdAge13,"&lt;"&amp;BK204,WeightedRevAge13)-SUMIF(ThresholdAge13,"&lt;"&amp;BK204,WeightedMinAge13),MAX(CapacityAge13*'01_Вводные'!$B$218*BK204,MeanMinAge13)))</f>
        <v/>
      </c>
      <c r="BL121" s="190">
        <f>IF(OR(BL93=0,13&lt;='01_Вводные'!$B$297),0,BL93*IF('01_Вводные'!$B$239="Да",MeanMinAge13+BL204*SUMIF(ThresholdAge13,"&lt;"&amp;BL204,WeightedRevAge13)-SUMIF(ThresholdAge13,"&lt;"&amp;BL204,WeightedMinAge13),MAX(CapacityAge13*'01_Вводные'!$B$218*BL204,MeanMinAge13)))</f>
        <v/>
      </c>
      <c r="BM121" s="190">
        <f>IF(OR(BM93=0,13&lt;='01_Вводные'!$B$297),0,BM93*IF('01_Вводные'!$B$239="Да",MeanMinAge13+BM204*SUMIF(ThresholdAge13,"&lt;"&amp;BM204,WeightedRevAge13)-SUMIF(ThresholdAge13,"&lt;"&amp;BM204,WeightedMinAge13),MAX(CapacityAge13*'01_Вводные'!$B$218*BM204,MeanMinAge13)))</f>
        <v/>
      </c>
      <c r="BN121" s="190">
        <f>IF(OR(BN93=0,13&lt;='01_Вводные'!$B$297),0,BN93*IF('01_Вводные'!$B$239="Да",MeanMinAge13+BN204*SUMIF(ThresholdAge13,"&lt;"&amp;BN204,WeightedRevAge13)-SUMIF(ThresholdAge13,"&lt;"&amp;BN204,WeightedMinAge13),MAX(CapacityAge13*'01_Вводные'!$B$218*BN204,MeanMinAge13)))</f>
        <v/>
      </c>
      <c r="BO121" s="190">
        <f>IF(OR(BO93=0,13&lt;='01_Вводные'!$B$297),0,BO93*IF('01_Вводные'!$B$239="Да",MeanMinAge13+BO204*SUMIF(ThresholdAge13,"&lt;"&amp;BO204,WeightedRevAge13)-SUMIF(ThresholdAge13,"&lt;"&amp;BO204,WeightedMinAge13),MAX(CapacityAge13*'01_Вводные'!$B$218*BO204,MeanMinAge13)))</f>
        <v/>
      </c>
    </row>
    <row r="122" hidden="1" outlineLevel="1">
      <c r="A122" t="inlineStr">
        <is>
          <t>14 мес.</t>
        </is>
      </c>
      <c r="B122" s="190">
        <f>IF(OR(B94=0,14&lt;='01_Вводные'!$B$297),0,B94*IF('01_Вводные'!$B$239="Да",MeanMinAge14+B204*SUMIF(ThresholdAge14,"&lt;"&amp;B204,WeightedRevAge14)-SUMIF(ThresholdAge14,"&lt;"&amp;B204,WeightedMinAge14),MAX(CapacityAge14*'01_Вводные'!$B$218*B204,MeanMinAge14)))</f>
        <v/>
      </c>
      <c r="C122" s="190">
        <f>IF(OR(C94=0,14&lt;='01_Вводные'!$B$297),0,C94*IF('01_Вводные'!$B$239="Да",MeanMinAge14+C204*SUMIF(ThresholdAge14,"&lt;"&amp;C204,WeightedRevAge14)-SUMIF(ThresholdAge14,"&lt;"&amp;C204,WeightedMinAge14),MAX(CapacityAge14*'01_Вводные'!$B$218*C204,MeanMinAge14)))</f>
        <v/>
      </c>
      <c r="D122" s="190">
        <f>IF(OR(D94=0,14&lt;='01_Вводные'!$B$297),0,D94*IF('01_Вводные'!$B$239="Да",MeanMinAge14+D204*SUMIF(ThresholdAge14,"&lt;"&amp;D204,WeightedRevAge14)-SUMIF(ThresholdAge14,"&lt;"&amp;D204,WeightedMinAge14),MAX(CapacityAge14*'01_Вводные'!$B$218*D204,MeanMinAge14)))</f>
        <v/>
      </c>
      <c r="E122" s="190">
        <f>IF(OR(E94=0,14&lt;='01_Вводные'!$B$297),0,E94*IF('01_Вводные'!$B$239="Да",MeanMinAge14+E204*SUMIF(ThresholdAge14,"&lt;"&amp;E204,WeightedRevAge14)-SUMIF(ThresholdAge14,"&lt;"&amp;E204,WeightedMinAge14),MAX(CapacityAge14*'01_Вводные'!$B$218*E204,MeanMinAge14)))</f>
        <v/>
      </c>
      <c r="F122" s="190">
        <f>IF(OR(F94=0,14&lt;='01_Вводные'!$B$297),0,F94*IF('01_Вводные'!$B$239="Да",MeanMinAge14+F204*SUMIF(ThresholdAge14,"&lt;"&amp;F204,WeightedRevAge14)-SUMIF(ThresholdAge14,"&lt;"&amp;F204,WeightedMinAge14),MAX(CapacityAge14*'01_Вводные'!$B$218*F204,MeanMinAge14)))</f>
        <v/>
      </c>
      <c r="G122" s="190">
        <f>IF(OR(G94=0,14&lt;='01_Вводные'!$B$297),0,G94*IF('01_Вводные'!$B$239="Да",MeanMinAge14+G204*SUMIF(ThresholdAge14,"&lt;"&amp;G204,WeightedRevAge14)-SUMIF(ThresholdAge14,"&lt;"&amp;G204,WeightedMinAge14),MAX(CapacityAge14*'01_Вводные'!$B$218*G204,MeanMinAge14)))</f>
        <v/>
      </c>
      <c r="H122" s="190">
        <f>IF(OR(H94=0,14&lt;='01_Вводные'!$B$297),0,H94*IF('01_Вводные'!$B$239="Да",MeanMinAge14+H204*SUMIF(ThresholdAge14,"&lt;"&amp;H204,WeightedRevAge14)-SUMIF(ThresholdAge14,"&lt;"&amp;H204,WeightedMinAge14),MAX(CapacityAge14*'01_Вводные'!$B$218*H204,MeanMinAge14)))</f>
        <v/>
      </c>
      <c r="I122" s="190">
        <f>IF(OR(I94=0,14&lt;='01_Вводные'!$B$297),0,I94*IF('01_Вводные'!$B$239="Да",MeanMinAge14+I204*SUMIF(ThresholdAge14,"&lt;"&amp;I204,WeightedRevAge14)-SUMIF(ThresholdAge14,"&lt;"&amp;I204,WeightedMinAge14),MAX(CapacityAge14*'01_Вводные'!$B$218*I204,MeanMinAge14)))</f>
        <v/>
      </c>
      <c r="J122" s="190">
        <f>IF(OR(J94=0,14&lt;='01_Вводные'!$B$297),0,J94*IF('01_Вводные'!$B$239="Да",MeanMinAge14+J204*SUMIF(ThresholdAge14,"&lt;"&amp;J204,WeightedRevAge14)-SUMIF(ThresholdAge14,"&lt;"&amp;J204,WeightedMinAge14),MAX(CapacityAge14*'01_Вводные'!$B$218*J204,MeanMinAge14)))</f>
        <v/>
      </c>
      <c r="K122" s="190">
        <f>IF(OR(K94=0,14&lt;='01_Вводные'!$B$297),0,K94*IF('01_Вводные'!$B$239="Да",MeanMinAge14+K204*SUMIF(ThresholdAge14,"&lt;"&amp;K204,WeightedRevAge14)-SUMIF(ThresholdAge14,"&lt;"&amp;K204,WeightedMinAge14),MAX(CapacityAge14*'01_Вводные'!$B$218*K204,MeanMinAge14)))</f>
        <v/>
      </c>
      <c r="L122" s="190">
        <f>IF(OR(L94=0,14&lt;='01_Вводные'!$B$297),0,L94*IF('01_Вводные'!$B$239="Да",MeanMinAge14+L204*SUMIF(ThresholdAge14,"&lt;"&amp;L204,WeightedRevAge14)-SUMIF(ThresholdAge14,"&lt;"&amp;L204,WeightedMinAge14),MAX(CapacityAge14*'01_Вводные'!$B$218*L204,MeanMinAge14)))</f>
        <v/>
      </c>
      <c r="M122" s="190">
        <f>IF(OR(M94=0,14&lt;='01_Вводные'!$B$297),0,M94*IF('01_Вводные'!$B$239="Да",MeanMinAge14+M204*SUMIF(ThresholdAge14,"&lt;"&amp;M204,WeightedRevAge14)-SUMIF(ThresholdAge14,"&lt;"&amp;M204,WeightedMinAge14),MAX(CapacityAge14*'01_Вводные'!$B$218*M204,MeanMinAge14)))</f>
        <v/>
      </c>
      <c r="N122" s="190">
        <f>IF(OR(N94=0,14&lt;='01_Вводные'!$B$297),0,N94*IF('01_Вводные'!$B$239="Да",MeanMinAge14+N204*SUMIF(ThresholdAge14,"&lt;"&amp;N204,WeightedRevAge14)-SUMIF(ThresholdAge14,"&lt;"&amp;N204,WeightedMinAge14),MAX(CapacityAge14*'01_Вводные'!$B$218*N204,MeanMinAge14)))</f>
        <v/>
      </c>
      <c r="O122" s="190">
        <f>IF(OR(O94=0,14&lt;='01_Вводные'!$B$297),0,O94*IF('01_Вводные'!$B$239="Да",MeanMinAge14+O204*SUMIF(ThresholdAge14,"&lt;"&amp;O204,WeightedRevAge14)-SUMIF(ThresholdAge14,"&lt;"&amp;O204,WeightedMinAge14),MAX(CapacityAge14*'01_Вводные'!$B$218*O204,MeanMinAge14)))</f>
        <v/>
      </c>
      <c r="P122" s="190">
        <f>IF(OR(P94=0,14&lt;='01_Вводные'!$B$297),0,P94*IF('01_Вводные'!$B$239="Да",MeanMinAge14+P204*SUMIF(ThresholdAge14,"&lt;"&amp;P204,WeightedRevAge14)-SUMIF(ThresholdAge14,"&lt;"&amp;P204,WeightedMinAge14),MAX(CapacityAge14*'01_Вводные'!$B$218*P204,MeanMinAge14)))</f>
        <v/>
      </c>
      <c r="Q122" s="190">
        <f>IF(OR(Q94=0,14&lt;='01_Вводные'!$B$297),0,Q94*IF('01_Вводные'!$B$239="Да",MeanMinAge14+Q204*SUMIF(ThresholdAge14,"&lt;"&amp;Q204,WeightedRevAge14)-SUMIF(ThresholdAge14,"&lt;"&amp;Q204,WeightedMinAge14),MAX(CapacityAge14*'01_Вводные'!$B$218*Q204,MeanMinAge14)))</f>
        <v/>
      </c>
      <c r="R122" s="190">
        <f>IF(OR(R94=0,14&lt;='01_Вводные'!$B$297),0,R94*IF('01_Вводные'!$B$239="Да",MeanMinAge14+R204*SUMIF(ThresholdAge14,"&lt;"&amp;R204,WeightedRevAge14)-SUMIF(ThresholdAge14,"&lt;"&amp;R204,WeightedMinAge14),MAX(CapacityAge14*'01_Вводные'!$B$218*R204,MeanMinAge14)))</f>
        <v/>
      </c>
      <c r="S122" s="190">
        <f>IF(OR(S94=0,14&lt;='01_Вводные'!$B$297),0,S94*IF('01_Вводные'!$B$239="Да",MeanMinAge14+S204*SUMIF(ThresholdAge14,"&lt;"&amp;S204,WeightedRevAge14)-SUMIF(ThresholdAge14,"&lt;"&amp;S204,WeightedMinAge14),MAX(CapacityAge14*'01_Вводные'!$B$218*S204,MeanMinAge14)))</f>
        <v/>
      </c>
      <c r="T122" s="190">
        <f>IF(OR(T94=0,14&lt;='01_Вводные'!$B$297),0,T94*IF('01_Вводные'!$B$239="Да",MeanMinAge14+T204*SUMIF(ThresholdAge14,"&lt;"&amp;T204,WeightedRevAge14)-SUMIF(ThresholdAge14,"&lt;"&amp;T204,WeightedMinAge14),MAX(CapacityAge14*'01_Вводные'!$B$218*T204,MeanMinAge14)))</f>
        <v/>
      </c>
      <c r="U122" s="190">
        <f>IF(OR(U94=0,14&lt;='01_Вводные'!$B$297),0,U94*IF('01_Вводные'!$B$239="Да",MeanMinAge14+U204*SUMIF(ThresholdAge14,"&lt;"&amp;U204,WeightedRevAge14)-SUMIF(ThresholdAge14,"&lt;"&amp;U204,WeightedMinAge14),MAX(CapacityAge14*'01_Вводные'!$B$218*U204,MeanMinAge14)))</f>
        <v/>
      </c>
      <c r="V122" s="190">
        <f>IF(OR(V94=0,14&lt;='01_Вводные'!$B$297),0,V94*IF('01_Вводные'!$B$239="Да",MeanMinAge14+V204*SUMIF(ThresholdAge14,"&lt;"&amp;V204,WeightedRevAge14)-SUMIF(ThresholdAge14,"&lt;"&amp;V204,WeightedMinAge14),MAX(CapacityAge14*'01_Вводные'!$B$218*V204,MeanMinAge14)))</f>
        <v/>
      </c>
      <c r="W122" s="190">
        <f>IF(OR(W94=0,14&lt;='01_Вводные'!$B$297),0,W94*IF('01_Вводные'!$B$239="Да",MeanMinAge14+W204*SUMIF(ThresholdAge14,"&lt;"&amp;W204,WeightedRevAge14)-SUMIF(ThresholdAge14,"&lt;"&amp;W204,WeightedMinAge14),MAX(CapacityAge14*'01_Вводные'!$B$218*W204,MeanMinAge14)))</f>
        <v/>
      </c>
      <c r="X122" s="190">
        <f>IF(OR(X94=0,14&lt;='01_Вводные'!$B$297),0,X94*IF('01_Вводные'!$B$239="Да",MeanMinAge14+X204*SUMIF(ThresholdAge14,"&lt;"&amp;X204,WeightedRevAge14)-SUMIF(ThresholdAge14,"&lt;"&amp;X204,WeightedMinAge14),MAX(CapacityAge14*'01_Вводные'!$B$218*X204,MeanMinAge14)))</f>
        <v/>
      </c>
      <c r="Y122" s="190">
        <f>IF(OR(Y94=0,14&lt;='01_Вводные'!$B$297),0,Y94*IF('01_Вводные'!$B$239="Да",MeanMinAge14+Y204*SUMIF(ThresholdAge14,"&lt;"&amp;Y204,WeightedRevAge14)-SUMIF(ThresholdAge14,"&lt;"&amp;Y204,WeightedMinAge14),MAX(CapacityAge14*'01_Вводные'!$B$218*Y204,MeanMinAge14)))</f>
        <v/>
      </c>
      <c r="Z122" s="190">
        <f>IF(OR(Z94=0,14&lt;='01_Вводные'!$B$297),0,Z94*IF('01_Вводные'!$B$239="Да",MeanMinAge14+Z204*SUMIF(ThresholdAge14,"&lt;"&amp;Z204,WeightedRevAge14)-SUMIF(ThresholdAge14,"&lt;"&amp;Z204,WeightedMinAge14),MAX(CapacityAge14*'01_Вводные'!$B$218*Z204,MeanMinAge14)))</f>
        <v/>
      </c>
      <c r="AA122" s="190">
        <f>IF(OR(AA94=0,14&lt;='01_Вводные'!$B$297),0,AA94*IF('01_Вводные'!$B$239="Да",MeanMinAge14+AA204*SUMIF(ThresholdAge14,"&lt;"&amp;AA204,WeightedRevAge14)-SUMIF(ThresholdAge14,"&lt;"&amp;AA204,WeightedMinAge14),MAX(CapacityAge14*'01_Вводные'!$B$218*AA204,MeanMinAge14)))</f>
        <v/>
      </c>
      <c r="AB122" s="190">
        <f>IF(OR(AB94=0,14&lt;='01_Вводные'!$B$297),0,AB94*IF('01_Вводные'!$B$239="Да",MeanMinAge14+AB204*SUMIF(ThresholdAge14,"&lt;"&amp;AB204,WeightedRevAge14)-SUMIF(ThresholdAge14,"&lt;"&amp;AB204,WeightedMinAge14),MAX(CapacityAge14*'01_Вводные'!$B$218*AB204,MeanMinAge14)))</f>
        <v/>
      </c>
      <c r="AC122" s="190">
        <f>IF(OR(AC94=0,14&lt;='01_Вводные'!$B$297),0,AC94*IF('01_Вводные'!$B$239="Да",MeanMinAge14+AC204*SUMIF(ThresholdAge14,"&lt;"&amp;AC204,WeightedRevAge14)-SUMIF(ThresholdAge14,"&lt;"&amp;AC204,WeightedMinAge14),MAX(CapacityAge14*'01_Вводные'!$B$218*AC204,MeanMinAge14)))</f>
        <v/>
      </c>
      <c r="AD122" s="190">
        <f>IF(OR(AD94=0,14&lt;='01_Вводные'!$B$297),0,AD94*IF('01_Вводные'!$B$239="Да",MeanMinAge14+AD204*SUMIF(ThresholdAge14,"&lt;"&amp;AD204,WeightedRevAge14)-SUMIF(ThresholdAge14,"&lt;"&amp;AD204,WeightedMinAge14),MAX(CapacityAge14*'01_Вводные'!$B$218*AD204,MeanMinAge14)))</f>
        <v/>
      </c>
      <c r="AE122" s="190">
        <f>IF(OR(AE94=0,14&lt;='01_Вводные'!$B$297),0,AE94*IF('01_Вводные'!$B$239="Да",MeanMinAge14+AE204*SUMIF(ThresholdAge14,"&lt;"&amp;AE204,WeightedRevAge14)-SUMIF(ThresholdAge14,"&lt;"&amp;AE204,WeightedMinAge14),MAX(CapacityAge14*'01_Вводные'!$B$218*AE204,MeanMinAge14)))</f>
        <v/>
      </c>
      <c r="AF122" s="190">
        <f>IF(OR(AF94=0,14&lt;='01_Вводные'!$B$297),0,AF94*IF('01_Вводные'!$B$239="Да",MeanMinAge14+AF204*SUMIF(ThresholdAge14,"&lt;"&amp;AF204,WeightedRevAge14)-SUMIF(ThresholdAge14,"&lt;"&amp;AF204,WeightedMinAge14),MAX(CapacityAge14*'01_Вводные'!$B$218*AF204,MeanMinAge14)))</f>
        <v/>
      </c>
      <c r="AG122" s="190">
        <f>IF(OR(AG94=0,14&lt;='01_Вводные'!$B$297),0,AG94*IF('01_Вводные'!$B$239="Да",MeanMinAge14+AG204*SUMIF(ThresholdAge14,"&lt;"&amp;AG204,WeightedRevAge14)-SUMIF(ThresholdAge14,"&lt;"&amp;AG204,WeightedMinAge14),MAX(CapacityAge14*'01_Вводные'!$B$218*AG204,MeanMinAge14)))</f>
        <v/>
      </c>
      <c r="AH122" s="190">
        <f>IF(OR(AH94=0,14&lt;='01_Вводные'!$B$297),0,AH94*IF('01_Вводные'!$B$239="Да",MeanMinAge14+AH204*SUMIF(ThresholdAge14,"&lt;"&amp;AH204,WeightedRevAge14)-SUMIF(ThresholdAge14,"&lt;"&amp;AH204,WeightedMinAge14),MAX(CapacityAge14*'01_Вводные'!$B$218*AH204,MeanMinAge14)))</f>
        <v/>
      </c>
      <c r="AI122" s="190">
        <f>IF(OR(AI94=0,14&lt;='01_Вводные'!$B$297),0,AI94*IF('01_Вводные'!$B$239="Да",MeanMinAge14+AI204*SUMIF(ThresholdAge14,"&lt;"&amp;AI204,WeightedRevAge14)-SUMIF(ThresholdAge14,"&lt;"&amp;AI204,WeightedMinAge14),MAX(CapacityAge14*'01_Вводные'!$B$218*AI204,MeanMinAge14)))</f>
        <v/>
      </c>
      <c r="AJ122" s="190">
        <f>IF(OR(AJ94=0,14&lt;='01_Вводные'!$B$297),0,AJ94*IF('01_Вводные'!$B$239="Да",MeanMinAge14+AJ204*SUMIF(ThresholdAge14,"&lt;"&amp;AJ204,WeightedRevAge14)-SUMIF(ThresholdAge14,"&lt;"&amp;AJ204,WeightedMinAge14),MAX(CapacityAge14*'01_Вводные'!$B$218*AJ204,MeanMinAge14)))</f>
        <v/>
      </c>
      <c r="AK122" s="190">
        <f>IF(OR(AK94=0,14&lt;='01_Вводные'!$B$297),0,AK94*IF('01_Вводные'!$B$239="Да",MeanMinAge14+AK204*SUMIF(ThresholdAge14,"&lt;"&amp;AK204,WeightedRevAge14)-SUMIF(ThresholdAge14,"&lt;"&amp;AK204,WeightedMinAge14),MAX(CapacityAge14*'01_Вводные'!$B$218*AK204,MeanMinAge14)))</f>
        <v/>
      </c>
      <c r="AL122" s="190">
        <f>IF(OR(AL94=0,14&lt;='01_Вводные'!$B$297),0,AL94*IF('01_Вводные'!$B$239="Да",MeanMinAge14+AL204*SUMIF(ThresholdAge14,"&lt;"&amp;AL204,WeightedRevAge14)-SUMIF(ThresholdAge14,"&lt;"&amp;AL204,WeightedMinAge14),MAX(CapacityAge14*'01_Вводные'!$B$218*AL204,MeanMinAge14)))</f>
        <v/>
      </c>
      <c r="AM122" s="190">
        <f>IF(OR(AM94=0,14&lt;='01_Вводные'!$B$297),0,AM94*IF('01_Вводные'!$B$239="Да",MeanMinAge14+AM204*SUMIF(ThresholdAge14,"&lt;"&amp;AM204,WeightedRevAge14)-SUMIF(ThresholdAge14,"&lt;"&amp;AM204,WeightedMinAge14),MAX(CapacityAge14*'01_Вводные'!$B$218*AM204,MeanMinAge14)))</f>
        <v/>
      </c>
      <c r="AN122" s="190">
        <f>IF(OR(AN94=0,14&lt;='01_Вводные'!$B$297),0,AN94*IF('01_Вводные'!$B$239="Да",MeanMinAge14+AN204*SUMIF(ThresholdAge14,"&lt;"&amp;AN204,WeightedRevAge14)-SUMIF(ThresholdAge14,"&lt;"&amp;AN204,WeightedMinAge14),MAX(CapacityAge14*'01_Вводные'!$B$218*AN204,MeanMinAge14)))</f>
        <v/>
      </c>
      <c r="AO122" s="190">
        <f>IF(OR(AO94=0,14&lt;='01_Вводные'!$B$297),0,AO94*IF('01_Вводные'!$B$239="Да",MeanMinAge14+AO204*SUMIF(ThresholdAge14,"&lt;"&amp;AO204,WeightedRevAge14)-SUMIF(ThresholdAge14,"&lt;"&amp;AO204,WeightedMinAge14),MAX(CapacityAge14*'01_Вводные'!$B$218*AO204,MeanMinAge14)))</f>
        <v/>
      </c>
      <c r="AP122" s="190">
        <f>IF(OR(AP94=0,14&lt;='01_Вводные'!$B$297),0,AP94*IF('01_Вводные'!$B$239="Да",MeanMinAge14+AP204*SUMIF(ThresholdAge14,"&lt;"&amp;AP204,WeightedRevAge14)-SUMIF(ThresholdAge14,"&lt;"&amp;AP204,WeightedMinAge14),MAX(CapacityAge14*'01_Вводные'!$B$218*AP204,MeanMinAge14)))</f>
        <v/>
      </c>
      <c r="AQ122" s="190">
        <f>IF(OR(AQ94=0,14&lt;='01_Вводные'!$B$297),0,AQ94*IF('01_Вводные'!$B$239="Да",MeanMinAge14+AQ204*SUMIF(ThresholdAge14,"&lt;"&amp;AQ204,WeightedRevAge14)-SUMIF(ThresholdAge14,"&lt;"&amp;AQ204,WeightedMinAge14),MAX(CapacityAge14*'01_Вводные'!$B$218*AQ204,MeanMinAge14)))</f>
        <v/>
      </c>
      <c r="AR122" s="190">
        <f>IF(OR(AR94=0,14&lt;='01_Вводные'!$B$297),0,AR94*IF('01_Вводные'!$B$239="Да",MeanMinAge14+AR204*SUMIF(ThresholdAge14,"&lt;"&amp;AR204,WeightedRevAge14)-SUMIF(ThresholdAge14,"&lt;"&amp;AR204,WeightedMinAge14),MAX(CapacityAge14*'01_Вводные'!$B$218*AR204,MeanMinAge14)))</f>
        <v/>
      </c>
      <c r="AS122" s="190">
        <f>IF(OR(AS94=0,14&lt;='01_Вводные'!$B$297),0,AS94*IF('01_Вводные'!$B$239="Да",MeanMinAge14+AS204*SUMIF(ThresholdAge14,"&lt;"&amp;AS204,WeightedRevAge14)-SUMIF(ThresholdAge14,"&lt;"&amp;AS204,WeightedMinAge14),MAX(CapacityAge14*'01_Вводные'!$B$218*AS204,MeanMinAge14)))</f>
        <v/>
      </c>
      <c r="AT122" s="190">
        <f>IF(OR(AT94=0,14&lt;='01_Вводные'!$B$297),0,AT94*IF('01_Вводные'!$B$239="Да",MeanMinAge14+AT204*SUMIF(ThresholdAge14,"&lt;"&amp;AT204,WeightedRevAge14)-SUMIF(ThresholdAge14,"&lt;"&amp;AT204,WeightedMinAge14),MAX(CapacityAge14*'01_Вводные'!$B$218*AT204,MeanMinAge14)))</f>
        <v/>
      </c>
      <c r="AU122" s="190">
        <f>IF(OR(AU94=0,14&lt;='01_Вводные'!$B$297),0,AU94*IF('01_Вводные'!$B$239="Да",MeanMinAge14+AU204*SUMIF(ThresholdAge14,"&lt;"&amp;AU204,WeightedRevAge14)-SUMIF(ThresholdAge14,"&lt;"&amp;AU204,WeightedMinAge14),MAX(CapacityAge14*'01_Вводные'!$B$218*AU204,MeanMinAge14)))</f>
        <v/>
      </c>
      <c r="AV122" s="190">
        <f>IF(OR(AV94=0,14&lt;='01_Вводные'!$B$297),0,AV94*IF('01_Вводные'!$B$239="Да",MeanMinAge14+AV204*SUMIF(ThresholdAge14,"&lt;"&amp;AV204,WeightedRevAge14)-SUMIF(ThresholdAge14,"&lt;"&amp;AV204,WeightedMinAge14),MAX(CapacityAge14*'01_Вводные'!$B$218*AV204,MeanMinAge14)))</f>
        <v/>
      </c>
      <c r="AW122" s="190">
        <f>IF(OR(AW94=0,14&lt;='01_Вводные'!$B$297),0,AW94*IF('01_Вводные'!$B$239="Да",MeanMinAge14+AW204*SUMIF(ThresholdAge14,"&lt;"&amp;AW204,WeightedRevAge14)-SUMIF(ThresholdAge14,"&lt;"&amp;AW204,WeightedMinAge14),MAX(CapacityAge14*'01_Вводные'!$B$218*AW204,MeanMinAge14)))</f>
        <v/>
      </c>
      <c r="AX122" s="190">
        <f>IF(OR(AX94=0,14&lt;='01_Вводные'!$B$297),0,AX94*IF('01_Вводные'!$B$239="Да",MeanMinAge14+AX204*SUMIF(ThresholdAge14,"&lt;"&amp;AX204,WeightedRevAge14)-SUMIF(ThresholdAge14,"&lt;"&amp;AX204,WeightedMinAge14),MAX(CapacityAge14*'01_Вводные'!$B$218*AX204,MeanMinAge14)))</f>
        <v/>
      </c>
      <c r="AY122" s="190">
        <f>IF(OR(AY94=0,14&lt;='01_Вводные'!$B$297),0,AY94*IF('01_Вводные'!$B$239="Да",MeanMinAge14+AY204*SUMIF(ThresholdAge14,"&lt;"&amp;AY204,WeightedRevAge14)-SUMIF(ThresholdAge14,"&lt;"&amp;AY204,WeightedMinAge14),MAX(CapacityAge14*'01_Вводные'!$B$218*AY204,MeanMinAge14)))</f>
        <v/>
      </c>
      <c r="AZ122" s="190">
        <f>IF(OR(AZ94=0,14&lt;='01_Вводные'!$B$297),0,AZ94*IF('01_Вводные'!$B$239="Да",MeanMinAge14+AZ204*SUMIF(ThresholdAge14,"&lt;"&amp;AZ204,WeightedRevAge14)-SUMIF(ThresholdAge14,"&lt;"&amp;AZ204,WeightedMinAge14),MAX(CapacityAge14*'01_Вводные'!$B$218*AZ204,MeanMinAge14)))</f>
        <v/>
      </c>
      <c r="BA122" s="190">
        <f>IF(OR(BA94=0,14&lt;='01_Вводные'!$B$297),0,BA94*IF('01_Вводные'!$B$239="Да",MeanMinAge14+BA204*SUMIF(ThresholdAge14,"&lt;"&amp;BA204,WeightedRevAge14)-SUMIF(ThresholdAge14,"&lt;"&amp;BA204,WeightedMinAge14),MAX(CapacityAge14*'01_Вводные'!$B$218*BA204,MeanMinAge14)))</f>
        <v/>
      </c>
      <c r="BB122" s="190">
        <f>IF(OR(BB94=0,14&lt;='01_Вводные'!$B$297),0,BB94*IF('01_Вводные'!$B$239="Да",MeanMinAge14+BB204*SUMIF(ThresholdAge14,"&lt;"&amp;BB204,WeightedRevAge14)-SUMIF(ThresholdAge14,"&lt;"&amp;BB204,WeightedMinAge14),MAX(CapacityAge14*'01_Вводные'!$B$218*BB204,MeanMinAge14)))</f>
        <v/>
      </c>
      <c r="BC122" s="190">
        <f>IF(OR(BC94=0,14&lt;='01_Вводные'!$B$297),0,BC94*IF('01_Вводные'!$B$239="Да",MeanMinAge14+BC204*SUMIF(ThresholdAge14,"&lt;"&amp;BC204,WeightedRevAge14)-SUMIF(ThresholdAge14,"&lt;"&amp;BC204,WeightedMinAge14),MAX(CapacityAge14*'01_Вводные'!$B$218*BC204,MeanMinAge14)))</f>
        <v/>
      </c>
      <c r="BD122" s="190">
        <f>IF(OR(BD94=0,14&lt;='01_Вводные'!$B$297),0,BD94*IF('01_Вводные'!$B$239="Да",MeanMinAge14+BD204*SUMIF(ThresholdAge14,"&lt;"&amp;BD204,WeightedRevAge14)-SUMIF(ThresholdAge14,"&lt;"&amp;BD204,WeightedMinAge14),MAX(CapacityAge14*'01_Вводные'!$B$218*BD204,MeanMinAge14)))</f>
        <v/>
      </c>
      <c r="BE122" s="190">
        <f>IF(OR(BE94=0,14&lt;='01_Вводные'!$B$297),0,BE94*IF('01_Вводные'!$B$239="Да",MeanMinAge14+BE204*SUMIF(ThresholdAge14,"&lt;"&amp;BE204,WeightedRevAge14)-SUMIF(ThresholdAge14,"&lt;"&amp;BE204,WeightedMinAge14),MAX(CapacityAge14*'01_Вводные'!$B$218*BE204,MeanMinAge14)))</f>
        <v/>
      </c>
      <c r="BF122" s="190">
        <f>IF(OR(BF94=0,14&lt;='01_Вводные'!$B$297),0,BF94*IF('01_Вводные'!$B$239="Да",MeanMinAge14+BF204*SUMIF(ThresholdAge14,"&lt;"&amp;BF204,WeightedRevAge14)-SUMIF(ThresholdAge14,"&lt;"&amp;BF204,WeightedMinAge14),MAX(CapacityAge14*'01_Вводные'!$B$218*BF204,MeanMinAge14)))</f>
        <v/>
      </c>
      <c r="BG122" s="190">
        <f>IF(OR(BG94=0,14&lt;='01_Вводные'!$B$297),0,BG94*IF('01_Вводные'!$B$239="Да",MeanMinAge14+BG204*SUMIF(ThresholdAge14,"&lt;"&amp;BG204,WeightedRevAge14)-SUMIF(ThresholdAge14,"&lt;"&amp;BG204,WeightedMinAge14),MAX(CapacityAge14*'01_Вводные'!$B$218*BG204,MeanMinAge14)))</f>
        <v/>
      </c>
      <c r="BH122" s="190">
        <f>IF(OR(BH94=0,14&lt;='01_Вводные'!$B$297),0,BH94*IF('01_Вводные'!$B$239="Да",MeanMinAge14+BH204*SUMIF(ThresholdAge14,"&lt;"&amp;BH204,WeightedRevAge14)-SUMIF(ThresholdAge14,"&lt;"&amp;BH204,WeightedMinAge14),MAX(CapacityAge14*'01_Вводные'!$B$218*BH204,MeanMinAge14)))</f>
        <v/>
      </c>
      <c r="BI122" s="190">
        <f>IF(OR(BI94=0,14&lt;='01_Вводные'!$B$297),0,BI94*IF('01_Вводные'!$B$239="Да",MeanMinAge14+BI204*SUMIF(ThresholdAge14,"&lt;"&amp;BI204,WeightedRevAge14)-SUMIF(ThresholdAge14,"&lt;"&amp;BI204,WeightedMinAge14),MAX(CapacityAge14*'01_Вводные'!$B$218*BI204,MeanMinAge14)))</f>
        <v/>
      </c>
      <c r="BJ122" s="190">
        <f>IF(OR(BJ94=0,14&lt;='01_Вводные'!$B$297),0,BJ94*IF('01_Вводные'!$B$239="Да",MeanMinAge14+BJ204*SUMIF(ThresholdAge14,"&lt;"&amp;BJ204,WeightedRevAge14)-SUMIF(ThresholdAge14,"&lt;"&amp;BJ204,WeightedMinAge14),MAX(CapacityAge14*'01_Вводные'!$B$218*BJ204,MeanMinAge14)))</f>
        <v/>
      </c>
      <c r="BK122" s="190">
        <f>IF(OR(BK94=0,14&lt;='01_Вводные'!$B$297),0,BK94*IF('01_Вводные'!$B$239="Да",MeanMinAge14+BK204*SUMIF(ThresholdAge14,"&lt;"&amp;BK204,WeightedRevAge14)-SUMIF(ThresholdAge14,"&lt;"&amp;BK204,WeightedMinAge14),MAX(CapacityAge14*'01_Вводные'!$B$218*BK204,MeanMinAge14)))</f>
        <v/>
      </c>
      <c r="BL122" s="190">
        <f>IF(OR(BL94=0,14&lt;='01_Вводные'!$B$297),0,BL94*IF('01_Вводные'!$B$239="Да",MeanMinAge14+BL204*SUMIF(ThresholdAge14,"&lt;"&amp;BL204,WeightedRevAge14)-SUMIF(ThresholdAge14,"&lt;"&amp;BL204,WeightedMinAge14),MAX(CapacityAge14*'01_Вводные'!$B$218*BL204,MeanMinAge14)))</f>
        <v/>
      </c>
      <c r="BM122" s="190">
        <f>IF(OR(BM94=0,14&lt;='01_Вводные'!$B$297),0,BM94*IF('01_Вводные'!$B$239="Да",MeanMinAge14+BM204*SUMIF(ThresholdAge14,"&lt;"&amp;BM204,WeightedRevAge14)-SUMIF(ThresholdAge14,"&lt;"&amp;BM204,WeightedMinAge14),MAX(CapacityAge14*'01_Вводные'!$B$218*BM204,MeanMinAge14)))</f>
        <v/>
      </c>
      <c r="BN122" s="190">
        <f>IF(OR(BN94=0,14&lt;='01_Вводные'!$B$297),0,BN94*IF('01_Вводные'!$B$239="Да",MeanMinAge14+BN204*SUMIF(ThresholdAge14,"&lt;"&amp;BN204,WeightedRevAge14)-SUMIF(ThresholdAge14,"&lt;"&amp;BN204,WeightedMinAge14),MAX(CapacityAge14*'01_Вводные'!$B$218*BN204,MeanMinAge14)))</f>
        <v/>
      </c>
      <c r="BO122" s="190">
        <f>IF(OR(BO94=0,14&lt;='01_Вводные'!$B$297),0,BO94*IF('01_Вводные'!$B$239="Да",MeanMinAge14+BO204*SUMIF(ThresholdAge14,"&lt;"&amp;BO204,WeightedRevAge14)-SUMIF(ThresholdAge14,"&lt;"&amp;BO204,WeightedMinAge14),MAX(CapacityAge14*'01_Вводные'!$B$218*BO204,MeanMinAge14)))</f>
        <v/>
      </c>
    </row>
    <row r="123" hidden="1" outlineLevel="1">
      <c r="A123" t="inlineStr">
        <is>
          <t>15 мес.</t>
        </is>
      </c>
      <c r="B123" s="190">
        <f>IF(OR(B95=0,15&lt;='01_Вводные'!$B$297),0,B95*IF('01_Вводные'!$B$239="Да",MeanMinAge15+B204*SUMIF(ThresholdAge15,"&lt;"&amp;B204,WeightedRevAge15)-SUMIF(ThresholdAge15,"&lt;"&amp;B204,WeightedMinAge15),MAX(CapacityAge15*'01_Вводные'!$B$218*B204,MeanMinAge15)))</f>
        <v/>
      </c>
      <c r="C123" s="190">
        <f>IF(OR(C95=0,15&lt;='01_Вводные'!$B$297),0,C95*IF('01_Вводные'!$B$239="Да",MeanMinAge15+C204*SUMIF(ThresholdAge15,"&lt;"&amp;C204,WeightedRevAge15)-SUMIF(ThresholdAge15,"&lt;"&amp;C204,WeightedMinAge15),MAX(CapacityAge15*'01_Вводные'!$B$218*C204,MeanMinAge15)))</f>
        <v/>
      </c>
      <c r="D123" s="190">
        <f>IF(OR(D95=0,15&lt;='01_Вводные'!$B$297),0,D95*IF('01_Вводные'!$B$239="Да",MeanMinAge15+D204*SUMIF(ThresholdAge15,"&lt;"&amp;D204,WeightedRevAge15)-SUMIF(ThresholdAge15,"&lt;"&amp;D204,WeightedMinAge15),MAX(CapacityAge15*'01_Вводные'!$B$218*D204,MeanMinAge15)))</f>
        <v/>
      </c>
      <c r="E123" s="190">
        <f>IF(OR(E95=0,15&lt;='01_Вводные'!$B$297),0,E95*IF('01_Вводные'!$B$239="Да",MeanMinAge15+E204*SUMIF(ThresholdAge15,"&lt;"&amp;E204,WeightedRevAge15)-SUMIF(ThresholdAge15,"&lt;"&amp;E204,WeightedMinAge15),MAX(CapacityAge15*'01_Вводные'!$B$218*E204,MeanMinAge15)))</f>
        <v/>
      </c>
      <c r="F123" s="190">
        <f>IF(OR(F95=0,15&lt;='01_Вводные'!$B$297),0,F95*IF('01_Вводные'!$B$239="Да",MeanMinAge15+F204*SUMIF(ThresholdAge15,"&lt;"&amp;F204,WeightedRevAge15)-SUMIF(ThresholdAge15,"&lt;"&amp;F204,WeightedMinAge15),MAX(CapacityAge15*'01_Вводные'!$B$218*F204,MeanMinAge15)))</f>
        <v/>
      </c>
      <c r="G123" s="190">
        <f>IF(OR(G95=0,15&lt;='01_Вводные'!$B$297),0,G95*IF('01_Вводные'!$B$239="Да",MeanMinAge15+G204*SUMIF(ThresholdAge15,"&lt;"&amp;G204,WeightedRevAge15)-SUMIF(ThresholdAge15,"&lt;"&amp;G204,WeightedMinAge15),MAX(CapacityAge15*'01_Вводные'!$B$218*G204,MeanMinAge15)))</f>
        <v/>
      </c>
      <c r="H123" s="190">
        <f>IF(OR(H95=0,15&lt;='01_Вводные'!$B$297),0,H95*IF('01_Вводные'!$B$239="Да",MeanMinAge15+H204*SUMIF(ThresholdAge15,"&lt;"&amp;H204,WeightedRevAge15)-SUMIF(ThresholdAge15,"&lt;"&amp;H204,WeightedMinAge15),MAX(CapacityAge15*'01_Вводные'!$B$218*H204,MeanMinAge15)))</f>
        <v/>
      </c>
      <c r="I123" s="190">
        <f>IF(OR(I95=0,15&lt;='01_Вводные'!$B$297),0,I95*IF('01_Вводные'!$B$239="Да",MeanMinAge15+I204*SUMIF(ThresholdAge15,"&lt;"&amp;I204,WeightedRevAge15)-SUMIF(ThresholdAge15,"&lt;"&amp;I204,WeightedMinAge15),MAX(CapacityAge15*'01_Вводные'!$B$218*I204,MeanMinAge15)))</f>
        <v/>
      </c>
      <c r="J123" s="190">
        <f>IF(OR(J95=0,15&lt;='01_Вводные'!$B$297),0,J95*IF('01_Вводные'!$B$239="Да",MeanMinAge15+J204*SUMIF(ThresholdAge15,"&lt;"&amp;J204,WeightedRevAge15)-SUMIF(ThresholdAge15,"&lt;"&amp;J204,WeightedMinAge15),MAX(CapacityAge15*'01_Вводные'!$B$218*J204,MeanMinAge15)))</f>
        <v/>
      </c>
      <c r="K123" s="190">
        <f>IF(OR(K95=0,15&lt;='01_Вводные'!$B$297),0,K95*IF('01_Вводные'!$B$239="Да",MeanMinAge15+K204*SUMIF(ThresholdAge15,"&lt;"&amp;K204,WeightedRevAge15)-SUMIF(ThresholdAge15,"&lt;"&amp;K204,WeightedMinAge15),MAX(CapacityAge15*'01_Вводные'!$B$218*K204,MeanMinAge15)))</f>
        <v/>
      </c>
      <c r="L123" s="190">
        <f>IF(OR(L95=0,15&lt;='01_Вводные'!$B$297),0,L95*IF('01_Вводные'!$B$239="Да",MeanMinAge15+L204*SUMIF(ThresholdAge15,"&lt;"&amp;L204,WeightedRevAge15)-SUMIF(ThresholdAge15,"&lt;"&amp;L204,WeightedMinAge15),MAX(CapacityAge15*'01_Вводные'!$B$218*L204,MeanMinAge15)))</f>
        <v/>
      </c>
      <c r="M123" s="190">
        <f>IF(OR(M95=0,15&lt;='01_Вводные'!$B$297),0,M95*IF('01_Вводные'!$B$239="Да",MeanMinAge15+M204*SUMIF(ThresholdAge15,"&lt;"&amp;M204,WeightedRevAge15)-SUMIF(ThresholdAge15,"&lt;"&amp;M204,WeightedMinAge15),MAX(CapacityAge15*'01_Вводные'!$B$218*M204,MeanMinAge15)))</f>
        <v/>
      </c>
      <c r="N123" s="190">
        <f>IF(OR(N95=0,15&lt;='01_Вводные'!$B$297),0,N95*IF('01_Вводные'!$B$239="Да",MeanMinAge15+N204*SUMIF(ThresholdAge15,"&lt;"&amp;N204,WeightedRevAge15)-SUMIF(ThresholdAge15,"&lt;"&amp;N204,WeightedMinAge15),MAX(CapacityAge15*'01_Вводные'!$B$218*N204,MeanMinAge15)))</f>
        <v/>
      </c>
      <c r="O123" s="190">
        <f>IF(OR(O95=0,15&lt;='01_Вводные'!$B$297),0,O95*IF('01_Вводные'!$B$239="Да",MeanMinAge15+O204*SUMIF(ThresholdAge15,"&lt;"&amp;O204,WeightedRevAge15)-SUMIF(ThresholdAge15,"&lt;"&amp;O204,WeightedMinAge15),MAX(CapacityAge15*'01_Вводные'!$B$218*O204,MeanMinAge15)))</f>
        <v/>
      </c>
      <c r="P123" s="190">
        <f>IF(OR(P95=0,15&lt;='01_Вводные'!$B$297),0,P95*IF('01_Вводные'!$B$239="Да",MeanMinAge15+P204*SUMIF(ThresholdAge15,"&lt;"&amp;P204,WeightedRevAge15)-SUMIF(ThresholdAge15,"&lt;"&amp;P204,WeightedMinAge15),MAX(CapacityAge15*'01_Вводные'!$B$218*P204,MeanMinAge15)))</f>
        <v/>
      </c>
      <c r="Q123" s="190">
        <f>IF(OR(Q95=0,15&lt;='01_Вводные'!$B$297),0,Q95*IF('01_Вводные'!$B$239="Да",MeanMinAge15+Q204*SUMIF(ThresholdAge15,"&lt;"&amp;Q204,WeightedRevAge15)-SUMIF(ThresholdAge15,"&lt;"&amp;Q204,WeightedMinAge15),MAX(CapacityAge15*'01_Вводные'!$B$218*Q204,MeanMinAge15)))</f>
        <v/>
      </c>
      <c r="R123" s="190">
        <f>IF(OR(R95=0,15&lt;='01_Вводные'!$B$297),0,R95*IF('01_Вводные'!$B$239="Да",MeanMinAge15+R204*SUMIF(ThresholdAge15,"&lt;"&amp;R204,WeightedRevAge15)-SUMIF(ThresholdAge15,"&lt;"&amp;R204,WeightedMinAge15),MAX(CapacityAge15*'01_Вводные'!$B$218*R204,MeanMinAge15)))</f>
        <v/>
      </c>
      <c r="S123" s="190">
        <f>IF(OR(S95=0,15&lt;='01_Вводные'!$B$297),0,S95*IF('01_Вводные'!$B$239="Да",MeanMinAge15+S204*SUMIF(ThresholdAge15,"&lt;"&amp;S204,WeightedRevAge15)-SUMIF(ThresholdAge15,"&lt;"&amp;S204,WeightedMinAge15),MAX(CapacityAge15*'01_Вводные'!$B$218*S204,MeanMinAge15)))</f>
        <v/>
      </c>
      <c r="T123" s="190">
        <f>IF(OR(T95=0,15&lt;='01_Вводные'!$B$297),0,T95*IF('01_Вводные'!$B$239="Да",MeanMinAge15+T204*SUMIF(ThresholdAge15,"&lt;"&amp;T204,WeightedRevAge15)-SUMIF(ThresholdAge15,"&lt;"&amp;T204,WeightedMinAge15),MAX(CapacityAge15*'01_Вводные'!$B$218*T204,MeanMinAge15)))</f>
        <v/>
      </c>
      <c r="U123" s="190">
        <f>IF(OR(U95=0,15&lt;='01_Вводные'!$B$297),0,U95*IF('01_Вводные'!$B$239="Да",MeanMinAge15+U204*SUMIF(ThresholdAge15,"&lt;"&amp;U204,WeightedRevAge15)-SUMIF(ThresholdAge15,"&lt;"&amp;U204,WeightedMinAge15),MAX(CapacityAge15*'01_Вводные'!$B$218*U204,MeanMinAge15)))</f>
        <v/>
      </c>
      <c r="V123" s="190">
        <f>IF(OR(V95=0,15&lt;='01_Вводные'!$B$297),0,V95*IF('01_Вводные'!$B$239="Да",MeanMinAge15+V204*SUMIF(ThresholdAge15,"&lt;"&amp;V204,WeightedRevAge15)-SUMIF(ThresholdAge15,"&lt;"&amp;V204,WeightedMinAge15),MAX(CapacityAge15*'01_Вводные'!$B$218*V204,MeanMinAge15)))</f>
        <v/>
      </c>
      <c r="W123" s="190">
        <f>IF(OR(W95=0,15&lt;='01_Вводные'!$B$297),0,W95*IF('01_Вводные'!$B$239="Да",MeanMinAge15+W204*SUMIF(ThresholdAge15,"&lt;"&amp;W204,WeightedRevAge15)-SUMIF(ThresholdAge15,"&lt;"&amp;W204,WeightedMinAge15),MAX(CapacityAge15*'01_Вводные'!$B$218*W204,MeanMinAge15)))</f>
        <v/>
      </c>
      <c r="X123" s="190">
        <f>IF(OR(X95=0,15&lt;='01_Вводные'!$B$297),0,X95*IF('01_Вводные'!$B$239="Да",MeanMinAge15+X204*SUMIF(ThresholdAge15,"&lt;"&amp;X204,WeightedRevAge15)-SUMIF(ThresholdAge15,"&lt;"&amp;X204,WeightedMinAge15),MAX(CapacityAge15*'01_Вводные'!$B$218*X204,MeanMinAge15)))</f>
        <v/>
      </c>
      <c r="Y123" s="190">
        <f>IF(OR(Y95=0,15&lt;='01_Вводные'!$B$297),0,Y95*IF('01_Вводные'!$B$239="Да",MeanMinAge15+Y204*SUMIF(ThresholdAge15,"&lt;"&amp;Y204,WeightedRevAge15)-SUMIF(ThresholdAge15,"&lt;"&amp;Y204,WeightedMinAge15),MAX(CapacityAge15*'01_Вводные'!$B$218*Y204,MeanMinAge15)))</f>
        <v/>
      </c>
      <c r="Z123" s="190">
        <f>IF(OR(Z95=0,15&lt;='01_Вводные'!$B$297),0,Z95*IF('01_Вводные'!$B$239="Да",MeanMinAge15+Z204*SUMIF(ThresholdAge15,"&lt;"&amp;Z204,WeightedRevAge15)-SUMIF(ThresholdAge15,"&lt;"&amp;Z204,WeightedMinAge15),MAX(CapacityAge15*'01_Вводные'!$B$218*Z204,MeanMinAge15)))</f>
        <v/>
      </c>
      <c r="AA123" s="190">
        <f>IF(OR(AA95=0,15&lt;='01_Вводные'!$B$297),0,AA95*IF('01_Вводные'!$B$239="Да",MeanMinAge15+AA204*SUMIF(ThresholdAge15,"&lt;"&amp;AA204,WeightedRevAge15)-SUMIF(ThresholdAge15,"&lt;"&amp;AA204,WeightedMinAge15),MAX(CapacityAge15*'01_Вводные'!$B$218*AA204,MeanMinAge15)))</f>
        <v/>
      </c>
      <c r="AB123" s="190">
        <f>IF(OR(AB95=0,15&lt;='01_Вводные'!$B$297),0,AB95*IF('01_Вводные'!$B$239="Да",MeanMinAge15+AB204*SUMIF(ThresholdAge15,"&lt;"&amp;AB204,WeightedRevAge15)-SUMIF(ThresholdAge15,"&lt;"&amp;AB204,WeightedMinAge15),MAX(CapacityAge15*'01_Вводные'!$B$218*AB204,MeanMinAge15)))</f>
        <v/>
      </c>
      <c r="AC123" s="190">
        <f>IF(OR(AC95=0,15&lt;='01_Вводные'!$B$297),0,AC95*IF('01_Вводные'!$B$239="Да",MeanMinAge15+AC204*SUMIF(ThresholdAge15,"&lt;"&amp;AC204,WeightedRevAge15)-SUMIF(ThresholdAge15,"&lt;"&amp;AC204,WeightedMinAge15),MAX(CapacityAge15*'01_Вводные'!$B$218*AC204,MeanMinAge15)))</f>
        <v/>
      </c>
      <c r="AD123" s="190">
        <f>IF(OR(AD95=0,15&lt;='01_Вводные'!$B$297),0,AD95*IF('01_Вводные'!$B$239="Да",MeanMinAge15+AD204*SUMIF(ThresholdAge15,"&lt;"&amp;AD204,WeightedRevAge15)-SUMIF(ThresholdAge15,"&lt;"&amp;AD204,WeightedMinAge15),MAX(CapacityAge15*'01_Вводные'!$B$218*AD204,MeanMinAge15)))</f>
        <v/>
      </c>
      <c r="AE123" s="190">
        <f>IF(OR(AE95=0,15&lt;='01_Вводные'!$B$297),0,AE95*IF('01_Вводные'!$B$239="Да",MeanMinAge15+AE204*SUMIF(ThresholdAge15,"&lt;"&amp;AE204,WeightedRevAge15)-SUMIF(ThresholdAge15,"&lt;"&amp;AE204,WeightedMinAge15),MAX(CapacityAge15*'01_Вводные'!$B$218*AE204,MeanMinAge15)))</f>
        <v/>
      </c>
      <c r="AF123" s="190">
        <f>IF(OR(AF95=0,15&lt;='01_Вводные'!$B$297),0,AF95*IF('01_Вводные'!$B$239="Да",MeanMinAge15+AF204*SUMIF(ThresholdAge15,"&lt;"&amp;AF204,WeightedRevAge15)-SUMIF(ThresholdAge15,"&lt;"&amp;AF204,WeightedMinAge15),MAX(CapacityAge15*'01_Вводные'!$B$218*AF204,MeanMinAge15)))</f>
        <v/>
      </c>
      <c r="AG123" s="190">
        <f>IF(OR(AG95=0,15&lt;='01_Вводные'!$B$297),0,AG95*IF('01_Вводные'!$B$239="Да",MeanMinAge15+AG204*SUMIF(ThresholdAge15,"&lt;"&amp;AG204,WeightedRevAge15)-SUMIF(ThresholdAge15,"&lt;"&amp;AG204,WeightedMinAge15),MAX(CapacityAge15*'01_Вводные'!$B$218*AG204,MeanMinAge15)))</f>
        <v/>
      </c>
      <c r="AH123" s="190">
        <f>IF(OR(AH95=0,15&lt;='01_Вводные'!$B$297),0,AH95*IF('01_Вводные'!$B$239="Да",MeanMinAge15+AH204*SUMIF(ThresholdAge15,"&lt;"&amp;AH204,WeightedRevAge15)-SUMIF(ThresholdAge15,"&lt;"&amp;AH204,WeightedMinAge15),MAX(CapacityAge15*'01_Вводные'!$B$218*AH204,MeanMinAge15)))</f>
        <v/>
      </c>
      <c r="AI123" s="190">
        <f>IF(OR(AI95=0,15&lt;='01_Вводные'!$B$297),0,AI95*IF('01_Вводные'!$B$239="Да",MeanMinAge15+AI204*SUMIF(ThresholdAge15,"&lt;"&amp;AI204,WeightedRevAge15)-SUMIF(ThresholdAge15,"&lt;"&amp;AI204,WeightedMinAge15),MAX(CapacityAge15*'01_Вводные'!$B$218*AI204,MeanMinAge15)))</f>
        <v/>
      </c>
      <c r="AJ123" s="190">
        <f>IF(OR(AJ95=0,15&lt;='01_Вводные'!$B$297),0,AJ95*IF('01_Вводные'!$B$239="Да",MeanMinAge15+AJ204*SUMIF(ThresholdAge15,"&lt;"&amp;AJ204,WeightedRevAge15)-SUMIF(ThresholdAge15,"&lt;"&amp;AJ204,WeightedMinAge15),MAX(CapacityAge15*'01_Вводные'!$B$218*AJ204,MeanMinAge15)))</f>
        <v/>
      </c>
      <c r="AK123" s="190">
        <f>IF(OR(AK95=0,15&lt;='01_Вводные'!$B$297),0,AK95*IF('01_Вводные'!$B$239="Да",MeanMinAge15+AK204*SUMIF(ThresholdAge15,"&lt;"&amp;AK204,WeightedRevAge15)-SUMIF(ThresholdAge15,"&lt;"&amp;AK204,WeightedMinAge15),MAX(CapacityAge15*'01_Вводные'!$B$218*AK204,MeanMinAge15)))</f>
        <v/>
      </c>
      <c r="AL123" s="190">
        <f>IF(OR(AL95=0,15&lt;='01_Вводные'!$B$297),0,AL95*IF('01_Вводные'!$B$239="Да",MeanMinAge15+AL204*SUMIF(ThresholdAge15,"&lt;"&amp;AL204,WeightedRevAge15)-SUMIF(ThresholdAge15,"&lt;"&amp;AL204,WeightedMinAge15),MAX(CapacityAge15*'01_Вводные'!$B$218*AL204,MeanMinAge15)))</f>
        <v/>
      </c>
      <c r="AM123" s="190">
        <f>IF(OR(AM95=0,15&lt;='01_Вводные'!$B$297),0,AM95*IF('01_Вводные'!$B$239="Да",MeanMinAge15+AM204*SUMIF(ThresholdAge15,"&lt;"&amp;AM204,WeightedRevAge15)-SUMIF(ThresholdAge15,"&lt;"&amp;AM204,WeightedMinAge15),MAX(CapacityAge15*'01_Вводные'!$B$218*AM204,MeanMinAge15)))</f>
        <v/>
      </c>
      <c r="AN123" s="190">
        <f>IF(OR(AN95=0,15&lt;='01_Вводные'!$B$297),0,AN95*IF('01_Вводные'!$B$239="Да",MeanMinAge15+AN204*SUMIF(ThresholdAge15,"&lt;"&amp;AN204,WeightedRevAge15)-SUMIF(ThresholdAge15,"&lt;"&amp;AN204,WeightedMinAge15),MAX(CapacityAge15*'01_Вводные'!$B$218*AN204,MeanMinAge15)))</f>
        <v/>
      </c>
      <c r="AO123" s="190">
        <f>IF(OR(AO95=0,15&lt;='01_Вводные'!$B$297),0,AO95*IF('01_Вводные'!$B$239="Да",MeanMinAge15+AO204*SUMIF(ThresholdAge15,"&lt;"&amp;AO204,WeightedRevAge15)-SUMIF(ThresholdAge15,"&lt;"&amp;AO204,WeightedMinAge15),MAX(CapacityAge15*'01_Вводные'!$B$218*AO204,MeanMinAge15)))</f>
        <v/>
      </c>
      <c r="AP123" s="190">
        <f>IF(OR(AP95=0,15&lt;='01_Вводные'!$B$297),0,AP95*IF('01_Вводные'!$B$239="Да",MeanMinAge15+AP204*SUMIF(ThresholdAge15,"&lt;"&amp;AP204,WeightedRevAge15)-SUMIF(ThresholdAge15,"&lt;"&amp;AP204,WeightedMinAge15),MAX(CapacityAge15*'01_Вводные'!$B$218*AP204,MeanMinAge15)))</f>
        <v/>
      </c>
      <c r="AQ123" s="190">
        <f>IF(OR(AQ95=0,15&lt;='01_Вводные'!$B$297),0,AQ95*IF('01_Вводные'!$B$239="Да",MeanMinAge15+AQ204*SUMIF(ThresholdAge15,"&lt;"&amp;AQ204,WeightedRevAge15)-SUMIF(ThresholdAge15,"&lt;"&amp;AQ204,WeightedMinAge15),MAX(CapacityAge15*'01_Вводные'!$B$218*AQ204,MeanMinAge15)))</f>
        <v/>
      </c>
      <c r="AR123" s="190">
        <f>IF(OR(AR95=0,15&lt;='01_Вводные'!$B$297),0,AR95*IF('01_Вводные'!$B$239="Да",MeanMinAge15+AR204*SUMIF(ThresholdAge15,"&lt;"&amp;AR204,WeightedRevAge15)-SUMIF(ThresholdAge15,"&lt;"&amp;AR204,WeightedMinAge15),MAX(CapacityAge15*'01_Вводные'!$B$218*AR204,MeanMinAge15)))</f>
        <v/>
      </c>
      <c r="AS123" s="190">
        <f>IF(OR(AS95=0,15&lt;='01_Вводные'!$B$297),0,AS95*IF('01_Вводные'!$B$239="Да",MeanMinAge15+AS204*SUMIF(ThresholdAge15,"&lt;"&amp;AS204,WeightedRevAge15)-SUMIF(ThresholdAge15,"&lt;"&amp;AS204,WeightedMinAge15),MAX(CapacityAge15*'01_Вводные'!$B$218*AS204,MeanMinAge15)))</f>
        <v/>
      </c>
      <c r="AT123" s="190">
        <f>IF(OR(AT95=0,15&lt;='01_Вводные'!$B$297),0,AT95*IF('01_Вводные'!$B$239="Да",MeanMinAge15+AT204*SUMIF(ThresholdAge15,"&lt;"&amp;AT204,WeightedRevAge15)-SUMIF(ThresholdAge15,"&lt;"&amp;AT204,WeightedMinAge15),MAX(CapacityAge15*'01_Вводные'!$B$218*AT204,MeanMinAge15)))</f>
        <v/>
      </c>
      <c r="AU123" s="190">
        <f>IF(OR(AU95=0,15&lt;='01_Вводные'!$B$297),0,AU95*IF('01_Вводные'!$B$239="Да",MeanMinAge15+AU204*SUMIF(ThresholdAge15,"&lt;"&amp;AU204,WeightedRevAge15)-SUMIF(ThresholdAge15,"&lt;"&amp;AU204,WeightedMinAge15),MAX(CapacityAge15*'01_Вводные'!$B$218*AU204,MeanMinAge15)))</f>
        <v/>
      </c>
      <c r="AV123" s="190">
        <f>IF(OR(AV95=0,15&lt;='01_Вводные'!$B$297),0,AV95*IF('01_Вводные'!$B$239="Да",MeanMinAge15+AV204*SUMIF(ThresholdAge15,"&lt;"&amp;AV204,WeightedRevAge15)-SUMIF(ThresholdAge15,"&lt;"&amp;AV204,WeightedMinAge15),MAX(CapacityAge15*'01_Вводные'!$B$218*AV204,MeanMinAge15)))</f>
        <v/>
      </c>
      <c r="AW123" s="190">
        <f>IF(OR(AW95=0,15&lt;='01_Вводные'!$B$297),0,AW95*IF('01_Вводные'!$B$239="Да",MeanMinAge15+AW204*SUMIF(ThresholdAge15,"&lt;"&amp;AW204,WeightedRevAge15)-SUMIF(ThresholdAge15,"&lt;"&amp;AW204,WeightedMinAge15),MAX(CapacityAge15*'01_Вводные'!$B$218*AW204,MeanMinAge15)))</f>
        <v/>
      </c>
      <c r="AX123" s="190">
        <f>IF(OR(AX95=0,15&lt;='01_Вводные'!$B$297),0,AX95*IF('01_Вводные'!$B$239="Да",MeanMinAge15+AX204*SUMIF(ThresholdAge15,"&lt;"&amp;AX204,WeightedRevAge15)-SUMIF(ThresholdAge15,"&lt;"&amp;AX204,WeightedMinAge15),MAX(CapacityAge15*'01_Вводные'!$B$218*AX204,MeanMinAge15)))</f>
        <v/>
      </c>
      <c r="AY123" s="190">
        <f>IF(OR(AY95=0,15&lt;='01_Вводные'!$B$297),0,AY95*IF('01_Вводные'!$B$239="Да",MeanMinAge15+AY204*SUMIF(ThresholdAge15,"&lt;"&amp;AY204,WeightedRevAge15)-SUMIF(ThresholdAge15,"&lt;"&amp;AY204,WeightedMinAge15),MAX(CapacityAge15*'01_Вводные'!$B$218*AY204,MeanMinAge15)))</f>
        <v/>
      </c>
      <c r="AZ123" s="190">
        <f>IF(OR(AZ95=0,15&lt;='01_Вводные'!$B$297),0,AZ95*IF('01_Вводные'!$B$239="Да",MeanMinAge15+AZ204*SUMIF(ThresholdAge15,"&lt;"&amp;AZ204,WeightedRevAge15)-SUMIF(ThresholdAge15,"&lt;"&amp;AZ204,WeightedMinAge15),MAX(CapacityAge15*'01_Вводные'!$B$218*AZ204,MeanMinAge15)))</f>
        <v/>
      </c>
      <c r="BA123" s="190">
        <f>IF(OR(BA95=0,15&lt;='01_Вводные'!$B$297),0,BA95*IF('01_Вводные'!$B$239="Да",MeanMinAge15+BA204*SUMIF(ThresholdAge15,"&lt;"&amp;BA204,WeightedRevAge15)-SUMIF(ThresholdAge15,"&lt;"&amp;BA204,WeightedMinAge15),MAX(CapacityAge15*'01_Вводные'!$B$218*BA204,MeanMinAge15)))</f>
        <v/>
      </c>
      <c r="BB123" s="190">
        <f>IF(OR(BB95=0,15&lt;='01_Вводные'!$B$297),0,BB95*IF('01_Вводные'!$B$239="Да",MeanMinAge15+BB204*SUMIF(ThresholdAge15,"&lt;"&amp;BB204,WeightedRevAge15)-SUMIF(ThresholdAge15,"&lt;"&amp;BB204,WeightedMinAge15),MAX(CapacityAge15*'01_Вводные'!$B$218*BB204,MeanMinAge15)))</f>
        <v/>
      </c>
      <c r="BC123" s="190">
        <f>IF(OR(BC95=0,15&lt;='01_Вводные'!$B$297),0,BC95*IF('01_Вводные'!$B$239="Да",MeanMinAge15+BC204*SUMIF(ThresholdAge15,"&lt;"&amp;BC204,WeightedRevAge15)-SUMIF(ThresholdAge15,"&lt;"&amp;BC204,WeightedMinAge15),MAX(CapacityAge15*'01_Вводные'!$B$218*BC204,MeanMinAge15)))</f>
        <v/>
      </c>
      <c r="BD123" s="190">
        <f>IF(OR(BD95=0,15&lt;='01_Вводные'!$B$297),0,BD95*IF('01_Вводные'!$B$239="Да",MeanMinAge15+BD204*SUMIF(ThresholdAge15,"&lt;"&amp;BD204,WeightedRevAge15)-SUMIF(ThresholdAge15,"&lt;"&amp;BD204,WeightedMinAge15),MAX(CapacityAge15*'01_Вводные'!$B$218*BD204,MeanMinAge15)))</f>
        <v/>
      </c>
      <c r="BE123" s="190">
        <f>IF(OR(BE95=0,15&lt;='01_Вводные'!$B$297),0,BE95*IF('01_Вводные'!$B$239="Да",MeanMinAge15+BE204*SUMIF(ThresholdAge15,"&lt;"&amp;BE204,WeightedRevAge15)-SUMIF(ThresholdAge15,"&lt;"&amp;BE204,WeightedMinAge15),MAX(CapacityAge15*'01_Вводные'!$B$218*BE204,MeanMinAge15)))</f>
        <v/>
      </c>
      <c r="BF123" s="190">
        <f>IF(OR(BF95=0,15&lt;='01_Вводные'!$B$297),0,BF95*IF('01_Вводные'!$B$239="Да",MeanMinAge15+BF204*SUMIF(ThresholdAge15,"&lt;"&amp;BF204,WeightedRevAge15)-SUMIF(ThresholdAge15,"&lt;"&amp;BF204,WeightedMinAge15),MAX(CapacityAge15*'01_Вводные'!$B$218*BF204,MeanMinAge15)))</f>
        <v/>
      </c>
      <c r="BG123" s="190">
        <f>IF(OR(BG95=0,15&lt;='01_Вводные'!$B$297),0,BG95*IF('01_Вводные'!$B$239="Да",MeanMinAge15+BG204*SUMIF(ThresholdAge15,"&lt;"&amp;BG204,WeightedRevAge15)-SUMIF(ThresholdAge15,"&lt;"&amp;BG204,WeightedMinAge15),MAX(CapacityAge15*'01_Вводные'!$B$218*BG204,MeanMinAge15)))</f>
        <v/>
      </c>
      <c r="BH123" s="190">
        <f>IF(OR(BH95=0,15&lt;='01_Вводные'!$B$297),0,BH95*IF('01_Вводные'!$B$239="Да",MeanMinAge15+BH204*SUMIF(ThresholdAge15,"&lt;"&amp;BH204,WeightedRevAge15)-SUMIF(ThresholdAge15,"&lt;"&amp;BH204,WeightedMinAge15),MAX(CapacityAge15*'01_Вводные'!$B$218*BH204,MeanMinAge15)))</f>
        <v/>
      </c>
      <c r="BI123" s="190">
        <f>IF(OR(BI95=0,15&lt;='01_Вводные'!$B$297),0,BI95*IF('01_Вводные'!$B$239="Да",MeanMinAge15+BI204*SUMIF(ThresholdAge15,"&lt;"&amp;BI204,WeightedRevAge15)-SUMIF(ThresholdAge15,"&lt;"&amp;BI204,WeightedMinAge15),MAX(CapacityAge15*'01_Вводные'!$B$218*BI204,MeanMinAge15)))</f>
        <v/>
      </c>
      <c r="BJ123" s="190">
        <f>IF(OR(BJ95=0,15&lt;='01_Вводные'!$B$297),0,BJ95*IF('01_Вводные'!$B$239="Да",MeanMinAge15+BJ204*SUMIF(ThresholdAge15,"&lt;"&amp;BJ204,WeightedRevAge15)-SUMIF(ThresholdAge15,"&lt;"&amp;BJ204,WeightedMinAge15),MAX(CapacityAge15*'01_Вводные'!$B$218*BJ204,MeanMinAge15)))</f>
        <v/>
      </c>
      <c r="BK123" s="190">
        <f>IF(OR(BK95=0,15&lt;='01_Вводные'!$B$297),0,BK95*IF('01_Вводные'!$B$239="Да",MeanMinAge15+BK204*SUMIF(ThresholdAge15,"&lt;"&amp;BK204,WeightedRevAge15)-SUMIF(ThresholdAge15,"&lt;"&amp;BK204,WeightedMinAge15),MAX(CapacityAge15*'01_Вводные'!$B$218*BK204,MeanMinAge15)))</f>
        <v/>
      </c>
      <c r="BL123" s="190">
        <f>IF(OR(BL95=0,15&lt;='01_Вводные'!$B$297),0,BL95*IF('01_Вводные'!$B$239="Да",MeanMinAge15+BL204*SUMIF(ThresholdAge15,"&lt;"&amp;BL204,WeightedRevAge15)-SUMIF(ThresholdAge15,"&lt;"&amp;BL204,WeightedMinAge15),MAX(CapacityAge15*'01_Вводные'!$B$218*BL204,MeanMinAge15)))</f>
        <v/>
      </c>
      <c r="BM123" s="190">
        <f>IF(OR(BM95=0,15&lt;='01_Вводные'!$B$297),0,BM95*IF('01_Вводные'!$B$239="Да",MeanMinAge15+BM204*SUMIF(ThresholdAge15,"&lt;"&amp;BM204,WeightedRevAge15)-SUMIF(ThresholdAge15,"&lt;"&amp;BM204,WeightedMinAge15),MAX(CapacityAge15*'01_Вводные'!$B$218*BM204,MeanMinAge15)))</f>
        <v/>
      </c>
      <c r="BN123" s="190">
        <f>IF(OR(BN95=0,15&lt;='01_Вводные'!$B$297),0,BN95*IF('01_Вводные'!$B$239="Да",MeanMinAge15+BN204*SUMIF(ThresholdAge15,"&lt;"&amp;BN204,WeightedRevAge15)-SUMIF(ThresholdAge15,"&lt;"&amp;BN204,WeightedMinAge15),MAX(CapacityAge15*'01_Вводные'!$B$218*BN204,MeanMinAge15)))</f>
        <v/>
      </c>
      <c r="BO123" s="190">
        <f>IF(OR(BO95=0,15&lt;='01_Вводные'!$B$297),0,BO95*IF('01_Вводные'!$B$239="Да",MeanMinAge15+BO204*SUMIF(ThresholdAge15,"&lt;"&amp;BO204,WeightedRevAge15)-SUMIF(ThresholdAge15,"&lt;"&amp;BO204,WeightedMinAge15),MAX(CapacityAge15*'01_Вводные'!$B$218*BO204,MeanMinAge15)))</f>
        <v/>
      </c>
    </row>
    <row r="124" hidden="1" outlineLevel="1">
      <c r="A124" t="inlineStr">
        <is>
          <t>16 мес.</t>
        </is>
      </c>
      <c r="B124" s="190">
        <f>IF(OR(B96=0,16&lt;='01_Вводные'!$B$297),0,B96*IF('01_Вводные'!$B$239="Да",MeanMinAge16+B204*SUMIF(ThresholdAge16,"&lt;"&amp;B204,WeightedRevAge16)-SUMIF(ThresholdAge16,"&lt;"&amp;B204,WeightedMinAge16),MAX(CapacityAge16*'01_Вводные'!$B$218*B204,MeanMinAge16)))</f>
        <v/>
      </c>
      <c r="C124" s="190">
        <f>IF(OR(C96=0,16&lt;='01_Вводные'!$B$297),0,C96*IF('01_Вводные'!$B$239="Да",MeanMinAge16+C204*SUMIF(ThresholdAge16,"&lt;"&amp;C204,WeightedRevAge16)-SUMIF(ThresholdAge16,"&lt;"&amp;C204,WeightedMinAge16),MAX(CapacityAge16*'01_Вводные'!$B$218*C204,MeanMinAge16)))</f>
        <v/>
      </c>
      <c r="D124" s="190">
        <f>IF(OR(D96=0,16&lt;='01_Вводные'!$B$297),0,D96*IF('01_Вводные'!$B$239="Да",MeanMinAge16+D204*SUMIF(ThresholdAge16,"&lt;"&amp;D204,WeightedRevAge16)-SUMIF(ThresholdAge16,"&lt;"&amp;D204,WeightedMinAge16),MAX(CapacityAge16*'01_Вводные'!$B$218*D204,MeanMinAge16)))</f>
        <v/>
      </c>
      <c r="E124" s="190">
        <f>IF(OR(E96=0,16&lt;='01_Вводные'!$B$297),0,E96*IF('01_Вводные'!$B$239="Да",MeanMinAge16+E204*SUMIF(ThresholdAge16,"&lt;"&amp;E204,WeightedRevAge16)-SUMIF(ThresholdAge16,"&lt;"&amp;E204,WeightedMinAge16),MAX(CapacityAge16*'01_Вводные'!$B$218*E204,MeanMinAge16)))</f>
        <v/>
      </c>
      <c r="F124" s="190">
        <f>IF(OR(F96=0,16&lt;='01_Вводные'!$B$297),0,F96*IF('01_Вводные'!$B$239="Да",MeanMinAge16+F204*SUMIF(ThresholdAge16,"&lt;"&amp;F204,WeightedRevAge16)-SUMIF(ThresholdAge16,"&lt;"&amp;F204,WeightedMinAge16),MAX(CapacityAge16*'01_Вводные'!$B$218*F204,MeanMinAge16)))</f>
        <v/>
      </c>
      <c r="G124" s="190">
        <f>IF(OR(G96=0,16&lt;='01_Вводные'!$B$297),0,G96*IF('01_Вводные'!$B$239="Да",MeanMinAge16+G204*SUMIF(ThresholdAge16,"&lt;"&amp;G204,WeightedRevAge16)-SUMIF(ThresholdAge16,"&lt;"&amp;G204,WeightedMinAge16),MAX(CapacityAge16*'01_Вводные'!$B$218*G204,MeanMinAge16)))</f>
        <v/>
      </c>
      <c r="H124" s="190">
        <f>IF(OR(H96=0,16&lt;='01_Вводные'!$B$297),0,H96*IF('01_Вводные'!$B$239="Да",MeanMinAge16+H204*SUMIF(ThresholdAge16,"&lt;"&amp;H204,WeightedRevAge16)-SUMIF(ThresholdAge16,"&lt;"&amp;H204,WeightedMinAge16),MAX(CapacityAge16*'01_Вводные'!$B$218*H204,MeanMinAge16)))</f>
        <v/>
      </c>
      <c r="I124" s="190">
        <f>IF(OR(I96=0,16&lt;='01_Вводные'!$B$297),0,I96*IF('01_Вводные'!$B$239="Да",MeanMinAge16+I204*SUMIF(ThresholdAge16,"&lt;"&amp;I204,WeightedRevAge16)-SUMIF(ThresholdAge16,"&lt;"&amp;I204,WeightedMinAge16),MAX(CapacityAge16*'01_Вводные'!$B$218*I204,MeanMinAge16)))</f>
        <v/>
      </c>
      <c r="J124" s="190">
        <f>IF(OR(J96=0,16&lt;='01_Вводные'!$B$297),0,J96*IF('01_Вводные'!$B$239="Да",MeanMinAge16+J204*SUMIF(ThresholdAge16,"&lt;"&amp;J204,WeightedRevAge16)-SUMIF(ThresholdAge16,"&lt;"&amp;J204,WeightedMinAge16),MAX(CapacityAge16*'01_Вводные'!$B$218*J204,MeanMinAge16)))</f>
        <v/>
      </c>
      <c r="K124" s="190">
        <f>IF(OR(K96=0,16&lt;='01_Вводные'!$B$297),0,K96*IF('01_Вводные'!$B$239="Да",MeanMinAge16+K204*SUMIF(ThresholdAge16,"&lt;"&amp;K204,WeightedRevAge16)-SUMIF(ThresholdAge16,"&lt;"&amp;K204,WeightedMinAge16),MAX(CapacityAge16*'01_Вводные'!$B$218*K204,MeanMinAge16)))</f>
        <v/>
      </c>
      <c r="L124" s="190">
        <f>IF(OR(L96=0,16&lt;='01_Вводные'!$B$297),0,L96*IF('01_Вводные'!$B$239="Да",MeanMinAge16+L204*SUMIF(ThresholdAge16,"&lt;"&amp;L204,WeightedRevAge16)-SUMIF(ThresholdAge16,"&lt;"&amp;L204,WeightedMinAge16),MAX(CapacityAge16*'01_Вводные'!$B$218*L204,MeanMinAge16)))</f>
        <v/>
      </c>
      <c r="M124" s="190">
        <f>IF(OR(M96=0,16&lt;='01_Вводные'!$B$297),0,M96*IF('01_Вводные'!$B$239="Да",MeanMinAge16+M204*SUMIF(ThresholdAge16,"&lt;"&amp;M204,WeightedRevAge16)-SUMIF(ThresholdAge16,"&lt;"&amp;M204,WeightedMinAge16),MAX(CapacityAge16*'01_Вводные'!$B$218*M204,MeanMinAge16)))</f>
        <v/>
      </c>
      <c r="N124" s="190">
        <f>IF(OR(N96=0,16&lt;='01_Вводные'!$B$297),0,N96*IF('01_Вводные'!$B$239="Да",MeanMinAge16+N204*SUMIF(ThresholdAge16,"&lt;"&amp;N204,WeightedRevAge16)-SUMIF(ThresholdAge16,"&lt;"&amp;N204,WeightedMinAge16),MAX(CapacityAge16*'01_Вводные'!$B$218*N204,MeanMinAge16)))</f>
        <v/>
      </c>
      <c r="O124" s="190">
        <f>IF(OR(O96=0,16&lt;='01_Вводные'!$B$297),0,O96*IF('01_Вводные'!$B$239="Да",MeanMinAge16+O204*SUMIF(ThresholdAge16,"&lt;"&amp;O204,WeightedRevAge16)-SUMIF(ThresholdAge16,"&lt;"&amp;O204,WeightedMinAge16),MAX(CapacityAge16*'01_Вводные'!$B$218*O204,MeanMinAge16)))</f>
        <v/>
      </c>
      <c r="P124" s="190">
        <f>IF(OR(P96=0,16&lt;='01_Вводные'!$B$297),0,P96*IF('01_Вводные'!$B$239="Да",MeanMinAge16+P204*SUMIF(ThresholdAge16,"&lt;"&amp;P204,WeightedRevAge16)-SUMIF(ThresholdAge16,"&lt;"&amp;P204,WeightedMinAge16),MAX(CapacityAge16*'01_Вводные'!$B$218*P204,MeanMinAge16)))</f>
        <v/>
      </c>
      <c r="Q124" s="190">
        <f>IF(OR(Q96=0,16&lt;='01_Вводные'!$B$297),0,Q96*IF('01_Вводные'!$B$239="Да",MeanMinAge16+Q204*SUMIF(ThresholdAge16,"&lt;"&amp;Q204,WeightedRevAge16)-SUMIF(ThresholdAge16,"&lt;"&amp;Q204,WeightedMinAge16),MAX(CapacityAge16*'01_Вводные'!$B$218*Q204,MeanMinAge16)))</f>
        <v/>
      </c>
      <c r="R124" s="190">
        <f>IF(OR(R96=0,16&lt;='01_Вводные'!$B$297),0,R96*IF('01_Вводные'!$B$239="Да",MeanMinAge16+R204*SUMIF(ThresholdAge16,"&lt;"&amp;R204,WeightedRevAge16)-SUMIF(ThresholdAge16,"&lt;"&amp;R204,WeightedMinAge16),MAX(CapacityAge16*'01_Вводные'!$B$218*R204,MeanMinAge16)))</f>
        <v/>
      </c>
      <c r="S124" s="190">
        <f>IF(OR(S96=0,16&lt;='01_Вводные'!$B$297),0,S96*IF('01_Вводные'!$B$239="Да",MeanMinAge16+S204*SUMIF(ThresholdAge16,"&lt;"&amp;S204,WeightedRevAge16)-SUMIF(ThresholdAge16,"&lt;"&amp;S204,WeightedMinAge16),MAX(CapacityAge16*'01_Вводные'!$B$218*S204,MeanMinAge16)))</f>
        <v/>
      </c>
      <c r="T124" s="190">
        <f>IF(OR(T96=0,16&lt;='01_Вводные'!$B$297),0,T96*IF('01_Вводные'!$B$239="Да",MeanMinAge16+T204*SUMIF(ThresholdAge16,"&lt;"&amp;T204,WeightedRevAge16)-SUMIF(ThresholdAge16,"&lt;"&amp;T204,WeightedMinAge16),MAX(CapacityAge16*'01_Вводные'!$B$218*T204,MeanMinAge16)))</f>
        <v/>
      </c>
      <c r="U124" s="190">
        <f>IF(OR(U96=0,16&lt;='01_Вводные'!$B$297),0,U96*IF('01_Вводные'!$B$239="Да",MeanMinAge16+U204*SUMIF(ThresholdAge16,"&lt;"&amp;U204,WeightedRevAge16)-SUMIF(ThresholdAge16,"&lt;"&amp;U204,WeightedMinAge16),MAX(CapacityAge16*'01_Вводные'!$B$218*U204,MeanMinAge16)))</f>
        <v/>
      </c>
      <c r="V124" s="190">
        <f>IF(OR(V96=0,16&lt;='01_Вводные'!$B$297),0,V96*IF('01_Вводные'!$B$239="Да",MeanMinAge16+V204*SUMIF(ThresholdAge16,"&lt;"&amp;V204,WeightedRevAge16)-SUMIF(ThresholdAge16,"&lt;"&amp;V204,WeightedMinAge16),MAX(CapacityAge16*'01_Вводные'!$B$218*V204,MeanMinAge16)))</f>
        <v/>
      </c>
      <c r="W124" s="190">
        <f>IF(OR(W96=0,16&lt;='01_Вводные'!$B$297),0,W96*IF('01_Вводные'!$B$239="Да",MeanMinAge16+W204*SUMIF(ThresholdAge16,"&lt;"&amp;W204,WeightedRevAge16)-SUMIF(ThresholdAge16,"&lt;"&amp;W204,WeightedMinAge16),MAX(CapacityAge16*'01_Вводные'!$B$218*W204,MeanMinAge16)))</f>
        <v/>
      </c>
      <c r="X124" s="190">
        <f>IF(OR(X96=0,16&lt;='01_Вводные'!$B$297),0,X96*IF('01_Вводные'!$B$239="Да",MeanMinAge16+X204*SUMIF(ThresholdAge16,"&lt;"&amp;X204,WeightedRevAge16)-SUMIF(ThresholdAge16,"&lt;"&amp;X204,WeightedMinAge16),MAX(CapacityAge16*'01_Вводные'!$B$218*X204,MeanMinAge16)))</f>
        <v/>
      </c>
      <c r="Y124" s="190">
        <f>IF(OR(Y96=0,16&lt;='01_Вводные'!$B$297),0,Y96*IF('01_Вводные'!$B$239="Да",MeanMinAge16+Y204*SUMIF(ThresholdAge16,"&lt;"&amp;Y204,WeightedRevAge16)-SUMIF(ThresholdAge16,"&lt;"&amp;Y204,WeightedMinAge16),MAX(CapacityAge16*'01_Вводные'!$B$218*Y204,MeanMinAge16)))</f>
        <v/>
      </c>
      <c r="Z124" s="190">
        <f>IF(OR(Z96=0,16&lt;='01_Вводные'!$B$297),0,Z96*IF('01_Вводные'!$B$239="Да",MeanMinAge16+Z204*SUMIF(ThresholdAge16,"&lt;"&amp;Z204,WeightedRevAge16)-SUMIF(ThresholdAge16,"&lt;"&amp;Z204,WeightedMinAge16),MAX(CapacityAge16*'01_Вводные'!$B$218*Z204,MeanMinAge16)))</f>
        <v/>
      </c>
      <c r="AA124" s="190">
        <f>IF(OR(AA96=0,16&lt;='01_Вводные'!$B$297),0,AA96*IF('01_Вводные'!$B$239="Да",MeanMinAge16+AA204*SUMIF(ThresholdAge16,"&lt;"&amp;AA204,WeightedRevAge16)-SUMIF(ThresholdAge16,"&lt;"&amp;AA204,WeightedMinAge16),MAX(CapacityAge16*'01_Вводные'!$B$218*AA204,MeanMinAge16)))</f>
        <v/>
      </c>
      <c r="AB124" s="190">
        <f>IF(OR(AB96=0,16&lt;='01_Вводные'!$B$297),0,AB96*IF('01_Вводные'!$B$239="Да",MeanMinAge16+AB204*SUMIF(ThresholdAge16,"&lt;"&amp;AB204,WeightedRevAge16)-SUMIF(ThresholdAge16,"&lt;"&amp;AB204,WeightedMinAge16),MAX(CapacityAge16*'01_Вводные'!$B$218*AB204,MeanMinAge16)))</f>
        <v/>
      </c>
      <c r="AC124" s="190">
        <f>IF(OR(AC96=0,16&lt;='01_Вводные'!$B$297),0,AC96*IF('01_Вводные'!$B$239="Да",MeanMinAge16+AC204*SUMIF(ThresholdAge16,"&lt;"&amp;AC204,WeightedRevAge16)-SUMIF(ThresholdAge16,"&lt;"&amp;AC204,WeightedMinAge16),MAX(CapacityAge16*'01_Вводные'!$B$218*AC204,MeanMinAge16)))</f>
        <v/>
      </c>
      <c r="AD124" s="190">
        <f>IF(OR(AD96=0,16&lt;='01_Вводные'!$B$297),0,AD96*IF('01_Вводные'!$B$239="Да",MeanMinAge16+AD204*SUMIF(ThresholdAge16,"&lt;"&amp;AD204,WeightedRevAge16)-SUMIF(ThresholdAge16,"&lt;"&amp;AD204,WeightedMinAge16),MAX(CapacityAge16*'01_Вводные'!$B$218*AD204,MeanMinAge16)))</f>
        <v/>
      </c>
      <c r="AE124" s="190">
        <f>IF(OR(AE96=0,16&lt;='01_Вводные'!$B$297),0,AE96*IF('01_Вводные'!$B$239="Да",MeanMinAge16+AE204*SUMIF(ThresholdAge16,"&lt;"&amp;AE204,WeightedRevAge16)-SUMIF(ThresholdAge16,"&lt;"&amp;AE204,WeightedMinAge16),MAX(CapacityAge16*'01_Вводные'!$B$218*AE204,MeanMinAge16)))</f>
        <v/>
      </c>
      <c r="AF124" s="190">
        <f>IF(OR(AF96=0,16&lt;='01_Вводные'!$B$297),0,AF96*IF('01_Вводные'!$B$239="Да",MeanMinAge16+AF204*SUMIF(ThresholdAge16,"&lt;"&amp;AF204,WeightedRevAge16)-SUMIF(ThresholdAge16,"&lt;"&amp;AF204,WeightedMinAge16),MAX(CapacityAge16*'01_Вводные'!$B$218*AF204,MeanMinAge16)))</f>
        <v/>
      </c>
      <c r="AG124" s="190">
        <f>IF(OR(AG96=0,16&lt;='01_Вводные'!$B$297),0,AG96*IF('01_Вводные'!$B$239="Да",MeanMinAge16+AG204*SUMIF(ThresholdAge16,"&lt;"&amp;AG204,WeightedRevAge16)-SUMIF(ThresholdAge16,"&lt;"&amp;AG204,WeightedMinAge16),MAX(CapacityAge16*'01_Вводные'!$B$218*AG204,MeanMinAge16)))</f>
        <v/>
      </c>
      <c r="AH124" s="190">
        <f>IF(OR(AH96=0,16&lt;='01_Вводные'!$B$297),0,AH96*IF('01_Вводные'!$B$239="Да",MeanMinAge16+AH204*SUMIF(ThresholdAge16,"&lt;"&amp;AH204,WeightedRevAge16)-SUMIF(ThresholdAge16,"&lt;"&amp;AH204,WeightedMinAge16),MAX(CapacityAge16*'01_Вводные'!$B$218*AH204,MeanMinAge16)))</f>
        <v/>
      </c>
      <c r="AI124" s="190">
        <f>IF(OR(AI96=0,16&lt;='01_Вводные'!$B$297),0,AI96*IF('01_Вводные'!$B$239="Да",MeanMinAge16+AI204*SUMIF(ThresholdAge16,"&lt;"&amp;AI204,WeightedRevAge16)-SUMIF(ThresholdAge16,"&lt;"&amp;AI204,WeightedMinAge16),MAX(CapacityAge16*'01_Вводные'!$B$218*AI204,MeanMinAge16)))</f>
        <v/>
      </c>
      <c r="AJ124" s="190">
        <f>IF(OR(AJ96=0,16&lt;='01_Вводные'!$B$297),0,AJ96*IF('01_Вводные'!$B$239="Да",MeanMinAge16+AJ204*SUMIF(ThresholdAge16,"&lt;"&amp;AJ204,WeightedRevAge16)-SUMIF(ThresholdAge16,"&lt;"&amp;AJ204,WeightedMinAge16),MAX(CapacityAge16*'01_Вводные'!$B$218*AJ204,MeanMinAge16)))</f>
        <v/>
      </c>
      <c r="AK124" s="190">
        <f>IF(OR(AK96=0,16&lt;='01_Вводные'!$B$297),0,AK96*IF('01_Вводные'!$B$239="Да",MeanMinAge16+AK204*SUMIF(ThresholdAge16,"&lt;"&amp;AK204,WeightedRevAge16)-SUMIF(ThresholdAge16,"&lt;"&amp;AK204,WeightedMinAge16),MAX(CapacityAge16*'01_Вводные'!$B$218*AK204,MeanMinAge16)))</f>
        <v/>
      </c>
      <c r="AL124" s="190">
        <f>IF(OR(AL96=0,16&lt;='01_Вводные'!$B$297),0,AL96*IF('01_Вводные'!$B$239="Да",MeanMinAge16+AL204*SUMIF(ThresholdAge16,"&lt;"&amp;AL204,WeightedRevAge16)-SUMIF(ThresholdAge16,"&lt;"&amp;AL204,WeightedMinAge16),MAX(CapacityAge16*'01_Вводные'!$B$218*AL204,MeanMinAge16)))</f>
        <v/>
      </c>
      <c r="AM124" s="190">
        <f>IF(OR(AM96=0,16&lt;='01_Вводные'!$B$297),0,AM96*IF('01_Вводные'!$B$239="Да",MeanMinAge16+AM204*SUMIF(ThresholdAge16,"&lt;"&amp;AM204,WeightedRevAge16)-SUMIF(ThresholdAge16,"&lt;"&amp;AM204,WeightedMinAge16),MAX(CapacityAge16*'01_Вводные'!$B$218*AM204,MeanMinAge16)))</f>
        <v/>
      </c>
      <c r="AN124" s="190">
        <f>IF(OR(AN96=0,16&lt;='01_Вводные'!$B$297),0,AN96*IF('01_Вводные'!$B$239="Да",MeanMinAge16+AN204*SUMIF(ThresholdAge16,"&lt;"&amp;AN204,WeightedRevAge16)-SUMIF(ThresholdAge16,"&lt;"&amp;AN204,WeightedMinAge16),MAX(CapacityAge16*'01_Вводные'!$B$218*AN204,MeanMinAge16)))</f>
        <v/>
      </c>
      <c r="AO124" s="190">
        <f>IF(OR(AO96=0,16&lt;='01_Вводные'!$B$297),0,AO96*IF('01_Вводные'!$B$239="Да",MeanMinAge16+AO204*SUMIF(ThresholdAge16,"&lt;"&amp;AO204,WeightedRevAge16)-SUMIF(ThresholdAge16,"&lt;"&amp;AO204,WeightedMinAge16),MAX(CapacityAge16*'01_Вводные'!$B$218*AO204,MeanMinAge16)))</f>
        <v/>
      </c>
      <c r="AP124" s="190">
        <f>IF(OR(AP96=0,16&lt;='01_Вводные'!$B$297),0,AP96*IF('01_Вводные'!$B$239="Да",MeanMinAge16+AP204*SUMIF(ThresholdAge16,"&lt;"&amp;AP204,WeightedRevAge16)-SUMIF(ThresholdAge16,"&lt;"&amp;AP204,WeightedMinAge16),MAX(CapacityAge16*'01_Вводные'!$B$218*AP204,MeanMinAge16)))</f>
        <v/>
      </c>
      <c r="AQ124" s="190">
        <f>IF(OR(AQ96=0,16&lt;='01_Вводные'!$B$297),0,AQ96*IF('01_Вводные'!$B$239="Да",MeanMinAge16+AQ204*SUMIF(ThresholdAge16,"&lt;"&amp;AQ204,WeightedRevAge16)-SUMIF(ThresholdAge16,"&lt;"&amp;AQ204,WeightedMinAge16),MAX(CapacityAge16*'01_Вводные'!$B$218*AQ204,MeanMinAge16)))</f>
        <v/>
      </c>
      <c r="AR124" s="190">
        <f>IF(OR(AR96=0,16&lt;='01_Вводные'!$B$297),0,AR96*IF('01_Вводные'!$B$239="Да",MeanMinAge16+AR204*SUMIF(ThresholdAge16,"&lt;"&amp;AR204,WeightedRevAge16)-SUMIF(ThresholdAge16,"&lt;"&amp;AR204,WeightedMinAge16),MAX(CapacityAge16*'01_Вводные'!$B$218*AR204,MeanMinAge16)))</f>
        <v/>
      </c>
      <c r="AS124" s="190">
        <f>IF(OR(AS96=0,16&lt;='01_Вводные'!$B$297),0,AS96*IF('01_Вводные'!$B$239="Да",MeanMinAge16+AS204*SUMIF(ThresholdAge16,"&lt;"&amp;AS204,WeightedRevAge16)-SUMIF(ThresholdAge16,"&lt;"&amp;AS204,WeightedMinAge16),MAX(CapacityAge16*'01_Вводные'!$B$218*AS204,MeanMinAge16)))</f>
        <v/>
      </c>
      <c r="AT124" s="190">
        <f>IF(OR(AT96=0,16&lt;='01_Вводные'!$B$297),0,AT96*IF('01_Вводные'!$B$239="Да",MeanMinAge16+AT204*SUMIF(ThresholdAge16,"&lt;"&amp;AT204,WeightedRevAge16)-SUMIF(ThresholdAge16,"&lt;"&amp;AT204,WeightedMinAge16),MAX(CapacityAge16*'01_Вводные'!$B$218*AT204,MeanMinAge16)))</f>
        <v/>
      </c>
      <c r="AU124" s="190">
        <f>IF(OR(AU96=0,16&lt;='01_Вводные'!$B$297),0,AU96*IF('01_Вводные'!$B$239="Да",MeanMinAge16+AU204*SUMIF(ThresholdAge16,"&lt;"&amp;AU204,WeightedRevAge16)-SUMIF(ThresholdAge16,"&lt;"&amp;AU204,WeightedMinAge16),MAX(CapacityAge16*'01_Вводные'!$B$218*AU204,MeanMinAge16)))</f>
        <v/>
      </c>
      <c r="AV124" s="190">
        <f>IF(OR(AV96=0,16&lt;='01_Вводные'!$B$297),0,AV96*IF('01_Вводные'!$B$239="Да",MeanMinAge16+AV204*SUMIF(ThresholdAge16,"&lt;"&amp;AV204,WeightedRevAge16)-SUMIF(ThresholdAge16,"&lt;"&amp;AV204,WeightedMinAge16),MAX(CapacityAge16*'01_Вводные'!$B$218*AV204,MeanMinAge16)))</f>
        <v/>
      </c>
      <c r="AW124" s="190">
        <f>IF(OR(AW96=0,16&lt;='01_Вводные'!$B$297),0,AW96*IF('01_Вводные'!$B$239="Да",MeanMinAge16+AW204*SUMIF(ThresholdAge16,"&lt;"&amp;AW204,WeightedRevAge16)-SUMIF(ThresholdAge16,"&lt;"&amp;AW204,WeightedMinAge16),MAX(CapacityAge16*'01_Вводные'!$B$218*AW204,MeanMinAge16)))</f>
        <v/>
      </c>
      <c r="AX124" s="190">
        <f>IF(OR(AX96=0,16&lt;='01_Вводные'!$B$297),0,AX96*IF('01_Вводные'!$B$239="Да",MeanMinAge16+AX204*SUMIF(ThresholdAge16,"&lt;"&amp;AX204,WeightedRevAge16)-SUMIF(ThresholdAge16,"&lt;"&amp;AX204,WeightedMinAge16),MAX(CapacityAge16*'01_Вводные'!$B$218*AX204,MeanMinAge16)))</f>
        <v/>
      </c>
      <c r="AY124" s="190">
        <f>IF(OR(AY96=0,16&lt;='01_Вводные'!$B$297),0,AY96*IF('01_Вводные'!$B$239="Да",MeanMinAge16+AY204*SUMIF(ThresholdAge16,"&lt;"&amp;AY204,WeightedRevAge16)-SUMIF(ThresholdAge16,"&lt;"&amp;AY204,WeightedMinAge16),MAX(CapacityAge16*'01_Вводные'!$B$218*AY204,MeanMinAge16)))</f>
        <v/>
      </c>
      <c r="AZ124" s="190">
        <f>IF(OR(AZ96=0,16&lt;='01_Вводные'!$B$297),0,AZ96*IF('01_Вводные'!$B$239="Да",MeanMinAge16+AZ204*SUMIF(ThresholdAge16,"&lt;"&amp;AZ204,WeightedRevAge16)-SUMIF(ThresholdAge16,"&lt;"&amp;AZ204,WeightedMinAge16),MAX(CapacityAge16*'01_Вводные'!$B$218*AZ204,MeanMinAge16)))</f>
        <v/>
      </c>
      <c r="BA124" s="190">
        <f>IF(OR(BA96=0,16&lt;='01_Вводные'!$B$297),0,BA96*IF('01_Вводные'!$B$239="Да",MeanMinAge16+BA204*SUMIF(ThresholdAge16,"&lt;"&amp;BA204,WeightedRevAge16)-SUMIF(ThresholdAge16,"&lt;"&amp;BA204,WeightedMinAge16),MAX(CapacityAge16*'01_Вводные'!$B$218*BA204,MeanMinAge16)))</f>
        <v/>
      </c>
      <c r="BB124" s="190">
        <f>IF(OR(BB96=0,16&lt;='01_Вводные'!$B$297),0,BB96*IF('01_Вводные'!$B$239="Да",MeanMinAge16+BB204*SUMIF(ThresholdAge16,"&lt;"&amp;BB204,WeightedRevAge16)-SUMIF(ThresholdAge16,"&lt;"&amp;BB204,WeightedMinAge16),MAX(CapacityAge16*'01_Вводные'!$B$218*BB204,MeanMinAge16)))</f>
        <v/>
      </c>
      <c r="BC124" s="190">
        <f>IF(OR(BC96=0,16&lt;='01_Вводные'!$B$297),0,BC96*IF('01_Вводные'!$B$239="Да",MeanMinAge16+BC204*SUMIF(ThresholdAge16,"&lt;"&amp;BC204,WeightedRevAge16)-SUMIF(ThresholdAge16,"&lt;"&amp;BC204,WeightedMinAge16),MAX(CapacityAge16*'01_Вводные'!$B$218*BC204,MeanMinAge16)))</f>
        <v/>
      </c>
      <c r="BD124" s="190">
        <f>IF(OR(BD96=0,16&lt;='01_Вводные'!$B$297),0,BD96*IF('01_Вводные'!$B$239="Да",MeanMinAge16+BD204*SUMIF(ThresholdAge16,"&lt;"&amp;BD204,WeightedRevAge16)-SUMIF(ThresholdAge16,"&lt;"&amp;BD204,WeightedMinAge16),MAX(CapacityAge16*'01_Вводные'!$B$218*BD204,MeanMinAge16)))</f>
        <v/>
      </c>
      <c r="BE124" s="190">
        <f>IF(OR(BE96=0,16&lt;='01_Вводные'!$B$297),0,BE96*IF('01_Вводные'!$B$239="Да",MeanMinAge16+BE204*SUMIF(ThresholdAge16,"&lt;"&amp;BE204,WeightedRevAge16)-SUMIF(ThresholdAge16,"&lt;"&amp;BE204,WeightedMinAge16),MAX(CapacityAge16*'01_Вводные'!$B$218*BE204,MeanMinAge16)))</f>
        <v/>
      </c>
      <c r="BF124" s="190">
        <f>IF(OR(BF96=0,16&lt;='01_Вводные'!$B$297),0,BF96*IF('01_Вводные'!$B$239="Да",MeanMinAge16+BF204*SUMIF(ThresholdAge16,"&lt;"&amp;BF204,WeightedRevAge16)-SUMIF(ThresholdAge16,"&lt;"&amp;BF204,WeightedMinAge16),MAX(CapacityAge16*'01_Вводные'!$B$218*BF204,MeanMinAge16)))</f>
        <v/>
      </c>
      <c r="BG124" s="190">
        <f>IF(OR(BG96=0,16&lt;='01_Вводные'!$B$297),0,BG96*IF('01_Вводные'!$B$239="Да",MeanMinAge16+BG204*SUMIF(ThresholdAge16,"&lt;"&amp;BG204,WeightedRevAge16)-SUMIF(ThresholdAge16,"&lt;"&amp;BG204,WeightedMinAge16),MAX(CapacityAge16*'01_Вводные'!$B$218*BG204,MeanMinAge16)))</f>
        <v/>
      </c>
      <c r="BH124" s="190">
        <f>IF(OR(BH96=0,16&lt;='01_Вводные'!$B$297),0,BH96*IF('01_Вводные'!$B$239="Да",MeanMinAge16+BH204*SUMIF(ThresholdAge16,"&lt;"&amp;BH204,WeightedRevAge16)-SUMIF(ThresholdAge16,"&lt;"&amp;BH204,WeightedMinAge16),MAX(CapacityAge16*'01_Вводные'!$B$218*BH204,MeanMinAge16)))</f>
        <v/>
      </c>
      <c r="BI124" s="190">
        <f>IF(OR(BI96=0,16&lt;='01_Вводные'!$B$297),0,BI96*IF('01_Вводные'!$B$239="Да",MeanMinAge16+BI204*SUMIF(ThresholdAge16,"&lt;"&amp;BI204,WeightedRevAge16)-SUMIF(ThresholdAge16,"&lt;"&amp;BI204,WeightedMinAge16),MAX(CapacityAge16*'01_Вводные'!$B$218*BI204,MeanMinAge16)))</f>
        <v/>
      </c>
      <c r="BJ124" s="190">
        <f>IF(OR(BJ96=0,16&lt;='01_Вводные'!$B$297),0,BJ96*IF('01_Вводные'!$B$239="Да",MeanMinAge16+BJ204*SUMIF(ThresholdAge16,"&lt;"&amp;BJ204,WeightedRevAge16)-SUMIF(ThresholdAge16,"&lt;"&amp;BJ204,WeightedMinAge16),MAX(CapacityAge16*'01_Вводные'!$B$218*BJ204,MeanMinAge16)))</f>
        <v/>
      </c>
      <c r="BK124" s="190">
        <f>IF(OR(BK96=0,16&lt;='01_Вводные'!$B$297),0,BK96*IF('01_Вводные'!$B$239="Да",MeanMinAge16+BK204*SUMIF(ThresholdAge16,"&lt;"&amp;BK204,WeightedRevAge16)-SUMIF(ThresholdAge16,"&lt;"&amp;BK204,WeightedMinAge16),MAX(CapacityAge16*'01_Вводные'!$B$218*BK204,MeanMinAge16)))</f>
        <v/>
      </c>
      <c r="BL124" s="190">
        <f>IF(OR(BL96=0,16&lt;='01_Вводные'!$B$297),0,BL96*IF('01_Вводные'!$B$239="Да",MeanMinAge16+BL204*SUMIF(ThresholdAge16,"&lt;"&amp;BL204,WeightedRevAge16)-SUMIF(ThresholdAge16,"&lt;"&amp;BL204,WeightedMinAge16),MAX(CapacityAge16*'01_Вводные'!$B$218*BL204,MeanMinAge16)))</f>
        <v/>
      </c>
      <c r="BM124" s="190">
        <f>IF(OR(BM96=0,16&lt;='01_Вводные'!$B$297),0,BM96*IF('01_Вводные'!$B$239="Да",MeanMinAge16+BM204*SUMIF(ThresholdAge16,"&lt;"&amp;BM204,WeightedRevAge16)-SUMIF(ThresholdAge16,"&lt;"&amp;BM204,WeightedMinAge16),MAX(CapacityAge16*'01_Вводные'!$B$218*BM204,MeanMinAge16)))</f>
        <v/>
      </c>
      <c r="BN124" s="190">
        <f>IF(OR(BN96=0,16&lt;='01_Вводные'!$B$297),0,BN96*IF('01_Вводные'!$B$239="Да",MeanMinAge16+BN204*SUMIF(ThresholdAge16,"&lt;"&amp;BN204,WeightedRevAge16)-SUMIF(ThresholdAge16,"&lt;"&amp;BN204,WeightedMinAge16),MAX(CapacityAge16*'01_Вводные'!$B$218*BN204,MeanMinAge16)))</f>
        <v/>
      </c>
      <c r="BO124" s="190">
        <f>IF(OR(BO96=0,16&lt;='01_Вводные'!$B$297),0,BO96*IF('01_Вводные'!$B$239="Да",MeanMinAge16+BO204*SUMIF(ThresholdAge16,"&lt;"&amp;BO204,WeightedRevAge16)-SUMIF(ThresholdAge16,"&lt;"&amp;BO204,WeightedMinAge16),MAX(CapacityAge16*'01_Вводные'!$B$218*BO204,MeanMinAge16)))</f>
        <v/>
      </c>
    </row>
    <row r="125" hidden="1" outlineLevel="1">
      <c r="A125" t="inlineStr">
        <is>
          <t>17 мес.</t>
        </is>
      </c>
      <c r="B125" s="190">
        <f>IF(OR(B97=0,17&lt;='01_Вводные'!$B$297),0,B97*IF('01_Вводные'!$B$239="Да",MeanMinAge17+B204*SUMIF(ThresholdAge17,"&lt;"&amp;B204,WeightedRevAge17)-SUMIF(ThresholdAge17,"&lt;"&amp;B204,WeightedMinAge17),MAX(CapacityAge17*'01_Вводные'!$B$218*B204,MeanMinAge17)))</f>
        <v/>
      </c>
      <c r="C125" s="190">
        <f>IF(OR(C97=0,17&lt;='01_Вводные'!$B$297),0,C97*IF('01_Вводные'!$B$239="Да",MeanMinAge17+C204*SUMIF(ThresholdAge17,"&lt;"&amp;C204,WeightedRevAge17)-SUMIF(ThresholdAge17,"&lt;"&amp;C204,WeightedMinAge17),MAX(CapacityAge17*'01_Вводные'!$B$218*C204,MeanMinAge17)))</f>
        <v/>
      </c>
      <c r="D125" s="190">
        <f>IF(OR(D97=0,17&lt;='01_Вводные'!$B$297),0,D97*IF('01_Вводные'!$B$239="Да",MeanMinAge17+D204*SUMIF(ThresholdAge17,"&lt;"&amp;D204,WeightedRevAge17)-SUMIF(ThresholdAge17,"&lt;"&amp;D204,WeightedMinAge17),MAX(CapacityAge17*'01_Вводные'!$B$218*D204,MeanMinAge17)))</f>
        <v/>
      </c>
      <c r="E125" s="190">
        <f>IF(OR(E97=0,17&lt;='01_Вводные'!$B$297),0,E97*IF('01_Вводные'!$B$239="Да",MeanMinAge17+E204*SUMIF(ThresholdAge17,"&lt;"&amp;E204,WeightedRevAge17)-SUMIF(ThresholdAge17,"&lt;"&amp;E204,WeightedMinAge17),MAX(CapacityAge17*'01_Вводные'!$B$218*E204,MeanMinAge17)))</f>
        <v/>
      </c>
      <c r="F125" s="190">
        <f>IF(OR(F97=0,17&lt;='01_Вводные'!$B$297),0,F97*IF('01_Вводные'!$B$239="Да",MeanMinAge17+F204*SUMIF(ThresholdAge17,"&lt;"&amp;F204,WeightedRevAge17)-SUMIF(ThresholdAge17,"&lt;"&amp;F204,WeightedMinAge17),MAX(CapacityAge17*'01_Вводные'!$B$218*F204,MeanMinAge17)))</f>
        <v/>
      </c>
      <c r="G125" s="190">
        <f>IF(OR(G97=0,17&lt;='01_Вводные'!$B$297),0,G97*IF('01_Вводные'!$B$239="Да",MeanMinAge17+G204*SUMIF(ThresholdAge17,"&lt;"&amp;G204,WeightedRevAge17)-SUMIF(ThresholdAge17,"&lt;"&amp;G204,WeightedMinAge17),MAX(CapacityAge17*'01_Вводные'!$B$218*G204,MeanMinAge17)))</f>
        <v/>
      </c>
      <c r="H125" s="190">
        <f>IF(OR(H97=0,17&lt;='01_Вводные'!$B$297),0,H97*IF('01_Вводные'!$B$239="Да",MeanMinAge17+H204*SUMIF(ThresholdAge17,"&lt;"&amp;H204,WeightedRevAge17)-SUMIF(ThresholdAge17,"&lt;"&amp;H204,WeightedMinAge17),MAX(CapacityAge17*'01_Вводные'!$B$218*H204,MeanMinAge17)))</f>
        <v/>
      </c>
      <c r="I125" s="190">
        <f>IF(OR(I97=0,17&lt;='01_Вводные'!$B$297),0,I97*IF('01_Вводные'!$B$239="Да",MeanMinAge17+I204*SUMIF(ThresholdAge17,"&lt;"&amp;I204,WeightedRevAge17)-SUMIF(ThresholdAge17,"&lt;"&amp;I204,WeightedMinAge17),MAX(CapacityAge17*'01_Вводные'!$B$218*I204,MeanMinAge17)))</f>
        <v/>
      </c>
      <c r="J125" s="190">
        <f>IF(OR(J97=0,17&lt;='01_Вводные'!$B$297),0,J97*IF('01_Вводные'!$B$239="Да",MeanMinAge17+J204*SUMIF(ThresholdAge17,"&lt;"&amp;J204,WeightedRevAge17)-SUMIF(ThresholdAge17,"&lt;"&amp;J204,WeightedMinAge17),MAX(CapacityAge17*'01_Вводные'!$B$218*J204,MeanMinAge17)))</f>
        <v/>
      </c>
      <c r="K125" s="190">
        <f>IF(OR(K97=0,17&lt;='01_Вводные'!$B$297),0,K97*IF('01_Вводные'!$B$239="Да",MeanMinAge17+K204*SUMIF(ThresholdAge17,"&lt;"&amp;K204,WeightedRevAge17)-SUMIF(ThresholdAge17,"&lt;"&amp;K204,WeightedMinAge17),MAX(CapacityAge17*'01_Вводные'!$B$218*K204,MeanMinAge17)))</f>
        <v/>
      </c>
      <c r="L125" s="190">
        <f>IF(OR(L97=0,17&lt;='01_Вводные'!$B$297),0,L97*IF('01_Вводные'!$B$239="Да",MeanMinAge17+L204*SUMIF(ThresholdAge17,"&lt;"&amp;L204,WeightedRevAge17)-SUMIF(ThresholdAge17,"&lt;"&amp;L204,WeightedMinAge17),MAX(CapacityAge17*'01_Вводные'!$B$218*L204,MeanMinAge17)))</f>
        <v/>
      </c>
      <c r="M125" s="190">
        <f>IF(OR(M97=0,17&lt;='01_Вводные'!$B$297),0,M97*IF('01_Вводные'!$B$239="Да",MeanMinAge17+M204*SUMIF(ThresholdAge17,"&lt;"&amp;M204,WeightedRevAge17)-SUMIF(ThresholdAge17,"&lt;"&amp;M204,WeightedMinAge17),MAX(CapacityAge17*'01_Вводные'!$B$218*M204,MeanMinAge17)))</f>
        <v/>
      </c>
      <c r="N125" s="190">
        <f>IF(OR(N97=0,17&lt;='01_Вводные'!$B$297),0,N97*IF('01_Вводные'!$B$239="Да",MeanMinAge17+N204*SUMIF(ThresholdAge17,"&lt;"&amp;N204,WeightedRevAge17)-SUMIF(ThresholdAge17,"&lt;"&amp;N204,WeightedMinAge17),MAX(CapacityAge17*'01_Вводные'!$B$218*N204,MeanMinAge17)))</f>
        <v/>
      </c>
      <c r="O125" s="190">
        <f>IF(OR(O97=0,17&lt;='01_Вводные'!$B$297),0,O97*IF('01_Вводные'!$B$239="Да",MeanMinAge17+O204*SUMIF(ThresholdAge17,"&lt;"&amp;O204,WeightedRevAge17)-SUMIF(ThresholdAge17,"&lt;"&amp;O204,WeightedMinAge17),MAX(CapacityAge17*'01_Вводные'!$B$218*O204,MeanMinAge17)))</f>
        <v/>
      </c>
      <c r="P125" s="190">
        <f>IF(OR(P97=0,17&lt;='01_Вводные'!$B$297),0,P97*IF('01_Вводные'!$B$239="Да",MeanMinAge17+P204*SUMIF(ThresholdAge17,"&lt;"&amp;P204,WeightedRevAge17)-SUMIF(ThresholdAge17,"&lt;"&amp;P204,WeightedMinAge17),MAX(CapacityAge17*'01_Вводные'!$B$218*P204,MeanMinAge17)))</f>
        <v/>
      </c>
      <c r="Q125" s="190">
        <f>IF(OR(Q97=0,17&lt;='01_Вводные'!$B$297),0,Q97*IF('01_Вводные'!$B$239="Да",MeanMinAge17+Q204*SUMIF(ThresholdAge17,"&lt;"&amp;Q204,WeightedRevAge17)-SUMIF(ThresholdAge17,"&lt;"&amp;Q204,WeightedMinAge17),MAX(CapacityAge17*'01_Вводные'!$B$218*Q204,MeanMinAge17)))</f>
        <v/>
      </c>
      <c r="R125" s="190">
        <f>IF(OR(R97=0,17&lt;='01_Вводные'!$B$297),0,R97*IF('01_Вводные'!$B$239="Да",MeanMinAge17+R204*SUMIF(ThresholdAge17,"&lt;"&amp;R204,WeightedRevAge17)-SUMIF(ThresholdAge17,"&lt;"&amp;R204,WeightedMinAge17),MAX(CapacityAge17*'01_Вводные'!$B$218*R204,MeanMinAge17)))</f>
        <v/>
      </c>
      <c r="S125" s="190">
        <f>IF(OR(S97=0,17&lt;='01_Вводные'!$B$297),0,S97*IF('01_Вводные'!$B$239="Да",MeanMinAge17+S204*SUMIF(ThresholdAge17,"&lt;"&amp;S204,WeightedRevAge17)-SUMIF(ThresholdAge17,"&lt;"&amp;S204,WeightedMinAge17),MAX(CapacityAge17*'01_Вводные'!$B$218*S204,MeanMinAge17)))</f>
        <v/>
      </c>
      <c r="T125" s="190">
        <f>IF(OR(T97=0,17&lt;='01_Вводные'!$B$297),0,T97*IF('01_Вводные'!$B$239="Да",MeanMinAge17+T204*SUMIF(ThresholdAge17,"&lt;"&amp;T204,WeightedRevAge17)-SUMIF(ThresholdAge17,"&lt;"&amp;T204,WeightedMinAge17),MAX(CapacityAge17*'01_Вводные'!$B$218*T204,MeanMinAge17)))</f>
        <v/>
      </c>
      <c r="U125" s="190">
        <f>IF(OR(U97=0,17&lt;='01_Вводные'!$B$297),0,U97*IF('01_Вводные'!$B$239="Да",MeanMinAge17+U204*SUMIF(ThresholdAge17,"&lt;"&amp;U204,WeightedRevAge17)-SUMIF(ThresholdAge17,"&lt;"&amp;U204,WeightedMinAge17),MAX(CapacityAge17*'01_Вводные'!$B$218*U204,MeanMinAge17)))</f>
        <v/>
      </c>
      <c r="V125" s="190">
        <f>IF(OR(V97=0,17&lt;='01_Вводные'!$B$297),0,V97*IF('01_Вводные'!$B$239="Да",MeanMinAge17+V204*SUMIF(ThresholdAge17,"&lt;"&amp;V204,WeightedRevAge17)-SUMIF(ThresholdAge17,"&lt;"&amp;V204,WeightedMinAge17),MAX(CapacityAge17*'01_Вводные'!$B$218*V204,MeanMinAge17)))</f>
        <v/>
      </c>
      <c r="W125" s="190">
        <f>IF(OR(W97=0,17&lt;='01_Вводные'!$B$297),0,W97*IF('01_Вводные'!$B$239="Да",MeanMinAge17+W204*SUMIF(ThresholdAge17,"&lt;"&amp;W204,WeightedRevAge17)-SUMIF(ThresholdAge17,"&lt;"&amp;W204,WeightedMinAge17),MAX(CapacityAge17*'01_Вводные'!$B$218*W204,MeanMinAge17)))</f>
        <v/>
      </c>
      <c r="X125" s="190">
        <f>IF(OR(X97=0,17&lt;='01_Вводные'!$B$297),0,X97*IF('01_Вводные'!$B$239="Да",MeanMinAge17+X204*SUMIF(ThresholdAge17,"&lt;"&amp;X204,WeightedRevAge17)-SUMIF(ThresholdAge17,"&lt;"&amp;X204,WeightedMinAge17),MAX(CapacityAge17*'01_Вводные'!$B$218*X204,MeanMinAge17)))</f>
        <v/>
      </c>
      <c r="Y125" s="190">
        <f>IF(OR(Y97=0,17&lt;='01_Вводные'!$B$297),0,Y97*IF('01_Вводные'!$B$239="Да",MeanMinAge17+Y204*SUMIF(ThresholdAge17,"&lt;"&amp;Y204,WeightedRevAge17)-SUMIF(ThresholdAge17,"&lt;"&amp;Y204,WeightedMinAge17),MAX(CapacityAge17*'01_Вводные'!$B$218*Y204,MeanMinAge17)))</f>
        <v/>
      </c>
      <c r="Z125" s="190">
        <f>IF(OR(Z97=0,17&lt;='01_Вводные'!$B$297),0,Z97*IF('01_Вводные'!$B$239="Да",MeanMinAge17+Z204*SUMIF(ThresholdAge17,"&lt;"&amp;Z204,WeightedRevAge17)-SUMIF(ThresholdAge17,"&lt;"&amp;Z204,WeightedMinAge17),MAX(CapacityAge17*'01_Вводные'!$B$218*Z204,MeanMinAge17)))</f>
        <v/>
      </c>
      <c r="AA125" s="190">
        <f>IF(OR(AA97=0,17&lt;='01_Вводные'!$B$297),0,AA97*IF('01_Вводные'!$B$239="Да",MeanMinAge17+AA204*SUMIF(ThresholdAge17,"&lt;"&amp;AA204,WeightedRevAge17)-SUMIF(ThresholdAge17,"&lt;"&amp;AA204,WeightedMinAge17),MAX(CapacityAge17*'01_Вводные'!$B$218*AA204,MeanMinAge17)))</f>
        <v/>
      </c>
      <c r="AB125" s="190">
        <f>IF(OR(AB97=0,17&lt;='01_Вводные'!$B$297),0,AB97*IF('01_Вводные'!$B$239="Да",MeanMinAge17+AB204*SUMIF(ThresholdAge17,"&lt;"&amp;AB204,WeightedRevAge17)-SUMIF(ThresholdAge17,"&lt;"&amp;AB204,WeightedMinAge17),MAX(CapacityAge17*'01_Вводные'!$B$218*AB204,MeanMinAge17)))</f>
        <v/>
      </c>
      <c r="AC125" s="190">
        <f>IF(OR(AC97=0,17&lt;='01_Вводные'!$B$297),0,AC97*IF('01_Вводные'!$B$239="Да",MeanMinAge17+AC204*SUMIF(ThresholdAge17,"&lt;"&amp;AC204,WeightedRevAge17)-SUMIF(ThresholdAge17,"&lt;"&amp;AC204,WeightedMinAge17),MAX(CapacityAge17*'01_Вводные'!$B$218*AC204,MeanMinAge17)))</f>
        <v/>
      </c>
      <c r="AD125" s="190">
        <f>IF(OR(AD97=0,17&lt;='01_Вводные'!$B$297),0,AD97*IF('01_Вводные'!$B$239="Да",MeanMinAge17+AD204*SUMIF(ThresholdAge17,"&lt;"&amp;AD204,WeightedRevAge17)-SUMIF(ThresholdAge17,"&lt;"&amp;AD204,WeightedMinAge17),MAX(CapacityAge17*'01_Вводные'!$B$218*AD204,MeanMinAge17)))</f>
        <v/>
      </c>
      <c r="AE125" s="190">
        <f>IF(OR(AE97=0,17&lt;='01_Вводные'!$B$297),0,AE97*IF('01_Вводные'!$B$239="Да",MeanMinAge17+AE204*SUMIF(ThresholdAge17,"&lt;"&amp;AE204,WeightedRevAge17)-SUMIF(ThresholdAge17,"&lt;"&amp;AE204,WeightedMinAge17),MAX(CapacityAge17*'01_Вводные'!$B$218*AE204,MeanMinAge17)))</f>
        <v/>
      </c>
      <c r="AF125" s="190">
        <f>IF(OR(AF97=0,17&lt;='01_Вводные'!$B$297),0,AF97*IF('01_Вводные'!$B$239="Да",MeanMinAge17+AF204*SUMIF(ThresholdAge17,"&lt;"&amp;AF204,WeightedRevAge17)-SUMIF(ThresholdAge17,"&lt;"&amp;AF204,WeightedMinAge17),MAX(CapacityAge17*'01_Вводные'!$B$218*AF204,MeanMinAge17)))</f>
        <v/>
      </c>
      <c r="AG125" s="190">
        <f>IF(OR(AG97=0,17&lt;='01_Вводные'!$B$297),0,AG97*IF('01_Вводные'!$B$239="Да",MeanMinAge17+AG204*SUMIF(ThresholdAge17,"&lt;"&amp;AG204,WeightedRevAge17)-SUMIF(ThresholdAge17,"&lt;"&amp;AG204,WeightedMinAge17),MAX(CapacityAge17*'01_Вводные'!$B$218*AG204,MeanMinAge17)))</f>
        <v/>
      </c>
      <c r="AH125" s="190">
        <f>IF(OR(AH97=0,17&lt;='01_Вводные'!$B$297),0,AH97*IF('01_Вводные'!$B$239="Да",MeanMinAge17+AH204*SUMIF(ThresholdAge17,"&lt;"&amp;AH204,WeightedRevAge17)-SUMIF(ThresholdAge17,"&lt;"&amp;AH204,WeightedMinAge17),MAX(CapacityAge17*'01_Вводные'!$B$218*AH204,MeanMinAge17)))</f>
        <v/>
      </c>
      <c r="AI125" s="190">
        <f>IF(OR(AI97=0,17&lt;='01_Вводные'!$B$297),0,AI97*IF('01_Вводные'!$B$239="Да",MeanMinAge17+AI204*SUMIF(ThresholdAge17,"&lt;"&amp;AI204,WeightedRevAge17)-SUMIF(ThresholdAge17,"&lt;"&amp;AI204,WeightedMinAge17),MAX(CapacityAge17*'01_Вводные'!$B$218*AI204,MeanMinAge17)))</f>
        <v/>
      </c>
      <c r="AJ125" s="190">
        <f>IF(OR(AJ97=0,17&lt;='01_Вводные'!$B$297),0,AJ97*IF('01_Вводные'!$B$239="Да",MeanMinAge17+AJ204*SUMIF(ThresholdAge17,"&lt;"&amp;AJ204,WeightedRevAge17)-SUMIF(ThresholdAge17,"&lt;"&amp;AJ204,WeightedMinAge17),MAX(CapacityAge17*'01_Вводные'!$B$218*AJ204,MeanMinAge17)))</f>
        <v/>
      </c>
      <c r="AK125" s="190">
        <f>IF(OR(AK97=0,17&lt;='01_Вводные'!$B$297),0,AK97*IF('01_Вводные'!$B$239="Да",MeanMinAge17+AK204*SUMIF(ThresholdAge17,"&lt;"&amp;AK204,WeightedRevAge17)-SUMIF(ThresholdAge17,"&lt;"&amp;AK204,WeightedMinAge17),MAX(CapacityAge17*'01_Вводные'!$B$218*AK204,MeanMinAge17)))</f>
        <v/>
      </c>
      <c r="AL125" s="190">
        <f>IF(OR(AL97=0,17&lt;='01_Вводные'!$B$297),0,AL97*IF('01_Вводные'!$B$239="Да",MeanMinAge17+AL204*SUMIF(ThresholdAge17,"&lt;"&amp;AL204,WeightedRevAge17)-SUMIF(ThresholdAge17,"&lt;"&amp;AL204,WeightedMinAge17),MAX(CapacityAge17*'01_Вводные'!$B$218*AL204,MeanMinAge17)))</f>
        <v/>
      </c>
      <c r="AM125" s="190">
        <f>IF(OR(AM97=0,17&lt;='01_Вводные'!$B$297),0,AM97*IF('01_Вводные'!$B$239="Да",MeanMinAge17+AM204*SUMIF(ThresholdAge17,"&lt;"&amp;AM204,WeightedRevAge17)-SUMIF(ThresholdAge17,"&lt;"&amp;AM204,WeightedMinAge17),MAX(CapacityAge17*'01_Вводные'!$B$218*AM204,MeanMinAge17)))</f>
        <v/>
      </c>
      <c r="AN125" s="190">
        <f>IF(OR(AN97=0,17&lt;='01_Вводные'!$B$297),0,AN97*IF('01_Вводные'!$B$239="Да",MeanMinAge17+AN204*SUMIF(ThresholdAge17,"&lt;"&amp;AN204,WeightedRevAge17)-SUMIF(ThresholdAge17,"&lt;"&amp;AN204,WeightedMinAge17),MAX(CapacityAge17*'01_Вводные'!$B$218*AN204,MeanMinAge17)))</f>
        <v/>
      </c>
      <c r="AO125" s="190">
        <f>IF(OR(AO97=0,17&lt;='01_Вводные'!$B$297),0,AO97*IF('01_Вводные'!$B$239="Да",MeanMinAge17+AO204*SUMIF(ThresholdAge17,"&lt;"&amp;AO204,WeightedRevAge17)-SUMIF(ThresholdAge17,"&lt;"&amp;AO204,WeightedMinAge17),MAX(CapacityAge17*'01_Вводные'!$B$218*AO204,MeanMinAge17)))</f>
        <v/>
      </c>
      <c r="AP125" s="190">
        <f>IF(OR(AP97=0,17&lt;='01_Вводные'!$B$297),0,AP97*IF('01_Вводные'!$B$239="Да",MeanMinAge17+AP204*SUMIF(ThresholdAge17,"&lt;"&amp;AP204,WeightedRevAge17)-SUMIF(ThresholdAge17,"&lt;"&amp;AP204,WeightedMinAge17),MAX(CapacityAge17*'01_Вводные'!$B$218*AP204,MeanMinAge17)))</f>
        <v/>
      </c>
      <c r="AQ125" s="190">
        <f>IF(OR(AQ97=0,17&lt;='01_Вводные'!$B$297),0,AQ97*IF('01_Вводные'!$B$239="Да",MeanMinAge17+AQ204*SUMIF(ThresholdAge17,"&lt;"&amp;AQ204,WeightedRevAge17)-SUMIF(ThresholdAge17,"&lt;"&amp;AQ204,WeightedMinAge17),MAX(CapacityAge17*'01_Вводные'!$B$218*AQ204,MeanMinAge17)))</f>
        <v/>
      </c>
      <c r="AR125" s="190">
        <f>IF(OR(AR97=0,17&lt;='01_Вводные'!$B$297),0,AR97*IF('01_Вводные'!$B$239="Да",MeanMinAge17+AR204*SUMIF(ThresholdAge17,"&lt;"&amp;AR204,WeightedRevAge17)-SUMIF(ThresholdAge17,"&lt;"&amp;AR204,WeightedMinAge17),MAX(CapacityAge17*'01_Вводные'!$B$218*AR204,MeanMinAge17)))</f>
        <v/>
      </c>
      <c r="AS125" s="190">
        <f>IF(OR(AS97=0,17&lt;='01_Вводные'!$B$297),0,AS97*IF('01_Вводные'!$B$239="Да",MeanMinAge17+AS204*SUMIF(ThresholdAge17,"&lt;"&amp;AS204,WeightedRevAge17)-SUMIF(ThresholdAge17,"&lt;"&amp;AS204,WeightedMinAge17),MAX(CapacityAge17*'01_Вводные'!$B$218*AS204,MeanMinAge17)))</f>
        <v/>
      </c>
      <c r="AT125" s="190">
        <f>IF(OR(AT97=0,17&lt;='01_Вводные'!$B$297),0,AT97*IF('01_Вводные'!$B$239="Да",MeanMinAge17+AT204*SUMIF(ThresholdAge17,"&lt;"&amp;AT204,WeightedRevAge17)-SUMIF(ThresholdAge17,"&lt;"&amp;AT204,WeightedMinAge17),MAX(CapacityAge17*'01_Вводные'!$B$218*AT204,MeanMinAge17)))</f>
        <v/>
      </c>
      <c r="AU125" s="190">
        <f>IF(OR(AU97=0,17&lt;='01_Вводные'!$B$297),0,AU97*IF('01_Вводные'!$B$239="Да",MeanMinAge17+AU204*SUMIF(ThresholdAge17,"&lt;"&amp;AU204,WeightedRevAge17)-SUMIF(ThresholdAge17,"&lt;"&amp;AU204,WeightedMinAge17),MAX(CapacityAge17*'01_Вводные'!$B$218*AU204,MeanMinAge17)))</f>
        <v/>
      </c>
      <c r="AV125" s="190">
        <f>IF(OR(AV97=0,17&lt;='01_Вводные'!$B$297),0,AV97*IF('01_Вводные'!$B$239="Да",MeanMinAge17+AV204*SUMIF(ThresholdAge17,"&lt;"&amp;AV204,WeightedRevAge17)-SUMIF(ThresholdAge17,"&lt;"&amp;AV204,WeightedMinAge17),MAX(CapacityAge17*'01_Вводные'!$B$218*AV204,MeanMinAge17)))</f>
        <v/>
      </c>
      <c r="AW125" s="190">
        <f>IF(OR(AW97=0,17&lt;='01_Вводные'!$B$297),0,AW97*IF('01_Вводные'!$B$239="Да",MeanMinAge17+AW204*SUMIF(ThresholdAge17,"&lt;"&amp;AW204,WeightedRevAge17)-SUMIF(ThresholdAge17,"&lt;"&amp;AW204,WeightedMinAge17),MAX(CapacityAge17*'01_Вводные'!$B$218*AW204,MeanMinAge17)))</f>
        <v/>
      </c>
      <c r="AX125" s="190">
        <f>IF(OR(AX97=0,17&lt;='01_Вводные'!$B$297),0,AX97*IF('01_Вводные'!$B$239="Да",MeanMinAge17+AX204*SUMIF(ThresholdAge17,"&lt;"&amp;AX204,WeightedRevAge17)-SUMIF(ThresholdAge17,"&lt;"&amp;AX204,WeightedMinAge17),MAX(CapacityAge17*'01_Вводные'!$B$218*AX204,MeanMinAge17)))</f>
        <v/>
      </c>
      <c r="AY125" s="190">
        <f>IF(OR(AY97=0,17&lt;='01_Вводные'!$B$297),0,AY97*IF('01_Вводные'!$B$239="Да",MeanMinAge17+AY204*SUMIF(ThresholdAge17,"&lt;"&amp;AY204,WeightedRevAge17)-SUMIF(ThresholdAge17,"&lt;"&amp;AY204,WeightedMinAge17),MAX(CapacityAge17*'01_Вводные'!$B$218*AY204,MeanMinAge17)))</f>
        <v/>
      </c>
      <c r="AZ125" s="190">
        <f>IF(OR(AZ97=0,17&lt;='01_Вводные'!$B$297),0,AZ97*IF('01_Вводные'!$B$239="Да",MeanMinAge17+AZ204*SUMIF(ThresholdAge17,"&lt;"&amp;AZ204,WeightedRevAge17)-SUMIF(ThresholdAge17,"&lt;"&amp;AZ204,WeightedMinAge17),MAX(CapacityAge17*'01_Вводные'!$B$218*AZ204,MeanMinAge17)))</f>
        <v/>
      </c>
      <c r="BA125" s="190">
        <f>IF(OR(BA97=0,17&lt;='01_Вводные'!$B$297),0,BA97*IF('01_Вводные'!$B$239="Да",MeanMinAge17+BA204*SUMIF(ThresholdAge17,"&lt;"&amp;BA204,WeightedRevAge17)-SUMIF(ThresholdAge17,"&lt;"&amp;BA204,WeightedMinAge17),MAX(CapacityAge17*'01_Вводные'!$B$218*BA204,MeanMinAge17)))</f>
        <v/>
      </c>
      <c r="BB125" s="190">
        <f>IF(OR(BB97=0,17&lt;='01_Вводные'!$B$297),0,BB97*IF('01_Вводные'!$B$239="Да",MeanMinAge17+BB204*SUMIF(ThresholdAge17,"&lt;"&amp;BB204,WeightedRevAge17)-SUMIF(ThresholdAge17,"&lt;"&amp;BB204,WeightedMinAge17),MAX(CapacityAge17*'01_Вводные'!$B$218*BB204,MeanMinAge17)))</f>
        <v/>
      </c>
      <c r="BC125" s="190">
        <f>IF(OR(BC97=0,17&lt;='01_Вводные'!$B$297),0,BC97*IF('01_Вводные'!$B$239="Да",MeanMinAge17+BC204*SUMIF(ThresholdAge17,"&lt;"&amp;BC204,WeightedRevAge17)-SUMIF(ThresholdAge17,"&lt;"&amp;BC204,WeightedMinAge17),MAX(CapacityAge17*'01_Вводные'!$B$218*BC204,MeanMinAge17)))</f>
        <v/>
      </c>
      <c r="BD125" s="190">
        <f>IF(OR(BD97=0,17&lt;='01_Вводные'!$B$297),0,BD97*IF('01_Вводные'!$B$239="Да",MeanMinAge17+BD204*SUMIF(ThresholdAge17,"&lt;"&amp;BD204,WeightedRevAge17)-SUMIF(ThresholdAge17,"&lt;"&amp;BD204,WeightedMinAge17),MAX(CapacityAge17*'01_Вводные'!$B$218*BD204,MeanMinAge17)))</f>
        <v/>
      </c>
      <c r="BE125" s="190">
        <f>IF(OR(BE97=0,17&lt;='01_Вводные'!$B$297),0,BE97*IF('01_Вводные'!$B$239="Да",MeanMinAge17+BE204*SUMIF(ThresholdAge17,"&lt;"&amp;BE204,WeightedRevAge17)-SUMIF(ThresholdAge17,"&lt;"&amp;BE204,WeightedMinAge17),MAX(CapacityAge17*'01_Вводные'!$B$218*BE204,MeanMinAge17)))</f>
        <v/>
      </c>
      <c r="BF125" s="190">
        <f>IF(OR(BF97=0,17&lt;='01_Вводные'!$B$297),0,BF97*IF('01_Вводные'!$B$239="Да",MeanMinAge17+BF204*SUMIF(ThresholdAge17,"&lt;"&amp;BF204,WeightedRevAge17)-SUMIF(ThresholdAge17,"&lt;"&amp;BF204,WeightedMinAge17),MAX(CapacityAge17*'01_Вводные'!$B$218*BF204,MeanMinAge17)))</f>
        <v/>
      </c>
      <c r="BG125" s="190">
        <f>IF(OR(BG97=0,17&lt;='01_Вводные'!$B$297),0,BG97*IF('01_Вводные'!$B$239="Да",MeanMinAge17+BG204*SUMIF(ThresholdAge17,"&lt;"&amp;BG204,WeightedRevAge17)-SUMIF(ThresholdAge17,"&lt;"&amp;BG204,WeightedMinAge17),MAX(CapacityAge17*'01_Вводные'!$B$218*BG204,MeanMinAge17)))</f>
        <v/>
      </c>
      <c r="BH125" s="190">
        <f>IF(OR(BH97=0,17&lt;='01_Вводные'!$B$297),0,BH97*IF('01_Вводные'!$B$239="Да",MeanMinAge17+BH204*SUMIF(ThresholdAge17,"&lt;"&amp;BH204,WeightedRevAge17)-SUMIF(ThresholdAge17,"&lt;"&amp;BH204,WeightedMinAge17),MAX(CapacityAge17*'01_Вводные'!$B$218*BH204,MeanMinAge17)))</f>
        <v/>
      </c>
      <c r="BI125" s="190">
        <f>IF(OR(BI97=0,17&lt;='01_Вводные'!$B$297),0,BI97*IF('01_Вводные'!$B$239="Да",MeanMinAge17+BI204*SUMIF(ThresholdAge17,"&lt;"&amp;BI204,WeightedRevAge17)-SUMIF(ThresholdAge17,"&lt;"&amp;BI204,WeightedMinAge17),MAX(CapacityAge17*'01_Вводные'!$B$218*BI204,MeanMinAge17)))</f>
        <v/>
      </c>
      <c r="BJ125" s="190">
        <f>IF(OR(BJ97=0,17&lt;='01_Вводные'!$B$297),0,BJ97*IF('01_Вводные'!$B$239="Да",MeanMinAge17+BJ204*SUMIF(ThresholdAge17,"&lt;"&amp;BJ204,WeightedRevAge17)-SUMIF(ThresholdAge17,"&lt;"&amp;BJ204,WeightedMinAge17),MAX(CapacityAge17*'01_Вводные'!$B$218*BJ204,MeanMinAge17)))</f>
        <v/>
      </c>
      <c r="BK125" s="190">
        <f>IF(OR(BK97=0,17&lt;='01_Вводные'!$B$297),0,BK97*IF('01_Вводные'!$B$239="Да",MeanMinAge17+BK204*SUMIF(ThresholdAge17,"&lt;"&amp;BK204,WeightedRevAge17)-SUMIF(ThresholdAge17,"&lt;"&amp;BK204,WeightedMinAge17),MAX(CapacityAge17*'01_Вводные'!$B$218*BK204,MeanMinAge17)))</f>
        <v/>
      </c>
      <c r="BL125" s="190">
        <f>IF(OR(BL97=0,17&lt;='01_Вводные'!$B$297),0,BL97*IF('01_Вводные'!$B$239="Да",MeanMinAge17+BL204*SUMIF(ThresholdAge17,"&lt;"&amp;BL204,WeightedRevAge17)-SUMIF(ThresholdAge17,"&lt;"&amp;BL204,WeightedMinAge17),MAX(CapacityAge17*'01_Вводные'!$B$218*BL204,MeanMinAge17)))</f>
        <v/>
      </c>
      <c r="BM125" s="190">
        <f>IF(OR(BM97=0,17&lt;='01_Вводные'!$B$297),0,BM97*IF('01_Вводные'!$B$239="Да",MeanMinAge17+BM204*SUMIF(ThresholdAge17,"&lt;"&amp;BM204,WeightedRevAge17)-SUMIF(ThresholdAge17,"&lt;"&amp;BM204,WeightedMinAge17),MAX(CapacityAge17*'01_Вводные'!$B$218*BM204,MeanMinAge17)))</f>
        <v/>
      </c>
      <c r="BN125" s="190">
        <f>IF(OR(BN97=0,17&lt;='01_Вводные'!$B$297),0,BN97*IF('01_Вводные'!$B$239="Да",MeanMinAge17+BN204*SUMIF(ThresholdAge17,"&lt;"&amp;BN204,WeightedRevAge17)-SUMIF(ThresholdAge17,"&lt;"&amp;BN204,WeightedMinAge17),MAX(CapacityAge17*'01_Вводные'!$B$218*BN204,MeanMinAge17)))</f>
        <v/>
      </c>
      <c r="BO125" s="190">
        <f>IF(OR(BO97=0,17&lt;='01_Вводные'!$B$297),0,BO97*IF('01_Вводные'!$B$239="Да",MeanMinAge17+BO204*SUMIF(ThresholdAge17,"&lt;"&amp;BO204,WeightedRevAge17)-SUMIF(ThresholdAge17,"&lt;"&amp;BO204,WeightedMinAge17),MAX(CapacityAge17*'01_Вводные'!$B$218*BO204,MeanMinAge17)))</f>
        <v/>
      </c>
    </row>
    <row r="126" hidden="1" outlineLevel="1">
      <c r="A126" t="inlineStr">
        <is>
          <t>18 мес.</t>
        </is>
      </c>
      <c r="B126" s="190">
        <f>IF(OR(B98=0,18&lt;='01_Вводные'!$B$297),0,B98*IF('01_Вводные'!$B$239="Да",MeanMinAge18+B204*SUMIF(ThresholdAge18,"&lt;"&amp;B204,WeightedRevAge18)-SUMIF(ThresholdAge18,"&lt;"&amp;B204,WeightedMinAge18),MAX(CapacityAge18*'01_Вводные'!$B$218*B204,MeanMinAge18)))</f>
        <v/>
      </c>
      <c r="C126" s="190">
        <f>IF(OR(C98=0,18&lt;='01_Вводные'!$B$297),0,C98*IF('01_Вводные'!$B$239="Да",MeanMinAge18+C204*SUMIF(ThresholdAge18,"&lt;"&amp;C204,WeightedRevAge18)-SUMIF(ThresholdAge18,"&lt;"&amp;C204,WeightedMinAge18),MAX(CapacityAge18*'01_Вводные'!$B$218*C204,MeanMinAge18)))</f>
        <v/>
      </c>
      <c r="D126" s="190">
        <f>IF(OR(D98=0,18&lt;='01_Вводные'!$B$297),0,D98*IF('01_Вводные'!$B$239="Да",MeanMinAge18+D204*SUMIF(ThresholdAge18,"&lt;"&amp;D204,WeightedRevAge18)-SUMIF(ThresholdAge18,"&lt;"&amp;D204,WeightedMinAge18),MAX(CapacityAge18*'01_Вводные'!$B$218*D204,MeanMinAge18)))</f>
        <v/>
      </c>
      <c r="E126" s="190">
        <f>IF(OR(E98=0,18&lt;='01_Вводные'!$B$297),0,E98*IF('01_Вводные'!$B$239="Да",MeanMinAge18+E204*SUMIF(ThresholdAge18,"&lt;"&amp;E204,WeightedRevAge18)-SUMIF(ThresholdAge18,"&lt;"&amp;E204,WeightedMinAge18),MAX(CapacityAge18*'01_Вводные'!$B$218*E204,MeanMinAge18)))</f>
        <v/>
      </c>
      <c r="F126" s="190">
        <f>IF(OR(F98=0,18&lt;='01_Вводные'!$B$297),0,F98*IF('01_Вводные'!$B$239="Да",MeanMinAge18+F204*SUMIF(ThresholdAge18,"&lt;"&amp;F204,WeightedRevAge18)-SUMIF(ThresholdAge18,"&lt;"&amp;F204,WeightedMinAge18),MAX(CapacityAge18*'01_Вводные'!$B$218*F204,MeanMinAge18)))</f>
        <v/>
      </c>
      <c r="G126" s="190">
        <f>IF(OR(G98=0,18&lt;='01_Вводные'!$B$297),0,G98*IF('01_Вводные'!$B$239="Да",MeanMinAge18+G204*SUMIF(ThresholdAge18,"&lt;"&amp;G204,WeightedRevAge18)-SUMIF(ThresholdAge18,"&lt;"&amp;G204,WeightedMinAge18),MAX(CapacityAge18*'01_Вводные'!$B$218*G204,MeanMinAge18)))</f>
        <v/>
      </c>
      <c r="H126" s="190">
        <f>IF(OR(H98=0,18&lt;='01_Вводные'!$B$297),0,H98*IF('01_Вводные'!$B$239="Да",MeanMinAge18+H204*SUMIF(ThresholdAge18,"&lt;"&amp;H204,WeightedRevAge18)-SUMIF(ThresholdAge18,"&lt;"&amp;H204,WeightedMinAge18),MAX(CapacityAge18*'01_Вводные'!$B$218*H204,MeanMinAge18)))</f>
        <v/>
      </c>
      <c r="I126" s="190">
        <f>IF(OR(I98=0,18&lt;='01_Вводные'!$B$297),0,I98*IF('01_Вводные'!$B$239="Да",MeanMinAge18+I204*SUMIF(ThresholdAge18,"&lt;"&amp;I204,WeightedRevAge18)-SUMIF(ThresholdAge18,"&lt;"&amp;I204,WeightedMinAge18),MAX(CapacityAge18*'01_Вводные'!$B$218*I204,MeanMinAge18)))</f>
        <v/>
      </c>
      <c r="J126" s="190">
        <f>IF(OR(J98=0,18&lt;='01_Вводные'!$B$297),0,J98*IF('01_Вводные'!$B$239="Да",MeanMinAge18+J204*SUMIF(ThresholdAge18,"&lt;"&amp;J204,WeightedRevAge18)-SUMIF(ThresholdAge18,"&lt;"&amp;J204,WeightedMinAge18),MAX(CapacityAge18*'01_Вводные'!$B$218*J204,MeanMinAge18)))</f>
        <v/>
      </c>
      <c r="K126" s="190">
        <f>IF(OR(K98=0,18&lt;='01_Вводные'!$B$297),0,K98*IF('01_Вводные'!$B$239="Да",MeanMinAge18+K204*SUMIF(ThresholdAge18,"&lt;"&amp;K204,WeightedRevAge18)-SUMIF(ThresholdAge18,"&lt;"&amp;K204,WeightedMinAge18),MAX(CapacityAge18*'01_Вводные'!$B$218*K204,MeanMinAge18)))</f>
        <v/>
      </c>
      <c r="L126" s="190">
        <f>IF(OR(L98=0,18&lt;='01_Вводные'!$B$297),0,L98*IF('01_Вводные'!$B$239="Да",MeanMinAge18+L204*SUMIF(ThresholdAge18,"&lt;"&amp;L204,WeightedRevAge18)-SUMIF(ThresholdAge18,"&lt;"&amp;L204,WeightedMinAge18),MAX(CapacityAge18*'01_Вводные'!$B$218*L204,MeanMinAge18)))</f>
        <v/>
      </c>
      <c r="M126" s="190">
        <f>IF(OR(M98=0,18&lt;='01_Вводные'!$B$297),0,M98*IF('01_Вводные'!$B$239="Да",MeanMinAge18+M204*SUMIF(ThresholdAge18,"&lt;"&amp;M204,WeightedRevAge18)-SUMIF(ThresholdAge18,"&lt;"&amp;M204,WeightedMinAge18),MAX(CapacityAge18*'01_Вводные'!$B$218*M204,MeanMinAge18)))</f>
        <v/>
      </c>
      <c r="N126" s="190">
        <f>IF(OR(N98=0,18&lt;='01_Вводные'!$B$297),0,N98*IF('01_Вводные'!$B$239="Да",MeanMinAge18+N204*SUMIF(ThresholdAge18,"&lt;"&amp;N204,WeightedRevAge18)-SUMIF(ThresholdAge18,"&lt;"&amp;N204,WeightedMinAge18),MAX(CapacityAge18*'01_Вводные'!$B$218*N204,MeanMinAge18)))</f>
        <v/>
      </c>
      <c r="O126" s="190">
        <f>IF(OR(O98=0,18&lt;='01_Вводные'!$B$297),0,O98*IF('01_Вводные'!$B$239="Да",MeanMinAge18+O204*SUMIF(ThresholdAge18,"&lt;"&amp;O204,WeightedRevAge18)-SUMIF(ThresholdAge18,"&lt;"&amp;O204,WeightedMinAge18),MAX(CapacityAge18*'01_Вводные'!$B$218*O204,MeanMinAge18)))</f>
        <v/>
      </c>
      <c r="P126" s="190">
        <f>IF(OR(P98=0,18&lt;='01_Вводные'!$B$297),0,P98*IF('01_Вводные'!$B$239="Да",MeanMinAge18+P204*SUMIF(ThresholdAge18,"&lt;"&amp;P204,WeightedRevAge18)-SUMIF(ThresholdAge18,"&lt;"&amp;P204,WeightedMinAge18),MAX(CapacityAge18*'01_Вводные'!$B$218*P204,MeanMinAge18)))</f>
        <v/>
      </c>
      <c r="Q126" s="190">
        <f>IF(OR(Q98=0,18&lt;='01_Вводные'!$B$297),0,Q98*IF('01_Вводные'!$B$239="Да",MeanMinAge18+Q204*SUMIF(ThresholdAge18,"&lt;"&amp;Q204,WeightedRevAge18)-SUMIF(ThresholdAge18,"&lt;"&amp;Q204,WeightedMinAge18),MAX(CapacityAge18*'01_Вводные'!$B$218*Q204,MeanMinAge18)))</f>
        <v/>
      </c>
      <c r="R126" s="190">
        <f>IF(OR(R98=0,18&lt;='01_Вводные'!$B$297),0,R98*IF('01_Вводные'!$B$239="Да",MeanMinAge18+R204*SUMIF(ThresholdAge18,"&lt;"&amp;R204,WeightedRevAge18)-SUMIF(ThresholdAge18,"&lt;"&amp;R204,WeightedMinAge18),MAX(CapacityAge18*'01_Вводные'!$B$218*R204,MeanMinAge18)))</f>
        <v/>
      </c>
      <c r="S126" s="190">
        <f>IF(OR(S98=0,18&lt;='01_Вводные'!$B$297),0,S98*IF('01_Вводные'!$B$239="Да",MeanMinAge18+S204*SUMIF(ThresholdAge18,"&lt;"&amp;S204,WeightedRevAge18)-SUMIF(ThresholdAge18,"&lt;"&amp;S204,WeightedMinAge18),MAX(CapacityAge18*'01_Вводные'!$B$218*S204,MeanMinAge18)))</f>
        <v/>
      </c>
      <c r="T126" s="190">
        <f>IF(OR(T98=0,18&lt;='01_Вводные'!$B$297),0,T98*IF('01_Вводные'!$B$239="Да",MeanMinAge18+T204*SUMIF(ThresholdAge18,"&lt;"&amp;T204,WeightedRevAge18)-SUMIF(ThresholdAge18,"&lt;"&amp;T204,WeightedMinAge18),MAX(CapacityAge18*'01_Вводные'!$B$218*T204,MeanMinAge18)))</f>
        <v/>
      </c>
      <c r="U126" s="190">
        <f>IF(OR(U98=0,18&lt;='01_Вводные'!$B$297),0,U98*IF('01_Вводные'!$B$239="Да",MeanMinAge18+U204*SUMIF(ThresholdAge18,"&lt;"&amp;U204,WeightedRevAge18)-SUMIF(ThresholdAge18,"&lt;"&amp;U204,WeightedMinAge18),MAX(CapacityAge18*'01_Вводные'!$B$218*U204,MeanMinAge18)))</f>
        <v/>
      </c>
      <c r="V126" s="190">
        <f>IF(OR(V98=0,18&lt;='01_Вводные'!$B$297),0,V98*IF('01_Вводные'!$B$239="Да",MeanMinAge18+V204*SUMIF(ThresholdAge18,"&lt;"&amp;V204,WeightedRevAge18)-SUMIF(ThresholdAge18,"&lt;"&amp;V204,WeightedMinAge18),MAX(CapacityAge18*'01_Вводные'!$B$218*V204,MeanMinAge18)))</f>
        <v/>
      </c>
      <c r="W126" s="190">
        <f>IF(OR(W98=0,18&lt;='01_Вводные'!$B$297),0,W98*IF('01_Вводные'!$B$239="Да",MeanMinAge18+W204*SUMIF(ThresholdAge18,"&lt;"&amp;W204,WeightedRevAge18)-SUMIF(ThresholdAge18,"&lt;"&amp;W204,WeightedMinAge18),MAX(CapacityAge18*'01_Вводные'!$B$218*W204,MeanMinAge18)))</f>
        <v/>
      </c>
      <c r="X126" s="190">
        <f>IF(OR(X98=0,18&lt;='01_Вводные'!$B$297),0,X98*IF('01_Вводные'!$B$239="Да",MeanMinAge18+X204*SUMIF(ThresholdAge18,"&lt;"&amp;X204,WeightedRevAge18)-SUMIF(ThresholdAge18,"&lt;"&amp;X204,WeightedMinAge18),MAX(CapacityAge18*'01_Вводные'!$B$218*X204,MeanMinAge18)))</f>
        <v/>
      </c>
      <c r="Y126" s="190">
        <f>IF(OR(Y98=0,18&lt;='01_Вводные'!$B$297),0,Y98*IF('01_Вводные'!$B$239="Да",MeanMinAge18+Y204*SUMIF(ThresholdAge18,"&lt;"&amp;Y204,WeightedRevAge18)-SUMIF(ThresholdAge18,"&lt;"&amp;Y204,WeightedMinAge18),MAX(CapacityAge18*'01_Вводные'!$B$218*Y204,MeanMinAge18)))</f>
        <v/>
      </c>
      <c r="Z126" s="190">
        <f>IF(OR(Z98=0,18&lt;='01_Вводные'!$B$297),0,Z98*IF('01_Вводные'!$B$239="Да",MeanMinAge18+Z204*SUMIF(ThresholdAge18,"&lt;"&amp;Z204,WeightedRevAge18)-SUMIF(ThresholdAge18,"&lt;"&amp;Z204,WeightedMinAge18),MAX(CapacityAge18*'01_Вводные'!$B$218*Z204,MeanMinAge18)))</f>
        <v/>
      </c>
      <c r="AA126" s="190">
        <f>IF(OR(AA98=0,18&lt;='01_Вводные'!$B$297),0,AA98*IF('01_Вводные'!$B$239="Да",MeanMinAge18+AA204*SUMIF(ThresholdAge18,"&lt;"&amp;AA204,WeightedRevAge18)-SUMIF(ThresholdAge18,"&lt;"&amp;AA204,WeightedMinAge18),MAX(CapacityAge18*'01_Вводные'!$B$218*AA204,MeanMinAge18)))</f>
        <v/>
      </c>
      <c r="AB126" s="190">
        <f>IF(OR(AB98=0,18&lt;='01_Вводные'!$B$297),0,AB98*IF('01_Вводные'!$B$239="Да",MeanMinAge18+AB204*SUMIF(ThresholdAge18,"&lt;"&amp;AB204,WeightedRevAge18)-SUMIF(ThresholdAge18,"&lt;"&amp;AB204,WeightedMinAge18),MAX(CapacityAge18*'01_Вводные'!$B$218*AB204,MeanMinAge18)))</f>
        <v/>
      </c>
      <c r="AC126" s="190">
        <f>IF(OR(AC98=0,18&lt;='01_Вводные'!$B$297),0,AC98*IF('01_Вводные'!$B$239="Да",MeanMinAge18+AC204*SUMIF(ThresholdAge18,"&lt;"&amp;AC204,WeightedRevAge18)-SUMIF(ThresholdAge18,"&lt;"&amp;AC204,WeightedMinAge18),MAX(CapacityAge18*'01_Вводные'!$B$218*AC204,MeanMinAge18)))</f>
        <v/>
      </c>
      <c r="AD126" s="190">
        <f>IF(OR(AD98=0,18&lt;='01_Вводные'!$B$297),0,AD98*IF('01_Вводные'!$B$239="Да",MeanMinAge18+AD204*SUMIF(ThresholdAge18,"&lt;"&amp;AD204,WeightedRevAge18)-SUMIF(ThresholdAge18,"&lt;"&amp;AD204,WeightedMinAge18),MAX(CapacityAge18*'01_Вводные'!$B$218*AD204,MeanMinAge18)))</f>
        <v/>
      </c>
      <c r="AE126" s="190">
        <f>IF(OR(AE98=0,18&lt;='01_Вводные'!$B$297),0,AE98*IF('01_Вводные'!$B$239="Да",MeanMinAge18+AE204*SUMIF(ThresholdAge18,"&lt;"&amp;AE204,WeightedRevAge18)-SUMIF(ThresholdAge18,"&lt;"&amp;AE204,WeightedMinAge18),MAX(CapacityAge18*'01_Вводные'!$B$218*AE204,MeanMinAge18)))</f>
        <v/>
      </c>
      <c r="AF126" s="190">
        <f>IF(OR(AF98=0,18&lt;='01_Вводные'!$B$297),0,AF98*IF('01_Вводные'!$B$239="Да",MeanMinAge18+AF204*SUMIF(ThresholdAge18,"&lt;"&amp;AF204,WeightedRevAge18)-SUMIF(ThresholdAge18,"&lt;"&amp;AF204,WeightedMinAge18),MAX(CapacityAge18*'01_Вводные'!$B$218*AF204,MeanMinAge18)))</f>
        <v/>
      </c>
      <c r="AG126" s="190">
        <f>IF(OR(AG98=0,18&lt;='01_Вводные'!$B$297),0,AG98*IF('01_Вводные'!$B$239="Да",MeanMinAge18+AG204*SUMIF(ThresholdAge18,"&lt;"&amp;AG204,WeightedRevAge18)-SUMIF(ThresholdAge18,"&lt;"&amp;AG204,WeightedMinAge18),MAX(CapacityAge18*'01_Вводные'!$B$218*AG204,MeanMinAge18)))</f>
        <v/>
      </c>
      <c r="AH126" s="190">
        <f>IF(OR(AH98=0,18&lt;='01_Вводные'!$B$297),0,AH98*IF('01_Вводные'!$B$239="Да",MeanMinAge18+AH204*SUMIF(ThresholdAge18,"&lt;"&amp;AH204,WeightedRevAge18)-SUMIF(ThresholdAge18,"&lt;"&amp;AH204,WeightedMinAge18),MAX(CapacityAge18*'01_Вводные'!$B$218*AH204,MeanMinAge18)))</f>
        <v/>
      </c>
      <c r="AI126" s="190">
        <f>IF(OR(AI98=0,18&lt;='01_Вводные'!$B$297),0,AI98*IF('01_Вводные'!$B$239="Да",MeanMinAge18+AI204*SUMIF(ThresholdAge18,"&lt;"&amp;AI204,WeightedRevAge18)-SUMIF(ThresholdAge18,"&lt;"&amp;AI204,WeightedMinAge18),MAX(CapacityAge18*'01_Вводные'!$B$218*AI204,MeanMinAge18)))</f>
        <v/>
      </c>
      <c r="AJ126" s="190">
        <f>IF(OR(AJ98=0,18&lt;='01_Вводные'!$B$297),0,AJ98*IF('01_Вводные'!$B$239="Да",MeanMinAge18+AJ204*SUMIF(ThresholdAge18,"&lt;"&amp;AJ204,WeightedRevAge18)-SUMIF(ThresholdAge18,"&lt;"&amp;AJ204,WeightedMinAge18),MAX(CapacityAge18*'01_Вводные'!$B$218*AJ204,MeanMinAge18)))</f>
        <v/>
      </c>
      <c r="AK126" s="190">
        <f>IF(OR(AK98=0,18&lt;='01_Вводные'!$B$297),0,AK98*IF('01_Вводные'!$B$239="Да",MeanMinAge18+AK204*SUMIF(ThresholdAge18,"&lt;"&amp;AK204,WeightedRevAge18)-SUMIF(ThresholdAge18,"&lt;"&amp;AK204,WeightedMinAge18),MAX(CapacityAge18*'01_Вводные'!$B$218*AK204,MeanMinAge18)))</f>
        <v/>
      </c>
      <c r="AL126" s="190">
        <f>IF(OR(AL98=0,18&lt;='01_Вводные'!$B$297),0,AL98*IF('01_Вводные'!$B$239="Да",MeanMinAge18+AL204*SUMIF(ThresholdAge18,"&lt;"&amp;AL204,WeightedRevAge18)-SUMIF(ThresholdAge18,"&lt;"&amp;AL204,WeightedMinAge18),MAX(CapacityAge18*'01_Вводные'!$B$218*AL204,MeanMinAge18)))</f>
        <v/>
      </c>
      <c r="AM126" s="190">
        <f>IF(OR(AM98=0,18&lt;='01_Вводные'!$B$297),0,AM98*IF('01_Вводные'!$B$239="Да",MeanMinAge18+AM204*SUMIF(ThresholdAge18,"&lt;"&amp;AM204,WeightedRevAge18)-SUMIF(ThresholdAge18,"&lt;"&amp;AM204,WeightedMinAge18),MAX(CapacityAge18*'01_Вводные'!$B$218*AM204,MeanMinAge18)))</f>
        <v/>
      </c>
      <c r="AN126" s="190">
        <f>IF(OR(AN98=0,18&lt;='01_Вводные'!$B$297),0,AN98*IF('01_Вводные'!$B$239="Да",MeanMinAge18+AN204*SUMIF(ThresholdAge18,"&lt;"&amp;AN204,WeightedRevAge18)-SUMIF(ThresholdAge18,"&lt;"&amp;AN204,WeightedMinAge18),MAX(CapacityAge18*'01_Вводные'!$B$218*AN204,MeanMinAge18)))</f>
        <v/>
      </c>
      <c r="AO126" s="190">
        <f>IF(OR(AO98=0,18&lt;='01_Вводные'!$B$297),0,AO98*IF('01_Вводные'!$B$239="Да",MeanMinAge18+AO204*SUMIF(ThresholdAge18,"&lt;"&amp;AO204,WeightedRevAge18)-SUMIF(ThresholdAge18,"&lt;"&amp;AO204,WeightedMinAge18),MAX(CapacityAge18*'01_Вводные'!$B$218*AO204,MeanMinAge18)))</f>
        <v/>
      </c>
      <c r="AP126" s="190">
        <f>IF(OR(AP98=0,18&lt;='01_Вводные'!$B$297),0,AP98*IF('01_Вводные'!$B$239="Да",MeanMinAge18+AP204*SUMIF(ThresholdAge18,"&lt;"&amp;AP204,WeightedRevAge18)-SUMIF(ThresholdAge18,"&lt;"&amp;AP204,WeightedMinAge18),MAX(CapacityAge18*'01_Вводные'!$B$218*AP204,MeanMinAge18)))</f>
        <v/>
      </c>
      <c r="AQ126" s="190">
        <f>IF(OR(AQ98=0,18&lt;='01_Вводные'!$B$297),0,AQ98*IF('01_Вводные'!$B$239="Да",MeanMinAge18+AQ204*SUMIF(ThresholdAge18,"&lt;"&amp;AQ204,WeightedRevAge18)-SUMIF(ThresholdAge18,"&lt;"&amp;AQ204,WeightedMinAge18),MAX(CapacityAge18*'01_Вводные'!$B$218*AQ204,MeanMinAge18)))</f>
        <v/>
      </c>
      <c r="AR126" s="190">
        <f>IF(OR(AR98=0,18&lt;='01_Вводные'!$B$297),0,AR98*IF('01_Вводные'!$B$239="Да",MeanMinAge18+AR204*SUMIF(ThresholdAge18,"&lt;"&amp;AR204,WeightedRevAge18)-SUMIF(ThresholdAge18,"&lt;"&amp;AR204,WeightedMinAge18),MAX(CapacityAge18*'01_Вводные'!$B$218*AR204,MeanMinAge18)))</f>
        <v/>
      </c>
      <c r="AS126" s="190">
        <f>IF(OR(AS98=0,18&lt;='01_Вводные'!$B$297),0,AS98*IF('01_Вводные'!$B$239="Да",MeanMinAge18+AS204*SUMIF(ThresholdAge18,"&lt;"&amp;AS204,WeightedRevAge18)-SUMIF(ThresholdAge18,"&lt;"&amp;AS204,WeightedMinAge18),MAX(CapacityAge18*'01_Вводные'!$B$218*AS204,MeanMinAge18)))</f>
        <v/>
      </c>
      <c r="AT126" s="190">
        <f>IF(OR(AT98=0,18&lt;='01_Вводные'!$B$297),0,AT98*IF('01_Вводные'!$B$239="Да",MeanMinAge18+AT204*SUMIF(ThresholdAge18,"&lt;"&amp;AT204,WeightedRevAge18)-SUMIF(ThresholdAge18,"&lt;"&amp;AT204,WeightedMinAge18),MAX(CapacityAge18*'01_Вводные'!$B$218*AT204,MeanMinAge18)))</f>
        <v/>
      </c>
      <c r="AU126" s="190">
        <f>IF(OR(AU98=0,18&lt;='01_Вводные'!$B$297),0,AU98*IF('01_Вводные'!$B$239="Да",MeanMinAge18+AU204*SUMIF(ThresholdAge18,"&lt;"&amp;AU204,WeightedRevAge18)-SUMIF(ThresholdAge18,"&lt;"&amp;AU204,WeightedMinAge18),MAX(CapacityAge18*'01_Вводные'!$B$218*AU204,MeanMinAge18)))</f>
        <v/>
      </c>
      <c r="AV126" s="190">
        <f>IF(OR(AV98=0,18&lt;='01_Вводные'!$B$297),0,AV98*IF('01_Вводные'!$B$239="Да",MeanMinAge18+AV204*SUMIF(ThresholdAge18,"&lt;"&amp;AV204,WeightedRevAge18)-SUMIF(ThresholdAge18,"&lt;"&amp;AV204,WeightedMinAge18),MAX(CapacityAge18*'01_Вводные'!$B$218*AV204,MeanMinAge18)))</f>
        <v/>
      </c>
      <c r="AW126" s="190">
        <f>IF(OR(AW98=0,18&lt;='01_Вводные'!$B$297),0,AW98*IF('01_Вводные'!$B$239="Да",MeanMinAge18+AW204*SUMIF(ThresholdAge18,"&lt;"&amp;AW204,WeightedRevAge18)-SUMIF(ThresholdAge18,"&lt;"&amp;AW204,WeightedMinAge18),MAX(CapacityAge18*'01_Вводные'!$B$218*AW204,MeanMinAge18)))</f>
        <v/>
      </c>
      <c r="AX126" s="190">
        <f>IF(OR(AX98=0,18&lt;='01_Вводные'!$B$297),0,AX98*IF('01_Вводные'!$B$239="Да",MeanMinAge18+AX204*SUMIF(ThresholdAge18,"&lt;"&amp;AX204,WeightedRevAge18)-SUMIF(ThresholdAge18,"&lt;"&amp;AX204,WeightedMinAge18),MAX(CapacityAge18*'01_Вводные'!$B$218*AX204,MeanMinAge18)))</f>
        <v/>
      </c>
      <c r="AY126" s="190">
        <f>IF(OR(AY98=0,18&lt;='01_Вводные'!$B$297),0,AY98*IF('01_Вводные'!$B$239="Да",MeanMinAge18+AY204*SUMIF(ThresholdAge18,"&lt;"&amp;AY204,WeightedRevAge18)-SUMIF(ThresholdAge18,"&lt;"&amp;AY204,WeightedMinAge18),MAX(CapacityAge18*'01_Вводные'!$B$218*AY204,MeanMinAge18)))</f>
        <v/>
      </c>
      <c r="AZ126" s="190">
        <f>IF(OR(AZ98=0,18&lt;='01_Вводные'!$B$297),0,AZ98*IF('01_Вводные'!$B$239="Да",MeanMinAge18+AZ204*SUMIF(ThresholdAge18,"&lt;"&amp;AZ204,WeightedRevAge18)-SUMIF(ThresholdAge18,"&lt;"&amp;AZ204,WeightedMinAge18),MAX(CapacityAge18*'01_Вводные'!$B$218*AZ204,MeanMinAge18)))</f>
        <v/>
      </c>
      <c r="BA126" s="190">
        <f>IF(OR(BA98=0,18&lt;='01_Вводные'!$B$297),0,BA98*IF('01_Вводные'!$B$239="Да",MeanMinAge18+BA204*SUMIF(ThresholdAge18,"&lt;"&amp;BA204,WeightedRevAge18)-SUMIF(ThresholdAge18,"&lt;"&amp;BA204,WeightedMinAge18),MAX(CapacityAge18*'01_Вводные'!$B$218*BA204,MeanMinAge18)))</f>
        <v/>
      </c>
      <c r="BB126" s="190">
        <f>IF(OR(BB98=0,18&lt;='01_Вводные'!$B$297),0,BB98*IF('01_Вводные'!$B$239="Да",MeanMinAge18+BB204*SUMIF(ThresholdAge18,"&lt;"&amp;BB204,WeightedRevAge18)-SUMIF(ThresholdAge18,"&lt;"&amp;BB204,WeightedMinAge18),MAX(CapacityAge18*'01_Вводные'!$B$218*BB204,MeanMinAge18)))</f>
        <v/>
      </c>
      <c r="BC126" s="190">
        <f>IF(OR(BC98=0,18&lt;='01_Вводные'!$B$297),0,BC98*IF('01_Вводные'!$B$239="Да",MeanMinAge18+BC204*SUMIF(ThresholdAge18,"&lt;"&amp;BC204,WeightedRevAge18)-SUMIF(ThresholdAge18,"&lt;"&amp;BC204,WeightedMinAge18),MAX(CapacityAge18*'01_Вводные'!$B$218*BC204,MeanMinAge18)))</f>
        <v/>
      </c>
      <c r="BD126" s="190">
        <f>IF(OR(BD98=0,18&lt;='01_Вводные'!$B$297),0,BD98*IF('01_Вводные'!$B$239="Да",MeanMinAge18+BD204*SUMIF(ThresholdAge18,"&lt;"&amp;BD204,WeightedRevAge18)-SUMIF(ThresholdAge18,"&lt;"&amp;BD204,WeightedMinAge18),MAX(CapacityAge18*'01_Вводные'!$B$218*BD204,MeanMinAge18)))</f>
        <v/>
      </c>
      <c r="BE126" s="190">
        <f>IF(OR(BE98=0,18&lt;='01_Вводные'!$B$297),0,BE98*IF('01_Вводные'!$B$239="Да",MeanMinAge18+BE204*SUMIF(ThresholdAge18,"&lt;"&amp;BE204,WeightedRevAge18)-SUMIF(ThresholdAge18,"&lt;"&amp;BE204,WeightedMinAge18),MAX(CapacityAge18*'01_Вводные'!$B$218*BE204,MeanMinAge18)))</f>
        <v/>
      </c>
      <c r="BF126" s="190">
        <f>IF(OR(BF98=0,18&lt;='01_Вводные'!$B$297),0,BF98*IF('01_Вводные'!$B$239="Да",MeanMinAge18+BF204*SUMIF(ThresholdAge18,"&lt;"&amp;BF204,WeightedRevAge18)-SUMIF(ThresholdAge18,"&lt;"&amp;BF204,WeightedMinAge18),MAX(CapacityAge18*'01_Вводные'!$B$218*BF204,MeanMinAge18)))</f>
        <v/>
      </c>
      <c r="BG126" s="190">
        <f>IF(OR(BG98=0,18&lt;='01_Вводные'!$B$297),0,BG98*IF('01_Вводные'!$B$239="Да",MeanMinAge18+BG204*SUMIF(ThresholdAge18,"&lt;"&amp;BG204,WeightedRevAge18)-SUMIF(ThresholdAge18,"&lt;"&amp;BG204,WeightedMinAge18),MAX(CapacityAge18*'01_Вводные'!$B$218*BG204,MeanMinAge18)))</f>
        <v/>
      </c>
      <c r="BH126" s="190">
        <f>IF(OR(BH98=0,18&lt;='01_Вводные'!$B$297),0,BH98*IF('01_Вводные'!$B$239="Да",MeanMinAge18+BH204*SUMIF(ThresholdAge18,"&lt;"&amp;BH204,WeightedRevAge18)-SUMIF(ThresholdAge18,"&lt;"&amp;BH204,WeightedMinAge18),MAX(CapacityAge18*'01_Вводные'!$B$218*BH204,MeanMinAge18)))</f>
        <v/>
      </c>
      <c r="BI126" s="190">
        <f>IF(OR(BI98=0,18&lt;='01_Вводные'!$B$297),0,BI98*IF('01_Вводные'!$B$239="Да",MeanMinAge18+BI204*SUMIF(ThresholdAge18,"&lt;"&amp;BI204,WeightedRevAge18)-SUMIF(ThresholdAge18,"&lt;"&amp;BI204,WeightedMinAge18),MAX(CapacityAge18*'01_Вводные'!$B$218*BI204,MeanMinAge18)))</f>
        <v/>
      </c>
      <c r="BJ126" s="190">
        <f>IF(OR(BJ98=0,18&lt;='01_Вводные'!$B$297),0,BJ98*IF('01_Вводные'!$B$239="Да",MeanMinAge18+BJ204*SUMIF(ThresholdAge18,"&lt;"&amp;BJ204,WeightedRevAge18)-SUMIF(ThresholdAge18,"&lt;"&amp;BJ204,WeightedMinAge18),MAX(CapacityAge18*'01_Вводные'!$B$218*BJ204,MeanMinAge18)))</f>
        <v/>
      </c>
      <c r="BK126" s="190">
        <f>IF(OR(BK98=0,18&lt;='01_Вводные'!$B$297),0,BK98*IF('01_Вводные'!$B$239="Да",MeanMinAge18+BK204*SUMIF(ThresholdAge18,"&lt;"&amp;BK204,WeightedRevAge18)-SUMIF(ThresholdAge18,"&lt;"&amp;BK204,WeightedMinAge18),MAX(CapacityAge18*'01_Вводные'!$B$218*BK204,MeanMinAge18)))</f>
        <v/>
      </c>
      <c r="BL126" s="190">
        <f>IF(OR(BL98=0,18&lt;='01_Вводные'!$B$297),0,BL98*IF('01_Вводные'!$B$239="Да",MeanMinAge18+BL204*SUMIF(ThresholdAge18,"&lt;"&amp;BL204,WeightedRevAge18)-SUMIF(ThresholdAge18,"&lt;"&amp;BL204,WeightedMinAge18),MAX(CapacityAge18*'01_Вводные'!$B$218*BL204,MeanMinAge18)))</f>
        <v/>
      </c>
      <c r="BM126" s="190">
        <f>IF(OR(BM98=0,18&lt;='01_Вводные'!$B$297),0,BM98*IF('01_Вводные'!$B$239="Да",MeanMinAge18+BM204*SUMIF(ThresholdAge18,"&lt;"&amp;BM204,WeightedRevAge18)-SUMIF(ThresholdAge18,"&lt;"&amp;BM204,WeightedMinAge18),MAX(CapacityAge18*'01_Вводные'!$B$218*BM204,MeanMinAge18)))</f>
        <v/>
      </c>
      <c r="BN126" s="190">
        <f>IF(OR(BN98=0,18&lt;='01_Вводные'!$B$297),0,BN98*IF('01_Вводные'!$B$239="Да",MeanMinAge18+BN204*SUMIF(ThresholdAge18,"&lt;"&amp;BN204,WeightedRevAge18)-SUMIF(ThresholdAge18,"&lt;"&amp;BN204,WeightedMinAge18),MAX(CapacityAge18*'01_Вводные'!$B$218*BN204,MeanMinAge18)))</f>
        <v/>
      </c>
      <c r="BO126" s="190">
        <f>IF(OR(BO98=0,18&lt;='01_Вводные'!$B$297),0,BO98*IF('01_Вводные'!$B$239="Да",MeanMinAge18+BO204*SUMIF(ThresholdAge18,"&lt;"&amp;BO204,WeightedRevAge18)-SUMIF(ThresholdAge18,"&lt;"&amp;BO204,WeightedMinAge18),MAX(CapacityAge18*'01_Вводные'!$B$218*BO204,MeanMinAge18)))</f>
        <v/>
      </c>
    </row>
    <row r="127" hidden="1" outlineLevel="1">
      <c r="A127" t="inlineStr">
        <is>
          <t>19 мес.</t>
        </is>
      </c>
      <c r="B127" s="190">
        <f>IF(OR(B99=0,19&lt;='01_Вводные'!$B$297),0,B99*IF('01_Вводные'!$B$239="Да",MeanMinAge19+B204*SUMIF(ThresholdAge19,"&lt;"&amp;B204,WeightedRevAge19)-SUMIF(ThresholdAge19,"&lt;"&amp;B204,WeightedMinAge19),MAX(CapacityAge19*'01_Вводные'!$B$218*B204,MeanMinAge19)))</f>
        <v/>
      </c>
      <c r="C127" s="190">
        <f>IF(OR(C99=0,19&lt;='01_Вводные'!$B$297),0,C99*IF('01_Вводные'!$B$239="Да",MeanMinAge19+C204*SUMIF(ThresholdAge19,"&lt;"&amp;C204,WeightedRevAge19)-SUMIF(ThresholdAge19,"&lt;"&amp;C204,WeightedMinAge19),MAX(CapacityAge19*'01_Вводные'!$B$218*C204,MeanMinAge19)))</f>
        <v/>
      </c>
      <c r="D127" s="190">
        <f>IF(OR(D99=0,19&lt;='01_Вводные'!$B$297),0,D99*IF('01_Вводные'!$B$239="Да",MeanMinAge19+D204*SUMIF(ThresholdAge19,"&lt;"&amp;D204,WeightedRevAge19)-SUMIF(ThresholdAge19,"&lt;"&amp;D204,WeightedMinAge19),MAX(CapacityAge19*'01_Вводные'!$B$218*D204,MeanMinAge19)))</f>
        <v/>
      </c>
      <c r="E127" s="190">
        <f>IF(OR(E99=0,19&lt;='01_Вводные'!$B$297),0,E99*IF('01_Вводные'!$B$239="Да",MeanMinAge19+E204*SUMIF(ThresholdAge19,"&lt;"&amp;E204,WeightedRevAge19)-SUMIF(ThresholdAge19,"&lt;"&amp;E204,WeightedMinAge19),MAX(CapacityAge19*'01_Вводные'!$B$218*E204,MeanMinAge19)))</f>
        <v/>
      </c>
      <c r="F127" s="190">
        <f>IF(OR(F99=0,19&lt;='01_Вводные'!$B$297),0,F99*IF('01_Вводные'!$B$239="Да",MeanMinAge19+F204*SUMIF(ThresholdAge19,"&lt;"&amp;F204,WeightedRevAge19)-SUMIF(ThresholdAge19,"&lt;"&amp;F204,WeightedMinAge19),MAX(CapacityAge19*'01_Вводные'!$B$218*F204,MeanMinAge19)))</f>
        <v/>
      </c>
      <c r="G127" s="190">
        <f>IF(OR(G99=0,19&lt;='01_Вводные'!$B$297),0,G99*IF('01_Вводные'!$B$239="Да",MeanMinAge19+G204*SUMIF(ThresholdAge19,"&lt;"&amp;G204,WeightedRevAge19)-SUMIF(ThresholdAge19,"&lt;"&amp;G204,WeightedMinAge19),MAX(CapacityAge19*'01_Вводные'!$B$218*G204,MeanMinAge19)))</f>
        <v/>
      </c>
      <c r="H127" s="190">
        <f>IF(OR(H99=0,19&lt;='01_Вводные'!$B$297),0,H99*IF('01_Вводные'!$B$239="Да",MeanMinAge19+H204*SUMIF(ThresholdAge19,"&lt;"&amp;H204,WeightedRevAge19)-SUMIF(ThresholdAge19,"&lt;"&amp;H204,WeightedMinAge19),MAX(CapacityAge19*'01_Вводные'!$B$218*H204,MeanMinAge19)))</f>
        <v/>
      </c>
      <c r="I127" s="190">
        <f>IF(OR(I99=0,19&lt;='01_Вводные'!$B$297),0,I99*IF('01_Вводные'!$B$239="Да",MeanMinAge19+I204*SUMIF(ThresholdAge19,"&lt;"&amp;I204,WeightedRevAge19)-SUMIF(ThresholdAge19,"&lt;"&amp;I204,WeightedMinAge19),MAX(CapacityAge19*'01_Вводные'!$B$218*I204,MeanMinAge19)))</f>
        <v/>
      </c>
      <c r="J127" s="190">
        <f>IF(OR(J99=0,19&lt;='01_Вводные'!$B$297),0,J99*IF('01_Вводные'!$B$239="Да",MeanMinAge19+J204*SUMIF(ThresholdAge19,"&lt;"&amp;J204,WeightedRevAge19)-SUMIF(ThresholdAge19,"&lt;"&amp;J204,WeightedMinAge19),MAX(CapacityAge19*'01_Вводные'!$B$218*J204,MeanMinAge19)))</f>
        <v/>
      </c>
      <c r="K127" s="190">
        <f>IF(OR(K99=0,19&lt;='01_Вводные'!$B$297),0,K99*IF('01_Вводные'!$B$239="Да",MeanMinAge19+K204*SUMIF(ThresholdAge19,"&lt;"&amp;K204,WeightedRevAge19)-SUMIF(ThresholdAge19,"&lt;"&amp;K204,WeightedMinAge19),MAX(CapacityAge19*'01_Вводные'!$B$218*K204,MeanMinAge19)))</f>
        <v/>
      </c>
      <c r="L127" s="190">
        <f>IF(OR(L99=0,19&lt;='01_Вводные'!$B$297),0,L99*IF('01_Вводные'!$B$239="Да",MeanMinAge19+L204*SUMIF(ThresholdAge19,"&lt;"&amp;L204,WeightedRevAge19)-SUMIF(ThresholdAge19,"&lt;"&amp;L204,WeightedMinAge19),MAX(CapacityAge19*'01_Вводные'!$B$218*L204,MeanMinAge19)))</f>
        <v/>
      </c>
      <c r="M127" s="190">
        <f>IF(OR(M99=0,19&lt;='01_Вводные'!$B$297),0,M99*IF('01_Вводные'!$B$239="Да",MeanMinAge19+M204*SUMIF(ThresholdAge19,"&lt;"&amp;M204,WeightedRevAge19)-SUMIF(ThresholdAge19,"&lt;"&amp;M204,WeightedMinAge19),MAX(CapacityAge19*'01_Вводные'!$B$218*M204,MeanMinAge19)))</f>
        <v/>
      </c>
      <c r="N127" s="190">
        <f>IF(OR(N99=0,19&lt;='01_Вводные'!$B$297),0,N99*IF('01_Вводные'!$B$239="Да",MeanMinAge19+N204*SUMIF(ThresholdAge19,"&lt;"&amp;N204,WeightedRevAge19)-SUMIF(ThresholdAge19,"&lt;"&amp;N204,WeightedMinAge19),MAX(CapacityAge19*'01_Вводные'!$B$218*N204,MeanMinAge19)))</f>
        <v/>
      </c>
      <c r="O127" s="190">
        <f>IF(OR(O99=0,19&lt;='01_Вводные'!$B$297),0,O99*IF('01_Вводные'!$B$239="Да",MeanMinAge19+O204*SUMIF(ThresholdAge19,"&lt;"&amp;O204,WeightedRevAge19)-SUMIF(ThresholdAge19,"&lt;"&amp;O204,WeightedMinAge19),MAX(CapacityAge19*'01_Вводные'!$B$218*O204,MeanMinAge19)))</f>
        <v/>
      </c>
      <c r="P127" s="190">
        <f>IF(OR(P99=0,19&lt;='01_Вводные'!$B$297),0,P99*IF('01_Вводные'!$B$239="Да",MeanMinAge19+P204*SUMIF(ThresholdAge19,"&lt;"&amp;P204,WeightedRevAge19)-SUMIF(ThresholdAge19,"&lt;"&amp;P204,WeightedMinAge19),MAX(CapacityAge19*'01_Вводные'!$B$218*P204,MeanMinAge19)))</f>
        <v/>
      </c>
      <c r="Q127" s="190">
        <f>IF(OR(Q99=0,19&lt;='01_Вводные'!$B$297),0,Q99*IF('01_Вводные'!$B$239="Да",MeanMinAge19+Q204*SUMIF(ThresholdAge19,"&lt;"&amp;Q204,WeightedRevAge19)-SUMIF(ThresholdAge19,"&lt;"&amp;Q204,WeightedMinAge19),MAX(CapacityAge19*'01_Вводные'!$B$218*Q204,MeanMinAge19)))</f>
        <v/>
      </c>
      <c r="R127" s="190">
        <f>IF(OR(R99=0,19&lt;='01_Вводные'!$B$297),0,R99*IF('01_Вводные'!$B$239="Да",MeanMinAge19+R204*SUMIF(ThresholdAge19,"&lt;"&amp;R204,WeightedRevAge19)-SUMIF(ThresholdAge19,"&lt;"&amp;R204,WeightedMinAge19),MAX(CapacityAge19*'01_Вводные'!$B$218*R204,MeanMinAge19)))</f>
        <v/>
      </c>
      <c r="S127" s="190">
        <f>IF(OR(S99=0,19&lt;='01_Вводные'!$B$297),0,S99*IF('01_Вводные'!$B$239="Да",MeanMinAge19+S204*SUMIF(ThresholdAge19,"&lt;"&amp;S204,WeightedRevAge19)-SUMIF(ThresholdAge19,"&lt;"&amp;S204,WeightedMinAge19),MAX(CapacityAge19*'01_Вводные'!$B$218*S204,MeanMinAge19)))</f>
        <v/>
      </c>
      <c r="T127" s="190">
        <f>IF(OR(T99=0,19&lt;='01_Вводные'!$B$297),0,T99*IF('01_Вводные'!$B$239="Да",MeanMinAge19+T204*SUMIF(ThresholdAge19,"&lt;"&amp;T204,WeightedRevAge19)-SUMIF(ThresholdAge19,"&lt;"&amp;T204,WeightedMinAge19),MAX(CapacityAge19*'01_Вводные'!$B$218*T204,MeanMinAge19)))</f>
        <v/>
      </c>
      <c r="U127" s="190">
        <f>IF(OR(U99=0,19&lt;='01_Вводные'!$B$297),0,U99*IF('01_Вводные'!$B$239="Да",MeanMinAge19+U204*SUMIF(ThresholdAge19,"&lt;"&amp;U204,WeightedRevAge19)-SUMIF(ThresholdAge19,"&lt;"&amp;U204,WeightedMinAge19),MAX(CapacityAge19*'01_Вводные'!$B$218*U204,MeanMinAge19)))</f>
        <v/>
      </c>
      <c r="V127" s="190">
        <f>IF(OR(V99=0,19&lt;='01_Вводные'!$B$297),0,V99*IF('01_Вводные'!$B$239="Да",MeanMinAge19+V204*SUMIF(ThresholdAge19,"&lt;"&amp;V204,WeightedRevAge19)-SUMIF(ThresholdAge19,"&lt;"&amp;V204,WeightedMinAge19),MAX(CapacityAge19*'01_Вводные'!$B$218*V204,MeanMinAge19)))</f>
        <v/>
      </c>
      <c r="W127" s="190">
        <f>IF(OR(W99=0,19&lt;='01_Вводные'!$B$297),0,W99*IF('01_Вводные'!$B$239="Да",MeanMinAge19+W204*SUMIF(ThresholdAge19,"&lt;"&amp;W204,WeightedRevAge19)-SUMIF(ThresholdAge19,"&lt;"&amp;W204,WeightedMinAge19),MAX(CapacityAge19*'01_Вводные'!$B$218*W204,MeanMinAge19)))</f>
        <v/>
      </c>
      <c r="X127" s="190">
        <f>IF(OR(X99=0,19&lt;='01_Вводные'!$B$297),0,X99*IF('01_Вводные'!$B$239="Да",MeanMinAge19+X204*SUMIF(ThresholdAge19,"&lt;"&amp;X204,WeightedRevAge19)-SUMIF(ThresholdAge19,"&lt;"&amp;X204,WeightedMinAge19),MAX(CapacityAge19*'01_Вводные'!$B$218*X204,MeanMinAge19)))</f>
        <v/>
      </c>
      <c r="Y127" s="190">
        <f>IF(OR(Y99=0,19&lt;='01_Вводные'!$B$297),0,Y99*IF('01_Вводные'!$B$239="Да",MeanMinAge19+Y204*SUMIF(ThresholdAge19,"&lt;"&amp;Y204,WeightedRevAge19)-SUMIF(ThresholdAge19,"&lt;"&amp;Y204,WeightedMinAge19),MAX(CapacityAge19*'01_Вводные'!$B$218*Y204,MeanMinAge19)))</f>
        <v/>
      </c>
      <c r="Z127" s="190">
        <f>IF(OR(Z99=0,19&lt;='01_Вводные'!$B$297),0,Z99*IF('01_Вводные'!$B$239="Да",MeanMinAge19+Z204*SUMIF(ThresholdAge19,"&lt;"&amp;Z204,WeightedRevAge19)-SUMIF(ThresholdAge19,"&lt;"&amp;Z204,WeightedMinAge19),MAX(CapacityAge19*'01_Вводные'!$B$218*Z204,MeanMinAge19)))</f>
        <v/>
      </c>
      <c r="AA127" s="190">
        <f>IF(OR(AA99=0,19&lt;='01_Вводные'!$B$297),0,AA99*IF('01_Вводные'!$B$239="Да",MeanMinAge19+AA204*SUMIF(ThresholdAge19,"&lt;"&amp;AA204,WeightedRevAge19)-SUMIF(ThresholdAge19,"&lt;"&amp;AA204,WeightedMinAge19),MAX(CapacityAge19*'01_Вводные'!$B$218*AA204,MeanMinAge19)))</f>
        <v/>
      </c>
      <c r="AB127" s="190">
        <f>IF(OR(AB99=0,19&lt;='01_Вводные'!$B$297),0,AB99*IF('01_Вводные'!$B$239="Да",MeanMinAge19+AB204*SUMIF(ThresholdAge19,"&lt;"&amp;AB204,WeightedRevAge19)-SUMIF(ThresholdAge19,"&lt;"&amp;AB204,WeightedMinAge19),MAX(CapacityAge19*'01_Вводные'!$B$218*AB204,MeanMinAge19)))</f>
        <v/>
      </c>
      <c r="AC127" s="190">
        <f>IF(OR(AC99=0,19&lt;='01_Вводные'!$B$297),0,AC99*IF('01_Вводные'!$B$239="Да",MeanMinAge19+AC204*SUMIF(ThresholdAge19,"&lt;"&amp;AC204,WeightedRevAge19)-SUMIF(ThresholdAge19,"&lt;"&amp;AC204,WeightedMinAge19),MAX(CapacityAge19*'01_Вводные'!$B$218*AC204,MeanMinAge19)))</f>
        <v/>
      </c>
      <c r="AD127" s="190">
        <f>IF(OR(AD99=0,19&lt;='01_Вводные'!$B$297),0,AD99*IF('01_Вводные'!$B$239="Да",MeanMinAge19+AD204*SUMIF(ThresholdAge19,"&lt;"&amp;AD204,WeightedRevAge19)-SUMIF(ThresholdAge19,"&lt;"&amp;AD204,WeightedMinAge19),MAX(CapacityAge19*'01_Вводные'!$B$218*AD204,MeanMinAge19)))</f>
        <v/>
      </c>
      <c r="AE127" s="190">
        <f>IF(OR(AE99=0,19&lt;='01_Вводные'!$B$297),0,AE99*IF('01_Вводные'!$B$239="Да",MeanMinAge19+AE204*SUMIF(ThresholdAge19,"&lt;"&amp;AE204,WeightedRevAge19)-SUMIF(ThresholdAge19,"&lt;"&amp;AE204,WeightedMinAge19),MAX(CapacityAge19*'01_Вводные'!$B$218*AE204,MeanMinAge19)))</f>
        <v/>
      </c>
      <c r="AF127" s="190">
        <f>IF(OR(AF99=0,19&lt;='01_Вводные'!$B$297),0,AF99*IF('01_Вводные'!$B$239="Да",MeanMinAge19+AF204*SUMIF(ThresholdAge19,"&lt;"&amp;AF204,WeightedRevAge19)-SUMIF(ThresholdAge19,"&lt;"&amp;AF204,WeightedMinAge19),MAX(CapacityAge19*'01_Вводные'!$B$218*AF204,MeanMinAge19)))</f>
        <v/>
      </c>
      <c r="AG127" s="190">
        <f>IF(OR(AG99=0,19&lt;='01_Вводные'!$B$297),0,AG99*IF('01_Вводные'!$B$239="Да",MeanMinAge19+AG204*SUMIF(ThresholdAge19,"&lt;"&amp;AG204,WeightedRevAge19)-SUMIF(ThresholdAge19,"&lt;"&amp;AG204,WeightedMinAge19),MAX(CapacityAge19*'01_Вводные'!$B$218*AG204,MeanMinAge19)))</f>
        <v/>
      </c>
      <c r="AH127" s="190">
        <f>IF(OR(AH99=0,19&lt;='01_Вводные'!$B$297),0,AH99*IF('01_Вводные'!$B$239="Да",MeanMinAge19+AH204*SUMIF(ThresholdAge19,"&lt;"&amp;AH204,WeightedRevAge19)-SUMIF(ThresholdAge19,"&lt;"&amp;AH204,WeightedMinAge19),MAX(CapacityAge19*'01_Вводные'!$B$218*AH204,MeanMinAge19)))</f>
        <v/>
      </c>
      <c r="AI127" s="190">
        <f>IF(OR(AI99=0,19&lt;='01_Вводные'!$B$297),0,AI99*IF('01_Вводные'!$B$239="Да",MeanMinAge19+AI204*SUMIF(ThresholdAge19,"&lt;"&amp;AI204,WeightedRevAge19)-SUMIF(ThresholdAge19,"&lt;"&amp;AI204,WeightedMinAge19),MAX(CapacityAge19*'01_Вводные'!$B$218*AI204,MeanMinAge19)))</f>
        <v/>
      </c>
      <c r="AJ127" s="190">
        <f>IF(OR(AJ99=0,19&lt;='01_Вводные'!$B$297),0,AJ99*IF('01_Вводные'!$B$239="Да",MeanMinAge19+AJ204*SUMIF(ThresholdAge19,"&lt;"&amp;AJ204,WeightedRevAge19)-SUMIF(ThresholdAge19,"&lt;"&amp;AJ204,WeightedMinAge19),MAX(CapacityAge19*'01_Вводные'!$B$218*AJ204,MeanMinAge19)))</f>
        <v/>
      </c>
      <c r="AK127" s="190">
        <f>IF(OR(AK99=0,19&lt;='01_Вводные'!$B$297),0,AK99*IF('01_Вводные'!$B$239="Да",MeanMinAge19+AK204*SUMIF(ThresholdAge19,"&lt;"&amp;AK204,WeightedRevAge19)-SUMIF(ThresholdAge19,"&lt;"&amp;AK204,WeightedMinAge19),MAX(CapacityAge19*'01_Вводные'!$B$218*AK204,MeanMinAge19)))</f>
        <v/>
      </c>
      <c r="AL127" s="190">
        <f>IF(OR(AL99=0,19&lt;='01_Вводные'!$B$297),0,AL99*IF('01_Вводные'!$B$239="Да",MeanMinAge19+AL204*SUMIF(ThresholdAge19,"&lt;"&amp;AL204,WeightedRevAge19)-SUMIF(ThresholdAge19,"&lt;"&amp;AL204,WeightedMinAge19),MAX(CapacityAge19*'01_Вводные'!$B$218*AL204,MeanMinAge19)))</f>
        <v/>
      </c>
      <c r="AM127" s="190">
        <f>IF(OR(AM99=0,19&lt;='01_Вводные'!$B$297),0,AM99*IF('01_Вводные'!$B$239="Да",MeanMinAge19+AM204*SUMIF(ThresholdAge19,"&lt;"&amp;AM204,WeightedRevAge19)-SUMIF(ThresholdAge19,"&lt;"&amp;AM204,WeightedMinAge19),MAX(CapacityAge19*'01_Вводные'!$B$218*AM204,MeanMinAge19)))</f>
        <v/>
      </c>
      <c r="AN127" s="190">
        <f>IF(OR(AN99=0,19&lt;='01_Вводные'!$B$297),0,AN99*IF('01_Вводные'!$B$239="Да",MeanMinAge19+AN204*SUMIF(ThresholdAge19,"&lt;"&amp;AN204,WeightedRevAge19)-SUMIF(ThresholdAge19,"&lt;"&amp;AN204,WeightedMinAge19),MAX(CapacityAge19*'01_Вводные'!$B$218*AN204,MeanMinAge19)))</f>
        <v/>
      </c>
      <c r="AO127" s="190">
        <f>IF(OR(AO99=0,19&lt;='01_Вводные'!$B$297),0,AO99*IF('01_Вводные'!$B$239="Да",MeanMinAge19+AO204*SUMIF(ThresholdAge19,"&lt;"&amp;AO204,WeightedRevAge19)-SUMIF(ThresholdAge19,"&lt;"&amp;AO204,WeightedMinAge19),MAX(CapacityAge19*'01_Вводные'!$B$218*AO204,MeanMinAge19)))</f>
        <v/>
      </c>
      <c r="AP127" s="190">
        <f>IF(OR(AP99=0,19&lt;='01_Вводные'!$B$297),0,AP99*IF('01_Вводные'!$B$239="Да",MeanMinAge19+AP204*SUMIF(ThresholdAge19,"&lt;"&amp;AP204,WeightedRevAge19)-SUMIF(ThresholdAge19,"&lt;"&amp;AP204,WeightedMinAge19),MAX(CapacityAge19*'01_Вводные'!$B$218*AP204,MeanMinAge19)))</f>
        <v/>
      </c>
      <c r="AQ127" s="190">
        <f>IF(OR(AQ99=0,19&lt;='01_Вводные'!$B$297),0,AQ99*IF('01_Вводные'!$B$239="Да",MeanMinAge19+AQ204*SUMIF(ThresholdAge19,"&lt;"&amp;AQ204,WeightedRevAge19)-SUMIF(ThresholdAge19,"&lt;"&amp;AQ204,WeightedMinAge19),MAX(CapacityAge19*'01_Вводные'!$B$218*AQ204,MeanMinAge19)))</f>
        <v/>
      </c>
      <c r="AR127" s="190">
        <f>IF(OR(AR99=0,19&lt;='01_Вводные'!$B$297),0,AR99*IF('01_Вводные'!$B$239="Да",MeanMinAge19+AR204*SUMIF(ThresholdAge19,"&lt;"&amp;AR204,WeightedRevAge19)-SUMIF(ThresholdAge19,"&lt;"&amp;AR204,WeightedMinAge19),MAX(CapacityAge19*'01_Вводные'!$B$218*AR204,MeanMinAge19)))</f>
        <v/>
      </c>
      <c r="AS127" s="190">
        <f>IF(OR(AS99=0,19&lt;='01_Вводные'!$B$297),0,AS99*IF('01_Вводные'!$B$239="Да",MeanMinAge19+AS204*SUMIF(ThresholdAge19,"&lt;"&amp;AS204,WeightedRevAge19)-SUMIF(ThresholdAge19,"&lt;"&amp;AS204,WeightedMinAge19),MAX(CapacityAge19*'01_Вводные'!$B$218*AS204,MeanMinAge19)))</f>
        <v/>
      </c>
      <c r="AT127" s="190">
        <f>IF(OR(AT99=0,19&lt;='01_Вводные'!$B$297),0,AT99*IF('01_Вводные'!$B$239="Да",MeanMinAge19+AT204*SUMIF(ThresholdAge19,"&lt;"&amp;AT204,WeightedRevAge19)-SUMIF(ThresholdAge19,"&lt;"&amp;AT204,WeightedMinAge19),MAX(CapacityAge19*'01_Вводные'!$B$218*AT204,MeanMinAge19)))</f>
        <v/>
      </c>
      <c r="AU127" s="190">
        <f>IF(OR(AU99=0,19&lt;='01_Вводные'!$B$297),0,AU99*IF('01_Вводные'!$B$239="Да",MeanMinAge19+AU204*SUMIF(ThresholdAge19,"&lt;"&amp;AU204,WeightedRevAge19)-SUMIF(ThresholdAge19,"&lt;"&amp;AU204,WeightedMinAge19),MAX(CapacityAge19*'01_Вводные'!$B$218*AU204,MeanMinAge19)))</f>
        <v/>
      </c>
      <c r="AV127" s="190">
        <f>IF(OR(AV99=0,19&lt;='01_Вводные'!$B$297),0,AV99*IF('01_Вводные'!$B$239="Да",MeanMinAge19+AV204*SUMIF(ThresholdAge19,"&lt;"&amp;AV204,WeightedRevAge19)-SUMIF(ThresholdAge19,"&lt;"&amp;AV204,WeightedMinAge19),MAX(CapacityAge19*'01_Вводные'!$B$218*AV204,MeanMinAge19)))</f>
        <v/>
      </c>
      <c r="AW127" s="190">
        <f>IF(OR(AW99=0,19&lt;='01_Вводные'!$B$297),0,AW99*IF('01_Вводные'!$B$239="Да",MeanMinAge19+AW204*SUMIF(ThresholdAge19,"&lt;"&amp;AW204,WeightedRevAge19)-SUMIF(ThresholdAge19,"&lt;"&amp;AW204,WeightedMinAge19),MAX(CapacityAge19*'01_Вводные'!$B$218*AW204,MeanMinAge19)))</f>
        <v/>
      </c>
      <c r="AX127" s="190">
        <f>IF(OR(AX99=0,19&lt;='01_Вводные'!$B$297),0,AX99*IF('01_Вводные'!$B$239="Да",MeanMinAge19+AX204*SUMIF(ThresholdAge19,"&lt;"&amp;AX204,WeightedRevAge19)-SUMIF(ThresholdAge19,"&lt;"&amp;AX204,WeightedMinAge19),MAX(CapacityAge19*'01_Вводные'!$B$218*AX204,MeanMinAge19)))</f>
        <v/>
      </c>
      <c r="AY127" s="190">
        <f>IF(OR(AY99=0,19&lt;='01_Вводные'!$B$297),0,AY99*IF('01_Вводные'!$B$239="Да",MeanMinAge19+AY204*SUMIF(ThresholdAge19,"&lt;"&amp;AY204,WeightedRevAge19)-SUMIF(ThresholdAge19,"&lt;"&amp;AY204,WeightedMinAge19),MAX(CapacityAge19*'01_Вводные'!$B$218*AY204,MeanMinAge19)))</f>
        <v/>
      </c>
      <c r="AZ127" s="190">
        <f>IF(OR(AZ99=0,19&lt;='01_Вводные'!$B$297),0,AZ99*IF('01_Вводные'!$B$239="Да",MeanMinAge19+AZ204*SUMIF(ThresholdAge19,"&lt;"&amp;AZ204,WeightedRevAge19)-SUMIF(ThresholdAge19,"&lt;"&amp;AZ204,WeightedMinAge19),MAX(CapacityAge19*'01_Вводные'!$B$218*AZ204,MeanMinAge19)))</f>
        <v/>
      </c>
      <c r="BA127" s="190">
        <f>IF(OR(BA99=0,19&lt;='01_Вводные'!$B$297),0,BA99*IF('01_Вводные'!$B$239="Да",MeanMinAge19+BA204*SUMIF(ThresholdAge19,"&lt;"&amp;BA204,WeightedRevAge19)-SUMIF(ThresholdAge19,"&lt;"&amp;BA204,WeightedMinAge19),MAX(CapacityAge19*'01_Вводные'!$B$218*BA204,MeanMinAge19)))</f>
        <v/>
      </c>
      <c r="BB127" s="190">
        <f>IF(OR(BB99=0,19&lt;='01_Вводные'!$B$297),0,BB99*IF('01_Вводные'!$B$239="Да",MeanMinAge19+BB204*SUMIF(ThresholdAge19,"&lt;"&amp;BB204,WeightedRevAge19)-SUMIF(ThresholdAge19,"&lt;"&amp;BB204,WeightedMinAge19),MAX(CapacityAge19*'01_Вводные'!$B$218*BB204,MeanMinAge19)))</f>
        <v/>
      </c>
      <c r="BC127" s="190">
        <f>IF(OR(BC99=0,19&lt;='01_Вводные'!$B$297),0,BC99*IF('01_Вводные'!$B$239="Да",MeanMinAge19+BC204*SUMIF(ThresholdAge19,"&lt;"&amp;BC204,WeightedRevAge19)-SUMIF(ThresholdAge19,"&lt;"&amp;BC204,WeightedMinAge19),MAX(CapacityAge19*'01_Вводные'!$B$218*BC204,MeanMinAge19)))</f>
        <v/>
      </c>
      <c r="BD127" s="190">
        <f>IF(OR(BD99=0,19&lt;='01_Вводные'!$B$297),0,BD99*IF('01_Вводные'!$B$239="Да",MeanMinAge19+BD204*SUMIF(ThresholdAge19,"&lt;"&amp;BD204,WeightedRevAge19)-SUMIF(ThresholdAge19,"&lt;"&amp;BD204,WeightedMinAge19),MAX(CapacityAge19*'01_Вводные'!$B$218*BD204,MeanMinAge19)))</f>
        <v/>
      </c>
      <c r="BE127" s="190">
        <f>IF(OR(BE99=0,19&lt;='01_Вводные'!$B$297),0,BE99*IF('01_Вводные'!$B$239="Да",MeanMinAge19+BE204*SUMIF(ThresholdAge19,"&lt;"&amp;BE204,WeightedRevAge19)-SUMIF(ThresholdAge19,"&lt;"&amp;BE204,WeightedMinAge19),MAX(CapacityAge19*'01_Вводные'!$B$218*BE204,MeanMinAge19)))</f>
        <v/>
      </c>
      <c r="BF127" s="190">
        <f>IF(OR(BF99=0,19&lt;='01_Вводные'!$B$297),0,BF99*IF('01_Вводные'!$B$239="Да",MeanMinAge19+BF204*SUMIF(ThresholdAge19,"&lt;"&amp;BF204,WeightedRevAge19)-SUMIF(ThresholdAge19,"&lt;"&amp;BF204,WeightedMinAge19),MAX(CapacityAge19*'01_Вводные'!$B$218*BF204,MeanMinAge19)))</f>
        <v/>
      </c>
      <c r="BG127" s="190">
        <f>IF(OR(BG99=0,19&lt;='01_Вводные'!$B$297),0,BG99*IF('01_Вводные'!$B$239="Да",MeanMinAge19+BG204*SUMIF(ThresholdAge19,"&lt;"&amp;BG204,WeightedRevAge19)-SUMIF(ThresholdAge19,"&lt;"&amp;BG204,WeightedMinAge19),MAX(CapacityAge19*'01_Вводные'!$B$218*BG204,MeanMinAge19)))</f>
        <v/>
      </c>
      <c r="BH127" s="190">
        <f>IF(OR(BH99=0,19&lt;='01_Вводные'!$B$297),0,BH99*IF('01_Вводные'!$B$239="Да",MeanMinAge19+BH204*SUMIF(ThresholdAge19,"&lt;"&amp;BH204,WeightedRevAge19)-SUMIF(ThresholdAge19,"&lt;"&amp;BH204,WeightedMinAge19),MAX(CapacityAge19*'01_Вводные'!$B$218*BH204,MeanMinAge19)))</f>
        <v/>
      </c>
      <c r="BI127" s="190">
        <f>IF(OR(BI99=0,19&lt;='01_Вводные'!$B$297),0,BI99*IF('01_Вводные'!$B$239="Да",MeanMinAge19+BI204*SUMIF(ThresholdAge19,"&lt;"&amp;BI204,WeightedRevAge19)-SUMIF(ThresholdAge19,"&lt;"&amp;BI204,WeightedMinAge19),MAX(CapacityAge19*'01_Вводные'!$B$218*BI204,MeanMinAge19)))</f>
        <v/>
      </c>
      <c r="BJ127" s="190">
        <f>IF(OR(BJ99=0,19&lt;='01_Вводные'!$B$297),0,BJ99*IF('01_Вводные'!$B$239="Да",MeanMinAge19+BJ204*SUMIF(ThresholdAge19,"&lt;"&amp;BJ204,WeightedRevAge19)-SUMIF(ThresholdAge19,"&lt;"&amp;BJ204,WeightedMinAge19),MAX(CapacityAge19*'01_Вводные'!$B$218*BJ204,MeanMinAge19)))</f>
        <v/>
      </c>
      <c r="BK127" s="190">
        <f>IF(OR(BK99=0,19&lt;='01_Вводные'!$B$297),0,BK99*IF('01_Вводные'!$B$239="Да",MeanMinAge19+BK204*SUMIF(ThresholdAge19,"&lt;"&amp;BK204,WeightedRevAge19)-SUMIF(ThresholdAge19,"&lt;"&amp;BK204,WeightedMinAge19),MAX(CapacityAge19*'01_Вводные'!$B$218*BK204,MeanMinAge19)))</f>
        <v/>
      </c>
      <c r="BL127" s="190">
        <f>IF(OR(BL99=0,19&lt;='01_Вводные'!$B$297),0,BL99*IF('01_Вводные'!$B$239="Да",MeanMinAge19+BL204*SUMIF(ThresholdAge19,"&lt;"&amp;BL204,WeightedRevAge19)-SUMIF(ThresholdAge19,"&lt;"&amp;BL204,WeightedMinAge19),MAX(CapacityAge19*'01_Вводные'!$B$218*BL204,MeanMinAge19)))</f>
        <v/>
      </c>
      <c r="BM127" s="190">
        <f>IF(OR(BM99=0,19&lt;='01_Вводные'!$B$297),0,BM99*IF('01_Вводные'!$B$239="Да",MeanMinAge19+BM204*SUMIF(ThresholdAge19,"&lt;"&amp;BM204,WeightedRevAge19)-SUMIF(ThresholdAge19,"&lt;"&amp;BM204,WeightedMinAge19),MAX(CapacityAge19*'01_Вводные'!$B$218*BM204,MeanMinAge19)))</f>
        <v/>
      </c>
      <c r="BN127" s="190">
        <f>IF(OR(BN99=0,19&lt;='01_Вводные'!$B$297),0,BN99*IF('01_Вводные'!$B$239="Да",MeanMinAge19+BN204*SUMIF(ThresholdAge19,"&lt;"&amp;BN204,WeightedRevAge19)-SUMIF(ThresholdAge19,"&lt;"&amp;BN204,WeightedMinAge19),MAX(CapacityAge19*'01_Вводные'!$B$218*BN204,MeanMinAge19)))</f>
        <v/>
      </c>
      <c r="BO127" s="190">
        <f>IF(OR(BO99=0,19&lt;='01_Вводные'!$B$297),0,BO99*IF('01_Вводные'!$B$239="Да",MeanMinAge19+BO204*SUMIF(ThresholdAge19,"&lt;"&amp;BO204,WeightedRevAge19)-SUMIF(ThresholdAge19,"&lt;"&amp;BO204,WeightedMinAge19),MAX(CapacityAge19*'01_Вводные'!$B$218*BO204,MeanMinAge19)))</f>
        <v/>
      </c>
    </row>
    <row r="128" hidden="1" outlineLevel="1">
      <c r="A128" t="inlineStr">
        <is>
          <t>20 мес.</t>
        </is>
      </c>
      <c r="B128" s="190">
        <f>IF(OR(B100=0,20&lt;='01_Вводные'!$B$297),0,B100*IF('01_Вводные'!$B$239="Да",MeanMinAge20+B204*SUMIF(ThresholdAge20,"&lt;"&amp;B204,WeightedRevAge20)-SUMIF(ThresholdAge20,"&lt;"&amp;B204,WeightedMinAge20),MAX(CapacityAge20*'01_Вводные'!$B$218*B204,MeanMinAge20)))</f>
        <v/>
      </c>
      <c r="C128" s="190">
        <f>IF(OR(C100=0,20&lt;='01_Вводные'!$B$297),0,C100*IF('01_Вводные'!$B$239="Да",MeanMinAge20+C204*SUMIF(ThresholdAge20,"&lt;"&amp;C204,WeightedRevAge20)-SUMIF(ThresholdAge20,"&lt;"&amp;C204,WeightedMinAge20),MAX(CapacityAge20*'01_Вводные'!$B$218*C204,MeanMinAge20)))</f>
        <v/>
      </c>
      <c r="D128" s="190">
        <f>IF(OR(D100=0,20&lt;='01_Вводные'!$B$297),0,D100*IF('01_Вводные'!$B$239="Да",MeanMinAge20+D204*SUMIF(ThresholdAge20,"&lt;"&amp;D204,WeightedRevAge20)-SUMIF(ThresholdAge20,"&lt;"&amp;D204,WeightedMinAge20),MAX(CapacityAge20*'01_Вводные'!$B$218*D204,MeanMinAge20)))</f>
        <v/>
      </c>
      <c r="E128" s="190">
        <f>IF(OR(E100=0,20&lt;='01_Вводные'!$B$297),0,E100*IF('01_Вводные'!$B$239="Да",MeanMinAge20+E204*SUMIF(ThresholdAge20,"&lt;"&amp;E204,WeightedRevAge20)-SUMIF(ThresholdAge20,"&lt;"&amp;E204,WeightedMinAge20),MAX(CapacityAge20*'01_Вводные'!$B$218*E204,MeanMinAge20)))</f>
        <v/>
      </c>
      <c r="F128" s="190">
        <f>IF(OR(F100=0,20&lt;='01_Вводные'!$B$297),0,F100*IF('01_Вводные'!$B$239="Да",MeanMinAge20+F204*SUMIF(ThresholdAge20,"&lt;"&amp;F204,WeightedRevAge20)-SUMIF(ThresholdAge20,"&lt;"&amp;F204,WeightedMinAge20),MAX(CapacityAge20*'01_Вводные'!$B$218*F204,MeanMinAge20)))</f>
        <v/>
      </c>
      <c r="G128" s="190">
        <f>IF(OR(G100=0,20&lt;='01_Вводные'!$B$297),0,G100*IF('01_Вводные'!$B$239="Да",MeanMinAge20+G204*SUMIF(ThresholdAge20,"&lt;"&amp;G204,WeightedRevAge20)-SUMIF(ThresholdAge20,"&lt;"&amp;G204,WeightedMinAge20),MAX(CapacityAge20*'01_Вводные'!$B$218*G204,MeanMinAge20)))</f>
        <v/>
      </c>
      <c r="H128" s="190">
        <f>IF(OR(H100=0,20&lt;='01_Вводные'!$B$297),0,H100*IF('01_Вводные'!$B$239="Да",MeanMinAge20+H204*SUMIF(ThresholdAge20,"&lt;"&amp;H204,WeightedRevAge20)-SUMIF(ThresholdAge20,"&lt;"&amp;H204,WeightedMinAge20),MAX(CapacityAge20*'01_Вводные'!$B$218*H204,MeanMinAge20)))</f>
        <v/>
      </c>
      <c r="I128" s="190">
        <f>IF(OR(I100=0,20&lt;='01_Вводные'!$B$297),0,I100*IF('01_Вводные'!$B$239="Да",MeanMinAge20+I204*SUMIF(ThresholdAge20,"&lt;"&amp;I204,WeightedRevAge20)-SUMIF(ThresholdAge20,"&lt;"&amp;I204,WeightedMinAge20),MAX(CapacityAge20*'01_Вводные'!$B$218*I204,MeanMinAge20)))</f>
        <v/>
      </c>
      <c r="J128" s="190">
        <f>IF(OR(J100=0,20&lt;='01_Вводные'!$B$297),0,J100*IF('01_Вводные'!$B$239="Да",MeanMinAge20+J204*SUMIF(ThresholdAge20,"&lt;"&amp;J204,WeightedRevAge20)-SUMIF(ThresholdAge20,"&lt;"&amp;J204,WeightedMinAge20),MAX(CapacityAge20*'01_Вводные'!$B$218*J204,MeanMinAge20)))</f>
        <v/>
      </c>
      <c r="K128" s="190">
        <f>IF(OR(K100=0,20&lt;='01_Вводные'!$B$297),0,K100*IF('01_Вводные'!$B$239="Да",MeanMinAge20+K204*SUMIF(ThresholdAge20,"&lt;"&amp;K204,WeightedRevAge20)-SUMIF(ThresholdAge20,"&lt;"&amp;K204,WeightedMinAge20),MAX(CapacityAge20*'01_Вводные'!$B$218*K204,MeanMinAge20)))</f>
        <v/>
      </c>
      <c r="L128" s="190">
        <f>IF(OR(L100=0,20&lt;='01_Вводные'!$B$297),0,L100*IF('01_Вводные'!$B$239="Да",MeanMinAge20+L204*SUMIF(ThresholdAge20,"&lt;"&amp;L204,WeightedRevAge20)-SUMIF(ThresholdAge20,"&lt;"&amp;L204,WeightedMinAge20),MAX(CapacityAge20*'01_Вводные'!$B$218*L204,MeanMinAge20)))</f>
        <v/>
      </c>
      <c r="M128" s="190">
        <f>IF(OR(M100=0,20&lt;='01_Вводные'!$B$297),0,M100*IF('01_Вводные'!$B$239="Да",MeanMinAge20+M204*SUMIF(ThresholdAge20,"&lt;"&amp;M204,WeightedRevAge20)-SUMIF(ThresholdAge20,"&lt;"&amp;M204,WeightedMinAge20),MAX(CapacityAge20*'01_Вводные'!$B$218*M204,MeanMinAge20)))</f>
        <v/>
      </c>
      <c r="N128" s="190">
        <f>IF(OR(N100=0,20&lt;='01_Вводные'!$B$297),0,N100*IF('01_Вводные'!$B$239="Да",MeanMinAge20+N204*SUMIF(ThresholdAge20,"&lt;"&amp;N204,WeightedRevAge20)-SUMIF(ThresholdAge20,"&lt;"&amp;N204,WeightedMinAge20),MAX(CapacityAge20*'01_Вводные'!$B$218*N204,MeanMinAge20)))</f>
        <v/>
      </c>
      <c r="O128" s="190">
        <f>IF(OR(O100=0,20&lt;='01_Вводные'!$B$297),0,O100*IF('01_Вводные'!$B$239="Да",MeanMinAge20+O204*SUMIF(ThresholdAge20,"&lt;"&amp;O204,WeightedRevAge20)-SUMIF(ThresholdAge20,"&lt;"&amp;O204,WeightedMinAge20),MAX(CapacityAge20*'01_Вводные'!$B$218*O204,MeanMinAge20)))</f>
        <v/>
      </c>
      <c r="P128" s="190">
        <f>IF(OR(P100=0,20&lt;='01_Вводные'!$B$297),0,P100*IF('01_Вводные'!$B$239="Да",MeanMinAge20+P204*SUMIF(ThresholdAge20,"&lt;"&amp;P204,WeightedRevAge20)-SUMIF(ThresholdAge20,"&lt;"&amp;P204,WeightedMinAge20),MAX(CapacityAge20*'01_Вводные'!$B$218*P204,MeanMinAge20)))</f>
        <v/>
      </c>
      <c r="Q128" s="190">
        <f>IF(OR(Q100=0,20&lt;='01_Вводные'!$B$297),0,Q100*IF('01_Вводные'!$B$239="Да",MeanMinAge20+Q204*SUMIF(ThresholdAge20,"&lt;"&amp;Q204,WeightedRevAge20)-SUMIF(ThresholdAge20,"&lt;"&amp;Q204,WeightedMinAge20),MAX(CapacityAge20*'01_Вводные'!$B$218*Q204,MeanMinAge20)))</f>
        <v/>
      </c>
      <c r="R128" s="190">
        <f>IF(OR(R100=0,20&lt;='01_Вводные'!$B$297),0,R100*IF('01_Вводные'!$B$239="Да",MeanMinAge20+R204*SUMIF(ThresholdAge20,"&lt;"&amp;R204,WeightedRevAge20)-SUMIF(ThresholdAge20,"&lt;"&amp;R204,WeightedMinAge20),MAX(CapacityAge20*'01_Вводные'!$B$218*R204,MeanMinAge20)))</f>
        <v/>
      </c>
      <c r="S128" s="190">
        <f>IF(OR(S100=0,20&lt;='01_Вводные'!$B$297),0,S100*IF('01_Вводные'!$B$239="Да",MeanMinAge20+S204*SUMIF(ThresholdAge20,"&lt;"&amp;S204,WeightedRevAge20)-SUMIF(ThresholdAge20,"&lt;"&amp;S204,WeightedMinAge20),MAX(CapacityAge20*'01_Вводные'!$B$218*S204,MeanMinAge20)))</f>
        <v/>
      </c>
      <c r="T128" s="190">
        <f>IF(OR(T100=0,20&lt;='01_Вводные'!$B$297),0,T100*IF('01_Вводные'!$B$239="Да",MeanMinAge20+T204*SUMIF(ThresholdAge20,"&lt;"&amp;T204,WeightedRevAge20)-SUMIF(ThresholdAge20,"&lt;"&amp;T204,WeightedMinAge20),MAX(CapacityAge20*'01_Вводные'!$B$218*T204,MeanMinAge20)))</f>
        <v/>
      </c>
      <c r="U128" s="190">
        <f>IF(OR(U100=0,20&lt;='01_Вводные'!$B$297),0,U100*IF('01_Вводные'!$B$239="Да",MeanMinAge20+U204*SUMIF(ThresholdAge20,"&lt;"&amp;U204,WeightedRevAge20)-SUMIF(ThresholdAge20,"&lt;"&amp;U204,WeightedMinAge20),MAX(CapacityAge20*'01_Вводные'!$B$218*U204,MeanMinAge20)))</f>
        <v/>
      </c>
      <c r="V128" s="190">
        <f>IF(OR(V100=0,20&lt;='01_Вводные'!$B$297),0,V100*IF('01_Вводные'!$B$239="Да",MeanMinAge20+V204*SUMIF(ThresholdAge20,"&lt;"&amp;V204,WeightedRevAge20)-SUMIF(ThresholdAge20,"&lt;"&amp;V204,WeightedMinAge20),MAX(CapacityAge20*'01_Вводные'!$B$218*V204,MeanMinAge20)))</f>
        <v/>
      </c>
      <c r="W128" s="190">
        <f>IF(OR(W100=0,20&lt;='01_Вводные'!$B$297),0,W100*IF('01_Вводные'!$B$239="Да",MeanMinAge20+W204*SUMIF(ThresholdAge20,"&lt;"&amp;W204,WeightedRevAge20)-SUMIF(ThresholdAge20,"&lt;"&amp;W204,WeightedMinAge20),MAX(CapacityAge20*'01_Вводные'!$B$218*W204,MeanMinAge20)))</f>
        <v/>
      </c>
      <c r="X128" s="190">
        <f>IF(OR(X100=0,20&lt;='01_Вводные'!$B$297),0,X100*IF('01_Вводные'!$B$239="Да",MeanMinAge20+X204*SUMIF(ThresholdAge20,"&lt;"&amp;X204,WeightedRevAge20)-SUMIF(ThresholdAge20,"&lt;"&amp;X204,WeightedMinAge20),MAX(CapacityAge20*'01_Вводные'!$B$218*X204,MeanMinAge20)))</f>
        <v/>
      </c>
      <c r="Y128" s="190">
        <f>IF(OR(Y100=0,20&lt;='01_Вводные'!$B$297),0,Y100*IF('01_Вводные'!$B$239="Да",MeanMinAge20+Y204*SUMIF(ThresholdAge20,"&lt;"&amp;Y204,WeightedRevAge20)-SUMIF(ThresholdAge20,"&lt;"&amp;Y204,WeightedMinAge20),MAX(CapacityAge20*'01_Вводные'!$B$218*Y204,MeanMinAge20)))</f>
        <v/>
      </c>
      <c r="Z128" s="190">
        <f>IF(OR(Z100=0,20&lt;='01_Вводные'!$B$297),0,Z100*IF('01_Вводные'!$B$239="Да",MeanMinAge20+Z204*SUMIF(ThresholdAge20,"&lt;"&amp;Z204,WeightedRevAge20)-SUMIF(ThresholdAge20,"&lt;"&amp;Z204,WeightedMinAge20),MAX(CapacityAge20*'01_Вводные'!$B$218*Z204,MeanMinAge20)))</f>
        <v/>
      </c>
      <c r="AA128" s="190">
        <f>IF(OR(AA100=0,20&lt;='01_Вводные'!$B$297),0,AA100*IF('01_Вводные'!$B$239="Да",MeanMinAge20+AA204*SUMIF(ThresholdAge20,"&lt;"&amp;AA204,WeightedRevAge20)-SUMIF(ThresholdAge20,"&lt;"&amp;AA204,WeightedMinAge20),MAX(CapacityAge20*'01_Вводные'!$B$218*AA204,MeanMinAge20)))</f>
        <v/>
      </c>
      <c r="AB128" s="190">
        <f>IF(OR(AB100=0,20&lt;='01_Вводные'!$B$297),0,AB100*IF('01_Вводные'!$B$239="Да",MeanMinAge20+AB204*SUMIF(ThresholdAge20,"&lt;"&amp;AB204,WeightedRevAge20)-SUMIF(ThresholdAge20,"&lt;"&amp;AB204,WeightedMinAge20),MAX(CapacityAge20*'01_Вводные'!$B$218*AB204,MeanMinAge20)))</f>
        <v/>
      </c>
      <c r="AC128" s="190">
        <f>IF(OR(AC100=0,20&lt;='01_Вводные'!$B$297),0,AC100*IF('01_Вводные'!$B$239="Да",MeanMinAge20+AC204*SUMIF(ThresholdAge20,"&lt;"&amp;AC204,WeightedRevAge20)-SUMIF(ThresholdAge20,"&lt;"&amp;AC204,WeightedMinAge20),MAX(CapacityAge20*'01_Вводные'!$B$218*AC204,MeanMinAge20)))</f>
        <v/>
      </c>
      <c r="AD128" s="190">
        <f>IF(OR(AD100=0,20&lt;='01_Вводные'!$B$297),0,AD100*IF('01_Вводные'!$B$239="Да",MeanMinAge20+AD204*SUMIF(ThresholdAge20,"&lt;"&amp;AD204,WeightedRevAge20)-SUMIF(ThresholdAge20,"&lt;"&amp;AD204,WeightedMinAge20),MAX(CapacityAge20*'01_Вводные'!$B$218*AD204,MeanMinAge20)))</f>
        <v/>
      </c>
      <c r="AE128" s="190">
        <f>IF(OR(AE100=0,20&lt;='01_Вводные'!$B$297),0,AE100*IF('01_Вводные'!$B$239="Да",MeanMinAge20+AE204*SUMIF(ThresholdAge20,"&lt;"&amp;AE204,WeightedRevAge20)-SUMIF(ThresholdAge20,"&lt;"&amp;AE204,WeightedMinAge20),MAX(CapacityAge20*'01_Вводные'!$B$218*AE204,MeanMinAge20)))</f>
        <v/>
      </c>
      <c r="AF128" s="190">
        <f>IF(OR(AF100=0,20&lt;='01_Вводные'!$B$297),0,AF100*IF('01_Вводные'!$B$239="Да",MeanMinAge20+AF204*SUMIF(ThresholdAge20,"&lt;"&amp;AF204,WeightedRevAge20)-SUMIF(ThresholdAge20,"&lt;"&amp;AF204,WeightedMinAge20),MAX(CapacityAge20*'01_Вводные'!$B$218*AF204,MeanMinAge20)))</f>
        <v/>
      </c>
      <c r="AG128" s="190">
        <f>IF(OR(AG100=0,20&lt;='01_Вводные'!$B$297),0,AG100*IF('01_Вводные'!$B$239="Да",MeanMinAge20+AG204*SUMIF(ThresholdAge20,"&lt;"&amp;AG204,WeightedRevAge20)-SUMIF(ThresholdAge20,"&lt;"&amp;AG204,WeightedMinAge20),MAX(CapacityAge20*'01_Вводные'!$B$218*AG204,MeanMinAge20)))</f>
        <v/>
      </c>
      <c r="AH128" s="190">
        <f>IF(OR(AH100=0,20&lt;='01_Вводные'!$B$297),0,AH100*IF('01_Вводные'!$B$239="Да",MeanMinAge20+AH204*SUMIF(ThresholdAge20,"&lt;"&amp;AH204,WeightedRevAge20)-SUMIF(ThresholdAge20,"&lt;"&amp;AH204,WeightedMinAge20),MAX(CapacityAge20*'01_Вводные'!$B$218*AH204,MeanMinAge20)))</f>
        <v/>
      </c>
      <c r="AI128" s="190">
        <f>IF(OR(AI100=0,20&lt;='01_Вводные'!$B$297),0,AI100*IF('01_Вводные'!$B$239="Да",MeanMinAge20+AI204*SUMIF(ThresholdAge20,"&lt;"&amp;AI204,WeightedRevAge20)-SUMIF(ThresholdAge20,"&lt;"&amp;AI204,WeightedMinAge20),MAX(CapacityAge20*'01_Вводные'!$B$218*AI204,MeanMinAge20)))</f>
        <v/>
      </c>
      <c r="AJ128" s="190">
        <f>IF(OR(AJ100=0,20&lt;='01_Вводные'!$B$297),0,AJ100*IF('01_Вводные'!$B$239="Да",MeanMinAge20+AJ204*SUMIF(ThresholdAge20,"&lt;"&amp;AJ204,WeightedRevAge20)-SUMIF(ThresholdAge20,"&lt;"&amp;AJ204,WeightedMinAge20),MAX(CapacityAge20*'01_Вводные'!$B$218*AJ204,MeanMinAge20)))</f>
        <v/>
      </c>
      <c r="AK128" s="190">
        <f>IF(OR(AK100=0,20&lt;='01_Вводные'!$B$297),0,AK100*IF('01_Вводные'!$B$239="Да",MeanMinAge20+AK204*SUMIF(ThresholdAge20,"&lt;"&amp;AK204,WeightedRevAge20)-SUMIF(ThresholdAge20,"&lt;"&amp;AK204,WeightedMinAge20),MAX(CapacityAge20*'01_Вводные'!$B$218*AK204,MeanMinAge20)))</f>
        <v/>
      </c>
      <c r="AL128" s="190">
        <f>IF(OR(AL100=0,20&lt;='01_Вводные'!$B$297),0,AL100*IF('01_Вводные'!$B$239="Да",MeanMinAge20+AL204*SUMIF(ThresholdAge20,"&lt;"&amp;AL204,WeightedRevAge20)-SUMIF(ThresholdAge20,"&lt;"&amp;AL204,WeightedMinAge20),MAX(CapacityAge20*'01_Вводные'!$B$218*AL204,MeanMinAge20)))</f>
        <v/>
      </c>
      <c r="AM128" s="190">
        <f>IF(OR(AM100=0,20&lt;='01_Вводные'!$B$297),0,AM100*IF('01_Вводные'!$B$239="Да",MeanMinAge20+AM204*SUMIF(ThresholdAge20,"&lt;"&amp;AM204,WeightedRevAge20)-SUMIF(ThresholdAge20,"&lt;"&amp;AM204,WeightedMinAge20),MAX(CapacityAge20*'01_Вводные'!$B$218*AM204,MeanMinAge20)))</f>
        <v/>
      </c>
      <c r="AN128" s="190">
        <f>IF(OR(AN100=0,20&lt;='01_Вводные'!$B$297),0,AN100*IF('01_Вводные'!$B$239="Да",MeanMinAge20+AN204*SUMIF(ThresholdAge20,"&lt;"&amp;AN204,WeightedRevAge20)-SUMIF(ThresholdAge20,"&lt;"&amp;AN204,WeightedMinAge20),MAX(CapacityAge20*'01_Вводные'!$B$218*AN204,MeanMinAge20)))</f>
        <v/>
      </c>
      <c r="AO128" s="190">
        <f>IF(OR(AO100=0,20&lt;='01_Вводные'!$B$297),0,AO100*IF('01_Вводные'!$B$239="Да",MeanMinAge20+AO204*SUMIF(ThresholdAge20,"&lt;"&amp;AO204,WeightedRevAge20)-SUMIF(ThresholdAge20,"&lt;"&amp;AO204,WeightedMinAge20),MAX(CapacityAge20*'01_Вводные'!$B$218*AO204,MeanMinAge20)))</f>
        <v/>
      </c>
      <c r="AP128" s="190">
        <f>IF(OR(AP100=0,20&lt;='01_Вводные'!$B$297),0,AP100*IF('01_Вводные'!$B$239="Да",MeanMinAge20+AP204*SUMIF(ThresholdAge20,"&lt;"&amp;AP204,WeightedRevAge20)-SUMIF(ThresholdAge20,"&lt;"&amp;AP204,WeightedMinAge20),MAX(CapacityAge20*'01_Вводные'!$B$218*AP204,MeanMinAge20)))</f>
        <v/>
      </c>
      <c r="AQ128" s="190">
        <f>IF(OR(AQ100=0,20&lt;='01_Вводные'!$B$297),0,AQ100*IF('01_Вводные'!$B$239="Да",MeanMinAge20+AQ204*SUMIF(ThresholdAge20,"&lt;"&amp;AQ204,WeightedRevAge20)-SUMIF(ThresholdAge20,"&lt;"&amp;AQ204,WeightedMinAge20),MAX(CapacityAge20*'01_Вводные'!$B$218*AQ204,MeanMinAge20)))</f>
        <v/>
      </c>
      <c r="AR128" s="190">
        <f>IF(OR(AR100=0,20&lt;='01_Вводные'!$B$297),0,AR100*IF('01_Вводные'!$B$239="Да",MeanMinAge20+AR204*SUMIF(ThresholdAge20,"&lt;"&amp;AR204,WeightedRevAge20)-SUMIF(ThresholdAge20,"&lt;"&amp;AR204,WeightedMinAge20),MAX(CapacityAge20*'01_Вводные'!$B$218*AR204,MeanMinAge20)))</f>
        <v/>
      </c>
      <c r="AS128" s="190">
        <f>IF(OR(AS100=0,20&lt;='01_Вводные'!$B$297),0,AS100*IF('01_Вводные'!$B$239="Да",MeanMinAge20+AS204*SUMIF(ThresholdAge20,"&lt;"&amp;AS204,WeightedRevAge20)-SUMIF(ThresholdAge20,"&lt;"&amp;AS204,WeightedMinAge20),MAX(CapacityAge20*'01_Вводные'!$B$218*AS204,MeanMinAge20)))</f>
        <v/>
      </c>
      <c r="AT128" s="190">
        <f>IF(OR(AT100=0,20&lt;='01_Вводные'!$B$297),0,AT100*IF('01_Вводные'!$B$239="Да",MeanMinAge20+AT204*SUMIF(ThresholdAge20,"&lt;"&amp;AT204,WeightedRevAge20)-SUMIF(ThresholdAge20,"&lt;"&amp;AT204,WeightedMinAge20),MAX(CapacityAge20*'01_Вводные'!$B$218*AT204,MeanMinAge20)))</f>
        <v/>
      </c>
      <c r="AU128" s="190">
        <f>IF(OR(AU100=0,20&lt;='01_Вводные'!$B$297),0,AU100*IF('01_Вводные'!$B$239="Да",MeanMinAge20+AU204*SUMIF(ThresholdAge20,"&lt;"&amp;AU204,WeightedRevAge20)-SUMIF(ThresholdAge20,"&lt;"&amp;AU204,WeightedMinAge20),MAX(CapacityAge20*'01_Вводные'!$B$218*AU204,MeanMinAge20)))</f>
        <v/>
      </c>
      <c r="AV128" s="190">
        <f>IF(OR(AV100=0,20&lt;='01_Вводные'!$B$297),0,AV100*IF('01_Вводные'!$B$239="Да",MeanMinAge20+AV204*SUMIF(ThresholdAge20,"&lt;"&amp;AV204,WeightedRevAge20)-SUMIF(ThresholdAge20,"&lt;"&amp;AV204,WeightedMinAge20),MAX(CapacityAge20*'01_Вводные'!$B$218*AV204,MeanMinAge20)))</f>
        <v/>
      </c>
      <c r="AW128" s="190">
        <f>IF(OR(AW100=0,20&lt;='01_Вводные'!$B$297),0,AW100*IF('01_Вводные'!$B$239="Да",MeanMinAge20+AW204*SUMIF(ThresholdAge20,"&lt;"&amp;AW204,WeightedRevAge20)-SUMIF(ThresholdAge20,"&lt;"&amp;AW204,WeightedMinAge20),MAX(CapacityAge20*'01_Вводные'!$B$218*AW204,MeanMinAge20)))</f>
        <v/>
      </c>
      <c r="AX128" s="190">
        <f>IF(OR(AX100=0,20&lt;='01_Вводные'!$B$297),0,AX100*IF('01_Вводные'!$B$239="Да",MeanMinAge20+AX204*SUMIF(ThresholdAge20,"&lt;"&amp;AX204,WeightedRevAge20)-SUMIF(ThresholdAge20,"&lt;"&amp;AX204,WeightedMinAge20),MAX(CapacityAge20*'01_Вводные'!$B$218*AX204,MeanMinAge20)))</f>
        <v/>
      </c>
      <c r="AY128" s="190">
        <f>IF(OR(AY100=0,20&lt;='01_Вводные'!$B$297),0,AY100*IF('01_Вводные'!$B$239="Да",MeanMinAge20+AY204*SUMIF(ThresholdAge20,"&lt;"&amp;AY204,WeightedRevAge20)-SUMIF(ThresholdAge20,"&lt;"&amp;AY204,WeightedMinAge20),MAX(CapacityAge20*'01_Вводные'!$B$218*AY204,MeanMinAge20)))</f>
        <v/>
      </c>
      <c r="AZ128" s="190">
        <f>IF(OR(AZ100=0,20&lt;='01_Вводные'!$B$297),0,AZ100*IF('01_Вводные'!$B$239="Да",MeanMinAge20+AZ204*SUMIF(ThresholdAge20,"&lt;"&amp;AZ204,WeightedRevAge20)-SUMIF(ThresholdAge20,"&lt;"&amp;AZ204,WeightedMinAge20),MAX(CapacityAge20*'01_Вводные'!$B$218*AZ204,MeanMinAge20)))</f>
        <v/>
      </c>
      <c r="BA128" s="190">
        <f>IF(OR(BA100=0,20&lt;='01_Вводные'!$B$297),0,BA100*IF('01_Вводные'!$B$239="Да",MeanMinAge20+BA204*SUMIF(ThresholdAge20,"&lt;"&amp;BA204,WeightedRevAge20)-SUMIF(ThresholdAge20,"&lt;"&amp;BA204,WeightedMinAge20),MAX(CapacityAge20*'01_Вводные'!$B$218*BA204,MeanMinAge20)))</f>
        <v/>
      </c>
      <c r="BB128" s="190">
        <f>IF(OR(BB100=0,20&lt;='01_Вводные'!$B$297),0,BB100*IF('01_Вводные'!$B$239="Да",MeanMinAge20+BB204*SUMIF(ThresholdAge20,"&lt;"&amp;BB204,WeightedRevAge20)-SUMIF(ThresholdAge20,"&lt;"&amp;BB204,WeightedMinAge20),MAX(CapacityAge20*'01_Вводные'!$B$218*BB204,MeanMinAge20)))</f>
        <v/>
      </c>
      <c r="BC128" s="190">
        <f>IF(OR(BC100=0,20&lt;='01_Вводные'!$B$297),0,BC100*IF('01_Вводные'!$B$239="Да",MeanMinAge20+BC204*SUMIF(ThresholdAge20,"&lt;"&amp;BC204,WeightedRevAge20)-SUMIF(ThresholdAge20,"&lt;"&amp;BC204,WeightedMinAge20),MAX(CapacityAge20*'01_Вводные'!$B$218*BC204,MeanMinAge20)))</f>
        <v/>
      </c>
      <c r="BD128" s="190">
        <f>IF(OR(BD100=0,20&lt;='01_Вводные'!$B$297),0,BD100*IF('01_Вводные'!$B$239="Да",MeanMinAge20+BD204*SUMIF(ThresholdAge20,"&lt;"&amp;BD204,WeightedRevAge20)-SUMIF(ThresholdAge20,"&lt;"&amp;BD204,WeightedMinAge20),MAX(CapacityAge20*'01_Вводные'!$B$218*BD204,MeanMinAge20)))</f>
        <v/>
      </c>
      <c r="BE128" s="190">
        <f>IF(OR(BE100=0,20&lt;='01_Вводные'!$B$297),0,BE100*IF('01_Вводные'!$B$239="Да",MeanMinAge20+BE204*SUMIF(ThresholdAge20,"&lt;"&amp;BE204,WeightedRevAge20)-SUMIF(ThresholdAge20,"&lt;"&amp;BE204,WeightedMinAge20),MAX(CapacityAge20*'01_Вводные'!$B$218*BE204,MeanMinAge20)))</f>
        <v/>
      </c>
      <c r="BF128" s="190">
        <f>IF(OR(BF100=0,20&lt;='01_Вводные'!$B$297),0,BF100*IF('01_Вводные'!$B$239="Да",MeanMinAge20+BF204*SUMIF(ThresholdAge20,"&lt;"&amp;BF204,WeightedRevAge20)-SUMIF(ThresholdAge20,"&lt;"&amp;BF204,WeightedMinAge20),MAX(CapacityAge20*'01_Вводные'!$B$218*BF204,MeanMinAge20)))</f>
        <v/>
      </c>
      <c r="BG128" s="190">
        <f>IF(OR(BG100=0,20&lt;='01_Вводные'!$B$297),0,BG100*IF('01_Вводные'!$B$239="Да",MeanMinAge20+BG204*SUMIF(ThresholdAge20,"&lt;"&amp;BG204,WeightedRevAge20)-SUMIF(ThresholdAge20,"&lt;"&amp;BG204,WeightedMinAge20),MAX(CapacityAge20*'01_Вводные'!$B$218*BG204,MeanMinAge20)))</f>
        <v/>
      </c>
      <c r="BH128" s="190">
        <f>IF(OR(BH100=0,20&lt;='01_Вводные'!$B$297),0,BH100*IF('01_Вводные'!$B$239="Да",MeanMinAge20+BH204*SUMIF(ThresholdAge20,"&lt;"&amp;BH204,WeightedRevAge20)-SUMIF(ThresholdAge20,"&lt;"&amp;BH204,WeightedMinAge20),MAX(CapacityAge20*'01_Вводные'!$B$218*BH204,MeanMinAge20)))</f>
        <v/>
      </c>
      <c r="BI128" s="190">
        <f>IF(OR(BI100=0,20&lt;='01_Вводные'!$B$297),0,BI100*IF('01_Вводные'!$B$239="Да",MeanMinAge20+BI204*SUMIF(ThresholdAge20,"&lt;"&amp;BI204,WeightedRevAge20)-SUMIF(ThresholdAge20,"&lt;"&amp;BI204,WeightedMinAge20),MAX(CapacityAge20*'01_Вводные'!$B$218*BI204,MeanMinAge20)))</f>
        <v/>
      </c>
      <c r="BJ128" s="190">
        <f>IF(OR(BJ100=0,20&lt;='01_Вводные'!$B$297),0,BJ100*IF('01_Вводные'!$B$239="Да",MeanMinAge20+BJ204*SUMIF(ThresholdAge20,"&lt;"&amp;BJ204,WeightedRevAge20)-SUMIF(ThresholdAge20,"&lt;"&amp;BJ204,WeightedMinAge20),MAX(CapacityAge20*'01_Вводные'!$B$218*BJ204,MeanMinAge20)))</f>
        <v/>
      </c>
      <c r="BK128" s="190">
        <f>IF(OR(BK100=0,20&lt;='01_Вводные'!$B$297),0,BK100*IF('01_Вводные'!$B$239="Да",MeanMinAge20+BK204*SUMIF(ThresholdAge20,"&lt;"&amp;BK204,WeightedRevAge20)-SUMIF(ThresholdAge20,"&lt;"&amp;BK204,WeightedMinAge20),MAX(CapacityAge20*'01_Вводные'!$B$218*BK204,MeanMinAge20)))</f>
        <v/>
      </c>
      <c r="BL128" s="190">
        <f>IF(OR(BL100=0,20&lt;='01_Вводные'!$B$297),0,BL100*IF('01_Вводные'!$B$239="Да",MeanMinAge20+BL204*SUMIF(ThresholdAge20,"&lt;"&amp;BL204,WeightedRevAge20)-SUMIF(ThresholdAge20,"&lt;"&amp;BL204,WeightedMinAge20),MAX(CapacityAge20*'01_Вводные'!$B$218*BL204,MeanMinAge20)))</f>
        <v/>
      </c>
      <c r="BM128" s="190">
        <f>IF(OR(BM100=0,20&lt;='01_Вводные'!$B$297),0,BM100*IF('01_Вводные'!$B$239="Да",MeanMinAge20+BM204*SUMIF(ThresholdAge20,"&lt;"&amp;BM204,WeightedRevAge20)-SUMIF(ThresholdAge20,"&lt;"&amp;BM204,WeightedMinAge20),MAX(CapacityAge20*'01_Вводные'!$B$218*BM204,MeanMinAge20)))</f>
        <v/>
      </c>
      <c r="BN128" s="190">
        <f>IF(OR(BN100=0,20&lt;='01_Вводные'!$B$297),0,BN100*IF('01_Вводные'!$B$239="Да",MeanMinAge20+BN204*SUMIF(ThresholdAge20,"&lt;"&amp;BN204,WeightedRevAge20)-SUMIF(ThresholdAge20,"&lt;"&amp;BN204,WeightedMinAge20),MAX(CapacityAge20*'01_Вводные'!$B$218*BN204,MeanMinAge20)))</f>
        <v/>
      </c>
      <c r="BO128" s="190">
        <f>IF(OR(BO100=0,20&lt;='01_Вводные'!$B$297),0,BO100*IF('01_Вводные'!$B$239="Да",MeanMinAge20+BO204*SUMIF(ThresholdAge20,"&lt;"&amp;BO204,WeightedRevAge20)-SUMIF(ThresholdAge20,"&lt;"&amp;BO204,WeightedMinAge20),MAX(CapacityAge20*'01_Вводные'!$B$218*BO204,MeanMinAge20)))</f>
        <v/>
      </c>
    </row>
    <row r="129" hidden="1" outlineLevel="1">
      <c r="A129" t="inlineStr">
        <is>
          <t>21 мес.</t>
        </is>
      </c>
      <c r="B129" s="190">
        <f>IF(OR(B101=0,21&lt;='01_Вводные'!$B$297),0,B101*IF('01_Вводные'!$B$239="Да",MeanMinAge21+B204*SUMIF(ThresholdAge21,"&lt;"&amp;B204,WeightedRevAge21)-SUMIF(ThresholdAge21,"&lt;"&amp;B204,WeightedMinAge21),MAX(CapacityAge21*'01_Вводные'!$B$218*B204,MeanMinAge21)))</f>
        <v/>
      </c>
      <c r="C129" s="190">
        <f>IF(OR(C101=0,21&lt;='01_Вводные'!$B$297),0,C101*IF('01_Вводные'!$B$239="Да",MeanMinAge21+C204*SUMIF(ThresholdAge21,"&lt;"&amp;C204,WeightedRevAge21)-SUMIF(ThresholdAge21,"&lt;"&amp;C204,WeightedMinAge21),MAX(CapacityAge21*'01_Вводные'!$B$218*C204,MeanMinAge21)))</f>
        <v/>
      </c>
      <c r="D129" s="190">
        <f>IF(OR(D101=0,21&lt;='01_Вводные'!$B$297),0,D101*IF('01_Вводные'!$B$239="Да",MeanMinAge21+D204*SUMIF(ThresholdAge21,"&lt;"&amp;D204,WeightedRevAge21)-SUMIF(ThresholdAge21,"&lt;"&amp;D204,WeightedMinAge21),MAX(CapacityAge21*'01_Вводные'!$B$218*D204,MeanMinAge21)))</f>
        <v/>
      </c>
      <c r="E129" s="190">
        <f>IF(OR(E101=0,21&lt;='01_Вводные'!$B$297),0,E101*IF('01_Вводные'!$B$239="Да",MeanMinAge21+E204*SUMIF(ThresholdAge21,"&lt;"&amp;E204,WeightedRevAge21)-SUMIF(ThresholdAge21,"&lt;"&amp;E204,WeightedMinAge21),MAX(CapacityAge21*'01_Вводные'!$B$218*E204,MeanMinAge21)))</f>
        <v/>
      </c>
      <c r="F129" s="190">
        <f>IF(OR(F101=0,21&lt;='01_Вводные'!$B$297),0,F101*IF('01_Вводные'!$B$239="Да",MeanMinAge21+F204*SUMIF(ThresholdAge21,"&lt;"&amp;F204,WeightedRevAge21)-SUMIF(ThresholdAge21,"&lt;"&amp;F204,WeightedMinAge21),MAX(CapacityAge21*'01_Вводные'!$B$218*F204,MeanMinAge21)))</f>
        <v/>
      </c>
      <c r="G129" s="190">
        <f>IF(OR(G101=0,21&lt;='01_Вводные'!$B$297),0,G101*IF('01_Вводные'!$B$239="Да",MeanMinAge21+G204*SUMIF(ThresholdAge21,"&lt;"&amp;G204,WeightedRevAge21)-SUMIF(ThresholdAge21,"&lt;"&amp;G204,WeightedMinAge21),MAX(CapacityAge21*'01_Вводные'!$B$218*G204,MeanMinAge21)))</f>
        <v/>
      </c>
      <c r="H129" s="190">
        <f>IF(OR(H101=0,21&lt;='01_Вводные'!$B$297),0,H101*IF('01_Вводные'!$B$239="Да",MeanMinAge21+H204*SUMIF(ThresholdAge21,"&lt;"&amp;H204,WeightedRevAge21)-SUMIF(ThresholdAge21,"&lt;"&amp;H204,WeightedMinAge21),MAX(CapacityAge21*'01_Вводные'!$B$218*H204,MeanMinAge21)))</f>
        <v/>
      </c>
      <c r="I129" s="190">
        <f>IF(OR(I101=0,21&lt;='01_Вводные'!$B$297),0,I101*IF('01_Вводные'!$B$239="Да",MeanMinAge21+I204*SUMIF(ThresholdAge21,"&lt;"&amp;I204,WeightedRevAge21)-SUMIF(ThresholdAge21,"&lt;"&amp;I204,WeightedMinAge21),MAX(CapacityAge21*'01_Вводные'!$B$218*I204,MeanMinAge21)))</f>
        <v/>
      </c>
      <c r="J129" s="190">
        <f>IF(OR(J101=0,21&lt;='01_Вводные'!$B$297),0,J101*IF('01_Вводные'!$B$239="Да",MeanMinAge21+J204*SUMIF(ThresholdAge21,"&lt;"&amp;J204,WeightedRevAge21)-SUMIF(ThresholdAge21,"&lt;"&amp;J204,WeightedMinAge21),MAX(CapacityAge21*'01_Вводные'!$B$218*J204,MeanMinAge21)))</f>
        <v/>
      </c>
      <c r="K129" s="190">
        <f>IF(OR(K101=0,21&lt;='01_Вводные'!$B$297),0,K101*IF('01_Вводные'!$B$239="Да",MeanMinAge21+K204*SUMIF(ThresholdAge21,"&lt;"&amp;K204,WeightedRevAge21)-SUMIF(ThresholdAge21,"&lt;"&amp;K204,WeightedMinAge21),MAX(CapacityAge21*'01_Вводные'!$B$218*K204,MeanMinAge21)))</f>
        <v/>
      </c>
      <c r="L129" s="190">
        <f>IF(OR(L101=0,21&lt;='01_Вводные'!$B$297),0,L101*IF('01_Вводные'!$B$239="Да",MeanMinAge21+L204*SUMIF(ThresholdAge21,"&lt;"&amp;L204,WeightedRevAge21)-SUMIF(ThresholdAge21,"&lt;"&amp;L204,WeightedMinAge21),MAX(CapacityAge21*'01_Вводные'!$B$218*L204,MeanMinAge21)))</f>
        <v/>
      </c>
      <c r="M129" s="190">
        <f>IF(OR(M101=0,21&lt;='01_Вводные'!$B$297),0,M101*IF('01_Вводные'!$B$239="Да",MeanMinAge21+M204*SUMIF(ThresholdAge21,"&lt;"&amp;M204,WeightedRevAge21)-SUMIF(ThresholdAge21,"&lt;"&amp;M204,WeightedMinAge21),MAX(CapacityAge21*'01_Вводные'!$B$218*M204,MeanMinAge21)))</f>
        <v/>
      </c>
      <c r="N129" s="190">
        <f>IF(OR(N101=0,21&lt;='01_Вводные'!$B$297),0,N101*IF('01_Вводные'!$B$239="Да",MeanMinAge21+N204*SUMIF(ThresholdAge21,"&lt;"&amp;N204,WeightedRevAge21)-SUMIF(ThresholdAge21,"&lt;"&amp;N204,WeightedMinAge21),MAX(CapacityAge21*'01_Вводные'!$B$218*N204,MeanMinAge21)))</f>
        <v/>
      </c>
      <c r="O129" s="190">
        <f>IF(OR(O101=0,21&lt;='01_Вводные'!$B$297),0,O101*IF('01_Вводные'!$B$239="Да",MeanMinAge21+O204*SUMIF(ThresholdAge21,"&lt;"&amp;O204,WeightedRevAge21)-SUMIF(ThresholdAge21,"&lt;"&amp;O204,WeightedMinAge21),MAX(CapacityAge21*'01_Вводные'!$B$218*O204,MeanMinAge21)))</f>
        <v/>
      </c>
      <c r="P129" s="190">
        <f>IF(OR(P101=0,21&lt;='01_Вводные'!$B$297),0,P101*IF('01_Вводные'!$B$239="Да",MeanMinAge21+P204*SUMIF(ThresholdAge21,"&lt;"&amp;P204,WeightedRevAge21)-SUMIF(ThresholdAge21,"&lt;"&amp;P204,WeightedMinAge21),MAX(CapacityAge21*'01_Вводные'!$B$218*P204,MeanMinAge21)))</f>
        <v/>
      </c>
      <c r="Q129" s="190">
        <f>IF(OR(Q101=0,21&lt;='01_Вводные'!$B$297),0,Q101*IF('01_Вводные'!$B$239="Да",MeanMinAge21+Q204*SUMIF(ThresholdAge21,"&lt;"&amp;Q204,WeightedRevAge21)-SUMIF(ThresholdAge21,"&lt;"&amp;Q204,WeightedMinAge21),MAX(CapacityAge21*'01_Вводные'!$B$218*Q204,MeanMinAge21)))</f>
        <v/>
      </c>
      <c r="R129" s="190">
        <f>IF(OR(R101=0,21&lt;='01_Вводные'!$B$297),0,R101*IF('01_Вводные'!$B$239="Да",MeanMinAge21+R204*SUMIF(ThresholdAge21,"&lt;"&amp;R204,WeightedRevAge21)-SUMIF(ThresholdAge21,"&lt;"&amp;R204,WeightedMinAge21),MAX(CapacityAge21*'01_Вводные'!$B$218*R204,MeanMinAge21)))</f>
        <v/>
      </c>
      <c r="S129" s="190">
        <f>IF(OR(S101=0,21&lt;='01_Вводные'!$B$297),0,S101*IF('01_Вводные'!$B$239="Да",MeanMinAge21+S204*SUMIF(ThresholdAge21,"&lt;"&amp;S204,WeightedRevAge21)-SUMIF(ThresholdAge21,"&lt;"&amp;S204,WeightedMinAge21),MAX(CapacityAge21*'01_Вводные'!$B$218*S204,MeanMinAge21)))</f>
        <v/>
      </c>
      <c r="T129" s="190">
        <f>IF(OR(T101=0,21&lt;='01_Вводные'!$B$297),0,T101*IF('01_Вводные'!$B$239="Да",MeanMinAge21+T204*SUMIF(ThresholdAge21,"&lt;"&amp;T204,WeightedRevAge21)-SUMIF(ThresholdAge21,"&lt;"&amp;T204,WeightedMinAge21),MAX(CapacityAge21*'01_Вводные'!$B$218*T204,MeanMinAge21)))</f>
        <v/>
      </c>
      <c r="U129" s="190">
        <f>IF(OR(U101=0,21&lt;='01_Вводные'!$B$297),0,U101*IF('01_Вводные'!$B$239="Да",MeanMinAge21+U204*SUMIF(ThresholdAge21,"&lt;"&amp;U204,WeightedRevAge21)-SUMIF(ThresholdAge21,"&lt;"&amp;U204,WeightedMinAge21),MAX(CapacityAge21*'01_Вводные'!$B$218*U204,MeanMinAge21)))</f>
        <v/>
      </c>
      <c r="V129" s="190">
        <f>IF(OR(V101=0,21&lt;='01_Вводные'!$B$297),0,V101*IF('01_Вводные'!$B$239="Да",MeanMinAge21+V204*SUMIF(ThresholdAge21,"&lt;"&amp;V204,WeightedRevAge21)-SUMIF(ThresholdAge21,"&lt;"&amp;V204,WeightedMinAge21),MAX(CapacityAge21*'01_Вводные'!$B$218*V204,MeanMinAge21)))</f>
        <v/>
      </c>
      <c r="W129" s="190">
        <f>IF(OR(W101=0,21&lt;='01_Вводные'!$B$297),0,W101*IF('01_Вводные'!$B$239="Да",MeanMinAge21+W204*SUMIF(ThresholdAge21,"&lt;"&amp;W204,WeightedRevAge21)-SUMIF(ThresholdAge21,"&lt;"&amp;W204,WeightedMinAge21),MAX(CapacityAge21*'01_Вводные'!$B$218*W204,MeanMinAge21)))</f>
        <v/>
      </c>
      <c r="X129" s="190">
        <f>IF(OR(X101=0,21&lt;='01_Вводные'!$B$297),0,X101*IF('01_Вводные'!$B$239="Да",MeanMinAge21+X204*SUMIF(ThresholdAge21,"&lt;"&amp;X204,WeightedRevAge21)-SUMIF(ThresholdAge21,"&lt;"&amp;X204,WeightedMinAge21),MAX(CapacityAge21*'01_Вводные'!$B$218*X204,MeanMinAge21)))</f>
        <v/>
      </c>
      <c r="Y129" s="190">
        <f>IF(OR(Y101=0,21&lt;='01_Вводные'!$B$297),0,Y101*IF('01_Вводные'!$B$239="Да",MeanMinAge21+Y204*SUMIF(ThresholdAge21,"&lt;"&amp;Y204,WeightedRevAge21)-SUMIF(ThresholdAge21,"&lt;"&amp;Y204,WeightedMinAge21),MAX(CapacityAge21*'01_Вводные'!$B$218*Y204,MeanMinAge21)))</f>
        <v/>
      </c>
      <c r="Z129" s="190">
        <f>IF(OR(Z101=0,21&lt;='01_Вводные'!$B$297),0,Z101*IF('01_Вводные'!$B$239="Да",MeanMinAge21+Z204*SUMIF(ThresholdAge21,"&lt;"&amp;Z204,WeightedRevAge21)-SUMIF(ThresholdAge21,"&lt;"&amp;Z204,WeightedMinAge21),MAX(CapacityAge21*'01_Вводные'!$B$218*Z204,MeanMinAge21)))</f>
        <v/>
      </c>
      <c r="AA129" s="190">
        <f>IF(OR(AA101=0,21&lt;='01_Вводные'!$B$297),0,AA101*IF('01_Вводные'!$B$239="Да",MeanMinAge21+AA204*SUMIF(ThresholdAge21,"&lt;"&amp;AA204,WeightedRevAge21)-SUMIF(ThresholdAge21,"&lt;"&amp;AA204,WeightedMinAge21),MAX(CapacityAge21*'01_Вводные'!$B$218*AA204,MeanMinAge21)))</f>
        <v/>
      </c>
      <c r="AB129" s="190">
        <f>IF(OR(AB101=0,21&lt;='01_Вводные'!$B$297),0,AB101*IF('01_Вводные'!$B$239="Да",MeanMinAge21+AB204*SUMIF(ThresholdAge21,"&lt;"&amp;AB204,WeightedRevAge21)-SUMIF(ThresholdAge21,"&lt;"&amp;AB204,WeightedMinAge21),MAX(CapacityAge21*'01_Вводные'!$B$218*AB204,MeanMinAge21)))</f>
        <v/>
      </c>
      <c r="AC129" s="190">
        <f>IF(OR(AC101=0,21&lt;='01_Вводные'!$B$297),0,AC101*IF('01_Вводные'!$B$239="Да",MeanMinAge21+AC204*SUMIF(ThresholdAge21,"&lt;"&amp;AC204,WeightedRevAge21)-SUMIF(ThresholdAge21,"&lt;"&amp;AC204,WeightedMinAge21),MAX(CapacityAge21*'01_Вводные'!$B$218*AC204,MeanMinAge21)))</f>
        <v/>
      </c>
      <c r="AD129" s="190">
        <f>IF(OR(AD101=0,21&lt;='01_Вводные'!$B$297),0,AD101*IF('01_Вводные'!$B$239="Да",MeanMinAge21+AD204*SUMIF(ThresholdAge21,"&lt;"&amp;AD204,WeightedRevAge21)-SUMIF(ThresholdAge21,"&lt;"&amp;AD204,WeightedMinAge21),MAX(CapacityAge21*'01_Вводные'!$B$218*AD204,MeanMinAge21)))</f>
        <v/>
      </c>
      <c r="AE129" s="190">
        <f>IF(OR(AE101=0,21&lt;='01_Вводные'!$B$297),0,AE101*IF('01_Вводные'!$B$239="Да",MeanMinAge21+AE204*SUMIF(ThresholdAge21,"&lt;"&amp;AE204,WeightedRevAge21)-SUMIF(ThresholdAge21,"&lt;"&amp;AE204,WeightedMinAge21),MAX(CapacityAge21*'01_Вводные'!$B$218*AE204,MeanMinAge21)))</f>
        <v/>
      </c>
      <c r="AF129" s="190">
        <f>IF(OR(AF101=0,21&lt;='01_Вводные'!$B$297),0,AF101*IF('01_Вводные'!$B$239="Да",MeanMinAge21+AF204*SUMIF(ThresholdAge21,"&lt;"&amp;AF204,WeightedRevAge21)-SUMIF(ThresholdAge21,"&lt;"&amp;AF204,WeightedMinAge21),MAX(CapacityAge21*'01_Вводные'!$B$218*AF204,MeanMinAge21)))</f>
        <v/>
      </c>
      <c r="AG129" s="190">
        <f>IF(OR(AG101=0,21&lt;='01_Вводные'!$B$297),0,AG101*IF('01_Вводные'!$B$239="Да",MeanMinAge21+AG204*SUMIF(ThresholdAge21,"&lt;"&amp;AG204,WeightedRevAge21)-SUMIF(ThresholdAge21,"&lt;"&amp;AG204,WeightedMinAge21),MAX(CapacityAge21*'01_Вводные'!$B$218*AG204,MeanMinAge21)))</f>
        <v/>
      </c>
      <c r="AH129" s="190">
        <f>IF(OR(AH101=0,21&lt;='01_Вводные'!$B$297),0,AH101*IF('01_Вводные'!$B$239="Да",MeanMinAge21+AH204*SUMIF(ThresholdAge21,"&lt;"&amp;AH204,WeightedRevAge21)-SUMIF(ThresholdAge21,"&lt;"&amp;AH204,WeightedMinAge21),MAX(CapacityAge21*'01_Вводные'!$B$218*AH204,MeanMinAge21)))</f>
        <v/>
      </c>
      <c r="AI129" s="190">
        <f>IF(OR(AI101=0,21&lt;='01_Вводные'!$B$297),0,AI101*IF('01_Вводные'!$B$239="Да",MeanMinAge21+AI204*SUMIF(ThresholdAge21,"&lt;"&amp;AI204,WeightedRevAge21)-SUMIF(ThresholdAge21,"&lt;"&amp;AI204,WeightedMinAge21),MAX(CapacityAge21*'01_Вводные'!$B$218*AI204,MeanMinAge21)))</f>
        <v/>
      </c>
      <c r="AJ129" s="190">
        <f>IF(OR(AJ101=0,21&lt;='01_Вводные'!$B$297),0,AJ101*IF('01_Вводные'!$B$239="Да",MeanMinAge21+AJ204*SUMIF(ThresholdAge21,"&lt;"&amp;AJ204,WeightedRevAge21)-SUMIF(ThresholdAge21,"&lt;"&amp;AJ204,WeightedMinAge21),MAX(CapacityAge21*'01_Вводные'!$B$218*AJ204,MeanMinAge21)))</f>
        <v/>
      </c>
      <c r="AK129" s="190">
        <f>IF(OR(AK101=0,21&lt;='01_Вводные'!$B$297),0,AK101*IF('01_Вводные'!$B$239="Да",MeanMinAge21+AK204*SUMIF(ThresholdAge21,"&lt;"&amp;AK204,WeightedRevAge21)-SUMIF(ThresholdAge21,"&lt;"&amp;AK204,WeightedMinAge21),MAX(CapacityAge21*'01_Вводные'!$B$218*AK204,MeanMinAge21)))</f>
        <v/>
      </c>
      <c r="AL129" s="190">
        <f>IF(OR(AL101=0,21&lt;='01_Вводные'!$B$297),0,AL101*IF('01_Вводные'!$B$239="Да",MeanMinAge21+AL204*SUMIF(ThresholdAge21,"&lt;"&amp;AL204,WeightedRevAge21)-SUMIF(ThresholdAge21,"&lt;"&amp;AL204,WeightedMinAge21),MAX(CapacityAge21*'01_Вводные'!$B$218*AL204,MeanMinAge21)))</f>
        <v/>
      </c>
      <c r="AM129" s="190">
        <f>IF(OR(AM101=0,21&lt;='01_Вводные'!$B$297),0,AM101*IF('01_Вводные'!$B$239="Да",MeanMinAge21+AM204*SUMIF(ThresholdAge21,"&lt;"&amp;AM204,WeightedRevAge21)-SUMIF(ThresholdAge21,"&lt;"&amp;AM204,WeightedMinAge21),MAX(CapacityAge21*'01_Вводные'!$B$218*AM204,MeanMinAge21)))</f>
        <v/>
      </c>
      <c r="AN129" s="190">
        <f>IF(OR(AN101=0,21&lt;='01_Вводные'!$B$297),0,AN101*IF('01_Вводные'!$B$239="Да",MeanMinAge21+AN204*SUMIF(ThresholdAge21,"&lt;"&amp;AN204,WeightedRevAge21)-SUMIF(ThresholdAge21,"&lt;"&amp;AN204,WeightedMinAge21),MAX(CapacityAge21*'01_Вводные'!$B$218*AN204,MeanMinAge21)))</f>
        <v/>
      </c>
      <c r="AO129" s="190">
        <f>IF(OR(AO101=0,21&lt;='01_Вводные'!$B$297),0,AO101*IF('01_Вводные'!$B$239="Да",MeanMinAge21+AO204*SUMIF(ThresholdAge21,"&lt;"&amp;AO204,WeightedRevAge21)-SUMIF(ThresholdAge21,"&lt;"&amp;AO204,WeightedMinAge21),MAX(CapacityAge21*'01_Вводные'!$B$218*AO204,MeanMinAge21)))</f>
        <v/>
      </c>
      <c r="AP129" s="190">
        <f>IF(OR(AP101=0,21&lt;='01_Вводные'!$B$297),0,AP101*IF('01_Вводные'!$B$239="Да",MeanMinAge21+AP204*SUMIF(ThresholdAge21,"&lt;"&amp;AP204,WeightedRevAge21)-SUMIF(ThresholdAge21,"&lt;"&amp;AP204,WeightedMinAge21),MAX(CapacityAge21*'01_Вводные'!$B$218*AP204,MeanMinAge21)))</f>
        <v/>
      </c>
      <c r="AQ129" s="190">
        <f>IF(OR(AQ101=0,21&lt;='01_Вводные'!$B$297),0,AQ101*IF('01_Вводные'!$B$239="Да",MeanMinAge21+AQ204*SUMIF(ThresholdAge21,"&lt;"&amp;AQ204,WeightedRevAge21)-SUMIF(ThresholdAge21,"&lt;"&amp;AQ204,WeightedMinAge21),MAX(CapacityAge21*'01_Вводные'!$B$218*AQ204,MeanMinAge21)))</f>
        <v/>
      </c>
      <c r="AR129" s="190">
        <f>IF(OR(AR101=0,21&lt;='01_Вводные'!$B$297),0,AR101*IF('01_Вводные'!$B$239="Да",MeanMinAge21+AR204*SUMIF(ThresholdAge21,"&lt;"&amp;AR204,WeightedRevAge21)-SUMIF(ThresholdAge21,"&lt;"&amp;AR204,WeightedMinAge21),MAX(CapacityAge21*'01_Вводные'!$B$218*AR204,MeanMinAge21)))</f>
        <v/>
      </c>
      <c r="AS129" s="190">
        <f>IF(OR(AS101=0,21&lt;='01_Вводные'!$B$297),0,AS101*IF('01_Вводные'!$B$239="Да",MeanMinAge21+AS204*SUMIF(ThresholdAge21,"&lt;"&amp;AS204,WeightedRevAge21)-SUMIF(ThresholdAge21,"&lt;"&amp;AS204,WeightedMinAge21),MAX(CapacityAge21*'01_Вводные'!$B$218*AS204,MeanMinAge21)))</f>
        <v/>
      </c>
      <c r="AT129" s="190">
        <f>IF(OR(AT101=0,21&lt;='01_Вводные'!$B$297),0,AT101*IF('01_Вводные'!$B$239="Да",MeanMinAge21+AT204*SUMIF(ThresholdAge21,"&lt;"&amp;AT204,WeightedRevAge21)-SUMIF(ThresholdAge21,"&lt;"&amp;AT204,WeightedMinAge21),MAX(CapacityAge21*'01_Вводные'!$B$218*AT204,MeanMinAge21)))</f>
        <v/>
      </c>
      <c r="AU129" s="190">
        <f>IF(OR(AU101=0,21&lt;='01_Вводные'!$B$297),0,AU101*IF('01_Вводные'!$B$239="Да",MeanMinAge21+AU204*SUMIF(ThresholdAge21,"&lt;"&amp;AU204,WeightedRevAge21)-SUMIF(ThresholdAge21,"&lt;"&amp;AU204,WeightedMinAge21),MAX(CapacityAge21*'01_Вводные'!$B$218*AU204,MeanMinAge21)))</f>
        <v/>
      </c>
      <c r="AV129" s="190">
        <f>IF(OR(AV101=0,21&lt;='01_Вводные'!$B$297),0,AV101*IF('01_Вводные'!$B$239="Да",MeanMinAge21+AV204*SUMIF(ThresholdAge21,"&lt;"&amp;AV204,WeightedRevAge21)-SUMIF(ThresholdAge21,"&lt;"&amp;AV204,WeightedMinAge21),MAX(CapacityAge21*'01_Вводные'!$B$218*AV204,MeanMinAge21)))</f>
        <v/>
      </c>
      <c r="AW129" s="190">
        <f>IF(OR(AW101=0,21&lt;='01_Вводные'!$B$297),0,AW101*IF('01_Вводные'!$B$239="Да",MeanMinAge21+AW204*SUMIF(ThresholdAge21,"&lt;"&amp;AW204,WeightedRevAge21)-SUMIF(ThresholdAge21,"&lt;"&amp;AW204,WeightedMinAge21),MAX(CapacityAge21*'01_Вводные'!$B$218*AW204,MeanMinAge21)))</f>
        <v/>
      </c>
      <c r="AX129" s="190">
        <f>IF(OR(AX101=0,21&lt;='01_Вводные'!$B$297),0,AX101*IF('01_Вводные'!$B$239="Да",MeanMinAge21+AX204*SUMIF(ThresholdAge21,"&lt;"&amp;AX204,WeightedRevAge21)-SUMIF(ThresholdAge21,"&lt;"&amp;AX204,WeightedMinAge21),MAX(CapacityAge21*'01_Вводные'!$B$218*AX204,MeanMinAge21)))</f>
        <v/>
      </c>
      <c r="AY129" s="190">
        <f>IF(OR(AY101=0,21&lt;='01_Вводные'!$B$297),0,AY101*IF('01_Вводные'!$B$239="Да",MeanMinAge21+AY204*SUMIF(ThresholdAge21,"&lt;"&amp;AY204,WeightedRevAge21)-SUMIF(ThresholdAge21,"&lt;"&amp;AY204,WeightedMinAge21),MAX(CapacityAge21*'01_Вводные'!$B$218*AY204,MeanMinAge21)))</f>
        <v/>
      </c>
      <c r="AZ129" s="190">
        <f>IF(OR(AZ101=0,21&lt;='01_Вводные'!$B$297),0,AZ101*IF('01_Вводные'!$B$239="Да",MeanMinAge21+AZ204*SUMIF(ThresholdAge21,"&lt;"&amp;AZ204,WeightedRevAge21)-SUMIF(ThresholdAge21,"&lt;"&amp;AZ204,WeightedMinAge21),MAX(CapacityAge21*'01_Вводные'!$B$218*AZ204,MeanMinAge21)))</f>
        <v/>
      </c>
      <c r="BA129" s="190">
        <f>IF(OR(BA101=0,21&lt;='01_Вводные'!$B$297),0,BA101*IF('01_Вводные'!$B$239="Да",MeanMinAge21+BA204*SUMIF(ThresholdAge21,"&lt;"&amp;BA204,WeightedRevAge21)-SUMIF(ThresholdAge21,"&lt;"&amp;BA204,WeightedMinAge21),MAX(CapacityAge21*'01_Вводные'!$B$218*BA204,MeanMinAge21)))</f>
        <v/>
      </c>
      <c r="BB129" s="190">
        <f>IF(OR(BB101=0,21&lt;='01_Вводные'!$B$297),0,BB101*IF('01_Вводные'!$B$239="Да",MeanMinAge21+BB204*SUMIF(ThresholdAge21,"&lt;"&amp;BB204,WeightedRevAge21)-SUMIF(ThresholdAge21,"&lt;"&amp;BB204,WeightedMinAge21),MAX(CapacityAge21*'01_Вводные'!$B$218*BB204,MeanMinAge21)))</f>
        <v/>
      </c>
      <c r="BC129" s="190">
        <f>IF(OR(BC101=0,21&lt;='01_Вводные'!$B$297),0,BC101*IF('01_Вводные'!$B$239="Да",MeanMinAge21+BC204*SUMIF(ThresholdAge21,"&lt;"&amp;BC204,WeightedRevAge21)-SUMIF(ThresholdAge21,"&lt;"&amp;BC204,WeightedMinAge21),MAX(CapacityAge21*'01_Вводные'!$B$218*BC204,MeanMinAge21)))</f>
        <v/>
      </c>
      <c r="BD129" s="190">
        <f>IF(OR(BD101=0,21&lt;='01_Вводные'!$B$297),0,BD101*IF('01_Вводные'!$B$239="Да",MeanMinAge21+BD204*SUMIF(ThresholdAge21,"&lt;"&amp;BD204,WeightedRevAge21)-SUMIF(ThresholdAge21,"&lt;"&amp;BD204,WeightedMinAge21),MAX(CapacityAge21*'01_Вводные'!$B$218*BD204,MeanMinAge21)))</f>
        <v/>
      </c>
      <c r="BE129" s="190">
        <f>IF(OR(BE101=0,21&lt;='01_Вводные'!$B$297),0,BE101*IF('01_Вводные'!$B$239="Да",MeanMinAge21+BE204*SUMIF(ThresholdAge21,"&lt;"&amp;BE204,WeightedRevAge21)-SUMIF(ThresholdAge21,"&lt;"&amp;BE204,WeightedMinAge21),MAX(CapacityAge21*'01_Вводные'!$B$218*BE204,MeanMinAge21)))</f>
        <v/>
      </c>
      <c r="BF129" s="190">
        <f>IF(OR(BF101=0,21&lt;='01_Вводные'!$B$297),0,BF101*IF('01_Вводные'!$B$239="Да",MeanMinAge21+BF204*SUMIF(ThresholdAge21,"&lt;"&amp;BF204,WeightedRevAge21)-SUMIF(ThresholdAge21,"&lt;"&amp;BF204,WeightedMinAge21),MAX(CapacityAge21*'01_Вводные'!$B$218*BF204,MeanMinAge21)))</f>
        <v/>
      </c>
      <c r="BG129" s="190">
        <f>IF(OR(BG101=0,21&lt;='01_Вводные'!$B$297),0,BG101*IF('01_Вводные'!$B$239="Да",MeanMinAge21+BG204*SUMIF(ThresholdAge21,"&lt;"&amp;BG204,WeightedRevAge21)-SUMIF(ThresholdAge21,"&lt;"&amp;BG204,WeightedMinAge21),MAX(CapacityAge21*'01_Вводные'!$B$218*BG204,MeanMinAge21)))</f>
        <v/>
      </c>
      <c r="BH129" s="190">
        <f>IF(OR(BH101=0,21&lt;='01_Вводные'!$B$297),0,BH101*IF('01_Вводные'!$B$239="Да",MeanMinAge21+BH204*SUMIF(ThresholdAge21,"&lt;"&amp;BH204,WeightedRevAge21)-SUMIF(ThresholdAge21,"&lt;"&amp;BH204,WeightedMinAge21),MAX(CapacityAge21*'01_Вводные'!$B$218*BH204,MeanMinAge21)))</f>
        <v/>
      </c>
      <c r="BI129" s="190">
        <f>IF(OR(BI101=0,21&lt;='01_Вводные'!$B$297),0,BI101*IF('01_Вводные'!$B$239="Да",MeanMinAge21+BI204*SUMIF(ThresholdAge21,"&lt;"&amp;BI204,WeightedRevAge21)-SUMIF(ThresholdAge21,"&lt;"&amp;BI204,WeightedMinAge21),MAX(CapacityAge21*'01_Вводные'!$B$218*BI204,MeanMinAge21)))</f>
        <v/>
      </c>
      <c r="BJ129" s="190">
        <f>IF(OR(BJ101=0,21&lt;='01_Вводные'!$B$297),0,BJ101*IF('01_Вводные'!$B$239="Да",MeanMinAge21+BJ204*SUMIF(ThresholdAge21,"&lt;"&amp;BJ204,WeightedRevAge21)-SUMIF(ThresholdAge21,"&lt;"&amp;BJ204,WeightedMinAge21),MAX(CapacityAge21*'01_Вводные'!$B$218*BJ204,MeanMinAge21)))</f>
        <v/>
      </c>
      <c r="BK129" s="190">
        <f>IF(OR(BK101=0,21&lt;='01_Вводные'!$B$297),0,BK101*IF('01_Вводные'!$B$239="Да",MeanMinAge21+BK204*SUMIF(ThresholdAge21,"&lt;"&amp;BK204,WeightedRevAge21)-SUMIF(ThresholdAge21,"&lt;"&amp;BK204,WeightedMinAge21),MAX(CapacityAge21*'01_Вводные'!$B$218*BK204,MeanMinAge21)))</f>
        <v/>
      </c>
      <c r="BL129" s="190">
        <f>IF(OR(BL101=0,21&lt;='01_Вводные'!$B$297),0,BL101*IF('01_Вводные'!$B$239="Да",MeanMinAge21+BL204*SUMIF(ThresholdAge21,"&lt;"&amp;BL204,WeightedRevAge21)-SUMIF(ThresholdAge21,"&lt;"&amp;BL204,WeightedMinAge21),MAX(CapacityAge21*'01_Вводные'!$B$218*BL204,MeanMinAge21)))</f>
        <v/>
      </c>
      <c r="BM129" s="190">
        <f>IF(OR(BM101=0,21&lt;='01_Вводные'!$B$297),0,BM101*IF('01_Вводные'!$B$239="Да",MeanMinAge21+BM204*SUMIF(ThresholdAge21,"&lt;"&amp;BM204,WeightedRevAge21)-SUMIF(ThresholdAge21,"&lt;"&amp;BM204,WeightedMinAge21),MAX(CapacityAge21*'01_Вводные'!$B$218*BM204,MeanMinAge21)))</f>
        <v/>
      </c>
      <c r="BN129" s="190">
        <f>IF(OR(BN101=0,21&lt;='01_Вводные'!$B$297),0,BN101*IF('01_Вводные'!$B$239="Да",MeanMinAge21+BN204*SUMIF(ThresholdAge21,"&lt;"&amp;BN204,WeightedRevAge21)-SUMIF(ThresholdAge21,"&lt;"&amp;BN204,WeightedMinAge21),MAX(CapacityAge21*'01_Вводные'!$B$218*BN204,MeanMinAge21)))</f>
        <v/>
      </c>
      <c r="BO129" s="190">
        <f>IF(OR(BO101=0,21&lt;='01_Вводные'!$B$297),0,BO101*IF('01_Вводные'!$B$239="Да",MeanMinAge21+BO204*SUMIF(ThresholdAge21,"&lt;"&amp;BO204,WeightedRevAge21)-SUMIF(ThresholdAge21,"&lt;"&amp;BO204,WeightedMinAge21),MAX(CapacityAge21*'01_Вводные'!$B$218*BO204,MeanMinAge21)))</f>
        <v/>
      </c>
    </row>
    <row r="130" hidden="1" outlineLevel="1">
      <c r="A130" t="inlineStr">
        <is>
          <t>22 мес.</t>
        </is>
      </c>
      <c r="B130" s="190">
        <f>IF(OR(B102=0,22&lt;='01_Вводные'!$B$297),0,B102*IF('01_Вводные'!$B$239="Да",MeanMinAge22+B204*SUMIF(ThresholdAge22,"&lt;"&amp;B204,WeightedRevAge22)-SUMIF(ThresholdAge22,"&lt;"&amp;B204,WeightedMinAge22),MAX(CapacityAge22*'01_Вводные'!$B$218*B204,MeanMinAge22)))</f>
        <v/>
      </c>
      <c r="C130" s="190">
        <f>IF(OR(C102=0,22&lt;='01_Вводные'!$B$297),0,C102*IF('01_Вводные'!$B$239="Да",MeanMinAge22+C204*SUMIF(ThresholdAge22,"&lt;"&amp;C204,WeightedRevAge22)-SUMIF(ThresholdAge22,"&lt;"&amp;C204,WeightedMinAge22),MAX(CapacityAge22*'01_Вводные'!$B$218*C204,MeanMinAge22)))</f>
        <v/>
      </c>
      <c r="D130" s="190">
        <f>IF(OR(D102=0,22&lt;='01_Вводные'!$B$297),0,D102*IF('01_Вводные'!$B$239="Да",MeanMinAge22+D204*SUMIF(ThresholdAge22,"&lt;"&amp;D204,WeightedRevAge22)-SUMIF(ThresholdAge22,"&lt;"&amp;D204,WeightedMinAge22),MAX(CapacityAge22*'01_Вводные'!$B$218*D204,MeanMinAge22)))</f>
        <v/>
      </c>
      <c r="E130" s="190">
        <f>IF(OR(E102=0,22&lt;='01_Вводные'!$B$297),0,E102*IF('01_Вводные'!$B$239="Да",MeanMinAge22+E204*SUMIF(ThresholdAge22,"&lt;"&amp;E204,WeightedRevAge22)-SUMIF(ThresholdAge22,"&lt;"&amp;E204,WeightedMinAge22),MAX(CapacityAge22*'01_Вводные'!$B$218*E204,MeanMinAge22)))</f>
        <v/>
      </c>
      <c r="F130" s="190">
        <f>IF(OR(F102=0,22&lt;='01_Вводные'!$B$297),0,F102*IF('01_Вводные'!$B$239="Да",MeanMinAge22+F204*SUMIF(ThresholdAge22,"&lt;"&amp;F204,WeightedRevAge22)-SUMIF(ThresholdAge22,"&lt;"&amp;F204,WeightedMinAge22),MAX(CapacityAge22*'01_Вводные'!$B$218*F204,MeanMinAge22)))</f>
        <v/>
      </c>
      <c r="G130" s="190">
        <f>IF(OR(G102=0,22&lt;='01_Вводные'!$B$297),0,G102*IF('01_Вводные'!$B$239="Да",MeanMinAge22+G204*SUMIF(ThresholdAge22,"&lt;"&amp;G204,WeightedRevAge22)-SUMIF(ThresholdAge22,"&lt;"&amp;G204,WeightedMinAge22),MAX(CapacityAge22*'01_Вводные'!$B$218*G204,MeanMinAge22)))</f>
        <v/>
      </c>
      <c r="H130" s="190">
        <f>IF(OR(H102=0,22&lt;='01_Вводные'!$B$297),0,H102*IF('01_Вводные'!$B$239="Да",MeanMinAge22+H204*SUMIF(ThresholdAge22,"&lt;"&amp;H204,WeightedRevAge22)-SUMIF(ThresholdAge22,"&lt;"&amp;H204,WeightedMinAge22),MAX(CapacityAge22*'01_Вводные'!$B$218*H204,MeanMinAge22)))</f>
        <v/>
      </c>
      <c r="I130" s="190">
        <f>IF(OR(I102=0,22&lt;='01_Вводные'!$B$297),0,I102*IF('01_Вводные'!$B$239="Да",MeanMinAge22+I204*SUMIF(ThresholdAge22,"&lt;"&amp;I204,WeightedRevAge22)-SUMIF(ThresholdAge22,"&lt;"&amp;I204,WeightedMinAge22),MAX(CapacityAge22*'01_Вводные'!$B$218*I204,MeanMinAge22)))</f>
        <v/>
      </c>
      <c r="J130" s="190">
        <f>IF(OR(J102=0,22&lt;='01_Вводные'!$B$297),0,J102*IF('01_Вводные'!$B$239="Да",MeanMinAge22+J204*SUMIF(ThresholdAge22,"&lt;"&amp;J204,WeightedRevAge22)-SUMIF(ThresholdAge22,"&lt;"&amp;J204,WeightedMinAge22),MAX(CapacityAge22*'01_Вводные'!$B$218*J204,MeanMinAge22)))</f>
        <v/>
      </c>
      <c r="K130" s="190">
        <f>IF(OR(K102=0,22&lt;='01_Вводные'!$B$297),0,K102*IF('01_Вводные'!$B$239="Да",MeanMinAge22+K204*SUMIF(ThresholdAge22,"&lt;"&amp;K204,WeightedRevAge22)-SUMIF(ThresholdAge22,"&lt;"&amp;K204,WeightedMinAge22),MAX(CapacityAge22*'01_Вводные'!$B$218*K204,MeanMinAge22)))</f>
        <v/>
      </c>
      <c r="L130" s="190">
        <f>IF(OR(L102=0,22&lt;='01_Вводные'!$B$297),0,L102*IF('01_Вводные'!$B$239="Да",MeanMinAge22+L204*SUMIF(ThresholdAge22,"&lt;"&amp;L204,WeightedRevAge22)-SUMIF(ThresholdAge22,"&lt;"&amp;L204,WeightedMinAge22),MAX(CapacityAge22*'01_Вводные'!$B$218*L204,MeanMinAge22)))</f>
        <v/>
      </c>
      <c r="M130" s="190">
        <f>IF(OR(M102=0,22&lt;='01_Вводные'!$B$297),0,M102*IF('01_Вводные'!$B$239="Да",MeanMinAge22+M204*SUMIF(ThresholdAge22,"&lt;"&amp;M204,WeightedRevAge22)-SUMIF(ThresholdAge22,"&lt;"&amp;M204,WeightedMinAge22),MAX(CapacityAge22*'01_Вводные'!$B$218*M204,MeanMinAge22)))</f>
        <v/>
      </c>
      <c r="N130" s="190">
        <f>IF(OR(N102=0,22&lt;='01_Вводные'!$B$297),0,N102*IF('01_Вводные'!$B$239="Да",MeanMinAge22+N204*SUMIF(ThresholdAge22,"&lt;"&amp;N204,WeightedRevAge22)-SUMIF(ThresholdAge22,"&lt;"&amp;N204,WeightedMinAge22),MAX(CapacityAge22*'01_Вводные'!$B$218*N204,MeanMinAge22)))</f>
        <v/>
      </c>
      <c r="O130" s="190">
        <f>IF(OR(O102=0,22&lt;='01_Вводные'!$B$297),0,O102*IF('01_Вводные'!$B$239="Да",MeanMinAge22+O204*SUMIF(ThresholdAge22,"&lt;"&amp;O204,WeightedRevAge22)-SUMIF(ThresholdAge22,"&lt;"&amp;O204,WeightedMinAge22),MAX(CapacityAge22*'01_Вводные'!$B$218*O204,MeanMinAge22)))</f>
        <v/>
      </c>
      <c r="P130" s="190">
        <f>IF(OR(P102=0,22&lt;='01_Вводные'!$B$297),0,P102*IF('01_Вводные'!$B$239="Да",MeanMinAge22+P204*SUMIF(ThresholdAge22,"&lt;"&amp;P204,WeightedRevAge22)-SUMIF(ThresholdAge22,"&lt;"&amp;P204,WeightedMinAge22),MAX(CapacityAge22*'01_Вводные'!$B$218*P204,MeanMinAge22)))</f>
        <v/>
      </c>
      <c r="Q130" s="190">
        <f>IF(OR(Q102=0,22&lt;='01_Вводные'!$B$297),0,Q102*IF('01_Вводные'!$B$239="Да",MeanMinAge22+Q204*SUMIF(ThresholdAge22,"&lt;"&amp;Q204,WeightedRevAge22)-SUMIF(ThresholdAge22,"&lt;"&amp;Q204,WeightedMinAge22),MAX(CapacityAge22*'01_Вводные'!$B$218*Q204,MeanMinAge22)))</f>
        <v/>
      </c>
      <c r="R130" s="190">
        <f>IF(OR(R102=0,22&lt;='01_Вводные'!$B$297),0,R102*IF('01_Вводные'!$B$239="Да",MeanMinAge22+R204*SUMIF(ThresholdAge22,"&lt;"&amp;R204,WeightedRevAge22)-SUMIF(ThresholdAge22,"&lt;"&amp;R204,WeightedMinAge22),MAX(CapacityAge22*'01_Вводные'!$B$218*R204,MeanMinAge22)))</f>
        <v/>
      </c>
      <c r="S130" s="190">
        <f>IF(OR(S102=0,22&lt;='01_Вводные'!$B$297),0,S102*IF('01_Вводные'!$B$239="Да",MeanMinAge22+S204*SUMIF(ThresholdAge22,"&lt;"&amp;S204,WeightedRevAge22)-SUMIF(ThresholdAge22,"&lt;"&amp;S204,WeightedMinAge22),MAX(CapacityAge22*'01_Вводные'!$B$218*S204,MeanMinAge22)))</f>
        <v/>
      </c>
      <c r="T130" s="190">
        <f>IF(OR(T102=0,22&lt;='01_Вводные'!$B$297),0,T102*IF('01_Вводные'!$B$239="Да",MeanMinAge22+T204*SUMIF(ThresholdAge22,"&lt;"&amp;T204,WeightedRevAge22)-SUMIF(ThresholdAge22,"&lt;"&amp;T204,WeightedMinAge22),MAX(CapacityAge22*'01_Вводные'!$B$218*T204,MeanMinAge22)))</f>
        <v/>
      </c>
      <c r="U130" s="190">
        <f>IF(OR(U102=0,22&lt;='01_Вводные'!$B$297),0,U102*IF('01_Вводные'!$B$239="Да",MeanMinAge22+U204*SUMIF(ThresholdAge22,"&lt;"&amp;U204,WeightedRevAge22)-SUMIF(ThresholdAge22,"&lt;"&amp;U204,WeightedMinAge22),MAX(CapacityAge22*'01_Вводные'!$B$218*U204,MeanMinAge22)))</f>
        <v/>
      </c>
      <c r="V130" s="190">
        <f>IF(OR(V102=0,22&lt;='01_Вводные'!$B$297),0,V102*IF('01_Вводные'!$B$239="Да",MeanMinAge22+V204*SUMIF(ThresholdAge22,"&lt;"&amp;V204,WeightedRevAge22)-SUMIF(ThresholdAge22,"&lt;"&amp;V204,WeightedMinAge22),MAX(CapacityAge22*'01_Вводные'!$B$218*V204,MeanMinAge22)))</f>
        <v/>
      </c>
      <c r="W130" s="190">
        <f>IF(OR(W102=0,22&lt;='01_Вводные'!$B$297),0,W102*IF('01_Вводные'!$B$239="Да",MeanMinAge22+W204*SUMIF(ThresholdAge22,"&lt;"&amp;W204,WeightedRevAge22)-SUMIF(ThresholdAge22,"&lt;"&amp;W204,WeightedMinAge22),MAX(CapacityAge22*'01_Вводные'!$B$218*W204,MeanMinAge22)))</f>
        <v/>
      </c>
      <c r="X130" s="190">
        <f>IF(OR(X102=0,22&lt;='01_Вводные'!$B$297),0,X102*IF('01_Вводные'!$B$239="Да",MeanMinAge22+X204*SUMIF(ThresholdAge22,"&lt;"&amp;X204,WeightedRevAge22)-SUMIF(ThresholdAge22,"&lt;"&amp;X204,WeightedMinAge22),MAX(CapacityAge22*'01_Вводные'!$B$218*X204,MeanMinAge22)))</f>
        <v/>
      </c>
      <c r="Y130" s="190">
        <f>IF(OR(Y102=0,22&lt;='01_Вводные'!$B$297),0,Y102*IF('01_Вводные'!$B$239="Да",MeanMinAge22+Y204*SUMIF(ThresholdAge22,"&lt;"&amp;Y204,WeightedRevAge22)-SUMIF(ThresholdAge22,"&lt;"&amp;Y204,WeightedMinAge22),MAX(CapacityAge22*'01_Вводные'!$B$218*Y204,MeanMinAge22)))</f>
        <v/>
      </c>
      <c r="Z130" s="190">
        <f>IF(OR(Z102=0,22&lt;='01_Вводные'!$B$297),0,Z102*IF('01_Вводные'!$B$239="Да",MeanMinAge22+Z204*SUMIF(ThresholdAge22,"&lt;"&amp;Z204,WeightedRevAge22)-SUMIF(ThresholdAge22,"&lt;"&amp;Z204,WeightedMinAge22),MAX(CapacityAge22*'01_Вводные'!$B$218*Z204,MeanMinAge22)))</f>
        <v/>
      </c>
      <c r="AA130" s="190">
        <f>IF(OR(AA102=0,22&lt;='01_Вводные'!$B$297),0,AA102*IF('01_Вводные'!$B$239="Да",MeanMinAge22+AA204*SUMIF(ThresholdAge22,"&lt;"&amp;AA204,WeightedRevAge22)-SUMIF(ThresholdAge22,"&lt;"&amp;AA204,WeightedMinAge22),MAX(CapacityAge22*'01_Вводные'!$B$218*AA204,MeanMinAge22)))</f>
        <v/>
      </c>
      <c r="AB130" s="190">
        <f>IF(OR(AB102=0,22&lt;='01_Вводные'!$B$297),0,AB102*IF('01_Вводные'!$B$239="Да",MeanMinAge22+AB204*SUMIF(ThresholdAge22,"&lt;"&amp;AB204,WeightedRevAge22)-SUMIF(ThresholdAge22,"&lt;"&amp;AB204,WeightedMinAge22),MAX(CapacityAge22*'01_Вводные'!$B$218*AB204,MeanMinAge22)))</f>
        <v/>
      </c>
      <c r="AC130" s="190">
        <f>IF(OR(AC102=0,22&lt;='01_Вводные'!$B$297),0,AC102*IF('01_Вводные'!$B$239="Да",MeanMinAge22+AC204*SUMIF(ThresholdAge22,"&lt;"&amp;AC204,WeightedRevAge22)-SUMIF(ThresholdAge22,"&lt;"&amp;AC204,WeightedMinAge22),MAX(CapacityAge22*'01_Вводные'!$B$218*AC204,MeanMinAge22)))</f>
        <v/>
      </c>
      <c r="AD130" s="190">
        <f>IF(OR(AD102=0,22&lt;='01_Вводные'!$B$297),0,AD102*IF('01_Вводные'!$B$239="Да",MeanMinAge22+AD204*SUMIF(ThresholdAge22,"&lt;"&amp;AD204,WeightedRevAge22)-SUMIF(ThresholdAge22,"&lt;"&amp;AD204,WeightedMinAge22),MAX(CapacityAge22*'01_Вводные'!$B$218*AD204,MeanMinAge22)))</f>
        <v/>
      </c>
      <c r="AE130" s="190">
        <f>IF(OR(AE102=0,22&lt;='01_Вводные'!$B$297),0,AE102*IF('01_Вводные'!$B$239="Да",MeanMinAge22+AE204*SUMIF(ThresholdAge22,"&lt;"&amp;AE204,WeightedRevAge22)-SUMIF(ThresholdAge22,"&lt;"&amp;AE204,WeightedMinAge22),MAX(CapacityAge22*'01_Вводные'!$B$218*AE204,MeanMinAge22)))</f>
        <v/>
      </c>
      <c r="AF130" s="190">
        <f>IF(OR(AF102=0,22&lt;='01_Вводные'!$B$297),0,AF102*IF('01_Вводные'!$B$239="Да",MeanMinAge22+AF204*SUMIF(ThresholdAge22,"&lt;"&amp;AF204,WeightedRevAge22)-SUMIF(ThresholdAge22,"&lt;"&amp;AF204,WeightedMinAge22),MAX(CapacityAge22*'01_Вводные'!$B$218*AF204,MeanMinAge22)))</f>
        <v/>
      </c>
      <c r="AG130" s="190">
        <f>IF(OR(AG102=0,22&lt;='01_Вводные'!$B$297),0,AG102*IF('01_Вводные'!$B$239="Да",MeanMinAge22+AG204*SUMIF(ThresholdAge22,"&lt;"&amp;AG204,WeightedRevAge22)-SUMIF(ThresholdAge22,"&lt;"&amp;AG204,WeightedMinAge22),MAX(CapacityAge22*'01_Вводные'!$B$218*AG204,MeanMinAge22)))</f>
        <v/>
      </c>
      <c r="AH130" s="190">
        <f>IF(OR(AH102=0,22&lt;='01_Вводные'!$B$297),0,AH102*IF('01_Вводные'!$B$239="Да",MeanMinAge22+AH204*SUMIF(ThresholdAge22,"&lt;"&amp;AH204,WeightedRevAge22)-SUMIF(ThresholdAge22,"&lt;"&amp;AH204,WeightedMinAge22),MAX(CapacityAge22*'01_Вводные'!$B$218*AH204,MeanMinAge22)))</f>
        <v/>
      </c>
      <c r="AI130" s="190">
        <f>IF(OR(AI102=0,22&lt;='01_Вводные'!$B$297),0,AI102*IF('01_Вводные'!$B$239="Да",MeanMinAge22+AI204*SUMIF(ThresholdAge22,"&lt;"&amp;AI204,WeightedRevAge22)-SUMIF(ThresholdAge22,"&lt;"&amp;AI204,WeightedMinAge22),MAX(CapacityAge22*'01_Вводные'!$B$218*AI204,MeanMinAge22)))</f>
        <v/>
      </c>
      <c r="AJ130" s="190">
        <f>IF(OR(AJ102=0,22&lt;='01_Вводные'!$B$297),0,AJ102*IF('01_Вводные'!$B$239="Да",MeanMinAge22+AJ204*SUMIF(ThresholdAge22,"&lt;"&amp;AJ204,WeightedRevAge22)-SUMIF(ThresholdAge22,"&lt;"&amp;AJ204,WeightedMinAge22),MAX(CapacityAge22*'01_Вводные'!$B$218*AJ204,MeanMinAge22)))</f>
        <v/>
      </c>
      <c r="AK130" s="190">
        <f>IF(OR(AK102=0,22&lt;='01_Вводные'!$B$297),0,AK102*IF('01_Вводные'!$B$239="Да",MeanMinAge22+AK204*SUMIF(ThresholdAge22,"&lt;"&amp;AK204,WeightedRevAge22)-SUMIF(ThresholdAge22,"&lt;"&amp;AK204,WeightedMinAge22),MAX(CapacityAge22*'01_Вводные'!$B$218*AK204,MeanMinAge22)))</f>
        <v/>
      </c>
      <c r="AL130" s="190">
        <f>IF(OR(AL102=0,22&lt;='01_Вводные'!$B$297),0,AL102*IF('01_Вводные'!$B$239="Да",MeanMinAge22+AL204*SUMIF(ThresholdAge22,"&lt;"&amp;AL204,WeightedRevAge22)-SUMIF(ThresholdAge22,"&lt;"&amp;AL204,WeightedMinAge22),MAX(CapacityAge22*'01_Вводные'!$B$218*AL204,MeanMinAge22)))</f>
        <v/>
      </c>
      <c r="AM130" s="190">
        <f>IF(OR(AM102=0,22&lt;='01_Вводные'!$B$297),0,AM102*IF('01_Вводные'!$B$239="Да",MeanMinAge22+AM204*SUMIF(ThresholdAge22,"&lt;"&amp;AM204,WeightedRevAge22)-SUMIF(ThresholdAge22,"&lt;"&amp;AM204,WeightedMinAge22),MAX(CapacityAge22*'01_Вводные'!$B$218*AM204,MeanMinAge22)))</f>
        <v/>
      </c>
      <c r="AN130" s="190">
        <f>IF(OR(AN102=0,22&lt;='01_Вводные'!$B$297),0,AN102*IF('01_Вводные'!$B$239="Да",MeanMinAge22+AN204*SUMIF(ThresholdAge22,"&lt;"&amp;AN204,WeightedRevAge22)-SUMIF(ThresholdAge22,"&lt;"&amp;AN204,WeightedMinAge22),MAX(CapacityAge22*'01_Вводные'!$B$218*AN204,MeanMinAge22)))</f>
        <v/>
      </c>
      <c r="AO130" s="190">
        <f>IF(OR(AO102=0,22&lt;='01_Вводные'!$B$297),0,AO102*IF('01_Вводные'!$B$239="Да",MeanMinAge22+AO204*SUMIF(ThresholdAge22,"&lt;"&amp;AO204,WeightedRevAge22)-SUMIF(ThresholdAge22,"&lt;"&amp;AO204,WeightedMinAge22),MAX(CapacityAge22*'01_Вводные'!$B$218*AO204,MeanMinAge22)))</f>
        <v/>
      </c>
      <c r="AP130" s="190">
        <f>IF(OR(AP102=0,22&lt;='01_Вводные'!$B$297),0,AP102*IF('01_Вводные'!$B$239="Да",MeanMinAge22+AP204*SUMIF(ThresholdAge22,"&lt;"&amp;AP204,WeightedRevAge22)-SUMIF(ThresholdAge22,"&lt;"&amp;AP204,WeightedMinAge22),MAX(CapacityAge22*'01_Вводные'!$B$218*AP204,MeanMinAge22)))</f>
        <v/>
      </c>
      <c r="AQ130" s="190">
        <f>IF(OR(AQ102=0,22&lt;='01_Вводные'!$B$297),0,AQ102*IF('01_Вводные'!$B$239="Да",MeanMinAge22+AQ204*SUMIF(ThresholdAge22,"&lt;"&amp;AQ204,WeightedRevAge22)-SUMIF(ThresholdAge22,"&lt;"&amp;AQ204,WeightedMinAge22),MAX(CapacityAge22*'01_Вводные'!$B$218*AQ204,MeanMinAge22)))</f>
        <v/>
      </c>
      <c r="AR130" s="190">
        <f>IF(OR(AR102=0,22&lt;='01_Вводные'!$B$297),0,AR102*IF('01_Вводные'!$B$239="Да",MeanMinAge22+AR204*SUMIF(ThresholdAge22,"&lt;"&amp;AR204,WeightedRevAge22)-SUMIF(ThresholdAge22,"&lt;"&amp;AR204,WeightedMinAge22),MAX(CapacityAge22*'01_Вводные'!$B$218*AR204,MeanMinAge22)))</f>
        <v/>
      </c>
      <c r="AS130" s="190">
        <f>IF(OR(AS102=0,22&lt;='01_Вводные'!$B$297),0,AS102*IF('01_Вводные'!$B$239="Да",MeanMinAge22+AS204*SUMIF(ThresholdAge22,"&lt;"&amp;AS204,WeightedRevAge22)-SUMIF(ThresholdAge22,"&lt;"&amp;AS204,WeightedMinAge22),MAX(CapacityAge22*'01_Вводные'!$B$218*AS204,MeanMinAge22)))</f>
        <v/>
      </c>
      <c r="AT130" s="190">
        <f>IF(OR(AT102=0,22&lt;='01_Вводные'!$B$297),0,AT102*IF('01_Вводные'!$B$239="Да",MeanMinAge22+AT204*SUMIF(ThresholdAge22,"&lt;"&amp;AT204,WeightedRevAge22)-SUMIF(ThresholdAge22,"&lt;"&amp;AT204,WeightedMinAge22),MAX(CapacityAge22*'01_Вводные'!$B$218*AT204,MeanMinAge22)))</f>
        <v/>
      </c>
      <c r="AU130" s="190">
        <f>IF(OR(AU102=0,22&lt;='01_Вводные'!$B$297),0,AU102*IF('01_Вводные'!$B$239="Да",MeanMinAge22+AU204*SUMIF(ThresholdAge22,"&lt;"&amp;AU204,WeightedRevAge22)-SUMIF(ThresholdAge22,"&lt;"&amp;AU204,WeightedMinAge22),MAX(CapacityAge22*'01_Вводные'!$B$218*AU204,MeanMinAge22)))</f>
        <v/>
      </c>
      <c r="AV130" s="190">
        <f>IF(OR(AV102=0,22&lt;='01_Вводные'!$B$297),0,AV102*IF('01_Вводные'!$B$239="Да",MeanMinAge22+AV204*SUMIF(ThresholdAge22,"&lt;"&amp;AV204,WeightedRevAge22)-SUMIF(ThresholdAge22,"&lt;"&amp;AV204,WeightedMinAge22),MAX(CapacityAge22*'01_Вводные'!$B$218*AV204,MeanMinAge22)))</f>
        <v/>
      </c>
      <c r="AW130" s="190">
        <f>IF(OR(AW102=0,22&lt;='01_Вводные'!$B$297),0,AW102*IF('01_Вводные'!$B$239="Да",MeanMinAge22+AW204*SUMIF(ThresholdAge22,"&lt;"&amp;AW204,WeightedRevAge22)-SUMIF(ThresholdAge22,"&lt;"&amp;AW204,WeightedMinAge22),MAX(CapacityAge22*'01_Вводные'!$B$218*AW204,MeanMinAge22)))</f>
        <v/>
      </c>
      <c r="AX130" s="190">
        <f>IF(OR(AX102=0,22&lt;='01_Вводные'!$B$297),0,AX102*IF('01_Вводные'!$B$239="Да",MeanMinAge22+AX204*SUMIF(ThresholdAge22,"&lt;"&amp;AX204,WeightedRevAge22)-SUMIF(ThresholdAge22,"&lt;"&amp;AX204,WeightedMinAge22),MAX(CapacityAge22*'01_Вводные'!$B$218*AX204,MeanMinAge22)))</f>
        <v/>
      </c>
      <c r="AY130" s="190">
        <f>IF(OR(AY102=0,22&lt;='01_Вводные'!$B$297),0,AY102*IF('01_Вводные'!$B$239="Да",MeanMinAge22+AY204*SUMIF(ThresholdAge22,"&lt;"&amp;AY204,WeightedRevAge22)-SUMIF(ThresholdAge22,"&lt;"&amp;AY204,WeightedMinAge22),MAX(CapacityAge22*'01_Вводные'!$B$218*AY204,MeanMinAge22)))</f>
        <v/>
      </c>
      <c r="AZ130" s="190">
        <f>IF(OR(AZ102=0,22&lt;='01_Вводные'!$B$297),0,AZ102*IF('01_Вводные'!$B$239="Да",MeanMinAge22+AZ204*SUMIF(ThresholdAge22,"&lt;"&amp;AZ204,WeightedRevAge22)-SUMIF(ThresholdAge22,"&lt;"&amp;AZ204,WeightedMinAge22),MAX(CapacityAge22*'01_Вводные'!$B$218*AZ204,MeanMinAge22)))</f>
        <v/>
      </c>
      <c r="BA130" s="190">
        <f>IF(OR(BA102=0,22&lt;='01_Вводные'!$B$297),0,BA102*IF('01_Вводные'!$B$239="Да",MeanMinAge22+BA204*SUMIF(ThresholdAge22,"&lt;"&amp;BA204,WeightedRevAge22)-SUMIF(ThresholdAge22,"&lt;"&amp;BA204,WeightedMinAge22),MAX(CapacityAge22*'01_Вводные'!$B$218*BA204,MeanMinAge22)))</f>
        <v/>
      </c>
      <c r="BB130" s="190">
        <f>IF(OR(BB102=0,22&lt;='01_Вводные'!$B$297),0,BB102*IF('01_Вводные'!$B$239="Да",MeanMinAge22+BB204*SUMIF(ThresholdAge22,"&lt;"&amp;BB204,WeightedRevAge22)-SUMIF(ThresholdAge22,"&lt;"&amp;BB204,WeightedMinAge22),MAX(CapacityAge22*'01_Вводные'!$B$218*BB204,MeanMinAge22)))</f>
        <v/>
      </c>
      <c r="BC130" s="190">
        <f>IF(OR(BC102=0,22&lt;='01_Вводные'!$B$297),0,BC102*IF('01_Вводные'!$B$239="Да",MeanMinAge22+BC204*SUMIF(ThresholdAge22,"&lt;"&amp;BC204,WeightedRevAge22)-SUMIF(ThresholdAge22,"&lt;"&amp;BC204,WeightedMinAge22),MAX(CapacityAge22*'01_Вводные'!$B$218*BC204,MeanMinAge22)))</f>
        <v/>
      </c>
      <c r="BD130" s="190">
        <f>IF(OR(BD102=0,22&lt;='01_Вводные'!$B$297),0,BD102*IF('01_Вводные'!$B$239="Да",MeanMinAge22+BD204*SUMIF(ThresholdAge22,"&lt;"&amp;BD204,WeightedRevAge22)-SUMIF(ThresholdAge22,"&lt;"&amp;BD204,WeightedMinAge22),MAX(CapacityAge22*'01_Вводные'!$B$218*BD204,MeanMinAge22)))</f>
        <v/>
      </c>
      <c r="BE130" s="190">
        <f>IF(OR(BE102=0,22&lt;='01_Вводные'!$B$297),0,BE102*IF('01_Вводные'!$B$239="Да",MeanMinAge22+BE204*SUMIF(ThresholdAge22,"&lt;"&amp;BE204,WeightedRevAge22)-SUMIF(ThresholdAge22,"&lt;"&amp;BE204,WeightedMinAge22),MAX(CapacityAge22*'01_Вводные'!$B$218*BE204,MeanMinAge22)))</f>
        <v/>
      </c>
      <c r="BF130" s="190">
        <f>IF(OR(BF102=0,22&lt;='01_Вводные'!$B$297),0,BF102*IF('01_Вводные'!$B$239="Да",MeanMinAge22+BF204*SUMIF(ThresholdAge22,"&lt;"&amp;BF204,WeightedRevAge22)-SUMIF(ThresholdAge22,"&lt;"&amp;BF204,WeightedMinAge22),MAX(CapacityAge22*'01_Вводные'!$B$218*BF204,MeanMinAge22)))</f>
        <v/>
      </c>
      <c r="BG130" s="190">
        <f>IF(OR(BG102=0,22&lt;='01_Вводные'!$B$297),0,BG102*IF('01_Вводные'!$B$239="Да",MeanMinAge22+BG204*SUMIF(ThresholdAge22,"&lt;"&amp;BG204,WeightedRevAge22)-SUMIF(ThresholdAge22,"&lt;"&amp;BG204,WeightedMinAge22),MAX(CapacityAge22*'01_Вводные'!$B$218*BG204,MeanMinAge22)))</f>
        <v/>
      </c>
      <c r="BH130" s="190">
        <f>IF(OR(BH102=0,22&lt;='01_Вводные'!$B$297),0,BH102*IF('01_Вводные'!$B$239="Да",MeanMinAge22+BH204*SUMIF(ThresholdAge22,"&lt;"&amp;BH204,WeightedRevAge22)-SUMIF(ThresholdAge22,"&lt;"&amp;BH204,WeightedMinAge22),MAX(CapacityAge22*'01_Вводные'!$B$218*BH204,MeanMinAge22)))</f>
        <v/>
      </c>
      <c r="BI130" s="190">
        <f>IF(OR(BI102=0,22&lt;='01_Вводные'!$B$297),0,BI102*IF('01_Вводные'!$B$239="Да",MeanMinAge22+BI204*SUMIF(ThresholdAge22,"&lt;"&amp;BI204,WeightedRevAge22)-SUMIF(ThresholdAge22,"&lt;"&amp;BI204,WeightedMinAge22),MAX(CapacityAge22*'01_Вводные'!$B$218*BI204,MeanMinAge22)))</f>
        <v/>
      </c>
      <c r="BJ130" s="190">
        <f>IF(OR(BJ102=0,22&lt;='01_Вводные'!$B$297),0,BJ102*IF('01_Вводные'!$B$239="Да",MeanMinAge22+BJ204*SUMIF(ThresholdAge22,"&lt;"&amp;BJ204,WeightedRevAge22)-SUMIF(ThresholdAge22,"&lt;"&amp;BJ204,WeightedMinAge22),MAX(CapacityAge22*'01_Вводные'!$B$218*BJ204,MeanMinAge22)))</f>
        <v/>
      </c>
      <c r="BK130" s="190">
        <f>IF(OR(BK102=0,22&lt;='01_Вводные'!$B$297),0,BK102*IF('01_Вводные'!$B$239="Да",MeanMinAge22+BK204*SUMIF(ThresholdAge22,"&lt;"&amp;BK204,WeightedRevAge22)-SUMIF(ThresholdAge22,"&lt;"&amp;BK204,WeightedMinAge22),MAX(CapacityAge22*'01_Вводные'!$B$218*BK204,MeanMinAge22)))</f>
        <v/>
      </c>
      <c r="BL130" s="190">
        <f>IF(OR(BL102=0,22&lt;='01_Вводные'!$B$297),0,BL102*IF('01_Вводные'!$B$239="Да",MeanMinAge22+BL204*SUMIF(ThresholdAge22,"&lt;"&amp;BL204,WeightedRevAge22)-SUMIF(ThresholdAge22,"&lt;"&amp;BL204,WeightedMinAge22),MAX(CapacityAge22*'01_Вводные'!$B$218*BL204,MeanMinAge22)))</f>
        <v/>
      </c>
      <c r="BM130" s="190">
        <f>IF(OR(BM102=0,22&lt;='01_Вводные'!$B$297),0,BM102*IF('01_Вводные'!$B$239="Да",MeanMinAge22+BM204*SUMIF(ThresholdAge22,"&lt;"&amp;BM204,WeightedRevAge22)-SUMIF(ThresholdAge22,"&lt;"&amp;BM204,WeightedMinAge22),MAX(CapacityAge22*'01_Вводные'!$B$218*BM204,MeanMinAge22)))</f>
        <v/>
      </c>
      <c r="BN130" s="190">
        <f>IF(OR(BN102=0,22&lt;='01_Вводные'!$B$297),0,BN102*IF('01_Вводные'!$B$239="Да",MeanMinAge22+BN204*SUMIF(ThresholdAge22,"&lt;"&amp;BN204,WeightedRevAge22)-SUMIF(ThresholdAge22,"&lt;"&amp;BN204,WeightedMinAge22),MAX(CapacityAge22*'01_Вводные'!$B$218*BN204,MeanMinAge22)))</f>
        <v/>
      </c>
      <c r="BO130" s="190">
        <f>IF(OR(BO102=0,22&lt;='01_Вводные'!$B$297),0,BO102*IF('01_Вводные'!$B$239="Да",MeanMinAge22+BO204*SUMIF(ThresholdAge22,"&lt;"&amp;BO204,WeightedRevAge22)-SUMIF(ThresholdAge22,"&lt;"&amp;BO204,WeightedMinAge22),MAX(CapacityAge22*'01_Вводные'!$B$218*BO204,MeanMinAge22)))</f>
        <v/>
      </c>
    </row>
    <row r="131" hidden="1" outlineLevel="1">
      <c r="A131" t="inlineStr">
        <is>
          <t>23 мес.</t>
        </is>
      </c>
      <c r="B131" s="190">
        <f>IF(OR(B103=0,23&lt;='01_Вводные'!$B$297),0,B103*IF('01_Вводные'!$B$239="Да",MeanMinAge23+B204*SUMIF(ThresholdAge23,"&lt;"&amp;B204,WeightedRevAge23)-SUMIF(ThresholdAge23,"&lt;"&amp;B204,WeightedMinAge23),MAX(CapacityAge23*'01_Вводные'!$B$218*B204,MeanMinAge23)))</f>
        <v/>
      </c>
      <c r="C131" s="190">
        <f>IF(OR(C103=0,23&lt;='01_Вводные'!$B$297),0,C103*IF('01_Вводные'!$B$239="Да",MeanMinAge23+C204*SUMIF(ThresholdAge23,"&lt;"&amp;C204,WeightedRevAge23)-SUMIF(ThresholdAge23,"&lt;"&amp;C204,WeightedMinAge23),MAX(CapacityAge23*'01_Вводные'!$B$218*C204,MeanMinAge23)))</f>
        <v/>
      </c>
      <c r="D131" s="190">
        <f>IF(OR(D103=0,23&lt;='01_Вводные'!$B$297),0,D103*IF('01_Вводные'!$B$239="Да",MeanMinAge23+D204*SUMIF(ThresholdAge23,"&lt;"&amp;D204,WeightedRevAge23)-SUMIF(ThresholdAge23,"&lt;"&amp;D204,WeightedMinAge23),MAX(CapacityAge23*'01_Вводные'!$B$218*D204,MeanMinAge23)))</f>
        <v/>
      </c>
      <c r="E131" s="190">
        <f>IF(OR(E103=0,23&lt;='01_Вводные'!$B$297),0,E103*IF('01_Вводные'!$B$239="Да",MeanMinAge23+E204*SUMIF(ThresholdAge23,"&lt;"&amp;E204,WeightedRevAge23)-SUMIF(ThresholdAge23,"&lt;"&amp;E204,WeightedMinAge23),MAX(CapacityAge23*'01_Вводные'!$B$218*E204,MeanMinAge23)))</f>
        <v/>
      </c>
      <c r="F131" s="190">
        <f>IF(OR(F103=0,23&lt;='01_Вводные'!$B$297),0,F103*IF('01_Вводные'!$B$239="Да",MeanMinAge23+F204*SUMIF(ThresholdAge23,"&lt;"&amp;F204,WeightedRevAge23)-SUMIF(ThresholdAge23,"&lt;"&amp;F204,WeightedMinAge23),MAX(CapacityAge23*'01_Вводные'!$B$218*F204,MeanMinAge23)))</f>
        <v/>
      </c>
      <c r="G131" s="190">
        <f>IF(OR(G103=0,23&lt;='01_Вводные'!$B$297),0,G103*IF('01_Вводные'!$B$239="Да",MeanMinAge23+G204*SUMIF(ThresholdAge23,"&lt;"&amp;G204,WeightedRevAge23)-SUMIF(ThresholdAge23,"&lt;"&amp;G204,WeightedMinAge23),MAX(CapacityAge23*'01_Вводные'!$B$218*G204,MeanMinAge23)))</f>
        <v/>
      </c>
      <c r="H131" s="190">
        <f>IF(OR(H103=0,23&lt;='01_Вводные'!$B$297),0,H103*IF('01_Вводные'!$B$239="Да",MeanMinAge23+H204*SUMIF(ThresholdAge23,"&lt;"&amp;H204,WeightedRevAge23)-SUMIF(ThresholdAge23,"&lt;"&amp;H204,WeightedMinAge23),MAX(CapacityAge23*'01_Вводные'!$B$218*H204,MeanMinAge23)))</f>
        <v/>
      </c>
      <c r="I131" s="190">
        <f>IF(OR(I103=0,23&lt;='01_Вводные'!$B$297),0,I103*IF('01_Вводные'!$B$239="Да",MeanMinAge23+I204*SUMIF(ThresholdAge23,"&lt;"&amp;I204,WeightedRevAge23)-SUMIF(ThresholdAge23,"&lt;"&amp;I204,WeightedMinAge23),MAX(CapacityAge23*'01_Вводные'!$B$218*I204,MeanMinAge23)))</f>
        <v/>
      </c>
      <c r="J131" s="190">
        <f>IF(OR(J103=0,23&lt;='01_Вводные'!$B$297),0,J103*IF('01_Вводные'!$B$239="Да",MeanMinAge23+J204*SUMIF(ThresholdAge23,"&lt;"&amp;J204,WeightedRevAge23)-SUMIF(ThresholdAge23,"&lt;"&amp;J204,WeightedMinAge23),MAX(CapacityAge23*'01_Вводные'!$B$218*J204,MeanMinAge23)))</f>
        <v/>
      </c>
      <c r="K131" s="190">
        <f>IF(OR(K103=0,23&lt;='01_Вводные'!$B$297),0,K103*IF('01_Вводные'!$B$239="Да",MeanMinAge23+K204*SUMIF(ThresholdAge23,"&lt;"&amp;K204,WeightedRevAge23)-SUMIF(ThresholdAge23,"&lt;"&amp;K204,WeightedMinAge23),MAX(CapacityAge23*'01_Вводные'!$B$218*K204,MeanMinAge23)))</f>
        <v/>
      </c>
      <c r="L131" s="190">
        <f>IF(OR(L103=0,23&lt;='01_Вводные'!$B$297),0,L103*IF('01_Вводные'!$B$239="Да",MeanMinAge23+L204*SUMIF(ThresholdAge23,"&lt;"&amp;L204,WeightedRevAge23)-SUMIF(ThresholdAge23,"&lt;"&amp;L204,WeightedMinAge23),MAX(CapacityAge23*'01_Вводные'!$B$218*L204,MeanMinAge23)))</f>
        <v/>
      </c>
      <c r="M131" s="190">
        <f>IF(OR(M103=0,23&lt;='01_Вводные'!$B$297),0,M103*IF('01_Вводные'!$B$239="Да",MeanMinAge23+M204*SUMIF(ThresholdAge23,"&lt;"&amp;M204,WeightedRevAge23)-SUMIF(ThresholdAge23,"&lt;"&amp;M204,WeightedMinAge23),MAX(CapacityAge23*'01_Вводные'!$B$218*M204,MeanMinAge23)))</f>
        <v/>
      </c>
      <c r="N131" s="190">
        <f>IF(OR(N103=0,23&lt;='01_Вводные'!$B$297),0,N103*IF('01_Вводные'!$B$239="Да",MeanMinAge23+N204*SUMIF(ThresholdAge23,"&lt;"&amp;N204,WeightedRevAge23)-SUMIF(ThresholdAge23,"&lt;"&amp;N204,WeightedMinAge23),MAX(CapacityAge23*'01_Вводные'!$B$218*N204,MeanMinAge23)))</f>
        <v/>
      </c>
      <c r="O131" s="190">
        <f>IF(OR(O103=0,23&lt;='01_Вводные'!$B$297),0,O103*IF('01_Вводные'!$B$239="Да",MeanMinAge23+O204*SUMIF(ThresholdAge23,"&lt;"&amp;O204,WeightedRevAge23)-SUMIF(ThresholdAge23,"&lt;"&amp;O204,WeightedMinAge23),MAX(CapacityAge23*'01_Вводные'!$B$218*O204,MeanMinAge23)))</f>
        <v/>
      </c>
      <c r="P131" s="190">
        <f>IF(OR(P103=0,23&lt;='01_Вводные'!$B$297),0,P103*IF('01_Вводные'!$B$239="Да",MeanMinAge23+P204*SUMIF(ThresholdAge23,"&lt;"&amp;P204,WeightedRevAge23)-SUMIF(ThresholdAge23,"&lt;"&amp;P204,WeightedMinAge23),MAX(CapacityAge23*'01_Вводные'!$B$218*P204,MeanMinAge23)))</f>
        <v/>
      </c>
      <c r="Q131" s="190">
        <f>IF(OR(Q103=0,23&lt;='01_Вводные'!$B$297),0,Q103*IF('01_Вводные'!$B$239="Да",MeanMinAge23+Q204*SUMIF(ThresholdAge23,"&lt;"&amp;Q204,WeightedRevAge23)-SUMIF(ThresholdAge23,"&lt;"&amp;Q204,WeightedMinAge23),MAX(CapacityAge23*'01_Вводные'!$B$218*Q204,MeanMinAge23)))</f>
        <v/>
      </c>
      <c r="R131" s="190">
        <f>IF(OR(R103=0,23&lt;='01_Вводные'!$B$297),0,R103*IF('01_Вводные'!$B$239="Да",MeanMinAge23+R204*SUMIF(ThresholdAge23,"&lt;"&amp;R204,WeightedRevAge23)-SUMIF(ThresholdAge23,"&lt;"&amp;R204,WeightedMinAge23),MAX(CapacityAge23*'01_Вводные'!$B$218*R204,MeanMinAge23)))</f>
        <v/>
      </c>
      <c r="S131" s="190">
        <f>IF(OR(S103=0,23&lt;='01_Вводные'!$B$297),0,S103*IF('01_Вводные'!$B$239="Да",MeanMinAge23+S204*SUMIF(ThresholdAge23,"&lt;"&amp;S204,WeightedRevAge23)-SUMIF(ThresholdAge23,"&lt;"&amp;S204,WeightedMinAge23),MAX(CapacityAge23*'01_Вводные'!$B$218*S204,MeanMinAge23)))</f>
        <v/>
      </c>
      <c r="T131" s="190">
        <f>IF(OR(T103=0,23&lt;='01_Вводные'!$B$297),0,T103*IF('01_Вводные'!$B$239="Да",MeanMinAge23+T204*SUMIF(ThresholdAge23,"&lt;"&amp;T204,WeightedRevAge23)-SUMIF(ThresholdAge23,"&lt;"&amp;T204,WeightedMinAge23),MAX(CapacityAge23*'01_Вводные'!$B$218*T204,MeanMinAge23)))</f>
        <v/>
      </c>
      <c r="U131" s="190">
        <f>IF(OR(U103=0,23&lt;='01_Вводные'!$B$297),0,U103*IF('01_Вводные'!$B$239="Да",MeanMinAge23+U204*SUMIF(ThresholdAge23,"&lt;"&amp;U204,WeightedRevAge23)-SUMIF(ThresholdAge23,"&lt;"&amp;U204,WeightedMinAge23),MAX(CapacityAge23*'01_Вводные'!$B$218*U204,MeanMinAge23)))</f>
        <v/>
      </c>
      <c r="V131" s="190">
        <f>IF(OR(V103=0,23&lt;='01_Вводные'!$B$297),0,V103*IF('01_Вводные'!$B$239="Да",MeanMinAge23+V204*SUMIF(ThresholdAge23,"&lt;"&amp;V204,WeightedRevAge23)-SUMIF(ThresholdAge23,"&lt;"&amp;V204,WeightedMinAge23),MAX(CapacityAge23*'01_Вводные'!$B$218*V204,MeanMinAge23)))</f>
        <v/>
      </c>
      <c r="W131" s="190">
        <f>IF(OR(W103=0,23&lt;='01_Вводные'!$B$297),0,W103*IF('01_Вводные'!$B$239="Да",MeanMinAge23+W204*SUMIF(ThresholdAge23,"&lt;"&amp;W204,WeightedRevAge23)-SUMIF(ThresholdAge23,"&lt;"&amp;W204,WeightedMinAge23),MAX(CapacityAge23*'01_Вводные'!$B$218*W204,MeanMinAge23)))</f>
        <v/>
      </c>
      <c r="X131" s="190">
        <f>IF(OR(X103=0,23&lt;='01_Вводные'!$B$297),0,X103*IF('01_Вводные'!$B$239="Да",MeanMinAge23+X204*SUMIF(ThresholdAge23,"&lt;"&amp;X204,WeightedRevAge23)-SUMIF(ThresholdAge23,"&lt;"&amp;X204,WeightedMinAge23),MAX(CapacityAge23*'01_Вводные'!$B$218*X204,MeanMinAge23)))</f>
        <v/>
      </c>
      <c r="Y131" s="190">
        <f>IF(OR(Y103=0,23&lt;='01_Вводные'!$B$297),0,Y103*IF('01_Вводные'!$B$239="Да",MeanMinAge23+Y204*SUMIF(ThresholdAge23,"&lt;"&amp;Y204,WeightedRevAge23)-SUMIF(ThresholdAge23,"&lt;"&amp;Y204,WeightedMinAge23),MAX(CapacityAge23*'01_Вводные'!$B$218*Y204,MeanMinAge23)))</f>
        <v/>
      </c>
      <c r="Z131" s="190">
        <f>IF(OR(Z103=0,23&lt;='01_Вводные'!$B$297),0,Z103*IF('01_Вводные'!$B$239="Да",MeanMinAge23+Z204*SUMIF(ThresholdAge23,"&lt;"&amp;Z204,WeightedRevAge23)-SUMIF(ThresholdAge23,"&lt;"&amp;Z204,WeightedMinAge23),MAX(CapacityAge23*'01_Вводные'!$B$218*Z204,MeanMinAge23)))</f>
        <v/>
      </c>
      <c r="AA131" s="190">
        <f>IF(OR(AA103=0,23&lt;='01_Вводные'!$B$297),0,AA103*IF('01_Вводные'!$B$239="Да",MeanMinAge23+AA204*SUMIF(ThresholdAge23,"&lt;"&amp;AA204,WeightedRevAge23)-SUMIF(ThresholdAge23,"&lt;"&amp;AA204,WeightedMinAge23),MAX(CapacityAge23*'01_Вводные'!$B$218*AA204,MeanMinAge23)))</f>
        <v/>
      </c>
      <c r="AB131" s="190">
        <f>IF(OR(AB103=0,23&lt;='01_Вводные'!$B$297),0,AB103*IF('01_Вводные'!$B$239="Да",MeanMinAge23+AB204*SUMIF(ThresholdAge23,"&lt;"&amp;AB204,WeightedRevAge23)-SUMIF(ThresholdAge23,"&lt;"&amp;AB204,WeightedMinAge23),MAX(CapacityAge23*'01_Вводные'!$B$218*AB204,MeanMinAge23)))</f>
        <v/>
      </c>
      <c r="AC131" s="190">
        <f>IF(OR(AC103=0,23&lt;='01_Вводные'!$B$297),0,AC103*IF('01_Вводные'!$B$239="Да",MeanMinAge23+AC204*SUMIF(ThresholdAge23,"&lt;"&amp;AC204,WeightedRevAge23)-SUMIF(ThresholdAge23,"&lt;"&amp;AC204,WeightedMinAge23),MAX(CapacityAge23*'01_Вводные'!$B$218*AC204,MeanMinAge23)))</f>
        <v/>
      </c>
      <c r="AD131" s="190">
        <f>IF(OR(AD103=0,23&lt;='01_Вводные'!$B$297),0,AD103*IF('01_Вводные'!$B$239="Да",MeanMinAge23+AD204*SUMIF(ThresholdAge23,"&lt;"&amp;AD204,WeightedRevAge23)-SUMIF(ThresholdAge23,"&lt;"&amp;AD204,WeightedMinAge23),MAX(CapacityAge23*'01_Вводные'!$B$218*AD204,MeanMinAge23)))</f>
        <v/>
      </c>
      <c r="AE131" s="190">
        <f>IF(OR(AE103=0,23&lt;='01_Вводные'!$B$297),0,AE103*IF('01_Вводные'!$B$239="Да",MeanMinAge23+AE204*SUMIF(ThresholdAge23,"&lt;"&amp;AE204,WeightedRevAge23)-SUMIF(ThresholdAge23,"&lt;"&amp;AE204,WeightedMinAge23),MAX(CapacityAge23*'01_Вводные'!$B$218*AE204,MeanMinAge23)))</f>
        <v/>
      </c>
      <c r="AF131" s="190">
        <f>IF(OR(AF103=0,23&lt;='01_Вводные'!$B$297),0,AF103*IF('01_Вводные'!$B$239="Да",MeanMinAge23+AF204*SUMIF(ThresholdAge23,"&lt;"&amp;AF204,WeightedRevAge23)-SUMIF(ThresholdAge23,"&lt;"&amp;AF204,WeightedMinAge23),MAX(CapacityAge23*'01_Вводные'!$B$218*AF204,MeanMinAge23)))</f>
        <v/>
      </c>
      <c r="AG131" s="190">
        <f>IF(OR(AG103=0,23&lt;='01_Вводные'!$B$297),0,AG103*IF('01_Вводные'!$B$239="Да",MeanMinAge23+AG204*SUMIF(ThresholdAge23,"&lt;"&amp;AG204,WeightedRevAge23)-SUMIF(ThresholdAge23,"&lt;"&amp;AG204,WeightedMinAge23),MAX(CapacityAge23*'01_Вводные'!$B$218*AG204,MeanMinAge23)))</f>
        <v/>
      </c>
      <c r="AH131" s="190">
        <f>IF(OR(AH103=0,23&lt;='01_Вводные'!$B$297),0,AH103*IF('01_Вводные'!$B$239="Да",MeanMinAge23+AH204*SUMIF(ThresholdAge23,"&lt;"&amp;AH204,WeightedRevAge23)-SUMIF(ThresholdAge23,"&lt;"&amp;AH204,WeightedMinAge23),MAX(CapacityAge23*'01_Вводные'!$B$218*AH204,MeanMinAge23)))</f>
        <v/>
      </c>
      <c r="AI131" s="190">
        <f>IF(OR(AI103=0,23&lt;='01_Вводные'!$B$297),0,AI103*IF('01_Вводные'!$B$239="Да",MeanMinAge23+AI204*SUMIF(ThresholdAge23,"&lt;"&amp;AI204,WeightedRevAge23)-SUMIF(ThresholdAge23,"&lt;"&amp;AI204,WeightedMinAge23),MAX(CapacityAge23*'01_Вводные'!$B$218*AI204,MeanMinAge23)))</f>
        <v/>
      </c>
      <c r="AJ131" s="190">
        <f>IF(OR(AJ103=0,23&lt;='01_Вводные'!$B$297),0,AJ103*IF('01_Вводные'!$B$239="Да",MeanMinAge23+AJ204*SUMIF(ThresholdAge23,"&lt;"&amp;AJ204,WeightedRevAge23)-SUMIF(ThresholdAge23,"&lt;"&amp;AJ204,WeightedMinAge23),MAX(CapacityAge23*'01_Вводные'!$B$218*AJ204,MeanMinAge23)))</f>
        <v/>
      </c>
      <c r="AK131" s="190">
        <f>IF(OR(AK103=0,23&lt;='01_Вводные'!$B$297),0,AK103*IF('01_Вводные'!$B$239="Да",MeanMinAge23+AK204*SUMIF(ThresholdAge23,"&lt;"&amp;AK204,WeightedRevAge23)-SUMIF(ThresholdAge23,"&lt;"&amp;AK204,WeightedMinAge23),MAX(CapacityAge23*'01_Вводные'!$B$218*AK204,MeanMinAge23)))</f>
        <v/>
      </c>
      <c r="AL131" s="190">
        <f>IF(OR(AL103=0,23&lt;='01_Вводные'!$B$297),0,AL103*IF('01_Вводные'!$B$239="Да",MeanMinAge23+AL204*SUMIF(ThresholdAge23,"&lt;"&amp;AL204,WeightedRevAge23)-SUMIF(ThresholdAge23,"&lt;"&amp;AL204,WeightedMinAge23),MAX(CapacityAge23*'01_Вводные'!$B$218*AL204,MeanMinAge23)))</f>
        <v/>
      </c>
      <c r="AM131" s="190">
        <f>IF(OR(AM103=0,23&lt;='01_Вводные'!$B$297),0,AM103*IF('01_Вводные'!$B$239="Да",MeanMinAge23+AM204*SUMIF(ThresholdAge23,"&lt;"&amp;AM204,WeightedRevAge23)-SUMIF(ThresholdAge23,"&lt;"&amp;AM204,WeightedMinAge23),MAX(CapacityAge23*'01_Вводные'!$B$218*AM204,MeanMinAge23)))</f>
        <v/>
      </c>
      <c r="AN131" s="190">
        <f>IF(OR(AN103=0,23&lt;='01_Вводные'!$B$297),0,AN103*IF('01_Вводные'!$B$239="Да",MeanMinAge23+AN204*SUMIF(ThresholdAge23,"&lt;"&amp;AN204,WeightedRevAge23)-SUMIF(ThresholdAge23,"&lt;"&amp;AN204,WeightedMinAge23),MAX(CapacityAge23*'01_Вводные'!$B$218*AN204,MeanMinAge23)))</f>
        <v/>
      </c>
      <c r="AO131" s="190">
        <f>IF(OR(AO103=0,23&lt;='01_Вводные'!$B$297),0,AO103*IF('01_Вводные'!$B$239="Да",MeanMinAge23+AO204*SUMIF(ThresholdAge23,"&lt;"&amp;AO204,WeightedRevAge23)-SUMIF(ThresholdAge23,"&lt;"&amp;AO204,WeightedMinAge23),MAX(CapacityAge23*'01_Вводные'!$B$218*AO204,MeanMinAge23)))</f>
        <v/>
      </c>
      <c r="AP131" s="190">
        <f>IF(OR(AP103=0,23&lt;='01_Вводные'!$B$297),0,AP103*IF('01_Вводные'!$B$239="Да",MeanMinAge23+AP204*SUMIF(ThresholdAge23,"&lt;"&amp;AP204,WeightedRevAge23)-SUMIF(ThresholdAge23,"&lt;"&amp;AP204,WeightedMinAge23),MAX(CapacityAge23*'01_Вводные'!$B$218*AP204,MeanMinAge23)))</f>
        <v/>
      </c>
      <c r="AQ131" s="190">
        <f>IF(OR(AQ103=0,23&lt;='01_Вводные'!$B$297),0,AQ103*IF('01_Вводные'!$B$239="Да",MeanMinAge23+AQ204*SUMIF(ThresholdAge23,"&lt;"&amp;AQ204,WeightedRevAge23)-SUMIF(ThresholdAge23,"&lt;"&amp;AQ204,WeightedMinAge23),MAX(CapacityAge23*'01_Вводные'!$B$218*AQ204,MeanMinAge23)))</f>
        <v/>
      </c>
      <c r="AR131" s="190">
        <f>IF(OR(AR103=0,23&lt;='01_Вводные'!$B$297),0,AR103*IF('01_Вводные'!$B$239="Да",MeanMinAge23+AR204*SUMIF(ThresholdAge23,"&lt;"&amp;AR204,WeightedRevAge23)-SUMIF(ThresholdAge23,"&lt;"&amp;AR204,WeightedMinAge23),MAX(CapacityAge23*'01_Вводные'!$B$218*AR204,MeanMinAge23)))</f>
        <v/>
      </c>
      <c r="AS131" s="190">
        <f>IF(OR(AS103=0,23&lt;='01_Вводные'!$B$297),0,AS103*IF('01_Вводные'!$B$239="Да",MeanMinAge23+AS204*SUMIF(ThresholdAge23,"&lt;"&amp;AS204,WeightedRevAge23)-SUMIF(ThresholdAge23,"&lt;"&amp;AS204,WeightedMinAge23),MAX(CapacityAge23*'01_Вводные'!$B$218*AS204,MeanMinAge23)))</f>
        <v/>
      </c>
      <c r="AT131" s="190">
        <f>IF(OR(AT103=0,23&lt;='01_Вводные'!$B$297),0,AT103*IF('01_Вводные'!$B$239="Да",MeanMinAge23+AT204*SUMIF(ThresholdAge23,"&lt;"&amp;AT204,WeightedRevAge23)-SUMIF(ThresholdAge23,"&lt;"&amp;AT204,WeightedMinAge23),MAX(CapacityAge23*'01_Вводные'!$B$218*AT204,MeanMinAge23)))</f>
        <v/>
      </c>
      <c r="AU131" s="190">
        <f>IF(OR(AU103=0,23&lt;='01_Вводные'!$B$297),0,AU103*IF('01_Вводные'!$B$239="Да",MeanMinAge23+AU204*SUMIF(ThresholdAge23,"&lt;"&amp;AU204,WeightedRevAge23)-SUMIF(ThresholdAge23,"&lt;"&amp;AU204,WeightedMinAge23),MAX(CapacityAge23*'01_Вводные'!$B$218*AU204,MeanMinAge23)))</f>
        <v/>
      </c>
      <c r="AV131" s="190">
        <f>IF(OR(AV103=0,23&lt;='01_Вводные'!$B$297),0,AV103*IF('01_Вводные'!$B$239="Да",MeanMinAge23+AV204*SUMIF(ThresholdAge23,"&lt;"&amp;AV204,WeightedRevAge23)-SUMIF(ThresholdAge23,"&lt;"&amp;AV204,WeightedMinAge23),MAX(CapacityAge23*'01_Вводные'!$B$218*AV204,MeanMinAge23)))</f>
        <v/>
      </c>
      <c r="AW131" s="190">
        <f>IF(OR(AW103=0,23&lt;='01_Вводные'!$B$297),0,AW103*IF('01_Вводные'!$B$239="Да",MeanMinAge23+AW204*SUMIF(ThresholdAge23,"&lt;"&amp;AW204,WeightedRevAge23)-SUMIF(ThresholdAge23,"&lt;"&amp;AW204,WeightedMinAge23),MAX(CapacityAge23*'01_Вводные'!$B$218*AW204,MeanMinAge23)))</f>
        <v/>
      </c>
      <c r="AX131" s="190">
        <f>IF(OR(AX103=0,23&lt;='01_Вводные'!$B$297),0,AX103*IF('01_Вводные'!$B$239="Да",MeanMinAge23+AX204*SUMIF(ThresholdAge23,"&lt;"&amp;AX204,WeightedRevAge23)-SUMIF(ThresholdAge23,"&lt;"&amp;AX204,WeightedMinAge23),MAX(CapacityAge23*'01_Вводные'!$B$218*AX204,MeanMinAge23)))</f>
        <v/>
      </c>
      <c r="AY131" s="190">
        <f>IF(OR(AY103=0,23&lt;='01_Вводные'!$B$297),0,AY103*IF('01_Вводные'!$B$239="Да",MeanMinAge23+AY204*SUMIF(ThresholdAge23,"&lt;"&amp;AY204,WeightedRevAge23)-SUMIF(ThresholdAge23,"&lt;"&amp;AY204,WeightedMinAge23),MAX(CapacityAge23*'01_Вводные'!$B$218*AY204,MeanMinAge23)))</f>
        <v/>
      </c>
      <c r="AZ131" s="190">
        <f>IF(OR(AZ103=0,23&lt;='01_Вводные'!$B$297),0,AZ103*IF('01_Вводные'!$B$239="Да",MeanMinAge23+AZ204*SUMIF(ThresholdAge23,"&lt;"&amp;AZ204,WeightedRevAge23)-SUMIF(ThresholdAge23,"&lt;"&amp;AZ204,WeightedMinAge23),MAX(CapacityAge23*'01_Вводные'!$B$218*AZ204,MeanMinAge23)))</f>
        <v/>
      </c>
      <c r="BA131" s="190">
        <f>IF(OR(BA103=0,23&lt;='01_Вводные'!$B$297),0,BA103*IF('01_Вводные'!$B$239="Да",MeanMinAge23+BA204*SUMIF(ThresholdAge23,"&lt;"&amp;BA204,WeightedRevAge23)-SUMIF(ThresholdAge23,"&lt;"&amp;BA204,WeightedMinAge23),MAX(CapacityAge23*'01_Вводные'!$B$218*BA204,MeanMinAge23)))</f>
        <v/>
      </c>
      <c r="BB131" s="190">
        <f>IF(OR(BB103=0,23&lt;='01_Вводные'!$B$297),0,BB103*IF('01_Вводные'!$B$239="Да",MeanMinAge23+BB204*SUMIF(ThresholdAge23,"&lt;"&amp;BB204,WeightedRevAge23)-SUMIF(ThresholdAge23,"&lt;"&amp;BB204,WeightedMinAge23),MAX(CapacityAge23*'01_Вводные'!$B$218*BB204,MeanMinAge23)))</f>
        <v/>
      </c>
      <c r="BC131" s="190">
        <f>IF(OR(BC103=0,23&lt;='01_Вводные'!$B$297),0,BC103*IF('01_Вводные'!$B$239="Да",MeanMinAge23+BC204*SUMIF(ThresholdAge23,"&lt;"&amp;BC204,WeightedRevAge23)-SUMIF(ThresholdAge23,"&lt;"&amp;BC204,WeightedMinAge23),MAX(CapacityAge23*'01_Вводные'!$B$218*BC204,MeanMinAge23)))</f>
        <v/>
      </c>
      <c r="BD131" s="190">
        <f>IF(OR(BD103=0,23&lt;='01_Вводные'!$B$297),0,BD103*IF('01_Вводные'!$B$239="Да",MeanMinAge23+BD204*SUMIF(ThresholdAge23,"&lt;"&amp;BD204,WeightedRevAge23)-SUMIF(ThresholdAge23,"&lt;"&amp;BD204,WeightedMinAge23),MAX(CapacityAge23*'01_Вводные'!$B$218*BD204,MeanMinAge23)))</f>
        <v/>
      </c>
      <c r="BE131" s="190">
        <f>IF(OR(BE103=0,23&lt;='01_Вводные'!$B$297),0,BE103*IF('01_Вводные'!$B$239="Да",MeanMinAge23+BE204*SUMIF(ThresholdAge23,"&lt;"&amp;BE204,WeightedRevAge23)-SUMIF(ThresholdAge23,"&lt;"&amp;BE204,WeightedMinAge23),MAX(CapacityAge23*'01_Вводные'!$B$218*BE204,MeanMinAge23)))</f>
        <v/>
      </c>
      <c r="BF131" s="190">
        <f>IF(OR(BF103=0,23&lt;='01_Вводные'!$B$297),0,BF103*IF('01_Вводные'!$B$239="Да",MeanMinAge23+BF204*SUMIF(ThresholdAge23,"&lt;"&amp;BF204,WeightedRevAge23)-SUMIF(ThresholdAge23,"&lt;"&amp;BF204,WeightedMinAge23),MAX(CapacityAge23*'01_Вводные'!$B$218*BF204,MeanMinAge23)))</f>
        <v/>
      </c>
      <c r="BG131" s="190">
        <f>IF(OR(BG103=0,23&lt;='01_Вводные'!$B$297),0,BG103*IF('01_Вводные'!$B$239="Да",MeanMinAge23+BG204*SUMIF(ThresholdAge23,"&lt;"&amp;BG204,WeightedRevAge23)-SUMIF(ThresholdAge23,"&lt;"&amp;BG204,WeightedMinAge23),MAX(CapacityAge23*'01_Вводные'!$B$218*BG204,MeanMinAge23)))</f>
        <v/>
      </c>
      <c r="BH131" s="190">
        <f>IF(OR(BH103=0,23&lt;='01_Вводные'!$B$297),0,BH103*IF('01_Вводные'!$B$239="Да",MeanMinAge23+BH204*SUMIF(ThresholdAge23,"&lt;"&amp;BH204,WeightedRevAge23)-SUMIF(ThresholdAge23,"&lt;"&amp;BH204,WeightedMinAge23),MAX(CapacityAge23*'01_Вводные'!$B$218*BH204,MeanMinAge23)))</f>
        <v/>
      </c>
      <c r="BI131" s="190">
        <f>IF(OR(BI103=0,23&lt;='01_Вводные'!$B$297),0,BI103*IF('01_Вводные'!$B$239="Да",MeanMinAge23+BI204*SUMIF(ThresholdAge23,"&lt;"&amp;BI204,WeightedRevAge23)-SUMIF(ThresholdAge23,"&lt;"&amp;BI204,WeightedMinAge23),MAX(CapacityAge23*'01_Вводные'!$B$218*BI204,MeanMinAge23)))</f>
        <v/>
      </c>
      <c r="BJ131" s="190">
        <f>IF(OR(BJ103=0,23&lt;='01_Вводные'!$B$297),0,BJ103*IF('01_Вводные'!$B$239="Да",MeanMinAge23+BJ204*SUMIF(ThresholdAge23,"&lt;"&amp;BJ204,WeightedRevAge23)-SUMIF(ThresholdAge23,"&lt;"&amp;BJ204,WeightedMinAge23),MAX(CapacityAge23*'01_Вводные'!$B$218*BJ204,MeanMinAge23)))</f>
        <v/>
      </c>
      <c r="BK131" s="190">
        <f>IF(OR(BK103=0,23&lt;='01_Вводные'!$B$297),0,BK103*IF('01_Вводные'!$B$239="Да",MeanMinAge23+BK204*SUMIF(ThresholdAge23,"&lt;"&amp;BK204,WeightedRevAge23)-SUMIF(ThresholdAge23,"&lt;"&amp;BK204,WeightedMinAge23),MAX(CapacityAge23*'01_Вводные'!$B$218*BK204,MeanMinAge23)))</f>
        <v/>
      </c>
      <c r="BL131" s="190">
        <f>IF(OR(BL103=0,23&lt;='01_Вводные'!$B$297),0,BL103*IF('01_Вводные'!$B$239="Да",MeanMinAge23+BL204*SUMIF(ThresholdAge23,"&lt;"&amp;BL204,WeightedRevAge23)-SUMIF(ThresholdAge23,"&lt;"&amp;BL204,WeightedMinAge23),MAX(CapacityAge23*'01_Вводные'!$B$218*BL204,MeanMinAge23)))</f>
        <v/>
      </c>
      <c r="BM131" s="190">
        <f>IF(OR(BM103=0,23&lt;='01_Вводные'!$B$297),0,BM103*IF('01_Вводные'!$B$239="Да",MeanMinAge23+BM204*SUMIF(ThresholdAge23,"&lt;"&amp;BM204,WeightedRevAge23)-SUMIF(ThresholdAge23,"&lt;"&amp;BM204,WeightedMinAge23),MAX(CapacityAge23*'01_Вводные'!$B$218*BM204,MeanMinAge23)))</f>
        <v/>
      </c>
      <c r="BN131" s="190">
        <f>IF(OR(BN103=0,23&lt;='01_Вводные'!$B$297),0,BN103*IF('01_Вводные'!$B$239="Да",MeanMinAge23+BN204*SUMIF(ThresholdAge23,"&lt;"&amp;BN204,WeightedRevAge23)-SUMIF(ThresholdAge23,"&lt;"&amp;BN204,WeightedMinAge23),MAX(CapacityAge23*'01_Вводные'!$B$218*BN204,MeanMinAge23)))</f>
        <v/>
      </c>
      <c r="BO131" s="190">
        <f>IF(OR(BO103=0,23&lt;='01_Вводные'!$B$297),0,BO103*IF('01_Вводные'!$B$239="Да",MeanMinAge23+BO204*SUMIF(ThresholdAge23,"&lt;"&amp;BO204,WeightedRevAge23)-SUMIF(ThresholdAge23,"&lt;"&amp;BO204,WeightedMinAge23),MAX(CapacityAge23*'01_Вводные'!$B$218*BO204,MeanMinAge23)))</f>
        <v/>
      </c>
    </row>
    <row r="132" hidden="1" outlineLevel="1">
      <c r="A132" t="inlineStr">
        <is>
          <t>24 мес.</t>
        </is>
      </c>
      <c r="B132" s="190">
        <f>IF(OR(B104=0,24&lt;='01_Вводные'!$B$297),0,B104*IF('01_Вводные'!$B$239="Да",MeanMinAge24+B204*SUMIF(ThresholdAge24,"&lt;"&amp;B204,WeightedRevAge24)-SUMIF(ThresholdAge24,"&lt;"&amp;B204,WeightedMinAge24),MAX(CapacityAge24*'01_Вводные'!$B$218*B204,MeanMinAge24)))</f>
        <v/>
      </c>
      <c r="C132" s="190">
        <f>IF(OR(C104=0,24&lt;='01_Вводные'!$B$297),0,C104*IF('01_Вводные'!$B$239="Да",MeanMinAge24+C204*SUMIF(ThresholdAge24,"&lt;"&amp;C204,WeightedRevAge24)-SUMIF(ThresholdAge24,"&lt;"&amp;C204,WeightedMinAge24),MAX(CapacityAge24*'01_Вводные'!$B$218*C204,MeanMinAge24)))</f>
        <v/>
      </c>
      <c r="D132" s="190">
        <f>IF(OR(D104=0,24&lt;='01_Вводные'!$B$297),0,D104*IF('01_Вводные'!$B$239="Да",MeanMinAge24+D204*SUMIF(ThresholdAge24,"&lt;"&amp;D204,WeightedRevAge24)-SUMIF(ThresholdAge24,"&lt;"&amp;D204,WeightedMinAge24),MAX(CapacityAge24*'01_Вводные'!$B$218*D204,MeanMinAge24)))</f>
        <v/>
      </c>
      <c r="E132" s="190">
        <f>IF(OR(E104=0,24&lt;='01_Вводные'!$B$297),0,E104*IF('01_Вводные'!$B$239="Да",MeanMinAge24+E204*SUMIF(ThresholdAge24,"&lt;"&amp;E204,WeightedRevAge24)-SUMIF(ThresholdAge24,"&lt;"&amp;E204,WeightedMinAge24),MAX(CapacityAge24*'01_Вводные'!$B$218*E204,MeanMinAge24)))</f>
        <v/>
      </c>
      <c r="F132" s="190">
        <f>IF(OR(F104=0,24&lt;='01_Вводные'!$B$297),0,F104*IF('01_Вводные'!$B$239="Да",MeanMinAge24+F204*SUMIF(ThresholdAge24,"&lt;"&amp;F204,WeightedRevAge24)-SUMIF(ThresholdAge24,"&lt;"&amp;F204,WeightedMinAge24),MAX(CapacityAge24*'01_Вводные'!$B$218*F204,MeanMinAge24)))</f>
        <v/>
      </c>
      <c r="G132" s="190">
        <f>IF(OR(G104=0,24&lt;='01_Вводные'!$B$297),0,G104*IF('01_Вводные'!$B$239="Да",MeanMinAge24+G204*SUMIF(ThresholdAge24,"&lt;"&amp;G204,WeightedRevAge24)-SUMIF(ThresholdAge24,"&lt;"&amp;G204,WeightedMinAge24),MAX(CapacityAge24*'01_Вводные'!$B$218*G204,MeanMinAge24)))</f>
        <v/>
      </c>
      <c r="H132" s="190">
        <f>IF(OR(H104=0,24&lt;='01_Вводные'!$B$297),0,H104*IF('01_Вводные'!$B$239="Да",MeanMinAge24+H204*SUMIF(ThresholdAge24,"&lt;"&amp;H204,WeightedRevAge24)-SUMIF(ThresholdAge24,"&lt;"&amp;H204,WeightedMinAge24),MAX(CapacityAge24*'01_Вводные'!$B$218*H204,MeanMinAge24)))</f>
        <v/>
      </c>
      <c r="I132" s="190">
        <f>IF(OR(I104=0,24&lt;='01_Вводные'!$B$297),0,I104*IF('01_Вводные'!$B$239="Да",MeanMinAge24+I204*SUMIF(ThresholdAge24,"&lt;"&amp;I204,WeightedRevAge24)-SUMIF(ThresholdAge24,"&lt;"&amp;I204,WeightedMinAge24),MAX(CapacityAge24*'01_Вводные'!$B$218*I204,MeanMinAge24)))</f>
        <v/>
      </c>
      <c r="J132" s="190">
        <f>IF(OR(J104=0,24&lt;='01_Вводные'!$B$297),0,J104*IF('01_Вводные'!$B$239="Да",MeanMinAge24+J204*SUMIF(ThresholdAge24,"&lt;"&amp;J204,WeightedRevAge24)-SUMIF(ThresholdAge24,"&lt;"&amp;J204,WeightedMinAge24),MAX(CapacityAge24*'01_Вводные'!$B$218*J204,MeanMinAge24)))</f>
        <v/>
      </c>
      <c r="K132" s="190">
        <f>IF(OR(K104=0,24&lt;='01_Вводные'!$B$297),0,K104*IF('01_Вводные'!$B$239="Да",MeanMinAge24+K204*SUMIF(ThresholdAge24,"&lt;"&amp;K204,WeightedRevAge24)-SUMIF(ThresholdAge24,"&lt;"&amp;K204,WeightedMinAge24),MAX(CapacityAge24*'01_Вводные'!$B$218*K204,MeanMinAge24)))</f>
        <v/>
      </c>
      <c r="L132" s="190">
        <f>IF(OR(L104=0,24&lt;='01_Вводные'!$B$297),0,L104*IF('01_Вводные'!$B$239="Да",MeanMinAge24+L204*SUMIF(ThresholdAge24,"&lt;"&amp;L204,WeightedRevAge24)-SUMIF(ThresholdAge24,"&lt;"&amp;L204,WeightedMinAge24),MAX(CapacityAge24*'01_Вводные'!$B$218*L204,MeanMinAge24)))</f>
        <v/>
      </c>
      <c r="M132" s="190">
        <f>IF(OR(M104=0,24&lt;='01_Вводные'!$B$297),0,M104*IF('01_Вводные'!$B$239="Да",MeanMinAge24+M204*SUMIF(ThresholdAge24,"&lt;"&amp;M204,WeightedRevAge24)-SUMIF(ThresholdAge24,"&lt;"&amp;M204,WeightedMinAge24),MAX(CapacityAge24*'01_Вводные'!$B$218*M204,MeanMinAge24)))</f>
        <v/>
      </c>
      <c r="N132" s="190">
        <f>IF(OR(N104=0,24&lt;='01_Вводные'!$B$297),0,N104*IF('01_Вводные'!$B$239="Да",MeanMinAge24+N204*SUMIF(ThresholdAge24,"&lt;"&amp;N204,WeightedRevAge24)-SUMIF(ThresholdAge24,"&lt;"&amp;N204,WeightedMinAge24),MAX(CapacityAge24*'01_Вводные'!$B$218*N204,MeanMinAge24)))</f>
        <v/>
      </c>
      <c r="O132" s="190">
        <f>IF(OR(O104=0,24&lt;='01_Вводные'!$B$297),0,O104*IF('01_Вводные'!$B$239="Да",MeanMinAge24+O204*SUMIF(ThresholdAge24,"&lt;"&amp;O204,WeightedRevAge24)-SUMIF(ThresholdAge24,"&lt;"&amp;O204,WeightedMinAge24),MAX(CapacityAge24*'01_Вводные'!$B$218*O204,MeanMinAge24)))</f>
        <v/>
      </c>
      <c r="P132" s="190">
        <f>IF(OR(P104=0,24&lt;='01_Вводные'!$B$297),0,P104*IF('01_Вводные'!$B$239="Да",MeanMinAge24+P204*SUMIF(ThresholdAge24,"&lt;"&amp;P204,WeightedRevAge24)-SUMIF(ThresholdAge24,"&lt;"&amp;P204,WeightedMinAge24),MAX(CapacityAge24*'01_Вводные'!$B$218*P204,MeanMinAge24)))</f>
        <v/>
      </c>
      <c r="Q132" s="190">
        <f>IF(OR(Q104=0,24&lt;='01_Вводные'!$B$297),0,Q104*IF('01_Вводные'!$B$239="Да",MeanMinAge24+Q204*SUMIF(ThresholdAge24,"&lt;"&amp;Q204,WeightedRevAge24)-SUMIF(ThresholdAge24,"&lt;"&amp;Q204,WeightedMinAge24),MAX(CapacityAge24*'01_Вводные'!$B$218*Q204,MeanMinAge24)))</f>
        <v/>
      </c>
      <c r="R132" s="190">
        <f>IF(OR(R104=0,24&lt;='01_Вводные'!$B$297),0,R104*IF('01_Вводные'!$B$239="Да",MeanMinAge24+R204*SUMIF(ThresholdAge24,"&lt;"&amp;R204,WeightedRevAge24)-SUMIF(ThresholdAge24,"&lt;"&amp;R204,WeightedMinAge24),MAX(CapacityAge24*'01_Вводные'!$B$218*R204,MeanMinAge24)))</f>
        <v/>
      </c>
      <c r="S132" s="190">
        <f>IF(OR(S104=0,24&lt;='01_Вводные'!$B$297),0,S104*IF('01_Вводные'!$B$239="Да",MeanMinAge24+S204*SUMIF(ThresholdAge24,"&lt;"&amp;S204,WeightedRevAge24)-SUMIF(ThresholdAge24,"&lt;"&amp;S204,WeightedMinAge24),MAX(CapacityAge24*'01_Вводные'!$B$218*S204,MeanMinAge24)))</f>
        <v/>
      </c>
      <c r="T132" s="190">
        <f>IF(OR(T104=0,24&lt;='01_Вводные'!$B$297),0,T104*IF('01_Вводные'!$B$239="Да",MeanMinAge24+T204*SUMIF(ThresholdAge24,"&lt;"&amp;T204,WeightedRevAge24)-SUMIF(ThresholdAge24,"&lt;"&amp;T204,WeightedMinAge24),MAX(CapacityAge24*'01_Вводные'!$B$218*T204,MeanMinAge24)))</f>
        <v/>
      </c>
      <c r="U132" s="190">
        <f>IF(OR(U104=0,24&lt;='01_Вводные'!$B$297),0,U104*IF('01_Вводные'!$B$239="Да",MeanMinAge24+U204*SUMIF(ThresholdAge24,"&lt;"&amp;U204,WeightedRevAge24)-SUMIF(ThresholdAge24,"&lt;"&amp;U204,WeightedMinAge24),MAX(CapacityAge24*'01_Вводные'!$B$218*U204,MeanMinAge24)))</f>
        <v/>
      </c>
      <c r="V132" s="190">
        <f>IF(OR(V104=0,24&lt;='01_Вводные'!$B$297),0,V104*IF('01_Вводные'!$B$239="Да",MeanMinAge24+V204*SUMIF(ThresholdAge24,"&lt;"&amp;V204,WeightedRevAge24)-SUMIF(ThresholdAge24,"&lt;"&amp;V204,WeightedMinAge24),MAX(CapacityAge24*'01_Вводные'!$B$218*V204,MeanMinAge24)))</f>
        <v/>
      </c>
      <c r="W132" s="190">
        <f>IF(OR(W104=0,24&lt;='01_Вводные'!$B$297),0,W104*IF('01_Вводные'!$B$239="Да",MeanMinAge24+W204*SUMIF(ThresholdAge24,"&lt;"&amp;W204,WeightedRevAge24)-SUMIF(ThresholdAge24,"&lt;"&amp;W204,WeightedMinAge24),MAX(CapacityAge24*'01_Вводные'!$B$218*W204,MeanMinAge24)))</f>
        <v/>
      </c>
      <c r="X132" s="190">
        <f>IF(OR(X104=0,24&lt;='01_Вводные'!$B$297),0,X104*IF('01_Вводные'!$B$239="Да",MeanMinAge24+X204*SUMIF(ThresholdAge24,"&lt;"&amp;X204,WeightedRevAge24)-SUMIF(ThresholdAge24,"&lt;"&amp;X204,WeightedMinAge24),MAX(CapacityAge24*'01_Вводные'!$B$218*X204,MeanMinAge24)))</f>
        <v/>
      </c>
      <c r="Y132" s="190">
        <f>IF(OR(Y104=0,24&lt;='01_Вводные'!$B$297),0,Y104*IF('01_Вводные'!$B$239="Да",MeanMinAge24+Y204*SUMIF(ThresholdAge24,"&lt;"&amp;Y204,WeightedRevAge24)-SUMIF(ThresholdAge24,"&lt;"&amp;Y204,WeightedMinAge24),MAX(CapacityAge24*'01_Вводные'!$B$218*Y204,MeanMinAge24)))</f>
        <v/>
      </c>
      <c r="Z132" s="190">
        <f>IF(OR(Z104=0,24&lt;='01_Вводные'!$B$297),0,Z104*IF('01_Вводные'!$B$239="Да",MeanMinAge24+Z204*SUMIF(ThresholdAge24,"&lt;"&amp;Z204,WeightedRevAge24)-SUMIF(ThresholdAge24,"&lt;"&amp;Z204,WeightedMinAge24),MAX(CapacityAge24*'01_Вводные'!$B$218*Z204,MeanMinAge24)))</f>
        <v/>
      </c>
      <c r="AA132" s="190">
        <f>IF(OR(AA104=0,24&lt;='01_Вводные'!$B$297),0,AA104*IF('01_Вводные'!$B$239="Да",MeanMinAge24+AA204*SUMIF(ThresholdAge24,"&lt;"&amp;AA204,WeightedRevAge24)-SUMIF(ThresholdAge24,"&lt;"&amp;AA204,WeightedMinAge24),MAX(CapacityAge24*'01_Вводные'!$B$218*AA204,MeanMinAge24)))</f>
        <v/>
      </c>
      <c r="AB132" s="190">
        <f>IF(OR(AB104=0,24&lt;='01_Вводные'!$B$297),0,AB104*IF('01_Вводные'!$B$239="Да",MeanMinAge24+AB204*SUMIF(ThresholdAge24,"&lt;"&amp;AB204,WeightedRevAge24)-SUMIF(ThresholdAge24,"&lt;"&amp;AB204,WeightedMinAge24),MAX(CapacityAge24*'01_Вводные'!$B$218*AB204,MeanMinAge24)))</f>
        <v/>
      </c>
      <c r="AC132" s="190">
        <f>IF(OR(AC104=0,24&lt;='01_Вводные'!$B$297),0,AC104*IF('01_Вводные'!$B$239="Да",MeanMinAge24+AC204*SUMIF(ThresholdAge24,"&lt;"&amp;AC204,WeightedRevAge24)-SUMIF(ThresholdAge24,"&lt;"&amp;AC204,WeightedMinAge24),MAX(CapacityAge24*'01_Вводные'!$B$218*AC204,MeanMinAge24)))</f>
        <v/>
      </c>
      <c r="AD132" s="190">
        <f>IF(OR(AD104=0,24&lt;='01_Вводные'!$B$297),0,AD104*IF('01_Вводные'!$B$239="Да",MeanMinAge24+AD204*SUMIF(ThresholdAge24,"&lt;"&amp;AD204,WeightedRevAge24)-SUMIF(ThresholdAge24,"&lt;"&amp;AD204,WeightedMinAge24),MAX(CapacityAge24*'01_Вводные'!$B$218*AD204,MeanMinAge24)))</f>
        <v/>
      </c>
      <c r="AE132" s="190">
        <f>IF(OR(AE104=0,24&lt;='01_Вводные'!$B$297),0,AE104*IF('01_Вводные'!$B$239="Да",MeanMinAge24+AE204*SUMIF(ThresholdAge24,"&lt;"&amp;AE204,WeightedRevAge24)-SUMIF(ThresholdAge24,"&lt;"&amp;AE204,WeightedMinAge24),MAX(CapacityAge24*'01_Вводные'!$B$218*AE204,MeanMinAge24)))</f>
        <v/>
      </c>
      <c r="AF132" s="190">
        <f>IF(OR(AF104=0,24&lt;='01_Вводные'!$B$297),0,AF104*IF('01_Вводные'!$B$239="Да",MeanMinAge24+AF204*SUMIF(ThresholdAge24,"&lt;"&amp;AF204,WeightedRevAge24)-SUMIF(ThresholdAge24,"&lt;"&amp;AF204,WeightedMinAge24),MAX(CapacityAge24*'01_Вводные'!$B$218*AF204,MeanMinAge24)))</f>
        <v/>
      </c>
      <c r="AG132" s="190">
        <f>IF(OR(AG104=0,24&lt;='01_Вводные'!$B$297),0,AG104*IF('01_Вводные'!$B$239="Да",MeanMinAge24+AG204*SUMIF(ThresholdAge24,"&lt;"&amp;AG204,WeightedRevAge24)-SUMIF(ThresholdAge24,"&lt;"&amp;AG204,WeightedMinAge24),MAX(CapacityAge24*'01_Вводные'!$B$218*AG204,MeanMinAge24)))</f>
        <v/>
      </c>
      <c r="AH132" s="190">
        <f>IF(OR(AH104=0,24&lt;='01_Вводные'!$B$297),0,AH104*IF('01_Вводные'!$B$239="Да",MeanMinAge24+AH204*SUMIF(ThresholdAge24,"&lt;"&amp;AH204,WeightedRevAge24)-SUMIF(ThresholdAge24,"&lt;"&amp;AH204,WeightedMinAge24),MAX(CapacityAge24*'01_Вводные'!$B$218*AH204,MeanMinAge24)))</f>
        <v/>
      </c>
      <c r="AI132" s="190">
        <f>IF(OR(AI104=0,24&lt;='01_Вводные'!$B$297),0,AI104*IF('01_Вводные'!$B$239="Да",MeanMinAge24+AI204*SUMIF(ThresholdAge24,"&lt;"&amp;AI204,WeightedRevAge24)-SUMIF(ThresholdAge24,"&lt;"&amp;AI204,WeightedMinAge24),MAX(CapacityAge24*'01_Вводные'!$B$218*AI204,MeanMinAge24)))</f>
        <v/>
      </c>
      <c r="AJ132" s="190">
        <f>IF(OR(AJ104=0,24&lt;='01_Вводные'!$B$297),0,AJ104*IF('01_Вводные'!$B$239="Да",MeanMinAge24+AJ204*SUMIF(ThresholdAge24,"&lt;"&amp;AJ204,WeightedRevAge24)-SUMIF(ThresholdAge24,"&lt;"&amp;AJ204,WeightedMinAge24),MAX(CapacityAge24*'01_Вводные'!$B$218*AJ204,MeanMinAge24)))</f>
        <v/>
      </c>
      <c r="AK132" s="190">
        <f>IF(OR(AK104=0,24&lt;='01_Вводные'!$B$297),0,AK104*IF('01_Вводные'!$B$239="Да",MeanMinAge24+AK204*SUMIF(ThresholdAge24,"&lt;"&amp;AK204,WeightedRevAge24)-SUMIF(ThresholdAge24,"&lt;"&amp;AK204,WeightedMinAge24),MAX(CapacityAge24*'01_Вводные'!$B$218*AK204,MeanMinAge24)))</f>
        <v/>
      </c>
      <c r="AL132" s="190">
        <f>IF(OR(AL104=0,24&lt;='01_Вводные'!$B$297),0,AL104*IF('01_Вводные'!$B$239="Да",MeanMinAge24+AL204*SUMIF(ThresholdAge24,"&lt;"&amp;AL204,WeightedRevAge24)-SUMIF(ThresholdAge24,"&lt;"&amp;AL204,WeightedMinAge24),MAX(CapacityAge24*'01_Вводные'!$B$218*AL204,MeanMinAge24)))</f>
        <v/>
      </c>
      <c r="AM132" s="190">
        <f>IF(OR(AM104=0,24&lt;='01_Вводные'!$B$297),0,AM104*IF('01_Вводные'!$B$239="Да",MeanMinAge24+AM204*SUMIF(ThresholdAge24,"&lt;"&amp;AM204,WeightedRevAge24)-SUMIF(ThresholdAge24,"&lt;"&amp;AM204,WeightedMinAge24),MAX(CapacityAge24*'01_Вводные'!$B$218*AM204,MeanMinAge24)))</f>
        <v/>
      </c>
      <c r="AN132" s="190">
        <f>IF(OR(AN104=0,24&lt;='01_Вводные'!$B$297),0,AN104*IF('01_Вводные'!$B$239="Да",MeanMinAge24+AN204*SUMIF(ThresholdAge24,"&lt;"&amp;AN204,WeightedRevAge24)-SUMIF(ThresholdAge24,"&lt;"&amp;AN204,WeightedMinAge24),MAX(CapacityAge24*'01_Вводные'!$B$218*AN204,MeanMinAge24)))</f>
        <v/>
      </c>
      <c r="AO132" s="190">
        <f>IF(OR(AO104=0,24&lt;='01_Вводные'!$B$297),0,AO104*IF('01_Вводные'!$B$239="Да",MeanMinAge24+AO204*SUMIF(ThresholdAge24,"&lt;"&amp;AO204,WeightedRevAge24)-SUMIF(ThresholdAge24,"&lt;"&amp;AO204,WeightedMinAge24),MAX(CapacityAge24*'01_Вводные'!$B$218*AO204,MeanMinAge24)))</f>
        <v/>
      </c>
      <c r="AP132" s="190">
        <f>IF(OR(AP104=0,24&lt;='01_Вводные'!$B$297),0,AP104*IF('01_Вводные'!$B$239="Да",MeanMinAge24+AP204*SUMIF(ThresholdAge24,"&lt;"&amp;AP204,WeightedRevAge24)-SUMIF(ThresholdAge24,"&lt;"&amp;AP204,WeightedMinAge24),MAX(CapacityAge24*'01_Вводные'!$B$218*AP204,MeanMinAge24)))</f>
        <v/>
      </c>
      <c r="AQ132" s="190">
        <f>IF(OR(AQ104=0,24&lt;='01_Вводные'!$B$297),0,AQ104*IF('01_Вводные'!$B$239="Да",MeanMinAge24+AQ204*SUMIF(ThresholdAge24,"&lt;"&amp;AQ204,WeightedRevAge24)-SUMIF(ThresholdAge24,"&lt;"&amp;AQ204,WeightedMinAge24),MAX(CapacityAge24*'01_Вводные'!$B$218*AQ204,MeanMinAge24)))</f>
        <v/>
      </c>
      <c r="AR132" s="190">
        <f>IF(OR(AR104=0,24&lt;='01_Вводные'!$B$297),0,AR104*IF('01_Вводные'!$B$239="Да",MeanMinAge24+AR204*SUMIF(ThresholdAge24,"&lt;"&amp;AR204,WeightedRevAge24)-SUMIF(ThresholdAge24,"&lt;"&amp;AR204,WeightedMinAge24),MAX(CapacityAge24*'01_Вводные'!$B$218*AR204,MeanMinAge24)))</f>
        <v/>
      </c>
      <c r="AS132" s="190">
        <f>IF(OR(AS104=0,24&lt;='01_Вводные'!$B$297),0,AS104*IF('01_Вводные'!$B$239="Да",MeanMinAge24+AS204*SUMIF(ThresholdAge24,"&lt;"&amp;AS204,WeightedRevAge24)-SUMIF(ThresholdAge24,"&lt;"&amp;AS204,WeightedMinAge24),MAX(CapacityAge24*'01_Вводные'!$B$218*AS204,MeanMinAge24)))</f>
        <v/>
      </c>
      <c r="AT132" s="190">
        <f>IF(OR(AT104=0,24&lt;='01_Вводные'!$B$297),0,AT104*IF('01_Вводные'!$B$239="Да",MeanMinAge24+AT204*SUMIF(ThresholdAge24,"&lt;"&amp;AT204,WeightedRevAge24)-SUMIF(ThresholdAge24,"&lt;"&amp;AT204,WeightedMinAge24),MAX(CapacityAge24*'01_Вводные'!$B$218*AT204,MeanMinAge24)))</f>
        <v/>
      </c>
      <c r="AU132" s="190">
        <f>IF(OR(AU104=0,24&lt;='01_Вводные'!$B$297),0,AU104*IF('01_Вводные'!$B$239="Да",MeanMinAge24+AU204*SUMIF(ThresholdAge24,"&lt;"&amp;AU204,WeightedRevAge24)-SUMIF(ThresholdAge24,"&lt;"&amp;AU204,WeightedMinAge24),MAX(CapacityAge24*'01_Вводные'!$B$218*AU204,MeanMinAge24)))</f>
        <v/>
      </c>
      <c r="AV132" s="190">
        <f>IF(OR(AV104=0,24&lt;='01_Вводные'!$B$297),0,AV104*IF('01_Вводные'!$B$239="Да",MeanMinAge24+AV204*SUMIF(ThresholdAge24,"&lt;"&amp;AV204,WeightedRevAge24)-SUMIF(ThresholdAge24,"&lt;"&amp;AV204,WeightedMinAge24),MAX(CapacityAge24*'01_Вводные'!$B$218*AV204,MeanMinAge24)))</f>
        <v/>
      </c>
      <c r="AW132" s="190">
        <f>IF(OR(AW104=0,24&lt;='01_Вводные'!$B$297),0,AW104*IF('01_Вводные'!$B$239="Да",MeanMinAge24+AW204*SUMIF(ThresholdAge24,"&lt;"&amp;AW204,WeightedRevAge24)-SUMIF(ThresholdAge24,"&lt;"&amp;AW204,WeightedMinAge24),MAX(CapacityAge24*'01_Вводные'!$B$218*AW204,MeanMinAge24)))</f>
        <v/>
      </c>
      <c r="AX132" s="190">
        <f>IF(OR(AX104=0,24&lt;='01_Вводные'!$B$297),0,AX104*IF('01_Вводные'!$B$239="Да",MeanMinAge24+AX204*SUMIF(ThresholdAge24,"&lt;"&amp;AX204,WeightedRevAge24)-SUMIF(ThresholdAge24,"&lt;"&amp;AX204,WeightedMinAge24),MAX(CapacityAge24*'01_Вводные'!$B$218*AX204,MeanMinAge24)))</f>
        <v/>
      </c>
      <c r="AY132" s="190">
        <f>IF(OR(AY104=0,24&lt;='01_Вводные'!$B$297),0,AY104*IF('01_Вводные'!$B$239="Да",MeanMinAge24+AY204*SUMIF(ThresholdAge24,"&lt;"&amp;AY204,WeightedRevAge24)-SUMIF(ThresholdAge24,"&lt;"&amp;AY204,WeightedMinAge24),MAX(CapacityAge24*'01_Вводные'!$B$218*AY204,MeanMinAge24)))</f>
        <v/>
      </c>
      <c r="AZ132" s="190">
        <f>IF(OR(AZ104=0,24&lt;='01_Вводные'!$B$297),0,AZ104*IF('01_Вводные'!$B$239="Да",MeanMinAge24+AZ204*SUMIF(ThresholdAge24,"&lt;"&amp;AZ204,WeightedRevAge24)-SUMIF(ThresholdAge24,"&lt;"&amp;AZ204,WeightedMinAge24),MAX(CapacityAge24*'01_Вводные'!$B$218*AZ204,MeanMinAge24)))</f>
        <v/>
      </c>
      <c r="BA132" s="190">
        <f>IF(OR(BA104=0,24&lt;='01_Вводные'!$B$297),0,BA104*IF('01_Вводные'!$B$239="Да",MeanMinAge24+BA204*SUMIF(ThresholdAge24,"&lt;"&amp;BA204,WeightedRevAge24)-SUMIF(ThresholdAge24,"&lt;"&amp;BA204,WeightedMinAge24),MAX(CapacityAge24*'01_Вводные'!$B$218*BA204,MeanMinAge24)))</f>
        <v/>
      </c>
      <c r="BB132" s="190">
        <f>IF(OR(BB104=0,24&lt;='01_Вводные'!$B$297),0,BB104*IF('01_Вводные'!$B$239="Да",MeanMinAge24+BB204*SUMIF(ThresholdAge24,"&lt;"&amp;BB204,WeightedRevAge24)-SUMIF(ThresholdAge24,"&lt;"&amp;BB204,WeightedMinAge24),MAX(CapacityAge24*'01_Вводные'!$B$218*BB204,MeanMinAge24)))</f>
        <v/>
      </c>
      <c r="BC132" s="190">
        <f>IF(OR(BC104=0,24&lt;='01_Вводные'!$B$297),0,BC104*IF('01_Вводные'!$B$239="Да",MeanMinAge24+BC204*SUMIF(ThresholdAge24,"&lt;"&amp;BC204,WeightedRevAge24)-SUMIF(ThresholdAge24,"&lt;"&amp;BC204,WeightedMinAge24),MAX(CapacityAge24*'01_Вводные'!$B$218*BC204,MeanMinAge24)))</f>
        <v/>
      </c>
      <c r="BD132" s="190">
        <f>IF(OR(BD104=0,24&lt;='01_Вводные'!$B$297),0,BD104*IF('01_Вводные'!$B$239="Да",MeanMinAge24+BD204*SUMIF(ThresholdAge24,"&lt;"&amp;BD204,WeightedRevAge24)-SUMIF(ThresholdAge24,"&lt;"&amp;BD204,WeightedMinAge24),MAX(CapacityAge24*'01_Вводные'!$B$218*BD204,MeanMinAge24)))</f>
        <v/>
      </c>
      <c r="BE132" s="190">
        <f>IF(OR(BE104=0,24&lt;='01_Вводные'!$B$297),0,BE104*IF('01_Вводные'!$B$239="Да",MeanMinAge24+BE204*SUMIF(ThresholdAge24,"&lt;"&amp;BE204,WeightedRevAge24)-SUMIF(ThresholdAge24,"&lt;"&amp;BE204,WeightedMinAge24),MAX(CapacityAge24*'01_Вводные'!$B$218*BE204,MeanMinAge24)))</f>
        <v/>
      </c>
      <c r="BF132" s="190">
        <f>IF(OR(BF104=0,24&lt;='01_Вводные'!$B$297),0,BF104*IF('01_Вводные'!$B$239="Да",MeanMinAge24+BF204*SUMIF(ThresholdAge24,"&lt;"&amp;BF204,WeightedRevAge24)-SUMIF(ThresholdAge24,"&lt;"&amp;BF204,WeightedMinAge24),MAX(CapacityAge24*'01_Вводные'!$B$218*BF204,MeanMinAge24)))</f>
        <v/>
      </c>
      <c r="BG132" s="190">
        <f>IF(OR(BG104=0,24&lt;='01_Вводные'!$B$297),0,BG104*IF('01_Вводные'!$B$239="Да",MeanMinAge24+BG204*SUMIF(ThresholdAge24,"&lt;"&amp;BG204,WeightedRevAge24)-SUMIF(ThresholdAge24,"&lt;"&amp;BG204,WeightedMinAge24),MAX(CapacityAge24*'01_Вводные'!$B$218*BG204,MeanMinAge24)))</f>
        <v/>
      </c>
      <c r="BH132" s="190">
        <f>IF(OR(BH104=0,24&lt;='01_Вводные'!$B$297),0,BH104*IF('01_Вводные'!$B$239="Да",MeanMinAge24+BH204*SUMIF(ThresholdAge24,"&lt;"&amp;BH204,WeightedRevAge24)-SUMIF(ThresholdAge24,"&lt;"&amp;BH204,WeightedMinAge24),MAX(CapacityAge24*'01_Вводные'!$B$218*BH204,MeanMinAge24)))</f>
        <v/>
      </c>
      <c r="BI132" s="190">
        <f>IF(OR(BI104=0,24&lt;='01_Вводные'!$B$297),0,BI104*IF('01_Вводные'!$B$239="Да",MeanMinAge24+BI204*SUMIF(ThresholdAge24,"&lt;"&amp;BI204,WeightedRevAge24)-SUMIF(ThresholdAge24,"&lt;"&amp;BI204,WeightedMinAge24),MAX(CapacityAge24*'01_Вводные'!$B$218*BI204,MeanMinAge24)))</f>
        <v/>
      </c>
      <c r="BJ132" s="190">
        <f>IF(OR(BJ104=0,24&lt;='01_Вводные'!$B$297),0,BJ104*IF('01_Вводные'!$B$239="Да",MeanMinAge24+BJ204*SUMIF(ThresholdAge24,"&lt;"&amp;BJ204,WeightedRevAge24)-SUMIF(ThresholdAge24,"&lt;"&amp;BJ204,WeightedMinAge24),MAX(CapacityAge24*'01_Вводные'!$B$218*BJ204,MeanMinAge24)))</f>
        <v/>
      </c>
      <c r="BK132" s="190">
        <f>IF(OR(BK104=0,24&lt;='01_Вводные'!$B$297),0,BK104*IF('01_Вводные'!$B$239="Да",MeanMinAge24+BK204*SUMIF(ThresholdAge24,"&lt;"&amp;BK204,WeightedRevAge24)-SUMIF(ThresholdAge24,"&lt;"&amp;BK204,WeightedMinAge24),MAX(CapacityAge24*'01_Вводные'!$B$218*BK204,MeanMinAge24)))</f>
        <v/>
      </c>
      <c r="BL132" s="190">
        <f>IF(OR(BL104=0,24&lt;='01_Вводные'!$B$297),0,BL104*IF('01_Вводные'!$B$239="Да",MeanMinAge24+BL204*SUMIF(ThresholdAge24,"&lt;"&amp;BL204,WeightedRevAge24)-SUMIF(ThresholdAge24,"&lt;"&amp;BL204,WeightedMinAge24),MAX(CapacityAge24*'01_Вводные'!$B$218*BL204,MeanMinAge24)))</f>
        <v/>
      </c>
      <c r="BM132" s="190">
        <f>IF(OR(BM104=0,24&lt;='01_Вводные'!$B$297),0,BM104*IF('01_Вводные'!$B$239="Да",MeanMinAge24+BM204*SUMIF(ThresholdAge24,"&lt;"&amp;BM204,WeightedRevAge24)-SUMIF(ThresholdAge24,"&lt;"&amp;BM204,WeightedMinAge24),MAX(CapacityAge24*'01_Вводные'!$B$218*BM204,MeanMinAge24)))</f>
        <v/>
      </c>
      <c r="BN132" s="190">
        <f>IF(OR(BN104=0,24&lt;='01_Вводные'!$B$297),0,BN104*IF('01_Вводные'!$B$239="Да",MeanMinAge24+BN204*SUMIF(ThresholdAge24,"&lt;"&amp;BN204,WeightedRevAge24)-SUMIF(ThresholdAge24,"&lt;"&amp;BN204,WeightedMinAge24),MAX(CapacityAge24*'01_Вводные'!$B$218*BN204,MeanMinAge24)))</f>
        <v/>
      </c>
      <c r="BO132" s="190">
        <f>IF(OR(BO104=0,24&lt;='01_Вводные'!$B$297),0,BO104*IF('01_Вводные'!$B$239="Да",MeanMinAge24+BO204*SUMIF(ThresholdAge24,"&lt;"&amp;BO204,WeightedRevAge24)-SUMIF(ThresholdAge24,"&lt;"&amp;BO204,WeightedMinAge24),MAX(CapacityAge24*'01_Вводные'!$B$218*BO204,MeanMinAge24)))</f>
        <v/>
      </c>
    </row>
    <row r="133" hidden="1" outlineLevel="1">
      <c r="A133" t="inlineStr">
        <is>
          <t>25+ мес.</t>
        </is>
      </c>
      <c r="B133" s="190">
        <f>IF(OR(B105=0,25&lt;='01_Вводные'!$B$297),0,B105*IF('01_Вводные'!$B$239="Да",MeanMinAge25+B204*SUMIF(ThresholdAge25,"&lt;"&amp;B204,WeightedRevAge25)-SUMIF(ThresholdAge25,"&lt;"&amp;B204,WeightedMinAge25),MAX(CapacityAge25*'01_Вводные'!$B$218*B204,MeanMinAge25)))</f>
        <v/>
      </c>
      <c r="C133" s="190">
        <f>IF(OR(C105=0,25&lt;='01_Вводные'!$B$297),0,C105*IF('01_Вводные'!$B$239="Да",MeanMinAge25+C204*SUMIF(ThresholdAge25,"&lt;"&amp;C204,WeightedRevAge25)-SUMIF(ThresholdAge25,"&lt;"&amp;C204,WeightedMinAge25),MAX(CapacityAge25*'01_Вводные'!$B$218*C204,MeanMinAge25)))</f>
        <v/>
      </c>
      <c r="D133" s="190">
        <f>IF(OR(D105=0,25&lt;='01_Вводные'!$B$297),0,D105*IF('01_Вводные'!$B$239="Да",MeanMinAge25+D204*SUMIF(ThresholdAge25,"&lt;"&amp;D204,WeightedRevAge25)-SUMIF(ThresholdAge25,"&lt;"&amp;D204,WeightedMinAge25),MAX(CapacityAge25*'01_Вводные'!$B$218*D204,MeanMinAge25)))</f>
        <v/>
      </c>
      <c r="E133" s="190">
        <f>IF(OR(E105=0,25&lt;='01_Вводные'!$B$297),0,E105*IF('01_Вводные'!$B$239="Да",MeanMinAge25+E204*SUMIF(ThresholdAge25,"&lt;"&amp;E204,WeightedRevAge25)-SUMIF(ThresholdAge25,"&lt;"&amp;E204,WeightedMinAge25),MAX(CapacityAge25*'01_Вводные'!$B$218*E204,MeanMinAge25)))</f>
        <v/>
      </c>
      <c r="F133" s="190">
        <f>IF(OR(F105=0,25&lt;='01_Вводные'!$B$297),0,F105*IF('01_Вводные'!$B$239="Да",MeanMinAge25+F204*SUMIF(ThresholdAge25,"&lt;"&amp;F204,WeightedRevAge25)-SUMIF(ThresholdAge25,"&lt;"&amp;F204,WeightedMinAge25),MAX(CapacityAge25*'01_Вводные'!$B$218*F204,MeanMinAge25)))</f>
        <v/>
      </c>
      <c r="G133" s="190">
        <f>IF(OR(G105=0,25&lt;='01_Вводные'!$B$297),0,G105*IF('01_Вводные'!$B$239="Да",MeanMinAge25+G204*SUMIF(ThresholdAge25,"&lt;"&amp;G204,WeightedRevAge25)-SUMIF(ThresholdAge25,"&lt;"&amp;G204,WeightedMinAge25),MAX(CapacityAge25*'01_Вводные'!$B$218*G204,MeanMinAge25)))</f>
        <v/>
      </c>
      <c r="H133" s="190">
        <f>IF(OR(H105=0,25&lt;='01_Вводные'!$B$297),0,H105*IF('01_Вводные'!$B$239="Да",MeanMinAge25+H204*SUMIF(ThresholdAge25,"&lt;"&amp;H204,WeightedRevAge25)-SUMIF(ThresholdAge25,"&lt;"&amp;H204,WeightedMinAge25),MAX(CapacityAge25*'01_Вводные'!$B$218*H204,MeanMinAge25)))</f>
        <v/>
      </c>
      <c r="I133" s="190">
        <f>IF(OR(I105=0,25&lt;='01_Вводные'!$B$297),0,I105*IF('01_Вводные'!$B$239="Да",MeanMinAge25+I204*SUMIF(ThresholdAge25,"&lt;"&amp;I204,WeightedRevAge25)-SUMIF(ThresholdAge25,"&lt;"&amp;I204,WeightedMinAge25),MAX(CapacityAge25*'01_Вводные'!$B$218*I204,MeanMinAge25)))</f>
        <v/>
      </c>
      <c r="J133" s="190">
        <f>IF(OR(J105=0,25&lt;='01_Вводные'!$B$297),0,J105*IF('01_Вводные'!$B$239="Да",MeanMinAge25+J204*SUMIF(ThresholdAge25,"&lt;"&amp;J204,WeightedRevAge25)-SUMIF(ThresholdAge25,"&lt;"&amp;J204,WeightedMinAge25),MAX(CapacityAge25*'01_Вводные'!$B$218*J204,MeanMinAge25)))</f>
        <v/>
      </c>
      <c r="K133" s="190">
        <f>IF(OR(K105=0,25&lt;='01_Вводные'!$B$297),0,K105*IF('01_Вводные'!$B$239="Да",MeanMinAge25+K204*SUMIF(ThresholdAge25,"&lt;"&amp;K204,WeightedRevAge25)-SUMIF(ThresholdAge25,"&lt;"&amp;K204,WeightedMinAge25),MAX(CapacityAge25*'01_Вводные'!$B$218*K204,MeanMinAge25)))</f>
        <v/>
      </c>
      <c r="L133" s="190">
        <f>IF(OR(L105=0,25&lt;='01_Вводные'!$B$297),0,L105*IF('01_Вводные'!$B$239="Да",MeanMinAge25+L204*SUMIF(ThresholdAge25,"&lt;"&amp;L204,WeightedRevAge25)-SUMIF(ThresholdAge25,"&lt;"&amp;L204,WeightedMinAge25),MAX(CapacityAge25*'01_Вводные'!$B$218*L204,MeanMinAge25)))</f>
        <v/>
      </c>
      <c r="M133" s="190">
        <f>IF(OR(M105=0,25&lt;='01_Вводные'!$B$297),0,M105*IF('01_Вводные'!$B$239="Да",MeanMinAge25+M204*SUMIF(ThresholdAge25,"&lt;"&amp;M204,WeightedRevAge25)-SUMIF(ThresholdAge25,"&lt;"&amp;M204,WeightedMinAge25),MAX(CapacityAge25*'01_Вводные'!$B$218*M204,MeanMinAge25)))</f>
        <v/>
      </c>
      <c r="N133" s="190">
        <f>IF(OR(N105=0,25&lt;='01_Вводные'!$B$297),0,N105*IF('01_Вводные'!$B$239="Да",MeanMinAge25+N204*SUMIF(ThresholdAge25,"&lt;"&amp;N204,WeightedRevAge25)-SUMIF(ThresholdAge25,"&lt;"&amp;N204,WeightedMinAge25),MAX(CapacityAge25*'01_Вводные'!$B$218*N204,MeanMinAge25)))</f>
        <v/>
      </c>
      <c r="O133" s="190">
        <f>IF(OR(O105=0,25&lt;='01_Вводные'!$B$297),0,O105*IF('01_Вводные'!$B$239="Да",MeanMinAge25+O204*SUMIF(ThresholdAge25,"&lt;"&amp;O204,WeightedRevAge25)-SUMIF(ThresholdAge25,"&lt;"&amp;O204,WeightedMinAge25),MAX(CapacityAge25*'01_Вводные'!$B$218*O204,MeanMinAge25)))</f>
        <v/>
      </c>
      <c r="P133" s="190">
        <f>IF(OR(P105=0,25&lt;='01_Вводные'!$B$297),0,P105*IF('01_Вводные'!$B$239="Да",MeanMinAge25+P204*SUMIF(ThresholdAge25,"&lt;"&amp;P204,WeightedRevAge25)-SUMIF(ThresholdAge25,"&lt;"&amp;P204,WeightedMinAge25),MAX(CapacityAge25*'01_Вводные'!$B$218*P204,MeanMinAge25)))</f>
        <v/>
      </c>
      <c r="Q133" s="190">
        <f>IF(OR(Q105=0,25&lt;='01_Вводные'!$B$297),0,Q105*IF('01_Вводные'!$B$239="Да",MeanMinAge25+Q204*SUMIF(ThresholdAge25,"&lt;"&amp;Q204,WeightedRevAge25)-SUMIF(ThresholdAge25,"&lt;"&amp;Q204,WeightedMinAge25),MAX(CapacityAge25*'01_Вводные'!$B$218*Q204,MeanMinAge25)))</f>
        <v/>
      </c>
      <c r="R133" s="190">
        <f>IF(OR(R105=0,25&lt;='01_Вводные'!$B$297),0,R105*IF('01_Вводные'!$B$239="Да",MeanMinAge25+R204*SUMIF(ThresholdAge25,"&lt;"&amp;R204,WeightedRevAge25)-SUMIF(ThresholdAge25,"&lt;"&amp;R204,WeightedMinAge25),MAX(CapacityAge25*'01_Вводные'!$B$218*R204,MeanMinAge25)))</f>
        <v/>
      </c>
      <c r="S133" s="190">
        <f>IF(OR(S105=0,25&lt;='01_Вводные'!$B$297),0,S105*IF('01_Вводные'!$B$239="Да",MeanMinAge25+S204*SUMIF(ThresholdAge25,"&lt;"&amp;S204,WeightedRevAge25)-SUMIF(ThresholdAge25,"&lt;"&amp;S204,WeightedMinAge25),MAX(CapacityAge25*'01_Вводные'!$B$218*S204,MeanMinAge25)))</f>
        <v/>
      </c>
      <c r="T133" s="190">
        <f>IF(OR(T105=0,25&lt;='01_Вводные'!$B$297),0,T105*IF('01_Вводные'!$B$239="Да",MeanMinAge25+T204*SUMIF(ThresholdAge25,"&lt;"&amp;T204,WeightedRevAge25)-SUMIF(ThresholdAge25,"&lt;"&amp;T204,WeightedMinAge25),MAX(CapacityAge25*'01_Вводные'!$B$218*T204,MeanMinAge25)))</f>
        <v/>
      </c>
      <c r="U133" s="190">
        <f>IF(OR(U105=0,25&lt;='01_Вводные'!$B$297),0,U105*IF('01_Вводные'!$B$239="Да",MeanMinAge25+U204*SUMIF(ThresholdAge25,"&lt;"&amp;U204,WeightedRevAge25)-SUMIF(ThresholdAge25,"&lt;"&amp;U204,WeightedMinAge25),MAX(CapacityAge25*'01_Вводные'!$B$218*U204,MeanMinAge25)))</f>
        <v/>
      </c>
      <c r="V133" s="190">
        <f>IF(OR(V105=0,25&lt;='01_Вводные'!$B$297),0,V105*IF('01_Вводные'!$B$239="Да",MeanMinAge25+V204*SUMIF(ThresholdAge25,"&lt;"&amp;V204,WeightedRevAge25)-SUMIF(ThresholdAge25,"&lt;"&amp;V204,WeightedMinAge25),MAX(CapacityAge25*'01_Вводные'!$B$218*V204,MeanMinAge25)))</f>
        <v/>
      </c>
      <c r="W133" s="190">
        <f>IF(OR(W105=0,25&lt;='01_Вводные'!$B$297),0,W105*IF('01_Вводные'!$B$239="Да",MeanMinAge25+W204*SUMIF(ThresholdAge25,"&lt;"&amp;W204,WeightedRevAge25)-SUMIF(ThresholdAge25,"&lt;"&amp;W204,WeightedMinAge25),MAX(CapacityAge25*'01_Вводные'!$B$218*W204,MeanMinAge25)))</f>
        <v/>
      </c>
      <c r="X133" s="190">
        <f>IF(OR(X105=0,25&lt;='01_Вводные'!$B$297),0,X105*IF('01_Вводные'!$B$239="Да",MeanMinAge25+X204*SUMIF(ThresholdAge25,"&lt;"&amp;X204,WeightedRevAge25)-SUMIF(ThresholdAge25,"&lt;"&amp;X204,WeightedMinAge25),MAX(CapacityAge25*'01_Вводные'!$B$218*X204,MeanMinAge25)))</f>
        <v/>
      </c>
      <c r="Y133" s="190">
        <f>IF(OR(Y105=0,25&lt;='01_Вводные'!$B$297),0,Y105*IF('01_Вводные'!$B$239="Да",MeanMinAge25+Y204*SUMIF(ThresholdAge25,"&lt;"&amp;Y204,WeightedRevAge25)-SUMIF(ThresholdAge25,"&lt;"&amp;Y204,WeightedMinAge25),MAX(CapacityAge25*'01_Вводные'!$B$218*Y204,MeanMinAge25)))</f>
        <v/>
      </c>
      <c r="Z133" s="190">
        <f>IF(OR(Z105=0,25&lt;='01_Вводные'!$B$297),0,Z105*IF('01_Вводные'!$B$239="Да",MeanMinAge25+Z204*SUMIF(ThresholdAge25,"&lt;"&amp;Z204,WeightedRevAge25)-SUMIF(ThresholdAge25,"&lt;"&amp;Z204,WeightedMinAge25),MAX(CapacityAge25*'01_Вводные'!$B$218*Z204,MeanMinAge25)))</f>
        <v/>
      </c>
      <c r="AA133" s="190">
        <f>IF(OR(AA105=0,25&lt;='01_Вводные'!$B$297),0,AA105*IF('01_Вводные'!$B$239="Да",MeanMinAge25+AA204*SUMIF(ThresholdAge25,"&lt;"&amp;AA204,WeightedRevAge25)-SUMIF(ThresholdAge25,"&lt;"&amp;AA204,WeightedMinAge25),MAX(CapacityAge25*'01_Вводные'!$B$218*AA204,MeanMinAge25)))</f>
        <v/>
      </c>
      <c r="AB133" s="190">
        <f>IF(OR(AB105=0,25&lt;='01_Вводные'!$B$297),0,AB105*IF('01_Вводные'!$B$239="Да",MeanMinAge25+AB204*SUMIF(ThresholdAge25,"&lt;"&amp;AB204,WeightedRevAge25)-SUMIF(ThresholdAge25,"&lt;"&amp;AB204,WeightedMinAge25),MAX(CapacityAge25*'01_Вводные'!$B$218*AB204,MeanMinAge25)))</f>
        <v/>
      </c>
      <c r="AC133" s="190">
        <f>IF(OR(AC105=0,25&lt;='01_Вводные'!$B$297),0,AC105*IF('01_Вводные'!$B$239="Да",MeanMinAge25+AC204*SUMIF(ThresholdAge25,"&lt;"&amp;AC204,WeightedRevAge25)-SUMIF(ThresholdAge25,"&lt;"&amp;AC204,WeightedMinAge25),MAX(CapacityAge25*'01_Вводные'!$B$218*AC204,MeanMinAge25)))</f>
        <v/>
      </c>
      <c r="AD133" s="190">
        <f>IF(OR(AD105=0,25&lt;='01_Вводные'!$B$297),0,AD105*IF('01_Вводные'!$B$239="Да",MeanMinAge25+AD204*SUMIF(ThresholdAge25,"&lt;"&amp;AD204,WeightedRevAge25)-SUMIF(ThresholdAge25,"&lt;"&amp;AD204,WeightedMinAge25),MAX(CapacityAge25*'01_Вводные'!$B$218*AD204,MeanMinAge25)))</f>
        <v/>
      </c>
      <c r="AE133" s="190">
        <f>IF(OR(AE105=0,25&lt;='01_Вводные'!$B$297),0,AE105*IF('01_Вводные'!$B$239="Да",MeanMinAge25+AE204*SUMIF(ThresholdAge25,"&lt;"&amp;AE204,WeightedRevAge25)-SUMIF(ThresholdAge25,"&lt;"&amp;AE204,WeightedMinAge25),MAX(CapacityAge25*'01_Вводные'!$B$218*AE204,MeanMinAge25)))</f>
        <v/>
      </c>
      <c r="AF133" s="190">
        <f>IF(OR(AF105=0,25&lt;='01_Вводные'!$B$297),0,AF105*IF('01_Вводные'!$B$239="Да",MeanMinAge25+AF204*SUMIF(ThresholdAge25,"&lt;"&amp;AF204,WeightedRevAge25)-SUMIF(ThresholdAge25,"&lt;"&amp;AF204,WeightedMinAge25),MAX(CapacityAge25*'01_Вводные'!$B$218*AF204,MeanMinAge25)))</f>
        <v/>
      </c>
      <c r="AG133" s="190">
        <f>IF(OR(AG105=0,25&lt;='01_Вводные'!$B$297),0,AG105*IF('01_Вводные'!$B$239="Да",MeanMinAge25+AG204*SUMIF(ThresholdAge25,"&lt;"&amp;AG204,WeightedRevAge25)-SUMIF(ThresholdAge25,"&lt;"&amp;AG204,WeightedMinAge25),MAX(CapacityAge25*'01_Вводные'!$B$218*AG204,MeanMinAge25)))</f>
        <v/>
      </c>
      <c r="AH133" s="190">
        <f>IF(OR(AH105=0,25&lt;='01_Вводные'!$B$297),0,AH105*IF('01_Вводные'!$B$239="Да",MeanMinAge25+AH204*SUMIF(ThresholdAge25,"&lt;"&amp;AH204,WeightedRevAge25)-SUMIF(ThresholdAge25,"&lt;"&amp;AH204,WeightedMinAge25),MAX(CapacityAge25*'01_Вводные'!$B$218*AH204,MeanMinAge25)))</f>
        <v/>
      </c>
      <c r="AI133" s="190">
        <f>IF(OR(AI105=0,25&lt;='01_Вводные'!$B$297),0,AI105*IF('01_Вводные'!$B$239="Да",MeanMinAge25+AI204*SUMIF(ThresholdAge25,"&lt;"&amp;AI204,WeightedRevAge25)-SUMIF(ThresholdAge25,"&lt;"&amp;AI204,WeightedMinAge25),MAX(CapacityAge25*'01_Вводные'!$B$218*AI204,MeanMinAge25)))</f>
        <v/>
      </c>
      <c r="AJ133" s="190">
        <f>IF(OR(AJ105=0,25&lt;='01_Вводные'!$B$297),0,AJ105*IF('01_Вводные'!$B$239="Да",MeanMinAge25+AJ204*SUMIF(ThresholdAge25,"&lt;"&amp;AJ204,WeightedRevAge25)-SUMIF(ThresholdAge25,"&lt;"&amp;AJ204,WeightedMinAge25),MAX(CapacityAge25*'01_Вводные'!$B$218*AJ204,MeanMinAge25)))</f>
        <v/>
      </c>
      <c r="AK133" s="190">
        <f>IF(OR(AK105=0,25&lt;='01_Вводные'!$B$297),0,AK105*IF('01_Вводные'!$B$239="Да",MeanMinAge25+AK204*SUMIF(ThresholdAge25,"&lt;"&amp;AK204,WeightedRevAge25)-SUMIF(ThresholdAge25,"&lt;"&amp;AK204,WeightedMinAge25),MAX(CapacityAge25*'01_Вводные'!$B$218*AK204,MeanMinAge25)))</f>
        <v/>
      </c>
      <c r="AL133" s="190">
        <f>IF(OR(AL105=0,25&lt;='01_Вводные'!$B$297),0,AL105*IF('01_Вводные'!$B$239="Да",MeanMinAge25+AL204*SUMIF(ThresholdAge25,"&lt;"&amp;AL204,WeightedRevAge25)-SUMIF(ThresholdAge25,"&lt;"&amp;AL204,WeightedMinAge25),MAX(CapacityAge25*'01_Вводные'!$B$218*AL204,MeanMinAge25)))</f>
        <v/>
      </c>
      <c r="AM133" s="190">
        <f>IF(OR(AM105=0,25&lt;='01_Вводные'!$B$297),0,AM105*IF('01_Вводные'!$B$239="Да",MeanMinAge25+AM204*SUMIF(ThresholdAge25,"&lt;"&amp;AM204,WeightedRevAge25)-SUMIF(ThresholdAge25,"&lt;"&amp;AM204,WeightedMinAge25),MAX(CapacityAge25*'01_Вводные'!$B$218*AM204,MeanMinAge25)))</f>
        <v/>
      </c>
      <c r="AN133" s="190">
        <f>IF(OR(AN105=0,25&lt;='01_Вводные'!$B$297),0,AN105*IF('01_Вводные'!$B$239="Да",MeanMinAge25+AN204*SUMIF(ThresholdAge25,"&lt;"&amp;AN204,WeightedRevAge25)-SUMIF(ThresholdAge25,"&lt;"&amp;AN204,WeightedMinAge25),MAX(CapacityAge25*'01_Вводные'!$B$218*AN204,MeanMinAge25)))</f>
        <v/>
      </c>
      <c r="AO133" s="190">
        <f>IF(OR(AO105=0,25&lt;='01_Вводные'!$B$297),0,AO105*IF('01_Вводные'!$B$239="Да",MeanMinAge25+AO204*SUMIF(ThresholdAge25,"&lt;"&amp;AO204,WeightedRevAge25)-SUMIF(ThresholdAge25,"&lt;"&amp;AO204,WeightedMinAge25),MAX(CapacityAge25*'01_Вводные'!$B$218*AO204,MeanMinAge25)))</f>
        <v/>
      </c>
      <c r="AP133" s="190">
        <f>IF(OR(AP105=0,25&lt;='01_Вводные'!$B$297),0,AP105*IF('01_Вводные'!$B$239="Да",MeanMinAge25+AP204*SUMIF(ThresholdAge25,"&lt;"&amp;AP204,WeightedRevAge25)-SUMIF(ThresholdAge25,"&lt;"&amp;AP204,WeightedMinAge25),MAX(CapacityAge25*'01_Вводные'!$B$218*AP204,MeanMinAge25)))</f>
        <v/>
      </c>
      <c r="AQ133" s="190">
        <f>IF(OR(AQ105=0,25&lt;='01_Вводные'!$B$297),0,AQ105*IF('01_Вводные'!$B$239="Да",MeanMinAge25+AQ204*SUMIF(ThresholdAge25,"&lt;"&amp;AQ204,WeightedRevAge25)-SUMIF(ThresholdAge25,"&lt;"&amp;AQ204,WeightedMinAge25),MAX(CapacityAge25*'01_Вводные'!$B$218*AQ204,MeanMinAge25)))</f>
        <v/>
      </c>
      <c r="AR133" s="190">
        <f>IF(OR(AR105=0,25&lt;='01_Вводные'!$B$297),0,AR105*IF('01_Вводные'!$B$239="Да",MeanMinAge25+AR204*SUMIF(ThresholdAge25,"&lt;"&amp;AR204,WeightedRevAge25)-SUMIF(ThresholdAge25,"&lt;"&amp;AR204,WeightedMinAge25),MAX(CapacityAge25*'01_Вводные'!$B$218*AR204,MeanMinAge25)))</f>
        <v/>
      </c>
      <c r="AS133" s="190">
        <f>IF(OR(AS105=0,25&lt;='01_Вводные'!$B$297),0,AS105*IF('01_Вводные'!$B$239="Да",MeanMinAge25+AS204*SUMIF(ThresholdAge25,"&lt;"&amp;AS204,WeightedRevAge25)-SUMIF(ThresholdAge25,"&lt;"&amp;AS204,WeightedMinAge25),MAX(CapacityAge25*'01_Вводные'!$B$218*AS204,MeanMinAge25)))</f>
        <v/>
      </c>
      <c r="AT133" s="190">
        <f>IF(OR(AT105=0,25&lt;='01_Вводные'!$B$297),0,AT105*IF('01_Вводные'!$B$239="Да",MeanMinAge25+AT204*SUMIF(ThresholdAge25,"&lt;"&amp;AT204,WeightedRevAge25)-SUMIF(ThresholdAge25,"&lt;"&amp;AT204,WeightedMinAge25),MAX(CapacityAge25*'01_Вводные'!$B$218*AT204,MeanMinAge25)))</f>
        <v/>
      </c>
      <c r="AU133" s="190">
        <f>IF(OR(AU105=0,25&lt;='01_Вводные'!$B$297),0,AU105*IF('01_Вводные'!$B$239="Да",MeanMinAge25+AU204*SUMIF(ThresholdAge25,"&lt;"&amp;AU204,WeightedRevAge25)-SUMIF(ThresholdAge25,"&lt;"&amp;AU204,WeightedMinAge25),MAX(CapacityAge25*'01_Вводные'!$B$218*AU204,MeanMinAge25)))</f>
        <v/>
      </c>
      <c r="AV133" s="190">
        <f>IF(OR(AV105=0,25&lt;='01_Вводные'!$B$297),0,AV105*IF('01_Вводные'!$B$239="Да",MeanMinAge25+AV204*SUMIF(ThresholdAge25,"&lt;"&amp;AV204,WeightedRevAge25)-SUMIF(ThresholdAge25,"&lt;"&amp;AV204,WeightedMinAge25),MAX(CapacityAge25*'01_Вводные'!$B$218*AV204,MeanMinAge25)))</f>
        <v/>
      </c>
      <c r="AW133" s="190">
        <f>IF(OR(AW105=0,25&lt;='01_Вводные'!$B$297),0,AW105*IF('01_Вводные'!$B$239="Да",MeanMinAge25+AW204*SUMIF(ThresholdAge25,"&lt;"&amp;AW204,WeightedRevAge25)-SUMIF(ThresholdAge25,"&lt;"&amp;AW204,WeightedMinAge25),MAX(CapacityAge25*'01_Вводные'!$B$218*AW204,MeanMinAge25)))</f>
        <v/>
      </c>
      <c r="AX133" s="190">
        <f>IF(OR(AX105=0,25&lt;='01_Вводные'!$B$297),0,AX105*IF('01_Вводные'!$B$239="Да",MeanMinAge25+AX204*SUMIF(ThresholdAge25,"&lt;"&amp;AX204,WeightedRevAge25)-SUMIF(ThresholdAge25,"&lt;"&amp;AX204,WeightedMinAge25),MAX(CapacityAge25*'01_Вводные'!$B$218*AX204,MeanMinAge25)))</f>
        <v/>
      </c>
      <c r="AY133" s="190">
        <f>IF(OR(AY105=0,25&lt;='01_Вводные'!$B$297),0,AY105*IF('01_Вводные'!$B$239="Да",MeanMinAge25+AY204*SUMIF(ThresholdAge25,"&lt;"&amp;AY204,WeightedRevAge25)-SUMIF(ThresholdAge25,"&lt;"&amp;AY204,WeightedMinAge25),MAX(CapacityAge25*'01_Вводные'!$B$218*AY204,MeanMinAge25)))</f>
        <v/>
      </c>
      <c r="AZ133" s="190">
        <f>IF(OR(AZ105=0,25&lt;='01_Вводные'!$B$297),0,AZ105*IF('01_Вводные'!$B$239="Да",MeanMinAge25+AZ204*SUMIF(ThresholdAge25,"&lt;"&amp;AZ204,WeightedRevAge25)-SUMIF(ThresholdAge25,"&lt;"&amp;AZ204,WeightedMinAge25),MAX(CapacityAge25*'01_Вводные'!$B$218*AZ204,MeanMinAge25)))</f>
        <v/>
      </c>
      <c r="BA133" s="190">
        <f>IF(OR(BA105=0,25&lt;='01_Вводные'!$B$297),0,BA105*IF('01_Вводные'!$B$239="Да",MeanMinAge25+BA204*SUMIF(ThresholdAge25,"&lt;"&amp;BA204,WeightedRevAge25)-SUMIF(ThresholdAge25,"&lt;"&amp;BA204,WeightedMinAge25),MAX(CapacityAge25*'01_Вводные'!$B$218*BA204,MeanMinAge25)))</f>
        <v/>
      </c>
      <c r="BB133" s="190">
        <f>IF(OR(BB105=0,25&lt;='01_Вводные'!$B$297),0,BB105*IF('01_Вводные'!$B$239="Да",MeanMinAge25+BB204*SUMIF(ThresholdAge25,"&lt;"&amp;BB204,WeightedRevAge25)-SUMIF(ThresholdAge25,"&lt;"&amp;BB204,WeightedMinAge25),MAX(CapacityAge25*'01_Вводные'!$B$218*BB204,MeanMinAge25)))</f>
        <v/>
      </c>
      <c r="BC133" s="190">
        <f>IF(OR(BC105=0,25&lt;='01_Вводные'!$B$297),0,BC105*IF('01_Вводные'!$B$239="Да",MeanMinAge25+BC204*SUMIF(ThresholdAge25,"&lt;"&amp;BC204,WeightedRevAge25)-SUMIF(ThresholdAge25,"&lt;"&amp;BC204,WeightedMinAge25),MAX(CapacityAge25*'01_Вводные'!$B$218*BC204,MeanMinAge25)))</f>
        <v/>
      </c>
      <c r="BD133" s="190">
        <f>IF(OR(BD105=0,25&lt;='01_Вводные'!$B$297),0,BD105*IF('01_Вводные'!$B$239="Да",MeanMinAge25+BD204*SUMIF(ThresholdAge25,"&lt;"&amp;BD204,WeightedRevAge25)-SUMIF(ThresholdAge25,"&lt;"&amp;BD204,WeightedMinAge25),MAX(CapacityAge25*'01_Вводные'!$B$218*BD204,MeanMinAge25)))</f>
        <v/>
      </c>
      <c r="BE133" s="190">
        <f>IF(OR(BE105=0,25&lt;='01_Вводные'!$B$297),0,BE105*IF('01_Вводные'!$B$239="Да",MeanMinAge25+BE204*SUMIF(ThresholdAge25,"&lt;"&amp;BE204,WeightedRevAge25)-SUMIF(ThresholdAge25,"&lt;"&amp;BE204,WeightedMinAge25),MAX(CapacityAge25*'01_Вводные'!$B$218*BE204,MeanMinAge25)))</f>
        <v/>
      </c>
      <c r="BF133" s="190">
        <f>IF(OR(BF105=0,25&lt;='01_Вводные'!$B$297),0,BF105*IF('01_Вводные'!$B$239="Да",MeanMinAge25+BF204*SUMIF(ThresholdAge25,"&lt;"&amp;BF204,WeightedRevAge25)-SUMIF(ThresholdAge25,"&lt;"&amp;BF204,WeightedMinAge25),MAX(CapacityAge25*'01_Вводные'!$B$218*BF204,MeanMinAge25)))</f>
        <v/>
      </c>
      <c r="BG133" s="190">
        <f>IF(OR(BG105=0,25&lt;='01_Вводные'!$B$297),0,BG105*IF('01_Вводные'!$B$239="Да",MeanMinAge25+BG204*SUMIF(ThresholdAge25,"&lt;"&amp;BG204,WeightedRevAge25)-SUMIF(ThresholdAge25,"&lt;"&amp;BG204,WeightedMinAge25),MAX(CapacityAge25*'01_Вводные'!$B$218*BG204,MeanMinAge25)))</f>
        <v/>
      </c>
      <c r="BH133" s="190">
        <f>IF(OR(BH105=0,25&lt;='01_Вводные'!$B$297),0,BH105*IF('01_Вводные'!$B$239="Да",MeanMinAge25+BH204*SUMIF(ThresholdAge25,"&lt;"&amp;BH204,WeightedRevAge25)-SUMIF(ThresholdAge25,"&lt;"&amp;BH204,WeightedMinAge25),MAX(CapacityAge25*'01_Вводные'!$B$218*BH204,MeanMinAge25)))</f>
        <v/>
      </c>
      <c r="BI133" s="190">
        <f>IF(OR(BI105=0,25&lt;='01_Вводные'!$B$297),0,BI105*IF('01_Вводные'!$B$239="Да",MeanMinAge25+BI204*SUMIF(ThresholdAge25,"&lt;"&amp;BI204,WeightedRevAge25)-SUMIF(ThresholdAge25,"&lt;"&amp;BI204,WeightedMinAge25),MAX(CapacityAge25*'01_Вводные'!$B$218*BI204,MeanMinAge25)))</f>
        <v/>
      </c>
      <c r="BJ133" s="190">
        <f>IF(OR(BJ105=0,25&lt;='01_Вводные'!$B$297),0,BJ105*IF('01_Вводные'!$B$239="Да",MeanMinAge25+BJ204*SUMIF(ThresholdAge25,"&lt;"&amp;BJ204,WeightedRevAge25)-SUMIF(ThresholdAge25,"&lt;"&amp;BJ204,WeightedMinAge25),MAX(CapacityAge25*'01_Вводные'!$B$218*BJ204,MeanMinAge25)))</f>
        <v/>
      </c>
      <c r="BK133" s="190">
        <f>IF(OR(BK105=0,25&lt;='01_Вводные'!$B$297),0,BK105*IF('01_Вводные'!$B$239="Да",MeanMinAge25+BK204*SUMIF(ThresholdAge25,"&lt;"&amp;BK204,WeightedRevAge25)-SUMIF(ThresholdAge25,"&lt;"&amp;BK204,WeightedMinAge25),MAX(CapacityAge25*'01_Вводные'!$B$218*BK204,MeanMinAge25)))</f>
        <v/>
      </c>
      <c r="BL133" s="190">
        <f>IF(OR(BL105=0,25&lt;='01_Вводные'!$B$297),0,BL105*IF('01_Вводные'!$B$239="Да",MeanMinAge25+BL204*SUMIF(ThresholdAge25,"&lt;"&amp;BL204,WeightedRevAge25)-SUMIF(ThresholdAge25,"&lt;"&amp;BL204,WeightedMinAge25),MAX(CapacityAge25*'01_Вводные'!$B$218*BL204,MeanMinAge25)))</f>
        <v/>
      </c>
      <c r="BM133" s="190">
        <f>IF(OR(BM105=0,25&lt;='01_Вводные'!$B$297),0,BM105*IF('01_Вводные'!$B$239="Да",MeanMinAge25+BM204*SUMIF(ThresholdAge25,"&lt;"&amp;BM204,WeightedRevAge25)-SUMIF(ThresholdAge25,"&lt;"&amp;BM204,WeightedMinAge25),MAX(CapacityAge25*'01_Вводные'!$B$218*BM204,MeanMinAge25)))</f>
        <v/>
      </c>
      <c r="BN133" s="190">
        <f>IF(OR(BN105=0,25&lt;='01_Вводные'!$B$297),0,BN105*IF('01_Вводные'!$B$239="Да",MeanMinAge25+BN204*SUMIF(ThresholdAge25,"&lt;"&amp;BN204,WeightedRevAge25)-SUMIF(ThresholdAge25,"&lt;"&amp;BN204,WeightedMinAge25),MAX(CapacityAge25*'01_Вводные'!$B$218*BN204,MeanMinAge25)))</f>
        <v/>
      </c>
      <c r="BO133" s="190">
        <f>IF(OR(BO105=0,25&lt;='01_Вводные'!$B$297),0,BO105*IF('01_Вводные'!$B$239="Да",MeanMinAge25+BO204*SUMIF(ThresholdAge25,"&lt;"&amp;BO204,WeightedRevAge25)-SUMIF(ThresholdAge25,"&lt;"&amp;BO204,WeightedMinAge25),MAX(CapacityAge25*'01_Вводные'!$B$218*BO204,MeanMinAge25)))</f>
        <v/>
      </c>
    </row>
    <row r="134" hidden="1" outlineLevel="1">
      <c r="B134" s="96" t="n"/>
      <c r="C134" s="96" t="n"/>
      <c r="D134" s="96" t="n"/>
      <c r="E134" s="96" t="n"/>
      <c r="F134" s="96" t="n"/>
      <c r="G134" s="96" t="n"/>
      <c r="H134" s="96" t="n"/>
      <c r="I134" s="96" t="n"/>
      <c r="J134" s="96" t="n"/>
      <c r="K134" s="96" t="n"/>
      <c r="L134" s="96" t="n"/>
      <c r="M134" s="96" t="n"/>
      <c r="N134" s="96" t="n"/>
      <c r="O134" s="96" t="n"/>
      <c r="P134" s="96" t="n"/>
      <c r="Q134" s="96" t="n"/>
      <c r="R134" s="96" t="n"/>
      <c r="S134" s="96" t="n"/>
      <c r="T134" s="96" t="n"/>
      <c r="U134" s="96" t="n"/>
      <c r="V134" s="96" t="n"/>
      <c r="W134" s="96" t="n"/>
      <c r="X134" s="96" t="n"/>
      <c r="Y134" s="96" t="n"/>
      <c r="Z134" s="96" t="n"/>
      <c r="AA134" s="96" t="n"/>
      <c r="AB134" s="96" t="n"/>
      <c r="AC134" s="96" t="n"/>
      <c r="AD134" s="96" t="n"/>
      <c r="AE134" s="96" t="n"/>
      <c r="AF134" s="96" t="n"/>
      <c r="AG134" s="96" t="n"/>
      <c r="AH134" s="96" t="n"/>
      <c r="AI134" s="96" t="n"/>
      <c r="AJ134" s="96" t="n"/>
      <c r="AK134" s="96" t="n"/>
      <c r="AL134" s="96" t="n"/>
      <c r="AM134" s="96" t="n"/>
      <c r="AN134" s="96" t="n"/>
      <c r="AO134" s="96" t="n"/>
      <c r="AP134" s="96" t="n"/>
      <c r="AQ134" s="96" t="n"/>
      <c r="AR134" s="96" t="n"/>
      <c r="AS134" s="96" t="n"/>
      <c r="AT134" s="96" t="n"/>
      <c r="AU134" s="96" t="n"/>
      <c r="AV134" s="96" t="n"/>
      <c r="AW134" s="96" t="n"/>
      <c r="AX134" s="96" t="n"/>
      <c r="AY134" s="96" t="n"/>
      <c r="AZ134" s="96" t="n"/>
      <c r="BA134" s="96" t="n"/>
      <c r="BB134" s="96" t="n"/>
      <c r="BC134" s="96" t="n"/>
      <c r="BD134" s="96" t="n"/>
      <c r="BE134" s="96" t="n"/>
      <c r="BF134" s="96" t="n"/>
      <c r="BG134" s="96" t="n"/>
      <c r="BH134" s="96" t="n"/>
      <c r="BI134" s="96" t="n"/>
      <c r="BJ134" s="96" t="n"/>
      <c r="BK134" s="96" t="n"/>
      <c r="BL134" s="96" t="n"/>
      <c r="BM134" s="96" t="n"/>
      <c r="BN134" s="96" t="n"/>
      <c r="BO134" s="96" t="n"/>
    </row>
    <row r="135" hidden="1" outlineLevel="1">
      <c r="B135" s="127" t="n"/>
      <c r="C135" s="127" t="n"/>
      <c r="D135" s="127" t="n"/>
      <c r="E135" s="127" t="n"/>
      <c r="F135" s="127" t="n"/>
      <c r="G135" s="127" t="n"/>
      <c r="H135" s="127" t="n"/>
      <c r="I135" s="127" t="n"/>
      <c r="J135" s="127" t="n"/>
      <c r="K135" s="127" t="n"/>
      <c r="L135" s="127" t="n"/>
      <c r="M135" s="127" t="n"/>
      <c r="N135" s="127" t="n"/>
      <c r="O135" s="127" t="n"/>
      <c r="P135" s="127" t="n"/>
      <c r="Q135" s="127" t="n"/>
      <c r="R135" s="127" t="n"/>
      <c r="S135" s="127" t="n"/>
      <c r="T135" s="127" t="n"/>
      <c r="U135" s="127" t="n"/>
      <c r="V135" s="127" t="n"/>
      <c r="W135" s="127" t="n"/>
      <c r="X135" s="127" t="n"/>
      <c r="Y135" s="127" t="n"/>
      <c r="Z135" s="127" t="n"/>
      <c r="AA135" s="127" t="n"/>
      <c r="AB135" s="127" t="n"/>
      <c r="AC135" s="127" t="n"/>
      <c r="AD135" s="127" t="n"/>
      <c r="AE135" s="127" t="n"/>
      <c r="AF135" s="127" t="n"/>
      <c r="AG135" s="127" t="n"/>
      <c r="AH135" s="127" t="n"/>
      <c r="AI135" s="127" t="n"/>
      <c r="AJ135" s="127" t="n"/>
      <c r="AK135" s="127" t="n"/>
      <c r="AL135" s="127" t="n"/>
      <c r="AM135" s="127" t="n"/>
      <c r="AN135" s="127" t="n"/>
      <c r="AO135" s="127" t="n"/>
      <c r="AP135" s="127" t="n"/>
      <c r="AQ135" s="127" t="n"/>
      <c r="AR135" s="127" t="n"/>
      <c r="AS135" s="127" t="n"/>
      <c r="AT135" s="127" t="n"/>
      <c r="AU135" s="127" t="n"/>
      <c r="AV135" s="127" t="n"/>
      <c r="AW135" s="127" t="n"/>
      <c r="AX135" s="127" t="n"/>
      <c r="AY135" s="127" t="n"/>
      <c r="AZ135" s="127" t="n"/>
      <c r="BA135" s="127" t="n"/>
      <c r="BB135" s="127" t="n"/>
      <c r="BC135" s="127" t="n"/>
      <c r="BD135" s="127" t="n"/>
      <c r="BE135" s="127" t="n"/>
      <c r="BF135" s="127" t="n"/>
      <c r="BG135" s="127" t="n"/>
      <c r="BH135" s="127" t="n"/>
      <c r="BI135" s="127" t="n"/>
      <c r="BJ135" s="127" t="n"/>
      <c r="BK135" s="127" t="n"/>
      <c r="BL135" s="127" t="n"/>
      <c r="BM135" s="127" t="n"/>
      <c r="BN135" s="127" t="n"/>
      <c r="BO135" s="127" t="n"/>
    </row>
    <row r="136" hidden="1" outlineLevel="1" ht="28" customHeight="1">
      <c r="A136" s="181" t="inlineStr">
        <is>
          <t>Роялти: новая ставка, по возрасту</t>
        </is>
      </c>
      <c r="I136" s="96" t="n"/>
      <c r="J136" s="96" t="n"/>
      <c r="K136" s="96" t="n"/>
      <c r="L136" s="96" t="n"/>
      <c r="M136" s="96" t="n"/>
      <c r="N136" s="96" t="n"/>
      <c r="O136" s="96" t="n"/>
      <c r="P136" s="96" t="n"/>
      <c r="Q136" s="96" t="n"/>
      <c r="R136" s="96" t="n"/>
      <c r="S136" s="96" t="n"/>
      <c r="T136" s="96" t="n"/>
      <c r="U136" s="96" t="n"/>
      <c r="V136" s="96" t="n"/>
      <c r="W136" s="96" t="n"/>
      <c r="X136" s="96" t="n"/>
      <c r="Y136" s="96" t="n"/>
      <c r="Z136" s="96" t="n"/>
      <c r="AA136" s="96" t="n"/>
      <c r="AB136" s="96" t="n"/>
      <c r="AC136" s="96" t="n"/>
      <c r="AD136" s="96" t="n"/>
      <c r="AE136" s="96" t="n"/>
      <c r="AF136" s="96" t="n"/>
      <c r="AG136" s="96" t="n"/>
      <c r="AH136" s="96" t="n"/>
      <c r="AI136" s="96" t="n"/>
      <c r="AJ136" s="96" t="n"/>
      <c r="AK136" s="96" t="n"/>
      <c r="AL136" s="96" t="n"/>
      <c r="AM136" s="96" t="n"/>
      <c r="AN136" s="96" t="n"/>
      <c r="AO136" s="96" t="n"/>
      <c r="AP136" s="96" t="n"/>
      <c r="AQ136" s="96" t="n"/>
      <c r="AR136" s="96" t="n"/>
      <c r="AS136" s="96" t="n"/>
      <c r="AT136" s="96" t="n"/>
      <c r="AU136" s="96" t="n"/>
      <c r="AV136" s="96" t="n"/>
      <c r="AW136" s="96" t="n"/>
      <c r="AX136" s="96" t="n"/>
      <c r="AY136" s="96" t="n"/>
      <c r="AZ136" s="96" t="n"/>
      <c r="BA136" s="96" t="n"/>
      <c r="BB136" s="96" t="n"/>
      <c r="BC136" s="96" t="n"/>
      <c r="BD136" s="96" t="n"/>
      <c r="BE136" s="96" t="n"/>
      <c r="BF136" s="96" t="n"/>
      <c r="BG136" s="96" t="n"/>
      <c r="BH136" s="96" t="n"/>
      <c r="BI136" s="96" t="n"/>
      <c r="BJ136" s="96" t="n"/>
      <c r="BK136" s="96" t="n"/>
      <c r="BL136" s="96" t="n"/>
      <c r="BM136" s="96" t="n"/>
      <c r="BN136" s="96" t="n"/>
      <c r="BO136" s="96" t="n"/>
    </row>
    <row r="137" hidden="1" outlineLevel="1">
      <c r="A137" t="inlineStr">
        <is>
          <t>1 мес.</t>
        </is>
      </c>
      <c r="B137" s="190">
        <f>IF(OR((B53-B81)=0,1&lt;='01_Вводные'!$B$297),0,(B53-B81)*IF('01_Вводные'!$B$239="Да",MeanMinAge01+B205*SUMIF(ThresholdAge01,"&lt;"&amp;B205,WeightedRevAge01)-SUMIF(ThresholdAge01,"&lt;"&amp;B205,WeightedMinAge01),MAX(CapacityAge01*'01_Вводные'!$B$218*B205,MeanMinAge01)))</f>
        <v/>
      </c>
      <c r="C137" s="190">
        <f>IF(OR((C53-C81)=0,1&lt;='01_Вводные'!$B$297),0,(C53-C81)*IF('01_Вводные'!$B$239="Да",MeanMinAge01+C205*SUMIF(ThresholdAge01,"&lt;"&amp;C205,WeightedRevAge01)-SUMIF(ThresholdAge01,"&lt;"&amp;C205,WeightedMinAge01),MAX(CapacityAge01*'01_Вводные'!$B$218*C205,MeanMinAge01)))</f>
        <v/>
      </c>
      <c r="D137" s="190">
        <f>IF(OR((D53-D81)=0,1&lt;='01_Вводные'!$B$297),0,(D53-D81)*IF('01_Вводные'!$B$239="Да",MeanMinAge01+D205*SUMIF(ThresholdAge01,"&lt;"&amp;D205,WeightedRevAge01)-SUMIF(ThresholdAge01,"&lt;"&amp;D205,WeightedMinAge01),MAX(CapacityAge01*'01_Вводные'!$B$218*D205,MeanMinAge01)))</f>
        <v/>
      </c>
      <c r="E137" s="190">
        <f>IF(OR((E53-E81)=0,1&lt;='01_Вводные'!$B$297),0,(E53-E81)*IF('01_Вводные'!$B$239="Да",MeanMinAge01+E205*SUMIF(ThresholdAge01,"&lt;"&amp;E205,WeightedRevAge01)-SUMIF(ThresholdAge01,"&lt;"&amp;E205,WeightedMinAge01),MAX(CapacityAge01*'01_Вводные'!$B$218*E205,MeanMinAge01)))</f>
        <v/>
      </c>
      <c r="F137" s="190">
        <f>IF(OR((F53-F81)=0,1&lt;='01_Вводные'!$B$297),0,(F53-F81)*IF('01_Вводные'!$B$239="Да",MeanMinAge01+F205*SUMIF(ThresholdAge01,"&lt;"&amp;F205,WeightedRevAge01)-SUMIF(ThresholdAge01,"&lt;"&amp;F205,WeightedMinAge01),MAX(CapacityAge01*'01_Вводные'!$B$218*F205,MeanMinAge01)))</f>
        <v/>
      </c>
      <c r="G137" s="190">
        <f>IF(OR((G53-G81)=0,1&lt;='01_Вводные'!$B$297),0,(G53-G81)*IF('01_Вводные'!$B$239="Да",MeanMinAge01+G205*SUMIF(ThresholdAge01,"&lt;"&amp;G205,WeightedRevAge01)-SUMIF(ThresholdAge01,"&lt;"&amp;G205,WeightedMinAge01),MAX(CapacityAge01*'01_Вводные'!$B$218*G205,MeanMinAge01)))</f>
        <v/>
      </c>
      <c r="H137" s="190">
        <f>IF(OR((H53-H81)=0,1&lt;='01_Вводные'!$B$297),0,(H53-H81)*IF('01_Вводные'!$B$239="Да",MeanMinAge01+H205*SUMIF(ThresholdAge01,"&lt;"&amp;H205,WeightedRevAge01)-SUMIF(ThresholdAge01,"&lt;"&amp;H205,WeightedMinAge01),MAX(CapacityAge01*'01_Вводные'!$B$218*H205,MeanMinAge01)))</f>
        <v/>
      </c>
      <c r="I137" s="190">
        <f>IF(OR((I53-I81)=0,1&lt;='01_Вводные'!$B$297),0,(I53-I81)*IF('01_Вводные'!$B$239="Да",MeanMinAge01+I205*SUMIF(ThresholdAge01,"&lt;"&amp;I205,WeightedRevAge01)-SUMIF(ThresholdAge01,"&lt;"&amp;I205,WeightedMinAge01),MAX(CapacityAge01*'01_Вводные'!$B$218*I205,MeanMinAge01)))</f>
        <v/>
      </c>
      <c r="J137" s="190">
        <f>IF(OR((J53-J81)=0,1&lt;='01_Вводные'!$B$297),0,(J53-J81)*IF('01_Вводные'!$B$239="Да",MeanMinAge01+J205*SUMIF(ThresholdAge01,"&lt;"&amp;J205,WeightedRevAge01)-SUMIF(ThresholdAge01,"&lt;"&amp;J205,WeightedMinAge01),MAX(CapacityAge01*'01_Вводные'!$B$218*J205,MeanMinAge01)))</f>
        <v/>
      </c>
      <c r="K137" s="190">
        <f>IF(OR((K53-K81)=0,1&lt;='01_Вводные'!$B$297),0,(K53-K81)*IF('01_Вводные'!$B$239="Да",MeanMinAge01+K205*SUMIF(ThresholdAge01,"&lt;"&amp;K205,WeightedRevAge01)-SUMIF(ThresholdAge01,"&lt;"&amp;K205,WeightedMinAge01),MAX(CapacityAge01*'01_Вводные'!$B$218*K205,MeanMinAge01)))</f>
        <v/>
      </c>
      <c r="L137" s="190">
        <f>IF(OR((L53-L81)=0,1&lt;='01_Вводные'!$B$297),0,(L53-L81)*IF('01_Вводные'!$B$239="Да",MeanMinAge01+L205*SUMIF(ThresholdAge01,"&lt;"&amp;L205,WeightedRevAge01)-SUMIF(ThresholdAge01,"&lt;"&amp;L205,WeightedMinAge01),MAX(CapacityAge01*'01_Вводные'!$B$218*L205,MeanMinAge01)))</f>
        <v/>
      </c>
      <c r="M137" s="190">
        <f>IF(OR((M53-M81)=0,1&lt;='01_Вводные'!$B$297),0,(M53-M81)*IF('01_Вводные'!$B$239="Да",MeanMinAge01+M205*SUMIF(ThresholdAge01,"&lt;"&amp;M205,WeightedRevAge01)-SUMIF(ThresholdAge01,"&lt;"&amp;M205,WeightedMinAge01),MAX(CapacityAge01*'01_Вводные'!$B$218*M205,MeanMinAge01)))</f>
        <v/>
      </c>
      <c r="N137" s="190">
        <f>IF(OR((N53-N81)=0,1&lt;='01_Вводные'!$B$297),0,(N53-N81)*IF('01_Вводные'!$B$239="Да",MeanMinAge01+N205*SUMIF(ThresholdAge01,"&lt;"&amp;N205,WeightedRevAge01)-SUMIF(ThresholdAge01,"&lt;"&amp;N205,WeightedMinAge01),MAX(CapacityAge01*'01_Вводные'!$B$218*N205,MeanMinAge01)))</f>
        <v/>
      </c>
      <c r="O137" s="190">
        <f>IF(OR((O53-O81)=0,1&lt;='01_Вводные'!$B$297),0,(O53-O81)*IF('01_Вводные'!$B$239="Да",MeanMinAge01+O205*SUMIF(ThresholdAge01,"&lt;"&amp;O205,WeightedRevAge01)-SUMIF(ThresholdAge01,"&lt;"&amp;O205,WeightedMinAge01),MAX(CapacityAge01*'01_Вводные'!$B$218*O205,MeanMinAge01)))</f>
        <v/>
      </c>
      <c r="P137" s="190">
        <f>IF(OR((P53-P81)=0,1&lt;='01_Вводные'!$B$297),0,(P53-P81)*IF('01_Вводные'!$B$239="Да",MeanMinAge01+P205*SUMIF(ThresholdAge01,"&lt;"&amp;P205,WeightedRevAge01)-SUMIF(ThresholdAge01,"&lt;"&amp;P205,WeightedMinAge01),MAX(CapacityAge01*'01_Вводные'!$B$218*P205,MeanMinAge01)))</f>
        <v/>
      </c>
      <c r="Q137" s="190">
        <f>IF(OR((Q53-Q81)=0,1&lt;='01_Вводные'!$B$297),0,(Q53-Q81)*IF('01_Вводные'!$B$239="Да",MeanMinAge01+Q205*SUMIF(ThresholdAge01,"&lt;"&amp;Q205,WeightedRevAge01)-SUMIF(ThresholdAge01,"&lt;"&amp;Q205,WeightedMinAge01),MAX(CapacityAge01*'01_Вводные'!$B$218*Q205,MeanMinAge01)))</f>
        <v/>
      </c>
      <c r="R137" s="190">
        <f>IF(OR((R53-R81)=0,1&lt;='01_Вводные'!$B$297),0,(R53-R81)*IF('01_Вводные'!$B$239="Да",MeanMinAge01+R205*SUMIF(ThresholdAge01,"&lt;"&amp;R205,WeightedRevAge01)-SUMIF(ThresholdAge01,"&lt;"&amp;R205,WeightedMinAge01),MAX(CapacityAge01*'01_Вводные'!$B$218*R205,MeanMinAge01)))</f>
        <v/>
      </c>
      <c r="S137" s="190">
        <f>IF(OR((S53-S81)=0,1&lt;='01_Вводные'!$B$297),0,(S53-S81)*IF('01_Вводные'!$B$239="Да",MeanMinAge01+S205*SUMIF(ThresholdAge01,"&lt;"&amp;S205,WeightedRevAge01)-SUMIF(ThresholdAge01,"&lt;"&amp;S205,WeightedMinAge01),MAX(CapacityAge01*'01_Вводные'!$B$218*S205,MeanMinAge01)))</f>
        <v/>
      </c>
      <c r="T137" s="190">
        <f>IF(OR((T53-T81)=0,1&lt;='01_Вводные'!$B$297),0,(T53-T81)*IF('01_Вводные'!$B$239="Да",MeanMinAge01+T205*SUMIF(ThresholdAge01,"&lt;"&amp;T205,WeightedRevAge01)-SUMIF(ThresholdAge01,"&lt;"&amp;T205,WeightedMinAge01),MAX(CapacityAge01*'01_Вводные'!$B$218*T205,MeanMinAge01)))</f>
        <v/>
      </c>
      <c r="U137" s="190">
        <f>IF(OR((U53-U81)=0,1&lt;='01_Вводные'!$B$297),0,(U53-U81)*IF('01_Вводные'!$B$239="Да",MeanMinAge01+U205*SUMIF(ThresholdAge01,"&lt;"&amp;U205,WeightedRevAge01)-SUMIF(ThresholdAge01,"&lt;"&amp;U205,WeightedMinAge01),MAX(CapacityAge01*'01_Вводные'!$B$218*U205,MeanMinAge01)))</f>
        <v/>
      </c>
      <c r="V137" s="190">
        <f>IF(OR((V53-V81)=0,1&lt;='01_Вводные'!$B$297),0,(V53-V81)*IF('01_Вводные'!$B$239="Да",MeanMinAge01+V205*SUMIF(ThresholdAge01,"&lt;"&amp;V205,WeightedRevAge01)-SUMIF(ThresholdAge01,"&lt;"&amp;V205,WeightedMinAge01),MAX(CapacityAge01*'01_Вводные'!$B$218*V205,MeanMinAge01)))</f>
        <v/>
      </c>
      <c r="W137" s="190">
        <f>IF(OR((W53-W81)=0,1&lt;='01_Вводные'!$B$297),0,(W53-W81)*IF('01_Вводные'!$B$239="Да",MeanMinAge01+W205*SUMIF(ThresholdAge01,"&lt;"&amp;W205,WeightedRevAge01)-SUMIF(ThresholdAge01,"&lt;"&amp;W205,WeightedMinAge01),MAX(CapacityAge01*'01_Вводные'!$B$218*W205,MeanMinAge01)))</f>
        <v/>
      </c>
      <c r="X137" s="190">
        <f>IF(OR((X53-X81)=0,1&lt;='01_Вводные'!$B$297),0,(X53-X81)*IF('01_Вводные'!$B$239="Да",MeanMinAge01+X205*SUMIF(ThresholdAge01,"&lt;"&amp;X205,WeightedRevAge01)-SUMIF(ThresholdAge01,"&lt;"&amp;X205,WeightedMinAge01),MAX(CapacityAge01*'01_Вводные'!$B$218*X205,MeanMinAge01)))</f>
        <v/>
      </c>
      <c r="Y137" s="190">
        <f>IF(OR((Y53-Y81)=0,1&lt;='01_Вводные'!$B$297),0,(Y53-Y81)*IF('01_Вводные'!$B$239="Да",MeanMinAge01+Y205*SUMIF(ThresholdAge01,"&lt;"&amp;Y205,WeightedRevAge01)-SUMIF(ThresholdAge01,"&lt;"&amp;Y205,WeightedMinAge01),MAX(CapacityAge01*'01_Вводные'!$B$218*Y205,MeanMinAge01)))</f>
        <v/>
      </c>
      <c r="Z137" s="190">
        <f>IF(OR((Z53-Z81)=0,1&lt;='01_Вводные'!$B$297),0,(Z53-Z81)*IF('01_Вводные'!$B$239="Да",MeanMinAge01+Z205*SUMIF(ThresholdAge01,"&lt;"&amp;Z205,WeightedRevAge01)-SUMIF(ThresholdAge01,"&lt;"&amp;Z205,WeightedMinAge01),MAX(CapacityAge01*'01_Вводные'!$B$218*Z205,MeanMinAge01)))</f>
        <v/>
      </c>
      <c r="AA137" s="190">
        <f>IF(OR((AA53-AA81)=0,1&lt;='01_Вводные'!$B$297),0,(AA53-AA81)*IF('01_Вводные'!$B$239="Да",MeanMinAge01+AA205*SUMIF(ThresholdAge01,"&lt;"&amp;AA205,WeightedRevAge01)-SUMIF(ThresholdAge01,"&lt;"&amp;AA205,WeightedMinAge01),MAX(CapacityAge01*'01_Вводные'!$B$218*AA205,MeanMinAge01)))</f>
        <v/>
      </c>
      <c r="AB137" s="190">
        <f>IF(OR((AB53-AB81)=0,1&lt;='01_Вводные'!$B$297),0,(AB53-AB81)*IF('01_Вводные'!$B$239="Да",MeanMinAge01+AB205*SUMIF(ThresholdAge01,"&lt;"&amp;AB205,WeightedRevAge01)-SUMIF(ThresholdAge01,"&lt;"&amp;AB205,WeightedMinAge01),MAX(CapacityAge01*'01_Вводные'!$B$218*AB205,MeanMinAge01)))</f>
        <v/>
      </c>
      <c r="AC137" s="190">
        <f>IF(OR((AC53-AC81)=0,1&lt;='01_Вводные'!$B$297),0,(AC53-AC81)*IF('01_Вводные'!$B$239="Да",MeanMinAge01+AC205*SUMIF(ThresholdAge01,"&lt;"&amp;AC205,WeightedRevAge01)-SUMIF(ThresholdAge01,"&lt;"&amp;AC205,WeightedMinAge01),MAX(CapacityAge01*'01_Вводные'!$B$218*AC205,MeanMinAge01)))</f>
        <v/>
      </c>
      <c r="AD137" s="190">
        <f>IF(OR((AD53-AD81)=0,1&lt;='01_Вводные'!$B$297),0,(AD53-AD81)*IF('01_Вводные'!$B$239="Да",MeanMinAge01+AD205*SUMIF(ThresholdAge01,"&lt;"&amp;AD205,WeightedRevAge01)-SUMIF(ThresholdAge01,"&lt;"&amp;AD205,WeightedMinAge01),MAX(CapacityAge01*'01_Вводные'!$B$218*AD205,MeanMinAge01)))</f>
        <v/>
      </c>
      <c r="AE137" s="190">
        <f>IF(OR((AE53-AE81)=0,1&lt;='01_Вводные'!$B$297),0,(AE53-AE81)*IF('01_Вводные'!$B$239="Да",MeanMinAge01+AE205*SUMIF(ThresholdAge01,"&lt;"&amp;AE205,WeightedRevAge01)-SUMIF(ThresholdAge01,"&lt;"&amp;AE205,WeightedMinAge01),MAX(CapacityAge01*'01_Вводные'!$B$218*AE205,MeanMinAge01)))</f>
        <v/>
      </c>
      <c r="AF137" s="190">
        <f>IF(OR((AF53-AF81)=0,1&lt;='01_Вводные'!$B$297),0,(AF53-AF81)*IF('01_Вводные'!$B$239="Да",MeanMinAge01+AF205*SUMIF(ThresholdAge01,"&lt;"&amp;AF205,WeightedRevAge01)-SUMIF(ThresholdAge01,"&lt;"&amp;AF205,WeightedMinAge01),MAX(CapacityAge01*'01_Вводные'!$B$218*AF205,MeanMinAge01)))</f>
        <v/>
      </c>
      <c r="AG137" s="190">
        <f>IF(OR((AG53-AG81)=0,1&lt;='01_Вводные'!$B$297),0,(AG53-AG81)*IF('01_Вводные'!$B$239="Да",MeanMinAge01+AG205*SUMIF(ThresholdAge01,"&lt;"&amp;AG205,WeightedRevAge01)-SUMIF(ThresholdAge01,"&lt;"&amp;AG205,WeightedMinAge01),MAX(CapacityAge01*'01_Вводные'!$B$218*AG205,MeanMinAge01)))</f>
        <v/>
      </c>
      <c r="AH137" s="190">
        <f>IF(OR((AH53-AH81)=0,1&lt;='01_Вводные'!$B$297),0,(AH53-AH81)*IF('01_Вводные'!$B$239="Да",MeanMinAge01+AH205*SUMIF(ThresholdAge01,"&lt;"&amp;AH205,WeightedRevAge01)-SUMIF(ThresholdAge01,"&lt;"&amp;AH205,WeightedMinAge01),MAX(CapacityAge01*'01_Вводные'!$B$218*AH205,MeanMinAge01)))</f>
        <v/>
      </c>
      <c r="AI137" s="190">
        <f>IF(OR((AI53-AI81)=0,1&lt;='01_Вводные'!$B$297),0,(AI53-AI81)*IF('01_Вводные'!$B$239="Да",MeanMinAge01+AI205*SUMIF(ThresholdAge01,"&lt;"&amp;AI205,WeightedRevAge01)-SUMIF(ThresholdAge01,"&lt;"&amp;AI205,WeightedMinAge01),MAX(CapacityAge01*'01_Вводные'!$B$218*AI205,MeanMinAge01)))</f>
        <v/>
      </c>
      <c r="AJ137" s="190">
        <f>IF(OR((AJ53-AJ81)=0,1&lt;='01_Вводные'!$B$297),0,(AJ53-AJ81)*IF('01_Вводные'!$B$239="Да",MeanMinAge01+AJ205*SUMIF(ThresholdAge01,"&lt;"&amp;AJ205,WeightedRevAge01)-SUMIF(ThresholdAge01,"&lt;"&amp;AJ205,WeightedMinAge01),MAX(CapacityAge01*'01_Вводные'!$B$218*AJ205,MeanMinAge01)))</f>
        <v/>
      </c>
      <c r="AK137" s="190">
        <f>IF(OR((AK53-AK81)=0,1&lt;='01_Вводные'!$B$297),0,(AK53-AK81)*IF('01_Вводные'!$B$239="Да",MeanMinAge01+AK205*SUMIF(ThresholdAge01,"&lt;"&amp;AK205,WeightedRevAge01)-SUMIF(ThresholdAge01,"&lt;"&amp;AK205,WeightedMinAge01),MAX(CapacityAge01*'01_Вводные'!$B$218*AK205,MeanMinAge01)))</f>
        <v/>
      </c>
      <c r="AL137" s="190">
        <f>IF(OR((AL53-AL81)=0,1&lt;='01_Вводные'!$B$297),0,(AL53-AL81)*IF('01_Вводные'!$B$239="Да",MeanMinAge01+AL205*SUMIF(ThresholdAge01,"&lt;"&amp;AL205,WeightedRevAge01)-SUMIF(ThresholdAge01,"&lt;"&amp;AL205,WeightedMinAge01),MAX(CapacityAge01*'01_Вводные'!$B$218*AL205,MeanMinAge01)))</f>
        <v/>
      </c>
      <c r="AM137" s="190">
        <f>IF(OR((AM53-AM81)=0,1&lt;='01_Вводные'!$B$297),0,(AM53-AM81)*IF('01_Вводные'!$B$239="Да",MeanMinAge01+AM205*SUMIF(ThresholdAge01,"&lt;"&amp;AM205,WeightedRevAge01)-SUMIF(ThresholdAge01,"&lt;"&amp;AM205,WeightedMinAge01),MAX(CapacityAge01*'01_Вводные'!$B$218*AM205,MeanMinAge01)))</f>
        <v/>
      </c>
      <c r="AN137" s="190">
        <f>IF(OR((AN53-AN81)=0,1&lt;='01_Вводные'!$B$297),0,(AN53-AN81)*IF('01_Вводные'!$B$239="Да",MeanMinAge01+AN205*SUMIF(ThresholdAge01,"&lt;"&amp;AN205,WeightedRevAge01)-SUMIF(ThresholdAge01,"&lt;"&amp;AN205,WeightedMinAge01),MAX(CapacityAge01*'01_Вводные'!$B$218*AN205,MeanMinAge01)))</f>
        <v/>
      </c>
      <c r="AO137" s="190">
        <f>IF(OR((AO53-AO81)=0,1&lt;='01_Вводные'!$B$297),0,(AO53-AO81)*IF('01_Вводные'!$B$239="Да",MeanMinAge01+AO205*SUMIF(ThresholdAge01,"&lt;"&amp;AO205,WeightedRevAge01)-SUMIF(ThresholdAge01,"&lt;"&amp;AO205,WeightedMinAge01),MAX(CapacityAge01*'01_Вводные'!$B$218*AO205,MeanMinAge01)))</f>
        <v/>
      </c>
      <c r="AP137" s="190">
        <f>IF(OR((AP53-AP81)=0,1&lt;='01_Вводные'!$B$297),0,(AP53-AP81)*IF('01_Вводные'!$B$239="Да",MeanMinAge01+AP205*SUMIF(ThresholdAge01,"&lt;"&amp;AP205,WeightedRevAge01)-SUMIF(ThresholdAge01,"&lt;"&amp;AP205,WeightedMinAge01),MAX(CapacityAge01*'01_Вводные'!$B$218*AP205,MeanMinAge01)))</f>
        <v/>
      </c>
      <c r="AQ137" s="190">
        <f>IF(OR((AQ53-AQ81)=0,1&lt;='01_Вводные'!$B$297),0,(AQ53-AQ81)*IF('01_Вводные'!$B$239="Да",MeanMinAge01+AQ205*SUMIF(ThresholdAge01,"&lt;"&amp;AQ205,WeightedRevAge01)-SUMIF(ThresholdAge01,"&lt;"&amp;AQ205,WeightedMinAge01),MAX(CapacityAge01*'01_Вводные'!$B$218*AQ205,MeanMinAge01)))</f>
        <v/>
      </c>
      <c r="AR137" s="190">
        <f>IF(OR((AR53-AR81)=0,1&lt;='01_Вводные'!$B$297),0,(AR53-AR81)*IF('01_Вводные'!$B$239="Да",MeanMinAge01+AR205*SUMIF(ThresholdAge01,"&lt;"&amp;AR205,WeightedRevAge01)-SUMIF(ThresholdAge01,"&lt;"&amp;AR205,WeightedMinAge01),MAX(CapacityAge01*'01_Вводные'!$B$218*AR205,MeanMinAge01)))</f>
        <v/>
      </c>
      <c r="AS137" s="190">
        <f>IF(OR((AS53-AS81)=0,1&lt;='01_Вводные'!$B$297),0,(AS53-AS81)*IF('01_Вводные'!$B$239="Да",MeanMinAge01+AS205*SUMIF(ThresholdAge01,"&lt;"&amp;AS205,WeightedRevAge01)-SUMIF(ThresholdAge01,"&lt;"&amp;AS205,WeightedMinAge01),MAX(CapacityAge01*'01_Вводные'!$B$218*AS205,MeanMinAge01)))</f>
        <v/>
      </c>
      <c r="AT137" s="190">
        <f>IF(OR((AT53-AT81)=0,1&lt;='01_Вводные'!$B$297),0,(AT53-AT81)*IF('01_Вводные'!$B$239="Да",MeanMinAge01+AT205*SUMIF(ThresholdAge01,"&lt;"&amp;AT205,WeightedRevAge01)-SUMIF(ThresholdAge01,"&lt;"&amp;AT205,WeightedMinAge01),MAX(CapacityAge01*'01_Вводные'!$B$218*AT205,MeanMinAge01)))</f>
        <v/>
      </c>
      <c r="AU137" s="190">
        <f>IF(OR((AU53-AU81)=0,1&lt;='01_Вводные'!$B$297),0,(AU53-AU81)*IF('01_Вводные'!$B$239="Да",MeanMinAge01+AU205*SUMIF(ThresholdAge01,"&lt;"&amp;AU205,WeightedRevAge01)-SUMIF(ThresholdAge01,"&lt;"&amp;AU205,WeightedMinAge01),MAX(CapacityAge01*'01_Вводные'!$B$218*AU205,MeanMinAge01)))</f>
        <v/>
      </c>
      <c r="AV137" s="190">
        <f>IF(OR((AV53-AV81)=0,1&lt;='01_Вводные'!$B$297),0,(AV53-AV81)*IF('01_Вводные'!$B$239="Да",MeanMinAge01+AV205*SUMIF(ThresholdAge01,"&lt;"&amp;AV205,WeightedRevAge01)-SUMIF(ThresholdAge01,"&lt;"&amp;AV205,WeightedMinAge01),MAX(CapacityAge01*'01_Вводные'!$B$218*AV205,MeanMinAge01)))</f>
        <v/>
      </c>
      <c r="AW137" s="190">
        <f>IF(OR((AW53-AW81)=0,1&lt;='01_Вводные'!$B$297),0,(AW53-AW81)*IF('01_Вводные'!$B$239="Да",MeanMinAge01+AW205*SUMIF(ThresholdAge01,"&lt;"&amp;AW205,WeightedRevAge01)-SUMIF(ThresholdAge01,"&lt;"&amp;AW205,WeightedMinAge01),MAX(CapacityAge01*'01_Вводные'!$B$218*AW205,MeanMinAge01)))</f>
        <v/>
      </c>
      <c r="AX137" s="190">
        <f>IF(OR((AX53-AX81)=0,1&lt;='01_Вводные'!$B$297),0,(AX53-AX81)*IF('01_Вводные'!$B$239="Да",MeanMinAge01+AX205*SUMIF(ThresholdAge01,"&lt;"&amp;AX205,WeightedRevAge01)-SUMIF(ThresholdAge01,"&lt;"&amp;AX205,WeightedMinAge01),MAX(CapacityAge01*'01_Вводные'!$B$218*AX205,MeanMinAge01)))</f>
        <v/>
      </c>
      <c r="AY137" s="190">
        <f>IF(OR((AY53-AY81)=0,1&lt;='01_Вводные'!$B$297),0,(AY53-AY81)*IF('01_Вводные'!$B$239="Да",MeanMinAge01+AY205*SUMIF(ThresholdAge01,"&lt;"&amp;AY205,WeightedRevAge01)-SUMIF(ThresholdAge01,"&lt;"&amp;AY205,WeightedMinAge01),MAX(CapacityAge01*'01_Вводные'!$B$218*AY205,MeanMinAge01)))</f>
        <v/>
      </c>
      <c r="AZ137" s="190">
        <f>IF(OR((AZ53-AZ81)=0,1&lt;='01_Вводные'!$B$297),0,(AZ53-AZ81)*IF('01_Вводные'!$B$239="Да",MeanMinAge01+AZ205*SUMIF(ThresholdAge01,"&lt;"&amp;AZ205,WeightedRevAge01)-SUMIF(ThresholdAge01,"&lt;"&amp;AZ205,WeightedMinAge01),MAX(CapacityAge01*'01_Вводные'!$B$218*AZ205,MeanMinAge01)))</f>
        <v/>
      </c>
      <c r="BA137" s="190">
        <f>IF(OR((BA53-BA81)=0,1&lt;='01_Вводные'!$B$297),0,(BA53-BA81)*IF('01_Вводные'!$B$239="Да",MeanMinAge01+BA205*SUMIF(ThresholdAge01,"&lt;"&amp;BA205,WeightedRevAge01)-SUMIF(ThresholdAge01,"&lt;"&amp;BA205,WeightedMinAge01),MAX(CapacityAge01*'01_Вводные'!$B$218*BA205,MeanMinAge01)))</f>
        <v/>
      </c>
      <c r="BB137" s="190">
        <f>IF(OR((BB53-BB81)=0,1&lt;='01_Вводные'!$B$297),0,(BB53-BB81)*IF('01_Вводные'!$B$239="Да",MeanMinAge01+BB205*SUMIF(ThresholdAge01,"&lt;"&amp;BB205,WeightedRevAge01)-SUMIF(ThresholdAge01,"&lt;"&amp;BB205,WeightedMinAge01),MAX(CapacityAge01*'01_Вводные'!$B$218*BB205,MeanMinAge01)))</f>
        <v/>
      </c>
      <c r="BC137" s="190">
        <f>IF(OR((BC53-BC81)=0,1&lt;='01_Вводные'!$B$297),0,(BC53-BC81)*IF('01_Вводные'!$B$239="Да",MeanMinAge01+BC205*SUMIF(ThresholdAge01,"&lt;"&amp;BC205,WeightedRevAge01)-SUMIF(ThresholdAge01,"&lt;"&amp;BC205,WeightedMinAge01),MAX(CapacityAge01*'01_Вводные'!$B$218*BC205,MeanMinAge01)))</f>
        <v/>
      </c>
      <c r="BD137" s="190">
        <f>IF(OR((BD53-BD81)=0,1&lt;='01_Вводные'!$B$297),0,(BD53-BD81)*IF('01_Вводные'!$B$239="Да",MeanMinAge01+BD205*SUMIF(ThresholdAge01,"&lt;"&amp;BD205,WeightedRevAge01)-SUMIF(ThresholdAge01,"&lt;"&amp;BD205,WeightedMinAge01),MAX(CapacityAge01*'01_Вводные'!$B$218*BD205,MeanMinAge01)))</f>
        <v/>
      </c>
      <c r="BE137" s="190">
        <f>IF(OR((BE53-BE81)=0,1&lt;='01_Вводные'!$B$297),0,(BE53-BE81)*IF('01_Вводные'!$B$239="Да",MeanMinAge01+BE205*SUMIF(ThresholdAge01,"&lt;"&amp;BE205,WeightedRevAge01)-SUMIF(ThresholdAge01,"&lt;"&amp;BE205,WeightedMinAge01),MAX(CapacityAge01*'01_Вводные'!$B$218*BE205,MeanMinAge01)))</f>
        <v/>
      </c>
      <c r="BF137" s="190">
        <f>IF(OR((BF53-BF81)=0,1&lt;='01_Вводные'!$B$297),0,(BF53-BF81)*IF('01_Вводные'!$B$239="Да",MeanMinAge01+BF205*SUMIF(ThresholdAge01,"&lt;"&amp;BF205,WeightedRevAge01)-SUMIF(ThresholdAge01,"&lt;"&amp;BF205,WeightedMinAge01),MAX(CapacityAge01*'01_Вводные'!$B$218*BF205,MeanMinAge01)))</f>
        <v/>
      </c>
      <c r="BG137" s="190">
        <f>IF(OR((BG53-BG81)=0,1&lt;='01_Вводные'!$B$297),0,(BG53-BG81)*IF('01_Вводные'!$B$239="Да",MeanMinAge01+BG205*SUMIF(ThresholdAge01,"&lt;"&amp;BG205,WeightedRevAge01)-SUMIF(ThresholdAge01,"&lt;"&amp;BG205,WeightedMinAge01),MAX(CapacityAge01*'01_Вводные'!$B$218*BG205,MeanMinAge01)))</f>
        <v/>
      </c>
      <c r="BH137" s="190">
        <f>IF(OR((BH53-BH81)=0,1&lt;='01_Вводные'!$B$297),0,(BH53-BH81)*IF('01_Вводные'!$B$239="Да",MeanMinAge01+BH205*SUMIF(ThresholdAge01,"&lt;"&amp;BH205,WeightedRevAge01)-SUMIF(ThresholdAge01,"&lt;"&amp;BH205,WeightedMinAge01),MAX(CapacityAge01*'01_Вводные'!$B$218*BH205,MeanMinAge01)))</f>
        <v/>
      </c>
      <c r="BI137" s="190">
        <f>IF(OR((BI53-BI81)=0,1&lt;='01_Вводные'!$B$297),0,(BI53-BI81)*IF('01_Вводные'!$B$239="Да",MeanMinAge01+BI205*SUMIF(ThresholdAge01,"&lt;"&amp;BI205,WeightedRevAge01)-SUMIF(ThresholdAge01,"&lt;"&amp;BI205,WeightedMinAge01),MAX(CapacityAge01*'01_Вводные'!$B$218*BI205,MeanMinAge01)))</f>
        <v/>
      </c>
      <c r="BJ137" s="190">
        <f>IF(OR((BJ53-BJ81)=0,1&lt;='01_Вводные'!$B$297),0,(BJ53-BJ81)*IF('01_Вводные'!$B$239="Да",MeanMinAge01+BJ205*SUMIF(ThresholdAge01,"&lt;"&amp;BJ205,WeightedRevAge01)-SUMIF(ThresholdAge01,"&lt;"&amp;BJ205,WeightedMinAge01),MAX(CapacityAge01*'01_Вводные'!$B$218*BJ205,MeanMinAge01)))</f>
        <v/>
      </c>
      <c r="BK137" s="190">
        <f>IF(OR((BK53-BK81)=0,1&lt;='01_Вводные'!$B$297),0,(BK53-BK81)*IF('01_Вводные'!$B$239="Да",MeanMinAge01+BK205*SUMIF(ThresholdAge01,"&lt;"&amp;BK205,WeightedRevAge01)-SUMIF(ThresholdAge01,"&lt;"&amp;BK205,WeightedMinAge01),MAX(CapacityAge01*'01_Вводные'!$B$218*BK205,MeanMinAge01)))</f>
        <v/>
      </c>
      <c r="BL137" s="190">
        <f>IF(OR((BL53-BL81)=0,1&lt;='01_Вводные'!$B$297),0,(BL53-BL81)*IF('01_Вводные'!$B$239="Да",MeanMinAge01+BL205*SUMIF(ThresholdAge01,"&lt;"&amp;BL205,WeightedRevAge01)-SUMIF(ThresholdAge01,"&lt;"&amp;BL205,WeightedMinAge01),MAX(CapacityAge01*'01_Вводные'!$B$218*BL205,MeanMinAge01)))</f>
        <v/>
      </c>
      <c r="BM137" s="190">
        <f>IF(OR((BM53-BM81)=0,1&lt;='01_Вводные'!$B$297),0,(BM53-BM81)*IF('01_Вводные'!$B$239="Да",MeanMinAge01+BM205*SUMIF(ThresholdAge01,"&lt;"&amp;BM205,WeightedRevAge01)-SUMIF(ThresholdAge01,"&lt;"&amp;BM205,WeightedMinAge01),MAX(CapacityAge01*'01_Вводные'!$B$218*BM205,MeanMinAge01)))</f>
        <v/>
      </c>
      <c r="BN137" s="190">
        <f>IF(OR((BN53-BN81)=0,1&lt;='01_Вводные'!$B$297),0,(BN53-BN81)*IF('01_Вводные'!$B$239="Да",MeanMinAge01+BN205*SUMIF(ThresholdAge01,"&lt;"&amp;BN205,WeightedRevAge01)-SUMIF(ThresholdAge01,"&lt;"&amp;BN205,WeightedMinAge01),MAX(CapacityAge01*'01_Вводные'!$B$218*BN205,MeanMinAge01)))</f>
        <v/>
      </c>
      <c r="BO137" s="190">
        <f>IF(OR((BO53-BO81)=0,1&lt;='01_Вводные'!$B$297),0,(BO53-BO81)*IF('01_Вводные'!$B$239="Да",MeanMinAge01+BO205*SUMIF(ThresholdAge01,"&lt;"&amp;BO205,WeightedRevAge01)-SUMIF(ThresholdAge01,"&lt;"&amp;BO205,WeightedMinAge01),MAX(CapacityAge01*'01_Вводные'!$B$218*BO205,MeanMinAge01)))</f>
        <v/>
      </c>
    </row>
    <row r="138" hidden="1" outlineLevel="1">
      <c r="A138" t="inlineStr">
        <is>
          <t>2 мес.</t>
        </is>
      </c>
      <c r="B138" s="190">
        <f>IF(OR((B54-B82)=0,2&lt;='01_Вводные'!$B$297),0,(B54-B82)*IF('01_Вводные'!$B$239="Да",MeanMinAge02+B205*SUMIF(ThresholdAge02,"&lt;"&amp;B205,WeightedRevAge02)-SUMIF(ThresholdAge02,"&lt;"&amp;B205,WeightedMinAge02),MAX(CapacityAge02*'01_Вводные'!$B$218*B205,MeanMinAge02)))</f>
        <v/>
      </c>
      <c r="C138" s="190">
        <f>IF(OR((C54-C82)=0,2&lt;='01_Вводные'!$B$297),0,(C54-C82)*IF('01_Вводные'!$B$239="Да",MeanMinAge02+C205*SUMIF(ThresholdAge02,"&lt;"&amp;C205,WeightedRevAge02)-SUMIF(ThresholdAge02,"&lt;"&amp;C205,WeightedMinAge02),MAX(CapacityAge02*'01_Вводные'!$B$218*C205,MeanMinAge02)))</f>
        <v/>
      </c>
      <c r="D138" s="190">
        <f>IF(OR((D54-D82)=0,2&lt;='01_Вводные'!$B$297),0,(D54-D82)*IF('01_Вводные'!$B$239="Да",MeanMinAge02+D205*SUMIF(ThresholdAge02,"&lt;"&amp;D205,WeightedRevAge02)-SUMIF(ThresholdAge02,"&lt;"&amp;D205,WeightedMinAge02),MAX(CapacityAge02*'01_Вводные'!$B$218*D205,MeanMinAge02)))</f>
        <v/>
      </c>
      <c r="E138" s="190">
        <f>IF(OR((E54-E82)=0,2&lt;='01_Вводные'!$B$297),0,(E54-E82)*IF('01_Вводные'!$B$239="Да",MeanMinAge02+E205*SUMIF(ThresholdAge02,"&lt;"&amp;E205,WeightedRevAge02)-SUMIF(ThresholdAge02,"&lt;"&amp;E205,WeightedMinAge02),MAX(CapacityAge02*'01_Вводные'!$B$218*E205,MeanMinAge02)))</f>
        <v/>
      </c>
      <c r="F138" s="190">
        <f>IF(OR((F54-F82)=0,2&lt;='01_Вводные'!$B$297),0,(F54-F82)*IF('01_Вводные'!$B$239="Да",MeanMinAge02+F205*SUMIF(ThresholdAge02,"&lt;"&amp;F205,WeightedRevAge02)-SUMIF(ThresholdAge02,"&lt;"&amp;F205,WeightedMinAge02),MAX(CapacityAge02*'01_Вводные'!$B$218*F205,MeanMinAge02)))</f>
        <v/>
      </c>
      <c r="G138" s="190">
        <f>IF(OR((G54-G82)=0,2&lt;='01_Вводные'!$B$297),0,(G54-G82)*IF('01_Вводные'!$B$239="Да",MeanMinAge02+G205*SUMIF(ThresholdAge02,"&lt;"&amp;G205,WeightedRevAge02)-SUMIF(ThresholdAge02,"&lt;"&amp;G205,WeightedMinAge02),MAX(CapacityAge02*'01_Вводные'!$B$218*G205,MeanMinAge02)))</f>
        <v/>
      </c>
      <c r="H138" s="190">
        <f>IF(OR((H54-H82)=0,2&lt;='01_Вводные'!$B$297),0,(H54-H82)*IF('01_Вводные'!$B$239="Да",MeanMinAge02+H205*SUMIF(ThresholdAge02,"&lt;"&amp;H205,WeightedRevAge02)-SUMIF(ThresholdAge02,"&lt;"&amp;H205,WeightedMinAge02),MAX(CapacityAge02*'01_Вводные'!$B$218*H205,MeanMinAge02)))</f>
        <v/>
      </c>
      <c r="I138" s="190">
        <f>IF(OR((I54-I82)=0,2&lt;='01_Вводные'!$B$297),0,(I54-I82)*IF('01_Вводные'!$B$239="Да",MeanMinAge02+I205*SUMIF(ThresholdAge02,"&lt;"&amp;I205,WeightedRevAge02)-SUMIF(ThresholdAge02,"&lt;"&amp;I205,WeightedMinAge02),MAX(CapacityAge02*'01_Вводные'!$B$218*I205,MeanMinAge02)))</f>
        <v/>
      </c>
      <c r="J138" s="190">
        <f>IF(OR((J54-J82)=0,2&lt;='01_Вводные'!$B$297),0,(J54-J82)*IF('01_Вводные'!$B$239="Да",MeanMinAge02+J205*SUMIF(ThresholdAge02,"&lt;"&amp;J205,WeightedRevAge02)-SUMIF(ThresholdAge02,"&lt;"&amp;J205,WeightedMinAge02),MAX(CapacityAge02*'01_Вводные'!$B$218*J205,MeanMinAge02)))</f>
        <v/>
      </c>
      <c r="K138" s="190">
        <f>IF(OR((K54-K82)=0,2&lt;='01_Вводные'!$B$297),0,(K54-K82)*IF('01_Вводные'!$B$239="Да",MeanMinAge02+K205*SUMIF(ThresholdAge02,"&lt;"&amp;K205,WeightedRevAge02)-SUMIF(ThresholdAge02,"&lt;"&amp;K205,WeightedMinAge02),MAX(CapacityAge02*'01_Вводные'!$B$218*K205,MeanMinAge02)))</f>
        <v/>
      </c>
      <c r="L138" s="190">
        <f>IF(OR((L54-L82)=0,2&lt;='01_Вводные'!$B$297),0,(L54-L82)*IF('01_Вводные'!$B$239="Да",MeanMinAge02+L205*SUMIF(ThresholdAge02,"&lt;"&amp;L205,WeightedRevAge02)-SUMIF(ThresholdAge02,"&lt;"&amp;L205,WeightedMinAge02),MAX(CapacityAge02*'01_Вводные'!$B$218*L205,MeanMinAge02)))</f>
        <v/>
      </c>
      <c r="M138" s="190">
        <f>IF(OR((M54-M82)=0,2&lt;='01_Вводные'!$B$297),0,(M54-M82)*IF('01_Вводные'!$B$239="Да",MeanMinAge02+M205*SUMIF(ThresholdAge02,"&lt;"&amp;M205,WeightedRevAge02)-SUMIF(ThresholdAge02,"&lt;"&amp;M205,WeightedMinAge02),MAX(CapacityAge02*'01_Вводные'!$B$218*M205,MeanMinAge02)))</f>
        <v/>
      </c>
      <c r="N138" s="190">
        <f>IF(OR((N54-N82)=0,2&lt;='01_Вводные'!$B$297),0,(N54-N82)*IF('01_Вводные'!$B$239="Да",MeanMinAge02+N205*SUMIF(ThresholdAge02,"&lt;"&amp;N205,WeightedRevAge02)-SUMIF(ThresholdAge02,"&lt;"&amp;N205,WeightedMinAge02),MAX(CapacityAge02*'01_Вводные'!$B$218*N205,MeanMinAge02)))</f>
        <v/>
      </c>
      <c r="O138" s="190">
        <f>IF(OR((O54-O82)=0,2&lt;='01_Вводные'!$B$297),0,(O54-O82)*IF('01_Вводные'!$B$239="Да",MeanMinAge02+O205*SUMIF(ThresholdAge02,"&lt;"&amp;O205,WeightedRevAge02)-SUMIF(ThresholdAge02,"&lt;"&amp;O205,WeightedMinAge02),MAX(CapacityAge02*'01_Вводные'!$B$218*O205,MeanMinAge02)))</f>
        <v/>
      </c>
      <c r="P138" s="190">
        <f>IF(OR((P54-P82)=0,2&lt;='01_Вводные'!$B$297),0,(P54-P82)*IF('01_Вводные'!$B$239="Да",MeanMinAge02+P205*SUMIF(ThresholdAge02,"&lt;"&amp;P205,WeightedRevAge02)-SUMIF(ThresholdAge02,"&lt;"&amp;P205,WeightedMinAge02),MAX(CapacityAge02*'01_Вводные'!$B$218*P205,MeanMinAge02)))</f>
        <v/>
      </c>
      <c r="Q138" s="190">
        <f>IF(OR((Q54-Q82)=0,2&lt;='01_Вводные'!$B$297),0,(Q54-Q82)*IF('01_Вводные'!$B$239="Да",MeanMinAge02+Q205*SUMIF(ThresholdAge02,"&lt;"&amp;Q205,WeightedRevAge02)-SUMIF(ThresholdAge02,"&lt;"&amp;Q205,WeightedMinAge02),MAX(CapacityAge02*'01_Вводные'!$B$218*Q205,MeanMinAge02)))</f>
        <v/>
      </c>
      <c r="R138" s="190">
        <f>IF(OR((R54-R82)=0,2&lt;='01_Вводные'!$B$297),0,(R54-R82)*IF('01_Вводные'!$B$239="Да",MeanMinAge02+R205*SUMIF(ThresholdAge02,"&lt;"&amp;R205,WeightedRevAge02)-SUMIF(ThresholdAge02,"&lt;"&amp;R205,WeightedMinAge02),MAX(CapacityAge02*'01_Вводные'!$B$218*R205,MeanMinAge02)))</f>
        <v/>
      </c>
      <c r="S138" s="190">
        <f>IF(OR((S54-S82)=0,2&lt;='01_Вводные'!$B$297),0,(S54-S82)*IF('01_Вводные'!$B$239="Да",MeanMinAge02+S205*SUMIF(ThresholdAge02,"&lt;"&amp;S205,WeightedRevAge02)-SUMIF(ThresholdAge02,"&lt;"&amp;S205,WeightedMinAge02),MAX(CapacityAge02*'01_Вводные'!$B$218*S205,MeanMinAge02)))</f>
        <v/>
      </c>
      <c r="T138" s="190">
        <f>IF(OR((T54-T82)=0,2&lt;='01_Вводные'!$B$297),0,(T54-T82)*IF('01_Вводные'!$B$239="Да",MeanMinAge02+T205*SUMIF(ThresholdAge02,"&lt;"&amp;T205,WeightedRevAge02)-SUMIF(ThresholdAge02,"&lt;"&amp;T205,WeightedMinAge02),MAX(CapacityAge02*'01_Вводные'!$B$218*T205,MeanMinAge02)))</f>
        <v/>
      </c>
      <c r="U138" s="190">
        <f>IF(OR((U54-U82)=0,2&lt;='01_Вводные'!$B$297),0,(U54-U82)*IF('01_Вводные'!$B$239="Да",MeanMinAge02+U205*SUMIF(ThresholdAge02,"&lt;"&amp;U205,WeightedRevAge02)-SUMIF(ThresholdAge02,"&lt;"&amp;U205,WeightedMinAge02),MAX(CapacityAge02*'01_Вводные'!$B$218*U205,MeanMinAge02)))</f>
        <v/>
      </c>
      <c r="V138" s="190">
        <f>IF(OR((V54-V82)=0,2&lt;='01_Вводные'!$B$297),0,(V54-V82)*IF('01_Вводные'!$B$239="Да",MeanMinAge02+V205*SUMIF(ThresholdAge02,"&lt;"&amp;V205,WeightedRevAge02)-SUMIF(ThresholdAge02,"&lt;"&amp;V205,WeightedMinAge02),MAX(CapacityAge02*'01_Вводные'!$B$218*V205,MeanMinAge02)))</f>
        <v/>
      </c>
      <c r="W138" s="190">
        <f>IF(OR((W54-W82)=0,2&lt;='01_Вводные'!$B$297),0,(W54-W82)*IF('01_Вводные'!$B$239="Да",MeanMinAge02+W205*SUMIF(ThresholdAge02,"&lt;"&amp;W205,WeightedRevAge02)-SUMIF(ThresholdAge02,"&lt;"&amp;W205,WeightedMinAge02),MAX(CapacityAge02*'01_Вводные'!$B$218*W205,MeanMinAge02)))</f>
        <v/>
      </c>
      <c r="X138" s="190">
        <f>IF(OR((X54-X82)=0,2&lt;='01_Вводные'!$B$297),0,(X54-X82)*IF('01_Вводные'!$B$239="Да",MeanMinAge02+X205*SUMIF(ThresholdAge02,"&lt;"&amp;X205,WeightedRevAge02)-SUMIF(ThresholdAge02,"&lt;"&amp;X205,WeightedMinAge02),MAX(CapacityAge02*'01_Вводные'!$B$218*X205,MeanMinAge02)))</f>
        <v/>
      </c>
      <c r="Y138" s="190">
        <f>IF(OR((Y54-Y82)=0,2&lt;='01_Вводные'!$B$297),0,(Y54-Y82)*IF('01_Вводные'!$B$239="Да",MeanMinAge02+Y205*SUMIF(ThresholdAge02,"&lt;"&amp;Y205,WeightedRevAge02)-SUMIF(ThresholdAge02,"&lt;"&amp;Y205,WeightedMinAge02),MAX(CapacityAge02*'01_Вводные'!$B$218*Y205,MeanMinAge02)))</f>
        <v/>
      </c>
      <c r="Z138" s="190">
        <f>IF(OR((Z54-Z82)=0,2&lt;='01_Вводные'!$B$297),0,(Z54-Z82)*IF('01_Вводные'!$B$239="Да",MeanMinAge02+Z205*SUMIF(ThresholdAge02,"&lt;"&amp;Z205,WeightedRevAge02)-SUMIF(ThresholdAge02,"&lt;"&amp;Z205,WeightedMinAge02),MAX(CapacityAge02*'01_Вводные'!$B$218*Z205,MeanMinAge02)))</f>
        <v/>
      </c>
      <c r="AA138" s="190">
        <f>IF(OR((AA54-AA82)=0,2&lt;='01_Вводные'!$B$297),0,(AA54-AA82)*IF('01_Вводные'!$B$239="Да",MeanMinAge02+AA205*SUMIF(ThresholdAge02,"&lt;"&amp;AA205,WeightedRevAge02)-SUMIF(ThresholdAge02,"&lt;"&amp;AA205,WeightedMinAge02),MAX(CapacityAge02*'01_Вводные'!$B$218*AA205,MeanMinAge02)))</f>
        <v/>
      </c>
      <c r="AB138" s="190">
        <f>IF(OR((AB54-AB82)=0,2&lt;='01_Вводные'!$B$297),0,(AB54-AB82)*IF('01_Вводные'!$B$239="Да",MeanMinAge02+AB205*SUMIF(ThresholdAge02,"&lt;"&amp;AB205,WeightedRevAge02)-SUMIF(ThresholdAge02,"&lt;"&amp;AB205,WeightedMinAge02),MAX(CapacityAge02*'01_Вводные'!$B$218*AB205,MeanMinAge02)))</f>
        <v/>
      </c>
      <c r="AC138" s="190">
        <f>IF(OR((AC54-AC82)=0,2&lt;='01_Вводные'!$B$297),0,(AC54-AC82)*IF('01_Вводные'!$B$239="Да",MeanMinAge02+AC205*SUMIF(ThresholdAge02,"&lt;"&amp;AC205,WeightedRevAge02)-SUMIF(ThresholdAge02,"&lt;"&amp;AC205,WeightedMinAge02),MAX(CapacityAge02*'01_Вводные'!$B$218*AC205,MeanMinAge02)))</f>
        <v/>
      </c>
      <c r="AD138" s="190">
        <f>IF(OR((AD54-AD82)=0,2&lt;='01_Вводные'!$B$297),0,(AD54-AD82)*IF('01_Вводные'!$B$239="Да",MeanMinAge02+AD205*SUMIF(ThresholdAge02,"&lt;"&amp;AD205,WeightedRevAge02)-SUMIF(ThresholdAge02,"&lt;"&amp;AD205,WeightedMinAge02),MAX(CapacityAge02*'01_Вводные'!$B$218*AD205,MeanMinAge02)))</f>
        <v/>
      </c>
      <c r="AE138" s="190">
        <f>IF(OR((AE54-AE82)=0,2&lt;='01_Вводные'!$B$297),0,(AE54-AE82)*IF('01_Вводные'!$B$239="Да",MeanMinAge02+AE205*SUMIF(ThresholdAge02,"&lt;"&amp;AE205,WeightedRevAge02)-SUMIF(ThresholdAge02,"&lt;"&amp;AE205,WeightedMinAge02),MAX(CapacityAge02*'01_Вводные'!$B$218*AE205,MeanMinAge02)))</f>
        <v/>
      </c>
      <c r="AF138" s="190">
        <f>IF(OR((AF54-AF82)=0,2&lt;='01_Вводные'!$B$297),0,(AF54-AF82)*IF('01_Вводные'!$B$239="Да",MeanMinAge02+AF205*SUMIF(ThresholdAge02,"&lt;"&amp;AF205,WeightedRevAge02)-SUMIF(ThresholdAge02,"&lt;"&amp;AF205,WeightedMinAge02),MAX(CapacityAge02*'01_Вводные'!$B$218*AF205,MeanMinAge02)))</f>
        <v/>
      </c>
      <c r="AG138" s="190">
        <f>IF(OR((AG54-AG82)=0,2&lt;='01_Вводные'!$B$297),0,(AG54-AG82)*IF('01_Вводные'!$B$239="Да",MeanMinAge02+AG205*SUMIF(ThresholdAge02,"&lt;"&amp;AG205,WeightedRevAge02)-SUMIF(ThresholdAge02,"&lt;"&amp;AG205,WeightedMinAge02),MAX(CapacityAge02*'01_Вводные'!$B$218*AG205,MeanMinAge02)))</f>
        <v/>
      </c>
      <c r="AH138" s="190">
        <f>IF(OR((AH54-AH82)=0,2&lt;='01_Вводные'!$B$297),0,(AH54-AH82)*IF('01_Вводные'!$B$239="Да",MeanMinAge02+AH205*SUMIF(ThresholdAge02,"&lt;"&amp;AH205,WeightedRevAge02)-SUMIF(ThresholdAge02,"&lt;"&amp;AH205,WeightedMinAge02),MAX(CapacityAge02*'01_Вводные'!$B$218*AH205,MeanMinAge02)))</f>
        <v/>
      </c>
      <c r="AI138" s="190">
        <f>IF(OR((AI54-AI82)=0,2&lt;='01_Вводные'!$B$297),0,(AI54-AI82)*IF('01_Вводные'!$B$239="Да",MeanMinAge02+AI205*SUMIF(ThresholdAge02,"&lt;"&amp;AI205,WeightedRevAge02)-SUMIF(ThresholdAge02,"&lt;"&amp;AI205,WeightedMinAge02),MAX(CapacityAge02*'01_Вводные'!$B$218*AI205,MeanMinAge02)))</f>
        <v/>
      </c>
      <c r="AJ138" s="190">
        <f>IF(OR((AJ54-AJ82)=0,2&lt;='01_Вводные'!$B$297),0,(AJ54-AJ82)*IF('01_Вводные'!$B$239="Да",MeanMinAge02+AJ205*SUMIF(ThresholdAge02,"&lt;"&amp;AJ205,WeightedRevAge02)-SUMIF(ThresholdAge02,"&lt;"&amp;AJ205,WeightedMinAge02),MAX(CapacityAge02*'01_Вводные'!$B$218*AJ205,MeanMinAge02)))</f>
        <v/>
      </c>
      <c r="AK138" s="190">
        <f>IF(OR((AK54-AK82)=0,2&lt;='01_Вводные'!$B$297),0,(AK54-AK82)*IF('01_Вводные'!$B$239="Да",MeanMinAge02+AK205*SUMIF(ThresholdAge02,"&lt;"&amp;AK205,WeightedRevAge02)-SUMIF(ThresholdAge02,"&lt;"&amp;AK205,WeightedMinAge02),MAX(CapacityAge02*'01_Вводные'!$B$218*AK205,MeanMinAge02)))</f>
        <v/>
      </c>
      <c r="AL138" s="190">
        <f>IF(OR((AL54-AL82)=0,2&lt;='01_Вводные'!$B$297),0,(AL54-AL82)*IF('01_Вводные'!$B$239="Да",MeanMinAge02+AL205*SUMIF(ThresholdAge02,"&lt;"&amp;AL205,WeightedRevAge02)-SUMIF(ThresholdAge02,"&lt;"&amp;AL205,WeightedMinAge02),MAX(CapacityAge02*'01_Вводные'!$B$218*AL205,MeanMinAge02)))</f>
        <v/>
      </c>
      <c r="AM138" s="190">
        <f>IF(OR((AM54-AM82)=0,2&lt;='01_Вводные'!$B$297),0,(AM54-AM82)*IF('01_Вводные'!$B$239="Да",MeanMinAge02+AM205*SUMIF(ThresholdAge02,"&lt;"&amp;AM205,WeightedRevAge02)-SUMIF(ThresholdAge02,"&lt;"&amp;AM205,WeightedMinAge02),MAX(CapacityAge02*'01_Вводные'!$B$218*AM205,MeanMinAge02)))</f>
        <v/>
      </c>
      <c r="AN138" s="190">
        <f>IF(OR((AN54-AN82)=0,2&lt;='01_Вводные'!$B$297),0,(AN54-AN82)*IF('01_Вводные'!$B$239="Да",MeanMinAge02+AN205*SUMIF(ThresholdAge02,"&lt;"&amp;AN205,WeightedRevAge02)-SUMIF(ThresholdAge02,"&lt;"&amp;AN205,WeightedMinAge02),MAX(CapacityAge02*'01_Вводные'!$B$218*AN205,MeanMinAge02)))</f>
        <v/>
      </c>
      <c r="AO138" s="190">
        <f>IF(OR((AO54-AO82)=0,2&lt;='01_Вводные'!$B$297),0,(AO54-AO82)*IF('01_Вводные'!$B$239="Да",MeanMinAge02+AO205*SUMIF(ThresholdAge02,"&lt;"&amp;AO205,WeightedRevAge02)-SUMIF(ThresholdAge02,"&lt;"&amp;AO205,WeightedMinAge02),MAX(CapacityAge02*'01_Вводные'!$B$218*AO205,MeanMinAge02)))</f>
        <v/>
      </c>
      <c r="AP138" s="190">
        <f>IF(OR((AP54-AP82)=0,2&lt;='01_Вводные'!$B$297),0,(AP54-AP82)*IF('01_Вводные'!$B$239="Да",MeanMinAge02+AP205*SUMIF(ThresholdAge02,"&lt;"&amp;AP205,WeightedRevAge02)-SUMIF(ThresholdAge02,"&lt;"&amp;AP205,WeightedMinAge02),MAX(CapacityAge02*'01_Вводные'!$B$218*AP205,MeanMinAge02)))</f>
        <v/>
      </c>
      <c r="AQ138" s="190">
        <f>IF(OR((AQ54-AQ82)=0,2&lt;='01_Вводные'!$B$297),0,(AQ54-AQ82)*IF('01_Вводные'!$B$239="Да",MeanMinAge02+AQ205*SUMIF(ThresholdAge02,"&lt;"&amp;AQ205,WeightedRevAge02)-SUMIF(ThresholdAge02,"&lt;"&amp;AQ205,WeightedMinAge02),MAX(CapacityAge02*'01_Вводные'!$B$218*AQ205,MeanMinAge02)))</f>
        <v/>
      </c>
      <c r="AR138" s="190">
        <f>IF(OR((AR54-AR82)=0,2&lt;='01_Вводные'!$B$297),0,(AR54-AR82)*IF('01_Вводные'!$B$239="Да",MeanMinAge02+AR205*SUMIF(ThresholdAge02,"&lt;"&amp;AR205,WeightedRevAge02)-SUMIF(ThresholdAge02,"&lt;"&amp;AR205,WeightedMinAge02),MAX(CapacityAge02*'01_Вводные'!$B$218*AR205,MeanMinAge02)))</f>
        <v/>
      </c>
      <c r="AS138" s="190">
        <f>IF(OR((AS54-AS82)=0,2&lt;='01_Вводные'!$B$297),0,(AS54-AS82)*IF('01_Вводные'!$B$239="Да",MeanMinAge02+AS205*SUMIF(ThresholdAge02,"&lt;"&amp;AS205,WeightedRevAge02)-SUMIF(ThresholdAge02,"&lt;"&amp;AS205,WeightedMinAge02),MAX(CapacityAge02*'01_Вводные'!$B$218*AS205,MeanMinAge02)))</f>
        <v/>
      </c>
      <c r="AT138" s="190">
        <f>IF(OR((AT54-AT82)=0,2&lt;='01_Вводные'!$B$297),0,(AT54-AT82)*IF('01_Вводные'!$B$239="Да",MeanMinAge02+AT205*SUMIF(ThresholdAge02,"&lt;"&amp;AT205,WeightedRevAge02)-SUMIF(ThresholdAge02,"&lt;"&amp;AT205,WeightedMinAge02),MAX(CapacityAge02*'01_Вводные'!$B$218*AT205,MeanMinAge02)))</f>
        <v/>
      </c>
      <c r="AU138" s="190">
        <f>IF(OR((AU54-AU82)=0,2&lt;='01_Вводные'!$B$297),0,(AU54-AU82)*IF('01_Вводные'!$B$239="Да",MeanMinAge02+AU205*SUMIF(ThresholdAge02,"&lt;"&amp;AU205,WeightedRevAge02)-SUMIF(ThresholdAge02,"&lt;"&amp;AU205,WeightedMinAge02),MAX(CapacityAge02*'01_Вводные'!$B$218*AU205,MeanMinAge02)))</f>
        <v/>
      </c>
      <c r="AV138" s="190">
        <f>IF(OR((AV54-AV82)=0,2&lt;='01_Вводные'!$B$297),0,(AV54-AV82)*IF('01_Вводные'!$B$239="Да",MeanMinAge02+AV205*SUMIF(ThresholdAge02,"&lt;"&amp;AV205,WeightedRevAge02)-SUMIF(ThresholdAge02,"&lt;"&amp;AV205,WeightedMinAge02),MAX(CapacityAge02*'01_Вводные'!$B$218*AV205,MeanMinAge02)))</f>
        <v/>
      </c>
      <c r="AW138" s="190">
        <f>IF(OR((AW54-AW82)=0,2&lt;='01_Вводные'!$B$297),0,(AW54-AW82)*IF('01_Вводные'!$B$239="Да",MeanMinAge02+AW205*SUMIF(ThresholdAge02,"&lt;"&amp;AW205,WeightedRevAge02)-SUMIF(ThresholdAge02,"&lt;"&amp;AW205,WeightedMinAge02),MAX(CapacityAge02*'01_Вводные'!$B$218*AW205,MeanMinAge02)))</f>
        <v/>
      </c>
      <c r="AX138" s="190">
        <f>IF(OR((AX54-AX82)=0,2&lt;='01_Вводные'!$B$297),0,(AX54-AX82)*IF('01_Вводные'!$B$239="Да",MeanMinAge02+AX205*SUMIF(ThresholdAge02,"&lt;"&amp;AX205,WeightedRevAge02)-SUMIF(ThresholdAge02,"&lt;"&amp;AX205,WeightedMinAge02),MAX(CapacityAge02*'01_Вводные'!$B$218*AX205,MeanMinAge02)))</f>
        <v/>
      </c>
      <c r="AY138" s="190">
        <f>IF(OR((AY54-AY82)=0,2&lt;='01_Вводные'!$B$297),0,(AY54-AY82)*IF('01_Вводные'!$B$239="Да",MeanMinAge02+AY205*SUMIF(ThresholdAge02,"&lt;"&amp;AY205,WeightedRevAge02)-SUMIF(ThresholdAge02,"&lt;"&amp;AY205,WeightedMinAge02),MAX(CapacityAge02*'01_Вводные'!$B$218*AY205,MeanMinAge02)))</f>
        <v/>
      </c>
      <c r="AZ138" s="190">
        <f>IF(OR((AZ54-AZ82)=0,2&lt;='01_Вводные'!$B$297),0,(AZ54-AZ82)*IF('01_Вводные'!$B$239="Да",MeanMinAge02+AZ205*SUMIF(ThresholdAge02,"&lt;"&amp;AZ205,WeightedRevAge02)-SUMIF(ThresholdAge02,"&lt;"&amp;AZ205,WeightedMinAge02),MAX(CapacityAge02*'01_Вводные'!$B$218*AZ205,MeanMinAge02)))</f>
        <v/>
      </c>
      <c r="BA138" s="190">
        <f>IF(OR((BA54-BA82)=0,2&lt;='01_Вводные'!$B$297),0,(BA54-BA82)*IF('01_Вводные'!$B$239="Да",MeanMinAge02+BA205*SUMIF(ThresholdAge02,"&lt;"&amp;BA205,WeightedRevAge02)-SUMIF(ThresholdAge02,"&lt;"&amp;BA205,WeightedMinAge02),MAX(CapacityAge02*'01_Вводные'!$B$218*BA205,MeanMinAge02)))</f>
        <v/>
      </c>
      <c r="BB138" s="190">
        <f>IF(OR((BB54-BB82)=0,2&lt;='01_Вводные'!$B$297),0,(BB54-BB82)*IF('01_Вводные'!$B$239="Да",MeanMinAge02+BB205*SUMIF(ThresholdAge02,"&lt;"&amp;BB205,WeightedRevAge02)-SUMIF(ThresholdAge02,"&lt;"&amp;BB205,WeightedMinAge02),MAX(CapacityAge02*'01_Вводные'!$B$218*BB205,MeanMinAge02)))</f>
        <v/>
      </c>
      <c r="BC138" s="190">
        <f>IF(OR((BC54-BC82)=0,2&lt;='01_Вводные'!$B$297),0,(BC54-BC82)*IF('01_Вводные'!$B$239="Да",MeanMinAge02+BC205*SUMIF(ThresholdAge02,"&lt;"&amp;BC205,WeightedRevAge02)-SUMIF(ThresholdAge02,"&lt;"&amp;BC205,WeightedMinAge02),MAX(CapacityAge02*'01_Вводные'!$B$218*BC205,MeanMinAge02)))</f>
        <v/>
      </c>
      <c r="BD138" s="190">
        <f>IF(OR((BD54-BD82)=0,2&lt;='01_Вводные'!$B$297),0,(BD54-BD82)*IF('01_Вводные'!$B$239="Да",MeanMinAge02+BD205*SUMIF(ThresholdAge02,"&lt;"&amp;BD205,WeightedRevAge02)-SUMIF(ThresholdAge02,"&lt;"&amp;BD205,WeightedMinAge02),MAX(CapacityAge02*'01_Вводные'!$B$218*BD205,MeanMinAge02)))</f>
        <v/>
      </c>
      <c r="BE138" s="190">
        <f>IF(OR((BE54-BE82)=0,2&lt;='01_Вводные'!$B$297),0,(BE54-BE82)*IF('01_Вводные'!$B$239="Да",MeanMinAge02+BE205*SUMIF(ThresholdAge02,"&lt;"&amp;BE205,WeightedRevAge02)-SUMIF(ThresholdAge02,"&lt;"&amp;BE205,WeightedMinAge02),MAX(CapacityAge02*'01_Вводные'!$B$218*BE205,MeanMinAge02)))</f>
        <v/>
      </c>
      <c r="BF138" s="190">
        <f>IF(OR((BF54-BF82)=0,2&lt;='01_Вводные'!$B$297),0,(BF54-BF82)*IF('01_Вводные'!$B$239="Да",MeanMinAge02+BF205*SUMIF(ThresholdAge02,"&lt;"&amp;BF205,WeightedRevAge02)-SUMIF(ThresholdAge02,"&lt;"&amp;BF205,WeightedMinAge02),MAX(CapacityAge02*'01_Вводные'!$B$218*BF205,MeanMinAge02)))</f>
        <v/>
      </c>
      <c r="BG138" s="190">
        <f>IF(OR((BG54-BG82)=0,2&lt;='01_Вводные'!$B$297),0,(BG54-BG82)*IF('01_Вводные'!$B$239="Да",MeanMinAge02+BG205*SUMIF(ThresholdAge02,"&lt;"&amp;BG205,WeightedRevAge02)-SUMIF(ThresholdAge02,"&lt;"&amp;BG205,WeightedMinAge02),MAX(CapacityAge02*'01_Вводные'!$B$218*BG205,MeanMinAge02)))</f>
        <v/>
      </c>
      <c r="BH138" s="190">
        <f>IF(OR((BH54-BH82)=0,2&lt;='01_Вводные'!$B$297),0,(BH54-BH82)*IF('01_Вводные'!$B$239="Да",MeanMinAge02+BH205*SUMIF(ThresholdAge02,"&lt;"&amp;BH205,WeightedRevAge02)-SUMIF(ThresholdAge02,"&lt;"&amp;BH205,WeightedMinAge02),MAX(CapacityAge02*'01_Вводные'!$B$218*BH205,MeanMinAge02)))</f>
        <v/>
      </c>
      <c r="BI138" s="190">
        <f>IF(OR((BI54-BI82)=0,2&lt;='01_Вводные'!$B$297),0,(BI54-BI82)*IF('01_Вводные'!$B$239="Да",MeanMinAge02+BI205*SUMIF(ThresholdAge02,"&lt;"&amp;BI205,WeightedRevAge02)-SUMIF(ThresholdAge02,"&lt;"&amp;BI205,WeightedMinAge02),MAX(CapacityAge02*'01_Вводные'!$B$218*BI205,MeanMinAge02)))</f>
        <v/>
      </c>
      <c r="BJ138" s="190">
        <f>IF(OR((BJ54-BJ82)=0,2&lt;='01_Вводные'!$B$297),0,(BJ54-BJ82)*IF('01_Вводные'!$B$239="Да",MeanMinAge02+BJ205*SUMIF(ThresholdAge02,"&lt;"&amp;BJ205,WeightedRevAge02)-SUMIF(ThresholdAge02,"&lt;"&amp;BJ205,WeightedMinAge02),MAX(CapacityAge02*'01_Вводные'!$B$218*BJ205,MeanMinAge02)))</f>
        <v/>
      </c>
      <c r="BK138" s="190">
        <f>IF(OR((BK54-BK82)=0,2&lt;='01_Вводные'!$B$297),0,(BK54-BK82)*IF('01_Вводные'!$B$239="Да",MeanMinAge02+BK205*SUMIF(ThresholdAge02,"&lt;"&amp;BK205,WeightedRevAge02)-SUMIF(ThresholdAge02,"&lt;"&amp;BK205,WeightedMinAge02),MAX(CapacityAge02*'01_Вводные'!$B$218*BK205,MeanMinAge02)))</f>
        <v/>
      </c>
      <c r="BL138" s="190">
        <f>IF(OR((BL54-BL82)=0,2&lt;='01_Вводные'!$B$297),0,(BL54-BL82)*IF('01_Вводные'!$B$239="Да",MeanMinAge02+BL205*SUMIF(ThresholdAge02,"&lt;"&amp;BL205,WeightedRevAge02)-SUMIF(ThresholdAge02,"&lt;"&amp;BL205,WeightedMinAge02),MAX(CapacityAge02*'01_Вводные'!$B$218*BL205,MeanMinAge02)))</f>
        <v/>
      </c>
      <c r="BM138" s="190">
        <f>IF(OR((BM54-BM82)=0,2&lt;='01_Вводные'!$B$297),0,(BM54-BM82)*IF('01_Вводные'!$B$239="Да",MeanMinAge02+BM205*SUMIF(ThresholdAge02,"&lt;"&amp;BM205,WeightedRevAge02)-SUMIF(ThresholdAge02,"&lt;"&amp;BM205,WeightedMinAge02),MAX(CapacityAge02*'01_Вводные'!$B$218*BM205,MeanMinAge02)))</f>
        <v/>
      </c>
      <c r="BN138" s="190">
        <f>IF(OR((BN54-BN82)=0,2&lt;='01_Вводные'!$B$297),0,(BN54-BN82)*IF('01_Вводные'!$B$239="Да",MeanMinAge02+BN205*SUMIF(ThresholdAge02,"&lt;"&amp;BN205,WeightedRevAge02)-SUMIF(ThresholdAge02,"&lt;"&amp;BN205,WeightedMinAge02),MAX(CapacityAge02*'01_Вводные'!$B$218*BN205,MeanMinAge02)))</f>
        <v/>
      </c>
      <c r="BO138" s="190">
        <f>IF(OR((BO54-BO82)=0,2&lt;='01_Вводные'!$B$297),0,(BO54-BO82)*IF('01_Вводные'!$B$239="Да",MeanMinAge02+BO205*SUMIF(ThresholdAge02,"&lt;"&amp;BO205,WeightedRevAge02)-SUMIF(ThresholdAge02,"&lt;"&amp;BO205,WeightedMinAge02),MAX(CapacityAge02*'01_Вводные'!$B$218*BO205,MeanMinAge02)))</f>
        <v/>
      </c>
    </row>
    <row r="139" hidden="1" outlineLevel="1">
      <c r="A139" t="inlineStr">
        <is>
          <t>3 мес.</t>
        </is>
      </c>
      <c r="B139" s="190">
        <f>IF(OR((B55-B83)=0,3&lt;='01_Вводные'!$B$297),0,(B55-B83)*IF('01_Вводные'!$B$239="Да",MeanMinAge03+B205*SUMIF(ThresholdAge03,"&lt;"&amp;B205,WeightedRevAge03)-SUMIF(ThresholdAge03,"&lt;"&amp;B205,WeightedMinAge03),MAX(CapacityAge03*'01_Вводные'!$B$218*B205,MeanMinAge03)))</f>
        <v/>
      </c>
      <c r="C139" s="190">
        <f>IF(OR((C55-C83)=0,3&lt;='01_Вводные'!$B$297),0,(C55-C83)*IF('01_Вводные'!$B$239="Да",MeanMinAge03+C205*SUMIF(ThresholdAge03,"&lt;"&amp;C205,WeightedRevAge03)-SUMIF(ThresholdAge03,"&lt;"&amp;C205,WeightedMinAge03),MAX(CapacityAge03*'01_Вводные'!$B$218*C205,MeanMinAge03)))</f>
        <v/>
      </c>
      <c r="D139" s="190">
        <f>IF(OR((D55-D83)=0,3&lt;='01_Вводные'!$B$297),0,(D55-D83)*IF('01_Вводные'!$B$239="Да",MeanMinAge03+D205*SUMIF(ThresholdAge03,"&lt;"&amp;D205,WeightedRevAge03)-SUMIF(ThresholdAge03,"&lt;"&amp;D205,WeightedMinAge03),MAX(CapacityAge03*'01_Вводные'!$B$218*D205,MeanMinAge03)))</f>
        <v/>
      </c>
      <c r="E139" s="190">
        <f>IF(OR((E55-E83)=0,3&lt;='01_Вводные'!$B$297),0,(E55-E83)*IF('01_Вводные'!$B$239="Да",MeanMinAge03+E205*SUMIF(ThresholdAge03,"&lt;"&amp;E205,WeightedRevAge03)-SUMIF(ThresholdAge03,"&lt;"&amp;E205,WeightedMinAge03),MAX(CapacityAge03*'01_Вводные'!$B$218*E205,MeanMinAge03)))</f>
        <v/>
      </c>
      <c r="F139" s="190">
        <f>IF(OR((F55-F83)=0,3&lt;='01_Вводные'!$B$297),0,(F55-F83)*IF('01_Вводные'!$B$239="Да",MeanMinAge03+F205*SUMIF(ThresholdAge03,"&lt;"&amp;F205,WeightedRevAge03)-SUMIF(ThresholdAge03,"&lt;"&amp;F205,WeightedMinAge03),MAX(CapacityAge03*'01_Вводные'!$B$218*F205,MeanMinAge03)))</f>
        <v/>
      </c>
      <c r="G139" s="190">
        <f>IF(OR((G55-G83)=0,3&lt;='01_Вводные'!$B$297),0,(G55-G83)*IF('01_Вводные'!$B$239="Да",MeanMinAge03+G205*SUMIF(ThresholdAge03,"&lt;"&amp;G205,WeightedRevAge03)-SUMIF(ThresholdAge03,"&lt;"&amp;G205,WeightedMinAge03),MAX(CapacityAge03*'01_Вводные'!$B$218*G205,MeanMinAge03)))</f>
        <v/>
      </c>
      <c r="H139" s="190">
        <f>IF(OR((H55-H83)=0,3&lt;='01_Вводные'!$B$297),0,(H55-H83)*IF('01_Вводные'!$B$239="Да",MeanMinAge03+H205*SUMIF(ThresholdAge03,"&lt;"&amp;H205,WeightedRevAge03)-SUMIF(ThresholdAge03,"&lt;"&amp;H205,WeightedMinAge03),MAX(CapacityAge03*'01_Вводные'!$B$218*H205,MeanMinAge03)))</f>
        <v/>
      </c>
      <c r="I139" s="190">
        <f>IF(OR((I55-I83)=0,3&lt;='01_Вводные'!$B$297),0,(I55-I83)*IF('01_Вводные'!$B$239="Да",MeanMinAge03+I205*SUMIF(ThresholdAge03,"&lt;"&amp;I205,WeightedRevAge03)-SUMIF(ThresholdAge03,"&lt;"&amp;I205,WeightedMinAge03),MAX(CapacityAge03*'01_Вводные'!$B$218*I205,MeanMinAge03)))</f>
        <v/>
      </c>
      <c r="J139" s="190">
        <f>IF(OR((J55-J83)=0,3&lt;='01_Вводные'!$B$297),0,(J55-J83)*IF('01_Вводные'!$B$239="Да",MeanMinAge03+J205*SUMIF(ThresholdAge03,"&lt;"&amp;J205,WeightedRevAge03)-SUMIF(ThresholdAge03,"&lt;"&amp;J205,WeightedMinAge03),MAX(CapacityAge03*'01_Вводные'!$B$218*J205,MeanMinAge03)))</f>
        <v/>
      </c>
      <c r="K139" s="190">
        <f>IF(OR((K55-K83)=0,3&lt;='01_Вводные'!$B$297),0,(K55-K83)*IF('01_Вводные'!$B$239="Да",MeanMinAge03+K205*SUMIF(ThresholdAge03,"&lt;"&amp;K205,WeightedRevAge03)-SUMIF(ThresholdAge03,"&lt;"&amp;K205,WeightedMinAge03),MAX(CapacityAge03*'01_Вводные'!$B$218*K205,MeanMinAge03)))</f>
        <v/>
      </c>
      <c r="L139" s="190">
        <f>IF(OR((L55-L83)=0,3&lt;='01_Вводные'!$B$297),0,(L55-L83)*IF('01_Вводные'!$B$239="Да",MeanMinAge03+L205*SUMIF(ThresholdAge03,"&lt;"&amp;L205,WeightedRevAge03)-SUMIF(ThresholdAge03,"&lt;"&amp;L205,WeightedMinAge03),MAX(CapacityAge03*'01_Вводные'!$B$218*L205,MeanMinAge03)))</f>
        <v/>
      </c>
      <c r="M139" s="190">
        <f>IF(OR((M55-M83)=0,3&lt;='01_Вводные'!$B$297),0,(M55-M83)*IF('01_Вводные'!$B$239="Да",MeanMinAge03+M205*SUMIF(ThresholdAge03,"&lt;"&amp;M205,WeightedRevAge03)-SUMIF(ThresholdAge03,"&lt;"&amp;M205,WeightedMinAge03),MAX(CapacityAge03*'01_Вводные'!$B$218*M205,MeanMinAge03)))</f>
        <v/>
      </c>
      <c r="N139" s="190">
        <f>IF(OR((N55-N83)=0,3&lt;='01_Вводные'!$B$297),0,(N55-N83)*IF('01_Вводные'!$B$239="Да",MeanMinAge03+N205*SUMIF(ThresholdAge03,"&lt;"&amp;N205,WeightedRevAge03)-SUMIF(ThresholdAge03,"&lt;"&amp;N205,WeightedMinAge03),MAX(CapacityAge03*'01_Вводные'!$B$218*N205,MeanMinAge03)))</f>
        <v/>
      </c>
      <c r="O139" s="190">
        <f>IF(OR((O55-O83)=0,3&lt;='01_Вводные'!$B$297),0,(O55-O83)*IF('01_Вводные'!$B$239="Да",MeanMinAge03+O205*SUMIF(ThresholdAge03,"&lt;"&amp;O205,WeightedRevAge03)-SUMIF(ThresholdAge03,"&lt;"&amp;O205,WeightedMinAge03),MAX(CapacityAge03*'01_Вводные'!$B$218*O205,MeanMinAge03)))</f>
        <v/>
      </c>
      <c r="P139" s="190">
        <f>IF(OR((P55-P83)=0,3&lt;='01_Вводные'!$B$297),0,(P55-P83)*IF('01_Вводные'!$B$239="Да",MeanMinAge03+P205*SUMIF(ThresholdAge03,"&lt;"&amp;P205,WeightedRevAge03)-SUMIF(ThresholdAge03,"&lt;"&amp;P205,WeightedMinAge03),MAX(CapacityAge03*'01_Вводные'!$B$218*P205,MeanMinAge03)))</f>
        <v/>
      </c>
      <c r="Q139" s="190">
        <f>IF(OR((Q55-Q83)=0,3&lt;='01_Вводные'!$B$297),0,(Q55-Q83)*IF('01_Вводные'!$B$239="Да",MeanMinAge03+Q205*SUMIF(ThresholdAge03,"&lt;"&amp;Q205,WeightedRevAge03)-SUMIF(ThresholdAge03,"&lt;"&amp;Q205,WeightedMinAge03),MAX(CapacityAge03*'01_Вводные'!$B$218*Q205,MeanMinAge03)))</f>
        <v/>
      </c>
      <c r="R139" s="190">
        <f>IF(OR((R55-R83)=0,3&lt;='01_Вводные'!$B$297),0,(R55-R83)*IF('01_Вводные'!$B$239="Да",MeanMinAge03+R205*SUMIF(ThresholdAge03,"&lt;"&amp;R205,WeightedRevAge03)-SUMIF(ThresholdAge03,"&lt;"&amp;R205,WeightedMinAge03),MAX(CapacityAge03*'01_Вводные'!$B$218*R205,MeanMinAge03)))</f>
        <v/>
      </c>
      <c r="S139" s="190">
        <f>IF(OR((S55-S83)=0,3&lt;='01_Вводные'!$B$297),0,(S55-S83)*IF('01_Вводные'!$B$239="Да",MeanMinAge03+S205*SUMIF(ThresholdAge03,"&lt;"&amp;S205,WeightedRevAge03)-SUMIF(ThresholdAge03,"&lt;"&amp;S205,WeightedMinAge03),MAX(CapacityAge03*'01_Вводные'!$B$218*S205,MeanMinAge03)))</f>
        <v/>
      </c>
      <c r="T139" s="190">
        <f>IF(OR((T55-T83)=0,3&lt;='01_Вводные'!$B$297),0,(T55-T83)*IF('01_Вводные'!$B$239="Да",MeanMinAge03+T205*SUMIF(ThresholdAge03,"&lt;"&amp;T205,WeightedRevAge03)-SUMIF(ThresholdAge03,"&lt;"&amp;T205,WeightedMinAge03),MAX(CapacityAge03*'01_Вводные'!$B$218*T205,MeanMinAge03)))</f>
        <v/>
      </c>
      <c r="U139" s="190">
        <f>IF(OR((U55-U83)=0,3&lt;='01_Вводные'!$B$297),0,(U55-U83)*IF('01_Вводные'!$B$239="Да",MeanMinAge03+U205*SUMIF(ThresholdAge03,"&lt;"&amp;U205,WeightedRevAge03)-SUMIF(ThresholdAge03,"&lt;"&amp;U205,WeightedMinAge03),MAX(CapacityAge03*'01_Вводные'!$B$218*U205,MeanMinAge03)))</f>
        <v/>
      </c>
      <c r="V139" s="190">
        <f>IF(OR((V55-V83)=0,3&lt;='01_Вводные'!$B$297),0,(V55-V83)*IF('01_Вводные'!$B$239="Да",MeanMinAge03+V205*SUMIF(ThresholdAge03,"&lt;"&amp;V205,WeightedRevAge03)-SUMIF(ThresholdAge03,"&lt;"&amp;V205,WeightedMinAge03),MAX(CapacityAge03*'01_Вводные'!$B$218*V205,MeanMinAge03)))</f>
        <v/>
      </c>
      <c r="W139" s="190">
        <f>IF(OR((W55-W83)=0,3&lt;='01_Вводные'!$B$297),0,(W55-W83)*IF('01_Вводные'!$B$239="Да",MeanMinAge03+W205*SUMIF(ThresholdAge03,"&lt;"&amp;W205,WeightedRevAge03)-SUMIF(ThresholdAge03,"&lt;"&amp;W205,WeightedMinAge03),MAX(CapacityAge03*'01_Вводные'!$B$218*W205,MeanMinAge03)))</f>
        <v/>
      </c>
      <c r="X139" s="190">
        <f>IF(OR((X55-X83)=0,3&lt;='01_Вводные'!$B$297),0,(X55-X83)*IF('01_Вводные'!$B$239="Да",MeanMinAge03+X205*SUMIF(ThresholdAge03,"&lt;"&amp;X205,WeightedRevAge03)-SUMIF(ThresholdAge03,"&lt;"&amp;X205,WeightedMinAge03),MAX(CapacityAge03*'01_Вводные'!$B$218*X205,MeanMinAge03)))</f>
        <v/>
      </c>
      <c r="Y139" s="190">
        <f>IF(OR((Y55-Y83)=0,3&lt;='01_Вводные'!$B$297),0,(Y55-Y83)*IF('01_Вводные'!$B$239="Да",MeanMinAge03+Y205*SUMIF(ThresholdAge03,"&lt;"&amp;Y205,WeightedRevAge03)-SUMIF(ThresholdAge03,"&lt;"&amp;Y205,WeightedMinAge03),MAX(CapacityAge03*'01_Вводные'!$B$218*Y205,MeanMinAge03)))</f>
        <v/>
      </c>
      <c r="Z139" s="190">
        <f>IF(OR((Z55-Z83)=0,3&lt;='01_Вводные'!$B$297),0,(Z55-Z83)*IF('01_Вводные'!$B$239="Да",MeanMinAge03+Z205*SUMIF(ThresholdAge03,"&lt;"&amp;Z205,WeightedRevAge03)-SUMIF(ThresholdAge03,"&lt;"&amp;Z205,WeightedMinAge03),MAX(CapacityAge03*'01_Вводные'!$B$218*Z205,MeanMinAge03)))</f>
        <v/>
      </c>
      <c r="AA139" s="190">
        <f>IF(OR((AA55-AA83)=0,3&lt;='01_Вводные'!$B$297),0,(AA55-AA83)*IF('01_Вводные'!$B$239="Да",MeanMinAge03+AA205*SUMIF(ThresholdAge03,"&lt;"&amp;AA205,WeightedRevAge03)-SUMIF(ThresholdAge03,"&lt;"&amp;AA205,WeightedMinAge03),MAX(CapacityAge03*'01_Вводные'!$B$218*AA205,MeanMinAge03)))</f>
        <v/>
      </c>
      <c r="AB139" s="190">
        <f>IF(OR((AB55-AB83)=0,3&lt;='01_Вводные'!$B$297),0,(AB55-AB83)*IF('01_Вводные'!$B$239="Да",MeanMinAge03+AB205*SUMIF(ThresholdAge03,"&lt;"&amp;AB205,WeightedRevAge03)-SUMIF(ThresholdAge03,"&lt;"&amp;AB205,WeightedMinAge03),MAX(CapacityAge03*'01_Вводные'!$B$218*AB205,MeanMinAge03)))</f>
        <v/>
      </c>
      <c r="AC139" s="190">
        <f>IF(OR((AC55-AC83)=0,3&lt;='01_Вводные'!$B$297),0,(AC55-AC83)*IF('01_Вводные'!$B$239="Да",MeanMinAge03+AC205*SUMIF(ThresholdAge03,"&lt;"&amp;AC205,WeightedRevAge03)-SUMIF(ThresholdAge03,"&lt;"&amp;AC205,WeightedMinAge03),MAX(CapacityAge03*'01_Вводные'!$B$218*AC205,MeanMinAge03)))</f>
        <v/>
      </c>
      <c r="AD139" s="190">
        <f>IF(OR((AD55-AD83)=0,3&lt;='01_Вводные'!$B$297),0,(AD55-AD83)*IF('01_Вводные'!$B$239="Да",MeanMinAge03+AD205*SUMIF(ThresholdAge03,"&lt;"&amp;AD205,WeightedRevAge03)-SUMIF(ThresholdAge03,"&lt;"&amp;AD205,WeightedMinAge03),MAX(CapacityAge03*'01_Вводные'!$B$218*AD205,MeanMinAge03)))</f>
        <v/>
      </c>
      <c r="AE139" s="190">
        <f>IF(OR((AE55-AE83)=0,3&lt;='01_Вводные'!$B$297),0,(AE55-AE83)*IF('01_Вводные'!$B$239="Да",MeanMinAge03+AE205*SUMIF(ThresholdAge03,"&lt;"&amp;AE205,WeightedRevAge03)-SUMIF(ThresholdAge03,"&lt;"&amp;AE205,WeightedMinAge03),MAX(CapacityAge03*'01_Вводные'!$B$218*AE205,MeanMinAge03)))</f>
        <v/>
      </c>
      <c r="AF139" s="190">
        <f>IF(OR((AF55-AF83)=0,3&lt;='01_Вводные'!$B$297),0,(AF55-AF83)*IF('01_Вводные'!$B$239="Да",MeanMinAge03+AF205*SUMIF(ThresholdAge03,"&lt;"&amp;AF205,WeightedRevAge03)-SUMIF(ThresholdAge03,"&lt;"&amp;AF205,WeightedMinAge03),MAX(CapacityAge03*'01_Вводные'!$B$218*AF205,MeanMinAge03)))</f>
        <v/>
      </c>
      <c r="AG139" s="190">
        <f>IF(OR((AG55-AG83)=0,3&lt;='01_Вводные'!$B$297),0,(AG55-AG83)*IF('01_Вводные'!$B$239="Да",MeanMinAge03+AG205*SUMIF(ThresholdAge03,"&lt;"&amp;AG205,WeightedRevAge03)-SUMIF(ThresholdAge03,"&lt;"&amp;AG205,WeightedMinAge03),MAX(CapacityAge03*'01_Вводные'!$B$218*AG205,MeanMinAge03)))</f>
        <v/>
      </c>
      <c r="AH139" s="190">
        <f>IF(OR((AH55-AH83)=0,3&lt;='01_Вводные'!$B$297),0,(AH55-AH83)*IF('01_Вводные'!$B$239="Да",MeanMinAge03+AH205*SUMIF(ThresholdAge03,"&lt;"&amp;AH205,WeightedRevAge03)-SUMIF(ThresholdAge03,"&lt;"&amp;AH205,WeightedMinAge03),MAX(CapacityAge03*'01_Вводные'!$B$218*AH205,MeanMinAge03)))</f>
        <v/>
      </c>
      <c r="AI139" s="190">
        <f>IF(OR((AI55-AI83)=0,3&lt;='01_Вводные'!$B$297),0,(AI55-AI83)*IF('01_Вводные'!$B$239="Да",MeanMinAge03+AI205*SUMIF(ThresholdAge03,"&lt;"&amp;AI205,WeightedRevAge03)-SUMIF(ThresholdAge03,"&lt;"&amp;AI205,WeightedMinAge03),MAX(CapacityAge03*'01_Вводные'!$B$218*AI205,MeanMinAge03)))</f>
        <v/>
      </c>
      <c r="AJ139" s="190">
        <f>IF(OR((AJ55-AJ83)=0,3&lt;='01_Вводные'!$B$297),0,(AJ55-AJ83)*IF('01_Вводные'!$B$239="Да",MeanMinAge03+AJ205*SUMIF(ThresholdAge03,"&lt;"&amp;AJ205,WeightedRevAge03)-SUMIF(ThresholdAge03,"&lt;"&amp;AJ205,WeightedMinAge03),MAX(CapacityAge03*'01_Вводные'!$B$218*AJ205,MeanMinAge03)))</f>
        <v/>
      </c>
      <c r="AK139" s="190">
        <f>IF(OR((AK55-AK83)=0,3&lt;='01_Вводные'!$B$297),0,(AK55-AK83)*IF('01_Вводные'!$B$239="Да",MeanMinAge03+AK205*SUMIF(ThresholdAge03,"&lt;"&amp;AK205,WeightedRevAge03)-SUMIF(ThresholdAge03,"&lt;"&amp;AK205,WeightedMinAge03),MAX(CapacityAge03*'01_Вводные'!$B$218*AK205,MeanMinAge03)))</f>
        <v/>
      </c>
      <c r="AL139" s="190">
        <f>IF(OR((AL55-AL83)=0,3&lt;='01_Вводные'!$B$297),0,(AL55-AL83)*IF('01_Вводные'!$B$239="Да",MeanMinAge03+AL205*SUMIF(ThresholdAge03,"&lt;"&amp;AL205,WeightedRevAge03)-SUMIF(ThresholdAge03,"&lt;"&amp;AL205,WeightedMinAge03),MAX(CapacityAge03*'01_Вводные'!$B$218*AL205,MeanMinAge03)))</f>
        <v/>
      </c>
      <c r="AM139" s="190">
        <f>IF(OR((AM55-AM83)=0,3&lt;='01_Вводные'!$B$297),0,(AM55-AM83)*IF('01_Вводные'!$B$239="Да",MeanMinAge03+AM205*SUMIF(ThresholdAge03,"&lt;"&amp;AM205,WeightedRevAge03)-SUMIF(ThresholdAge03,"&lt;"&amp;AM205,WeightedMinAge03),MAX(CapacityAge03*'01_Вводные'!$B$218*AM205,MeanMinAge03)))</f>
        <v/>
      </c>
      <c r="AN139" s="190">
        <f>IF(OR((AN55-AN83)=0,3&lt;='01_Вводные'!$B$297),0,(AN55-AN83)*IF('01_Вводные'!$B$239="Да",MeanMinAge03+AN205*SUMIF(ThresholdAge03,"&lt;"&amp;AN205,WeightedRevAge03)-SUMIF(ThresholdAge03,"&lt;"&amp;AN205,WeightedMinAge03),MAX(CapacityAge03*'01_Вводные'!$B$218*AN205,MeanMinAge03)))</f>
        <v/>
      </c>
      <c r="AO139" s="190">
        <f>IF(OR((AO55-AO83)=0,3&lt;='01_Вводные'!$B$297),0,(AO55-AO83)*IF('01_Вводные'!$B$239="Да",MeanMinAge03+AO205*SUMIF(ThresholdAge03,"&lt;"&amp;AO205,WeightedRevAge03)-SUMIF(ThresholdAge03,"&lt;"&amp;AO205,WeightedMinAge03),MAX(CapacityAge03*'01_Вводные'!$B$218*AO205,MeanMinAge03)))</f>
        <v/>
      </c>
      <c r="AP139" s="190">
        <f>IF(OR((AP55-AP83)=0,3&lt;='01_Вводные'!$B$297),0,(AP55-AP83)*IF('01_Вводные'!$B$239="Да",MeanMinAge03+AP205*SUMIF(ThresholdAge03,"&lt;"&amp;AP205,WeightedRevAge03)-SUMIF(ThresholdAge03,"&lt;"&amp;AP205,WeightedMinAge03),MAX(CapacityAge03*'01_Вводные'!$B$218*AP205,MeanMinAge03)))</f>
        <v/>
      </c>
      <c r="AQ139" s="190">
        <f>IF(OR((AQ55-AQ83)=0,3&lt;='01_Вводные'!$B$297),0,(AQ55-AQ83)*IF('01_Вводные'!$B$239="Да",MeanMinAge03+AQ205*SUMIF(ThresholdAge03,"&lt;"&amp;AQ205,WeightedRevAge03)-SUMIF(ThresholdAge03,"&lt;"&amp;AQ205,WeightedMinAge03),MAX(CapacityAge03*'01_Вводные'!$B$218*AQ205,MeanMinAge03)))</f>
        <v/>
      </c>
      <c r="AR139" s="190">
        <f>IF(OR((AR55-AR83)=0,3&lt;='01_Вводные'!$B$297),0,(AR55-AR83)*IF('01_Вводные'!$B$239="Да",MeanMinAge03+AR205*SUMIF(ThresholdAge03,"&lt;"&amp;AR205,WeightedRevAge03)-SUMIF(ThresholdAge03,"&lt;"&amp;AR205,WeightedMinAge03),MAX(CapacityAge03*'01_Вводные'!$B$218*AR205,MeanMinAge03)))</f>
        <v/>
      </c>
      <c r="AS139" s="190">
        <f>IF(OR((AS55-AS83)=0,3&lt;='01_Вводные'!$B$297),0,(AS55-AS83)*IF('01_Вводные'!$B$239="Да",MeanMinAge03+AS205*SUMIF(ThresholdAge03,"&lt;"&amp;AS205,WeightedRevAge03)-SUMIF(ThresholdAge03,"&lt;"&amp;AS205,WeightedMinAge03),MAX(CapacityAge03*'01_Вводные'!$B$218*AS205,MeanMinAge03)))</f>
        <v/>
      </c>
      <c r="AT139" s="190">
        <f>IF(OR((AT55-AT83)=0,3&lt;='01_Вводные'!$B$297),0,(AT55-AT83)*IF('01_Вводные'!$B$239="Да",MeanMinAge03+AT205*SUMIF(ThresholdAge03,"&lt;"&amp;AT205,WeightedRevAge03)-SUMIF(ThresholdAge03,"&lt;"&amp;AT205,WeightedMinAge03),MAX(CapacityAge03*'01_Вводные'!$B$218*AT205,MeanMinAge03)))</f>
        <v/>
      </c>
      <c r="AU139" s="190">
        <f>IF(OR((AU55-AU83)=0,3&lt;='01_Вводные'!$B$297),0,(AU55-AU83)*IF('01_Вводные'!$B$239="Да",MeanMinAge03+AU205*SUMIF(ThresholdAge03,"&lt;"&amp;AU205,WeightedRevAge03)-SUMIF(ThresholdAge03,"&lt;"&amp;AU205,WeightedMinAge03),MAX(CapacityAge03*'01_Вводные'!$B$218*AU205,MeanMinAge03)))</f>
        <v/>
      </c>
      <c r="AV139" s="190">
        <f>IF(OR((AV55-AV83)=0,3&lt;='01_Вводные'!$B$297),0,(AV55-AV83)*IF('01_Вводные'!$B$239="Да",MeanMinAge03+AV205*SUMIF(ThresholdAge03,"&lt;"&amp;AV205,WeightedRevAge03)-SUMIF(ThresholdAge03,"&lt;"&amp;AV205,WeightedMinAge03),MAX(CapacityAge03*'01_Вводные'!$B$218*AV205,MeanMinAge03)))</f>
        <v/>
      </c>
      <c r="AW139" s="190">
        <f>IF(OR((AW55-AW83)=0,3&lt;='01_Вводные'!$B$297),0,(AW55-AW83)*IF('01_Вводные'!$B$239="Да",MeanMinAge03+AW205*SUMIF(ThresholdAge03,"&lt;"&amp;AW205,WeightedRevAge03)-SUMIF(ThresholdAge03,"&lt;"&amp;AW205,WeightedMinAge03),MAX(CapacityAge03*'01_Вводные'!$B$218*AW205,MeanMinAge03)))</f>
        <v/>
      </c>
      <c r="AX139" s="190">
        <f>IF(OR((AX55-AX83)=0,3&lt;='01_Вводные'!$B$297),0,(AX55-AX83)*IF('01_Вводные'!$B$239="Да",MeanMinAge03+AX205*SUMIF(ThresholdAge03,"&lt;"&amp;AX205,WeightedRevAge03)-SUMIF(ThresholdAge03,"&lt;"&amp;AX205,WeightedMinAge03),MAX(CapacityAge03*'01_Вводные'!$B$218*AX205,MeanMinAge03)))</f>
        <v/>
      </c>
      <c r="AY139" s="190">
        <f>IF(OR((AY55-AY83)=0,3&lt;='01_Вводные'!$B$297),0,(AY55-AY83)*IF('01_Вводные'!$B$239="Да",MeanMinAge03+AY205*SUMIF(ThresholdAge03,"&lt;"&amp;AY205,WeightedRevAge03)-SUMIF(ThresholdAge03,"&lt;"&amp;AY205,WeightedMinAge03),MAX(CapacityAge03*'01_Вводные'!$B$218*AY205,MeanMinAge03)))</f>
        <v/>
      </c>
      <c r="AZ139" s="190">
        <f>IF(OR((AZ55-AZ83)=0,3&lt;='01_Вводные'!$B$297),0,(AZ55-AZ83)*IF('01_Вводные'!$B$239="Да",MeanMinAge03+AZ205*SUMIF(ThresholdAge03,"&lt;"&amp;AZ205,WeightedRevAge03)-SUMIF(ThresholdAge03,"&lt;"&amp;AZ205,WeightedMinAge03),MAX(CapacityAge03*'01_Вводные'!$B$218*AZ205,MeanMinAge03)))</f>
        <v/>
      </c>
      <c r="BA139" s="190">
        <f>IF(OR((BA55-BA83)=0,3&lt;='01_Вводные'!$B$297),0,(BA55-BA83)*IF('01_Вводные'!$B$239="Да",MeanMinAge03+BA205*SUMIF(ThresholdAge03,"&lt;"&amp;BA205,WeightedRevAge03)-SUMIF(ThresholdAge03,"&lt;"&amp;BA205,WeightedMinAge03),MAX(CapacityAge03*'01_Вводные'!$B$218*BA205,MeanMinAge03)))</f>
        <v/>
      </c>
      <c r="BB139" s="190">
        <f>IF(OR((BB55-BB83)=0,3&lt;='01_Вводные'!$B$297),0,(BB55-BB83)*IF('01_Вводные'!$B$239="Да",MeanMinAge03+BB205*SUMIF(ThresholdAge03,"&lt;"&amp;BB205,WeightedRevAge03)-SUMIF(ThresholdAge03,"&lt;"&amp;BB205,WeightedMinAge03),MAX(CapacityAge03*'01_Вводные'!$B$218*BB205,MeanMinAge03)))</f>
        <v/>
      </c>
      <c r="BC139" s="190">
        <f>IF(OR((BC55-BC83)=0,3&lt;='01_Вводные'!$B$297),0,(BC55-BC83)*IF('01_Вводные'!$B$239="Да",MeanMinAge03+BC205*SUMIF(ThresholdAge03,"&lt;"&amp;BC205,WeightedRevAge03)-SUMIF(ThresholdAge03,"&lt;"&amp;BC205,WeightedMinAge03),MAX(CapacityAge03*'01_Вводные'!$B$218*BC205,MeanMinAge03)))</f>
        <v/>
      </c>
      <c r="BD139" s="190">
        <f>IF(OR((BD55-BD83)=0,3&lt;='01_Вводные'!$B$297),0,(BD55-BD83)*IF('01_Вводные'!$B$239="Да",MeanMinAge03+BD205*SUMIF(ThresholdAge03,"&lt;"&amp;BD205,WeightedRevAge03)-SUMIF(ThresholdAge03,"&lt;"&amp;BD205,WeightedMinAge03),MAX(CapacityAge03*'01_Вводные'!$B$218*BD205,MeanMinAge03)))</f>
        <v/>
      </c>
      <c r="BE139" s="190">
        <f>IF(OR((BE55-BE83)=0,3&lt;='01_Вводные'!$B$297),0,(BE55-BE83)*IF('01_Вводные'!$B$239="Да",MeanMinAge03+BE205*SUMIF(ThresholdAge03,"&lt;"&amp;BE205,WeightedRevAge03)-SUMIF(ThresholdAge03,"&lt;"&amp;BE205,WeightedMinAge03),MAX(CapacityAge03*'01_Вводные'!$B$218*BE205,MeanMinAge03)))</f>
        <v/>
      </c>
      <c r="BF139" s="190">
        <f>IF(OR((BF55-BF83)=0,3&lt;='01_Вводные'!$B$297),0,(BF55-BF83)*IF('01_Вводные'!$B$239="Да",MeanMinAge03+BF205*SUMIF(ThresholdAge03,"&lt;"&amp;BF205,WeightedRevAge03)-SUMIF(ThresholdAge03,"&lt;"&amp;BF205,WeightedMinAge03),MAX(CapacityAge03*'01_Вводные'!$B$218*BF205,MeanMinAge03)))</f>
        <v/>
      </c>
      <c r="BG139" s="190">
        <f>IF(OR((BG55-BG83)=0,3&lt;='01_Вводные'!$B$297),0,(BG55-BG83)*IF('01_Вводные'!$B$239="Да",MeanMinAge03+BG205*SUMIF(ThresholdAge03,"&lt;"&amp;BG205,WeightedRevAge03)-SUMIF(ThresholdAge03,"&lt;"&amp;BG205,WeightedMinAge03),MAX(CapacityAge03*'01_Вводные'!$B$218*BG205,MeanMinAge03)))</f>
        <v/>
      </c>
      <c r="BH139" s="190">
        <f>IF(OR((BH55-BH83)=0,3&lt;='01_Вводные'!$B$297),0,(BH55-BH83)*IF('01_Вводные'!$B$239="Да",MeanMinAge03+BH205*SUMIF(ThresholdAge03,"&lt;"&amp;BH205,WeightedRevAge03)-SUMIF(ThresholdAge03,"&lt;"&amp;BH205,WeightedMinAge03),MAX(CapacityAge03*'01_Вводные'!$B$218*BH205,MeanMinAge03)))</f>
        <v/>
      </c>
      <c r="BI139" s="190">
        <f>IF(OR((BI55-BI83)=0,3&lt;='01_Вводные'!$B$297),0,(BI55-BI83)*IF('01_Вводные'!$B$239="Да",MeanMinAge03+BI205*SUMIF(ThresholdAge03,"&lt;"&amp;BI205,WeightedRevAge03)-SUMIF(ThresholdAge03,"&lt;"&amp;BI205,WeightedMinAge03),MAX(CapacityAge03*'01_Вводные'!$B$218*BI205,MeanMinAge03)))</f>
        <v/>
      </c>
      <c r="BJ139" s="190">
        <f>IF(OR((BJ55-BJ83)=0,3&lt;='01_Вводные'!$B$297),0,(BJ55-BJ83)*IF('01_Вводные'!$B$239="Да",MeanMinAge03+BJ205*SUMIF(ThresholdAge03,"&lt;"&amp;BJ205,WeightedRevAge03)-SUMIF(ThresholdAge03,"&lt;"&amp;BJ205,WeightedMinAge03),MAX(CapacityAge03*'01_Вводные'!$B$218*BJ205,MeanMinAge03)))</f>
        <v/>
      </c>
      <c r="BK139" s="190">
        <f>IF(OR((BK55-BK83)=0,3&lt;='01_Вводные'!$B$297),0,(BK55-BK83)*IF('01_Вводные'!$B$239="Да",MeanMinAge03+BK205*SUMIF(ThresholdAge03,"&lt;"&amp;BK205,WeightedRevAge03)-SUMIF(ThresholdAge03,"&lt;"&amp;BK205,WeightedMinAge03),MAX(CapacityAge03*'01_Вводные'!$B$218*BK205,MeanMinAge03)))</f>
        <v/>
      </c>
      <c r="BL139" s="190">
        <f>IF(OR((BL55-BL83)=0,3&lt;='01_Вводные'!$B$297),0,(BL55-BL83)*IF('01_Вводные'!$B$239="Да",MeanMinAge03+BL205*SUMIF(ThresholdAge03,"&lt;"&amp;BL205,WeightedRevAge03)-SUMIF(ThresholdAge03,"&lt;"&amp;BL205,WeightedMinAge03),MAX(CapacityAge03*'01_Вводные'!$B$218*BL205,MeanMinAge03)))</f>
        <v/>
      </c>
      <c r="BM139" s="190">
        <f>IF(OR((BM55-BM83)=0,3&lt;='01_Вводные'!$B$297),0,(BM55-BM83)*IF('01_Вводные'!$B$239="Да",MeanMinAge03+BM205*SUMIF(ThresholdAge03,"&lt;"&amp;BM205,WeightedRevAge03)-SUMIF(ThresholdAge03,"&lt;"&amp;BM205,WeightedMinAge03),MAX(CapacityAge03*'01_Вводные'!$B$218*BM205,MeanMinAge03)))</f>
        <v/>
      </c>
      <c r="BN139" s="190">
        <f>IF(OR((BN55-BN83)=0,3&lt;='01_Вводные'!$B$297),0,(BN55-BN83)*IF('01_Вводные'!$B$239="Да",MeanMinAge03+BN205*SUMIF(ThresholdAge03,"&lt;"&amp;BN205,WeightedRevAge03)-SUMIF(ThresholdAge03,"&lt;"&amp;BN205,WeightedMinAge03),MAX(CapacityAge03*'01_Вводные'!$B$218*BN205,MeanMinAge03)))</f>
        <v/>
      </c>
      <c r="BO139" s="190">
        <f>IF(OR((BO55-BO83)=0,3&lt;='01_Вводные'!$B$297),0,(BO55-BO83)*IF('01_Вводные'!$B$239="Да",MeanMinAge03+BO205*SUMIF(ThresholdAge03,"&lt;"&amp;BO205,WeightedRevAge03)-SUMIF(ThresholdAge03,"&lt;"&amp;BO205,WeightedMinAge03),MAX(CapacityAge03*'01_Вводные'!$B$218*BO205,MeanMinAge03)))</f>
        <v/>
      </c>
    </row>
    <row r="140" hidden="1" outlineLevel="1">
      <c r="A140" t="inlineStr">
        <is>
          <t>4 мес.</t>
        </is>
      </c>
      <c r="B140" s="190">
        <f>IF(OR((B56-B84)=0,4&lt;='01_Вводные'!$B$297),0,(B56-B84)*IF('01_Вводные'!$B$239="Да",MeanMinAge04+B205*SUMIF(ThresholdAge04,"&lt;"&amp;B205,WeightedRevAge04)-SUMIF(ThresholdAge04,"&lt;"&amp;B205,WeightedMinAge04),MAX(CapacityAge04*'01_Вводные'!$B$218*B205,MeanMinAge04)))</f>
        <v/>
      </c>
      <c r="C140" s="190">
        <f>IF(OR((C56-C84)=0,4&lt;='01_Вводные'!$B$297),0,(C56-C84)*IF('01_Вводные'!$B$239="Да",MeanMinAge04+C205*SUMIF(ThresholdAge04,"&lt;"&amp;C205,WeightedRevAge04)-SUMIF(ThresholdAge04,"&lt;"&amp;C205,WeightedMinAge04),MAX(CapacityAge04*'01_Вводные'!$B$218*C205,MeanMinAge04)))</f>
        <v/>
      </c>
      <c r="D140" s="190">
        <f>IF(OR((D56-D84)=0,4&lt;='01_Вводные'!$B$297),0,(D56-D84)*IF('01_Вводные'!$B$239="Да",MeanMinAge04+D205*SUMIF(ThresholdAge04,"&lt;"&amp;D205,WeightedRevAge04)-SUMIF(ThresholdAge04,"&lt;"&amp;D205,WeightedMinAge04),MAX(CapacityAge04*'01_Вводные'!$B$218*D205,MeanMinAge04)))</f>
        <v/>
      </c>
      <c r="E140" s="190">
        <f>IF(OR((E56-E84)=0,4&lt;='01_Вводные'!$B$297),0,(E56-E84)*IF('01_Вводные'!$B$239="Да",MeanMinAge04+E205*SUMIF(ThresholdAge04,"&lt;"&amp;E205,WeightedRevAge04)-SUMIF(ThresholdAge04,"&lt;"&amp;E205,WeightedMinAge04),MAX(CapacityAge04*'01_Вводные'!$B$218*E205,MeanMinAge04)))</f>
        <v/>
      </c>
      <c r="F140" s="190">
        <f>IF(OR((F56-F84)=0,4&lt;='01_Вводные'!$B$297),0,(F56-F84)*IF('01_Вводные'!$B$239="Да",MeanMinAge04+F205*SUMIF(ThresholdAge04,"&lt;"&amp;F205,WeightedRevAge04)-SUMIF(ThresholdAge04,"&lt;"&amp;F205,WeightedMinAge04),MAX(CapacityAge04*'01_Вводные'!$B$218*F205,MeanMinAge04)))</f>
        <v/>
      </c>
      <c r="G140" s="190">
        <f>IF(OR((G56-G84)=0,4&lt;='01_Вводные'!$B$297),0,(G56-G84)*IF('01_Вводные'!$B$239="Да",MeanMinAge04+G205*SUMIF(ThresholdAge04,"&lt;"&amp;G205,WeightedRevAge04)-SUMIF(ThresholdAge04,"&lt;"&amp;G205,WeightedMinAge04),MAX(CapacityAge04*'01_Вводные'!$B$218*G205,MeanMinAge04)))</f>
        <v/>
      </c>
      <c r="H140" s="190">
        <f>IF(OR((H56-H84)=0,4&lt;='01_Вводные'!$B$297),0,(H56-H84)*IF('01_Вводные'!$B$239="Да",MeanMinAge04+H205*SUMIF(ThresholdAge04,"&lt;"&amp;H205,WeightedRevAge04)-SUMIF(ThresholdAge04,"&lt;"&amp;H205,WeightedMinAge04),MAX(CapacityAge04*'01_Вводные'!$B$218*H205,MeanMinAge04)))</f>
        <v/>
      </c>
      <c r="I140" s="190">
        <f>IF(OR((I56-I84)=0,4&lt;='01_Вводные'!$B$297),0,(I56-I84)*IF('01_Вводные'!$B$239="Да",MeanMinAge04+I205*SUMIF(ThresholdAge04,"&lt;"&amp;I205,WeightedRevAge04)-SUMIF(ThresholdAge04,"&lt;"&amp;I205,WeightedMinAge04),MAX(CapacityAge04*'01_Вводные'!$B$218*I205,MeanMinAge04)))</f>
        <v/>
      </c>
      <c r="J140" s="190">
        <f>IF(OR((J56-J84)=0,4&lt;='01_Вводные'!$B$297),0,(J56-J84)*IF('01_Вводные'!$B$239="Да",MeanMinAge04+J205*SUMIF(ThresholdAge04,"&lt;"&amp;J205,WeightedRevAge04)-SUMIF(ThresholdAge04,"&lt;"&amp;J205,WeightedMinAge04),MAX(CapacityAge04*'01_Вводные'!$B$218*J205,MeanMinAge04)))</f>
        <v/>
      </c>
      <c r="K140" s="190">
        <f>IF(OR((K56-K84)=0,4&lt;='01_Вводные'!$B$297),0,(K56-K84)*IF('01_Вводные'!$B$239="Да",MeanMinAge04+K205*SUMIF(ThresholdAge04,"&lt;"&amp;K205,WeightedRevAge04)-SUMIF(ThresholdAge04,"&lt;"&amp;K205,WeightedMinAge04),MAX(CapacityAge04*'01_Вводные'!$B$218*K205,MeanMinAge04)))</f>
        <v/>
      </c>
      <c r="L140" s="190">
        <f>IF(OR((L56-L84)=0,4&lt;='01_Вводные'!$B$297),0,(L56-L84)*IF('01_Вводные'!$B$239="Да",MeanMinAge04+L205*SUMIF(ThresholdAge04,"&lt;"&amp;L205,WeightedRevAge04)-SUMIF(ThresholdAge04,"&lt;"&amp;L205,WeightedMinAge04),MAX(CapacityAge04*'01_Вводные'!$B$218*L205,MeanMinAge04)))</f>
        <v/>
      </c>
      <c r="M140" s="190">
        <f>IF(OR((M56-M84)=0,4&lt;='01_Вводные'!$B$297),0,(M56-M84)*IF('01_Вводные'!$B$239="Да",MeanMinAge04+M205*SUMIF(ThresholdAge04,"&lt;"&amp;M205,WeightedRevAge04)-SUMIF(ThresholdAge04,"&lt;"&amp;M205,WeightedMinAge04),MAX(CapacityAge04*'01_Вводные'!$B$218*M205,MeanMinAge04)))</f>
        <v/>
      </c>
      <c r="N140" s="190">
        <f>IF(OR((N56-N84)=0,4&lt;='01_Вводные'!$B$297),0,(N56-N84)*IF('01_Вводные'!$B$239="Да",MeanMinAge04+N205*SUMIF(ThresholdAge04,"&lt;"&amp;N205,WeightedRevAge04)-SUMIF(ThresholdAge04,"&lt;"&amp;N205,WeightedMinAge04),MAX(CapacityAge04*'01_Вводные'!$B$218*N205,MeanMinAge04)))</f>
        <v/>
      </c>
      <c r="O140" s="190">
        <f>IF(OR((O56-O84)=0,4&lt;='01_Вводные'!$B$297),0,(O56-O84)*IF('01_Вводные'!$B$239="Да",MeanMinAge04+O205*SUMIF(ThresholdAge04,"&lt;"&amp;O205,WeightedRevAge04)-SUMIF(ThresholdAge04,"&lt;"&amp;O205,WeightedMinAge04),MAX(CapacityAge04*'01_Вводные'!$B$218*O205,MeanMinAge04)))</f>
        <v/>
      </c>
      <c r="P140" s="190">
        <f>IF(OR((P56-P84)=0,4&lt;='01_Вводные'!$B$297),0,(P56-P84)*IF('01_Вводные'!$B$239="Да",MeanMinAge04+P205*SUMIF(ThresholdAge04,"&lt;"&amp;P205,WeightedRevAge04)-SUMIF(ThresholdAge04,"&lt;"&amp;P205,WeightedMinAge04),MAX(CapacityAge04*'01_Вводные'!$B$218*P205,MeanMinAge04)))</f>
        <v/>
      </c>
      <c r="Q140" s="190">
        <f>IF(OR((Q56-Q84)=0,4&lt;='01_Вводные'!$B$297),0,(Q56-Q84)*IF('01_Вводные'!$B$239="Да",MeanMinAge04+Q205*SUMIF(ThresholdAge04,"&lt;"&amp;Q205,WeightedRevAge04)-SUMIF(ThresholdAge04,"&lt;"&amp;Q205,WeightedMinAge04),MAX(CapacityAge04*'01_Вводные'!$B$218*Q205,MeanMinAge04)))</f>
        <v/>
      </c>
      <c r="R140" s="190">
        <f>IF(OR((R56-R84)=0,4&lt;='01_Вводные'!$B$297),0,(R56-R84)*IF('01_Вводные'!$B$239="Да",MeanMinAge04+R205*SUMIF(ThresholdAge04,"&lt;"&amp;R205,WeightedRevAge04)-SUMIF(ThresholdAge04,"&lt;"&amp;R205,WeightedMinAge04),MAX(CapacityAge04*'01_Вводные'!$B$218*R205,MeanMinAge04)))</f>
        <v/>
      </c>
      <c r="S140" s="190">
        <f>IF(OR((S56-S84)=0,4&lt;='01_Вводные'!$B$297),0,(S56-S84)*IF('01_Вводные'!$B$239="Да",MeanMinAge04+S205*SUMIF(ThresholdAge04,"&lt;"&amp;S205,WeightedRevAge04)-SUMIF(ThresholdAge04,"&lt;"&amp;S205,WeightedMinAge04),MAX(CapacityAge04*'01_Вводные'!$B$218*S205,MeanMinAge04)))</f>
        <v/>
      </c>
      <c r="T140" s="190">
        <f>IF(OR((T56-T84)=0,4&lt;='01_Вводные'!$B$297),0,(T56-T84)*IF('01_Вводные'!$B$239="Да",MeanMinAge04+T205*SUMIF(ThresholdAge04,"&lt;"&amp;T205,WeightedRevAge04)-SUMIF(ThresholdAge04,"&lt;"&amp;T205,WeightedMinAge04),MAX(CapacityAge04*'01_Вводные'!$B$218*T205,MeanMinAge04)))</f>
        <v/>
      </c>
      <c r="U140" s="190">
        <f>IF(OR((U56-U84)=0,4&lt;='01_Вводные'!$B$297),0,(U56-U84)*IF('01_Вводные'!$B$239="Да",MeanMinAge04+U205*SUMIF(ThresholdAge04,"&lt;"&amp;U205,WeightedRevAge04)-SUMIF(ThresholdAge04,"&lt;"&amp;U205,WeightedMinAge04),MAX(CapacityAge04*'01_Вводные'!$B$218*U205,MeanMinAge04)))</f>
        <v/>
      </c>
      <c r="V140" s="190">
        <f>IF(OR((V56-V84)=0,4&lt;='01_Вводные'!$B$297),0,(V56-V84)*IF('01_Вводные'!$B$239="Да",MeanMinAge04+V205*SUMIF(ThresholdAge04,"&lt;"&amp;V205,WeightedRevAge04)-SUMIF(ThresholdAge04,"&lt;"&amp;V205,WeightedMinAge04),MAX(CapacityAge04*'01_Вводные'!$B$218*V205,MeanMinAge04)))</f>
        <v/>
      </c>
      <c r="W140" s="190">
        <f>IF(OR((W56-W84)=0,4&lt;='01_Вводные'!$B$297),0,(W56-W84)*IF('01_Вводные'!$B$239="Да",MeanMinAge04+W205*SUMIF(ThresholdAge04,"&lt;"&amp;W205,WeightedRevAge04)-SUMIF(ThresholdAge04,"&lt;"&amp;W205,WeightedMinAge04),MAX(CapacityAge04*'01_Вводные'!$B$218*W205,MeanMinAge04)))</f>
        <v/>
      </c>
      <c r="X140" s="190">
        <f>IF(OR((X56-X84)=0,4&lt;='01_Вводные'!$B$297),0,(X56-X84)*IF('01_Вводные'!$B$239="Да",MeanMinAge04+X205*SUMIF(ThresholdAge04,"&lt;"&amp;X205,WeightedRevAge04)-SUMIF(ThresholdAge04,"&lt;"&amp;X205,WeightedMinAge04),MAX(CapacityAge04*'01_Вводные'!$B$218*X205,MeanMinAge04)))</f>
        <v/>
      </c>
      <c r="Y140" s="190">
        <f>IF(OR((Y56-Y84)=0,4&lt;='01_Вводные'!$B$297),0,(Y56-Y84)*IF('01_Вводные'!$B$239="Да",MeanMinAge04+Y205*SUMIF(ThresholdAge04,"&lt;"&amp;Y205,WeightedRevAge04)-SUMIF(ThresholdAge04,"&lt;"&amp;Y205,WeightedMinAge04),MAX(CapacityAge04*'01_Вводные'!$B$218*Y205,MeanMinAge04)))</f>
        <v/>
      </c>
      <c r="Z140" s="190">
        <f>IF(OR((Z56-Z84)=0,4&lt;='01_Вводные'!$B$297),0,(Z56-Z84)*IF('01_Вводные'!$B$239="Да",MeanMinAge04+Z205*SUMIF(ThresholdAge04,"&lt;"&amp;Z205,WeightedRevAge04)-SUMIF(ThresholdAge04,"&lt;"&amp;Z205,WeightedMinAge04),MAX(CapacityAge04*'01_Вводные'!$B$218*Z205,MeanMinAge04)))</f>
        <v/>
      </c>
      <c r="AA140" s="190">
        <f>IF(OR((AA56-AA84)=0,4&lt;='01_Вводные'!$B$297),0,(AA56-AA84)*IF('01_Вводные'!$B$239="Да",MeanMinAge04+AA205*SUMIF(ThresholdAge04,"&lt;"&amp;AA205,WeightedRevAge04)-SUMIF(ThresholdAge04,"&lt;"&amp;AA205,WeightedMinAge04),MAX(CapacityAge04*'01_Вводные'!$B$218*AA205,MeanMinAge04)))</f>
        <v/>
      </c>
      <c r="AB140" s="190">
        <f>IF(OR((AB56-AB84)=0,4&lt;='01_Вводные'!$B$297),0,(AB56-AB84)*IF('01_Вводные'!$B$239="Да",MeanMinAge04+AB205*SUMIF(ThresholdAge04,"&lt;"&amp;AB205,WeightedRevAge04)-SUMIF(ThresholdAge04,"&lt;"&amp;AB205,WeightedMinAge04),MAX(CapacityAge04*'01_Вводные'!$B$218*AB205,MeanMinAge04)))</f>
        <v/>
      </c>
      <c r="AC140" s="190">
        <f>IF(OR((AC56-AC84)=0,4&lt;='01_Вводные'!$B$297),0,(AC56-AC84)*IF('01_Вводные'!$B$239="Да",MeanMinAge04+AC205*SUMIF(ThresholdAge04,"&lt;"&amp;AC205,WeightedRevAge04)-SUMIF(ThresholdAge04,"&lt;"&amp;AC205,WeightedMinAge04),MAX(CapacityAge04*'01_Вводные'!$B$218*AC205,MeanMinAge04)))</f>
        <v/>
      </c>
      <c r="AD140" s="190">
        <f>IF(OR((AD56-AD84)=0,4&lt;='01_Вводные'!$B$297),0,(AD56-AD84)*IF('01_Вводные'!$B$239="Да",MeanMinAge04+AD205*SUMIF(ThresholdAge04,"&lt;"&amp;AD205,WeightedRevAge04)-SUMIF(ThresholdAge04,"&lt;"&amp;AD205,WeightedMinAge04),MAX(CapacityAge04*'01_Вводные'!$B$218*AD205,MeanMinAge04)))</f>
        <v/>
      </c>
      <c r="AE140" s="190">
        <f>IF(OR((AE56-AE84)=0,4&lt;='01_Вводные'!$B$297),0,(AE56-AE84)*IF('01_Вводные'!$B$239="Да",MeanMinAge04+AE205*SUMIF(ThresholdAge04,"&lt;"&amp;AE205,WeightedRevAge04)-SUMIF(ThresholdAge04,"&lt;"&amp;AE205,WeightedMinAge04),MAX(CapacityAge04*'01_Вводные'!$B$218*AE205,MeanMinAge04)))</f>
        <v/>
      </c>
      <c r="AF140" s="190">
        <f>IF(OR((AF56-AF84)=0,4&lt;='01_Вводные'!$B$297),0,(AF56-AF84)*IF('01_Вводные'!$B$239="Да",MeanMinAge04+AF205*SUMIF(ThresholdAge04,"&lt;"&amp;AF205,WeightedRevAge04)-SUMIF(ThresholdAge04,"&lt;"&amp;AF205,WeightedMinAge04),MAX(CapacityAge04*'01_Вводные'!$B$218*AF205,MeanMinAge04)))</f>
        <v/>
      </c>
      <c r="AG140" s="190">
        <f>IF(OR((AG56-AG84)=0,4&lt;='01_Вводные'!$B$297),0,(AG56-AG84)*IF('01_Вводные'!$B$239="Да",MeanMinAge04+AG205*SUMIF(ThresholdAge04,"&lt;"&amp;AG205,WeightedRevAge04)-SUMIF(ThresholdAge04,"&lt;"&amp;AG205,WeightedMinAge04),MAX(CapacityAge04*'01_Вводные'!$B$218*AG205,MeanMinAge04)))</f>
        <v/>
      </c>
      <c r="AH140" s="190">
        <f>IF(OR((AH56-AH84)=0,4&lt;='01_Вводные'!$B$297),0,(AH56-AH84)*IF('01_Вводные'!$B$239="Да",MeanMinAge04+AH205*SUMIF(ThresholdAge04,"&lt;"&amp;AH205,WeightedRevAge04)-SUMIF(ThresholdAge04,"&lt;"&amp;AH205,WeightedMinAge04),MAX(CapacityAge04*'01_Вводные'!$B$218*AH205,MeanMinAge04)))</f>
        <v/>
      </c>
      <c r="AI140" s="190">
        <f>IF(OR((AI56-AI84)=0,4&lt;='01_Вводные'!$B$297),0,(AI56-AI84)*IF('01_Вводные'!$B$239="Да",MeanMinAge04+AI205*SUMIF(ThresholdAge04,"&lt;"&amp;AI205,WeightedRevAge04)-SUMIF(ThresholdAge04,"&lt;"&amp;AI205,WeightedMinAge04),MAX(CapacityAge04*'01_Вводные'!$B$218*AI205,MeanMinAge04)))</f>
        <v/>
      </c>
      <c r="AJ140" s="190">
        <f>IF(OR((AJ56-AJ84)=0,4&lt;='01_Вводные'!$B$297),0,(AJ56-AJ84)*IF('01_Вводные'!$B$239="Да",MeanMinAge04+AJ205*SUMIF(ThresholdAge04,"&lt;"&amp;AJ205,WeightedRevAge04)-SUMIF(ThresholdAge04,"&lt;"&amp;AJ205,WeightedMinAge04),MAX(CapacityAge04*'01_Вводные'!$B$218*AJ205,MeanMinAge04)))</f>
        <v/>
      </c>
      <c r="AK140" s="190">
        <f>IF(OR((AK56-AK84)=0,4&lt;='01_Вводные'!$B$297),0,(AK56-AK84)*IF('01_Вводные'!$B$239="Да",MeanMinAge04+AK205*SUMIF(ThresholdAge04,"&lt;"&amp;AK205,WeightedRevAge04)-SUMIF(ThresholdAge04,"&lt;"&amp;AK205,WeightedMinAge04),MAX(CapacityAge04*'01_Вводные'!$B$218*AK205,MeanMinAge04)))</f>
        <v/>
      </c>
      <c r="AL140" s="190">
        <f>IF(OR((AL56-AL84)=0,4&lt;='01_Вводные'!$B$297),0,(AL56-AL84)*IF('01_Вводные'!$B$239="Да",MeanMinAge04+AL205*SUMIF(ThresholdAge04,"&lt;"&amp;AL205,WeightedRevAge04)-SUMIF(ThresholdAge04,"&lt;"&amp;AL205,WeightedMinAge04),MAX(CapacityAge04*'01_Вводные'!$B$218*AL205,MeanMinAge04)))</f>
        <v/>
      </c>
      <c r="AM140" s="190">
        <f>IF(OR((AM56-AM84)=0,4&lt;='01_Вводные'!$B$297),0,(AM56-AM84)*IF('01_Вводные'!$B$239="Да",MeanMinAge04+AM205*SUMIF(ThresholdAge04,"&lt;"&amp;AM205,WeightedRevAge04)-SUMIF(ThresholdAge04,"&lt;"&amp;AM205,WeightedMinAge04),MAX(CapacityAge04*'01_Вводные'!$B$218*AM205,MeanMinAge04)))</f>
        <v/>
      </c>
      <c r="AN140" s="190">
        <f>IF(OR((AN56-AN84)=0,4&lt;='01_Вводные'!$B$297),0,(AN56-AN84)*IF('01_Вводные'!$B$239="Да",MeanMinAge04+AN205*SUMIF(ThresholdAge04,"&lt;"&amp;AN205,WeightedRevAge04)-SUMIF(ThresholdAge04,"&lt;"&amp;AN205,WeightedMinAge04),MAX(CapacityAge04*'01_Вводные'!$B$218*AN205,MeanMinAge04)))</f>
        <v/>
      </c>
      <c r="AO140" s="190">
        <f>IF(OR((AO56-AO84)=0,4&lt;='01_Вводные'!$B$297),0,(AO56-AO84)*IF('01_Вводные'!$B$239="Да",MeanMinAge04+AO205*SUMIF(ThresholdAge04,"&lt;"&amp;AO205,WeightedRevAge04)-SUMIF(ThresholdAge04,"&lt;"&amp;AO205,WeightedMinAge04),MAX(CapacityAge04*'01_Вводные'!$B$218*AO205,MeanMinAge04)))</f>
        <v/>
      </c>
      <c r="AP140" s="190">
        <f>IF(OR((AP56-AP84)=0,4&lt;='01_Вводные'!$B$297),0,(AP56-AP84)*IF('01_Вводные'!$B$239="Да",MeanMinAge04+AP205*SUMIF(ThresholdAge04,"&lt;"&amp;AP205,WeightedRevAge04)-SUMIF(ThresholdAge04,"&lt;"&amp;AP205,WeightedMinAge04),MAX(CapacityAge04*'01_Вводные'!$B$218*AP205,MeanMinAge04)))</f>
        <v/>
      </c>
      <c r="AQ140" s="190">
        <f>IF(OR((AQ56-AQ84)=0,4&lt;='01_Вводные'!$B$297),0,(AQ56-AQ84)*IF('01_Вводные'!$B$239="Да",MeanMinAge04+AQ205*SUMIF(ThresholdAge04,"&lt;"&amp;AQ205,WeightedRevAge04)-SUMIF(ThresholdAge04,"&lt;"&amp;AQ205,WeightedMinAge04),MAX(CapacityAge04*'01_Вводные'!$B$218*AQ205,MeanMinAge04)))</f>
        <v/>
      </c>
      <c r="AR140" s="190">
        <f>IF(OR((AR56-AR84)=0,4&lt;='01_Вводные'!$B$297),0,(AR56-AR84)*IF('01_Вводные'!$B$239="Да",MeanMinAge04+AR205*SUMIF(ThresholdAge04,"&lt;"&amp;AR205,WeightedRevAge04)-SUMIF(ThresholdAge04,"&lt;"&amp;AR205,WeightedMinAge04),MAX(CapacityAge04*'01_Вводные'!$B$218*AR205,MeanMinAge04)))</f>
        <v/>
      </c>
      <c r="AS140" s="190">
        <f>IF(OR((AS56-AS84)=0,4&lt;='01_Вводные'!$B$297),0,(AS56-AS84)*IF('01_Вводные'!$B$239="Да",MeanMinAge04+AS205*SUMIF(ThresholdAge04,"&lt;"&amp;AS205,WeightedRevAge04)-SUMIF(ThresholdAge04,"&lt;"&amp;AS205,WeightedMinAge04),MAX(CapacityAge04*'01_Вводные'!$B$218*AS205,MeanMinAge04)))</f>
        <v/>
      </c>
      <c r="AT140" s="190">
        <f>IF(OR((AT56-AT84)=0,4&lt;='01_Вводные'!$B$297),0,(AT56-AT84)*IF('01_Вводные'!$B$239="Да",MeanMinAge04+AT205*SUMIF(ThresholdAge04,"&lt;"&amp;AT205,WeightedRevAge04)-SUMIF(ThresholdAge04,"&lt;"&amp;AT205,WeightedMinAge04),MAX(CapacityAge04*'01_Вводные'!$B$218*AT205,MeanMinAge04)))</f>
        <v/>
      </c>
      <c r="AU140" s="190">
        <f>IF(OR((AU56-AU84)=0,4&lt;='01_Вводные'!$B$297),0,(AU56-AU84)*IF('01_Вводные'!$B$239="Да",MeanMinAge04+AU205*SUMIF(ThresholdAge04,"&lt;"&amp;AU205,WeightedRevAge04)-SUMIF(ThresholdAge04,"&lt;"&amp;AU205,WeightedMinAge04),MAX(CapacityAge04*'01_Вводные'!$B$218*AU205,MeanMinAge04)))</f>
        <v/>
      </c>
      <c r="AV140" s="190">
        <f>IF(OR((AV56-AV84)=0,4&lt;='01_Вводные'!$B$297),0,(AV56-AV84)*IF('01_Вводные'!$B$239="Да",MeanMinAge04+AV205*SUMIF(ThresholdAge04,"&lt;"&amp;AV205,WeightedRevAge04)-SUMIF(ThresholdAge04,"&lt;"&amp;AV205,WeightedMinAge04),MAX(CapacityAge04*'01_Вводные'!$B$218*AV205,MeanMinAge04)))</f>
        <v/>
      </c>
      <c r="AW140" s="190">
        <f>IF(OR((AW56-AW84)=0,4&lt;='01_Вводные'!$B$297),0,(AW56-AW84)*IF('01_Вводные'!$B$239="Да",MeanMinAge04+AW205*SUMIF(ThresholdAge04,"&lt;"&amp;AW205,WeightedRevAge04)-SUMIF(ThresholdAge04,"&lt;"&amp;AW205,WeightedMinAge04),MAX(CapacityAge04*'01_Вводные'!$B$218*AW205,MeanMinAge04)))</f>
        <v/>
      </c>
      <c r="AX140" s="190">
        <f>IF(OR((AX56-AX84)=0,4&lt;='01_Вводные'!$B$297),0,(AX56-AX84)*IF('01_Вводные'!$B$239="Да",MeanMinAge04+AX205*SUMIF(ThresholdAge04,"&lt;"&amp;AX205,WeightedRevAge04)-SUMIF(ThresholdAge04,"&lt;"&amp;AX205,WeightedMinAge04),MAX(CapacityAge04*'01_Вводные'!$B$218*AX205,MeanMinAge04)))</f>
        <v/>
      </c>
      <c r="AY140" s="190">
        <f>IF(OR((AY56-AY84)=0,4&lt;='01_Вводные'!$B$297),0,(AY56-AY84)*IF('01_Вводные'!$B$239="Да",MeanMinAge04+AY205*SUMIF(ThresholdAge04,"&lt;"&amp;AY205,WeightedRevAge04)-SUMIF(ThresholdAge04,"&lt;"&amp;AY205,WeightedMinAge04),MAX(CapacityAge04*'01_Вводные'!$B$218*AY205,MeanMinAge04)))</f>
        <v/>
      </c>
      <c r="AZ140" s="190">
        <f>IF(OR((AZ56-AZ84)=0,4&lt;='01_Вводные'!$B$297),0,(AZ56-AZ84)*IF('01_Вводные'!$B$239="Да",MeanMinAge04+AZ205*SUMIF(ThresholdAge04,"&lt;"&amp;AZ205,WeightedRevAge04)-SUMIF(ThresholdAge04,"&lt;"&amp;AZ205,WeightedMinAge04),MAX(CapacityAge04*'01_Вводные'!$B$218*AZ205,MeanMinAge04)))</f>
        <v/>
      </c>
      <c r="BA140" s="190">
        <f>IF(OR((BA56-BA84)=0,4&lt;='01_Вводные'!$B$297),0,(BA56-BA84)*IF('01_Вводные'!$B$239="Да",MeanMinAge04+BA205*SUMIF(ThresholdAge04,"&lt;"&amp;BA205,WeightedRevAge04)-SUMIF(ThresholdAge04,"&lt;"&amp;BA205,WeightedMinAge04),MAX(CapacityAge04*'01_Вводные'!$B$218*BA205,MeanMinAge04)))</f>
        <v/>
      </c>
      <c r="BB140" s="190">
        <f>IF(OR((BB56-BB84)=0,4&lt;='01_Вводные'!$B$297),0,(BB56-BB84)*IF('01_Вводные'!$B$239="Да",MeanMinAge04+BB205*SUMIF(ThresholdAge04,"&lt;"&amp;BB205,WeightedRevAge04)-SUMIF(ThresholdAge04,"&lt;"&amp;BB205,WeightedMinAge04),MAX(CapacityAge04*'01_Вводные'!$B$218*BB205,MeanMinAge04)))</f>
        <v/>
      </c>
      <c r="BC140" s="190">
        <f>IF(OR((BC56-BC84)=0,4&lt;='01_Вводные'!$B$297),0,(BC56-BC84)*IF('01_Вводные'!$B$239="Да",MeanMinAge04+BC205*SUMIF(ThresholdAge04,"&lt;"&amp;BC205,WeightedRevAge04)-SUMIF(ThresholdAge04,"&lt;"&amp;BC205,WeightedMinAge04),MAX(CapacityAge04*'01_Вводные'!$B$218*BC205,MeanMinAge04)))</f>
        <v/>
      </c>
      <c r="BD140" s="190">
        <f>IF(OR((BD56-BD84)=0,4&lt;='01_Вводные'!$B$297),0,(BD56-BD84)*IF('01_Вводные'!$B$239="Да",MeanMinAge04+BD205*SUMIF(ThresholdAge04,"&lt;"&amp;BD205,WeightedRevAge04)-SUMIF(ThresholdAge04,"&lt;"&amp;BD205,WeightedMinAge04),MAX(CapacityAge04*'01_Вводные'!$B$218*BD205,MeanMinAge04)))</f>
        <v/>
      </c>
      <c r="BE140" s="190">
        <f>IF(OR((BE56-BE84)=0,4&lt;='01_Вводные'!$B$297),0,(BE56-BE84)*IF('01_Вводные'!$B$239="Да",MeanMinAge04+BE205*SUMIF(ThresholdAge04,"&lt;"&amp;BE205,WeightedRevAge04)-SUMIF(ThresholdAge04,"&lt;"&amp;BE205,WeightedMinAge04),MAX(CapacityAge04*'01_Вводные'!$B$218*BE205,MeanMinAge04)))</f>
        <v/>
      </c>
      <c r="BF140" s="190">
        <f>IF(OR((BF56-BF84)=0,4&lt;='01_Вводные'!$B$297),0,(BF56-BF84)*IF('01_Вводные'!$B$239="Да",MeanMinAge04+BF205*SUMIF(ThresholdAge04,"&lt;"&amp;BF205,WeightedRevAge04)-SUMIF(ThresholdAge04,"&lt;"&amp;BF205,WeightedMinAge04),MAX(CapacityAge04*'01_Вводные'!$B$218*BF205,MeanMinAge04)))</f>
        <v/>
      </c>
      <c r="BG140" s="190">
        <f>IF(OR((BG56-BG84)=0,4&lt;='01_Вводные'!$B$297),0,(BG56-BG84)*IF('01_Вводные'!$B$239="Да",MeanMinAge04+BG205*SUMIF(ThresholdAge04,"&lt;"&amp;BG205,WeightedRevAge04)-SUMIF(ThresholdAge04,"&lt;"&amp;BG205,WeightedMinAge04),MAX(CapacityAge04*'01_Вводные'!$B$218*BG205,MeanMinAge04)))</f>
        <v/>
      </c>
      <c r="BH140" s="190">
        <f>IF(OR((BH56-BH84)=0,4&lt;='01_Вводные'!$B$297),0,(BH56-BH84)*IF('01_Вводные'!$B$239="Да",MeanMinAge04+BH205*SUMIF(ThresholdAge04,"&lt;"&amp;BH205,WeightedRevAge04)-SUMIF(ThresholdAge04,"&lt;"&amp;BH205,WeightedMinAge04),MAX(CapacityAge04*'01_Вводные'!$B$218*BH205,MeanMinAge04)))</f>
        <v/>
      </c>
      <c r="BI140" s="190">
        <f>IF(OR((BI56-BI84)=0,4&lt;='01_Вводные'!$B$297),0,(BI56-BI84)*IF('01_Вводные'!$B$239="Да",MeanMinAge04+BI205*SUMIF(ThresholdAge04,"&lt;"&amp;BI205,WeightedRevAge04)-SUMIF(ThresholdAge04,"&lt;"&amp;BI205,WeightedMinAge04),MAX(CapacityAge04*'01_Вводные'!$B$218*BI205,MeanMinAge04)))</f>
        <v/>
      </c>
      <c r="BJ140" s="190">
        <f>IF(OR((BJ56-BJ84)=0,4&lt;='01_Вводные'!$B$297),0,(BJ56-BJ84)*IF('01_Вводные'!$B$239="Да",MeanMinAge04+BJ205*SUMIF(ThresholdAge04,"&lt;"&amp;BJ205,WeightedRevAge04)-SUMIF(ThresholdAge04,"&lt;"&amp;BJ205,WeightedMinAge04),MAX(CapacityAge04*'01_Вводные'!$B$218*BJ205,MeanMinAge04)))</f>
        <v/>
      </c>
      <c r="BK140" s="190">
        <f>IF(OR((BK56-BK84)=0,4&lt;='01_Вводные'!$B$297),0,(BK56-BK84)*IF('01_Вводные'!$B$239="Да",MeanMinAge04+BK205*SUMIF(ThresholdAge04,"&lt;"&amp;BK205,WeightedRevAge04)-SUMIF(ThresholdAge04,"&lt;"&amp;BK205,WeightedMinAge04),MAX(CapacityAge04*'01_Вводные'!$B$218*BK205,MeanMinAge04)))</f>
        <v/>
      </c>
      <c r="BL140" s="190">
        <f>IF(OR((BL56-BL84)=0,4&lt;='01_Вводные'!$B$297),0,(BL56-BL84)*IF('01_Вводные'!$B$239="Да",MeanMinAge04+BL205*SUMIF(ThresholdAge04,"&lt;"&amp;BL205,WeightedRevAge04)-SUMIF(ThresholdAge04,"&lt;"&amp;BL205,WeightedMinAge04),MAX(CapacityAge04*'01_Вводные'!$B$218*BL205,MeanMinAge04)))</f>
        <v/>
      </c>
      <c r="BM140" s="190">
        <f>IF(OR((BM56-BM84)=0,4&lt;='01_Вводные'!$B$297),0,(BM56-BM84)*IF('01_Вводные'!$B$239="Да",MeanMinAge04+BM205*SUMIF(ThresholdAge04,"&lt;"&amp;BM205,WeightedRevAge04)-SUMIF(ThresholdAge04,"&lt;"&amp;BM205,WeightedMinAge04),MAX(CapacityAge04*'01_Вводные'!$B$218*BM205,MeanMinAge04)))</f>
        <v/>
      </c>
      <c r="BN140" s="190">
        <f>IF(OR((BN56-BN84)=0,4&lt;='01_Вводные'!$B$297),0,(BN56-BN84)*IF('01_Вводные'!$B$239="Да",MeanMinAge04+BN205*SUMIF(ThresholdAge04,"&lt;"&amp;BN205,WeightedRevAge04)-SUMIF(ThresholdAge04,"&lt;"&amp;BN205,WeightedMinAge04),MAX(CapacityAge04*'01_Вводные'!$B$218*BN205,MeanMinAge04)))</f>
        <v/>
      </c>
      <c r="BO140" s="190">
        <f>IF(OR((BO56-BO84)=0,4&lt;='01_Вводные'!$B$297),0,(BO56-BO84)*IF('01_Вводные'!$B$239="Да",MeanMinAge04+BO205*SUMIF(ThresholdAge04,"&lt;"&amp;BO205,WeightedRevAge04)-SUMIF(ThresholdAge04,"&lt;"&amp;BO205,WeightedMinAge04),MAX(CapacityAge04*'01_Вводные'!$B$218*BO205,MeanMinAge04)))</f>
        <v/>
      </c>
    </row>
    <row r="141" hidden="1" outlineLevel="1">
      <c r="A141" t="inlineStr">
        <is>
          <t>5 мес.</t>
        </is>
      </c>
      <c r="B141" s="190">
        <f>IF(OR((B57-B85)=0,5&lt;='01_Вводные'!$B$297),0,(B57-B85)*IF('01_Вводные'!$B$239="Да",MeanMinAge05+B205*SUMIF(ThresholdAge05,"&lt;"&amp;B205,WeightedRevAge05)-SUMIF(ThresholdAge05,"&lt;"&amp;B205,WeightedMinAge05),MAX(CapacityAge05*'01_Вводные'!$B$218*B205,MeanMinAge05)))</f>
        <v/>
      </c>
      <c r="C141" s="190">
        <f>IF(OR((C57-C85)=0,5&lt;='01_Вводные'!$B$297),0,(C57-C85)*IF('01_Вводные'!$B$239="Да",MeanMinAge05+C205*SUMIF(ThresholdAge05,"&lt;"&amp;C205,WeightedRevAge05)-SUMIF(ThresholdAge05,"&lt;"&amp;C205,WeightedMinAge05),MAX(CapacityAge05*'01_Вводные'!$B$218*C205,MeanMinAge05)))</f>
        <v/>
      </c>
      <c r="D141" s="190">
        <f>IF(OR((D57-D85)=0,5&lt;='01_Вводные'!$B$297),0,(D57-D85)*IF('01_Вводные'!$B$239="Да",MeanMinAge05+D205*SUMIF(ThresholdAge05,"&lt;"&amp;D205,WeightedRevAge05)-SUMIF(ThresholdAge05,"&lt;"&amp;D205,WeightedMinAge05),MAX(CapacityAge05*'01_Вводные'!$B$218*D205,MeanMinAge05)))</f>
        <v/>
      </c>
      <c r="E141" s="190">
        <f>IF(OR((E57-E85)=0,5&lt;='01_Вводные'!$B$297),0,(E57-E85)*IF('01_Вводные'!$B$239="Да",MeanMinAge05+E205*SUMIF(ThresholdAge05,"&lt;"&amp;E205,WeightedRevAge05)-SUMIF(ThresholdAge05,"&lt;"&amp;E205,WeightedMinAge05),MAX(CapacityAge05*'01_Вводные'!$B$218*E205,MeanMinAge05)))</f>
        <v/>
      </c>
      <c r="F141" s="190">
        <f>IF(OR((F57-F85)=0,5&lt;='01_Вводные'!$B$297),0,(F57-F85)*IF('01_Вводные'!$B$239="Да",MeanMinAge05+F205*SUMIF(ThresholdAge05,"&lt;"&amp;F205,WeightedRevAge05)-SUMIF(ThresholdAge05,"&lt;"&amp;F205,WeightedMinAge05),MAX(CapacityAge05*'01_Вводные'!$B$218*F205,MeanMinAge05)))</f>
        <v/>
      </c>
      <c r="G141" s="190">
        <f>IF(OR((G57-G85)=0,5&lt;='01_Вводные'!$B$297),0,(G57-G85)*IF('01_Вводные'!$B$239="Да",MeanMinAge05+G205*SUMIF(ThresholdAge05,"&lt;"&amp;G205,WeightedRevAge05)-SUMIF(ThresholdAge05,"&lt;"&amp;G205,WeightedMinAge05),MAX(CapacityAge05*'01_Вводные'!$B$218*G205,MeanMinAge05)))</f>
        <v/>
      </c>
      <c r="H141" s="190">
        <f>IF(OR((H57-H85)=0,5&lt;='01_Вводные'!$B$297),0,(H57-H85)*IF('01_Вводные'!$B$239="Да",MeanMinAge05+H205*SUMIF(ThresholdAge05,"&lt;"&amp;H205,WeightedRevAge05)-SUMIF(ThresholdAge05,"&lt;"&amp;H205,WeightedMinAge05),MAX(CapacityAge05*'01_Вводные'!$B$218*H205,MeanMinAge05)))</f>
        <v/>
      </c>
      <c r="I141" s="190">
        <f>IF(OR((I57-I85)=0,5&lt;='01_Вводные'!$B$297),0,(I57-I85)*IF('01_Вводные'!$B$239="Да",MeanMinAge05+I205*SUMIF(ThresholdAge05,"&lt;"&amp;I205,WeightedRevAge05)-SUMIF(ThresholdAge05,"&lt;"&amp;I205,WeightedMinAge05),MAX(CapacityAge05*'01_Вводные'!$B$218*I205,MeanMinAge05)))</f>
        <v/>
      </c>
      <c r="J141" s="190">
        <f>IF(OR((J57-J85)=0,5&lt;='01_Вводные'!$B$297),0,(J57-J85)*IF('01_Вводные'!$B$239="Да",MeanMinAge05+J205*SUMIF(ThresholdAge05,"&lt;"&amp;J205,WeightedRevAge05)-SUMIF(ThresholdAge05,"&lt;"&amp;J205,WeightedMinAge05),MAX(CapacityAge05*'01_Вводные'!$B$218*J205,MeanMinAge05)))</f>
        <v/>
      </c>
      <c r="K141" s="190">
        <f>IF(OR((K57-K85)=0,5&lt;='01_Вводные'!$B$297),0,(K57-K85)*IF('01_Вводные'!$B$239="Да",MeanMinAge05+K205*SUMIF(ThresholdAge05,"&lt;"&amp;K205,WeightedRevAge05)-SUMIF(ThresholdAge05,"&lt;"&amp;K205,WeightedMinAge05),MAX(CapacityAge05*'01_Вводные'!$B$218*K205,MeanMinAge05)))</f>
        <v/>
      </c>
      <c r="L141" s="190">
        <f>IF(OR((L57-L85)=0,5&lt;='01_Вводные'!$B$297),0,(L57-L85)*IF('01_Вводные'!$B$239="Да",MeanMinAge05+L205*SUMIF(ThresholdAge05,"&lt;"&amp;L205,WeightedRevAge05)-SUMIF(ThresholdAge05,"&lt;"&amp;L205,WeightedMinAge05),MAX(CapacityAge05*'01_Вводные'!$B$218*L205,MeanMinAge05)))</f>
        <v/>
      </c>
      <c r="M141" s="190">
        <f>IF(OR((M57-M85)=0,5&lt;='01_Вводные'!$B$297),0,(M57-M85)*IF('01_Вводные'!$B$239="Да",MeanMinAge05+M205*SUMIF(ThresholdAge05,"&lt;"&amp;M205,WeightedRevAge05)-SUMIF(ThresholdAge05,"&lt;"&amp;M205,WeightedMinAge05),MAX(CapacityAge05*'01_Вводные'!$B$218*M205,MeanMinAge05)))</f>
        <v/>
      </c>
      <c r="N141" s="190">
        <f>IF(OR((N57-N85)=0,5&lt;='01_Вводные'!$B$297),0,(N57-N85)*IF('01_Вводные'!$B$239="Да",MeanMinAge05+N205*SUMIF(ThresholdAge05,"&lt;"&amp;N205,WeightedRevAge05)-SUMIF(ThresholdAge05,"&lt;"&amp;N205,WeightedMinAge05),MAX(CapacityAge05*'01_Вводные'!$B$218*N205,MeanMinAge05)))</f>
        <v/>
      </c>
      <c r="O141" s="190">
        <f>IF(OR((O57-O85)=0,5&lt;='01_Вводные'!$B$297),0,(O57-O85)*IF('01_Вводные'!$B$239="Да",MeanMinAge05+O205*SUMIF(ThresholdAge05,"&lt;"&amp;O205,WeightedRevAge05)-SUMIF(ThresholdAge05,"&lt;"&amp;O205,WeightedMinAge05),MAX(CapacityAge05*'01_Вводные'!$B$218*O205,MeanMinAge05)))</f>
        <v/>
      </c>
      <c r="P141" s="190">
        <f>IF(OR((P57-P85)=0,5&lt;='01_Вводные'!$B$297),0,(P57-P85)*IF('01_Вводные'!$B$239="Да",MeanMinAge05+P205*SUMIF(ThresholdAge05,"&lt;"&amp;P205,WeightedRevAge05)-SUMIF(ThresholdAge05,"&lt;"&amp;P205,WeightedMinAge05),MAX(CapacityAge05*'01_Вводные'!$B$218*P205,MeanMinAge05)))</f>
        <v/>
      </c>
      <c r="Q141" s="190">
        <f>IF(OR((Q57-Q85)=0,5&lt;='01_Вводные'!$B$297),0,(Q57-Q85)*IF('01_Вводные'!$B$239="Да",MeanMinAge05+Q205*SUMIF(ThresholdAge05,"&lt;"&amp;Q205,WeightedRevAge05)-SUMIF(ThresholdAge05,"&lt;"&amp;Q205,WeightedMinAge05),MAX(CapacityAge05*'01_Вводные'!$B$218*Q205,MeanMinAge05)))</f>
        <v/>
      </c>
      <c r="R141" s="190">
        <f>IF(OR((R57-R85)=0,5&lt;='01_Вводные'!$B$297),0,(R57-R85)*IF('01_Вводные'!$B$239="Да",MeanMinAge05+R205*SUMIF(ThresholdAge05,"&lt;"&amp;R205,WeightedRevAge05)-SUMIF(ThresholdAge05,"&lt;"&amp;R205,WeightedMinAge05),MAX(CapacityAge05*'01_Вводные'!$B$218*R205,MeanMinAge05)))</f>
        <v/>
      </c>
      <c r="S141" s="190">
        <f>IF(OR((S57-S85)=0,5&lt;='01_Вводные'!$B$297),0,(S57-S85)*IF('01_Вводные'!$B$239="Да",MeanMinAge05+S205*SUMIF(ThresholdAge05,"&lt;"&amp;S205,WeightedRevAge05)-SUMIF(ThresholdAge05,"&lt;"&amp;S205,WeightedMinAge05),MAX(CapacityAge05*'01_Вводные'!$B$218*S205,MeanMinAge05)))</f>
        <v/>
      </c>
      <c r="T141" s="190">
        <f>IF(OR((T57-T85)=0,5&lt;='01_Вводные'!$B$297),0,(T57-T85)*IF('01_Вводные'!$B$239="Да",MeanMinAge05+T205*SUMIF(ThresholdAge05,"&lt;"&amp;T205,WeightedRevAge05)-SUMIF(ThresholdAge05,"&lt;"&amp;T205,WeightedMinAge05),MAX(CapacityAge05*'01_Вводные'!$B$218*T205,MeanMinAge05)))</f>
        <v/>
      </c>
      <c r="U141" s="190">
        <f>IF(OR((U57-U85)=0,5&lt;='01_Вводные'!$B$297),0,(U57-U85)*IF('01_Вводные'!$B$239="Да",MeanMinAge05+U205*SUMIF(ThresholdAge05,"&lt;"&amp;U205,WeightedRevAge05)-SUMIF(ThresholdAge05,"&lt;"&amp;U205,WeightedMinAge05),MAX(CapacityAge05*'01_Вводные'!$B$218*U205,MeanMinAge05)))</f>
        <v/>
      </c>
      <c r="V141" s="190">
        <f>IF(OR((V57-V85)=0,5&lt;='01_Вводные'!$B$297),0,(V57-V85)*IF('01_Вводные'!$B$239="Да",MeanMinAge05+V205*SUMIF(ThresholdAge05,"&lt;"&amp;V205,WeightedRevAge05)-SUMIF(ThresholdAge05,"&lt;"&amp;V205,WeightedMinAge05),MAX(CapacityAge05*'01_Вводные'!$B$218*V205,MeanMinAge05)))</f>
        <v/>
      </c>
      <c r="W141" s="190">
        <f>IF(OR((W57-W85)=0,5&lt;='01_Вводные'!$B$297),0,(W57-W85)*IF('01_Вводные'!$B$239="Да",MeanMinAge05+W205*SUMIF(ThresholdAge05,"&lt;"&amp;W205,WeightedRevAge05)-SUMIF(ThresholdAge05,"&lt;"&amp;W205,WeightedMinAge05),MAX(CapacityAge05*'01_Вводные'!$B$218*W205,MeanMinAge05)))</f>
        <v/>
      </c>
      <c r="X141" s="190">
        <f>IF(OR((X57-X85)=0,5&lt;='01_Вводные'!$B$297),0,(X57-X85)*IF('01_Вводные'!$B$239="Да",MeanMinAge05+X205*SUMIF(ThresholdAge05,"&lt;"&amp;X205,WeightedRevAge05)-SUMIF(ThresholdAge05,"&lt;"&amp;X205,WeightedMinAge05),MAX(CapacityAge05*'01_Вводные'!$B$218*X205,MeanMinAge05)))</f>
        <v/>
      </c>
      <c r="Y141" s="190">
        <f>IF(OR((Y57-Y85)=0,5&lt;='01_Вводные'!$B$297),0,(Y57-Y85)*IF('01_Вводные'!$B$239="Да",MeanMinAge05+Y205*SUMIF(ThresholdAge05,"&lt;"&amp;Y205,WeightedRevAge05)-SUMIF(ThresholdAge05,"&lt;"&amp;Y205,WeightedMinAge05),MAX(CapacityAge05*'01_Вводные'!$B$218*Y205,MeanMinAge05)))</f>
        <v/>
      </c>
      <c r="Z141" s="190">
        <f>IF(OR((Z57-Z85)=0,5&lt;='01_Вводные'!$B$297),0,(Z57-Z85)*IF('01_Вводные'!$B$239="Да",MeanMinAge05+Z205*SUMIF(ThresholdAge05,"&lt;"&amp;Z205,WeightedRevAge05)-SUMIF(ThresholdAge05,"&lt;"&amp;Z205,WeightedMinAge05),MAX(CapacityAge05*'01_Вводные'!$B$218*Z205,MeanMinAge05)))</f>
        <v/>
      </c>
      <c r="AA141" s="190">
        <f>IF(OR((AA57-AA85)=0,5&lt;='01_Вводные'!$B$297),0,(AA57-AA85)*IF('01_Вводные'!$B$239="Да",MeanMinAge05+AA205*SUMIF(ThresholdAge05,"&lt;"&amp;AA205,WeightedRevAge05)-SUMIF(ThresholdAge05,"&lt;"&amp;AA205,WeightedMinAge05),MAX(CapacityAge05*'01_Вводные'!$B$218*AA205,MeanMinAge05)))</f>
        <v/>
      </c>
      <c r="AB141" s="190">
        <f>IF(OR((AB57-AB85)=0,5&lt;='01_Вводные'!$B$297),0,(AB57-AB85)*IF('01_Вводные'!$B$239="Да",MeanMinAge05+AB205*SUMIF(ThresholdAge05,"&lt;"&amp;AB205,WeightedRevAge05)-SUMIF(ThresholdAge05,"&lt;"&amp;AB205,WeightedMinAge05),MAX(CapacityAge05*'01_Вводные'!$B$218*AB205,MeanMinAge05)))</f>
        <v/>
      </c>
      <c r="AC141" s="190">
        <f>IF(OR((AC57-AC85)=0,5&lt;='01_Вводные'!$B$297),0,(AC57-AC85)*IF('01_Вводные'!$B$239="Да",MeanMinAge05+AC205*SUMIF(ThresholdAge05,"&lt;"&amp;AC205,WeightedRevAge05)-SUMIF(ThresholdAge05,"&lt;"&amp;AC205,WeightedMinAge05),MAX(CapacityAge05*'01_Вводные'!$B$218*AC205,MeanMinAge05)))</f>
        <v/>
      </c>
      <c r="AD141" s="190">
        <f>IF(OR((AD57-AD85)=0,5&lt;='01_Вводные'!$B$297),0,(AD57-AD85)*IF('01_Вводные'!$B$239="Да",MeanMinAge05+AD205*SUMIF(ThresholdAge05,"&lt;"&amp;AD205,WeightedRevAge05)-SUMIF(ThresholdAge05,"&lt;"&amp;AD205,WeightedMinAge05),MAX(CapacityAge05*'01_Вводные'!$B$218*AD205,MeanMinAge05)))</f>
        <v/>
      </c>
      <c r="AE141" s="190">
        <f>IF(OR((AE57-AE85)=0,5&lt;='01_Вводные'!$B$297),0,(AE57-AE85)*IF('01_Вводные'!$B$239="Да",MeanMinAge05+AE205*SUMIF(ThresholdAge05,"&lt;"&amp;AE205,WeightedRevAge05)-SUMIF(ThresholdAge05,"&lt;"&amp;AE205,WeightedMinAge05),MAX(CapacityAge05*'01_Вводные'!$B$218*AE205,MeanMinAge05)))</f>
        <v/>
      </c>
      <c r="AF141" s="190">
        <f>IF(OR((AF57-AF85)=0,5&lt;='01_Вводные'!$B$297),0,(AF57-AF85)*IF('01_Вводные'!$B$239="Да",MeanMinAge05+AF205*SUMIF(ThresholdAge05,"&lt;"&amp;AF205,WeightedRevAge05)-SUMIF(ThresholdAge05,"&lt;"&amp;AF205,WeightedMinAge05),MAX(CapacityAge05*'01_Вводные'!$B$218*AF205,MeanMinAge05)))</f>
        <v/>
      </c>
      <c r="AG141" s="190">
        <f>IF(OR((AG57-AG85)=0,5&lt;='01_Вводные'!$B$297),0,(AG57-AG85)*IF('01_Вводные'!$B$239="Да",MeanMinAge05+AG205*SUMIF(ThresholdAge05,"&lt;"&amp;AG205,WeightedRevAge05)-SUMIF(ThresholdAge05,"&lt;"&amp;AG205,WeightedMinAge05),MAX(CapacityAge05*'01_Вводные'!$B$218*AG205,MeanMinAge05)))</f>
        <v/>
      </c>
      <c r="AH141" s="190">
        <f>IF(OR((AH57-AH85)=0,5&lt;='01_Вводные'!$B$297),0,(AH57-AH85)*IF('01_Вводные'!$B$239="Да",MeanMinAge05+AH205*SUMIF(ThresholdAge05,"&lt;"&amp;AH205,WeightedRevAge05)-SUMIF(ThresholdAge05,"&lt;"&amp;AH205,WeightedMinAge05),MAX(CapacityAge05*'01_Вводные'!$B$218*AH205,MeanMinAge05)))</f>
        <v/>
      </c>
      <c r="AI141" s="190">
        <f>IF(OR((AI57-AI85)=0,5&lt;='01_Вводные'!$B$297),0,(AI57-AI85)*IF('01_Вводные'!$B$239="Да",MeanMinAge05+AI205*SUMIF(ThresholdAge05,"&lt;"&amp;AI205,WeightedRevAge05)-SUMIF(ThresholdAge05,"&lt;"&amp;AI205,WeightedMinAge05),MAX(CapacityAge05*'01_Вводные'!$B$218*AI205,MeanMinAge05)))</f>
        <v/>
      </c>
      <c r="AJ141" s="190">
        <f>IF(OR((AJ57-AJ85)=0,5&lt;='01_Вводные'!$B$297),0,(AJ57-AJ85)*IF('01_Вводные'!$B$239="Да",MeanMinAge05+AJ205*SUMIF(ThresholdAge05,"&lt;"&amp;AJ205,WeightedRevAge05)-SUMIF(ThresholdAge05,"&lt;"&amp;AJ205,WeightedMinAge05),MAX(CapacityAge05*'01_Вводные'!$B$218*AJ205,MeanMinAge05)))</f>
        <v/>
      </c>
      <c r="AK141" s="190">
        <f>IF(OR((AK57-AK85)=0,5&lt;='01_Вводные'!$B$297),0,(AK57-AK85)*IF('01_Вводные'!$B$239="Да",MeanMinAge05+AK205*SUMIF(ThresholdAge05,"&lt;"&amp;AK205,WeightedRevAge05)-SUMIF(ThresholdAge05,"&lt;"&amp;AK205,WeightedMinAge05),MAX(CapacityAge05*'01_Вводные'!$B$218*AK205,MeanMinAge05)))</f>
        <v/>
      </c>
      <c r="AL141" s="190">
        <f>IF(OR((AL57-AL85)=0,5&lt;='01_Вводные'!$B$297),0,(AL57-AL85)*IF('01_Вводные'!$B$239="Да",MeanMinAge05+AL205*SUMIF(ThresholdAge05,"&lt;"&amp;AL205,WeightedRevAge05)-SUMIF(ThresholdAge05,"&lt;"&amp;AL205,WeightedMinAge05),MAX(CapacityAge05*'01_Вводные'!$B$218*AL205,MeanMinAge05)))</f>
        <v/>
      </c>
      <c r="AM141" s="190">
        <f>IF(OR((AM57-AM85)=0,5&lt;='01_Вводные'!$B$297),0,(AM57-AM85)*IF('01_Вводные'!$B$239="Да",MeanMinAge05+AM205*SUMIF(ThresholdAge05,"&lt;"&amp;AM205,WeightedRevAge05)-SUMIF(ThresholdAge05,"&lt;"&amp;AM205,WeightedMinAge05),MAX(CapacityAge05*'01_Вводные'!$B$218*AM205,MeanMinAge05)))</f>
        <v/>
      </c>
      <c r="AN141" s="190">
        <f>IF(OR((AN57-AN85)=0,5&lt;='01_Вводные'!$B$297),0,(AN57-AN85)*IF('01_Вводные'!$B$239="Да",MeanMinAge05+AN205*SUMIF(ThresholdAge05,"&lt;"&amp;AN205,WeightedRevAge05)-SUMIF(ThresholdAge05,"&lt;"&amp;AN205,WeightedMinAge05),MAX(CapacityAge05*'01_Вводные'!$B$218*AN205,MeanMinAge05)))</f>
        <v/>
      </c>
      <c r="AO141" s="190">
        <f>IF(OR((AO57-AO85)=0,5&lt;='01_Вводные'!$B$297),0,(AO57-AO85)*IF('01_Вводные'!$B$239="Да",MeanMinAge05+AO205*SUMIF(ThresholdAge05,"&lt;"&amp;AO205,WeightedRevAge05)-SUMIF(ThresholdAge05,"&lt;"&amp;AO205,WeightedMinAge05),MAX(CapacityAge05*'01_Вводные'!$B$218*AO205,MeanMinAge05)))</f>
        <v/>
      </c>
      <c r="AP141" s="190">
        <f>IF(OR((AP57-AP85)=0,5&lt;='01_Вводные'!$B$297),0,(AP57-AP85)*IF('01_Вводные'!$B$239="Да",MeanMinAge05+AP205*SUMIF(ThresholdAge05,"&lt;"&amp;AP205,WeightedRevAge05)-SUMIF(ThresholdAge05,"&lt;"&amp;AP205,WeightedMinAge05),MAX(CapacityAge05*'01_Вводные'!$B$218*AP205,MeanMinAge05)))</f>
        <v/>
      </c>
      <c r="AQ141" s="190">
        <f>IF(OR((AQ57-AQ85)=0,5&lt;='01_Вводные'!$B$297),0,(AQ57-AQ85)*IF('01_Вводные'!$B$239="Да",MeanMinAge05+AQ205*SUMIF(ThresholdAge05,"&lt;"&amp;AQ205,WeightedRevAge05)-SUMIF(ThresholdAge05,"&lt;"&amp;AQ205,WeightedMinAge05),MAX(CapacityAge05*'01_Вводные'!$B$218*AQ205,MeanMinAge05)))</f>
        <v/>
      </c>
      <c r="AR141" s="190">
        <f>IF(OR((AR57-AR85)=0,5&lt;='01_Вводные'!$B$297),0,(AR57-AR85)*IF('01_Вводные'!$B$239="Да",MeanMinAge05+AR205*SUMIF(ThresholdAge05,"&lt;"&amp;AR205,WeightedRevAge05)-SUMIF(ThresholdAge05,"&lt;"&amp;AR205,WeightedMinAge05),MAX(CapacityAge05*'01_Вводные'!$B$218*AR205,MeanMinAge05)))</f>
        <v/>
      </c>
      <c r="AS141" s="190">
        <f>IF(OR((AS57-AS85)=0,5&lt;='01_Вводные'!$B$297),0,(AS57-AS85)*IF('01_Вводные'!$B$239="Да",MeanMinAge05+AS205*SUMIF(ThresholdAge05,"&lt;"&amp;AS205,WeightedRevAge05)-SUMIF(ThresholdAge05,"&lt;"&amp;AS205,WeightedMinAge05),MAX(CapacityAge05*'01_Вводные'!$B$218*AS205,MeanMinAge05)))</f>
        <v/>
      </c>
      <c r="AT141" s="190">
        <f>IF(OR((AT57-AT85)=0,5&lt;='01_Вводные'!$B$297),0,(AT57-AT85)*IF('01_Вводные'!$B$239="Да",MeanMinAge05+AT205*SUMIF(ThresholdAge05,"&lt;"&amp;AT205,WeightedRevAge05)-SUMIF(ThresholdAge05,"&lt;"&amp;AT205,WeightedMinAge05),MAX(CapacityAge05*'01_Вводные'!$B$218*AT205,MeanMinAge05)))</f>
        <v/>
      </c>
      <c r="AU141" s="190">
        <f>IF(OR((AU57-AU85)=0,5&lt;='01_Вводные'!$B$297),0,(AU57-AU85)*IF('01_Вводные'!$B$239="Да",MeanMinAge05+AU205*SUMIF(ThresholdAge05,"&lt;"&amp;AU205,WeightedRevAge05)-SUMIF(ThresholdAge05,"&lt;"&amp;AU205,WeightedMinAge05),MAX(CapacityAge05*'01_Вводные'!$B$218*AU205,MeanMinAge05)))</f>
        <v/>
      </c>
      <c r="AV141" s="190">
        <f>IF(OR((AV57-AV85)=0,5&lt;='01_Вводные'!$B$297),0,(AV57-AV85)*IF('01_Вводные'!$B$239="Да",MeanMinAge05+AV205*SUMIF(ThresholdAge05,"&lt;"&amp;AV205,WeightedRevAge05)-SUMIF(ThresholdAge05,"&lt;"&amp;AV205,WeightedMinAge05),MAX(CapacityAge05*'01_Вводные'!$B$218*AV205,MeanMinAge05)))</f>
        <v/>
      </c>
      <c r="AW141" s="190">
        <f>IF(OR((AW57-AW85)=0,5&lt;='01_Вводные'!$B$297),0,(AW57-AW85)*IF('01_Вводные'!$B$239="Да",MeanMinAge05+AW205*SUMIF(ThresholdAge05,"&lt;"&amp;AW205,WeightedRevAge05)-SUMIF(ThresholdAge05,"&lt;"&amp;AW205,WeightedMinAge05),MAX(CapacityAge05*'01_Вводные'!$B$218*AW205,MeanMinAge05)))</f>
        <v/>
      </c>
      <c r="AX141" s="190">
        <f>IF(OR((AX57-AX85)=0,5&lt;='01_Вводные'!$B$297),0,(AX57-AX85)*IF('01_Вводные'!$B$239="Да",MeanMinAge05+AX205*SUMIF(ThresholdAge05,"&lt;"&amp;AX205,WeightedRevAge05)-SUMIF(ThresholdAge05,"&lt;"&amp;AX205,WeightedMinAge05),MAX(CapacityAge05*'01_Вводные'!$B$218*AX205,MeanMinAge05)))</f>
        <v/>
      </c>
      <c r="AY141" s="190">
        <f>IF(OR((AY57-AY85)=0,5&lt;='01_Вводные'!$B$297),0,(AY57-AY85)*IF('01_Вводные'!$B$239="Да",MeanMinAge05+AY205*SUMIF(ThresholdAge05,"&lt;"&amp;AY205,WeightedRevAge05)-SUMIF(ThresholdAge05,"&lt;"&amp;AY205,WeightedMinAge05),MAX(CapacityAge05*'01_Вводные'!$B$218*AY205,MeanMinAge05)))</f>
        <v/>
      </c>
      <c r="AZ141" s="190">
        <f>IF(OR((AZ57-AZ85)=0,5&lt;='01_Вводные'!$B$297),0,(AZ57-AZ85)*IF('01_Вводные'!$B$239="Да",MeanMinAge05+AZ205*SUMIF(ThresholdAge05,"&lt;"&amp;AZ205,WeightedRevAge05)-SUMIF(ThresholdAge05,"&lt;"&amp;AZ205,WeightedMinAge05),MAX(CapacityAge05*'01_Вводные'!$B$218*AZ205,MeanMinAge05)))</f>
        <v/>
      </c>
      <c r="BA141" s="190">
        <f>IF(OR((BA57-BA85)=0,5&lt;='01_Вводные'!$B$297),0,(BA57-BA85)*IF('01_Вводные'!$B$239="Да",MeanMinAge05+BA205*SUMIF(ThresholdAge05,"&lt;"&amp;BA205,WeightedRevAge05)-SUMIF(ThresholdAge05,"&lt;"&amp;BA205,WeightedMinAge05),MAX(CapacityAge05*'01_Вводные'!$B$218*BA205,MeanMinAge05)))</f>
        <v/>
      </c>
      <c r="BB141" s="190">
        <f>IF(OR((BB57-BB85)=0,5&lt;='01_Вводные'!$B$297),0,(BB57-BB85)*IF('01_Вводные'!$B$239="Да",MeanMinAge05+BB205*SUMIF(ThresholdAge05,"&lt;"&amp;BB205,WeightedRevAge05)-SUMIF(ThresholdAge05,"&lt;"&amp;BB205,WeightedMinAge05),MAX(CapacityAge05*'01_Вводные'!$B$218*BB205,MeanMinAge05)))</f>
        <v/>
      </c>
      <c r="BC141" s="190">
        <f>IF(OR((BC57-BC85)=0,5&lt;='01_Вводные'!$B$297),0,(BC57-BC85)*IF('01_Вводные'!$B$239="Да",MeanMinAge05+BC205*SUMIF(ThresholdAge05,"&lt;"&amp;BC205,WeightedRevAge05)-SUMIF(ThresholdAge05,"&lt;"&amp;BC205,WeightedMinAge05),MAX(CapacityAge05*'01_Вводные'!$B$218*BC205,MeanMinAge05)))</f>
        <v/>
      </c>
      <c r="BD141" s="190">
        <f>IF(OR((BD57-BD85)=0,5&lt;='01_Вводные'!$B$297),0,(BD57-BD85)*IF('01_Вводные'!$B$239="Да",MeanMinAge05+BD205*SUMIF(ThresholdAge05,"&lt;"&amp;BD205,WeightedRevAge05)-SUMIF(ThresholdAge05,"&lt;"&amp;BD205,WeightedMinAge05),MAX(CapacityAge05*'01_Вводные'!$B$218*BD205,MeanMinAge05)))</f>
        <v/>
      </c>
      <c r="BE141" s="190">
        <f>IF(OR((BE57-BE85)=0,5&lt;='01_Вводные'!$B$297),0,(BE57-BE85)*IF('01_Вводные'!$B$239="Да",MeanMinAge05+BE205*SUMIF(ThresholdAge05,"&lt;"&amp;BE205,WeightedRevAge05)-SUMIF(ThresholdAge05,"&lt;"&amp;BE205,WeightedMinAge05),MAX(CapacityAge05*'01_Вводные'!$B$218*BE205,MeanMinAge05)))</f>
        <v/>
      </c>
      <c r="BF141" s="190">
        <f>IF(OR((BF57-BF85)=0,5&lt;='01_Вводные'!$B$297),0,(BF57-BF85)*IF('01_Вводные'!$B$239="Да",MeanMinAge05+BF205*SUMIF(ThresholdAge05,"&lt;"&amp;BF205,WeightedRevAge05)-SUMIF(ThresholdAge05,"&lt;"&amp;BF205,WeightedMinAge05),MAX(CapacityAge05*'01_Вводные'!$B$218*BF205,MeanMinAge05)))</f>
        <v/>
      </c>
      <c r="BG141" s="190">
        <f>IF(OR((BG57-BG85)=0,5&lt;='01_Вводные'!$B$297),0,(BG57-BG85)*IF('01_Вводные'!$B$239="Да",MeanMinAge05+BG205*SUMIF(ThresholdAge05,"&lt;"&amp;BG205,WeightedRevAge05)-SUMIF(ThresholdAge05,"&lt;"&amp;BG205,WeightedMinAge05),MAX(CapacityAge05*'01_Вводные'!$B$218*BG205,MeanMinAge05)))</f>
        <v/>
      </c>
      <c r="BH141" s="190">
        <f>IF(OR((BH57-BH85)=0,5&lt;='01_Вводные'!$B$297),0,(BH57-BH85)*IF('01_Вводные'!$B$239="Да",MeanMinAge05+BH205*SUMIF(ThresholdAge05,"&lt;"&amp;BH205,WeightedRevAge05)-SUMIF(ThresholdAge05,"&lt;"&amp;BH205,WeightedMinAge05),MAX(CapacityAge05*'01_Вводные'!$B$218*BH205,MeanMinAge05)))</f>
        <v/>
      </c>
      <c r="BI141" s="190">
        <f>IF(OR((BI57-BI85)=0,5&lt;='01_Вводные'!$B$297),0,(BI57-BI85)*IF('01_Вводные'!$B$239="Да",MeanMinAge05+BI205*SUMIF(ThresholdAge05,"&lt;"&amp;BI205,WeightedRevAge05)-SUMIF(ThresholdAge05,"&lt;"&amp;BI205,WeightedMinAge05),MAX(CapacityAge05*'01_Вводные'!$B$218*BI205,MeanMinAge05)))</f>
        <v/>
      </c>
      <c r="BJ141" s="190">
        <f>IF(OR((BJ57-BJ85)=0,5&lt;='01_Вводные'!$B$297),0,(BJ57-BJ85)*IF('01_Вводные'!$B$239="Да",MeanMinAge05+BJ205*SUMIF(ThresholdAge05,"&lt;"&amp;BJ205,WeightedRevAge05)-SUMIF(ThresholdAge05,"&lt;"&amp;BJ205,WeightedMinAge05),MAX(CapacityAge05*'01_Вводные'!$B$218*BJ205,MeanMinAge05)))</f>
        <v/>
      </c>
      <c r="BK141" s="190">
        <f>IF(OR((BK57-BK85)=0,5&lt;='01_Вводные'!$B$297),0,(BK57-BK85)*IF('01_Вводные'!$B$239="Да",MeanMinAge05+BK205*SUMIF(ThresholdAge05,"&lt;"&amp;BK205,WeightedRevAge05)-SUMIF(ThresholdAge05,"&lt;"&amp;BK205,WeightedMinAge05),MAX(CapacityAge05*'01_Вводные'!$B$218*BK205,MeanMinAge05)))</f>
        <v/>
      </c>
      <c r="BL141" s="190">
        <f>IF(OR((BL57-BL85)=0,5&lt;='01_Вводные'!$B$297),0,(BL57-BL85)*IF('01_Вводные'!$B$239="Да",MeanMinAge05+BL205*SUMIF(ThresholdAge05,"&lt;"&amp;BL205,WeightedRevAge05)-SUMIF(ThresholdAge05,"&lt;"&amp;BL205,WeightedMinAge05),MAX(CapacityAge05*'01_Вводные'!$B$218*BL205,MeanMinAge05)))</f>
        <v/>
      </c>
      <c r="BM141" s="190">
        <f>IF(OR((BM57-BM85)=0,5&lt;='01_Вводные'!$B$297),0,(BM57-BM85)*IF('01_Вводные'!$B$239="Да",MeanMinAge05+BM205*SUMIF(ThresholdAge05,"&lt;"&amp;BM205,WeightedRevAge05)-SUMIF(ThresholdAge05,"&lt;"&amp;BM205,WeightedMinAge05),MAX(CapacityAge05*'01_Вводные'!$B$218*BM205,MeanMinAge05)))</f>
        <v/>
      </c>
      <c r="BN141" s="190">
        <f>IF(OR((BN57-BN85)=0,5&lt;='01_Вводные'!$B$297),0,(BN57-BN85)*IF('01_Вводные'!$B$239="Да",MeanMinAge05+BN205*SUMIF(ThresholdAge05,"&lt;"&amp;BN205,WeightedRevAge05)-SUMIF(ThresholdAge05,"&lt;"&amp;BN205,WeightedMinAge05),MAX(CapacityAge05*'01_Вводные'!$B$218*BN205,MeanMinAge05)))</f>
        <v/>
      </c>
      <c r="BO141" s="190">
        <f>IF(OR((BO57-BO85)=0,5&lt;='01_Вводные'!$B$297),0,(BO57-BO85)*IF('01_Вводные'!$B$239="Да",MeanMinAge05+BO205*SUMIF(ThresholdAge05,"&lt;"&amp;BO205,WeightedRevAge05)-SUMIF(ThresholdAge05,"&lt;"&amp;BO205,WeightedMinAge05),MAX(CapacityAge05*'01_Вводные'!$B$218*BO205,MeanMinAge05)))</f>
        <v/>
      </c>
    </row>
    <row r="142" hidden="1" outlineLevel="1">
      <c r="A142" t="inlineStr">
        <is>
          <t>6 мес.</t>
        </is>
      </c>
      <c r="B142" s="190">
        <f>IF(OR((B58-B86)=0,6&lt;='01_Вводные'!$B$297),0,(B58-B86)*IF('01_Вводные'!$B$239="Да",MeanMinAge06+B205*SUMIF(ThresholdAge06,"&lt;"&amp;B205,WeightedRevAge06)-SUMIF(ThresholdAge06,"&lt;"&amp;B205,WeightedMinAge06),MAX(CapacityAge06*'01_Вводные'!$B$218*B205,MeanMinAge06)))</f>
        <v/>
      </c>
      <c r="C142" s="190">
        <f>IF(OR((C58-C86)=0,6&lt;='01_Вводные'!$B$297),0,(C58-C86)*IF('01_Вводные'!$B$239="Да",MeanMinAge06+C205*SUMIF(ThresholdAge06,"&lt;"&amp;C205,WeightedRevAge06)-SUMIF(ThresholdAge06,"&lt;"&amp;C205,WeightedMinAge06),MAX(CapacityAge06*'01_Вводные'!$B$218*C205,MeanMinAge06)))</f>
        <v/>
      </c>
      <c r="D142" s="190">
        <f>IF(OR((D58-D86)=0,6&lt;='01_Вводные'!$B$297),0,(D58-D86)*IF('01_Вводные'!$B$239="Да",MeanMinAge06+D205*SUMIF(ThresholdAge06,"&lt;"&amp;D205,WeightedRevAge06)-SUMIF(ThresholdAge06,"&lt;"&amp;D205,WeightedMinAge06),MAX(CapacityAge06*'01_Вводные'!$B$218*D205,MeanMinAge06)))</f>
        <v/>
      </c>
      <c r="E142" s="190">
        <f>IF(OR((E58-E86)=0,6&lt;='01_Вводные'!$B$297),0,(E58-E86)*IF('01_Вводные'!$B$239="Да",MeanMinAge06+E205*SUMIF(ThresholdAge06,"&lt;"&amp;E205,WeightedRevAge06)-SUMIF(ThresholdAge06,"&lt;"&amp;E205,WeightedMinAge06),MAX(CapacityAge06*'01_Вводные'!$B$218*E205,MeanMinAge06)))</f>
        <v/>
      </c>
      <c r="F142" s="190">
        <f>IF(OR((F58-F86)=0,6&lt;='01_Вводные'!$B$297),0,(F58-F86)*IF('01_Вводные'!$B$239="Да",MeanMinAge06+F205*SUMIF(ThresholdAge06,"&lt;"&amp;F205,WeightedRevAge06)-SUMIF(ThresholdAge06,"&lt;"&amp;F205,WeightedMinAge06),MAX(CapacityAge06*'01_Вводные'!$B$218*F205,MeanMinAge06)))</f>
        <v/>
      </c>
      <c r="G142" s="190">
        <f>IF(OR((G58-G86)=0,6&lt;='01_Вводные'!$B$297),0,(G58-G86)*IF('01_Вводные'!$B$239="Да",MeanMinAge06+G205*SUMIF(ThresholdAge06,"&lt;"&amp;G205,WeightedRevAge06)-SUMIF(ThresholdAge06,"&lt;"&amp;G205,WeightedMinAge06),MAX(CapacityAge06*'01_Вводные'!$B$218*G205,MeanMinAge06)))</f>
        <v/>
      </c>
      <c r="H142" s="190">
        <f>IF(OR((H58-H86)=0,6&lt;='01_Вводные'!$B$297),0,(H58-H86)*IF('01_Вводные'!$B$239="Да",MeanMinAge06+H205*SUMIF(ThresholdAge06,"&lt;"&amp;H205,WeightedRevAge06)-SUMIF(ThresholdAge06,"&lt;"&amp;H205,WeightedMinAge06),MAX(CapacityAge06*'01_Вводные'!$B$218*H205,MeanMinAge06)))</f>
        <v/>
      </c>
      <c r="I142" s="190">
        <f>IF(OR((I58-I86)=0,6&lt;='01_Вводные'!$B$297),0,(I58-I86)*IF('01_Вводные'!$B$239="Да",MeanMinAge06+I205*SUMIF(ThresholdAge06,"&lt;"&amp;I205,WeightedRevAge06)-SUMIF(ThresholdAge06,"&lt;"&amp;I205,WeightedMinAge06),MAX(CapacityAge06*'01_Вводные'!$B$218*I205,MeanMinAge06)))</f>
        <v/>
      </c>
      <c r="J142" s="190">
        <f>IF(OR((J58-J86)=0,6&lt;='01_Вводные'!$B$297),0,(J58-J86)*IF('01_Вводные'!$B$239="Да",MeanMinAge06+J205*SUMIF(ThresholdAge06,"&lt;"&amp;J205,WeightedRevAge06)-SUMIF(ThresholdAge06,"&lt;"&amp;J205,WeightedMinAge06),MAX(CapacityAge06*'01_Вводные'!$B$218*J205,MeanMinAge06)))</f>
        <v/>
      </c>
      <c r="K142" s="190">
        <f>IF(OR((K58-K86)=0,6&lt;='01_Вводные'!$B$297),0,(K58-K86)*IF('01_Вводные'!$B$239="Да",MeanMinAge06+K205*SUMIF(ThresholdAge06,"&lt;"&amp;K205,WeightedRevAge06)-SUMIF(ThresholdAge06,"&lt;"&amp;K205,WeightedMinAge06),MAX(CapacityAge06*'01_Вводные'!$B$218*K205,MeanMinAge06)))</f>
        <v/>
      </c>
      <c r="L142" s="190">
        <f>IF(OR((L58-L86)=0,6&lt;='01_Вводные'!$B$297),0,(L58-L86)*IF('01_Вводные'!$B$239="Да",MeanMinAge06+L205*SUMIF(ThresholdAge06,"&lt;"&amp;L205,WeightedRevAge06)-SUMIF(ThresholdAge06,"&lt;"&amp;L205,WeightedMinAge06),MAX(CapacityAge06*'01_Вводные'!$B$218*L205,MeanMinAge06)))</f>
        <v/>
      </c>
      <c r="M142" s="190">
        <f>IF(OR((M58-M86)=0,6&lt;='01_Вводные'!$B$297),0,(M58-M86)*IF('01_Вводные'!$B$239="Да",MeanMinAge06+M205*SUMIF(ThresholdAge06,"&lt;"&amp;M205,WeightedRevAge06)-SUMIF(ThresholdAge06,"&lt;"&amp;M205,WeightedMinAge06),MAX(CapacityAge06*'01_Вводные'!$B$218*M205,MeanMinAge06)))</f>
        <v/>
      </c>
      <c r="N142" s="190">
        <f>IF(OR((N58-N86)=0,6&lt;='01_Вводные'!$B$297),0,(N58-N86)*IF('01_Вводные'!$B$239="Да",MeanMinAge06+N205*SUMIF(ThresholdAge06,"&lt;"&amp;N205,WeightedRevAge06)-SUMIF(ThresholdAge06,"&lt;"&amp;N205,WeightedMinAge06),MAX(CapacityAge06*'01_Вводные'!$B$218*N205,MeanMinAge06)))</f>
        <v/>
      </c>
      <c r="O142" s="190">
        <f>IF(OR((O58-O86)=0,6&lt;='01_Вводные'!$B$297),0,(O58-O86)*IF('01_Вводные'!$B$239="Да",MeanMinAge06+O205*SUMIF(ThresholdAge06,"&lt;"&amp;O205,WeightedRevAge06)-SUMIF(ThresholdAge06,"&lt;"&amp;O205,WeightedMinAge06),MAX(CapacityAge06*'01_Вводные'!$B$218*O205,MeanMinAge06)))</f>
        <v/>
      </c>
      <c r="P142" s="190">
        <f>IF(OR((P58-P86)=0,6&lt;='01_Вводные'!$B$297),0,(P58-P86)*IF('01_Вводные'!$B$239="Да",MeanMinAge06+P205*SUMIF(ThresholdAge06,"&lt;"&amp;P205,WeightedRevAge06)-SUMIF(ThresholdAge06,"&lt;"&amp;P205,WeightedMinAge06),MAX(CapacityAge06*'01_Вводные'!$B$218*P205,MeanMinAge06)))</f>
        <v/>
      </c>
      <c r="Q142" s="190">
        <f>IF(OR((Q58-Q86)=0,6&lt;='01_Вводные'!$B$297),0,(Q58-Q86)*IF('01_Вводные'!$B$239="Да",MeanMinAge06+Q205*SUMIF(ThresholdAge06,"&lt;"&amp;Q205,WeightedRevAge06)-SUMIF(ThresholdAge06,"&lt;"&amp;Q205,WeightedMinAge06),MAX(CapacityAge06*'01_Вводные'!$B$218*Q205,MeanMinAge06)))</f>
        <v/>
      </c>
      <c r="R142" s="190">
        <f>IF(OR((R58-R86)=0,6&lt;='01_Вводные'!$B$297),0,(R58-R86)*IF('01_Вводные'!$B$239="Да",MeanMinAge06+R205*SUMIF(ThresholdAge06,"&lt;"&amp;R205,WeightedRevAge06)-SUMIF(ThresholdAge06,"&lt;"&amp;R205,WeightedMinAge06),MAX(CapacityAge06*'01_Вводные'!$B$218*R205,MeanMinAge06)))</f>
        <v/>
      </c>
      <c r="S142" s="190">
        <f>IF(OR((S58-S86)=0,6&lt;='01_Вводные'!$B$297),0,(S58-S86)*IF('01_Вводные'!$B$239="Да",MeanMinAge06+S205*SUMIF(ThresholdAge06,"&lt;"&amp;S205,WeightedRevAge06)-SUMIF(ThresholdAge06,"&lt;"&amp;S205,WeightedMinAge06),MAX(CapacityAge06*'01_Вводные'!$B$218*S205,MeanMinAge06)))</f>
        <v/>
      </c>
      <c r="T142" s="190">
        <f>IF(OR((T58-T86)=0,6&lt;='01_Вводные'!$B$297),0,(T58-T86)*IF('01_Вводные'!$B$239="Да",MeanMinAge06+T205*SUMIF(ThresholdAge06,"&lt;"&amp;T205,WeightedRevAge06)-SUMIF(ThresholdAge06,"&lt;"&amp;T205,WeightedMinAge06),MAX(CapacityAge06*'01_Вводные'!$B$218*T205,MeanMinAge06)))</f>
        <v/>
      </c>
      <c r="U142" s="190">
        <f>IF(OR((U58-U86)=0,6&lt;='01_Вводные'!$B$297),0,(U58-U86)*IF('01_Вводные'!$B$239="Да",MeanMinAge06+U205*SUMIF(ThresholdAge06,"&lt;"&amp;U205,WeightedRevAge06)-SUMIF(ThresholdAge06,"&lt;"&amp;U205,WeightedMinAge06),MAX(CapacityAge06*'01_Вводные'!$B$218*U205,MeanMinAge06)))</f>
        <v/>
      </c>
      <c r="V142" s="190">
        <f>IF(OR((V58-V86)=0,6&lt;='01_Вводные'!$B$297),0,(V58-V86)*IF('01_Вводные'!$B$239="Да",MeanMinAge06+V205*SUMIF(ThresholdAge06,"&lt;"&amp;V205,WeightedRevAge06)-SUMIF(ThresholdAge06,"&lt;"&amp;V205,WeightedMinAge06),MAX(CapacityAge06*'01_Вводные'!$B$218*V205,MeanMinAge06)))</f>
        <v/>
      </c>
      <c r="W142" s="190">
        <f>IF(OR((W58-W86)=0,6&lt;='01_Вводные'!$B$297),0,(W58-W86)*IF('01_Вводные'!$B$239="Да",MeanMinAge06+W205*SUMIF(ThresholdAge06,"&lt;"&amp;W205,WeightedRevAge06)-SUMIF(ThresholdAge06,"&lt;"&amp;W205,WeightedMinAge06),MAX(CapacityAge06*'01_Вводные'!$B$218*W205,MeanMinAge06)))</f>
        <v/>
      </c>
      <c r="X142" s="190">
        <f>IF(OR((X58-X86)=0,6&lt;='01_Вводные'!$B$297),0,(X58-X86)*IF('01_Вводные'!$B$239="Да",MeanMinAge06+X205*SUMIF(ThresholdAge06,"&lt;"&amp;X205,WeightedRevAge06)-SUMIF(ThresholdAge06,"&lt;"&amp;X205,WeightedMinAge06),MAX(CapacityAge06*'01_Вводные'!$B$218*X205,MeanMinAge06)))</f>
        <v/>
      </c>
      <c r="Y142" s="190">
        <f>IF(OR((Y58-Y86)=0,6&lt;='01_Вводные'!$B$297),0,(Y58-Y86)*IF('01_Вводные'!$B$239="Да",MeanMinAge06+Y205*SUMIF(ThresholdAge06,"&lt;"&amp;Y205,WeightedRevAge06)-SUMIF(ThresholdAge06,"&lt;"&amp;Y205,WeightedMinAge06),MAX(CapacityAge06*'01_Вводные'!$B$218*Y205,MeanMinAge06)))</f>
        <v/>
      </c>
      <c r="Z142" s="190">
        <f>IF(OR((Z58-Z86)=0,6&lt;='01_Вводные'!$B$297),0,(Z58-Z86)*IF('01_Вводные'!$B$239="Да",MeanMinAge06+Z205*SUMIF(ThresholdAge06,"&lt;"&amp;Z205,WeightedRevAge06)-SUMIF(ThresholdAge06,"&lt;"&amp;Z205,WeightedMinAge06),MAX(CapacityAge06*'01_Вводные'!$B$218*Z205,MeanMinAge06)))</f>
        <v/>
      </c>
      <c r="AA142" s="190">
        <f>IF(OR((AA58-AA86)=0,6&lt;='01_Вводные'!$B$297),0,(AA58-AA86)*IF('01_Вводные'!$B$239="Да",MeanMinAge06+AA205*SUMIF(ThresholdAge06,"&lt;"&amp;AA205,WeightedRevAge06)-SUMIF(ThresholdAge06,"&lt;"&amp;AA205,WeightedMinAge06),MAX(CapacityAge06*'01_Вводные'!$B$218*AA205,MeanMinAge06)))</f>
        <v/>
      </c>
      <c r="AB142" s="190">
        <f>IF(OR((AB58-AB86)=0,6&lt;='01_Вводные'!$B$297),0,(AB58-AB86)*IF('01_Вводные'!$B$239="Да",MeanMinAge06+AB205*SUMIF(ThresholdAge06,"&lt;"&amp;AB205,WeightedRevAge06)-SUMIF(ThresholdAge06,"&lt;"&amp;AB205,WeightedMinAge06),MAX(CapacityAge06*'01_Вводные'!$B$218*AB205,MeanMinAge06)))</f>
        <v/>
      </c>
      <c r="AC142" s="190">
        <f>IF(OR((AC58-AC86)=0,6&lt;='01_Вводные'!$B$297),0,(AC58-AC86)*IF('01_Вводные'!$B$239="Да",MeanMinAge06+AC205*SUMIF(ThresholdAge06,"&lt;"&amp;AC205,WeightedRevAge06)-SUMIF(ThresholdAge06,"&lt;"&amp;AC205,WeightedMinAge06),MAX(CapacityAge06*'01_Вводные'!$B$218*AC205,MeanMinAge06)))</f>
        <v/>
      </c>
      <c r="AD142" s="190">
        <f>IF(OR((AD58-AD86)=0,6&lt;='01_Вводные'!$B$297),0,(AD58-AD86)*IF('01_Вводные'!$B$239="Да",MeanMinAge06+AD205*SUMIF(ThresholdAge06,"&lt;"&amp;AD205,WeightedRevAge06)-SUMIF(ThresholdAge06,"&lt;"&amp;AD205,WeightedMinAge06),MAX(CapacityAge06*'01_Вводные'!$B$218*AD205,MeanMinAge06)))</f>
        <v/>
      </c>
      <c r="AE142" s="190">
        <f>IF(OR((AE58-AE86)=0,6&lt;='01_Вводные'!$B$297),0,(AE58-AE86)*IF('01_Вводные'!$B$239="Да",MeanMinAge06+AE205*SUMIF(ThresholdAge06,"&lt;"&amp;AE205,WeightedRevAge06)-SUMIF(ThresholdAge06,"&lt;"&amp;AE205,WeightedMinAge06),MAX(CapacityAge06*'01_Вводные'!$B$218*AE205,MeanMinAge06)))</f>
        <v/>
      </c>
      <c r="AF142" s="190">
        <f>IF(OR((AF58-AF86)=0,6&lt;='01_Вводные'!$B$297),0,(AF58-AF86)*IF('01_Вводные'!$B$239="Да",MeanMinAge06+AF205*SUMIF(ThresholdAge06,"&lt;"&amp;AF205,WeightedRevAge06)-SUMIF(ThresholdAge06,"&lt;"&amp;AF205,WeightedMinAge06),MAX(CapacityAge06*'01_Вводные'!$B$218*AF205,MeanMinAge06)))</f>
        <v/>
      </c>
      <c r="AG142" s="190">
        <f>IF(OR((AG58-AG86)=0,6&lt;='01_Вводные'!$B$297),0,(AG58-AG86)*IF('01_Вводные'!$B$239="Да",MeanMinAge06+AG205*SUMIF(ThresholdAge06,"&lt;"&amp;AG205,WeightedRevAge06)-SUMIF(ThresholdAge06,"&lt;"&amp;AG205,WeightedMinAge06),MAX(CapacityAge06*'01_Вводные'!$B$218*AG205,MeanMinAge06)))</f>
        <v/>
      </c>
      <c r="AH142" s="190">
        <f>IF(OR((AH58-AH86)=0,6&lt;='01_Вводные'!$B$297),0,(AH58-AH86)*IF('01_Вводные'!$B$239="Да",MeanMinAge06+AH205*SUMIF(ThresholdAge06,"&lt;"&amp;AH205,WeightedRevAge06)-SUMIF(ThresholdAge06,"&lt;"&amp;AH205,WeightedMinAge06),MAX(CapacityAge06*'01_Вводные'!$B$218*AH205,MeanMinAge06)))</f>
        <v/>
      </c>
      <c r="AI142" s="190">
        <f>IF(OR((AI58-AI86)=0,6&lt;='01_Вводные'!$B$297),0,(AI58-AI86)*IF('01_Вводные'!$B$239="Да",MeanMinAge06+AI205*SUMIF(ThresholdAge06,"&lt;"&amp;AI205,WeightedRevAge06)-SUMIF(ThresholdAge06,"&lt;"&amp;AI205,WeightedMinAge06),MAX(CapacityAge06*'01_Вводные'!$B$218*AI205,MeanMinAge06)))</f>
        <v/>
      </c>
      <c r="AJ142" s="190">
        <f>IF(OR((AJ58-AJ86)=0,6&lt;='01_Вводные'!$B$297),0,(AJ58-AJ86)*IF('01_Вводные'!$B$239="Да",MeanMinAge06+AJ205*SUMIF(ThresholdAge06,"&lt;"&amp;AJ205,WeightedRevAge06)-SUMIF(ThresholdAge06,"&lt;"&amp;AJ205,WeightedMinAge06),MAX(CapacityAge06*'01_Вводные'!$B$218*AJ205,MeanMinAge06)))</f>
        <v/>
      </c>
      <c r="AK142" s="190">
        <f>IF(OR((AK58-AK86)=0,6&lt;='01_Вводные'!$B$297),0,(AK58-AK86)*IF('01_Вводные'!$B$239="Да",MeanMinAge06+AK205*SUMIF(ThresholdAge06,"&lt;"&amp;AK205,WeightedRevAge06)-SUMIF(ThresholdAge06,"&lt;"&amp;AK205,WeightedMinAge06),MAX(CapacityAge06*'01_Вводные'!$B$218*AK205,MeanMinAge06)))</f>
        <v/>
      </c>
      <c r="AL142" s="190">
        <f>IF(OR((AL58-AL86)=0,6&lt;='01_Вводные'!$B$297),0,(AL58-AL86)*IF('01_Вводные'!$B$239="Да",MeanMinAge06+AL205*SUMIF(ThresholdAge06,"&lt;"&amp;AL205,WeightedRevAge06)-SUMIF(ThresholdAge06,"&lt;"&amp;AL205,WeightedMinAge06),MAX(CapacityAge06*'01_Вводные'!$B$218*AL205,MeanMinAge06)))</f>
        <v/>
      </c>
      <c r="AM142" s="190">
        <f>IF(OR((AM58-AM86)=0,6&lt;='01_Вводные'!$B$297),0,(AM58-AM86)*IF('01_Вводные'!$B$239="Да",MeanMinAge06+AM205*SUMIF(ThresholdAge06,"&lt;"&amp;AM205,WeightedRevAge06)-SUMIF(ThresholdAge06,"&lt;"&amp;AM205,WeightedMinAge06),MAX(CapacityAge06*'01_Вводные'!$B$218*AM205,MeanMinAge06)))</f>
        <v/>
      </c>
      <c r="AN142" s="190">
        <f>IF(OR((AN58-AN86)=0,6&lt;='01_Вводные'!$B$297),0,(AN58-AN86)*IF('01_Вводные'!$B$239="Да",MeanMinAge06+AN205*SUMIF(ThresholdAge06,"&lt;"&amp;AN205,WeightedRevAge06)-SUMIF(ThresholdAge06,"&lt;"&amp;AN205,WeightedMinAge06),MAX(CapacityAge06*'01_Вводные'!$B$218*AN205,MeanMinAge06)))</f>
        <v/>
      </c>
      <c r="AO142" s="190">
        <f>IF(OR((AO58-AO86)=0,6&lt;='01_Вводные'!$B$297),0,(AO58-AO86)*IF('01_Вводные'!$B$239="Да",MeanMinAge06+AO205*SUMIF(ThresholdAge06,"&lt;"&amp;AO205,WeightedRevAge06)-SUMIF(ThresholdAge06,"&lt;"&amp;AO205,WeightedMinAge06),MAX(CapacityAge06*'01_Вводные'!$B$218*AO205,MeanMinAge06)))</f>
        <v/>
      </c>
      <c r="AP142" s="190">
        <f>IF(OR((AP58-AP86)=0,6&lt;='01_Вводные'!$B$297),0,(AP58-AP86)*IF('01_Вводные'!$B$239="Да",MeanMinAge06+AP205*SUMIF(ThresholdAge06,"&lt;"&amp;AP205,WeightedRevAge06)-SUMIF(ThresholdAge06,"&lt;"&amp;AP205,WeightedMinAge06),MAX(CapacityAge06*'01_Вводные'!$B$218*AP205,MeanMinAge06)))</f>
        <v/>
      </c>
      <c r="AQ142" s="190">
        <f>IF(OR((AQ58-AQ86)=0,6&lt;='01_Вводные'!$B$297),0,(AQ58-AQ86)*IF('01_Вводные'!$B$239="Да",MeanMinAge06+AQ205*SUMIF(ThresholdAge06,"&lt;"&amp;AQ205,WeightedRevAge06)-SUMIF(ThresholdAge06,"&lt;"&amp;AQ205,WeightedMinAge06),MAX(CapacityAge06*'01_Вводные'!$B$218*AQ205,MeanMinAge06)))</f>
        <v/>
      </c>
      <c r="AR142" s="190">
        <f>IF(OR((AR58-AR86)=0,6&lt;='01_Вводные'!$B$297),0,(AR58-AR86)*IF('01_Вводные'!$B$239="Да",MeanMinAge06+AR205*SUMIF(ThresholdAge06,"&lt;"&amp;AR205,WeightedRevAge06)-SUMIF(ThresholdAge06,"&lt;"&amp;AR205,WeightedMinAge06),MAX(CapacityAge06*'01_Вводные'!$B$218*AR205,MeanMinAge06)))</f>
        <v/>
      </c>
      <c r="AS142" s="190">
        <f>IF(OR((AS58-AS86)=0,6&lt;='01_Вводные'!$B$297),0,(AS58-AS86)*IF('01_Вводные'!$B$239="Да",MeanMinAge06+AS205*SUMIF(ThresholdAge06,"&lt;"&amp;AS205,WeightedRevAge06)-SUMIF(ThresholdAge06,"&lt;"&amp;AS205,WeightedMinAge06),MAX(CapacityAge06*'01_Вводные'!$B$218*AS205,MeanMinAge06)))</f>
        <v/>
      </c>
      <c r="AT142" s="190">
        <f>IF(OR((AT58-AT86)=0,6&lt;='01_Вводные'!$B$297),0,(AT58-AT86)*IF('01_Вводные'!$B$239="Да",MeanMinAge06+AT205*SUMIF(ThresholdAge06,"&lt;"&amp;AT205,WeightedRevAge06)-SUMIF(ThresholdAge06,"&lt;"&amp;AT205,WeightedMinAge06),MAX(CapacityAge06*'01_Вводные'!$B$218*AT205,MeanMinAge06)))</f>
        <v/>
      </c>
      <c r="AU142" s="190">
        <f>IF(OR((AU58-AU86)=0,6&lt;='01_Вводные'!$B$297),0,(AU58-AU86)*IF('01_Вводные'!$B$239="Да",MeanMinAge06+AU205*SUMIF(ThresholdAge06,"&lt;"&amp;AU205,WeightedRevAge06)-SUMIF(ThresholdAge06,"&lt;"&amp;AU205,WeightedMinAge06),MAX(CapacityAge06*'01_Вводные'!$B$218*AU205,MeanMinAge06)))</f>
        <v/>
      </c>
      <c r="AV142" s="190">
        <f>IF(OR((AV58-AV86)=0,6&lt;='01_Вводные'!$B$297),0,(AV58-AV86)*IF('01_Вводные'!$B$239="Да",MeanMinAge06+AV205*SUMIF(ThresholdAge06,"&lt;"&amp;AV205,WeightedRevAge06)-SUMIF(ThresholdAge06,"&lt;"&amp;AV205,WeightedMinAge06),MAX(CapacityAge06*'01_Вводные'!$B$218*AV205,MeanMinAge06)))</f>
        <v/>
      </c>
      <c r="AW142" s="190">
        <f>IF(OR((AW58-AW86)=0,6&lt;='01_Вводные'!$B$297),0,(AW58-AW86)*IF('01_Вводные'!$B$239="Да",MeanMinAge06+AW205*SUMIF(ThresholdAge06,"&lt;"&amp;AW205,WeightedRevAge06)-SUMIF(ThresholdAge06,"&lt;"&amp;AW205,WeightedMinAge06),MAX(CapacityAge06*'01_Вводные'!$B$218*AW205,MeanMinAge06)))</f>
        <v/>
      </c>
      <c r="AX142" s="190">
        <f>IF(OR((AX58-AX86)=0,6&lt;='01_Вводные'!$B$297),0,(AX58-AX86)*IF('01_Вводные'!$B$239="Да",MeanMinAge06+AX205*SUMIF(ThresholdAge06,"&lt;"&amp;AX205,WeightedRevAge06)-SUMIF(ThresholdAge06,"&lt;"&amp;AX205,WeightedMinAge06),MAX(CapacityAge06*'01_Вводные'!$B$218*AX205,MeanMinAge06)))</f>
        <v/>
      </c>
      <c r="AY142" s="190">
        <f>IF(OR((AY58-AY86)=0,6&lt;='01_Вводные'!$B$297),0,(AY58-AY86)*IF('01_Вводные'!$B$239="Да",MeanMinAge06+AY205*SUMIF(ThresholdAge06,"&lt;"&amp;AY205,WeightedRevAge06)-SUMIF(ThresholdAge06,"&lt;"&amp;AY205,WeightedMinAge06),MAX(CapacityAge06*'01_Вводные'!$B$218*AY205,MeanMinAge06)))</f>
        <v/>
      </c>
      <c r="AZ142" s="190">
        <f>IF(OR((AZ58-AZ86)=0,6&lt;='01_Вводные'!$B$297),0,(AZ58-AZ86)*IF('01_Вводные'!$B$239="Да",MeanMinAge06+AZ205*SUMIF(ThresholdAge06,"&lt;"&amp;AZ205,WeightedRevAge06)-SUMIF(ThresholdAge06,"&lt;"&amp;AZ205,WeightedMinAge06),MAX(CapacityAge06*'01_Вводные'!$B$218*AZ205,MeanMinAge06)))</f>
        <v/>
      </c>
      <c r="BA142" s="190">
        <f>IF(OR((BA58-BA86)=0,6&lt;='01_Вводные'!$B$297),0,(BA58-BA86)*IF('01_Вводные'!$B$239="Да",MeanMinAge06+BA205*SUMIF(ThresholdAge06,"&lt;"&amp;BA205,WeightedRevAge06)-SUMIF(ThresholdAge06,"&lt;"&amp;BA205,WeightedMinAge06),MAX(CapacityAge06*'01_Вводные'!$B$218*BA205,MeanMinAge06)))</f>
        <v/>
      </c>
      <c r="BB142" s="190">
        <f>IF(OR((BB58-BB86)=0,6&lt;='01_Вводные'!$B$297),0,(BB58-BB86)*IF('01_Вводные'!$B$239="Да",MeanMinAge06+BB205*SUMIF(ThresholdAge06,"&lt;"&amp;BB205,WeightedRevAge06)-SUMIF(ThresholdAge06,"&lt;"&amp;BB205,WeightedMinAge06),MAX(CapacityAge06*'01_Вводные'!$B$218*BB205,MeanMinAge06)))</f>
        <v/>
      </c>
      <c r="BC142" s="190">
        <f>IF(OR((BC58-BC86)=0,6&lt;='01_Вводные'!$B$297),0,(BC58-BC86)*IF('01_Вводные'!$B$239="Да",MeanMinAge06+BC205*SUMIF(ThresholdAge06,"&lt;"&amp;BC205,WeightedRevAge06)-SUMIF(ThresholdAge06,"&lt;"&amp;BC205,WeightedMinAge06),MAX(CapacityAge06*'01_Вводные'!$B$218*BC205,MeanMinAge06)))</f>
        <v/>
      </c>
      <c r="BD142" s="190">
        <f>IF(OR((BD58-BD86)=0,6&lt;='01_Вводные'!$B$297),0,(BD58-BD86)*IF('01_Вводные'!$B$239="Да",MeanMinAge06+BD205*SUMIF(ThresholdAge06,"&lt;"&amp;BD205,WeightedRevAge06)-SUMIF(ThresholdAge06,"&lt;"&amp;BD205,WeightedMinAge06),MAX(CapacityAge06*'01_Вводные'!$B$218*BD205,MeanMinAge06)))</f>
        <v/>
      </c>
      <c r="BE142" s="190">
        <f>IF(OR((BE58-BE86)=0,6&lt;='01_Вводные'!$B$297),0,(BE58-BE86)*IF('01_Вводные'!$B$239="Да",MeanMinAge06+BE205*SUMIF(ThresholdAge06,"&lt;"&amp;BE205,WeightedRevAge06)-SUMIF(ThresholdAge06,"&lt;"&amp;BE205,WeightedMinAge06),MAX(CapacityAge06*'01_Вводные'!$B$218*BE205,MeanMinAge06)))</f>
        <v/>
      </c>
      <c r="BF142" s="190">
        <f>IF(OR((BF58-BF86)=0,6&lt;='01_Вводные'!$B$297),0,(BF58-BF86)*IF('01_Вводные'!$B$239="Да",MeanMinAge06+BF205*SUMIF(ThresholdAge06,"&lt;"&amp;BF205,WeightedRevAge06)-SUMIF(ThresholdAge06,"&lt;"&amp;BF205,WeightedMinAge06),MAX(CapacityAge06*'01_Вводные'!$B$218*BF205,MeanMinAge06)))</f>
        <v/>
      </c>
      <c r="BG142" s="190">
        <f>IF(OR((BG58-BG86)=0,6&lt;='01_Вводные'!$B$297),0,(BG58-BG86)*IF('01_Вводные'!$B$239="Да",MeanMinAge06+BG205*SUMIF(ThresholdAge06,"&lt;"&amp;BG205,WeightedRevAge06)-SUMIF(ThresholdAge06,"&lt;"&amp;BG205,WeightedMinAge06),MAX(CapacityAge06*'01_Вводные'!$B$218*BG205,MeanMinAge06)))</f>
        <v/>
      </c>
      <c r="BH142" s="190">
        <f>IF(OR((BH58-BH86)=0,6&lt;='01_Вводные'!$B$297),0,(BH58-BH86)*IF('01_Вводные'!$B$239="Да",MeanMinAge06+BH205*SUMIF(ThresholdAge06,"&lt;"&amp;BH205,WeightedRevAge06)-SUMIF(ThresholdAge06,"&lt;"&amp;BH205,WeightedMinAge06),MAX(CapacityAge06*'01_Вводные'!$B$218*BH205,MeanMinAge06)))</f>
        <v/>
      </c>
      <c r="BI142" s="190">
        <f>IF(OR((BI58-BI86)=0,6&lt;='01_Вводные'!$B$297),0,(BI58-BI86)*IF('01_Вводные'!$B$239="Да",MeanMinAge06+BI205*SUMIF(ThresholdAge06,"&lt;"&amp;BI205,WeightedRevAge06)-SUMIF(ThresholdAge06,"&lt;"&amp;BI205,WeightedMinAge06),MAX(CapacityAge06*'01_Вводные'!$B$218*BI205,MeanMinAge06)))</f>
        <v/>
      </c>
      <c r="BJ142" s="190">
        <f>IF(OR((BJ58-BJ86)=0,6&lt;='01_Вводные'!$B$297),0,(BJ58-BJ86)*IF('01_Вводные'!$B$239="Да",MeanMinAge06+BJ205*SUMIF(ThresholdAge06,"&lt;"&amp;BJ205,WeightedRevAge06)-SUMIF(ThresholdAge06,"&lt;"&amp;BJ205,WeightedMinAge06),MAX(CapacityAge06*'01_Вводные'!$B$218*BJ205,MeanMinAge06)))</f>
        <v/>
      </c>
      <c r="BK142" s="190">
        <f>IF(OR((BK58-BK86)=0,6&lt;='01_Вводные'!$B$297),0,(BK58-BK86)*IF('01_Вводные'!$B$239="Да",MeanMinAge06+BK205*SUMIF(ThresholdAge06,"&lt;"&amp;BK205,WeightedRevAge06)-SUMIF(ThresholdAge06,"&lt;"&amp;BK205,WeightedMinAge06),MAX(CapacityAge06*'01_Вводные'!$B$218*BK205,MeanMinAge06)))</f>
        <v/>
      </c>
      <c r="BL142" s="190">
        <f>IF(OR((BL58-BL86)=0,6&lt;='01_Вводные'!$B$297),0,(BL58-BL86)*IF('01_Вводные'!$B$239="Да",MeanMinAge06+BL205*SUMIF(ThresholdAge06,"&lt;"&amp;BL205,WeightedRevAge06)-SUMIF(ThresholdAge06,"&lt;"&amp;BL205,WeightedMinAge06),MAX(CapacityAge06*'01_Вводные'!$B$218*BL205,MeanMinAge06)))</f>
        <v/>
      </c>
      <c r="BM142" s="190">
        <f>IF(OR((BM58-BM86)=0,6&lt;='01_Вводные'!$B$297),0,(BM58-BM86)*IF('01_Вводные'!$B$239="Да",MeanMinAge06+BM205*SUMIF(ThresholdAge06,"&lt;"&amp;BM205,WeightedRevAge06)-SUMIF(ThresholdAge06,"&lt;"&amp;BM205,WeightedMinAge06),MAX(CapacityAge06*'01_Вводные'!$B$218*BM205,MeanMinAge06)))</f>
        <v/>
      </c>
      <c r="BN142" s="190">
        <f>IF(OR((BN58-BN86)=0,6&lt;='01_Вводные'!$B$297),0,(BN58-BN86)*IF('01_Вводные'!$B$239="Да",MeanMinAge06+BN205*SUMIF(ThresholdAge06,"&lt;"&amp;BN205,WeightedRevAge06)-SUMIF(ThresholdAge06,"&lt;"&amp;BN205,WeightedMinAge06),MAX(CapacityAge06*'01_Вводные'!$B$218*BN205,MeanMinAge06)))</f>
        <v/>
      </c>
      <c r="BO142" s="190">
        <f>IF(OR((BO58-BO86)=0,6&lt;='01_Вводные'!$B$297),0,(BO58-BO86)*IF('01_Вводные'!$B$239="Да",MeanMinAge06+BO205*SUMIF(ThresholdAge06,"&lt;"&amp;BO205,WeightedRevAge06)-SUMIF(ThresholdAge06,"&lt;"&amp;BO205,WeightedMinAge06),MAX(CapacityAge06*'01_Вводные'!$B$218*BO205,MeanMinAge06)))</f>
        <v/>
      </c>
    </row>
    <row r="143" hidden="1" outlineLevel="1">
      <c r="A143" t="inlineStr">
        <is>
          <t>7 мес.</t>
        </is>
      </c>
      <c r="B143" s="190">
        <f>IF(OR((B59-B87)=0,7&lt;='01_Вводные'!$B$297),0,(B59-B87)*IF('01_Вводные'!$B$239="Да",MeanMinAge07+B205*SUMIF(ThresholdAge07,"&lt;"&amp;B205,WeightedRevAge07)-SUMIF(ThresholdAge07,"&lt;"&amp;B205,WeightedMinAge07),MAX(CapacityAge07*'01_Вводные'!$B$218*B205,MeanMinAge07)))</f>
        <v/>
      </c>
      <c r="C143" s="190">
        <f>IF(OR((C59-C87)=0,7&lt;='01_Вводные'!$B$297),0,(C59-C87)*IF('01_Вводные'!$B$239="Да",MeanMinAge07+C205*SUMIF(ThresholdAge07,"&lt;"&amp;C205,WeightedRevAge07)-SUMIF(ThresholdAge07,"&lt;"&amp;C205,WeightedMinAge07),MAX(CapacityAge07*'01_Вводные'!$B$218*C205,MeanMinAge07)))</f>
        <v/>
      </c>
      <c r="D143" s="190">
        <f>IF(OR((D59-D87)=0,7&lt;='01_Вводные'!$B$297),0,(D59-D87)*IF('01_Вводные'!$B$239="Да",MeanMinAge07+D205*SUMIF(ThresholdAge07,"&lt;"&amp;D205,WeightedRevAge07)-SUMIF(ThresholdAge07,"&lt;"&amp;D205,WeightedMinAge07),MAX(CapacityAge07*'01_Вводные'!$B$218*D205,MeanMinAge07)))</f>
        <v/>
      </c>
      <c r="E143" s="190">
        <f>IF(OR((E59-E87)=0,7&lt;='01_Вводные'!$B$297),0,(E59-E87)*IF('01_Вводные'!$B$239="Да",MeanMinAge07+E205*SUMIF(ThresholdAge07,"&lt;"&amp;E205,WeightedRevAge07)-SUMIF(ThresholdAge07,"&lt;"&amp;E205,WeightedMinAge07),MAX(CapacityAge07*'01_Вводные'!$B$218*E205,MeanMinAge07)))</f>
        <v/>
      </c>
      <c r="F143" s="190">
        <f>IF(OR((F59-F87)=0,7&lt;='01_Вводные'!$B$297),0,(F59-F87)*IF('01_Вводные'!$B$239="Да",MeanMinAge07+F205*SUMIF(ThresholdAge07,"&lt;"&amp;F205,WeightedRevAge07)-SUMIF(ThresholdAge07,"&lt;"&amp;F205,WeightedMinAge07),MAX(CapacityAge07*'01_Вводные'!$B$218*F205,MeanMinAge07)))</f>
        <v/>
      </c>
      <c r="G143" s="190">
        <f>IF(OR((G59-G87)=0,7&lt;='01_Вводные'!$B$297),0,(G59-G87)*IF('01_Вводные'!$B$239="Да",MeanMinAge07+G205*SUMIF(ThresholdAge07,"&lt;"&amp;G205,WeightedRevAge07)-SUMIF(ThresholdAge07,"&lt;"&amp;G205,WeightedMinAge07),MAX(CapacityAge07*'01_Вводные'!$B$218*G205,MeanMinAge07)))</f>
        <v/>
      </c>
      <c r="H143" s="190">
        <f>IF(OR((H59-H87)=0,7&lt;='01_Вводные'!$B$297),0,(H59-H87)*IF('01_Вводные'!$B$239="Да",MeanMinAge07+H205*SUMIF(ThresholdAge07,"&lt;"&amp;H205,WeightedRevAge07)-SUMIF(ThresholdAge07,"&lt;"&amp;H205,WeightedMinAge07),MAX(CapacityAge07*'01_Вводные'!$B$218*H205,MeanMinAge07)))</f>
        <v/>
      </c>
      <c r="I143" s="190">
        <f>IF(OR((I59-I87)=0,7&lt;='01_Вводные'!$B$297),0,(I59-I87)*IF('01_Вводные'!$B$239="Да",MeanMinAge07+I205*SUMIF(ThresholdAge07,"&lt;"&amp;I205,WeightedRevAge07)-SUMIF(ThresholdAge07,"&lt;"&amp;I205,WeightedMinAge07),MAX(CapacityAge07*'01_Вводные'!$B$218*I205,MeanMinAge07)))</f>
        <v/>
      </c>
      <c r="J143" s="190">
        <f>IF(OR((J59-J87)=0,7&lt;='01_Вводные'!$B$297),0,(J59-J87)*IF('01_Вводные'!$B$239="Да",MeanMinAge07+J205*SUMIF(ThresholdAge07,"&lt;"&amp;J205,WeightedRevAge07)-SUMIF(ThresholdAge07,"&lt;"&amp;J205,WeightedMinAge07),MAX(CapacityAge07*'01_Вводные'!$B$218*J205,MeanMinAge07)))</f>
        <v/>
      </c>
      <c r="K143" s="190">
        <f>IF(OR((K59-K87)=0,7&lt;='01_Вводные'!$B$297),0,(K59-K87)*IF('01_Вводные'!$B$239="Да",MeanMinAge07+K205*SUMIF(ThresholdAge07,"&lt;"&amp;K205,WeightedRevAge07)-SUMIF(ThresholdAge07,"&lt;"&amp;K205,WeightedMinAge07),MAX(CapacityAge07*'01_Вводные'!$B$218*K205,MeanMinAge07)))</f>
        <v/>
      </c>
      <c r="L143" s="190">
        <f>IF(OR((L59-L87)=0,7&lt;='01_Вводные'!$B$297),0,(L59-L87)*IF('01_Вводные'!$B$239="Да",MeanMinAge07+L205*SUMIF(ThresholdAge07,"&lt;"&amp;L205,WeightedRevAge07)-SUMIF(ThresholdAge07,"&lt;"&amp;L205,WeightedMinAge07),MAX(CapacityAge07*'01_Вводные'!$B$218*L205,MeanMinAge07)))</f>
        <v/>
      </c>
      <c r="M143" s="190">
        <f>IF(OR((M59-M87)=0,7&lt;='01_Вводные'!$B$297),0,(M59-M87)*IF('01_Вводные'!$B$239="Да",MeanMinAge07+M205*SUMIF(ThresholdAge07,"&lt;"&amp;M205,WeightedRevAge07)-SUMIF(ThresholdAge07,"&lt;"&amp;M205,WeightedMinAge07),MAX(CapacityAge07*'01_Вводные'!$B$218*M205,MeanMinAge07)))</f>
        <v/>
      </c>
      <c r="N143" s="190">
        <f>IF(OR((N59-N87)=0,7&lt;='01_Вводные'!$B$297),0,(N59-N87)*IF('01_Вводные'!$B$239="Да",MeanMinAge07+N205*SUMIF(ThresholdAge07,"&lt;"&amp;N205,WeightedRevAge07)-SUMIF(ThresholdAge07,"&lt;"&amp;N205,WeightedMinAge07),MAX(CapacityAge07*'01_Вводные'!$B$218*N205,MeanMinAge07)))</f>
        <v/>
      </c>
      <c r="O143" s="190">
        <f>IF(OR((O59-O87)=0,7&lt;='01_Вводные'!$B$297),0,(O59-O87)*IF('01_Вводные'!$B$239="Да",MeanMinAge07+O205*SUMIF(ThresholdAge07,"&lt;"&amp;O205,WeightedRevAge07)-SUMIF(ThresholdAge07,"&lt;"&amp;O205,WeightedMinAge07),MAX(CapacityAge07*'01_Вводные'!$B$218*O205,MeanMinAge07)))</f>
        <v/>
      </c>
      <c r="P143" s="190">
        <f>IF(OR((P59-P87)=0,7&lt;='01_Вводные'!$B$297),0,(P59-P87)*IF('01_Вводные'!$B$239="Да",MeanMinAge07+P205*SUMIF(ThresholdAge07,"&lt;"&amp;P205,WeightedRevAge07)-SUMIF(ThresholdAge07,"&lt;"&amp;P205,WeightedMinAge07),MAX(CapacityAge07*'01_Вводные'!$B$218*P205,MeanMinAge07)))</f>
        <v/>
      </c>
      <c r="Q143" s="190">
        <f>IF(OR((Q59-Q87)=0,7&lt;='01_Вводные'!$B$297),0,(Q59-Q87)*IF('01_Вводные'!$B$239="Да",MeanMinAge07+Q205*SUMIF(ThresholdAge07,"&lt;"&amp;Q205,WeightedRevAge07)-SUMIF(ThresholdAge07,"&lt;"&amp;Q205,WeightedMinAge07),MAX(CapacityAge07*'01_Вводные'!$B$218*Q205,MeanMinAge07)))</f>
        <v/>
      </c>
      <c r="R143" s="190">
        <f>IF(OR((R59-R87)=0,7&lt;='01_Вводные'!$B$297),0,(R59-R87)*IF('01_Вводные'!$B$239="Да",MeanMinAge07+R205*SUMIF(ThresholdAge07,"&lt;"&amp;R205,WeightedRevAge07)-SUMIF(ThresholdAge07,"&lt;"&amp;R205,WeightedMinAge07),MAX(CapacityAge07*'01_Вводные'!$B$218*R205,MeanMinAge07)))</f>
        <v/>
      </c>
      <c r="S143" s="190">
        <f>IF(OR((S59-S87)=0,7&lt;='01_Вводные'!$B$297),0,(S59-S87)*IF('01_Вводные'!$B$239="Да",MeanMinAge07+S205*SUMIF(ThresholdAge07,"&lt;"&amp;S205,WeightedRevAge07)-SUMIF(ThresholdAge07,"&lt;"&amp;S205,WeightedMinAge07),MAX(CapacityAge07*'01_Вводные'!$B$218*S205,MeanMinAge07)))</f>
        <v/>
      </c>
      <c r="T143" s="190">
        <f>IF(OR((T59-T87)=0,7&lt;='01_Вводные'!$B$297),0,(T59-T87)*IF('01_Вводные'!$B$239="Да",MeanMinAge07+T205*SUMIF(ThresholdAge07,"&lt;"&amp;T205,WeightedRevAge07)-SUMIF(ThresholdAge07,"&lt;"&amp;T205,WeightedMinAge07),MAX(CapacityAge07*'01_Вводные'!$B$218*T205,MeanMinAge07)))</f>
        <v/>
      </c>
      <c r="U143" s="190">
        <f>IF(OR((U59-U87)=0,7&lt;='01_Вводные'!$B$297),0,(U59-U87)*IF('01_Вводные'!$B$239="Да",MeanMinAge07+U205*SUMIF(ThresholdAge07,"&lt;"&amp;U205,WeightedRevAge07)-SUMIF(ThresholdAge07,"&lt;"&amp;U205,WeightedMinAge07),MAX(CapacityAge07*'01_Вводные'!$B$218*U205,MeanMinAge07)))</f>
        <v/>
      </c>
      <c r="V143" s="190">
        <f>IF(OR((V59-V87)=0,7&lt;='01_Вводные'!$B$297),0,(V59-V87)*IF('01_Вводные'!$B$239="Да",MeanMinAge07+V205*SUMIF(ThresholdAge07,"&lt;"&amp;V205,WeightedRevAge07)-SUMIF(ThresholdAge07,"&lt;"&amp;V205,WeightedMinAge07),MAX(CapacityAge07*'01_Вводные'!$B$218*V205,MeanMinAge07)))</f>
        <v/>
      </c>
      <c r="W143" s="190">
        <f>IF(OR((W59-W87)=0,7&lt;='01_Вводные'!$B$297),0,(W59-W87)*IF('01_Вводные'!$B$239="Да",MeanMinAge07+W205*SUMIF(ThresholdAge07,"&lt;"&amp;W205,WeightedRevAge07)-SUMIF(ThresholdAge07,"&lt;"&amp;W205,WeightedMinAge07),MAX(CapacityAge07*'01_Вводные'!$B$218*W205,MeanMinAge07)))</f>
        <v/>
      </c>
      <c r="X143" s="190">
        <f>IF(OR((X59-X87)=0,7&lt;='01_Вводные'!$B$297),0,(X59-X87)*IF('01_Вводные'!$B$239="Да",MeanMinAge07+X205*SUMIF(ThresholdAge07,"&lt;"&amp;X205,WeightedRevAge07)-SUMIF(ThresholdAge07,"&lt;"&amp;X205,WeightedMinAge07),MAX(CapacityAge07*'01_Вводные'!$B$218*X205,MeanMinAge07)))</f>
        <v/>
      </c>
      <c r="Y143" s="190">
        <f>IF(OR((Y59-Y87)=0,7&lt;='01_Вводные'!$B$297),0,(Y59-Y87)*IF('01_Вводные'!$B$239="Да",MeanMinAge07+Y205*SUMIF(ThresholdAge07,"&lt;"&amp;Y205,WeightedRevAge07)-SUMIF(ThresholdAge07,"&lt;"&amp;Y205,WeightedMinAge07),MAX(CapacityAge07*'01_Вводные'!$B$218*Y205,MeanMinAge07)))</f>
        <v/>
      </c>
      <c r="Z143" s="190">
        <f>IF(OR((Z59-Z87)=0,7&lt;='01_Вводные'!$B$297),0,(Z59-Z87)*IF('01_Вводные'!$B$239="Да",MeanMinAge07+Z205*SUMIF(ThresholdAge07,"&lt;"&amp;Z205,WeightedRevAge07)-SUMIF(ThresholdAge07,"&lt;"&amp;Z205,WeightedMinAge07),MAX(CapacityAge07*'01_Вводные'!$B$218*Z205,MeanMinAge07)))</f>
        <v/>
      </c>
      <c r="AA143" s="190">
        <f>IF(OR((AA59-AA87)=0,7&lt;='01_Вводные'!$B$297),0,(AA59-AA87)*IF('01_Вводные'!$B$239="Да",MeanMinAge07+AA205*SUMIF(ThresholdAge07,"&lt;"&amp;AA205,WeightedRevAge07)-SUMIF(ThresholdAge07,"&lt;"&amp;AA205,WeightedMinAge07),MAX(CapacityAge07*'01_Вводные'!$B$218*AA205,MeanMinAge07)))</f>
        <v/>
      </c>
      <c r="AB143" s="190">
        <f>IF(OR((AB59-AB87)=0,7&lt;='01_Вводные'!$B$297),0,(AB59-AB87)*IF('01_Вводные'!$B$239="Да",MeanMinAge07+AB205*SUMIF(ThresholdAge07,"&lt;"&amp;AB205,WeightedRevAge07)-SUMIF(ThresholdAge07,"&lt;"&amp;AB205,WeightedMinAge07),MAX(CapacityAge07*'01_Вводные'!$B$218*AB205,MeanMinAge07)))</f>
        <v/>
      </c>
      <c r="AC143" s="190">
        <f>IF(OR((AC59-AC87)=0,7&lt;='01_Вводные'!$B$297),0,(AC59-AC87)*IF('01_Вводные'!$B$239="Да",MeanMinAge07+AC205*SUMIF(ThresholdAge07,"&lt;"&amp;AC205,WeightedRevAge07)-SUMIF(ThresholdAge07,"&lt;"&amp;AC205,WeightedMinAge07),MAX(CapacityAge07*'01_Вводные'!$B$218*AC205,MeanMinAge07)))</f>
        <v/>
      </c>
      <c r="AD143" s="190">
        <f>IF(OR((AD59-AD87)=0,7&lt;='01_Вводные'!$B$297),0,(AD59-AD87)*IF('01_Вводные'!$B$239="Да",MeanMinAge07+AD205*SUMIF(ThresholdAge07,"&lt;"&amp;AD205,WeightedRevAge07)-SUMIF(ThresholdAge07,"&lt;"&amp;AD205,WeightedMinAge07),MAX(CapacityAge07*'01_Вводные'!$B$218*AD205,MeanMinAge07)))</f>
        <v/>
      </c>
      <c r="AE143" s="190">
        <f>IF(OR((AE59-AE87)=0,7&lt;='01_Вводные'!$B$297),0,(AE59-AE87)*IF('01_Вводные'!$B$239="Да",MeanMinAge07+AE205*SUMIF(ThresholdAge07,"&lt;"&amp;AE205,WeightedRevAge07)-SUMIF(ThresholdAge07,"&lt;"&amp;AE205,WeightedMinAge07),MAX(CapacityAge07*'01_Вводные'!$B$218*AE205,MeanMinAge07)))</f>
        <v/>
      </c>
      <c r="AF143" s="190">
        <f>IF(OR((AF59-AF87)=0,7&lt;='01_Вводные'!$B$297),0,(AF59-AF87)*IF('01_Вводные'!$B$239="Да",MeanMinAge07+AF205*SUMIF(ThresholdAge07,"&lt;"&amp;AF205,WeightedRevAge07)-SUMIF(ThresholdAge07,"&lt;"&amp;AF205,WeightedMinAge07),MAX(CapacityAge07*'01_Вводные'!$B$218*AF205,MeanMinAge07)))</f>
        <v/>
      </c>
      <c r="AG143" s="190">
        <f>IF(OR((AG59-AG87)=0,7&lt;='01_Вводные'!$B$297),0,(AG59-AG87)*IF('01_Вводные'!$B$239="Да",MeanMinAge07+AG205*SUMIF(ThresholdAge07,"&lt;"&amp;AG205,WeightedRevAge07)-SUMIF(ThresholdAge07,"&lt;"&amp;AG205,WeightedMinAge07),MAX(CapacityAge07*'01_Вводные'!$B$218*AG205,MeanMinAge07)))</f>
        <v/>
      </c>
      <c r="AH143" s="190">
        <f>IF(OR((AH59-AH87)=0,7&lt;='01_Вводные'!$B$297),0,(AH59-AH87)*IF('01_Вводные'!$B$239="Да",MeanMinAge07+AH205*SUMIF(ThresholdAge07,"&lt;"&amp;AH205,WeightedRevAge07)-SUMIF(ThresholdAge07,"&lt;"&amp;AH205,WeightedMinAge07),MAX(CapacityAge07*'01_Вводные'!$B$218*AH205,MeanMinAge07)))</f>
        <v/>
      </c>
      <c r="AI143" s="190">
        <f>IF(OR((AI59-AI87)=0,7&lt;='01_Вводные'!$B$297),0,(AI59-AI87)*IF('01_Вводные'!$B$239="Да",MeanMinAge07+AI205*SUMIF(ThresholdAge07,"&lt;"&amp;AI205,WeightedRevAge07)-SUMIF(ThresholdAge07,"&lt;"&amp;AI205,WeightedMinAge07),MAX(CapacityAge07*'01_Вводные'!$B$218*AI205,MeanMinAge07)))</f>
        <v/>
      </c>
      <c r="AJ143" s="190">
        <f>IF(OR((AJ59-AJ87)=0,7&lt;='01_Вводные'!$B$297),0,(AJ59-AJ87)*IF('01_Вводные'!$B$239="Да",MeanMinAge07+AJ205*SUMIF(ThresholdAge07,"&lt;"&amp;AJ205,WeightedRevAge07)-SUMIF(ThresholdAge07,"&lt;"&amp;AJ205,WeightedMinAge07),MAX(CapacityAge07*'01_Вводные'!$B$218*AJ205,MeanMinAge07)))</f>
        <v/>
      </c>
      <c r="AK143" s="190">
        <f>IF(OR((AK59-AK87)=0,7&lt;='01_Вводные'!$B$297),0,(AK59-AK87)*IF('01_Вводные'!$B$239="Да",MeanMinAge07+AK205*SUMIF(ThresholdAge07,"&lt;"&amp;AK205,WeightedRevAge07)-SUMIF(ThresholdAge07,"&lt;"&amp;AK205,WeightedMinAge07),MAX(CapacityAge07*'01_Вводные'!$B$218*AK205,MeanMinAge07)))</f>
        <v/>
      </c>
      <c r="AL143" s="190">
        <f>IF(OR((AL59-AL87)=0,7&lt;='01_Вводные'!$B$297),0,(AL59-AL87)*IF('01_Вводные'!$B$239="Да",MeanMinAge07+AL205*SUMIF(ThresholdAge07,"&lt;"&amp;AL205,WeightedRevAge07)-SUMIF(ThresholdAge07,"&lt;"&amp;AL205,WeightedMinAge07),MAX(CapacityAge07*'01_Вводные'!$B$218*AL205,MeanMinAge07)))</f>
        <v/>
      </c>
      <c r="AM143" s="190">
        <f>IF(OR((AM59-AM87)=0,7&lt;='01_Вводные'!$B$297),0,(AM59-AM87)*IF('01_Вводные'!$B$239="Да",MeanMinAge07+AM205*SUMIF(ThresholdAge07,"&lt;"&amp;AM205,WeightedRevAge07)-SUMIF(ThresholdAge07,"&lt;"&amp;AM205,WeightedMinAge07),MAX(CapacityAge07*'01_Вводные'!$B$218*AM205,MeanMinAge07)))</f>
        <v/>
      </c>
      <c r="AN143" s="190">
        <f>IF(OR((AN59-AN87)=0,7&lt;='01_Вводные'!$B$297),0,(AN59-AN87)*IF('01_Вводные'!$B$239="Да",MeanMinAge07+AN205*SUMIF(ThresholdAge07,"&lt;"&amp;AN205,WeightedRevAge07)-SUMIF(ThresholdAge07,"&lt;"&amp;AN205,WeightedMinAge07),MAX(CapacityAge07*'01_Вводные'!$B$218*AN205,MeanMinAge07)))</f>
        <v/>
      </c>
      <c r="AO143" s="190">
        <f>IF(OR((AO59-AO87)=0,7&lt;='01_Вводные'!$B$297),0,(AO59-AO87)*IF('01_Вводные'!$B$239="Да",MeanMinAge07+AO205*SUMIF(ThresholdAge07,"&lt;"&amp;AO205,WeightedRevAge07)-SUMIF(ThresholdAge07,"&lt;"&amp;AO205,WeightedMinAge07),MAX(CapacityAge07*'01_Вводные'!$B$218*AO205,MeanMinAge07)))</f>
        <v/>
      </c>
      <c r="AP143" s="190">
        <f>IF(OR((AP59-AP87)=0,7&lt;='01_Вводные'!$B$297),0,(AP59-AP87)*IF('01_Вводные'!$B$239="Да",MeanMinAge07+AP205*SUMIF(ThresholdAge07,"&lt;"&amp;AP205,WeightedRevAge07)-SUMIF(ThresholdAge07,"&lt;"&amp;AP205,WeightedMinAge07),MAX(CapacityAge07*'01_Вводные'!$B$218*AP205,MeanMinAge07)))</f>
        <v/>
      </c>
      <c r="AQ143" s="190">
        <f>IF(OR((AQ59-AQ87)=0,7&lt;='01_Вводные'!$B$297),0,(AQ59-AQ87)*IF('01_Вводные'!$B$239="Да",MeanMinAge07+AQ205*SUMIF(ThresholdAge07,"&lt;"&amp;AQ205,WeightedRevAge07)-SUMIF(ThresholdAge07,"&lt;"&amp;AQ205,WeightedMinAge07),MAX(CapacityAge07*'01_Вводные'!$B$218*AQ205,MeanMinAge07)))</f>
        <v/>
      </c>
      <c r="AR143" s="190">
        <f>IF(OR((AR59-AR87)=0,7&lt;='01_Вводные'!$B$297),0,(AR59-AR87)*IF('01_Вводные'!$B$239="Да",MeanMinAge07+AR205*SUMIF(ThresholdAge07,"&lt;"&amp;AR205,WeightedRevAge07)-SUMIF(ThresholdAge07,"&lt;"&amp;AR205,WeightedMinAge07),MAX(CapacityAge07*'01_Вводные'!$B$218*AR205,MeanMinAge07)))</f>
        <v/>
      </c>
      <c r="AS143" s="190">
        <f>IF(OR((AS59-AS87)=0,7&lt;='01_Вводные'!$B$297),0,(AS59-AS87)*IF('01_Вводные'!$B$239="Да",MeanMinAge07+AS205*SUMIF(ThresholdAge07,"&lt;"&amp;AS205,WeightedRevAge07)-SUMIF(ThresholdAge07,"&lt;"&amp;AS205,WeightedMinAge07),MAX(CapacityAge07*'01_Вводные'!$B$218*AS205,MeanMinAge07)))</f>
        <v/>
      </c>
      <c r="AT143" s="190">
        <f>IF(OR((AT59-AT87)=0,7&lt;='01_Вводные'!$B$297),0,(AT59-AT87)*IF('01_Вводные'!$B$239="Да",MeanMinAge07+AT205*SUMIF(ThresholdAge07,"&lt;"&amp;AT205,WeightedRevAge07)-SUMIF(ThresholdAge07,"&lt;"&amp;AT205,WeightedMinAge07),MAX(CapacityAge07*'01_Вводные'!$B$218*AT205,MeanMinAge07)))</f>
        <v/>
      </c>
      <c r="AU143" s="190">
        <f>IF(OR((AU59-AU87)=0,7&lt;='01_Вводные'!$B$297),0,(AU59-AU87)*IF('01_Вводные'!$B$239="Да",MeanMinAge07+AU205*SUMIF(ThresholdAge07,"&lt;"&amp;AU205,WeightedRevAge07)-SUMIF(ThresholdAge07,"&lt;"&amp;AU205,WeightedMinAge07),MAX(CapacityAge07*'01_Вводные'!$B$218*AU205,MeanMinAge07)))</f>
        <v/>
      </c>
      <c r="AV143" s="190">
        <f>IF(OR((AV59-AV87)=0,7&lt;='01_Вводные'!$B$297),0,(AV59-AV87)*IF('01_Вводные'!$B$239="Да",MeanMinAge07+AV205*SUMIF(ThresholdAge07,"&lt;"&amp;AV205,WeightedRevAge07)-SUMIF(ThresholdAge07,"&lt;"&amp;AV205,WeightedMinAge07),MAX(CapacityAge07*'01_Вводные'!$B$218*AV205,MeanMinAge07)))</f>
        <v/>
      </c>
      <c r="AW143" s="190">
        <f>IF(OR((AW59-AW87)=0,7&lt;='01_Вводные'!$B$297),0,(AW59-AW87)*IF('01_Вводные'!$B$239="Да",MeanMinAge07+AW205*SUMIF(ThresholdAge07,"&lt;"&amp;AW205,WeightedRevAge07)-SUMIF(ThresholdAge07,"&lt;"&amp;AW205,WeightedMinAge07),MAX(CapacityAge07*'01_Вводные'!$B$218*AW205,MeanMinAge07)))</f>
        <v/>
      </c>
      <c r="AX143" s="190">
        <f>IF(OR((AX59-AX87)=0,7&lt;='01_Вводные'!$B$297),0,(AX59-AX87)*IF('01_Вводные'!$B$239="Да",MeanMinAge07+AX205*SUMIF(ThresholdAge07,"&lt;"&amp;AX205,WeightedRevAge07)-SUMIF(ThresholdAge07,"&lt;"&amp;AX205,WeightedMinAge07),MAX(CapacityAge07*'01_Вводные'!$B$218*AX205,MeanMinAge07)))</f>
        <v/>
      </c>
      <c r="AY143" s="190">
        <f>IF(OR((AY59-AY87)=0,7&lt;='01_Вводные'!$B$297),0,(AY59-AY87)*IF('01_Вводные'!$B$239="Да",MeanMinAge07+AY205*SUMIF(ThresholdAge07,"&lt;"&amp;AY205,WeightedRevAge07)-SUMIF(ThresholdAge07,"&lt;"&amp;AY205,WeightedMinAge07),MAX(CapacityAge07*'01_Вводные'!$B$218*AY205,MeanMinAge07)))</f>
        <v/>
      </c>
      <c r="AZ143" s="190">
        <f>IF(OR((AZ59-AZ87)=0,7&lt;='01_Вводные'!$B$297),0,(AZ59-AZ87)*IF('01_Вводные'!$B$239="Да",MeanMinAge07+AZ205*SUMIF(ThresholdAge07,"&lt;"&amp;AZ205,WeightedRevAge07)-SUMIF(ThresholdAge07,"&lt;"&amp;AZ205,WeightedMinAge07),MAX(CapacityAge07*'01_Вводные'!$B$218*AZ205,MeanMinAge07)))</f>
        <v/>
      </c>
      <c r="BA143" s="190">
        <f>IF(OR((BA59-BA87)=0,7&lt;='01_Вводные'!$B$297),0,(BA59-BA87)*IF('01_Вводные'!$B$239="Да",MeanMinAge07+BA205*SUMIF(ThresholdAge07,"&lt;"&amp;BA205,WeightedRevAge07)-SUMIF(ThresholdAge07,"&lt;"&amp;BA205,WeightedMinAge07),MAX(CapacityAge07*'01_Вводные'!$B$218*BA205,MeanMinAge07)))</f>
        <v/>
      </c>
      <c r="BB143" s="190">
        <f>IF(OR((BB59-BB87)=0,7&lt;='01_Вводные'!$B$297),0,(BB59-BB87)*IF('01_Вводные'!$B$239="Да",MeanMinAge07+BB205*SUMIF(ThresholdAge07,"&lt;"&amp;BB205,WeightedRevAge07)-SUMIF(ThresholdAge07,"&lt;"&amp;BB205,WeightedMinAge07),MAX(CapacityAge07*'01_Вводные'!$B$218*BB205,MeanMinAge07)))</f>
        <v/>
      </c>
      <c r="BC143" s="190">
        <f>IF(OR((BC59-BC87)=0,7&lt;='01_Вводные'!$B$297),0,(BC59-BC87)*IF('01_Вводные'!$B$239="Да",MeanMinAge07+BC205*SUMIF(ThresholdAge07,"&lt;"&amp;BC205,WeightedRevAge07)-SUMIF(ThresholdAge07,"&lt;"&amp;BC205,WeightedMinAge07),MAX(CapacityAge07*'01_Вводные'!$B$218*BC205,MeanMinAge07)))</f>
        <v/>
      </c>
      <c r="BD143" s="190">
        <f>IF(OR((BD59-BD87)=0,7&lt;='01_Вводные'!$B$297),0,(BD59-BD87)*IF('01_Вводные'!$B$239="Да",MeanMinAge07+BD205*SUMIF(ThresholdAge07,"&lt;"&amp;BD205,WeightedRevAge07)-SUMIF(ThresholdAge07,"&lt;"&amp;BD205,WeightedMinAge07),MAX(CapacityAge07*'01_Вводные'!$B$218*BD205,MeanMinAge07)))</f>
        <v/>
      </c>
      <c r="BE143" s="190">
        <f>IF(OR((BE59-BE87)=0,7&lt;='01_Вводные'!$B$297),0,(BE59-BE87)*IF('01_Вводные'!$B$239="Да",MeanMinAge07+BE205*SUMIF(ThresholdAge07,"&lt;"&amp;BE205,WeightedRevAge07)-SUMIF(ThresholdAge07,"&lt;"&amp;BE205,WeightedMinAge07),MAX(CapacityAge07*'01_Вводные'!$B$218*BE205,MeanMinAge07)))</f>
        <v/>
      </c>
      <c r="BF143" s="190">
        <f>IF(OR((BF59-BF87)=0,7&lt;='01_Вводные'!$B$297),0,(BF59-BF87)*IF('01_Вводные'!$B$239="Да",MeanMinAge07+BF205*SUMIF(ThresholdAge07,"&lt;"&amp;BF205,WeightedRevAge07)-SUMIF(ThresholdAge07,"&lt;"&amp;BF205,WeightedMinAge07),MAX(CapacityAge07*'01_Вводные'!$B$218*BF205,MeanMinAge07)))</f>
        <v/>
      </c>
      <c r="BG143" s="190">
        <f>IF(OR((BG59-BG87)=0,7&lt;='01_Вводные'!$B$297),0,(BG59-BG87)*IF('01_Вводные'!$B$239="Да",MeanMinAge07+BG205*SUMIF(ThresholdAge07,"&lt;"&amp;BG205,WeightedRevAge07)-SUMIF(ThresholdAge07,"&lt;"&amp;BG205,WeightedMinAge07),MAX(CapacityAge07*'01_Вводные'!$B$218*BG205,MeanMinAge07)))</f>
        <v/>
      </c>
      <c r="BH143" s="190">
        <f>IF(OR((BH59-BH87)=0,7&lt;='01_Вводные'!$B$297),0,(BH59-BH87)*IF('01_Вводные'!$B$239="Да",MeanMinAge07+BH205*SUMIF(ThresholdAge07,"&lt;"&amp;BH205,WeightedRevAge07)-SUMIF(ThresholdAge07,"&lt;"&amp;BH205,WeightedMinAge07),MAX(CapacityAge07*'01_Вводные'!$B$218*BH205,MeanMinAge07)))</f>
        <v/>
      </c>
      <c r="BI143" s="190">
        <f>IF(OR((BI59-BI87)=0,7&lt;='01_Вводные'!$B$297),0,(BI59-BI87)*IF('01_Вводные'!$B$239="Да",MeanMinAge07+BI205*SUMIF(ThresholdAge07,"&lt;"&amp;BI205,WeightedRevAge07)-SUMIF(ThresholdAge07,"&lt;"&amp;BI205,WeightedMinAge07),MAX(CapacityAge07*'01_Вводные'!$B$218*BI205,MeanMinAge07)))</f>
        <v/>
      </c>
      <c r="BJ143" s="190">
        <f>IF(OR((BJ59-BJ87)=0,7&lt;='01_Вводные'!$B$297),0,(BJ59-BJ87)*IF('01_Вводные'!$B$239="Да",MeanMinAge07+BJ205*SUMIF(ThresholdAge07,"&lt;"&amp;BJ205,WeightedRevAge07)-SUMIF(ThresholdAge07,"&lt;"&amp;BJ205,WeightedMinAge07),MAX(CapacityAge07*'01_Вводные'!$B$218*BJ205,MeanMinAge07)))</f>
        <v/>
      </c>
      <c r="BK143" s="190">
        <f>IF(OR((BK59-BK87)=0,7&lt;='01_Вводные'!$B$297),0,(BK59-BK87)*IF('01_Вводные'!$B$239="Да",MeanMinAge07+BK205*SUMIF(ThresholdAge07,"&lt;"&amp;BK205,WeightedRevAge07)-SUMIF(ThresholdAge07,"&lt;"&amp;BK205,WeightedMinAge07),MAX(CapacityAge07*'01_Вводные'!$B$218*BK205,MeanMinAge07)))</f>
        <v/>
      </c>
      <c r="BL143" s="190">
        <f>IF(OR((BL59-BL87)=0,7&lt;='01_Вводные'!$B$297),0,(BL59-BL87)*IF('01_Вводные'!$B$239="Да",MeanMinAge07+BL205*SUMIF(ThresholdAge07,"&lt;"&amp;BL205,WeightedRevAge07)-SUMIF(ThresholdAge07,"&lt;"&amp;BL205,WeightedMinAge07),MAX(CapacityAge07*'01_Вводные'!$B$218*BL205,MeanMinAge07)))</f>
        <v/>
      </c>
      <c r="BM143" s="190">
        <f>IF(OR((BM59-BM87)=0,7&lt;='01_Вводные'!$B$297),0,(BM59-BM87)*IF('01_Вводные'!$B$239="Да",MeanMinAge07+BM205*SUMIF(ThresholdAge07,"&lt;"&amp;BM205,WeightedRevAge07)-SUMIF(ThresholdAge07,"&lt;"&amp;BM205,WeightedMinAge07),MAX(CapacityAge07*'01_Вводные'!$B$218*BM205,MeanMinAge07)))</f>
        <v/>
      </c>
      <c r="BN143" s="190">
        <f>IF(OR((BN59-BN87)=0,7&lt;='01_Вводные'!$B$297),0,(BN59-BN87)*IF('01_Вводные'!$B$239="Да",MeanMinAge07+BN205*SUMIF(ThresholdAge07,"&lt;"&amp;BN205,WeightedRevAge07)-SUMIF(ThresholdAge07,"&lt;"&amp;BN205,WeightedMinAge07),MAX(CapacityAge07*'01_Вводные'!$B$218*BN205,MeanMinAge07)))</f>
        <v/>
      </c>
      <c r="BO143" s="190">
        <f>IF(OR((BO59-BO87)=0,7&lt;='01_Вводные'!$B$297),0,(BO59-BO87)*IF('01_Вводные'!$B$239="Да",MeanMinAge07+BO205*SUMIF(ThresholdAge07,"&lt;"&amp;BO205,WeightedRevAge07)-SUMIF(ThresholdAge07,"&lt;"&amp;BO205,WeightedMinAge07),MAX(CapacityAge07*'01_Вводные'!$B$218*BO205,MeanMinAge07)))</f>
        <v/>
      </c>
    </row>
    <row r="144" hidden="1" outlineLevel="1">
      <c r="A144" t="inlineStr">
        <is>
          <t>8 мес.</t>
        </is>
      </c>
      <c r="B144" s="190">
        <f>IF(OR((B60-B88)=0,8&lt;='01_Вводные'!$B$297),0,(B60-B88)*IF('01_Вводные'!$B$239="Да",MeanMinAge08+B205*SUMIF(ThresholdAge08,"&lt;"&amp;B205,WeightedRevAge08)-SUMIF(ThresholdAge08,"&lt;"&amp;B205,WeightedMinAge08),MAX(CapacityAge08*'01_Вводные'!$B$218*B205,MeanMinAge08)))</f>
        <v/>
      </c>
      <c r="C144" s="190">
        <f>IF(OR((C60-C88)=0,8&lt;='01_Вводные'!$B$297),0,(C60-C88)*IF('01_Вводные'!$B$239="Да",MeanMinAge08+C205*SUMIF(ThresholdAge08,"&lt;"&amp;C205,WeightedRevAge08)-SUMIF(ThresholdAge08,"&lt;"&amp;C205,WeightedMinAge08),MAX(CapacityAge08*'01_Вводные'!$B$218*C205,MeanMinAge08)))</f>
        <v/>
      </c>
      <c r="D144" s="190">
        <f>IF(OR((D60-D88)=0,8&lt;='01_Вводные'!$B$297),0,(D60-D88)*IF('01_Вводные'!$B$239="Да",MeanMinAge08+D205*SUMIF(ThresholdAge08,"&lt;"&amp;D205,WeightedRevAge08)-SUMIF(ThresholdAge08,"&lt;"&amp;D205,WeightedMinAge08),MAX(CapacityAge08*'01_Вводные'!$B$218*D205,MeanMinAge08)))</f>
        <v/>
      </c>
      <c r="E144" s="190">
        <f>IF(OR((E60-E88)=0,8&lt;='01_Вводные'!$B$297),0,(E60-E88)*IF('01_Вводные'!$B$239="Да",MeanMinAge08+E205*SUMIF(ThresholdAge08,"&lt;"&amp;E205,WeightedRevAge08)-SUMIF(ThresholdAge08,"&lt;"&amp;E205,WeightedMinAge08),MAX(CapacityAge08*'01_Вводные'!$B$218*E205,MeanMinAge08)))</f>
        <v/>
      </c>
      <c r="F144" s="190">
        <f>IF(OR((F60-F88)=0,8&lt;='01_Вводные'!$B$297),0,(F60-F88)*IF('01_Вводные'!$B$239="Да",MeanMinAge08+F205*SUMIF(ThresholdAge08,"&lt;"&amp;F205,WeightedRevAge08)-SUMIF(ThresholdAge08,"&lt;"&amp;F205,WeightedMinAge08),MAX(CapacityAge08*'01_Вводные'!$B$218*F205,MeanMinAge08)))</f>
        <v/>
      </c>
      <c r="G144" s="190">
        <f>IF(OR((G60-G88)=0,8&lt;='01_Вводные'!$B$297),0,(G60-G88)*IF('01_Вводные'!$B$239="Да",MeanMinAge08+G205*SUMIF(ThresholdAge08,"&lt;"&amp;G205,WeightedRevAge08)-SUMIF(ThresholdAge08,"&lt;"&amp;G205,WeightedMinAge08),MAX(CapacityAge08*'01_Вводные'!$B$218*G205,MeanMinAge08)))</f>
        <v/>
      </c>
      <c r="H144" s="190">
        <f>IF(OR((H60-H88)=0,8&lt;='01_Вводные'!$B$297),0,(H60-H88)*IF('01_Вводные'!$B$239="Да",MeanMinAge08+H205*SUMIF(ThresholdAge08,"&lt;"&amp;H205,WeightedRevAge08)-SUMIF(ThresholdAge08,"&lt;"&amp;H205,WeightedMinAge08),MAX(CapacityAge08*'01_Вводные'!$B$218*H205,MeanMinAge08)))</f>
        <v/>
      </c>
      <c r="I144" s="190">
        <f>IF(OR((I60-I88)=0,8&lt;='01_Вводные'!$B$297),0,(I60-I88)*IF('01_Вводные'!$B$239="Да",MeanMinAge08+I205*SUMIF(ThresholdAge08,"&lt;"&amp;I205,WeightedRevAge08)-SUMIF(ThresholdAge08,"&lt;"&amp;I205,WeightedMinAge08),MAX(CapacityAge08*'01_Вводные'!$B$218*I205,MeanMinAge08)))</f>
        <v/>
      </c>
      <c r="J144" s="190">
        <f>IF(OR((J60-J88)=0,8&lt;='01_Вводные'!$B$297),0,(J60-J88)*IF('01_Вводные'!$B$239="Да",MeanMinAge08+J205*SUMIF(ThresholdAge08,"&lt;"&amp;J205,WeightedRevAge08)-SUMIF(ThresholdAge08,"&lt;"&amp;J205,WeightedMinAge08),MAX(CapacityAge08*'01_Вводные'!$B$218*J205,MeanMinAge08)))</f>
        <v/>
      </c>
      <c r="K144" s="190">
        <f>IF(OR((K60-K88)=0,8&lt;='01_Вводные'!$B$297),0,(K60-K88)*IF('01_Вводные'!$B$239="Да",MeanMinAge08+K205*SUMIF(ThresholdAge08,"&lt;"&amp;K205,WeightedRevAge08)-SUMIF(ThresholdAge08,"&lt;"&amp;K205,WeightedMinAge08),MAX(CapacityAge08*'01_Вводные'!$B$218*K205,MeanMinAge08)))</f>
        <v/>
      </c>
      <c r="L144" s="190">
        <f>IF(OR((L60-L88)=0,8&lt;='01_Вводные'!$B$297),0,(L60-L88)*IF('01_Вводные'!$B$239="Да",MeanMinAge08+L205*SUMIF(ThresholdAge08,"&lt;"&amp;L205,WeightedRevAge08)-SUMIF(ThresholdAge08,"&lt;"&amp;L205,WeightedMinAge08),MAX(CapacityAge08*'01_Вводные'!$B$218*L205,MeanMinAge08)))</f>
        <v/>
      </c>
      <c r="M144" s="190">
        <f>IF(OR((M60-M88)=0,8&lt;='01_Вводные'!$B$297),0,(M60-M88)*IF('01_Вводные'!$B$239="Да",MeanMinAge08+M205*SUMIF(ThresholdAge08,"&lt;"&amp;M205,WeightedRevAge08)-SUMIF(ThresholdAge08,"&lt;"&amp;M205,WeightedMinAge08),MAX(CapacityAge08*'01_Вводные'!$B$218*M205,MeanMinAge08)))</f>
        <v/>
      </c>
      <c r="N144" s="190">
        <f>IF(OR((N60-N88)=0,8&lt;='01_Вводные'!$B$297),0,(N60-N88)*IF('01_Вводные'!$B$239="Да",MeanMinAge08+N205*SUMIF(ThresholdAge08,"&lt;"&amp;N205,WeightedRevAge08)-SUMIF(ThresholdAge08,"&lt;"&amp;N205,WeightedMinAge08),MAX(CapacityAge08*'01_Вводные'!$B$218*N205,MeanMinAge08)))</f>
        <v/>
      </c>
      <c r="O144" s="190">
        <f>IF(OR((O60-O88)=0,8&lt;='01_Вводные'!$B$297),0,(O60-O88)*IF('01_Вводные'!$B$239="Да",MeanMinAge08+O205*SUMIF(ThresholdAge08,"&lt;"&amp;O205,WeightedRevAge08)-SUMIF(ThresholdAge08,"&lt;"&amp;O205,WeightedMinAge08),MAX(CapacityAge08*'01_Вводные'!$B$218*O205,MeanMinAge08)))</f>
        <v/>
      </c>
      <c r="P144" s="190">
        <f>IF(OR((P60-P88)=0,8&lt;='01_Вводные'!$B$297),0,(P60-P88)*IF('01_Вводные'!$B$239="Да",MeanMinAge08+P205*SUMIF(ThresholdAge08,"&lt;"&amp;P205,WeightedRevAge08)-SUMIF(ThresholdAge08,"&lt;"&amp;P205,WeightedMinAge08),MAX(CapacityAge08*'01_Вводные'!$B$218*P205,MeanMinAge08)))</f>
        <v/>
      </c>
      <c r="Q144" s="190">
        <f>IF(OR((Q60-Q88)=0,8&lt;='01_Вводные'!$B$297),0,(Q60-Q88)*IF('01_Вводные'!$B$239="Да",MeanMinAge08+Q205*SUMIF(ThresholdAge08,"&lt;"&amp;Q205,WeightedRevAge08)-SUMIF(ThresholdAge08,"&lt;"&amp;Q205,WeightedMinAge08),MAX(CapacityAge08*'01_Вводные'!$B$218*Q205,MeanMinAge08)))</f>
        <v/>
      </c>
      <c r="R144" s="190">
        <f>IF(OR((R60-R88)=0,8&lt;='01_Вводные'!$B$297),0,(R60-R88)*IF('01_Вводные'!$B$239="Да",MeanMinAge08+R205*SUMIF(ThresholdAge08,"&lt;"&amp;R205,WeightedRevAge08)-SUMIF(ThresholdAge08,"&lt;"&amp;R205,WeightedMinAge08),MAX(CapacityAge08*'01_Вводные'!$B$218*R205,MeanMinAge08)))</f>
        <v/>
      </c>
      <c r="S144" s="190">
        <f>IF(OR((S60-S88)=0,8&lt;='01_Вводные'!$B$297),0,(S60-S88)*IF('01_Вводные'!$B$239="Да",MeanMinAge08+S205*SUMIF(ThresholdAge08,"&lt;"&amp;S205,WeightedRevAge08)-SUMIF(ThresholdAge08,"&lt;"&amp;S205,WeightedMinAge08),MAX(CapacityAge08*'01_Вводные'!$B$218*S205,MeanMinAge08)))</f>
        <v/>
      </c>
      <c r="T144" s="190">
        <f>IF(OR((T60-T88)=0,8&lt;='01_Вводные'!$B$297),0,(T60-T88)*IF('01_Вводные'!$B$239="Да",MeanMinAge08+T205*SUMIF(ThresholdAge08,"&lt;"&amp;T205,WeightedRevAge08)-SUMIF(ThresholdAge08,"&lt;"&amp;T205,WeightedMinAge08),MAX(CapacityAge08*'01_Вводные'!$B$218*T205,MeanMinAge08)))</f>
        <v/>
      </c>
      <c r="U144" s="190">
        <f>IF(OR((U60-U88)=0,8&lt;='01_Вводные'!$B$297),0,(U60-U88)*IF('01_Вводные'!$B$239="Да",MeanMinAge08+U205*SUMIF(ThresholdAge08,"&lt;"&amp;U205,WeightedRevAge08)-SUMIF(ThresholdAge08,"&lt;"&amp;U205,WeightedMinAge08),MAX(CapacityAge08*'01_Вводные'!$B$218*U205,MeanMinAge08)))</f>
        <v/>
      </c>
      <c r="V144" s="190">
        <f>IF(OR((V60-V88)=0,8&lt;='01_Вводные'!$B$297),0,(V60-V88)*IF('01_Вводные'!$B$239="Да",MeanMinAge08+V205*SUMIF(ThresholdAge08,"&lt;"&amp;V205,WeightedRevAge08)-SUMIF(ThresholdAge08,"&lt;"&amp;V205,WeightedMinAge08),MAX(CapacityAge08*'01_Вводные'!$B$218*V205,MeanMinAge08)))</f>
        <v/>
      </c>
      <c r="W144" s="190">
        <f>IF(OR((W60-W88)=0,8&lt;='01_Вводные'!$B$297),0,(W60-W88)*IF('01_Вводные'!$B$239="Да",MeanMinAge08+W205*SUMIF(ThresholdAge08,"&lt;"&amp;W205,WeightedRevAge08)-SUMIF(ThresholdAge08,"&lt;"&amp;W205,WeightedMinAge08),MAX(CapacityAge08*'01_Вводные'!$B$218*W205,MeanMinAge08)))</f>
        <v/>
      </c>
      <c r="X144" s="190">
        <f>IF(OR((X60-X88)=0,8&lt;='01_Вводные'!$B$297),0,(X60-X88)*IF('01_Вводные'!$B$239="Да",MeanMinAge08+X205*SUMIF(ThresholdAge08,"&lt;"&amp;X205,WeightedRevAge08)-SUMIF(ThresholdAge08,"&lt;"&amp;X205,WeightedMinAge08),MAX(CapacityAge08*'01_Вводные'!$B$218*X205,MeanMinAge08)))</f>
        <v/>
      </c>
      <c r="Y144" s="190">
        <f>IF(OR((Y60-Y88)=0,8&lt;='01_Вводные'!$B$297),0,(Y60-Y88)*IF('01_Вводные'!$B$239="Да",MeanMinAge08+Y205*SUMIF(ThresholdAge08,"&lt;"&amp;Y205,WeightedRevAge08)-SUMIF(ThresholdAge08,"&lt;"&amp;Y205,WeightedMinAge08),MAX(CapacityAge08*'01_Вводные'!$B$218*Y205,MeanMinAge08)))</f>
        <v/>
      </c>
      <c r="Z144" s="190">
        <f>IF(OR((Z60-Z88)=0,8&lt;='01_Вводные'!$B$297),0,(Z60-Z88)*IF('01_Вводные'!$B$239="Да",MeanMinAge08+Z205*SUMIF(ThresholdAge08,"&lt;"&amp;Z205,WeightedRevAge08)-SUMIF(ThresholdAge08,"&lt;"&amp;Z205,WeightedMinAge08),MAX(CapacityAge08*'01_Вводные'!$B$218*Z205,MeanMinAge08)))</f>
        <v/>
      </c>
      <c r="AA144" s="190">
        <f>IF(OR((AA60-AA88)=0,8&lt;='01_Вводные'!$B$297),0,(AA60-AA88)*IF('01_Вводные'!$B$239="Да",MeanMinAge08+AA205*SUMIF(ThresholdAge08,"&lt;"&amp;AA205,WeightedRevAge08)-SUMIF(ThresholdAge08,"&lt;"&amp;AA205,WeightedMinAge08),MAX(CapacityAge08*'01_Вводные'!$B$218*AA205,MeanMinAge08)))</f>
        <v/>
      </c>
      <c r="AB144" s="190">
        <f>IF(OR((AB60-AB88)=0,8&lt;='01_Вводные'!$B$297),0,(AB60-AB88)*IF('01_Вводные'!$B$239="Да",MeanMinAge08+AB205*SUMIF(ThresholdAge08,"&lt;"&amp;AB205,WeightedRevAge08)-SUMIF(ThresholdAge08,"&lt;"&amp;AB205,WeightedMinAge08),MAX(CapacityAge08*'01_Вводные'!$B$218*AB205,MeanMinAge08)))</f>
        <v/>
      </c>
      <c r="AC144" s="190">
        <f>IF(OR((AC60-AC88)=0,8&lt;='01_Вводные'!$B$297),0,(AC60-AC88)*IF('01_Вводные'!$B$239="Да",MeanMinAge08+AC205*SUMIF(ThresholdAge08,"&lt;"&amp;AC205,WeightedRevAge08)-SUMIF(ThresholdAge08,"&lt;"&amp;AC205,WeightedMinAge08),MAX(CapacityAge08*'01_Вводные'!$B$218*AC205,MeanMinAge08)))</f>
        <v/>
      </c>
      <c r="AD144" s="190">
        <f>IF(OR((AD60-AD88)=0,8&lt;='01_Вводные'!$B$297),0,(AD60-AD88)*IF('01_Вводные'!$B$239="Да",MeanMinAge08+AD205*SUMIF(ThresholdAge08,"&lt;"&amp;AD205,WeightedRevAge08)-SUMIF(ThresholdAge08,"&lt;"&amp;AD205,WeightedMinAge08),MAX(CapacityAge08*'01_Вводные'!$B$218*AD205,MeanMinAge08)))</f>
        <v/>
      </c>
      <c r="AE144" s="190">
        <f>IF(OR((AE60-AE88)=0,8&lt;='01_Вводные'!$B$297),0,(AE60-AE88)*IF('01_Вводные'!$B$239="Да",MeanMinAge08+AE205*SUMIF(ThresholdAge08,"&lt;"&amp;AE205,WeightedRevAge08)-SUMIF(ThresholdAge08,"&lt;"&amp;AE205,WeightedMinAge08),MAX(CapacityAge08*'01_Вводные'!$B$218*AE205,MeanMinAge08)))</f>
        <v/>
      </c>
      <c r="AF144" s="190">
        <f>IF(OR((AF60-AF88)=0,8&lt;='01_Вводные'!$B$297),0,(AF60-AF88)*IF('01_Вводные'!$B$239="Да",MeanMinAge08+AF205*SUMIF(ThresholdAge08,"&lt;"&amp;AF205,WeightedRevAge08)-SUMIF(ThresholdAge08,"&lt;"&amp;AF205,WeightedMinAge08),MAX(CapacityAge08*'01_Вводные'!$B$218*AF205,MeanMinAge08)))</f>
        <v/>
      </c>
      <c r="AG144" s="190">
        <f>IF(OR((AG60-AG88)=0,8&lt;='01_Вводные'!$B$297),0,(AG60-AG88)*IF('01_Вводные'!$B$239="Да",MeanMinAge08+AG205*SUMIF(ThresholdAge08,"&lt;"&amp;AG205,WeightedRevAge08)-SUMIF(ThresholdAge08,"&lt;"&amp;AG205,WeightedMinAge08),MAX(CapacityAge08*'01_Вводные'!$B$218*AG205,MeanMinAge08)))</f>
        <v/>
      </c>
      <c r="AH144" s="190">
        <f>IF(OR((AH60-AH88)=0,8&lt;='01_Вводные'!$B$297),0,(AH60-AH88)*IF('01_Вводные'!$B$239="Да",MeanMinAge08+AH205*SUMIF(ThresholdAge08,"&lt;"&amp;AH205,WeightedRevAge08)-SUMIF(ThresholdAge08,"&lt;"&amp;AH205,WeightedMinAge08),MAX(CapacityAge08*'01_Вводные'!$B$218*AH205,MeanMinAge08)))</f>
        <v/>
      </c>
      <c r="AI144" s="190">
        <f>IF(OR((AI60-AI88)=0,8&lt;='01_Вводные'!$B$297),0,(AI60-AI88)*IF('01_Вводные'!$B$239="Да",MeanMinAge08+AI205*SUMIF(ThresholdAge08,"&lt;"&amp;AI205,WeightedRevAge08)-SUMIF(ThresholdAge08,"&lt;"&amp;AI205,WeightedMinAge08),MAX(CapacityAge08*'01_Вводные'!$B$218*AI205,MeanMinAge08)))</f>
        <v/>
      </c>
      <c r="AJ144" s="190">
        <f>IF(OR((AJ60-AJ88)=0,8&lt;='01_Вводные'!$B$297),0,(AJ60-AJ88)*IF('01_Вводные'!$B$239="Да",MeanMinAge08+AJ205*SUMIF(ThresholdAge08,"&lt;"&amp;AJ205,WeightedRevAge08)-SUMIF(ThresholdAge08,"&lt;"&amp;AJ205,WeightedMinAge08),MAX(CapacityAge08*'01_Вводные'!$B$218*AJ205,MeanMinAge08)))</f>
        <v/>
      </c>
      <c r="AK144" s="190">
        <f>IF(OR((AK60-AK88)=0,8&lt;='01_Вводные'!$B$297),0,(AK60-AK88)*IF('01_Вводные'!$B$239="Да",MeanMinAge08+AK205*SUMIF(ThresholdAge08,"&lt;"&amp;AK205,WeightedRevAge08)-SUMIF(ThresholdAge08,"&lt;"&amp;AK205,WeightedMinAge08),MAX(CapacityAge08*'01_Вводные'!$B$218*AK205,MeanMinAge08)))</f>
        <v/>
      </c>
      <c r="AL144" s="190">
        <f>IF(OR((AL60-AL88)=0,8&lt;='01_Вводные'!$B$297),0,(AL60-AL88)*IF('01_Вводные'!$B$239="Да",MeanMinAge08+AL205*SUMIF(ThresholdAge08,"&lt;"&amp;AL205,WeightedRevAge08)-SUMIF(ThresholdAge08,"&lt;"&amp;AL205,WeightedMinAge08),MAX(CapacityAge08*'01_Вводные'!$B$218*AL205,MeanMinAge08)))</f>
        <v/>
      </c>
      <c r="AM144" s="190">
        <f>IF(OR((AM60-AM88)=0,8&lt;='01_Вводные'!$B$297),0,(AM60-AM88)*IF('01_Вводные'!$B$239="Да",MeanMinAge08+AM205*SUMIF(ThresholdAge08,"&lt;"&amp;AM205,WeightedRevAge08)-SUMIF(ThresholdAge08,"&lt;"&amp;AM205,WeightedMinAge08),MAX(CapacityAge08*'01_Вводные'!$B$218*AM205,MeanMinAge08)))</f>
        <v/>
      </c>
      <c r="AN144" s="190">
        <f>IF(OR((AN60-AN88)=0,8&lt;='01_Вводные'!$B$297),0,(AN60-AN88)*IF('01_Вводные'!$B$239="Да",MeanMinAge08+AN205*SUMIF(ThresholdAge08,"&lt;"&amp;AN205,WeightedRevAge08)-SUMIF(ThresholdAge08,"&lt;"&amp;AN205,WeightedMinAge08),MAX(CapacityAge08*'01_Вводные'!$B$218*AN205,MeanMinAge08)))</f>
        <v/>
      </c>
      <c r="AO144" s="190">
        <f>IF(OR((AO60-AO88)=0,8&lt;='01_Вводные'!$B$297),0,(AO60-AO88)*IF('01_Вводные'!$B$239="Да",MeanMinAge08+AO205*SUMIF(ThresholdAge08,"&lt;"&amp;AO205,WeightedRevAge08)-SUMIF(ThresholdAge08,"&lt;"&amp;AO205,WeightedMinAge08),MAX(CapacityAge08*'01_Вводные'!$B$218*AO205,MeanMinAge08)))</f>
        <v/>
      </c>
      <c r="AP144" s="190">
        <f>IF(OR((AP60-AP88)=0,8&lt;='01_Вводные'!$B$297),0,(AP60-AP88)*IF('01_Вводные'!$B$239="Да",MeanMinAge08+AP205*SUMIF(ThresholdAge08,"&lt;"&amp;AP205,WeightedRevAge08)-SUMIF(ThresholdAge08,"&lt;"&amp;AP205,WeightedMinAge08),MAX(CapacityAge08*'01_Вводные'!$B$218*AP205,MeanMinAge08)))</f>
        <v/>
      </c>
      <c r="AQ144" s="190">
        <f>IF(OR((AQ60-AQ88)=0,8&lt;='01_Вводные'!$B$297),0,(AQ60-AQ88)*IF('01_Вводные'!$B$239="Да",MeanMinAge08+AQ205*SUMIF(ThresholdAge08,"&lt;"&amp;AQ205,WeightedRevAge08)-SUMIF(ThresholdAge08,"&lt;"&amp;AQ205,WeightedMinAge08),MAX(CapacityAge08*'01_Вводные'!$B$218*AQ205,MeanMinAge08)))</f>
        <v/>
      </c>
      <c r="AR144" s="190">
        <f>IF(OR((AR60-AR88)=0,8&lt;='01_Вводные'!$B$297),0,(AR60-AR88)*IF('01_Вводные'!$B$239="Да",MeanMinAge08+AR205*SUMIF(ThresholdAge08,"&lt;"&amp;AR205,WeightedRevAge08)-SUMIF(ThresholdAge08,"&lt;"&amp;AR205,WeightedMinAge08),MAX(CapacityAge08*'01_Вводные'!$B$218*AR205,MeanMinAge08)))</f>
        <v/>
      </c>
      <c r="AS144" s="190">
        <f>IF(OR((AS60-AS88)=0,8&lt;='01_Вводные'!$B$297),0,(AS60-AS88)*IF('01_Вводные'!$B$239="Да",MeanMinAge08+AS205*SUMIF(ThresholdAge08,"&lt;"&amp;AS205,WeightedRevAge08)-SUMIF(ThresholdAge08,"&lt;"&amp;AS205,WeightedMinAge08),MAX(CapacityAge08*'01_Вводные'!$B$218*AS205,MeanMinAge08)))</f>
        <v/>
      </c>
      <c r="AT144" s="190">
        <f>IF(OR((AT60-AT88)=0,8&lt;='01_Вводные'!$B$297),0,(AT60-AT88)*IF('01_Вводные'!$B$239="Да",MeanMinAge08+AT205*SUMIF(ThresholdAge08,"&lt;"&amp;AT205,WeightedRevAge08)-SUMIF(ThresholdAge08,"&lt;"&amp;AT205,WeightedMinAge08),MAX(CapacityAge08*'01_Вводные'!$B$218*AT205,MeanMinAge08)))</f>
        <v/>
      </c>
      <c r="AU144" s="190">
        <f>IF(OR((AU60-AU88)=0,8&lt;='01_Вводные'!$B$297),0,(AU60-AU88)*IF('01_Вводные'!$B$239="Да",MeanMinAge08+AU205*SUMIF(ThresholdAge08,"&lt;"&amp;AU205,WeightedRevAge08)-SUMIF(ThresholdAge08,"&lt;"&amp;AU205,WeightedMinAge08),MAX(CapacityAge08*'01_Вводные'!$B$218*AU205,MeanMinAge08)))</f>
        <v/>
      </c>
      <c r="AV144" s="190">
        <f>IF(OR((AV60-AV88)=0,8&lt;='01_Вводные'!$B$297),0,(AV60-AV88)*IF('01_Вводные'!$B$239="Да",MeanMinAge08+AV205*SUMIF(ThresholdAge08,"&lt;"&amp;AV205,WeightedRevAge08)-SUMIF(ThresholdAge08,"&lt;"&amp;AV205,WeightedMinAge08),MAX(CapacityAge08*'01_Вводные'!$B$218*AV205,MeanMinAge08)))</f>
        <v/>
      </c>
      <c r="AW144" s="190">
        <f>IF(OR((AW60-AW88)=0,8&lt;='01_Вводные'!$B$297),0,(AW60-AW88)*IF('01_Вводные'!$B$239="Да",MeanMinAge08+AW205*SUMIF(ThresholdAge08,"&lt;"&amp;AW205,WeightedRevAge08)-SUMIF(ThresholdAge08,"&lt;"&amp;AW205,WeightedMinAge08),MAX(CapacityAge08*'01_Вводные'!$B$218*AW205,MeanMinAge08)))</f>
        <v/>
      </c>
      <c r="AX144" s="190">
        <f>IF(OR((AX60-AX88)=0,8&lt;='01_Вводные'!$B$297),0,(AX60-AX88)*IF('01_Вводные'!$B$239="Да",MeanMinAge08+AX205*SUMIF(ThresholdAge08,"&lt;"&amp;AX205,WeightedRevAge08)-SUMIF(ThresholdAge08,"&lt;"&amp;AX205,WeightedMinAge08),MAX(CapacityAge08*'01_Вводные'!$B$218*AX205,MeanMinAge08)))</f>
        <v/>
      </c>
      <c r="AY144" s="190">
        <f>IF(OR((AY60-AY88)=0,8&lt;='01_Вводные'!$B$297),0,(AY60-AY88)*IF('01_Вводные'!$B$239="Да",MeanMinAge08+AY205*SUMIF(ThresholdAge08,"&lt;"&amp;AY205,WeightedRevAge08)-SUMIF(ThresholdAge08,"&lt;"&amp;AY205,WeightedMinAge08),MAX(CapacityAge08*'01_Вводные'!$B$218*AY205,MeanMinAge08)))</f>
        <v/>
      </c>
      <c r="AZ144" s="190">
        <f>IF(OR((AZ60-AZ88)=0,8&lt;='01_Вводные'!$B$297),0,(AZ60-AZ88)*IF('01_Вводные'!$B$239="Да",MeanMinAge08+AZ205*SUMIF(ThresholdAge08,"&lt;"&amp;AZ205,WeightedRevAge08)-SUMIF(ThresholdAge08,"&lt;"&amp;AZ205,WeightedMinAge08),MAX(CapacityAge08*'01_Вводные'!$B$218*AZ205,MeanMinAge08)))</f>
        <v/>
      </c>
      <c r="BA144" s="190">
        <f>IF(OR((BA60-BA88)=0,8&lt;='01_Вводные'!$B$297),0,(BA60-BA88)*IF('01_Вводные'!$B$239="Да",MeanMinAge08+BA205*SUMIF(ThresholdAge08,"&lt;"&amp;BA205,WeightedRevAge08)-SUMIF(ThresholdAge08,"&lt;"&amp;BA205,WeightedMinAge08),MAX(CapacityAge08*'01_Вводные'!$B$218*BA205,MeanMinAge08)))</f>
        <v/>
      </c>
      <c r="BB144" s="190">
        <f>IF(OR((BB60-BB88)=0,8&lt;='01_Вводные'!$B$297),0,(BB60-BB88)*IF('01_Вводные'!$B$239="Да",MeanMinAge08+BB205*SUMIF(ThresholdAge08,"&lt;"&amp;BB205,WeightedRevAge08)-SUMIF(ThresholdAge08,"&lt;"&amp;BB205,WeightedMinAge08),MAX(CapacityAge08*'01_Вводные'!$B$218*BB205,MeanMinAge08)))</f>
        <v/>
      </c>
      <c r="BC144" s="190">
        <f>IF(OR((BC60-BC88)=0,8&lt;='01_Вводные'!$B$297),0,(BC60-BC88)*IF('01_Вводные'!$B$239="Да",MeanMinAge08+BC205*SUMIF(ThresholdAge08,"&lt;"&amp;BC205,WeightedRevAge08)-SUMIF(ThresholdAge08,"&lt;"&amp;BC205,WeightedMinAge08),MAX(CapacityAge08*'01_Вводные'!$B$218*BC205,MeanMinAge08)))</f>
        <v/>
      </c>
      <c r="BD144" s="190">
        <f>IF(OR((BD60-BD88)=0,8&lt;='01_Вводные'!$B$297),0,(BD60-BD88)*IF('01_Вводные'!$B$239="Да",MeanMinAge08+BD205*SUMIF(ThresholdAge08,"&lt;"&amp;BD205,WeightedRevAge08)-SUMIF(ThresholdAge08,"&lt;"&amp;BD205,WeightedMinAge08),MAX(CapacityAge08*'01_Вводные'!$B$218*BD205,MeanMinAge08)))</f>
        <v/>
      </c>
      <c r="BE144" s="190">
        <f>IF(OR((BE60-BE88)=0,8&lt;='01_Вводные'!$B$297),0,(BE60-BE88)*IF('01_Вводные'!$B$239="Да",MeanMinAge08+BE205*SUMIF(ThresholdAge08,"&lt;"&amp;BE205,WeightedRevAge08)-SUMIF(ThresholdAge08,"&lt;"&amp;BE205,WeightedMinAge08),MAX(CapacityAge08*'01_Вводные'!$B$218*BE205,MeanMinAge08)))</f>
        <v/>
      </c>
      <c r="BF144" s="190">
        <f>IF(OR((BF60-BF88)=0,8&lt;='01_Вводные'!$B$297),0,(BF60-BF88)*IF('01_Вводные'!$B$239="Да",MeanMinAge08+BF205*SUMIF(ThresholdAge08,"&lt;"&amp;BF205,WeightedRevAge08)-SUMIF(ThresholdAge08,"&lt;"&amp;BF205,WeightedMinAge08),MAX(CapacityAge08*'01_Вводные'!$B$218*BF205,MeanMinAge08)))</f>
        <v/>
      </c>
      <c r="BG144" s="190">
        <f>IF(OR((BG60-BG88)=0,8&lt;='01_Вводные'!$B$297),0,(BG60-BG88)*IF('01_Вводные'!$B$239="Да",MeanMinAge08+BG205*SUMIF(ThresholdAge08,"&lt;"&amp;BG205,WeightedRevAge08)-SUMIF(ThresholdAge08,"&lt;"&amp;BG205,WeightedMinAge08),MAX(CapacityAge08*'01_Вводные'!$B$218*BG205,MeanMinAge08)))</f>
        <v/>
      </c>
      <c r="BH144" s="190">
        <f>IF(OR((BH60-BH88)=0,8&lt;='01_Вводные'!$B$297),0,(BH60-BH88)*IF('01_Вводные'!$B$239="Да",MeanMinAge08+BH205*SUMIF(ThresholdAge08,"&lt;"&amp;BH205,WeightedRevAge08)-SUMIF(ThresholdAge08,"&lt;"&amp;BH205,WeightedMinAge08),MAX(CapacityAge08*'01_Вводные'!$B$218*BH205,MeanMinAge08)))</f>
        <v/>
      </c>
      <c r="BI144" s="190">
        <f>IF(OR((BI60-BI88)=0,8&lt;='01_Вводные'!$B$297),0,(BI60-BI88)*IF('01_Вводные'!$B$239="Да",MeanMinAge08+BI205*SUMIF(ThresholdAge08,"&lt;"&amp;BI205,WeightedRevAge08)-SUMIF(ThresholdAge08,"&lt;"&amp;BI205,WeightedMinAge08),MAX(CapacityAge08*'01_Вводные'!$B$218*BI205,MeanMinAge08)))</f>
        <v/>
      </c>
      <c r="BJ144" s="190">
        <f>IF(OR((BJ60-BJ88)=0,8&lt;='01_Вводные'!$B$297),0,(BJ60-BJ88)*IF('01_Вводные'!$B$239="Да",MeanMinAge08+BJ205*SUMIF(ThresholdAge08,"&lt;"&amp;BJ205,WeightedRevAge08)-SUMIF(ThresholdAge08,"&lt;"&amp;BJ205,WeightedMinAge08),MAX(CapacityAge08*'01_Вводные'!$B$218*BJ205,MeanMinAge08)))</f>
        <v/>
      </c>
      <c r="BK144" s="190">
        <f>IF(OR((BK60-BK88)=0,8&lt;='01_Вводные'!$B$297),0,(BK60-BK88)*IF('01_Вводные'!$B$239="Да",MeanMinAge08+BK205*SUMIF(ThresholdAge08,"&lt;"&amp;BK205,WeightedRevAge08)-SUMIF(ThresholdAge08,"&lt;"&amp;BK205,WeightedMinAge08),MAX(CapacityAge08*'01_Вводные'!$B$218*BK205,MeanMinAge08)))</f>
        <v/>
      </c>
      <c r="BL144" s="190">
        <f>IF(OR((BL60-BL88)=0,8&lt;='01_Вводные'!$B$297),0,(BL60-BL88)*IF('01_Вводные'!$B$239="Да",MeanMinAge08+BL205*SUMIF(ThresholdAge08,"&lt;"&amp;BL205,WeightedRevAge08)-SUMIF(ThresholdAge08,"&lt;"&amp;BL205,WeightedMinAge08),MAX(CapacityAge08*'01_Вводные'!$B$218*BL205,MeanMinAge08)))</f>
        <v/>
      </c>
      <c r="BM144" s="190">
        <f>IF(OR((BM60-BM88)=0,8&lt;='01_Вводные'!$B$297),0,(BM60-BM88)*IF('01_Вводные'!$B$239="Да",MeanMinAge08+BM205*SUMIF(ThresholdAge08,"&lt;"&amp;BM205,WeightedRevAge08)-SUMIF(ThresholdAge08,"&lt;"&amp;BM205,WeightedMinAge08),MAX(CapacityAge08*'01_Вводные'!$B$218*BM205,MeanMinAge08)))</f>
        <v/>
      </c>
      <c r="BN144" s="190">
        <f>IF(OR((BN60-BN88)=0,8&lt;='01_Вводные'!$B$297),0,(BN60-BN88)*IF('01_Вводные'!$B$239="Да",MeanMinAge08+BN205*SUMIF(ThresholdAge08,"&lt;"&amp;BN205,WeightedRevAge08)-SUMIF(ThresholdAge08,"&lt;"&amp;BN205,WeightedMinAge08),MAX(CapacityAge08*'01_Вводные'!$B$218*BN205,MeanMinAge08)))</f>
        <v/>
      </c>
      <c r="BO144" s="190">
        <f>IF(OR((BO60-BO88)=0,8&lt;='01_Вводные'!$B$297),0,(BO60-BO88)*IF('01_Вводные'!$B$239="Да",MeanMinAge08+BO205*SUMIF(ThresholdAge08,"&lt;"&amp;BO205,WeightedRevAge08)-SUMIF(ThresholdAge08,"&lt;"&amp;BO205,WeightedMinAge08),MAX(CapacityAge08*'01_Вводные'!$B$218*BO205,MeanMinAge08)))</f>
        <v/>
      </c>
    </row>
    <row r="145" hidden="1" outlineLevel="1">
      <c r="A145" t="inlineStr">
        <is>
          <t>9 мес.</t>
        </is>
      </c>
      <c r="B145" s="190">
        <f>IF(OR((B61-B89)=0,9&lt;='01_Вводные'!$B$297),0,(B61-B89)*IF('01_Вводные'!$B$239="Да",MeanMinAge09+B205*SUMIF(ThresholdAge09,"&lt;"&amp;B205,WeightedRevAge09)-SUMIF(ThresholdAge09,"&lt;"&amp;B205,WeightedMinAge09),MAX(CapacityAge09*'01_Вводные'!$B$218*B205,MeanMinAge09)))</f>
        <v/>
      </c>
      <c r="C145" s="190">
        <f>IF(OR((C61-C89)=0,9&lt;='01_Вводные'!$B$297),0,(C61-C89)*IF('01_Вводные'!$B$239="Да",MeanMinAge09+C205*SUMIF(ThresholdAge09,"&lt;"&amp;C205,WeightedRevAge09)-SUMIF(ThresholdAge09,"&lt;"&amp;C205,WeightedMinAge09),MAX(CapacityAge09*'01_Вводные'!$B$218*C205,MeanMinAge09)))</f>
        <v/>
      </c>
      <c r="D145" s="190">
        <f>IF(OR((D61-D89)=0,9&lt;='01_Вводные'!$B$297),0,(D61-D89)*IF('01_Вводные'!$B$239="Да",MeanMinAge09+D205*SUMIF(ThresholdAge09,"&lt;"&amp;D205,WeightedRevAge09)-SUMIF(ThresholdAge09,"&lt;"&amp;D205,WeightedMinAge09),MAX(CapacityAge09*'01_Вводные'!$B$218*D205,MeanMinAge09)))</f>
        <v/>
      </c>
      <c r="E145" s="190">
        <f>IF(OR((E61-E89)=0,9&lt;='01_Вводные'!$B$297),0,(E61-E89)*IF('01_Вводные'!$B$239="Да",MeanMinAge09+E205*SUMIF(ThresholdAge09,"&lt;"&amp;E205,WeightedRevAge09)-SUMIF(ThresholdAge09,"&lt;"&amp;E205,WeightedMinAge09),MAX(CapacityAge09*'01_Вводные'!$B$218*E205,MeanMinAge09)))</f>
        <v/>
      </c>
      <c r="F145" s="190">
        <f>IF(OR((F61-F89)=0,9&lt;='01_Вводные'!$B$297),0,(F61-F89)*IF('01_Вводные'!$B$239="Да",MeanMinAge09+F205*SUMIF(ThresholdAge09,"&lt;"&amp;F205,WeightedRevAge09)-SUMIF(ThresholdAge09,"&lt;"&amp;F205,WeightedMinAge09),MAX(CapacityAge09*'01_Вводные'!$B$218*F205,MeanMinAge09)))</f>
        <v/>
      </c>
      <c r="G145" s="190">
        <f>IF(OR((G61-G89)=0,9&lt;='01_Вводные'!$B$297),0,(G61-G89)*IF('01_Вводные'!$B$239="Да",MeanMinAge09+G205*SUMIF(ThresholdAge09,"&lt;"&amp;G205,WeightedRevAge09)-SUMIF(ThresholdAge09,"&lt;"&amp;G205,WeightedMinAge09),MAX(CapacityAge09*'01_Вводные'!$B$218*G205,MeanMinAge09)))</f>
        <v/>
      </c>
      <c r="H145" s="190">
        <f>IF(OR((H61-H89)=0,9&lt;='01_Вводные'!$B$297),0,(H61-H89)*IF('01_Вводные'!$B$239="Да",MeanMinAge09+H205*SUMIF(ThresholdAge09,"&lt;"&amp;H205,WeightedRevAge09)-SUMIF(ThresholdAge09,"&lt;"&amp;H205,WeightedMinAge09),MAX(CapacityAge09*'01_Вводные'!$B$218*H205,MeanMinAge09)))</f>
        <v/>
      </c>
      <c r="I145" s="190">
        <f>IF(OR((I61-I89)=0,9&lt;='01_Вводные'!$B$297),0,(I61-I89)*IF('01_Вводные'!$B$239="Да",MeanMinAge09+I205*SUMIF(ThresholdAge09,"&lt;"&amp;I205,WeightedRevAge09)-SUMIF(ThresholdAge09,"&lt;"&amp;I205,WeightedMinAge09),MAX(CapacityAge09*'01_Вводные'!$B$218*I205,MeanMinAge09)))</f>
        <v/>
      </c>
      <c r="J145" s="190">
        <f>IF(OR((J61-J89)=0,9&lt;='01_Вводные'!$B$297),0,(J61-J89)*IF('01_Вводные'!$B$239="Да",MeanMinAge09+J205*SUMIF(ThresholdAge09,"&lt;"&amp;J205,WeightedRevAge09)-SUMIF(ThresholdAge09,"&lt;"&amp;J205,WeightedMinAge09),MAX(CapacityAge09*'01_Вводные'!$B$218*J205,MeanMinAge09)))</f>
        <v/>
      </c>
      <c r="K145" s="190">
        <f>IF(OR((K61-K89)=0,9&lt;='01_Вводные'!$B$297),0,(K61-K89)*IF('01_Вводные'!$B$239="Да",MeanMinAge09+K205*SUMIF(ThresholdAge09,"&lt;"&amp;K205,WeightedRevAge09)-SUMIF(ThresholdAge09,"&lt;"&amp;K205,WeightedMinAge09),MAX(CapacityAge09*'01_Вводные'!$B$218*K205,MeanMinAge09)))</f>
        <v/>
      </c>
      <c r="L145" s="190">
        <f>IF(OR((L61-L89)=0,9&lt;='01_Вводные'!$B$297),0,(L61-L89)*IF('01_Вводные'!$B$239="Да",MeanMinAge09+L205*SUMIF(ThresholdAge09,"&lt;"&amp;L205,WeightedRevAge09)-SUMIF(ThresholdAge09,"&lt;"&amp;L205,WeightedMinAge09),MAX(CapacityAge09*'01_Вводные'!$B$218*L205,MeanMinAge09)))</f>
        <v/>
      </c>
      <c r="M145" s="190">
        <f>IF(OR((M61-M89)=0,9&lt;='01_Вводные'!$B$297),0,(M61-M89)*IF('01_Вводные'!$B$239="Да",MeanMinAge09+M205*SUMIF(ThresholdAge09,"&lt;"&amp;M205,WeightedRevAge09)-SUMIF(ThresholdAge09,"&lt;"&amp;M205,WeightedMinAge09),MAX(CapacityAge09*'01_Вводные'!$B$218*M205,MeanMinAge09)))</f>
        <v/>
      </c>
      <c r="N145" s="190">
        <f>IF(OR((N61-N89)=0,9&lt;='01_Вводные'!$B$297),0,(N61-N89)*IF('01_Вводные'!$B$239="Да",MeanMinAge09+N205*SUMIF(ThresholdAge09,"&lt;"&amp;N205,WeightedRevAge09)-SUMIF(ThresholdAge09,"&lt;"&amp;N205,WeightedMinAge09),MAX(CapacityAge09*'01_Вводные'!$B$218*N205,MeanMinAge09)))</f>
        <v/>
      </c>
      <c r="O145" s="190">
        <f>IF(OR((O61-O89)=0,9&lt;='01_Вводные'!$B$297),0,(O61-O89)*IF('01_Вводные'!$B$239="Да",MeanMinAge09+O205*SUMIF(ThresholdAge09,"&lt;"&amp;O205,WeightedRevAge09)-SUMIF(ThresholdAge09,"&lt;"&amp;O205,WeightedMinAge09),MAX(CapacityAge09*'01_Вводные'!$B$218*O205,MeanMinAge09)))</f>
        <v/>
      </c>
      <c r="P145" s="190">
        <f>IF(OR((P61-P89)=0,9&lt;='01_Вводные'!$B$297),0,(P61-P89)*IF('01_Вводные'!$B$239="Да",MeanMinAge09+P205*SUMIF(ThresholdAge09,"&lt;"&amp;P205,WeightedRevAge09)-SUMIF(ThresholdAge09,"&lt;"&amp;P205,WeightedMinAge09),MAX(CapacityAge09*'01_Вводные'!$B$218*P205,MeanMinAge09)))</f>
        <v/>
      </c>
      <c r="Q145" s="190">
        <f>IF(OR((Q61-Q89)=0,9&lt;='01_Вводные'!$B$297),0,(Q61-Q89)*IF('01_Вводные'!$B$239="Да",MeanMinAge09+Q205*SUMIF(ThresholdAge09,"&lt;"&amp;Q205,WeightedRevAge09)-SUMIF(ThresholdAge09,"&lt;"&amp;Q205,WeightedMinAge09),MAX(CapacityAge09*'01_Вводные'!$B$218*Q205,MeanMinAge09)))</f>
        <v/>
      </c>
      <c r="R145" s="190">
        <f>IF(OR((R61-R89)=0,9&lt;='01_Вводные'!$B$297),0,(R61-R89)*IF('01_Вводные'!$B$239="Да",MeanMinAge09+R205*SUMIF(ThresholdAge09,"&lt;"&amp;R205,WeightedRevAge09)-SUMIF(ThresholdAge09,"&lt;"&amp;R205,WeightedMinAge09),MAX(CapacityAge09*'01_Вводные'!$B$218*R205,MeanMinAge09)))</f>
        <v/>
      </c>
      <c r="S145" s="190">
        <f>IF(OR((S61-S89)=0,9&lt;='01_Вводные'!$B$297),0,(S61-S89)*IF('01_Вводные'!$B$239="Да",MeanMinAge09+S205*SUMIF(ThresholdAge09,"&lt;"&amp;S205,WeightedRevAge09)-SUMIF(ThresholdAge09,"&lt;"&amp;S205,WeightedMinAge09),MAX(CapacityAge09*'01_Вводные'!$B$218*S205,MeanMinAge09)))</f>
        <v/>
      </c>
      <c r="T145" s="190">
        <f>IF(OR((T61-T89)=0,9&lt;='01_Вводные'!$B$297),0,(T61-T89)*IF('01_Вводные'!$B$239="Да",MeanMinAge09+T205*SUMIF(ThresholdAge09,"&lt;"&amp;T205,WeightedRevAge09)-SUMIF(ThresholdAge09,"&lt;"&amp;T205,WeightedMinAge09),MAX(CapacityAge09*'01_Вводные'!$B$218*T205,MeanMinAge09)))</f>
        <v/>
      </c>
      <c r="U145" s="190">
        <f>IF(OR((U61-U89)=0,9&lt;='01_Вводные'!$B$297),0,(U61-U89)*IF('01_Вводные'!$B$239="Да",MeanMinAge09+U205*SUMIF(ThresholdAge09,"&lt;"&amp;U205,WeightedRevAge09)-SUMIF(ThresholdAge09,"&lt;"&amp;U205,WeightedMinAge09),MAX(CapacityAge09*'01_Вводные'!$B$218*U205,MeanMinAge09)))</f>
        <v/>
      </c>
      <c r="V145" s="190">
        <f>IF(OR((V61-V89)=0,9&lt;='01_Вводные'!$B$297),0,(V61-V89)*IF('01_Вводные'!$B$239="Да",MeanMinAge09+V205*SUMIF(ThresholdAge09,"&lt;"&amp;V205,WeightedRevAge09)-SUMIF(ThresholdAge09,"&lt;"&amp;V205,WeightedMinAge09),MAX(CapacityAge09*'01_Вводные'!$B$218*V205,MeanMinAge09)))</f>
        <v/>
      </c>
      <c r="W145" s="190">
        <f>IF(OR((W61-W89)=0,9&lt;='01_Вводные'!$B$297),0,(W61-W89)*IF('01_Вводные'!$B$239="Да",MeanMinAge09+W205*SUMIF(ThresholdAge09,"&lt;"&amp;W205,WeightedRevAge09)-SUMIF(ThresholdAge09,"&lt;"&amp;W205,WeightedMinAge09),MAX(CapacityAge09*'01_Вводные'!$B$218*W205,MeanMinAge09)))</f>
        <v/>
      </c>
      <c r="X145" s="190">
        <f>IF(OR((X61-X89)=0,9&lt;='01_Вводные'!$B$297),0,(X61-X89)*IF('01_Вводные'!$B$239="Да",MeanMinAge09+X205*SUMIF(ThresholdAge09,"&lt;"&amp;X205,WeightedRevAge09)-SUMIF(ThresholdAge09,"&lt;"&amp;X205,WeightedMinAge09),MAX(CapacityAge09*'01_Вводные'!$B$218*X205,MeanMinAge09)))</f>
        <v/>
      </c>
      <c r="Y145" s="190">
        <f>IF(OR((Y61-Y89)=0,9&lt;='01_Вводные'!$B$297),0,(Y61-Y89)*IF('01_Вводные'!$B$239="Да",MeanMinAge09+Y205*SUMIF(ThresholdAge09,"&lt;"&amp;Y205,WeightedRevAge09)-SUMIF(ThresholdAge09,"&lt;"&amp;Y205,WeightedMinAge09),MAX(CapacityAge09*'01_Вводные'!$B$218*Y205,MeanMinAge09)))</f>
        <v/>
      </c>
      <c r="Z145" s="190">
        <f>IF(OR((Z61-Z89)=0,9&lt;='01_Вводные'!$B$297),0,(Z61-Z89)*IF('01_Вводные'!$B$239="Да",MeanMinAge09+Z205*SUMIF(ThresholdAge09,"&lt;"&amp;Z205,WeightedRevAge09)-SUMIF(ThresholdAge09,"&lt;"&amp;Z205,WeightedMinAge09),MAX(CapacityAge09*'01_Вводные'!$B$218*Z205,MeanMinAge09)))</f>
        <v/>
      </c>
      <c r="AA145" s="190">
        <f>IF(OR((AA61-AA89)=0,9&lt;='01_Вводные'!$B$297),0,(AA61-AA89)*IF('01_Вводные'!$B$239="Да",MeanMinAge09+AA205*SUMIF(ThresholdAge09,"&lt;"&amp;AA205,WeightedRevAge09)-SUMIF(ThresholdAge09,"&lt;"&amp;AA205,WeightedMinAge09),MAX(CapacityAge09*'01_Вводные'!$B$218*AA205,MeanMinAge09)))</f>
        <v/>
      </c>
      <c r="AB145" s="190">
        <f>IF(OR((AB61-AB89)=0,9&lt;='01_Вводные'!$B$297),0,(AB61-AB89)*IF('01_Вводные'!$B$239="Да",MeanMinAge09+AB205*SUMIF(ThresholdAge09,"&lt;"&amp;AB205,WeightedRevAge09)-SUMIF(ThresholdAge09,"&lt;"&amp;AB205,WeightedMinAge09),MAX(CapacityAge09*'01_Вводные'!$B$218*AB205,MeanMinAge09)))</f>
        <v/>
      </c>
      <c r="AC145" s="190">
        <f>IF(OR((AC61-AC89)=0,9&lt;='01_Вводные'!$B$297),0,(AC61-AC89)*IF('01_Вводные'!$B$239="Да",MeanMinAge09+AC205*SUMIF(ThresholdAge09,"&lt;"&amp;AC205,WeightedRevAge09)-SUMIF(ThresholdAge09,"&lt;"&amp;AC205,WeightedMinAge09),MAX(CapacityAge09*'01_Вводные'!$B$218*AC205,MeanMinAge09)))</f>
        <v/>
      </c>
      <c r="AD145" s="190">
        <f>IF(OR((AD61-AD89)=0,9&lt;='01_Вводные'!$B$297),0,(AD61-AD89)*IF('01_Вводные'!$B$239="Да",MeanMinAge09+AD205*SUMIF(ThresholdAge09,"&lt;"&amp;AD205,WeightedRevAge09)-SUMIF(ThresholdAge09,"&lt;"&amp;AD205,WeightedMinAge09),MAX(CapacityAge09*'01_Вводные'!$B$218*AD205,MeanMinAge09)))</f>
        <v/>
      </c>
      <c r="AE145" s="190">
        <f>IF(OR((AE61-AE89)=0,9&lt;='01_Вводные'!$B$297),0,(AE61-AE89)*IF('01_Вводные'!$B$239="Да",MeanMinAge09+AE205*SUMIF(ThresholdAge09,"&lt;"&amp;AE205,WeightedRevAge09)-SUMIF(ThresholdAge09,"&lt;"&amp;AE205,WeightedMinAge09),MAX(CapacityAge09*'01_Вводные'!$B$218*AE205,MeanMinAge09)))</f>
        <v/>
      </c>
      <c r="AF145" s="190">
        <f>IF(OR((AF61-AF89)=0,9&lt;='01_Вводные'!$B$297),0,(AF61-AF89)*IF('01_Вводные'!$B$239="Да",MeanMinAge09+AF205*SUMIF(ThresholdAge09,"&lt;"&amp;AF205,WeightedRevAge09)-SUMIF(ThresholdAge09,"&lt;"&amp;AF205,WeightedMinAge09),MAX(CapacityAge09*'01_Вводные'!$B$218*AF205,MeanMinAge09)))</f>
        <v/>
      </c>
      <c r="AG145" s="190">
        <f>IF(OR((AG61-AG89)=0,9&lt;='01_Вводные'!$B$297),0,(AG61-AG89)*IF('01_Вводные'!$B$239="Да",MeanMinAge09+AG205*SUMIF(ThresholdAge09,"&lt;"&amp;AG205,WeightedRevAge09)-SUMIF(ThresholdAge09,"&lt;"&amp;AG205,WeightedMinAge09),MAX(CapacityAge09*'01_Вводные'!$B$218*AG205,MeanMinAge09)))</f>
        <v/>
      </c>
      <c r="AH145" s="190">
        <f>IF(OR((AH61-AH89)=0,9&lt;='01_Вводные'!$B$297),0,(AH61-AH89)*IF('01_Вводные'!$B$239="Да",MeanMinAge09+AH205*SUMIF(ThresholdAge09,"&lt;"&amp;AH205,WeightedRevAge09)-SUMIF(ThresholdAge09,"&lt;"&amp;AH205,WeightedMinAge09),MAX(CapacityAge09*'01_Вводные'!$B$218*AH205,MeanMinAge09)))</f>
        <v/>
      </c>
      <c r="AI145" s="190">
        <f>IF(OR((AI61-AI89)=0,9&lt;='01_Вводные'!$B$297),0,(AI61-AI89)*IF('01_Вводные'!$B$239="Да",MeanMinAge09+AI205*SUMIF(ThresholdAge09,"&lt;"&amp;AI205,WeightedRevAge09)-SUMIF(ThresholdAge09,"&lt;"&amp;AI205,WeightedMinAge09),MAX(CapacityAge09*'01_Вводные'!$B$218*AI205,MeanMinAge09)))</f>
        <v/>
      </c>
      <c r="AJ145" s="190">
        <f>IF(OR((AJ61-AJ89)=0,9&lt;='01_Вводные'!$B$297),0,(AJ61-AJ89)*IF('01_Вводные'!$B$239="Да",MeanMinAge09+AJ205*SUMIF(ThresholdAge09,"&lt;"&amp;AJ205,WeightedRevAge09)-SUMIF(ThresholdAge09,"&lt;"&amp;AJ205,WeightedMinAge09),MAX(CapacityAge09*'01_Вводные'!$B$218*AJ205,MeanMinAge09)))</f>
        <v/>
      </c>
      <c r="AK145" s="190">
        <f>IF(OR((AK61-AK89)=0,9&lt;='01_Вводные'!$B$297),0,(AK61-AK89)*IF('01_Вводные'!$B$239="Да",MeanMinAge09+AK205*SUMIF(ThresholdAge09,"&lt;"&amp;AK205,WeightedRevAge09)-SUMIF(ThresholdAge09,"&lt;"&amp;AK205,WeightedMinAge09),MAX(CapacityAge09*'01_Вводные'!$B$218*AK205,MeanMinAge09)))</f>
        <v/>
      </c>
      <c r="AL145" s="190">
        <f>IF(OR((AL61-AL89)=0,9&lt;='01_Вводные'!$B$297),0,(AL61-AL89)*IF('01_Вводные'!$B$239="Да",MeanMinAge09+AL205*SUMIF(ThresholdAge09,"&lt;"&amp;AL205,WeightedRevAge09)-SUMIF(ThresholdAge09,"&lt;"&amp;AL205,WeightedMinAge09),MAX(CapacityAge09*'01_Вводные'!$B$218*AL205,MeanMinAge09)))</f>
        <v/>
      </c>
      <c r="AM145" s="190">
        <f>IF(OR((AM61-AM89)=0,9&lt;='01_Вводные'!$B$297),0,(AM61-AM89)*IF('01_Вводные'!$B$239="Да",MeanMinAge09+AM205*SUMIF(ThresholdAge09,"&lt;"&amp;AM205,WeightedRevAge09)-SUMIF(ThresholdAge09,"&lt;"&amp;AM205,WeightedMinAge09),MAX(CapacityAge09*'01_Вводные'!$B$218*AM205,MeanMinAge09)))</f>
        <v/>
      </c>
      <c r="AN145" s="190">
        <f>IF(OR((AN61-AN89)=0,9&lt;='01_Вводные'!$B$297),0,(AN61-AN89)*IF('01_Вводные'!$B$239="Да",MeanMinAge09+AN205*SUMIF(ThresholdAge09,"&lt;"&amp;AN205,WeightedRevAge09)-SUMIF(ThresholdAge09,"&lt;"&amp;AN205,WeightedMinAge09),MAX(CapacityAge09*'01_Вводные'!$B$218*AN205,MeanMinAge09)))</f>
        <v/>
      </c>
      <c r="AO145" s="190">
        <f>IF(OR((AO61-AO89)=0,9&lt;='01_Вводные'!$B$297),0,(AO61-AO89)*IF('01_Вводные'!$B$239="Да",MeanMinAge09+AO205*SUMIF(ThresholdAge09,"&lt;"&amp;AO205,WeightedRevAge09)-SUMIF(ThresholdAge09,"&lt;"&amp;AO205,WeightedMinAge09),MAX(CapacityAge09*'01_Вводные'!$B$218*AO205,MeanMinAge09)))</f>
        <v/>
      </c>
      <c r="AP145" s="190">
        <f>IF(OR((AP61-AP89)=0,9&lt;='01_Вводные'!$B$297),0,(AP61-AP89)*IF('01_Вводные'!$B$239="Да",MeanMinAge09+AP205*SUMIF(ThresholdAge09,"&lt;"&amp;AP205,WeightedRevAge09)-SUMIF(ThresholdAge09,"&lt;"&amp;AP205,WeightedMinAge09),MAX(CapacityAge09*'01_Вводные'!$B$218*AP205,MeanMinAge09)))</f>
        <v/>
      </c>
      <c r="AQ145" s="190">
        <f>IF(OR((AQ61-AQ89)=0,9&lt;='01_Вводные'!$B$297),0,(AQ61-AQ89)*IF('01_Вводные'!$B$239="Да",MeanMinAge09+AQ205*SUMIF(ThresholdAge09,"&lt;"&amp;AQ205,WeightedRevAge09)-SUMIF(ThresholdAge09,"&lt;"&amp;AQ205,WeightedMinAge09),MAX(CapacityAge09*'01_Вводные'!$B$218*AQ205,MeanMinAge09)))</f>
        <v/>
      </c>
      <c r="AR145" s="190">
        <f>IF(OR((AR61-AR89)=0,9&lt;='01_Вводные'!$B$297),0,(AR61-AR89)*IF('01_Вводные'!$B$239="Да",MeanMinAge09+AR205*SUMIF(ThresholdAge09,"&lt;"&amp;AR205,WeightedRevAge09)-SUMIF(ThresholdAge09,"&lt;"&amp;AR205,WeightedMinAge09),MAX(CapacityAge09*'01_Вводные'!$B$218*AR205,MeanMinAge09)))</f>
        <v/>
      </c>
      <c r="AS145" s="190">
        <f>IF(OR((AS61-AS89)=0,9&lt;='01_Вводные'!$B$297),0,(AS61-AS89)*IF('01_Вводные'!$B$239="Да",MeanMinAge09+AS205*SUMIF(ThresholdAge09,"&lt;"&amp;AS205,WeightedRevAge09)-SUMIF(ThresholdAge09,"&lt;"&amp;AS205,WeightedMinAge09),MAX(CapacityAge09*'01_Вводные'!$B$218*AS205,MeanMinAge09)))</f>
        <v/>
      </c>
      <c r="AT145" s="190">
        <f>IF(OR((AT61-AT89)=0,9&lt;='01_Вводные'!$B$297),0,(AT61-AT89)*IF('01_Вводные'!$B$239="Да",MeanMinAge09+AT205*SUMIF(ThresholdAge09,"&lt;"&amp;AT205,WeightedRevAge09)-SUMIF(ThresholdAge09,"&lt;"&amp;AT205,WeightedMinAge09),MAX(CapacityAge09*'01_Вводные'!$B$218*AT205,MeanMinAge09)))</f>
        <v/>
      </c>
      <c r="AU145" s="190">
        <f>IF(OR((AU61-AU89)=0,9&lt;='01_Вводные'!$B$297),0,(AU61-AU89)*IF('01_Вводные'!$B$239="Да",MeanMinAge09+AU205*SUMIF(ThresholdAge09,"&lt;"&amp;AU205,WeightedRevAge09)-SUMIF(ThresholdAge09,"&lt;"&amp;AU205,WeightedMinAge09),MAX(CapacityAge09*'01_Вводные'!$B$218*AU205,MeanMinAge09)))</f>
        <v/>
      </c>
      <c r="AV145" s="190">
        <f>IF(OR((AV61-AV89)=0,9&lt;='01_Вводные'!$B$297),0,(AV61-AV89)*IF('01_Вводные'!$B$239="Да",MeanMinAge09+AV205*SUMIF(ThresholdAge09,"&lt;"&amp;AV205,WeightedRevAge09)-SUMIF(ThresholdAge09,"&lt;"&amp;AV205,WeightedMinAge09),MAX(CapacityAge09*'01_Вводные'!$B$218*AV205,MeanMinAge09)))</f>
        <v/>
      </c>
      <c r="AW145" s="190">
        <f>IF(OR((AW61-AW89)=0,9&lt;='01_Вводные'!$B$297),0,(AW61-AW89)*IF('01_Вводные'!$B$239="Да",MeanMinAge09+AW205*SUMIF(ThresholdAge09,"&lt;"&amp;AW205,WeightedRevAge09)-SUMIF(ThresholdAge09,"&lt;"&amp;AW205,WeightedMinAge09),MAX(CapacityAge09*'01_Вводные'!$B$218*AW205,MeanMinAge09)))</f>
        <v/>
      </c>
      <c r="AX145" s="190">
        <f>IF(OR((AX61-AX89)=0,9&lt;='01_Вводные'!$B$297),0,(AX61-AX89)*IF('01_Вводные'!$B$239="Да",MeanMinAge09+AX205*SUMIF(ThresholdAge09,"&lt;"&amp;AX205,WeightedRevAge09)-SUMIF(ThresholdAge09,"&lt;"&amp;AX205,WeightedMinAge09),MAX(CapacityAge09*'01_Вводные'!$B$218*AX205,MeanMinAge09)))</f>
        <v/>
      </c>
      <c r="AY145" s="190">
        <f>IF(OR((AY61-AY89)=0,9&lt;='01_Вводные'!$B$297),0,(AY61-AY89)*IF('01_Вводные'!$B$239="Да",MeanMinAge09+AY205*SUMIF(ThresholdAge09,"&lt;"&amp;AY205,WeightedRevAge09)-SUMIF(ThresholdAge09,"&lt;"&amp;AY205,WeightedMinAge09),MAX(CapacityAge09*'01_Вводные'!$B$218*AY205,MeanMinAge09)))</f>
        <v/>
      </c>
      <c r="AZ145" s="190">
        <f>IF(OR((AZ61-AZ89)=0,9&lt;='01_Вводные'!$B$297),0,(AZ61-AZ89)*IF('01_Вводные'!$B$239="Да",MeanMinAge09+AZ205*SUMIF(ThresholdAge09,"&lt;"&amp;AZ205,WeightedRevAge09)-SUMIF(ThresholdAge09,"&lt;"&amp;AZ205,WeightedMinAge09),MAX(CapacityAge09*'01_Вводные'!$B$218*AZ205,MeanMinAge09)))</f>
        <v/>
      </c>
      <c r="BA145" s="190">
        <f>IF(OR((BA61-BA89)=0,9&lt;='01_Вводные'!$B$297),0,(BA61-BA89)*IF('01_Вводные'!$B$239="Да",MeanMinAge09+BA205*SUMIF(ThresholdAge09,"&lt;"&amp;BA205,WeightedRevAge09)-SUMIF(ThresholdAge09,"&lt;"&amp;BA205,WeightedMinAge09),MAX(CapacityAge09*'01_Вводные'!$B$218*BA205,MeanMinAge09)))</f>
        <v/>
      </c>
      <c r="BB145" s="190">
        <f>IF(OR((BB61-BB89)=0,9&lt;='01_Вводные'!$B$297),0,(BB61-BB89)*IF('01_Вводные'!$B$239="Да",MeanMinAge09+BB205*SUMIF(ThresholdAge09,"&lt;"&amp;BB205,WeightedRevAge09)-SUMIF(ThresholdAge09,"&lt;"&amp;BB205,WeightedMinAge09),MAX(CapacityAge09*'01_Вводные'!$B$218*BB205,MeanMinAge09)))</f>
        <v/>
      </c>
      <c r="BC145" s="190">
        <f>IF(OR((BC61-BC89)=0,9&lt;='01_Вводные'!$B$297),0,(BC61-BC89)*IF('01_Вводные'!$B$239="Да",MeanMinAge09+BC205*SUMIF(ThresholdAge09,"&lt;"&amp;BC205,WeightedRevAge09)-SUMIF(ThresholdAge09,"&lt;"&amp;BC205,WeightedMinAge09),MAX(CapacityAge09*'01_Вводные'!$B$218*BC205,MeanMinAge09)))</f>
        <v/>
      </c>
      <c r="BD145" s="190">
        <f>IF(OR((BD61-BD89)=0,9&lt;='01_Вводные'!$B$297),0,(BD61-BD89)*IF('01_Вводные'!$B$239="Да",MeanMinAge09+BD205*SUMIF(ThresholdAge09,"&lt;"&amp;BD205,WeightedRevAge09)-SUMIF(ThresholdAge09,"&lt;"&amp;BD205,WeightedMinAge09),MAX(CapacityAge09*'01_Вводные'!$B$218*BD205,MeanMinAge09)))</f>
        <v/>
      </c>
      <c r="BE145" s="190">
        <f>IF(OR((BE61-BE89)=0,9&lt;='01_Вводные'!$B$297),0,(BE61-BE89)*IF('01_Вводные'!$B$239="Да",MeanMinAge09+BE205*SUMIF(ThresholdAge09,"&lt;"&amp;BE205,WeightedRevAge09)-SUMIF(ThresholdAge09,"&lt;"&amp;BE205,WeightedMinAge09),MAX(CapacityAge09*'01_Вводные'!$B$218*BE205,MeanMinAge09)))</f>
        <v/>
      </c>
      <c r="BF145" s="190">
        <f>IF(OR((BF61-BF89)=0,9&lt;='01_Вводные'!$B$297),0,(BF61-BF89)*IF('01_Вводные'!$B$239="Да",MeanMinAge09+BF205*SUMIF(ThresholdAge09,"&lt;"&amp;BF205,WeightedRevAge09)-SUMIF(ThresholdAge09,"&lt;"&amp;BF205,WeightedMinAge09),MAX(CapacityAge09*'01_Вводные'!$B$218*BF205,MeanMinAge09)))</f>
        <v/>
      </c>
      <c r="BG145" s="190">
        <f>IF(OR((BG61-BG89)=0,9&lt;='01_Вводные'!$B$297),0,(BG61-BG89)*IF('01_Вводные'!$B$239="Да",MeanMinAge09+BG205*SUMIF(ThresholdAge09,"&lt;"&amp;BG205,WeightedRevAge09)-SUMIF(ThresholdAge09,"&lt;"&amp;BG205,WeightedMinAge09),MAX(CapacityAge09*'01_Вводные'!$B$218*BG205,MeanMinAge09)))</f>
        <v/>
      </c>
      <c r="BH145" s="190">
        <f>IF(OR((BH61-BH89)=0,9&lt;='01_Вводные'!$B$297),0,(BH61-BH89)*IF('01_Вводные'!$B$239="Да",MeanMinAge09+BH205*SUMIF(ThresholdAge09,"&lt;"&amp;BH205,WeightedRevAge09)-SUMIF(ThresholdAge09,"&lt;"&amp;BH205,WeightedMinAge09),MAX(CapacityAge09*'01_Вводные'!$B$218*BH205,MeanMinAge09)))</f>
        <v/>
      </c>
      <c r="BI145" s="190">
        <f>IF(OR((BI61-BI89)=0,9&lt;='01_Вводные'!$B$297),0,(BI61-BI89)*IF('01_Вводные'!$B$239="Да",MeanMinAge09+BI205*SUMIF(ThresholdAge09,"&lt;"&amp;BI205,WeightedRevAge09)-SUMIF(ThresholdAge09,"&lt;"&amp;BI205,WeightedMinAge09),MAX(CapacityAge09*'01_Вводные'!$B$218*BI205,MeanMinAge09)))</f>
        <v/>
      </c>
      <c r="BJ145" s="190">
        <f>IF(OR((BJ61-BJ89)=0,9&lt;='01_Вводные'!$B$297),0,(BJ61-BJ89)*IF('01_Вводные'!$B$239="Да",MeanMinAge09+BJ205*SUMIF(ThresholdAge09,"&lt;"&amp;BJ205,WeightedRevAge09)-SUMIF(ThresholdAge09,"&lt;"&amp;BJ205,WeightedMinAge09),MAX(CapacityAge09*'01_Вводные'!$B$218*BJ205,MeanMinAge09)))</f>
        <v/>
      </c>
      <c r="BK145" s="190">
        <f>IF(OR((BK61-BK89)=0,9&lt;='01_Вводные'!$B$297),0,(BK61-BK89)*IF('01_Вводные'!$B$239="Да",MeanMinAge09+BK205*SUMIF(ThresholdAge09,"&lt;"&amp;BK205,WeightedRevAge09)-SUMIF(ThresholdAge09,"&lt;"&amp;BK205,WeightedMinAge09),MAX(CapacityAge09*'01_Вводные'!$B$218*BK205,MeanMinAge09)))</f>
        <v/>
      </c>
      <c r="BL145" s="190">
        <f>IF(OR((BL61-BL89)=0,9&lt;='01_Вводные'!$B$297),0,(BL61-BL89)*IF('01_Вводные'!$B$239="Да",MeanMinAge09+BL205*SUMIF(ThresholdAge09,"&lt;"&amp;BL205,WeightedRevAge09)-SUMIF(ThresholdAge09,"&lt;"&amp;BL205,WeightedMinAge09),MAX(CapacityAge09*'01_Вводные'!$B$218*BL205,MeanMinAge09)))</f>
        <v/>
      </c>
      <c r="BM145" s="190">
        <f>IF(OR((BM61-BM89)=0,9&lt;='01_Вводные'!$B$297),0,(BM61-BM89)*IF('01_Вводные'!$B$239="Да",MeanMinAge09+BM205*SUMIF(ThresholdAge09,"&lt;"&amp;BM205,WeightedRevAge09)-SUMIF(ThresholdAge09,"&lt;"&amp;BM205,WeightedMinAge09),MAX(CapacityAge09*'01_Вводные'!$B$218*BM205,MeanMinAge09)))</f>
        <v/>
      </c>
      <c r="BN145" s="190">
        <f>IF(OR((BN61-BN89)=0,9&lt;='01_Вводные'!$B$297),0,(BN61-BN89)*IF('01_Вводные'!$B$239="Да",MeanMinAge09+BN205*SUMIF(ThresholdAge09,"&lt;"&amp;BN205,WeightedRevAge09)-SUMIF(ThresholdAge09,"&lt;"&amp;BN205,WeightedMinAge09),MAX(CapacityAge09*'01_Вводные'!$B$218*BN205,MeanMinAge09)))</f>
        <v/>
      </c>
      <c r="BO145" s="190">
        <f>IF(OR((BO61-BO89)=0,9&lt;='01_Вводные'!$B$297),0,(BO61-BO89)*IF('01_Вводные'!$B$239="Да",MeanMinAge09+BO205*SUMIF(ThresholdAge09,"&lt;"&amp;BO205,WeightedRevAge09)-SUMIF(ThresholdAge09,"&lt;"&amp;BO205,WeightedMinAge09),MAX(CapacityAge09*'01_Вводные'!$B$218*BO205,MeanMinAge09)))</f>
        <v/>
      </c>
    </row>
    <row r="146" hidden="1" outlineLevel="1">
      <c r="A146" t="inlineStr">
        <is>
          <t>10 мес.</t>
        </is>
      </c>
      <c r="B146" s="190">
        <f>IF(OR((B62-B90)=0,10&lt;='01_Вводные'!$B$297),0,(B62-B90)*IF('01_Вводные'!$B$239="Да",MeanMinAge10+B205*SUMIF(ThresholdAge10,"&lt;"&amp;B205,WeightedRevAge10)-SUMIF(ThresholdAge10,"&lt;"&amp;B205,WeightedMinAge10),MAX(CapacityAge10*'01_Вводные'!$B$218*B205,MeanMinAge10)))</f>
        <v/>
      </c>
      <c r="C146" s="190">
        <f>IF(OR((C62-C90)=0,10&lt;='01_Вводные'!$B$297),0,(C62-C90)*IF('01_Вводные'!$B$239="Да",MeanMinAge10+C205*SUMIF(ThresholdAge10,"&lt;"&amp;C205,WeightedRevAge10)-SUMIF(ThresholdAge10,"&lt;"&amp;C205,WeightedMinAge10),MAX(CapacityAge10*'01_Вводные'!$B$218*C205,MeanMinAge10)))</f>
        <v/>
      </c>
      <c r="D146" s="190">
        <f>IF(OR((D62-D90)=0,10&lt;='01_Вводные'!$B$297),0,(D62-D90)*IF('01_Вводные'!$B$239="Да",MeanMinAge10+D205*SUMIF(ThresholdAge10,"&lt;"&amp;D205,WeightedRevAge10)-SUMIF(ThresholdAge10,"&lt;"&amp;D205,WeightedMinAge10),MAX(CapacityAge10*'01_Вводные'!$B$218*D205,MeanMinAge10)))</f>
        <v/>
      </c>
      <c r="E146" s="190">
        <f>IF(OR((E62-E90)=0,10&lt;='01_Вводные'!$B$297),0,(E62-E90)*IF('01_Вводные'!$B$239="Да",MeanMinAge10+E205*SUMIF(ThresholdAge10,"&lt;"&amp;E205,WeightedRevAge10)-SUMIF(ThresholdAge10,"&lt;"&amp;E205,WeightedMinAge10),MAX(CapacityAge10*'01_Вводные'!$B$218*E205,MeanMinAge10)))</f>
        <v/>
      </c>
      <c r="F146" s="190">
        <f>IF(OR((F62-F90)=0,10&lt;='01_Вводные'!$B$297),0,(F62-F90)*IF('01_Вводные'!$B$239="Да",MeanMinAge10+F205*SUMIF(ThresholdAge10,"&lt;"&amp;F205,WeightedRevAge10)-SUMIF(ThresholdAge10,"&lt;"&amp;F205,WeightedMinAge10),MAX(CapacityAge10*'01_Вводные'!$B$218*F205,MeanMinAge10)))</f>
        <v/>
      </c>
      <c r="G146" s="190">
        <f>IF(OR((G62-G90)=0,10&lt;='01_Вводные'!$B$297),0,(G62-G90)*IF('01_Вводные'!$B$239="Да",MeanMinAge10+G205*SUMIF(ThresholdAge10,"&lt;"&amp;G205,WeightedRevAge10)-SUMIF(ThresholdAge10,"&lt;"&amp;G205,WeightedMinAge10),MAX(CapacityAge10*'01_Вводные'!$B$218*G205,MeanMinAge10)))</f>
        <v/>
      </c>
      <c r="H146" s="190">
        <f>IF(OR((H62-H90)=0,10&lt;='01_Вводные'!$B$297),0,(H62-H90)*IF('01_Вводные'!$B$239="Да",MeanMinAge10+H205*SUMIF(ThresholdAge10,"&lt;"&amp;H205,WeightedRevAge10)-SUMIF(ThresholdAge10,"&lt;"&amp;H205,WeightedMinAge10),MAX(CapacityAge10*'01_Вводные'!$B$218*H205,MeanMinAge10)))</f>
        <v/>
      </c>
      <c r="I146" s="190">
        <f>IF(OR((I62-I90)=0,10&lt;='01_Вводные'!$B$297),0,(I62-I90)*IF('01_Вводные'!$B$239="Да",MeanMinAge10+I205*SUMIF(ThresholdAge10,"&lt;"&amp;I205,WeightedRevAge10)-SUMIF(ThresholdAge10,"&lt;"&amp;I205,WeightedMinAge10),MAX(CapacityAge10*'01_Вводные'!$B$218*I205,MeanMinAge10)))</f>
        <v/>
      </c>
      <c r="J146" s="190">
        <f>IF(OR((J62-J90)=0,10&lt;='01_Вводные'!$B$297),0,(J62-J90)*IF('01_Вводные'!$B$239="Да",MeanMinAge10+J205*SUMIF(ThresholdAge10,"&lt;"&amp;J205,WeightedRevAge10)-SUMIF(ThresholdAge10,"&lt;"&amp;J205,WeightedMinAge10),MAX(CapacityAge10*'01_Вводные'!$B$218*J205,MeanMinAge10)))</f>
        <v/>
      </c>
      <c r="K146" s="190">
        <f>IF(OR((K62-K90)=0,10&lt;='01_Вводные'!$B$297),0,(K62-K90)*IF('01_Вводные'!$B$239="Да",MeanMinAge10+K205*SUMIF(ThresholdAge10,"&lt;"&amp;K205,WeightedRevAge10)-SUMIF(ThresholdAge10,"&lt;"&amp;K205,WeightedMinAge10),MAX(CapacityAge10*'01_Вводные'!$B$218*K205,MeanMinAge10)))</f>
        <v/>
      </c>
      <c r="L146" s="190">
        <f>IF(OR((L62-L90)=0,10&lt;='01_Вводные'!$B$297),0,(L62-L90)*IF('01_Вводные'!$B$239="Да",MeanMinAge10+L205*SUMIF(ThresholdAge10,"&lt;"&amp;L205,WeightedRevAge10)-SUMIF(ThresholdAge10,"&lt;"&amp;L205,WeightedMinAge10),MAX(CapacityAge10*'01_Вводные'!$B$218*L205,MeanMinAge10)))</f>
        <v/>
      </c>
      <c r="M146" s="190">
        <f>IF(OR((M62-M90)=0,10&lt;='01_Вводные'!$B$297),0,(M62-M90)*IF('01_Вводные'!$B$239="Да",MeanMinAge10+M205*SUMIF(ThresholdAge10,"&lt;"&amp;M205,WeightedRevAge10)-SUMIF(ThresholdAge10,"&lt;"&amp;M205,WeightedMinAge10),MAX(CapacityAge10*'01_Вводные'!$B$218*M205,MeanMinAge10)))</f>
        <v/>
      </c>
      <c r="N146" s="190">
        <f>IF(OR((N62-N90)=0,10&lt;='01_Вводные'!$B$297),0,(N62-N90)*IF('01_Вводные'!$B$239="Да",MeanMinAge10+N205*SUMIF(ThresholdAge10,"&lt;"&amp;N205,WeightedRevAge10)-SUMIF(ThresholdAge10,"&lt;"&amp;N205,WeightedMinAge10),MAX(CapacityAge10*'01_Вводные'!$B$218*N205,MeanMinAge10)))</f>
        <v/>
      </c>
      <c r="O146" s="190">
        <f>IF(OR((O62-O90)=0,10&lt;='01_Вводные'!$B$297),0,(O62-O90)*IF('01_Вводные'!$B$239="Да",MeanMinAge10+O205*SUMIF(ThresholdAge10,"&lt;"&amp;O205,WeightedRevAge10)-SUMIF(ThresholdAge10,"&lt;"&amp;O205,WeightedMinAge10),MAX(CapacityAge10*'01_Вводные'!$B$218*O205,MeanMinAge10)))</f>
        <v/>
      </c>
      <c r="P146" s="190">
        <f>IF(OR((P62-P90)=0,10&lt;='01_Вводные'!$B$297),0,(P62-P90)*IF('01_Вводные'!$B$239="Да",MeanMinAge10+P205*SUMIF(ThresholdAge10,"&lt;"&amp;P205,WeightedRevAge10)-SUMIF(ThresholdAge10,"&lt;"&amp;P205,WeightedMinAge10),MAX(CapacityAge10*'01_Вводные'!$B$218*P205,MeanMinAge10)))</f>
        <v/>
      </c>
      <c r="Q146" s="190">
        <f>IF(OR((Q62-Q90)=0,10&lt;='01_Вводные'!$B$297),0,(Q62-Q90)*IF('01_Вводные'!$B$239="Да",MeanMinAge10+Q205*SUMIF(ThresholdAge10,"&lt;"&amp;Q205,WeightedRevAge10)-SUMIF(ThresholdAge10,"&lt;"&amp;Q205,WeightedMinAge10),MAX(CapacityAge10*'01_Вводные'!$B$218*Q205,MeanMinAge10)))</f>
        <v/>
      </c>
      <c r="R146" s="190">
        <f>IF(OR((R62-R90)=0,10&lt;='01_Вводные'!$B$297),0,(R62-R90)*IF('01_Вводные'!$B$239="Да",MeanMinAge10+R205*SUMIF(ThresholdAge10,"&lt;"&amp;R205,WeightedRevAge10)-SUMIF(ThresholdAge10,"&lt;"&amp;R205,WeightedMinAge10),MAX(CapacityAge10*'01_Вводные'!$B$218*R205,MeanMinAge10)))</f>
        <v/>
      </c>
      <c r="S146" s="190">
        <f>IF(OR((S62-S90)=0,10&lt;='01_Вводные'!$B$297),0,(S62-S90)*IF('01_Вводные'!$B$239="Да",MeanMinAge10+S205*SUMIF(ThresholdAge10,"&lt;"&amp;S205,WeightedRevAge10)-SUMIF(ThresholdAge10,"&lt;"&amp;S205,WeightedMinAge10),MAX(CapacityAge10*'01_Вводные'!$B$218*S205,MeanMinAge10)))</f>
        <v/>
      </c>
      <c r="T146" s="190">
        <f>IF(OR((T62-T90)=0,10&lt;='01_Вводные'!$B$297),0,(T62-T90)*IF('01_Вводные'!$B$239="Да",MeanMinAge10+T205*SUMIF(ThresholdAge10,"&lt;"&amp;T205,WeightedRevAge10)-SUMIF(ThresholdAge10,"&lt;"&amp;T205,WeightedMinAge10),MAX(CapacityAge10*'01_Вводные'!$B$218*T205,MeanMinAge10)))</f>
        <v/>
      </c>
      <c r="U146" s="190">
        <f>IF(OR((U62-U90)=0,10&lt;='01_Вводные'!$B$297),0,(U62-U90)*IF('01_Вводные'!$B$239="Да",MeanMinAge10+U205*SUMIF(ThresholdAge10,"&lt;"&amp;U205,WeightedRevAge10)-SUMIF(ThresholdAge10,"&lt;"&amp;U205,WeightedMinAge10),MAX(CapacityAge10*'01_Вводные'!$B$218*U205,MeanMinAge10)))</f>
        <v/>
      </c>
      <c r="V146" s="190">
        <f>IF(OR((V62-V90)=0,10&lt;='01_Вводные'!$B$297),0,(V62-V90)*IF('01_Вводные'!$B$239="Да",MeanMinAge10+V205*SUMIF(ThresholdAge10,"&lt;"&amp;V205,WeightedRevAge10)-SUMIF(ThresholdAge10,"&lt;"&amp;V205,WeightedMinAge10),MAX(CapacityAge10*'01_Вводные'!$B$218*V205,MeanMinAge10)))</f>
        <v/>
      </c>
      <c r="W146" s="190">
        <f>IF(OR((W62-W90)=0,10&lt;='01_Вводные'!$B$297),0,(W62-W90)*IF('01_Вводные'!$B$239="Да",MeanMinAge10+W205*SUMIF(ThresholdAge10,"&lt;"&amp;W205,WeightedRevAge10)-SUMIF(ThresholdAge10,"&lt;"&amp;W205,WeightedMinAge10),MAX(CapacityAge10*'01_Вводные'!$B$218*W205,MeanMinAge10)))</f>
        <v/>
      </c>
      <c r="X146" s="190">
        <f>IF(OR((X62-X90)=0,10&lt;='01_Вводные'!$B$297),0,(X62-X90)*IF('01_Вводные'!$B$239="Да",MeanMinAge10+X205*SUMIF(ThresholdAge10,"&lt;"&amp;X205,WeightedRevAge10)-SUMIF(ThresholdAge10,"&lt;"&amp;X205,WeightedMinAge10),MAX(CapacityAge10*'01_Вводные'!$B$218*X205,MeanMinAge10)))</f>
        <v/>
      </c>
      <c r="Y146" s="190">
        <f>IF(OR((Y62-Y90)=0,10&lt;='01_Вводные'!$B$297),0,(Y62-Y90)*IF('01_Вводные'!$B$239="Да",MeanMinAge10+Y205*SUMIF(ThresholdAge10,"&lt;"&amp;Y205,WeightedRevAge10)-SUMIF(ThresholdAge10,"&lt;"&amp;Y205,WeightedMinAge10),MAX(CapacityAge10*'01_Вводные'!$B$218*Y205,MeanMinAge10)))</f>
        <v/>
      </c>
      <c r="Z146" s="190">
        <f>IF(OR((Z62-Z90)=0,10&lt;='01_Вводные'!$B$297),0,(Z62-Z90)*IF('01_Вводные'!$B$239="Да",MeanMinAge10+Z205*SUMIF(ThresholdAge10,"&lt;"&amp;Z205,WeightedRevAge10)-SUMIF(ThresholdAge10,"&lt;"&amp;Z205,WeightedMinAge10),MAX(CapacityAge10*'01_Вводные'!$B$218*Z205,MeanMinAge10)))</f>
        <v/>
      </c>
      <c r="AA146" s="190">
        <f>IF(OR((AA62-AA90)=0,10&lt;='01_Вводные'!$B$297),0,(AA62-AA90)*IF('01_Вводные'!$B$239="Да",MeanMinAge10+AA205*SUMIF(ThresholdAge10,"&lt;"&amp;AA205,WeightedRevAge10)-SUMIF(ThresholdAge10,"&lt;"&amp;AA205,WeightedMinAge10),MAX(CapacityAge10*'01_Вводные'!$B$218*AA205,MeanMinAge10)))</f>
        <v/>
      </c>
      <c r="AB146" s="190">
        <f>IF(OR((AB62-AB90)=0,10&lt;='01_Вводные'!$B$297),0,(AB62-AB90)*IF('01_Вводные'!$B$239="Да",MeanMinAge10+AB205*SUMIF(ThresholdAge10,"&lt;"&amp;AB205,WeightedRevAge10)-SUMIF(ThresholdAge10,"&lt;"&amp;AB205,WeightedMinAge10),MAX(CapacityAge10*'01_Вводные'!$B$218*AB205,MeanMinAge10)))</f>
        <v/>
      </c>
      <c r="AC146" s="190">
        <f>IF(OR((AC62-AC90)=0,10&lt;='01_Вводные'!$B$297),0,(AC62-AC90)*IF('01_Вводные'!$B$239="Да",MeanMinAge10+AC205*SUMIF(ThresholdAge10,"&lt;"&amp;AC205,WeightedRevAge10)-SUMIF(ThresholdAge10,"&lt;"&amp;AC205,WeightedMinAge10),MAX(CapacityAge10*'01_Вводные'!$B$218*AC205,MeanMinAge10)))</f>
        <v/>
      </c>
      <c r="AD146" s="190">
        <f>IF(OR((AD62-AD90)=0,10&lt;='01_Вводные'!$B$297),0,(AD62-AD90)*IF('01_Вводные'!$B$239="Да",MeanMinAge10+AD205*SUMIF(ThresholdAge10,"&lt;"&amp;AD205,WeightedRevAge10)-SUMIF(ThresholdAge10,"&lt;"&amp;AD205,WeightedMinAge10),MAX(CapacityAge10*'01_Вводные'!$B$218*AD205,MeanMinAge10)))</f>
        <v/>
      </c>
      <c r="AE146" s="190">
        <f>IF(OR((AE62-AE90)=0,10&lt;='01_Вводные'!$B$297),0,(AE62-AE90)*IF('01_Вводные'!$B$239="Да",MeanMinAge10+AE205*SUMIF(ThresholdAge10,"&lt;"&amp;AE205,WeightedRevAge10)-SUMIF(ThresholdAge10,"&lt;"&amp;AE205,WeightedMinAge10),MAX(CapacityAge10*'01_Вводные'!$B$218*AE205,MeanMinAge10)))</f>
        <v/>
      </c>
      <c r="AF146" s="190">
        <f>IF(OR((AF62-AF90)=0,10&lt;='01_Вводные'!$B$297),0,(AF62-AF90)*IF('01_Вводные'!$B$239="Да",MeanMinAge10+AF205*SUMIF(ThresholdAge10,"&lt;"&amp;AF205,WeightedRevAge10)-SUMIF(ThresholdAge10,"&lt;"&amp;AF205,WeightedMinAge10),MAX(CapacityAge10*'01_Вводные'!$B$218*AF205,MeanMinAge10)))</f>
        <v/>
      </c>
      <c r="AG146" s="190">
        <f>IF(OR((AG62-AG90)=0,10&lt;='01_Вводные'!$B$297),0,(AG62-AG90)*IF('01_Вводные'!$B$239="Да",MeanMinAge10+AG205*SUMIF(ThresholdAge10,"&lt;"&amp;AG205,WeightedRevAge10)-SUMIF(ThresholdAge10,"&lt;"&amp;AG205,WeightedMinAge10),MAX(CapacityAge10*'01_Вводные'!$B$218*AG205,MeanMinAge10)))</f>
        <v/>
      </c>
      <c r="AH146" s="190">
        <f>IF(OR((AH62-AH90)=0,10&lt;='01_Вводные'!$B$297),0,(AH62-AH90)*IF('01_Вводные'!$B$239="Да",MeanMinAge10+AH205*SUMIF(ThresholdAge10,"&lt;"&amp;AH205,WeightedRevAge10)-SUMIF(ThresholdAge10,"&lt;"&amp;AH205,WeightedMinAge10),MAX(CapacityAge10*'01_Вводные'!$B$218*AH205,MeanMinAge10)))</f>
        <v/>
      </c>
      <c r="AI146" s="190">
        <f>IF(OR((AI62-AI90)=0,10&lt;='01_Вводные'!$B$297),0,(AI62-AI90)*IF('01_Вводные'!$B$239="Да",MeanMinAge10+AI205*SUMIF(ThresholdAge10,"&lt;"&amp;AI205,WeightedRevAge10)-SUMIF(ThresholdAge10,"&lt;"&amp;AI205,WeightedMinAge10),MAX(CapacityAge10*'01_Вводные'!$B$218*AI205,MeanMinAge10)))</f>
        <v/>
      </c>
      <c r="AJ146" s="190">
        <f>IF(OR((AJ62-AJ90)=0,10&lt;='01_Вводные'!$B$297),0,(AJ62-AJ90)*IF('01_Вводные'!$B$239="Да",MeanMinAge10+AJ205*SUMIF(ThresholdAge10,"&lt;"&amp;AJ205,WeightedRevAge10)-SUMIF(ThresholdAge10,"&lt;"&amp;AJ205,WeightedMinAge10),MAX(CapacityAge10*'01_Вводные'!$B$218*AJ205,MeanMinAge10)))</f>
        <v/>
      </c>
      <c r="AK146" s="190">
        <f>IF(OR((AK62-AK90)=0,10&lt;='01_Вводные'!$B$297),0,(AK62-AK90)*IF('01_Вводные'!$B$239="Да",MeanMinAge10+AK205*SUMIF(ThresholdAge10,"&lt;"&amp;AK205,WeightedRevAge10)-SUMIF(ThresholdAge10,"&lt;"&amp;AK205,WeightedMinAge10),MAX(CapacityAge10*'01_Вводные'!$B$218*AK205,MeanMinAge10)))</f>
        <v/>
      </c>
      <c r="AL146" s="190">
        <f>IF(OR((AL62-AL90)=0,10&lt;='01_Вводные'!$B$297),0,(AL62-AL90)*IF('01_Вводные'!$B$239="Да",MeanMinAge10+AL205*SUMIF(ThresholdAge10,"&lt;"&amp;AL205,WeightedRevAge10)-SUMIF(ThresholdAge10,"&lt;"&amp;AL205,WeightedMinAge10),MAX(CapacityAge10*'01_Вводные'!$B$218*AL205,MeanMinAge10)))</f>
        <v/>
      </c>
      <c r="AM146" s="190">
        <f>IF(OR((AM62-AM90)=0,10&lt;='01_Вводные'!$B$297),0,(AM62-AM90)*IF('01_Вводные'!$B$239="Да",MeanMinAge10+AM205*SUMIF(ThresholdAge10,"&lt;"&amp;AM205,WeightedRevAge10)-SUMIF(ThresholdAge10,"&lt;"&amp;AM205,WeightedMinAge10),MAX(CapacityAge10*'01_Вводные'!$B$218*AM205,MeanMinAge10)))</f>
        <v/>
      </c>
      <c r="AN146" s="190">
        <f>IF(OR((AN62-AN90)=0,10&lt;='01_Вводные'!$B$297),0,(AN62-AN90)*IF('01_Вводные'!$B$239="Да",MeanMinAge10+AN205*SUMIF(ThresholdAge10,"&lt;"&amp;AN205,WeightedRevAge10)-SUMIF(ThresholdAge10,"&lt;"&amp;AN205,WeightedMinAge10),MAX(CapacityAge10*'01_Вводные'!$B$218*AN205,MeanMinAge10)))</f>
        <v/>
      </c>
      <c r="AO146" s="190">
        <f>IF(OR((AO62-AO90)=0,10&lt;='01_Вводные'!$B$297),0,(AO62-AO90)*IF('01_Вводные'!$B$239="Да",MeanMinAge10+AO205*SUMIF(ThresholdAge10,"&lt;"&amp;AO205,WeightedRevAge10)-SUMIF(ThresholdAge10,"&lt;"&amp;AO205,WeightedMinAge10),MAX(CapacityAge10*'01_Вводные'!$B$218*AO205,MeanMinAge10)))</f>
        <v/>
      </c>
      <c r="AP146" s="190">
        <f>IF(OR((AP62-AP90)=0,10&lt;='01_Вводные'!$B$297),0,(AP62-AP90)*IF('01_Вводные'!$B$239="Да",MeanMinAge10+AP205*SUMIF(ThresholdAge10,"&lt;"&amp;AP205,WeightedRevAge10)-SUMIF(ThresholdAge10,"&lt;"&amp;AP205,WeightedMinAge10),MAX(CapacityAge10*'01_Вводные'!$B$218*AP205,MeanMinAge10)))</f>
        <v/>
      </c>
      <c r="AQ146" s="190">
        <f>IF(OR((AQ62-AQ90)=0,10&lt;='01_Вводные'!$B$297),0,(AQ62-AQ90)*IF('01_Вводные'!$B$239="Да",MeanMinAge10+AQ205*SUMIF(ThresholdAge10,"&lt;"&amp;AQ205,WeightedRevAge10)-SUMIF(ThresholdAge10,"&lt;"&amp;AQ205,WeightedMinAge10),MAX(CapacityAge10*'01_Вводные'!$B$218*AQ205,MeanMinAge10)))</f>
        <v/>
      </c>
      <c r="AR146" s="190">
        <f>IF(OR((AR62-AR90)=0,10&lt;='01_Вводные'!$B$297),0,(AR62-AR90)*IF('01_Вводные'!$B$239="Да",MeanMinAge10+AR205*SUMIF(ThresholdAge10,"&lt;"&amp;AR205,WeightedRevAge10)-SUMIF(ThresholdAge10,"&lt;"&amp;AR205,WeightedMinAge10),MAX(CapacityAge10*'01_Вводные'!$B$218*AR205,MeanMinAge10)))</f>
        <v/>
      </c>
      <c r="AS146" s="190">
        <f>IF(OR((AS62-AS90)=0,10&lt;='01_Вводные'!$B$297),0,(AS62-AS90)*IF('01_Вводные'!$B$239="Да",MeanMinAge10+AS205*SUMIF(ThresholdAge10,"&lt;"&amp;AS205,WeightedRevAge10)-SUMIF(ThresholdAge10,"&lt;"&amp;AS205,WeightedMinAge10),MAX(CapacityAge10*'01_Вводные'!$B$218*AS205,MeanMinAge10)))</f>
        <v/>
      </c>
      <c r="AT146" s="190">
        <f>IF(OR((AT62-AT90)=0,10&lt;='01_Вводные'!$B$297),0,(AT62-AT90)*IF('01_Вводные'!$B$239="Да",MeanMinAge10+AT205*SUMIF(ThresholdAge10,"&lt;"&amp;AT205,WeightedRevAge10)-SUMIF(ThresholdAge10,"&lt;"&amp;AT205,WeightedMinAge10),MAX(CapacityAge10*'01_Вводные'!$B$218*AT205,MeanMinAge10)))</f>
        <v/>
      </c>
      <c r="AU146" s="190">
        <f>IF(OR((AU62-AU90)=0,10&lt;='01_Вводные'!$B$297),0,(AU62-AU90)*IF('01_Вводные'!$B$239="Да",MeanMinAge10+AU205*SUMIF(ThresholdAge10,"&lt;"&amp;AU205,WeightedRevAge10)-SUMIF(ThresholdAge10,"&lt;"&amp;AU205,WeightedMinAge10),MAX(CapacityAge10*'01_Вводные'!$B$218*AU205,MeanMinAge10)))</f>
        <v/>
      </c>
      <c r="AV146" s="190">
        <f>IF(OR((AV62-AV90)=0,10&lt;='01_Вводные'!$B$297),0,(AV62-AV90)*IF('01_Вводные'!$B$239="Да",MeanMinAge10+AV205*SUMIF(ThresholdAge10,"&lt;"&amp;AV205,WeightedRevAge10)-SUMIF(ThresholdAge10,"&lt;"&amp;AV205,WeightedMinAge10),MAX(CapacityAge10*'01_Вводные'!$B$218*AV205,MeanMinAge10)))</f>
        <v/>
      </c>
      <c r="AW146" s="190">
        <f>IF(OR((AW62-AW90)=0,10&lt;='01_Вводные'!$B$297),0,(AW62-AW90)*IF('01_Вводные'!$B$239="Да",MeanMinAge10+AW205*SUMIF(ThresholdAge10,"&lt;"&amp;AW205,WeightedRevAge10)-SUMIF(ThresholdAge10,"&lt;"&amp;AW205,WeightedMinAge10),MAX(CapacityAge10*'01_Вводные'!$B$218*AW205,MeanMinAge10)))</f>
        <v/>
      </c>
      <c r="AX146" s="190">
        <f>IF(OR((AX62-AX90)=0,10&lt;='01_Вводные'!$B$297),0,(AX62-AX90)*IF('01_Вводные'!$B$239="Да",MeanMinAge10+AX205*SUMIF(ThresholdAge10,"&lt;"&amp;AX205,WeightedRevAge10)-SUMIF(ThresholdAge10,"&lt;"&amp;AX205,WeightedMinAge10),MAX(CapacityAge10*'01_Вводные'!$B$218*AX205,MeanMinAge10)))</f>
        <v/>
      </c>
      <c r="AY146" s="190">
        <f>IF(OR((AY62-AY90)=0,10&lt;='01_Вводные'!$B$297),0,(AY62-AY90)*IF('01_Вводные'!$B$239="Да",MeanMinAge10+AY205*SUMIF(ThresholdAge10,"&lt;"&amp;AY205,WeightedRevAge10)-SUMIF(ThresholdAge10,"&lt;"&amp;AY205,WeightedMinAge10),MAX(CapacityAge10*'01_Вводные'!$B$218*AY205,MeanMinAge10)))</f>
        <v/>
      </c>
      <c r="AZ146" s="190">
        <f>IF(OR((AZ62-AZ90)=0,10&lt;='01_Вводные'!$B$297),0,(AZ62-AZ90)*IF('01_Вводные'!$B$239="Да",MeanMinAge10+AZ205*SUMIF(ThresholdAge10,"&lt;"&amp;AZ205,WeightedRevAge10)-SUMIF(ThresholdAge10,"&lt;"&amp;AZ205,WeightedMinAge10),MAX(CapacityAge10*'01_Вводные'!$B$218*AZ205,MeanMinAge10)))</f>
        <v/>
      </c>
      <c r="BA146" s="190">
        <f>IF(OR((BA62-BA90)=0,10&lt;='01_Вводные'!$B$297),0,(BA62-BA90)*IF('01_Вводные'!$B$239="Да",MeanMinAge10+BA205*SUMIF(ThresholdAge10,"&lt;"&amp;BA205,WeightedRevAge10)-SUMIF(ThresholdAge10,"&lt;"&amp;BA205,WeightedMinAge10),MAX(CapacityAge10*'01_Вводные'!$B$218*BA205,MeanMinAge10)))</f>
        <v/>
      </c>
      <c r="BB146" s="190">
        <f>IF(OR((BB62-BB90)=0,10&lt;='01_Вводные'!$B$297),0,(BB62-BB90)*IF('01_Вводные'!$B$239="Да",MeanMinAge10+BB205*SUMIF(ThresholdAge10,"&lt;"&amp;BB205,WeightedRevAge10)-SUMIF(ThresholdAge10,"&lt;"&amp;BB205,WeightedMinAge10),MAX(CapacityAge10*'01_Вводные'!$B$218*BB205,MeanMinAge10)))</f>
        <v/>
      </c>
      <c r="BC146" s="190">
        <f>IF(OR((BC62-BC90)=0,10&lt;='01_Вводные'!$B$297),0,(BC62-BC90)*IF('01_Вводные'!$B$239="Да",MeanMinAge10+BC205*SUMIF(ThresholdAge10,"&lt;"&amp;BC205,WeightedRevAge10)-SUMIF(ThresholdAge10,"&lt;"&amp;BC205,WeightedMinAge10),MAX(CapacityAge10*'01_Вводные'!$B$218*BC205,MeanMinAge10)))</f>
        <v/>
      </c>
      <c r="BD146" s="190">
        <f>IF(OR((BD62-BD90)=0,10&lt;='01_Вводные'!$B$297),0,(BD62-BD90)*IF('01_Вводные'!$B$239="Да",MeanMinAge10+BD205*SUMIF(ThresholdAge10,"&lt;"&amp;BD205,WeightedRevAge10)-SUMIF(ThresholdAge10,"&lt;"&amp;BD205,WeightedMinAge10),MAX(CapacityAge10*'01_Вводные'!$B$218*BD205,MeanMinAge10)))</f>
        <v/>
      </c>
      <c r="BE146" s="190">
        <f>IF(OR((BE62-BE90)=0,10&lt;='01_Вводные'!$B$297),0,(BE62-BE90)*IF('01_Вводные'!$B$239="Да",MeanMinAge10+BE205*SUMIF(ThresholdAge10,"&lt;"&amp;BE205,WeightedRevAge10)-SUMIF(ThresholdAge10,"&lt;"&amp;BE205,WeightedMinAge10),MAX(CapacityAge10*'01_Вводные'!$B$218*BE205,MeanMinAge10)))</f>
        <v/>
      </c>
      <c r="BF146" s="190">
        <f>IF(OR((BF62-BF90)=0,10&lt;='01_Вводные'!$B$297),0,(BF62-BF90)*IF('01_Вводные'!$B$239="Да",MeanMinAge10+BF205*SUMIF(ThresholdAge10,"&lt;"&amp;BF205,WeightedRevAge10)-SUMIF(ThresholdAge10,"&lt;"&amp;BF205,WeightedMinAge10),MAX(CapacityAge10*'01_Вводные'!$B$218*BF205,MeanMinAge10)))</f>
        <v/>
      </c>
      <c r="BG146" s="190">
        <f>IF(OR((BG62-BG90)=0,10&lt;='01_Вводные'!$B$297),0,(BG62-BG90)*IF('01_Вводные'!$B$239="Да",MeanMinAge10+BG205*SUMIF(ThresholdAge10,"&lt;"&amp;BG205,WeightedRevAge10)-SUMIF(ThresholdAge10,"&lt;"&amp;BG205,WeightedMinAge10),MAX(CapacityAge10*'01_Вводные'!$B$218*BG205,MeanMinAge10)))</f>
        <v/>
      </c>
      <c r="BH146" s="190">
        <f>IF(OR((BH62-BH90)=0,10&lt;='01_Вводные'!$B$297),0,(BH62-BH90)*IF('01_Вводные'!$B$239="Да",MeanMinAge10+BH205*SUMIF(ThresholdAge10,"&lt;"&amp;BH205,WeightedRevAge10)-SUMIF(ThresholdAge10,"&lt;"&amp;BH205,WeightedMinAge10),MAX(CapacityAge10*'01_Вводные'!$B$218*BH205,MeanMinAge10)))</f>
        <v/>
      </c>
      <c r="BI146" s="190">
        <f>IF(OR((BI62-BI90)=0,10&lt;='01_Вводные'!$B$297),0,(BI62-BI90)*IF('01_Вводные'!$B$239="Да",MeanMinAge10+BI205*SUMIF(ThresholdAge10,"&lt;"&amp;BI205,WeightedRevAge10)-SUMIF(ThresholdAge10,"&lt;"&amp;BI205,WeightedMinAge10),MAX(CapacityAge10*'01_Вводные'!$B$218*BI205,MeanMinAge10)))</f>
        <v/>
      </c>
      <c r="BJ146" s="190">
        <f>IF(OR((BJ62-BJ90)=0,10&lt;='01_Вводные'!$B$297),0,(BJ62-BJ90)*IF('01_Вводные'!$B$239="Да",MeanMinAge10+BJ205*SUMIF(ThresholdAge10,"&lt;"&amp;BJ205,WeightedRevAge10)-SUMIF(ThresholdAge10,"&lt;"&amp;BJ205,WeightedMinAge10),MAX(CapacityAge10*'01_Вводные'!$B$218*BJ205,MeanMinAge10)))</f>
        <v/>
      </c>
      <c r="BK146" s="190">
        <f>IF(OR((BK62-BK90)=0,10&lt;='01_Вводные'!$B$297),0,(BK62-BK90)*IF('01_Вводные'!$B$239="Да",MeanMinAge10+BK205*SUMIF(ThresholdAge10,"&lt;"&amp;BK205,WeightedRevAge10)-SUMIF(ThresholdAge10,"&lt;"&amp;BK205,WeightedMinAge10),MAX(CapacityAge10*'01_Вводные'!$B$218*BK205,MeanMinAge10)))</f>
        <v/>
      </c>
      <c r="BL146" s="190">
        <f>IF(OR((BL62-BL90)=0,10&lt;='01_Вводные'!$B$297),0,(BL62-BL90)*IF('01_Вводные'!$B$239="Да",MeanMinAge10+BL205*SUMIF(ThresholdAge10,"&lt;"&amp;BL205,WeightedRevAge10)-SUMIF(ThresholdAge10,"&lt;"&amp;BL205,WeightedMinAge10),MAX(CapacityAge10*'01_Вводные'!$B$218*BL205,MeanMinAge10)))</f>
        <v/>
      </c>
      <c r="BM146" s="190">
        <f>IF(OR((BM62-BM90)=0,10&lt;='01_Вводные'!$B$297),0,(BM62-BM90)*IF('01_Вводные'!$B$239="Да",MeanMinAge10+BM205*SUMIF(ThresholdAge10,"&lt;"&amp;BM205,WeightedRevAge10)-SUMIF(ThresholdAge10,"&lt;"&amp;BM205,WeightedMinAge10),MAX(CapacityAge10*'01_Вводные'!$B$218*BM205,MeanMinAge10)))</f>
        <v/>
      </c>
      <c r="BN146" s="190">
        <f>IF(OR((BN62-BN90)=0,10&lt;='01_Вводные'!$B$297),0,(BN62-BN90)*IF('01_Вводные'!$B$239="Да",MeanMinAge10+BN205*SUMIF(ThresholdAge10,"&lt;"&amp;BN205,WeightedRevAge10)-SUMIF(ThresholdAge10,"&lt;"&amp;BN205,WeightedMinAge10),MAX(CapacityAge10*'01_Вводные'!$B$218*BN205,MeanMinAge10)))</f>
        <v/>
      </c>
      <c r="BO146" s="190">
        <f>IF(OR((BO62-BO90)=0,10&lt;='01_Вводные'!$B$297),0,(BO62-BO90)*IF('01_Вводные'!$B$239="Да",MeanMinAge10+BO205*SUMIF(ThresholdAge10,"&lt;"&amp;BO205,WeightedRevAge10)-SUMIF(ThresholdAge10,"&lt;"&amp;BO205,WeightedMinAge10),MAX(CapacityAge10*'01_Вводные'!$B$218*BO205,MeanMinAge10)))</f>
        <v/>
      </c>
    </row>
    <row r="147" hidden="1" outlineLevel="1">
      <c r="A147" t="inlineStr">
        <is>
          <t>11 мес.</t>
        </is>
      </c>
      <c r="B147" s="190">
        <f>IF(OR((B63-B91)=0,11&lt;='01_Вводные'!$B$297),0,(B63-B91)*IF('01_Вводные'!$B$239="Да",MeanMinAge11+B205*SUMIF(ThresholdAge11,"&lt;"&amp;B205,WeightedRevAge11)-SUMIF(ThresholdAge11,"&lt;"&amp;B205,WeightedMinAge11),MAX(CapacityAge11*'01_Вводные'!$B$218*B205,MeanMinAge11)))</f>
        <v/>
      </c>
      <c r="C147" s="190">
        <f>IF(OR((C63-C91)=0,11&lt;='01_Вводные'!$B$297),0,(C63-C91)*IF('01_Вводные'!$B$239="Да",MeanMinAge11+C205*SUMIF(ThresholdAge11,"&lt;"&amp;C205,WeightedRevAge11)-SUMIF(ThresholdAge11,"&lt;"&amp;C205,WeightedMinAge11),MAX(CapacityAge11*'01_Вводные'!$B$218*C205,MeanMinAge11)))</f>
        <v/>
      </c>
      <c r="D147" s="190">
        <f>IF(OR((D63-D91)=0,11&lt;='01_Вводные'!$B$297),0,(D63-D91)*IF('01_Вводные'!$B$239="Да",MeanMinAge11+D205*SUMIF(ThresholdAge11,"&lt;"&amp;D205,WeightedRevAge11)-SUMIF(ThresholdAge11,"&lt;"&amp;D205,WeightedMinAge11),MAX(CapacityAge11*'01_Вводные'!$B$218*D205,MeanMinAge11)))</f>
        <v/>
      </c>
      <c r="E147" s="190">
        <f>IF(OR((E63-E91)=0,11&lt;='01_Вводные'!$B$297),0,(E63-E91)*IF('01_Вводные'!$B$239="Да",MeanMinAge11+E205*SUMIF(ThresholdAge11,"&lt;"&amp;E205,WeightedRevAge11)-SUMIF(ThresholdAge11,"&lt;"&amp;E205,WeightedMinAge11),MAX(CapacityAge11*'01_Вводные'!$B$218*E205,MeanMinAge11)))</f>
        <v/>
      </c>
      <c r="F147" s="190">
        <f>IF(OR((F63-F91)=0,11&lt;='01_Вводные'!$B$297),0,(F63-F91)*IF('01_Вводные'!$B$239="Да",MeanMinAge11+F205*SUMIF(ThresholdAge11,"&lt;"&amp;F205,WeightedRevAge11)-SUMIF(ThresholdAge11,"&lt;"&amp;F205,WeightedMinAge11),MAX(CapacityAge11*'01_Вводные'!$B$218*F205,MeanMinAge11)))</f>
        <v/>
      </c>
      <c r="G147" s="190">
        <f>IF(OR((G63-G91)=0,11&lt;='01_Вводные'!$B$297),0,(G63-G91)*IF('01_Вводные'!$B$239="Да",MeanMinAge11+G205*SUMIF(ThresholdAge11,"&lt;"&amp;G205,WeightedRevAge11)-SUMIF(ThresholdAge11,"&lt;"&amp;G205,WeightedMinAge11),MAX(CapacityAge11*'01_Вводные'!$B$218*G205,MeanMinAge11)))</f>
        <v/>
      </c>
      <c r="H147" s="190">
        <f>IF(OR((H63-H91)=0,11&lt;='01_Вводные'!$B$297),0,(H63-H91)*IF('01_Вводные'!$B$239="Да",MeanMinAge11+H205*SUMIF(ThresholdAge11,"&lt;"&amp;H205,WeightedRevAge11)-SUMIF(ThresholdAge11,"&lt;"&amp;H205,WeightedMinAge11),MAX(CapacityAge11*'01_Вводные'!$B$218*H205,MeanMinAge11)))</f>
        <v/>
      </c>
      <c r="I147" s="190">
        <f>IF(OR((I63-I91)=0,11&lt;='01_Вводные'!$B$297),0,(I63-I91)*IF('01_Вводные'!$B$239="Да",MeanMinAge11+I205*SUMIF(ThresholdAge11,"&lt;"&amp;I205,WeightedRevAge11)-SUMIF(ThresholdAge11,"&lt;"&amp;I205,WeightedMinAge11),MAX(CapacityAge11*'01_Вводные'!$B$218*I205,MeanMinAge11)))</f>
        <v/>
      </c>
      <c r="J147" s="190">
        <f>IF(OR((J63-J91)=0,11&lt;='01_Вводные'!$B$297),0,(J63-J91)*IF('01_Вводные'!$B$239="Да",MeanMinAge11+J205*SUMIF(ThresholdAge11,"&lt;"&amp;J205,WeightedRevAge11)-SUMIF(ThresholdAge11,"&lt;"&amp;J205,WeightedMinAge11),MAX(CapacityAge11*'01_Вводные'!$B$218*J205,MeanMinAge11)))</f>
        <v/>
      </c>
      <c r="K147" s="190">
        <f>IF(OR((K63-K91)=0,11&lt;='01_Вводные'!$B$297),0,(K63-K91)*IF('01_Вводные'!$B$239="Да",MeanMinAge11+K205*SUMIF(ThresholdAge11,"&lt;"&amp;K205,WeightedRevAge11)-SUMIF(ThresholdAge11,"&lt;"&amp;K205,WeightedMinAge11),MAX(CapacityAge11*'01_Вводные'!$B$218*K205,MeanMinAge11)))</f>
        <v/>
      </c>
      <c r="L147" s="190">
        <f>IF(OR((L63-L91)=0,11&lt;='01_Вводные'!$B$297),0,(L63-L91)*IF('01_Вводные'!$B$239="Да",MeanMinAge11+L205*SUMIF(ThresholdAge11,"&lt;"&amp;L205,WeightedRevAge11)-SUMIF(ThresholdAge11,"&lt;"&amp;L205,WeightedMinAge11),MAX(CapacityAge11*'01_Вводные'!$B$218*L205,MeanMinAge11)))</f>
        <v/>
      </c>
      <c r="M147" s="190">
        <f>IF(OR((M63-M91)=0,11&lt;='01_Вводные'!$B$297),0,(M63-M91)*IF('01_Вводные'!$B$239="Да",MeanMinAge11+M205*SUMIF(ThresholdAge11,"&lt;"&amp;M205,WeightedRevAge11)-SUMIF(ThresholdAge11,"&lt;"&amp;M205,WeightedMinAge11),MAX(CapacityAge11*'01_Вводные'!$B$218*M205,MeanMinAge11)))</f>
        <v/>
      </c>
      <c r="N147" s="190">
        <f>IF(OR((N63-N91)=0,11&lt;='01_Вводные'!$B$297),0,(N63-N91)*IF('01_Вводные'!$B$239="Да",MeanMinAge11+N205*SUMIF(ThresholdAge11,"&lt;"&amp;N205,WeightedRevAge11)-SUMIF(ThresholdAge11,"&lt;"&amp;N205,WeightedMinAge11),MAX(CapacityAge11*'01_Вводные'!$B$218*N205,MeanMinAge11)))</f>
        <v/>
      </c>
      <c r="O147" s="190">
        <f>IF(OR((O63-O91)=0,11&lt;='01_Вводные'!$B$297),0,(O63-O91)*IF('01_Вводные'!$B$239="Да",MeanMinAge11+O205*SUMIF(ThresholdAge11,"&lt;"&amp;O205,WeightedRevAge11)-SUMIF(ThresholdAge11,"&lt;"&amp;O205,WeightedMinAge11),MAX(CapacityAge11*'01_Вводные'!$B$218*O205,MeanMinAge11)))</f>
        <v/>
      </c>
      <c r="P147" s="190">
        <f>IF(OR((P63-P91)=0,11&lt;='01_Вводные'!$B$297),0,(P63-P91)*IF('01_Вводные'!$B$239="Да",MeanMinAge11+P205*SUMIF(ThresholdAge11,"&lt;"&amp;P205,WeightedRevAge11)-SUMIF(ThresholdAge11,"&lt;"&amp;P205,WeightedMinAge11),MAX(CapacityAge11*'01_Вводные'!$B$218*P205,MeanMinAge11)))</f>
        <v/>
      </c>
      <c r="Q147" s="190">
        <f>IF(OR((Q63-Q91)=0,11&lt;='01_Вводные'!$B$297),0,(Q63-Q91)*IF('01_Вводные'!$B$239="Да",MeanMinAge11+Q205*SUMIF(ThresholdAge11,"&lt;"&amp;Q205,WeightedRevAge11)-SUMIF(ThresholdAge11,"&lt;"&amp;Q205,WeightedMinAge11),MAX(CapacityAge11*'01_Вводные'!$B$218*Q205,MeanMinAge11)))</f>
        <v/>
      </c>
      <c r="R147" s="190">
        <f>IF(OR((R63-R91)=0,11&lt;='01_Вводные'!$B$297),0,(R63-R91)*IF('01_Вводные'!$B$239="Да",MeanMinAge11+R205*SUMIF(ThresholdAge11,"&lt;"&amp;R205,WeightedRevAge11)-SUMIF(ThresholdAge11,"&lt;"&amp;R205,WeightedMinAge11),MAX(CapacityAge11*'01_Вводные'!$B$218*R205,MeanMinAge11)))</f>
        <v/>
      </c>
      <c r="S147" s="190">
        <f>IF(OR((S63-S91)=0,11&lt;='01_Вводные'!$B$297),0,(S63-S91)*IF('01_Вводные'!$B$239="Да",MeanMinAge11+S205*SUMIF(ThresholdAge11,"&lt;"&amp;S205,WeightedRevAge11)-SUMIF(ThresholdAge11,"&lt;"&amp;S205,WeightedMinAge11),MAX(CapacityAge11*'01_Вводные'!$B$218*S205,MeanMinAge11)))</f>
        <v/>
      </c>
      <c r="T147" s="190">
        <f>IF(OR((T63-T91)=0,11&lt;='01_Вводные'!$B$297),0,(T63-T91)*IF('01_Вводные'!$B$239="Да",MeanMinAge11+T205*SUMIF(ThresholdAge11,"&lt;"&amp;T205,WeightedRevAge11)-SUMIF(ThresholdAge11,"&lt;"&amp;T205,WeightedMinAge11),MAX(CapacityAge11*'01_Вводные'!$B$218*T205,MeanMinAge11)))</f>
        <v/>
      </c>
      <c r="U147" s="190">
        <f>IF(OR((U63-U91)=0,11&lt;='01_Вводные'!$B$297),0,(U63-U91)*IF('01_Вводные'!$B$239="Да",MeanMinAge11+U205*SUMIF(ThresholdAge11,"&lt;"&amp;U205,WeightedRevAge11)-SUMIF(ThresholdAge11,"&lt;"&amp;U205,WeightedMinAge11),MAX(CapacityAge11*'01_Вводные'!$B$218*U205,MeanMinAge11)))</f>
        <v/>
      </c>
      <c r="V147" s="190">
        <f>IF(OR((V63-V91)=0,11&lt;='01_Вводные'!$B$297),0,(V63-V91)*IF('01_Вводные'!$B$239="Да",MeanMinAge11+V205*SUMIF(ThresholdAge11,"&lt;"&amp;V205,WeightedRevAge11)-SUMIF(ThresholdAge11,"&lt;"&amp;V205,WeightedMinAge11),MAX(CapacityAge11*'01_Вводные'!$B$218*V205,MeanMinAge11)))</f>
        <v/>
      </c>
      <c r="W147" s="190">
        <f>IF(OR((W63-W91)=0,11&lt;='01_Вводные'!$B$297),0,(W63-W91)*IF('01_Вводные'!$B$239="Да",MeanMinAge11+W205*SUMIF(ThresholdAge11,"&lt;"&amp;W205,WeightedRevAge11)-SUMIF(ThresholdAge11,"&lt;"&amp;W205,WeightedMinAge11),MAX(CapacityAge11*'01_Вводные'!$B$218*W205,MeanMinAge11)))</f>
        <v/>
      </c>
      <c r="X147" s="190">
        <f>IF(OR((X63-X91)=0,11&lt;='01_Вводные'!$B$297),0,(X63-X91)*IF('01_Вводные'!$B$239="Да",MeanMinAge11+X205*SUMIF(ThresholdAge11,"&lt;"&amp;X205,WeightedRevAge11)-SUMIF(ThresholdAge11,"&lt;"&amp;X205,WeightedMinAge11),MAX(CapacityAge11*'01_Вводные'!$B$218*X205,MeanMinAge11)))</f>
        <v/>
      </c>
      <c r="Y147" s="190">
        <f>IF(OR((Y63-Y91)=0,11&lt;='01_Вводные'!$B$297),0,(Y63-Y91)*IF('01_Вводные'!$B$239="Да",MeanMinAge11+Y205*SUMIF(ThresholdAge11,"&lt;"&amp;Y205,WeightedRevAge11)-SUMIF(ThresholdAge11,"&lt;"&amp;Y205,WeightedMinAge11),MAX(CapacityAge11*'01_Вводные'!$B$218*Y205,MeanMinAge11)))</f>
        <v/>
      </c>
      <c r="Z147" s="190">
        <f>IF(OR((Z63-Z91)=0,11&lt;='01_Вводные'!$B$297),0,(Z63-Z91)*IF('01_Вводные'!$B$239="Да",MeanMinAge11+Z205*SUMIF(ThresholdAge11,"&lt;"&amp;Z205,WeightedRevAge11)-SUMIF(ThresholdAge11,"&lt;"&amp;Z205,WeightedMinAge11),MAX(CapacityAge11*'01_Вводные'!$B$218*Z205,MeanMinAge11)))</f>
        <v/>
      </c>
      <c r="AA147" s="190">
        <f>IF(OR((AA63-AA91)=0,11&lt;='01_Вводные'!$B$297),0,(AA63-AA91)*IF('01_Вводные'!$B$239="Да",MeanMinAge11+AA205*SUMIF(ThresholdAge11,"&lt;"&amp;AA205,WeightedRevAge11)-SUMIF(ThresholdAge11,"&lt;"&amp;AA205,WeightedMinAge11),MAX(CapacityAge11*'01_Вводные'!$B$218*AA205,MeanMinAge11)))</f>
        <v/>
      </c>
      <c r="AB147" s="190">
        <f>IF(OR((AB63-AB91)=0,11&lt;='01_Вводные'!$B$297),0,(AB63-AB91)*IF('01_Вводные'!$B$239="Да",MeanMinAge11+AB205*SUMIF(ThresholdAge11,"&lt;"&amp;AB205,WeightedRevAge11)-SUMIF(ThresholdAge11,"&lt;"&amp;AB205,WeightedMinAge11),MAX(CapacityAge11*'01_Вводные'!$B$218*AB205,MeanMinAge11)))</f>
        <v/>
      </c>
      <c r="AC147" s="190">
        <f>IF(OR((AC63-AC91)=0,11&lt;='01_Вводные'!$B$297),0,(AC63-AC91)*IF('01_Вводные'!$B$239="Да",MeanMinAge11+AC205*SUMIF(ThresholdAge11,"&lt;"&amp;AC205,WeightedRevAge11)-SUMIF(ThresholdAge11,"&lt;"&amp;AC205,WeightedMinAge11),MAX(CapacityAge11*'01_Вводные'!$B$218*AC205,MeanMinAge11)))</f>
        <v/>
      </c>
      <c r="AD147" s="190">
        <f>IF(OR((AD63-AD91)=0,11&lt;='01_Вводные'!$B$297),0,(AD63-AD91)*IF('01_Вводные'!$B$239="Да",MeanMinAge11+AD205*SUMIF(ThresholdAge11,"&lt;"&amp;AD205,WeightedRevAge11)-SUMIF(ThresholdAge11,"&lt;"&amp;AD205,WeightedMinAge11),MAX(CapacityAge11*'01_Вводные'!$B$218*AD205,MeanMinAge11)))</f>
        <v/>
      </c>
      <c r="AE147" s="190">
        <f>IF(OR((AE63-AE91)=0,11&lt;='01_Вводные'!$B$297),0,(AE63-AE91)*IF('01_Вводные'!$B$239="Да",MeanMinAge11+AE205*SUMIF(ThresholdAge11,"&lt;"&amp;AE205,WeightedRevAge11)-SUMIF(ThresholdAge11,"&lt;"&amp;AE205,WeightedMinAge11),MAX(CapacityAge11*'01_Вводные'!$B$218*AE205,MeanMinAge11)))</f>
        <v/>
      </c>
      <c r="AF147" s="190">
        <f>IF(OR((AF63-AF91)=0,11&lt;='01_Вводные'!$B$297),0,(AF63-AF91)*IF('01_Вводные'!$B$239="Да",MeanMinAge11+AF205*SUMIF(ThresholdAge11,"&lt;"&amp;AF205,WeightedRevAge11)-SUMIF(ThresholdAge11,"&lt;"&amp;AF205,WeightedMinAge11),MAX(CapacityAge11*'01_Вводные'!$B$218*AF205,MeanMinAge11)))</f>
        <v/>
      </c>
      <c r="AG147" s="190">
        <f>IF(OR((AG63-AG91)=0,11&lt;='01_Вводные'!$B$297),0,(AG63-AG91)*IF('01_Вводные'!$B$239="Да",MeanMinAge11+AG205*SUMIF(ThresholdAge11,"&lt;"&amp;AG205,WeightedRevAge11)-SUMIF(ThresholdAge11,"&lt;"&amp;AG205,WeightedMinAge11),MAX(CapacityAge11*'01_Вводные'!$B$218*AG205,MeanMinAge11)))</f>
        <v/>
      </c>
      <c r="AH147" s="190">
        <f>IF(OR((AH63-AH91)=0,11&lt;='01_Вводные'!$B$297),0,(AH63-AH91)*IF('01_Вводные'!$B$239="Да",MeanMinAge11+AH205*SUMIF(ThresholdAge11,"&lt;"&amp;AH205,WeightedRevAge11)-SUMIF(ThresholdAge11,"&lt;"&amp;AH205,WeightedMinAge11),MAX(CapacityAge11*'01_Вводные'!$B$218*AH205,MeanMinAge11)))</f>
        <v/>
      </c>
      <c r="AI147" s="190">
        <f>IF(OR((AI63-AI91)=0,11&lt;='01_Вводные'!$B$297),0,(AI63-AI91)*IF('01_Вводные'!$B$239="Да",MeanMinAge11+AI205*SUMIF(ThresholdAge11,"&lt;"&amp;AI205,WeightedRevAge11)-SUMIF(ThresholdAge11,"&lt;"&amp;AI205,WeightedMinAge11),MAX(CapacityAge11*'01_Вводные'!$B$218*AI205,MeanMinAge11)))</f>
        <v/>
      </c>
      <c r="AJ147" s="190">
        <f>IF(OR((AJ63-AJ91)=0,11&lt;='01_Вводные'!$B$297),0,(AJ63-AJ91)*IF('01_Вводные'!$B$239="Да",MeanMinAge11+AJ205*SUMIF(ThresholdAge11,"&lt;"&amp;AJ205,WeightedRevAge11)-SUMIF(ThresholdAge11,"&lt;"&amp;AJ205,WeightedMinAge11),MAX(CapacityAge11*'01_Вводные'!$B$218*AJ205,MeanMinAge11)))</f>
        <v/>
      </c>
      <c r="AK147" s="190">
        <f>IF(OR((AK63-AK91)=0,11&lt;='01_Вводные'!$B$297),0,(AK63-AK91)*IF('01_Вводные'!$B$239="Да",MeanMinAge11+AK205*SUMIF(ThresholdAge11,"&lt;"&amp;AK205,WeightedRevAge11)-SUMIF(ThresholdAge11,"&lt;"&amp;AK205,WeightedMinAge11),MAX(CapacityAge11*'01_Вводные'!$B$218*AK205,MeanMinAge11)))</f>
        <v/>
      </c>
      <c r="AL147" s="190">
        <f>IF(OR((AL63-AL91)=0,11&lt;='01_Вводные'!$B$297),0,(AL63-AL91)*IF('01_Вводные'!$B$239="Да",MeanMinAge11+AL205*SUMIF(ThresholdAge11,"&lt;"&amp;AL205,WeightedRevAge11)-SUMIF(ThresholdAge11,"&lt;"&amp;AL205,WeightedMinAge11),MAX(CapacityAge11*'01_Вводные'!$B$218*AL205,MeanMinAge11)))</f>
        <v/>
      </c>
      <c r="AM147" s="190">
        <f>IF(OR((AM63-AM91)=0,11&lt;='01_Вводные'!$B$297),0,(AM63-AM91)*IF('01_Вводные'!$B$239="Да",MeanMinAge11+AM205*SUMIF(ThresholdAge11,"&lt;"&amp;AM205,WeightedRevAge11)-SUMIF(ThresholdAge11,"&lt;"&amp;AM205,WeightedMinAge11),MAX(CapacityAge11*'01_Вводные'!$B$218*AM205,MeanMinAge11)))</f>
        <v/>
      </c>
      <c r="AN147" s="190">
        <f>IF(OR((AN63-AN91)=0,11&lt;='01_Вводные'!$B$297),0,(AN63-AN91)*IF('01_Вводные'!$B$239="Да",MeanMinAge11+AN205*SUMIF(ThresholdAge11,"&lt;"&amp;AN205,WeightedRevAge11)-SUMIF(ThresholdAge11,"&lt;"&amp;AN205,WeightedMinAge11),MAX(CapacityAge11*'01_Вводные'!$B$218*AN205,MeanMinAge11)))</f>
        <v/>
      </c>
      <c r="AO147" s="190">
        <f>IF(OR((AO63-AO91)=0,11&lt;='01_Вводные'!$B$297),0,(AO63-AO91)*IF('01_Вводные'!$B$239="Да",MeanMinAge11+AO205*SUMIF(ThresholdAge11,"&lt;"&amp;AO205,WeightedRevAge11)-SUMIF(ThresholdAge11,"&lt;"&amp;AO205,WeightedMinAge11),MAX(CapacityAge11*'01_Вводные'!$B$218*AO205,MeanMinAge11)))</f>
        <v/>
      </c>
      <c r="AP147" s="190">
        <f>IF(OR((AP63-AP91)=0,11&lt;='01_Вводные'!$B$297),0,(AP63-AP91)*IF('01_Вводные'!$B$239="Да",MeanMinAge11+AP205*SUMIF(ThresholdAge11,"&lt;"&amp;AP205,WeightedRevAge11)-SUMIF(ThresholdAge11,"&lt;"&amp;AP205,WeightedMinAge11),MAX(CapacityAge11*'01_Вводные'!$B$218*AP205,MeanMinAge11)))</f>
        <v/>
      </c>
      <c r="AQ147" s="190">
        <f>IF(OR((AQ63-AQ91)=0,11&lt;='01_Вводные'!$B$297),0,(AQ63-AQ91)*IF('01_Вводные'!$B$239="Да",MeanMinAge11+AQ205*SUMIF(ThresholdAge11,"&lt;"&amp;AQ205,WeightedRevAge11)-SUMIF(ThresholdAge11,"&lt;"&amp;AQ205,WeightedMinAge11),MAX(CapacityAge11*'01_Вводные'!$B$218*AQ205,MeanMinAge11)))</f>
        <v/>
      </c>
      <c r="AR147" s="190">
        <f>IF(OR((AR63-AR91)=0,11&lt;='01_Вводные'!$B$297),0,(AR63-AR91)*IF('01_Вводные'!$B$239="Да",MeanMinAge11+AR205*SUMIF(ThresholdAge11,"&lt;"&amp;AR205,WeightedRevAge11)-SUMIF(ThresholdAge11,"&lt;"&amp;AR205,WeightedMinAge11),MAX(CapacityAge11*'01_Вводные'!$B$218*AR205,MeanMinAge11)))</f>
        <v/>
      </c>
      <c r="AS147" s="190">
        <f>IF(OR((AS63-AS91)=0,11&lt;='01_Вводные'!$B$297),0,(AS63-AS91)*IF('01_Вводные'!$B$239="Да",MeanMinAge11+AS205*SUMIF(ThresholdAge11,"&lt;"&amp;AS205,WeightedRevAge11)-SUMIF(ThresholdAge11,"&lt;"&amp;AS205,WeightedMinAge11),MAX(CapacityAge11*'01_Вводные'!$B$218*AS205,MeanMinAge11)))</f>
        <v/>
      </c>
      <c r="AT147" s="190">
        <f>IF(OR((AT63-AT91)=0,11&lt;='01_Вводные'!$B$297),0,(AT63-AT91)*IF('01_Вводные'!$B$239="Да",MeanMinAge11+AT205*SUMIF(ThresholdAge11,"&lt;"&amp;AT205,WeightedRevAge11)-SUMIF(ThresholdAge11,"&lt;"&amp;AT205,WeightedMinAge11),MAX(CapacityAge11*'01_Вводные'!$B$218*AT205,MeanMinAge11)))</f>
        <v/>
      </c>
      <c r="AU147" s="190">
        <f>IF(OR((AU63-AU91)=0,11&lt;='01_Вводные'!$B$297),0,(AU63-AU91)*IF('01_Вводные'!$B$239="Да",MeanMinAge11+AU205*SUMIF(ThresholdAge11,"&lt;"&amp;AU205,WeightedRevAge11)-SUMIF(ThresholdAge11,"&lt;"&amp;AU205,WeightedMinAge11),MAX(CapacityAge11*'01_Вводные'!$B$218*AU205,MeanMinAge11)))</f>
        <v/>
      </c>
      <c r="AV147" s="190">
        <f>IF(OR((AV63-AV91)=0,11&lt;='01_Вводные'!$B$297),0,(AV63-AV91)*IF('01_Вводные'!$B$239="Да",MeanMinAge11+AV205*SUMIF(ThresholdAge11,"&lt;"&amp;AV205,WeightedRevAge11)-SUMIF(ThresholdAge11,"&lt;"&amp;AV205,WeightedMinAge11),MAX(CapacityAge11*'01_Вводные'!$B$218*AV205,MeanMinAge11)))</f>
        <v/>
      </c>
      <c r="AW147" s="190">
        <f>IF(OR((AW63-AW91)=0,11&lt;='01_Вводные'!$B$297),0,(AW63-AW91)*IF('01_Вводные'!$B$239="Да",MeanMinAge11+AW205*SUMIF(ThresholdAge11,"&lt;"&amp;AW205,WeightedRevAge11)-SUMIF(ThresholdAge11,"&lt;"&amp;AW205,WeightedMinAge11),MAX(CapacityAge11*'01_Вводные'!$B$218*AW205,MeanMinAge11)))</f>
        <v/>
      </c>
      <c r="AX147" s="190">
        <f>IF(OR((AX63-AX91)=0,11&lt;='01_Вводные'!$B$297),0,(AX63-AX91)*IF('01_Вводные'!$B$239="Да",MeanMinAge11+AX205*SUMIF(ThresholdAge11,"&lt;"&amp;AX205,WeightedRevAge11)-SUMIF(ThresholdAge11,"&lt;"&amp;AX205,WeightedMinAge11),MAX(CapacityAge11*'01_Вводные'!$B$218*AX205,MeanMinAge11)))</f>
        <v/>
      </c>
      <c r="AY147" s="190">
        <f>IF(OR((AY63-AY91)=0,11&lt;='01_Вводные'!$B$297),0,(AY63-AY91)*IF('01_Вводные'!$B$239="Да",MeanMinAge11+AY205*SUMIF(ThresholdAge11,"&lt;"&amp;AY205,WeightedRevAge11)-SUMIF(ThresholdAge11,"&lt;"&amp;AY205,WeightedMinAge11),MAX(CapacityAge11*'01_Вводные'!$B$218*AY205,MeanMinAge11)))</f>
        <v/>
      </c>
      <c r="AZ147" s="190">
        <f>IF(OR((AZ63-AZ91)=0,11&lt;='01_Вводные'!$B$297),0,(AZ63-AZ91)*IF('01_Вводные'!$B$239="Да",MeanMinAge11+AZ205*SUMIF(ThresholdAge11,"&lt;"&amp;AZ205,WeightedRevAge11)-SUMIF(ThresholdAge11,"&lt;"&amp;AZ205,WeightedMinAge11),MAX(CapacityAge11*'01_Вводные'!$B$218*AZ205,MeanMinAge11)))</f>
        <v/>
      </c>
      <c r="BA147" s="190">
        <f>IF(OR((BA63-BA91)=0,11&lt;='01_Вводные'!$B$297),0,(BA63-BA91)*IF('01_Вводные'!$B$239="Да",MeanMinAge11+BA205*SUMIF(ThresholdAge11,"&lt;"&amp;BA205,WeightedRevAge11)-SUMIF(ThresholdAge11,"&lt;"&amp;BA205,WeightedMinAge11),MAX(CapacityAge11*'01_Вводные'!$B$218*BA205,MeanMinAge11)))</f>
        <v/>
      </c>
      <c r="BB147" s="190">
        <f>IF(OR((BB63-BB91)=0,11&lt;='01_Вводные'!$B$297),0,(BB63-BB91)*IF('01_Вводные'!$B$239="Да",MeanMinAge11+BB205*SUMIF(ThresholdAge11,"&lt;"&amp;BB205,WeightedRevAge11)-SUMIF(ThresholdAge11,"&lt;"&amp;BB205,WeightedMinAge11),MAX(CapacityAge11*'01_Вводные'!$B$218*BB205,MeanMinAge11)))</f>
        <v/>
      </c>
      <c r="BC147" s="190">
        <f>IF(OR((BC63-BC91)=0,11&lt;='01_Вводные'!$B$297),0,(BC63-BC91)*IF('01_Вводные'!$B$239="Да",MeanMinAge11+BC205*SUMIF(ThresholdAge11,"&lt;"&amp;BC205,WeightedRevAge11)-SUMIF(ThresholdAge11,"&lt;"&amp;BC205,WeightedMinAge11),MAX(CapacityAge11*'01_Вводные'!$B$218*BC205,MeanMinAge11)))</f>
        <v/>
      </c>
      <c r="BD147" s="190">
        <f>IF(OR((BD63-BD91)=0,11&lt;='01_Вводные'!$B$297),0,(BD63-BD91)*IF('01_Вводные'!$B$239="Да",MeanMinAge11+BD205*SUMIF(ThresholdAge11,"&lt;"&amp;BD205,WeightedRevAge11)-SUMIF(ThresholdAge11,"&lt;"&amp;BD205,WeightedMinAge11),MAX(CapacityAge11*'01_Вводные'!$B$218*BD205,MeanMinAge11)))</f>
        <v/>
      </c>
      <c r="BE147" s="190">
        <f>IF(OR((BE63-BE91)=0,11&lt;='01_Вводные'!$B$297),0,(BE63-BE91)*IF('01_Вводные'!$B$239="Да",MeanMinAge11+BE205*SUMIF(ThresholdAge11,"&lt;"&amp;BE205,WeightedRevAge11)-SUMIF(ThresholdAge11,"&lt;"&amp;BE205,WeightedMinAge11),MAX(CapacityAge11*'01_Вводные'!$B$218*BE205,MeanMinAge11)))</f>
        <v/>
      </c>
      <c r="BF147" s="190">
        <f>IF(OR((BF63-BF91)=0,11&lt;='01_Вводные'!$B$297),0,(BF63-BF91)*IF('01_Вводные'!$B$239="Да",MeanMinAge11+BF205*SUMIF(ThresholdAge11,"&lt;"&amp;BF205,WeightedRevAge11)-SUMIF(ThresholdAge11,"&lt;"&amp;BF205,WeightedMinAge11),MAX(CapacityAge11*'01_Вводные'!$B$218*BF205,MeanMinAge11)))</f>
        <v/>
      </c>
      <c r="BG147" s="190">
        <f>IF(OR((BG63-BG91)=0,11&lt;='01_Вводные'!$B$297),0,(BG63-BG91)*IF('01_Вводные'!$B$239="Да",MeanMinAge11+BG205*SUMIF(ThresholdAge11,"&lt;"&amp;BG205,WeightedRevAge11)-SUMIF(ThresholdAge11,"&lt;"&amp;BG205,WeightedMinAge11),MAX(CapacityAge11*'01_Вводные'!$B$218*BG205,MeanMinAge11)))</f>
        <v/>
      </c>
      <c r="BH147" s="190">
        <f>IF(OR((BH63-BH91)=0,11&lt;='01_Вводные'!$B$297),0,(BH63-BH91)*IF('01_Вводные'!$B$239="Да",MeanMinAge11+BH205*SUMIF(ThresholdAge11,"&lt;"&amp;BH205,WeightedRevAge11)-SUMIF(ThresholdAge11,"&lt;"&amp;BH205,WeightedMinAge11),MAX(CapacityAge11*'01_Вводные'!$B$218*BH205,MeanMinAge11)))</f>
        <v/>
      </c>
      <c r="BI147" s="190">
        <f>IF(OR((BI63-BI91)=0,11&lt;='01_Вводные'!$B$297),0,(BI63-BI91)*IF('01_Вводные'!$B$239="Да",MeanMinAge11+BI205*SUMIF(ThresholdAge11,"&lt;"&amp;BI205,WeightedRevAge11)-SUMIF(ThresholdAge11,"&lt;"&amp;BI205,WeightedMinAge11),MAX(CapacityAge11*'01_Вводные'!$B$218*BI205,MeanMinAge11)))</f>
        <v/>
      </c>
      <c r="BJ147" s="190">
        <f>IF(OR((BJ63-BJ91)=0,11&lt;='01_Вводные'!$B$297),0,(BJ63-BJ91)*IF('01_Вводные'!$B$239="Да",MeanMinAge11+BJ205*SUMIF(ThresholdAge11,"&lt;"&amp;BJ205,WeightedRevAge11)-SUMIF(ThresholdAge11,"&lt;"&amp;BJ205,WeightedMinAge11),MAX(CapacityAge11*'01_Вводные'!$B$218*BJ205,MeanMinAge11)))</f>
        <v/>
      </c>
      <c r="BK147" s="190">
        <f>IF(OR((BK63-BK91)=0,11&lt;='01_Вводные'!$B$297),0,(BK63-BK91)*IF('01_Вводные'!$B$239="Да",MeanMinAge11+BK205*SUMIF(ThresholdAge11,"&lt;"&amp;BK205,WeightedRevAge11)-SUMIF(ThresholdAge11,"&lt;"&amp;BK205,WeightedMinAge11),MAX(CapacityAge11*'01_Вводные'!$B$218*BK205,MeanMinAge11)))</f>
        <v/>
      </c>
      <c r="BL147" s="190">
        <f>IF(OR((BL63-BL91)=0,11&lt;='01_Вводные'!$B$297),0,(BL63-BL91)*IF('01_Вводные'!$B$239="Да",MeanMinAge11+BL205*SUMIF(ThresholdAge11,"&lt;"&amp;BL205,WeightedRevAge11)-SUMIF(ThresholdAge11,"&lt;"&amp;BL205,WeightedMinAge11),MAX(CapacityAge11*'01_Вводные'!$B$218*BL205,MeanMinAge11)))</f>
        <v/>
      </c>
      <c r="BM147" s="190">
        <f>IF(OR((BM63-BM91)=0,11&lt;='01_Вводные'!$B$297),0,(BM63-BM91)*IF('01_Вводные'!$B$239="Да",MeanMinAge11+BM205*SUMIF(ThresholdAge11,"&lt;"&amp;BM205,WeightedRevAge11)-SUMIF(ThresholdAge11,"&lt;"&amp;BM205,WeightedMinAge11),MAX(CapacityAge11*'01_Вводные'!$B$218*BM205,MeanMinAge11)))</f>
        <v/>
      </c>
      <c r="BN147" s="190">
        <f>IF(OR((BN63-BN91)=0,11&lt;='01_Вводные'!$B$297),0,(BN63-BN91)*IF('01_Вводные'!$B$239="Да",MeanMinAge11+BN205*SUMIF(ThresholdAge11,"&lt;"&amp;BN205,WeightedRevAge11)-SUMIF(ThresholdAge11,"&lt;"&amp;BN205,WeightedMinAge11),MAX(CapacityAge11*'01_Вводные'!$B$218*BN205,MeanMinAge11)))</f>
        <v/>
      </c>
      <c r="BO147" s="190">
        <f>IF(OR((BO63-BO91)=0,11&lt;='01_Вводные'!$B$297),0,(BO63-BO91)*IF('01_Вводные'!$B$239="Да",MeanMinAge11+BO205*SUMIF(ThresholdAge11,"&lt;"&amp;BO205,WeightedRevAge11)-SUMIF(ThresholdAge11,"&lt;"&amp;BO205,WeightedMinAge11),MAX(CapacityAge11*'01_Вводные'!$B$218*BO205,MeanMinAge11)))</f>
        <v/>
      </c>
    </row>
    <row r="148" hidden="1" outlineLevel="1">
      <c r="A148" t="inlineStr">
        <is>
          <t>12 мес.</t>
        </is>
      </c>
      <c r="B148" s="190">
        <f>IF(OR((B64-B92)=0,12&lt;='01_Вводные'!$B$297),0,(B64-B92)*IF('01_Вводные'!$B$239="Да",MeanMinAge12+B205*SUMIF(ThresholdAge12,"&lt;"&amp;B205,WeightedRevAge12)-SUMIF(ThresholdAge12,"&lt;"&amp;B205,WeightedMinAge12),MAX(CapacityAge12*'01_Вводные'!$B$218*B205,MeanMinAge12)))</f>
        <v/>
      </c>
      <c r="C148" s="190">
        <f>IF(OR((C64-C92)=0,12&lt;='01_Вводные'!$B$297),0,(C64-C92)*IF('01_Вводные'!$B$239="Да",MeanMinAge12+C205*SUMIF(ThresholdAge12,"&lt;"&amp;C205,WeightedRevAge12)-SUMIF(ThresholdAge12,"&lt;"&amp;C205,WeightedMinAge12),MAX(CapacityAge12*'01_Вводные'!$B$218*C205,MeanMinAge12)))</f>
        <v/>
      </c>
      <c r="D148" s="190">
        <f>IF(OR((D64-D92)=0,12&lt;='01_Вводные'!$B$297),0,(D64-D92)*IF('01_Вводные'!$B$239="Да",MeanMinAge12+D205*SUMIF(ThresholdAge12,"&lt;"&amp;D205,WeightedRevAge12)-SUMIF(ThresholdAge12,"&lt;"&amp;D205,WeightedMinAge12),MAX(CapacityAge12*'01_Вводные'!$B$218*D205,MeanMinAge12)))</f>
        <v/>
      </c>
      <c r="E148" s="190">
        <f>IF(OR((E64-E92)=0,12&lt;='01_Вводные'!$B$297),0,(E64-E92)*IF('01_Вводные'!$B$239="Да",MeanMinAge12+E205*SUMIF(ThresholdAge12,"&lt;"&amp;E205,WeightedRevAge12)-SUMIF(ThresholdAge12,"&lt;"&amp;E205,WeightedMinAge12),MAX(CapacityAge12*'01_Вводные'!$B$218*E205,MeanMinAge12)))</f>
        <v/>
      </c>
      <c r="F148" s="190">
        <f>IF(OR((F64-F92)=0,12&lt;='01_Вводные'!$B$297),0,(F64-F92)*IF('01_Вводные'!$B$239="Да",MeanMinAge12+F205*SUMIF(ThresholdAge12,"&lt;"&amp;F205,WeightedRevAge12)-SUMIF(ThresholdAge12,"&lt;"&amp;F205,WeightedMinAge12),MAX(CapacityAge12*'01_Вводные'!$B$218*F205,MeanMinAge12)))</f>
        <v/>
      </c>
      <c r="G148" s="190">
        <f>IF(OR((G64-G92)=0,12&lt;='01_Вводные'!$B$297),0,(G64-G92)*IF('01_Вводные'!$B$239="Да",MeanMinAge12+G205*SUMIF(ThresholdAge12,"&lt;"&amp;G205,WeightedRevAge12)-SUMIF(ThresholdAge12,"&lt;"&amp;G205,WeightedMinAge12),MAX(CapacityAge12*'01_Вводные'!$B$218*G205,MeanMinAge12)))</f>
        <v/>
      </c>
      <c r="H148" s="190">
        <f>IF(OR((H64-H92)=0,12&lt;='01_Вводные'!$B$297),0,(H64-H92)*IF('01_Вводные'!$B$239="Да",MeanMinAge12+H205*SUMIF(ThresholdAge12,"&lt;"&amp;H205,WeightedRevAge12)-SUMIF(ThresholdAge12,"&lt;"&amp;H205,WeightedMinAge12),MAX(CapacityAge12*'01_Вводные'!$B$218*H205,MeanMinAge12)))</f>
        <v/>
      </c>
      <c r="I148" s="190">
        <f>IF(OR((I64-I92)=0,12&lt;='01_Вводные'!$B$297),0,(I64-I92)*IF('01_Вводные'!$B$239="Да",MeanMinAge12+I205*SUMIF(ThresholdAge12,"&lt;"&amp;I205,WeightedRevAge12)-SUMIF(ThresholdAge12,"&lt;"&amp;I205,WeightedMinAge12),MAX(CapacityAge12*'01_Вводные'!$B$218*I205,MeanMinAge12)))</f>
        <v/>
      </c>
      <c r="J148" s="190">
        <f>IF(OR((J64-J92)=0,12&lt;='01_Вводные'!$B$297),0,(J64-J92)*IF('01_Вводные'!$B$239="Да",MeanMinAge12+J205*SUMIF(ThresholdAge12,"&lt;"&amp;J205,WeightedRevAge12)-SUMIF(ThresholdAge12,"&lt;"&amp;J205,WeightedMinAge12),MAX(CapacityAge12*'01_Вводные'!$B$218*J205,MeanMinAge12)))</f>
        <v/>
      </c>
      <c r="K148" s="190">
        <f>IF(OR((K64-K92)=0,12&lt;='01_Вводные'!$B$297),0,(K64-K92)*IF('01_Вводные'!$B$239="Да",MeanMinAge12+K205*SUMIF(ThresholdAge12,"&lt;"&amp;K205,WeightedRevAge12)-SUMIF(ThresholdAge12,"&lt;"&amp;K205,WeightedMinAge12),MAX(CapacityAge12*'01_Вводные'!$B$218*K205,MeanMinAge12)))</f>
        <v/>
      </c>
      <c r="L148" s="190">
        <f>IF(OR((L64-L92)=0,12&lt;='01_Вводные'!$B$297),0,(L64-L92)*IF('01_Вводные'!$B$239="Да",MeanMinAge12+L205*SUMIF(ThresholdAge12,"&lt;"&amp;L205,WeightedRevAge12)-SUMIF(ThresholdAge12,"&lt;"&amp;L205,WeightedMinAge12),MAX(CapacityAge12*'01_Вводные'!$B$218*L205,MeanMinAge12)))</f>
        <v/>
      </c>
      <c r="M148" s="190">
        <f>IF(OR((M64-M92)=0,12&lt;='01_Вводные'!$B$297),0,(M64-M92)*IF('01_Вводные'!$B$239="Да",MeanMinAge12+M205*SUMIF(ThresholdAge12,"&lt;"&amp;M205,WeightedRevAge12)-SUMIF(ThresholdAge12,"&lt;"&amp;M205,WeightedMinAge12),MAX(CapacityAge12*'01_Вводные'!$B$218*M205,MeanMinAge12)))</f>
        <v/>
      </c>
      <c r="N148" s="190">
        <f>IF(OR((N64-N92)=0,12&lt;='01_Вводные'!$B$297),0,(N64-N92)*IF('01_Вводные'!$B$239="Да",MeanMinAge12+N205*SUMIF(ThresholdAge12,"&lt;"&amp;N205,WeightedRevAge12)-SUMIF(ThresholdAge12,"&lt;"&amp;N205,WeightedMinAge12),MAX(CapacityAge12*'01_Вводные'!$B$218*N205,MeanMinAge12)))</f>
        <v/>
      </c>
      <c r="O148" s="190">
        <f>IF(OR((O64-O92)=0,12&lt;='01_Вводные'!$B$297),0,(O64-O92)*IF('01_Вводные'!$B$239="Да",MeanMinAge12+O205*SUMIF(ThresholdAge12,"&lt;"&amp;O205,WeightedRevAge12)-SUMIF(ThresholdAge12,"&lt;"&amp;O205,WeightedMinAge12),MAX(CapacityAge12*'01_Вводные'!$B$218*O205,MeanMinAge12)))</f>
        <v/>
      </c>
      <c r="P148" s="190">
        <f>IF(OR((P64-P92)=0,12&lt;='01_Вводные'!$B$297),0,(P64-P92)*IF('01_Вводные'!$B$239="Да",MeanMinAge12+P205*SUMIF(ThresholdAge12,"&lt;"&amp;P205,WeightedRevAge12)-SUMIF(ThresholdAge12,"&lt;"&amp;P205,WeightedMinAge12),MAX(CapacityAge12*'01_Вводные'!$B$218*P205,MeanMinAge12)))</f>
        <v/>
      </c>
      <c r="Q148" s="190">
        <f>IF(OR((Q64-Q92)=0,12&lt;='01_Вводные'!$B$297),0,(Q64-Q92)*IF('01_Вводные'!$B$239="Да",MeanMinAge12+Q205*SUMIF(ThresholdAge12,"&lt;"&amp;Q205,WeightedRevAge12)-SUMIF(ThresholdAge12,"&lt;"&amp;Q205,WeightedMinAge12),MAX(CapacityAge12*'01_Вводные'!$B$218*Q205,MeanMinAge12)))</f>
        <v/>
      </c>
      <c r="R148" s="190">
        <f>IF(OR((R64-R92)=0,12&lt;='01_Вводные'!$B$297),0,(R64-R92)*IF('01_Вводные'!$B$239="Да",MeanMinAge12+R205*SUMIF(ThresholdAge12,"&lt;"&amp;R205,WeightedRevAge12)-SUMIF(ThresholdAge12,"&lt;"&amp;R205,WeightedMinAge12),MAX(CapacityAge12*'01_Вводные'!$B$218*R205,MeanMinAge12)))</f>
        <v/>
      </c>
      <c r="S148" s="190">
        <f>IF(OR((S64-S92)=0,12&lt;='01_Вводные'!$B$297),0,(S64-S92)*IF('01_Вводные'!$B$239="Да",MeanMinAge12+S205*SUMIF(ThresholdAge12,"&lt;"&amp;S205,WeightedRevAge12)-SUMIF(ThresholdAge12,"&lt;"&amp;S205,WeightedMinAge12),MAX(CapacityAge12*'01_Вводные'!$B$218*S205,MeanMinAge12)))</f>
        <v/>
      </c>
      <c r="T148" s="190">
        <f>IF(OR((T64-T92)=0,12&lt;='01_Вводные'!$B$297),0,(T64-T92)*IF('01_Вводные'!$B$239="Да",MeanMinAge12+T205*SUMIF(ThresholdAge12,"&lt;"&amp;T205,WeightedRevAge12)-SUMIF(ThresholdAge12,"&lt;"&amp;T205,WeightedMinAge12),MAX(CapacityAge12*'01_Вводные'!$B$218*T205,MeanMinAge12)))</f>
        <v/>
      </c>
      <c r="U148" s="190">
        <f>IF(OR((U64-U92)=0,12&lt;='01_Вводные'!$B$297),0,(U64-U92)*IF('01_Вводные'!$B$239="Да",MeanMinAge12+U205*SUMIF(ThresholdAge12,"&lt;"&amp;U205,WeightedRevAge12)-SUMIF(ThresholdAge12,"&lt;"&amp;U205,WeightedMinAge12),MAX(CapacityAge12*'01_Вводные'!$B$218*U205,MeanMinAge12)))</f>
        <v/>
      </c>
      <c r="V148" s="190">
        <f>IF(OR((V64-V92)=0,12&lt;='01_Вводные'!$B$297),0,(V64-V92)*IF('01_Вводные'!$B$239="Да",MeanMinAge12+V205*SUMIF(ThresholdAge12,"&lt;"&amp;V205,WeightedRevAge12)-SUMIF(ThresholdAge12,"&lt;"&amp;V205,WeightedMinAge12),MAX(CapacityAge12*'01_Вводные'!$B$218*V205,MeanMinAge12)))</f>
        <v/>
      </c>
      <c r="W148" s="190">
        <f>IF(OR((W64-W92)=0,12&lt;='01_Вводные'!$B$297),0,(W64-W92)*IF('01_Вводные'!$B$239="Да",MeanMinAge12+W205*SUMIF(ThresholdAge12,"&lt;"&amp;W205,WeightedRevAge12)-SUMIF(ThresholdAge12,"&lt;"&amp;W205,WeightedMinAge12),MAX(CapacityAge12*'01_Вводные'!$B$218*W205,MeanMinAge12)))</f>
        <v/>
      </c>
      <c r="X148" s="190">
        <f>IF(OR((X64-X92)=0,12&lt;='01_Вводные'!$B$297),0,(X64-X92)*IF('01_Вводные'!$B$239="Да",MeanMinAge12+X205*SUMIF(ThresholdAge12,"&lt;"&amp;X205,WeightedRevAge12)-SUMIF(ThresholdAge12,"&lt;"&amp;X205,WeightedMinAge12),MAX(CapacityAge12*'01_Вводные'!$B$218*X205,MeanMinAge12)))</f>
        <v/>
      </c>
      <c r="Y148" s="190">
        <f>IF(OR((Y64-Y92)=0,12&lt;='01_Вводные'!$B$297),0,(Y64-Y92)*IF('01_Вводные'!$B$239="Да",MeanMinAge12+Y205*SUMIF(ThresholdAge12,"&lt;"&amp;Y205,WeightedRevAge12)-SUMIF(ThresholdAge12,"&lt;"&amp;Y205,WeightedMinAge12),MAX(CapacityAge12*'01_Вводные'!$B$218*Y205,MeanMinAge12)))</f>
        <v/>
      </c>
      <c r="Z148" s="190">
        <f>IF(OR((Z64-Z92)=0,12&lt;='01_Вводные'!$B$297),0,(Z64-Z92)*IF('01_Вводные'!$B$239="Да",MeanMinAge12+Z205*SUMIF(ThresholdAge12,"&lt;"&amp;Z205,WeightedRevAge12)-SUMIF(ThresholdAge12,"&lt;"&amp;Z205,WeightedMinAge12),MAX(CapacityAge12*'01_Вводные'!$B$218*Z205,MeanMinAge12)))</f>
        <v/>
      </c>
      <c r="AA148" s="190">
        <f>IF(OR((AA64-AA92)=0,12&lt;='01_Вводные'!$B$297),0,(AA64-AA92)*IF('01_Вводные'!$B$239="Да",MeanMinAge12+AA205*SUMIF(ThresholdAge12,"&lt;"&amp;AA205,WeightedRevAge12)-SUMIF(ThresholdAge12,"&lt;"&amp;AA205,WeightedMinAge12),MAX(CapacityAge12*'01_Вводные'!$B$218*AA205,MeanMinAge12)))</f>
        <v/>
      </c>
      <c r="AB148" s="190">
        <f>IF(OR((AB64-AB92)=0,12&lt;='01_Вводные'!$B$297),0,(AB64-AB92)*IF('01_Вводные'!$B$239="Да",MeanMinAge12+AB205*SUMIF(ThresholdAge12,"&lt;"&amp;AB205,WeightedRevAge12)-SUMIF(ThresholdAge12,"&lt;"&amp;AB205,WeightedMinAge12),MAX(CapacityAge12*'01_Вводные'!$B$218*AB205,MeanMinAge12)))</f>
        <v/>
      </c>
      <c r="AC148" s="190">
        <f>IF(OR((AC64-AC92)=0,12&lt;='01_Вводные'!$B$297),0,(AC64-AC92)*IF('01_Вводные'!$B$239="Да",MeanMinAge12+AC205*SUMIF(ThresholdAge12,"&lt;"&amp;AC205,WeightedRevAge12)-SUMIF(ThresholdAge12,"&lt;"&amp;AC205,WeightedMinAge12),MAX(CapacityAge12*'01_Вводные'!$B$218*AC205,MeanMinAge12)))</f>
        <v/>
      </c>
      <c r="AD148" s="190">
        <f>IF(OR((AD64-AD92)=0,12&lt;='01_Вводные'!$B$297),0,(AD64-AD92)*IF('01_Вводные'!$B$239="Да",MeanMinAge12+AD205*SUMIF(ThresholdAge12,"&lt;"&amp;AD205,WeightedRevAge12)-SUMIF(ThresholdAge12,"&lt;"&amp;AD205,WeightedMinAge12),MAX(CapacityAge12*'01_Вводные'!$B$218*AD205,MeanMinAge12)))</f>
        <v/>
      </c>
      <c r="AE148" s="190">
        <f>IF(OR((AE64-AE92)=0,12&lt;='01_Вводные'!$B$297),0,(AE64-AE92)*IF('01_Вводные'!$B$239="Да",MeanMinAge12+AE205*SUMIF(ThresholdAge12,"&lt;"&amp;AE205,WeightedRevAge12)-SUMIF(ThresholdAge12,"&lt;"&amp;AE205,WeightedMinAge12),MAX(CapacityAge12*'01_Вводные'!$B$218*AE205,MeanMinAge12)))</f>
        <v/>
      </c>
      <c r="AF148" s="190">
        <f>IF(OR((AF64-AF92)=0,12&lt;='01_Вводные'!$B$297),0,(AF64-AF92)*IF('01_Вводные'!$B$239="Да",MeanMinAge12+AF205*SUMIF(ThresholdAge12,"&lt;"&amp;AF205,WeightedRevAge12)-SUMIF(ThresholdAge12,"&lt;"&amp;AF205,WeightedMinAge12),MAX(CapacityAge12*'01_Вводные'!$B$218*AF205,MeanMinAge12)))</f>
        <v/>
      </c>
      <c r="AG148" s="190">
        <f>IF(OR((AG64-AG92)=0,12&lt;='01_Вводные'!$B$297),0,(AG64-AG92)*IF('01_Вводные'!$B$239="Да",MeanMinAge12+AG205*SUMIF(ThresholdAge12,"&lt;"&amp;AG205,WeightedRevAge12)-SUMIF(ThresholdAge12,"&lt;"&amp;AG205,WeightedMinAge12),MAX(CapacityAge12*'01_Вводные'!$B$218*AG205,MeanMinAge12)))</f>
        <v/>
      </c>
      <c r="AH148" s="190">
        <f>IF(OR((AH64-AH92)=0,12&lt;='01_Вводные'!$B$297),0,(AH64-AH92)*IF('01_Вводные'!$B$239="Да",MeanMinAge12+AH205*SUMIF(ThresholdAge12,"&lt;"&amp;AH205,WeightedRevAge12)-SUMIF(ThresholdAge12,"&lt;"&amp;AH205,WeightedMinAge12),MAX(CapacityAge12*'01_Вводные'!$B$218*AH205,MeanMinAge12)))</f>
        <v/>
      </c>
      <c r="AI148" s="190">
        <f>IF(OR((AI64-AI92)=0,12&lt;='01_Вводные'!$B$297),0,(AI64-AI92)*IF('01_Вводные'!$B$239="Да",MeanMinAge12+AI205*SUMIF(ThresholdAge12,"&lt;"&amp;AI205,WeightedRevAge12)-SUMIF(ThresholdAge12,"&lt;"&amp;AI205,WeightedMinAge12),MAX(CapacityAge12*'01_Вводные'!$B$218*AI205,MeanMinAge12)))</f>
        <v/>
      </c>
      <c r="AJ148" s="190">
        <f>IF(OR((AJ64-AJ92)=0,12&lt;='01_Вводные'!$B$297),0,(AJ64-AJ92)*IF('01_Вводные'!$B$239="Да",MeanMinAge12+AJ205*SUMIF(ThresholdAge12,"&lt;"&amp;AJ205,WeightedRevAge12)-SUMIF(ThresholdAge12,"&lt;"&amp;AJ205,WeightedMinAge12),MAX(CapacityAge12*'01_Вводные'!$B$218*AJ205,MeanMinAge12)))</f>
        <v/>
      </c>
      <c r="AK148" s="190">
        <f>IF(OR((AK64-AK92)=0,12&lt;='01_Вводные'!$B$297),0,(AK64-AK92)*IF('01_Вводные'!$B$239="Да",MeanMinAge12+AK205*SUMIF(ThresholdAge12,"&lt;"&amp;AK205,WeightedRevAge12)-SUMIF(ThresholdAge12,"&lt;"&amp;AK205,WeightedMinAge12),MAX(CapacityAge12*'01_Вводные'!$B$218*AK205,MeanMinAge12)))</f>
        <v/>
      </c>
      <c r="AL148" s="190">
        <f>IF(OR((AL64-AL92)=0,12&lt;='01_Вводные'!$B$297),0,(AL64-AL92)*IF('01_Вводные'!$B$239="Да",MeanMinAge12+AL205*SUMIF(ThresholdAge12,"&lt;"&amp;AL205,WeightedRevAge12)-SUMIF(ThresholdAge12,"&lt;"&amp;AL205,WeightedMinAge12),MAX(CapacityAge12*'01_Вводные'!$B$218*AL205,MeanMinAge12)))</f>
        <v/>
      </c>
      <c r="AM148" s="190">
        <f>IF(OR((AM64-AM92)=0,12&lt;='01_Вводные'!$B$297),0,(AM64-AM92)*IF('01_Вводные'!$B$239="Да",MeanMinAge12+AM205*SUMIF(ThresholdAge12,"&lt;"&amp;AM205,WeightedRevAge12)-SUMIF(ThresholdAge12,"&lt;"&amp;AM205,WeightedMinAge12),MAX(CapacityAge12*'01_Вводные'!$B$218*AM205,MeanMinAge12)))</f>
        <v/>
      </c>
      <c r="AN148" s="190">
        <f>IF(OR((AN64-AN92)=0,12&lt;='01_Вводные'!$B$297),0,(AN64-AN92)*IF('01_Вводные'!$B$239="Да",MeanMinAge12+AN205*SUMIF(ThresholdAge12,"&lt;"&amp;AN205,WeightedRevAge12)-SUMIF(ThresholdAge12,"&lt;"&amp;AN205,WeightedMinAge12),MAX(CapacityAge12*'01_Вводные'!$B$218*AN205,MeanMinAge12)))</f>
        <v/>
      </c>
      <c r="AO148" s="190">
        <f>IF(OR((AO64-AO92)=0,12&lt;='01_Вводные'!$B$297),0,(AO64-AO92)*IF('01_Вводные'!$B$239="Да",MeanMinAge12+AO205*SUMIF(ThresholdAge12,"&lt;"&amp;AO205,WeightedRevAge12)-SUMIF(ThresholdAge12,"&lt;"&amp;AO205,WeightedMinAge12),MAX(CapacityAge12*'01_Вводные'!$B$218*AO205,MeanMinAge12)))</f>
        <v/>
      </c>
      <c r="AP148" s="190">
        <f>IF(OR((AP64-AP92)=0,12&lt;='01_Вводные'!$B$297),0,(AP64-AP92)*IF('01_Вводные'!$B$239="Да",MeanMinAge12+AP205*SUMIF(ThresholdAge12,"&lt;"&amp;AP205,WeightedRevAge12)-SUMIF(ThresholdAge12,"&lt;"&amp;AP205,WeightedMinAge12),MAX(CapacityAge12*'01_Вводные'!$B$218*AP205,MeanMinAge12)))</f>
        <v/>
      </c>
      <c r="AQ148" s="190">
        <f>IF(OR((AQ64-AQ92)=0,12&lt;='01_Вводные'!$B$297),0,(AQ64-AQ92)*IF('01_Вводные'!$B$239="Да",MeanMinAge12+AQ205*SUMIF(ThresholdAge12,"&lt;"&amp;AQ205,WeightedRevAge12)-SUMIF(ThresholdAge12,"&lt;"&amp;AQ205,WeightedMinAge12),MAX(CapacityAge12*'01_Вводные'!$B$218*AQ205,MeanMinAge12)))</f>
        <v/>
      </c>
      <c r="AR148" s="190">
        <f>IF(OR((AR64-AR92)=0,12&lt;='01_Вводные'!$B$297),0,(AR64-AR92)*IF('01_Вводные'!$B$239="Да",MeanMinAge12+AR205*SUMIF(ThresholdAge12,"&lt;"&amp;AR205,WeightedRevAge12)-SUMIF(ThresholdAge12,"&lt;"&amp;AR205,WeightedMinAge12),MAX(CapacityAge12*'01_Вводные'!$B$218*AR205,MeanMinAge12)))</f>
        <v/>
      </c>
      <c r="AS148" s="190">
        <f>IF(OR((AS64-AS92)=0,12&lt;='01_Вводные'!$B$297),0,(AS64-AS92)*IF('01_Вводные'!$B$239="Да",MeanMinAge12+AS205*SUMIF(ThresholdAge12,"&lt;"&amp;AS205,WeightedRevAge12)-SUMIF(ThresholdAge12,"&lt;"&amp;AS205,WeightedMinAge12),MAX(CapacityAge12*'01_Вводные'!$B$218*AS205,MeanMinAge12)))</f>
        <v/>
      </c>
      <c r="AT148" s="190">
        <f>IF(OR((AT64-AT92)=0,12&lt;='01_Вводные'!$B$297),0,(AT64-AT92)*IF('01_Вводные'!$B$239="Да",MeanMinAge12+AT205*SUMIF(ThresholdAge12,"&lt;"&amp;AT205,WeightedRevAge12)-SUMIF(ThresholdAge12,"&lt;"&amp;AT205,WeightedMinAge12),MAX(CapacityAge12*'01_Вводные'!$B$218*AT205,MeanMinAge12)))</f>
        <v/>
      </c>
      <c r="AU148" s="190">
        <f>IF(OR((AU64-AU92)=0,12&lt;='01_Вводные'!$B$297),0,(AU64-AU92)*IF('01_Вводные'!$B$239="Да",MeanMinAge12+AU205*SUMIF(ThresholdAge12,"&lt;"&amp;AU205,WeightedRevAge12)-SUMIF(ThresholdAge12,"&lt;"&amp;AU205,WeightedMinAge12),MAX(CapacityAge12*'01_Вводные'!$B$218*AU205,MeanMinAge12)))</f>
        <v/>
      </c>
      <c r="AV148" s="190">
        <f>IF(OR((AV64-AV92)=0,12&lt;='01_Вводные'!$B$297),0,(AV64-AV92)*IF('01_Вводные'!$B$239="Да",MeanMinAge12+AV205*SUMIF(ThresholdAge12,"&lt;"&amp;AV205,WeightedRevAge12)-SUMIF(ThresholdAge12,"&lt;"&amp;AV205,WeightedMinAge12),MAX(CapacityAge12*'01_Вводные'!$B$218*AV205,MeanMinAge12)))</f>
        <v/>
      </c>
      <c r="AW148" s="190">
        <f>IF(OR((AW64-AW92)=0,12&lt;='01_Вводные'!$B$297),0,(AW64-AW92)*IF('01_Вводные'!$B$239="Да",MeanMinAge12+AW205*SUMIF(ThresholdAge12,"&lt;"&amp;AW205,WeightedRevAge12)-SUMIF(ThresholdAge12,"&lt;"&amp;AW205,WeightedMinAge12),MAX(CapacityAge12*'01_Вводные'!$B$218*AW205,MeanMinAge12)))</f>
        <v/>
      </c>
      <c r="AX148" s="190">
        <f>IF(OR((AX64-AX92)=0,12&lt;='01_Вводные'!$B$297),0,(AX64-AX92)*IF('01_Вводные'!$B$239="Да",MeanMinAge12+AX205*SUMIF(ThresholdAge12,"&lt;"&amp;AX205,WeightedRevAge12)-SUMIF(ThresholdAge12,"&lt;"&amp;AX205,WeightedMinAge12),MAX(CapacityAge12*'01_Вводные'!$B$218*AX205,MeanMinAge12)))</f>
        <v/>
      </c>
      <c r="AY148" s="190">
        <f>IF(OR((AY64-AY92)=0,12&lt;='01_Вводные'!$B$297),0,(AY64-AY92)*IF('01_Вводные'!$B$239="Да",MeanMinAge12+AY205*SUMIF(ThresholdAge12,"&lt;"&amp;AY205,WeightedRevAge12)-SUMIF(ThresholdAge12,"&lt;"&amp;AY205,WeightedMinAge12),MAX(CapacityAge12*'01_Вводные'!$B$218*AY205,MeanMinAge12)))</f>
        <v/>
      </c>
      <c r="AZ148" s="190">
        <f>IF(OR((AZ64-AZ92)=0,12&lt;='01_Вводные'!$B$297),0,(AZ64-AZ92)*IF('01_Вводные'!$B$239="Да",MeanMinAge12+AZ205*SUMIF(ThresholdAge12,"&lt;"&amp;AZ205,WeightedRevAge12)-SUMIF(ThresholdAge12,"&lt;"&amp;AZ205,WeightedMinAge12),MAX(CapacityAge12*'01_Вводные'!$B$218*AZ205,MeanMinAge12)))</f>
        <v/>
      </c>
      <c r="BA148" s="190">
        <f>IF(OR((BA64-BA92)=0,12&lt;='01_Вводные'!$B$297),0,(BA64-BA92)*IF('01_Вводные'!$B$239="Да",MeanMinAge12+BA205*SUMIF(ThresholdAge12,"&lt;"&amp;BA205,WeightedRevAge12)-SUMIF(ThresholdAge12,"&lt;"&amp;BA205,WeightedMinAge12),MAX(CapacityAge12*'01_Вводные'!$B$218*BA205,MeanMinAge12)))</f>
        <v/>
      </c>
      <c r="BB148" s="190">
        <f>IF(OR((BB64-BB92)=0,12&lt;='01_Вводные'!$B$297),0,(BB64-BB92)*IF('01_Вводные'!$B$239="Да",MeanMinAge12+BB205*SUMIF(ThresholdAge12,"&lt;"&amp;BB205,WeightedRevAge12)-SUMIF(ThresholdAge12,"&lt;"&amp;BB205,WeightedMinAge12),MAX(CapacityAge12*'01_Вводные'!$B$218*BB205,MeanMinAge12)))</f>
        <v/>
      </c>
      <c r="BC148" s="190">
        <f>IF(OR((BC64-BC92)=0,12&lt;='01_Вводные'!$B$297),0,(BC64-BC92)*IF('01_Вводные'!$B$239="Да",MeanMinAge12+BC205*SUMIF(ThresholdAge12,"&lt;"&amp;BC205,WeightedRevAge12)-SUMIF(ThresholdAge12,"&lt;"&amp;BC205,WeightedMinAge12),MAX(CapacityAge12*'01_Вводные'!$B$218*BC205,MeanMinAge12)))</f>
        <v/>
      </c>
      <c r="BD148" s="190">
        <f>IF(OR((BD64-BD92)=0,12&lt;='01_Вводные'!$B$297),0,(BD64-BD92)*IF('01_Вводные'!$B$239="Да",MeanMinAge12+BD205*SUMIF(ThresholdAge12,"&lt;"&amp;BD205,WeightedRevAge12)-SUMIF(ThresholdAge12,"&lt;"&amp;BD205,WeightedMinAge12),MAX(CapacityAge12*'01_Вводные'!$B$218*BD205,MeanMinAge12)))</f>
        <v/>
      </c>
      <c r="BE148" s="190">
        <f>IF(OR((BE64-BE92)=0,12&lt;='01_Вводные'!$B$297),0,(BE64-BE92)*IF('01_Вводные'!$B$239="Да",MeanMinAge12+BE205*SUMIF(ThresholdAge12,"&lt;"&amp;BE205,WeightedRevAge12)-SUMIF(ThresholdAge12,"&lt;"&amp;BE205,WeightedMinAge12),MAX(CapacityAge12*'01_Вводные'!$B$218*BE205,MeanMinAge12)))</f>
        <v/>
      </c>
      <c r="BF148" s="190">
        <f>IF(OR((BF64-BF92)=0,12&lt;='01_Вводные'!$B$297),0,(BF64-BF92)*IF('01_Вводные'!$B$239="Да",MeanMinAge12+BF205*SUMIF(ThresholdAge12,"&lt;"&amp;BF205,WeightedRevAge12)-SUMIF(ThresholdAge12,"&lt;"&amp;BF205,WeightedMinAge12),MAX(CapacityAge12*'01_Вводные'!$B$218*BF205,MeanMinAge12)))</f>
        <v/>
      </c>
      <c r="BG148" s="190">
        <f>IF(OR((BG64-BG92)=0,12&lt;='01_Вводные'!$B$297),0,(BG64-BG92)*IF('01_Вводные'!$B$239="Да",MeanMinAge12+BG205*SUMIF(ThresholdAge12,"&lt;"&amp;BG205,WeightedRevAge12)-SUMIF(ThresholdAge12,"&lt;"&amp;BG205,WeightedMinAge12),MAX(CapacityAge12*'01_Вводные'!$B$218*BG205,MeanMinAge12)))</f>
        <v/>
      </c>
      <c r="BH148" s="190">
        <f>IF(OR((BH64-BH92)=0,12&lt;='01_Вводные'!$B$297),0,(BH64-BH92)*IF('01_Вводные'!$B$239="Да",MeanMinAge12+BH205*SUMIF(ThresholdAge12,"&lt;"&amp;BH205,WeightedRevAge12)-SUMIF(ThresholdAge12,"&lt;"&amp;BH205,WeightedMinAge12),MAX(CapacityAge12*'01_Вводные'!$B$218*BH205,MeanMinAge12)))</f>
        <v/>
      </c>
      <c r="BI148" s="190">
        <f>IF(OR((BI64-BI92)=0,12&lt;='01_Вводные'!$B$297),0,(BI64-BI92)*IF('01_Вводные'!$B$239="Да",MeanMinAge12+BI205*SUMIF(ThresholdAge12,"&lt;"&amp;BI205,WeightedRevAge12)-SUMIF(ThresholdAge12,"&lt;"&amp;BI205,WeightedMinAge12),MAX(CapacityAge12*'01_Вводные'!$B$218*BI205,MeanMinAge12)))</f>
        <v/>
      </c>
      <c r="BJ148" s="190">
        <f>IF(OR((BJ64-BJ92)=0,12&lt;='01_Вводные'!$B$297),0,(BJ64-BJ92)*IF('01_Вводные'!$B$239="Да",MeanMinAge12+BJ205*SUMIF(ThresholdAge12,"&lt;"&amp;BJ205,WeightedRevAge12)-SUMIF(ThresholdAge12,"&lt;"&amp;BJ205,WeightedMinAge12),MAX(CapacityAge12*'01_Вводные'!$B$218*BJ205,MeanMinAge12)))</f>
        <v/>
      </c>
      <c r="BK148" s="190">
        <f>IF(OR((BK64-BK92)=0,12&lt;='01_Вводные'!$B$297),0,(BK64-BK92)*IF('01_Вводные'!$B$239="Да",MeanMinAge12+BK205*SUMIF(ThresholdAge12,"&lt;"&amp;BK205,WeightedRevAge12)-SUMIF(ThresholdAge12,"&lt;"&amp;BK205,WeightedMinAge12),MAX(CapacityAge12*'01_Вводные'!$B$218*BK205,MeanMinAge12)))</f>
        <v/>
      </c>
      <c r="BL148" s="190">
        <f>IF(OR((BL64-BL92)=0,12&lt;='01_Вводные'!$B$297),0,(BL64-BL92)*IF('01_Вводные'!$B$239="Да",MeanMinAge12+BL205*SUMIF(ThresholdAge12,"&lt;"&amp;BL205,WeightedRevAge12)-SUMIF(ThresholdAge12,"&lt;"&amp;BL205,WeightedMinAge12),MAX(CapacityAge12*'01_Вводные'!$B$218*BL205,MeanMinAge12)))</f>
        <v/>
      </c>
      <c r="BM148" s="190">
        <f>IF(OR((BM64-BM92)=0,12&lt;='01_Вводные'!$B$297),0,(BM64-BM92)*IF('01_Вводные'!$B$239="Да",MeanMinAge12+BM205*SUMIF(ThresholdAge12,"&lt;"&amp;BM205,WeightedRevAge12)-SUMIF(ThresholdAge12,"&lt;"&amp;BM205,WeightedMinAge12),MAX(CapacityAge12*'01_Вводные'!$B$218*BM205,MeanMinAge12)))</f>
        <v/>
      </c>
      <c r="BN148" s="190">
        <f>IF(OR((BN64-BN92)=0,12&lt;='01_Вводные'!$B$297),0,(BN64-BN92)*IF('01_Вводные'!$B$239="Да",MeanMinAge12+BN205*SUMIF(ThresholdAge12,"&lt;"&amp;BN205,WeightedRevAge12)-SUMIF(ThresholdAge12,"&lt;"&amp;BN205,WeightedMinAge12),MAX(CapacityAge12*'01_Вводные'!$B$218*BN205,MeanMinAge12)))</f>
        <v/>
      </c>
      <c r="BO148" s="190">
        <f>IF(OR((BO64-BO92)=0,12&lt;='01_Вводные'!$B$297),0,(BO64-BO92)*IF('01_Вводные'!$B$239="Да",MeanMinAge12+BO205*SUMIF(ThresholdAge12,"&lt;"&amp;BO205,WeightedRevAge12)-SUMIF(ThresholdAge12,"&lt;"&amp;BO205,WeightedMinAge12),MAX(CapacityAge12*'01_Вводные'!$B$218*BO205,MeanMinAge12)))</f>
        <v/>
      </c>
    </row>
    <row r="149" hidden="1" outlineLevel="1">
      <c r="A149" t="inlineStr">
        <is>
          <t>13 мес.</t>
        </is>
      </c>
      <c r="B149" s="190">
        <f>IF(OR((B65-B93)=0,13&lt;='01_Вводные'!$B$297),0,(B65-B93)*IF('01_Вводные'!$B$239="Да",MeanMinAge13+B205*SUMIF(ThresholdAge13,"&lt;"&amp;B205,WeightedRevAge13)-SUMIF(ThresholdAge13,"&lt;"&amp;B205,WeightedMinAge13),MAX(CapacityAge13*'01_Вводные'!$B$218*B205,MeanMinAge13)))</f>
        <v/>
      </c>
      <c r="C149" s="190">
        <f>IF(OR((C65-C93)=0,13&lt;='01_Вводные'!$B$297),0,(C65-C93)*IF('01_Вводные'!$B$239="Да",MeanMinAge13+C205*SUMIF(ThresholdAge13,"&lt;"&amp;C205,WeightedRevAge13)-SUMIF(ThresholdAge13,"&lt;"&amp;C205,WeightedMinAge13),MAX(CapacityAge13*'01_Вводные'!$B$218*C205,MeanMinAge13)))</f>
        <v/>
      </c>
      <c r="D149" s="190">
        <f>IF(OR((D65-D93)=0,13&lt;='01_Вводные'!$B$297),0,(D65-D93)*IF('01_Вводные'!$B$239="Да",MeanMinAge13+D205*SUMIF(ThresholdAge13,"&lt;"&amp;D205,WeightedRevAge13)-SUMIF(ThresholdAge13,"&lt;"&amp;D205,WeightedMinAge13),MAX(CapacityAge13*'01_Вводные'!$B$218*D205,MeanMinAge13)))</f>
        <v/>
      </c>
      <c r="E149" s="190">
        <f>IF(OR((E65-E93)=0,13&lt;='01_Вводные'!$B$297),0,(E65-E93)*IF('01_Вводные'!$B$239="Да",MeanMinAge13+E205*SUMIF(ThresholdAge13,"&lt;"&amp;E205,WeightedRevAge13)-SUMIF(ThresholdAge13,"&lt;"&amp;E205,WeightedMinAge13),MAX(CapacityAge13*'01_Вводные'!$B$218*E205,MeanMinAge13)))</f>
        <v/>
      </c>
      <c r="F149" s="190">
        <f>IF(OR((F65-F93)=0,13&lt;='01_Вводные'!$B$297),0,(F65-F93)*IF('01_Вводные'!$B$239="Да",MeanMinAge13+F205*SUMIF(ThresholdAge13,"&lt;"&amp;F205,WeightedRevAge13)-SUMIF(ThresholdAge13,"&lt;"&amp;F205,WeightedMinAge13),MAX(CapacityAge13*'01_Вводные'!$B$218*F205,MeanMinAge13)))</f>
        <v/>
      </c>
      <c r="G149" s="190">
        <f>IF(OR((G65-G93)=0,13&lt;='01_Вводные'!$B$297),0,(G65-G93)*IF('01_Вводные'!$B$239="Да",MeanMinAge13+G205*SUMIF(ThresholdAge13,"&lt;"&amp;G205,WeightedRevAge13)-SUMIF(ThresholdAge13,"&lt;"&amp;G205,WeightedMinAge13),MAX(CapacityAge13*'01_Вводные'!$B$218*G205,MeanMinAge13)))</f>
        <v/>
      </c>
      <c r="H149" s="190">
        <f>IF(OR((H65-H93)=0,13&lt;='01_Вводные'!$B$297),0,(H65-H93)*IF('01_Вводные'!$B$239="Да",MeanMinAge13+H205*SUMIF(ThresholdAge13,"&lt;"&amp;H205,WeightedRevAge13)-SUMIF(ThresholdAge13,"&lt;"&amp;H205,WeightedMinAge13),MAX(CapacityAge13*'01_Вводные'!$B$218*H205,MeanMinAge13)))</f>
        <v/>
      </c>
      <c r="I149" s="190">
        <f>IF(OR((I65-I93)=0,13&lt;='01_Вводные'!$B$297),0,(I65-I93)*IF('01_Вводные'!$B$239="Да",MeanMinAge13+I205*SUMIF(ThresholdAge13,"&lt;"&amp;I205,WeightedRevAge13)-SUMIF(ThresholdAge13,"&lt;"&amp;I205,WeightedMinAge13),MAX(CapacityAge13*'01_Вводные'!$B$218*I205,MeanMinAge13)))</f>
        <v/>
      </c>
      <c r="J149" s="190">
        <f>IF(OR((J65-J93)=0,13&lt;='01_Вводные'!$B$297),0,(J65-J93)*IF('01_Вводные'!$B$239="Да",MeanMinAge13+J205*SUMIF(ThresholdAge13,"&lt;"&amp;J205,WeightedRevAge13)-SUMIF(ThresholdAge13,"&lt;"&amp;J205,WeightedMinAge13),MAX(CapacityAge13*'01_Вводные'!$B$218*J205,MeanMinAge13)))</f>
        <v/>
      </c>
      <c r="K149" s="190">
        <f>IF(OR((K65-K93)=0,13&lt;='01_Вводные'!$B$297),0,(K65-K93)*IF('01_Вводные'!$B$239="Да",MeanMinAge13+K205*SUMIF(ThresholdAge13,"&lt;"&amp;K205,WeightedRevAge13)-SUMIF(ThresholdAge13,"&lt;"&amp;K205,WeightedMinAge13),MAX(CapacityAge13*'01_Вводные'!$B$218*K205,MeanMinAge13)))</f>
        <v/>
      </c>
      <c r="L149" s="190">
        <f>IF(OR((L65-L93)=0,13&lt;='01_Вводные'!$B$297),0,(L65-L93)*IF('01_Вводные'!$B$239="Да",MeanMinAge13+L205*SUMIF(ThresholdAge13,"&lt;"&amp;L205,WeightedRevAge13)-SUMIF(ThresholdAge13,"&lt;"&amp;L205,WeightedMinAge13),MAX(CapacityAge13*'01_Вводные'!$B$218*L205,MeanMinAge13)))</f>
        <v/>
      </c>
      <c r="M149" s="190">
        <f>IF(OR((M65-M93)=0,13&lt;='01_Вводные'!$B$297),0,(M65-M93)*IF('01_Вводные'!$B$239="Да",MeanMinAge13+M205*SUMIF(ThresholdAge13,"&lt;"&amp;M205,WeightedRevAge13)-SUMIF(ThresholdAge13,"&lt;"&amp;M205,WeightedMinAge13),MAX(CapacityAge13*'01_Вводные'!$B$218*M205,MeanMinAge13)))</f>
        <v/>
      </c>
      <c r="N149" s="190">
        <f>IF(OR((N65-N93)=0,13&lt;='01_Вводные'!$B$297),0,(N65-N93)*IF('01_Вводные'!$B$239="Да",MeanMinAge13+N205*SUMIF(ThresholdAge13,"&lt;"&amp;N205,WeightedRevAge13)-SUMIF(ThresholdAge13,"&lt;"&amp;N205,WeightedMinAge13),MAX(CapacityAge13*'01_Вводные'!$B$218*N205,MeanMinAge13)))</f>
        <v/>
      </c>
      <c r="O149" s="190">
        <f>IF(OR((O65-O93)=0,13&lt;='01_Вводные'!$B$297),0,(O65-O93)*IF('01_Вводные'!$B$239="Да",MeanMinAge13+O205*SUMIF(ThresholdAge13,"&lt;"&amp;O205,WeightedRevAge13)-SUMIF(ThresholdAge13,"&lt;"&amp;O205,WeightedMinAge13),MAX(CapacityAge13*'01_Вводные'!$B$218*O205,MeanMinAge13)))</f>
        <v/>
      </c>
      <c r="P149" s="190">
        <f>IF(OR((P65-P93)=0,13&lt;='01_Вводные'!$B$297),0,(P65-P93)*IF('01_Вводные'!$B$239="Да",MeanMinAge13+P205*SUMIF(ThresholdAge13,"&lt;"&amp;P205,WeightedRevAge13)-SUMIF(ThresholdAge13,"&lt;"&amp;P205,WeightedMinAge13),MAX(CapacityAge13*'01_Вводные'!$B$218*P205,MeanMinAge13)))</f>
        <v/>
      </c>
      <c r="Q149" s="190">
        <f>IF(OR((Q65-Q93)=0,13&lt;='01_Вводные'!$B$297),0,(Q65-Q93)*IF('01_Вводные'!$B$239="Да",MeanMinAge13+Q205*SUMIF(ThresholdAge13,"&lt;"&amp;Q205,WeightedRevAge13)-SUMIF(ThresholdAge13,"&lt;"&amp;Q205,WeightedMinAge13),MAX(CapacityAge13*'01_Вводные'!$B$218*Q205,MeanMinAge13)))</f>
        <v/>
      </c>
      <c r="R149" s="190">
        <f>IF(OR((R65-R93)=0,13&lt;='01_Вводные'!$B$297),0,(R65-R93)*IF('01_Вводные'!$B$239="Да",MeanMinAge13+R205*SUMIF(ThresholdAge13,"&lt;"&amp;R205,WeightedRevAge13)-SUMIF(ThresholdAge13,"&lt;"&amp;R205,WeightedMinAge13),MAX(CapacityAge13*'01_Вводные'!$B$218*R205,MeanMinAge13)))</f>
        <v/>
      </c>
      <c r="S149" s="190">
        <f>IF(OR((S65-S93)=0,13&lt;='01_Вводные'!$B$297),0,(S65-S93)*IF('01_Вводные'!$B$239="Да",MeanMinAge13+S205*SUMIF(ThresholdAge13,"&lt;"&amp;S205,WeightedRevAge13)-SUMIF(ThresholdAge13,"&lt;"&amp;S205,WeightedMinAge13),MAX(CapacityAge13*'01_Вводные'!$B$218*S205,MeanMinAge13)))</f>
        <v/>
      </c>
      <c r="T149" s="190">
        <f>IF(OR((T65-T93)=0,13&lt;='01_Вводные'!$B$297),0,(T65-T93)*IF('01_Вводные'!$B$239="Да",MeanMinAge13+T205*SUMIF(ThresholdAge13,"&lt;"&amp;T205,WeightedRevAge13)-SUMIF(ThresholdAge13,"&lt;"&amp;T205,WeightedMinAge13),MAX(CapacityAge13*'01_Вводные'!$B$218*T205,MeanMinAge13)))</f>
        <v/>
      </c>
      <c r="U149" s="190">
        <f>IF(OR((U65-U93)=0,13&lt;='01_Вводные'!$B$297),0,(U65-U93)*IF('01_Вводные'!$B$239="Да",MeanMinAge13+U205*SUMIF(ThresholdAge13,"&lt;"&amp;U205,WeightedRevAge13)-SUMIF(ThresholdAge13,"&lt;"&amp;U205,WeightedMinAge13),MAX(CapacityAge13*'01_Вводные'!$B$218*U205,MeanMinAge13)))</f>
        <v/>
      </c>
      <c r="V149" s="190">
        <f>IF(OR((V65-V93)=0,13&lt;='01_Вводные'!$B$297),0,(V65-V93)*IF('01_Вводные'!$B$239="Да",MeanMinAge13+V205*SUMIF(ThresholdAge13,"&lt;"&amp;V205,WeightedRevAge13)-SUMIF(ThresholdAge13,"&lt;"&amp;V205,WeightedMinAge13),MAX(CapacityAge13*'01_Вводные'!$B$218*V205,MeanMinAge13)))</f>
        <v/>
      </c>
      <c r="W149" s="190">
        <f>IF(OR((W65-W93)=0,13&lt;='01_Вводные'!$B$297),0,(W65-W93)*IF('01_Вводные'!$B$239="Да",MeanMinAge13+W205*SUMIF(ThresholdAge13,"&lt;"&amp;W205,WeightedRevAge13)-SUMIF(ThresholdAge13,"&lt;"&amp;W205,WeightedMinAge13),MAX(CapacityAge13*'01_Вводные'!$B$218*W205,MeanMinAge13)))</f>
        <v/>
      </c>
      <c r="X149" s="190">
        <f>IF(OR((X65-X93)=0,13&lt;='01_Вводные'!$B$297),0,(X65-X93)*IF('01_Вводные'!$B$239="Да",MeanMinAge13+X205*SUMIF(ThresholdAge13,"&lt;"&amp;X205,WeightedRevAge13)-SUMIF(ThresholdAge13,"&lt;"&amp;X205,WeightedMinAge13),MAX(CapacityAge13*'01_Вводные'!$B$218*X205,MeanMinAge13)))</f>
        <v/>
      </c>
      <c r="Y149" s="190">
        <f>IF(OR((Y65-Y93)=0,13&lt;='01_Вводные'!$B$297),0,(Y65-Y93)*IF('01_Вводные'!$B$239="Да",MeanMinAge13+Y205*SUMIF(ThresholdAge13,"&lt;"&amp;Y205,WeightedRevAge13)-SUMIF(ThresholdAge13,"&lt;"&amp;Y205,WeightedMinAge13),MAX(CapacityAge13*'01_Вводные'!$B$218*Y205,MeanMinAge13)))</f>
        <v/>
      </c>
      <c r="Z149" s="190">
        <f>IF(OR((Z65-Z93)=0,13&lt;='01_Вводные'!$B$297),0,(Z65-Z93)*IF('01_Вводные'!$B$239="Да",MeanMinAge13+Z205*SUMIF(ThresholdAge13,"&lt;"&amp;Z205,WeightedRevAge13)-SUMIF(ThresholdAge13,"&lt;"&amp;Z205,WeightedMinAge13),MAX(CapacityAge13*'01_Вводные'!$B$218*Z205,MeanMinAge13)))</f>
        <v/>
      </c>
      <c r="AA149" s="190">
        <f>IF(OR((AA65-AA93)=0,13&lt;='01_Вводные'!$B$297),0,(AA65-AA93)*IF('01_Вводные'!$B$239="Да",MeanMinAge13+AA205*SUMIF(ThresholdAge13,"&lt;"&amp;AA205,WeightedRevAge13)-SUMIF(ThresholdAge13,"&lt;"&amp;AA205,WeightedMinAge13),MAX(CapacityAge13*'01_Вводные'!$B$218*AA205,MeanMinAge13)))</f>
        <v/>
      </c>
      <c r="AB149" s="190">
        <f>IF(OR((AB65-AB93)=0,13&lt;='01_Вводные'!$B$297),0,(AB65-AB93)*IF('01_Вводные'!$B$239="Да",MeanMinAge13+AB205*SUMIF(ThresholdAge13,"&lt;"&amp;AB205,WeightedRevAge13)-SUMIF(ThresholdAge13,"&lt;"&amp;AB205,WeightedMinAge13),MAX(CapacityAge13*'01_Вводные'!$B$218*AB205,MeanMinAge13)))</f>
        <v/>
      </c>
      <c r="AC149" s="190">
        <f>IF(OR((AC65-AC93)=0,13&lt;='01_Вводные'!$B$297),0,(AC65-AC93)*IF('01_Вводные'!$B$239="Да",MeanMinAge13+AC205*SUMIF(ThresholdAge13,"&lt;"&amp;AC205,WeightedRevAge13)-SUMIF(ThresholdAge13,"&lt;"&amp;AC205,WeightedMinAge13),MAX(CapacityAge13*'01_Вводные'!$B$218*AC205,MeanMinAge13)))</f>
        <v/>
      </c>
      <c r="AD149" s="190">
        <f>IF(OR((AD65-AD93)=0,13&lt;='01_Вводные'!$B$297),0,(AD65-AD93)*IF('01_Вводные'!$B$239="Да",MeanMinAge13+AD205*SUMIF(ThresholdAge13,"&lt;"&amp;AD205,WeightedRevAge13)-SUMIF(ThresholdAge13,"&lt;"&amp;AD205,WeightedMinAge13),MAX(CapacityAge13*'01_Вводные'!$B$218*AD205,MeanMinAge13)))</f>
        <v/>
      </c>
      <c r="AE149" s="190">
        <f>IF(OR((AE65-AE93)=0,13&lt;='01_Вводные'!$B$297),0,(AE65-AE93)*IF('01_Вводные'!$B$239="Да",MeanMinAge13+AE205*SUMIF(ThresholdAge13,"&lt;"&amp;AE205,WeightedRevAge13)-SUMIF(ThresholdAge13,"&lt;"&amp;AE205,WeightedMinAge13),MAX(CapacityAge13*'01_Вводные'!$B$218*AE205,MeanMinAge13)))</f>
        <v/>
      </c>
      <c r="AF149" s="190">
        <f>IF(OR((AF65-AF93)=0,13&lt;='01_Вводные'!$B$297),0,(AF65-AF93)*IF('01_Вводные'!$B$239="Да",MeanMinAge13+AF205*SUMIF(ThresholdAge13,"&lt;"&amp;AF205,WeightedRevAge13)-SUMIF(ThresholdAge13,"&lt;"&amp;AF205,WeightedMinAge13),MAX(CapacityAge13*'01_Вводные'!$B$218*AF205,MeanMinAge13)))</f>
        <v/>
      </c>
      <c r="AG149" s="190">
        <f>IF(OR((AG65-AG93)=0,13&lt;='01_Вводные'!$B$297),0,(AG65-AG93)*IF('01_Вводные'!$B$239="Да",MeanMinAge13+AG205*SUMIF(ThresholdAge13,"&lt;"&amp;AG205,WeightedRevAge13)-SUMIF(ThresholdAge13,"&lt;"&amp;AG205,WeightedMinAge13),MAX(CapacityAge13*'01_Вводные'!$B$218*AG205,MeanMinAge13)))</f>
        <v/>
      </c>
      <c r="AH149" s="190">
        <f>IF(OR((AH65-AH93)=0,13&lt;='01_Вводные'!$B$297),0,(AH65-AH93)*IF('01_Вводные'!$B$239="Да",MeanMinAge13+AH205*SUMIF(ThresholdAge13,"&lt;"&amp;AH205,WeightedRevAge13)-SUMIF(ThresholdAge13,"&lt;"&amp;AH205,WeightedMinAge13),MAX(CapacityAge13*'01_Вводные'!$B$218*AH205,MeanMinAge13)))</f>
        <v/>
      </c>
      <c r="AI149" s="190">
        <f>IF(OR((AI65-AI93)=0,13&lt;='01_Вводные'!$B$297),0,(AI65-AI93)*IF('01_Вводные'!$B$239="Да",MeanMinAge13+AI205*SUMIF(ThresholdAge13,"&lt;"&amp;AI205,WeightedRevAge13)-SUMIF(ThresholdAge13,"&lt;"&amp;AI205,WeightedMinAge13),MAX(CapacityAge13*'01_Вводные'!$B$218*AI205,MeanMinAge13)))</f>
        <v/>
      </c>
      <c r="AJ149" s="190">
        <f>IF(OR((AJ65-AJ93)=0,13&lt;='01_Вводные'!$B$297),0,(AJ65-AJ93)*IF('01_Вводные'!$B$239="Да",MeanMinAge13+AJ205*SUMIF(ThresholdAge13,"&lt;"&amp;AJ205,WeightedRevAge13)-SUMIF(ThresholdAge13,"&lt;"&amp;AJ205,WeightedMinAge13),MAX(CapacityAge13*'01_Вводные'!$B$218*AJ205,MeanMinAge13)))</f>
        <v/>
      </c>
      <c r="AK149" s="190">
        <f>IF(OR((AK65-AK93)=0,13&lt;='01_Вводные'!$B$297),0,(AK65-AK93)*IF('01_Вводные'!$B$239="Да",MeanMinAge13+AK205*SUMIF(ThresholdAge13,"&lt;"&amp;AK205,WeightedRevAge13)-SUMIF(ThresholdAge13,"&lt;"&amp;AK205,WeightedMinAge13),MAX(CapacityAge13*'01_Вводные'!$B$218*AK205,MeanMinAge13)))</f>
        <v/>
      </c>
      <c r="AL149" s="190">
        <f>IF(OR((AL65-AL93)=0,13&lt;='01_Вводные'!$B$297),0,(AL65-AL93)*IF('01_Вводные'!$B$239="Да",MeanMinAge13+AL205*SUMIF(ThresholdAge13,"&lt;"&amp;AL205,WeightedRevAge13)-SUMIF(ThresholdAge13,"&lt;"&amp;AL205,WeightedMinAge13),MAX(CapacityAge13*'01_Вводные'!$B$218*AL205,MeanMinAge13)))</f>
        <v/>
      </c>
      <c r="AM149" s="190">
        <f>IF(OR((AM65-AM93)=0,13&lt;='01_Вводные'!$B$297),0,(AM65-AM93)*IF('01_Вводные'!$B$239="Да",MeanMinAge13+AM205*SUMIF(ThresholdAge13,"&lt;"&amp;AM205,WeightedRevAge13)-SUMIF(ThresholdAge13,"&lt;"&amp;AM205,WeightedMinAge13),MAX(CapacityAge13*'01_Вводные'!$B$218*AM205,MeanMinAge13)))</f>
        <v/>
      </c>
      <c r="AN149" s="190">
        <f>IF(OR((AN65-AN93)=0,13&lt;='01_Вводные'!$B$297),0,(AN65-AN93)*IF('01_Вводные'!$B$239="Да",MeanMinAge13+AN205*SUMIF(ThresholdAge13,"&lt;"&amp;AN205,WeightedRevAge13)-SUMIF(ThresholdAge13,"&lt;"&amp;AN205,WeightedMinAge13),MAX(CapacityAge13*'01_Вводные'!$B$218*AN205,MeanMinAge13)))</f>
        <v/>
      </c>
      <c r="AO149" s="190">
        <f>IF(OR((AO65-AO93)=0,13&lt;='01_Вводные'!$B$297),0,(AO65-AO93)*IF('01_Вводные'!$B$239="Да",MeanMinAge13+AO205*SUMIF(ThresholdAge13,"&lt;"&amp;AO205,WeightedRevAge13)-SUMIF(ThresholdAge13,"&lt;"&amp;AO205,WeightedMinAge13),MAX(CapacityAge13*'01_Вводные'!$B$218*AO205,MeanMinAge13)))</f>
        <v/>
      </c>
      <c r="AP149" s="190">
        <f>IF(OR((AP65-AP93)=0,13&lt;='01_Вводные'!$B$297),0,(AP65-AP93)*IF('01_Вводные'!$B$239="Да",MeanMinAge13+AP205*SUMIF(ThresholdAge13,"&lt;"&amp;AP205,WeightedRevAge13)-SUMIF(ThresholdAge13,"&lt;"&amp;AP205,WeightedMinAge13),MAX(CapacityAge13*'01_Вводные'!$B$218*AP205,MeanMinAge13)))</f>
        <v/>
      </c>
      <c r="AQ149" s="190">
        <f>IF(OR((AQ65-AQ93)=0,13&lt;='01_Вводные'!$B$297),0,(AQ65-AQ93)*IF('01_Вводные'!$B$239="Да",MeanMinAge13+AQ205*SUMIF(ThresholdAge13,"&lt;"&amp;AQ205,WeightedRevAge13)-SUMIF(ThresholdAge13,"&lt;"&amp;AQ205,WeightedMinAge13),MAX(CapacityAge13*'01_Вводные'!$B$218*AQ205,MeanMinAge13)))</f>
        <v/>
      </c>
      <c r="AR149" s="190">
        <f>IF(OR((AR65-AR93)=0,13&lt;='01_Вводные'!$B$297),0,(AR65-AR93)*IF('01_Вводные'!$B$239="Да",MeanMinAge13+AR205*SUMIF(ThresholdAge13,"&lt;"&amp;AR205,WeightedRevAge13)-SUMIF(ThresholdAge13,"&lt;"&amp;AR205,WeightedMinAge13),MAX(CapacityAge13*'01_Вводные'!$B$218*AR205,MeanMinAge13)))</f>
        <v/>
      </c>
      <c r="AS149" s="190">
        <f>IF(OR((AS65-AS93)=0,13&lt;='01_Вводные'!$B$297),0,(AS65-AS93)*IF('01_Вводные'!$B$239="Да",MeanMinAge13+AS205*SUMIF(ThresholdAge13,"&lt;"&amp;AS205,WeightedRevAge13)-SUMIF(ThresholdAge13,"&lt;"&amp;AS205,WeightedMinAge13),MAX(CapacityAge13*'01_Вводные'!$B$218*AS205,MeanMinAge13)))</f>
        <v/>
      </c>
      <c r="AT149" s="190">
        <f>IF(OR((AT65-AT93)=0,13&lt;='01_Вводные'!$B$297),0,(AT65-AT93)*IF('01_Вводные'!$B$239="Да",MeanMinAge13+AT205*SUMIF(ThresholdAge13,"&lt;"&amp;AT205,WeightedRevAge13)-SUMIF(ThresholdAge13,"&lt;"&amp;AT205,WeightedMinAge13),MAX(CapacityAge13*'01_Вводные'!$B$218*AT205,MeanMinAge13)))</f>
        <v/>
      </c>
      <c r="AU149" s="190">
        <f>IF(OR((AU65-AU93)=0,13&lt;='01_Вводные'!$B$297),0,(AU65-AU93)*IF('01_Вводные'!$B$239="Да",MeanMinAge13+AU205*SUMIF(ThresholdAge13,"&lt;"&amp;AU205,WeightedRevAge13)-SUMIF(ThresholdAge13,"&lt;"&amp;AU205,WeightedMinAge13),MAX(CapacityAge13*'01_Вводные'!$B$218*AU205,MeanMinAge13)))</f>
        <v/>
      </c>
      <c r="AV149" s="190">
        <f>IF(OR((AV65-AV93)=0,13&lt;='01_Вводные'!$B$297),0,(AV65-AV93)*IF('01_Вводные'!$B$239="Да",MeanMinAge13+AV205*SUMIF(ThresholdAge13,"&lt;"&amp;AV205,WeightedRevAge13)-SUMIF(ThresholdAge13,"&lt;"&amp;AV205,WeightedMinAge13),MAX(CapacityAge13*'01_Вводные'!$B$218*AV205,MeanMinAge13)))</f>
        <v/>
      </c>
      <c r="AW149" s="190">
        <f>IF(OR((AW65-AW93)=0,13&lt;='01_Вводные'!$B$297),0,(AW65-AW93)*IF('01_Вводные'!$B$239="Да",MeanMinAge13+AW205*SUMIF(ThresholdAge13,"&lt;"&amp;AW205,WeightedRevAge13)-SUMIF(ThresholdAge13,"&lt;"&amp;AW205,WeightedMinAge13),MAX(CapacityAge13*'01_Вводные'!$B$218*AW205,MeanMinAge13)))</f>
        <v/>
      </c>
      <c r="AX149" s="190">
        <f>IF(OR((AX65-AX93)=0,13&lt;='01_Вводные'!$B$297),0,(AX65-AX93)*IF('01_Вводные'!$B$239="Да",MeanMinAge13+AX205*SUMIF(ThresholdAge13,"&lt;"&amp;AX205,WeightedRevAge13)-SUMIF(ThresholdAge13,"&lt;"&amp;AX205,WeightedMinAge13),MAX(CapacityAge13*'01_Вводные'!$B$218*AX205,MeanMinAge13)))</f>
        <v/>
      </c>
      <c r="AY149" s="190">
        <f>IF(OR((AY65-AY93)=0,13&lt;='01_Вводные'!$B$297),0,(AY65-AY93)*IF('01_Вводные'!$B$239="Да",MeanMinAge13+AY205*SUMIF(ThresholdAge13,"&lt;"&amp;AY205,WeightedRevAge13)-SUMIF(ThresholdAge13,"&lt;"&amp;AY205,WeightedMinAge13),MAX(CapacityAge13*'01_Вводные'!$B$218*AY205,MeanMinAge13)))</f>
        <v/>
      </c>
      <c r="AZ149" s="190">
        <f>IF(OR((AZ65-AZ93)=0,13&lt;='01_Вводные'!$B$297),0,(AZ65-AZ93)*IF('01_Вводные'!$B$239="Да",MeanMinAge13+AZ205*SUMIF(ThresholdAge13,"&lt;"&amp;AZ205,WeightedRevAge13)-SUMIF(ThresholdAge13,"&lt;"&amp;AZ205,WeightedMinAge13),MAX(CapacityAge13*'01_Вводные'!$B$218*AZ205,MeanMinAge13)))</f>
        <v/>
      </c>
      <c r="BA149" s="190">
        <f>IF(OR((BA65-BA93)=0,13&lt;='01_Вводные'!$B$297),0,(BA65-BA93)*IF('01_Вводные'!$B$239="Да",MeanMinAge13+BA205*SUMIF(ThresholdAge13,"&lt;"&amp;BA205,WeightedRevAge13)-SUMIF(ThresholdAge13,"&lt;"&amp;BA205,WeightedMinAge13),MAX(CapacityAge13*'01_Вводные'!$B$218*BA205,MeanMinAge13)))</f>
        <v/>
      </c>
      <c r="BB149" s="190">
        <f>IF(OR((BB65-BB93)=0,13&lt;='01_Вводные'!$B$297),0,(BB65-BB93)*IF('01_Вводные'!$B$239="Да",MeanMinAge13+BB205*SUMIF(ThresholdAge13,"&lt;"&amp;BB205,WeightedRevAge13)-SUMIF(ThresholdAge13,"&lt;"&amp;BB205,WeightedMinAge13),MAX(CapacityAge13*'01_Вводные'!$B$218*BB205,MeanMinAge13)))</f>
        <v/>
      </c>
      <c r="BC149" s="190">
        <f>IF(OR((BC65-BC93)=0,13&lt;='01_Вводные'!$B$297),0,(BC65-BC93)*IF('01_Вводные'!$B$239="Да",MeanMinAge13+BC205*SUMIF(ThresholdAge13,"&lt;"&amp;BC205,WeightedRevAge13)-SUMIF(ThresholdAge13,"&lt;"&amp;BC205,WeightedMinAge13),MAX(CapacityAge13*'01_Вводные'!$B$218*BC205,MeanMinAge13)))</f>
        <v/>
      </c>
      <c r="BD149" s="190">
        <f>IF(OR((BD65-BD93)=0,13&lt;='01_Вводные'!$B$297),0,(BD65-BD93)*IF('01_Вводные'!$B$239="Да",MeanMinAge13+BD205*SUMIF(ThresholdAge13,"&lt;"&amp;BD205,WeightedRevAge13)-SUMIF(ThresholdAge13,"&lt;"&amp;BD205,WeightedMinAge13),MAX(CapacityAge13*'01_Вводные'!$B$218*BD205,MeanMinAge13)))</f>
        <v/>
      </c>
      <c r="BE149" s="190">
        <f>IF(OR((BE65-BE93)=0,13&lt;='01_Вводные'!$B$297),0,(BE65-BE93)*IF('01_Вводные'!$B$239="Да",MeanMinAge13+BE205*SUMIF(ThresholdAge13,"&lt;"&amp;BE205,WeightedRevAge13)-SUMIF(ThresholdAge13,"&lt;"&amp;BE205,WeightedMinAge13),MAX(CapacityAge13*'01_Вводные'!$B$218*BE205,MeanMinAge13)))</f>
        <v/>
      </c>
      <c r="BF149" s="190">
        <f>IF(OR((BF65-BF93)=0,13&lt;='01_Вводные'!$B$297),0,(BF65-BF93)*IF('01_Вводные'!$B$239="Да",MeanMinAge13+BF205*SUMIF(ThresholdAge13,"&lt;"&amp;BF205,WeightedRevAge13)-SUMIF(ThresholdAge13,"&lt;"&amp;BF205,WeightedMinAge13),MAX(CapacityAge13*'01_Вводные'!$B$218*BF205,MeanMinAge13)))</f>
        <v/>
      </c>
      <c r="BG149" s="190">
        <f>IF(OR((BG65-BG93)=0,13&lt;='01_Вводные'!$B$297),0,(BG65-BG93)*IF('01_Вводные'!$B$239="Да",MeanMinAge13+BG205*SUMIF(ThresholdAge13,"&lt;"&amp;BG205,WeightedRevAge13)-SUMIF(ThresholdAge13,"&lt;"&amp;BG205,WeightedMinAge13),MAX(CapacityAge13*'01_Вводные'!$B$218*BG205,MeanMinAge13)))</f>
        <v/>
      </c>
      <c r="BH149" s="190">
        <f>IF(OR((BH65-BH93)=0,13&lt;='01_Вводные'!$B$297),0,(BH65-BH93)*IF('01_Вводные'!$B$239="Да",MeanMinAge13+BH205*SUMIF(ThresholdAge13,"&lt;"&amp;BH205,WeightedRevAge13)-SUMIF(ThresholdAge13,"&lt;"&amp;BH205,WeightedMinAge13),MAX(CapacityAge13*'01_Вводные'!$B$218*BH205,MeanMinAge13)))</f>
        <v/>
      </c>
      <c r="BI149" s="190">
        <f>IF(OR((BI65-BI93)=0,13&lt;='01_Вводные'!$B$297),0,(BI65-BI93)*IF('01_Вводные'!$B$239="Да",MeanMinAge13+BI205*SUMIF(ThresholdAge13,"&lt;"&amp;BI205,WeightedRevAge13)-SUMIF(ThresholdAge13,"&lt;"&amp;BI205,WeightedMinAge13),MAX(CapacityAge13*'01_Вводные'!$B$218*BI205,MeanMinAge13)))</f>
        <v/>
      </c>
      <c r="BJ149" s="190">
        <f>IF(OR((BJ65-BJ93)=0,13&lt;='01_Вводные'!$B$297),0,(BJ65-BJ93)*IF('01_Вводные'!$B$239="Да",MeanMinAge13+BJ205*SUMIF(ThresholdAge13,"&lt;"&amp;BJ205,WeightedRevAge13)-SUMIF(ThresholdAge13,"&lt;"&amp;BJ205,WeightedMinAge13),MAX(CapacityAge13*'01_Вводные'!$B$218*BJ205,MeanMinAge13)))</f>
        <v/>
      </c>
      <c r="BK149" s="190">
        <f>IF(OR((BK65-BK93)=0,13&lt;='01_Вводные'!$B$297),0,(BK65-BK93)*IF('01_Вводные'!$B$239="Да",MeanMinAge13+BK205*SUMIF(ThresholdAge13,"&lt;"&amp;BK205,WeightedRevAge13)-SUMIF(ThresholdAge13,"&lt;"&amp;BK205,WeightedMinAge13),MAX(CapacityAge13*'01_Вводные'!$B$218*BK205,MeanMinAge13)))</f>
        <v/>
      </c>
      <c r="BL149" s="190">
        <f>IF(OR((BL65-BL93)=0,13&lt;='01_Вводные'!$B$297),0,(BL65-BL93)*IF('01_Вводные'!$B$239="Да",MeanMinAge13+BL205*SUMIF(ThresholdAge13,"&lt;"&amp;BL205,WeightedRevAge13)-SUMIF(ThresholdAge13,"&lt;"&amp;BL205,WeightedMinAge13),MAX(CapacityAge13*'01_Вводные'!$B$218*BL205,MeanMinAge13)))</f>
        <v/>
      </c>
      <c r="BM149" s="190">
        <f>IF(OR((BM65-BM93)=0,13&lt;='01_Вводные'!$B$297),0,(BM65-BM93)*IF('01_Вводные'!$B$239="Да",MeanMinAge13+BM205*SUMIF(ThresholdAge13,"&lt;"&amp;BM205,WeightedRevAge13)-SUMIF(ThresholdAge13,"&lt;"&amp;BM205,WeightedMinAge13),MAX(CapacityAge13*'01_Вводные'!$B$218*BM205,MeanMinAge13)))</f>
        <v/>
      </c>
      <c r="BN149" s="190">
        <f>IF(OR((BN65-BN93)=0,13&lt;='01_Вводные'!$B$297),0,(BN65-BN93)*IF('01_Вводные'!$B$239="Да",MeanMinAge13+BN205*SUMIF(ThresholdAge13,"&lt;"&amp;BN205,WeightedRevAge13)-SUMIF(ThresholdAge13,"&lt;"&amp;BN205,WeightedMinAge13),MAX(CapacityAge13*'01_Вводные'!$B$218*BN205,MeanMinAge13)))</f>
        <v/>
      </c>
      <c r="BO149" s="190">
        <f>IF(OR((BO65-BO93)=0,13&lt;='01_Вводные'!$B$297),0,(BO65-BO93)*IF('01_Вводные'!$B$239="Да",MeanMinAge13+BO205*SUMIF(ThresholdAge13,"&lt;"&amp;BO205,WeightedRevAge13)-SUMIF(ThresholdAge13,"&lt;"&amp;BO205,WeightedMinAge13),MAX(CapacityAge13*'01_Вводные'!$B$218*BO205,MeanMinAge13)))</f>
        <v/>
      </c>
    </row>
    <row r="150" hidden="1" outlineLevel="1">
      <c r="A150" t="inlineStr">
        <is>
          <t>14 мес.</t>
        </is>
      </c>
      <c r="B150" s="190">
        <f>IF(OR((B66-B94)=0,14&lt;='01_Вводные'!$B$297),0,(B66-B94)*IF('01_Вводные'!$B$239="Да",MeanMinAge14+B205*SUMIF(ThresholdAge14,"&lt;"&amp;B205,WeightedRevAge14)-SUMIF(ThresholdAge14,"&lt;"&amp;B205,WeightedMinAge14),MAX(CapacityAge14*'01_Вводные'!$B$218*B205,MeanMinAge14)))</f>
        <v/>
      </c>
      <c r="C150" s="190">
        <f>IF(OR((C66-C94)=0,14&lt;='01_Вводные'!$B$297),0,(C66-C94)*IF('01_Вводные'!$B$239="Да",MeanMinAge14+C205*SUMIF(ThresholdAge14,"&lt;"&amp;C205,WeightedRevAge14)-SUMIF(ThresholdAge14,"&lt;"&amp;C205,WeightedMinAge14),MAX(CapacityAge14*'01_Вводные'!$B$218*C205,MeanMinAge14)))</f>
        <v/>
      </c>
      <c r="D150" s="190">
        <f>IF(OR((D66-D94)=0,14&lt;='01_Вводные'!$B$297),0,(D66-D94)*IF('01_Вводные'!$B$239="Да",MeanMinAge14+D205*SUMIF(ThresholdAge14,"&lt;"&amp;D205,WeightedRevAge14)-SUMIF(ThresholdAge14,"&lt;"&amp;D205,WeightedMinAge14),MAX(CapacityAge14*'01_Вводные'!$B$218*D205,MeanMinAge14)))</f>
        <v/>
      </c>
      <c r="E150" s="190">
        <f>IF(OR((E66-E94)=0,14&lt;='01_Вводные'!$B$297),0,(E66-E94)*IF('01_Вводные'!$B$239="Да",MeanMinAge14+E205*SUMIF(ThresholdAge14,"&lt;"&amp;E205,WeightedRevAge14)-SUMIF(ThresholdAge14,"&lt;"&amp;E205,WeightedMinAge14),MAX(CapacityAge14*'01_Вводные'!$B$218*E205,MeanMinAge14)))</f>
        <v/>
      </c>
      <c r="F150" s="190">
        <f>IF(OR((F66-F94)=0,14&lt;='01_Вводные'!$B$297),0,(F66-F94)*IF('01_Вводные'!$B$239="Да",MeanMinAge14+F205*SUMIF(ThresholdAge14,"&lt;"&amp;F205,WeightedRevAge14)-SUMIF(ThresholdAge14,"&lt;"&amp;F205,WeightedMinAge14),MAX(CapacityAge14*'01_Вводные'!$B$218*F205,MeanMinAge14)))</f>
        <v/>
      </c>
      <c r="G150" s="190">
        <f>IF(OR((G66-G94)=0,14&lt;='01_Вводные'!$B$297),0,(G66-G94)*IF('01_Вводные'!$B$239="Да",MeanMinAge14+G205*SUMIF(ThresholdAge14,"&lt;"&amp;G205,WeightedRevAge14)-SUMIF(ThresholdAge14,"&lt;"&amp;G205,WeightedMinAge14),MAX(CapacityAge14*'01_Вводные'!$B$218*G205,MeanMinAge14)))</f>
        <v/>
      </c>
      <c r="H150" s="190">
        <f>IF(OR((H66-H94)=0,14&lt;='01_Вводные'!$B$297),0,(H66-H94)*IF('01_Вводные'!$B$239="Да",MeanMinAge14+H205*SUMIF(ThresholdAge14,"&lt;"&amp;H205,WeightedRevAge14)-SUMIF(ThresholdAge14,"&lt;"&amp;H205,WeightedMinAge14),MAX(CapacityAge14*'01_Вводные'!$B$218*H205,MeanMinAge14)))</f>
        <v/>
      </c>
      <c r="I150" s="190">
        <f>IF(OR((I66-I94)=0,14&lt;='01_Вводные'!$B$297),0,(I66-I94)*IF('01_Вводные'!$B$239="Да",MeanMinAge14+I205*SUMIF(ThresholdAge14,"&lt;"&amp;I205,WeightedRevAge14)-SUMIF(ThresholdAge14,"&lt;"&amp;I205,WeightedMinAge14),MAX(CapacityAge14*'01_Вводные'!$B$218*I205,MeanMinAge14)))</f>
        <v/>
      </c>
      <c r="J150" s="190">
        <f>IF(OR((J66-J94)=0,14&lt;='01_Вводные'!$B$297),0,(J66-J94)*IF('01_Вводные'!$B$239="Да",MeanMinAge14+J205*SUMIF(ThresholdAge14,"&lt;"&amp;J205,WeightedRevAge14)-SUMIF(ThresholdAge14,"&lt;"&amp;J205,WeightedMinAge14),MAX(CapacityAge14*'01_Вводные'!$B$218*J205,MeanMinAge14)))</f>
        <v/>
      </c>
      <c r="K150" s="190">
        <f>IF(OR((K66-K94)=0,14&lt;='01_Вводные'!$B$297),0,(K66-K94)*IF('01_Вводные'!$B$239="Да",MeanMinAge14+K205*SUMIF(ThresholdAge14,"&lt;"&amp;K205,WeightedRevAge14)-SUMIF(ThresholdAge14,"&lt;"&amp;K205,WeightedMinAge14),MAX(CapacityAge14*'01_Вводные'!$B$218*K205,MeanMinAge14)))</f>
        <v/>
      </c>
      <c r="L150" s="190">
        <f>IF(OR((L66-L94)=0,14&lt;='01_Вводные'!$B$297),0,(L66-L94)*IF('01_Вводные'!$B$239="Да",MeanMinAge14+L205*SUMIF(ThresholdAge14,"&lt;"&amp;L205,WeightedRevAge14)-SUMIF(ThresholdAge14,"&lt;"&amp;L205,WeightedMinAge14),MAX(CapacityAge14*'01_Вводные'!$B$218*L205,MeanMinAge14)))</f>
        <v/>
      </c>
      <c r="M150" s="190">
        <f>IF(OR((M66-M94)=0,14&lt;='01_Вводные'!$B$297),0,(M66-M94)*IF('01_Вводные'!$B$239="Да",MeanMinAge14+M205*SUMIF(ThresholdAge14,"&lt;"&amp;M205,WeightedRevAge14)-SUMIF(ThresholdAge14,"&lt;"&amp;M205,WeightedMinAge14),MAX(CapacityAge14*'01_Вводные'!$B$218*M205,MeanMinAge14)))</f>
        <v/>
      </c>
      <c r="N150" s="190">
        <f>IF(OR((N66-N94)=0,14&lt;='01_Вводные'!$B$297),0,(N66-N94)*IF('01_Вводные'!$B$239="Да",MeanMinAge14+N205*SUMIF(ThresholdAge14,"&lt;"&amp;N205,WeightedRevAge14)-SUMIF(ThresholdAge14,"&lt;"&amp;N205,WeightedMinAge14),MAX(CapacityAge14*'01_Вводные'!$B$218*N205,MeanMinAge14)))</f>
        <v/>
      </c>
      <c r="O150" s="190">
        <f>IF(OR((O66-O94)=0,14&lt;='01_Вводные'!$B$297),0,(O66-O94)*IF('01_Вводные'!$B$239="Да",MeanMinAge14+O205*SUMIF(ThresholdAge14,"&lt;"&amp;O205,WeightedRevAge14)-SUMIF(ThresholdAge14,"&lt;"&amp;O205,WeightedMinAge14),MAX(CapacityAge14*'01_Вводные'!$B$218*O205,MeanMinAge14)))</f>
        <v/>
      </c>
      <c r="P150" s="190">
        <f>IF(OR((P66-P94)=0,14&lt;='01_Вводные'!$B$297),0,(P66-P94)*IF('01_Вводные'!$B$239="Да",MeanMinAge14+P205*SUMIF(ThresholdAge14,"&lt;"&amp;P205,WeightedRevAge14)-SUMIF(ThresholdAge14,"&lt;"&amp;P205,WeightedMinAge14),MAX(CapacityAge14*'01_Вводные'!$B$218*P205,MeanMinAge14)))</f>
        <v/>
      </c>
      <c r="Q150" s="190">
        <f>IF(OR((Q66-Q94)=0,14&lt;='01_Вводные'!$B$297),0,(Q66-Q94)*IF('01_Вводные'!$B$239="Да",MeanMinAge14+Q205*SUMIF(ThresholdAge14,"&lt;"&amp;Q205,WeightedRevAge14)-SUMIF(ThresholdAge14,"&lt;"&amp;Q205,WeightedMinAge14),MAX(CapacityAge14*'01_Вводные'!$B$218*Q205,MeanMinAge14)))</f>
        <v/>
      </c>
      <c r="R150" s="190">
        <f>IF(OR((R66-R94)=0,14&lt;='01_Вводные'!$B$297),0,(R66-R94)*IF('01_Вводные'!$B$239="Да",MeanMinAge14+R205*SUMIF(ThresholdAge14,"&lt;"&amp;R205,WeightedRevAge14)-SUMIF(ThresholdAge14,"&lt;"&amp;R205,WeightedMinAge14),MAX(CapacityAge14*'01_Вводные'!$B$218*R205,MeanMinAge14)))</f>
        <v/>
      </c>
      <c r="S150" s="190">
        <f>IF(OR((S66-S94)=0,14&lt;='01_Вводные'!$B$297),0,(S66-S94)*IF('01_Вводные'!$B$239="Да",MeanMinAge14+S205*SUMIF(ThresholdAge14,"&lt;"&amp;S205,WeightedRevAge14)-SUMIF(ThresholdAge14,"&lt;"&amp;S205,WeightedMinAge14),MAX(CapacityAge14*'01_Вводные'!$B$218*S205,MeanMinAge14)))</f>
        <v/>
      </c>
      <c r="T150" s="190">
        <f>IF(OR((T66-T94)=0,14&lt;='01_Вводные'!$B$297),0,(T66-T94)*IF('01_Вводные'!$B$239="Да",MeanMinAge14+T205*SUMIF(ThresholdAge14,"&lt;"&amp;T205,WeightedRevAge14)-SUMIF(ThresholdAge14,"&lt;"&amp;T205,WeightedMinAge14),MAX(CapacityAge14*'01_Вводные'!$B$218*T205,MeanMinAge14)))</f>
        <v/>
      </c>
      <c r="U150" s="190">
        <f>IF(OR((U66-U94)=0,14&lt;='01_Вводные'!$B$297),0,(U66-U94)*IF('01_Вводные'!$B$239="Да",MeanMinAge14+U205*SUMIF(ThresholdAge14,"&lt;"&amp;U205,WeightedRevAge14)-SUMIF(ThresholdAge14,"&lt;"&amp;U205,WeightedMinAge14),MAX(CapacityAge14*'01_Вводные'!$B$218*U205,MeanMinAge14)))</f>
        <v/>
      </c>
      <c r="V150" s="190">
        <f>IF(OR((V66-V94)=0,14&lt;='01_Вводные'!$B$297),0,(V66-V94)*IF('01_Вводные'!$B$239="Да",MeanMinAge14+V205*SUMIF(ThresholdAge14,"&lt;"&amp;V205,WeightedRevAge14)-SUMIF(ThresholdAge14,"&lt;"&amp;V205,WeightedMinAge14),MAX(CapacityAge14*'01_Вводные'!$B$218*V205,MeanMinAge14)))</f>
        <v/>
      </c>
      <c r="W150" s="190">
        <f>IF(OR((W66-W94)=0,14&lt;='01_Вводные'!$B$297),0,(W66-W94)*IF('01_Вводные'!$B$239="Да",MeanMinAge14+W205*SUMIF(ThresholdAge14,"&lt;"&amp;W205,WeightedRevAge14)-SUMIF(ThresholdAge14,"&lt;"&amp;W205,WeightedMinAge14),MAX(CapacityAge14*'01_Вводные'!$B$218*W205,MeanMinAge14)))</f>
        <v/>
      </c>
      <c r="X150" s="190">
        <f>IF(OR((X66-X94)=0,14&lt;='01_Вводные'!$B$297),0,(X66-X94)*IF('01_Вводные'!$B$239="Да",MeanMinAge14+X205*SUMIF(ThresholdAge14,"&lt;"&amp;X205,WeightedRevAge14)-SUMIF(ThresholdAge14,"&lt;"&amp;X205,WeightedMinAge14),MAX(CapacityAge14*'01_Вводные'!$B$218*X205,MeanMinAge14)))</f>
        <v/>
      </c>
      <c r="Y150" s="190">
        <f>IF(OR((Y66-Y94)=0,14&lt;='01_Вводные'!$B$297),0,(Y66-Y94)*IF('01_Вводные'!$B$239="Да",MeanMinAge14+Y205*SUMIF(ThresholdAge14,"&lt;"&amp;Y205,WeightedRevAge14)-SUMIF(ThresholdAge14,"&lt;"&amp;Y205,WeightedMinAge14),MAX(CapacityAge14*'01_Вводные'!$B$218*Y205,MeanMinAge14)))</f>
        <v/>
      </c>
      <c r="Z150" s="190">
        <f>IF(OR((Z66-Z94)=0,14&lt;='01_Вводные'!$B$297),0,(Z66-Z94)*IF('01_Вводные'!$B$239="Да",MeanMinAge14+Z205*SUMIF(ThresholdAge14,"&lt;"&amp;Z205,WeightedRevAge14)-SUMIF(ThresholdAge14,"&lt;"&amp;Z205,WeightedMinAge14),MAX(CapacityAge14*'01_Вводные'!$B$218*Z205,MeanMinAge14)))</f>
        <v/>
      </c>
      <c r="AA150" s="190">
        <f>IF(OR((AA66-AA94)=0,14&lt;='01_Вводные'!$B$297),0,(AA66-AA94)*IF('01_Вводные'!$B$239="Да",MeanMinAge14+AA205*SUMIF(ThresholdAge14,"&lt;"&amp;AA205,WeightedRevAge14)-SUMIF(ThresholdAge14,"&lt;"&amp;AA205,WeightedMinAge14),MAX(CapacityAge14*'01_Вводные'!$B$218*AA205,MeanMinAge14)))</f>
        <v/>
      </c>
      <c r="AB150" s="190">
        <f>IF(OR((AB66-AB94)=0,14&lt;='01_Вводные'!$B$297),0,(AB66-AB94)*IF('01_Вводные'!$B$239="Да",MeanMinAge14+AB205*SUMIF(ThresholdAge14,"&lt;"&amp;AB205,WeightedRevAge14)-SUMIF(ThresholdAge14,"&lt;"&amp;AB205,WeightedMinAge14),MAX(CapacityAge14*'01_Вводные'!$B$218*AB205,MeanMinAge14)))</f>
        <v/>
      </c>
      <c r="AC150" s="190">
        <f>IF(OR((AC66-AC94)=0,14&lt;='01_Вводные'!$B$297),0,(AC66-AC94)*IF('01_Вводные'!$B$239="Да",MeanMinAge14+AC205*SUMIF(ThresholdAge14,"&lt;"&amp;AC205,WeightedRevAge14)-SUMIF(ThresholdAge14,"&lt;"&amp;AC205,WeightedMinAge14),MAX(CapacityAge14*'01_Вводные'!$B$218*AC205,MeanMinAge14)))</f>
        <v/>
      </c>
      <c r="AD150" s="190">
        <f>IF(OR((AD66-AD94)=0,14&lt;='01_Вводные'!$B$297),0,(AD66-AD94)*IF('01_Вводные'!$B$239="Да",MeanMinAge14+AD205*SUMIF(ThresholdAge14,"&lt;"&amp;AD205,WeightedRevAge14)-SUMIF(ThresholdAge14,"&lt;"&amp;AD205,WeightedMinAge14),MAX(CapacityAge14*'01_Вводные'!$B$218*AD205,MeanMinAge14)))</f>
        <v/>
      </c>
      <c r="AE150" s="190">
        <f>IF(OR((AE66-AE94)=0,14&lt;='01_Вводные'!$B$297),0,(AE66-AE94)*IF('01_Вводные'!$B$239="Да",MeanMinAge14+AE205*SUMIF(ThresholdAge14,"&lt;"&amp;AE205,WeightedRevAge14)-SUMIF(ThresholdAge14,"&lt;"&amp;AE205,WeightedMinAge14),MAX(CapacityAge14*'01_Вводные'!$B$218*AE205,MeanMinAge14)))</f>
        <v/>
      </c>
      <c r="AF150" s="190">
        <f>IF(OR((AF66-AF94)=0,14&lt;='01_Вводные'!$B$297),0,(AF66-AF94)*IF('01_Вводные'!$B$239="Да",MeanMinAge14+AF205*SUMIF(ThresholdAge14,"&lt;"&amp;AF205,WeightedRevAge14)-SUMIF(ThresholdAge14,"&lt;"&amp;AF205,WeightedMinAge14),MAX(CapacityAge14*'01_Вводные'!$B$218*AF205,MeanMinAge14)))</f>
        <v/>
      </c>
      <c r="AG150" s="190">
        <f>IF(OR((AG66-AG94)=0,14&lt;='01_Вводные'!$B$297),0,(AG66-AG94)*IF('01_Вводные'!$B$239="Да",MeanMinAge14+AG205*SUMIF(ThresholdAge14,"&lt;"&amp;AG205,WeightedRevAge14)-SUMIF(ThresholdAge14,"&lt;"&amp;AG205,WeightedMinAge14),MAX(CapacityAge14*'01_Вводные'!$B$218*AG205,MeanMinAge14)))</f>
        <v/>
      </c>
      <c r="AH150" s="190">
        <f>IF(OR((AH66-AH94)=0,14&lt;='01_Вводные'!$B$297),0,(AH66-AH94)*IF('01_Вводные'!$B$239="Да",MeanMinAge14+AH205*SUMIF(ThresholdAge14,"&lt;"&amp;AH205,WeightedRevAge14)-SUMIF(ThresholdAge14,"&lt;"&amp;AH205,WeightedMinAge14),MAX(CapacityAge14*'01_Вводные'!$B$218*AH205,MeanMinAge14)))</f>
        <v/>
      </c>
      <c r="AI150" s="190">
        <f>IF(OR((AI66-AI94)=0,14&lt;='01_Вводные'!$B$297),0,(AI66-AI94)*IF('01_Вводные'!$B$239="Да",MeanMinAge14+AI205*SUMIF(ThresholdAge14,"&lt;"&amp;AI205,WeightedRevAge14)-SUMIF(ThresholdAge14,"&lt;"&amp;AI205,WeightedMinAge14),MAX(CapacityAge14*'01_Вводные'!$B$218*AI205,MeanMinAge14)))</f>
        <v/>
      </c>
      <c r="AJ150" s="190">
        <f>IF(OR((AJ66-AJ94)=0,14&lt;='01_Вводные'!$B$297),0,(AJ66-AJ94)*IF('01_Вводные'!$B$239="Да",MeanMinAge14+AJ205*SUMIF(ThresholdAge14,"&lt;"&amp;AJ205,WeightedRevAge14)-SUMIF(ThresholdAge14,"&lt;"&amp;AJ205,WeightedMinAge14),MAX(CapacityAge14*'01_Вводные'!$B$218*AJ205,MeanMinAge14)))</f>
        <v/>
      </c>
      <c r="AK150" s="190">
        <f>IF(OR((AK66-AK94)=0,14&lt;='01_Вводные'!$B$297),0,(AK66-AK94)*IF('01_Вводные'!$B$239="Да",MeanMinAge14+AK205*SUMIF(ThresholdAge14,"&lt;"&amp;AK205,WeightedRevAge14)-SUMIF(ThresholdAge14,"&lt;"&amp;AK205,WeightedMinAge14),MAX(CapacityAge14*'01_Вводные'!$B$218*AK205,MeanMinAge14)))</f>
        <v/>
      </c>
      <c r="AL150" s="190">
        <f>IF(OR((AL66-AL94)=0,14&lt;='01_Вводные'!$B$297),0,(AL66-AL94)*IF('01_Вводные'!$B$239="Да",MeanMinAge14+AL205*SUMIF(ThresholdAge14,"&lt;"&amp;AL205,WeightedRevAge14)-SUMIF(ThresholdAge14,"&lt;"&amp;AL205,WeightedMinAge14),MAX(CapacityAge14*'01_Вводные'!$B$218*AL205,MeanMinAge14)))</f>
        <v/>
      </c>
      <c r="AM150" s="190">
        <f>IF(OR((AM66-AM94)=0,14&lt;='01_Вводные'!$B$297),0,(AM66-AM94)*IF('01_Вводные'!$B$239="Да",MeanMinAge14+AM205*SUMIF(ThresholdAge14,"&lt;"&amp;AM205,WeightedRevAge14)-SUMIF(ThresholdAge14,"&lt;"&amp;AM205,WeightedMinAge14),MAX(CapacityAge14*'01_Вводные'!$B$218*AM205,MeanMinAge14)))</f>
        <v/>
      </c>
      <c r="AN150" s="190">
        <f>IF(OR((AN66-AN94)=0,14&lt;='01_Вводные'!$B$297),0,(AN66-AN94)*IF('01_Вводные'!$B$239="Да",MeanMinAge14+AN205*SUMIF(ThresholdAge14,"&lt;"&amp;AN205,WeightedRevAge14)-SUMIF(ThresholdAge14,"&lt;"&amp;AN205,WeightedMinAge14),MAX(CapacityAge14*'01_Вводные'!$B$218*AN205,MeanMinAge14)))</f>
        <v/>
      </c>
      <c r="AO150" s="190">
        <f>IF(OR((AO66-AO94)=0,14&lt;='01_Вводные'!$B$297),0,(AO66-AO94)*IF('01_Вводные'!$B$239="Да",MeanMinAge14+AO205*SUMIF(ThresholdAge14,"&lt;"&amp;AO205,WeightedRevAge14)-SUMIF(ThresholdAge14,"&lt;"&amp;AO205,WeightedMinAge14),MAX(CapacityAge14*'01_Вводные'!$B$218*AO205,MeanMinAge14)))</f>
        <v/>
      </c>
      <c r="AP150" s="190">
        <f>IF(OR((AP66-AP94)=0,14&lt;='01_Вводные'!$B$297),0,(AP66-AP94)*IF('01_Вводные'!$B$239="Да",MeanMinAge14+AP205*SUMIF(ThresholdAge14,"&lt;"&amp;AP205,WeightedRevAge14)-SUMIF(ThresholdAge14,"&lt;"&amp;AP205,WeightedMinAge14),MAX(CapacityAge14*'01_Вводные'!$B$218*AP205,MeanMinAge14)))</f>
        <v/>
      </c>
      <c r="AQ150" s="190">
        <f>IF(OR((AQ66-AQ94)=0,14&lt;='01_Вводные'!$B$297),0,(AQ66-AQ94)*IF('01_Вводные'!$B$239="Да",MeanMinAge14+AQ205*SUMIF(ThresholdAge14,"&lt;"&amp;AQ205,WeightedRevAge14)-SUMIF(ThresholdAge14,"&lt;"&amp;AQ205,WeightedMinAge14),MAX(CapacityAge14*'01_Вводные'!$B$218*AQ205,MeanMinAge14)))</f>
        <v/>
      </c>
      <c r="AR150" s="190">
        <f>IF(OR((AR66-AR94)=0,14&lt;='01_Вводные'!$B$297),0,(AR66-AR94)*IF('01_Вводные'!$B$239="Да",MeanMinAge14+AR205*SUMIF(ThresholdAge14,"&lt;"&amp;AR205,WeightedRevAge14)-SUMIF(ThresholdAge14,"&lt;"&amp;AR205,WeightedMinAge14),MAX(CapacityAge14*'01_Вводные'!$B$218*AR205,MeanMinAge14)))</f>
        <v/>
      </c>
      <c r="AS150" s="190">
        <f>IF(OR((AS66-AS94)=0,14&lt;='01_Вводные'!$B$297),0,(AS66-AS94)*IF('01_Вводные'!$B$239="Да",MeanMinAge14+AS205*SUMIF(ThresholdAge14,"&lt;"&amp;AS205,WeightedRevAge14)-SUMIF(ThresholdAge14,"&lt;"&amp;AS205,WeightedMinAge14),MAX(CapacityAge14*'01_Вводные'!$B$218*AS205,MeanMinAge14)))</f>
        <v/>
      </c>
      <c r="AT150" s="190">
        <f>IF(OR((AT66-AT94)=0,14&lt;='01_Вводные'!$B$297),0,(AT66-AT94)*IF('01_Вводные'!$B$239="Да",MeanMinAge14+AT205*SUMIF(ThresholdAge14,"&lt;"&amp;AT205,WeightedRevAge14)-SUMIF(ThresholdAge14,"&lt;"&amp;AT205,WeightedMinAge14),MAX(CapacityAge14*'01_Вводные'!$B$218*AT205,MeanMinAge14)))</f>
        <v/>
      </c>
      <c r="AU150" s="190">
        <f>IF(OR((AU66-AU94)=0,14&lt;='01_Вводные'!$B$297),0,(AU66-AU94)*IF('01_Вводные'!$B$239="Да",MeanMinAge14+AU205*SUMIF(ThresholdAge14,"&lt;"&amp;AU205,WeightedRevAge14)-SUMIF(ThresholdAge14,"&lt;"&amp;AU205,WeightedMinAge14),MAX(CapacityAge14*'01_Вводные'!$B$218*AU205,MeanMinAge14)))</f>
        <v/>
      </c>
      <c r="AV150" s="190">
        <f>IF(OR((AV66-AV94)=0,14&lt;='01_Вводные'!$B$297),0,(AV66-AV94)*IF('01_Вводные'!$B$239="Да",MeanMinAge14+AV205*SUMIF(ThresholdAge14,"&lt;"&amp;AV205,WeightedRevAge14)-SUMIF(ThresholdAge14,"&lt;"&amp;AV205,WeightedMinAge14),MAX(CapacityAge14*'01_Вводные'!$B$218*AV205,MeanMinAge14)))</f>
        <v/>
      </c>
      <c r="AW150" s="190">
        <f>IF(OR((AW66-AW94)=0,14&lt;='01_Вводные'!$B$297),0,(AW66-AW94)*IF('01_Вводные'!$B$239="Да",MeanMinAge14+AW205*SUMIF(ThresholdAge14,"&lt;"&amp;AW205,WeightedRevAge14)-SUMIF(ThresholdAge14,"&lt;"&amp;AW205,WeightedMinAge14),MAX(CapacityAge14*'01_Вводные'!$B$218*AW205,MeanMinAge14)))</f>
        <v/>
      </c>
      <c r="AX150" s="190">
        <f>IF(OR((AX66-AX94)=0,14&lt;='01_Вводные'!$B$297),0,(AX66-AX94)*IF('01_Вводные'!$B$239="Да",MeanMinAge14+AX205*SUMIF(ThresholdAge14,"&lt;"&amp;AX205,WeightedRevAge14)-SUMIF(ThresholdAge14,"&lt;"&amp;AX205,WeightedMinAge14),MAX(CapacityAge14*'01_Вводные'!$B$218*AX205,MeanMinAge14)))</f>
        <v/>
      </c>
      <c r="AY150" s="190">
        <f>IF(OR((AY66-AY94)=0,14&lt;='01_Вводные'!$B$297),0,(AY66-AY94)*IF('01_Вводные'!$B$239="Да",MeanMinAge14+AY205*SUMIF(ThresholdAge14,"&lt;"&amp;AY205,WeightedRevAge14)-SUMIF(ThresholdAge14,"&lt;"&amp;AY205,WeightedMinAge14),MAX(CapacityAge14*'01_Вводные'!$B$218*AY205,MeanMinAge14)))</f>
        <v/>
      </c>
      <c r="AZ150" s="190">
        <f>IF(OR((AZ66-AZ94)=0,14&lt;='01_Вводные'!$B$297),0,(AZ66-AZ94)*IF('01_Вводные'!$B$239="Да",MeanMinAge14+AZ205*SUMIF(ThresholdAge14,"&lt;"&amp;AZ205,WeightedRevAge14)-SUMIF(ThresholdAge14,"&lt;"&amp;AZ205,WeightedMinAge14),MAX(CapacityAge14*'01_Вводные'!$B$218*AZ205,MeanMinAge14)))</f>
        <v/>
      </c>
      <c r="BA150" s="190">
        <f>IF(OR((BA66-BA94)=0,14&lt;='01_Вводные'!$B$297),0,(BA66-BA94)*IF('01_Вводные'!$B$239="Да",MeanMinAge14+BA205*SUMIF(ThresholdAge14,"&lt;"&amp;BA205,WeightedRevAge14)-SUMIF(ThresholdAge14,"&lt;"&amp;BA205,WeightedMinAge14),MAX(CapacityAge14*'01_Вводные'!$B$218*BA205,MeanMinAge14)))</f>
        <v/>
      </c>
      <c r="BB150" s="190">
        <f>IF(OR((BB66-BB94)=0,14&lt;='01_Вводные'!$B$297),0,(BB66-BB94)*IF('01_Вводные'!$B$239="Да",MeanMinAge14+BB205*SUMIF(ThresholdAge14,"&lt;"&amp;BB205,WeightedRevAge14)-SUMIF(ThresholdAge14,"&lt;"&amp;BB205,WeightedMinAge14),MAX(CapacityAge14*'01_Вводные'!$B$218*BB205,MeanMinAge14)))</f>
        <v/>
      </c>
      <c r="BC150" s="190">
        <f>IF(OR((BC66-BC94)=0,14&lt;='01_Вводные'!$B$297),0,(BC66-BC94)*IF('01_Вводные'!$B$239="Да",MeanMinAge14+BC205*SUMIF(ThresholdAge14,"&lt;"&amp;BC205,WeightedRevAge14)-SUMIF(ThresholdAge14,"&lt;"&amp;BC205,WeightedMinAge14),MAX(CapacityAge14*'01_Вводные'!$B$218*BC205,MeanMinAge14)))</f>
        <v/>
      </c>
      <c r="BD150" s="190">
        <f>IF(OR((BD66-BD94)=0,14&lt;='01_Вводные'!$B$297),0,(BD66-BD94)*IF('01_Вводные'!$B$239="Да",MeanMinAge14+BD205*SUMIF(ThresholdAge14,"&lt;"&amp;BD205,WeightedRevAge14)-SUMIF(ThresholdAge14,"&lt;"&amp;BD205,WeightedMinAge14),MAX(CapacityAge14*'01_Вводные'!$B$218*BD205,MeanMinAge14)))</f>
        <v/>
      </c>
      <c r="BE150" s="190">
        <f>IF(OR((BE66-BE94)=0,14&lt;='01_Вводные'!$B$297),0,(BE66-BE94)*IF('01_Вводные'!$B$239="Да",MeanMinAge14+BE205*SUMIF(ThresholdAge14,"&lt;"&amp;BE205,WeightedRevAge14)-SUMIF(ThresholdAge14,"&lt;"&amp;BE205,WeightedMinAge14),MAX(CapacityAge14*'01_Вводные'!$B$218*BE205,MeanMinAge14)))</f>
        <v/>
      </c>
      <c r="BF150" s="190">
        <f>IF(OR((BF66-BF94)=0,14&lt;='01_Вводные'!$B$297),0,(BF66-BF94)*IF('01_Вводные'!$B$239="Да",MeanMinAge14+BF205*SUMIF(ThresholdAge14,"&lt;"&amp;BF205,WeightedRevAge14)-SUMIF(ThresholdAge14,"&lt;"&amp;BF205,WeightedMinAge14),MAX(CapacityAge14*'01_Вводные'!$B$218*BF205,MeanMinAge14)))</f>
        <v/>
      </c>
      <c r="BG150" s="190">
        <f>IF(OR((BG66-BG94)=0,14&lt;='01_Вводные'!$B$297),0,(BG66-BG94)*IF('01_Вводные'!$B$239="Да",MeanMinAge14+BG205*SUMIF(ThresholdAge14,"&lt;"&amp;BG205,WeightedRevAge14)-SUMIF(ThresholdAge14,"&lt;"&amp;BG205,WeightedMinAge14),MAX(CapacityAge14*'01_Вводные'!$B$218*BG205,MeanMinAge14)))</f>
        <v/>
      </c>
      <c r="BH150" s="190">
        <f>IF(OR((BH66-BH94)=0,14&lt;='01_Вводные'!$B$297),0,(BH66-BH94)*IF('01_Вводные'!$B$239="Да",MeanMinAge14+BH205*SUMIF(ThresholdAge14,"&lt;"&amp;BH205,WeightedRevAge14)-SUMIF(ThresholdAge14,"&lt;"&amp;BH205,WeightedMinAge14),MAX(CapacityAge14*'01_Вводные'!$B$218*BH205,MeanMinAge14)))</f>
        <v/>
      </c>
      <c r="BI150" s="190">
        <f>IF(OR((BI66-BI94)=0,14&lt;='01_Вводные'!$B$297),0,(BI66-BI94)*IF('01_Вводные'!$B$239="Да",MeanMinAge14+BI205*SUMIF(ThresholdAge14,"&lt;"&amp;BI205,WeightedRevAge14)-SUMIF(ThresholdAge14,"&lt;"&amp;BI205,WeightedMinAge14),MAX(CapacityAge14*'01_Вводные'!$B$218*BI205,MeanMinAge14)))</f>
        <v/>
      </c>
      <c r="BJ150" s="190">
        <f>IF(OR((BJ66-BJ94)=0,14&lt;='01_Вводные'!$B$297),0,(BJ66-BJ94)*IF('01_Вводные'!$B$239="Да",MeanMinAge14+BJ205*SUMIF(ThresholdAge14,"&lt;"&amp;BJ205,WeightedRevAge14)-SUMIF(ThresholdAge14,"&lt;"&amp;BJ205,WeightedMinAge14),MAX(CapacityAge14*'01_Вводные'!$B$218*BJ205,MeanMinAge14)))</f>
        <v/>
      </c>
      <c r="BK150" s="190">
        <f>IF(OR((BK66-BK94)=0,14&lt;='01_Вводные'!$B$297),0,(BK66-BK94)*IF('01_Вводные'!$B$239="Да",MeanMinAge14+BK205*SUMIF(ThresholdAge14,"&lt;"&amp;BK205,WeightedRevAge14)-SUMIF(ThresholdAge14,"&lt;"&amp;BK205,WeightedMinAge14),MAX(CapacityAge14*'01_Вводные'!$B$218*BK205,MeanMinAge14)))</f>
        <v/>
      </c>
      <c r="BL150" s="190">
        <f>IF(OR((BL66-BL94)=0,14&lt;='01_Вводные'!$B$297),0,(BL66-BL94)*IF('01_Вводные'!$B$239="Да",MeanMinAge14+BL205*SUMIF(ThresholdAge14,"&lt;"&amp;BL205,WeightedRevAge14)-SUMIF(ThresholdAge14,"&lt;"&amp;BL205,WeightedMinAge14),MAX(CapacityAge14*'01_Вводные'!$B$218*BL205,MeanMinAge14)))</f>
        <v/>
      </c>
      <c r="BM150" s="190">
        <f>IF(OR((BM66-BM94)=0,14&lt;='01_Вводные'!$B$297),0,(BM66-BM94)*IF('01_Вводные'!$B$239="Да",MeanMinAge14+BM205*SUMIF(ThresholdAge14,"&lt;"&amp;BM205,WeightedRevAge14)-SUMIF(ThresholdAge14,"&lt;"&amp;BM205,WeightedMinAge14),MAX(CapacityAge14*'01_Вводные'!$B$218*BM205,MeanMinAge14)))</f>
        <v/>
      </c>
      <c r="BN150" s="190">
        <f>IF(OR((BN66-BN94)=0,14&lt;='01_Вводные'!$B$297),0,(BN66-BN94)*IF('01_Вводные'!$B$239="Да",MeanMinAge14+BN205*SUMIF(ThresholdAge14,"&lt;"&amp;BN205,WeightedRevAge14)-SUMIF(ThresholdAge14,"&lt;"&amp;BN205,WeightedMinAge14),MAX(CapacityAge14*'01_Вводные'!$B$218*BN205,MeanMinAge14)))</f>
        <v/>
      </c>
      <c r="BO150" s="190">
        <f>IF(OR((BO66-BO94)=0,14&lt;='01_Вводные'!$B$297),0,(BO66-BO94)*IF('01_Вводные'!$B$239="Да",MeanMinAge14+BO205*SUMIF(ThresholdAge14,"&lt;"&amp;BO205,WeightedRevAge14)-SUMIF(ThresholdAge14,"&lt;"&amp;BO205,WeightedMinAge14),MAX(CapacityAge14*'01_Вводные'!$B$218*BO205,MeanMinAge14)))</f>
        <v/>
      </c>
    </row>
    <row r="151" hidden="1" outlineLevel="1">
      <c r="A151" t="inlineStr">
        <is>
          <t>15 мес.</t>
        </is>
      </c>
      <c r="B151" s="190">
        <f>IF(OR((B67-B95)=0,15&lt;='01_Вводные'!$B$297),0,(B67-B95)*IF('01_Вводные'!$B$239="Да",MeanMinAge15+B205*SUMIF(ThresholdAge15,"&lt;"&amp;B205,WeightedRevAge15)-SUMIF(ThresholdAge15,"&lt;"&amp;B205,WeightedMinAge15),MAX(CapacityAge15*'01_Вводные'!$B$218*B205,MeanMinAge15)))</f>
        <v/>
      </c>
      <c r="C151" s="190">
        <f>IF(OR((C67-C95)=0,15&lt;='01_Вводные'!$B$297),0,(C67-C95)*IF('01_Вводные'!$B$239="Да",MeanMinAge15+C205*SUMIF(ThresholdAge15,"&lt;"&amp;C205,WeightedRevAge15)-SUMIF(ThresholdAge15,"&lt;"&amp;C205,WeightedMinAge15),MAX(CapacityAge15*'01_Вводные'!$B$218*C205,MeanMinAge15)))</f>
        <v/>
      </c>
      <c r="D151" s="190">
        <f>IF(OR((D67-D95)=0,15&lt;='01_Вводные'!$B$297),0,(D67-D95)*IF('01_Вводные'!$B$239="Да",MeanMinAge15+D205*SUMIF(ThresholdAge15,"&lt;"&amp;D205,WeightedRevAge15)-SUMIF(ThresholdAge15,"&lt;"&amp;D205,WeightedMinAge15),MAX(CapacityAge15*'01_Вводные'!$B$218*D205,MeanMinAge15)))</f>
        <v/>
      </c>
      <c r="E151" s="190">
        <f>IF(OR((E67-E95)=0,15&lt;='01_Вводные'!$B$297),0,(E67-E95)*IF('01_Вводные'!$B$239="Да",MeanMinAge15+E205*SUMIF(ThresholdAge15,"&lt;"&amp;E205,WeightedRevAge15)-SUMIF(ThresholdAge15,"&lt;"&amp;E205,WeightedMinAge15),MAX(CapacityAge15*'01_Вводные'!$B$218*E205,MeanMinAge15)))</f>
        <v/>
      </c>
      <c r="F151" s="190">
        <f>IF(OR((F67-F95)=0,15&lt;='01_Вводные'!$B$297),0,(F67-F95)*IF('01_Вводные'!$B$239="Да",MeanMinAge15+F205*SUMIF(ThresholdAge15,"&lt;"&amp;F205,WeightedRevAge15)-SUMIF(ThresholdAge15,"&lt;"&amp;F205,WeightedMinAge15),MAX(CapacityAge15*'01_Вводные'!$B$218*F205,MeanMinAge15)))</f>
        <v/>
      </c>
      <c r="G151" s="190">
        <f>IF(OR((G67-G95)=0,15&lt;='01_Вводные'!$B$297),0,(G67-G95)*IF('01_Вводные'!$B$239="Да",MeanMinAge15+G205*SUMIF(ThresholdAge15,"&lt;"&amp;G205,WeightedRevAge15)-SUMIF(ThresholdAge15,"&lt;"&amp;G205,WeightedMinAge15),MAX(CapacityAge15*'01_Вводные'!$B$218*G205,MeanMinAge15)))</f>
        <v/>
      </c>
      <c r="H151" s="190">
        <f>IF(OR((H67-H95)=0,15&lt;='01_Вводные'!$B$297),0,(H67-H95)*IF('01_Вводные'!$B$239="Да",MeanMinAge15+H205*SUMIF(ThresholdAge15,"&lt;"&amp;H205,WeightedRevAge15)-SUMIF(ThresholdAge15,"&lt;"&amp;H205,WeightedMinAge15),MAX(CapacityAge15*'01_Вводные'!$B$218*H205,MeanMinAge15)))</f>
        <v/>
      </c>
      <c r="I151" s="190">
        <f>IF(OR((I67-I95)=0,15&lt;='01_Вводные'!$B$297),0,(I67-I95)*IF('01_Вводные'!$B$239="Да",MeanMinAge15+I205*SUMIF(ThresholdAge15,"&lt;"&amp;I205,WeightedRevAge15)-SUMIF(ThresholdAge15,"&lt;"&amp;I205,WeightedMinAge15),MAX(CapacityAge15*'01_Вводные'!$B$218*I205,MeanMinAge15)))</f>
        <v/>
      </c>
      <c r="J151" s="190">
        <f>IF(OR((J67-J95)=0,15&lt;='01_Вводные'!$B$297),0,(J67-J95)*IF('01_Вводные'!$B$239="Да",MeanMinAge15+J205*SUMIF(ThresholdAge15,"&lt;"&amp;J205,WeightedRevAge15)-SUMIF(ThresholdAge15,"&lt;"&amp;J205,WeightedMinAge15),MAX(CapacityAge15*'01_Вводные'!$B$218*J205,MeanMinAge15)))</f>
        <v/>
      </c>
      <c r="K151" s="190">
        <f>IF(OR((K67-K95)=0,15&lt;='01_Вводные'!$B$297),0,(K67-K95)*IF('01_Вводные'!$B$239="Да",MeanMinAge15+K205*SUMIF(ThresholdAge15,"&lt;"&amp;K205,WeightedRevAge15)-SUMIF(ThresholdAge15,"&lt;"&amp;K205,WeightedMinAge15),MAX(CapacityAge15*'01_Вводные'!$B$218*K205,MeanMinAge15)))</f>
        <v/>
      </c>
      <c r="L151" s="190">
        <f>IF(OR((L67-L95)=0,15&lt;='01_Вводные'!$B$297),0,(L67-L95)*IF('01_Вводные'!$B$239="Да",MeanMinAge15+L205*SUMIF(ThresholdAge15,"&lt;"&amp;L205,WeightedRevAge15)-SUMIF(ThresholdAge15,"&lt;"&amp;L205,WeightedMinAge15),MAX(CapacityAge15*'01_Вводные'!$B$218*L205,MeanMinAge15)))</f>
        <v/>
      </c>
      <c r="M151" s="190">
        <f>IF(OR((M67-M95)=0,15&lt;='01_Вводные'!$B$297),0,(M67-M95)*IF('01_Вводные'!$B$239="Да",MeanMinAge15+M205*SUMIF(ThresholdAge15,"&lt;"&amp;M205,WeightedRevAge15)-SUMIF(ThresholdAge15,"&lt;"&amp;M205,WeightedMinAge15),MAX(CapacityAge15*'01_Вводные'!$B$218*M205,MeanMinAge15)))</f>
        <v/>
      </c>
      <c r="N151" s="190">
        <f>IF(OR((N67-N95)=0,15&lt;='01_Вводные'!$B$297),0,(N67-N95)*IF('01_Вводные'!$B$239="Да",MeanMinAge15+N205*SUMIF(ThresholdAge15,"&lt;"&amp;N205,WeightedRevAge15)-SUMIF(ThresholdAge15,"&lt;"&amp;N205,WeightedMinAge15),MAX(CapacityAge15*'01_Вводные'!$B$218*N205,MeanMinAge15)))</f>
        <v/>
      </c>
      <c r="O151" s="190">
        <f>IF(OR((O67-O95)=0,15&lt;='01_Вводные'!$B$297),0,(O67-O95)*IF('01_Вводные'!$B$239="Да",MeanMinAge15+O205*SUMIF(ThresholdAge15,"&lt;"&amp;O205,WeightedRevAge15)-SUMIF(ThresholdAge15,"&lt;"&amp;O205,WeightedMinAge15),MAX(CapacityAge15*'01_Вводные'!$B$218*O205,MeanMinAge15)))</f>
        <v/>
      </c>
      <c r="P151" s="190">
        <f>IF(OR((P67-P95)=0,15&lt;='01_Вводные'!$B$297),0,(P67-P95)*IF('01_Вводные'!$B$239="Да",MeanMinAge15+P205*SUMIF(ThresholdAge15,"&lt;"&amp;P205,WeightedRevAge15)-SUMIF(ThresholdAge15,"&lt;"&amp;P205,WeightedMinAge15),MAX(CapacityAge15*'01_Вводные'!$B$218*P205,MeanMinAge15)))</f>
        <v/>
      </c>
      <c r="Q151" s="190">
        <f>IF(OR((Q67-Q95)=0,15&lt;='01_Вводные'!$B$297),0,(Q67-Q95)*IF('01_Вводные'!$B$239="Да",MeanMinAge15+Q205*SUMIF(ThresholdAge15,"&lt;"&amp;Q205,WeightedRevAge15)-SUMIF(ThresholdAge15,"&lt;"&amp;Q205,WeightedMinAge15),MAX(CapacityAge15*'01_Вводные'!$B$218*Q205,MeanMinAge15)))</f>
        <v/>
      </c>
      <c r="R151" s="190">
        <f>IF(OR((R67-R95)=0,15&lt;='01_Вводные'!$B$297),0,(R67-R95)*IF('01_Вводные'!$B$239="Да",MeanMinAge15+R205*SUMIF(ThresholdAge15,"&lt;"&amp;R205,WeightedRevAge15)-SUMIF(ThresholdAge15,"&lt;"&amp;R205,WeightedMinAge15),MAX(CapacityAge15*'01_Вводные'!$B$218*R205,MeanMinAge15)))</f>
        <v/>
      </c>
      <c r="S151" s="190">
        <f>IF(OR((S67-S95)=0,15&lt;='01_Вводные'!$B$297),0,(S67-S95)*IF('01_Вводные'!$B$239="Да",MeanMinAge15+S205*SUMIF(ThresholdAge15,"&lt;"&amp;S205,WeightedRevAge15)-SUMIF(ThresholdAge15,"&lt;"&amp;S205,WeightedMinAge15),MAX(CapacityAge15*'01_Вводные'!$B$218*S205,MeanMinAge15)))</f>
        <v/>
      </c>
      <c r="T151" s="190">
        <f>IF(OR((T67-T95)=0,15&lt;='01_Вводные'!$B$297),0,(T67-T95)*IF('01_Вводные'!$B$239="Да",MeanMinAge15+T205*SUMIF(ThresholdAge15,"&lt;"&amp;T205,WeightedRevAge15)-SUMIF(ThresholdAge15,"&lt;"&amp;T205,WeightedMinAge15),MAX(CapacityAge15*'01_Вводные'!$B$218*T205,MeanMinAge15)))</f>
        <v/>
      </c>
      <c r="U151" s="190">
        <f>IF(OR((U67-U95)=0,15&lt;='01_Вводные'!$B$297),0,(U67-U95)*IF('01_Вводные'!$B$239="Да",MeanMinAge15+U205*SUMIF(ThresholdAge15,"&lt;"&amp;U205,WeightedRevAge15)-SUMIF(ThresholdAge15,"&lt;"&amp;U205,WeightedMinAge15),MAX(CapacityAge15*'01_Вводные'!$B$218*U205,MeanMinAge15)))</f>
        <v/>
      </c>
      <c r="V151" s="190">
        <f>IF(OR((V67-V95)=0,15&lt;='01_Вводные'!$B$297),0,(V67-V95)*IF('01_Вводные'!$B$239="Да",MeanMinAge15+V205*SUMIF(ThresholdAge15,"&lt;"&amp;V205,WeightedRevAge15)-SUMIF(ThresholdAge15,"&lt;"&amp;V205,WeightedMinAge15),MAX(CapacityAge15*'01_Вводные'!$B$218*V205,MeanMinAge15)))</f>
        <v/>
      </c>
      <c r="W151" s="190">
        <f>IF(OR((W67-W95)=0,15&lt;='01_Вводные'!$B$297),0,(W67-W95)*IF('01_Вводные'!$B$239="Да",MeanMinAge15+W205*SUMIF(ThresholdAge15,"&lt;"&amp;W205,WeightedRevAge15)-SUMIF(ThresholdAge15,"&lt;"&amp;W205,WeightedMinAge15),MAX(CapacityAge15*'01_Вводные'!$B$218*W205,MeanMinAge15)))</f>
        <v/>
      </c>
      <c r="X151" s="190">
        <f>IF(OR((X67-X95)=0,15&lt;='01_Вводные'!$B$297),0,(X67-X95)*IF('01_Вводные'!$B$239="Да",MeanMinAge15+X205*SUMIF(ThresholdAge15,"&lt;"&amp;X205,WeightedRevAge15)-SUMIF(ThresholdAge15,"&lt;"&amp;X205,WeightedMinAge15),MAX(CapacityAge15*'01_Вводные'!$B$218*X205,MeanMinAge15)))</f>
        <v/>
      </c>
      <c r="Y151" s="190">
        <f>IF(OR((Y67-Y95)=0,15&lt;='01_Вводные'!$B$297),0,(Y67-Y95)*IF('01_Вводные'!$B$239="Да",MeanMinAge15+Y205*SUMIF(ThresholdAge15,"&lt;"&amp;Y205,WeightedRevAge15)-SUMIF(ThresholdAge15,"&lt;"&amp;Y205,WeightedMinAge15),MAX(CapacityAge15*'01_Вводные'!$B$218*Y205,MeanMinAge15)))</f>
        <v/>
      </c>
      <c r="Z151" s="190">
        <f>IF(OR((Z67-Z95)=0,15&lt;='01_Вводные'!$B$297),0,(Z67-Z95)*IF('01_Вводные'!$B$239="Да",MeanMinAge15+Z205*SUMIF(ThresholdAge15,"&lt;"&amp;Z205,WeightedRevAge15)-SUMIF(ThresholdAge15,"&lt;"&amp;Z205,WeightedMinAge15),MAX(CapacityAge15*'01_Вводные'!$B$218*Z205,MeanMinAge15)))</f>
        <v/>
      </c>
      <c r="AA151" s="190">
        <f>IF(OR((AA67-AA95)=0,15&lt;='01_Вводные'!$B$297),0,(AA67-AA95)*IF('01_Вводные'!$B$239="Да",MeanMinAge15+AA205*SUMIF(ThresholdAge15,"&lt;"&amp;AA205,WeightedRevAge15)-SUMIF(ThresholdAge15,"&lt;"&amp;AA205,WeightedMinAge15),MAX(CapacityAge15*'01_Вводные'!$B$218*AA205,MeanMinAge15)))</f>
        <v/>
      </c>
      <c r="AB151" s="190">
        <f>IF(OR((AB67-AB95)=0,15&lt;='01_Вводные'!$B$297),0,(AB67-AB95)*IF('01_Вводные'!$B$239="Да",MeanMinAge15+AB205*SUMIF(ThresholdAge15,"&lt;"&amp;AB205,WeightedRevAge15)-SUMIF(ThresholdAge15,"&lt;"&amp;AB205,WeightedMinAge15),MAX(CapacityAge15*'01_Вводные'!$B$218*AB205,MeanMinAge15)))</f>
        <v/>
      </c>
      <c r="AC151" s="190">
        <f>IF(OR((AC67-AC95)=0,15&lt;='01_Вводные'!$B$297),0,(AC67-AC95)*IF('01_Вводные'!$B$239="Да",MeanMinAge15+AC205*SUMIF(ThresholdAge15,"&lt;"&amp;AC205,WeightedRevAge15)-SUMIF(ThresholdAge15,"&lt;"&amp;AC205,WeightedMinAge15),MAX(CapacityAge15*'01_Вводные'!$B$218*AC205,MeanMinAge15)))</f>
        <v/>
      </c>
      <c r="AD151" s="190">
        <f>IF(OR((AD67-AD95)=0,15&lt;='01_Вводные'!$B$297),0,(AD67-AD95)*IF('01_Вводные'!$B$239="Да",MeanMinAge15+AD205*SUMIF(ThresholdAge15,"&lt;"&amp;AD205,WeightedRevAge15)-SUMIF(ThresholdAge15,"&lt;"&amp;AD205,WeightedMinAge15),MAX(CapacityAge15*'01_Вводные'!$B$218*AD205,MeanMinAge15)))</f>
        <v/>
      </c>
      <c r="AE151" s="190">
        <f>IF(OR((AE67-AE95)=0,15&lt;='01_Вводные'!$B$297),0,(AE67-AE95)*IF('01_Вводные'!$B$239="Да",MeanMinAge15+AE205*SUMIF(ThresholdAge15,"&lt;"&amp;AE205,WeightedRevAge15)-SUMIF(ThresholdAge15,"&lt;"&amp;AE205,WeightedMinAge15),MAX(CapacityAge15*'01_Вводные'!$B$218*AE205,MeanMinAge15)))</f>
        <v/>
      </c>
      <c r="AF151" s="190">
        <f>IF(OR((AF67-AF95)=0,15&lt;='01_Вводные'!$B$297),0,(AF67-AF95)*IF('01_Вводные'!$B$239="Да",MeanMinAge15+AF205*SUMIF(ThresholdAge15,"&lt;"&amp;AF205,WeightedRevAge15)-SUMIF(ThresholdAge15,"&lt;"&amp;AF205,WeightedMinAge15),MAX(CapacityAge15*'01_Вводные'!$B$218*AF205,MeanMinAge15)))</f>
        <v/>
      </c>
      <c r="AG151" s="190">
        <f>IF(OR((AG67-AG95)=0,15&lt;='01_Вводные'!$B$297),0,(AG67-AG95)*IF('01_Вводные'!$B$239="Да",MeanMinAge15+AG205*SUMIF(ThresholdAge15,"&lt;"&amp;AG205,WeightedRevAge15)-SUMIF(ThresholdAge15,"&lt;"&amp;AG205,WeightedMinAge15),MAX(CapacityAge15*'01_Вводные'!$B$218*AG205,MeanMinAge15)))</f>
        <v/>
      </c>
      <c r="AH151" s="190">
        <f>IF(OR((AH67-AH95)=0,15&lt;='01_Вводные'!$B$297),0,(AH67-AH95)*IF('01_Вводные'!$B$239="Да",MeanMinAge15+AH205*SUMIF(ThresholdAge15,"&lt;"&amp;AH205,WeightedRevAge15)-SUMIF(ThresholdAge15,"&lt;"&amp;AH205,WeightedMinAge15),MAX(CapacityAge15*'01_Вводные'!$B$218*AH205,MeanMinAge15)))</f>
        <v/>
      </c>
      <c r="AI151" s="190">
        <f>IF(OR((AI67-AI95)=0,15&lt;='01_Вводные'!$B$297),0,(AI67-AI95)*IF('01_Вводные'!$B$239="Да",MeanMinAge15+AI205*SUMIF(ThresholdAge15,"&lt;"&amp;AI205,WeightedRevAge15)-SUMIF(ThresholdAge15,"&lt;"&amp;AI205,WeightedMinAge15),MAX(CapacityAge15*'01_Вводные'!$B$218*AI205,MeanMinAge15)))</f>
        <v/>
      </c>
      <c r="AJ151" s="190">
        <f>IF(OR((AJ67-AJ95)=0,15&lt;='01_Вводные'!$B$297),0,(AJ67-AJ95)*IF('01_Вводные'!$B$239="Да",MeanMinAge15+AJ205*SUMIF(ThresholdAge15,"&lt;"&amp;AJ205,WeightedRevAge15)-SUMIF(ThresholdAge15,"&lt;"&amp;AJ205,WeightedMinAge15),MAX(CapacityAge15*'01_Вводные'!$B$218*AJ205,MeanMinAge15)))</f>
        <v/>
      </c>
      <c r="AK151" s="190">
        <f>IF(OR((AK67-AK95)=0,15&lt;='01_Вводные'!$B$297),0,(AK67-AK95)*IF('01_Вводные'!$B$239="Да",MeanMinAge15+AK205*SUMIF(ThresholdAge15,"&lt;"&amp;AK205,WeightedRevAge15)-SUMIF(ThresholdAge15,"&lt;"&amp;AK205,WeightedMinAge15),MAX(CapacityAge15*'01_Вводные'!$B$218*AK205,MeanMinAge15)))</f>
        <v/>
      </c>
      <c r="AL151" s="190">
        <f>IF(OR((AL67-AL95)=0,15&lt;='01_Вводные'!$B$297),0,(AL67-AL95)*IF('01_Вводные'!$B$239="Да",MeanMinAge15+AL205*SUMIF(ThresholdAge15,"&lt;"&amp;AL205,WeightedRevAge15)-SUMIF(ThresholdAge15,"&lt;"&amp;AL205,WeightedMinAge15),MAX(CapacityAge15*'01_Вводные'!$B$218*AL205,MeanMinAge15)))</f>
        <v/>
      </c>
      <c r="AM151" s="190">
        <f>IF(OR((AM67-AM95)=0,15&lt;='01_Вводные'!$B$297),0,(AM67-AM95)*IF('01_Вводные'!$B$239="Да",MeanMinAge15+AM205*SUMIF(ThresholdAge15,"&lt;"&amp;AM205,WeightedRevAge15)-SUMIF(ThresholdAge15,"&lt;"&amp;AM205,WeightedMinAge15),MAX(CapacityAge15*'01_Вводные'!$B$218*AM205,MeanMinAge15)))</f>
        <v/>
      </c>
      <c r="AN151" s="190">
        <f>IF(OR((AN67-AN95)=0,15&lt;='01_Вводные'!$B$297),0,(AN67-AN95)*IF('01_Вводные'!$B$239="Да",MeanMinAge15+AN205*SUMIF(ThresholdAge15,"&lt;"&amp;AN205,WeightedRevAge15)-SUMIF(ThresholdAge15,"&lt;"&amp;AN205,WeightedMinAge15),MAX(CapacityAge15*'01_Вводные'!$B$218*AN205,MeanMinAge15)))</f>
        <v/>
      </c>
      <c r="AO151" s="190">
        <f>IF(OR((AO67-AO95)=0,15&lt;='01_Вводные'!$B$297),0,(AO67-AO95)*IF('01_Вводные'!$B$239="Да",MeanMinAge15+AO205*SUMIF(ThresholdAge15,"&lt;"&amp;AO205,WeightedRevAge15)-SUMIF(ThresholdAge15,"&lt;"&amp;AO205,WeightedMinAge15),MAX(CapacityAge15*'01_Вводные'!$B$218*AO205,MeanMinAge15)))</f>
        <v/>
      </c>
      <c r="AP151" s="190">
        <f>IF(OR((AP67-AP95)=0,15&lt;='01_Вводные'!$B$297),0,(AP67-AP95)*IF('01_Вводные'!$B$239="Да",MeanMinAge15+AP205*SUMIF(ThresholdAge15,"&lt;"&amp;AP205,WeightedRevAge15)-SUMIF(ThresholdAge15,"&lt;"&amp;AP205,WeightedMinAge15),MAX(CapacityAge15*'01_Вводные'!$B$218*AP205,MeanMinAge15)))</f>
        <v/>
      </c>
      <c r="AQ151" s="190">
        <f>IF(OR((AQ67-AQ95)=0,15&lt;='01_Вводные'!$B$297),0,(AQ67-AQ95)*IF('01_Вводные'!$B$239="Да",MeanMinAge15+AQ205*SUMIF(ThresholdAge15,"&lt;"&amp;AQ205,WeightedRevAge15)-SUMIF(ThresholdAge15,"&lt;"&amp;AQ205,WeightedMinAge15),MAX(CapacityAge15*'01_Вводные'!$B$218*AQ205,MeanMinAge15)))</f>
        <v/>
      </c>
      <c r="AR151" s="190">
        <f>IF(OR((AR67-AR95)=0,15&lt;='01_Вводные'!$B$297),0,(AR67-AR95)*IF('01_Вводные'!$B$239="Да",MeanMinAge15+AR205*SUMIF(ThresholdAge15,"&lt;"&amp;AR205,WeightedRevAge15)-SUMIF(ThresholdAge15,"&lt;"&amp;AR205,WeightedMinAge15),MAX(CapacityAge15*'01_Вводные'!$B$218*AR205,MeanMinAge15)))</f>
        <v/>
      </c>
      <c r="AS151" s="190">
        <f>IF(OR((AS67-AS95)=0,15&lt;='01_Вводные'!$B$297),0,(AS67-AS95)*IF('01_Вводные'!$B$239="Да",MeanMinAge15+AS205*SUMIF(ThresholdAge15,"&lt;"&amp;AS205,WeightedRevAge15)-SUMIF(ThresholdAge15,"&lt;"&amp;AS205,WeightedMinAge15),MAX(CapacityAge15*'01_Вводные'!$B$218*AS205,MeanMinAge15)))</f>
        <v/>
      </c>
      <c r="AT151" s="190">
        <f>IF(OR((AT67-AT95)=0,15&lt;='01_Вводные'!$B$297),0,(AT67-AT95)*IF('01_Вводные'!$B$239="Да",MeanMinAge15+AT205*SUMIF(ThresholdAge15,"&lt;"&amp;AT205,WeightedRevAge15)-SUMIF(ThresholdAge15,"&lt;"&amp;AT205,WeightedMinAge15),MAX(CapacityAge15*'01_Вводные'!$B$218*AT205,MeanMinAge15)))</f>
        <v/>
      </c>
      <c r="AU151" s="190">
        <f>IF(OR((AU67-AU95)=0,15&lt;='01_Вводные'!$B$297),0,(AU67-AU95)*IF('01_Вводные'!$B$239="Да",MeanMinAge15+AU205*SUMIF(ThresholdAge15,"&lt;"&amp;AU205,WeightedRevAge15)-SUMIF(ThresholdAge15,"&lt;"&amp;AU205,WeightedMinAge15),MAX(CapacityAge15*'01_Вводные'!$B$218*AU205,MeanMinAge15)))</f>
        <v/>
      </c>
      <c r="AV151" s="190">
        <f>IF(OR((AV67-AV95)=0,15&lt;='01_Вводные'!$B$297),0,(AV67-AV95)*IF('01_Вводные'!$B$239="Да",MeanMinAge15+AV205*SUMIF(ThresholdAge15,"&lt;"&amp;AV205,WeightedRevAge15)-SUMIF(ThresholdAge15,"&lt;"&amp;AV205,WeightedMinAge15),MAX(CapacityAge15*'01_Вводные'!$B$218*AV205,MeanMinAge15)))</f>
        <v/>
      </c>
      <c r="AW151" s="190">
        <f>IF(OR((AW67-AW95)=0,15&lt;='01_Вводные'!$B$297),0,(AW67-AW95)*IF('01_Вводные'!$B$239="Да",MeanMinAge15+AW205*SUMIF(ThresholdAge15,"&lt;"&amp;AW205,WeightedRevAge15)-SUMIF(ThresholdAge15,"&lt;"&amp;AW205,WeightedMinAge15),MAX(CapacityAge15*'01_Вводные'!$B$218*AW205,MeanMinAge15)))</f>
        <v/>
      </c>
      <c r="AX151" s="190">
        <f>IF(OR((AX67-AX95)=0,15&lt;='01_Вводные'!$B$297),0,(AX67-AX95)*IF('01_Вводные'!$B$239="Да",MeanMinAge15+AX205*SUMIF(ThresholdAge15,"&lt;"&amp;AX205,WeightedRevAge15)-SUMIF(ThresholdAge15,"&lt;"&amp;AX205,WeightedMinAge15),MAX(CapacityAge15*'01_Вводные'!$B$218*AX205,MeanMinAge15)))</f>
        <v/>
      </c>
      <c r="AY151" s="190">
        <f>IF(OR((AY67-AY95)=0,15&lt;='01_Вводные'!$B$297),0,(AY67-AY95)*IF('01_Вводные'!$B$239="Да",MeanMinAge15+AY205*SUMIF(ThresholdAge15,"&lt;"&amp;AY205,WeightedRevAge15)-SUMIF(ThresholdAge15,"&lt;"&amp;AY205,WeightedMinAge15),MAX(CapacityAge15*'01_Вводные'!$B$218*AY205,MeanMinAge15)))</f>
        <v/>
      </c>
      <c r="AZ151" s="190">
        <f>IF(OR((AZ67-AZ95)=0,15&lt;='01_Вводные'!$B$297),0,(AZ67-AZ95)*IF('01_Вводные'!$B$239="Да",MeanMinAge15+AZ205*SUMIF(ThresholdAge15,"&lt;"&amp;AZ205,WeightedRevAge15)-SUMIF(ThresholdAge15,"&lt;"&amp;AZ205,WeightedMinAge15),MAX(CapacityAge15*'01_Вводные'!$B$218*AZ205,MeanMinAge15)))</f>
        <v/>
      </c>
      <c r="BA151" s="190">
        <f>IF(OR((BA67-BA95)=0,15&lt;='01_Вводные'!$B$297),0,(BA67-BA95)*IF('01_Вводные'!$B$239="Да",MeanMinAge15+BA205*SUMIF(ThresholdAge15,"&lt;"&amp;BA205,WeightedRevAge15)-SUMIF(ThresholdAge15,"&lt;"&amp;BA205,WeightedMinAge15),MAX(CapacityAge15*'01_Вводные'!$B$218*BA205,MeanMinAge15)))</f>
        <v/>
      </c>
      <c r="BB151" s="190">
        <f>IF(OR((BB67-BB95)=0,15&lt;='01_Вводные'!$B$297),0,(BB67-BB95)*IF('01_Вводные'!$B$239="Да",MeanMinAge15+BB205*SUMIF(ThresholdAge15,"&lt;"&amp;BB205,WeightedRevAge15)-SUMIF(ThresholdAge15,"&lt;"&amp;BB205,WeightedMinAge15),MAX(CapacityAge15*'01_Вводные'!$B$218*BB205,MeanMinAge15)))</f>
        <v/>
      </c>
      <c r="BC151" s="190">
        <f>IF(OR((BC67-BC95)=0,15&lt;='01_Вводные'!$B$297),0,(BC67-BC95)*IF('01_Вводные'!$B$239="Да",MeanMinAge15+BC205*SUMIF(ThresholdAge15,"&lt;"&amp;BC205,WeightedRevAge15)-SUMIF(ThresholdAge15,"&lt;"&amp;BC205,WeightedMinAge15),MAX(CapacityAge15*'01_Вводные'!$B$218*BC205,MeanMinAge15)))</f>
        <v/>
      </c>
      <c r="BD151" s="190">
        <f>IF(OR((BD67-BD95)=0,15&lt;='01_Вводные'!$B$297),0,(BD67-BD95)*IF('01_Вводные'!$B$239="Да",MeanMinAge15+BD205*SUMIF(ThresholdAge15,"&lt;"&amp;BD205,WeightedRevAge15)-SUMIF(ThresholdAge15,"&lt;"&amp;BD205,WeightedMinAge15),MAX(CapacityAge15*'01_Вводные'!$B$218*BD205,MeanMinAge15)))</f>
        <v/>
      </c>
      <c r="BE151" s="190">
        <f>IF(OR((BE67-BE95)=0,15&lt;='01_Вводные'!$B$297),0,(BE67-BE95)*IF('01_Вводные'!$B$239="Да",MeanMinAge15+BE205*SUMIF(ThresholdAge15,"&lt;"&amp;BE205,WeightedRevAge15)-SUMIF(ThresholdAge15,"&lt;"&amp;BE205,WeightedMinAge15),MAX(CapacityAge15*'01_Вводные'!$B$218*BE205,MeanMinAge15)))</f>
        <v/>
      </c>
      <c r="BF151" s="190">
        <f>IF(OR((BF67-BF95)=0,15&lt;='01_Вводные'!$B$297),0,(BF67-BF95)*IF('01_Вводные'!$B$239="Да",MeanMinAge15+BF205*SUMIF(ThresholdAge15,"&lt;"&amp;BF205,WeightedRevAge15)-SUMIF(ThresholdAge15,"&lt;"&amp;BF205,WeightedMinAge15),MAX(CapacityAge15*'01_Вводные'!$B$218*BF205,MeanMinAge15)))</f>
        <v/>
      </c>
      <c r="BG151" s="190">
        <f>IF(OR((BG67-BG95)=0,15&lt;='01_Вводные'!$B$297),0,(BG67-BG95)*IF('01_Вводные'!$B$239="Да",MeanMinAge15+BG205*SUMIF(ThresholdAge15,"&lt;"&amp;BG205,WeightedRevAge15)-SUMIF(ThresholdAge15,"&lt;"&amp;BG205,WeightedMinAge15),MAX(CapacityAge15*'01_Вводные'!$B$218*BG205,MeanMinAge15)))</f>
        <v/>
      </c>
      <c r="BH151" s="190">
        <f>IF(OR((BH67-BH95)=0,15&lt;='01_Вводные'!$B$297),0,(BH67-BH95)*IF('01_Вводные'!$B$239="Да",MeanMinAge15+BH205*SUMIF(ThresholdAge15,"&lt;"&amp;BH205,WeightedRevAge15)-SUMIF(ThresholdAge15,"&lt;"&amp;BH205,WeightedMinAge15),MAX(CapacityAge15*'01_Вводные'!$B$218*BH205,MeanMinAge15)))</f>
        <v/>
      </c>
      <c r="BI151" s="190">
        <f>IF(OR((BI67-BI95)=0,15&lt;='01_Вводные'!$B$297),0,(BI67-BI95)*IF('01_Вводные'!$B$239="Да",MeanMinAge15+BI205*SUMIF(ThresholdAge15,"&lt;"&amp;BI205,WeightedRevAge15)-SUMIF(ThresholdAge15,"&lt;"&amp;BI205,WeightedMinAge15),MAX(CapacityAge15*'01_Вводные'!$B$218*BI205,MeanMinAge15)))</f>
        <v/>
      </c>
      <c r="BJ151" s="190">
        <f>IF(OR((BJ67-BJ95)=0,15&lt;='01_Вводные'!$B$297),0,(BJ67-BJ95)*IF('01_Вводные'!$B$239="Да",MeanMinAge15+BJ205*SUMIF(ThresholdAge15,"&lt;"&amp;BJ205,WeightedRevAge15)-SUMIF(ThresholdAge15,"&lt;"&amp;BJ205,WeightedMinAge15),MAX(CapacityAge15*'01_Вводные'!$B$218*BJ205,MeanMinAge15)))</f>
        <v/>
      </c>
      <c r="BK151" s="190">
        <f>IF(OR((BK67-BK95)=0,15&lt;='01_Вводные'!$B$297),0,(BK67-BK95)*IF('01_Вводные'!$B$239="Да",MeanMinAge15+BK205*SUMIF(ThresholdAge15,"&lt;"&amp;BK205,WeightedRevAge15)-SUMIF(ThresholdAge15,"&lt;"&amp;BK205,WeightedMinAge15),MAX(CapacityAge15*'01_Вводные'!$B$218*BK205,MeanMinAge15)))</f>
        <v/>
      </c>
      <c r="BL151" s="190">
        <f>IF(OR((BL67-BL95)=0,15&lt;='01_Вводные'!$B$297),0,(BL67-BL95)*IF('01_Вводные'!$B$239="Да",MeanMinAge15+BL205*SUMIF(ThresholdAge15,"&lt;"&amp;BL205,WeightedRevAge15)-SUMIF(ThresholdAge15,"&lt;"&amp;BL205,WeightedMinAge15),MAX(CapacityAge15*'01_Вводные'!$B$218*BL205,MeanMinAge15)))</f>
        <v/>
      </c>
      <c r="BM151" s="190">
        <f>IF(OR((BM67-BM95)=0,15&lt;='01_Вводные'!$B$297),0,(BM67-BM95)*IF('01_Вводные'!$B$239="Да",MeanMinAge15+BM205*SUMIF(ThresholdAge15,"&lt;"&amp;BM205,WeightedRevAge15)-SUMIF(ThresholdAge15,"&lt;"&amp;BM205,WeightedMinAge15),MAX(CapacityAge15*'01_Вводные'!$B$218*BM205,MeanMinAge15)))</f>
        <v/>
      </c>
      <c r="BN151" s="190">
        <f>IF(OR((BN67-BN95)=0,15&lt;='01_Вводные'!$B$297),0,(BN67-BN95)*IF('01_Вводные'!$B$239="Да",MeanMinAge15+BN205*SUMIF(ThresholdAge15,"&lt;"&amp;BN205,WeightedRevAge15)-SUMIF(ThresholdAge15,"&lt;"&amp;BN205,WeightedMinAge15),MAX(CapacityAge15*'01_Вводные'!$B$218*BN205,MeanMinAge15)))</f>
        <v/>
      </c>
      <c r="BO151" s="190">
        <f>IF(OR((BO67-BO95)=0,15&lt;='01_Вводные'!$B$297),0,(BO67-BO95)*IF('01_Вводные'!$B$239="Да",MeanMinAge15+BO205*SUMIF(ThresholdAge15,"&lt;"&amp;BO205,WeightedRevAge15)-SUMIF(ThresholdAge15,"&lt;"&amp;BO205,WeightedMinAge15),MAX(CapacityAge15*'01_Вводные'!$B$218*BO205,MeanMinAge15)))</f>
        <v/>
      </c>
    </row>
    <row r="152" hidden="1" outlineLevel="1">
      <c r="A152" t="inlineStr">
        <is>
          <t>16 мес.</t>
        </is>
      </c>
      <c r="B152" s="190">
        <f>IF(OR((B68-B96)=0,16&lt;='01_Вводные'!$B$297),0,(B68-B96)*IF('01_Вводные'!$B$239="Да",MeanMinAge16+B205*SUMIF(ThresholdAge16,"&lt;"&amp;B205,WeightedRevAge16)-SUMIF(ThresholdAge16,"&lt;"&amp;B205,WeightedMinAge16),MAX(CapacityAge16*'01_Вводные'!$B$218*B205,MeanMinAge16)))</f>
        <v/>
      </c>
      <c r="C152" s="190">
        <f>IF(OR((C68-C96)=0,16&lt;='01_Вводные'!$B$297),0,(C68-C96)*IF('01_Вводные'!$B$239="Да",MeanMinAge16+C205*SUMIF(ThresholdAge16,"&lt;"&amp;C205,WeightedRevAge16)-SUMIF(ThresholdAge16,"&lt;"&amp;C205,WeightedMinAge16),MAX(CapacityAge16*'01_Вводные'!$B$218*C205,MeanMinAge16)))</f>
        <v/>
      </c>
      <c r="D152" s="190">
        <f>IF(OR((D68-D96)=0,16&lt;='01_Вводные'!$B$297),0,(D68-D96)*IF('01_Вводные'!$B$239="Да",MeanMinAge16+D205*SUMIF(ThresholdAge16,"&lt;"&amp;D205,WeightedRevAge16)-SUMIF(ThresholdAge16,"&lt;"&amp;D205,WeightedMinAge16),MAX(CapacityAge16*'01_Вводные'!$B$218*D205,MeanMinAge16)))</f>
        <v/>
      </c>
      <c r="E152" s="190">
        <f>IF(OR((E68-E96)=0,16&lt;='01_Вводные'!$B$297),0,(E68-E96)*IF('01_Вводные'!$B$239="Да",MeanMinAge16+E205*SUMIF(ThresholdAge16,"&lt;"&amp;E205,WeightedRevAge16)-SUMIF(ThresholdAge16,"&lt;"&amp;E205,WeightedMinAge16),MAX(CapacityAge16*'01_Вводные'!$B$218*E205,MeanMinAge16)))</f>
        <v/>
      </c>
      <c r="F152" s="190">
        <f>IF(OR((F68-F96)=0,16&lt;='01_Вводные'!$B$297),0,(F68-F96)*IF('01_Вводные'!$B$239="Да",MeanMinAge16+F205*SUMIF(ThresholdAge16,"&lt;"&amp;F205,WeightedRevAge16)-SUMIF(ThresholdAge16,"&lt;"&amp;F205,WeightedMinAge16),MAX(CapacityAge16*'01_Вводные'!$B$218*F205,MeanMinAge16)))</f>
        <v/>
      </c>
      <c r="G152" s="190">
        <f>IF(OR((G68-G96)=0,16&lt;='01_Вводные'!$B$297),0,(G68-G96)*IF('01_Вводные'!$B$239="Да",MeanMinAge16+G205*SUMIF(ThresholdAge16,"&lt;"&amp;G205,WeightedRevAge16)-SUMIF(ThresholdAge16,"&lt;"&amp;G205,WeightedMinAge16),MAX(CapacityAge16*'01_Вводные'!$B$218*G205,MeanMinAge16)))</f>
        <v/>
      </c>
      <c r="H152" s="190">
        <f>IF(OR((H68-H96)=0,16&lt;='01_Вводные'!$B$297),0,(H68-H96)*IF('01_Вводные'!$B$239="Да",MeanMinAge16+H205*SUMIF(ThresholdAge16,"&lt;"&amp;H205,WeightedRevAge16)-SUMIF(ThresholdAge16,"&lt;"&amp;H205,WeightedMinAge16),MAX(CapacityAge16*'01_Вводные'!$B$218*H205,MeanMinAge16)))</f>
        <v/>
      </c>
      <c r="I152" s="190">
        <f>IF(OR((I68-I96)=0,16&lt;='01_Вводные'!$B$297),0,(I68-I96)*IF('01_Вводные'!$B$239="Да",MeanMinAge16+I205*SUMIF(ThresholdAge16,"&lt;"&amp;I205,WeightedRevAge16)-SUMIF(ThresholdAge16,"&lt;"&amp;I205,WeightedMinAge16),MAX(CapacityAge16*'01_Вводные'!$B$218*I205,MeanMinAge16)))</f>
        <v/>
      </c>
      <c r="J152" s="190">
        <f>IF(OR((J68-J96)=0,16&lt;='01_Вводные'!$B$297),0,(J68-J96)*IF('01_Вводные'!$B$239="Да",MeanMinAge16+J205*SUMIF(ThresholdAge16,"&lt;"&amp;J205,WeightedRevAge16)-SUMIF(ThresholdAge16,"&lt;"&amp;J205,WeightedMinAge16),MAX(CapacityAge16*'01_Вводные'!$B$218*J205,MeanMinAge16)))</f>
        <v/>
      </c>
      <c r="K152" s="190">
        <f>IF(OR((K68-K96)=0,16&lt;='01_Вводные'!$B$297),0,(K68-K96)*IF('01_Вводные'!$B$239="Да",MeanMinAge16+K205*SUMIF(ThresholdAge16,"&lt;"&amp;K205,WeightedRevAge16)-SUMIF(ThresholdAge16,"&lt;"&amp;K205,WeightedMinAge16),MAX(CapacityAge16*'01_Вводные'!$B$218*K205,MeanMinAge16)))</f>
        <v/>
      </c>
      <c r="L152" s="190">
        <f>IF(OR((L68-L96)=0,16&lt;='01_Вводные'!$B$297),0,(L68-L96)*IF('01_Вводные'!$B$239="Да",MeanMinAge16+L205*SUMIF(ThresholdAge16,"&lt;"&amp;L205,WeightedRevAge16)-SUMIF(ThresholdAge16,"&lt;"&amp;L205,WeightedMinAge16),MAX(CapacityAge16*'01_Вводные'!$B$218*L205,MeanMinAge16)))</f>
        <v/>
      </c>
      <c r="M152" s="190">
        <f>IF(OR((M68-M96)=0,16&lt;='01_Вводные'!$B$297),0,(M68-M96)*IF('01_Вводные'!$B$239="Да",MeanMinAge16+M205*SUMIF(ThresholdAge16,"&lt;"&amp;M205,WeightedRevAge16)-SUMIF(ThresholdAge16,"&lt;"&amp;M205,WeightedMinAge16),MAX(CapacityAge16*'01_Вводные'!$B$218*M205,MeanMinAge16)))</f>
        <v/>
      </c>
      <c r="N152" s="190">
        <f>IF(OR((N68-N96)=0,16&lt;='01_Вводные'!$B$297),0,(N68-N96)*IF('01_Вводные'!$B$239="Да",MeanMinAge16+N205*SUMIF(ThresholdAge16,"&lt;"&amp;N205,WeightedRevAge16)-SUMIF(ThresholdAge16,"&lt;"&amp;N205,WeightedMinAge16),MAX(CapacityAge16*'01_Вводные'!$B$218*N205,MeanMinAge16)))</f>
        <v/>
      </c>
      <c r="O152" s="190">
        <f>IF(OR((O68-O96)=0,16&lt;='01_Вводные'!$B$297),0,(O68-O96)*IF('01_Вводные'!$B$239="Да",MeanMinAge16+O205*SUMIF(ThresholdAge16,"&lt;"&amp;O205,WeightedRevAge16)-SUMIF(ThresholdAge16,"&lt;"&amp;O205,WeightedMinAge16),MAX(CapacityAge16*'01_Вводные'!$B$218*O205,MeanMinAge16)))</f>
        <v/>
      </c>
      <c r="P152" s="190">
        <f>IF(OR((P68-P96)=0,16&lt;='01_Вводные'!$B$297),0,(P68-P96)*IF('01_Вводные'!$B$239="Да",MeanMinAge16+P205*SUMIF(ThresholdAge16,"&lt;"&amp;P205,WeightedRevAge16)-SUMIF(ThresholdAge16,"&lt;"&amp;P205,WeightedMinAge16),MAX(CapacityAge16*'01_Вводные'!$B$218*P205,MeanMinAge16)))</f>
        <v/>
      </c>
      <c r="Q152" s="190">
        <f>IF(OR((Q68-Q96)=0,16&lt;='01_Вводные'!$B$297),0,(Q68-Q96)*IF('01_Вводные'!$B$239="Да",MeanMinAge16+Q205*SUMIF(ThresholdAge16,"&lt;"&amp;Q205,WeightedRevAge16)-SUMIF(ThresholdAge16,"&lt;"&amp;Q205,WeightedMinAge16),MAX(CapacityAge16*'01_Вводные'!$B$218*Q205,MeanMinAge16)))</f>
        <v/>
      </c>
      <c r="R152" s="190">
        <f>IF(OR((R68-R96)=0,16&lt;='01_Вводные'!$B$297),0,(R68-R96)*IF('01_Вводные'!$B$239="Да",MeanMinAge16+R205*SUMIF(ThresholdAge16,"&lt;"&amp;R205,WeightedRevAge16)-SUMIF(ThresholdAge16,"&lt;"&amp;R205,WeightedMinAge16),MAX(CapacityAge16*'01_Вводные'!$B$218*R205,MeanMinAge16)))</f>
        <v/>
      </c>
      <c r="S152" s="190">
        <f>IF(OR((S68-S96)=0,16&lt;='01_Вводные'!$B$297),0,(S68-S96)*IF('01_Вводные'!$B$239="Да",MeanMinAge16+S205*SUMIF(ThresholdAge16,"&lt;"&amp;S205,WeightedRevAge16)-SUMIF(ThresholdAge16,"&lt;"&amp;S205,WeightedMinAge16),MAX(CapacityAge16*'01_Вводные'!$B$218*S205,MeanMinAge16)))</f>
        <v/>
      </c>
      <c r="T152" s="190">
        <f>IF(OR((T68-T96)=0,16&lt;='01_Вводные'!$B$297),0,(T68-T96)*IF('01_Вводные'!$B$239="Да",MeanMinAge16+T205*SUMIF(ThresholdAge16,"&lt;"&amp;T205,WeightedRevAge16)-SUMIF(ThresholdAge16,"&lt;"&amp;T205,WeightedMinAge16),MAX(CapacityAge16*'01_Вводные'!$B$218*T205,MeanMinAge16)))</f>
        <v/>
      </c>
      <c r="U152" s="190">
        <f>IF(OR((U68-U96)=0,16&lt;='01_Вводные'!$B$297),0,(U68-U96)*IF('01_Вводные'!$B$239="Да",MeanMinAge16+U205*SUMIF(ThresholdAge16,"&lt;"&amp;U205,WeightedRevAge16)-SUMIF(ThresholdAge16,"&lt;"&amp;U205,WeightedMinAge16),MAX(CapacityAge16*'01_Вводные'!$B$218*U205,MeanMinAge16)))</f>
        <v/>
      </c>
      <c r="V152" s="190">
        <f>IF(OR((V68-V96)=0,16&lt;='01_Вводные'!$B$297),0,(V68-V96)*IF('01_Вводные'!$B$239="Да",MeanMinAge16+V205*SUMIF(ThresholdAge16,"&lt;"&amp;V205,WeightedRevAge16)-SUMIF(ThresholdAge16,"&lt;"&amp;V205,WeightedMinAge16),MAX(CapacityAge16*'01_Вводные'!$B$218*V205,MeanMinAge16)))</f>
        <v/>
      </c>
      <c r="W152" s="190">
        <f>IF(OR((W68-W96)=0,16&lt;='01_Вводные'!$B$297),0,(W68-W96)*IF('01_Вводные'!$B$239="Да",MeanMinAge16+W205*SUMIF(ThresholdAge16,"&lt;"&amp;W205,WeightedRevAge16)-SUMIF(ThresholdAge16,"&lt;"&amp;W205,WeightedMinAge16),MAX(CapacityAge16*'01_Вводные'!$B$218*W205,MeanMinAge16)))</f>
        <v/>
      </c>
      <c r="X152" s="190">
        <f>IF(OR((X68-X96)=0,16&lt;='01_Вводные'!$B$297),0,(X68-X96)*IF('01_Вводные'!$B$239="Да",MeanMinAge16+X205*SUMIF(ThresholdAge16,"&lt;"&amp;X205,WeightedRevAge16)-SUMIF(ThresholdAge16,"&lt;"&amp;X205,WeightedMinAge16),MAX(CapacityAge16*'01_Вводные'!$B$218*X205,MeanMinAge16)))</f>
        <v/>
      </c>
      <c r="Y152" s="190">
        <f>IF(OR((Y68-Y96)=0,16&lt;='01_Вводные'!$B$297),0,(Y68-Y96)*IF('01_Вводные'!$B$239="Да",MeanMinAge16+Y205*SUMIF(ThresholdAge16,"&lt;"&amp;Y205,WeightedRevAge16)-SUMIF(ThresholdAge16,"&lt;"&amp;Y205,WeightedMinAge16),MAX(CapacityAge16*'01_Вводные'!$B$218*Y205,MeanMinAge16)))</f>
        <v/>
      </c>
      <c r="Z152" s="190">
        <f>IF(OR((Z68-Z96)=0,16&lt;='01_Вводные'!$B$297),0,(Z68-Z96)*IF('01_Вводные'!$B$239="Да",MeanMinAge16+Z205*SUMIF(ThresholdAge16,"&lt;"&amp;Z205,WeightedRevAge16)-SUMIF(ThresholdAge16,"&lt;"&amp;Z205,WeightedMinAge16),MAX(CapacityAge16*'01_Вводные'!$B$218*Z205,MeanMinAge16)))</f>
        <v/>
      </c>
      <c r="AA152" s="190">
        <f>IF(OR((AA68-AA96)=0,16&lt;='01_Вводные'!$B$297),0,(AA68-AA96)*IF('01_Вводные'!$B$239="Да",MeanMinAge16+AA205*SUMIF(ThresholdAge16,"&lt;"&amp;AA205,WeightedRevAge16)-SUMIF(ThresholdAge16,"&lt;"&amp;AA205,WeightedMinAge16),MAX(CapacityAge16*'01_Вводные'!$B$218*AA205,MeanMinAge16)))</f>
        <v/>
      </c>
      <c r="AB152" s="190">
        <f>IF(OR((AB68-AB96)=0,16&lt;='01_Вводные'!$B$297),0,(AB68-AB96)*IF('01_Вводные'!$B$239="Да",MeanMinAge16+AB205*SUMIF(ThresholdAge16,"&lt;"&amp;AB205,WeightedRevAge16)-SUMIF(ThresholdAge16,"&lt;"&amp;AB205,WeightedMinAge16),MAX(CapacityAge16*'01_Вводные'!$B$218*AB205,MeanMinAge16)))</f>
        <v/>
      </c>
      <c r="AC152" s="190">
        <f>IF(OR((AC68-AC96)=0,16&lt;='01_Вводные'!$B$297),0,(AC68-AC96)*IF('01_Вводные'!$B$239="Да",MeanMinAge16+AC205*SUMIF(ThresholdAge16,"&lt;"&amp;AC205,WeightedRevAge16)-SUMIF(ThresholdAge16,"&lt;"&amp;AC205,WeightedMinAge16),MAX(CapacityAge16*'01_Вводные'!$B$218*AC205,MeanMinAge16)))</f>
        <v/>
      </c>
      <c r="AD152" s="190">
        <f>IF(OR((AD68-AD96)=0,16&lt;='01_Вводные'!$B$297),0,(AD68-AD96)*IF('01_Вводные'!$B$239="Да",MeanMinAge16+AD205*SUMIF(ThresholdAge16,"&lt;"&amp;AD205,WeightedRevAge16)-SUMIF(ThresholdAge16,"&lt;"&amp;AD205,WeightedMinAge16),MAX(CapacityAge16*'01_Вводные'!$B$218*AD205,MeanMinAge16)))</f>
        <v/>
      </c>
      <c r="AE152" s="190">
        <f>IF(OR((AE68-AE96)=0,16&lt;='01_Вводные'!$B$297),0,(AE68-AE96)*IF('01_Вводные'!$B$239="Да",MeanMinAge16+AE205*SUMIF(ThresholdAge16,"&lt;"&amp;AE205,WeightedRevAge16)-SUMIF(ThresholdAge16,"&lt;"&amp;AE205,WeightedMinAge16),MAX(CapacityAge16*'01_Вводные'!$B$218*AE205,MeanMinAge16)))</f>
        <v/>
      </c>
      <c r="AF152" s="190">
        <f>IF(OR((AF68-AF96)=0,16&lt;='01_Вводные'!$B$297),0,(AF68-AF96)*IF('01_Вводные'!$B$239="Да",MeanMinAge16+AF205*SUMIF(ThresholdAge16,"&lt;"&amp;AF205,WeightedRevAge16)-SUMIF(ThresholdAge16,"&lt;"&amp;AF205,WeightedMinAge16),MAX(CapacityAge16*'01_Вводные'!$B$218*AF205,MeanMinAge16)))</f>
        <v/>
      </c>
      <c r="AG152" s="190">
        <f>IF(OR((AG68-AG96)=0,16&lt;='01_Вводные'!$B$297),0,(AG68-AG96)*IF('01_Вводные'!$B$239="Да",MeanMinAge16+AG205*SUMIF(ThresholdAge16,"&lt;"&amp;AG205,WeightedRevAge16)-SUMIF(ThresholdAge16,"&lt;"&amp;AG205,WeightedMinAge16),MAX(CapacityAge16*'01_Вводные'!$B$218*AG205,MeanMinAge16)))</f>
        <v/>
      </c>
      <c r="AH152" s="190">
        <f>IF(OR((AH68-AH96)=0,16&lt;='01_Вводные'!$B$297),0,(AH68-AH96)*IF('01_Вводные'!$B$239="Да",MeanMinAge16+AH205*SUMIF(ThresholdAge16,"&lt;"&amp;AH205,WeightedRevAge16)-SUMIF(ThresholdAge16,"&lt;"&amp;AH205,WeightedMinAge16),MAX(CapacityAge16*'01_Вводные'!$B$218*AH205,MeanMinAge16)))</f>
        <v/>
      </c>
      <c r="AI152" s="190">
        <f>IF(OR((AI68-AI96)=0,16&lt;='01_Вводные'!$B$297),0,(AI68-AI96)*IF('01_Вводные'!$B$239="Да",MeanMinAge16+AI205*SUMIF(ThresholdAge16,"&lt;"&amp;AI205,WeightedRevAge16)-SUMIF(ThresholdAge16,"&lt;"&amp;AI205,WeightedMinAge16),MAX(CapacityAge16*'01_Вводные'!$B$218*AI205,MeanMinAge16)))</f>
        <v/>
      </c>
      <c r="AJ152" s="190">
        <f>IF(OR((AJ68-AJ96)=0,16&lt;='01_Вводные'!$B$297),0,(AJ68-AJ96)*IF('01_Вводные'!$B$239="Да",MeanMinAge16+AJ205*SUMIF(ThresholdAge16,"&lt;"&amp;AJ205,WeightedRevAge16)-SUMIF(ThresholdAge16,"&lt;"&amp;AJ205,WeightedMinAge16),MAX(CapacityAge16*'01_Вводные'!$B$218*AJ205,MeanMinAge16)))</f>
        <v/>
      </c>
      <c r="AK152" s="190">
        <f>IF(OR((AK68-AK96)=0,16&lt;='01_Вводные'!$B$297),0,(AK68-AK96)*IF('01_Вводные'!$B$239="Да",MeanMinAge16+AK205*SUMIF(ThresholdAge16,"&lt;"&amp;AK205,WeightedRevAge16)-SUMIF(ThresholdAge16,"&lt;"&amp;AK205,WeightedMinAge16),MAX(CapacityAge16*'01_Вводные'!$B$218*AK205,MeanMinAge16)))</f>
        <v/>
      </c>
      <c r="AL152" s="190">
        <f>IF(OR((AL68-AL96)=0,16&lt;='01_Вводные'!$B$297),0,(AL68-AL96)*IF('01_Вводные'!$B$239="Да",MeanMinAge16+AL205*SUMIF(ThresholdAge16,"&lt;"&amp;AL205,WeightedRevAge16)-SUMIF(ThresholdAge16,"&lt;"&amp;AL205,WeightedMinAge16),MAX(CapacityAge16*'01_Вводные'!$B$218*AL205,MeanMinAge16)))</f>
        <v/>
      </c>
      <c r="AM152" s="190">
        <f>IF(OR((AM68-AM96)=0,16&lt;='01_Вводные'!$B$297),0,(AM68-AM96)*IF('01_Вводные'!$B$239="Да",MeanMinAge16+AM205*SUMIF(ThresholdAge16,"&lt;"&amp;AM205,WeightedRevAge16)-SUMIF(ThresholdAge16,"&lt;"&amp;AM205,WeightedMinAge16),MAX(CapacityAge16*'01_Вводные'!$B$218*AM205,MeanMinAge16)))</f>
        <v/>
      </c>
      <c r="AN152" s="190">
        <f>IF(OR((AN68-AN96)=0,16&lt;='01_Вводные'!$B$297),0,(AN68-AN96)*IF('01_Вводные'!$B$239="Да",MeanMinAge16+AN205*SUMIF(ThresholdAge16,"&lt;"&amp;AN205,WeightedRevAge16)-SUMIF(ThresholdAge16,"&lt;"&amp;AN205,WeightedMinAge16),MAX(CapacityAge16*'01_Вводные'!$B$218*AN205,MeanMinAge16)))</f>
        <v/>
      </c>
      <c r="AO152" s="190">
        <f>IF(OR((AO68-AO96)=0,16&lt;='01_Вводные'!$B$297),0,(AO68-AO96)*IF('01_Вводные'!$B$239="Да",MeanMinAge16+AO205*SUMIF(ThresholdAge16,"&lt;"&amp;AO205,WeightedRevAge16)-SUMIF(ThresholdAge16,"&lt;"&amp;AO205,WeightedMinAge16),MAX(CapacityAge16*'01_Вводные'!$B$218*AO205,MeanMinAge16)))</f>
        <v/>
      </c>
      <c r="AP152" s="190">
        <f>IF(OR((AP68-AP96)=0,16&lt;='01_Вводные'!$B$297),0,(AP68-AP96)*IF('01_Вводные'!$B$239="Да",MeanMinAge16+AP205*SUMIF(ThresholdAge16,"&lt;"&amp;AP205,WeightedRevAge16)-SUMIF(ThresholdAge16,"&lt;"&amp;AP205,WeightedMinAge16),MAX(CapacityAge16*'01_Вводные'!$B$218*AP205,MeanMinAge16)))</f>
        <v/>
      </c>
      <c r="AQ152" s="190">
        <f>IF(OR((AQ68-AQ96)=0,16&lt;='01_Вводные'!$B$297),0,(AQ68-AQ96)*IF('01_Вводные'!$B$239="Да",MeanMinAge16+AQ205*SUMIF(ThresholdAge16,"&lt;"&amp;AQ205,WeightedRevAge16)-SUMIF(ThresholdAge16,"&lt;"&amp;AQ205,WeightedMinAge16),MAX(CapacityAge16*'01_Вводные'!$B$218*AQ205,MeanMinAge16)))</f>
        <v/>
      </c>
      <c r="AR152" s="190">
        <f>IF(OR((AR68-AR96)=0,16&lt;='01_Вводные'!$B$297),0,(AR68-AR96)*IF('01_Вводные'!$B$239="Да",MeanMinAge16+AR205*SUMIF(ThresholdAge16,"&lt;"&amp;AR205,WeightedRevAge16)-SUMIF(ThresholdAge16,"&lt;"&amp;AR205,WeightedMinAge16),MAX(CapacityAge16*'01_Вводные'!$B$218*AR205,MeanMinAge16)))</f>
        <v/>
      </c>
      <c r="AS152" s="190">
        <f>IF(OR((AS68-AS96)=0,16&lt;='01_Вводные'!$B$297),0,(AS68-AS96)*IF('01_Вводные'!$B$239="Да",MeanMinAge16+AS205*SUMIF(ThresholdAge16,"&lt;"&amp;AS205,WeightedRevAge16)-SUMIF(ThresholdAge16,"&lt;"&amp;AS205,WeightedMinAge16),MAX(CapacityAge16*'01_Вводные'!$B$218*AS205,MeanMinAge16)))</f>
        <v/>
      </c>
      <c r="AT152" s="190">
        <f>IF(OR((AT68-AT96)=0,16&lt;='01_Вводные'!$B$297),0,(AT68-AT96)*IF('01_Вводные'!$B$239="Да",MeanMinAge16+AT205*SUMIF(ThresholdAge16,"&lt;"&amp;AT205,WeightedRevAge16)-SUMIF(ThresholdAge16,"&lt;"&amp;AT205,WeightedMinAge16),MAX(CapacityAge16*'01_Вводные'!$B$218*AT205,MeanMinAge16)))</f>
        <v/>
      </c>
      <c r="AU152" s="190">
        <f>IF(OR((AU68-AU96)=0,16&lt;='01_Вводные'!$B$297),0,(AU68-AU96)*IF('01_Вводные'!$B$239="Да",MeanMinAge16+AU205*SUMIF(ThresholdAge16,"&lt;"&amp;AU205,WeightedRevAge16)-SUMIF(ThresholdAge16,"&lt;"&amp;AU205,WeightedMinAge16),MAX(CapacityAge16*'01_Вводные'!$B$218*AU205,MeanMinAge16)))</f>
        <v/>
      </c>
      <c r="AV152" s="190">
        <f>IF(OR((AV68-AV96)=0,16&lt;='01_Вводные'!$B$297),0,(AV68-AV96)*IF('01_Вводные'!$B$239="Да",MeanMinAge16+AV205*SUMIF(ThresholdAge16,"&lt;"&amp;AV205,WeightedRevAge16)-SUMIF(ThresholdAge16,"&lt;"&amp;AV205,WeightedMinAge16),MAX(CapacityAge16*'01_Вводные'!$B$218*AV205,MeanMinAge16)))</f>
        <v/>
      </c>
      <c r="AW152" s="190">
        <f>IF(OR((AW68-AW96)=0,16&lt;='01_Вводные'!$B$297),0,(AW68-AW96)*IF('01_Вводные'!$B$239="Да",MeanMinAge16+AW205*SUMIF(ThresholdAge16,"&lt;"&amp;AW205,WeightedRevAge16)-SUMIF(ThresholdAge16,"&lt;"&amp;AW205,WeightedMinAge16),MAX(CapacityAge16*'01_Вводные'!$B$218*AW205,MeanMinAge16)))</f>
        <v/>
      </c>
      <c r="AX152" s="190">
        <f>IF(OR((AX68-AX96)=0,16&lt;='01_Вводные'!$B$297),0,(AX68-AX96)*IF('01_Вводные'!$B$239="Да",MeanMinAge16+AX205*SUMIF(ThresholdAge16,"&lt;"&amp;AX205,WeightedRevAge16)-SUMIF(ThresholdAge16,"&lt;"&amp;AX205,WeightedMinAge16),MAX(CapacityAge16*'01_Вводные'!$B$218*AX205,MeanMinAge16)))</f>
        <v/>
      </c>
      <c r="AY152" s="190">
        <f>IF(OR((AY68-AY96)=0,16&lt;='01_Вводные'!$B$297),0,(AY68-AY96)*IF('01_Вводные'!$B$239="Да",MeanMinAge16+AY205*SUMIF(ThresholdAge16,"&lt;"&amp;AY205,WeightedRevAge16)-SUMIF(ThresholdAge16,"&lt;"&amp;AY205,WeightedMinAge16),MAX(CapacityAge16*'01_Вводные'!$B$218*AY205,MeanMinAge16)))</f>
        <v/>
      </c>
      <c r="AZ152" s="190">
        <f>IF(OR((AZ68-AZ96)=0,16&lt;='01_Вводные'!$B$297),0,(AZ68-AZ96)*IF('01_Вводные'!$B$239="Да",MeanMinAge16+AZ205*SUMIF(ThresholdAge16,"&lt;"&amp;AZ205,WeightedRevAge16)-SUMIF(ThresholdAge16,"&lt;"&amp;AZ205,WeightedMinAge16),MAX(CapacityAge16*'01_Вводные'!$B$218*AZ205,MeanMinAge16)))</f>
        <v/>
      </c>
      <c r="BA152" s="190">
        <f>IF(OR((BA68-BA96)=0,16&lt;='01_Вводные'!$B$297),0,(BA68-BA96)*IF('01_Вводные'!$B$239="Да",MeanMinAge16+BA205*SUMIF(ThresholdAge16,"&lt;"&amp;BA205,WeightedRevAge16)-SUMIF(ThresholdAge16,"&lt;"&amp;BA205,WeightedMinAge16),MAX(CapacityAge16*'01_Вводные'!$B$218*BA205,MeanMinAge16)))</f>
        <v/>
      </c>
      <c r="BB152" s="190">
        <f>IF(OR((BB68-BB96)=0,16&lt;='01_Вводные'!$B$297),0,(BB68-BB96)*IF('01_Вводные'!$B$239="Да",MeanMinAge16+BB205*SUMIF(ThresholdAge16,"&lt;"&amp;BB205,WeightedRevAge16)-SUMIF(ThresholdAge16,"&lt;"&amp;BB205,WeightedMinAge16),MAX(CapacityAge16*'01_Вводные'!$B$218*BB205,MeanMinAge16)))</f>
        <v/>
      </c>
      <c r="BC152" s="190">
        <f>IF(OR((BC68-BC96)=0,16&lt;='01_Вводные'!$B$297),0,(BC68-BC96)*IF('01_Вводные'!$B$239="Да",MeanMinAge16+BC205*SUMIF(ThresholdAge16,"&lt;"&amp;BC205,WeightedRevAge16)-SUMIF(ThresholdAge16,"&lt;"&amp;BC205,WeightedMinAge16),MAX(CapacityAge16*'01_Вводные'!$B$218*BC205,MeanMinAge16)))</f>
        <v/>
      </c>
      <c r="BD152" s="190">
        <f>IF(OR((BD68-BD96)=0,16&lt;='01_Вводные'!$B$297),0,(BD68-BD96)*IF('01_Вводные'!$B$239="Да",MeanMinAge16+BD205*SUMIF(ThresholdAge16,"&lt;"&amp;BD205,WeightedRevAge16)-SUMIF(ThresholdAge16,"&lt;"&amp;BD205,WeightedMinAge16),MAX(CapacityAge16*'01_Вводные'!$B$218*BD205,MeanMinAge16)))</f>
        <v/>
      </c>
      <c r="BE152" s="190">
        <f>IF(OR((BE68-BE96)=0,16&lt;='01_Вводные'!$B$297),0,(BE68-BE96)*IF('01_Вводные'!$B$239="Да",MeanMinAge16+BE205*SUMIF(ThresholdAge16,"&lt;"&amp;BE205,WeightedRevAge16)-SUMIF(ThresholdAge16,"&lt;"&amp;BE205,WeightedMinAge16),MAX(CapacityAge16*'01_Вводные'!$B$218*BE205,MeanMinAge16)))</f>
        <v/>
      </c>
      <c r="BF152" s="190">
        <f>IF(OR((BF68-BF96)=0,16&lt;='01_Вводные'!$B$297),0,(BF68-BF96)*IF('01_Вводные'!$B$239="Да",MeanMinAge16+BF205*SUMIF(ThresholdAge16,"&lt;"&amp;BF205,WeightedRevAge16)-SUMIF(ThresholdAge16,"&lt;"&amp;BF205,WeightedMinAge16),MAX(CapacityAge16*'01_Вводные'!$B$218*BF205,MeanMinAge16)))</f>
        <v/>
      </c>
      <c r="BG152" s="190">
        <f>IF(OR((BG68-BG96)=0,16&lt;='01_Вводные'!$B$297),0,(BG68-BG96)*IF('01_Вводные'!$B$239="Да",MeanMinAge16+BG205*SUMIF(ThresholdAge16,"&lt;"&amp;BG205,WeightedRevAge16)-SUMIF(ThresholdAge16,"&lt;"&amp;BG205,WeightedMinAge16),MAX(CapacityAge16*'01_Вводные'!$B$218*BG205,MeanMinAge16)))</f>
        <v/>
      </c>
      <c r="BH152" s="190">
        <f>IF(OR((BH68-BH96)=0,16&lt;='01_Вводные'!$B$297),0,(BH68-BH96)*IF('01_Вводные'!$B$239="Да",MeanMinAge16+BH205*SUMIF(ThresholdAge16,"&lt;"&amp;BH205,WeightedRevAge16)-SUMIF(ThresholdAge16,"&lt;"&amp;BH205,WeightedMinAge16),MAX(CapacityAge16*'01_Вводные'!$B$218*BH205,MeanMinAge16)))</f>
        <v/>
      </c>
      <c r="BI152" s="190">
        <f>IF(OR((BI68-BI96)=0,16&lt;='01_Вводные'!$B$297),0,(BI68-BI96)*IF('01_Вводные'!$B$239="Да",MeanMinAge16+BI205*SUMIF(ThresholdAge16,"&lt;"&amp;BI205,WeightedRevAge16)-SUMIF(ThresholdAge16,"&lt;"&amp;BI205,WeightedMinAge16),MAX(CapacityAge16*'01_Вводные'!$B$218*BI205,MeanMinAge16)))</f>
        <v/>
      </c>
      <c r="BJ152" s="190">
        <f>IF(OR((BJ68-BJ96)=0,16&lt;='01_Вводные'!$B$297),0,(BJ68-BJ96)*IF('01_Вводные'!$B$239="Да",MeanMinAge16+BJ205*SUMIF(ThresholdAge16,"&lt;"&amp;BJ205,WeightedRevAge16)-SUMIF(ThresholdAge16,"&lt;"&amp;BJ205,WeightedMinAge16),MAX(CapacityAge16*'01_Вводные'!$B$218*BJ205,MeanMinAge16)))</f>
        <v/>
      </c>
      <c r="BK152" s="190">
        <f>IF(OR((BK68-BK96)=0,16&lt;='01_Вводные'!$B$297),0,(BK68-BK96)*IF('01_Вводные'!$B$239="Да",MeanMinAge16+BK205*SUMIF(ThresholdAge16,"&lt;"&amp;BK205,WeightedRevAge16)-SUMIF(ThresholdAge16,"&lt;"&amp;BK205,WeightedMinAge16),MAX(CapacityAge16*'01_Вводные'!$B$218*BK205,MeanMinAge16)))</f>
        <v/>
      </c>
      <c r="BL152" s="190">
        <f>IF(OR((BL68-BL96)=0,16&lt;='01_Вводные'!$B$297),0,(BL68-BL96)*IF('01_Вводные'!$B$239="Да",MeanMinAge16+BL205*SUMIF(ThresholdAge16,"&lt;"&amp;BL205,WeightedRevAge16)-SUMIF(ThresholdAge16,"&lt;"&amp;BL205,WeightedMinAge16),MAX(CapacityAge16*'01_Вводные'!$B$218*BL205,MeanMinAge16)))</f>
        <v/>
      </c>
      <c r="BM152" s="190">
        <f>IF(OR((BM68-BM96)=0,16&lt;='01_Вводные'!$B$297),0,(BM68-BM96)*IF('01_Вводные'!$B$239="Да",MeanMinAge16+BM205*SUMIF(ThresholdAge16,"&lt;"&amp;BM205,WeightedRevAge16)-SUMIF(ThresholdAge16,"&lt;"&amp;BM205,WeightedMinAge16),MAX(CapacityAge16*'01_Вводные'!$B$218*BM205,MeanMinAge16)))</f>
        <v/>
      </c>
      <c r="BN152" s="190">
        <f>IF(OR((BN68-BN96)=0,16&lt;='01_Вводные'!$B$297),0,(BN68-BN96)*IF('01_Вводные'!$B$239="Да",MeanMinAge16+BN205*SUMIF(ThresholdAge16,"&lt;"&amp;BN205,WeightedRevAge16)-SUMIF(ThresholdAge16,"&lt;"&amp;BN205,WeightedMinAge16),MAX(CapacityAge16*'01_Вводные'!$B$218*BN205,MeanMinAge16)))</f>
        <v/>
      </c>
      <c r="BO152" s="190">
        <f>IF(OR((BO68-BO96)=0,16&lt;='01_Вводные'!$B$297),0,(BO68-BO96)*IF('01_Вводные'!$B$239="Да",MeanMinAge16+BO205*SUMIF(ThresholdAge16,"&lt;"&amp;BO205,WeightedRevAge16)-SUMIF(ThresholdAge16,"&lt;"&amp;BO205,WeightedMinAge16),MAX(CapacityAge16*'01_Вводные'!$B$218*BO205,MeanMinAge16)))</f>
        <v/>
      </c>
    </row>
    <row r="153" hidden="1" outlineLevel="1">
      <c r="A153" t="inlineStr">
        <is>
          <t>17 мес.</t>
        </is>
      </c>
      <c r="B153" s="190">
        <f>IF(OR((B69-B97)=0,17&lt;='01_Вводные'!$B$297),0,(B69-B97)*IF('01_Вводные'!$B$239="Да",MeanMinAge17+B205*SUMIF(ThresholdAge17,"&lt;"&amp;B205,WeightedRevAge17)-SUMIF(ThresholdAge17,"&lt;"&amp;B205,WeightedMinAge17),MAX(CapacityAge17*'01_Вводные'!$B$218*B205,MeanMinAge17)))</f>
        <v/>
      </c>
      <c r="C153" s="190">
        <f>IF(OR((C69-C97)=0,17&lt;='01_Вводные'!$B$297),0,(C69-C97)*IF('01_Вводные'!$B$239="Да",MeanMinAge17+C205*SUMIF(ThresholdAge17,"&lt;"&amp;C205,WeightedRevAge17)-SUMIF(ThresholdAge17,"&lt;"&amp;C205,WeightedMinAge17),MAX(CapacityAge17*'01_Вводные'!$B$218*C205,MeanMinAge17)))</f>
        <v/>
      </c>
      <c r="D153" s="190">
        <f>IF(OR((D69-D97)=0,17&lt;='01_Вводные'!$B$297),0,(D69-D97)*IF('01_Вводные'!$B$239="Да",MeanMinAge17+D205*SUMIF(ThresholdAge17,"&lt;"&amp;D205,WeightedRevAge17)-SUMIF(ThresholdAge17,"&lt;"&amp;D205,WeightedMinAge17),MAX(CapacityAge17*'01_Вводные'!$B$218*D205,MeanMinAge17)))</f>
        <v/>
      </c>
      <c r="E153" s="190">
        <f>IF(OR((E69-E97)=0,17&lt;='01_Вводные'!$B$297),0,(E69-E97)*IF('01_Вводные'!$B$239="Да",MeanMinAge17+E205*SUMIF(ThresholdAge17,"&lt;"&amp;E205,WeightedRevAge17)-SUMIF(ThresholdAge17,"&lt;"&amp;E205,WeightedMinAge17),MAX(CapacityAge17*'01_Вводные'!$B$218*E205,MeanMinAge17)))</f>
        <v/>
      </c>
      <c r="F153" s="190">
        <f>IF(OR((F69-F97)=0,17&lt;='01_Вводные'!$B$297),0,(F69-F97)*IF('01_Вводные'!$B$239="Да",MeanMinAge17+F205*SUMIF(ThresholdAge17,"&lt;"&amp;F205,WeightedRevAge17)-SUMIF(ThresholdAge17,"&lt;"&amp;F205,WeightedMinAge17),MAX(CapacityAge17*'01_Вводные'!$B$218*F205,MeanMinAge17)))</f>
        <v/>
      </c>
      <c r="G153" s="190">
        <f>IF(OR((G69-G97)=0,17&lt;='01_Вводные'!$B$297),0,(G69-G97)*IF('01_Вводные'!$B$239="Да",MeanMinAge17+G205*SUMIF(ThresholdAge17,"&lt;"&amp;G205,WeightedRevAge17)-SUMIF(ThresholdAge17,"&lt;"&amp;G205,WeightedMinAge17),MAX(CapacityAge17*'01_Вводные'!$B$218*G205,MeanMinAge17)))</f>
        <v/>
      </c>
      <c r="H153" s="190">
        <f>IF(OR((H69-H97)=0,17&lt;='01_Вводные'!$B$297),0,(H69-H97)*IF('01_Вводные'!$B$239="Да",MeanMinAge17+H205*SUMIF(ThresholdAge17,"&lt;"&amp;H205,WeightedRevAge17)-SUMIF(ThresholdAge17,"&lt;"&amp;H205,WeightedMinAge17),MAX(CapacityAge17*'01_Вводные'!$B$218*H205,MeanMinAge17)))</f>
        <v/>
      </c>
      <c r="I153" s="190">
        <f>IF(OR((I69-I97)=0,17&lt;='01_Вводные'!$B$297),0,(I69-I97)*IF('01_Вводные'!$B$239="Да",MeanMinAge17+I205*SUMIF(ThresholdAge17,"&lt;"&amp;I205,WeightedRevAge17)-SUMIF(ThresholdAge17,"&lt;"&amp;I205,WeightedMinAge17),MAX(CapacityAge17*'01_Вводные'!$B$218*I205,MeanMinAge17)))</f>
        <v/>
      </c>
      <c r="J153" s="190">
        <f>IF(OR((J69-J97)=0,17&lt;='01_Вводные'!$B$297),0,(J69-J97)*IF('01_Вводные'!$B$239="Да",MeanMinAge17+J205*SUMIF(ThresholdAge17,"&lt;"&amp;J205,WeightedRevAge17)-SUMIF(ThresholdAge17,"&lt;"&amp;J205,WeightedMinAge17),MAX(CapacityAge17*'01_Вводные'!$B$218*J205,MeanMinAge17)))</f>
        <v/>
      </c>
      <c r="K153" s="190">
        <f>IF(OR((K69-K97)=0,17&lt;='01_Вводные'!$B$297),0,(K69-K97)*IF('01_Вводные'!$B$239="Да",MeanMinAge17+K205*SUMIF(ThresholdAge17,"&lt;"&amp;K205,WeightedRevAge17)-SUMIF(ThresholdAge17,"&lt;"&amp;K205,WeightedMinAge17),MAX(CapacityAge17*'01_Вводные'!$B$218*K205,MeanMinAge17)))</f>
        <v/>
      </c>
      <c r="L153" s="190">
        <f>IF(OR((L69-L97)=0,17&lt;='01_Вводные'!$B$297),0,(L69-L97)*IF('01_Вводные'!$B$239="Да",MeanMinAge17+L205*SUMIF(ThresholdAge17,"&lt;"&amp;L205,WeightedRevAge17)-SUMIF(ThresholdAge17,"&lt;"&amp;L205,WeightedMinAge17),MAX(CapacityAge17*'01_Вводные'!$B$218*L205,MeanMinAge17)))</f>
        <v/>
      </c>
      <c r="M153" s="190">
        <f>IF(OR((M69-M97)=0,17&lt;='01_Вводные'!$B$297),0,(M69-M97)*IF('01_Вводные'!$B$239="Да",MeanMinAge17+M205*SUMIF(ThresholdAge17,"&lt;"&amp;M205,WeightedRevAge17)-SUMIF(ThresholdAge17,"&lt;"&amp;M205,WeightedMinAge17),MAX(CapacityAge17*'01_Вводные'!$B$218*M205,MeanMinAge17)))</f>
        <v/>
      </c>
      <c r="N153" s="190">
        <f>IF(OR((N69-N97)=0,17&lt;='01_Вводные'!$B$297),0,(N69-N97)*IF('01_Вводные'!$B$239="Да",MeanMinAge17+N205*SUMIF(ThresholdAge17,"&lt;"&amp;N205,WeightedRevAge17)-SUMIF(ThresholdAge17,"&lt;"&amp;N205,WeightedMinAge17),MAX(CapacityAge17*'01_Вводные'!$B$218*N205,MeanMinAge17)))</f>
        <v/>
      </c>
      <c r="O153" s="190">
        <f>IF(OR((O69-O97)=0,17&lt;='01_Вводные'!$B$297),0,(O69-O97)*IF('01_Вводные'!$B$239="Да",MeanMinAge17+O205*SUMIF(ThresholdAge17,"&lt;"&amp;O205,WeightedRevAge17)-SUMIF(ThresholdAge17,"&lt;"&amp;O205,WeightedMinAge17),MAX(CapacityAge17*'01_Вводные'!$B$218*O205,MeanMinAge17)))</f>
        <v/>
      </c>
      <c r="P153" s="190">
        <f>IF(OR((P69-P97)=0,17&lt;='01_Вводные'!$B$297),0,(P69-P97)*IF('01_Вводные'!$B$239="Да",MeanMinAge17+P205*SUMIF(ThresholdAge17,"&lt;"&amp;P205,WeightedRevAge17)-SUMIF(ThresholdAge17,"&lt;"&amp;P205,WeightedMinAge17),MAX(CapacityAge17*'01_Вводные'!$B$218*P205,MeanMinAge17)))</f>
        <v/>
      </c>
      <c r="Q153" s="190">
        <f>IF(OR((Q69-Q97)=0,17&lt;='01_Вводные'!$B$297),0,(Q69-Q97)*IF('01_Вводные'!$B$239="Да",MeanMinAge17+Q205*SUMIF(ThresholdAge17,"&lt;"&amp;Q205,WeightedRevAge17)-SUMIF(ThresholdAge17,"&lt;"&amp;Q205,WeightedMinAge17),MAX(CapacityAge17*'01_Вводные'!$B$218*Q205,MeanMinAge17)))</f>
        <v/>
      </c>
      <c r="R153" s="190">
        <f>IF(OR((R69-R97)=0,17&lt;='01_Вводные'!$B$297),0,(R69-R97)*IF('01_Вводные'!$B$239="Да",MeanMinAge17+R205*SUMIF(ThresholdAge17,"&lt;"&amp;R205,WeightedRevAge17)-SUMIF(ThresholdAge17,"&lt;"&amp;R205,WeightedMinAge17),MAX(CapacityAge17*'01_Вводные'!$B$218*R205,MeanMinAge17)))</f>
        <v/>
      </c>
      <c r="S153" s="190">
        <f>IF(OR((S69-S97)=0,17&lt;='01_Вводные'!$B$297),0,(S69-S97)*IF('01_Вводные'!$B$239="Да",MeanMinAge17+S205*SUMIF(ThresholdAge17,"&lt;"&amp;S205,WeightedRevAge17)-SUMIF(ThresholdAge17,"&lt;"&amp;S205,WeightedMinAge17),MAX(CapacityAge17*'01_Вводные'!$B$218*S205,MeanMinAge17)))</f>
        <v/>
      </c>
      <c r="T153" s="190">
        <f>IF(OR((T69-T97)=0,17&lt;='01_Вводные'!$B$297),0,(T69-T97)*IF('01_Вводные'!$B$239="Да",MeanMinAge17+T205*SUMIF(ThresholdAge17,"&lt;"&amp;T205,WeightedRevAge17)-SUMIF(ThresholdAge17,"&lt;"&amp;T205,WeightedMinAge17),MAX(CapacityAge17*'01_Вводные'!$B$218*T205,MeanMinAge17)))</f>
        <v/>
      </c>
      <c r="U153" s="190">
        <f>IF(OR((U69-U97)=0,17&lt;='01_Вводные'!$B$297),0,(U69-U97)*IF('01_Вводные'!$B$239="Да",MeanMinAge17+U205*SUMIF(ThresholdAge17,"&lt;"&amp;U205,WeightedRevAge17)-SUMIF(ThresholdAge17,"&lt;"&amp;U205,WeightedMinAge17),MAX(CapacityAge17*'01_Вводные'!$B$218*U205,MeanMinAge17)))</f>
        <v/>
      </c>
      <c r="V153" s="190">
        <f>IF(OR((V69-V97)=0,17&lt;='01_Вводные'!$B$297),0,(V69-V97)*IF('01_Вводные'!$B$239="Да",MeanMinAge17+V205*SUMIF(ThresholdAge17,"&lt;"&amp;V205,WeightedRevAge17)-SUMIF(ThresholdAge17,"&lt;"&amp;V205,WeightedMinAge17),MAX(CapacityAge17*'01_Вводные'!$B$218*V205,MeanMinAge17)))</f>
        <v/>
      </c>
      <c r="W153" s="190">
        <f>IF(OR((W69-W97)=0,17&lt;='01_Вводные'!$B$297),0,(W69-W97)*IF('01_Вводные'!$B$239="Да",MeanMinAge17+W205*SUMIF(ThresholdAge17,"&lt;"&amp;W205,WeightedRevAge17)-SUMIF(ThresholdAge17,"&lt;"&amp;W205,WeightedMinAge17),MAX(CapacityAge17*'01_Вводные'!$B$218*W205,MeanMinAge17)))</f>
        <v/>
      </c>
      <c r="X153" s="190">
        <f>IF(OR((X69-X97)=0,17&lt;='01_Вводные'!$B$297),0,(X69-X97)*IF('01_Вводные'!$B$239="Да",MeanMinAge17+X205*SUMIF(ThresholdAge17,"&lt;"&amp;X205,WeightedRevAge17)-SUMIF(ThresholdAge17,"&lt;"&amp;X205,WeightedMinAge17),MAX(CapacityAge17*'01_Вводные'!$B$218*X205,MeanMinAge17)))</f>
        <v/>
      </c>
      <c r="Y153" s="190">
        <f>IF(OR((Y69-Y97)=0,17&lt;='01_Вводные'!$B$297),0,(Y69-Y97)*IF('01_Вводные'!$B$239="Да",MeanMinAge17+Y205*SUMIF(ThresholdAge17,"&lt;"&amp;Y205,WeightedRevAge17)-SUMIF(ThresholdAge17,"&lt;"&amp;Y205,WeightedMinAge17),MAX(CapacityAge17*'01_Вводные'!$B$218*Y205,MeanMinAge17)))</f>
        <v/>
      </c>
      <c r="Z153" s="190">
        <f>IF(OR((Z69-Z97)=0,17&lt;='01_Вводные'!$B$297),0,(Z69-Z97)*IF('01_Вводные'!$B$239="Да",MeanMinAge17+Z205*SUMIF(ThresholdAge17,"&lt;"&amp;Z205,WeightedRevAge17)-SUMIF(ThresholdAge17,"&lt;"&amp;Z205,WeightedMinAge17),MAX(CapacityAge17*'01_Вводные'!$B$218*Z205,MeanMinAge17)))</f>
        <v/>
      </c>
      <c r="AA153" s="190">
        <f>IF(OR((AA69-AA97)=0,17&lt;='01_Вводные'!$B$297),0,(AA69-AA97)*IF('01_Вводные'!$B$239="Да",MeanMinAge17+AA205*SUMIF(ThresholdAge17,"&lt;"&amp;AA205,WeightedRevAge17)-SUMIF(ThresholdAge17,"&lt;"&amp;AA205,WeightedMinAge17),MAX(CapacityAge17*'01_Вводные'!$B$218*AA205,MeanMinAge17)))</f>
        <v/>
      </c>
      <c r="AB153" s="190">
        <f>IF(OR((AB69-AB97)=0,17&lt;='01_Вводные'!$B$297),0,(AB69-AB97)*IF('01_Вводные'!$B$239="Да",MeanMinAge17+AB205*SUMIF(ThresholdAge17,"&lt;"&amp;AB205,WeightedRevAge17)-SUMIF(ThresholdAge17,"&lt;"&amp;AB205,WeightedMinAge17),MAX(CapacityAge17*'01_Вводные'!$B$218*AB205,MeanMinAge17)))</f>
        <v/>
      </c>
      <c r="AC153" s="190">
        <f>IF(OR((AC69-AC97)=0,17&lt;='01_Вводные'!$B$297),0,(AC69-AC97)*IF('01_Вводные'!$B$239="Да",MeanMinAge17+AC205*SUMIF(ThresholdAge17,"&lt;"&amp;AC205,WeightedRevAge17)-SUMIF(ThresholdAge17,"&lt;"&amp;AC205,WeightedMinAge17),MAX(CapacityAge17*'01_Вводные'!$B$218*AC205,MeanMinAge17)))</f>
        <v/>
      </c>
      <c r="AD153" s="190">
        <f>IF(OR((AD69-AD97)=0,17&lt;='01_Вводные'!$B$297),0,(AD69-AD97)*IF('01_Вводные'!$B$239="Да",MeanMinAge17+AD205*SUMIF(ThresholdAge17,"&lt;"&amp;AD205,WeightedRevAge17)-SUMIF(ThresholdAge17,"&lt;"&amp;AD205,WeightedMinAge17),MAX(CapacityAge17*'01_Вводные'!$B$218*AD205,MeanMinAge17)))</f>
        <v/>
      </c>
      <c r="AE153" s="190">
        <f>IF(OR((AE69-AE97)=0,17&lt;='01_Вводные'!$B$297),0,(AE69-AE97)*IF('01_Вводные'!$B$239="Да",MeanMinAge17+AE205*SUMIF(ThresholdAge17,"&lt;"&amp;AE205,WeightedRevAge17)-SUMIF(ThresholdAge17,"&lt;"&amp;AE205,WeightedMinAge17),MAX(CapacityAge17*'01_Вводные'!$B$218*AE205,MeanMinAge17)))</f>
        <v/>
      </c>
      <c r="AF153" s="190">
        <f>IF(OR((AF69-AF97)=0,17&lt;='01_Вводные'!$B$297),0,(AF69-AF97)*IF('01_Вводные'!$B$239="Да",MeanMinAge17+AF205*SUMIF(ThresholdAge17,"&lt;"&amp;AF205,WeightedRevAge17)-SUMIF(ThresholdAge17,"&lt;"&amp;AF205,WeightedMinAge17),MAX(CapacityAge17*'01_Вводные'!$B$218*AF205,MeanMinAge17)))</f>
        <v/>
      </c>
      <c r="AG153" s="190">
        <f>IF(OR((AG69-AG97)=0,17&lt;='01_Вводные'!$B$297),0,(AG69-AG97)*IF('01_Вводные'!$B$239="Да",MeanMinAge17+AG205*SUMIF(ThresholdAge17,"&lt;"&amp;AG205,WeightedRevAge17)-SUMIF(ThresholdAge17,"&lt;"&amp;AG205,WeightedMinAge17),MAX(CapacityAge17*'01_Вводные'!$B$218*AG205,MeanMinAge17)))</f>
        <v/>
      </c>
      <c r="AH153" s="190">
        <f>IF(OR((AH69-AH97)=0,17&lt;='01_Вводные'!$B$297),0,(AH69-AH97)*IF('01_Вводные'!$B$239="Да",MeanMinAge17+AH205*SUMIF(ThresholdAge17,"&lt;"&amp;AH205,WeightedRevAge17)-SUMIF(ThresholdAge17,"&lt;"&amp;AH205,WeightedMinAge17),MAX(CapacityAge17*'01_Вводные'!$B$218*AH205,MeanMinAge17)))</f>
        <v/>
      </c>
      <c r="AI153" s="190">
        <f>IF(OR((AI69-AI97)=0,17&lt;='01_Вводные'!$B$297),0,(AI69-AI97)*IF('01_Вводные'!$B$239="Да",MeanMinAge17+AI205*SUMIF(ThresholdAge17,"&lt;"&amp;AI205,WeightedRevAge17)-SUMIF(ThresholdAge17,"&lt;"&amp;AI205,WeightedMinAge17),MAX(CapacityAge17*'01_Вводные'!$B$218*AI205,MeanMinAge17)))</f>
        <v/>
      </c>
      <c r="AJ153" s="190">
        <f>IF(OR((AJ69-AJ97)=0,17&lt;='01_Вводные'!$B$297),0,(AJ69-AJ97)*IF('01_Вводные'!$B$239="Да",MeanMinAge17+AJ205*SUMIF(ThresholdAge17,"&lt;"&amp;AJ205,WeightedRevAge17)-SUMIF(ThresholdAge17,"&lt;"&amp;AJ205,WeightedMinAge17),MAX(CapacityAge17*'01_Вводные'!$B$218*AJ205,MeanMinAge17)))</f>
        <v/>
      </c>
      <c r="AK153" s="190">
        <f>IF(OR((AK69-AK97)=0,17&lt;='01_Вводные'!$B$297),0,(AK69-AK97)*IF('01_Вводные'!$B$239="Да",MeanMinAge17+AK205*SUMIF(ThresholdAge17,"&lt;"&amp;AK205,WeightedRevAge17)-SUMIF(ThresholdAge17,"&lt;"&amp;AK205,WeightedMinAge17),MAX(CapacityAge17*'01_Вводные'!$B$218*AK205,MeanMinAge17)))</f>
        <v/>
      </c>
      <c r="AL153" s="190">
        <f>IF(OR((AL69-AL97)=0,17&lt;='01_Вводные'!$B$297),0,(AL69-AL97)*IF('01_Вводные'!$B$239="Да",MeanMinAge17+AL205*SUMIF(ThresholdAge17,"&lt;"&amp;AL205,WeightedRevAge17)-SUMIF(ThresholdAge17,"&lt;"&amp;AL205,WeightedMinAge17),MAX(CapacityAge17*'01_Вводные'!$B$218*AL205,MeanMinAge17)))</f>
        <v/>
      </c>
      <c r="AM153" s="190">
        <f>IF(OR((AM69-AM97)=0,17&lt;='01_Вводные'!$B$297),0,(AM69-AM97)*IF('01_Вводные'!$B$239="Да",MeanMinAge17+AM205*SUMIF(ThresholdAge17,"&lt;"&amp;AM205,WeightedRevAge17)-SUMIF(ThresholdAge17,"&lt;"&amp;AM205,WeightedMinAge17),MAX(CapacityAge17*'01_Вводные'!$B$218*AM205,MeanMinAge17)))</f>
        <v/>
      </c>
      <c r="AN153" s="190">
        <f>IF(OR((AN69-AN97)=0,17&lt;='01_Вводные'!$B$297),0,(AN69-AN97)*IF('01_Вводные'!$B$239="Да",MeanMinAge17+AN205*SUMIF(ThresholdAge17,"&lt;"&amp;AN205,WeightedRevAge17)-SUMIF(ThresholdAge17,"&lt;"&amp;AN205,WeightedMinAge17),MAX(CapacityAge17*'01_Вводные'!$B$218*AN205,MeanMinAge17)))</f>
        <v/>
      </c>
      <c r="AO153" s="190">
        <f>IF(OR((AO69-AO97)=0,17&lt;='01_Вводные'!$B$297),0,(AO69-AO97)*IF('01_Вводные'!$B$239="Да",MeanMinAge17+AO205*SUMIF(ThresholdAge17,"&lt;"&amp;AO205,WeightedRevAge17)-SUMIF(ThresholdAge17,"&lt;"&amp;AO205,WeightedMinAge17),MAX(CapacityAge17*'01_Вводные'!$B$218*AO205,MeanMinAge17)))</f>
        <v/>
      </c>
      <c r="AP153" s="190">
        <f>IF(OR((AP69-AP97)=0,17&lt;='01_Вводные'!$B$297),0,(AP69-AP97)*IF('01_Вводные'!$B$239="Да",MeanMinAge17+AP205*SUMIF(ThresholdAge17,"&lt;"&amp;AP205,WeightedRevAge17)-SUMIF(ThresholdAge17,"&lt;"&amp;AP205,WeightedMinAge17),MAX(CapacityAge17*'01_Вводные'!$B$218*AP205,MeanMinAge17)))</f>
        <v/>
      </c>
      <c r="AQ153" s="190">
        <f>IF(OR((AQ69-AQ97)=0,17&lt;='01_Вводные'!$B$297),0,(AQ69-AQ97)*IF('01_Вводные'!$B$239="Да",MeanMinAge17+AQ205*SUMIF(ThresholdAge17,"&lt;"&amp;AQ205,WeightedRevAge17)-SUMIF(ThresholdAge17,"&lt;"&amp;AQ205,WeightedMinAge17),MAX(CapacityAge17*'01_Вводные'!$B$218*AQ205,MeanMinAge17)))</f>
        <v/>
      </c>
      <c r="AR153" s="190">
        <f>IF(OR((AR69-AR97)=0,17&lt;='01_Вводные'!$B$297),0,(AR69-AR97)*IF('01_Вводные'!$B$239="Да",MeanMinAge17+AR205*SUMIF(ThresholdAge17,"&lt;"&amp;AR205,WeightedRevAge17)-SUMIF(ThresholdAge17,"&lt;"&amp;AR205,WeightedMinAge17),MAX(CapacityAge17*'01_Вводные'!$B$218*AR205,MeanMinAge17)))</f>
        <v/>
      </c>
      <c r="AS153" s="190">
        <f>IF(OR((AS69-AS97)=0,17&lt;='01_Вводные'!$B$297),0,(AS69-AS97)*IF('01_Вводные'!$B$239="Да",MeanMinAge17+AS205*SUMIF(ThresholdAge17,"&lt;"&amp;AS205,WeightedRevAge17)-SUMIF(ThresholdAge17,"&lt;"&amp;AS205,WeightedMinAge17),MAX(CapacityAge17*'01_Вводные'!$B$218*AS205,MeanMinAge17)))</f>
        <v/>
      </c>
      <c r="AT153" s="190">
        <f>IF(OR((AT69-AT97)=0,17&lt;='01_Вводные'!$B$297),0,(AT69-AT97)*IF('01_Вводные'!$B$239="Да",MeanMinAge17+AT205*SUMIF(ThresholdAge17,"&lt;"&amp;AT205,WeightedRevAge17)-SUMIF(ThresholdAge17,"&lt;"&amp;AT205,WeightedMinAge17),MAX(CapacityAge17*'01_Вводные'!$B$218*AT205,MeanMinAge17)))</f>
        <v/>
      </c>
      <c r="AU153" s="190">
        <f>IF(OR((AU69-AU97)=0,17&lt;='01_Вводные'!$B$297),0,(AU69-AU97)*IF('01_Вводные'!$B$239="Да",MeanMinAge17+AU205*SUMIF(ThresholdAge17,"&lt;"&amp;AU205,WeightedRevAge17)-SUMIF(ThresholdAge17,"&lt;"&amp;AU205,WeightedMinAge17),MAX(CapacityAge17*'01_Вводные'!$B$218*AU205,MeanMinAge17)))</f>
        <v/>
      </c>
      <c r="AV153" s="190">
        <f>IF(OR((AV69-AV97)=0,17&lt;='01_Вводные'!$B$297),0,(AV69-AV97)*IF('01_Вводные'!$B$239="Да",MeanMinAge17+AV205*SUMIF(ThresholdAge17,"&lt;"&amp;AV205,WeightedRevAge17)-SUMIF(ThresholdAge17,"&lt;"&amp;AV205,WeightedMinAge17),MAX(CapacityAge17*'01_Вводные'!$B$218*AV205,MeanMinAge17)))</f>
        <v/>
      </c>
      <c r="AW153" s="190">
        <f>IF(OR((AW69-AW97)=0,17&lt;='01_Вводные'!$B$297),0,(AW69-AW97)*IF('01_Вводные'!$B$239="Да",MeanMinAge17+AW205*SUMIF(ThresholdAge17,"&lt;"&amp;AW205,WeightedRevAge17)-SUMIF(ThresholdAge17,"&lt;"&amp;AW205,WeightedMinAge17),MAX(CapacityAge17*'01_Вводные'!$B$218*AW205,MeanMinAge17)))</f>
        <v/>
      </c>
      <c r="AX153" s="190">
        <f>IF(OR((AX69-AX97)=0,17&lt;='01_Вводные'!$B$297),0,(AX69-AX97)*IF('01_Вводные'!$B$239="Да",MeanMinAge17+AX205*SUMIF(ThresholdAge17,"&lt;"&amp;AX205,WeightedRevAge17)-SUMIF(ThresholdAge17,"&lt;"&amp;AX205,WeightedMinAge17),MAX(CapacityAge17*'01_Вводные'!$B$218*AX205,MeanMinAge17)))</f>
        <v/>
      </c>
      <c r="AY153" s="190">
        <f>IF(OR((AY69-AY97)=0,17&lt;='01_Вводные'!$B$297),0,(AY69-AY97)*IF('01_Вводные'!$B$239="Да",MeanMinAge17+AY205*SUMIF(ThresholdAge17,"&lt;"&amp;AY205,WeightedRevAge17)-SUMIF(ThresholdAge17,"&lt;"&amp;AY205,WeightedMinAge17),MAX(CapacityAge17*'01_Вводные'!$B$218*AY205,MeanMinAge17)))</f>
        <v/>
      </c>
      <c r="AZ153" s="190">
        <f>IF(OR((AZ69-AZ97)=0,17&lt;='01_Вводные'!$B$297),0,(AZ69-AZ97)*IF('01_Вводные'!$B$239="Да",MeanMinAge17+AZ205*SUMIF(ThresholdAge17,"&lt;"&amp;AZ205,WeightedRevAge17)-SUMIF(ThresholdAge17,"&lt;"&amp;AZ205,WeightedMinAge17),MAX(CapacityAge17*'01_Вводные'!$B$218*AZ205,MeanMinAge17)))</f>
        <v/>
      </c>
      <c r="BA153" s="190">
        <f>IF(OR((BA69-BA97)=0,17&lt;='01_Вводные'!$B$297),0,(BA69-BA97)*IF('01_Вводные'!$B$239="Да",MeanMinAge17+BA205*SUMIF(ThresholdAge17,"&lt;"&amp;BA205,WeightedRevAge17)-SUMIF(ThresholdAge17,"&lt;"&amp;BA205,WeightedMinAge17),MAX(CapacityAge17*'01_Вводные'!$B$218*BA205,MeanMinAge17)))</f>
        <v/>
      </c>
      <c r="BB153" s="190">
        <f>IF(OR((BB69-BB97)=0,17&lt;='01_Вводные'!$B$297),0,(BB69-BB97)*IF('01_Вводные'!$B$239="Да",MeanMinAge17+BB205*SUMIF(ThresholdAge17,"&lt;"&amp;BB205,WeightedRevAge17)-SUMIF(ThresholdAge17,"&lt;"&amp;BB205,WeightedMinAge17),MAX(CapacityAge17*'01_Вводные'!$B$218*BB205,MeanMinAge17)))</f>
        <v/>
      </c>
      <c r="BC153" s="190">
        <f>IF(OR((BC69-BC97)=0,17&lt;='01_Вводные'!$B$297),0,(BC69-BC97)*IF('01_Вводные'!$B$239="Да",MeanMinAge17+BC205*SUMIF(ThresholdAge17,"&lt;"&amp;BC205,WeightedRevAge17)-SUMIF(ThresholdAge17,"&lt;"&amp;BC205,WeightedMinAge17),MAX(CapacityAge17*'01_Вводные'!$B$218*BC205,MeanMinAge17)))</f>
        <v/>
      </c>
      <c r="BD153" s="190">
        <f>IF(OR((BD69-BD97)=0,17&lt;='01_Вводные'!$B$297),0,(BD69-BD97)*IF('01_Вводные'!$B$239="Да",MeanMinAge17+BD205*SUMIF(ThresholdAge17,"&lt;"&amp;BD205,WeightedRevAge17)-SUMIF(ThresholdAge17,"&lt;"&amp;BD205,WeightedMinAge17),MAX(CapacityAge17*'01_Вводные'!$B$218*BD205,MeanMinAge17)))</f>
        <v/>
      </c>
      <c r="BE153" s="190">
        <f>IF(OR((BE69-BE97)=0,17&lt;='01_Вводные'!$B$297),0,(BE69-BE97)*IF('01_Вводные'!$B$239="Да",MeanMinAge17+BE205*SUMIF(ThresholdAge17,"&lt;"&amp;BE205,WeightedRevAge17)-SUMIF(ThresholdAge17,"&lt;"&amp;BE205,WeightedMinAge17),MAX(CapacityAge17*'01_Вводные'!$B$218*BE205,MeanMinAge17)))</f>
        <v/>
      </c>
      <c r="BF153" s="190">
        <f>IF(OR((BF69-BF97)=0,17&lt;='01_Вводные'!$B$297),0,(BF69-BF97)*IF('01_Вводные'!$B$239="Да",MeanMinAge17+BF205*SUMIF(ThresholdAge17,"&lt;"&amp;BF205,WeightedRevAge17)-SUMIF(ThresholdAge17,"&lt;"&amp;BF205,WeightedMinAge17),MAX(CapacityAge17*'01_Вводные'!$B$218*BF205,MeanMinAge17)))</f>
        <v/>
      </c>
      <c r="BG153" s="190">
        <f>IF(OR((BG69-BG97)=0,17&lt;='01_Вводные'!$B$297),0,(BG69-BG97)*IF('01_Вводные'!$B$239="Да",MeanMinAge17+BG205*SUMIF(ThresholdAge17,"&lt;"&amp;BG205,WeightedRevAge17)-SUMIF(ThresholdAge17,"&lt;"&amp;BG205,WeightedMinAge17),MAX(CapacityAge17*'01_Вводные'!$B$218*BG205,MeanMinAge17)))</f>
        <v/>
      </c>
      <c r="BH153" s="190">
        <f>IF(OR((BH69-BH97)=0,17&lt;='01_Вводные'!$B$297),0,(BH69-BH97)*IF('01_Вводные'!$B$239="Да",MeanMinAge17+BH205*SUMIF(ThresholdAge17,"&lt;"&amp;BH205,WeightedRevAge17)-SUMIF(ThresholdAge17,"&lt;"&amp;BH205,WeightedMinAge17),MAX(CapacityAge17*'01_Вводные'!$B$218*BH205,MeanMinAge17)))</f>
        <v/>
      </c>
      <c r="BI153" s="190">
        <f>IF(OR((BI69-BI97)=0,17&lt;='01_Вводные'!$B$297),0,(BI69-BI97)*IF('01_Вводные'!$B$239="Да",MeanMinAge17+BI205*SUMIF(ThresholdAge17,"&lt;"&amp;BI205,WeightedRevAge17)-SUMIF(ThresholdAge17,"&lt;"&amp;BI205,WeightedMinAge17),MAX(CapacityAge17*'01_Вводные'!$B$218*BI205,MeanMinAge17)))</f>
        <v/>
      </c>
      <c r="BJ153" s="190">
        <f>IF(OR((BJ69-BJ97)=0,17&lt;='01_Вводные'!$B$297),0,(BJ69-BJ97)*IF('01_Вводные'!$B$239="Да",MeanMinAge17+BJ205*SUMIF(ThresholdAge17,"&lt;"&amp;BJ205,WeightedRevAge17)-SUMIF(ThresholdAge17,"&lt;"&amp;BJ205,WeightedMinAge17),MAX(CapacityAge17*'01_Вводные'!$B$218*BJ205,MeanMinAge17)))</f>
        <v/>
      </c>
      <c r="BK153" s="190">
        <f>IF(OR((BK69-BK97)=0,17&lt;='01_Вводные'!$B$297),0,(BK69-BK97)*IF('01_Вводные'!$B$239="Да",MeanMinAge17+BK205*SUMIF(ThresholdAge17,"&lt;"&amp;BK205,WeightedRevAge17)-SUMIF(ThresholdAge17,"&lt;"&amp;BK205,WeightedMinAge17),MAX(CapacityAge17*'01_Вводные'!$B$218*BK205,MeanMinAge17)))</f>
        <v/>
      </c>
      <c r="BL153" s="190">
        <f>IF(OR((BL69-BL97)=0,17&lt;='01_Вводные'!$B$297),0,(BL69-BL97)*IF('01_Вводные'!$B$239="Да",MeanMinAge17+BL205*SUMIF(ThresholdAge17,"&lt;"&amp;BL205,WeightedRevAge17)-SUMIF(ThresholdAge17,"&lt;"&amp;BL205,WeightedMinAge17),MAX(CapacityAge17*'01_Вводные'!$B$218*BL205,MeanMinAge17)))</f>
        <v/>
      </c>
      <c r="BM153" s="190">
        <f>IF(OR((BM69-BM97)=0,17&lt;='01_Вводные'!$B$297),0,(BM69-BM97)*IF('01_Вводные'!$B$239="Да",MeanMinAge17+BM205*SUMIF(ThresholdAge17,"&lt;"&amp;BM205,WeightedRevAge17)-SUMIF(ThresholdAge17,"&lt;"&amp;BM205,WeightedMinAge17),MAX(CapacityAge17*'01_Вводные'!$B$218*BM205,MeanMinAge17)))</f>
        <v/>
      </c>
      <c r="BN153" s="190">
        <f>IF(OR((BN69-BN97)=0,17&lt;='01_Вводные'!$B$297),0,(BN69-BN97)*IF('01_Вводные'!$B$239="Да",MeanMinAge17+BN205*SUMIF(ThresholdAge17,"&lt;"&amp;BN205,WeightedRevAge17)-SUMIF(ThresholdAge17,"&lt;"&amp;BN205,WeightedMinAge17),MAX(CapacityAge17*'01_Вводные'!$B$218*BN205,MeanMinAge17)))</f>
        <v/>
      </c>
      <c r="BO153" s="190">
        <f>IF(OR((BO69-BO97)=0,17&lt;='01_Вводные'!$B$297),0,(BO69-BO97)*IF('01_Вводные'!$B$239="Да",MeanMinAge17+BO205*SUMIF(ThresholdAge17,"&lt;"&amp;BO205,WeightedRevAge17)-SUMIF(ThresholdAge17,"&lt;"&amp;BO205,WeightedMinAge17),MAX(CapacityAge17*'01_Вводные'!$B$218*BO205,MeanMinAge17)))</f>
        <v/>
      </c>
    </row>
    <row r="154" hidden="1" outlineLevel="1">
      <c r="A154" t="inlineStr">
        <is>
          <t>18 мес.</t>
        </is>
      </c>
      <c r="B154" s="190">
        <f>IF(OR((B70-B98)=0,18&lt;='01_Вводные'!$B$297),0,(B70-B98)*IF('01_Вводные'!$B$239="Да",MeanMinAge18+B205*SUMIF(ThresholdAge18,"&lt;"&amp;B205,WeightedRevAge18)-SUMIF(ThresholdAge18,"&lt;"&amp;B205,WeightedMinAge18),MAX(CapacityAge18*'01_Вводные'!$B$218*B205,MeanMinAge18)))</f>
        <v/>
      </c>
      <c r="C154" s="190">
        <f>IF(OR((C70-C98)=0,18&lt;='01_Вводные'!$B$297),0,(C70-C98)*IF('01_Вводные'!$B$239="Да",MeanMinAge18+C205*SUMIF(ThresholdAge18,"&lt;"&amp;C205,WeightedRevAge18)-SUMIF(ThresholdAge18,"&lt;"&amp;C205,WeightedMinAge18),MAX(CapacityAge18*'01_Вводные'!$B$218*C205,MeanMinAge18)))</f>
        <v/>
      </c>
      <c r="D154" s="190">
        <f>IF(OR((D70-D98)=0,18&lt;='01_Вводные'!$B$297),0,(D70-D98)*IF('01_Вводные'!$B$239="Да",MeanMinAge18+D205*SUMIF(ThresholdAge18,"&lt;"&amp;D205,WeightedRevAge18)-SUMIF(ThresholdAge18,"&lt;"&amp;D205,WeightedMinAge18),MAX(CapacityAge18*'01_Вводные'!$B$218*D205,MeanMinAge18)))</f>
        <v/>
      </c>
      <c r="E154" s="190">
        <f>IF(OR((E70-E98)=0,18&lt;='01_Вводные'!$B$297),0,(E70-E98)*IF('01_Вводные'!$B$239="Да",MeanMinAge18+E205*SUMIF(ThresholdAge18,"&lt;"&amp;E205,WeightedRevAge18)-SUMIF(ThresholdAge18,"&lt;"&amp;E205,WeightedMinAge18),MAX(CapacityAge18*'01_Вводные'!$B$218*E205,MeanMinAge18)))</f>
        <v/>
      </c>
      <c r="F154" s="190">
        <f>IF(OR((F70-F98)=0,18&lt;='01_Вводные'!$B$297),0,(F70-F98)*IF('01_Вводные'!$B$239="Да",MeanMinAge18+F205*SUMIF(ThresholdAge18,"&lt;"&amp;F205,WeightedRevAge18)-SUMIF(ThresholdAge18,"&lt;"&amp;F205,WeightedMinAge18),MAX(CapacityAge18*'01_Вводные'!$B$218*F205,MeanMinAge18)))</f>
        <v/>
      </c>
      <c r="G154" s="190">
        <f>IF(OR((G70-G98)=0,18&lt;='01_Вводные'!$B$297),0,(G70-G98)*IF('01_Вводные'!$B$239="Да",MeanMinAge18+G205*SUMIF(ThresholdAge18,"&lt;"&amp;G205,WeightedRevAge18)-SUMIF(ThresholdAge18,"&lt;"&amp;G205,WeightedMinAge18),MAX(CapacityAge18*'01_Вводные'!$B$218*G205,MeanMinAge18)))</f>
        <v/>
      </c>
      <c r="H154" s="190">
        <f>IF(OR((H70-H98)=0,18&lt;='01_Вводные'!$B$297),0,(H70-H98)*IF('01_Вводные'!$B$239="Да",MeanMinAge18+H205*SUMIF(ThresholdAge18,"&lt;"&amp;H205,WeightedRevAge18)-SUMIF(ThresholdAge18,"&lt;"&amp;H205,WeightedMinAge18),MAX(CapacityAge18*'01_Вводные'!$B$218*H205,MeanMinAge18)))</f>
        <v/>
      </c>
      <c r="I154" s="190">
        <f>IF(OR((I70-I98)=0,18&lt;='01_Вводные'!$B$297),0,(I70-I98)*IF('01_Вводные'!$B$239="Да",MeanMinAge18+I205*SUMIF(ThresholdAge18,"&lt;"&amp;I205,WeightedRevAge18)-SUMIF(ThresholdAge18,"&lt;"&amp;I205,WeightedMinAge18),MAX(CapacityAge18*'01_Вводные'!$B$218*I205,MeanMinAge18)))</f>
        <v/>
      </c>
      <c r="J154" s="190">
        <f>IF(OR((J70-J98)=0,18&lt;='01_Вводные'!$B$297),0,(J70-J98)*IF('01_Вводные'!$B$239="Да",MeanMinAge18+J205*SUMIF(ThresholdAge18,"&lt;"&amp;J205,WeightedRevAge18)-SUMIF(ThresholdAge18,"&lt;"&amp;J205,WeightedMinAge18),MAX(CapacityAge18*'01_Вводные'!$B$218*J205,MeanMinAge18)))</f>
        <v/>
      </c>
      <c r="K154" s="190">
        <f>IF(OR((K70-K98)=0,18&lt;='01_Вводные'!$B$297),0,(K70-K98)*IF('01_Вводные'!$B$239="Да",MeanMinAge18+K205*SUMIF(ThresholdAge18,"&lt;"&amp;K205,WeightedRevAge18)-SUMIF(ThresholdAge18,"&lt;"&amp;K205,WeightedMinAge18),MAX(CapacityAge18*'01_Вводные'!$B$218*K205,MeanMinAge18)))</f>
        <v/>
      </c>
      <c r="L154" s="190">
        <f>IF(OR((L70-L98)=0,18&lt;='01_Вводные'!$B$297),0,(L70-L98)*IF('01_Вводные'!$B$239="Да",MeanMinAge18+L205*SUMIF(ThresholdAge18,"&lt;"&amp;L205,WeightedRevAge18)-SUMIF(ThresholdAge18,"&lt;"&amp;L205,WeightedMinAge18),MAX(CapacityAge18*'01_Вводные'!$B$218*L205,MeanMinAge18)))</f>
        <v/>
      </c>
      <c r="M154" s="190">
        <f>IF(OR((M70-M98)=0,18&lt;='01_Вводные'!$B$297),0,(M70-M98)*IF('01_Вводные'!$B$239="Да",MeanMinAge18+M205*SUMIF(ThresholdAge18,"&lt;"&amp;M205,WeightedRevAge18)-SUMIF(ThresholdAge18,"&lt;"&amp;M205,WeightedMinAge18),MAX(CapacityAge18*'01_Вводные'!$B$218*M205,MeanMinAge18)))</f>
        <v/>
      </c>
      <c r="N154" s="190">
        <f>IF(OR((N70-N98)=0,18&lt;='01_Вводные'!$B$297),0,(N70-N98)*IF('01_Вводные'!$B$239="Да",MeanMinAge18+N205*SUMIF(ThresholdAge18,"&lt;"&amp;N205,WeightedRevAge18)-SUMIF(ThresholdAge18,"&lt;"&amp;N205,WeightedMinAge18),MAX(CapacityAge18*'01_Вводные'!$B$218*N205,MeanMinAge18)))</f>
        <v/>
      </c>
      <c r="O154" s="190">
        <f>IF(OR((O70-O98)=0,18&lt;='01_Вводные'!$B$297),0,(O70-O98)*IF('01_Вводные'!$B$239="Да",MeanMinAge18+O205*SUMIF(ThresholdAge18,"&lt;"&amp;O205,WeightedRevAge18)-SUMIF(ThresholdAge18,"&lt;"&amp;O205,WeightedMinAge18),MAX(CapacityAge18*'01_Вводные'!$B$218*O205,MeanMinAge18)))</f>
        <v/>
      </c>
      <c r="P154" s="190">
        <f>IF(OR((P70-P98)=0,18&lt;='01_Вводные'!$B$297),0,(P70-P98)*IF('01_Вводные'!$B$239="Да",MeanMinAge18+P205*SUMIF(ThresholdAge18,"&lt;"&amp;P205,WeightedRevAge18)-SUMIF(ThresholdAge18,"&lt;"&amp;P205,WeightedMinAge18),MAX(CapacityAge18*'01_Вводные'!$B$218*P205,MeanMinAge18)))</f>
        <v/>
      </c>
      <c r="Q154" s="190">
        <f>IF(OR((Q70-Q98)=0,18&lt;='01_Вводные'!$B$297),0,(Q70-Q98)*IF('01_Вводные'!$B$239="Да",MeanMinAge18+Q205*SUMIF(ThresholdAge18,"&lt;"&amp;Q205,WeightedRevAge18)-SUMIF(ThresholdAge18,"&lt;"&amp;Q205,WeightedMinAge18),MAX(CapacityAge18*'01_Вводные'!$B$218*Q205,MeanMinAge18)))</f>
        <v/>
      </c>
      <c r="R154" s="190">
        <f>IF(OR((R70-R98)=0,18&lt;='01_Вводные'!$B$297),0,(R70-R98)*IF('01_Вводные'!$B$239="Да",MeanMinAge18+R205*SUMIF(ThresholdAge18,"&lt;"&amp;R205,WeightedRevAge18)-SUMIF(ThresholdAge18,"&lt;"&amp;R205,WeightedMinAge18),MAX(CapacityAge18*'01_Вводные'!$B$218*R205,MeanMinAge18)))</f>
        <v/>
      </c>
      <c r="S154" s="190">
        <f>IF(OR((S70-S98)=0,18&lt;='01_Вводные'!$B$297),0,(S70-S98)*IF('01_Вводные'!$B$239="Да",MeanMinAge18+S205*SUMIF(ThresholdAge18,"&lt;"&amp;S205,WeightedRevAge18)-SUMIF(ThresholdAge18,"&lt;"&amp;S205,WeightedMinAge18),MAX(CapacityAge18*'01_Вводные'!$B$218*S205,MeanMinAge18)))</f>
        <v/>
      </c>
      <c r="T154" s="190">
        <f>IF(OR((T70-T98)=0,18&lt;='01_Вводные'!$B$297),0,(T70-T98)*IF('01_Вводные'!$B$239="Да",MeanMinAge18+T205*SUMIF(ThresholdAge18,"&lt;"&amp;T205,WeightedRevAge18)-SUMIF(ThresholdAge18,"&lt;"&amp;T205,WeightedMinAge18),MAX(CapacityAge18*'01_Вводные'!$B$218*T205,MeanMinAge18)))</f>
        <v/>
      </c>
      <c r="U154" s="190">
        <f>IF(OR((U70-U98)=0,18&lt;='01_Вводные'!$B$297),0,(U70-U98)*IF('01_Вводные'!$B$239="Да",MeanMinAge18+U205*SUMIF(ThresholdAge18,"&lt;"&amp;U205,WeightedRevAge18)-SUMIF(ThresholdAge18,"&lt;"&amp;U205,WeightedMinAge18),MAX(CapacityAge18*'01_Вводные'!$B$218*U205,MeanMinAge18)))</f>
        <v/>
      </c>
      <c r="V154" s="190">
        <f>IF(OR((V70-V98)=0,18&lt;='01_Вводные'!$B$297),0,(V70-V98)*IF('01_Вводные'!$B$239="Да",MeanMinAge18+V205*SUMIF(ThresholdAge18,"&lt;"&amp;V205,WeightedRevAge18)-SUMIF(ThresholdAge18,"&lt;"&amp;V205,WeightedMinAge18),MAX(CapacityAge18*'01_Вводные'!$B$218*V205,MeanMinAge18)))</f>
        <v/>
      </c>
      <c r="W154" s="190">
        <f>IF(OR((W70-W98)=0,18&lt;='01_Вводные'!$B$297),0,(W70-W98)*IF('01_Вводные'!$B$239="Да",MeanMinAge18+W205*SUMIF(ThresholdAge18,"&lt;"&amp;W205,WeightedRevAge18)-SUMIF(ThresholdAge18,"&lt;"&amp;W205,WeightedMinAge18),MAX(CapacityAge18*'01_Вводные'!$B$218*W205,MeanMinAge18)))</f>
        <v/>
      </c>
      <c r="X154" s="190">
        <f>IF(OR((X70-X98)=0,18&lt;='01_Вводные'!$B$297),0,(X70-X98)*IF('01_Вводные'!$B$239="Да",MeanMinAge18+X205*SUMIF(ThresholdAge18,"&lt;"&amp;X205,WeightedRevAge18)-SUMIF(ThresholdAge18,"&lt;"&amp;X205,WeightedMinAge18),MAX(CapacityAge18*'01_Вводные'!$B$218*X205,MeanMinAge18)))</f>
        <v/>
      </c>
      <c r="Y154" s="190">
        <f>IF(OR((Y70-Y98)=0,18&lt;='01_Вводные'!$B$297),0,(Y70-Y98)*IF('01_Вводные'!$B$239="Да",MeanMinAge18+Y205*SUMIF(ThresholdAge18,"&lt;"&amp;Y205,WeightedRevAge18)-SUMIF(ThresholdAge18,"&lt;"&amp;Y205,WeightedMinAge18),MAX(CapacityAge18*'01_Вводные'!$B$218*Y205,MeanMinAge18)))</f>
        <v/>
      </c>
      <c r="Z154" s="190">
        <f>IF(OR((Z70-Z98)=0,18&lt;='01_Вводные'!$B$297),0,(Z70-Z98)*IF('01_Вводные'!$B$239="Да",MeanMinAge18+Z205*SUMIF(ThresholdAge18,"&lt;"&amp;Z205,WeightedRevAge18)-SUMIF(ThresholdAge18,"&lt;"&amp;Z205,WeightedMinAge18),MAX(CapacityAge18*'01_Вводные'!$B$218*Z205,MeanMinAge18)))</f>
        <v/>
      </c>
      <c r="AA154" s="190">
        <f>IF(OR((AA70-AA98)=0,18&lt;='01_Вводные'!$B$297),0,(AA70-AA98)*IF('01_Вводные'!$B$239="Да",MeanMinAge18+AA205*SUMIF(ThresholdAge18,"&lt;"&amp;AA205,WeightedRevAge18)-SUMIF(ThresholdAge18,"&lt;"&amp;AA205,WeightedMinAge18),MAX(CapacityAge18*'01_Вводные'!$B$218*AA205,MeanMinAge18)))</f>
        <v/>
      </c>
      <c r="AB154" s="190">
        <f>IF(OR((AB70-AB98)=0,18&lt;='01_Вводные'!$B$297),0,(AB70-AB98)*IF('01_Вводные'!$B$239="Да",MeanMinAge18+AB205*SUMIF(ThresholdAge18,"&lt;"&amp;AB205,WeightedRevAge18)-SUMIF(ThresholdAge18,"&lt;"&amp;AB205,WeightedMinAge18),MAX(CapacityAge18*'01_Вводные'!$B$218*AB205,MeanMinAge18)))</f>
        <v/>
      </c>
      <c r="AC154" s="190">
        <f>IF(OR((AC70-AC98)=0,18&lt;='01_Вводные'!$B$297),0,(AC70-AC98)*IF('01_Вводные'!$B$239="Да",MeanMinAge18+AC205*SUMIF(ThresholdAge18,"&lt;"&amp;AC205,WeightedRevAge18)-SUMIF(ThresholdAge18,"&lt;"&amp;AC205,WeightedMinAge18),MAX(CapacityAge18*'01_Вводные'!$B$218*AC205,MeanMinAge18)))</f>
        <v/>
      </c>
      <c r="AD154" s="190">
        <f>IF(OR((AD70-AD98)=0,18&lt;='01_Вводные'!$B$297),0,(AD70-AD98)*IF('01_Вводные'!$B$239="Да",MeanMinAge18+AD205*SUMIF(ThresholdAge18,"&lt;"&amp;AD205,WeightedRevAge18)-SUMIF(ThresholdAge18,"&lt;"&amp;AD205,WeightedMinAge18),MAX(CapacityAge18*'01_Вводные'!$B$218*AD205,MeanMinAge18)))</f>
        <v/>
      </c>
      <c r="AE154" s="190">
        <f>IF(OR((AE70-AE98)=0,18&lt;='01_Вводные'!$B$297),0,(AE70-AE98)*IF('01_Вводные'!$B$239="Да",MeanMinAge18+AE205*SUMIF(ThresholdAge18,"&lt;"&amp;AE205,WeightedRevAge18)-SUMIF(ThresholdAge18,"&lt;"&amp;AE205,WeightedMinAge18),MAX(CapacityAge18*'01_Вводные'!$B$218*AE205,MeanMinAge18)))</f>
        <v/>
      </c>
      <c r="AF154" s="190">
        <f>IF(OR((AF70-AF98)=0,18&lt;='01_Вводные'!$B$297),0,(AF70-AF98)*IF('01_Вводные'!$B$239="Да",MeanMinAge18+AF205*SUMIF(ThresholdAge18,"&lt;"&amp;AF205,WeightedRevAge18)-SUMIF(ThresholdAge18,"&lt;"&amp;AF205,WeightedMinAge18),MAX(CapacityAge18*'01_Вводные'!$B$218*AF205,MeanMinAge18)))</f>
        <v/>
      </c>
      <c r="AG154" s="190">
        <f>IF(OR((AG70-AG98)=0,18&lt;='01_Вводные'!$B$297),0,(AG70-AG98)*IF('01_Вводные'!$B$239="Да",MeanMinAge18+AG205*SUMIF(ThresholdAge18,"&lt;"&amp;AG205,WeightedRevAge18)-SUMIF(ThresholdAge18,"&lt;"&amp;AG205,WeightedMinAge18),MAX(CapacityAge18*'01_Вводные'!$B$218*AG205,MeanMinAge18)))</f>
        <v/>
      </c>
      <c r="AH154" s="190">
        <f>IF(OR((AH70-AH98)=0,18&lt;='01_Вводные'!$B$297),0,(AH70-AH98)*IF('01_Вводные'!$B$239="Да",MeanMinAge18+AH205*SUMIF(ThresholdAge18,"&lt;"&amp;AH205,WeightedRevAge18)-SUMIF(ThresholdAge18,"&lt;"&amp;AH205,WeightedMinAge18),MAX(CapacityAge18*'01_Вводные'!$B$218*AH205,MeanMinAge18)))</f>
        <v/>
      </c>
      <c r="AI154" s="190">
        <f>IF(OR((AI70-AI98)=0,18&lt;='01_Вводные'!$B$297),0,(AI70-AI98)*IF('01_Вводные'!$B$239="Да",MeanMinAge18+AI205*SUMIF(ThresholdAge18,"&lt;"&amp;AI205,WeightedRevAge18)-SUMIF(ThresholdAge18,"&lt;"&amp;AI205,WeightedMinAge18),MAX(CapacityAge18*'01_Вводные'!$B$218*AI205,MeanMinAge18)))</f>
        <v/>
      </c>
      <c r="AJ154" s="190">
        <f>IF(OR((AJ70-AJ98)=0,18&lt;='01_Вводные'!$B$297),0,(AJ70-AJ98)*IF('01_Вводные'!$B$239="Да",MeanMinAge18+AJ205*SUMIF(ThresholdAge18,"&lt;"&amp;AJ205,WeightedRevAge18)-SUMIF(ThresholdAge18,"&lt;"&amp;AJ205,WeightedMinAge18),MAX(CapacityAge18*'01_Вводные'!$B$218*AJ205,MeanMinAge18)))</f>
        <v/>
      </c>
      <c r="AK154" s="190">
        <f>IF(OR((AK70-AK98)=0,18&lt;='01_Вводные'!$B$297),0,(AK70-AK98)*IF('01_Вводные'!$B$239="Да",MeanMinAge18+AK205*SUMIF(ThresholdAge18,"&lt;"&amp;AK205,WeightedRevAge18)-SUMIF(ThresholdAge18,"&lt;"&amp;AK205,WeightedMinAge18),MAX(CapacityAge18*'01_Вводные'!$B$218*AK205,MeanMinAge18)))</f>
        <v/>
      </c>
      <c r="AL154" s="190">
        <f>IF(OR((AL70-AL98)=0,18&lt;='01_Вводные'!$B$297),0,(AL70-AL98)*IF('01_Вводные'!$B$239="Да",MeanMinAge18+AL205*SUMIF(ThresholdAge18,"&lt;"&amp;AL205,WeightedRevAge18)-SUMIF(ThresholdAge18,"&lt;"&amp;AL205,WeightedMinAge18),MAX(CapacityAge18*'01_Вводные'!$B$218*AL205,MeanMinAge18)))</f>
        <v/>
      </c>
      <c r="AM154" s="190">
        <f>IF(OR((AM70-AM98)=0,18&lt;='01_Вводные'!$B$297),0,(AM70-AM98)*IF('01_Вводные'!$B$239="Да",MeanMinAge18+AM205*SUMIF(ThresholdAge18,"&lt;"&amp;AM205,WeightedRevAge18)-SUMIF(ThresholdAge18,"&lt;"&amp;AM205,WeightedMinAge18),MAX(CapacityAge18*'01_Вводные'!$B$218*AM205,MeanMinAge18)))</f>
        <v/>
      </c>
      <c r="AN154" s="190">
        <f>IF(OR((AN70-AN98)=0,18&lt;='01_Вводные'!$B$297),0,(AN70-AN98)*IF('01_Вводные'!$B$239="Да",MeanMinAge18+AN205*SUMIF(ThresholdAge18,"&lt;"&amp;AN205,WeightedRevAge18)-SUMIF(ThresholdAge18,"&lt;"&amp;AN205,WeightedMinAge18),MAX(CapacityAge18*'01_Вводные'!$B$218*AN205,MeanMinAge18)))</f>
        <v/>
      </c>
      <c r="AO154" s="190">
        <f>IF(OR((AO70-AO98)=0,18&lt;='01_Вводные'!$B$297),0,(AO70-AO98)*IF('01_Вводные'!$B$239="Да",MeanMinAge18+AO205*SUMIF(ThresholdAge18,"&lt;"&amp;AO205,WeightedRevAge18)-SUMIF(ThresholdAge18,"&lt;"&amp;AO205,WeightedMinAge18),MAX(CapacityAge18*'01_Вводные'!$B$218*AO205,MeanMinAge18)))</f>
        <v/>
      </c>
      <c r="AP154" s="190">
        <f>IF(OR((AP70-AP98)=0,18&lt;='01_Вводные'!$B$297),0,(AP70-AP98)*IF('01_Вводные'!$B$239="Да",MeanMinAge18+AP205*SUMIF(ThresholdAge18,"&lt;"&amp;AP205,WeightedRevAge18)-SUMIF(ThresholdAge18,"&lt;"&amp;AP205,WeightedMinAge18),MAX(CapacityAge18*'01_Вводные'!$B$218*AP205,MeanMinAge18)))</f>
        <v/>
      </c>
      <c r="AQ154" s="190">
        <f>IF(OR((AQ70-AQ98)=0,18&lt;='01_Вводные'!$B$297),0,(AQ70-AQ98)*IF('01_Вводные'!$B$239="Да",MeanMinAge18+AQ205*SUMIF(ThresholdAge18,"&lt;"&amp;AQ205,WeightedRevAge18)-SUMIF(ThresholdAge18,"&lt;"&amp;AQ205,WeightedMinAge18),MAX(CapacityAge18*'01_Вводные'!$B$218*AQ205,MeanMinAge18)))</f>
        <v/>
      </c>
      <c r="AR154" s="190">
        <f>IF(OR((AR70-AR98)=0,18&lt;='01_Вводные'!$B$297),0,(AR70-AR98)*IF('01_Вводные'!$B$239="Да",MeanMinAge18+AR205*SUMIF(ThresholdAge18,"&lt;"&amp;AR205,WeightedRevAge18)-SUMIF(ThresholdAge18,"&lt;"&amp;AR205,WeightedMinAge18),MAX(CapacityAge18*'01_Вводные'!$B$218*AR205,MeanMinAge18)))</f>
        <v/>
      </c>
      <c r="AS154" s="190">
        <f>IF(OR((AS70-AS98)=0,18&lt;='01_Вводные'!$B$297),0,(AS70-AS98)*IF('01_Вводные'!$B$239="Да",MeanMinAge18+AS205*SUMIF(ThresholdAge18,"&lt;"&amp;AS205,WeightedRevAge18)-SUMIF(ThresholdAge18,"&lt;"&amp;AS205,WeightedMinAge18),MAX(CapacityAge18*'01_Вводные'!$B$218*AS205,MeanMinAge18)))</f>
        <v/>
      </c>
      <c r="AT154" s="190">
        <f>IF(OR((AT70-AT98)=0,18&lt;='01_Вводные'!$B$297),0,(AT70-AT98)*IF('01_Вводные'!$B$239="Да",MeanMinAge18+AT205*SUMIF(ThresholdAge18,"&lt;"&amp;AT205,WeightedRevAge18)-SUMIF(ThresholdAge18,"&lt;"&amp;AT205,WeightedMinAge18),MAX(CapacityAge18*'01_Вводные'!$B$218*AT205,MeanMinAge18)))</f>
        <v/>
      </c>
      <c r="AU154" s="190">
        <f>IF(OR((AU70-AU98)=0,18&lt;='01_Вводные'!$B$297),0,(AU70-AU98)*IF('01_Вводные'!$B$239="Да",MeanMinAge18+AU205*SUMIF(ThresholdAge18,"&lt;"&amp;AU205,WeightedRevAge18)-SUMIF(ThresholdAge18,"&lt;"&amp;AU205,WeightedMinAge18),MAX(CapacityAge18*'01_Вводные'!$B$218*AU205,MeanMinAge18)))</f>
        <v/>
      </c>
      <c r="AV154" s="190">
        <f>IF(OR((AV70-AV98)=0,18&lt;='01_Вводные'!$B$297),0,(AV70-AV98)*IF('01_Вводные'!$B$239="Да",MeanMinAge18+AV205*SUMIF(ThresholdAge18,"&lt;"&amp;AV205,WeightedRevAge18)-SUMIF(ThresholdAge18,"&lt;"&amp;AV205,WeightedMinAge18),MAX(CapacityAge18*'01_Вводные'!$B$218*AV205,MeanMinAge18)))</f>
        <v/>
      </c>
      <c r="AW154" s="190">
        <f>IF(OR((AW70-AW98)=0,18&lt;='01_Вводные'!$B$297),0,(AW70-AW98)*IF('01_Вводные'!$B$239="Да",MeanMinAge18+AW205*SUMIF(ThresholdAge18,"&lt;"&amp;AW205,WeightedRevAge18)-SUMIF(ThresholdAge18,"&lt;"&amp;AW205,WeightedMinAge18),MAX(CapacityAge18*'01_Вводные'!$B$218*AW205,MeanMinAge18)))</f>
        <v/>
      </c>
      <c r="AX154" s="190">
        <f>IF(OR((AX70-AX98)=0,18&lt;='01_Вводные'!$B$297),0,(AX70-AX98)*IF('01_Вводные'!$B$239="Да",MeanMinAge18+AX205*SUMIF(ThresholdAge18,"&lt;"&amp;AX205,WeightedRevAge18)-SUMIF(ThresholdAge18,"&lt;"&amp;AX205,WeightedMinAge18),MAX(CapacityAge18*'01_Вводные'!$B$218*AX205,MeanMinAge18)))</f>
        <v/>
      </c>
      <c r="AY154" s="190">
        <f>IF(OR((AY70-AY98)=0,18&lt;='01_Вводные'!$B$297),0,(AY70-AY98)*IF('01_Вводные'!$B$239="Да",MeanMinAge18+AY205*SUMIF(ThresholdAge18,"&lt;"&amp;AY205,WeightedRevAge18)-SUMIF(ThresholdAge18,"&lt;"&amp;AY205,WeightedMinAge18),MAX(CapacityAge18*'01_Вводные'!$B$218*AY205,MeanMinAge18)))</f>
        <v/>
      </c>
      <c r="AZ154" s="190">
        <f>IF(OR((AZ70-AZ98)=0,18&lt;='01_Вводные'!$B$297),0,(AZ70-AZ98)*IF('01_Вводные'!$B$239="Да",MeanMinAge18+AZ205*SUMIF(ThresholdAge18,"&lt;"&amp;AZ205,WeightedRevAge18)-SUMIF(ThresholdAge18,"&lt;"&amp;AZ205,WeightedMinAge18),MAX(CapacityAge18*'01_Вводные'!$B$218*AZ205,MeanMinAge18)))</f>
        <v/>
      </c>
      <c r="BA154" s="190">
        <f>IF(OR((BA70-BA98)=0,18&lt;='01_Вводные'!$B$297),0,(BA70-BA98)*IF('01_Вводные'!$B$239="Да",MeanMinAge18+BA205*SUMIF(ThresholdAge18,"&lt;"&amp;BA205,WeightedRevAge18)-SUMIF(ThresholdAge18,"&lt;"&amp;BA205,WeightedMinAge18),MAX(CapacityAge18*'01_Вводные'!$B$218*BA205,MeanMinAge18)))</f>
        <v/>
      </c>
      <c r="BB154" s="190">
        <f>IF(OR((BB70-BB98)=0,18&lt;='01_Вводные'!$B$297),0,(BB70-BB98)*IF('01_Вводные'!$B$239="Да",MeanMinAge18+BB205*SUMIF(ThresholdAge18,"&lt;"&amp;BB205,WeightedRevAge18)-SUMIF(ThresholdAge18,"&lt;"&amp;BB205,WeightedMinAge18),MAX(CapacityAge18*'01_Вводные'!$B$218*BB205,MeanMinAge18)))</f>
        <v/>
      </c>
      <c r="BC154" s="190">
        <f>IF(OR((BC70-BC98)=0,18&lt;='01_Вводные'!$B$297),0,(BC70-BC98)*IF('01_Вводные'!$B$239="Да",MeanMinAge18+BC205*SUMIF(ThresholdAge18,"&lt;"&amp;BC205,WeightedRevAge18)-SUMIF(ThresholdAge18,"&lt;"&amp;BC205,WeightedMinAge18),MAX(CapacityAge18*'01_Вводные'!$B$218*BC205,MeanMinAge18)))</f>
        <v/>
      </c>
      <c r="BD154" s="190">
        <f>IF(OR((BD70-BD98)=0,18&lt;='01_Вводные'!$B$297),0,(BD70-BD98)*IF('01_Вводные'!$B$239="Да",MeanMinAge18+BD205*SUMIF(ThresholdAge18,"&lt;"&amp;BD205,WeightedRevAge18)-SUMIF(ThresholdAge18,"&lt;"&amp;BD205,WeightedMinAge18),MAX(CapacityAge18*'01_Вводные'!$B$218*BD205,MeanMinAge18)))</f>
        <v/>
      </c>
      <c r="BE154" s="190">
        <f>IF(OR((BE70-BE98)=0,18&lt;='01_Вводные'!$B$297),0,(BE70-BE98)*IF('01_Вводные'!$B$239="Да",MeanMinAge18+BE205*SUMIF(ThresholdAge18,"&lt;"&amp;BE205,WeightedRevAge18)-SUMIF(ThresholdAge18,"&lt;"&amp;BE205,WeightedMinAge18),MAX(CapacityAge18*'01_Вводные'!$B$218*BE205,MeanMinAge18)))</f>
        <v/>
      </c>
      <c r="BF154" s="190">
        <f>IF(OR((BF70-BF98)=0,18&lt;='01_Вводные'!$B$297),0,(BF70-BF98)*IF('01_Вводные'!$B$239="Да",MeanMinAge18+BF205*SUMIF(ThresholdAge18,"&lt;"&amp;BF205,WeightedRevAge18)-SUMIF(ThresholdAge18,"&lt;"&amp;BF205,WeightedMinAge18),MAX(CapacityAge18*'01_Вводные'!$B$218*BF205,MeanMinAge18)))</f>
        <v/>
      </c>
      <c r="BG154" s="190">
        <f>IF(OR((BG70-BG98)=0,18&lt;='01_Вводные'!$B$297),0,(BG70-BG98)*IF('01_Вводные'!$B$239="Да",MeanMinAge18+BG205*SUMIF(ThresholdAge18,"&lt;"&amp;BG205,WeightedRevAge18)-SUMIF(ThresholdAge18,"&lt;"&amp;BG205,WeightedMinAge18),MAX(CapacityAge18*'01_Вводные'!$B$218*BG205,MeanMinAge18)))</f>
        <v/>
      </c>
      <c r="BH154" s="190">
        <f>IF(OR((BH70-BH98)=0,18&lt;='01_Вводные'!$B$297),0,(BH70-BH98)*IF('01_Вводные'!$B$239="Да",MeanMinAge18+BH205*SUMIF(ThresholdAge18,"&lt;"&amp;BH205,WeightedRevAge18)-SUMIF(ThresholdAge18,"&lt;"&amp;BH205,WeightedMinAge18),MAX(CapacityAge18*'01_Вводные'!$B$218*BH205,MeanMinAge18)))</f>
        <v/>
      </c>
      <c r="BI154" s="190">
        <f>IF(OR((BI70-BI98)=0,18&lt;='01_Вводные'!$B$297),0,(BI70-BI98)*IF('01_Вводные'!$B$239="Да",MeanMinAge18+BI205*SUMIF(ThresholdAge18,"&lt;"&amp;BI205,WeightedRevAge18)-SUMIF(ThresholdAge18,"&lt;"&amp;BI205,WeightedMinAge18),MAX(CapacityAge18*'01_Вводные'!$B$218*BI205,MeanMinAge18)))</f>
        <v/>
      </c>
      <c r="BJ154" s="190">
        <f>IF(OR((BJ70-BJ98)=0,18&lt;='01_Вводные'!$B$297),0,(BJ70-BJ98)*IF('01_Вводные'!$B$239="Да",MeanMinAge18+BJ205*SUMIF(ThresholdAge18,"&lt;"&amp;BJ205,WeightedRevAge18)-SUMIF(ThresholdAge18,"&lt;"&amp;BJ205,WeightedMinAge18),MAX(CapacityAge18*'01_Вводные'!$B$218*BJ205,MeanMinAge18)))</f>
        <v/>
      </c>
      <c r="BK154" s="190">
        <f>IF(OR((BK70-BK98)=0,18&lt;='01_Вводные'!$B$297),0,(BK70-BK98)*IF('01_Вводные'!$B$239="Да",MeanMinAge18+BK205*SUMIF(ThresholdAge18,"&lt;"&amp;BK205,WeightedRevAge18)-SUMIF(ThresholdAge18,"&lt;"&amp;BK205,WeightedMinAge18),MAX(CapacityAge18*'01_Вводные'!$B$218*BK205,MeanMinAge18)))</f>
        <v/>
      </c>
      <c r="BL154" s="190">
        <f>IF(OR((BL70-BL98)=0,18&lt;='01_Вводные'!$B$297),0,(BL70-BL98)*IF('01_Вводные'!$B$239="Да",MeanMinAge18+BL205*SUMIF(ThresholdAge18,"&lt;"&amp;BL205,WeightedRevAge18)-SUMIF(ThresholdAge18,"&lt;"&amp;BL205,WeightedMinAge18),MAX(CapacityAge18*'01_Вводные'!$B$218*BL205,MeanMinAge18)))</f>
        <v/>
      </c>
      <c r="BM154" s="190">
        <f>IF(OR((BM70-BM98)=0,18&lt;='01_Вводные'!$B$297),0,(BM70-BM98)*IF('01_Вводные'!$B$239="Да",MeanMinAge18+BM205*SUMIF(ThresholdAge18,"&lt;"&amp;BM205,WeightedRevAge18)-SUMIF(ThresholdAge18,"&lt;"&amp;BM205,WeightedMinAge18),MAX(CapacityAge18*'01_Вводные'!$B$218*BM205,MeanMinAge18)))</f>
        <v/>
      </c>
      <c r="BN154" s="190">
        <f>IF(OR((BN70-BN98)=0,18&lt;='01_Вводные'!$B$297),0,(BN70-BN98)*IF('01_Вводные'!$B$239="Да",MeanMinAge18+BN205*SUMIF(ThresholdAge18,"&lt;"&amp;BN205,WeightedRevAge18)-SUMIF(ThresholdAge18,"&lt;"&amp;BN205,WeightedMinAge18),MAX(CapacityAge18*'01_Вводные'!$B$218*BN205,MeanMinAge18)))</f>
        <v/>
      </c>
      <c r="BO154" s="190">
        <f>IF(OR((BO70-BO98)=0,18&lt;='01_Вводные'!$B$297),0,(BO70-BO98)*IF('01_Вводные'!$B$239="Да",MeanMinAge18+BO205*SUMIF(ThresholdAge18,"&lt;"&amp;BO205,WeightedRevAge18)-SUMIF(ThresholdAge18,"&lt;"&amp;BO205,WeightedMinAge18),MAX(CapacityAge18*'01_Вводные'!$B$218*BO205,MeanMinAge18)))</f>
        <v/>
      </c>
    </row>
    <row r="155" hidden="1" outlineLevel="1">
      <c r="A155" t="inlineStr">
        <is>
          <t>19 мес.</t>
        </is>
      </c>
      <c r="B155" s="190">
        <f>IF(OR((B71-B99)=0,19&lt;='01_Вводные'!$B$297),0,(B71-B99)*IF('01_Вводные'!$B$239="Да",MeanMinAge19+B205*SUMIF(ThresholdAge19,"&lt;"&amp;B205,WeightedRevAge19)-SUMIF(ThresholdAge19,"&lt;"&amp;B205,WeightedMinAge19),MAX(CapacityAge19*'01_Вводные'!$B$218*B205,MeanMinAge19)))</f>
        <v/>
      </c>
      <c r="C155" s="190">
        <f>IF(OR((C71-C99)=0,19&lt;='01_Вводные'!$B$297),0,(C71-C99)*IF('01_Вводные'!$B$239="Да",MeanMinAge19+C205*SUMIF(ThresholdAge19,"&lt;"&amp;C205,WeightedRevAge19)-SUMIF(ThresholdAge19,"&lt;"&amp;C205,WeightedMinAge19),MAX(CapacityAge19*'01_Вводные'!$B$218*C205,MeanMinAge19)))</f>
        <v/>
      </c>
      <c r="D155" s="190">
        <f>IF(OR((D71-D99)=0,19&lt;='01_Вводные'!$B$297),0,(D71-D99)*IF('01_Вводные'!$B$239="Да",MeanMinAge19+D205*SUMIF(ThresholdAge19,"&lt;"&amp;D205,WeightedRevAge19)-SUMIF(ThresholdAge19,"&lt;"&amp;D205,WeightedMinAge19),MAX(CapacityAge19*'01_Вводные'!$B$218*D205,MeanMinAge19)))</f>
        <v/>
      </c>
      <c r="E155" s="190">
        <f>IF(OR((E71-E99)=0,19&lt;='01_Вводные'!$B$297),0,(E71-E99)*IF('01_Вводные'!$B$239="Да",MeanMinAge19+E205*SUMIF(ThresholdAge19,"&lt;"&amp;E205,WeightedRevAge19)-SUMIF(ThresholdAge19,"&lt;"&amp;E205,WeightedMinAge19),MAX(CapacityAge19*'01_Вводные'!$B$218*E205,MeanMinAge19)))</f>
        <v/>
      </c>
      <c r="F155" s="190">
        <f>IF(OR((F71-F99)=0,19&lt;='01_Вводные'!$B$297),0,(F71-F99)*IF('01_Вводные'!$B$239="Да",MeanMinAge19+F205*SUMIF(ThresholdAge19,"&lt;"&amp;F205,WeightedRevAge19)-SUMIF(ThresholdAge19,"&lt;"&amp;F205,WeightedMinAge19),MAX(CapacityAge19*'01_Вводные'!$B$218*F205,MeanMinAge19)))</f>
        <v/>
      </c>
      <c r="G155" s="190">
        <f>IF(OR((G71-G99)=0,19&lt;='01_Вводные'!$B$297),0,(G71-G99)*IF('01_Вводные'!$B$239="Да",MeanMinAge19+G205*SUMIF(ThresholdAge19,"&lt;"&amp;G205,WeightedRevAge19)-SUMIF(ThresholdAge19,"&lt;"&amp;G205,WeightedMinAge19),MAX(CapacityAge19*'01_Вводные'!$B$218*G205,MeanMinAge19)))</f>
        <v/>
      </c>
      <c r="H155" s="190">
        <f>IF(OR((H71-H99)=0,19&lt;='01_Вводные'!$B$297),0,(H71-H99)*IF('01_Вводные'!$B$239="Да",MeanMinAge19+H205*SUMIF(ThresholdAge19,"&lt;"&amp;H205,WeightedRevAge19)-SUMIF(ThresholdAge19,"&lt;"&amp;H205,WeightedMinAge19),MAX(CapacityAge19*'01_Вводные'!$B$218*H205,MeanMinAge19)))</f>
        <v/>
      </c>
      <c r="I155" s="190">
        <f>IF(OR((I71-I99)=0,19&lt;='01_Вводные'!$B$297),0,(I71-I99)*IF('01_Вводные'!$B$239="Да",MeanMinAge19+I205*SUMIF(ThresholdAge19,"&lt;"&amp;I205,WeightedRevAge19)-SUMIF(ThresholdAge19,"&lt;"&amp;I205,WeightedMinAge19),MAX(CapacityAge19*'01_Вводные'!$B$218*I205,MeanMinAge19)))</f>
        <v/>
      </c>
      <c r="J155" s="190">
        <f>IF(OR((J71-J99)=0,19&lt;='01_Вводные'!$B$297),0,(J71-J99)*IF('01_Вводные'!$B$239="Да",MeanMinAge19+J205*SUMIF(ThresholdAge19,"&lt;"&amp;J205,WeightedRevAge19)-SUMIF(ThresholdAge19,"&lt;"&amp;J205,WeightedMinAge19),MAX(CapacityAge19*'01_Вводные'!$B$218*J205,MeanMinAge19)))</f>
        <v/>
      </c>
      <c r="K155" s="190">
        <f>IF(OR((K71-K99)=0,19&lt;='01_Вводные'!$B$297),0,(K71-K99)*IF('01_Вводные'!$B$239="Да",MeanMinAge19+K205*SUMIF(ThresholdAge19,"&lt;"&amp;K205,WeightedRevAge19)-SUMIF(ThresholdAge19,"&lt;"&amp;K205,WeightedMinAge19),MAX(CapacityAge19*'01_Вводные'!$B$218*K205,MeanMinAge19)))</f>
        <v/>
      </c>
      <c r="L155" s="190">
        <f>IF(OR((L71-L99)=0,19&lt;='01_Вводные'!$B$297),0,(L71-L99)*IF('01_Вводные'!$B$239="Да",MeanMinAge19+L205*SUMIF(ThresholdAge19,"&lt;"&amp;L205,WeightedRevAge19)-SUMIF(ThresholdAge19,"&lt;"&amp;L205,WeightedMinAge19),MAX(CapacityAge19*'01_Вводные'!$B$218*L205,MeanMinAge19)))</f>
        <v/>
      </c>
      <c r="M155" s="190">
        <f>IF(OR((M71-M99)=0,19&lt;='01_Вводные'!$B$297),0,(M71-M99)*IF('01_Вводные'!$B$239="Да",MeanMinAge19+M205*SUMIF(ThresholdAge19,"&lt;"&amp;M205,WeightedRevAge19)-SUMIF(ThresholdAge19,"&lt;"&amp;M205,WeightedMinAge19),MAX(CapacityAge19*'01_Вводные'!$B$218*M205,MeanMinAge19)))</f>
        <v/>
      </c>
      <c r="N155" s="190">
        <f>IF(OR((N71-N99)=0,19&lt;='01_Вводные'!$B$297),0,(N71-N99)*IF('01_Вводные'!$B$239="Да",MeanMinAge19+N205*SUMIF(ThresholdAge19,"&lt;"&amp;N205,WeightedRevAge19)-SUMIF(ThresholdAge19,"&lt;"&amp;N205,WeightedMinAge19),MAX(CapacityAge19*'01_Вводные'!$B$218*N205,MeanMinAge19)))</f>
        <v/>
      </c>
      <c r="O155" s="190">
        <f>IF(OR((O71-O99)=0,19&lt;='01_Вводные'!$B$297),0,(O71-O99)*IF('01_Вводные'!$B$239="Да",MeanMinAge19+O205*SUMIF(ThresholdAge19,"&lt;"&amp;O205,WeightedRevAge19)-SUMIF(ThresholdAge19,"&lt;"&amp;O205,WeightedMinAge19),MAX(CapacityAge19*'01_Вводные'!$B$218*O205,MeanMinAge19)))</f>
        <v/>
      </c>
      <c r="P155" s="190">
        <f>IF(OR((P71-P99)=0,19&lt;='01_Вводные'!$B$297),0,(P71-P99)*IF('01_Вводные'!$B$239="Да",MeanMinAge19+P205*SUMIF(ThresholdAge19,"&lt;"&amp;P205,WeightedRevAge19)-SUMIF(ThresholdAge19,"&lt;"&amp;P205,WeightedMinAge19),MAX(CapacityAge19*'01_Вводные'!$B$218*P205,MeanMinAge19)))</f>
        <v/>
      </c>
      <c r="Q155" s="190">
        <f>IF(OR((Q71-Q99)=0,19&lt;='01_Вводные'!$B$297),0,(Q71-Q99)*IF('01_Вводные'!$B$239="Да",MeanMinAge19+Q205*SUMIF(ThresholdAge19,"&lt;"&amp;Q205,WeightedRevAge19)-SUMIF(ThresholdAge19,"&lt;"&amp;Q205,WeightedMinAge19),MAX(CapacityAge19*'01_Вводные'!$B$218*Q205,MeanMinAge19)))</f>
        <v/>
      </c>
      <c r="R155" s="190">
        <f>IF(OR((R71-R99)=0,19&lt;='01_Вводные'!$B$297),0,(R71-R99)*IF('01_Вводные'!$B$239="Да",MeanMinAge19+R205*SUMIF(ThresholdAge19,"&lt;"&amp;R205,WeightedRevAge19)-SUMIF(ThresholdAge19,"&lt;"&amp;R205,WeightedMinAge19),MAX(CapacityAge19*'01_Вводные'!$B$218*R205,MeanMinAge19)))</f>
        <v/>
      </c>
      <c r="S155" s="190">
        <f>IF(OR((S71-S99)=0,19&lt;='01_Вводные'!$B$297),0,(S71-S99)*IF('01_Вводные'!$B$239="Да",MeanMinAge19+S205*SUMIF(ThresholdAge19,"&lt;"&amp;S205,WeightedRevAge19)-SUMIF(ThresholdAge19,"&lt;"&amp;S205,WeightedMinAge19),MAX(CapacityAge19*'01_Вводные'!$B$218*S205,MeanMinAge19)))</f>
        <v/>
      </c>
      <c r="T155" s="190">
        <f>IF(OR((T71-T99)=0,19&lt;='01_Вводные'!$B$297),0,(T71-T99)*IF('01_Вводные'!$B$239="Да",MeanMinAge19+T205*SUMIF(ThresholdAge19,"&lt;"&amp;T205,WeightedRevAge19)-SUMIF(ThresholdAge19,"&lt;"&amp;T205,WeightedMinAge19),MAX(CapacityAge19*'01_Вводные'!$B$218*T205,MeanMinAge19)))</f>
        <v/>
      </c>
      <c r="U155" s="190">
        <f>IF(OR((U71-U99)=0,19&lt;='01_Вводные'!$B$297),0,(U71-U99)*IF('01_Вводные'!$B$239="Да",MeanMinAge19+U205*SUMIF(ThresholdAge19,"&lt;"&amp;U205,WeightedRevAge19)-SUMIF(ThresholdAge19,"&lt;"&amp;U205,WeightedMinAge19),MAX(CapacityAge19*'01_Вводные'!$B$218*U205,MeanMinAge19)))</f>
        <v/>
      </c>
      <c r="V155" s="190">
        <f>IF(OR((V71-V99)=0,19&lt;='01_Вводные'!$B$297),0,(V71-V99)*IF('01_Вводные'!$B$239="Да",MeanMinAge19+V205*SUMIF(ThresholdAge19,"&lt;"&amp;V205,WeightedRevAge19)-SUMIF(ThresholdAge19,"&lt;"&amp;V205,WeightedMinAge19),MAX(CapacityAge19*'01_Вводные'!$B$218*V205,MeanMinAge19)))</f>
        <v/>
      </c>
      <c r="W155" s="190">
        <f>IF(OR((W71-W99)=0,19&lt;='01_Вводные'!$B$297),0,(W71-W99)*IF('01_Вводные'!$B$239="Да",MeanMinAge19+W205*SUMIF(ThresholdAge19,"&lt;"&amp;W205,WeightedRevAge19)-SUMIF(ThresholdAge19,"&lt;"&amp;W205,WeightedMinAge19),MAX(CapacityAge19*'01_Вводные'!$B$218*W205,MeanMinAge19)))</f>
        <v/>
      </c>
      <c r="X155" s="190">
        <f>IF(OR((X71-X99)=0,19&lt;='01_Вводные'!$B$297),0,(X71-X99)*IF('01_Вводные'!$B$239="Да",MeanMinAge19+X205*SUMIF(ThresholdAge19,"&lt;"&amp;X205,WeightedRevAge19)-SUMIF(ThresholdAge19,"&lt;"&amp;X205,WeightedMinAge19),MAX(CapacityAge19*'01_Вводные'!$B$218*X205,MeanMinAge19)))</f>
        <v/>
      </c>
      <c r="Y155" s="190">
        <f>IF(OR((Y71-Y99)=0,19&lt;='01_Вводные'!$B$297),0,(Y71-Y99)*IF('01_Вводные'!$B$239="Да",MeanMinAge19+Y205*SUMIF(ThresholdAge19,"&lt;"&amp;Y205,WeightedRevAge19)-SUMIF(ThresholdAge19,"&lt;"&amp;Y205,WeightedMinAge19),MAX(CapacityAge19*'01_Вводные'!$B$218*Y205,MeanMinAge19)))</f>
        <v/>
      </c>
      <c r="Z155" s="190">
        <f>IF(OR((Z71-Z99)=0,19&lt;='01_Вводные'!$B$297),0,(Z71-Z99)*IF('01_Вводные'!$B$239="Да",MeanMinAge19+Z205*SUMIF(ThresholdAge19,"&lt;"&amp;Z205,WeightedRevAge19)-SUMIF(ThresholdAge19,"&lt;"&amp;Z205,WeightedMinAge19),MAX(CapacityAge19*'01_Вводные'!$B$218*Z205,MeanMinAge19)))</f>
        <v/>
      </c>
      <c r="AA155" s="190">
        <f>IF(OR((AA71-AA99)=0,19&lt;='01_Вводные'!$B$297),0,(AA71-AA99)*IF('01_Вводные'!$B$239="Да",MeanMinAge19+AA205*SUMIF(ThresholdAge19,"&lt;"&amp;AA205,WeightedRevAge19)-SUMIF(ThresholdAge19,"&lt;"&amp;AA205,WeightedMinAge19),MAX(CapacityAge19*'01_Вводные'!$B$218*AA205,MeanMinAge19)))</f>
        <v/>
      </c>
      <c r="AB155" s="190">
        <f>IF(OR((AB71-AB99)=0,19&lt;='01_Вводные'!$B$297),0,(AB71-AB99)*IF('01_Вводные'!$B$239="Да",MeanMinAge19+AB205*SUMIF(ThresholdAge19,"&lt;"&amp;AB205,WeightedRevAge19)-SUMIF(ThresholdAge19,"&lt;"&amp;AB205,WeightedMinAge19),MAX(CapacityAge19*'01_Вводные'!$B$218*AB205,MeanMinAge19)))</f>
        <v/>
      </c>
      <c r="AC155" s="190">
        <f>IF(OR((AC71-AC99)=0,19&lt;='01_Вводные'!$B$297),0,(AC71-AC99)*IF('01_Вводные'!$B$239="Да",MeanMinAge19+AC205*SUMIF(ThresholdAge19,"&lt;"&amp;AC205,WeightedRevAge19)-SUMIF(ThresholdAge19,"&lt;"&amp;AC205,WeightedMinAge19),MAX(CapacityAge19*'01_Вводные'!$B$218*AC205,MeanMinAge19)))</f>
        <v/>
      </c>
      <c r="AD155" s="190">
        <f>IF(OR((AD71-AD99)=0,19&lt;='01_Вводные'!$B$297),0,(AD71-AD99)*IF('01_Вводные'!$B$239="Да",MeanMinAge19+AD205*SUMIF(ThresholdAge19,"&lt;"&amp;AD205,WeightedRevAge19)-SUMIF(ThresholdAge19,"&lt;"&amp;AD205,WeightedMinAge19),MAX(CapacityAge19*'01_Вводные'!$B$218*AD205,MeanMinAge19)))</f>
        <v/>
      </c>
      <c r="AE155" s="190">
        <f>IF(OR((AE71-AE99)=0,19&lt;='01_Вводные'!$B$297),0,(AE71-AE99)*IF('01_Вводные'!$B$239="Да",MeanMinAge19+AE205*SUMIF(ThresholdAge19,"&lt;"&amp;AE205,WeightedRevAge19)-SUMIF(ThresholdAge19,"&lt;"&amp;AE205,WeightedMinAge19),MAX(CapacityAge19*'01_Вводные'!$B$218*AE205,MeanMinAge19)))</f>
        <v/>
      </c>
      <c r="AF155" s="190">
        <f>IF(OR((AF71-AF99)=0,19&lt;='01_Вводные'!$B$297),0,(AF71-AF99)*IF('01_Вводные'!$B$239="Да",MeanMinAge19+AF205*SUMIF(ThresholdAge19,"&lt;"&amp;AF205,WeightedRevAge19)-SUMIF(ThresholdAge19,"&lt;"&amp;AF205,WeightedMinAge19),MAX(CapacityAge19*'01_Вводные'!$B$218*AF205,MeanMinAge19)))</f>
        <v/>
      </c>
      <c r="AG155" s="190">
        <f>IF(OR((AG71-AG99)=0,19&lt;='01_Вводные'!$B$297),0,(AG71-AG99)*IF('01_Вводные'!$B$239="Да",MeanMinAge19+AG205*SUMIF(ThresholdAge19,"&lt;"&amp;AG205,WeightedRevAge19)-SUMIF(ThresholdAge19,"&lt;"&amp;AG205,WeightedMinAge19),MAX(CapacityAge19*'01_Вводные'!$B$218*AG205,MeanMinAge19)))</f>
        <v/>
      </c>
      <c r="AH155" s="190">
        <f>IF(OR((AH71-AH99)=0,19&lt;='01_Вводные'!$B$297),0,(AH71-AH99)*IF('01_Вводные'!$B$239="Да",MeanMinAge19+AH205*SUMIF(ThresholdAge19,"&lt;"&amp;AH205,WeightedRevAge19)-SUMIF(ThresholdAge19,"&lt;"&amp;AH205,WeightedMinAge19),MAX(CapacityAge19*'01_Вводные'!$B$218*AH205,MeanMinAge19)))</f>
        <v/>
      </c>
      <c r="AI155" s="190">
        <f>IF(OR((AI71-AI99)=0,19&lt;='01_Вводные'!$B$297),0,(AI71-AI99)*IF('01_Вводные'!$B$239="Да",MeanMinAge19+AI205*SUMIF(ThresholdAge19,"&lt;"&amp;AI205,WeightedRevAge19)-SUMIF(ThresholdAge19,"&lt;"&amp;AI205,WeightedMinAge19),MAX(CapacityAge19*'01_Вводные'!$B$218*AI205,MeanMinAge19)))</f>
        <v/>
      </c>
      <c r="AJ155" s="190">
        <f>IF(OR((AJ71-AJ99)=0,19&lt;='01_Вводные'!$B$297),0,(AJ71-AJ99)*IF('01_Вводные'!$B$239="Да",MeanMinAge19+AJ205*SUMIF(ThresholdAge19,"&lt;"&amp;AJ205,WeightedRevAge19)-SUMIF(ThresholdAge19,"&lt;"&amp;AJ205,WeightedMinAge19),MAX(CapacityAge19*'01_Вводные'!$B$218*AJ205,MeanMinAge19)))</f>
        <v/>
      </c>
      <c r="AK155" s="190">
        <f>IF(OR((AK71-AK99)=0,19&lt;='01_Вводные'!$B$297),0,(AK71-AK99)*IF('01_Вводные'!$B$239="Да",MeanMinAge19+AK205*SUMIF(ThresholdAge19,"&lt;"&amp;AK205,WeightedRevAge19)-SUMIF(ThresholdAge19,"&lt;"&amp;AK205,WeightedMinAge19),MAX(CapacityAge19*'01_Вводные'!$B$218*AK205,MeanMinAge19)))</f>
        <v/>
      </c>
      <c r="AL155" s="190">
        <f>IF(OR((AL71-AL99)=0,19&lt;='01_Вводные'!$B$297),0,(AL71-AL99)*IF('01_Вводные'!$B$239="Да",MeanMinAge19+AL205*SUMIF(ThresholdAge19,"&lt;"&amp;AL205,WeightedRevAge19)-SUMIF(ThresholdAge19,"&lt;"&amp;AL205,WeightedMinAge19),MAX(CapacityAge19*'01_Вводные'!$B$218*AL205,MeanMinAge19)))</f>
        <v/>
      </c>
      <c r="AM155" s="190">
        <f>IF(OR((AM71-AM99)=0,19&lt;='01_Вводные'!$B$297),0,(AM71-AM99)*IF('01_Вводные'!$B$239="Да",MeanMinAge19+AM205*SUMIF(ThresholdAge19,"&lt;"&amp;AM205,WeightedRevAge19)-SUMIF(ThresholdAge19,"&lt;"&amp;AM205,WeightedMinAge19),MAX(CapacityAge19*'01_Вводные'!$B$218*AM205,MeanMinAge19)))</f>
        <v/>
      </c>
      <c r="AN155" s="190">
        <f>IF(OR((AN71-AN99)=0,19&lt;='01_Вводные'!$B$297),0,(AN71-AN99)*IF('01_Вводные'!$B$239="Да",MeanMinAge19+AN205*SUMIF(ThresholdAge19,"&lt;"&amp;AN205,WeightedRevAge19)-SUMIF(ThresholdAge19,"&lt;"&amp;AN205,WeightedMinAge19),MAX(CapacityAge19*'01_Вводные'!$B$218*AN205,MeanMinAge19)))</f>
        <v/>
      </c>
      <c r="AO155" s="190">
        <f>IF(OR((AO71-AO99)=0,19&lt;='01_Вводные'!$B$297),0,(AO71-AO99)*IF('01_Вводные'!$B$239="Да",MeanMinAge19+AO205*SUMIF(ThresholdAge19,"&lt;"&amp;AO205,WeightedRevAge19)-SUMIF(ThresholdAge19,"&lt;"&amp;AO205,WeightedMinAge19),MAX(CapacityAge19*'01_Вводные'!$B$218*AO205,MeanMinAge19)))</f>
        <v/>
      </c>
      <c r="AP155" s="190">
        <f>IF(OR((AP71-AP99)=0,19&lt;='01_Вводные'!$B$297),0,(AP71-AP99)*IF('01_Вводные'!$B$239="Да",MeanMinAge19+AP205*SUMIF(ThresholdAge19,"&lt;"&amp;AP205,WeightedRevAge19)-SUMIF(ThresholdAge19,"&lt;"&amp;AP205,WeightedMinAge19),MAX(CapacityAge19*'01_Вводные'!$B$218*AP205,MeanMinAge19)))</f>
        <v/>
      </c>
      <c r="AQ155" s="190">
        <f>IF(OR((AQ71-AQ99)=0,19&lt;='01_Вводные'!$B$297),0,(AQ71-AQ99)*IF('01_Вводные'!$B$239="Да",MeanMinAge19+AQ205*SUMIF(ThresholdAge19,"&lt;"&amp;AQ205,WeightedRevAge19)-SUMIF(ThresholdAge19,"&lt;"&amp;AQ205,WeightedMinAge19),MAX(CapacityAge19*'01_Вводные'!$B$218*AQ205,MeanMinAge19)))</f>
        <v/>
      </c>
      <c r="AR155" s="190">
        <f>IF(OR((AR71-AR99)=0,19&lt;='01_Вводные'!$B$297),0,(AR71-AR99)*IF('01_Вводные'!$B$239="Да",MeanMinAge19+AR205*SUMIF(ThresholdAge19,"&lt;"&amp;AR205,WeightedRevAge19)-SUMIF(ThresholdAge19,"&lt;"&amp;AR205,WeightedMinAge19),MAX(CapacityAge19*'01_Вводные'!$B$218*AR205,MeanMinAge19)))</f>
        <v/>
      </c>
      <c r="AS155" s="190">
        <f>IF(OR((AS71-AS99)=0,19&lt;='01_Вводные'!$B$297),0,(AS71-AS99)*IF('01_Вводные'!$B$239="Да",MeanMinAge19+AS205*SUMIF(ThresholdAge19,"&lt;"&amp;AS205,WeightedRevAge19)-SUMIF(ThresholdAge19,"&lt;"&amp;AS205,WeightedMinAge19),MAX(CapacityAge19*'01_Вводные'!$B$218*AS205,MeanMinAge19)))</f>
        <v/>
      </c>
      <c r="AT155" s="190">
        <f>IF(OR((AT71-AT99)=0,19&lt;='01_Вводные'!$B$297),0,(AT71-AT99)*IF('01_Вводные'!$B$239="Да",MeanMinAge19+AT205*SUMIF(ThresholdAge19,"&lt;"&amp;AT205,WeightedRevAge19)-SUMIF(ThresholdAge19,"&lt;"&amp;AT205,WeightedMinAge19),MAX(CapacityAge19*'01_Вводные'!$B$218*AT205,MeanMinAge19)))</f>
        <v/>
      </c>
      <c r="AU155" s="190">
        <f>IF(OR((AU71-AU99)=0,19&lt;='01_Вводные'!$B$297),0,(AU71-AU99)*IF('01_Вводные'!$B$239="Да",MeanMinAge19+AU205*SUMIF(ThresholdAge19,"&lt;"&amp;AU205,WeightedRevAge19)-SUMIF(ThresholdAge19,"&lt;"&amp;AU205,WeightedMinAge19),MAX(CapacityAge19*'01_Вводные'!$B$218*AU205,MeanMinAge19)))</f>
        <v/>
      </c>
      <c r="AV155" s="190">
        <f>IF(OR((AV71-AV99)=0,19&lt;='01_Вводные'!$B$297),0,(AV71-AV99)*IF('01_Вводные'!$B$239="Да",MeanMinAge19+AV205*SUMIF(ThresholdAge19,"&lt;"&amp;AV205,WeightedRevAge19)-SUMIF(ThresholdAge19,"&lt;"&amp;AV205,WeightedMinAge19),MAX(CapacityAge19*'01_Вводные'!$B$218*AV205,MeanMinAge19)))</f>
        <v/>
      </c>
      <c r="AW155" s="190">
        <f>IF(OR((AW71-AW99)=0,19&lt;='01_Вводные'!$B$297),0,(AW71-AW99)*IF('01_Вводные'!$B$239="Да",MeanMinAge19+AW205*SUMIF(ThresholdAge19,"&lt;"&amp;AW205,WeightedRevAge19)-SUMIF(ThresholdAge19,"&lt;"&amp;AW205,WeightedMinAge19),MAX(CapacityAge19*'01_Вводные'!$B$218*AW205,MeanMinAge19)))</f>
        <v/>
      </c>
      <c r="AX155" s="190">
        <f>IF(OR((AX71-AX99)=0,19&lt;='01_Вводные'!$B$297),0,(AX71-AX99)*IF('01_Вводные'!$B$239="Да",MeanMinAge19+AX205*SUMIF(ThresholdAge19,"&lt;"&amp;AX205,WeightedRevAge19)-SUMIF(ThresholdAge19,"&lt;"&amp;AX205,WeightedMinAge19),MAX(CapacityAge19*'01_Вводные'!$B$218*AX205,MeanMinAge19)))</f>
        <v/>
      </c>
      <c r="AY155" s="190">
        <f>IF(OR((AY71-AY99)=0,19&lt;='01_Вводные'!$B$297),0,(AY71-AY99)*IF('01_Вводные'!$B$239="Да",MeanMinAge19+AY205*SUMIF(ThresholdAge19,"&lt;"&amp;AY205,WeightedRevAge19)-SUMIF(ThresholdAge19,"&lt;"&amp;AY205,WeightedMinAge19),MAX(CapacityAge19*'01_Вводные'!$B$218*AY205,MeanMinAge19)))</f>
        <v/>
      </c>
      <c r="AZ155" s="190">
        <f>IF(OR((AZ71-AZ99)=0,19&lt;='01_Вводные'!$B$297),0,(AZ71-AZ99)*IF('01_Вводные'!$B$239="Да",MeanMinAge19+AZ205*SUMIF(ThresholdAge19,"&lt;"&amp;AZ205,WeightedRevAge19)-SUMIF(ThresholdAge19,"&lt;"&amp;AZ205,WeightedMinAge19),MAX(CapacityAge19*'01_Вводные'!$B$218*AZ205,MeanMinAge19)))</f>
        <v/>
      </c>
      <c r="BA155" s="190">
        <f>IF(OR((BA71-BA99)=0,19&lt;='01_Вводные'!$B$297),0,(BA71-BA99)*IF('01_Вводные'!$B$239="Да",MeanMinAge19+BA205*SUMIF(ThresholdAge19,"&lt;"&amp;BA205,WeightedRevAge19)-SUMIF(ThresholdAge19,"&lt;"&amp;BA205,WeightedMinAge19),MAX(CapacityAge19*'01_Вводные'!$B$218*BA205,MeanMinAge19)))</f>
        <v/>
      </c>
      <c r="BB155" s="190">
        <f>IF(OR((BB71-BB99)=0,19&lt;='01_Вводные'!$B$297),0,(BB71-BB99)*IF('01_Вводные'!$B$239="Да",MeanMinAge19+BB205*SUMIF(ThresholdAge19,"&lt;"&amp;BB205,WeightedRevAge19)-SUMIF(ThresholdAge19,"&lt;"&amp;BB205,WeightedMinAge19),MAX(CapacityAge19*'01_Вводные'!$B$218*BB205,MeanMinAge19)))</f>
        <v/>
      </c>
      <c r="BC155" s="190">
        <f>IF(OR((BC71-BC99)=0,19&lt;='01_Вводные'!$B$297),0,(BC71-BC99)*IF('01_Вводные'!$B$239="Да",MeanMinAge19+BC205*SUMIF(ThresholdAge19,"&lt;"&amp;BC205,WeightedRevAge19)-SUMIF(ThresholdAge19,"&lt;"&amp;BC205,WeightedMinAge19),MAX(CapacityAge19*'01_Вводные'!$B$218*BC205,MeanMinAge19)))</f>
        <v/>
      </c>
      <c r="BD155" s="190">
        <f>IF(OR((BD71-BD99)=0,19&lt;='01_Вводные'!$B$297),0,(BD71-BD99)*IF('01_Вводные'!$B$239="Да",MeanMinAge19+BD205*SUMIF(ThresholdAge19,"&lt;"&amp;BD205,WeightedRevAge19)-SUMIF(ThresholdAge19,"&lt;"&amp;BD205,WeightedMinAge19),MAX(CapacityAge19*'01_Вводные'!$B$218*BD205,MeanMinAge19)))</f>
        <v/>
      </c>
      <c r="BE155" s="190">
        <f>IF(OR((BE71-BE99)=0,19&lt;='01_Вводные'!$B$297),0,(BE71-BE99)*IF('01_Вводные'!$B$239="Да",MeanMinAge19+BE205*SUMIF(ThresholdAge19,"&lt;"&amp;BE205,WeightedRevAge19)-SUMIF(ThresholdAge19,"&lt;"&amp;BE205,WeightedMinAge19),MAX(CapacityAge19*'01_Вводные'!$B$218*BE205,MeanMinAge19)))</f>
        <v/>
      </c>
      <c r="BF155" s="190">
        <f>IF(OR((BF71-BF99)=0,19&lt;='01_Вводные'!$B$297),0,(BF71-BF99)*IF('01_Вводные'!$B$239="Да",MeanMinAge19+BF205*SUMIF(ThresholdAge19,"&lt;"&amp;BF205,WeightedRevAge19)-SUMIF(ThresholdAge19,"&lt;"&amp;BF205,WeightedMinAge19),MAX(CapacityAge19*'01_Вводные'!$B$218*BF205,MeanMinAge19)))</f>
        <v/>
      </c>
      <c r="BG155" s="190">
        <f>IF(OR((BG71-BG99)=0,19&lt;='01_Вводные'!$B$297),0,(BG71-BG99)*IF('01_Вводные'!$B$239="Да",MeanMinAge19+BG205*SUMIF(ThresholdAge19,"&lt;"&amp;BG205,WeightedRevAge19)-SUMIF(ThresholdAge19,"&lt;"&amp;BG205,WeightedMinAge19),MAX(CapacityAge19*'01_Вводные'!$B$218*BG205,MeanMinAge19)))</f>
        <v/>
      </c>
      <c r="BH155" s="190">
        <f>IF(OR((BH71-BH99)=0,19&lt;='01_Вводные'!$B$297),0,(BH71-BH99)*IF('01_Вводные'!$B$239="Да",MeanMinAge19+BH205*SUMIF(ThresholdAge19,"&lt;"&amp;BH205,WeightedRevAge19)-SUMIF(ThresholdAge19,"&lt;"&amp;BH205,WeightedMinAge19),MAX(CapacityAge19*'01_Вводные'!$B$218*BH205,MeanMinAge19)))</f>
        <v/>
      </c>
      <c r="BI155" s="190">
        <f>IF(OR((BI71-BI99)=0,19&lt;='01_Вводные'!$B$297),0,(BI71-BI99)*IF('01_Вводные'!$B$239="Да",MeanMinAge19+BI205*SUMIF(ThresholdAge19,"&lt;"&amp;BI205,WeightedRevAge19)-SUMIF(ThresholdAge19,"&lt;"&amp;BI205,WeightedMinAge19),MAX(CapacityAge19*'01_Вводные'!$B$218*BI205,MeanMinAge19)))</f>
        <v/>
      </c>
      <c r="BJ155" s="190">
        <f>IF(OR((BJ71-BJ99)=0,19&lt;='01_Вводные'!$B$297),0,(BJ71-BJ99)*IF('01_Вводные'!$B$239="Да",MeanMinAge19+BJ205*SUMIF(ThresholdAge19,"&lt;"&amp;BJ205,WeightedRevAge19)-SUMIF(ThresholdAge19,"&lt;"&amp;BJ205,WeightedMinAge19),MAX(CapacityAge19*'01_Вводные'!$B$218*BJ205,MeanMinAge19)))</f>
        <v/>
      </c>
      <c r="BK155" s="190">
        <f>IF(OR((BK71-BK99)=0,19&lt;='01_Вводные'!$B$297),0,(BK71-BK99)*IF('01_Вводные'!$B$239="Да",MeanMinAge19+BK205*SUMIF(ThresholdAge19,"&lt;"&amp;BK205,WeightedRevAge19)-SUMIF(ThresholdAge19,"&lt;"&amp;BK205,WeightedMinAge19),MAX(CapacityAge19*'01_Вводные'!$B$218*BK205,MeanMinAge19)))</f>
        <v/>
      </c>
      <c r="BL155" s="190">
        <f>IF(OR((BL71-BL99)=0,19&lt;='01_Вводные'!$B$297),0,(BL71-BL99)*IF('01_Вводные'!$B$239="Да",MeanMinAge19+BL205*SUMIF(ThresholdAge19,"&lt;"&amp;BL205,WeightedRevAge19)-SUMIF(ThresholdAge19,"&lt;"&amp;BL205,WeightedMinAge19),MAX(CapacityAge19*'01_Вводные'!$B$218*BL205,MeanMinAge19)))</f>
        <v/>
      </c>
      <c r="BM155" s="190">
        <f>IF(OR((BM71-BM99)=0,19&lt;='01_Вводные'!$B$297),0,(BM71-BM99)*IF('01_Вводные'!$B$239="Да",MeanMinAge19+BM205*SUMIF(ThresholdAge19,"&lt;"&amp;BM205,WeightedRevAge19)-SUMIF(ThresholdAge19,"&lt;"&amp;BM205,WeightedMinAge19),MAX(CapacityAge19*'01_Вводные'!$B$218*BM205,MeanMinAge19)))</f>
        <v/>
      </c>
      <c r="BN155" s="190">
        <f>IF(OR((BN71-BN99)=0,19&lt;='01_Вводные'!$B$297),0,(BN71-BN99)*IF('01_Вводные'!$B$239="Да",MeanMinAge19+BN205*SUMIF(ThresholdAge19,"&lt;"&amp;BN205,WeightedRevAge19)-SUMIF(ThresholdAge19,"&lt;"&amp;BN205,WeightedMinAge19),MAX(CapacityAge19*'01_Вводные'!$B$218*BN205,MeanMinAge19)))</f>
        <v/>
      </c>
      <c r="BO155" s="190">
        <f>IF(OR((BO71-BO99)=0,19&lt;='01_Вводные'!$B$297),0,(BO71-BO99)*IF('01_Вводные'!$B$239="Да",MeanMinAge19+BO205*SUMIF(ThresholdAge19,"&lt;"&amp;BO205,WeightedRevAge19)-SUMIF(ThresholdAge19,"&lt;"&amp;BO205,WeightedMinAge19),MAX(CapacityAge19*'01_Вводные'!$B$218*BO205,MeanMinAge19)))</f>
        <v/>
      </c>
    </row>
    <row r="156" hidden="1" outlineLevel="1">
      <c r="A156" t="inlineStr">
        <is>
          <t>20 мес.</t>
        </is>
      </c>
      <c r="B156" s="191">
        <f>IF(OR((B72-B100)=0,20&lt;='01_Вводные'!$B$297),0,(B72-B100)*IF('01_Вводные'!$B$239="Да",MeanMinAge20+B205*SUMIF(ThresholdAge20,"&lt;"&amp;B205,WeightedRevAge20)-SUMIF(ThresholdAge20,"&lt;"&amp;B205,WeightedMinAge20),MAX(CapacityAge20*'01_Вводные'!$B$218*B205,MeanMinAge20)))</f>
        <v/>
      </c>
      <c r="C156" s="191">
        <f>IF(OR((C72-C100)=0,20&lt;='01_Вводные'!$B$297),0,(C72-C100)*IF('01_Вводные'!$B$239="Да",MeanMinAge20+C205*SUMIF(ThresholdAge20,"&lt;"&amp;C205,WeightedRevAge20)-SUMIF(ThresholdAge20,"&lt;"&amp;C205,WeightedMinAge20),MAX(CapacityAge20*'01_Вводные'!$B$218*C205,MeanMinAge20)))</f>
        <v/>
      </c>
      <c r="D156" s="191">
        <f>IF(OR((D72-D100)=0,20&lt;='01_Вводные'!$B$297),0,(D72-D100)*IF('01_Вводные'!$B$239="Да",MeanMinAge20+D205*SUMIF(ThresholdAge20,"&lt;"&amp;D205,WeightedRevAge20)-SUMIF(ThresholdAge20,"&lt;"&amp;D205,WeightedMinAge20),MAX(CapacityAge20*'01_Вводные'!$B$218*D205,MeanMinAge20)))</f>
        <v/>
      </c>
      <c r="E156" s="191">
        <f>IF(OR((E72-E100)=0,20&lt;='01_Вводные'!$B$297),0,(E72-E100)*IF('01_Вводные'!$B$239="Да",MeanMinAge20+E205*SUMIF(ThresholdAge20,"&lt;"&amp;E205,WeightedRevAge20)-SUMIF(ThresholdAge20,"&lt;"&amp;E205,WeightedMinAge20),MAX(CapacityAge20*'01_Вводные'!$B$218*E205,MeanMinAge20)))</f>
        <v/>
      </c>
      <c r="F156" s="191">
        <f>IF(OR((F72-F100)=0,20&lt;='01_Вводные'!$B$297),0,(F72-F100)*IF('01_Вводные'!$B$239="Да",MeanMinAge20+F205*SUMIF(ThresholdAge20,"&lt;"&amp;F205,WeightedRevAge20)-SUMIF(ThresholdAge20,"&lt;"&amp;F205,WeightedMinAge20),MAX(CapacityAge20*'01_Вводные'!$B$218*F205,MeanMinAge20)))</f>
        <v/>
      </c>
      <c r="G156" s="191">
        <f>IF(OR((G72-G100)=0,20&lt;='01_Вводные'!$B$297),0,(G72-G100)*IF('01_Вводные'!$B$239="Да",MeanMinAge20+G205*SUMIF(ThresholdAge20,"&lt;"&amp;G205,WeightedRevAge20)-SUMIF(ThresholdAge20,"&lt;"&amp;G205,WeightedMinAge20),MAX(CapacityAge20*'01_Вводные'!$B$218*G205,MeanMinAge20)))</f>
        <v/>
      </c>
      <c r="H156" s="191">
        <f>IF(OR((H72-H100)=0,20&lt;='01_Вводные'!$B$297),0,(H72-H100)*IF('01_Вводные'!$B$239="Да",MeanMinAge20+H205*SUMIF(ThresholdAge20,"&lt;"&amp;H205,WeightedRevAge20)-SUMIF(ThresholdAge20,"&lt;"&amp;H205,WeightedMinAge20),MAX(CapacityAge20*'01_Вводные'!$B$218*H205,MeanMinAge20)))</f>
        <v/>
      </c>
      <c r="I156" s="191">
        <f>IF(OR((I72-I100)=0,20&lt;='01_Вводные'!$B$297),0,(I72-I100)*IF('01_Вводные'!$B$239="Да",MeanMinAge20+I205*SUMIF(ThresholdAge20,"&lt;"&amp;I205,WeightedRevAge20)-SUMIF(ThresholdAge20,"&lt;"&amp;I205,WeightedMinAge20),MAX(CapacityAge20*'01_Вводные'!$B$218*I205,MeanMinAge20)))</f>
        <v/>
      </c>
      <c r="J156" s="191">
        <f>IF(OR((J72-J100)=0,20&lt;='01_Вводные'!$B$297),0,(J72-J100)*IF('01_Вводные'!$B$239="Да",MeanMinAge20+J205*SUMIF(ThresholdAge20,"&lt;"&amp;J205,WeightedRevAge20)-SUMIF(ThresholdAge20,"&lt;"&amp;J205,WeightedMinAge20),MAX(CapacityAge20*'01_Вводные'!$B$218*J205,MeanMinAge20)))</f>
        <v/>
      </c>
      <c r="K156" s="191">
        <f>IF(OR((K72-K100)=0,20&lt;='01_Вводные'!$B$297),0,(K72-K100)*IF('01_Вводные'!$B$239="Да",MeanMinAge20+K205*SUMIF(ThresholdAge20,"&lt;"&amp;K205,WeightedRevAge20)-SUMIF(ThresholdAge20,"&lt;"&amp;K205,WeightedMinAge20),MAX(CapacityAge20*'01_Вводные'!$B$218*K205,MeanMinAge20)))</f>
        <v/>
      </c>
      <c r="L156" s="191">
        <f>IF(OR((L72-L100)=0,20&lt;='01_Вводные'!$B$297),0,(L72-L100)*IF('01_Вводные'!$B$239="Да",MeanMinAge20+L205*SUMIF(ThresholdAge20,"&lt;"&amp;L205,WeightedRevAge20)-SUMIF(ThresholdAge20,"&lt;"&amp;L205,WeightedMinAge20),MAX(CapacityAge20*'01_Вводные'!$B$218*L205,MeanMinAge20)))</f>
        <v/>
      </c>
      <c r="M156" s="191">
        <f>IF(OR((M72-M100)=0,20&lt;='01_Вводные'!$B$297),0,(M72-M100)*IF('01_Вводные'!$B$239="Да",MeanMinAge20+M205*SUMIF(ThresholdAge20,"&lt;"&amp;M205,WeightedRevAge20)-SUMIF(ThresholdAge20,"&lt;"&amp;M205,WeightedMinAge20),MAX(CapacityAge20*'01_Вводные'!$B$218*M205,MeanMinAge20)))</f>
        <v/>
      </c>
      <c r="N156" s="191">
        <f>IF(OR((N72-N100)=0,20&lt;='01_Вводные'!$B$297),0,(N72-N100)*IF('01_Вводные'!$B$239="Да",MeanMinAge20+N205*SUMIF(ThresholdAge20,"&lt;"&amp;N205,WeightedRevAge20)-SUMIF(ThresholdAge20,"&lt;"&amp;N205,WeightedMinAge20),MAX(CapacityAge20*'01_Вводные'!$B$218*N205,MeanMinAge20)))</f>
        <v/>
      </c>
      <c r="O156" s="191">
        <f>IF(OR((O72-O100)=0,20&lt;='01_Вводные'!$B$297),0,(O72-O100)*IF('01_Вводные'!$B$239="Да",MeanMinAge20+O205*SUMIF(ThresholdAge20,"&lt;"&amp;O205,WeightedRevAge20)-SUMIF(ThresholdAge20,"&lt;"&amp;O205,WeightedMinAge20),MAX(CapacityAge20*'01_Вводные'!$B$218*O205,MeanMinAge20)))</f>
        <v/>
      </c>
      <c r="P156" s="191">
        <f>IF(OR((P72-P100)=0,20&lt;='01_Вводные'!$B$297),0,(P72-P100)*IF('01_Вводные'!$B$239="Да",MeanMinAge20+P205*SUMIF(ThresholdAge20,"&lt;"&amp;P205,WeightedRevAge20)-SUMIF(ThresholdAge20,"&lt;"&amp;P205,WeightedMinAge20),MAX(CapacityAge20*'01_Вводные'!$B$218*P205,MeanMinAge20)))</f>
        <v/>
      </c>
      <c r="Q156" s="191">
        <f>IF(OR((Q72-Q100)=0,20&lt;='01_Вводные'!$B$297),0,(Q72-Q100)*IF('01_Вводные'!$B$239="Да",MeanMinAge20+Q205*SUMIF(ThresholdAge20,"&lt;"&amp;Q205,WeightedRevAge20)-SUMIF(ThresholdAge20,"&lt;"&amp;Q205,WeightedMinAge20),MAX(CapacityAge20*'01_Вводные'!$B$218*Q205,MeanMinAge20)))</f>
        <v/>
      </c>
      <c r="R156" s="191">
        <f>IF(OR((R72-R100)=0,20&lt;='01_Вводные'!$B$297),0,(R72-R100)*IF('01_Вводные'!$B$239="Да",MeanMinAge20+R205*SUMIF(ThresholdAge20,"&lt;"&amp;R205,WeightedRevAge20)-SUMIF(ThresholdAge20,"&lt;"&amp;R205,WeightedMinAge20),MAX(CapacityAge20*'01_Вводные'!$B$218*R205,MeanMinAge20)))</f>
        <v/>
      </c>
      <c r="S156" s="191">
        <f>IF(OR((S72-S100)=0,20&lt;='01_Вводные'!$B$297),0,(S72-S100)*IF('01_Вводные'!$B$239="Да",MeanMinAge20+S205*SUMIF(ThresholdAge20,"&lt;"&amp;S205,WeightedRevAge20)-SUMIF(ThresholdAge20,"&lt;"&amp;S205,WeightedMinAge20),MAX(CapacityAge20*'01_Вводные'!$B$218*S205,MeanMinAge20)))</f>
        <v/>
      </c>
      <c r="T156" s="191">
        <f>IF(OR((T72-T100)=0,20&lt;='01_Вводные'!$B$297),0,(T72-T100)*IF('01_Вводные'!$B$239="Да",MeanMinAge20+T205*SUMIF(ThresholdAge20,"&lt;"&amp;T205,WeightedRevAge20)-SUMIF(ThresholdAge20,"&lt;"&amp;T205,WeightedMinAge20),MAX(CapacityAge20*'01_Вводные'!$B$218*T205,MeanMinAge20)))</f>
        <v/>
      </c>
      <c r="U156" s="191">
        <f>IF(OR((U72-U100)=0,20&lt;='01_Вводные'!$B$297),0,(U72-U100)*IF('01_Вводные'!$B$239="Да",MeanMinAge20+U205*SUMIF(ThresholdAge20,"&lt;"&amp;U205,WeightedRevAge20)-SUMIF(ThresholdAge20,"&lt;"&amp;U205,WeightedMinAge20),MAX(CapacityAge20*'01_Вводные'!$B$218*U205,MeanMinAge20)))</f>
        <v/>
      </c>
      <c r="V156" s="191">
        <f>IF(OR((V72-V100)=0,20&lt;='01_Вводные'!$B$297),0,(V72-V100)*IF('01_Вводные'!$B$239="Да",MeanMinAge20+V205*SUMIF(ThresholdAge20,"&lt;"&amp;V205,WeightedRevAge20)-SUMIF(ThresholdAge20,"&lt;"&amp;V205,WeightedMinAge20),MAX(CapacityAge20*'01_Вводные'!$B$218*V205,MeanMinAge20)))</f>
        <v/>
      </c>
      <c r="W156" s="191">
        <f>IF(OR((W72-W100)=0,20&lt;='01_Вводные'!$B$297),0,(W72-W100)*IF('01_Вводные'!$B$239="Да",MeanMinAge20+W205*SUMIF(ThresholdAge20,"&lt;"&amp;W205,WeightedRevAge20)-SUMIF(ThresholdAge20,"&lt;"&amp;W205,WeightedMinAge20),MAX(CapacityAge20*'01_Вводные'!$B$218*W205,MeanMinAge20)))</f>
        <v/>
      </c>
      <c r="X156" s="191">
        <f>IF(OR((X72-X100)=0,20&lt;='01_Вводные'!$B$297),0,(X72-X100)*IF('01_Вводные'!$B$239="Да",MeanMinAge20+X205*SUMIF(ThresholdAge20,"&lt;"&amp;X205,WeightedRevAge20)-SUMIF(ThresholdAge20,"&lt;"&amp;X205,WeightedMinAge20),MAX(CapacityAge20*'01_Вводные'!$B$218*X205,MeanMinAge20)))</f>
        <v/>
      </c>
      <c r="Y156" s="191">
        <f>IF(OR((Y72-Y100)=0,20&lt;='01_Вводные'!$B$297),0,(Y72-Y100)*IF('01_Вводные'!$B$239="Да",MeanMinAge20+Y205*SUMIF(ThresholdAge20,"&lt;"&amp;Y205,WeightedRevAge20)-SUMIF(ThresholdAge20,"&lt;"&amp;Y205,WeightedMinAge20),MAX(CapacityAge20*'01_Вводные'!$B$218*Y205,MeanMinAge20)))</f>
        <v/>
      </c>
      <c r="Z156" s="191">
        <f>IF(OR((Z72-Z100)=0,20&lt;='01_Вводные'!$B$297),0,(Z72-Z100)*IF('01_Вводные'!$B$239="Да",MeanMinAge20+Z205*SUMIF(ThresholdAge20,"&lt;"&amp;Z205,WeightedRevAge20)-SUMIF(ThresholdAge20,"&lt;"&amp;Z205,WeightedMinAge20),MAX(CapacityAge20*'01_Вводные'!$B$218*Z205,MeanMinAge20)))</f>
        <v/>
      </c>
      <c r="AA156" s="191">
        <f>IF(OR((AA72-AA100)=0,20&lt;='01_Вводные'!$B$297),0,(AA72-AA100)*IF('01_Вводные'!$B$239="Да",MeanMinAge20+AA205*SUMIF(ThresholdAge20,"&lt;"&amp;AA205,WeightedRevAge20)-SUMIF(ThresholdAge20,"&lt;"&amp;AA205,WeightedMinAge20),MAX(CapacityAge20*'01_Вводные'!$B$218*AA205,MeanMinAge20)))</f>
        <v/>
      </c>
      <c r="AB156" s="191">
        <f>IF(OR((AB72-AB100)=0,20&lt;='01_Вводные'!$B$297),0,(AB72-AB100)*IF('01_Вводные'!$B$239="Да",MeanMinAge20+AB205*SUMIF(ThresholdAge20,"&lt;"&amp;AB205,WeightedRevAge20)-SUMIF(ThresholdAge20,"&lt;"&amp;AB205,WeightedMinAge20),MAX(CapacityAge20*'01_Вводные'!$B$218*AB205,MeanMinAge20)))</f>
        <v/>
      </c>
      <c r="AC156" s="191">
        <f>IF(OR((AC72-AC100)=0,20&lt;='01_Вводные'!$B$297),0,(AC72-AC100)*IF('01_Вводные'!$B$239="Да",MeanMinAge20+AC205*SUMIF(ThresholdAge20,"&lt;"&amp;AC205,WeightedRevAge20)-SUMIF(ThresholdAge20,"&lt;"&amp;AC205,WeightedMinAge20),MAX(CapacityAge20*'01_Вводные'!$B$218*AC205,MeanMinAge20)))</f>
        <v/>
      </c>
      <c r="AD156" s="191">
        <f>IF(OR((AD72-AD100)=0,20&lt;='01_Вводные'!$B$297),0,(AD72-AD100)*IF('01_Вводные'!$B$239="Да",MeanMinAge20+AD205*SUMIF(ThresholdAge20,"&lt;"&amp;AD205,WeightedRevAge20)-SUMIF(ThresholdAge20,"&lt;"&amp;AD205,WeightedMinAge20),MAX(CapacityAge20*'01_Вводные'!$B$218*AD205,MeanMinAge20)))</f>
        <v/>
      </c>
      <c r="AE156" s="191">
        <f>IF(OR((AE72-AE100)=0,20&lt;='01_Вводные'!$B$297),0,(AE72-AE100)*IF('01_Вводные'!$B$239="Да",MeanMinAge20+AE205*SUMIF(ThresholdAge20,"&lt;"&amp;AE205,WeightedRevAge20)-SUMIF(ThresholdAge20,"&lt;"&amp;AE205,WeightedMinAge20),MAX(CapacityAge20*'01_Вводные'!$B$218*AE205,MeanMinAge20)))</f>
        <v/>
      </c>
      <c r="AF156" s="191">
        <f>IF(OR((AF72-AF100)=0,20&lt;='01_Вводные'!$B$297),0,(AF72-AF100)*IF('01_Вводные'!$B$239="Да",MeanMinAge20+AF205*SUMIF(ThresholdAge20,"&lt;"&amp;AF205,WeightedRevAge20)-SUMIF(ThresholdAge20,"&lt;"&amp;AF205,WeightedMinAge20),MAX(CapacityAge20*'01_Вводные'!$B$218*AF205,MeanMinAge20)))</f>
        <v/>
      </c>
      <c r="AG156" s="191">
        <f>IF(OR((AG72-AG100)=0,20&lt;='01_Вводные'!$B$297),0,(AG72-AG100)*IF('01_Вводные'!$B$239="Да",MeanMinAge20+AG205*SUMIF(ThresholdAge20,"&lt;"&amp;AG205,WeightedRevAge20)-SUMIF(ThresholdAge20,"&lt;"&amp;AG205,WeightedMinAge20),MAX(CapacityAge20*'01_Вводные'!$B$218*AG205,MeanMinAge20)))</f>
        <v/>
      </c>
      <c r="AH156" s="191">
        <f>IF(OR((AH72-AH100)=0,20&lt;='01_Вводные'!$B$297),0,(AH72-AH100)*IF('01_Вводные'!$B$239="Да",MeanMinAge20+AH205*SUMIF(ThresholdAge20,"&lt;"&amp;AH205,WeightedRevAge20)-SUMIF(ThresholdAge20,"&lt;"&amp;AH205,WeightedMinAge20),MAX(CapacityAge20*'01_Вводные'!$B$218*AH205,MeanMinAge20)))</f>
        <v/>
      </c>
      <c r="AI156" s="191">
        <f>IF(OR((AI72-AI100)=0,20&lt;='01_Вводные'!$B$297),0,(AI72-AI100)*IF('01_Вводные'!$B$239="Да",MeanMinAge20+AI205*SUMIF(ThresholdAge20,"&lt;"&amp;AI205,WeightedRevAge20)-SUMIF(ThresholdAge20,"&lt;"&amp;AI205,WeightedMinAge20),MAX(CapacityAge20*'01_Вводные'!$B$218*AI205,MeanMinAge20)))</f>
        <v/>
      </c>
      <c r="AJ156" s="191">
        <f>IF(OR((AJ72-AJ100)=0,20&lt;='01_Вводные'!$B$297),0,(AJ72-AJ100)*IF('01_Вводные'!$B$239="Да",MeanMinAge20+AJ205*SUMIF(ThresholdAge20,"&lt;"&amp;AJ205,WeightedRevAge20)-SUMIF(ThresholdAge20,"&lt;"&amp;AJ205,WeightedMinAge20),MAX(CapacityAge20*'01_Вводные'!$B$218*AJ205,MeanMinAge20)))</f>
        <v/>
      </c>
      <c r="AK156" s="191">
        <f>IF(OR((AK72-AK100)=0,20&lt;='01_Вводные'!$B$297),0,(AK72-AK100)*IF('01_Вводные'!$B$239="Да",MeanMinAge20+AK205*SUMIF(ThresholdAge20,"&lt;"&amp;AK205,WeightedRevAge20)-SUMIF(ThresholdAge20,"&lt;"&amp;AK205,WeightedMinAge20),MAX(CapacityAge20*'01_Вводные'!$B$218*AK205,MeanMinAge20)))</f>
        <v/>
      </c>
      <c r="AL156" s="191">
        <f>IF(OR((AL72-AL100)=0,20&lt;='01_Вводные'!$B$297),0,(AL72-AL100)*IF('01_Вводные'!$B$239="Да",MeanMinAge20+AL205*SUMIF(ThresholdAge20,"&lt;"&amp;AL205,WeightedRevAge20)-SUMIF(ThresholdAge20,"&lt;"&amp;AL205,WeightedMinAge20),MAX(CapacityAge20*'01_Вводные'!$B$218*AL205,MeanMinAge20)))</f>
        <v/>
      </c>
      <c r="AM156" s="191">
        <f>IF(OR((AM72-AM100)=0,20&lt;='01_Вводные'!$B$297),0,(AM72-AM100)*IF('01_Вводные'!$B$239="Да",MeanMinAge20+AM205*SUMIF(ThresholdAge20,"&lt;"&amp;AM205,WeightedRevAge20)-SUMIF(ThresholdAge20,"&lt;"&amp;AM205,WeightedMinAge20),MAX(CapacityAge20*'01_Вводные'!$B$218*AM205,MeanMinAge20)))</f>
        <v/>
      </c>
      <c r="AN156" s="191">
        <f>IF(OR((AN72-AN100)=0,20&lt;='01_Вводные'!$B$297),0,(AN72-AN100)*IF('01_Вводные'!$B$239="Да",MeanMinAge20+AN205*SUMIF(ThresholdAge20,"&lt;"&amp;AN205,WeightedRevAge20)-SUMIF(ThresholdAge20,"&lt;"&amp;AN205,WeightedMinAge20),MAX(CapacityAge20*'01_Вводные'!$B$218*AN205,MeanMinAge20)))</f>
        <v/>
      </c>
      <c r="AO156" s="191">
        <f>IF(OR((AO72-AO100)=0,20&lt;='01_Вводные'!$B$297),0,(AO72-AO100)*IF('01_Вводные'!$B$239="Да",MeanMinAge20+AO205*SUMIF(ThresholdAge20,"&lt;"&amp;AO205,WeightedRevAge20)-SUMIF(ThresholdAge20,"&lt;"&amp;AO205,WeightedMinAge20),MAX(CapacityAge20*'01_Вводные'!$B$218*AO205,MeanMinAge20)))</f>
        <v/>
      </c>
      <c r="AP156" s="191">
        <f>IF(OR((AP72-AP100)=0,20&lt;='01_Вводные'!$B$297),0,(AP72-AP100)*IF('01_Вводные'!$B$239="Да",MeanMinAge20+AP205*SUMIF(ThresholdAge20,"&lt;"&amp;AP205,WeightedRevAge20)-SUMIF(ThresholdAge20,"&lt;"&amp;AP205,WeightedMinAge20),MAX(CapacityAge20*'01_Вводные'!$B$218*AP205,MeanMinAge20)))</f>
        <v/>
      </c>
      <c r="AQ156" s="191">
        <f>IF(OR((AQ72-AQ100)=0,20&lt;='01_Вводные'!$B$297),0,(AQ72-AQ100)*IF('01_Вводные'!$B$239="Да",MeanMinAge20+AQ205*SUMIF(ThresholdAge20,"&lt;"&amp;AQ205,WeightedRevAge20)-SUMIF(ThresholdAge20,"&lt;"&amp;AQ205,WeightedMinAge20),MAX(CapacityAge20*'01_Вводные'!$B$218*AQ205,MeanMinAge20)))</f>
        <v/>
      </c>
      <c r="AR156" s="191">
        <f>IF(OR((AR72-AR100)=0,20&lt;='01_Вводные'!$B$297),0,(AR72-AR100)*IF('01_Вводные'!$B$239="Да",MeanMinAge20+AR205*SUMIF(ThresholdAge20,"&lt;"&amp;AR205,WeightedRevAge20)-SUMIF(ThresholdAge20,"&lt;"&amp;AR205,WeightedMinAge20),MAX(CapacityAge20*'01_Вводные'!$B$218*AR205,MeanMinAge20)))</f>
        <v/>
      </c>
      <c r="AS156" s="191">
        <f>IF(OR((AS72-AS100)=0,20&lt;='01_Вводные'!$B$297),0,(AS72-AS100)*IF('01_Вводные'!$B$239="Да",MeanMinAge20+AS205*SUMIF(ThresholdAge20,"&lt;"&amp;AS205,WeightedRevAge20)-SUMIF(ThresholdAge20,"&lt;"&amp;AS205,WeightedMinAge20),MAX(CapacityAge20*'01_Вводные'!$B$218*AS205,MeanMinAge20)))</f>
        <v/>
      </c>
      <c r="AT156" s="191">
        <f>IF(OR((AT72-AT100)=0,20&lt;='01_Вводные'!$B$297),0,(AT72-AT100)*IF('01_Вводные'!$B$239="Да",MeanMinAge20+AT205*SUMIF(ThresholdAge20,"&lt;"&amp;AT205,WeightedRevAge20)-SUMIF(ThresholdAge20,"&lt;"&amp;AT205,WeightedMinAge20),MAX(CapacityAge20*'01_Вводные'!$B$218*AT205,MeanMinAge20)))</f>
        <v/>
      </c>
      <c r="AU156" s="191">
        <f>IF(OR((AU72-AU100)=0,20&lt;='01_Вводные'!$B$297),0,(AU72-AU100)*IF('01_Вводные'!$B$239="Да",MeanMinAge20+AU205*SUMIF(ThresholdAge20,"&lt;"&amp;AU205,WeightedRevAge20)-SUMIF(ThresholdAge20,"&lt;"&amp;AU205,WeightedMinAge20),MAX(CapacityAge20*'01_Вводные'!$B$218*AU205,MeanMinAge20)))</f>
        <v/>
      </c>
      <c r="AV156" s="191">
        <f>IF(OR((AV72-AV100)=0,20&lt;='01_Вводные'!$B$297),0,(AV72-AV100)*IF('01_Вводные'!$B$239="Да",MeanMinAge20+AV205*SUMIF(ThresholdAge20,"&lt;"&amp;AV205,WeightedRevAge20)-SUMIF(ThresholdAge20,"&lt;"&amp;AV205,WeightedMinAge20),MAX(CapacityAge20*'01_Вводные'!$B$218*AV205,MeanMinAge20)))</f>
        <v/>
      </c>
      <c r="AW156" s="191">
        <f>IF(OR((AW72-AW100)=0,20&lt;='01_Вводные'!$B$297),0,(AW72-AW100)*IF('01_Вводные'!$B$239="Да",MeanMinAge20+AW205*SUMIF(ThresholdAge20,"&lt;"&amp;AW205,WeightedRevAge20)-SUMIF(ThresholdAge20,"&lt;"&amp;AW205,WeightedMinAge20),MAX(CapacityAge20*'01_Вводные'!$B$218*AW205,MeanMinAge20)))</f>
        <v/>
      </c>
      <c r="AX156" s="191">
        <f>IF(OR((AX72-AX100)=0,20&lt;='01_Вводные'!$B$297),0,(AX72-AX100)*IF('01_Вводные'!$B$239="Да",MeanMinAge20+AX205*SUMIF(ThresholdAge20,"&lt;"&amp;AX205,WeightedRevAge20)-SUMIF(ThresholdAge20,"&lt;"&amp;AX205,WeightedMinAge20),MAX(CapacityAge20*'01_Вводные'!$B$218*AX205,MeanMinAge20)))</f>
        <v/>
      </c>
      <c r="AY156" s="191">
        <f>IF(OR((AY72-AY100)=0,20&lt;='01_Вводные'!$B$297),0,(AY72-AY100)*IF('01_Вводные'!$B$239="Да",MeanMinAge20+AY205*SUMIF(ThresholdAge20,"&lt;"&amp;AY205,WeightedRevAge20)-SUMIF(ThresholdAge20,"&lt;"&amp;AY205,WeightedMinAge20),MAX(CapacityAge20*'01_Вводные'!$B$218*AY205,MeanMinAge20)))</f>
        <v/>
      </c>
      <c r="AZ156" s="191">
        <f>IF(OR((AZ72-AZ100)=0,20&lt;='01_Вводные'!$B$297),0,(AZ72-AZ100)*IF('01_Вводные'!$B$239="Да",MeanMinAge20+AZ205*SUMIF(ThresholdAge20,"&lt;"&amp;AZ205,WeightedRevAge20)-SUMIF(ThresholdAge20,"&lt;"&amp;AZ205,WeightedMinAge20),MAX(CapacityAge20*'01_Вводные'!$B$218*AZ205,MeanMinAge20)))</f>
        <v/>
      </c>
      <c r="BA156" s="191">
        <f>IF(OR((BA72-BA100)=0,20&lt;='01_Вводные'!$B$297),0,(BA72-BA100)*IF('01_Вводные'!$B$239="Да",MeanMinAge20+BA205*SUMIF(ThresholdAge20,"&lt;"&amp;BA205,WeightedRevAge20)-SUMIF(ThresholdAge20,"&lt;"&amp;BA205,WeightedMinAge20),MAX(CapacityAge20*'01_Вводные'!$B$218*BA205,MeanMinAge20)))</f>
        <v/>
      </c>
      <c r="BB156" s="191">
        <f>IF(OR((BB72-BB100)=0,20&lt;='01_Вводные'!$B$297),0,(BB72-BB100)*IF('01_Вводные'!$B$239="Да",MeanMinAge20+BB205*SUMIF(ThresholdAge20,"&lt;"&amp;BB205,WeightedRevAge20)-SUMIF(ThresholdAge20,"&lt;"&amp;BB205,WeightedMinAge20),MAX(CapacityAge20*'01_Вводные'!$B$218*BB205,MeanMinAge20)))</f>
        <v/>
      </c>
      <c r="BC156" s="191">
        <f>IF(OR((BC72-BC100)=0,20&lt;='01_Вводные'!$B$297),0,(BC72-BC100)*IF('01_Вводные'!$B$239="Да",MeanMinAge20+BC205*SUMIF(ThresholdAge20,"&lt;"&amp;BC205,WeightedRevAge20)-SUMIF(ThresholdAge20,"&lt;"&amp;BC205,WeightedMinAge20),MAX(CapacityAge20*'01_Вводные'!$B$218*BC205,MeanMinAge20)))</f>
        <v/>
      </c>
      <c r="BD156" s="191">
        <f>IF(OR((BD72-BD100)=0,20&lt;='01_Вводные'!$B$297),0,(BD72-BD100)*IF('01_Вводные'!$B$239="Да",MeanMinAge20+BD205*SUMIF(ThresholdAge20,"&lt;"&amp;BD205,WeightedRevAge20)-SUMIF(ThresholdAge20,"&lt;"&amp;BD205,WeightedMinAge20),MAX(CapacityAge20*'01_Вводные'!$B$218*BD205,MeanMinAge20)))</f>
        <v/>
      </c>
      <c r="BE156" s="191">
        <f>IF(OR((BE72-BE100)=0,20&lt;='01_Вводные'!$B$297),0,(BE72-BE100)*IF('01_Вводные'!$B$239="Да",MeanMinAge20+BE205*SUMIF(ThresholdAge20,"&lt;"&amp;BE205,WeightedRevAge20)-SUMIF(ThresholdAge20,"&lt;"&amp;BE205,WeightedMinAge20),MAX(CapacityAge20*'01_Вводные'!$B$218*BE205,MeanMinAge20)))</f>
        <v/>
      </c>
      <c r="BF156" s="191">
        <f>IF(OR((BF72-BF100)=0,20&lt;='01_Вводные'!$B$297),0,(BF72-BF100)*IF('01_Вводные'!$B$239="Да",MeanMinAge20+BF205*SUMIF(ThresholdAge20,"&lt;"&amp;BF205,WeightedRevAge20)-SUMIF(ThresholdAge20,"&lt;"&amp;BF205,WeightedMinAge20),MAX(CapacityAge20*'01_Вводные'!$B$218*BF205,MeanMinAge20)))</f>
        <v/>
      </c>
      <c r="BG156" s="191">
        <f>IF(OR((BG72-BG100)=0,20&lt;='01_Вводные'!$B$297),0,(BG72-BG100)*IF('01_Вводные'!$B$239="Да",MeanMinAge20+BG205*SUMIF(ThresholdAge20,"&lt;"&amp;BG205,WeightedRevAge20)-SUMIF(ThresholdAge20,"&lt;"&amp;BG205,WeightedMinAge20),MAX(CapacityAge20*'01_Вводные'!$B$218*BG205,MeanMinAge20)))</f>
        <v/>
      </c>
      <c r="BH156" s="191">
        <f>IF(OR((BH72-BH100)=0,20&lt;='01_Вводные'!$B$297),0,(BH72-BH100)*IF('01_Вводные'!$B$239="Да",MeanMinAge20+BH205*SUMIF(ThresholdAge20,"&lt;"&amp;BH205,WeightedRevAge20)-SUMIF(ThresholdAge20,"&lt;"&amp;BH205,WeightedMinAge20),MAX(CapacityAge20*'01_Вводные'!$B$218*BH205,MeanMinAge20)))</f>
        <v/>
      </c>
      <c r="BI156" s="191">
        <f>IF(OR((BI72-BI100)=0,20&lt;='01_Вводные'!$B$297),0,(BI72-BI100)*IF('01_Вводные'!$B$239="Да",MeanMinAge20+BI205*SUMIF(ThresholdAge20,"&lt;"&amp;BI205,WeightedRevAge20)-SUMIF(ThresholdAge20,"&lt;"&amp;BI205,WeightedMinAge20),MAX(CapacityAge20*'01_Вводные'!$B$218*BI205,MeanMinAge20)))</f>
        <v/>
      </c>
      <c r="BJ156" s="191">
        <f>IF(OR((BJ72-BJ100)=0,20&lt;='01_Вводные'!$B$297),0,(BJ72-BJ100)*IF('01_Вводные'!$B$239="Да",MeanMinAge20+BJ205*SUMIF(ThresholdAge20,"&lt;"&amp;BJ205,WeightedRevAge20)-SUMIF(ThresholdAge20,"&lt;"&amp;BJ205,WeightedMinAge20),MAX(CapacityAge20*'01_Вводные'!$B$218*BJ205,MeanMinAge20)))</f>
        <v/>
      </c>
      <c r="BK156" s="191">
        <f>IF(OR((BK72-BK100)=0,20&lt;='01_Вводные'!$B$297),0,(BK72-BK100)*IF('01_Вводные'!$B$239="Да",MeanMinAge20+BK205*SUMIF(ThresholdAge20,"&lt;"&amp;BK205,WeightedRevAge20)-SUMIF(ThresholdAge20,"&lt;"&amp;BK205,WeightedMinAge20),MAX(CapacityAge20*'01_Вводные'!$B$218*BK205,MeanMinAge20)))</f>
        <v/>
      </c>
      <c r="BL156" s="191">
        <f>IF(OR((BL72-BL100)=0,20&lt;='01_Вводные'!$B$297),0,(BL72-BL100)*IF('01_Вводные'!$B$239="Да",MeanMinAge20+BL205*SUMIF(ThresholdAge20,"&lt;"&amp;BL205,WeightedRevAge20)-SUMIF(ThresholdAge20,"&lt;"&amp;BL205,WeightedMinAge20),MAX(CapacityAge20*'01_Вводные'!$B$218*BL205,MeanMinAge20)))</f>
        <v/>
      </c>
      <c r="BM156" s="191">
        <f>IF(OR((BM72-BM100)=0,20&lt;='01_Вводные'!$B$297),0,(BM72-BM100)*IF('01_Вводные'!$B$239="Да",MeanMinAge20+BM205*SUMIF(ThresholdAge20,"&lt;"&amp;BM205,WeightedRevAge20)-SUMIF(ThresholdAge20,"&lt;"&amp;BM205,WeightedMinAge20),MAX(CapacityAge20*'01_Вводные'!$B$218*BM205,MeanMinAge20)))</f>
        <v/>
      </c>
      <c r="BN156" s="191">
        <f>IF(OR((BN72-BN100)=0,20&lt;='01_Вводные'!$B$297),0,(BN72-BN100)*IF('01_Вводные'!$B$239="Да",MeanMinAge20+BN205*SUMIF(ThresholdAge20,"&lt;"&amp;BN205,WeightedRevAge20)-SUMIF(ThresholdAge20,"&lt;"&amp;BN205,WeightedMinAge20),MAX(CapacityAge20*'01_Вводные'!$B$218*BN205,MeanMinAge20)))</f>
        <v/>
      </c>
      <c r="BO156" s="191">
        <f>IF(OR((BO72-BO100)=0,20&lt;='01_Вводные'!$B$297),0,(BO72-BO100)*IF('01_Вводные'!$B$239="Да",MeanMinAge20+BO205*SUMIF(ThresholdAge20,"&lt;"&amp;BO205,WeightedRevAge20)-SUMIF(ThresholdAge20,"&lt;"&amp;BO205,WeightedMinAge20),MAX(CapacityAge20*'01_Вводные'!$B$218*BO205,MeanMinAge20)))</f>
        <v/>
      </c>
    </row>
    <row r="157" hidden="1" outlineLevel="1">
      <c r="A157" t="inlineStr">
        <is>
          <t>21 мес.</t>
        </is>
      </c>
      <c r="B157" s="190">
        <f>IF(OR((B73-B101)=0,21&lt;='01_Вводные'!$B$297),0,(B73-B101)*IF('01_Вводные'!$B$239="Да",MeanMinAge21+B205*SUMIF(ThresholdAge21,"&lt;"&amp;B205,WeightedRevAge21)-SUMIF(ThresholdAge21,"&lt;"&amp;B205,WeightedMinAge21),MAX(CapacityAge21*'01_Вводные'!$B$218*B205,MeanMinAge21)))</f>
        <v/>
      </c>
      <c r="C157" s="190">
        <f>IF(OR((C73-C101)=0,21&lt;='01_Вводные'!$B$297),0,(C73-C101)*IF('01_Вводные'!$B$239="Да",MeanMinAge21+C205*SUMIF(ThresholdAge21,"&lt;"&amp;C205,WeightedRevAge21)-SUMIF(ThresholdAge21,"&lt;"&amp;C205,WeightedMinAge21),MAX(CapacityAge21*'01_Вводные'!$B$218*C205,MeanMinAge21)))</f>
        <v/>
      </c>
      <c r="D157" s="190">
        <f>IF(OR((D73-D101)=0,21&lt;='01_Вводные'!$B$297),0,(D73-D101)*IF('01_Вводные'!$B$239="Да",MeanMinAge21+D205*SUMIF(ThresholdAge21,"&lt;"&amp;D205,WeightedRevAge21)-SUMIF(ThresholdAge21,"&lt;"&amp;D205,WeightedMinAge21),MAX(CapacityAge21*'01_Вводные'!$B$218*D205,MeanMinAge21)))</f>
        <v/>
      </c>
      <c r="E157" s="190">
        <f>IF(OR((E73-E101)=0,21&lt;='01_Вводные'!$B$297),0,(E73-E101)*IF('01_Вводные'!$B$239="Да",MeanMinAge21+E205*SUMIF(ThresholdAge21,"&lt;"&amp;E205,WeightedRevAge21)-SUMIF(ThresholdAge21,"&lt;"&amp;E205,WeightedMinAge21),MAX(CapacityAge21*'01_Вводные'!$B$218*E205,MeanMinAge21)))</f>
        <v/>
      </c>
      <c r="F157" s="190">
        <f>IF(OR((F73-F101)=0,21&lt;='01_Вводные'!$B$297),0,(F73-F101)*IF('01_Вводные'!$B$239="Да",MeanMinAge21+F205*SUMIF(ThresholdAge21,"&lt;"&amp;F205,WeightedRevAge21)-SUMIF(ThresholdAge21,"&lt;"&amp;F205,WeightedMinAge21),MAX(CapacityAge21*'01_Вводные'!$B$218*F205,MeanMinAge21)))</f>
        <v/>
      </c>
      <c r="G157" s="190">
        <f>IF(OR((G73-G101)=0,21&lt;='01_Вводные'!$B$297),0,(G73-G101)*IF('01_Вводные'!$B$239="Да",MeanMinAge21+G205*SUMIF(ThresholdAge21,"&lt;"&amp;G205,WeightedRevAge21)-SUMIF(ThresholdAge21,"&lt;"&amp;G205,WeightedMinAge21),MAX(CapacityAge21*'01_Вводные'!$B$218*G205,MeanMinAge21)))</f>
        <v/>
      </c>
      <c r="H157" s="190">
        <f>IF(OR((H73-H101)=0,21&lt;='01_Вводные'!$B$297),0,(H73-H101)*IF('01_Вводные'!$B$239="Да",MeanMinAge21+H205*SUMIF(ThresholdAge21,"&lt;"&amp;H205,WeightedRevAge21)-SUMIF(ThresholdAge21,"&lt;"&amp;H205,WeightedMinAge21),MAX(CapacityAge21*'01_Вводные'!$B$218*H205,MeanMinAge21)))</f>
        <v/>
      </c>
      <c r="I157" s="190">
        <f>IF(OR((I73-I101)=0,21&lt;='01_Вводные'!$B$297),0,(I73-I101)*IF('01_Вводные'!$B$239="Да",MeanMinAge21+I205*SUMIF(ThresholdAge21,"&lt;"&amp;I205,WeightedRevAge21)-SUMIF(ThresholdAge21,"&lt;"&amp;I205,WeightedMinAge21),MAX(CapacityAge21*'01_Вводные'!$B$218*I205,MeanMinAge21)))</f>
        <v/>
      </c>
      <c r="J157" s="190">
        <f>IF(OR((J73-J101)=0,21&lt;='01_Вводные'!$B$297),0,(J73-J101)*IF('01_Вводные'!$B$239="Да",MeanMinAge21+J205*SUMIF(ThresholdAge21,"&lt;"&amp;J205,WeightedRevAge21)-SUMIF(ThresholdAge21,"&lt;"&amp;J205,WeightedMinAge21),MAX(CapacityAge21*'01_Вводные'!$B$218*J205,MeanMinAge21)))</f>
        <v/>
      </c>
      <c r="K157" s="190">
        <f>IF(OR((K73-K101)=0,21&lt;='01_Вводные'!$B$297),0,(K73-K101)*IF('01_Вводные'!$B$239="Да",MeanMinAge21+K205*SUMIF(ThresholdAge21,"&lt;"&amp;K205,WeightedRevAge21)-SUMIF(ThresholdAge21,"&lt;"&amp;K205,WeightedMinAge21),MAX(CapacityAge21*'01_Вводные'!$B$218*K205,MeanMinAge21)))</f>
        <v/>
      </c>
      <c r="L157" s="190">
        <f>IF(OR((L73-L101)=0,21&lt;='01_Вводные'!$B$297),0,(L73-L101)*IF('01_Вводные'!$B$239="Да",MeanMinAge21+L205*SUMIF(ThresholdAge21,"&lt;"&amp;L205,WeightedRevAge21)-SUMIF(ThresholdAge21,"&lt;"&amp;L205,WeightedMinAge21),MAX(CapacityAge21*'01_Вводные'!$B$218*L205,MeanMinAge21)))</f>
        <v/>
      </c>
      <c r="M157" s="190">
        <f>IF(OR((M73-M101)=0,21&lt;='01_Вводные'!$B$297),0,(M73-M101)*IF('01_Вводные'!$B$239="Да",MeanMinAge21+M205*SUMIF(ThresholdAge21,"&lt;"&amp;M205,WeightedRevAge21)-SUMIF(ThresholdAge21,"&lt;"&amp;M205,WeightedMinAge21),MAX(CapacityAge21*'01_Вводные'!$B$218*M205,MeanMinAge21)))</f>
        <v/>
      </c>
      <c r="N157" s="190">
        <f>IF(OR((N73-N101)=0,21&lt;='01_Вводные'!$B$297),0,(N73-N101)*IF('01_Вводные'!$B$239="Да",MeanMinAge21+N205*SUMIF(ThresholdAge21,"&lt;"&amp;N205,WeightedRevAge21)-SUMIF(ThresholdAge21,"&lt;"&amp;N205,WeightedMinAge21),MAX(CapacityAge21*'01_Вводные'!$B$218*N205,MeanMinAge21)))</f>
        <v/>
      </c>
      <c r="O157" s="190">
        <f>IF(OR((O73-O101)=0,21&lt;='01_Вводные'!$B$297),0,(O73-O101)*IF('01_Вводные'!$B$239="Да",MeanMinAge21+O205*SUMIF(ThresholdAge21,"&lt;"&amp;O205,WeightedRevAge21)-SUMIF(ThresholdAge21,"&lt;"&amp;O205,WeightedMinAge21),MAX(CapacityAge21*'01_Вводные'!$B$218*O205,MeanMinAge21)))</f>
        <v/>
      </c>
      <c r="P157" s="190">
        <f>IF(OR((P73-P101)=0,21&lt;='01_Вводные'!$B$297),0,(P73-P101)*IF('01_Вводные'!$B$239="Да",MeanMinAge21+P205*SUMIF(ThresholdAge21,"&lt;"&amp;P205,WeightedRevAge21)-SUMIF(ThresholdAge21,"&lt;"&amp;P205,WeightedMinAge21),MAX(CapacityAge21*'01_Вводные'!$B$218*P205,MeanMinAge21)))</f>
        <v/>
      </c>
      <c r="Q157" s="190">
        <f>IF(OR((Q73-Q101)=0,21&lt;='01_Вводные'!$B$297),0,(Q73-Q101)*IF('01_Вводные'!$B$239="Да",MeanMinAge21+Q205*SUMIF(ThresholdAge21,"&lt;"&amp;Q205,WeightedRevAge21)-SUMIF(ThresholdAge21,"&lt;"&amp;Q205,WeightedMinAge21),MAX(CapacityAge21*'01_Вводные'!$B$218*Q205,MeanMinAge21)))</f>
        <v/>
      </c>
      <c r="R157" s="190">
        <f>IF(OR((R73-R101)=0,21&lt;='01_Вводные'!$B$297),0,(R73-R101)*IF('01_Вводные'!$B$239="Да",MeanMinAge21+R205*SUMIF(ThresholdAge21,"&lt;"&amp;R205,WeightedRevAge21)-SUMIF(ThresholdAge21,"&lt;"&amp;R205,WeightedMinAge21),MAX(CapacityAge21*'01_Вводные'!$B$218*R205,MeanMinAge21)))</f>
        <v/>
      </c>
      <c r="S157" s="190">
        <f>IF(OR((S73-S101)=0,21&lt;='01_Вводные'!$B$297),0,(S73-S101)*IF('01_Вводные'!$B$239="Да",MeanMinAge21+S205*SUMIF(ThresholdAge21,"&lt;"&amp;S205,WeightedRevAge21)-SUMIF(ThresholdAge21,"&lt;"&amp;S205,WeightedMinAge21),MAX(CapacityAge21*'01_Вводные'!$B$218*S205,MeanMinAge21)))</f>
        <v/>
      </c>
      <c r="T157" s="190">
        <f>IF(OR((T73-T101)=0,21&lt;='01_Вводные'!$B$297),0,(T73-T101)*IF('01_Вводные'!$B$239="Да",MeanMinAge21+T205*SUMIF(ThresholdAge21,"&lt;"&amp;T205,WeightedRevAge21)-SUMIF(ThresholdAge21,"&lt;"&amp;T205,WeightedMinAge21),MAX(CapacityAge21*'01_Вводные'!$B$218*T205,MeanMinAge21)))</f>
        <v/>
      </c>
      <c r="U157" s="190">
        <f>IF(OR((U73-U101)=0,21&lt;='01_Вводные'!$B$297),0,(U73-U101)*IF('01_Вводные'!$B$239="Да",MeanMinAge21+U205*SUMIF(ThresholdAge21,"&lt;"&amp;U205,WeightedRevAge21)-SUMIF(ThresholdAge21,"&lt;"&amp;U205,WeightedMinAge21),MAX(CapacityAge21*'01_Вводные'!$B$218*U205,MeanMinAge21)))</f>
        <v/>
      </c>
      <c r="V157" s="190">
        <f>IF(OR((V73-V101)=0,21&lt;='01_Вводные'!$B$297),0,(V73-V101)*IF('01_Вводные'!$B$239="Да",MeanMinAge21+V205*SUMIF(ThresholdAge21,"&lt;"&amp;V205,WeightedRevAge21)-SUMIF(ThresholdAge21,"&lt;"&amp;V205,WeightedMinAge21),MAX(CapacityAge21*'01_Вводные'!$B$218*V205,MeanMinAge21)))</f>
        <v/>
      </c>
      <c r="W157" s="190">
        <f>IF(OR((W73-W101)=0,21&lt;='01_Вводные'!$B$297),0,(W73-W101)*IF('01_Вводные'!$B$239="Да",MeanMinAge21+W205*SUMIF(ThresholdAge21,"&lt;"&amp;W205,WeightedRevAge21)-SUMIF(ThresholdAge21,"&lt;"&amp;W205,WeightedMinAge21),MAX(CapacityAge21*'01_Вводные'!$B$218*W205,MeanMinAge21)))</f>
        <v/>
      </c>
      <c r="X157" s="190">
        <f>IF(OR((X73-X101)=0,21&lt;='01_Вводные'!$B$297),0,(X73-X101)*IF('01_Вводные'!$B$239="Да",MeanMinAge21+X205*SUMIF(ThresholdAge21,"&lt;"&amp;X205,WeightedRevAge21)-SUMIF(ThresholdAge21,"&lt;"&amp;X205,WeightedMinAge21),MAX(CapacityAge21*'01_Вводные'!$B$218*X205,MeanMinAge21)))</f>
        <v/>
      </c>
      <c r="Y157" s="190">
        <f>IF(OR((Y73-Y101)=0,21&lt;='01_Вводные'!$B$297),0,(Y73-Y101)*IF('01_Вводные'!$B$239="Да",MeanMinAge21+Y205*SUMIF(ThresholdAge21,"&lt;"&amp;Y205,WeightedRevAge21)-SUMIF(ThresholdAge21,"&lt;"&amp;Y205,WeightedMinAge21),MAX(CapacityAge21*'01_Вводные'!$B$218*Y205,MeanMinAge21)))</f>
        <v/>
      </c>
      <c r="Z157" s="190">
        <f>IF(OR((Z73-Z101)=0,21&lt;='01_Вводные'!$B$297),0,(Z73-Z101)*IF('01_Вводные'!$B$239="Да",MeanMinAge21+Z205*SUMIF(ThresholdAge21,"&lt;"&amp;Z205,WeightedRevAge21)-SUMIF(ThresholdAge21,"&lt;"&amp;Z205,WeightedMinAge21),MAX(CapacityAge21*'01_Вводные'!$B$218*Z205,MeanMinAge21)))</f>
        <v/>
      </c>
      <c r="AA157" s="190">
        <f>IF(OR((AA73-AA101)=0,21&lt;='01_Вводные'!$B$297),0,(AA73-AA101)*IF('01_Вводные'!$B$239="Да",MeanMinAge21+AA205*SUMIF(ThresholdAge21,"&lt;"&amp;AA205,WeightedRevAge21)-SUMIF(ThresholdAge21,"&lt;"&amp;AA205,WeightedMinAge21),MAX(CapacityAge21*'01_Вводные'!$B$218*AA205,MeanMinAge21)))</f>
        <v/>
      </c>
      <c r="AB157" s="190">
        <f>IF(OR((AB73-AB101)=0,21&lt;='01_Вводные'!$B$297),0,(AB73-AB101)*IF('01_Вводные'!$B$239="Да",MeanMinAge21+AB205*SUMIF(ThresholdAge21,"&lt;"&amp;AB205,WeightedRevAge21)-SUMIF(ThresholdAge21,"&lt;"&amp;AB205,WeightedMinAge21),MAX(CapacityAge21*'01_Вводные'!$B$218*AB205,MeanMinAge21)))</f>
        <v/>
      </c>
      <c r="AC157" s="190">
        <f>IF(OR((AC73-AC101)=0,21&lt;='01_Вводные'!$B$297),0,(AC73-AC101)*IF('01_Вводные'!$B$239="Да",MeanMinAge21+AC205*SUMIF(ThresholdAge21,"&lt;"&amp;AC205,WeightedRevAge21)-SUMIF(ThresholdAge21,"&lt;"&amp;AC205,WeightedMinAge21),MAX(CapacityAge21*'01_Вводные'!$B$218*AC205,MeanMinAge21)))</f>
        <v/>
      </c>
      <c r="AD157" s="190">
        <f>IF(OR((AD73-AD101)=0,21&lt;='01_Вводные'!$B$297),0,(AD73-AD101)*IF('01_Вводные'!$B$239="Да",MeanMinAge21+AD205*SUMIF(ThresholdAge21,"&lt;"&amp;AD205,WeightedRevAge21)-SUMIF(ThresholdAge21,"&lt;"&amp;AD205,WeightedMinAge21),MAX(CapacityAge21*'01_Вводные'!$B$218*AD205,MeanMinAge21)))</f>
        <v/>
      </c>
      <c r="AE157" s="190">
        <f>IF(OR((AE73-AE101)=0,21&lt;='01_Вводные'!$B$297),0,(AE73-AE101)*IF('01_Вводные'!$B$239="Да",MeanMinAge21+AE205*SUMIF(ThresholdAge21,"&lt;"&amp;AE205,WeightedRevAge21)-SUMIF(ThresholdAge21,"&lt;"&amp;AE205,WeightedMinAge21),MAX(CapacityAge21*'01_Вводные'!$B$218*AE205,MeanMinAge21)))</f>
        <v/>
      </c>
      <c r="AF157" s="190">
        <f>IF(OR((AF73-AF101)=0,21&lt;='01_Вводные'!$B$297),0,(AF73-AF101)*IF('01_Вводные'!$B$239="Да",MeanMinAge21+AF205*SUMIF(ThresholdAge21,"&lt;"&amp;AF205,WeightedRevAge21)-SUMIF(ThresholdAge21,"&lt;"&amp;AF205,WeightedMinAge21),MAX(CapacityAge21*'01_Вводные'!$B$218*AF205,MeanMinAge21)))</f>
        <v/>
      </c>
      <c r="AG157" s="190">
        <f>IF(OR((AG73-AG101)=0,21&lt;='01_Вводные'!$B$297),0,(AG73-AG101)*IF('01_Вводные'!$B$239="Да",MeanMinAge21+AG205*SUMIF(ThresholdAge21,"&lt;"&amp;AG205,WeightedRevAge21)-SUMIF(ThresholdAge21,"&lt;"&amp;AG205,WeightedMinAge21),MAX(CapacityAge21*'01_Вводные'!$B$218*AG205,MeanMinAge21)))</f>
        <v/>
      </c>
      <c r="AH157" s="190">
        <f>IF(OR((AH73-AH101)=0,21&lt;='01_Вводные'!$B$297),0,(AH73-AH101)*IF('01_Вводные'!$B$239="Да",MeanMinAge21+AH205*SUMIF(ThresholdAge21,"&lt;"&amp;AH205,WeightedRevAge21)-SUMIF(ThresholdAge21,"&lt;"&amp;AH205,WeightedMinAge21),MAX(CapacityAge21*'01_Вводные'!$B$218*AH205,MeanMinAge21)))</f>
        <v/>
      </c>
      <c r="AI157" s="190">
        <f>IF(OR((AI73-AI101)=0,21&lt;='01_Вводные'!$B$297),0,(AI73-AI101)*IF('01_Вводные'!$B$239="Да",MeanMinAge21+AI205*SUMIF(ThresholdAge21,"&lt;"&amp;AI205,WeightedRevAge21)-SUMIF(ThresholdAge21,"&lt;"&amp;AI205,WeightedMinAge21),MAX(CapacityAge21*'01_Вводные'!$B$218*AI205,MeanMinAge21)))</f>
        <v/>
      </c>
      <c r="AJ157" s="190">
        <f>IF(OR((AJ73-AJ101)=0,21&lt;='01_Вводные'!$B$297),0,(AJ73-AJ101)*IF('01_Вводные'!$B$239="Да",MeanMinAge21+AJ205*SUMIF(ThresholdAge21,"&lt;"&amp;AJ205,WeightedRevAge21)-SUMIF(ThresholdAge21,"&lt;"&amp;AJ205,WeightedMinAge21),MAX(CapacityAge21*'01_Вводные'!$B$218*AJ205,MeanMinAge21)))</f>
        <v/>
      </c>
      <c r="AK157" s="190">
        <f>IF(OR((AK73-AK101)=0,21&lt;='01_Вводные'!$B$297),0,(AK73-AK101)*IF('01_Вводные'!$B$239="Да",MeanMinAge21+AK205*SUMIF(ThresholdAge21,"&lt;"&amp;AK205,WeightedRevAge21)-SUMIF(ThresholdAge21,"&lt;"&amp;AK205,WeightedMinAge21),MAX(CapacityAge21*'01_Вводные'!$B$218*AK205,MeanMinAge21)))</f>
        <v/>
      </c>
      <c r="AL157" s="190">
        <f>IF(OR((AL73-AL101)=0,21&lt;='01_Вводные'!$B$297),0,(AL73-AL101)*IF('01_Вводные'!$B$239="Да",MeanMinAge21+AL205*SUMIF(ThresholdAge21,"&lt;"&amp;AL205,WeightedRevAge21)-SUMIF(ThresholdAge21,"&lt;"&amp;AL205,WeightedMinAge21),MAX(CapacityAge21*'01_Вводные'!$B$218*AL205,MeanMinAge21)))</f>
        <v/>
      </c>
      <c r="AM157" s="190">
        <f>IF(OR((AM73-AM101)=0,21&lt;='01_Вводные'!$B$297),0,(AM73-AM101)*IF('01_Вводные'!$B$239="Да",MeanMinAge21+AM205*SUMIF(ThresholdAge21,"&lt;"&amp;AM205,WeightedRevAge21)-SUMIF(ThresholdAge21,"&lt;"&amp;AM205,WeightedMinAge21),MAX(CapacityAge21*'01_Вводные'!$B$218*AM205,MeanMinAge21)))</f>
        <v/>
      </c>
      <c r="AN157" s="190">
        <f>IF(OR((AN73-AN101)=0,21&lt;='01_Вводные'!$B$297),0,(AN73-AN101)*IF('01_Вводные'!$B$239="Да",MeanMinAge21+AN205*SUMIF(ThresholdAge21,"&lt;"&amp;AN205,WeightedRevAge21)-SUMIF(ThresholdAge21,"&lt;"&amp;AN205,WeightedMinAge21),MAX(CapacityAge21*'01_Вводные'!$B$218*AN205,MeanMinAge21)))</f>
        <v/>
      </c>
      <c r="AO157" s="190">
        <f>IF(OR((AO73-AO101)=0,21&lt;='01_Вводные'!$B$297),0,(AO73-AO101)*IF('01_Вводные'!$B$239="Да",MeanMinAge21+AO205*SUMIF(ThresholdAge21,"&lt;"&amp;AO205,WeightedRevAge21)-SUMIF(ThresholdAge21,"&lt;"&amp;AO205,WeightedMinAge21),MAX(CapacityAge21*'01_Вводные'!$B$218*AO205,MeanMinAge21)))</f>
        <v/>
      </c>
      <c r="AP157" s="190">
        <f>IF(OR((AP73-AP101)=0,21&lt;='01_Вводные'!$B$297),0,(AP73-AP101)*IF('01_Вводные'!$B$239="Да",MeanMinAge21+AP205*SUMIF(ThresholdAge21,"&lt;"&amp;AP205,WeightedRevAge21)-SUMIF(ThresholdAge21,"&lt;"&amp;AP205,WeightedMinAge21),MAX(CapacityAge21*'01_Вводные'!$B$218*AP205,MeanMinAge21)))</f>
        <v/>
      </c>
      <c r="AQ157" s="190">
        <f>IF(OR((AQ73-AQ101)=0,21&lt;='01_Вводные'!$B$297),0,(AQ73-AQ101)*IF('01_Вводные'!$B$239="Да",MeanMinAge21+AQ205*SUMIF(ThresholdAge21,"&lt;"&amp;AQ205,WeightedRevAge21)-SUMIF(ThresholdAge21,"&lt;"&amp;AQ205,WeightedMinAge21),MAX(CapacityAge21*'01_Вводные'!$B$218*AQ205,MeanMinAge21)))</f>
        <v/>
      </c>
      <c r="AR157" s="190">
        <f>IF(OR((AR73-AR101)=0,21&lt;='01_Вводные'!$B$297),0,(AR73-AR101)*IF('01_Вводные'!$B$239="Да",MeanMinAge21+AR205*SUMIF(ThresholdAge21,"&lt;"&amp;AR205,WeightedRevAge21)-SUMIF(ThresholdAge21,"&lt;"&amp;AR205,WeightedMinAge21),MAX(CapacityAge21*'01_Вводные'!$B$218*AR205,MeanMinAge21)))</f>
        <v/>
      </c>
      <c r="AS157" s="190">
        <f>IF(OR((AS73-AS101)=0,21&lt;='01_Вводные'!$B$297),0,(AS73-AS101)*IF('01_Вводные'!$B$239="Да",MeanMinAge21+AS205*SUMIF(ThresholdAge21,"&lt;"&amp;AS205,WeightedRevAge21)-SUMIF(ThresholdAge21,"&lt;"&amp;AS205,WeightedMinAge21),MAX(CapacityAge21*'01_Вводные'!$B$218*AS205,MeanMinAge21)))</f>
        <v/>
      </c>
      <c r="AT157" s="190">
        <f>IF(OR((AT73-AT101)=0,21&lt;='01_Вводные'!$B$297),0,(AT73-AT101)*IF('01_Вводные'!$B$239="Да",MeanMinAge21+AT205*SUMIF(ThresholdAge21,"&lt;"&amp;AT205,WeightedRevAge21)-SUMIF(ThresholdAge21,"&lt;"&amp;AT205,WeightedMinAge21),MAX(CapacityAge21*'01_Вводные'!$B$218*AT205,MeanMinAge21)))</f>
        <v/>
      </c>
      <c r="AU157" s="190">
        <f>IF(OR((AU73-AU101)=0,21&lt;='01_Вводные'!$B$297),0,(AU73-AU101)*IF('01_Вводные'!$B$239="Да",MeanMinAge21+AU205*SUMIF(ThresholdAge21,"&lt;"&amp;AU205,WeightedRevAge21)-SUMIF(ThresholdAge21,"&lt;"&amp;AU205,WeightedMinAge21),MAX(CapacityAge21*'01_Вводные'!$B$218*AU205,MeanMinAge21)))</f>
        <v/>
      </c>
      <c r="AV157" s="190">
        <f>IF(OR((AV73-AV101)=0,21&lt;='01_Вводные'!$B$297),0,(AV73-AV101)*IF('01_Вводные'!$B$239="Да",MeanMinAge21+AV205*SUMIF(ThresholdAge21,"&lt;"&amp;AV205,WeightedRevAge21)-SUMIF(ThresholdAge21,"&lt;"&amp;AV205,WeightedMinAge21),MAX(CapacityAge21*'01_Вводные'!$B$218*AV205,MeanMinAge21)))</f>
        <v/>
      </c>
      <c r="AW157" s="190">
        <f>IF(OR((AW73-AW101)=0,21&lt;='01_Вводные'!$B$297),0,(AW73-AW101)*IF('01_Вводные'!$B$239="Да",MeanMinAge21+AW205*SUMIF(ThresholdAge21,"&lt;"&amp;AW205,WeightedRevAge21)-SUMIF(ThresholdAge21,"&lt;"&amp;AW205,WeightedMinAge21),MAX(CapacityAge21*'01_Вводные'!$B$218*AW205,MeanMinAge21)))</f>
        <v/>
      </c>
      <c r="AX157" s="190">
        <f>IF(OR((AX73-AX101)=0,21&lt;='01_Вводные'!$B$297),0,(AX73-AX101)*IF('01_Вводные'!$B$239="Да",MeanMinAge21+AX205*SUMIF(ThresholdAge21,"&lt;"&amp;AX205,WeightedRevAge21)-SUMIF(ThresholdAge21,"&lt;"&amp;AX205,WeightedMinAge21),MAX(CapacityAge21*'01_Вводные'!$B$218*AX205,MeanMinAge21)))</f>
        <v/>
      </c>
      <c r="AY157" s="190">
        <f>IF(OR((AY73-AY101)=0,21&lt;='01_Вводные'!$B$297),0,(AY73-AY101)*IF('01_Вводные'!$B$239="Да",MeanMinAge21+AY205*SUMIF(ThresholdAge21,"&lt;"&amp;AY205,WeightedRevAge21)-SUMIF(ThresholdAge21,"&lt;"&amp;AY205,WeightedMinAge21),MAX(CapacityAge21*'01_Вводные'!$B$218*AY205,MeanMinAge21)))</f>
        <v/>
      </c>
      <c r="AZ157" s="190">
        <f>IF(OR((AZ73-AZ101)=0,21&lt;='01_Вводные'!$B$297),0,(AZ73-AZ101)*IF('01_Вводные'!$B$239="Да",MeanMinAge21+AZ205*SUMIF(ThresholdAge21,"&lt;"&amp;AZ205,WeightedRevAge21)-SUMIF(ThresholdAge21,"&lt;"&amp;AZ205,WeightedMinAge21),MAX(CapacityAge21*'01_Вводные'!$B$218*AZ205,MeanMinAge21)))</f>
        <v/>
      </c>
      <c r="BA157" s="190">
        <f>IF(OR((BA73-BA101)=0,21&lt;='01_Вводные'!$B$297),0,(BA73-BA101)*IF('01_Вводные'!$B$239="Да",MeanMinAge21+BA205*SUMIF(ThresholdAge21,"&lt;"&amp;BA205,WeightedRevAge21)-SUMIF(ThresholdAge21,"&lt;"&amp;BA205,WeightedMinAge21),MAX(CapacityAge21*'01_Вводные'!$B$218*BA205,MeanMinAge21)))</f>
        <v/>
      </c>
      <c r="BB157" s="190">
        <f>IF(OR((BB73-BB101)=0,21&lt;='01_Вводные'!$B$297),0,(BB73-BB101)*IF('01_Вводные'!$B$239="Да",MeanMinAge21+BB205*SUMIF(ThresholdAge21,"&lt;"&amp;BB205,WeightedRevAge21)-SUMIF(ThresholdAge21,"&lt;"&amp;BB205,WeightedMinAge21),MAX(CapacityAge21*'01_Вводные'!$B$218*BB205,MeanMinAge21)))</f>
        <v/>
      </c>
      <c r="BC157" s="190">
        <f>IF(OR((BC73-BC101)=0,21&lt;='01_Вводные'!$B$297),0,(BC73-BC101)*IF('01_Вводные'!$B$239="Да",MeanMinAge21+BC205*SUMIF(ThresholdAge21,"&lt;"&amp;BC205,WeightedRevAge21)-SUMIF(ThresholdAge21,"&lt;"&amp;BC205,WeightedMinAge21),MAX(CapacityAge21*'01_Вводные'!$B$218*BC205,MeanMinAge21)))</f>
        <v/>
      </c>
      <c r="BD157" s="190">
        <f>IF(OR((BD73-BD101)=0,21&lt;='01_Вводные'!$B$297),0,(BD73-BD101)*IF('01_Вводные'!$B$239="Да",MeanMinAge21+BD205*SUMIF(ThresholdAge21,"&lt;"&amp;BD205,WeightedRevAge21)-SUMIF(ThresholdAge21,"&lt;"&amp;BD205,WeightedMinAge21),MAX(CapacityAge21*'01_Вводные'!$B$218*BD205,MeanMinAge21)))</f>
        <v/>
      </c>
      <c r="BE157" s="190">
        <f>IF(OR((BE73-BE101)=0,21&lt;='01_Вводные'!$B$297),0,(BE73-BE101)*IF('01_Вводные'!$B$239="Да",MeanMinAge21+BE205*SUMIF(ThresholdAge21,"&lt;"&amp;BE205,WeightedRevAge21)-SUMIF(ThresholdAge21,"&lt;"&amp;BE205,WeightedMinAge21),MAX(CapacityAge21*'01_Вводные'!$B$218*BE205,MeanMinAge21)))</f>
        <v/>
      </c>
      <c r="BF157" s="190">
        <f>IF(OR((BF73-BF101)=0,21&lt;='01_Вводные'!$B$297),0,(BF73-BF101)*IF('01_Вводные'!$B$239="Да",MeanMinAge21+BF205*SUMIF(ThresholdAge21,"&lt;"&amp;BF205,WeightedRevAge21)-SUMIF(ThresholdAge21,"&lt;"&amp;BF205,WeightedMinAge21),MAX(CapacityAge21*'01_Вводные'!$B$218*BF205,MeanMinAge21)))</f>
        <v/>
      </c>
      <c r="BG157" s="190">
        <f>IF(OR((BG73-BG101)=0,21&lt;='01_Вводные'!$B$297),0,(BG73-BG101)*IF('01_Вводные'!$B$239="Да",MeanMinAge21+BG205*SUMIF(ThresholdAge21,"&lt;"&amp;BG205,WeightedRevAge21)-SUMIF(ThresholdAge21,"&lt;"&amp;BG205,WeightedMinAge21),MAX(CapacityAge21*'01_Вводные'!$B$218*BG205,MeanMinAge21)))</f>
        <v/>
      </c>
      <c r="BH157" s="190">
        <f>IF(OR((BH73-BH101)=0,21&lt;='01_Вводные'!$B$297),0,(BH73-BH101)*IF('01_Вводные'!$B$239="Да",MeanMinAge21+BH205*SUMIF(ThresholdAge21,"&lt;"&amp;BH205,WeightedRevAge21)-SUMIF(ThresholdAge21,"&lt;"&amp;BH205,WeightedMinAge21),MAX(CapacityAge21*'01_Вводные'!$B$218*BH205,MeanMinAge21)))</f>
        <v/>
      </c>
      <c r="BI157" s="190">
        <f>IF(OR((BI73-BI101)=0,21&lt;='01_Вводные'!$B$297),0,(BI73-BI101)*IF('01_Вводные'!$B$239="Да",MeanMinAge21+BI205*SUMIF(ThresholdAge21,"&lt;"&amp;BI205,WeightedRevAge21)-SUMIF(ThresholdAge21,"&lt;"&amp;BI205,WeightedMinAge21),MAX(CapacityAge21*'01_Вводные'!$B$218*BI205,MeanMinAge21)))</f>
        <v/>
      </c>
      <c r="BJ157" s="190">
        <f>IF(OR((BJ73-BJ101)=0,21&lt;='01_Вводные'!$B$297),0,(BJ73-BJ101)*IF('01_Вводные'!$B$239="Да",MeanMinAge21+BJ205*SUMIF(ThresholdAge21,"&lt;"&amp;BJ205,WeightedRevAge21)-SUMIF(ThresholdAge21,"&lt;"&amp;BJ205,WeightedMinAge21),MAX(CapacityAge21*'01_Вводные'!$B$218*BJ205,MeanMinAge21)))</f>
        <v/>
      </c>
      <c r="BK157" s="190">
        <f>IF(OR((BK73-BK101)=0,21&lt;='01_Вводные'!$B$297),0,(BK73-BK101)*IF('01_Вводные'!$B$239="Да",MeanMinAge21+BK205*SUMIF(ThresholdAge21,"&lt;"&amp;BK205,WeightedRevAge21)-SUMIF(ThresholdAge21,"&lt;"&amp;BK205,WeightedMinAge21),MAX(CapacityAge21*'01_Вводные'!$B$218*BK205,MeanMinAge21)))</f>
        <v/>
      </c>
      <c r="BL157" s="190">
        <f>IF(OR((BL73-BL101)=0,21&lt;='01_Вводные'!$B$297),0,(BL73-BL101)*IF('01_Вводные'!$B$239="Да",MeanMinAge21+BL205*SUMIF(ThresholdAge21,"&lt;"&amp;BL205,WeightedRevAge21)-SUMIF(ThresholdAge21,"&lt;"&amp;BL205,WeightedMinAge21),MAX(CapacityAge21*'01_Вводные'!$B$218*BL205,MeanMinAge21)))</f>
        <v/>
      </c>
      <c r="BM157" s="190">
        <f>IF(OR((BM73-BM101)=0,21&lt;='01_Вводные'!$B$297),0,(BM73-BM101)*IF('01_Вводные'!$B$239="Да",MeanMinAge21+BM205*SUMIF(ThresholdAge21,"&lt;"&amp;BM205,WeightedRevAge21)-SUMIF(ThresholdAge21,"&lt;"&amp;BM205,WeightedMinAge21),MAX(CapacityAge21*'01_Вводные'!$B$218*BM205,MeanMinAge21)))</f>
        <v/>
      </c>
      <c r="BN157" s="190">
        <f>IF(OR((BN73-BN101)=0,21&lt;='01_Вводные'!$B$297),0,(BN73-BN101)*IF('01_Вводные'!$B$239="Да",MeanMinAge21+BN205*SUMIF(ThresholdAge21,"&lt;"&amp;BN205,WeightedRevAge21)-SUMIF(ThresholdAge21,"&lt;"&amp;BN205,WeightedMinAge21),MAX(CapacityAge21*'01_Вводные'!$B$218*BN205,MeanMinAge21)))</f>
        <v/>
      </c>
      <c r="BO157" s="190">
        <f>IF(OR((BO73-BO101)=0,21&lt;='01_Вводные'!$B$297),0,(BO73-BO101)*IF('01_Вводные'!$B$239="Да",MeanMinAge21+BO205*SUMIF(ThresholdAge21,"&lt;"&amp;BO205,WeightedRevAge21)-SUMIF(ThresholdAge21,"&lt;"&amp;BO205,WeightedMinAge21),MAX(CapacityAge21*'01_Вводные'!$B$218*BO205,MeanMinAge21)))</f>
        <v/>
      </c>
    </row>
    <row r="158" hidden="1" outlineLevel="1">
      <c r="A158" t="inlineStr">
        <is>
          <t>22 мес.</t>
        </is>
      </c>
      <c r="B158" s="190">
        <f>IF(OR((B74-B102)=0,22&lt;='01_Вводные'!$B$297),0,(B74-B102)*IF('01_Вводные'!$B$239="Да",MeanMinAge22+B205*SUMIF(ThresholdAge22,"&lt;"&amp;B205,WeightedRevAge22)-SUMIF(ThresholdAge22,"&lt;"&amp;B205,WeightedMinAge22),MAX(CapacityAge22*'01_Вводные'!$B$218*B205,MeanMinAge22)))</f>
        <v/>
      </c>
      <c r="C158" s="190">
        <f>IF(OR((C74-C102)=0,22&lt;='01_Вводные'!$B$297),0,(C74-C102)*IF('01_Вводные'!$B$239="Да",MeanMinAge22+C205*SUMIF(ThresholdAge22,"&lt;"&amp;C205,WeightedRevAge22)-SUMIF(ThresholdAge22,"&lt;"&amp;C205,WeightedMinAge22),MAX(CapacityAge22*'01_Вводные'!$B$218*C205,MeanMinAge22)))</f>
        <v/>
      </c>
      <c r="D158" s="190">
        <f>IF(OR((D74-D102)=0,22&lt;='01_Вводные'!$B$297),0,(D74-D102)*IF('01_Вводные'!$B$239="Да",MeanMinAge22+D205*SUMIF(ThresholdAge22,"&lt;"&amp;D205,WeightedRevAge22)-SUMIF(ThresholdAge22,"&lt;"&amp;D205,WeightedMinAge22),MAX(CapacityAge22*'01_Вводные'!$B$218*D205,MeanMinAge22)))</f>
        <v/>
      </c>
      <c r="E158" s="190">
        <f>IF(OR((E74-E102)=0,22&lt;='01_Вводные'!$B$297),0,(E74-E102)*IF('01_Вводные'!$B$239="Да",MeanMinAge22+E205*SUMIF(ThresholdAge22,"&lt;"&amp;E205,WeightedRevAge22)-SUMIF(ThresholdAge22,"&lt;"&amp;E205,WeightedMinAge22),MAX(CapacityAge22*'01_Вводные'!$B$218*E205,MeanMinAge22)))</f>
        <v/>
      </c>
      <c r="F158" s="190">
        <f>IF(OR((F74-F102)=0,22&lt;='01_Вводные'!$B$297),0,(F74-F102)*IF('01_Вводные'!$B$239="Да",MeanMinAge22+F205*SUMIF(ThresholdAge22,"&lt;"&amp;F205,WeightedRevAge22)-SUMIF(ThresholdAge22,"&lt;"&amp;F205,WeightedMinAge22),MAX(CapacityAge22*'01_Вводные'!$B$218*F205,MeanMinAge22)))</f>
        <v/>
      </c>
      <c r="G158" s="190">
        <f>IF(OR((G74-G102)=0,22&lt;='01_Вводные'!$B$297),0,(G74-G102)*IF('01_Вводные'!$B$239="Да",MeanMinAge22+G205*SUMIF(ThresholdAge22,"&lt;"&amp;G205,WeightedRevAge22)-SUMIF(ThresholdAge22,"&lt;"&amp;G205,WeightedMinAge22),MAX(CapacityAge22*'01_Вводные'!$B$218*G205,MeanMinAge22)))</f>
        <v/>
      </c>
      <c r="H158" s="190">
        <f>IF(OR((H74-H102)=0,22&lt;='01_Вводные'!$B$297),0,(H74-H102)*IF('01_Вводные'!$B$239="Да",MeanMinAge22+H205*SUMIF(ThresholdAge22,"&lt;"&amp;H205,WeightedRevAge22)-SUMIF(ThresholdAge22,"&lt;"&amp;H205,WeightedMinAge22),MAX(CapacityAge22*'01_Вводные'!$B$218*H205,MeanMinAge22)))</f>
        <v/>
      </c>
      <c r="I158" s="190">
        <f>IF(OR((I74-I102)=0,22&lt;='01_Вводные'!$B$297),0,(I74-I102)*IF('01_Вводные'!$B$239="Да",MeanMinAge22+I205*SUMIF(ThresholdAge22,"&lt;"&amp;I205,WeightedRevAge22)-SUMIF(ThresholdAge22,"&lt;"&amp;I205,WeightedMinAge22),MAX(CapacityAge22*'01_Вводные'!$B$218*I205,MeanMinAge22)))</f>
        <v/>
      </c>
      <c r="J158" s="190">
        <f>IF(OR((J74-J102)=0,22&lt;='01_Вводные'!$B$297),0,(J74-J102)*IF('01_Вводные'!$B$239="Да",MeanMinAge22+J205*SUMIF(ThresholdAge22,"&lt;"&amp;J205,WeightedRevAge22)-SUMIF(ThresholdAge22,"&lt;"&amp;J205,WeightedMinAge22),MAX(CapacityAge22*'01_Вводные'!$B$218*J205,MeanMinAge22)))</f>
        <v/>
      </c>
      <c r="K158" s="190">
        <f>IF(OR((K74-K102)=0,22&lt;='01_Вводные'!$B$297),0,(K74-K102)*IF('01_Вводные'!$B$239="Да",MeanMinAge22+K205*SUMIF(ThresholdAge22,"&lt;"&amp;K205,WeightedRevAge22)-SUMIF(ThresholdAge22,"&lt;"&amp;K205,WeightedMinAge22),MAX(CapacityAge22*'01_Вводные'!$B$218*K205,MeanMinAge22)))</f>
        <v/>
      </c>
      <c r="L158" s="190">
        <f>IF(OR((L74-L102)=0,22&lt;='01_Вводные'!$B$297),0,(L74-L102)*IF('01_Вводные'!$B$239="Да",MeanMinAge22+L205*SUMIF(ThresholdAge22,"&lt;"&amp;L205,WeightedRevAge22)-SUMIF(ThresholdAge22,"&lt;"&amp;L205,WeightedMinAge22),MAX(CapacityAge22*'01_Вводные'!$B$218*L205,MeanMinAge22)))</f>
        <v/>
      </c>
      <c r="M158" s="190">
        <f>IF(OR((M74-M102)=0,22&lt;='01_Вводные'!$B$297),0,(M74-M102)*IF('01_Вводные'!$B$239="Да",MeanMinAge22+M205*SUMIF(ThresholdAge22,"&lt;"&amp;M205,WeightedRevAge22)-SUMIF(ThresholdAge22,"&lt;"&amp;M205,WeightedMinAge22),MAX(CapacityAge22*'01_Вводные'!$B$218*M205,MeanMinAge22)))</f>
        <v/>
      </c>
      <c r="N158" s="190">
        <f>IF(OR((N74-N102)=0,22&lt;='01_Вводные'!$B$297),0,(N74-N102)*IF('01_Вводные'!$B$239="Да",MeanMinAge22+N205*SUMIF(ThresholdAge22,"&lt;"&amp;N205,WeightedRevAge22)-SUMIF(ThresholdAge22,"&lt;"&amp;N205,WeightedMinAge22),MAX(CapacityAge22*'01_Вводные'!$B$218*N205,MeanMinAge22)))</f>
        <v/>
      </c>
      <c r="O158" s="190">
        <f>IF(OR((O74-O102)=0,22&lt;='01_Вводные'!$B$297),0,(O74-O102)*IF('01_Вводные'!$B$239="Да",MeanMinAge22+O205*SUMIF(ThresholdAge22,"&lt;"&amp;O205,WeightedRevAge22)-SUMIF(ThresholdAge22,"&lt;"&amp;O205,WeightedMinAge22),MAX(CapacityAge22*'01_Вводные'!$B$218*O205,MeanMinAge22)))</f>
        <v/>
      </c>
      <c r="P158" s="190">
        <f>IF(OR((P74-P102)=0,22&lt;='01_Вводные'!$B$297),0,(P74-P102)*IF('01_Вводные'!$B$239="Да",MeanMinAge22+P205*SUMIF(ThresholdAge22,"&lt;"&amp;P205,WeightedRevAge22)-SUMIF(ThresholdAge22,"&lt;"&amp;P205,WeightedMinAge22),MAX(CapacityAge22*'01_Вводные'!$B$218*P205,MeanMinAge22)))</f>
        <v/>
      </c>
      <c r="Q158" s="190">
        <f>IF(OR((Q74-Q102)=0,22&lt;='01_Вводные'!$B$297),0,(Q74-Q102)*IF('01_Вводные'!$B$239="Да",MeanMinAge22+Q205*SUMIF(ThresholdAge22,"&lt;"&amp;Q205,WeightedRevAge22)-SUMIF(ThresholdAge22,"&lt;"&amp;Q205,WeightedMinAge22),MAX(CapacityAge22*'01_Вводные'!$B$218*Q205,MeanMinAge22)))</f>
        <v/>
      </c>
      <c r="R158" s="190">
        <f>IF(OR((R74-R102)=0,22&lt;='01_Вводные'!$B$297),0,(R74-R102)*IF('01_Вводные'!$B$239="Да",MeanMinAge22+R205*SUMIF(ThresholdAge22,"&lt;"&amp;R205,WeightedRevAge22)-SUMIF(ThresholdAge22,"&lt;"&amp;R205,WeightedMinAge22),MAX(CapacityAge22*'01_Вводные'!$B$218*R205,MeanMinAge22)))</f>
        <v/>
      </c>
      <c r="S158" s="190">
        <f>IF(OR((S74-S102)=0,22&lt;='01_Вводные'!$B$297),0,(S74-S102)*IF('01_Вводные'!$B$239="Да",MeanMinAge22+S205*SUMIF(ThresholdAge22,"&lt;"&amp;S205,WeightedRevAge22)-SUMIF(ThresholdAge22,"&lt;"&amp;S205,WeightedMinAge22),MAX(CapacityAge22*'01_Вводные'!$B$218*S205,MeanMinAge22)))</f>
        <v/>
      </c>
      <c r="T158" s="190">
        <f>IF(OR((T74-T102)=0,22&lt;='01_Вводные'!$B$297),0,(T74-T102)*IF('01_Вводные'!$B$239="Да",MeanMinAge22+T205*SUMIF(ThresholdAge22,"&lt;"&amp;T205,WeightedRevAge22)-SUMIF(ThresholdAge22,"&lt;"&amp;T205,WeightedMinAge22),MAX(CapacityAge22*'01_Вводные'!$B$218*T205,MeanMinAge22)))</f>
        <v/>
      </c>
      <c r="U158" s="190">
        <f>IF(OR((U74-U102)=0,22&lt;='01_Вводные'!$B$297),0,(U74-U102)*IF('01_Вводные'!$B$239="Да",MeanMinAge22+U205*SUMIF(ThresholdAge22,"&lt;"&amp;U205,WeightedRevAge22)-SUMIF(ThresholdAge22,"&lt;"&amp;U205,WeightedMinAge22),MAX(CapacityAge22*'01_Вводные'!$B$218*U205,MeanMinAge22)))</f>
        <v/>
      </c>
      <c r="V158" s="190">
        <f>IF(OR((V74-V102)=0,22&lt;='01_Вводные'!$B$297),0,(V74-V102)*IF('01_Вводные'!$B$239="Да",MeanMinAge22+V205*SUMIF(ThresholdAge22,"&lt;"&amp;V205,WeightedRevAge22)-SUMIF(ThresholdAge22,"&lt;"&amp;V205,WeightedMinAge22),MAX(CapacityAge22*'01_Вводные'!$B$218*V205,MeanMinAge22)))</f>
        <v/>
      </c>
      <c r="W158" s="190">
        <f>IF(OR((W74-W102)=0,22&lt;='01_Вводные'!$B$297),0,(W74-W102)*IF('01_Вводные'!$B$239="Да",MeanMinAge22+W205*SUMIF(ThresholdAge22,"&lt;"&amp;W205,WeightedRevAge22)-SUMIF(ThresholdAge22,"&lt;"&amp;W205,WeightedMinAge22),MAX(CapacityAge22*'01_Вводные'!$B$218*W205,MeanMinAge22)))</f>
        <v/>
      </c>
      <c r="X158" s="190">
        <f>IF(OR((X74-X102)=0,22&lt;='01_Вводные'!$B$297),0,(X74-X102)*IF('01_Вводные'!$B$239="Да",MeanMinAge22+X205*SUMIF(ThresholdAge22,"&lt;"&amp;X205,WeightedRevAge22)-SUMIF(ThresholdAge22,"&lt;"&amp;X205,WeightedMinAge22),MAX(CapacityAge22*'01_Вводные'!$B$218*X205,MeanMinAge22)))</f>
        <v/>
      </c>
      <c r="Y158" s="190">
        <f>IF(OR((Y74-Y102)=0,22&lt;='01_Вводные'!$B$297),0,(Y74-Y102)*IF('01_Вводные'!$B$239="Да",MeanMinAge22+Y205*SUMIF(ThresholdAge22,"&lt;"&amp;Y205,WeightedRevAge22)-SUMIF(ThresholdAge22,"&lt;"&amp;Y205,WeightedMinAge22),MAX(CapacityAge22*'01_Вводные'!$B$218*Y205,MeanMinAge22)))</f>
        <v/>
      </c>
      <c r="Z158" s="190">
        <f>IF(OR((Z74-Z102)=0,22&lt;='01_Вводные'!$B$297),0,(Z74-Z102)*IF('01_Вводные'!$B$239="Да",MeanMinAge22+Z205*SUMIF(ThresholdAge22,"&lt;"&amp;Z205,WeightedRevAge22)-SUMIF(ThresholdAge22,"&lt;"&amp;Z205,WeightedMinAge22),MAX(CapacityAge22*'01_Вводные'!$B$218*Z205,MeanMinAge22)))</f>
        <v/>
      </c>
      <c r="AA158" s="190">
        <f>IF(OR((AA74-AA102)=0,22&lt;='01_Вводные'!$B$297),0,(AA74-AA102)*IF('01_Вводные'!$B$239="Да",MeanMinAge22+AA205*SUMIF(ThresholdAge22,"&lt;"&amp;AA205,WeightedRevAge22)-SUMIF(ThresholdAge22,"&lt;"&amp;AA205,WeightedMinAge22),MAX(CapacityAge22*'01_Вводные'!$B$218*AA205,MeanMinAge22)))</f>
        <v/>
      </c>
      <c r="AB158" s="190">
        <f>IF(OR((AB74-AB102)=0,22&lt;='01_Вводные'!$B$297),0,(AB74-AB102)*IF('01_Вводные'!$B$239="Да",MeanMinAge22+AB205*SUMIF(ThresholdAge22,"&lt;"&amp;AB205,WeightedRevAge22)-SUMIF(ThresholdAge22,"&lt;"&amp;AB205,WeightedMinAge22),MAX(CapacityAge22*'01_Вводные'!$B$218*AB205,MeanMinAge22)))</f>
        <v/>
      </c>
      <c r="AC158" s="190">
        <f>IF(OR((AC74-AC102)=0,22&lt;='01_Вводные'!$B$297),0,(AC74-AC102)*IF('01_Вводные'!$B$239="Да",MeanMinAge22+AC205*SUMIF(ThresholdAge22,"&lt;"&amp;AC205,WeightedRevAge22)-SUMIF(ThresholdAge22,"&lt;"&amp;AC205,WeightedMinAge22),MAX(CapacityAge22*'01_Вводные'!$B$218*AC205,MeanMinAge22)))</f>
        <v/>
      </c>
      <c r="AD158" s="190">
        <f>IF(OR((AD74-AD102)=0,22&lt;='01_Вводные'!$B$297),0,(AD74-AD102)*IF('01_Вводные'!$B$239="Да",MeanMinAge22+AD205*SUMIF(ThresholdAge22,"&lt;"&amp;AD205,WeightedRevAge22)-SUMIF(ThresholdAge22,"&lt;"&amp;AD205,WeightedMinAge22),MAX(CapacityAge22*'01_Вводные'!$B$218*AD205,MeanMinAge22)))</f>
        <v/>
      </c>
      <c r="AE158" s="190">
        <f>IF(OR((AE74-AE102)=0,22&lt;='01_Вводные'!$B$297),0,(AE74-AE102)*IF('01_Вводные'!$B$239="Да",MeanMinAge22+AE205*SUMIF(ThresholdAge22,"&lt;"&amp;AE205,WeightedRevAge22)-SUMIF(ThresholdAge22,"&lt;"&amp;AE205,WeightedMinAge22),MAX(CapacityAge22*'01_Вводные'!$B$218*AE205,MeanMinAge22)))</f>
        <v/>
      </c>
      <c r="AF158" s="190">
        <f>IF(OR((AF74-AF102)=0,22&lt;='01_Вводные'!$B$297),0,(AF74-AF102)*IF('01_Вводные'!$B$239="Да",MeanMinAge22+AF205*SUMIF(ThresholdAge22,"&lt;"&amp;AF205,WeightedRevAge22)-SUMIF(ThresholdAge22,"&lt;"&amp;AF205,WeightedMinAge22),MAX(CapacityAge22*'01_Вводные'!$B$218*AF205,MeanMinAge22)))</f>
        <v/>
      </c>
      <c r="AG158" s="190">
        <f>IF(OR((AG74-AG102)=0,22&lt;='01_Вводные'!$B$297),0,(AG74-AG102)*IF('01_Вводные'!$B$239="Да",MeanMinAge22+AG205*SUMIF(ThresholdAge22,"&lt;"&amp;AG205,WeightedRevAge22)-SUMIF(ThresholdAge22,"&lt;"&amp;AG205,WeightedMinAge22),MAX(CapacityAge22*'01_Вводные'!$B$218*AG205,MeanMinAge22)))</f>
        <v/>
      </c>
      <c r="AH158" s="190">
        <f>IF(OR((AH74-AH102)=0,22&lt;='01_Вводные'!$B$297),0,(AH74-AH102)*IF('01_Вводные'!$B$239="Да",MeanMinAge22+AH205*SUMIF(ThresholdAge22,"&lt;"&amp;AH205,WeightedRevAge22)-SUMIF(ThresholdAge22,"&lt;"&amp;AH205,WeightedMinAge22),MAX(CapacityAge22*'01_Вводные'!$B$218*AH205,MeanMinAge22)))</f>
        <v/>
      </c>
      <c r="AI158" s="190">
        <f>IF(OR((AI74-AI102)=0,22&lt;='01_Вводные'!$B$297),0,(AI74-AI102)*IF('01_Вводные'!$B$239="Да",MeanMinAge22+AI205*SUMIF(ThresholdAge22,"&lt;"&amp;AI205,WeightedRevAge22)-SUMIF(ThresholdAge22,"&lt;"&amp;AI205,WeightedMinAge22),MAX(CapacityAge22*'01_Вводные'!$B$218*AI205,MeanMinAge22)))</f>
        <v/>
      </c>
      <c r="AJ158" s="190">
        <f>IF(OR((AJ74-AJ102)=0,22&lt;='01_Вводные'!$B$297),0,(AJ74-AJ102)*IF('01_Вводные'!$B$239="Да",MeanMinAge22+AJ205*SUMIF(ThresholdAge22,"&lt;"&amp;AJ205,WeightedRevAge22)-SUMIF(ThresholdAge22,"&lt;"&amp;AJ205,WeightedMinAge22),MAX(CapacityAge22*'01_Вводные'!$B$218*AJ205,MeanMinAge22)))</f>
        <v/>
      </c>
      <c r="AK158" s="190">
        <f>IF(OR((AK74-AK102)=0,22&lt;='01_Вводные'!$B$297),0,(AK74-AK102)*IF('01_Вводные'!$B$239="Да",MeanMinAge22+AK205*SUMIF(ThresholdAge22,"&lt;"&amp;AK205,WeightedRevAge22)-SUMIF(ThresholdAge22,"&lt;"&amp;AK205,WeightedMinAge22),MAX(CapacityAge22*'01_Вводные'!$B$218*AK205,MeanMinAge22)))</f>
        <v/>
      </c>
      <c r="AL158" s="190">
        <f>IF(OR((AL74-AL102)=0,22&lt;='01_Вводные'!$B$297),0,(AL74-AL102)*IF('01_Вводные'!$B$239="Да",MeanMinAge22+AL205*SUMIF(ThresholdAge22,"&lt;"&amp;AL205,WeightedRevAge22)-SUMIF(ThresholdAge22,"&lt;"&amp;AL205,WeightedMinAge22),MAX(CapacityAge22*'01_Вводные'!$B$218*AL205,MeanMinAge22)))</f>
        <v/>
      </c>
      <c r="AM158" s="190">
        <f>IF(OR((AM74-AM102)=0,22&lt;='01_Вводные'!$B$297),0,(AM74-AM102)*IF('01_Вводные'!$B$239="Да",MeanMinAge22+AM205*SUMIF(ThresholdAge22,"&lt;"&amp;AM205,WeightedRevAge22)-SUMIF(ThresholdAge22,"&lt;"&amp;AM205,WeightedMinAge22),MAX(CapacityAge22*'01_Вводные'!$B$218*AM205,MeanMinAge22)))</f>
        <v/>
      </c>
      <c r="AN158" s="190">
        <f>IF(OR((AN74-AN102)=0,22&lt;='01_Вводные'!$B$297),0,(AN74-AN102)*IF('01_Вводные'!$B$239="Да",MeanMinAge22+AN205*SUMIF(ThresholdAge22,"&lt;"&amp;AN205,WeightedRevAge22)-SUMIF(ThresholdAge22,"&lt;"&amp;AN205,WeightedMinAge22),MAX(CapacityAge22*'01_Вводные'!$B$218*AN205,MeanMinAge22)))</f>
        <v/>
      </c>
      <c r="AO158" s="190">
        <f>IF(OR((AO74-AO102)=0,22&lt;='01_Вводные'!$B$297),0,(AO74-AO102)*IF('01_Вводные'!$B$239="Да",MeanMinAge22+AO205*SUMIF(ThresholdAge22,"&lt;"&amp;AO205,WeightedRevAge22)-SUMIF(ThresholdAge22,"&lt;"&amp;AO205,WeightedMinAge22),MAX(CapacityAge22*'01_Вводные'!$B$218*AO205,MeanMinAge22)))</f>
        <v/>
      </c>
      <c r="AP158" s="190">
        <f>IF(OR((AP74-AP102)=0,22&lt;='01_Вводные'!$B$297),0,(AP74-AP102)*IF('01_Вводные'!$B$239="Да",MeanMinAge22+AP205*SUMIF(ThresholdAge22,"&lt;"&amp;AP205,WeightedRevAge22)-SUMIF(ThresholdAge22,"&lt;"&amp;AP205,WeightedMinAge22),MAX(CapacityAge22*'01_Вводные'!$B$218*AP205,MeanMinAge22)))</f>
        <v/>
      </c>
      <c r="AQ158" s="190">
        <f>IF(OR((AQ74-AQ102)=0,22&lt;='01_Вводные'!$B$297),0,(AQ74-AQ102)*IF('01_Вводные'!$B$239="Да",MeanMinAge22+AQ205*SUMIF(ThresholdAge22,"&lt;"&amp;AQ205,WeightedRevAge22)-SUMIF(ThresholdAge22,"&lt;"&amp;AQ205,WeightedMinAge22),MAX(CapacityAge22*'01_Вводные'!$B$218*AQ205,MeanMinAge22)))</f>
        <v/>
      </c>
      <c r="AR158" s="190">
        <f>IF(OR((AR74-AR102)=0,22&lt;='01_Вводные'!$B$297),0,(AR74-AR102)*IF('01_Вводные'!$B$239="Да",MeanMinAge22+AR205*SUMIF(ThresholdAge22,"&lt;"&amp;AR205,WeightedRevAge22)-SUMIF(ThresholdAge22,"&lt;"&amp;AR205,WeightedMinAge22),MAX(CapacityAge22*'01_Вводные'!$B$218*AR205,MeanMinAge22)))</f>
        <v/>
      </c>
      <c r="AS158" s="190">
        <f>IF(OR((AS74-AS102)=0,22&lt;='01_Вводные'!$B$297),0,(AS74-AS102)*IF('01_Вводные'!$B$239="Да",MeanMinAge22+AS205*SUMIF(ThresholdAge22,"&lt;"&amp;AS205,WeightedRevAge22)-SUMIF(ThresholdAge22,"&lt;"&amp;AS205,WeightedMinAge22),MAX(CapacityAge22*'01_Вводные'!$B$218*AS205,MeanMinAge22)))</f>
        <v/>
      </c>
      <c r="AT158" s="190">
        <f>IF(OR((AT74-AT102)=0,22&lt;='01_Вводные'!$B$297),0,(AT74-AT102)*IF('01_Вводные'!$B$239="Да",MeanMinAge22+AT205*SUMIF(ThresholdAge22,"&lt;"&amp;AT205,WeightedRevAge22)-SUMIF(ThresholdAge22,"&lt;"&amp;AT205,WeightedMinAge22),MAX(CapacityAge22*'01_Вводные'!$B$218*AT205,MeanMinAge22)))</f>
        <v/>
      </c>
      <c r="AU158" s="190">
        <f>IF(OR((AU74-AU102)=0,22&lt;='01_Вводные'!$B$297),0,(AU74-AU102)*IF('01_Вводные'!$B$239="Да",MeanMinAge22+AU205*SUMIF(ThresholdAge22,"&lt;"&amp;AU205,WeightedRevAge22)-SUMIF(ThresholdAge22,"&lt;"&amp;AU205,WeightedMinAge22),MAX(CapacityAge22*'01_Вводные'!$B$218*AU205,MeanMinAge22)))</f>
        <v/>
      </c>
      <c r="AV158" s="190">
        <f>IF(OR((AV74-AV102)=0,22&lt;='01_Вводные'!$B$297),0,(AV74-AV102)*IF('01_Вводные'!$B$239="Да",MeanMinAge22+AV205*SUMIF(ThresholdAge22,"&lt;"&amp;AV205,WeightedRevAge22)-SUMIF(ThresholdAge22,"&lt;"&amp;AV205,WeightedMinAge22),MAX(CapacityAge22*'01_Вводные'!$B$218*AV205,MeanMinAge22)))</f>
        <v/>
      </c>
      <c r="AW158" s="190">
        <f>IF(OR((AW74-AW102)=0,22&lt;='01_Вводные'!$B$297),0,(AW74-AW102)*IF('01_Вводные'!$B$239="Да",MeanMinAge22+AW205*SUMIF(ThresholdAge22,"&lt;"&amp;AW205,WeightedRevAge22)-SUMIF(ThresholdAge22,"&lt;"&amp;AW205,WeightedMinAge22),MAX(CapacityAge22*'01_Вводные'!$B$218*AW205,MeanMinAge22)))</f>
        <v/>
      </c>
      <c r="AX158" s="190">
        <f>IF(OR((AX74-AX102)=0,22&lt;='01_Вводные'!$B$297),0,(AX74-AX102)*IF('01_Вводные'!$B$239="Да",MeanMinAge22+AX205*SUMIF(ThresholdAge22,"&lt;"&amp;AX205,WeightedRevAge22)-SUMIF(ThresholdAge22,"&lt;"&amp;AX205,WeightedMinAge22),MAX(CapacityAge22*'01_Вводные'!$B$218*AX205,MeanMinAge22)))</f>
        <v/>
      </c>
      <c r="AY158" s="190">
        <f>IF(OR((AY74-AY102)=0,22&lt;='01_Вводные'!$B$297),0,(AY74-AY102)*IF('01_Вводные'!$B$239="Да",MeanMinAge22+AY205*SUMIF(ThresholdAge22,"&lt;"&amp;AY205,WeightedRevAge22)-SUMIF(ThresholdAge22,"&lt;"&amp;AY205,WeightedMinAge22),MAX(CapacityAge22*'01_Вводные'!$B$218*AY205,MeanMinAge22)))</f>
        <v/>
      </c>
      <c r="AZ158" s="190">
        <f>IF(OR((AZ74-AZ102)=0,22&lt;='01_Вводные'!$B$297),0,(AZ74-AZ102)*IF('01_Вводные'!$B$239="Да",MeanMinAge22+AZ205*SUMIF(ThresholdAge22,"&lt;"&amp;AZ205,WeightedRevAge22)-SUMIF(ThresholdAge22,"&lt;"&amp;AZ205,WeightedMinAge22),MAX(CapacityAge22*'01_Вводные'!$B$218*AZ205,MeanMinAge22)))</f>
        <v/>
      </c>
      <c r="BA158" s="190">
        <f>IF(OR((BA74-BA102)=0,22&lt;='01_Вводные'!$B$297),0,(BA74-BA102)*IF('01_Вводные'!$B$239="Да",MeanMinAge22+BA205*SUMIF(ThresholdAge22,"&lt;"&amp;BA205,WeightedRevAge22)-SUMIF(ThresholdAge22,"&lt;"&amp;BA205,WeightedMinAge22),MAX(CapacityAge22*'01_Вводные'!$B$218*BA205,MeanMinAge22)))</f>
        <v/>
      </c>
      <c r="BB158" s="190">
        <f>IF(OR((BB74-BB102)=0,22&lt;='01_Вводные'!$B$297),0,(BB74-BB102)*IF('01_Вводные'!$B$239="Да",MeanMinAge22+BB205*SUMIF(ThresholdAge22,"&lt;"&amp;BB205,WeightedRevAge22)-SUMIF(ThresholdAge22,"&lt;"&amp;BB205,WeightedMinAge22),MAX(CapacityAge22*'01_Вводные'!$B$218*BB205,MeanMinAge22)))</f>
        <v/>
      </c>
      <c r="BC158" s="190">
        <f>IF(OR((BC74-BC102)=0,22&lt;='01_Вводные'!$B$297),0,(BC74-BC102)*IF('01_Вводные'!$B$239="Да",MeanMinAge22+BC205*SUMIF(ThresholdAge22,"&lt;"&amp;BC205,WeightedRevAge22)-SUMIF(ThresholdAge22,"&lt;"&amp;BC205,WeightedMinAge22),MAX(CapacityAge22*'01_Вводные'!$B$218*BC205,MeanMinAge22)))</f>
        <v/>
      </c>
      <c r="BD158" s="190">
        <f>IF(OR((BD74-BD102)=0,22&lt;='01_Вводные'!$B$297),0,(BD74-BD102)*IF('01_Вводные'!$B$239="Да",MeanMinAge22+BD205*SUMIF(ThresholdAge22,"&lt;"&amp;BD205,WeightedRevAge22)-SUMIF(ThresholdAge22,"&lt;"&amp;BD205,WeightedMinAge22),MAX(CapacityAge22*'01_Вводные'!$B$218*BD205,MeanMinAge22)))</f>
        <v/>
      </c>
      <c r="BE158" s="190">
        <f>IF(OR((BE74-BE102)=0,22&lt;='01_Вводные'!$B$297),0,(BE74-BE102)*IF('01_Вводные'!$B$239="Да",MeanMinAge22+BE205*SUMIF(ThresholdAge22,"&lt;"&amp;BE205,WeightedRevAge22)-SUMIF(ThresholdAge22,"&lt;"&amp;BE205,WeightedMinAge22),MAX(CapacityAge22*'01_Вводные'!$B$218*BE205,MeanMinAge22)))</f>
        <v/>
      </c>
      <c r="BF158" s="190">
        <f>IF(OR((BF74-BF102)=0,22&lt;='01_Вводные'!$B$297),0,(BF74-BF102)*IF('01_Вводные'!$B$239="Да",MeanMinAge22+BF205*SUMIF(ThresholdAge22,"&lt;"&amp;BF205,WeightedRevAge22)-SUMIF(ThresholdAge22,"&lt;"&amp;BF205,WeightedMinAge22),MAX(CapacityAge22*'01_Вводные'!$B$218*BF205,MeanMinAge22)))</f>
        <v/>
      </c>
      <c r="BG158" s="190">
        <f>IF(OR((BG74-BG102)=0,22&lt;='01_Вводные'!$B$297),0,(BG74-BG102)*IF('01_Вводные'!$B$239="Да",MeanMinAge22+BG205*SUMIF(ThresholdAge22,"&lt;"&amp;BG205,WeightedRevAge22)-SUMIF(ThresholdAge22,"&lt;"&amp;BG205,WeightedMinAge22),MAX(CapacityAge22*'01_Вводные'!$B$218*BG205,MeanMinAge22)))</f>
        <v/>
      </c>
      <c r="BH158" s="190">
        <f>IF(OR((BH74-BH102)=0,22&lt;='01_Вводные'!$B$297),0,(BH74-BH102)*IF('01_Вводные'!$B$239="Да",MeanMinAge22+BH205*SUMIF(ThresholdAge22,"&lt;"&amp;BH205,WeightedRevAge22)-SUMIF(ThresholdAge22,"&lt;"&amp;BH205,WeightedMinAge22),MAX(CapacityAge22*'01_Вводные'!$B$218*BH205,MeanMinAge22)))</f>
        <v/>
      </c>
      <c r="BI158" s="190">
        <f>IF(OR((BI74-BI102)=0,22&lt;='01_Вводные'!$B$297),0,(BI74-BI102)*IF('01_Вводные'!$B$239="Да",MeanMinAge22+BI205*SUMIF(ThresholdAge22,"&lt;"&amp;BI205,WeightedRevAge22)-SUMIF(ThresholdAge22,"&lt;"&amp;BI205,WeightedMinAge22),MAX(CapacityAge22*'01_Вводные'!$B$218*BI205,MeanMinAge22)))</f>
        <v/>
      </c>
      <c r="BJ158" s="190">
        <f>IF(OR((BJ74-BJ102)=0,22&lt;='01_Вводные'!$B$297),0,(BJ74-BJ102)*IF('01_Вводные'!$B$239="Да",MeanMinAge22+BJ205*SUMIF(ThresholdAge22,"&lt;"&amp;BJ205,WeightedRevAge22)-SUMIF(ThresholdAge22,"&lt;"&amp;BJ205,WeightedMinAge22),MAX(CapacityAge22*'01_Вводные'!$B$218*BJ205,MeanMinAge22)))</f>
        <v/>
      </c>
      <c r="BK158" s="190">
        <f>IF(OR((BK74-BK102)=0,22&lt;='01_Вводные'!$B$297),0,(BK74-BK102)*IF('01_Вводные'!$B$239="Да",MeanMinAge22+BK205*SUMIF(ThresholdAge22,"&lt;"&amp;BK205,WeightedRevAge22)-SUMIF(ThresholdAge22,"&lt;"&amp;BK205,WeightedMinAge22),MAX(CapacityAge22*'01_Вводные'!$B$218*BK205,MeanMinAge22)))</f>
        <v/>
      </c>
      <c r="BL158" s="190">
        <f>IF(OR((BL74-BL102)=0,22&lt;='01_Вводные'!$B$297),0,(BL74-BL102)*IF('01_Вводные'!$B$239="Да",MeanMinAge22+BL205*SUMIF(ThresholdAge22,"&lt;"&amp;BL205,WeightedRevAge22)-SUMIF(ThresholdAge22,"&lt;"&amp;BL205,WeightedMinAge22),MAX(CapacityAge22*'01_Вводные'!$B$218*BL205,MeanMinAge22)))</f>
        <v/>
      </c>
      <c r="BM158" s="190">
        <f>IF(OR((BM74-BM102)=0,22&lt;='01_Вводные'!$B$297),0,(BM74-BM102)*IF('01_Вводные'!$B$239="Да",MeanMinAge22+BM205*SUMIF(ThresholdAge22,"&lt;"&amp;BM205,WeightedRevAge22)-SUMIF(ThresholdAge22,"&lt;"&amp;BM205,WeightedMinAge22),MAX(CapacityAge22*'01_Вводные'!$B$218*BM205,MeanMinAge22)))</f>
        <v/>
      </c>
      <c r="BN158" s="190">
        <f>IF(OR((BN74-BN102)=0,22&lt;='01_Вводные'!$B$297),0,(BN74-BN102)*IF('01_Вводные'!$B$239="Да",MeanMinAge22+BN205*SUMIF(ThresholdAge22,"&lt;"&amp;BN205,WeightedRevAge22)-SUMIF(ThresholdAge22,"&lt;"&amp;BN205,WeightedMinAge22),MAX(CapacityAge22*'01_Вводные'!$B$218*BN205,MeanMinAge22)))</f>
        <v/>
      </c>
      <c r="BO158" s="190">
        <f>IF(OR((BO74-BO102)=0,22&lt;='01_Вводные'!$B$297),0,(BO74-BO102)*IF('01_Вводные'!$B$239="Да",MeanMinAge22+BO205*SUMIF(ThresholdAge22,"&lt;"&amp;BO205,WeightedRevAge22)-SUMIF(ThresholdAge22,"&lt;"&amp;BO205,WeightedMinAge22),MAX(CapacityAge22*'01_Вводные'!$B$218*BO205,MeanMinAge22)))</f>
        <v/>
      </c>
    </row>
    <row r="159" hidden="1" outlineLevel="1">
      <c r="A159" t="inlineStr">
        <is>
          <t>23 мес.</t>
        </is>
      </c>
      <c r="B159" s="190">
        <f>IF(OR((B75-B103)=0,23&lt;='01_Вводные'!$B$297),0,(B75-B103)*IF('01_Вводные'!$B$239="Да",MeanMinAge23+B205*SUMIF(ThresholdAge23,"&lt;"&amp;B205,WeightedRevAge23)-SUMIF(ThresholdAge23,"&lt;"&amp;B205,WeightedMinAge23),MAX(CapacityAge23*'01_Вводные'!$B$218*B205,MeanMinAge23)))</f>
        <v/>
      </c>
      <c r="C159" s="190">
        <f>IF(OR((C75-C103)=0,23&lt;='01_Вводные'!$B$297),0,(C75-C103)*IF('01_Вводные'!$B$239="Да",MeanMinAge23+C205*SUMIF(ThresholdAge23,"&lt;"&amp;C205,WeightedRevAge23)-SUMIF(ThresholdAge23,"&lt;"&amp;C205,WeightedMinAge23),MAX(CapacityAge23*'01_Вводные'!$B$218*C205,MeanMinAge23)))</f>
        <v/>
      </c>
      <c r="D159" s="190">
        <f>IF(OR((D75-D103)=0,23&lt;='01_Вводные'!$B$297),0,(D75-D103)*IF('01_Вводные'!$B$239="Да",MeanMinAge23+D205*SUMIF(ThresholdAge23,"&lt;"&amp;D205,WeightedRevAge23)-SUMIF(ThresholdAge23,"&lt;"&amp;D205,WeightedMinAge23),MAX(CapacityAge23*'01_Вводные'!$B$218*D205,MeanMinAge23)))</f>
        <v/>
      </c>
      <c r="E159" s="190">
        <f>IF(OR((E75-E103)=0,23&lt;='01_Вводные'!$B$297),0,(E75-E103)*IF('01_Вводные'!$B$239="Да",MeanMinAge23+E205*SUMIF(ThresholdAge23,"&lt;"&amp;E205,WeightedRevAge23)-SUMIF(ThresholdAge23,"&lt;"&amp;E205,WeightedMinAge23),MAX(CapacityAge23*'01_Вводные'!$B$218*E205,MeanMinAge23)))</f>
        <v/>
      </c>
      <c r="F159" s="190">
        <f>IF(OR((F75-F103)=0,23&lt;='01_Вводные'!$B$297),0,(F75-F103)*IF('01_Вводные'!$B$239="Да",MeanMinAge23+F205*SUMIF(ThresholdAge23,"&lt;"&amp;F205,WeightedRevAge23)-SUMIF(ThresholdAge23,"&lt;"&amp;F205,WeightedMinAge23),MAX(CapacityAge23*'01_Вводные'!$B$218*F205,MeanMinAge23)))</f>
        <v/>
      </c>
      <c r="G159" s="190">
        <f>IF(OR((G75-G103)=0,23&lt;='01_Вводные'!$B$297),0,(G75-G103)*IF('01_Вводные'!$B$239="Да",MeanMinAge23+G205*SUMIF(ThresholdAge23,"&lt;"&amp;G205,WeightedRevAge23)-SUMIF(ThresholdAge23,"&lt;"&amp;G205,WeightedMinAge23),MAX(CapacityAge23*'01_Вводные'!$B$218*G205,MeanMinAge23)))</f>
        <v/>
      </c>
      <c r="H159" s="190">
        <f>IF(OR((H75-H103)=0,23&lt;='01_Вводные'!$B$297),0,(H75-H103)*IF('01_Вводные'!$B$239="Да",MeanMinAge23+H205*SUMIF(ThresholdAge23,"&lt;"&amp;H205,WeightedRevAge23)-SUMIF(ThresholdAge23,"&lt;"&amp;H205,WeightedMinAge23),MAX(CapacityAge23*'01_Вводные'!$B$218*H205,MeanMinAge23)))</f>
        <v/>
      </c>
      <c r="I159" s="190">
        <f>IF(OR((I75-I103)=0,23&lt;='01_Вводные'!$B$297),0,(I75-I103)*IF('01_Вводные'!$B$239="Да",MeanMinAge23+I205*SUMIF(ThresholdAge23,"&lt;"&amp;I205,WeightedRevAge23)-SUMIF(ThresholdAge23,"&lt;"&amp;I205,WeightedMinAge23),MAX(CapacityAge23*'01_Вводные'!$B$218*I205,MeanMinAge23)))</f>
        <v/>
      </c>
      <c r="J159" s="190">
        <f>IF(OR((J75-J103)=0,23&lt;='01_Вводные'!$B$297),0,(J75-J103)*IF('01_Вводные'!$B$239="Да",MeanMinAge23+J205*SUMIF(ThresholdAge23,"&lt;"&amp;J205,WeightedRevAge23)-SUMIF(ThresholdAge23,"&lt;"&amp;J205,WeightedMinAge23),MAX(CapacityAge23*'01_Вводные'!$B$218*J205,MeanMinAge23)))</f>
        <v/>
      </c>
      <c r="K159" s="190">
        <f>IF(OR((K75-K103)=0,23&lt;='01_Вводные'!$B$297),0,(K75-K103)*IF('01_Вводные'!$B$239="Да",MeanMinAge23+K205*SUMIF(ThresholdAge23,"&lt;"&amp;K205,WeightedRevAge23)-SUMIF(ThresholdAge23,"&lt;"&amp;K205,WeightedMinAge23),MAX(CapacityAge23*'01_Вводные'!$B$218*K205,MeanMinAge23)))</f>
        <v/>
      </c>
      <c r="L159" s="190">
        <f>IF(OR((L75-L103)=0,23&lt;='01_Вводные'!$B$297),0,(L75-L103)*IF('01_Вводные'!$B$239="Да",MeanMinAge23+L205*SUMIF(ThresholdAge23,"&lt;"&amp;L205,WeightedRevAge23)-SUMIF(ThresholdAge23,"&lt;"&amp;L205,WeightedMinAge23),MAX(CapacityAge23*'01_Вводные'!$B$218*L205,MeanMinAge23)))</f>
        <v/>
      </c>
      <c r="M159" s="190">
        <f>IF(OR((M75-M103)=0,23&lt;='01_Вводные'!$B$297),0,(M75-M103)*IF('01_Вводные'!$B$239="Да",MeanMinAge23+M205*SUMIF(ThresholdAge23,"&lt;"&amp;M205,WeightedRevAge23)-SUMIF(ThresholdAge23,"&lt;"&amp;M205,WeightedMinAge23),MAX(CapacityAge23*'01_Вводные'!$B$218*M205,MeanMinAge23)))</f>
        <v/>
      </c>
      <c r="N159" s="190">
        <f>IF(OR((N75-N103)=0,23&lt;='01_Вводные'!$B$297),0,(N75-N103)*IF('01_Вводные'!$B$239="Да",MeanMinAge23+N205*SUMIF(ThresholdAge23,"&lt;"&amp;N205,WeightedRevAge23)-SUMIF(ThresholdAge23,"&lt;"&amp;N205,WeightedMinAge23),MAX(CapacityAge23*'01_Вводные'!$B$218*N205,MeanMinAge23)))</f>
        <v/>
      </c>
      <c r="O159" s="190">
        <f>IF(OR((O75-O103)=0,23&lt;='01_Вводные'!$B$297),0,(O75-O103)*IF('01_Вводные'!$B$239="Да",MeanMinAge23+O205*SUMIF(ThresholdAge23,"&lt;"&amp;O205,WeightedRevAge23)-SUMIF(ThresholdAge23,"&lt;"&amp;O205,WeightedMinAge23),MAX(CapacityAge23*'01_Вводные'!$B$218*O205,MeanMinAge23)))</f>
        <v/>
      </c>
      <c r="P159" s="190">
        <f>IF(OR((P75-P103)=0,23&lt;='01_Вводные'!$B$297),0,(P75-P103)*IF('01_Вводные'!$B$239="Да",MeanMinAge23+P205*SUMIF(ThresholdAge23,"&lt;"&amp;P205,WeightedRevAge23)-SUMIF(ThresholdAge23,"&lt;"&amp;P205,WeightedMinAge23),MAX(CapacityAge23*'01_Вводные'!$B$218*P205,MeanMinAge23)))</f>
        <v/>
      </c>
      <c r="Q159" s="190">
        <f>IF(OR((Q75-Q103)=0,23&lt;='01_Вводные'!$B$297),0,(Q75-Q103)*IF('01_Вводные'!$B$239="Да",MeanMinAge23+Q205*SUMIF(ThresholdAge23,"&lt;"&amp;Q205,WeightedRevAge23)-SUMIF(ThresholdAge23,"&lt;"&amp;Q205,WeightedMinAge23),MAX(CapacityAge23*'01_Вводные'!$B$218*Q205,MeanMinAge23)))</f>
        <v/>
      </c>
      <c r="R159" s="190">
        <f>IF(OR((R75-R103)=0,23&lt;='01_Вводные'!$B$297),0,(R75-R103)*IF('01_Вводные'!$B$239="Да",MeanMinAge23+R205*SUMIF(ThresholdAge23,"&lt;"&amp;R205,WeightedRevAge23)-SUMIF(ThresholdAge23,"&lt;"&amp;R205,WeightedMinAge23),MAX(CapacityAge23*'01_Вводные'!$B$218*R205,MeanMinAge23)))</f>
        <v/>
      </c>
      <c r="S159" s="190">
        <f>IF(OR((S75-S103)=0,23&lt;='01_Вводные'!$B$297),0,(S75-S103)*IF('01_Вводные'!$B$239="Да",MeanMinAge23+S205*SUMIF(ThresholdAge23,"&lt;"&amp;S205,WeightedRevAge23)-SUMIF(ThresholdAge23,"&lt;"&amp;S205,WeightedMinAge23),MAX(CapacityAge23*'01_Вводные'!$B$218*S205,MeanMinAge23)))</f>
        <v/>
      </c>
      <c r="T159" s="190">
        <f>IF(OR((T75-T103)=0,23&lt;='01_Вводные'!$B$297),0,(T75-T103)*IF('01_Вводные'!$B$239="Да",MeanMinAge23+T205*SUMIF(ThresholdAge23,"&lt;"&amp;T205,WeightedRevAge23)-SUMIF(ThresholdAge23,"&lt;"&amp;T205,WeightedMinAge23),MAX(CapacityAge23*'01_Вводные'!$B$218*T205,MeanMinAge23)))</f>
        <v/>
      </c>
      <c r="U159" s="190">
        <f>IF(OR((U75-U103)=0,23&lt;='01_Вводные'!$B$297),0,(U75-U103)*IF('01_Вводные'!$B$239="Да",MeanMinAge23+U205*SUMIF(ThresholdAge23,"&lt;"&amp;U205,WeightedRevAge23)-SUMIF(ThresholdAge23,"&lt;"&amp;U205,WeightedMinAge23),MAX(CapacityAge23*'01_Вводные'!$B$218*U205,MeanMinAge23)))</f>
        <v/>
      </c>
      <c r="V159" s="190">
        <f>IF(OR((V75-V103)=0,23&lt;='01_Вводные'!$B$297),0,(V75-V103)*IF('01_Вводные'!$B$239="Да",MeanMinAge23+V205*SUMIF(ThresholdAge23,"&lt;"&amp;V205,WeightedRevAge23)-SUMIF(ThresholdAge23,"&lt;"&amp;V205,WeightedMinAge23),MAX(CapacityAge23*'01_Вводные'!$B$218*V205,MeanMinAge23)))</f>
        <v/>
      </c>
      <c r="W159" s="190">
        <f>IF(OR((W75-W103)=0,23&lt;='01_Вводные'!$B$297),0,(W75-W103)*IF('01_Вводные'!$B$239="Да",MeanMinAge23+W205*SUMIF(ThresholdAge23,"&lt;"&amp;W205,WeightedRevAge23)-SUMIF(ThresholdAge23,"&lt;"&amp;W205,WeightedMinAge23),MAX(CapacityAge23*'01_Вводные'!$B$218*W205,MeanMinAge23)))</f>
        <v/>
      </c>
      <c r="X159" s="190">
        <f>IF(OR((X75-X103)=0,23&lt;='01_Вводные'!$B$297),0,(X75-X103)*IF('01_Вводные'!$B$239="Да",MeanMinAge23+X205*SUMIF(ThresholdAge23,"&lt;"&amp;X205,WeightedRevAge23)-SUMIF(ThresholdAge23,"&lt;"&amp;X205,WeightedMinAge23),MAX(CapacityAge23*'01_Вводные'!$B$218*X205,MeanMinAge23)))</f>
        <v/>
      </c>
      <c r="Y159" s="190">
        <f>IF(OR((Y75-Y103)=0,23&lt;='01_Вводные'!$B$297),0,(Y75-Y103)*IF('01_Вводные'!$B$239="Да",MeanMinAge23+Y205*SUMIF(ThresholdAge23,"&lt;"&amp;Y205,WeightedRevAge23)-SUMIF(ThresholdAge23,"&lt;"&amp;Y205,WeightedMinAge23),MAX(CapacityAge23*'01_Вводные'!$B$218*Y205,MeanMinAge23)))</f>
        <v/>
      </c>
      <c r="Z159" s="190">
        <f>IF(OR((Z75-Z103)=0,23&lt;='01_Вводные'!$B$297),0,(Z75-Z103)*IF('01_Вводные'!$B$239="Да",MeanMinAge23+Z205*SUMIF(ThresholdAge23,"&lt;"&amp;Z205,WeightedRevAge23)-SUMIF(ThresholdAge23,"&lt;"&amp;Z205,WeightedMinAge23),MAX(CapacityAge23*'01_Вводные'!$B$218*Z205,MeanMinAge23)))</f>
        <v/>
      </c>
      <c r="AA159" s="190">
        <f>IF(OR((AA75-AA103)=0,23&lt;='01_Вводные'!$B$297),0,(AA75-AA103)*IF('01_Вводные'!$B$239="Да",MeanMinAge23+AA205*SUMIF(ThresholdAge23,"&lt;"&amp;AA205,WeightedRevAge23)-SUMIF(ThresholdAge23,"&lt;"&amp;AA205,WeightedMinAge23),MAX(CapacityAge23*'01_Вводные'!$B$218*AA205,MeanMinAge23)))</f>
        <v/>
      </c>
      <c r="AB159" s="190">
        <f>IF(OR((AB75-AB103)=0,23&lt;='01_Вводные'!$B$297),0,(AB75-AB103)*IF('01_Вводные'!$B$239="Да",MeanMinAge23+AB205*SUMIF(ThresholdAge23,"&lt;"&amp;AB205,WeightedRevAge23)-SUMIF(ThresholdAge23,"&lt;"&amp;AB205,WeightedMinAge23),MAX(CapacityAge23*'01_Вводные'!$B$218*AB205,MeanMinAge23)))</f>
        <v/>
      </c>
      <c r="AC159" s="190">
        <f>IF(OR((AC75-AC103)=0,23&lt;='01_Вводные'!$B$297),0,(AC75-AC103)*IF('01_Вводные'!$B$239="Да",MeanMinAge23+AC205*SUMIF(ThresholdAge23,"&lt;"&amp;AC205,WeightedRevAge23)-SUMIF(ThresholdAge23,"&lt;"&amp;AC205,WeightedMinAge23),MAX(CapacityAge23*'01_Вводные'!$B$218*AC205,MeanMinAge23)))</f>
        <v/>
      </c>
      <c r="AD159" s="190">
        <f>IF(OR((AD75-AD103)=0,23&lt;='01_Вводные'!$B$297),0,(AD75-AD103)*IF('01_Вводные'!$B$239="Да",MeanMinAge23+AD205*SUMIF(ThresholdAge23,"&lt;"&amp;AD205,WeightedRevAge23)-SUMIF(ThresholdAge23,"&lt;"&amp;AD205,WeightedMinAge23),MAX(CapacityAge23*'01_Вводные'!$B$218*AD205,MeanMinAge23)))</f>
        <v/>
      </c>
      <c r="AE159" s="190">
        <f>IF(OR((AE75-AE103)=0,23&lt;='01_Вводные'!$B$297),0,(AE75-AE103)*IF('01_Вводные'!$B$239="Да",MeanMinAge23+AE205*SUMIF(ThresholdAge23,"&lt;"&amp;AE205,WeightedRevAge23)-SUMIF(ThresholdAge23,"&lt;"&amp;AE205,WeightedMinAge23),MAX(CapacityAge23*'01_Вводные'!$B$218*AE205,MeanMinAge23)))</f>
        <v/>
      </c>
      <c r="AF159" s="190">
        <f>IF(OR((AF75-AF103)=0,23&lt;='01_Вводные'!$B$297),0,(AF75-AF103)*IF('01_Вводные'!$B$239="Да",MeanMinAge23+AF205*SUMIF(ThresholdAge23,"&lt;"&amp;AF205,WeightedRevAge23)-SUMIF(ThresholdAge23,"&lt;"&amp;AF205,WeightedMinAge23),MAX(CapacityAge23*'01_Вводные'!$B$218*AF205,MeanMinAge23)))</f>
        <v/>
      </c>
      <c r="AG159" s="190">
        <f>IF(OR((AG75-AG103)=0,23&lt;='01_Вводные'!$B$297),0,(AG75-AG103)*IF('01_Вводные'!$B$239="Да",MeanMinAge23+AG205*SUMIF(ThresholdAge23,"&lt;"&amp;AG205,WeightedRevAge23)-SUMIF(ThresholdAge23,"&lt;"&amp;AG205,WeightedMinAge23),MAX(CapacityAge23*'01_Вводные'!$B$218*AG205,MeanMinAge23)))</f>
        <v/>
      </c>
      <c r="AH159" s="190">
        <f>IF(OR((AH75-AH103)=0,23&lt;='01_Вводные'!$B$297),0,(AH75-AH103)*IF('01_Вводные'!$B$239="Да",MeanMinAge23+AH205*SUMIF(ThresholdAge23,"&lt;"&amp;AH205,WeightedRevAge23)-SUMIF(ThresholdAge23,"&lt;"&amp;AH205,WeightedMinAge23),MAX(CapacityAge23*'01_Вводные'!$B$218*AH205,MeanMinAge23)))</f>
        <v/>
      </c>
      <c r="AI159" s="190">
        <f>IF(OR((AI75-AI103)=0,23&lt;='01_Вводные'!$B$297),0,(AI75-AI103)*IF('01_Вводные'!$B$239="Да",MeanMinAge23+AI205*SUMIF(ThresholdAge23,"&lt;"&amp;AI205,WeightedRevAge23)-SUMIF(ThresholdAge23,"&lt;"&amp;AI205,WeightedMinAge23),MAX(CapacityAge23*'01_Вводные'!$B$218*AI205,MeanMinAge23)))</f>
        <v/>
      </c>
      <c r="AJ159" s="190">
        <f>IF(OR((AJ75-AJ103)=0,23&lt;='01_Вводные'!$B$297),0,(AJ75-AJ103)*IF('01_Вводные'!$B$239="Да",MeanMinAge23+AJ205*SUMIF(ThresholdAge23,"&lt;"&amp;AJ205,WeightedRevAge23)-SUMIF(ThresholdAge23,"&lt;"&amp;AJ205,WeightedMinAge23),MAX(CapacityAge23*'01_Вводные'!$B$218*AJ205,MeanMinAge23)))</f>
        <v/>
      </c>
      <c r="AK159" s="190">
        <f>IF(OR((AK75-AK103)=0,23&lt;='01_Вводные'!$B$297),0,(AK75-AK103)*IF('01_Вводные'!$B$239="Да",MeanMinAge23+AK205*SUMIF(ThresholdAge23,"&lt;"&amp;AK205,WeightedRevAge23)-SUMIF(ThresholdAge23,"&lt;"&amp;AK205,WeightedMinAge23),MAX(CapacityAge23*'01_Вводные'!$B$218*AK205,MeanMinAge23)))</f>
        <v/>
      </c>
      <c r="AL159" s="190">
        <f>IF(OR((AL75-AL103)=0,23&lt;='01_Вводные'!$B$297),0,(AL75-AL103)*IF('01_Вводные'!$B$239="Да",MeanMinAge23+AL205*SUMIF(ThresholdAge23,"&lt;"&amp;AL205,WeightedRevAge23)-SUMIF(ThresholdAge23,"&lt;"&amp;AL205,WeightedMinAge23),MAX(CapacityAge23*'01_Вводные'!$B$218*AL205,MeanMinAge23)))</f>
        <v/>
      </c>
      <c r="AM159" s="190">
        <f>IF(OR((AM75-AM103)=0,23&lt;='01_Вводные'!$B$297),0,(AM75-AM103)*IF('01_Вводные'!$B$239="Да",MeanMinAge23+AM205*SUMIF(ThresholdAge23,"&lt;"&amp;AM205,WeightedRevAge23)-SUMIF(ThresholdAge23,"&lt;"&amp;AM205,WeightedMinAge23),MAX(CapacityAge23*'01_Вводные'!$B$218*AM205,MeanMinAge23)))</f>
        <v/>
      </c>
      <c r="AN159" s="190">
        <f>IF(OR((AN75-AN103)=0,23&lt;='01_Вводные'!$B$297),0,(AN75-AN103)*IF('01_Вводные'!$B$239="Да",MeanMinAge23+AN205*SUMIF(ThresholdAge23,"&lt;"&amp;AN205,WeightedRevAge23)-SUMIF(ThresholdAge23,"&lt;"&amp;AN205,WeightedMinAge23),MAX(CapacityAge23*'01_Вводные'!$B$218*AN205,MeanMinAge23)))</f>
        <v/>
      </c>
      <c r="AO159" s="190">
        <f>IF(OR((AO75-AO103)=0,23&lt;='01_Вводные'!$B$297),0,(AO75-AO103)*IF('01_Вводные'!$B$239="Да",MeanMinAge23+AO205*SUMIF(ThresholdAge23,"&lt;"&amp;AO205,WeightedRevAge23)-SUMIF(ThresholdAge23,"&lt;"&amp;AO205,WeightedMinAge23),MAX(CapacityAge23*'01_Вводные'!$B$218*AO205,MeanMinAge23)))</f>
        <v/>
      </c>
      <c r="AP159" s="190">
        <f>IF(OR((AP75-AP103)=0,23&lt;='01_Вводные'!$B$297),0,(AP75-AP103)*IF('01_Вводные'!$B$239="Да",MeanMinAge23+AP205*SUMIF(ThresholdAge23,"&lt;"&amp;AP205,WeightedRevAge23)-SUMIF(ThresholdAge23,"&lt;"&amp;AP205,WeightedMinAge23),MAX(CapacityAge23*'01_Вводные'!$B$218*AP205,MeanMinAge23)))</f>
        <v/>
      </c>
      <c r="AQ159" s="190">
        <f>IF(OR((AQ75-AQ103)=0,23&lt;='01_Вводные'!$B$297),0,(AQ75-AQ103)*IF('01_Вводные'!$B$239="Да",MeanMinAge23+AQ205*SUMIF(ThresholdAge23,"&lt;"&amp;AQ205,WeightedRevAge23)-SUMIF(ThresholdAge23,"&lt;"&amp;AQ205,WeightedMinAge23),MAX(CapacityAge23*'01_Вводные'!$B$218*AQ205,MeanMinAge23)))</f>
        <v/>
      </c>
      <c r="AR159" s="190">
        <f>IF(OR((AR75-AR103)=0,23&lt;='01_Вводные'!$B$297),0,(AR75-AR103)*IF('01_Вводные'!$B$239="Да",MeanMinAge23+AR205*SUMIF(ThresholdAge23,"&lt;"&amp;AR205,WeightedRevAge23)-SUMIF(ThresholdAge23,"&lt;"&amp;AR205,WeightedMinAge23),MAX(CapacityAge23*'01_Вводные'!$B$218*AR205,MeanMinAge23)))</f>
        <v/>
      </c>
      <c r="AS159" s="190">
        <f>IF(OR((AS75-AS103)=0,23&lt;='01_Вводные'!$B$297),0,(AS75-AS103)*IF('01_Вводные'!$B$239="Да",MeanMinAge23+AS205*SUMIF(ThresholdAge23,"&lt;"&amp;AS205,WeightedRevAge23)-SUMIF(ThresholdAge23,"&lt;"&amp;AS205,WeightedMinAge23),MAX(CapacityAge23*'01_Вводные'!$B$218*AS205,MeanMinAge23)))</f>
        <v/>
      </c>
      <c r="AT159" s="190">
        <f>IF(OR((AT75-AT103)=0,23&lt;='01_Вводные'!$B$297),0,(AT75-AT103)*IF('01_Вводные'!$B$239="Да",MeanMinAge23+AT205*SUMIF(ThresholdAge23,"&lt;"&amp;AT205,WeightedRevAge23)-SUMIF(ThresholdAge23,"&lt;"&amp;AT205,WeightedMinAge23),MAX(CapacityAge23*'01_Вводные'!$B$218*AT205,MeanMinAge23)))</f>
        <v/>
      </c>
      <c r="AU159" s="190">
        <f>IF(OR((AU75-AU103)=0,23&lt;='01_Вводные'!$B$297),0,(AU75-AU103)*IF('01_Вводные'!$B$239="Да",MeanMinAge23+AU205*SUMIF(ThresholdAge23,"&lt;"&amp;AU205,WeightedRevAge23)-SUMIF(ThresholdAge23,"&lt;"&amp;AU205,WeightedMinAge23),MAX(CapacityAge23*'01_Вводные'!$B$218*AU205,MeanMinAge23)))</f>
        <v/>
      </c>
      <c r="AV159" s="190">
        <f>IF(OR((AV75-AV103)=0,23&lt;='01_Вводные'!$B$297),0,(AV75-AV103)*IF('01_Вводные'!$B$239="Да",MeanMinAge23+AV205*SUMIF(ThresholdAge23,"&lt;"&amp;AV205,WeightedRevAge23)-SUMIF(ThresholdAge23,"&lt;"&amp;AV205,WeightedMinAge23),MAX(CapacityAge23*'01_Вводные'!$B$218*AV205,MeanMinAge23)))</f>
        <v/>
      </c>
      <c r="AW159" s="190">
        <f>IF(OR((AW75-AW103)=0,23&lt;='01_Вводные'!$B$297),0,(AW75-AW103)*IF('01_Вводные'!$B$239="Да",MeanMinAge23+AW205*SUMIF(ThresholdAge23,"&lt;"&amp;AW205,WeightedRevAge23)-SUMIF(ThresholdAge23,"&lt;"&amp;AW205,WeightedMinAge23),MAX(CapacityAge23*'01_Вводные'!$B$218*AW205,MeanMinAge23)))</f>
        <v/>
      </c>
      <c r="AX159" s="190">
        <f>IF(OR((AX75-AX103)=0,23&lt;='01_Вводные'!$B$297),0,(AX75-AX103)*IF('01_Вводные'!$B$239="Да",MeanMinAge23+AX205*SUMIF(ThresholdAge23,"&lt;"&amp;AX205,WeightedRevAge23)-SUMIF(ThresholdAge23,"&lt;"&amp;AX205,WeightedMinAge23),MAX(CapacityAge23*'01_Вводные'!$B$218*AX205,MeanMinAge23)))</f>
        <v/>
      </c>
      <c r="AY159" s="190">
        <f>IF(OR((AY75-AY103)=0,23&lt;='01_Вводные'!$B$297),0,(AY75-AY103)*IF('01_Вводные'!$B$239="Да",MeanMinAge23+AY205*SUMIF(ThresholdAge23,"&lt;"&amp;AY205,WeightedRevAge23)-SUMIF(ThresholdAge23,"&lt;"&amp;AY205,WeightedMinAge23),MAX(CapacityAge23*'01_Вводные'!$B$218*AY205,MeanMinAge23)))</f>
        <v/>
      </c>
      <c r="AZ159" s="190">
        <f>IF(OR((AZ75-AZ103)=0,23&lt;='01_Вводные'!$B$297),0,(AZ75-AZ103)*IF('01_Вводные'!$B$239="Да",MeanMinAge23+AZ205*SUMIF(ThresholdAge23,"&lt;"&amp;AZ205,WeightedRevAge23)-SUMIF(ThresholdAge23,"&lt;"&amp;AZ205,WeightedMinAge23),MAX(CapacityAge23*'01_Вводные'!$B$218*AZ205,MeanMinAge23)))</f>
        <v/>
      </c>
      <c r="BA159" s="190">
        <f>IF(OR((BA75-BA103)=0,23&lt;='01_Вводные'!$B$297),0,(BA75-BA103)*IF('01_Вводные'!$B$239="Да",MeanMinAge23+BA205*SUMIF(ThresholdAge23,"&lt;"&amp;BA205,WeightedRevAge23)-SUMIF(ThresholdAge23,"&lt;"&amp;BA205,WeightedMinAge23),MAX(CapacityAge23*'01_Вводные'!$B$218*BA205,MeanMinAge23)))</f>
        <v/>
      </c>
      <c r="BB159" s="190">
        <f>IF(OR((BB75-BB103)=0,23&lt;='01_Вводные'!$B$297),0,(BB75-BB103)*IF('01_Вводные'!$B$239="Да",MeanMinAge23+BB205*SUMIF(ThresholdAge23,"&lt;"&amp;BB205,WeightedRevAge23)-SUMIF(ThresholdAge23,"&lt;"&amp;BB205,WeightedMinAge23),MAX(CapacityAge23*'01_Вводные'!$B$218*BB205,MeanMinAge23)))</f>
        <v/>
      </c>
      <c r="BC159" s="190">
        <f>IF(OR((BC75-BC103)=0,23&lt;='01_Вводные'!$B$297),0,(BC75-BC103)*IF('01_Вводные'!$B$239="Да",MeanMinAge23+BC205*SUMIF(ThresholdAge23,"&lt;"&amp;BC205,WeightedRevAge23)-SUMIF(ThresholdAge23,"&lt;"&amp;BC205,WeightedMinAge23),MAX(CapacityAge23*'01_Вводные'!$B$218*BC205,MeanMinAge23)))</f>
        <v/>
      </c>
      <c r="BD159" s="190">
        <f>IF(OR((BD75-BD103)=0,23&lt;='01_Вводные'!$B$297),0,(BD75-BD103)*IF('01_Вводные'!$B$239="Да",MeanMinAge23+BD205*SUMIF(ThresholdAge23,"&lt;"&amp;BD205,WeightedRevAge23)-SUMIF(ThresholdAge23,"&lt;"&amp;BD205,WeightedMinAge23),MAX(CapacityAge23*'01_Вводные'!$B$218*BD205,MeanMinAge23)))</f>
        <v/>
      </c>
      <c r="BE159" s="190">
        <f>IF(OR((BE75-BE103)=0,23&lt;='01_Вводные'!$B$297),0,(BE75-BE103)*IF('01_Вводные'!$B$239="Да",MeanMinAge23+BE205*SUMIF(ThresholdAge23,"&lt;"&amp;BE205,WeightedRevAge23)-SUMIF(ThresholdAge23,"&lt;"&amp;BE205,WeightedMinAge23),MAX(CapacityAge23*'01_Вводные'!$B$218*BE205,MeanMinAge23)))</f>
        <v/>
      </c>
      <c r="BF159" s="190">
        <f>IF(OR((BF75-BF103)=0,23&lt;='01_Вводные'!$B$297),0,(BF75-BF103)*IF('01_Вводные'!$B$239="Да",MeanMinAge23+BF205*SUMIF(ThresholdAge23,"&lt;"&amp;BF205,WeightedRevAge23)-SUMIF(ThresholdAge23,"&lt;"&amp;BF205,WeightedMinAge23),MAX(CapacityAge23*'01_Вводные'!$B$218*BF205,MeanMinAge23)))</f>
        <v/>
      </c>
      <c r="BG159" s="190">
        <f>IF(OR((BG75-BG103)=0,23&lt;='01_Вводные'!$B$297),0,(BG75-BG103)*IF('01_Вводные'!$B$239="Да",MeanMinAge23+BG205*SUMIF(ThresholdAge23,"&lt;"&amp;BG205,WeightedRevAge23)-SUMIF(ThresholdAge23,"&lt;"&amp;BG205,WeightedMinAge23),MAX(CapacityAge23*'01_Вводные'!$B$218*BG205,MeanMinAge23)))</f>
        <v/>
      </c>
      <c r="BH159" s="190">
        <f>IF(OR((BH75-BH103)=0,23&lt;='01_Вводные'!$B$297),0,(BH75-BH103)*IF('01_Вводные'!$B$239="Да",MeanMinAge23+BH205*SUMIF(ThresholdAge23,"&lt;"&amp;BH205,WeightedRevAge23)-SUMIF(ThresholdAge23,"&lt;"&amp;BH205,WeightedMinAge23),MAX(CapacityAge23*'01_Вводные'!$B$218*BH205,MeanMinAge23)))</f>
        <v/>
      </c>
      <c r="BI159" s="190">
        <f>IF(OR((BI75-BI103)=0,23&lt;='01_Вводные'!$B$297),0,(BI75-BI103)*IF('01_Вводные'!$B$239="Да",MeanMinAge23+BI205*SUMIF(ThresholdAge23,"&lt;"&amp;BI205,WeightedRevAge23)-SUMIF(ThresholdAge23,"&lt;"&amp;BI205,WeightedMinAge23),MAX(CapacityAge23*'01_Вводные'!$B$218*BI205,MeanMinAge23)))</f>
        <v/>
      </c>
      <c r="BJ159" s="190">
        <f>IF(OR((BJ75-BJ103)=0,23&lt;='01_Вводные'!$B$297),0,(BJ75-BJ103)*IF('01_Вводные'!$B$239="Да",MeanMinAge23+BJ205*SUMIF(ThresholdAge23,"&lt;"&amp;BJ205,WeightedRevAge23)-SUMIF(ThresholdAge23,"&lt;"&amp;BJ205,WeightedMinAge23),MAX(CapacityAge23*'01_Вводные'!$B$218*BJ205,MeanMinAge23)))</f>
        <v/>
      </c>
      <c r="BK159" s="190">
        <f>IF(OR((BK75-BK103)=0,23&lt;='01_Вводные'!$B$297),0,(BK75-BK103)*IF('01_Вводные'!$B$239="Да",MeanMinAge23+BK205*SUMIF(ThresholdAge23,"&lt;"&amp;BK205,WeightedRevAge23)-SUMIF(ThresholdAge23,"&lt;"&amp;BK205,WeightedMinAge23),MAX(CapacityAge23*'01_Вводные'!$B$218*BK205,MeanMinAge23)))</f>
        <v/>
      </c>
      <c r="BL159" s="190">
        <f>IF(OR((BL75-BL103)=0,23&lt;='01_Вводные'!$B$297),0,(BL75-BL103)*IF('01_Вводные'!$B$239="Да",MeanMinAge23+BL205*SUMIF(ThresholdAge23,"&lt;"&amp;BL205,WeightedRevAge23)-SUMIF(ThresholdAge23,"&lt;"&amp;BL205,WeightedMinAge23),MAX(CapacityAge23*'01_Вводные'!$B$218*BL205,MeanMinAge23)))</f>
        <v/>
      </c>
      <c r="BM159" s="190">
        <f>IF(OR((BM75-BM103)=0,23&lt;='01_Вводные'!$B$297),0,(BM75-BM103)*IF('01_Вводные'!$B$239="Да",MeanMinAge23+BM205*SUMIF(ThresholdAge23,"&lt;"&amp;BM205,WeightedRevAge23)-SUMIF(ThresholdAge23,"&lt;"&amp;BM205,WeightedMinAge23),MAX(CapacityAge23*'01_Вводные'!$B$218*BM205,MeanMinAge23)))</f>
        <v/>
      </c>
      <c r="BN159" s="190">
        <f>IF(OR((BN75-BN103)=0,23&lt;='01_Вводные'!$B$297),0,(BN75-BN103)*IF('01_Вводные'!$B$239="Да",MeanMinAge23+BN205*SUMIF(ThresholdAge23,"&lt;"&amp;BN205,WeightedRevAge23)-SUMIF(ThresholdAge23,"&lt;"&amp;BN205,WeightedMinAge23),MAX(CapacityAge23*'01_Вводные'!$B$218*BN205,MeanMinAge23)))</f>
        <v/>
      </c>
      <c r="BO159" s="190">
        <f>IF(OR((BO75-BO103)=0,23&lt;='01_Вводные'!$B$297),0,(BO75-BO103)*IF('01_Вводные'!$B$239="Да",MeanMinAge23+BO205*SUMIF(ThresholdAge23,"&lt;"&amp;BO205,WeightedRevAge23)-SUMIF(ThresholdAge23,"&lt;"&amp;BO205,WeightedMinAge23),MAX(CapacityAge23*'01_Вводные'!$B$218*BO205,MeanMinAge23)))</f>
        <v/>
      </c>
    </row>
    <row r="160" hidden="1" outlineLevel="1">
      <c r="A160" t="inlineStr">
        <is>
          <t>24 мес.</t>
        </is>
      </c>
      <c r="B160" s="190">
        <f>IF(OR((B76-B104)=0,24&lt;='01_Вводные'!$B$297),0,(B76-B104)*IF('01_Вводные'!$B$239="Да",MeanMinAge24+B205*SUMIF(ThresholdAge24,"&lt;"&amp;B205,WeightedRevAge24)-SUMIF(ThresholdAge24,"&lt;"&amp;B205,WeightedMinAge24),MAX(CapacityAge24*'01_Вводные'!$B$218*B205,MeanMinAge24)))</f>
        <v/>
      </c>
      <c r="C160" s="190">
        <f>IF(OR((C76-C104)=0,24&lt;='01_Вводные'!$B$297),0,(C76-C104)*IF('01_Вводные'!$B$239="Да",MeanMinAge24+C205*SUMIF(ThresholdAge24,"&lt;"&amp;C205,WeightedRevAge24)-SUMIF(ThresholdAge24,"&lt;"&amp;C205,WeightedMinAge24),MAX(CapacityAge24*'01_Вводные'!$B$218*C205,MeanMinAge24)))</f>
        <v/>
      </c>
      <c r="D160" s="190">
        <f>IF(OR((D76-D104)=0,24&lt;='01_Вводные'!$B$297),0,(D76-D104)*IF('01_Вводные'!$B$239="Да",MeanMinAge24+D205*SUMIF(ThresholdAge24,"&lt;"&amp;D205,WeightedRevAge24)-SUMIF(ThresholdAge24,"&lt;"&amp;D205,WeightedMinAge24),MAX(CapacityAge24*'01_Вводные'!$B$218*D205,MeanMinAge24)))</f>
        <v/>
      </c>
      <c r="E160" s="190">
        <f>IF(OR((E76-E104)=0,24&lt;='01_Вводные'!$B$297),0,(E76-E104)*IF('01_Вводные'!$B$239="Да",MeanMinAge24+E205*SUMIF(ThresholdAge24,"&lt;"&amp;E205,WeightedRevAge24)-SUMIF(ThresholdAge24,"&lt;"&amp;E205,WeightedMinAge24),MAX(CapacityAge24*'01_Вводные'!$B$218*E205,MeanMinAge24)))</f>
        <v/>
      </c>
      <c r="F160" s="190">
        <f>IF(OR((F76-F104)=0,24&lt;='01_Вводные'!$B$297),0,(F76-F104)*IF('01_Вводные'!$B$239="Да",MeanMinAge24+F205*SUMIF(ThresholdAge24,"&lt;"&amp;F205,WeightedRevAge24)-SUMIF(ThresholdAge24,"&lt;"&amp;F205,WeightedMinAge24),MAX(CapacityAge24*'01_Вводные'!$B$218*F205,MeanMinAge24)))</f>
        <v/>
      </c>
      <c r="G160" s="190">
        <f>IF(OR((G76-G104)=0,24&lt;='01_Вводные'!$B$297),0,(G76-G104)*IF('01_Вводные'!$B$239="Да",MeanMinAge24+G205*SUMIF(ThresholdAge24,"&lt;"&amp;G205,WeightedRevAge24)-SUMIF(ThresholdAge24,"&lt;"&amp;G205,WeightedMinAge24),MAX(CapacityAge24*'01_Вводные'!$B$218*G205,MeanMinAge24)))</f>
        <v/>
      </c>
      <c r="H160" s="190">
        <f>IF(OR((H76-H104)=0,24&lt;='01_Вводные'!$B$297),0,(H76-H104)*IF('01_Вводные'!$B$239="Да",MeanMinAge24+H205*SUMIF(ThresholdAge24,"&lt;"&amp;H205,WeightedRevAge24)-SUMIF(ThresholdAge24,"&lt;"&amp;H205,WeightedMinAge24),MAX(CapacityAge24*'01_Вводные'!$B$218*H205,MeanMinAge24)))</f>
        <v/>
      </c>
      <c r="I160" s="190">
        <f>IF(OR((I76-I104)=0,24&lt;='01_Вводные'!$B$297),0,(I76-I104)*IF('01_Вводные'!$B$239="Да",MeanMinAge24+I205*SUMIF(ThresholdAge24,"&lt;"&amp;I205,WeightedRevAge24)-SUMIF(ThresholdAge24,"&lt;"&amp;I205,WeightedMinAge24),MAX(CapacityAge24*'01_Вводные'!$B$218*I205,MeanMinAge24)))</f>
        <v/>
      </c>
      <c r="J160" s="190">
        <f>IF(OR((J76-J104)=0,24&lt;='01_Вводные'!$B$297),0,(J76-J104)*IF('01_Вводные'!$B$239="Да",MeanMinAge24+J205*SUMIF(ThresholdAge24,"&lt;"&amp;J205,WeightedRevAge24)-SUMIF(ThresholdAge24,"&lt;"&amp;J205,WeightedMinAge24),MAX(CapacityAge24*'01_Вводные'!$B$218*J205,MeanMinAge24)))</f>
        <v/>
      </c>
      <c r="K160" s="190">
        <f>IF(OR((K76-K104)=0,24&lt;='01_Вводные'!$B$297),0,(K76-K104)*IF('01_Вводные'!$B$239="Да",MeanMinAge24+K205*SUMIF(ThresholdAge24,"&lt;"&amp;K205,WeightedRevAge24)-SUMIF(ThresholdAge24,"&lt;"&amp;K205,WeightedMinAge24),MAX(CapacityAge24*'01_Вводные'!$B$218*K205,MeanMinAge24)))</f>
        <v/>
      </c>
      <c r="L160" s="190">
        <f>IF(OR((L76-L104)=0,24&lt;='01_Вводные'!$B$297),0,(L76-L104)*IF('01_Вводные'!$B$239="Да",MeanMinAge24+L205*SUMIF(ThresholdAge24,"&lt;"&amp;L205,WeightedRevAge24)-SUMIF(ThresholdAge24,"&lt;"&amp;L205,WeightedMinAge24),MAX(CapacityAge24*'01_Вводные'!$B$218*L205,MeanMinAge24)))</f>
        <v/>
      </c>
      <c r="M160" s="190">
        <f>IF(OR((M76-M104)=0,24&lt;='01_Вводные'!$B$297),0,(M76-M104)*IF('01_Вводные'!$B$239="Да",MeanMinAge24+M205*SUMIF(ThresholdAge24,"&lt;"&amp;M205,WeightedRevAge24)-SUMIF(ThresholdAge24,"&lt;"&amp;M205,WeightedMinAge24),MAX(CapacityAge24*'01_Вводные'!$B$218*M205,MeanMinAge24)))</f>
        <v/>
      </c>
      <c r="N160" s="190">
        <f>IF(OR((N76-N104)=0,24&lt;='01_Вводные'!$B$297),0,(N76-N104)*IF('01_Вводные'!$B$239="Да",MeanMinAge24+N205*SUMIF(ThresholdAge24,"&lt;"&amp;N205,WeightedRevAge24)-SUMIF(ThresholdAge24,"&lt;"&amp;N205,WeightedMinAge24),MAX(CapacityAge24*'01_Вводные'!$B$218*N205,MeanMinAge24)))</f>
        <v/>
      </c>
      <c r="O160" s="190">
        <f>IF(OR((O76-O104)=0,24&lt;='01_Вводные'!$B$297),0,(O76-O104)*IF('01_Вводные'!$B$239="Да",MeanMinAge24+O205*SUMIF(ThresholdAge24,"&lt;"&amp;O205,WeightedRevAge24)-SUMIF(ThresholdAge24,"&lt;"&amp;O205,WeightedMinAge24),MAX(CapacityAge24*'01_Вводные'!$B$218*O205,MeanMinAge24)))</f>
        <v/>
      </c>
      <c r="P160" s="190">
        <f>IF(OR((P76-P104)=0,24&lt;='01_Вводные'!$B$297),0,(P76-P104)*IF('01_Вводные'!$B$239="Да",MeanMinAge24+P205*SUMIF(ThresholdAge24,"&lt;"&amp;P205,WeightedRevAge24)-SUMIF(ThresholdAge24,"&lt;"&amp;P205,WeightedMinAge24),MAX(CapacityAge24*'01_Вводные'!$B$218*P205,MeanMinAge24)))</f>
        <v/>
      </c>
      <c r="Q160" s="190">
        <f>IF(OR((Q76-Q104)=0,24&lt;='01_Вводные'!$B$297),0,(Q76-Q104)*IF('01_Вводные'!$B$239="Да",MeanMinAge24+Q205*SUMIF(ThresholdAge24,"&lt;"&amp;Q205,WeightedRevAge24)-SUMIF(ThresholdAge24,"&lt;"&amp;Q205,WeightedMinAge24),MAX(CapacityAge24*'01_Вводные'!$B$218*Q205,MeanMinAge24)))</f>
        <v/>
      </c>
      <c r="R160" s="190">
        <f>IF(OR((R76-R104)=0,24&lt;='01_Вводные'!$B$297),0,(R76-R104)*IF('01_Вводные'!$B$239="Да",MeanMinAge24+R205*SUMIF(ThresholdAge24,"&lt;"&amp;R205,WeightedRevAge24)-SUMIF(ThresholdAge24,"&lt;"&amp;R205,WeightedMinAge24),MAX(CapacityAge24*'01_Вводные'!$B$218*R205,MeanMinAge24)))</f>
        <v/>
      </c>
      <c r="S160" s="190">
        <f>IF(OR((S76-S104)=0,24&lt;='01_Вводные'!$B$297),0,(S76-S104)*IF('01_Вводные'!$B$239="Да",MeanMinAge24+S205*SUMIF(ThresholdAge24,"&lt;"&amp;S205,WeightedRevAge24)-SUMIF(ThresholdAge24,"&lt;"&amp;S205,WeightedMinAge24),MAX(CapacityAge24*'01_Вводные'!$B$218*S205,MeanMinAge24)))</f>
        <v/>
      </c>
      <c r="T160" s="190">
        <f>IF(OR((T76-T104)=0,24&lt;='01_Вводные'!$B$297),0,(T76-T104)*IF('01_Вводные'!$B$239="Да",MeanMinAge24+T205*SUMIF(ThresholdAge24,"&lt;"&amp;T205,WeightedRevAge24)-SUMIF(ThresholdAge24,"&lt;"&amp;T205,WeightedMinAge24),MAX(CapacityAge24*'01_Вводные'!$B$218*T205,MeanMinAge24)))</f>
        <v/>
      </c>
      <c r="U160" s="190">
        <f>IF(OR((U76-U104)=0,24&lt;='01_Вводные'!$B$297),0,(U76-U104)*IF('01_Вводные'!$B$239="Да",MeanMinAge24+U205*SUMIF(ThresholdAge24,"&lt;"&amp;U205,WeightedRevAge24)-SUMIF(ThresholdAge24,"&lt;"&amp;U205,WeightedMinAge24),MAX(CapacityAge24*'01_Вводные'!$B$218*U205,MeanMinAge24)))</f>
        <v/>
      </c>
      <c r="V160" s="190">
        <f>IF(OR((V76-V104)=0,24&lt;='01_Вводные'!$B$297),0,(V76-V104)*IF('01_Вводные'!$B$239="Да",MeanMinAge24+V205*SUMIF(ThresholdAge24,"&lt;"&amp;V205,WeightedRevAge24)-SUMIF(ThresholdAge24,"&lt;"&amp;V205,WeightedMinAge24),MAX(CapacityAge24*'01_Вводные'!$B$218*V205,MeanMinAge24)))</f>
        <v/>
      </c>
      <c r="W160" s="190">
        <f>IF(OR((W76-W104)=0,24&lt;='01_Вводные'!$B$297),0,(W76-W104)*IF('01_Вводные'!$B$239="Да",MeanMinAge24+W205*SUMIF(ThresholdAge24,"&lt;"&amp;W205,WeightedRevAge24)-SUMIF(ThresholdAge24,"&lt;"&amp;W205,WeightedMinAge24),MAX(CapacityAge24*'01_Вводные'!$B$218*W205,MeanMinAge24)))</f>
        <v/>
      </c>
      <c r="X160" s="190">
        <f>IF(OR((X76-X104)=0,24&lt;='01_Вводные'!$B$297),0,(X76-X104)*IF('01_Вводные'!$B$239="Да",MeanMinAge24+X205*SUMIF(ThresholdAge24,"&lt;"&amp;X205,WeightedRevAge24)-SUMIF(ThresholdAge24,"&lt;"&amp;X205,WeightedMinAge24),MAX(CapacityAge24*'01_Вводные'!$B$218*X205,MeanMinAge24)))</f>
        <v/>
      </c>
      <c r="Y160" s="190">
        <f>IF(OR((Y76-Y104)=0,24&lt;='01_Вводные'!$B$297),0,(Y76-Y104)*IF('01_Вводные'!$B$239="Да",MeanMinAge24+Y205*SUMIF(ThresholdAge24,"&lt;"&amp;Y205,WeightedRevAge24)-SUMIF(ThresholdAge24,"&lt;"&amp;Y205,WeightedMinAge24),MAX(CapacityAge24*'01_Вводные'!$B$218*Y205,MeanMinAge24)))</f>
        <v/>
      </c>
      <c r="Z160" s="190">
        <f>IF(OR((Z76-Z104)=0,24&lt;='01_Вводные'!$B$297),0,(Z76-Z104)*IF('01_Вводные'!$B$239="Да",MeanMinAge24+Z205*SUMIF(ThresholdAge24,"&lt;"&amp;Z205,WeightedRevAge24)-SUMIF(ThresholdAge24,"&lt;"&amp;Z205,WeightedMinAge24),MAX(CapacityAge24*'01_Вводные'!$B$218*Z205,MeanMinAge24)))</f>
        <v/>
      </c>
      <c r="AA160" s="190">
        <f>IF(OR((AA76-AA104)=0,24&lt;='01_Вводные'!$B$297),0,(AA76-AA104)*IF('01_Вводные'!$B$239="Да",MeanMinAge24+AA205*SUMIF(ThresholdAge24,"&lt;"&amp;AA205,WeightedRevAge24)-SUMIF(ThresholdAge24,"&lt;"&amp;AA205,WeightedMinAge24),MAX(CapacityAge24*'01_Вводные'!$B$218*AA205,MeanMinAge24)))</f>
        <v/>
      </c>
      <c r="AB160" s="190">
        <f>IF(OR((AB76-AB104)=0,24&lt;='01_Вводные'!$B$297),0,(AB76-AB104)*IF('01_Вводные'!$B$239="Да",MeanMinAge24+AB205*SUMIF(ThresholdAge24,"&lt;"&amp;AB205,WeightedRevAge24)-SUMIF(ThresholdAge24,"&lt;"&amp;AB205,WeightedMinAge24),MAX(CapacityAge24*'01_Вводные'!$B$218*AB205,MeanMinAge24)))</f>
        <v/>
      </c>
      <c r="AC160" s="190">
        <f>IF(OR((AC76-AC104)=0,24&lt;='01_Вводные'!$B$297),0,(AC76-AC104)*IF('01_Вводные'!$B$239="Да",MeanMinAge24+AC205*SUMIF(ThresholdAge24,"&lt;"&amp;AC205,WeightedRevAge24)-SUMIF(ThresholdAge24,"&lt;"&amp;AC205,WeightedMinAge24),MAX(CapacityAge24*'01_Вводные'!$B$218*AC205,MeanMinAge24)))</f>
        <v/>
      </c>
      <c r="AD160" s="190">
        <f>IF(OR((AD76-AD104)=0,24&lt;='01_Вводные'!$B$297),0,(AD76-AD104)*IF('01_Вводные'!$B$239="Да",MeanMinAge24+AD205*SUMIF(ThresholdAge24,"&lt;"&amp;AD205,WeightedRevAge24)-SUMIF(ThresholdAge24,"&lt;"&amp;AD205,WeightedMinAge24),MAX(CapacityAge24*'01_Вводные'!$B$218*AD205,MeanMinAge24)))</f>
        <v/>
      </c>
      <c r="AE160" s="190">
        <f>IF(OR((AE76-AE104)=0,24&lt;='01_Вводные'!$B$297),0,(AE76-AE104)*IF('01_Вводные'!$B$239="Да",MeanMinAge24+AE205*SUMIF(ThresholdAge24,"&lt;"&amp;AE205,WeightedRevAge24)-SUMIF(ThresholdAge24,"&lt;"&amp;AE205,WeightedMinAge24),MAX(CapacityAge24*'01_Вводные'!$B$218*AE205,MeanMinAge24)))</f>
        <v/>
      </c>
      <c r="AF160" s="190">
        <f>IF(OR((AF76-AF104)=0,24&lt;='01_Вводные'!$B$297),0,(AF76-AF104)*IF('01_Вводные'!$B$239="Да",MeanMinAge24+AF205*SUMIF(ThresholdAge24,"&lt;"&amp;AF205,WeightedRevAge24)-SUMIF(ThresholdAge24,"&lt;"&amp;AF205,WeightedMinAge24),MAX(CapacityAge24*'01_Вводные'!$B$218*AF205,MeanMinAge24)))</f>
        <v/>
      </c>
      <c r="AG160" s="190">
        <f>IF(OR((AG76-AG104)=0,24&lt;='01_Вводные'!$B$297),0,(AG76-AG104)*IF('01_Вводные'!$B$239="Да",MeanMinAge24+AG205*SUMIF(ThresholdAge24,"&lt;"&amp;AG205,WeightedRevAge24)-SUMIF(ThresholdAge24,"&lt;"&amp;AG205,WeightedMinAge24),MAX(CapacityAge24*'01_Вводные'!$B$218*AG205,MeanMinAge24)))</f>
        <v/>
      </c>
      <c r="AH160" s="190">
        <f>IF(OR((AH76-AH104)=0,24&lt;='01_Вводные'!$B$297),0,(AH76-AH104)*IF('01_Вводные'!$B$239="Да",MeanMinAge24+AH205*SUMIF(ThresholdAge24,"&lt;"&amp;AH205,WeightedRevAge24)-SUMIF(ThresholdAge24,"&lt;"&amp;AH205,WeightedMinAge24),MAX(CapacityAge24*'01_Вводные'!$B$218*AH205,MeanMinAge24)))</f>
        <v/>
      </c>
      <c r="AI160" s="190">
        <f>IF(OR((AI76-AI104)=0,24&lt;='01_Вводные'!$B$297),0,(AI76-AI104)*IF('01_Вводные'!$B$239="Да",MeanMinAge24+AI205*SUMIF(ThresholdAge24,"&lt;"&amp;AI205,WeightedRevAge24)-SUMIF(ThresholdAge24,"&lt;"&amp;AI205,WeightedMinAge24),MAX(CapacityAge24*'01_Вводные'!$B$218*AI205,MeanMinAge24)))</f>
        <v/>
      </c>
      <c r="AJ160" s="190">
        <f>IF(OR((AJ76-AJ104)=0,24&lt;='01_Вводные'!$B$297),0,(AJ76-AJ104)*IF('01_Вводные'!$B$239="Да",MeanMinAge24+AJ205*SUMIF(ThresholdAge24,"&lt;"&amp;AJ205,WeightedRevAge24)-SUMIF(ThresholdAge24,"&lt;"&amp;AJ205,WeightedMinAge24),MAX(CapacityAge24*'01_Вводные'!$B$218*AJ205,MeanMinAge24)))</f>
        <v/>
      </c>
      <c r="AK160" s="190">
        <f>IF(OR((AK76-AK104)=0,24&lt;='01_Вводные'!$B$297),0,(AK76-AK104)*IF('01_Вводные'!$B$239="Да",MeanMinAge24+AK205*SUMIF(ThresholdAge24,"&lt;"&amp;AK205,WeightedRevAge24)-SUMIF(ThresholdAge24,"&lt;"&amp;AK205,WeightedMinAge24),MAX(CapacityAge24*'01_Вводные'!$B$218*AK205,MeanMinAge24)))</f>
        <v/>
      </c>
      <c r="AL160" s="190">
        <f>IF(OR((AL76-AL104)=0,24&lt;='01_Вводные'!$B$297),0,(AL76-AL104)*IF('01_Вводные'!$B$239="Да",MeanMinAge24+AL205*SUMIF(ThresholdAge24,"&lt;"&amp;AL205,WeightedRevAge24)-SUMIF(ThresholdAge24,"&lt;"&amp;AL205,WeightedMinAge24),MAX(CapacityAge24*'01_Вводные'!$B$218*AL205,MeanMinAge24)))</f>
        <v/>
      </c>
      <c r="AM160" s="190">
        <f>IF(OR((AM76-AM104)=0,24&lt;='01_Вводные'!$B$297),0,(AM76-AM104)*IF('01_Вводные'!$B$239="Да",MeanMinAge24+AM205*SUMIF(ThresholdAge24,"&lt;"&amp;AM205,WeightedRevAge24)-SUMIF(ThresholdAge24,"&lt;"&amp;AM205,WeightedMinAge24),MAX(CapacityAge24*'01_Вводные'!$B$218*AM205,MeanMinAge24)))</f>
        <v/>
      </c>
      <c r="AN160" s="190">
        <f>IF(OR((AN76-AN104)=0,24&lt;='01_Вводные'!$B$297),0,(AN76-AN104)*IF('01_Вводные'!$B$239="Да",MeanMinAge24+AN205*SUMIF(ThresholdAge24,"&lt;"&amp;AN205,WeightedRevAge24)-SUMIF(ThresholdAge24,"&lt;"&amp;AN205,WeightedMinAge24),MAX(CapacityAge24*'01_Вводные'!$B$218*AN205,MeanMinAge24)))</f>
        <v/>
      </c>
      <c r="AO160" s="190">
        <f>IF(OR((AO76-AO104)=0,24&lt;='01_Вводные'!$B$297),0,(AO76-AO104)*IF('01_Вводные'!$B$239="Да",MeanMinAge24+AO205*SUMIF(ThresholdAge24,"&lt;"&amp;AO205,WeightedRevAge24)-SUMIF(ThresholdAge24,"&lt;"&amp;AO205,WeightedMinAge24),MAX(CapacityAge24*'01_Вводные'!$B$218*AO205,MeanMinAge24)))</f>
        <v/>
      </c>
      <c r="AP160" s="190">
        <f>IF(OR((AP76-AP104)=0,24&lt;='01_Вводные'!$B$297),0,(AP76-AP104)*IF('01_Вводные'!$B$239="Да",MeanMinAge24+AP205*SUMIF(ThresholdAge24,"&lt;"&amp;AP205,WeightedRevAge24)-SUMIF(ThresholdAge24,"&lt;"&amp;AP205,WeightedMinAge24),MAX(CapacityAge24*'01_Вводные'!$B$218*AP205,MeanMinAge24)))</f>
        <v/>
      </c>
      <c r="AQ160" s="190">
        <f>IF(OR((AQ76-AQ104)=0,24&lt;='01_Вводные'!$B$297),0,(AQ76-AQ104)*IF('01_Вводные'!$B$239="Да",MeanMinAge24+AQ205*SUMIF(ThresholdAge24,"&lt;"&amp;AQ205,WeightedRevAge24)-SUMIF(ThresholdAge24,"&lt;"&amp;AQ205,WeightedMinAge24),MAX(CapacityAge24*'01_Вводные'!$B$218*AQ205,MeanMinAge24)))</f>
        <v/>
      </c>
      <c r="AR160" s="190">
        <f>IF(OR((AR76-AR104)=0,24&lt;='01_Вводные'!$B$297),0,(AR76-AR104)*IF('01_Вводные'!$B$239="Да",MeanMinAge24+AR205*SUMIF(ThresholdAge24,"&lt;"&amp;AR205,WeightedRevAge24)-SUMIF(ThresholdAge24,"&lt;"&amp;AR205,WeightedMinAge24),MAX(CapacityAge24*'01_Вводные'!$B$218*AR205,MeanMinAge24)))</f>
        <v/>
      </c>
      <c r="AS160" s="190">
        <f>IF(OR((AS76-AS104)=0,24&lt;='01_Вводные'!$B$297),0,(AS76-AS104)*IF('01_Вводные'!$B$239="Да",MeanMinAge24+AS205*SUMIF(ThresholdAge24,"&lt;"&amp;AS205,WeightedRevAge24)-SUMIF(ThresholdAge24,"&lt;"&amp;AS205,WeightedMinAge24),MAX(CapacityAge24*'01_Вводные'!$B$218*AS205,MeanMinAge24)))</f>
        <v/>
      </c>
      <c r="AT160" s="190">
        <f>IF(OR((AT76-AT104)=0,24&lt;='01_Вводные'!$B$297),0,(AT76-AT104)*IF('01_Вводные'!$B$239="Да",MeanMinAge24+AT205*SUMIF(ThresholdAge24,"&lt;"&amp;AT205,WeightedRevAge24)-SUMIF(ThresholdAge24,"&lt;"&amp;AT205,WeightedMinAge24),MAX(CapacityAge24*'01_Вводные'!$B$218*AT205,MeanMinAge24)))</f>
        <v/>
      </c>
      <c r="AU160" s="190">
        <f>IF(OR((AU76-AU104)=0,24&lt;='01_Вводные'!$B$297),0,(AU76-AU104)*IF('01_Вводные'!$B$239="Да",MeanMinAge24+AU205*SUMIF(ThresholdAge24,"&lt;"&amp;AU205,WeightedRevAge24)-SUMIF(ThresholdAge24,"&lt;"&amp;AU205,WeightedMinAge24),MAX(CapacityAge24*'01_Вводные'!$B$218*AU205,MeanMinAge24)))</f>
        <v/>
      </c>
      <c r="AV160" s="190">
        <f>IF(OR((AV76-AV104)=0,24&lt;='01_Вводные'!$B$297),0,(AV76-AV104)*IF('01_Вводные'!$B$239="Да",MeanMinAge24+AV205*SUMIF(ThresholdAge24,"&lt;"&amp;AV205,WeightedRevAge24)-SUMIF(ThresholdAge24,"&lt;"&amp;AV205,WeightedMinAge24),MAX(CapacityAge24*'01_Вводные'!$B$218*AV205,MeanMinAge24)))</f>
        <v/>
      </c>
      <c r="AW160" s="190">
        <f>IF(OR((AW76-AW104)=0,24&lt;='01_Вводные'!$B$297),0,(AW76-AW104)*IF('01_Вводные'!$B$239="Да",MeanMinAge24+AW205*SUMIF(ThresholdAge24,"&lt;"&amp;AW205,WeightedRevAge24)-SUMIF(ThresholdAge24,"&lt;"&amp;AW205,WeightedMinAge24),MAX(CapacityAge24*'01_Вводные'!$B$218*AW205,MeanMinAge24)))</f>
        <v/>
      </c>
      <c r="AX160" s="190">
        <f>IF(OR((AX76-AX104)=0,24&lt;='01_Вводные'!$B$297),0,(AX76-AX104)*IF('01_Вводные'!$B$239="Да",MeanMinAge24+AX205*SUMIF(ThresholdAge24,"&lt;"&amp;AX205,WeightedRevAge24)-SUMIF(ThresholdAge24,"&lt;"&amp;AX205,WeightedMinAge24),MAX(CapacityAge24*'01_Вводные'!$B$218*AX205,MeanMinAge24)))</f>
        <v/>
      </c>
      <c r="AY160" s="190">
        <f>IF(OR((AY76-AY104)=0,24&lt;='01_Вводные'!$B$297),0,(AY76-AY104)*IF('01_Вводные'!$B$239="Да",MeanMinAge24+AY205*SUMIF(ThresholdAge24,"&lt;"&amp;AY205,WeightedRevAge24)-SUMIF(ThresholdAge24,"&lt;"&amp;AY205,WeightedMinAge24),MAX(CapacityAge24*'01_Вводные'!$B$218*AY205,MeanMinAge24)))</f>
        <v/>
      </c>
      <c r="AZ160" s="190">
        <f>IF(OR((AZ76-AZ104)=0,24&lt;='01_Вводные'!$B$297),0,(AZ76-AZ104)*IF('01_Вводные'!$B$239="Да",MeanMinAge24+AZ205*SUMIF(ThresholdAge24,"&lt;"&amp;AZ205,WeightedRevAge24)-SUMIF(ThresholdAge24,"&lt;"&amp;AZ205,WeightedMinAge24),MAX(CapacityAge24*'01_Вводные'!$B$218*AZ205,MeanMinAge24)))</f>
        <v/>
      </c>
      <c r="BA160" s="190">
        <f>IF(OR((BA76-BA104)=0,24&lt;='01_Вводные'!$B$297),0,(BA76-BA104)*IF('01_Вводные'!$B$239="Да",MeanMinAge24+BA205*SUMIF(ThresholdAge24,"&lt;"&amp;BA205,WeightedRevAge24)-SUMIF(ThresholdAge24,"&lt;"&amp;BA205,WeightedMinAge24),MAX(CapacityAge24*'01_Вводные'!$B$218*BA205,MeanMinAge24)))</f>
        <v/>
      </c>
      <c r="BB160" s="190">
        <f>IF(OR((BB76-BB104)=0,24&lt;='01_Вводные'!$B$297),0,(BB76-BB104)*IF('01_Вводные'!$B$239="Да",MeanMinAge24+BB205*SUMIF(ThresholdAge24,"&lt;"&amp;BB205,WeightedRevAge24)-SUMIF(ThresholdAge24,"&lt;"&amp;BB205,WeightedMinAge24),MAX(CapacityAge24*'01_Вводные'!$B$218*BB205,MeanMinAge24)))</f>
        <v/>
      </c>
      <c r="BC160" s="190">
        <f>IF(OR((BC76-BC104)=0,24&lt;='01_Вводные'!$B$297),0,(BC76-BC104)*IF('01_Вводные'!$B$239="Да",MeanMinAge24+BC205*SUMIF(ThresholdAge24,"&lt;"&amp;BC205,WeightedRevAge24)-SUMIF(ThresholdAge24,"&lt;"&amp;BC205,WeightedMinAge24),MAX(CapacityAge24*'01_Вводные'!$B$218*BC205,MeanMinAge24)))</f>
        <v/>
      </c>
      <c r="BD160" s="190">
        <f>IF(OR((BD76-BD104)=0,24&lt;='01_Вводные'!$B$297),0,(BD76-BD104)*IF('01_Вводные'!$B$239="Да",MeanMinAge24+BD205*SUMIF(ThresholdAge24,"&lt;"&amp;BD205,WeightedRevAge24)-SUMIF(ThresholdAge24,"&lt;"&amp;BD205,WeightedMinAge24),MAX(CapacityAge24*'01_Вводные'!$B$218*BD205,MeanMinAge24)))</f>
        <v/>
      </c>
      <c r="BE160" s="190">
        <f>IF(OR((BE76-BE104)=0,24&lt;='01_Вводные'!$B$297),0,(BE76-BE104)*IF('01_Вводные'!$B$239="Да",MeanMinAge24+BE205*SUMIF(ThresholdAge24,"&lt;"&amp;BE205,WeightedRevAge24)-SUMIF(ThresholdAge24,"&lt;"&amp;BE205,WeightedMinAge24),MAX(CapacityAge24*'01_Вводные'!$B$218*BE205,MeanMinAge24)))</f>
        <v/>
      </c>
      <c r="BF160" s="190">
        <f>IF(OR((BF76-BF104)=0,24&lt;='01_Вводные'!$B$297),0,(BF76-BF104)*IF('01_Вводные'!$B$239="Да",MeanMinAge24+BF205*SUMIF(ThresholdAge24,"&lt;"&amp;BF205,WeightedRevAge24)-SUMIF(ThresholdAge24,"&lt;"&amp;BF205,WeightedMinAge24),MAX(CapacityAge24*'01_Вводные'!$B$218*BF205,MeanMinAge24)))</f>
        <v/>
      </c>
      <c r="BG160" s="190">
        <f>IF(OR((BG76-BG104)=0,24&lt;='01_Вводные'!$B$297),0,(BG76-BG104)*IF('01_Вводные'!$B$239="Да",MeanMinAge24+BG205*SUMIF(ThresholdAge24,"&lt;"&amp;BG205,WeightedRevAge24)-SUMIF(ThresholdAge24,"&lt;"&amp;BG205,WeightedMinAge24),MAX(CapacityAge24*'01_Вводные'!$B$218*BG205,MeanMinAge24)))</f>
        <v/>
      </c>
      <c r="BH160" s="190">
        <f>IF(OR((BH76-BH104)=0,24&lt;='01_Вводные'!$B$297),0,(BH76-BH104)*IF('01_Вводные'!$B$239="Да",MeanMinAge24+BH205*SUMIF(ThresholdAge24,"&lt;"&amp;BH205,WeightedRevAge24)-SUMIF(ThresholdAge24,"&lt;"&amp;BH205,WeightedMinAge24),MAX(CapacityAge24*'01_Вводные'!$B$218*BH205,MeanMinAge24)))</f>
        <v/>
      </c>
      <c r="BI160" s="190">
        <f>IF(OR((BI76-BI104)=0,24&lt;='01_Вводные'!$B$297),0,(BI76-BI104)*IF('01_Вводные'!$B$239="Да",MeanMinAge24+BI205*SUMIF(ThresholdAge24,"&lt;"&amp;BI205,WeightedRevAge24)-SUMIF(ThresholdAge24,"&lt;"&amp;BI205,WeightedMinAge24),MAX(CapacityAge24*'01_Вводные'!$B$218*BI205,MeanMinAge24)))</f>
        <v/>
      </c>
      <c r="BJ160" s="190">
        <f>IF(OR((BJ76-BJ104)=0,24&lt;='01_Вводные'!$B$297),0,(BJ76-BJ104)*IF('01_Вводные'!$B$239="Да",MeanMinAge24+BJ205*SUMIF(ThresholdAge24,"&lt;"&amp;BJ205,WeightedRevAge24)-SUMIF(ThresholdAge24,"&lt;"&amp;BJ205,WeightedMinAge24),MAX(CapacityAge24*'01_Вводные'!$B$218*BJ205,MeanMinAge24)))</f>
        <v/>
      </c>
      <c r="BK160" s="190">
        <f>IF(OR((BK76-BK104)=0,24&lt;='01_Вводные'!$B$297),0,(BK76-BK104)*IF('01_Вводные'!$B$239="Да",MeanMinAge24+BK205*SUMIF(ThresholdAge24,"&lt;"&amp;BK205,WeightedRevAge24)-SUMIF(ThresholdAge24,"&lt;"&amp;BK205,WeightedMinAge24),MAX(CapacityAge24*'01_Вводные'!$B$218*BK205,MeanMinAge24)))</f>
        <v/>
      </c>
      <c r="BL160" s="190">
        <f>IF(OR((BL76-BL104)=0,24&lt;='01_Вводные'!$B$297),0,(BL76-BL104)*IF('01_Вводные'!$B$239="Да",MeanMinAge24+BL205*SUMIF(ThresholdAge24,"&lt;"&amp;BL205,WeightedRevAge24)-SUMIF(ThresholdAge24,"&lt;"&amp;BL205,WeightedMinAge24),MAX(CapacityAge24*'01_Вводные'!$B$218*BL205,MeanMinAge24)))</f>
        <v/>
      </c>
      <c r="BM160" s="190">
        <f>IF(OR((BM76-BM104)=0,24&lt;='01_Вводные'!$B$297),0,(BM76-BM104)*IF('01_Вводные'!$B$239="Да",MeanMinAge24+BM205*SUMIF(ThresholdAge24,"&lt;"&amp;BM205,WeightedRevAge24)-SUMIF(ThresholdAge24,"&lt;"&amp;BM205,WeightedMinAge24),MAX(CapacityAge24*'01_Вводные'!$B$218*BM205,MeanMinAge24)))</f>
        <v/>
      </c>
      <c r="BN160" s="190">
        <f>IF(OR((BN76-BN104)=0,24&lt;='01_Вводные'!$B$297),0,(BN76-BN104)*IF('01_Вводные'!$B$239="Да",MeanMinAge24+BN205*SUMIF(ThresholdAge24,"&lt;"&amp;BN205,WeightedRevAge24)-SUMIF(ThresholdAge24,"&lt;"&amp;BN205,WeightedMinAge24),MAX(CapacityAge24*'01_Вводные'!$B$218*BN205,MeanMinAge24)))</f>
        <v/>
      </c>
      <c r="BO160" s="190">
        <f>IF(OR((BO76-BO104)=0,24&lt;='01_Вводные'!$B$297),0,(BO76-BO104)*IF('01_Вводные'!$B$239="Да",MeanMinAge24+BO205*SUMIF(ThresholdAge24,"&lt;"&amp;BO205,WeightedRevAge24)-SUMIF(ThresholdAge24,"&lt;"&amp;BO205,WeightedMinAge24),MAX(CapacityAge24*'01_Вводные'!$B$218*BO205,MeanMinAge24)))</f>
        <v/>
      </c>
    </row>
    <row r="161" hidden="1" outlineLevel="1">
      <c r="A161" t="inlineStr">
        <is>
          <t>25+ мес.</t>
        </is>
      </c>
      <c r="B161" s="190">
        <f>IF(OR((B77-B105)=0,25&lt;='01_Вводные'!$B$297),0,(B77-B105)*IF('01_Вводные'!$B$239="Да",MeanMinAge25+B205*SUMIF(ThresholdAge25,"&lt;"&amp;B205,WeightedRevAge25)-SUMIF(ThresholdAge25,"&lt;"&amp;B205,WeightedMinAge25),MAX(CapacityAge25*'01_Вводные'!$B$218*B205,MeanMinAge25)))</f>
        <v/>
      </c>
      <c r="C161" s="190">
        <f>IF(OR((C77-C105)=0,25&lt;='01_Вводные'!$B$297),0,(C77-C105)*IF('01_Вводные'!$B$239="Да",MeanMinAge25+C205*SUMIF(ThresholdAge25,"&lt;"&amp;C205,WeightedRevAge25)-SUMIF(ThresholdAge25,"&lt;"&amp;C205,WeightedMinAge25),MAX(CapacityAge25*'01_Вводные'!$B$218*C205,MeanMinAge25)))</f>
        <v/>
      </c>
      <c r="D161" s="190">
        <f>IF(OR((D77-D105)=0,25&lt;='01_Вводные'!$B$297),0,(D77-D105)*IF('01_Вводные'!$B$239="Да",MeanMinAge25+D205*SUMIF(ThresholdAge25,"&lt;"&amp;D205,WeightedRevAge25)-SUMIF(ThresholdAge25,"&lt;"&amp;D205,WeightedMinAge25),MAX(CapacityAge25*'01_Вводные'!$B$218*D205,MeanMinAge25)))</f>
        <v/>
      </c>
      <c r="E161" s="190">
        <f>IF(OR((E77-E105)=0,25&lt;='01_Вводные'!$B$297),0,(E77-E105)*IF('01_Вводные'!$B$239="Да",MeanMinAge25+E205*SUMIF(ThresholdAge25,"&lt;"&amp;E205,WeightedRevAge25)-SUMIF(ThresholdAge25,"&lt;"&amp;E205,WeightedMinAge25),MAX(CapacityAge25*'01_Вводные'!$B$218*E205,MeanMinAge25)))</f>
        <v/>
      </c>
      <c r="F161" s="190">
        <f>IF(OR((F77-F105)=0,25&lt;='01_Вводные'!$B$297),0,(F77-F105)*IF('01_Вводные'!$B$239="Да",MeanMinAge25+F205*SUMIF(ThresholdAge25,"&lt;"&amp;F205,WeightedRevAge25)-SUMIF(ThresholdAge25,"&lt;"&amp;F205,WeightedMinAge25),MAX(CapacityAge25*'01_Вводные'!$B$218*F205,MeanMinAge25)))</f>
        <v/>
      </c>
      <c r="G161" s="190">
        <f>IF(OR((G77-G105)=0,25&lt;='01_Вводные'!$B$297),0,(G77-G105)*IF('01_Вводные'!$B$239="Да",MeanMinAge25+G205*SUMIF(ThresholdAge25,"&lt;"&amp;G205,WeightedRevAge25)-SUMIF(ThresholdAge25,"&lt;"&amp;G205,WeightedMinAge25),MAX(CapacityAge25*'01_Вводные'!$B$218*G205,MeanMinAge25)))</f>
        <v/>
      </c>
      <c r="H161" s="190">
        <f>IF(OR((H77-H105)=0,25&lt;='01_Вводные'!$B$297),0,(H77-H105)*IF('01_Вводные'!$B$239="Да",MeanMinAge25+H205*SUMIF(ThresholdAge25,"&lt;"&amp;H205,WeightedRevAge25)-SUMIF(ThresholdAge25,"&lt;"&amp;H205,WeightedMinAge25),MAX(CapacityAge25*'01_Вводные'!$B$218*H205,MeanMinAge25)))</f>
        <v/>
      </c>
      <c r="I161" s="190">
        <f>IF(OR((I77-I105)=0,25&lt;='01_Вводные'!$B$297),0,(I77-I105)*IF('01_Вводные'!$B$239="Да",MeanMinAge25+I205*SUMIF(ThresholdAge25,"&lt;"&amp;I205,WeightedRevAge25)-SUMIF(ThresholdAge25,"&lt;"&amp;I205,WeightedMinAge25),MAX(CapacityAge25*'01_Вводные'!$B$218*I205,MeanMinAge25)))</f>
        <v/>
      </c>
      <c r="J161" s="190">
        <f>IF(OR((J77-J105)=0,25&lt;='01_Вводные'!$B$297),0,(J77-J105)*IF('01_Вводные'!$B$239="Да",MeanMinAge25+J205*SUMIF(ThresholdAge25,"&lt;"&amp;J205,WeightedRevAge25)-SUMIF(ThresholdAge25,"&lt;"&amp;J205,WeightedMinAge25),MAX(CapacityAge25*'01_Вводные'!$B$218*J205,MeanMinAge25)))</f>
        <v/>
      </c>
      <c r="K161" s="190">
        <f>IF(OR((K77-K105)=0,25&lt;='01_Вводные'!$B$297),0,(K77-K105)*IF('01_Вводные'!$B$239="Да",MeanMinAge25+K205*SUMIF(ThresholdAge25,"&lt;"&amp;K205,WeightedRevAge25)-SUMIF(ThresholdAge25,"&lt;"&amp;K205,WeightedMinAge25),MAX(CapacityAge25*'01_Вводные'!$B$218*K205,MeanMinAge25)))</f>
        <v/>
      </c>
      <c r="L161" s="190">
        <f>IF(OR((L77-L105)=0,25&lt;='01_Вводные'!$B$297),0,(L77-L105)*IF('01_Вводные'!$B$239="Да",MeanMinAge25+L205*SUMIF(ThresholdAge25,"&lt;"&amp;L205,WeightedRevAge25)-SUMIF(ThresholdAge25,"&lt;"&amp;L205,WeightedMinAge25),MAX(CapacityAge25*'01_Вводные'!$B$218*L205,MeanMinAge25)))</f>
        <v/>
      </c>
      <c r="M161" s="190">
        <f>IF(OR((M77-M105)=0,25&lt;='01_Вводные'!$B$297),0,(M77-M105)*IF('01_Вводные'!$B$239="Да",MeanMinAge25+M205*SUMIF(ThresholdAge25,"&lt;"&amp;M205,WeightedRevAge25)-SUMIF(ThresholdAge25,"&lt;"&amp;M205,WeightedMinAge25),MAX(CapacityAge25*'01_Вводные'!$B$218*M205,MeanMinAge25)))</f>
        <v/>
      </c>
      <c r="N161" s="190">
        <f>IF(OR((N77-N105)=0,25&lt;='01_Вводные'!$B$297),0,(N77-N105)*IF('01_Вводные'!$B$239="Да",MeanMinAge25+N205*SUMIF(ThresholdAge25,"&lt;"&amp;N205,WeightedRevAge25)-SUMIF(ThresholdAge25,"&lt;"&amp;N205,WeightedMinAge25),MAX(CapacityAge25*'01_Вводные'!$B$218*N205,MeanMinAge25)))</f>
        <v/>
      </c>
      <c r="O161" s="190">
        <f>IF(OR((O77-O105)=0,25&lt;='01_Вводные'!$B$297),0,(O77-O105)*IF('01_Вводные'!$B$239="Да",MeanMinAge25+O205*SUMIF(ThresholdAge25,"&lt;"&amp;O205,WeightedRevAge25)-SUMIF(ThresholdAge25,"&lt;"&amp;O205,WeightedMinAge25),MAX(CapacityAge25*'01_Вводные'!$B$218*O205,MeanMinAge25)))</f>
        <v/>
      </c>
      <c r="P161" s="190">
        <f>IF(OR((P77-P105)=0,25&lt;='01_Вводные'!$B$297),0,(P77-P105)*IF('01_Вводные'!$B$239="Да",MeanMinAge25+P205*SUMIF(ThresholdAge25,"&lt;"&amp;P205,WeightedRevAge25)-SUMIF(ThresholdAge25,"&lt;"&amp;P205,WeightedMinAge25),MAX(CapacityAge25*'01_Вводные'!$B$218*P205,MeanMinAge25)))</f>
        <v/>
      </c>
      <c r="Q161" s="190">
        <f>IF(OR((Q77-Q105)=0,25&lt;='01_Вводные'!$B$297),0,(Q77-Q105)*IF('01_Вводные'!$B$239="Да",MeanMinAge25+Q205*SUMIF(ThresholdAge25,"&lt;"&amp;Q205,WeightedRevAge25)-SUMIF(ThresholdAge25,"&lt;"&amp;Q205,WeightedMinAge25),MAX(CapacityAge25*'01_Вводные'!$B$218*Q205,MeanMinAge25)))</f>
        <v/>
      </c>
      <c r="R161" s="190">
        <f>IF(OR((R77-R105)=0,25&lt;='01_Вводные'!$B$297),0,(R77-R105)*IF('01_Вводные'!$B$239="Да",MeanMinAge25+R205*SUMIF(ThresholdAge25,"&lt;"&amp;R205,WeightedRevAge25)-SUMIF(ThresholdAge25,"&lt;"&amp;R205,WeightedMinAge25),MAX(CapacityAge25*'01_Вводные'!$B$218*R205,MeanMinAge25)))</f>
        <v/>
      </c>
      <c r="S161" s="190">
        <f>IF(OR((S77-S105)=0,25&lt;='01_Вводные'!$B$297),0,(S77-S105)*IF('01_Вводные'!$B$239="Да",MeanMinAge25+S205*SUMIF(ThresholdAge25,"&lt;"&amp;S205,WeightedRevAge25)-SUMIF(ThresholdAge25,"&lt;"&amp;S205,WeightedMinAge25),MAX(CapacityAge25*'01_Вводные'!$B$218*S205,MeanMinAge25)))</f>
        <v/>
      </c>
      <c r="T161" s="190">
        <f>IF(OR((T77-T105)=0,25&lt;='01_Вводные'!$B$297),0,(T77-T105)*IF('01_Вводные'!$B$239="Да",MeanMinAge25+T205*SUMIF(ThresholdAge25,"&lt;"&amp;T205,WeightedRevAge25)-SUMIF(ThresholdAge25,"&lt;"&amp;T205,WeightedMinAge25),MAX(CapacityAge25*'01_Вводные'!$B$218*T205,MeanMinAge25)))</f>
        <v/>
      </c>
      <c r="U161" s="190">
        <f>IF(OR((U77-U105)=0,25&lt;='01_Вводные'!$B$297),0,(U77-U105)*IF('01_Вводные'!$B$239="Да",MeanMinAge25+U205*SUMIF(ThresholdAge25,"&lt;"&amp;U205,WeightedRevAge25)-SUMIF(ThresholdAge25,"&lt;"&amp;U205,WeightedMinAge25),MAX(CapacityAge25*'01_Вводные'!$B$218*U205,MeanMinAge25)))</f>
        <v/>
      </c>
      <c r="V161" s="190">
        <f>IF(OR((V77-V105)=0,25&lt;='01_Вводные'!$B$297),0,(V77-V105)*IF('01_Вводные'!$B$239="Да",MeanMinAge25+V205*SUMIF(ThresholdAge25,"&lt;"&amp;V205,WeightedRevAge25)-SUMIF(ThresholdAge25,"&lt;"&amp;V205,WeightedMinAge25),MAX(CapacityAge25*'01_Вводные'!$B$218*V205,MeanMinAge25)))</f>
        <v/>
      </c>
      <c r="W161" s="190">
        <f>IF(OR((W77-W105)=0,25&lt;='01_Вводные'!$B$297),0,(W77-W105)*IF('01_Вводные'!$B$239="Да",MeanMinAge25+W205*SUMIF(ThresholdAge25,"&lt;"&amp;W205,WeightedRevAge25)-SUMIF(ThresholdAge25,"&lt;"&amp;W205,WeightedMinAge25),MAX(CapacityAge25*'01_Вводные'!$B$218*W205,MeanMinAge25)))</f>
        <v/>
      </c>
      <c r="X161" s="190">
        <f>IF(OR((X77-X105)=0,25&lt;='01_Вводные'!$B$297),0,(X77-X105)*IF('01_Вводные'!$B$239="Да",MeanMinAge25+X205*SUMIF(ThresholdAge25,"&lt;"&amp;X205,WeightedRevAge25)-SUMIF(ThresholdAge25,"&lt;"&amp;X205,WeightedMinAge25),MAX(CapacityAge25*'01_Вводные'!$B$218*X205,MeanMinAge25)))</f>
        <v/>
      </c>
      <c r="Y161" s="190">
        <f>IF(OR((Y77-Y105)=0,25&lt;='01_Вводные'!$B$297),0,(Y77-Y105)*IF('01_Вводные'!$B$239="Да",MeanMinAge25+Y205*SUMIF(ThresholdAge25,"&lt;"&amp;Y205,WeightedRevAge25)-SUMIF(ThresholdAge25,"&lt;"&amp;Y205,WeightedMinAge25),MAX(CapacityAge25*'01_Вводные'!$B$218*Y205,MeanMinAge25)))</f>
        <v/>
      </c>
      <c r="Z161" s="190">
        <f>IF(OR((Z77-Z105)=0,25&lt;='01_Вводные'!$B$297),0,(Z77-Z105)*IF('01_Вводные'!$B$239="Да",MeanMinAge25+Z205*SUMIF(ThresholdAge25,"&lt;"&amp;Z205,WeightedRevAge25)-SUMIF(ThresholdAge25,"&lt;"&amp;Z205,WeightedMinAge25),MAX(CapacityAge25*'01_Вводные'!$B$218*Z205,MeanMinAge25)))</f>
        <v/>
      </c>
      <c r="AA161" s="190">
        <f>IF(OR((AA77-AA105)=0,25&lt;='01_Вводные'!$B$297),0,(AA77-AA105)*IF('01_Вводные'!$B$239="Да",MeanMinAge25+AA205*SUMIF(ThresholdAge25,"&lt;"&amp;AA205,WeightedRevAge25)-SUMIF(ThresholdAge25,"&lt;"&amp;AA205,WeightedMinAge25),MAX(CapacityAge25*'01_Вводные'!$B$218*AA205,MeanMinAge25)))</f>
        <v/>
      </c>
      <c r="AB161" s="190">
        <f>IF(OR((AB77-AB105)=0,25&lt;='01_Вводные'!$B$297),0,(AB77-AB105)*IF('01_Вводные'!$B$239="Да",MeanMinAge25+AB205*SUMIF(ThresholdAge25,"&lt;"&amp;AB205,WeightedRevAge25)-SUMIF(ThresholdAge25,"&lt;"&amp;AB205,WeightedMinAge25),MAX(CapacityAge25*'01_Вводные'!$B$218*AB205,MeanMinAge25)))</f>
        <v/>
      </c>
      <c r="AC161" s="190">
        <f>IF(OR((AC77-AC105)=0,25&lt;='01_Вводные'!$B$297),0,(AC77-AC105)*IF('01_Вводные'!$B$239="Да",MeanMinAge25+AC205*SUMIF(ThresholdAge25,"&lt;"&amp;AC205,WeightedRevAge25)-SUMIF(ThresholdAge25,"&lt;"&amp;AC205,WeightedMinAge25),MAX(CapacityAge25*'01_Вводные'!$B$218*AC205,MeanMinAge25)))</f>
        <v/>
      </c>
      <c r="AD161" s="190">
        <f>IF(OR((AD77-AD105)=0,25&lt;='01_Вводные'!$B$297),0,(AD77-AD105)*IF('01_Вводные'!$B$239="Да",MeanMinAge25+AD205*SUMIF(ThresholdAge25,"&lt;"&amp;AD205,WeightedRevAge25)-SUMIF(ThresholdAge25,"&lt;"&amp;AD205,WeightedMinAge25),MAX(CapacityAge25*'01_Вводные'!$B$218*AD205,MeanMinAge25)))</f>
        <v/>
      </c>
      <c r="AE161" s="190">
        <f>IF(OR((AE77-AE105)=0,25&lt;='01_Вводные'!$B$297),0,(AE77-AE105)*IF('01_Вводные'!$B$239="Да",MeanMinAge25+AE205*SUMIF(ThresholdAge25,"&lt;"&amp;AE205,WeightedRevAge25)-SUMIF(ThresholdAge25,"&lt;"&amp;AE205,WeightedMinAge25),MAX(CapacityAge25*'01_Вводные'!$B$218*AE205,MeanMinAge25)))</f>
        <v/>
      </c>
      <c r="AF161" s="190">
        <f>IF(OR((AF77-AF105)=0,25&lt;='01_Вводные'!$B$297),0,(AF77-AF105)*IF('01_Вводные'!$B$239="Да",MeanMinAge25+AF205*SUMIF(ThresholdAge25,"&lt;"&amp;AF205,WeightedRevAge25)-SUMIF(ThresholdAge25,"&lt;"&amp;AF205,WeightedMinAge25),MAX(CapacityAge25*'01_Вводные'!$B$218*AF205,MeanMinAge25)))</f>
        <v/>
      </c>
      <c r="AG161" s="190">
        <f>IF(OR((AG77-AG105)=0,25&lt;='01_Вводные'!$B$297),0,(AG77-AG105)*IF('01_Вводные'!$B$239="Да",MeanMinAge25+AG205*SUMIF(ThresholdAge25,"&lt;"&amp;AG205,WeightedRevAge25)-SUMIF(ThresholdAge25,"&lt;"&amp;AG205,WeightedMinAge25),MAX(CapacityAge25*'01_Вводные'!$B$218*AG205,MeanMinAge25)))</f>
        <v/>
      </c>
      <c r="AH161" s="190">
        <f>IF(OR((AH77-AH105)=0,25&lt;='01_Вводные'!$B$297),0,(AH77-AH105)*IF('01_Вводные'!$B$239="Да",MeanMinAge25+AH205*SUMIF(ThresholdAge25,"&lt;"&amp;AH205,WeightedRevAge25)-SUMIF(ThresholdAge25,"&lt;"&amp;AH205,WeightedMinAge25),MAX(CapacityAge25*'01_Вводные'!$B$218*AH205,MeanMinAge25)))</f>
        <v/>
      </c>
      <c r="AI161" s="190">
        <f>IF(OR((AI77-AI105)=0,25&lt;='01_Вводные'!$B$297),0,(AI77-AI105)*IF('01_Вводные'!$B$239="Да",MeanMinAge25+AI205*SUMIF(ThresholdAge25,"&lt;"&amp;AI205,WeightedRevAge25)-SUMIF(ThresholdAge25,"&lt;"&amp;AI205,WeightedMinAge25),MAX(CapacityAge25*'01_Вводные'!$B$218*AI205,MeanMinAge25)))</f>
        <v/>
      </c>
      <c r="AJ161" s="190">
        <f>IF(OR((AJ77-AJ105)=0,25&lt;='01_Вводные'!$B$297),0,(AJ77-AJ105)*IF('01_Вводные'!$B$239="Да",MeanMinAge25+AJ205*SUMIF(ThresholdAge25,"&lt;"&amp;AJ205,WeightedRevAge25)-SUMIF(ThresholdAge25,"&lt;"&amp;AJ205,WeightedMinAge25),MAX(CapacityAge25*'01_Вводные'!$B$218*AJ205,MeanMinAge25)))</f>
        <v/>
      </c>
      <c r="AK161" s="190">
        <f>IF(OR((AK77-AK105)=0,25&lt;='01_Вводные'!$B$297),0,(AK77-AK105)*IF('01_Вводные'!$B$239="Да",MeanMinAge25+AK205*SUMIF(ThresholdAge25,"&lt;"&amp;AK205,WeightedRevAge25)-SUMIF(ThresholdAge25,"&lt;"&amp;AK205,WeightedMinAge25),MAX(CapacityAge25*'01_Вводные'!$B$218*AK205,MeanMinAge25)))</f>
        <v/>
      </c>
      <c r="AL161" s="190">
        <f>IF(OR((AL77-AL105)=0,25&lt;='01_Вводные'!$B$297),0,(AL77-AL105)*IF('01_Вводные'!$B$239="Да",MeanMinAge25+AL205*SUMIF(ThresholdAge25,"&lt;"&amp;AL205,WeightedRevAge25)-SUMIF(ThresholdAge25,"&lt;"&amp;AL205,WeightedMinAge25),MAX(CapacityAge25*'01_Вводные'!$B$218*AL205,MeanMinAge25)))</f>
        <v/>
      </c>
      <c r="AM161" s="190">
        <f>IF(OR((AM77-AM105)=0,25&lt;='01_Вводные'!$B$297),0,(AM77-AM105)*IF('01_Вводные'!$B$239="Да",MeanMinAge25+AM205*SUMIF(ThresholdAge25,"&lt;"&amp;AM205,WeightedRevAge25)-SUMIF(ThresholdAge25,"&lt;"&amp;AM205,WeightedMinAge25),MAX(CapacityAge25*'01_Вводные'!$B$218*AM205,MeanMinAge25)))</f>
        <v/>
      </c>
      <c r="AN161" s="190">
        <f>IF(OR((AN77-AN105)=0,25&lt;='01_Вводные'!$B$297),0,(AN77-AN105)*IF('01_Вводные'!$B$239="Да",MeanMinAge25+AN205*SUMIF(ThresholdAge25,"&lt;"&amp;AN205,WeightedRevAge25)-SUMIF(ThresholdAge25,"&lt;"&amp;AN205,WeightedMinAge25),MAX(CapacityAge25*'01_Вводные'!$B$218*AN205,MeanMinAge25)))</f>
        <v/>
      </c>
      <c r="AO161" s="190">
        <f>IF(OR((AO77-AO105)=0,25&lt;='01_Вводные'!$B$297),0,(AO77-AO105)*IF('01_Вводные'!$B$239="Да",MeanMinAge25+AO205*SUMIF(ThresholdAge25,"&lt;"&amp;AO205,WeightedRevAge25)-SUMIF(ThresholdAge25,"&lt;"&amp;AO205,WeightedMinAge25),MAX(CapacityAge25*'01_Вводные'!$B$218*AO205,MeanMinAge25)))</f>
        <v/>
      </c>
      <c r="AP161" s="190">
        <f>IF(OR((AP77-AP105)=0,25&lt;='01_Вводные'!$B$297),0,(AP77-AP105)*IF('01_Вводные'!$B$239="Да",MeanMinAge25+AP205*SUMIF(ThresholdAge25,"&lt;"&amp;AP205,WeightedRevAge25)-SUMIF(ThresholdAge25,"&lt;"&amp;AP205,WeightedMinAge25),MAX(CapacityAge25*'01_Вводные'!$B$218*AP205,MeanMinAge25)))</f>
        <v/>
      </c>
      <c r="AQ161" s="190">
        <f>IF(OR((AQ77-AQ105)=0,25&lt;='01_Вводные'!$B$297),0,(AQ77-AQ105)*IF('01_Вводные'!$B$239="Да",MeanMinAge25+AQ205*SUMIF(ThresholdAge25,"&lt;"&amp;AQ205,WeightedRevAge25)-SUMIF(ThresholdAge25,"&lt;"&amp;AQ205,WeightedMinAge25),MAX(CapacityAge25*'01_Вводные'!$B$218*AQ205,MeanMinAge25)))</f>
        <v/>
      </c>
      <c r="AR161" s="190">
        <f>IF(OR((AR77-AR105)=0,25&lt;='01_Вводные'!$B$297),0,(AR77-AR105)*IF('01_Вводные'!$B$239="Да",MeanMinAge25+AR205*SUMIF(ThresholdAge25,"&lt;"&amp;AR205,WeightedRevAge25)-SUMIF(ThresholdAge25,"&lt;"&amp;AR205,WeightedMinAge25),MAX(CapacityAge25*'01_Вводные'!$B$218*AR205,MeanMinAge25)))</f>
        <v/>
      </c>
      <c r="AS161" s="190">
        <f>IF(OR((AS77-AS105)=0,25&lt;='01_Вводные'!$B$297),0,(AS77-AS105)*IF('01_Вводные'!$B$239="Да",MeanMinAge25+AS205*SUMIF(ThresholdAge25,"&lt;"&amp;AS205,WeightedRevAge25)-SUMIF(ThresholdAge25,"&lt;"&amp;AS205,WeightedMinAge25),MAX(CapacityAge25*'01_Вводные'!$B$218*AS205,MeanMinAge25)))</f>
        <v/>
      </c>
      <c r="AT161" s="190">
        <f>IF(OR((AT77-AT105)=0,25&lt;='01_Вводные'!$B$297),0,(AT77-AT105)*IF('01_Вводные'!$B$239="Да",MeanMinAge25+AT205*SUMIF(ThresholdAge25,"&lt;"&amp;AT205,WeightedRevAge25)-SUMIF(ThresholdAge25,"&lt;"&amp;AT205,WeightedMinAge25),MAX(CapacityAge25*'01_Вводные'!$B$218*AT205,MeanMinAge25)))</f>
        <v/>
      </c>
      <c r="AU161" s="190">
        <f>IF(OR((AU77-AU105)=0,25&lt;='01_Вводные'!$B$297),0,(AU77-AU105)*IF('01_Вводные'!$B$239="Да",MeanMinAge25+AU205*SUMIF(ThresholdAge25,"&lt;"&amp;AU205,WeightedRevAge25)-SUMIF(ThresholdAge25,"&lt;"&amp;AU205,WeightedMinAge25),MAX(CapacityAge25*'01_Вводные'!$B$218*AU205,MeanMinAge25)))</f>
        <v/>
      </c>
      <c r="AV161" s="190">
        <f>IF(OR((AV77-AV105)=0,25&lt;='01_Вводные'!$B$297),0,(AV77-AV105)*IF('01_Вводные'!$B$239="Да",MeanMinAge25+AV205*SUMIF(ThresholdAge25,"&lt;"&amp;AV205,WeightedRevAge25)-SUMIF(ThresholdAge25,"&lt;"&amp;AV205,WeightedMinAge25),MAX(CapacityAge25*'01_Вводные'!$B$218*AV205,MeanMinAge25)))</f>
        <v/>
      </c>
      <c r="AW161" s="190">
        <f>IF(OR((AW77-AW105)=0,25&lt;='01_Вводные'!$B$297),0,(AW77-AW105)*IF('01_Вводные'!$B$239="Да",MeanMinAge25+AW205*SUMIF(ThresholdAge25,"&lt;"&amp;AW205,WeightedRevAge25)-SUMIF(ThresholdAge25,"&lt;"&amp;AW205,WeightedMinAge25),MAX(CapacityAge25*'01_Вводные'!$B$218*AW205,MeanMinAge25)))</f>
        <v/>
      </c>
      <c r="AX161" s="190">
        <f>IF(OR((AX77-AX105)=0,25&lt;='01_Вводные'!$B$297),0,(AX77-AX105)*IF('01_Вводные'!$B$239="Да",MeanMinAge25+AX205*SUMIF(ThresholdAge25,"&lt;"&amp;AX205,WeightedRevAge25)-SUMIF(ThresholdAge25,"&lt;"&amp;AX205,WeightedMinAge25),MAX(CapacityAge25*'01_Вводные'!$B$218*AX205,MeanMinAge25)))</f>
        <v/>
      </c>
      <c r="AY161" s="190">
        <f>IF(OR((AY77-AY105)=0,25&lt;='01_Вводные'!$B$297),0,(AY77-AY105)*IF('01_Вводные'!$B$239="Да",MeanMinAge25+AY205*SUMIF(ThresholdAge25,"&lt;"&amp;AY205,WeightedRevAge25)-SUMIF(ThresholdAge25,"&lt;"&amp;AY205,WeightedMinAge25),MAX(CapacityAge25*'01_Вводные'!$B$218*AY205,MeanMinAge25)))</f>
        <v/>
      </c>
      <c r="AZ161" s="190">
        <f>IF(OR((AZ77-AZ105)=0,25&lt;='01_Вводные'!$B$297),0,(AZ77-AZ105)*IF('01_Вводные'!$B$239="Да",MeanMinAge25+AZ205*SUMIF(ThresholdAge25,"&lt;"&amp;AZ205,WeightedRevAge25)-SUMIF(ThresholdAge25,"&lt;"&amp;AZ205,WeightedMinAge25),MAX(CapacityAge25*'01_Вводные'!$B$218*AZ205,MeanMinAge25)))</f>
        <v/>
      </c>
      <c r="BA161" s="190">
        <f>IF(OR((BA77-BA105)=0,25&lt;='01_Вводные'!$B$297),0,(BA77-BA105)*IF('01_Вводные'!$B$239="Да",MeanMinAge25+BA205*SUMIF(ThresholdAge25,"&lt;"&amp;BA205,WeightedRevAge25)-SUMIF(ThresholdAge25,"&lt;"&amp;BA205,WeightedMinAge25),MAX(CapacityAge25*'01_Вводные'!$B$218*BA205,MeanMinAge25)))</f>
        <v/>
      </c>
      <c r="BB161" s="190">
        <f>IF(OR((BB77-BB105)=0,25&lt;='01_Вводные'!$B$297),0,(BB77-BB105)*IF('01_Вводные'!$B$239="Да",MeanMinAge25+BB205*SUMIF(ThresholdAge25,"&lt;"&amp;BB205,WeightedRevAge25)-SUMIF(ThresholdAge25,"&lt;"&amp;BB205,WeightedMinAge25),MAX(CapacityAge25*'01_Вводные'!$B$218*BB205,MeanMinAge25)))</f>
        <v/>
      </c>
      <c r="BC161" s="190">
        <f>IF(OR((BC77-BC105)=0,25&lt;='01_Вводные'!$B$297),0,(BC77-BC105)*IF('01_Вводные'!$B$239="Да",MeanMinAge25+BC205*SUMIF(ThresholdAge25,"&lt;"&amp;BC205,WeightedRevAge25)-SUMIF(ThresholdAge25,"&lt;"&amp;BC205,WeightedMinAge25),MAX(CapacityAge25*'01_Вводные'!$B$218*BC205,MeanMinAge25)))</f>
        <v/>
      </c>
      <c r="BD161" s="190">
        <f>IF(OR((BD77-BD105)=0,25&lt;='01_Вводные'!$B$297),0,(BD77-BD105)*IF('01_Вводные'!$B$239="Да",MeanMinAge25+BD205*SUMIF(ThresholdAge25,"&lt;"&amp;BD205,WeightedRevAge25)-SUMIF(ThresholdAge25,"&lt;"&amp;BD205,WeightedMinAge25),MAX(CapacityAge25*'01_Вводные'!$B$218*BD205,MeanMinAge25)))</f>
        <v/>
      </c>
      <c r="BE161" s="190">
        <f>IF(OR((BE77-BE105)=0,25&lt;='01_Вводные'!$B$297),0,(BE77-BE105)*IF('01_Вводные'!$B$239="Да",MeanMinAge25+BE205*SUMIF(ThresholdAge25,"&lt;"&amp;BE205,WeightedRevAge25)-SUMIF(ThresholdAge25,"&lt;"&amp;BE205,WeightedMinAge25),MAX(CapacityAge25*'01_Вводные'!$B$218*BE205,MeanMinAge25)))</f>
        <v/>
      </c>
      <c r="BF161" s="190">
        <f>IF(OR((BF77-BF105)=0,25&lt;='01_Вводные'!$B$297),0,(BF77-BF105)*IF('01_Вводные'!$B$239="Да",MeanMinAge25+BF205*SUMIF(ThresholdAge25,"&lt;"&amp;BF205,WeightedRevAge25)-SUMIF(ThresholdAge25,"&lt;"&amp;BF205,WeightedMinAge25),MAX(CapacityAge25*'01_Вводные'!$B$218*BF205,MeanMinAge25)))</f>
        <v/>
      </c>
      <c r="BG161" s="190">
        <f>IF(OR((BG77-BG105)=0,25&lt;='01_Вводные'!$B$297),0,(BG77-BG105)*IF('01_Вводные'!$B$239="Да",MeanMinAge25+BG205*SUMIF(ThresholdAge25,"&lt;"&amp;BG205,WeightedRevAge25)-SUMIF(ThresholdAge25,"&lt;"&amp;BG205,WeightedMinAge25),MAX(CapacityAge25*'01_Вводные'!$B$218*BG205,MeanMinAge25)))</f>
        <v/>
      </c>
      <c r="BH161" s="190">
        <f>IF(OR((BH77-BH105)=0,25&lt;='01_Вводные'!$B$297),0,(BH77-BH105)*IF('01_Вводные'!$B$239="Да",MeanMinAge25+BH205*SUMIF(ThresholdAge25,"&lt;"&amp;BH205,WeightedRevAge25)-SUMIF(ThresholdAge25,"&lt;"&amp;BH205,WeightedMinAge25),MAX(CapacityAge25*'01_Вводные'!$B$218*BH205,MeanMinAge25)))</f>
        <v/>
      </c>
      <c r="BI161" s="190">
        <f>IF(OR((BI77-BI105)=0,25&lt;='01_Вводные'!$B$297),0,(BI77-BI105)*IF('01_Вводные'!$B$239="Да",MeanMinAge25+BI205*SUMIF(ThresholdAge25,"&lt;"&amp;BI205,WeightedRevAge25)-SUMIF(ThresholdAge25,"&lt;"&amp;BI205,WeightedMinAge25),MAX(CapacityAge25*'01_Вводные'!$B$218*BI205,MeanMinAge25)))</f>
        <v/>
      </c>
      <c r="BJ161" s="190">
        <f>IF(OR((BJ77-BJ105)=0,25&lt;='01_Вводные'!$B$297),0,(BJ77-BJ105)*IF('01_Вводные'!$B$239="Да",MeanMinAge25+BJ205*SUMIF(ThresholdAge25,"&lt;"&amp;BJ205,WeightedRevAge25)-SUMIF(ThresholdAge25,"&lt;"&amp;BJ205,WeightedMinAge25),MAX(CapacityAge25*'01_Вводные'!$B$218*BJ205,MeanMinAge25)))</f>
        <v/>
      </c>
      <c r="BK161" s="190">
        <f>IF(OR((BK77-BK105)=0,25&lt;='01_Вводные'!$B$297),0,(BK77-BK105)*IF('01_Вводные'!$B$239="Да",MeanMinAge25+BK205*SUMIF(ThresholdAge25,"&lt;"&amp;BK205,WeightedRevAge25)-SUMIF(ThresholdAge25,"&lt;"&amp;BK205,WeightedMinAge25),MAX(CapacityAge25*'01_Вводные'!$B$218*BK205,MeanMinAge25)))</f>
        <v/>
      </c>
      <c r="BL161" s="190">
        <f>IF(OR((BL77-BL105)=0,25&lt;='01_Вводные'!$B$297),0,(BL77-BL105)*IF('01_Вводные'!$B$239="Да",MeanMinAge25+BL205*SUMIF(ThresholdAge25,"&lt;"&amp;BL205,WeightedRevAge25)-SUMIF(ThresholdAge25,"&lt;"&amp;BL205,WeightedMinAge25),MAX(CapacityAge25*'01_Вводные'!$B$218*BL205,MeanMinAge25)))</f>
        <v/>
      </c>
      <c r="BM161" s="190">
        <f>IF(OR((BM77-BM105)=0,25&lt;='01_Вводные'!$B$297),0,(BM77-BM105)*IF('01_Вводные'!$B$239="Да",MeanMinAge25+BM205*SUMIF(ThresholdAge25,"&lt;"&amp;BM205,WeightedRevAge25)-SUMIF(ThresholdAge25,"&lt;"&amp;BM205,WeightedMinAge25),MAX(CapacityAge25*'01_Вводные'!$B$218*BM205,MeanMinAge25)))</f>
        <v/>
      </c>
      <c r="BN161" s="190">
        <f>IF(OR((BN77-BN105)=0,25&lt;='01_Вводные'!$B$297),0,(BN77-BN105)*IF('01_Вводные'!$B$239="Да",MeanMinAge25+BN205*SUMIF(ThresholdAge25,"&lt;"&amp;BN205,WeightedRevAge25)-SUMIF(ThresholdAge25,"&lt;"&amp;BN205,WeightedMinAge25),MAX(CapacityAge25*'01_Вводные'!$B$218*BN205,MeanMinAge25)))</f>
        <v/>
      </c>
      <c r="BO161" s="190">
        <f>IF(OR((BO77-BO105)=0,25&lt;='01_Вводные'!$B$297),0,(BO77-BO105)*IF('01_Вводные'!$B$239="Да",MeanMinAge25+BO205*SUMIF(ThresholdAge25,"&lt;"&amp;BO205,WeightedRevAge25)-SUMIF(ThresholdAge25,"&lt;"&amp;BO205,WeightedMinAge25),MAX(CapacityAge25*'01_Вводные'!$B$218*BO205,MeanMinAge25)))</f>
        <v/>
      </c>
    </row>
    <row r="162" hidden="1" outlineLevel="1">
      <c r="B162" s="96" t="n"/>
      <c r="C162" s="96" t="n"/>
      <c r="D162" s="96" t="n"/>
      <c r="E162" s="96" t="n"/>
      <c r="F162" s="96" t="n"/>
      <c r="G162" s="96" t="n"/>
      <c r="H162" s="96" t="n"/>
      <c r="I162" s="96" t="n"/>
      <c r="J162" s="96" t="n"/>
      <c r="K162" s="96" t="n"/>
      <c r="L162" s="96" t="n"/>
      <c r="M162" s="96" t="n"/>
      <c r="N162" s="96" t="n"/>
      <c r="O162" s="96" t="n"/>
      <c r="P162" s="96" t="n"/>
      <c r="Q162" s="96" t="n"/>
      <c r="R162" s="96" t="n"/>
      <c r="S162" s="96" t="n"/>
      <c r="T162" s="96" t="n"/>
      <c r="U162" s="96" t="n"/>
      <c r="V162" s="96" t="n"/>
      <c r="W162" s="96" t="n"/>
      <c r="X162" s="96" t="n"/>
      <c r="Y162" s="96" t="n"/>
      <c r="Z162" s="96" t="n"/>
      <c r="AA162" s="96" t="n"/>
      <c r="AB162" s="96" t="n"/>
      <c r="AC162" s="96" t="n"/>
      <c r="AD162" s="96" t="n"/>
      <c r="AE162" s="96" t="n"/>
      <c r="AF162" s="96" t="n"/>
      <c r="AG162" s="96" t="n"/>
      <c r="AH162" s="96" t="n"/>
      <c r="AI162" s="96" t="n"/>
      <c r="AJ162" s="96" t="n"/>
      <c r="AK162" s="96" t="n"/>
      <c r="AL162" s="96" t="n"/>
      <c r="AM162" s="96" t="n"/>
      <c r="AN162" s="96" t="n"/>
      <c r="AO162" s="96" t="n"/>
      <c r="AP162" s="96" t="n"/>
      <c r="AQ162" s="96" t="n"/>
      <c r="AR162" s="96" t="n"/>
      <c r="AS162" s="96" t="n"/>
      <c r="AT162" s="96" t="n"/>
      <c r="AU162" s="96" t="n"/>
      <c r="AV162" s="96" t="n"/>
      <c r="AW162" s="96" t="n"/>
      <c r="AX162" s="96" t="n"/>
      <c r="AY162" s="96" t="n"/>
      <c r="AZ162" s="96" t="n"/>
      <c r="BA162" s="96" t="n"/>
      <c r="BB162" s="96" t="n"/>
      <c r="BC162" s="96" t="n"/>
      <c r="BD162" s="96" t="n"/>
      <c r="BE162" s="96" t="n"/>
      <c r="BF162" s="96" t="n"/>
      <c r="BG162" s="96" t="n"/>
      <c r="BH162" s="96" t="n"/>
      <c r="BI162" s="96" t="n"/>
      <c r="BJ162" s="96" t="n"/>
      <c r="BK162" s="96" t="n"/>
      <c r="BL162" s="96" t="n"/>
      <c r="BM162" s="96" t="n"/>
      <c r="BN162" s="96" t="n"/>
      <c r="BO162" s="96" t="n"/>
    </row>
    <row r="163" hidden="1" outlineLevel="1">
      <c r="B163" s="96" t="n"/>
      <c r="C163" s="96" t="n"/>
      <c r="D163" s="96" t="n"/>
      <c r="E163" s="96" t="n"/>
      <c r="F163" s="96" t="n"/>
      <c r="G163" s="96" t="n"/>
      <c r="H163" s="96" t="n"/>
      <c r="I163" s="96" t="n"/>
      <c r="J163" s="96" t="n"/>
      <c r="K163" s="96" t="n"/>
      <c r="L163" s="96" t="n"/>
      <c r="M163" s="96" t="n"/>
      <c r="N163" s="96" t="n"/>
      <c r="O163" s="96" t="n"/>
      <c r="P163" s="96" t="n"/>
      <c r="Q163" s="96" t="n"/>
      <c r="R163" s="96" t="n"/>
      <c r="S163" s="96" t="n"/>
      <c r="T163" s="96" t="n"/>
      <c r="U163" s="96" t="n"/>
      <c r="V163" s="96" t="n"/>
      <c r="W163" s="96" t="n"/>
      <c r="X163" s="96" t="n"/>
      <c r="Y163" s="96" t="n"/>
      <c r="Z163" s="96" t="n"/>
      <c r="AA163" s="96" t="n"/>
      <c r="AB163" s="96" t="n"/>
      <c r="AC163" s="96" t="n"/>
      <c r="AD163" s="96" t="n"/>
      <c r="AE163" s="96" t="n"/>
      <c r="AF163" s="96" t="n"/>
      <c r="AG163" s="96" t="n"/>
      <c r="AH163" s="96" t="n"/>
      <c r="AI163" s="96" t="n"/>
      <c r="AJ163" s="96" t="n"/>
      <c r="AK163" s="96" t="n"/>
      <c r="AL163" s="96" t="n"/>
      <c r="AM163" s="96" t="n"/>
      <c r="AN163" s="96" t="n"/>
      <c r="AO163" s="96" t="n"/>
      <c r="AP163" s="96" t="n"/>
      <c r="AQ163" s="96" t="n"/>
      <c r="AR163" s="96" t="n"/>
      <c r="AS163" s="96" t="n"/>
      <c r="AT163" s="96" t="n"/>
      <c r="AU163" s="96" t="n"/>
      <c r="AV163" s="96" t="n"/>
      <c r="AW163" s="96" t="n"/>
      <c r="AX163" s="96" t="n"/>
      <c r="AY163" s="96" t="n"/>
      <c r="AZ163" s="96" t="n"/>
      <c r="BA163" s="96" t="n"/>
      <c r="BB163" s="96" t="n"/>
      <c r="BC163" s="96" t="n"/>
      <c r="BD163" s="96" t="n"/>
      <c r="BE163" s="96" t="n"/>
      <c r="BF163" s="96" t="n"/>
      <c r="BG163" s="96" t="n"/>
      <c r="BH163" s="96" t="n"/>
      <c r="BI163" s="96" t="n"/>
      <c r="BJ163" s="96" t="n"/>
      <c r="BK163" s="96" t="n"/>
      <c r="BL163" s="96" t="n"/>
      <c r="BM163" s="96" t="n"/>
      <c r="BN163" s="96" t="n"/>
      <c r="BO163" s="96" t="n"/>
    </row>
    <row r="164" hidden="1" outlineLevel="1" ht="28" customHeight="1">
      <c r="A164" s="181" t="inlineStr">
        <is>
          <t>Дети для повторной формы: без наложения на первичную</t>
        </is>
      </c>
      <c r="I164" s="96" t="n"/>
      <c r="J164" s="96" t="n"/>
      <c r="K164" s="96" t="n"/>
      <c r="L164" s="96" t="n"/>
      <c r="M164" s="96" t="n"/>
      <c r="N164" s="96" t="n"/>
      <c r="O164" s="96" t="n"/>
      <c r="P164" s="96" t="n"/>
      <c r="Q164" s="96" t="n"/>
      <c r="R164" s="96" t="n"/>
      <c r="S164" s="96" t="n"/>
      <c r="T164" s="96" t="n"/>
      <c r="U164" s="96" t="n"/>
      <c r="V164" s="96" t="n"/>
      <c r="W164" s="96" t="n"/>
      <c r="X164" s="96" t="n"/>
      <c r="Y164" s="96" t="n"/>
      <c r="Z164" s="96" t="n"/>
      <c r="AA164" s="96" t="n"/>
      <c r="AB164" s="96" t="n"/>
      <c r="AC164" s="96" t="n"/>
      <c r="AD164" s="96" t="n"/>
      <c r="AE164" s="96" t="n"/>
      <c r="AF164" s="96" t="n"/>
      <c r="AG164" s="96" t="n"/>
      <c r="AH164" s="96" t="n"/>
      <c r="AI164" s="96" t="n"/>
      <c r="AJ164" s="96" t="n"/>
      <c r="AK164" s="96" t="n"/>
      <c r="AL164" s="96" t="n"/>
      <c r="AM164" s="96" t="n"/>
      <c r="AN164" s="96" t="n"/>
      <c r="AO164" s="96" t="n"/>
      <c r="AP164" s="96" t="n"/>
      <c r="AQ164" s="96" t="n"/>
      <c r="AR164" s="96" t="n"/>
      <c r="AS164" s="96" t="n"/>
      <c r="AT164" s="96" t="n"/>
      <c r="AU164" s="96" t="n"/>
      <c r="AV164" s="96" t="n"/>
      <c r="AW164" s="96" t="n"/>
      <c r="AX164" s="96" t="n"/>
      <c r="AY164" s="96" t="n"/>
      <c r="AZ164" s="96" t="n"/>
      <c r="BA164" s="96" t="n"/>
      <c r="BB164" s="96" t="n"/>
      <c r="BC164" s="96" t="n"/>
      <c r="BD164" s="96" t="n"/>
      <c r="BE164" s="96" t="n"/>
      <c r="BF164" s="96" t="n"/>
      <c r="BG164" s="96" t="n"/>
      <c r="BH164" s="96" t="n"/>
      <c r="BI164" s="96" t="n"/>
      <c r="BJ164" s="96" t="n"/>
      <c r="BK164" s="96" t="n"/>
      <c r="BL164" s="96" t="n"/>
      <c r="BM164" s="96" t="n"/>
      <c r="BN164" s="96" t="n"/>
      <c r="BO164" s="96" t="n"/>
    </row>
    <row r="165" hidden="1" outlineLevel="1">
      <c r="A165" t="inlineStr">
        <is>
          <t>1 мес.</t>
        </is>
      </c>
      <c r="B165" s="190">
        <f>IF(IF('01_Вводные'!$B$296="Новый сезон",FALSE,FALSE),B53*CapacityAge01*'01_Вводные'!$F$199,0)</f>
        <v/>
      </c>
      <c r="C165" s="190">
        <f>IF(IF('01_Вводные'!$B$296="Новый сезон",FALSE,FALSE),C53*CapacityAge01*'01_Вводные'!$F$199,0)</f>
        <v/>
      </c>
      <c r="D165" s="190">
        <f>IF(IF('01_Вводные'!$B$296="Новый сезон",FALSE,FALSE),D53*CapacityAge01*'01_Вводные'!$F$199,0)</f>
        <v/>
      </c>
      <c r="E165" s="190">
        <f>IF(IF('01_Вводные'!$B$296="Новый сезон",FALSE,FALSE),E53*CapacityAge01*'01_Вводные'!$F$199,0)</f>
        <v/>
      </c>
      <c r="F165" s="190">
        <f>IF(IF('01_Вводные'!$B$296="Новый сезон",FALSE,FALSE),F53*CapacityAge01*'01_Вводные'!$F$199,0)</f>
        <v/>
      </c>
      <c r="G165" s="190">
        <f>IF(IF('01_Вводные'!$B$296="Новый сезон",FALSE,FALSE),G53*CapacityAge01*'01_Вводные'!$F$199,0)</f>
        <v/>
      </c>
      <c r="H165" s="190">
        <f>IF(IF('01_Вводные'!$B$296="Новый сезон",FALSE,FALSE),H53*CapacityAge01*'01_Вводные'!$F$199,0)</f>
        <v/>
      </c>
      <c r="I165" s="190">
        <f>IF(IF('01_Вводные'!$B$296="Новый сезон",FALSE,FALSE),I53*CapacityAge01*'01_Вводные'!$F$199,0)</f>
        <v/>
      </c>
      <c r="J165" s="190">
        <f>IF(IF('01_Вводные'!$B$296="Новый сезон",FALSE,FALSE),J53*CapacityAge01*'01_Вводные'!$F$199,0)</f>
        <v/>
      </c>
      <c r="K165" s="190">
        <f>IF(IF('01_Вводные'!$B$296="Новый сезон",FALSE,FALSE),K53*CapacityAge01*'01_Вводные'!$F$199,0)</f>
        <v/>
      </c>
      <c r="L165" s="190">
        <f>IF(IF('01_Вводные'!$B$296="Новый сезон",FALSE,FALSE),L53*CapacityAge01*'01_Вводные'!$F$199,0)</f>
        <v/>
      </c>
      <c r="M165" s="190">
        <f>IF(IF('01_Вводные'!$B$296="Новый сезон",FALSE,FALSE),M53*CapacityAge01*'01_Вводные'!$F$199,0)</f>
        <v/>
      </c>
      <c r="N165" s="190">
        <f>IF(IF('01_Вводные'!$B$296="Новый сезон",FALSE,FALSE),N53*CapacityAge01*'01_Вводные'!$F$199,0)</f>
        <v/>
      </c>
      <c r="O165" s="190">
        <f>IF(IF('01_Вводные'!$B$296="Новый сезон",FALSE,FALSE),O53*CapacityAge01*'01_Вводные'!$F$199,0)</f>
        <v/>
      </c>
      <c r="P165" s="190">
        <f>IF(IF('01_Вводные'!$B$296="Новый сезон",FALSE,FALSE),P53*CapacityAge01*'01_Вводные'!$F$199,0)</f>
        <v/>
      </c>
      <c r="Q165" s="190">
        <f>IF(IF('01_Вводные'!$B$296="Новый сезон",FALSE,FALSE),Q53*CapacityAge01*'01_Вводные'!$F$199,0)</f>
        <v/>
      </c>
      <c r="R165" s="190">
        <f>IF(IF('01_Вводные'!$B$296="Новый сезон",FALSE,FALSE),R53*CapacityAge01*'01_Вводные'!$F$199,0)</f>
        <v/>
      </c>
      <c r="S165" s="190">
        <f>IF(IF('01_Вводные'!$B$296="Новый сезон",FALSE,FALSE),S53*CapacityAge01*'01_Вводные'!$F$199,0)</f>
        <v/>
      </c>
      <c r="T165" s="190">
        <f>IF(IF('01_Вводные'!$B$296="Новый сезон",FALSE,FALSE),T53*CapacityAge01*'01_Вводные'!$F$199,0)</f>
        <v/>
      </c>
      <c r="U165" s="190">
        <f>IF(IF('01_Вводные'!$B$296="Новый сезон",FALSE,FALSE),U53*CapacityAge01*'01_Вводные'!$F$199,0)</f>
        <v/>
      </c>
      <c r="V165" s="190">
        <f>IF(IF('01_Вводные'!$B$296="Новый сезон",FALSE,FALSE),V53*CapacityAge01*'01_Вводные'!$F$199,0)</f>
        <v/>
      </c>
      <c r="W165" s="190">
        <f>IF(IF('01_Вводные'!$B$296="Новый сезон",FALSE,FALSE),W53*CapacityAge01*'01_Вводные'!$F$199,0)</f>
        <v/>
      </c>
      <c r="X165" s="190">
        <f>IF(IF('01_Вводные'!$B$296="Новый сезон",FALSE,FALSE),X53*CapacityAge01*'01_Вводные'!$F$199,0)</f>
        <v/>
      </c>
      <c r="Y165" s="190">
        <f>IF(IF('01_Вводные'!$B$296="Новый сезон",FALSE,FALSE),Y53*CapacityAge01*'01_Вводные'!$F$199,0)</f>
        <v/>
      </c>
      <c r="Z165" s="190">
        <f>IF(IF('01_Вводные'!$B$296="Новый сезон",FALSE,FALSE),Z53*CapacityAge01*'01_Вводные'!$F$199,0)</f>
        <v/>
      </c>
      <c r="AA165" s="190">
        <f>IF(IF('01_Вводные'!$B$296="Новый сезон",FALSE,FALSE),AA53*CapacityAge01*'01_Вводные'!$F$199,0)</f>
        <v/>
      </c>
      <c r="AB165" s="190">
        <f>IF(IF('01_Вводные'!$B$296="Новый сезон",FALSE,FALSE),AB53*CapacityAge01*'01_Вводные'!$F$199,0)</f>
        <v/>
      </c>
      <c r="AC165" s="190">
        <f>IF(IF('01_Вводные'!$B$296="Новый сезон",FALSE,FALSE),AC53*CapacityAge01*'01_Вводные'!$F$199,0)</f>
        <v/>
      </c>
      <c r="AD165" s="190">
        <f>IF(IF('01_Вводные'!$B$296="Новый сезон",FALSE,FALSE),AD53*CapacityAge01*'01_Вводные'!$F$199,0)</f>
        <v/>
      </c>
      <c r="AE165" s="190">
        <f>IF(IF('01_Вводные'!$B$296="Новый сезон",FALSE,FALSE),AE53*CapacityAge01*'01_Вводные'!$F$199,0)</f>
        <v/>
      </c>
      <c r="AF165" s="190">
        <f>IF(IF('01_Вводные'!$B$296="Новый сезон",FALSE,FALSE),AF53*CapacityAge01*'01_Вводные'!$F$199,0)</f>
        <v/>
      </c>
      <c r="AG165" s="190">
        <f>IF(IF('01_Вводные'!$B$296="Новый сезон",FALSE,FALSE),AG53*CapacityAge01*'01_Вводные'!$F$199,0)</f>
        <v/>
      </c>
      <c r="AH165" s="190">
        <f>IF(IF('01_Вводные'!$B$296="Новый сезон",FALSE,FALSE),AH53*CapacityAge01*'01_Вводные'!$F$199,0)</f>
        <v/>
      </c>
      <c r="AI165" s="190">
        <f>IF(IF('01_Вводные'!$B$296="Новый сезон",FALSE,FALSE),AI53*CapacityAge01*'01_Вводные'!$F$199,0)</f>
        <v/>
      </c>
      <c r="AJ165" s="190">
        <f>IF(IF('01_Вводные'!$B$296="Новый сезон",FALSE,FALSE),AJ53*CapacityAge01*'01_Вводные'!$F$199,0)</f>
        <v/>
      </c>
      <c r="AK165" s="190">
        <f>IF(IF('01_Вводные'!$B$296="Новый сезон",FALSE,FALSE),AK53*CapacityAge01*'01_Вводные'!$F$199,0)</f>
        <v/>
      </c>
      <c r="AL165" s="190">
        <f>IF(IF('01_Вводные'!$B$296="Новый сезон",FALSE,FALSE),AL53*CapacityAge01*'01_Вводные'!$F$199,0)</f>
        <v/>
      </c>
      <c r="AM165" s="190">
        <f>IF(IF('01_Вводные'!$B$296="Новый сезон",FALSE,FALSE),AM53*CapacityAge01*'01_Вводные'!$F$199,0)</f>
        <v/>
      </c>
      <c r="AN165" s="190">
        <f>IF(IF('01_Вводные'!$B$296="Новый сезон",FALSE,FALSE),AN53*CapacityAge01*'01_Вводные'!$F$199,0)</f>
        <v/>
      </c>
      <c r="AO165" s="190">
        <f>IF(IF('01_Вводные'!$B$296="Новый сезон",FALSE,FALSE),AO53*CapacityAge01*'01_Вводные'!$F$199,0)</f>
        <v/>
      </c>
      <c r="AP165" s="190">
        <f>IF(IF('01_Вводные'!$B$296="Новый сезон",FALSE,FALSE),AP53*CapacityAge01*'01_Вводные'!$F$199,0)</f>
        <v/>
      </c>
      <c r="AQ165" s="190">
        <f>IF(IF('01_Вводные'!$B$296="Новый сезон",FALSE,FALSE),AQ53*CapacityAge01*'01_Вводные'!$F$199,0)</f>
        <v/>
      </c>
      <c r="AR165" s="190">
        <f>IF(IF('01_Вводные'!$B$296="Новый сезон",FALSE,FALSE),AR53*CapacityAge01*'01_Вводные'!$F$199,0)</f>
        <v/>
      </c>
      <c r="AS165" s="190">
        <f>IF(IF('01_Вводные'!$B$296="Новый сезон",FALSE,FALSE),AS53*CapacityAge01*'01_Вводные'!$F$199,0)</f>
        <v/>
      </c>
      <c r="AT165" s="190">
        <f>IF(IF('01_Вводные'!$B$296="Новый сезон",FALSE,FALSE),AT53*CapacityAge01*'01_Вводные'!$F$199,0)</f>
        <v/>
      </c>
      <c r="AU165" s="190">
        <f>IF(IF('01_Вводные'!$B$296="Новый сезон",FALSE,FALSE),AU53*CapacityAge01*'01_Вводные'!$F$199,0)</f>
        <v/>
      </c>
      <c r="AV165" s="190">
        <f>IF(IF('01_Вводные'!$B$296="Новый сезон",FALSE,FALSE),AV53*CapacityAge01*'01_Вводные'!$F$199,0)</f>
        <v/>
      </c>
      <c r="AW165" s="190">
        <f>IF(IF('01_Вводные'!$B$296="Новый сезон",FALSE,FALSE),AW53*CapacityAge01*'01_Вводные'!$F$199,0)</f>
        <v/>
      </c>
      <c r="AX165" s="190">
        <f>IF(IF('01_Вводные'!$B$296="Новый сезон",FALSE,FALSE),AX53*CapacityAge01*'01_Вводные'!$F$199,0)</f>
        <v/>
      </c>
      <c r="AY165" s="190">
        <f>IF(IF('01_Вводные'!$B$296="Новый сезон",FALSE,FALSE),AY53*CapacityAge01*'01_Вводные'!$F$199,0)</f>
        <v/>
      </c>
      <c r="AZ165" s="190">
        <f>IF(IF('01_Вводные'!$B$296="Новый сезон",FALSE,FALSE),AZ53*CapacityAge01*'01_Вводные'!$F$199,0)</f>
        <v/>
      </c>
      <c r="BA165" s="190">
        <f>IF(IF('01_Вводные'!$B$296="Новый сезон",FALSE,FALSE),BA53*CapacityAge01*'01_Вводные'!$F$199,0)</f>
        <v/>
      </c>
      <c r="BB165" s="190">
        <f>IF(IF('01_Вводные'!$B$296="Новый сезон",FALSE,FALSE),BB53*CapacityAge01*'01_Вводные'!$F$199,0)</f>
        <v/>
      </c>
      <c r="BC165" s="190">
        <f>IF(IF('01_Вводные'!$B$296="Новый сезон",FALSE,FALSE),BC53*CapacityAge01*'01_Вводные'!$F$199,0)</f>
        <v/>
      </c>
      <c r="BD165" s="190">
        <f>IF(IF('01_Вводные'!$B$296="Новый сезон",FALSE,FALSE),BD53*CapacityAge01*'01_Вводные'!$F$199,0)</f>
        <v/>
      </c>
      <c r="BE165" s="190">
        <f>IF(IF('01_Вводные'!$B$296="Новый сезон",FALSE,FALSE),BE53*CapacityAge01*'01_Вводные'!$F$199,0)</f>
        <v/>
      </c>
      <c r="BF165" s="190">
        <f>IF(IF('01_Вводные'!$B$296="Новый сезон",FALSE,FALSE),BF53*CapacityAge01*'01_Вводные'!$F$199,0)</f>
        <v/>
      </c>
      <c r="BG165" s="190">
        <f>IF(IF('01_Вводные'!$B$296="Новый сезон",FALSE,FALSE),BG53*CapacityAge01*'01_Вводные'!$F$199,0)</f>
        <v/>
      </c>
      <c r="BH165" s="190">
        <f>IF(IF('01_Вводные'!$B$296="Новый сезон",FALSE,FALSE),BH53*CapacityAge01*'01_Вводные'!$F$199,0)</f>
        <v/>
      </c>
      <c r="BI165" s="190">
        <f>IF(IF('01_Вводные'!$B$296="Новый сезон",FALSE,FALSE),BI53*CapacityAge01*'01_Вводные'!$F$199,0)</f>
        <v/>
      </c>
      <c r="BJ165" s="190">
        <f>IF(IF('01_Вводные'!$B$296="Новый сезон",FALSE,FALSE),BJ53*CapacityAge01*'01_Вводные'!$F$199,0)</f>
        <v/>
      </c>
      <c r="BK165" s="190">
        <f>IF(IF('01_Вводные'!$B$296="Новый сезон",FALSE,FALSE),BK53*CapacityAge01*'01_Вводные'!$F$199,0)</f>
        <v/>
      </c>
      <c r="BL165" s="190">
        <f>IF(IF('01_Вводные'!$B$296="Новый сезон",FALSE,FALSE),BL53*CapacityAge01*'01_Вводные'!$F$199,0)</f>
        <v/>
      </c>
      <c r="BM165" s="190">
        <f>IF(IF('01_Вводные'!$B$296="Новый сезон",FALSE,FALSE),BM53*CapacityAge01*'01_Вводные'!$F$199,0)</f>
        <v/>
      </c>
      <c r="BN165" s="190">
        <f>IF(IF('01_Вводные'!$B$296="Новый сезон",FALSE,FALSE),BN53*CapacityAge01*'01_Вводные'!$F$199,0)</f>
        <v/>
      </c>
      <c r="BO165" s="190">
        <f>IF(IF('01_Вводные'!$B$296="Новый сезон",FALSE,FALSE),BO53*CapacityAge01*'01_Вводные'!$F$199,0)</f>
        <v/>
      </c>
    </row>
    <row r="166" hidden="1" outlineLevel="1">
      <c r="A166" t="inlineStr">
        <is>
          <t>2 мес.</t>
        </is>
      </c>
      <c r="B166" s="190">
        <f>IF(IF('01_Вводные'!$B$296="Новый сезон",FALSE,FALSE),B54*CapacityAge02*'01_Вводные'!$F$199,0)</f>
        <v/>
      </c>
      <c r="C166" s="190">
        <f>IF(IF('01_Вводные'!$B$296="Новый сезон",FALSE,FALSE),C54*CapacityAge02*'01_Вводные'!$F$199,0)</f>
        <v/>
      </c>
      <c r="D166" s="190">
        <f>IF(IF('01_Вводные'!$B$296="Новый сезон",FALSE,FALSE),D54*CapacityAge02*'01_Вводные'!$F$199,0)</f>
        <v/>
      </c>
      <c r="E166" s="190">
        <f>IF(IF('01_Вводные'!$B$296="Новый сезон",FALSE,FALSE),E54*CapacityAge02*'01_Вводные'!$F$199,0)</f>
        <v/>
      </c>
      <c r="F166" s="190">
        <f>IF(IF('01_Вводные'!$B$296="Новый сезон",FALSE,FALSE),F54*CapacityAge02*'01_Вводные'!$F$199,0)</f>
        <v/>
      </c>
      <c r="G166" s="190">
        <f>IF(IF('01_Вводные'!$B$296="Новый сезон",FALSE,FALSE),G54*CapacityAge02*'01_Вводные'!$F$199,0)</f>
        <v/>
      </c>
      <c r="H166" s="190">
        <f>IF(IF('01_Вводные'!$B$296="Новый сезон",FALSE,FALSE),H54*CapacityAge02*'01_Вводные'!$F$199,0)</f>
        <v/>
      </c>
      <c r="I166" s="190">
        <f>IF(IF('01_Вводные'!$B$296="Новый сезон",FALSE,FALSE),I54*CapacityAge02*'01_Вводные'!$F$199,0)</f>
        <v/>
      </c>
      <c r="J166" s="190">
        <f>IF(IF('01_Вводные'!$B$296="Новый сезон",FALSE,FALSE),J54*CapacityAge02*'01_Вводные'!$F$199,0)</f>
        <v/>
      </c>
      <c r="K166" s="190">
        <f>IF(IF('01_Вводные'!$B$296="Новый сезон",FALSE,FALSE),K54*CapacityAge02*'01_Вводные'!$F$199,0)</f>
        <v/>
      </c>
      <c r="L166" s="190">
        <f>IF(IF('01_Вводные'!$B$296="Новый сезон",FALSE,FALSE),L54*CapacityAge02*'01_Вводные'!$F$199,0)</f>
        <v/>
      </c>
      <c r="M166" s="190">
        <f>IF(IF('01_Вводные'!$B$296="Новый сезон",FALSE,FALSE),M54*CapacityAge02*'01_Вводные'!$F$199,0)</f>
        <v/>
      </c>
      <c r="N166" s="190">
        <f>IF(IF('01_Вводные'!$B$296="Новый сезон",FALSE,FALSE),N54*CapacityAge02*'01_Вводные'!$F$199,0)</f>
        <v/>
      </c>
      <c r="O166" s="190">
        <f>IF(IF('01_Вводные'!$B$296="Новый сезон",FALSE,FALSE),O54*CapacityAge02*'01_Вводные'!$F$199,0)</f>
        <v/>
      </c>
      <c r="P166" s="190">
        <f>IF(IF('01_Вводные'!$B$296="Новый сезон",FALSE,FALSE),P54*CapacityAge02*'01_Вводные'!$F$199,0)</f>
        <v/>
      </c>
      <c r="Q166" s="190">
        <f>IF(IF('01_Вводные'!$B$296="Новый сезон",FALSE,FALSE),Q54*CapacityAge02*'01_Вводные'!$F$199,0)</f>
        <v/>
      </c>
      <c r="R166" s="190">
        <f>IF(IF('01_Вводные'!$B$296="Новый сезон",FALSE,FALSE),R54*CapacityAge02*'01_Вводные'!$F$199,0)</f>
        <v/>
      </c>
      <c r="S166" s="190">
        <f>IF(IF('01_Вводные'!$B$296="Новый сезон",FALSE,FALSE),S54*CapacityAge02*'01_Вводные'!$F$199,0)</f>
        <v/>
      </c>
      <c r="T166" s="190">
        <f>IF(IF('01_Вводные'!$B$296="Новый сезон",FALSE,FALSE),T54*CapacityAge02*'01_Вводные'!$F$199,0)</f>
        <v/>
      </c>
      <c r="U166" s="190">
        <f>IF(IF('01_Вводные'!$B$296="Новый сезон",FALSE,FALSE),U54*CapacityAge02*'01_Вводные'!$F$199,0)</f>
        <v/>
      </c>
      <c r="V166" s="190">
        <f>IF(IF('01_Вводные'!$B$296="Новый сезон",FALSE,FALSE),V54*CapacityAge02*'01_Вводные'!$F$199,0)</f>
        <v/>
      </c>
      <c r="W166" s="190">
        <f>IF(IF('01_Вводные'!$B$296="Новый сезон",FALSE,FALSE),W54*CapacityAge02*'01_Вводные'!$F$199,0)</f>
        <v/>
      </c>
      <c r="X166" s="190">
        <f>IF(IF('01_Вводные'!$B$296="Новый сезон",FALSE,FALSE),X54*CapacityAge02*'01_Вводные'!$F$199,0)</f>
        <v/>
      </c>
      <c r="Y166" s="190">
        <f>IF(IF('01_Вводные'!$B$296="Новый сезон",FALSE,FALSE),Y54*CapacityAge02*'01_Вводные'!$F$199,0)</f>
        <v/>
      </c>
      <c r="Z166" s="190">
        <f>IF(IF('01_Вводные'!$B$296="Новый сезон",FALSE,FALSE),Z54*CapacityAge02*'01_Вводные'!$F$199,0)</f>
        <v/>
      </c>
      <c r="AA166" s="190">
        <f>IF(IF('01_Вводные'!$B$296="Новый сезон",FALSE,FALSE),AA54*CapacityAge02*'01_Вводные'!$F$199,0)</f>
        <v/>
      </c>
      <c r="AB166" s="190">
        <f>IF(IF('01_Вводные'!$B$296="Новый сезон",FALSE,FALSE),AB54*CapacityAge02*'01_Вводные'!$F$199,0)</f>
        <v/>
      </c>
      <c r="AC166" s="190">
        <f>IF(IF('01_Вводные'!$B$296="Новый сезон",FALSE,FALSE),AC54*CapacityAge02*'01_Вводные'!$F$199,0)</f>
        <v/>
      </c>
      <c r="AD166" s="190">
        <f>IF(IF('01_Вводные'!$B$296="Новый сезон",FALSE,FALSE),AD54*CapacityAge02*'01_Вводные'!$F$199,0)</f>
        <v/>
      </c>
      <c r="AE166" s="190">
        <f>IF(IF('01_Вводные'!$B$296="Новый сезон",FALSE,FALSE),AE54*CapacityAge02*'01_Вводные'!$F$199,0)</f>
        <v/>
      </c>
      <c r="AF166" s="190">
        <f>IF(IF('01_Вводные'!$B$296="Новый сезон",FALSE,FALSE),AF54*CapacityAge02*'01_Вводные'!$F$199,0)</f>
        <v/>
      </c>
      <c r="AG166" s="190">
        <f>IF(IF('01_Вводные'!$B$296="Новый сезон",FALSE,FALSE),AG54*CapacityAge02*'01_Вводные'!$F$199,0)</f>
        <v/>
      </c>
      <c r="AH166" s="190">
        <f>IF(IF('01_Вводные'!$B$296="Новый сезон",FALSE,FALSE),AH54*CapacityAge02*'01_Вводные'!$F$199,0)</f>
        <v/>
      </c>
      <c r="AI166" s="190">
        <f>IF(IF('01_Вводные'!$B$296="Новый сезон",FALSE,FALSE),AI54*CapacityAge02*'01_Вводные'!$F$199,0)</f>
        <v/>
      </c>
      <c r="AJ166" s="190">
        <f>IF(IF('01_Вводные'!$B$296="Новый сезон",FALSE,FALSE),AJ54*CapacityAge02*'01_Вводные'!$F$199,0)</f>
        <v/>
      </c>
      <c r="AK166" s="190">
        <f>IF(IF('01_Вводные'!$B$296="Новый сезон",FALSE,FALSE),AK54*CapacityAge02*'01_Вводные'!$F$199,0)</f>
        <v/>
      </c>
      <c r="AL166" s="190">
        <f>IF(IF('01_Вводные'!$B$296="Новый сезон",FALSE,FALSE),AL54*CapacityAge02*'01_Вводные'!$F$199,0)</f>
        <v/>
      </c>
      <c r="AM166" s="190">
        <f>IF(IF('01_Вводные'!$B$296="Новый сезон",FALSE,FALSE),AM54*CapacityAge02*'01_Вводные'!$F$199,0)</f>
        <v/>
      </c>
      <c r="AN166" s="190">
        <f>IF(IF('01_Вводные'!$B$296="Новый сезон",FALSE,FALSE),AN54*CapacityAge02*'01_Вводные'!$F$199,0)</f>
        <v/>
      </c>
      <c r="AO166" s="190">
        <f>IF(IF('01_Вводные'!$B$296="Новый сезон",FALSE,FALSE),AO54*CapacityAge02*'01_Вводные'!$F$199,0)</f>
        <v/>
      </c>
      <c r="AP166" s="190">
        <f>IF(IF('01_Вводные'!$B$296="Новый сезон",FALSE,FALSE),AP54*CapacityAge02*'01_Вводные'!$F$199,0)</f>
        <v/>
      </c>
      <c r="AQ166" s="190">
        <f>IF(IF('01_Вводные'!$B$296="Новый сезон",FALSE,FALSE),AQ54*CapacityAge02*'01_Вводные'!$F$199,0)</f>
        <v/>
      </c>
      <c r="AR166" s="190">
        <f>IF(IF('01_Вводные'!$B$296="Новый сезон",FALSE,FALSE),AR54*CapacityAge02*'01_Вводные'!$F$199,0)</f>
        <v/>
      </c>
      <c r="AS166" s="190">
        <f>IF(IF('01_Вводные'!$B$296="Новый сезон",FALSE,FALSE),AS54*CapacityAge02*'01_Вводные'!$F$199,0)</f>
        <v/>
      </c>
      <c r="AT166" s="190">
        <f>IF(IF('01_Вводные'!$B$296="Новый сезон",FALSE,FALSE),AT54*CapacityAge02*'01_Вводные'!$F$199,0)</f>
        <v/>
      </c>
      <c r="AU166" s="190">
        <f>IF(IF('01_Вводные'!$B$296="Новый сезон",FALSE,FALSE),AU54*CapacityAge02*'01_Вводные'!$F$199,0)</f>
        <v/>
      </c>
      <c r="AV166" s="190">
        <f>IF(IF('01_Вводные'!$B$296="Новый сезон",FALSE,FALSE),AV54*CapacityAge02*'01_Вводные'!$F$199,0)</f>
        <v/>
      </c>
      <c r="AW166" s="190">
        <f>IF(IF('01_Вводные'!$B$296="Новый сезон",FALSE,FALSE),AW54*CapacityAge02*'01_Вводные'!$F$199,0)</f>
        <v/>
      </c>
      <c r="AX166" s="190">
        <f>IF(IF('01_Вводные'!$B$296="Новый сезон",FALSE,FALSE),AX54*CapacityAge02*'01_Вводные'!$F$199,0)</f>
        <v/>
      </c>
      <c r="AY166" s="190">
        <f>IF(IF('01_Вводные'!$B$296="Новый сезон",FALSE,FALSE),AY54*CapacityAge02*'01_Вводные'!$F$199,0)</f>
        <v/>
      </c>
      <c r="AZ166" s="190">
        <f>IF(IF('01_Вводные'!$B$296="Новый сезон",FALSE,FALSE),AZ54*CapacityAge02*'01_Вводные'!$F$199,0)</f>
        <v/>
      </c>
      <c r="BA166" s="190">
        <f>IF(IF('01_Вводные'!$B$296="Новый сезон",FALSE,FALSE),BA54*CapacityAge02*'01_Вводные'!$F$199,0)</f>
        <v/>
      </c>
      <c r="BB166" s="190">
        <f>IF(IF('01_Вводные'!$B$296="Новый сезон",FALSE,FALSE),BB54*CapacityAge02*'01_Вводные'!$F$199,0)</f>
        <v/>
      </c>
      <c r="BC166" s="190">
        <f>IF(IF('01_Вводные'!$B$296="Новый сезон",FALSE,FALSE),BC54*CapacityAge02*'01_Вводные'!$F$199,0)</f>
        <v/>
      </c>
      <c r="BD166" s="190">
        <f>IF(IF('01_Вводные'!$B$296="Новый сезон",FALSE,FALSE),BD54*CapacityAge02*'01_Вводные'!$F$199,0)</f>
        <v/>
      </c>
      <c r="BE166" s="190">
        <f>IF(IF('01_Вводные'!$B$296="Новый сезон",FALSE,FALSE),BE54*CapacityAge02*'01_Вводные'!$F$199,0)</f>
        <v/>
      </c>
      <c r="BF166" s="190">
        <f>IF(IF('01_Вводные'!$B$296="Новый сезон",FALSE,FALSE),BF54*CapacityAge02*'01_Вводные'!$F$199,0)</f>
        <v/>
      </c>
      <c r="BG166" s="190">
        <f>IF(IF('01_Вводные'!$B$296="Новый сезон",FALSE,FALSE),BG54*CapacityAge02*'01_Вводные'!$F$199,0)</f>
        <v/>
      </c>
      <c r="BH166" s="190">
        <f>IF(IF('01_Вводные'!$B$296="Новый сезон",FALSE,FALSE),BH54*CapacityAge02*'01_Вводные'!$F$199,0)</f>
        <v/>
      </c>
      <c r="BI166" s="190">
        <f>IF(IF('01_Вводные'!$B$296="Новый сезон",FALSE,FALSE),BI54*CapacityAge02*'01_Вводные'!$F$199,0)</f>
        <v/>
      </c>
      <c r="BJ166" s="190">
        <f>IF(IF('01_Вводные'!$B$296="Новый сезон",FALSE,FALSE),BJ54*CapacityAge02*'01_Вводные'!$F$199,0)</f>
        <v/>
      </c>
      <c r="BK166" s="190">
        <f>IF(IF('01_Вводные'!$B$296="Новый сезон",FALSE,FALSE),BK54*CapacityAge02*'01_Вводные'!$F$199,0)</f>
        <v/>
      </c>
      <c r="BL166" s="190">
        <f>IF(IF('01_Вводные'!$B$296="Новый сезон",FALSE,FALSE),BL54*CapacityAge02*'01_Вводные'!$F$199,0)</f>
        <v/>
      </c>
      <c r="BM166" s="190">
        <f>IF(IF('01_Вводные'!$B$296="Новый сезон",FALSE,FALSE),BM54*CapacityAge02*'01_Вводные'!$F$199,0)</f>
        <v/>
      </c>
      <c r="BN166" s="190">
        <f>IF(IF('01_Вводные'!$B$296="Новый сезон",FALSE,FALSE),BN54*CapacityAge02*'01_Вводные'!$F$199,0)</f>
        <v/>
      </c>
      <c r="BO166" s="190">
        <f>IF(IF('01_Вводные'!$B$296="Новый сезон",FALSE,FALSE),BO54*CapacityAge02*'01_Вводные'!$F$199,0)</f>
        <v/>
      </c>
    </row>
    <row r="167" hidden="1" outlineLevel="1">
      <c r="A167" t="inlineStr">
        <is>
          <t>3 мес.</t>
        </is>
      </c>
      <c r="B167" s="190">
        <f>IF(IF('01_Вводные'!$B$296="Новый сезон",FALSE,FALSE),B55*CapacityAge03*'01_Вводные'!$F$199,0)</f>
        <v/>
      </c>
      <c r="C167" s="190">
        <f>IF(IF('01_Вводные'!$B$296="Новый сезон",FALSE,FALSE),C55*CapacityAge03*'01_Вводные'!$F$199,0)</f>
        <v/>
      </c>
      <c r="D167" s="190">
        <f>IF(IF('01_Вводные'!$B$296="Новый сезон",FALSE,FALSE),D55*CapacityAge03*'01_Вводные'!$F$199,0)</f>
        <v/>
      </c>
      <c r="E167" s="190">
        <f>IF(IF('01_Вводные'!$B$296="Новый сезон",FALSE,FALSE),E55*CapacityAge03*'01_Вводные'!$F$199,0)</f>
        <v/>
      </c>
      <c r="F167" s="190">
        <f>IF(IF('01_Вводные'!$B$296="Новый сезон",FALSE,FALSE),F55*CapacityAge03*'01_Вводные'!$F$199,0)</f>
        <v/>
      </c>
      <c r="G167" s="190">
        <f>IF(IF('01_Вводные'!$B$296="Новый сезон",FALSE,FALSE),G55*CapacityAge03*'01_Вводные'!$F$199,0)</f>
        <v/>
      </c>
      <c r="H167" s="190">
        <f>IF(IF('01_Вводные'!$B$296="Новый сезон",FALSE,FALSE),H55*CapacityAge03*'01_Вводные'!$F$199,0)</f>
        <v/>
      </c>
      <c r="I167" s="190">
        <f>IF(IF('01_Вводные'!$B$296="Новый сезон",FALSE,FALSE),I55*CapacityAge03*'01_Вводные'!$F$199,0)</f>
        <v/>
      </c>
      <c r="J167" s="190">
        <f>IF(IF('01_Вводные'!$B$296="Новый сезон",FALSE,FALSE),J55*CapacityAge03*'01_Вводные'!$F$199,0)</f>
        <v/>
      </c>
      <c r="K167" s="190">
        <f>IF(IF('01_Вводные'!$B$296="Новый сезон",FALSE,FALSE),K55*CapacityAge03*'01_Вводные'!$F$199,0)</f>
        <v/>
      </c>
      <c r="L167" s="190">
        <f>IF(IF('01_Вводные'!$B$296="Новый сезон",FALSE,FALSE),L55*CapacityAge03*'01_Вводные'!$F$199,0)</f>
        <v/>
      </c>
      <c r="M167" s="190">
        <f>IF(IF('01_Вводные'!$B$296="Новый сезон",FALSE,FALSE),M55*CapacityAge03*'01_Вводные'!$F$199,0)</f>
        <v/>
      </c>
      <c r="N167" s="190">
        <f>IF(IF('01_Вводные'!$B$296="Новый сезон",FALSE,FALSE),N55*CapacityAge03*'01_Вводные'!$F$199,0)</f>
        <v/>
      </c>
      <c r="O167" s="190">
        <f>IF(IF('01_Вводные'!$B$296="Новый сезон",FALSE,FALSE),O55*CapacityAge03*'01_Вводные'!$F$199,0)</f>
        <v/>
      </c>
      <c r="P167" s="190">
        <f>IF(IF('01_Вводные'!$B$296="Новый сезон",FALSE,FALSE),P55*CapacityAge03*'01_Вводные'!$F$199,0)</f>
        <v/>
      </c>
      <c r="Q167" s="190">
        <f>IF(IF('01_Вводные'!$B$296="Новый сезон",FALSE,FALSE),Q55*CapacityAge03*'01_Вводные'!$F$199,0)</f>
        <v/>
      </c>
      <c r="R167" s="190">
        <f>IF(IF('01_Вводные'!$B$296="Новый сезон",FALSE,FALSE),R55*CapacityAge03*'01_Вводные'!$F$199,0)</f>
        <v/>
      </c>
      <c r="S167" s="190">
        <f>IF(IF('01_Вводные'!$B$296="Новый сезон",FALSE,FALSE),S55*CapacityAge03*'01_Вводные'!$F$199,0)</f>
        <v/>
      </c>
      <c r="T167" s="190">
        <f>IF(IF('01_Вводные'!$B$296="Новый сезон",FALSE,FALSE),T55*CapacityAge03*'01_Вводные'!$F$199,0)</f>
        <v/>
      </c>
      <c r="U167" s="190">
        <f>IF(IF('01_Вводные'!$B$296="Новый сезон",FALSE,FALSE),U55*CapacityAge03*'01_Вводные'!$F$199,0)</f>
        <v/>
      </c>
      <c r="V167" s="190">
        <f>IF(IF('01_Вводные'!$B$296="Новый сезон",FALSE,FALSE),V55*CapacityAge03*'01_Вводные'!$F$199,0)</f>
        <v/>
      </c>
      <c r="W167" s="190">
        <f>IF(IF('01_Вводные'!$B$296="Новый сезон",FALSE,FALSE),W55*CapacityAge03*'01_Вводные'!$F$199,0)</f>
        <v/>
      </c>
      <c r="X167" s="190">
        <f>IF(IF('01_Вводные'!$B$296="Новый сезон",FALSE,FALSE),X55*CapacityAge03*'01_Вводные'!$F$199,0)</f>
        <v/>
      </c>
      <c r="Y167" s="190">
        <f>IF(IF('01_Вводные'!$B$296="Новый сезон",FALSE,FALSE),Y55*CapacityAge03*'01_Вводные'!$F$199,0)</f>
        <v/>
      </c>
      <c r="Z167" s="190">
        <f>IF(IF('01_Вводные'!$B$296="Новый сезон",FALSE,FALSE),Z55*CapacityAge03*'01_Вводные'!$F$199,0)</f>
        <v/>
      </c>
      <c r="AA167" s="190">
        <f>IF(IF('01_Вводные'!$B$296="Новый сезон",FALSE,FALSE),AA55*CapacityAge03*'01_Вводные'!$F$199,0)</f>
        <v/>
      </c>
      <c r="AB167" s="190">
        <f>IF(IF('01_Вводные'!$B$296="Новый сезон",FALSE,FALSE),AB55*CapacityAge03*'01_Вводные'!$F$199,0)</f>
        <v/>
      </c>
      <c r="AC167" s="190">
        <f>IF(IF('01_Вводные'!$B$296="Новый сезон",FALSE,FALSE),AC55*CapacityAge03*'01_Вводные'!$F$199,0)</f>
        <v/>
      </c>
      <c r="AD167" s="190">
        <f>IF(IF('01_Вводные'!$B$296="Новый сезон",FALSE,FALSE),AD55*CapacityAge03*'01_Вводные'!$F$199,0)</f>
        <v/>
      </c>
      <c r="AE167" s="190">
        <f>IF(IF('01_Вводные'!$B$296="Новый сезон",FALSE,FALSE),AE55*CapacityAge03*'01_Вводные'!$F$199,0)</f>
        <v/>
      </c>
      <c r="AF167" s="190">
        <f>IF(IF('01_Вводные'!$B$296="Новый сезон",FALSE,FALSE),AF55*CapacityAge03*'01_Вводные'!$F$199,0)</f>
        <v/>
      </c>
      <c r="AG167" s="190">
        <f>IF(IF('01_Вводные'!$B$296="Новый сезон",FALSE,FALSE),AG55*CapacityAge03*'01_Вводные'!$F$199,0)</f>
        <v/>
      </c>
      <c r="AH167" s="190">
        <f>IF(IF('01_Вводные'!$B$296="Новый сезон",FALSE,FALSE),AH55*CapacityAge03*'01_Вводные'!$F$199,0)</f>
        <v/>
      </c>
      <c r="AI167" s="190">
        <f>IF(IF('01_Вводные'!$B$296="Новый сезон",FALSE,FALSE),AI55*CapacityAge03*'01_Вводные'!$F$199,0)</f>
        <v/>
      </c>
      <c r="AJ167" s="190">
        <f>IF(IF('01_Вводные'!$B$296="Новый сезон",FALSE,FALSE),AJ55*CapacityAge03*'01_Вводные'!$F$199,0)</f>
        <v/>
      </c>
      <c r="AK167" s="190">
        <f>IF(IF('01_Вводные'!$B$296="Новый сезон",FALSE,FALSE),AK55*CapacityAge03*'01_Вводные'!$F$199,0)</f>
        <v/>
      </c>
      <c r="AL167" s="190">
        <f>IF(IF('01_Вводные'!$B$296="Новый сезон",FALSE,FALSE),AL55*CapacityAge03*'01_Вводные'!$F$199,0)</f>
        <v/>
      </c>
      <c r="AM167" s="190">
        <f>IF(IF('01_Вводные'!$B$296="Новый сезон",FALSE,FALSE),AM55*CapacityAge03*'01_Вводные'!$F$199,0)</f>
        <v/>
      </c>
      <c r="AN167" s="190">
        <f>IF(IF('01_Вводные'!$B$296="Новый сезон",FALSE,FALSE),AN55*CapacityAge03*'01_Вводные'!$F$199,0)</f>
        <v/>
      </c>
      <c r="AO167" s="190">
        <f>IF(IF('01_Вводные'!$B$296="Новый сезон",FALSE,FALSE),AO55*CapacityAge03*'01_Вводные'!$F$199,0)</f>
        <v/>
      </c>
      <c r="AP167" s="190">
        <f>IF(IF('01_Вводные'!$B$296="Новый сезон",FALSE,FALSE),AP55*CapacityAge03*'01_Вводные'!$F$199,0)</f>
        <v/>
      </c>
      <c r="AQ167" s="190">
        <f>IF(IF('01_Вводные'!$B$296="Новый сезон",FALSE,FALSE),AQ55*CapacityAge03*'01_Вводные'!$F$199,0)</f>
        <v/>
      </c>
      <c r="AR167" s="190">
        <f>IF(IF('01_Вводные'!$B$296="Новый сезон",FALSE,FALSE),AR55*CapacityAge03*'01_Вводные'!$F$199,0)</f>
        <v/>
      </c>
      <c r="AS167" s="190">
        <f>IF(IF('01_Вводные'!$B$296="Новый сезон",FALSE,FALSE),AS55*CapacityAge03*'01_Вводные'!$F$199,0)</f>
        <v/>
      </c>
      <c r="AT167" s="190">
        <f>IF(IF('01_Вводные'!$B$296="Новый сезон",FALSE,FALSE),AT55*CapacityAge03*'01_Вводные'!$F$199,0)</f>
        <v/>
      </c>
      <c r="AU167" s="190">
        <f>IF(IF('01_Вводные'!$B$296="Новый сезон",FALSE,FALSE),AU55*CapacityAge03*'01_Вводные'!$F$199,0)</f>
        <v/>
      </c>
      <c r="AV167" s="190">
        <f>IF(IF('01_Вводные'!$B$296="Новый сезон",FALSE,FALSE),AV55*CapacityAge03*'01_Вводные'!$F$199,0)</f>
        <v/>
      </c>
      <c r="AW167" s="190">
        <f>IF(IF('01_Вводные'!$B$296="Новый сезон",FALSE,FALSE),AW55*CapacityAge03*'01_Вводные'!$F$199,0)</f>
        <v/>
      </c>
      <c r="AX167" s="190">
        <f>IF(IF('01_Вводные'!$B$296="Новый сезон",FALSE,FALSE),AX55*CapacityAge03*'01_Вводные'!$F$199,0)</f>
        <v/>
      </c>
      <c r="AY167" s="190">
        <f>IF(IF('01_Вводные'!$B$296="Новый сезон",FALSE,FALSE),AY55*CapacityAge03*'01_Вводные'!$F$199,0)</f>
        <v/>
      </c>
      <c r="AZ167" s="190">
        <f>IF(IF('01_Вводные'!$B$296="Новый сезон",FALSE,FALSE),AZ55*CapacityAge03*'01_Вводные'!$F$199,0)</f>
        <v/>
      </c>
      <c r="BA167" s="190">
        <f>IF(IF('01_Вводные'!$B$296="Новый сезон",FALSE,FALSE),BA55*CapacityAge03*'01_Вводные'!$F$199,0)</f>
        <v/>
      </c>
      <c r="BB167" s="190">
        <f>IF(IF('01_Вводные'!$B$296="Новый сезон",FALSE,FALSE),BB55*CapacityAge03*'01_Вводные'!$F$199,0)</f>
        <v/>
      </c>
      <c r="BC167" s="190">
        <f>IF(IF('01_Вводные'!$B$296="Новый сезон",FALSE,FALSE),BC55*CapacityAge03*'01_Вводные'!$F$199,0)</f>
        <v/>
      </c>
      <c r="BD167" s="190">
        <f>IF(IF('01_Вводные'!$B$296="Новый сезон",FALSE,FALSE),BD55*CapacityAge03*'01_Вводные'!$F$199,0)</f>
        <v/>
      </c>
      <c r="BE167" s="190">
        <f>IF(IF('01_Вводные'!$B$296="Новый сезон",FALSE,FALSE),BE55*CapacityAge03*'01_Вводные'!$F$199,0)</f>
        <v/>
      </c>
      <c r="BF167" s="190">
        <f>IF(IF('01_Вводные'!$B$296="Новый сезон",FALSE,FALSE),BF55*CapacityAge03*'01_Вводные'!$F$199,0)</f>
        <v/>
      </c>
      <c r="BG167" s="190">
        <f>IF(IF('01_Вводные'!$B$296="Новый сезон",FALSE,FALSE),BG55*CapacityAge03*'01_Вводные'!$F$199,0)</f>
        <v/>
      </c>
      <c r="BH167" s="190">
        <f>IF(IF('01_Вводные'!$B$296="Новый сезон",FALSE,FALSE),BH55*CapacityAge03*'01_Вводные'!$F$199,0)</f>
        <v/>
      </c>
      <c r="BI167" s="190">
        <f>IF(IF('01_Вводные'!$B$296="Новый сезон",FALSE,FALSE),BI55*CapacityAge03*'01_Вводные'!$F$199,0)</f>
        <v/>
      </c>
      <c r="BJ167" s="190">
        <f>IF(IF('01_Вводные'!$B$296="Новый сезон",FALSE,FALSE),BJ55*CapacityAge03*'01_Вводные'!$F$199,0)</f>
        <v/>
      </c>
      <c r="BK167" s="190">
        <f>IF(IF('01_Вводные'!$B$296="Новый сезон",FALSE,FALSE),BK55*CapacityAge03*'01_Вводные'!$F$199,0)</f>
        <v/>
      </c>
      <c r="BL167" s="190">
        <f>IF(IF('01_Вводные'!$B$296="Новый сезон",FALSE,FALSE),BL55*CapacityAge03*'01_Вводные'!$F$199,0)</f>
        <v/>
      </c>
      <c r="BM167" s="190">
        <f>IF(IF('01_Вводные'!$B$296="Новый сезон",FALSE,FALSE),BM55*CapacityAge03*'01_Вводные'!$F$199,0)</f>
        <v/>
      </c>
      <c r="BN167" s="190">
        <f>IF(IF('01_Вводные'!$B$296="Новый сезон",FALSE,FALSE),BN55*CapacityAge03*'01_Вводные'!$F$199,0)</f>
        <v/>
      </c>
      <c r="BO167" s="190">
        <f>IF(IF('01_Вводные'!$B$296="Новый сезон",FALSE,FALSE),BO55*CapacityAge03*'01_Вводные'!$F$199,0)</f>
        <v/>
      </c>
    </row>
    <row r="168" hidden="1" outlineLevel="1">
      <c r="A168" t="inlineStr">
        <is>
          <t>4 мес.</t>
        </is>
      </c>
      <c r="B168" s="190">
        <f>IF(IF('01_Вводные'!$B$296="Новый сезон",FALSE,FALSE),B56*CapacityAge04*'01_Вводные'!$F$199,0)</f>
        <v/>
      </c>
      <c r="C168" s="190">
        <f>IF(IF('01_Вводные'!$B$296="Новый сезон",FALSE,FALSE),C56*CapacityAge04*'01_Вводные'!$F$199,0)</f>
        <v/>
      </c>
      <c r="D168" s="190">
        <f>IF(IF('01_Вводные'!$B$296="Новый сезон",FALSE,FALSE),D56*CapacityAge04*'01_Вводные'!$F$199,0)</f>
        <v/>
      </c>
      <c r="E168" s="190">
        <f>IF(IF('01_Вводные'!$B$296="Новый сезон",FALSE,FALSE),E56*CapacityAge04*'01_Вводные'!$F$199,0)</f>
        <v/>
      </c>
      <c r="F168" s="190">
        <f>IF(IF('01_Вводные'!$B$296="Новый сезон",FALSE,FALSE),F56*CapacityAge04*'01_Вводные'!$F$199,0)</f>
        <v/>
      </c>
      <c r="G168" s="190">
        <f>IF(IF('01_Вводные'!$B$296="Новый сезон",FALSE,FALSE),G56*CapacityAge04*'01_Вводные'!$F$199,0)</f>
        <v/>
      </c>
      <c r="H168" s="190">
        <f>IF(IF('01_Вводные'!$B$296="Новый сезон",FALSE,FALSE),H56*CapacityAge04*'01_Вводные'!$F$199,0)</f>
        <v/>
      </c>
      <c r="I168" s="190">
        <f>IF(IF('01_Вводные'!$B$296="Новый сезон",FALSE,FALSE),I56*CapacityAge04*'01_Вводные'!$F$199,0)</f>
        <v/>
      </c>
      <c r="J168" s="190">
        <f>IF(IF('01_Вводные'!$B$296="Новый сезон",FALSE,FALSE),J56*CapacityAge04*'01_Вводные'!$F$199,0)</f>
        <v/>
      </c>
      <c r="K168" s="190">
        <f>IF(IF('01_Вводные'!$B$296="Новый сезон",FALSE,FALSE),K56*CapacityAge04*'01_Вводные'!$F$199,0)</f>
        <v/>
      </c>
      <c r="L168" s="190">
        <f>IF(IF('01_Вводные'!$B$296="Новый сезон",FALSE,FALSE),L56*CapacityAge04*'01_Вводные'!$F$199,0)</f>
        <v/>
      </c>
      <c r="M168" s="190">
        <f>IF(IF('01_Вводные'!$B$296="Новый сезон",FALSE,FALSE),M56*CapacityAge04*'01_Вводные'!$F$199,0)</f>
        <v/>
      </c>
      <c r="N168" s="190">
        <f>IF(IF('01_Вводные'!$B$296="Новый сезон",FALSE,FALSE),N56*CapacityAge04*'01_Вводные'!$F$199,0)</f>
        <v/>
      </c>
      <c r="O168" s="190">
        <f>IF(IF('01_Вводные'!$B$296="Новый сезон",FALSE,FALSE),O56*CapacityAge04*'01_Вводные'!$F$199,0)</f>
        <v/>
      </c>
      <c r="P168" s="190">
        <f>IF(IF('01_Вводные'!$B$296="Новый сезон",FALSE,FALSE),P56*CapacityAge04*'01_Вводные'!$F$199,0)</f>
        <v/>
      </c>
      <c r="Q168" s="190">
        <f>IF(IF('01_Вводные'!$B$296="Новый сезон",FALSE,FALSE),Q56*CapacityAge04*'01_Вводные'!$F$199,0)</f>
        <v/>
      </c>
      <c r="R168" s="190">
        <f>IF(IF('01_Вводные'!$B$296="Новый сезон",FALSE,FALSE),R56*CapacityAge04*'01_Вводные'!$F$199,0)</f>
        <v/>
      </c>
      <c r="S168" s="190">
        <f>IF(IF('01_Вводные'!$B$296="Новый сезон",FALSE,FALSE),S56*CapacityAge04*'01_Вводные'!$F$199,0)</f>
        <v/>
      </c>
      <c r="T168" s="190">
        <f>IF(IF('01_Вводные'!$B$296="Новый сезон",FALSE,FALSE),T56*CapacityAge04*'01_Вводные'!$F$199,0)</f>
        <v/>
      </c>
      <c r="U168" s="190">
        <f>IF(IF('01_Вводные'!$B$296="Новый сезон",FALSE,FALSE),U56*CapacityAge04*'01_Вводные'!$F$199,0)</f>
        <v/>
      </c>
      <c r="V168" s="190">
        <f>IF(IF('01_Вводные'!$B$296="Новый сезон",FALSE,FALSE),V56*CapacityAge04*'01_Вводные'!$F$199,0)</f>
        <v/>
      </c>
      <c r="W168" s="190">
        <f>IF(IF('01_Вводные'!$B$296="Новый сезон",FALSE,FALSE),W56*CapacityAge04*'01_Вводные'!$F$199,0)</f>
        <v/>
      </c>
      <c r="X168" s="190">
        <f>IF(IF('01_Вводные'!$B$296="Новый сезон",FALSE,FALSE),X56*CapacityAge04*'01_Вводные'!$F$199,0)</f>
        <v/>
      </c>
      <c r="Y168" s="190">
        <f>IF(IF('01_Вводные'!$B$296="Новый сезон",FALSE,FALSE),Y56*CapacityAge04*'01_Вводные'!$F$199,0)</f>
        <v/>
      </c>
      <c r="Z168" s="190">
        <f>IF(IF('01_Вводные'!$B$296="Новый сезон",FALSE,FALSE),Z56*CapacityAge04*'01_Вводные'!$F$199,0)</f>
        <v/>
      </c>
      <c r="AA168" s="190">
        <f>IF(IF('01_Вводные'!$B$296="Новый сезон",FALSE,FALSE),AA56*CapacityAge04*'01_Вводные'!$F$199,0)</f>
        <v/>
      </c>
      <c r="AB168" s="190">
        <f>IF(IF('01_Вводные'!$B$296="Новый сезон",FALSE,FALSE),AB56*CapacityAge04*'01_Вводные'!$F$199,0)</f>
        <v/>
      </c>
      <c r="AC168" s="190">
        <f>IF(IF('01_Вводные'!$B$296="Новый сезон",FALSE,FALSE),AC56*CapacityAge04*'01_Вводные'!$F$199,0)</f>
        <v/>
      </c>
      <c r="AD168" s="190">
        <f>IF(IF('01_Вводные'!$B$296="Новый сезон",FALSE,FALSE),AD56*CapacityAge04*'01_Вводные'!$F$199,0)</f>
        <v/>
      </c>
      <c r="AE168" s="190">
        <f>IF(IF('01_Вводные'!$B$296="Новый сезон",FALSE,FALSE),AE56*CapacityAge04*'01_Вводные'!$F$199,0)</f>
        <v/>
      </c>
      <c r="AF168" s="190">
        <f>IF(IF('01_Вводные'!$B$296="Новый сезон",FALSE,FALSE),AF56*CapacityAge04*'01_Вводные'!$F$199,0)</f>
        <v/>
      </c>
      <c r="AG168" s="190">
        <f>IF(IF('01_Вводные'!$B$296="Новый сезон",FALSE,FALSE),AG56*CapacityAge04*'01_Вводные'!$F$199,0)</f>
        <v/>
      </c>
      <c r="AH168" s="190">
        <f>IF(IF('01_Вводные'!$B$296="Новый сезон",FALSE,FALSE),AH56*CapacityAge04*'01_Вводные'!$F$199,0)</f>
        <v/>
      </c>
      <c r="AI168" s="190">
        <f>IF(IF('01_Вводные'!$B$296="Новый сезон",FALSE,FALSE),AI56*CapacityAge04*'01_Вводные'!$F$199,0)</f>
        <v/>
      </c>
      <c r="AJ168" s="190">
        <f>IF(IF('01_Вводные'!$B$296="Новый сезон",FALSE,FALSE),AJ56*CapacityAge04*'01_Вводные'!$F$199,0)</f>
        <v/>
      </c>
      <c r="AK168" s="190">
        <f>IF(IF('01_Вводные'!$B$296="Новый сезон",FALSE,FALSE),AK56*CapacityAge04*'01_Вводные'!$F$199,0)</f>
        <v/>
      </c>
      <c r="AL168" s="190">
        <f>IF(IF('01_Вводные'!$B$296="Новый сезон",FALSE,FALSE),AL56*CapacityAge04*'01_Вводные'!$F$199,0)</f>
        <v/>
      </c>
      <c r="AM168" s="190">
        <f>IF(IF('01_Вводные'!$B$296="Новый сезон",FALSE,FALSE),AM56*CapacityAge04*'01_Вводные'!$F$199,0)</f>
        <v/>
      </c>
      <c r="AN168" s="190">
        <f>IF(IF('01_Вводные'!$B$296="Новый сезон",FALSE,FALSE),AN56*CapacityAge04*'01_Вводные'!$F$199,0)</f>
        <v/>
      </c>
      <c r="AO168" s="190">
        <f>IF(IF('01_Вводные'!$B$296="Новый сезон",FALSE,FALSE),AO56*CapacityAge04*'01_Вводные'!$F$199,0)</f>
        <v/>
      </c>
      <c r="AP168" s="190">
        <f>IF(IF('01_Вводные'!$B$296="Новый сезон",FALSE,FALSE),AP56*CapacityAge04*'01_Вводные'!$F$199,0)</f>
        <v/>
      </c>
      <c r="AQ168" s="190">
        <f>IF(IF('01_Вводные'!$B$296="Новый сезон",FALSE,FALSE),AQ56*CapacityAge04*'01_Вводные'!$F$199,0)</f>
        <v/>
      </c>
      <c r="AR168" s="190">
        <f>IF(IF('01_Вводные'!$B$296="Новый сезон",FALSE,FALSE),AR56*CapacityAge04*'01_Вводные'!$F$199,0)</f>
        <v/>
      </c>
      <c r="AS168" s="190">
        <f>IF(IF('01_Вводные'!$B$296="Новый сезон",FALSE,FALSE),AS56*CapacityAge04*'01_Вводные'!$F$199,0)</f>
        <v/>
      </c>
      <c r="AT168" s="190">
        <f>IF(IF('01_Вводные'!$B$296="Новый сезон",FALSE,FALSE),AT56*CapacityAge04*'01_Вводные'!$F$199,0)</f>
        <v/>
      </c>
      <c r="AU168" s="190">
        <f>IF(IF('01_Вводные'!$B$296="Новый сезон",FALSE,FALSE),AU56*CapacityAge04*'01_Вводные'!$F$199,0)</f>
        <v/>
      </c>
      <c r="AV168" s="190">
        <f>IF(IF('01_Вводные'!$B$296="Новый сезон",FALSE,FALSE),AV56*CapacityAge04*'01_Вводные'!$F$199,0)</f>
        <v/>
      </c>
      <c r="AW168" s="190">
        <f>IF(IF('01_Вводные'!$B$296="Новый сезон",FALSE,FALSE),AW56*CapacityAge04*'01_Вводные'!$F$199,0)</f>
        <v/>
      </c>
      <c r="AX168" s="190">
        <f>IF(IF('01_Вводные'!$B$296="Новый сезон",FALSE,FALSE),AX56*CapacityAge04*'01_Вводные'!$F$199,0)</f>
        <v/>
      </c>
      <c r="AY168" s="190">
        <f>IF(IF('01_Вводные'!$B$296="Новый сезон",FALSE,FALSE),AY56*CapacityAge04*'01_Вводные'!$F$199,0)</f>
        <v/>
      </c>
      <c r="AZ168" s="190">
        <f>IF(IF('01_Вводные'!$B$296="Новый сезон",FALSE,FALSE),AZ56*CapacityAge04*'01_Вводные'!$F$199,0)</f>
        <v/>
      </c>
      <c r="BA168" s="190">
        <f>IF(IF('01_Вводные'!$B$296="Новый сезон",FALSE,FALSE),BA56*CapacityAge04*'01_Вводные'!$F$199,0)</f>
        <v/>
      </c>
      <c r="BB168" s="190">
        <f>IF(IF('01_Вводные'!$B$296="Новый сезон",FALSE,FALSE),BB56*CapacityAge04*'01_Вводные'!$F$199,0)</f>
        <v/>
      </c>
      <c r="BC168" s="190">
        <f>IF(IF('01_Вводные'!$B$296="Новый сезон",FALSE,FALSE),BC56*CapacityAge04*'01_Вводные'!$F$199,0)</f>
        <v/>
      </c>
      <c r="BD168" s="190">
        <f>IF(IF('01_Вводные'!$B$296="Новый сезон",FALSE,FALSE),BD56*CapacityAge04*'01_Вводные'!$F$199,0)</f>
        <v/>
      </c>
      <c r="BE168" s="190">
        <f>IF(IF('01_Вводные'!$B$296="Новый сезон",FALSE,FALSE),BE56*CapacityAge04*'01_Вводные'!$F$199,0)</f>
        <v/>
      </c>
      <c r="BF168" s="190">
        <f>IF(IF('01_Вводные'!$B$296="Новый сезон",FALSE,FALSE),BF56*CapacityAge04*'01_Вводные'!$F$199,0)</f>
        <v/>
      </c>
      <c r="BG168" s="190">
        <f>IF(IF('01_Вводные'!$B$296="Новый сезон",FALSE,FALSE),BG56*CapacityAge04*'01_Вводные'!$F$199,0)</f>
        <v/>
      </c>
      <c r="BH168" s="190">
        <f>IF(IF('01_Вводные'!$B$296="Новый сезон",FALSE,FALSE),BH56*CapacityAge04*'01_Вводные'!$F$199,0)</f>
        <v/>
      </c>
      <c r="BI168" s="190">
        <f>IF(IF('01_Вводные'!$B$296="Новый сезон",FALSE,FALSE),BI56*CapacityAge04*'01_Вводные'!$F$199,0)</f>
        <v/>
      </c>
      <c r="BJ168" s="190">
        <f>IF(IF('01_Вводные'!$B$296="Новый сезон",FALSE,FALSE),BJ56*CapacityAge04*'01_Вводные'!$F$199,0)</f>
        <v/>
      </c>
      <c r="BK168" s="190">
        <f>IF(IF('01_Вводные'!$B$296="Новый сезон",FALSE,FALSE),BK56*CapacityAge04*'01_Вводные'!$F$199,0)</f>
        <v/>
      </c>
      <c r="BL168" s="190">
        <f>IF(IF('01_Вводные'!$B$296="Новый сезон",FALSE,FALSE),BL56*CapacityAge04*'01_Вводные'!$F$199,0)</f>
        <v/>
      </c>
      <c r="BM168" s="190">
        <f>IF(IF('01_Вводные'!$B$296="Новый сезон",FALSE,FALSE),BM56*CapacityAge04*'01_Вводные'!$F$199,0)</f>
        <v/>
      </c>
      <c r="BN168" s="190">
        <f>IF(IF('01_Вводные'!$B$296="Новый сезон",FALSE,FALSE),BN56*CapacityAge04*'01_Вводные'!$F$199,0)</f>
        <v/>
      </c>
      <c r="BO168" s="190">
        <f>IF(IF('01_Вводные'!$B$296="Новый сезон",FALSE,FALSE),BO56*CapacityAge04*'01_Вводные'!$F$199,0)</f>
        <v/>
      </c>
    </row>
    <row r="169" hidden="1" outlineLevel="1">
      <c r="A169" t="inlineStr">
        <is>
          <t>5 мес.</t>
        </is>
      </c>
      <c r="B169" s="190">
        <f>IF(IF('01_Вводные'!$B$296="Новый сезон",5-1&gt;MOD(MONTH(B$3)-9,12),FALSE),B57*CapacityAge05*'01_Вводные'!$F$199,0)</f>
        <v/>
      </c>
      <c r="C169" s="190">
        <f>IF(IF('01_Вводные'!$B$296="Новый сезон",5-1&gt;MOD(MONTH(C$3)-9,12),FALSE),C57*CapacityAge05*'01_Вводные'!$F$199,0)</f>
        <v/>
      </c>
      <c r="D169" s="190">
        <f>IF(IF('01_Вводные'!$B$296="Новый сезон",5-1&gt;MOD(MONTH(D$3)-9,12),FALSE),D57*CapacityAge05*'01_Вводные'!$F$199,0)</f>
        <v/>
      </c>
      <c r="E169" s="190">
        <f>IF(IF('01_Вводные'!$B$296="Новый сезон",5-1&gt;MOD(MONTH(E$3)-9,12),FALSE),E57*CapacityAge05*'01_Вводные'!$F$199,0)</f>
        <v/>
      </c>
      <c r="F169" s="190">
        <f>IF(IF('01_Вводные'!$B$296="Новый сезон",5-1&gt;MOD(MONTH(F$3)-9,12),FALSE),F57*CapacityAge05*'01_Вводные'!$F$199,0)</f>
        <v/>
      </c>
      <c r="G169" s="190">
        <f>IF(IF('01_Вводные'!$B$296="Новый сезон",5-1&gt;MOD(MONTH(G$3)-9,12),FALSE),G57*CapacityAge05*'01_Вводные'!$F$199,0)</f>
        <v/>
      </c>
      <c r="H169" s="190">
        <f>IF(IF('01_Вводные'!$B$296="Новый сезон",5-1&gt;MOD(MONTH(H$3)-9,12),FALSE),H57*CapacityAge05*'01_Вводные'!$F$199,0)</f>
        <v/>
      </c>
      <c r="I169" s="190">
        <f>IF(IF('01_Вводные'!$B$296="Новый сезон",5-1&gt;MOD(MONTH(I$3)-9,12),FALSE),I57*CapacityAge05*'01_Вводные'!$F$199,0)</f>
        <v/>
      </c>
      <c r="J169" s="190">
        <f>IF(IF('01_Вводные'!$B$296="Новый сезон",5-1&gt;MOD(MONTH(J$3)-9,12),FALSE),J57*CapacityAge05*'01_Вводные'!$F$199,0)</f>
        <v/>
      </c>
      <c r="K169" s="190">
        <f>IF(IF('01_Вводные'!$B$296="Новый сезон",5-1&gt;MOD(MONTH(K$3)-9,12),FALSE),K57*CapacityAge05*'01_Вводные'!$F$199,0)</f>
        <v/>
      </c>
      <c r="L169" s="190">
        <f>IF(IF('01_Вводные'!$B$296="Новый сезон",5-1&gt;MOD(MONTH(L$3)-9,12),FALSE),L57*CapacityAge05*'01_Вводные'!$F$199,0)</f>
        <v/>
      </c>
      <c r="M169" s="190">
        <f>IF(IF('01_Вводные'!$B$296="Новый сезон",5-1&gt;MOD(MONTH(M$3)-9,12),FALSE),M57*CapacityAge05*'01_Вводные'!$F$199,0)</f>
        <v/>
      </c>
      <c r="N169" s="190">
        <f>IF(IF('01_Вводные'!$B$296="Новый сезон",5-1&gt;MOD(MONTH(N$3)-9,12),FALSE),N57*CapacityAge05*'01_Вводные'!$F$199,0)</f>
        <v/>
      </c>
      <c r="O169" s="190">
        <f>IF(IF('01_Вводные'!$B$296="Новый сезон",5-1&gt;MOD(MONTH(O$3)-9,12),FALSE),O57*CapacityAge05*'01_Вводные'!$F$199,0)</f>
        <v/>
      </c>
      <c r="P169" s="190">
        <f>IF(IF('01_Вводные'!$B$296="Новый сезон",5-1&gt;MOD(MONTH(P$3)-9,12),FALSE),P57*CapacityAge05*'01_Вводные'!$F$199,0)</f>
        <v/>
      </c>
      <c r="Q169" s="190">
        <f>IF(IF('01_Вводные'!$B$296="Новый сезон",5-1&gt;MOD(MONTH(Q$3)-9,12),FALSE),Q57*CapacityAge05*'01_Вводные'!$F$199,0)</f>
        <v/>
      </c>
      <c r="R169" s="190">
        <f>IF(IF('01_Вводные'!$B$296="Новый сезон",5-1&gt;MOD(MONTH(R$3)-9,12),FALSE),R57*CapacityAge05*'01_Вводные'!$F$199,0)</f>
        <v/>
      </c>
      <c r="S169" s="190">
        <f>IF(IF('01_Вводные'!$B$296="Новый сезон",5-1&gt;MOD(MONTH(S$3)-9,12),FALSE),S57*CapacityAge05*'01_Вводные'!$F$199,0)</f>
        <v/>
      </c>
      <c r="T169" s="190">
        <f>IF(IF('01_Вводные'!$B$296="Новый сезон",5-1&gt;MOD(MONTH(T$3)-9,12),FALSE),T57*CapacityAge05*'01_Вводные'!$F$199,0)</f>
        <v/>
      </c>
      <c r="U169" s="190">
        <f>IF(IF('01_Вводные'!$B$296="Новый сезон",5-1&gt;MOD(MONTH(U$3)-9,12),FALSE),U57*CapacityAge05*'01_Вводные'!$F$199,0)</f>
        <v/>
      </c>
      <c r="V169" s="190">
        <f>IF(IF('01_Вводные'!$B$296="Новый сезон",5-1&gt;MOD(MONTH(V$3)-9,12),FALSE),V57*CapacityAge05*'01_Вводные'!$F$199,0)</f>
        <v/>
      </c>
      <c r="W169" s="190">
        <f>IF(IF('01_Вводные'!$B$296="Новый сезон",5-1&gt;MOD(MONTH(W$3)-9,12),FALSE),W57*CapacityAge05*'01_Вводные'!$F$199,0)</f>
        <v/>
      </c>
      <c r="X169" s="190">
        <f>IF(IF('01_Вводные'!$B$296="Новый сезон",5-1&gt;MOD(MONTH(X$3)-9,12),FALSE),X57*CapacityAge05*'01_Вводные'!$F$199,0)</f>
        <v/>
      </c>
      <c r="Y169" s="190">
        <f>IF(IF('01_Вводные'!$B$296="Новый сезон",5-1&gt;MOD(MONTH(Y$3)-9,12),FALSE),Y57*CapacityAge05*'01_Вводные'!$F$199,0)</f>
        <v/>
      </c>
      <c r="Z169" s="190">
        <f>IF(IF('01_Вводные'!$B$296="Новый сезон",5-1&gt;MOD(MONTH(Z$3)-9,12),FALSE),Z57*CapacityAge05*'01_Вводные'!$F$199,0)</f>
        <v/>
      </c>
      <c r="AA169" s="190">
        <f>IF(IF('01_Вводные'!$B$296="Новый сезон",5-1&gt;MOD(MONTH(AA$3)-9,12),FALSE),AA57*CapacityAge05*'01_Вводные'!$F$199,0)</f>
        <v/>
      </c>
      <c r="AB169" s="190">
        <f>IF(IF('01_Вводные'!$B$296="Новый сезон",5-1&gt;MOD(MONTH(AB$3)-9,12),FALSE),AB57*CapacityAge05*'01_Вводные'!$F$199,0)</f>
        <v/>
      </c>
      <c r="AC169" s="190">
        <f>IF(IF('01_Вводные'!$B$296="Новый сезон",5-1&gt;MOD(MONTH(AC$3)-9,12),FALSE),AC57*CapacityAge05*'01_Вводные'!$F$199,0)</f>
        <v/>
      </c>
      <c r="AD169" s="190">
        <f>IF(IF('01_Вводные'!$B$296="Новый сезон",5-1&gt;MOD(MONTH(AD$3)-9,12),FALSE),AD57*CapacityAge05*'01_Вводные'!$F$199,0)</f>
        <v/>
      </c>
      <c r="AE169" s="190">
        <f>IF(IF('01_Вводные'!$B$296="Новый сезон",5-1&gt;MOD(MONTH(AE$3)-9,12),FALSE),AE57*CapacityAge05*'01_Вводные'!$F$199,0)</f>
        <v/>
      </c>
      <c r="AF169" s="190">
        <f>IF(IF('01_Вводные'!$B$296="Новый сезон",5-1&gt;MOD(MONTH(AF$3)-9,12),FALSE),AF57*CapacityAge05*'01_Вводные'!$F$199,0)</f>
        <v/>
      </c>
      <c r="AG169" s="190">
        <f>IF(IF('01_Вводные'!$B$296="Новый сезон",5-1&gt;MOD(MONTH(AG$3)-9,12),FALSE),AG57*CapacityAge05*'01_Вводные'!$F$199,0)</f>
        <v/>
      </c>
      <c r="AH169" s="190">
        <f>IF(IF('01_Вводные'!$B$296="Новый сезон",5-1&gt;MOD(MONTH(AH$3)-9,12),FALSE),AH57*CapacityAge05*'01_Вводные'!$F$199,0)</f>
        <v/>
      </c>
      <c r="AI169" s="190">
        <f>IF(IF('01_Вводные'!$B$296="Новый сезон",5-1&gt;MOD(MONTH(AI$3)-9,12),FALSE),AI57*CapacityAge05*'01_Вводные'!$F$199,0)</f>
        <v/>
      </c>
      <c r="AJ169" s="190">
        <f>IF(IF('01_Вводные'!$B$296="Новый сезон",5-1&gt;MOD(MONTH(AJ$3)-9,12),FALSE),AJ57*CapacityAge05*'01_Вводные'!$F$199,0)</f>
        <v/>
      </c>
      <c r="AK169" s="190">
        <f>IF(IF('01_Вводные'!$B$296="Новый сезон",5-1&gt;MOD(MONTH(AK$3)-9,12),FALSE),AK57*CapacityAge05*'01_Вводные'!$F$199,0)</f>
        <v/>
      </c>
      <c r="AL169" s="190">
        <f>IF(IF('01_Вводные'!$B$296="Новый сезон",5-1&gt;MOD(MONTH(AL$3)-9,12),FALSE),AL57*CapacityAge05*'01_Вводные'!$F$199,0)</f>
        <v/>
      </c>
      <c r="AM169" s="190">
        <f>IF(IF('01_Вводные'!$B$296="Новый сезон",5-1&gt;MOD(MONTH(AM$3)-9,12),FALSE),AM57*CapacityAge05*'01_Вводные'!$F$199,0)</f>
        <v/>
      </c>
      <c r="AN169" s="190">
        <f>IF(IF('01_Вводные'!$B$296="Новый сезон",5-1&gt;MOD(MONTH(AN$3)-9,12),FALSE),AN57*CapacityAge05*'01_Вводные'!$F$199,0)</f>
        <v/>
      </c>
      <c r="AO169" s="190">
        <f>IF(IF('01_Вводные'!$B$296="Новый сезон",5-1&gt;MOD(MONTH(AO$3)-9,12),FALSE),AO57*CapacityAge05*'01_Вводные'!$F$199,0)</f>
        <v/>
      </c>
      <c r="AP169" s="190">
        <f>IF(IF('01_Вводные'!$B$296="Новый сезон",5-1&gt;MOD(MONTH(AP$3)-9,12),FALSE),AP57*CapacityAge05*'01_Вводные'!$F$199,0)</f>
        <v/>
      </c>
      <c r="AQ169" s="190">
        <f>IF(IF('01_Вводные'!$B$296="Новый сезон",5-1&gt;MOD(MONTH(AQ$3)-9,12),FALSE),AQ57*CapacityAge05*'01_Вводные'!$F$199,0)</f>
        <v/>
      </c>
      <c r="AR169" s="190">
        <f>IF(IF('01_Вводные'!$B$296="Новый сезон",5-1&gt;MOD(MONTH(AR$3)-9,12),FALSE),AR57*CapacityAge05*'01_Вводные'!$F$199,0)</f>
        <v/>
      </c>
      <c r="AS169" s="190">
        <f>IF(IF('01_Вводные'!$B$296="Новый сезон",5-1&gt;MOD(MONTH(AS$3)-9,12),FALSE),AS57*CapacityAge05*'01_Вводные'!$F$199,0)</f>
        <v/>
      </c>
      <c r="AT169" s="190">
        <f>IF(IF('01_Вводные'!$B$296="Новый сезон",5-1&gt;MOD(MONTH(AT$3)-9,12),FALSE),AT57*CapacityAge05*'01_Вводные'!$F$199,0)</f>
        <v/>
      </c>
      <c r="AU169" s="190">
        <f>IF(IF('01_Вводные'!$B$296="Новый сезон",5-1&gt;MOD(MONTH(AU$3)-9,12),FALSE),AU57*CapacityAge05*'01_Вводные'!$F$199,0)</f>
        <v/>
      </c>
      <c r="AV169" s="190">
        <f>IF(IF('01_Вводные'!$B$296="Новый сезон",5-1&gt;MOD(MONTH(AV$3)-9,12),FALSE),AV57*CapacityAge05*'01_Вводные'!$F$199,0)</f>
        <v/>
      </c>
      <c r="AW169" s="190">
        <f>IF(IF('01_Вводные'!$B$296="Новый сезон",5-1&gt;MOD(MONTH(AW$3)-9,12),FALSE),AW57*CapacityAge05*'01_Вводные'!$F$199,0)</f>
        <v/>
      </c>
      <c r="AX169" s="190">
        <f>IF(IF('01_Вводные'!$B$296="Новый сезон",5-1&gt;MOD(MONTH(AX$3)-9,12),FALSE),AX57*CapacityAge05*'01_Вводные'!$F$199,0)</f>
        <v/>
      </c>
      <c r="AY169" s="190">
        <f>IF(IF('01_Вводные'!$B$296="Новый сезон",5-1&gt;MOD(MONTH(AY$3)-9,12),FALSE),AY57*CapacityAge05*'01_Вводные'!$F$199,0)</f>
        <v/>
      </c>
      <c r="AZ169" s="190">
        <f>IF(IF('01_Вводные'!$B$296="Новый сезон",5-1&gt;MOD(MONTH(AZ$3)-9,12),FALSE),AZ57*CapacityAge05*'01_Вводные'!$F$199,0)</f>
        <v/>
      </c>
      <c r="BA169" s="190">
        <f>IF(IF('01_Вводные'!$B$296="Новый сезон",5-1&gt;MOD(MONTH(BA$3)-9,12),FALSE),BA57*CapacityAge05*'01_Вводные'!$F$199,0)</f>
        <v/>
      </c>
      <c r="BB169" s="190">
        <f>IF(IF('01_Вводные'!$B$296="Новый сезон",5-1&gt;MOD(MONTH(BB$3)-9,12),FALSE),BB57*CapacityAge05*'01_Вводные'!$F$199,0)</f>
        <v/>
      </c>
      <c r="BC169" s="190">
        <f>IF(IF('01_Вводные'!$B$296="Новый сезон",5-1&gt;MOD(MONTH(BC$3)-9,12),FALSE),BC57*CapacityAge05*'01_Вводные'!$F$199,0)</f>
        <v/>
      </c>
      <c r="BD169" s="190">
        <f>IF(IF('01_Вводные'!$B$296="Новый сезон",5-1&gt;MOD(MONTH(BD$3)-9,12),FALSE),BD57*CapacityAge05*'01_Вводные'!$F$199,0)</f>
        <v/>
      </c>
      <c r="BE169" s="190">
        <f>IF(IF('01_Вводные'!$B$296="Новый сезон",5-1&gt;MOD(MONTH(BE$3)-9,12),FALSE),BE57*CapacityAge05*'01_Вводные'!$F$199,0)</f>
        <v/>
      </c>
      <c r="BF169" s="190">
        <f>IF(IF('01_Вводные'!$B$296="Новый сезон",5-1&gt;MOD(MONTH(BF$3)-9,12),FALSE),BF57*CapacityAge05*'01_Вводные'!$F$199,0)</f>
        <v/>
      </c>
      <c r="BG169" s="190">
        <f>IF(IF('01_Вводные'!$B$296="Новый сезон",5-1&gt;MOD(MONTH(BG$3)-9,12),FALSE),BG57*CapacityAge05*'01_Вводные'!$F$199,0)</f>
        <v/>
      </c>
      <c r="BH169" s="190">
        <f>IF(IF('01_Вводные'!$B$296="Новый сезон",5-1&gt;MOD(MONTH(BH$3)-9,12),FALSE),BH57*CapacityAge05*'01_Вводные'!$F$199,0)</f>
        <v/>
      </c>
      <c r="BI169" s="190">
        <f>IF(IF('01_Вводные'!$B$296="Новый сезон",5-1&gt;MOD(MONTH(BI$3)-9,12),FALSE),BI57*CapacityAge05*'01_Вводные'!$F$199,0)</f>
        <v/>
      </c>
      <c r="BJ169" s="190">
        <f>IF(IF('01_Вводные'!$B$296="Новый сезон",5-1&gt;MOD(MONTH(BJ$3)-9,12),FALSE),BJ57*CapacityAge05*'01_Вводные'!$F$199,0)</f>
        <v/>
      </c>
      <c r="BK169" s="190">
        <f>IF(IF('01_Вводные'!$B$296="Новый сезон",5-1&gt;MOD(MONTH(BK$3)-9,12),FALSE),BK57*CapacityAge05*'01_Вводные'!$F$199,0)</f>
        <v/>
      </c>
      <c r="BL169" s="190">
        <f>IF(IF('01_Вводные'!$B$296="Новый сезон",5-1&gt;MOD(MONTH(BL$3)-9,12),FALSE),BL57*CapacityAge05*'01_Вводные'!$F$199,0)</f>
        <v/>
      </c>
      <c r="BM169" s="190">
        <f>IF(IF('01_Вводные'!$B$296="Новый сезон",5-1&gt;MOD(MONTH(BM$3)-9,12),FALSE),BM57*CapacityAge05*'01_Вводные'!$F$199,0)</f>
        <v/>
      </c>
      <c r="BN169" s="190">
        <f>IF(IF('01_Вводные'!$B$296="Новый сезон",5-1&gt;MOD(MONTH(BN$3)-9,12),FALSE),BN57*CapacityAge05*'01_Вводные'!$F$199,0)</f>
        <v/>
      </c>
      <c r="BO169" s="190">
        <f>IF(IF('01_Вводные'!$B$296="Новый сезон",5-1&gt;MOD(MONTH(BO$3)-9,12),FALSE),BO57*CapacityAge05*'01_Вводные'!$F$199,0)</f>
        <v/>
      </c>
    </row>
    <row r="170" hidden="1" outlineLevel="1">
      <c r="A170" t="inlineStr">
        <is>
          <t>6 мес.</t>
        </is>
      </c>
      <c r="B170" s="190">
        <f>IF(IF('01_Вводные'!$B$296="Новый сезон",6-1&gt;MOD(MONTH(B$3)-9,12),FALSE),B58*CapacityAge06*'01_Вводные'!$F$199,0)</f>
        <v/>
      </c>
      <c r="C170" s="190">
        <f>IF(IF('01_Вводные'!$B$296="Новый сезон",6-1&gt;MOD(MONTH(C$3)-9,12),FALSE),C58*CapacityAge06*'01_Вводные'!$F$199,0)</f>
        <v/>
      </c>
      <c r="D170" s="190">
        <f>IF(IF('01_Вводные'!$B$296="Новый сезон",6-1&gt;MOD(MONTH(D$3)-9,12),FALSE),D58*CapacityAge06*'01_Вводные'!$F$199,0)</f>
        <v/>
      </c>
      <c r="E170" s="190">
        <f>IF(IF('01_Вводные'!$B$296="Новый сезон",6-1&gt;MOD(MONTH(E$3)-9,12),FALSE),E58*CapacityAge06*'01_Вводные'!$F$199,0)</f>
        <v/>
      </c>
      <c r="F170" s="190">
        <f>IF(IF('01_Вводные'!$B$296="Новый сезон",6-1&gt;MOD(MONTH(F$3)-9,12),FALSE),F58*CapacityAge06*'01_Вводные'!$F$199,0)</f>
        <v/>
      </c>
      <c r="G170" s="190">
        <f>IF(IF('01_Вводные'!$B$296="Новый сезон",6-1&gt;MOD(MONTH(G$3)-9,12),FALSE),G58*CapacityAge06*'01_Вводные'!$F$199,0)</f>
        <v/>
      </c>
      <c r="H170" s="190">
        <f>IF(IF('01_Вводные'!$B$296="Новый сезон",6-1&gt;MOD(MONTH(H$3)-9,12),FALSE),H58*CapacityAge06*'01_Вводные'!$F$199,0)</f>
        <v/>
      </c>
      <c r="I170" s="190">
        <f>IF(IF('01_Вводные'!$B$296="Новый сезон",6-1&gt;MOD(MONTH(I$3)-9,12),FALSE),I58*CapacityAge06*'01_Вводные'!$F$199,0)</f>
        <v/>
      </c>
      <c r="J170" s="190">
        <f>IF(IF('01_Вводные'!$B$296="Новый сезон",6-1&gt;MOD(MONTH(J$3)-9,12),FALSE),J58*CapacityAge06*'01_Вводные'!$F$199,0)</f>
        <v/>
      </c>
      <c r="K170" s="190">
        <f>IF(IF('01_Вводные'!$B$296="Новый сезон",6-1&gt;MOD(MONTH(K$3)-9,12),FALSE),K58*CapacityAge06*'01_Вводные'!$F$199,0)</f>
        <v/>
      </c>
      <c r="L170" s="190">
        <f>IF(IF('01_Вводные'!$B$296="Новый сезон",6-1&gt;MOD(MONTH(L$3)-9,12),FALSE),L58*CapacityAge06*'01_Вводные'!$F$199,0)</f>
        <v/>
      </c>
      <c r="M170" s="190">
        <f>IF(IF('01_Вводные'!$B$296="Новый сезон",6-1&gt;MOD(MONTH(M$3)-9,12),FALSE),M58*CapacityAge06*'01_Вводные'!$F$199,0)</f>
        <v/>
      </c>
      <c r="N170" s="190">
        <f>IF(IF('01_Вводные'!$B$296="Новый сезон",6-1&gt;MOD(MONTH(N$3)-9,12),FALSE),N58*CapacityAge06*'01_Вводные'!$F$199,0)</f>
        <v/>
      </c>
      <c r="O170" s="190">
        <f>IF(IF('01_Вводные'!$B$296="Новый сезон",6-1&gt;MOD(MONTH(O$3)-9,12),FALSE),O58*CapacityAge06*'01_Вводные'!$F$199,0)</f>
        <v/>
      </c>
      <c r="P170" s="190">
        <f>IF(IF('01_Вводные'!$B$296="Новый сезон",6-1&gt;MOD(MONTH(P$3)-9,12),FALSE),P58*CapacityAge06*'01_Вводные'!$F$199,0)</f>
        <v/>
      </c>
      <c r="Q170" s="190">
        <f>IF(IF('01_Вводные'!$B$296="Новый сезон",6-1&gt;MOD(MONTH(Q$3)-9,12),FALSE),Q58*CapacityAge06*'01_Вводные'!$F$199,0)</f>
        <v/>
      </c>
      <c r="R170" s="190">
        <f>IF(IF('01_Вводные'!$B$296="Новый сезон",6-1&gt;MOD(MONTH(R$3)-9,12),FALSE),R58*CapacityAge06*'01_Вводные'!$F$199,0)</f>
        <v/>
      </c>
      <c r="S170" s="190">
        <f>IF(IF('01_Вводные'!$B$296="Новый сезон",6-1&gt;MOD(MONTH(S$3)-9,12),FALSE),S58*CapacityAge06*'01_Вводные'!$F$199,0)</f>
        <v/>
      </c>
      <c r="T170" s="190">
        <f>IF(IF('01_Вводные'!$B$296="Новый сезон",6-1&gt;MOD(MONTH(T$3)-9,12),FALSE),T58*CapacityAge06*'01_Вводные'!$F$199,0)</f>
        <v/>
      </c>
      <c r="U170" s="190">
        <f>IF(IF('01_Вводные'!$B$296="Новый сезон",6-1&gt;MOD(MONTH(U$3)-9,12),FALSE),U58*CapacityAge06*'01_Вводные'!$F$199,0)</f>
        <v/>
      </c>
      <c r="V170" s="190">
        <f>IF(IF('01_Вводные'!$B$296="Новый сезон",6-1&gt;MOD(MONTH(V$3)-9,12),FALSE),V58*CapacityAge06*'01_Вводные'!$F$199,0)</f>
        <v/>
      </c>
      <c r="W170" s="190">
        <f>IF(IF('01_Вводные'!$B$296="Новый сезон",6-1&gt;MOD(MONTH(W$3)-9,12),FALSE),W58*CapacityAge06*'01_Вводные'!$F$199,0)</f>
        <v/>
      </c>
      <c r="X170" s="190">
        <f>IF(IF('01_Вводные'!$B$296="Новый сезон",6-1&gt;MOD(MONTH(X$3)-9,12),FALSE),X58*CapacityAge06*'01_Вводные'!$F$199,0)</f>
        <v/>
      </c>
      <c r="Y170" s="190">
        <f>IF(IF('01_Вводные'!$B$296="Новый сезон",6-1&gt;MOD(MONTH(Y$3)-9,12),FALSE),Y58*CapacityAge06*'01_Вводные'!$F$199,0)</f>
        <v/>
      </c>
      <c r="Z170" s="190">
        <f>IF(IF('01_Вводные'!$B$296="Новый сезон",6-1&gt;MOD(MONTH(Z$3)-9,12),FALSE),Z58*CapacityAge06*'01_Вводные'!$F$199,0)</f>
        <v/>
      </c>
      <c r="AA170" s="190">
        <f>IF(IF('01_Вводные'!$B$296="Новый сезон",6-1&gt;MOD(MONTH(AA$3)-9,12),FALSE),AA58*CapacityAge06*'01_Вводные'!$F$199,0)</f>
        <v/>
      </c>
      <c r="AB170" s="190">
        <f>IF(IF('01_Вводные'!$B$296="Новый сезон",6-1&gt;MOD(MONTH(AB$3)-9,12),FALSE),AB58*CapacityAge06*'01_Вводные'!$F$199,0)</f>
        <v/>
      </c>
      <c r="AC170" s="190">
        <f>IF(IF('01_Вводные'!$B$296="Новый сезон",6-1&gt;MOD(MONTH(AC$3)-9,12),FALSE),AC58*CapacityAge06*'01_Вводные'!$F$199,0)</f>
        <v/>
      </c>
      <c r="AD170" s="190">
        <f>IF(IF('01_Вводные'!$B$296="Новый сезон",6-1&gt;MOD(MONTH(AD$3)-9,12),FALSE),AD58*CapacityAge06*'01_Вводные'!$F$199,0)</f>
        <v/>
      </c>
      <c r="AE170" s="190">
        <f>IF(IF('01_Вводные'!$B$296="Новый сезон",6-1&gt;MOD(MONTH(AE$3)-9,12),FALSE),AE58*CapacityAge06*'01_Вводные'!$F$199,0)</f>
        <v/>
      </c>
      <c r="AF170" s="190">
        <f>IF(IF('01_Вводные'!$B$296="Новый сезон",6-1&gt;MOD(MONTH(AF$3)-9,12),FALSE),AF58*CapacityAge06*'01_Вводные'!$F$199,0)</f>
        <v/>
      </c>
      <c r="AG170" s="190">
        <f>IF(IF('01_Вводные'!$B$296="Новый сезон",6-1&gt;MOD(MONTH(AG$3)-9,12),FALSE),AG58*CapacityAge06*'01_Вводные'!$F$199,0)</f>
        <v/>
      </c>
      <c r="AH170" s="190">
        <f>IF(IF('01_Вводные'!$B$296="Новый сезон",6-1&gt;MOD(MONTH(AH$3)-9,12),FALSE),AH58*CapacityAge06*'01_Вводные'!$F$199,0)</f>
        <v/>
      </c>
      <c r="AI170" s="190">
        <f>IF(IF('01_Вводные'!$B$296="Новый сезон",6-1&gt;MOD(MONTH(AI$3)-9,12),FALSE),AI58*CapacityAge06*'01_Вводные'!$F$199,0)</f>
        <v/>
      </c>
      <c r="AJ170" s="190">
        <f>IF(IF('01_Вводные'!$B$296="Новый сезон",6-1&gt;MOD(MONTH(AJ$3)-9,12),FALSE),AJ58*CapacityAge06*'01_Вводные'!$F$199,0)</f>
        <v/>
      </c>
      <c r="AK170" s="190">
        <f>IF(IF('01_Вводные'!$B$296="Новый сезон",6-1&gt;MOD(MONTH(AK$3)-9,12),FALSE),AK58*CapacityAge06*'01_Вводные'!$F$199,0)</f>
        <v/>
      </c>
      <c r="AL170" s="190">
        <f>IF(IF('01_Вводные'!$B$296="Новый сезон",6-1&gt;MOD(MONTH(AL$3)-9,12),FALSE),AL58*CapacityAge06*'01_Вводные'!$F$199,0)</f>
        <v/>
      </c>
      <c r="AM170" s="190">
        <f>IF(IF('01_Вводные'!$B$296="Новый сезон",6-1&gt;MOD(MONTH(AM$3)-9,12),FALSE),AM58*CapacityAge06*'01_Вводные'!$F$199,0)</f>
        <v/>
      </c>
      <c r="AN170" s="190">
        <f>IF(IF('01_Вводные'!$B$296="Новый сезон",6-1&gt;MOD(MONTH(AN$3)-9,12),FALSE),AN58*CapacityAge06*'01_Вводные'!$F$199,0)</f>
        <v/>
      </c>
      <c r="AO170" s="190">
        <f>IF(IF('01_Вводные'!$B$296="Новый сезон",6-1&gt;MOD(MONTH(AO$3)-9,12),FALSE),AO58*CapacityAge06*'01_Вводные'!$F$199,0)</f>
        <v/>
      </c>
      <c r="AP170" s="190">
        <f>IF(IF('01_Вводные'!$B$296="Новый сезон",6-1&gt;MOD(MONTH(AP$3)-9,12),FALSE),AP58*CapacityAge06*'01_Вводные'!$F$199,0)</f>
        <v/>
      </c>
      <c r="AQ170" s="190">
        <f>IF(IF('01_Вводные'!$B$296="Новый сезон",6-1&gt;MOD(MONTH(AQ$3)-9,12),FALSE),AQ58*CapacityAge06*'01_Вводные'!$F$199,0)</f>
        <v/>
      </c>
      <c r="AR170" s="190">
        <f>IF(IF('01_Вводные'!$B$296="Новый сезон",6-1&gt;MOD(MONTH(AR$3)-9,12),FALSE),AR58*CapacityAge06*'01_Вводные'!$F$199,0)</f>
        <v/>
      </c>
      <c r="AS170" s="190">
        <f>IF(IF('01_Вводные'!$B$296="Новый сезон",6-1&gt;MOD(MONTH(AS$3)-9,12),FALSE),AS58*CapacityAge06*'01_Вводные'!$F$199,0)</f>
        <v/>
      </c>
      <c r="AT170" s="190">
        <f>IF(IF('01_Вводные'!$B$296="Новый сезон",6-1&gt;MOD(MONTH(AT$3)-9,12),FALSE),AT58*CapacityAge06*'01_Вводные'!$F$199,0)</f>
        <v/>
      </c>
      <c r="AU170" s="190">
        <f>IF(IF('01_Вводные'!$B$296="Новый сезон",6-1&gt;MOD(MONTH(AU$3)-9,12),FALSE),AU58*CapacityAge06*'01_Вводные'!$F$199,0)</f>
        <v/>
      </c>
      <c r="AV170" s="190">
        <f>IF(IF('01_Вводные'!$B$296="Новый сезон",6-1&gt;MOD(MONTH(AV$3)-9,12),FALSE),AV58*CapacityAge06*'01_Вводные'!$F$199,0)</f>
        <v/>
      </c>
      <c r="AW170" s="190">
        <f>IF(IF('01_Вводные'!$B$296="Новый сезон",6-1&gt;MOD(MONTH(AW$3)-9,12),FALSE),AW58*CapacityAge06*'01_Вводные'!$F$199,0)</f>
        <v/>
      </c>
      <c r="AX170" s="190">
        <f>IF(IF('01_Вводные'!$B$296="Новый сезон",6-1&gt;MOD(MONTH(AX$3)-9,12),FALSE),AX58*CapacityAge06*'01_Вводные'!$F$199,0)</f>
        <v/>
      </c>
      <c r="AY170" s="190">
        <f>IF(IF('01_Вводные'!$B$296="Новый сезон",6-1&gt;MOD(MONTH(AY$3)-9,12),FALSE),AY58*CapacityAge06*'01_Вводные'!$F$199,0)</f>
        <v/>
      </c>
      <c r="AZ170" s="190">
        <f>IF(IF('01_Вводные'!$B$296="Новый сезон",6-1&gt;MOD(MONTH(AZ$3)-9,12),FALSE),AZ58*CapacityAge06*'01_Вводные'!$F$199,0)</f>
        <v/>
      </c>
      <c r="BA170" s="190">
        <f>IF(IF('01_Вводные'!$B$296="Новый сезон",6-1&gt;MOD(MONTH(BA$3)-9,12),FALSE),BA58*CapacityAge06*'01_Вводные'!$F$199,0)</f>
        <v/>
      </c>
      <c r="BB170" s="190">
        <f>IF(IF('01_Вводные'!$B$296="Новый сезон",6-1&gt;MOD(MONTH(BB$3)-9,12),FALSE),BB58*CapacityAge06*'01_Вводные'!$F$199,0)</f>
        <v/>
      </c>
      <c r="BC170" s="190">
        <f>IF(IF('01_Вводные'!$B$296="Новый сезон",6-1&gt;MOD(MONTH(BC$3)-9,12),FALSE),BC58*CapacityAge06*'01_Вводные'!$F$199,0)</f>
        <v/>
      </c>
      <c r="BD170" s="190">
        <f>IF(IF('01_Вводные'!$B$296="Новый сезон",6-1&gt;MOD(MONTH(BD$3)-9,12),FALSE),BD58*CapacityAge06*'01_Вводные'!$F$199,0)</f>
        <v/>
      </c>
      <c r="BE170" s="190">
        <f>IF(IF('01_Вводные'!$B$296="Новый сезон",6-1&gt;MOD(MONTH(BE$3)-9,12),FALSE),BE58*CapacityAge06*'01_Вводные'!$F$199,0)</f>
        <v/>
      </c>
      <c r="BF170" s="190">
        <f>IF(IF('01_Вводные'!$B$296="Новый сезон",6-1&gt;MOD(MONTH(BF$3)-9,12),FALSE),BF58*CapacityAge06*'01_Вводные'!$F$199,0)</f>
        <v/>
      </c>
      <c r="BG170" s="190">
        <f>IF(IF('01_Вводные'!$B$296="Новый сезон",6-1&gt;MOD(MONTH(BG$3)-9,12),FALSE),BG58*CapacityAge06*'01_Вводные'!$F$199,0)</f>
        <v/>
      </c>
      <c r="BH170" s="190">
        <f>IF(IF('01_Вводные'!$B$296="Новый сезон",6-1&gt;MOD(MONTH(BH$3)-9,12),FALSE),BH58*CapacityAge06*'01_Вводные'!$F$199,0)</f>
        <v/>
      </c>
      <c r="BI170" s="190">
        <f>IF(IF('01_Вводные'!$B$296="Новый сезон",6-1&gt;MOD(MONTH(BI$3)-9,12),FALSE),BI58*CapacityAge06*'01_Вводные'!$F$199,0)</f>
        <v/>
      </c>
      <c r="BJ170" s="190">
        <f>IF(IF('01_Вводные'!$B$296="Новый сезон",6-1&gt;MOD(MONTH(BJ$3)-9,12),FALSE),BJ58*CapacityAge06*'01_Вводные'!$F$199,0)</f>
        <v/>
      </c>
      <c r="BK170" s="190">
        <f>IF(IF('01_Вводные'!$B$296="Новый сезон",6-1&gt;MOD(MONTH(BK$3)-9,12),FALSE),BK58*CapacityAge06*'01_Вводные'!$F$199,0)</f>
        <v/>
      </c>
      <c r="BL170" s="190">
        <f>IF(IF('01_Вводные'!$B$296="Новый сезон",6-1&gt;MOD(MONTH(BL$3)-9,12),FALSE),BL58*CapacityAge06*'01_Вводные'!$F$199,0)</f>
        <v/>
      </c>
      <c r="BM170" s="190">
        <f>IF(IF('01_Вводные'!$B$296="Новый сезон",6-1&gt;MOD(MONTH(BM$3)-9,12),FALSE),BM58*CapacityAge06*'01_Вводные'!$F$199,0)</f>
        <v/>
      </c>
      <c r="BN170" s="190">
        <f>IF(IF('01_Вводные'!$B$296="Новый сезон",6-1&gt;MOD(MONTH(BN$3)-9,12),FALSE),BN58*CapacityAge06*'01_Вводные'!$F$199,0)</f>
        <v/>
      </c>
      <c r="BO170" s="190">
        <f>IF(IF('01_Вводные'!$B$296="Новый сезон",6-1&gt;MOD(MONTH(BO$3)-9,12),FALSE),BO58*CapacityAge06*'01_Вводные'!$F$199,0)</f>
        <v/>
      </c>
    </row>
    <row r="171" hidden="1" outlineLevel="1">
      <c r="A171" t="inlineStr">
        <is>
          <t>7 мес.</t>
        </is>
      </c>
      <c r="B171" s="190">
        <f>IF(IF('01_Вводные'!$B$296="Новый сезон",7-1&gt;MOD(MONTH(B$3)-9,12),FALSE),B59*CapacityAge07*'01_Вводные'!$F$199,0)</f>
        <v/>
      </c>
      <c r="C171" s="190">
        <f>IF(IF('01_Вводные'!$B$296="Новый сезон",7-1&gt;MOD(MONTH(C$3)-9,12),FALSE),C59*CapacityAge07*'01_Вводные'!$F$199,0)</f>
        <v/>
      </c>
      <c r="D171" s="190">
        <f>IF(IF('01_Вводные'!$B$296="Новый сезон",7-1&gt;MOD(MONTH(D$3)-9,12),FALSE),D59*CapacityAge07*'01_Вводные'!$F$199,0)</f>
        <v/>
      </c>
      <c r="E171" s="190">
        <f>IF(IF('01_Вводные'!$B$296="Новый сезон",7-1&gt;MOD(MONTH(E$3)-9,12),FALSE),E59*CapacityAge07*'01_Вводные'!$F$199,0)</f>
        <v/>
      </c>
      <c r="F171" s="190">
        <f>IF(IF('01_Вводные'!$B$296="Новый сезон",7-1&gt;MOD(MONTH(F$3)-9,12),FALSE),F59*CapacityAge07*'01_Вводные'!$F$199,0)</f>
        <v/>
      </c>
      <c r="G171" s="190">
        <f>IF(IF('01_Вводные'!$B$296="Новый сезон",7-1&gt;MOD(MONTH(G$3)-9,12),FALSE),G59*CapacityAge07*'01_Вводные'!$F$199,0)</f>
        <v/>
      </c>
      <c r="H171" s="190">
        <f>IF(IF('01_Вводные'!$B$296="Новый сезон",7-1&gt;MOD(MONTH(H$3)-9,12),FALSE),H59*CapacityAge07*'01_Вводные'!$F$199,0)</f>
        <v/>
      </c>
      <c r="I171" s="190">
        <f>IF(IF('01_Вводные'!$B$296="Новый сезон",7-1&gt;MOD(MONTH(I$3)-9,12),FALSE),I59*CapacityAge07*'01_Вводные'!$F$199,0)</f>
        <v/>
      </c>
      <c r="J171" s="190">
        <f>IF(IF('01_Вводные'!$B$296="Новый сезон",7-1&gt;MOD(MONTH(J$3)-9,12),FALSE),J59*CapacityAge07*'01_Вводные'!$F$199,0)</f>
        <v/>
      </c>
      <c r="K171" s="190">
        <f>IF(IF('01_Вводные'!$B$296="Новый сезон",7-1&gt;MOD(MONTH(K$3)-9,12),FALSE),K59*CapacityAge07*'01_Вводные'!$F$199,0)</f>
        <v/>
      </c>
      <c r="L171" s="190">
        <f>IF(IF('01_Вводные'!$B$296="Новый сезон",7-1&gt;MOD(MONTH(L$3)-9,12),FALSE),L59*CapacityAge07*'01_Вводные'!$F$199,0)</f>
        <v/>
      </c>
      <c r="M171" s="190">
        <f>IF(IF('01_Вводные'!$B$296="Новый сезон",7-1&gt;MOD(MONTH(M$3)-9,12),FALSE),M59*CapacityAge07*'01_Вводные'!$F$199,0)</f>
        <v/>
      </c>
      <c r="N171" s="190">
        <f>IF(IF('01_Вводные'!$B$296="Новый сезон",7-1&gt;MOD(MONTH(N$3)-9,12),FALSE),N59*CapacityAge07*'01_Вводные'!$F$199,0)</f>
        <v/>
      </c>
      <c r="O171" s="190">
        <f>IF(IF('01_Вводные'!$B$296="Новый сезон",7-1&gt;MOD(MONTH(O$3)-9,12),FALSE),O59*CapacityAge07*'01_Вводные'!$F$199,0)</f>
        <v/>
      </c>
      <c r="P171" s="190">
        <f>IF(IF('01_Вводные'!$B$296="Новый сезон",7-1&gt;MOD(MONTH(P$3)-9,12),FALSE),P59*CapacityAge07*'01_Вводные'!$F$199,0)</f>
        <v/>
      </c>
      <c r="Q171" s="190">
        <f>IF(IF('01_Вводные'!$B$296="Новый сезон",7-1&gt;MOD(MONTH(Q$3)-9,12),FALSE),Q59*CapacityAge07*'01_Вводные'!$F$199,0)</f>
        <v/>
      </c>
      <c r="R171" s="190">
        <f>IF(IF('01_Вводные'!$B$296="Новый сезон",7-1&gt;MOD(MONTH(R$3)-9,12),FALSE),R59*CapacityAge07*'01_Вводные'!$F$199,0)</f>
        <v/>
      </c>
      <c r="S171" s="190">
        <f>IF(IF('01_Вводные'!$B$296="Новый сезон",7-1&gt;MOD(MONTH(S$3)-9,12),FALSE),S59*CapacityAge07*'01_Вводные'!$F$199,0)</f>
        <v/>
      </c>
      <c r="T171" s="190">
        <f>IF(IF('01_Вводные'!$B$296="Новый сезон",7-1&gt;MOD(MONTH(T$3)-9,12),FALSE),T59*CapacityAge07*'01_Вводные'!$F$199,0)</f>
        <v/>
      </c>
      <c r="U171" s="190">
        <f>IF(IF('01_Вводные'!$B$296="Новый сезон",7-1&gt;MOD(MONTH(U$3)-9,12),FALSE),U59*CapacityAge07*'01_Вводные'!$F$199,0)</f>
        <v/>
      </c>
      <c r="V171" s="190">
        <f>IF(IF('01_Вводные'!$B$296="Новый сезон",7-1&gt;MOD(MONTH(V$3)-9,12),FALSE),V59*CapacityAge07*'01_Вводные'!$F$199,0)</f>
        <v/>
      </c>
      <c r="W171" s="190">
        <f>IF(IF('01_Вводные'!$B$296="Новый сезон",7-1&gt;MOD(MONTH(W$3)-9,12),FALSE),W59*CapacityAge07*'01_Вводные'!$F$199,0)</f>
        <v/>
      </c>
      <c r="X171" s="190">
        <f>IF(IF('01_Вводные'!$B$296="Новый сезон",7-1&gt;MOD(MONTH(X$3)-9,12),FALSE),X59*CapacityAge07*'01_Вводные'!$F$199,0)</f>
        <v/>
      </c>
      <c r="Y171" s="190">
        <f>IF(IF('01_Вводные'!$B$296="Новый сезон",7-1&gt;MOD(MONTH(Y$3)-9,12),FALSE),Y59*CapacityAge07*'01_Вводные'!$F$199,0)</f>
        <v/>
      </c>
      <c r="Z171" s="190">
        <f>IF(IF('01_Вводные'!$B$296="Новый сезон",7-1&gt;MOD(MONTH(Z$3)-9,12),FALSE),Z59*CapacityAge07*'01_Вводные'!$F$199,0)</f>
        <v/>
      </c>
      <c r="AA171" s="190">
        <f>IF(IF('01_Вводные'!$B$296="Новый сезон",7-1&gt;MOD(MONTH(AA$3)-9,12),FALSE),AA59*CapacityAge07*'01_Вводные'!$F$199,0)</f>
        <v/>
      </c>
      <c r="AB171" s="190">
        <f>IF(IF('01_Вводные'!$B$296="Новый сезон",7-1&gt;MOD(MONTH(AB$3)-9,12),FALSE),AB59*CapacityAge07*'01_Вводные'!$F$199,0)</f>
        <v/>
      </c>
      <c r="AC171" s="190">
        <f>IF(IF('01_Вводные'!$B$296="Новый сезон",7-1&gt;MOD(MONTH(AC$3)-9,12),FALSE),AC59*CapacityAge07*'01_Вводные'!$F$199,0)</f>
        <v/>
      </c>
      <c r="AD171" s="190">
        <f>IF(IF('01_Вводные'!$B$296="Новый сезон",7-1&gt;MOD(MONTH(AD$3)-9,12),FALSE),AD59*CapacityAge07*'01_Вводные'!$F$199,0)</f>
        <v/>
      </c>
      <c r="AE171" s="190">
        <f>IF(IF('01_Вводные'!$B$296="Новый сезон",7-1&gt;MOD(MONTH(AE$3)-9,12),FALSE),AE59*CapacityAge07*'01_Вводные'!$F$199,0)</f>
        <v/>
      </c>
      <c r="AF171" s="190">
        <f>IF(IF('01_Вводные'!$B$296="Новый сезон",7-1&gt;MOD(MONTH(AF$3)-9,12),FALSE),AF59*CapacityAge07*'01_Вводные'!$F$199,0)</f>
        <v/>
      </c>
      <c r="AG171" s="190">
        <f>IF(IF('01_Вводные'!$B$296="Новый сезон",7-1&gt;MOD(MONTH(AG$3)-9,12),FALSE),AG59*CapacityAge07*'01_Вводные'!$F$199,0)</f>
        <v/>
      </c>
      <c r="AH171" s="190">
        <f>IF(IF('01_Вводные'!$B$296="Новый сезон",7-1&gt;MOD(MONTH(AH$3)-9,12),FALSE),AH59*CapacityAge07*'01_Вводные'!$F$199,0)</f>
        <v/>
      </c>
      <c r="AI171" s="190">
        <f>IF(IF('01_Вводные'!$B$296="Новый сезон",7-1&gt;MOD(MONTH(AI$3)-9,12),FALSE),AI59*CapacityAge07*'01_Вводные'!$F$199,0)</f>
        <v/>
      </c>
      <c r="AJ171" s="190">
        <f>IF(IF('01_Вводные'!$B$296="Новый сезон",7-1&gt;MOD(MONTH(AJ$3)-9,12),FALSE),AJ59*CapacityAge07*'01_Вводные'!$F$199,0)</f>
        <v/>
      </c>
      <c r="AK171" s="190">
        <f>IF(IF('01_Вводные'!$B$296="Новый сезон",7-1&gt;MOD(MONTH(AK$3)-9,12),FALSE),AK59*CapacityAge07*'01_Вводные'!$F$199,0)</f>
        <v/>
      </c>
      <c r="AL171" s="190">
        <f>IF(IF('01_Вводные'!$B$296="Новый сезон",7-1&gt;MOD(MONTH(AL$3)-9,12),FALSE),AL59*CapacityAge07*'01_Вводные'!$F$199,0)</f>
        <v/>
      </c>
      <c r="AM171" s="190">
        <f>IF(IF('01_Вводные'!$B$296="Новый сезон",7-1&gt;MOD(MONTH(AM$3)-9,12),FALSE),AM59*CapacityAge07*'01_Вводные'!$F$199,0)</f>
        <v/>
      </c>
      <c r="AN171" s="190">
        <f>IF(IF('01_Вводные'!$B$296="Новый сезон",7-1&gt;MOD(MONTH(AN$3)-9,12),FALSE),AN59*CapacityAge07*'01_Вводные'!$F$199,0)</f>
        <v/>
      </c>
      <c r="AO171" s="190">
        <f>IF(IF('01_Вводные'!$B$296="Новый сезон",7-1&gt;MOD(MONTH(AO$3)-9,12),FALSE),AO59*CapacityAge07*'01_Вводные'!$F$199,0)</f>
        <v/>
      </c>
      <c r="AP171" s="190">
        <f>IF(IF('01_Вводные'!$B$296="Новый сезон",7-1&gt;MOD(MONTH(AP$3)-9,12),FALSE),AP59*CapacityAge07*'01_Вводные'!$F$199,0)</f>
        <v/>
      </c>
      <c r="AQ171" s="190">
        <f>IF(IF('01_Вводные'!$B$296="Новый сезон",7-1&gt;MOD(MONTH(AQ$3)-9,12),FALSE),AQ59*CapacityAge07*'01_Вводные'!$F$199,0)</f>
        <v/>
      </c>
      <c r="AR171" s="190">
        <f>IF(IF('01_Вводные'!$B$296="Новый сезон",7-1&gt;MOD(MONTH(AR$3)-9,12),FALSE),AR59*CapacityAge07*'01_Вводные'!$F$199,0)</f>
        <v/>
      </c>
      <c r="AS171" s="190">
        <f>IF(IF('01_Вводные'!$B$296="Новый сезон",7-1&gt;MOD(MONTH(AS$3)-9,12),FALSE),AS59*CapacityAge07*'01_Вводные'!$F$199,0)</f>
        <v/>
      </c>
      <c r="AT171" s="190">
        <f>IF(IF('01_Вводные'!$B$296="Новый сезон",7-1&gt;MOD(MONTH(AT$3)-9,12),FALSE),AT59*CapacityAge07*'01_Вводные'!$F$199,0)</f>
        <v/>
      </c>
      <c r="AU171" s="190">
        <f>IF(IF('01_Вводные'!$B$296="Новый сезон",7-1&gt;MOD(MONTH(AU$3)-9,12),FALSE),AU59*CapacityAge07*'01_Вводные'!$F$199,0)</f>
        <v/>
      </c>
      <c r="AV171" s="190">
        <f>IF(IF('01_Вводные'!$B$296="Новый сезон",7-1&gt;MOD(MONTH(AV$3)-9,12),FALSE),AV59*CapacityAge07*'01_Вводные'!$F$199,0)</f>
        <v/>
      </c>
      <c r="AW171" s="190">
        <f>IF(IF('01_Вводные'!$B$296="Новый сезон",7-1&gt;MOD(MONTH(AW$3)-9,12),FALSE),AW59*CapacityAge07*'01_Вводные'!$F$199,0)</f>
        <v/>
      </c>
      <c r="AX171" s="190">
        <f>IF(IF('01_Вводные'!$B$296="Новый сезон",7-1&gt;MOD(MONTH(AX$3)-9,12),FALSE),AX59*CapacityAge07*'01_Вводные'!$F$199,0)</f>
        <v/>
      </c>
      <c r="AY171" s="190">
        <f>IF(IF('01_Вводные'!$B$296="Новый сезон",7-1&gt;MOD(MONTH(AY$3)-9,12),FALSE),AY59*CapacityAge07*'01_Вводные'!$F$199,0)</f>
        <v/>
      </c>
      <c r="AZ171" s="190">
        <f>IF(IF('01_Вводные'!$B$296="Новый сезон",7-1&gt;MOD(MONTH(AZ$3)-9,12),FALSE),AZ59*CapacityAge07*'01_Вводные'!$F$199,0)</f>
        <v/>
      </c>
      <c r="BA171" s="190">
        <f>IF(IF('01_Вводные'!$B$296="Новый сезон",7-1&gt;MOD(MONTH(BA$3)-9,12),FALSE),BA59*CapacityAge07*'01_Вводные'!$F$199,0)</f>
        <v/>
      </c>
      <c r="BB171" s="190">
        <f>IF(IF('01_Вводные'!$B$296="Новый сезон",7-1&gt;MOD(MONTH(BB$3)-9,12),FALSE),BB59*CapacityAge07*'01_Вводные'!$F$199,0)</f>
        <v/>
      </c>
      <c r="BC171" s="190">
        <f>IF(IF('01_Вводные'!$B$296="Новый сезон",7-1&gt;MOD(MONTH(BC$3)-9,12),FALSE),BC59*CapacityAge07*'01_Вводные'!$F$199,0)</f>
        <v/>
      </c>
      <c r="BD171" s="190">
        <f>IF(IF('01_Вводные'!$B$296="Новый сезон",7-1&gt;MOD(MONTH(BD$3)-9,12),FALSE),BD59*CapacityAge07*'01_Вводные'!$F$199,0)</f>
        <v/>
      </c>
      <c r="BE171" s="190">
        <f>IF(IF('01_Вводные'!$B$296="Новый сезон",7-1&gt;MOD(MONTH(BE$3)-9,12),FALSE),BE59*CapacityAge07*'01_Вводные'!$F$199,0)</f>
        <v/>
      </c>
      <c r="BF171" s="190">
        <f>IF(IF('01_Вводные'!$B$296="Новый сезон",7-1&gt;MOD(MONTH(BF$3)-9,12),FALSE),BF59*CapacityAge07*'01_Вводные'!$F$199,0)</f>
        <v/>
      </c>
      <c r="BG171" s="190">
        <f>IF(IF('01_Вводные'!$B$296="Новый сезон",7-1&gt;MOD(MONTH(BG$3)-9,12),FALSE),BG59*CapacityAge07*'01_Вводные'!$F$199,0)</f>
        <v/>
      </c>
      <c r="BH171" s="190">
        <f>IF(IF('01_Вводные'!$B$296="Новый сезон",7-1&gt;MOD(MONTH(BH$3)-9,12),FALSE),BH59*CapacityAge07*'01_Вводные'!$F$199,0)</f>
        <v/>
      </c>
      <c r="BI171" s="190">
        <f>IF(IF('01_Вводные'!$B$296="Новый сезон",7-1&gt;MOD(MONTH(BI$3)-9,12),FALSE),BI59*CapacityAge07*'01_Вводные'!$F$199,0)</f>
        <v/>
      </c>
      <c r="BJ171" s="190">
        <f>IF(IF('01_Вводные'!$B$296="Новый сезон",7-1&gt;MOD(MONTH(BJ$3)-9,12),FALSE),BJ59*CapacityAge07*'01_Вводные'!$F$199,0)</f>
        <v/>
      </c>
      <c r="BK171" s="190">
        <f>IF(IF('01_Вводные'!$B$296="Новый сезон",7-1&gt;MOD(MONTH(BK$3)-9,12),FALSE),BK59*CapacityAge07*'01_Вводные'!$F$199,0)</f>
        <v/>
      </c>
      <c r="BL171" s="190">
        <f>IF(IF('01_Вводные'!$B$296="Новый сезон",7-1&gt;MOD(MONTH(BL$3)-9,12),FALSE),BL59*CapacityAge07*'01_Вводные'!$F$199,0)</f>
        <v/>
      </c>
      <c r="BM171" s="190">
        <f>IF(IF('01_Вводные'!$B$296="Новый сезон",7-1&gt;MOD(MONTH(BM$3)-9,12),FALSE),BM59*CapacityAge07*'01_Вводные'!$F$199,0)</f>
        <v/>
      </c>
      <c r="BN171" s="190">
        <f>IF(IF('01_Вводные'!$B$296="Новый сезон",7-1&gt;MOD(MONTH(BN$3)-9,12),FALSE),BN59*CapacityAge07*'01_Вводные'!$F$199,0)</f>
        <v/>
      </c>
      <c r="BO171" s="190">
        <f>IF(IF('01_Вводные'!$B$296="Новый сезон",7-1&gt;MOD(MONTH(BO$3)-9,12),FALSE),BO59*CapacityAge07*'01_Вводные'!$F$199,0)</f>
        <v/>
      </c>
    </row>
    <row r="172" hidden="1" outlineLevel="1">
      <c r="A172" t="inlineStr">
        <is>
          <t>8 мес.</t>
        </is>
      </c>
      <c r="B172" s="190">
        <f>IF(IF('01_Вводные'!$B$296="Новый сезон",8-1&gt;MOD(MONTH(B$3)-9,12),FALSE),B60*CapacityAge08*'01_Вводные'!$F$199,0)</f>
        <v/>
      </c>
      <c r="C172" s="190">
        <f>IF(IF('01_Вводные'!$B$296="Новый сезон",8-1&gt;MOD(MONTH(C$3)-9,12),FALSE),C60*CapacityAge08*'01_Вводные'!$F$199,0)</f>
        <v/>
      </c>
      <c r="D172" s="190">
        <f>IF(IF('01_Вводные'!$B$296="Новый сезон",8-1&gt;MOD(MONTH(D$3)-9,12),FALSE),D60*CapacityAge08*'01_Вводные'!$F$199,0)</f>
        <v/>
      </c>
      <c r="E172" s="190">
        <f>IF(IF('01_Вводные'!$B$296="Новый сезон",8-1&gt;MOD(MONTH(E$3)-9,12),FALSE),E60*CapacityAge08*'01_Вводные'!$F$199,0)</f>
        <v/>
      </c>
      <c r="F172" s="190">
        <f>IF(IF('01_Вводные'!$B$296="Новый сезон",8-1&gt;MOD(MONTH(F$3)-9,12),FALSE),F60*CapacityAge08*'01_Вводные'!$F$199,0)</f>
        <v/>
      </c>
      <c r="G172" s="190">
        <f>IF(IF('01_Вводные'!$B$296="Новый сезон",8-1&gt;MOD(MONTH(G$3)-9,12),FALSE),G60*CapacityAge08*'01_Вводные'!$F$199,0)</f>
        <v/>
      </c>
      <c r="H172" s="190">
        <f>IF(IF('01_Вводные'!$B$296="Новый сезон",8-1&gt;MOD(MONTH(H$3)-9,12),FALSE),H60*CapacityAge08*'01_Вводные'!$F$199,0)</f>
        <v/>
      </c>
      <c r="I172" s="190">
        <f>IF(IF('01_Вводные'!$B$296="Новый сезон",8-1&gt;MOD(MONTH(I$3)-9,12),FALSE),I60*CapacityAge08*'01_Вводные'!$F$199,0)</f>
        <v/>
      </c>
      <c r="J172" s="190">
        <f>IF(IF('01_Вводные'!$B$296="Новый сезон",8-1&gt;MOD(MONTH(J$3)-9,12),FALSE),J60*CapacityAge08*'01_Вводные'!$F$199,0)</f>
        <v/>
      </c>
      <c r="K172" s="190">
        <f>IF(IF('01_Вводные'!$B$296="Новый сезон",8-1&gt;MOD(MONTH(K$3)-9,12),FALSE),K60*CapacityAge08*'01_Вводные'!$F$199,0)</f>
        <v/>
      </c>
      <c r="L172" s="190">
        <f>IF(IF('01_Вводные'!$B$296="Новый сезон",8-1&gt;MOD(MONTH(L$3)-9,12),FALSE),L60*CapacityAge08*'01_Вводные'!$F$199,0)</f>
        <v/>
      </c>
      <c r="M172" s="190">
        <f>IF(IF('01_Вводные'!$B$296="Новый сезон",8-1&gt;MOD(MONTH(M$3)-9,12),FALSE),M60*CapacityAge08*'01_Вводные'!$F$199,0)</f>
        <v/>
      </c>
      <c r="N172" s="190">
        <f>IF(IF('01_Вводные'!$B$296="Новый сезон",8-1&gt;MOD(MONTH(N$3)-9,12),FALSE),N60*CapacityAge08*'01_Вводные'!$F$199,0)</f>
        <v/>
      </c>
      <c r="O172" s="190">
        <f>IF(IF('01_Вводные'!$B$296="Новый сезон",8-1&gt;MOD(MONTH(O$3)-9,12),FALSE),O60*CapacityAge08*'01_Вводные'!$F$199,0)</f>
        <v/>
      </c>
      <c r="P172" s="190">
        <f>IF(IF('01_Вводные'!$B$296="Новый сезон",8-1&gt;MOD(MONTH(P$3)-9,12),FALSE),P60*CapacityAge08*'01_Вводные'!$F$199,0)</f>
        <v/>
      </c>
      <c r="Q172" s="190">
        <f>IF(IF('01_Вводные'!$B$296="Новый сезон",8-1&gt;MOD(MONTH(Q$3)-9,12),FALSE),Q60*CapacityAge08*'01_Вводные'!$F$199,0)</f>
        <v/>
      </c>
      <c r="R172" s="190">
        <f>IF(IF('01_Вводные'!$B$296="Новый сезон",8-1&gt;MOD(MONTH(R$3)-9,12),FALSE),R60*CapacityAge08*'01_Вводные'!$F$199,0)</f>
        <v/>
      </c>
      <c r="S172" s="190">
        <f>IF(IF('01_Вводные'!$B$296="Новый сезон",8-1&gt;MOD(MONTH(S$3)-9,12),FALSE),S60*CapacityAge08*'01_Вводные'!$F$199,0)</f>
        <v/>
      </c>
      <c r="T172" s="190">
        <f>IF(IF('01_Вводные'!$B$296="Новый сезон",8-1&gt;MOD(MONTH(T$3)-9,12),FALSE),T60*CapacityAge08*'01_Вводные'!$F$199,0)</f>
        <v/>
      </c>
      <c r="U172" s="190">
        <f>IF(IF('01_Вводные'!$B$296="Новый сезон",8-1&gt;MOD(MONTH(U$3)-9,12),FALSE),U60*CapacityAge08*'01_Вводные'!$F$199,0)</f>
        <v/>
      </c>
      <c r="V172" s="190">
        <f>IF(IF('01_Вводные'!$B$296="Новый сезон",8-1&gt;MOD(MONTH(V$3)-9,12),FALSE),V60*CapacityAge08*'01_Вводные'!$F$199,0)</f>
        <v/>
      </c>
      <c r="W172" s="190">
        <f>IF(IF('01_Вводные'!$B$296="Новый сезон",8-1&gt;MOD(MONTH(W$3)-9,12),FALSE),W60*CapacityAge08*'01_Вводные'!$F$199,0)</f>
        <v/>
      </c>
      <c r="X172" s="190">
        <f>IF(IF('01_Вводные'!$B$296="Новый сезон",8-1&gt;MOD(MONTH(X$3)-9,12),FALSE),X60*CapacityAge08*'01_Вводные'!$F$199,0)</f>
        <v/>
      </c>
      <c r="Y172" s="190">
        <f>IF(IF('01_Вводные'!$B$296="Новый сезон",8-1&gt;MOD(MONTH(Y$3)-9,12),FALSE),Y60*CapacityAge08*'01_Вводные'!$F$199,0)</f>
        <v/>
      </c>
      <c r="Z172" s="190">
        <f>IF(IF('01_Вводные'!$B$296="Новый сезон",8-1&gt;MOD(MONTH(Z$3)-9,12),FALSE),Z60*CapacityAge08*'01_Вводные'!$F$199,0)</f>
        <v/>
      </c>
      <c r="AA172" s="190">
        <f>IF(IF('01_Вводные'!$B$296="Новый сезон",8-1&gt;MOD(MONTH(AA$3)-9,12),FALSE),AA60*CapacityAge08*'01_Вводные'!$F$199,0)</f>
        <v/>
      </c>
      <c r="AB172" s="190">
        <f>IF(IF('01_Вводные'!$B$296="Новый сезон",8-1&gt;MOD(MONTH(AB$3)-9,12),FALSE),AB60*CapacityAge08*'01_Вводные'!$F$199,0)</f>
        <v/>
      </c>
      <c r="AC172" s="190">
        <f>IF(IF('01_Вводные'!$B$296="Новый сезон",8-1&gt;MOD(MONTH(AC$3)-9,12),FALSE),AC60*CapacityAge08*'01_Вводные'!$F$199,0)</f>
        <v/>
      </c>
      <c r="AD172" s="190">
        <f>IF(IF('01_Вводные'!$B$296="Новый сезон",8-1&gt;MOD(MONTH(AD$3)-9,12),FALSE),AD60*CapacityAge08*'01_Вводные'!$F$199,0)</f>
        <v/>
      </c>
      <c r="AE172" s="190">
        <f>IF(IF('01_Вводные'!$B$296="Новый сезон",8-1&gt;MOD(MONTH(AE$3)-9,12),FALSE),AE60*CapacityAge08*'01_Вводные'!$F$199,0)</f>
        <v/>
      </c>
      <c r="AF172" s="190">
        <f>IF(IF('01_Вводные'!$B$296="Новый сезон",8-1&gt;MOD(MONTH(AF$3)-9,12),FALSE),AF60*CapacityAge08*'01_Вводные'!$F$199,0)</f>
        <v/>
      </c>
      <c r="AG172" s="190">
        <f>IF(IF('01_Вводные'!$B$296="Новый сезон",8-1&gt;MOD(MONTH(AG$3)-9,12),FALSE),AG60*CapacityAge08*'01_Вводные'!$F$199,0)</f>
        <v/>
      </c>
      <c r="AH172" s="190">
        <f>IF(IF('01_Вводные'!$B$296="Новый сезон",8-1&gt;MOD(MONTH(AH$3)-9,12),FALSE),AH60*CapacityAge08*'01_Вводные'!$F$199,0)</f>
        <v/>
      </c>
      <c r="AI172" s="190">
        <f>IF(IF('01_Вводные'!$B$296="Новый сезон",8-1&gt;MOD(MONTH(AI$3)-9,12),FALSE),AI60*CapacityAge08*'01_Вводные'!$F$199,0)</f>
        <v/>
      </c>
      <c r="AJ172" s="190">
        <f>IF(IF('01_Вводные'!$B$296="Новый сезон",8-1&gt;MOD(MONTH(AJ$3)-9,12),FALSE),AJ60*CapacityAge08*'01_Вводные'!$F$199,0)</f>
        <v/>
      </c>
      <c r="AK172" s="190">
        <f>IF(IF('01_Вводные'!$B$296="Новый сезон",8-1&gt;MOD(MONTH(AK$3)-9,12),FALSE),AK60*CapacityAge08*'01_Вводные'!$F$199,0)</f>
        <v/>
      </c>
      <c r="AL172" s="190">
        <f>IF(IF('01_Вводные'!$B$296="Новый сезон",8-1&gt;MOD(MONTH(AL$3)-9,12),FALSE),AL60*CapacityAge08*'01_Вводные'!$F$199,0)</f>
        <v/>
      </c>
      <c r="AM172" s="190">
        <f>IF(IF('01_Вводные'!$B$296="Новый сезон",8-1&gt;MOD(MONTH(AM$3)-9,12),FALSE),AM60*CapacityAge08*'01_Вводные'!$F$199,0)</f>
        <v/>
      </c>
      <c r="AN172" s="190">
        <f>IF(IF('01_Вводные'!$B$296="Новый сезон",8-1&gt;MOD(MONTH(AN$3)-9,12),FALSE),AN60*CapacityAge08*'01_Вводные'!$F$199,0)</f>
        <v/>
      </c>
      <c r="AO172" s="190">
        <f>IF(IF('01_Вводные'!$B$296="Новый сезон",8-1&gt;MOD(MONTH(AO$3)-9,12),FALSE),AO60*CapacityAge08*'01_Вводные'!$F$199,0)</f>
        <v/>
      </c>
      <c r="AP172" s="190">
        <f>IF(IF('01_Вводные'!$B$296="Новый сезон",8-1&gt;MOD(MONTH(AP$3)-9,12),FALSE),AP60*CapacityAge08*'01_Вводные'!$F$199,0)</f>
        <v/>
      </c>
      <c r="AQ172" s="190">
        <f>IF(IF('01_Вводные'!$B$296="Новый сезон",8-1&gt;MOD(MONTH(AQ$3)-9,12),FALSE),AQ60*CapacityAge08*'01_Вводные'!$F$199,0)</f>
        <v/>
      </c>
      <c r="AR172" s="190">
        <f>IF(IF('01_Вводные'!$B$296="Новый сезон",8-1&gt;MOD(MONTH(AR$3)-9,12),FALSE),AR60*CapacityAge08*'01_Вводные'!$F$199,0)</f>
        <v/>
      </c>
      <c r="AS172" s="190">
        <f>IF(IF('01_Вводные'!$B$296="Новый сезон",8-1&gt;MOD(MONTH(AS$3)-9,12),FALSE),AS60*CapacityAge08*'01_Вводные'!$F$199,0)</f>
        <v/>
      </c>
      <c r="AT172" s="190">
        <f>IF(IF('01_Вводные'!$B$296="Новый сезон",8-1&gt;MOD(MONTH(AT$3)-9,12),FALSE),AT60*CapacityAge08*'01_Вводные'!$F$199,0)</f>
        <v/>
      </c>
      <c r="AU172" s="190">
        <f>IF(IF('01_Вводные'!$B$296="Новый сезон",8-1&gt;MOD(MONTH(AU$3)-9,12),FALSE),AU60*CapacityAge08*'01_Вводные'!$F$199,0)</f>
        <v/>
      </c>
      <c r="AV172" s="190">
        <f>IF(IF('01_Вводные'!$B$296="Новый сезон",8-1&gt;MOD(MONTH(AV$3)-9,12),FALSE),AV60*CapacityAge08*'01_Вводные'!$F$199,0)</f>
        <v/>
      </c>
      <c r="AW172" s="190">
        <f>IF(IF('01_Вводные'!$B$296="Новый сезон",8-1&gt;MOD(MONTH(AW$3)-9,12),FALSE),AW60*CapacityAge08*'01_Вводные'!$F$199,0)</f>
        <v/>
      </c>
      <c r="AX172" s="190">
        <f>IF(IF('01_Вводные'!$B$296="Новый сезон",8-1&gt;MOD(MONTH(AX$3)-9,12),FALSE),AX60*CapacityAge08*'01_Вводные'!$F$199,0)</f>
        <v/>
      </c>
      <c r="AY172" s="190">
        <f>IF(IF('01_Вводные'!$B$296="Новый сезон",8-1&gt;MOD(MONTH(AY$3)-9,12),FALSE),AY60*CapacityAge08*'01_Вводные'!$F$199,0)</f>
        <v/>
      </c>
      <c r="AZ172" s="190">
        <f>IF(IF('01_Вводные'!$B$296="Новый сезон",8-1&gt;MOD(MONTH(AZ$3)-9,12),FALSE),AZ60*CapacityAge08*'01_Вводные'!$F$199,0)</f>
        <v/>
      </c>
      <c r="BA172" s="190">
        <f>IF(IF('01_Вводные'!$B$296="Новый сезон",8-1&gt;MOD(MONTH(BA$3)-9,12),FALSE),BA60*CapacityAge08*'01_Вводные'!$F$199,0)</f>
        <v/>
      </c>
      <c r="BB172" s="190">
        <f>IF(IF('01_Вводные'!$B$296="Новый сезон",8-1&gt;MOD(MONTH(BB$3)-9,12),FALSE),BB60*CapacityAge08*'01_Вводные'!$F$199,0)</f>
        <v/>
      </c>
      <c r="BC172" s="190">
        <f>IF(IF('01_Вводные'!$B$296="Новый сезон",8-1&gt;MOD(MONTH(BC$3)-9,12),FALSE),BC60*CapacityAge08*'01_Вводные'!$F$199,0)</f>
        <v/>
      </c>
      <c r="BD172" s="190">
        <f>IF(IF('01_Вводные'!$B$296="Новый сезон",8-1&gt;MOD(MONTH(BD$3)-9,12),FALSE),BD60*CapacityAge08*'01_Вводные'!$F$199,0)</f>
        <v/>
      </c>
      <c r="BE172" s="190">
        <f>IF(IF('01_Вводные'!$B$296="Новый сезон",8-1&gt;MOD(MONTH(BE$3)-9,12),FALSE),BE60*CapacityAge08*'01_Вводные'!$F$199,0)</f>
        <v/>
      </c>
      <c r="BF172" s="190">
        <f>IF(IF('01_Вводные'!$B$296="Новый сезон",8-1&gt;MOD(MONTH(BF$3)-9,12),FALSE),BF60*CapacityAge08*'01_Вводные'!$F$199,0)</f>
        <v/>
      </c>
      <c r="BG172" s="190">
        <f>IF(IF('01_Вводные'!$B$296="Новый сезон",8-1&gt;MOD(MONTH(BG$3)-9,12),FALSE),BG60*CapacityAge08*'01_Вводные'!$F$199,0)</f>
        <v/>
      </c>
      <c r="BH172" s="190">
        <f>IF(IF('01_Вводные'!$B$296="Новый сезон",8-1&gt;MOD(MONTH(BH$3)-9,12),FALSE),BH60*CapacityAge08*'01_Вводные'!$F$199,0)</f>
        <v/>
      </c>
      <c r="BI172" s="190">
        <f>IF(IF('01_Вводные'!$B$296="Новый сезон",8-1&gt;MOD(MONTH(BI$3)-9,12),FALSE),BI60*CapacityAge08*'01_Вводные'!$F$199,0)</f>
        <v/>
      </c>
      <c r="BJ172" s="190">
        <f>IF(IF('01_Вводные'!$B$296="Новый сезон",8-1&gt;MOD(MONTH(BJ$3)-9,12),FALSE),BJ60*CapacityAge08*'01_Вводные'!$F$199,0)</f>
        <v/>
      </c>
      <c r="BK172" s="190">
        <f>IF(IF('01_Вводные'!$B$296="Новый сезон",8-1&gt;MOD(MONTH(BK$3)-9,12),FALSE),BK60*CapacityAge08*'01_Вводные'!$F$199,0)</f>
        <v/>
      </c>
      <c r="BL172" s="190">
        <f>IF(IF('01_Вводные'!$B$296="Новый сезон",8-1&gt;MOD(MONTH(BL$3)-9,12),FALSE),BL60*CapacityAge08*'01_Вводные'!$F$199,0)</f>
        <v/>
      </c>
      <c r="BM172" s="190">
        <f>IF(IF('01_Вводные'!$B$296="Новый сезон",8-1&gt;MOD(MONTH(BM$3)-9,12),FALSE),BM60*CapacityAge08*'01_Вводные'!$F$199,0)</f>
        <v/>
      </c>
      <c r="BN172" s="190">
        <f>IF(IF('01_Вводные'!$B$296="Новый сезон",8-1&gt;MOD(MONTH(BN$3)-9,12),FALSE),BN60*CapacityAge08*'01_Вводные'!$F$199,0)</f>
        <v/>
      </c>
      <c r="BO172" s="190">
        <f>IF(IF('01_Вводные'!$B$296="Новый сезон",8-1&gt;MOD(MONTH(BO$3)-9,12),FALSE),BO60*CapacityAge08*'01_Вводные'!$F$199,0)</f>
        <v/>
      </c>
    </row>
    <row r="173" hidden="1" outlineLevel="1">
      <c r="A173" t="inlineStr">
        <is>
          <t>9 мес.</t>
        </is>
      </c>
      <c r="B173" s="190">
        <f>IF(IF('01_Вводные'!$B$296="Новый сезон",9-1&gt;MOD(MONTH(B$3)-9,12),FALSE),B61*CapacityAge09*'01_Вводные'!$F$199,0)</f>
        <v/>
      </c>
      <c r="C173" s="190">
        <f>IF(IF('01_Вводные'!$B$296="Новый сезон",9-1&gt;MOD(MONTH(C$3)-9,12),FALSE),C61*CapacityAge09*'01_Вводные'!$F$199,0)</f>
        <v/>
      </c>
      <c r="D173" s="190">
        <f>IF(IF('01_Вводные'!$B$296="Новый сезон",9-1&gt;MOD(MONTH(D$3)-9,12),FALSE),D61*CapacityAge09*'01_Вводные'!$F$199,0)</f>
        <v/>
      </c>
      <c r="E173" s="190">
        <f>IF(IF('01_Вводные'!$B$296="Новый сезон",9-1&gt;MOD(MONTH(E$3)-9,12),FALSE),E61*CapacityAge09*'01_Вводные'!$F$199,0)</f>
        <v/>
      </c>
      <c r="F173" s="190">
        <f>IF(IF('01_Вводные'!$B$296="Новый сезон",9-1&gt;MOD(MONTH(F$3)-9,12),FALSE),F61*CapacityAge09*'01_Вводные'!$F$199,0)</f>
        <v/>
      </c>
      <c r="G173" s="190">
        <f>IF(IF('01_Вводные'!$B$296="Новый сезон",9-1&gt;MOD(MONTH(G$3)-9,12),FALSE),G61*CapacityAge09*'01_Вводные'!$F$199,0)</f>
        <v/>
      </c>
      <c r="H173" s="190">
        <f>IF(IF('01_Вводные'!$B$296="Новый сезон",9-1&gt;MOD(MONTH(H$3)-9,12),FALSE),H61*CapacityAge09*'01_Вводные'!$F$199,0)</f>
        <v/>
      </c>
      <c r="I173" s="190">
        <f>IF(IF('01_Вводные'!$B$296="Новый сезон",9-1&gt;MOD(MONTH(I$3)-9,12),FALSE),I61*CapacityAge09*'01_Вводные'!$F$199,0)</f>
        <v/>
      </c>
      <c r="J173" s="190">
        <f>IF(IF('01_Вводные'!$B$296="Новый сезон",9-1&gt;MOD(MONTH(J$3)-9,12),FALSE),J61*CapacityAge09*'01_Вводные'!$F$199,0)</f>
        <v/>
      </c>
      <c r="K173" s="190">
        <f>IF(IF('01_Вводные'!$B$296="Новый сезон",9-1&gt;MOD(MONTH(K$3)-9,12),FALSE),K61*CapacityAge09*'01_Вводные'!$F$199,0)</f>
        <v/>
      </c>
      <c r="L173" s="190">
        <f>IF(IF('01_Вводные'!$B$296="Новый сезон",9-1&gt;MOD(MONTH(L$3)-9,12),FALSE),L61*CapacityAge09*'01_Вводные'!$F$199,0)</f>
        <v/>
      </c>
      <c r="M173" s="190">
        <f>IF(IF('01_Вводные'!$B$296="Новый сезон",9-1&gt;MOD(MONTH(M$3)-9,12),FALSE),M61*CapacityAge09*'01_Вводные'!$F$199,0)</f>
        <v/>
      </c>
      <c r="N173" s="190">
        <f>IF(IF('01_Вводные'!$B$296="Новый сезон",9-1&gt;MOD(MONTH(N$3)-9,12),FALSE),N61*CapacityAge09*'01_Вводные'!$F$199,0)</f>
        <v/>
      </c>
      <c r="O173" s="190">
        <f>IF(IF('01_Вводные'!$B$296="Новый сезон",9-1&gt;MOD(MONTH(O$3)-9,12),FALSE),O61*CapacityAge09*'01_Вводные'!$F$199,0)</f>
        <v/>
      </c>
      <c r="P173" s="190">
        <f>IF(IF('01_Вводные'!$B$296="Новый сезон",9-1&gt;MOD(MONTH(P$3)-9,12),FALSE),P61*CapacityAge09*'01_Вводные'!$F$199,0)</f>
        <v/>
      </c>
      <c r="Q173" s="190">
        <f>IF(IF('01_Вводные'!$B$296="Новый сезон",9-1&gt;MOD(MONTH(Q$3)-9,12),FALSE),Q61*CapacityAge09*'01_Вводные'!$F$199,0)</f>
        <v/>
      </c>
      <c r="R173" s="190">
        <f>IF(IF('01_Вводные'!$B$296="Новый сезон",9-1&gt;MOD(MONTH(R$3)-9,12),FALSE),R61*CapacityAge09*'01_Вводные'!$F$199,0)</f>
        <v/>
      </c>
      <c r="S173" s="190">
        <f>IF(IF('01_Вводные'!$B$296="Новый сезон",9-1&gt;MOD(MONTH(S$3)-9,12),FALSE),S61*CapacityAge09*'01_Вводные'!$F$199,0)</f>
        <v/>
      </c>
      <c r="T173" s="190">
        <f>IF(IF('01_Вводные'!$B$296="Новый сезон",9-1&gt;MOD(MONTH(T$3)-9,12),FALSE),T61*CapacityAge09*'01_Вводные'!$F$199,0)</f>
        <v/>
      </c>
      <c r="U173" s="190">
        <f>IF(IF('01_Вводные'!$B$296="Новый сезон",9-1&gt;MOD(MONTH(U$3)-9,12),FALSE),U61*CapacityAge09*'01_Вводные'!$F$199,0)</f>
        <v/>
      </c>
      <c r="V173" s="190">
        <f>IF(IF('01_Вводные'!$B$296="Новый сезон",9-1&gt;MOD(MONTH(V$3)-9,12),FALSE),V61*CapacityAge09*'01_Вводные'!$F$199,0)</f>
        <v/>
      </c>
      <c r="W173" s="190">
        <f>IF(IF('01_Вводные'!$B$296="Новый сезон",9-1&gt;MOD(MONTH(W$3)-9,12),FALSE),W61*CapacityAge09*'01_Вводные'!$F$199,0)</f>
        <v/>
      </c>
      <c r="X173" s="190">
        <f>IF(IF('01_Вводные'!$B$296="Новый сезон",9-1&gt;MOD(MONTH(X$3)-9,12),FALSE),X61*CapacityAge09*'01_Вводные'!$F$199,0)</f>
        <v/>
      </c>
      <c r="Y173" s="190">
        <f>IF(IF('01_Вводные'!$B$296="Новый сезон",9-1&gt;MOD(MONTH(Y$3)-9,12),FALSE),Y61*CapacityAge09*'01_Вводные'!$F$199,0)</f>
        <v/>
      </c>
      <c r="Z173" s="190">
        <f>IF(IF('01_Вводные'!$B$296="Новый сезон",9-1&gt;MOD(MONTH(Z$3)-9,12),FALSE),Z61*CapacityAge09*'01_Вводные'!$F$199,0)</f>
        <v/>
      </c>
      <c r="AA173" s="190">
        <f>IF(IF('01_Вводные'!$B$296="Новый сезон",9-1&gt;MOD(MONTH(AA$3)-9,12),FALSE),AA61*CapacityAge09*'01_Вводные'!$F$199,0)</f>
        <v/>
      </c>
      <c r="AB173" s="190">
        <f>IF(IF('01_Вводные'!$B$296="Новый сезон",9-1&gt;MOD(MONTH(AB$3)-9,12),FALSE),AB61*CapacityAge09*'01_Вводные'!$F$199,0)</f>
        <v/>
      </c>
      <c r="AC173" s="190">
        <f>IF(IF('01_Вводные'!$B$296="Новый сезон",9-1&gt;MOD(MONTH(AC$3)-9,12),FALSE),AC61*CapacityAge09*'01_Вводные'!$F$199,0)</f>
        <v/>
      </c>
      <c r="AD173" s="190">
        <f>IF(IF('01_Вводные'!$B$296="Новый сезон",9-1&gt;MOD(MONTH(AD$3)-9,12),FALSE),AD61*CapacityAge09*'01_Вводные'!$F$199,0)</f>
        <v/>
      </c>
      <c r="AE173" s="190">
        <f>IF(IF('01_Вводные'!$B$296="Новый сезон",9-1&gt;MOD(MONTH(AE$3)-9,12),FALSE),AE61*CapacityAge09*'01_Вводные'!$F$199,0)</f>
        <v/>
      </c>
      <c r="AF173" s="190">
        <f>IF(IF('01_Вводные'!$B$296="Новый сезон",9-1&gt;MOD(MONTH(AF$3)-9,12),FALSE),AF61*CapacityAge09*'01_Вводные'!$F$199,0)</f>
        <v/>
      </c>
      <c r="AG173" s="190">
        <f>IF(IF('01_Вводные'!$B$296="Новый сезон",9-1&gt;MOD(MONTH(AG$3)-9,12),FALSE),AG61*CapacityAge09*'01_Вводные'!$F$199,0)</f>
        <v/>
      </c>
      <c r="AH173" s="190">
        <f>IF(IF('01_Вводные'!$B$296="Новый сезон",9-1&gt;MOD(MONTH(AH$3)-9,12),FALSE),AH61*CapacityAge09*'01_Вводные'!$F$199,0)</f>
        <v/>
      </c>
      <c r="AI173" s="190">
        <f>IF(IF('01_Вводные'!$B$296="Новый сезон",9-1&gt;MOD(MONTH(AI$3)-9,12),FALSE),AI61*CapacityAge09*'01_Вводные'!$F$199,0)</f>
        <v/>
      </c>
      <c r="AJ173" s="190">
        <f>IF(IF('01_Вводные'!$B$296="Новый сезон",9-1&gt;MOD(MONTH(AJ$3)-9,12),FALSE),AJ61*CapacityAge09*'01_Вводные'!$F$199,0)</f>
        <v/>
      </c>
      <c r="AK173" s="190">
        <f>IF(IF('01_Вводные'!$B$296="Новый сезон",9-1&gt;MOD(MONTH(AK$3)-9,12),FALSE),AK61*CapacityAge09*'01_Вводные'!$F$199,0)</f>
        <v/>
      </c>
      <c r="AL173" s="190">
        <f>IF(IF('01_Вводные'!$B$296="Новый сезон",9-1&gt;MOD(MONTH(AL$3)-9,12),FALSE),AL61*CapacityAge09*'01_Вводные'!$F$199,0)</f>
        <v/>
      </c>
      <c r="AM173" s="190">
        <f>IF(IF('01_Вводные'!$B$296="Новый сезон",9-1&gt;MOD(MONTH(AM$3)-9,12),FALSE),AM61*CapacityAge09*'01_Вводные'!$F$199,0)</f>
        <v/>
      </c>
      <c r="AN173" s="190">
        <f>IF(IF('01_Вводные'!$B$296="Новый сезон",9-1&gt;MOD(MONTH(AN$3)-9,12),FALSE),AN61*CapacityAge09*'01_Вводные'!$F$199,0)</f>
        <v/>
      </c>
      <c r="AO173" s="190">
        <f>IF(IF('01_Вводные'!$B$296="Новый сезон",9-1&gt;MOD(MONTH(AO$3)-9,12),FALSE),AO61*CapacityAge09*'01_Вводные'!$F$199,0)</f>
        <v/>
      </c>
      <c r="AP173" s="190">
        <f>IF(IF('01_Вводные'!$B$296="Новый сезон",9-1&gt;MOD(MONTH(AP$3)-9,12),FALSE),AP61*CapacityAge09*'01_Вводные'!$F$199,0)</f>
        <v/>
      </c>
      <c r="AQ173" s="190">
        <f>IF(IF('01_Вводные'!$B$296="Новый сезон",9-1&gt;MOD(MONTH(AQ$3)-9,12),FALSE),AQ61*CapacityAge09*'01_Вводные'!$F$199,0)</f>
        <v/>
      </c>
      <c r="AR173" s="190">
        <f>IF(IF('01_Вводные'!$B$296="Новый сезон",9-1&gt;MOD(MONTH(AR$3)-9,12),FALSE),AR61*CapacityAge09*'01_Вводные'!$F$199,0)</f>
        <v/>
      </c>
      <c r="AS173" s="190">
        <f>IF(IF('01_Вводные'!$B$296="Новый сезон",9-1&gt;MOD(MONTH(AS$3)-9,12),FALSE),AS61*CapacityAge09*'01_Вводные'!$F$199,0)</f>
        <v/>
      </c>
      <c r="AT173" s="190">
        <f>IF(IF('01_Вводные'!$B$296="Новый сезон",9-1&gt;MOD(MONTH(AT$3)-9,12),FALSE),AT61*CapacityAge09*'01_Вводные'!$F$199,0)</f>
        <v/>
      </c>
      <c r="AU173" s="190">
        <f>IF(IF('01_Вводные'!$B$296="Новый сезон",9-1&gt;MOD(MONTH(AU$3)-9,12),FALSE),AU61*CapacityAge09*'01_Вводные'!$F$199,0)</f>
        <v/>
      </c>
      <c r="AV173" s="190">
        <f>IF(IF('01_Вводные'!$B$296="Новый сезон",9-1&gt;MOD(MONTH(AV$3)-9,12),FALSE),AV61*CapacityAge09*'01_Вводные'!$F$199,0)</f>
        <v/>
      </c>
      <c r="AW173" s="190">
        <f>IF(IF('01_Вводные'!$B$296="Новый сезон",9-1&gt;MOD(MONTH(AW$3)-9,12),FALSE),AW61*CapacityAge09*'01_Вводные'!$F$199,0)</f>
        <v/>
      </c>
      <c r="AX173" s="190">
        <f>IF(IF('01_Вводные'!$B$296="Новый сезон",9-1&gt;MOD(MONTH(AX$3)-9,12),FALSE),AX61*CapacityAge09*'01_Вводные'!$F$199,0)</f>
        <v/>
      </c>
      <c r="AY173" s="190">
        <f>IF(IF('01_Вводные'!$B$296="Новый сезон",9-1&gt;MOD(MONTH(AY$3)-9,12),FALSE),AY61*CapacityAge09*'01_Вводные'!$F$199,0)</f>
        <v/>
      </c>
      <c r="AZ173" s="190">
        <f>IF(IF('01_Вводные'!$B$296="Новый сезон",9-1&gt;MOD(MONTH(AZ$3)-9,12),FALSE),AZ61*CapacityAge09*'01_Вводные'!$F$199,0)</f>
        <v/>
      </c>
      <c r="BA173" s="190">
        <f>IF(IF('01_Вводные'!$B$296="Новый сезон",9-1&gt;MOD(MONTH(BA$3)-9,12),FALSE),BA61*CapacityAge09*'01_Вводные'!$F$199,0)</f>
        <v/>
      </c>
      <c r="BB173" s="190">
        <f>IF(IF('01_Вводные'!$B$296="Новый сезон",9-1&gt;MOD(MONTH(BB$3)-9,12),FALSE),BB61*CapacityAge09*'01_Вводные'!$F$199,0)</f>
        <v/>
      </c>
      <c r="BC173" s="190">
        <f>IF(IF('01_Вводные'!$B$296="Новый сезон",9-1&gt;MOD(MONTH(BC$3)-9,12),FALSE),BC61*CapacityAge09*'01_Вводные'!$F$199,0)</f>
        <v/>
      </c>
      <c r="BD173" s="190">
        <f>IF(IF('01_Вводные'!$B$296="Новый сезон",9-1&gt;MOD(MONTH(BD$3)-9,12),FALSE),BD61*CapacityAge09*'01_Вводные'!$F$199,0)</f>
        <v/>
      </c>
      <c r="BE173" s="190">
        <f>IF(IF('01_Вводные'!$B$296="Новый сезон",9-1&gt;MOD(MONTH(BE$3)-9,12),FALSE),BE61*CapacityAge09*'01_Вводные'!$F$199,0)</f>
        <v/>
      </c>
      <c r="BF173" s="190">
        <f>IF(IF('01_Вводные'!$B$296="Новый сезон",9-1&gt;MOD(MONTH(BF$3)-9,12),FALSE),BF61*CapacityAge09*'01_Вводные'!$F$199,0)</f>
        <v/>
      </c>
      <c r="BG173" s="190">
        <f>IF(IF('01_Вводные'!$B$296="Новый сезон",9-1&gt;MOD(MONTH(BG$3)-9,12),FALSE),BG61*CapacityAge09*'01_Вводные'!$F$199,0)</f>
        <v/>
      </c>
      <c r="BH173" s="190">
        <f>IF(IF('01_Вводные'!$B$296="Новый сезон",9-1&gt;MOD(MONTH(BH$3)-9,12),FALSE),BH61*CapacityAge09*'01_Вводные'!$F$199,0)</f>
        <v/>
      </c>
      <c r="BI173" s="190">
        <f>IF(IF('01_Вводные'!$B$296="Новый сезон",9-1&gt;MOD(MONTH(BI$3)-9,12),FALSE),BI61*CapacityAge09*'01_Вводные'!$F$199,0)</f>
        <v/>
      </c>
      <c r="BJ173" s="190">
        <f>IF(IF('01_Вводные'!$B$296="Новый сезон",9-1&gt;MOD(MONTH(BJ$3)-9,12),FALSE),BJ61*CapacityAge09*'01_Вводные'!$F$199,0)</f>
        <v/>
      </c>
      <c r="BK173" s="190">
        <f>IF(IF('01_Вводные'!$B$296="Новый сезон",9-1&gt;MOD(MONTH(BK$3)-9,12),FALSE),BK61*CapacityAge09*'01_Вводные'!$F$199,0)</f>
        <v/>
      </c>
      <c r="BL173" s="190">
        <f>IF(IF('01_Вводные'!$B$296="Новый сезон",9-1&gt;MOD(MONTH(BL$3)-9,12),FALSE),BL61*CapacityAge09*'01_Вводные'!$F$199,0)</f>
        <v/>
      </c>
      <c r="BM173" s="190">
        <f>IF(IF('01_Вводные'!$B$296="Новый сезон",9-1&gt;MOD(MONTH(BM$3)-9,12),FALSE),BM61*CapacityAge09*'01_Вводные'!$F$199,0)</f>
        <v/>
      </c>
      <c r="BN173" s="190">
        <f>IF(IF('01_Вводные'!$B$296="Новый сезон",9-1&gt;MOD(MONTH(BN$3)-9,12),FALSE),BN61*CapacityAge09*'01_Вводные'!$F$199,0)</f>
        <v/>
      </c>
      <c r="BO173" s="190">
        <f>IF(IF('01_Вводные'!$B$296="Новый сезон",9-1&gt;MOD(MONTH(BO$3)-9,12),FALSE),BO61*CapacityAge09*'01_Вводные'!$F$199,0)</f>
        <v/>
      </c>
    </row>
    <row r="174" hidden="1" outlineLevel="1">
      <c r="A174" t="inlineStr">
        <is>
          <t>10 мес.</t>
        </is>
      </c>
      <c r="B174" s="190">
        <f>IF(IF('01_Вводные'!$B$296="Новый сезон",10-1&gt;MOD(MONTH(B$3)-9,12),FALSE),B62*CapacityAge10*'01_Вводные'!$F$199,0)</f>
        <v/>
      </c>
      <c r="C174" s="190">
        <f>IF(IF('01_Вводные'!$B$296="Новый сезон",10-1&gt;MOD(MONTH(C$3)-9,12),FALSE),C62*CapacityAge10*'01_Вводные'!$F$199,0)</f>
        <v/>
      </c>
      <c r="D174" s="190">
        <f>IF(IF('01_Вводные'!$B$296="Новый сезон",10-1&gt;MOD(MONTH(D$3)-9,12),FALSE),D62*CapacityAge10*'01_Вводные'!$F$199,0)</f>
        <v/>
      </c>
      <c r="E174" s="190">
        <f>IF(IF('01_Вводные'!$B$296="Новый сезон",10-1&gt;MOD(MONTH(E$3)-9,12),FALSE),E62*CapacityAge10*'01_Вводные'!$F$199,0)</f>
        <v/>
      </c>
      <c r="F174" s="190">
        <f>IF(IF('01_Вводные'!$B$296="Новый сезон",10-1&gt;MOD(MONTH(F$3)-9,12),FALSE),F62*CapacityAge10*'01_Вводные'!$F$199,0)</f>
        <v/>
      </c>
      <c r="G174" s="190">
        <f>IF(IF('01_Вводные'!$B$296="Новый сезон",10-1&gt;MOD(MONTH(G$3)-9,12),FALSE),G62*CapacityAge10*'01_Вводные'!$F$199,0)</f>
        <v/>
      </c>
      <c r="H174" s="190">
        <f>IF(IF('01_Вводные'!$B$296="Новый сезон",10-1&gt;MOD(MONTH(H$3)-9,12),FALSE),H62*CapacityAge10*'01_Вводные'!$F$199,0)</f>
        <v/>
      </c>
      <c r="I174" s="190">
        <f>IF(IF('01_Вводные'!$B$296="Новый сезон",10-1&gt;MOD(MONTH(I$3)-9,12),FALSE),I62*CapacityAge10*'01_Вводные'!$F$199,0)</f>
        <v/>
      </c>
      <c r="J174" s="190">
        <f>IF(IF('01_Вводные'!$B$296="Новый сезон",10-1&gt;MOD(MONTH(J$3)-9,12),FALSE),J62*CapacityAge10*'01_Вводные'!$F$199,0)</f>
        <v/>
      </c>
      <c r="K174" s="190">
        <f>IF(IF('01_Вводные'!$B$296="Новый сезон",10-1&gt;MOD(MONTH(K$3)-9,12),FALSE),K62*CapacityAge10*'01_Вводные'!$F$199,0)</f>
        <v/>
      </c>
      <c r="L174" s="190">
        <f>IF(IF('01_Вводные'!$B$296="Новый сезон",10-1&gt;MOD(MONTH(L$3)-9,12),FALSE),L62*CapacityAge10*'01_Вводные'!$F$199,0)</f>
        <v/>
      </c>
      <c r="M174" s="190">
        <f>IF(IF('01_Вводные'!$B$296="Новый сезон",10-1&gt;MOD(MONTH(M$3)-9,12),FALSE),M62*CapacityAge10*'01_Вводные'!$F$199,0)</f>
        <v/>
      </c>
      <c r="N174" s="190">
        <f>IF(IF('01_Вводные'!$B$296="Новый сезон",10-1&gt;MOD(MONTH(N$3)-9,12),FALSE),N62*CapacityAge10*'01_Вводные'!$F$199,0)</f>
        <v/>
      </c>
      <c r="O174" s="190">
        <f>IF(IF('01_Вводные'!$B$296="Новый сезон",10-1&gt;MOD(MONTH(O$3)-9,12),FALSE),O62*CapacityAge10*'01_Вводные'!$F$199,0)</f>
        <v/>
      </c>
      <c r="P174" s="190">
        <f>IF(IF('01_Вводные'!$B$296="Новый сезон",10-1&gt;MOD(MONTH(P$3)-9,12),FALSE),P62*CapacityAge10*'01_Вводные'!$F$199,0)</f>
        <v/>
      </c>
      <c r="Q174" s="190">
        <f>IF(IF('01_Вводные'!$B$296="Новый сезон",10-1&gt;MOD(MONTH(Q$3)-9,12),FALSE),Q62*CapacityAge10*'01_Вводные'!$F$199,0)</f>
        <v/>
      </c>
      <c r="R174" s="190">
        <f>IF(IF('01_Вводные'!$B$296="Новый сезон",10-1&gt;MOD(MONTH(R$3)-9,12),FALSE),R62*CapacityAge10*'01_Вводные'!$F$199,0)</f>
        <v/>
      </c>
      <c r="S174" s="190">
        <f>IF(IF('01_Вводные'!$B$296="Новый сезон",10-1&gt;MOD(MONTH(S$3)-9,12),FALSE),S62*CapacityAge10*'01_Вводные'!$F$199,0)</f>
        <v/>
      </c>
      <c r="T174" s="190">
        <f>IF(IF('01_Вводные'!$B$296="Новый сезон",10-1&gt;MOD(MONTH(T$3)-9,12),FALSE),T62*CapacityAge10*'01_Вводные'!$F$199,0)</f>
        <v/>
      </c>
      <c r="U174" s="190">
        <f>IF(IF('01_Вводные'!$B$296="Новый сезон",10-1&gt;MOD(MONTH(U$3)-9,12),FALSE),U62*CapacityAge10*'01_Вводные'!$F$199,0)</f>
        <v/>
      </c>
      <c r="V174" s="190">
        <f>IF(IF('01_Вводные'!$B$296="Новый сезон",10-1&gt;MOD(MONTH(V$3)-9,12),FALSE),V62*CapacityAge10*'01_Вводные'!$F$199,0)</f>
        <v/>
      </c>
      <c r="W174" s="190">
        <f>IF(IF('01_Вводные'!$B$296="Новый сезон",10-1&gt;MOD(MONTH(W$3)-9,12),FALSE),W62*CapacityAge10*'01_Вводные'!$F$199,0)</f>
        <v/>
      </c>
      <c r="X174" s="190">
        <f>IF(IF('01_Вводные'!$B$296="Новый сезон",10-1&gt;MOD(MONTH(X$3)-9,12),FALSE),X62*CapacityAge10*'01_Вводные'!$F$199,0)</f>
        <v/>
      </c>
      <c r="Y174" s="190">
        <f>IF(IF('01_Вводные'!$B$296="Новый сезон",10-1&gt;MOD(MONTH(Y$3)-9,12),FALSE),Y62*CapacityAge10*'01_Вводные'!$F$199,0)</f>
        <v/>
      </c>
      <c r="Z174" s="190">
        <f>IF(IF('01_Вводные'!$B$296="Новый сезон",10-1&gt;MOD(MONTH(Z$3)-9,12),FALSE),Z62*CapacityAge10*'01_Вводные'!$F$199,0)</f>
        <v/>
      </c>
      <c r="AA174" s="190">
        <f>IF(IF('01_Вводные'!$B$296="Новый сезон",10-1&gt;MOD(MONTH(AA$3)-9,12),FALSE),AA62*CapacityAge10*'01_Вводные'!$F$199,0)</f>
        <v/>
      </c>
      <c r="AB174" s="190">
        <f>IF(IF('01_Вводные'!$B$296="Новый сезон",10-1&gt;MOD(MONTH(AB$3)-9,12),FALSE),AB62*CapacityAge10*'01_Вводные'!$F$199,0)</f>
        <v/>
      </c>
      <c r="AC174" s="190">
        <f>IF(IF('01_Вводные'!$B$296="Новый сезон",10-1&gt;MOD(MONTH(AC$3)-9,12),FALSE),AC62*CapacityAge10*'01_Вводные'!$F$199,0)</f>
        <v/>
      </c>
      <c r="AD174" s="190">
        <f>IF(IF('01_Вводные'!$B$296="Новый сезон",10-1&gt;MOD(MONTH(AD$3)-9,12),FALSE),AD62*CapacityAge10*'01_Вводные'!$F$199,0)</f>
        <v/>
      </c>
      <c r="AE174" s="190">
        <f>IF(IF('01_Вводные'!$B$296="Новый сезон",10-1&gt;MOD(MONTH(AE$3)-9,12),FALSE),AE62*CapacityAge10*'01_Вводные'!$F$199,0)</f>
        <v/>
      </c>
      <c r="AF174" s="190">
        <f>IF(IF('01_Вводные'!$B$296="Новый сезон",10-1&gt;MOD(MONTH(AF$3)-9,12),FALSE),AF62*CapacityAge10*'01_Вводные'!$F$199,0)</f>
        <v/>
      </c>
      <c r="AG174" s="190">
        <f>IF(IF('01_Вводные'!$B$296="Новый сезон",10-1&gt;MOD(MONTH(AG$3)-9,12),FALSE),AG62*CapacityAge10*'01_Вводные'!$F$199,0)</f>
        <v/>
      </c>
      <c r="AH174" s="190">
        <f>IF(IF('01_Вводные'!$B$296="Новый сезон",10-1&gt;MOD(MONTH(AH$3)-9,12),FALSE),AH62*CapacityAge10*'01_Вводные'!$F$199,0)</f>
        <v/>
      </c>
      <c r="AI174" s="190">
        <f>IF(IF('01_Вводные'!$B$296="Новый сезон",10-1&gt;MOD(MONTH(AI$3)-9,12),FALSE),AI62*CapacityAge10*'01_Вводные'!$F$199,0)</f>
        <v/>
      </c>
      <c r="AJ174" s="190">
        <f>IF(IF('01_Вводные'!$B$296="Новый сезон",10-1&gt;MOD(MONTH(AJ$3)-9,12),FALSE),AJ62*CapacityAge10*'01_Вводные'!$F$199,0)</f>
        <v/>
      </c>
      <c r="AK174" s="190">
        <f>IF(IF('01_Вводные'!$B$296="Новый сезон",10-1&gt;MOD(MONTH(AK$3)-9,12),FALSE),AK62*CapacityAge10*'01_Вводные'!$F$199,0)</f>
        <v/>
      </c>
      <c r="AL174" s="190">
        <f>IF(IF('01_Вводные'!$B$296="Новый сезон",10-1&gt;MOD(MONTH(AL$3)-9,12),FALSE),AL62*CapacityAge10*'01_Вводные'!$F$199,0)</f>
        <v/>
      </c>
      <c r="AM174" s="190">
        <f>IF(IF('01_Вводные'!$B$296="Новый сезон",10-1&gt;MOD(MONTH(AM$3)-9,12),FALSE),AM62*CapacityAge10*'01_Вводные'!$F$199,0)</f>
        <v/>
      </c>
      <c r="AN174" s="190">
        <f>IF(IF('01_Вводные'!$B$296="Новый сезон",10-1&gt;MOD(MONTH(AN$3)-9,12),FALSE),AN62*CapacityAge10*'01_Вводные'!$F$199,0)</f>
        <v/>
      </c>
      <c r="AO174" s="190">
        <f>IF(IF('01_Вводные'!$B$296="Новый сезон",10-1&gt;MOD(MONTH(AO$3)-9,12),FALSE),AO62*CapacityAge10*'01_Вводные'!$F$199,0)</f>
        <v/>
      </c>
      <c r="AP174" s="190">
        <f>IF(IF('01_Вводные'!$B$296="Новый сезон",10-1&gt;MOD(MONTH(AP$3)-9,12),FALSE),AP62*CapacityAge10*'01_Вводные'!$F$199,0)</f>
        <v/>
      </c>
      <c r="AQ174" s="190">
        <f>IF(IF('01_Вводные'!$B$296="Новый сезон",10-1&gt;MOD(MONTH(AQ$3)-9,12),FALSE),AQ62*CapacityAge10*'01_Вводные'!$F$199,0)</f>
        <v/>
      </c>
      <c r="AR174" s="190">
        <f>IF(IF('01_Вводные'!$B$296="Новый сезон",10-1&gt;MOD(MONTH(AR$3)-9,12),FALSE),AR62*CapacityAge10*'01_Вводные'!$F$199,0)</f>
        <v/>
      </c>
      <c r="AS174" s="190">
        <f>IF(IF('01_Вводные'!$B$296="Новый сезон",10-1&gt;MOD(MONTH(AS$3)-9,12),FALSE),AS62*CapacityAge10*'01_Вводные'!$F$199,0)</f>
        <v/>
      </c>
      <c r="AT174" s="190">
        <f>IF(IF('01_Вводные'!$B$296="Новый сезон",10-1&gt;MOD(MONTH(AT$3)-9,12),FALSE),AT62*CapacityAge10*'01_Вводные'!$F$199,0)</f>
        <v/>
      </c>
      <c r="AU174" s="190">
        <f>IF(IF('01_Вводные'!$B$296="Новый сезон",10-1&gt;MOD(MONTH(AU$3)-9,12),FALSE),AU62*CapacityAge10*'01_Вводные'!$F$199,0)</f>
        <v/>
      </c>
      <c r="AV174" s="190">
        <f>IF(IF('01_Вводные'!$B$296="Новый сезон",10-1&gt;MOD(MONTH(AV$3)-9,12),FALSE),AV62*CapacityAge10*'01_Вводные'!$F$199,0)</f>
        <v/>
      </c>
      <c r="AW174" s="190">
        <f>IF(IF('01_Вводные'!$B$296="Новый сезон",10-1&gt;MOD(MONTH(AW$3)-9,12),FALSE),AW62*CapacityAge10*'01_Вводные'!$F$199,0)</f>
        <v/>
      </c>
      <c r="AX174" s="190">
        <f>IF(IF('01_Вводные'!$B$296="Новый сезон",10-1&gt;MOD(MONTH(AX$3)-9,12),FALSE),AX62*CapacityAge10*'01_Вводные'!$F$199,0)</f>
        <v/>
      </c>
      <c r="AY174" s="190">
        <f>IF(IF('01_Вводные'!$B$296="Новый сезон",10-1&gt;MOD(MONTH(AY$3)-9,12),FALSE),AY62*CapacityAge10*'01_Вводные'!$F$199,0)</f>
        <v/>
      </c>
      <c r="AZ174" s="190">
        <f>IF(IF('01_Вводные'!$B$296="Новый сезон",10-1&gt;MOD(MONTH(AZ$3)-9,12),FALSE),AZ62*CapacityAge10*'01_Вводные'!$F$199,0)</f>
        <v/>
      </c>
      <c r="BA174" s="190">
        <f>IF(IF('01_Вводные'!$B$296="Новый сезон",10-1&gt;MOD(MONTH(BA$3)-9,12),FALSE),BA62*CapacityAge10*'01_Вводные'!$F$199,0)</f>
        <v/>
      </c>
      <c r="BB174" s="190">
        <f>IF(IF('01_Вводные'!$B$296="Новый сезон",10-1&gt;MOD(MONTH(BB$3)-9,12),FALSE),BB62*CapacityAge10*'01_Вводные'!$F$199,0)</f>
        <v/>
      </c>
      <c r="BC174" s="190">
        <f>IF(IF('01_Вводные'!$B$296="Новый сезон",10-1&gt;MOD(MONTH(BC$3)-9,12),FALSE),BC62*CapacityAge10*'01_Вводные'!$F$199,0)</f>
        <v/>
      </c>
      <c r="BD174" s="190">
        <f>IF(IF('01_Вводные'!$B$296="Новый сезон",10-1&gt;MOD(MONTH(BD$3)-9,12),FALSE),BD62*CapacityAge10*'01_Вводные'!$F$199,0)</f>
        <v/>
      </c>
      <c r="BE174" s="190">
        <f>IF(IF('01_Вводные'!$B$296="Новый сезон",10-1&gt;MOD(MONTH(BE$3)-9,12),FALSE),BE62*CapacityAge10*'01_Вводные'!$F$199,0)</f>
        <v/>
      </c>
      <c r="BF174" s="190">
        <f>IF(IF('01_Вводные'!$B$296="Новый сезон",10-1&gt;MOD(MONTH(BF$3)-9,12),FALSE),BF62*CapacityAge10*'01_Вводные'!$F$199,0)</f>
        <v/>
      </c>
      <c r="BG174" s="190">
        <f>IF(IF('01_Вводные'!$B$296="Новый сезон",10-1&gt;MOD(MONTH(BG$3)-9,12),FALSE),BG62*CapacityAge10*'01_Вводные'!$F$199,0)</f>
        <v/>
      </c>
      <c r="BH174" s="190">
        <f>IF(IF('01_Вводные'!$B$296="Новый сезон",10-1&gt;MOD(MONTH(BH$3)-9,12),FALSE),BH62*CapacityAge10*'01_Вводные'!$F$199,0)</f>
        <v/>
      </c>
      <c r="BI174" s="190">
        <f>IF(IF('01_Вводные'!$B$296="Новый сезон",10-1&gt;MOD(MONTH(BI$3)-9,12),FALSE),BI62*CapacityAge10*'01_Вводные'!$F$199,0)</f>
        <v/>
      </c>
      <c r="BJ174" s="190">
        <f>IF(IF('01_Вводные'!$B$296="Новый сезон",10-1&gt;MOD(MONTH(BJ$3)-9,12),FALSE),BJ62*CapacityAge10*'01_Вводные'!$F$199,0)</f>
        <v/>
      </c>
      <c r="BK174" s="190">
        <f>IF(IF('01_Вводные'!$B$296="Новый сезон",10-1&gt;MOD(MONTH(BK$3)-9,12),FALSE),BK62*CapacityAge10*'01_Вводные'!$F$199,0)</f>
        <v/>
      </c>
      <c r="BL174" s="190">
        <f>IF(IF('01_Вводные'!$B$296="Новый сезон",10-1&gt;MOD(MONTH(BL$3)-9,12),FALSE),BL62*CapacityAge10*'01_Вводные'!$F$199,0)</f>
        <v/>
      </c>
      <c r="BM174" s="190">
        <f>IF(IF('01_Вводные'!$B$296="Новый сезон",10-1&gt;MOD(MONTH(BM$3)-9,12),FALSE),BM62*CapacityAge10*'01_Вводные'!$F$199,0)</f>
        <v/>
      </c>
      <c r="BN174" s="190">
        <f>IF(IF('01_Вводные'!$B$296="Новый сезон",10-1&gt;MOD(MONTH(BN$3)-9,12),FALSE),BN62*CapacityAge10*'01_Вводные'!$F$199,0)</f>
        <v/>
      </c>
      <c r="BO174" s="190">
        <f>IF(IF('01_Вводные'!$B$296="Новый сезон",10-1&gt;MOD(MONTH(BO$3)-9,12),FALSE),BO62*CapacityAge10*'01_Вводные'!$F$199,0)</f>
        <v/>
      </c>
    </row>
    <row r="175" hidden="1" outlineLevel="1">
      <c r="A175" t="inlineStr">
        <is>
          <t>11 мес.</t>
        </is>
      </c>
      <c r="B175" s="190">
        <f>IF(IF('01_Вводные'!$B$296="Новый сезон",11-1&gt;MOD(MONTH(B$3)-9,12),FALSE),B63*CapacityAge11*'01_Вводные'!$F$199,0)</f>
        <v/>
      </c>
      <c r="C175" s="190">
        <f>IF(IF('01_Вводные'!$B$296="Новый сезон",11-1&gt;MOD(MONTH(C$3)-9,12),FALSE),C63*CapacityAge11*'01_Вводные'!$F$199,0)</f>
        <v/>
      </c>
      <c r="D175" s="190">
        <f>IF(IF('01_Вводные'!$B$296="Новый сезон",11-1&gt;MOD(MONTH(D$3)-9,12),FALSE),D63*CapacityAge11*'01_Вводные'!$F$199,0)</f>
        <v/>
      </c>
      <c r="E175" s="190">
        <f>IF(IF('01_Вводные'!$B$296="Новый сезон",11-1&gt;MOD(MONTH(E$3)-9,12),FALSE),E63*CapacityAge11*'01_Вводные'!$F$199,0)</f>
        <v/>
      </c>
      <c r="F175" s="190">
        <f>IF(IF('01_Вводные'!$B$296="Новый сезон",11-1&gt;MOD(MONTH(F$3)-9,12),FALSE),F63*CapacityAge11*'01_Вводные'!$F$199,0)</f>
        <v/>
      </c>
      <c r="G175" s="190">
        <f>IF(IF('01_Вводные'!$B$296="Новый сезон",11-1&gt;MOD(MONTH(G$3)-9,12),FALSE),G63*CapacityAge11*'01_Вводные'!$F$199,0)</f>
        <v/>
      </c>
      <c r="H175" s="190">
        <f>IF(IF('01_Вводные'!$B$296="Новый сезон",11-1&gt;MOD(MONTH(H$3)-9,12),FALSE),H63*CapacityAge11*'01_Вводные'!$F$199,0)</f>
        <v/>
      </c>
      <c r="I175" s="190">
        <f>IF(IF('01_Вводные'!$B$296="Новый сезон",11-1&gt;MOD(MONTH(I$3)-9,12),FALSE),I63*CapacityAge11*'01_Вводные'!$F$199,0)</f>
        <v/>
      </c>
      <c r="J175" s="190">
        <f>IF(IF('01_Вводные'!$B$296="Новый сезон",11-1&gt;MOD(MONTH(J$3)-9,12),FALSE),J63*CapacityAge11*'01_Вводные'!$F$199,0)</f>
        <v/>
      </c>
      <c r="K175" s="190">
        <f>IF(IF('01_Вводные'!$B$296="Новый сезон",11-1&gt;MOD(MONTH(K$3)-9,12),FALSE),K63*CapacityAge11*'01_Вводные'!$F$199,0)</f>
        <v/>
      </c>
      <c r="L175" s="190">
        <f>IF(IF('01_Вводные'!$B$296="Новый сезон",11-1&gt;MOD(MONTH(L$3)-9,12),FALSE),L63*CapacityAge11*'01_Вводные'!$F$199,0)</f>
        <v/>
      </c>
      <c r="M175" s="190">
        <f>IF(IF('01_Вводные'!$B$296="Новый сезон",11-1&gt;MOD(MONTH(M$3)-9,12),FALSE),M63*CapacityAge11*'01_Вводные'!$F$199,0)</f>
        <v/>
      </c>
      <c r="N175" s="190">
        <f>IF(IF('01_Вводные'!$B$296="Новый сезон",11-1&gt;MOD(MONTH(N$3)-9,12),FALSE),N63*CapacityAge11*'01_Вводные'!$F$199,0)</f>
        <v/>
      </c>
      <c r="O175" s="190">
        <f>IF(IF('01_Вводные'!$B$296="Новый сезон",11-1&gt;MOD(MONTH(O$3)-9,12),FALSE),O63*CapacityAge11*'01_Вводные'!$F$199,0)</f>
        <v/>
      </c>
      <c r="P175" s="190">
        <f>IF(IF('01_Вводные'!$B$296="Новый сезон",11-1&gt;MOD(MONTH(P$3)-9,12),FALSE),P63*CapacityAge11*'01_Вводные'!$F$199,0)</f>
        <v/>
      </c>
      <c r="Q175" s="190">
        <f>IF(IF('01_Вводные'!$B$296="Новый сезон",11-1&gt;MOD(MONTH(Q$3)-9,12),FALSE),Q63*CapacityAge11*'01_Вводные'!$F$199,0)</f>
        <v/>
      </c>
      <c r="R175" s="190">
        <f>IF(IF('01_Вводные'!$B$296="Новый сезон",11-1&gt;MOD(MONTH(R$3)-9,12),FALSE),R63*CapacityAge11*'01_Вводные'!$F$199,0)</f>
        <v/>
      </c>
      <c r="S175" s="190">
        <f>IF(IF('01_Вводные'!$B$296="Новый сезон",11-1&gt;MOD(MONTH(S$3)-9,12),FALSE),S63*CapacityAge11*'01_Вводные'!$F$199,0)</f>
        <v/>
      </c>
      <c r="T175" s="190">
        <f>IF(IF('01_Вводные'!$B$296="Новый сезон",11-1&gt;MOD(MONTH(T$3)-9,12),FALSE),T63*CapacityAge11*'01_Вводные'!$F$199,0)</f>
        <v/>
      </c>
      <c r="U175" s="190">
        <f>IF(IF('01_Вводные'!$B$296="Новый сезон",11-1&gt;MOD(MONTH(U$3)-9,12),FALSE),U63*CapacityAge11*'01_Вводные'!$F$199,0)</f>
        <v/>
      </c>
      <c r="V175" s="190">
        <f>IF(IF('01_Вводные'!$B$296="Новый сезон",11-1&gt;MOD(MONTH(V$3)-9,12),FALSE),V63*CapacityAge11*'01_Вводные'!$F$199,0)</f>
        <v/>
      </c>
      <c r="W175" s="190">
        <f>IF(IF('01_Вводные'!$B$296="Новый сезон",11-1&gt;MOD(MONTH(W$3)-9,12),FALSE),W63*CapacityAge11*'01_Вводные'!$F$199,0)</f>
        <v/>
      </c>
      <c r="X175" s="190">
        <f>IF(IF('01_Вводные'!$B$296="Новый сезон",11-1&gt;MOD(MONTH(X$3)-9,12),FALSE),X63*CapacityAge11*'01_Вводные'!$F$199,0)</f>
        <v/>
      </c>
      <c r="Y175" s="190">
        <f>IF(IF('01_Вводные'!$B$296="Новый сезон",11-1&gt;MOD(MONTH(Y$3)-9,12),FALSE),Y63*CapacityAge11*'01_Вводные'!$F$199,0)</f>
        <v/>
      </c>
      <c r="Z175" s="190">
        <f>IF(IF('01_Вводные'!$B$296="Новый сезон",11-1&gt;MOD(MONTH(Z$3)-9,12),FALSE),Z63*CapacityAge11*'01_Вводные'!$F$199,0)</f>
        <v/>
      </c>
      <c r="AA175" s="190">
        <f>IF(IF('01_Вводные'!$B$296="Новый сезон",11-1&gt;MOD(MONTH(AA$3)-9,12),FALSE),AA63*CapacityAge11*'01_Вводные'!$F$199,0)</f>
        <v/>
      </c>
      <c r="AB175" s="190">
        <f>IF(IF('01_Вводные'!$B$296="Новый сезон",11-1&gt;MOD(MONTH(AB$3)-9,12),FALSE),AB63*CapacityAge11*'01_Вводные'!$F$199,0)</f>
        <v/>
      </c>
      <c r="AC175" s="190">
        <f>IF(IF('01_Вводные'!$B$296="Новый сезон",11-1&gt;MOD(MONTH(AC$3)-9,12),FALSE),AC63*CapacityAge11*'01_Вводные'!$F$199,0)</f>
        <v/>
      </c>
      <c r="AD175" s="190">
        <f>IF(IF('01_Вводные'!$B$296="Новый сезон",11-1&gt;MOD(MONTH(AD$3)-9,12),FALSE),AD63*CapacityAge11*'01_Вводные'!$F$199,0)</f>
        <v/>
      </c>
      <c r="AE175" s="190">
        <f>IF(IF('01_Вводные'!$B$296="Новый сезон",11-1&gt;MOD(MONTH(AE$3)-9,12),FALSE),AE63*CapacityAge11*'01_Вводные'!$F$199,0)</f>
        <v/>
      </c>
      <c r="AF175" s="190">
        <f>IF(IF('01_Вводные'!$B$296="Новый сезон",11-1&gt;MOD(MONTH(AF$3)-9,12),FALSE),AF63*CapacityAge11*'01_Вводные'!$F$199,0)</f>
        <v/>
      </c>
      <c r="AG175" s="190">
        <f>IF(IF('01_Вводные'!$B$296="Новый сезон",11-1&gt;MOD(MONTH(AG$3)-9,12),FALSE),AG63*CapacityAge11*'01_Вводные'!$F$199,0)</f>
        <v/>
      </c>
      <c r="AH175" s="190">
        <f>IF(IF('01_Вводные'!$B$296="Новый сезон",11-1&gt;MOD(MONTH(AH$3)-9,12),FALSE),AH63*CapacityAge11*'01_Вводные'!$F$199,0)</f>
        <v/>
      </c>
      <c r="AI175" s="190">
        <f>IF(IF('01_Вводные'!$B$296="Новый сезон",11-1&gt;MOD(MONTH(AI$3)-9,12),FALSE),AI63*CapacityAge11*'01_Вводные'!$F$199,0)</f>
        <v/>
      </c>
      <c r="AJ175" s="190">
        <f>IF(IF('01_Вводные'!$B$296="Новый сезон",11-1&gt;MOD(MONTH(AJ$3)-9,12),FALSE),AJ63*CapacityAge11*'01_Вводные'!$F$199,0)</f>
        <v/>
      </c>
      <c r="AK175" s="190">
        <f>IF(IF('01_Вводные'!$B$296="Новый сезон",11-1&gt;MOD(MONTH(AK$3)-9,12),FALSE),AK63*CapacityAge11*'01_Вводные'!$F$199,0)</f>
        <v/>
      </c>
      <c r="AL175" s="190">
        <f>IF(IF('01_Вводные'!$B$296="Новый сезон",11-1&gt;MOD(MONTH(AL$3)-9,12),FALSE),AL63*CapacityAge11*'01_Вводные'!$F$199,0)</f>
        <v/>
      </c>
      <c r="AM175" s="190">
        <f>IF(IF('01_Вводные'!$B$296="Новый сезон",11-1&gt;MOD(MONTH(AM$3)-9,12),FALSE),AM63*CapacityAge11*'01_Вводные'!$F$199,0)</f>
        <v/>
      </c>
      <c r="AN175" s="190">
        <f>IF(IF('01_Вводные'!$B$296="Новый сезон",11-1&gt;MOD(MONTH(AN$3)-9,12),FALSE),AN63*CapacityAge11*'01_Вводные'!$F$199,0)</f>
        <v/>
      </c>
      <c r="AO175" s="190">
        <f>IF(IF('01_Вводные'!$B$296="Новый сезон",11-1&gt;MOD(MONTH(AO$3)-9,12),FALSE),AO63*CapacityAge11*'01_Вводные'!$F$199,0)</f>
        <v/>
      </c>
      <c r="AP175" s="190">
        <f>IF(IF('01_Вводные'!$B$296="Новый сезон",11-1&gt;MOD(MONTH(AP$3)-9,12),FALSE),AP63*CapacityAge11*'01_Вводные'!$F$199,0)</f>
        <v/>
      </c>
      <c r="AQ175" s="190">
        <f>IF(IF('01_Вводные'!$B$296="Новый сезон",11-1&gt;MOD(MONTH(AQ$3)-9,12),FALSE),AQ63*CapacityAge11*'01_Вводные'!$F$199,0)</f>
        <v/>
      </c>
      <c r="AR175" s="190">
        <f>IF(IF('01_Вводные'!$B$296="Новый сезон",11-1&gt;MOD(MONTH(AR$3)-9,12),FALSE),AR63*CapacityAge11*'01_Вводные'!$F$199,0)</f>
        <v/>
      </c>
      <c r="AS175" s="190">
        <f>IF(IF('01_Вводные'!$B$296="Новый сезон",11-1&gt;MOD(MONTH(AS$3)-9,12),FALSE),AS63*CapacityAge11*'01_Вводные'!$F$199,0)</f>
        <v/>
      </c>
      <c r="AT175" s="190">
        <f>IF(IF('01_Вводные'!$B$296="Новый сезон",11-1&gt;MOD(MONTH(AT$3)-9,12),FALSE),AT63*CapacityAge11*'01_Вводные'!$F$199,0)</f>
        <v/>
      </c>
      <c r="AU175" s="190">
        <f>IF(IF('01_Вводные'!$B$296="Новый сезон",11-1&gt;MOD(MONTH(AU$3)-9,12),FALSE),AU63*CapacityAge11*'01_Вводные'!$F$199,0)</f>
        <v/>
      </c>
      <c r="AV175" s="190">
        <f>IF(IF('01_Вводные'!$B$296="Новый сезон",11-1&gt;MOD(MONTH(AV$3)-9,12),FALSE),AV63*CapacityAge11*'01_Вводные'!$F$199,0)</f>
        <v/>
      </c>
      <c r="AW175" s="190">
        <f>IF(IF('01_Вводные'!$B$296="Новый сезон",11-1&gt;MOD(MONTH(AW$3)-9,12),FALSE),AW63*CapacityAge11*'01_Вводные'!$F$199,0)</f>
        <v/>
      </c>
      <c r="AX175" s="190">
        <f>IF(IF('01_Вводные'!$B$296="Новый сезон",11-1&gt;MOD(MONTH(AX$3)-9,12),FALSE),AX63*CapacityAge11*'01_Вводные'!$F$199,0)</f>
        <v/>
      </c>
      <c r="AY175" s="190">
        <f>IF(IF('01_Вводные'!$B$296="Новый сезон",11-1&gt;MOD(MONTH(AY$3)-9,12),FALSE),AY63*CapacityAge11*'01_Вводные'!$F$199,0)</f>
        <v/>
      </c>
      <c r="AZ175" s="190">
        <f>IF(IF('01_Вводные'!$B$296="Новый сезон",11-1&gt;MOD(MONTH(AZ$3)-9,12),FALSE),AZ63*CapacityAge11*'01_Вводные'!$F$199,0)</f>
        <v/>
      </c>
      <c r="BA175" s="190">
        <f>IF(IF('01_Вводные'!$B$296="Новый сезон",11-1&gt;MOD(MONTH(BA$3)-9,12),FALSE),BA63*CapacityAge11*'01_Вводные'!$F$199,0)</f>
        <v/>
      </c>
      <c r="BB175" s="190">
        <f>IF(IF('01_Вводные'!$B$296="Новый сезон",11-1&gt;MOD(MONTH(BB$3)-9,12),FALSE),BB63*CapacityAge11*'01_Вводные'!$F$199,0)</f>
        <v/>
      </c>
      <c r="BC175" s="190">
        <f>IF(IF('01_Вводные'!$B$296="Новый сезон",11-1&gt;MOD(MONTH(BC$3)-9,12),FALSE),BC63*CapacityAge11*'01_Вводные'!$F$199,0)</f>
        <v/>
      </c>
      <c r="BD175" s="190">
        <f>IF(IF('01_Вводные'!$B$296="Новый сезон",11-1&gt;MOD(MONTH(BD$3)-9,12),FALSE),BD63*CapacityAge11*'01_Вводные'!$F$199,0)</f>
        <v/>
      </c>
      <c r="BE175" s="190">
        <f>IF(IF('01_Вводные'!$B$296="Новый сезон",11-1&gt;MOD(MONTH(BE$3)-9,12),FALSE),BE63*CapacityAge11*'01_Вводные'!$F$199,0)</f>
        <v/>
      </c>
      <c r="BF175" s="190">
        <f>IF(IF('01_Вводные'!$B$296="Новый сезон",11-1&gt;MOD(MONTH(BF$3)-9,12),FALSE),BF63*CapacityAge11*'01_Вводные'!$F$199,0)</f>
        <v/>
      </c>
      <c r="BG175" s="190">
        <f>IF(IF('01_Вводные'!$B$296="Новый сезон",11-1&gt;MOD(MONTH(BG$3)-9,12),FALSE),BG63*CapacityAge11*'01_Вводные'!$F$199,0)</f>
        <v/>
      </c>
      <c r="BH175" s="190">
        <f>IF(IF('01_Вводные'!$B$296="Новый сезон",11-1&gt;MOD(MONTH(BH$3)-9,12),FALSE),BH63*CapacityAge11*'01_Вводные'!$F$199,0)</f>
        <v/>
      </c>
      <c r="BI175" s="190">
        <f>IF(IF('01_Вводные'!$B$296="Новый сезон",11-1&gt;MOD(MONTH(BI$3)-9,12),FALSE),BI63*CapacityAge11*'01_Вводные'!$F$199,0)</f>
        <v/>
      </c>
      <c r="BJ175" s="190">
        <f>IF(IF('01_Вводные'!$B$296="Новый сезон",11-1&gt;MOD(MONTH(BJ$3)-9,12),FALSE),BJ63*CapacityAge11*'01_Вводные'!$F$199,0)</f>
        <v/>
      </c>
      <c r="BK175" s="190">
        <f>IF(IF('01_Вводные'!$B$296="Новый сезон",11-1&gt;MOD(MONTH(BK$3)-9,12),FALSE),BK63*CapacityAge11*'01_Вводные'!$F$199,0)</f>
        <v/>
      </c>
      <c r="BL175" s="190">
        <f>IF(IF('01_Вводные'!$B$296="Новый сезон",11-1&gt;MOD(MONTH(BL$3)-9,12),FALSE),BL63*CapacityAge11*'01_Вводные'!$F$199,0)</f>
        <v/>
      </c>
      <c r="BM175" s="190">
        <f>IF(IF('01_Вводные'!$B$296="Новый сезон",11-1&gt;MOD(MONTH(BM$3)-9,12),FALSE),BM63*CapacityAge11*'01_Вводные'!$F$199,0)</f>
        <v/>
      </c>
      <c r="BN175" s="190">
        <f>IF(IF('01_Вводные'!$B$296="Новый сезон",11-1&gt;MOD(MONTH(BN$3)-9,12),FALSE),BN63*CapacityAge11*'01_Вводные'!$F$199,0)</f>
        <v/>
      </c>
      <c r="BO175" s="190">
        <f>IF(IF('01_Вводные'!$B$296="Новый сезон",11-1&gt;MOD(MONTH(BO$3)-9,12),FALSE),BO63*CapacityAge11*'01_Вводные'!$F$199,0)</f>
        <v/>
      </c>
    </row>
    <row r="176" hidden="1" outlineLevel="1">
      <c r="A176" t="inlineStr">
        <is>
          <t>12 мес.</t>
        </is>
      </c>
      <c r="B176" s="190">
        <f>IF(IF('01_Вводные'!$B$296="Новый сезон",12-1&gt;MOD(MONTH(B$3)-9,12),FALSE),B64*CapacityAge12*'01_Вводные'!$F$199,0)</f>
        <v/>
      </c>
      <c r="C176" s="190">
        <f>IF(IF('01_Вводные'!$B$296="Новый сезон",12-1&gt;MOD(MONTH(C$3)-9,12),FALSE),C64*CapacityAge12*'01_Вводные'!$F$199,0)</f>
        <v/>
      </c>
      <c r="D176" s="190">
        <f>IF(IF('01_Вводные'!$B$296="Новый сезон",12-1&gt;MOD(MONTH(D$3)-9,12),FALSE),D64*CapacityAge12*'01_Вводные'!$F$199,0)</f>
        <v/>
      </c>
      <c r="E176" s="190">
        <f>IF(IF('01_Вводные'!$B$296="Новый сезон",12-1&gt;MOD(MONTH(E$3)-9,12),FALSE),E64*CapacityAge12*'01_Вводные'!$F$199,0)</f>
        <v/>
      </c>
      <c r="F176" s="190">
        <f>IF(IF('01_Вводные'!$B$296="Новый сезон",12-1&gt;MOD(MONTH(F$3)-9,12),FALSE),F64*CapacityAge12*'01_Вводные'!$F$199,0)</f>
        <v/>
      </c>
      <c r="G176" s="190">
        <f>IF(IF('01_Вводные'!$B$296="Новый сезон",12-1&gt;MOD(MONTH(G$3)-9,12),FALSE),G64*CapacityAge12*'01_Вводные'!$F$199,0)</f>
        <v/>
      </c>
      <c r="H176" s="190">
        <f>IF(IF('01_Вводные'!$B$296="Новый сезон",12-1&gt;MOD(MONTH(H$3)-9,12),FALSE),H64*CapacityAge12*'01_Вводные'!$F$199,0)</f>
        <v/>
      </c>
      <c r="I176" s="190">
        <f>IF(IF('01_Вводные'!$B$296="Новый сезон",12-1&gt;MOD(MONTH(I$3)-9,12),FALSE),I64*CapacityAge12*'01_Вводные'!$F$199,0)</f>
        <v/>
      </c>
      <c r="J176" s="190">
        <f>IF(IF('01_Вводные'!$B$296="Новый сезон",12-1&gt;MOD(MONTH(J$3)-9,12),FALSE),J64*CapacityAge12*'01_Вводные'!$F$199,0)</f>
        <v/>
      </c>
      <c r="K176" s="190">
        <f>IF(IF('01_Вводные'!$B$296="Новый сезон",12-1&gt;MOD(MONTH(K$3)-9,12),FALSE),K64*CapacityAge12*'01_Вводные'!$F$199,0)</f>
        <v/>
      </c>
      <c r="L176" s="190">
        <f>IF(IF('01_Вводные'!$B$296="Новый сезон",12-1&gt;MOD(MONTH(L$3)-9,12),FALSE),L64*CapacityAge12*'01_Вводные'!$F$199,0)</f>
        <v/>
      </c>
      <c r="M176" s="190">
        <f>IF(IF('01_Вводные'!$B$296="Новый сезон",12-1&gt;MOD(MONTH(M$3)-9,12),FALSE),M64*CapacityAge12*'01_Вводные'!$F$199,0)</f>
        <v/>
      </c>
      <c r="N176" s="190">
        <f>IF(IF('01_Вводные'!$B$296="Новый сезон",12-1&gt;MOD(MONTH(N$3)-9,12),FALSE),N64*CapacityAge12*'01_Вводные'!$F$199,0)</f>
        <v/>
      </c>
      <c r="O176" s="190">
        <f>IF(IF('01_Вводные'!$B$296="Новый сезон",12-1&gt;MOD(MONTH(O$3)-9,12),FALSE),O64*CapacityAge12*'01_Вводные'!$F$199,0)</f>
        <v/>
      </c>
      <c r="P176" s="190">
        <f>IF(IF('01_Вводные'!$B$296="Новый сезон",12-1&gt;MOD(MONTH(P$3)-9,12),FALSE),P64*CapacityAge12*'01_Вводные'!$F$199,0)</f>
        <v/>
      </c>
      <c r="Q176" s="190">
        <f>IF(IF('01_Вводные'!$B$296="Новый сезон",12-1&gt;MOD(MONTH(Q$3)-9,12),FALSE),Q64*CapacityAge12*'01_Вводные'!$F$199,0)</f>
        <v/>
      </c>
      <c r="R176" s="190">
        <f>IF(IF('01_Вводные'!$B$296="Новый сезон",12-1&gt;MOD(MONTH(R$3)-9,12),FALSE),R64*CapacityAge12*'01_Вводные'!$F$199,0)</f>
        <v/>
      </c>
      <c r="S176" s="190">
        <f>IF(IF('01_Вводные'!$B$296="Новый сезон",12-1&gt;MOD(MONTH(S$3)-9,12),FALSE),S64*CapacityAge12*'01_Вводные'!$F$199,0)</f>
        <v/>
      </c>
      <c r="T176" s="190">
        <f>IF(IF('01_Вводные'!$B$296="Новый сезон",12-1&gt;MOD(MONTH(T$3)-9,12),FALSE),T64*CapacityAge12*'01_Вводные'!$F$199,0)</f>
        <v/>
      </c>
      <c r="U176" s="190">
        <f>IF(IF('01_Вводные'!$B$296="Новый сезон",12-1&gt;MOD(MONTH(U$3)-9,12),FALSE),U64*CapacityAge12*'01_Вводные'!$F$199,0)</f>
        <v/>
      </c>
      <c r="V176" s="190">
        <f>IF(IF('01_Вводные'!$B$296="Новый сезон",12-1&gt;MOD(MONTH(V$3)-9,12),FALSE),V64*CapacityAge12*'01_Вводные'!$F$199,0)</f>
        <v/>
      </c>
      <c r="W176" s="190">
        <f>IF(IF('01_Вводные'!$B$296="Новый сезон",12-1&gt;MOD(MONTH(W$3)-9,12),FALSE),W64*CapacityAge12*'01_Вводные'!$F$199,0)</f>
        <v/>
      </c>
      <c r="X176" s="190">
        <f>IF(IF('01_Вводные'!$B$296="Новый сезон",12-1&gt;MOD(MONTH(X$3)-9,12),FALSE),X64*CapacityAge12*'01_Вводные'!$F$199,0)</f>
        <v/>
      </c>
      <c r="Y176" s="190">
        <f>IF(IF('01_Вводные'!$B$296="Новый сезон",12-1&gt;MOD(MONTH(Y$3)-9,12),FALSE),Y64*CapacityAge12*'01_Вводные'!$F$199,0)</f>
        <v/>
      </c>
      <c r="Z176" s="190">
        <f>IF(IF('01_Вводные'!$B$296="Новый сезон",12-1&gt;MOD(MONTH(Z$3)-9,12),FALSE),Z64*CapacityAge12*'01_Вводные'!$F$199,0)</f>
        <v/>
      </c>
      <c r="AA176" s="190">
        <f>IF(IF('01_Вводные'!$B$296="Новый сезон",12-1&gt;MOD(MONTH(AA$3)-9,12),FALSE),AA64*CapacityAge12*'01_Вводные'!$F$199,0)</f>
        <v/>
      </c>
      <c r="AB176" s="190">
        <f>IF(IF('01_Вводные'!$B$296="Новый сезон",12-1&gt;MOD(MONTH(AB$3)-9,12),FALSE),AB64*CapacityAge12*'01_Вводные'!$F$199,0)</f>
        <v/>
      </c>
      <c r="AC176" s="190">
        <f>IF(IF('01_Вводные'!$B$296="Новый сезон",12-1&gt;MOD(MONTH(AC$3)-9,12),FALSE),AC64*CapacityAge12*'01_Вводные'!$F$199,0)</f>
        <v/>
      </c>
      <c r="AD176" s="190">
        <f>IF(IF('01_Вводные'!$B$296="Новый сезон",12-1&gt;MOD(MONTH(AD$3)-9,12),FALSE),AD64*CapacityAge12*'01_Вводные'!$F$199,0)</f>
        <v/>
      </c>
      <c r="AE176" s="190">
        <f>IF(IF('01_Вводные'!$B$296="Новый сезон",12-1&gt;MOD(MONTH(AE$3)-9,12),FALSE),AE64*CapacityAge12*'01_Вводные'!$F$199,0)</f>
        <v/>
      </c>
      <c r="AF176" s="190">
        <f>IF(IF('01_Вводные'!$B$296="Новый сезон",12-1&gt;MOD(MONTH(AF$3)-9,12),FALSE),AF64*CapacityAge12*'01_Вводные'!$F$199,0)</f>
        <v/>
      </c>
      <c r="AG176" s="190">
        <f>IF(IF('01_Вводные'!$B$296="Новый сезон",12-1&gt;MOD(MONTH(AG$3)-9,12),FALSE),AG64*CapacityAge12*'01_Вводные'!$F$199,0)</f>
        <v/>
      </c>
      <c r="AH176" s="190">
        <f>IF(IF('01_Вводные'!$B$296="Новый сезон",12-1&gt;MOD(MONTH(AH$3)-9,12),FALSE),AH64*CapacityAge12*'01_Вводные'!$F$199,0)</f>
        <v/>
      </c>
      <c r="AI176" s="190">
        <f>IF(IF('01_Вводные'!$B$296="Новый сезон",12-1&gt;MOD(MONTH(AI$3)-9,12),FALSE),AI64*CapacityAge12*'01_Вводные'!$F$199,0)</f>
        <v/>
      </c>
      <c r="AJ176" s="190">
        <f>IF(IF('01_Вводные'!$B$296="Новый сезон",12-1&gt;MOD(MONTH(AJ$3)-9,12),FALSE),AJ64*CapacityAge12*'01_Вводные'!$F$199,0)</f>
        <v/>
      </c>
      <c r="AK176" s="190">
        <f>IF(IF('01_Вводные'!$B$296="Новый сезон",12-1&gt;MOD(MONTH(AK$3)-9,12),FALSE),AK64*CapacityAge12*'01_Вводные'!$F$199,0)</f>
        <v/>
      </c>
      <c r="AL176" s="190">
        <f>IF(IF('01_Вводные'!$B$296="Новый сезон",12-1&gt;MOD(MONTH(AL$3)-9,12),FALSE),AL64*CapacityAge12*'01_Вводные'!$F$199,0)</f>
        <v/>
      </c>
      <c r="AM176" s="190">
        <f>IF(IF('01_Вводные'!$B$296="Новый сезон",12-1&gt;MOD(MONTH(AM$3)-9,12),FALSE),AM64*CapacityAge12*'01_Вводные'!$F$199,0)</f>
        <v/>
      </c>
      <c r="AN176" s="190">
        <f>IF(IF('01_Вводные'!$B$296="Новый сезон",12-1&gt;MOD(MONTH(AN$3)-9,12),FALSE),AN64*CapacityAge12*'01_Вводные'!$F$199,0)</f>
        <v/>
      </c>
      <c r="AO176" s="190">
        <f>IF(IF('01_Вводные'!$B$296="Новый сезон",12-1&gt;MOD(MONTH(AO$3)-9,12),FALSE),AO64*CapacityAge12*'01_Вводные'!$F$199,0)</f>
        <v/>
      </c>
      <c r="AP176" s="190">
        <f>IF(IF('01_Вводные'!$B$296="Новый сезон",12-1&gt;MOD(MONTH(AP$3)-9,12),FALSE),AP64*CapacityAge12*'01_Вводные'!$F$199,0)</f>
        <v/>
      </c>
      <c r="AQ176" s="190">
        <f>IF(IF('01_Вводные'!$B$296="Новый сезон",12-1&gt;MOD(MONTH(AQ$3)-9,12),FALSE),AQ64*CapacityAge12*'01_Вводные'!$F$199,0)</f>
        <v/>
      </c>
      <c r="AR176" s="190">
        <f>IF(IF('01_Вводные'!$B$296="Новый сезон",12-1&gt;MOD(MONTH(AR$3)-9,12),FALSE),AR64*CapacityAge12*'01_Вводные'!$F$199,0)</f>
        <v/>
      </c>
      <c r="AS176" s="190">
        <f>IF(IF('01_Вводные'!$B$296="Новый сезон",12-1&gt;MOD(MONTH(AS$3)-9,12),FALSE),AS64*CapacityAge12*'01_Вводные'!$F$199,0)</f>
        <v/>
      </c>
      <c r="AT176" s="190">
        <f>IF(IF('01_Вводные'!$B$296="Новый сезон",12-1&gt;MOD(MONTH(AT$3)-9,12),FALSE),AT64*CapacityAge12*'01_Вводные'!$F$199,0)</f>
        <v/>
      </c>
      <c r="AU176" s="190">
        <f>IF(IF('01_Вводные'!$B$296="Новый сезон",12-1&gt;MOD(MONTH(AU$3)-9,12),FALSE),AU64*CapacityAge12*'01_Вводные'!$F$199,0)</f>
        <v/>
      </c>
      <c r="AV176" s="190">
        <f>IF(IF('01_Вводные'!$B$296="Новый сезон",12-1&gt;MOD(MONTH(AV$3)-9,12),FALSE),AV64*CapacityAge12*'01_Вводные'!$F$199,0)</f>
        <v/>
      </c>
      <c r="AW176" s="190">
        <f>IF(IF('01_Вводные'!$B$296="Новый сезон",12-1&gt;MOD(MONTH(AW$3)-9,12),FALSE),AW64*CapacityAge12*'01_Вводные'!$F$199,0)</f>
        <v/>
      </c>
      <c r="AX176" s="190">
        <f>IF(IF('01_Вводные'!$B$296="Новый сезон",12-1&gt;MOD(MONTH(AX$3)-9,12),FALSE),AX64*CapacityAge12*'01_Вводные'!$F$199,0)</f>
        <v/>
      </c>
      <c r="AY176" s="190">
        <f>IF(IF('01_Вводные'!$B$296="Новый сезон",12-1&gt;MOD(MONTH(AY$3)-9,12),FALSE),AY64*CapacityAge12*'01_Вводные'!$F$199,0)</f>
        <v/>
      </c>
      <c r="AZ176" s="190">
        <f>IF(IF('01_Вводные'!$B$296="Новый сезон",12-1&gt;MOD(MONTH(AZ$3)-9,12),FALSE),AZ64*CapacityAge12*'01_Вводные'!$F$199,0)</f>
        <v/>
      </c>
      <c r="BA176" s="190">
        <f>IF(IF('01_Вводные'!$B$296="Новый сезон",12-1&gt;MOD(MONTH(BA$3)-9,12),FALSE),BA64*CapacityAge12*'01_Вводные'!$F$199,0)</f>
        <v/>
      </c>
      <c r="BB176" s="190">
        <f>IF(IF('01_Вводные'!$B$296="Новый сезон",12-1&gt;MOD(MONTH(BB$3)-9,12),FALSE),BB64*CapacityAge12*'01_Вводные'!$F$199,0)</f>
        <v/>
      </c>
      <c r="BC176" s="190">
        <f>IF(IF('01_Вводные'!$B$296="Новый сезон",12-1&gt;MOD(MONTH(BC$3)-9,12),FALSE),BC64*CapacityAge12*'01_Вводные'!$F$199,0)</f>
        <v/>
      </c>
      <c r="BD176" s="190">
        <f>IF(IF('01_Вводные'!$B$296="Новый сезон",12-1&gt;MOD(MONTH(BD$3)-9,12),FALSE),BD64*CapacityAge12*'01_Вводные'!$F$199,0)</f>
        <v/>
      </c>
      <c r="BE176" s="190">
        <f>IF(IF('01_Вводные'!$B$296="Новый сезон",12-1&gt;MOD(MONTH(BE$3)-9,12),FALSE),BE64*CapacityAge12*'01_Вводные'!$F$199,0)</f>
        <v/>
      </c>
      <c r="BF176" s="190">
        <f>IF(IF('01_Вводные'!$B$296="Новый сезон",12-1&gt;MOD(MONTH(BF$3)-9,12),FALSE),BF64*CapacityAge12*'01_Вводные'!$F$199,0)</f>
        <v/>
      </c>
      <c r="BG176" s="190">
        <f>IF(IF('01_Вводные'!$B$296="Новый сезон",12-1&gt;MOD(MONTH(BG$3)-9,12),FALSE),BG64*CapacityAge12*'01_Вводные'!$F$199,0)</f>
        <v/>
      </c>
      <c r="BH176" s="190">
        <f>IF(IF('01_Вводные'!$B$296="Новый сезон",12-1&gt;MOD(MONTH(BH$3)-9,12),FALSE),BH64*CapacityAge12*'01_Вводные'!$F$199,0)</f>
        <v/>
      </c>
      <c r="BI176" s="190">
        <f>IF(IF('01_Вводные'!$B$296="Новый сезон",12-1&gt;MOD(MONTH(BI$3)-9,12),FALSE),BI64*CapacityAge12*'01_Вводные'!$F$199,0)</f>
        <v/>
      </c>
      <c r="BJ176" s="190">
        <f>IF(IF('01_Вводные'!$B$296="Новый сезон",12-1&gt;MOD(MONTH(BJ$3)-9,12),FALSE),BJ64*CapacityAge12*'01_Вводные'!$F$199,0)</f>
        <v/>
      </c>
      <c r="BK176" s="190">
        <f>IF(IF('01_Вводные'!$B$296="Новый сезон",12-1&gt;MOD(MONTH(BK$3)-9,12),FALSE),BK64*CapacityAge12*'01_Вводные'!$F$199,0)</f>
        <v/>
      </c>
      <c r="BL176" s="190">
        <f>IF(IF('01_Вводные'!$B$296="Новый сезон",12-1&gt;MOD(MONTH(BL$3)-9,12),FALSE),BL64*CapacityAge12*'01_Вводные'!$F$199,0)</f>
        <v/>
      </c>
      <c r="BM176" s="190">
        <f>IF(IF('01_Вводные'!$B$296="Новый сезон",12-1&gt;MOD(MONTH(BM$3)-9,12),FALSE),BM64*CapacityAge12*'01_Вводные'!$F$199,0)</f>
        <v/>
      </c>
      <c r="BN176" s="190">
        <f>IF(IF('01_Вводные'!$B$296="Новый сезон",12-1&gt;MOD(MONTH(BN$3)-9,12),FALSE),BN64*CapacityAge12*'01_Вводные'!$F$199,0)</f>
        <v/>
      </c>
      <c r="BO176" s="190">
        <f>IF(IF('01_Вводные'!$B$296="Новый сезон",12-1&gt;MOD(MONTH(BO$3)-9,12),FALSE),BO64*CapacityAge12*'01_Вводные'!$F$199,0)</f>
        <v/>
      </c>
    </row>
    <row r="177" hidden="1" outlineLevel="1">
      <c r="A177" t="inlineStr">
        <is>
          <t>13 мес.</t>
        </is>
      </c>
      <c r="B177" s="191">
        <f>IF(IF('01_Вводные'!$B$296="Новый сезон",TRUE,TRUE),B65*CapacityAge13*'01_Вводные'!$F$199,0)</f>
        <v/>
      </c>
      <c r="C177" s="191">
        <f>IF(IF('01_Вводные'!$B$296="Новый сезон",TRUE,TRUE),C65*CapacityAge13*'01_Вводные'!$F$199,0)</f>
        <v/>
      </c>
      <c r="D177" s="191">
        <f>IF(IF('01_Вводные'!$B$296="Новый сезон",TRUE,TRUE),D65*CapacityAge13*'01_Вводные'!$F$199,0)</f>
        <v/>
      </c>
      <c r="E177" s="191">
        <f>IF(IF('01_Вводные'!$B$296="Новый сезон",TRUE,TRUE),E65*CapacityAge13*'01_Вводные'!$F$199,0)</f>
        <v/>
      </c>
      <c r="F177" s="191">
        <f>IF(IF('01_Вводные'!$B$296="Новый сезон",TRUE,TRUE),F65*CapacityAge13*'01_Вводные'!$F$199,0)</f>
        <v/>
      </c>
      <c r="G177" s="191">
        <f>IF(IF('01_Вводные'!$B$296="Новый сезон",TRUE,TRUE),G65*CapacityAge13*'01_Вводные'!$F$199,0)</f>
        <v/>
      </c>
      <c r="H177" s="191">
        <f>IF(IF('01_Вводные'!$B$296="Новый сезон",TRUE,TRUE),H65*CapacityAge13*'01_Вводные'!$F$199,0)</f>
        <v/>
      </c>
      <c r="I177" s="191">
        <f>IF(IF('01_Вводные'!$B$296="Новый сезон",TRUE,TRUE),I65*CapacityAge13*'01_Вводные'!$F$199,0)</f>
        <v/>
      </c>
      <c r="J177" s="191">
        <f>IF(IF('01_Вводные'!$B$296="Новый сезон",TRUE,TRUE),J65*CapacityAge13*'01_Вводные'!$F$199,0)</f>
        <v/>
      </c>
      <c r="K177" s="191">
        <f>IF(IF('01_Вводные'!$B$296="Новый сезон",TRUE,TRUE),K65*CapacityAge13*'01_Вводные'!$F$199,0)</f>
        <v/>
      </c>
      <c r="L177" s="191">
        <f>IF(IF('01_Вводные'!$B$296="Новый сезон",TRUE,TRUE),L65*CapacityAge13*'01_Вводные'!$F$199,0)</f>
        <v/>
      </c>
      <c r="M177" s="191">
        <f>IF(IF('01_Вводные'!$B$296="Новый сезон",TRUE,TRUE),M65*CapacityAge13*'01_Вводные'!$F$199,0)</f>
        <v/>
      </c>
      <c r="N177" s="191">
        <f>IF(IF('01_Вводные'!$B$296="Новый сезон",TRUE,TRUE),N65*CapacityAge13*'01_Вводные'!$F$199,0)</f>
        <v/>
      </c>
      <c r="O177" s="191">
        <f>IF(IF('01_Вводные'!$B$296="Новый сезон",TRUE,TRUE),O65*CapacityAge13*'01_Вводные'!$F$199,0)</f>
        <v/>
      </c>
      <c r="P177" s="191">
        <f>IF(IF('01_Вводные'!$B$296="Новый сезон",TRUE,TRUE),P65*CapacityAge13*'01_Вводные'!$F$199,0)</f>
        <v/>
      </c>
      <c r="Q177" s="191">
        <f>IF(IF('01_Вводные'!$B$296="Новый сезон",TRUE,TRUE),Q65*CapacityAge13*'01_Вводные'!$F$199,0)</f>
        <v/>
      </c>
      <c r="R177" s="191">
        <f>IF(IF('01_Вводные'!$B$296="Новый сезон",TRUE,TRUE),R65*CapacityAge13*'01_Вводные'!$F$199,0)</f>
        <v/>
      </c>
      <c r="S177" s="191">
        <f>IF(IF('01_Вводные'!$B$296="Новый сезон",TRUE,TRUE),S65*CapacityAge13*'01_Вводные'!$F$199,0)</f>
        <v/>
      </c>
      <c r="T177" s="191">
        <f>IF(IF('01_Вводные'!$B$296="Новый сезон",TRUE,TRUE),T65*CapacityAge13*'01_Вводные'!$F$199,0)</f>
        <v/>
      </c>
      <c r="U177" s="191">
        <f>IF(IF('01_Вводные'!$B$296="Новый сезон",TRUE,TRUE),U65*CapacityAge13*'01_Вводные'!$F$199,0)</f>
        <v/>
      </c>
      <c r="V177" s="191">
        <f>IF(IF('01_Вводные'!$B$296="Новый сезон",TRUE,TRUE),V65*CapacityAge13*'01_Вводные'!$F$199,0)</f>
        <v/>
      </c>
      <c r="W177" s="191">
        <f>IF(IF('01_Вводные'!$B$296="Новый сезон",TRUE,TRUE),W65*CapacityAge13*'01_Вводные'!$F$199,0)</f>
        <v/>
      </c>
      <c r="X177" s="191">
        <f>IF(IF('01_Вводные'!$B$296="Новый сезон",TRUE,TRUE),X65*CapacityAge13*'01_Вводные'!$F$199,0)</f>
        <v/>
      </c>
      <c r="Y177" s="191">
        <f>IF(IF('01_Вводные'!$B$296="Новый сезон",TRUE,TRUE),Y65*CapacityAge13*'01_Вводные'!$F$199,0)</f>
        <v/>
      </c>
      <c r="Z177" s="191">
        <f>IF(IF('01_Вводные'!$B$296="Новый сезон",TRUE,TRUE),Z65*CapacityAge13*'01_Вводные'!$F$199,0)</f>
        <v/>
      </c>
      <c r="AA177" s="191">
        <f>IF(IF('01_Вводные'!$B$296="Новый сезон",TRUE,TRUE),AA65*CapacityAge13*'01_Вводные'!$F$199,0)</f>
        <v/>
      </c>
      <c r="AB177" s="191">
        <f>IF(IF('01_Вводные'!$B$296="Новый сезон",TRUE,TRUE),AB65*CapacityAge13*'01_Вводные'!$F$199,0)</f>
        <v/>
      </c>
      <c r="AC177" s="191">
        <f>IF(IF('01_Вводные'!$B$296="Новый сезон",TRUE,TRUE),AC65*CapacityAge13*'01_Вводные'!$F$199,0)</f>
        <v/>
      </c>
      <c r="AD177" s="191">
        <f>IF(IF('01_Вводные'!$B$296="Новый сезон",TRUE,TRUE),AD65*CapacityAge13*'01_Вводные'!$F$199,0)</f>
        <v/>
      </c>
      <c r="AE177" s="191">
        <f>IF(IF('01_Вводные'!$B$296="Новый сезон",TRUE,TRUE),AE65*CapacityAge13*'01_Вводные'!$F$199,0)</f>
        <v/>
      </c>
      <c r="AF177" s="191">
        <f>IF(IF('01_Вводные'!$B$296="Новый сезон",TRUE,TRUE),AF65*CapacityAge13*'01_Вводные'!$F$199,0)</f>
        <v/>
      </c>
      <c r="AG177" s="191">
        <f>IF(IF('01_Вводные'!$B$296="Новый сезон",TRUE,TRUE),AG65*CapacityAge13*'01_Вводные'!$F$199,0)</f>
        <v/>
      </c>
      <c r="AH177" s="191">
        <f>IF(IF('01_Вводные'!$B$296="Новый сезон",TRUE,TRUE),AH65*CapacityAge13*'01_Вводные'!$F$199,0)</f>
        <v/>
      </c>
      <c r="AI177" s="191">
        <f>IF(IF('01_Вводные'!$B$296="Новый сезон",TRUE,TRUE),AI65*CapacityAge13*'01_Вводные'!$F$199,0)</f>
        <v/>
      </c>
      <c r="AJ177" s="191">
        <f>IF(IF('01_Вводные'!$B$296="Новый сезон",TRUE,TRUE),AJ65*CapacityAge13*'01_Вводные'!$F$199,0)</f>
        <v/>
      </c>
      <c r="AK177" s="191">
        <f>IF(IF('01_Вводные'!$B$296="Новый сезон",TRUE,TRUE),AK65*CapacityAge13*'01_Вводные'!$F$199,0)</f>
        <v/>
      </c>
      <c r="AL177" s="191">
        <f>IF(IF('01_Вводные'!$B$296="Новый сезон",TRUE,TRUE),AL65*CapacityAge13*'01_Вводные'!$F$199,0)</f>
        <v/>
      </c>
      <c r="AM177" s="191">
        <f>IF(IF('01_Вводные'!$B$296="Новый сезон",TRUE,TRUE),AM65*CapacityAge13*'01_Вводные'!$F$199,0)</f>
        <v/>
      </c>
      <c r="AN177" s="191">
        <f>IF(IF('01_Вводные'!$B$296="Новый сезон",TRUE,TRUE),AN65*CapacityAge13*'01_Вводные'!$F$199,0)</f>
        <v/>
      </c>
      <c r="AO177" s="191">
        <f>IF(IF('01_Вводные'!$B$296="Новый сезон",TRUE,TRUE),AO65*CapacityAge13*'01_Вводные'!$F$199,0)</f>
        <v/>
      </c>
      <c r="AP177" s="191">
        <f>IF(IF('01_Вводные'!$B$296="Новый сезон",TRUE,TRUE),AP65*CapacityAge13*'01_Вводные'!$F$199,0)</f>
        <v/>
      </c>
      <c r="AQ177" s="191">
        <f>IF(IF('01_Вводные'!$B$296="Новый сезон",TRUE,TRUE),AQ65*CapacityAge13*'01_Вводные'!$F$199,0)</f>
        <v/>
      </c>
      <c r="AR177" s="191">
        <f>IF(IF('01_Вводные'!$B$296="Новый сезон",TRUE,TRUE),AR65*CapacityAge13*'01_Вводные'!$F$199,0)</f>
        <v/>
      </c>
      <c r="AS177" s="191">
        <f>IF(IF('01_Вводные'!$B$296="Новый сезон",TRUE,TRUE),AS65*CapacityAge13*'01_Вводные'!$F$199,0)</f>
        <v/>
      </c>
      <c r="AT177" s="191">
        <f>IF(IF('01_Вводные'!$B$296="Новый сезон",TRUE,TRUE),AT65*CapacityAge13*'01_Вводные'!$F$199,0)</f>
        <v/>
      </c>
      <c r="AU177" s="191">
        <f>IF(IF('01_Вводные'!$B$296="Новый сезон",TRUE,TRUE),AU65*CapacityAge13*'01_Вводные'!$F$199,0)</f>
        <v/>
      </c>
      <c r="AV177" s="191">
        <f>IF(IF('01_Вводные'!$B$296="Новый сезон",TRUE,TRUE),AV65*CapacityAge13*'01_Вводные'!$F$199,0)</f>
        <v/>
      </c>
      <c r="AW177" s="191">
        <f>IF(IF('01_Вводные'!$B$296="Новый сезон",TRUE,TRUE),AW65*CapacityAge13*'01_Вводные'!$F$199,0)</f>
        <v/>
      </c>
      <c r="AX177" s="191">
        <f>IF(IF('01_Вводные'!$B$296="Новый сезон",TRUE,TRUE),AX65*CapacityAge13*'01_Вводные'!$F$199,0)</f>
        <v/>
      </c>
      <c r="AY177" s="191">
        <f>IF(IF('01_Вводные'!$B$296="Новый сезон",TRUE,TRUE),AY65*CapacityAge13*'01_Вводные'!$F$199,0)</f>
        <v/>
      </c>
      <c r="AZ177" s="191">
        <f>IF(IF('01_Вводные'!$B$296="Новый сезон",TRUE,TRUE),AZ65*CapacityAge13*'01_Вводные'!$F$199,0)</f>
        <v/>
      </c>
      <c r="BA177" s="191">
        <f>IF(IF('01_Вводные'!$B$296="Новый сезон",TRUE,TRUE),BA65*CapacityAge13*'01_Вводные'!$F$199,0)</f>
        <v/>
      </c>
      <c r="BB177" s="191">
        <f>IF(IF('01_Вводные'!$B$296="Новый сезон",TRUE,TRUE),BB65*CapacityAge13*'01_Вводные'!$F$199,0)</f>
        <v/>
      </c>
      <c r="BC177" s="191">
        <f>IF(IF('01_Вводные'!$B$296="Новый сезон",TRUE,TRUE),BC65*CapacityAge13*'01_Вводные'!$F$199,0)</f>
        <v/>
      </c>
      <c r="BD177" s="191">
        <f>IF(IF('01_Вводные'!$B$296="Новый сезон",TRUE,TRUE),BD65*CapacityAge13*'01_Вводные'!$F$199,0)</f>
        <v/>
      </c>
      <c r="BE177" s="191">
        <f>IF(IF('01_Вводные'!$B$296="Новый сезон",TRUE,TRUE),BE65*CapacityAge13*'01_Вводные'!$F$199,0)</f>
        <v/>
      </c>
      <c r="BF177" s="191">
        <f>IF(IF('01_Вводные'!$B$296="Новый сезон",TRUE,TRUE),BF65*CapacityAge13*'01_Вводные'!$F$199,0)</f>
        <v/>
      </c>
      <c r="BG177" s="191">
        <f>IF(IF('01_Вводные'!$B$296="Новый сезон",TRUE,TRUE),BG65*CapacityAge13*'01_Вводные'!$F$199,0)</f>
        <v/>
      </c>
      <c r="BH177" s="191">
        <f>IF(IF('01_Вводные'!$B$296="Новый сезон",TRUE,TRUE),BH65*CapacityAge13*'01_Вводные'!$F$199,0)</f>
        <v/>
      </c>
      <c r="BI177" s="191">
        <f>IF(IF('01_Вводные'!$B$296="Новый сезон",TRUE,TRUE),BI65*CapacityAge13*'01_Вводные'!$F$199,0)</f>
        <v/>
      </c>
      <c r="BJ177" s="191">
        <f>IF(IF('01_Вводные'!$B$296="Новый сезон",TRUE,TRUE),BJ65*CapacityAge13*'01_Вводные'!$F$199,0)</f>
        <v/>
      </c>
      <c r="BK177" s="191">
        <f>IF(IF('01_Вводные'!$B$296="Новый сезон",TRUE,TRUE),BK65*CapacityAge13*'01_Вводные'!$F$199,0)</f>
        <v/>
      </c>
      <c r="BL177" s="191">
        <f>IF(IF('01_Вводные'!$B$296="Новый сезон",TRUE,TRUE),BL65*CapacityAge13*'01_Вводные'!$F$199,0)</f>
        <v/>
      </c>
      <c r="BM177" s="191">
        <f>IF(IF('01_Вводные'!$B$296="Новый сезон",TRUE,TRUE),BM65*CapacityAge13*'01_Вводные'!$F$199,0)</f>
        <v/>
      </c>
      <c r="BN177" s="191">
        <f>IF(IF('01_Вводные'!$B$296="Новый сезон",TRUE,TRUE),BN65*CapacityAge13*'01_Вводные'!$F$199,0)</f>
        <v/>
      </c>
      <c r="BO177" s="191">
        <f>IF(IF('01_Вводные'!$B$296="Новый сезон",TRUE,TRUE),BO65*CapacityAge13*'01_Вводные'!$F$199,0)</f>
        <v/>
      </c>
    </row>
    <row r="178" hidden="1" outlineLevel="1">
      <c r="A178" t="inlineStr">
        <is>
          <t>14 мес.</t>
        </is>
      </c>
      <c r="B178" s="190">
        <f>IF(IF('01_Вводные'!$B$296="Новый сезон",TRUE,TRUE),B66*CapacityAge14*'01_Вводные'!$F$199,0)</f>
        <v/>
      </c>
      <c r="C178" s="190">
        <f>IF(IF('01_Вводные'!$B$296="Новый сезон",TRUE,TRUE),C66*CapacityAge14*'01_Вводные'!$F$199,0)</f>
        <v/>
      </c>
      <c r="D178" s="190">
        <f>IF(IF('01_Вводные'!$B$296="Новый сезон",TRUE,TRUE),D66*CapacityAge14*'01_Вводные'!$F$199,0)</f>
        <v/>
      </c>
      <c r="E178" s="190">
        <f>IF(IF('01_Вводные'!$B$296="Новый сезон",TRUE,TRUE),E66*CapacityAge14*'01_Вводные'!$F$199,0)</f>
        <v/>
      </c>
      <c r="F178" s="190">
        <f>IF(IF('01_Вводные'!$B$296="Новый сезон",TRUE,TRUE),F66*CapacityAge14*'01_Вводные'!$F$199,0)</f>
        <v/>
      </c>
      <c r="G178" s="190">
        <f>IF(IF('01_Вводные'!$B$296="Новый сезон",TRUE,TRUE),G66*CapacityAge14*'01_Вводные'!$F$199,0)</f>
        <v/>
      </c>
      <c r="H178" s="190">
        <f>IF(IF('01_Вводные'!$B$296="Новый сезон",TRUE,TRUE),H66*CapacityAge14*'01_Вводные'!$F$199,0)</f>
        <v/>
      </c>
      <c r="I178" s="190">
        <f>IF(IF('01_Вводные'!$B$296="Новый сезон",TRUE,TRUE),I66*CapacityAge14*'01_Вводные'!$F$199,0)</f>
        <v/>
      </c>
      <c r="J178" s="190">
        <f>IF(IF('01_Вводные'!$B$296="Новый сезон",TRUE,TRUE),J66*CapacityAge14*'01_Вводные'!$F$199,0)</f>
        <v/>
      </c>
      <c r="K178" s="190">
        <f>IF(IF('01_Вводные'!$B$296="Новый сезон",TRUE,TRUE),K66*CapacityAge14*'01_Вводные'!$F$199,0)</f>
        <v/>
      </c>
      <c r="L178" s="190">
        <f>IF(IF('01_Вводные'!$B$296="Новый сезон",TRUE,TRUE),L66*CapacityAge14*'01_Вводные'!$F$199,0)</f>
        <v/>
      </c>
      <c r="M178" s="190">
        <f>IF(IF('01_Вводные'!$B$296="Новый сезон",TRUE,TRUE),M66*CapacityAge14*'01_Вводные'!$F$199,0)</f>
        <v/>
      </c>
      <c r="N178" s="190">
        <f>IF(IF('01_Вводные'!$B$296="Новый сезон",TRUE,TRUE),N66*CapacityAge14*'01_Вводные'!$F$199,0)</f>
        <v/>
      </c>
      <c r="O178" s="190">
        <f>IF(IF('01_Вводные'!$B$296="Новый сезон",TRUE,TRUE),O66*CapacityAge14*'01_Вводные'!$F$199,0)</f>
        <v/>
      </c>
      <c r="P178" s="190">
        <f>IF(IF('01_Вводные'!$B$296="Новый сезон",TRUE,TRUE),P66*CapacityAge14*'01_Вводные'!$F$199,0)</f>
        <v/>
      </c>
      <c r="Q178" s="190">
        <f>IF(IF('01_Вводные'!$B$296="Новый сезон",TRUE,TRUE),Q66*CapacityAge14*'01_Вводные'!$F$199,0)</f>
        <v/>
      </c>
      <c r="R178" s="190">
        <f>IF(IF('01_Вводные'!$B$296="Новый сезон",TRUE,TRUE),R66*CapacityAge14*'01_Вводные'!$F$199,0)</f>
        <v/>
      </c>
      <c r="S178" s="190">
        <f>IF(IF('01_Вводные'!$B$296="Новый сезон",TRUE,TRUE),S66*CapacityAge14*'01_Вводные'!$F$199,0)</f>
        <v/>
      </c>
      <c r="T178" s="190">
        <f>IF(IF('01_Вводные'!$B$296="Новый сезон",TRUE,TRUE),T66*CapacityAge14*'01_Вводные'!$F$199,0)</f>
        <v/>
      </c>
      <c r="U178" s="190">
        <f>IF(IF('01_Вводные'!$B$296="Новый сезон",TRUE,TRUE),U66*CapacityAge14*'01_Вводные'!$F$199,0)</f>
        <v/>
      </c>
      <c r="V178" s="190">
        <f>IF(IF('01_Вводные'!$B$296="Новый сезон",TRUE,TRUE),V66*CapacityAge14*'01_Вводные'!$F$199,0)</f>
        <v/>
      </c>
      <c r="W178" s="190">
        <f>IF(IF('01_Вводные'!$B$296="Новый сезон",TRUE,TRUE),W66*CapacityAge14*'01_Вводные'!$F$199,0)</f>
        <v/>
      </c>
      <c r="X178" s="190">
        <f>IF(IF('01_Вводные'!$B$296="Новый сезон",TRUE,TRUE),X66*CapacityAge14*'01_Вводные'!$F$199,0)</f>
        <v/>
      </c>
      <c r="Y178" s="190">
        <f>IF(IF('01_Вводные'!$B$296="Новый сезон",TRUE,TRUE),Y66*CapacityAge14*'01_Вводные'!$F$199,0)</f>
        <v/>
      </c>
      <c r="Z178" s="190">
        <f>IF(IF('01_Вводные'!$B$296="Новый сезон",TRUE,TRUE),Z66*CapacityAge14*'01_Вводные'!$F$199,0)</f>
        <v/>
      </c>
      <c r="AA178" s="190">
        <f>IF(IF('01_Вводные'!$B$296="Новый сезон",TRUE,TRUE),AA66*CapacityAge14*'01_Вводные'!$F$199,0)</f>
        <v/>
      </c>
      <c r="AB178" s="190">
        <f>IF(IF('01_Вводные'!$B$296="Новый сезон",TRUE,TRUE),AB66*CapacityAge14*'01_Вводные'!$F$199,0)</f>
        <v/>
      </c>
      <c r="AC178" s="190">
        <f>IF(IF('01_Вводные'!$B$296="Новый сезон",TRUE,TRUE),AC66*CapacityAge14*'01_Вводные'!$F$199,0)</f>
        <v/>
      </c>
      <c r="AD178" s="190">
        <f>IF(IF('01_Вводные'!$B$296="Новый сезон",TRUE,TRUE),AD66*CapacityAge14*'01_Вводные'!$F$199,0)</f>
        <v/>
      </c>
      <c r="AE178" s="190">
        <f>IF(IF('01_Вводные'!$B$296="Новый сезон",TRUE,TRUE),AE66*CapacityAge14*'01_Вводные'!$F$199,0)</f>
        <v/>
      </c>
      <c r="AF178" s="190">
        <f>IF(IF('01_Вводные'!$B$296="Новый сезон",TRUE,TRUE),AF66*CapacityAge14*'01_Вводные'!$F$199,0)</f>
        <v/>
      </c>
      <c r="AG178" s="190">
        <f>IF(IF('01_Вводные'!$B$296="Новый сезон",TRUE,TRUE),AG66*CapacityAge14*'01_Вводные'!$F$199,0)</f>
        <v/>
      </c>
      <c r="AH178" s="190">
        <f>IF(IF('01_Вводные'!$B$296="Новый сезон",TRUE,TRUE),AH66*CapacityAge14*'01_Вводные'!$F$199,0)</f>
        <v/>
      </c>
      <c r="AI178" s="190">
        <f>IF(IF('01_Вводные'!$B$296="Новый сезон",TRUE,TRUE),AI66*CapacityAge14*'01_Вводные'!$F$199,0)</f>
        <v/>
      </c>
      <c r="AJ178" s="190">
        <f>IF(IF('01_Вводные'!$B$296="Новый сезон",TRUE,TRUE),AJ66*CapacityAge14*'01_Вводные'!$F$199,0)</f>
        <v/>
      </c>
      <c r="AK178" s="190">
        <f>IF(IF('01_Вводные'!$B$296="Новый сезон",TRUE,TRUE),AK66*CapacityAge14*'01_Вводные'!$F$199,0)</f>
        <v/>
      </c>
      <c r="AL178" s="190">
        <f>IF(IF('01_Вводные'!$B$296="Новый сезон",TRUE,TRUE),AL66*CapacityAge14*'01_Вводные'!$F$199,0)</f>
        <v/>
      </c>
      <c r="AM178" s="190">
        <f>IF(IF('01_Вводные'!$B$296="Новый сезон",TRUE,TRUE),AM66*CapacityAge14*'01_Вводные'!$F$199,0)</f>
        <v/>
      </c>
      <c r="AN178" s="190">
        <f>IF(IF('01_Вводные'!$B$296="Новый сезон",TRUE,TRUE),AN66*CapacityAge14*'01_Вводные'!$F$199,0)</f>
        <v/>
      </c>
      <c r="AO178" s="190">
        <f>IF(IF('01_Вводные'!$B$296="Новый сезон",TRUE,TRUE),AO66*CapacityAge14*'01_Вводные'!$F$199,0)</f>
        <v/>
      </c>
      <c r="AP178" s="190">
        <f>IF(IF('01_Вводные'!$B$296="Новый сезон",TRUE,TRUE),AP66*CapacityAge14*'01_Вводные'!$F$199,0)</f>
        <v/>
      </c>
      <c r="AQ178" s="190">
        <f>IF(IF('01_Вводные'!$B$296="Новый сезон",TRUE,TRUE),AQ66*CapacityAge14*'01_Вводные'!$F$199,0)</f>
        <v/>
      </c>
      <c r="AR178" s="190">
        <f>IF(IF('01_Вводные'!$B$296="Новый сезон",TRUE,TRUE),AR66*CapacityAge14*'01_Вводные'!$F$199,0)</f>
        <v/>
      </c>
      <c r="AS178" s="190">
        <f>IF(IF('01_Вводные'!$B$296="Новый сезон",TRUE,TRUE),AS66*CapacityAge14*'01_Вводные'!$F$199,0)</f>
        <v/>
      </c>
      <c r="AT178" s="190">
        <f>IF(IF('01_Вводные'!$B$296="Новый сезон",TRUE,TRUE),AT66*CapacityAge14*'01_Вводные'!$F$199,0)</f>
        <v/>
      </c>
      <c r="AU178" s="190">
        <f>IF(IF('01_Вводные'!$B$296="Новый сезон",TRUE,TRUE),AU66*CapacityAge14*'01_Вводные'!$F$199,0)</f>
        <v/>
      </c>
      <c r="AV178" s="190">
        <f>IF(IF('01_Вводные'!$B$296="Новый сезон",TRUE,TRUE),AV66*CapacityAge14*'01_Вводные'!$F$199,0)</f>
        <v/>
      </c>
      <c r="AW178" s="190">
        <f>IF(IF('01_Вводные'!$B$296="Новый сезон",TRUE,TRUE),AW66*CapacityAge14*'01_Вводные'!$F$199,0)</f>
        <v/>
      </c>
      <c r="AX178" s="190">
        <f>IF(IF('01_Вводные'!$B$296="Новый сезон",TRUE,TRUE),AX66*CapacityAge14*'01_Вводные'!$F$199,0)</f>
        <v/>
      </c>
      <c r="AY178" s="190">
        <f>IF(IF('01_Вводные'!$B$296="Новый сезон",TRUE,TRUE),AY66*CapacityAge14*'01_Вводные'!$F$199,0)</f>
        <v/>
      </c>
      <c r="AZ178" s="190">
        <f>IF(IF('01_Вводные'!$B$296="Новый сезон",TRUE,TRUE),AZ66*CapacityAge14*'01_Вводные'!$F$199,0)</f>
        <v/>
      </c>
      <c r="BA178" s="190">
        <f>IF(IF('01_Вводные'!$B$296="Новый сезон",TRUE,TRUE),BA66*CapacityAge14*'01_Вводные'!$F$199,0)</f>
        <v/>
      </c>
      <c r="BB178" s="190">
        <f>IF(IF('01_Вводные'!$B$296="Новый сезон",TRUE,TRUE),BB66*CapacityAge14*'01_Вводные'!$F$199,0)</f>
        <v/>
      </c>
      <c r="BC178" s="190">
        <f>IF(IF('01_Вводные'!$B$296="Новый сезон",TRUE,TRUE),BC66*CapacityAge14*'01_Вводные'!$F$199,0)</f>
        <v/>
      </c>
      <c r="BD178" s="190">
        <f>IF(IF('01_Вводные'!$B$296="Новый сезон",TRUE,TRUE),BD66*CapacityAge14*'01_Вводные'!$F$199,0)</f>
        <v/>
      </c>
      <c r="BE178" s="190">
        <f>IF(IF('01_Вводные'!$B$296="Новый сезон",TRUE,TRUE),BE66*CapacityAge14*'01_Вводные'!$F$199,0)</f>
        <v/>
      </c>
      <c r="BF178" s="190">
        <f>IF(IF('01_Вводные'!$B$296="Новый сезон",TRUE,TRUE),BF66*CapacityAge14*'01_Вводные'!$F$199,0)</f>
        <v/>
      </c>
      <c r="BG178" s="190">
        <f>IF(IF('01_Вводные'!$B$296="Новый сезон",TRUE,TRUE),BG66*CapacityAge14*'01_Вводные'!$F$199,0)</f>
        <v/>
      </c>
      <c r="BH178" s="190">
        <f>IF(IF('01_Вводные'!$B$296="Новый сезон",TRUE,TRUE),BH66*CapacityAge14*'01_Вводные'!$F$199,0)</f>
        <v/>
      </c>
      <c r="BI178" s="190">
        <f>IF(IF('01_Вводные'!$B$296="Новый сезон",TRUE,TRUE),BI66*CapacityAge14*'01_Вводные'!$F$199,0)</f>
        <v/>
      </c>
      <c r="BJ178" s="190">
        <f>IF(IF('01_Вводные'!$B$296="Новый сезон",TRUE,TRUE),BJ66*CapacityAge14*'01_Вводные'!$F$199,0)</f>
        <v/>
      </c>
      <c r="BK178" s="190">
        <f>IF(IF('01_Вводные'!$B$296="Новый сезон",TRUE,TRUE),BK66*CapacityAge14*'01_Вводные'!$F$199,0)</f>
        <v/>
      </c>
      <c r="BL178" s="190">
        <f>IF(IF('01_Вводные'!$B$296="Новый сезон",TRUE,TRUE),BL66*CapacityAge14*'01_Вводные'!$F$199,0)</f>
        <v/>
      </c>
      <c r="BM178" s="190">
        <f>IF(IF('01_Вводные'!$B$296="Новый сезон",TRUE,TRUE),BM66*CapacityAge14*'01_Вводные'!$F$199,0)</f>
        <v/>
      </c>
      <c r="BN178" s="190">
        <f>IF(IF('01_Вводные'!$B$296="Новый сезон",TRUE,TRUE),BN66*CapacityAge14*'01_Вводные'!$F$199,0)</f>
        <v/>
      </c>
      <c r="BO178" s="190">
        <f>IF(IF('01_Вводные'!$B$296="Новый сезон",TRUE,TRUE),BO66*CapacityAge14*'01_Вводные'!$F$199,0)</f>
        <v/>
      </c>
    </row>
    <row r="179" hidden="1" outlineLevel="1">
      <c r="A179" t="inlineStr">
        <is>
          <t>15 мес.</t>
        </is>
      </c>
      <c r="B179" s="190">
        <f>IF(IF('01_Вводные'!$B$296="Новый сезон",TRUE,TRUE),B67*CapacityAge15*'01_Вводные'!$F$199,0)</f>
        <v/>
      </c>
      <c r="C179" s="190">
        <f>IF(IF('01_Вводные'!$B$296="Новый сезон",TRUE,TRUE),C67*CapacityAge15*'01_Вводные'!$F$199,0)</f>
        <v/>
      </c>
      <c r="D179" s="190">
        <f>IF(IF('01_Вводные'!$B$296="Новый сезон",TRUE,TRUE),D67*CapacityAge15*'01_Вводные'!$F$199,0)</f>
        <v/>
      </c>
      <c r="E179" s="190">
        <f>IF(IF('01_Вводные'!$B$296="Новый сезон",TRUE,TRUE),E67*CapacityAge15*'01_Вводные'!$F$199,0)</f>
        <v/>
      </c>
      <c r="F179" s="190">
        <f>IF(IF('01_Вводные'!$B$296="Новый сезон",TRUE,TRUE),F67*CapacityAge15*'01_Вводные'!$F$199,0)</f>
        <v/>
      </c>
      <c r="G179" s="190">
        <f>IF(IF('01_Вводные'!$B$296="Новый сезон",TRUE,TRUE),G67*CapacityAge15*'01_Вводные'!$F$199,0)</f>
        <v/>
      </c>
      <c r="H179" s="190">
        <f>IF(IF('01_Вводные'!$B$296="Новый сезон",TRUE,TRUE),H67*CapacityAge15*'01_Вводные'!$F$199,0)</f>
        <v/>
      </c>
      <c r="I179" s="190">
        <f>IF(IF('01_Вводные'!$B$296="Новый сезон",TRUE,TRUE),I67*CapacityAge15*'01_Вводные'!$F$199,0)</f>
        <v/>
      </c>
      <c r="J179" s="190">
        <f>IF(IF('01_Вводные'!$B$296="Новый сезон",TRUE,TRUE),J67*CapacityAge15*'01_Вводные'!$F$199,0)</f>
        <v/>
      </c>
      <c r="K179" s="190">
        <f>IF(IF('01_Вводные'!$B$296="Новый сезон",TRUE,TRUE),K67*CapacityAge15*'01_Вводные'!$F$199,0)</f>
        <v/>
      </c>
      <c r="L179" s="190">
        <f>IF(IF('01_Вводные'!$B$296="Новый сезон",TRUE,TRUE),L67*CapacityAge15*'01_Вводные'!$F$199,0)</f>
        <v/>
      </c>
      <c r="M179" s="190">
        <f>IF(IF('01_Вводные'!$B$296="Новый сезон",TRUE,TRUE),M67*CapacityAge15*'01_Вводные'!$F$199,0)</f>
        <v/>
      </c>
      <c r="N179" s="190">
        <f>IF(IF('01_Вводные'!$B$296="Новый сезон",TRUE,TRUE),N67*CapacityAge15*'01_Вводные'!$F$199,0)</f>
        <v/>
      </c>
      <c r="O179" s="190">
        <f>IF(IF('01_Вводные'!$B$296="Новый сезон",TRUE,TRUE),O67*CapacityAge15*'01_Вводные'!$F$199,0)</f>
        <v/>
      </c>
      <c r="P179" s="190">
        <f>IF(IF('01_Вводные'!$B$296="Новый сезон",TRUE,TRUE),P67*CapacityAge15*'01_Вводные'!$F$199,0)</f>
        <v/>
      </c>
      <c r="Q179" s="190">
        <f>IF(IF('01_Вводные'!$B$296="Новый сезон",TRUE,TRUE),Q67*CapacityAge15*'01_Вводные'!$F$199,0)</f>
        <v/>
      </c>
      <c r="R179" s="190">
        <f>IF(IF('01_Вводные'!$B$296="Новый сезон",TRUE,TRUE),R67*CapacityAge15*'01_Вводные'!$F$199,0)</f>
        <v/>
      </c>
      <c r="S179" s="190">
        <f>IF(IF('01_Вводные'!$B$296="Новый сезон",TRUE,TRUE),S67*CapacityAge15*'01_Вводные'!$F$199,0)</f>
        <v/>
      </c>
      <c r="T179" s="190">
        <f>IF(IF('01_Вводные'!$B$296="Новый сезон",TRUE,TRUE),T67*CapacityAge15*'01_Вводные'!$F$199,0)</f>
        <v/>
      </c>
      <c r="U179" s="190">
        <f>IF(IF('01_Вводные'!$B$296="Новый сезон",TRUE,TRUE),U67*CapacityAge15*'01_Вводные'!$F$199,0)</f>
        <v/>
      </c>
      <c r="V179" s="190">
        <f>IF(IF('01_Вводные'!$B$296="Новый сезон",TRUE,TRUE),V67*CapacityAge15*'01_Вводные'!$F$199,0)</f>
        <v/>
      </c>
      <c r="W179" s="190">
        <f>IF(IF('01_Вводные'!$B$296="Новый сезон",TRUE,TRUE),W67*CapacityAge15*'01_Вводные'!$F$199,0)</f>
        <v/>
      </c>
      <c r="X179" s="190">
        <f>IF(IF('01_Вводные'!$B$296="Новый сезон",TRUE,TRUE),X67*CapacityAge15*'01_Вводные'!$F$199,0)</f>
        <v/>
      </c>
      <c r="Y179" s="190">
        <f>IF(IF('01_Вводные'!$B$296="Новый сезон",TRUE,TRUE),Y67*CapacityAge15*'01_Вводные'!$F$199,0)</f>
        <v/>
      </c>
      <c r="Z179" s="190">
        <f>IF(IF('01_Вводные'!$B$296="Новый сезон",TRUE,TRUE),Z67*CapacityAge15*'01_Вводные'!$F$199,0)</f>
        <v/>
      </c>
      <c r="AA179" s="190">
        <f>IF(IF('01_Вводные'!$B$296="Новый сезон",TRUE,TRUE),AA67*CapacityAge15*'01_Вводные'!$F$199,0)</f>
        <v/>
      </c>
      <c r="AB179" s="190">
        <f>IF(IF('01_Вводные'!$B$296="Новый сезон",TRUE,TRUE),AB67*CapacityAge15*'01_Вводные'!$F$199,0)</f>
        <v/>
      </c>
      <c r="AC179" s="190">
        <f>IF(IF('01_Вводные'!$B$296="Новый сезон",TRUE,TRUE),AC67*CapacityAge15*'01_Вводные'!$F$199,0)</f>
        <v/>
      </c>
      <c r="AD179" s="190">
        <f>IF(IF('01_Вводные'!$B$296="Новый сезон",TRUE,TRUE),AD67*CapacityAge15*'01_Вводные'!$F$199,0)</f>
        <v/>
      </c>
      <c r="AE179" s="190">
        <f>IF(IF('01_Вводные'!$B$296="Новый сезон",TRUE,TRUE),AE67*CapacityAge15*'01_Вводные'!$F$199,0)</f>
        <v/>
      </c>
      <c r="AF179" s="190">
        <f>IF(IF('01_Вводные'!$B$296="Новый сезон",TRUE,TRUE),AF67*CapacityAge15*'01_Вводные'!$F$199,0)</f>
        <v/>
      </c>
      <c r="AG179" s="190">
        <f>IF(IF('01_Вводные'!$B$296="Новый сезон",TRUE,TRUE),AG67*CapacityAge15*'01_Вводные'!$F$199,0)</f>
        <v/>
      </c>
      <c r="AH179" s="190">
        <f>IF(IF('01_Вводные'!$B$296="Новый сезон",TRUE,TRUE),AH67*CapacityAge15*'01_Вводные'!$F$199,0)</f>
        <v/>
      </c>
      <c r="AI179" s="190">
        <f>IF(IF('01_Вводные'!$B$296="Новый сезон",TRUE,TRUE),AI67*CapacityAge15*'01_Вводные'!$F$199,0)</f>
        <v/>
      </c>
      <c r="AJ179" s="190">
        <f>IF(IF('01_Вводные'!$B$296="Новый сезон",TRUE,TRUE),AJ67*CapacityAge15*'01_Вводные'!$F$199,0)</f>
        <v/>
      </c>
      <c r="AK179" s="190">
        <f>IF(IF('01_Вводные'!$B$296="Новый сезон",TRUE,TRUE),AK67*CapacityAge15*'01_Вводные'!$F$199,0)</f>
        <v/>
      </c>
      <c r="AL179" s="190">
        <f>IF(IF('01_Вводные'!$B$296="Новый сезон",TRUE,TRUE),AL67*CapacityAge15*'01_Вводные'!$F$199,0)</f>
        <v/>
      </c>
      <c r="AM179" s="190">
        <f>IF(IF('01_Вводные'!$B$296="Новый сезон",TRUE,TRUE),AM67*CapacityAge15*'01_Вводные'!$F$199,0)</f>
        <v/>
      </c>
      <c r="AN179" s="190">
        <f>IF(IF('01_Вводные'!$B$296="Новый сезон",TRUE,TRUE),AN67*CapacityAge15*'01_Вводные'!$F$199,0)</f>
        <v/>
      </c>
      <c r="AO179" s="190">
        <f>IF(IF('01_Вводные'!$B$296="Новый сезон",TRUE,TRUE),AO67*CapacityAge15*'01_Вводные'!$F$199,0)</f>
        <v/>
      </c>
      <c r="AP179" s="190">
        <f>IF(IF('01_Вводные'!$B$296="Новый сезон",TRUE,TRUE),AP67*CapacityAge15*'01_Вводные'!$F$199,0)</f>
        <v/>
      </c>
      <c r="AQ179" s="190">
        <f>IF(IF('01_Вводные'!$B$296="Новый сезон",TRUE,TRUE),AQ67*CapacityAge15*'01_Вводные'!$F$199,0)</f>
        <v/>
      </c>
      <c r="AR179" s="190">
        <f>IF(IF('01_Вводные'!$B$296="Новый сезон",TRUE,TRUE),AR67*CapacityAge15*'01_Вводные'!$F$199,0)</f>
        <v/>
      </c>
      <c r="AS179" s="190">
        <f>IF(IF('01_Вводные'!$B$296="Новый сезон",TRUE,TRUE),AS67*CapacityAge15*'01_Вводные'!$F$199,0)</f>
        <v/>
      </c>
      <c r="AT179" s="190">
        <f>IF(IF('01_Вводные'!$B$296="Новый сезон",TRUE,TRUE),AT67*CapacityAge15*'01_Вводные'!$F$199,0)</f>
        <v/>
      </c>
      <c r="AU179" s="190">
        <f>IF(IF('01_Вводные'!$B$296="Новый сезон",TRUE,TRUE),AU67*CapacityAge15*'01_Вводные'!$F$199,0)</f>
        <v/>
      </c>
      <c r="AV179" s="190">
        <f>IF(IF('01_Вводные'!$B$296="Новый сезон",TRUE,TRUE),AV67*CapacityAge15*'01_Вводные'!$F$199,0)</f>
        <v/>
      </c>
      <c r="AW179" s="190">
        <f>IF(IF('01_Вводные'!$B$296="Новый сезон",TRUE,TRUE),AW67*CapacityAge15*'01_Вводные'!$F$199,0)</f>
        <v/>
      </c>
      <c r="AX179" s="190">
        <f>IF(IF('01_Вводные'!$B$296="Новый сезон",TRUE,TRUE),AX67*CapacityAge15*'01_Вводные'!$F$199,0)</f>
        <v/>
      </c>
      <c r="AY179" s="190">
        <f>IF(IF('01_Вводные'!$B$296="Новый сезон",TRUE,TRUE),AY67*CapacityAge15*'01_Вводные'!$F$199,0)</f>
        <v/>
      </c>
      <c r="AZ179" s="190">
        <f>IF(IF('01_Вводные'!$B$296="Новый сезон",TRUE,TRUE),AZ67*CapacityAge15*'01_Вводные'!$F$199,0)</f>
        <v/>
      </c>
      <c r="BA179" s="190">
        <f>IF(IF('01_Вводные'!$B$296="Новый сезон",TRUE,TRUE),BA67*CapacityAge15*'01_Вводные'!$F$199,0)</f>
        <v/>
      </c>
      <c r="BB179" s="190">
        <f>IF(IF('01_Вводные'!$B$296="Новый сезон",TRUE,TRUE),BB67*CapacityAge15*'01_Вводные'!$F$199,0)</f>
        <v/>
      </c>
      <c r="BC179" s="190">
        <f>IF(IF('01_Вводные'!$B$296="Новый сезон",TRUE,TRUE),BC67*CapacityAge15*'01_Вводные'!$F$199,0)</f>
        <v/>
      </c>
      <c r="BD179" s="190">
        <f>IF(IF('01_Вводные'!$B$296="Новый сезон",TRUE,TRUE),BD67*CapacityAge15*'01_Вводные'!$F$199,0)</f>
        <v/>
      </c>
      <c r="BE179" s="190">
        <f>IF(IF('01_Вводные'!$B$296="Новый сезон",TRUE,TRUE),BE67*CapacityAge15*'01_Вводные'!$F$199,0)</f>
        <v/>
      </c>
      <c r="BF179" s="190">
        <f>IF(IF('01_Вводные'!$B$296="Новый сезон",TRUE,TRUE),BF67*CapacityAge15*'01_Вводные'!$F$199,0)</f>
        <v/>
      </c>
      <c r="BG179" s="190">
        <f>IF(IF('01_Вводные'!$B$296="Новый сезон",TRUE,TRUE),BG67*CapacityAge15*'01_Вводные'!$F$199,0)</f>
        <v/>
      </c>
      <c r="BH179" s="190">
        <f>IF(IF('01_Вводные'!$B$296="Новый сезон",TRUE,TRUE),BH67*CapacityAge15*'01_Вводные'!$F$199,0)</f>
        <v/>
      </c>
      <c r="BI179" s="190">
        <f>IF(IF('01_Вводные'!$B$296="Новый сезон",TRUE,TRUE),BI67*CapacityAge15*'01_Вводные'!$F$199,0)</f>
        <v/>
      </c>
      <c r="BJ179" s="190">
        <f>IF(IF('01_Вводные'!$B$296="Новый сезон",TRUE,TRUE),BJ67*CapacityAge15*'01_Вводные'!$F$199,0)</f>
        <v/>
      </c>
      <c r="BK179" s="190">
        <f>IF(IF('01_Вводные'!$B$296="Новый сезон",TRUE,TRUE),BK67*CapacityAge15*'01_Вводные'!$F$199,0)</f>
        <v/>
      </c>
      <c r="BL179" s="190">
        <f>IF(IF('01_Вводные'!$B$296="Новый сезон",TRUE,TRUE),BL67*CapacityAge15*'01_Вводные'!$F$199,0)</f>
        <v/>
      </c>
      <c r="BM179" s="190">
        <f>IF(IF('01_Вводные'!$B$296="Новый сезон",TRUE,TRUE),BM67*CapacityAge15*'01_Вводные'!$F$199,0)</f>
        <v/>
      </c>
      <c r="BN179" s="190">
        <f>IF(IF('01_Вводные'!$B$296="Новый сезон",TRUE,TRUE),BN67*CapacityAge15*'01_Вводные'!$F$199,0)</f>
        <v/>
      </c>
      <c r="BO179" s="190">
        <f>IF(IF('01_Вводные'!$B$296="Новый сезон",TRUE,TRUE),BO67*CapacityAge15*'01_Вводные'!$F$199,0)</f>
        <v/>
      </c>
    </row>
    <row r="180" hidden="1" outlineLevel="1">
      <c r="A180" t="inlineStr">
        <is>
          <t>16 мес.</t>
        </is>
      </c>
      <c r="B180" s="191">
        <f>IF(IF('01_Вводные'!$B$296="Новый сезон",TRUE,TRUE),B68*CapacityAge16*'01_Вводные'!$F$199,0)</f>
        <v/>
      </c>
      <c r="C180" s="191">
        <f>IF(IF('01_Вводные'!$B$296="Новый сезон",TRUE,TRUE),C68*CapacityAge16*'01_Вводные'!$F$199,0)</f>
        <v/>
      </c>
      <c r="D180" s="191">
        <f>IF(IF('01_Вводные'!$B$296="Новый сезон",TRUE,TRUE),D68*CapacityAge16*'01_Вводные'!$F$199,0)</f>
        <v/>
      </c>
      <c r="E180" s="191">
        <f>IF(IF('01_Вводные'!$B$296="Новый сезон",TRUE,TRUE),E68*CapacityAge16*'01_Вводные'!$F$199,0)</f>
        <v/>
      </c>
      <c r="F180" s="191">
        <f>IF(IF('01_Вводные'!$B$296="Новый сезон",TRUE,TRUE),F68*CapacityAge16*'01_Вводные'!$F$199,0)</f>
        <v/>
      </c>
      <c r="G180" s="191">
        <f>IF(IF('01_Вводные'!$B$296="Новый сезон",TRUE,TRUE),G68*CapacityAge16*'01_Вводные'!$F$199,0)</f>
        <v/>
      </c>
      <c r="H180" s="191">
        <f>IF(IF('01_Вводные'!$B$296="Новый сезон",TRUE,TRUE),H68*CapacityAge16*'01_Вводные'!$F$199,0)</f>
        <v/>
      </c>
      <c r="I180" s="191">
        <f>IF(IF('01_Вводные'!$B$296="Новый сезон",TRUE,TRUE),I68*CapacityAge16*'01_Вводные'!$F$199,0)</f>
        <v/>
      </c>
      <c r="J180" s="191">
        <f>IF(IF('01_Вводные'!$B$296="Новый сезон",TRUE,TRUE),J68*CapacityAge16*'01_Вводные'!$F$199,0)</f>
        <v/>
      </c>
      <c r="K180" s="191">
        <f>IF(IF('01_Вводные'!$B$296="Новый сезон",TRUE,TRUE),K68*CapacityAge16*'01_Вводные'!$F$199,0)</f>
        <v/>
      </c>
      <c r="L180" s="191">
        <f>IF(IF('01_Вводные'!$B$296="Новый сезон",TRUE,TRUE),L68*CapacityAge16*'01_Вводные'!$F$199,0)</f>
        <v/>
      </c>
      <c r="M180" s="191">
        <f>IF(IF('01_Вводные'!$B$296="Новый сезон",TRUE,TRUE),M68*CapacityAge16*'01_Вводные'!$F$199,0)</f>
        <v/>
      </c>
      <c r="N180" s="191">
        <f>IF(IF('01_Вводные'!$B$296="Новый сезон",TRUE,TRUE),N68*CapacityAge16*'01_Вводные'!$F$199,0)</f>
        <v/>
      </c>
      <c r="O180" s="191">
        <f>IF(IF('01_Вводные'!$B$296="Новый сезон",TRUE,TRUE),O68*CapacityAge16*'01_Вводные'!$F$199,0)</f>
        <v/>
      </c>
      <c r="P180" s="191">
        <f>IF(IF('01_Вводные'!$B$296="Новый сезон",TRUE,TRUE),P68*CapacityAge16*'01_Вводные'!$F$199,0)</f>
        <v/>
      </c>
      <c r="Q180" s="191">
        <f>IF(IF('01_Вводные'!$B$296="Новый сезон",TRUE,TRUE),Q68*CapacityAge16*'01_Вводные'!$F$199,0)</f>
        <v/>
      </c>
      <c r="R180" s="191">
        <f>IF(IF('01_Вводные'!$B$296="Новый сезон",TRUE,TRUE),R68*CapacityAge16*'01_Вводные'!$F$199,0)</f>
        <v/>
      </c>
      <c r="S180" s="191">
        <f>IF(IF('01_Вводные'!$B$296="Новый сезон",TRUE,TRUE),S68*CapacityAge16*'01_Вводные'!$F$199,0)</f>
        <v/>
      </c>
      <c r="T180" s="191">
        <f>IF(IF('01_Вводные'!$B$296="Новый сезон",TRUE,TRUE),T68*CapacityAge16*'01_Вводные'!$F$199,0)</f>
        <v/>
      </c>
      <c r="U180" s="191">
        <f>IF(IF('01_Вводные'!$B$296="Новый сезон",TRUE,TRUE),U68*CapacityAge16*'01_Вводные'!$F$199,0)</f>
        <v/>
      </c>
      <c r="V180" s="191">
        <f>IF(IF('01_Вводные'!$B$296="Новый сезон",TRUE,TRUE),V68*CapacityAge16*'01_Вводные'!$F$199,0)</f>
        <v/>
      </c>
      <c r="W180" s="191">
        <f>IF(IF('01_Вводные'!$B$296="Новый сезон",TRUE,TRUE),W68*CapacityAge16*'01_Вводные'!$F$199,0)</f>
        <v/>
      </c>
      <c r="X180" s="191">
        <f>IF(IF('01_Вводные'!$B$296="Новый сезон",TRUE,TRUE),X68*CapacityAge16*'01_Вводные'!$F$199,0)</f>
        <v/>
      </c>
      <c r="Y180" s="191">
        <f>IF(IF('01_Вводные'!$B$296="Новый сезон",TRUE,TRUE),Y68*CapacityAge16*'01_Вводные'!$F$199,0)</f>
        <v/>
      </c>
      <c r="Z180" s="191">
        <f>IF(IF('01_Вводные'!$B$296="Новый сезон",TRUE,TRUE),Z68*CapacityAge16*'01_Вводные'!$F$199,0)</f>
        <v/>
      </c>
      <c r="AA180" s="191">
        <f>IF(IF('01_Вводные'!$B$296="Новый сезон",TRUE,TRUE),AA68*CapacityAge16*'01_Вводные'!$F$199,0)</f>
        <v/>
      </c>
      <c r="AB180" s="191">
        <f>IF(IF('01_Вводные'!$B$296="Новый сезон",TRUE,TRUE),AB68*CapacityAge16*'01_Вводные'!$F$199,0)</f>
        <v/>
      </c>
      <c r="AC180" s="191">
        <f>IF(IF('01_Вводные'!$B$296="Новый сезон",TRUE,TRUE),AC68*CapacityAge16*'01_Вводные'!$F$199,0)</f>
        <v/>
      </c>
      <c r="AD180" s="191">
        <f>IF(IF('01_Вводные'!$B$296="Новый сезон",TRUE,TRUE),AD68*CapacityAge16*'01_Вводные'!$F$199,0)</f>
        <v/>
      </c>
      <c r="AE180" s="191">
        <f>IF(IF('01_Вводные'!$B$296="Новый сезон",TRUE,TRUE),AE68*CapacityAge16*'01_Вводные'!$F$199,0)</f>
        <v/>
      </c>
      <c r="AF180" s="191">
        <f>IF(IF('01_Вводные'!$B$296="Новый сезон",TRUE,TRUE),AF68*CapacityAge16*'01_Вводные'!$F$199,0)</f>
        <v/>
      </c>
      <c r="AG180" s="191">
        <f>IF(IF('01_Вводные'!$B$296="Новый сезон",TRUE,TRUE),AG68*CapacityAge16*'01_Вводные'!$F$199,0)</f>
        <v/>
      </c>
      <c r="AH180" s="191">
        <f>IF(IF('01_Вводные'!$B$296="Новый сезон",TRUE,TRUE),AH68*CapacityAge16*'01_Вводные'!$F$199,0)</f>
        <v/>
      </c>
      <c r="AI180" s="191">
        <f>IF(IF('01_Вводные'!$B$296="Новый сезон",TRUE,TRUE),AI68*CapacityAge16*'01_Вводные'!$F$199,0)</f>
        <v/>
      </c>
      <c r="AJ180" s="191">
        <f>IF(IF('01_Вводные'!$B$296="Новый сезон",TRUE,TRUE),AJ68*CapacityAge16*'01_Вводные'!$F$199,0)</f>
        <v/>
      </c>
      <c r="AK180" s="191">
        <f>IF(IF('01_Вводные'!$B$296="Новый сезон",TRUE,TRUE),AK68*CapacityAge16*'01_Вводные'!$F$199,0)</f>
        <v/>
      </c>
      <c r="AL180" s="190">
        <f>IF(IF('01_Вводные'!$B$296="Новый сезон",TRUE,TRUE),AL68*CapacityAge16*'01_Вводные'!$F$199,0)</f>
        <v/>
      </c>
      <c r="AM180" s="190">
        <f>IF(IF('01_Вводные'!$B$296="Новый сезон",TRUE,TRUE),AM68*CapacityAge16*'01_Вводные'!$F$199,0)</f>
        <v/>
      </c>
      <c r="AN180" s="190">
        <f>IF(IF('01_Вводные'!$B$296="Новый сезон",TRUE,TRUE),AN68*CapacityAge16*'01_Вводные'!$F$199,0)</f>
        <v/>
      </c>
      <c r="AO180" s="190">
        <f>IF(IF('01_Вводные'!$B$296="Новый сезон",TRUE,TRUE),AO68*CapacityAge16*'01_Вводные'!$F$199,0)</f>
        <v/>
      </c>
      <c r="AP180" s="190">
        <f>IF(IF('01_Вводные'!$B$296="Новый сезон",TRUE,TRUE),AP68*CapacityAge16*'01_Вводные'!$F$199,0)</f>
        <v/>
      </c>
      <c r="AQ180" s="190">
        <f>IF(IF('01_Вводные'!$B$296="Новый сезон",TRUE,TRUE),AQ68*CapacityAge16*'01_Вводные'!$F$199,0)</f>
        <v/>
      </c>
      <c r="AR180" s="190">
        <f>IF(IF('01_Вводные'!$B$296="Новый сезон",TRUE,TRUE),AR68*CapacityAge16*'01_Вводные'!$F$199,0)</f>
        <v/>
      </c>
      <c r="AS180" s="190">
        <f>IF(IF('01_Вводные'!$B$296="Новый сезон",TRUE,TRUE),AS68*CapacityAge16*'01_Вводные'!$F$199,0)</f>
        <v/>
      </c>
      <c r="AT180" s="190">
        <f>IF(IF('01_Вводные'!$B$296="Новый сезон",TRUE,TRUE),AT68*CapacityAge16*'01_Вводные'!$F$199,0)</f>
        <v/>
      </c>
      <c r="AU180" s="190">
        <f>IF(IF('01_Вводные'!$B$296="Новый сезон",TRUE,TRUE),AU68*CapacityAge16*'01_Вводные'!$F$199,0)</f>
        <v/>
      </c>
      <c r="AV180" s="190">
        <f>IF(IF('01_Вводные'!$B$296="Новый сезон",TRUE,TRUE),AV68*CapacityAge16*'01_Вводные'!$F$199,0)</f>
        <v/>
      </c>
      <c r="AW180" s="190">
        <f>IF(IF('01_Вводные'!$B$296="Новый сезон",TRUE,TRUE),AW68*CapacityAge16*'01_Вводные'!$F$199,0)</f>
        <v/>
      </c>
      <c r="AX180" s="190">
        <f>IF(IF('01_Вводные'!$B$296="Новый сезон",TRUE,TRUE),AX68*CapacityAge16*'01_Вводные'!$F$199,0)</f>
        <v/>
      </c>
      <c r="AY180" s="190">
        <f>IF(IF('01_Вводные'!$B$296="Новый сезон",TRUE,TRUE),AY68*CapacityAge16*'01_Вводные'!$F$199,0)</f>
        <v/>
      </c>
      <c r="AZ180" s="190">
        <f>IF(IF('01_Вводные'!$B$296="Новый сезон",TRUE,TRUE),AZ68*CapacityAge16*'01_Вводные'!$F$199,0)</f>
        <v/>
      </c>
      <c r="BA180" s="190">
        <f>IF(IF('01_Вводные'!$B$296="Новый сезон",TRUE,TRUE),BA68*CapacityAge16*'01_Вводные'!$F$199,0)</f>
        <v/>
      </c>
      <c r="BB180" s="190">
        <f>IF(IF('01_Вводные'!$B$296="Новый сезон",TRUE,TRUE),BB68*CapacityAge16*'01_Вводные'!$F$199,0)</f>
        <v/>
      </c>
      <c r="BC180" s="190">
        <f>IF(IF('01_Вводные'!$B$296="Новый сезон",TRUE,TRUE),BC68*CapacityAge16*'01_Вводные'!$F$199,0)</f>
        <v/>
      </c>
      <c r="BD180" s="190">
        <f>IF(IF('01_Вводные'!$B$296="Новый сезон",TRUE,TRUE),BD68*CapacityAge16*'01_Вводные'!$F$199,0)</f>
        <v/>
      </c>
      <c r="BE180" s="190">
        <f>IF(IF('01_Вводные'!$B$296="Новый сезон",TRUE,TRUE),BE68*CapacityAge16*'01_Вводные'!$F$199,0)</f>
        <v/>
      </c>
      <c r="BF180" s="190">
        <f>IF(IF('01_Вводные'!$B$296="Новый сезон",TRUE,TRUE),BF68*CapacityAge16*'01_Вводные'!$F$199,0)</f>
        <v/>
      </c>
      <c r="BG180" s="190">
        <f>IF(IF('01_Вводные'!$B$296="Новый сезон",TRUE,TRUE),BG68*CapacityAge16*'01_Вводные'!$F$199,0)</f>
        <v/>
      </c>
      <c r="BH180" s="190">
        <f>IF(IF('01_Вводные'!$B$296="Новый сезон",TRUE,TRUE),BH68*CapacityAge16*'01_Вводные'!$F$199,0)</f>
        <v/>
      </c>
      <c r="BI180" s="190">
        <f>IF(IF('01_Вводные'!$B$296="Новый сезон",TRUE,TRUE),BI68*CapacityAge16*'01_Вводные'!$F$199,0)</f>
        <v/>
      </c>
      <c r="BJ180" s="190">
        <f>IF(IF('01_Вводные'!$B$296="Новый сезон",TRUE,TRUE),BJ68*CapacityAge16*'01_Вводные'!$F$199,0)</f>
        <v/>
      </c>
      <c r="BK180" s="190">
        <f>IF(IF('01_Вводные'!$B$296="Новый сезон",TRUE,TRUE),BK68*CapacityAge16*'01_Вводные'!$F$199,0)</f>
        <v/>
      </c>
      <c r="BL180" s="190">
        <f>IF(IF('01_Вводные'!$B$296="Новый сезон",TRUE,TRUE),BL68*CapacityAge16*'01_Вводные'!$F$199,0)</f>
        <v/>
      </c>
      <c r="BM180" s="190">
        <f>IF(IF('01_Вводные'!$B$296="Новый сезон",TRUE,TRUE),BM68*CapacityAge16*'01_Вводные'!$F$199,0)</f>
        <v/>
      </c>
      <c r="BN180" s="190">
        <f>IF(IF('01_Вводные'!$B$296="Новый сезон",TRUE,TRUE),BN68*CapacityAge16*'01_Вводные'!$F$199,0)</f>
        <v/>
      </c>
      <c r="BO180" s="190">
        <f>IF(IF('01_Вводные'!$B$296="Новый сезон",TRUE,TRUE),BO68*CapacityAge16*'01_Вводные'!$F$199,0)</f>
        <v/>
      </c>
    </row>
    <row r="181" hidden="1" outlineLevel="1">
      <c r="A181" t="inlineStr">
        <is>
          <t>17 мес.</t>
        </is>
      </c>
      <c r="B181" s="191">
        <f>IF(IF('01_Вводные'!$B$296="Новый сезон",TRUE,TRUE),B69*CapacityAge17*'01_Вводные'!$F$199,0)</f>
        <v/>
      </c>
      <c r="C181" s="191">
        <f>IF(IF('01_Вводные'!$B$296="Новый сезон",TRUE,TRUE),C69*CapacityAge17*'01_Вводные'!$F$199,0)</f>
        <v/>
      </c>
      <c r="D181" s="191">
        <f>IF(IF('01_Вводные'!$B$296="Новый сезон",TRUE,TRUE),D69*CapacityAge17*'01_Вводные'!$F$199,0)</f>
        <v/>
      </c>
      <c r="E181" s="191">
        <f>IF(IF('01_Вводные'!$B$296="Новый сезон",TRUE,TRUE),E69*CapacityAge17*'01_Вводные'!$F$199,0)</f>
        <v/>
      </c>
      <c r="F181" s="191">
        <f>IF(IF('01_Вводные'!$B$296="Новый сезон",TRUE,TRUE),F69*CapacityAge17*'01_Вводные'!$F$199,0)</f>
        <v/>
      </c>
      <c r="G181" s="191">
        <f>IF(IF('01_Вводные'!$B$296="Новый сезон",TRUE,TRUE),G69*CapacityAge17*'01_Вводные'!$F$199,0)</f>
        <v/>
      </c>
      <c r="H181" s="191">
        <f>IF(IF('01_Вводные'!$B$296="Новый сезон",TRUE,TRUE),H69*CapacityAge17*'01_Вводные'!$F$199,0)</f>
        <v/>
      </c>
      <c r="I181" s="191">
        <f>IF(IF('01_Вводные'!$B$296="Новый сезон",TRUE,TRUE),I69*CapacityAge17*'01_Вводные'!$F$199,0)</f>
        <v/>
      </c>
      <c r="J181" s="191">
        <f>IF(IF('01_Вводные'!$B$296="Новый сезон",TRUE,TRUE),J69*CapacityAge17*'01_Вводные'!$F$199,0)</f>
        <v/>
      </c>
      <c r="K181" s="191">
        <f>IF(IF('01_Вводные'!$B$296="Новый сезон",TRUE,TRUE),K69*CapacityAge17*'01_Вводные'!$F$199,0)</f>
        <v/>
      </c>
      <c r="L181" s="191">
        <f>IF(IF('01_Вводные'!$B$296="Новый сезон",TRUE,TRUE),L69*CapacityAge17*'01_Вводные'!$F$199,0)</f>
        <v/>
      </c>
      <c r="M181" s="191">
        <f>IF(IF('01_Вводные'!$B$296="Новый сезон",TRUE,TRUE),M69*CapacityAge17*'01_Вводные'!$F$199,0)</f>
        <v/>
      </c>
      <c r="N181" s="191">
        <f>IF(IF('01_Вводные'!$B$296="Новый сезон",TRUE,TRUE),N69*CapacityAge17*'01_Вводные'!$F$199,0)</f>
        <v/>
      </c>
      <c r="O181" s="191">
        <f>IF(IF('01_Вводные'!$B$296="Новый сезон",TRUE,TRUE),O69*CapacityAge17*'01_Вводные'!$F$199,0)</f>
        <v/>
      </c>
      <c r="P181" s="191">
        <f>IF(IF('01_Вводные'!$B$296="Новый сезон",TRUE,TRUE),P69*CapacityAge17*'01_Вводные'!$F$199,0)</f>
        <v/>
      </c>
      <c r="Q181" s="191">
        <f>IF(IF('01_Вводные'!$B$296="Новый сезон",TRUE,TRUE),Q69*CapacityAge17*'01_Вводные'!$F$199,0)</f>
        <v/>
      </c>
      <c r="R181" s="191">
        <f>IF(IF('01_Вводные'!$B$296="Новый сезон",TRUE,TRUE),R69*CapacityAge17*'01_Вводные'!$F$199,0)</f>
        <v/>
      </c>
      <c r="S181" s="191">
        <f>IF(IF('01_Вводные'!$B$296="Новый сезон",TRUE,TRUE),S69*CapacityAge17*'01_Вводные'!$F$199,0)</f>
        <v/>
      </c>
      <c r="T181" s="191">
        <f>IF(IF('01_Вводные'!$B$296="Новый сезон",TRUE,TRUE),T69*CapacityAge17*'01_Вводные'!$F$199,0)</f>
        <v/>
      </c>
      <c r="U181" s="191">
        <f>IF(IF('01_Вводные'!$B$296="Новый сезон",TRUE,TRUE),U69*CapacityAge17*'01_Вводные'!$F$199,0)</f>
        <v/>
      </c>
      <c r="V181" s="191">
        <f>IF(IF('01_Вводные'!$B$296="Новый сезон",TRUE,TRUE),V69*CapacityAge17*'01_Вводные'!$F$199,0)</f>
        <v/>
      </c>
      <c r="W181" s="191">
        <f>IF(IF('01_Вводные'!$B$296="Новый сезон",TRUE,TRUE),W69*CapacityAge17*'01_Вводные'!$F$199,0)</f>
        <v/>
      </c>
      <c r="X181" s="191">
        <f>IF(IF('01_Вводные'!$B$296="Новый сезон",TRUE,TRUE),X69*CapacityAge17*'01_Вводные'!$F$199,0)</f>
        <v/>
      </c>
      <c r="Y181" s="191">
        <f>IF(IF('01_Вводные'!$B$296="Новый сезон",TRUE,TRUE),Y69*CapacityAge17*'01_Вводные'!$F$199,0)</f>
        <v/>
      </c>
      <c r="Z181" s="191">
        <f>IF(IF('01_Вводные'!$B$296="Новый сезон",TRUE,TRUE),Z69*CapacityAge17*'01_Вводные'!$F$199,0)</f>
        <v/>
      </c>
      <c r="AA181" s="191">
        <f>IF(IF('01_Вводные'!$B$296="Новый сезон",TRUE,TRUE),AA69*CapacityAge17*'01_Вводные'!$F$199,0)</f>
        <v/>
      </c>
      <c r="AB181" s="191">
        <f>IF(IF('01_Вводные'!$B$296="Новый сезон",TRUE,TRUE),AB69*CapacityAge17*'01_Вводные'!$F$199,0)</f>
        <v/>
      </c>
      <c r="AC181" s="191">
        <f>IF(IF('01_Вводные'!$B$296="Новый сезон",TRUE,TRUE),AC69*CapacityAge17*'01_Вводные'!$F$199,0)</f>
        <v/>
      </c>
      <c r="AD181" s="191">
        <f>IF(IF('01_Вводные'!$B$296="Новый сезон",TRUE,TRUE),AD69*CapacityAge17*'01_Вводные'!$F$199,0)</f>
        <v/>
      </c>
      <c r="AE181" s="191">
        <f>IF(IF('01_Вводные'!$B$296="Новый сезон",TRUE,TRUE),AE69*CapacityAge17*'01_Вводные'!$F$199,0)</f>
        <v/>
      </c>
      <c r="AF181" s="191">
        <f>IF(IF('01_Вводные'!$B$296="Новый сезон",TRUE,TRUE),AF69*CapacityAge17*'01_Вводные'!$F$199,0)</f>
        <v/>
      </c>
      <c r="AG181" s="191">
        <f>IF(IF('01_Вводные'!$B$296="Новый сезон",TRUE,TRUE),AG69*CapacityAge17*'01_Вводные'!$F$199,0)</f>
        <v/>
      </c>
      <c r="AH181" s="191">
        <f>IF(IF('01_Вводные'!$B$296="Новый сезон",TRUE,TRUE),AH69*CapacityAge17*'01_Вводные'!$F$199,0)</f>
        <v/>
      </c>
      <c r="AI181" s="191">
        <f>IF(IF('01_Вводные'!$B$296="Новый сезон",TRUE,TRUE),AI69*CapacityAge17*'01_Вводные'!$F$199,0)</f>
        <v/>
      </c>
      <c r="AJ181" s="191">
        <f>IF(IF('01_Вводные'!$B$296="Новый сезон",TRUE,TRUE),AJ69*CapacityAge17*'01_Вводные'!$F$199,0)</f>
        <v/>
      </c>
      <c r="AK181" s="191">
        <f>IF(IF('01_Вводные'!$B$296="Новый сезон",TRUE,TRUE),AK69*CapacityAge17*'01_Вводные'!$F$199,0)</f>
        <v/>
      </c>
      <c r="AL181" s="190">
        <f>IF(IF('01_Вводные'!$B$296="Новый сезон",TRUE,TRUE),AL69*CapacityAge17*'01_Вводные'!$F$199,0)</f>
        <v/>
      </c>
      <c r="AM181" s="190">
        <f>IF(IF('01_Вводные'!$B$296="Новый сезон",TRUE,TRUE),AM69*CapacityAge17*'01_Вводные'!$F$199,0)</f>
        <v/>
      </c>
      <c r="AN181" s="190">
        <f>IF(IF('01_Вводные'!$B$296="Новый сезон",TRUE,TRUE),AN69*CapacityAge17*'01_Вводные'!$F$199,0)</f>
        <v/>
      </c>
      <c r="AO181" s="190">
        <f>IF(IF('01_Вводные'!$B$296="Новый сезон",TRUE,TRUE),AO69*CapacityAge17*'01_Вводные'!$F$199,0)</f>
        <v/>
      </c>
      <c r="AP181" s="190">
        <f>IF(IF('01_Вводные'!$B$296="Новый сезон",TRUE,TRUE),AP69*CapacityAge17*'01_Вводные'!$F$199,0)</f>
        <v/>
      </c>
      <c r="AQ181" s="190">
        <f>IF(IF('01_Вводные'!$B$296="Новый сезон",TRUE,TRUE),AQ69*CapacityAge17*'01_Вводные'!$F$199,0)</f>
        <v/>
      </c>
      <c r="AR181" s="190">
        <f>IF(IF('01_Вводные'!$B$296="Новый сезон",TRUE,TRUE),AR69*CapacityAge17*'01_Вводные'!$F$199,0)</f>
        <v/>
      </c>
      <c r="AS181" s="190">
        <f>IF(IF('01_Вводные'!$B$296="Новый сезон",TRUE,TRUE),AS69*CapacityAge17*'01_Вводные'!$F$199,0)</f>
        <v/>
      </c>
      <c r="AT181" s="190">
        <f>IF(IF('01_Вводные'!$B$296="Новый сезон",TRUE,TRUE),AT69*CapacityAge17*'01_Вводные'!$F$199,0)</f>
        <v/>
      </c>
      <c r="AU181" s="190">
        <f>IF(IF('01_Вводные'!$B$296="Новый сезон",TRUE,TRUE),AU69*CapacityAge17*'01_Вводные'!$F$199,0)</f>
        <v/>
      </c>
      <c r="AV181" s="190">
        <f>IF(IF('01_Вводные'!$B$296="Новый сезон",TRUE,TRUE),AV69*CapacityAge17*'01_Вводные'!$F$199,0)</f>
        <v/>
      </c>
      <c r="AW181" s="190">
        <f>IF(IF('01_Вводные'!$B$296="Новый сезон",TRUE,TRUE),AW69*CapacityAge17*'01_Вводные'!$F$199,0)</f>
        <v/>
      </c>
      <c r="AX181" s="190">
        <f>IF(IF('01_Вводные'!$B$296="Новый сезон",TRUE,TRUE),AX69*CapacityAge17*'01_Вводные'!$F$199,0)</f>
        <v/>
      </c>
      <c r="AY181" s="190">
        <f>IF(IF('01_Вводные'!$B$296="Новый сезон",TRUE,TRUE),AY69*CapacityAge17*'01_Вводные'!$F$199,0)</f>
        <v/>
      </c>
      <c r="AZ181" s="190">
        <f>IF(IF('01_Вводные'!$B$296="Новый сезон",TRUE,TRUE),AZ69*CapacityAge17*'01_Вводные'!$F$199,0)</f>
        <v/>
      </c>
      <c r="BA181" s="190">
        <f>IF(IF('01_Вводные'!$B$296="Новый сезон",TRUE,TRUE),BA69*CapacityAge17*'01_Вводные'!$F$199,0)</f>
        <v/>
      </c>
      <c r="BB181" s="190">
        <f>IF(IF('01_Вводные'!$B$296="Новый сезон",TRUE,TRUE),BB69*CapacityAge17*'01_Вводные'!$F$199,0)</f>
        <v/>
      </c>
      <c r="BC181" s="190">
        <f>IF(IF('01_Вводные'!$B$296="Новый сезон",TRUE,TRUE),BC69*CapacityAge17*'01_Вводные'!$F$199,0)</f>
        <v/>
      </c>
      <c r="BD181" s="190">
        <f>IF(IF('01_Вводные'!$B$296="Новый сезон",TRUE,TRUE),BD69*CapacityAge17*'01_Вводные'!$F$199,0)</f>
        <v/>
      </c>
      <c r="BE181" s="190">
        <f>IF(IF('01_Вводные'!$B$296="Новый сезон",TRUE,TRUE),BE69*CapacityAge17*'01_Вводные'!$F$199,0)</f>
        <v/>
      </c>
      <c r="BF181" s="190">
        <f>IF(IF('01_Вводные'!$B$296="Новый сезон",TRUE,TRUE),BF69*CapacityAge17*'01_Вводные'!$F$199,0)</f>
        <v/>
      </c>
      <c r="BG181" s="190">
        <f>IF(IF('01_Вводные'!$B$296="Новый сезон",TRUE,TRUE),BG69*CapacityAge17*'01_Вводные'!$F$199,0)</f>
        <v/>
      </c>
      <c r="BH181" s="190">
        <f>IF(IF('01_Вводные'!$B$296="Новый сезон",TRUE,TRUE),BH69*CapacityAge17*'01_Вводные'!$F$199,0)</f>
        <v/>
      </c>
      <c r="BI181" s="190">
        <f>IF(IF('01_Вводные'!$B$296="Новый сезон",TRUE,TRUE),BI69*CapacityAge17*'01_Вводные'!$F$199,0)</f>
        <v/>
      </c>
      <c r="BJ181" s="190">
        <f>IF(IF('01_Вводные'!$B$296="Новый сезон",TRUE,TRUE),BJ69*CapacityAge17*'01_Вводные'!$F$199,0)</f>
        <v/>
      </c>
      <c r="BK181" s="190">
        <f>IF(IF('01_Вводные'!$B$296="Новый сезон",TRUE,TRUE),BK69*CapacityAge17*'01_Вводные'!$F$199,0)</f>
        <v/>
      </c>
      <c r="BL181" s="190">
        <f>IF(IF('01_Вводные'!$B$296="Новый сезон",TRUE,TRUE),BL69*CapacityAge17*'01_Вводные'!$F$199,0)</f>
        <v/>
      </c>
      <c r="BM181" s="190">
        <f>IF(IF('01_Вводные'!$B$296="Новый сезон",TRUE,TRUE),BM69*CapacityAge17*'01_Вводные'!$F$199,0)</f>
        <v/>
      </c>
      <c r="BN181" s="190">
        <f>IF(IF('01_Вводные'!$B$296="Новый сезон",TRUE,TRUE),BN69*CapacityAge17*'01_Вводные'!$F$199,0)</f>
        <v/>
      </c>
      <c r="BO181" s="190">
        <f>IF(IF('01_Вводные'!$B$296="Новый сезон",TRUE,TRUE),BO69*CapacityAge17*'01_Вводные'!$F$199,0)</f>
        <v/>
      </c>
    </row>
    <row r="182" hidden="1" outlineLevel="1">
      <c r="A182" t="inlineStr">
        <is>
          <t>18 мес.</t>
        </is>
      </c>
      <c r="B182" s="191">
        <f>IF(IF('01_Вводные'!$B$296="Новый сезон",TRUE,TRUE),B70*CapacityAge18*'01_Вводные'!$F$199,0)</f>
        <v/>
      </c>
      <c r="C182" s="191">
        <f>IF(IF('01_Вводные'!$B$296="Новый сезон",TRUE,TRUE),C70*CapacityAge18*'01_Вводные'!$F$199,0)</f>
        <v/>
      </c>
      <c r="D182" s="191">
        <f>IF(IF('01_Вводные'!$B$296="Новый сезон",TRUE,TRUE),D70*CapacityAge18*'01_Вводные'!$F$199,0)</f>
        <v/>
      </c>
      <c r="E182" s="191">
        <f>IF(IF('01_Вводные'!$B$296="Новый сезон",TRUE,TRUE),E70*CapacityAge18*'01_Вводные'!$F$199,0)</f>
        <v/>
      </c>
      <c r="F182" s="191">
        <f>IF(IF('01_Вводные'!$B$296="Новый сезон",TRUE,TRUE),F70*CapacityAge18*'01_Вводные'!$F$199,0)</f>
        <v/>
      </c>
      <c r="G182" s="191">
        <f>IF(IF('01_Вводные'!$B$296="Новый сезон",TRUE,TRUE),G70*CapacityAge18*'01_Вводные'!$F$199,0)</f>
        <v/>
      </c>
      <c r="H182" s="191">
        <f>IF(IF('01_Вводные'!$B$296="Новый сезон",TRUE,TRUE),H70*CapacityAge18*'01_Вводные'!$F$199,0)</f>
        <v/>
      </c>
      <c r="I182" s="191">
        <f>IF(IF('01_Вводные'!$B$296="Новый сезон",TRUE,TRUE),I70*CapacityAge18*'01_Вводные'!$F$199,0)</f>
        <v/>
      </c>
      <c r="J182" s="191">
        <f>IF(IF('01_Вводные'!$B$296="Новый сезон",TRUE,TRUE),J70*CapacityAge18*'01_Вводные'!$F$199,0)</f>
        <v/>
      </c>
      <c r="K182" s="191">
        <f>IF(IF('01_Вводные'!$B$296="Новый сезон",TRUE,TRUE),K70*CapacityAge18*'01_Вводные'!$F$199,0)</f>
        <v/>
      </c>
      <c r="L182" s="191">
        <f>IF(IF('01_Вводные'!$B$296="Новый сезон",TRUE,TRUE),L70*CapacityAge18*'01_Вводные'!$F$199,0)</f>
        <v/>
      </c>
      <c r="M182" s="191">
        <f>IF(IF('01_Вводные'!$B$296="Новый сезон",TRUE,TRUE),M70*CapacityAge18*'01_Вводные'!$F$199,0)</f>
        <v/>
      </c>
      <c r="N182" s="191">
        <f>IF(IF('01_Вводные'!$B$296="Новый сезон",TRUE,TRUE),N70*CapacityAge18*'01_Вводные'!$F$199,0)</f>
        <v/>
      </c>
      <c r="O182" s="191">
        <f>IF(IF('01_Вводные'!$B$296="Новый сезон",TRUE,TRUE),O70*CapacityAge18*'01_Вводные'!$F$199,0)</f>
        <v/>
      </c>
      <c r="P182" s="191">
        <f>IF(IF('01_Вводные'!$B$296="Новый сезон",TRUE,TRUE),P70*CapacityAge18*'01_Вводные'!$F$199,0)</f>
        <v/>
      </c>
      <c r="Q182" s="191">
        <f>IF(IF('01_Вводные'!$B$296="Новый сезон",TRUE,TRUE),Q70*CapacityAge18*'01_Вводные'!$F$199,0)</f>
        <v/>
      </c>
      <c r="R182" s="191">
        <f>IF(IF('01_Вводные'!$B$296="Новый сезон",TRUE,TRUE),R70*CapacityAge18*'01_Вводные'!$F$199,0)</f>
        <v/>
      </c>
      <c r="S182" s="191">
        <f>IF(IF('01_Вводные'!$B$296="Новый сезон",TRUE,TRUE),S70*CapacityAge18*'01_Вводные'!$F$199,0)</f>
        <v/>
      </c>
      <c r="T182" s="191">
        <f>IF(IF('01_Вводные'!$B$296="Новый сезон",TRUE,TRUE),T70*CapacityAge18*'01_Вводные'!$F$199,0)</f>
        <v/>
      </c>
      <c r="U182" s="191">
        <f>IF(IF('01_Вводные'!$B$296="Новый сезон",TRUE,TRUE),U70*CapacityAge18*'01_Вводные'!$F$199,0)</f>
        <v/>
      </c>
      <c r="V182" s="191">
        <f>IF(IF('01_Вводные'!$B$296="Новый сезон",TRUE,TRUE),V70*CapacityAge18*'01_Вводные'!$F$199,0)</f>
        <v/>
      </c>
      <c r="W182" s="191">
        <f>IF(IF('01_Вводные'!$B$296="Новый сезон",TRUE,TRUE),W70*CapacityAge18*'01_Вводные'!$F$199,0)</f>
        <v/>
      </c>
      <c r="X182" s="191">
        <f>IF(IF('01_Вводные'!$B$296="Новый сезон",TRUE,TRUE),X70*CapacityAge18*'01_Вводные'!$F$199,0)</f>
        <v/>
      </c>
      <c r="Y182" s="191">
        <f>IF(IF('01_Вводные'!$B$296="Новый сезон",TRUE,TRUE),Y70*CapacityAge18*'01_Вводные'!$F$199,0)</f>
        <v/>
      </c>
      <c r="Z182" s="191">
        <f>IF(IF('01_Вводные'!$B$296="Новый сезон",TRUE,TRUE),Z70*CapacityAge18*'01_Вводные'!$F$199,0)</f>
        <v/>
      </c>
      <c r="AA182" s="191">
        <f>IF(IF('01_Вводные'!$B$296="Новый сезон",TRUE,TRUE),AA70*CapacityAge18*'01_Вводные'!$F$199,0)</f>
        <v/>
      </c>
      <c r="AB182" s="191">
        <f>IF(IF('01_Вводные'!$B$296="Новый сезон",TRUE,TRUE),AB70*CapacityAge18*'01_Вводные'!$F$199,0)</f>
        <v/>
      </c>
      <c r="AC182" s="191">
        <f>IF(IF('01_Вводные'!$B$296="Новый сезон",TRUE,TRUE),AC70*CapacityAge18*'01_Вводные'!$F$199,0)</f>
        <v/>
      </c>
      <c r="AD182" s="191">
        <f>IF(IF('01_Вводные'!$B$296="Новый сезон",TRUE,TRUE),AD70*CapacityAge18*'01_Вводные'!$F$199,0)</f>
        <v/>
      </c>
      <c r="AE182" s="191">
        <f>IF(IF('01_Вводные'!$B$296="Новый сезон",TRUE,TRUE),AE70*CapacityAge18*'01_Вводные'!$F$199,0)</f>
        <v/>
      </c>
      <c r="AF182" s="191">
        <f>IF(IF('01_Вводные'!$B$296="Новый сезон",TRUE,TRUE),AF70*CapacityAge18*'01_Вводные'!$F$199,0)</f>
        <v/>
      </c>
      <c r="AG182" s="191">
        <f>IF(IF('01_Вводные'!$B$296="Новый сезон",TRUE,TRUE),AG70*CapacityAge18*'01_Вводные'!$F$199,0)</f>
        <v/>
      </c>
      <c r="AH182" s="191">
        <f>IF(IF('01_Вводные'!$B$296="Новый сезон",TRUE,TRUE),AH70*CapacityAge18*'01_Вводные'!$F$199,0)</f>
        <v/>
      </c>
      <c r="AI182" s="191">
        <f>IF(IF('01_Вводные'!$B$296="Новый сезон",TRUE,TRUE),AI70*CapacityAge18*'01_Вводные'!$F$199,0)</f>
        <v/>
      </c>
      <c r="AJ182" s="191">
        <f>IF(IF('01_Вводные'!$B$296="Новый сезон",TRUE,TRUE),AJ70*CapacityAge18*'01_Вводные'!$F$199,0)</f>
        <v/>
      </c>
      <c r="AK182" s="191">
        <f>IF(IF('01_Вводные'!$B$296="Новый сезон",TRUE,TRUE),AK70*CapacityAge18*'01_Вводные'!$F$199,0)</f>
        <v/>
      </c>
      <c r="AL182" s="190">
        <f>IF(IF('01_Вводные'!$B$296="Новый сезон",TRUE,TRUE),AL70*CapacityAge18*'01_Вводные'!$F$199,0)</f>
        <v/>
      </c>
      <c r="AM182" s="190">
        <f>IF(IF('01_Вводные'!$B$296="Новый сезон",TRUE,TRUE),AM70*CapacityAge18*'01_Вводные'!$F$199,0)</f>
        <v/>
      </c>
      <c r="AN182" s="190">
        <f>IF(IF('01_Вводные'!$B$296="Новый сезон",TRUE,TRUE),AN70*CapacityAge18*'01_Вводные'!$F$199,0)</f>
        <v/>
      </c>
      <c r="AO182" s="190">
        <f>IF(IF('01_Вводные'!$B$296="Новый сезон",TRUE,TRUE),AO70*CapacityAge18*'01_Вводные'!$F$199,0)</f>
        <v/>
      </c>
      <c r="AP182" s="190">
        <f>IF(IF('01_Вводные'!$B$296="Новый сезон",TRUE,TRUE),AP70*CapacityAge18*'01_Вводные'!$F$199,0)</f>
        <v/>
      </c>
      <c r="AQ182" s="190">
        <f>IF(IF('01_Вводные'!$B$296="Новый сезон",TRUE,TRUE),AQ70*CapacityAge18*'01_Вводные'!$F$199,0)</f>
        <v/>
      </c>
      <c r="AR182" s="190">
        <f>IF(IF('01_Вводные'!$B$296="Новый сезон",TRUE,TRUE),AR70*CapacityAge18*'01_Вводные'!$F$199,0)</f>
        <v/>
      </c>
      <c r="AS182" s="190">
        <f>IF(IF('01_Вводные'!$B$296="Новый сезон",TRUE,TRUE),AS70*CapacityAge18*'01_Вводные'!$F$199,0)</f>
        <v/>
      </c>
      <c r="AT182" s="190">
        <f>IF(IF('01_Вводные'!$B$296="Новый сезон",TRUE,TRUE),AT70*CapacityAge18*'01_Вводные'!$F$199,0)</f>
        <v/>
      </c>
      <c r="AU182" s="190">
        <f>IF(IF('01_Вводные'!$B$296="Новый сезон",TRUE,TRUE),AU70*CapacityAge18*'01_Вводные'!$F$199,0)</f>
        <v/>
      </c>
      <c r="AV182" s="190">
        <f>IF(IF('01_Вводные'!$B$296="Новый сезон",TRUE,TRUE),AV70*CapacityAge18*'01_Вводные'!$F$199,0)</f>
        <v/>
      </c>
      <c r="AW182" s="190">
        <f>IF(IF('01_Вводные'!$B$296="Новый сезон",TRUE,TRUE),AW70*CapacityAge18*'01_Вводные'!$F$199,0)</f>
        <v/>
      </c>
      <c r="AX182" s="190">
        <f>IF(IF('01_Вводные'!$B$296="Новый сезон",TRUE,TRUE),AX70*CapacityAge18*'01_Вводные'!$F$199,0)</f>
        <v/>
      </c>
      <c r="AY182" s="190">
        <f>IF(IF('01_Вводные'!$B$296="Новый сезон",TRUE,TRUE),AY70*CapacityAge18*'01_Вводные'!$F$199,0)</f>
        <v/>
      </c>
      <c r="AZ182" s="190">
        <f>IF(IF('01_Вводные'!$B$296="Новый сезон",TRUE,TRUE),AZ70*CapacityAge18*'01_Вводные'!$F$199,0)</f>
        <v/>
      </c>
      <c r="BA182" s="190">
        <f>IF(IF('01_Вводные'!$B$296="Новый сезон",TRUE,TRUE),BA70*CapacityAge18*'01_Вводные'!$F$199,0)</f>
        <v/>
      </c>
      <c r="BB182" s="190">
        <f>IF(IF('01_Вводные'!$B$296="Новый сезон",TRUE,TRUE),BB70*CapacityAge18*'01_Вводные'!$F$199,0)</f>
        <v/>
      </c>
      <c r="BC182" s="190">
        <f>IF(IF('01_Вводные'!$B$296="Новый сезон",TRUE,TRUE),BC70*CapacityAge18*'01_Вводные'!$F$199,0)</f>
        <v/>
      </c>
      <c r="BD182" s="190">
        <f>IF(IF('01_Вводные'!$B$296="Новый сезон",TRUE,TRUE),BD70*CapacityAge18*'01_Вводные'!$F$199,0)</f>
        <v/>
      </c>
      <c r="BE182" s="190">
        <f>IF(IF('01_Вводные'!$B$296="Новый сезон",TRUE,TRUE),BE70*CapacityAge18*'01_Вводные'!$F$199,0)</f>
        <v/>
      </c>
      <c r="BF182" s="190">
        <f>IF(IF('01_Вводные'!$B$296="Новый сезон",TRUE,TRUE),BF70*CapacityAge18*'01_Вводные'!$F$199,0)</f>
        <v/>
      </c>
      <c r="BG182" s="190">
        <f>IF(IF('01_Вводные'!$B$296="Новый сезон",TRUE,TRUE),BG70*CapacityAge18*'01_Вводные'!$F$199,0)</f>
        <v/>
      </c>
      <c r="BH182" s="190">
        <f>IF(IF('01_Вводные'!$B$296="Новый сезон",TRUE,TRUE),BH70*CapacityAge18*'01_Вводные'!$F$199,0)</f>
        <v/>
      </c>
      <c r="BI182" s="190">
        <f>IF(IF('01_Вводные'!$B$296="Новый сезон",TRUE,TRUE),BI70*CapacityAge18*'01_Вводные'!$F$199,0)</f>
        <v/>
      </c>
      <c r="BJ182" s="190">
        <f>IF(IF('01_Вводные'!$B$296="Новый сезон",TRUE,TRUE),BJ70*CapacityAge18*'01_Вводные'!$F$199,0)</f>
        <v/>
      </c>
      <c r="BK182" s="190">
        <f>IF(IF('01_Вводные'!$B$296="Новый сезон",TRUE,TRUE),BK70*CapacityAge18*'01_Вводные'!$F$199,0)</f>
        <v/>
      </c>
      <c r="BL182" s="190">
        <f>IF(IF('01_Вводные'!$B$296="Новый сезон",TRUE,TRUE),BL70*CapacityAge18*'01_Вводные'!$F$199,0)</f>
        <v/>
      </c>
      <c r="BM182" s="190">
        <f>IF(IF('01_Вводные'!$B$296="Новый сезон",TRUE,TRUE),BM70*CapacityAge18*'01_Вводные'!$F$199,0)</f>
        <v/>
      </c>
      <c r="BN182" s="190">
        <f>IF(IF('01_Вводные'!$B$296="Новый сезон",TRUE,TRUE),BN70*CapacityAge18*'01_Вводные'!$F$199,0)</f>
        <v/>
      </c>
      <c r="BO182" s="190">
        <f>IF(IF('01_Вводные'!$B$296="Новый сезон",TRUE,TRUE),BO70*CapacityAge18*'01_Вводные'!$F$199,0)</f>
        <v/>
      </c>
    </row>
    <row r="183" hidden="1" outlineLevel="1">
      <c r="A183" t="inlineStr">
        <is>
          <t>19 мес.</t>
        </is>
      </c>
      <c r="B183" s="191">
        <f>IF(IF('01_Вводные'!$B$296="Новый сезон",TRUE,TRUE),B71*CapacityAge19*'01_Вводные'!$F$199,0)</f>
        <v/>
      </c>
      <c r="C183" s="191">
        <f>IF(IF('01_Вводные'!$B$296="Новый сезон",TRUE,TRUE),C71*CapacityAge19*'01_Вводные'!$F$199,0)</f>
        <v/>
      </c>
      <c r="D183" s="191">
        <f>IF(IF('01_Вводные'!$B$296="Новый сезон",TRUE,TRUE),D71*CapacityAge19*'01_Вводные'!$F$199,0)</f>
        <v/>
      </c>
      <c r="E183" s="191">
        <f>IF(IF('01_Вводные'!$B$296="Новый сезон",TRUE,TRUE),E71*CapacityAge19*'01_Вводные'!$F$199,0)</f>
        <v/>
      </c>
      <c r="F183" s="191">
        <f>IF(IF('01_Вводные'!$B$296="Новый сезон",TRUE,TRUE),F71*CapacityAge19*'01_Вводные'!$F$199,0)</f>
        <v/>
      </c>
      <c r="G183" s="191">
        <f>IF(IF('01_Вводные'!$B$296="Новый сезон",TRUE,TRUE),G71*CapacityAge19*'01_Вводные'!$F$199,0)</f>
        <v/>
      </c>
      <c r="H183" s="191">
        <f>IF(IF('01_Вводные'!$B$296="Новый сезон",TRUE,TRUE),H71*CapacityAge19*'01_Вводные'!$F$199,0)</f>
        <v/>
      </c>
      <c r="I183" s="191">
        <f>IF(IF('01_Вводные'!$B$296="Новый сезон",TRUE,TRUE),I71*CapacityAge19*'01_Вводные'!$F$199,0)</f>
        <v/>
      </c>
      <c r="J183" s="191">
        <f>IF(IF('01_Вводные'!$B$296="Новый сезон",TRUE,TRUE),J71*CapacityAge19*'01_Вводные'!$F$199,0)</f>
        <v/>
      </c>
      <c r="K183" s="191">
        <f>IF(IF('01_Вводные'!$B$296="Новый сезон",TRUE,TRUE),K71*CapacityAge19*'01_Вводные'!$F$199,0)</f>
        <v/>
      </c>
      <c r="L183" s="191">
        <f>IF(IF('01_Вводные'!$B$296="Новый сезон",TRUE,TRUE),L71*CapacityAge19*'01_Вводные'!$F$199,0)</f>
        <v/>
      </c>
      <c r="M183" s="191">
        <f>IF(IF('01_Вводные'!$B$296="Новый сезон",TRUE,TRUE),M71*CapacityAge19*'01_Вводные'!$F$199,0)</f>
        <v/>
      </c>
      <c r="N183" s="191">
        <f>IF(IF('01_Вводные'!$B$296="Новый сезон",TRUE,TRUE),N71*CapacityAge19*'01_Вводные'!$F$199,0)</f>
        <v/>
      </c>
      <c r="O183" s="191">
        <f>IF(IF('01_Вводные'!$B$296="Новый сезон",TRUE,TRUE),O71*CapacityAge19*'01_Вводные'!$F$199,0)</f>
        <v/>
      </c>
      <c r="P183" s="191">
        <f>IF(IF('01_Вводные'!$B$296="Новый сезон",TRUE,TRUE),P71*CapacityAge19*'01_Вводные'!$F$199,0)</f>
        <v/>
      </c>
      <c r="Q183" s="191">
        <f>IF(IF('01_Вводные'!$B$296="Новый сезон",TRUE,TRUE),Q71*CapacityAge19*'01_Вводные'!$F$199,0)</f>
        <v/>
      </c>
      <c r="R183" s="191">
        <f>IF(IF('01_Вводные'!$B$296="Новый сезон",TRUE,TRUE),R71*CapacityAge19*'01_Вводные'!$F$199,0)</f>
        <v/>
      </c>
      <c r="S183" s="191">
        <f>IF(IF('01_Вводные'!$B$296="Новый сезон",TRUE,TRUE),S71*CapacityAge19*'01_Вводные'!$F$199,0)</f>
        <v/>
      </c>
      <c r="T183" s="191">
        <f>IF(IF('01_Вводные'!$B$296="Новый сезон",TRUE,TRUE),T71*CapacityAge19*'01_Вводные'!$F$199,0)</f>
        <v/>
      </c>
      <c r="U183" s="191">
        <f>IF(IF('01_Вводные'!$B$296="Новый сезон",TRUE,TRUE),U71*CapacityAge19*'01_Вводные'!$F$199,0)</f>
        <v/>
      </c>
      <c r="V183" s="191">
        <f>IF(IF('01_Вводные'!$B$296="Новый сезон",TRUE,TRUE),V71*CapacityAge19*'01_Вводные'!$F$199,0)</f>
        <v/>
      </c>
      <c r="W183" s="191">
        <f>IF(IF('01_Вводные'!$B$296="Новый сезон",TRUE,TRUE),W71*CapacityAge19*'01_Вводные'!$F$199,0)</f>
        <v/>
      </c>
      <c r="X183" s="191">
        <f>IF(IF('01_Вводные'!$B$296="Новый сезон",TRUE,TRUE),X71*CapacityAge19*'01_Вводные'!$F$199,0)</f>
        <v/>
      </c>
      <c r="Y183" s="191">
        <f>IF(IF('01_Вводные'!$B$296="Новый сезон",TRUE,TRUE),Y71*CapacityAge19*'01_Вводные'!$F$199,0)</f>
        <v/>
      </c>
      <c r="Z183" s="191">
        <f>IF(IF('01_Вводные'!$B$296="Новый сезон",TRUE,TRUE),Z71*CapacityAge19*'01_Вводные'!$F$199,0)</f>
        <v/>
      </c>
      <c r="AA183" s="191">
        <f>IF(IF('01_Вводные'!$B$296="Новый сезон",TRUE,TRUE),AA71*CapacityAge19*'01_Вводные'!$F$199,0)</f>
        <v/>
      </c>
      <c r="AB183" s="191">
        <f>IF(IF('01_Вводные'!$B$296="Новый сезон",TRUE,TRUE),AB71*CapacityAge19*'01_Вводные'!$F$199,0)</f>
        <v/>
      </c>
      <c r="AC183" s="191">
        <f>IF(IF('01_Вводные'!$B$296="Новый сезон",TRUE,TRUE),AC71*CapacityAge19*'01_Вводные'!$F$199,0)</f>
        <v/>
      </c>
      <c r="AD183" s="191">
        <f>IF(IF('01_Вводные'!$B$296="Новый сезон",TRUE,TRUE),AD71*CapacityAge19*'01_Вводные'!$F$199,0)</f>
        <v/>
      </c>
      <c r="AE183" s="191">
        <f>IF(IF('01_Вводные'!$B$296="Новый сезон",TRUE,TRUE),AE71*CapacityAge19*'01_Вводные'!$F$199,0)</f>
        <v/>
      </c>
      <c r="AF183" s="191">
        <f>IF(IF('01_Вводные'!$B$296="Новый сезон",TRUE,TRUE),AF71*CapacityAge19*'01_Вводные'!$F$199,0)</f>
        <v/>
      </c>
      <c r="AG183" s="191">
        <f>IF(IF('01_Вводные'!$B$296="Новый сезон",TRUE,TRUE),AG71*CapacityAge19*'01_Вводные'!$F$199,0)</f>
        <v/>
      </c>
      <c r="AH183" s="191">
        <f>IF(IF('01_Вводные'!$B$296="Новый сезон",TRUE,TRUE),AH71*CapacityAge19*'01_Вводные'!$F$199,0)</f>
        <v/>
      </c>
      <c r="AI183" s="191">
        <f>IF(IF('01_Вводные'!$B$296="Новый сезон",TRUE,TRUE),AI71*CapacityAge19*'01_Вводные'!$F$199,0)</f>
        <v/>
      </c>
      <c r="AJ183" s="191">
        <f>IF(IF('01_Вводные'!$B$296="Новый сезон",TRUE,TRUE),AJ71*CapacityAge19*'01_Вводные'!$F$199,0)</f>
        <v/>
      </c>
      <c r="AK183" s="191">
        <f>IF(IF('01_Вводные'!$B$296="Новый сезон",TRUE,TRUE),AK71*CapacityAge19*'01_Вводные'!$F$199,0)</f>
        <v/>
      </c>
      <c r="AL183" s="190">
        <f>IF(IF('01_Вводные'!$B$296="Новый сезон",TRUE,TRUE),AL71*CapacityAge19*'01_Вводные'!$F$199,0)</f>
        <v/>
      </c>
      <c r="AM183" s="190">
        <f>IF(IF('01_Вводные'!$B$296="Новый сезон",TRUE,TRUE),AM71*CapacityAge19*'01_Вводные'!$F$199,0)</f>
        <v/>
      </c>
      <c r="AN183" s="190">
        <f>IF(IF('01_Вводные'!$B$296="Новый сезон",TRUE,TRUE),AN71*CapacityAge19*'01_Вводные'!$F$199,0)</f>
        <v/>
      </c>
      <c r="AO183" s="190">
        <f>IF(IF('01_Вводные'!$B$296="Новый сезон",TRUE,TRUE),AO71*CapacityAge19*'01_Вводные'!$F$199,0)</f>
        <v/>
      </c>
      <c r="AP183" s="190">
        <f>IF(IF('01_Вводные'!$B$296="Новый сезон",TRUE,TRUE),AP71*CapacityAge19*'01_Вводные'!$F$199,0)</f>
        <v/>
      </c>
      <c r="AQ183" s="190">
        <f>IF(IF('01_Вводные'!$B$296="Новый сезон",TRUE,TRUE),AQ71*CapacityAge19*'01_Вводные'!$F$199,0)</f>
        <v/>
      </c>
      <c r="AR183" s="190">
        <f>IF(IF('01_Вводные'!$B$296="Новый сезон",TRUE,TRUE),AR71*CapacityAge19*'01_Вводные'!$F$199,0)</f>
        <v/>
      </c>
      <c r="AS183" s="190">
        <f>IF(IF('01_Вводные'!$B$296="Новый сезон",TRUE,TRUE),AS71*CapacityAge19*'01_Вводные'!$F$199,0)</f>
        <v/>
      </c>
      <c r="AT183" s="190">
        <f>IF(IF('01_Вводные'!$B$296="Новый сезон",TRUE,TRUE),AT71*CapacityAge19*'01_Вводные'!$F$199,0)</f>
        <v/>
      </c>
      <c r="AU183" s="190">
        <f>IF(IF('01_Вводные'!$B$296="Новый сезон",TRUE,TRUE),AU71*CapacityAge19*'01_Вводные'!$F$199,0)</f>
        <v/>
      </c>
      <c r="AV183" s="190">
        <f>IF(IF('01_Вводные'!$B$296="Новый сезон",TRUE,TRUE),AV71*CapacityAge19*'01_Вводные'!$F$199,0)</f>
        <v/>
      </c>
      <c r="AW183" s="190">
        <f>IF(IF('01_Вводные'!$B$296="Новый сезон",TRUE,TRUE),AW71*CapacityAge19*'01_Вводные'!$F$199,0)</f>
        <v/>
      </c>
      <c r="AX183" s="190">
        <f>IF(IF('01_Вводные'!$B$296="Новый сезон",TRUE,TRUE),AX71*CapacityAge19*'01_Вводные'!$F$199,0)</f>
        <v/>
      </c>
      <c r="AY183" s="190">
        <f>IF(IF('01_Вводные'!$B$296="Новый сезон",TRUE,TRUE),AY71*CapacityAge19*'01_Вводные'!$F$199,0)</f>
        <v/>
      </c>
      <c r="AZ183" s="190">
        <f>IF(IF('01_Вводные'!$B$296="Новый сезон",TRUE,TRUE),AZ71*CapacityAge19*'01_Вводные'!$F$199,0)</f>
        <v/>
      </c>
      <c r="BA183" s="190">
        <f>IF(IF('01_Вводные'!$B$296="Новый сезон",TRUE,TRUE),BA71*CapacityAge19*'01_Вводные'!$F$199,0)</f>
        <v/>
      </c>
      <c r="BB183" s="190">
        <f>IF(IF('01_Вводные'!$B$296="Новый сезон",TRUE,TRUE),BB71*CapacityAge19*'01_Вводные'!$F$199,0)</f>
        <v/>
      </c>
      <c r="BC183" s="190">
        <f>IF(IF('01_Вводные'!$B$296="Новый сезон",TRUE,TRUE),BC71*CapacityAge19*'01_Вводные'!$F$199,0)</f>
        <v/>
      </c>
      <c r="BD183" s="190">
        <f>IF(IF('01_Вводные'!$B$296="Новый сезон",TRUE,TRUE),BD71*CapacityAge19*'01_Вводные'!$F$199,0)</f>
        <v/>
      </c>
      <c r="BE183" s="190">
        <f>IF(IF('01_Вводные'!$B$296="Новый сезон",TRUE,TRUE),BE71*CapacityAge19*'01_Вводные'!$F$199,0)</f>
        <v/>
      </c>
      <c r="BF183" s="190">
        <f>IF(IF('01_Вводные'!$B$296="Новый сезон",TRUE,TRUE),BF71*CapacityAge19*'01_Вводные'!$F$199,0)</f>
        <v/>
      </c>
      <c r="BG183" s="190">
        <f>IF(IF('01_Вводные'!$B$296="Новый сезон",TRUE,TRUE),BG71*CapacityAge19*'01_Вводные'!$F$199,0)</f>
        <v/>
      </c>
      <c r="BH183" s="190">
        <f>IF(IF('01_Вводные'!$B$296="Новый сезон",TRUE,TRUE),BH71*CapacityAge19*'01_Вводные'!$F$199,0)</f>
        <v/>
      </c>
      <c r="BI183" s="190">
        <f>IF(IF('01_Вводные'!$B$296="Новый сезон",TRUE,TRUE),BI71*CapacityAge19*'01_Вводные'!$F$199,0)</f>
        <v/>
      </c>
      <c r="BJ183" s="190">
        <f>IF(IF('01_Вводные'!$B$296="Новый сезон",TRUE,TRUE),BJ71*CapacityAge19*'01_Вводные'!$F$199,0)</f>
        <v/>
      </c>
      <c r="BK183" s="190">
        <f>IF(IF('01_Вводные'!$B$296="Новый сезон",TRUE,TRUE),BK71*CapacityAge19*'01_Вводные'!$F$199,0)</f>
        <v/>
      </c>
      <c r="BL183" s="190">
        <f>IF(IF('01_Вводные'!$B$296="Новый сезон",TRUE,TRUE),BL71*CapacityAge19*'01_Вводные'!$F$199,0)</f>
        <v/>
      </c>
      <c r="BM183" s="190">
        <f>IF(IF('01_Вводные'!$B$296="Новый сезон",TRUE,TRUE),BM71*CapacityAge19*'01_Вводные'!$F$199,0)</f>
        <v/>
      </c>
      <c r="BN183" s="190">
        <f>IF(IF('01_Вводные'!$B$296="Новый сезон",TRUE,TRUE),BN71*CapacityAge19*'01_Вводные'!$F$199,0)</f>
        <v/>
      </c>
      <c r="BO183" s="190">
        <f>IF(IF('01_Вводные'!$B$296="Новый сезон",TRUE,TRUE),BO71*CapacityAge19*'01_Вводные'!$F$199,0)</f>
        <v/>
      </c>
    </row>
    <row r="184" hidden="1" outlineLevel="1">
      <c r="A184" t="inlineStr">
        <is>
          <t>20 мес.</t>
        </is>
      </c>
      <c r="B184" s="191">
        <f>IF(IF('01_Вводные'!$B$296="Новый сезон",TRUE,TRUE),B72*CapacityAge20*'01_Вводные'!$F$199,0)</f>
        <v/>
      </c>
      <c r="C184" s="191">
        <f>IF(IF('01_Вводные'!$B$296="Новый сезон",TRUE,TRUE),C72*CapacityAge20*'01_Вводные'!$F$199,0)</f>
        <v/>
      </c>
      <c r="D184" s="191">
        <f>IF(IF('01_Вводные'!$B$296="Новый сезон",TRUE,TRUE),D72*CapacityAge20*'01_Вводные'!$F$199,0)</f>
        <v/>
      </c>
      <c r="E184" s="191">
        <f>IF(IF('01_Вводные'!$B$296="Новый сезон",TRUE,TRUE),E72*CapacityAge20*'01_Вводные'!$F$199,0)</f>
        <v/>
      </c>
      <c r="F184" s="191">
        <f>IF(IF('01_Вводные'!$B$296="Новый сезон",TRUE,TRUE),F72*CapacityAge20*'01_Вводные'!$F$199,0)</f>
        <v/>
      </c>
      <c r="G184" s="191">
        <f>IF(IF('01_Вводные'!$B$296="Новый сезон",TRUE,TRUE),G72*CapacityAge20*'01_Вводные'!$F$199,0)</f>
        <v/>
      </c>
      <c r="H184" s="191">
        <f>IF(IF('01_Вводные'!$B$296="Новый сезон",TRUE,TRUE),H72*CapacityAge20*'01_Вводные'!$F$199,0)</f>
        <v/>
      </c>
      <c r="I184" s="191">
        <f>IF(IF('01_Вводные'!$B$296="Новый сезон",TRUE,TRUE),I72*CapacityAge20*'01_Вводные'!$F$199,0)</f>
        <v/>
      </c>
      <c r="J184" s="191">
        <f>IF(IF('01_Вводные'!$B$296="Новый сезон",TRUE,TRUE),J72*CapacityAge20*'01_Вводные'!$F$199,0)</f>
        <v/>
      </c>
      <c r="K184" s="191">
        <f>IF(IF('01_Вводные'!$B$296="Новый сезон",TRUE,TRUE),K72*CapacityAge20*'01_Вводные'!$F$199,0)</f>
        <v/>
      </c>
      <c r="L184" s="191">
        <f>IF(IF('01_Вводные'!$B$296="Новый сезон",TRUE,TRUE),L72*CapacityAge20*'01_Вводные'!$F$199,0)</f>
        <v/>
      </c>
      <c r="M184" s="191">
        <f>IF(IF('01_Вводные'!$B$296="Новый сезон",TRUE,TRUE),M72*CapacityAge20*'01_Вводные'!$F$199,0)</f>
        <v/>
      </c>
      <c r="N184" s="191">
        <f>IF(IF('01_Вводные'!$B$296="Новый сезон",TRUE,TRUE),N72*CapacityAge20*'01_Вводные'!$F$199,0)</f>
        <v/>
      </c>
      <c r="O184" s="191">
        <f>IF(IF('01_Вводные'!$B$296="Новый сезон",TRUE,TRUE),O72*CapacityAge20*'01_Вводные'!$F$199,0)</f>
        <v/>
      </c>
      <c r="P184" s="191">
        <f>IF(IF('01_Вводные'!$B$296="Новый сезон",TRUE,TRUE),P72*CapacityAge20*'01_Вводные'!$F$199,0)</f>
        <v/>
      </c>
      <c r="Q184" s="191">
        <f>IF(IF('01_Вводные'!$B$296="Новый сезон",TRUE,TRUE),Q72*CapacityAge20*'01_Вводные'!$F$199,0)</f>
        <v/>
      </c>
      <c r="R184" s="191">
        <f>IF(IF('01_Вводные'!$B$296="Новый сезон",TRUE,TRUE),R72*CapacityAge20*'01_Вводные'!$F$199,0)</f>
        <v/>
      </c>
      <c r="S184" s="191">
        <f>IF(IF('01_Вводные'!$B$296="Новый сезон",TRUE,TRUE),S72*CapacityAge20*'01_Вводные'!$F$199,0)</f>
        <v/>
      </c>
      <c r="T184" s="191">
        <f>IF(IF('01_Вводные'!$B$296="Новый сезон",TRUE,TRUE),T72*CapacityAge20*'01_Вводные'!$F$199,0)</f>
        <v/>
      </c>
      <c r="U184" s="191">
        <f>IF(IF('01_Вводные'!$B$296="Новый сезон",TRUE,TRUE),U72*CapacityAge20*'01_Вводные'!$F$199,0)</f>
        <v/>
      </c>
      <c r="V184" s="191">
        <f>IF(IF('01_Вводные'!$B$296="Новый сезон",TRUE,TRUE),V72*CapacityAge20*'01_Вводные'!$F$199,0)</f>
        <v/>
      </c>
      <c r="W184" s="191">
        <f>IF(IF('01_Вводные'!$B$296="Новый сезон",TRUE,TRUE),W72*CapacityAge20*'01_Вводные'!$F$199,0)</f>
        <v/>
      </c>
      <c r="X184" s="191">
        <f>IF(IF('01_Вводные'!$B$296="Новый сезон",TRUE,TRUE),X72*CapacityAge20*'01_Вводные'!$F$199,0)</f>
        <v/>
      </c>
      <c r="Y184" s="191">
        <f>IF(IF('01_Вводные'!$B$296="Новый сезон",TRUE,TRUE),Y72*CapacityAge20*'01_Вводные'!$F$199,0)</f>
        <v/>
      </c>
      <c r="Z184" s="191">
        <f>IF(IF('01_Вводные'!$B$296="Новый сезон",TRUE,TRUE),Z72*CapacityAge20*'01_Вводные'!$F$199,0)</f>
        <v/>
      </c>
      <c r="AA184" s="191">
        <f>IF(IF('01_Вводные'!$B$296="Новый сезон",TRUE,TRUE),AA72*CapacityAge20*'01_Вводные'!$F$199,0)</f>
        <v/>
      </c>
      <c r="AB184" s="191">
        <f>IF(IF('01_Вводные'!$B$296="Новый сезон",TRUE,TRUE),AB72*CapacityAge20*'01_Вводные'!$F$199,0)</f>
        <v/>
      </c>
      <c r="AC184" s="191">
        <f>IF(IF('01_Вводные'!$B$296="Новый сезон",TRUE,TRUE),AC72*CapacityAge20*'01_Вводные'!$F$199,0)</f>
        <v/>
      </c>
      <c r="AD184" s="191">
        <f>IF(IF('01_Вводные'!$B$296="Новый сезон",TRUE,TRUE),AD72*CapacityAge20*'01_Вводные'!$F$199,0)</f>
        <v/>
      </c>
      <c r="AE184" s="191">
        <f>IF(IF('01_Вводные'!$B$296="Новый сезон",TRUE,TRUE),AE72*CapacityAge20*'01_Вводные'!$F$199,0)</f>
        <v/>
      </c>
      <c r="AF184" s="191">
        <f>IF(IF('01_Вводные'!$B$296="Новый сезон",TRUE,TRUE),AF72*CapacityAge20*'01_Вводные'!$F$199,0)</f>
        <v/>
      </c>
      <c r="AG184" s="191">
        <f>IF(IF('01_Вводные'!$B$296="Новый сезон",TRUE,TRUE),AG72*CapacityAge20*'01_Вводные'!$F$199,0)</f>
        <v/>
      </c>
      <c r="AH184" s="191">
        <f>IF(IF('01_Вводные'!$B$296="Новый сезон",TRUE,TRUE),AH72*CapacityAge20*'01_Вводные'!$F$199,0)</f>
        <v/>
      </c>
      <c r="AI184" s="191">
        <f>IF(IF('01_Вводные'!$B$296="Новый сезон",TRUE,TRUE),AI72*CapacityAge20*'01_Вводные'!$F$199,0)</f>
        <v/>
      </c>
      <c r="AJ184" s="191">
        <f>IF(IF('01_Вводные'!$B$296="Новый сезон",TRUE,TRUE),AJ72*CapacityAge20*'01_Вводные'!$F$199,0)</f>
        <v/>
      </c>
      <c r="AK184" s="191">
        <f>IF(IF('01_Вводные'!$B$296="Новый сезон",TRUE,TRUE),AK72*CapacityAge20*'01_Вводные'!$F$199,0)</f>
        <v/>
      </c>
      <c r="AL184" s="190">
        <f>IF(IF('01_Вводные'!$B$296="Новый сезон",TRUE,TRUE),AL72*CapacityAge20*'01_Вводные'!$F$199,0)</f>
        <v/>
      </c>
      <c r="AM184" s="190">
        <f>IF(IF('01_Вводные'!$B$296="Новый сезон",TRUE,TRUE),AM72*CapacityAge20*'01_Вводные'!$F$199,0)</f>
        <v/>
      </c>
      <c r="AN184" s="190">
        <f>IF(IF('01_Вводные'!$B$296="Новый сезон",TRUE,TRUE),AN72*CapacityAge20*'01_Вводные'!$F$199,0)</f>
        <v/>
      </c>
      <c r="AO184" s="190">
        <f>IF(IF('01_Вводные'!$B$296="Новый сезон",TRUE,TRUE),AO72*CapacityAge20*'01_Вводные'!$F$199,0)</f>
        <v/>
      </c>
      <c r="AP184" s="190">
        <f>IF(IF('01_Вводные'!$B$296="Новый сезон",TRUE,TRUE),AP72*CapacityAge20*'01_Вводные'!$F$199,0)</f>
        <v/>
      </c>
      <c r="AQ184" s="190">
        <f>IF(IF('01_Вводные'!$B$296="Новый сезон",TRUE,TRUE),AQ72*CapacityAge20*'01_Вводные'!$F$199,0)</f>
        <v/>
      </c>
      <c r="AR184" s="190">
        <f>IF(IF('01_Вводные'!$B$296="Новый сезон",TRUE,TRUE),AR72*CapacityAge20*'01_Вводные'!$F$199,0)</f>
        <v/>
      </c>
      <c r="AS184" s="190">
        <f>IF(IF('01_Вводные'!$B$296="Новый сезон",TRUE,TRUE),AS72*CapacityAge20*'01_Вводные'!$F$199,0)</f>
        <v/>
      </c>
      <c r="AT184" s="190">
        <f>IF(IF('01_Вводные'!$B$296="Новый сезон",TRUE,TRUE),AT72*CapacityAge20*'01_Вводные'!$F$199,0)</f>
        <v/>
      </c>
      <c r="AU184" s="190">
        <f>IF(IF('01_Вводные'!$B$296="Новый сезон",TRUE,TRUE),AU72*CapacityAge20*'01_Вводные'!$F$199,0)</f>
        <v/>
      </c>
      <c r="AV184" s="190">
        <f>IF(IF('01_Вводные'!$B$296="Новый сезон",TRUE,TRUE),AV72*CapacityAge20*'01_Вводные'!$F$199,0)</f>
        <v/>
      </c>
      <c r="AW184" s="190">
        <f>IF(IF('01_Вводные'!$B$296="Новый сезон",TRUE,TRUE),AW72*CapacityAge20*'01_Вводные'!$F$199,0)</f>
        <v/>
      </c>
      <c r="AX184" s="190">
        <f>IF(IF('01_Вводные'!$B$296="Новый сезон",TRUE,TRUE),AX72*CapacityAge20*'01_Вводные'!$F$199,0)</f>
        <v/>
      </c>
      <c r="AY184" s="190">
        <f>IF(IF('01_Вводные'!$B$296="Новый сезон",TRUE,TRUE),AY72*CapacityAge20*'01_Вводные'!$F$199,0)</f>
        <v/>
      </c>
      <c r="AZ184" s="190">
        <f>IF(IF('01_Вводные'!$B$296="Новый сезон",TRUE,TRUE),AZ72*CapacityAge20*'01_Вводные'!$F$199,0)</f>
        <v/>
      </c>
      <c r="BA184" s="190">
        <f>IF(IF('01_Вводные'!$B$296="Новый сезон",TRUE,TRUE),BA72*CapacityAge20*'01_Вводные'!$F$199,0)</f>
        <v/>
      </c>
      <c r="BB184" s="190">
        <f>IF(IF('01_Вводные'!$B$296="Новый сезон",TRUE,TRUE),BB72*CapacityAge20*'01_Вводные'!$F$199,0)</f>
        <v/>
      </c>
      <c r="BC184" s="190">
        <f>IF(IF('01_Вводные'!$B$296="Новый сезон",TRUE,TRUE),BC72*CapacityAge20*'01_Вводные'!$F$199,0)</f>
        <v/>
      </c>
      <c r="BD184" s="190">
        <f>IF(IF('01_Вводные'!$B$296="Новый сезон",TRUE,TRUE),BD72*CapacityAge20*'01_Вводные'!$F$199,0)</f>
        <v/>
      </c>
      <c r="BE184" s="190">
        <f>IF(IF('01_Вводные'!$B$296="Новый сезон",TRUE,TRUE),BE72*CapacityAge20*'01_Вводные'!$F$199,0)</f>
        <v/>
      </c>
      <c r="BF184" s="190">
        <f>IF(IF('01_Вводные'!$B$296="Новый сезон",TRUE,TRUE),BF72*CapacityAge20*'01_Вводные'!$F$199,0)</f>
        <v/>
      </c>
      <c r="BG184" s="190">
        <f>IF(IF('01_Вводные'!$B$296="Новый сезон",TRUE,TRUE),BG72*CapacityAge20*'01_Вводные'!$F$199,0)</f>
        <v/>
      </c>
      <c r="BH184" s="190">
        <f>IF(IF('01_Вводные'!$B$296="Новый сезон",TRUE,TRUE),BH72*CapacityAge20*'01_Вводные'!$F$199,0)</f>
        <v/>
      </c>
      <c r="BI184" s="190">
        <f>IF(IF('01_Вводные'!$B$296="Новый сезон",TRUE,TRUE),BI72*CapacityAge20*'01_Вводные'!$F$199,0)</f>
        <v/>
      </c>
      <c r="BJ184" s="190">
        <f>IF(IF('01_Вводные'!$B$296="Новый сезон",TRUE,TRUE),BJ72*CapacityAge20*'01_Вводные'!$F$199,0)</f>
        <v/>
      </c>
      <c r="BK184" s="190">
        <f>IF(IF('01_Вводные'!$B$296="Новый сезон",TRUE,TRUE),BK72*CapacityAge20*'01_Вводные'!$F$199,0)</f>
        <v/>
      </c>
      <c r="BL184" s="190">
        <f>IF(IF('01_Вводные'!$B$296="Новый сезон",TRUE,TRUE),BL72*CapacityAge20*'01_Вводные'!$F$199,0)</f>
        <v/>
      </c>
      <c r="BM184" s="190">
        <f>IF(IF('01_Вводные'!$B$296="Новый сезон",TRUE,TRUE),BM72*CapacityAge20*'01_Вводные'!$F$199,0)</f>
        <v/>
      </c>
      <c r="BN184" s="190">
        <f>IF(IF('01_Вводные'!$B$296="Новый сезон",TRUE,TRUE),BN72*CapacityAge20*'01_Вводные'!$F$199,0)</f>
        <v/>
      </c>
      <c r="BO184" s="190">
        <f>IF(IF('01_Вводные'!$B$296="Новый сезон",TRUE,TRUE),BO72*CapacityAge20*'01_Вводные'!$F$199,0)</f>
        <v/>
      </c>
    </row>
    <row r="185" hidden="1" outlineLevel="1">
      <c r="A185" t="inlineStr">
        <is>
          <t>21 мес.</t>
        </is>
      </c>
      <c r="B185" s="191">
        <f>IF(IF('01_Вводные'!$B$296="Новый сезон",TRUE,TRUE),B73*CapacityAge21*'01_Вводные'!$F$199,0)</f>
        <v/>
      </c>
      <c r="C185" s="191">
        <f>IF(IF('01_Вводные'!$B$296="Новый сезон",TRUE,TRUE),C73*CapacityAge21*'01_Вводные'!$F$199,0)</f>
        <v/>
      </c>
      <c r="D185" s="191">
        <f>IF(IF('01_Вводные'!$B$296="Новый сезон",TRUE,TRUE),D73*CapacityAge21*'01_Вводные'!$F$199,0)</f>
        <v/>
      </c>
      <c r="E185" s="191">
        <f>IF(IF('01_Вводные'!$B$296="Новый сезон",TRUE,TRUE),E73*CapacityAge21*'01_Вводные'!$F$199,0)</f>
        <v/>
      </c>
      <c r="F185" s="191">
        <f>IF(IF('01_Вводные'!$B$296="Новый сезон",TRUE,TRUE),F73*CapacityAge21*'01_Вводные'!$F$199,0)</f>
        <v/>
      </c>
      <c r="G185" s="191">
        <f>IF(IF('01_Вводные'!$B$296="Новый сезон",TRUE,TRUE),G73*CapacityAge21*'01_Вводные'!$F$199,0)</f>
        <v/>
      </c>
      <c r="H185" s="191">
        <f>IF(IF('01_Вводные'!$B$296="Новый сезон",TRUE,TRUE),H73*CapacityAge21*'01_Вводные'!$F$199,0)</f>
        <v/>
      </c>
      <c r="I185" s="191">
        <f>IF(IF('01_Вводные'!$B$296="Новый сезон",TRUE,TRUE),I73*CapacityAge21*'01_Вводные'!$F$199,0)</f>
        <v/>
      </c>
      <c r="J185" s="191">
        <f>IF(IF('01_Вводные'!$B$296="Новый сезон",TRUE,TRUE),J73*CapacityAge21*'01_Вводные'!$F$199,0)</f>
        <v/>
      </c>
      <c r="K185" s="191">
        <f>IF(IF('01_Вводные'!$B$296="Новый сезон",TRUE,TRUE),K73*CapacityAge21*'01_Вводные'!$F$199,0)</f>
        <v/>
      </c>
      <c r="L185" s="191">
        <f>IF(IF('01_Вводные'!$B$296="Новый сезон",TRUE,TRUE),L73*CapacityAge21*'01_Вводные'!$F$199,0)</f>
        <v/>
      </c>
      <c r="M185" s="191">
        <f>IF(IF('01_Вводные'!$B$296="Новый сезон",TRUE,TRUE),M73*CapacityAge21*'01_Вводные'!$F$199,0)</f>
        <v/>
      </c>
      <c r="N185" s="191">
        <f>IF(IF('01_Вводные'!$B$296="Новый сезон",TRUE,TRUE),N73*CapacityAge21*'01_Вводные'!$F$199,0)</f>
        <v/>
      </c>
      <c r="O185" s="191">
        <f>IF(IF('01_Вводные'!$B$296="Новый сезон",TRUE,TRUE),O73*CapacityAge21*'01_Вводные'!$F$199,0)</f>
        <v/>
      </c>
      <c r="P185" s="191">
        <f>IF(IF('01_Вводные'!$B$296="Новый сезон",TRUE,TRUE),P73*CapacityAge21*'01_Вводные'!$F$199,0)</f>
        <v/>
      </c>
      <c r="Q185" s="191">
        <f>IF(IF('01_Вводные'!$B$296="Новый сезон",TRUE,TRUE),Q73*CapacityAge21*'01_Вводные'!$F$199,0)</f>
        <v/>
      </c>
      <c r="R185" s="191">
        <f>IF(IF('01_Вводные'!$B$296="Новый сезон",TRUE,TRUE),R73*CapacityAge21*'01_Вводные'!$F$199,0)</f>
        <v/>
      </c>
      <c r="S185" s="191">
        <f>IF(IF('01_Вводные'!$B$296="Новый сезон",TRUE,TRUE),S73*CapacityAge21*'01_Вводные'!$F$199,0)</f>
        <v/>
      </c>
      <c r="T185" s="191">
        <f>IF(IF('01_Вводные'!$B$296="Новый сезон",TRUE,TRUE),T73*CapacityAge21*'01_Вводные'!$F$199,0)</f>
        <v/>
      </c>
      <c r="U185" s="191">
        <f>IF(IF('01_Вводные'!$B$296="Новый сезон",TRUE,TRUE),U73*CapacityAge21*'01_Вводные'!$F$199,0)</f>
        <v/>
      </c>
      <c r="V185" s="191">
        <f>IF(IF('01_Вводные'!$B$296="Новый сезон",TRUE,TRUE),V73*CapacityAge21*'01_Вводные'!$F$199,0)</f>
        <v/>
      </c>
      <c r="W185" s="191">
        <f>IF(IF('01_Вводные'!$B$296="Новый сезон",TRUE,TRUE),W73*CapacityAge21*'01_Вводные'!$F$199,0)</f>
        <v/>
      </c>
      <c r="X185" s="191">
        <f>IF(IF('01_Вводные'!$B$296="Новый сезон",TRUE,TRUE),X73*CapacityAge21*'01_Вводные'!$F$199,0)</f>
        <v/>
      </c>
      <c r="Y185" s="191">
        <f>IF(IF('01_Вводные'!$B$296="Новый сезон",TRUE,TRUE),Y73*CapacityAge21*'01_Вводные'!$F$199,0)</f>
        <v/>
      </c>
      <c r="Z185" s="191">
        <f>IF(IF('01_Вводные'!$B$296="Новый сезон",TRUE,TRUE),Z73*CapacityAge21*'01_Вводные'!$F$199,0)</f>
        <v/>
      </c>
      <c r="AA185" s="191">
        <f>IF(IF('01_Вводные'!$B$296="Новый сезон",TRUE,TRUE),AA73*CapacityAge21*'01_Вводные'!$F$199,0)</f>
        <v/>
      </c>
      <c r="AB185" s="191">
        <f>IF(IF('01_Вводные'!$B$296="Новый сезон",TRUE,TRUE),AB73*CapacityAge21*'01_Вводные'!$F$199,0)</f>
        <v/>
      </c>
      <c r="AC185" s="191">
        <f>IF(IF('01_Вводные'!$B$296="Новый сезон",TRUE,TRUE),AC73*CapacityAge21*'01_Вводные'!$F$199,0)</f>
        <v/>
      </c>
      <c r="AD185" s="191">
        <f>IF(IF('01_Вводные'!$B$296="Новый сезон",TRUE,TRUE),AD73*CapacityAge21*'01_Вводные'!$F$199,0)</f>
        <v/>
      </c>
      <c r="AE185" s="191">
        <f>IF(IF('01_Вводные'!$B$296="Новый сезон",TRUE,TRUE),AE73*CapacityAge21*'01_Вводные'!$F$199,0)</f>
        <v/>
      </c>
      <c r="AF185" s="191">
        <f>IF(IF('01_Вводные'!$B$296="Новый сезон",TRUE,TRUE),AF73*CapacityAge21*'01_Вводные'!$F$199,0)</f>
        <v/>
      </c>
      <c r="AG185" s="191">
        <f>IF(IF('01_Вводные'!$B$296="Новый сезон",TRUE,TRUE),AG73*CapacityAge21*'01_Вводные'!$F$199,0)</f>
        <v/>
      </c>
      <c r="AH185" s="191">
        <f>IF(IF('01_Вводные'!$B$296="Новый сезон",TRUE,TRUE),AH73*CapacityAge21*'01_Вводные'!$F$199,0)</f>
        <v/>
      </c>
      <c r="AI185" s="191">
        <f>IF(IF('01_Вводные'!$B$296="Новый сезон",TRUE,TRUE),AI73*CapacityAge21*'01_Вводные'!$F$199,0)</f>
        <v/>
      </c>
      <c r="AJ185" s="191">
        <f>IF(IF('01_Вводные'!$B$296="Новый сезон",TRUE,TRUE),AJ73*CapacityAge21*'01_Вводные'!$F$199,0)</f>
        <v/>
      </c>
      <c r="AK185" s="191">
        <f>IF(IF('01_Вводные'!$B$296="Новый сезон",TRUE,TRUE),AK73*CapacityAge21*'01_Вводные'!$F$199,0)</f>
        <v/>
      </c>
      <c r="AL185" s="190">
        <f>IF(IF('01_Вводные'!$B$296="Новый сезон",TRUE,TRUE),AL73*CapacityAge21*'01_Вводные'!$F$199,0)</f>
        <v/>
      </c>
      <c r="AM185" s="190">
        <f>IF(IF('01_Вводные'!$B$296="Новый сезон",TRUE,TRUE),AM73*CapacityAge21*'01_Вводные'!$F$199,0)</f>
        <v/>
      </c>
      <c r="AN185" s="190">
        <f>IF(IF('01_Вводные'!$B$296="Новый сезон",TRUE,TRUE),AN73*CapacityAge21*'01_Вводные'!$F$199,0)</f>
        <v/>
      </c>
      <c r="AO185" s="190">
        <f>IF(IF('01_Вводные'!$B$296="Новый сезон",TRUE,TRUE),AO73*CapacityAge21*'01_Вводные'!$F$199,0)</f>
        <v/>
      </c>
      <c r="AP185" s="190">
        <f>IF(IF('01_Вводные'!$B$296="Новый сезон",TRUE,TRUE),AP73*CapacityAge21*'01_Вводные'!$F$199,0)</f>
        <v/>
      </c>
      <c r="AQ185" s="190">
        <f>IF(IF('01_Вводные'!$B$296="Новый сезон",TRUE,TRUE),AQ73*CapacityAge21*'01_Вводные'!$F$199,0)</f>
        <v/>
      </c>
      <c r="AR185" s="190">
        <f>IF(IF('01_Вводные'!$B$296="Новый сезон",TRUE,TRUE),AR73*CapacityAge21*'01_Вводные'!$F$199,0)</f>
        <v/>
      </c>
      <c r="AS185" s="190">
        <f>IF(IF('01_Вводные'!$B$296="Новый сезон",TRUE,TRUE),AS73*CapacityAge21*'01_Вводные'!$F$199,0)</f>
        <v/>
      </c>
      <c r="AT185" s="190">
        <f>IF(IF('01_Вводные'!$B$296="Новый сезон",TRUE,TRUE),AT73*CapacityAge21*'01_Вводные'!$F$199,0)</f>
        <v/>
      </c>
      <c r="AU185" s="190">
        <f>IF(IF('01_Вводные'!$B$296="Новый сезон",TRUE,TRUE),AU73*CapacityAge21*'01_Вводные'!$F$199,0)</f>
        <v/>
      </c>
      <c r="AV185" s="190">
        <f>IF(IF('01_Вводные'!$B$296="Новый сезон",TRUE,TRUE),AV73*CapacityAge21*'01_Вводные'!$F$199,0)</f>
        <v/>
      </c>
      <c r="AW185" s="190">
        <f>IF(IF('01_Вводные'!$B$296="Новый сезон",TRUE,TRUE),AW73*CapacityAge21*'01_Вводные'!$F$199,0)</f>
        <v/>
      </c>
      <c r="AX185" s="190">
        <f>IF(IF('01_Вводные'!$B$296="Новый сезон",TRUE,TRUE),AX73*CapacityAge21*'01_Вводные'!$F$199,0)</f>
        <v/>
      </c>
      <c r="AY185" s="190">
        <f>IF(IF('01_Вводные'!$B$296="Новый сезон",TRUE,TRUE),AY73*CapacityAge21*'01_Вводные'!$F$199,0)</f>
        <v/>
      </c>
      <c r="AZ185" s="190">
        <f>IF(IF('01_Вводные'!$B$296="Новый сезон",TRUE,TRUE),AZ73*CapacityAge21*'01_Вводные'!$F$199,0)</f>
        <v/>
      </c>
      <c r="BA185" s="190">
        <f>IF(IF('01_Вводные'!$B$296="Новый сезон",TRUE,TRUE),BA73*CapacityAge21*'01_Вводные'!$F$199,0)</f>
        <v/>
      </c>
      <c r="BB185" s="190">
        <f>IF(IF('01_Вводные'!$B$296="Новый сезон",TRUE,TRUE),BB73*CapacityAge21*'01_Вводные'!$F$199,0)</f>
        <v/>
      </c>
      <c r="BC185" s="190">
        <f>IF(IF('01_Вводные'!$B$296="Новый сезон",TRUE,TRUE),BC73*CapacityAge21*'01_Вводные'!$F$199,0)</f>
        <v/>
      </c>
      <c r="BD185" s="190">
        <f>IF(IF('01_Вводные'!$B$296="Новый сезон",TRUE,TRUE),BD73*CapacityAge21*'01_Вводные'!$F$199,0)</f>
        <v/>
      </c>
      <c r="BE185" s="190">
        <f>IF(IF('01_Вводные'!$B$296="Новый сезон",TRUE,TRUE),BE73*CapacityAge21*'01_Вводные'!$F$199,0)</f>
        <v/>
      </c>
      <c r="BF185" s="190">
        <f>IF(IF('01_Вводные'!$B$296="Новый сезон",TRUE,TRUE),BF73*CapacityAge21*'01_Вводные'!$F$199,0)</f>
        <v/>
      </c>
      <c r="BG185" s="190">
        <f>IF(IF('01_Вводные'!$B$296="Новый сезон",TRUE,TRUE),BG73*CapacityAge21*'01_Вводные'!$F$199,0)</f>
        <v/>
      </c>
      <c r="BH185" s="190">
        <f>IF(IF('01_Вводные'!$B$296="Новый сезон",TRUE,TRUE),BH73*CapacityAge21*'01_Вводные'!$F$199,0)</f>
        <v/>
      </c>
      <c r="BI185" s="190">
        <f>IF(IF('01_Вводные'!$B$296="Новый сезон",TRUE,TRUE),BI73*CapacityAge21*'01_Вводные'!$F$199,0)</f>
        <v/>
      </c>
      <c r="BJ185" s="190">
        <f>IF(IF('01_Вводные'!$B$296="Новый сезон",TRUE,TRUE),BJ73*CapacityAge21*'01_Вводные'!$F$199,0)</f>
        <v/>
      </c>
      <c r="BK185" s="190">
        <f>IF(IF('01_Вводные'!$B$296="Новый сезон",TRUE,TRUE),BK73*CapacityAge21*'01_Вводные'!$F$199,0)</f>
        <v/>
      </c>
      <c r="BL185" s="190">
        <f>IF(IF('01_Вводные'!$B$296="Новый сезон",TRUE,TRUE),BL73*CapacityAge21*'01_Вводные'!$F$199,0)</f>
        <v/>
      </c>
      <c r="BM185" s="190">
        <f>IF(IF('01_Вводные'!$B$296="Новый сезон",TRUE,TRUE),BM73*CapacityAge21*'01_Вводные'!$F$199,0)</f>
        <v/>
      </c>
      <c r="BN185" s="190">
        <f>IF(IF('01_Вводные'!$B$296="Новый сезон",TRUE,TRUE),BN73*CapacityAge21*'01_Вводные'!$F$199,0)</f>
        <v/>
      </c>
      <c r="BO185" s="190">
        <f>IF(IF('01_Вводные'!$B$296="Новый сезон",TRUE,TRUE),BO73*CapacityAge21*'01_Вводные'!$F$199,0)</f>
        <v/>
      </c>
    </row>
    <row r="186" hidden="1" outlineLevel="1">
      <c r="A186" t="inlineStr">
        <is>
          <t>22 мес.</t>
        </is>
      </c>
      <c r="B186" s="191">
        <f>IF(IF('01_Вводные'!$B$296="Новый сезон",TRUE,TRUE),B74*CapacityAge22*'01_Вводные'!$F$199,0)</f>
        <v/>
      </c>
      <c r="C186" s="191">
        <f>IF(IF('01_Вводные'!$B$296="Новый сезон",TRUE,TRUE),C74*CapacityAge22*'01_Вводные'!$F$199,0)</f>
        <v/>
      </c>
      <c r="D186" s="191">
        <f>IF(IF('01_Вводные'!$B$296="Новый сезон",TRUE,TRUE),D74*CapacityAge22*'01_Вводные'!$F$199,0)</f>
        <v/>
      </c>
      <c r="E186" s="191">
        <f>IF(IF('01_Вводные'!$B$296="Новый сезон",TRUE,TRUE),E74*CapacityAge22*'01_Вводные'!$F$199,0)</f>
        <v/>
      </c>
      <c r="F186" s="191">
        <f>IF(IF('01_Вводные'!$B$296="Новый сезон",TRUE,TRUE),F74*CapacityAge22*'01_Вводные'!$F$199,0)</f>
        <v/>
      </c>
      <c r="G186" s="191">
        <f>IF(IF('01_Вводные'!$B$296="Новый сезон",TRUE,TRUE),G74*CapacityAge22*'01_Вводные'!$F$199,0)</f>
        <v/>
      </c>
      <c r="H186" s="191">
        <f>IF(IF('01_Вводные'!$B$296="Новый сезон",TRUE,TRUE),H74*CapacityAge22*'01_Вводные'!$F$199,0)</f>
        <v/>
      </c>
      <c r="I186" s="191">
        <f>IF(IF('01_Вводные'!$B$296="Новый сезон",TRUE,TRUE),I74*CapacityAge22*'01_Вводные'!$F$199,0)</f>
        <v/>
      </c>
      <c r="J186" s="191">
        <f>IF(IF('01_Вводные'!$B$296="Новый сезон",TRUE,TRUE),J74*CapacityAge22*'01_Вводные'!$F$199,0)</f>
        <v/>
      </c>
      <c r="K186" s="191">
        <f>IF(IF('01_Вводные'!$B$296="Новый сезон",TRUE,TRUE),K74*CapacityAge22*'01_Вводные'!$F$199,0)</f>
        <v/>
      </c>
      <c r="L186" s="191">
        <f>IF(IF('01_Вводные'!$B$296="Новый сезон",TRUE,TRUE),L74*CapacityAge22*'01_Вводные'!$F$199,0)</f>
        <v/>
      </c>
      <c r="M186" s="191">
        <f>IF(IF('01_Вводные'!$B$296="Новый сезон",TRUE,TRUE),M74*CapacityAge22*'01_Вводные'!$F$199,0)</f>
        <v/>
      </c>
      <c r="N186" s="191">
        <f>IF(IF('01_Вводные'!$B$296="Новый сезон",TRUE,TRUE),N74*CapacityAge22*'01_Вводные'!$F$199,0)</f>
        <v/>
      </c>
      <c r="O186" s="191">
        <f>IF(IF('01_Вводные'!$B$296="Новый сезон",TRUE,TRUE),O74*CapacityAge22*'01_Вводные'!$F$199,0)</f>
        <v/>
      </c>
      <c r="P186" s="191">
        <f>IF(IF('01_Вводные'!$B$296="Новый сезон",TRUE,TRUE),P74*CapacityAge22*'01_Вводные'!$F$199,0)</f>
        <v/>
      </c>
      <c r="Q186" s="191">
        <f>IF(IF('01_Вводные'!$B$296="Новый сезон",TRUE,TRUE),Q74*CapacityAge22*'01_Вводные'!$F$199,0)</f>
        <v/>
      </c>
      <c r="R186" s="191">
        <f>IF(IF('01_Вводные'!$B$296="Новый сезон",TRUE,TRUE),R74*CapacityAge22*'01_Вводные'!$F$199,0)</f>
        <v/>
      </c>
      <c r="S186" s="191">
        <f>IF(IF('01_Вводные'!$B$296="Новый сезон",TRUE,TRUE),S74*CapacityAge22*'01_Вводные'!$F$199,0)</f>
        <v/>
      </c>
      <c r="T186" s="191">
        <f>IF(IF('01_Вводные'!$B$296="Новый сезон",TRUE,TRUE),T74*CapacityAge22*'01_Вводные'!$F$199,0)</f>
        <v/>
      </c>
      <c r="U186" s="191">
        <f>IF(IF('01_Вводные'!$B$296="Новый сезон",TRUE,TRUE),U74*CapacityAge22*'01_Вводные'!$F$199,0)</f>
        <v/>
      </c>
      <c r="V186" s="191">
        <f>IF(IF('01_Вводные'!$B$296="Новый сезон",TRUE,TRUE),V74*CapacityAge22*'01_Вводные'!$F$199,0)</f>
        <v/>
      </c>
      <c r="W186" s="191">
        <f>IF(IF('01_Вводные'!$B$296="Новый сезон",TRUE,TRUE),W74*CapacityAge22*'01_Вводные'!$F$199,0)</f>
        <v/>
      </c>
      <c r="X186" s="191">
        <f>IF(IF('01_Вводные'!$B$296="Новый сезон",TRUE,TRUE),X74*CapacityAge22*'01_Вводные'!$F$199,0)</f>
        <v/>
      </c>
      <c r="Y186" s="191">
        <f>IF(IF('01_Вводные'!$B$296="Новый сезон",TRUE,TRUE),Y74*CapacityAge22*'01_Вводные'!$F$199,0)</f>
        <v/>
      </c>
      <c r="Z186" s="191">
        <f>IF(IF('01_Вводные'!$B$296="Новый сезон",TRUE,TRUE),Z74*CapacityAge22*'01_Вводные'!$F$199,0)</f>
        <v/>
      </c>
      <c r="AA186" s="191">
        <f>IF(IF('01_Вводные'!$B$296="Новый сезон",TRUE,TRUE),AA74*CapacityAge22*'01_Вводные'!$F$199,0)</f>
        <v/>
      </c>
      <c r="AB186" s="191">
        <f>IF(IF('01_Вводные'!$B$296="Новый сезон",TRUE,TRUE),AB74*CapacityAge22*'01_Вводные'!$F$199,0)</f>
        <v/>
      </c>
      <c r="AC186" s="191">
        <f>IF(IF('01_Вводные'!$B$296="Новый сезон",TRUE,TRUE),AC74*CapacityAge22*'01_Вводные'!$F$199,0)</f>
        <v/>
      </c>
      <c r="AD186" s="191">
        <f>IF(IF('01_Вводные'!$B$296="Новый сезон",TRUE,TRUE),AD74*CapacityAge22*'01_Вводные'!$F$199,0)</f>
        <v/>
      </c>
      <c r="AE186" s="191">
        <f>IF(IF('01_Вводные'!$B$296="Новый сезон",TRUE,TRUE),AE74*CapacityAge22*'01_Вводные'!$F$199,0)</f>
        <v/>
      </c>
      <c r="AF186" s="191">
        <f>IF(IF('01_Вводные'!$B$296="Новый сезон",TRUE,TRUE),AF74*CapacityAge22*'01_Вводные'!$F$199,0)</f>
        <v/>
      </c>
      <c r="AG186" s="191">
        <f>IF(IF('01_Вводные'!$B$296="Новый сезон",TRUE,TRUE),AG74*CapacityAge22*'01_Вводные'!$F$199,0)</f>
        <v/>
      </c>
      <c r="AH186" s="191">
        <f>IF(IF('01_Вводные'!$B$296="Новый сезон",TRUE,TRUE),AH74*CapacityAge22*'01_Вводные'!$F$199,0)</f>
        <v/>
      </c>
      <c r="AI186" s="191">
        <f>IF(IF('01_Вводные'!$B$296="Новый сезон",TRUE,TRUE),AI74*CapacityAge22*'01_Вводные'!$F$199,0)</f>
        <v/>
      </c>
      <c r="AJ186" s="191">
        <f>IF(IF('01_Вводные'!$B$296="Новый сезон",TRUE,TRUE),AJ74*CapacityAge22*'01_Вводные'!$F$199,0)</f>
        <v/>
      </c>
      <c r="AK186" s="191">
        <f>IF(IF('01_Вводные'!$B$296="Новый сезон",TRUE,TRUE),AK74*CapacityAge22*'01_Вводные'!$F$199,0)</f>
        <v/>
      </c>
      <c r="AL186" s="190">
        <f>IF(IF('01_Вводные'!$B$296="Новый сезон",TRUE,TRUE),AL74*CapacityAge22*'01_Вводные'!$F$199,0)</f>
        <v/>
      </c>
      <c r="AM186" s="190">
        <f>IF(IF('01_Вводные'!$B$296="Новый сезон",TRUE,TRUE),AM74*CapacityAge22*'01_Вводные'!$F$199,0)</f>
        <v/>
      </c>
      <c r="AN186" s="190">
        <f>IF(IF('01_Вводные'!$B$296="Новый сезон",TRUE,TRUE),AN74*CapacityAge22*'01_Вводные'!$F$199,0)</f>
        <v/>
      </c>
      <c r="AO186" s="190">
        <f>IF(IF('01_Вводные'!$B$296="Новый сезон",TRUE,TRUE),AO74*CapacityAge22*'01_Вводные'!$F$199,0)</f>
        <v/>
      </c>
      <c r="AP186" s="190">
        <f>IF(IF('01_Вводные'!$B$296="Новый сезон",TRUE,TRUE),AP74*CapacityAge22*'01_Вводные'!$F$199,0)</f>
        <v/>
      </c>
      <c r="AQ186" s="190">
        <f>IF(IF('01_Вводные'!$B$296="Новый сезон",TRUE,TRUE),AQ74*CapacityAge22*'01_Вводные'!$F$199,0)</f>
        <v/>
      </c>
      <c r="AR186" s="190">
        <f>IF(IF('01_Вводные'!$B$296="Новый сезон",TRUE,TRUE),AR74*CapacityAge22*'01_Вводные'!$F$199,0)</f>
        <v/>
      </c>
      <c r="AS186" s="190">
        <f>IF(IF('01_Вводные'!$B$296="Новый сезон",TRUE,TRUE),AS74*CapacityAge22*'01_Вводные'!$F$199,0)</f>
        <v/>
      </c>
      <c r="AT186" s="190">
        <f>IF(IF('01_Вводные'!$B$296="Новый сезон",TRUE,TRUE),AT74*CapacityAge22*'01_Вводные'!$F$199,0)</f>
        <v/>
      </c>
      <c r="AU186" s="190">
        <f>IF(IF('01_Вводные'!$B$296="Новый сезон",TRUE,TRUE),AU74*CapacityAge22*'01_Вводные'!$F$199,0)</f>
        <v/>
      </c>
      <c r="AV186" s="190">
        <f>IF(IF('01_Вводные'!$B$296="Новый сезон",TRUE,TRUE),AV74*CapacityAge22*'01_Вводные'!$F$199,0)</f>
        <v/>
      </c>
      <c r="AW186" s="190">
        <f>IF(IF('01_Вводные'!$B$296="Новый сезон",TRUE,TRUE),AW74*CapacityAge22*'01_Вводные'!$F$199,0)</f>
        <v/>
      </c>
      <c r="AX186" s="190">
        <f>IF(IF('01_Вводные'!$B$296="Новый сезон",TRUE,TRUE),AX74*CapacityAge22*'01_Вводные'!$F$199,0)</f>
        <v/>
      </c>
      <c r="AY186" s="190">
        <f>IF(IF('01_Вводные'!$B$296="Новый сезон",TRUE,TRUE),AY74*CapacityAge22*'01_Вводные'!$F$199,0)</f>
        <v/>
      </c>
      <c r="AZ186" s="190">
        <f>IF(IF('01_Вводные'!$B$296="Новый сезон",TRUE,TRUE),AZ74*CapacityAge22*'01_Вводные'!$F$199,0)</f>
        <v/>
      </c>
      <c r="BA186" s="190">
        <f>IF(IF('01_Вводные'!$B$296="Новый сезон",TRUE,TRUE),BA74*CapacityAge22*'01_Вводные'!$F$199,0)</f>
        <v/>
      </c>
      <c r="BB186" s="190">
        <f>IF(IF('01_Вводные'!$B$296="Новый сезон",TRUE,TRUE),BB74*CapacityAge22*'01_Вводные'!$F$199,0)</f>
        <v/>
      </c>
      <c r="BC186" s="190">
        <f>IF(IF('01_Вводные'!$B$296="Новый сезон",TRUE,TRUE),BC74*CapacityAge22*'01_Вводные'!$F$199,0)</f>
        <v/>
      </c>
      <c r="BD186" s="190">
        <f>IF(IF('01_Вводные'!$B$296="Новый сезон",TRUE,TRUE),BD74*CapacityAge22*'01_Вводные'!$F$199,0)</f>
        <v/>
      </c>
      <c r="BE186" s="190">
        <f>IF(IF('01_Вводные'!$B$296="Новый сезон",TRUE,TRUE),BE74*CapacityAge22*'01_Вводные'!$F$199,0)</f>
        <v/>
      </c>
      <c r="BF186" s="190">
        <f>IF(IF('01_Вводные'!$B$296="Новый сезон",TRUE,TRUE),BF74*CapacityAge22*'01_Вводные'!$F$199,0)</f>
        <v/>
      </c>
      <c r="BG186" s="190">
        <f>IF(IF('01_Вводные'!$B$296="Новый сезон",TRUE,TRUE),BG74*CapacityAge22*'01_Вводные'!$F$199,0)</f>
        <v/>
      </c>
      <c r="BH186" s="190">
        <f>IF(IF('01_Вводные'!$B$296="Новый сезон",TRUE,TRUE),BH74*CapacityAge22*'01_Вводные'!$F$199,0)</f>
        <v/>
      </c>
      <c r="BI186" s="190">
        <f>IF(IF('01_Вводные'!$B$296="Новый сезон",TRUE,TRUE),BI74*CapacityAge22*'01_Вводные'!$F$199,0)</f>
        <v/>
      </c>
      <c r="BJ186" s="190">
        <f>IF(IF('01_Вводные'!$B$296="Новый сезон",TRUE,TRUE),BJ74*CapacityAge22*'01_Вводные'!$F$199,0)</f>
        <v/>
      </c>
      <c r="BK186" s="190">
        <f>IF(IF('01_Вводные'!$B$296="Новый сезон",TRUE,TRUE),BK74*CapacityAge22*'01_Вводные'!$F$199,0)</f>
        <v/>
      </c>
      <c r="BL186" s="190">
        <f>IF(IF('01_Вводные'!$B$296="Новый сезон",TRUE,TRUE),BL74*CapacityAge22*'01_Вводные'!$F$199,0)</f>
        <v/>
      </c>
      <c r="BM186" s="190">
        <f>IF(IF('01_Вводные'!$B$296="Новый сезон",TRUE,TRUE),BM74*CapacityAge22*'01_Вводные'!$F$199,0)</f>
        <v/>
      </c>
      <c r="BN186" s="190">
        <f>IF(IF('01_Вводные'!$B$296="Новый сезон",TRUE,TRUE),BN74*CapacityAge22*'01_Вводные'!$F$199,0)</f>
        <v/>
      </c>
      <c r="BO186" s="190">
        <f>IF(IF('01_Вводные'!$B$296="Новый сезон",TRUE,TRUE),BO74*CapacityAge22*'01_Вводные'!$F$199,0)</f>
        <v/>
      </c>
    </row>
    <row r="187" hidden="1" outlineLevel="1">
      <c r="A187" t="inlineStr">
        <is>
          <t>23 мес.</t>
        </is>
      </c>
      <c r="B187" s="191">
        <f>IF(IF('01_Вводные'!$B$296="Новый сезон",TRUE,TRUE),B75*CapacityAge23*'01_Вводные'!$F$199,0)</f>
        <v/>
      </c>
      <c r="C187" s="191">
        <f>IF(IF('01_Вводные'!$B$296="Новый сезон",TRUE,TRUE),C75*CapacityAge23*'01_Вводные'!$F$199,0)</f>
        <v/>
      </c>
      <c r="D187" s="191">
        <f>IF(IF('01_Вводные'!$B$296="Новый сезон",TRUE,TRUE),D75*CapacityAge23*'01_Вводные'!$F$199,0)</f>
        <v/>
      </c>
      <c r="E187" s="191">
        <f>IF(IF('01_Вводные'!$B$296="Новый сезон",TRUE,TRUE),E75*CapacityAge23*'01_Вводные'!$F$199,0)</f>
        <v/>
      </c>
      <c r="F187" s="191">
        <f>IF(IF('01_Вводные'!$B$296="Новый сезон",TRUE,TRUE),F75*CapacityAge23*'01_Вводные'!$F$199,0)</f>
        <v/>
      </c>
      <c r="G187" s="191">
        <f>IF(IF('01_Вводные'!$B$296="Новый сезон",TRUE,TRUE),G75*CapacityAge23*'01_Вводные'!$F$199,0)</f>
        <v/>
      </c>
      <c r="H187" s="191">
        <f>IF(IF('01_Вводные'!$B$296="Новый сезон",TRUE,TRUE),H75*CapacityAge23*'01_Вводные'!$F$199,0)</f>
        <v/>
      </c>
      <c r="I187" s="191">
        <f>IF(IF('01_Вводные'!$B$296="Новый сезон",TRUE,TRUE),I75*CapacityAge23*'01_Вводные'!$F$199,0)</f>
        <v/>
      </c>
      <c r="J187" s="191">
        <f>IF(IF('01_Вводные'!$B$296="Новый сезон",TRUE,TRUE),J75*CapacityAge23*'01_Вводные'!$F$199,0)</f>
        <v/>
      </c>
      <c r="K187" s="191">
        <f>IF(IF('01_Вводные'!$B$296="Новый сезон",TRUE,TRUE),K75*CapacityAge23*'01_Вводные'!$F$199,0)</f>
        <v/>
      </c>
      <c r="L187" s="191">
        <f>IF(IF('01_Вводные'!$B$296="Новый сезон",TRUE,TRUE),L75*CapacityAge23*'01_Вводные'!$F$199,0)</f>
        <v/>
      </c>
      <c r="M187" s="191">
        <f>IF(IF('01_Вводные'!$B$296="Новый сезон",TRUE,TRUE),M75*CapacityAge23*'01_Вводные'!$F$199,0)</f>
        <v/>
      </c>
      <c r="N187" s="191">
        <f>IF(IF('01_Вводные'!$B$296="Новый сезон",TRUE,TRUE),N75*CapacityAge23*'01_Вводные'!$F$199,0)</f>
        <v/>
      </c>
      <c r="O187" s="191">
        <f>IF(IF('01_Вводные'!$B$296="Новый сезон",TRUE,TRUE),O75*CapacityAge23*'01_Вводные'!$F$199,0)</f>
        <v/>
      </c>
      <c r="P187" s="191">
        <f>IF(IF('01_Вводные'!$B$296="Новый сезон",TRUE,TRUE),P75*CapacityAge23*'01_Вводные'!$F$199,0)</f>
        <v/>
      </c>
      <c r="Q187" s="191">
        <f>IF(IF('01_Вводные'!$B$296="Новый сезон",TRUE,TRUE),Q75*CapacityAge23*'01_Вводные'!$F$199,0)</f>
        <v/>
      </c>
      <c r="R187" s="191">
        <f>IF(IF('01_Вводные'!$B$296="Новый сезон",TRUE,TRUE),R75*CapacityAge23*'01_Вводные'!$F$199,0)</f>
        <v/>
      </c>
      <c r="S187" s="191">
        <f>IF(IF('01_Вводные'!$B$296="Новый сезон",TRUE,TRUE),S75*CapacityAge23*'01_Вводные'!$F$199,0)</f>
        <v/>
      </c>
      <c r="T187" s="191">
        <f>IF(IF('01_Вводные'!$B$296="Новый сезон",TRUE,TRUE),T75*CapacityAge23*'01_Вводные'!$F$199,0)</f>
        <v/>
      </c>
      <c r="U187" s="191">
        <f>IF(IF('01_Вводные'!$B$296="Новый сезон",TRUE,TRUE),U75*CapacityAge23*'01_Вводные'!$F$199,0)</f>
        <v/>
      </c>
      <c r="V187" s="191">
        <f>IF(IF('01_Вводные'!$B$296="Новый сезон",TRUE,TRUE),V75*CapacityAge23*'01_Вводные'!$F$199,0)</f>
        <v/>
      </c>
      <c r="W187" s="191">
        <f>IF(IF('01_Вводные'!$B$296="Новый сезон",TRUE,TRUE),W75*CapacityAge23*'01_Вводные'!$F$199,0)</f>
        <v/>
      </c>
      <c r="X187" s="191">
        <f>IF(IF('01_Вводные'!$B$296="Новый сезон",TRUE,TRUE),X75*CapacityAge23*'01_Вводные'!$F$199,0)</f>
        <v/>
      </c>
      <c r="Y187" s="191">
        <f>IF(IF('01_Вводные'!$B$296="Новый сезон",TRUE,TRUE),Y75*CapacityAge23*'01_Вводные'!$F$199,0)</f>
        <v/>
      </c>
      <c r="Z187" s="191">
        <f>IF(IF('01_Вводные'!$B$296="Новый сезон",TRUE,TRUE),Z75*CapacityAge23*'01_Вводные'!$F$199,0)</f>
        <v/>
      </c>
      <c r="AA187" s="191">
        <f>IF(IF('01_Вводные'!$B$296="Новый сезон",TRUE,TRUE),AA75*CapacityAge23*'01_Вводные'!$F$199,0)</f>
        <v/>
      </c>
      <c r="AB187" s="191">
        <f>IF(IF('01_Вводные'!$B$296="Новый сезон",TRUE,TRUE),AB75*CapacityAge23*'01_Вводные'!$F$199,0)</f>
        <v/>
      </c>
      <c r="AC187" s="191">
        <f>IF(IF('01_Вводные'!$B$296="Новый сезон",TRUE,TRUE),AC75*CapacityAge23*'01_Вводные'!$F$199,0)</f>
        <v/>
      </c>
      <c r="AD187" s="191">
        <f>IF(IF('01_Вводные'!$B$296="Новый сезон",TRUE,TRUE),AD75*CapacityAge23*'01_Вводные'!$F$199,0)</f>
        <v/>
      </c>
      <c r="AE187" s="191">
        <f>IF(IF('01_Вводные'!$B$296="Новый сезон",TRUE,TRUE),AE75*CapacityAge23*'01_Вводные'!$F$199,0)</f>
        <v/>
      </c>
      <c r="AF187" s="191">
        <f>IF(IF('01_Вводные'!$B$296="Новый сезон",TRUE,TRUE),AF75*CapacityAge23*'01_Вводные'!$F$199,0)</f>
        <v/>
      </c>
      <c r="AG187" s="191">
        <f>IF(IF('01_Вводные'!$B$296="Новый сезон",TRUE,TRUE),AG75*CapacityAge23*'01_Вводные'!$F$199,0)</f>
        <v/>
      </c>
      <c r="AH187" s="191">
        <f>IF(IF('01_Вводные'!$B$296="Новый сезон",TRUE,TRUE),AH75*CapacityAge23*'01_Вводные'!$F$199,0)</f>
        <v/>
      </c>
      <c r="AI187" s="191">
        <f>IF(IF('01_Вводные'!$B$296="Новый сезон",TRUE,TRUE),AI75*CapacityAge23*'01_Вводные'!$F$199,0)</f>
        <v/>
      </c>
      <c r="AJ187" s="191">
        <f>IF(IF('01_Вводные'!$B$296="Новый сезон",TRUE,TRUE),AJ75*CapacityAge23*'01_Вводные'!$F$199,0)</f>
        <v/>
      </c>
      <c r="AK187" s="191">
        <f>IF(IF('01_Вводные'!$B$296="Новый сезон",TRUE,TRUE),AK75*CapacityAge23*'01_Вводные'!$F$199,0)</f>
        <v/>
      </c>
      <c r="AL187" s="190">
        <f>IF(IF('01_Вводные'!$B$296="Новый сезон",TRUE,TRUE),AL75*CapacityAge23*'01_Вводные'!$F$199,0)</f>
        <v/>
      </c>
      <c r="AM187" s="190">
        <f>IF(IF('01_Вводные'!$B$296="Новый сезон",TRUE,TRUE),AM75*CapacityAge23*'01_Вводные'!$F$199,0)</f>
        <v/>
      </c>
      <c r="AN187" s="190">
        <f>IF(IF('01_Вводные'!$B$296="Новый сезон",TRUE,TRUE),AN75*CapacityAge23*'01_Вводные'!$F$199,0)</f>
        <v/>
      </c>
      <c r="AO187" s="190">
        <f>IF(IF('01_Вводные'!$B$296="Новый сезон",TRUE,TRUE),AO75*CapacityAge23*'01_Вводные'!$F$199,0)</f>
        <v/>
      </c>
      <c r="AP187" s="190">
        <f>IF(IF('01_Вводные'!$B$296="Новый сезон",TRUE,TRUE),AP75*CapacityAge23*'01_Вводные'!$F$199,0)</f>
        <v/>
      </c>
      <c r="AQ187" s="190">
        <f>IF(IF('01_Вводные'!$B$296="Новый сезон",TRUE,TRUE),AQ75*CapacityAge23*'01_Вводные'!$F$199,0)</f>
        <v/>
      </c>
      <c r="AR187" s="190">
        <f>IF(IF('01_Вводные'!$B$296="Новый сезон",TRUE,TRUE),AR75*CapacityAge23*'01_Вводные'!$F$199,0)</f>
        <v/>
      </c>
      <c r="AS187" s="190">
        <f>IF(IF('01_Вводные'!$B$296="Новый сезон",TRUE,TRUE),AS75*CapacityAge23*'01_Вводные'!$F$199,0)</f>
        <v/>
      </c>
      <c r="AT187" s="190">
        <f>IF(IF('01_Вводные'!$B$296="Новый сезон",TRUE,TRUE),AT75*CapacityAge23*'01_Вводные'!$F$199,0)</f>
        <v/>
      </c>
      <c r="AU187" s="190">
        <f>IF(IF('01_Вводные'!$B$296="Новый сезон",TRUE,TRUE),AU75*CapacityAge23*'01_Вводные'!$F$199,0)</f>
        <v/>
      </c>
      <c r="AV187" s="190">
        <f>IF(IF('01_Вводные'!$B$296="Новый сезон",TRUE,TRUE),AV75*CapacityAge23*'01_Вводные'!$F$199,0)</f>
        <v/>
      </c>
      <c r="AW187" s="190">
        <f>IF(IF('01_Вводные'!$B$296="Новый сезон",TRUE,TRUE),AW75*CapacityAge23*'01_Вводные'!$F$199,0)</f>
        <v/>
      </c>
      <c r="AX187" s="190">
        <f>IF(IF('01_Вводные'!$B$296="Новый сезон",TRUE,TRUE),AX75*CapacityAge23*'01_Вводные'!$F$199,0)</f>
        <v/>
      </c>
      <c r="AY187" s="190">
        <f>IF(IF('01_Вводные'!$B$296="Новый сезон",TRUE,TRUE),AY75*CapacityAge23*'01_Вводные'!$F$199,0)</f>
        <v/>
      </c>
      <c r="AZ187" s="190">
        <f>IF(IF('01_Вводные'!$B$296="Новый сезон",TRUE,TRUE),AZ75*CapacityAge23*'01_Вводные'!$F$199,0)</f>
        <v/>
      </c>
      <c r="BA187" s="190">
        <f>IF(IF('01_Вводные'!$B$296="Новый сезон",TRUE,TRUE),BA75*CapacityAge23*'01_Вводные'!$F$199,0)</f>
        <v/>
      </c>
      <c r="BB187" s="190">
        <f>IF(IF('01_Вводные'!$B$296="Новый сезон",TRUE,TRUE),BB75*CapacityAge23*'01_Вводные'!$F$199,0)</f>
        <v/>
      </c>
      <c r="BC187" s="190">
        <f>IF(IF('01_Вводные'!$B$296="Новый сезон",TRUE,TRUE),BC75*CapacityAge23*'01_Вводные'!$F$199,0)</f>
        <v/>
      </c>
      <c r="BD187" s="190">
        <f>IF(IF('01_Вводные'!$B$296="Новый сезон",TRUE,TRUE),BD75*CapacityAge23*'01_Вводные'!$F$199,0)</f>
        <v/>
      </c>
      <c r="BE187" s="190">
        <f>IF(IF('01_Вводные'!$B$296="Новый сезон",TRUE,TRUE),BE75*CapacityAge23*'01_Вводные'!$F$199,0)</f>
        <v/>
      </c>
      <c r="BF187" s="190">
        <f>IF(IF('01_Вводные'!$B$296="Новый сезон",TRUE,TRUE),BF75*CapacityAge23*'01_Вводные'!$F$199,0)</f>
        <v/>
      </c>
      <c r="BG187" s="190">
        <f>IF(IF('01_Вводные'!$B$296="Новый сезон",TRUE,TRUE),BG75*CapacityAge23*'01_Вводные'!$F$199,0)</f>
        <v/>
      </c>
      <c r="BH187" s="190">
        <f>IF(IF('01_Вводные'!$B$296="Новый сезон",TRUE,TRUE),BH75*CapacityAge23*'01_Вводные'!$F$199,0)</f>
        <v/>
      </c>
      <c r="BI187" s="190">
        <f>IF(IF('01_Вводные'!$B$296="Новый сезон",TRUE,TRUE),BI75*CapacityAge23*'01_Вводные'!$F$199,0)</f>
        <v/>
      </c>
      <c r="BJ187" s="190">
        <f>IF(IF('01_Вводные'!$B$296="Новый сезон",TRUE,TRUE),BJ75*CapacityAge23*'01_Вводные'!$F$199,0)</f>
        <v/>
      </c>
      <c r="BK187" s="190">
        <f>IF(IF('01_Вводные'!$B$296="Новый сезон",TRUE,TRUE),BK75*CapacityAge23*'01_Вводные'!$F$199,0)</f>
        <v/>
      </c>
      <c r="BL187" s="190">
        <f>IF(IF('01_Вводные'!$B$296="Новый сезон",TRUE,TRUE),BL75*CapacityAge23*'01_Вводные'!$F$199,0)</f>
        <v/>
      </c>
      <c r="BM187" s="190">
        <f>IF(IF('01_Вводные'!$B$296="Новый сезон",TRUE,TRUE),BM75*CapacityAge23*'01_Вводные'!$F$199,0)</f>
        <v/>
      </c>
      <c r="BN187" s="190">
        <f>IF(IF('01_Вводные'!$B$296="Новый сезон",TRUE,TRUE),BN75*CapacityAge23*'01_Вводные'!$F$199,0)</f>
        <v/>
      </c>
      <c r="BO187" s="190">
        <f>IF(IF('01_Вводные'!$B$296="Новый сезон",TRUE,TRUE),BO75*CapacityAge23*'01_Вводные'!$F$199,0)</f>
        <v/>
      </c>
    </row>
    <row r="188" hidden="1" outlineLevel="1">
      <c r="A188" t="inlineStr">
        <is>
          <t>24 мес.</t>
        </is>
      </c>
      <c r="B188" s="191">
        <f>IF(IF('01_Вводные'!$B$296="Новый сезон",TRUE,TRUE),B76*CapacityAge24*'01_Вводные'!$F$199,0)</f>
        <v/>
      </c>
      <c r="C188" s="191">
        <f>IF(IF('01_Вводные'!$B$296="Новый сезон",TRUE,TRUE),C76*CapacityAge24*'01_Вводные'!$F$199,0)</f>
        <v/>
      </c>
      <c r="D188" s="191">
        <f>IF(IF('01_Вводные'!$B$296="Новый сезон",TRUE,TRUE),D76*CapacityAge24*'01_Вводные'!$F$199,0)</f>
        <v/>
      </c>
      <c r="E188" s="191">
        <f>IF(IF('01_Вводные'!$B$296="Новый сезон",TRUE,TRUE),E76*CapacityAge24*'01_Вводные'!$F$199,0)</f>
        <v/>
      </c>
      <c r="F188" s="191">
        <f>IF(IF('01_Вводные'!$B$296="Новый сезон",TRUE,TRUE),F76*CapacityAge24*'01_Вводные'!$F$199,0)</f>
        <v/>
      </c>
      <c r="G188" s="191">
        <f>IF(IF('01_Вводные'!$B$296="Новый сезон",TRUE,TRUE),G76*CapacityAge24*'01_Вводные'!$F$199,0)</f>
        <v/>
      </c>
      <c r="H188" s="191">
        <f>IF(IF('01_Вводные'!$B$296="Новый сезон",TRUE,TRUE),H76*CapacityAge24*'01_Вводные'!$F$199,0)</f>
        <v/>
      </c>
      <c r="I188" s="191">
        <f>IF(IF('01_Вводные'!$B$296="Новый сезон",TRUE,TRUE),I76*CapacityAge24*'01_Вводные'!$F$199,0)</f>
        <v/>
      </c>
      <c r="J188" s="191">
        <f>IF(IF('01_Вводные'!$B$296="Новый сезон",TRUE,TRUE),J76*CapacityAge24*'01_Вводные'!$F$199,0)</f>
        <v/>
      </c>
      <c r="K188" s="191">
        <f>IF(IF('01_Вводные'!$B$296="Новый сезон",TRUE,TRUE),K76*CapacityAge24*'01_Вводные'!$F$199,0)</f>
        <v/>
      </c>
      <c r="L188" s="191">
        <f>IF(IF('01_Вводные'!$B$296="Новый сезон",TRUE,TRUE),L76*CapacityAge24*'01_Вводные'!$F$199,0)</f>
        <v/>
      </c>
      <c r="M188" s="191">
        <f>IF(IF('01_Вводные'!$B$296="Новый сезон",TRUE,TRUE),M76*CapacityAge24*'01_Вводные'!$F$199,0)</f>
        <v/>
      </c>
      <c r="N188" s="191">
        <f>IF(IF('01_Вводные'!$B$296="Новый сезон",TRUE,TRUE),N76*CapacityAge24*'01_Вводные'!$F$199,0)</f>
        <v/>
      </c>
      <c r="O188" s="191">
        <f>IF(IF('01_Вводные'!$B$296="Новый сезон",TRUE,TRUE),O76*CapacityAge24*'01_Вводные'!$F$199,0)</f>
        <v/>
      </c>
      <c r="P188" s="191">
        <f>IF(IF('01_Вводные'!$B$296="Новый сезон",TRUE,TRUE),P76*CapacityAge24*'01_Вводные'!$F$199,0)</f>
        <v/>
      </c>
      <c r="Q188" s="191">
        <f>IF(IF('01_Вводные'!$B$296="Новый сезон",TRUE,TRUE),Q76*CapacityAge24*'01_Вводные'!$F$199,0)</f>
        <v/>
      </c>
      <c r="R188" s="191">
        <f>IF(IF('01_Вводные'!$B$296="Новый сезон",TRUE,TRUE),R76*CapacityAge24*'01_Вводные'!$F$199,0)</f>
        <v/>
      </c>
      <c r="S188" s="191">
        <f>IF(IF('01_Вводные'!$B$296="Новый сезон",TRUE,TRUE),S76*CapacityAge24*'01_Вводные'!$F$199,0)</f>
        <v/>
      </c>
      <c r="T188" s="191">
        <f>IF(IF('01_Вводные'!$B$296="Новый сезон",TRUE,TRUE),T76*CapacityAge24*'01_Вводные'!$F$199,0)</f>
        <v/>
      </c>
      <c r="U188" s="191">
        <f>IF(IF('01_Вводные'!$B$296="Новый сезон",TRUE,TRUE),U76*CapacityAge24*'01_Вводные'!$F$199,0)</f>
        <v/>
      </c>
      <c r="V188" s="191">
        <f>IF(IF('01_Вводные'!$B$296="Новый сезон",TRUE,TRUE),V76*CapacityAge24*'01_Вводные'!$F$199,0)</f>
        <v/>
      </c>
      <c r="W188" s="191">
        <f>IF(IF('01_Вводные'!$B$296="Новый сезон",TRUE,TRUE),W76*CapacityAge24*'01_Вводные'!$F$199,0)</f>
        <v/>
      </c>
      <c r="X188" s="191">
        <f>IF(IF('01_Вводные'!$B$296="Новый сезон",TRUE,TRUE),X76*CapacityAge24*'01_Вводные'!$F$199,0)</f>
        <v/>
      </c>
      <c r="Y188" s="191">
        <f>IF(IF('01_Вводные'!$B$296="Новый сезон",TRUE,TRUE),Y76*CapacityAge24*'01_Вводные'!$F$199,0)</f>
        <v/>
      </c>
      <c r="Z188" s="191">
        <f>IF(IF('01_Вводные'!$B$296="Новый сезон",TRUE,TRUE),Z76*CapacityAge24*'01_Вводные'!$F$199,0)</f>
        <v/>
      </c>
      <c r="AA188" s="191">
        <f>IF(IF('01_Вводные'!$B$296="Новый сезон",TRUE,TRUE),AA76*CapacityAge24*'01_Вводные'!$F$199,0)</f>
        <v/>
      </c>
      <c r="AB188" s="191">
        <f>IF(IF('01_Вводные'!$B$296="Новый сезон",TRUE,TRUE),AB76*CapacityAge24*'01_Вводные'!$F$199,0)</f>
        <v/>
      </c>
      <c r="AC188" s="191">
        <f>IF(IF('01_Вводные'!$B$296="Новый сезон",TRUE,TRUE),AC76*CapacityAge24*'01_Вводные'!$F$199,0)</f>
        <v/>
      </c>
      <c r="AD188" s="191">
        <f>IF(IF('01_Вводные'!$B$296="Новый сезон",TRUE,TRUE),AD76*CapacityAge24*'01_Вводные'!$F$199,0)</f>
        <v/>
      </c>
      <c r="AE188" s="191">
        <f>IF(IF('01_Вводные'!$B$296="Новый сезон",TRUE,TRUE),AE76*CapacityAge24*'01_Вводные'!$F$199,0)</f>
        <v/>
      </c>
      <c r="AF188" s="191">
        <f>IF(IF('01_Вводные'!$B$296="Новый сезон",TRUE,TRUE),AF76*CapacityAge24*'01_Вводные'!$F$199,0)</f>
        <v/>
      </c>
      <c r="AG188" s="191">
        <f>IF(IF('01_Вводные'!$B$296="Новый сезон",TRUE,TRUE),AG76*CapacityAge24*'01_Вводные'!$F$199,0)</f>
        <v/>
      </c>
      <c r="AH188" s="191">
        <f>IF(IF('01_Вводные'!$B$296="Новый сезон",TRUE,TRUE),AH76*CapacityAge24*'01_Вводные'!$F$199,0)</f>
        <v/>
      </c>
      <c r="AI188" s="191">
        <f>IF(IF('01_Вводные'!$B$296="Новый сезон",TRUE,TRUE),AI76*CapacityAge24*'01_Вводные'!$F$199,0)</f>
        <v/>
      </c>
      <c r="AJ188" s="191">
        <f>IF(IF('01_Вводные'!$B$296="Новый сезон",TRUE,TRUE),AJ76*CapacityAge24*'01_Вводные'!$F$199,0)</f>
        <v/>
      </c>
      <c r="AK188" s="191">
        <f>IF(IF('01_Вводные'!$B$296="Новый сезон",TRUE,TRUE),AK76*CapacityAge24*'01_Вводные'!$F$199,0)</f>
        <v/>
      </c>
      <c r="AL188" s="190">
        <f>IF(IF('01_Вводные'!$B$296="Новый сезон",TRUE,TRUE),AL76*CapacityAge24*'01_Вводные'!$F$199,0)</f>
        <v/>
      </c>
      <c r="AM188" s="190">
        <f>IF(IF('01_Вводные'!$B$296="Новый сезон",TRUE,TRUE),AM76*CapacityAge24*'01_Вводные'!$F$199,0)</f>
        <v/>
      </c>
      <c r="AN188" s="190">
        <f>IF(IF('01_Вводные'!$B$296="Новый сезон",TRUE,TRUE),AN76*CapacityAge24*'01_Вводные'!$F$199,0)</f>
        <v/>
      </c>
      <c r="AO188" s="190">
        <f>IF(IF('01_Вводные'!$B$296="Новый сезон",TRUE,TRUE),AO76*CapacityAge24*'01_Вводные'!$F$199,0)</f>
        <v/>
      </c>
      <c r="AP188" s="190">
        <f>IF(IF('01_Вводные'!$B$296="Новый сезон",TRUE,TRUE),AP76*CapacityAge24*'01_Вводные'!$F$199,0)</f>
        <v/>
      </c>
      <c r="AQ188" s="190">
        <f>IF(IF('01_Вводные'!$B$296="Новый сезон",TRUE,TRUE),AQ76*CapacityAge24*'01_Вводные'!$F$199,0)</f>
        <v/>
      </c>
      <c r="AR188" s="190">
        <f>IF(IF('01_Вводные'!$B$296="Новый сезон",TRUE,TRUE),AR76*CapacityAge24*'01_Вводные'!$F$199,0)</f>
        <v/>
      </c>
      <c r="AS188" s="190">
        <f>IF(IF('01_Вводные'!$B$296="Новый сезон",TRUE,TRUE),AS76*CapacityAge24*'01_Вводные'!$F$199,0)</f>
        <v/>
      </c>
      <c r="AT188" s="190">
        <f>IF(IF('01_Вводные'!$B$296="Новый сезон",TRUE,TRUE),AT76*CapacityAge24*'01_Вводные'!$F$199,0)</f>
        <v/>
      </c>
      <c r="AU188" s="190">
        <f>IF(IF('01_Вводные'!$B$296="Новый сезон",TRUE,TRUE),AU76*CapacityAge24*'01_Вводные'!$F$199,0)</f>
        <v/>
      </c>
      <c r="AV188" s="190">
        <f>IF(IF('01_Вводные'!$B$296="Новый сезон",TRUE,TRUE),AV76*CapacityAge24*'01_Вводные'!$F$199,0)</f>
        <v/>
      </c>
      <c r="AW188" s="190">
        <f>IF(IF('01_Вводные'!$B$296="Новый сезон",TRUE,TRUE),AW76*CapacityAge24*'01_Вводные'!$F$199,0)</f>
        <v/>
      </c>
      <c r="AX188" s="190">
        <f>IF(IF('01_Вводные'!$B$296="Новый сезон",TRUE,TRUE),AX76*CapacityAge24*'01_Вводные'!$F$199,0)</f>
        <v/>
      </c>
      <c r="AY188" s="190">
        <f>IF(IF('01_Вводные'!$B$296="Новый сезон",TRUE,TRUE),AY76*CapacityAge24*'01_Вводные'!$F$199,0)</f>
        <v/>
      </c>
      <c r="AZ188" s="190">
        <f>IF(IF('01_Вводные'!$B$296="Новый сезон",TRUE,TRUE),AZ76*CapacityAge24*'01_Вводные'!$F$199,0)</f>
        <v/>
      </c>
      <c r="BA188" s="190">
        <f>IF(IF('01_Вводные'!$B$296="Новый сезон",TRUE,TRUE),BA76*CapacityAge24*'01_Вводные'!$F$199,0)</f>
        <v/>
      </c>
      <c r="BB188" s="190">
        <f>IF(IF('01_Вводные'!$B$296="Новый сезон",TRUE,TRUE),BB76*CapacityAge24*'01_Вводные'!$F$199,0)</f>
        <v/>
      </c>
      <c r="BC188" s="190">
        <f>IF(IF('01_Вводные'!$B$296="Новый сезон",TRUE,TRUE),BC76*CapacityAge24*'01_Вводные'!$F$199,0)</f>
        <v/>
      </c>
      <c r="BD188" s="190">
        <f>IF(IF('01_Вводные'!$B$296="Новый сезон",TRUE,TRUE),BD76*CapacityAge24*'01_Вводные'!$F$199,0)</f>
        <v/>
      </c>
      <c r="BE188" s="190">
        <f>IF(IF('01_Вводные'!$B$296="Новый сезон",TRUE,TRUE),BE76*CapacityAge24*'01_Вводные'!$F$199,0)</f>
        <v/>
      </c>
      <c r="BF188" s="190">
        <f>IF(IF('01_Вводные'!$B$296="Новый сезон",TRUE,TRUE),BF76*CapacityAge24*'01_Вводные'!$F$199,0)</f>
        <v/>
      </c>
      <c r="BG188" s="190">
        <f>IF(IF('01_Вводные'!$B$296="Новый сезон",TRUE,TRUE),BG76*CapacityAge24*'01_Вводные'!$F$199,0)</f>
        <v/>
      </c>
      <c r="BH188" s="190">
        <f>IF(IF('01_Вводные'!$B$296="Новый сезон",TRUE,TRUE),BH76*CapacityAge24*'01_Вводные'!$F$199,0)</f>
        <v/>
      </c>
      <c r="BI188" s="190">
        <f>IF(IF('01_Вводные'!$B$296="Новый сезон",TRUE,TRUE),BI76*CapacityAge24*'01_Вводные'!$F$199,0)</f>
        <v/>
      </c>
      <c r="BJ188" s="190">
        <f>IF(IF('01_Вводные'!$B$296="Новый сезон",TRUE,TRUE),BJ76*CapacityAge24*'01_Вводные'!$F$199,0)</f>
        <v/>
      </c>
      <c r="BK188" s="190">
        <f>IF(IF('01_Вводные'!$B$296="Новый сезон",TRUE,TRUE),BK76*CapacityAge24*'01_Вводные'!$F$199,0)</f>
        <v/>
      </c>
      <c r="BL188" s="190">
        <f>IF(IF('01_Вводные'!$B$296="Новый сезон",TRUE,TRUE),BL76*CapacityAge24*'01_Вводные'!$F$199,0)</f>
        <v/>
      </c>
      <c r="BM188" s="190">
        <f>IF(IF('01_Вводные'!$B$296="Новый сезон",TRUE,TRUE),BM76*CapacityAge24*'01_Вводные'!$F$199,0)</f>
        <v/>
      </c>
      <c r="BN188" s="190">
        <f>IF(IF('01_Вводные'!$B$296="Новый сезон",TRUE,TRUE),BN76*CapacityAge24*'01_Вводные'!$F$199,0)</f>
        <v/>
      </c>
      <c r="BO188" s="190">
        <f>IF(IF('01_Вводные'!$B$296="Новый сезон",TRUE,TRUE),BO76*CapacityAge24*'01_Вводные'!$F$199,0)</f>
        <v/>
      </c>
    </row>
    <row r="189" hidden="1" outlineLevel="1">
      <c r="A189" t="inlineStr">
        <is>
          <t>25+ мес.</t>
        </is>
      </c>
      <c r="B189" s="191">
        <f>IF(IF('01_Вводные'!$B$296="Новый сезон",TRUE,TRUE),B77*CapacityAge25*'01_Вводные'!$F$199,0)</f>
        <v/>
      </c>
      <c r="C189" s="191">
        <f>IF(IF('01_Вводные'!$B$296="Новый сезон",TRUE,TRUE),C77*CapacityAge25*'01_Вводные'!$F$199,0)</f>
        <v/>
      </c>
      <c r="D189" s="191">
        <f>IF(IF('01_Вводные'!$B$296="Новый сезон",TRUE,TRUE),D77*CapacityAge25*'01_Вводные'!$F$199,0)</f>
        <v/>
      </c>
      <c r="E189" s="191">
        <f>IF(IF('01_Вводные'!$B$296="Новый сезон",TRUE,TRUE),E77*CapacityAge25*'01_Вводные'!$F$199,0)</f>
        <v/>
      </c>
      <c r="F189" s="191">
        <f>IF(IF('01_Вводные'!$B$296="Новый сезон",TRUE,TRUE),F77*CapacityAge25*'01_Вводные'!$F$199,0)</f>
        <v/>
      </c>
      <c r="G189" s="191">
        <f>IF(IF('01_Вводные'!$B$296="Новый сезон",TRUE,TRUE),G77*CapacityAge25*'01_Вводные'!$F$199,0)</f>
        <v/>
      </c>
      <c r="H189" s="191">
        <f>IF(IF('01_Вводные'!$B$296="Новый сезон",TRUE,TRUE),H77*CapacityAge25*'01_Вводные'!$F$199,0)</f>
        <v/>
      </c>
      <c r="I189" s="191">
        <f>IF(IF('01_Вводные'!$B$296="Новый сезон",TRUE,TRUE),I77*CapacityAge25*'01_Вводные'!$F$199,0)</f>
        <v/>
      </c>
      <c r="J189" s="191">
        <f>IF(IF('01_Вводные'!$B$296="Новый сезон",TRUE,TRUE),J77*CapacityAge25*'01_Вводные'!$F$199,0)</f>
        <v/>
      </c>
      <c r="K189" s="191">
        <f>IF(IF('01_Вводные'!$B$296="Новый сезон",TRUE,TRUE),K77*CapacityAge25*'01_Вводные'!$F$199,0)</f>
        <v/>
      </c>
      <c r="L189" s="191">
        <f>IF(IF('01_Вводные'!$B$296="Новый сезон",TRUE,TRUE),L77*CapacityAge25*'01_Вводные'!$F$199,0)</f>
        <v/>
      </c>
      <c r="M189" s="191">
        <f>IF(IF('01_Вводные'!$B$296="Новый сезон",TRUE,TRUE),M77*CapacityAge25*'01_Вводные'!$F$199,0)</f>
        <v/>
      </c>
      <c r="N189" s="191">
        <f>IF(IF('01_Вводные'!$B$296="Новый сезон",TRUE,TRUE),N77*CapacityAge25*'01_Вводные'!$F$199,0)</f>
        <v/>
      </c>
      <c r="O189" s="191">
        <f>IF(IF('01_Вводные'!$B$296="Новый сезон",TRUE,TRUE),O77*CapacityAge25*'01_Вводные'!$F$199,0)</f>
        <v/>
      </c>
      <c r="P189" s="191">
        <f>IF(IF('01_Вводные'!$B$296="Новый сезон",TRUE,TRUE),P77*CapacityAge25*'01_Вводные'!$F$199,0)</f>
        <v/>
      </c>
      <c r="Q189" s="191">
        <f>IF(IF('01_Вводные'!$B$296="Новый сезон",TRUE,TRUE),Q77*CapacityAge25*'01_Вводные'!$F$199,0)</f>
        <v/>
      </c>
      <c r="R189" s="191">
        <f>IF(IF('01_Вводные'!$B$296="Новый сезон",TRUE,TRUE),R77*CapacityAge25*'01_Вводные'!$F$199,0)</f>
        <v/>
      </c>
      <c r="S189" s="191">
        <f>IF(IF('01_Вводные'!$B$296="Новый сезон",TRUE,TRUE),S77*CapacityAge25*'01_Вводные'!$F$199,0)</f>
        <v/>
      </c>
      <c r="T189" s="191">
        <f>IF(IF('01_Вводные'!$B$296="Новый сезон",TRUE,TRUE),T77*CapacityAge25*'01_Вводные'!$F$199,0)</f>
        <v/>
      </c>
      <c r="U189" s="191">
        <f>IF(IF('01_Вводные'!$B$296="Новый сезон",TRUE,TRUE),U77*CapacityAge25*'01_Вводные'!$F$199,0)</f>
        <v/>
      </c>
      <c r="V189" s="191">
        <f>IF(IF('01_Вводные'!$B$296="Новый сезон",TRUE,TRUE),V77*CapacityAge25*'01_Вводные'!$F$199,0)</f>
        <v/>
      </c>
      <c r="W189" s="191">
        <f>IF(IF('01_Вводные'!$B$296="Новый сезон",TRUE,TRUE),W77*CapacityAge25*'01_Вводные'!$F$199,0)</f>
        <v/>
      </c>
      <c r="X189" s="191">
        <f>IF(IF('01_Вводные'!$B$296="Новый сезон",TRUE,TRUE),X77*CapacityAge25*'01_Вводные'!$F$199,0)</f>
        <v/>
      </c>
      <c r="Y189" s="191">
        <f>IF(IF('01_Вводные'!$B$296="Новый сезон",TRUE,TRUE),Y77*CapacityAge25*'01_Вводные'!$F$199,0)</f>
        <v/>
      </c>
      <c r="Z189" s="191">
        <f>IF(IF('01_Вводные'!$B$296="Новый сезон",TRUE,TRUE),Z77*CapacityAge25*'01_Вводные'!$F$199,0)</f>
        <v/>
      </c>
      <c r="AA189" s="191">
        <f>IF(IF('01_Вводные'!$B$296="Новый сезон",TRUE,TRUE),AA77*CapacityAge25*'01_Вводные'!$F$199,0)</f>
        <v/>
      </c>
      <c r="AB189" s="191">
        <f>IF(IF('01_Вводные'!$B$296="Новый сезон",TRUE,TRUE),AB77*CapacityAge25*'01_Вводные'!$F$199,0)</f>
        <v/>
      </c>
      <c r="AC189" s="191">
        <f>IF(IF('01_Вводные'!$B$296="Новый сезон",TRUE,TRUE),AC77*CapacityAge25*'01_Вводные'!$F$199,0)</f>
        <v/>
      </c>
      <c r="AD189" s="191">
        <f>IF(IF('01_Вводные'!$B$296="Новый сезон",TRUE,TRUE),AD77*CapacityAge25*'01_Вводные'!$F$199,0)</f>
        <v/>
      </c>
      <c r="AE189" s="191">
        <f>IF(IF('01_Вводные'!$B$296="Новый сезон",TRUE,TRUE),AE77*CapacityAge25*'01_Вводные'!$F$199,0)</f>
        <v/>
      </c>
      <c r="AF189" s="191">
        <f>IF(IF('01_Вводные'!$B$296="Новый сезон",TRUE,TRUE),AF77*CapacityAge25*'01_Вводные'!$F$199,0)</f>
        <v/>
      </c>
      <c r="AG189" s="191">
        <f>IF(IF('01_Вводные'!$B$296="Новый сезон",TRUE,TRUE),AG77*CapacityAge25*'01_Вводные'!$F$199,0)</f>
        <v/>
      </c>
      <c r="AH189" s="191">
        <f>IF(IF('01_Вводные'!$B$296="Новый сезон",TRUE,TRUE),AH77*CapacityAge25*'01_Вводные'!$F$199,0)</f>
        <v/>
      </c>
      <c r="AI189" s="191">
        <f>IF(IF('01_Вводные'!$B$296="Новый сезон",TRUE,TRUE),AI77*CapacityAge25*'01_Вводные'!$F$199,0)</f>
        <v/>
      </c>
      <c r="AJ189" s="191">
        <f>IF(IF('01_Вводные'!$B$296="Новый сезон",TRUE,TRUE),AJ77*CapacityAge25*'01_Вводные'!$F$199,0)</f>
        <v/>
      </c>
      <c r="AK189" s="191">
        <f>IF(IF('01_Вводные'!$B$296="Новый сезон",TRUE,TRUE),AK77*CapacityAge25*'01_Вводные'!$F$199,0)</f>
        <v/>
      </c>
      <c r="AL189" s="190">
        <f>IF(IF('01_Вводные'!$B$296="Новый сезон",TRUE,TRUE),AL77*CapacityAge25*'01_Вводные'!$F$199,0)</f>
        <v/>
      </c>
      <c r="AM189" s="190">
        <f>IF(IF('01_Вводные'!$B$296="Новый сезон",TRUE,TRUE),AM77*CapacityAge25*'01_Вводные'!$F$199,0)</f>
        <v/>
      </c>
      <c r="AN189" s="190">
        <f>IF(IF('01_Вводные'!$B$296="Новый сезон",TRUE,TRUE),AN77*CapacityAge25*'01_Вводные'!$F$199,0)</f>
        <v/>
      </c>
      <c r="AO189" s="190">
        <f>IF(IF('01_Вводные'!$B$296="Новый сезон",TRUE,TRUE),AO77*CapacityAge25*'01_Вводные'!$F$199,0)</f>
        <v/>
      </c>
      <c r="AP189" s="190">
        <f>IF(IF('01_Вводные'!$B$296="Новый сезон",TRUE,TRUE),AP77*CapacityAge25*'01_Вводные'!$F$199,0)</f>
        <v/>
      </c>
      <c r="AQ189" s="190">
        <f>IF(IF('01_Вводные'!$B$296="Новый сезон",TRUE,TRUE),AQ77*CapacityAge25*'01_Вводные'!$F$199,0)</f>
        <v/>
      </c>
      <c r="AR189" s="190">
        <f>IF(IF('01_Вводные'!$B$296="Новый сезон",TRUE,TRUE),AR77*CapacityAge25*'01_Вводные'!$F$199,0)</f>
        <v/>
      </c>
      <c r="AS189" s="190">
        <f>IF(IF('01_Вводные'!$B$296="Новый сезон",TRUE,TRUE),AS77*CapacityAge25*'01_Вводные'!$F$199,0)</f>
        <v/>
      </c>
      <c r="AT189" s="190">
        <f>IF(IF('01_Вводные'!$B$296="Новый сезон",TRUE,TRUE),AT77*CapacityAge25*'01_Вводные'!$F$199,0)</f>
        <v/>
      </c>
      <c r="AU189" s="190">
        <f>IF(IF('01_Вводные'!$B$296="Новый сезон",TRUE,TRUE),AU77*CapacityAge25*'01_Вводные'!$F$199,0)</f>
        <v/>
      </c>
      <c r="AV189" s="190">
        <f>IF(IF('01_Вводные'!$B$296="Новый сезон",TRUE,TRUE),AV77*CapacityAge25*'01_Вводные'!$F$199,0)</f>
        <v/>
      </c>
      <c r="AW189" s="190">
        <f>IF(IF('01_Вводные'!$B$296="Новый сезон",TRUE,TRUE),AW77*CapacityAge25*'01_Вводные'!$F$199,0)</f>
        <v/>
      </c>
      <c r="AX189" s="190">
        <f>IF(IF('01_Вводные'!$B$296="Новый сезон",TRUE,TRUE),AX77*CapacityAge25*'01_Вводные'!$F$199,0)</f>
        <v/>
      </c>
      <c r="AY189" s="190">
        <f>IF(IF('01_Вводные'!$B$296="Новый сезон",TRUE,TRUE),AY77*CapacityAge25*'01_Вводные'!$F$199,0)</f>
        <v/>
      </c>
      <c r="AZ189" s="190">
        <f>IF(IF('01_Вводные'!$B$296="Новый сезон",TRUE,TRUE),AZ77*CapacityAge25*'01_Вводные'!$F$199,0)</f>
        <v/>
      </c>
      <c r="BA189" s="190">
        <f>IF(IF('01_Вводные'!$B$296="Новый сезон",TRUE,TRUE),BA77*CapacityAge25*'01_Вводные'!$F$199,0)</f>
        <v/>
      </c>
      <c r="BB189" s="190">
        <f>IF(IF('01_Вводные'!$B$296="Новый сезон",TRUE,TRUE),BB77*CapacityAge25*'01_Вводные'!$F$199,0)</f>
        <v/>
      </c>
      <c r="BC189" s="190">
        <f>IF(IF('01_Вводные'!$B$296="Новый сезон",TRUE,TRUE),BC77*CapacityAge25*'01_Вводные'!$F$199,0)</f>
        <v/>
      </c>
      <c r="BD189" s="190">
        <f>IF(IF('01_Вводные'!$B$296="Новый сезон",TRUE,TRUE),BD77*CapacityAge25*'01_Вводные'!$F$199,0)</f>
        <v/>
      </c>
      <c r="BE189" s="190">
        <f>IF(IF('01_Вводные'!$B$296="Новый сезон",TRUE,TRUE),BE77*CapacityAge25*'01_Вводные'!$F$199,0)</f>
        <v/>
      </c>
      <c r="BF189" s="190">
        <f>IF(IF('01_Вводные'!$B$296="Новый сезон",TRUE,TRUE),BF77*CapacityAge25*'01_Вводные'!$F$199,0)</f>
        <v/>
      </c>
      <c r="BG189" s="190">
        <f>IF(IF('01_Вводные'!$B$296="Новый сезон",TRUE,TRUE),BG77*CapacityAge25*'01_Вводные'!$F$199,0)</f>
        <v/>
      </c>
      <c r="BH189" s="190">
        <f>IF(IF('01_Вводные'!$B$296="Новый сезон",TRUE,TRUE),BH77*CapacityAge25*'01_Вводные'!$F$199,0)</f>
        <v/>
      </c>
      <c r="BI189" s="190">
        <f>IF(IF('01_Вводные'!$B$296="Новый сезон",TRUE,TRUE),BI77*CapacityAge25*'01_Вводные'!$F$199,0)</f>
        <v/>
      </c>
      <c r="BJ189" s="190">
        <f>IF(IF('01_Вводные'!$B$296="Новый сезон",TRUE,TRUE),BJ77*CapacityAge25*'01_Вводные'!$F$199,0)</f>
        <v/>
      </c>
      <c r="BK189" s="190">
        <f>IF(IF('01_Вводные'!$B$296="Новый сезон",TRUE,TRUE),BK77*CapacityAge25*'01_Вводные'!$F$199,0)</f>
        <v/>
      </c>
      <c r="BL189" s="190">
        <f>IF(IF('01_Вводные'!$B$296="Новый сезон",TRUE,TRUE),BL77*CapacityAge25*'01_Вводные'!$F$199,0)</f>
        <v/>
      </c>
      <c r="BM189" s="190">
        <f>IF(IF('01_Вводные'!$B$296="Новый сезон",TRUE,TRUE),BM77*CapacityAge25*'01_Вводные'!$F$199,0)</f>
        <v/>
      </c>
      <c r="BN189" s="190">
        <f>IF(IF('01_Вводные'!$B$296="Новый сезон",TRUE,TRUE),BN77*CapacityAge25*'01_Вводные'!$F$199,0)</f>
        <v/>
      </c>
      <c r="BO189" s="190">
        <f>IF(IF('01_Вводные'!$B$296="Новый сезон",TRUE,TRUE),BO77*CapacityAge25*'01_Вводные'!$F$199,0)</f>
        <v/>
      </c>
    </row>
    <row r="190" hidden="1" outlineLevel="1">
      <c r="B190" s="128" t="n"/>
      <c r="C190" s="128" t="n"/>
      <c r="D190" s="128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8" t="n"/>
      <c r="U190" s="128" t="n"/>
      <c r="V190" s="128" t="n"/>
      <c r="W190" s="128" t="n"/>
      <c r="X190" s="128" t="n"/>
      <c r="Y190" s="128" t="n"/>
      <c r="Z190" s="128" t="n"/>
      <c r="AA190" s="128" t="n"/>
      <c r="AB190" s="128" t="n"/>
      <c r="AC190" s="128" t="n"/>
      <c r="AD190" s="128" t="n"/>
      <c r="AE190" s="128" t="n"/>
      <c r="AF190" s="128" t="n"/>
      <c r="AG190" s="128" t="n"/>
      <c r="AH190" s="128" t="n"/>
      <c r="AI190" s="128" t="n"/>
      <c r="AJ190" s="128" t="n"/>
      <c r="AK190" s="128" t="n"/>
    </row>
    <row r="191" hidden="1" outlineLevel="1">
      <c r="A191" t="inlineStr">
        <is>
          <t>Дети для повторной формы, без сезонности</t>
        </is>
      </c>
      <c r="B191" s="188">
        <f>SUM(B165:B189)</f>
        <v/>
      </c>
      <c r="C191" s="188">
        <f>SUM(C165:C189)</f>
        <v/>
      </c>
      <c r="D191" s="188">
        <f>SUM(D165:D189)</f>
        <v/>
      </c>
      <c r="E191" s="188">
        <f>SUM(E165:E189)</f>
        <v/>
      </c>
      <c r="F191" s="188">
        <f>SUM(F165:F189)</f>
        <v/>
      </c>
      <c r="G191" s="188">
        <f>SUM(G165:G189)</f>
        <v/>
      </c>
      <c r="H191" s="188">
        <f>SUM(H165:H189)</f>
        <v/>
      </c>
      <c r="I191" s="188">
        <f>SUM(I165:I189)</f>
        <v/>
      </c>
      <c r="J191" s="188">
        <f>SUM(J165:J189)</f>
        <v/>
      </c>
      <c r="K191" s="188">
        <f>SUM(K165:K189)</f>
        <v/>
      </c>
      <c r="L191" s="188">
        <f>SUM(L165:L189)</f>
        <v/>
      </c>
      <c r="M191" s="188">
        <f>SUM(M165:M189)</f>
        <v/>
      </c>
      <c r="N191" s="188">
        <f>SUM(N165:N189)</f>
        <v/>
      </c>
      <c r="O191" s="188">
        <f>SUM(O165:O189)</f>
        <v/>
      </c>
      <c r="P191" s="188">
        <f>SUM(P165:P189)</f>
        <v/>
      </c>
      <c r="Q191" s="188">
        <f>SUM(Q165:Q189)</f>
        <v/>
      </c>
      <c r="R191" s="188">
        <f>SUM(R165:R189)</f>
        <v/>
      </c>
      <c r="S191" s="188">
        <f>SUM(S165:S189)</f>
        <v/>
      </c>
      <c r="T191" s="188">
        <f>SUM(T165:T189)</f>
        <v/>
      </c>
      <c r="U191" s="188">
        <f>SUM(U165:U189)</f>
        <v/>
      </c>
      <c r="V191" s="188">
        <f>SUM(V165:V189)</f>
        <v/>
      </c>
      <c r="W191" s="188">
        <f>SUM(W165:W189)</f>
        <v/>
      </c>
      <c r="X191" s="188">
        <f>SUM(X165:X189)</f>
        <v/>
      </c>
      <c r="Y191" s="188">
        <f>SUM(Y165:Y189)</f>
        <v/>
      </c>
      <c r="Z191" s="188">
        <f>SUM(Z165:Z189)</f>
        <v/>
      </c>
      <c r="AA191" s="188">
        <f>SUM(AA165:AA189)</f>
        <v/>
      </c>
      <c r="AB191" s="188">
        <f>SUM(AB165:AB189)</f>
        <v/>
      </c>
      <c r="AC191" s="188">
        <f>SUM(AC165:AC189)</f>
        <v/>
      </c>
      <c r="AD191" s="188">
        <f>SUM(AD165:AD189)</f>
        <v/>
      </c>
      <c r="AE191" s="188">
        <f>SUM(AE165:AE189)</f>
        <v/>
      </c>
      <c r="AF191" s="188">
        <f>SUM(AF165:AF189)</f>
        <v/>
      </c>
      <c r="AG191" s="188">
        <f>SUM(AG165:AG189)</f>
        <v/>
      </c>
      <c r="AH191" s="188">
        <f>SUM(AH165:AH189)</f>
        <v/>
      </c>
      <c r="AI191" s="188">
        <f>SUM(AI165:AI189)</f>
        <v/>
      </c>
      <c r="AJ191" s="188">
        <f>SUM(AJ165:AJ189)</f>
        <v/>
      </c>
      <c r="AK191" s="188">
        <f>SUM(AK165:AK189)</f>
        <v/>
      </c>
      <c r="AL191" s="189">
        <f>SUM(AL165:AL189)</f>
        <v/>
      </c>
      <c r="AM191" s="189">
        <f>SUM(AM165:AM189)</f>
        <v/>
      </c>
      <c r="AN191" s="189">
        <f>SUM(AN165:AN189)</f>
        <v/>
      </c>
      <c r="AO191" s="189">
        <f>SUM(AO165:AO189)</f>
        <v/>
      </c>
      <c r="AP191" s="189">
        <f>SUM(AP165:AP189)</f>
        <v/>
      </c>
      <c r="AQ191" s="189">
        <f>SUM(AQ165:AQ189)</f>
        <v/>
      </c>
      <c r="AR191" s="189">
        <f>SUM(AR165:AR189)</f>
        <v/>
      </c>
      <c r="AS191" s="189">
        <f>SUM(AS165:AS189)</f>
        <v/>
      </c>
      <c r="AT191" s="189">
        <f>SUM(AT165:AT189)</f>
        <v/>
      </c>
      <c r="AU191" s="189">
        <f>SUM(AU165:AU189)</f>
        <v/>
      </c>
      <c r="AV191" s="189">
        <f>SUM(AV165:AV189)</f>
        <v/>
      </c>
      <c r="AW191" s="189">
        <f>SUM(AW165:AW189)</f>
        <v/>
      </c>
      <c r="AX191" s="189">
        <f>SUM(AX165:AX189)</f>
        <v/>
      </c>
      <c r="AY191" s="189">
        <f>SUM(AY165:AY189)</f>
        <v/>
      </c>
      <c r="AZ191" s="189">
        <f>SUM(AZ165:AZ189)</f>
        <v/>
      </c>
      <c r="BA191" s="189">
        <f>SUM(BA165:BA189)</f>
        <v/>
      </c>
      <c r="BB191" s="189">
        <f>SUM(BB165:BB189)</f>
        <v/>
      </c>
      <c r="BC191" s="189">
        <f>SUM(BC165:BC189)</f>
        <v/>
      </c>
      <c r="BD191" s="189">
        <f>SUM(BD165:BD189)</f>
        <v/>
      </c>
      <c r="BE191" s="189">
        <f>SUM(BE165:BE189)</f>
        <v/>
      </c>
      <c r="BF191" s="189">
        <f>SUM(BF165:BF189)</f>
        <v/>
      </c>
      <c r="BG191" s="189">
        <f>SUM(BG165:BG189)</f>
        <v/>
      </c>
      <c r="BH191" s="189">
        <f>SUM(BH165:BH189)</f>
        <v/>
      </c>
      <c r="BI191" s="189">
        <f>SUM(BI165:BI189)</f>
        <v/>
      </c>
      <c r="BJ191" s="189">
        <f>SUM(BJ165:BJ189)</f>
        <v/>
      </c>
      <c r="BK191" s="189">
        <f>SUM(BK165:BK189)</f>
        <v/>
      </c>
      <c r="BL191" s="189">
        <f>SUM(BL165:BL189)</f>
        <v/>
      </c>
      <c r="BM191" s="189">
        <f>SUM(BM165:BM189)</f>
        <v/>
      </c>
      <c r="BN191" s="189">
        <f>SUM(BN165:BN189)</f>
        <v/>
      </c>
      <c r="BO191" s="189">
        <f>SUM(BO165:BO189)</f>
        <v/>
      </c>
    </row>
    <row r="192" hidden="1" outlineLevel="1">
      <c r="B192" s="128" t="n"/>
      <c r="C192" s="128" t="n"/>
      <c r="D192" s="128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8" t="n"/>
      <c r="P192" s="128" t="n"/>
      <c r="Q192" s="128" t="n"/>
      <c r="R192" s="128" t="n"/>
      <c r="S192" s="128" t="n"/>
      <c r="T192" s="128" t="n"/>
      <c r="U192" s="128" t="n"/>
      <c r="V192" s="128" t="n"/>
      <c r="W192" s="128" t="n"/>
      <c r="X192" s="128" t="n"/>
      <c r="Y192" s="128" t="n"/>
      <c r="Z192" s="128" t="n"/>
      <c r="AA192" s="128" t="n"/>
      <c r="AB192" s="128" t="n"/>
      <c r="AC192" s="128" t="n"/>
      <c r="AD192" s="128" t="n"/>
      <c r="AE192" s="128" t="n"/>
      <c r="AF192" s="128" t="n"/>
      <c r="AG192" s="128" t="n"/>
      <c r="AH192" s="128" t="n"/>
      <c r="AI192" s="128" t="n"/>
      <c r="AJ192" s="128" t="n"/>
      <c r="AK192" s="128" t="n"/>
    </row>
    <row r="193" hidden="1" outlineLevel="1">
      <c r="B193" s="128" t="n"/>
      <c r="C193" s="128" t="n"/>
      <c r="D193" s="128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8" t="n"/>
      <c r="P193" s="128" t="n"/>
      <c r="Q193" s="128" t="n"/>
      <c r="R193" s="128" t="n"/>
      <c r="S193" s="128" t="n"/>
      <c r="T193" s="128" t="n"/>
      <c r="U193" s="128" t="n"/>
      <c r="V193" s="128" t="n"/>
      <c r="W193" s="128" t="n"/>
      <c r="X193" s="128" t="n"/>
      <c r="Y193" s="128" t="n"/>
      <c r="Z193" s="128" t="n"/>
      <c r="AA193" s="128" t="n"/>
      <c r="AB193" s="128" t="n"/>
      <c r="AC193" s="128" t="n"/>
      <c r="AD193" s="128" t="n"/>
      <c r="AE193" s="128" t="n"/>
      <c r="AF193" s="128" t="n"/>
      <c r="AG193" s="128" t="n"/>
      <c r="AH193" s="128" t="n"/>
      <c r="AI193" s="128" t="n"/>
      <c r="AJ193" s="128" t="n"/>
      <c r="AK193" s="128" t="n"/>
    </row>
    <row r="194" hidden="1" outlineLevel="1">
      <c r="B194" s="128" t="n"/>
      <c r="C194" s="128" t="n"/>
      <c r="D194" s="128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8" t="n"/>
      <c r="U194" s="128" t="n"/>
      <c r="V194" s="128" t="n"/>
      <c r="W194" s="128" t="n"/>
      <c r="X194" s="128" t="n"/>
      <c r="Y194" s="128" t="n"/>
      <c r="Z194" s="128" t="n"/>
      <c r="AA194" s="128" t="n"/>
      <c r="AB194" s="128" t="n"/>
      <c r="AC194" s="128" t="n"/>
      <c r="AD194" s="128" t="n"/>
      <c r="AE194" s="128" t="n"/>
      <c r="AF194" s="128" t="n"/>
      <c r="AG194" s="128" t="n"/>
      <c r="AH194" s="128" t="n"/>
      <c r="AI194" s="128" t="n"/>
      <c r="AJ194" s="128" t="n"/>
      <c r="AK194" s="128" t="n"/>
    </row>
    <row r="195" hidden="1" outlineLevel="1">
      <c r="B195" s="128" t="n"/>
      <c r="C195" s="128" t="n"/>
      <c r="D195" s="128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8" t="n"/>
      <c r="U195" s="128" t="n"/>
      <c r="V195" s="128" t="n"/>
      <c r="W195" s="128" t="n"/>
      <c r="X195" s="128" t="n"/>
      <c r="Y195" s="128" t="n"/>
      <c r="Z195" s="128" t="n"/>
      <c r="AA195" s="128" t="n"/>
      <c r="AB195" s="128" t="n"/>
      <c r="AC195" s="128" t="n"/>
      <c r="AD195" s="128" t="n"/>
      <c r="AE195" s="128" t="n"/>
      <c r="AF195" s="128" t="n"/>
      <c r="AG195" s="128" t="n"/>
      <c r="AH195" s="128" t="n"/>
      <c r="AI195" s="128" t="n"/>
      <c r="AJ195" s="128" t="n"/>
      <c r="AK195" s="128" t="n"/>
    </row>
    <row r="196" hidden="1" outlineLevel="1">
      <c r="B196" s="128" t="n"/>
      <c r="C196" s="128" t="n"/>
      <c r="D196" s="128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8" t="n"/>
      <c r="U196" s="128" t="n"/>
      <c r="V196" s="128" t="n"/>
      <c r="W196" s="128" t="n"/>
      <c r="X196" s="128" t="n"/>
      <c r="Y196" s="128" t="n"/>
      <c r="Z196" s="128" t="n"/>
      <c r="AA196" s="128" t="n"/>
      <c r="AB196" s="128" t="n"/>
      <c r="AC196" s="128" t="n"/>
      <c r="AD196" s="128" t="n"/>
      <c r="AE196" s="128" t="n"/>
      <c r="AF196" s="128" t="n"/>
      <c r="AG196" s="128" t="n"/>
      <c r="AH196" s="128" t="n"/>
      <c r="AI196" s="128" t="n"/>
      <c r="AJ196" s="128" t="n"/>
      <c r="AK196" s="128" t="n"/>
    </row>
    <row r="197" hidden="1" outlineLevel="1">
      <c r="B197" s="128" t="n"/>
      <c r="C197" s="128" t="n"/>
      <c r="D197" s="128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8" t="n"/>
      <c r="U197" s="128" t="n"/>
      <c r="V197" s="128" t="n"/>
      <c r="W197" s="128" t="n"/>
      <c r="X197" s="128" t="n"/>
      <c r="Y197" s="128" t="n"/>
      <c r="Z197" s="128" t="n"/>
      <c r="AA197" s="128" t="n"/>
      <c r="AB197" s="128" t="n"/>
      <c r="AC197" s="128" t="n"/>
      <c r="AD197" s="128" t="n"/>
      <c r="AE197" s="128" t="n"/>
      <c r="AF197" s="128" t="n"/>
      <c r="AG197" s="128" t="n"/>
      <c r="AH197" s="128" t="n"/>
      <c r="AI197" s="128" t="n"/>
      <c r="AJ197" s="128" t="n"/>
      <c r="AK197" s="128" t="n"/>
    </row>
    <row r="198" hidden="1" outlineLevel="1">
      <c r="B198" s="128" t="n"/>
      <c r="C198" s="128" t="n"/>
      <c r="D198" s="128" t="n"/>
      <c r="E198" s="128" t="n"/>
      <c r="F198" s="128" t="n"/>
      <c r="G198" s="128" t="n"/>
      <c r="H198" s="128" t="n"/>
      <c r="I198" s="128" t="n"/>
      <c r="J198" s="128" t="n"/>
      <c r="K198" s="128" t="n"/>
      <c r="L198" s="128" t="n"/>
      <c r="M198" s="128" t="n"/>
      <c r="N198" s="128" t="n"/>
      <c r="O198" s="128" t="n"/>
      <c r="P198" s="128" t="n"/>
      <c r="Q198" s="128" t="n"/>
      <c r="R198" s="128" t="n"/>
      <c r="S198" s="128" t="n"/>
      <c r="T198" s="128" t="n"/>
      <c r="U198" s="128" t="n"/>
      <c r="V198" s="128" t="n"/>
      <c r="W198" s="128" t="n"/>
      <c r="X198" s="128" t="n"/>
      <c r="Y198" s="128" t="n"/>
      <c r="Z198" s="128" t="n"/>
      <c r="AA198" s="128" t="n"/>
      <c r="AB198" s="128" t="n"/>
      <c r="AC198" s="128" t="n"/>
      <c r="AD198" s="128" t="n"/>
      <c r="AE198" s="128" t="n"/>
      <c r="AF198" s="128" t="n"/>
      <c r="AG198" s="128" t="n"/>
      <c r="AH198" s="128" t="n"/>
      <c r="AI198" s="128" t="n"/>
      <c r="AJ198" s="128" t="n"/>
      <c r="AK198" s="128" t="n"/>
    </row>
    <row r="199" hidden="1" outlineLevel="1">
      <c r="B199" s="128" t="n"/>
      <c r="C199" s="128" t="n"/>
      <c r="D199" s="128" t="n"/>
      <c r="E199" s="128" t="n"/>
      <c r="F199" s="128" t="n"/>
      <c r="G199" s="128" t="n"/>
      <c r="H199" s="128" t="n"/>
      <c r="I199" s="128" t="n"/>
      <c r="J199" s="128" t="n"/>
      <c r="K199" s="128" t="n"/>
      <c r="L199" s="128" t="n"/>
      <c r="M199" s="128" t="n"/>
      <c r="N199" s="128" t="n"/>
      <c r="O199" s="128" t="n"/>
      <c r="P199" s="128" t="n"/>
      <c r="Q199" s="128" t="n"/>
      <c r="R199" s="128" t="n"/>
      <c r="S199" s="128" t="n"/>
      <c r="T199" s="128" t="n"/>
      <c r="U199" s="128" t="n"/>
      <c r="V199" s="128" t="n"/>
      <c r="W199" s="128" t="n"/>
      <c r="X199" s="128" t="n"/>
      <c r="Y199" s="128" t="n"/>
      <c r="Z199" s="128" t="n"/>
      <c r="AA199" s="128" t="n"/>
      <c r="AB199" s="128" t="n"/>
      <c r="AC199" s="128" t="n"/>
      <c r="AD199" s="128" t="n"/>
      <c r="AE199" s="128" t="n"/>
      <c r="AF199" s="128" t="n"/>
      <c r="AG199" s="128" t="n"/>
      <c r="AH199" s="128" t="n"/>
      <c r="AI199" s="128" t="n"/>
      <c r="AJ199" s="128" t="n"/>
      <c r="AK199" s="128" t="n"/>
    </row>
    <row r="200" hidden="1" outlineLevel="1">
      <c r="B200" s="128" t="n"/>
      <c r="C200" s="128" t="n"/>
      <c r="D200" s="128" t="n"/>
      <c r="E200" s="128" t="n"/>
      <c r="F200" s="128" t="n"/>
      <c r="G200" s="128" t="n"/>
      <c r="H200" s="128" t="n"/>
      <c r="I200" s="128" t="n"/>
      <c r="J200" s="128" t="n"/>
      <c r="K200" s="128" t="n"/>
      <c r="L200" s="128" t="n"/>
      <c r="M200" s="128" t="n"/>
      <c r="N200" s="128" t="n"/>
      <c r="O200" s="128" t="n"/>
      <c r="P200" s="128" t="n"/>
      <c r="Q200" s="128" t="n"/>
      <c r="R200" s="128" t="n"/>
      <c r="S200" s="128" t="n"/>
      <c r="T200" s="128" t="n"/>
      <c r="U200" s="128" t="n"/>
      <c r="V200" s="128" t="n"/>
      <c r="W200" s="128" t="n"/>
      <c r="X200" s="128" t="n"/>
      <c r="Y200" s="128" t="n"/>
      <c r="Z200" s="128" t="n"/>
      <c r="AA200" s="128" t="n"/>
      <c r="AB200" s="128" t="n"/>
      <c r="AC200" s="128" t="n"/>
      <c r="AD200" s="128" t="n"/>
      <c r="AE200" s="128" t="n"/>
      <c r="AF200" s="128" t="n"/>
      <c r="AG200" s="128" t="n"/>
      <c r="AH200" s="128" t="n"/>
      <c r="AI200" s="128" t="n"/>
      <c r="AJ200" s="128" t="n"/>
      <c r="AK200" s="128" t="n"/>
    </row>
    <row r="201" hidden="1" outlineLevel="1">
      <c r="B201" s="128" t="n"/>
      <c r="C201" s="128" t="n"/>
      <c r="D201" s="128" t="n"/>
      <c r="E201" s="128" t="n"/>
      <c r="F201" s="128" t="n"/>
      <c r="G201" s="128" t="n"/>
      <c r="H201" s="128" t="n"/>
      <c r="I201" s="128" t="n"/>
      <c r="J201" s="128" t="n"/>
      <c r="K201" s="128" t="n"/>
      <c r="L201" s="128" t="n"/>
      <c r="M201" s="128" t="n"/>
      <c r="N201" s="128" t="n"/>
      <c r="O201" s="128" t="n"/>
      <c r="P201" s="128" t="n"/>
      <c r="Q201" s="128" t="n"/>
      <c r="R201" s="128" t="n"/>
      <c r="S201" s="128" t="n"/>
      <c r="T201" s="128" t="n"/>
      <c r="U201" s="128" t="n"/>
      <c r="V201" s="128" t="n"/>
      <c r="W201" s="128" t="n"/>
      <c r="X201" s="128" t="n"/>
      <c r="Y201" s="128" t="n"/>
      <c r="Z201" s="128" t="n"/>
      <c r="AA201" s="128" t="n"/>
      <c r="AB201" s="128" t="n"/>
      <c r="AC201" s="128" t="n"/>
      <c r="AD201" s="128" t="n"/>
      <c r="AE201" s="128" t="n"/>
      <c r="AF201" s="128" t="n"/>
      <c r="AG201" s="128" t="n"/>
      <c r="AH201" s="128" t="n"/>
      <c r="AI201" s="128" t="n"/>
      <c r="AJ201" s="128" t="n"/>
      <c r="AK201" s="128" t="n"/>
    </row>
    <row r="202" hidden="1" outlineLevel="1">
      <c r="A202" t="inlineStr">
        <is>
          <t>Множитель оборота</t>
        </is>
      </c>
      <c r="B202" s="191">
        <f>B5*'01_Вводные'!$F$199*'01_Вводные'!$F$200*'18_Календарь_тарифы'!B4</f>
        <v/>
      </c>
      <c r="C202" s="191">
        <f>C5*'01_Вводные'!$F$199*'01_Вводные'!$F$200*'18_Календарь_тарифы'!C4</f>
        <v/>
      </c>
      <c r="D202" s="191">
        <f>D5*'01_Вводные'!$F$199*'01_Вводные'!$F$200*'18_Календарь_тарифы'!D4</f>
        <v/>
      </c>
      <c r="E202" s="191">
        <f>E5*'01_Вводные'!$F$199*'01_Вводные'!$F$200*'18_Календарь_тарифы'!E4</f>
        <v/>
      </c>
      <c r="F202" s="191">
        <f>F5*'01_Вводные'!$F$199*'01_Вводные'!$F$200*'18_Календарь_тарифы'!F4</f>
        <v/>
      </c>
      <c r="G202" s="191">
        <f>G5*'01_Вводные'!$F$199*'01_Вводные'!$F$200*'18_Календарь_тарифы'!G4</f>
        <v/>
      </c>
      <c r="H202" s="191">
        <f>H5*'01_Вводные'!$F$199*'01_Вводные'!$F$200*'18_Календарь_тарифы'!H4</f>
        <v/>
      </c>
      <c r="I202" s="191">
        <f>I5*'01_Вводные'!$F$199*'01_Вводные'!$F$200*'18_Календарь_тарифы'!I4</f>
        <v/>
      </c>
      <c r="J202" s="191">
        <f>J5*'01_Вводные'!$F$199*'01_Вводные'!$F$200*'18_Календарь_тарифы'!J4</f>
        <v/>
      </c>
      <c r="K202" s="191">
        <f>K5*'01_Вводные'!$F$199*'01_Вводные'!$F$200*'18_Календарь_тарифы'!K4</f>
        <v/>
      </c>
      <c r="L202" s="191">
        <f>L5*'01_Вводные'!$F$199*'01_Вводные'!$F$200*'18_Календарь_тарифы'!L4</f>
        <v/>
      </c>
      <c r="M202" s="191">
        <f>M5*'01_Вводные'!$F$199*'01_Вводные'!$F$200*'18_Календарь_тарифы'!M4</f>
        <v/>
      </c>
      <c r="N202" s="191">
        <f>N5*'01_Вводные'!$F$199*'01_Вводные'!$F$200*'18_Календарь_тарифы'!N4</f>
        <v/>
      </c>
      <c r="O202" s="191">
        <f>O5*'01_Вводные'!$F$199*'01_Вводные'!$F$200*'18_Календарь_тарифы'!O4</f>
        <v/>
      </c>
      <c r="P202" s="191">
        <f>P5*'01_Вводные'!$F$199*'01_Вводные'!$F$200*'18_Календарь_тарифы'!P4</f>
        <v/>
      </c>
      <c r="Q202" s="191">
        <f>Q5*'01_Вводные'!$F$199*'01_Вводные'!$F$200*'18_Календарь_тарифы'!Q4</f>
        <v/>
      </c>
      <c r="R202" s="191">
        <f>R5*'01_Вводные'!$F$199*'01_Вводные'!$F$200*'18_Календарь_тарифы'!R4</f>
        <v/>
      </c>
      <c r="S202" s="191">
        <f>S5*'01_Вводные'!$F$199*'01_Вводные'!$F$200*'18_Календарь_тарифы'!S4</f>
        <v/>
      </c>
      <c r="T202" s="191">
        <f>T5*'01_Вводные'!$F$199*'01_Вводные'!$F$200*'18_Календарь_тарифы'!T4</f>
        <v/>
      </c>
      <c r="U202" s="191">
        <f>U5*'01_Вводные'!$F$199*'01_Вводные'!$F$200*'18_Календарь_тарифы'!U4</f>
        <v/>
      </c>
      <c r="V202" s="191">
        <f>V5*'01_Вводные'!$F$199*'01_Вводные'!$F$200*'18_Календарь_тарифы'!V4</f>
        <v/>
      </c>
      <c r="W202" s="191">
        <f>W5*'01_Вводные'!$F$199*'01_Вводные'!$F$200*'18_Календарь_тарифы'!W4</f>
        <v/>
      </c>
      <c r="X202" s="191">
        <f>X5*'01_Вводные'!$F$199*'01_Вводные'!$F$200*'18_Календарь_тарифы'!X4</f>
        <v/>
      </c>
      <c r="Y202" s="191">
        <f>Y5*'01_Вводные'!$F$199*'01_Вводные'!$F$200*'18_Календарь_тарифы'!Y4</f>
        <v/>
      </c>
      <c r="Z202" s="191">
        <f>Z5*'01_Вводные'!$F$199*'01_Вводные'!$F$200*'18_Календарь_тарифы'!Z4</f>
        <v/>
      </c>
      <c r="AA202" s="191">
        <f>AA5*'01_Вводные'!$F$199*'01_Вводные'!$F$200*'18_Календарь_тарифы'!AA4</f>
        <v/>
      </c>
      <c r="AB202" s="191">
        <f>AB5*'01_Вводные'!$F$199*'01_Вводные'!$F$200*'18_Календарь_тарифы'!AB4</f>
        <v/>
      </c>
      <c r="AC202" s="191">
        <f>AC5*'01_Вводные'!$F$199*'01_Вводные'!$F$200*'18_Календарь_тарифы'!AC4</f>
        <v/>
      </c>
      <c r="AD202" s="191">
        <f>AD5*'01_Вводные'!$F$199*'01_Вводные'!$F$200*'18_Календарь_тарифы'!AD4</f>
        <v/>
      </c>
      <c r="AE202" s="191">
        <f>AE5*'01_Вводные'!$F$199*'01_Вводные'!$F$200*'18_Календарь_тарифы'!AE4</f>
        <v/>
      </c>
      <c r="AF202" s="191">
        <f>AF5*'01_Вводные'!$F$199*'01_Вводные'!$F$200*'18_Календарь_тарифы'!AF4</f>
        <v/>
      </c>
      <c r="AG202" s="191">
        <f>AG5*'01_Вводные'!$F$199*'01_Вводные'!$F$200*'18_Календарь_тарифы'!AG4</f>
        <v/>
      </c>
      <c r="AH202" s="191">
        <f>AH5*'01_Вводные'!$F$199*'01_Вводные'!$F$200*'18_Календарь_тарифы'!AH4</f>
        <v/>
      </c>
      <c r="AI202" s="191">
        <f>AI5*'01_Вводные'!$F$199*'01_Вводные'!$F$200*'18_Календарь_тарифы'!AI4</f>
        <v/>
      </c>
      <c r="AJ202" s="191">
        <f>AJ5*'01_Вводные'!$F$199*'01_Вводные'!$F$200*'18_Календарь_тарифы'!AJ4</f>
        <v/>
      </c>
      <c r="AK202" s="191">
        <f>AK5*'01_Вводные'!$F$199*'01_Вводные'!$F$200*'18_Календарь_тарифы'!AK4</f>
        <v/>
      </c>
      <c r="AL202" s="190">
        <f>AL5*'01_Вводные'!$F$199*'01_Вводные'!$F$200*'18_Календарь_тарифы'!AL4</f>
        <v/>
      </c>
      <c r="AM202" s="190">
        <f>AM5*'01_Вводные'!$F$199*'01_Вводные'!$F$200*'18_Календарь_тарифы'!AM4</f>
        <v/>
      </c>
      <c r="AN202" s="190">
        <f>AN5*'01_Вводные'!$F$199*'01_Вводные'!$F$200*'18_Календарь_тарифы'!AN4</f>
        <v/>
      </c>
      <c r="AO202" s="190">
        <f>AO5*'01_Вводные'!$F$199*'01_Вводные'!$F$200*'18_Календарь_тарифы'!AO4</f>
        <v/>
      </c>
      <c r="AP202" s="190">
        <f>AP5*'01_Вводные'!$F$199*'01_Вводные'!$F$200*'18_Календарь_тарифы'!AP4</f>
        <v/>
      </c>
      <c r="AQ202" s="190">
        <f>AQ5*'01_Вводные'!$F$199*'01_Вводные'!$F$200*'18_Календарь_тарифы'!AQ4</f>
        <v/>
      </c>
      <c r="AR202" s="190">
        <f>AR5*'01_Вводные'!$F$199*'01_Вводные'!$F$200*'18_Календарь_тарифы'!AR4</f>
        <v/>
      </c>
      <c r="AS202" s="190">
        <f>AS5*'01_Вводные'!$F$199*'01_Вводные'!$F$200*'18_Календарь_тарифы'!AS4</f>
        <v/>
      </c>
      <c r="AT202" s="190">
        <f>AT5*'01_Вводные'!$F$199*'01_Вводные'!$F$200*'18_Календарь_тарифы'!AT4</f>
        <v/>
      </c>
      <c r="AU202" s="190">
        <f>AU5*'01_Вводные'!$F$199*'01_Вводные'!$F$200*'18_Календарь_тарифы'!AU4</f>
        <v/>
      </c>
      <c r="AV202" s="190">
        <f>AV5*'01_Вводные'!$F$199*'01_Вводные'!$F$200*'18_Календарь_тарифы'!AV4</f>
        <v/>
      </c>
      <c r="AW202" s="190">
        <f>AW5*'01_Вводные'!$F$199*'01_Вводные'!$F$200*'18_Календарь_тарифы'!AW4</f>
        <v/>
      </c>
      <c r="AX202" s="190">
        <f>AX5*'01_Вводные'!$F$199*'01_Вводные'!$F$200*'18_Календарь_тарифы'!AX4</f>
        <v/>
      </c>
      <c r="AY202" s="190">
        <f>AY5*'01_Вводные'!$F$199*'01_Вводные'!$F$200*'18_Календарь_тарифы'!AY4</f>
        <v/>
      </c>
      <c r="AZ202" s="190">
        <f>AZ5*'01_Вводные'!$F$199*'01_Вводные'!$F$200*'18_Календарь_тарифы'!AZ4</f>
        <v/>
      </c>
      <c r="BA202" s="190">
        <f>BA5*'01_Вводные'!$F$199*'01_Вводные'!$F$200*'18_Календарь_тарифы'!BA4</f>
        <v/>
      </c>
      <c r="BB202" s="190">
        <f>BB5*'01_Вводные'!$F$199*'01_Вводные'!$F$200*'18_Календарь_тарифы'!BB4</f>
        <v/>
      </c>
      <c r="BC202" s="190">
        <f>BC5*'01_Вводные'!$F$199*'01_Вводные'!$F$200*'18_Календарь_тарифы'!BC4</f>
        <v/>
      </c>
      <c r="BD202" s="190">
        <f>BD5*'01_Вводные'!$F$199*'01_Вводные'!$F$200*'18_Календарь_тарифы'!BD4</f>
        <v/>
      </c>
      <c r="BE202" s="190">
        <f>BE5*'01_Вводные'!$F$199*'01_Вводные'!$F$200*'18_Календарь_тарифы'!BE4</f>
        <v/>
      </c>
      <c r="BF202" s="190">
        <f>BF5*'01_Вводные'!$F$199*'01_Вводные'!$F$200*'18_Календарь_тарифы'!BF4</f>
        <v/>
      </c>
      <c r="BG202" s="190">
        <f>BG5*'01_Вводные'!$F$199*'01_Вводные'!$F$200*'18_Календарь_тарифы'!BG4</f>
        <v/>
      </c>
      <c r="BH202" s="190">
        <f>BH5*'01_Вводные'!$F$199*'01_Вводные'!$F$200*'18_Календарь_тарифы'!BH4</f>
        <v/>
      </c>
      <c r="BI202" s="190">
        <f>BI5*'01_Вводные'!$F$199*'01_Вводные'!$F$200*'18_Календарь_тарифы'!BI4</f>
        <v/>
      </c>
      <c r="BJ202" s="190">
        <f>BJ5*'01_Вводные'!$F$199*'01_Вводные'!$F$200*'18_Календарь_тарифы'!BJ4</f>
        <v/>
      </c>
      <c r="BK202" s="190">
        <f>BK5*'01_Вводные'!$F$199*'01_Вводные'!$F$200*'18_Календарь_тарифы'!BK4</f>
        <v/>
      </c>
      <c r="BL202" s="190">
        <f>BL5*'01_Вводные'!$F$199*'01_Вводные'!$F$200*'18_Календарь_тарифы'!BL4</f>
        <v/>
      </c>
      <c r="BM202" s="190">
        <f>BM5*'01_Вводные'!$F$199*'01_Вводные'!$F$200*'18_Календарь_тарифы'!BM4</f>
        <v/>
      </c>
      <c r="BN202" s="190">
        <f>BN5*'01_Вводные'!$F$199*'01_Вводные'!$F$200*'18_Календарь_тарифы'!BN4</f>
        <v/>
      </c>
      <c r="BO202" s="190">
        <f>BO5*'01_Вводные'!$F$199*'01_Вводные'!$F$200*'18_Календарь_тарифы'!BO4</f>
        <v/>
      </c>
    </row>
    <row r="203" hidden="1" outlineLevel="1">
      <c r="B203" s="128" t="n"/>
      <c r="C203" s="128" t="n"/>
      <c r="D203" s="128" t="n"/>
      <c r="E203" s="128" t="n"/>
      <c r="F203" s="128" t="n"/>
      <c r="G203" s="128" t="n"/>
      <c r="H203" s="128" t="n"/>
      <c r="I203" s="128" t="n"/>
      <c r="J203" s="128" t="n"/>
      <c r="K203" s="128" t="n"/>
      <c r="L203" s="128" t="n"/>
      <c r="M203" s="128" t="n"/>
      <c r="N203" s="128" t="n"/>
      <c r="O203" s="128" t="n"/>
      <c r="P203" s="128" t="n"/>
      <c r="Q203" s="128" t="n"/>
      <c r="R203" s="128" t="n"/>
      <c r="S203" s="128" t="n"/>
      <c r="T203" s="128" t="n"/>
      <c r="U203" s="128" t="n"/>
      <c r="V203" s="128" t="n"/>
      <c r="W203" s="128" t="n"/>
      <c r="X203" s="128" t="n"/>
      <c r="Y203" s="128" t="n"/>
      <c r="Z203" s="128" t="n"/>
      <c r="AA203" s="128" t="n"/>
      <c r="AB203" s="128" t="n"/>
      <c r="AC203" s="128" t="n"/>
      <c r="AD203" s="128" t="n"/>
      <c r="AE203" s="128" t="n"/>
      <c r="AF203" s="128" t="n"/>
      <c r="AG203" s="128" t="n"/>
      <c r="AH203" s="128" t="n"/>
      <c r="AI203" s="128" t="n"/>
      <c r="AJ203" s="128" t="n"/>
      <c r="AK203" s="128" t="n"/>
    </row>
    <row r="204" hidden="1" outlineLevel="1">
      <c r="A204" t="inlineStr">
        <is>
          <t>Множитель процентного роялти: старые</t>
        </is>
      </c>
      <c r="B204" s="191">
        <f>B202*IF(B$3&gt;='01_Вводные'!$B$245,'01_Вводные'!$B$57,'01_Вводные'!$B$55)</f>
        <v/>
      </c>
      <c r="C204" s="191">
        <f>C202*IF(C$3&gt;='01_Вводные'!$B$245,'01_Вводные'!$B$57,'01_Вводные'!$B$55)</f>
        <v/>
      </c>
      <c r="D204" s="191">
        <f>D202*IF(D$3&gt;='01_Вводные'!$B$245,'01_Вводные'!$B$57,'01_Вводные'!$B$55)</f>
        <v/>
      </c>
      <c r="E204" s="191">
        <f>E202*IF(E$3&gt;='01_Вводные'!$B$245,'01_Вводные'!$B$57,'01_Вводные'!$B$55)</f>
        <v/>
      </c>
      <c r="F204" s="191">
        <f>F202*IF(F$3&gt;='01_Вводные'!$B$245,'01_Вводные'!$B$57,'01_Вводные'!$B$55)</f>
        <v/>
      </c>
      <c r="G204" s="191">
        <f>G202*IF(G$3&gt;='01_Вводные'!$B$245,'01_Вводные'!$B$57,'01_Вводные'!$B$55)</f>
        <v/>
      </c>
      <c r="H204" s="191">
        <f>H202*IF(H$3&gt;='01_Вводные'!$B$245,'01_Вводные'!$B$57,'01_Вводные'!$B$55)</f>
        <v/>
      </c>
      <c r="I204" s="191">
        <f>I202*IF(I$3&gt;='01_Вводные'!$B$245,'01_Вводные'!$B$57,'01_Вводные'!$B$55)</f>
        <v/>
      </c>
      <c r="J204" s="191">
        <f>J202*IF(J$3&gt;='01_Вводные'!$B$245,'01_Вводные'!$B$57,'01_Вводные'!$B$55)</f>
        <v/>
      </c>
      <c r="K204" s="191">
        <f>K202*IF(K$3&gt;='01_Вводные'!$B$245,'01_Вводные'!$B$57,'01_Вводные'!$B$55)</f>
        <v/>
      </c>
      <c r="L204" s="191">
        <f>L202*IF(L$3&gt;='01_Вводные'!$B$245,'01_Вводные'!$B$57,'01_Вводные'!$B$55)</f>
        <v/>
      </c>
      <c r="M204" s="191">
        <f>M202*IF(M$3&gt;='01_Вводные'!$B$245,'01_Вводные'!$B$57,'01_Вводные'!$B$55)</f>
        <v/>
      </c>
      <c r="N204" s="191">
        <f>N202*IF(N$3&gt;='01_Вводные'!$B$245,'01_Вводные'!$B$57,'01_Вводные'!$B$55)</f>
        <v/>
      </c>
      <c r="O204" s="191">
        <f>O202*IF(O$3&gt;='01_Вводные'!$B$245,'01_Вводные'!$B$57,'01_Вводные'!$B$55)</f>
        <v/>
      </c>
      <c r="P204" s="191">
        <f>P202*IF(P$3&gt;='01_Вводные'!$B$245,'01_Вводные'!$B$57,'01_Вводные'!$B$55)</f>
        <v/>
      </c>
      <c r="Q204" s="191">
        <f>Q202*IF(Q$3&gt;='01_Вводные'!$B$245,'01_Вводные'!$B$57,'01_Вводные'!$B$55)</f>
        <v/>
      </c>
      <c r="R204" s="191">
        <f>R202*IF(R$3&gt;='01_Вводные'!$B$245,'01_Вводные'!$B$57,'01_Вводные'!$B$55)</f>
        <v/>
      </c>
      <c r="S204" s="191">
        <f>S202*IF(S$3&gt;='01_Вводные'!$B$245,'01_Вводные'!$B$57,'01_Вводные'!$B$55)</f>
        <v/>
      </c>
      <c r="T204" s="191">
        <f>T202*IF(T$3&gt;='01_Вводные'!$B$245,'01_Вводные'!$B$57,'01_Вводные'!$B$55)</f>
        <v/>
      </c>
      <c r="U204" s="191">
        <f>U202*IF(U$3&gt;='01_Вводные'!$B$245,'01_Вводные'!$B$57,'01_Вводные'!$B$55)</f>
        <v/>
      </c>
      <c r="V204" s="191">
        <f>V202*IF(V$3&gt;='01_Вводные'!$B$245,'01_Вводные'!$B$57,'01_Вводные'!$B$55)</f>
        <v/>
      </c>
      <c r="W204" s="191">
        <f>W202*IF(W$3&gt;='01_Вводные'!$B$245,'01_Вводные'!$B$57,'01_Вводные'!$B$55)</f>
        <v/>
      </c>
      <c r="X204" s="191">
        <f>X202*IF(X$3&gt;='01_Вводные'!$B$245,'01_Вводные'!$B$57,'01_Вводные'!$B$55)</f>
        <v/>
      </c>
      <c r="Y204" s="191">
        <f>Y202*IF(Y$3&gt;='01_Вводные'!$B$245,'01_Вводные'!$B$57,'01_Вводные'!$B$55)</f>
        <v/>
      </c>
      <c r="Z204" s="191">
        <f>Z202*IF(Z$3&gt;='01_Вводные'!$B$245,'01_Вводные'!$B$57,'01_Вводные'!$B$55)</f>
        <v/>
      </c>
      <c r="AA204" s="191">
        <f>AA202*IF(AA$3&gt;='01_Вводные'!$B$245,'01_Вводные'!$B$57,'01_Вводные'!$B$55)</f>
        <v/>
      </c>
      <c r="AB204" s="191">
        <f>AB202*IF(AB$3&gt;='01_Вводные'!$B$245,'01_Вводные'!$B$57,'01_Вводные'!$B$55)</f>
        <v/>
      </c>
      <c r="AC204" s="191">
        <f>AC202*IF(AC$3&gt;='01_Вводные'!$B$245,'01_Вводные'!$B$57,'01_Вводные'!$B$55)</f>
        <v/>
      </c>
      <c r="AD204" s="191">
        <f>AD202*IF(AD$3&gt;='01_Вводные'!$B$245,'01_Вводные'!$B$57,'01_Вводные'!$B$55)</f>
        <v/>
      </c>
      <c r="AE204" s="191">
        <f>AE202*IF(AE$3&gt;='01_Вводные'!$B$245,'01_Вводные'!$B$57,'01_Вводные'!$B$55)</f>
        <v/>
      </c>
      <c r="AF204" s="191">
        <f>AF202*IF(AF$3&gt;='01_Вводные'!$B$245,'01_Вводные'!$B$57,'01_Вводные'!$B$55)</f>
        <v/>
      </c>
      <c r="AG204" s="191">
        <f>AG202*IF(AG$3&gt;='01_Вводные'!$B$245,'01_Вводные'!$B$57,'01_Вводные'!$B$55)</f>
        <v/>
      </c>
      <c r="AH204" s="191">
        <f>AH202*IF(AH$3&gt;='01_Вводные'!$B$245,'01_Вводные'!$B$57,'01_Вводные'!$B$55)</f>
        <v/>
      </c>
      <c r="AI204" s="191">
        <f>AI202*IF(AI$3&gt;='01_Вводные'!$B$245,'01_Вводные'!$B$57,'01_Вводные'!$B$55)</f>
        <v/>
      </c>
      <c r="AJ204" s="191">
        <f>AJ202*IF(AJ$3&gt;='01_Вводные'!$B$245,'01_Вводные'!$B$57,'01_Вводные'!$B$55)</f>
        <v/>
      </c>
      <c r="AK204" s="191">
        <f>AK202*IF(AK$3&gt;='01_Вводные'!$B$245,'01_Вводные'!$B$57,'01_Вводные'!$B$55)</f>
        <v/>
      </c>
      <c r="AL204" s="190">
        <f>AL202*IF(AL$3&gt;='01_Вводные'!$B$245,'01_Вводные'!$B$57,'01_Вводные'!$B$55)</f>
        <v/>
      </c>
      <c r="AM204" s="190">
        <f>AM202*IF(AM$3&gt;='01_Вводные'!$B$245,'01_Вводные'!$B$57,'01_Вводные'!$B$55)</f>
        <v/>
      </c>
      <c r="AN204" s="190">
        <f>AN202*IF(AN$3&gt;='01_Вводные'!$B$245,'01_Вводные'!$B$57,'01_Вводные'!$B$55)</f>
        <v/>
      </c>
      <c r="AO204" s="190">
        <f>AO202*IF(AO$3&gt;='01_Вводные'!$B$245,'01_Вводные'!$B$57,'01_Вводные'!$B$55)</f>
        <v/>
      </c>
      <c r="AP204" s="190">
        <f>AP202*IF(AP$3&gt;='01_Вводные'!$B$245,'01_Вводные'!$B$57,'01_Вводные'!$B$55)</f>
        <v/>
      </c>
      <c r="AQ204" s="190">
        <f>AQ202*IF(AQ$3&gt;='01_Вводные'!$B$245,'01_Вводные'!$B$57,'01_Вводные'!$B$55)</f>
        <v/>
      </c>
      <c r="AR204" s="190">
        <f>AR202*IF(AR$3&gt;='01_Вводные'!$B$245,'01_Вводные'!$B$57,'01_Вводные'!$B$55)</f>
        <v/>
      </c>
      <c r="AS204" s="190">
        <f>AS202*IF(AS$3&gt;='01_Вводные'!$B$245,'01_Вводные'!$B$57,'01_Вводные'!$B$55)</f>
        <v/>
      </c>
      <c r="AT204" s="190">
        <f>AT202*IF(AT$3&gt;='01_Вводные'!$B$245,'01_Вводные'!$B$57,'01_Вводные'!$B$55)</f>
        <v/>
      </c>
      <c r="AU204" s="190">
        <f>AU202*IF(AU$3&gt;='01_Вводные'!$B$245,'01_Вводные'!$B$57,'01_Вводные'!$B$55)</f>
        <v/>
      </c>
      <c r="AV204" s="190">
        <f>AV202*IF(AV$3&gt;='01_Вводные'!$B$245,'01_Вводные'!$B$57,'01_Вводные'!$B$55)</f>
        <v/>
      </c>
      <c r="AW204" s="190">
        <f>AW202*IF(AW$3&gt;='01_Вводные'!$B$245,'01_Вводные'!$B$57,'01_Вводные'!$B$55)</f>
        <v/>
      </c>
      <c r="AX204" s="190">
        <f>AX202*IF(AX$3&gt;='01_Вводные'!$B$245,'01_Вводные'!$B$57,'01_Вводные'!$B$55)</f>
        <v/>
      </c>
      <c r="AY204" s="190">
        <f>AY202*IF(AY$3&gt;='01_Вводные'!$B$245,'01_Вводные'!$B$57,'01_Вводные'!$B$55)</f>
        <v/>
      </c>
      <c r="AZ204" s="190">
        <f>AZ202*IF(AZ$3&gt;='01_Вводные'!$B$245,'01_Вводные'!$B$57,'01_Вводные'!$B$55)</f>
        <v/>
      </c>
      <c r="BA204" s="190">
        <f>BA202*IF(BA$3&gt;='01_Вводные'!$B$245,'01_Вводные'!$B$57,'01_Вводные'!$B$55)</f>
        <v/>
      </c>
      <c r="BB204" s="190">
        <f>BB202*IF(BB$3&gt;='01_Вводные'!$B$245,'01_Вводные'!$B$57,'01_Вводные'!$B$55)</f>
        <v/>
      </c>
      <c r="BC204" s="190">
        <f>BC202*IF(BC$3&gt;='01_Вводные'!$B$245,'01_Вводные'!$B$57,'01_Вводные'!$B$55)</f>
        <v/>
      </c>
      <c r="BD204" s="190">
        <f>BD202*IF(BD$3&gt;='01_Вводные'!$B$245,'01_Вводные'!$B$57,'01_Вводные'!$B$55)</f>
        <v/>
      </c>
      <c r="BE204" s="190">
        <f>BE202*IF(BE$3&gt;='01_Вводные'!$B$245,'01_Вводные'!$B$57,'01_Вводные'!$B$55)</f>
        <v/>
      </c>
      <c r="BF204" s="190">
        <f>BF202*IF(BF$3&gt;='01_Вводные'!$B$245,'01_Вводные'!$B$57,'01_Вводные'!$B$55)</f>
        <v/>
      </c>
      <c r="BG204" s="190">
        <f>BG202*IF(BG$3&gt;='01_Вводные'!$B$245,'01_Вводные'!$B$57,'01_Вводные'!$B$55)</f>
        <v/>
      </c>
      <c r="BH204" s="190">
        <f>BH202*IF(BH$3&gt;='01_Вводные'!$B$245,'01_Вводные'!$B$57,'01_Вводные'!$B$55)</f>
        <v/>
      </c>
      <c r="BI204" s="190">
        <f>BI202*IF(BI$3&gt;='01_Вводные'!$B$245,'01_Вводные'!$B$57,'01_Вводные'!$B$55)</f>
        <v/>
      </c>
      <c r="BJ204" s="190">
        <f>BJ202*IF(BJ$3&gt;='01_Вводные'!$B$245,'01_Вводные'!$B$57,'01_Вводные'!$B$55)</f>
        <v/>
      </c>
      <c r="BK204" s="190">
        <f>BK202*IF(BK$3&gt;='01_Вводные'!$B$245,'01_Вводные'!$B$57,'01_Вводные'!$B$55)</f>
        <v/>
      </c>
      <c r="BL204" s="190">
        <f>BL202*IF(BL$3&gt;='01_Вводные'!$B$245,'01_Вводные'!$B$57,'01_Вводные'!$B$55)</f>
        <v/>
      </c>
      <c r="BM204" s="190">
        <f>BM202*IF(BM$3&gt;='01_Вводные'!$B$245,'01_Вводные'!$B$57,'01_Вводные'!$B$55)</f>
        <v/>
      </c>
      <c r="BN204" s="190">
        <f>BN202*IF(BN$3&gt;='01_Вводные'!$B$245,'01_Вводные'!$B$57,'01_Вводные'!$B$55)</f>
        <v/>
      </c>
      <c r="BO204" s="190">
        <f>BO202*IF(BO$3&gt;='01_Вводные'!$B$245,'01_Вводные'!$B$57,'01_Вводные'!$B$55)</f>
        <v/>
      </c>
    </row>
    <row r="205" hidden="1" outlineLevel="1">
      <c r="A205" t="inlineStr">
        <is>
          <t>Множитель процентного роялти: новые</t>
        </is>
      </c>
      <c r="B205" s="191">
        <f>B202*IF(B$3&gt;='01_Вводные'!$B$245,'01_Вводные'!$B$57,'01_Вводные'!$B$56)</f>
        <v/>
      </c>
      <c r="C205" s="191">
        <f>C202*IF(C$3&gt;='01_Вводные'!$B$245,'01_Вводные'!$B$57,'01_Вводные'!$B$56)</f>
        <v/>
      </c>
      <c r="D205" s="191">
        <f>D202*IF(D$3&gt;='01_Вводные'!$B$245,'01_Вводные'!$B$57,'01_Вводные'!$B$56)</f>
        <v/>
      </c>
      <c r="E205" s="191">
        <f>E202*IF(E$3&gt;='01_Вводные'!$B$245,'01_Вводные'!$B$57,'01_Вводные'!$B$56)</f>
        <v/>
      </c>
      <c r="F205" s="191">
        <f>F202*IF(F$3&gt;='01_Вводные'!$B$245,'01_Вводные'!$B$57,'01_Вводные'!$B$56)</f>
        <v/>
      </c>
      <c r="G205" s="191">
        <f>G202*IF(G$3&gt;='01_Вводные'!$B$245,'01_Вводные'!$B$57,'01_Вводные'!$B$56)</f>
        <v/>
      </c>
      <c r="H205" s="191">
        <f>H202*IF(H$3&gt;='01_Вводные'!$B$245,'01_Вводные'!$B$57,'01_Вводные'!$B$56)</f>
        <v/>
      </c>
      <c r="I205" s="191">
        <f>I202*IF(I$3&gt;='01_Вводные'!$B$245,'01_Вводные'!$B$57,'01_Вводные'!$B$56)</f>
        <v/>
      </c>
      <c r="J205" s="191">
        <f>J202*IF(J$3&gt;='01_Вводные'!$B$245,'01_Вводные'!$B$57,'01_Вводные'!$B$56)</f>
        <v/>
      </c>
      <c r="K205" s="191">
        <f>K202*IF(K$3&gt;='01_Вводные'!$B$245,'01_Вводные'!$B$57,'01_Вводные'!$B$56)</f>
        <v/>
      </c>
      <c r="L205" s="191">
        <f>L202*IF(L$3&gt;='01_Вводные'!$B$245,'01_Вводные'!$B$57,'01_Вводные'!$B$56)</f>
        <v/>
      </c>
      <c r="M205" s="191">
        <f>M202*IF(M$3&gt;='01_Вводные'!$B$245,'01_Вводные'!$B$57,'01_Вводные'!$B$56)</f>
        <v/>
      </c>
      <c r="N205" s="191">
        <f>N202*IF(N$3&gt;='01_Вводные'!$B$245,'01_Вводные'!$B$57,'01_Вводные'!$B$56)</f>
        <v/>
      </c>
      <c r="O205" s="191">
        <f>O202*IF(O$3&gt;='01_Вводные'!$B$245,'01_Вводные'!$B$57,'01_Вводные'!$B$56)</f>
        <v/>
      </c>
      <c r="P205" s="191">
        <f>P202*IF(P$3&gt;='01_Вводные'!$B$245,'01_Вводные'!$B$57,'01_Вводные'!$B$56)</f>
        <v/>
      </c>
      <c r="Q205" s="191">
        <f>Q202*IF(Q$3&gt;='01_Вводные'!$B$245,'01_Вводные'!$B$57,'01_Вводные'!$B$56)</f>
        <v/>
      </c>
      <c r="R205" s="191">
        <f>R202*IF(R$3&gt;='01_Вводные'!$B$245,'01_Вводные'!$B$57,'01_Вводные'!$B$56)</f>
        <v/>
      </c>
      <c r="S205" s="191">
        <f>S202*IF(S$3&gt;='01_Вводные'!$B$245,'01_Вводные'!$B$57,'01_Вводные'!$B$56)</f>
        <v/>
      </c>
      <c r="T205" s="191">
        <f>T202*IF(T$3&gt;='01_Вводные'!$B$245,'01_Вводные'!$B$57,'01_Вводные'!$B$56)</f>
        <v/>
      </c>
      <c r="U205" s="191">
        <f>U202*IF(U$3&gt;='01_Вводные'!$B$245,'01_Вводные'!$B$57,'01_Вводные'!$B$56)</f>
        <v/>
      </c>
      <c r="V205" s="191">
        <f>V202*IF(V$3&gt;='01_Вводные'!$B$245,'01_Вводные'!$B$57,'01_Вводные'!$B$56)</f>
        <v/>
      </c>
      <c r="W205" s="191">
        <f>W202*IF(W$3&gt;='01_Вводные'!$B$245,'01_Вводные'!$B$57,'01_Вводные'!$B$56)</f>
        <v/>
      </c>
      <c r="X205" s="191">
        <f>X202*IF(X$3&gt;='01_Вводные'!$B$245,'01_Вводные'!$B$57,'01_Вводные'!$B$56)</f>
        <v/>
      </c>
      <c r="Y205" s="191">
        <f>Y202*IF(Y$3&gt;='01_Вводные'!$B$245,'01_Вводные'!$B$57,'01_Вводные'!$B$56)</f>
        <v/>
      </c>
      <c r="Z205" s="191">
        <f>Z202*IF(Z$3&gt;='01_Вводные'!$B$245,'01_Вводные'!$B$57,'01_Вводные'!$B$56)</f>
        <v/>
      </c>
      <c r="AA205" s="191">
        <f>AA202*IF(AA$3&gt;='01_Вводные'!$B$245,'01_Вводные'!$B$57,'01_Вводные'!$B$56)</f>
        <v/>
      </c>
      <c r="AB205" s="191">
        <f>AB202*IF(AB$3&gt;='01_Вводные'!$B$245,'01_Вводные'!$B$57,'01_Вводные'!$B$56)</f>
        <v/>
      </c>
      <c r="AC205" s="191">
        <f>AC202*IF(AC$3&gt;='01_Вводные'!$B$245,'01_Вводные'!$B$57,'01_Вводные'!$B$56)</f>
        <v/>
      </c>
      <c r="AD205" s="191">
        <f>AD202*IF(AD$3&gt;='01_Вводные'!$B$245,'01_Вводные'!$B$57,'01_Вводные'!$B$56)</f>
        <v/>
      </c>
      <c r="AE205" s="191">
        <f>AE202*IF(AE$3&gt;='01_Вводные'!$B$245,'01_Вводные'!$B$57,'01_Вводные'!$B$56)</f>
        <v/>
      </c>
      <c r="AF205" s="191">
        <f>AF202*IF(AF$3&gt;='01_Вводные'!$B$245,'01_Вводные'!$B$57,'01_Вводные'!$B$56)</f>
        <v/>
      </c>
      <c r="AG205" s="191">
        <f>AG202*IF(AG$3&gt;='01_Вводные'!$B$245,'01_Вводные'!$B$57,'01_Вводные'!$B$56)</f>
        <v/>
      </c>
      <c r="AH205" s="191">
        <f>AH202*IF(AH$3&gt;='01_Вводные'!$B$245,'01_Вводные'!$B$57,'01_Вводные'!$B$56)</f>
        <v/>
      </c>
      <c r="AI205" s="191">
        <f>AI202*IF(AI$3&gt;='01_Вводные'!$B$245,'01_Вводные'!$B$57,'01_Вводные'!$B$56)</f>
        <v/>
      </c>
      <c r="AJ205" s="191">
        <f>AJ202*IF(AJ$3&gt;='01_Вводные'!$B$245,'01_Вводные'!$B$57,'01_Вводные'!$B$56)</f>
        <v/>
      </c>
      <c r="AK205" s="191">
        <f>AK202*IF(AK$3&gt;='01_Вводные'!$B$245,'01_Вводные'!$B$57,'01_Вводные'!$B$56)</f>
        <v/>
      </c>
      <c r="AL205" s="190">
        <f>AL202*IF(AL$3&gt;='01_Вводные'!$B$245,'01_Вводные'!$B$57,'01_Вводные'!$B$56)</f>
        <v/>
      </c>
      <c r="AM205" s="190">
        <f>AM202*IF(AM$3&gt;='01_Вводные'!$B$245,'01_Вводные'!$B$57,'01_Вводные'!$B$56)</f>
        <v/>
      </c>
      <c r="AN205" s="190">
        <f>AN202*IF(AN$3&gt;='01_Вводные'!$B$245,'01_Вводные'!$B$57,'01_Вводные'!$B$56)</f>
        <v/>
      </c>
      <c r="AO205" s="190">
        <f>AO202*IF(AO$3&gt;='01_Вводные'!$B$245,'01_Вводные'!$B$57,'01_Вводные'!$B$56)</f>
        <v/>
      </c>
      <c r="AP205" s="190">
        <f>AP202*IF(AP$3&gt;='01_Вводные'!$B$245,'01_Вводные'!$B$57,'01_Вводные'!$B$56)</f>
        <v/>
      </c>
      <c r="AQ205" s="190">
        <f>AQ202*IF(AQ$3&gt;='01_Вводные'!$B$245,'01_Вводные'!$B$57,'01_Вводные'!$B$56)</f>
        <v/>
      </c>
      <c r="AR205" s="190">
        <f>AR202*IF(AR$3&gt;='01_Вводные'!$B$245,'01_Вводные'!$B$57,'01_Вводные'!$B$56)</f>
        <v/>
      </c>
      <c r="AS205" s="190">
        <f>AS202*IF(AS$3&gt;='01_Вводные'!$B$245,'01_Вводные'!$B$57,'01_Вводные'!$B$56)</f>
        <v/>
      </c>
      <c r="AT205" s="190">
        <f>AT202*IF(AT$3&gt;='01_Вводные'!$B$245,'01_Вводные'!$B$57,'01_Вводные'!$B$56)</f>
        <v/>
      </c>
      <c r="AU205" s="190">
        <f>AU202*IF(AU$3&gt;='01_Вводные'!$B$245,'01_Вводные'!$B$57,'01_Вводные'!$B$56)</f>
        <v/>
      </c>
      <c r="AV205" s="190">
        <f>AV202*IF(AV$3&gt;='01_Вводные'!$B$245,'01_Вводные'!$B$57,'01_Вводные'!$B$56)</f>
        <v/>
      </c>
      <c r="AW205" s="190">
        <f>AW202*IF(AW$3&gt;='01_Вводные'!$B$245,'01_Вводные'!$B$57,'01_Вводные'!$B$56)</f>
        <v/>
      </c>
      <c r="AX205" s="190">
        <f>AX202*IF(AX$3&gt;='01_Вводные'!$B$245,'01_Вводные'!$B$57,'01_Вводные'!$B$56)</f>
        <v/>
      </c>
      <c r="AY205" s="190">
        <f>AY202*IF(AY$3&gt;='01_Вводные'!$B$245,'01_Вводные'!$B$57,'01_Вводные'!$B$56)</f>
        <v/>
      </c>
      <c r="AZ205" s="190">
        <f>AZ202*IF(AZ$3&gt;='01_Вводные'!$B$245,'01_Вводные'!$B$57,'01_Вводные'!$B$56)</f>
        <v/>
      </c>
      <c r="BA205" s="190">
        <f>BA202*IF(BA$3&gt;='01_Вводные'!$B$245,'01_Вводные'!$B$57,'01_Вводные'!$B$56)</f>
        <v/>
      </c>
      <c r="BB205" s="190">
        <f>BB202*IF(BB$3&gt;='01_Вводные'!$B$245,'01_Вводные'!$B$57,'01_Вводные'!$B$56)</f>
        <v/>
      </c>
      <c r="BC205" s="190">
        <f>BC202*IF(BC$3&gt;='01_Вводные'!$B$245,'01_Вводные'!$B$57,'01_Вводные'!$B$56)</f>
        <v/>
      </c>
      <c r="BD205" s="190">
        <f>BD202*IF(BD$3&gt;='01_Вводные'!$B$245,'01_Вводные'!$B$57,'01_Вводные'!$B$56)</f>
        <v/>
      </c>
      <c r="BE205" s="190">
        <f>BE202*IF(BE$3&gt;='01_Вводные'!$B$245,'01_Вводные'!$B$57,'01_Вводные'!$B$56)</f>
        <v/>
      </c>
      <c r="BF205" s="190">
        <f>BF202*IF(BF$3&gt;='01_Вводные'!$B$245,'01_Вводные'!$B$57,'01_Вводные'!$B$56)</f>
        <v/>
      </c>
      <c r="BG205" s="190">
        <f>BG202*IF(BG$3&gt;='01_Вводные'!$B$245,'01_Вводные'!$B$57,'01_Вводные'!$B$56)</f>
        <v/>
      </c>
      <c r="BH205" s="190">
        <f>BH202*IF(BH$3&gt;='01_Вводные'!$B$245,'01_Вводные'!$B$57,'01_Вводные'!$B$56)</f>
        <v/>
      </c>
      <c r="BI205" s="190">
        <f>BI202*IF(BI$3&gt;='01_Вводные'!$B$245,'01_Вводные'!$B$57,'01_Вводные'!$B$56)</f>
        <v/>
      </c>
      <c r="BJ205" s="190">
        <f>BJ202*IF(BJ$3&gt;='01_Вводные'!$B$245,'01_Вводные'!$B$57,'01_Вводные'!$B$56)</f>
        <v/>
      </c>
      <c r="BK205" s="190">
        <f>BK202*IF(BK$3&gt;='01_Вводные'!$B$245,'01_Вводные'!$B$57,'01_Вводные'!$B$56)</f>
        <v/>
      </c>
      <c r="BL205" s="190">
        <f>BL202*IF(BL$3&gt;='01_Вводные'!$B$245,'01_Вводные'!$B$57,'01_Вводные'!$B$56)</f>
        <v/>
      </c>
      <c r="BM205" s="190">
        <f>BM202*IF(BM$3&gt;='01_Вводные'!$B$245,'01_Вводные'!$B$57,'01_Вводные'!$B$56)</f>
        <v/>
      </c>
      <c r="BN205" s="190">
        <f>BN202*IF(BN$3&gt;='01_Вводные'!$B$245,'01_Вводные'!$B$57,'01_Вводные'!$B$56)</f>
        <v/>
      </c>
      <c r="BO205" s="190">
        <f>BO202*IF(BO$3&gt;='01_Вводные'!$B$245,'01_Вводные'!$B$57,'01_Вводные'!$B$56)</f>
        <v/>
      </c>
    </row>
    <row r="206" hidden="1" outlineLevel="1">
      <c r="B206" s="188">
        <f>SUM(B53:B77)-B16</f>
        <v/>
      </c>
      <c r="C206" s="188">
        <f>SUM(C53:C77)-C16</f>
        <v/>
      </c>
      <c r="D206" s="188">
        <f>SUM(D53:D77)-D16</f>
        <v/>
      </c>
      <c r="E206" s="188">
        <f>SUM(E53:E77)-E16</f>
        <v/>
      </c>
      <c r="F206" s="188">
        <f>SUM(F53:F77)-F16</f>
        <v/>
      </c>
      <c r="G206" s="188">
        <f>SUM(G53:G77)-G16</f>
        <v/>
      </c>
      <c r="H206" s="188">
        <f>SUM(H53:H77)-H16</f>
        <v/>
      </c>
      <c r="I206" s="188">
        <f>SUM(I53:I77)-I16</f>
        <v/>
      </c>
      <c r="J206" s="188">
        <f>SUM(J53:J77)-J16</f>
        <v/>
      </c>
      <c r="K206" s="188">
        <f>SUM(K53:K77)-K16</f>
        <v/>
      </c>
      <c r="L206" s="188">
        <f>SUM(L53:L77)-L16</f>
        <v/>
      </c>
      <c r="M206" s="188">
        <f>SUM(M53:M77)-M16</f>
        <v/>
      </c>
      <c r="N206" s="188">
        <f>SUM(N53:N77)-N16</f>
        <v/>
      </c>
      <c r="O206" s="188">
        <f>SUM(O53:O77)-O16</f>
        <v/>
      </c>
      <c r="P206" s="188">
        <f>SUM(P53:P77)-P16</f>
        <v/>
      </c>
      <c r="Q206" s="188">
        <f>SUM(Q53:Q77)-Q16</f>
        <v/>
      </c>
      <c r="R206" s="188">
        <f>SUM(R53:R77)-R16</f>
        <v/>
      </c>
      <c r="S206" s="188">
        <f>SUM(S53:S77)-S16</f>
        <v/>
      </c>
      <c r="T206" s="188">
        <f>SUM(T53:T77)-T16</f>
        <v/>
      </c>
      <c r="U206" s="188">
        <f>SUM(U53:U77)-U16</f>
        <v/>
      </c>
      <c r="V206" s="188">
        <f>SUM(V53:V77)-V16</f>
        <v/>
      </c>
      <c r="W206" s="188">
        <f>SUM(W53:W77)-W16</f>
        <v/>
      </c>
      <c r="X206" s="188">
        <f>SUM(X53:X77)-X16</f>
        <v/>
      </c>
      <c r="Y206" s="188">
        <f>SUM(Y53:Y77)-Y16</f>
        <v/>
      </c>
      <c r="Z206" s="188">
        <f>SUM(Z53:Z77)-Z16</f>
        <v/>
      </c>
      <c r="AA206" s="188">
        <f>SUM(AA53:AA77)-AA16</f>
        <v/>
      </c>
      <c r="AB206" s="188">
        <f>SUM(AB53:AB77)-AB16</f>
        <v/>
      </c>
      <c r="AC206" s="188">
        <f>SUM(AC53:AC77)-AC16</f>
        <v/>
      </c>
      <c r="AD206" s="188">
        <f>SUM(AD53:AD77)-AD16</f>
        <v/>
      </c>
      <c r="AE206" s="188">
        <f>SUM(AE53:AE77)-AE16</f>
        <v/>
      </c>
      <c r="AF206" s="188">
        <f>SUM(AF53:AF77)-AF16</f>
        <v/>
      </c>
      <c r="AG206" s="188">
        <f>SUM(AG53:AG77)-AG16</f>
        <v/>
      </c>
      <c r="AH206" s="188">
        <f>SUM(AH53:AH77)-AH16</f>
        <v/>
      </c>
      <c r="AI206" s="188">
        <f>SUM(AI53:AI77)-AI16</f>
        <v/>
      </c>
      <c r="AJ206" s="188">
        <f>SUM(AJ53:AJ77)-AJ16</f>
        <v/>
      </c>
      <c r="AK206" s="188">
        <f>SUM(AK53:AK77)-AK16</f>
        <v/>
      </c>
      <c r="AL206" s="189">
        <f>SUM(AL53:AL77)-AL16</f>
        <v/>
      </c>
      <c r="AM206" s="189">
        <f>SUM(AM53:AM77)-AM16</f>
        <v/>
      </c>
      <c r="AN206" s="189">
        <f>SUM(AN53:AN77)-AN16</f>
        <v/>
      </c>
      <c r="AO206" s="189">
        <f>SUM(AO53:AO77)-AO16</f>
        <v/>
      </c>
      <c r="AP206" s="189">
        <f>SUM(AP53:AP77)-AP16</f>
        <v/>
      </c>
      <c r="AQ206" s="189">
        <f>SUM(AQ53:AQ77)-AQ16</f>
        <v/>
      </c>
      <c r="AR206" s="189">
        <f>SUM(AR53:AR77)-AR16</f>
        <v/>
      </c>
      <c r="AS206" s="189">
        <f>SUM(AS53:AS77)-AS16</f>
        <v/>
      </c>
      <c r="AT206" s="189">
        <f>SUM(AT53:AT77)-AT16</f>
        <v/>
      </c>
      <c r="AU206" s="189">
        <f>SUM(AU53:AU77)-AU16</f>
        <v/>
      </c>
      <c r="AV206" s="189">
        <f>SUM(AV53:AV77)-AV16</f>
        <v/>
      </c>
      <c r="AW206" s="189">
        <f>SUM(AW53:AW77)-AW16</f>
        <v/>
      </c>
      <c r="AX206" s="189">
        <f>SUM(AX53:AX77)-AX16</f>
        <v/>
      </c>
      <c r="AY206" s="189">
        <f>SUM(AY53:AY77)-AY16</f>
        <v/>
      </c>
      <c r="AZ206" s="189">
        <f>SUM(AZ53:AZ77)-AZ16</f>
        <v/>
      </c>
      <c r="BA206" s="189">
        <f>SUM(BA53:BA77)-BA16</f>
        <v/>
      </c>
      <c r="BB206" s="189">
        <f>SUM(BB53:BB77)-BB16</f>
        <v/>
      </c>
      <c r="BC206" s="189">
        <f>SUM(BC53:BC77)-BC16</f>
        <v/>
      </c>
      <c r="BD206" s="189">
        <f>SUM(BD53:BD77)-BD16</f>
        <v/>
      </c>
      <c r="BE206" s="189">
        <f>SUM(BE53:BE77)-BE16</f>
        <v/>
      </c>
      <c r="BF206" s="189">
        <f>SUM(BF53:BF77)-BF16</f>
        <v/>
      </c>
      <c r="BG206" s="189">
        <f>SUM(BG53:BG77)-BG16</f>
        <v/>
      </c>
      <c r="BH206" s="189">
        <f>SUM(BH53:BH77)-BH16</f>
        <v/>
      </c>
      <c r="BI206" s="189">
        <f>SUM(BI53:BI77)-BI16</f>
        <v/>
      </c>
      <c r="BJ206" s="189">
        <f>SUM(BJ53:BJ77)-BJ16</f>
        <v/>
      </c>
      <c r="BK206" s="189">
        <f>SUM(BK53:BK77)-BK16</f>
        <v/>
      </c>
      <c r="BL206" s="189">
        <f>SUM(BL53:BL77)-BL16</f>
        <v/>
      </c>
      <c r="BM206" s="189">
        <f>SUM(BM53:BM77)-BM16</f>
        <v/>
      </c>
      <c r="BN206" s="189">
        <f>SUM(BN53:BN77)-BN16</f>
        <v/>
      </c>
      <c r="BO206" s="189">
        <f>SUM(BO53:BO77)-BO16</f>
        <v/>
      </c>
    </row>
    <row r="207" hidden="1" outlineLevel="1">
      <c r="B207" s="188">
        <f>B24-SUM(B21:B23)</f>
        <v/>
      </c>
      <c r="C207" s="188">
        <f>C24-SUM(C21:C23)</f>
        <v/>
      </c>
      <c r="D207" s="188">
        <f>D24-SUM(D21:D23)</f>
        <v/>
      </c>
      <c r="E207" s="188">
        <f>E24-SUM(E21:E23)</f>
        <v/>
      </c>
      <c r="F207" s="188">
        <f>F24-SUM(F21:F23)</f>
        <v/>
      </c>
      <c r="G207" s="188">
        <f>G24-SUM(G21:G23)</f>
        <v/>
      </c>
      <c r="H207" s="188">
        <f>H24-SUM(H21:H23)</f>
        <v/>
      </c>
      <c r="I207" s="188">
        <f>I24-SUM(I21:I23)</f>
        <v/>
      </c>
      <c r="J207" s="188">
        <f>J24-SUM(J21:J23)</f>
        <v/>
      </c>
      <c r="K207" s="188">
        <f>K24-SUM(K21:K23)</f>
        <v/>
      </c>
      <c r="L207" s="188">
        <f>L24-SUM(L21:L23)</f>
        <v/>
      </c>
      <c r="M207" s="188">
        <f>M24-SUM(M21:M23)</f>
        <v/>
      </c>
      <c r="N207" s="188">
        <f>N24-SUM(N21:N23)</f>
        <v/>
      </c>
      <c r="O207" s="188">
        <f>O24-SUM(O21:O23)</f>
        <v/>
      </c>
      <c r="P207" s="188">
        <f>P24-SUM(P21:P23)</f>
        <v/>
      </c>
      <c r="Q207" s="188">
        <f>Q24-SUM(Q21:Q23)</f>
        <v/>
      </c>
      <c r="R207" s="188">
        <f>R24-SUM(R21:R23)</f>
        <v/>
      </c>
      <c r="S207" s="188">
        <f>S24-SUM(S21:S23)</f>
        <v/>
      </c>
      <c r="T207" s="188">
        <f>T24-SUM(T21:T23)</f>
        <v/>
      </c>
      <c r="U207" s="188">
        <f>U24-SUM(U21:U23)</f>
        <v/>
      </c>
      <c r="V207" s="188">
        <f>V24-SUM(V21:V23)</f>
        <v/>
      </c>
      <c r="W207" s="188">
        <f>W24-SUM(W21:W23)</f>
        <v/>
      </c>
      <c r="X207" s="188">
        <f>X24-SUM(X21:X23)</f>
        <v/>
      </c>
      <c r="Y207" s="188">
        <f>Y24-SUM(Y21:Y23)</f>
        <v/>
      </c>
      <c r="Z207" s="188">
        <f>Z24-SUM(Z21:Z23)</f>
        <v/>
      </c>
      <c r="AA207" s="188">
        <f>AA24-SUM(AA21:AA23)</f>
        <v/>
      </c>
      <c r="AB207" s="188">
        <f>AB24-SUM(AB21:AB23)</f>
        <v/>
      </c>
      <c r="AC207" s="188">
        <f>AC24-SUM(AC21:AC23)</f>
        <v/>
      </c>
      <c r="AD207" s="188">
        <f>AD24-SUM(AD21:AD23)</f>
        <v/>
      </c>
      <c r="AE207" s="188">
        <f>AE24-SUM(AE21:AE23)</f>
        <v/>
      </c>
      <c r="AF207" s="188">
        <f>AF24-SUM(AF21:AF23)</f>
        <v/>
      </c>
      <c r="AG207" s="188">
        <f>AG24-SUM(AG21:AG23)</f>
        <v/>
      </c>
      <c r="AH207" s="188">
        <f>AH24-SUM(AH21:AH23)</f>
        <v/>
      </c>
      <c r="AI207" s="188">
        <f>AI24-SUM(AI21:AI23)</f>
        <v/>
      </c>
      <c r="AJ207" s="188">
        <f>AJ24-SUM(AJ21:AJ23)</f>
        <v/>
      </c>
      <c r="AK207" s="188">
        <f>AK24-SUM(AK21:AK23)</f>
        <v/>
      </c>
      <c r="AL207" s="189">
        <f>AL24-SUM(AL21:AL23)</f>
        <v/>
      </c>
      <c r="AM207" s="189">
        <f>AM24-SUM(AM21:AM23)</f>
        <v/>
      </c>
      <c r="AN207" s="189">
        <f>AN24-SUM(AN21:AN23)</f>
        <v/>
      </c>
      <c r="AO207" s="189">
        <f>AO24-SUM(AO21:AO23)</f>
        <v/>
      </c>
      <c r="AP207" s="189">
        <f>AP24-SUM(AP21:AP23)</f>
        <v/>
      </c>
      <c r="AQ207" s="189">
        <f>AQ24-SUM(AQ21:AQ23)</f>
        <v/>
      </c>
      <c r="AR207" s="189">
        <f>AR24-SUM(AR21:AR23)</f>
        <v/>
      </c>
      <c r="AS207" s="189">
        <f>AS24-SUM(AS21:AS23)</f>
        <v/>
      </c>
      <c r="AT207" s="189">
        <f>AT24-SUM(AT21:AT23)</f>
        <v/>
      </c>
      <c r="AU207" s="189">
        <f>AU24-SUM(AU21:AU23)</f>
        <v/>
      </c>
      <c r="AV207" s="189">
        <f>AV24-SUM(AV21:AV23)</f>
        <v/>
      </c>
      <c r="AW207" s="189">
        <f>AW24-SUM(AW21:AW23)</f>
        <v/>
      </c>
      <c r="AX207" s="189">
        <f>AX24-SUM(AX21:AX23)</f>
        <v/>
      </c>
      <c r="AY207" s="189">
        <f>AY24-SUM(AY21:AY23)</f>
        <v/>
      </c>
      <c r="AZ207" s="189">
        <f>AZ24-SUM(AZ21:AZ23)</f>
        <v/>
      </c>
      <c r="BA207" s="189">
        <f>BA24-SUM(BA21:BA23)</f>
        <v/>
      </c>
      <c r="BB207" s="189">
        <f>BB24-SUM(BB21:BB23)</f>
        <v/>
      </c>
      <c r="BC207" s="189">
        <f>BC24-SUM(BC21:BC23)</f>
        <v/>
      </c>
      <c r="BD207" s="189">
        <f>BD24-SUM(BD21:BD23)</f>
        <v/>
      </c>
      <c r="BE207" s="189">
        <f>BE24-SUM(BE21:BE23)</f>
        <v/>
      </c>
      <c r="BF207" s="189">
        <f>BF24-SUM(BF21:BF23)</f>
        <v/>
      </c>
      <c r="BG207" s="189">
        <f>BG24-SUM(BG21:BG23)</f>
        <v/>
      </c>
      <c r="BH207" s="189">
        <f>BH24-SUM(BH21:BH23)</f>
        <v/>
      </c>
      <c r="BI207" s="189">
        <f>BI24-SUM(BI21:BI23)</f>
        <v/>
      </c>
      <c r="BJ207" s="189">
        <f>BJ24-SUM(BJ21:BJ23)</f>
        <v/>
      </c>
      <c r="BK207" s="189">
        <f>BK24-SUM(BK21:BK23)</f>
        <v/>
      </c>
      <c r="BL207" s="189">
        <f>BL24-SUM(BL21:BL23)</f>
        <v/>
      </c>
      <c r="BM207" s="189">
        <f>BM24-SUM(BM21:BM23)</f>
        <v/>
      </c>
      <c r="BN207" s="189">
        <f>BN24-SUM(BN21:BN23)</f>
        <v/>
      </c>
      <c r="BO207" s="189">
        <f>BO24-SUM(BO21:BO23)</f>
        <v/>
      </c>
    </row>
    <row r="208" hidden="1" outlineLevel="1">
      <c r="B208" s="128" t="n"/>
      <c r="C208" s="128" t="n"/>
      <c r="D208" s="128" t="n"/>
      <c r="E208" s="128" t="n"/>
      <c r="F208" s="128" t="n"/>
      <c r="G208" s="128" t="n"/>
      <c r="H208" s="128" t="n"/>
      <c r="I208" s="128" t="n"/>
      <c r="J208" s="128" t="n"/>
      <c r="K208" s="128" t="n"/>
      <c r="L208" s="128" t="n"/>
      <c r="M208" s="128" t="n"/>
      <c r="N208" s="128" t="n"/>
      <c r="O208" s="128" t="n"/>
      <c r="P208" s="128" t="n"/>
      <c r="Q208" s="128" t="n"/>
      <c r="R208" s="128" t="n"/>
      <c r="S208" s="128" t="n"/>
      <c r="T208" s="128" t="n"/>
      <c r="U208" s="128" t="n"/>
      <c r="V208" s="128" t="n"/>
      <c r="W208" s="128" t="n"/>
      <c r="X208" s="128" t="n"/>
      <c r="Y208" s="128" t="n"/>
      <c r="Z208" s="128" t="n"/>
      <c r="AA208" s="128" t="n"/>
      <c r="AB208" s="128" t="n"/>
      <c r="AC208" s="128" t="n"/>
      <c r="AD208" s="128" t="n"/>
      <c r="AE208" s="128" t="n"/>
      <c r="AF208" s="128" t="n"/>
      <c r="AG208" s="128" t="n"/>
      <c r="AH208" s="128" t="n"/>
      <c r="AI208" s="128" t="n"/>
      <c r="AJ208" s="128" t="n"/>
      <c r="AK208" s="128" t="n"/>
    </row>
    <row r="209" hidden="1" outlineLevel="1">
      <c r="B209" s="128" t="n"/>
      <c r="C209" s="128" t="n"/>
      <c r="D209" s="128" t="n"/>
      <c r="E209" s="128" t="n"/>
      <c r="F209" s="128" t="n"/>
      <c r="G209" s="128" t="n"/>
      <c r="H209" s="128" t="n"/>
      <c r="I209" s="128" t="n"/>
      <c r="J209" s="128" t="n"/>
      <c r="K209" s="128" t="n"/>
      <c r="L209" s="128" t="n"/>
      <c r="M209" s="128" t="n"/>
      <c r="N209" s="128" t="n"/>
      <c r="O209" s="128" t="n"/>
      <c r="P209" s="128" t="n"/>
      <c r="Q209" s="128" t="n"/>
      <c r="R209" s="128" t="n"/>
      <c r="S209" s="128" t="n"/>
      <c r="T209" s="128" t="n"/>
      <c r="U209" s="128" t="n"/>
      <c r="V209" s="128" t="n"/>
      <c r="W209" s="128" t="n"/>
      <c r="X209" s="128" t="n"/>
      <c r="Y209" s="128" t="n"/>
      <c r="Z209" s="128" t="n"/>
      <c r="AA209" s="128" t="n"/>
      <c r="AB209" s="128" t="n"/>
      <c r="AC209" s="128" t="n"/>
      <c r="AD209" s="128" t="n"/>
      <c r="AE209" s="128" t="n"/>
      <c r="AF209" s="128" t="n"/>
      <c r="AG209" s="128" t="n"/>
      <c r="AH209" s="128" t="n"/>
      <c r="AI209" s="128" t="n"/>
      <c r="AJ209" s="128" t="n"/>
      <c r="AK209" s="128" t="n"/>
    </row>
    <row r="210" hidden="1" outlineLevel="1">
      <c r="B210" s="128" t="n"/>
      <c r="C210" s="128" t="n"/>
      <c r="D210" s="128" t="n"/>
      <c r="E210" s="128" t="n"/>
      <c r="F210" s="128" t="n"/>
      <c r="G210" s="128" t="n"/>
      <c r="H210" s="128" t="n"/>
      <c r="I210" s="128" t="n"/>
      <c r="J210" s="128" t="n"/>
      <c r="K210" s="128" t="n"/>
      <c r="L210" s="128" t="n"/>
      <c r="M210" s="128" t="n"/>
      <c r="N210" s="128" t="n"/>
      <c r="O210" s="128" t="n"/>
      <c r="P210" s="128" t="n"/>
      <c r="Q210" s="128" t="n"/>
      <c r="R210" s="128" t="n"/>
      <c r="S210" s="128" t="n"/>
      <c r="T210" s="128" t="n"/>
      <c r="U210" s="128" t="n"/>
      <c r="V210" s="128" t="n"/>
      <c r="W210" s="128" t="n"/>
      <c r="X210" s="128" t="n"/>
      <c r="Y210" s="128" t="n"/>
      <c r="Z210" s="128" t="n"/>
      <c r="AA210" s="128" t="n"/>
      <c r="AB210" s="128" t="n"/>
      <c r="AC210" s="128" t="n"/>
      <c r="AD210" s="128" t="n"/>
      <c r="AE210" s="128" t="n"/>
      <c r="AF210" s="128" t="n"/>
      <c r="AG210" s="128" t="n"/>
      <c r="AH210" s="128" t="n"/>
      <c r="AI210" s="128" t="n"/>
      <c r="AJ210" s="128" t="n"/>
      <c r="AK210" s="128" t="n"/>
    </row>
    <row r="211" hidden="1" outlineLevel="1">
      <c r="B211" s="128" t="n"/>
      <c r="C211" s="128" t="n"/>
      <c r="D211" s="128" t="n"/>
      <c r="E211" s="128" t="n"/>
      <c r="F211" s="128" t="n"/>
      <c r="G211" s="128" t="n"/>
      <c r="H211" s="128" t="n"/>
      <c r="I211" s="128" t="n"/>
      <c r="J211" s="128" t="n"/>
      <c r="K211" s="128" t="n"/>
      <c r="L211" s="128" t="n"/>
      <c r="M211" s="128" t="n"/>
      <c r="N211" s="128" t="n"/>
      <c r="O211" s="128" t="n"/>
      <c r="P211" s="128" t="n"/>
      <c r="Q211" s="128" t="n"/>
      <c r="R211" s="128" t="n"/>
      <c r="S211" s="128" t="n"/>
      <c r="T211" s="128" t="n"/>
      <c r="U211" s="128" t="n"/>
      <c r="V211" s="128" t="n"/>
      <c r="W211" s="128" t="n"/>
      <c r="X211" s="128" t="n"/>
      <c r="Y211" s="128" t="n"/>
      <c r="Z211" s="128" t="n"/>
      <c r="AA211" s="128" t="n"/>
      <c r="AB211" s="128" t="n"/>
      <c r="AC211" s="128" t="n"/>
      <c r="AD211" s="128" t="n"/>
      <c r="AE211" s="128" t="n"/>
      <c r="AF211" s="128" t="n"/>
      <c r="AG211" s="128" t="n"/>
      <c r="AH211" s="128" t="n"/>
      <c r="AI211" s="128" t="n"/>
      <c r="AJ211" s="128" t="n"/>
      <c r="AK211" s="128" t="n"/>
    </row>
    <row r="212" hidden="1" outlineLevel="1">
      <c r="B212" s="128" t="n"/>
      <c r="C212" s="128" t="n"/>
      <c r="D212" s="128" t="n"/>
      <c r="E212" s="128" t="n"/>
      <c r="F212" s="128" t="n"/>
      <c r="G212" s="128" t="n"/>
      <c r="H212" s="128" t="n"/>
      <c r="I212" s="128" t="n"/>
      <c r="J212" s="128" t="n"/>
      <c r="K212" s="128" t="n"/>
      <c r="L212" s="128" t="n"/>
      <c r="M212" s="128" t="n"/>
      <c r="N212" s="128" t="n"/>
      <c r="O212" s="128" t="n"/>
      <c r="P212" s="128" t="n"/>
      <c r="Q212" s="128" t="n"/>
      <c r="R212" s="128" t="n"/>
      <c r="S212" s="128" t="n"/>
      <c r="T212" s="128" t="n"/>
      <c r="U212" s="128" t="n"/>
      <c r="V212" s="128" t="n"/>
      <c r="W212" s="128" t="n"/>
      <c r="X212" s="128" t="n"/>
      <c r="Y212" s="128" t="n"/>
      <c r="Z212" s="128" t="n"/>
      <c r="AA212" s="128" t="n"/>
      <c r="AB212" s="128" t="n"/>
      <c r="AC212" s="128" t="n"/>
      <c r="AD212" s="128" t="n"/>
      <c r="AE212" s="128" t="n"/>
      <c r="AF212" s="128" t="n"/>
      <c r="AG212" s="128" t="n"/>
      <c r="AH212" s="128" t="n"/>
      <c r="AI212" s="128" t="n"/>
      <c r="AJ212" s="128" t="n"/>
      <c r="AK212" s="128" t="n"/>
    </row>
    <row r="213" hidden="1" outlineLevel="1">
      <c r="B213" s="128" t="n"/>
      <c r="C213" s="128" t="n"/>
      <c r="D213" s="128" t="n"/>
      <c r="E213" s="128" t="n"/>
      <c r="F213" s="128" t="n"/>
      <c r="G213" s="128" t="n"/>
      <c r="H213" s="128" t="n"/>
      <c r="I213" s="128" t="n"/>
      <c r="J213" s="128" t="n"/>
      <c r="K213" s="128" t="n"/>
      <c r="L213" s="128" t="n"/>
      <c r="M213" s="128" t="n"/>
      <c r="N213" s="128" t="n"/>
      <c r="O213" s="128" t="n"/>
      <c r="P213" s="128" t="n"/>
      <c r="Q213" s="128" t="n"/>
      <c r="R213" s="128" t="n"/>
      <c r="S213" s="128" t="n"/>
      <c r="T213" s="128" t="n"/>
      <c r="U213" s="128" t="n"/>
      <c r="V213" s="128" t="n"/>
      <c r="W213" s="128" t="n"/>
      <c r="X213" s="128" t="n"/>
      <c r="Y213" s="128" t="n"/>
      <c r="Z213" s="128" t="n"/>
      <c r="AA213" s="128" t="n"/>
      <c r="AB213" s="128" t="n"/>
      <c r="AC213" s="128" t="n"/>
      <c r="AD213" s="128" t="n"/>
      <c r="AE213" s="128" t="n"/>
      <c r="AF213" s="128" t="n"/>
      <c r="AG213" s="128" t="n"/>
      <c r="AH213" s="128" t="n"/>
      <c r="AI213" s="128" t="n"/>
      <c r="AJ213" s="128" t="n"/>
      <c r="AK213" s="128" t="n"/>
    </row>
    <row r="214" hidden="1" outlineLevel="1">
      <c r="B214" s="128" t="n"/>
      <c r="C214" s="128" t="n"/>
      <c r="D214" s="128" t="n"/>
      <c r="E214" s="128" t="n"/>
      <c r="F214" s="128" t="n"/>
      <c r="G214" s="128" t="n"/>
      <c r="H214" s="128" t="n"/>
      <c r="I214" s="128" t="n"/>
      <c r="J214" s="128" t="n"/>
      <c r="K214" s="128" t="n"/>
      <c r="L214" s="128" t="n"/>
      <c r="M214" s="128" t="n"/>
      <c r="N214" s="128" t="n"/>
      <c r="O214" s="128" t="n"/>
      <c r="P214" s="128" t="n"/>
      <c r="Q214" s="128" t="n"/>
      <c r="R214" s="128" t="n"/>
      <c r="S214" s="128" t="n"/>
      <c r="T214" s="128" t="n"/>
      <c r="U214" s="128" t="n"/>
      <c r="V214" s="128" t="n"/>
      <c r="W214" s="128" t="n"/>
      <c r="X214" s="128" t="n"/>
      <c r="Y214" s="128" t="n"/>
      <c r="Z214" s="128" t="n"/>
      <c r="AA214" s="128" t="n"/>
      <c r="AB214" s="128" t="n"/>
      <c r="AC214" s="128" t="n"/>
      <c r="AD214" s="128" t="n"/>
      <c r="AE214" s="128" t="n"/>
      <c r="AF214" s="128" t="n"/>
      <c r="AG214" s="128" t="n"/>
      <c r="AH214" s="128" t="n"/>
      <c r="AI214" s="128" t="n"/>
      <c r="AJ214" s="128" t="n"/>
      <c r="AK214" s="128" t="n"/>
    </row>
    <row r="215" hidden="1" outlineLevel="1">
      <c r="B215" s="128" t="n"/>
      <c r="C215" s="128" t="n"/>
      <c r="D215" s="128" t="n"/>
      <c r="E215" s="128" t="n"/>
      <c r="F215" s="128" t="n"/>
      <c r="G215" s="128" t="n"/>
      <c r="H215" s="128" t="n"/>
      <c r="I215" s="128" t="n"/>
      <c r="J215" s="128" t="n"/>
      <c r="K215" s="128" t="n"/>
      <c r="L215" s="128" t="n"/>
      <c r="M215" s="128" t="n"/>
      <c r="N215" s="128" t="n"/>
      <c r="O215" s="128" t="n"/>
      <c r="P215" s="128" t="n"/>
      <c r="Q215" s="128" t="n"/>
      <c r="R215" s="128" t="n"/>
      <c r="S215" s="128" t="n"/>
      <c r="T215" s="128" t="n"/>
      <c r="U215" s="128" t="n"/>
      <c r="V215" s="128" t="n"/>
      <c r="W215" s="128" t="n"/>
      <c r="X215" s="128" t="n"/>
      <c r="Y215" s="128" t="n"/>
      <c r="Z215" s="128" t="n"/>
      <c r="AA215" s="128" t="n"/>
      <c r="AB215" s="128" t="n"/>
      <c r="AC215" s="128" t="n"/>
      <c r="AD215" s="128" t="n"/>
      <c r="AE215" s="128" t="n"/>
      <c r="AF215" s="128" t="n"/>
      <c r="AG215" s="128" t="n"/>
      <c r="AH215" s="128" t="n"/>
      <c r="AI215" s="128" t="n"/>
      <c r="AJ215" s="128" t="n"/>
      <c r="AK215" s="128" t="n"/>
    </row>
    <row r="216" hidden="1" outlineLevel="1">
      <c r="B216" s="128" t="n"/>
      <c r="C216" s="128" t="n"/>
      <c r="D216" s="128" t="n"/>
      <c r="E216" s="128" t="n"/>
      <c r="F216" s="128" t="n"/>
      <c r="G216" s="128" t="n"/>
      <c r="H216" s="128" t="n"/>
      <c r="I216" s="128" t="n"/>
      <c r="J216" s="128" t="n"/>
      <c r="K216" s="128" t="n"/>
      <c r="L216" s="128" t="n"/>
      <c r="M216" s="128" t="n"/>
      <c r="N216" s="128" t="n"/>
      <c r="O216" s="128" t="n"/>
      <c r="P216" s="128" t="n"/>
      <c r="Q216" s="128" t="n"/>
      <c r="R216" s="128" t="n"/>
      <c r="S216" s="128" t="n"/>
      <c r="T216" s="128" t="n"/>
      <c r="U216" s="128" t="n"/>
      <c r="V216" s="128" t="n"/>
      <c r="W216" s="128" t="n"/>
      <c r="X216" s="128" t="n"/>
      <c r="Y216" s="128" t="n"/>
      <c r="Z216" s="128" t="n"/>
      <c r="AA216" s="128" t="n"/>
      <c r="AB216" s="128" t="n"/>
      <c r="AC216" s="128" t="n"/>
      <c r="AD216" s="128" t="n"/>
      <c r="AE216" s="128" t="n"/>
      <c r="AF216" s="128" t="n"/>
      <c r="AG216" s="128" t="n"/>
      <c r="AH216" s="128" t="n"/>
      <c r="AI216" s="128" t="n"/>
      <c r="AJ216" s="128" t="n"/>
      <c r="AK216" s="128" t="n"/>
    </row>
    <row r="217" hidden="1" outlineLevel="1">
      <c r="B217" s="128" t="n"/>
      <c r="C217" s="128" t="n"/>
      <c r="D217" s="128" t="n"/>
      <c r="E217" s="128" t="n"/>
      <c r="F217" s="128" t="n"/>
      <c r="G217" s="128" t="n"/>
      <c r="H217" s="128" t="n"/>
      <c r="I217" s="128" t="n"/>
      <c r="J217" s="128" t="n"/>
      <c r="K217" s="128" t="n"/>
      <c r="L217" s="128" t="n"/>
      <c r="M217" s="128" t="n"/>
      <c r="N217" s="128" t="n"/>
      <c r="O217" s="128" t="n"/>
      <c r="P217" s="128" t="n"/>
      <c r="Q217" s="128" t="n"/>
      <c r="R217" s="128" t="n"/>
      <c r="S217" s="128" t="n"/>
      <c r="T217" s="128" t="n"/>
      <c r="U217" s="128" t="n"/>
      <c r="V217" s="128" t="n"/>
      <c r="W217" s="128" t="n"/>
      <c r="X217" s="128" t="n"/>
      <c r="Y217" s="128" t="n"/>
      <c r="Z217" s="128" t="n"/>
      <c r="AA217" s="128" t="n"/>
      <c r="AB217" s="128" t="n"/>
      <c r="AC217" s="128" t="n"/>
      <c r="AD217" s="128" t="n"/>
      <c r="AE217" s="128" t="n"/>
      <c r="AF217" s="128" t="n"/>
      <c r="AG217" s="128" t="n"/>
      <c r="AH217" s="128" t="n"/>
      <c r="AI217" s="128" t="n"/>
      <c r="AJ217" s="128" t="n"/>
      <c r="AK217" s="128" t="n"/>
    </row>
    <row r="218" hidden="1" outlineLevel="1">
      <c r="B218" s="128" t="n"/>
      <c r="C218" s="128" t="n"/>
      <c r="D218" s="128" t="n"/>
      <c r="E218" s="128" t="n"/>
      <c r="F218" s="128" t="n"/>
      <c r="G218" s="128" t="n"/>
      <c r="H218" s="128" t="n"/>
      <c r="I218" s="128" t="n"/>
      <c r="J218" s="128" t="n"/>
      <c r="K218" s="128" t="n"/>
      <c r="L218" s="128" t="n"/>
      <c r="M218" s="128" t="n"/>
      <c r="N218" s="128" t="n"/>
      <c r="O218" s="128" t="n"/>
      <c r="P218" s="128" t="n"/>
      <c r="Q218" s="128" t="n"/>
      <c r="R218" s="128" t="n"/>
      <c r="S218" s="128" t="n"/>
      <c r="T218" s="128" t="n"/>
      <c r="U218" s="128" t="n"/>
      <c r="V218" s="128" t="n"/>
      <c r="W218" s="128" t="n"/>
      <c r="X218" s="128" t="n"/>
      <c r="Y218" s="128" t="n"/>
      <c r="Z218" s="128" t="n"/>
      <c r="AA218" s="128" t="n"/>
      <c r="AB218" s="128" t="n"/>
      <c r="AC218" s="128" t="n"/>
      <c r="AD218" s="128" t="n"/>
      <c r="AE218" s="128" t="n"/>
      <c r="AF218" s="128" t="n"/>
      <c r="AG218" s="128" t="n"/>
      <c r="AH218" s="128" t="n"/>
      <c r="AI218" s="128" t="n"/>
      <c r="AJ218" s="128" t="n"/>
      <c r="AK218" s="128" t="n"/>
    </row>
    <row r="219" hidden="1" outlineLevel="1">
      <c r="B219" s="128" t="n"/>
      <c r="C219" s="128" t="n"/>
      <c r="D219" s="128" t="n"/>
      <c r="E219" s="128" t="n"/>
      <c r="F219" s="128" t="n"/>
      <c r="G219" s="128" t="n"/>
      <c r="H219" s="128" t="n"/>
      <c r="I219" s="128" t="n"/>
      <c r="J219" s="128" t="n"/>
      <c r="K219" s="128" t="n"/>
      <c r="L219" s="128" t="n"/>
      <c r="M219" s="128" t="n"/>
      <c r="N219" s="128" t="n"/>
      <c r="O219" s="128" t="n"/>
      <c r="P219" s="128" t="n"/>
      <c r="Q219" s="128" t="n"/>
      <c r="R219" s="128" t="n"/>
      <c r="S219" s="128" t="n"/>
      <c r="T219" s="128" t="n"/>
      <c r="U219" s="128" t="n"/>
      <c r="V219" s="128" t="n"/>
      <c r="W219" s="128" t="n"/>
      <c r="X219" s="128" t="n"/>
      <c r="Y219" s="128" t="n"/>
      <c r="Z219" s="128" t="n"/>
      <c r="AA219" s="128" t="n"/>
      <c r="AB219" s="128" t="n"/>
      <c r="AC219" s="128" t="n"/>
      <c r="AD219" s="128" t="n"/>
      <c r="AE219" s="128" t="n"/>
      <c r="AF219" s="128" t="n"/>
      <c r="AG219" s="128" t="n"/>
      <c r="AH219" s="128" t="n"/>
      <c r="AI219" s="128" t="n"/>
      <c r="AJ219" s="128" t="n"/>
      <c r="AK219" s="128" t="n"/>
    </row>
    <row r="220" hidden="1" outlineLevel="1">
      <c r="B220" s="128" t="n"/>
      <c r="C220" s="128" t="n"/>
      <c r="D220" s="128" t="n"/>
      <c r="E220" s="128" t="n"/>
      <c r="F220" s="128" t="n"/>
      <c r="G220" s="128" t="n"/>
      <c r="H220" s="128" t="n"/>
      <c r="I220" s="128" t="n"/>
      <c r="J220" s="128" t="n"/>
      <c r="K220" s="128" t="n"/>
      <c r="L220" s="128" t="n"/>
      <c r="M220" s="128" t="n"/>
      <c r="N220" s="128" t="n"/>
      <c r="O220" s="128" t="n"/>
      <c r="P220" s="128" t="n"/>
      <c r="Q220" s="128" t="n"/>
      <c r="R220" s="128" t="n"/>
      <c r="S220" s="128" t="n"/>
      <c r="T220" s="128" t="n"/>
      <c r="U220" s="128" t="n"/>
      <c r="V220" s="128" t="n"/>
      <c r="W220" s="128" t="n"/>
      <c r="X220" s="128" t="n"/>
      <c r="Y220" s="128" t="n"/>
      <c r="Z220" s="128" t="n"/>
      <c r="AA220" s="128" t="n"/>
      <c r="AB220" s="128" t="n"/>
      <c r="AC220" s="128" t="n"/>
      <c r="AD220" s="128" t="n"/>
      <c r="AE220" s="128" t="n"/>
      <c r="AF220" s="128" t="n"/>
      <c r="AG220" s="128" t="n"/>
      <c r="AH220" s="128" t="n"/>
      <c r="AI220" s="128" t="n"/>
      <c r="AJ220" s="128" t="n"/>
      <c r="AK220" s="128" t="n"/>
    </row>
    <row r="221" hidden="1" outlineLevel="1">
      <c r="B221" s="128" t="n"/>
      <c r="C221" s="128" t="n"/>
      <c r="D221" s="128" t="n"/>
      <c r="E221" s="128" t="n"/>
      <c r="F221" s="128" t="n"/>
      <c r="G221" s="128" t="n"/>
      <c r="H221" s="128" t="n"/>
      <c r="I221" s="128" t="n"/>
      <c r="J221" s="128" t="n"/>
      <c r="K221" s="128" t="n"/>
      <c r="L221" s="128" t="n"/>
      <c r="M221" s="128" t="n"/>
      <c r="N221" s="128" t="n"/>
      <c r="O221" s="128" t="n"/>
      <c r="P221" s="128" t="n"/>
      <c r="Q221" s="128" t="n"/>
      <c r="R221" s="128" t="n"/>
      <c r="S221" s="128" t="n"/>
      <c r="T221" s="128" t="n"/>
      <c r="U221" s="128" t="n"/>
      <c r="V221" s="128" t="n"/>
      <c r="W221" s="128" t="n"/>
      <c r="X221" s="128" t="n"/>
      <c r="Y221" s="128" t="n"/>
      <c r="Z221" s="128" t="n"/>
      <c r="AA221" s="128" t="n"/>
      <c r="AB221" s="128" t="n"/>
      <c r="AC221" s="128" t="n"/>
      <c r="AD221" s="128" t="n"/>
      <c r="AE221" s="128" t="n"/>
      <c r="AF221" s="128" t="n"/>
      <c r="AG221" s="128" t="n"/>
      <c r="AH221" s="128" t="n"/>
      <c r="AI221" s="128" t="n"/>
      <c r="AJ221" s="128" t="n"/>
      <c r="AK221" s="128" t="n"/>
    </row>
    <row r="222" hidden="1" outlineLevel="1">
      <c r="B222" s="128" t="n"/>
      <c r="C222" s="128" t="n"/>
      <c r="D222" s="128" t="n"/>
      <c r="E222" s="128" t="n"/>
      <c r="F222" s="128" t="n"/>
      <c r="G222" s="128" t="n"/>
      <c r="H222" s="128" t="n"/>
      <c r="I222" s="128" t="n"/>
      <c r="J222" s="128" t="n"/>
      <c r="K222" s="128" t="n"/>
      <c r="L222" s="128" t="n"/>
      <c r="M222" s="128" t="n"/>
      <c r="N222" s="128" t="n"/>
      <c r="O222" s="128" t="n"/>
      <c r="P222" s="128" t="n"/>
      <c r="Q222" s="128" t="n"/>
      <c r="R222" s="128" t="n"/>
      <c r="S222" s="128" t="n"/>
      <c r="T222" s="128" t="n"/>
      <c r="U222" s="128" t="n"/>
      <c r="V222" s="128" t="n"/>
      <c r="W222" s="128" t="n"/>
      <c r="X222" s="128" t="n"/>
      <c r="Y222" s="128" t="n"/>
      <c r="Z222" s="128" t="n"/>
      <c r="AA222" s="128" t="n"/>
      <c r="AB222" s="128" t="n"/>
      <c r="AC222" s="128" t="n"/>
      <c r="AD222" s="128" t="n"/>
      <c r="AE222" s="128" t="n"/>
      <c r="AF222" s="128" t="n"/>
      <c r="AG222" s="128" t="n"/>
      <c r="AH222" s="128" t="n"/>
      <c r="AI222" s="128" t="n"/>
      <c r="AJ222" s="128" t="n"/>
      <c r="AK222" s="128" t="n"/>
    </row>
    <row r="223" hidden="1" outlineLevel="1"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28" t="n"/>
      <c r="Q223" s="128" t="n"/>
      <c r="R223" s="128" t="n"/>
      <c r="S223" s="128" t="n"/>
      <c r="T223" s="128" t="n"/>
      <c r="U223" s="128" t="n"/>
      <c r="V223" s="128" t="n"/>
      <c r="W223" s="128" t="n"/>
      <c r="X223" s="128" t="n"/>
      <c r="Y223" s="128" t="n"/>
      <c r="Z223" s="128" t="n"/>
      <c r="AA223" s="128" t="n"/>
      <c r="AB223" s="128" t="n"/>
      <c r="AC223" s="128" t="n"/>
      <c r="AD223" s="128" t="n"/>
      <c r="AE223" s="128" t="n"/>
      <c r="AF223" s="128" t="n"/>
      <c r="AG223" s="128" t="n"/>
      <c r="AH223" s="128" t="n"/>
      <c r="AI223" s="128" t="n"/>
      <c r="AJ223" s="128" t="n"/>
      <c r="AK223" s="128" t="n"/>
    </row>
    <row r="224" hidden="1" outlineLevel="1">
      <c r="B224" s="128" t="n"/>
      <c r="C224" s="128" t="n"/>
      <c r="D224" s="128" t="n"/>
      <c r="E224" s="128" t="n"/>
      <c r="F224" s="128" t="n"/>
      <c r="G224" s="128" t="n"/>
      <c r="H224" s="128" t="n"/>
      <c r="I224" s="128" t="n"/>
      <c r="J224" s="128" t="n"/>
      <c r="K224" s="128" t="n"/>
      <c r="L224" s="128" t="n"/>
      <c r="M224" s="128" t="n"/>
      <c r="N224" s="128" t="n"/>
      <c r="O224" s="128" t="n"/>
      <c r="P224" s="128" t="n"/>
      <c r="Q224" s="128" t="n"/>
      <c r="R224" s="128" t="n"/>
      <c r="S224" s="128" t="n"/>
      <c r="T224" s="128" t="n"/>
      <c r="U224" s="128" t="n"/>
      <c r="V224" s="128" t="n"/>
      <c r="W224" s="128" t="n"/>
      <c r="X224" s="128" t="n"/>
      <c r="Y224" s="128" t="n"/>
      <c r="Z224" s="128" t="n"/>
      <c r="AA224" s="128" t="n"/>
      <c r="AB224" s="128" t="n"/>
      <c r="AC224" s="128" t="n"/>
      <c r="AD224" s="128" t="n"/>
      <c r="AE224" s="128" t="n"/>
      <c r="AF224" s="128" t="n"/>
      <c r="AG224" s="128" t="n"/>
      <c r="AH224" s="128" t="n"/>
      <c r="AI224" s="128" t="n"/>
      <c r="AJ224" s="128" t="n"/>
      <c r="AK224" s="128" t="n"/>
    </row>
    <row r="225" hidden="1" outlineLevel="1">
      <c r="B225" s="128" t="n"/>
      <c r="C225" s="128" t="n"/>
      <c r="D225" s="128" t="n"/>
      <c r="E225" s="128" t="n"/>
      <c r="F225" s="128" t="n"/>
      <c r="G225" s="128" t="n"/>
      <c r="H225" s="128" t="n"/>
      <c r="I225" s="128" t="n"/>
      <c r="J225" s="128" t="n"/>
      <c r="K225" s="128" t="n"/>
      <c r="L225" s="128" t="n"/>
      <c r="M225" s="128" t="n"/>
      <c r="N225" s="128" t="n"/>
      <c r="O225" s="128" t="n"/>
      <c r="P225" s="128" t="n"/>
      <c r="Q225" s="128" t="n"/>
      <c r="R225" s="128" t="n"/>
      <c r="S225" s="128" t="n"/>
      <c r="T225" s="128" t="n"/>
      <c r="U225" s="128" t="n"/>
      <c r="V225" s="128" t="n"/>
      <c r="W225" s="128" t="n"/>
      <c r="X225" s="128" t="n"/>
      <c r="Y225" s="128" t="n"/>
      <c r="Z225" s="128" t="n"/>
      <c r="AA225" s="128" t="n"/>
      <c r="AB225" s="128" t="n"/>
      <c r="AC225" s="128" t="n"/>
      <c r="AD225" s="128" t="n"/>
      <c r="AE225" s="128" t="n"/>
      <c r="AF225" s="128" t="n"/>
      <c r="AG225" s="128" t="n"/>
      <c r="AH225" s="128" t="n"/>
      <c r="AI225" s="128" t="n"/>
      <c r="AJ225" s="128" t="n"/>
      <c r="AK225" s="128" t="n"/>
    </row>
    <row r="226" hidden="1" outlineLevel="1">
      <c r="B226" s="128" t="n"/>
      <c r="C226" s="128" t="n"/>
      <c r="D226" s="128" t="n"/>
      <c r="E226" s="128" t="n"/>
      <c r="F226" s="128" t="n"/>
      <c r="G226" s="128" t="n"/>
      <c r="H226" s="128" t="n"/>
      <c r="I226" s="128" t="n"/>
      <c r="J226" s="128" t="n"/>
      <c r="K226" s="128" t="n"/>
      <c r="L226" s="128" t="n"/>
      <c r="M226" s="128" t="n"/>
      <c r="N226" s="128" t="n"/>
      <c r="O226" s="128" t="n"/>
      <c r="P226" s="128" t="n"/>
      <c r="Q226" s="128" t="n"/>
      <c r="R226" s="128" t="n"/>
      <c r="S226" s="128" t="n"/>
      <c r="T226" s="128" t="n"/>
      <c r="U226" s="128" t="n"/>
      <c r="V226" s="128" t="n"/>
      <c r="W226" s="128" t="n"/>
      <c r="X226" s="128" t="n"/>
      <c r="Y226" s="128" t="n"/>
      <c r="Z226" s="128" t="n"/>
      <c r="AA226" s="128" t="n"/>
      <c r="AB226" s="128" t="n"/>
      <c r="AC226" s="128" t="n"/>
      <c r="AD226" s="128" t="n"/>
      <c r="AE226" s="128" t="n"/>
      <c r="AF226" s="128" t="n"/>
      <c r="AG226" s="128" t="n"/>
      <c r="AH226" s="128" t="n"/>
      <c r="AI226" s="128" t="n"/>
      <c r="AJ226" s="128" t="n"/>
      <c r="AK226" s="128" t="n"/>
    </row>
    <row r="227" hidden="1" outlineLevel="1">
      <c r="B227" s="128" t="n"/>
      <c r="C227" s="128" t="n"/>
      <c r="D227" s="128" t="n"/>
      <c r="E227" s="128" t="n"/>
      <c r="F227" s="128" t="n"/>
      <c r="G227" s="128" t="n"/>
      <c r="H227" s="128" t="n"/>
      <c r="I227" s="128" t="n"/>
      <c r="J227" s="128" t="n"/>
      <c r="K227" s="128" t="n"/>
      <c r="L227" s="128" t="n"/>
      <c r="M227" s="128" t="n"/>
      <c r="N227" s="128" t="n"/>
      <c r="O227" s="128" t="n"/>
      <c r="P227" s="128" t="n"/>
      <c r="Q227" s="128" t="n"/>
      <c r="R227" s="128" t="n"/>
      <c r="S227" s="128" t="n"/>
      <c r="T227" s="128" t="n"/>
      <c r="U227" s="128" t="n"/>
      <c r="V227" s="128" t="n"/>
      <c r="W227" s="128" t="n"/>
      <c r="X227" s="128" t="n"/>
      <c r="Y227" s="128" t="n"/>
      <c r="Z227" s="128" t="n"/>
      <c r="AA227" s="128" t="n"/>
      <c r="AB227" s="128" t="n"/>
      <c r="AC227" s="128" t="n"/>
      <c r="AD227" s="128" t="n"/>
      <c r="AE227" s="128" t="n"/>
      <c r="AF227" s="128" t="n"/>
      <c r="AG227" s="128" t="n"/>
      <c r="AH227" s="128" t="n"/>
      <c r="AI227" s="128" t="n"/>
      <c r="AJ227" s="128" t="n"/>
      <c r="AK227" s="128" t="n"/>
    </row>
    <row r="228" hidden="1" outlineLevel="1">
      <c r="B228" s="128" t="n"/>
      <c r="C228" s="128" t="n"/>
      <c r="D228" s="128" t="n"/>
      <c r="E228" s="128" t="n"/>
      <c r="F228" s="128" t="n"/>
      <c r="G228" s="128" t="n"/>
      <c r="H228" s="128" t="n"/>
      <c r="I228" s="128" t="n"/>
      <c r="J228" s="128" t="n"/>
      <c r="K228" s="128" t="n"/>
      <c r="L228" s="128" t="n"/>
      <c r="M228" s="128" t="n"/>
      <c r="N228" s="128" t="n"/>
      <c r="O228" s="128" t="n"/>
      <c r="P228" s="128" t="n"/>
      <c r="Q228" s="128" t="n"/>
      <c r="R228" s="128" t="n"/>
      <c r="S228" s="128" t="n"/>
      <c r="T228" s="128" t="n"/>
      <c r="U228" s="128" t="n"/>
      <c r="V228" s="128" t="n"/>
      <c r="W228" s="128" t="n"/>
      <c r="X228" s="128" t="n"/>
      <c r="Y228" s="128" t="n"/>
      <c r="Z228" s="128" t="n"/>
      <c r="AA228" s="128" t="n"/>
      <c r="AB228" s="128" t="n"/>
      <c r="AC228" s="128" t="n"/>
      <c r="AD228" s="128" t="n"/>
      <c r="AE228" s="128" t="n"/>
      <c r="AF228" s="128" t="n"/>
      <c r="AG228" s="128" t="n"/>
      <c r="AH228" s="128" t="n"/>
      <c r="AI228" s="128" t="n"/>
      <c r="AJ228" s="128" t="n"/>
      <c r="AK228" s="128" t="n"/>
    </row>
    <row r="229" hidden="1" outlineLevel="1">
      <c r="B229" s="128" t="n"/>
      <c r="C229" s="128" t="n"/>
      <c r="D229" s="128" t="n"/>
      <c r="E229" s="128" t="n"/>
      <c r="F229" s="128" t="n"/>
      <c r="G229" s="128" t="n"/>
      <c r="H229" s="128" t="n"/>
      <c r="I229" s="128" t="n"/>
      <c r="J229" s="128" t="n"/>
      <c r="K229" s="128" t="n"/>
      <c r="L229" s="128" t="n"/>
      <c r="M229" s="128" t="n"/>
      <c r="N229" s="128" t="n"/>
      <c r="O229" s="128" t="n"/>
      <c r="P229" s="128" t="n"/>
      <c r="Q229" s="128" t="n"/>
      <c r="R229" s="128" t="n"/>
      <c r="S229" s="128" t="n"/>
      <c r="T229" s="128" t="n"/>
      <c r="U229" s="128" t="n"/>
      <c r="V229" s="128" t="n"/>
      <c r="W229" s="128" t="n"/>
      <c r="X229" s="128" t="n"/>
      <c r="Y229" s="128" t="n"/>
      <c r="Z229" s="128" t="n"/>
      <c r="AA229" s="128" t="n"/>
      <c r="AB229" s="128" t="n"/>
      <c r="AC229" s="128" t="n"/>
      <c r="AD229" s="128" t="n"/>
      <c r="AE229" s="128" t="n"/>
      <c r="AF229" s="128" t="n"/>
      <c r="AG229" s="128" t="n"/>
      <c r="AH229" s="128" t="n"/>
      <c r="AI229" s="128" t="n"/>
      <c r="AJ229" s="128" t="n"/>
      <c r="AK229" s="128" t="n"/>
    </row>
    <row r="230" hidden="1" outlineLevel="1">
      <c r="B230" s="128" t="n"/>
      <c r="C230" s="128" t="n"/>
      <c r="D230" s="128" t="n"/>
      <c r="E230" s="128" t="n"/>
      <c r="F230" s="128" t="n"/>
      <c r="G230" s="128" t="n"/>
      <c r="H230" s="128" t="n"/>
      <c r="I230" s="128" t="n"/>
      <c r="J230" s="128" t="n"/>
      <c r="K230" s="128" t="n"/>
      <c r="L230" s="128" t="n"/>
      <c r="M230" s="128" t="n"/>
      <c r="N230" s="128" t="n"/>
      <c r="O230" s="128" t="n"/>
      <c r="P230" s="128" t="n"/>
      <c r="Q230" s="128" t="n"/>
      <c r="R230" s="128" t="n"/>
      <c r="S230" s="128" t="n"/>
      <c r="T230" s="128" t="n"/>
      <c r="U230" s="128" t="n"/>
      <c r="V230" s="128" t="n"/>
      <c r="W230" s="128" t="n"/>
      <c r="X230" s="128" t="n"/>
      <c r="Y230" s="128" t="n"/>
      <c r="Z230" s="128" t="n"/>
      <c r="AA230" s="128" t="n"/>
      <c r="AB230" s="128" t="n"/>
      <c r="AC230" s="128" t="n"/>
      <c r="AD230" s="128" t="n"/>
      <c r="AE230" s="128" t="n"/>
      <c r="AF230" s="128" t="n"/>
      <c r="AG230" s="128" t="n"/>
      <c r="AH230" s="128" t="n"/>
      <c r="AI230" s="128" t="n"/>
      <c r="AJ230" s="128" t="n"/>
      <c r="AK230" s="128" t="n"/>
    </row>
    <row r="231" hidden="1" outlineLevel="1">
      <c r="B231" s="128" t="n"/>
      <c r="C231" s="128" t="n"/>
      <c r="D231" s="128" t="n"/>
      <c r="E231" s="128" t="n"/>
      <c r="F231" s="128" t="n"/>
      <c r="G231" s="128" t="n"/>
      <c r="H231" s="128" t="n"/>
      <c r="I231" s="128" t="n"/>
      <c r="J231" s="128" t="n"/>
      <c r="K231" s="128" t="n"/>
      <c r="L231" s="128" t="n"/>
      <c r="M231" s="128" t="n"/>
      <c r="N231" s="128" t="n"/>
      <c r="O231" s="128" t="n"/>
      <c r="P231" s="128" t="n"/>
      <c r="Q231" s="128" t="n"/>
      <c r="R231" s="128" t="n"/>
      <c r="S231" s="128" t="n"/>
      <c r="T231" s="128" t="n"/>
      <c r="U231" s="128" t="n"/>
      <c r="V231" s="128" t="n"/>
      <c r="W231" s="128" t="n"/>
      <c r="X231" s="128" t="n"/>
      <c r="Y231" s="128" t="n"/>
      <c r="Z231" s="128" t="n"/>
      <c r="AA231" s="128" t="n"/>
      <c r="AB231" s="128" t="n"/>
      <c r="AC231" s="128" t="n"/>
      <c r="AD231" s="128" t="n"/>
      <c r="AE231" s="128" t="n"/>
      <c r="AF231" s="128" t="n"/>
      <c r="AG231" s="128" t="n"/>
      <c r="AH231" s="128" t="n"/>
      <c r="AI231" s="128" t="n"/>
      <c r="AJ231" s="128" t="n"/>
      <c r="AK231" s="128" t="n"/>
    </row>
    <row r="232" hidden="1" outlineLevel="1">
      <c r="B232" s="128" t="n"/>
      <c r="C232" s="128" t="n"/>
      <c r="D232" s="128" t="n"/>
      <c r="E232" s="128" t="n"/>
      <c r="F232" s="128" t="n"/>
      <c r="G232" s="128" t="n"/>
      <c r="H232" s="128" t="n"/>
      <c r="I232" s="128" t="n"/>
      <c r="J232" s="128" t="n"/>
      <c r="K232" s="128" t="n"/>
      <c r="L232" s="128" t="n"/>
      <c r="M232" s="128" t="n"/>
      <c r="N232" s="128" t="n"/>
      <c r="O232" s="128" t="n"/>
      <c r="P232" s="128" t="n"/>
      <c r="Q232" s="128" t="n"/>
      <c r="R232" s="128" t="n"/>
      <c r="S232" s="128" t="n"/>
      <c r="T232" s="128" t="n"/>
      <c r="U232" s="128" t="n"/>
      <c r="V232" s="128" t="n"/>
      <c r="W232" s="128" t="n"/>
      <c r="X232" s="128" t="n"/>
      <c r="Y232" s="128" t="n"/>
      <c r="Z232" s="128" t="n"/>
      <c r="AA232" s="128" t="n"/>
      <c r="AB232" s="128" t="n"/>
      <c r="AC232" s="128" t="n"/>
      <c r="AD232" s="128" t="n"/>
      <c r="AE232" s="128" t="n"/>
      <c r="AF232" s="128" t="n"/>
      <c r="AG232" s="128" t="n"/>
      <c r="AH232" s="128" t="n"/>
      <c r="AI232" s="128" t="n"/>
      <c r="AJ232" s="128" t="n"/>
      <c r="AK232" s="128" t="n"/>
    </row>
    <row r="233" hidden="1" outlineLevel="1">
      <c r="B233" s="128" t="n"/>
      <c r="C233" s="128" t="n"/>
      <c r="D233" s="128" t="n"/>
      <c r="E233" s="128" t="n"/>
      <c r="F233" s="128" t="n"/>
      <c r="G233" s="128" t="n"/>
      <c r="H233" s="128" t="n"/>
      <c r="I233" s="128" t="n"/>
      <c r="J233" s="128" t="n"/>
      <c r="K233" s="128" t="n"/>
      <c r="L233" s="128" t="n"/>
      <c r="M233" s="128" t="n"/>
      <c r="N233" s="128" t="n"/>
      <c r="O233" s="128" t="n"/>
      <c r="P233" s="128" t="n"/>
      <c r="Q233" s="128" t="n"/>
      <c r="R233" s="128" t="n"/>
      <c r="S233" s="128" t="n"/>
      <c r="T233" s="128" t="n"/>
      <c r="U233" s="128" t="n"/>
      <c r="V233" s="128" t="n"/>
      <c r="W233" s="128" t="n"/>
      <c r="X233" s="128" t="n"/>
      <c r="Y233" s="128" t="n"/>
      <c r="Z233" s="128" t="n"/>
      <c r="AA233" s="128" t="n"/>
      <c r="AB233" s="128" t="n"/>
      <c r="AC233" s="128" t="n"/>
      <c r="AD233" s="128" t="n"/>
      <c r="AE233" s="128" t="n"/>
      <c r="AF233" s="128" t="n"/>
      <c r="AG233" s="128" t="n"/>
      <c r="AH233" s="128" t="n"/>
      <c r="AI233" s="128" t="n"/>
      <c r="AJ233" s="128" t="n"/>
      <c r="AK233" s="128" t="n"/>
    </row>
    <row r="234" hidden="1" outlineLevel="1">
      <c r="B234" s="128" t="n"/>
      <c r="C234" s="128" t="n"/>
      <c r="D234" s="128" t="n"/>
      <c r="E234" s="128" t="n"/>
      <c r="F234" s="128" t="n"/>
      <c r="G234" s="128" t="n"/>
      <c r="H234" s="128" t="n"/>
      <c r="I234" s="128" t="n"/>
      <c r="J234" s="128" t="n"/>
      <c r="K234" s="128" t="n"/>
      <c r="L234" s="128" t="n"/>
      <c r="M234" s="128" t="n"/>
      <c r="N234" s="128" t="n"/>
      <c r="O234" s="128" t="n"/>
      <c r="P234" s="128" t="n"/>
      <c r="Q234" s="128" t="n"/>
      <c r="R234" s="128" t="n"/>
      <c r="S234" s="128" t="n"/>
      <c r="T234" s="128" t="n"/>
      <c r="U234" s="128" t="n"/>
      <c r="V234" s="128" t="n"/>
      <c r="W234" s="128" t="n"/>
      <c r="X234" s="128" t="n"/>
      <c r="Y234" s="128" t="n"/>
      <c r="Z234" s="128" t="n"/>
      <c r="AA234" s="128" t="n"/>
      <c r="AB234" s="128" t="n"/>
      <c r="AC234" s="128" t="n"/>
      <c r="AD234" s="128" t="n"/>
      <c r="AE234" s="128" t="n"/>
      <c r="AF234" s="128" t="n"/>
      <c r="AG234" s="128" t="n"/>
      <c r="AH234" s="128" t="n"/>
      <c r="AI234" s="128" t="n"/>
      <c r="AJ234" s="128" t="n"/>
      <c r="AK234" s="128" t="n"/>
    </row>
    <row r="235" hidden="1" outlineLevel="1">
      <c r="B235" s="128" t="n"/>
      <c r="C235" s="128" t="n"/>
      <c r="D235" s="128" t="n"/>
      <c r="E235" s="128" t="n"/>
      <c r="F235" s="128" t="n"/>
      <c r="G235" s="128" t="n"/>
      <c r="H235" s="128" t="n"/>
      <c r="I235" s="128" t="n"/>
      <c r="J235" s="128" t="n"/>
      <c r="K235" s="128" t="n"/>
      <c r="L235" s="128" t="n"/>
      <c r="M235" s="128" t="n"/>
      <c r="N235" s="128" t="n"/>
      <c r="O235" s="128" t="n"/>
      <c r="P235" s="128" t="n"/>
      <c r="Q235" s="128" t="n"/>
      <c r="R235" s="128" t="n"/>
      <c r="S235" s="128" t="n"/>
      <c r="T235" s="128" t="n"/>
      <c r="U235" s="128" t="n"/>
      <c r="V235" s="128" t="n"/>
      <c r="W235" s="128" t="n"/>
      <c r="X235" s="128" t="n"/>
      <c r="Y235" s="128" t="n"/>
      <c r="Z235" s="128" t="n"/>
      <c r="AA235" s="128" t="n"/>
      <c r="AB235" s="128" t="n"/>
      <c r="AC235" s="128" t="n"/>
      <c r="AD235" s="128" t="n"/>
      <c r="AE235" s="128" t="n"/>
      <c r="AF235" s="128" t="n"/>
      <c r="AG235" s="128" t="n"/>
      <c r="AH235" s="128" t="n"/>
      <c r="AI235" s="128" t="n"/>
      <c r="AJ235" s="128" t="n"/>
      <c r="AK235" s="128" t="n"/>
    </row>
    <row r="236" hidden="1" outlineLevel="1">
      <c r="B236" s="128" t="n"/>
      <c r="C236" s="128" t="n"/>
      <c r="D236" s="128" t="n"/>
      <c r="E236" s="128" t="n"/>
      <c r="F236" s="128" t="n"/>
      <c r="G236" s="128" t="n"/>
      <c r="H236" s="128" t="n"/>
      <c r="I236" s="128" t="n"/>
      <c r="J236" s="128" t="n"/>
      <c r="K236" s="128" t="n"/>
      <c r="L236" s="128" t="n"/>
      <c r="M236" s="128" t="n"/>
      <c r="N236" s="128" t="n"/>
      <c r="O236" s="128" t="n"/>
      <c r="P236" s="128" t="n"/>
      <c r="Q236" s="128" t="n"/>
      <c r="R236" s="128" t="n"/>
      <c r="S236" s="128" t="n"/>
      <c r="T236" s="128" t="n"/>
      <c r="U236" s="128" t="n"/>
      <c r="V236" s="128" t="n"/>
      <c r="W236" s="128" t="n"/>
      <c r="X236" s="128" t="n"/>
      <c r="Y236" s="128" t="n"/>
      <c r="Z236" s="128" t="n"/>
      <c r="AA236" s="128" t="n"/>
      <c r="AB236" s="128" t="n"/>
      <c r="AC236" s="128" t="n"/>
      <c r="AD236" s="128" t="n"/>
      <c r="AE236" s="128" t="n"/>
      <c r="AF236" s="128" t="n"/>
      <c r="AG236" s="128" t="n"/>
      <c r="AH236" s="128" t="n"/>
      <c r="AI236" s="128" t="n"/>
      <c r="AJ236" s="128" t="n"/>
      <c r="AK236" s="128" t="n"/>
    </row>
    <row r="237" hidden="1" outlineLevel="1">
      <c r="B237" s="128" t="n"/>
      <c r="C237" s="128" t="n"/>
      <c r="D237" s="128" t="n"/>
      <c r="E237" s="128" t="n"/>
      <c r="F237" s="128" t="n"/>
      <c r="G237" s="128" t="n"/>
      <c r="H237" s="128" t="n"/>
      <c r="I237" s="128" t="n"/>
      <c r="J237" s="128" t="n"/>
      <c r="K237" s="128" t="n"/>
      <c r="L237" s="128" t="n"/>
      <c r="M237" s="128" t="n"/>
      <c r="N237" s="128" t="n"/>
      <c r="O237" s="128" t="n"/>
      <c r="P237" s="128" t="n"/>
      <c r="Q237" s="128" t="n"/>
      <c r="R237" s="128" t="n"/>
      <c r="S237" s="128" t="n"/>
      <c r="T237" s="128" t="n"/>
      <c r="U237" s="128" t="n"/>
      <c r="V237" s="128" t="n"/>
      <c r="W237" s="128" t="n"/>
      <c r="X237" s="128" t="n"/>
      <c r="Y237" s="128" t="n"/>
      <c r="Z237" s="128" t="n"/>
      <c r="AA237" s="128" t="n"/>
      <c r="AB237" s="128" t="n"/>
      <c r="AC237" s="128" t="n"/>
      <c r="AD237" s="128" t="n"/>
      <c r="AE237" s="128" t="n"/>
      <c r="AF237" s="128" t="n"/>
      <c r="AG237" s="128" t="n"/>
      <c r="AH237" s="128" t="n"/>
      <c r="AI237" s="128" t="n"/>
      <c r="AJ237" s="128" t="n"/>
      <c r="AK237" s="128" t="n"/>
    </row>
    <row r="238" hidden="1" outlineLevel="1">
      <c r="B238" s="128" t="n"/>
      <c r="C238" s="128" t="n"/>
      <c r="D238" s="128" t="n"/>
      <c r="E238" s="128" t="n"/>
      <c r="F238" s="128" t="n"/>
      <c r="G238" s="128" t="n"/>
      <c r="H238" s="128" t="n"/>
      <c r="I238" s="128" t="n"/>
      <c r="J238" s="128" t="n"/>
      <c r="K238" s="128" t="n"/>
      <c r="L238" s="128" t="n"/>
      <c r="M238" s="128" t="n"/>
      <c r="N238" s="128" t="n"/>
      <c r="O238" s="128" t="n"/>
      <c r="P238" s="128" t="n"/>
      <c r="Q238" s="128" t="n"/>
      <c r="R238" s="128" t="n"/>
      <c r="S238" s="128" t="n"/>
      <c r="T238" s="128" t="n"/>
      <c r="U238" s="128" t="n"/>
      <c r="V238" s="128" t="n"/>
      <c r="W238" s="128" t="n"/>
      <c r="X238" s="128" t="n"/>
      <c r="Y238" s="128" t="n"/>
      <c r="Z238" s="128" t="n"/>
      <c r="AA238" s="128" t="n"/>
      <c r="AB238" s="128" t="n"/>
      <c r="AC238" s="128" t="n"/>
      <c r="AD238" s="128" t="n"/>
      <c r="AE238" s="128" t="n"/>
      <c r="AF238" s="128" t="n"/>
      <c r="AG238" s="128" t="n"/>
      <c r="AH238" s="128" t="n"/>
      <c r="AI238" s="128" t="n"/>
      <c r="AJ238" s="128" t="n"/>
      <c r="AK238" s="128" t="n"/>
    </row>
    <row r="239" hidden="1" outlineLevel="1">
      <c r="B239" s="128" t="n"/>
      <c r="C239" s="128" t="n"/>
      <c r="D239" s="128" t="n"/>
      <c r="E239" s="128" t="n"/>
      <c r="F239" s="128" t="n"/>
      <c r="G239" s="128" t="n"/>
      <c r="H239" s="128" t="n"/>
      <c r="I239" s="128" t="n"/>
      <c r="J239" s="128" t="n"/>
      <c r="K239" s="128" t="n"/>
      <c r="L239" s="128" t="n"/>
      <c r="M239" s="128" t="n"/>
      <c r="N239" s="128" t="n"/>
      <c r="O239" s="128" t="n"/>
      <c r="P239" s="128" t="n"/>
      <c r="Q239" s="128" t="n"/>
      <c r="R239" s="128" t="n"/>
      <c r="S239" s="128" t="n"/>
      <c r="T239" s="128" t="n"/>
      <c r="U239" s="128" t="n"/>
      <c r="V239" s="128" t="n"/>
      <c r="W239" s="128" t="n"/>
      <c r="X239" s="128" t="n"/>
      <c r="Y239" s="128" t="n"/>
      <c r="Z239" s="128" t="n"/>
      <c r="AA239" s="128" t="n"/>
      <c r="AB239" s="128" t="n"/>
      <c r="AC239" s="128" t="n"/>
      <c r="AD239" s="128" t="n"/>
      <c r="AE239" s="128" t="n"/>
      <c r="AF239" s="128" t="n"/>
      <c r="AG239" s="128" t="n"/>
      <c r="AH239" s="128" t="n"/>
      <c r="AI239" s="128" t="n"/>
      <c r="AJ239" s="128" t="n"/>
      <c r="AK239" s="128" t="n"/>
    </row>
    <row r="240" hidden="1" outlineLevel="1">
      <c r="B240" s="128" t="n"/>
      <c r="C240" s="128" t="n"/>
      <c r="D240" s="128" t="n"/>
      <c r="E240" s="128" t="n"/>
      <c r="F240" s="128" t="n"/>
      <c r="G240" s="128" t="n"/>
      <c r="H240" s="128" t="n"/>
      <c r="I240" s="128" t="n"/>
      <c r="J240" s="128" t="n"/>
      <c r="K240" s="128" t="n"/>
      <c r="L240" s="128" t="n"/>
      <c r="M240" s="128" t="n"/>
      <c r="N240" s="128" t="n"/>
      <c r="O240" s="128" t="n"/>
      <c r="P240" s="128" t="n"/>
      <c r="Q240" s="128" t="n"/>
      <c r="R240" s="128" t="n"/>
      <c r="S240" s="128" t="n"/>
      <c r="T240" s="128" t="n"/>
      <c r="U240" s="128" t="n"/>
      <c r="V240" s="128" t="n"/>
      <c r="W240" s="128" t="n"/>
      <c r="X240" s="128" t="n"/>
      <c r="Y240" s="128" t="n"/>
      <c r="Z240" s="128" t="n"/>
      <c r="AA240" s="128" t="n"/>
      <c r="AB240" s="128" t="n"/>
      <c r="AC240" s="128" t="n"/>
      <c r="AD240" s="128" t="n"/>
      <c r="AE240" s="128" t="n"/>
      <c r="AF240" s="128" t="n"/>
      <c r="AG240" s="128" t="n"/>
      <c r="AH240" s="128" t="n"/>
      <c r="AI240" s="128" t="n"/>
      <c r="AJ240" s="128" t="n"/>
      <c r="AK240" s="128" t="n"/>
    </row>
    <row r="241" hidden="1" outlineLevel="1">
      <c r="B241" s="128" t="n"/>
      <c r="C241" s="128" t="n"/>
      <c r="D241" s="128" t="n"/>
      <c r="E241" s="128" t="n"/>
      <c r="F241" s="128" t="n"/>
      <c r="G241" s="128" t="n"/>
      <c r="H241" s="128" t="n"/>
      <c r="I241" s="128" t="n"/>
      <c r="J241" s="128" t="n"/>
      <c r="K241" s="128" t="n"/>
      <c r="L241" s="128" t="n"/>
      <c r="M241" s="128" t="n"/>
      <c r="N241" s="128" t="n"/>
      <c r="O241" s="128" t="n"/>
      <c r="P241" s="128" t="n"/>
      <c r="Q241" s="128" t="n"/>
      <c r="R241" s="128" t="n"/>
      <c r="S241" s="128" t="n"/>
      <c r="T241" s="128" t="n"/>
      <c r="U241" s="128" t="n"/>
      <c r="V241" s="128" t="n"/>
      <c r="W241" s="128" t="n"/>
      <c r="X241" s="128" t="n"/>
      <c r="Y241" s="128" t="n"/>
      <c r="Z241" s="128" t="n"/>
      <c r="AA241" s="128" t="n"/>
      <c r="AB241" s="128" t="n"/>
      <c r="AC241" s="128" t="n"/>
      <c r="AD241" s="128" t="n"/>
      <c r="AE241" s="128" t="n"/>
      <c r="AF241" s="128" t="n"/>
      <c r="AG241" s="128" t="n"/>
      <c r="AH241" s="128" t="n"/>
      <c r="AI241" s="128" t="n"/>
      <c r="AJ241" s="128" t="n"/>
      <c r="AK241" s="128" t="n"/>
    </row>
    <row r="242" hidden="1" outlineLevel="1">
      <c r="B242" s="128" t="n"/>
      <c r="C242" s="128" t="n"/>
      <c r="D242" s="128" t="n"/>
      <c r="E242" s="128" t="n"/>
      <c r="F242" s="128" t="n"/>
      <c r="G242" s="128" t="n"/>
      <c r="H242" s="128" t="n"/>
      <c r="I242" s="128" t="n"/>
      <c r="J242" s="128" t="n"/>
      <c r="K242" s="128" t="n"/>
      <c r="L242" s="128" t="n"/>
      <c r="M242" s="128" t="n"/>
      <c r="N242" s="128" t="n"/>
      <c r="O242" s="128" t="n"/>
      <c r="P242" s="128" t="n"/>
      <c r="Q242" s="128" t="n"/>
      <c r="R242" s="128" t="n"/>
      <c r="S242" s="128" t="n"/>
      <c r="T242" s="128" t="n"/>
      <c r="U242" s="128" t="n"/>
      <c r="V242" s="128" t="n"/>
      <c r="W242" s="128" t="n"/>
      <c r="X242" s="128" t="n"/>
      <c r="Y242" s="128" t="n"/>
      <c r="Z242" s="128" t="n"/>
      <c r="AA242" s="128" t="n"/>
      <c r="AB242" s="128" t="n"/>
      <c r="AC242" s="128" t="n"/>
      <c r="AD242" s="128" t="n"/>
      <c r="AE242" s="128" t="n"/>
      <c r="AF242" s="128" t="n"/>
      <c r="AG242" s="128" t="n"/>
      <c r="AH242" s="128" t="n"/>
      <c r="AI242" s="128" t="n"/>
      <c r="AJ242" s="128" t="n"/>
      <c r="AK242" s="128" t="n"/>
    </row>
  </sheetData>
  <mergeCells count="10">
    <mergeCell ref="A136:H136"/>
    <mergeCell ref="A1:BO1"/>
    <mergeCell ref="A32:BO32"/>
    <mergeCell ref="A52:H52"/>
    <mergeCell ref="A164:H164"/>
    <mergeCell ref="A6:BO6"/>
    <mergeCell ref="A108:H108"/>
    <mergeCell ref="A18:BO18"/>
    <mergeCell ref="A27:BO27"/>
    <mergeCell ref="A80:H80"/>
  </mergeCells>
  <printOptions horizontalCentered="0"/>
  <pageMargins left="0.75" right="0.75" top="1" bottom="1" header="0.5" footer="0.5"/>
  <pageSetup orientation="landscape" fitToHeight="0" fitToWidth="1"/>
  <headerFooter>
    <oddHeader/>
    <oddFooter>&amp;LФинмодель Спартак · 06_Сеть_и_дети&amp;R&amp;P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BO34"/>
  <sheetViews>
    <sheetView showGridLines="0" zoomScale="8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hidden="1" width="10" customWidth="1" min="62" max="62"/>
    <col hidden="1" width="10" customWidth="1" min="63" max="63"/>
    <col hidden="1" width="10" customWidth="1" min="64" max="64"/>
    <col hidden="1" width="10" customWidth="1" min="65" max="65"/>
    <col hidden="1" width="10" customWidth="1" min="66" max="66"/>
    <col hidden="1" width="10" customWidth="1" min="67" max="67"/>
  </cols>
  <sheetData>
    <row r="1" ht="24" customHeight="1">
      <c r="A1" s="1" t="inlineStr">
        <is>
          <t>Мерч, склад и займ</t>
        </is>
      </c>
    </row>
    <row r="2" ht="20" customHeight="1">
      <c r="A2" s="4" t="inlineStr">
        <is>
          <t>Продажи мерча</t>
        </is>
      </c>
    </row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  <c r="BJ3" s="94">
        <f>DATE(YEAR('01_Вводные'!$B$7),MONTH('01_Вводные'!$B$7)+60,1)</f>
        <v/>
      </c>
      <c r="BK3" s="94">
        <f>DATE(YEAR('01_Вводные'!$B$7),MONTH('01_Вводные'!$B$7)+61,1)</f>
        <v/>
      </c>
      <c r="BL3" s="94">
        <f>DATE(YEAR('01_Вводные'!$B$7),MONTH('01_Вводные'!$B$7)+62,1)</f>
        <v/>
      </c>
      <c r="BM3" s="94">
        <f>DATE(YEAR('01_Вводные'!$B$7),MONTH('01_Вводные'!$B$7)+63,1)</f>
        <v/>
      </c>
      <c r="BN3" s="94">
        <f>DATE(YEAR('01_Вводные'!$B$7),MONTH('01_Вводные'!$B$7)+64,1)</f>
        <v/>
      </c>
      <c r="BO3" s="94">
        <f>DATE(YEAR('01_Вводные'!$B$7),MONTH('01_Вводные'!$B$7)+65,1)</f>
        <v/>
      </c>
    </row>
    <row r="4">
      <c r="A4" s="2" t="inlineStr">
        <is>
          <t>Сезонность повторных продаж</t>
        </is>
      </c>
      <c r="B4" s="97">
        <f>INDEX('01_Вводные'!$B$94:$M$94,1,MONTH(B$3))</f>
        <v/>
      </c>
      <c r="C4" s="97">
        <f>INDEX('01_Вводные'!$B$94:$M$94,1,MONTH(C$3))</f>
        <v/>
      </c>
      <c r="D4" s="97">
        <f>INDEX('01_Вводные'!$B$94:$M$94,1,MONTH(D$3))</f>
        <v/>
      </c>
      <c r="E4" s="97">
        <f>INDEX('01_Вводные'!$B$94:$M$94,1,MONTH(E$3))</f>
        <v/>
      </c>
      <c r="F4" s="97">
        <f>INDEX('01_Вводные'!$B$94:$M$94,1,MONTH(F$3))</f>
        <v/>
      </c>
      <c r="G4" s="97">
        <f>INDEX('01_Вводные'!$B$94:$M$94,1,MONTH(G$3))</f>
        <v/>
      </c>
      <c r="H4" s="97">
        <f>INDEX('01_Вводные'!$B$94:$M$94,1,MONTH(H$3))</f>
        <v/>
      </c>
      <c r="I4" s="97">
        <f>INDEX('01_Вводные'!$B$94:$M$94,1,MONTH(I$3))</f>
        <v/>
      </c>
      <c r="J4" s="97">
        <f>INDEX('01_Вводные'!$B$94:$M$94,1,MONTH(J$3))</f>
        <v/>
      </c>
      <c r="K4" s="97">
        <f>INDEX('01_Вводные'!$B$94:$M$94,1,MONTH(K$3))</f>
        <v/>
      </c>
      <c r="L4" s="97">
        <f>INDEX('01_Вводные'!$B$94:$M$94,1,MONTH(L$3))</f>
        <v/>
      </c>
      <c r="M4" s="97">
        <f>INDEX('01_Вводные'!$B$94:$M$94,1,MONTH(M$3))</f>
        <v/>
      </c>
      <c r="N4" s="97">
        <f>INDEX('01_Вводные'!$B$94:$M$94,1,MONTH(N$3))</f>
        <v/>
      </c>
      <c r="O4" s="97">
        <f>INDEX('01_Вводные'!$B$94:$M$94,1,MONTH(O$3))</f>
        <v/>
      </c>
      <c r="P4" s="97">
        <f>INDEX('01_Вводные'!$B$94:$M$94,1,MONTH(P$3))</f>
        <v/>
      </c>
      <c r="Q4" s="97">
        <f>INDEX('01_Вводные'!$B$94:$M$94,1,MONTH(Q$3))</f>
        <v/>
      </c>
      <c r="R4" s="97">
        <f>INDEX('01_Вводные'!$B$94:$M$94,1,MONTH(R$3))</f>
        <v/>
      </c>
      <c r="S4" s="97">
        <f>INDEX('01_Вводные'!$B$94:$M$94,1,MONTH(S$3))</f>
        <v/>
      </c>
      <c r="T4" s="97">
        <f>INDEX('01_Вводные'!$B$94:$M$94,1,MONTH(T$3))</f>
        <v/>
      </c>
      <c r="U4" s="97">
        <f>INDEX('01_Вводные'!$B$94:$M$94,1,MONTH(U$3))</f>
        <v/>
      </c>
      <c r="V4" s="97">
        <f>INDEX('01_Вводные'!$B$94:$M$94,1,MONTH(V$3))</f>
        <v/>
      </c>
      <c r="W4" s="97">
        <f>INDEX('01_Вводные'!$B$94:$M$94,1,MONTH(W$3))</f>
        <v/>
      </c>
      <c r="X4" s="97">
        <f>INDEX('01_Вводные'!$B$94:$M$94,1,MONTH(X$3))</f>
        <v/>
      </c>
      <c r="Y4" s="97">
        <f>INDEX('01_Вводные'!$B$94:$M$94,1,MONTH(Y$3))</f>
        <v/>
      </c>
      <c r="Z4" s="97">
        <f>INDEX('01_Вводные'!$B$94:$M$94,1,MONTH(Z$3))</f>
        <v/>
      </c>
      <c r="AA4" s="97">
        <f>INDEX('01_Вводные'!$B$94:$M$94,1,MONTH(AA$3))</f>
        <v/>
      </c>
      <c r="AB4" s="97">
        <f>INDEX('01_Вводные'!$B$94:$M$94,1,MONTH(AB$3))</f>
        <v/>
      </c>
      <c r="AC4" s="97">
        <f>INDEX('01_Вводные'!$B$94:$M$94,1,MONTH(AC$3))</f>
        <v/>
      </c>
      <c r="AD4" s="97">
        <f>INDEX('01_Вводные'!$B$94:$M$94,1,MONTH(AD$3))</f>
        <v/>
      </c>
      <c r="AE4" s="97">
        <f>INDEX('01_Вводные'!$B$94:$M$94,1,MONTH(AE$3))</f>
        <v/>
      </c>
      <c r="AF4" s="97">
        <f>INDEX('01_Вводные'!$B$94:$M$94,1,MONTH(AF$3))</f>
        <v/>
      </c>
      <c r="AG4" s="97">
        <f>INDEX('01_Вводные'!$B$94:$M$94,1,MONTH(AG$3))</f>
        <v/>
      </c>
      <c r="AH4" s="97">
        <f>INDEX('01_Вводные'!$B$94:$M$94,1,MONTH(AH$3))</f>
        <v/>
      </c>
      <c r="AI4" s="97">
        <f>INDEX('01_Вводные'!$B$94:$M$94,1,MONTH(AI$3))</f>
        <v/>
      </c>
      <c r="AJ4" s="97">
        <f>INDEX('01_Вводные'!$B$94:$M$94,1,MONTH(AJ$3))</f>
        <v/>
      </c>
      <c r="AK4" s="97">
        <f>INDEX('01_Вводные'!$B$94:$M$94,1,MONTH(AK$3))</f>
        <v/>
      </c>
      <c r="AL4" s="97">
        <f>INDEX('01_Вводные'!$B$94:$M$94,1,MONTH(AL$3))</f>
        <v/>
      </c>
      <c r="AM4" s="97">
        <f>INDEX('01_Вводные'!$B$94:$M$94,1,MONTH(AM$3))</f>
        <v/>
      </c>
      <c r="AN4" s="97">
        <f>INDEX('01_Вводные'!$B$94:$M$94,1,MONTH(AN$3))</f>
        <v/>
      </c>
      <c r="AO4" s="97">
        <f>INDEX('01_Вводные'!$B$94:$M$94,1,MONTH(AO$3))</f>
        <v/>
      </c>
      <c r="AP4" s="97">
        <f>INDEX('01_Вводные'!$B$94:$M$94,1,MONTH(AP$3))</f>
        <v/>
      </c>
      <c r="AQ4" s="97">
        <f>INDEX('01_Вводные'!$B$94:$M$94,1,MONTH(AQ$3))</f>
        <v/>
      </c>
      <c r="AR4" s="97">
        <f>INDEX('01_Вводные'!$B$94:$M$94,1,MONTH(AR$3))</f>
        <v/>
      </c>
      <c r="AS4" s="97">
        <f>INDEX('01_Вводные'!$B$94:$M$94,1,MONTH(AS$3))</f>
        <v/>
      </c>
      <c r="AT4" s="97">
        <f>INDEX('01_Вводные'!$B$94:$M$94,1,MONTH(AT$3))</f>
        <v/>
      </c>
      <c r="AU4" s="97">
        <f>INDEX('01_Вводные'!$B$94:$M$94,1,MONTH(AU$3))</f>
        <v/>
      </c>
      <c r="AV4" s="97">
        <f>INDEX('01_Вводные'!$B$94:$M$94,1,MONTH(AV$3))</f>
        <v/>
      </c>
      <c r="AW4" s="97">
        <f>INDEX('01_Вводные'!$B$94:$M$94,1,MONTH(AW$3))</f>
        <v/>
      </c>
      <c r="AX4" s="97">
        <f>INDEX('01_Вводные'!$B$94:$M$94,1,MONTH(AX$3))</f>
        <v/>
      </c>
      <c r="AY4" s="97">
        <f>INDEX('01_Вводные'!$B$94:$M$94,1,MONTH(AY$3))</f>
        <v/>
      </c>
      <c r="AZ4" s="97">
        <f>INDEX('01_Вводные'!$B$94:$M$94,1,MONTH(AZ$3))</f>
        <v/>
      </c>
      <c r="BA4" s="97">
        <f>INDEX('01_Вводные'!$B$94:$M$94,1,MONTH(BA$3))</f>
        <v/>
      </c>
      <c r="BB4" s="97">
        <f>INDEX('01_Вводные'!$B$94:$M$94,1,MONTH(BB$3))</f>
        <v/>
      </c>
      <c r="BC4" s="97">
        <f>INDEX('01_Вводные'!$B$94:$M$94,1,MONTH(BC$3))</f>
        <v/>
      </c>
      <c r="BD4" s="97">
        <f>INDEX('01_Вводные'!$B$94:$M$94,1,MONTH(BD$3))</f>
        <v/>
      </c>
      <c r="BE4" s="97">
        <f>INDEX('01_Вводные'!$B$94:$M$94,1,MONTH(BE$3))</f>
        <v/>
      </c>
      <c r="BF4" s="97">
        <f>INDEX('01_Вводные'!$B$94:$M$94,1,MONTH(BF$3))</f>
        <v/>
      </c>
      <c r="BG4" s="97">
        <f>INDEX('01_Вводные'!$B$94:$M$94,1,MONTH(BG$3))</f>
        <v/>
      </c>
      <c r="BH4" s="97">
        <f>INDEX('01_Вводные'!$B$94:$M$94,1,MONTH(BH$3))</f>
        <v/>
      </c>
      <c r="BI4" s="97">
        <f>INDEX('01_Вводные'!$B$94:$M$94,1,MONTH(BI$3))</f>
        <v/>
      </c>
      <c r="BJ4" s="97">
        <f>INDEX('01_Вводные'!$B$94:$M$94,1,MONTH(BJ$3))</f>
        <v/>
      </c>
      <c r="BK4" s="97">
        <f>INDEX('01_Вводные'!$B$94:$M$94,1,MONTH(BK$3))</f>
        <v/>
      </c>
      <c r="BL4" s="97">
        <f>INDEX('01_Вводные'!$B$94:$M$94,1,MONTH(BL$3))</f>
        <v/>
      </c>
      <c r="BM4" s="97">
        <f>INDEX('01_Вводные'!$B$94:$M$94,1,MONTH(BM$3))</f>
        <v/>
      </c>
      <c r="BN4" s="97">
        <f>INDEX('01_Вводные'!$B$94:$M$94,1,MONTH(BN$3))</f>
        <v/>
      </c>
      <c r="BO4" s="97">
        <f>INDEX('01_Вводные'!$B$94:$M$94,1,MONTH(BO$3))</f>
        <v/>
      </c>
    </row>
    <row r="5">
      <c r="A5" s="2" t="inlineStr">
        <is>
          <t>Действующая сеть — комплекты</t>
        </is>
      </c>
      <c r="B5" s="40">
        <f>IF(COUNTIF('01_Вводные'!$B$98:$E$98,B$3)&gt;0,SUMIF('01_Вводные'!$B$98:$E$98,B$3,'01_Вводные'!$B$99:$E$99),'06_Сеть_и_дети'!B19*'01_Вводные'!$B$74*B4)</f>
        <v/>
      </c>
      <c r="C5" s="40">
        <f>IF(COUNTIF('01_Вводные'!$B$98:$E$98,C$3)&gt;0,SUMIF('01_Вводные'!$B$98:$E$98,C$3,'01_Вводные'!$B$99:$E$99),'06_Сеть_и_дети'!C19*'01_Вводные'!$B$74*C4)</f>
        <v/>
      </c>
      <c r="D5" s="40">
        <f>IF(COUNTIF('01_Вводные'!$B$98:$E$98,D$3)&gt;0,SUMIF('01_Вводные'!$B$98:$E$98,D$3,'01_Вводные'!$B$99:$E$99),'06_Сеть_и_дети'!D19*'01_Вводные'!$B$74*D4)</f>
        <v/>
      </c>
      <c r="E5" s="40">
        <f>IF(COUNTIF('01_Вводные'!$B$98:$E$98,E$3)&gt;0,SUMIF('01_Вводные'!$B$98:$E$98,E$3,'01_Вводные'!$B$99:$E$99),'06_Сеть_и_дети'!E19*'01_Вводные'!$B$74*E4)</f>
        <v/>
      </c>
      <c r="F5" s="40">
        <f>IF(COUNTIF('01_Вводные'!$B$98:$E$98,F$3)&gt;0,SUMIF('01_Вводные'!$B$98:$E$98,F$3,'01_Вводные'!$B$99:$E$99),'06_Сеть_и_дети'!F19*'01_Вводные'!$B$74*F4)</f>
        <v/>
      </c>
      <c r="G5" s="40">
        <f>IF(COUNTIF('01_Вводные'!$B$98:$E$98,G$3)&gt;0,SUMIF('01_Вводные'!$B$98:$E$98,G$3,'01_Вводные'!$B$99:$E$99),'06_Сеть_и_дети'!G19*'01_Вводные'!$B$74*G4)</f>
        <v/>
      </c>
      <c r="H5" s="40">
        <f>IF(COUNTIF('01_Вводные'!$B$98:$E$98,H$3)&gt;0,SUMIF('01_Вводные'!$B$98:$E$98,H$3,'01_Вводные'!$B$99:$E$99),'06_Сеть_и_дети'!H19*'01_Вводные'!$B$74*H4)</f>
        <v/>
      </c>
      <c r="I5" s="40">
        <f>IF(COUNTIF('01_Вводные'!$B$98:$E$98,I$3)&gt;0,SUMIF('01_Вводные'!$B$98:$E$98,I$3,'01_Вводные'!$B$99:$E$99),'06_Сеть_и_дети'!I19*'01_Вводные'!$B$74*I4)</f>
        <v/>
      </c>
      <c r="J5" s="40">
        <f>IF(COUNTIF('01_Вводные'!$B$98:$E$98,J$3)&gt;0,SUMIF('01_Вводные'!$B$98:$E$98,J$3,'01_Вводные'!$B$99:$E$99),'06_Сеть_и_дети'!J19*'01_Вводные'!$B$74*J4)</f>
        <v/>
      </c>
      <c r="K5" s="40">
        <f>IF(COUNTIF('01_Вводные'!$B$98:$E$98,K$3)&gt;0,SUMIF('01_Вводные'!$B$98:$E$98,K$3,'01_Вводные'!$B$99:$E$99),'06_Сеть_и_дети'!K19*'01_Вводные'!$B$74*K4)</f>
        <v/>
      </c>
      <c r="L5" s="40">
        <f>IF(COUNTIF('01_Вводные'!$B$98:$E$98,L$3)&gt;0,SUMIF('01_Вводные'!$B$98:$E$98,L$3,'01_Вводные'!$B$99:$E$99),'06_Сеть_и_дети'!L19*'01_Вводные'!$B$74*L4)</f>
        <v/>
      </c>
      <c r="M5" s="40">
        <f>IF(COUNTIF('01_Вводные'!$B$98:$E$98,M$3)&gt;0,SUMIF('01_Вводные'!$B$98:$E$98,M$3,'01_Вводные'!$B$99:$E$99),'06_Сеть_и_дети'!M19*'01_Вводные'!$B$74*M4)</f>
        <v/>
      </c>
      <c r="N5" s="40">
        <f>IF(COUNTIF('01_Вводные'!$B$98:$E$98,N$3)&gt;0,SUMIF('01_Вводные'!$B$98:$E$98,N$3,'01_Вводные'!$B$99:$E$99),'06_Сеть_и_дети'!N19*'01_Вводные'!$B$74*N4)</f>
        <v/>
      </c>
      <c r="O5" s="40">
        <f>IF(COUNTIF('01_Вводные'!$B$98:$E$98,O$3)&gt;0,SUMIF('01_Вводные'!$B$98:$E$98,O$3,'01_Вводные'!$B$99:$E$99),'06_Сеть_и_дети'!O19*'01_Вводные'!$B$74*O4)</f>
        <v/>
      </c>
      <c r="P5" s="40">
        <f>IF(COUNTIF('01_Вводные'!$B$98:$E$98,P$3)&gt;0,SUMIF('01_Вводные'!$B$98:$E$98,P$3,'01_Вводные'!$B$99:$E$99),'06_Сеть_и_дети'!P19*'01_Вводные'!$B$74*P4)</f>
        <v/>
      </c>
      <c r="Q5" s="40">
        <f>IF(COUNTIF('01_Вводные'!$B$98:$E$98,Q$3)&gt;0,SUMIF('01_Вводные'!$B$98:$E$98,Q$3,'01_Вводные'!$B$99:$E$99),'06_Сеть_и_дети'!Q19*'01_Вводные'!$B$74*Q4)</f>
        <v/>
      </c>
      <c r="R5" s="40">
        <f>IF(COUNTIF('01_Вводные'!$B$98:$E$98,R$3)&gt;0,SUMIF('01_Вводные'!$B$98:$E$98,R$3,'01_Вводные'!$B$99:$E$99),'06_Сеть_и_дети'!R19*'01_Вводные'!$B$74*R4)</f>
        <v/>
      </c>
      <c r="S5" s="40">
        <f>IF(COUNTIF('01_Вводные'!$B$98:$E$98,S$3)&gt;0,SUMIF('01_Вводные'!$B$98:$E$98,S$3,'01_Вводные'!$B$99:$E$99),'06_Сеть_и_дети'!S19*'01_Вводные'!$B$74*S4)</f>
        <v/>
      </c>
      <c r="T5" s="40">
        <f>IF(COUNTIF('01_Вводные'!$B$98:$E$98,T$3)&gt;0,SUMIF('01_Вводные'!$B$98:$E$98,T$3,'01_Вводные'!$B$99:$E$99),'06_Сеть_и_дети'!T19*'01_Вводные'!$B$74*T4)</f>
        <v/>
      </c>
      <c r="U5" s="40">
        <f>IF(COUNTIF('01_Вводные'!$B$98:$E$98,U$3)&gt;0,SUMIF('01_Вводные'!$B$98:$E$98,U$3,'01_Вводные'!$B$99:$E$99),'06_Сеть_и_дети'!U19*'01_Вводные'!$B$74*U4)</f>
        <v/>
      </c>
      <c r="V5" s="40">
        <f>IF(COUNTIF('01_Вводные'!$B$98:$E$98,V$3)&gt;0,SUMIF('01_Вводные'!$B$98:$E$98,V$3,'01_Вводные'!$B$99:$E$99),'06_Сеть_и_дети'!V19*'01_Вводные'!$B$74*V4)</f>
        <v/>
      </c>
      <c r="W5" s="40">
        <f>IF(COUNTIF('01_Вводные'!$B$98:$E$98,W$3)&gt;0,SUMIF('01_Вводные'!$B$98:$E$98,W$3,'01_Вводные'!$B$99:$E$99),'06_Сеть_и_дети'!W19*'01_Вводные'!$B$74*W4)</f>
        <v/>
      </c>
      <c r="X5" s="40">
        <f>IF(COUNTIF('01_Вводные'!$B$98:$E$98,X$3)&gt;0,SUMIF('01_Вводные'!$B$98:$E$98,X$3,'01_Вводные'!$B$99:$E$99),'06_Сеть_и_дети'!X19*'01_Вводные'!$B$74*X4)</f>
        <v/>
      </c>
      <c r="Y5" s="40">
        <f>IF(COUNTIF('01_Вводные'!$B$98:$E$98,Y$3)&gt;0,SUMIF('01_Вводные'!$B$98:$E$98,Y$3,'01_Вводные'!$B$99:$E$99),'06_Сеть_и_дети'!Y19*'01_Вводные'!$B$74*Y4)</f>
        <v/>
      </c>
      <c r="Z5" s="40">
        <f>IF(COUNTIF('01_Вводные'!$B$98:$E$98,Z$3)&gt;0,SUMIF('01_Вводные'!$B$98:$E$98,Z$3,'01_Вводные'!$B$99:$E$99),'06_Сеть_и_дети'!Z19*'01_Вводные'!$B$74*Z4)</f>
        <v/>
      </c>
      <c r="AA5" s="40">
        <f>IF(COUNTIF('01_Вводные'!$B$98:$E$98,AA$3)&gt;0,SUMIF('01_Вводные'!$B$98:$E$98,AA$3,'01_Вводные'!$B$99:$E$99),'06_Сеть_и_дети'!AA19*'01_Вводные'!$B$74*AA4)</f>
        <v/>
      </c>
      <c r="AB5" s="40">
        <f>IF(COUNTIF('01_Вводные'!$B$98:$E$98,AB$3)&gt;0,SUMIF('01_Вводные'!$B$98:$E$98,AB$3,'01_Вводные'!$B$99:$E$99),'06_Сеть_и_дети'!AB19*'01_Вводные'!$B$74*AB4)</f>
        <v/>
      </c>
      <c r="AC5" s="40">
        <f>IF(COUNTIF('01_Вводные'!$B$98:$E$98,AC$3)&gt;0,SUMIF('01_Вводные'!$B$98:$E$98,AC$3,'01_Вводные'!$B$99:$E$99),'06_Сеть_и_дети'!AC19*'01_Вводные'!$B$74*AC4)</f>
        <v/>
      </c>
      <c r="AD5" s="40">
        <f>IF(COUNTIF('01_Вводные'!$B$98:$E$98,AD$3)&gt;0,SUMIF('01_Вводные'!$B$98:$E$98,AD$3,'01_Вводные'!$B$99:$E$99),'06_Сеть_и_дети'!AD19*'01_Вводные'!$B$74*AD4)</f>
        <v/>
      </c>
      <c r="AE5" s="40">
        <f>IF(COUNTIF('01_Вводные'!$B$98:$E$98,AE$3)&gt;0,SUMIF('01_Вводные'!$B$98:$E$98,AE$3,'01_Вводные'!$B$99:$E$99),'06_Сеть_и_дети'!AE19*'01_Вводные'!$B$74*AE4)</f>
        <v/>
      </c>
      <c r="AF5" s="40">
        <f>IF(COUNTIF('01_Вводные'!$B$98:$E$98,AF$3)&gt;0,SUMIF('01_Вводные'!$B$98:$E$98,AF$3,'01_Вводные'!$B$99:$E$99),'06_Сеть_и_дети'!AF19*'01_Вводные'!$B$74*AF4)</f>
        <v/>
      </c>
      <c r="AG5" s="40">
        <f>IF(COUNTIF('01_Вводные'!$B$98:$E$98,AG$3)&gt;0,SUMIF('01_Вводные'!$B$98:$E$98,AG$3,'01_Вводные'!$B$99:$E$99),'06_Сеть_и_дети'!AG19*'01_Вводные'!$B$74*AG4)</f>
        <v/>
      </c>
      <c r="AH5" s="40">
        <f>IF(COUNTIF('01_Вводные'!$B$98:$E$98,AH$3)&gt;0,SUMIF('01_Вводные'!$B$98:$E$98,AH$3,'01_Вводные'!$B$99:$E$99),'06_Сеть_и_дети'!AH19*'01_Вводные'!$B$74*AH4)</f>
        <v/>
      </c>
      <c r="AI5" s="40">
        <f>IF(COUNTIF('01_Вводные'!$B$98:$E$98,AI$3)&gt;0,SUMIF('01_Вводные'!$B$98:$E$98,AI$3,'01_Вводные'!$B$99:$E$99),'06_Сеть_и_дети'!AI19*'01_Вводные'!$B$74*AI4)</f>
        <v/>
      </c>
      <c r="AJ5" s="40">
        <f>IF(COUNTIF('01_Вводные'!$B$98:$E$98,AJ$3)&gt;0,SUMIF('01_Вводные'!$B$98:$E$98,AJ$3,'01_Вводные'!$B$99:$E$99),'06_Сеть_и_дети'!AJ19*'01_Вводные'!$B$74*AJ4)</f>
        <v/>
      </c>
      <c r="AK5" s="40">
        <f>IF(COUNTIF('01_Вводные'!$B$98:$E$98,AK$3)&gt;0,SUMIF('01_Вводные'!$B$98:$E$98,AK$3,'01_Вводные'!$B$99:$E$99),'06_Сеть_и_дети'!AK19*'01_Вводные'!$B$74*AK4)</f>
        <v/>
      </c>
      <c r="AL5" s="40">
        <f>IF(COUNTIF('01_Вводные'!$B$98:$E$98,AL$3)&gt;0,SUMIF('01_Вводные'!$B$98:$E$98,AL$3,'01_Вводные'!$B$99:$E$99),'06_Сеть_и_дети'!AL19*'01_Вводные'!$B$74*AL4)</f>
        <v/>
      </c>
      <c r="AM5" s="40">
        <f>IF(COUNTIF('01_Вводные'!$B$98:$E$98,AM$3)&gt;0,SUMIF('01_Вводные'!$B$98:$E$98,AM$3,'01_Вводные'!$B$99:$E$99),'06_Сеть_и_дети'!AM19*'01_Вводные'!$B$74*AM4)</f>
        <v/>
      </c>
      <c r="AN5" s="40">
        <f>IF(COUNTIF('01_Вводные'!$B$98:$E$98,AN$3)&gt;0,SUMIF('01_Вводные'!$B$98:$E$98,AN$3,'01_Вводные'!$B$99:$E$99),'06_Сеть_и_дети'!AN19*'01_Вводные'!$B$74*AN4)</f>
        <v/>
      </c>
      <c r="AO5" s="40">
        <f>IF(COUNTIF('01_Вводные'!$B$98:$E$98,AO$3)&gt;0,SUMIF('01_Вводные'!$B$98:$E$98,AO$3,'01_Вводные'!$B$99:$E$99),'06_Сеть_и_дети'!AO19*'01_Вводные'!$B$74*AO4)</f>
        <v/>
      </c>
      <c r="AP5" s="40">
        <f>IF(COUNTIF('01_Вводные'!$B$98:$E$98,AP$3)&gt;0,SUMIF('01_Вводные'!$B$98:$E$98,AP$3,'01_Вводные'!$B$99:$E$99),'06_Сеть_и_дети'!AP19*'01_Вводные'!$B$74*AP4)</f>
        <v/>
      </c>
      <c r="AQ5" s="40">
        <f>IF(COUNTIF('01_Вводные'!$B$98:$E$98,AQ$3)&gt;0,SUMIF('01_Вводные'!$B$98:$E$98,AQ$3,'01_Вводные'!$B$99:$E$99),'06_Сеть_и_дети'!AQ19*'01_Вводные'!$B$74*AQ4)</f>
        <v/>
      </c>
      <c r="AR5" s="40">
        <f>IF(COUNTIF('01_Вводные'!$B$98:$E$98,AR$3)&gt;0,SUMIF('01_Вводные'!$B$98:$E$98,AR$3,'01_Вводные'!$B$99:$E$99),'06_Сеть_и_дети'!AR19*'01_Вводные'!$B$74*AR4)</f>
        <v/>
      </c>
      <c r="AS5" s="40">
        <f>IF(COUNTIF('01_Вводные'!$B$98:$E$98,AS$3)&gt;0,SUMIF('01_Вводные'!$B$98:$E$98,AS$3,'01_Вводные'!$B$99:$E$99),'06_Сеть_и_дети'!AS19*'01_Вводные'!$B$74*AS4)</f>
        <v/>
      </c>
      <c r="AT5" s="40">
        <f>IF(COUNTIF('01_Вводные'!$B$98:$E$98,AT$3)&gt;0,SUMIF('01_Вводные'!$B$98:$E$98,AT$3,'01_Вводные'!$B$99:$E$99),'06_Сеть_и_дети'!AT19*'01_Вводные'!$B$74*AT4)</f>
        <v/>
      </c>
      <c r="AU5" s="40">
        <f>IF(COUNTIF('01_Вводные'!$B$98:$E$98,AU$3)&gt;0,SUMIF('01_Вводные'!$B$98:$E$98,AU$3,'01_Вводные'!$B$99:$E$99),'06_Сеть_и_дети'!AU19*'01_Вводные'!$B$74*AU4)</f>
        <v/>
      </c>
      <c r="AV5" s="40">
        <f>IF(COUNTIF('01_Вводные'!$B$98:$E$98,AV$3)&gt;0,SUMIF('01_Вводные'!$B$98:$E$98,AV$3,'01_Вводные'!$B$99:$E$99),'06_Сеть_и_дети'!AV19*'01_Вводные'!$B$74*AV4)</f>
        <v/>
      </c>
      <c r="AW5" s="40">
        <f>IF(COUNTIF('01_Вводные'!$B$98:$E$98,AW$3)&gt;0,SUMIF('01_Вводные'!$B$98:$E$98,AW$3,'01_Вводные'!$B$99:$E$99),'06_Сеть_и_дети'!AW19*'01_Вводные'!$B$74*AW4)</f>
        <v/>
      </c>
      <c r="AX5" s="40">
        <f>IF(COUNTIF('01_Вводные'!$B$98:$E$98,AX$3)&gt;0,SUMIF('01_Вводные'!$B$98:$E$98,AX$3,'01_Вводные'!$B$99:$E$99),'06_Сеть_и_дети'!AX19*'01_Вводные'!$B$74*AX4)</f>
        <v/>
      </c>
      <c r="AY5" s="40">
        <f>IF(COUNTIF('01_Вводные'!$B$98:$E$98,AY$3)&gt;0,SUMIF('01_Вводные'!$B$98:$E$98,AY$3,'01_Вводные'!$B$99:$E$99),'06_Сеть_и_дети'!AY19*'01_Вводные'!$B$74*AY4)</f>
        <v/>
      </c>
      <c r="AZ5" s="40">
        <f>IF(COUNTIF('01_Вводные'!$B$98:$E$98,AZ$3)&gt;0,SUMIF('01_Вводные'!$B$98:$E$98,AZ$3,'01_Вводные'!$B$99:$E$99),'06_Сеть_и_дети'!AZ19*'01_Вводные'!$B$74*AZ4)</f>
        <v/>
      </c>
      <c r="BA5" s="40">
        <f>IF(COUNTIF('01_Вводные'!$B$98:$E$98,BA$3)&gt;0,SUMIF('01_Вводные'!$B$98:$E$98,BA$3,'01_Вводные'!$B$99:$E$99),'06_Сеть_и_дети'!BA19*'01_Вводные'!$B$74*BA4)</f>
        <v/>
      </c>
      <c r="BB5" s="40">
        <f>IF(COUNTIF('01_Вводные'!$B$98:$E$98,BB$3)&gt;0,SUMIF('01_Вводные'!$B$98:$E$98,BB$3,'01_Вводные'!$B$99:$E$99),'06_Сеть_и_дети'!BB19*'01_Вводные'!$B$74*BB4)</f>
        <v/>
      </c>
      <c r="BC5" s="40">
        <f>IF(COUNTIF('01_Вводные'!$B$98:$E$98,BC$3)&gt;0,SUMIF('01_Вводные'!$B$98:$E$98,BC$3,'01_Вводные'!$B$99:$E$99),'06_Сеть_и_дети'!BC19*'01_Вводные'!$B$74*BC4)</f>
        <v/>
      </c>
      <c r="BD5" s="40">
        <f>IF(COUNTIF('01_Вводные'!$B$98:$E$98,BD$3)&gt;0,SUMIF('01_Вводные'!$B$98:$E$98,BD$3,'01_Вводные'!$B$99:$E$99),'06_Сеть_и_дети'!BD19*'01_Вводные'!$B$74*BD4)</f>
        <v/>
      </c>
      <c r="BE5" s="40">
        <f>IF(COUNTIF('01_Вводные'!$B$98:$E$98,BE$3)&gt;0,SUMIF('01_Вводные'!$B$98:$E$98,BE$3,'01_Вводные'!$B$99:$E$99),'06_Сеть_и_дети'!BE19*'01_Вводные'!$B$74*BE4)</f>
        <v/>
      </c>
      <c r="BF5" s="40">
        <f>IF(COUNTIF('01_Вводные'!$B$98:$E$98,BF$3)&gt;0,SUMIF('01_Вводные'!$B$98:$E$98,BF$3,'01_Вводные'!$B$99:$E$99),'06_Сеть_и_дети'!BF19*'01_Вводные'!$B$74*BF4)</f>
        <v/>
      </c>
      <c r="BG5" s="40">
        <f>IF(COUNTIF('01_Вводные'!$B$98:$E$98,BG$3)&gt;0,SUMIF('01_Вводные'!$B$98:$E$98,BG$3,'01_Вводные'!$B$99:$E$99),'06_Сеть_и_дети'!BG19*'01_Вводные'!$B$74*BG4)</f>
        <v/>
      </c>
      <c r="BH5" s="40">
        <f>IF(COUNTIF('01_Вводные'!$B$98:$E$98,BH$3)&gt;0,SUMIF('01_Вводные'!$B$98:$E$98,BH$3,'01_Вводные'!$B$99:$E$99),'06_Сеть_и_дети'!BH19*'01_Вводные'!$B$74*BH4)</f>
        <v/>
      </c>
      <c r="BI5" s="40">
        <f>IF(COUNTIF('01_Вводные'!$B$98:$E$98,BI$3)&gt;0,SUMIF('01_Вводные'!$B$98:$E$98,BI$3,'01_Вводные'!$B$99:$E$99),'06_Сеть_и_дети'!BI19*'01_Вводные'!$B$74*BI4)</f>
        <v/>
      </c>
      <c r="BJ5" s="40">
        <f>IF(COUNTIF('01_Вводные'!$B$98:$E$98,BJ$3)&gt;0,SUMIF('01_Вводные'!$B$98:$E$98,BJ$3,'01_Вводные'!$B$99:$E$99),'06_Сеть_и_дети'!BJ19*'01_Вводные'!$B$74*BJ4)</f>
        <v/>
      </c>
      <c r="BK5" s="40">
        <f>IF(COUNTIF('01_Вводные'!$B$98:$E$98,BK$3)&gt;0,SUMIF('01_Вводные'!$B$98:$E$98,BK$3,'01_Вводные'!$B$99:$E$99),'06_Сеть_и_дети'!BK19*'01_Вводные'!$B$74*BK4)</f>
        <v/>
      </c>
      <c r="BL5" s="40">
        <f>IF(COUNTIF('01_Вводные'!$B$98:$E$98,BL$3)&gt;0,SUMIF('01_Вводные'!$B$98:$E$98,BL$3,'01_Вводные'!$B$99:$E$99),'06_Сеть_и_дети'!BL19*'01_Вводные'!$B$74*BL4)</f>
        <v/>
      </c>
      <c r="BM5" s="40">
        <f>IF(COUNTIF('01_Вводные'!$B$98:$E$98,BM$3)&gt;0,SUMIF('01_Вводные'!$B$98:$E$98,BM$3,'01_Вводные'!$B$99:$E$99),'06_Сеть_и_дети'!BM19*'01_Вводные'!$B$74*BM4)</f>
        <v/>
      </c>
      <c r="BN5" s="40">
        <f>IF(COUNTIF('01_Вводные'!$B$98:$E$98,BN$3)&gt;0,SUMIF('01_Вводные'!$B$98:$E$98,BN$3,'01_Вводные'!$B$99:$E$99),'06_Сеть_и_дети'!BN19*'01_Вводные'!$B$74*BN4)</f>
        <v/>
      </c>
      <c r="BO5" s="40">
        <f>IF(COUNTIF('01_Вводные'!$B$98:$E$98,BO$3)&gt;0,SUMIF('01_Вводные'!$B$98:$E$98,BO$3,'01_Вводные'!$B$99:$E$99),'06_Сеть_и_дети'!BO19*'01_Вводные'!$B$74*BO4)</f>
        <v/>
      </c>
    </row>
    <row r="6">
      <c r="A6" s="2" t="inlineStr">
        <is>
          <t>Действующая сеть — выручка с НДС</t>
        </is>
      </c>
      <c r="B6" s="40">
        <f>IF(COUNTIF('01_Вводные'!$B$98:$E$98,B$3)&gt;0,SUMIF('01_Вводные'!$B$98:$E$98,B$3,'01_Вводные'!$B$100:$E$100),B5*'18_Календарь_тарифы'!B10)</f>
        <v/>
      </c>
      <c r="C6" s="40">
        <f>IF(COUNTIF('01_Вводные'!$B$98:$E$98,C$3)&gt;0,SUMIF('01_Вводные'!$B$98:$E$98,C$3,'01_Вводные'!$B$100:$E$100),C5*'18_Календарь_тарифы'!C10)</f>
        <v/>
      </c>
      <c r="D6" s="40">
        <f>IF(COUNTIF('01_Вводные'!$B$98:$E$98,D$3)&gt;0,SUMIF('01_Вводные'!$B$98:$E$98,D$3,'01_Вводные'!$B$100:$E$100),D5*'18_Календарь_тарифы'!D10)</f>
        <v/>
      </c>
      <c r="E6" s="40">
        <f>IF(COUNTIF('01_Вводные'!$B$98:$E$98,E$3)&gt;0,SUMIF('01_Вводные'!$B$98:$E$98,E$3,'01_Вводные'!$B$100:$E$100),E5*'18_Календарь_тарифы'!E10)</f>
        <v/>
      </c>
      <c r="F6" s="185">
        <f>IF(COUNTIF('01_Вводные'!$B$98:$E$98,F$3)&gt;0,SUMIF('01_Вводные'!$B$98:$E$98,F$3,'01_Вводные'!$B$100:$E$100),F5*'18_Календарь_тарифы'!F10)</f>
        <v/>
      </c>
      <c r="G6" s="185">
        <f>IF(COUNTIF('01_Вводные'!$B$98:$E$98,G$3)&gt;0,SUMIF('01_Вводные'!$B$98:$E$98,G$3,'01_Вводные'!$B$100:$E$100),G5*'18_Календарь_тарифы'!G10)</f>
        <v/>
      </c>
      <c r="H6" s="185">
        <f>IF(COUNTIF('01_Вводные'!$B$98:$E$98,H$3)&gt;0,SUMIF('01_Вводные'!$B$98:$E$98,H$3,'01_Вводные'!$B$100:$E$100),H5*'18_Календарь_тарифы'!H10)</f>
        <v/>
      </c>
      <c r="I6" s="185">
        <f>IF(COUNTIF('01_Вводные'!$B$98:$E$98,I$3)&gt;0,SUMIF('01_Вводные'!$B$98:$E$98,I$3,'01_Вводные'!$B$100:$E$100),I5*'18_Календарь_тарифы'!I10)</f>
        <v/>
      </c>
      <c r="J6" s="185">
        <f>IF(COUNTIF('01_Вводные'!$B$98:$E$98,J$3)&gt;0,SUMIF('01_Вводные'!$B$98:$E$98,J$3,'01_Вводные'!$B$100:$E$100),J5*'18_Календарь_тарифы'!J10)</f>
        <v/>
      </c>
      <c r="K6" s="185">
        <f>IF(COUNTIF('01_Вводные'!$B$98:$E$98,K$3)&gt;0,SUMIF('01_Вводные'!$B$98:$E$98,K$3,'01_Вводные'!$B$100:$E$100),K5*'18_Календарь_тарифы'!K10)</f>
        <v/>
      </c>
      <c r="L6" s="185">
        <f>IF(COUNTIF('01_Вводные'!$B$98:$E$98,L$3)&gt;0,SUMIF('01_Вводные'!$B$98:$E$98,L$3,'01_Вводные'!$B$100:$E$100),L5*'18_Календарь_тарифы'!L10)</f>
        <v/>
      </c>
      <c r="M6" s="185">
        <f>IF(COUNTIF('01_Вводные'!$B$98:$E$98,M$3)&gt;0,SUMIF('01_Вводные'!$B$98:$E$98,M$3,'01_Вводные'!$B$100:$E$100),M5*'18_Календарь_тарифы'!M10)</f>
        <v/>
      </c>
      <c r="N6" s="185">
        <f>IF(COUNTIF('01_Вводные'!$B$98:$E$98,N$3)&gt;0,SUMIF('01_Вводные'!$B$98:$E$98,N$3,'01_Вводные'!$B$100:$E$100),N5*'18_Календарь_тарифы'!N10)</f>
        <v/>
      </c>
      <c r="O6" s="185">
        <f>IF(COUNTIF('01_Вводные'!$B$98:$E$98,O$3)&gt;0,SUMIF('01_Вводные'!$B$98:$E$98,O$3,'01_Вводные'!$B$100:$E$100),O5*'18_Календарь_тарифы'!O10)</f>
        <v/>
      </c>
      <c r="P6" s="185">
        <f>IF(COUNTIF('01_Вводные'!$B$98:$E$98,P$3)&gt;0,SUMIF('01_Вводные'!$B$98:$E$98,P$3,'01_Вводные'!$B$100:$E$100),P5*'18_Календарь_тарифы'!P10)</f>
        <v/>
      </c>
      <c r="Q6" s="185">
        <f>IF(COUNTIF('01_Вводные'!$B$98:$E$98,Q$3)&gt;0,SUMIF('01_Вводные'!$B$98:$E$98,Q$3,'01_Вводные'!$B$100:$E$100),Q5*'18_Календарь_тарифы'!Q10)</f>
        <v/>
      </c>
      <c r="R6" s="185">
        <f>IF(COUNTIF('01_Вводные'!$B$98:$E$98,R$3)&gt;0,SUMIF('01_Вводные'!$B$98:$E$98,R$3,'01_Вводные'!$B$100:$E$100),R5*'18_Календарь_тарифы'!R10)</f>
        <v/>
      </c>
      <c r="S6" s="185">
        <f>IF(COUNTIF('01_Вводные'!$B$98:$E$98,S$3)&gt;0,SUMIF('01_Вводные'!$B$98:$E$98,S$3,'01_Вводные'!$B$100:$E$100),S5*'18_Календарь_тарифы'!S10)</f>
        <v/>
      </c>
      <c r="T6" s="185">
        <f>IF(COUNTIF('01_Вводные'!$B$98:$E$98,T$3)&gt;0,SUMIF('01_Вводные'!$B$98:$E$98,T$3,'01_Вводные'!$B$100:$E$100),T5*'18_Календарь_тарифы'!T10)</f>
        <v/>
      </c>
      <c r="U6" s="185">
        <f>IF(COUNTIF('01_Вводные'!$B$98:$E$98,U$3)&gt;0,SUMIF('01_Вводные'!$B$98:$E$98,U$3,'01_Вводные'!$B$100:$E$100),U5*'18_Календарь_тарифы'!U10)</f>
        <v/>
      </c>
      <c r="V6" s="185">
        <f>IF(COUNTIF('01_Вводные'!$B$98:$E$98,V$3)&gt;0,SUMIF('01_Вводные'!$B$98:$E$98,V$3,'01_Вводные'!$B$100:$E$100),V5*'18_Календарь_тарифы'!V10)</f>
        <v/>
      </c>
      <c r="W6" s="185">
        <f>IF(COUNTIF('01_Вводные'!$B$98:$E$98,W$3)&gt;0,SUMIF('01_Вводные'!$B$98:$E$98,W$3,'01_Вводные'!$B$100:$E$100),W5*'18_Календарь_тарифы'!W10)</f>
        <v/>
      </c>
      <c r="X6" s="185">
        <f>IF(COUNTIF('01_Вводные'!$B$98:$E$98,X$3)&gt;0,SUMIF('01_Вводные'!$B$98:$E$98,X$3,'01_Вводные'!$B$100:$E$100),X5*'18_Календарь_тарифы'!X10)</f>
        <v/>
      </c>
      <c r="Y6" s="185">
        <f>IF(COUNTIF('01_Вводные'!$B$98:$E$98,Y$3)&gt;0,SUMIF('01_Вводные'!$B$98:$E$98,Y$3,'01_Вводные'!$B$100:$E$100),Y5*'18_Календарь_тарифы'!Y10)</f>
        <v/>
      </c>
      <c r="Z6" s="185">
        <f>IF(COUNTIF('01_Вводные'!$B$98:$E$98,Z$3)&gt;0,SUMIF('01_Вводные'!$B$98:$E$98,Z$3,'01_Вводные'!$B$100:$E$100),Z5*'18_Календарь_тарифы'!Z10)</f>
        <v/>
      </c>
      <c r="AA6" s="185">
        <f>IF(COUNTIF('01_Вводные'!$B$98:$E$98,AA$3)&gt;0,SUMIF('01_Вводные'!$B$98:$E$98,AA$3,'01_Вводные'!$B$100:$E$100),AA5*'18_Календарь_тарифы'!AA10)</f>
        <v/>
      </c>
      <c r="AB6" s="185">
        <f>IF(COUNTIF('01_Вводные'!$B$98:$E$98,AB$3)&gt;0,SUMIF('01_Вводные'!$B$98:$E$98,AB$3,'01_Вводные'!$B$100:$E$100),AB5*'18_Календарь_тарифы'!AB10)</f>
        <v/>
      </c>
      <c r="AC6" s="185">
        <f>IF(COUNTIF('01_Вводные'!$B$98:$E$98,AC$3)&gt;0,SUMIF('01_Вводные'!$B$98:$E$98,AC$3,'01_Вводные'!$B$100:$E$100),AC5*'18_Календарь_тарифы'!AC10)</f>
        <v/>
      </c>
      <c r="AD6" s="185">
        <f>IF(COUNTIF('01_Вводные'!$B$98:$E$98,AD$3)&gt;0,SUMIF('01_Вводные'!$B$98:$E$98,AD$3,'01_Вводные'!$B$100:$E$100),AD5*'18_Календарь_тарифы'!AD10)</f>
        <v/>
      </c>
      <c r="AE6" s="185">
        <f>IF(COUNTIF('01_Вводные'!$B$98:$E$98,AE$3)&gt;0,SUMIF('01_Вводные'!$B$98:$E$98,AE$3,'01_Вводные'!$B$100:$E$100),AE5*'18_Календарь_тарифы'!AE10)</f>
        <v/>
      </c>
      <c r="AF6" s="185">
        <f>IF(COUNTIF('01_Вводные'!$B$98:$E$98,AF$3)&gt;0,SUMIF('01_Вводные'!$B$98:$E$98,AF$3,'01_Вводные'!$B$100:$E$100),AF5*'18_Календарь_тарифы'!AF10)</f>
        <v/>
      </c>
      <c r="AG6" s="185">
        <f>IF(COUNTIF('01_Вводные'!$B$98:$E$98,AG$3)&gt;0,SUMIF('01_Вводные'!$B$98:$E$98,AG$3,'01_Вводные'!$B$100:$E$100),AG5*'18_Календарь_тарифы'!AG10)</f>
        <v/>
      </c>
      <c r="AH6" s="185">
        <f>IF(COUNTIF('01_Вводные'!$B$98:$E$98,AH$3)&gt;0,SUMIF('01_Вводные'!$B$98:$E$98,AH$3,'01_Вводные'!$B$100:$E$100),AH5*'18_Календарь_тарифы'!AH10)</f>
        <v/>
      </c>
      <c r="AI6" s="185">
        <f>IF(COUNTIF('01_Вводные'!$B$98:$E$98,AI$3)&gt;0,SUMIF('01_Вводные'!$B$98:$E$98,AI$3,'01_Вводные'!$B$100:$E$100),AI5*'18_Календарь_тарифы'!AI10)</f>
        <v/>
      </c>
      <c r="AJ6" s="185">
        <f>IF(COUNTIF('01_Вводные'!$B$98:$E$98,AJ$3)&gt;0,SUMIF('01_Вводные'!$B$98:$E$98,AJ$3,'01_Вводные'!$B$100:$E$100),AJ5*'18_Календарь_тарифы'!AJ10)</f>
        <v/>
      </c>
      <c r="AK6" s="185">
        <f>IF(COUNTIF('01_Вводные'!$B$98:$E$98,AK$3)&gt;0,SUMIF('01_Вводные'!$B$98:$E$98,AK$3,'01_Вводные'!$B$100:$E$100),AK5*'18_Календарь_тарифы'!AK10)</f>
        <v/>
      </c>
      <c r="AL6" s="185">
        <f>IF(COUNTIF('01_Вводные'!$B$98:$E$98,AL$3)&gt;0,SUMIF('01_Вводные'!$B$98:$E$98,AL$3,'01_Вводные'!$B$100:$E$100),AL5*'18_Календарь_тарифы'!AL10)</f>
        <v/>
      </c>
      <c r="AM6" s="185">
        <f>IF(COUNTIF('01_Вводные'!$B$98:$E$98,AM$3)&gt;0,SUMIF('01_Вводные'!$B$98:$E$98,AM$3,'01_Вводные'!$B$100:$E$100),AM5*'18_Календарь_тарифы'!AM10)</f>
        <v/>
      </c>
      <c r="AN6" s="185">
        <f>IF(COUNTIF('01_Вводные'!$B$98:$E$98,AN$3)&gt;0,SUMIF('01_Вводные'!$B$98:$E$98,AN$3,'01_Вводные'!$B$100:$E$100),AN5*'18_Календарь_тарифы'!AN10)</f>
        <v/>
      </c>
      <c r="AO6" s="185">
        <f>IF(COUNTIF('01_Вводные'!$B$98:$E$98,AO$3)&gt;0,SUMIF('01_Вводные'!$B$98:$E$98,AO$3,'01_Вводные'!$B$100:$E$100),AO5*'18_Календарь_тарифы'!AO10)</f>
        <v/>
      </c>
      <c r="AP6" s="185">
        <f>IF(COUNTIF('01_Вводные'!$B$98:$E$98,AP$3)&gt;0,SUMIF('01_Вводные'!$B$98:$E$98,AP$3,'01_Вводные'!$B$100:$E$100),AP5*'18_Календарь_тарифы'!AP10)</f>
        <v/>
      </c>
      <c r="AQ6" s="185">
        <f>IF(COUNTIF('01_Вводные'!$B$98:$E$98,AQ$3)&gt;0,SUMIF('01_Вводные'!$B$98:$E$98,AQ$3,'01_Вводные'!$B$100:$E$100),AQ5*'18_Календарь_тарифы'!AQ10)</f>
        <v/>
      </c>
      <c r="AR6" s="185">
        <f>IF(COUNTIF('01_Вводные'!$B$98:$E$98,AR$3)&gt;0,SUMIF('01_Вводные'!$B$98:$E$98,AR$3,'01_Вводные'!$B$100:$E$100),AR5*'18_Календарь_тарифы'!AR10)</f>
        <v/>
      </c>
      <c r="AS6" s="185">
        <f>IF(COUNTIF('01_Вводные'!$B$98:$E$98,AS$3)&gt;0,SUMIF('01_Вводные'!$B$98:$E$98,AS$3,'01_Вводные'!$B$100:$E$100),AS5*'18_Календарь_тарифы'!AS10)</f>
        <v/>
      </c>
      <c r="AT6" s="185">
        <f>IF(COUNTIF('01_Вводные'!$B$98:$E$98,AT$3)&gt;0,SUMIF('01_Вводные'!$B$98:$E$98,AT$3,'01_Вводные'!$B$100:$E$100),AT5*'18_Календарь_тарифы'!AT10)</f>
        <v/>
      </c>
      <c r="AU6" s="185">
        <f>IF(COUNTIF('01_Вводные'!$B$98:$E$98,AU$3)&gt;0,SUMIF('01_Вводные'!$B$98:$E$98,AU$3,'01_Вводные'!$B$100:$E$100),AU5*'18_Календарь_тарифы'!AU10)</f>
        <v/>
      </c>
      <c r="AV6" s="185">
        <f>IF(COUNTIF('01_Вводные'!$B$98:$E$98,AV$3)&gt;0,SUMIF('01_Вводные'!$B$98:$E$98,AV$3,'01_Вводные'!$B$100:$E$100),AV5*'18_Календарь_тарифы'!AV10)</f>
        <v/>
      </c>
      <c r="AW6" s="185">
        <f>IF(COUNTIF('01_Вводные'!$B$98:$E$98,AW$3)&gt;0,SUMIF('01_Вводные'!$B$98:$E$98,AW$3,'01_Вводные'!$B$100:$E$100),AW5*'18_Календарь_тарифы'!AW10)</f>
        <v/>
      </c>
      <c r="AX6" s="185">
        <f>IF(COUNTIF('01_Вводные'!$B$98:$E$98,AX$3)&gt;0,SUMIF('01_Вводные'!$B$98:$E$98,AX$3,'01_Вводные'!$B$100:$E$100),AX5*'18_Календарь_тарифы'!AX10)</f>
        <v/>
      </c>
      <c r="AY6" s="185">
        <f>IF(COUNTIF('01_Вводные'!$B$98:$E$98,AY$3)&gt;0,SUMIF('01_Вводные'!$B$98:$E$98,AY$3,'01_Вводные'!$B$100:$E$100),AY5*'18_Календарь_тарифы'!AY10)</f>
        <v/>
      </c>
      <c r="AZ6" s="185">
        <f>IF(COUNTIF('01_Вводные'!$B$98:$E$98,AZ$3)&gt;0,SUMIF('01_Вводные'!$B$98:$E$98,AZ$3,'01_Вводные'!$B$100:$E$100),AZ5*'18_Календарь_тарифы'!AZ10)</f>
        <v/>
      </c>
      <c r="BA6" s="185">
        <f>IF(COUNTIF('01_Вводные'!$B$98:$E$98,BA$3)&gt;0,SUMIF('01_Вводные'!$B$98:$E$98,BA$3,'01_Вводные'!$B$100:$E$100),BA5*'18_Календарь_тарифы'!BA10)</f>
        <v/>
      </c>
      <c r="BB6" s="185">
        <f>IF(COUNTIF('01_Вводные'!$B$98:$E$98,BB$3)&gt;0,SUMIF('01_Вводные'!$B$98:$E$98,BB$3,'01_Вводные'!$B$100:$E$100),BB5*'18_Календарь_тарифы'!BB10)</f>
        <v/>
      </c>
      <c r="BC6" s="185">
        <f>IF(COUNTIF('01_Вводные'!$B$98:$E$98,BC$3)&gt;0,SUMIF('01_Вводные'!$B$98:$E$98,BC$3,'01_Вводные'!$B$100:$E$100),BC5*'18_Календарь_тарифы'!BC10)</f>
        <v/>
      </c>
      <c r="BD6" s="185">
        <f>IF(COUNTIF('01_Вводные'!$B$98:$E$98,BD$3)&gt;0,SUMIF('01_Вводные'!$B$98:$E$98,BD$3,'01_Вводные'!$B$100:$E$100),BD5*'18_Календарь_тарифы'!BD10)</f>
        <v/>
      </c>
      <c r="BE6" s="185">
        <f>IF(COUNTIF('01_Вводные'!$B$98:$E$98,BE$3)&gt;0,SUMIF('01_Вводные'!$B$98:$E$98,BE$3,'01_Вводные'!$B$100:$E$100),BE5*'18_Календарь_тарифы'!BE10)</f>
        <v/>
      </c>
      <c r="BF6" s="185">
        <f>IF(COUNTIF('01_Вводные'!$B$98:$E$98,BF$3)&gt;0,SUMIF('01_Вводные'!$B$98:$E$98,BF$3,'01_Вводные'!$B$100:$E$100),BF5*'18_Календарь_тарифы'!BF10)</f>
        <v/>
      </c>
      <c r="BG6" s="185">
        <f>IF(COUNTIF('01_Вводные'!$B$98:$E$98,BG$3)&gt;0,SUMIF('01_Вводные'!$B$98:$E$98,BG$3,'01_Вводные'!$B$100:$E$100),BG5*'18_Календарь_тарифы'!BG10)</f>
        <v/>
      </c>
      <c r="BH6" s="185">
        <f>IF(COUNTIF('01_Вводные'!$B$98:$E$98,BH$3)&gt;0,SUMIF('01_Вводные'!$B$98:$E$98,BH$3,'01_Вводные'!$B$100:$E$100),BH5*'18_Календарь_тарифы'!BH10)</f>
        <v/>
      </c>
      <c r="BI6" s="185">
        <f>IF(COUNTIF('01_Вводные'!$B$98:$E$98,BI$3)&gt;0,SUMIF('01_Вводные'!$B$98:$E$98,BI$3,'01_Вводные'!$B$100:$E$100),BI5*'18_Календарь_тарифы'!BI10)</f>
        <v/>
      </c>
      <c r="BJ6" s="185">
        <f>IF(COUNTIF('01_Вводные'!$B$98:$E$98,BJ$3)&gt;0,SUMIF('01_Вводные'!$B$98:$E$98,BJ$3,'01_Вводные'!$B$100:$E$100),BJ5*'18_Календарь_тарифы'!BJ10)</f>
        <v/>
      </c>
      <c r="BK6" s="185">
        <f>IF(COUNTIF('01_Вводные'!$B$98:$E$98,BK$3)&gt;0,SUMIF('01_Вводные'!$B$98:$E$98,BK$3,'01_Вводные'!$B$100:$E$100),BK5*'18_Календарь_тарифы'!BK10)</f>
        <v/>
      </c>
      <c r="BL6" s="185">
        <f>IF(COUNTIF('01_Вводные'!$B$98:$E$98,BL$3)&gt;0,SUMIF('01_Вводные'!$B$98:$E$98,BL$3,'01_Вводные'!$B$100:$E$100),BL5*'18_Календарь_тарифы'!BL10)</f>
        <v/>
      </c>
      <c r="BM6" s="185">
        <f>IF(COUNTIF('01_Вводные'!$B$98:$E$98,BM$3)&gt;0,SUMIF('01_Вводные'!$B$98:$E$98,BM$3,'01_Вводные'!$B$100:$E$100),BM5*'18_Календарь_тарифы'!BM10)</f>
        <v/>
      </c>
      <c r="BN6" s="185">
        <f>IF(COUNTIF('01_Вводные'!$B$98:$E$98,BN$3)&gt;0,SUMIF('01_Вводные'!$B$98:$E$98,BN$3,'01_Вводные'!$B$100:$E$100),BN5*'18_Календарь_тарифы'!BN10)</f>
        <v/>
      </c>
      <c r="BO6" s="185">
        <f>IF(COUNTIF('01_Вводные'!$B$98:$E$98,BO$3)&gt;0,SUMIF('01_Вводные'!$B$98:$E$98,BO$3,'01_Вводные'!$B$100:$E$100),BO5*'18_Календарь_тарифы'!BO10)</f>
        <v/>
      </c>
    </row>
    <row r="7">
      <c r="A7" s="2" t="inlineStr">
        <is>
          <t>Действующая сеть — COGS</t>
        </is>
      </c>
      <c r="B7" s="40">
        <f>IF(COUNTIF('01_Вводные'!$B$98:$E$98,B$3)&gt;0,SUMIF('01_Вводные'!$B$98:$E$98,B$3,'01_Вводные'!$B$101:$E$101),B5*'18_Календарь_тарифы'!B9)</f>
        <v/>
      </c>
      <c r="C7" s="40">
        <f>IF(COUNTIF('01_Вводные'!$B$98:$E$98,C$3)&gt;0,SUMIF('01_Вводные'!$B$98:$E$98,C$3,'01_Вводные'!$B$101:$E$101),C5*'18_Календарь_тарифы'!C9)</f>
        <v/>
      </c>
      <c r="D7" s="40">
        <f>IF(COUNTIF('01_Вводные'!$B$98:$E$98,D$3)&gt;0,SUMIF('01_Вводные'!$B$98:$E$98,D$3,'01_Вводные'!$B$101:$E$101),D5*'18_Календарь_тарифы'!D9)</f>
        <v/>
      </c>
      <c r="E7" s="40">
        <f>IF(COUNTIF('01_Вводные'!$B$98:$E$98,E$3)&gt;0,SUMIF('01_Вводные'!$B$98:$E$98,E$3,'01_Вводные'!$B$101:$E$101),E5*'18_Календарь_тарифы'!E9)</f>
        <v/>
      </c>
      <c r="F7" s="185">
        <f>IF(COUNTIF('01_Вводные'!$B$98:$E$98,F$3)&gt;0,SUMIF('01_Вводные'!$B$98:$E$98,F$3,'01_Вводные'!$B$101:$E$101),F5*'18_Календарь_тарифы'!F9)</f>
        <v/>
      </c>
      <c r="G7" s="185">
        <f>IF(COUNTIF('01_Вводные'!$B$98:$E$98,G$3)&gt;0,SUMIF('01_Вводные'!$B$98:$E$98,G$3,'01_Вводные'!$B$101:$E$101),G5*'18_Календарь_тарифы'!G9)</f>
        <v/>
      </c>
      <c r="H7" s="185">
        <f>IF(COUNTIF('01_Вводные'!$B$98:$E$98,H$3)&gt;0,SUMIF('01_Вводные'!$B$98:$E$98,H$3,'01_Вводные'!$B$101:$E$101),H5*'18_Календарь_тарифы'!H9)</f>
        <v/>
      </c>
      <c r="I7" s="185">
        <f>IF(COUNTIF('01_Вводные'!$B$98:$E$98,I$3)&gt;0,SUMIF('01_Вводные'!$B$98:$E$98,I$3,'01_Вводные'!$B$101:$E$101),I5*'18_Календарь_тарифы'!I9)</f>
        <v/>
      </c>
      <c r="J7" s="185">
        <f>IF(COUNTIF('01_Вводные'!$B$98:$E$98,J$3)&gt;0,SUMIF('01_Вводные'!$B$98:$E$98,J$3,'01_Вводные'!$B$101:$E$101),J5*'18_Календарь_тарифы'!J9)</f>
        <v/>
      </c>
      <c r="K7" s="185">
        <f>IF(COUNTIF('01_Вводные'!$B$98:$E$98,K$3)&gt;0,SUMIF('01_Вводные'!$B$98:$E$98,K$3,'01_Вводные'!$B$101:$E$101),K5*'18_Календарь_тарифы'!K9)</f>
        <v/>
      </c>
      <c r="L7" s="185">
        <f>IF(COUNTIF('01_Вводные'!$B$98:$E$98,L$3)&gt;0,SUMIF('01_Вводные'!$B$98:$E$98,L$3,'01_Вводные'!$B$101:$E$101),L5*'18_Календарь_тарифы'!L9)</f>
        <v/>
      </c>
      <c r="M7" s="185">
        <f>IF(COUNTIF('01_Вводные'!$B$98:$E$98,M$3)&gt;0,SUMIF('01_Вводные'!$B$98:$E$98,M$3,'01_Вводные'!$B$101:$E$101),M5*'18_Календарь_тарифы'!M9)</f>
        <v/>
      </c>
      <c r="N7" s="185">
        <f>IF(COUNTIF('01_Вводные'!$B$98:$E$98,N$3)&gt;0,SUMIF('01_Вводные'!$B$98:$E$98,N$3,'01_Вводные'!$B$101:$E$101),N5*'18_Календарь_тарифы'!N9)</f>
        <v/>
      </c>
      <c r="O7" s="185">
        <f>IF(COUNTIF('01_Вводные'!$B$98:$E$98,O$3)&gt;0,SUMIF('01_Вводные'!$B$98:$E$98,O$3,'01_Вводные'!$B$101:$E$101),O5*'18_Календарь_тарифы'!O9)</f>
        <v/>
      </c>
      <c r="P7" s="185">
        <f>IF(COUNTIF('01_Вводные'!$B$98:$E$98,P$3)&gt;0,SUMIF('01_Вводные'!$B$98:$E$98,P$3,'01_Вводные'!$B$101:$E$101),P5*'18_Календарь_тарифы'!P9)</f>
        <v/>
      </c>
      <c r="Q7" s="185">
        <f>IF(COUNTIF('01_Вводные'!$B$98:$E$98,Q$3)&gt;0,SUMIF('01_Вводные'!$B$98:$E$98,Q$3,'01_Вводные'!$B$101:$E$101),Q5*'18_Календарь_тарифы'!Q9)</f>
        <v/>
      </c>
      <c r="R7" s="185">
        <f>IF(COUNTIF('01_Вводные'!$B$98:$E$98,R$3)&gt;0,SUMIF('01_Вводные'!$B$98:$E$98,R$3,'01_Вводные'!$B$101:$E$101),R5*'18_Календарь_тарифы'!R9)</f>
        <v/>
      </c>
      <c r="S7" s="185">
        <f>IF(COUNTIF('01_Вводные'!$B$98:$E$98,S$3)&gt;0,SUMIF('01_Вводные'!$B$98:$E$98,S$3,'01_Вводные'!$B$101:$E$101),S5*'18_Календарь_тарифы'!S9)</f>
        <v/>
      </c>
      <c r="T7" s="185">
        <f>IF(COUNTIF('01_Вводные'!$B$98:$E$98,T$3)&gt;0,SUMIF('01_Вводные'!$B$98:$E$98,T$3,'01_Вводные'!$B$101:$E$101),T5*'18_Календарь_тарифы'!T9)</f>
        <v/>
      </c>
      <c r="U7" s="185">
        <f>IF(COUNTIF('01_Вводные'!$B$98:$E$98,U$3)&gt;0,SUMIF('01_Вводные'!$B$98:$E$98,U$3,'01_Вводные'!$B$101:$E$101),U5*'18_Календарь_тарифы'!U9)</f>
        <v/>
      </c>
      <c r="V7" s="185">
        <f>IF(COUNTIF('01_Вводные'!$B$98:$E$98,V$3)&gt;0,SUMIF('01_Вводные'!$B$98:$E$98,V$3,'01_Вводные'!$B$101:$E$101),V5*'18_Календарь_тарифы'!V9)</f>
        <v/>
      </c>
      <c r="W7" s="185">
        <f>IF(COUNTIF('01_Вводные'!$B$98:$E$98,W$3)&gt;0,SUMIF('01_Вводные'!$B$98:$E$98,W$3,'01_Вводные'!$B$101:$E$101),W5*'18_Календарь_тарифы'!W9)</f>
        <v/>
      </c>
      <c r="X7" s="185">
        <f>IF(COUNTIF('01_Вводные'!$B$98:$E$98,X$3)&gt;0,SUMIF('01_Вводные'!$B$98:$E$98,X$3,'01_Вводные'!$B$101:$E$101),X5*'18_Календарь_тарифы'!X9)</f>
        <v/>
      </c>
      <c r="Y7" s="185">
        <f>IF(COUNTIF('01_Вводные'!$B$98:$E$98,Y$3)&gt;0,SUMIF('01_Вводные'!$B$98:$E$98,Y$3,'01_Вводные'!$B$101:$E$101),Y5*'18_Календарь_тарифы'!Y9)</f>
        <v/>
      </c>
      <c r="Z7" s="185">
        <f>IF(COUNTIF('01_Вводные'!$B$98:$E$98,Z$3)&gt;0,SUMIF('01_Вводные'!$B$98:$E$98,Z$3,'01_Вводные'!$B$101:$E$101),Z5*'18_Календарь_тарифы'!Z9)</f>
        <v/>
      </c>
      <c r="AA7" s="185">
        <f>IF(COUNTIF('01_Вводные'!$B$98:$E$98,AA$3)&gt;0,SUMIF('01_Вводные'!$B$98:$E$98,AA$3,'01_Вводные'!$B$101:$E$101),AA5*'18_Календарь_тарифы'!AA9)</f>
        <v/>
      </c>
      <c r="AB7" s="185">
        <f>IF(COUNTIF('01_Вводные'!$B$98:$E$98,AB$3)&gt;0,SUMIF('01_Вводные'!$B$98:$E$98,AB$3,'01_Вводные'!$B$101:$E$101),AB5*'18_Календарь_тарифы'!AB9)</f>
        <v/>
      </c>
      <c r="AC7" s="185">
        <f>IF(COUNTIF('01_Вводные'!$B$98:$E$98,AC$3)&gt;0,SUMIF('01_Вводные'!$B$98:$E$98,AC$3,'01_Вводные'!$B$101:$E$101),AC5*'18_Календарь_тарифы'!AC9)</f>
        <v/>
      </c>
      <c r="AD7" s="185">
        <f>IF(COUNTIF('01_Вводные'!$B$98:$E$98,AD$3)&gt;0,SUMIF('01_Вводные'!$B$98:$E$98,AD$3,'01_Вводные'!$B$101:$E$101),AD5*'18_Календарь_тарифы'!AD9)</f>
        <v/>
      </c>
      <c r="AE7" s="185">
        <f>IF(COUNTIF('01_Вводные'!$B$98:$E$98,AE$3)&gt;0,SUMIF('01_Вводные'!$B$98:$E$98,AE$3,'01_Вводные'!$B$101:$E$101),AE5*'18_Календарь_тарифы'!AE9)</f>
        <v/>
      </c>
      <c r="AF7" s="185">
        <f>IF(COUNTIF('01_Вводные'!$B$98:$E$98,AF$3)&gt;0,SUMIF('01_Вводные'!$B$98:$E$98,AF$3,'01_Вводные'!$B$101:$E$101),AF5*'18_Календарь_тарифы'!AF9)</f>
        <v/>
      </c>
      <c r="AG7" s="185">
        <f>IF(COUNTIF('01_Вводные'!$B$98:$E$98,AG$3)&gt;0,SUMIF('01_Вводные'!$B$98:$E$98,AG$3,'01_Вводные'!$B$101:$E$101),AG5*'18_Календарь_тарифы'!AG9)</f>
        <v/>
      </c>
      <c r="AH7" s="185">
        <f>IF(COUNTIF('01_Вводные'!$B$98:$E$98,AH$3)&gt;0,SUMIF('01_Вводные'!$B$98:$E$98,AH$3,'01_Вводные'!$B$101:$E$101),AH5*'18_Календарь_тарифы'!AH9)</f>
        <v/>
      </c>
      <c r="AI7" s="185">
        <f>IF(COUNTIF('01_Вводные'!$B$98:$E$98,AI$3)&gt;0,SUMIF('01_Вводные'!$B$98:$E$98,AI$3,'01_Вводные'!$B$101:$E$101),AI5*'18_Календарь_тарифы'!AI9)</f>
        <v/>
      </c>
      <c r="AJ7" s="185">
        <f>IF(COUNTIF('01_Вводные'!$B$98:$E$98,AJ$3)&gt;0,SUMIF('01_Вводные'!$B$98:$E$98,AJ$3,'01_Вводные'!$B$101:$E$101),AJ5*'18_Календарь_тарифы'!AJ9)</f>
        <v/>
      </c>
      <c r="AK7" s="185">
        <f>IF(COUNTIF('01_Вводные'!$B$98:$E$98,AK$3)&gt;0,SUMIF('01_Вводные'!$B$98:$E$98,AK$3,'01_Вводные'!$B$101:$E$101),AK5*'18_Календарь_тарифы'!AK9)</f>
        <v/>
      </c>
      <c r="AL7" s="185">
        <f>IF(COUNTIF('01_Вводные'!$B$98:$E$98,AL$3)&gt;0,SUMIF('01_Вводные'!$B$98:$E$98,AL$3,'01_Вводные'!$B$101:$E$101),AL5*'18_Календарь_тарифы'!AL9)</f>
        <v/>
      </c>
      <c r="AM7" s="185">
        <f>IF(COUNTIF('01_Вводные'!$B$98:$E$98,AM$3)&gt;0,SUMIF('01_Вводные'!$B$98:$E$98,AM$3,'01_Вводные'!$B$101:$E$101),AM5*'18_Календарь_тарифы'!AM9)</f>
        <v/>
      </c>
      <c r="AN7" s="185">
        <f>IF(COUNTIF('01_Вводные'!$B$98:$E$98,AN$3)&gt;0,SUMIF('01_Вводные'!$B$98:$E$98,AN$3,'01_Вводные'!$B$101:$E$101),AN5*'18_Календарь_тарифы'!AN9)</f>
        <v/>
      </c>
      <c r="AO7" s="185">
        <f>IF(COUNTIF('01_Вводные'!$B$98:$E$98,AO$3)&gt;0,SUMIF('01_Вводные'!$B$98:$E$98,AO$3,'01_Вводные'!$B$101:$E$101),AO5*'18_Календарь_тарифы'!AO9)</f>
        <v/>
      </c>
      <c r="AP7" s="185">
        <f>IF(COUNTIF('01_Вводные'!$B$98:$E$98,AP$3)&gt;0,SUMIF('01_Вводные'!$B$98:$E$98,AP$3,'01_Вводные'!$B$101:$E$101),AP5*'18_Календарь_тарифы'!AP9)</f>
        <v/>
      </c>
      <c r="AQ7" s="185">
        <f>IF(COUNTIF('01_Вводные'!$B$98:$E$98,AQ$3)&gt;0,SUMIF('01_Вводные'!$B$98:$E$98,AQ$3,'01_Вводные'!$B$101:$E$101),AQ5*'18_Календарь_тарифы'!AQ9)</f>
        <v/>
      </c>
      <c r="AR7" s="185">
        <f>IF(COUNTIF('01_Вводные'!$B$98:$E$98,AR$3)&gt;0,SUMIF('01_Вводные'!$B$98:$E$98,AR$3,'01_Вводные'!$B$101:$E$101),AR5*'18_Календарь_тарифы'!AR9)</f>
        <v/>
      </c>
      <c r="AS7" s="185">
        <f>IF(COUNTIF('01_Вводные'!$B$98:$E$98,AS$3)&gt;0,SUMIF('01_Вводные'!$B$98:$E$98,AS$3,'01_Вводные'!$B$101:$E$101),AS5*'18_Календарь_тарифы'!AS9)</f>
        <v/>
      </c>
      <c r="AT7" s="185">
        <f>IF(COUNTIF('01_Вводные'!$B$98:$E$98,AT$3)&gt;0,SUMIF('01_Вводные'!$B$98:$E$98,AT$3,'01_Вводные'!$B$101:$E$101),AT5*'18_Календарь_тарифы'!AT9)</f>
        <v/>
      </c>
      <c r="AU7" s="185">
        <f>IF(COUNTIF('01_Вводные'!$B$98:$E$98,AU$3)&gt;0,SUMIF('01_Вводные'!$B$98:$E$98,AU$3,'01_Вводные'!$B$101:$E$101),AU5*'18_Календарь_тарифы'!AU9)</f>
        <v/>
      </c>
      <c r="AV7" s="185">
        <f>IF(COUNTIF('01_Вводные'!$B$98:$E$98,AV$3)&gt;0,SUMIF('01_Вводные'!$B$98:$E$98,AV$3,'01_Вводные'!$B$101:$E$101),AV5*'18_Календарь_тарифы'!AV9)</f>
        <v/>
      </c>
      <c r="AW7" s="185">
        <f>IF(COUNTIF('01_Вводные'!$B$98:$E$98,AW$3)&gt;0,SUMIF('01_Вводные'!$B$98:$E$98,AW$3,'01_Вводные'!$B$101:$E$101),AW5*'18_Календарь_тарифы'!AW9)</f>
        <v/>
      </c>
      <c r="AX7" s="185">
        <f>IF(COUNTIF('01_Вводные'!$B$98:$E$98,AX$3)&gt;0,SUMIF('01_Вводные'!$B$98:$E$98,AX$3,'01_Вводные'!$B$101:$E$101),AX5*'18_Календарь_тарифы'!AX9)</f>
        <v/>
      </c>
      <c r="AY7" s="185">
        <f>IF(COUNTIF('01_Вводные'!$B$98:$E$98,AY$3)&gt;0,SUMIF('01_Вводные'!$B$98:$E$98,AY$3,'01_Вводные'!$B$101:$E$101),AY5*'18_Календарь_тарифы'!AY9)</f>
        <v/>
      </c>
      <c r="AZ7" s="185">
        <f>IF(COUNTIF('01_Вводные'!$B$98:$E$98,AZ$3)&gt;0,SUMIF('01_Вводные'!$B$98:$E$98,AZ$3,'01_Вводные'!$B$101:$E$101),AZ5*'18_Календарь_тарифы'!AZ9)</f>
        <v/>
      </c>
      <c r="BA7" s="185">
        <f>IF(COUNTIF('01_Вводные'!$B$98:$E$98,BA$3)&gt;0,SUMIF('01_Вводные'!$B$98:$E$98,BA$3,'01_Вводные'!$B$101:$E$101),BA5*'18_Календарь_тарифы'!BA9)</f>
        <v/>
      </c>
      <c r="BB7" s="185">
        <f>IF(COUNTIF('01_Вводные'!$B$98:$E$98,BB$3)&gt;0,SUMIF('01_Вводные'!$B$98:$E$98,BB$3,'01_Вводные'!$B$101:$E$101),BB5*'18_Календарь_тарифы'!BB9)</f>
        <v/>
      </c>
      <c r="BC7" s="185">
        <f>IF(COUNTIF('01_Вводные'!$B$98:$E$98,BC$3)&gt;0,SUMIF('01_Вводные'!$B$98:$E$98,BC$3,'01_Вводные'!$B$101:$E$101),BC5*'18_Календарь_тарифы'!BC9)</f>
        <v/>
      </c>
      <c r="BD7" s="185">
        <f>IF(COUNTIF('01_Вводные'!$B$98:$E$98,BD$3)&gt;0,SUMIF('01_Вводные'!$B$98:$E$98,BD$3,'01_Вводные'!$B$101:$E$101),BD5*'18_Календарь_тарифы'!BD9)</f>
        <v/>
      </c>
      <c r="BE7" s="185">
        <f>IF(COUNTIF('01_Вводные'!$B$98:$E$98,BE$3)&gt;0,SUMIF('01_Вводные'!$B$98:$E$98,BE$3,'01_Вводные'!$B$101:$E$101),BE5*'18_Календарь_тарифы'!BE9)</f>
        <v/>
      </c>
      <c r="BF7" s="185">
        <f>IF(COUNTIF('01_Вводные'!$B$98:$E$98,BF$3)&gt;0,SUMIF('01_Вводные'!$B$98:$E$98,BF$3,'01_Вводные'!$B$101:$E$101),BF5*'18_Календарь_тарифы'!BF9)</f>
        <v/>
      </c>
      <c r="BG7" s="185">
        <f>IF(COUNTIF('01_Вводные'!$B$98:$E$98,BG$3)&gt;0,SUMIF('01_Вводные'!$B$98:$E$98,BG$3,'01_Вводные'!$B$101:$E$101),BG5*'18_Календарь_тарифы'!BG9)</f>
        <v/>
      </c>
      <c r="BH7" s="185">
        <f>IF(COUNTIF('01_Вводные'!$B$98:$E$98,BH$3)&gt;0,SUMIF('01_Вводные'!$B$98:$E$98,BH$3,'01_Вводные'!$B$101:$E$101),BH5*'18_Календарь_тарифы'!BH9)</f>
        <v/>
      </c>
      <c r="BI7" s="185">
        <f>IF(COUNTIF('01_Вводные'!$B$98:$E$98,BI$3)&gt;0,SUMIF('01_Вводные'!$B$98:$E$98,BI$3,'01_Вводные'!$B$101:$E$101),BI5*'18_Календарь_тарифы'!BI9)</f>
        <v/>
      </c>
      <c r="BJ7" s="185">
        <f>IF(COUNTIF('01_Вводные'!$B$98:$E$98,BJ$3)&gt;0,SUMIF('01_Вводные'!$B$98:$E$98,BJ$3,'01_Вводные'!$B$101:$E$101),BJ5*'18_Календарь_тарифы'!BJ9)</f>
        <v/>
      </c>
      <c r="BK7" s="185">
        <f>IF(COUNTIF('01_Вводные'!$B$98:$E$98,BK$3)&gt;0,SUMIF('01_Вводные'!$B$98:$E$98,BK$3,'01_Вводные'!$B$101:$E$101),BK5*'18_Календарь_тарифы'!BK9)</f>
        <v/>
      </c>
      <c r="BL7" s="185">
        <f>IF(COUNTIF('01_Вводные'!$B$98:$E$98,BL$3)&gt;0,SUMIF('01_Вводные'!$B$98:$E$98,BL$3,'01_Вводные'!$B$101:$E$101),BL5*'18_Календарь_тарифы'!BL9)</f>
        <v/>
      </c>
      <c r="BM7" s="185">
        <f>IF(COUNTIF('01_Вводные'!$B$98:$E$98,BM$3)&gt;0,SUMIF('01_Вводные'!$B$98:$E$98,BM$3,'01_Вводные'!$B$101:$E$101),BM5*'18_Календарь_тарифы'!BM9)</f>
        <v/>
      </c>
      <c r="BN7" s="185">
        <f>IF(COUNTIF('01_Вводные'!$B$98:$E$98,BN$3)&gt;0,SUMIF('01_Вводные'!$B$98:$E$98,BN$3,'01_Вводные'!$B$101:$E$101),BN5*'18_Календарь_тарифы'!BN9)</f>
        <v/>
      </c>
      <c r="BO7" s="185">
        <f>IF(COUNTIF('01_Вводные'!$B$98:$E$98,BO$3)&gt;0,SUMIF('01_Вводные'!$B$98:$E$98,BO$3,'01_Вводные'!$B$101:$E$101),BO5*'18_Календарь_тарифы'!BO9)</f>
        <v/>
      </c>
    </row>
    <row r="8">
      <c r="B8" s="73" t="n"/>
      <c r="C8" s="73" t="n"/>
      <c r="D8" s="73" t="n"/>
      <c r="E8" s="73" t="n"/>
      <c r="F8" s="73" t="n"/>
      <c r="G8" s="73" t="n"/>
      <c r="H8" s="73" t="n"/>
      <c r="I8" s="73" t="n"/>
      <c r="J8" s="73" t="n"/>
      <c r="K8" s="73" t="n"/>
      <c r="L8" s="73" t="n"/>
      <c r="M8" s="73" t="n"/>
      <c r="N8" s="73" t="n"/>
      <c r="O8" s="73" t="n"/>
      <c r="P8" s="73" t="n"/>
      <c r="Q8" s="73" t="n"/>
      <c r="R8" s="73" t="n"/>
      <c r="S8" s="73" t="n"/>
      <c r="T8" s="73" t="n"/>
      <c r="U8" s="73" t="n"/>
      <c r="V8" s="73" t="n"/>
      <c r="W8" s="73" t="n"/>
      <c r="X8" s="73" t="n"/>
      <c r="Y8" s="73" t="n"/>
      <c r="Z8" s="73" t="n"/>
      <c r="AA8" s="73" t="n"/>
      <c r="AB8" s="73" t="n"/>
      <c r="AC8" s="73" t="n"/>
      <c r="AD8" s="73" t="n"/>
      <c r="AE8" s="73" t="n"/>
      <c r="AF8" s="73" t="n"/>
      <c r="AG8" s="73" t="n"/>
      <c r="AH8" s="73" t="n"/>
      <c r="AI8" s="73" t="n"/>
      <c r="AJ8" s="73" t="n"/>
      <c r="AK8" s="73" t="n"/>
      <c r="AL8" s="73" t="n"/>
      <c r="AM8" s="73" t="n"/>
      <c r="AN8" s="73" t="n"/>
      <c r="AO8" s="73" t="n"/>
      <c r="AP8" s="73" t="n"/>
      <c r="AQ8" s="73" t="n"/>
      <c r="AR8" s="73" t="n"/>
      <c r="AS8" s="73" t="n"/>
      <c r="AT8" s="73" t="n"/>
      <c r="AU8" s="73" t="n"/>
      <c r="AV8" s="73" t="n"/>
      <c r="AW8" s="73" t="n"/>
      <c r="AX8" s="73" t="n"/>
      <c r="AY8" s="73" t="n"/>
      <c r="AZ8" s="73" t="n"/>
      <c r="BA8" s="73" t="n"/>
      <c r="BB8" s="73" t="n"/>
      <c r="BC8" s="73" t="n"/>
      <c r="BD8" s="73" t="n"/>
      <c r="BE8" s="73" t="n"/>
      <c r="BF8" s="73" t="n"/>
      <c r="BG8" s="73" t="n"/>
      <c r="BH8" s="73" t="n"/>
      <c r="BI8" s="73" t="n"/>
      <c r="BJ8" s="73" t="n"/>
      <c r="BK8" s="73" t="n"/>
      <c r="BL8" s="73" t="n"/>
      <c r="BM8" s="73" t="n"/>
      <c r="BN8" s="73" t="n"/>
      <c r="BO8" s="73" t="n"/>
    </row>
    <row r="9">
      <c r="A9" s="2" t="inlineStr">
        <is>
          <t>Первичная закупка новых школ, комплекты</t>
        </is>
      </c>
      <c r="B9" s="77">
        <f>0</f>
        <v/>
      </c>
      <c r="C9" s="95">
        <f>('06_Сеть_и_дети'!B8*'01_Вводные'!$B$87*'01_Вводные'!$B$14^1)*'01_Вводные'!$B$46*'01_Вводные'!$B$74</f>
        <v/>
      </c>
      <c r="D9" s="95">
        <f>('06_Сеть_и_дети'!C8*'01_Вводные'!$B$87*'01_Вводные'!$B$14^1+'06_Сеть_и_дети'!B8*'01_Вводные'!$B$88*'01_Вводные'!$B$14^2)*'01_Вводные'!$B$46*'01_Вводные'!$B$74</f>
        <v/>
      </c>
      <c r="E9" s="95">
        <f>('06_Сеть_и_дети'!D8*'01_Вводные'!$B$87*'01_Вводные'!$B$14^1+'06_Сеть_и_дети'!C8*'01_Вводные'!$B$88*'01_Вводные'!$B$14^2+'06_Сеть_и_дети'!B8*'01_Вводные'!$B$89*'01_Вводные'!$B$14^3)*'01_Вводные'!$B$46*'01_Вводные'!$B$74</f>
        <v/>
      </c>
      <c r="F9" s="95">
        <f>('06_Сеть_и_дети'!E8*'01_Вводные'!$B$87*'01_Вводные'!$B$14^1+'06_Сеть_и_дети'!D8*'01_Вводные'!$B$88*'01_Вводные'!$B$14^2+'06_Сеть_и_дети'!C8*'01_Вводные'!$B$89*'01_Вводные'!$B$14^3)*'01_Вводные'!$B$46*'01_Вводные'!$B$74</f>
        <v/>
      </c>
      <c r="G9" s="95">
        <f>('06_Сеть_и_дети'!F8*'01_Вводные'!$B$87*'01_Вводные'!$B$14^1+'06_Сеть_и_дети'!E8*'01_Вводные'!$B$88*'01_Вводные'!$B$14^2+'06_Сеть_и_дети'!D8*'01_Вводные'!$B$89*'01_Вводные'!$B$14^3)*'01_Вводные'!$B$46*'01_Вводные'!$B$74</f>
        <v/>
      </c>
      <c r="H9" s="95">
        <f>('06_Сеть_и_дети'!G8*'01_Вводные'!$B$87*'01_Вводные'!$B$14^1+'06_Сеть_и_дети'!F8*'01_Вводные'!$B$88*'01_Вводные'!$B$14^2+'06_Сеть_и_дети'!E8*'01_Вводные'!$B$89*'01_Вводные'!$B$14^3)*'01_Вводные'!$B$46*'01_Вводные'!$B$74</f>
        <v/>
      </c>
      <c r="I9" s="95">
        <f>('06_Сеть_и_дети'!H8*'01_Вводные'!$B$87*'01_Вводные'!$B$14^1+'06_Сеть_и_дети'!G8*'01_Вводные'!$B$88*'01_Вводные'!$B$14^2+'06_Сеть_и_дети'!F8*'01_Вводные'!$B$89*'01_Вводные'!$B$14^3)*'01_Вводные'!$B$46*'01_Вводные'!$B$74</f>
        <v/>
      </c>
      <c r="J9" s="95">
        <f>('06_Сеть_и_дети'!I8*'01_Вводные'!$B$87*'01_Вводные'!$B$14^1+'06_Сеть_и_дети'!H8*'01_Вводные'!$B$88*'01_Вводные'!$B$14^2+'06_Сеть_и_дети'!G8*'01_Вводные'!$B$89*'01_Вводные'!$B$14^3)*'01_Вводные'!$B$46*'01_Вводные'!$B$74</f>
        <v/>
      </c>
      <c r="K9" s="95">
        <f>('06_Сеть_и_дети'!J8*'01_Вводные'!$B$87*'01_Вводные'!$B$14^1+'06_Сеть_и_дети'!I8*'01_Вводные'!$B$88*'01_Вводные'!$B$14^2+'06_Сеть_и_дети'!H8*'01_Вводные'!$B$89*'01_Вводные'!$B$14^3)*'01_Вводные'!$B$46*'01_Вводные'!$B$74</f>
        <v/>
      </c>
      <c r="L9" s="95">
        <f>('06_Сеть_и_дети'!K8*'01_Вводные'!$B$87*'01_Вводные'!$B$14^1+'06_Сеть_и_дети'!J8*'01_Вводные'!$B$88*'01_Вводные'!$B$14^2+'06_Сеть_и_дети'!I8*'01_Вводные'!$B$89*'01_Вводные'!$B$14^3)*'01_Вводные'!$B$46*'01_Вводные'!$B$74</f>
        <v/>
      </c>
      <c r="M9" s="95">
        <f>('06_Сеть_и_дети'!L8*'01_Вводные'!$B$87*'01_Вводные'!$B$14^1+'06_Сеть_и_дети'!K8*'01_Вводные'!$B$88*'01_Вводные'!$B$14^2+'06_Сеть_и_дети'!J8*'01_Вводные'!$B$89*'01_Вводные'!$B$14^3)*'01_Вводные'!$B$46*'01_Вводные'!$B$74</f>
        <v/>
      </c>
      <c r="N9" s="95">
        <f>('06_Сеть_и_дети'!M8*'01_Вводные'!$B$87*'01_Вводные'!$B$14^1+'06_Сеть_и_дети'!L8*'01_Вводные'!$B$88*'01_Вводные'!$B$14^2+'06_Сеть_и_дети'!K8*'01_Вводные'!$B$89*'01_Вводные'!$B$14^3)*'01_Вводные'!$B$46*'01_Вводные'!$B$74</f>
        <v/>
      </c>
      <c r="O9" s="95">
        <f>('06_Сеть_и_дети'!N8*'01_Вводные'!$B$87*'01_Вводные'!$B$14^1+'06_Сеть_и_дети'!M8*'01_Вводные'!$B$88*'01_Вводные'!$B$14^2+'06_Сеть_и_дети'!L8*'01_Вводные'!$B$89*'01_Вводные'!$B$14^3)*'01_Вводные'!$B$46*'01_Вводные'!$B$74</f>
        <v/>
      </c>
      <c r="P9" s="95">
        <f>('06_Сеть_и_дети'!O8*'01_Вводные'!$B$87*'01_Вводные'!$B$14^1+'06_Сеть_и_дети'!N8*'01_Вводные'!$B$88*'01_Вводные'!$B$14^2+'06_Сеть_и_дети'!M8*'01_Вводные'!$B$89*'01_Вводные'!$B$14^3)*'01_Вводные'!$B$46*'01_Вводные'!$B$74</f>
        <v/>
      </c>
      <c r="Q9" s="95">
        <f>('06_Сеть_и_дети'!P8*'01_Вводные'!$B$87*'01_Вводные'!$B$14^1+'06_Сеть_и_дети'!O8*'01_Вводные'!$B$88*'01_Вводные'!$B$14^2+'06_Сеть_и_дети'!N8*'01_Вводные'!$B$89*'01_Вводные'!$B$14^3)*'01_Вводные'!$B$46*'01_Вводные'!$B$74</f>
        <v/>
      </c>
      <c r="R9" s="95">
        <f>('06_Сеть_и_дети'!Q8*'01_Вводные'!$B$87*'01_Вводные'!$B$14^1+'06_Сеть_и_дети'!P8*'01_Вводные'!$B$88*'01_Вводные'!$B$14^2+'06_Сеть_и_дети'!O8*'01_Вводные'!$B$89*'01_Вводные'!$B$14^3)*'01_Вводные'!$B$46*'01_Вводные'!$B$74</f>
        <v/>
      </c>
      <c r="S9" s="95">
        <f>('06_Сеть_и_дети'!R8*'01_Вводные'!$B$87*'01_Вводные'!$B$14^1+'06_Сеть_и_дети'!Q8*'01_Вводные'!$B$88*'01_Вводные'!$B$14^2+'06_Сеть_и_дети'!P8*'01_Вводные'!$B$89*'01_Вводные'!$B$14^3)*'01_Вводные'!$B$46*'01_Вводные'!$B$74</f>
        <v/>
      </c>
      <c r="T9" s="95">
        <f>('06_Сеть_и_дети'!S8*'01_Вводные'!$B$87*'01_Вводные'!$B$14^1+'06_Сеть_и_дети'!R8*'01_Вводные'!$B$88*'01_Вводные'!$B$14^2+'06_Сеть_и_дети'!Q8*'01_Вводные'!$B$89*'01_Вводные'!$B$14^3)*'01_Вводные'!$B$46*'01_Вводные'!$B$74</f>
        <v/>
      </c>
      <c r="U9" s="95">
        <f>('06_Сеть_и_дети'!T8*'01_Вводные'!$B$87*'01_Вводные'!$B$14^1+'06_Сеть_и_дети'!S8*'01_Вводные'!$B$88*'01_Вводные'!$B$14^2+'06_Сеть_и_дети'!R8*'01_Вводные'!$B$89*'01_Вводные'!$B$14^3)*'01_Вводные'!$B$46*'01_Вводные'!$B$74</f>
        <v/>
      </c>
      <c r="V9" s="95">
        <f>('06_Сеть_и_дети'!U8*'01_Вводные'!$B$87*'01_Вводные'!$B$14^1+'06_Сеть_и_дети'!T8*'01_Вводные'!$B$88*'01_Вводные'!$B$14^2+'06_Сеть_и_дети'!S8*'01_Вводные'!$B$89*'01_Вводные'!$B$14^3)*'01_Вводные'!$B$46*'01_Вводные'!$B$74</f>
        <v/>
      </c>
      <c r="W9" s="95">
        <f>('06_Сеть_и_дети'!V8*'01_Вводные'!$B$87*'01_Вводные'!$B$14^1+'06_Сеть_и_дети'!U8*'01_Вводные'!$B$88*'01_Вводные'!$B$14^2+'06_Сеть_и_дети'!T8*'01_Вводные'!$B$89*'01_Вводные'!$B$14^3)*'01_Вводные'!$B$46*'01_Вводные'!$B$74</f>
        <v/>
      </c>
      <c r="X9" s="95">
        <f>('06_Сеть_и_дети'!W8*'01_Вводные'!$B$87*'01_Вводные'!$B$14^1+'06_Сеть_и_дети'!V8*'01_Вводные'!$B$88*'01_Вводные'!$B$14^2+'06_Сеть_и_дети'!U8*'01_Вводные'!$B$89*'01_Вводные'!$B$14^3)*'01_Вводные'!$B$46*'01_Вводные'!$B$74</f>
        <v/>
      </c>
      <c r="Y9" s="95">
        <f>('06_Сеть_и_дети'!X8*'01_Вводные'!$B$87*'01_Вводные'!$B$14^1+'06_Сеть_и_дети'!W8*'01_Вводные'!$B$88*'01_Вводные'!$B$14^2+'06_Сеть_и_дети'!V8*'01_Вводные'!$B$89*'01_Вводные'!$B$14^3)*'01_Вводные'!$B$46*'01_Вводные'!$B$74</f>
        <v/>
      </c>
      <c r="Z9" s="95">
        <f>('06_Сеть_и_дети'!Y8*'01_Вводные'!$B$87*'01_Вводные'!$B$14^1+'06_Сеть_и_дети'!X8*'01_Вводные'!$B$88*'01_Вводные'!$B$14^2+'06_Сеть_и_дети'!W8*'01_Вводные'!$B$89*'01_Вводные'!$B$14^3)*'01_Вводные'!$B$46*'01_Вводные'!$B$74</f>
        <v/>
      </c>
      <c r="AA9" s="95">
        <f>('06_Сеть_и_дети'!Z8*'01_Вводные'!$B$87*'01_Вводные'!$B$14^1+'06_Сеть_и_дети'!Y8*'01_Вводные'!$B$88*'01_Вводные'!$B$14^2+'06_Сеть_и_дети'!X8*'01_Вводные'!$B$89*'01_Вводные'!$B$14^3)*'01_Вводные'!$B$46*'01_Вводные'!$B$74</f>
        <v/>
      </c>
      <c r="AB9" s="95">
        <f>('06_Сеть_и_дети'!AA8*'01_Вводные'!$B$87*'01_Вводные'!$B$14^1+'06_Сеть_и_дети'!Z8*'01_Вводные'!$B$88*'01_Вводные'!$B$14^2+'06_Сеть_и_дети'!Y8*'01_Вводные'!$B$89*'01_Вводные'!$B$14^3)*'01_Вводные'!$B$46*'01_Вводные'!$B$74</f>
        <v/>
      </c>
      <c r="AC9" s="95">
        <f>('06_Сеть_и_дети'!AB8*'01_Вводные'!$B$87*'01_Вводные'!$B$14^1+'06_Сеть_и_дети'!AA8*'01_Вводные'!$B$88*'01_Вводные'!$B$14^2+'06_Сеть_и_дети'!Z8*'01_Вводные'!$B$89*'01_Вводные'!$B$14^3)*'01_Вводные'!$B$46*'01_Вводные'!$B$74</f>
        <v/>
      </c>
      <c r="AD9" s="95">
        <f>('06_Сеть_и_дети'!AC8*'01_Вводные'!$B$87*'01_Вводные'!$B$14^1+'06_Сеть_и_дети'!AB8*'01_Вводные'!$B$88*'01_Вводные'!$B$14^2+'06_Сеть_и_дети'!AA8*'01_Вводные'!$B$89*'01_Вводные'!$B$14^3)*'01_Вводные'!$B$46*'01_Вводные'!$B$74</f>
        <v/>
      </c>
      <c r="AE9" s="95">
        <f>('06_Сеть_и_дети'!AD8*'01_Вводные'!$B$87*'01_Вводные'!$B$14^1+'06_Сеть_и_дети'!AC8*'01_Вводные'!$B$88*'01_Вводные'!$B$14^2+'06_Сеть_и_дети'!AB8*'01_Вводные'!$B$89*'01_Вводные'!$B$14^3)*'01_Вводные'!$B$46*'01_Вводные'!$B$74</f>
        <v/>
      </c>
      <c r="AF9" s="95">
        <f>('06_Сеть_и_дети'!AE8*'01_Вводные'!$B$87*'01_Вводные'!$B$14^1+'06_Сеть_и_дети'!AD8*'01_Вводные'!$B$88*'01_Вводные'!$B$14^2+'06_Сеть_и_дети'!AC8*'01_Вводные'!$B$89*'01_Вводные'!$B$14^3)*'01_Вводные'!$B$46*'01_Вводные'!$B$74</f>
        <v/>
      </c>
      <c r="AG9" s="95">
        <f>('06_Сеть_и_дети'!AF8*'01_Вводные'!$B$87*'01_Вводные'!$B$14^1+'06_Сеть_и_дети'!AE8*'01_Вводные'!$B$88*'01_Вводные'!$B$14^2+'06_Сеть_и_дети'!AD8*'01_Вводные'!$B$89*'01_Вводные'!$B$14^3)*'01_Вводные'!$B$46*'01_Вводные'!$B$74</f>
        <v/>
      </c>
      <c r="AH9" s="95">
        <f>('06_Сеть_и_дети'!AG8*'01_Вводные'!$B$87*'01_Вводные'!$B$14^1+'06_Сеть_и_дети'!AF8*'01_Вводные'!$B$88*'01_Вводные'!$B$14^2+'06_Сеть_и_дети'!AE8*'01_Вводные'!$B$89*'01_Вводные'!$B$14^3)*'01_Вводные'!$B$46*'01_Вводные'!$B$74</f>
        <v/>
      </c>
      <c r="AI9" s="95">
        <f>('06_Сеть_и_дети'!AH8*'01_Вводные'!$B$87*'01_Вводные'!$B$14^1+'06_Сеть_и_дети'!AG8*'01_Вводные'!$B$88*'01_Вводные'!$B$14^2+'06_Сеть_и_дети'!AF8*'01_Вводные'!$B$89*'01_Вводные'!$B$14^3)*'01_Вводные'!$B$46*'01_Вводные'!$B$74</f>
        <v/>
      </c>
      <c r="AJ9" s="95">
        <f>('06_Сеть_и_дети'!AI8*'01_Вводные'!$B$87*'01_Вводные'!$B$14^1+'06_Сеть_и_дети'!AH8*'01_Вводные'!$B$88*'01_Вводные'!$B$14^2+'06_Сеть_и_дети'!AG8*'01_Вводные'!$B$89*'01_Вводные'!$B$14^3)*'01_Вводные'!$B$46*'01_Вводные'!$B$74</f>
        <v/>
      </c>
      <c r="AK9" s="95">
        <f>('06_Сеть_и_дети'!AJ8*'01_Вводные'!$B$87*'01_Вводные'!$B$14^1+'06_Сеть_и_дети'!AI8*'01_Вводные'!$B$88*'01_Вводные'!$B$14^2+'06_Сеть_и_дети'!AH8*'01_Вводные'!$B$89*'01_Вводные'!$B$14^3)*'01_Вводные'!$B$46*'01_Вводные'!$B$74</f>
        <v/>
      </c>
      <c r="AL9" s="95">
        <f>('06_Сеть_и_дети'!AK8*'01_Вводные'!$B$87*'01_Вводные'!$B$14^1+'06_Сеть_и_дети'!AJ8*'01_Вводные'!$B$88*'01_Вводные'!$B$14^2+'06_Сеть_и_дети'!AI8*'01_Вводные'!$B$89*'01_Вводные'!$B$14^3)*'01_Вводные'!$B$46*'01_Вводные'!$B$74</f>
        <v/>
      </c>
      <c r="AM9" s="95">
        <f>('06_Сеть_и_дети'!AL8*'01_Вводные'!$B$87*'01_Вводные'!$B$14^1+'06_Сеть_и_дети'!AK8*'01_Вводные'!$B$88*'01_Вводные'!$B$14^2+'06_Сеть_и_дети'!AJ8*'01_Вводные'!$B$89*'01_Вводные'!$B$14^3)*'01_Вводные'!$B$46*'01_Вводные'!$B$74</f>
        <v/>
      </c>
      <c r="AN9" s="95">
        <f>('06_Сеть_и_дети'!AM8*'01_Вводные'!$B$87*'01_Вводные'!$B$14^1+'06_Сеть_и_дети'!AL8*'01_Вводные'!$B$88*'01_Вводные'!$B$14^2+'06_Сеть_и_дети'!AK8*'01_Вводные'!$B$89*'01_Вводные'!$B$14^3)*'01_Вводные'!$B$46*'01_Вводные'!$B$74</f>
        <v/>
      </c>
      <c r="AO9" s="95">
        <f>('06_Сеть_и_дети'!AN8*'01_Вводные'!$B$87*'01_Вводные'!$B$14^1+'06_Сеть_и_дети'!AM8*'01_Вводные'!$B$88*'01_Вводные'!$B$14^2+'06_Сеть_и_дети'!AL8*'01_Вводные'!$B$89*'01_Вводные'!$B$14^3)*'01_Вводные'!$B$46*'01_Вводные'!$B$74</f>
        <v/>
      </c>
      <c r="AP9" s="95">
        <f>('06_Сеть_и_дети'!AO8*'01_Вводные'!$B$87*'01_Вводные'!$B$14^1+'06_Сеть_и_дети'!AN8*'01_Вводные'!$B$88*'01_Вводные'!$B$14^2+'06_Сеть_и_дети'!AM8*'01_Вводные'!$B$89*'01_Вводные'!$B$14^3)*'01_Вводные'!$B$46*'01_Вводные'!$B$74</f>
        <v/>
      </c>
      <c r="AQ9" s="95">
        <f>('06_Сеть_и_дети'!AP8*'01_Вводные'!$B$87*'01_Вводные'!$B$14^1+'06_Сеть_и_дети'!AO8*'01_Вводные'!$B$88*'01_Вводные'!$B$14^2+'06_Сеть_и_дети'!AN8*'01_Вводные'!$B$89*'01_Вводные'!$B$14^3)*'01_Вводные'!$B$46*'01_Вводные'!$B$74</f>
        <v/>
      </c>
      <c r="AR9" s="95">
        <f>('06_Сеть_и_дети'!AQ8*'01_Вводные'!$B$87*'01_Вводные'!$B$14^1+'06_Сеть_и_дети'!AP8*'01_Вводные'!$B$88*'01_Вводные'!$B$14^2+'06_Сеть_и_дети'!AO8*'01_Вводные'!$B$89*'01_Вводные'!$B$14^3)*'01_Вводные'!$B$46*'01_Вводные'!$B$74</f>
        <v/>
      </c>
      <c r="AS9" s="95">
        <f>('06_Сеть_и_дети'!AR8*'01_Вводные'!$B$87*'01_Вводные'!$B$14^1+'06_Сеть_и_дети'!AQ8*'01_Вводные'!$B$88*'01_Вводные'!$B$14^2+'06_Сеть_и_дети'!AP8*'01_Вводные'!$B$89*'01_Вводные'!$B$14^3)*'01_Вводные'!$B$46*'01_Вводные'!$B$74</f>
        <v/>
      </c>
      <c r="AT9" s="95">
        <f>('06_Сеть_и_дети'!AS8*'01_Вводные'!$B$87*'01_Вводные'!$B$14^1+'06_Сеть_и_дети'!AR8*'01_Вводные'!$B$88*'01_Вводные'!$B$14^2+'06_Сеть_и_дети'!AQ8*'01_Вводные'!$B$89*'01_Вводные'!$B$14^3)*'01_Вводные'!$B$46*'01_Вводные'!$B$74</f>
        <v/>
      </c>
      <c r="AU9" s="95">
        <f>('06_Сеть_и_дети'!AT8*'01_Вводные'!$B$87*'01_Вводные'!$B$14^1+'06_Сеть_и_дети'!AS8*'01_Вводные'!$B$88*'01_Вводные'!$B$14^2+'06_Сеть_и_дети'!AR8*'01_Вводные'!$B$89*'01_Вводные'!$B$14^3)*'01_Вводные'!$B$46*'01_Вводные'!$B$74</f>
        <v/>
      </c>
      <c r="AV9" s="95">
        <f>('06_Сеть_и_дети'!AU8*'01_Вводные'!$B$87*'01_Вводные'!$B$14^1+'06_Сеть_и_дети'!AT8*'01_Вводные'!$B$88*'01_Вводные'!$B$14^2+'06_Сеть_и_дети'!AS8*'01_Вводные'!$B$89*'01_Вводные'!$B$14^3)*'01_Вводные'!$B$46*'01_Вводные'!$B$74</f>
        <v/>
      </c>
      <c r="AW9" s="95">
        <f>('06_Сеть_и_дети'!AV8*'01_Вводные'!$B$87*'01_Вводные'!$B$14^1+'06_Сеть_и_дети'!AU8*'01_Вводные'!$B$88*'01_Вводные'!$B$14^2+'06_Сеть_и_дети'!AT8*'01_Вводные'!$B$89*'01_Вводные'!$B$14^3)*'01_Вводные'!$B$46*'01_Вводные'!$B$74</f>
        <v/>
      </c>
      <c r="AX9" s="95">
        <f>('06_Сеть_и_дети'!AW8*'01_Вводные'!$B$87*'01_Вводные'!$B$14^1+'06_Сеть_и_дети'!AV8*'01_Вводные'!$B$88*'01_Вводные'!$B$14^2+'06_Сеть_и_дети'!AU8*'01_Вводные'!$B$89*'01_Вводные'!$B$14^3)*'01_Вводные'!$B$46*'01_Вводные'!$B$74</f>
        <v/>
      </c>
      <c r="AY9" s="95">
        <f>('06_Сеть_и_дети'!AX8*'01_Вводные'!$B$87*'01_Вводные'!$B$14^1+'06_Сеть_и_дети'!AW8*'01_Вводные'!$B$88*'01_Вводные'!$B$14^2+'06_Сеть_и_дети'!AV8*'01_Вводные'!$B$89*'01_Вводные'!$B$14^3)*'01_Вводные'!$B$46*'01_Вводные'!$B$74</f>
        <v/>
      </c>
      <c r="AZ9" s="95">
        <f>('06_Сеть_и_дети'!AY8*'01_Вводные'!$B$87*'01_Вводные'!$B$14^1+'06_Сеть_и_дети'!AX8*'01_Вводные'!$B$88*'01_Вводные'!$B$14^2+'06_Сеть_и_дети'!AW8*'01_Вводные'!$B$89*'01_Вводные'!$B$14^3)*'01_Вводные'!$B$46*'01_Вводные'!$B$74</f>
        <v/>
      </c>
      <c r="BA9" s="95">
        <f>('06_Сеть_и_дети'!AZ8*'01_Вводные'!$B$87*'01_Вводные'!$B$14^1+'06_Сеть_и_дети'!AY8*'01_Вводные'!$B$88*'01_Вводные'!$B$14^2+'06_Сеть_и_дети'!AX8*'01_Вводные'!$B$89*'01_Вводные'!$B$14^3)*'01_Вводные'!$B$46*'01_Вводные'!$B$74</f>
        <v/>
      </c>
      <c r="BB9" s="95">
        <f>('06_Сеть_и_дети'!BA8*'01_Вводные'!$B$87*'01_Вводные'!$B$14^1+'06_Сеть_и_дети'!AZ8*'01_Вводные'!$B$88*'01_Вводные'!$B$14^2+'06_Сеть_и_дети'!AY8*'01_Вводные'!$B$89*'01_Вводные'!$B$14^3)*'01_Вводные'!$B$46*'01_Вводные'!$B$74</f>
        <v/>
      </c>
      <c r="BC9" s="95">
        <f>('06_Сеть_и_дети'!BB8*'01_Вводные'!$B$87*'01_Вводные'!$B$14^1+'06_Сеть_и_дети'!BA8*'01_Вводные'!$B$88*'01_Вводные'!$B$14^2+'06_Сеть_и_дети'!AZ8*'01_Вводные'!$B$89*'01_Вводные'!$B$14^3)*'01_Вводные'!$B$46*'01_Вводные'!$B$74</f>
        <v/>
      </c>
      <c r="BD9" s="95">
        <f>('06_Сеть_и_дети'!BC8*'01_Вводные'!$B$87*'01_Вводные'!$B$14^1+'06_Сеть_и_дети'!BB8*'01_Вводные'!$B$88*'01_Вводные'!$B$14^2+'06_Сеть_и_дети'!BA8*'01_Вводные'!$B$89*'01_Вводные'!$B$14^3)*'01_Вводные'!$B$46*'01_Вводные'!$B$74</f>
        <v/>
      </c>
      <c r="BE9" s="95">
        <f>('06_Сеть_и_дети'!BD8*'01_Вводные'!$B$87*'01_Вводные'!$B$14^1+'06_Сеть_и_дети'!BC8*'01_Вводные'!$B$88*'01_Вводные'!$B$14^2+'06_Сеть_и_дети'!BB8*'01_Вводные'!$B$89*'01_Вводные'!$B$14^3)*'01_Вводные'!$B$46*'01_Вводные'!$B$74</f>
        <v/>
      </c>
      <c r="BF9" s="95">
        <f>('06_Сеть_и_дети'!BE8*'01_Вводные'!$B$87*'01_Вводные'!$B$14^1+'06_Сеть_и_дети'!BD8*'01_Вводные'!$B$88*'01_Вводные'!$B$14^2+'06_Сеть_и_дети'!BC8*'01_Вводные'!$B$89*'01_Вводные'!$B$14^3)*'01_Вводные'!$B$46*'01_Вводные'!$B$74</f>
        <v/>
      </c>
      <c r="BG9" s="95">
        <f>('06_Сеть_и_дети'!BF8*'01_Вводные'!$B$87*'01_Вводные'!$B$14^1+'06_Сеть_и_дети'!BE8*'01_Вводные'!$B$88*'01_Вводные'!$B$14^2+'06_Сеть_и_дети'!BD8*'01_Вводные'!$B$89*'01_Вводные'!$B$14^3)*'01_Вводные'!$B$46*'01_Вводные'!$B$74</f>
        <v/>
      </c>
      <c r="BH9" s="95">
        <f>('06_Сеть_и_дети'!BG8*'01_Вводные'!$B$87*'01_Вводные'!$B$14^1+'06_Сеть_и_дети'!BF8*'01_Вводные'!$B$88*'01_Вводные'!$B$14^2+'06_Сеть_и_дети'!BE8*'01_Вводные'!$B$89*'01_Вводные'!$B$14^3)*'01_Вводные'!$B$46*'01_Вводные'!$B$74</f>
        <v/>
      </c>
      <c r="BI9" s="95">
        <f>('06_Сеть_и_дети'!BH8*'01_Вводные'!$B$87*'01_Вводные'!$B$14^1+'06_Сеть_и_дети'!BG8*'01_Вводные'!$B$88*'01_Вводные'!$B$14^2+'06_Сеть_и_дети'!BF8*'01_Вводные'!$B$89*'01_Вводные'!$B$14^3)*'01_Вводные'!$B$46*'01_Вводные'!$B$74</f>
        <v/>
      </c>
      <c r="BJ9" s="95">
        <f>('06_Сеть_и_дети'!BI8*'01_Вводные'!$B$87*'01_Вводные'!$B$14^1+'06_Сеть_и_дети'!BH8*'01_Вводные'!$B$88*'01_Вводные'!$B$14^2+'06_Сеть_и_дети'!BG8*'01_Вводные'!$B$89*'01_Вводные'!$B$14^3)*'01_Вводные'!$B$46*'01_Вводные'!$B$74</f>
        <v/>
      </c>
      <c r="BK9" s="95">
        <f>('06_Сеть_и_дети'!BJ8*'01_Вводные'!$B$87*'01_Вводные'!$B$14^1+'06_Сеть_и_дети'!BI8*'01_Вводные'!$B$88*'01_Вводные'!$B$14^2+'06_Сеть_и_дети'!BH8*'01_Вводные'!$B$89*'01_Вводные'!$B$14^3)*'01_Вводные'!$B$46*'01_Вводные'!$B$74</f>
        <v/>
      </c>
      <c r="BL9" s="95">
        <f>('06_Сеть_и_дети'!BK8*'01_Вводные'!$B$87*'01_Вводные'!$B$14^1+'06_Сеть_и_дети'!BJ8*'01_Вводные'!$B$88*'01_Вводные'!$B$14^2+'06_Сеть_и_дети'!BI8*'01_Вводные'!$B$89*'01_Вводные'!$B$14^3)*'01_Вводные'!$B$46*'01_Вводные'!$B$74</f>
        <v/>
      </c>
      <c r="BM9" s="95">
        <f>('06_Сеть_и_дети'!BL8*'01_Вводные'!$B$87*'01_Вводные'!$B$14^1+'06_Сеть_и_дети'!BK8*'01_Вводные'!$B$88*'01_Вводные'!$B$14^2+'06_Сеть_и_дети'!BJ8*'01_Вводные'!$B$89*'01_Вводные'!$B$14^3)*'01_Вводные'!$B$46*'01_Вводные'!$B$74</f>
        <v/>
      </c>
      <c r="BN9" s="95">
        <f>('06_Сеть_и_дети'!BM8*'01_Вводные'!$B$87*'01_Вводные'!$B$14^1+'06_Сеть_и_дети'!BL8*'01_Вводные'!$B$88*'01_Вводные'!$B$14^2+'06_Сеть_и_дети'!BK8*'01_Вводные'!$B$89*'01_Вводные'!$B$14^3)*'01_Вводные'!$B$46*'01_Вводные'!$B$74</f>
        <v/>
      </c>
      <c r="BO9" s="95">
        <f>('06_Сеть_и_дети'!BN8*'01_Вводные'!$B$87*'01_Вводные'!$B$14^1+'06_Сеть_и_дети'!BM8*'01_Вводные'!$B$88*'01_Вводные'!$B$14^2+'06_Сеть_и_дети'!BL8*'01_Вводные'!$B$89*'01_Вводные'!$B$14^3)*'01_Вводные'!$B$46*'01_Вводные'!$B$74</f>
        <v/>
      </c>
    </row>
    <row r="10">
      <c r="A10" s="2" t="inlineStr">
        <is>
          <t>Повторная закупка новых школ, комплекты</t>
        </is>
      </c>
      <c r="B10" s="185">
        <f>'06_Сеть_и_дети'!B191*'01_Вводные'!$B$74*B4</f>
        <v/>
      </c>
      <c r="C10" s="185">
        <f>'06_Сеть_и_дети'!C191*'01_Вводные'!$B$74*C4</f>
        <v/>
      </c>
      <c r="D10" s="185">
        <f>'06_Сеть_и_дети'!D191*'01_Вводные'!$B$74*D4</f>
        <v/>
      </c>
      <c r="E10" s="185">
        <f>'06_Сеть_и_дети'!E191*'01_Вводные'!$B$74*E4</f>
        <v/>
      </c>
      <c r="F10" s="185">
        <f>'06_Сеть_и_дети'!F191*'01_Вводные'!$B$74*F4</f>
        <v/>
      </c>
      <c r="G10" s="185">
        <f>'06_Сеть_и_дети'!G191*'01_Вводные'!$B$74*G4</f>
        <v/>
      </c>
      <c r="H10" s="185">
        <f>'06_Сеть_и_дети'!H191*'01_Вводные'!$B$74*H4</f>
        <v/>
      </c>
      <c r="I10" s="185">
        <f>'06_Сеть_и_дети'!I191*'01_Вводные'!$B$74*I4</f>
        <v/>
      </c>
      <c r="J10" s="185">
        <f>'06_Сеть_и_дети'!J191*'01_Вводные'!$B$74*J4</f>
        <v/>
      </c>
      <c r="K10" s="185">
        <f>'06_Сеть_и_дети'!K191*'01_Вводные'!$B$74*K4</f>
        <v/>
      </c>
      <c r="L10" s="185">
        <f>'06_Сеть_и_дети'!L191*'01_Вводные'!$B$74*L4</f>
        <v/>
      </c>
      <c r="M10" s="185">
        <f>'06_Сеть_и_дети'!M191*'01_Вводные'!$B$74*M4</f>
        <v/>
      </c>
      <c r="N10" s="185">
        <f>'06_Сеть_и_дети'!N191*'01_Вводные'!$B$74*N4</f>
        <v/>
      </c>
      <c r="O10" s="185">
        <f>'06_Сеть_и_дети'!O191*'01_Вводные'!$B$74*O4</f>
        <v/>
      </c>
      <c r="P10" s="185">
        <f>'06_Сеть_и_дети'!P191*'01_Вводные'!$B$74*P4</f>
        <v/>
      </c>
      <c r="Q10" s="185">
        <f>'06_Сеть_и_дети'!Q191*'01_Вводные'!$B$74*Q4</f>
        <v/>
      </c>
      <c r="R10" s="185">
        <f>'06_Сеть_и_дети'!R191*'01_Вводные'!$B$74*R4</f>
        <v/>
      </c>
      <c r="S10" s="185">
        <f>'06_Сеть_и_дети'!S191*'01_Вводные'!$B$74*S4</f>
        <v/>
      </c>
      <c r="T10" s="185">
        <f>'06_Сеть_и_дети'!T191*'01_Вводные'!$B$74*T4</f>
        <v/>
      </c>
      <c r="U10" s="185">
        <f>'06_Сеть_и_дети'!U191*'01_Вводные'!$B$74*U4</f>
        <v/>
      </c>
      <c r="V10" s="185">
        <f>'06_Сеть_и_дети'!V191*'01_Вводные'!$B$74*V4</f>
        <v/>
      </c>
      <c r="W10" s="185">
        <f>'06_Сеть_и_дети'!W191*'01_Вводные'!$B$74*W4</f>
        <v/>
      </c>
      <c r="X10" s="185">
        <f>'06_Сеть_и_дети'!X191*'01_Вводные'!$B$74*X4</f>
        <v/>
      </c>
      <c r="Y10" s="185">
        <f>'06_Сеть_и_дети'!Y191*'01_Вводные'!$B$74*Y4</f>
        <v/>
      </c>
      <c r="Z10" s="185">
        <f>'06_Сеть_и_дети'!Z191*'01_Вводные'!$B$74*Z4</f>
        <v/>
      </c>
      <c r="AA10" s="185">
        <f>'06_Сеть_и_дети'!AA191*'01_Вводные'!$B$74*AA4</f>
        <v/>
      </c>
      <c r="AB10" s="185">
        <f>'06_Сеть_и_дети'!AB191*'01_Вводные'!$B$74*AB4</f>
        <v/>
      </c>
      <c r="AC10" s="185">
        <f>'06_Сеть_и_дети'!AC191*'01_Вводные'!$B$74*AC4</f>
        <v/>
      </c>
      <c r="AD10" s="185">
        <f>'06_Сеть_и_дети'!AD191*'01_Вводные'!$B$74*AD4</f>
        <v/>
      </c>
      <c r="AE10" s="185">
        <f>'06_Сеть_и_дети'!AE191*'01_Вводные'!$B$74*AE4</f>
        <v/>
      </c>
      <c r="AF10" s="185">
        <f>'06_Сеть_и_дети'!AF191*'01_Вводные'!$B$74*AF4</f>
        <v/>
      </c>
      <c r="AG10" s="185">
        <f>'06_Сеть_и_дети'!AG191*'01_Вводные'!$B$74*AG4</f>
        <v/>
      </c>
      <c r="AH10" s="185">
        <f>'06_Сеть_и_дети'!AH191*'01_Вводные'!$B$74*AH4</f>
        <v/>
      </c>
      <c r="AI10" s="185">
        <f>'06_Сеть_и_дети'!AI191*'01_Вводные'!$B$74*AI4</f>
        <v/>
      </c>
      <c r="AJ10" s="185">
        <f>'06_Сеть_и_дети'!AJ191*'01_Вводные'!$B$74*AJ4</f>
        <v/>
      </c>
      <c r="AK10" s="185">
        <f>'06_Сеть_и_дети'!AK191*'01_Вводные'!$B$74*AK4</f>
        <v/>
      </c>
      <c r="AL10" s="185">
        <f>'06_Сеть_и_дети'!AL191*'01_Вводные'!$B$74*AL4</f>
        <v/>
      </c>
      <c r="AM10" s="185">
        <f>'06_Сеть_и_дети'!AM191*'01_Вводные'!$B$74*AM4</f>
        <v/>
      </c>
      <c r="AN10" s="185">
        <f>'06_Сеть_и_дети'!AN191*'01_Вводные'!$B$74*AN4</f>
        <v/>
      </c>
      <c r="AO10" s="185">
        <f>'06_Сеть_и_дети'!AO191*'01_Вводные'!$B$74*AO4</f>
        <v/>
      </c>
      <c r="AP10" s="185">
        <f>'06_Сеть_и_дети'!AP191*'01_Вводные'!$B$74*AP4</f>
        <v/>
      </c>
      <c r="AQ10" s="185">
        <f>'06_Сеть_и_дети'!AQ191*'01_Вводные'!$B$74*AQ4</f>
        <v/>
      </c>
      <c r="AR10" s="185">
        <f>'06_Сеть_и_дети'!AR191*'01_Вводные'!$B$74*AR4</f>
        <v/>
      </c>
      <c r="AS10" s="185">
        <f>'06_Сеть_и_дети'!AS191*'01_Вводные'!$B$74*AS4</f>
        <v/>
      </c>
      <c r="AT10" s="185">
        <f>'06_Сеть_и_дети'!AT191*'01_Вводные'!$B$74*AT4</f>
        <v/>
      </c>
      <c r="AU10" s="185">
        <f>'06_Сеть_и_дети'!AU191*'01_Вводные'!$B$74*AU4</f>
        <v/>
      </c>
      <c r="AV10" s="185">
        <f>'06_Сеть_и_дети'!AV191*'01_Вводные'!$B$74*AV4</f>
        <v/>
      </c>
      <c r="AW10" s="185">
        <f>'06_Сеть_и_дети'!AW191*'01_Вводные'!$B$74*AW4</f>
        <v/>
      </c>
      <c r="AX10" s="185">
        <f>'06_Сеть_и_дети'!AX191*'01_Вводные'!$B$74*AX4</f>
        <v/>
      </c>
      <c r="AY10" s="185">
        <f>'06_Сеть_и_дети'!AY191*'01_Вводные'!$B$74*AY4</f>
        <v/>
      </c>
      <c r="AZ10" s="185">
        <f>'06_Сеть_и_дети'!AZ191*'01_Вводные'!$B$74*AZ4</f>
        <v/>
      </c>
      <c r="BA10" s="185">
        <f>'06_Сеть_и_дети'!BA191*'01_Вводные'!$B$74*BA4</f>
        <v/>
      </c>
      <c r="BB10" s="185">
        <f>'06_Сеть_и_дети'!BB191*'01_Вводные'!$B$74*BB4</f>
        <v/>
      </c>
      <c r="BC10" s="185">
        <f>'06_Сеть_и_дети'!BC191*'01_Вводные'!$B$74*BC4</f>
        <v/>
      </c>
      <c r="BD10" s="185">
        <f>'06_Сеть_и_дети'!BD191*'01_Вводные'!$B$74*BD4</f>
        <v/>
      </c>
      <c r="BE10" s="185">
        <f>'06_Сеть_и_дети'!BE191*'01_Вводные'!$B$74*BE4</f>
        <v/>
      </c>
      <c r="BF10" s="185">
        <f>'06_Сеть_и_дети'!BF191*'01_Вводные'!$B$74*BF4</f>
        <v/>
      </c>
      <c r="BG10" s="185">
        <f>'06_Сеть_и_дети'!BG191*'01_Вводные'!$B$74*BG4</f>
        <v/>
      </c>
      <c r="BH10" s="185">
        <f>'06_Сеть_и_дети'!BH191*'01_Вводные'!$B$74*BH4</f>
        <v/>
      </c>
      <c r="BI10" s="185">
        <f>'06_Сеть_и_дети'!BI191*'01_Вводные'!$B$74*BI4</f>
        <v/>
      </c>
      <c r="BJ10" s="185">
        <f>'06_Сеть_и_дети'!BJ191*'01_Вводные'!$B$74*BJ4</f>
        <v/>
      </c>
      <c r="BK10" s="185">
        <f>'06_Сеть_и_дети'!BK191*'01_Вводные'!$B$74*BK4</f>
        <v/>
      </c>
      <c r="BL10" s="185">
        <f>'06_Сеть_и_дети'!BL191*'01_Вводные'!$B$74*BL4</f>
        <v/>
      </c>
      <c r="BM10" s="185">
        <f>'06_Сеть_и_дети'!BM191*'01_Вводные'!$B$74*BM4</f>
        <v/>
      </c>
      <c r="BN10" s="185">
        <f>'06_Сеть_и_дети'!BN191*'01_Вводные'!$B$74*BN4</f>
        <v/>
      </c>
      <c r="BO10" s="185">
        <f>'06_Сеть_и_дети'!BO191*'01_Вводные'!$B$74*BO4</f>
        <v/>
      </c>
    </row>
    <row r="11">
      <c r="A11" s="2" t="inlineStr">
        <is>
          <t>Новые школы — выручка с НДС</t>
        </is>
      </c>
      <c r="B11" s="185">
        <f>SUM(B9:B10)*'18_Календарь_тарифы'!B10</f>
        <v/>
      </c>
      <c r="C11" s="185">
        <f>SUM(C9:C10)*'18_Календарь_тарифы'!C10</f>
        <v/>
      </c>
      <c r="D11" s="185">
        <f>SUM(D9:D10)*'18_Календарь_тарифы'!D10</f>
        <v/>
      </c>
      <c r="E11" s="185">
        <f>SUM(E9:E10)*'18_Календарь_тарифы'!E10</f>
        <v/>
      </c>
      <c r="F11" s="185">
        <f>SUM(F9:F10)*'18_Календарь_тарифы'!F10</f>
        <v/>
      </c>
      <c r="G11" s="185">
        <f>SUM(G9:G10)*'18_Календарь_тарифы'!G10</f>
        <v/>
      </c>
      <c r="H11" s="185">
        <f>SUM(H9:H10)*'18_Календарь_тарифы'!H10</f>
        <v/>
      </c>
      <c r="I11" s="185">
        <f>SUM(I9:I10)*'18_Календарь_тарифы'!I10</f>
        <v/>
      </c>
      <c r="J11" s="185">
        <f>SUM(J9:J10)*'18_Календарь_тарифы'!J10</f>
        <v/>
      </c>
      <c r="K11" s="185">
        <f>SUM(K9:K10)*'18_Календарь_тарифы'!K10</f>
        <v/>
      </c>
      <c r="L11" s="185">
        <f>SUM(L9:L10)*'18_Календарь_тарифы'!L10</f>
        <v/>
      </c>
      <c r="M11" s="185">
        <f>SUM(M9:M10)*'18_Календарь_тарифы'!M10</f>
        <v/>
      </c>
      <c r="N11" s="185">
        <f>SUM(N9:N10)*'18_Календарь_тарифы'!N10</f>
        <v/>
      </c>
      <c r="O11" s="185">
        <f>SUM(O9:O10)*'18_Календарь_тарифы'!O10</f>
        <v/>
      </c>
      <c r="P11" s="185">
        <f>SUM(P9:P10)*'18_Календарь_тарифы'!P10</f>
        <v/>
      </c>
      <c r="Q11" s="185">
        <f>SUM(Q9:Q10)*'18_Календарь_тарифы'!Q10</f>
        <v/>
      </c>
      <c r="R11" s="185">
        <f>SUM(R9:R10)*'18_Календарь_тарифы'!R10</f>
        <v/>
      </c>
      <c r="S11" s="185">
        <f>SUM(S9:S10)*'18_Календарь_тарифы'!S10</f>
        <v/>
      </c>
      <c r="T11" s="185">
        <f>SUM(T9:T10)*'18_Календарь_тарифы'!T10</f>
        <v/>
      </c>
      <c r="U11" s="185">
        <f>SUM(U9:U10)*'18_Календарь_тарифы'!U10</f>
        <v/>
      </c>
      <c r="V11" s="185">
        <f>SUM(V9:V10)*'18_Календарь_тарифы'!V10</f>
        <v/>
      </c>
      <c r="W11" s="185">
        <f>SUM(W9:W10)*'18_Календарь_тарифы'!W10</f>
        <v/>
      </c>
      <c r="X11" s="185">
        <f>SUM(X9:X10)*'18_Календарь_тарифы'!X10</f>
        <v/>
      </c>
      <c r="Y11" s="185">
        <f>SUM(Y9:Y10)*'18_Календарь_тарифы'!Y10</f>
        <v/>
      </c>
      <c r="Z11" s="185">
        <f>SUM(Z9:Z10)*'18_Календарь_тарифы'!Z10</f>
        <v/>
      </c>
      <c r="AA11" s="185">
        <f>SUM(AA9:AA10)*'18_Календарь_тарифы'!AA10</f>
        <v/>
      </c>
      <c r="AB11" s="185">
        <f>SUM(AB9:AB10)*'18_Календарь_тарифы'!AB10</f>
        <v/>
      </c>
      <c r="AC11" s="185">
        <f>SUM(AC9:AC10)*'18_Календарь_тарифы'!AC10</f>
        <v/>
      </c>
      <c r="AD11" s="185">
        <f>SUM(AD9:AD10)*'18_Календарь_тарифы'!AD10</f>
        <v/>
      </c>
      <c r="AE11" s="185">
        <f>SUM(AE9:AE10)*'18_Календарь_тарифы'!AE10</f>
        <v/>
      </c>
      <c r="AF11" s="185">
        <f>SUM(AF9:AF10)*'18_Календарь_тарифы'!AF10</f>
        <v/>
      </c>
      <c r="AG11" s="185">
        <f>SUM(AG9:AG10)*'18_Календарь_тарифы'!AG10</f>
        <v/>
      </c>
      <c r="AH11" s="185">
        <f>SUM(AH9:AH10)*'18_Календарь_тарифы'!AH10</f>
        <v/>
      </c>
      <c r="AI11" s="185">
        <f>SUM(AI9:AI10)*'18_Календарь_тарифы'!AI10</f>
        <v/>
      </c>
      <c r="AJ11" s="185">
        <f>SUM(AJ9:AJ10)*'18_Календарь_тарифы'!AJ10</f>
        <v/>
      </c>
      <c r="AK11" s="185">
        <f>SUM(AK9:AK10)*'18_Календарь_тарифы'!AK10</f>
        <v/>
      </c>
      <c r="AL11" s="185">
        <f>SUM(AL9:AL10)*'18_Календарь_тарифы'!AL10</f>
        <v/>
      </c>
      <c r="AM11" s="185">
        <f>SUM(AM9:AM10)*'18_Календарь_тарифы'!AM10</f>
        <v/>
      </c>
      <c r="AN11" s="185">
        <f>SUM(AN9:AN10)*'18_Календарь_тарифы'!AN10</f>
        <v/>
      </c>
      <c r="AO11" s="185">
        <f>SUM(AO9:AO10)*'18_Календарь_тарифы'!AO10</f>
        <v/>
      </c>
      <c r="AP11" s="185">
        <f>SUM(AP9:AP10)*'18_Календарь_тарифы'!AP10</f>
        <v/>
      </c>
      <c r="AQ11" s="185">
        <f>SUM(AQ9:AQ10)*'18_Календарь_тарифы'!AQ10</f>
        <v/>
      </c>
      <c r="AR11" s="185">
        <f>SUM(AR9:AR10)*'18_Календарь_тарифы'!AR10</f>
        <v/>
      </c>
      <c r="AS11" s="185">
        <f>SUM(AS9:AS10)*'18_Календарь_тарифы'!AS10</f>
        <v/>
      </c>
      <c r="AT11" s="185">
        <f>SUM(AT9:AT10)*'18_Календарь_тарифы'!AT10</f>
        <v/>
      </c>
      <c r="AU11" s="185">
        <f>SUM(AU9:AU10)*'18_Календарь_тарифы'!AU10</f>
        <v/>
      </c>
      <c r="AV11" s="185">
        <f>SUM(AV9:AV10)*'18_Календарь_тарифы'!AV10</f>
        <v/>
      </c>
      <c r="AW11" s="185">
        <f>SUM(AW9:AW10)*'18_Календарь_тарифы'!AW10</f>
        <v/>
      </c>
      <c r="AX11" s="185">
        <f>SUM(AX9:AX10)*'18_Календарь_тарифы'!AX10</f>
        <v/>
      </c>
      <c r="AY11" s="185">
        <f>SUM(AY9:AY10)*'18_Календарь_тарифы'!AY10</f>
        <v/>
      </c>
      <c r="AZ11" s="185">
        <f>SUM(AZ9:AZ10)*'18_Календарь_тарифы'!AZ10</f>
        <v/>
      </c>
      <c r="BA11" s="185">
        <f>SUM(BA9:BA10)*'18_Календарь_тарифы'!BA10</f>
        <v/>
      </c>
      <c r="BB11" s="185">
        <f>SUM(BB9:BB10)*'18_Календарь_тарифы'!BB10</f>
        <v/>
      </c>
      <c r="BC11" s="185">
        <f>SUM(BC9:BC10)*'18_Календарь_тарифы'!BC10</f>
        <v/>
      </c>
      <c r="BD11" s="185">
        <f>SUM(BD9:BD10)*'18_Календарь_тарифы'!BD10</f>
        <v/>
      </c>
      <c r="BE11" s="185">
        <f>SUM(BE9:BE10)*'18_Календарь_тарифы'!BE10</f>
        <v/>
      </c>
      <c r="BF11" s="185">
        <f>SUM(BF9:BF10)*'18_Календарь_тарифы'!BF10</f>
        <v/>
      </c>
      <c r="BG11" s="185">
        <f>SUM(BG9:BG10)*'18_Календарь_тарифы'!BG10</f>
        <v/>
      </c>
      <c r="BH11" s="185">
        <f>SUM(BH9:BH10)*'18_Календарь_тарифы'!BH10</f>
        <v/>
      </c>
      <c r="BI11" s="185">
        <f>SUM(BI9:BI10)*'18_Календарь_тарифы'!BI10</f>
        <v/>
      </c>
      <c r="BJ11" s="185">
        <f>SUM(BJ9:BJ10)*'18_Календарь_тарифы'!BJ10</f>
        <v/>
      </c>
      <c r="BK11" s="185">
        <f>SUM(BK9:BK10)*'18_Календарь_тарифы'!BK10</f>
        <v/>
      </c>
      <c r="BL11" s="185">
        <f>SUM(BL9:BL10)*'18_Календарь_тарифы'!BL10</f>
        <v/>
      </c>
      <c r="BM11" s="185">
        <f>SUM(BM9:BM10)*'18_Календарь_тарифы'!BM10</f>
        <v/>
      </c>
      <c r="BN11" s="185">
        <f>SUM(BN9:BN10)*'18_Календарь_тарифы'!BN10</f>
        <v/>
      </c>
      <c r="BO11" s="185">
        <f>SUM(BO9:BO10)*'18_Календарь_тарифы'!BO10</f>
        <v/>
      </c>
    </row>
    <row r="12">
      <c r="A12" s="2" t="inlineStr">
        <is>
          <t>Новые школы — COGS</t>
        </is>
      </c>
      <c r="B12" s="185">
        <f>SUM(B9:B10)*'18_Календарь_тарифы'!B9</f>
        <v/>
      </c>
      <c r="C12" s="185">
        <f>SUM(C9:C10)*'18_Календарь_тарифы'!C9</f>
        <v/>
      </c>
      <c r="D12" s="185">
        <f>SUM(D9:D10)*'18_Календарь_тарифы'!D9</f>
        <v/>
      </c>
      <c r="E12" s="185">
        <f>SUM(E9:E10)*'18_Календарь_тарифы'!E9</f>
        <v/>
      </c>
      <c r="F12" s="185">
        <f>SUM(F9:F10)*'18_Календарь_тарифы'!F9</f>
        <v/>
      </c>
      <c r="G12" s="185">
        <f>SUM(G9:G10)*'18_Календарь_тарифы'!G9</f>
        <v/>
      </c>
      <c r="H12" s="185">
        <f>SUM(H9:H10)*'18_Календарь_тарифы'!H9</f>
        <v/>
      </c>
      <c r="I12" s="185">
        <f>SUM(I9:I10)*'18_Календарь_тарифы'!I9</f>
        <v/>
      </c>
      <c r="J12" s="185">
        <f>SUM(J9:J10)*'18_Календарь_тарифы'!J9</f>
        <v/>
      </c>
      <c r="K12" s="185">
        <f>SUM(K9:K10)*'18_Календарь_тарифы'!K9</f>
        <v/>
      </c>
      <c r="L12" s="185">
        <f>SUM(L9:L10)*'18_Календарь_тарифы'!L9</f>
        <v/>
      </c>
      <c r="M12" s="185">
        <f>SUM(M9:M10)*'18_Календарь_тарифы'!M9</f>
        <v/>
      </c>
      <c r="N12" s="185">
        <f>SUM(N9:N10)*'18_Календарь_тарифы'!N9</f>
        <v/>
      </c>
      <c r="O12" s="185">
        <f>SUM(O9:O10)*'18_Календарь_тарифы'!O9</f>
        <v/>
      </c>
      <c r="P12" s="185">
        <f>SUM(P9:P10)*'18_Календарь_тарифы'!P9</f>
        <v/>
      </c>
      <c r="Q12" s="185">
        <f>SUM(Q9:Q10)*'18_Календарь_тарифы'!Q9</f>
        <v/>
      </c>
      <c r="R12" s="185">
        <f>SUM(R9:R10)*'18_Календарь_тарифы'!R9</f>
        <v/>
      </c>
      <c r="S12" s="185">
        <f>SUM(S9:S10)*'18_Календарь_тарифы'!S9</f>
        <v/>
      </c>
      <c r="T12" s="185">
        <f>SUM(T9:T10)*'18_Календарь_тарифы'!T9</f>
        <v/>
      </c>
      <c r="U12" s="185">
        <f>SUM(U9:U10)*'18_Календарь_тарифы'!U9</f>
        <v/>
      </c>
      <c r="V12" s="185">
        <f>SUM(V9:V10)*'18_Календарь_тарифы'!V9</f>
        <v/>
      </c>
      <c r="W12" s="185">
        <f>SUM(W9:W10)*'18_Календарь_тарифы'!W9</f>
        <v/>
      </c>
      <c r="X12" s="185">
        <f>SUM(X9:X10)*'18_Календарь_тарифы'!X9</f>
        <v/>
      </c>
      <c r="Y12" s="185">
        <f>SUM(Y9:Y10)*'18_Календарь_тарифы'!Y9</f>
        <v/>
      </c>
      <c r="Z12" s="185">
        <f>SUM(Z9:Z10)*'18_Календарь_тарифы'!Z9</f>
        <v/>
      </c>
      <c r="AA12" s="185">
        <f>SUM(AA9:AA10)*'18_Календарь_тарифы'!AA9</f>
        <v/>
      </c>
      <c r="AB12" s="185">
        <f>SUM(AB9:AB10)*'18_Календарь_тарифы'!AB9</f>
        <v/>
      </c>
      <c r="AC12" s="185">
        <f>SUM(AC9:AC10)*'18_Календарь_тарифы'!AC9</f>
        <v/>
      </c>
      <c r="AD12" s="185">
        <f>SUM(AD9:AD10)*'18_Календарь_тарифы'!AD9</f>
        <v/>
      </c>
      <c r="AE12" s="185">
        <f>SUM(AE9:AE10)*'18_Календарь_тарифы'!AE9</f>
        <v/>
      </c>
      <c r="AF12" s="185">
        <f>SUM(AF9:AF10)*'18_Календарь_тарифы'!AF9</f>
        <v/>
      </c>
      <c r="AG12" s="185">
        <f>SUM(AG9:AG10)*'18_Календарь_тарифы'!AG9</f>
        <v/>
      </c>
      <c r="AH12" s="185">
        <f>SUM(AH9:AH10)*'18_Календарь_тарифы'!AH9</f>
        <v/>
      </c>
      <c r="AI12" s="185">
        <f>SUM(AI9:AI10)*'18_Календарь_тарифы'!AI9</f>
        <v/>
      </c>
      <c r="AJ12" s="185">
        <f>SUM(AJ9:AJ10)*'18_Календарь_тарифы'!AJ9</f>
        <v/>
      </c>
      <c r="AK12" s="185">
        <f>SUM(AK9:AK10)*'18_Календарь_тарифы'!AK9</f>
        <v/>
      </c>
      <c r="AL12" s="185">
        <f>SUM(AL9:AL10)*'18_Календарь_тарифы'!AL9</f>
        <v/>
      </c>
      <c r="AM12" s="185">
        <f>SUM(AM9:AM10)*'18_Календарь_тарифы'!AM9</f>
        <v/>
      </c>
      <c r="AN12" s="185">
        <f>SUM(AN9:AN10)*'18_Календарь_тарифы'!AN9</f>
        <v/>
      </c>
      <c r="AO12" s="185">
        <f>SUM(AO9:AO10)*'18_Календарь_тарифы'!AO9</f>
        <v/>
      </c>
      <c r="AP12" s="185">
        <f>SUM(AP9:AP10)*'18_Календарь_тарифы'!AP9</f>
        <v/>
      </c>
      <c r="AQ12" s="185">
        <f>SUM(AQ9:AQ10)*'18_Календарь_тарифы'!AQ9</f>
        <v/>
      </c>
      <c r="AR12" s="185">
        <f>SUM(AR9:AR10)*'18_Календарь_тарифы'!AR9</f>
        <v/>
      </c>
      <c r="AS12" s="185">
        <f>SUM(AS9:AS10)*'18_Календарь_тарифы'!AS9</f>
        <v/>
      </c>
      <c r="AT12" s="185">
        <f>SUM(AT9:AT10)*'18_Календарь_тарифы'!AT9</f>
        <v/>
      </c>
      <c r="AU12" s="185">
        <f>SUM(AU9:AU10)*'18_Календарь_тарифы'!AU9</f>
        <v/>
      </c>
      <c r="AV12" s="185">
        <f>SUM(AV9:AV10)*'18_Календарь_тарифы'!AV9</f>
        <v/>
      </c>
      <c r="AW12" s="185">
        <f>SUM(AW9:AW10)*'18_Календарь_тарифы'!AW9</f>
        <v/>
      </c>
      <c r="AX12" s="185">
        <f>SUM(AX9:AX10)*'18_Календарь_тарифы'!AX9</f>
        <v/>
      </c>
      <c r="AY12" s="185">
        <f>SUM(AY9:AY10)*'18_Календарь_тарифы'!AY9</f>
        <v/>
      </c>
      <c r="AZ12" s="185">
        <f>SUM(AZ9:AZ10)*'18_Календарь_тарифы'!AZ9</f>
        <v/>
      </c>
      <c r="BA12" s="185">
        <f>SUM(BA9:BA10)*'18_Календарь_тарифы'!BA9</f>
        <v/>
      </c>
      <c r="BB12" s="185">
        <f>SUM(BB9:BB10)*'18_Календарь_тарифы'!BB9</f>
        <v/>
      </c>
      <c r="BC12" s="185">
        <f>SUM(BC9:BC10)*'18_Календарь_тарифы'!BC9</f>
        <v/>
      </c>
      <c r="BD12" s="185">
        <f>SUM(BD9:BD10)*'18_Календарь_тарифы'!BD9</f>
        <v/>
      </c>
      <c r="BE12" s="185">
        <f>SUM(BE9:BE10)*'18_Календарь_тарифы'!BE9</f>
        <v/>
      </c>
      <c r="BF12" s="185">
        <f>SUM(BF9:BF10)*'18_Календарь_тарифы'!BF9</f>
        <v/>
      </c>
      <c r="BG12" s="185">
        <f>SUM(BG9:BG10)*'18_Календарь_тарифы'!BG9</f>
        <v/>
      </c>
      <c r="BH12" s="185">
        <f>SUM(BH9:BH10)*'18_Календарь_тарифы'!BH9</f>
        <v/>
      </c>
      <c r="BI12" s="185">
        <f>SUM(BI9:BI10)*'18_Календарь_тарифы'!BI9</f>
        <v/>
      </c>
      <c r="BJ12" s="185">
        <f>SUM(BJ9:BJ10)*'18_Календарь_тарифы'!BJ9</f>
        <v/>
      </c>
      <c r="BK12" s="185">
        <f>SUM(BK9:BK10)*'18_Календарь_тарифы'!BK9</f>
        <v/>
      </c>
      <c r="BL12" s="185">
        <f>SUM(BL9:BL10)*'18_Календарь_тарифы'!BL9</f>
        <v/>
      </c>
      <c r="BM12" s="185">
        <f>SUM(BM9:BM10)*'18_Календарь_тарифы'!BM9</f>
        <v/>
      </c>
      <c r="BN12" s="185">
        <f>SUM(BN9:BN10)*'18_Календарь_тарифы'!BN9</f>
        <v/>
      </c>
      <c r="BO12" s="185">
        <f>SUM(BO9:BO10)*'18_Календарь_тарифы'!BO9</f>
        <v/>
      </c>
    </row>
    <row r="13">
      <c r="B13" s="73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  <c r="AS13" s="73" t="n"/>
      <c r="AT13" s="73" t="n"/>
      <c r="AU13" s="73" t="n"/>
      <c r="AV13" s="73" t="n"/>
      <c r="AW13" s="73" t="n"/>
      <c r="AX13" s="73" t="n"/>
      <c r="AY13" s="73" t="n"/>
      <c r="AZ13" s="73" t="n"/>
      <c r="BA13" s="73" t="n"/>
      <c r="BB13" s="73" t="n"/>
      <c r="BC13" s="73" t="n"/>
      <c r="BD13" s="73" t="n"/>
      <c r="BE13" s="73" t="n"/>
      <c r="BF13" s="73" t="n"/>
      <c r="BG13" s="73" t="n"/>
      <c r="BH13" s="73" t="n"/>
      <c r="BI13" s="73" t="n"/>
      <c r="BJ13" s="73" t="n"/>
      <c r="BK13" s="73" t="n"/>
      <c r="BL13" s="73" t="n"/>
      <c r="BM13" s="73" t="n"/>
      <c r="BN13" s="73" t="n"/>
      <c r="BO13" s="73" t="n"/>
    </row>
    <row r="14">
      <c r="A14" s="10" t="inlineStr">
        <is>
          <t>Всего выручка мерча, с НДС</t>
        </is>
      </c>
      <c r="B14" s="43">
        <f>B6+B11</f>
        <v/>
      </c>
      <c r="C14" s="43">
        <f>C6+C11</f>
        <v/>
      </c>
      <c r="D14" s="43">
        <f>D6+D11</f>
        <v/>
      </c>
      <c r="E14" s="43">
        <f>E6+E11</f>
        <v/>
      </c>
      <c r="F14" s="43">
        <f>F6+F11</f>
        <v/>
      </c>
      <c r="G14" s="43">
        <f>G6+G11</f>
        <v/>
      </c>
      <c r="H14" s="43">
        <f>H6+H11</f>
        <v/>
      </c>
      <c r="I14" s="43">
        <f>I6+I11</f>
        <v/>
      </c>
      <c r="J14" s="43">
        <f>J6+J11</f>
        <v/>
      </c>
      <c r="K14" s="43">
        <f>K6+K11</f>
        <v/>
      </c>
      <c r="L14" s="43">
        <f>L6+L11</f>
        <v/>
      </c>
      <c r="M14" s="43">
        <f>M6+M11</f>
        <v/>
      </c>
      <c r="N14" s="43">
        <f>N6+N11</f>
        <v/>
      </c>
      <c r="O14" s="43">
        <f>O6+O11</f>
        <v/>
      </c>
      <c r="P14" s="43">
        <f>P6+P11</f>
        <v/>
      </c>
      <c r="Q14" s="43">
        <f>Q6+Q11</f>
        <v/>
      </c>
      <c r="R14" s="43">
        <f>R6+R11</f>
        <v/>
      </c>
      <c r="S14" s="43">
        <f>S6+S11</f>
        <v/>
      </c>
      <c r="T14" s="43">
        <f>T6+T11</f>
        <v/>
      </c>
      <c r="U14" s="43">
        <f>U6+U11</f>
        <v/>
      </c>
      <c r="V14" s="43">
        <f>V6+V11</f>
        <v/>
      </c>
      <c r="W14" s="43">
        <f>W6+W11</f>
        <v/>
      </c>
      <c r="X14" s="43">
        <f>X6+X11</f>
        <v/>
      </c>
      <c r="Y14" s="43">
        <f>Y6+Y11</f>
        <v/>
      </c>
      <c r="Z14" s="43">
        <f>Z6+Z11</f>
        <v/>
      </c>
      <c r="AA14" s="43">
        <f>AA6+AA11</f>
        <v/>
      </c>
      <c r="AB14" s="43">
        <f>AB6+AB11</f>
        <v/>
      </c>
      <c r="AC14" s="43">
        <f>AC6+AC11</f>
        <v/>
      </c>
      <c r="AD14" s="43">
        <f>AD6+AD11</f>
        <v/>
      </c>
      <c r="AE14" s="43">
        <f>AE6+AE11</f>
        <v/>
      </c>
      <c r="AF14" s="43">
        <f>AF6+AF11</f>
        <v/>
      </c>
      <c r="AG14" s="43">
        <f>AG6+AG11</f>
        <v/>
      </c>
      <c r="AH14" s="43">
        <f>AH6+AH11</f>
        <v/>
      </c>
      <c r="AI14" s="43">
        <f>AI6+AI11</f>
        <v/>
      </c>
      <c r="AJ14" s="43">
        <f>AJ6+AJ11</f>
        <v/>
      </c>
      <c r="AK14" s="43">
        <f>AK6+AK11</f>
        <v/>
      </c>
      <c r="AL14" s="43">
        <f>AL6+AL11</f>
        <v/>
      </c>
      <c r="AM14" s="43">
        <f>AM6+AM11</f>
        <v/>
      </c>
      <c r="AN14" s="43">
        <f>AN6+AN11</f>
        <v/>
      </c>
      <c r="AO14" s="43">
        <f>AO6+AO11</f>
        <v/>
      </c>
      <c r="AP14" s="43">
        <f>AP6+AP11</f>
        <v/>
      </c>
      <c r="AQ14" s="43">
        <f>AQ6+AQ11</f>
        <v/>
      </c>
      <c r="AR14" s="43">
        <f>AR6+AR11</f>
        <v/>
      </c>
      <c r="AS14" s="43">
        <f>AS6+AS11</f>
        <v/>
      </c>
      <c r="AT14" s="43">
        <f>AT6+AT11</f>
        <v/>
      </c>
      <c r="AU14" s="43">
        <f>AU6+AU11</f>
        <v/>
      </c>
      <c r="AV14" s="43">
        <f>AV6+AV11</f>
        <v/>
      </c>
      <c r="AW14" s="43">
        <f>AW6+AW11</f>
        <v/>
      </c>
      <c r="AX14" s="43">
        <f>AX6+AX11</f>
        <v/>
      </c>
      <c r="AY14" s="43">
        <f>AY6+AY11</f>
        <v/>
      </c>
      <c r="AZ14" s="43">
        <f>AZ6+AZ11</f>
        <v/>
      </c>
      <c r="BA14" s="43">
        <f>BA6+BA11</f>
        <v/>
      </c>
      <c r="BB14" s="43">
        <f>BB6+BB11</f>
        <v/>
      </c>
      <c r="BC14" s="43">
        <f>BC6+BC11</f>
        <v/>
      </c>
      <c r="BD14" s="43">
        <f>BD6+BD11</f>
        <v/>
      </c>
      <c r="BE14" s="43">
        <f>BE6+BE11</f>
        <v/>
      </c>
      <c r="BF14" s="43">
        <f>BF6+BF11</f>
        <v/>
      </c>
      <c r="BG14" s="43">
        <f>BG6+BG11</f>
        <v/>
      </c>
      <c r="BH14" s="43">
        <f>BH6+BH11</f>
        <v/>
      </c>
      <c r="BI14" s="43">
        <f>BI6+BI11</f>
        <v/>
      </c>
      <c r="BJ14" s="43">
        <f>BJ6+BJ11</f>
        <v/>
      </c>
      <c r="BK14" s="43">
        <f>BK6+BK11</f>
        <v/>
      </c>
      <c r="BL14" s="43">
        <f>BL6+BL11</f>
        <v/>
      </c>
      <c r="BM14" s="43">
        <f>BM6+BM11</f>
        <v/>
      </c>
      <c r="BN14" s="43">
        <f>BN6+BN11</f>
        <v/>
      </c>
      <c r="BO14" s="43">
        <f>BO6+BO11</f>
        <v/>
      </c>
    </row>
    <row r="15">
      <c r="A15" s="10" t="inlineStr">
        <is>
          <t>Всего выручка мерча, без НДС</t>
        </is>
      </c>
      <c r="B15" s="43">
        <f>B14/(1+'01_Вводные'!$B$58)</f>
        <v/>
      </c>
      <c r="C15" s="43">
        <f>C14/(1+'01_Вводные'!$B$58)</f>
        <v/>
      </c>
      <c r="D15" s="43">
        <f>D14/(1+'01_Вводные'!$B$58)</f>
        <v/>
      </c>
      <c r="E15" s="43">
        <f>E14/(1+'01_Вводные'!$B$58)</f>
        <v/>
      </c>
      <c r="F15" s="43">
        <f>F14/(1+'01_Вводные'!$B$58)</f>
        <v/>
      </c>
      <c r="G15" s="43">
        <f>G14/(1+'01_Вводные'!$B$58)</f>
        <v/>
      </c>
      <c r="H15" s="43">
        <f>H14/(1+'01_Вводные'!$B$58)</f>
        <v/>
      </c>
      <c r="I15" s="43">
        <f>I14/(1+'01_Вводные'!$B$58)</f>
        <v/>
      </c>
      <c r="J15" s="43">
        <f>J14/(1+'01_Вводные'!$B$58)</f>
        <v/>
      </c>
      <c r="K15" s="43">
        <f>K14/(1+'01_Вводные'!$B$58)</f>
        <v/>
      </c>
      <c r="L15" s="43">
        <f>L14/(1+'01_Вводные'!$B$58)</f>
        <v/>
      </c>
      <c r="M15" s="43">
        <f>M14/(1+'01_Вводные'!$B$58)</f>
        <v/>
      </c>
      <c r="N15" s="43">
        <f>N14/(1+'01_Вводные'!$B$58)</f>
        <v/>
      </c>
      <c r="O15" s="43">
        <f>O14/(1+'01_Вводные'!$B$58)</f>
        <v/>
      </c>
      <c r="P15" s="43">
        <f>P14/(1+'01_Вводные'!$B$58)</f>
        <v/>
      </c>
      <c r="Q15" s="43">
        <f>Q14/(1+'01_Вводные'!$B$58)</f>
        <v/>
      </c>
      <c r="R15" s="43">
        <f>R14/(1+'01_Вводные'!$B$58)</f>
        <v/>
      </c>
      <c r="S15" s="43">
        <f>S14/(1+'01_Вводные'!$B$58)</f>
        <v/>
      </c>
      <c r="T15" s="43">
        <f>T14/(1+'01_Вводные'!$B$58)</f>
        <v/>
      </c>
      <c r="U15" s="43">
        <f>U14/(1+'01_Вводные'!$B$58)</f>
        <v/>
      </c>
      <c r="V15" s="43">
        <f>V14/(1+'01_Вводные'!$B$58)</f>
        <v/>
      </c>
      <c r="W15" s="43">
        <f>W14/(1+'01_Вводные'!$B$58)</f>
        <v/>
      </c>
      <c r="X15" s="43">
        <f>X14/(1+'01_Вводные'!$B$58)</f>
        <v/>
      </c>
      <c r="Y15" s="43">
        <f>Y14/(1+'01_Вводные'!$B$58)</f>
        <v/>
      </c>
      <c r="Z15" s="43">
        <f>Z14/(1+'01_Вводные'!$B$58)</f>
        <v/>
      </c>
      <c r="AA15" s="43">
        <f>AA14/(1+'01_Вводные'!$B$58)</f>
        <v/>
      </c>
      <c r="AB15" s="43">
        <f>AB14/(1+'01_Вводные'!$B$58)</f>
        <v/>
      </c>
      <c r="AC15" s="43">
        <f>AC14/(1+'01_Вводные'!$B$58)</f>
        <v/>
      </c>
      <c r="AD15" s="43">
        <f>AD14/(1+'01_Вводные'!$B$58)</f>
        <v/>
      </c>
      <c r="AE15" s="43">
        <f>AE14/(1+'01_Вводные'!$B$58)</f>
        <v/>
      </c>
      <c r="AF15" s="43">
        <f>AF14/(1+'01_Вводные'!$B$58)</f>
        <v/>
      </c>
      <c r="AG15" s="43">
        <f>AG14/(1+'01_Вводные'!$B$58)</f>
        <v/>
      </c>
      <c r="AH15" s="43">
        <f>AH14/(1+'01_Вводные'!$B$58)</f>
        <v/>
      </c>
      <c r="AI15" s="43">
        <f>AI14/(1+'01_Вводные'!$B$58)</f>
        <v/>
      </c>
      <c r="AJ15" s="43">
        <f>AJ14/(1+'01_Вводные'!$B$58)</f>
        <v/>
      </c>
      <c r="AK15" s="43">
        <f>AK14/(1+'01_Вводные'!$B$58)</f>
        <v/>
      </c>
      <c r="AL15" s="43">
        <f>AL14/(1+'01_Вводные'!$B$58)</f>
        <v/>
      </c>
      <c r="AM15" s="43">
        <f>AM14/(1+'01_Вводные'!$B$58)</f>
        <v/>
      </c>
      <c r="AN15" s="43">
        <f>AN14/(1+'01_Вводные'!$B$58)</f>
        <v/>
      </c>
      <c r="AO15" s="43">
        <f>AO14/(1+'01_Вводные'!$B$58)</f>
        <v/>
      </c>
      <c r="AP15" s="43">
        <f>AP14/(1+'01_Вводные'!$B$58)</f>
        <v/>
      </c>
      <c r="AQ15" s="43">
        <f>AQ14/(1+'01_Вводные'!$B$58)</f>
        <v/>
      </c>
      <c r="AR15" s="43">
        <f>AR14/(1+'01_Вводные'!$B$58)</f>
        <v/>
      </c>
      <c r="AS15" s="43">
        <f>AS14/(1+'01_Вводные'!$B$58)</f>
        <v/>
      </c>
      <c r="AT15" s="43">
        <f>AT14/(1+'01_Вводные'!$B$58)</f>
        <v/>
      </c>
      <c r="AU15" s="43">
        <f>AU14/(1+'01_Вводные'!$B$58)</f>
        <v/>
      </c>
      <c r="AV15" s="43">
        <f>AV14/(1+'01_Вводные'!$B$58)</f>
        <v/>
      </c>
      <c r="AW15" s="43">
        <f>AW14/(1+'01_Вводные'!$B$58)</f>
        <v/>
      </c>
      <c r="AX15" s="43">
        <f>AX14/(1+'01_Вводные'!$B$58)</f>
        <v/>
      </c>
      <c r="AY15" s="43">
        <f>AY14/(1+'01_Вводные'!$B$58)</f>
        <v/>
      </c>
      <c r="AZ15" s="43">
        <f>AZ14/(1+'01_Вводные'!$B$58)</f>
        <v/>
      </c>
      <c r="BA15" s="43">
        <f>BA14/(1+'01_Вводные'!$B$58)</f>
        <v/>
      </c>
      <c r="BB15" s="43">
        <f>BB14/(1+'01_Вводные'!$B$58)</f>
        <v/>
      </c>
      <c r="BC15" s="43">
        <f>BC14/(1+'01_Вводные'!$B$58)</f>
        <v/>
      </c>
      <c r="BD15" s="43">
        <f>BD14/(1+'01_Вводные'!$B$58)</f>
        <v/>
      </c>
      <c r="BE15" s="43">
        <f>BE14/(1+'01_Вводные'!$B$58)</f>
        <v/>
      </c>
      <c r="BF15" s="43">
        <f>BF14/(1+'01_Вводные'!$B$58)</f>
        <v/>
      </c>
      <c r="BG15" s="43">
        <f>BG14/(1+'01_Вводные'!$B$58)</f>
        <v/>
      </c>
      <c r="BH15" s="43">
        <f>BH14/(1+'01_Вводные'!$B$58)</f>
        <v/>
      </c>
      <c r="BI15" s="43">
        <f>BI14/(1+'01_Вводные'!$B$58)</f>
        <v/>
      </c>
      <c r="BJ15" s="43">
        <f>BJ14/(1+'01_Вводные'!$B$58)</f>
        <v/>
      </c>
      <c r="BK15" s="43">
        <f>BK14/(1+'01_Вводные'!$B$58)</f>
        <v/>
      </c>
      <c r="BL15" s="43">
        <f>BL14/(1+'01_Вводные'!$B$58)</f>
        <v/>
      </c>
      <c r="BM15" s="43">
        <f>BM14/(1+'01_Вводные'!$B$58)</f>
        <v/>
      </c>
      <c r="BN15" s="43">
        <f>BN14/(1+'01_Вводные'!$B$58)</f>
        <v/>
      </c>
      <c r="BO15" s="43">
        <f>BO14/(1+'01_Вводные'!$B$58)</f>
        <v/>
      </c>
    </row>
    <row r="16">
      <c r="A16" s="10" t="inlineStr">
        <is>
          <t>Всего COGS</t>
        </is>
      </c>
      <c r="B16" s="43">
        <f>B7+B12</f>
        <v/>
      </c>
      <c r="C16" s="43">
        <f>C7+C12</f>
        <v/>
      </c>
      <c r="D16" s="43">
        <f>D7+D12</f>
        <v/>
      </c>
      <c r="E16" s="43">
        <f>E7+E12</f>
        <v/>
      </c>
      <c r="F16" s="43">
        <f>F7+F12</f>
        <v/>
      </c>
      <c r="G16" s="43">
        <f>G7+G12</f>
        <v/>
      </c>
      <c r="H16" s="43">
        <f>H7+H12</f>
        <v/>
      </c>
      <c r="I16" s="43">
        <f>I7+I12</f>
        <v/>
      </c>
      <c r="J16" s="43">
        <f>J7+J12</f>
        <v/>
      </c>
      <c r="K16" s="43">
        <f>K7+K12</f>
        <v/>
      </c>
      <c r="L16" s="43">
        <f>L7+L12</f>
        <v/>
      </c>
      <c r="M16" s="43">
        <f>M7+M12</f>
        <v/>
      </c>
      <c r="N16" s="43">
        <f>N7+N12</f>
        <v/>
      </c>
      <c r="O16" s="43">
        <f>O7+O12</f>
        <v/>
      </c>
      <c r="P16" s="43">
        <f>P7+P12</f>
        <v/>
      </c>
      <c r="Q16" s="43">
        <f>Q7+Q12</f>
        <v/>
      </c>
      <c r="R16" s="43">
        <f>R7+R12</f>
        <v/>
      </c>
      <c r="S16" s="43">
        <f>S7+S12</f>
        <v/>
      </c>
      <c r="T16" s="43">
        <f>T7+T12</f>
        <v/>
      </c>
      <c r="U16" s="43">
        <f>U7+U12</f>
        <v/>
      </c>
      <c r="V16" s="43">
        <f>V7+V12</f>
        <v/>
      </c>
      <c r="W16" s="43">
        <f>W7+W12</f>
        <v/>
      </c>
      <c r="X16" s="43">
        <f>X7+X12</f>
        <v/>
      </c>
      <c r="Y16" s="43">
        <f>Y7+Y12</f>
        <v/>
      </c>
      <c r="Z16" s="43">
        <f>Z7+Z12</f>
        <v/>
      </c>
      <c r="AA16" s="43">
        <f>AA7+AA12</f>
        <v/>
      </c>
      <c r="AB16" s="43">
        <f>AB7+AB12</f>
        <v/>
      </c>
      <c r="AC16" s="43">
        <f>AC7+AC12</f>
        <v/>
      </c>
      <c r="AD16" s="43">
        <f>AD7+AD12</f>
        <v/>
      </c>
      <c r="AE16" s="43">
        <f>AE7+AE12</f>
        <v/>
      </c>
      <c r="AF16" s="43">
        <f>AF7+AF12</f>
        <v/>
      </c>
      <c r="AG16" s="43">
        <f>AG7+AG12</f>
        <v/>
      </c>
      <c r="AH16" s="43">
        <f>AH7+AH12</f>
        <v/>
      </c>
      <c r="AI16" s="43">
        <f>AI7+AI12</f>
        <v/>
      </c>
      <c r="AJ16" s="43">
        <f>AJ7+AJ12</f>
        <v/>
      </c>
      <c r="AK16" s="43">
        <f>AK7+AK12</f>
        <v/>
      </c>
      <c r="AL16" s="43">
        <f>AL7+AL12</f>
        <v/>
      </c>
      <c r="AM16" s="43">
        <f>AM7+AM12</f>
        <v/>
      </c>
      <c r="AN16" s="43">
        <f>AN7+AN12</f>
        <v/>
      </c>
      <c r="AO16" s="43">
        <f>AO7+AO12</f>
        <v/>
      </c>
      <c r="AP16" s="43">
        <f>AP7+AP12</f>
        <v/>
      </c>
      <c r="AQ16" s="43">
        <f>AQ7+AQ12</f>
        <v/>
      </c>
      <c r="AR16" s="43">
        <f>AR7+AR12</f>
        <v/>
      </c>
      <c r="AS16" s="43">
        <f>AS7+AS12</f>
        <v/>
      </c>
      <c r="AT16" s="43">
        <f>AT7+AT12</f>
        <v/>
      </c>
      <c r="AU16" s="43">
        <f>AU7+AU12</f>
        <v/>
      </c>
      <c r="AV16" s="43">
        <f>AV7+AV12</f>
        <v/>
      </c>
      <c r="AW16" s="43">
        <f>AW7+AW12</f>
        <v/>
      </c>
      <c r="AX16" s="43">
        <f>AX7+AX12</f>
        <v/>
      </c>
      <c r="AY16" s="43">
        <f>AY7+AY12</f>
        <v/>
      </c>
      <c r="AZ16" s="43">
        <f>AZ7+AZ12</f>
        <v/>
      </c>
      <c r="BA16" s="43">
        <f>BA7+BA12</f>
        <v/>
      </c>
      <c r="BB16" s="43">
        <f>BB7+BB12</f>
        <v/>
      </c>
      <c r="BC16" s="43">
        <f>BC7+BC12</f>
        <v/>
      </c>
      <c r="BD16" s="43">
        <f>BD7+BD12</f>
        <v/>
      </c>
      <c r="BE16" s="43">
        <f>BE7+BE12</f>
        <v/>
      </c>
      <c r="BF16" s="43">
        <f>BF7+BF12</f>
        <v/>
      </c>
      <c r="BG16" s="43">
        <f>BG7+BG12</f>
        <v/>
      </c>
      <c r="BH16" s="43">
        <f>BH7+BH12</f>
        <v/>
      </c>
      <c r="BI16" s="43">
        <f>BI7+BI12</f>
        <v/>
      </c>
      <c r="BJ16" s="43">
        <f>BJ7+BJ12</f>
        <v/>
      </c>
      <c r="BK16" s="43">
        <f>BK7+BK12</f>
        <v/>
      </c>
      <c r="BL16" s="43">
        <f>BL7+BL12</f>
        <v/>
      </c>
      <c r="BM16" s="43">
        <f>BM7+BM12</f>
        <v/>
      </c>
      <c r="BN16" s="43">
        <f>BN7+BN12</f>
        <v/>
      </c>
      <c r="BO16" s="43">
        <f>BO7+BO12</f>
        <v/>
      </c>
    </row>
    <row r="17">
      <c r="A17" s="2" t="inlineStr">
        <is>
          <t>Логистика/возвраты/брак</t>
        </is>
      </c>
      <c r="B17" s="42">
        <f>B15*'01_Вводные'!$B$75</f>
        <v/>
      </c>
      <c r="C17" s="42">
        <f>C15*'01_Вводные'!$B$75</f>
        <v/>
      </c>
      <c r="D17" s="42">
        <f>D15*'01_Вводные'!$B$75</f>
        <v/>
      </c>
      <c r="E17" s="42">
        <f>E15*'01_Вводные'!$B$75</f>
        <v/>
      </c>
      <c r="F17" s="42">
        <f>F15*'01_Вводные'!$B$75</f>
        <v/>
      </c>
      <c r="G17" s="42">
        <f>G15*'01_Вводные'!$B$75</f>
        <v/>
      </c>
      <c r="H17" s="42">
        <f>H15*'01_Вводные'!$B$75</f>
        <v/>
      </c>
      <c r="I17" s="42">
        <f>I15*'01_Вводные'!$B$75</f>
        <v/>
      </c>
      <c r="J17" s="42">
        <f>J15*'01_Вводные'!$B$75</f>
        <v/>
      </c>
      <c r="K17" s="42">
        <f>K15*'01_Вводные'!$B$75</f>
        <v/>
      </c>
      <c r="L17" s="42">
        <f>L15*'01_Вводные'!$B$75</f>
        <v/>
      </c>
      <c r="M17" s="42">
        <f>M15*'01_Вводные'!$B$75</f>
        <v/>
      </c>
      <c r="N17" s="42">
        <f>N15*'01_Вводные'!$B$75</f>
        <v/>
      </c>
      <c r="O17" s="42">
        <f>O15*'01_Вводные'!$B$75</f>
        <v/>
      </c>
      <c r="P17" s="42">
        <f>P15*'01_Вводные'!$B$75</f>
        <v/>
      </c>
      <c r="Q17" s="42">
        <f>Q15*'01_Вводные'!$B$75</f>
        <v/>
      </c>
      <c r="R17" s="42">
        <f>R15*'01_Вводные'!$B$75</f>
        <v/>
      </c>
      <c r="S17" s="42">
        <f>S15*'01_Вводные'!$B$75</f>
        <v/>
      </c>
      <c r="T17" s="42">
        <f>T15*'01_Вводные'!$B$75</f>
        <v/>
      </c>
      <c r="U17" s="42">
        <f>U15*'01_Вводные'!$B$75</f>
        <v/>
      </c>
      <c r="V17" s="42">
        <f>V15*'01_Вводные'!$B$75</f>
        <v/>
      </c>
      <c r="W17" s="42">
        <f>W15*'01_Вводные'!$B$75</f>
        <v/>
      </c>
      <c r="X17" s="42">
        <f>X15*'01_Вводные'!$B$75</f>
        <v/>
      </c>
      <c r="Y17" s="42">
        <f>Y15*'01_Вводные'!$B$75</f>
        <v/>
      </c>
      <c r="Z17" s="42">
        <f>Z15*'01_Вводные'!$B$75</f>
        <v/>
      </c>
      <c r="AA17" s="42">
        <f>AA15*'01_Вводные'!$B$75</f>
        <v/>
      </c>
      <c r="AB17" s="42">
        <f>AB15*'01_Вводные'!$B$75</f>
        <v/>
      </c>
      <c r="AC17" s="42">
        <f>AC15*'01_Вводные'!$B$75</f>
        <v/>
      </c>
      <c r="AD17" s="42">
        <f>AD15*'01_Вводные'!$B$75</f>
        <v/>
      </c>
      <c r="AE17" s="42">
        <f>AE15*'01_Вводные'!$B$75</f>
        <v/>
      </c>
      <c r="AF17" s="42">
        <f>AF15*'01_Вводные'!$B$75</f>
        <v/>
      </c>
      <c r="AG17" s="42">
        <f>AG15*'01_Вводные'!$B$75</f>
        <v/>
      </c>
      <c r="AH17" s="42">
        <f>AH15*'01_Вводные'!$B$75</f>
        <v/>
      </c>
      <c r="AI17" s="42">
        <f>AI15*'01_Вводные'!$B$75</f>
        <v/>
      </c>
      <c r="AJ17" s="42">
        <f>AJ15*'01_Вводные'!$B$75</f>
        <v/>
      </c>
      <c r="AK17" s="42">
        <f>AK15*'01_Вводные'!$B$75</f>
        <v/>
      </c>
      <c r="AL17" s="42">
        <f>AL15*'01_Вводные'!$B$75</f>
        <v/>
      </c>
      <c r="AM17" s="42">
        <f>AM15*'01_Вводные'!$B$75</f>
        <v/>
      </c>
      <c r="AN17" s="42">
        <f>AN15*'01_Вводные'!$B$75</f>
        <v/>
      </c>
      <c r="AO17" s="42">
        <f>AO15*'01_Вводные'!$B$75</f>
        <v/>
      </c>
      <c r="AP17" s="42">
        <f>AP15*'01_Вводные'!$B$75</f>
        <v/>
      </c>
      <c r="AQ17" s="42">
        <f>AQ15*'01_Вводные'!$B$75</f>
        <v/>
      </c>
      <c r="AR17" s="42">
        <f>AR15*'01_Вводные'!$B$75</f>
        <v/>
      </c>
      <c r="AS17" s="42">
        <f>AS15*'01_Вводные'!$B$75</f>
        <v/>
      </c>
      <c r="AT17" s="42">
        <f>AT15*'01_Вводные'!$B$75</f>
        <v/>
      </c>
      <c r="AU17" s="42">
        <f>AU15*'01_Вводные'!$B$75</f>
        <v/>
      </c>
      <c r="AV17" s="42">
        <f>AV15*'01_Вводные'!$B$75</f>
        <v/>
      </c>
      <c r="AW17" s="42">
        <f>AW15*'01_Вводные'!$B$75</f>
        <v/>
      </c>
      <c r="AX17" s="42">
        <f>AX15*'01_Вводные'!$B$75</f>
        <v/>
      </c>
      <c r="AY17" s="42">
        <f>AY15*'01_Вводные'!$B$75</f>
        <v/>
      </c>
      <c r="AZ17" s="42">
        <f>AZ15*'01_Вводные'!$B$75</f>
        <v/>
      </c>
      <c r="BA17" s="42">
        <f>BA15*'01_Вводные'!$B$75</f>
        <v/>
      </c>
      <c r="BB17" s="42">
        <f>BB15*'01_Вводные'!$B$75</f>
        <v/>
      </c>
      <c r="BC17" s="42">
        <f>BC15*'01_Вводные'!$B$75</f>
        <v/>
      </c>
      <c r="BD17" s="42">
        <f>BD15*'01_Вводные'!$B$75</f>
        <v/>
      </c>
      <c r="BE17" s="42">
        <f>BE15*'01_Вводные'!$B$75</f>
        <v/>
      </c>
      <c r="BF17" s="42">
        <f>BF15*'01_Вводные'!$B$75</f>
        <v/>
      </c>
      <c r="BG17" s="42">
        <f>BG15*'01_Вводные'!$B$75</f>
        <v/>
      </c>
      <c r="BH17" s="42">
        <f>BH15*'01_Вводные'!$B$75</f>
        <v/>
      </c>
      <c r="BI17" s="42">
        <f>BI15*'01_Вводные'!$B$75</f>
        <v/>
      </c>
      <c r="BJ17" s="42">
        <f>BJ15*'01_Вводные'!$B$75</f>
        <v/>
      </c>
      <c r="BK17" s="42">
        <f>BK15*'01_Вводные'!$B$75</f>
        <v/>
      </c>
      <c r="BL17" s="42">
        <f>BL15*'01_Вводные'!$B$75</f>
        <v/>
      </c>
      <c r="BM17" s="42">
        <f>BM15*'01_Вводные'!$B$75</f>
        <v/>
      </c>
      <c r="BN17" s="42">
        <f>BN15*'01_Вводные'!$B$75</f>
        <v/>
      </c>
      <c r="BO17" s="42">
        <f>BO15*'01_Вводные'!$B$75</f>
        <v/>
      </c>
    </row>
    <row r="18">
      <c r="A18" s="10" t="inlineStr">
        <is>
          <t>Прибыль мерча до ФК (не ниже нуля для распределения)</t>
        </is>
      </c>
      <c r="B18" s="43">
        <f>MAX(0,B15-B16-B17)</f>
        <v/>
      </c>
      <c r="C18" s="43">
        <f>MAX(0,C15-C16-C17)</f>
        <v/>
      </c>
      <c r="D18" s="43">
        <f>MAX(0,D15-D16-D17)</f>
        <v/>
      </c>
      <c r="E18" s="43">
        <f>MAX(0,E15-E16-E17)</f>
        <v/>
      </c>
      <c r="F18" s="43">
        <f>MAX(0,F15-F16-F17)</f>
        <v/>
      </c>
      <c r="G18" s="43">
        <f>MAX(0,G15-G16-G17)</f>
        <v/>
      </c>
      <c r="H18" s="43">
        <f>MAX(0,H15-H16-H17)</f>
        <v/>
      </c>
      <c r="I18" s="43">
        <f>MAX(0,I15-I16-I17)</f>
        <v/>
      </c>
      <c r="J18" s="43">
        <f>MAX(0,J15-J16-J17)</f>
        <v/>
      </c>
      <c r="K18" s="43">
        <f>MAX(0,K15-K16-K17)</f>
        <v/>
      </c>
      <c r="L18" s="43">
        <f>MAX(0,L15-L16-L17)</f>
        <v/>
      </c>
      <c r="M18" s="43">
        <f>MAX(0,M15-M16-M17)</f>
        <v/>
      </c>
      <c r="N18" s="43">
        <f>MAX(0,N15-N16-N17)</f>
        <v/>
      </c>
      <c r="O18" s="43">
        <f>MAX(0,O15-O16-O17)</f>
        <v/>
      </c>
      <c r="P18" s="43">
        <f>MAX(0,P15-P16-P17)</f>
        <v/>
      </c>
      <c r="Q18" s="43">
        <f>MAX(0,Q15-Q16-Q17)</f>
        <v/>
      </c>
      <c r="R18" s="43">
        <f>MAX(0,R15-R16-R17)</f>
        <v/>
      </c>
      <c r="S18" s="43">
        <f>MAX(0,S15-S16-S17)</f>
        <v/>
      </c>
      <c r="T18" s="43">
        <f>MAX(0,T15-T16-T17)</f>
        <v/>
      </c>
      <c r="U18" s="43">
        <f>MAX(0,U15-U16-U17)</f>
        <v/>
      </c>
      <c r="V18" s="43">
        <f>MAX(0,V15-V16-V17)</f>
        <v/>
      </c>
      <c r="W18" s="43">
        <f>MAX(0,W15-W16-W17)</f>
        <v/>
      </c>
      <c r="X18" s="43">
        <f>MAX(0,X15-X16-X17)</f>
        <v/>
      </c>
      <c r="Y18" s="43">
        <f>MAX(0,Y15-Y16-Y17)</f>
        <v/>
      </c>
      <c r="Z18" s="43">
        <f>MAX(0,Z15-Z16-Z17)</f>
        <v/>
      </c>
      <c r="AA18" s="43">
        <f>MAX(0,AA15-AA16-AA17)</f>
        <v/>
      </c>
      <c r="AB18" s="43">
        <f>MAX(0,AB15-AB16-AB17)</f>
        <v/>
      </c>
      <c r="AC18" s="43">
        <f>MAX(0,AC15-AC16-AC17)</f>
        <v/>
      </c>
      <c r="AD18" s="43">
        <f>MAX(0,AD15-AD16-AD17)</f>
        <v/>
      </c>
      <c r="AE18" s="43">
        <f>MAX(0,AE15-AE16-AE17)</f>
        <v/>
      </c>
      <c r="AF18" s="43">
        <f>MAX(0,AF15-AF16-AF17)</f>
        <v/>
      </c>
      <c r="AG18" s="43">
        <f>MAX(0,AG15-AG16-AG17)</f>
        <v/>
      </c>
      <c r="AH18" s="43">
        <f>MAX(0,AH15-AH16-AH17)</f>
        <v/>
      </c>
      <c r="AI18" s="43">
        <f>MAX(0,AI15-AI16-AI17)</f>
        <v/>
      </c>
      <c r="AJ18" s="43">
        <f>MAX(0,AJ15-AJ16-AJ17)</f>
        <v/>
      </c>
      <c r="AK18" s="43">
        <f>MAX(0,AK15-AK16-AK17)</f>
        <v/>
      </c>
      <c r="AL18" s="43">
        <f>MAX(0,AL15-AL16-AL17)</f>
        <v/>
      </c>
      <c r="AM18" s="43">
        <f>MAX(0,AM15-AM16-AM17)</f>
        <v/>
      </c>
      <c r="AN18" s="43">
        <f>MAX(0,AN15-AN16-AN17)</f>
        <v/>
      </c>
      <c r="AO18" s="43">
        <f>MAX(0,AO15-AO16-AO17)</f>
        <v/>
      </c>
      <c r="AP18" s="43">
        <f>MAX(0,AP15-AP16-AP17)</f>
        <v/>
      </c>
      <c r="AQ18" s="43">
        <f>MAX(0,AQ15-AQ16-AQ17)</f>
        <v/>
      </c>
      <c r="AR18" s="43">
        <f>MAX(0,AR15-AR16-AR17)</f>
        <v/>
      </c>
      <c r="AS18" s="43">
        <f>MAX(0,AS15-AS16-AS17)</f>
        <v/>
      </c>
      <c r="AT18" s="43">
        <f>MAX(0,AT15-AT16-AT17)</f>
        <v/>
      </c>
      <c r="AU18" s="43">
        <f>MAX(0,AU15-AU16-AU17)</f>
        <v/>
      </c>
      <c r="AV18" s="43">
        <f>MAX(0,AV15-AV16-AV17)</f>
        <v/>
      </c>
      <c r="AW18" s="43">
        <f>MAX(0,AW15-AW16-AW17)</f>
        <v/>
      </c>
      <c r="AX18" s="43">
        <f>MAX(0,AX15-AX16-AX17)</f>
        <v/>
      </c>
      <c r="AY18" s="43">
        <f>MAX(0,AY15-AY16-AY17)</f>
        <v/>
      </c>
      <c r="AZ18" s="43">
        <f>MAX(0,AZ15-AZ16-AZ17)</f>
        <v/>
      </c>
      <c r="BA18" s="43">
        <f>MAX(0,BA15-BA16-BA17)</f>
        <v/>
      </c>
      <c r="BB18" s="43">
        <f>MAX(0,BB15-BB16-BB17)</f>
        <v/>
      </c>
      <c r="BC18" s="43">
        <f>MAX(0,BC15-BC16-BC17)</f>
        <v/>
      </c>
      <c r="BD18" s="43">
        <f>MAX(0,BD15-BD16-BD17)</f>
        <v/>
      </c>
      <c r="BE18" s="43">
        <f>MAX(0,BE15-BE16-BE17)</f>
        <v/>
      </c>
      <c r="BF18" s="43">
        <f>MAX(0,BF15-BF16-BF17)</f>
        <v/>
      </c>
      <c r="BG18" s="43">
        <f>MAX(0,BG15-BG16-BG17)</f>
        <v/>
      </c>
      <c r="BH18" s="43">
        <f>MAX(0,BH15-BH16-BH17)</f>
        <v/>
      </c>
      <c r="BI18" s="43">
        <f>MAX(0,BI15-BI16-BI17)</f>
        <v/>
      </c>
      <c r="BJ18" s="43">
        <f>MAX(0,BJ15-BJ16-BJ17)</f>
        <v/>
      </c>
      <c r="BK18" s="43">
        <f>MAX(0,BK15-BK16-BK17)</f>
        <v/>
      </c>
      <c r="BL18" s="43">
        <f>MAX(0,BL15-BL16-BL17)</f>
        <v/>
      </c>
      <c r="BM18" s="43">
        <f>MAX(0,BM15-BM16-BM17)</f>
        <v/>
      </c>
      <c r="BN18" s="43">
        <f>MAX(0,BN15-BN16-BN17)</f>
        <v/>
      </c>
      <c r="BO18" s="43">
        <f>MAX(0,BO15-BO16-BO17)</f>
        <v/>
      </c>
    </row>
    <row r="19">
      <c r="A19" s="10" t="inlineStr">
        <is>
          <t>35% ФК от прибыли мерча</t>
        </is>
      </c>
      <c r="B19" s="43">
        <f>B18*'01_Вводные'!$B$76</f>
        <v/>
      </c>
      <c r="C19" s="43">
        <f>C18*'01_Вводные'!$B$76</f>
        <v/>
      </c>
      <c r="D19" s="43">
        <f>D18*'01_Вводные'!$B$76</f>
        <v/>
      </c>
      <c r="E19" s="43">
        <f>E18*'01_Вводные'!$B$76</f>
        <v/>
      </c>
      <c r="F19" s="43">
        <f>F18*'01_Вводные'!$B$76</f>
        <v/>
      </c>
      <c r="G19" s="43">
        <f>G18*'01_Вводные'!$B$76</f>
        <v/>
      </c>
      <c r="H19" s="43">
        <f>H18*'01_Вводные'!$B$76</f>
        <v/>
      </c>
      <c r="I19" s="43">
        <f>I18*'01_Вводные'!$B$76</f>
        <v/>
      </c>
      <c r="J19" s="43">
        <f>J18*'01_Вводные'!$B$76</f>
        <v/>
      </c>
      <c r="K19" s="43">
        <f>K18*'01_Вводные'!$B$76</f>
        <v/>
      </c>
      <c r="L19" s="43">
        <f>L18*'01_Вводные'!$B$76</f>
        <v/>
      </c>
      <c r="M19" s="43">
        <f>M18*'01_Вводные'!$B$76</f>
        <v/>
      </c>
      <c r="N19" s="43">
        <f>N18*'01_Вводные'!$B$76</f>
        <v/>
      </c>
      <c r="O19" s="43">
        <f>O18*'01_Вводные'!$B$76</f>
        <v/>
      </c>
      <c r="P19" s="43">
        <f>P18*'01_Вводные'!$B$76</f>
        <v/>
      </c>
      <c r="Q19" s="43">
        <f>Q18*'01_Вводные'!$B$76</f>
        <v/>
      </c>
      <c r="R19" s="43">
        <f>R18*'01_Вводные'!$B$76</f>
        <v/>
      </c>
      <c r="S19" s="43">
        <f>S18*'01_Вводные'!$B$76</f>
        <v/>
      </c>
      <c r="T19" s="43">
        <f>T18*'01_Вводные'!$B$76</f>
        <v/>
      </c>
      <c r="U19" s="43">
        <f>U18*'01_Вводные'!$B$76</f>
        <v/>
      </c>
      <c r="V19" s="43">
        <f>V18*'01_Вводные'!$B$76</f>
        <v/>
      </c>
      <c r="W19" s="43">
        <f>W18*'01_Вводные'!$B$76</f>
        <v/>
      </c>
      <c r="X19" s="43">
        <f>X18*'01_Вводные'!$B$76</f>
        <v/>
      </c>
      <c r="Y19" s="43">
        <f>Y18*'01_Вводные'!$B$76</f>
        <v/>
      </c>
      <c r="Z19" s="43">
        <f>Z18*'01_Вводные'!$B$76</f>
        <v/>
      </c>
      <c r="AA19" s="43">
        <f>AA18*'01_Вводные'!$B$76</f>
        <v/>
      </c>
      <c r="AB19" s="43">
        <f>AB18*'01_Вводные'!$B$76</f>
        <v/>
      </c>
      <c r="AC19" s="43">
        <f>AC18*'01_Вводные'!$B$76</f>
        <v/>
      </c>
      <c r="AD19" s="43">
        <f>AD18*'01_Вводные'!$B$76</f>
        <v/>
      </c>
      <c r="AE19" s="43">
        <f>AE18*'01_Вводные'!$B$76</f>
        <v/>
      </c>
      <c r="AF19" s="43">
        <f>AF18*'01_Вводные'!$B$76</f>
        <v/>
      </c>
      <c r="AG19" s="43">
        <f>AG18*'01_Вводные'!$B$76</f>
        <v/>
      </c>
      <c r="AH19" s="43">
        <f>AH18*'01_Вводные'!$B$76</f>
        <v/>
      </c>
      <c r="AI19" s="43">
        <f>AI18*'01_Вводные'!$B$76</f>
        <v/>
      </c>
      <c r="AJ19" s="43">
        <f>AJ18*'01_Вводные'!$B$76</f>
        <v/>
      </c>
      <c r="AK19" s="43">
        <f>AK18*'01_Вводные'!$B$76</f>
        <v/>
      </c>
      <c r="AL19" s="43">
        <f>AL18*'01_Вводные'!$B$76</f>
        <v/>
      </c>
      <c r="AM19" s="43">
        <f>AM18*'01_Вводные'!$B$76</f>
        <v/>
      </c>
      <c r="AN19" s="43">
        <f>AN18*'01_Вводные'!$B$76</f>
        <v/>
      </c>
      <c r="AO19" s="43">
        <f>AO18*'01_Вводные'!$B$76</f>
        <v/>
      </c>
      <c r="AP19" s="43">
        <f>AP18*'01_Вводные'!$B$76</f>
        <v/>
      </c>
      <c r="AQ19" s="43">
        <f>AQ18*'01_Вводные'!$B$76</f>
        <v/>
      </c>
      <c r="AR19" s="43">
        <f>AR18*'01_Вводные'!$B$76</f>
        <v/>
      </c>
      <c r="AS19" s="43">
        <f>AS18*'01_Вводные'!$B$76</f>
        <v/>
      </c>
      <c r="AT19" s="43">
        <f>AT18*'01_Вводные'!$B$76</f>
        <v/>
      </c>
      <c r="AU19" s="43">
        <f>AU18*'01_Вводные'!$B$76</f>
        <v/>
      </c>
      <c r="AV19" s="43">
        <f>AV18*'01_Вводные'!$B$76</f>
        <v/>
      </c>
      <c r="AW19" s="43">
        <f>AW18*'01_Вводные'!$B$76</f>
        <v/>
      </c>
      <c r="AX19" s="43">
        <f>AX18*'01_Вводные'!$B$76</f>
        <v/>
      </c>
      <c r="AY19" s="43">
        <f>AY18*'01_Вводные'!$B$76</f>
        <v/>
      </c>
      <c r="AZ19" s="43">
        <f>AZ18*'01_Вводные'!$B$76</f>
        <v/>
      </c>
      <c r="BA19" s="43">
        <f>BA18*'01_Вводные'!$B$76</f>
        <v/>
      </c>
      <c r="BB19" s="43">
        <f>BB18*'01_Вводные'!$B$76</f>
        <v/>
      </c>
      <c r="BC19" s="43">
        <f>BC18*'01_Вводные'!$B$76</f>
        <v/>
      </c>
      <c r="BD19" s="43">
        <f>BD18*'01_Вводные'!$B$76</f>
        <v/>
      </c>
      <c r="BE19" s="43">
        <f>BE18*'01_Вводные'!$B$76</f>
        <v/>
      </c>
      <c r="BF19" s="43">
        <f>BF18*'01_Вводные'!$B$76</f>
        <v/>
      </c>
      <c r="BG19" s="43">
        <f>BG18*'01_Вводные'!$B$76</f>
        <v/>
      </c>
      <c r="BH19" s="43">
        <f>BH18*'01_Вводные'!$B$76</f>
        <v/>
      </c>
      <c r="BI19" s="43">
        <f>BI18*'01_Вводные'!$B$76</f>
        <v/>
      </c>
      <c r="BJ19" s="43">
        <f>BJ18*'01_Вводные'!$B$76</f>
        <v/>
      </c>
      <c r="BK19" s="43">
        <f>BK18*'01_Вводные'!$B$76</f>
        <v/>
      </c>
      <c r="BL19" s="43">
        <f>BL18*'01_Вводные'!$B$76</f>
        <v/>
      </c>
      <c r="BM19" s="43">
        <f>BM18*'01_Вводные'!$B$76</f>
        <v/>
      </c>
      <c r="BN19" s="43">
        <f>BN18*'01_Вводные'!$B$76</f>
        <v/>
      </c>
      <c r="BO19" s="43">
        <f>BO18*'01_Вводные'!$B$76</f>
        <v/>
      </c>
    </row>
    <row r="20">
      <c r="B20" s="73" t="n"/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P20" s="73" t="n"/>
      <c r="Q20" s="73" t="n"/>
      <c r="R20" s="73" t="n"/>
      <c r="S20" s="73" t="n"/>
      <c r="T20" s="73" t="n"/>
      <c r="U20" s="73" t="n"/>
      <c r="V20" s="73" t="n"/>
      <c r="W20" s="73" t="n"/>
      <c r="X20" s="73" t="n"/>
      <c r="Y20" s="73" t="n"/>
      <c r="Z20" s="73" t="n"/>
      <c r="AA20" s="73" t="n"/>
      <c r="AB20" s="73" t="n"/>
      <c r="AC20" s="73" t="n"/>
      <c r="AD20" s="73" t="n"/>
      <c r="AE20" s="73" t="n"/>
      <c r="AF20" s="73" t="n"/>
      <c r="AG20" s="73" t="n"/>
      <c r="AH20" s="73" t="n"/>
      <c r="AI20" s="73" t="n"/>
      <c r="AJ20" s="73" t="n"/>
      <c r="AK20" s="73" t="n"/>
      <c r="AL20" s="73" t="n"/>
      <c r="AM20" s="73" t="n"/>
      <c r="AN20" s="73" t="n"/>
      <c r="AO20" s="73" t="n"/>
      <c r="AP20" s="73" t="n"/>
      <c r="AQ20" s="73" t="n"/>
      <c r="AR20" s="73" t="n"/>
      <c r="AS20" s="73" t="n"/>
      <c r="AT20" s="73" t="n"/>
      <c r="AU20" s="73" t="n"/>
      <c r="AV20" s="73" t="n"/>
      <c r="AW20" s="73" t="n"/>
      <c r="AX20" s="73" t="n"/>
      <c r="AY20" s="73" t="n"/>
      <c r="AZ20" s="73" t="n"/>
      <c r="BA20" s="73" t="n"/>
      <c r="BB20" s="73" t="n"/>
      <c r="BC20" s="73" t="n"/>
      <c r="BD20" s="73" t="n"/>
      <c r="BE20" s="73" t="n"/>
      <c r="BF20" s="73" t="n"/>
      <c r="BG20" s="73" t="n"/>
      <c r="BH20" s="73" t="n"/>
      <c r="BI20" s="73" t="n"/>
      <c r="BJ20" s="73" t="n"/>
      <c r="BK20" s="73" t="n"/>
      <c r="BL20" s="73" t="n"/>
      <c r="BM20" s="73" t="n"/>
      <c r="BN20" s="73" t="n"/>
      <c r="BO20" s="73" t="n"/>
    </row>
    <row r="21" ht="20" customHeight="1">
      <c r="A21" s="4" t="inlineStr">
        <is>
          <t>Склад</t>
        </is>
      </c>
    </row>
    <row r="22">
      <c r="A22" s="2" t="inlineStr">
        <is>
          <t>Склад на начало</t>
        </is>
      </c>
      <c r="B22" s="42">
        <f>'01_Вводные'!$B$77</f>
        <v/>
      </c>
      <c r="C22" s="42">
        <f>B26</f>
        <v/>
      </c>
      <c r="D22" s="42">
        <f>C26</f>
        <v/>
      </c>
      <c r="E22" s="42">
        <f>D26</f>
        <v/>
      </c>
      <c r="F22" s="42">
        <f>E26</f>
        <v/>
      </c>
      <c r="G22" s="42">
        <f>F26</f>
        <v/>
      </c>
      <c r="H22" s="42">
        <f>G26</f>
        <v/>
      </c>
      <c r="I22" s="42">
        <f>H26</f>
        <v/>
      </c>
      <c r="J22" s="42">
        <f>I26</f>
        <v/>
      </c>
      <c r="K22" s="42">
        <f>J26</f>
        <v/>
      </c>
      <c r="L22" s="42">
        <f>K26</f>
        <v/>
      </c>
      <c r="M22" s="42">
        <f>L26</f>
        <v/>
      </c>
      <c r="N22" s="42">
        <f>M26</f>
        <v/>
      </c>
      <c r="O22" s="42">
        <f>N26</f>
        <v/>
      </c>
      <c r="P22" s="42">
        <f>O26</f>
        <v/>
      </c>
      <c r="Q22" s="42">
        <f>P26</f>
        <v/>
      </c>
      <c r="R22" s="42">
        <f>Q26</f>
        <v/>
      </c>
      <c r="S22" s="42">
        <f>R26</f>
        <v/>
      </c>
      <c r="T22" s="42">
        <f>S26</f>
        <v/>
      </c>
      <c r="U22" s="42">
        <f>T26</f>
        <v/>
      </c>
      <c r="V22" s="42">
        <f>U26</f>
        <v/>
      </c>
      <c r="W22" s="42">
        <f>V26</f>
        <v/>
      </c>
      <c r="X22" s="42">
        <f>W26</f>
        <v/>
      </c>
      <c r="Y22" s="42">
        <f>X26</f>
        <v/>
      </c>
      <c r="Z22" s="42">
        <f>Y26</f>
        <v/>
      </c>
      <c r="AA22" s="42">
        <f>Z26</f>
        <v/>
      </c>
      <c r="AB22" s="42">
        <f>AA26</f>
        <v/>
      </c>
      <c r="AC22" s="42">
        <f>AB26</f>
        <v/>
      </c>
      <c r="AD22" s="42">
        <f>AC26</f>
        <v/>
      </c>
      <c r="AE22" s="42">
        <f>AD26</f>
        <v/>
      </c>
      <c r="AF22" s="42">
        <f>AE26</f>
        <v/>
      </c>
      <c r="AG22" s="42">
        <f>AF26</f>
        <v/>
      </c>
      <c r="AH22" s="42">
        <f>AG26</f>
        <v/>
      </c>
      <c r="AI22" s="42">
        <f>AH26</f>
        <v/>
      </c>
      <c r="AJ22" s="42">
        <f>AI26</f>
        <v/>
      </c>
      <c r="AK22" s="42">
        <f>AJ26</f>
        <v/>
      </c>
      <c r="AL22" s="42">
        <f>AK26</f>
        <v/>
      </c>
      <c r="AM22" s="42">
        <f>AL26</f>
        <v/>
      </c>
      <c r="AN22" s="42">
        <f>AM26</f>
        <v/>
      </c>
      <c r="AO22" s="42">
        <f>AN26</f>
        <v/>
      </c>
      <c r="AP22" s="42">
        <f>AO26</f>
        <v/>
      </c>
      <c r="AQ22" s="42">
        <f>AP26</f>
        <v/>
      </c>
      <c r="AR22" s="42">
        <f>AQ26</f>
        <v/>
      </c>
      <c r="AS22" s="42">
        <f>AR26</f>
        <v/>
      </c>
      <c r="AT22" s="42">
        <f>AS26</f>
        <v/>
      </c>
      <c r="AU22" s="42">
        <f>AT26</f>
        <v/>
      </c>
      <c r="AV22" s="42">
        <f>AU26</f>
        <v/>
      </c>
      <c r="AW22" s="42">
        <f>AV26</f>
        <v/>
      </c>
      <c r="AX22" s="42">
        <f>AW26</f>
        <v/>
      </c>
      <c r="AY22" s="42">
        <f>AX26</f>
        <v/>
      </c>
      <c r="AZ22" s="42">
        <f>AY26</f>
        <v/>
      </c>
      <c r="BA22" s="42">
        <f>AZ26</f>
        <v/>
      </c>
      <c r="BB22" s="42">
        <f>BA26</f>
        <v/>
      </c>
      <c r="BC22" s="42">
        <f>BB26</f>
        <v/>
      </c>
      <c r="BD22" s="42">
        <f>BC26</f>
        <v/>
      </c>
      <c r="BE22" s="42">
        <f>BD26</f>
        <v/>
      </c>
      <c r="BF22" s="42">
        <f>BE26</f>
        <v/>
      </c>
      <c r="BG22" s="42">
        <f>BF26</f>
        <v/>
      </c>
      <c r="BH22" s="42">
        <f>BG26</f>
        <v/>
      </c>
      <c r="BI22" s="42">
        <f>BH26</f>
        <v/>
      </c>
      <c r="BJ22" s="42">
        <f>BI26</f>
        <v/>
      </c>
      <c r="BK22" s="42">
        <f>BJ26</f>
        <v/>
      </c>
      <c r="BL22" s="42">
        <f>BK26</f>
        <v/>
      </c>
      <c r="BM22" s="42">
        <f>BL26</f>
        <v/>
      </c>
      <c r="BN22" s="42">
        <f>BM26</f>
        <v/>
      </c>
      <c r="BO22" s="42">
        <f>BN26</f>
        <v/>
      </c>
    </row>
    <row r="23">
      <c r="A23" s="2" t="inlineStr">
        <is>
          <t>Списание COGS</t>
        </is>
      </c>
      <c r="B23" s="42">
        <f>B16</f>
        <v/>
      </c>
      <c r="C23" s="42">
        <f>C16</f>
        <v/>
      </c>
      <c r="D23" s="42">
        <f>D16</f>
        <v/>
      </c>
      <c r="E23" s="42">
        <f>E16</f>
        <v/>
      </c>
      <c r="F23" s="42">
        <f>F16</f>
        <v/>
      </c>
      <c r="G23" s="42">
        <f>G16</f>
        <v/>
      </c>
      <c r="H23" s="42">
        <f>H16</f>
        <v/>
      </c>
      <c r="I23" s="42">
        <f>I16</f>
        <v/>
      </c>
      <c r="J23" s="42">
        <f>J16</f>
        <v/>
      </c>
      <c r="K23" s="42">
        <f>K16</f>
        <v/>
      </c>
      <c r="L23" s="42">
        <f>L16</f>
        <v/>
      </c>
      <c r="M23" s="42">
        <f>M16</f>
        <v/>
      </c>
      <c r="N23" s="42">
        <f>N16</f>
        <v/>
      </c>
      <c r="O23" s="42">
        <f>O16</f>
        <v/>
      </c>
      <c r="P23" s="42">
        <f>P16</f>
        <v/>
      </c>
      <c r="Q23" s="42">
        <f>Q16</f>
        <v/>
      </c>
      <c r="R23" s="42">
        <f>R16</f>
        <v/>
      </c>
      <c r="S23" s="42">
        <f>S16</f>
        <v/>
      </c>
      <c r="T23" s="42">
        <f>T16</f>
        <v/>
      </c>
      <c r="U23" s="42">
        <f>U16</f>
        <v/>
      </c>
      <c r="V23" s="42">
        <f>V16</f>
        <v/>
      </c>
      <c r="W23" s="42">
        <f>W16</f>
        <v/>
      </c>
      <c r="X23" s="42">
        <f>X16</f>
        <v/>
      </c>
      <c r="Y23" s="42">
        <f>Y16</f>
        <v/>
      </c>
      <c r="Z23" s="42">
        <f>Z16</f>
        <v/>
      </c>
      <c r="AA23" s="42">
        <f>AA16</f>
        <v/>
      </c>
      <c r="AB23" s="42">
        <f>AB16</f>
        <v/>
      </c>
      <c r="AC23" s="42">
        <f>AC16</f>
        <v/>
      </c>
      <c r="AD23" s="42">
        <f>AD16</f>
        <v/>
      </c>
      <c r="AE23" s="42">
        <f>AE16</f>
        <v/>
      </c>
      <c r="AF23" s="42">
        <f>AF16</f>
        <v/>
      </c>
      <c r="AG23" s="42">
        <f>AG16</f>
        <v/>
      </c>
      <c r="AH23" s="42">
        <f>AH16</f>
        <v/>
      </c>
      <c r="AI23" s="42">
        <f>AI16</f>
        <v/>
      </c>
      <c r="AJ23" s="42">
        <f>AJ16</f>
        <v/>
      </c>
      <c r="AK23" s="42">
        <f>AK16</f>
        <v/>
      </c>
      <c r="AL23" s="42">
        <f>AL16</f>
        <v/>
      </c>
      <c r="AM23" s="42">
        <f>AM16</f>
        <v/>
      </c>
      <c r="AN23" s="42">
        <f>AN16</f>
        <v/>
      </c>
      <c r="AO23" s="42">
        <f>AO16</f>
        <v/>
      </c>
      <c r="AP23" s="42">
        <f>AP16</f>
        <v/>
      </c>
      <c r="AQ23" s="42">
        <f>AQ16</f>
        <v/>
      </c>
      <c r="AR23" s="42">
        <f>AR16</f>
        <v/>
      </c>
      <c r="AS23" s="42">
        <f>AS16</f>
        <v/>
      </c>
      <c r="AT23" s="42">
        <f>AT16</f>
        <v/>
      </c>
      <c r="AU23" s="42">
        <f>AU16</f>
        <v/>
      </c>
      <c r="AV23" s="42">
        <f>AV16</f>
        <v/>
      </c>
      <c r="AW23" s="42">
        <f>AW16</f>
        <v/>
      </c>
      <c r="AX23" s="42">
        <f>AX16</f>
        <v/>
      </c>
      <c r="AY23" s="42">
        <f>AY16</f>
        <v/>
      </c>
      <c r="AZ23" s="42">
        <f>AZ16</f>
        <v/>
      </c>
      <c r="BA23" s="42">
        <f>BA16</f>
        <v/>
      </c>
      <c r="BB23" s="42">
        <f>BB16</f>
        <v/>
      </c>
      <c r="BC23" s="42">
        <f>BC16</f>
        <v/>
      </c>
      <c r="BD23" s="42">
        <f>BD16</f>
        <v/>
      </c>
      <c r="BE23" s="42">
        <f>BE16</f>
        <v/>
      </c>
      <c r="BF23" s="42">
        <f>BF16</f>
        <v/>
      </c>
      <c r="BG23" s="42">
        <f>BG16</f>
        <v/>
      </c>
      <c r="BH23" s="42">
        <f>BH16</f>
        <v/>
      </c>
      <c r="BI23" s="42">
        <f>BI16</f>
        <v/>
      </c>
      <c r="BJ23" s="42">
        <f>BJ16</f>
        <v/>
      </c>
      <c r="BK23" s="42">
        <f>BK16</f>
        <v/>
      </c>
      <c r="BL23" s="42">
        <f>BL16</f>
        <v/>
      </c>
      <c r="BM23" s="42">
        <f>BM16</f>
        <v/>
      </c>
      <c r="BN23" s="42">
        <f>BN16</f>
        <v/>
      </c>
      <c r="BO23" s="42">
        <f>BO16</f>
        <v/>
      </c>
    </row>
    <row r="24">
      <c r="A24" s="2" t="inlineStr">
        <is>
          <t>Целевой запас на следующие 6 мес.</t>
        </is>
      </c>
      <c r="B24" s="95">
        <f>SUM(IF('01_Вводные'!$B$80&gt;=1,C16,0),IF('01_Вводные'!$B$80&gt;=2,D16,0),IF('01_Вводные'!$B$80&gt;=3,E16,0),IF('01_Вводные'!$B$80&gt;=4,F16,0),IF('01_Вводные'!$B$80&gt;=5,G16,0),IF('01_Вводные'!$B$80&gt;=6,H16,0))</f>
        <v/>
      </c>
      <c r="C24" s="95">
        <f>SUM(IF('01_Вводные'!$B$80&gt;=1,D16,0),IF('01_Вводные'!$B$80&gt;=2,E16,0),IF('01_Вводные'!$B$80&gt;=3,F16,0),IF('01_Вводные'!$B$80&gt;=4,G16,0),IF('01_Вводные'!$B$80&gt;=5,H16,0),IF('01_Вводные'!$B$80&gt;=6,I16,0))</f>
        <v/>
      </c>
      <c r="D24" s="95">
        <f>SUM(IF('01_Вводные'!$B$80&gt;=1,E16,0),IF('01_Вводные'!$B$80&gt;=2,F16,0),IF('01_Вводные'!$B$80&gt;=3,G16,0),IF('01_Вводные'!$B$80&gt;=4,H16,0),IF('01_Вводные'!$B$80&gt;=5,I16,0),IF('01_Вводные'!$B$80&gt;=6,J16,0))</f>
        <v/>
      </c>
      <c r="E24" s="95">
        <f>SUM(IF('01_Вводные'!$B$80&gt;=1,F16,0),IF('01_Вводные'!$B$80&gt;=2,G16,0),IF('01_Вводные'!$B$80&gt;=3,H16,0),IF('01_Вводные'!$B$80&gt;=4,I16,0),IF('01_Вводные'!$B$80&gt;=5,J16,0),IF('01_Вводные'!$B$80&gt;=6,K16,0))</f>
        <v/>
      </c>
      <c r="F24" s="95">
        <f>SUM(IF('01_Вводные'!$B$80&gt;=1,G16,0),IF('01_Вводные'!$B$80&gt;=2,H16,0),IF('01_Вводные'!$B$80&gt;=3,I16,0),IF('01_Вводные'!$B$80&gt;=4,J16,0),IF('01_Вводные'!$B$80&gt;=5,K16,0),IF('01_Вводные'!$B$80&gt;=6,L16,0))</f>
        <v/>
      </c>
      <c r="G24" s="95">
        <f>SUM(IF('01_Вводные'!$B$80&gt;=1,H16,0),IF('01_Вводные'!$B$80&gt;=2,I16,0),IF('01_Вводные'!$B$80&gt;=3,J16,0),IF('01_Вводные'!$B$80&gt;=4,K16,0),IF('01_Вводные'!$B$80&gt;=5,L16,0),IF('01_Вводные'!$B$80&gt;=6,M16,0))</f>
        <v/>
      </c>
      <c r="H24" s="95">
        <f>SUM(IF('01_Вводные'!$B$80&gt;=1,I16,0),IF('01_Вводные'!$B$80&gt;=2,J16,0),IF('01_Вводные'!$B$80&gt;=3,K16,0),IF('01_Вводные'!$B$80&gt;=4,L16,0),IF('01_Вводные'!$B$80&gt;=5,M16,0),IF('01_Вводные'!$B$80&gt;=6,N16,0))</f>
        <v/>
      </c>
      <c r="I24" s="95">
        <f>SUM(IF('01_Вводные'!$B$80&gt;=1,J16,0),IF('01_Вводные'!$B$80&gt;=2,K16,0),IF('01_Вводные'!$B$80&gt;=3,L16,0),IF('01_Вводные'!$B$80&gt;=4,M16,0),IF('01_Вводные'!$B$80&gt;=5,N16,0),IF('01_Вводные'!$B$80&gt;=6,O16,0))</f>
        <v/>
      </c>
      <c r="J24" s="95">
        <f>SUM(IF('01_Вводные'!$B$80&gt;=1,K16,0),IF('01_Вводные'!$B$80&gt;=2,L16,0),IF('01_Вводные'!$B$80&gt;=3,M16,0),IF('01_Вводные'!$B$80&gt;=4,N16,0),IF('01_Вводные'!$B$80&gt;=5,O16,0),IF('01_Вводные'!$B$80&gt;=6,P16,0))</f>
        <v/>
      </c>
      <c r="K24" s="95">
        <f>SUM(IF('01_Вводные'!$B$80&gt;=1,L16,0),IF('01_Вводные'!$B$80&gt;=2,M16,0),IF('01_Вводные'!$B$80&gt;=3,N16,0),IF('01_Вводные'!$B$80&gt;=4,O16,0),IF('01_Вводные'!$B$80&gt;=5,P16,0),IF('01_Вводные'!$B$80&gt;=6,Q16,0))</f>
        <v/>
      </c>
      <c r="L24" s="95">
        <f>SUM(IF('01_Вводные'!$B$80&gt;=1,M16,0),IF('01_Вводные'!$B$80&gt;=2,N16,0),IF('01_Вводные'!$B$80&gt;=3,O16,0),IF('01_Вводные'!$B$80&gt;=4,P16,0),IF('01_Вводные'!$B$80&gt;=5,Q16,0),IF('01_Вводные'!$B$80&gt;=6,R16,0))</f>
        <v/>
      </c>
      <c r="M24" s="95">
        <f>SUM(IF('01_Вводные'!$B$80&gt;=1,N16,0),IF('01_Вводные'!$B$80&gt;=2,O16,0),IF('01_Вводные'!$B$80&gt;=3,P16,0),IF('01_Вводные'!$B$80&gt;=4,Q16,0),IF('01_Вводные'!$B$80&gt;=5,R16,0),IF('01_Вводные'!$B$80&gt;=6,S16,0))</f>
        <v/>
      </c>
      <c r="N24" s="95">
        <f>SUM(IF('01_Вводные'!$B$80&gt;=1,O16,0),IF('01_Вводные'!$B$80&gt;=2,P16,0),IF('01_Вводные'!$B$80&gt;=3,Q16,0),IF('01_Вводные'!$B$80&gt;=4,R16,0),IF('01_Вводные'!$B$80&gt;=5,S16,0),IF('01_Вводные'!$B$80&gt;=6,T16,0))</f>
        <v/>
      </c>
      <c r="O24" s="95">
        <f>SUM(IF('01_Вводные'!$B$80&gt;=1,P16,0),IF('01_Вводные'!$B$80&gt;=2,Q16,0),IF('01_Вводные'!$B$80&gt;=3,R16,0),IF('01_Вводные'!$B$80&gt;=4,S16,0),IF('01_Вводные'!$B$80&gt;=5,T16,0),IF('01_Вводные'!$B$80&gt;=6,U16,0))</f>
        <v/>
      </c>
      <c r="P24" s="95">
        <f>SUM(IF('01_Вводные'!$B$80&gt;=1,Q16,0),IF('01_Вводные'!$B$80&gt;=2,R16,0),IF('01_Вводные'!$B$80&gt;=3,S16,0),IF('01_Вводные'!$B$80&gt;=4,T16,0),IF('01_Вводные'!$B$80&gt;=5,U16,0),IF('01_Вводные'!$B$80&gt;=6,V16,0))</f>
        <v/>
      </c>
      <c r="Q24" s="95">
        <f>SUM(IF('01_Вводные'!$B$80&gt;=1,R16,0),IF('01_Вводные'!$B$80&gt;=2,S16,0),IF('01_Вводные'!$B$80&gt;=3,T16,0),IF('01_Вводные'!$B$80&gt;=4,U16,0),IF('01_Вводные'!$B$80&gt;=5,V16,0),IF('01_Вводные'!$B$80&gt;=6,W16,0))</f>
        <v/>
      </c>
      <c r="R24" s="95">
        <f>SUM(IF('01_Вводные'!$B$80&gt;=1,S16,0),IF('01_Вводные'!$B$80&gt;=2,T16,0),IF('01_Вводные'!$B$80&gt;=3,U16,0),IF('01_Вводные'!$B$80&gt;=4,V16,0),IF('01_Вводные'!$B$80&gt;=5,W16,0),IF('01_Вводные'!$B$80&gt;=6,X16,0))</f>
        <v/>
      </c>
      <c r="S24" s="95">
        <f>SUM(IF('01_Вводные'!$B$80&gt;=1,T16,0),IF('01_Вводные'!$B$80&gt;=2,U16,0),IF('01_Вводные'!$B$80&gt;=3,V16,0),IF('01_Вводные'!$B$80&gt;=4,W16,0),IF('01_Вводные'!$B$80&gt;=5,X16,0),IF('01_Вводные'!$B$80&gt;=6,Y16,0))</f>
        <v/>
      </c>
      <c r="T24" s="95">
        <f>SUM(IF('01_Вводные'!$B$80&gt;=1,U16,0),IF('01_Вводные'!$B$80&gt;=2,V16,0),IF('01_Вводные'!$B$80&gt;=3,W16,0),IF('01_Вводные'!$B$80&gt;=4,X16,0),IF('01_Вводные'!$B$80&gt;=5,Y16,0),IF('01_Вводные'!$B$80&gt;=6,Z16,0))</f>
        <v/>
      </c>
      <c r="U24" s="95">
        <f>SUM(IF('01_Вводные'!$B$80&gt;=1,V16,0),IF('01_Вводные'!$B$80&gt;=2,W16,0),IF('01_Вводные'!$B$80&gt;=3,X16,0),IF('01_Вводные'!$B$80&gt;=4,Y16,0),IF('01_Вводные'!$B$80&gt;=5,Z16,0),IF('01_Вводные'!$B$80&gt;=6,AA16,0))</f>
        <v/>
      </c>
      <c r="V24" s="95">
        <f>SUM(IF('01_Вводные'!$B$80&gt;=1,W16,0),IF('01_Вводные'!$B$80&gt;=2,X16,0),IF('01_Вводные'!$B$80&gt;=3,Y16,0),IF('01_Вводные'!$B$80&gt;=4,Z16,0),IF('01_Вводные'!$B$80&gt;=5,AA16,0),IF('01_Вводные'!$B$80&gt;=6,AB16,0))</f>
        <v/>
      </c>
      <c r="W24" s="95">
        <f>SUM(IF('01_Вводные'!$B$80&gt;=1,X16,0),IF('01_Вводные'!$B$80&gt;=2,Y16,0),IF('01_Вводные'!$B$80&gt;=3,Z16,0),IF('01_Вводные'!$B$80&gt;=4,AA16,0),IF('01_Вводные'!$B$80&gt;=5,AB16,0),IF('01_Вводные'!$B$80&gt;=6,AC16,0))</f>
        <v/>
      </c>
      <c r="X24" s="95">
        <f>SUM(IF('01_Вводные'!$B$80&gt;=1,Y16,0),IF('01_Вводные'!$B$80&gt;=2,Z16,0),IF('01_Вводные'!$B$80&gt;=3,AA16,0),IF('01_Вводные'!$B$80&gt;=4,AB16,0),IF('01_Вводные'!$B$80&gt;=5,AC16,0),IF('01_Вводные'!$B$80&gt;=6,AD16,0))</f>
        <v/>
      </c>
      <c r="Y24" s="95">
        <f>SUM(IF('01_Вводные'!$B$80&gt;=1,Z16,0),IF('01_Вводные'!$B$80&gt;=2,AA16,0),IF('01_Вводные'!$B$80&gt;=3,AB16,0),IF('01_Вводные'!$B$80&gt;=4,AC16,0),IF('01_Вводные'!$B$80&gt;=5,AD16,0),IF('01_Вводные'!$B$80&gt;=6,AE16,0))</f>
        <v/>
      </c>
      <c r="Z24" s="95">
        <f>SUM(IF('01_Вводные'!$B$80&gt;=1,AA16,0),IF('01_Вводные'!$B$80&gt;=2,AB16,0),IF('01_Вводные'!$B$80&gt;=3,AC16,0),IF('01_Вводные'!$B$80&gt;=4,AD16,0),IF('01_Вводные'!$B$80&gt;=5,AE16,0),IF('01_Вводные'!$B$80&gt;=6,AF16,0))</f>
        <v/>
      </c>
      <c r="AA24" s="95">
        <f>SUM(IF('01_Вводные'!$B$80&gt;=1,AB16,0),IF('01_Вводные'!$B$80&gt;=2,AC16,0),IF('01_Вводные'!$B$80&gt;=3,AD16,0),IF('01_Вводные'!$B$80&gt;=4,AE16,0),IF('01_Вводные'!$B$80&gt;=5,AF16,0),IF('01_Вводные'!$B$80&gt;=6,AG16,0))</f>
        <v/>
      </c>
      <c r="AB24" s="95">
        <f>SUM(IF('01_Вводные'!$B$80&gt;=1,AC16,0),IF('01_Вводные'!$B$80&gt;=2,AD16,0),IF('01_Вводные'!$B$80&gt;=3,AE16,0),IF('01_Вводные'!$B$80&gt;=4,AF16,0),IF('01_Вводные'!$B$80&gt;=5,AG16,0),IF('01_Вводные'!$B$80&gt;=6,AH16,0))</f>
        <v/>
      </c>
      <c r="AC24" s="95">
        <f>SUM(IF('01_Вводные'!$B$80&gt;=1,AD16,0),IF('01_Вводные'!$B$80&gt;=2,AE16,0),IF('01_Вводные'!$B$80&gt;=3,AF16,0),IF('01_Вводные'!$B$80&gt;=4,AG16,0),IF('01_Вводные'!$B$80&gt;=5,AH16,0),IF('01_Вводные'!$B$80&gt;=6,AI16,0))</f>
        <v/>
      </c>
      <c r="AD24" s="95">
        <f>SUM(IF('01_Вводные'!$B$80&gt;=1,AE16,0),IF('01_Вводные'!$B$80&gt;=2,AF16,0),IF('01_Вводные'!$B$80&gt;=3,AG16,0),IF('01_Вводные'!$B$80&gt;=4,AH16,0),IF('01_Вводные'!$B$80&gt;=5,AI16,0),IF('01_Вводные'!$B$80&gt;=6,AJ16,0))</f>
        <v/>
      </c>
      <c r="AE24" s="95">
        <f>SUM(IF('01_Вводные'!$B$80&gt;=1,AF16,0),IF('01_Вводные'!$B$80&gt;=2,AG16,0),IF('01_Вводные'!$B$80&gt;=3,AH16,0),IF('01_Вводные'!$B$80&gt;=4,AI16,0),IF('01_Вводные'!$B$80&gt;=5,AJ16,0),IF('01_Вводные'!$B$80&gt;=6,AK16,0))</f>
        <v/>
      </c>
      <c r="AF24" s="95">
        <f>SUM(IF('01_Вводные'!$B$80&gt;=1,AG16,0),IF('01_Вводные'!$B$80&gt;=2,AH16,0),IF('01_Вводные'!$B$80&gt;=3,AI16,0),IF('01_Вводные'!$B$80&gt;=4,AJ16,0),IF('01_Вводные'!$B$80&gt;=5,AK16,0),IF('01_Вводные'!$B$80&gt;=6,AL16,0))</f>
        <v/>
      </c>
      <c r="AG24" s="95">
        <f>SUM(IF('01_Вводные'!$B$80&gt;=1,AH16,0),IF('01_Вводные'!$B$80&gt;=2,AI16,0),IF('01_Вводные'!$B$80&gt;=3,AJ16,0),IF('01_Вводные'!$B$80&gt;=4,AK16,0),IF('01_Вводные'!$B$80&gt;=5,AL16,0),IF('01_Вводные'!$B$80&gt;=6,AM16,0))</f>
        <v/>
      </c>
      <c r="AH24" s="95">
        <f>SUM(IF('01_Вводные'!$B$80&gt;=1,AI16,0),IF('01_Вводные'!$B$80&gt;=2,AJ16,0),IF('01_Вводные'!$B$80&gt;=3,AK16,0),IF('01_Вводные'!$B$80&gt;=4,AL16,0),IF('01_Вводные'!$B$80&gt;=5,AM16,0),IF('01_Вводные'!$B$80&gt;=6,AN16,0))</f>
        <v/>
      </c>
      <c r="AI24" s="95">
        <f>SUM(IF('01_Вводные'!$B$80&gt;=1,AJ16,0),IF('01_Вводные'!$B$80&gt;=2,AK16,0),IF('01_Вводные'!$B$80&gt;=3,AL16,0),IF('01_Вводные'!$B$80&gt;=4,AM16,0),IF('01_Вводные'!$B$80&gt;=5,AN16,0),IF('01_Вводные'!$B$80&gt;=6,AO16,0))</f>
        <v/>
      </c>
      <c r="AJ24" s="95">
        <f>SUM(IF('01_Вводные'!$B$80&gt;=1,AK16,0),IF('01_Вводные'!$B$80&gt;=2,AL16,0),IF('01_Вводные'!$B$80&gt;=3,AM16,0),IF('01_Вводные'!$B$80&gt;=4,AN16,0),IF('01_Вводные'!$B$80&gt;=5,AO16,0),IF('01_Вводные'!$B$80&gt;=6,AP16,0))</f>
        <v/>
      </c>
      <c r="AK24" s="95">
        <f>SUM(IF('01_Вводные'!$B$80&gt;=1,AL16,0),IF('01_Вводные'!$B$80&gt;=2,AM16,0),IF('01_Вводные'!$B$80&gt;=3,AN16,0),IF('01_Вводные'!$B$80&gt;=4,AO16,0),IF('01_Вводные'!$B$80&gt;=5,AP16,0),IF('01_Вводные'!$B$80&gt;=6,AQ16,0))</f>
        <v/>
      </c>
      <c r="AL24" s="95">
        <f>SUM(IF('01_Вводные'!$B$80&gt;=1,AM16,0),IF('01_Вводные'!$B$80&gt;=2,AN16,0),IF('01_Вводные'!$B$80&gt;=3,AO16,0),IF('01_Вводные'!$B$80&gt;=4,AP16,0),IF('01_Вводные'!$B$80&gt;=5,AQ16,0),IF('01_Вводные'!$B$80&gt;=6,AR16,0))</f>
        <v/>
      </c>
      <c r="AM24" s="95">
        <f>SUM(IF('01_Вводные'!$B$80&gt;=1,AN16,0),IF('01_Вводные'!$B$80&gt;=2,AO16,0),IF('01_Вводные'!$B$80&gt;=3,AP16,0),IF('01_Вводные'!$B$80&gt;=4,AQ16,0),IF('01_Вводные'!$B$80&gt;=5,AR16,0),IF('01_Вводные'!$B$80&gt;=6,AS16,0))</f>
        <v/>
      </c>
      <c r="AN24" s="95">
        <f>SUM(IF('01_Вводные'!$B$80&gt;=1,AO16,0),IF('01_Вводные'!$B$80&gt;=2,AP16,0),IF('01_Вводные'!$B$80&gt;=3,AQ16,0),IF('01_Вводные'!$B$80&gt;=4,AR16,0),IF('01_Вводные'!$B$80&gt;=5,AS16,0),IF('01_Вводные'!$B$80&gt;=6,AT16,0))</f>
        <v/>
      </c>
      <c r="AO24" s="95">
        <f>SUM(IF('01_Вводные'!$B$80&gt;=1,AP16,0),IF('01_Вводные'!$B$80&gt;=2,AQ16,0),IF('01_Вводные'!$B$80&gt;=3,AR16,0),IF('01_Вводные'!$B$80&gt;=4,AS16,0),IF('01_Вводные'!$B$80&gt;=5,AT16,0),IF('01_Вводные'!$B$80&gt;=6,AU16,0))</f>
        <v/>
      </c>
      <c r="AP24" s="95">
        <f>SUM(IF('01_Вводные'!$B$80&gt;=1,AQ16,0),IF('01_Вводные'!$B$80&gt;=2,AR16,0),IF('01_Вводные'!$B$80&gt;=3,AS16,0),IF('01_Вводные'!$B$80&gt;=4,AT16,0),IF('01_Вводные'!$B$80&gt;=5,AU16,0),IF('01_Вводные'!$B$80&gt;=6,AV16,0))</f>
        <v/>
      </c>
      <c r="AQ24" s="95">
        <f>SUM(IF('01_Вводные'!$B$80&gt;=1,AR16,0),IF('01_Вводные'!$B$80&gt;=2,AS16,0),IF('01_Вводные'!$B$80&gt;=3,AT16,0),IF('01_Вводные'!$B$80&gt;=4,AU16,0),IF('01_Вводные'!$B$80&gt;=5,AV16,0),IF('01_Вводные'!$B$80&gt;=6,AW16,0))</f>
        <v/>
      </c>
      <c r="AR24" s="95">
        <f>SUM(IF('01_Вводные'!$B$80&gt;=1,AS16,0),IF('01_Вводные'!$B$80&gt;=2,AT16,0),IF('01_Вводные'!$B$80&gt;=3,AU16,0),IF('01_Вводные'!$B$80&gt;=4,AV16,0),IF('01_Вводные'!$B$80&gt;=5,AW16,0),IF('01_Вводные'!$B$80&gt;=6,AX16,0))</f>
        <v/>
      </c>
      <c r="AS24" s="95">
        <f>SUM(IF('01_Вводные'!$B$80&gt;=1,AT16,0),IF('01_Вводные'!$B$80&gt;=2,AU16,0),IF('01_Вводные'!$B$80&gt;=3,AV16,0),IF('01_Вводные'!$B$80&gt;=4,AW16,0),IF('01_Вводные'!$B$80&gt;=5,AX16,0),IF('01_Вводные'!$B$80&gt;=6,AY16,0))</f>
        <v/>
      </c>
      <c r="AT24" s="95">
        <f>SUM(IF('01_Вводные'!$B$80&gt;=1,AU16,0),IF('01_Вводные'!$B$80&gt;=2,AV16,0),IF('01_Вводные'!$B$80&gt;=3,AW16,0),IF('01_Вводные'!$B$80&gt;=4,AX16,0),IF('01_Вводные'!$B$80&gt;=5,AY16,0),IF('01_Вводные'!$B$80&gt;=6,AZ16,0))</f>
        <v/>
      </c>
      <c r="AU24" s="95">
        <f>SUM(IF('01_Вводные'!$B$80&gt;=1,AV16,0),IF('01_Вводные'!$B$80&gt;=2,AW16,0),IF('01_Вводные'!$B$80&gt;=3,AX16,0),IF('01_Вводные'!$B$80&gt;=4,AY16,0),IF('01_Вводные'!$B$80&gt;=5,AZ16,0),IF('01_Вводные'!$B$80&gt;=6,BA16,0))</f>
        <v/>
      </c>
      <c r="AV24" s="95">
        <f>SUM(IF('01_Вводные'!$B$80&gt;=1,AW16,0),IF('01_Вводные'!$B$80&gt;=2,AX16,0),IF('01_Вводные'!$B$80&gt;=3,AY16,0),IF('01_Вводные'!$B$80&gt;=4,AZ16,0),IF('01_Вводные'!$B$80&gt;=5,BA16,0),IF('01_Вводные'!$B$80&gt;=6,BB16,0))</f>
        <v/>
      </c>
      <c r="AW24" s="95">
        <f>SUM(IF('01_Вводные'!$B$80&gt;=1,AX16,0),IF('01_Вводные'!$B$80&gt;=2,AY16,0),IF('01_Вводные'!$B$80&gt;=3,AZ16,0),IF('01_Вводные'!$B$80&gt;=4,BA16,0),IF('01_Вводные'!$B$80&gt;=5,BB16,0),IF('01_Вводные'!$B$80&gt;=6,BC16,0))</f>
        <v/>
      </c>
      <c r="AX24" s="95">
        <f>SUM(IF('01_Вводные'!$B$80&gt;=1,AY16,0),IF('01_Вводные'!$B$80&gt;=2,AZ16,0),IF('01_Вводные'!$B$80&gt;=3,BA16,0),IF('01_Вводные'!$B$80&gt;=4,BB16,0),IF('01_Вводные'!$B$80&gt;=5,BC16,0),IF('01_Вводные'!$B$80&gt;=6,BD16,0))</f>
        <v/>
      </c>
      <c r="AY24" s="95">
        <f>SUM(IF('01_Вводные'!$B$80&gt;=1,AZ16,0),IF('01_Вводные'!$B$80&gt;=2,BA16,0),IF('01_Вводные'!$B$80&gt;=3,BB16,0),IF('01_Вводные'!$B$80&gt;=4,BC16,0),IF('01_Вводные'!$B$80&gt;=5,BD16,0),IF('01_Вводные'!$B$80&gt;=6,BE16,0))</f>
        <v/>
      </c>
      <c r="AZ24" s="95">
        <f>SUM(IF('01_Вводные'!$B$80&gt;=1,BA16,0),IF('01_Вводные'!$B$80&gt;=2,BB16,0),IF('01_Вводные'!$B$80&gt;=3,BC16,0),IF('01_Вводные'!$B$80&gt;=4,BD16,0),IF('01_Вводные'!$B$80&gt;=5,BE16,0),IF('01_Вводные'!$B$80&gt;=6,BF16,0))</f>
        <v/>
      </c>
      <c r="BA24" s="95">
        <f>SUM(IF('01_Вводные'!$B$80&gt;=1,BB16,0),IF('01_Вводные'!$B$80&gt;=2,BC16,0),IF('01_Вводные'!$B$80&gt;=3,BD16,0),IF('01_Вводные'!$B$80&gt;=4,BE16,0),IF('01_Вводные'!$B$80&gt;=5,BF16,0),IF('01_Вводные'!$B$80&gt;=6,BG16,0))</f>
        <v/>
      </c>
      <c r="BB24" s="95">
        <f>SUM(IF('01_Вводные'!$B$80&gt;=1,BC16,0),IF('01_Вводные'!$B$80&gt;=2,BD16,0),IF('01_Вводные'!$B$80&gt;=3,BE16,0),IF('01_Вводные'!$B$80&gt;=4,BF16,0),IF('01_Вводные'!$B$80&gt;=5,BG16,0),IF('01_Вводные'!$B$80&gt;=6,BH16,0))</f>
        <v/>
      </c>
      <c r="BC24" s="95">
        <f>SUM(IF('01_Вводные'!$B$80&gt;=1,BD16,0),IF('01_Вводные'!$B$80&gt;=2,BE16,0),IF('01_Вводные'!$B$80&gt;=3,BF16,0),IF('01_Вводные'!$B$80&gt;=4,BG16,0),IF('01_Вводные'!$B$80&gt;=5,BH16,0),IF('01_Вводные'!$B$80&gt;=6,BI16,0))</f>
        <v/>
      </c>
      <c r="BD24" s="95">
        <f>SUM(IF('01_Вводные'!$B$80&gt;=1,BE16,0),IF('01_Вводные'!$B$80&gt;=2,BF16,0),IF('01_Вводные'!$B$80&gt;=3,BG16,0),IF('01_Вводные'!$B$80&gt;=4,BH16,0),IF('01_Вводные'!$B$80&gt;=5,BI16,0),IF('01_Вводные'!$B$80&gt;=6,BJ16,0))</f>
        <v/>
      </c>
      <c r="BE24" s="95">
        <f>SUM(IF('01_Вводные'!$B$80&gt;=1,BF16,0),IF('01_Вводные'!$B$80&gt;=2,BG16,0),IF('01_Вводные'!$B$80&gt;=3,BH16,0),IF('01_Вводные'!$B$80&gt;=4,BI16,0),IF('01_Вводные'!$B$80&gt;=5,BJ16,0),IF('01_Вводные'!$B$80&gt;=6,BK16,0))</f>
        <v/>
      </c>
      <c r="BF24" s="95">
        <f>SUM(IF('01_Вводные'!$B$80&gt;=1,BG16,0),IF('01_Вводные'!$B$80&gt;=2,BH16,0),IF('01_Вводные'!$B$80&gt;=3,BI16,0),IF('01_Вводные'!$B$80&gt;=4,BJ16,0),IF('01_Вводные'!$B$80&gt;=5,BK16,0),IF('01_Вводные'!$B$80&gt;=6,BL16,0))</f>
        <v/>
      </c>
      <c r="BG24" s="95">
        <f>SUM(IF('01_Вводные'!$B$80&gt;=1,BH16,0),IF('01_Вводные'!$B$80&gt;=2,BI16,0),IF('01_Вводные'!$B$80&gt;=3,BJ16,0),IF('01_Вводные'!$B$80&gt;=4,BK16,0),IF('01_Вводные'!$B$80&gt;=5,BL16,0),IF('01_Вводные'!$B$80&gt;=6,BM16,0))</f>
        <v/>
      </c>
      <c r="BH24" s="95">
        <f>SUM(IF('01_Вводные'!$B$80&gt;=1,BI16,0),IF('01_Вводные'!$B$80&gt;=2,BJ16,0),IF('01_Вводные'!$B$80&gt;=3,BK16,0),IF('01_Вводные'!$B$80&gt;=4,BL16,0),IF('01_Вводные'!$B$80&gt;=5,BM16,0),IF('01_Вводные'!$B$80&gt;=6,BN16,0))</f>
        <v/>
      </c>
      <c r="BI24" s="95">
        <f>SUM(IF('01_Вводные'!$B$80&gt;=1,BJ16,0),IF('01_Вводные'!$B$80&gt;=2,BK16,0),IF('01_Вводные'!$B$80&gt;=3,BL16,0),IF('01_Вводные'!$B$80&gt;=4,BM16,0),IF('01_Вводные'!$B$80&gt;=5,BN16,0),IF('01_Вводные'!$B$80&gt;=6,BO16,0))</f>
        <v/>
      </c>
      <c r="BJ24" s="77">
        <f>0</f>
        <v/>
      </c>
      <c r="BK24" s="77">
        <f>0</f>
        <v/>
      </c>
      <c r="BL24" s="77">
        <f>0</f>
        <v/>
      </c>
      <c r="BM24" s="77">
        <f>0</f>
        <v/>
      </c>
      <c r="BN24" s="77">
        <f>0</f>
        <v/>
      </c>
      <c r="BO24" s="77">
        <f>0</f>
        <v/>
      </c>
    </row>
    <row r="25">
      <c r="A25" s="2" t="inlineStr">
        <is>
          <t>Закупка на склад</t>
        </is>
      </c>
      <c r="B25" s="95">
        <f>IF(AND(B$3&gt;='01_Вводные'!$B$81,OR(MONTH(B$3)='01_Вводные'!$B$82,MONTH(B$3)='01_Вводные'!$B$83,MONTH(B$3)='01_Вводные'!$B$84,MONTH(B$3)='01_Вводные'!$B$85)),MAX(0,B24-(B22-B23)),0)</f>
        <v/>
      </c>
      <c r="C25" s="95">
        <f>IF(AND(C$3&gt;='01_Вводные'!$B$81,OR(MONTH(C$3)='01_Вводные'!$B$82,MONTH(C$3)='01_Вводные'!$B$83,MONTH(C$3)='01_Вводные'!$B$84,MONTH(C$3)='01_Вводные'!$B$85)),MAX(0,C24-(C22-C23)),0)</f>
        <v/>
      </c>
      <c r="D25" s="95">
        <f>IF(AND(D$3&gt;='01_Вводные'!$B$81,OR(MONTH(D$3)='01_Вводные'!$B$82,MONTH(D$3)='01_Вводные'!$B$83,MONTH(D$3)='01_Вводные'!$B$84,MONTH(D$3)='01_Вводные'!$B$85)),MAX(0,D24-(D22-D23)),0)</f>
        <v/>
      </c>
      <c r="E25" s="95">
        <f>IF(AND(E$3&gt;='01_Вводные'!$B$81,OR(MONTH(E$3)='01_Вводные'!$B$82,MONTH(E$3)='01_Вводные'!$B$83,MONTH(E$3)='01_Вводные'!$B$84,MONTH(E$3)='01_Вводные'!$B$85)),MAX(0,E24-(E22-E23)),0)</f>
        <v/>
      </c>
      <c r="F25" s="95">
        <f>IF(AND(F$3&gt;='01_Вводные'!$B$81,OR(MONTH(F$3)='01_Вводные'!$B$82,MONTH(F$3)='01_Вводные'!$B$83,MONTH(F$3)='01_Вводные'!$B$84,MONTH(F$3)='01_Вводные'!$B$85)),MAX(0,F24-(F22-F23)),0)</f>
        <v/>
      </c>
      <c r="G25" s="95">
        <f>IF(AND(G$3&gt;='01_Вводные'!$B$81,OR(MONTH(G$3)='01_Вводные'!$B$82,MONTH(G$3)='01_Вводные'!$B$83,MONTH(G$3)='01_Вводные'!$B$84,MONTH(G$3)='01_Вводные'!$B$85)),MAX(0,G24-(G22-G23)),0)</f>
        <v/>
      </c>
      <c r="H25" s="95">
        <f>IF(AND(H$3&gt;='01_Вводные'!$B$81,OR(MONTH(H$3)='01_Вводные'!$B$82,MONTH(H$3)='01_Вводные'!$B$83,MONTH(H$3)='01_Вводные'!$B$84,MONTH(H$3)='01_Вводные'!$B$85)),MAX(0,H24-(H22-H23)),0)</f>
        <v/>
      </c>
      <c r="I25" s="95">
        <f>IF(AND(I$3&gt;='01_Вводные'!$B$81,OR(MONTH(I$3)='01_Вводные'!$B$82,MONTH(I$3)='01_Вводные'!$B$83,MONTH(I$3)='01_Вводные'!$B$84,MONTH(I$3)='01_Вводные'!$B$85)),MAX(0,I24-(I22-I23)),0)</f>
        <v/>
      </c>
      <c r="J25" s="95">
        <f>IF(AND(J$3&gt;='01_Вводные'!$B$81,OR(MONTH(J$3)='01_Вводные'!$B$82,MONTH(J$3)='01_Вводные'!$B$83,MONTH(J$3)='01_Вводные'!$B$84,MONTH(J$3)='01_Вводные'!$B$85)),MAX(0,J24-(J22-J23)),0)</f>
        <v/>
      </c>
      <c r="K25" s="95">
        <f>IF(AND(K$3&gt;='01_Вводные'!$B$81,OR(MONTH(K$3)='01_Вводные'!$B$82,MONTH(K$3)='01_Вводные'!$B$83,MONTH(K$3)='01_Вводные'!$B$84,MONTH(K$3)='01_Вводные'!$B$85)),MAX(0,K24-(K22-K23)),0)</f>
        <v/>
      </c>
      <c r="L25" s="95">
        <f>IF(AND(L$3&gt;='01_Вводные'!$B$81,OR(MONTH(L$3)='01_Вводные'!$B$82,MONTH(L$3)='01_Вводные'!$B$83,MONTH(L$3)='01_Вводные'!$B$84,MONTH(L$3)='01_Вводные'!$B$85)),MAX(0,L24-(L22-L23)),0)</f>
        <v/>
      </c>
      <c r="M25" s="95">
        <f>IF(AND(M$3&gt;='01_Вводные'!$B$81,OR(MONTH(M$3)='01_Вводные'!$B$82,MONTH(M$3)='01_Вводные'!$B$83,MONTH(M$3)='01_Вводные'!$B$84,MONTH(M$3)='01_Вводные'!$B$85)),MAX(0,M24-(M22-M23)),0)</f>
        <v/>
      </c>
      <c r="N25" s="95">
        <f>IF(AND(N$3&gt;='01_Вводные'!$B$81,OR(MONTH(N$3)='01_Вводные'!$B$82,MONTH(N$3)='01_Вводные'!$B$83,MONTH(N$3)='01_Вводные'!$B$84,MONTH(N$3)='01_Вводные'!$B$85)),MAX(0,N24-(N22-N23)),0)</f>
        <v/>
      </c>
      <c r="O25" s="95">
        <f>IF(AND(O$3&gt;='01_Вводные'!$B$81,OR(MONTH(O$3)='01_Вводные'!$B$82,MONTH(O$3)='01_Вводные'!$B$83,MONTH(O$3)='01_Вводные'!$B$84,MONTH(O$3)='01_Вводные'!$B$85)),MAX(0,O24-(O22-O23)),0)</f>
        <v/>
      </c>
      <c r="P25" s="95">
        <f>IF(AND(P$3&gt;='01_Вводные'!$B$81,OR(MONTH(P$3)='01_Вводные'!$B$82,MONTH(P$3)='01_Вводные'!$B$83,MONTH(P$3)='01_Вводные'!$B$84,MONTH(P$3)='01_Вводные'!$B$85)),MAX(0,P24-(P22-P23)),0)</f>
        <v/>
      </c>
      <c r="Q25" s="95">
        <f>IF(AND(Q$3&gt;='01_Вводные'!$B$81,OR(MONTH(Q$3)='01_Вводные'!$B$82,MONTH(Q$3)='01_Вводные'!$B$83,MONTH(Q$3)='01_Вводные'!$B$84,MONTH(Q$3)='01_Вводные'!$B$85)),MAX(0,Q24-(Q22-Q23)),0)</f>
        <v/>
      </c>
      <c r="R25" s="95">
        <f>IF(AND(R$3&gt;='01_Вводные'!$B$81,OR(MONTH(R$3)='01_Вводные'!$B$82,MONTH(R$3)='01_Вводные'!$B$83,MONTH(R$3)='01_Вводные'!$B$84,MONTH(R$3)='01_Вводные'!$B$85)),MAX(0,R24-(R22-R23)),0)</f>
        <v/>
      </c>
      <c r="S25" s="95">
        <f>IF(AND(S$3&gt;='01_Вводные'!$B$81,OR(MONTH(S$3)='01_Вводные'!$B$82,MONTH(S$3)='01_Вводные'!$B$83,MONTH(S$3)='01_Вводные'!$B$84,MONTH(S$3)='01_Вводные'!$B$85)),MAX(0,S24-(S22-S23)),0)</f>
        <v/>
      </c>
      <c r="T25" s="95">
        <f>IF(AND(T$3&gt;='01_Вводные'!$B$81,OR(MONTH(T$3)='01_Вводные'!$B$82,MONTH(T$3)='01_Вводные'!$B$83,MONTH(T$3)='01_Вводные'!$B$84,MONTH(T$3)='01_Вводные'!$B$85)),MAX(0,T24-(T22-T23)),0)</f>
        <v/>
      </c>
      <c r="U25" s="95">
        <f>IF(AND(U$3&gt;='01_Вводные'!$B$81,OR(MONTH(U$3)='01_Вводные'!$B$82,MONTH(U$3)='01_Вводные'!$B$83,MONTH(U$3)='01_Вводные'!$B$84,MONTH(U$3)='01_Вводные'!$B$85)),MAX(0,U24-(U22-U23)),0)</f>
        <v/>
      </c>
      <c r="V25" s="95">
        <f>IF(AND(V$3&gt;='01_Вводные'!$B$81,OR(MONTH(V$3)='01_Вводные'!$B$82,MONTH(V$3)='01_Вводные'!$B$83,MONTH(V$3)='01_Вводные'!$B$84,MONTH(V$3)='01_Вводные'!$B$85)),MAX(0,V24-(V22-V23)),0)</f>
        <v/>
      </c>
      <c r="W25" s="95">
        <f>IF(AND(W$3&gt;='01_Вводные'!$B$81,OR(MONTH(W$3)='01_Вводные'!$B$82,MONTH(W$3)='01_Вводные'!$B$83,MONTH(W$3)='01_Вводные'!$B$84,MONTH(W$3)='01_Вводные'!$B$85)),MAX(0,W24-(W22-W23)),0)</f>
        <v/>
      </c>
      <c r="X25" s="95">
        <f>IF(AND(X$3&gt;='01_Вводные'!$B$81,OR(MONTH(X$3)='01_Вводные'!$B$82,MONTH(X$3)='01_Вводные'!$B$83,MONTH(X$3)='01_Вводные'!$B$84,MONTH(X$3)='01_Вводные'!$B$85)),MAX(0,X24-(X22-X23)),0)</f>
        <v/>
      </c>
      <c r="Y25" s="95">
        <f>IF(AND(Y$3&gt;='01_Вводные'!$B$81,OR(MONTH(Y$3)='01_Вводные'!$B$82,MONTH(Y$3)='01_Вводные'!$B$83,MONTH(Y$3)='01_Вводные'!$B$84,MONTH(Y$3)='01_Вводные'!$B$85)),MAX(0,Y24-(Y22-Y23)),0)</f>
        <v/>
      </c>
      <c r="Z25" s="95">
        <f>IF(AND(Z$3&gt;='01_Вводные'!$B$81,OR(MONTH(Z$3)='01_Вводные'!$B$82,MONTH(Z$3)='01_Вводные'!$B$83,MONTH(Z$3)='01_Вводные'!$B$84,MONTH(Z$3)='01_Вводные'!$B$85)),MAX(0,Z24-(Z22-Z23)),0)</f>
        <v/>
      </c>
      <c r="AA25" s="95">
        <f>IF(AND(AA$3&gt;='01_Вводные'!$B$81,OR(MONTH(AA$3)='01_Вводные'!$B$82,MONTH(AA$3)='01_Вводные'!$B$83,MONTH(AA$3)='01_Вводные'!$B$84,MONTH(AA$3)='01_Вводные'!$B$85)),MAX(0,AA24-(AA22-AA23)),0)</f>
        <v/>
      </c>
      <c r="AB25" s="95">
        <f>IF(AND(AB$3&gt;='01_Вводные'!$B$81,OR(MONTH(AB$3)='01_Вводные'!$B$82,MONTH(AB$3)='01_Вводные'!$B$83,MONTH(AB$3)='01_Вводные'!$B$84,MONTH(AB$3)='01_Вводные'!$B$85)),MAX(0,AB24-(AB22-AB23)),0)</f>
        <v/>
      </c>
      <c r="AC25" s="95">
        <f>IF(AND(AC$3&gt;='01_Вводные'!$B$81,OR(MONTH(AC$3)='01_Вводные'!$B$82,MONTH(AC$3)='01_Вводные'!$B$83,MONTH(AC$3)='01_Вводные'!$B$84,MONTH(AC$3)='01_Вводные'!$B$85)),MAX(0,AC24-(AC22-AC23)),0)</f>
        <v/>
      </c>
      <c r="AD25" s="95">
        <f>IF(AND(AD$3&gt;='01_Вводные'!$B$81,OR(MONTH(AD$3)='01_Вводные'!$B$82,MONTH(AD$3)='01_Вводные'!$B$83,MONTH(AD$3)='01_Вводные'!$B$84,MONTH(AD$3)='01_Вводные'!$B$85)),MAX(0,AD24-(AD22-AD23)),0)</f>
        <v/>
      </c>
      <c r="AE25" s="95">
        <f>IF(AND(AE$3&gt;='01_Вводные'!$B$81,OR(MONTH(AE$3)='01_Вводные'!$B$82,MONTH(AE$3)='01_Вводные'!$B$83,MONTH(AE$3)='01_Вводные'!$B$84,MONTH(AE$3)='01_Вводные'!$B$85)),MAX(0,AE24-(AE22-AE23)),0)</f>
        <v/>
      </c>
      <c r="AF25" s="95">
        <f>IF(AND(AF$3&gt;='01_Вводные'!$B$81,OR(MONTH(AF$3)='01_Вводные'!$B$82,MONTH(AF$3)='01_Вводные'!$B$83,MONTH(AF$3)='01_Вводные'!$B$84,MONTH(AF$3)='01_Вводные'!$B$85)),MAX(0,AF24-(AF22-AF23)),0)</f>
        <v/>
      </c>
      <c r="AG25" s="95">
        <f>IF(AND(AG$3&gt;='01_Вводные'!$B$81,OR(MONTH(AG$3)='01_Вводные'!$B$82,MONTH(AG$3)='01_Вводные'!$B$83,MONTH(AG$3)='01_Вводные'!$B$84,MONTH(AG$3)='01_Вводные'!$B$85)),MAX(0,AG24-(AG22-AG23)),0)</f>
        <v/>
      </c>
      <c r="AH25" s="95">
        <f>IF(AND(AH$3&gt;='01_Вводные'!$B$81,OR(MONTH(AH$3)='01_Вводные'!$B$82,MONTH(AH$3)='01_Вводные'!$B$83,MONTH(AH$3)='01_Вводные'!$B$84,MONTH(AH$3)='01_Вводные'!$B$85)),MAX(0,AH24-(AH22-AH23)),0)</f>
        <v/>
      </c>
      <c r="AI25" s="95">
        <f>IF(AND(AI$3&gt;='01_Вводные'!$B$81,OR(MONTH(AI$3)='01_Вводные'!$B$82,MONTH(AI$3)='01_Вводные'!$B$83,MONTH(AI$3)='01_Вводные'!$B$84,MONTH(AI$3)='01_Вводные'!$B$85)),MAX(0,AI24-(AI22-AI23)),0)</f>
        <v/>
      </c>
      <c r="AJ25" s="95">
        <f>IF(AND(AJ$3&gt;='01_Вводные'!$B$81,OR(MONTH(AJ$3)='01_Вводные'!$B$82,MONTH(AJ$3)='01_Вводные'!$B$83,MONTH(AJ$3)='01_Вводные'!$B$84,MONTH(AJ$3)='01_Вводные'!$B$85)),MAX(0,AJ24-(AJ22-AJ23)),0)</f>
        <v/>
      </c>
      <c r="AK25" s="95">
        <f>IF(AND(AK$3&gt;='01_Вводные'!$B$81,OR(MONTH(AK$3)='01_Вводные'!$B$82,MONTH(AK$3)='01_Вводные'!$B$83,MONTH(AK$3)='01_Вводные'!$B$84,MONTH(AK$3)='01_Вводные'!$B$85)),MAX(0,AK24-(AK22-AK23)),0)</f>
        <v/>
      </c>
      <c r="AL25" s="95">
        <f>IF(AND(AL$3&gt;='01_Вводные'!$B$81,OR(MONTH(AL$3)='01_Вводные'!$B$82,MONTH(AL$3)='01_Вводные'!$B$83,MONTH(AL$3)='01_Вводные'!$B$84,MONTH(AL$3)='01_Вводные'!$B$85)),MAX(0,AL24-(AL22-AL23)),0)</f>
        <v/>
      </c>
      <c r="AM25" s="95">
        <f>IF(AND(AM$3&gt;='01_Вводные'!$B$81,OR(MONTH(AM$3)='01_Вводные'!$B$82,MONTH(AM$3)='01_Вводные'!$B$83,MONTH(AM$3)='01_Вводные'!$B$84,MONTH(AM$3)='01_Вводные'!$B$85)),MAX(0,AM24-(AM22-AM23)),0)</f>
        <v/>
      </c>
      <c r="AN25" s="95">
        <f>IF(AND(AN$3&gt;='01_Вводные'!$B$81,OR(MONTH(AN$3)='01_Вводные'!$B$82,MONTH(AN$3)='01_Вводные'!$B$83,MONTH(AN$3)='01_Вводные'!$B$84,MONTH(AN$3)='01_Вводные'!$B$85)),MAX(0,AN24-(AN22-AN23)),0)</f>
        <v/>
      </c>
      <c r="AO25" s="95">
        <f>IF(AND(AO$3&gt;='01_Вводные'!$B$81,OR(MONTH(AO$3)='01_Вводные'!$B$82,MONTH(AO$3)='01_Вводные'!$B$83,MONTH(AO$3)='01_Вводные'!$B$84,MONTH(AO$3)='01_Вводные'!$B$85)),MAX(0,AO24-(AO22-AO23)),0)</f>
        <v/>
      </c>
      <c r="AP25" s="95">
        <f>IF(AND(AP$3&gt;='01_Вводные'!$B$81,OR(MONTH(AP$3)='01_Вводные'!$B$82,MONTH(AP$3)='01_Вводные'!$B$83,MONTH(AP$3)='01_Вводные'!$B$84,MONTH(AP$3)='01_Вводные'!$B$85)),MAX(0,AP24-(AP22-AP23)),0)</f>
        <v/>
      </c>
      <c r="AQ25" s="95">
        <f>IF(AND(AQ$3&gt;='01_Вводные'!$B$81,OR(MONTH(AQ$3)='01_Вводные'!$B$82,MONTH(AQ$3)='01_Вводные'!$B$83,MONTH(AQ$3)='01_Вводные'!$B$84,MONTH(AQ$3)='01_Вводные'!$B$85)),MAX(0,AQ24-(AQ22-AQ23)),0)</f>
        <v/>
      </c>
      <c r="AR25" s="95">
        <f>IF(AND(AR$3&gt;='01_Вводные'!$B$81,OR(MONTH(AR$3)='01_Вводные'!$B$82,MONTH(AR$3)='01_Вводные'!$B$83,MONTH(AR$3)='01_Вводные'!$B$84,MONTH(AR$3)='01_Вводные'!$B$85)),MAX(0,AR24-(AR22-AR23)),0)</f>
        <v/>
      </c>
      <c r="AS25" s="95">
        <f>IF(AND(AS$3&gt;='01_Вводные'!$B$81,OR(MONTH(AS$3)='01_Вводные'!$B$82,MONTH(AS$3)='01_Вводные'!$B$83,MONTH(AS$3)='01_Вводные'!$B$84,MONTH(AS$3)='01_Вводные'!$B$85)),MAX(0,AS24-(AS22-AS23)),0)</f>
        <v/>
      </c>
      <c r="AT25" s="95">
        <f>IF(AND(AT$3&gt;='01_Вводные'!$B$81,OR(MONTH(AT$3)='01_Вводные'!$B$82,MONTH(AT$3)='01_Вводные'!$B$83,MONTH(AT$3)='01_Вводные'!$B$84,MONTH(AT$3)='01_Вводные'!$B$85)),MAX(0,AT24-(AT22-AT23)),0)</f>
        <v/>
      </c>
      <c r="AU25" s="95">
        <f>IF(AND(AU$3&gt;='01_Вводные'!$B$81,OR(MONTH(AU$3)='01_Вводные'!$B$82,MONTH(AU$3)='01_Вводные'!$B$83,MONTH(AU$3)='01_Вводные'!$B$84,MONTH(AU$3)='01_Вводные'!$B$85)),MAX(0,AU24-(AU22-AU23)),0)</f>
        <v/>
      </c>
      <c r="AV25" s="95">
        <f>IF(AND(AV$3&gt;='01_Вводные'!$B$81,OR(MONTH(AV$3)='01_Вводные'!$B$82,MONTH(AV$3)='01_Вводные'!$B$83,MONTH(AV$3)='01_Вводные'!$B$84,MONTH(AV$3)='01_Вводные'!$B$85)),MAX(0,AV24-(AV22-AV23)),0)</f>
        <v/>
      </c>
      <c r="AW25" s="95">
        <f>IF(AND(AW$3&gt;='01_Вводные'!$B$81,OR(MONTH(AW$3)='01_Вводные'!$B$82,MONTH(AW$3)='01_Вводные'!$B$83,MONTH(AW$3)='01_Вводные'!$B$84,MONTH(AW$3)='01_Вводные'!$B$85)),MAX(0,AW24-(AW22-AW23)),0)</f>
        <v/>
      </c>
      <c r="AX25" s="95">
        <f>IF(AND(AX$3&gt;='01_Вводные'!$B$81,OR(MONTH(AX$3)='01_Вводные'!$B$82,MONTH(AX$3)='01_Вводные'!$B$83,MONTH(AX$3)='01_Вводные'!$B$84,MONTH(AX$3)='01_Вводные'!$B$85)),MAX(0,AX24-(AX22-AX23)),0)</f>
        <v/>
      </c>
      <c r="AY25" s="95">
        <f>IF(AND(AY$3&gt;='01_Вводные'!$B$81,OR(MONTH(AY$3)='01_Вводные'!$B$82,MONTH(AY$3)='01_Вводные'!$B$83,MONTH(AY$3)='01_Вводные'!$B$84,MONTH(AY$3)='01_Вводные'!$B$85)),MAX(0,AY24-(AY22-AY23)),0)</f>
        <v/>
      </c>
      <c r="AZ25" s="95">
        <f>IF(AND(AZ$3&gt;='01_Вводные'!$B$81,OR(MONTH(AZ$3)='01_Вводные'!$B$82,MONTH(AZ$3)='01_Вводные'!$B$83,MONTH(AZ$3)='01_Вводные'!$B$84,MONTH(AZ$3)='01_Вводные'!$B$85)),MAX(0,AZ24-(AZ22-AZ23)),0)</f>
        <v/>
      </c>
      <c r="BA25" s="95">
        <f>IF(AND(BA$3&gt;='01_Вводные'!$B$81,OR(MONTH(BA$3)='01_Вводные'!$B$82,MONTH(BA$3)='01_Вводные'!$B$83,MONTH(BA$3)='01_Вводные'!$B$84,MONTH(BA$3)='01_Вводные'!$B$85)),MAX(0,BA24-(BA22-BA23)),0)</f>
        <v/>
      </c>
      <c r="BB25" s="95">
        <f>IF(AND(BB$3&gt;='01_Вводные'!$B$81,OR(MONTH(BB$3)='01_Вводные'!$B$82,MONTH(BB$3)='01_Вводные'!$B$83,MONTH(BB$3)='01_Вводные'!$B$84,MONTH(BB$3)='01_Вводные'!$B$85)),MAX(0,BB24-(BB22-BB23)),0)</f>
        <v/>
      </c>
      <c r="BC25" s="95">
        <f>IF(AND(BC$3&gt;='01_Вводные'!$B$81,OR(MONTH(BC$3)='01_Вводные'!$B$82,MONTH(BC$3)='01_Вводные'!$B$83,MONTH(BC$3)='01_Вводные'!$B$84,MONTH(BC$3)='01_Вводные'!$B$85)),MAX(0,BC24-(BC22-BC23)),0)</f>
        <v/>
      </c>
      <c r="BD25" s="95">
        <f>IF(AND(BD$3&gt;='01_Вводные'!$B$81,OR(MONTH(BD$3)='01_Вводные'!$B$82,MONTH(BD$3)='01_Вводные'!$B$83,MONTH(BD$3)='01_Вводные'!$B$84,MONTH(BD$3)='01_Вводные'!$B$85)),MAX(0,BD24-(BD22-BD23)),0)</f>
        <v/>
      </c>
      <c r="BE25" s="95">
        <f>IF(AND(BE$3&gt;='01_Вводные'!$B$81,OR(MONTH(BE$3)='01_Вводные'!$B$82,MONTH(BE$3)='01_Вводные'!$B$83,MONTH(BE$3)='01_Вводные'!$B$84,MONTH(BE$3)='01_Вводные'!$B$85)),MAX(0,BE24-(BE22-BE23)),0)</f>
        <v/>
      </c>
      <c r="BF25" s="95">
        <f>IF(AND(BF$3&gt;='01_Вводные'!$B$81,OR(MONTH(BF$3)='01_Вводные'!$B$82,MONTH(BF$3)='01_Вводные'!$B$83,MONTH(BF$3)='01_Вводные'!$B$84,MONTH(BF$3)='01_Вводные'!$B$85)),MAX(0,BF24-(BF22-BF23)),0)</f>
        <v/>
      </c>
      <c r="BG25" s="95">
        <f>IF(AND(BG$3&gt;='01_Вводные'!$B$81,OR(MONTH(BG$3)='01_Вводные'!$B$82,MONTH(BG$3)='01_Вводные'!$B$83,MONTH(BG$3)='01_Вводные'!$B$84,MONTH(BG$3)='01_Вводные'!$B$85)),MAX(0,BG24-(BG22-BG23)),0)</f>
        <v/>
      </c>
      <c r="BH25" s="95">
        <f>IF(AND(BH$3&gt;='01_Вводные'!$B$81,OR(MONTH(BH$3)='01_Вводные'!$B$82,MONTH(BH$3)='01_Вводные'!$B$83,MONTH(BH$3)='01_Вводные'!$B$84,MONTH(BH$3)='01_Вводные'!$B$85)),MAX(0,BH24-(BH22-BH23)),0)</f>
        <v/>
      </c>
      <c r="BI25" s="95">
        <f>IF(AND(BI$3&gt;='01_Вводные'!$B$81,OR(MONTH(BI$3)='01_Вводные'!$B$82,MONTH(BI$3)='01_Вводные'!$B$83,MONTH(BI$3)='01_Вводные'!$B$84,MONTH(BI$3)='01_Вводные'!$B$85)),MAX(0,BI24-(BI22-BI23)),0)</f>
        <v/>
      </c>
      <c r="BJ25" s="95">
        <f>IF(AND(BJ$3&gt;='01_Вводные'!$B$81,OR(MONTH(BJ$3)='01_Вводные'!$B$82,MONTH(BJ$3)='01_Вводные'!$B$83,MONTH(BJ$3)='01_Вводные'!$B$84,MONTH(BJ$3)='01_Вводные'!$B$85)),MAX(0,BJ24-(BJ22-BJ23)),0)</f>
        <v/>
      </c>
      <c r="BK25" s="95">
        <f>IF(AND(BK$3&gt;='01_Вводные'!$B$81,OR(MONTH(BK$3)='01_Вводные'!$B$82,MONTH(BK$3)='01_Вводные'!$B$83,MONTH(BK$3)='01_Вводные'!$B$84,MONTH(BK$3)='01_Вводные'!$B$85)),MAX(0,BK24-(BK22-BK23)),0)</f>
        <v/>
      </c>
      <c r="BL25" s="95">
        <f>IF(AND(BL$3&gt;='01_Вводные'!$B$81,OR(MONTH(BL$3)='01_Вводные'!$B$82,MONTH(BL$3)='01_Вводные'!$B$83,MONTH(BL$3)='01_Вводные'!$B$84,MONTH(BL$3)='01_Вводные'!$B$85)),MAX(0,BL24-(BL22-BL23)),0)</f>
        <v/>
      </c>
      <c r="BM25" s="95">
        <f>IF(AND(BM$3&gt;='01_Вводные'!$B$81,OR(MONTH(BM$3)='01_Вводные'!$B$82,MONTH(BM$3)='01_Вводные'!$B$83,MONTH(BM$3)='01_Вводные'!$B$84,MONTH(BM$3)='01_Вводные'!$B$85)),MAX(0,BM24-(BM22-BM23)),0)</f>
        <v/>
      </c>
      <c r="BN25" s="95">
        <f>IF(AND(BN$3&gt;='01_Вводные'!$B$81,OR(MONTH(BN$3)='01_Вводные'!$B$82,MONTH(BN$3)='01_Вводные'!$B$83,MONTH(BN$3)='01_Вводные'!$B$84,MONTH(BN$3)='01_Вводные'!$B$85)),MAX(0,BN24-(BN22-BN23)),0)</f>
        <v/>
      </c>
      <c r="BO25" s="95">
        <f>IF(AND(BO$3&gt;='01_Вводные'!$B$81,OR(MONTH(BO$3)='01_Вводные'!$B$82,MONTH(BO$3)='01_Вводные'!$B$83,MONTH(BO$3)='01_Вводные'!$B$84,MONTH(BO$3)='01_Вводные'!$B$85)),MAX(0,BO24-(BO22-BO23)),0)</f>
        <v/>
      </c>
    </row>
    <row r="26">
      <c r="A26" s="10" t="inlineStr">
        <is>
          <t>Склад на конец / необеспеченный спрос (−)</t>
        </is>
      </c>
      <c r="B26" s="98">
        <f>B22+B25-B23</f>
        <v/>
      </c>
      <c r="C26" s="98">
        <f>C22+C25-C23</f>
        <v/>
      </c>
      <c r="D26" s="98">
        <f>D22+D25-D23</f>
        <v/>
      </c>
      <c r="E26" s="98">
        <f>E22+E25-E23</f>
        <v/>
      </c>
      <c r="F26" s="98">
        <f>F22+F25-F23</f>
        <v/>
      </c>
      <c r="G26" s="98">
        <f>G22+G25-G23</f>
        <v/>
      </c>
      <c r="H26" s="98">
        <f>H22+H25-H23</f>
        <v/>
      </c>
      <c r="I26" s="98">
        <f>I22+I25-I23</f>
        <v/>
      </c>
      <c r="J26" s="98">
        <f>J22+J25-J23</f>
        <v/>
      </c>
      <c r="K26" s="98">
        <f>K22+K25-K23</f>
        <v/>
      </c>
      <c r="L26" s="98">
        <f>L22+L25-L23</f>
        <v/>
      </c>
      <c r="M26" s="98">
        <f>M22+M25-M23</f>
        <v/>
      </c>
      <c r="N26" s="98">
        <f>N22+N25-N23</f>
        <v/>
      </c>
      <c r="O26" s="98">
        <f>O22+O25-O23</f>
        <v/>
      </c>
      <c r="P26" s="98">
        <f>P22+P25-P23</f>
        <v/>
      </c>
      <c r="Q26" s="98">
        <f>Q22+Q25-Q23</f>
        <v/>
      </c>
      <c r="R26" s="98">
        <f>R22+R25-R23</f>
        <v/>
      </c>
      <c r="S26" s="98">
        <f>S22+S25-S23</f>
        <v/>
      </c>
      <c r="T26" s="98">
        <f>T22+T25-T23</f>
        <v/>
      </c>
      <c r="U26" s="98">
        <f>U22+U25-U23</f>
        <v/>
      </c>
      <c r="V26" s="98">
        <f>V22+V25-V23</f>
        <v/>
      </c>
      <c r="W26" s="98">
        <f>W22+W25-W23</f>
        <v/>
      </c>
      <c r="X26" s="98">
        <f>X22+X25-X23</f>
        <v/>
      </c>
      <c r="Y26" s="98">
        <f>Y22+Y25-Y23</f>
        <v/>
      </c>
      <c r="Z26" s="98">
        <f>Z22+Z25-Z23</f>
        <v/>
      </c>
      <c r="AA26" s="98">
        <f>AA22+AA25-AA23</f>
        <v/>
      </c>
      <c r="AB26" s="98">
        <f>AB22+AB25-AB23</f>
        <v/>
      </c>
      <c r="AC26" s="98">
        <f>AC22+AC25-AC23</f>
        <v/>
      </c>
      <c r="AD26" s="98">
        <f>AD22+AD25-AD23</f>
        <v/>
      </c>
      <c r="AE26" s="98">
        <f>AE22+AE25-AE23</f>
        <v/>
      </c>
      <c r="AF26" s="98">
        <f>AF22+AF25-AF23</f>
        <v/>
      </c>
      <c r="AG26" s="98">
        <f>AG22+AG25-AG23</f>
        <v/>
      </c>
      <c r="AH26" s="98">
        <f>AH22+AH25-AH23</f>
        <v/>
      </c>
      <c r="AI26" s="98">
        <f>AI22+AI25-AI23</f>
        <v/>
      </c>
      <c r="AJ26" s="98">
        <f>AJ22+AJ25-AJ23</f>
        <v/>
      </c>
      <c r="AK26" s="98">
        <f>AK22+AK25-AK23</f>
        <v/>
      </c>
      <c r="AL26" s="98">
        <f>AL22+AL25-AL23</f>
        <v/>
      </c>
      <c r="AM26" s="98">
        <f>AM22+AM25-AM23</f>
        <v/>
      </c>
      <c r="AN26" s="98">
        <f>AN22+AN25-AN23</f>
        <v/>
      </c>
      <c r="AO26" s="98">
        <f>AO22+AO25-AO23</f>
        <v/>
      </c>
      <c r="AP26" s="98">
        <f>AP22+AP25-AP23</f>
        <v/>
      </c>
      <c r="AQ26" s="98">
        <f>AQ22+AQ25-AQ23</f>
        <v/>
      </c>
      <c r="AR26" s="98">
        <f>AR22+AR25-AR23</f>
        <v/>
      </c>
      <c r="AS26" s="98">
        <f>AS22+AS25-AS23</f>
        <v/>
      </c>
      <c r="AT26" s="98">
        <f>AT22+AT25-AT23</f>
        <v/>
      </c>
      <c r="AU26" s="98">
        <f>AU22+AU25-AU23</f>
        <v/>
      </c>
      <c r="AV26" s="98">
        <f>AV22+AV25-AV23</f>
        <v/>
      </c>
      <c r="AW26" s="98">
        <f>AW22+AW25-AW23</f>
        <v/>
      </c>
      <c r="AX26" s="98">
        <f>AX22+AX25-AX23</f>
        <v/>
      </c>
      <c r="AY26" s="98">
        <f>AY22+AY25-AY23</f>
        <v/>
      </c>
      <c r="AZ26" s="98">
        <f>AZ22+AZ25-AZ23</f>
        <v/>
      </c>
      <c r="BA26" s="98">
        <f>BA22+BA25-BA23</f>
        <v/>
      </c>
      <c r="BB26" s="98">
        <f>BB22+BB25-BB23</f>
        <v/>
      </c>
      <c r="BC26" s="98">
        <f>BC22+BC25-BC23</f>
        <v/>
      </c>
      <c r="BD26" s="98">
        <f>BD22+BD25-BD23</f>
        <v/>
      </c>
      <c r="BE26" s="98">
        <f>BE22+BE25-BE23</f>
        <v/>
      </c>
      <c r="BF26" s="98">
        <f>BF22+BF25-BF23</f>
        <v/>
      </c>
      <c r="BG26" s="98">
        <f>BG22+BG25-BG23</f>
        <v/>
      </c>
      <c r="BH26" s="98">
        <f>BH22+BH25-BH23</f>
        <v/>
      </c>
      <c r="BI26" s="98">
        <f>BI22+BI25-BI23</f>
        <v/>
      </c>
      <c r="BJ26" s="98">
        <f>BJ22+BJ25-BJ23</f>
        <v/>
      </c>
      <c r="BK26" s="98">
        <f>BK22+BK25-BK23</f>
        <v/>
      </c>
      <c r="BL26" s="98">
        <f>BL22+BL25-BL23</f>
        <v/>
      </c>
      <c r="BM26" s="98">
        <f>BM22+BM25-BM23</f>
        <v/>
      </c>
      <c r="BN26" s="98">
        <f>BN22+BN25-BN23</f>
        <v/>
      </c>
      <c r="BO26" s="98">
        <f>BO22+BO25-BO23</f>
        <v/>
      </c>
    </row>
    <row r="27">
      <c r="A27" s="2" t="inlineStr">
        <is>
          <t>Необеспеченный спрос по себестоимости</t>
        </is>
      </c>
      <c r="B27" s="77">
        <f>MAX(0,-B26)</f>
        <v/>
      </c>
      <c r="C27" s="77">
        <f>MAX(0,-C26)</f>
        <v/>
      </c>
      <c r="D27" s="77">
        <f>MAX(0,-D26)</f>
        <v/>
      </c>
      <c r="E27" s="77">
        <f>MAX(0,-E26)</f>
        <v/>
      </c>
      <c r="F27" s="77">
        <f>MAX(0,-F26)</f>
        <v/>
      </c>
      <c r="G27" s="77">
        <f>MAX(0,-G26)</f>
        <v/>
      </c>
      <c r="H27" s="77">
        <f>MAX(0,-H26)</f>
        <v/>
      </c>
      <c r="I27" s="77">
        <f>MAX(0,-I26)</f>
        <v/>
      </c>
      <c r="J27" s="77">
        <f>MAX(0,-J26)</f>
        <v/>
      </c>
      <c r="K27" s="77">
        <f>MAX(0,-K26)</f>
        <v/>
      </c>
      <c r="L27" s="77">
        <f>MAX(0,-L26)</f>
        <v/>
      </c>
      <c r="M27" s="77">
        <f>MAX(0,-M26)</f>
        <v/>
      </c>
      <c r="N27" s="77">
        <f>MAX(0,-N26)</f>
        <v/>
      </c>
      <c r="O27" s="77">
        <f>MAX(0,-O26)</f>
        <v/>
      </c>
      <c r="P27" s="77">
        <f>MAX(0,-P26)</f>
        <v/>
      </c>
      <c r="Q27" s="77">
        <f>MAX(0,-Q26)</f>
        <v/>
      </c>
      <c r="R27" s="77">
        <f>MAX(0,-R26)</f>
        <v/>
      </c>
      <c r="S27" s="77">
        <f>MAX(0,-S26)</f>
        <v/>
      </c>
      <c r="T27" s="77">
        <f>MAX(0,-T26)</f>
        <v/>
      </c>
      <c r="U27" s="77">
        <f>MAX(0,-U26)</f>
        <v/>
      </c>
      <c r="V27" s="77">
        <f>MAX(0,-V26)</f>
        <v/>
      </c>
      <c r="W27" s="77">
        <f>MAX(0,-W26)</f>
        <v/>
      </c>
      <c r="X27" s="77">
        <f>MAX(0,-X26)</f>
        <v/>
      </c>
      <c r="Y27" s="77">
        <f>MAX(0,-Y26)</f>
        <v/>
      </c>
      <c r="Z27" s="77">
        <f>MAX(0,-Z26)</f>
        <v/>
      </c>
      <c r="AA27" s="77">
        <f>MAX(0,-AA26)</f>
        <v/>
      </c>
      <c r="AB27" s="77">
        <f>MAX(0,-AB26)</f>
        <v/>
      </c>
      <c r="AC27" s="77">
        <f>MAX(0,-AC26)</f>
        <v/>
      </c>
      <c r="AD27" s="77">
        <f>MAX(0,-AD26)</f>
        <v/>
      </c>
      <c r="AE27" s="77">
        <f>MAX(0,-AE26)</f>
        <v/>
      </c>
      <c r="AF27" s="77">
        <f>MAX(0,-AF26)</f>
        <v/>
      </c>
      <c r="AG27" s="77">
        <f>MAX(0,-AG26)</f>
        <v/>
      </c>
      <c r="AH27" s="77">
        <f>MAX(0,-AH26)</f>
        <v/>
      </c>
      <c r="AI27" s="77">
        <f>MAX(0,-AI26)</f>
        <v/>
      </c>
      <c r="AJ27" s="77">
        <f>MAX(0,-AJ26)</f>
        <v/>
      </c>
      <c r="AK27" s="77">
        <f>MAX(0,-AK26)</f>
        <v/>
      </c>
      <c r="AL27" s="77">
        <f>MAX(0,-AL26)</f>
        <v/>
      </c>
      <c r="AM27" s="77">
        <f>MAX(0,-AM26)</f>
        <v/>
      </c>
      <c r="AN27" s="77">
        <f>MAX(0,-AN26)</f>
        <v/>
      </c>
      <c r="AO27" s="77">
        <f>MAX(0,-AO26)</f>
        <v/>
      </c>
      <c r="AP27" s="77">
        <f>MAX(0,-AP26)</f>
        <v/>
      </c>
      <c r="AQ27" s="77">
        <f>MAX(0,-AQ26)</f>
        <v/>
      </c>
      <c r="AR27" s="77">
        <f>MAX(0,-AR26)</f>
        <v/>
      </c>
      <c r="AS27" s="77">
        <f>MAX(0,-AS26)</f>
        <v/>
      </c>
      <c r="AT27" s="77">
        <f>MAX(0,-AT26)</f>
        <v/>
      </c>
      <c r="AU27" s="77">
        <f>MAX(0,-AU26)</f>
        <v/>
      </c>
      <c r="AV27" s="77">
        <f>MAX(0,-AV26)</f>
        <v/>
      </c>
      <c r="AW27" s="77">
        <f>MAX(0,-AW26)</f>
        <v/>
      </c>
      <c r="AX27" s="77">
        <f>MAX(0,-AX26)</f>
        <v/>
      </c>
      <c r="AY27" s="77">
        <f>MAX(0,-AY26)</f>
        <v/>
      </c>
      <c r="AZ27" s="77">
        <f>MAX(0,-AZ26)</f>
        <v/>
      </c>
      <c r="BA27" s="77">
        <f>MAX(0,-BA26)</f>
        <v/>
      </c>
      <c r="BB27" s="77">
        <f>MAX(0,-BB26)</f>
        <v/>
      </c>
      <c r="BC27" s="77">
        <f>MAX(0,-BC26)</f>
        <v/>
      </c>
      <c r="BD27" s="77">
        <f>MAX(0,-BD26)</f>
        <v/>
      </c>
      <c r="BE27" s="77">
        <f>MAX(0,-BE26)</f>
        <v/>
      </c>
      <c r="BF27" s="77">
        <f>MAX(0,-BF26)</f>
        <v/>
      </c>
      <c r="BG27" s="77">
        <f>MAX(0,-BG26)</f>
        <v/>
      </c>
      <c r="BH27" s="77">
        <f>MAX(0,-BH26)</f>
        <v/>
      </c>
      <c r="BI27" s="77">
        <f>MAX(0,-BI26)</f>
        <v/>
      </c>
      <c r="BJ27" s="77">
        <f>MAX(0,-BJ26)</f>
        <v/>
      </c>
      <c r="BK27" s="77">
        <f>MAX(0,-BK26)</f>
        <v/>
      </c>
      <c r="BL27" s="77">
        <f>MAX(0,-BL26)</f>
        <v/>
      </c>
      <c r="BM27" s="77">
        <f>MAX(0,-BM26)</f>
        <v/>
      </c>
      <c r="BN27" s="77">
        <f>MAX(0,-BN26)</f>
        <v/>
      </c>
      <c r="BO27" s="77">
        <f>MAX(0,-BO26)</f>
        <v/>
      </c>
    </row>
    <row r="28" ht="20" customHeight="1">
      <c r="A28" s="4" t="inlineStr">
        <is>
          <t>Возврат займа</t>
        </is>
      </c>
    </row>
    <row r="29">
      <c r="A29" s="2" t="inlineStr">
        <is>
          <t>Займ на начало</t>
        </is>
      </c>
      <c r="B29" s="42">
        <f>'01_Вводные'!$B$78</f>
        <v/>
      </c>
      <c r="C29" s="42">
        <f>B32</f>
        <v/>
      </c>
      <c r="D29" s="42">
        <f>C32</f>
        <v/>
      </c>
      <c r="E29" s="42">
        <f>D32</f>
        <v/>
      </c>
      <c r="F29" s="42">
        <f>E32</f>
        <v/>
      </c>
      <c r="G29" s="42">
        <f>F32</f>
        <v/>
      </c>
      <c r="H29" s="42">
        <f>G32</f>
        <v/>
      </c>
      <c r="I29" s="42">
        <f>H32</f>
        <v/>
      </c>
      <c r="J29" s="42">
        <f>I32</f>
        <v/>
      </c>
      <c r="K29" s="42">
        <f>J32</f>
        <v/>
      </c>
      <c r="L29" s="42">
        <f>K32</f>
        <v/>
      </c>
      <c r="M29" s="42">
        <f>L32</f>
        <v/>
      </c>
      <c r="N29" s="42">
        <f>M32</f>
        <v/>
      </c>
      <c r="O29" s="42">
        <f>N32</f>
        <v/>
      </c>
      <c r="P29" s="42">
        <f>O32</f>
        <v/>
      </c>
      <c r="Q29" s="42">
        <f>P32</f>
        <v/>
      </c>
      <c r="R29" s="42">
        <f>Q32</f>
        <v/>
      </c>
      <c r="S29" s="42">
        <f>R32</f>
        <v/>
      </c>
      <c r="T29" s="42">
        <f>S32</f>
        <v/>
      </c>
      <c r="U29" s="42">
        <f>T32</f>
        <v/>
      </c>
      <c r="V29" s="42">
        <f>U32</f>
        <v/>
      </c>
      <c r="W29" s="42">
        <f>V32</f>
        <v/>
      </c>
      <c r="X29" s="42">
        <f>W32</f>
        <v/>
      </c>
      <c r="Y29" s="42">
        <f>X32</f>
        <v/>
      </c>
      <c r="Z29" s="42">
        <f>Y32</f>
        <v/>
      </c>
      <c r="AA29" s="42">
        <f>Z32</f>
        <v/>
      </c>
      <c r="AB29" s="42">
        <f>AA32</f>
        <v/>
      </c>
      <c r="AC29" s="42">
        <f>AB32</f>
        <v/>
      </c>
      <c r="AD29" s="42">
        <f>AC32</f>
        <v/>
      </c>
      <c r="AE29" s="42">
        <f>AD32</f>
        <v/>
      </c>
      <c r="AF29" s="42">
        <f>AE32</f>
        <v/>
      </c>
      <c r="AG29" s="42">
        <f>AF32</f>
        <v/>
      </c>
      <c r="AH29" s="42">
        <f>AG32</f>
        <v/>
      </c>
      <c r="AI29" s="42">
        <f>AH32</f>
        <v/>
      </c>
      <c r="AJ29" s="42">
        <f>AI32</f>
        <v/>
      </c>
      <c r="AK29" s="42">
        <f>AJ32</f>
        <v/>
      </c>
      <c r="AL29" s="42">
        <f>AK32</f>
        <v/>
      </c>
      <c r="AM29" s="42">
        <f>AL32</f>
        <v/>
      </c>
      <c r="AN29" s="42">
        <f>AM32</f>
        <v/>
      </c>
      <c r="AO29" s="42">
        <f>AN32</f>
        <v/>
      </c>
      <c r="AP29" s="42">
        <f>AO32</f>
        <v/>
      </c>
      <c r="AQ29" s="42">
        <f>AP32</f>
        <v/>
      </c>
      <c r="AR29" s="42">
        <f>AQ32</f>
        <v/>
      </c>
      <c r="AS29" s="42">
        <f>AR32</f>
        <v/>
      </c>
      <c r="AT29" s="42">
        <f>AS32</f>
        <v/>
      </c>
      <c r="AU29" s="42">
        <f>AT32</f>
        <v/>
      </c>
      <c r="AV29" s="42">
        <f>AU32</f>
        <v/>
      </c>
      <c r="AW29" s="42">
        <f>AV32</f>
        <v/>
      </c>
      <c r="AX29" s="42">
        <f>AW32</f>
        <v/>
      </c>
      <c r="AY29" s="42">
        <f>AX32</f>
        <v/>
      </c>
      <c r="AZ29" s="42">
        <f>AY32</f>
        <v/>
      </c>
      <c r="BA29" s="42">
        <f>AZ32</f>
        <v/>
      </c>
      <c r="BB29" s="42">
        <f>BA32</f>
        <v/>
      </c>
      <c r="BC29" s="42">
        <f>BB32</f>
        <v/>
      </c>
      <c r="BD29" s="42">
        <f>BC32</f>
        <v/>
      </c>
      <c r="BE29" s="42">
        <f>BD32</f>
        <v/>
      </c>
      <c r="BF29" s="42">
        <f>BE32</f>
        <v/>
      </c>
      <c r="BG29" s="42">
        <f>BF32</f>
        <v/>
      </c>
      <c r="BH29" s="42">
        <f>BG32</f>
        <v/>
      </c>
      <c r="BI29" s="42">
        <f>BH32</f>
        <v/>
      </c>
      <c r="BJ29" s="42">
        <f>BI32</f>
        <v/>
      </c>
      <c r="BK29" s="42">
        <f>BJ32</f>
        <v/>
      </c>
      <c r="BL29" s="42">
        <f>BK32</f>
        <v/>
      </c>
      <c r="BM29" s="42">
        <f>BL32</f>
        <v/>
      </c>
      <c r="BN29" s="42">
        <f>BM32</f>
        <v/>
      </c>
      <c r="BO29" s="42">
        <f>BN32</f>
        <v/>
      </c>
    </row>
    <row r="30">
      <c r="A30" s="2" t="inlineStr">
        <is>
          <t>Базовое погашение 60% COGS</t>
        </is>
      </c>
      <c r="B30" s="42">
        <f>MIN(B29,B16*'01_Вводные'!$B$79)</f>
        <v/>
      </c>
      <c r="C30" s="42">
        <f>MIN(C29,C16*'01_Вводные'!$B$79)</f>
        <v/>
      </c>
      <c r="D30" s="42">
        <f>MIN(D29,D16*'01_Вводные'!$B$79)</f>
        <v/>
      </c>
      <c r="E30" s="42">
        <f>MIN(E29,E16*'01_Вводные'!$B$79)</f>
        <v/>
      </c>
      <c r="F30" s="42">
        <f>MIN(F29,F16*'01_Вводные'!$B$79)</f>
        <v/>
      </c>
      <c r="G30" s="42">
        <f>MIN(G29,G16*'01_Вводные'!$B$79)</f>
        <v/>
      </c>
      <c r="H30" s="42">
        <f>MIN(H29,H16*'01_Вводные'!$B$79)</f>
        <v/>
      </c>
      <c r="I30" s="42">
        <f>MIN(I29,I16*'01_Вводные'!$B$79)</f>
        <v/>
      </c>
      <c r="J30" s="42">
        <f>MIN(J29,J16*'01_Вводные'!$B$79)</f>
        <v/>
      </c>
      <c r="K30" s="42">
        <f>MIN(K29,K16*'01_Вводные'!$B$79)</f>
        <v/>
      </c>
      <c r="L30" s="42">
        <f>MIN(L29,L16*'01_Вводные'!$B$79)</f>
        <v/>
      </c>
      <c r="M30" s="42">
        <f>MIN(M29,M16*'01_Вводные'!$B$79)</f>
        <v/>
      </c>
      <c r="N30" s="42">
        <f>MIN(N29,N16*'01_Вводные'!$B$79)</f>
        <v/>
      </c>
      <c r="O30" s="42">
        <f>MIN(O29,O16*'01_Вводные'!$B$79)</f>
        <v/>
      </c>
      <c r="P30" s="42">
        <f>MIN(P29,P16*'01_Вводные'!$B$79)</f>
        <v/>
      </c>
      <c r="Q30" s="42">
        <f>MIN(Q29,Q16*'01_Вводные'!$B$79)</f>
        <v/>
      </c>
      <c r="R30" s="42">
        <f>MIN(R29,R16*'01_Вводные'!$B$79)</f>
        <v/>
      </c>
      <c r="S30" s="42">
        <f>MIN(S29,S16*'01_Вводные'!$B$79)</f>
        <v/>
      </c>
      <c r="T30" s="42">
        <f>MIN(T29,T16*'01_Вводные'!$B$79)</f>
        <v/>
      </c>
      <c r="U30" s="42">
        <f>MIN(U29,U16*'01_Вводные'!$B$79)</f>
        <v/>
      </c>
      <c r="V30" s="42">
        <f>MIN(V29,V16*'01_Вводные'!$B$79)</f>
        <v/>
      </c>
      <c r="W30" s="42">
        <f>MIN(W29,W16*'01_Вводные'!$B$79)</f>
        <v/>
      </c>
      <c r="X30" s="42">
        <f>MIN(X29,X16*'01_Вводные'!$B$79)</f>
        <v/>
      </c>
      <c r="Y30" s="42">
        <f>MIN(Y29,Y16*'01_Вводные'!$B$79)</f>
        <v/>
      </c>
      <c r="Z30" s="42">
        <f>MIN(Z29,Z16*'01_Вводные'!$B$79)</f>
        <v/>
      </c>
      <c r="AA30" s="42">
        <f>MIN(AA29,AA16*'01_Вводные'!$B$79)</f>
        <v/>
      </c>
      <c r="AB30" s="42">
        <f>MIN(AB29,AB16*'01_Вводные'!$B$79)</f>
        <v/>
      </c>
      <c r="AC30" s="42">
        <f>MIN(AC29,AC16*'01_Вводные'!$B$79)</f>
        <v/>
      </c>
      <c r="AD30" s="42">
        <f>MIN(AD29,AD16*'01_Вводные'!$B$79)</f>
        <v/>
      </c>
      <c r="AE30" s="42">
        <f>MIN(AE29,AE16*'01_Вводные'!$B$79)</f>
        <v/>
      </c>
      <c r="AF30" s="42">
        <f>MIN(AF29,AF16*'01_Вводные'!$B$79)</f>
        <v/>
      </c>
      <c r="AG30" s="42">
        <f>MIN(AG29,AG16*'01_Вводные'!$B$79)</f>
        <v/>
      </c>
      <c r="AH30" s="42">
        <f>MIN(AH29,AH16*'01_Вводные'!$B$79)</f>
        <v/>
      </c>
      <c r="AI30" s="42">
        <f>MIN(AI29,AI16*'01_Вводные'!$B$79)</f>
        <v/>
      </c>
      <c r="AJ30" s="42">
        <f>MIN(AJ29,AJ16*'01_Вводные'!$B$79)</f>
        <v/>
      </c>
      <c r="AK30" s="42">
        <f>MIN(AK29,AK16*'01_Вводные'!$B$79)</f>
        <v/>
      </c>
      <c r="AL30" s="42">
        <f>MIN(AL29,AL16*'01_Вводные'!$B$79)</f>
        <v/>
      </c>
      <c r="AM30" s="42">
        <f>MIN(AM29,AM16*'01_Вводные'!$B$79)</f>
        <v/>
      </c>
      <c r="AN30" s="42">
        <f>MIN(AN29,AN16*'01_Вводные'!$B$79)</f>
        <v/>
      </c>
      <c r="AO30" s="42">
        <f>MIN(AO29,AO16*'01_Вводные'!$B$79)</f>
        <v/>
      </c>
      <c r="AP30" s="42">
        <f>MIN(AP29,AP16*'01_Вводные'!$B$79)</f>
        <v/>
      </c>
      <c r="AQ30" s="42">
        <f>MIN(AQ29,AQ16*'01_Вводные'!$B$79)</f>
        <v/>
      </c>
      <c r="AR30" s="42">
        <f>MIN(AR29,AR16*'01_Вводные'!$B$79)</f>
        <v/>
      </c>
      <c r="AS30" s="42">
        <f>MIN(AS29,AS16*'01_Вводные'!$B$79)</f>
        <v/>
      </c>
      <c r="AT30" s="42">
        <f>MIN(AT29,AT16*'01_Вводные'!$B$79)</f>
        <v/>
      </c>
      <c r="AU30" s="42">
        <f>MIN(AU29,AU16*'01_Вводные'!$B$79)</f>
        <v/>
      </c>
      <c r="AV30" s="42">
        <f>MIN(AV29,AV16*'01_Вводные'!$B$79)</f>
        <v/>
      </c>
      <c r="AW30" s="42">
        <f>MIN(AW29,AW16*'01_Вводные'!$B$79)</f>
        <v/>
      </c>
      <c r="AX30" s="42">
        <f>MIN(AX29,AX16*'01_Вводные'!$B$79)</f>
        <v/>
      </c>
      <c r="AY30" s="42">
        <f>MIN(AY29,AY16*'01_Вводные'!$B$79)</f>
        <v/>
      </c>
      <c r="AZ30" s="42">
        <f>MIN(AZ29,AZ16*'01_Вводные'!$B$79)</f>
        <v/>
      </c>
      <c r="BA30" s="42">
        <f>MIN(BA29,BA16*'01_Вводные'!$B$79)</f>
        <v/>
      </c>
      <c r="BB30" s="42">
        <f>MIN(BB29,BB16*'01_Вводные'!$B$79)</f>
        <v/>
      </c>
      <c r="BC30" s="42">
        <f>MIN(BC29,BC16*'01_Вводные'!$B$79)</f>
        <v/>
      </c>
      <c r="BD30" s="42">
        <f>MIN(BD29,BD16*'01_Вводные'!$B$79)</f>
        <v/>
      </c>
      <c r="BE30" s="42">
        <f>MIN(BE29,BE16*'01_Вводные'!$B$79)</f>
        <v/>
      </c>
      <c r="BF30" s="42">
        <f>MIN(BF29,BF16*'01_Вводные'!$B$79)</f>
        <v/>
      </c>
      <c r="BG30" s="42">
        <f>MIN(BG29,BG16*'01_Вводные'!$B$79)</f>
        <v/>
      </c>
      <c r="BH30" s="42">
        <f>MIN(BH29,BH16*'01_Вводные'!$B$79)</f>
        <v/>
      </c>
      <c r="BI30" s="42">
        <f>MIN(BI29,BI16*'01_Вводные'!$B$79)</f>
        <v/>
      </c>
      <c r="BJ30" s="42">
        <f>MIN(BJ29,BJ16*'01_Вводные'!$B$79)</f>
        <v/>
      </c>
      <c r="BK30" s="42">
        <f>MIN(BK29,BK16*'01_Вводные'!$B$79)</f>
        <v/>
      </c>
      <c r="BL30" s="42">
        <f>MIN(BL29,BL16*'01_Вводные'!$B$79)</f>
        <v/>
      </c>
      <c r="BM30" s="42">
        <f>MIN(BM29,BM16*'01_Вводные'!$B$79)</f>
        <v/>
      </c>
      <c r="BN30" s="42">
        <f>MIN(BN29,BN16*'01_Вводные'!$B$79)</f>
        <v/>
      </c>
      <c r="BO30" s="42">
        <f>MIN(BO29,BO16*'01_Вводные'!$B$79)</f>
        <v/>
      </c>
    </row>
    <row r="31">
      <c r="A31" s="2" t="inlineStr">
        <is>
          <t>Погашение с учетом cash cap</t>
        </is>
      </c>
      <c r="B31" s="95">
        <f>IF(OR('01_Вводные'!$B$238="Нет",B26&gt;=B34-0.01),MIN(B30,MAX(0,'02_Модель'!B93)),0)</f>
        <v/>
      </c>
      <c r="C31" s="95">
        <f>IF(OR('01_Вводные'!$B$238="Нет",C26&gt;=C34-0.01),MIN(C30,MAX(0,'02_Модель'!C93)),0)</f>
        <v/>
      </c>
      <c r="D31" s="95">
        <f>IF(OR('01_Вводные'!$B$238="Нет",D26&gt;=D34-0.01),MIN(D30,MAX(0,'02_Модель'!D93)),0)</f>
        <v/>
      </c>
      <c r="E31" s="95">
        <f>IF(OR('01_Вводные'!$B$238="Нет",E26&gt;=E34-0.01),MIN(E30,MAX(0,'02_Модель'!E93)),0)</f>
        <v/>
      </c>
      <c r="F31" s="95">
        <f>IF(OR('01_Вводные'!$B$238="Нет",F26&gt;=F34-0.01),MIN(F30,MAX(0,'02_Модель'!F93)),0)</f>
        <v/>
      </c>
      <c r="G31" s="95">
        <f>IF(OR('01_Вводные'!$B$238="Нет",G26&gt;=G34-0.01),MIN(G30,MAX(0,'02_Модель'!G93)),0)</f>
        <v/>
      </c>
      <c r="H31" s="95">
        <f>IF(OR('01_Вводные'!$B$238="Нет",H26&gt;=H34-0.01),MIN(H30,MAX(0,'02_Модель'!H93)),0)</f>
        <v/>
      </c>
      <c r="I31" s="95">
        <f>IF(OR('01_Вводные'!$B$238="Нет",I26&gt;=I34-0.01),MIN(I30,MAX(0,'02_Модель'!I93)),0)</f>
        <v/>
      </c>
      <c r="J31" s="95">
        <f>IF(OR('01_Вводные'!$B$238="Нет",J26&gt;=J34-0.01),MIN(J30,MAX(0,'02_Модель'!J93)),0)</f>
        <v/>
      </c>
      <c r="K31" s="95">
        <f>IF(OR('01_Вводные'!$B$238="Нет",K26&gt;=K34-0.01),MIN(K30,MAX(0,'02_Модель'!K93)),0)</f>
        <v/>
      </c>
      <c r="L31" s="95">
        <f>IF(OR('01_Вводные'!$B$238="Нет",L26&gt;=L34-0.01),MIN(L30,MAX(0,'02_Модель'!L93)),0)</f>
        <v/>
      </c>
      <c r="M31" s="95">
        <f>IF(OR('01_Вводные'!$B$238="Нет",M26&gt;=M34-0.01),MIN(M30,MAX(0,'02_Модель'!M93)),0)</f>
        <v/>
      </c>
      <c r="N31" s="95">
        <f>IF(OR('01_Вводные'!$B$238="Нет",N26&gt;=N34-0.01),MIN(N30,MAX(0,'02_Модель'!N93)),0)</f>
        <v/>
      </c>
      <c r="O31" s="95">
        <f>IF(OR('01_Вводные'!$B$238="Нет",O26&gt;=O34-0.01),MIN(O30,MAX(0,'02_Модель'!O93)),0)</f>
        <v/>
      </c>
      <c r="P31" s="95">
        <f>IF(OR('01_Вводные'!$B$238="Нет",P26&gt;=P34-0.01),MIN(P30,MAX(0,'02_Модель'!P93)),0)</f>
        <v/>
      </c>
      <c r="Q31" s="95">
        <f>IF(OR('01_Вводные'!$B$238="Нет",Q26&gt;=Q34-0.01),MIN(Q30,MAX(0,'02_Модель'!Q93)),0)</f>
        <v/>
      </c>
      <c r="R31" s="95">
        <f>IF(OR('01_Вводные'!$B$238="Нет",R26&gt;=R34-0.01),MIN(R30,MAX(0,'02_Модель'!R93)),0)</f>
        <v/>
      </c>
      <c r="S31" s="95">
        <f>IF(OR('01_Вводные'!$B$238="Нет",S26&gt;=S34-0.01),MIN(S30,MAX(0,'02_Модель'!S93)),0)</f>
        <v/>
      </c>
      <c r="T31" s="95">
        <f>IF(OR('01_Вводные'!$B$238="Нет",T26&gt;=T34-0.01),MIN(T30,MAX(0,'02_Модель'!T93)),0)</f>
        <v/>
      </c>
      <c r="U31" s="95">
        <f>IF(OR('01_Вводные'!$B$238="Нет",U26&gt;=U34-0.01),MIN(U30,MAX(0,'02_Модель'!U93)),0)</f>
        <v/>
      </c>
      <c r="V31" s="95">
        <f>IF(OR('01_Вводные'!$B$238="Нет",V26&gt;=V34-0.01),MIN(V30,MAX(0,'02_Модель'!V93)),0)</f>
        <v/>
      </c>
      <c r="W31" s="95">
        <f>IF(OR('01_Вводные'!$B$238="Нет",W26&gt;=W34-0.01),MIN(W30,MAX(0,'02_Модель'!W93)),0)</f>
        <v/>
      </c>
      <c r="X31" s="95">
        <f>IF(OR('01_Вводные'!$B$238="Нет",X26&gt;=X34-0.01),MIN(X30,MAX(0,'02_Модель'!X93)),0)</f>
        <v/>
      </c>
      <c r="Y31" s="95">
        <f>IF(OR('01_Вводные'!$B$238="Нет",Y26&gt;=Y34-0.01),MIN(Y30,MAX(0,'02_Модель'!Y93)),0)</f>
        <v/>
      </c>
      <c r="Z31" s="95">
        <f>IF(OR('01_Вводные'!$B$238="Нет",Z26&gt;=Z34-0.01),MIN(Z30,MAX(0,'02_Модель'!Z93)),0)</f>
        <v/>
      </c>
      <c r="AA31" s="95">
        <f>IF(OR('01_Вводные'!$B$238="Нет",AA26&gt;=AA34-0.01),MIN(AA30,MAX(0,'02_Модель'!AA93)),0)</f>
        <v/>
      </c>
      <c r="AB31" s="95">
        <f>IF(OR('01_Вводные'!$B$238="Нет",AB26&gt;=AB34-0.01),MIN(AB30,MAX(0,'02_Модель'!AB93)),0)</f>
        <v/>
      </c>
      <c r="AC31" s="95">
        <f>IF(OR('01_Вводные'!$B$238="Нет",AC26&gt;=AC34-0.01),MIN(AC30,MAX(0,'02_Модель'!AC93)),0)</f>
        <v/>
      </c>
      <c r="AD31" s="95">
        <f>IF(OR('01_Вводные'!$B$238="Нет",AD26&gt;=AD34-0.01),MIN(AD30,MAX(0,'02_Модель'!AD93)),0)</f>
        <v/>
      </c>
      <c r="AE31" s="95">
        <f>IF(OR('01_Вводные'!$B$238="Нет",AE26&gt;=AE34-0.01),MIN(AE30,MAX(0,'02_Модель'!AE93)),0)</f>
        <v/>
      </c>
      <c r="AF31" s="95">
        <f>IF(OR('01_Вводные'!$B$238="Нет",AF26&gt;=AF34-0.01),MIN(AF30,MAX(0,'02_Модель'!AF93)),0)</f>
        <v/>
      </c>
      <c r="AG31" s="95">
        <f>IF(OR('01_Вводные'!$B$238="Нет",AG26&gt;=AG34-0.01),MIN(AG30,MAX(0,'02_Модель'!AG93)),0)</f>
        <v/>
      </c>
      <c r="AH31" s="95">
        <f>IF(OR('01_Вводные'!$B$238="Нет",AH26&gt;=AH34-0.01),MIN(AH30,MAX(0,'02_Модель'!AH93)),0)</f>
        <v/>
      </c>
      <c r="AI31" s="95">
        <f>IF(OR('01_Вводные'!$B$238="Нет",AI26&gt;=AI34-0.01),MIN(AI30,MAX(0,'02_Модель'!AI93)),0)</f>
        <v/>
      </c>
      <c r="AJ31" s="95">
        <f>IF(OR('01_Вводные'!$B$238="Нет",AJ26&gt;=AJ34-0.01),MIN(AJ30,MAX(0,'02_Модель'!AJ93)),0)</f>
        <v/>
      </c>
      <c r="AK31" s="95">
        <f>IF(OR('01_Вводные'!$B$238="Нет",AK26&gt;=AK34-0.01),MIN(AK30,MAX(0,'02_Модель'!AK93)),0)</f>
        <v/>
      </c>
      <c r="AL31" s="95">
        <f>IF(OR('01_Вводные'!$B$238="Нет",AL26&gt;=AL34-0.01),MIN(AL30,MAX(0,'02_Модель'!AL93)),0)</f>
        <v/>
      </c>
      <c r="AM31" s="95">
        <f>IF(OR('01_Вводные'!$B$238="Нет",AM26&gt;=AM34-0.01),MIN(AM30,MAX(0,'02_Модель'!AM93)),0)</f>
        <v/>
      </c>
      <c r="AN31" s="95">
        <f>IF(OR('01_Вводные'!$B$238="Нет",AN26&gt;=AN34-0.01),MIN(AN30,MAX(0,'02_Модель'!AN93)),0)</f>
        <v/>
      </c>
      <c r="AO31" s="95">
        <f>IF(OR('01_Вводные'!$B$238="Нет",AO26&gt;=AO34-0.01),MIN(AO30,MAX(0,'02_Модель'!AO93)),0)</f>
        <v/>
      </c>
      <c r="AP31" s="95">
        <f>IF(OR('01_Вводные'!$B$238="Нет",AP26&gt;=AP34-0.01),MIN(AP30,MAX(0,'02_Модель'!AP93)),0)</f>
        <v/>
      </c>
      <c r="AQ31" s="95">
        <f>IF(OR('01_Вводные'!$B$238="Нет",AQ26&gt;=AQ34-0.01),MIN(AQ30,MAX(0,'02_Модель'!AQ93)),0)</f>
        <v/>
      </c>
      <c r="AR31" s="95">
        <f>IF(OR('01_Вводные'!$B$238="Нет",AR26&gt;=AR34-0.01),MIN(AR30,MAX(0,'02_Модель'!AR93)),0)</f>
        <v/>
      </c>
      <c r="AS31" s="95">
        <f>IF(OR('01_Вводные'!$B$238="Нет",AS26&gt;=AS34-0.01),MIN(AS30,MAX(0,'02_Модель'!AS93)),0)</f>
        <v/>
      </c>
      <c r="AT31" s="95">
        <f>IF(OR('01_Вводные'!$B$238="Нет",AT26&gt;=AT34-0.01),MIN(AT30,MAX(0,'02_Модель'!AT93)),0)</f>
        <v/>
      </c>
      <c r="AU31" s="95">
        <f>IF(OR('01_Вводные'!$B$238="Нет",AU26&gt;=AU34-0.01),MIN(AU30,MAX(0,'02_Модель'!AU93)),0)</f>
        <v/>
      </c>
      <c r="AV31" s="95">
        <f>IF(OR('01_Вводные'!$B$238="Нет",AV26&gt;=AV34-0.01),MIN(AV30,MAX(0,'02_Модель'!AV93)),0)</f>
        <v/>
      </c>
      <c r="AW31" s="95">
        <f>IF(OR('01_Вводные'!$B$238="Нет",AW26&gt;=AW34-0.01),MIN(AW30,MAX(0,'02_Модель'!AW93)),0)</f>
        <v/>
      </c>
      <c r="AX31" s="95">
        <f>IF(OR('01_Вводные'!$B$238="Нет",AX26&gt;=AX34-0.01),MIN(AX30,MAX(0,'02_Модель'!AX93)),0)</f>
        <v/>
      </c>
      <c r="AY31" s="95">
        <f>IF(OR('01_Вводные'!$B$238="Нет",AY26&gt;=AY34-0.01),MIN(AY30,MAX(0,'02_Модель'!AY93)),0)</f>
        <v/>
      </c>
      <c r="AZ31" s="95">
        <f>IF(OR('01_Вводные'!$B$238="Нет",AZ26&gt;=AZ34-0.01),MIN(AZ30,MAX(0,'02_Модель'!AZ93)),0)</f>
        <v/>
      </c>
      <c r="BA31" s="95">
        <f>IF(OR('01_Вводные'!$B$238="Нет",BA26&gt;=BA34-0.01),MIN(BA30,MAX(0,'02_Модель'!BA93)),0)</f>
        <v/>
      </c>
      <c r="BB31" s="95">
        <f>IF(OR('01_Вводные'!$B$238="Нет",BB26&gt;=BB34-0.01),MIN(BB30,MAX(0,'02_Модель'!BB93)),0)</f>
        <v/>
      </c>
      <c r="BC31" s="95">
        <f>IF(OR('01_Вводные'!$B$238="Нет",BC26&gt;=BC34-0.01),MIN(BC30,MAX(0,'02_Модель'!BC93)),0)</f>
        <v/>
      </c>
      <c r="BD31" s="95">
        <f>IF(OR('01_Вводные'!$B$238="Нет",BD26&gt;=BD34-0.01),MIN(BD30,MAX(0,'02_Модель'!BD93)),0)</f>
        <v/>
      </c>
      <c r="BE31" s="95">
        <f>IF(OR('01_Вводные'!$B$238="Нет",BE26&gt;=BE34-0.01),MIN(BE30,MAX(0,'02_Модель'!BE93)),0)</f>
        <v/>
      </c>
      <c r="BF31" s="95">
        <f>IF(OR('01_Вводные'!$B$238="Нет",BF26&gt;=BF34-0.01),MIN(BF30,MAX(0,'02_Модель'!BF93)),0)</f>
        <v/>
      </c>
      <c r="BG31" s="95">
        <f>IF(OR('01_Вводные'!$B$238="Нет",BG26&gt;=BG34-0.01),MIN(BG30,MAX(0,'02_Модель'!BG93)),0)</f>
        <v/>
      </c>
      <c r="BH31" s="95">
        <f>IF(OR('01_Вводные'!$B$238="Нет",BH26&gt;=BH34-0.01),MIN(BH30,MAX(0,'02_Модель'!BH93)),0)</f>
        <v/>
      </c>
      <c r="BI31" s="95">
        <f>IF(OR('01_Вводные'!$B$238="Нет",BI26&gt;=BI34-0.01),MIN(BI30,MAX(0,'02_Модель'!BI93)),0)</f>
        <v/>
      </c>
      <c r="BJ31" s="72" t="n">
        <v>0</v>
      </c>
      <c r="BK31" s="72" t="n">
        <v>0</v>
      </c>
      <c r="BL31" s="72" t="n">
        <v>0</v>
      </c>
      <c r="BM31" s="72" t="n">
        <v>0</v>
      </c>
      <c r="BN31" s="72" t="n">
        <v>0</v>
      </c>
      <c r="BO31" s="72" t="n">
        <v>0</v>
      </c>
    </row>
    <row r="32">
      <c r="A32" s="10" t="inlineStr">
        <is>
          <t>Займ на конец</t>
        </is>
      </c>
      <c r="B32" s="43">
        <f>MAX(0,B29-B31)</f>
        <v/>
      </c>
      <c r="C32" s="43">
        <f>MAX(0,C29-C31)</f>
        <v/>
      </c>
      <c r="D32" s="43">
        <f>MAX(0,D29-D31)</f>
        <v/>
      </c>
      <c r="E32" s="43">
        <f>MAX(0,E29-E31)</f>
        <v/>
      </c>
      <c r="F32" s="43">
        <f>MAX(0,F29-F31)</f>
        <v/>
      </c>
      <c r="G32" s="43">
        <f>MAX(0,G29-G31)</f>
        <v/>
      </c>
      <c r="H32" s="43">
        <f>MAX(0,H29-H31)</f>
        <v/>
      </c>
      <c r="I32" s="43">
        <f>MAX(0,I29-I31)</f>
        <v/>
      </c>
      <c r="J32" s="43">
        <f>MAX(0,J29-J31)</f>
        <v/>
      </c>
      <c r="K32" s="43">
        <f>MAX(0,K29-K31)</f>
        <v/>
      </c>
      <c r="L32" s="43">
        <f>MAX(0,L29-L31)</f>
        <v/>
      </c>
      <c r="M32" s="43">
        <f>MAX(0,M29-M31)</f>
        <v/>
      </c>
      <c r="N32" s="43">
        <f>MAX(0,N29-N31)</f>
        <v/>
      </c>
      <c r="O32" s="43">
        <f>MAX(0,O29-O31)</f>
        <v/>
      </c>
      <c r="P32" s="43">
        <f>MAX(0,P29-P31)</f>
        <v/>
      </c>
      <c r="Q32" s="43">
        <f>MAX(0,Q29-Q31)</f>
        <v/>
      </c>
      <c r="R32" s="43">
        <f>MAX(0,R29-R31)</f>
        <v/>
      </c>
      <c r="S32" s="43">
        <f>MAX(0,S29-S31)</f>
        <v/>
      </c>
      <c r="T32" s="43">
        <f>MAX(0,T29-T31)</f>
        <v/>
      </c>
      <c r="U32" s="43">
        <f>MAX(0,U29-U31)</f>
        <v/>
      </c>
      <c r="V32" s="43">
        <f>MAX(0,V29-V31)</f>
        <v/>
      </c>
      <c r="W32" s="43">
        <f>MAX(0,W29-W31)</f>
        <v/>
      </c>
      <c r="X32" s="43">
        <f>MAX(0,X29-X31)</f>
        <v/>
      </c>
      <c r="Y32" s="43">
        <f>MAX(0,Y29-Y31)</f>
        <v/>
      </c>
      <c r="Z32" s="43">
        <f>MAX(0,Z29-Z31)</f>
        <v/>
      </c>
      <c r="AA32" s="43">
        <f>MAX(0,AA29-AA31)</f>
        <v/>
      </c>
      <c r="AB32" s="43">
        <f>MAX(0,AB29-AB31)</f>
        <v/>
      </c>
      <c r="AC32" s="43">
        <f>MAX(0,AC29-AC31)</f>
        <v/>
      </c>
      <c r="AD32" s="43">
        <f>MAX(0,AD29-AD31)</f>
        <v/>
      </c>
      <c r="AE32" s="43">
        <f>MAX(0,AE29-AE31)</f>
        <v/>
      </c>
      <c r="AF32" s="43">
        <f>MAX(0,AF29-AF31)</f>
        <v/>
      </c>
      <c r="AG32" s="43">
        <f>MAX(0,AG29-AG31)</f>
        <v/>
      </c>
      <c r="AH32" s="43">
        <f>MAX(0,AH29-AH31)</f>
        <v/>
      </c>
      <c r="AI32" s="43">
        <f>MAX(0,AI29-AI31)</f>
        <v/>
      </c>
      <c r="AJ32" s="43">
        <f>MAX(0,AJ29-AJ31)</f>
        <v/>
      </c>
      <c r="AK32" s="43">
        <f>MAX(0,AK29-AK31)</f>
        <v/>
      </c>
      <c r="AL32" s="43">
        <f>MAX(0,AL29-AL31)</f>
        <v/>
      </c>
      <c r="AM32" s="43">
        <f>MAX(0,AM29-AM31)</f>
        <v/>
      </c>
      <c r="AN32" s="43">
        <f>MAX(0,AN29-AN31)</f>
        <v/>
      </c>
      <c r="AO32" s="43">
        <f>MAX(0,AO29-AO31)</f>
        <v/>
      </c>
      <c r="AP32" s="43">
        <f>MAX(0,AP29-AP31)</f>
        <v/>
      </c>
      <c r="AQ32" s="43">
        <f>MAX(0,AQ29-AQ31)</f>
        <v/>
      </c>
      <c r="AR32" s="43">
        <f>MAX(0,AR29-AR31)</f>
        <v/>
      </c>
      <c r="AS32" s="43">
        <f>MAX(0,AS29-AS31)</f>
        <v/>
      </c>
      <c r="AT32" s="43">
        <f>MAX(0,AT29-AT31)</f>
        <v/>
      </c>
      <c r="AU32" s="43">
        <f>MAX(0,AU29-AU31)</f>
        <v/>
      </c>
      <c r="AV32" s="43">
        <f>MAX(0,AV29-AV31)</f>
        <v/>
      </c>
      <c r="AW32" s="43">
        <f>MAX(0,AW29-AW31)</f>
        <v/>
      </c>
      <c r="AX32" s="43">
        <f>MAX(0,AX29-AX31)</f>
        <v/>
      </c>
      <c r="AY32" s="43">
        <f>MAX(0,AY29-AY31)</f>
        <v/>
      </c>
      <c r="AZ32" s="43">
        <f>MAX(0,AZ29-AZ31)</f>
        <v/>
      </c>
      <c r="BA32" s="43">
        <f>MAX(0,BA29-BA31)</f>
        <v/>
      </c>
      <c r="BB32" s="43">
        <f>MAX(0,BB29-BB31)</f>
        <v/>
      </c>
      <c r="BC32" s="43">
        <f>MAX(0,BC29-BC31)</f>
        <v/>
      </c>
      <c r="BD32" s="43">
        <f>MAX(0,BD29-BD31)</f>
        <v/>
      </c>
      <c r="BE32" s="43">
        <f>MAX(0,BE29-BE31)</f>
        <v/>
      </c>
      <c r="BF32" s="43">
        <f>MAX(0,BF29-BF31)</f>
        <v/>
      </c>
      <c r="BG32" s="43">
        <f>MAX(0,BG29-BG31)</f>
        <v/>
      </c>
      <c r="BH32" s="43">
        <f>MAX(0,BH29-BH31)</f>
        <v/>
      </c>
      <c r="BI32" s="43">
        <f>MAX(0,BI29-BI31)</f>
        <v/>
      </c>
      <c r="BJ32" s="43">
        <f>MAX(0,BJ29-BJ31)</f>
        <v/>
      </c>
      <c r="BK32" s="43">
        <f>MAX(0,BK29-BK31)</f>
        <v/>
      </c>
      <c r="BL32" s="43">
        <f>MAX(0,BL29-BL31)</f>
        <v/>
      </c>
      <c r="BM32" s="43">
        <f>MAX(0,BM29-BM31)</f>
        <v/>
      </c>
      <c r="BN32" s="43">
        <f>MAX(0,BN29-BN31)</f>
        <v/>
      </c>
      <c r="BO32" s="43">
        <f>MAX(0,BO29-BO31)</f>
        <v/>
      </c>
    </row>
    <row r="34">
      <c r="A34" s="264" t="inlineStr">
        <is>
          <t>Минимальный запас для возврата займа</t>
        </is>
      </c>
      <c r="B34">
        <f>SUM(IF('01_Вводные'!$B$310&gt;=1,C16,0),IF('01_Вводные'!$B$310&gt;=2,D16,0),IF('01_Вводные'!$B$310&gt;=3,E16,0),IF('01_Вводные'!$B$310&gt;=4,F16,0),IF('01_Вводные'!$B$310&gt;=5,G16,0),IF('01_Вводные'!$B$310&gt;=6,H16,0))</f>
        <v/>
      </c>
      <c r="C34">
        <f>SUM(IF('01_Вводные'!$B$310&gt;=1,D16,0),IF('01_Вводные'!$B$310&gt;=2,E16,0),IF('01_Вводные'!$B$310&gt;=3,F16,0),IF('01_Вводные'!$B$310&gt;=4,G16,0),IF('01_Вводные'!$B$310&gt;=5,H16,0),IF('01_Вводные'!$B$310&gt;=6,I16,0))</f>
        <v/>
      </c>
      <c r="D34">
        <f>SUM(IF('01_Вводные'!$B$310&gt;=1,E16,0),IF('01_Вводные'!$B$310&gt;=2,F16,0),IF('01_Вводные'!$B$310&gt;=3,G16,0),IF('01_Вводные'!$B$310&gt;=4,H16,0),IF('01_Вводные'!$B$310&gt;=5,I16,0),IF('01_Вводные'!$B$310&gt;=6,J16,0))</f>
        <v/>
      </c>
      <c r="E34">
        <f>SUM(IF('01_Вводные'!$B$310&gt;=1,F16,0),IF('01_Вводные'!$B$310&gt;=2,G16,0),IF('01_Вводные'!$B$310&gt;=3,H16,0),IF('01_Вводные'!$B$310&gt;=4,I16,0),IF('01_Вводные'!$B$310&gt;=5,J16,0),IF('01_Вводные'!$B$310&gt;=6,K16,0))</f>
        <v/>
      </c>
      <c r="F34">
        <f>SUM(IF('01_Вводные'!$B$310&gt;=1,G16,0),IF('01_Вводные'!$B$310&gt;=2,H16,0),IF('01_Вводные'!$B$310&gt;=3,I16,0),IF('01_Вводные'!$B$310&gt;=4,J16,0),IF('01_Вводные'!$B$310&gt;=5,K16,0),IF('01_Вводные'!$B$310&gt;=6,L16,0))</f>
        <v/>
      </c>
      <c r="G34">
        <f>SUM(IF('01_Вводные'!$B$310&gt;=1,H16,0),IF('01_Вводные'!$B$310&gt;=2,I16,0),IF('01_Вводные'!$B$310&gt;=3,J16,0),IF('01_Вводные'!$B$310&gt;=4,K16,0),IF('01_Вводные'!$B$310&gt;=5,L16,0),IF('01_Вводные'!$B$310&gt;=6,M16,0))</f>
        <v/>
      </c>
      <c r="H34">
        <f>SUM(IF('01_Вводные'!$B$310&gt;=1,I16,0),IF('01_Вводные'!$B$310&gt;=2,J16,0),IF('01_Вводные'!$B$310&gt;=3,K16,0),IF('01_Вводные'!$B$310&gt;=4,L16,0),IF('01_Вводные'!$B$310&gt;=5,M16,0),IF('01_Вводные'!$B$310&gt;=6,N16,0))</f>
        <v/>
      </c>
      <c r="I34">
        <f>SUM(IF('01_Вводные'!$B$310&gt;=1,J16,0),IF('01_Вводные'!$B$310&gt;=2,K16,0),IF('01_Вводные'!$B$310&gt;=3,L16,0),IF('01_Вводные'!$B$310&gt;=4,M16,0),IF('01_Вводные'!$B$310&gt;=5,N16,0),IF('01_Вводные'!$B$310&gt;=6,O16,0))</f>
        <v/>
      </c>
      <c r="J34">
        <f>SUM(IF('01_Вводные'!$B$310&gt;=1,K16,0),IF('01_Вводные'!$B$310&gt;=2,L16,0),IF('01_Вводные'!$B$310&gt;=3,M16,0),IF('01_Вводные'!$B$310&gt;=4,N16,0),IF('01_Вводные'!$B$310&gt;=5,O16,0),IF('01_Вводные'!$B$310&gt;=6,P16,0))</f>
        <v/>
      </c>
      <c r="K34">
        <f>SUM(IF('01_Вводные'!$B$310&gt;=1,L16,0),IF('01_Вводные'!$B$310&gt;=2,M16,0),IF('01_Вводные'!$B$310&gt;=3,N16,0),IF('01_Вводные'!$B$310&gt;=4,O16,0),IF('01_Вводные'!$B$310&gt;=5,P16,0),IF('01_Вводные'!$B$310&gt;=6,Q16,0))</f>
        <v/>
      </c>
      <c r="L34">
        <f>SUM(IF('01_Вводные'!$B$310&gt;=1,M16,0),IF('01_Вводные'!$B$310&gt;=2,N16,0),IF('01_Вводные'!$B$310&gt;=3,O16,0),IF('01_Вводные'!$B$310&gt;=4,P16,0),IF('01_Вводные'!$B$310&gt;=5,Q16,0),IF('01_Вводные'!$B$310&gt;=6,R16,0))</f>
        <v/>
      </c>
      <c r="M34">
        <f>SUM(IF('01_Вводные'!$B$310&gt;=1,N16,0),IF('01_Вводные'!$B$310&gt;=2,O16,0),IF('01_Вводные'!$B$310&gt;=3,P16,0),IF('01_Вводные'!$B$310&gt;=4,Q16,0),IF('01_Вводные'!$B$310&gt;=5,R16,0),IF('01_Вводные'!$B$310&gt;=6,S16,0))</f>
        <v/>
      </c>
      <c r="N34">
        <f>SUM(IF('01_Вводные'!$B$310&gt;=1,O16,0),IF('01_Вводные'!$B$310&gt;=2,P16,0),IF('01_Вводные'!$B$310&gt;=3,Q16,0),IF('01_Вводные'!$B$310&gt;=4,R16,0),IF('01_Вводные'!$B$310&gt;=5,S16,0),IF('01_Вводные'!$B$310&gt;=6,T16,0))</f>
        <v/>
      </c>
      <c r="O34">
        <f>SUM(IF('01_Вводные'!$B$310&gt;=1,P16,0),IF('01_Вводные'!$B$310&gt;=2,Q16,0),IF('01_Вводные'!$B$310&gt;=3,R16,0),IF('01_Вводные'!$B$310&gt;=4,S16,0),IF('01_Вводные'!$B$310&gt;=5,T16,0),IF('01_Вводные'!$B$310&gt;=6,U16,0))</f>
        <v/>
      </c>
      <c r="P34">
        <f>SUM(IF('01_Вводные'!$B$310&gt;=1,Q16,0),IF('01_Вводные'!$B$310&gt;=2,R16,0),IF('01_Вводные'!$B$310&gt;=3,S16,0),IF('01_Вводные'!$B$310&gt;=4,T16,0),IF('01_Вводные'!$B$310&gt;=5,U16,0),IF('01_Вводные'!$B$310&gt;=6,V16,0))</f>
        <v/>
      </c>
      <c r="Q34">
        <f>SUM(IF('01_Вводные'!$B$310&gt;=1,R16,0),IF('01_Вводные'!$B$310&gt;=2,S16,0),IF('01_Вводные'!$B$310&gt;=3,T16,0),IF('01_Вводные'!$B$310&gt;=4,U16,0),IF('01_Вводные'!$B$310&gt;=5,V16,0),IF('01_Вводные'!$B$310&gt;=6,W16,0))</f>
        <v/>
      </c>
      <c r="R34">
        <f>SUM(IF('01_Вводные'!$B$310&gt;=1,S16,0),IF('01_Вводные'!$B$310&gt;=2,T16,0),IF('01_Вводные'!$B$310&gt;=3,U16,0),IF('01_Вводные'!$B$310&gt;=4,V16,0),IF('01_Вводные'!$B$310&gt;=5,W16,0),IF('01_Вводные'!$B$310&gt;=6,X16,0))</f>
        <v/>
      </c>
      <c r="S34">
        <f>SUM(IF('01_Вводные'!$B$310&gt;=1,T16,0),IF('01_Вводные'!$B$310&gt;=2,U16,0),IF('01_Вводные'!$B$310&gt;=3,V16,0),IF('01_Вводные'!$B$310&gt;=4,W16,0),IF('01_Вводные'!$B$310&gt;=5,X16,0),IF('01_Вводные'!$B$310&gt;=6,Y16,0))</f>
        <v/>
      </c>
      <c r="T34">
        <f>SUM(IF('01_Вводные'!$B$310&gt;=1,U16,0),IF('01_Вводные'!$B$310&gt;=2,V16,0),IF('01_Вводные'!$B$310&gt;=3,W16,0),IF('01_Вводные'!$B$310&gt;=4,X16,0),IF('01_Вводные'!$B$310&gt;=5,Y16,0),IF('01_Вводные'!$B$310&gt;=6,Z16,0))</f>
        <v/>
      </c>
      <c r="U34">
        <f>SUM(IF('01_Вводные'!$B$310&gt;=1,V16,0),IF('01_Вводные'!$B$310&gt;=2,W16,0),IF('01_Вводные'!$B$310&gt;=3,X16,0),IF('01_Вводные'!$B$310&gt;=4,Y16,0),IF('01_Вводные'!$B$310&gt;=5,Z16,0),IF('01_Вводные'!$B$310&gt;=6,AA16,0))</f>
        <v/>
      </c>
      <c r="V34">
        <f>SUM(IF('01_Вводные'!$B$310&gt;=1,W16,0),IF('01_Вводные'!$B$310&gt;=2,X16,0),IF('01_Вводные'!$B$310&gt;=3,Y16,0),IF('01_Вводные'!$B$310&gt;=4,Z16,0),IF('01_Вводные'!$B$310&gt;=5,AA16,0),IF('01_Вводные'!$B$310&gt;=6,AB16,0))</f>
        <v/>
      </c>
      <c r="W34">
        <f>SUM(IF('01_Вводные'!$B$310&gt;=1,X16,0),IF('01_Вводные'!$B$310&gt;=2,Y16,0),IF('01_Вводные'!$B$310&gt;=3,Z16,0),IF('01_Вводные'!$B$310&gt;=4,AA16,0),IF('01_Вводные'!$B$310&gt;=5,AB16,0),IF('01_Вводные'!$B$310&gt;=6,AC16,0))</f>
        <v/>
      </c>
      <c r="X34">
        <f>SUM(IF('01_Вводные'!$B$310&gt;=1,Y16,0),IF('01_Вводные'!$B$310&gt;=2,Z16,0),IF('01_Вводные'!$B$310&gt;=3,AA16,0),IF('01_Вводные'!$B$310&gt;=4,AB16,0),IF('01_Вводные'!$B$310&gt;=5,AC16,0),IF('01_Вводные'!$B$310&gt;=6,AD16,0))</f>
        <v/>
      </c>
      <c r="Y34">
        <f>SUM(IF('01_Вводные'!$B$310&gt;=1,Z16,0),IF('01_Вводные'!$B$310&gt;=2,AA16,0),IF('01_Вводные'!$B$310&gt;=3,AB16,0),IF('01_Вводные'!$B$310&gt;=4,AC16,0),IF('01_Вводные'!$B$310&gt;=5,AD16,0),IF('01_Вводные'!$B$310&gt;=6,AE16,0))</f>
        <v/>
      </c>
      <c r="Z34">
        <f>SUM(IF('01_Вводные'!$B$310&gt;=1,AA16,0),IF('01_Вводные'!$B$310&gt;=2,AB16,0),IF('01_Вводные'!$B$310&gt;=3,AC16,0),IF('01_Вводные'!$B$310&gt;=4,AD16,0),IF('01_Вводные'!$B$310&gt;=5,AE16,0),IF('01_Вводные'!$B$310&gt;=6,AF16,0))</f>
        <v/>
      </c>
      <c r="AA34">
        <f>SUM(IF('01_Вводные'!$B$310&gt;=1,AB16,0),IF('01_Вводные'!$B$310&gt;=2,AC16,0),IF('01_Вводные'!$B$310&gt;=3,AD16,0),IF('01_Вводные'!$B$310&gt;=4,AE16,0),IF('01_Вводные'!$B$310&gt;=5,AF16,0),IF('01_Вводные'!$B$310&gt;=6,AG16,0))</f>
        <v/>
      </c>
      <c r="AB34">
        <f>SUM(IF('01_Вводные'!$B$310&gt;=1,AC16,0),IF('01_Вводные'!$B$310&gt;=2,AD16,0),IF('01_Вводные'!$B$310&gt;=3,AE16,0),IF('01_Вводные'!$B$310&gt;=4,AF16,0),IF('01_Вводные'!$B$310&gt;=5,AG16,0),IF('01_Вводные'!$B$310&gt;=6,AH16,0))</f>
        <v/>
      </c>
      <c r="AC34">
        <f>SUM(IF('01_Вводные'!$B$310&gt;=1,AD16,0),IF('01_Вводные'!$B$310&gt;=2,AE16,0),IF('01_Вводные'!$B$310&gt;=3,AF16,0),IF('01_Вводные'!$B$310&gt;=4,AG16,0),IF('01_Вводные'!$B$310&gt;=5,AH16,0),IF('01_Вводные'!$B$310&gt;=6,AI16,0))</f>
        <v/>
      </c>
      <c r="AD34">
        <f>SUM(IF('01_Вводные'!$B$310&gt;=1,AE16,0),IF('01_Вводные'!$B$310&gt;=2,AF16,0),IF('01_Вводные'!$B$310&gt;=3,AG16,0),IF('01_Вводные'!$B$310&gt;=4,AH16,0),IF('01_Вводные'!$B$310&gt;=5,AI16,0),IF('01_Вводные'!$B$310&gt;=6,AJ16,0))</f>
        <v/>
      </c>
      <c r="AE34">
        <f>SUM(IF('01_Вводные'!$B$310&gt;=1,AF16,0),IF('01_Вводные'!$B$310&gt;=2,AG16,0),IF('01_Вводные'!$B$310&gt;=3,AH16,0),IF('01_Вводные'!$B$310&gt;=4,AI16,0),IF('01_Вводные'!$B$310&gt;=5,AJ16,0),IF('01_Вводные'!$B$310&gt;=6,AK16,0))</f>
        <v/>
      </c>
      <c r="AF34">
        <f>SUM(IF('01_Вводные'!$B$310&gt;=1,AG16,0),IF('01_Вводные'!$B$310&gt;=2,AH16,0),IF('01_Вводные'!$B$310&gt;=3,AI16,0),IF('01_Вводные'!$B$310&gt;=4,AJ16,0),IF('01_Вводные'!$B$310&gt;=5,AK16,0),IF('01_Вводные'!$B$310&gt;=6,AL16,0))</f>
        <v/>
      </c>
      <c r="AG34">
        <f>SUM(IF('01_Вводные'!$B$310&gt;=1,AH16,0),IF('01_Вводные'!$B$310&gt;=2,AI16,0),IF('01_Вводные'!$B$310&gt;=3,AJ16,0),IF('01_Вводные'!$B$310&gt;=4,AK16,0),IF('01_Вводные'!$B$310&gt;=5,AL16,0),IF('01_Вводные'!$B$310&gt;=6,AM16,0))</f>
        <v/>
      </c>
      <c r="AH34">
        <f>SUM(IF('01_Вводные'!$B$310&gt;=1,AI16,0),IF('01_Вводные'!$B$310&gt;=2,AJ16,0),IF('01_Вводные'!$B$310&gt;=3,AK16,0),IF('01_Вводные'!$B$310&gt;=4,AL16,0),IF('01_Вводные'!$B$310&gt;=5,AM16,0),IF('01_Вводные'!$B$310&gt;=6,AN16,0))</f>
        <v/>
      </c>
      <c r="AI34">
        <f>SUM(IF('01_Вводные'!$B$310&gt;=1,AJ16,0),IF('01_Вводные'!$B$310&gt;=2,AK16,0),IF('01_Вводные'!$B$310&gt;=3,AL16,0),IF('01_Вводные'!$B$310&gt;=4,AM16,0),IF('01_Вводные'!$B$310&gt;=5,AN16,0),IF('01_Вводные'!$B$310&gt;=6,AO16,0))</f>
        <v/>
      </c>
      <c r="AJ34">
        <f>SUM(IF('01_Вводные'!$B$310&gt;=1,AK16,0),IF('01_Вводные'!$B$310&gt;=2,AL16,0),IF('01_Вводные'!$B$310&gt;=3,AM16,0),IF('01_Вводные'!$B$310&gt;=4,AN16,0),IF('01_Вводные'!$B$310&gt;=5,AO16,0),IF('01_Вводные'!$B$310&gt;=6,AP16,0))</f>
        <v/>
      </c>
      <c r="AK34">
        <f>SUM(IF('01_Вводные'!$B$310&gt;=1,AL16,0),IF('01_Вводные'!$B$310&gt;=2,AM16,0),IF('01_Вводные'!$B$310&gt;=3,AN16,0),IF('01_Вводные'!$B$310&gt;=4,AO16,0),IF('01_Вводные'!$B$310&gt;=5,AP16,0),IF('01_Вводные'!$B$310&gt;=6,AQ16,0))</f>
        <v/>
      </c>
      <c r="AL34">
        <f>SUM(IF('01_Вводные'!$B$310&gt;=1,AM16,0),IF('01_Вводные'!$B$310&gt;=2,AN16,0),IF('01_Вводные'!$B$310&gt;=3,AO16,0),IF('01_Вводные'!$B$310&gt;=4,AP16,0),IF('01_Вводные'!$B$310&gt;=5,AQ16,0),IF('01_Вводные'!$B$310&gt;=6,AR16,0))</f>
        <v/>
      </c>
      <c r="AM34">
        <f>SUM(IF('01_Вводные'!$B$310&gt;=1,AN16,0),IF('01_Вводные'!$B$310&gt;=2,AO16,0),IF('01_Вводные'!$B$310&gt;=3,AP16,0),IF('01_Вводные'!$B$310&gt;=4,AQ16,0),IF('01_Вводные'!$B$310&gt;=5,AR16,0),IF('01_Вводные'!$B$310&gt;=6,AS16,0))</f>
        <v/>
      </c>
      <c r="AN34">
        <f>SUM(IF('01_Вводные'!$B$310&gt;=1,AO16,0),IF('01_Вводные'!$B$310&gt;=2,AP16,0),IF('01_Вводные'!$B$310&gt;=3,AQ16,0),IF('01_Вводные'!$B$310&gt;=4,AR16,0),IF('01_Вводные'!$B$310&gt;=5,AS16,0),IF('01_Вводные'!$B$310&gt;=6,AT16,0))</f>
        <v/>
      </c>
      <c r="AO34">
        <f>SUM(IF('01_Вводные'!$B$310&gt;=1,AP16,0),IF('01_Вводные'!$B$310&gt;=2,AQ16,0),IF('01_Вводные'!$B$310&gt;=3,AR16,0),IF('01_Вводные'!$B$310&gt;=4,AS16,0),IF('01_Вводные'!$B$310&gt;=5,AT16,0),IF('01_Вводные'!$B$310&gt;=6,AU16,0))</f>
        <v/>
      </c>
      <c r="AP34">
        <f>SUM(IF('01_Вводные'!$B$310&gt;=1,AQ16,0),IF('01_Вводные'!$B$310&gt;=2,AR16,0),IF('01_Вводные'!$B$310&gt;=3,AS16,0),IF('01_Вводные'!$B$310&gt;=4,AT16,0),IF('01_Вводные'!$B$310&gt;=5,AU16,0),IF('01_Вводные'!$B$310&gt;=6,AV16,0))</f>
        <v/>
      </c>
      <c r="AQ34">
        <f>SUM(IF('01_Вводные'!$B$310&gt;=1,AR16,0),IF('01_Вводные'!$B$310&gt;=2,AS16,0),IF('01_Вводные'!$B$310&gt;=3,AT16,0),IF('01_Вводные'!$B$310&gt;=4,AU16,0),IF('01_Вводные'!$B$310&gt;=5,AV16,0),IF('01_Вводные'!$B$310&gt;=6,AW16,0))</f>
        <v/>
      </c>
      <c r="AR34">
        <f>SUM(IF('01_Вводные'!$B$310&gt;=1,AS16,0),IF('01_Вводные'!$B$310&gt;=2,AT16,0),IF('01_Вводные'!$B$310&gt;=3,AU16,0),IF('01_Вводные'!$B$310&gt;=4,AV16,0),IF('01_Вводные'!$B$310&gt;=5,AW16,0),IF('01_Вводные'!$B$310&gt;=6,AX16,0))</f>
        <v/>
      </c>
      <c r="AS34">
        <f>SUM(IF('01_Вводные'!$B$310&gt;=1,AT16,0),IF('01_Вводные'!$B$310&gt;=2,AU16,0),IF('01_Вводные'!$B$310&gt;=3,AV16,0),IF('01_Вводные'!$B$310&gt;=4,AW16,0),IF('01_Вводные'!$B$310&gt;=5,AX16,0),IF('01_Вводные'!$B$310&gt;=6,AY16,0))</f>
        <v/>
      </c>
      <c r="AT34">
        <f>SUM(IF('01_Вводные'!$B$310&gt;=1,AU16,0),IF('01_Вводные'!$B$310&gt;=2,AV16,0),IF('01_Вводные'!$B$310&gt;=3,AW16,0),IF('01_Вводные'!$B$310&gt;=4,AX16,0),IF('01_Вводные'!$B$310&gt;=5,AY16,0),IF('01_Вводные'!$B$310&gt;=6,AZ16,0))</f>
        <v/>
      </c>
      <c r="AU34">
        <f>SUM(IF('01_Вводные'!$B$310&gt;=1,AV16,0),IF('01_Вводные'!$B$310&gt;=2,AW16,0),IF('01_Вводные'!$B$310&gt;=3,AX16,0),IF('01_Вводные'!$B$310&gt;=4,AY16,0),IF('01_Вводные'!$B$310&gt;=5,AZ16,0),IF('01_Вводные'!$B$310&gt;=6,BA16,0))</f>
        <v/>
      </c>
      <c r="AV34">
        <f>SUM(IF('01_Вводные'!$B$310&gt;=1,AW16,0),IF('01_Вводные'!$B$310&gt;=2,AX16,0),IF('01_Вводные'!$B$310&gt;=3,AY16,0),IF('01_Вводные'!$B$310&gt;=4,AZ16,0),IF('01_Вводные'!$B$310&gt;=5,BA16,0),IF('01_Вводные'!$B$310&gt;=6,BB16,0))</f>
        <v/>
      </c>
      <c r="AW34">
        <f>SUM(IF('01_Вводные'!$B$310&gt;=1,AX16,0),IF('01_Вводные'!$B$310&gt;=2,AY16,0),IF('01_Вводные'!$B$310&gt;=3,AZ16,0),IF('01_Вводные'!$B$310&gt;=4,BA16,0),IF('01_Вводные'!$B$310&gt;=5,BB16,0),IF('01_Вводные'!$B$310&gt;=6,BC16,0))</f>
        <v/>
      </c>
      <c r="AX34">
        <f>SUM(IF('01_Вводные'!$B$310&gt;=1,AY16,0),IF('01_Вводные'!$B$310&gt;=2,AZ16,0),IF('01_Вводные'!$B$310&gt;=3,BA16,0),IF('01_Вводные'!$B$310&gt;=4,BB16,0),IF('01_Вводные'!$B$310&gt;=5,BC16,0),IF('01_Вводные'!$B$310&gt;=6,BD16,0))</f>
        <v/>
      </c>
      <c r="AY34">
        <f>SUM(IF('01_Вводные'!$B$310&gt;=1,AZ16,0),IF('01_Вводные'!$B$310&gt;=2,BA16,0),IF('01_Вводные'!$B$310&gt;=3,BB16,0),IF('01_Вводные'!$B$310&gt;=4,BC16,0),IF('01_Вводные'!$B$310&gt;=5,BD16,0),IF('01_Вводные'!$B$310&gt;=6,BE16,0))</f>
        <v/>
      </c>
      <c r="AZ34">
        <f>SUM(IF('01_Вводные'!$B$310&gt;=1,BA16,0),IF('01_Вводные'!$B$310&gt;=2,BB16,0),IF('01_Вводные'!$B$310&gt;=3,BC16,0),IF('01_Вводные'!$B$310&gt;=4,BD16,0),IF('01_Вводные'!$B$310&gt;=5,BE16,0),IF('01_Вводные'!$B$310&gt;=6,BF16,0))</f>
        <v/>
      </c>
      <c r="BA34">
        <f>SUM(IF('01_Вводные'!$B$310&gt;=1,BB16,0),IF('01_Вводные'!$B$310&gt;=2,BC16,0),IF('01_Вводные'!$B$310&gt;=3,BD16,0),IF('01_Вводные'!$B$310&gt;=4,BE16,0),IF('01_Вводные'!$B$310&gt;=5,BF16,0),IF('01_Вводные'!$B$310&gt;=6,BG16,0))</f>
        <v/>
      </c>
      <c r="BB34">
        <f>SUM(IF('01_Вводные'!$B$310&gt;=1,BC16,0),IF('01_Вводные'!$B$310&gt;=2,BD16,0),IF('01_Вводные'!$B$310&gt;=3,BE16,0),IF('01_Вводные'!$B$310&gt;=4,BF16,0),IF('01_Вводные'!$B$310&gt;=5,BG16,0),IF('01_Вводные'!$B$310&gt;=6,BH16,0))</f>
        <v/>
      </c>
      <c r="BC34">
        <f>SUM(IF('01_Вводные'!$B$310&gt;=1,BD16,0),IF('01_Вводные'!$B$310&gt;=2,BE16,0),IF('01_Вводные'!$B$310&gt;=3,BF16,0),IF('01_Вводные'!$B$310&gt;=4,BG16,0),IF('01_Вводные'!$B$310&gt;=5,BH16,0),IF('01_Вводные'!$B$310&gt;=6,BI16,0))</f>
        <v/>
      </c>
      <c r="BD34">
        <f>SUM(IF('01_Вводные'!$B$310&gt;=1,BE16,0),IF('01_Вводные'!$B$310&gt;=2,BF16,0),IF('01_Вводные'!$B$310&gt;=3,BG16,0),IF('01_Вводные'!$B$310&gt;=4,BH16,0),IF('01_Вводные'!$B$310&gt;=5,BI16,0),IF('01_Вводные'!$B$310&gt;=6,BJ16,0))</f>
        <v/>
      </c>
      <c r="BE34">
        <f>SUM(IF('01_Вводные'!$B$310&gt;=1,BF16,0),IF('01_Вводные'!$B$310&gt;=2,BG16,0),IF('01_Вводные'!$B$310&gt;=3,BH16,0),IF('01_Вводные'!$B$310&gt;=4,BI16,0),IF('01_Вводные'!$B$310&gt;=5,BJ16,0),IF('01_Вводные'!$B$310&gt;=6,BK16,0))</f>
        <v/>
      </c>
      <c r="BF34">
        <f>SUM(IF('01_Вводные'!$B$310&gt;=1,BG16,0),IF('01_Вводные'!$B$310&gt;=2,BH16,0),IF('01_Вводные'!$B$310&gt;=3,BI16,0),IF('01_Вводные'!$B$310&gt;=4,BJ16,0),IF('01_Вводные'!$B$310&gt;=5,BK16,0),IF('01_Вводные'!$B$310&gt;=6,BL16,0))</f>
        <v/>
      </c>
      <c r="BG34">
        <f>SUM(IF('01_Вводные'!$B$310&gt;=1,BH16,0),IF('01_Вводные'!$B$310&gt;=2,BI16,0),IF('01_Вводные'!$B$310&gt;=3,BJ16,0),IF('01_Вводные'!$B$310&gt;=4,BK16,0),IF('01_Вводные'!$B$310&gt;=5,BL16,0),IF('01_Вводные'!$B$310&gt;=6,BM16,0))</f>
        <v/>
      </c>
      <c r="BH34">
        <f>SUM(IF('01_Вводные'!$B$310&gt;=1,BI16,0),IF('01_Вводные'!$B$310&gt;=2,BJ16,0),IF('01_Вводные'!$B$310&gt;=3,BK16,0),IF('01_Вводные'!$B$310&gt;=4,BL16,0),IF('01_Вводные'!$B$310&gt;=5,BM16,0),IF('01_Вводные'!$B$310&gt;=6,BN16,0))</f>
        <v/>
      </c>
      <c r="BI34">
        <f>SUM(IF('01_Вводные'!$B$310&gt;=1,BJ16,0),IF('01_Вводные'!$B$310&gt;=2,BK16,0),IF('01_Вводные'!$B$310&gt;=3,BL16,0),IF('01_Вводные'!$B$310&gt;=4,BM16,0),IF('01_Вводные'!$B$310&gt;=5,BN16,0),IF('01_Вводные'!$B$310&gt;=6,BO16,0))</f>
        <v/>
      </c>
      <c r="BJ34">
        <f>SUM(IF('01_Вводные'!$B$310&gt;=1,BK16,0),IF('01_Вводные'!$B$310&gt;=2,BL16,0),IF('01_Вводные'!$B$310&gt;=3,BM16,0),IF('01_Вводные'!$B$310&gt;=4,BN16,0),IF('01_Вводные'!$B$310&gt;=5,BO16,0),IF('01_Вводные'!$B$310&gt;=6,BP16,0))</f>
        <v/>
      </c>
      <c r="BK34">
        <f>SUM(IF('01_Вводные'!$B$310&gt;=1,BL16,0),IF('01_Вводные'!$B$310&gt;=2,BM16,0),IF('01_Вводные'!$B$310&gt;=3,BN16,0),IF('01_Вводные'!$B$310&gt;=4,BO16,0),IF('01_Вводные'!$B$310&gt;=5,BP16,0),IF('01_Вводные'!$B$310&gt;=6,BQ16,0))</f>
        <v/>
      </c>
      <c r="BL34">
        <f>SUM(IF('01_Вводные'!$B$310&gt;=1,BM16,0),IF('01_Вводные'!$B$310&gt;=2,BN16,0),IF('01_Вводные'!$B$310&gt;=3,BO16,0),IF('01_Вводные'!$B$310&gt;=4,BP16,0),IF('01_Вводные'!$B$310&gt;=5,BQ16,0),IF('01_Вводные'!$B$310&gt;=6,BR16,0))</f>
        <v/>
      </c>
      <c r="BM34">
        <f>SUM(IF('01_Вводные'!$B$310&gt;=1,BN16,0),IF('01_Вводные'!$B$310&gt;=2,BO16,0),IF('01_Вводные'!$B$310&gt;=3,BP16,0),IF('01_Вводные'!$B$310&gt;=4,BQ16,0),IF('01_Вводные'!$B$310&gt;=5,BR16,0),IF('01_Вводные'!$B$310&gt;=6,BS16,0))</f>
        <v/>
      </c>
      <c r="BN34">
        <f>SUM(IF('01_Вводные'!$B$310&gt;=1,BO16,0),IF('01_Вводные'!$B$310&gt;=2,BP16,0),IF('01_Вводные'!$B$310&gt;=3,BQ16,0),IF('01_Вводные'!$B$310&gt;=4,BR16,0),IF('01_Вводные'!$B$310&gt;=5,BS16,0),IF('01_Вводные'!$B$310&gt;=6,BT16,0))</f>
        <v/>
      </c>
      <c r="BO34">
        <f>SUM(IF('01_Вводные'!$B$310&gt;=1,BP16,0),IF('01_Вводные'!$B$310&gt;=2,BQ16,0),IF('01_Вводные'!$B$310&gt;=3,BR16,0),IF('01_Вводные'!$B$310&gt;=4,BS16,0),IF('01_Вводные'!$B$310&gt;=5,BT16,0),IF('01_Вводные'!$B$310&gt;=6,BU16,0))</f>
        <v/>
      </c>
    </row>
  </sheetData>
  <mergeCells count="4">
    <mergeCell ref="A2:BO2"/>
    <mergeCell ref="A21:BO21"/>
    <mergeCell ref="A1:BO1"/>
    <mergeCell ref="A28:BO28"/>
  </mergeCells>
  <printOptions horizontalCentered="0"/>
  <pageMargins left="0.75" right="0.75" top="1" bottom="1" header="0.5" footer="0.5"/>
  <pageSetup orientation="landscape" fitToHeight="0" fitToWidth="1"/>
  <headerFooter>
    <oddHeader/>
    <oddFooter>&amp;LФинмодель Спартак · 07_Мерч&amp;R&amp;P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BI30"/>
  <sheetViews>
    <sheetView showGridLines="0" zoomScale="82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24" customHeight="1">
      <c r="A1" s="1" t="inlineStr">
        <is>
          <t>ФОТ, премии и кадровые триггеры</t>
        </is>
      </c>
    </row>
    <row r="2"/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</row>
    <row r="4">
      <c r="A4" s="2" t="inlineStr">
        <is>
          <t>Сезон</t>
        </is>
      </c>
      <c r="B4" s="117">
        <f>INT((0)/12)+1</f>
        <v/>
      </c>
      <c r="C4" s="117">
        <f>INT((1)/12)+1</f>
        <v/>
      </c>
      <c r="D4" s="117">
        <f>INT((2)/12)+1</f>
        <v/>
      </c>
      <c r="E4" s="117">
        <f>INT((3)/12)+1</f>
        <v/>
      </c>
      <c r="F4" s="117">
        <f>INT((4)/12)+1</f>
        <v/>
      </c>
      <c r="G4" s="117">
        <f>INT((5)/12)+1</f>
        <v/>
      </c>
      <c r="H4" s="117">
        <f>INT((6)/12)+1</f>
        <v/>
      </c>
      <c r="I4" s="117">
        <f>INT((7)/12)+1</f>
        <v/>
      </c>
      <c r="J4" s="117">
        <f>INT((8)/12)+1</f>
        <v/>
      </c>
      <c r="K4" s="117">
        <f>INT((9)/12)+1</f>
        <v/>
      </c>
      <c r="L4" s="117">
        <f>INT((10)/12)+1</f>
        <v/>
      </c>
      <c r="M4" s="117">
        <f>INT((11)/12)+1</f>
        <v/>
      </c>
      <c r="N4" s="117">
        <f>INT((12)/12)+1</f>
        <v/>
      </c>
      <c r="O4" s="117">
        <f>INT((13)/12)+1</f>
        <v/>
      </c>
      <c r="P4" s="117">
        <f>INT((14)/12)+1</f>
        <v/>
      </c>
      <c r="Q4" s="117">
        <f>INT((15)/12)+1</f>
        <v/>
      </c>
      <c r="R4" s="117">
        <f>INT((16)/12)+1</f>
        <v/>
      </c>
      <c r="S4" s="117">
        <f>INT((17)/12)+1</f>
        <v/>
      </c>
      <c r="T4" s="117">
        <f>INT((18)/12)+1</f>
        <v/>
      </c>
      <c r="U4" s="117">
        <f>INT((19)/12)+1</f>
        <v/>
      </c>
      <c r="V4" s="117">
        <f>INT((20)/12)+1</f>
        <v/>
      </c>
      <c r="W4" s="117">
        <f>INT((21)/12)+1</f>
        <v/>
      </c>
      <c r="X4" s="117">
        <f>INT((22)/12)+1</f>
        <v/>
      </c>
      <c r="Y4" s="117">
        <f>INT((23)/12)+1</f>
        <v/>
      </c>
      <c r="Z4" s="117">
        <f>INT((24)/12)+1</f>
        <v/>
      </c>
      <c r="AA4" s="117">
        <f>INT((25)/12)+1</f>
        <v/>
      </c>
      <c r="AB4" s="117">
        <f>INT((26)/12)+1</f>
        <v/>
      </c>
      <c r="AC4" s="117">
        <f>INT((27)/12)+1</f>
        <v/>
      </c>
      <c r="AD4" s="117">
        <f>INT((28)/12)+1</f>
        <v/>
      </c>
      <c r="AE4" s="117">
        <f>INT((29)/12)+1</f>
        <v/>
      </c>
      <c r="AF4" s="117">
        <f>INT((30)/12)+1</f>
        <v/>
      </c>
      <c r="AG4" s="117">
        <f>INT((31)/12)+1</f>
        <v/>
      </c>
      <c r="AH4" s="117">
        <f>INT((32)/12)+1</f>
        <v/>
      </c>
      <c r="AI4" s="117">
        <f>INT((33)/12)+1</f>
        <v/>
      </c>
      <c r="AJ4" s="117">
        <f>INT((34)/12)+1</f>
        <v/>
      </c>
      <c r="AK4" s="117">
        <f>INT((35)/12)+1</f>
        <v/>
      </c>
      <c r="AL4" s="117">
        <f>INT((36)/12)+1</f>
        <v/>
      </c>
      <c r="AM4" s="117">
        <f>INT((37)/12)+1</f>
        <v/>
      </c>
      <c r="AN4" s="117">
        <f>INT((38)/12)+1</f>
        <v/>
      </c>
      <c r="AO4" s="117">
        <f>INT((39)/12)+1</f>
        <v/>
      </c>
      <c r="AP4" s="117">
        <f>INT((40)/12)+1</f>
        <v/>
      </c>
      <c r="AQ4" s="117">
        <f>INT((41)/12)+1</f>
        <v/>
      </c>
      <c r="AR4" s="117">
        <f>INT((42)/12)+1</f>
        <v/>
      </c>
      <c r="AS4" s="117">
        <f>INT((43)/12)+1</f>
        <v/>
      </c>
      <c r="AT4" s="117">
        <f>INT((44)/12)+1</f>
        <v/>
      </c>
      <c r="AU4" s="117">
        <f>INT((45)/12)+1</f>
        <v/>
      </c>
      <c r="AV4" s="117">
        <f>INT((46)/12)+1</f>
        <v/>
      </c>
      <c r="AW4" s="117">
        <f>INT((47)/12)+1</f>
        <v/>
      </c>
      <c r="AX4" s="117">
        <f>INT((48)/12)+1</f>
        <v/>
      </c>
      <c r="AY4" s="117">
        <f>INT((49)/12)+1</f>
        <v/>
      </c>
      <c r="AZ4" s="117">
        <f>INT((50)/12)+1</f>
        <v/>
      </c>
      <c r="BA4" s="117">
        <f>INT((51)/12)+1</f>
        <v/>
      </c>
      <c r="BB4" s="117">
        <f>INT((52)/12)+1</f>
        <v/>
      </c>
      <c r="BC4" s="117">
        <f>INT((53)/12)+1</f>
        <v/>
      </c>
      <c r="BD4" s="117">
        <f>INT((54)/12)+1</f>
        <v/>
      </c>
      <c r="BE4" s="117">
        <f>INT((55)/12)+1</f>
        <v/>
      </c>
      <c r="BF4" s="117">
        <f>INT((56)/12)+1</f>
        <v/>
      </c>
      <c r="BG4" s="117">
        <f>INT((57)/12)+1</f>
        <v/>
      </c>
      <c r="BH4" s="117">
        <f>INT((58)/12)+1</f>
        <v/>
      </c>
      <c r="BI4" s="117">
        <f>INT((59)/12)+1</f>
        <v/>
      </c>
    </row>
    <row r="5">
      <c r="A5" s="2" t="inlineStr">
        <is>
          <t>Индекс базовых окладов</t>
        </is>
      </c>
      <c r="B5" s="99">
        <f>(1-0+'01_Вводные'!$B$116)^(MAX(0,YEAR(B$3)-YEAR('01_Вводные'!$B$251)+IF(MONTH(B$3)&gt;=MONTH('01_Вводные'!$B$251),1,0)))</f>
        <v/>
      </c>
      <c r="C5" s="99">
        <f>(1-0+'01_Вводные'!$B$116)^(MAX(0,YEAR(C$3)-YEAR('01_Вводные'!$B$251)+IF(MONTH(C$3)&gt;=MONTH('01_Вводные'!$B$251),1,0)))</f>
        <v/>
      </c>
      <c r="D5" s="99">
        <f>(1-0+'01_Вводные'!$B$116)^(MAX(0,YEAR(D$3)-YEAR('01_Вводные'!$B$251)+IF(MONTH(D$3)&gt;=MONTH('01_Вводные'!$B$251),1,0)))</f>
        <v/>
      </c>
      <c r="E5" s="99">
        <f>(1-0+'01_Вводные'!$B$116)^(MAX(0,YEAR(E$3)-YEAR('01_Вводные'!$B$251)+IF(MONTH(E$3)&gt;=MONTH('01_Вводные'!$B$251),1,0)))</f>
        <v/>
      </c>
      <c r="F5" s="99">
        <f>(1-0+'01_Вводные'!$B$116)^(MAX(0,YEAR(F$3)-YEAR('01_Вводные'!$B$251)+IF(MONTH(F$3)&gt;=MONTH('01_Вводные'!$B$251),1,0)))</f>
        <v/>
      </c>
      <c r="G5" s="99">
        <f>(1-0+'01_Вводные'!$B$116)^(MAX(0,YEAR(G$3)-YEAR('01_Вводные'!$B$251)+IF(MONTH(G$3)&gt;=MONTH('01_Вводные'!$B$251),1,0)))</f>
        <v/>
      </c>
      <c r="H5" s="99">
        <f>(1-0+'01_Вводные'!$B$116)^(MAX(0,YEAR(H$3)-YEAR('01_Вводные'!$B$251)+IF(MONTH(H$3)&gt;=MONTH('01_Вводные'!$B$251),1,0)))</f>
        <v/>
      </c>
      <c r="I5" s="99">
        <f>(1-0+'01_Вводные'!$B$116)^(MAX(0,YEAR(I$3)-YEAR('01_Вводные'!$B$251)+IF(MONTH(I$3)&gt;=MONTH('01_Вводные'!$B$251),1,0)))</f>
        <v/>
      </c>
      <c r="J5" s="99">
        <f>(1-0+'01_Вводные'!$B$116)^(MAX(0,YEAR(J$3)-YEAR('01_Вводные'!$B$251)+IF(MONTH(J$3)&gt;=MONTH('01_Вводные'!$B$251),1,0)))</f>
        <v/>
      </c>
      <c r="K5" s="99">
        <f>(1-0+'01_Вводные'!$B$116)^(MAX(0,YEAR(K$3)-YEAR('01_Вводные'!$B$251)+IF(MONTH(K$3)&gt;=MONTH('01_Вводные'!$B$251),1,0)))</f>
        <v/>
      </c>
      <c r="L5" s="99">
        <f>(1-0+'01_Вводные'!$B$116)^(MAX(0,YEAR(L$3)-YEAR('01_Вводные'!$B$251)+IF(MONTH(L$3)&gt;=MONTH('01_Вводные'!$B$251),1,0)))</f>
        <v/>
      </c>
      <c r="M5" s="99">
        <f>(1-0+'01_Вводные'!$B$116)^(MAX(0,YEAR(M$3)-YEAR('01_Вводные'!$B$251)+IF(MONTH(M$3)&gt;=MONTH('01_Вводные'!$B$251),1,0)))</f>
        <v/>
      </c>
      <c r="N5" s="99">
        <f>(1-0+'01_Вводные'!$B$116)^(MAX(0,YEAR(N$3)-YEAR('01_Вводные'!$B$251)+IF(MONTH(N$3)&gt;=MONTH('01_Вводные'!$B$251),1,0)))</f>
        <v/>
      </c>
      <c r="O5" s="99">
        <f>(1-0+'01_Вводные'!$B$116)^(MAX(0,YEAR(O$3)-YEAR('01_Вводные'!$B$251)+IF(MONTH(O$3)&gt;=MONTH('01_Вводные'!$B$251),1,0)))</f>
        <v/>
      </c>
      <c r="P5" s="99">
        <f>(1-0+'01_Вводные'!$B$116)^(MAX(0,YEAR(P$3)-YEAR('01_Вводные'!$B$251)+IF(MONTH(P$3)&gt;=MONTH('01_Вводные'!$B$251),1,0)))</f>
        <v/>
      </c>
      <c r="Q5" s="99">
        <f>(1-0+'01_Вводные'!$B$116)^(MAX(0,YEAR(Q$3)-YEAR('01_Вводные'!$B$251)+IF(MONTH(Q$3)&gt;=MONTH('01_Вводные'!$B$251),1,0)))</f>
        <v/>
      </c>
      <c r="R5" s="99">
        <f>(1-0+'01_Вводные'!$B$116)^(MAX(0,YEAR(R$3)-YEAR('01_Вводные'!$B$251)+IF(MONTH(R$3)&gt;=MONTH('01_Вводные'!$B$251),1,0)))</f>
        <v/>
      </c>
      <c r="S5" s="99">
        <f>(1-0+'01_Вводные'!$B$116)^(MAX(0,YEAR(S$3)-YEAR('01_Вводные'!$B$251)+IF(MONTH(S$3)&gt;=MONTH('01_Вводные'!$B$251),1,0)))</f>
        <v/>
      </c>
      <c r="T5" s="99">
        <f>(1-0+'01_Вводные'!$B$116)^(MAX(0,YEAR(T$3)-YEAR('01_Вводные'!$B$251)+IF(MONTH(T$3)&gt;=MONTH('01_Вводные'!$B$251),1,0)))</f>
        <v/>
      </c>
      <c r="U5" s="99">
        <f>(1-0+'01_Вводные'!$B$116)^(MAX(0,YEAR(U$3)-YEAR('01_Вводные'!$B$251)+IF(MONTH(U$3)&gt;=MONTH('01_Вводные'!$B$251),1,0)))</f>
        <v/>
      </c>
      <c r="V5" s="99">
        <f>(1-0+'01_Вводные'!$B$116)^(MAX(0,YEAR(V$3)-YEAR('01_Вводные'!$B$251)+IF(MONTH(V$3)&gt;=MONTH('01_Вводные'!$B$251),1,0)))</f>
        <v/>
      </c>
      <c r="W5" s="99">
        <f>(1-0+'01_Вводные'!$B$116)^(MAX(0,YEAR(W$3)-YEAR('01_Вводные'!$B$251)+IF(MONTH(W$3)&gt;=MONTH('01_Вводные'!$B$251),1,0)))</f>
        <v/>
      </c>
      <c r="X5" s="99">
        <f>(1-0+'01_Вводные'!$B$116)^(MAX(0,YEAR(X$3)-YEAR('01_Вводные'!$B$251)+IF(MONTH(X$3)&gt;=MONTH('01_Вводные'!$B$251),1,0)))</f>
        <v/>
      </c>
      <c r="Y5" s="99">
        <f>(1-0+'01_Вводные'!$B$116)^(MAX(0,YEAR(Y$3)-YEAR('01_Вводные'!$B$251)+IF(MONTH(Y$3)&gt;=MONTH('01_Вводные'!$B$251),1,0)))</f>
        <v/>
      </c>
      <c r="Z5" s="99">
        <f>(1-0+'01_Вводные'!$B$116)^(MAX(0,YEAR(Z$3)-YEAR('01_Вводные'!$B$251)+IF(MONTH(Z$3)&gt;=MONTH('01_Вводные'!$B$251),1,0)))</f>
        <v/>
      </c>
      <c r="AA5" s="99">
        <f>(1-0+'01_Вводные'!$B$116)^(MAX(0,YEAR(AA$3)-YEAR('01_Вводные'!$B$251)+IF(MONTH(AA$3)&gt;=MONTH('01_Вводные'!$B$251),1,0)))</f>
        <v/>
      </c>
      <c r="AB5" s="99">
        <f>(1-0+'01_Вводные'!$B$116)^(MAX(0,YEAR(AB$3)-YEAR('01_Вводные'!$B$251)+IF(MONTH(AB$3)&gt;=MONTH('01_Вводные'!$B$251),1,0)))</f>
        <v/>
      </c>
      <c r="AC5" s="99">
        <f>(1-0+'01_Вводные'!$B$116)^(MAX(0,YEAR(AC$3)-YEAR('01_Вводные'!$B$251)+IF(MONTH(AC$3)&gt;=MONTH('01_Вводные'!$B$251),1,0)))</f>
        <v/>
      </c>
      <c r="AD5" s="99">
        <f>(1-0+'01_Вводные'!$B$116)^(MAX(0,YEAR(AD$3)-YEAR('01_Вводные'!$B$251)+IF(MONTH(AD$3)&gt;=MONTH('01_Вводные'!$B$251),1,0)))</f>
        <v/>
      </c>
      <c r="AE5" s="99">
        <f>(1-0+'01_Вводные'!$B$116)^(MAX(0,YEAR(AE$3)-YEAR('01_Вводные'!$B$251)+IF(MONTH(AE$3)&gt;=MONTH('01_Вводные'!$B$251),1,0)))</f>
        <v/>
      </c>
      <c r="AF5" s="99">
        <f>(1-0+'01_Вводные'!$B$116)^(MAX(0,YEAR(AF$3)-YEAR('01_Вводные'!$B$251)+IF(MONTH(AF$3)&gt;=MONTH('01_Вводные'!$B$251),1,0)))</f>
        <v/>
      </c>
      <c r="AG5" s="99">
        <f>(1-0+'01_Вводные'!$B$116)^(MAX(0,YEAR(AG$3)-YEAR('01_Вводные'!$B$251)+IF(MONTH(AG$3)&gt;=MONTH('01_Вводные'!$B$251),1,0)))</f>
        <v/>
      </c>
      <c r="AH5" s="99">
        <f>(1-0+'01_Вводные'!$B$116)^(MAX(0,YEAR(AH$3)-YEAR('01_Вводные'!$B$251)+IF(MONTH(AH$3)&gt;=MONTH('01_Вводные'!$B$251),1,0)))</f>
        <v/>
      </c>
      <c r="AI5" s="99">
        <f>(1-0+'01_Вводные'!$B$116)^(MAX(0,YEAR(AI$3)-YEAR('01_Вводные'!$B$251)+IF(MONTH(AI$3)&gt;=MONTH('01_Вводные'!$B$251),1,0)))</f>
        <v/>
      </c>
      <c r="AJ5" s="99">
        <f>(1-0+'01_Вводные'!$B$116)^(MAX(0,YEAR(AJ$3)-YEAR('01_Вводные'!$B$251)+IF(MONTH(AJ$3)&gt;=MONTH('01_Вводные'!$B$251),1,0)))</f>
        <v/>
      </c>
      <c r="AK5" s="99">
        <f>(1-0+'01_Вводные'!$B$116)^(MAX(0,YEAR(AK$3)-YEAR('01_Вводные'!$B$251)+IF(MONTH(AK$3)&gt;=MONTH('01_Вводные'!$B$251),1,0)))</f>
        <v/>
      </c>
      <c r="AL5" s="99">
        <f>(1-0+'01_Вводные'!$B$116)^(MAX(0,YEAR(AL$3)-YEAR('01_Вводные'!$B$251)+IF(MONTH(AL$3)&gt;=MONTH('01_Вводные'!$B$251),1,0)))</f>
        <v/>
      </c>
      <c r="AM5" s="99">
        <f>(1-0+'01_Вводные'!$B$116)^(MAX(0,YEAR(AM$3)-YEAR('01_Вводные'!$B$251)+IF(MONTH(AM$3)&gt;=MONTH('01_Вводные'!$B$251),1,0)))</f>
        <v/>
      </c>
      <c r="AN5" s="99">
        <f>(1-0+'01_Вводные'!$B$116)^(MAX(0,YEAR(AN$3)-YEAR('01_Вводные'!$B$251)+IF(MONTH(AN$3)&gt;=MONTH('01_Вводные'!$B$251),1,0)))</f>
        <v/>
      </c>
      <c r="AO5" s="99">
        <f>(1-0+'01_Вводные'!$B$116)^(MAX(0,YEAR(AO$3)-YEAR('01_Вводные'!$B$251)+IF(MONTH(AO$3)&gt;=MONTH('01_Вводные'!$B$251),1,0)))</f>
        <v/>
      </c>
      <c r="AP5" s="99">
        <f>(1-0+'01_Вводные'!$B$116)^(MAX(0,YEAR(AP$3)-YEAR('01_Вводные'!$B$251)+IF(MONTH(AP$3)&gt;=MONTH('01_Вводные'!$B$251),1,0)))</f>
        <v/>
      </c>
      <c r="AQ5" s="99">
        <f>(1-0+'01_Вводные'!$B$116)^(MAX(0,YEAR(AQ$3)-YEAR('01_Вводные'!$B$251)+IF(MONTH(AQ$3)&gt;=MONTH('01_Вводные'!$B$251),1,0)))</f>
        <v/>
      </c>
      <c r="AR5" s="99">
        <f>(1-0+'01_Вводные'!$B$116)^(MAX(0,YEAR(AR$3)-YEAR('01_Вводные'!$B$251)+IF(MONTH(AR$3)&gt;=MONTH('01_Вводные'!$B$251),1,0)))</f>
        <v/>
      </c>
      <c r="AS5" s="99">
        <f>(1-0+'01_Вводные'!$B$116)^(MAX(0,YEAR(AS$3)-YEAR('01_Вводные'!$B$251)+IF(MONTH(AS$3)&gt;=MONTH('01_Вводные'!$B$251),1,0)))</f>
        <v/>
      </c>
      <c r="AT5" s="99">
        <f>(1-0+'01_Вводные'!$B$116)^(MAX(0,YEAR(AT$3)-YEAR('01_Вводные'!$B$251)+IF(MONTH(AT$3)&gt;=MONTH('01_Вводные'!$B$251),1,0)))</f>
        <v/>
      </c>
      <c r="AU5" s="99">
        <f>(1-0+'01_Вводные'!$B$116)^(MAX(0,YEAR(AU$3)-YEAR('01_Вводные'!$B$251)+IF(MONTH(AU$3)&gt;=MONTH('01_Вводные'!$B$251),1,0)))</f>
        <v/>
      </c>
      <c r="AV5" s="99">
        <f>(1-0+'01_Вводные'!$B$116)^(MAX(0,YEAR(AV$3)-YEAR('01_Вводные'!$B$251)+IF(MONTH(AV$3)&gt;=MONTH('01_Вводные'!$B$251),1,0)))</f>
        <v/>
      </c>
      <c r="AW5" s="99">
        <f>(1-0+'01_Вводные'!$B$116)^(MAX(0,YEAR(AW$3)-YEAR('01_Вводные'!$B$251)+IF(MONTH(AW$3)&gt;=MONTH('01_Вводные'!$B$251),1,0)))</f>
        <v/>
      </c>
      <c r="AX5" s="99">
        <f>(1-0+'01_Вводные'!$B$116)^(MAX(0,YEAR(AX$3)-YEAR('01_Вводные'!$B$251)+IF(MONTH(AX$3)&gt;=MONTH('01_Вводные'!$B$251),1,0)))</f>
        <v/>
      </c>
      <c r="AY5" s="99">
        <f>(1-0+'01_Вводные'!$B$116)^(MAX(0,YEAR(AY$3)-YEAR('01_Вводные'!$B$251)+IF(MONTH(AY$3)&gt;=MONTH('01_Вводные'!$B$251),1,0)))</f>
        <v/>
      </c>
      <c r="AZ5" s="99">
        <f>(1-0+'01_Вводные'!$B$116)^(MAX(0,YEAR(AZ$3)-YEAR('01_Вводные'!$B$251)+IF(MONTH(AZ$3)&gt;=MONTH('01_Вводные'!$B$251),1,0)))</f>
        <v/>
      </c>
      <c r="BA5" s="99">
        <f>(1-0+'01_Вводные'!$B$116)^(MAX(0,YEAR(BA$3)-YEAR('01_Вводные'!$B$251)+IF(MONTH(BA$3)&gt;=MONTH('01_Вводные'!$B$251),1,0)))</f>
        <v/>
      </c>
      <c r="BB5" s="99">
        <f>(1-0+'01_Вводные'!$B$116)^(MAX(0,YEAR(BB$3)-YEAR('01_Вводные'!$B$251)+IF(MONTH(BB$3)&gt;=MONTH('01_Вводные'!$B$251),1,0)))</f>
        <v/>
      </c>
      <c r="BC5" s="99">
        <f>(1-0+'01_Вводные'!$B$116)^(MAX(0,YEAR(BC$3)-YEAR('01_Вводные'!$B$251)+IF(MONTH(BC$3)&gt;=MONTH('01_Вводные'!$B$251),1,0)))</f>
        <v/>
      </c>
      <c r="BD5" s="99">
        <f>(1-0+'01_Вводные'!$B$116)^(MAX(0,YEAR(BD$3)-YEAR('01_Вводные'!$B$251)+IF(MONTH(BD$3)&gt;=MONTH('01_Вводные'!$B$251),1,0)))</f>
        <v/>
      </c>
      <c r="BE5" s="99">
        <f>(1-0+'01_Вводные'!$B$116)^(MAX(0,YEAR(BE$3)-YEAR('01_Вводные'!$B$251)+IF(MONTH(BE$3)&gt;=MONTH('01_Вводные'!$B$251),1,0)))</f>
        <v/>
      </c>
      <c r="BF5" s="99">
        <f>(1-0+'01_Вводные'!$B$116)^(MAX(0,YEAR(BF$3)-YEAR('01_Вводные'!$B$251)+IF(MONTH(BF$3)&gt;=MONTH('01_Вводные'!$B$251),1,0)))</f>
        <v/>
      </c>
      <c r="BG5" s="99">
        <f>(1-0+'01_Вводные'!$B$116)^(MAX(0,YEAR(BG$3)-YEAR('01_Вводные'!$B$251)+IF(MONTH(BG$3)&gt;=MONTH('01_Вводные'!$B$251),1,0)))</f>
        <v/>
      </c>
      <c r="BH5" s="99">
        <f>(1-0+'01_Вводные'!$B$116)^(MAX(0,YEAR(BH$3)-YEAR('01_Вводные'!$B$251)+IF(MONTH(BH$3)&gt;=MONTH('01_Вводные'!$B$251),1,0)))</f>
        <v/>
      </c>
      <c r="BI5" s="99">
        <f>(1-0+'01_Вводные'!$B$116)^(MAX(0,YEAR(BI$3)-YEAR('01_Вводные'!$B$251)+IF(MONTH(BI$3)&gt;=MONTH('01_Вводные'!$B$251),1,0)))</f>
        <v/>
      </c>
    </row>
    <row r="6" ht="20" customHeight="1">
      <c r="A6" s="4" t="inlineStr">
        <is>
          <t>Оклады</t>
        </is>
      </c>
    </row>
    <row r="7">
      <c r="A7" s="2" t="inlineStr">
        <is>
          <t>ФОТ ядра — gross</t>
        </is>
      </c>
      <c r="B7" s="95">
        <f>'01_Вводные'!$B$151*B5+B30</f>
        <v/>
      </c>
      <c r="C7" s="95">
        <f>'01_Вводные'!$B$151*C5+C30</f>
        <v/>
      </c>
      <c r="D7" s="95">
        <f>'01_Вводные'!$B$151*D5+D30</f>
        <v/>
      </c>
      <c r="E7" s="95">
        <f>'01_Вводные'!$B$151*E5+E30</f>
        <v/>
      </c>
      <c r="F7" s="95">
        <f>'01_Вводные'!$B$151*F5+F30</f>
        <v/>
      </c>
      <c r="G7" s="95">
        <f>'01_Вводные'!$B$151*G5+G30</f>
        <v/>
      </c>
      <c r="H7" s="95">
        <f>'01_Вводные'!$B$151*H5+H30</f>
        <v/>
      </c>
      <c r="I7" s="95">
        <f>'01_Вводные'!$B$151*I5+I30</f>
        <v/>
      </c>
      <c r="J7" s="95">
        <f>'01_Вводные'!$B$151*J5+J30</f>
        <v/>
      </c>
      <c r="K7" s="95">
        <f>'01_Вводные'!$B$151*K5+K30</f>
        <v/>
      </c>
      <c r="L7" s="95">
        <f>'01_Вводные'!$B$151*L5+L30</f>
        <v/>
      </c>
      <c r="M7" s="95">
        <f>'01_Вводные'!$B$151*M5+M30</f>
        <v/>
      </c>
      <c r="N7" s="95">
        <f>'01_Вводные'!$B$151*N5+N30</f>
        <v/>
      </c>
      <c r="O7" s="95">
        <f>'01_Вводные'!$B$151*O5+O30</f>
        <v/>
      </c>
      <c r="P7" s="95">
        <f>'01_Вводные'!$B$151*P5+P30</f>
        <v/>
      </c>
      <c r="Q7" s="95">
        <f>'01_Вводные'!$B$151*Q5+Q30</f>
        <v/>
      </c>
      <c r="R7" s="95">
        <f>'01_Вводные'!$B$151*R5+R30</f>
        <v/>
      </c>
      <c r="S7" s="95">
        <f>'01_Вводные'!$B$151*S5+S30</f>
        <v/>
      </c>
      <c r="T7" s="95">
        <f>'01_Вводные'!$B$151*T5+T30</f>
        <v/>
      </c>
      <c r="U7" s="95">
        <f>'01_Вводные'!$B$151*U5+U30</f>
        <v/>
      </c>
      <c r="V7" s="95">
        <f>'01_Вводные'!$B$151*V5+V30</f>
        <v/>
      </c>
      <c r="W7" s="95">
        <f>'01_Вводные'!$B$151*W5+W30</f>
        <v/>
      </c>
      <c r="X7" s="95">
        <f>'01_Вводные'!$B$151*X5+X30</f>
        <v/>
      </c>
      <c r="Y7" s="95">
        <f>'01_Вводные'!$B$151*Y5+Y30</f>
        <v/>
      </c>
      <c r="Z7" s="95">
        <f>'01_Вводные'!$B$151*Z5+Z30</f>
        <v/>
      </c>
      <c r="AA7" s="95">
        <f>'01_Вводные'!$B$151*AA5+AA30</f>
        <v/>
      </c>
      <c r="AB7" s="95">
        <f>'01_Вводные'!$B$151*AB5+AB30</f>
        <v/>
      </c>
      <c r="AC7" s="95">
        <f>'01_Вводные'!$B$151*AC5+AC30</f>
        <v/>
      </c>
      <c r="AD7" s="95">
        <f>'01_Вводные'!$B$151*AD5+AD30</f>
        <v/>
      </c>
      <c r="AE7" s="95">
        <f>'01_Вводные'!$B$151*AE5+AE30</f>
        <v/>
      </c>
      <c r="AF7" s="95">
        <f>'01_Вводные'!$B$151*AF5+AF30</f>
        <v/>
      </c>
      <c r="AG7" s="95">
        <f>'01_Вводные'!$B$151*AG5+AG30</f>
        <v/>
      </c>
      <c r="AH7" s="95">
        <f>'01_Вводные'!$B$151*AH5+AH30</f>
        <v/>
      </c>
      <c r="AI7" s="95">
        <f>'01_Вводные'!$B$151*AI5+AI30</f>
        <v/>
      </c>
      <c r="AJ7" s="95">
        <f>'01_Вводные'!$B$151*AJ5+AJ30</f>
        <v/>
      </c>
      <c r="AK7" s="95">
        <f>'01_Вводные'!$B$151*AK5+AK30</f>
        <v/>
      </c>
      <c r="AL7" s="95">
        <f>'01_Вводные'!$B$151*AL5+AL30</f>
        <v/>
      </c>
      <c r="AM7" s="95">
        <f>'01_Вводные'!$B$151*AM5+AM30</f>
        <v/>
      </c>
      <c r="AN7" s="95">
        <f>'01_Вводные'!$B$151*AN5+AN30</f>
        <v/>
      </c>
      <c r="AO7" s="95">
        <f>'01_Вводные'!$B$151*AO5+AO30</f>
        <v/>
      </c>
      <c r="AP7" s="95">
        <f>'01_Вводные'!$B$151*AP5+AP30</f>
        <v/>
      </c>
      <c r="AQ7" s="95">
        <f>'01_Вводные'!$B$151*AQ5+AQ30</f>
        <v/>
      </c>
      <c r="AR7" s="95">
        <f>'01_Вводные'!$B$151*AR5+AR30</f>
        <v/>
      </c>
      <c r="AS7" s="95">
        <f>'01_Вводные'!$B$151*AS5+AS30</f>
        <v/>
      </c>
      <c r="AT7" s="95">
        <f>'01_Вводные'!$B$151*AT5+AT30</f>
        <v/>
      </c>
      <c r="AU7" s="95">
        <f>'01_Вводные'!$B$151*AU5+AU30</f>
        <v/>
      </c>
      <c r="AV7" s="95">
        <f>'01_Вводные'!$B$151*AV5+AV30</f>
        <v/>
      </c>
      <c r="AW7" s="95">
        <f>'01_Вводные'!$B$151*AW5+AW30</f>
        <v/>
      </c>
      <c r="AX7" s="95">
        <f>'01_Вводные'!$B$151*AX5+AX30</f>
        <v/>
      </c>
      <c r="AY7" s="95">
        <f>'01_Вводные'!$B$151*AY5+AY30</f>
        <v/>
      </c>
      <c r="AZ7" s="95">
        <f>'01_Вводные'!$B$151*AZ5+AZ30</f>
        <v/>
      </c>
      <c r="BA7" s="95">
        <f>'01_Вводные'!$B$151*BA5+BA30</f>
        <v/>
      </c>
      <c r="BB7" s="95">
        <f>'01_Вводные'!$B$151*BB5+BB30</f>
        <v/>
      </c>
      <c r="BC7" s="95">
        <f>'01_Вводные'!$B$151*BC5+BC30</f>
        <v/>
      </c>
      <c r="BD7" s="95">
        <f>'01_Вводные'!$B$151*BD5+BD30</f>
        <v/>
      </c>
      <c r="BE7" s="95">
        <f>'01_Вводные'!$B$151*BE5+BE30</f>
        <v/>
      </c>
      <c r="BF7" s="95">
        <f>'01_Вводные'!$B$151*BF5+BF30</f>
        <v/>
      </c>
      <c r="BG7" s="95">
        <f>'01_Вводные'!$B$151*BG5+BG30</f>
        <v/>
      </c>
      <c r="BH7" s="95">
        <f>'01_Вводные'!$B$151*BH5+BH30</f>
        <v/>
      </c>
      <c r="BI7" s="95">
        <f>'01_Вводные'!$B$151*BI5+BI30</f>
        <v/>
      </c>
    </row>
    <row r="8">
      <c r="A8" s="2" t="inlineStr">
        <is>
          <t>Офис-менеджер gross</t>
        </is>
      </c>
      <c r="B8" s="95">
        <f>IF(B$3&gt;='01_Вводные'!$B$247,'01_Вводные'!$B$133/'01_Вводные'!$B$132*B5,0)</f>
        <v/>
      </c>
      <c r="C8" s="95">
        <f>IF(C$3&gt;='01_Вводные'!$B$247,'01_Вводные'!$B$133/'01_Вводные'!$B$132*C5,0)</f>
        <v/>
      </c>
      <c r="D8" s="95">
        <f>IF(D$3&gt;='01_Вводные'!$B$247,'01_Вводные'!$B$133/'01_Вводные'!$B$132*D5,0)</f>
        <v/>
      </c>
      <c r="E8" s="95">
        <f>IF(E$3&gt;='01_Вводные'!$B$247,'01_Вводные'!$B$133/'01_Вводные'!$B$132*E5,0)</f>
        <v/>
      </c>
      <c r="F8" s="95">
        <f>IF(F$3&gt;='01_Вводные'!$B$247,'01_Вводные'!$B$133/'01_Вводные'!$B$132*F5,0)</f>
        <v/>
      </c>
      <c r="G8" s="95">
        <f>IF(G$3&gt;='01_Вводные'!$B$247,'01_Вводные'!$B$133/'01_Вводные'!$B$132*G5,0)</f>
        <v/>
      </c>
      <c r="H8" s="95">
        <f>IF(H$3&gt;='01_Вводные'!$B$247,'01_Вводные'!$B$133/'01_Вводные'!$B$132*H5,0)</f>
        <v/>
      </c>
      <c r="I8" s="95">
        <f>IF(I$3&gt;='01_Вводные'!$B$247,'01_Вводные'!$B$133/'01_Вводные'!$B$132*I5,0)</f>
        <v/>
      </c>
      <c r="J8" s="95">
        <f>IF(J$3&gt;='01_Вводные'!$B$247,'01_Вводные'!$B$133/'01_Вводные'!$B$132*J5,0)</f>
        <v/>
      </c>
      <c r="K8" s="95">
        <f>IF(K$3&gt;='01_Вводные'!$B$247,'01_Вводные'!$B$133/'01_Вводные'!$B$132*K5,0)</f>
        <v/>
      </c>
      <c r="L8" s="95">
        <f>IF(L$3&gt;='01_Вводные'!$B$247,'01_Вводные'!$B$133/'01_Вводные'!$B$132*L5,0)</f>
        <v/>
      </c>
      <c r="M8" s="95">
        <f>IF(M$3&gt;='01_Вводные'!$B$247,'01_Вводные'!$B$133/'01_Вводные'!$B$132*M5,0)</f>
        <v/>
      </c>
      <c r="N8" s="95">
        <f>IF(N$3&gt;='01_Вводные'!$B$247,'01_Вводные'!$B$133/'01_Вводные'!$B$132*N5,0)</f>
        <v/>
      </c>
      <c r="O8" s="95">
        <f>IF(O$3&gt;='01_Вводные'!$B$247,'01_Вводные'!$B$133/'01_Вводные'!$B$132*O5,0)</f>
        <v/>
      </c>
      <c r="P8" s="95">
        <f>IF(P$3&gt;='01_Вводные'!$B$247,'01_Вводные'!$B$133/'01_Вводные'!$B$132*P5,0)</f>
        <v/>
      </c>
      <c r="Q8" s="95">
        <f>IF(Q$3&gt;='01_Вводные'!$B$247,'01_Вводные'!$B$133/'01_Вводные'!$B$132*Q5,0)</f>
        <v/>
      </c>
      <c r="R8" s="95">
        <f>IF(R$3&gt;='01_Вводные'!$B$247,'01_Вводные'!$B$133/'01_Вводные'!$B$132*R5,0)</f>
        <v/>
      </c>
      <c r="S8" s="95">
        <f>IF(S$3&gt;='01_Вводные'!$B$247,'01_Вводные'!$B$133/'01_Вводные'!$B$132*S5,0)</f>
        <v/>
      </c>
      <c r="T8" s="95">
        <f>IF(T$3&gt;='01_Вводные'!$B$247,'01_Вводные'!$B$133/'01_Вводные'!$B$132*T5,0)</f>
        <v/>
      </c>
      <c r="U8" s="95">
        <f>IF(U$3&gt;='01_Вводные'!$B$247,'01_Вводные'!$B$133/'01_Вводные'!$B$132*U5,0)</f>
        <v/>
      </c>
      <c r="V8" s="95">
        <f>IF(V$3&gt;='01_Вводные'!$B$247,'01_Вводные'!$B$133/'01_Вводные'!$B$132*V5,0)</f>
        <v/>
      </c>
      <c r="W8" s="95">
        <f>IF(W$3&gt;='01_Вводные'!$B$247,'01_Вводные'!$B$133/'01_Вводные'!$B$132*W5,0)</f>
        <v/>
      </c>
      <c r="X8" s="95">
        <f>IF(X$3&gt;='01_Вводные'!$B$247,'01_Вводные'!$B$133/'01_Вводные'!$B$132*X5,0)</f>
        <v/>
      </c>
      <c r="Y8" s="95">
        <f>IF(Y$3&gt;='01_Вводные'!$B$247,'01_Вводные'!$B$133/'01_Вводные'!$B$132*Y5,0)</f>
        <v/>
      </c>
      <c r="Z8" s="95">
        <f>IF(Z$3&gt;='01_Вводные'!$B$247,'01_Вводные'!$B$133/'01_Вводные'!$B$132*Z5,0)</f>
        <v/>
      </c>
      <c r="AA8" s="95">
        <f>IF(AA$3&gt;='01_Вводные'!$B$247,'01_Вводные'!$B$133/'01_Вводные'!$B$132*AA5,0)</f>
        <v/>
      </c>
      <c r="AB8" s="95">
        <f>IF(AB$3&gt;='01_Вводные'!$B$247,'01_Вводные'!$B$133/'01_Вводные'!$B$132*AB5,0)</f>
        <v/>
      </c>
      <c r="AC8" s="95">
        <f>IF(AC$3&gt;='01_Вводные'!$B$247,'01_Вводные'!$B$133/'01_Вводные'!$B$132*AC5,0)</f>
        <v/>
      </c>
      <c r="AD8" s="95">
        <f>IF(AD$3&gt;='01_Вводные'!$B$247,'01_Вводные'!$B$133/'01_Вводные'!$B$132*AD5,0)</f>
        <v/>
      </c>
      <c r="AE8" s="95">
        <f>IF(AE$3&gt;='01_Вводные'!$B$247,'01_Вводные'!$B$133/'01_Вводные'!$B$132*AE5,0)</f>
        <v/>
      </c>
      <c r="AF8" s="95">
        <f>IF(AF$3&gt;='01_Вводные'!$B$247,'01_Вводные'!$B$133/'01_Вводные'!$B$132*AF5,0)</f>
        <v/>
      </c>
      <c r="AG8" s="95">
        <f>IF(AG$3&gt;='01_Вводные'!$B$247,'01_Вводные'!$B$133/'01_Вводные'!$B$132*AG5,0)</f>
        <v/>
      </c>
      <c r="AH8" s="95">
        <f>IF(AH$3&gt;='01_Вводные'!$B$247,'01_Вводные'!$B$133/'01_Вводные'!$B$132*AH5,0)</f>
        <v/>
      </c>
      <c r="AI8" s="95">
        <f>IF(AI$3&gt;='01_Вводные'!$B$247,'01_Вводные'!$B$133/'01_Вводные'!$B$132*AI5,0)</f>
        <v/>
      </c>
      <c r="AJ8" s="95">
        <f>IF(AJ$3&gt;='01_Вводные'!$B$247,'01_Вводные'!$B$133/'01_Вводные'!$B$132*AJ5,0)</f>
        <v/>
      </c>
      <c r="AK8" s="95">
        <f>IF(AK$3&gt;='01_Вводные'!$B$247,'01_Вводные'!$B$133/'01_Вводные'!$B$132*AK5,0)</f>
        <v/>
      </c>
      <c r="AL8" s="95">
        <f>IF(AL$3&gt;='01_Вводные'!$B$247,'01_Вводные'!$B$133/'01_Вводные'!$B$132*AL5,0)</f>
        <v/>
      </c>
      <c r="AM8" s="95">
        <f>IF(AM$3&gt;='01_Вводные'!$B$247,'01_Вводные'!$B$133/'01_Вводные'!$B$132*AM5,0)</f>
        <v/>
      </c>
      <c r="AN8" s="95">
        <f>IF(AN$3&gt;='01_Вводные'!$B$247,'01_Вводные'!$B$133/'01_Вводные'!$B$132*AN5,0)</f>
        <v/>
      </c>
      <c r="AO8" s="95">
        <f>IF(AO$3&gt;='01_Вводные'!$B$247,'01_Вводные'!$B$133/'01_Вводные'!$B$132*AO5,0)</f>
        <v/>
      </c>
      <c r="AP8" s="95">
        <f>IF(AP$3&gt;='01_Вводные'!$B$247,'01_Вводные'!$B$133/'01_Вводные'!$B$132*AP5,0)</f>
        <v/>
      </c>
      <c r="AQ8" s="95">
        <f>IF(AQ$3&gt;='01_Вводные'!$B$247,'01_Вводные'!$B$133/'01_Вводные'!$B$132*AQ5,0)</f>
        <v/>
      </c>
      <c r="AR8" s="95">
        <f>IF(AR$3&gt;='01_Вводные'!$B$247,'01_Вводные'!$B$133/'01_Вводные'!$B$132*AR5,0)</f>
        <v/>
      </c>
      <c r="AS8" s="95">
        <f>IF(AS$3&gt;='01_Вводные'!$B$247,'01_Вводные'!$B$133/'01_Вводные'!$B$132*AS5,0)</f>
        <v/>
      </c>
      <c r="AT8" s="95">
        <f>IF(AT$3&gt;='01_Вводные'!$B$247,'01_Вводные'!$B$133/'01_Вводные'!$B$132*AT5,0)</f>
        <v/>
      </c>
      <c r="AU8" s="95">
        <f>IF(AU$3&gt;='01_Вводные'!$B$247,'01_Вводные'!$B$133/'01_Вводные'!$B$132*AU5,0)</f>
        <v/>
      </c>
      <c r="AV8" s="95">
        <f>IF(AV$3&gt;='01_Вводные'!$B$247,'01_Вводные'!$B$133/'01_Вводные'!$B$132*AV5,0)</f>
        <v/>
      </c>
      <c r="AW8" s="95">
        <f>IF(AW$3&gt;='01_Вводные'!$B$247,'01_Вводные'!$B$133/'01_Вводные'!$B$132*AW5,0)</f>
        <v/>
      </c>
      <c r="AX8" s="95">
        <f>IF(AX$3&gt;='01_Вводные'!$B$247,'01_Вводные'!$B$133/'01_Вводные'!$B$132*AX5,0)</f>
        <v/>
      </c>
      <c r="AY8" s="95">
        <f>IF(AY$3&gt;='01_Вводные'!$B$247,'01_Вводные'!$B$133/'01_Вводные'!$B$132*AY5,0)</f>
        <v/>
      </c>
      <c r="AZ8" s="95">
        <f>IF(AZ$3&gt;='01_Вводные'!$B$247,'01_Вводные'!$B$133/'01_Вводные'!$B$132*AZ5,0)</f>
        <v/>
      </c>
      <c r="BA8" s="95">
        <f>IF(BA$3&gt;='01_Вводные'!$B$247,'01_Вводные'!$B$133/'01_Вводные'!$B$132*BA5,0)</f>
        <v/>
      </c>
      <c r="BB8" s="95">
        <f>IF(BB$3&gt;='01_Вводные'!$B$247,'01_Вводные'!$B$133/'01_Вводные'!$B$132*BB5,0)</f>
        <v/>
      </c>
      <c r="BC8" s="95">
        <f>IF(BC$3&gt;='01_Вводные'!$B$247,'01_Вводные'!$B$133/'01_Вводные'!$B$132*BC5,0)</f>
        <v/>
      </c>
      <c r="BD8" s="95">
        <f>IF(BD$3&gt;='01_Вводные'!$B$247,'01_Вводные'!$B$133/'01_Вводные'!$B$132*BD5,0)</f>
        <v/>
      </c>
      <c r="BE8" s="95">
        <f>IF(BE$3&gt;='01_Вводные'!$B$247,'01_Вводные'!$B$133/'01_Вводные'!$B$132*BE5,0)</f>
        <v/>
      </c>
      <c r="BF8" s="95">
        <f>IF(BF$3&gt;='01_Вводные'!$B$247,'01_Вводные'!$B$133/'01_Вводные'!$B$132*BF5,0)</f>
        <v/>
      </c>
      <c r="BG8" s="95">
        <f>IF(BG$3&gt;='01_Вводные'!$B$247,'01_Вводные'!$B$133/'01_Вводные'!$B$132*BG5,0)</f>
        <v/>
      </c>
      <c r="BH8" s="95">
        <f>IF(BH$3&gt;='01_Вводные'!$B$247,'01_Вводные'!$B$133/'01_Вводные'!$B$132*BH5,0)</f>
        <v/>
      </c>
      <c r="BI8" s="95">
        <f>IF(BI$3&gt;='01_Вводные'!$B$247,'01_Вводные'!$B$133/'01_Вводные'!$B$132*BI5,0)</f>
        <v/>
      </c>
    </row>
    <row r="9">
      <c r="A9" s="2" t="inlineStr">
        <is>
          <t>SMM gross</t>
        </is>
      </c>
      <c r="B9" s="95">
        <f>IF(B$3&gt;='01_Вводные'!$B$248,'01_Вводные'!$B$134/'01_Вводные'!$B$132*(1+'01_Вводные'!$B$116)^MAX(0,YEAR(B$3)-YEAR('01_Вводные'!$B$248)+IF(MONTH(B$3)&gt;=9,1,0)-IF(MONTH('01_Вводные'!$B$248)&gt;=9,1,0)),0)</f>
        <v/>
      </c>
      <c r="C9" s="95">
        <f>IF(C$3&gt;='01_Вводные'!$B$248,'01_Вводные'!$B$134/'01_Вводные'!$B$132*(1+'01_Вводные'!$B$116)^MAX(0,YEAR(C$3)-YEAR('01_Вводные'!$B$248)+IF(MONTH(C$3)&gt;=9,1,0)-IF(MONTH('01_Вводные'!$B$248)&gt;=9,1,0)),0)</f>
        <v/>
      </c>
      <c r="D9" s="95">
        <f>IF(D$3&gt;='01_Вводные'!$B$248,'01_Вводные'!$B$134/'01_Вводные'!$B$132*(1+'01_Вводные'!$B$116)^MAX(0,YEAR(D$3)-YEAR('01_Вводные'!$B$248)+IF(MONTH(D$3)&gt;=9,1,0)-IF(MONTH('01_Вводные'!$B$248)&gt;=9,1,0)),0)</f>
        <v/>
      </c>
      <c r="E9" s="95">
        <f>IF(E$3&gt;='01_Вводные'!$B$248,'01_Вводные'!$B$134/'01_Вводные'!$B$132*(1+'01_Вводные'!$B$116)^MAX(0,YEAR(E$3)-YEAR('01_Вводные'!$B$248)+IF(MONTH(E$3)&gt;=9,1,0)-IF(MONTH('01_Вводные'!$B$248)&gt;=9,1,0)),0)</f>
        <v/>
      </c>
      <c r="F9" s="95">
        <f>IF(F$3&gt;='01_Вводные'!$B$248,'01_Вводные'!$B$134/'01_Вводные'!$B$132*(1+'01_Вводные'!$B$116)^MAX(0,YEAR(F$3)-YEAR('01_Вводные'!$B$248)+IF(MONTH(F$3)&gt;=9,1,0)-IF(MONTH('01_Вводные'!$B$248)&gt;=9,1,0)),0)</f>
        <v/>
      </c>
      <c r="G9" s="95">
        <f>IF(G$3&gt;='01_Вводные'!$B$248,'01_Вводные'!$B$134/'01_Вводные'!$B$132*(1+'01_Вводные'!$B$116)^MAX(0,YEAR(G$3)-YEAR('01_Вводные'!$B$248)+IF(MONTH(G$3)&gt;=9,1,0)-IF(MONTH('01_Вводные'!$B$248)&gt;=9,1,0)),0)</f>
        <v/>
      </c>
      <c r="H9" s="95">
        <f>IF(H$3&gt;='01_Вводные'!$B$248,'01_Вводные'!$B$134/'01_Вводные'!$B$132*(1+'01_Вводные'!$B$116)^MAX(0,YEAR(H$3)-YEAR('01_Вводные'!$B$248)+IF(MONTH(H$3)&gt;=9,1,0)-IF(MONTH('01_Вводные'!$B$248)&gt;=9,1,0)),0)</f>
        <v/>
      </c>
      <c r="I9" s="95">
        <f>IF(I$3&gt;='01_Вводные'!$B$248,'01_Вводные'!$B$134/'01_Вводные'!$B$132*(1+'01_Вводные'!$B$116)^MAX(0,YEAR(I$3)-YEAR('01_Вводные'!$B$248)+IF(MONTH(I$3)&gt;=9,1,0)-IF(MONTH('01_Вводные'!$B$248)&gt;=9,1,0)),0)</f>
        <v/>
      </c>
      <c r="J9" s="95">
        <f>IF(J$3&gt;='01_Вводные'!$B$248,'01_Вводные'!$B$134/'01_Вводные'!$B$132*(1+'01_Вводные'!$B$116)^MAX(0,YEAR(J$3)-YEAR('01_Вводные'!$B$248)+IF(MONTH(J$3)&gt;=9,1,0)-IF(MONTH('01_Вводные'!$B$248)&gt;=9,1,0)),0)</f>
        <v/>
      </c>
      <c r="K9" s="95">
        <f>IF(K$3&gt;='01_Вводные'!$B$248,'01_Вводные'!$B$134/'01_Вводные'!$B$132*(1+'01_Вводные'!$B$116)^MAX(0,YEAR(K$3)-YEAR('01_Вводные'!$B$248)+IF(MONTH(K$3)&gt;=9,1,0)-IF(MONTH('01_Вводные'!$B$248)&gt;=9,1,0)),0)</f>
        <v/>
      </c>
      <c r="L9" s="95">
        <f>IF(L$3&gt;='01_Вводные'!$B$248,'01_Вводные'!$B$134/'01_Вводные'!$B$132*(1+'01_Вводные'!$B$116)^MAX(0,YEAR(L$3)-YEAR('01_Вводные'!$B$248)+IF(MONTH(L$3)&gt;=9,1,0)-IF(MONTH('01_Вводные'!$B$248)&gt;=9,1,0)),0)</f>
        <v/>
      </c>
      <c r="M9" s="95">
        <f>IF(M$3&gt;='01_Вводные'!$B$248,'01_Вводные'!$B$134/'01_Вводные'!$B$132*(1+'01_Вводные'!$B$116)^MAX(0,YEAR(M$3)-YEAR('01_Вводные'!$B$248)+IF(MONTH(M$3)&gt;=9,1,0)-IF(MONTH('01_Вводные'!$B$248)&gt;=9,1,0)),0)</f>
        <v/>
      </c>
      <c r="N9" s="95">
        <f>IF(N$3&gt;='01_Вводные'!$B$248,'01_Вводные'!$B$134/'01_Вводные'!$B$132*(1+'01_Вводные'!$B$116)^MAX(0,YEAR(N$3)-YEAR('01_Вводные'!$B$248)+IF(MONTH(N$3)&gt;=9,1,0)-IF(MONTH('01_Вводные'!$B$248)&gt;=9,1,0)),0)</f>
        <v/>
      </c>
      <c r="O9" s="95">
        <f>IF(O$3&gt;='01_Вводные'!$B$248,'01_Вводные'!$B$134/'01_Вводные'!$B$132*(1+'01_Вводные'!$B$116)^MAX(0,YEAR(O$3)-YEAR('01_Вводные'!$B$248)+IF(MONTH(O$3)&gt;=9,1,0)-IF(MONTH('01_Вводные'!$B$248)&gt;=9,1,0)),0)</f>
        <v/>
      </c>
      <c r="P9" s="95">
        <f>IF(P$3&gt;='01_Вводные'!$B$248,'01_Вводные'!$B$134/'01_Вводные'!$B$132*(1+'01_Вводные'!$B$116)^MAX(0,YEAR(P$3)-YEAR('01_Вводные'!$B$248)+IF(MONTH(P$3)&gt;=9,1,0)-IF(MONTH('01_Вводные'!$B$248)&gt;=9,1,0)),0)</f>
        <v/>
      </c>
      <c r="Q9" s="95">
        <f>IF(Q$3&gt;='01_Вводные'!$B$248,'01_Вводные'!$B$134/'01_Вводные'!$B$132*(1+'01_Вводные'!$B$116)^MAX(0,YEAR(Q$3)-YEAR('01_Вводные'!$B$248)+IF(MONTH(Q$3)&gt;=9,1,0)-IF(MONTH('01_Вводные'!$B$248)&gt;=9,1,0)),0)</f>
        <v/>
      </c>
      <c r="R9" s="95">
        <f>IF(R$3&gt;='01_Вводные'!$B$248,'01_Вводные'!$B$134/'01_Вводные'!$B$132*(1+'01_Вводные'!$B$116)^MAX(0,YEAR(R$3)-YEAR('01_Вводные'!$B$248)+IF(MONTH(R$3)&gt;=9,1,0)-IF(MONTH('01_Вводные'!$B$248)&gt;=9,1,0)),0)</f>
        <v/>
      </c>
      <c r="S9" s="95">
        <f>IF(S$3&gt;='01_Вводные'!$B$248,'01_Вводные'!$B$134/'01_Вводные'!$B$132*(1+'01_Вводные'!$B$116)^MAX(0,YEAR(S$3)-YEAR('01_Вводные'!$B$248)+IF(MONTH(S$3)&gt;=9,1,0)-IF(MONTH('01_Вводные'!$B$248)&gt;=9,1,0)),0)</f>
        <v/>
      </c>
      <c r="T9" s="95">
        <f>IF(T$3&gt;='01_Вводные'!$B$248,'01_Вводные'!$B$134/'01_Вводные'!$B$132*(1+'01_Вводные'!$B$116)^MAX(0,YEAR(T$3)-YEAR('01_Вводные'!$B$248)+IF(MONTH(T$3)&gt;=9,1,0)-IF(MONTH('01_Вводные'!$B$248)&gt;=9,1,0)),0)</f>
        <v/>
      </c>
      <c r="U9" s="95">
        <f>IF(U$3&gt;='01_Вводные'!$B$248,'01_Вводные'!$B$134/'01_Вводные'!$B$132*(1+'01_Вводные'!$B$116)^MAX(0,YEAR(U$3)-YEAR('01_Вводные'!$B$248)+IF(MONTH(U$3)&gt;=9,1,0)-IF(MONTH('01_Вводные'!$B$248)&gt;=9,1,0)),0)</f>
        <v/>
      </c>
      <c r="V9" s="95">
        <f>IF(V$3&gt;='01_Вводные'!$B$248,'01_Вводные'!$B$134/'01_Вводные'!$B$132*(1+'01_Вводные'!$B$116)^MAX(0,YEAR(V$3)-YEAR('01_Вводные'!$B$248)+IF(MONTH(V$3)&gt;=9,1,0)-IF(MONTH('01_Вводные'!$B$248)&gt;=9,1,0)),0)</f>
        <v/>
      </c>
      <c r="W9" s="95">
        <f>IF(W$3&gt;='01_Вводные'!$B$248,'01_Вводные'!$B$134/'01_Вводные'!$B$132*(1+'01_Вводные'!$B$116)^MAX(0,YEAR(W$3)-YEAR('01_Вводные'!$B$248)+IF(MONTH(W$3)&gt;=9,1,0)-IF(MONTH('01_Вводные'!$B$248)&gt;=9,1,0)),0)</f>
        <v/>
      </c>
      <c r="X9" s="95">
        <f>IF(X$3&gt;='01_Вводные'!$B$248,'01_Вводные'!$B$134/'01_Вводные'!$B$132*(1+'01_Вводные'!$B$116)^MAX(0,YEAR(X$3)-YEAR('01_Вводные'!$B$248)+IF(MONTH(X$3)&gt;=9,1,0)-IF(MONTH('01_Вводные'!$B$248)&gt;=9,1,0)),0)</f>
        <v/>
      </c>
      <c r="Y9" s="95">
        <f>IF(Y$3&gt;='01_Вводные'!$B$248,'01_Вводные'!$B$134/'01_Вводные'!$B$132*(1+'01_Вводные'!$B$116)^MAX(0,YEAR(Y$3)-YEAR('01_Вводные'!$B$248)+IF(MONTH(Y$3)&gt;=9,1,0)-IF(MONTH('01_Вводные'!$B$248)&gt;=9,1,0)),0)</f>
        <v/>
      </c>
      <c r="Z9" s="95">
        <f>IF(Z$3&gt;='01_Вводные'!$B$248,'01_Вводные'!$B$134/'01_Вводные'!$B$132*(1+'01_Вводные'!$B$116)^MAX(0,YEAR(Z$3)-YEAR('01_Вводные'!$B$248)+IF(MONTH(Z$3)&gt;=9,1,0)-IF(MONTH('01_Вводные'!$B$248)&gt;=9,1,0)),0)</f>
        <v/>
      </c>
      <c r="AA9" s="95">
        <f>IF(AA$3&gt;='01_Вводные'!$B$248,'01_Вводные'!$B$134/'01_Вводные'!$B$132*(1+'01_Вводные'!$B$116)^MAX(0,YEAR(AA$3)-YEAR('01_Вводные'!$B$248)+IF(MONTH(AA$3)&gt;=9,1,0)-IF(MONTH('01_Вводные'!$B$248)&gt;=9,1,0)),0)</f>
        <v/>
      </c>
      <c r="AB9" s="95">
        <f>IF(AB$3&gt;='01_Вводные'!$B$248,'01_Вводные'!$B$134/'01_Вводные'!$B$132*(1+'01_Вводные'!$B$116)^MAX(0,YEAR(AB$3)-YEAR('01_Вводные'!$B$248)+IF(MONTH(AB$3)&gt;=9,1,0)-IF(MONTH('01_Вводные'!$B$248)&gt;=9,1,0)),0)</f>
        <v/>
      </c>
      <c r="AC9" s="95">
        <f>IF(AC$3&gt;='01_Вводные'!$B$248,'01_Вводные'!$B$134/'01_Вводные'!$B$132*(1+'01_Вводные'!$B$116)^MAX(0,YEAR(AC$3)-YEAR('01_Вводные'!$B$248)+IF(MONTH(AC$3)&gt;=9,1,0)-IF(MONTH('01_Вводные'!$B$248)&gt;=9,1,0)),0)</f>
        <v/>
      </c>
      <c r="AD9" s="95">
        <f>IF(AD$3&gt;='01_Вводные'!$B$248,'01_Вводные'!$B$134/'01_Вводные'!$B$132*(1+'01_Вводные'!$B$116)^MAX(0,YEAR(AD$3)-YEAR('01_Вводные'!$B$248)+IF(MONTH(AD$3)&gt;=9,1,0)-IF(MONTH('01_Вводные'!$B$248)&gt;=9,1,0)),0)</f>
        <v/>
      </c>
      <c r="AE9" s="95">
        <f>IF(AE$3&gt;='01_Вводные'!$B$248,'01_Вводные'!$B$134/'01_Вводные'!$B$132*(1+'01_Вводные'!$B$116)^MAX(0,YEAR(AE$3)-YEAR('01_Вводные'!$B$248)+IF(MONTH(AE$3)&gt;=9,1,0)-IF(MONTH('01_Вводные'!$B$248)&gt;=9,1,0)),0)</f>
        <v/>
      </c>
      <c r="AF9" s="95">
        <f>IF(AF$3&gt;='01_Вводные'!$B$248,'01_Вводные'!$B$134/'01_Вводные'!$B$132*(1+'01_Вводные'!$B$116)^MAX(0,YEAR(AF$3)-YEAR('01_Вводные'!$B$248)+IF(MONTH(AF$3)&gt;=9,1,0)-IF(MONTH('01_Вводные'!$B$248)&gt;=9,1,0)),0)</f>
        <v/>
      </c>
      <c r="AG9" s="95">
        <f>IF(AG$3&gt;='01_Вводные'!$B$248,'01_Вводные'!$B$134/'01_Вводные'!$B$132*(1+'01_Вводные'!$B$116)^MAX(0,YEAR(AG$3)-YEAR('01_Вводные'!$B$248)+IF(MONTH(AG$3)&gt;=9,1,0)-IF(MONTH('01_Вводные'!$B$248)&gt;=9,1,0)),0)</f>
        <v/>
      </c>
      <c r="AH9" s="95">
        <f>IF(AH$3&gt;='01_Вводные'!$B$248,'01_Вводные'!$B$134/'01_Вводные'!$B$132*(1+'01_Вводные'!$B$116)^MAX(0,YEAR(AH$3)-YEAR('01_Вводные'!$B$248)+IF(MONTH(AH$3)&gt;=9,1,0)-IF(MONTH('01_Вводные'!$B$248)&gt;=9,1,0)),0)</f>
        <v/>
      </c>
      <c r="AI9" s="95">
        <f>IF(AI$3&gt;='01_Вводные'!$B$248,'01_Вводные'!$B$134/'01_Вводные'!$B$132*(1+'01_Вводные'!$B$116)^MAX(0,YEAR(AI$3)-YEAR('01_Вводные'!$B$248)+IF(MONTH(AI$3)&gt;=9,1,0)-IF(MONTH('01_Вводные'!$B$248)&gt;=9,1,0)),0)</f>
        <v/>
      </c>
      <c r="AJ9" s="95">
        <f>IF(AJ$3&gt;='01_Вводные'!$B$248,'01_Вводные'!$B$134/'01_Вводные'!$B$132*(1+'01_Вводные'!$B$116)^MAX(0,YEAR(AJ$3)-YEAR('01_Вводные'!$B$248)+IF(MONTH(AJ$3)&gt;=9,1,0)-IF(MONTH('01_Вводные'!$B$248)&gt;=9,1,0)),0)</f>
        <v/>
      </c>
      <c r="AK9" s="95">
        <f>IF(AK$3&gt;='01_Вводные'!$B$248,'01_Вводные'!$B$134/'01_Вводные'!$B$132*(1+'01_Вводные'!$B$116)^MAX(0,YEAR(AK$3)-YEAR('01_Вводные'!$B$248)+IF(MONTH(AK$3)&gt;=9,1,0)-IF(MONTH('01_Вводные'!$B$248)&gt;=9,1,0)),0)</f>
        <v/>
      </c>
      <c r="AL9" s="95">
        <f>IF(AL$3&gt;='01_Вводные'!$B$248,'01_Вводные'!$B$134/'01_Вводные'!$B$132*(1+'01_Вводные'!$B$116)^MAX(0,YEAR(AL$3)-YEAR('01_Вводные'!$B$248)+IF(MONTH(AL$3)&gt;=9,1,0)-IF(MONTH('01_Вводные'!$B$248)&gt;=9,1,0)),0)</f>
        <v/>
      </c>
      <c r="AM9" s="95">
        <f>IF(AM$3&gt;='01_Вводные'!$B$248,'01_Вводные'!$B$134/'01_Вводные'!$B$132*(1+'01_Вводные'!$B$116)^MAX(0,YEAR(AM$3)-YEAR('01_Вводные'!$B$248)+IF(MONTH(AM$3)&gt;=9,1,0)-IF(MONTH('01_Вводные'!$B$248)&gt;=9,1,0)),0)</f>
        <v/>
      </c>
      <c r="AN9" s="95">
        <f>IF(AN$3&gt;='01_Вводные'!$B$248,'01_Вводные'!$B$134/'01_Вводные'!$B$132*(1+'01_Вводные'!$B$116)^MAX(0,YEAR(AN$3)-YEAR('01_Вводные'!$B$248)+IF(MONTH(AN$3)&gt;=9,1,0)-IF(MONTH('01_Вводные'!$B$248)&gt;=9,1,0)),0)</f>
        <v/>
      </c>
      <c r="AO9" s="95">
        <f>IF(AO$3&gt;='01_Вводные'!$B$248,'01_Вводные'!$B$134/'01_Вводные'!$B$132*(1+'01_Вводные'!$B$116)^MAX(0,YEAR(AO$3)-YEAR('01_Вводные'!$B$248)+IF(MONTH(AO$3)&gt;=9,1,0)-IF(MONTH('01_Вводные'!$B$248)&gt;=9,1,0)),0)</f>
        <v/>
      </c>
      <c r="AP9" s="95">
        <f>IF(AP$3&gt;='01_Вводные'!$B$248,'01_Вводные'!$B$134/'01_Вводные'!$B$132*(1+'01_Вводные'!$B$116)^MAX(0,YEAR(AP$3)-YEAR('01_Вводные'!$B$248)+IF(MONTH(AP$3)&gt;=9,1,0)-IF(MONTH('01_Вводные'!$B$248)&gt;=9,1,0)),0)</f>
        <v/>
      </c>
      <c r="AQ9" s="95">
        <f>IF(AQ$3&gt;='01_Вводные'!$B$248,'01_Вводные'!$B$134/'01_Вводные'!$B$132*(1+'01_Вводные'!$B$116)^MAX(0,YEAR(AQ$3)-YEAR('01_Вводные'!$B$248)+IF(MONTH(AQ$3)&gt;=9,1,0)-IF(MONTH('01_Вводные'!$B$248)&gt;=9,1,0)),0)</f>
        <v/>
      </c>
      <c r="AR9" s="95">
        <f>IF(AR$3&gt;='01_Вводные'!$B$248,'01_Вводные'!$B$134/'01_Вводные'!$B$132*(1+'01_Вводные'!$B$116)^MAX(0,YEAR(AR$3)-YEAR('01_Вводные'!$B$248)+IF(MONTH(AR$3)&gt;=9,1,0)-IF(MONTH('01_Вводные'!$B$248)&gt;=9,1,0)),0)</f>
        <v/>
      </c>
      <c r="AS9" s="95">
        <f>IF(AS$3&gt;='01_Вводные'!$B$248,'01_Вводные'!$B$134/'01_Вводные'!$B$132*(1+'01_Вводные'!$B$116)^MAX(0,YEAR(AS$3)-YEAR('01_Вводные'!$B$248)+IF(MONTH(AS$3)&gt;=9,1,0)-IF(MONTH('01_Вводные'!$B$248)&gt;=9,1,0)),0)</f>
        <v/>
      </c>
      <c r="AT9" s="95">
        <f>IF(AT$3&gt;='01_Вводные'!$B$248,'01_Вводные'!$B$134/'01_Вводные'!$B$132*(1+'01_Вводные'!$B$116)^MAX(0,YEAR(AT$3)-YEAR('01_Вводные'!$B$248)+IF(MONTH(AT$3)&gt;=9,1,0)-IF(MONTH('01_Вводные'!$B$248)&gt;=9,1,0)),0)</f>
        <v/>
      </c>
      <c r="AU9" s="95">
        <f>IF(AU$3&gt;='01_Вводные'!$B$248,'01_Вводные'!$B$134/'01_Вводные'!$B$132*(1+'01_Вводные'!$B$116)^MAX(0,YEAR(AU$3)-YEAR('01_Вводные'!$B$248)+IF(MONTH(AU$3)&gt;=9,1,0)-IF(MONTH('01_Вводные'!$B$248)&gt;=9,1,0)),0)</f>
        <v/>
      </c>
      <c r="AV9" s="95">
        <f>IF(AV$3&gt;='01_Вводные'!$B$248,'01_Вводные'!$B$134/'01_Вводные'!$B$132*(1+'01_Вводные'!$B$116)^MAX(0,YEAR(AV$3)-YEAR('01_Вводные'!$B$248)+IF(MONTH(AV$3)&gt;=9,1,0)-IF(MONTH('01_Вводные'!$B$248)&gt;=9,1,0)),0)</f>
        <v/>
      </c>
      <c r="AW9" s="95">
        <f>IF(AW$3&gt;='01_Вводные'!$B$248,'01_Вводные'!$B$134/'01_Вводные'!$B$132*(1+'01_Вводные'!$B$116)^MAX(0,YEAR(AW$3)-YEAR('01_Вводные'!$B$248)+IF(MONTH(AW$3)&gt;=9,1,0)-IF(MONTH('01_Вводные'!$B$248)&gt;=9,1,0)),0)</f>
        <v/>
      </c>
      <c r="AX9" s="95">
        <f>IF(AX$3&gt;='01_Вводные'!$B$248,'01_Вводные'!$B$134/'01_Вводные'!$B$132*(1+'01_Вводные'!$B$116)^MAX(0,YEAR(AX$3)-YEAR('01_Вводные'!$B$248)+IF(MONTH(AX$3)&gt;=9,1,0)-IF(MONTH('01_Вводные'!$B$248)&gt;=9,1,0)),0)</f>
        <v/>
      </c>
      <c r="AY9" s="95">
        <f>IF(AY$3&gt;='01_Вводные'!$B$248,'01_Вводные'!$B$134/'01_Вводные'!$B$132*(1+'01_Вводные'!$B$116)^MAX(0,YEAR(AY$3)-YEAR('01_Вводные'!$B$248)+IF(MONTH(AY$3)&gt;=9,1,0)-IF(MONTH('01_Вводные'!$B$248)&gt;=9,1,0)),0)</f>
        <v/>
      </c>
      <c r="AZ9" s="95">
        <f>IF(AZ$3&gt;='01_Вводные'!$B$248,'01_Вводные'!$B$134/'01_Вводные'!$B$132*(1+'01_Вводные'!$B$116)^MAX(0,YEAR(AZ$3)-YEAR('01_Вводные'!$B$248)+IF(MONTH(AZ$3)&gt;=9,1,0)-IF(MONTH('01_Вводные'!$B$248)&gt;=9,1,0)),0)</f>
        <v/>
      </c>
      <c r="BA9" s="95">
        <f>IF(BA$3&gt;='01_Вводные'!$B$248,'01_Вводные'!$B$134/'01_Вводные'!$B$132*(1+'01_Вводные'!$B$116)^MAX(0,YEAR(BA$3)-YEAR('01_Вводные'!$B$248)+IF(MONTH(BA$3)&gt;=9,1,0)-IF(MONTH('01_Вводные'!$B$248)&gt;=9,1,0)),0)</f>
        <v/>
      </c>
      <c r="BB9" s="95">
        <f>IF(BB$3&gt;='01_Вводные'!$B$248,'01_Вводные'!$B$134/'01_Вводные'!$B$132*(1+'01_Вводные'!$B$116)^MAX(0,YEAR(BB$3)-YEAR('01_Вводные'!$B$248)+IF(MONTH(BB$3)&gt;=9,1,0)-IF(MONTH('01_Вводные'!$B$248)&gt;=9,1,0)),0)</f>
        <v/>
      </c>
      <c r="BC9" s="95">
        <f>IF(BC$3&gt;='01_Вводные'!$B$248,'01_Вводные'!$B$134/'01_Вводные'!$B$132*(1+'01_Вводные'!$B$116)^MAX(0,YEAR(BC$3)-YEAR('01_Вводные'!$B$248)+IF(MONTH(BC$3)&gt;=9,1,0)-IF(MONTH('01_Вводные'!$B$248)&gt;=9,1,0)),0)</f>
        <v/>
      </c>
      <c r="BD9" s="95">
        <f>IF(BD$3&gt;='01_Вводные'!$B$248,'01_Вводные'!$B$134/'01_Вводные'!$B$132*(1+'01_Вводные'!$B$116)^MAX(0,YEAR(BD$3)-YEAR('01_Вводные'!$B$248)+IF(MONTH(BD$3)&gt;=9,1,0)-IF(MONTH('01_Вводные'!$B$248)&gt;=9,1,0)),0)</f>
        <v/>
      </c>
      <c r="BE9" s="95">
        <f>IF(BE$3&gt;='01_Вводные'!$B$248,'01_Вводные'!$B$134/'01_Вводные'!$B$132*(1+'01_Вводные'!$B$116)^MAX(0,YEAR(BE$3)-YEAR('01_Вводные'!$B$248)+IF(MONTH(BE$3)&gt;=9,1,0)-IF(MONTH('01_Вводные'!$B$248)&gt;=9,1,0)),0)</f>
        <v/>
      </c>
      <c r="BF9" s="95">
        <f>IF(BF$3&gt;='01_Вводные'!$B$248,'01_Вводные'!$B$134/'01_Вводные'!$B$132*(1+'01_Вводные'!$B$116)^MAX(0,YEAR(BF$3)-YEAR('01_Вводные'!$B$248)+IF(MONTH(BF$3)&gt;=9,1,0)-IF(MONTH('01_Вводные'!$B$248)&gt;=9,1,0)),0)</f>
        <v/>
      </c>
      <c r="BG9" s="95">
        <f>IF(BG$3&gt;='01_Вводные'!$B$248,'01_Вводные'!$B$134/'01_Вводные'!$B$132*(1+'01_Вводные'!$B$116)^MAX(0,YEAR(BG$3)-YEAR('01_Вводные'!$B$248)+IF(MONTH(BG$3)&gt;=9,1,0)-IF(MONTH('01_Вводные'!$B$248)&gt;=9,1,0)),0)</f>
        <v/>
      </c>
      <c r="BH9" s="95">
        <f>IF(BH$3&gt;='01_Вводные'!$B$248,'01_Вводные'!$B$134/'01_Вводные'!$B$132*(1+'01_Вводные'!$B$116)^MAX(0,YEAR(BH$3)-YEAR('01_Вводные'!$B$248)+IF(MONTH(BH$3)&gt;=9,1,0)-IF(MONTH('01_Вводные'!$B$248)&gt;=9,1,0)),0)</f>
        <v/>
      </c>
      <c r="BI9" s="95">
        <f>IF(BI$3&gt;='01_Вводные'!$B$248,'01_Вводные'!$B$134/'01_Вводные'!$B$132*(1+'01_Вводные'!$B$116)^MAX(0,YEAR(BI$3)-YEAR('01_Вводные'!$B$248)+IF(MONTH(BI$3)&gt;=9,1,0)-IF(MONTH('01_Вводные'!$B$248)&gt;=9,1,0)),0)</f>
        <v/>
      </c>
    </row>
    <row r="10">
      <c r="A10" s="2" t="inlineStr">
        <is>
          <t>Доп. менеджеры развития — количество</t>
        </is>
      </c>
      <c r="B10" s="124">
        <f>MAX(0,MAX('01_Вводные'!$B$118,INT('02_Модель'!B13/'01_Вводные'!$B$117)+1)-'01_Вводные'!$B$118)</f>
        <v/>
      </c>
      <c r="C10" s="124">
        <f>MAX(0,MAX('01_Вводные'!$B$118,INT('02_Модель'!C13/'01_Вводные'!$B$117)+1)-'01_Вводные'!$B$118)</f>
        <v/>
      </c>
      <c r="D10" s="124">
        <f>MAX(0,MAX('01_Вводные'!$B$118,INT('02_Модель'!D13/'01_Вводные'!$B$117)+1)-'01_Вводные'!$B$118)</f>
        <v/>
      </c>
      <c r="E10" s="124">
        <f>MAX(0,MAX('01_Вводные'!$B$118,INT('02_Модель'!E13/'01_Вводные'!$B$117)+1)-'01_Вводные'!$B$118)</f>
        <v/>
      </c>
      <c r="F10" s="124">
        <f>MAX(0,MAX('01_Вводные'!$B$118,INT('02_Модель'!F13/'01_Вводные'!$B$117)+1)-'01_Вводные'!$B$118)</f>
        <v/>
      </c>
      <c r="G10" s="124">
        <f>MAX(0,MAX('01_Вводные'!$B$118,INT('02_Модель'!G13/'01_Вводные'!$B$117)+1)-'01_Вводные'!$B$118)</f>
        <v/>
      </c>
      <c r="H10" s="124">
        <f>MAX(0,MAX('01_Вводные'!$B$118,INT('02_Модель'!H13/'01_Вводные'!$B$117)+1)-'01_Вводные'!$B$118)</f>
        <v/>
      </c>
      <c r="I10" s="124">
        <f>MAX(0,MAX('01_Вводные'!$B$118,INT('02_Модель'!I13/'01_Вводные'!$B$117)+1)-'01_Вводные'!$B$118)</f>
        <v/>
      </c>
      <c r="J10" s="124">
        <f>MAX(0,MAX('01_Вводные'!$B$118,INT('02_Модель'!J13/'01_Вводные'!$B$117)+1)-'01_Вводные'!$B$118)</f>
        <v/>
      </c>
      <c r="K10" s="124">
        <f>MAX(0,MAX('01_Вводные'!$B$118,INT('02_Модель'!K13/'01_Вводные'!$B$117)+1)-'01_Вводные'!$B$118)</f>
        <v/>
      </c>
      <c r="L10" s="124">
        <f>MAX(0,MAX('01_Вводные'!$B$118,INT('02_Модель'!L13/'01_Вводные'!$B$117)+1)-'01_Вводные'!$B$118)</f>
        <v/>
      </c>
      <c r="M10" s="124">
        <f>MAX(0,MAX('01_Вводные'!$B$118,INT('02_Модель'!M13/'01_Вводные'!$B$117)+1)-'01_Вводные'!$B$118)</f>
        <v/>
      </c>
      <c r="N10" s="124">
        <f>MAX(0,MAX('01_Вводные'!$B$118,INT('02_Модель'!N13/'01_Вводные'!$B$117)+1)-'01_Вводные'!$B$118)</f>
        <v/>
      </c>
      <c r="O10" s="124">
        <f>MAX(0,MAX('01_Вводные'!$B$118,INT('02_Модель'!O13/'01_Вводные'!$B$117)+1)-'01_Вводные'!$B$118)</f>
        <v/>
      </c>
      <c r="P10" s="124">
        <f>MAX(0,MAX('01_Вводные'!$B$118,INT('02_Модель'!P13/'01_Вводные'!$B$117)+1)-'01_Вводные'!$B$118)</f>
        <v/>
      </c>
      <c r="Q10" s="124">
        <f>MAX(0,MAX('01_Вводные'!$B$118,INT('02_Модель'!Q13/'01_Вводные'!$B$117)+1)-'01_Вводные'!$B$118)</f>
        <v/>
      </c>
      <c r="R10" s="124">
        <f>MAX(0,MAX('01_Вводные'!$B$118,INT('02_Модель'!R13/'01_Вводные'!$B$117)+1)-'01_Вводные'!$B$118)</f>
        <v/>
      </c>
      <c r="S10" s="124">
        <f>MAX(0,MAX('01_Вводные'!$B$118,INT('02_Модель'!S13/'01_Вводные'!$B$117)+1)-'01_Вводные'!$B$118)</f>
        <v/>
      </c>
      <c r="T10" s="124">
        <f>MAX(0,MAX('01_Вводные'!$B$118,INT('02_Модель'!T13/'01_Вводные'!$B$117)+1)-'01_Вводные'!$B$118)</f>
        <v/>
      </c>
      <c r="U10" s="124">
        <f>MAX(0,MAX('01_Вводные'!$B$118,INT('02_Модель'!U13/'01_Вводные'!$B$117)+1)-'01_Вводные'!$B$118)</f>
        <v/>
      </c>
      <c r="V10" s="124">
        <f>MAX(0,MAX('01_Вводные'!$B$118,INT('02_Модель'!V13/'01_Вводные'!$B$117)+1)-'01_Вводные'!$B$118)</f>
        <v/>
      </c>
      <c r="W10" s="124">
        <f>MAX(0,MAX('01_Вводные'!$B$118,INT('02_Модель'!W13/'01_Вводные'!$B$117)+1)-'01_Вводные'!$B$118)</f>
        <v/>
      </c>
      <c r="X10" s="124">
        <f>MAX(0,MAX('01_Вводные'!$B$118,INT('02_Модель'!X13/'01_Вводные'!$B$117)+1)-'01_Вводные'!$B$118)</f>
        <v/>
      </c>
      <c r="Y10" s="124">
        <f>MAX(0,MAX('01_Вводные'!$B$118,INT('02_Модель'!Y13/'01_Вводные'!$B$117)+1)-'01_Вводные'!$B$118)</f>
        <v/>
      </c>
      <c r="Z10" s="124">
        <f>MAX(0,MAX('01_Вводные'!$B$118,INT('02_Модель'!Z13/'01_Вводные'!$B$117)+1)-'01_Вводные'!$B$118)</f>
        <v/>
      </c>
      <c r="AA10" s="124">
        <f>MAX(0,MAX('01_Вводные'!$B$118,INT('02_Модель'!AA13/'01_Вводные'!$B$117)+1)-'01_Вводные'!$B$118)</f>
        <v/>
      </c>
      <c r="AB10" s="124">
        <f>MAX(0,MAX('01_Вводные'!$B$118,INT('02_Модель'!AB13/'01_Вводные'!$B$117)+1)-'01_Вводные'!$B$118)</f>
        <v/>
      </c>
      <c r="AC10" s="124">
        <f>MAX(0,MAX('01_Вводные'!$B$118,INT('02_Модель'!AC13/'01_Вводные'!$B$117)+1)-'01_Вводные'!$B$118)</f>
        <v/>
      </c>
      <c r="AD10" s="124">
        <f>MAX(0,MAX('01_Вводные'!$B$118,INT('02_Модель'!AD13/'01_Вводные'!$B$117)+1)-'01_Вводные'!$B$118)</f>
        <v/>
      </c>
      <c r="AE10" s="124">
        <f>MAX(0,MAX('01_Вводные'!$B$118,INT('02_Модель'!AE13/'01_Вводные'!$B$117)+1)-'01_Вводные'!$B$118)</f>
        <v/>
      </c>
      <c r="AF10" s="124">
        <f>MAX(0,MAX('01_Вводные'!$B$118,INT('02_Модель'!AF13/'01_Вводные'!$B$117)+1)-'01_Вводные'!$B$118)</f>
        <v/>
      </c>
      <c r="AG10" s="124">
        <f>MAX(0,MAX('01_Вводные'!$B$118,INT('02_Модель'!AG13/'01_Вводные'!$B$117)+1)-'01_Вводные'!$B$118)</f>
        <v/>
      </c>
      <c r="AH10" s="124">
        <f>MAX(0,MAX('01_Вводные'!$B$118,INT('02_Модель'!AH13/'01_Вводные'!$B$117)+1)-'01_Вводные'!$B$118)</f>
        <v/>
      </c>
      <c r="AI10" s="124">
        <f>MAX(0,MAX('01_Вводные'!$B$118,INT('02_Модель'!AI13/'01_Вводные'!$B$117)+1)-'01_Вводные'!$B$118)</f>
        <v/>
      </c>
      <c r="AJ10" s="124">
        <f>MAX(0,MAX('01_Вводные'!$B$118,INT('02_Модель'!AJ13/'01_Вводные'!$B$117)+1)-'01_Вводные'!$B$118)</f>
        <v/>
      </c>
      <c r="AK10" s="124">
        <f>MAX(0,MAX('01_Вводные'!$B$118,INT('02_Модель'!AK13/'01_Вводные'!$B$117)+1)-'01_Вводные'!$B$118)</f>
        <v/>
      </c>
      <c r="AL10" s="124">
        <f>MAX(0,MAX('01_Вводные'!$B$118,INT('02_Модель'!AL13/'01_Вводные'!$B$117)+1)-'01_Вводные'!$B$118)</f>
        <v/>
      </c>
      <c r="AM10" s="124">
        <f>MAX(0,MAX('01_Вводные'!$B$118,INT('02_Модель'!AM13/'01_Вводные'!$B$117)+1)-'01_Вводные'!$B$118)</f>
        <v/>
      </c>
      <c r="AN10" s="124">
        <f>MAX(0,MAX('01_Вводные'!$B$118,INT('02_Модель'!AN13/'01_Вводные'!$B$117)+1)-'01_Вводные'!$B$118)</f>
        <v/>
      </c>
      <c r="AO10" s="124">
        <f>MAX(0,MAX('01_Вводные'!$B$118,INT('02_Модель'!AO13/'01_Вводные'!$B$117)+1)-'01_Вводные'!$B$118)</f>
        <v/>
      </c>
      <c r="AP10" s="124">
        <f>MAX(0,MAX('01_Вводные'!$B$118,INT('02_Модель'!AP13/'01_Вводные'!$B$117)+1)-'01_Вводные'!$B$118)</f>
        <v/>
      </c>
      <c r="AQ10" s="124">
        <f>MAX(0,MAX('01_Вводные'!$B$118,INT('02_Модель'!AQ13/'01_Вводные'!$B$117)+1)-'01_Вводные'!$B$118)</f>
        <v/>
      </c>
      <c r="AR10" s="124">
        <f>MAX(0,MAX('01_Вводные'!$B$118,INT('02_Модель'!AR13/'01_Вводные'!$B$117)+1)-'01_Вводные'!$B$118)</f>
        <v/>
      </c>
      <c r="AS10" s="124">
        <f>MAX(0,MAX('01_Вводные'!$B$118,INT('02_Модель'!AS13/'01_Вводные'!$B$117)+1)-'01_Вводные'!$B$118)</f>
        <v/>
      </c>
      <c r="AT10" s="124">
        <f>MAX(0,MAX('01_Вводные'!$B$118,INT('02_Модель'!AT13/'01_Вводные'!$B$117)+1)-'01_Вводные'!$B$118)</f>
        <v/>
      </c>
      <c r="AU10" s="124">
        <f>MAX(0,MAX('01_Вводные'!$B$118,INT('02_Модель'!AU13/'01_Вводные'!$B$117)+1)-'01_Вводные'!$B$118)</f>
        <v/>
      </c>
      <c r="AV10" s="124">
        <f>MAX(0,MAX('01_Вводные'!$B$118,INT('02_Модель'!AV13/'01_Вводные'!$B$117)+1)-'01_Вводные'!$B$118)</f>
        <v/>
      </c>
      <c r="AW10" s="124">
        <f>MAX(0,MAX('01_Вводные'!$B$118,INT('02_Модель'!AW13/'01_Вводные'!$B$117)+1)-'01_Вводные'!$B$118)</f>
        <v/>
      </c>
      <c r="AX10" s="124">
        <f>MAX(0,MAX('01_Вводные'!$B$118,INT('02_Модель'!AX13/'01_Вводные'!$B$117)+1)-'01_Вводные'!$B$118)</f>
        <v/>
      </c>
      <c r="AY10" s="124">
        <f>MAX(0,MAX('01_Вводные'!$B$118,INT('02_Модель'!AY13/'01_Вводные'!$B$117)+1)-'01_Вводные'!$B$118)</f>
        <v/>
      </c>
      <c r="AZ10" s="124">
        <f>MAX(0,MAX('01_Вводные'!$B$118,INT('02_Модель'!AZ13/'01_Вводные'!$B$117)+1)-'01_Вводные'!$B$118)</f>
        <v/>
      </c>
      <c r="BA10" s="124">
        <f>MAX(0,MAX('01_Вводные'!$B$118,INT('02_Модель'!BA13/'01_Вводные'!$B$117)+1)-'01_Вводные'!$B$118)</f>
        <v/>
      </c>
      <c r="BB10" s="124">
        <f>MAX(0,MAX('01_Вводные'!$B$118,INT('02_Модель'!BB13/'01_Вводные'!$B$117)+1)-'01_Вводные'!$B$118)</f>
        <v/>
      </c>
      <c r="BC10" s="124">
        <f>MAX(0,MAX('01_Вводные'!$B$118,INT('02_Модель'!BC13/'01_Вводные'!$B$117)+1)-'01_Вводные'!$B$118)</f>
        <v/>
      </c>
      <c r="BD10" s="124">
        <f>MAX(0,MAX('01_Вводные'!$B$118,INT('02_Модель'!BD13/'01_Вводные'!$B$117)+1)-'01_Вводные'!$B$118)</f>
        <v/>
      </c>
      <c r="BE10" s="124">
        <f>MAX(0,MAX('01_Вводные'!$B$118,INT('02_Модель'!BE13/'01_Вводные'!$B$117)+1)-'01_Вводные'!$B$118)</f>
        <v/>
      </c>
      <c r="BF10" s="124">
        <f>MAX(0,MAX('01_Вводные'!$B$118,INT('02_Модель'!BF13/'01_Вводные'!$B$117)+1)-'01_Вводные'!$B$118)</f>
        <v/>
      </c>
      <c r="BG10" s="124">
        <f>MAX(0,MAX('01_Вводные'!$B$118,INT('02_Модель'!BG13/'01_Вводные'!$B$117)+1)-'01_Вводные'!$B$118)</f>
        <v/>
      </c>
      <c r="BH10" s="124">
        <f>MAX(0,MAX('01_Вводные'!$B$118,INT('02_Модель'!BH13/'01_Вводные'!$B$117)+1)-'01_Вводные'!$B$118)</f>
        <v/>
      </c>
      <c r="BI10" s="124">
        <f>MAX(0,MAX('01_Вводные'!$B$118,INT('02_Модель'!BI13/'01_Вводные'!$B$117)+1)-'01_Вводные'!$B$118)</f>
        <v/>
      </c>
    </row>
    <row r="11">
      <c r="A11" s="2" t="inlineStr">
        <is>
          <t>Доп. менеджеры развития — gross</t>
        </is>
      </c>
      <c r="B11" s="42">
        <f>B10*'01_Вводные'!$B$119*B5</f>
        <v/>
      </c>
      <c r="C11" s="42">
        <f>C10*'01_Вводные'!$B$119*C5</f>
        <v/>
      </c>
      <c r="D11" s="42">
        <f>D10*'01_Вводные'!$B$119*D5</f>
        <v/>
      </c>
      <c r="E11" s="42">
        <f>E10*'01_Вводные'!$B$119*E5</f>
        <v/>
      </c>
      <c r="F11" s="42">
        <f>F10*'01_Вводные'!$B$119*F5</f>
        <v/>
      </c>
      <c r="G11" s="42">
        <f>G10*'01_Вводные'!$B$119*G5</f>
        <v/>
      </c>
      <c r="H11" s="42">
        <f>H10*'01_Вводные'!$B$119*H5</f>
        <v/>
      </c>
      <c r="I11" s="42">
        <f>I10*'01_Вводные'!$B$119*I5</f>
        <v/>
      </c>
      <c r="J11" s="42">
        <f>J10*'01_Вводные'!$B$119*J5</f>
        <v/>
      </c>
      <c r="K11" s="42">
        <f>K10*'01_Вводные'!$B$119*K5</f>
        <v/>
      </c>
      <c r="L11" s="42">
        <f>L10*'01_Вводные'!$B$119*L5</f>
        <v/>
      </c>
      <c r="M11" s="42">
        <f>M10*'01_Вводные'!$B$119*M5</f>
        <v/>
      </c>
      <c r="N11" s="42">
        <f>N10*'01_Вводные'!$B$119*N5</f>
        <v/>
      </c>
      <c r="O11" s="42">
        <f>O10*'01_Вводные'!$B$119*O5</f>
        <v/>
      </c>
      <c r="P11" s="42">
        <f>P10*'01_Вводные'!$B$119*P5</f>
        <v/>
      </c>
      <c r="Q11" s="42">
        <f>Q10*'01_Вводные'!$B$119*Q5</f>
        <v/>
      </c>
      <c r="R11" s="42">
        <f>R10*'01_Вводные'!$B$119*R5</f>
        <v/>
      </c>
      <c r="S11" s="42">
        <f>S10*'01_Вводные'!$B$119*S5</f>
        <v/>
      </c>
      <c r="T11" s="42">
        <f>T10*'01_Вводные'!$B$119*T5</f>
        <v/>
      </c>
      <c r="U11" s="42">
        <f>U10*'01_Вводные'!$B$119*U5</f>
        <v/>
      </c>
      <c r="V11" s="42">
        <f>V10*'01_Вводные'!$B$119*V5</f>
        <v/>
      </c>
      <c r="W11" s="42">
        <f>W10*'01_Вводные'!$B$119*W5</f>
        <v/>
      </c>
      <c r="X11" s="42">
        <f>X10*'01_Вводные'!$B$119*X5</f>
        <v/>
      </c>
      <c r="Y11" s="42">
        <f>Y10*'01_Вводные'!$B$119*Y5</f>
        <v/>
      </c>
      <c r="Z11" s="42">
        <f>Z10*'01_Вводные'!$B$119*Z5</f>
        <v/>
      </c>
      <c r="AA11" s="42">
        <f>AA10*'01_Вводные'!$B$119*AA5</f>
        <v/>
      </c>
      <c r="AB11" s="42">
        <f>AB10*'01_Вводные'!$B$119*AB5</f>
        <v/>
      </c>
      <c r="AC11" s="42">
        <f>AC10*'01_Вводные'!$B$119*AC5</f>
        <v/>
      </c>
      <c r="AD11" s="42">
        <f>AD10*'01_Вводные'!$B$119*AD5</f>
        <v/>
      </c>
      <c r="AE11" s="42">
        <f>AE10*'01_Вводные'!$B$119*AE5</f>
        <v/>
      </c>
      <c r="AF11" s="42">
        <f>AF10*'01_Вводные'!$B$119*AF5</f>
        <v/>
      </c>
      <c r="AG11" s="42">
        <f>AG10*'01_Вводные'!$B$119*AG5</f>
        <v/>
      </c>
      <c r="AH11" s="42">
        <f>AH10*'01_Вводные'!$B$119*AH5</f>
        <v/>
      </c>
      <c r="AI11" s="42">
        <f>AI10*'01_Вводные'!$B$119*AI5</f>
        <v/>
      </c>
      <c r="AJ11" s="42">
        <f>AJ10*'01_Вводные'!$B$119*AJ5</f>
        <v/>
      </c>
      <c r="AK11" s="42">
        <f>AK10*'01_Вводные'!$B$119*AK5</f>
        <v/>
      </c>
      <c r="AL11" s="42">
        <f>AL10*'01_Вводные'!$B$119*AL5</f>
        <v/>
      </c>
      <c r="AM11" s="42">
        <f>AM10*'01_Вводные'!$B$119*AM5</f>
        <v/>
      </c>
      <c r="AN11" s="42">
        <f>AN10*'01_Вводные'!$B$119*AN5</f>
        <v/>
      </c>
      <c r="AO11" s="42">
        <f>AO10*'01_Вводные'!$B$119*AO5</f>
        <v/>
      </c>
      <c r="AP11" s="42">
        <f>AP10*'01_Вводные'!$B$119*AP5</f>
        <v/>
      </c>
      <c r="AQ11" s="42">
        <f>AQ10*'01_Вводные'!$B$119*AQ5</f>
        <v/>
      </c>
      <c r="AR11" s="42">
        <f>AR10*'01_Вводные'!$B$119*AR5</f>
        <v/>
      </c>
      <c r="AS11" s="42">
        <f>AS10*'01_Вводные'!$B$119*AS5</f>
        <v/>
      </c>
      <c r="AT11" s="42">
        <f>AT10*'01_Вводные'!$B$119*AT5</f>
        <v/>
      </c>
      <c r="AU11" s="42">
        <f>AU10*'01_Вводные'!$B$119*AU5</f>
        <v/>
      </c>
      <c r="AV11" s="42">
        <f>AV10*'01_Вводные'!$B$119*AV5</f>
        <v/>
      </c>
      <c r="AW11" s="42">
        <f>AW10*'01_Вводные'!$B$119*AW5</f>
        <v/>
      </c>
      <c r="AX11" s="42">
        <f>AX10*'01_Вводные'!$B$119*AX5</f>
        <v/>
      </c>
      <c r="AY11" s="42">
        <f>AY10*'01_Вводные'!$B$119*AY5</f>
        <v/>
      </c>
      <c r="AZ11" s="42">
        <f>AZ10*'01_Вводные'!$B$119*AZ5</f>
        <v/>
      </c>
      <c r="BA11" s="42">
        <f>BA10*'01_Вводные'!$B$119*BA5</f>
        <v/>
      </c>
      <c r="BB11" s="42">
        <f>BB10*'01_Вводные'!$B$119*BB5</f>
        <v/>
      </c>
      <c r="BC11" s="42">
        <f>BC10*'01_Вводные'!$B$119*BC5</f>
        <v/>
      </c>
      <c r="BD11" s="42">
        <f>BD10*'01_Вводные'!$B$119*BD5</f>
        <v/>
      </c>
      <c r="BE11" s="42">
        <f>BE10*'01_Вводные'!$B$119*BE5</f>
        <v/>
      </c>
      <c r="BF11" s="42">
        <f>BF10*'01_Вводные'!$B$119*BF5</f>
        <v/>
      </c>
      <c r="BG11" s="42">
        <f>BG10*'01_Вводные'!$B$119*BG5</f>
        <v/>
      </c>
      <c r="BH11" s="42">
        <f>BH10*'01_Вводные'!$B$119*BH5</f>
        <v/>
      </c>
      <c r="BI11" s="42">
        <f>BI10*'01_Вводные'!$B$119*BI5</f>
        <v/>
      </c>
    </row>
    <row r="12">
      <c r="A12" s="2" t="inlineStr">
        <is>
          <t>Всего оклады gross</t>
        </is>
      </c>
      <c r="B12" s="42">
        <f>SUM(B7:B9,B11)</f>
        <v/>
      </c>
      <c r="C12" s="42">
        <f>SUM(C7:C9,C11)</f>
        <v/>
      </c>
      <c r="D12" s="42">
        <f>SUM(D7:D9,D11)</f>
        <v/>
      </c>
      <c r="E12" s="42">
        <f>SUM(E7:E9,E11)</f>
        <v/>
      </c>
      <c r="F12" s="42">
        <f>SUM(F7:F9,F11)</f>
        <v/>
      </c>
      <c r="G12" s="42">
        <f>SUM(G7:G9,G11)</f>
        <v/>
      </c>
      <c r="H12" s="42">
        <f>SUM(H7:H9,H11)</f>
        <v/>
      </c>
      <c r="I12" s="42">
        <f>SUM(I7:I9,I11)</f>
        <v/>
      </c>
      <c r="J12" s="42">
        <f>SUM(J7:J9,J11)</f>
        <v/>
      </c>
      <c r="K12" s="42">
        <f>SUM(K7:K9,K11)</f>
        <v/>
      </c>
      <c r="L12" s="42">
        <f>SUM(L7:L9,L11)</f>
        <v/>
      </c>
      <c r="M12" s="42">
        <f>SUM(M7:M9,M11)</f>
        <v/>
      </c>
      <c r="N12" s="42">
        <f>SUM(N7:N9,N11)</f>
        <v/>
      </c>
      <c r="O12" s="42">
        <f>SUM(O7:O9,O11)</f>
        <v/>
      </c>
      <c r="P12" s="42">
        <f>SUM(P7:P9,P11)</f>
        <v/>
      </c>
      <c r="Q12" s="42">
        <f>SUM(Q7:Q9,Q11)</f>
        <v/>
      </c>
      <c r="R12" s="42">
        <f>SUM(R7:R9,R11)</f>
        <v/>
      </c>
      <c r="S12" s="42">
        <f>SUM(S7:S9,S11)</f>
        <v/>
      </c>
      <c r="T12" s="42">
        <f>SUM(T7:T9,T11)</f>
        <v/>
      </c>
      <c r="U12" s="42">
        <f>SUM(U7:U9,U11)</f>
        <v/>
      </c>
      <c r="V12" s="42">
        <f>SUM(V7:V9,V11)</f>
        <v/>
      </c>
      <c r="W12" s="42">
        <f>SUM(W7:W9,W11)</f>
        <v/>
      </c>
      <c r="X12" s="42">
        <f>SUM(X7:X9,X11)</f>
        <v/>
      </c>
      <c r="Y12" s="42">
        <f>SUM(Y7:Y9,Y11)</f>
        <v/>
      </c>
      <c r="Z12" s="42">
        <f>SUM(Z7:Z9,Z11)</f>
        <v/>
      </c>
      <c r="AA12" s="42">
        <f>SUM(AA7:AA9,AA11)</f>
        <v/>
      </c>
      <c r="AB12" s="42">
        <f>SUM(AB7:AB9,AB11)</f>
        <v/>
      </c>
      <c r="AC12" s="42">
        <f>SUM(AC7:AC9,AC11)</f>
        <v/>
      </c>
      <c r="AD12" s="42">
        <f>SUM(AD7:AD9,AD11)</f>
        <v/>
      </c>
      <c r="AE12" s="42">
        <f>SUM(AE7:AE9,AE11)</f>
        <v/>
      </c>
      <c r="AF12" s="42">
        <f>SUM(AF7:AF9,AF11)</f>
        <v/>
      </c>
      <c r="AG12" s="42">
        <f>SUM(AG7:AG9,AG11)</f>
        <v/>
      </c>
      <c r="AH12" s="42">
        <f>SUM(AH7:AH9,AH11)</f>
        <v/>
      </c>
      <c r="AI12" s="42">
        <f>SUM(AI7:AI9,AI11)</f>
        <v/>
      </c>
      <c r="AJ12" s="42">
        <f>SUM(AJ7:AJ9,AJ11)</f>
        <v/>
      </c>
      <c r="AK12" s="42">
        <f>SUM(AK7:AK9,AK11)</f>
        <v/>
      </c>
      <c r="AL12" s="42">
        <f>SUM(AL7:AL9,AL11)</f>
        <v/>
      </c>
      <c r="AM12" s="42">
        <f>SUM(AM7:AM9,AM11)</f>
        <v/>
      </c>
      <c r="AN12" s="42">
        <f>SUM(AN7:AN9,AN11)</f>
        <v/>
      </c>
      <c r="AO12" s="42">
        <f>SUM(AO7:AO9,AO11)</f>
        <v/>
      </c>
      <c r="AP12" s="42">
        <f>SUM(AP7:AP9,AP11)</f>
        <v/>
      </c>
      <c r="AQ12" s="42">
        <f>SUM(AQ7:AQ9,AQ11)</f>
        <v/>
      </c>
      <c r="AR12" s="42">
        <f>SUM(AR7:AR9,AR11)</f>
        <v/>
      </c>
      <c r="AS12" s="42">
        <f>SUM(AS7:AS9,AS11)</f>
        <v/>
      </c>
      <c r="AT12" s="42">
        <f>SUM(AT7:AT9,AT11)</f>
        <v/>
      </c>
      <c r="AU12" s="42">
        <f>SUM(AU7:AU9,AU11)</f>
        <v/>
      </c>
      <c r="AV12" s="42">
        <f>SUM(AV7:AV9,AV11)</f>
        <v/>
      </c>
      <c r="AW12" s="42">
        <f>SUM(AW7:AW9,AW11)</f>
        <v/>
      </c>
      <c r="AX12" s="42">
        <f>SUM(AX7:AX9,AX11)</f>
        <v/>
      </c>
      <c r="AY12" s="42">
        <f>SUM(AY7:AY9,AY11)</f>
        <v/>
      </c>
      <c r="AZ12" s="42">
        <f>SUM(AZ7:AZ9,AZ11)</f>
        <v/>
      </c>
      <c r="BA12" s="42">
        <f>SUM(BA7:BA9,BA11)</f>
        <v/>
      </c>
      <c r="BB12" s="42">
        <f>SUM(BB7:BB9,BB11)</f>
        <v/>
      </c>
      <c r="BC12" s="42">
        <f>SUM(BC7:BC9,BC11)</f>
        <v/>
      </c>
      <c r="BD12" s="42">
        <f>SUM(BD7:BD9,BD11)</f>
        <v/>
      </c>
      <c r="BE12" s="42">
        <f>SUM(BE7:BE9,BE11)</f>
        <v/>
      </c>
      <c r="BF12" s="42">
        <f>SUM(BF7:BF9,BF11)</f>
        <v/>
      </c>
      <c r="BG12" s="42">
        <f>SUM(BG7:BG9,BG11)</f>
        <v/>
      </c>
      <c r="BH12" s="42">
        <f>SUM(BH7:BH9,BH11)</f>
        <v/>
      </c>
      <c r="BI12" s="42">
        <f>SUM(BI7:BI9,BI11)</f>
        <v/>
      </c>
    </row>
    <row r="13">
      <c r="A13" s="2" t="inlineStr">
        <is>
          <t>Страховые взносы на оклады</t>
        </is>
      </c>
      <c r="B13" s="42">
        <f>B12*'01_Вводные'!$B$131</f>
        <v/>
      </c>
      <c r="C13" s="42">
        <f>C12*'01_Вводные'!$B$131</f>
        <v/>
      </c>
      <c r="D13" s="42">
        <f>D12*'01_Вводные'!$B$131</f>
        <v/>
      </c>
      <c r="E13" s="42">
        <f>E12*'01_Вводные'!$B$131</f>
        <v/>
      </c>
      <c r="F13" s="42">
        <f>F12*'01_Вводные'!$B$131</f>
        <v/>
      </c>
      <c r="G13" s="42">
        <f>G12*'01_Вводные'!$B$131</f>
        <v/>
      </c>
      <c r="H13" s="42">
        <f>H12*'01_Вводные'!$B$131</f>
        <v/>
      </c>
      <c r="I13" s="42">
        <f>I12*'01_Вводные'!$B$131</f>
        <v/>
      </c>
      <c r="J13" s="42">
        <f>J12*'01_Вводные'!$B$131</f>
        <v/>
      </c>
      <c r="K13" s="42">
        <f>K12*'01_Вводные'!$B$131</f>
        <v/>
      </c>
      <c r="L13" s="42">
        <f>L12*'01_Вводные'!$B$131</f>
        <v/>
      </c>
      <c r="M13" s="42">
        <f>M12*'01_Вводные'!$B$131</f>
        <v/>
      </c>
      <c r="N13" s="42">
        <f>N12*'01_Вводные'!$B$131</f>
        <v/>
      </c>
      <c r="O13" s="42">
        <f>O12*'01_Вводные'!$B$131</f>
        <v/>
      </c>
      <c r="P13" s="42">
        <f>P12*'01_Вводные'!$B$131</f>
        <v/>
      </c>
      <c r="Q13" s="42">
        <f>Q12*'01_Вводные'!$B$131</f>
        <v/>
      </c>
      <c r="R13" s="42">
        <f>R12*'01_Вводные'!$B$131</f>
        <v/>
      </c>
      <c r="S13" s="42">
        <f>S12*'01_Вводные'!$B$131</f>
        <v/>
      </c>
      <c r="T13" s="42">
        <f>T12*'01_Вводные'!$B$131</f>
        <v/>
      </c>
      <c r="U13" s="42">
        <f>U12*'01_Вводные'!$B$131</f>
        <v/>
      </c>
      <c r="V13" s="42">
        <f>V12*'01_Вводные'!$B$131</f>
        <v/>
      </c>
      <c r="W13" s="42">
        <f>W12*'01_Вводные'!$B$131</f>
        <v/>
      </c>
      <c r="X13" s="42">
        <f>X12*'01_Вводные'!$B$131</f>
        <v/>
      </c>
      <c r="Y13" s="42">
        <f>Y12*'01_Вводные'!$B$131</f>
        <v/>
      </c>
      <c r="Z13" s="42">
        <f>Z12*'01_Вводные'!$B$131</f>
        <v/>
      </c>
      <c r="AA13" s="42">
        <f>AA12*'01_Вводные'!$B$131</f>
        <v/>
      </c>
      <c r="AB13" s="42">
        <f>AB12*'01_Вводные'!$B$131</f>
        <v/>
      </c>
      <c r="AC13" s="42">
        <f>AC12*'01_Вводные'!$B$131</f>
        <v/>
      </c>
      <c r="AD13" s="42">
        <f>AD12*'01_Вводные'!$B$131</f>
        <v/>
      </c>
      <c r="AE13" s="42">
        <f>AE12*'01_Вводные'!$B$131</f>
        <v/>
      </c>
      <c r="AF13" s="42">
        <f>AF12*'01_Вводные'!$B$131</f>
        <v/>
      </c>
      <c r="AG13" s="42">
        <f>AG12*'01_Вводные'!$B$131</f>
        <v/>
      </c>
      <c r="AH13" s="42">
        <f>AH12*'01_Вводные'!$B$131</f>
        <v/>
      </c>
      <c r="AI13" s="42">
        <f>AI12*'01_Вводные'!$B$131</f>
        <v/>
      </c>
      <c r="AJ13" s="42">
        <f>AJ12*'01_Вводные'!$B$131</f>
        <v/>
      </c>
      <c r="AK13" s="42">
        <f>AK12*'01_Вводные'!$B$131</f>
        <v/>
      </c>
      <c r="AL13" s="42">
        <f>AL12*'01_Вводные'!$B$131</f>
        <v/>
      </c>
      <c r="AM13" s="42">
        <f>AM12*'01_Вводные'!$B$131</f>
        <v/>
      </c>
      <c r="AN13" s="42">
        <f>AN12*'01_Вводные'!$B$131</f>
        <v/>
      </c>
      <c r="AO13" s="42">
        <f>AO12*'01_Вводные'!$B$131</f>
        <v/>
      </c>
      <c r="AP13" s="42">
        <f>AP12*'01_Вводные'!$B$131</f>
        <v/>
      </c>
      <c r="AQ13" s="42">
        <f>AQ12*'01_Вводные'!$B$131</f>
        <v/>
      </c>
      <c r="AR13" s="42">
        <f>AR12*'01_Вводные'!$B$131</f>
        <v/>
      </c>
      <c r="AS13" s="42">
        <f>AS12*'01_Вводные'!$B$131</f>
        <v/>
      </c>
      <c r="AT13" s="42">
        <f>AT12*'01_Вводные'!$B$131</f>
        <v/>
      </c>
      <c r="AU13" s="42">
        <f>AU12*'01_Вводные'!$B$131</f>
        <v/>
      </c>
      <c r="AV13" s="42">
        <f>AV12*'01_Вводные'!$B$131</f>
        <v/>
      </c>
      <c r="AW13" s="42">
        <f>AW12*'01_Вводные'!$B$131</f>
        <v/>
      </c>
      <c r="AX13" s="42">
        <f>AX12*'01_Вводные'!$B$131</f>
        <v/>
      </c>
      <c r="AY13" s="42">
        <f>AY12*'01_Вводные'!$B$131</f>
        <v/>
      </c>
      <c r="AZ13" s="42">
        <f>AZ12*'01_Вводные'!$B$131</f>
        <v/>
      </c>
      <c r="BA13" s="42">
        <f>BA12*'01_Вводные'!$B$131</f>
        <v/>
      </c>
      <c r="BB13" s="42">
        <f>BB12*'01_Вводные'!$B$131</f>
        <v/>
      </c>
      <c r="BC13" s="42">
        <f>BC12*'01_Вводные'!$B$131</f>
        <v/>
      </c>
      <c r="BD13" s="42">
        <f>BD12*'01_Вводные'!$B$131</f>
        <v/>
      </c>
      <c r="BE13" s="42">
        <f>BE12*'01_Вводные'!$B$131</f>
        <v/>
      </c>
      <c r="BF13" s="42">
        <f>BF12*'01_Вводные'!$B$131</f>
        <v/>
      </c>
      <c r="BG13" s="42">
        <f>BG12*'01_Вводные'!$B$131</f>
        <v/>
      </c>
      <c r="BH13" s="42">
        <f>BH12*'01_Вводные'!$B$131</f>
        <v/>
      </c>
      <c r="BI13" s="42">
        <f>BI12*'01_Вводные'!$B$131</f>
        <v/>
      </c>
    </row>
    <row r="14" ht="20" customHeight="1">
      <c r="A14" s="4" t="inlineStr">
        <is>
          <t>Премии</t>
        </is>
      </c>
    </row>
    <row r="15">
      <c r="A15" s="2" t="inlineStr">
        <is>
          <t>Премия развития — gross</t>
        </is>
      </c>
      <c r="B15" s="95">
        <f>('01_Вводные'!$B$118+B10+1)*IF(B$3&lt;'01_Вводные'!$B$250,'01_Вводные'!$B$123,'01_Вводные'!$B$124)/'01_Вводные'!$B$132</f>
        <v/>
      </c>
      <c r="C15" s="95">
        <f>('01_Вводные'!$B$118+C10+1)*IF(C$3&lt;'01_Вводные'!$B$250,'01_Вводные'!$B$123,'01_Вводные'!$B$124)/'01_Вводные'!$B$132</f>
        <v/>
      </c>
      <c r="D15" s="95">
        <f>('01_Вводные'!$B$118+D10+1)*IF(D$3&lt;'01_Вводные'!$B$250,'01_Вводные'!$B$123,'01_Вводные'!$B$124)/'01_Вводные'!$B$132</f>
        <v/>
      </c>
      <c r="E15" s="95">
        <f>('01_Вводные'!$B$118+E10+1)*IF(E$3&lt;'01_Вводные'!$B$250,'01_Вводные'!$B$123,'01_Вводные'!$B$124)/'01_Вводные'!$B$132</f>
        <v/>
      </c>
      <c r="F15" s="95">
        <f>('01_Вводные'!$B$118+F10+1)*IF(F$3&lt;'01_Вводные'!$B$250,'01_Вводные'!$B$123,'01_Вводные'!$B$124)/'01_Вводные'!$B$132</f>
        <v/>
      </c>
      <c r="G15" s="95">
        <f>('01_Вводные'!$B$118+G10+1)*IF(G$3&lt;'01_Вводные'!$B$250,'01_Вводные'!$B$123,'01_Вводные'!$B$124)/'01_Вводные'!$B$132</f>
        <v/>
      </c>
      <c r="H15" s="95">
        <f>('01_Вводные'!$B$118+H10+1)*IF(H$3&lt;'01_Вводные'!$B$250,'01_Вводные'!$B$123,'01_Вводные'!$B$124)/'01_Вводные'!$B$132</f>
        <v/>
      </c>
      <c r="I15" s="95">
        <f>('01_Вводные'!$B$118+I10+1)*IF(I$3&lt;'01_Вводные'!$B$250,'01_Вводные'!$B$123,'01_Вводные'!$B$124)/'01_Вводные'!$B$132</f>
        <v/>
      </c>
      <c r="J15" s="95">
        <f>('01_Вводные'!$B$118+J10+1)*IF(J$3&lt;'01_Вводные'!$B$250,'01_Вводные'!$B$123,'01_Вводные'!$B$124)/'01_Вводные'!$B$132</f>
        <v/>
      </c>
      <c r="K15" s="95">
        <f>('01_Вводные'!$B$118+K10+1)*IF(K$3&lt;'01_Вводные'!$B$250,'01_Вводные'!$B$123,'01_Вводные'!$B$124)/'01_Вводные'!$B$132</f>
        <v/>
      </c>
      <c r="L15" s="95">
        <f>('01_Вводные'!$B$118+L10+1)*IF(L$3&lt;'01_Вводные'!$B$250,'01_Вводные'!$B$123,'01_Вводные'!$B$124)/'01_Вводные'!$B$132</f>
        <v/>
      </c>
      <c r="M15" s="95">
        <f>('01_Вводные'!$B$118+M10+1)*IF(M$3&lt;'01_Вводные'!$B$250,'01_Вводные'!$B$123,'01_Вводные'!$B$124)/'01_Вводные'!$B$132</f>
        <v/>
      </c>
      <c r="N15" s="95">
        <f>('01_Вводные'!$B$118+N10+1)*IF(N$3&lt;'01_Вводные'!$B$250,'01_Вводные'!$B$123,'01_Вводные'!$B$124)/'01_Вводные'!$B$132</f>
        <v/>
      </c>
      <c r="O15" s="95">
        <f>('01_Вводные'!$B$118+O10+1)*IF(O$3&lt;'01_Вводные'!$B$250,'01_Вводные'!$B$123,'01_Вводные'!$B$124)/'01_Вводные'!$B$132</f>
        <v/>
      </c>
      <c r="P15" s="95">
        <f>('01_Вводные'!$B$118+P10+1)*IF(P$3&lt;'01_Вводные'!$B$250,'01_Вводные'!$B$123,'01_Вводные'!$B$124)/'01_Вводные'!$B$132</f>
        <v/>
      </c>
      <c r="Q15" s="95">
        <f>('01_Вводные'!$B$118+Q10+1)*IF(Q$3&lt;'01_Вводные'!$B$250,'01_Вводные'!$B$123,'01_Вводные'!$B$124)/'01_Вводные'!$B$132</f>
        <v/>
      </c>
      <c r="R15" s="95">
        <f>('01_Вводные'!$B$118+R10+1)*IF(R$3&lt;'01_Вводные'!$B$250,'01_Вводные'!$B$123,'01_Вводные'!$B$124)/'01_Вводные'!$B$132</f>
        <v/>
      </c>
      <c r="S15" s="95">
        <f>('01_Вводные'!$B$118+S10+1)*IF(S$3&lt;'01_Вводные'!$B$250,'01_Вводные'!$B$123,'01_Вводные'!$B$124)/'01_Вводные'!$B$132</f>
        <v/>
      </c>
      <c r="T15" s="95">
        <f>('01_Вводные'!$B$118+T10+1)*IF(T$3&lt;'01_Вводные'!$B$250,'01_Вводные'!$B$123,'01_Вводные'!$B$124)/'01_Вводные'!$B$132</f>
        <v/>
      </c>
      <c r="U15" s="95">
        <f>('01_Вводные'!$B$118+U10+1)*IF(U$3&lt;'01_Вводные'!$B$250,'01_Вводные'!$B$123,'01_Вводные'!$B$124)/'01_Вводные'!$B$132</f>
        <v/>
      </c>
      <c r="V15" s="95">
        <f>('01_Вводные'!$B$118+V10+1)*IF(V$3&lt;'01_Вводные'!$B$250,'01_Вводные'!$B$123,'01_Вводные'!$B$124)/'01_Вводные'!$B$132</f>
        <v/>
      </c>
      <c r="W15" s="95">
        <f>('01_Вводные'!$B$118+W10+1)*IF(W$3&lt;'01_Вводные'!$B$250,'01_Вводные'!$B$123,'01_Вводные'!$B$124)/'01_Вводные'!$B$132</f>
        <v/>
      </c>
      <c r="X15" s="95">
        <f>('01_Вводные'!$B$118+X10+1)*IF(X$3&lt;'01_Вводные'!$B$250,'01_Вводные'!$B$123,'01_Вводные'!$B$124)/'01_Вводные'!$B$132</f>
        <v/>
      </c>
      <c r="Y15" s="95">
        <f>('01_Вводные'!$B$118+Y10+1)*IF(Y$3&lt;'01_Вводные'!$B$250,'01_Вводные'!$B$123,'01_Вводные'!$B$124)/'01_Вводные'!$B$132</f>
        <v/>
      </c>
      <c r="Z15" s="95">
        <f>('01_Вводные'!$B$118+Z10+1)*IF(Z$3&lt;'01_Вводные'!$B$250,'01_Вводные'!$B$123,'01_Вводные'!$B$124)/'01_Вводные'!$B$132</f>
        <v/>
      </c>
      <c r="AA15" s="95">
        <f>('01_Вводные'!$B$118+AA10+1)*IF(AA$3&lt;'01_Вводные'!$B$250,'01_Вводные'!$B$123,'01_Вводные'!$B$124)/'01_Вводные'!$B$132</f>
        <v/>
      </c>
      <c r="AB15" s="95">
        <f>('01_Вводные'!$B$118+AB10+1)*IF(AB$3&lt;'01_Вводные'!$B$250,'01_Вводные'!$B$123,'01_Вводные'!$B$124)/'01_Вводные'!$B$132</f>
        <v/>
      </c>
      <c r="AC15" s="95">
        <f>('01_Вводные'!$B$118+AC10+1)*IF(AC$3&lt;'01_Вводные'!$B$250,'01_Вводные'!$B$123,'01_Вводные'!$B$124)/'01_Вводные'!$B$132</f>
        <v/>
      </c>
      <c r="AD15" s="95">
        <f>('01_Вводные'!$B$118+AD10+1)*IF(AD$3&lt;'01_Вводные'!$B$250,'01_Вводные'!$B$123,'01_Вводные'!$B$124)/'01_Вводные'!$B$132</f>
        <v/>
      </c>
      <c r="AE15" s="95">
        <f>('01_Вводные'!$B$118+AE10+1)*IF(AE$3&lt;'01_Вводные'!$B$250,'01_Вводные'!$B$123,'01_Вводные'!$B$124)/'01_Вводные'!$B$132</f>
        <v/>
      </c>
      <c r="AF15" s="95">
        <f>('01_Вводные'!$B$118+AF10+1)*IF(AF$3&lt;'01_Вводные'!$B$250,'01_Вводные'!$B$123,'01_Вводные'!$B$124)/'01_Вводные'!$B$132</f>
        <v/>
      </c>
      <c r="AG15" s="95">
        <f>('01_Вводные'!$B$118+AG10+1)*IF(AG$3&lt;'01_Вводные'!$B$250,'01_Вводные'!$B$123,'01_Вводные'!$B$124)/'01_Вводные'!$B$132</f>
        <v/>
      </c>
      <c r="AH15" s="95">
        <f>('01_Вводные'!$B$118+AH10+1)*IF(AH$3&lt;'01_Вводные'!$B$250,'01_Вводные'!$B$123,'01_Вводные'!$B$124)/'01_Вводные'!$B$132</f>
        <v/>
      </c>
      <c r="AI15" s="95">
        <f>('01_Вводные'!$B$118+AI10+1)*IF(AI$3&lt;'01_Вводные'!$B$250,'01_Вводные'!$B$123,'01_Вводные'!$B$124)/'01_Вводные'!$B$132</f>
        <v/>
      </c>
      <c r="AJ15" s="95">
        <f>('01_Вводные'!$B$118+AJ10+1)*IF(AJ$3&lt;'01_Вводные'!$B$250,'01_Вводные'!$B$123,'01_Вводные'!$B$124)/'01_Вводные'!$B$132</f>
        <v/>
      </c>
      <c r="AK15" s="95">
        <f>('01_Вводные'!$B$118+AK10+1)*IF(AK$3&lt;'01_Вводные'!$B$250,'01_Вводные'!$B$123,'01_Вводные'!$B$124)/'01_Вводные'!$B$132</f>
        <v/>
      </c>
      <c r="AL15" s="95">
        <f>('01_Вводные'!$B$118+AL10+1)*IF(AL$3&lt;'01_Вводные'!$B$250,'01_Вводные'!$B$123,'01_Вводные'!$B$124)/'01_Вводные'!$B$132</f>
        <v/>
      </c>
      <c r="AM15" s="95">
        <f>('01_Вводные'!$B$118+AM10+1)*IF(AM$3&lt;'01_Вводные'!$B$250,'01_Вводные'!$B$123,'01_Вводные'!$B$124)/'01_Вводные'!$B$132</f>
        <v/>
      </c>
      <c r="AN15" s="95">
        <f>('01_Вводные'!$B$118+AN10+1)*IF(AN$3&lt;'01_Вводные'!$B$250,'01_Вводные'!$B$123,'01_Вводные'!$B$124)/'01_Вводные'!$B$132</f>
        <v/>
      </c>
      <c r="AO15" s="95">
        <f>('01_Вводные'!$B$118+AO10+1)*IF(AO$3&lt;'01_Вводные'!$B$250,'01_Вводные'!$B$123,'01_Вводные'!$B$124)/'01_Вводные'!$B$132</f>
        <v/>
      </c>
      <c r="AP15" s="95">
        <f>('01_Вводные'!$B$118+AP10+1)*IF(AP$3&lt;'01_Вводные'!$B$250,'01_Вводные'!$B$123,'01_Вводные'!$B$124)/'01_Вводные'!$B$132</f>
        <v/>
      </c>
      <c r="AQ15" s="95">
        <f>('01_Вводные'!$B$118+AQ10+1)*IF(AQ$3&lt;'01_Вводные'!$B$250,'01_Вводные'!$B$123,'01_Вводные'!$B$124)/'01_Вводные'!$B$132</f>
        <v/>
      </c>
      <c r="AR15" s="95">
        <f>('01_Вводные'!$B$118+AR10+1)*IF(AR$3&lt;'01_Вводные'!$B$250,'01_Вводные'!$B$123,'01_Вводные'!$B$124)/'01_Вводные'!$B$132</f>
        <v/>
      </c>
      <c r="AS15" s="95">
        <f>('01_Вводные'!$B$118+AS10+1)*IF(AS$3&lt;'01_Вводные'!$B$250,'01_Вводные'!$B$123,'01_Вводные'!$B$124)/'01_Вводные'!$B$132</f>
        <v/>
      </c>
      <c r="AT15" s="95">
        <f>('01_Вводные'!$B$118+AT10+1)*IF(AT$3&lt;'01_Вводные'!$B$250,'01_Вводные'!$B$123,'01_Вводные'!$B$124)/'01_Вводные'!$B$132</f>
        <v/>
      </c>
      <c r="AU15" s="95">
        <f>('01_Вводные'!$B$118+AU10+1)*IF(AU$3&lt;'01_Вводные'!$B$250,'01_Вводные'!$B$123,'01_Вводные'!$B$124)/'01_Вводные'!$B$132</f>
        <v/>
      </c>
      <c r="AV15" s="95">
        <f>('01_Вводные'!$B$118+AV10+1)*IF(AV$3&lt;'01_Вводные'!$B$250,'01_Вводные'!$B$123,'01_Вводные'!$B$124)/'01_Вводные'!$B$132</f>
        <v/>
      </c>
      <c r="AW15" s="95">
        <f>('01_Вводные'!$B$118+AW10+1)*IF(AW$3&lt;'01_Вводные'!$B$250,'01_Вводные'!$B$123,'01_Вводные'!$B$124)/'01_Вводные'!$B$132</f>
        <v/>
      </c>
      <c r="AX15" s="95">
        <f>('01_Вводные'!$B$118+AX10+1)*IF(AX$3&lt;'01_Вводные'!$B$250,'01_Вводные'!$B$123,'01_Вводные'!$B$124)/'01_Вводные'!$B$132</f>
        <v/>
      </c>
      <c r="AY15" s="95">
        <f>('01_Вводные'!$B$118+AY10+1)*IF(AY$3&lt;'01_Вводные'!$B$250,'01_Вводные'!$B$123,'01_Вводные'!$B$124)/'01_Вводные'!$B$132</f>
        <v/>
      </c>
      <c r="AZ15" s="95">
        <f>('01_Вводные'!$B$118+AZ10+1)*IF(AZ$3&lt;'01_Вводные'!$B$250,'01_Вводные'!$B$123,'01_Вводные'!$B$124)/'01_Вводные'!$B$132</f>
        <v/>
      </c>
      <c r="BA15" s="95">
        <f>('01_Вводные'!$B$118+BA10+1)*IF(BA$3&lt;'01_Вводные'!$B$250,'01_Вводные'!$B$123,'01_Вводные'!$B$124)/'01_Вводные'!$B$132</f>
        <v/>
      </c>
      <c r="BB15" s="95">
        <f>('01_Вводные'!$B$118+BB10+1)*IF(BB$3&lt;'01_Вводные'!$B$250,'01_Вводные'!$B$123,'01_Вводные'!$B$124)/'01_Вводные'!$B$132</f>
        <v/>
      </c>
      <c r="BC15" s="95">
        <f>('01_Вводные'!$B$118+BC10+1)*IF(BC$3&lt;'01_Вводные'!$B$250,'01_Вводные'!$B$123,'01_Вводные'!$B$124)/'01_Вводные'!$B$132</f>
        <v/>
      </c>
      <c r="BD15" s="95">
        <f>('01_Вводные'!$B$118+BD10+1)*IF(BD$3&lt;'01_Вводные'!$B$250,'01_Вводные'!$B$123,'01_Вводные'!$B$124)/'01_Вводные'!$B$132</f>
        <v/>
      </c>
      <c r="BE15" s="95">
        <f>('01_Вводные'!$B$118+BE10+1)*IF(BE$3&lt;'01_Вводные'!$B$250,'01_Вводные'!$B$123,'01_Вводные'!$B$124)/'01_Вводные'!$B$132</f>
        <v/>
      </c>
      <c r="BF15" s="95">
        <f>('01_Вводные'!$B$118+BF10+1)*IF(BF$3&lt;'01_Вводные'!$B$250,'01_Вводные'!$B$123,'01_Вводные'!$B$124)/'01_Вводные'!$B$132</f>
        <v/>
      </c>
      <c r="BG15" s="95">
        <f>('01_Вводные'!$B$118+BG10+1)*IF(BG$3&lt;'01_Вводные'!$B$250,'01_Вводные'!$B$123,'01_Вводные'!$B$124)/'01_Вводные'!$B$132</f>
        <v/>
      </c>
      <c r="BH15" s="95">
        <f>('01_Вводные'!$B$118+BH10+1)*IF(BH$3&lt;'01_Вводные'!$B$250,'01_Вводные'!$B$123,'01_Вводные'!$B$124)/'01_Вводные'!$B$132</f>
        <v/>
      </c>
      <c r="BI15" s="95">
        <f>('01_Вводные'!$B$118+BI10+1)*IF(BI$3&lt;'01_Вводные'!$B$250,'01_Вводные'!$B$123,'01_Вводные'!$B$124)/'01_Вводные'!$B$132</f>
        <v/>
      </c>
    </row>
    <row r="16">
      <c r="A16" s="2" t="inlineStr">
        <is>
          <t>Взносы на премию развития</t>
        </is>
      </c>
      <c r="B16" s="42">
        <f>B15*'01_Вводные'!$B$131</f>
        <v/>
      </c>
      <c r="C16" s="42">
        <f>C15*'01_Вводные'!$B$131</f>
        <v/>
      </c>
      <c r="D16" s="42">
        <f>D15*'01_Вводные'!$B$131</f>
        <v/>
      </c>
      <c r="E16" s="42">
        <f>E15*'01_Вводные'!$B$131</f>
        <v/>
      </c>
      <c r="F16" s="42">
        <f>F15*'01_Вводные'!$B$131</f>
        <v/>
      </c>
      <c r="G16" s="42">
        <f>G15*'01_Вводные'!$B$131</f>
        <v/>
      </c>
      <c r="H16" s="42">
        <f>H15*'01_Вводные'!$B$131</f>
        <v/>
      </c>
      <c r="I16" s="42">
        <f>I15*'01_Вводные'!$B$131</f>
        <v/>
      </c>
      <c r="J16" s="42">
        <f>J15*'01_Вводные'!$B$131</f>
        <v/>
      </c>
      <c r="K16" s="42">
        <f>K15*'01_Вводные'!$B$131</f>
        <v/>
      </c>
      <c r="L16" s="42">
        <f>L15*'01_Вводные'!$B$131</f>
        <v/>
      </c>
      <c r="M16" s="42">
        <f>M15*'01_Вводные'!$B$131</f>
        <v/>
      </c>
      <c r="N16" s="42">
        <f>N15*'01_Вводные'!$B$131</f>
        <v/>
      </c>
      <c r="O16" s="42">
        <f>O15*'01_Вводные'!$B$131</f>
        <v/>
      </c>
      <c r="P16" s="42">
        <f>P15*'01_Вводные'!$B$131</f>
        <v/>
      </c>
      <c r="Q16" s="42">
        <f>Q15*'01_Вводные'!$B$131</f>
        <v/>
      </c>
      <c r="R16" s="42">
        <f>R15*'01_Вводные'!$B$131</f>
        <v/>
      </c>
      <c r="S16" s="42">
        <f>S15*'01_Вводные'!$B$131</f>
        <v/>
      </c>
      <c r="T16" s="42">
        <f>T15*'01_Вводные'!$B$131</f>
        <v/>
      </c>
      <c r="U16" s="42">
        <f>U15*'01_Вводные'!$B$131</f>
        <v/>
      </c>
      <c r="V16" s="42">
        <f>V15*'01_Вводные'!$B$131</f>
        <v/>
      </c>
      <c r="W16" s="42">
        <f>W15*'01_Вводные'!$B$131</f>
        <v/>
      </c>
      <c r="X16" s="42">
        <f>X15*'01_Вводные'!$B$131</f>
        <v/>
      </c>
      <c r="Y16" s="42">
        <f>Y15*'01_Вводные'!$B$131</f>
        <v/>
      </c>
      <c r="Z16" s="42">
        <f>Z15*'01_Вводные'!$B$131</f>
        <v/>
      </c>
      <c r="AA16" s="42">
        <f>AA15*'01_Вводные'!$B$131</f>
        <v/>
      </c>
      <c r="AB16" s="42">
        <f>AB15*'01_Вводные'!$B$131</f>
        <v/>
      </c>
      <c r="AC16" s="42">
        <f>AC15*'01_Вводные'!$B$131</f>
        <v/>
      </c>
      <c r="AD16" s="42">
        <f>AD15*'01_Вводные'!$B$131</f>
        <v/>
      </c>
      <c r="AE16" s="42">
        <f>AE15*'01_Вводные'!$B$131</f>
        <v/>
      </c>
      <c r="AF16" s="42">
        <f>AF15*'01_Вводные'!$B$131</f>
        <v/>
      </c>
      <c r="AG16" s="42">
        <f>AG15*'01_Вводные'!$B$131</f>
        <v/>
      </c>
      <c r="AH16" s="42">
        <f>AH15*'01_Вводные'!$B$131</f>
        <v/>
      </c>
      <c r="AI16" s="42">
        <f>AI15*'01_Вводные'!$B$131</f>
        <v/>
      </c>
      <c r="AJ16" s="42">
        <f>AJ15*'01_Вводные'!$B$131</f>
        <v/>
      </c>
      <c r="AK16" s="42">
        <f>AK15*'01_Вводные'!$B$131</f>
        <v/>
      </c>
      <c r="AL16" s="42">
        <f>AL15*'01_Вводные'!$B$131</f>
        <v/>
      </c>
      <c r="AM16" s="42">
        <f>AM15*'01_Вводные'!$B$131</f>
        <v/>
      </c>
      <c r="AN16" s="42">
        <f>AN15*'01_Вводные'!$B$131</f>
        <v/>
      </c>
      <c r="AO16" s="42">
        <f>AO15*'01_Вводные'!$B$131</f>
        <v/>
      </c>
      <c r="AP16" s="42">
        <f>AP15*'01_Вводные'!$B$131</f>
        <v/>
      </c>
      <c r="AQ16" s="42">
        <f>AQ15*'01_Вводные'!$B$131</f>
        <v/>
      </c>
      <c r="AR16" s="42">
        <f>AR15*'01_Вводные'!$B$131</f>
        <v/>
      </c>
      <c r="AS16" s="42">
        <f>AS15*'01_Вводные'!$B$131</f>
        <v/>
      </c>
      <c r="AT16" s="42">
        <f>AT15*'01_Вводные'!$B$131</f>
        <v/>
      </c>
      <c r="AU16" s="42">
        <f>AU15*'01_Вводные'!$B$131</f>
        <v/>
      </c>
      <c r="AV16" s="42">
        <f>AV15*'01_Вводные'!$B$131</f>
        <v/>
      </c>
      <c r="AW16" s="42">
        <f>AW15*'01_Вводные'!$B$131</f>
        <v/>
      </c>
      <c r="AX16" s="42">
        <f>AX15*'01_Вводные'!$B$131</f>
        <v/>
      </c>
      <c r="AY16" s="42">
        <f>AY15*'01_Вводные'!$B$131</f>
        <v/>
      </c>
      <c r="AZ16" s="42">
        <f>AZ15*'01_Вводные'!$B$131</f>
        <v/>
      </c>
      <c r="BA16" s="42">
        <f>BA15*'01_Вводные'!$B$131</f>
        <v/>
      </c>
      <c r="BB16" s="42">
        <f>BB15*'01_Вводные'!$B$131</f>
        <v/>
      </c>
      <c r="BC16" s="42">
        <f>BC15*'01_Вводные'!$B$131</f>
        <v/>
      </c>
      <c r="BD16" s="42">
        <f>BD15*'01_Вводные'!$B$131</f>
        <v/>
      </c>
      <c r="BE16" s="42">
        <f>BE15*'01_Вводные'!$B$131</f>
        <v/>
      </c>
      <c r="BF16" s="42">
        <f>BF15*'01_Вводные'!$B$131</f>
        <v/>
      </c>
      <c r="BG16" s="42">
        <f>BG15*'01_Вводные'!$B$131</f>
        <v/>
      </c>
      <c r="BH16" s="42">
        <f>BH15*'01_Вводные'!$B$131</f>
        <v/>
      </c>
      <c r="BI16" s="42">
        <f>BI15*'01_Вводные'!$B$131</f>
        <v/>
      </c>
    </row>
    <row r="17">
      <c r="A17" s="2" t="inlineStr">
        <is>
          <t>Премия Евгения — gross (4% за вычетом взносов)</t>
        </is>
      </c>
      <c r="B17" s="40">
        <f>IF('04_Продажи'!B15&gt;=2,'04_Продажи'!B26*'01_Вводные'!$B$125/(1+'01_Вводные'!$B$131),0)</f>
        <v/>
      </c>
      <c r="C17" s="40">
        <f>IF('04_Продажи'!C15&gt;=2,'04_Продажи'!C26*'01_Вводные'!$B$125/(1+'01_Вводные'!$B$131),0)</f>
        <v/>
      </c>
      <c r="D17" s="40">
        <f>IF('04_Продажи'!D15&gt;=2,'04_Продажи'!D26*'01_Вводные'!$B$125/(1+'01_Вводные'!$B$131),0)</f>
        <v/>
      </c>
      <c r="E17" s="40">
        <f>IF('04_Продажи'!E15&gt;=2,'04_Продажи'!E26*'01_Вводные'!$B$125/(1+'01_Вводные'!$B$131),0)</f>
        <v/>
      </c>
      <c r="F17" s="40">
        <f>IF('04_Продажи'!F15&gt;=2,'04_Продажи'!F26*'01_Вводные'!$B$125/(1+'01_Вводные'!$B$131),0)</f>
        <v/>
      </c>
      <c r="G17" s="40">
        <f>IF('04_Продажи'!G15&gt;=2,'04_Продажи'!G26*'01_Вводные'!$B$125/(1+'01_Вводные'!$B$131),0)</f>
        <v/>
      </c>
      <c r="H17" s="40">
        <f>IF('04_Продажи'!H15&gt;=2,'04_Продажи'!H26*'01_Вводные'!$B$125/(1+'01_Вводные'!$B$131),0)</f>
        <v/>
      </c>
      <c r="I17" s="40">
        <f>IF('04_Продажи'!I15&gt;=2,'04_Продажи'!I26*'01_Вводные'!$B$125/(1+'01_Вводные'!$B$131),0)</f>
        <v/>
      </c>
      <c r="J17" s="40">
        <f>IF('04_Продажи'!J15&gt;=2,'04_Продажи'!J26*'01_Вводные'!$B$125/(1+'01_Вводные'!$B$131),0)</f>
        <v/>
      </c>
      <c r="K17" s="40">
        <f>IF('04_Продажи'!K15&gt;=2,'04_Продажи'!K26*'01_Вводные'!$B$125/(1+'01_Вводные'!$B$131),0)</f>
        <v/>
      </c>
      <c r="L17" s="40">
        <f>IF('04_Продажи'!L15&gt;=2,'04_Продажи'!L26*'01_Вводные'!$B$125/(1+'01_Вводные'!$B$131),0)</f>
        <v/>
      </c>
      <c r="M17" s="40">
        <f>IF('04_Продажи'!M15&gt;=2,'04_Продажи'!M26*'01_Вводные'!$B$125/(1+'01_Вводные'!$B$131),0)</f>
        <v/>
      </c>
      <c r="N17" s="40">
        <f>IF('04_Продажи'!N15&gt;=2,'04_Продажи'!N26*'01_Вводные'!$B$125/(1+'01_Вводные'!$B$131),0)</f>
        <v/>
      </c>
      <c r="O17" s="40">
        <f>IF('04_Продажи'!O15&gt;=2,'04_Продажи'!O26*'01_Вводные'!$B$125/(1+'01_Вводные'!$B$131),0)</f>
        <v/>
      </c>
      <c r="P17" s="40">
        <f>IF('04_Продажи'!P15&gt;=2,'04_Продажи'!P26*'01_Вводные'!$B$125/(1+'01_Вводные'!$B$131),0)</f>
        <v/>
      </c>
      <c r="Q17" s="40">
        <f>IF('04_Продажи'!Q15&gt;=2,'04_Продажи'!Q26*'01_Вводные'!$B$125/(1+'01_Вводные'!$B$131),0)</f>
        <v/>
      </c>
      <c r="R17" s="40">
        <f>IF('04_Продажи'!R15&gt;=2,'04_Продажи'!R26*'01_Вводные'!$B$125/(1+'01_Вводные'!$B$131),0)</f>
        <v/>
      </c>
      <c r="S17" s="40">
        <f>IF('04_Продажи'!S15&gt;=2,'04_Продажи'!S26*'01_Вводные'!$B$125/(1+'01_Вводные'!$B$131),0)</f>
        <v/>
      </c>
      <c r="T17" s="40">
        <f>IF('04_Продажи'!T15&gt;=2,'04_Продажи'!T26*'01_Вводные'!$B$125/(1+'01_Вводные'!$B$131),0)</f>
        <v/>
      </c>
      <c r="U17" s="40">
        <f>IF('04_Продажи'!U15&gt;=2,'04_Продажи'!U26*'01_Вводные'!$B$125/(1+'01_Вводные'!$B$131),0)</f>
        <v/>
      </c>
      <c r="V17" s="40">
        <f>IF('04_Продажи'!V15&gt;=2,'04_Продажи'!V26*'01_Вводные'!$B$125/(1+'01_Вводные'!$B$131),0)</f>
        <v/>
      </c>
      <c r="W17" s="40">
        <f>IF('04_Продажи'!W15&gt;=2,'04_Продажи'!W26*'01_Вводные'!$B$125/(1+'01_Вводные'!$B$131),0)</f>
        <v/>
      </c>
      <c r="X17" s="40">
        <f>IF('04_Продажи'!X15&gt;=2,'04_Продажи'!X26*'01_Вводные'!$B$125/(1+'01_Вводные'!$B$131),0)</f>
        <v/>
      </c>
      <c r="Y17" s="40">
        <f>IF('04_Продажи'!Y15&gt;=2,'04_Продажи'!Y26*'01_Вводные'!$B$125/(1+'01_Вводные'!$B$131),0)</f>
        <v/>
      </c>
      <c r="Z17" s="40">
        <f>IF('04_Продажи'!Z15&gt;=2,'04_Продажи'!Z26*'01_Вводные'!$B$125/(1+'01_Вводные'!$B$131),0)</f>
        <v/>
      </c>
      <c r="AA17" s="40">
        <f>IF('04_Продажи'!AA15&gt;=2,'04_Продажи'!AA26*'01_Вводные'!$B$125/(1+'01_Вводные'!$B$131),0)</f>
        <v/>
      </c>
      <c r="AB17" s="40">
        <f>IF('04_Продажи'!AB15&gt;=2,'04_Продажи'!AB26*'01_Вводные'!$B$125/(1+'01_Вводные'!$B$131),0)</f>
        <v/>
      </c>
      <c r="AC17" s="40">
        <f>IF('04_Продажи'!AC15&gt;=2,'04_Продажи'!AC26*'01_Вводные'!$B$125/(1+'01_Вводные'!$B$131),0)</f>
        <v/>
      </c>
      <c r="AD17" s="40">
        <f>IF('04_Продажи'!AD15&gt;=2,'04_Продажи'!AD26*'01_Вводные'!$B$125/(1+'01_Вводные'!$B$131),0)</f>
        <v/>
      </c>
      <c r="AE17" s="40">
        <f>IF('04_Продажи'!AE15&gt;=2,'04_Продажи'!AE26*'01_Вводные'!$B$125/(1+'01_Вводные'!$B$131),0)</f>
        <v/>
      </c>
      <c r="AF17" s="40">
        <f>IF('04_Продажи'!AF15&gt;=2,'04_Продажи'!AF26*'01_Вводные'!$B$125/(1+'01_Вводные'!$B$131),0)</f>
        <v/>
      </c>
      <c r="AG17" s="40">
        <f>IF('04_Продажи'!AG15&gt;=2,'04_Продажи'!AG26*'01_Вводные'!$B$125/(1+'01_Вводные'!$B$131),0)</f>
        <v/>
      </c>
      <c r="AH17" s="40">
        <f>IF('04_Продажи'!AH15&gt;=2,'04_Продажи'!AH26*'01_Вводные'!$B$125/(1+'01_Вводные'!$B$131),0)</f>
        <v/>
      </c>
      <c r="AI17" s="40">
        <f>IF('04_Продажи'!AI15&gt;=2,'04_Продажи'!AI26*'01_Вводные'!$B$125/(1+'01_Вводные'!$B$131),0)</f>
        <v/>
      </c>
      <c r="AJ17" s="40">
        <f>IF('04_Продажи'!AJ15&gt;=2,'04_Продажи'!AJ26*'01_Вводные'!$B$125/(1+'01_Вводные'!$B$131),0)</f>
        <v/>
      </c>
      <c r="AK17" s="40">
        <f>IF('04_Продажи'!AK15&gt;=2,'04_Продажи'!AK26*'01_Вводные'!$B$125/(1+'01_Вводные'!$B$131),0)</f>
        <v/>
      </c>
      <c r="AL17" s="40">
        <f>IF('04_Продажи'!AL15&gt;=2,'04_Продажи'!AL26*'01_Вводные'!$B$125/(1+'01_Вводные'!$B$131),0)</f>
        <v/>
      </c>
      <c r="AM17" s="40">
        <f>IF('04_Продажи'!AM15&gt;=2,'04_Продажи'!AM26*'01_Вводные'!$B$125/(1+'01_Вводные'!$B$131),0)</f>
        <v/>
      </c>
      <c r="AN17" s="40">
        <f>IF('04_Продажи'!AN15&gt;=2,'04_Продажи'!AN26*'01_Вводные'!$B$125/(1+'01_Вводные'!$B$131),0)</f>
        <v/>
      </c>
      <c r="AO17" s="40">
        <f>IF('04_Продажи'!AO15&gt;=2,'04_Продажи'!AO26*'01_Вводные'!$B$125/(1+'01_Вводные'!$B$131),0)</f>
        <v/>
      </c>
      <c r="AP17" s="40">
        <f>IF('04_Продажи'!AP15&gt;=2,'04_Продажи'!AP26*'01_Вводные'!$B$125/(1+'01_Вводные'!$B$131),0)</f>
        <v/>
      </c>
      <c r="AQ17" s="40">
        <f>IF('04_Продажи'!AQ15&gt;=2,'04_Продажи'!AQ26*'01_Вводные'!$B$125/(1+'01_Вводные'!$B$131),0)</f>
        <v/>
      </c>
      <c r="AR17" s="40">
        <f>IF('04_Продажи'!AR15&gt;=2,'04_Продажи'!AR26*'01_Вводные'!$B$125/(1+'01_Вводные'!$B$131),0)</f>
        <v/>
      </c>
      <c r="AS17" s="40">
        <f>IF('04_Продажи'!AS15&gt;=2,'04_Продажи'!AS26*'01_Вводные'!$B$125/(1+'01_Вводные'!$B$131),0)</f>
        <v/>
      </c>
      <c r="AT17" s="40">
        <f>IF('04_Продажи'!AT15&gt;=2,'04_Продажи'!AT26*'01_Вводные'!$B$125/(1+'01_Вводные'!$B$131),0)</f>
        <v/>
      </c>
      <c r="AU17" s="40">
        <f>IF('04_Продажи'!AU15&gt;=2,'04_Продажи'!AU26*'01_Вводные'!$B$125/(1+'01_Вводные'!$B$131),0)</f>
        <v/>
      </c>
      <c r="AV17" s="40">
        <f>IF('04_Продажи'!AV15&gt;=2,'04_Продажи'!AV26*'01_Вводные'!$B$125/(1+'01_Вводные'!$B$131),0)</f>
        <v/>
      </c>
      <c r="AW17" s="40">
        <f>IF('04_Продажи'!AW15&gt;=2,'04_Продажи'!AW26*'01_Вводные'!$B$125/(1+'01_Вводные'!$B$131),0)</f>
        <v/>
      </c>
      <c r="AX17" s="40">
        <f>IF('04_Продажи'!AX15&gt;=2,'04_Продажи'!AX26*'01_Вводные'!$B$125/(1+'01_Вводные'!$B$131),0)</f>
        <v/>
      </c>
      <c r="AY17" s="40">
        <f>IF('04_Продажи'!AY15&gt;=2,'04_Продажи'!AY26*'01_Вводные'!$B$125/(1+'01_Вводные'!$B$131),0)</f>
        <v/>
      </c>
      <c r="AZ17" s="40">
        <f>IF('04_Продажи'!AZ15&gt;=2,'04_Продажи'!AZ26*'01_Вводные'!$B$125/(1+'01_Вводные'!$B$131),0)</f>
        <v/>
      </c>
      <c r="BA17" s="40">
        <f>IF('04_Продажи'!BA15&gt;=2,'04_Продажи'!BA26*'01_Вводные'!$B$125/(1+'01_Вводные'!$B$131),0)</f>
        <v/>
      </c>
      <c r="BB17" s="40">
        <f>IF('04_Продажи'!BB15&gt;=2,'04_Продажи'!BB26*'01_Вводные'!$B$125/(1+'01_Вводные'!$B$131),0)</f>
        <v/>
      </c>
      <c r="BC17" s="40">
        <f>IF('04_Продажи'!BC15&gt;=2,'04_Продажи'!BC26*'01_Вводные'!$B$125/(1+'01_Вводные'!$B$131),0)</f>
        <v/>
      </c>
      <c r="BD17" s="40">
        <f>IF('04_Продажи'!BD15&gt;=2,'04_Продажи'!BD26*'01_Вводные'!$B$125/(1+'01_Вводные'!$B$131),0)</f>
        <v/>
      </c>
      <c r="BE17" s="40">
        <f>IF('04_Продажи'!BE15&gt;=2,'04_Продажи'!BE26*'01_Вводные'!$B$125/(1+'01_Вводные'!$B$131),0)</f>
        <v/>
      </c>
      <c r="BF17" s="40">
        <f>IF('04_Продажи'!BF15&gt;=2,'04_Продажи'!BF26*'01_Вводные'!$B$125/(1+'01_Вводные'!$B$131),0)</f>
        <v/>
      </c>
      <c r="BG17" s="40">
        <f>IF('04_Продажи'!BG15&gt;=2,'04_Продажи'!BG26*'01_Вводные'!$B$125/(1+'01_Вводные'!$B$131),0)</f>
        <v/>
      </c>
      <c r="BH17" s="40">
        <f>IF('04_Продажи'!BH15&gt;=2,'04_Продажи'!BH26*'01_Вводные'!$B$125/(1+'01_Вводные'!$B$131),0)</f>
        <v/>
      </c>
      <c r="BI17" s="40">
        <f>IF('04_Продажи'!BI15&gt;=2,'04_Продажи'!BI26*'01_Вводные'!$B$125/(1+'01_Вводные'!$B$131),0)</f>
        <v/>
      </c>
    </row>
    <row r="18">
      <c r="A18" s="2" t="inlineStr">
        <is>
          <t>Взносы на премию Евгения</t>
        </is>
      </c>
      <c r="B18" s="42">
        <f>B17*'01_Вводные'!$B$131</f>
        <v/>
      </c>
      <c r="C18" s="42">
        <f>C17*'01_Вводные'!$B$131</f>
        <v/>
      </c>
      <c r="D18" s="42">
        <f>D17*'01_Вводные'!$B$131</f>
        <v/>
      </c>
      <c r="E18" s="42">
        <f>E17*'01_Вводные'!$B$131</f>
        <v/>
      </c>
      <c r="F18" s="42">
        <f>F17*'01_Вводные'!$B$131</f>
        <v/>
      </c>
      <c r="G18" s="42">
        <f>G17*'01_Вводные'!$B$131</f>
        <v/>
      </c>
      <c r="H18" s="42">
        <f>H17*'01_Вводные'!$B$131</f>
        <v/>
      </c>
      <c r="I18" s="42">
        <f>I17*'01_Вводные'!$B$131</f>
        <v/>
      </c>
      <c r="J18" s="42">
        <f>J17*'01_Вводные'!$B$131</f>
        <v/>
      </c>
      <c r="K18" s="42">
        <f>K17*'01_Вводные'!$B$131</f>
        <v/>
      </c>
      <c r="L18" s="42">
        <f>L17*'01_Вводные'!$B$131</f>
        <v/>
      </c>
      <c r="M18" s="42">
        <f>M17*'01_Вводные'!$B$131</f>
        <v/>
      </c>
      <c r="N18" s="42">
        <f>N17*'01_Вводные'!$B$131</f>
        <v/>
      </c>
      <c r="O18" s="42">
        <f>O17*'01_Вводные'!$B$131</f>
        <v/>
      </c>
      <c r="P18" s="42">
        <f>P17*'01_Вводные'!$B$131</f>
        <v/>
      </c>
      <c r="Q18" s="42">
        <f>Q17*'01_Вводные'!$B$131</f>
        <v/>
      </c>
      <c r="R18" s="42">
        <f>R17*'01_Вводные'!$B$131</f>
        <v/>
      </c>
      <c r="S18" s="42">
        <f>S17*'01_Вводные'!$B$131</f>
        <v/>
      </c>
      <c r="T18" s="42">
        <f>T17*'01_Вводные'!$B$131</f>
        <v/>
      </c>
      <c r="U18" s="42">
        <f>U17*'01_Вводные'!$B$131</f>
        <v/>
      </c>
      <c r="V18" s="42">
        <f>V17*'01_Вводные'!$B$131</f>
        <v/>
      </c>
      <c r="W18" s="42">
        <f>W17*'01_Вводные'!$B$131</f>
        <v/>
      </c>
      <c r="X18" s="42">
        <f>X17*'01_Вводные'!$B$131</f>
        <v/>
      </c>
      <c r="Y18" s="42">
        <f>Y17*'01_Вводные'!$B$131</f>
        <v/>
      </c>
      <c r="Z18" s="42">
        <f>Z17*'01_Вводные'!$B$131</f>
        <v/>
      </c>
      <c r="AA18" s="42">
        <f>AA17*'01_Вводные'!$B$131</f>
        <v/>
      </c>
      <c r="AB18" s="42">
        <f>AB17*'01_Вводные'!$B$131</f>
        <v/>
      </c>
      <c r="AC18" s="42">
        <f>AC17*'01_Вводные'!$B$131</f>
        <v/>
      </c>
      <c r="AD18" s="42">
        <f>AD17*'01_Вводные'!$B$131</f>
        <v/>
      </c>
      <c r="AE18" s="42">
        <f>AE17*'01_Вводные'!$B$131</f>
        <v/>
      </c>
      <c r="AF18" s="42">
        <f>AF17*'01_Вводные'!$B$131</f>
        <v/>
      </c>
      <c r="AG18" s="42">
        <f>AG17*'01_Вводные'!$B$131</f>
        <v/>
      </c>
      <c r="AH18" s="42">
        <f>AH17*'01_Вводные'!$B$131</f>
        <v/>
      </c>
      <c r="AI18" s="42">
        <f>AI17*'01_Вводные'!$B$131</f>
        <v/>
      </c>
      <c r="AJ18" s="42">
        <f>AJ17*'01_Вводные'!$B$131</f>
        <v/>
      </c>
      <c r="AK18" s="42">
        <f>AK17*'01_Вводные'!$B$131</f>
        <v/>
      </c>
      <c r="AL18" s="42">
        <f>AL17*'01_Вводные'!$B$131</f>
        <v/>
      </c>
      <c r="AM18" s="42">
        <f>AM17*'01_Вводные'!$B$131</f>
        <v/>
      </c>
      <c r="AN18" s="42">
        <f>AN17*'01_Вводные'!$B$131</f>
        <v/>
      </c>
      <c r="AO18" s="42">
        <f>AO17*'01_Вводные'!$B$131</f>
        <v/>
      </c>
      <c r="AP18" s="42">
        <f>AP17*'01_Вводные'!$B$131</f>
        <v/>
      </c>
      <c r="AQ18" s="42">
        <f>AQ17*'01_Вводные'!$B$131</f>
        <v/>
      </c>
      <c r="AR18" s="42">
        <f>AR17*'01_Вводные'!$B$131</f>
        <v/>
      </c>
      <c r="AS18" s="42">
        <f>AS17*'01_Вводные'!$B$131</f>
        <v/>
      </c>
      <c r="AT18" s="42">
        <f>AT17*'01_Вводные'!$B$131</f>
        <v/>
      </c>
      <c r="AU18" s="42">
        <f>AU17*'01_Вводные'!$B$131</f>
        <v/>
      </c>
      <c r="AV18" s="42">
        <f>AV17*'01_Вводные'!$B$131</f>
        <v/>
      </c>
      <c r="AW18" s="42">
        <f>AW17*'01_Вводные'!$B$131</f>
        <v/>
      </c>
      <c r="AX18" s="42">
        <f>AX17*'01_Вводные'!$B$131</f>
        <v/>
      </c>
      <c r="AY18" s="42">
        <f>AY17*'01_Вводные'!$B$131</f>
        <v/>
      </c>
      <c r="AZ18" s="42">
        <f>AZ17*'01_Вводные'!$B$131</f>
        <v/>
      </c>
      <c r="BA18" s="42">
        <f>BA17*'01_Вводные'!$B$131</f>
        <v/>
      </c>
      <c r="BB18" s="42">
        <f>BB17*'01_Вводные'!$B$131</f>
        <v/>
      </c>
      <c r="BC18" s="42">
        <f>BC17*'01_Вводные'!$B$131</f>
        <v/>
      </c>
      <c r="BD18" s="42">
        <f>BD17*'01_Вводные'!$B$131</f>
        <v/>
      </c>
      <c r="BE18" s="42">
        <f>BE17*'01_Вводные'!$B$131</f>
        <v/>
      </c>
      <c r="BF18" s="42">
        <f>BF17*'01_Вводные'!$B$131</f>
        <v/>
      </c>
      <c r="BG18" s="42">
        <f>BG17*'01_Вводные'!$B$131</f>
        <v/>
      </c>
      <c r="BH18" s="42">
        <f>BH17*'01_Вводные'!$B$131</f>
        <v/>
      </c>
      <c r="BI18" s="42">
        <f>BI17*'01_Вводные'!$B$131</f>
        <v/>
      </c>
    </row>
    <row r="19">
      <c r="A19" s="2" t="inlineStr">
        <is>
          <t>Временный продавец — полная стоимость</t>
        </is>
      </c>
      <c r="B19" s="95">
        <f>IF('04_Продажи'!B15&gt;='01_Вводные'!$B$126,IF('01_Вводные'!$B$129="ИП",'01_Вводные'!$B$127+'04_Продажи'!B26*'01_Вводные'!$B$128,('01_Вводные'!$B$127/'01_Вводные'!$B$132+'04_Продажи'!B26*'01_Вводные'!$B$128)*(1+'01_Вводные'!$B$131)),0)</f>
        <v/>
      </c>
      <c r="C19" s="95">
        <f>IF('04_Продажи'!C15&gt;='01_Вводные'!$B$126,IF('01_Вводные'!$B$129="ИП",'01_Вводные'!$B$127+'04_Продажи'!C26*'01_Вводные'!$B$128,('01_Вводные'!$B$127/'01_Вводные'!$B$132+'04_Продажи'!C26*'01_Вводные'!$B$128)*(1+'01_Вводные'!$B$131)),0)</f>
        <v/>
      </c>
      <c r="D19" s="95">
        <f>IF('04_Продажи'!D15&gt;='01_Вводные'!$B$126,IF('01_Вводные'!$B$129="ИП",'01_Вводные'!$B$127+'04_Продажи'!D26*'01_Вводные'!$B$128,('01_Вводные'!$B$127/'01_Вводные'!$B$132+'04_Продажи'!D26*'01_Вводные'!$B$128)*(1+'01_Вводные'!$B$131)),0)</f>
        <v/>
      </c>
      <c r="E19" s="95">
        <f>IF('04_Продажи'!E15&gt;='01_Вводные'!$B$126,IF('01_Вводные'!$B$129="ИП",'01_Вводные'!$B$127+'04_Продажи'!E26*'01_Вводные'!$B$128,('01_Вводные'!$B$127/'01_Вводные'!$B$132+'04_Продажи'!E26*'01_Вводные'!$B$128)*(1+'01_Вводные'!$B$131)),0)</f>
        <v/>
      </c>
      <c r="F19" s="95">
        <f>IF('04_Продажи'!F15&gt;='01_Вводные'!$B$126,IF('01_Вводные'!$B$129="ИП",'01_Вводные'!$B$127+'04_Продажи'!F26*'01_Вводные'!$B$128,('01_Вводные'!$B$127/'01_Вводные'!$B$132+'04_Продажи'!F26*'01_Вводные'!$B$128)*(1+'01_Вводные'!$B$131)),0)</f>
        <v/>
      </c>
      <c r="G19" s="95">
        <f>IF('04_Продажи'!G15&gt;='01_Вводные'!$B$126,IF('01_Вводные'!$B$129="ИП",'01_Вводные'!$B$127+'04_Продажи'!G26*'01_Вводные'!$B$128,('01_Вводные'!$B$127/'01_Вводные'!$B$132+'04_Продажи'!G26*'01_Вводные'!$B$128)*(1+'01_Вводные'!$B$131)),0)</f>
        <v/>
      </c>
      <c r="H19" s="95">
        <f>IF('04_Продажи'!H15&gt;='01_Вводные'!$B$126,IF('01_Вводные'!$B$129="ИП",'01_Вводные'!$B$127+'04_Продажи'!H26*'01_Вводные'!$B$128,('01_Вводные'!$B$127/'01_Вводные'!$B$132+'04_Продажи'!H26*'01_Вводные'!$B$128)*(1+'01_Вводные'!$B$131)),0)</f>
        <v/>
      </c>
      <c r="I19" s="95">
        <f>IF('04_Продажи'!I15&gt;='01_Вводные'!$B$126,IF('01_Вводные'!$B$129="ИП",'01_Вводные'!$B$127+'04_Продажи'!I26*'01_Вводные'!$B$128,('01_Вводные'!$B$127/'01_Вводные'!$B$132+'04_Продажи'!I26*'01_Вводные'!$B$128)*(1+'01_Вводные'!$B$131)),0)</f>
        <v/>
      </c>
      <c r="J19" s="95">
        <f>IF('04_Продажи'!J15&gt;='01_Вводные'!$B$126,IF('01_Вводные'!$B$129="ИП",'01_Вводные'!$B$127+'04_Продажи'!J26*'01_Вводные'!$B$128,('01_Вводные'!$B$127/'01_Вводные'!$B$132+'04_Продажи'!J26*'01_Вводные'!$B$128)*(1+'01_Вводные'!$B$131)),0)</f>
        <v/>
      </c>
      <c r="K19" s="95">
        <f>IF('04_Продажи'!K15&gt;='01_Вводные'!$B$126,IF('01_Вводные'!$B$129="ИП",'01_Вводные'!$B$127+'04_Продажи'!K26*'01_Вводные'!$B$128,('01_Вводные'!$B$127/'01_Вводные'!$B$132+'04_Продажи'!K26*'01_Вводные'!$B$128)*(1+'01_Вводные'!$B$131)),0)</f>
        <v/>
      </c>
      <c r="L19" s="95">
        <f>IF('04_Продажи'!L15&gt;='01_Вводные'!$B$126,IF('01_Вводные'!$B$129="ИП",'01_Вводные'!$B$127+'04_Продажи'!L26*'01_Вводные'!$B$128,('01_Вводные'!$B$127/'01_Вводные'!$B$132+'04_Продажи'!L26*'01_Вводные'!$B$128)*(1+'01_Вводные'!$B$131)),0)</f>
        <v/>
      </c>
      <c r="M19" s="95">
        <f>IF('04_Продажи'!M15&gt;='01_Вводные'!$B$126,IF('01_Вводные'!$B$129="ИП",'01_Вводные'!$B$127+'04_Продажи'!M26*'01_Вводные'!$B$128,('01_Вводные'!$B$127/'01_Вводные'!$B$132+'04_Продажи'!M26*'01_Вводные'!$B$128)*(1+'01_Вводные'!$B$131)),0)</f>
        <v/>
      </c>
      <c r="N19" s="95">
        <f>IF('04_Продажи'!N15&gt;='01_Вводные'!$B$126,IF('01_Вводные'!$B$129="ИП",'01_Вводные'!$B$127+'04_Продажи'!N26*'01_Вводные'!$B$128,('01_Вводные'!$B$127/'01_Вводные'!$B$132+'04_Продажи'!N26*'01_Вводные'!$B$128)*(1+'01_Вводные'!$B$131)),0)</f>
        <v/>
      </c>
      <c r="O19" s="95">
        <f>IF('04_Продажи'!O15&gt;='01_Вводные'!$B$126,IF('01_Вводные'!$B$129="ИП",'01_Вводные'!$B$127+'04_Продажи'!O26*'01_Вводные'!$B$128,('01_Вводные'!$B$127/'01_Вводные'!$B$132+'04_Продажи'!O26*'01_Вводные'!$B$128)*(1+'01_Вводные'!$B$131)),0)</f>
        <v/>
      </c>
      <c r="P19" s="95">
        <f>IF('04_Продажи'!P15&gt;='01_Вводные'!$B$126,IF('01_Вводные'!$B$129="ИП",'01_Вводные'!$B$127+'04_Продажи'!P26*'01_Вводные'!$B$128,('01_Вводные'!$B$127/'01_Вводные'!$B$132+'04_Продажи'!P26*'01_Вводные'!$B$128)*(1+'01_Вводные'!$B$131)),0)</f>
        <v/>
      </c>
      <c r="Q19" s="95">
        <f>IF('04_Продажи'!Q15&gt;='01_Вводные'!$B$126,IF('01_Вводные'!$B$129="ИП",'01_Вводные'!$B$127+'04_Продажи'!Q26*'01_Вводные'!$B$128,('01_Вводные'!$B$127/'01_Вводные'!$B$132+'04_Продажи'!Q26*'01_Вводные'!$B$128)*(1+'01_Вводные'!$B$131)),0)</f>
        <v/>
      </c>
      <c r="R19" s="95">
        <f>IF('04_Продажи'!R15&gt;='01_Вводные'!$B$126,IF('01_Вводные'!$B$129="ИП",'01_Вводные'!$B$127+'04_Продажи'!R26*'01_Вводные'!$B$128,('01_Вводные'!$B$127/'01_Вводные'!$B$132+'04_Продажи'!R26*'01_Вводные'!$B$128)*(1+'01_Вводные'!$B$131)),0)</f>
        <v/>
      </c>
      <c r="S19" s="95">
        <f>IF('04_Продажи'!S15&gt;='01_Вводные'!$B$126,IF('01_Вводные'!$B$129="ИП",'01_Вводные'!$B$127+'04_Продажи'!S26*'01_Вводные'!$B$128,('01_Вводные'!$B$127/'01_Вводные'!$B$132+'04_Продажи'!S26*'01_Вводные'!$B$128)*(1+'01_Вводные'!$B$131)),0)</f>
        <v/>
      </c>
      <c r="T19" s="95">
        <f>IF('04_Продажи'!T15&gt;='01_Вводные'!$B$126,IF('01_Вводные'!$B$129="ИП",'01_Вводные'!$B$127+'04_Продажи'!T26*'01_Вводные'!$B$128,('01_Вводные'!$B$127/'01_Вводные'!$B$132+'04_Продажи'!T26*'01_Вводные'!$B$128)*(1+'01_Вводные'!$B$131)),0)</f>
        <v/>
      </c>
      <c r="U19" s="95">
        <f>IF('04_Продажи'!U15&gt;='01_Вводные'!$B$126,IF('01_Вводные'!$B$129="ИП",'01_Вводные'!$B$127+'04_Продажи'!U26*'01_Вводные'!$B$128,('01_Вводные'!$B$127/'01_Вводные'!$B$132+'04_Продажи'!U26*'01_Вводные'!$B$128)*(1+'01_Вводные'!$B$131)),0)</f>
        <v/>
      </c>
      <c r="V19" s="95">
        <f>IF('04_Продажи'!V15&gt;='01_Вводные'!$B$126,IF('01_Вводные'!$B$129="ИП",'01_Вводные'!$B$127+'04_Продажи'!V26*'01_Вводные'!$B$128,('01_Вводные'!$B$127/'01_Вводные'!$B$132+'04_Продажи'!V26*'01_Вводные'!$B$128)*(1+'01_Вводные'!$B$131)),0)</f>
        <v/>
      </c>
      <c r="W19" s="95">
        <f>IF('04_Продажи'!W15&gt;='01_Вводные'!$B$126,IF('01_Вводные'!$B$129="ИП",'01_Вводные'!$B$127+'04_Продажи'!W26*'01_Вводные'!$B$128,('01_Вводные'!$B$127/'01_Вводные'!$B$132+'04_Продажи'!W26*'01_Вводные'!$B$128)*(1+'01_Вводные'!$B$131)),0)</f>
        <v/>
      </c>
      <c r="X19" s="95">
        <f>IF('04_Продажи'!X15&gt;='01_Вводные'!$B$126,IF('01_Вводные'!$B$129="ИП",'01_Вводные'!$B$127+'04_Продажи'!X26*'01_Вводные'!$B$128,('01_Вводные'!$B$127/'01_Вводные'!$B$132+'04_Продажи'!X26*'01_Вводные'!$B$128)*(1+'01_Вводные'!$B$131)),0)</f>
        <v/>
      </c>
      <c r="Y19" s="95">
        <f>IF('04_Продажи'!Y15&gt;='01_Вводные'!$B$126,IF('01_Вводные'!$B$129="ИП",'01_Вводные'!$B$127+'04_Продажи'!Y26*'01_Вводные'!$B$128,('01_Вводные'!$B$127/'01_Вводные'!$B$132+'04_Продажи'!Y26*'01_Вводные'!$B$128)*(1+'01_Вводные'!$B$131)),0)</f>
        <v/>
      </c>
      <c r="Z19" s="95">
        <f>IF('04_Продажи'!Z15&gt;='01_Вводные'!$B$126,IF('01_Вводные'!$B$129="ИП",'01_Вводные'!$B$127+'04_Продажи'!Z26*'01_Вводные'!$B$128,('01_Вводные'!$B$127/'01_Вводные'!$B$132+'04_Продажи'!Z26*'01_Вводные'!$B$128)*(1+'01_Вводные'!$B$131)),0)</f>
        <v/>
      </c>
      <c r="AA19" s="95">
        <f>IF('04_Продажи'!AA15&gt;='01_Вводные'!$B$126,IF('01_Вводные'!$B$129="ИП",'01_Вводные'!$B$127+'04_Продажи'!AA26*'01_Вводные'!$B$128,('01_Вводные'!$B$127/'01_Вводные'!$B$132+'04_Продажи'!AA26*'01_Вводные'!$B$128)*(1+'01_Вводные'!$B$131)),0)</f>
        <v/>
      </c>
      <c r="AB19" s="95">
        <f>IF('04_Продажи'!AB15&gt;='01_Вводные'!$B$126,IF('01_Вводные'!$B$129="ИП",'01_Вводные'!$B$127+'04_Продажи'!AB26*'01_Вводные'!$B$128,('01_Вводные'!$B$127/'01_Вводные'!$B$132+'04_Продажи'!AB26*'01_Вводные'!$B$128)*(1+'01_Вводные'!$B$131)),0)</f>
        <v/>
      </c>
      <c r="AC19" s="95">
        <f>IF('04_Продажи'!AC15&gt;='01_Вводные'!$B$126,IF('01_Вводные'!$B$129="ИП",'01_Вводные'!$B$127+'04_Продажи'!AC26*'01_Вводные'!$B$128,('01_Вводные'!$B$127/'01_Вводные'!$B$132+'04_Продажи'!AC26*'01_Вводные'!$B$128)*(1+'01_Вводные'!$B$131)),0)</f>
        <v/>
      </c>
      <c r="AD19" s="95">
        <f>IF('04_Продажи'!AD15&gt;='01_Вводные'!$B$126,IF('01_Вводные'!$B$129="ИП",'01_Вводные'!$B$127+'04_Продажи'!AD26*'01_Вводные'!$B$128,('01_Вводные'!$B$127/'01_Вводные'!$B$132+'04_Продажи'!AD26*'01_Вводные'!$B$128)*(1+'01_Вводные'!$B$131)),0)</f>
        <v/>
      </c>
      <c r="AE19" s="95">
        <f>IF('04_Продажи'!AE15&gt;='01_Вводные'!$B$126,IF('01_Вводные'!$B$129="ИП",'01_Вводные'!$B$127+'04_Продажи'!AE26*'01_Вводные'!$B$128,('01_Вводные'!$B$127/'01_Вводные'!$B$132+'04_Продажи'!AE26*'01_Вводные'!$B$128)*(1+'01_Вводные'!$B$131)),0)</f>
        <v/>
      </c>
      <c r="AF19" s="95">
        <f>IF('04_Продажи'!AF15&gt;='01_Вводные'!$B$126,IF('01_Вводные'!$B$129="ИП",'01_Вводные'!$B$127+'04_Продажи'!AF26*'01_Вводные'!$B$128,('01_Вводные'!$B$127/'01_Вводные'!$B$132+'04_Продажи'!AF26*'01_Вводные'!$B$128)*(1+'01_Вводные'!$B$131)),0)</f>
        <v/>
      </c>
      <c r="AG19" s="95">
        <f>IF('04_Продажи'!AG15&gt;='01_Вводные'!$B$126,IF('01_Вводные'!$B$129="ИП",'01_Вводные'!$B$127+'04_Продажи'!AG26*'01_Вводные'!$B$128,('01_Вводные'!$B$127/'01_Вводные'!$B$132+'04_Продажи'!AG26*'01_Вводные'!$B$128)*(1+'01_Вводные'!$B$131)),0)</f>
        <v/>
      </c>
      <c r="AH19" s="95">
        <f>IF('04_Продажи'!AH15&gt;='01_Вводные'!$B$126,IF('01_Вводные'!$B$129="ИП",'01_Вводные'!$B$127+'04_Продажи'!AH26*'01_Вводные'!$B$128,('01_Вводные'!$B$127/'01_Вводные'!$B$132+'04_Продажи'!AH26*'01_Вводные'!$B$128)*(1+'01_Вводные'!$B$131)),0)</f>
        <v/>
      </c>
      <c r="AI19" s="95">
        <f>IF('04_Продажи'!AI15&gt;='01_Вводные'!$B$126,IF('01_Вводные'!$B$129="ИП",'01_Вводные'!$B$127+'04_Продажи'!AI26*'01_Вводные'!$B$128,('01_Вводные'!$B$127/'01_Вводные'!$B$132+'04_Продажи'!AI26*'01_Вводные'!$B$128)*(1+'01_Вводные'!$B$131)),0)</f>
        <v/>
      </c>
      <c r="AJ19" s="95">
        <f>IF('04_Продажи'!AJ15&gt;='01_Вводные'!$B$126,IF('01_Вводные'!$B$129="ИП",'01_Вводные'!$B$127+'04_Продажи'!AJ26*'01_Вводные'!$B$128,('01_Вводные'!$B$127/'01_Вводные'!$B$132+'04_Продажи'!AJ26*'01_Вводные'!$B$128)*(1+'01_Вводные'!$B$131)),0)</f>
        <v/>
      </c>
      <c r="AK19" s="95">
        <f>IF('04_Продажи'!AK15&gt;='01_Вводные'!$B$126,IF('01_Вводные'!$B$129="ИП",'01_Вводные'!$B$127+'04_Продажи'!AK26*'01_Вводные'!$B$128,('01_Вводные'!$B$127/'01_Вводные'!$B$132+'04_Продажи'!AK26*'01_Вводные'!$B$128)*(1+'01_Вводные'!$B$131)),0)</f>
        <v/>
      </c>
      <c r="AL19" s="95">
        <f>IF('04_Продажи'!AL15&gt;='01_Вводные'!$B$126,IF('01_Вводные'!$B$129="ИП",'01_Вводные'!$B$127+'04_Продажи'!AL26*'01_Вводные'!$B$128,('01_Вводные'!$B$127/'01_Вводные'!$B$132+'04_Продажи'!AL26*'01_Вводные'!$B$128)*(1+'01_Вводные'!$B$131)),0)</f>
        <v/>
      </c>
      <c r="AM19" s="95">
        <f>IF('04_Продажи'!AM15&gt;='01_Вводные'!$B$126,IF('01_Вводные'!$B$129="ИП",'01_Вводные'!$B$127+'04_Продажи'!AM26*'01_Вводные'!$B$128,('01_Вводные'!$B$127/'01_Вводные'!$B$132+'04_Продажи'!AM26*'01_Вводные'!$B$128)*(1+'01_Вводные'!$B$131)),0)</f>
        <v/>
      </c>
      <c r="AN19" s="95">
        <f>IF('04_Продажи'!AN15&gt;='01_Вводные'!$B$126,IF('01_Вводные'!$B$129="ИП",'01_Вводные'!$B$127+'04_Продажи'!AN26*'01_Вводные'!$B$128,('01_Вводные'!$B$127/'01_Вводные'!$B$132+'04_Продажи'!AN26*'01_Вводные'!$B$128)*(1+'01_Вводные'!$B$131)),0)</f>
        <v/>
      </c>
      <c r="AO19" s="95">
        <f>IF('04_Продажи'!AO15&gt;='01_Вводные'!$B$126,IF('01_Вводные'!$B$129="ИП",'01_Вводные'!$B$127+'04_Продажи'!AO26*'01_Вводные'!$B$128,('01_Вводные'!$B$127/'01_Вводные'!$B$132+'04_Продажи'!AO26*'01_Вводные'!$B$128)*(1+'01_Вводные'!$B$131)),0)</f>
        <v/>
      </c>
      <c r="AP19" s="95">
        <f>IF('04_Продажи'!AP15&gt;='01_Вводные'!$B$126,IF('01_Вводные'!$B$129="ИП",'01_Вводные'!$B$127+'04_Продажи'!AP26*'01_Вводные'!$B$128,('01_Вводные'!$B$127/'01_Вводные'!$B$132+'04_Продажи'!AP26*'01_Вводные'!$B$128)*(1+'01_Вводные'!$B$131)),0)</f>
        <v/>
      </c>
      <c r="AQ19" s="95">
        <f>IF('04_Продажи'!AQ15&gt;='01_Вводные'!$B$126,IF('01_Вводные'!$B$129="ИП",'01_Вводные'!$B$127+'04_Продажи'!AQ26*'01_Вводные'!$B$128,('01_Вводные'!$B$127/'01_Вводные'!$B$132+'04_Продажи'!AQ26*'01_Вводные'!$B$128)*(1+'01_Вводные'!$B$131)),0)</f>
        <v/>
      </c>
      <c r="AR19" s="95">
        <f>IF('04_Продажи'!AR15&gt;='01_Вводные'!$B$126,IF('01_Вводные'!$B$129="ИП",'01_Вводные'!$B$127+'04_Продажи'!AR26*'01_Вводные'!$B$128,('01_Вводные'!$B$127/'01_Вводные'!$B$132+'04_Продажи'!AR26*'01_Вводные'!$B$128)*(1+'01_Вводные'!$B$131)),0)</f>
        <v/>
      </c>
      <c r="AS19" s="95">
        <f>IF('04_Продажи'!AS15&gt;='01_Вводные'!$B$126,IF('01_Вводные'!$B$129="ИП",'01_Вводные'!$B$127+'04_Продажи'!AS26*'01_Вводные'!$B$128,('01_Вводные'!$B$127/'01_Вводные'!$B$132+'04_Продажи'!AS26*'01_Вводные'!$B$128)*(1+'01_Вводные'!$B$131)),0)</f>
        <v/>
      </c>
      <c r="AT19" s="95">
        <f>IF('04_Продажи'!AT15&gt;='01_Вводные'!$B$126,IF('01_Вводные'!$B$129="ИП",'01_Вводные'!$B$127+'04_Продажи'!AT26*'01_Вводные'!$B$128,('01_Вводные'!$B$127/'01_Вводные'!$B$132+'04_Продажи'!AT26*'01_Вводные'!$B$128)*(1+'01_Вводные'!$B$131)),0)</f>
        <v/>
      </c>
      <c r="AU19" s="95">
        <f>IF('04_Продажи'!AU15&gt;='01_Вводные'!$B$126,IF('01_Вводные'!$B$129="ИП",'01_Вводные'!$B$127+'04_Продажи'!AU26*'01_Вводные'!$B$128,('01_Вводные'!$B$127/'01_Вводные'!$B$132+'04_Продажи'!AU26*'01_Вводные'!$B$128)*(1+'01_Вводные'!$B$131)),0)</f>
        <v/>
      </c>
      <c r="AV19" s="95">
        <f>IF('04_Продажи'!AV15&gt;='01_Вводные'!$B$126,IF('01_Вводные'!$B$129="ИП",'01_Вводные'!$B$127+'04_Продажи'!AV26*'01_Вводные'!$B$128,('01_Вводные'!$B$127/'01_Вводные'!$B$132+'04_Продажи'!AV26*'01_Вводные'!$B$128)*(1+'01_Вводные'!$B$131)),0)</f>
        <v/>
      </c>
      <c r="AW19" s="95">
        <f>IF('04_Продажи'!AW15&gt;='01_Вводные'!$B$126,IF('01_Вводные'!$B$129="ИП",'01_Вводные'!$B$127+'04_Продажи'!AW26*'01_Вводные'!$B$128,('01_Вводные'!$B$127/'01_Вводные'!$B$132+'04_Продажи'!AW26*'01_Вводные'!$B$128)*(1+'01_Вводные'!$B$131)),0)</f>
        <v/>
      </c>
      <c r="AX19" s="95">
        <f>IF('04_Продажи'!AX15&gt;='01_Вводные'!$B$126,IF('01_Вводные'!$B$129="ИП",'01_Вводные'!$B$127+'04_Продажи'!AX26*'01_Вводные'!$B$128,('01_Вводные'!$B$127/'01_Вводные'!$B$132+'04_Продажи'!AX26*'01_Вводные'!$B$128)*(1+'01_Вводные'!$B$131)),0)</f>
        <v/>
      </c>
      <c r="AY19" s="95">
        <f>IF('04_Продажи'!AY15&gt;='01_Вводные'!$B$126,IF('01_Вводные'!$B$129="ИП",'01_Вводные'!$B$127+'04_Продажи'!AY26*'01_Вводные'!$B$128,('01_Вводные'!$B$127/'01_Вводные'!$B$132+'04_Продажи'!AY26*'01_Вводные'!$B$128)*(1+'01_Вводные'!$B$131)),0)</f>
        <v/>
      </c>
      <c r="AZ19" s="95">
        <f>IF('04_Продажи'!AZ15&gt;='01_Вводные'!$B$126,IF('01_Вводные'!$B$129="ИП",'01_Вводные'!$B$127+'04_Продажи'!AZ26*'01_Вводные'!$B$128,('01_Вводные'!$B$127/'01_Вводные'!$B$132+'04_Продажи'!AZ26*'01_Вводные'!$B$128)*(1+'01_Вводные'!$B$131)),0)</f>
        <v/>
      </c>
      <c r="BA19" s="95">
        <f>IF('04_Продажи'!BA15&gt;='01_Вводные'!$B$126,IF('01_Вводные'!$B$129="ИП",'01_Вводные'!$B$127+'04_Продажи'!BA26*'01_Вводные'!$B$128,('01_Вводные'!$B$127/'01_Вводные'!$B$132+'04_Продажи'!BA26*'01_Вводные'!$B$128)*(1+'01_Вводные'!$B$131)),0)</f>
        <v/>
      </c>
      <c r="BB19" s="95">
        <f>IF('04_Продажи'!BB15&gt;='01_Вводные'!$B$126,IF('01_Вводные'!$B$129="ИП",'01_Вводные'!$B$127+'04_Продажи'!BB26*'01_Вводные'!$B$128,('01_Вводные'!$B$127/'01_Вводные'!$B$132+'04_Продажи'!BB26*'01_Вводные'!$B$128)*(1+'01_Вводные'!$B$131)),0)</f>
        <v/>
      </c>
      <c r="BC19" s="95">
        <f>IF('04_Продажи'!BC15&gt;='01_Вводные'!$B$126,IF('01_Вводные'!$B$129="ИП",'01_Вводные'!$B$127+'04_Продажи'!BC26*'01_Вводные'!$B$128,('01_Вводные'!$B$127/'01_Вводные'!$B$132+'04_Продажи'!BC26*'01_Вводные'!$B$128)*(1+'01_Вводные'!$B$131)),0)</f>
        <v/>
      </c>
      <c r="BD19" s="95">
        <f>IF('04_Продажи'!BD15&gt;='01_Вводные'!$B$126,IF('01_Вводные'!$B$129="ИП",'01_Вводные'!$B$127+'04_Продажи'!BD26*'01_Вводные'!$B$128,('01_Вводные'!$B$127/'01_Вводные'!$B$132+'04_Продажи'!BD26*'01_Вводные'!$B$128)*(1+'01_Вводные'!$B$131)),0)</f>
        <v/>
      </c>
      <c r="BE19" s="95">
        <f>IF('04_Продажи'!BE15&gt;='01_Вводные'!$B$126,IF('01_Вводные'!$B$129="ИП",'01_Вводные'!$B$127+'04_Продажи'!BE26*'01_Вводные'!$B$128,('01_Вводные'!$B$127/'01_Вводные'!$B$132+'04_Продажи'!BE26*'01_Вводные'!$B$128)*(1+'01_Вводные'!$B$131)),0)</f>
        <v/>
      </c>
      <c r="BF19" s="95">
        <f>IF('04_Продажи'!BF15&gt;='01_Вводные'!$B$126,IF('01_Вводные'!$B$129="ИП",'01_Вводные'!$B$127+'04_Продажи'!BF26*'01_Вводные'!$B$128,('01_Вводные'!$B$127/'01_Вводные'!$B$132+'04_Продажи'!BF26*'01_Вводные'!$B$128)*(1+'01_Вводные'!$B$131)),0)</f>
        <v/>
      </c>
      <c r="BG19" s="95">
        <f>IF('04_Продажи'!BG15&gt;='01_Вводные'!$B$126,IF('01_Вводные'!$B$129="ИП",'01_Вводные'!$B$127+'04_Продажи'!BG26*'01_Вводные'!$B$128,('01_Вводные'!$B$127/'01_Вводные'!$B$132+'04_Продажи'!BG26*'01_Вводные'!$B$128)*(1+'01_Вводные'!$B$131)),0)</f>
        <v/>
      </c>
      <c r="BH19" s="95">
        <f>IF('04_Продажи'!BH15&gt;='01_Вводные'!$B$126,IF('01_Вводные'!$B$129="ИП",'01_Вводные'!$B$127+'04_Продажи'!BH26*'01_Вводные'!$B$128,('01_Вводные'!$B$127/'01_Вводные'!$B$132+'04_Продажи'!BH26*'01_Вводные'!$B$128)*(1+'01_Вводные'!$B$131)),0)</f>
        <v/>
      </c>
      <c r="BI19" s="95">
        <f>IF('04_Продажи'!BI15&gt;='01_Вводные'!$B$126,IF('01_Вводные'!$B$129="ИП",'01_Вводные'!$B$127+'04_Продажи'!BI26*'01_Вводные'!$B$128,('01_Вводные'!$B$127/'01_Вводные'!$B$132+'04_Продажи'!BI26*'01_Вводные'!$B$128)*(1+'01_Вводные'!$B$131)),0)</f>
        <v/>
      </c>
    </row>
    <row r="20"/>
    <row r="21">
      <c r="A21" s="2" t="inlineStr">
        <is>
          <t>Квартальная премия — gross</t>
        </is>
      </c>
      <c r="B21" s="95">
        <f>IF(AND(B$3&gt;='01_Вводные'!$B$246,MOD(MONTH(B$3),3)=0),('01_Вводные'!$B$152*B5+IF('01_Вводные'!$D$138="Да",B30,0)+B8+B9)*'01_Вводные'!$B$130,0)</f>
        <v/>
      </c>
      <c r="C21" s="95">
        <f>IF(AND(C$3&gt;='01_Вводные'!$B$246,MOD(MONTH(C$3),3)=0),('01_Вводные'!$B$152*C5+IF('01_Вводные'!$D$138="Да",C30,0)+C8+C9)*'01_Вводные'!$B$130,0)</f>
        <v/>
      </c>
      <c r="D21" s="95">
        <f>IF(AND(D$3&gt;='01_Вводные'!$B$246,MOD(MONTH(D$3),3)=0),('01_Вводные'!$B$152*D5+IF('01_Вводные'!$D$138="Да",D30,0)+D8+D9)*'01_Вводные'!$B$130,0)</f>
        <v/>
      </c>
      <c r="E21" s="95">
        <f>IF(AND(E$3&gt;='01_Вводные'!$B$246,MOD(MONTH(E$3),3)=0),('01_Вводные'!$B$152*E5+IF('01_Вводные'!$D$138="Да",E30,0)+E8+E9)*'01_Вводные'!$B$130,0)</f>
        <v/>
      </c>
      <c r="F21" s="95">
        <f>IF(AND(F$3&gt;='01_Вводные'!$B$246,MOD(MONTH(F$3),3)=0),('01_Вводные'!$B$152*F5+IF('01_Вводные'!$D$138="Да",F30,0)+F8+F9)*'01_Вводные'!$B$130,0)</f>
        <v/>
      </c>
      <c r="G21" s="95">
        <f>IF(AND(G$3&gt;='01_Вводные'!$B$246,MOD(MONTH(G$3),3)=0),('01_Вводные'!$B$152*G5+IF('01_Вводные'!$D$138="Да",G30,0)+G8+G9)*'01_Вводные'!$B$130,0)</f>
        <v/>
      </c>
      <c r="H21" s="95">
        <f>IF(AND(H$3&gt;='01_Вводные'!$B$246,MOD(MONTH(H$3),3)=0),('01_Вводные'!$B$152*H5+IF('01_Вводные'!$D$138="Да",H30,0)+H8+H9)*'01_Вводные'!$B$130,0)</f>
        <v/>
      </c>
      <c r="I21" s="95">
        <f>IF(AND(I$3&gt;='01_Вводные'!$B$246,MOD(MONTH(I$3),3)=0),('01_Вводные'!$B$152*I5+IF('01_Вводные'!$D$138="Да",I30,0)+I8+I9)*'01_Вводные'!$B$130,0)</f>
        <v/>
      </c>
      <c r="J21" s="95">
        <f>IF(AND(J$3&gt;='01_Вводные'!$B$246,MOD(MONTH(J$3),3)=0),('01_Вводные'!$B$152*J5+IF('01_Вводные'!$D$138="Да",J30,0)+J8+J9)*'01_Вводные'!$B$130,0)</f>
        <v/>
      </c>
      <c r="K21" s="95">
        <f>IF(AND(K$3&gt;='01_Вводные'!$B$246,MOD(MONTH(K$3),3)=0),('01_Вводные'!$B$152*K5+IF('01_Вводные'!$D$138="Да",K30,0)+K8+K9)*'01_Вводные'!$B$130,0)</f>
        <v/>
      </c>
      <c r="L21" s="95">
        <f>IF(AND(L$3&gt;='01_Вводные'!$B$246,MOD(MONTH(L$3),3)=0),('01_Вводные'!$B$152*L5+IF('01_Вводные'!$D$138="Да",L30,0)+L8+L9)*'01_Вводные'!$B$130,0)</f>
        <v/>
      </c>
      <c r="M21" s="95">
        <f>IF(AND(M$3&gt;='01_Вводные'!$B$246,MOD(MONTH(M$3),3)=0),('01_Вводные'!$B$152*M5+IF('01_Вводные'!$D$138="Да",M30,0)+M8+M9)*'01_Вводные'!$B$130,0)</f>
        <v/>
      </c>
      <c r="N21" s="95">
        <f>IF(AND(N$3&gt;='01_Вводные'!$B$246,MOD(MONTH(N$3),3)=0),('01_Вводные'!$B$152*N5+IF('01_Вводные'!$D$138="Да",N30,0)+N8+N9)*'01_Вводные'!$B$130,0)</f>
        <v/>
      </c>
      <c r="O21" s="95">
        <f>IF(AND(O$3&gt;='01_Вводные'!$B$246,MOD(MONTH(O$3),3)=0),('01_Вводные'!$B$152*O5+IF('01_Вводные'!$D$138="Да",O30,0)+O8+O9)*'01_Вводные'!$B$130,0)</f>
        <v/>
      </c>
      <c r="P21" s="95">
        <f>IF(AND(P$3&gt;='01_Вводные'!$B$246,MOD(MONTH(P$3),3)=0),('01_Вводные'!$B$152*P5+IF('01_Вводные'!$D$138="Да",P30,0)+P8+P9)*'01_Вводные'!$B$130,0)</f>
        <v/>
      </c>
      <c r="Q21" s="95">
        <f>IF(AND(Q$3&gt;='01_Вводные'!$B$246,MOD(MONTH(Q$3),3)=0),('01_Вводные'!$B$152*Q5+IF('01_Вводные'!$D$138="Да",Q30,0)+Q8+Q9)*'01_Вводные'!$B$130,0)</f>
        <v/>
      </c>
      <c r="R21" s="95">
        <f>IF(AND(R$3&gt;='01_Вводные'!$B$246,MOD(MONTH(R$3),3)=0),('01_Вводные'!$B$152*R5+IF('01_Вводные'!$D$138="Да",R30,0)+R8+R9)*'01_Вводные'!$B$130,0)</f>
        <v/>
      </c>
      <c r="S21" s="95">
        <f>IF(AND(S$3&gt;='01_Вводные'!$B$246,MOD(MONTH(S$3),3)=0),('01_Вводные'!$B$152*S5+IF('01_Вводные'!$D$138="Да",S30,0)+S8+S9)*'01_Вводные'!$B$130,0)</f>
        <v/>
      </c>
      <c r="T21" s="95">
        <f>IF(AND(T$3&gt;='01_Вводные'!$B$246,MOD(MONTH(T$3),3)=0),('01_Вводные'!$B$152*T5+IF('01_Вводные'!$D$138="Да",T30,0)+T8+T9)*'01_Вводные'!$B$130,0)</f>
        <v/>
      </c>
      <c r="U21" s="95">
        <f>IF(AND(U$3&gt;='01_Вводные'!$B$246,MOD(MONTH(U$3),3)=0),('01_Вводные'!$B$152*U5+IF('01_Вводные'!$D$138="Да",U30,0)+U8+U9)*'01_Вводные'!$B$130,0)</f>
        <v/>
      </c>
      <c r="V21" s="95">
        <f>IF(AND(V$3&gt;='01_Вводные'!$B$246,MOD(MONTH(V$3),3)=0),('01_Вводные'!$B$152*V5+IF('01_Вводные'!$D$138="Да",V30,0)+V8+V9)*'01_Вводные'!$B$130,0)</f>
        <v/>
      </c>
      <c r="W21" s="95">
        <f>IF(AND(W$3&gt;='01_Вводные'!$B$246,MOD(MONTH(W$3),3)=0),('01_Вводные'!$B$152*W5+IF('01_Вводные'!$D$138="Да",W30,0)+W8+W9)*'01_Вводные'!$B$130,0)</f>
        <v/>
      </c>
      <c r="X21" s="95">
        <f>IF(AND(X$3&gt;='01_Вводные'!$B$246,MOD(MONTH(X$3),3)=0),('01_Вводные'!$B$152*X5+IF('01_Вводные'!$D$138="Да",X30,0)+X8+X9)*'01_Вводные'!$B$130,0)</f>
        <v/>
      </c>
      <c r="Y21" s="95">
        <f>IF(AND(Y$3&gt;='01_Вводные'!$B$246,MOD(MONTH(Y$3),3)=0),('01_Вводные'!$B$152*Y5+IF('01_Вводные'!$D$138="Да",Y30,0)+Y8+Y9)*'01_Вводные'!$B$130,0)</f>
        <v/>
      </c>
      <c r="Z21" s="95">
        <f>IF(AND(Z$3&gt;='01_Вводные'!$B$246,MOD(MONTH(Z$3),3)=0),('01_Вводные'!$B$152*Z5+IF('01_Вводные'!$D$138="Да",Z30,0)+Z8+Z9)*'01_Вводные'!$B$130,0)</f>
        <v/>
      </c>
      <c r="AA21" s="95">
        <f>IF(AND(AA$3&gt;='01_Вводные'!$B$246,MOD(MONTH(AA$3),3)=0),('01_Вводные'!$B$152*AA5+IF('01_Вводные'!$D$138="Да",AA30,0)+AA8+AA9)*'01_Вводные'!$B$130,0)</f>
        <v/>
      </c>
      <c r="AB21" s="95">
        <f>IF(AND(AB$3&gt;='01_Вводные'!$B$246,MOD(MONTH(AB$3),3)=0),('01_Вводные'!$B$152*AB5+IF('01_Вводные'!$D$138="Да",AB30,0)+AB8+AB9)*'01_Вводные'!$B$130,0)</f>
        <v/>
      </c>
      <c r="AC21" s="95">
        <f>IF(AND(AC$3&gt;='01_Вводные'!$B$246,MOD(MONTH(AC$3),3)=0),('01_Вводные'!$B$152*AC5+IF('01_Вводные'!$D$138="Да",AC30,0)+AC8+AC9)*'01_Вводные'!$B$130,0)</f>
        <v/>
      </c>
      <c r="AD21" s="95">
        <f>IF(AND(AD$3&gt;='01_Вводные'!$B$246,MOD(MONTH(AD$3),3)=0),('01_Вводные'!$B$152*AD5+IF('01_Вводные'!$D$138="Да",AD30,0)+AD8+AD9)*'01_Вводные'!$B$130,0)</f>
        <v/>
      </c>
      <c r="AE21" s="95">
        <f>IF(AND(AE$3&gt;='01_Вводные'!$B$246,MOD(MONTH(AE$3),3)=0),('01_Вводные'!$B$152*AE5+IF('01_Вводные'!$D$138="Да",AE30,0)+AE8+AE9)*'01_Вводные'!$B$130,0)</f>
        <v/>
      </c>
      <c r="AF21" s="95">
        <f>IF(AND(AF$3&gt;='01_Вводные'!$B$246,MOD(MONTH(AF$3),3)=0),('01_Вводные'!$B$152*AF5+IF('01_Вводные'!$D$138="Да",AF30,0)+AF8+AF9)*'01_Вводные'!$B$130,0)</f>
        <v/>
      </c>
      <c r="AG21" s="95">
        <f>IF(AND(AG$3&gt;='01_Вводные'!$B$246,MOD(MONTH(AG$3),3)=0),('01_Вводные'!$B$152*AG5+IF('01_Вводные'!$D$138="Да",AG30,0)+AG8+AG9)*'01_Вводные'!$B$130,0)</f>
        <v/>
      </c>
      <c r="AH21" s="95">
        <f>IF(AND(AH$3&gt;='01_Вводные'!$B$246,MOD(MONTH(AH$3),3)=0),('01_Вводные'!$B$152*AH5+IF('01_Вводные'!$D$138="Да",AH30,0)+AH8+AH9)*'01_Вводные'!$B$130,0)</f>
        <v/>
      </c>
      <c r="AI21" s="95">
        <f>IF(AND(AI$3&gt;='01_Вводные'!$B$246,MOD(MONTH(AI$3),3)=0),('01_Вводные'!$B$152*AI5+IF('01_Вводные'!$D$138="Да",AI30,0)+AI8+AI9)*'01_Вводные'!$B$130,0)</f>
        <v/>
      </c>
      <c r="AJ21" s="95">
        <f>IF(AND(AJ$3&gt;='01_Вводные'!$B$246,MOD(MONTH(AJ$3),3)=0),('01_Вводные'!$B$152*AJ5+IF('01_Вводные'!$D$138="Да",AJ30,0)+AJ8+AJ9)*'01_Вводные'!$B$130,0)</f>
        <v/>
      </c>
      <c r="AK21" s="95">
        <f>IF(AND(AK$3&gt;='01_Вводные'!$B$246,MOD(MONTH(AK$3),3)=0),('01_Вводные'!$B$152*AK5+IF('01_Вводные'!$D$138="Да",AK30,0)+AK8+AK9)*'01_Вводные'!$B$130,0)</f>
        <v/>
      </c>
      <c r="AL21" s="95">
        <f>IF(AND(AL$3&gt;='01_Вводные'!$B$246,MOD(MONTH(AL$3),3)=0),('01_Вводные'!$B$152*AL5+IF('01_Вводные'!$D$138="Да",AL30,0)+AL8+AL9)*'01_Вводные'!$B$130,0)</f>
        <v/>
      </c>
      <c r="AM21" s="95">
        <f>IF(AND(AM$3&gt;='01_Вводные'!$B$246,MOD(MONTH(AM$3),3)=0),('01_Вводные'!$B$152*AM5+IF('01_Вводные'!$D$138="Да",AM30,0)+AM8+AM9)*'01_Вводные'!$B$130,0)</f>
        <v/>
      </c>
      <c r="AN21" s="95">
        <f>IF(AND(AN$3&gt;='01_Вводные'!$B$246,MOD(MONTH(AN$3),3)=0),('01_Вводные'!$B$152*AN5+IF('01_Вводные'!$D$138="Да",AN30,0)+AN8+AN9)*'01_Вводные'!$B$130,0)</f>
        <v/>
      </c>
      <c r="AO21" s="95">
        <f>IF(AND(AO$3&gt;='01_Вводные'!$B$246,MOD(MONTH(AO$3),3)=0),('01_Вводные'!$B$152*AO5+IF('01_Вводные'!$D$138="Да",AO30,0)+AO8+AO9)*'01_Вводные'!$B$130,0)</f>
        <v/>
      </c>
      <c r="AP21" s="95">
        <f>IF(AND(AP$3&gt;='01_Вводные'!$B$246,MOD(MONTH(AP$3),3)=0),('01_Вводные'!$B$152*AP5+IF('01_Вводные'!$D$138="Да",AP30,0)+AP8+AP9)*'01_Вводные'!$B$130,0)</f>
        <v/>
      </c>
      <c r="AQ21" s="95">
        <f>IF(AND(AQ$3&gt;='01_Вводные'!$B$246,MOD(MONTH(AQ$3),3)=0),('01_Вводные'!$B$152*AQ5+IF('01_Вводные'!$D$138="Да",AQ30,0)+AQ8+AQ9)*'01_Вводные'!$B$130,0)</f>
        <v/>
      </c>
      <c r="AR21" s="95">
        <f>IF(AND(AR$3&gt;='01_Вводные'!$B$246,MOD(MONTH(AR$3),3)=0),('01_Вводные'!$B$152*AR5+IF('01_Вводные'!$D$138="Да",AR30,0)+AR8+AR9)*'01_Вводные'!$B$130,0)</f>
        <v/>
      </c>
      <c r="AS21" s="95">
        <f>IF(AND(AS$3&gt;='01_Вводные'!$B$246,MOD(MONTH(AS$3),3)=0),('01_Вводные'!$B$152*AS5+IF('01_Вводные'!$D$138="Да",AS30,0)+AS8+AS9)*'01_Вводные'!$B$130,0)</f>
        <v/>
      </c>
      <c r="AT21" s="95">
        <f>IF(AND(AT$3&gt;='01_Вводные'!$B$246,MOD(MONTH(AT$3),3)=0),('01_Вводные'!$B$152*AT5+IF('01_Вводные'!$D$138="Да",AT30,0)+AT8+AT9)*'01_Вводные'!$B$130,0)</f>
        <v/>
      </c>
      <c r="AU21" s="95">
        <f>IF(AND(AU$3&gt;='01_Вводные'!$B$246,MOD(MONTH(AU$3),3)=0),('01_Вводные'!$B$152*AU5+IF('01_Вводные'!$D$138="Да",AU30,0)+AU8+AU9)*'01_Вводные'!$B$130,0)</f>
        <v/>
      </c>
      <c r="AV21" s="95">
        <f>IF(AND(AV$3&gt;='01_Вводные'!$B$246,MOD(MONTH(AV$3),3)=0),('01_Вводные'!$B$152*AV5+IF('01_Вводные'!$D$138="Да",AV30,0)+AV8+AV9)*'01_Вводные'!$B$130,0)</f>
        <v/>
      </c>
      <c r="AW21" s="95">
        <f>IF(AND(AW$3&gt;='01_Вводные'!$B$246,MOD(MONTH(AW$3),3)=0),('01_Вводные'!$B$152*AW5+IF('01_Вводные'!$D$138="Да",AW30,0)+AW8+AW9)*'01_Вводные'!$B$130,0)</f>
        <v/>
      </c>
      <c r="AX21" s="95">
        <f>IF(AND(AX$3&gt;='01_Вводные'!$B$246,MOD(MONTH(AX$3),3)=0),('01_Вводные'!$B$152*AX5+IF('01_Вводные'!$D$138="Да",AX30,0)+AX8+AX9)*'01_Вводные'!$B$130,0)</f>
        <v/>
      </c>
      <c r="AY21" s="95">
        <f>IF(AND(AY$3&gt;='01_Вводные'!$B$246,MOD(MONTH(AY$3),3)=0),('01_Вводные'!$B$152*AY5+IF('01_Вводные'!$D$138="Да",AY30,0)+AY8+AY9)*'01_Вводные'!$B$130,0)</f>
        <v/>
      </c>
      <c r="AZ21" s="95">
        <f>IF(AND(AZ$3&gt;='01_Вводные'!$B$246,MOD(MONTH(AZ$3),3)=0),('01_Вводные'!$B$152*AZ5+IF('01_Вводные'!$D$138="Да",AZ30,0)+AZ8+AZ9)*'01_Вводные'!$B$130,0)</f>
        <v/>
      </c>
      <c r="BA21" s="95">
        <f>IF(AND(BA$3&gt;='01_Вводные'!$B$246,MOD(MONTH(BA$3),3)=0),('01_Вводные'!$B$152*BA5+IF('01_Вводные'!$D$138="Да",BA30,0)+BA8+BA9)*'01_Вводные'!$B$130,0)</f>
        <v/>
      </c>
      <c r="BB21" s="95">
        <f>IF(AND(BB$3&gt;='01_Вводные'!$B$246,MOD(MONTH(BB$3),3)=0),('01_Вводные'!$B$152*BB5+IF('01_Вводные'!$D$138="Да",BB30,0)+BB8+BB9)*'01_Вводные'!$B$130,0)</f>
        <v/>
      </c>
      <c r="BC21" s="95">
        <f>IF(AND(BC$3&gt;='01_Вводные'!$B$246,MOD(MONTH(BC$3),3)=0),('01_Вводные'!$B$152*BC5+IF('01_Вводные'!$D$138="Да",BC30,0)+BC8+BC9)*'01_Вводные'!$B$130,0)</f>
        <v/>
      </c>
      <c r="BD21" s="95">
        <f>IF(AND(BD$3&gt;='01_Вводные'!$B$246,MOD(MONTH(BD$3),3)=0),('01_Вводные'!$B$152*BD5+IF('01_Вводные'!$D$138="Да",BD30,0)+BD8+BD9)*'01_Вводные'!$B$130,0)</f>
        <v/>
      </c>
      <c r="BE21" s="95">
        <f>IF(AND(BE$3&gt;='01_Вводные'!$B$246,MOD(MONTH(BE$3),3)=0),('01_Вводные'!$B$152*BE5+IF('01_Вводные'!$D$138="Да",BE30,0)+BE8+BE9)*'01_Вводные'!$B$130,0)</f>
        <v/>
      </c>
      <c r="BF21" s="95">
        <f>IF(AND(BF$3&gt;='01_Вводные'!$B$246,MOD(MONTH(BF$3),3)=0),('01_Вводные'!$B$152*BF5+IF('01_Вводные'!$D$138="Да",BF30,0)+BF8+BF9)*'01_Вводные'!$B$130,0)</f>
        <v/>
      </c>
      <c r="BG21" s="95">
        <f>IF(AND(BG$3&gt;='01_Вводные'!$B$246,MOD(MONTH(BG$3),3)=0),('01_Вводные'!$B$152*BG5+IF('01_Вводные'!$D$138="Да",BG30,0)+BG8+BG9)*'01_Вводные'!$B$130,0)</f>
        <v/>
      </c>
      <c r="BH21" s="95">
        <f>IF(AND(BH$3&gt;='01_Вводные'!$B$246,MOD(MONTH(BH$3),3)=0),('01_Вводные'!$B$152*BH5+IF('01_Вводные'!$D$138="Да",BH30,0)+BH8+BH9)*'01_Вводные'!$B$130,0)</f>
        <v/>
      </c>
      <c r="BI21" s="95">
        <f>IF(AND(BI$3&gt;='01_Вводные'!$B$246,MOD(MONTH(BI$3),3)=0),('01_Вводные'!$B$152*BI5+IF('01_Вводные'!$D$138="Да",BI30,0)+BI8+BI9)*'01_Вводные'!$B$130,0)</f>
        <v/>
      </c>
    </row>
    <row r="22">
      <c r="A22" s="2" t="inlineStr">
        <is>
          <t>Взносы на квартальную премию</t>
        </is>
      </c>
      <c r="B22" s="42">
        <f>B21*'01_Вводные'!$B$131</f>
        <v/>
      </c>
      <c r="C22" s="42">
        <f>C21*'01_Вводные'!$B$131</f>
        <v/>
      </c>
      <c r="D22" s="42">
        <f>D21*'01_Вводные'!$B$131</f>
        <v/>
      </c>
      <c r="E22" s="42">
        <f>E21*'01_Вводные'!$B$131</f>
        <v/>
      </c>
      <c r="F22" s="42">
        <f>F21*'01_Вводные'!$B$131</f>
        <v/>
      </c>
      <c r="G22" s="42">
        <f>G21*'01_Вводные'!$B$131</f>
        <v/>
      </c>
      <c r="H22" s="42">
        <f>H21*'01_Вводные'!$B$131</f>
        <v/>
      </c>
      <c r="I22" s="42">
        <f>I21*'01_Вводные'!$B$131</f>
        <v/>
      </c>
      <c r="J22" s="42">
        <f>J21*'01_Вводные'!$B$131</f>
        <v/>
      </c>
      <c r="K22" s="42">
        <f>K21*'01_Вводные'!$B$131</f>
        <v/>
      </c>
      <c r="L22" s="42">
        <f>L21*'01_Вводные'!$B$131</f>
        <v/>
      </c>
      <c r="M22" s="42">
        <f>M21*'01_Вводные'!$B$131</f>
        <v/>
      </c>
      <c r="N22" s="42">
        <f>N21*'01_Вводные'!$B$131</f>
        <v/>
      </c>
      <c r="O22" s="42">
        <f>O21*'01_Вводные'!$B$131</f>
        <v/>
      </c>
      <c r="P22" s="42">
        <f>P21*'01_Вводные'!$B$131</f>
        <v/>
      </c>
      <c r="Q22" s="42">
        <f>Q21*'01_Вводные'!$B$131</f>
        <v/>
      </c>
      <c r="R22" s="42">
        <f>R21*'01_Вводные'!$B$131</f>
        <v/>
      </c>
      <c r="S22" s="42">
        <f>S21*'01_Вводные'!$B$131</f>
        <v/>
      </c>
      <c r="T22" s="42">
        <f>T21*'01_Вводные'!$B$131</f>
        <v/>
      </c>
      <c r="U22" s="42">
        <f>U21*'01_Вводные'!$B$131</f>
        <v/>
      </c>
      <c r="V22" s="42">
        <f>V21*'01_Вводные'!$B$131</f>
        <v/>
      </c>
      <c r="W22" s="42">
        <f>W21*'01_Вводные'!$B$131</f>
        <v/>
      </c>
      <c r="X22" s="42">
        <f>X21*'01_Вводные'!$B$131</f>
        <v/>
      </c>
      <c r="Y22" s="42">
        <f>Y21*'01_Вводные'!$B$131</f>
        <v/>
      </c>
      <c r="Z22" s="42">
        <f>Z21*'01_Вводные'!$B$131</f>
        <v/>
      </c>
      <c r="AA22" s="42">
        <f>AA21*'01_Вводные'!$B$131</f>
        <v/>
      </c>
      <c r="AB22" s="42">
        <f>AB21*'01_Вводные'!$B$131</f>
        <v/>
      </c>
      <c r="AC22" s="42">
        <f>AC21*'01_Вводные'!$B$131</f>
        <v/>
      </c>
      <c r="AD22" s="42">
        <f>AD21*'01_Вводные'!$B$131</f>
        <v/>
      </c>
      <c r="AE22" s="42">
        <f>AE21*'01_Вводные'!$B$131</f>
        <v/>
      </c>
      <c r="AF22" s="42">
        <f>AF21*'01_Вводные'!$B$131</f>
        <v/>
      </c>
      <c r="AG22" s="42">
        <f>AG21*'01_Вводные'!$B$131</f>
        <v/>
      </c>
      <c r="AH22" s="42">
        <f>AH21*'01_Вводные'!$B$131</f>
        <v/>
      </c>
      <c r="AI22" s="42">
        <f>AI21*'01_Вводные'!$B$131</f>
        <v/>
      </c>
      <c r="AJ22" s="42">
        <f>AJ21*'01_Вводные'!$B$131</f>
        <v/>
      </c>
      <c r="AK22" s="42">
        <f>AK21*'01_Вводные'!$B$131</f>
        <v/>
      </c>
      <c r="AL22" s="42">
        <f>AL21*'01_Вводные'!$B$131</f>
        <v/>
      </c>
      <c r="AM22" s="42">
        <f>AM21*'01_Вводные'!$B$131</f>
        <v/>
      </c>
      <c r="AN22" s="42">
        <f>AN21*'01_Вводные'!$B$131</f>
        <v/>
      </c>
      <c r="AO22" s="42">
        <f>AO21*'01_Вводные'!$B$131</f>
        <v/>
      </c>
      <c r="AP22" s="42">
        <f>AP21*'01_Вводные'!$B$131</f>
        <v/>
      </c>
      <c r="AQ22" s="42">
        <f>AQ21*'01_Вводные'!$B$131</f>
        <v/>
      </c>
      <c r="AR22" s="42">
        <f>AR21*'01_Вводные'!$B$131</f>
        <v/>
      </c>
      <c r="AS22" s="42">
        <f>AS21*'01_Вводные'!$B$131</f>
        <v/>
      </c>
      <c r="AT22" s="42">
        <f>AT21*'01_Вводные'!$B$131</f>
        <v/>
      </c>
      <c r="AU22" s="42">
        <f>AU21*'01_Вводные'!$B$131</f>
        <v/>
      </c>
      <c r="AV22" s="42">
        <f>AV21*'01_Вводные'!$B$131</f>
        <v/>
      </c>
      <c r="AW22" s="42">
        <f>AW21*'01_Вводные'!$B$131</f>
        <v/>
      </c>
      <c r="AX22" s="42">
        <f>AX21*'01_Вводные'!$B$131</f>
        <v/>
      </c>
      <c r="AY22" s="42">
        <f>AY21*'01_Вводные'!$B$131</f>
        <v/>
      </c>
      <c r="AZ22" s="42">
        <f>AZ21*'01_Вводные'!$B$131</f>
        <v/>
      </c>
      <c r="BA22" s="42">
        <f>BA21*'01_Вводные'!$B$131</f>
        <v/>
      </c>
      <c r="BB22" s="42">
        <f>BB21*'01_Вводные'!$B$131</f>
        <v/>
      </c>
      <c r="BC22" s="42">
        <f>BC21*'01_Вводные'!$B$131</f>
        <v/>
      </c>
      <c r="BD22" s="42">
        <f>BD21*'01_Вводные'!$B$131</f>
        <v/>
      </c>
      <c r="BE22" s="42">
        <f>BE21*'01_Вводные'!$B$131</f>
        <v/>
      </c>
      <c r="BF22" s="42">
        <f>BF21*'01_Вводные'!$B$131</f>
        <v/>
      </c>
      <c r="BG22" s="42">
        <f>BG21*'01_Вводные'!$B$131</f>
        <v/>
      </c>
      <c r="BH22" s="42">
        <f>BH21*'01_Вводные'!$B$131</f>
        <v/>
      </c>
      <c r="BI22" s="42">
        <f>BI21*'01_Вводные'!$B$131</f>
        <v/>
      </c>
    </row>
    <row r="23" ht="20" customHeight="1">
      <c r="A23" s="4" t="inlineStr">
        <is>
          <t>Разовые кадровые расходы</t>
        </is>
      </c>
    </row>
    <row r="24">
      <c r="A24" s="2" t="inlineStr">
        <is>
          <t>Комиссия агентства</t>
        </is>
      </c>
      <c r="B24" s="95">
        <f>(MAX(0,B10-0)*'01_Вводные'!$B$119*B5+IF(B$3='01_Вводные'!$B$247,'01_Вводные'!$B$133/'01_Вводные'!$B$132,0)+IF(B$3='01_Вводные'!$B$248,'01_Вводные'!$B$134/'01_Вводные'!$B$132,0))*'01_Вводные'!$B$120</f>
        <v/>
      </c>
      <c r="C24" s="95">
        <f>(MAX(0,C10-B10)*'01_Вводные'!$B$119*C5+IF(C$3='01_Вводные'!$B$247,'01_Вводные'!$B$133/'01_Вводные'!$B$132,0)+IF(C$3='01_Вводные'!$B$248,'01_Вводные'!$B$134/'01_Вводные'!$B$132,0))*'01_Вводные'!$B$120</f>
        <v/>
      </c>
      <c r="D24" s="95">
        <f>(MAX(0,D10-C10)*'01_Вводные'!$B$119*D5+IF(D$3='01_Вводные'!$B$247,'01_Вводные'!$B$133/'01_Вводные'!$B$132,0)+IF(D$3='01_Вводные'!$B$248,'01_Вводные'!$B$134/'01_Вводные'!$B$132,0))*'01_Вводные'!$B$120</f>
        <v/>
      </c>
      <c r="E24" s="95">
        <f>(MAX(0,E10-D10)*'01_Вводные'!$B$119*E5+IF(E$3='01_Вводные'!$B$247,'01_Вводные'!$B$133/'01_Вводные'!$B$132,0)+IF(E$3='01_Вводные'!$B$248,'01_Вводные'!$B$134/'01_Вводные'!$B$132,0))*'01_Вводные'!$B$120</f>
        <v/>
      </c>
      <c r="F24" s="95">
        <f>(MAX(0,F10-E10)*'01_Вводные'!$B$119*F5+IF(F$3='01_Вводные'!$B$247,'01_Вводные'!$B$133/'01_Вводные'!$B$132,0)+IF(F$3='01_Вводные'!$B$248,'01_Вводные'!$B$134/'01_Вводные'!$B$132,0))*'01_Вводные'!$B$120</f>
        <v/>
      </c>
      <c r="G24" s="95">
        <f>(MAX(0,G10-F10)*'01_Вводные'!$B$119*G5+IF(G$3='01_Вводные'!$B$247,'01_Вводные'!$B$133/'01_Вводные'!$B$132,0)+IF(G$3='01_Вводные'!$B$248,'01_Вводные'!$B$134/'01_Вводные'!$B$132,0))*'01_Вводные'!$B$120</f>
        <v/>
      </c>
      <c r="H24" s="95">
        <f>(MAX(0,H10-G10)*'01_Вводные'!$B$119*H5+IF(H$3='01_Вводные'!$B$247,'01_Вводные'!$B$133/'01_Вводные'!$B$132,0)+IF(H$3='01_Вводные'!$B$248,'01_Вводные'!$B$134/'01_Вводные'!$B$132,0))*'01_Вводные'!$B$120</f>
        <v/>
      </c>
      <c r="I24" s="95">
        <f>(MAX(0,I10-H10)*'01_Вводные'!$B$119*I5+IF(I$3='01_Вводные'!$B$247,'01_Вводные'!$B$133/'01_Вводные'!$B$132,0)+IF(I$3='01_Вводные'!$B$248,'01_Вводные'!$B$134/'01_Вводные'!$B$132,0))*'01_Вводные'!$B$120</f>
        <v/>
      </c>
      <c r="J24" s="95">
        <f>(MAX(0,J10-I10)*'01_Вводные'!$B$119*J5+IF(J$3='01_Вводные'!$B$247,'01_Вводные'!$B$133/'01_Вводные'!$B$132,0)+IF(J$3='01_Вводные'!$B$248,'01_Вводные'!$B$134/'01_Вводные'!$B$132,0))*'01_Вводные'!$B$120</f>
        <v/>
      </c>
      <c r="K24" s="95">
        <f>(MAX(0,K10-J10)*'01_Вводные'!$B$119*K5+IF(K$3='01_Вводные'!$B$247,'01_Вводные'!$B$133/'01_Вводные'!$B$132,0)+IF(K$3='01_Вводные'!$B$248,'01_Вводные'!$B$134/'01_Вводные'!$B$132,0))*'01_Вводные'!$B$120</f>
        <v/>
      </c>
      <c r="L24" s="95">
        <f>(MAX(0,L10-K10)*'01_Вводные'!$B$119*L5+IF(L$3='01_Вводные'!$B$247,'01_Вводные'!$B$133/'01_Вводные'!$B$132,0)+IF(L$3='01_Вводные'!$B$248,'01_Вводные'!$B$134/'01_Вводные'!$B$132,0))*'01_Вводные'!$B$120</f>
        <v/>
      </c>
      <c r="M24" s="95">
        <f>(MAX(0,M10-L10)*'01_Вводные'!$B$119*M5+IF(M$3='01_Вводные'!$B$247,'01_Вводные'!$B$133/'01_Вводные'!$B$132,0)+IF(M$3='01_Вводные'!$B$248,'01_Вводные'!$B$134/'01_Вводные'!$B$132,0))*'01_Вводные'!$B$120</f>
        <v/>
      </c>
      <c r="N24" s="95">
        <f>(MAX(0,N10-M10)*'01_Вводные'!$B$119*N5+IF(N$3='01_Вводные'!$B$247,'01_Вводные'!$B$133/'01_Вводные'!$B$132,0)+IF(N$3='01_Вводные'!$B$248,'01_Вводные'!$B$134/'01_Вводные'!$B$132,0))*'01_Вводные'!$B$120</f>
        <v/>
      </c>
      <c r="O24" s="95">
        <f>(MAX(0,O10-N10)*'01_Вводные'!$B$119*O5+IF(O$3='01_Вводные'!$B$247,'01_Вводные'!$B$133/'01_Вводные'!$B$132,0)+IF(O$3='01_Вводные'!$B$248,'01_Вводные'!$B$134/'01_Вводные'!$B$132,0))*'01_Вводные'!$B$120</f>
        <v/>
      </c>
      <c r="P24" s="95">
        <f>(MAX(0,P10-O10)*'01_Вводные'!$B$119*P5+IF(P$3='01_Вводные'!$B$247,'01_Вводные'!$B$133/'01_Вводные'!$B$132,0)+IF(P$3='01_Вводные'!$B$248,'01_Вводные'!$B$134/'01_Вводные'!$B$132,0))*'01_Вводные'!$B$120</f>
        <v/>
      </c>
      <c r="Q24" s="95">
        <f>(MAX(0,Q10-P10)*'01_Вводные'!$B$119*Q5+IF(Q$3='01_Вводные'!$B$247,'01_Вводные'!$B$133/'01_Вводные'!$B$132,0)+IF(Q$3='01_Вводные'!$B$248,'01_Вводные'!$B$134/'01_Вводные'!$B$132,0))*'01_Вводные'!$B$120</f>
        <v/>
      </c>
      <c r="R24" s="95">
        <f>(MAX(0,R10-Q10)*'01_Вводные'!$B$119*R5+IF(R$3='01_Вводные'!$B$247,'01_Вводные'!$B$133/'01_Вводные'!$B$132,0)+IF(R$3='01_Вводные'!$B$248,'01_Вводные'!$B$134/'01_Вводные'!$B$132,0))*'01_Вводные'!$B$120</f>
        <v/>
      </c>
      <c r="S24" s="95">
        <f>(MAX(0,S10-R10)*'01_Вводные'!$B$119*S5+IF(S$3='01_Вводные'!$B$247,'01_Вводные'!$B$133/'01_Вводные'!$B$132,0)+IF(S$3='01_Вводные'!$B$248,'01_Вводные'!$B$134/'01_Вводные'!$B$132,0))*'01_Вводные'!$B$120</f>
        <v/>
      </c>
      <c r="T24" s="95">
        <f>(MAX(0,T10-S10)*'01_Вводные'!$B$119*T5+IF(T$3='01_Вводные'!$B$247,'01_Вводные'!$B$133/'01_Вводные'!$B$132,0)+IF(T$3='01_Вводные'!$B$248,'01_Вводные'!$B$134/'01_Вводные'!$B$132,0))*'01_Вводные'!$B$120</f>
        <v/>
      </c>
      <c r="U24" s="95">
        <f>(MAX(0,U10-T10)*'01_Вводные'!$B$119*U5+IF(U$3='01_Вводные'!$B$247,'01_Вводные'!$B$133/'01_Вводные'!$B$132,0)+IF(U$3='01_Вводные'!$B$248,'01_Вводные'!$B$134/'01_Вводные'!$B$132,0))*'01_Вводные'!$B$120</f>
        <v/>
      </c>
      <c r="V24" s="95">
        <f>(MAX(0,V10-U10)*'01_Вводные'!$B$119*V5+IF(V$3='01_Вводные'!$B$247,'01_Вводные'!$B$133/'01_Вводные'!$B$132,0)+IF(V$3='01_Вводные'!$B$248,'01_Вводные'!$B$134/'01_Вводные'!$B$132,0))*'01_Вводные'!$B$120</f>
        <v/>
      </c>
      <c r="W24" s="95">
        <f>(MAX(0,W10-V10)*'01_Вводные'!$B$119*W5+IF(W$3='01_Вводные'!$B$247,'01_Вводные'!$B$133/'01_Вводные'!$B$132,0)+IF(W$3='01_Вводные'!$B$248,'01_Вводные'!$B$134/'01_Вводные'!$B$132,0))*'01_Вводные'!$B$120</f>
        <v/>
      </c>
      <c r="X24" s="95">
        <f>(MAX(0,X10-W10)*'01_Вводные'!$B$119*X5+IF(X$3='01_Вводные'!$B$247,'01_Вводные'!$B$133/'01_Вводные'!$B$132,0)+IF(X$3='01_Вводные'!$B$248,'01_Вводные'!$B$134/'01_Вводные'!$B$132,0))*'01_Вводные'!$B$120</f>
        <v/>
      </c>
      <c r="Y24" s="95">
        <f>(MAX(0,Y10-X10)*'01_Вводные'!$B$119*Y5+IF(Y$3='01_Вводные'!$B$247,'01_Вводные'!$B$133/'01_Вводные'!$B$132,0)+IF(Y$3='01_Вводные'!$B$248,'01_Вводные'!$B$134/'01_Вводные'!$B$132,0))*'01_Вводные'!$B$120</f>
        <v/>
      </c>
      <c r="Z24" s="95">
        <f>(MAX(0,Z10-Y10)*'01_Вводные'!$B$119*Z5+IF(Z$3='01_Вводные'!$B$247,'01_Вводные'!$B$133/'01_Вводные'!$B$132,0)+IF(Z$3='01_Вводные'!$B$248,'01_Вводные'!$B$134/'01_Вводные'!$B$132,0))*'01_Вводные'!$B$120</f>
        <v/>
      </c>
      <c r="AA24" s="95">
        <f>(MAX(0,AA10-Z10)*'01_Вводные'!$B$119*AA5+IF(AA$3='01_Вводные'!$B$247,'01_Вводные'!$B$133/'01_Вводные'!$B$132,0)+IF(AA$3='01_Вводные'!$B$248,'01_Вводные'!$B$134/'01_Вводные'!$B$132,0))*'01_Вводные'!$B$120</f>
        <v/>
      </c>
      <c r="AB24" s="95">
        <f>(MAX(0,AB10-AA10)*'01_Вводные'!$B$119*AB5+IF(AB$3='01_Вводные'!$B$247,'01_Вводные'!$B$133/'01_Вводные'!$B$132,0)+IF(AB$3='01_Вводные'!$B$248,'01_Вводные'!$B$134/'01_Вводные'!$B$132,0))*'01_Вводные'!$B$120</f>
        <v/>
      </c>
      <c r="AC24" s="95">
        <f>(MAX(0,AC10-AB10)*'01_Вводные'!$B$119*AC5+IF(AC$3='01_Вводные'!$B$247,'01_Вводные'!$B$133/'01_Вводные'!$B$132,0)+IF(AC$3='01_Вводные'!$B$248,'01_Вводные'!$B$134/'01_Вводные'!$B$132,0))*'01_Вводные'!$B$120</f>
        <v/>
      </c>
      <c r="AD24" s="95">
        <f>(MAX(0,AD10-AC10)*'01_Вводные'!$B$119*AD5+IF(AD$3='01_Вводные'!$B$247,'01_Вводные'!$B$133/'01_Вводные'!$B$132,0)+IF(AD$3='01_Вводные'!$B$248,'01_Вводные'!$B$134/'01_Вводные'!$B$132,0))*'01_Вводные'!$B$120</f>
        <v/>
      </c>
      <c r="AE24" s="95">
        <f>(MAX(0,AE10-AD10)*'01_Вводные'!$B$119*AE5+IF(AE$3='01_Вводные'!$B$247,'01_Вводные'!$B$133/'01_Вводные'!$B$132,0)+IF(AE$3='01_Вводные'!$B$248,'01_Вводные'!$B$134/'01_Вводные'!$B$132,0))*'01_Вводные'!$B$120</f>
        <v/>
      </c>
      <c r="AF24" s="95">
        <f>(MAX(0,AF10-AE10)*'01_Вводные'!$B$119*AF5+IF(AF$3='01_Вводные'!$B$247,'01_Вводные'!$B$133/'01_Вводные'!$B$132,0)+IF(AF$3='01_Вводные'!$B$248,'01_Вводные'!$B$134/'01_Вводные'!$B$132,0))*'01_Вводные'!$B$120</f>
        <v/>
      </c>
      <c r="AG24" s="95">
        <f>(MAX(0,AG10-AF10)*'01_Вводные'!$B$119*AG5+IF(AG$3='01_Вводные'!$B$247,'01_Вводные'!$B$133/'01_Вводные'!$B$132,0)+IF(AG$3='01_Вводные'!$B$248,'01_Вводные'!$B$134/'01_Вводные'!$B$132,0))*'01_Вводные'!$B$120</f>
        <v/>
      </c>
      <c r="AH24" s="95">
        <f>(MAX(0,AH10-AG10)*'01_Вводные'!$B$119*AH5+IF(AH$3='01_Вводные'!$B$247,'01_Вводные'!$B$133/'01_Вводные'!$B$132,0)+IF(AH$3='01_Вводные'!$B$248,'01_Вводные'!$B$134/'01_Вводные'!$B$132,0))*'01_Вводные'!$B$120</f>
        <v/>
      </c>
      <c r="AI24" s="95">
        <f>(MAX(0,AI10-AH10)*'01_Вводные'!$B$119*AI5+IF(AI$3='01_Вводные'!$B$247,'01_Вводные'!$B$133/'01_Вводные'!$B$132,0)+IF(AI$3='01_Вводные'!$B$248,'01_Вводные'!$B$134/'01_Вводные'!$B$132,0))*'01_Вводные'!$B$120</f>
        <v/>
      </c>
      <c r="AJ24" s="95">
        <f>(MAX(0,AJ10-AI10)*'01_Вводные'!$B$119*AJ5+IF(AJ$3='01_Вводные'!$B$247,'01_Вводные'!$B$133/'01_Вводные'!$B$132,0)+IF(AJ$3='01_Вводные'!$B$248,'01_Вводные'!$B$134/'01_Вводные'!$B$132,0))*'01_Вводные'!$B$120</f>
        <v/>
      </c>
      <c r="AK24" s="95">
        <f>(MAX(0,AK10-AJ10)*'01_Вводные'!$B$119*AK5+IF(AK$3='01_Вводные'!$B$247,'01_Вводные'!$B$133/'01_Вводные'!$B$132,0)+IF(AK$3='01_Вводные'!$B$248,'01_Вводные'!$B$134/'01_Вводные'!$B$132,0))*'01_Вводные'!$B$120</f>
        <v/>
      </c>
      <c r="AL24" s="95">
        <f>(MAX(0,AL10-AK10)*'01_Вводные'!$B$119*AL5+IF(AL$3='01_Вводные'!$B$247,'01_Вводные'!$B$133/'01_Вводные'!$B$132,0)+IF(AL$3='01_Вводные'!$B$248,'01_Вводные'!$B$134/'01_Вводные'!$B$132,0))*'01_Вводные'!$B$120</f>
        <v/>
      </c>
      <c r="AM24" s="95">
        <f>(MAX(0,AM10-AL10)*'01_Вводные'!$B$119*AM5+IF(AM$3='01_Вводные'!$B$247,'01_Вводные'!$B$133/'01_Вводные'!$B$132,0)+IF(AM$3='01_Вводные'!$B$248,'01_Вводные'!$B$134/'01_Вводные'!$B$132,0))*'01_Вводные'!$B$120</f>
        <v/>
      </c>
      <c r="AN24" s="95">
        <f>(MAX(0,AN10-AM10)*'01_Вводные'!$B$119*AN5+IF(AN$3='01_Вводные'!$B$247,'01_Вводные'!$B$133/'01_Вводные'!$B$132,0)+IF(AN$3='01_Вводные'!$B$248,'01_Вводные'!$B$134/'01_Вводные'!$B$132,0))*'01_Вводные'!$B$120</f>
        <v/>
      </c>
      <c r="AO24" s="95">
        <f>(MAX(0,AO10-AN10)*'01_Вводные'!$B$119*AO5+IF(AO$3='01_Вводные'!$B$247,'01_Вводные'!$B$133/'01_Вводные'!$B$132,0)+IF(AO$3='01_Вводные'!$B$248,'01_Вводные'!$B$134/'01_Вводные'!$B$132,0))*'01_Вводные'!$B$120</f>
        <v/>
      </c>
      <c r="AP24" s="95">
        <f>(MAX(0,AP10-AO10)*'01_Вводные'!$B$119*AP5+IF(AP$3='01_Вводные'!$B$247,'01_Вводные'!$B$133/'01_Вводные'!$B$132,0)+IF(AP$3='01_Вводные'!$B$248,'01_Вводные'!$B$134/'01_Вводные'!$B$132,0))*'01_Вводные'!$B$120</f>
        <v/>
      </c>
      <c r="AQ24" s="95">
        <f>(MAX(0,AQ10-AP10)*'01_Вводные'!$B$119*AQ5+IF(AQ$3='01_Вводные'!$B$247,'01_Вводные'!$B$133/'01_Вводные'!$B$132,0)+IF(AQ$3='01_Вводные'!$B$248,'01_Вводные'!$B$134/'01_Вводные'!$B$132,0))*'01_Вводные'!$B$120</f>
        <v/>
      </c>
      <c r="AR24" s="95">
        <f>(MAX(0,AR10-AQ10)*'01_Вводные'!$B$119*AR5+IF(AR$3='01_Вводные'!$B$247,'01_Вводные'!$B$133/'01_Вводные'!$B$132,0)+IF(AR$3='01_Вводные'!$B$248,'01_Вводные'!$B$134/'01_Вводные'!$B$132,0))*'01_Вводные'!$B$120</f>
        <v/>
      </c>
      <c r="AS24" s="95">
        <f>(MAX(0,AS10-AR10)*'01_Вводные'!$B$119*AS5+IF(AS$3='01_Вводные'!$B$247,'01_Вводные'!$B$133/'01_Вводные'!$B$132,0)+IF(AS$3='01_Вводные'!$B$248,'01_Вводные'!$B$134/'01_Вводные'!$B$132,0))*'01_Вводные'!$B$120</f>
        <v/>
      </c>
      <c r="AT24" s="95">
        <f>(MAX(0,AT10-AS10)*'01_Вводные'!$B$119*AT5+IF(AT$3='01_Вводные'!$B$247,'01_Вводные'!$B$133/'01_Вводные'!$B$132,0)+IF(AT$3='01_Вводные'!$B$248,'01_Вводные'!$B$134/'01_Вводные'!$B$132,0))*'01_Вводные'!$B$120</f>
        <v/>
      </c>
      <c r="AU24" s="95">
        <f>(MAX(0,AU10-AT10)*'01_Вводные'!$B$119*AU5+IF(AU$3='01_Вводные'!$B$247,'01_Вводные'!$B$133/'01_Вводные'!$B$132,0)+IF(AU$3='01_Вводные'!$B$248,'01_Вводные'!$B$134/'01_Вводные'!$B$132,0))*'01_Вводные'!$B$120</f>
        <v/>
      </c>
      <c r="AV24" s="95">
        <f>(MAX(0,AV10-AU10)*'01_Вводные'!$B$119*AV5+IF(AV$3='01_Вводные'!$B$247,'01_Вводные'!$B$133/'01_Вводные'!$B$132,0)+IF(AV$3='01_Вводные'!$B$248,'01_Вводные'!$B$134/'01_Вводные'!$B$132,0))*'01_Вводные'!$B$120</f>
        <v/>
      </c>
      <c r="AW24" s="95">
        <f>(MAX(0,AW10-AV10)*'01_Вводные'!$B$119*AW5+IF(AW$3='01_Вводные'!$B$247,'01_Вводные'!$B$133/'01_Вводные'!$B$132,0)+IF(AW$3='01_Вводные'!$B$248,'01_Вводные'!$B$134/'01_Вводные'!$B$132,0))*'01_Вводные'!$B$120</f>
        <v/>
      </c>
      <c r="AX24" s="95">
        <f>(MAX(0,AX10-AW10)*'01_Вводные'!$B$119*AX5+IF(AX$3='01_Вводные'!$B$247,'01_Вводные'!$B$133/'01_Вводные'!$B$132,0)+IF(AX$3='01_Вводные'!$B$248,'01_Вводные'!$B$134/'01_Вводные'!$B$132,0))*'01_Вводные'!$B$120</f>
        <v/>
      </c>
      <c r="AY24" s="95">
        <f>(MAX(0,AY10-AX10)*'01_Вводные'!$B$119*AY5+IF(AY$3='01_Вводные'!$B$247,'01_Вводные'!$B$133/'01_Вводные'!$B$132,0)+IF(AY$3='01_Вводные'!$B$248,'01_Вводные'!$B$134/'01_Вводные'!$B$132,0))*'01_Вводные'!$B$120</f>
        <v/>
      </c>
      <c r="AZ24" s="95">
        <f>(MAX(0,AZ10-AY10)*'01_Вводные'!$B$119*AZ5+IF(AZ$3='01_Вводные'!$B$247,'01_Вводные'!$B$133/'01_Вводные'!$B$132,0)+IF(AZ$3='01_Вводные'!$B$248,'01_Вводные'!$B$134/'01_Вводные'!$B$132,0))*'01_Вводные'!$B$120</f>
        <v/>
      </c>
      <c r="BA24" s="95">
        <f>(MAX(0,BA10-AZ10)*'01_Вводные'!$B$119*BA5+IF(BA$3='01_Вводные'!$B$247,'01_Вводные'!$B$133/'01_Вводные'!$B$132,0)+IF(BA$3='01_Вводные'!$B$248,'01_Вводные'!$B$134/'01_Вводные'!$B$132,0))*'01_Вводные'!$B$120</f>
        <v/>
      </c>
      <c r="BB24" s="95">
        <f>(MAX(0,BB10-BA10)*'01_Вводные'!$B$119*BB5+IF(BB$3='01_Вводные'!$B$247,'01_Вводные'!$B$133/'01_Вводные'!$B$132,0)+IF(BB$3='01_Вводные'!$B$248,'01_Вводные'!$B$134/'01_Вводные'!$B$132,0))*'01_Вводные'!$B$120</f>
        <v/>
      </c>
      <c r="BC24" s="95">
        <f>(MAX(0,BC10-BB10)*'01_Вводные'!$B$119*BC5+IF(BC$3='01_Вводные'!$B$247,'01_Вводные'!$B$133/'01_Вводные'!$B$132,0)+IF(BC$3='01_Вводные'!$B$248,'01_Вводные'!$B$134/'01_Вводные'!$B$132,0))*'01_Вводные'!$B$120</f>
        <v/>
      </c>
      <c r="BD24" s="95">
        <f>(MAX(0,BD10-BC10)*'01_Вводные'!$B$119*BD5+IF(BD$3='01_Вводные'!$B$247,'01_Вводные'!$B$133/'01_Вводные'!$B$132,0)+IF(BD$3='01_Вводные'!$B$248,'01_Вводные'!$B$134/'01_Вводные'!$B$132,0))*'01_Вводные'!$B$120</f>
        <v/>
      </c>
      <c r="BE24" s="95">
        <f>(MAX(0,BE10-BD10)*'01_Вводные'!$B$119*BE5+IF(BE$3='01_Вводные'!$B$247,'01_Вводные'!$B$133/'01_Вводные'!$B$132,0)+IF(BE$3='01_Вводные'!$B$248,'01_Вводные'!$B$134/'01_Вводные'!$B$132,0))*'01_Вводные'!$B$120</f>
        <v/>
      </c>
      <c r="BF24" s="95">
        <f>(MAX(0,BF10-BE10)*'01_Вводные'!$B$119*BF5+IF(BF$3='01_Вводные'!$B$247,'01_Вводные'!$B$133/'01_Вводные'!$B$132,0)+IF(BF$3='01_Вводные'!$B$248,'01_Вводные'!$B$134/'01_Вводные'!$B$132,0))*'01_Вводные'!$B$120</f>
        <v/>
      </c>
      <c r="BG24" s="95">
        <f>(MAX(0,BG10-BF10)*'01_Вводные'!$B$119*BG5+IF(BG$3='01_Вводные'!$B$247,'01_Вводные'!$B$133/'01_Вводные'!$B$132,0)+IF(BG$3='01_Вводные'!$B$248,'01_Вводные'!$B$134/'01_Вводные'!$B$132,0))*'01_Вводные'!$B$120</f>
        <v/>
      </c>
      <c r="BH24" s="95">
        <f>(MAX(0,BH10-BG10)*'01_Вводные'!$B$119*BH5+IF(BH$3='01_Вводные'!$B$247,'01_Вводные'!$B$133/'01_Вводные'!$B$132,0)+IF(BH$3='01_Вводные'!$B$248,'01_Вводные'!$B$134/'01_Вводные'!$B$132,0))*'01_Вводные'!$B$120</f>
        <v/>
      </c>
      <c r="BI24" s="95">
        <f>(MAX(0,BI10-BH10)*'01_Вводные'!$B$119*BI5+IF(BI$3='01_Вводные'!$B$247,'01_Вводные'!$B$133/'01_Вводные'!$B$132,0)+IF(BI$3='01_Вводные'!$B$248,'01_Вводные'!$B$134/'01_Вводные'!$B$132,0))*'01_Вводные'!$B$120</f>
        <v/>
      </c>
    </row>
    <row r="25">
      <c r="A25" s="2" t="inlineStr">
        <is>
          <t>Замена директора маркетинга</t>
        </is>
      </c>
      <c r="B25" s="95">
        <f>IF(B$3='01_Вводные'!$B$255,'01_Вводные'!$B$121,0)</f>
        <v/>
      </c>
      <c r="C25" s="95">
        <f>IF(C$3='01_Вводные'!$B$255,'01_Вводные'!$B$121,0)</f>
        <v/>
      </c>
      <c r="D25" s="95">
        <f>IF(D$3='01_Вводные'!$B$255,'01_Вводные'!$B$121,0)</f>
        <v/>
      </c>
      <c r="E25" s="95">
        <f>IF(E$3='01_Вводные'!$B$255,'01_Вводные'!$B$121,0)</f>
        <v/>
      </c>
      <c r="F25" s="95">
        <f>IF(F$3='01_Вводные'!$B$255,'01_Вводные'!$B$121,0)</f>
        <v/>
      </c>
      <c r="G25" s="95">
        <f>IF(G$3='01_Вводные'!$B$255,'01_Вводные'!$B$121,0)</f>
        <v/>
      </c>
      <c r="H25" s="95">
        <f>IF(H$3='01_Вводные'!$B$255,'01_Вводные'!$B$121,0)</f>
        <v/>
      </c>
      <c r="I25" s="95">
        <f>IF(I$3='01_Вводные'!$B$255,'01_Вводные'!$B$121,0)</f>
        <v/>
      </c>
      <c r="J25" s="95">
        <f>IF(J$3='01_Вводные'!$B$255,'01_Вводные'!$B$121,0)</f>
        <v/>
      </c>
      <c r="K25" s="95">
        <f>IF(K$3='01_Вводные'!$B$255,'01_Вводные'!$B$121,0)</f>
        <v/>
      </c>
      <c r="L25" s="95">
        <f>IF(L$3='01_Вводные'!$B$255,'01_Вводные'!$B$121,0)</f>
        <v/>
      </c>
      <c r="M25" s="95">
        <f>IF(M$3='01_Вводные'!$B$255,'01_Вводные'!$B$121,0)</f>
        <v/>
      </c>
      <c r="N25" s="95">
        <f>IF(N$3='01_Вводные'!$B$255,'01_Вводные'!$B$121,0)</f>
        <v/>
      </c>
      <c r="O25" s="95">
        <f>IF(O$3='01_Вводные'!$B$255,'01_Вводные'!$B$121,0)</f>
        <v/>
      </c>
      <c r="P25" s="95">
        <f>IF(P$3='01_Вводные'!$B$255,'01_Вводные'!$B$121,0)</f>
        <v/>
      </c>
      <c r="Q25" s="95">
        <f>IF(Q$3='01_Вводные'!$B$255,'01_Вводные'!$B$121,0)</f>
        <v/>
      </c>
      <c r="R25" s="95">
        <f>IF(R$3='01_Вводные'!$B$255,'01_Вводные'!$B$121,0)</f>
        <v/>
      </c>
      <c r="S25" s="95">
        <f>IF(S$3='01_Вводные'!$B$255,'01_Вводные'!$B$121,0)</f>
        <v/>
      </c>
      <c r="T25" s="95">
        <f>IF(T$3='01_Вводные'!$B$255,'01_Вводные'!$B$121,0)</f>
        <v/>
      </c>
      <c r="U25" s="95">
        <f>IF(U$3='01_Вводные'!$B$255,'01_Вводные'!$B$121,0)</f>
        <v/>
      </c>
      <c r="V25" s="95">
        <f>IF(V$3='01_Вводные'!$B$255,'01_Вводные'!$B$121,0)</f>
        <v/>
      </c>
      <c r="W25" s="95">
        <f>IF(W$3='01_Вводные'!$B$255,'01_Вводные'!$B$121,0)</f>
        <v/>
      </c>
      <c r="X25" s="95">
        <f>IF(X$3='01_Вводные'!$B$255,'01_Вводные'!$B$121,0)</f>
        <v/>
      </c>
      <c r="Y25" s="95">
        <f>IF(Y$3='01_Вводные'!$B$255,'01_Вводные'!$B$121,0)</f>
        <v/>
      </c>
      <c r="Z25" s="95">
        <f>IF(Z$3='01_Вводные'!$B$255,'01_Вводные'!$B$121,0)</f>
        <v/>
      </c>
      <c r="AA25" s="95">
        <f>IF(AA$3='01_Вводные'!$B$255,'01_Вводные'!$B$121,0)</f>
        <v/>
      </c>
      <c r="AB25" s="95">
        <f>IF(AB$3='01_Вводные'!$B$255,'01_Вводные'!$B$121,0)</f>
        <v/>
      </c>
      <c r="AC25" s="95">
        <f>IF(AC$3='01_Вводные'!$B$255,'01_Вводные'!$B$121,0)</f>
        <v/>
      </c>
      <c r="AD25" s="95">
        <f>IF(AD$3='01_Вводные'!$B$255,'01_Вводные'!$B$121,0)</f>
        <v/>
      </c>
      <c r="AE25" s="95">
        <f>IF(AE$3='01_Вводные'!$B$255,'01_Вводные'!$B$121,0)</f>
        <v/>
      </c>
      <c r="AF25" s="95">
        <f>IF(AF$3='01_Вводные'!$B$255,'01_Вводные'!$B$121,0)</f>
        <v/>
      </c>
      <c r="AG25" s="95">
        <f>IF(AG$3='01_Вводные'!$B$255,'01_Вводные'!$B$121,0)</f>
        <v/>
      </c>
      <c r="AH25" s="95">
        <f>IF(AH$3='01_Вводные'!$B$255,'01_Вводные'!$B$121,0)</f>
        <v/>
      </c>
      <c r="AI25" s="95">
        <f>IF(AI$3='01_Вводные'!$B$255,'01_Вводные'!$B$121,0)</f>
        <v/>
      </c>
      <c r="AJ25" s="95">
        <f>IF(AJ$3='01_Вводные'!$B$255,'01_Вводные'!$B$121,0)</f>
        <v/>
      </c>
      <c r="AK25" s="95">
        <f>IF(AK$3='01_Вводные'!$B$255,'01_Вводные'!$B$121,0)</f>
        <v/>
      </c>
      <c r="AL25" s="95">
        <f>IF(AL$3='01_Вводные'!$B$255,'01_Вводные'!$B$121,0)</f>
        <v/>
      </c>
      <c r="AM25" s="95">
        <f>IF(AM$3='01_Вводные'!$B$255,'01_Вводные'!$B$121,0)</f>
        <v/>
      </c>
      <c r="AN25" s="95">
        <f>IF(AN$3='01_Вводные'!$B$255,'01_Вводные'!$B$121,0)</f>
        <v/>
      </c>
      <c r="AO25" s="95">
        <f>IF(AO$3='01_Вводные'!$B$255,'01_Вводные'!$B$121,0)</f>
        <v/>
      </c>
      <c r="AP25" s="95">
        <f>IF(AP$3='01_Вводные'!$B$255,'01_Вводные'!$B$121,0)</f>
        <v/>
      </c>
      <c r="AQ25" s="95">
        <f>IF(AQ$3='01_Вводные'!$B$255,'01_Вводные'!$B$121,0)</f>
        <v/>
      </c>
      <c r="AR25" s="95">
        <f>IF(AR$3='01_Вводные'!$B$255,'01_Вводные'!$B$121,0)</f>
        <v/>
      </c>
      <c r="AS25" s="95">
        <f>IF(AS$3='01_Вводные'!$B$255,'01_Вводные'!$B$121,0)</f>
        <v/>
      </c>
      <c r="AT25" s="95">
        <f>IF(AT$3='01_Вводные'!$B$255,'01_Вводные'!$B$121,0)</f>
        <v/>
      </c>
      <c r="AU25" s="95">
        <f>IF(AU$3='01_Вводные'!$B$255,'01_Вводные'!$B$121,0)</f>
        <v/>
      </c>
      <c r="AV25" s="95">
        <f>IF(AV$3='01_Вводные'!$B$255,'01_Вводные'!$B$121,0)</f>
        <v/>
      </c>
      <c r="AW25" s="95">
        <f>IF(AW$3='01_Вводные'!$B$255,'01_Вводные'!$B$121,0)</f>
        <v/>
      </c>
      <c r="AX25" s="95">
        <f>IF(AX$3='01_Вводные'!$B$255,'01_Вводные'!$B$121,0)</f>
        <v/>
      </c>
      <c r="AY25" s="95">
        <f>IF(AY$3='01_Вводные'!$B$255,'01_Вводные'!$B$121,0)</f>
        <v/>
      </c>
      <c r="AZ25" s="95">
        <f>IF(AZ$3='01_Вводные'!$B$255,'01_Вводные'!$B$121,0)</f>
        <v/>
      </c>
      <c r="BA25" s="95">
        <f>IF(BA$3='01_Вводные'!$B$255,'01_Вводные'!$B$121,0)</f>
        <v/>
      </c>
      <c r="BB25" s="95">
        <f>IF(BB$3='01_Вводные'!$B$255,'01_Вводные'!$B$121,0)</f>
        <v/>
      </c>
      <c r="BC25" s="95">
        <f>IF(BC$3='01_Вводные'!$B$255,'01_Вводные'!$B$121,0)</f>
        <v/>
      </c>
      <c r="BD25" s="95">
        <f>IF(BD$3='01_Вводные'!$B$255,'01_Вводные'!$B$121,0)</f>
        <v/>
      </c>
      <c r="BE25" s="95">
        <f>IF(BE$3='01_Вводные'!$B$255,'01_Вводные'!$B$121,0)</f>
        <v/>
      </c>
      <c r="BF25" s="95">
        <f>IF(BF$3='01_Вводные'!$B$255,'01_Вводные'!$B$121,0)</f>
        <v/>
      </c>
      <c r="BG25" s="95">
        <f>IF(BG$3='01_Вводные'!$B$255,'01_Вводные'!$B$121,0)</f>
        <v/>
      </c>
      <c r="BH25" s="95">
        <f>IF(BH$3='01_Вводные'!$B$255,'01_Вводные'!$B$121,0)</f>
        <v/>
      </c>
      <c r="BI25" s="95">
        <f>IF(BI$3='01_Вводные'!$B$255,'01_Вводные'!$B$121,0)</f>
        <v/>
      </c>
    </row>
    <row r="26">
      <c r="A26" s="2" t="inlineStr">
        <is>
          <t>Резерв на ротацию</t>
        </is>
      </c>
      <c r="B26" s="185">
        <f>IF(MONTH(B$3)='01_Вводные'!$B$256,'18_Календарь_тарифы'!B14,0)</f>
        <v/>
      </c>
      <c r="C26" s="185">
        <f>IF(MONTH(C$3)='01_Вводные'!$B$256,'18_Календарь_тарифы'!C14,0)</f>
        <v/>
      </c>
      <c r="D26" s="185">
        <f>IF(MONTH(D$3)='01_Вводные'!$B$256,'18_Календарь_тарифы'!D14,0)</f>
        <v/>
      </c>
      <c r="E26" s="185">
        <f>IF(MONTH(E$3)='01_Вводные'!$B$256,'18_Календарь_тарифы'!E14,0)</f>
        <v/>
      </c>
      <c r="F26" s="185">
        <f>IF(MONTH(F$3)='01_Вводные'!$B$256,'18_Календарь_тарифы'!F14,0)</f>
        <v/>
      </c>
      <c r="G26" s="185">
        <f>IF(MONTH(G$3)='01_Вводные'!$B$256,'18_Календарь_тарифы'!G14,0)</f>
        <v/>
      </c>
      <c r="H26" s="185">
        <f>IF(MONTH(H$3)='01_Вводные'!$B$256,'18_Календарь_тарифы'!H14,0)</f>
        <v/>
      </c>
      <c r="I26" s="185">
        <f>IF(MONTH(I$3)='01_Вводные'!$B$256,'18_Календарь_тарифы'!I14,0)</f>
        <v/>
      </c>
      <c r="J26" s="185">
        <f>IF(MONTH(J$3)='01_Вводные'!$B$256,'18_Календарь_тарифы'!J14,0)</f>
        <v/>
      </c>
      <c r="K26" s="185">
        <f>IF(MONTH(K$3)='01_Вводные'!$B$256,'18_Календарь_тарифы'!K14,0)</f>
        <v/>
      </c>
      <c r="L26" s="185">
        <f>IF(MONTH(L$3)='01_Вводные'!$B$256,'18_Календарь_тарифы'!L14,0)</f>
        <v/>
      </c>
      <c r="M26" s="185">
        <f>IF(MONTH(M$3)='01_Вводные'!$B$256,'18_Календарь_тарифы'!M14,0)</f>
        <v/>
      </c>
      <c r="N26" s="185">
        <f>IF(MONTH(N$3)='01_Вводные'!$B$256,'18_Календарь_тарифы'!N14,0)</f>
        <v/>
      </c>
      <c r="O26" s="185">
        <f>IF(MONTH(O$3)='01_Вводные'!$B$256,'18_Календарь_тарифы'!O14,0)</f>
        <v/>
      </c>
      <c r="P26" s="185">
        <f>IF(MONTH(P$3)='01_Вводные'!$B$256,'18_Календарь_тарифы'!P14,0)</f>
        <v/>
      </c>
      <c r="Q26" s="185">
        <f>IF(MONTH(Q$3)='01_Вводные'!$B$256,'18_Календарь_тарифы'!Q14,0)</f>
        <v/>
      </c>
      <c r="R26" s="185">
        <f>IF(MONTH(R$3)='01_Вводные'!$B$256,'18_Календарь_тарифы'!R14,0)</f>
        <v/>
      </c>
      <c r="S26" s="185">
        <f>IF(MONTH(S$3)='01_Вводные'!$B$256,'18_Календарь_тарифы'!S14,0)</f>
        <v/>
      </c>
      <c r="T26" s="185">
        <f>IF(MONTH(T$3)='01_Вводные'!$B$256,'18_Календарь_тарифы'!T14,0)</f>
        <v/>
      </c>
      <c r="U26" s="185">
        <f>IF(MONTH(U$3)='01_Вводные'!$B$256,'18_Календарь_тарифы'!U14,0)</f>
        <v/>
      </c>
      <c r="V26" s="185">
        <f>IF(MONTH(V$3)='01_Вводные'!$B$256,'18_Календарь_тарифы'!V14,0)</f>
        <v/>
      </c>
      <c r="W26" s="185">
        <f>IF(MONTH(W$3)='01_Вводные'!$B$256,'18_Календарь_тарифы'!W14,0)</f>
        <v/>
      </c>
      <c r="X26" s="185">
        <f>IF(MONTH(X$3)='01_Вводные'!$B$256,'18_Календарь_тарифы'!X14,0)</f>
        <v/>
      </c>
      <c r="Y26" s="185">
        <f>IF(MONTH(Y$3)='01_Вводные'!$B$256,'18_Календарь_тарифы'!Y14,0)</f>
        <v/>
      </c>
      <c r="Z26" s="185">
        <f>IF(MONTH(Z$3)='01_Вводные'!$B$256,'18_Календарь_тарифы'!Z14,0)</f>
        <v/>
      </c>
      <c r="AA26" s="185">
        <f>IF(MONTH(AA$3)='01_Вводные'!$B$256,'18_Календарь_тарифы'!AA14,0)</f>
        <v/>
      </c>
      <c r="AB26" s="185">
        <f>IF(MONTH(AB$3)='01_Вводные'!$B$256,'18_Календарь_тарифы'!AB14,0)</f>
        <v/>
      </c>
      <c r="AC26" s="185">
        <f>IF(MONTH(AC$3)='01_Вводные'!$B$256,'18_Календарь_тарифы'!AC14,0)</f>
        <v/>
      </c>
      <c r="AD26" s="185">
        <f>IF(MONTH(AD$3)='01_Вводные'!$B$256,'18_Календарь_тарифы'!AD14,0)</f>
        <v/>
      </c>
      <c r="AE26" s="185">
        <f>IF(MONTH(AE$3)='01_Вводные'!$B$256,'18_Календарь_тарифы'!AE14,0)</f>
        <v/>
      </c>
      <c r="AF26" s="185">
        <f>IF(MONTH(AF$3)='01_Вводные'!$B$256,'18_Календарь_тарифы'!AF14,0)</f>
        <v/>
      </c>
      <c r="AG26" s="185">
        <f>IF(MONTH(AG$3)='01_Вводные'!$B$256,'18_Календарь_тарифы'!AG14,0)</f>
        <v/>
      </c>
      <c r="AH26" s="185">
        <f>IF(MONTH(AH$3)='01_Вводные'!$B$256,'18_Календарь_тарифы'!AH14,0)</f>
        <v/>
      </c>
      <c r="AI26" s="185">
        <f>IF(MONTH(AI$3)='01_Вводные'!$B$256,'18_Календарь_тарифы'!AI14,0)</f>
        <v/>
      </c>
      <c r="AJ26" s="185">
        <f>IF(MONTH(AJ$3)='01_Вводные'!$B$256,'18_Календарь_тарифы'!AJ14,0)</f>
        <v/>
      </c>
      <c r="AK26" s="185">
        <f>IF(MONTH(AK$3)='01_Вводные'!$B$256,'18_Календарь_тарифы'!AK14,0)</f>
        <v/>
      </c>
      <c r="AL26" s="185">
        <f>IF(MONTH(AL$3)='01_Вводные'!$B$256,'18_Календарь_тарифы'!AL14,0)</f>
        <v/>
      </c>
      <c r="AM26" s="185">
        <f>IF(MONTH(AM$3)='01_Вводные'!$B$256,'18_Календарь_тарифы'!AM14,0)</f>
        <v/>
      </c>
      <c r="AN26" s="185">
        <f>IF(MONTH(AN$3)='01_Вводные'!$B$256,'18_Календарь_тарифы'!AN14,0)</f>
        <v/>
      </c>
      <c r="AO26" s="185">
        <f>IF(MONTH(AO$3)='01_Вводные'!$B$256,'18_Календарь_тарифы'!AO14,0)</f>
        <v/>
      </c>
      <c r="AP26" s="185">
        <f>IF(MONTH(AP$3)='01_Вводные'!$B$256,'18_Календарь_тарифы'!AP14,0)</f>
        <v/>
      </c>
      <c r="AQ26" s="185">
        <f>IF(MONTH(AQ$3)='01_Вводные'!$B$256,'18_Календарь_тарифы'!AQ14,0)</f>
        <v/>
      </c>
      <c r="AR26" s="185">
        <f>IF(MONTH(AR$3)='01_Вводные'!$B$256,'18_Календарь_тарифы'!AR14,0)</f>
        <v/>
      </c>
      <c r="AS26" s="185">
        <f>IF(MONTH(AS$3)='01_Вводные'!$B$256,'18_Календарь_тарифы'!AS14,0)</f>
        <v/>
      </c>
      <c r="AT26" s="185">
        <f>IF(MONTH(AT$3)='01_Вводные'!$B$256,'18_Календарь_тарифы'!AT14,0)</f>
        <v/>
      </c>
      <c r="AU26" s="185">
        <f>IF(MONTH(AU$3)='01_Вводные'!$B$256,'18_Календарь_тарифы'!AU14,0)</f>
        <v/>
      </c>
      <c r="AV26" s="185">
        <f>IF(MONTH(AV$3)='01_Вводные'!$B$256,'18_Календарь_тарифы'!AV14,0)</f>
        <v/>
      </c>
      <c r="AW26" s="185">
        <f>IF(MONTH(AW$3)='01_Вводные'!$B$256,'18_Календарь_тарифы'!AW14,0)</f>
        <v/>
      </c>
      <c r="AX26" s="185">
        <f>IF(MONTH(AX$3)='01_Вводные'!$B$256,'18_Календарь_тарифы'!AX14,0)</f>
        <v/>
      </c>
      <c r="AY26" s="185">
        <f>IF(MONTH(AY$3)='01_Вводные'!$B$256,'18_Календарь_тарифы'!AY14,0)</f>
        <v/>
      </c>
      <c r="AZ26" s="185">
        <f>IF(MONTH(AZ$3)='01_Вводные'!$B$256,'18_Календарь_тарифы'!AZ14,0)</f>
        <v/>
      </c>
      <c r="BA26" s="185">
        <f>IF(MONTH(BA$3)='01_Вводные'!$B$256,'18_Календарь_тарифы'!BA14,0)</f>
        <v/>
      </c>
      <c r="BB26" s="185">
        <f>IF(MONTH(BB$3)='01_Вводные'!$B$256,'18_Календарь_тарифы'!BB14,0)</f>
        <v/>
      </c>
      <c r="BC26" s="185">
        <f>IF(MONTH(BC$3)='01_Вводные'!$B$256,'18_Календарь_тарифы'!BC14,0)</f>
        <v/>
      </c>
      <c r="BD26" s="185">
        <f>IF(MONTH(BD$3)='01_Вводные'!$B$256,'18_Календарь_тарифы'!BD14,0)</f>
        <v/>
      </c>
      <c r="BE26" s="185">
        <f>IF(MONTH(BE$3)='01_Вводные'!$B$256,'18_Календарь_тарифы'!BE14,0)</f>
        <v/>
      </c>
      <c r="BF26" s="185">
        <f>IF(MONTH(BF$3)='01_Вводные'!$B$256,'18_Календарь_тарифы'!BF14,0)</f>
        <v/>
      </c>
      <c r="BG26" s="185">
        <f>IF(MONTH(BG$3)='01_Вводные'!$B$256,'18_Календарь_тарифы'!BG14,0)</f>
        <v/>
      </c>
      <c r="BH26" s="185">
        <f>IF(MONTH(BH$3)='01_Вводные'!$B$256,'18_Календарь_тарифы'!BH14,0)</f>
        <v/>
      </c>
      <c r="BI26" s="185">
        <f>IF(MONTH(BI$3)='01_Вводные'!$B$256,'18_Календарь_тарифы'!BI14,0)</f>
        <v/>
      </c>
    </row>
    <row r="27"/>
    <row r="28">
      <c r="A28" s="10" t="inlineStr">
        <is>
          <t>Всего ФОТ и кадровые расходы</t>
        </is>
      </c>
      <c r="B28" s="43">
        <f>SUM(B12:B13,B15:B19,B21:B22,B24:B26)</f>
        <v/>
      </c>
      <c r="C28" s="43">
        <f>SUM(C12:C13,C15:C19,C21:C22,C24:C26)</f>
        <v/>
      </c>
      <c r="D28" s="43">
        <f>SUM(D12:D13,D15:D19,D21:D22,D24:D26)</f>
        <v/>
      </c>
      <c r="E28" s="43">
        <f>SUM(E12:E13,E15:E19,E21:E22,E24:E26)</f>
        <v/>
      </c>
      <c r="F28" s="43">
        <f>SUM(F12:F13,F15:F19,F21:F22,F24:F26)</f>
        <v/>
      </c>
      <c r="G28" s="43">
        <f>SUM(G12:G13,G15:G19,G21:G22,G24:G26)</f>
        <v/>
      </c>
      <c r="H28" s="43">
        <f>SUM(H12:H13,H15:H19,H21:H22,H24:H26)</f>
        <v/>
      </c>
      <c r="I28" s="43">
        <f>SUM(I12:I13,I15:I19,I21:I22,I24:I26)</f>
        <v/>
      </c>
      <c r="J28" s="43">
        <f>SUM(J12:J13,J15:J19,J21:J22,J24:J26)</f>
        <v/>
      </c>
      <c r="K28" s="43">
        <f>SUM(K12:K13,K15:K19,K21:K22,K24:K26)</f>
        <v/>
      </c>
      <c r="L28" s="43">
        <f>SUM(L12:L13,L15:L19,L21:L22,L24:L26)</f>
        <v/>
      </c>
      <c r="M28" s="43">
        <f>SUM(M12:M13,M15:M19,M21:M22,M24:M26)</f>
        <v/>
      </c>
      <c r="N28" s="43">
        <f>SUM(N12:N13,N15:N19,N21:N22,N24:N26)</f>
        <v/>
      </c>
      <c r="O28" s="43">
        <f>SUM(O12:O13,O15:O19,O21:O22,O24:O26)</f>
        <v/>
      </c>
      <c r="P28" s="43">
        <f>SUM(P12:P13,P15:P19,P21:P22,P24:P26)</f>
        <v/>
      </c>
      <c r="Q28" s="43">
        <f>SUM(Q12:Q13,Q15:Q19,Q21:Q22,Q24:Q26)</f>
        <v/>
      </c>
      <c r="R28" s="43">
        <f>SUM(R12:R13,R15:R19,R21:R22,R24:R26)</f>
        <v/>
      </c>
      <c r="S28" s="43">
        <f>SUM(S12:S13,S15:S19,S21:S22,S24:S26)</f>
        <v/>
      </c>
      <c r="T28" s="43">
        <f>SUM(T12:T13,T15:T19,T21:T22,T24:T26)</f>
        <v/>
      </c>
      <c r="U28" s="43">
        <f>SUM(U12:U13,U15:U19,U21:U22,U24:U26)</f>
        <v/>
      </c>
      <c r="V28" s="43">
        <f>SUM(V12:V13,V15:V19,V21:V22,V24:V26)</f>
        <v/>
      </c>
      <c r="W28" s="43">
        <f>SUM(W12:W13,W15:W19,W21:W22,W24:W26)</f>
        <v/>
      </c>
      <c r="X28" s="43">
        <f>SUM(X12:X13,X15:X19,X21:X22,X24:X26)</f>
        <v/>
      </c>
      <c r="Y28" s="43">
        <f>SUM(Y12:Y13,Y15:Y19,Y21:Y22,Y24:Y26)</f>
        <v/>
      </c>
      <c r="Z28" s="43">
        <f>SUM(Z12:Z13,Z15:Z19,Z21:Z22,Z24:Z26)</f>
        <v/>
      </c>
      <c r="AA28" s="43">
        <f>SUM(AA12:AA13,AA15:AA19,AA21:AA22,AA24:AA26)</f>
        <v/>
      </c>
      <c r="AB28" s="43">
        <f>SUM(AB12:AB13,AB15:AB19,AB21:AB22,AB24:AB26)</f>
        <v/>
      </c>
      <c r="AC28" s="43">
        <f>SUM(AC12:AC13,AC15:AC19,AC21:AC22,AC24:AC26)</f>
        <v/>
      </c>
      <c r="AD28" s="43">
        <f>SUM(AD12:AD13,AD15:AD19,AD21:AD22,AD24:AD26)</f>
        <v/>
      </c>
      <c r="AE28" s="43">
        <f>SUM(AE12:AE13,AE15:AE19,AE21:AE22,AE24:AE26)</f>
        <v/>
      </c>
      <c r="AF28" s="43">
        <f>SUM(AF12:AF13,AF15:AF19,AF21:AF22,AF24:AF26)</f>
        <v/>
      </c>
      <c r="AG28" s="43">
        <f>SUM(AG12:AG13,AG15:AG19,AG21:AG22,AG24:AG26)</f>
        <v/>
      </c>
      <c r="AH28" s="43">
        <f>SUM(AH12:AH13,AH15:AH19,AH21:AH22,AH24:AH26)</f>
        <v/>
      </c>
      <c r="AI28" s="43">
        <f>SUM(AI12:AI13,AI15:AI19,AI21:AI22,AI24:AI26)</f>
        <v/>
      </c>
      <c r="AJ28" s="43">
        <f>SUM(AJ12:AJ13,AJ15:AJ19,AJ21:AJ22,AJ24:AJ26)</f>
        <v/>
      </c>
      <c r="AK28" s="43">
        <f>SUM(AK12:AK13,AK15:AK19,AK21:AK22,AK24:AK26)</f>
        <v/>
      </c>
      <c r="AL28" s="43">
        <f>SUM(AL12:AL13,AL15:AL19,AL21:AL22,AL24:AL26)</f>
        <v/>
      </c>
      <c r="AM28" s="43">
        <f>SUM(AM12:AM13,AM15:AM19,AM21:AM22,AM24:AM26)</f>
        <v/>
      </c>
      <c r="AN28" s="43">
        <f>SUM(AN12:AN13,AN15:AN19,AN21:AN22,AN24:AN26)</f>
        <v/>
      </c>
      <c r="AO28" s="43">
        <f>SUM(AO12:AO13,AO15:AO19,AO21:AO22,AO24:AO26)</f>
        <v/>
      </c>
      <c r="AP28" s="43">
        <f>SUM(AP12:AP13,AP15:AP19,AP21:AP22,AP24:AP26)</f>
        <v/>
      </c>
      <c r="AQ28" s="43">
        <f>SUM(AQ12:AQ13,AQ15:AQ19,AQ21:AQ22,AQ24:AQ26)</f>
        <v/>
      </c>
      <c r="AR28" s="43">
        <f>SUM(AR12:AR13,AR15:AR19,AR21:AR22,AR24:AR26)</f>
        <v/>
      </c>
      <c r="AS28" s="43">
        <f>SUM(AS12:AS13,AS15:AS19,AS21:AS22,AS24:AS26)</f>
        <v/>
      </c>
      <c r="AT28" s="43">
        <f>SUM(AT12:AT13,AT15:AT19,AT21:AT22,AT24:AT26)</f>
        <v/>
      </c>
      <c r="AU28" s="43">
        <f>SUM(AU12:AU13,AU15:AU19,AU21:AU22,AU24:AU26)</f>
        <v/>
      </c>
      <c r="AV28" s="43">
        <f>SUM(AV12:AV13,AV15:AV19,AV21:AV22,AV24:AV26)</f>
        <v/>
      </c>
      <c r="AW28" s="43">
        <f>SUM(AW12:AW13,AW15:AW19,AW21:AW22,AW24:AW26)</f>
        <v/>
      </c>
      <c r="AX28" s="43">
        <f>SUM(AX12:AX13,AX15:AX19,AX21:AX22,AX24:AX26)</f>
        <v/>
      </c>
      <c r="AY28" s="43">
        <f>SUM(AY12:AY13,AY15:AY19,AY21:AY22,AY24:AY26)</f>
        <v/>
      </c>
      <c r="AZ28" s="43">
        <f>SUM(AZ12:AZ13,AZ15:AZ19,AZ21:AZ22,AZ24:AZ26)</f>
        <v/>
      </c>
      <c r="BA28" s="43">
        <f>SUM(BA12:BA13,BA15:BA19,BA21:BA22,BA24:BA26)</f>
        <v/>
      </c>
      <c r="BB28" s="43">
        <f>SUM(BB12:BB13,BB15:BB19,BB21:BB22,BB24:BB26)</f>
        <v/>
      </c>
      <c r="BC28" s="43">
        <f>SUM(BC12:BC13,BC15:BC19,BC21:BC22,BC24:BC26)</f>
        <v/>
      </c>
      <c r="BD28" s="43">
        <f>SUM(BD12:BD13,BD15:BD19,BD21:BD22,BD24:BD26)</f>
        <v/>
      </c>
      <c r="BE28" s="43">
        <f>SUM(BE12:BE13,BE15:BE19,BE21:BE22,BE24:BE26)</f>
        <v/>
      </c>
      <c r="BF28" s="43">
        <f>SUM(BF12:BF13,BF15:BF19,BF21:BF22,BF24:BF26)</f>
        <v/>
      </c>
      <c r="BG28" s="43">
        <f>SUM(BG12:BG13,BG15:BG19,BG21:BG22,BG24:BG26)</f>
        <v/>
      </c>
      <c r="BH28" s="43">
        <f>SUM(BH12:BH13,BH15:BH19,BH21:BH22,BH24:BH26)</f>
        <v/>
      </c>
      <c r="BI28" s="43">
        <f>SUM(BI12:BI13,BI15:BI19,BI21:BI22,BI24:BI26)</f>
        <v/>
      </c>
    </row>
    <row r="29"/>
    <row r="30">
      <c r="A30" t="inlineStr">
        <is>
          <t>Повышение оклада ГД — gross</t>
        </is>
      </c>
      <c r="B30" s="126">
        <f>IF(B$3&gt;='01_Вводные'!$B$249,'01_Вводные'!$B$135/'01_Вводные'!$B$132*(1+'01_Вводные'!$B$116)^MAX(0,YEAR(B$3)-YEAR('01_Вводные'!$B$249)+IF(MONTH(B$3)&gt;=9,1,0)-IF(MONTH('01_Вводные'!$B$249)&gt;=9,1,0)),0)</f>
        <v/>
      </c>
      <c r="C30" s="126">
        <f>IF(C$3&gt;='01_Вводные'!$B$249,'01_Вводные'!$B$135/'01_Вводные'!$B$132*(1+'01_Вводные'!$B$116)^MAX(0,YEAR(C$3)-YEAR('01_Вводные'!$B$249)+IF(MONTH(C$3)&gt;=9,1,0)-IF(MONTH('01_Вводные'!$B$249)&gt;=9,1,0)),0)</f>
        <v/>
      </c>
      <c r="D30" s="126">
        <f>IF(D$3&gt;='01_Вводные'!$B$249,'01_Вводные'!$B$135/'01_Вводные'!$B$132*(1+'01_Вводные'!$B$116)^MAX(0,YEAR(D$3)-YEAR('01_Вводные'!$B$249)+IF(MONTH(D$3)&gt;=9,1,0)-IF(MONTH('01_Вводные'!$B$249)&gt;=9,1,0)),0)</f>
        <v/>
      </c>
      <c r="E30" s="126">
        <f>IF(E$3&gt;='01_Вводные'!$B$249,'01_Вводные'!$B$135/'01_Вводные'!$B$132*(1+'01_Вводные'!$B$116)^MAX(0,YEAR(E$3)-YEAR('01_Вводные'!$B$249)+IF(MONTH(E$3)&gt;=9,1,0)-IF(MONTH('01_Вводные'!$B$249)&gt;=9,1,0)),0)</f>
        <v/>
      </c>
      <c r="F30" s="126">
        <f>IF(F$3&gt;='01_Вводные'!$B$249,'01_Вводные'!$B$135/'01_Вводные'!$B$132*(1+'01_Вводные'!$B$116)^MAX(0,YEAR(F$3)-YEAR('01_Вводные'!$B$249)+IF(MONTH(F$3)&gt;=9,1,0)-IF(MONTH('01_Вводные'!$B$249)&gt;=9,1,0)),0)</f>
        <v/>
      </c>
      <c r="G30" s="126">
        <f>IF(G$3&gt;='01_Вводные'!$B$249,'01_Вводные'!$B$135/'01_Вводные'!$B$132*(1+'01_Вводные'!$B$116)^MAX(0,YEAR(G$3)-YEAR('01_Вводные'!$B$249)+IF(MONTH(G$3)&gt;=9,1,0)-IF(MONTH('01_Вводные'!$B$249)&gt;=9,1,0)),0)</f>
        <v/>
      </c>
      <c r="H30" s="126">
        <f>IF(H$3&gt;='01_Вводные'!$B$249,'01_Вводные'!$B$135/'01_Вводные'!$B$132*(1+'01_Вводные'!$B$116)^MAX(0,YEAR(H$3)-YEAR('01_Вводные'!$B$249)+IF(MONTH(H$3)&gt;=9,1,0)-IF(MONTH('01_Вводные'!$B$249)&gt;=9,1,0)),0)</f>
        <v/>
      </c>
      <c r="I30" s="126">
        <f>IF(I$3&gt;='01_Вводные'!$B$249,'01_Вводные'!$B$135/'01_Вводные'!$B$132*(1+'01_Вводные'!$B$116)^MAX(0,YEAR(I$3)-YEAR('01_Вводные'!$B$249)+IF(MONTH(I$3)&gt;=9,1,0)-IF(MONTH('01_Вводные'!$B$249)&gt;=9,1,0)),0)</f>
        <v/>
      </c>
      <c r="J30" s="126">
        <f>IF(J$3&gt;='01_Вводные'!$B$249,'01_Вводные'!$B$135/'01_Вводные'!$B$132*(1+'01_Вводные'!$B$116)^MAX(0,YEAR(J$3)-YEAR('01_Вводные'!$B$249)+IF(MONTH(J$3)&gt;=9,1,0)-IF(MONTH('01_Вводные'!$B$249)&gt;=9,1,0)),0)</f>
        <v/>
      </c>
      <c r="K30" s="126">
        <f>IF(K$3&gt;='01_Вводные'!$B$249,'01_Вводные'!$B$135/'01_Вводные'!$B$132*(1+'01_Вводные'!$B$116)^MAX(0,YEAR(K$3)-YEAR('01_Вводные'!$B$249)+IF(MONTH(K$3)&gt;=9,1,0)-IF(MONTH('01_Вводные'!$B$249)&gt;=9,1,0)),0)</f>
        <v/>
      </c>
      <c r="L30" s="126">
        <f>IF(L$3&gt;='01_Вводные'!$B$249,'01_Вводные'!$B$135/'01_Вводные'!$B$132*(1+'01_Вводные'!$B$116)^MAX(0,YEAR(L$3)-YEAR('01_Вводные'!$B$249)+IF(MONTH(L$3)&gt;=9,1,0)-IF(MONTH('01_Вводные'!$B$249)&gt;=9,1,0)),0)</f>
        <v/>
      </c>
      <c r="M30" s="126">
        <f>IF(M$3&gt;='01_Вводные'!$B$249,'01_Вводные'!$B$135/'01_Вводные'!$B$132*(1+'01_Вводные'!$B$116)^MAX(0,YEAR(M$3)-YEAR('01_Вводные'!$B$249)+IF(MONTH(M$3)&gt;=9,1,0)-IF(MONTH('01_Вводные'!$B$249)&gt;=9,1,0)),0)</f>
        <v/>
      </c>
      <c r="N30" s="126">
        <f>IF(N$3&gt;='01_Вводные'!$B$249,'01_Вводные'!$B$135/'01_Вводные'!$B$132*(1+'01_Вводные'!$B$116)^MAX(0,YEAR(N$3)-YEAR('01_Вводные'!$B$249)+IF(MONTH(N$3)&gt;=9,1,0)-IF(MONTH('01_Вводные'!$B$249)&gt;=9,1,0)),0)</f>
        <v/>
      </c>
      <c r="O30" s="126">
        <f>IF(O$3&gt;='01_Вводные'!$B$249,'01_Вводные'!$B$135/'01_Вводные'!$B$132*(1+'01_Вводные'!$B$116)^MAX(0,YEAR(O$3)-YEAR('01_Вводные'!$B$249)+IF(MONTH(O$3)&gt;=9,1,0)-IF(MONTH('01_Вводные'!$B$249)&gt;=9,1,0)),0)</f>
        <v/>
      </c>
      <c r="P30" s="126">
        <f>IF(P$3&gt;='01_Вводные'!$B$249,'01_Вводные'!$B$135/'01_Вводные'!$B$132*(1+'01_Вводные'!$B$116)^MAX(0,YEAR(P$3)-YEAR('01_Вводные'!$B$249)+IF(MONTH(P$3)&gt;=9,1,0)-IF(MONTH('01_Вводные'!$B$249)&gt;=9,1,0)),0)</f>
        <v/>
      </c>
      <c r="Q30" s="126">
        <f>IF(Q$3&gt;='01_Вводные'!$B$249,'01_Вводные'!$B$135/'01_Вводные'!$B$132*(1+'01_Вводные'!$B$116)^MAX(0,YEAR(Q$3)-YEAR('01_Вводные'!$B$249)+IF(MONTH(Q$3)&gt;=9,1,0)-IF(MONTH('01_Вводные'!$B$249)&gt;=9,1,0)),0)</f>
        <v/>
      </c>
      <c r="R30" s="126">
        <f>IF(R$3&gt;='01_Вводные'!$B$249,'01_Вводные'!$B$135/'01_Вводные'!$B$132*(1+'01_Вводные'!$B$116)^MAX(0,YEAR(R$3)-YEAR('01_Вводные'!$B$249)+IF(MONTH(R$3)&gt;=9,1,0)-IF(MONTH('01_Вводные'!$B$249)&gt;=9,1,0)),0)</f>
        <v/>
      </c>
      <c r="S30" s="126">
        <f>IF(S$3&gt;='01_Вводные'!$B$249,'01_Вводные'!$B$135/'01_Вводные'!$B$132*(1+'01_Вводные'!$B$116)^MAX(0,YEAR(S$3)-YEAR('01_Вводные'!$B$249)+IF(MONTH(S$3)&gt;=9,1,0)-IF(MONTH('01_Вводные'!$B$249)&gt;=9,1,0)),0)</f>
        <v/>
      </c>
      <c r="T30" s="126">
        <f>IF(T$3&gt;='01_Вводные'!$B$249,'01_Вводные'!$B$135/'01_Вводные'!$B$132*(1+'01_Вводные'!$B$116)^MAX(0,YEAR(T$3)-YEAR('01_Вводные'!$B$249)+IF(MONTH(T$3)&gt;=9,1,0)-IF(MONTH('01_Вводные'!$B$249)&gt;=9,1,0)),0)</f>
        <v/>
      </c>
      <c r="U30" s="126">
        <f>IF(U$3&gt;='01_Вводные'!$B$249,'01_Вводные'!$B$135/'01_Вводные'!$B$132*(1+'01_Вводные'!$B$116)^MAX(0,YEAR(U$3)-YEAR('01_Вводные'!$B$249)+IF(MONTH(U$3)&gt;=9,1,0)-IF(MONTH('01_Вводные'!$B$249)&gt;=9,1,0)),0)</f>
        <v/>
      </c>
      <c r="V30" s="126">
        <f>IF(V$3&gt;='01_Вводные'!$B$249,'01_Вводные'!$B$135/'01_Вводные'!$B$132*(1+'01_Вводные'!$B$116)^MAX(0,YEAR(V$3)-YEAR('01_Вводные'!$B$249)+IF(MONTH(V$3)&gt;=9,1,0)-IF(MONTH('01_Вводные'!$B$249)&gt;=9,1,0)),0)</f>
        <v/>
      </c>
      <c r="W30" s="126">
        <f>IF(W$3&gt;='01_Вводные'!$B$249,'01_Вводные'!$B$135/'01_Вводные'!$B$132*(1+'01_Вводные'!$B$116)^MAX(0,YEAR(W$3)-YEAR('01_Вводные'!$B$249)+IF(MONTH(W$3)&gt;=9,1,0)-IF(MONTH('01_Вводные'!$B$249)&gt;=9,1,0)),0)</f>
        <v/>
      </c>
      <c r="X30" s="126">
        <f>IF(X$3&gt;='01_Вводные'!$B$249,'01_Вводные'!$B$135/'01_Вводные'!$B$132*(1+'01_Вводные'!$B$116)^MAX(0,YEAR(X$3)-YEAR('01_Вводные'!$B$249)+IF(MONTH(X$3)&gt;=9,1,0)-IF(MONTH('01_Вводные'!$B$249)&gt;=9,1,0)),0)</f>
        <v/>
      </c>
      <c r="Y30" s="126">
        <f>IF(Y$3&gt;='01_Вводные'!$B$249,'01_Вводные'!$B$135/'01_Вводные'!$B$132*(1+'01_Вводные'!$B$116)^MAX(0,YEAR(Y$3)-YEAR('01_Вводные'!$B$249)+IF(MONTH(Y$3)&gt;=9,1,0)-IF(MONTH('01_Вводные'!$B$249)&gt;=9,1,0)),0)</f>
        <v/>
      </c>
      <c r="Z30" s="126">
        <f>IF(Z$3&gt;='01_Вводные'!$B$249,'01_Вводные'!$B$135/'01_Вводные'!$B$132*(1+'01_Вводные'!$B$116)^MAX(0,YEAR(Z$3)-YEAR('01_Вводные'!$B$249)+IF(MONTH(Z$3)&gt;=9,1,0)-IF(MONTH('01_Вводные'!$B$249)&gt;=9,1,0)),0)</f>
        <v/>
      </c>
      <c r="AA30" s="126">
        <f>IF(AA$3&gt;='01_Вводные'!$B$249,'01_Вводные'!$B$135/'01_Вводные'!$B$132*(1+'01_Вводные'!$B$116)^MAX(0,YEAR(AA$3)-YEAR('01_Вводные'!$B$249)+IF(MONTH(AA$3)&gt;=9,1,0)-IF(MONTH('01_Вводные'!$B$249)&gt;=9,1,0)),0)</f>
        <v/>
      </c>
      <c r="AB30" s="126">
        <f>IF(AB$3&gt;='01_Вводные'!$B$249,'01_Вводные'!$B$135/'01_Вводные'!$B$132*(1+'01_Вводные'!$B$116)^MAX(0,YEAR(AB$3)-YEAR('01_Вводные'!$B$249)+IF(MONTH(AB$3)&gt;=9,1,0)-IF(MONTH('01_Вводные'!$B$249)&gt;=9,1,0)),0)</f>
        <v/>
      </c>
      <c r="AC30" s="126">
        <f>IF(AC$3&gt;='01_Вводные'!$B$249,'01_Вводные'!$B$135/'01_Вводные'!$B$132*(1+'01_Вводные'!$B$116)^MAX(0,YEAR(AC$3)-YEAR('01_Вводные'!$B$249)+IF(MONTH(AC$3)&gt;=9,1,0)-IF(MONTH('01_Вводные'!$B$249)&gt;=9,1,0)),0)</f>
        <v/>
      </c>
      <c r="AD30" s="126">
        <f>IF(AD$3&gt;='01_Вводные'!$B$249,'01_Вводные'!$B$135/'01_Вводные'!$B$132*(1+'01_Вводные'!$B$116)^MAX(0,YEAR(AD$3)-YEAR('01_Вводные'!$B$249)+IF(MONTH(AD$3)&gt;=9,1,0)-IF(MONTH('01_Вводные'!$B$249)&gt;=9,1,0)),0)</f>
        <v/>
      </c>
      <c r="AE30" s="126">
        <f>IF(AE$3&gt;='01_Вводные'!$B$249,'01_Вводные'!$B$135/'01_Вводные'!$B$132*(1+'01_Вводные'!$B$116)^MAX(0,YEAR(AE$3)-YEAR('01_Вводные'!$B$249)+IF(MONTH(AE$3)&gt;=9,1,0)-IF(MONTH('01_Вводные'!$B$249)&gt;=9,1,0)),0)</f>
        <v/>
      </c>
      <c r="AF30" s="126">
        <f>IF(AF$3&gt;='01_Вводные'!$B$249,'01_Вводные'!$B$135/'01_Вводные'!$B$132*(1+'01_Вводные'!$B$116)^MAX(0,YEAR(AF$3)-YEAR('01_Вводные'!$B$249)+IF(MONTH(AF$3)&gt;=9,1,0)-IF(MONTH('01_Вводные'!$B$249)&gt;=9,1,0)),0)</f>
        <v/>
      </c>
      <c r="AG30" s="126">
        <f>IF(AG$3&gt;='01_Вводные'!$B$249,'01_Вводные'!$B$135/'01_Вводные'!$B$132*(1+'01_Вводные'!$B$116)^MAX(0,YEAR(AG$3)-YEAR('01_Вводные'!$B$249)+IF(MONTH(AG$3)&gt;=9,1,0)-IF(MONTH('01_Вводные'!$B$249)&gt;=9,1,0)),0)</f>
        <v/>
      </c>
      <c r="AH30" s="126">
        <f>IF(AH$3&gt;='01_Вводные'!$B$249,'01_Вводные'!$B$135/'01_Вводные'!$B$132*(1+'01_Вводные'!$B$116)^MAX(0,YEAR(AH$3)-YEAR('01_Вводные'!$B$249)+IF(MONTH(AH$3)&gt;=9,1,0)-IF(MONTH('01_Вводные'!$B$249)&gt;=9,1,0)),0)</f>
        <v/>
      </c>
      <c r="AI30" s="126">
        <f>IF(AI$3&gt;='01_Вводные'!$B$249,'01_Вводные'!$B$135/'01_Вводные'!$B$132*(1+'01_Вводные'!$B$116)^MAX(0,YEAR(AI$3)-YEAR('01_Вводные'!$B$249)+IF(MONTH(AI$3)&gt;=9,1,0)-IF(MONTH('01_Вводные'!$B$249)&gt;=9,1,0)),0)</f>
        <v/>
      </c>
      <c r="AJ30" s="126">
        <f>IF(AJ$3&gt;='01_Вводные'!$B$249,'01_Вводные'!$B$135/'01_Вводные'!$B$132*(1+'01_Вводные'!$B$116)^MAX(0,YEAR(AJ$3)-YEAR('01_Вводные'!$B$249)+IF(MONTH(AJ$3)&gt;=9,1,0)-IF(MONTH('01_Вводные'!$B$249)&gt;=9,1,0)),0)</f>
        <v/>
      </c>
      <c r="AK30" s="126">
        <f>IF(AK$3&gt;='01_Вводные'!$B$249,'01_Вводные'!$B$135/'01_Вводные'!$B$132*(1+'01_Вводные'!$B$116)^MAX(0,YEAR(AK$3)-YEAR('01_Вводные'!$B$249)+IF(MONTH(AK$3)&gt;=9,1,0)-IF(MONTH('01_Вводные'!$B$249)&gt;=9,1,0)),0)</f>
        <v/>
      </c>
      <c r="AL30" s="126">
        <f>IF(AL$3&gt;='01_Вводные'!$B$249,'01_Вводные'!$B$135/'01_Вводные'!$B$132*(1+'01_Вводные'!$B$116)^MAX(0,YEAR(AL$3)-YEAR('01_Вводные'!$B$249)+IF(MONTH(AL$3)&gt;=9,1,0)-IF(MONTH('01_Вводные'!$B$249)&gt;=9,1,0)),0)</f>
        <v/>
      </c>
      <c r="AM30" s="126">
        <f>IF(AM$3&gt;='01_Вводные'!$B$249,'01_Вводные'!$B$135/'01_Вводные'!$B$132*(1+'01_Вводные'!$B$116)^MAX(0,YEAR(AM$3)-YEAR('01_Вводные'!$B$249)+IF(MONTH(AM$3)&gt;=9,1,0)-IF(MONTH('01_Вводные'!$B$249)&gt;=9,1,0)),0)</f>
        <v/>
      </c>
      <c r="AN30" s="126">
        <f>IF(AN$3&gt;='01_Вводные'!$B$249,'01_Вводные'!$B$135/'01_Вводные'!$B$132*(1+'01_Вводные'!$B$116)^MAX(0,YEAR(AN$3)-YEAR('01_Вводные'!$B$249)+IF(MONTH(AN$3)&gt;=9,1,0)-IF(MONTH('01_Вводные'!$B$249)&gt;=9,1,0)),0)</f>
        <v/>
      </c>
      <c r="AO30" s="126">
        <f>IF(AO$3&gt;='01_Вводные'!$B$249,'01_Вводные'!$B$135/'01_Вводные'!$B$132*(1+'01_Вводные'!$B$116)^MAX(0,YEAR(AO$3)-YEAR('01_Вводные'!$B$249)+IF(MONTH(AO$3)&gt;=9,1,0)-IF(MONTH('01_Вводные'!$B$249)&gt;=9,1,0)),0)</f>
        <v/>
      </c>
      <c r="AP30" s="126">
        <f>IF(AP$3&gt;='01_Вводные'!$B$249,'01_Вводные'!$B$135/'01_Вводные'!$B$132*(1+'01_Вводные'!$B$116)^MAX(0,YEAR(AP$3)-YEAR('01_Вводные'!$B$249)+IF(MONTH(AP$3)&gt;=9,1,0)-IF(MONTH('01_Вводные'!$B$249)&gt;=9,1,0)),0)</f>
        <v/>
      </c>
      <c r="AQ30" s="126">
        <f>IF(AQ$3&gt;='01_Вводные'!$B$249,'01_Вводные'!$B$135/'01_Вводные'!$B$132*(1+'01_Вводные'!$B$116)^MAX(0,YEAR(AQ$3)-YEAR('01_Вводные'!$B$249)+IF(MONTH(AQ$3)&gt;=9,1,0)-IF(MONTH('01_Вводные'!$B$249)&gt;=9,1,0)),0)</f>
        <v/>
      </c>
      <c r="AR30" s="126">
        <f>IF(AR$3&gt;='01_Вводные'!$B$249,'01_Вводные'!$B$135/'01_Вводные'!$B$132*(1+'01_Вводные'!$B$116)^MAX(0,YEAR(AR$3)-YEAR('01_Вводные'!$B$249)+IF(MONTH(AR$3)&gt;=9,1,0)-IF(MONTH('01_Вводные'!$B$249)&gt;=9,1,0)),0)</f>
        <v/>
      </c>
      <c r="AS30" s="126">
        <f>IF(AS$3&gt;='01_Вводные'!$B$249,'01_Вводные'!$B$135/'01_Вводные'!$B$132*(1+'01_Вводные'!$B$116)^MAX(0,YEAR(AS$3)-YEAR('01_Вводные'!$B$249)+IF(MONTH(AS$3)&gt;=9,1,0)-IF(MONTH('01_Вводные'!$B$249)&gt;=9,1,0)),0)</f>
        <v/>
      </c>
      <c r="AT30" s="126">
        <f>IF(AT$3&gt;='01_Вводные'!$B$249,'01_Вводные'!$B$135/'01_Вводные'!$B$132*(1+'01_Вводные'!$B$116)^MAX(0,YEAR(AT$3)-YEAR('01_Вводные'!$B$249)+IF(MONTH(AT$3)&gt;=9,1,0)-IF(MONTH('01_Вводные'!$B$249)&gt;=9,1,0)),0)</f>
        <v/>
      </c>
      <c r="AU30" s="126">
        <f>IF(AU$3&gt;='01_Вводные'!$B$249,'01_Вводные'!$B$135/'01_Вводные'!$B$132*(1+'01_Вводные'!$B$116)^MAX(0,YEAR(AU$3)-YEAR('01_Вводные'!$B$249)+IF(MONTH(AU$3)&gt;=9,1,0)-IF(MONTH('01_Вводные'!$B$249)&gt;=9,1,0)),0)</f>
        <v/>
      </c>
      <c r="AV30" s="126">
        <f>IF(AV$3&gt;='01_Вводные'!$B$249,'01_Вводные'!$B$135/'01_Вводные'!$B$132*(1+'01_Вводные'!$B$116)^MAX(0,YEAR(AV$3)-YEAR('01_Вводные'!$B$249)+IF(MONTH(AV$3)&gt;=9,1,0)-IF(MONTH('01_Вводные'!$B$249)&gt;=9,1,0)),0)</f>
        <v/>
      </c>
      <c r="AW30" s="126">
        <f>IF(AW$3&gt;='01_Вводные'!$B$249,'01_Вводные'!$B$135/'01_Вводные'!$B$132*(1+'01_Вводные'!$B$116)^MAX(0,YEAR(AW$3)-YEAR('01_Вводные'!$B$249)+IF(MONTH(AW$3)&gt;=9,1,0)-IF(MONTH('01_Вводные'!$B$249)&gt;=9,1,0)),0)</f>
        <v/>
      </c>
      <c r="AX30" s="126">
        <f>IF(AX$3&gt;='01_Вводные'!$B$249,'01_Вводные'!$B$135/'01_Вводные'!$B$132*(1+'01_Вводные'!$B$116)^MAX(0,YEAR(AX$3)-YEAR('01_Вводные'!$B$249)+IF(MONTH(AX$3)&gt;=9,1,0)-IF(MONTH('01_Вводные'!$B$249)&gt;=9,1,0)),0)</f>
        <v/>
      </c>
      <c r="AY30" s="126">
        <f>IF(AY$3&gt;='01_Вводные'!$B$249,'01_Вводные'!$B$135/'01_Вводные'!$B$132*(1+'01_Вводные'!$B$116)^MAX(0,YEAR(AY$3)-YEAR('01_Вводные'!$B$249)+IF(MONTH(AY$3)&gt;=9,1,0)-IF(MONTH('01_Вводные'!$B$249)&gt;=9,1,0)),0)</f>
        <v/>
      </c>
      <c r="AZ30" s="126">
        <f>IF(AZ$3&gt;='01_Вводные'!$B$249,'01_Вводные'!$B$135/'01_Вводные'!$B$132*(1+'01_Вводные'!$B$116)^MAX(0,YEAR(AZ$3)-YEAR('01_Вводные'!$B$249)+IF(MONTH(AZ$3)&gt;=9,1,0)-IF(MONTH('01_Вводные'!$B$249)&gt;=9,1,0)),0)</f>
        <v/>
      </c>
      <c r="BA30" s="126">
        <f>IF(BA$3&gt;='01_Вводные'!$B$249,'01_Вводные'!$B$135/'01_Вводные'!$B$132*(1+'01_Вводные'!$B$116)^MAX(0,YEAR(BA$3)-YEAR('01_Вводные'!$B$249)+IF(MONTH(BA$3)&gt;=9,1,0)-IF(MONTH('01_Вводные'!$B$249)&gt;=9,1,0)),0)</f>
        <v/>
      </c>
      <c r="BB30" s="126">
        <f>IF(BB$3&gt;='01_Вводные'!$B$249,'01_Вводные'!$B$135/'01_Вводные'!$B$132*(1+'01_Вводные'!$B$116)^MAX(0,YEAR(BB$3)-YEAR('01_Вводные'!$B$249)+IF(MONTH(BB$3)&gt;=9,1,0)-IF(MONTH('01_Вводные'!$B$249)&gt;=9,1,0)),0)</f>
        <v/>
      </c>
      <c r="BC30" s="126">
        <f>IF(BC$3&gt;='01_Вводные'!$B$249,'01_Вводные'!$B$135/'01_Вводные'!$B$132*(1+'01_Вводные'!$B$116)^MAX(0,YEAR(BC$3)-YEAR('01_Вводные'!$B$249)+IF(MONTH(BC$3)&gt;=9,1,0)-IF(MONTH('01_Вводные'!$B$249)&gt;=9,1,0)),0)</f>
        <v/>
      </c>
      <c r="BD30" s="126">
        <f>IF(BD$3&gt;='01_Вводные'!$B$249,'01_Вводные'!$B$135/'01_Вводные'!$B$132*(1+'01_Вводные'!$B$116)^MAX(0,YEAR(BD$3)-YEAR('01_Вводные'!$B$249)+IF(MONTH(BD$3)&gt;=9,1,0)-IF(MONTH('01_Вводные'!$B$249)&gt;=9,1,0)),0)</f>
        <v/>
      </c>
      <c r="BE30" s="126">
        <f>IF(BE$3&gt;='01_Вводные'!$B$249,'01_Вводные'!$B$135/'01_Вводные'!$B$132*(1+'01_Вводные'!$B$116)^MAX(0,YEAR(BE$3)-YEAR('01_Вводные'!$B$249)+IF(MONTH(BE$3)&gt;=9,1,0)-IF(MONTH('01_Вводные'!$B$249)&gt;=9,1,0)),0)</f>
        <v/>
      </c>
      <c r="BF30" s="126">
        <f>IF(BF$3&gt;='01_Вводные'!$B$249,'01_Вводные'!$B$135/'01_Вводные'!$B$132*(1+'01_Вводные'!$B$116)^MAX(0,YEAR(BF$3)-YEAR('01_Вводные'!$B$249)+IF(MONTH(BF$3)&gt;=9,1,0)-IF(MONTH('01_Вводные'!$B$249)&gt;=9,1,0)),0)</f>
        <v/>
      </c>
      <c r="BG30" s="126">
        <f>IF(BG$3&gt;='01_Вводные'!$B$249,'01_Вводные'!$B$135/'01_Вводные'!$B$132*(1+'01_Вводные'!$B$116)^MAX(0,YEAR(BG$3)-YEAR('01_Вводные'!$B$249)+IF(MONTH(BG$3)&gt;=9,1,0)-IF(MONTH('01_Вводные'!$B$249)&gt;=9,1,0)),0)</f>
        <v/>
      </c>
      <c r="BH30" s="126">
        <f>IF(BH$3&gt;='01_Вводные'!$B$249,'01_Вводные'!$B$135/'01_Вводные'!$B$132*(1+'01_Вводные'!$B$116)^MAX(0,YEAR(BH$3)-YEAR('01_Вводные'!$B$249)+IF(MONTH(BH$3)&gt;=9,1,0)-IF(MONTH('01_Вводные'!$B$249)&gt;=9,1,0)),0)</f>
        <v/>
      </c>
      <c r="BI30" s="126">
        <f>IF(BI$3&gt;='01_Вводные'!$B$249,'01_Вводные'!$B$135/'01_Вводные'!$B$132*(1+'01_Вводные'!$B$116)^MAX(0,YEAR(BI$3)-YEAR('01_Вводные'!$B$249)+IF(MONTH(BI$3)&gt;=9,1,0)-IF(MONTH('01_Вводные'!$B$249)&gt;=9,1,0)),0)</f>
        <v/>
      </c>
    </row>
  </sheetData>
  <mergeCells count="4">
    <mergeCell ref="A6:BI6"/>
    <mergeCell ref="A1:BI1"/>
    <mergeCell ref="A23:BI23"/>
    <mergeCell ref="A14:BI14"/>
  </mergeCells>
  <printOptions horizontalCentered="0"/>
  <pageMargins left="0.75" right="0.75" top="1" bottom="1" header="0.5" footer="0.5"/>
  <pageSetup orientation="landscape" fitToHeight="0" fitToWidth="1"/>
  <headerFooter>
    <oddHeader/>
    <oddFooter>&amp;LФинмодель Спартак · 08_ФОТ&amp;R&amp;P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BI19"/>
  <sheetViews>
    <sheetView showGridLines="0" zoomScale="82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</cols>
  <sheetData>
    <row r="1" ht="24" customHeight="1">
      <c r="A1" s="1" t="inlineStr">
        <is>
          <t>Лагеря — БДР и денежный график</t>
        </is>
      </c>
    </row>
    <row r="2">
      <c r="A2" s="343">
        <f>"Статус блока: "&amp;IF('01_Вводные'!$B$241="Да","ВКЛЮЧЁН — лагеря участвуют в выручке, EBITDA и деньгах","ОТКЛЮЧЁН — все строки ниже обнулены. Включить: 01_Вводные!B241 = Да")</f>
        <v/>
      </c>
    </row>
    <row r="3">
      <c r="B3" s="94">
        <f>DATE(YEAR('01_Вводные'!$B$7),MONTH('01_Вводные'!$B$7)+0,1)</f>
        <v/>
      </c>
      <c r="C3" s="94">
        <f>DATE(YEAR('01_Вводные'!$B$7),MONTH('01_Вводные'!$B$7)+1,1)</f>
        <v/>
      </c>
      <c r="D3" s="94">
        <f>DATE(YEAR('01_Вводные'!$B$7),MONTH('01_Вводные'!$B$7)+2,1)</f>
        <v/>
      </c>
      <c r="E3" s="94">
        <f>DATE(YEAR('01_Вводные'!$B$7),MONTH('01_Вводные'!$B$7)+3,1)</f>
        <v/>
      </c>
      <c r="F3" s="94">
        <f>DATE(YEAR('01_Вводные'!$B$7),MONTH('01_Вводные'!$B$7)+4,1)</f>
        <v/>
      </c>
      <c r="G3" s="94">
        <f>DATE(YEAR('01_Вводные'!$B$7),MONTH('01_Вводные'!$B$7)+5,1)</f>
        <v/>
      </c>
      <c r="H3" s="94">
        <f>DATE(YEAR('01_Вводные'!$B$7),MONTH('01_Вводные'!$B$7)+6,1)</f>
        <v/>
      </c>
      <c r="I3" s="94">
        <f>DATE(YEAR('01_Вводные'!$B$7),MONTH('01_Вводные'!$B$7)+7,1)</f>
        <v/>
      </c>
      <c r="J3" s="94">
        <f>DATE(YEAR('01_Вводные'!$B$7),MONTH('01_Вводные'!$B$7)+8,1)</f>
        <v/>
      </c>
      <c r="K3" s="94">
        <f>DATE(YEAR('01_Вводные'!$B$7),MONTH('01_Вводные'!$B$7)+9,1)</f>
        <v/>
      </c>
      <c r="L3" s="94">
        <f>DATE(YEAR('01_Вводные'!$B$7),MONTH('01_Вводные'!$B$7)+10,1)</f>
        <v/>
      </c>
      <c r="M3" s="94">
        <f>DATE(YEAR('01_Вводные'!$B$7),MONTH('01_Вводные'!$B$7)+11,1)</f>
        <v/>
      </c>
      <c r="N3" s="94">
        <f>DATE(YEAR('01_Вводные'!$B$7),MONTH('01_Вводные'!$B$7)+12,1)</f>
        <v/>
      </c>
      <c r="O3" s="94">
        <f>DATE(YEAR('01_Вводные'!$B$7),MONTH('01_Вводные'!$B$7)+13,1)</f>
        <v/>
      </c>
      <c r="P3" s="94">
        <f>DATE(YEAR('01_Вводные'!$B$7),MONTH('01_Вводные'!$B$7)+14,1)</f>
        <v/>
      </c>
      <c r="Q3" s="94">
        <f>DATE(YEAR('01_Вводные'!$B$7),MONTH('01_Вводные'!$B$7)+15,1)</f>
        <v/>
      </c>
      <c r="R3" s="94">
        <f>DATE(YEAR('01_Вводные'!$B$7),MONTH('01_Вводные'!$B$7)+16,1)</f>
        <v/>
      </c>
      <c r="S3" s="94">
        <f>DATE(YEAR('01_Вводные'!$B$7),MONTH('01_Вводные'!$B$7)+17,1)</f>
        <v/>
      </c>
      <c r="T3" s="94">
        <f>DATE(YEAR('01_Вводные'!$B$7),MONTH('01_Вводные'!$B$7)+18,1)</f>
        <v/>
      </c>
      <c r="U3" s="94">
        <f>DATE(YEAR('01_Вводные'!$B$7),MONTH('01_Вводные'!$B$7)+19,1)</f>
        <v/>
      </c>
      <c r="V3" s="94">
        <f>DATE(YEAR('01_Вводные'!$B$7),MONTH('01_Вводные'!$B$7)+20,1)</f>
        <v/>
      </c>
      <c r="W3" s="94">
        <f>DATE(YEAR('01_Вводные'!$B$7),MONTH('01_Вводные'!$B$7)+21,1)</f>
        <v/>
      </c>
      <c r="X3" s="94">
        <f>DATE(YEAR('01_Вводные'!$B$7),MONTH('01_Вводные'!$B$7)+22,1)</f>
        <v/>
      </c>
      <c r="Y3" s="94">
        <f>DATE(YEAR('01_Вводные'!$B$7),MONTH('01_Вводные'!$B$7)+23,1)</f>
        <v/>
      </c>
      <c r="Z3" s="94">
        <f>DATE(YEAR('01_Вводные'!$B$7),MONTH('01_Вводные'!$B$7)+24,1)</f>
        <v/>
      </c>
      <c r="AA3" s="94">
        <f>DATE(YEAR('01_Вводные'!$B$7),MONTH('01_Вводные'!$B$7)+25,1)</f>
        <v/>
      </c>
      <c r="AB3" s="94">
        <f>DATE(YEAR('01_Вводные'!$B$7),MONTH('01_Вводные'!$B$7)+26,1)</f>
        <v/>
      </c>
      <c r="AC3" s="94">
        <f>DATE(YEAR('01_Вводные'!$B$7),MONTH('01_Вводные'!$B$7)+27,1)</f>
        <v/>
      </c>
      <c r="AD3" s="94">
        <f>DATE(YEAR('01_Вводные'!$B$7),MONTH('01_Вводные'!$B$7)+28,1)</f>
        <v/>
      </c>
      <c r="AE3" s="94">
        <f>DATE(YEAR('01_Вводные'!$B$7),MONTH('01_Вводные'!$B$7)+29,1)</f>
        <v/>
      </c>
      <c r="AF3" s="94">
        <f>DATE(YEAR('01_Вводные'!$B$7),MONTH('01_Вводные'!$B$7)+30,1)</f>
        <v/>
      </c>
      <c r="AG3" s="94">
        <f>DATE(YEAR('01_Вводные'!$B$7),MONTH('01_Вводные'!$B$7)+31,1)</f>
        <v/>
      </c>
      <c r="AH3" s="94">
        <f>DATE(YEAR('01_Вводные'!$B$7),MONTH('01_Вводные'!$B$7)+32,1)</f>
        <v/>
      </c>
      <c r="AI3" s="94">
        <f>DATE(YEAR('01_Вводные'!$B$7),MONTH('01_Вводные'!$B$7)+33,1)</f>
        <v/>
      </c>
      <c r="AJ3" s="94">
        <f>DATE(YEAR('01_Вводные'!$B$7),MONTH('01_Вводные'!$B$7)+34,1)</f>
        <v/>
      </c>
      <c r="AK3" s="94">
        <f>DATE(YEAR('01_Вводные'!$B$7),MONTH('01_Вводные'!$B$7)+35,1)</f>
        <v/>
      </c>
      <c r="AL3" s="94">
        <f>DATE(YEAR('01_Вводные'!$B$7),MONTH('01_Вводные'!$B$7)+36,1)</f>
        <v/>
      </c>
      <c r="AM3" s="94">
        <f>DATE(YEAR('01_Вводные'!$B$7),MONTH('01_Вводные'!$B$7)+37,1)</f>
        <v/>
      </c>
      <c r="AN3" s="94">
        <f>DATE(YEAR('01_Вводные'!$B$7),MONTH('01_Вводные'!$B$7)+38,1)</f>
        <v/>
      </c>
      <c r="AO3" s="94">
        <f>DATE(YEAR('01_Вводные'!$B$7),MONTH('01_Вводные'!$B$7)+39,1)</f>
        <v/>
      </c>
      <c r="AP3" s="94">
        <f>DATE(YEAR('01_Вводные'!$B$7),MONTH('01_Вводные'!$B$7)+40,1)</f>
        <v/>
      </c>
      <c r="AQ3" s="94">
        <f>DATE(YEAR('01_Вводные'!$B$7),MONTH('01_Вводные'!$B$7)+41,1)</f>
        <v/>
      </c>
      <c r="AR3" s="94">
        <f>DATE(YEAR('01_Вводные'!$B$7),MONTH('01_Вводные'!$B$7)+42,1)</f>
        <v/>
      </c>
      <c r="AS3" s="94">
        <f>DATE(YEAR('01_Вводные'!$B$7),MONTH('01_Вводные'!$B$7)+43,1)</f>
        <v/>
      </c>
      <c r="AT3" s="94">
        <f>DATE(YEAR('01_Вводные'!$B$7),MONTH('01_Вводные'!$B$7)+44,1)</f>
        <v/>
      </c>
      <c r="AU3" s="94">
        <f>DATE(YEAR('01_Вводные'!$B$7),MONTH('01_Вводные'!$B$7)+45,1)</f>
        <v/>
      </c>
      <c r="AV3" s="94">
        <f>DATE(YEAR('01_Вводные'!$B$7),MONTH('01_Вводные'!$B$7)+46,1)</f>
        <v/>
      </c>
      <c r="AW3" s="94">
        <f>DATE(YEAR('01_Вводные'!$B$7),MONTH('01_Вводные'!$B$7)+47,1)</f>
        <v/>
      </c>
      <c r="AX3" s="94">
        <f>DATE(YEAR('01_Вводные'!$B$7),MONTH('01_Вводные'!$B$7)+48,1)</f>
        <v/>
      </c>
      <c r="AY3" s="94">
        <f>DATE(YEAR('01_Вводные'!$B$7),MONTH('01_Вводные'!$B$7)+49,1)</f>
        <v/>
      </c>
      <c r="AZ3" s="94">
        <f>DATE(YEAR('01_Вводные'!$B$7),MONTH('01_Вводные'!$B$7)+50,1)</f>
        <v/>
      </c>
      <c r="BA3" s="94">
        <f>DATE(YEAR('01_Вводные'!$B$7),MONTH('01_Вводные'!$B$7)+51,1)</f>
        <v/>
      </c>
      <c r="BB3" s="94">
        <f>DATE(YEAR('01_Вводные'!$B$7),MONTH('01_Вводные'!$B$7)+52,1)</f>
        <v/>
      </c>
      <c r="BC3" s="94">
        <f>DATE(YEAR('01_Вводные'!$B$7),MONTH('01_Вводные'!$B$7)+53,1)</f>
        <v/>
      </c>
      <c r="BD3" s="94">
        <f>DATE(YEAR('01_Вводные'!$B$7),MONTH('01_Вводные'!$B$7)+54,1)</f>
        <v/>
      </c>
      <c r="BE3" s="94">
        <f>DATE(YEAR('01_Вводные'!$B$7),MONTH('01_Вводные'!$B$7)+55,1)</f>
        <v/>
      </c>
      <c r="BF3" s="94">
        <f>DATE(YEAR('01_Вводные'!$B$7),MONTH('01_Вводные'!$B$7)+56,1)</f>
        <v/>
      </c>
      <c r="BG3" s="94">
        <f>DATE(YEAR('01_Вводные'!$B$7),MONTH('01_Вводные'!$B$7)+57,1)</f>
        <v/>
      </c>
      <c r="BH3" s="94">
        <f>DATE(YEAR('01_Вводные'!$B$7),MONTH('01_Вводные'!$B$7)+58,1)</f>
        <v/>
      </c>
      <c r="BI3" s="94">
        <f>DATE(YEAR('01_Вводные'!$B$7),MONTH('01_Вводные'!$B$7)+59,1)</f>
        <v/>
      </c>
    </row>
    <row r="4" ht="20" customHeight="1">
      <c r="A4" s="4" t="inlineStr">
        <is>
          <t>Помесячно</t>
        </is>
      </c>
    </row>
    <row r="5">
      <c r="A5" s="2" t="inlineStr">
        <is>
          <t>Участники / продажи</t>
        </is>
      </c>
      <c r="B5" s="95">
        <f>IF(AND('01_Вводные'!$B$241="Да",MONTH(B$3)&gt;='01_Вводные'!$B$253,MONTH(B$3)&lt;='01_Вводные'!$B$254),('01_Вводные'!$B$162+'01_Вводные'!$B$163)*'01_Вводные'!$B$161/('01_Вводные'!$B$254-'01_Вводные'!$B$253+1),0)</f>
        <v/>
      </c>
      <c r="C5" s="95">
        <f>IF(AND('01_Вводные'!$B$241="Да",MONTH(C$3)&gt;='01_Вводные'!$B$253,MONTH(C$3)&lt;='01_Вводные'!$B$254),('01_Вводные'!$B$162+'01_Вводные'!$B$163)*'01_Вводные'!$B$161/('01_Вводные'!$B$254-'01_Вводные'!$B$253+1),0)</f>
        <v/>
      </c>
      <c r="D5" s="95">
        <f>IF(AND('01_Вводные'!$B$241="Да",MONTH(D$3)&gt;='01_Вводные'!$B$253,MONTH(D$3)&lt;='01_Вводные'!$B$254),('01_Вводные'!$B$162+'01_Вводные'!$B$163)*'01_Вводные'!$B$161/('01_Вводные'!$B$254-'01_Вводные'!$B$253+1),0)</f>
        <v/>
      </c>
      <c r="E5" s="95">
        <f>IF(AND('01_Вводные'!$B$241="Да",MONTH(E$3)&gt;='01_Вводные'!$B$253,MONTH(E$3)&lt;='01_Вводные'!$B$254),('01_Вводные'!$B$162+'01_Вводные'!$B$163)*'01_Вводные'!$B$161/('01_Вводные'!$B$254-'01_Вводные'!$B$253+1),0)</f>
        <v/>
      </c>
      <c r="F5" s="95">
        <f>IF(AND('01_Вводные'!$B$241="Да",MONTH(F$3)&gt;='01_Вводные'!$B$253,MONTH(F$3)&lt;='01_Вводные'!$B$254),('01_Вводные'!$B$162+'01_Вводные'!$B$163)*'01_Вводные'!$B$161/('01_Вводные'!$B$254-'01_Вводные'!$B$253+1),0)</f>
        <v/>
      </c>
      <c r="G5" s="95">
        <f>IF(AND('01_Вводные'!$B$241="Да",MONTH(G$3)&gt;='01_Вводные'!$B$253,MONTH(G$3)&lt;='01_Вводные'!$B$254),('01_Вводные'!$B$162+'01_Вводные'!$B$163)*'01_Вводные'!$B$161/('01_Вводные'!$B$254-'01_Вводные'!$B$253+1),0)</f>
        <v/>
      </c>
      <c r="H5" s="95">
        <f>IF(AND('01_Вводные'!$B$241="Да",MONTH(H$3)&gt;='01_Вводные'!$B$253,MONTH(H$3)&lt;='01_Вводные'!$B$254),('01_Вводные'!$B$162+'01_Вводные'!$B$163)*'01_Вводные'!$B$161/('01_Вводные'!$B$254-'01_Вводные'!$B$253+1),0)</f>
        <v/>
      </c>
      <c r="I5" s="95">
        <f>IF(AND('01_Вводные'!$B$241="Да",MONTH(I$3)&gt;='01_Вводные'!$B$253,MONTH(I$3)&lt;='01_Вводные'!$B$254),('01_Вводные'!$B$162+'01_Вводные'!$B$163)*'01_Вводные'!$B$161/('01_Вводные'!$B$254-'01_Вводные'!$B$253+1),0)</f>
        <v/>
      </c>
      <c r="J5" s="95">
        <f>IF(AND('01_Вводные'!$B$241="Да",MONTH(J$3)&gt;='01_Вводные'!$B$253,MONTH(J$3)&lt;='01_Вводные'!$B$254),('01_Вводные'!$B$162+'01_Вводные'!$B$163)*'01_Вводные'!$B$161/('01_Вводные'!$B$254-'01_Вводные'!$B$253+1),0)</f>
        <v/>
      </c>
      <c r="K5" s="95">
        <f>IF(AND('01_Вводные'!$B$241="Да",MONTH(K$3)&gt;='01_Вводные'!$B$253,MONTH(K$3)&lt;='01_Вводные'!$B$254),('01_Вводные'!$B$162+'01_Вводные'!$B$163)*'01_Вводные'!$B$161/('01_Вводные'!$B$254-'01_Вводные'!$B$253+1),0)</f>
        <v/>
      </c>
      <c r="L5" s="95">
        <f>IF(AND('01_Вводные'!$B$241="Да",MONTH(L$3)&gt;='01_Вводные'!$B$253,MONTH(L$3)&lt;='01_Вводные'!$B$254),('01_Вводные'!$B$162+'01_Вводные'!$B$163)*'01_Вводные'!$B$161/('01_Вводные'!$B$254-'01_Вводные'!$B$253+1),0)</f>
        <v/>
      </c>
      <c r="M5" s="95">
        <f>IF(AND('01_Вводные'!$B$241="Да",MONTH(M$3)&gt;='01_Вводные'!$B$253,MONTH(M$3)&lt;='01_Вводные'!$B$254),('01_Вводные'!$B$162+'01_Вводные'!$B$163)*'01_Вводные'!$B$161/('01_Вводные'!$B$254-'01_Вводные'!$B$253+1),0)</f>
        <v/>
      </c>
      <c r="N5" s="95">
        <f>IF(AND('01_Вводные'!$B$241="Да",MONTH(N$3)&gt;='01_Вводные'!$B$253,MONTH(N$3)&lt;='01_Вводные'!$B$254),('01_Вводные'!$B$162+'01_Вводные'!$B$163)*'01_Вводные'!$B$161/('01_Вводные'!$B$254-'01_Вводные'!$B$253+1),0)</f>
        <v/>
      </c>
      <c r="O5" s="95">
        <f>IF(AND('01_Вводные'!$B$241="Да",MONTH(O$3)&gt;='01_Вводные'!$B$253,MONTH(O$3)&lt;='01_Вводные'!$B$254),('01_Вводные'!$B$162+'01_Вводные'!$B$163)*'01_Вводные'!$B$161/('01_Вводные'!$B$254-'01_Вводные'!$B$253+1),0)</f>
        <v/>
      </c>
      <c r="P5" s="95">
        <f>IF(AND('01_Вводные'!$B$241="Да",MONTH(P$3)&gt;='01_Вводные'!$B$253,MONTH(P$3)&lt;='01_Вводные'!$B$254),('01_Вводные'!$B$162+'01_Вводные'!$B$163)*'01_Вводные'!$B$161/('01_Вводные'!$B$254-'01_Вводные'!$B$253+1),0)</f>
        <v/>
      </c>
      <c r="Q5" s="95">
        <f>IF(AND('01_Вводные'!$B$241="Да",MONTH(Q$3)&gt;='01_Вводные'!$B$253,MONTH(Q$3)&lt;='01_Вводные'!$B$254),('01_Вводные'!$B$162+'01_Вводные'!$B$163)*'01_Вводные'!$B$161/('01_Вводные'!$B$254-'01_Вводные'!$B$253+1),0)</f>
        <v/>
      </c>
      <c r="R5" s="95">
        <f>IF(AND('01_Вводные'!$B$241="Да",MONTH(R$3)&gt;='01_Вводные'!$B$253,MONTH(R$3)&lt;='01_Вводные'!$B$254),('01_Вводные'!$B$162+'01_Вводные'!$B$163)*'01_Вводные'!$B$161/('01_Вводные'!$B$254-'01_Вводные'!$B$253+1),0)</f>
        <v/>
      </c>
      <c r="S5" s="95">
        <f>IF(AND('01_Вводные'!$B$241="Да",MONTH(S$3)&gt;='01_Вводные'!$B$253,MONTH(S$3)&lt;='01_Вводные'!$B$254),('01_Вводные'!$B$162+'01_Вводные'!$B$163)*'01_Вводные'!$B$161/('01_Вводные'!$B$254-'01_Вводные'!$B$253+1),0)</f>
        <v/>
      </c>
      <c r="T5" s="95">
        <f>IF(AND('01_Вводные'!$B$241="Да",MONTH(T$3)&gt;='01_Вводные'!$B$253,MONTH(T$3)&lt;='01_Вводные'!$B$254),('01_Вводные'!$B$162+'01_Вводные'!$B$163)*'01_Вводные'!$B$161/('01_Вводные'!$B$254-'01_Вводные'!$B$253+1),0)</f>
        <v/>
      </c>
      <c r="U5" s="95">
        <f>IF(AND('01_Вводные'!$B$241="Да",MONTH(U$3)&gt;='01_Вводные'!$B$253,MONTH(U$3)&lt;='01_Вводные'!$B$254),('01_Вводные'!$B$162+'01_Вводные'!$B$163)*'01_Вводные'!$B$161/('01_Вводные'!$B$254-'01_Вводные'!$B$253+1),0)</f>
        <v/>
      </c>
      <c r="V5" s="95">
        <f>IF(AND('01_Вводные'!$B$241="Да",MONTH(V$3)&gt;='01_Вводные'!$B$253,MONTH(V$3)&lt;='01_Вводные'!$B$254),('01_Вводные'!$B$162+'01_Вводные'!$B$163)*'01_Вводные'!$B$161/('01_Вводные'!$B$254-'01_Вводные'!$B$253+1),0)</f>
        <v/>
      </c>
      <c r="W5" s="95">
        <f>IF(AND('01_Вводные'!$B$241="Да",MONTH(W$3)&gt;='01_Вводные'!$B$253,MONTH(W$3)&lt;='01_Вводные'!$B$254),('01_Вводные'!$B$162+'01_Вводные'!$B$163)*'01_Вводные'!$B$161/('01_Вводные'!$B$254-'01_Вводные'!$B$253+1),0)</f>
        <v/>
      </c>
      <c r="X5" s="95">
        <f>IF(AND('01_Вводные'!$B$241="Да",MONTH(X$3)&gt;='01_Вводные'!$B$253,MONTH(X$3)&lt;='01_Вводные'!$B$254),('01_Вводные'!$B$162+'01_Вводные'!$B$163)*'01_Вводные'!$B$161/('01_Вводные'!$B$254-'01_Вводные'!$B$253+1),0)</f>
        <v/>
      </c>
      <c r="Y5" s="95">
        <f>IF(AND('01_Вводные'!$B$241="Да",MONTH(Y$3)&gt;='01_Вводные'!$B$253,MONTH(Y$3)&lt;='01_Вводные'!$B$254),('01_Вводные'!$B$162+'01_Вводные'!$B$163)*'01_Вводные'!$B$161/('01_Вводные'!$B$254-'01_Вводные'!$B$253+1),0)</f>
        <v/>
      </c>
      <c r="Z5" s="95">
        <f>IF(AND('01_Вводные'!$B$241="Да",MONTH(Z$3)&gt;='01_Вводные'!$B$253,MONTH(Z$3)&lt;='01_Вводные'!$B$254),('01_Вводные'!$B$162+'01_Вводные'!$B$163)*'01_Вводные'!$B$161/('01_Вводные'!$B$254-'01_Вводные'!$B$253+1),0)</f>
        <v/>
      </c>
      <c r="AA5" s="95">
        <f>IF(AND('01_Вводные'!$B$241="Да",MONTH(AA$3)&gt;='01_Вводные'!$B$253,MONTH(AA$3)&lt;='01_Вводные'!$B$254),('01_Вводные'!$B$162+'01_Вводные'!$B$163)*'01_Вводные'!$B$161/('01_Вводные'!$B$254-'01_Вводные'!$B$253+1),0)</f>
        <v/>
      </c>
      <c r="AB5" s="95">
        <f>IF(AND('01_Вводные'!$B$241="Да",MONTH(AB$3)&gt;='01_Вводные'!$B$253,MONTH(AB$3)&lt;='01_Вводные'!$B$254),('01_Вводные'!$B$162+'01_Вводные'!$B$163)*'01_Вводные'!$B$161/('01_Вводные'!$B$254-'01_Вводные'!$B$253+1),0)</f>
        <v/>
      </c>
      <c r="AC5" s="95">
        <f>IF(AND('01_Вводные'!$B$241="Да",MONTH(AC$3)&gt;='01_Вводные'!$B$253,MONTH(AC$3)&lt;='01_Вводные'!$B$254),('01_Вводные'!$B$162+'01_Вводные'!$B$163)*'01_Вводные'!$B$161/('01_Вводные'!$B$254-'01_Вводные'!$B$253+1),0)</f>
        <v/>
      </c>
      <c r="AD5" s="95">
        <f>IF(AND('01_Вводные'!$B$241="Да",MONTH(AD$3)&gt;='01_Вводные'!$B$253,MONTH(AD$3)&lt;='01_Вводные'!$B$254),('01_Вводные'!$B$162+'01_Вводные'!$B$163)*'01_Вводные'!$B$161/('01_Вводные'!$B$254-'01_Вводные'!$B$253+1),0)</f>
        <v/>
      </c>
      <c r="AE5" s="95">
        <f>IF(AND('01_Вводные'!$B$241="Да",MONTH(AE$3)&gt;='01_Вводные'!$B$253,MONTH(AE$3)&lt;='01_Вводные'!$B$254),('01_Вводные'!$B$162+'01_Вводные'!$B$163)*'01_Вводные'!$B$161/('01_Вводные'!$B$254-'01_Вводные'!$B$253+1),0)</f>
        <v/>
      </c>
      <c r="AF5" s="95">
        <f>IF(AND('01_Вводные'!$B$241="Да",MONTH(AF$3)&gt;='01_Вводные'!$B$253,MONTH(AF$3)&lt;='01_Вводные'!$B$254),('01_Вводные'!$B$162+'01_Вводные'!$B$163)*'01_Вводные'!$B$161/('01_Вводные'!$B$254-'01_Вводные'!$B$253+1),0)</f>
        <v/>
      </c>
      <c r="AG5" s="95">
        <f>IF(AND('01_Вводные'!$B$241="Да",MONTH(AG$3)&gt;='01_Вводные'!$B$253,MONTH(AG$3)&lt;='01_Вводные'!$B$254),('01_Вводные'!$B$162+'01_Вводные'!$B$163)*'01_Вводные'!$B$161/('01_Вводные'!$B$254-'01_Вводные'!$B$253+1),0)</f>
        <v/>
      </c>
      <c r="AH5" s="95">
        <f>IF(AND('01_Вводные'!$B$241="Да",MONTH(AH$3)&gt;='01_Вводные'!$B$253,MONTH(AH$3)&lt;='01_Вводные'!$B$254),('01_Вводные'!$B$162+'01_Вводные'!$B$163)*'01_Вводные'!$B$161/('01_Вводные'!$B$254-'01_Вводные'!$B$253+1),0)</f>
        <v/>
      </c>
      <c r="AI5" s="95">
        <f>IF(AND('01_Вводные'!$B$241="Да",MONTH(AI$3)&gt;='01_Вводные'!$B$253,MONTH(AI$3)&lt;='01_Вводные'!$B$254),('01_Вводные'!$B$162+'01_Вводные'!$B$163)*'01_Вводные'!$B$161/('01_Вводные'!$B$254-'01_Вводные'!$B$253+1),0)</f>
        <v/>
      </c>
      <c r="AJ5" s="95">
        <f>IF(AND('01_Вводные'!$B$241="Да",MONTH(AJ$3)&gt;='01_Вводные'!$B$253,MONTH(AJ$3)&lt;='01_Вводные'!$B$254),('01_Вводные'!$B$162+'01_Вводные'!$B$163)*'01_Вводные'!$B$161/('01_Вводные'!$B$254-'01_Вводные'!$B$253+1),0)</f>
        <v/>
      </c>
      <c r="AK5" s="95">
        <f>IF(AND('01_Вводные'!$B$241="Да",MONTH(AK$3)&gt;='01_Вводные'!$B$253,MONTH(AK$3)&lt;='01_Вводные'!$B$254),('01_Вводные'!$B$162+'01_Вводные'!$B$163)*'01_Вводные'!$B$161/('01_Вводные'!$B$254-'01_Вводные'!$B$253+1),0)</f>
        <v/>
      </c>
      <c r="AL5" s="95">
        <f>IF(AND('01_Вводные'!$B$241="Да",MONTH(AL$3)&gt;='01_Вводные'!$B$253,MONTH(AL$3)&lt;='01_Вводные'!$B$254),('01_Вводные'!$B$162+'01_Вводные'!$B$163)*'01_Вводные'!$B$161/('01_Вводные'!$B$254-'01_Вводные'!$B$253+1),0)</f>
        <v/>
      </c>
      <c r="AM5" s="95">
        <f>IF(AND('01_Вводные'!$B$241="Да",MONTH(AM$3)&gt;='01_Вводные'!$B$253,MONTH(AM$3)&lt;='01_Вводные'!$B$254),('01_Вводные'!$B$162+'01_Вводные'!$B$163)*'01_Вводные'!$B$161/('01_Вводные'!$B$254-'01_Вводные'!$B$253+1),0)</f>
        <v/>
      </c>
      <c r="AN5" s="95">
        <f>IF(AND('01_Вводные'!$B$241="Да",MONTH(AN$3)&gt;='01_Вводные'!$B$253,MONTH(AN$3)&lt;='01_Вводные'!$B$254),('01_Вводные'!$B$162+'01_Вводные'!$B$163)*'01_Вводные'!$B$161/('01_Вводные'!$B$254-'01_Вводные'!$B$253+1),0)</f>
        <v/>
      </c>
      <c r="AO5" s="95">
        <f>IF(AND('01_Вводные'!$B$241="Да",MONTH(AO$3)&gt;='01_Вводные'!$B$253,MONTH(AO$3)&lt;='01_Вводные'!$B$254),('01_Вводные'!$B$162+'01_Вводные'!$B$163)*'01_Вводные'!$B$161/('01_Вводные'!$B$254-'01_Вводные'!$B$253+1),0)</f>
        <v/>
      </c>
      <c r="AP5" s="95">
        <f>IF(AND('01_Вводные'!$B$241="Да",MONTH(AP$3)&gt;='01_Вводные'!$B$253,MONTH(AP$3)&lt;='01_Вводные'!$B$254),('01_Вводные'!$B$162+'01_Вводные'!$B$163)*'01_Вводные'!$B$161/('01_Вводные'!$B$254-'01_Вводные'!$B$253+1),0)</f>
        <v/>
      </c>
      <c r="AQ5" s="95">
        <f>IF(AND('01_Вводные'!$B$241="Да",MONTH(AQ$3)&gt;='01_Вводные'!$B$253,MONTH(AQ$3)&lt;='01_Вводные'!$B$254),('01_Вводные'!$B$162+'01_Вводные'!$B$163)*'01_Вводные'!$B$161/('01_Вводные'!$B$254-'01_Вводные'!$B$253+1),0)</f>
        <v/>
      </c>
      <c r="AR5" s="95">
        <f>IF(AND('01_Вводные'!$B$241="Да",MONTH(AR$3)&gt;='01_Вводные'!$B$253,MONTH(AR$3)&lt;='01_Вводные'!$B$254),('01_Вводные'!$B$162+'01_Вводные'!$B$163)*'01_Вводные'!$B$161/('01_Вводные'!$B$254-'01_Вводные'!$B$253+1),0)</f>
        <v/>
      </c>
      <c r="AS5" s="95">
        <f>IF(AND('01_Вводные'!$B$241="Да",MONTH(AS$3)&gt;='01_Вводные'!$B$253,MONTH(AS$3)&lt;='01_Вводные'!$B$254),('01_Вводные'!$B$162+'01_Вводные'!$B$163)*'01_Вводные'!$B$161/('01_Вводные'!$B$254-'01_Вводные'!$B$253+1),0)</f>
        <v/>
      </c>
      <c r="AT5" s="95">
        <f>IF(AND('01_Вводные'!$B$241="Да",MONTH(AT$3)&gt;='01_Вводные'!$B$253,MONTH(AT$3)&lt;='01_Вводные'!$B$254),('01_Вводные'!$B$162+'01_Вводные'!$B$163)*'01_Вводные'!$B$161/('01_Вводные'!$B$254-'01_Вводные'!$B$253+1),0)</f>
        <v/>
      </c>
      <c r="AU5" s="95">
        <f>IF(AND('01_Вводные'!$B$241="Да",MONTH(AU$3)&gt;='01_Вводные'!$B$253,MONTH(AU$3)&lt;='01_Вводные'!$B$254),('01_Вводные'!$B$162+'01_Вводные'!$B$163)*'01_Вводные'!$B$161/('01_Вводные'!$B$254-'01_Вводные'!$B$253+1),0)</f>
        <v/>
      </c>
      <c r="AV5" s="95">
        <f>IF(AND('01_Вводные'!$B$241="Да",MONTH(AV$3)&gt;='01_Вводные'!$B$253,MONTH(AV$3)&lt;='01_Вводные'!$B$254),('01_Вводные'!$B$162+'01_Вводные'!$B$163)*'01_Вводные'!$B$161/('01_Вводные'!$B$254-'01_Вводные'!$B$253+1),0)</f>
        <v/>
      </c>
      <c r="AW5" s="95">
        <f>IF(AND('01_Вводные'!$B$241="Да",MONTH(AW$3)&gt;='01_Вводные'!$B$253,MONTH(AW$3)&lt;='01_Вводные'!$B$254),('01_Вводные'!$B$162+'01_Вводные'!$B$163)*'01_Вводные'!$B$161/('01_Вводные'!$B$254-'01_Вводные'!$B$253+1),0)</f>
        <v/>
      </c>
      <c r="AX5" s="95">
        <f>IF(AND('01_Вводные'!$B$241="Да",MONTH(AX$3)&gt;='01_Вводные'!$B$253,MONTH(AX$3)&lt;='01_Вводные'!$B$254),('01_Вводные'!$B$162+'01_Вводные'!$B$163)*'01_Вводные'!$B$161/('01_Вводные'!$B$254-'01_Вводные'!$B$253+1),0)</f>
        <v/>
      </c>
      <c r="AY5" s="95">
        <f>IF(AND('01_Вводные'!$B$241="Да",MONTH(AY$3)&gt;='01_Вводные'!$B$253,MONTH(AY$3)&lt;='01_Вводные'!$B$254),('01_Вводные'!$B$162+'01_Вводные'!$B$163)*'01_Вводные'!$B$161/('01_Вводные'!$B$254-'01_Вводные'!$B$253+1),0)</f>
        <v/>
      </c>
      <c r="AZ5" s="95">
        <f>IF(AND('01_Вводные'!$B$241="Да",MONTH(AZ$3)&gt;='01_Вводные'!$B$253,MONTH(AZ$3)&lt;='01_Вводные'!$B$254),('01_Вводные'!$B$162+'01_Вводные'!$B$163)*'01_Вводные'!$B$161/('01_Вводные'!$B$254-'01_Вводные'!$B$253+1),0)</f>
        <v/>
      </c>
      <c r="BA5" s="95">
        <f>IF(AND('01_Вводные'!$B$241="Да",MONTH(BA$3)&gt;='01_Вводные'!$B$253,MONTH(BA$3)&lt;='01_Вводные'!$B$254),('01_Вводные'!$B$162+'01_Вводные'!$B$163)*'01_Вводные'!$B$161/('01_Вводные'!$B$254-'01_Вводные'!$B$253+1),0)</f>
        <v/>
      </c>
      <c r="BB5" s="95">
        <f>IF(AND('01_Вводные'!$B$241="Да",MONTH(BB$3)&gt;='01_Вводные'!$B$253,MONTH(BB$3)&lt;='01_Вводные'!$B$254),('01_Вводные'!$B$162+'01_Вводные'!$B$163)*'01_Вводные'!$B$161/('01_Вводные'!$B$254-'01_Вводные'!$B$253+1),0)</f>
        <v/>
      </c>
      <c r="BC5" s="95">
        <f>IF(AND('01_Вводные'!$B$241="Да",MONTH(BC$3)&gt;='01_Вводные'!$B$253,MONTH(BC$3)&lt;='01_Вводные'!$B$254),('01_Вводные'!$B$162+'01_Вводные'!$B$163)*'01_Вводные'!$B$161/('01_Вводные'!$B$254-'01_Вводные'!$B$253+1),0)</f>
        <v/>
      </c>
      <c r="BD5" s="95">
        <f>IF(AND('01_Вводные'!$B$241="Да",MONTH(BD$3)&gt;='01_Вводные'!$B$253,MONTH(BD$3)&lt;='01_Вводные'!$B$254),('01_Вводные'!$B$162+'01_Вводные'!$B$163)*'01_Вводные'!$B$161/('01_Вводные'!$B$254-'01_Вводные'!$B$253+1),0)</f>
        <v/>
      </c>
      <c r="BE5" s="95">
        <f>IF(AND('01_Вводные'!$B$241="Да",MONTH(BE$3)&gt;='01_Вводные'!$B$253,MONTH(BE$3)&lt;='01_Вводные'!$B$254),('01_Вводные'!$B$162+'01_Вводные'!$B$163)*'01_Вводные'!$B$161/('01_Вводные'!$B$254-'01_Вводные'!$B$253+1),0)</f>
        <v/>
      </c>
      <c r="BF5" s="95">
        <f>IF(AND('01_Вводные'!$B$241="Да",MONTH(BF$3)&gt;='01_Вводные'!$B$253,MONTH(BF$3)&lt;='01_Вводные'!$B$254),('01_Вводные'!$B$162+'01_Вводные'!$B$163)*'01_Вводные'!$B$161/('01_Вводные'!$B$254-'01_Вводные'!$B$253+1),0)</f>
        <v/>
      </c>
      <c r="BG5" s="95">
        <f>IF(AND('01_Вводные'!$B$241="Да",MONTH(BG$3)&gt;='01_Вводные'!$B$253,MONTH(BG$3)&lt;='01_Вводные'!$B$254),('01_Вводные'!$B$162+'01_Вводные'!$B$163)*'01_Вводные'!$B$161/('01_Вводные'!$B$254-'01_Вводные'!$B$253+1),0)</f>
        <v/>
      </c>
      <c r="BH5" s="95">
        <f>IF(AND('01_Вводные'!$B$241="Да",MONTH(BH$3)&gt;='01_Вводные'!$B$253,MONTH(BH$3)&lt;='01_Вводные'!$B$254),('01_Вводные'!$B$162+'01_Вводные'!$B$163)*'01_Вводные'!$B$161/('01_Вводные'!$B$254-'01_Вводные'!$B$253+1),0)</f>
        <v/>
      </c>
      <c r="BI5" s="95">
        <f>IF(AND('01_Вводные'!$B$241="Да",MONTH(BI$3)&gt;='01_Вводные'!$B$253,MONTH(BI$3)&lt;='01_Вводные'!$B$254),('01_Вводные'!$B$162+'01_Вводные'!$B$163)*'01_Вводные'!$B$161/('01_Вводные'!$B$254-'01_Вводные'!$B$253+1),0)</f>
        <v/>
      </c>
    </row>
    <row r="6">
      <c r="A6" s="2" t="inlineStr">
        <is>
          <t>Авансы клиентов 40%</t>
        </is>
      </c>
      <c r="B6" s="95">
        <f>IF('01_Вводные'!$B$162+'01_Вводные'!$B$163&gt;0,B5*'01_Вводные'!$B$166/('01_Вводные'!$B$162+'01_Вводные'!$B$163)*'01_Вводные'!$B$171,0)</f>
        <v/>
      </c>
      <c r="C6" s="95">
        <f>IF('01_Вводные'!$B$162+'01_Вводные'!$B$163&gt;0,C5*'01_Вводные'!$B$166/('01_Вводные'!$B$162+'01_Вводные'!$B$163)*'01_Вводные'!$B$171,0)</f>
        <v/>
      </c>
      <c r="D6" s="95">
        <f>IF('01_Вводные'!$B$162+'01_Вводные'!$B$163&gt;0,D5*'01_Вводные'!$B$166/('01_Вводные'!$B$162+'01_Вводные'!$B$163)*'01_Вводные'!$B$171,0)</f>
        <v/>
      </c>
      <c r="E6" s="95">
        <f>IF('01_Вводные'!$B$162+'01_Вводные'!$B$163&gt;0,E5*'01_Вводные'!$B$166/('01_Вводные'!$B$162+'01_Вводные'!$B$163)*'01_Вводные'!$B$171,0)</f>
        <v/>
      </c>
      <c r="F6" s="95">
        <f>IF('01_Вводные'!$B$162+'01_Вводные'!$B$163&gt;0,F5*'01_Вводные'!$B$166/('01_Вводные'!$B$162+'01_Вводные'!$B$163)*'01_Вводные'!$B$171,0)</f>
        <v/>
      </c>
      <c r="G6" s="95">
        <f>IF('01_Вводные'!$B$162+'01_Вводные'!$B$163&gt;0,G5*'01_Вводные'!$B$166/('01_Вводные'!$B$162+'01_Вводные'!$B$163)*'01_Вводные'!$B$171,0)</f>
        <v/>
      </c>
      <c r="H6" s="95">
        <f>IF('01_Вводные'!$B$162+'01_Вводные'!$B$163&gt;0,H5*'01_Вводные'!$B$166/('01_Вводные'!$B$162+'01_Вводные'!$B$163)*'01_Вводные'!$B$171,0)</f>
        <v/>
      </c>
      <c r="I6" s="95">
        <f>IF('01_Вводные'!$B$162+'01_Вводные'!$B$163&gt;0,I5*'01_Вводные'!$B$166/('01_Вводные'!$B$162+'01_Вводные'!$B$163)*'01_Вводные'!$B$171,0)</f>
        <v/>
      </c>
      <c r="J6" s="95">
        <f>IF('01_Вводные'!$B$162+'01_Вводные'!$B$163&gt;0,J5*'01_Вводные'!$B$166/('01_Вводные'!$B$162+'01_Вводные'!$B$163)*'01_Вводные'!$B$171,0)</f>
        <v/>
      </c>
      <c r="K6" s="95">
        <f>IF('01_Вводные'!$B$162+'01_Вводные'!$B$163&gt;0,K5*'01_Вводные'!$B$166/('01_Вводные'!$B$162+'01_Вводные'!$B$163)*'01_Вводные'!$B$171,0)</f>
        <v/>
      </c>
      <c r="L6" s="95">
        <f>IF('01_Вводные'!$B$162+'01_Вводные'!$B$163&gt;0,L5*'01_Вводные'!$B$166/('01_Вводные'!$B$162+'01_Вводные'!$B$163)*'01_Вводные'!$B$171,0)</f>
        <v/>
      </c>
      <c r="M6" s="95">
        <f>IF('01_Вводные'!$B$162+'01_Вводные'!$B$163&gt;0,M5*'01_Вводные'!$B$166/('01_Вводные'!$B$162+'01_Вводные'!$B$163)*'01_Вводные'!$B$171,0)</f>
        <v/>
      </c>
      <c r="N6" s="95">
        <f>IF('01_Вводные'!$B$162+'01_Вводные'!$B$163&gt;0,N5*'01_Вводные'!$B$166/('01_Вводные'!$B$162+'01_Вводные'!$B$163)*'01_Вводные'!$B$171,0)</f>
        <v/>
      </c>
      <c r="O6" s="95">
        <f>IF('01_Вводные'!$B$162+'01_Вводные'!$B$163&gt;0,O5*'01_Вводные'!$B$166/('01_Вводные'!$B$162+'01_Вводные'!$B$163)*'01_Вводные'!$B$171,0)</f>
        <v/>
      </c>
      <c r="P6" s="95">
        <f>IF('01_Вводные'!$B$162+'01_Вводные'!$B$163&gt;0,P5*'01_Вводные'!$B$166/('01_Вводные'!$B$162+'01_Вводные'!$B$163)*'01_Вводные'!$B$171,0)</f>
        <v/>
      </c>
      <c r="Q6" s="95">
        <f>IF('01_Вводные'!$B$162+'01_Вводные'!$B$163&gt;0,Q5*'01_Вводные'!$B$166/('01_Вводные'!$B$162+'01_Вводные'!$B$163)*'01_Вводные'!$B$171,0)</f>
        <v/>
      </c>
      <c r="R6" s="95">
        <f>IF('01_Вводные'!$B$162+'01_Вводные'!$B$163&gt;0,R5*'01_Вводные'!$B$166/('01_Вводные'!$B$162+'01_Вводные'!$B$163)*'01_Вводные'!$B$171,0)</f>
        <v/>
      </c>
      <c r="S6" s="95">
        <f>IF('01_Вводные'!$B$162+'01_Вводные'!$B$163&gt;0,S5*'01_Вводные'!$B$166/('01_Вводные'!$B$162+'01_Вводные'!$B$163)*'01_Вводные'!$B$171,0)</f>
        <v/>
      </c>
      <c r="T6" s="95">
        <f>IF('01_Вводные'!$B$162+'01_Вводные'!$B$163&gt;0,T5*'01_Вводные'!$B$166/('01_Вводные'!$B$162+'01_Вводные'!$B$163)*'01_Вводные'!$B$171,0)</f>
        <v/>
      </c>
      <c r="U6" s="95">
        <f>IF('01_Вводные'!$B$162+'01_Вводные'!$B$163&gt;0,U5*'01_Вводные'!$B$166/('01_Вводные'!$B$162+'01_Вводные'!$B$163)*'01_Вводные'!$B$171,0)</f>
        <v/>
      </c>
      <c r="V6" s="95">
        <f>IF('01_Вводные'!$B$162+'01_Вводные'!$B$163&gt;0,V5*'01_Вводные'!$B$166/('01_Вводные'!$B$162+'01_Вводные'!$B$163)*'01_Вводные'!$B$171,0)</f>
        <v/>
      </c>
      <c r="W6" s="95">
        <f>IF('01_Вводные'!$B$162+'01_Вводные'!$B$163&gt;0,W5*'01_Вводные'!$B$166/('01_Вводные'!$B$162+'01_Вводные'!$B$163)*'01_Вводные'!$B$171,0)</f>
        <v/>
      </c>
      <c r="X6" s="95">
        <f>IF('01_Вводные'!$B$162+'01_Вводные'!$B$163&gt;0,X5*'01_Вводные'!$B$166/('01_Вводные'!$B$162+'01_Вводные'!$B$163)*'01_Вводные'!$B$171,0)</f>
        <v/>
      </c>
      <c r="Y6" s="95">
        <f>IF('01_Вводные'!$B$162+'01_Вводные'!$B$163&gt;0,Y5*'01_Вводные'!$B$166/('01_Вводные'!$B$162+'01_Вводные'!$B$163)*'01_Вводные'!$B$171,0)</f>
        <v/>
      </c>
      <c r="Z6" s="95">
        <f>IF('01_Вводные'!$B$162+'01_Вводные'!$B$163&gt;0,Z5*'01_Вводные'!$B$166/('01_Вводные'!$B$162+'01_Вводные'!$B$163)*'01_Вводные'!$B$171,0)</f>
        <v/>
      </c>
      <c r="AA6" s="95">
        <f>IF('01_Вводные'!$B$162+'01_Вводные'!$B$163&gt;0,AA5*'01_Вводные'!$B$166/('01_Вводные'!$B$162+'01_Вводные'!$B$163)*'01_Вводные'!$B$171,0)</f>
        <v/>
      </c>
      <c r="AB6" s="95">
        <f>IF('01_Вводные'!$B$162+'01_Вводные'!$B$163&gt;0,AB5*'01_Вводные'!$B$166/('01_Вводные'!$B$162+'01_Вводные'!$B$163)*'01_Вводные'!$B$171,0)</f>
        <v/>
      </c>
      <c r="AC6" s="95">
        <f>IF('01_Вводные'!$B$162+'01_Вводные'!$B$163&gt;0,AC5*'01_Вводные'!$B$166/('01_Вводные'!$B$162+'01_Вводные'!$B$163)*'01_Вводные'!$B$171,0)</f>
        <v/>
      </c>
      <c r="AD6" s="95">
        <f>IF('01_Вводные'!$B$162+'01_Вводные'!$B$163&gt;0,AD5*'01_Вводные'!$B$166/('01_Вводные'!$B$162+'01_Вводные'!$B$163)*'01_Вводные'!$B$171,0)</f>
        <v/>
      </c>
      <c r="AE6" s="95">
        <f>IF('01_Вводные'!$B$162+'01_Вводные'!$B$163&gt;0,AE5*'01_Вводные'!$B$166/('01_Вводные'!$B$162+'01_Вводные'!$B$163)*'01_Вводные'!$B$171,0)</f>
        <v/>
      </c>
      <c r="AF6" s="95">
        <f>IF('01_Вводные'!$B$162+'01_Вводные'!$B$163&gt;0,AF5*'01_Вводные'!$B$166/('01_Вводные'!$B$162+'01_Вводные'!$B$163)*'01_Вводные'!$B$171,0)</f>
        <v/>
      </c>
      <c r="AG6" s="95">
        <f>IF('01_Вводные'!$B$162+'01_Вводные'!$B$163&gt;0,AG5*'01_Вводные'!$B$166/('01_Вводные'!$B$162+'01_Вводные'!$B$163)*'01_Вводные'!$B$171,0)</f>
        <v/>
      </c>
      <c r="AH6" s="95">
        <f>IF('01_Вводные'!$B$162+'01_Вводные'!$B$163&gt;0,AH5*'01_Вводные'!$B$166/('01_Вводные'!$B$162+'01_Вводные'!$B$163)*'01_Вводные'!$B$171,0)</f>
        <v/>
      </c>
      <c r="AI6" s="95">
        <f>IF('01_Вводные'!$B$162+'01_Вводные'!$B$163&gt;0,AI5*'01_Вводные'!$B$166/('01_Вводные'!$B$162+'01_Вводные'!$B$163)*'01_Вводные'!$B$171,0)</f>
        <v/>
      </c>
      <c r="AJ6" s="95">
        <f>IF('01_Вводные'!$B$162+'01_Вводные'!$B$163&gt;0,AJ5*'01_Вводные'!$B$166/('01_Вводные'!$B$162+'01_Вводные'!$B$163)*'01_Вводные'!$B$171,0)</f>
        <v/>
      </c>
      <c r="AK6" s="95">
        <f>IF('01_Вводные'!$B$162+'01_Вводные'!$B$163&gt;0,AK5*'01_Вводные'!$B$166/('01_Вводные'!$B$162+'01_Вводные'!$B$163)*'01_Вводные'!$B$171,0)</f>
        <v/>
      </c>
      <c r="AL6" s="95">
        <f>IF('01_Вводные'!$B$162+'01_Вводные'!$B$163&gt;0,AL5*'01_Вводные'!$B$166/('01_Вводные'!$B$162+'01_Вводные'!$B$163)*'01_Вводные'!$B$171,0)</f>
        <v/>
      </c>
      <c r="AM6" s="95">
        <f>IF('01_Вводные'!$B$162+'01_Вводные'!$B$163&gt;0,AM5*'01_Вводные'!$B$166/('01_Вводные'!$B$162+'01_Вводные'!$B$163)*'01_Вводные'!$B$171,0)</f>
        <v/>
      </c>
      <c r="AN6" s="95">
        <f>IF('01_Вводные'!$B$162+'01_Вводные'!$B$163&gt;0,AN5*'01_Вводные'!$B$166/('01_Вводные'!$B$162+'01_Вводные'!$B$163)*'01_Вводные'!$B$171,0)</f>
        <v/>
      </c>
      <c r="AO6" s="95">
        <f>IF('01_Вводные'!$B$162+'01_Вводные'!$B$163&gt;0,AO5*'01_Вводные'!$B$166/('01_Вводные'!$B$162+'01_Вводные'!$B$163)*'01_Вводные'!$B$171,0)</f>
        <v/>
      </c>
      <c r="AP6" s="95">
        <f>IF('01_Вводные'!$B$162+'01_Вводные'!$B$163&gt;0,AP5*'01_Вводные'!$B$166/('01_Вводные'!$B$162+'01_Вводные'!$B$163)*'01_Вводные'!$B$171,0)</f>
        <v/>
      </c>
      <c r="AQ6" s="95">
        <f>IF('01_Вводные'!$B$162+'01_Вводные'!$B$163&gt;0,AQ5*'01_Вводные'!$B$166/('01_Вводные'!$B$162+'01_Вводные'!$B$163)*'01_Вводные'!$B$171,0)</f>
        <v/>
      </c>
      <c r="AR6" s="95">
        <f>IF('01_Вводные'!$B$162+'01_Вводные'!$B$163&gt;0,AR5*'01_Вводные'!$B$166/('01_Вводные'!$B$162+'01_Вводные'!$B$163)*'01_Вводные'!$B$171,0)</f>
        <v/>
      </c>
      <c r="AS6" s="95">
        <f>IF('01_Вводные'!$B$162+'01_Вводные'!$B$163&gt;0,AS5*'01_Вводные'!$B$166/('01_Вводные'!$B$162+'01_Вводные'!$B$163)*'01_Вводные'!$B$171,0)</f>
        <v/>
      </c>
      <c r="AT6" s="95">
        <f>IF('01_Вводные'!$B$162+'01_Вводные'!$B$163&gt;0,AT5*'01_Вводные'!$B$166/('01_Вводные'!$B$162+'01_Вводные'!$B$163)*'01_Вводные'!$B$171,0)</f>
        <v/>
      </c>
      <c r="AU6" s="95">
        <f>IF('01_Вводные'!$B$162+'01_Вводные'!$B$163&gt;0,AU5*'01_Вводные'!$B$166/('01_Вводные'!$B$162+'01_Вводные'!$B$163)*'01_Вводные'!$B$171,0)</f>
        <v/>
      </c>
      <c r="AV6" s="95">
        <f>IF('01_Вводные'!$B$162+'01_Вводные'!$B$163&gt;0,AV5*'01_Вводные'!$B$166/('01_Вводные'!$B$162+'01_Вводные'!$B$163)*'01_Вводные'!$B$171,0)</f>
        <v/>
      </c>
      <c r="AW6" s="95">
        <f>IF('01_Вводные'!$B$162+'01_Вводные'!$B$163&gt;0,AW5*'01_Вводные'!$B$166/('01_Вводные'!$B$162+'01_Вводные'!$B$163)*'01_Вводные'!$B$171,0)</f>
        <v/>
      </c>
      <c r="AX6" s="95">
        <f>IF('01_Вводные'!$B$162+'01_Вводные'!$B$163&gt;0,AX5*'01_Вводные'!$B$166/('01_Вводные'!$B$162+'01_Вводные'!$B$163)*'01_Вводные'!$B$171,0)</f>
        <v/>
      </c>
      <c r="AY6" s="95">
        <f>IF('01_Вводные'!$B$162+'01_Вводные'!$B$163&gt;0,AY5*'01_Вводные'!$B$166/('01_Вводные'!$B$162+'01_Вводные'!$B$163)*'01_Вводные'!$B$171,0)</f>
        <v/>
      </c>
      <c r="AZ6" s="95">
        <f>IF('01_Вводные'!$B$162+'01_Вводные'!$B$163&gt;0,AZ5*'01_Вводные'!$B$166/('01_Вводные'!$B$162+'01_Вводные'!$B$163)*'01_Вводные'!$B$171,0)</f>
        <v/>
      </c>
      <c r="BA6" s="95">
        <f>IF('01_Вводные'!$B$162+'01_Вводные'!$B$163&gt;0,BA5*'01_Вводные'!$B$166/('01_Вводные'!$B$162+'01_Вводные'!$B$163)*'01_Вводные'!$B$171,0)</f>
        <v/>
      </c>
      <c r="BB6" s="95">
        <f>IF('01_Вводные'!$B$162+'01_Вводные'!$B$163&gt;0,BB5*'01_Вводные'!$B$166/('01_Вводные'!$B$162+'01_Вводные'!$B$163)*'01_Вводные'!$B$171,0)</f>
        <v/>
      </c>
      <c r="BC6" s="95">
        <f>IF('01_Вводные'!$B$162+'01_Вводные'!$B$163&gt;0,BC5*'01_Вводные'!$B$166/('01_Вводные'!$B$162+'01_Вводные'!$B$163)*'01_Вводные'!$B$171,0)</f>
        <v/>
      </c>
      <c r="BD6" s="95">
        <f>IF('01_Вводные'!$B$162+'01_Вводные'!$B$163&gt;0,BD5*'01_Вводные'!$B$166/('01_Вводные'!$B$162+'01_Вводные'!$B$163)*'01_Вводные'!$B$171,0)</f>
        <v/>
      </c>
      <c r="BE6" s="95">
        <f>IF('01_Вводные'!$B$162+'01_Вводные'!$B$163&gt;0,BE5*'01_Вводные'!$B$166/('01_Вводные'!$B$162+'01_Вводные'!$B$163)*'01_Вводные'!$B$171,0)</f>
        <v/>
      </c>
      <c r="BF6" s="95">
        <f>IF('01_Вводные'!$B$162+'01_Вводные'!$B$163&gt;0,BF5*'01_Вводные'!$B$166/('01_Вводные'!$B$162+'01_Вводные'!$B$163)*'01_Вводные'!$B$171,0)</f>
        <v/>
      </c>
      <c r="BG6" s="95">
        <f>IF('01_Вводные'!$B$162+'01_Вводные'!$B$163&gt;0,BG5*'01_Вводные'!$B$166/('01_Вводные'!$B$162+'01_Вводные'!$B$163)*'01_Вводные'!$B$171,0)</f>
        <v/>
      </c>
      <c r="BH6" s="95">
        <f>IF('01_Вводные'!$B$162+'01_Вводные'!$B$163&gt;0,BH5*'01_Вводные'!$B$166/('01_Вводные'!$B$162+'01_Вводные'!$B$163)*'01_Вводные'!$B$171,0)</f>
        <v/>
      </c>
      <c r="BI6" s="95">
        <f>IF('01_Вводные'!$B$162+'01_Вводные'!$B$163&gt;0,BI5*'01_Вводные'!$B$166/('01_Вводные'!$B$162+'01_Вводные'!$B$163)*'01_Вводные'!$B$171,0)</f>
        <v/>
      </c>
    </row>
    <row r="7">
      <c r="A7" s="2" t="inlineStr">
        <is>
          <t>Финальные оплаты клиентов 60%</t>
        </is>
      </c>
      <c r="B7" s="95">
        <f>IF(AND('01_Вводные'!$B$241="Да",MONTH(B$3)='01_Вводные'!$B$173),'01_Вводные'!$B$166*'01_Вводные'!$B$161*'01_Вводные'!$B$172,0)</f>
        <v/>
      </c>
      <c r="C7" s="95">
        <f>IF(AND('01_Вводные'!$B$241="Да",MONTH(C$3)='01_Вводные'!$B$173),'01_Вводные'!$B$166*'01_Вводные'!$B$161*'01_Вводные'!$B$172,0)</f>
        <v/>
      </c>
      <c r="D7" s="95">
        <f>IF(AND('01_Вводные'!$B$241="Да",MONTH(D$3)='01_Вводные'!$B$173),'01_Вводные'!$B$166*'01_Вводные'!$B$161*'01_Вводные'!$B$172,0)</f>
        <v/>
      </c>
      <c r="E7" s="95">
        <f>IF(AND('01_Вводные'!$B$241="Да",MONTH(E$3)='01_Вводные'!$B$173),'01_Вводные'!$B$166*'01_Вводные'!$B$161*'01_Вводные'!$B$172,0)</f>
        <v/>
      </c>
      <c r="F7" s="95">
        <f>IF(AND('01_Вводные'!$B$241="Да",MONTH(F$3)='01_Вводные'!$B$173),'01_Вводные'!$B$166*'01_Вводные'!$B$161*'01_Вводные'!$B$172,0)</f>
        <v/>
      </c>
      <c r="G7" s="95">
        <f>IF(AND('01_Вводные'!$B$241="Да",MONTH(G$3)='01_Вводные'!$B$173),'01_Вводные'!$B$166*'01_Вводные'!$B$161*'01_Вводные'!$B$172,0)</f>
        <v/>
      </c>
      <c r="H7" s="95">
        <f>IF(AND('01_Вводные'!$B$241="Да",MONTH(H$3)='01_Вводные'!$B$173),'01_Вводные'!$B$166*'01_Вводные'!$B$161*'01_Вводные'!$B$172,0)</f>
        <v/>
      </c>
      <c r="I7" s="95">
        <f>IF(AND('01_Вводные'!$B$241="Да",MONTH(I$3)='01_Вводные'!$B$173),'01_Вводные'!$B$166*'01_Вводные'!$B$161*'01_Вводные'!$B$172,0)</f>
        <v/>
      </c>
      <c r="J7" s="95">
        <f>IF(AND('01_Вводные'!$B$241="Да",MONTH(J$3)='01_Вводные'!$B$173),'01_Вводные'!$B$166*'01_Вводные'!$B$161*'01_Вводные'!$B$172,0)</f>
        <v/>
      </c>
      <c r="K7" s="95">
        <f>IF(AND('01_Вводные'!$B$241="Да",MONTH(K$3)='01_Вводные'!$B$173),'01_Вводные'!$B$166*'01_Вводные'!$B$161*'01_Вводные'!$B$172,0)</f>
        <v/>
      </c>
      <c r="L7" s="95">
        <f>IF(AND('01_Вводные'!$B$241="Да",MONTH(L$3)='01_Вводные'!$B$173),'01_Вводные'!$B$166*'01_Вводные'!$B$161*'01_Вводные'!$B$172,0)</f>
        <v/>
      </c>
      <c r="M7" s="95">
        <f>IF(AND('01_Вводные'!$B$241="Да",MONTH(M$3)='01_Вводные'!$B$173),'01_Вводные'!$B$166*'01_Вводные'!$B$161*'01_Вводные'!$B$172,0)</f>
        <v/>
      </c>
      <c r="N7" s="95">
        <f>IF(AND('01_Вводные'!$B$241="Да",MONTH(N$3)='01_Вводные'!$B$173),'01_Вводные'!$B$166*'01_Вводные'!$B$161*'01_Вводные'!$B$172,0)</f>
        <v/>
      </c>
      <c r="O7" s="95">
        <f>IF(AND('01_Вводные'!$B$241="Да",MONTH(O$3)='01_Вводные'!$B$173),'01_Вводные'!$B$166*'01_Вводные'!$B$161*'01_Вводные'!$B$172,0)</f>
        <v/>
      </c>
      <c r="P7" s="95">
        <f>IF(AND('01_Вводные'!$B$241="Да",MONTH(P$3)='01_Вводные'!$B$173),'01_Вводные'!$B$166*'01_Вводные'!$B$161*'01_Вводные'!$B$172,0)</f>
        <v/>
      </c>
      <c r="Q7" s="95">
        <f>IF(AND('01_Вводные'!$B$241="Да",MONTH(Q$3)='01_Вводные'!$B$173),'01_Вводные'!$B$166*'01_Вводные'!$B$161*'01_Вводные'!$B$172,0)</f>
        <v/>
      </c>
      <c r="R7" s="95">
        <f>IF(AND('01_Вводные'!$B$241="Да",MONTH(R$3)='01_Вводные'!$B$173),'01_Вводные'!$B$166*'01_Вводные'!$B$161*'01_Вводные'!$B$172,0)</f>
        <v/>
      </c>
      <c r="S7" s="95">
        <f>IF(AND('01_Вводные'!$B$241="Да",MONTH(S$3)='01_Вводные'!$B$173),'01_Вводные'!$B$166*'01_Вводные'!$B$161*'01_Вводные'!$B$172,0)</f>
        <v/>
      </c>
      <c r="T7" s="95">
        <f>IF(AND('01_Вводные'!$B$241="Да",MONTH(T$3)='01_Вводные'!$B$173),'01_Вводные'!$B$166*'01_Вводные'!$B$161*'01_Вводные'!$B$172,0)</f>
        <v/>
      </c>
      <c r="U7" s="95">
        <f>IF(AND('01_Вводные'!$B$241="Да",MONTH(U$3)='01_Вводные'!$B$173),'01_Вводные'!$B$166*'01_Вводные'!$B$161*'01_Вводные'!$B$172,0)</f>
        <v/>
      </c>
      <c r="V7" s="95">
        <f>IF(AND('01_Вводные'!$B$241="Да",MONTH(V$3)='01_Вводные'!$B$173),'01_Вводные'!$B$166*'01_Вводные'!$B$161*'01_Вводные'!$B$172,0)</f>
        <v/>
      </c>
      <c r="W7" s="95">
        <f>IF(AND('01_Вводные'!$B$241="Да",MONTH(W$3)='01_Вводные'!$B$173),'01_Вводные'!$B$166*'01_Вводные'!$B$161*'01_Вводные'!$B$172,0)</f>
        <v/>
      </c>
      <c r="X7" s="95">
        <f>IF(AND('01_Вводные'!$B$241="Да",MONTH(X$3)='01_Вводные'!$B$173),'01_Вводные'!$B$166*'01_Вводные'!$B$161*'01_Вводные'!$B$172,0)</f>
        <v/>
      </c>
      <c r="Y7" s="95">
        <f>IF(AND('01_Вводные'!$B$241="Да",MONTH(Y$3)='01_Вводные'!$B$173),'01_Вводные'!$B$166*'01_Вводные'!$B$161*'01_Вводные'!$B$172,0)</f>
        <v/>
      </c>
      <c r="Z7" s="95">
        <f>IF(AND('01_Вводные'!$B$241="Да",MONTH(Z$3)='01_Вводные'!$B$173),'01_Вводные'!$B$166*'01_Вводные'!$B$161*'01_Вводные'!$B$172,0)</f>
        <v/>
      </c>
      <c r="AA7" s="95">
        <f>IF(AND('01_Вводные'!$B$241="Да",MONTH(AA$3)='01_Вводные'!$B$173),'01_Вводные'!$B$166*'01_Вводные'!$B$161*'01_Вводные'!$B$172,0)</f>
        <v/>
      </c>
      <c r="AB7" s="95">
        <f>IF(AND('01_Вводные'!$B$241="Да",MONTH(AB$3)='01_Вводные'!$B$173),'01_Вводные'!$B$166*'01_Вводные'!$B$161*'01_Вводные'!$B$172,0)</f>
        <v/>
      </c>
      <c r="AC7" s="95">
        <f>IF(AND('01_Вводные'!$B$241="Да",MONTH(AC$3)='01_Вводные'!$B$173),'01_Вводные'!$B$166*'01_Вводные'!$B$161*'01_Вводные'!$B$172,0)</f>
        <v/>
      </c>
      <c r="AD7" s="95">
        <f>IF(AND('01_Вводные'!$B$241="Да",MONTH(AD$3)='01_Вводные'!$B$173),'01_Вводные'!$B$166*'01_Вводные'!$B$161*'01_Вводные'!$B$172,0)</f>
        <v/>
      </c>
      <c r="AE7" s="95">
        <f>IF(AND('01_Вводные'!$B$241="Да",MONTH(AE$3)='01_Вводные'!$B$173),'01_Вводные'!$B$166*'01_Вводные'!$B$161*'01_Вводные'!$B$172,0)</f>
        <v/>
      </c>
      <c r="AF7" s="95">
        <f>IF(AND('01_Вводные'!$B$241="Да",MONTH(AF$3)='01_Вводные'!$B$173),'01_Вводные'!$B$166*'01_Вводные'!$B$161*'01_Вводные'!$B$172,0)</f>
        <v/>
      </c>
      <c r="AG7" s="95">
        <f>IF(AND('01_Вводные'!$B$241="Да",MONTH(AG$3)='01_Вводные'!$B$173),'01_Вводные'!$B$166*'01_Вводные'!$B$161*'01_Вводные'!$B$172,0)</f>
        <v/>
      </c>
      <c r="AH7" s="95">
        <f>IF(AND('01_Вводные'!$B$241="Да",MONTH(AH$3)='01_Вводные'!$B$173),'01_Вводные'!$B$166*'01_Вводные'!$B$161*'01_Вводные'!$B$172,0)</f>
        <v/>
      </c>
      <c r="AI7" s="95">
        <f>IF(AND('01_Вводные'!$B$241="Да",MONTH(AI$3)='01_Вводные'!$B$173),'01_Вводные'!$B$166*'01_Вводные'!$B$161*'01_Вводные'!$B$172,0)</f>
        <v/>
      </c>
      <c r="AJ7" s="95">
        <f>IF(AND('01_Вводные'!$B$241="Да",MONTH(AJ$3)='01_Вводные'!$B$173),'01_Вводные'!$B$166*'01_Вводные'!$B$161*'01_Вводные'!$B$172,0)</f>
        <v/>
      </c>
      <c r="AK7" s="95">
        <f>IF(AND('01_Вводные'!$B$241="Да",MONTH(AK$3)='01_Вводные'!$B$173),'01_Вводные'!$B$166*'01_Вводные'!$B$161*'01_Вводные'!$B$172,0)</f>
        <v/>
      </c>
      <c r="AL7" s="95">
        <f>IF(AND('01_Вводные'!$B$241="Да",MONTH(AL$3)='01_Вводные'!$B$173),'01_Вводные'!$B$166*'01_Вводные'!$B$161*'01_Вводные'!$B$172,0)</f>
        <v/>
      </c>
      <c r="AM7" s="95">
        <f>IF(AND('01_Вводные'!$B$241="Да",MONTH(AM$3)='01_Вводные'!$B$173),'01_Вводные'!$B$166*'01_Вводные'!$B$161*'01_Вводные'!$B$172,0)</f>
        <v/>
      </c>
      <c r="AN7" s="95">
        <f>IF(AND('01_Вводные'!$B$241="Да",MONTH(AN$3)='01_Вводные'!$B$173),'01_Вводные'!$B$166*'01_Вводные'!$B$161*'01_Вводные'!$B$172,0)</f>
        <v/>
      </c>
      <c r="AO7" s="95">
        <f>IF(AND('01_Вводные'!$B$241="Да",MONTH(AO$3)='01_Вводные'!$B$173),'01_Вводные'!$B$166*'01_Вводные'!$B$161*'01_Вводные'!$B$172,0)</f>
        <v/>
      </c>
      <c r="AP7" s="95">
        <f>IF(AND('01_Вводные'!$B$241="Да",MONTH(AP$3)='01_Вводные'!$B$173),'01_Вводные'!$B$166*'01_Вводные'!$B$161*'01_Вводные'!$B$172,0)</f>
        <v/>
      </c>
      <c r="AQ7" s="95">
        <f>IF(AND('01_Вводные'!$B$241="Да",MONTH(AQ$3)='01_Вводные'!$B$173),'01_Вводные'!$B$166*'01_Вводные'!$B$161*'01_Вводные'!$B$172,0)</f>
        <v/>
      </c>
      <c r="AR7" s="95">
        <f>IF(AND('01_Вводные'!$B$241="Да",MONTH(AR$3)='01_Вводные'!$B$173),'01_Вводные'!$B$166*'01_Вводные'!$B$161*'01_Вводные'!$B$172,0)</f>
        <v/>
      </c>
      <c r="AS7" s="95">
        <f>IF(AND('01_Вводные'!$B$241="Да",MONTH(AS$3)='01_Вводные'!$B$173),'01_Вводные'!$B$166*'01_Вводные'!$B$161*'01_Вводные'!$B$172,0)</f>
        <v/>
      </c>
      <c r="AT7" s="95">
        <f>IF(AND('01_Вводные'!$B$241="Да",MONTH(AT$3)='01_Вводные'!$B$173),'01_Вводные'!$B$166*'01_Вводные'!$B$161*'01_Вводные'!$B$172,0)</f>
        <v/>
      </c>
      <c r="AU7" s="95">
        <f>IF(AND('01_Вводные'!$B$241="Да",MONTH(AU$3)='01_Вводные'!$B$173),'01_Вводные'!$B$166*'01_Вводные'!$B$161*'01_Вводные'!$B$172,0)</f>
        <v/>
      </c>
      <c r="AV7" s="95">
        <f>IF(AND('01_Вводные'!$B$241="Да",MONTH(AV$3)='01_Вводные'!$B$173),'01_Вводные'!$B$166*'01_Вводные'!$B$161*'01_Вводные'!$B$172,0)</f>
        <v/>
      </c>
      <c r="AW7" s="95">
        <f>IF(AND('01_Вводные'!$B$241="Да",MONTH(AW$3)='01_Вводные'!$B$173),'01_Вводные'!$B$166*'01_Вводные'!$B$161*'01_Вводные'!$B$172,0)</f>
        <v/>
      </c>
      <c r="AX7" s="95">
        <f>IF(AND('01_Вводные'!$B$241="Да",MONTH(AX$3)='01_Вводные'!$B$173),'01_Вводные'!$B$166*'01_Вводные'!$B$161*'01_Вводные'!$B$172,0)</f>
        <v/>
      </c>
      <c r="AY7" s="95">
        <f>IF(AND('01_Вводные'!$B$241="Да",MONTH(AY$3)='01_Вводные'!$B$173),'01_Вводные'!$B$166*'01_Вводные'!$B$161*'01_Вводные'!$B$172,0)</f>
        <v/>
      </c>
      <c r="AZ7" s="95">
        <f>IF(AND('01_Вводные'!$B$241="Да",MONTH(AZ$3)='01_Вводные'!$B$173),'01_Вводные'!$B$166*'01_Вводные'!$B$161*'01_Вводные'!$B$172,0)</f>
        <v/>
      </c>
      <c r="BA7" s="95">
        <f>IF(AND('01_Вводные'!$B$241="Да",MONTH(BA$3)='01_Вводные'!$B$173),'01_Вводные'!$B$166*'01_Вводные'!$B$161*'01_Вводные'!$B$172,0)</f>
        <v/>
      </c>
      <c r="BB7" s="95">
        <f>IF(AND('01_Вводные'!$B$241="Да",MONTH(BB$3)='01_Вводные'!$B$173),'01_Вводные'!$B$166*'01_Вводные'!$B$161*'01_Вводные'!$B$172,0)</f>
        <v/>
      </c>
      <c r="BC7" s="95">
        <f>IF(AND('01_Вводные'!$B$241="Да",MONTH(BC$3)='01_Вводные'!$B$173),'01_Вводные'!$B$166*'01_Вводные'!$B$161*'01_Вводные'!$B$172,0)</f>
        <v/>
      </c>
      <c r="BD7" s="95">
        <f>IF(AND('01_Вводные'!$B$241="Да",MONTH(BD$3)='01_Вводные'!$B$173),'01_Вводные'!$B$166*'01_Вводные'!$B$161*'01_Вводные'!$B$172,0)</f>
        <v/>
      </c>
      <c r="BE7" s="95">
        <f>IF(AND('01_Вводные'!$B$241="Да",MONTH(BE$3)='01_Вводные'!$B$173),'01_Вводные'!$B$166*'01_Вводные'!$B$161*'01_Вводные'!$B$172,0)</f>
        <v/>
      </c>
      <c r="BF7" s="95">
        <f>IF(AND('01_Вводные'!$B$241="Да",MONTH(BF$3)='01_Вводные'!$B$173),'01_Вводные'!$B$166*'01_Вводные'!$B$161*'01_Вводные'!$B$172,0)</f>
        <v/>
      </c>
      <c r="BG7" s="95">
        <f>IF(AND('01_Вводные'!$B$241="Да",MONTH(BG$3)='01_Вводные'!$B$173),'01_Вводные'!$B$166*'01_Вводные'!$B$161*'01_Вводные'!$B$172,0)</f>
        <v/>
      </c>
      <c r="BH7" s="95">
        <f>IF(AND('01_Вводные'!$B$241="Да",MONTH(BH$3)='01_Вводные'!$B$173),'01_Вводные'!$B$166*'01_Вводные'!$B$161*'01_Вводные'!$B$172,0)</f>
        <v/>
      </c>
      <c r="BI7" s="95">
        <f>IF(AND('01_Вводные'!$B$241="Да",MONTH(BI$3)='01_Вводные'!$B$173),'01_Вводные'!$B$166*'01_Вводные'!$B$161*'01_Вводные'!$B$172,0)</f>
        <v/>
      </c>
    </row>
    <row r="8">
      <c r="A8" s="2" t="inlineStr">
        <is>
          <t>Денежные поступления от клиентов</t>
        </is>
      </c>
      <c r="B8" s="42">
        <f>B6+B7</f>
        <v/>
      </c>
      <c r="C8" s="42">
        <f>C6+C7</f>
        <v/>
      </c>
      <c r="D8" s="42">
        <f>D6+D7</f>
        <v/>
      </c>
      <c r="E8" s="42">
        <f>E6+E7</f>
        <v/>
      </c>
      <c r="F8" s="42">
        <f>F6+F7</f>
        <v/>
      </c>
      <c r="G8" s="42">
        <f>G6+G7</f>
        <v/>
      </c>
      <c r="H8" s="42">
        <f>H6+H7</f>
        <v/>
      </c>
      <c r="I8" s="42">
        <f>I6+I7</f>
        <v/>
      </c>
      <c r="J8" s="42">
        <f>J6+J7</f>
        <v/>
      </c>
      <c r="K8" s="42">
        <f>K6+K7</f>
        <v/>
      </c>
      <c r="L8" s="42">
        <f>L6+L7</f>
        <v/>
      </c>
      <c r="M8" s="42">
        <f>M6+M7</f>
        <v/>
      </c>
      <c r="N8" s="42">
        <f>N6+N7</f>
        <v/>
      </c>
      <c r="O8" s="42">
        <f>O6+O7</f>
        <v/>
      </c>
      <c r="P8" s="42">
        <f>P6+P7</f>
        <v/>
      </c>
      <c r="Q8" s="42">
        <f>Q6+Q7</f>
        <v/>
      </c>
      <c r="R8" s="42">
        <f>R6+R7</f>
        <v/>
      </c>
      <c r="S8" s="42">
        <f>S6+S7</f>
        <v/>
      </c>
      <c r="T8" s="42">
        <f>T6+T7</f>
        <v/>
      </c>
      <c r="U8" s="42">
        <f>U6+U7</f>
        <v/>
      </c>
      <c r="V8" s="42">
        <f>V6+V7</f>
        <v/>
      </c>
      <c r="W8" s="42">
        <f>W6+W7</f>
        <v/>
      </c>
      <c r="X8" s="42">
        <f>X6+X7</f>
        <v/>
      </c>
      <c r="Y8" s="42">
        <f>Y6+Y7</f>
        <v/>
      </c>
      <c r="Z8" s="42">
        <f>Z6+Z7</f>
        <v/>
      </c>
      <c r="AA8" s="42">
        <f>AA6+AA7</f>
        <v/>
      </c>
      <c r="AB8" s="42">
        <f>AB6+AB7</f>
        <v/>
      </c>
      <c r="AC8" s="42">
        <f>AC6+AC7</f>
        <v/>
      </c>
      <c r="AD8" s="42">
        <f>AD6+AD7</f>
        <v/>
      </c>
      <c r="AE8" s="42">
        <f>AE6+AE7</f>
        <v/>
      </c>
      <c r="AF8" s="42">
        <f>AF6+AF7</f>
        <v/>
      </c>
      <c r="AG8" s="42">
        <f>AG6+AG7</f>
        <v/>
      </c>
      <c r="AH8" s="42">
        <f>AH6+AH7</f>
        <v/>
      </c>
      <c r="AI8" s="42">
        <f>AI6+AI7</f>
        <v/>
      </c>
      <c r="AJ8" s="42">
        <f>AJ6+AJ7</f>
        <v/>
      </c>
      <c r="AK8" s="42">
        <f>AK6+AK7</f>
        <v/>
      </c>
      <c r="AL8" s="42">
        <f>AL6+AL7</f>
        <v/>
      </c>
      <c r="AM8" s="42">
        <f>AM6+AM7</f>
        <v/>
      </c>
      <c r="AN8" s="42">
        <f>AN6+AN7</f>
        <v/>
      </c>
      <c r="AO8" s="42">
        <f>AO6+AO7</f>
        <v/>
      </c>
      <c r="AP8" s="42">
        <f>AP6+AP7</f>
        <v/>
      </c>
      <c r="AQ8" s="42">
        <f>AQ6+AQ7</f>
        <v/>
      </c>
      <c r="AR8" s="42">
        <f>AR6+AR7</f>
        <v/>
      </c>
      <c r="AS8" s="42">
        <f>AS6+AS7</f>
        <v/>
      </c>
      <c r="AT8" s="42">
        <f>AT6+AT7</f>
        <v/>
      </c>
      <c r="AU8" s="42">
        <f>AU6+AU7</f>
        <v/>
      </c>
      <c r="AV8" s="42">
        <f>AV6+AV7</f>
        <v/>
      </c>
      <c r="AW8" s="42">
        <f>AW6+AW7</f>
        <v/>
      </c>
      <c r="AX8" s="42">
        <f>AX6+AX7</f>
        <v/>
      </c>
      <c r="AY8" s="42">
        <f>AY6+AY7</f>
        <v/>
      </c>
      <c r="AZ8" s="42">
        <f>AZ6+AZ7</f>
        <v/>
      </c>
      <c r="BA8" s="42">
        <f>BA6+BA7</f>
        <v/>
      </c>
      <c r="BB8" s="42">
        <f>BB6+BB7</f>
        <v/>
      </c>
      <c r="BC8" s="42">
        <f>BC6+BC7</f>
        <v/>
      </c>
      <c r="BD8" s="42">
        <f>BD6+BD7</f>
        <v/>
      </c>
      <c r="BE8" s="42">
        <f>BE6+BE7</f>
        <v/>
      </c>
      <c r="BF8" s="42">
        <f>BF6+BF7</f>
        <v/>
      </c>
      <c r="BG8" s="42">
        <f>BG6+BG7</f>
        <v/>
      </c>
      <c r="BH8" s="42">
        <f>BH6+BH7</f>
        <v/>
      </c>
      <c r="BI8" s="42">
        <f>BI6+BI7</f>
        <v/>
      </c>
    </row>
    <row r="9"/>
    <row r="10">
      <c r="A10" s="2" t="inlineStr">
        <is>
          <t>Выручка начисленная, с НДС</t>
        </is>
      </c>
      <c r="B10" s="95">
        <f>IF(AND('01_Вводные'!$B$241="Да",MONTH(B$3)='01_Вводные'!$B$252),'01_Вводные'!$B$166*'01_Вводные'!$B$161,0)</f>
        <v/>
      </c>
      <c r="C10" s="95">
        <f>IF(AND('01_Вводные'!$B$241="Да",MONTH(C$3)='01_Вводные'!$B$252),'01_Вводные'!$B$166*'01_Вводные'!$B$161,0)</f>
        <v/>
      </c>
      <c r="D10" s="95">
        <f>IF(AND('01_Вводные'!$B$241="Да",MONTH(D$3)='01_Вводные'!$B$252),'01_Вводные'!$B$166*'01_Вводные'!$B$161,0)</f>
        <v/>
      </c>
      <c r="E10" s="95">
        <f>IF(AND('01_Вводные'!$B$241="Да",MONTH(E$3)='01_Вводные'!$B$252),'01_Вводные'!$B$166*'01_Вводные'!$B$161,0)</f>
        <v/>
      </c>
      <c r="F10" s="95">
        <f>IF(AND('01_Вводные'!$B$241="Да",MONTH(F$3)='01_Вводные'!$B$252),'01_Вводные'!$B$166*'01_Вводные'!$B$161,0)</f>
        <v/>
      </c>
      <c r="G10" s="95">
        <f>IF(AND('01_Вводные'!$B$241="Да",MONTH(G$3)='01_Вводные'!$B$252),'01_Вводные'!$B$166*'01_Вводные'!$B$161,0)</f>
        <v/>
      </c>
      <c r="H10" s="95">
        <f>IF(AND('01_Вводные'!$B$241="Да",MONTH(H$3)='01_Вводные'!$B$252),'01_Вводные'!$B$166*'01_Вводные'!$B$161,0)</f>
        <v/>
      </c>
      <c r="I10" s="95">
        <f>IF(AND('01_Вводные'!$B$241="Да",MONTH(I$3)='01_Вводные'!$B$252),'01_Вводные'!$B$166*'01_Вводные'!$B$161,0)</f>
        <v/>
      </c>
      <c r="J10" s="95">
        <f>IF(AND('01_Вводные'!$B$241="Да",MONTH(J$3)='01_Вводные'!$B$252),'01_Вводные'!$B$166*'01_Вводные'!$B$161,0)</f>
        <v/>
      </c>
      <c r="K10" s="95">
        <f>IF(AND('01_Вводные'!$B$241="Да",MONTH(K$3)='01_Вводные'!$B$252),'01_Вводные'!$B$166*'01_Вводные'!$B$161,0)</f>
        <v/>
      </c>
      <c r="L10" s="95">
        <f>IF(AND('01_Вводные'!$B$241="Да",MONTH(L$3)='01_Вводные'!$B$252),'01_Вводные'!$B$166*'01_Вводные'!$B$161,0)</f>
        <v/>
      </c>
      <c r="M10" s="95">
        <f>IF(AND('01_Вводные'!$B$241="Да",MONTH(M$3)='01_Вводные'!$B$252),'01_Вводные'!$B$166*'01_Вводные'!$B$161,0)</f>
        <v/>
      </c>
      <c r="N10" s="95">
        <f>IF(AND('01_Вводные'!$B$241="Да",MONTH(N$3)='01_Вводные'!$B$252),'01_Вводные'!$B$166*'01_Вводные'!$B$161,0)</f>
        <v/>
      </c>
      <c r="O10" s="95">
        <f>IF(AND('01_Вводные'!$B$241="Да",MONTH(O$3)='01_Вводные'!$B$252),'01_Вводные'!$B$166*'01_Вводные'!$B$161,0)</f>
        <v/>
      </c>
      <c r="P10" s="95">
        <f>IF(AND('01_Вводные'!$B$241="Да",MONTH(P$3)='01_Вводные'!$B$252),'01_Вводные'!$B$166*'01_Вводные'!$B$161,0)</f>
        <v/>
      </c>
      <c r="Q10" s="95">
        <f>IF(AND('01_Вводные'!$B$241="Да",MONTH(Q$3)='01_Вводные'!$B$252),'01_Вводные'!$B$166*'01_Вводные'!$B$161,0)</f>
        <v/>
      </c>
      <c r="R10" s="95">
        <f>IF(AND('01_Вводные'!$B$241="Да",MONTH(R$3)='01_Вводные'!$B$252),'01_Вводные'!$B$166*'01_Вводные'!$B$161,0)</f>
        <v/>
      </c>
      <c r="S10" s="95">
        <f>IF(AND('01_Вводные'!$B$241="Да",MONTH(S$3)='01_Вводные'!$B$252),'01_Вводные'!$B$166*'01_Вводные'!$B$161,0)</f>
        <v/>
      </c>
      <c r="T10" s="95">
        <f>IF(AND('01_Вводные'!$B$241="Да",MONTH(T$3)='01_Вводные'!$B$252),'01_Вводные'!$B$166*'01_Вводные'!$B$161,0)</f>
        <v/>
      </c>
      <c r="U10" s="95">
        <f>IF(AND('01_Вводные'!$B$241="Да",MONTH(U$3)='01_Вводные'!$B$252),'01_Вводные'!$B$166*'01_Вводные'!$B$161,0)</f>
        <v/>
      </c>
      <c r="V10" s="95">
        <f>IF(AND('01_Вводные'!$B$241="Да",MONTH(V$3)='01_Вводные'!$B$252),'01_Вводные'!$B$166*'01_Вводные'!$B$161,0)</f>
        <v/>
      </c>
      <c r="W10" s="95">
        <f>IF(AND('01_Вводные'!$B$241="Да",MONTH(W$3)='01_Вводные'!$B$252),'01_Вводные'!$B$166*'01_Вводные'!$B$161,0)</f>
        <v/>
      </c>
      <c r="X10" s="95">
        <f>IF(AND('01_Вводные'!$B$241="Да",MONTH(X$3)='01_Вводные'!$B$252),'01_Вводные'!$B$166*'01_Вводные'!$B$161,0)</f>
        <v/>
      </c>
      <c r="Y10" s="95">
        <f>IF(AND('01_Вводные'!$B$241="Да",MONTH(Y$3)='01_Вводные'!$B$252),'01_Вводные'!$B$166*'01_Вводные'!$B$161,0)</f>
        <v/>
      </c>
      <c r="Z10" s="95">
        <f>IF(AND('01_Вводные'!$B$241="Да",MONTH(Z$3)='01_Вводные'!$B$252),'01_Вводные'!$B$166*'01_Вводные'!$B$161,0)</f>
        <v/>
      </c>
      <c r="AA10" s="95">
        <f>IF(AND('01_Вводные'!$B$241="Да",MONTH(AA$3)='01_Вводные'!$B$252),'01_Вводные'!$B$166*'01_Вводные'!$B$161,0)</f>
        <v/>
      </c>
      <c r="AB10" s="95">
        <f>IF(AND('01_Вводные'!$B$241="Да",MONTH(AB$3)='01_Вводные'!$B$252),'01_Вводные'!$B$166*'01_Вводные'!$B$161,0)</f>
        <v/>
      </c>
      <c r="AC10" s="95">
        <f>IF(AND('01_Вводные'!$B$241="Да",MONTH(AC$3)='01_Вводные'!$B$252),'01_Вводные'!$B$166*'01_Вводные'!$B$161,0)</f>
        <v/>
      </c>
      <c r="AD10" s="95">
        <f>IF(AND('01_Вводные'!$B$241="Да",MONTH(AD$3)='01_Вводные'!$B$252),'01_Вводные'!$B$166*'01_Вводные'!$B$161,0)</f>
        <v/>
      </c>
      <c r="AE10" s="95">
        <f>IF(AND('01_Вводные'!$B$241="Да",MONTH(AE$3)='01_Вводные'!$B$252),'01_Вводные'!$B$166*'01_Вводные'!$B$161,0)</f>
        <v/>
      </c>
      <c r="AF10" s="95">
        <f>IF(AND('01_Вводные'!$B$241="Да",MONTH(AF$3)='01_Вводные'!$B$252),'01_Вводные'!$B$166*'01_Вводные'!$B$161,0)</f>
        <v/>
      </c>
      <c r="AG10" s="95">
        <f>IF(AND('01_Вводные'!$B$241="Да",MONTH(AG$3)='01_Вводные'!$B$252),'01_Вводные'!$B$166*'01_Вводные'!$B$161,0)</f>
        <v/>
      </c>
      <c r="AH10" s="95">
        <f>IF(AND('01_Вводные'!$B$241="Да",MONTH(AH$3)='01_Вводные'!$B$252),'01_Вводные'!$B$166*'01_Вводные'!$B$161,0)</f>
        <v/>
      </c>
      <c r="AI10" s="95">
        <f>IF(AND('01_Вводные'!$B$241="Да",MONTH(AI$3)='01_Вводные'!$B$252),'01_Вводные'!$B$166*'01_Вводные'!$B$161,0)</f>
        <v/>
      </c>
      <c r="AJ10" s="95">
        <f>IF(AND('01_Вводные'!$B$241="Да",MONTH(AJ$3)='01_Вводные'!$B$252),'01_Вводные'!$B$166*'01_Вводные'!$B$161,0)</f>
        <v/>
      </c>
      <c r="AK10" s="95">
        <f>IF(AND('01_Вводные'!$B$241="Да",MONTH(AK$3)='01_Вводные'!$B$252),'01_Вводные'!$B$166*'01_Вводные'!$B$161,0)</f>
        <v/>
      </c>
      <c r="AL10" s="95">
        <f>IF(AND('01_Вводные'!$B$241="Да",MONTH(AL$3)='01_Вводные'!$B$252),'01_Вводные'!$B$166*'01_Вводные'!$B$161,0)</f>
        <v/>
      </c>
      <c r="AM10" s="95">
        <f>IF(AND('01_Вводные'!$B$241="Да",MONTH(AM$3)='01_Вводные'!$B$252),'01_Вводные'!$B$166*'01_Вводные'!$B$161,0)</f>
        <v/>
      </c>
      <c r="AN10" s="95">
        <f>IF(AND('01_Вводные'!$B$241="Да",MONTH(AN$3)='01_Вводные'!$B$252),'01_Вводные'!$B$166*'01_Вводные'!$B$161,0)</f>
        <v/>
      </c>
      <c r="AO10" s="95">
        <f>IF(AND('01_Вводные'!$B$241="Да",MONTH(AO$3)='01_Вводные'!$B$252),'01_Вводные'!$B$166*'01_Вводные'!$B$161,0)</f>
        <v/>
      </c>
      <c r="AP10" s="95">
        <f>IF(AND('01_Вводные'!$B$241="Да",MONTH(AP$3)='01_Вводные'!$B$252),'01_Вводные'!$B$166*'01_Вводные'!$B$161,0)</f>
        <v/>
      </c>
      <c r="AQ10" s="95">
        <f>IF(AND('01_Вводные'!$B$241="Да",MONTH(AQ$3)='01_Вводные'!$B$252),'01_Вводные'!$B$166*'01_Вводные'!$B$161,0)</f>
        <v/>
      </c>
      <c r="AR10" s="95">
        <f>IF(AND('01_Вводные'!$B$241="Да",MONTH(AR$3)='01_Вводные'!$B$252),'01_Вводные'!$B$166*'01_Вводные'!$B$161,0)</f>
        <v/>
      </c>
      <c r="AS10" s="95">
        <f>IF(AND('01_Вводные'!$B$241="Да",MONTH(AS$3)='01_Вводные'!$B$252),'01_Вводные'!$B$166*'01_Вводные'!$B$161,0)</f>
        <v/>
      </c>
      <c r="AT10" s="95">
        <f>IF(AND('01_Вводные'!$B$241="Да",MONTH(AT$3)='01_Вводные'!$B$252),'01_Вводные'!$B$166*'01_Вводные'!$B$161,0)</f>
        <v/>
      </c>
      <c r="AU10" s="95">
        <f>IF(AND('01_Вводные'!$B$241="Да",MONTH(AU$3)='01_Вводные'!$B$252),'01_Вводные'!$B$166*'01_Вводные'!$B$161,0)</f>
        <v/>
      </c>
      <c r="AV10" s="95">
        <f>IF(AND('01_Вводные'!$B$241="Да",MONTH(AV$3)='01_Вводные'!$B$252),'01_Вводные'!$B$166*'01_Вводные'!$B$161,0)</f>
        <v/>
      </c>
      <c r="AW10" s="95">
        <f>IF(AND('01_Вводные'!$B$241="Да",MONTH(AW$3)='01_Вводные'!$B$252),'01_Вводные'!$B$166*'01_Вводные'!$B$161,0)</f>
        <v/>
      </c>
      <c r="AX10" s="95">
        <f>IF(AND('01_Вводные'!$B$241="Да",MONTH(AX$3)='01_Вводные'!$B$252),'01_Вводные'!$B$166*'01_Вводные'!$B$161,0)</f>
        <v/>
      </c>
      <c r="AY10" s="95">
        <f>IF(AND('01_Вводные'!$B$241="Да",MONTH(AY$3)='01_Вводные'!$B$252),'01_Вводные'!$B$166*'01_Вводные'!$B$161,0)</f>
        <v/>
      </c>
      <c r="AZ10" s="95">
        <f>IF(AND('01_Вводные'!$B$241="Да",MONTH(AZ$3)='01_Вводные'!$B$252),'01_Вводные'!$B$166*'01_Вводные'!$B$161,0)</f>
        <v/>
      </c>
      <c r="BA10" s="95">
        <f>IF(AND('01_Вводные'!$B$241="Да",MONTH(BA$3)='01_Вводные'!$B$252),'01_Вводные'!$B$166*'01_Вводные'!$B$161,0)</f>
        <v/>
      </c>
      <c r="BB10" s="95">
        <f>IF(AND('01_Вводные'!$B$241="Да",MONTH(BB$3)='01_Вводные'!$B$252),'01_Вводные'!$B$166*'01_Вводные'!$B$161,0)</f>
        <v/>
      </c>
      <c r="BC10" s="95">
        <f>IF(AND('01_Вводные'!$B$241="Да",MONTH(BC$3)='01_Вводные'!$B$252),'01_Вводные'!$B$166*'01_Вводные'!$B$161,0)</f>
        <v/>
      </c>
      <c r="BD10" s="95">
        <f>IF(AND('01_Вводные'!$B$241="Да",MONTH(BD$3)='01_Вводные'!$B$252),'01_Вводные'!$B$166*'01_Вводные'!$B$161,0)</f>
        <v/>
      </c>
      <c r="BE10" s="95">
        <f>IF(AND('01_Вводные'!$B$241="Да",MONTH(BE$3)='01_Вводные'!$B$252),'01_Вводные'!$B$166*'01_Вводные'!$B$161,0)</f>
        <v/>
      </c>
      <c r="BF10" s="95">
        <f>IF(AND('01_Вводные'!$B$241="Да",MONTH(BF$3)='01_Вводные'!$B$252),'01_Вводные'!$B$166*'01_Вводные'!$B$161,0)</f>
        <v/>
      </c>
      <c r="BG10" s="95">
        <f>IF(AND('01_Вводные'!$B$241="Да",MONTH(BG$3)='01_Вводные'!$B$252),'01_Вводные'!$B$166*'01_Вводные'!$B$161,0)</f>
        <v/>
      </c>
      <c r="BH10" s="95">
        <f>IF(AND('01_Вводные'!$B$241="Да",MONTH(BH$3)='01_Вводные'!$B$252),'01_Вводные'!$B$166*'01_Вводные'!$B$161,0)</f>
        <v/>
      </c>
      <c r="BI10" s="95">
        <f>IF(AND('01_Вводные'!$B$241="Да",MONTH(BI$3)='01_Вводные'!$B$252),'01_Вводные'!$B$166*'01_Вводные'!$B$161,0)</f>
        <v/>
      </c>
    </row>
    <row r="11">
      <c r="A11" s="2" t="inlineStr">
        <is>
          <t>Налоговый резерв по источнику (не проверенный НДС)</t>
        </is>
      </c>
      <c r="B11" s="42">
        <f>B10*'01_Вводные'!$B$168</f>
        <v/>
      </c>
      <c r="C11" s="42">
        <f>C10*'01_Вводные'!$B$168</f>
        <v/>
      </c>
      <c r="D11" s="42">
        <f>D10*'01_Вводные'!$B$168</f>
        <v/>
      </c>
      <c r="E11" s="42">
        <f>E10*'01_Вводные'!$B$168</f>
        <v/>
      </c>
      <c r="F11" s="42">
        <f>F10*'01_Вводные'!$B$168</f>
        <v/>
      </c>
      <c r="G11" s="42">
        <f>G10*'01_Вводные'!$B$168</f>
        <v/>
      </c>
      <c r="H11" s="42">
        <f>H10*'01_Вводные'!$B$168</f>
        <v/>
      </c>
      <c r="I11" s="42">
        <f>I10*'01_Вводные'!$B$168</f>
        <v/>
      </c>
      <c r="J11" s="42">
        <f>J10*'01_Вводные'!$B$168</f>
        <v/>
      </c>
      <c r="K11" s="42">
        <f>K10*'01_Вводные'!$B$168</f>
        <v/>
      </c>
      <c r="L11" s="42">
        <f>L10*'01_Вводные'!$B$168</f>
        <v/>
      </c>
      <c r="M11" s="42">
        <f>M10*'01_Вводные'!$B$168</f>
        <v/>
      </c>
      <c r="N11" s="42">
        <f>N10*'01_Вводные'!$B$168</f>
        <v/>
      </c>
      <c r="O11" s="42">
        <f>O10*'01_Вводные'!$B$168</f>
        <v/>
      </c>
      <c r="P11" s="42">
        <f>P10*'01_Вводные'!$B$168</f>
        <v/>
      </c>
      <c r="Q11" s="42">
        <f>Q10*'01_Вводные'!$B$168</f>
        <v/>
      </c>
      <c r="R11" s="42">
        <f>R10*'01_Вводные'!$B$168</f>
        <v/>
      </c>
      <c r="S11" s="42">
        <f>S10*'01_Вводные'!$B$168</f>
        <v/>
      </c>
      <c r="T11" s="42">
        <f>T10*'01_Вводные'!$B$168</f>
        <v/>
      </c>
      <c r="U11" s="42">
        <f>U10*'01_Вводные'!$B$168</f>
        <v/>
      </c>
      <c r="V11" s="42">
        <f>V10*'01_Вводные'!$B$168</f>
        <v/>
      </c>
      <c r="W11" s="42">
        <f>W10*'01_Вводные'!$B$168</f>
        <v/>
      </c>
      <c r="X11" s="42">
        <f>X10*'01_Вводные'!$B$168</f>
        <v/>
      </c>
      <c r="Y11" s="42">
        <f>Y10*'01_Вводные'!$B$168</f>
        <v/>
      </c>
      <c r="Z11" s="42">
        <f>Z10*'01_Вводные'!$B$168</f>
        <v/>
      </c>
      <c r="AA11" s="42">
        <f>AA10*'01_Вводные'!$B$168</f>
        <v/>
      </c>
      <c r="AB11" s="42">
        <f>AB10*'01_Вводные'!$B$168</f>
        <v/>
      </c>
      <c r="AC11" s="42">
        <f>AC10*'01_Вводные'!$B$168</f>
        <v/>
      </c>
      <c r="AD11" s="42">
        <f>AD10*'01_Вводные'!$B$168</f>
        <v/>
      </c>
      <c r="AE11" s="42">
        <f>AE10*'01_Вводные'!$B$168</f>
        <v/>
      </c>
      <c r="AF11" s="42">
        <f>AF10*'01_Вводные'!$B$168</f>
        <v/>
      </c>
      <c r="AG11" s="42">
        <f>AG10*'01_Вводные'!$B$168</f>
        <v/>
      </c>
      <c r="AH11" s="42">
        <f>AH10*'01_Вводные'!$B$168</f>
        <v/>
      </c>
      <c r="AI11" s="42">
        <f>AI10*'01_Вводные'!$B$168</f>
        <v/>
      </c>
      <c r="AJ11" s="42">
        <f>AJ10*'01_Вводные'!$B$168</f>
        <v/>
      </c>
      <c r="AK11" s="42">
        <f>AK10*'01_Вводные'!$B$168</f>
        <v/>
      </c>
      <c r="AL11" s="42">
        <f>AL10*'01_Вводные'!$B$168</f>
        <v/>
      </c>
      <c r="AM11" s="42">
        <f>AM10*'01_Вводные'!$B$168</f>
        <v/>
      </c>
      <c r="AN11" s="42">
        <f>AN10*'01_Вводные'!$B$168</f>
        <v/>
      </c>
      <c r="AO11" s="42">
        <f>AO10*'01_Вводные'!$B$168</f>
        <v/>
      </c>
      <c r="AP11" s="42">
        <f>AP10*'01_Вводные'!$B$168</f>
        <v/>
      </c>
      <c r="AQ11" s="42">
        <f>AQ10*'01_Вводные'!$B$168</f>
        <v/>
      </c>
      <c r="AR11" s="42">
        <f>AR10*'01_Вводные'!$B$168</f>
        <v/>
      </c>
      <c r="AS11" s="42">
        <f>AS10*'01_Вводные'!$B$168</f>
        <v/>
      </c>
      <c r="AT11" s="42">
        <f>AT10*'01_Вводные'!$B$168</f>
        <v/>
      </c>
      <c r="AU11" s="42">
        <f>AU10*'01_Вводные'!$B$168</f>
        <v/>
      </c>
      <c r="AV11" s="42">
        <f>AV10*'01_Вводные'!$B$168</f>
        <v/>
      </c>
      <c r="AW11" s="42">
        <f>AW10*'01_Вводные'!$B$168</f>
        <v/>
      </c>
      <c r="AX11" s="42">
        <f>AX10*'01_Вводные'!$B$168</f>
        <v/>
      </c>
      <c r="AY11" s="42">
        <f>AY10*'01_Вводные'!$B$168</f>
        <v/>
      </c>
      <c r="AZ11" s="42">
        <f>AZ10*'01_Вводные'!$B$168</f>
        <v/>
      </c>
      <c r="BA11" s="42">
        <f>BA10*'01_Вводные'!$B$168</f>
        <v/>
      </c>
      <c r="BB11" s="42">
        <f>BB10*'01_Вводные'!$B$168</f>
        <v/>
      </c>
      <c r="BC11" s="42">
        <f>BC10*'01_Вводные'!$B$168</f>
        <v/>
      </c>
      <c r="BD11" s="42">
        <f>BD10*'01_Вводные'!$B$168</f>
        <v/>
      </c>
      <c r="BE11" s="42">
        <f>BE10*'01_Вводные'!$B$168</f>
        <v/>
      </c>
      <c r="BF11" s="42">
        <f>BF10*'01_Вводные'!$B$168</f>
        <v/>
      </c>
      <c r="BG11" s="42">
        <f>BG10*'01_Вводные'!$B$168</f>
        <v/>
      </c>
      <c r="BH11" s="42">
        <f>BH10*'01_Вводные'!$B$168</f>
        <v/>
      </c>
      <c r="BI11" s="42">
        <f>BI10*'01_Вводные'!$B$168</f>
        <v/>
      </c>
    </row>
    <row r="12">
      <c r="A12" s="2" t="inlineStr">
        <is>
          <t>Расходы лагеря, начисленные</t>
        </is>
      </c>
      <c r="B12" s="95">
        <f>IF(AND('01_Вводные'!$B$241="Да",MONTH(B$3)='01_Вводные'!$B$252),'01_Вводные'!$B$167*'01_Вводные'!$B$161,0)</f>
        <v/>
      </c>
      <c r="C12" s="95">
        <f>IF(AND('01_Вводные'!$B$241="Да",MONTH(C$3)='01_Вводные'!$B$252),'01_Вводные'!$B$167*'01_Вводные'!$B$161,0)</f>
        <v/>
      </c>
      <c r="D12" s="95">
        <f>IF(AND('01_Вводные'!$B$241="Да",MONTH(D$3)='01_Вводные'!$B$252),'01_Вводные'!$B$167*'01_Вводные'!$B$161,0)</f>
        <v/>
      </c>
      <c r="E12" s="95">
        <f>IF(AND('01_Вводные'!$B$241="Да",MONTH(E$3)='01_Вводные'!$B$252),'01_Вводные'!$B$167*'01_Вводные'!$B$161,0)</f>
        <v/>
      </c>
      <c r="F12" s="95">
        <f>IF(AND('01_Вводные'!$B$241="Да",MONTH(F$3)='01_Вводные'!$B$252),'01_Вводные'!$B$167*'01_Вводные'!$B$161,0)</f>
        <v/>
      </c>
      <c r="G12" s="95">
        <f>IF(AND('01_Вводные'!$B$241="Да",MONTH(G$3)='01_Вводные'!$B$252),'01_Вводные'!$B$167*'01_Вводные'!$B$161,0)</f>
        <v/>
      </c>
      <c r="H12" s="95">
        <f>IF(AND('01_Вводные'!$B$241="Да",MONTH(H$3)='01_Вводные'!$B$252),'01_Вводные'!$B$167*'01_Вводные'!$B$161,0)</f>
        <v/>
      </c>
      <c r="I12" s="95">
        <f>IF(AND('01_Вводные'!$B$241="Да",MONTH(I$3)='01_Вводные'!$B$252),'01_Вводные'!$B$167*'01_Вводные'!$B$161,0)</f>
        <v/>
      </c>
      <c r="J12" s="95">
        <f>IF(AND('01_Вводные'!$B$241="Да",MONTH(J$3)='01_Вводные'!$B$252),'01_Вводные'!$B$167*'01_Вводные'!$B$161,0)</f>
        <v/>
      </c>
      <c r="K12" s="95">
        <f>IF(AND('01_Вводные'!$B$241="Да",MONTH(K$3)='01_Вводные'!$B$252),'01_Вводные'!$B$167*'01_Вводные'!$B$161,0)</f>
        <v/>
      </c>
      <c r="L12" s="95">
        <f>IF(AND('01_Вводные'!$B$241="Да",MONTH(L$3)='01_Вводные'!$B$252),'01_Вводные'!$B$167*'01_Вводные'!$B$161,0)</f>
        <v/>
      </c>
      <c r="M12" s="95">
        <f>IF(AND('01_Вводные'!$B$241="Да",MONTH(M$3)='01_Вводные'!$B$252),'01_Вводные'!$B$167*'01_Вводные'!$B$161,0)</f>
        <v/>
      </c>
      <c r="N12" s="95">
        <f>IF(AND('01_Вводные'!$B$241="Да",MONTH(N$3)='01_Вводные'!$B$252),'01_Вводные'!$B$167*'01_Вводные'!$B$161,0)</f>
        <v/>
      </c>
      <c r="O12" s="95">
        <f>IF(AND('01_Вводные'!$B$241="Да",MONTH(O$3)='01_Вводные'!$B$252),'01_Вводные'!$B$167*'01_Вводные'!$B$161,0)</f>
        <v/>
      </c>
      <c r="P12" s="95">
        <f>IF(AND('01_Вводные'!$B$241="Да",MONTH(P$3)='01_Вводные'!$B$252),'01_Вводные'!$B$167*'01_Вводные'!$B$161,0)</f>
        <v/>
      </c>
      <c r="Q12" s="95">
        <f>IF(AND('01_Вводные'!$B$241="Да",MONTH(Q$3)='01_Вводные'!$B$252),'01_Вводные'!$B$167*'01_Вводные'!$B$161,0)</f>
        <v/>
      </c>
      <c r="R12" s="95">
        <f>IF(AND('01_Вводные'!$B$241="Да",MONTH(R$3)='01_Вводные'!$B$252),'01_Вводные'!$B$167*'01_Вводные'!$B$161,0)</f>
        <v/>
      </c>
      <c r="S12" s="95">
        <f>IF(AND('01_Вводные'!$B$241="Да",MONTH(S$3)='01_Вводные'!$B$252),'01_Вводные'!$B$167*'01_Вводные'!$B$161,0)</f>
        <v/>
      </c>
      <c r="T12" s="95">
        <f>IF(AND('01_Вводные'!$B$241="Да",MONTH(T$3)='01_Вводные'!$B$252),'01_Вводные'!$B$167*'01_Вводные'!$B$161,0)</f>
        <v/>
      </c>
      <c r="U12" s="95">
        <f>IF(AND('01_Вводные'!$B$241="Да",MONTH(U$3)='01_Вводные'!$B$252),'01_Вводные'!$B$167*'01_Вводные'!$B$161,0)</f>
        <v/>
      </c>
      <c r="V12" s="95">
        <f>IF(AND('01_Вводные'!$B$241="Да",MONTH(V$3)='01_Вводные'!$B$252),'01_Вводные'!$B$167*'01_Вводные'!$B$161,0)</f>
        <v/>
      </c>
      <c r="W12" s="95">
        <f>IF(AND('01_Вводные'!$B$241="Да",MONTH(W$3)='01_Вводные'!$B$252),'01_Вводные'!$B$167*'01_Вводные'!$B$161,0)</f>
        <v/>
      </c>
      <c r="X12" s="95">
        <f>IF(AND('01_Вводные'!$B$241="Да",MONTH(X$3)='01_Вводные'!$B$252),'01_Вводные'!$B$167*'01_Вводные'!$B$161,0)</f>
        <v/>
      </c>
      <c r="Y12" s="95">
        <f>IF(AND('01_Вводные'!$B$241="Да",MONTH(Y$3)='01_Вводные'!$B$252),'01_Вводные'!$B$167*'01_Вводные'!$B$161,0)</f>
        <v/>
      </c>
      <c r="Z12" s="95">
        <f>IF(AND('01_Вводные'!$B$241="Да",MONTH(Z$3)='01_Вводные'!$B$252),'01_Вводные'!$B$167*'01_Вводные'!$B$161,0)</f>
        <v/>
      </c>
      <c r="AA12" s="95">
        <f>IF(AND('01_Вводные'!$B$241="Да",MONTH(AA$3)='01_Вводные'!$B$252),'01_Вводные'!$B$167*'01_Вводные'!$B$161,0)</f>
        <v/>
      </c>
      <c r="AB12" s="95">
        <f>IF(AND('01_Вводные'!$B$241="Да",MONTH(AB$3)='01_Вводные'!$B$252),'01_Вводные'!$B$167*'01_Вводные'!$B$161,0)</f>
        <v/>
      </c>
      <c r="AC12" s="95">
        <f>IF(AND('01_Вводные'!$B$241="Да",MONTH(AC$3)='01_Вводные'!$B$252),'01_Вводные'!$B$167*'01_Вводные'!$B$161,0)</f>
        <v/>
      </c>
      <c r="AD12" s="95">
        <f>IF(AND('01_Вводные'!$B$241="Да",MONTH(AD$3)='01_Вводные'!$B$252),'01_Вводные'!$B$167*'01_Вводные'!$B$161,0)</f>
        <v/>
      </c>
      <c r="AE12" s="95">
        <f>IF(AND('01_Вводные'!$B$241="Да",MONTH(AE$3)='01_Вводные'!$B$252),'01_Вводные'!$B$167*'01_Вводные'!$B$161,0)</f>
        <v/>
      </c>
      <c r="AF12" s="95">
        <f>IF(AND('01_Вводные'!$B$241="Да",MONTH(AF$3)='01_Вводные'!$B$252),'01_Вводные'!$B$167*'01_Вводные'!$B$161,0)</f>
        <v/>
      </c>
      <c r="AG12" s="95">
        <f>IF(AND('01_Вводные'!$B$241="Да",MONTH(AG$3)='01_Вводные'!$B$252),'01_Вводные'!$B$167*'01_Вводные'!$B$161,0)</f>
        <v/>
      </c>
      <c r="AH12" s="95">
        <f>IF(AND('01_Вводные'!$B$241="Да",MONTH(AH$3)='01_Вводные'!$B$252),'01_Вводные'!$B$167*'01_Вводные'!$B$161,0)</f>
        <v/>
      </c>
      <c r="AI12" s="95">
        <f>IF(AND('01_Вводные'!$B$241="Да",MONTH(AI$3)='01_Вводные'!$B$252),'01_Вводные'!$B$167*'01_Вводные'!$B$161,0)</f>
        <v/>
      </c>
      <c r="AJ12" s="95">
        <f>IF(AND('01_Вводные'!$B$241="Да",MONTH(AJ$3)='01_Вводные'!$B$252),'01_Вводные'!$B$167*'01_Вводные'!$B$161,0)</f>
        <v/>
      </c>
      <c r="AK12" s="95">
        <f>IF(AND('01_Вводные'!$B$241="Да",MONTH(AK$3)='01_Вводные'!$B$252),'01_Вводные'!$B$167*'01_Вводные'!$B$161,0)</f>
        <v/>
      </c>
      <c r="AL12" s="95">
        <f>IF(AND('01_Вводные'!$B$241="Да",MONTH(AL$3)='01_Вводные'!$B$252),'01_Вводные'!$B$167*'01_Вводные'!$B$161,0)</f>
        <v/>
      </c>
      <c r="AM12" s="95">
        <f>IF(AND('01_Вводные'!$B$241="Да",MONTH(AM$3)='01_Вводные'!$B$252),'01_Вводные'!$B$167*'01_Вводные'!$B$161,0)</f>
        <v/>
      </c>
      <c r="AN12" s="95">
        <f>IF(AND('01_Вводные'!$B$241="Да",MONTH(AN$3)='01_Вводные'!$B$252),'01_Вводные'!$B$167*'01_Вводные'!$B$161,0)</f>
        <v/>
      </c>
      <c r="AO12" s="95">
        <f>IF(AND('01_Вводные'!$B$241="Да",MONTH(AO$3)='01_Вводные'!$B$252),'01_Вводные'!$B$167*'01_Вводные'!$B$161,0)</f>
        <v/>
      </c>
      <c r="AP12" s="95">
        <f>IF(AND('01_Вводные'!$B$241="Да",MONTH(AP$3)='01_Вводные'!$B$252),'01_Вводные'!$B$167*'01_Вводные'!$B$161,0)</f>
        <v/>
      </c>
      <c r="AQ12" s="95">
        <f>IF(AND('01_Вводные'!$B$241="Да",MONTH(AQ$3)='01_Вводные'!$B$252),'01_Вводные'!$B$167*'01_Вводные'!$B$161,0)</f>
        <v/>
      </c>
      <c r="AR12" s="95">
        <f>IF(AND('01_Вводные'!$B$241="Да",MONTH(AR$3)='01_Вводные'!$B$252),'01_Вводные'!$B$167*'01_Вводные'!$B$161,0)</f>
        <v/>
      </c>
      <c r="AS12" s="95">
        <f>IF(AND('01_Вводные'!$B$241="Да",MONTH(AS$3)='01_Вводные'!$B$252),'01_Вводные'!$B$167*'01_Вводные'!$B$161,0)</f>
        <v/>
      </c>
      <c r="AT12" s="95">
        <f>IF(AND('01_Вводные'!$B$241="Да",MONTH(AT$3)='01_Вводные'!$B$252),'01_Вводные'!$B$167*'01_Вводные'!$B$161,0)</f>
        <v/>
      </c>
      <c r="AU12" s="95">
        <f>IF(AND('01_Вводные'!$B$241="Да",MONTH(AU$3)='01_Вводные'!$B$252),'01_Вводные'!$B$167*'01_Вводные'!$B$161,0)</f>
        <v/>
      </c>
      <c r="AV12" s="95">
        <f>IF(AND('01_Вводные'!$B$241="Да",MONTH(AV$3)='01_Вводные'!$B$252),'01_Вводные'!$B$167*'01_Вводные'!$B$161,0)</f>
        <v/>
      </c>
      <c r="AW12" s="95">
        <f>IF(AND('01_Вводные'!$B$241="Да",MONTH(AW$3)='01_Вводные'!$B$252),'01_Вводные'!$B$167*'01_Вводные'!$B$161,0)</f>
        <v/>
      </c>
      <c r="AX12" s="95">
        <f>IF(AND('01_Вводные'!$B$241="Да",MONTH(AX$3)='01_Вводные'!$B$252),'01_Вводные'!$B$167*'01_Вводные'!$B$161,0)</f>
        <v/>
      </c>
      <c r="AY12" s="95">
        <f>IF(AND('01_Вводные'!$B$241="Да",MONTH(AY$3)='01_Вводные'!$B$252),'01_Вводные'!$B$167*'01_Вводные'!$B$161,0)</f>
        <v/>
      </c>
      <c r="AZ12" s="95">
        <f>IF(AND('01_Вводные'!$B$241="Да",MONTH(AZ$3)='01_Вводные'!$B$252),'01_Вводные'!$B$167*'01_Вводные'!$B$161,0)</f>
        <v/>
      </c>
      <c r="BA12" s="95">
        <f>IF(AND('01_Вводные'!$B$241="Да",MONTH(BA$3)='01_Вводные'!$B$252),'01_Вводные'!$B$167*'01_Вводные'!$B$161,0)</f>
        <v/>
      </c>
      <c r="BB12" s="95">
        <f>IF(AND('01_Вводные'!$B$241="Да",MONTH(BB$3)='01_Вводные'!$B$252),'01_Вводные'!$B$167*'01_Вводные'!$B$161,0)</f>
        <v/>
      </c>
      <c r="BC12" s="95">
        <f>IF(AND('01_Вводные'!$B$241="Да",MONTH(BC$3)='01_Вводные'!$B$252),'01_Вводные'!$B$167*'01_Вводные'!$B$161,0)</f>
        <v/>
      </c>
      <c r="BD12" s="95">
        <f>IF(AND('01_Вводные'!$B$241="Да",MONTH(BD$3)='01_Вводные'!$B$252),'01_Вводные'!$B$167*'01_Вводные'!$B$161,0)</f>
        <v/>
      </c>
      <c r="BE12" s="95">
        <f>IF(AND('01_Вводные'!$B$241="Да",MONTH(BE$3)='01_Вводные'!$B$252),'01_Вводные'!$B$167*'01_Вводные'!$B$161,0)</f>
        <v/>
      </c>
      <c r="BF12" s="95">
        <f>IF(AND('01_Вводные'!$B$241="Да",MONTH(BF$3)='01_Вводные'!$B$252),'01_Вводные'!$B$167*'01_Вводные'!$B$161,0)</f>
        <v/>
      </c>
      <c r="BG12" s="95">
        <f>IF(AND('01_Вводные'!$B$241="Да",MONTH(BG$3)='01_Вводные'!$B$252),'01_Вводные'!$B$167*'01_Вводные'!$B$161,0)</f>
        <v/>
      </c>
      <c r="BH12" s="95">
        <f>IF(AND('01_Вводные'!$B$241="Да",MONTH(BH$3)='01_Вводные'!$B$252),'01_Вводные'!$B$167*'01_Вводные'!$B$161,0)</f>
        <v/>
      </c>
      <c r="BI12" s="95">
        <f>IF(AND('01_Вводные'!$B$241="Да",MONTH(BI$3)='01_Вводные'!$B$252),'01_Вводные'!$B$167*'01_Вводные'!$B$161,0)</f>
        <v/>
      </c>
    </row>
    <row r="13">
      <c r="A13" s="2" t="inlineStr">
        <is>
          <t>Доля партнёра-продавца</t>
        </is>
      </c>
      <c r="B13" s="42">
        <f>MAX(0,B10-B11-B12)*'01_Вводные'!$B$169</f>
        <v/>
      </c>
      <c r="C13" s="42">
        <f>MAX(0,C10-C11-C12)*'01_Вводные'!$B$169</f>
        <v/>
      </c>
      <c r="D13" s="42">
        <f>MAX(0,D10-D11-D12)*'01_Вводные'!$B$169</f>
        <v/>
      </c>
      <c r="E13" s="42">
        <f>MAX(0,E10-E11-E12)*'01_Вводные'!$B$169</f>
        <v/>
      </c>
      <c r="F13" s="42">
        <f>MAX(0,F10-F11-F12)*'01_Вводные'!$B$169</f>
        <v/>
      </c>
      <c r="G13" s="42">
        <f>MAX(0,G10-G11-G12)*'01_Вводные'!$B$169</f>
        <v/>
      </c>
      <c r="H13" s="42">
        <f>MAX(0,H10-H11-H12)*'01_Вводные'!$B$169</f>
        <v/>
      </c>
      <c r="I13" s="42">
        <f>MAX(0,I10-I11-I12)*'01_Вводные'!$B$169</f>
        <v/>
      </c>
      <c r="J13" s="42">
        <f>MAX(0,J10-J11-J12)*'01_Вводные'!$B$169</f>
        <v/>
      </c>
      <c r="K13" s="42">
        <f>MAX(0,K10-K11-K12)*'01_Вводные'!$B$169</f>
        <v/>
      </c>
      <c r="L13" s="42">
        <f>MAX(0,L10-L11-L12)*'01_Вводные'!$B$169</f>
        <v/>
      </c>
      <c r="M13" s="42">
        <f>MAX(0,M10-M11-M12)*'01_Вводные'!$B$169</f>
        <v/>
      </c>
      <c r="N13" s="42">
        <f>MAX(0,N10-N11-N12)*'01_Вводные'!$B$169</f>
        <v/>
      </c>
      <c r="O13" s="42">
        <f>MAX(0,O10-O11-O12)*'01_Вводные'!$B$169</f>
        <v/>
      </c>
      <c r="P13" s="42">
        <f>MAX(0,P10-P11-P12)*'01_Вводные'!$B$169</f>
        <v/>
      </c>
      <c r="Q13" s="42">
        <f>MAX(0,Q10-Q11-Q12)*'01_Вводные'!$B$169</f>
        <v/>
      </c>
      <c r="R13" s="42">
        <f>MAX(0,R10-R11-R12)*'01_Вводные'!$B$169</f>
        <v/>
      </c>
      <c r="S13" s="42">
        <f>MAX(0,S10-S11-S12)*'01_Вводные'!$B$169</f>
        <v/>
      </c>
      <c r="T13" s="42">
        <f>MAX(0,T10-T11-T12)*'01_Вводные'!$B$169</f>
        <v/>
      </c>
      <c r="U13" s="42">
        <f>MAX(0,U10-U11-U12)*'01_Вводные'!$B$169</f>
        <v/>
      </c>
      <c r="V13" s="42">
        <f>MAX(0,V10-V11-V12)*'01_Вводные'!$B$169</f>
        <v/>
      </c>
      <c r="W13" s="42">
        <f>MAX(0,W10-W11-W12)*'01_Вводные'!$B$169</f>
        <v/>
      </c>
      <c r="X13" s="42">
        <f>MAX(0,X10-X11-X12)*'01_Вводные'!$B$169</f>
        <v/>
      </c>
      <c r="Y13" s="42">
        <f>MAX(0,Y10-Y11-Y12)*'01_Вводные'!$B$169</f>
        <v/>
      </c>
      <c r="Z13" s="42">
        <f>MAX(0,Z10-Z11-Z12)*'01_Вводные'!$B$169</f>
        <v/>
      </c>
      <c r="AA13" s="42">
        <f>MAX(0,AA10-AA11-AA12)*'01_Вводные'!$B$169</f>
        <v/>
      </c>
      <c r="AB13" s="42">
        <f>MAX(0,AB10-AB11-AB12)*'01_Вводные'!$B$169</f>
        <v/>
      </c>
      <c r="AC13" s="42">
        <f>MAX(0,AC10-AC11-AC12)*'01_Вводные'!$B$169</f>
        <v/>
      </c>
      <c r="AD13" s="42">
        <f>MAX(0,AD10-AD11-AD12)*'01_Вводные'!$B$169</f>
        <v/>
      </c>
      <c r="AE13" s="42">
        <f>MAX(0,AE10-AE11-AE12)*'01_Вводные'!$B$169</f>
        <v/>
      </c>
      <c r="AF13" s="42">
        <f>MAX(0,AF10-AF11-AF12)*'01_Вводные'!$B$169</f>
        <v/>
      </c>
      <c r="AG13" s="42">
        <f>MAX(0,AG10-AG11-AG12)*'01_Вводные'!$B$169</f>
        <v/>
      </c>
      <c r="AH13" s="42">
        <f>MAX(0,AH10-AH11-AH12)*'01_Вводные'!$B$169</f>
        <v/>
      </c>
      <c r="AI13" s="42">
        <f>MAX(0,AI10-AI11-AI12)*'01_Вводные'!$B$169</f>
        <v/>
      </c>
      <c r="AJ13" s="42">
        <f>MAX(0,AJ10-AJ11-AJ12)*'01_Вводные'!$B$169</f>
        <v/>
      </c>
      <c r="AK13" s="42">
        <f>MAX(0,AK10-AK11-AK12)*'01_Вводные'!$B$169</f>
        <v/>
      </c>
      <c r="AL13" s="42">
        <f>MAX(0,AL10-AL11-AL12)*'01_Вводные'!$B$169</f>
        <v/>
      </c>
      <c r="AM13" s="42">
        <f>MAX(0,AM10-AM11-AM12)*'01_Вводные'!$B$169</f>
        <v/>
      </c>
      <c r="AN13" s="42">
        <f>MAX(0,AN10-AN11-AN12)*'01_Вводные'!$B$169</f>
        <v/>
      </c>
      <c r="AO13" s="42">
        <f>MAX(0,AO10-AO11-AO12)*'01_Вводные'!$B$169</f>
        <v/>
      </c>
      <c r="AP13" s="42">
        <f>MAX(0,AP10-AP11-AP12)*'01_Вводные'!$B$169</f>
        <v/>
      </c>
      <c r="AQ13" s="42">
        <f>MAX(0,AQ10-AQ11-AQ12)*'01_Вводные'!$B$169</f>
        <v/>
      </c>
      <c r="AR13" s="42">
        <f>MAX(0,AR10-AR11-AR12)*'01_Вводные'!$B$169</f>
        <v/>
      </c>
      <c r="AS13" s="42">
        <f>MAX(0,AS10-AS11-AS12)*'01_Вводные'!$B$169</f>
        <v/>
      </c>
      <c r="AT13" s="42">
        <f>MAX(0,AT10-AT11-AT12)*'01_Вводные'!$B$169</f>
        <v/>
      </c>
      <c r="AU13" s="42">
        <f>MAX(0,AU10-AU11-AU12)*'01_Вводные'!$B$169</f>
        <v/>
      </c>
      <c r="AV13" s="42">
        <f>MAX(0,AV10-AV11-AV12)*'01_Вводные'!$B$169</f>
        <v/>
      </c>
      <c r="AW13" s="42">
        <f>MAX(0,AW10-AW11-AW12)*'01_Вводные'!$B$169</f>
        <v/>
      </c>
      <c r="AX13" s="42">
        <f>MAX(0,AX10-AX11-AX12)*'01_Вводные'!$B$169</f>
        <v/>
      </c>
      <c r="AY13" s="42">
        <f>MAX(0,AY10-AY11-AY12)*'01_Вводные'!$B$169</f>
        <v/>
      </c>
      <c r="AZ13" s="42">
        <f>MAX(0,AZ10-AZ11-AZ12)*'01_Вводные'!$B$169</f>
        <v/>
      </c>
      <c r="BA13" s="42">
        <f>MAX(0,BA10-BA11-BA12)*'01_Вводные'!$B$169</f>
        <v/>
      </c>
      <c r="BB13" s="42">
        <f>MAX(0,BB10-BB11-BB12)*'01_Вводные'!$B$169</f>
        <v/>
      </c>
      <c r="BC13" s="42">
        <f>MAX(0,BC10-BC11-BC12)*'01_Вводные'!$B$169</f>
        <v/>
      </c>
      <c r="BD13" s="42">
        <f>MAX(0,BD10-BD11-BD12)*'01_Вводные'!$B$169</f>
        <v/>
      </c>
      <c r="BE13" s="42">
        <f>MAX(0,BE10-BE11-BE12)*'01_Вводные'!$B$169</f>
        <v/>
      </c>
      <c r="BF13" s="42">
        <f>MAX(0,BF10-BF11-BF12)*'01_Вводные'!$B$169</f>
        <v/>
      </c>
      <c r="BG13" s="42">
        <f>MAX(0,BG10-BG11-BG12)*'01_Вводные'!$B$169</f>
        <v/>
      </c>
      <c r="BH13" s="42">
        <f>MAX(0,BH10-BH11-BH12)*'01_Вводные'!$B$169</f>
        <v/>
      </c>
      <c r="BI13" s="42">
        <f>MAX(0,BI10-BI11-BI12)*'01_Вводные'!$B$169</f>
        <v/>
      </c>
    </row>
    <row r="14">
      <c r="A14" s="10" t="inlineStr">
        <is>
          <t>EBITDA лагеря</t>
        </is>
      </c>
      <c r="B14" s="43">
        <f>B10-B11-B12-B13</f>
        <v/>
      </c>
      <c r="C14" s="43">
        <f>C10-C11-C12-C13</f>
        <v/>
      </c>
      <c r="D14" s="43">
        <f>D10-D11-D12-D13</f>
        <v/>
      </c>
      <c r="E14" s="43">
        <f>E10-E11-E12-E13</f>
        <v/>
      </c>
      <c r="F14" s="43">
        <f>F10-F11-F12-F13</f>
        <v/>
      </c>
      <c r="G14" s="43">
        <f>G10-G11-G12-G13</f>
        <v/>
      </c>
      <c r="H14" s="43">
        <f>H10-H11-H12-H13</f>
        <v/>
      </c>
      <c r="I14" s="43">
        <f>I10-I11-I12-I13</f>
        <v/>
      </c>
      <c r="J14" s="43">
        <f>J10-J11-J12-J13</f>
        <v/>
      </c>
      <c r="K14" s="43">
        <f>K10-K11-K12-K13</f>
        <v/>
      </c>
      <c r="L14" s="43">
        <f>L10-L11-L12-L13</f>
        <v/>
      </c>
      <c r="M14" s="43">
        <f>M10-M11-M12-M13</f>
        <v/>
      </c>
      <c r="N14" s="43">
        <f>N10-N11-N12-N13</f>
        <v/>
      </c>
      <c r="O14" s="43">
        <f>O10-O11-O12-O13</f>
        <v/>
      </c>
      <c r="P14" s="43">
        <f>P10-P11-P12-P13</f>
        <v/>
      </c>
      <c r="Q14" s="43">
        <f>Q10-Q11-Q12-Q13</f>
        <v/>
      </c>
      <c r="R14" s="43">
        <f>R10-R11-R12-R13</f>
        <v/>
      </c>
      <c r="S14" s="43">
        <f>S10-S11-S12-S13</f>
        <v/>
      </c>
      <c r="T14" s="43">
        <f>T10-T11-T12-T13</f>
        <v/>
      </c>
      <c r="U14" s="43">
        <f>U10-U11-U12-U13</f>
        <v/>
      </c>
      <c r="V14" s="43">
        <f>V10-V11-V12-V13</f>
        <v/>
      </c>
      <c r="W14" s="43">
        <f>W10-W11-W12-W13</f>
        <v/>
      </c>
      <c r="X14" s="43">
        <f>X10-X11-X12-X13</f>
        <v/>
      </c>
      <c r="Y14" s="43">
        <f>Y10-Y11-Y12-Y13</f>
        <v/>
      </c>
      <c r="Z14" s="43">
        <f>Z10-Z11-Z12-Z13</f>
        <v/>
      </c>
      <c r="AA14" s="43">
        <f>AA10-AA11-AA12-AA13</f>
        <v/>
      </c>
      <c r="AB14" s="43">
        <f>AB10-AB11-AB12-AB13</f>
        <v/>
      </c>
      <c r="AC14" s="43">
        <f>AC10-AC11-AC12-AC13</f>
        <v/>
      </c>
      <c r="AD14" s="43">
        <f>AD10-AD11-AD12-AD13</f>
        <v/>
      </c>
      <c r="AE14" s="43">
        <f>AE10-AE11-AE12-AE13</f>
        <v/>
      </c>
      <c r="AF14" s="43">
        <f>AF10-AF11-AF12-AF13</f>
        <v/>
      </c>
      <c r="AG14" s="43">
        <f>AG10-AG11-AG12-AG13</f>
        <v/>
      </c>
      <c r="AH14" s="43">
        <f>AH10-AH11-AH12-AH13</f>
        <v/>
      </c>
      <c r="AI14" s="43">
        <f>AI10-AI11-AI12-AI13</f>
        <v/>
      </c>
      <c r="AJ14" s="43">
        <f>AJ10-AJ11-AJ12-AJ13</f>
        <v/>
      </c>
      <c r="AK14" s="43">
        <f>AK10-AK11-AK12-AK13</f>
        <v/>
      </c>
      <c r="AL14" s="43">
        <f>AL10-AL11-AL12-AL13</f>
        <v/>
      </c>
      <c r="AM14" s="43">
        <f>AM10-AM11-AM12-AM13</f>
        <v/>
      </c>
      <c r="AN14" s="43">
        <f>AN10-AN11-AN12-AN13</f>
        <v/>
      </c>
      <c r="AO14" s="43">
        <f>AO10-AO11-AO12-AO13</f>
        <v/>
      </c>
      <c r="AP14" s="43">
        <f>AP10-AP11-AP12-AP13</f>
        <v/>
      </c>
      <c r="AQ14" s="43">
        <f>AQ10-AQ11-AQ12-AQ13</f>
        <v/>
      </c>
      <c r="AR14" s="43">
        <f>AR10-AR11-AR12-AR13</f>
        <v/>
      </c>
      <c r="AS14" s="43">
        <f>AS10-AS11-AS12-AS13</f>
        <v/>
      </c>
      <c r="AT14" s="43">
        <f>AT10-AT11-AT12-AT13</f>
        <v/>
      </c>
      <c r="AU14" s="43">
        <f>AU10-AU11-AU12-AU13</f>
        <v/>
      </c>
      <c r="AV14" s="43">
        <f>AV10-AV11-AV12-AV13</f>
        <v/>
      </c>
      <c r="AW14" s="43">
        <f>AW10-AW11-AW12-AW13</f>
        <v/>
      </c>
      <c r="AX14" s="43">
        <f>AX10-AX11-AX12-AX13</f>
        <v/>
      </c>
      <c r="AY14" s="43">
        <f>AY10-AY11-AY12-AY13</f>
        <v/>
      </c>
      <c r="AZ14" s="43">
        <f>AZ10-AZ11-AZ12-AZ13</f>
        <v/>
      </c>
      <c r="BA14" s="43">
        <f>BA10-BA11-BA12-BA13</f>
        <v/>
      </c>
      <c r="BB14" s="43">
        <f>BB10-BB11-BB12-BB13</f>
        <v/>
      </c>
      <c r="BC14" s="43">
        <f>BC10-BC11-BC12-BC13</f>
        <v/>
      </c>
      <c r="BD14" s="43">
        <f>BD10-BD11-BD12-BD13</f>
        <v/>
      </c>
      <c r="BE14" s="43">
        <f>BE10-BE11-BE12-BE13</f>
        <v/>
      </c>
      <c r="BF14" s="43">
        <f>BF10-BF11-BF12-BF13</f>
        <v/>
      </c>
      <c r="BG14" s="43">
        <f>BG10-BG11-BG12-BG13</f>
        <v/>
      </c>
      <c r="BH14" s="43">
        <f>BH10-BH11-BH12-BH13</f>
        <v/>
      </c>
      <c r="BI14" s="43">
        <f>BI10-BI11-BI12-BI13</f>
        <v/>
      </c>
    </row>
    <row r="15" ht="20" customHeight="1">
      <c r="A15" s="4" t="inlineStr">
        <is>
          <t>Денежные расходы</t>
        </is>
      </c>
    </row>
    <row r="16">
      <c r="A16" s="2" t="inlineStr">
        <is>
          <t>Оплата проживания 40%</t>
        </is>
      </c>
      <c r="B16" s="95">
        <f>IF(AND('01_Вводные'!$B$241="Да",MONTH(B$3)='01_Вводные'!$B$175),'01_Вводные'!$B$170*'01_Вводные'!$B$161*'01_Вводные'!$B$174,0)</f>
        <v/>
      </c>
      <c r="C16" s="95">
        <f>IF(AND('01_Вводные'!$B$241="Да",MONTH(C$3)='01_Вводные'!$B$175),'01_Вводные'!$B$170*'01_Вводные'!$B$161*'01_Вводные'!$B$174,0)</f>
        <v/>
      </c>
      <c r="D16" s="95">
        <f>IF(AND('01_Вводные'!$B$241="Да",MONTH(D$3)='01_Вводные'!$B$175),'01_Вводные'!$B$170*'01_Вводные'!$B$161*'01_Вводные'!$B$174,0)</f>
        <v/>
      </c>
      <c r="E16" s="95">
        <f>IF(AND('01_Вводные'!$B$241="Да",MONTH(E$3)='01_Вводные'!$B$175),'01_Вводные'!$B$170*'01_Вводные'!$B$161*'01_Вводные'!$B$174,0)</f>
        <v/>
      </c>
      <c r="F16" s="95">
        <f>IF(AND('01_Вводные'!$B$241="Да",MONTH(F$3)='01_Вводные'!$B$175),'01_Вводные'!$B$170*'01_Вводные'!$B$161*'01_Вводные'!$B$174,0)</f>
        <v/>
      </c>
      <c r="G16" s="95">
        <f>IF(AND('01_Вводные'!$B$241="Да",MONTH(G$3)='01_Вводные'!$B$175),'01_Вводные'!$B$170*'01_Вводные'!$B$161*'01_Вводные'!$B$174,0)</f>
        <v/>
      </c>
      <c r="H16" s="95">
        <f>IF(AND('01_Вводные'!$B$241="Да",MONTH(H$3)='01_Вводные'!$B$175),'01_Вводные'!$B$170*'01_Вводные'!$B$161*'01_Вводные'!$B$174,0)</f>
        <v/>
      </c>
      <c r="I16" s="95">
        <f>IF(AND('01_Вводные'!$B$241="Да",MONTH(I$3)='01_Вводные'!$B$175),'01_Вводные'!$B$170*'01_Вводные'!$B$161*'01_Вводные'!$B$174,0)</f>
        <v/>
      </c>
      <c r="J16" s="95">
        <f>IF(AND('01_Вводные'!$B$241="Да",MONTH(J$3)='01_Вводные'!$B$175),'01_Вводные'!$B$170*'01_Вводные'!$B$161*'01_Вводные'!$B$174,0)</f>
        <v/>
      </c>
      <c r="K16" s="95">
        <f>IF(AND('01_Вводные'!$B$241="Да",MONTH(K$3)='01_Вводные'!$B$175),'01_Вводные'!$B$170*'01_Вводные'!$B$161*'01_Вводные'!$B$174,0)</f>
        <v/>
      </c>
      <c r="L16" s="95">
        <f>IF(AND('01_Вводные'!$B$241="Да",MONTH(L$3)='01_Вводные'!$B$175),'01_Вводные'!$B$170*'01_Вводные'!$B$161*'01_Вводные'!$B$174,0)</f>
        <v/>
      </c>
      <c r="M16" s="95">
        <f>IF(AND('01_Вводные'!$B$241="Да",MONTH(M$3)='01_Вводные'!$B$175),'01_Вводные'!$B$170*'01_Вводные'!$B$161*'01_Вводные'!$B$174,0)</f>
        <v/>
      </c>
      <c r="N16" s="95">
        <f>IF(AND('01_Вводные'!$B$241="Да",MONTH(N$3)='01_Вводные'!$B$175),'01_Вводные'!$B$170*'01_Вводные'!$B$161*'01_Вводные'!$B$174,0)</f>
        <v/>
      </c>
      <c r="O16" s="95">
        <f>IF(AND('01_Вводные'!$B$241="Да",MONTH(O$3)='01_Вводные'!$B$175),'01_Вводные'!$B$170*'01_Вводные'!$B$161*'01_Вводные'!$B$174,0)</f>
        <v/>
      </c>
      <c r="P16" s="95">
        <f>IF(AND('01_Вводные'!$B$241="Да",MONTH(P$3)='01_Вводные'!$B$175),'01_Вводные'!$B$170*'01_Вводные'!$B$161*'01_Вводные'!$B$174,0)</f>
        <v/>
      </c>
      <c r="Q16" s="95">
        <f>IF(AND('01_Вводные'!$B$241="Да",MONTH(Q$3)='01_Вводные'!$B$175),'01_Вводные'!$B$170*'01_Вводные'!$B$161*'01_Вводные'!$B$174,0)</f>
        <v/>
      </c>
      <c r="R16" s="95">
        <f>IF(AND('01_Вводные'!$B$241="Да",MONTH(R$3)='01_Вводные'!$B$175),'01_Вводные'!$B$170*'01_Вводные'!$B$161*'01_Вводные'!$B$174,0)</f>
        <v/>
      </c>
      <c r="S16" s="95">
        <f>IF(AND('01_Вводные'!$B$241="Да",MONTH(S$3)='01_Вводные'!$B$175),'01_Вводные'!$B$170*'01_Вводные'!$B$161*'01_Вводные'!$B$174,0)</f>
        <v/>
      </c>
      <c r="T16" s="95">
        <f>IF(AND('01_Вводные'!$B$241="Да",MONTH(T$3)='01_Вводные'!$B$175),'01_Вводные'!$B$170*'01_Вводные'!$B$161*'01_Вводные'!$B$174,0)</f>
        <v/>
      </c>
      <c r="U16" s="95">
        <f>IF(AND('01_Вводные'!$B$241="Да",MONTH(U$3)='01_Вводные'!$B$175),'01_Вводные'!$B$170*'01_Вводные'!$B$161*'01_Вводные'!$B$174,0)</f>
        <v/>
      </c>
      <c r="V16" s="95">
        <f>IF(AND('01_Вводные'!$B$241="Да",MONTH(V$3)='01_Вводные'!$B$175),'01_Вводные'!$B$170*'01_Вводные'!$B$161*'01_Вводные'!$B$174,0)</f>
        <v/>
      </c>
      <c r="W16" s="95">
        <f>IF(AND('01_Вводные'!$B$241="Да",MONTH(W$3)='01_Вводные'!$B$175),'01_Вводные'!$B$170*'01_Вводные'!$B$161*'01_Вводные'!$B$174,0)</f>
        <v/>
      </c>
      <c r="X16" s="95">
        <f>IF(AND('01_Вводные'!$B$241="Да",MONTH(X$3)='01_Вводные'!$B$175),'01_Вводные'!$B$170*'01_Вводные'!$B$161*'01_Вводные'!$B$174,0)</f>
        <v/>
      </c>
      <c r="Y16" s="95">
        <f>IF(AND('01_Вводные'!$B$241="Да",MONTH(Y$3)='01_Вводные'!$B$175),'01_Вводные'!$B$170*'01_Вводные'!$B$161*'01_Вводные'!$B$174,0)</f>
        <v/>
      </c>
      <c r="Z16" s="95">
        <f>IF(AND('01_Вводные'!$B$241="Да",MONTH(Z$3)='01_Вводные'!$B$175),'01_Вводные'!$B$170*'01_Вводные'!$B$161*'01_Вводные'!$B$174,0)</f>
        <v/>
      </c>
      <c r="AA16" s="95">
        <f>IF(AND('01_Вводные'!$B$241="Да",MONTH(AA$3)='01_Вводные'!$B$175),'01_Вводные'!$B$170*'01_Вводные'!$B$161*'01_Вводные'!$B$174,0)</f>
        <v/>
      </c>
      <c r="AB16" s="95">
        <f>IF(AND('01_Вводные'!$B$241="Да",MONTH(AB$3)='01_Вводные'!$B$175),'01_Вводные'!$B$170*'01_Вводные'!$B$161*'01_Вводные'!$B$174,0)</f>
        <v/>
      </c>
      <c r="AC16" s="95">
        <f>IF(AND('01_Вводные'!$B$241="Да",MONTH(AC$3)='01_Вводные'!$B$175),'01_Вводные'!$B$170*'01_Вводные'!$B$161*'01_Вводные'!$B$174,0)</f>
        <v/>
      </c>
      <c r="AD16" s="95">
        <f>IF(AND('01_Вводные'!$B$241="Да",MONTH(AD$3)='01_Вводные'!$B$175),'01_Вводные'!$B$170*'01_Вводные'!$B$161*'01_Вводные'!$B$174,0)</f>
        <v/>
      </c>
      <c r="AE16" s="95">
        <f>IF(AND('01_Вводные'!$B$241="Да",MONTH(AE$3)='01_Вводные'!$B$175),'01_Вводные'!$B$170*'01_Вводные'!$B$161*'01_Вводные'!$B$174,0)</f>
        <v/>
      </c>
      <c r="AF16" s="95">
        <f>IF(AND('01_Вводные'!$B$241="Да",MONTH(AF$3)='01_Вводные'!$B$175),'01_Вводные'!$B$170*'01_Вводные'!$B$161*'01_Вводные'!$B$174,0)</f>
        <v/>
      </c>
      <c r="AG16" s="95">
        <f>IF(AND('01_Вводные'!$B$241="Да",MONTH(AG$3)='01_Вводные'!$B$175),'01_Вводные'!$B$170*'01_Вводные'!$B$161*'01_Вводные'!$B$174,0)</f>
        <v/>
      </c>
      <c r="AH16" s="95">
        <f>IF(AND('01_Вводные'!$B$241="Да",MONTH(AH$3)='01_Вводные'!$B$175),'01_Вводные'!$B$170*'01_Вводные'!$B$161*'01_Вводные'!$B$174,0)</f>
        <v/>
      </c>
      <c r="AI16" s="95">
        <f>IF(AND('01_Вводные'!$B$241="Да",MONTH(AI$3)='01_Вводные'!$B$175),'01_Вводные'!$B$170*'01_Вводные'!$B$161*'01_Вводные'!$B$174,0)</f>
        <v/>
      </c>
      <c r="AJ16" s="95">
        <f>IF(AND('01_Вводные'!$B$241="Да",MONTH(AJ$3)='01_Вводные'!$B$175),'01_Вводные'!$B$170*'01_Вводные'!$B$161*'01_Вводные'!$B$174,0)</f>
        <v/>
      </c>
      <c r="AK16" s="95">
        <f>IF(AND('01_Вводные'!$B$241="Да",MONTH(AK$3)='01_Вводные'!$B$175),'01_Вводные'!$B$170*'01_Вводные'!$B$161*'01_Вводные'!$B$174,0)</f>
        <v/>
      </c>
      <c r="AL16" s="95">
        <f>IF(AND('01_Вводные'!$B$241="Да",MONTH(AL$3)='01_Вводные'!$B$175),'01_Вводные'!$B$170*'01_Вводные'!$B$161*'01_Вводные'!$B$174,0)</f>
        <v/>
      </c>
      <c r="AM16" s="95">
        <f>IF(AND('01_Вводные'!$B$241="Да",MONTH(AM$3)='01_Вводные'!$B$175),'01_Вводные'!$B$170*'01_Вводные'!$B$161*'01_Вводные'!$B$174,0)</f>
        <v/>
      </c>
      <c r="AN16" s="95">
        <f>IF(AND('01_Вводные'!$B$241="Да",MONTH(AN$3)='01_Вводные'!$B$175),'01_Вводные'!$B$170*'01_Вводные'!$B$161*'01_Вводные'!$B$174,0)</f>
        <v/>
      </c>
      <c r="AO16" s="95">
        <f>IF(AND('01_Вводные'!$B$241="Да",MONTH(AO$3)='01_Вводные'!$B$175),'01_Вводные'!$B$170*'01_Вводные'!$B$161*'01_Вводные'!$B$174,0)</f>
        <v/>
      </c>
      <c r="AP16" s="95">
        <f>IF(AND('01_Вводные'!$B$241="Да",MONTH(AP$3)='01_Вводные'!$B$175),'01_Вводные'!$B$170*'01_Вводные'!$B$161*'01_Вводные'!$B$174,0)</f>
        <v/>
      </c>
      <c r="AQ16" s="95">
        <f>IF(AND('01_Вводные'!$B$241="Да",MONTH(AQ$3)='01_Вводные'!$B$175),'01_Вводные'!$B$170*'01_Вводные'!$B$161*'01_Вводные'!$B$174,0)</f>
        <v/>
      </c>
      <c r="AR16" s="95">
        <f>IF(AND('01_Вводные'!$B$241="Да",MONTH(AR$3)='01_Вводные'!$B$175),'01_Вводные'!$B$170*'01_Вводные'!$B$161*'01_Вводные'!$B$174,0)</f>
        <v/>
      </c>
      <c r="AS16" s="95">
        <f>IF(AND('01_Вводные'!$B$241="Да",MONTH(AS$3)='01_Вводные'!$B$175),'01_Вводные'!$B$170*'01_Вводные'!$B$161*'01_Вводные'!$B$174,0)</f>
        <v/>
      </c>
      <c r="AT16" s="95">
        <f>IF(AND('01_Вводные'!$B$241="Да",MONTH(AT$3)='01_Вводные'!$B$175),'01_Вводные'!$B$170*'01_Вводные'!$B$161*'01_Вводные'!$B$174,0)</f>
        <v/>
      </c>
      <c r="AU16" s="95">
        <f>IF(AND('01_Вводные'!$B$241="Да",MONTH(AU$3)='01_Вводные'!$B$175),'01_Вводные'!$B$170*'01_Вводные'!$B$161*'01_Вводные'!$B$174,0)</f>
        <v/>
      </c>
      <c r="AV16" s="95">
        <f>IF(AND('01_Вводные'!$B$241="Да",MONTH(AV$3)='01_Вводные'!$B$175),'01_Вводные'!$B$170*'01_Вводные'!$B$161*'01_Вводные'!$B$174,0)</f>
        <v/>
      </c>
      <c r="AW16" s="95">
        <f>IF(AND('01_Вводные'!$B$241="Да",MONTH(AW$3)='01_Вводные'!$B$175),'01_Вводные'!$B$170*'01_Вводные'!$B$161*'01_Вводные'!$B$174,0)</f>
        <v/>
      </c>
      <c r="AX16" s="95">
        <f>IF(AND('01_Вводные'!$B$241="Да",MONTH(AX$3)='01_Вводные'!$B$175),'01_Вводные'!$B$170*'01_Вводные'!$B$161*'01_Вводные'!$B$174,0)</f>
        <v/>
      </c>
      <c r="AY16" s="95">
        <f>IF(AND('01_Вводные'!$B$241="Да",MONTH(AY$3)='01_Вводные'!$B$175),'01_Вводные'!$B$170*'01_Вводные'!$B$161*'01_Вводные'!$B$174,0)</f>
        <v/>
      </c>
      <c r="AZ16" s="95">
        <f>IF(AND('01_Вводные'!$B$241="Да",MONTH(AZ$3)='01_Вводные'!$B$175),'01_Вводные'!$B$170*'01_Вводные'!$B$161*'01_Вводные'!$B$174,0)</f>
        <v/>
      </c>
      <c r="BA16" s="95">
        <f>IF(AND('01_Вводные'!$B$241="Да",MONTH(BA$3)='01_Вводные'!$B$175),'01_Вводные'!$B$170*'01_Вводные'!$B$161*'01_Вводные'!$B$174,0)</f>
        <v/>
      </c>
      <c r="BB16" s="95">
        <f>IF(AND('01_Вводные'!$B$241="Да",MONTH(BB$3)='01_Вводные'!$B$175),'01_Вводные'!$B$170*'01_Вводные'!$B$161*'01_Вводные'!$B$174,0)</f>
        <v/>
      </c>
      <c r="BC16" s="95">
        <f>IF(AND('01_Вводные'!$B$241="Да",MONTH(BC$3)='01_Вводные'!$B$175),'01_Вводные'!$B$170*'01_Вводные'!$B$161*'01_Вводные'!$B$174,0)</f>
        <v/>
      </c>
      <c r="BD16" s="95">
        <f>IF(AND('01_Вводные'!$B$241="Да",MONTH(BD$3)='01_Вводные'!$B$175),'01_Вводные'!$B$170*'01_Вводные'!$B$161*'01_Вводные'!$B$174,0)</f>
        <v/>
      </c>
      <c r="BE16" s="95">
        <f>IF(AND('01_Вводные'!$B$241="Да",MONTH(BE$3)='01_Вводные'!$B$175),'01_Вводные'!$B$170*'01_Вводные'!$B$161*'01_Вводные'!$B$174,0)</f>
        <v/>
      </c>
      <c r="BF16" s="95">
        <f>IF(AND('01_Вводные'!$B$241="Да",MONTH(BF$3)='01_Вводные'!$B$175),'01_Вводные'!$B$170*'01_Вводные'!$B$161*'01_Вводные'!$B$174,0)</f>
        <v/>
      </c>
      <c r="BG16" s="95">
        <f>IF(AND('01_Вводные'!$B$241="Да",MONTH(BG$3)='01_Вводные'!$B$175),'01_Вводные'!$B$170*'01_Вводные'!$B$161*'01_Вводные'!$B$174,0)</f>
        <v/>
      </c>
      <c r="BH16" s="95">
        <f>IF(AND('01_Вводные'!$B$241="Да",MONTH(BH$3)='01_Вводные'!$B$175),'01_Вводные'!$B$170*'01_Вводные'!$B$161*'01_Вводные'!$B$174,0)</f>
        <v/>
      </c>
      <c r="BI16" s="95">
        <f>IF(AND('01_Вводные'!$B$241="Да",MONTH(BI$3)='01_Вводные'!$B$175),'01_Вводные'!$B$170*'01_Вводные'!$B$161*'01_Вводные'!$B$174,0)</f>
        <v/>
      </c>
    </row>
    <row r="17">
      <c r="A17" s="2" t="inlineStr">
        <is>
          <t>Оплата проживания 60%</t>
        </is>
      </c>
      <c r="B17" s="95">
        <f>IF(AND('01_Вводные'!$B$241="Да",MONTH(B$3)='01_Вводные'!$B$177),'01_Вводные'!$B$170*'01_Вводные'!$B$161*'01_Вводные'!$B$176,0)</f>
        <v/>
      </c>
      <c r="C17" s="95">
        <f>IF(AND('01_Вводные'!$B$241="Да",MONTH(C$3)='01_Вводные'!$B$177),'01_Вводные'!$B$170*'01_Вводные'!$B$161*'01_Вводные'!$B$176,0)</f>
        <v/>
      </c>
      <c r="D17" s="95">
        <f>IF(AND('01_Вводные'!$B$241="Да",MONTH(D$3)='01_Вводные'!$B$177),'01_Вводные'!$B$170*'01_Вводные'!$B$161*'01_Вводные'!$B$176,0)</f>
        <v/>
      </c>
      <c r="E17" s="95">
        <f>IF(AND('01_Вводные'!$B$241="Да",MONTH(E$3)='01_Вводные'!$B$177),'01_Вводные'!$B$170*'01_Вводные'!$B$161*'01_Вводные'!$B$176,0)</f>
        <v/>
      </c>
      <c r="F17" s="95">
        <f>IF(AND('01_Вводные'!$B$241="Да",MONTH(F$3)='01_Вводные'!$B$177),'01_Вводные'!$B$170*'01_Вводные'!$B$161*'01_Вводные'!$B$176,0)</f>
        <v/>
      </c>
      <c r="G17" s="95">
        <f>IF(AND('01_Вводные'!$B$241="Да",MONTH(G$3)='01_Вводные'!$B$177),'01_Вводные'!$B$170*'01_Вводные'!$B$161*'01_Вводные'!$B$176,0)</f>
        <v/>
      </c>
      <c r="H17" s="95">
        <f>IF(AND('01_Вводные'!$B$241="Да",MONTH(H$3)='01_Вводные'!$B$177),'01_Вводные'!$B$170*'01_Вводные'!$B$161*'01_Вводные'!$B$176,0)</f>
        <v/>
      </c>
      <c r="I17" s="95">
        <f>IF(AND('01_Вводные'!$B$241="Да",MONTH(I$3)='01_Вводные'!$B$177),'01_Вводные'!$B$170*'01_Вводные'!$B$161*'01_Вводные'!$B$176,0)</f>
        <v/>
      </c>
      <c r="J17" s="95">
        <f>IF(AND('01_Вводные'!$B$241="Да",MONTH(J$3)='01_Вводные'!$B$177),'01_Вводные'!$B$170*'01_Вводные'!$B$161*'01_Вводные'!$B$176,0)</f>
        <v/>
      </c>
      <c r="K17" s="95">
        <f>IF(AND('01_Вводные'!$B$241="Да",MONTH(K$3)='01_Вводные'!$B$177),'01_Вводные'!$B$170*'01_Вводные'!$B$161*'01_Вводные'!$B$176,0)</f>
        <v/>
      </c>
      <c r="L17" s="95">
        <f>IF(AND('01_Вводные'!$B$241="Да",MONTH(L$3)='01_Вводные'!$B$177),'01_Вводные'!$B$170*'01_Вводные'!$B$161*'01_Вводные'!$B$176,0)</f>
        <v/>
      </c>
      <c r="M17" s="95">
        <f>IF(AND('01_Вводные'!$B$241="Да",MONTH(M$3)='01_Вводные'!$B$177),'01_Вводные'!$B$170*'01_Вводные'!$B$161*'01_Вводные'!$B$176,0)</f>
        <v/>
      </c>
      <c r="N17" s="95">
        <f>IF(AND('01_Вводные'!$B$241="Да",MONTH(N$3)='01_Вводные'!$B$177),'01_Вводные'!$B$170*'01_Вводные'!$B$161*'01_Вводные'!$B$176,0)</f>
        <v/>
      </c>
      <c r="O17" s="95">
        <f>IF(AND('01_Вводные'!$B$241="Да",MONTH(O$3)='01_Вводные'!$B$177),'01_Вводные'!$B$170*'01_Вводные'!$B$161*'01_Вводные'!$B$176,0)</f>
        <v/>
      </c>
      <c r="P17" s="95">
        <f>IF(AND('01_Вводные'!$B$241="Да",MONTH(P$3)='01_Вводные'!$B$177),'01_Вводные'!$B$170*'01_Вводные'!$B$161*'01_Вводные'!$B$176,0)</f>
        <v/>
      </c>
      <c r="Q17" s="95">
        <f>IF(AND('01_Вводные'!$B$241="Да",MONTH(Q$3)='01_Вводные'!$B$177),'01_Вводные'!$B$170*'01_Вводные'!$B$161*'01_Вводные'!$B$176,0)</f>
        <v/>
      </c>
      <c r="R17" s="95">
        <f>IF(AND('01_Вводные'!$B$241="Да",MONTH(R$3)='01_Вводные'!$B$177),'01_Вводные'!$B$170*'01_Вводные'!$B$161*'01_Вводные'!$B$176,0)</f>
        <v/>
      </c>
      <c r="S17" s="95">
        <f>IF(AND('01_Вводные'!$B$241="Да",MONTH(S$3)='01_Вводные'!$B$177),'01_Вводные'!$B$170*'01_Вводные'!$B$161*'01_Вводные'!$B$176,0)</f>
        <v/>
      </c>
      <c r="T17" s="95">
        <f>IF(AND('01_Вводные'!$B$241="Да",MONTH(T$3)='01_Вводные'!$B$177),'01_Вводные'!$B$170*'01_Вводные'!$B$161*'01_Вводные'!$B$176,0)</f>
        <v/>
      </c>
      <c r="U17" s="95">
        <f>IF(AND('01_Вводные'!$B$241="Да",MONTH(U$3)='01_Вводные'!$B$177),'01_Вводные'!$B$170*'01_Вводные'!$B$161*'01_Вводные'!$B$176,0)</f>
        <v/>
      </c>
      <c r="V17" s="95">
        <f>IF(AND('01_Вводные'!$B$241="Да",MONTH(V$3)='01_Вводные'!$B$177),'01_Вводные'!$B$170*'01_Вводные'!$B$161*'01_Вводные'!$B$176,0)</f>
        <v/>
      </c>
      <c r="W17" s="95">
        <f>IF(AND('01_Вводные'!$B$241="Да",MONTH(W$3)='01_Вводные'!$B$177),'01_Вводные'!$B$170*'01_Вводные'!$B$161*'01_Вводные'!$B$176,0)</f>
        <v/>
      </c>
      <c r="X17" s="95">
        <f>IF(AND('01_Вводные'!$B$241="Да",MONTH(X$3)='01_Вводные'!$B$177),'01_Вводные'!$B$170*'01_Вводные'!$B$161*'01_Вводные'!$B$176,0)</f>
        <v/>
      </c>
      <c r="Y17" s="95">
        <f>IF(AND('01_Вводные'!$B$241="Да",MONTH(Y$3)='01_Вводные'!$B$177),'01_Вводные'!$B$170*'01_Вводные'!$B$161*'01_Вводные'!$B$176,0)</f>
        <v/>
      </c>
      <c r="Z17" s="95">
        <f>IF(AND('01_Вводные'!$B$241="Да",MONTH(Z$3)='01_Вводные'!$B$177),'01_Вводные'!$B$170*'01_Вводные'!$B$161*'01_Вводные'!$B$176,0)</f>
        <v/>
      </c>
      <c r="AA17" s="95">
        <f>IF(AND('01_Вводные'!$B$241="Да",MONTH(AA$3)='01_Вводные'!$B$177),'01_Вводные'!$B$170*'01_Вводные'!$B$161*'01_Вводные'!$B$176,0)</f>
        <v/>
      </c>
      <c r="AB17" s="95">
        <f>IF(AND('01_Вводные'!$B$241="Да",MONTH(AB$3)='01_Вводные'!$B$177),'01_Вводные'!$B$170*'01_Вводные'!$B$161*'01_Вводные'!$B$176,0)</f>
        <v/>
      </c>
      <c r="AC17" s="95">
        <f>IF(AND('01_Вводные'!$B$241="Да",MONTH(AC$3)='01_Вводные'!$B$177),'01_Вводные'!$B$170*'01_Вводные'!$B$161*'01_Вводные'!$B$176,0)</f>
        <v/>
      </c>
      <c r="AD17" s="95">
        <f>IF(AND('01_Вводные'!$B$241="Да",MONTH(AD$3)='01_Вводные'!$B$177),'01_Вводные'!$B$170*'01_Вводные'!$B$161*'01_Вводные'!$B$176,0)</f>
        <v/>
      </c>
      <c r="AE17" s="95">
        <f>IF(AND('01_Вводные'!$B$241="Да",MONTH(AE$3)='01_Вводные'!$B$177),'01_Вводные'!$B$170*'01_Вводные'!$B$161*'01_Вводные'!$B$176,0)</f>
        <v/>
      </c>
      <c r="AF17" s="95">
        <f>IF(AND('01_Вводные'!$B$241="Да",MONTH(AF$3)='01_Вводные'!$B$177),'01_Вводные'!$B$170*'01_Вводные'!$B$161*'01_Вводные'!$B$176,0)</f>
        <v/>
      </c>
      <c r="AG17" s="95">
        <f>IF(AND('01_Вводные'!$B$241="Да",MONTH(AG$3)='01_Вводные'!$B$177),'01_Вводные'!$B$170*'01_Вводные'!$B$161*'01_Вводные'!$B$176,0)</f>
        <v/>
      </c>
      <c r="AH17" s="95">
        <f>IF(AND('01_Вводные'!$B$241="Да",MONTH(AH$3)='01_Вводные'!$B$177),'01_Вводные'!$B$170*'01_Вводные'!$B$161*'01_Вводные'!$B$176,0)</f>
        <v/>
      </c>
      <c r="AI17" s="95">
        <f>IF(AND('01_Вводные'!$B$241="Да",MONTH(AI$3)='01_Вводные'!$B$177),'01_Вводные'!$B$170*'01_Вводные'!$B$161*'01_Вводные'!$B$176,0)</f>
        <v/>
      </c>
      <c r="AJ17" s="95">
        <f>IF(AND('01_Вводные'!$B$241="Да",MONTH(AJ$3)='01_Вводные'!$B$177),'01_Вводные'!$B$170*'01_Вводные'!$B$161*'01_Вводные'!$B$176,0)</f>
        <v/>
      </c>
      <c r="AK17" s="95">
        <f>IF(AND('01_Вводные'!$B$241="Да",MONTH(AK$3)='01_Вводные'!$B$177),'01_Вводные'!$B$170*'01_Вводные'!$B$161*'01_Вводные'!$B$176,0)</f>
        <v/>
      </c>
      <c r="AL17" s="95">
        <f>IF(AND('01_Вводные'!$B$241="Да",MONTH(AL$3)='01_Вводные'!$B$177),'01_Вводные'!$B$170*'01_Вводные'!$B$161*'01_Вводные'!$B$176,0)</f>
        <v/>
      </c>
      <c r="AM17" s="95">
        <f>IF(AND('01_Вводные'!$B$241="Да",MONTH(AM$3)='01_Вводные'!$B$177),'01_Вводные'!$B$170*'01_Вводные'!$B$161*'01_Вводные'!$B$176,0)</f>
        <v/>
      </c>
      <c r="AN17" s="95">
        <f>IF(AND('01_Вводные'!$B$241="Да",MONTH(AN$3)='01_Вводные'!$B$177),'01_Вводные'!$B$170*'01_Вводные'!$B$161*'01_Вводные'!$B$176,0)</f>
        <v/>
      </c>
      <c r="AO17" s="95">
        <f>IF(AND('01_Вводные'!$B$241="Да",MONTH(AO$3)='01_Вводные'!$B$177),'01_Вводные'!$B$170*'01_Вводные'!$B$161*'01_Вводные'!$B$176,0)</f>
        <v/>
      </c>
      <c r="AP17" s="95">
        <f>IF(AND('01_Вводные'!$B$241="Да",MONTH(AP$3)='01_Вводные'!$B$177),'01_Вводные'!$B$170*'01_Вводные'!$B$161*'01_Вводные'!$B$176,0)</f>
        <v/>
      </c>
      <c r="AQ17" s="95">
        <f>IF(AND('01_Вводные'!$B$241="Да",MONTH(AQ$3)='01_Вводные'!$B$177),'01_Вводные'!$B$170*'01_Вводные'!$B$161*'01_Вводные'!$B$176,0)</f>
        <v/>
      </c>
      <c r="AR17" s="95">
        <f>IF(AND('01_Вводные'!$B$241="Да",MONTH(AR$3)='01_Вводные'!$B$177),'01_Вводные'!$B$170*'01_Вводные'!$B$161*'01_Вводные'!$B$176,0)</f>
        <v/>
      </c>
      <c r="AS17" s="95">
        <f>IF(AND('01_Вводные'!$B$241="Да",MONTH(AS$3)='01_Вводные'!$B$177),'01_Вводные'!$B$170*'01_Вводные'!$B$161*'01_Вводные'!$B$176,0)</f>
        <v/>
      </c>
      <c r="AT17" s="95">
        <f>IF(AND('01_Вводные'!$B$241="Да",MONTH(AT$3)='01_Вводные'!$B$177),'01_Вводные'!$B$170*'01_Вводные'!$B$161*'01_Вводные'!$B$176,0)</f>
        <v/>
      </c>
      <c r="AU17" s="95">
        <f>IF(AND('01_Вводные'!$B$241="Да",MONTH(AU$3)='01_Вводные'!$B$177),'01_Вводные'!$B$170*'01_Вводные'!$B$161*'01_Вводные'!$B$176,0)</f>
        <v/>
      </c>
      <c r="AV17" s="95">
        <f>IF(AND('01_Вводные'!$B$241="Да",MONTH(AV$3)='01_Вводные'!$B$177),'01_Вводные'!$B$170*'01_Вводные'!$B$161*'01_Вводные'!$B$176,0)</f>
        <v/>
      </c>
      <c r="AW17" s="95">
        <f>IF(AND('01_Вводные'!$B$241="Да",MONTH(AW$3)='01_Вводные'!$B$177),'01_Вводные'!$B$170*'01_Вводные'!$B$161*'01_Вводные'!$B$176,0)</f>
        <v/>
      </c>
      <c r="AX17" s="95">
        <f>IF(AND('01_Вводные'!$B$241="Да",MONTH(AX$3)='01_Вводные'!$B$177),'01_Вводные'!$B$170*'01_Вводные'!$B$161*'01_Вводные'!$B$176,0)</f>
        <v/>
      </c>
      <c r="AY17" s="95">
        <f>IF(AND('01_Вводные'!$B$241="Да",MONTH(AY$3)='01_Вводные'!$B$177),'01_Вводные'!$B$170*'01_Вводные'!$B$161*'01_Вводные'!$B$176,0)</f>
        <v/>
      </c>
      <c r="AZ17" s="95">
        <f>IF(AND('01_Вводные'!$B$241="Да",MONTH(AZ$3)='01_Вводные'!$B$177),'01_Вводные'!$B$170*'01_Вводные'!$B$161*'01_Вводные'!$B$176,0)</f>
        <v/>
      </c>
      <c r="BA17" s="95">
        <f>IF(AND('01_Вводные'!$B$241="Да",MONTH(BA$3)='01_Вводные'!$B$177),'01_Вводные'!$B$170*'01_Вводные'!$B$161*'01_Вводные'!$B$176,0)</f>
        <v/>
      </c>
      <c r="BB17" s="95">
        <f>IF(AND('01_Вводные'!$B$241="Да",MONTH(BB$3)='01_Вводные'!$B$177),'01_Вводные'!$B$170*'01_Вводные'!$B$161*'01_Вводные'!$B$176,0)</f>
        <v/>
      </c>
      <c r="BC17" s="95">
        <f>IF(AND('01_Вводные'!$B$241="Да",MONTH(BC$3)='01_Вводные'!$B$177),'01_Вводные'!$B$170*'01_Вводные'!$B$161*'01_Вводные'!$B$176,0)</f>
        <v/>
      </c>
      <c r="BD17" s="95">
        <f>IF(AND('01_Вводные'!$B$241="Да",MONTH(BD$3)='01_Вводные'!$B$177),'01_Вводные'!$B$170*'01_Вводные'!$B$161*'01_Вводные'!$B$176,0)</f>
        <v/>
      </c>
      <c r="BE17" s="95">
        <f>IF(AND('01_Вводные'!$B$241="Да",MONTH(BE$3)='01_Вводные'!$B$177),'01_Вводные'!$B$170*'01_Вводные'!$B$161*'01_Вводные'!$B$176,0)</f>
        <v/>
      </c>
      <c r="BF17" s="95">
        <f>IF(AND('01_Вводные'!$B$241="Да",MONTH(BF$3)='01_Вводные'!$B$177),'01_Вводные'!$B$170*'01_Вводные'!$B$161*'01_Вводные'!$B$176,0)</f>
        <v/>
      </c>
      <c r="BG17" s="95">
        <f>IF(AND('01_Вводные'!$B$241="Да",MONTH(BG$3)='01_Вводные'!$B$177),'01_Вводные'!$B$170*'01_Вводные'!$B$161*'01_Вводные'!$B$176,0)</f>
        <v/>
      </c>
      <c r="BH17" s="95">
        <f>IF(AND('01_Вводные'!$B$241="Да",MONTH(BH$3)='01_Вводные'!$B$177),'01_Вводные'!$B$170*'01_Вводные'!$B$161*'01_Вводные'!$B$176,0)</f>
        <v/>
      </c>
      <c r="BI17" s="95">
        <f>IF(AND('01_Вводные'!$B$241="Да",MONTH(BI$3)='01_Вводные'!$B$177),'01_Вводные'!$B$170*'01_Вводные'!$B$161*'01_Вводные'!$B$176,0)</f>
        <v/>
      </c>
    </row>
    <row r="18">
      <c r="A18" s="2" t="inlineStr">
        <is>
          <t>Прочие расходы cash</t>
        </is>
      </c>
      <c r="B18" s="95">
        <f>IF(AND('01_Вводные'!$B$241="Да",MONTH(B$3)='01_Вводные'!$B$252),MAX(0,'01_Вводные'!$B$167-'01_Вводные'!$B$170)*'01_Вводные'!$B$161+B13,0)</f>
        <v/>
      </c>
      <c r="C18" s="95">
        <f>IF(AND('01_Вводные'!$B$241="Да",MONTH(C$3)='01_Вводные'!$B$252),MAX(0,'01_Вводные'!$B$167-'01_Вводные'!$B$170)*'01_Вводные'!$B$161+C13,0)</f>
        <v/>
      </c>
      <c r="D18" s="95">
        <f>IF(AND('01_Вводные'!$B$241="Да",MONTH(D$3)='01_Вводные'!$B$252),MAX(0,'01_Вводные'!$B$167-'01_Вводные'!$B$170)*'01_Вводные'!$B$161+D13,0)</f>
        <v/>
      </c>
      <c r="E18" s="95">
        <f>IF(AND('01_Вводные'!$B$241="Да",MONTH(E$3)='01_Вводные'!$B$252),MAX(0,'01_Вводные'!$B$167-'01_Вводные'!$B$170)*'01_Вводные'!$B$161+E13,0)</f>
        <v/>
      </c>
      <c r="F18" s="95">
        <f>IF(AND('01_Вводные'!$B$241="Да",MONTH(F$3)='01_Вводные'!$B$252),MAX(0,'01_Вводные'!$B$167-'01_Вводные'!$B$170)*'01_Вводные'!$B$161+F13,0)</f>
        <v/>
      </c>
      <c r="G18" s="95">
        <f>IF(AND('01_Вводные'!$B$241="Да",MONTH(G$3)='01_Вводные'!$B$252),MAX(0,'01_Вводные'!$B$167-'01_Вводные'!$B$170)*'01_Вводные'!$B$161+G13,0)</f>
        <v/>
      </c>
      <c r="H18" s="95">
        <f>IF(AND('01_Вводные'!$B$241="Да",MONTH(H$3)='01_Вводные'!$B$252),MAX(0,'01_Вводные'!$B$167-'01_Вводные'!$B$170)*'01_Вводные'!$B$161+H13,0)</f>
        <v/>
      </c>
      <c r="I18" s="95">
        <f>IF(AND('01_Вводные'!$B$241="Да",MONTH(I$3)='01_Вводные'!$B$252),MAX(0,'01_Вводные'!$B$167-'01_Вводные'!$B$170)*'01_Вводные'!$B$161+I13,0)</f>
        <v/>
      </c>
      <c r="J18" s="95">
        <f>IF(AND('01_Вводные'!$B$241="Да",MONTH(J$3)='01_Вводные'!$B$252),MAX(0,'01_Вводные'!$B$167-'01_Вводные'!$B$170)*'01_Вводные'!$B$161+J13,0)</f>
        <v/>
      </c>
      <c r="K18" s="95">
        <f>IF(AND('01_Вводные'!$B$241="Да",MONTH(K$3)='01_Вводные'!$B$252),MAX(0,'01_Вводные'!$B$167-'01_Вводные'!$B$170)*'01_Вводные'!$B$161+K13,0)</f>
        <v/>
      </c>
      <c r="L18" s="95">
        <f>IF(AND('01_Вводные'!$B$241="Да",MONTH(L$3)='01_Вводные'!$B$252),MAX(0,'01_Вводные'!$B$167-'01_Вводные'!$B$170)*'01_Вводные'!$B$161+L13,0)</f>
        <v/>
      </c>
      <c r="M18" s="95">
        <f>IF(AND('01_Вводные'!$B$241="Да",MONTH(M$3)='01_Вводные'!$B$252),MAX(0,'01_Вводные'!$B$167-'01_Вводные'!$B$170)*'01_Вводные'!$B$161+M13,0)</f>
        <v/>
      </c>
      <c r="N18" s="95">
        <f>IF(AND('01_Вводные'!$B$241="Да",MONTH(N$3)='01_Вводные'!$B$252),MAX(0,'01_Вводные'!$B$167-'01_Вводные'!$B$170)*'01_Вводные'!$B$161+N13,0)</f>
        <v/>
      </c>
      <c r="O18" s="95">
        <f>IF(AND('01_Вводные'!$B$241="Да",MONTH(O$3)='01_Вводные'!$B$252),MAX(0,'01_Вводные'!$B$167-'01_Вводные'!$B$170)*'01_Вводные'!$B$161+O13,0)</f>
        <v/>
      </c>
      <c r="P18" s="95">
        <f>IF(AND('01_Вводные'!$B$241="Да",MONTH(P$3)='01_Вводные'!$B$252),MAX(0,'01_Вводные'!$B$167-'01_Вводные'!$B$170)*'01_Вводные'!$B$161+P13,0)</f>
        <v/>
      </c>
      <c r="Q18" s="95">
        <f>IF(AND('01_Вводные'!$B$241="Да",MONTH(Q$3)='01_Вводные'!$B$252),MAX(0,'01_Вводные'!$B$167-'01_Вводные'!$B$170)*'01_Вводные'!$B$161+Q13,0)</f>
        <v/>
      </c>
      <c r="R18" s="95">
        <f>IF(AND('01_Вводные'!$B$241="Да",MONTH(R$3)='01_Вводные'!$B$252),MAX(0,'01_Вводные'!$B$167-'01_Вводные'!$B$170)*'01_Вводные'!$B$161+R13,0)</f>
        <v/>
      </c>
      <c r="S18" s="95">
        <f>IF(AND('01_Вводные'!$B$241="Да",MONTH(S$3)='01_Вводные'!$B$252),MAX(0,'01_Вводные'!$B$167-'01_Вводные'!$B$170)*'01_Вводные'!$B$161+S13,0)</f>
        <v/>
      </c>
      <c r="T18" s="95">
        <f>IF(AND('01_Вводные'!$B$241="Да",MONTH(T$3)='01_Вводные'!$B$252),MAX(0,'01_Вводные'!$B$167-'01_Вводные'!$B$170)*'01_Вводные'!$B$161+T13,0)</f>
        <v/>
      </c>
      <c r="U18" s="95">
        <f>IF(AND('01_Вводные'!$B$241="Да",MONTH(U$3)='01_Вводные'!$B$252),MAX(0,'01_Вводные'!$B$167-'01_Вводные'!$B$170)*'01_Вводные'!$B$161+U13,0)</f>
        <v/>
      </c>
      <c r="V18" s="95">
        <f>IF(AND('01_Вводные'!$B$241="Да",MONTH(V$3)='01_Вводные'!$B$252),MAX(0,'01_Вводные'!$B$167-'01_Вводные'!$B$170)*'01_Вводные'!$B$161+V13,0)</f>
        <v/>
      </c>
      <c r="W18" s="95">
        <f>IF(AND('01_Вводные'!$B$241="Да",MONTH(W$3)='01_Вводные'!$B$252),MAX(0,'01_Вводные'!$B$167-'01_Вводные'!$B$170)*'01_Вводные'!$B$161+W13,0)</f>
        <v/>
      </c>
      <c r="X18" s="95">
        <f>IF(AND('01_Вводные'!$B$241="Да",MONTH(X$3)='01_Вводные'!$B$252),MAX(0,'01_Вводные'!$B$167-'01_Вводные'!$B$170)*'01_Вводные'!$B$161+X13,0)</f>
        <v/>
      </c>
      <c r="Y18" s="95">
        <f>IF(AND('01_Вводные'!$B$241="Да",MONTH(Y$3)='01_Вводные'!$B$252),MAX(0,'01_Вводные'!$B$167-'01_Вводные'!$B$170)*'01_Вводные'!$B$161+Y13,0)</f>
        <v/>
      </c>
      <c r="Z18" s="95">
        <f>IF(AND('01_Вводные'!$B$241="Да",MONTH(Z$3)='01_Вводные'!$B$252),MAX(0,'01_Вводные'!$B$167-'01_Вводные'!$B$170)*'01_Вводные'!$B$161+Z13,0)</f>
        <v/>
      </c>
      <c r="AA18" s="95">
        <f>IF(AND('01_Вводные'!$B$241="Да",MONTH(AA$3)='01_Вводные'!$B$252),MAX(0,'01_Вводные'!$B$167-'01_Вводные'!$B$170)*'01_Вводные'!$B$161+AA13,0)</f>
        <v/>
      </c>
      <c r="AB18" s="95">
        <f>IF(AND('01_Вводные'!$B$241="Да",MONTH(AB$3)='01_Вводные'!$B$252),MAX(0,'01_Вводные'!$B$167-'01_Вводные'!$B$170)*'01_Вводные'!$B$161+AB13,0)</f>
        <v/>
      </c>
      <c r="AC18" s="95">
        <f>IF(AND('01_Вводные'!$B$241="Да",MONTH(AC$3)='01_Вводные'!$B$252),MAX(0,'01_Вводные'!$B$167-'01_Вводные'!$B$170)*'01_Вводные'!$B$161+AC13,0)</f>
        <v/>
      </c>
      <c r="AD18" s="95">
        <f>IF(AND('01_Вводные'!$B$241="Да",MONTH(AD$3)='01_Вводные'!$B$252),MAX(0,'01_Вводные'!$B$167-'01_Вводные'!$B$170)*'01_Вводные'!$B$161+AD13,0)</f>
        <v/>
      </c>
      <c r="AE18" s="95">
        <f>IF(AND('01_Вводные'!$B$241="Да",MONTH(AE$3)='01_Вводные'!$B$252),MAX(0,'01_Вводные'!$B$167-'01_Вводные'!$B$170)*'01_Вводные'!$B$161+AE13,0)</f>
        <v/>
      </c>
      <c r="AF18" s="95">
        <f>IF(AND('01_Вводные'!$B$241="Да",MONTH(AF$3)='01_Вводные'!$B$252),MAX(0,'01_Вводные'!$B$167-'01_Вводные'!$B$170)*'01_Вводные'!$B$161+AF13,0)</f>
        <v/>
      </c>
      <c r="AG18" s="95">
        <f>IF(AND('01_Вводные'!$B$241="Да",MONTH(AG$3)='01_Вводные'!$B$252),MAX(0,'01_Вводные'!$B$167-'01_Вводные'!$B$170)*'01_Вводные'!$B$161+AG13,0)</f>
        <v/>
      </c>
      <c r="AH18" s="95">
        <f>IF(AND('01_Вводные'!$B$241="Да",MONTH(AH$3)='01_Вводные'!$B$252),MAX(0,'01_Вводные'!$B$167-'01_Вводные'!$B$170)*'01_Вводные'!$B$161+AH13,0)</f>
        <v/>
      </c>
      <c r="AI18" s="95">
        <f>IF(AND('01_Вводные'!$B$241="Да",MONTH(AI$3)='01_Вводные'!$B$252),MAX(0,'01_Вводные'!$B$167-'01_Вводные'!$B$170)*'01_Вводные'!$B$161+AI13,0)</f>
        <v/>
      </c>
      <c r="AJ18" s="95">
        <f>IF(AND('01_Вводные'!$B$241="Да",MONTH(AJ$3)='01_Вводные'!$B$252),MAX(0,'01_Вводные'!$B$167-'01_Вводные'!$B$170)*'01_Вводные'!$B$161+AJ13,0)</f>
        <v/>
      </c>
      <c r="AK18" s="95">
        <f>IF(AND('01_Вводные'!$B$241="Да",MONTH(AK$3)='01_Вводные'!$B$252),MAX(0,'01_Вводные'!$B$167-'01_Вводные'!$B$170)*'01_Вводные'!$B$161+AK13,0)</f>
        <v/>
      </c>
      <c r="AL18" s="95">
        <f>IF(AND('01_Вводные'!$B$241="Да",MONTH(AL$3)='01_Вводные'!$B$252),MAX(0,'01_Вводные'!$B$167-'01_Вводные'!$B$170)*'01_Вводные'!$B$161+AL13,0)</f>
        <v/>
      </c>
      <c r="AM18" s="95">
        <f>IF(AND('01_Вводные'!$B$241="Да",MONTH(AM$3)='01_Вводные'!$B$252),MAX(0,'01_Вводные'!$B$167-'01_Вводные'!$B$170)*'01_Вводные'!$B$161+AM13,0)</f>
        <v/>
      </c>
      <c r="AN18" s="95">
        <f>IF(AND('01_Вводные'!$B$241="Да",MONTH(AN$3)='01_Вводные'!$B$252),MAX(0,'01_Вводные'!$B$167-'01_Вводные'!$B$170)*'01_Вводные'!$B$161+AN13,0)</f>
        <v/>
      </c>
      <c r="AO18" s="95">
        <f>IF(AND('01_Вводные'!$B$241="Да",MONTH(AO$3)='01_Вводные'!$B$252),MAX(0,'01_Вводные'!$B$167-'01_Вводные'!$B$170)*'01_Вводные'!$B$161+AO13,0)</f>
        <v/>
      </c>
      <c r="AP18" s="95">
        <f>IF(AND('01_Вводные'!$B$241="Да",MONTH(AP$3)='01_Вводные'!$B$252),MAX(0,'01_Вводные'!$B$167-'01_Вводные'!$B$170)*'01_Вводные'!$B$161+AP13,0)</f>
        <v/>
      </c>
      <c r="AQ18" s="95">
        <f>IF(AND('01_Вводные'!$B$241="Да",MONTH(AQ$3)='01_Вводные'!$B$252),MAX(0,'01_Вводные'!$B$167-'01_Вводные'!$B$170)*'01_Вводные'!$B$161+AQ13,0)</f>
        <v/>
      </c>
      <c r="AR18" s="95">
        <f>IF(AND('01_Вводные'!$B$241="Да",MONTH(AR$3)='01_Вводные'!$B$252),MAX(0,'01_Вводные'!$B$167-'01_Вводные'!$B$170)*'01_Вводные'!$B$161+AR13,0)</f>
        <v/>
      </c>
      <c r="AS18" s="95">
        <f>IF(AND('01_Вводные'!$B$241="Да",MONTH(AS$3)='01_Вводные'!$B$252),MAX(0,'01_Вводные'!$B$167-'01_Вводные'!$B$170)*'01_Вводные'!$B$161+AS13,0)</f>
        <v/>
      </c>
      <c r="AT18" s="95">
        <f>IF(AND('01_Вводные'!$B$241="Да",MONTH(AT$3)='01_Вводные'!$B$252),MAX(0,'01_Вводные'!$B$167-'01_Вводные'!$B$170)*'01_Вводные'!$B$161+AT13,0)</f>
        <v/>
      </c>
      <c r="AU18" s="95">
        <f>IF(AND('01_Вводные'!$B$241="Да",MONTH(AU$3)='01_Вводные'!$B$252),MAX(0,'01_Вводные'!$B$167-'01_Вводные'!$B$170)*'01_Вводные'!$B$161+AU13,0)</f>
        <v/>
      </c>
      <c r="AV18" s="95">
        <f>IF(AND('01_Вводные'!$B$241="Да",MONTH(AV$3)='01_Вводные'!$B$252),MAX(0,'01_Вводные'!$B$167-'01_Вводные'!$B$170)*'01_Вводные'!$B$161+AV13,0)</f>
        <v/>
      </c>
      <c r="AW18" s="95">
        <f>IF(AND('01_Вводные'!$B$241="Да",MONTH(AW$3)='01_Вводные'!$B$252),MAX(0,'01_Вводные'!$B$167-'01_Вводные'!$B$170)*'01_Вводные'!$B$161+AW13,0)</f>
        <v/>
      </c>
      <c r="AX18" s="95">
        <f>IF(AND('01_Вводные'!$B$241="Да",MONTH(AX$3)='01_Вводные'!$B$252),MAX(0,'01_Вводные'!$B$167-'01_Вводные'!$B$170)*'01_Вводные'!$B$161+AX13,0)</f>
        <v/>
      </c>
      <c r="AY18" s="95">
        <f>IF(AND('01_Вводные'!$B$241="Да",MONTH(AY$3)='01_Вводные'!$B$252),MAX(0,'01_Вводные'!$B$167-'01_Вводные'!$B$170)*'01_Вводные'!$B$161+AY13,0)</f>
        <v/>
      </c>
      <c r="AZ18" s="95">
        <f>IF(AND('01_Вводные'!$B$241="Да",MONTH(AZ$3)='01_Вводные'!$B$252),MAX(0,'01_Вводные'!$B$167-'01_Вводные'!$B$170)*'01_Вводные'!$B$161+AZ13,0)</f>
        <v/>
      </c>
      <c r="BA18" s="95">
        <f>IF(AND('01_Вводные'!$B$241="Да",MONTH(BA$3)='01_Вводные'!$B$252),MAX(0,'01_Вводные'!$B$167-'01_Вводные'!$B$170)*'01_Вводные'!$B$161+BA13,0)</f>
        <v/>
      </c>
      <c r="BB18" s="95">
        <f>IF(AND('01_Вводные'!$B$241="Да",MONTH(BB$3)='01_Вводные'!$B$252),MAX(0,'01_Вводные'!$B$167-'01_Вводные'!$B$170)*'01_Вводные'!$B$161+BB13,0)</f>
        <v/>
      </c>
      <c r="BC18" s="95">
        <f>IF(AND('01_Вводные'!$B$241="Да",MONTH(BC$3)='01_Вводные'!$B$252),MAX(0,'01_Вводные'!$B$167-'01_Вводные'!$B$170)*'01_Вводные'!$B$161+BC13,0)</f>
        <v/>
      </c>
      <c r="BD18" s="95">
        <f>IF(AND('01_Вводные'!$B$241="Да",MONTH(BD$3)='01_Вводные'!$B$252),MAX(0,'01_Вводные'!$B$167-'01_Вводные'!$B$170)*'01_Вводные'!$B$161+BD13,0)</f>
        <v/>
      </c>
      <c r="BE18" s="95">
        <f>IF(AND('01_Вводные'!$B$241="Да",MONTH(BE$3)='01_Вводные'!$B$252),MAX(0,'01_Вводные'!$B$167-'01_Вводные'!$B$170)*'01_Вводные'!$B$161+BE13,0)</f>
        <v/>
      </c>
      <c r="BF18" s="95">
        <f>IF(AND('01_Вводные'!$B$241="Да",MONTH(BF$3)='01_Вводные'!$B$252),MAX(0,'01_Вводные'!$B$167-'01_Вводные'!$B$170)*'01_Вводные'!$B$161+BF13,0)</f>
        <v/>
      </c>
      <c r="BG18" s="95">
        <f>IF(AND('01_Вводные'!$B$241="Да",MONTH(BG$3)='01_Вводные'!$B$252),MAX(0,'01_Вводные'!$B$167-'01_Вводные'!$B$170)*'01_Вводные'!$B$161+BG13,0)</f>
        <v/>
      </c>
      <c r="BH18" s="95">
        <f>IF(AND('01_Вводные'!$B$241="Да",MONTH(BH$3)='01_Вводные'!$B$252),MAX(0,'01_Вводные'!$B$167-'01_Вводные'!$B$170)*'01_Вводные'!$B$161+BH13,0)</f>
        <v/>
      </c>
      <c r="BI18" s="95">
        <f>IF(AND('01_Вводные'!$B$241="Да",MONTH(BI$3)='01_Вводные'!$B$252),MAX(0,'01_Вводные'!$B$167-'01_Вводные'!$B$170)*'01_Вводные'!$B$161+BI13,0)</f>
        <v/>
      </c>
    </row>
    <row r="19">
      <c r="A19" s="10" t="inlineStr">
        <is>
          <t>Cash out лагеря</t>
        </is>
      </c>
      <c r="B19" s="43">
        <f>SUM(B16:B18)</f>
        <v/>
      </c>
      <c r="C19" s="43">
        <f>SUM(C16:C18)</f>
        <v/>
      </c>
      <c r="D19" s="43">
        <f>SUM(D16:D18)</f>
        <v/>
      </c>
      <c r="E19" s="43">
        <f>SUM(E16:E18)</f>
        <v/>
      </c>
      <c r="F19" s="43">
        <f>SUM(F16:F18)</f>
        <v/>
      </c>
      <c r="G19" s="43">
        <f>SUM(G16:G18)</f>
        <v/>
      </c>
      <c r="H19" s="43">
        <f>SUM(H16:H18)</f>
        <v/>
      </c>
      <c r="I19" s="43">
        <f>SUM(I16:I18)</f>
        <v/>
      </c>
      <c r="J19" s="43">
        <f>SUM(J16:J18)</f>
        <v/>
      </c>
      <c r="K19" s="43">
        <f>SUM(K16:K18)</f>
        <v/>
      </c>
      <c r="L19" s="43">
        <f>SUM(L16:L18)</f>
        <v/>
      </c>
      <c r="M19" s="43">
        <f>SUM(M16:M18)</f>
        <v/>
      </c>
      <c r="N19" s="43">
        <f>SUM(N16:N18)</f>
        <v/>
      </c>
      <c r="O19" s="43">
        <f>SUM(O16:O18)</f>
        <v/>
      </c>
      <c r="P19" s="43">
        <f>SUM(P16:P18)</f>
        <v/>
      </c>
      <c r="Q19" s="43">
        <f>SUM(Q16:Q18)</f>
        <v/>
      </c>
      <c r="R19" s="43">
        <f>SUM(R16:R18)</f>
        <v/>
      </c>
      <c r="S19" s="43">
        <f>SUM(S16:S18)</f>
        <v/>
      </c>
      <c r="T19" s="43">
        <f>SUM(T16:T18)</f>
        <v/>
      </c>
      <c r="U19" s="43">
        <f>SUM(U16:U18)</f>
        <v/>
      </c>
      <c r="V19" s="43">
        <f>SUM(V16:V18)</f>
        <v/>
      </c>
      <c r="W19" s="43">
        <f>SUM(W16:W18)</f>
        <v/>
      </c>
      <c r="X19" s="43">
        <f>SUM(X16:X18)</f>
        <v/>
      </c>
      <c r="Y19" s="43">
        <f>SUM(Y16:Y18)</f>
        <v/>
      </c>
      <c r="Z19" s="43">
        <f>SUM(Z16:Z18)</f>
        <v/>
      </c>
      <c r="AA19" s="43">
        <f>SUM(AA16:AA18)</f>
        <v/>
      </c>
      <c r="AB19" s="43">
        <f>SUM(AB16:AB18)</f>
        <v/>
      </c>
      <c r="AC19" s="43">
        <f>SUM(AC16:AC18)</f>
        <v/>
      </c>
      <c r="AD19" s="43">
        <f>SUM(AD16:AD18)</f>
        <v/>
      </c>
      <c r="AE19" s="43">
        <f>SUM(AE16:AE18)</f>
        <v/>
      </c>
      <c r="AF19" s="43">
        <f>SUM(AF16:AF18)</f>
        <v/>
      </c>
      <c r="AG19" s="43">
        <f>SUM(AG16:AG18)</f>
        <v/>
      </c>
      <c r="AH19" s="43">
        <f>SUM(AH16:AH18)</f>
        <v/>
      </c>
      <c r="AI19" s="43">
        <f>SUM(AI16:AI18)</f>
        <v/>
      </c>
      <c r="AJ19" s="43">
        <f>SUM(AJ16:AJ18)</f>
        <v/>
      </c>
      <c r="AK19" s="43">
        <f>SUM(AK16:AK18)</f>
        <v/>
      </c>
      <c r="AL19" s="43">
        <f>SUM(AL16:AL18)</f>
        <v/>
      </c>
      <c r="AM19" s="43">
        <f>SUM(AM16:AM18)</f>
        <v/>
      </c>
      <c r="AN19" s="43">
        <f>SUM(AN16:AN18)</f>
        <v/>
      </c>
      <c r="AO19" s="43">
        <f>SUM(AO16:AO18)</f>
        <v/>
      </c>
      <c r="AP19" s="43">
        <f>SUM(AP16:AP18)</f>
        <v/>
      </c>
      <c r="AQ19" s="43">
        <f>SUM(AQ16:AQ18)</f>
        <v/>
      </c>
      <c r="AR19" s="43">
        <f>SUM(AR16:AR18)</f>
        <v/>
      </c>
      <c r="AS19" s="43">
        <f>SUM(AS16:AS18)</f>
        <v/>
      </c>
      <c r="AT19" s="43">
        <f>SUM(AT16:AT18)</f>
        <v/>
      </c>
      <c r="AU19" s="43">
        <f>SUM(AU16:AU18)</f>
        <v/>
      </c>
      <c r="AV19" s="43">
        <f>SUM(AV16:AV18)</f>
        <v/>
      </c>
      <c r="AW19" s="43">
        <f>SUM(AW16:AW18)</f>
        <v/>
      </c>
      <c r="AX19" s="43">
        <f>SUM(AX16:AX18)</f>
        <v/>
      </c>
      <c r="AY19" s="43">
        <f>SUM(AY16:AY18)</f>
        <v/>
      </c>
      <c r="AZ19" s="43">
        <f>SUM(AZ16:AZ18)</f>
        <v/>
      </c>
      <c r="BA19" s="43">
        <f>SUM(BA16:BA18)</f>
        <v/>
      </c>
      <c r="BB19" s="43">
        <f>SUM(BB16:BB18)</f>
        <v/>
      </c>
      <c r="BC19" s="43">
        <f>SUM(BC16:BC18)</f>
        <v/>
      </c>
      <c r="BD19" s="43">
        <f>SUM(BD16:BD18)</f>
        <v/>
      </c>
      <c r="BE19" s="43">
        <f>SUM(BE16:BE18)</f>
        <v/>
      </c>
      <c r="BF19" s="43">
        <f>SUM(BF16:BF18)</f>
        <v/>
      </c>
      <c r="BG19" s="43">
        <f>SUM(BG16:BG18)</f>
        <v/>
      </c>
      <c r="BH19" s="43">
        <f>SUM(BH16:BH18)</f>
        <v/>
      </c>
      <c r="BI19" s="43">
        <f>SUM(BI16:BI18)</f>
        <v/>
      </c>
    </row>
  </sheetData>
  <mergeCells count="3">
    <mergeCell ref="A1:BI1"/>
    <mergeCell ref="A4:BI4"/>
    <mergeCell ref="A15:BI15"/>
  </mergeCells>
  <printOptions horizontalCentered="0"/>
  <pageMargins left="0.75" right="0.75" top="1" bottom="1" header="0.5" footer="0.5"/>
  <pageSetup orientation="landscape" fitToHeight="0" fitToWidth="1"/>
  <headerFooter>
    <oddHeader/>
    <oddFooter>&amp;LФинмодель Спартак · 09_Лагеря&amp;R&amp;P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BI37"/>
  <sheetViews>
    <sheetView showGridLines="0" workbookViewId="0">
      <pane xSplit="1" ySplit="23" topLeftCell="B2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40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</cols>
  <sheetData>
    <row r="1" ht="27" customHeight="1">
      <c r="A1" s="60" t="inlineStr">
        <is>
          <t>СПАРТАК | Начисления и выплаты футбольному клубу</t>
        </is>
      </c>
    </row>
    <row r="2"/>
    <row r="3" ht="38" customHeight="1">
      <c r="A3" s="111" t="inlineStr">
        <is>
          <t>Операционные выплаты и возврат тела займа разделены. В БДР — начисленные расходы; в БДДС — денежные выплаты. Итоги не прибавляются повторно к модели.</t>
        </is>
      </c>
    </row>
    <row r="4"/>
    <row r="5" ht="33" customHeight="1">
      <c r="A5" s="87" t="inlineStr">
        <is>
          <t>Показатель</t>
        </is>
      </c>
      <c r="B5" s="87" t="inlineStr">
        <is>
          <t>2026/27</t>
        </is>
      </c>
      <c r="C5" s="87" t="inlineStr">
        <is>
          <t>2027/28</t>
        </is>
      </c>
      <c r="D5" s="87" t="inlineStr">
        <is>
          <t>2028/29</t>
        </is>
      </c>
      <c r="E5" s="87" t="inlineStr">
        <is>
          <t>2029/30</t>
        </is>
      </c>
      <c r="F5" s="87" t="inlineStr">
        <is>
          <t>2030/31</t>
        </is>
      </c>
      <c r="G5" s="87" t="inlineStr">
        <is>
          <t>Итого / конец</t>
        </is>
      </c>
      <c r="H5" s="87" t="inlineStr">
        <is>
          <t>Пояснение</t>
        </is>
      </c>
    </row>
    <row r="6" ht="26" customHeight="1">
      <c r="A6" s="104" t="inlineStr">
        <is>
          <t>Начислено ФК: паушальные</t>
        </is>
      </c>
      <c r="B6" s="117">
        <f>SUM(B24:M24)</f>
        <v/>
      </c>
      <c r="C6" s="117">
        <f>SUM(N24:Y24)</f>
        <v/>
      </c>
      <c r="D6" s="117">
        <f>SUM(Z24:AK24)</f>
        <v/>
      </c>
      <c r="E6" s="117">
        <f>SUM(AL24:AW24)</f>
        <v/>
      </c>
      <c r="F6" s="117">
        <f>SUM(AX24:BI24)</f>
        <v/>
      </c>
      <c r="G6" s="117">
        <f>SUM(B6:F6)</f>
        <v/>
      </c>
      <c r="H6" s="104" t="n"/>
    </row>
    <row r="7" ht="26" customHeight="1">
      <c r="A7" s="104" t="inlineStr">
        <is>
          <t>Начислено ФК: роялти</t>
        </is>
      </c>
      <c r="B7" s="117">
        <f>SUM(B25:M25)</f>
        <v/>
      </c>
      <c r="C7" s="117">
        <f>SUM(N25:Y25)</f>
        <v/>
      </c>
      <c r="D7" s="117">
        <f>SUM(Z25:AK25)</f>
        <v/>
      </c>
      <c r="E7" s="117">
        <f>SUM(AL25:AW25)</f>
        <v/>
      </c>
      <c r="F7" s="117">
        <f>SUM(AX25:BI25)</f>
        <v/>
      </c>
      <c r="G7" s="117">
        <f>SUM(B7:F7)</f>
        <v/>
      </c>
      <c r="H7" s="104" t="n"/>
    </row>
    <row r="8" ht="26" customHeight="1">
      <c r="A8" s="104" t="inlineStr">
        <is>
          <t>Начислено ФК: прибыль мерча</t>
        </is>
      </c>
      <c r="B8" s="117">
        <f>SUM(B26:M26)</f>
        <v/>
      </c>
      <c r="C8" s="117">
        <f>SUM(N26:Y26)</f>
        <v/>
      </c>
      <c r="D8" s="117">
        <f>SUM(Z26:AK26)</f>
        <v/>
      </c>
      <c r="E8" s="117">
        <f>SUM(AL26:AW26)</f>
        <v/>
      </c>
      <c r="F8" s="117">
        <f>SUM(AX26:BI26)</f>
        <v/>
      </c>
      <c r="G8" s="117">
        <f>SUM(B8:F8)</f>
        <v/>
      </c>
      <c r="H8" s="104" t="n"/>
    </row>
    <row r="9" ht="26" customHeight="1">
      <c r="A9" s="104" t="inlineStr">
        <is>
          <t>Начислено — всего</t>
        </is>
      </c>
      <c r="B9" s="117">
        <f>SUM(B27:M27)</f>
        <v/>
      </c>
      <c r="C9" s="117">
        <f>SUM(N27:Y27)</f>
        <v/>
      </c>
      <c r="D9" s="117">
        <f>SUM(Z27:AK27)</f>
        <v/>
      </c>
      <c r="E9" s="117">
        <f>SUM(AL27:AW27)</f>
        <v/>
      </c>
      <c r="F9" s="117">
        <f>SUM(AX27:BI27)</f>
        <v/>
      </c>
      <c r="G9" s="117">
        <f>SUM(B9:F9)</f>
        <v/>
      </c>
      <c r="H9" s="104" t="inlineStr">
        <is>
          <t>Расход БДР, не отдельная оплата.</t>
        </is>
      </c>
    </row>
    <row r="10" ht="26" customHeight="1">
      <c r="A10" s="104" t="n"/>
      <c r="B10" s="115" t="n"/>
      <c r="C10" s="115" t="n"/>
      <c r="D10" s="115" t="n"/>
      <c r="E10" s="115" t="n"/>
      <c r="F10" s="115" t="n"/>
      <c r="G10" s="115" t="n"/>
      <c r="H10" s="104" t="n"/>
    </row>
    <row r="11" ht="26" customHeight="1">
      <c r="A11" s="104" t="inlineStr">
        <is>
          <t>Оплачено ФК: паушальные</t>
        </is>
      </c>
      <c r="B11" s="117">
        <f>SUM(B29:M29)</f>
        <v/>
      </c>
      <c r="C11" s="117">
        <f>SUM(N29:Y29)</f>
        <v/>
      </c>
      <c r="D11" s="117">
        <f>SUM(Z29:AK29)</f>
        <v/>
      </c>
      <c r="E11" s="117">
        <f>SUM(AL29:AW29)</f>
        <v/>
      </c>
      <c r="F11" s="117">
        <f>SUM(AX29:BI29)</f>
        <v/>
      </c>
      <c r="G11" s="117">
        <f>SUM(B11:F11)</f>
        <v/>
      </c>
      <c r="H11" s="104" t="n"/>
    </row>
    <row r="12" ht="26" customHeight="1">
      <c r="A12" s="104" t="inlineStr">
        <is>
          <t>Оплачено ФК: роялти</t>
        </is>
      </c>
      <c r="B12" s="117">
        <f>SUM(B30:M30)</f>
        <v/>
      </c>
      <c r="C12" s="117">
        <f>SUM(N30:Y30)</f>
        <v/>
      </c>
      <c r="D12" s="117">
        <f>SUM(Z30:AK30)</f>
        <v/>
      </c>
      <c r="E12" s="117">
        <f>SUM(AL30:AW30)</f>
        <v/>
      </c>
      <c r="F12" s="117">
        <f>SUM(AX30:BI30)</f>
        <v/>
      </c>
      <c r="G12" s="117">
        <f>SUM(B12:F12)</f>
        <v/>
      </c>
      <c r="H12" s="104" t="n"/>
    </row>
    <row r="13" ht="26" customHeight="1">
      <c r="A13" s="104" t="inlineStr">
        <is>
          <t>Оплачено ФК: прибыль мерча</t>
        </is>
      </c>
      <c r="B13" s="117">
        <f>SUM(B31:M31)</f>
        <v/>
      </c>
      <c r="C13" s="117">
        <f>SUM(N31:Y31)</f>
        <v/>
      </c>
      <c r="D13" s="117">
        <f>SUM(Z31:AK31)</f>
        <v/>
      </c>
      <c r="E13" s="117">
        <f>SUM(AL31:AW31)</f>
        <v/>
      </c>
      <c r="F13" s="117">
        <f>SUM(AX31:BI31)</f>
        <v/>
      </c>
      <c r="G13" s="117">
        <f>SUM(B13:F13)</f>
        <v/>
      </c>
      <c r="H13" s="104" t="n"/>
    </row>
    <row r="14" ht="26" customHeight="1">
      <c r="A14" s="104" t="inlineStr">
        <is>
          <t>Операционные выплаты — всего</t>
        </is>
      </c>
      <c r="B14" s="117">
        <f>SUM(B32:M32)</f>
        <v/>
      </c>
      <c r="C14" s="117">
        <f>SUM(N32:Y32)</f>
        <v/>
      </c>
      <c r="D14" s="117">
        <f>SUM(Z32:AK32)</f>
        <v/>
      </c>
      <c r="E14" s="117">
        <f>SUM(AL32:AW32)</f>
        <v/>
      </c>
      <c r="F14" s="117">
        <f>SUM(AX32:BI32)</f>
        <v/>
      </c>
      <c r="G14" s="117">
        <f>SUM(B14:F14)</f>
        <v/>
      </c>
      <c r="H14" s="104" t="n"/>
    </row>
    <row r="15" ht="26" customHeight="1">
      <c r="A15" s="104" t="inlineStr">
        <is>
          <t>Погашение тела займа на мерч</t>
        </is>
      </c>
      <c r="B15" s="117">
        <f>SUM(B33:M33)</f>
        <v/>
      </c>
      <c r="C15" s="117">
        <f>SUM(N33:Y33)</f>
        <v/>
      </c>
      <c r="D15" s="117">
        <f>SUM(Z33:AK33)</f>
        <v/>
      </c>
      <c r="E15" s="117">
        <f>SUM(AL33:AW33)</f>
        <v/>
      </c>
      <c r="F15" s="117">
        <f>SUM(AX33:BI33)</f>
        <v/>
      </c>
      <c r="G15" s="117">
        <f>SUM(B15:F15)</f>
        <v/>
      </c>
      <c r="H15" s="104" t="inlineStr">
        <is>
          <t>Не уменьшает EBITDA.</t>
        </is>
      </c>
    </row>
    <row r="16" ht="26" customHeight="1">
      <c r="A16" s="104" t="inlineStr">
        <is>
          <t>Все денежные перечисления ФК</t>
        </is>
      </c>
      <c r="B16" s="117">
        <f>SUM(B34:M34)</f>
        <v/>
      </c>
      <c r="C16" s="117">
        <f>SUM(N34:Y34)</f>
        <v/>
      </c>
      <c r="D16" s="117">
        <f>SUM(Z34:AK34)</f>
        <v/>
      </c>
      <c r="E16" s="117">
        <f>SUM(AL34:AW34)</f>
        <v/>
      </c>
      <c r="F16" s="117">
        <f>SUM(AX34:BI34)</f>
        <v/>
      </c>
      <c r="G16" s="117">
        <f>SUM(B16:F16)</f>
        <v/>
      </c>
      <c r="H16" s="104" t="inlineStr">
        <is>
          <t>Именно деньги: операционные выплаты + тело займа.</t>
        </is>
      </c>
    </row>
    <row r="17" ht="26" customHeight="1">
      <c r="A17" s="104" t="inlineStr">
        <is>
          <t>Остаток займа на конец</t>
        </is>
      </c>
      <c r="B17" s="117">
        <f>M35</f>
        <v/>
      </c>
      <c r="C17" s="117">
        <f>Y35</f>
        <v/>
      </c>
      <c r="D17" s="117">
        <f>AK35</f>
        <v/>
      </c>
      <c r="E17" s="117">
        <f>AW35</f>
        <v/>
      </c>
      <c r="F17" s="117">
        <f>BI35</f>
        <v/>
      </c>
      <c r="G17" s="117">
        <f>F17</f>
        <v/>
      </c>
      <c r="H17" s="104" t="n"/>
    </row>
    <row r="18" ht="26" customHeight="1">
      <c r="A18" s="104" t="inlineStr">
        <is>
          <t>Начислено, но не оплачено — на конец</t>
        </is>
      </c>
      <c r="B18" s="117">
        <f>M36</f>
        <v/>
      </c>
      <c r="C18" s="117">
        <f>Y36</f>
        <v/>
      </c>
      <c r="D18" s="117">
        <f>AK36</f>
        <v/>
      </c>
      <c r="E18" s="117">
        <f>AW36</f>
        <v/>
      </c>
      <c r="F18" s="117">
        <f>BI36</f>
        <v/>
      </c>
      <c r="G18" s="117">
        <f>F18</f>
        <v/>
      </c>
      <c r="H18" s="104" t="n"/>
    </row>
    <row r="19" ht="26" customHeight="1">
      <c r="A19" s="104" t="inlineStr">
        <is>
          <t>Сверка с БДДС — должна быть 0</t>
        </is>
      </c>
      <c r="B19" s="117">
        <f>SUM(B37:M37)</f>
        <v/>
      </c>
      <c r="C19" s="117">
        <f>SUM(N37:Y37)</f>
        <v/>
      </c>
      <c r="D19" s="117">
        <f>SUM(Z37:AK37)</f>
        <v/>
      </c>
      <c r="E19" s="117">
        <f>SUM(AL37:AW37)</f>
        <v/>
      </c>
      <c r="F19" s="117">
        <f>SUM(AX37:BI37)</f>
        <v/>
      </c>
      <c r="G19" s="117">
        <f>SUM(B19:F19)</f>
        <v/>
      </c>
      <c r="H19" s="104" t="n"/>
    </row>
    <row r="20"/>
    <row r="21"/>
    <row r="22" ht="27" customHeight="1">
      <c r="A22" s="60" t="inlineStr">
        <is>
          <t>Помесячно, ₽</t>
        </is>
      </c>
    </row>
    <row r="23">
      <c r="B23" s="120">
        <f>'02_Модель'!B3</f>
        <v/>
      </c>
      <c r="C23" s="120">
        <f>'02_Модель'!C3</f>
        <v/>
      </c>
      <c r="D23" s="120">
        <f>'02_Модель'!D3</f>
        <v/>
      </c>
      <c r="E23" s="120">
        <f>'02_Модель'!E3</f>
        <v/>
      </c>
      <c r="F23" s="120">
        <f>'02_Модель'!F3</f>
        <v/>
      </c>
      <c r="G23" s="120">
        <f>'02_Модель'!G3</f>
        <v/>
      </c>
      <c r="H23" s="120">
        <f>'02_Модель'!H3</f>
        <v/>
      </c>
      <c r="I23" s="120">
        <f>'02_Модель'!I3</f>
        <v/>
      </c>
      <c r="J23" s="120">
        <f>'02_Модель'!J3</f>
        <v/>
      </c>
      <c r="K23" s="120">
        <f>'02_Модель'!K3</f>
        <v/>
      </c>
      <c r="L23" s="120">
        <f>'02_Модель'!L3</f>
        <v/>
      </c>
      <c r="M23" s="120">
        <f>'02_Модель'!M3</f>
        <v/>
      </c>
      <c r="N23" s="120">
        <f>'02_Модель'!N3</f>
        <v/>
      </c>
      <c r="O23" s="120">
        <f>'02_Модель'!O3</f>
        <v/>
      </c>
      <c r="P23" s="120">
        <f>'02_Модель'!P3</f>
        <v/>
      </c>
      <c r="Q23" s="120">
        <f>'02_Модель'!Q3</f>
        <v/>
      </c>
      <c r="R23" s="120">
        <f>'02_Модель'!R3</f>
        <v/>
      </c>
      <c r="S23" s="120">
        <f>'02_Модель'!S3</f>
        <v/>
      </c>
      <c r="T23" s="120">
        <f>'02_Модель'!T3</f>
        <v/>
      </c>
      <c r="U23" s="120">
        <f>'02_Модель'!U3</f>
        <v/>
      </c>
      <c r="V23" s="120">
        <f>'02_Модель'!V3</f>
        <v/>
      </c>
      <c r="W23" s="120">
        <f>'02_Модель'!W3</f>
        <v/>
      </c>
      <c r="X23" s="120">
        <f>'02_Модель'!X3</f>
        <v/>
      </c>
      <c r="Y23" s="120">
        <f>'02_Модель'!Y3</f>
        <v/>
      </c>
      <c r="Z23" s="120">
        <f>'02_Модель'!Z3</f>
        <v/>
      </c>
      <c r="AA23" s="120">
        <f>'02_Модель'!AA3</f>
        <v/>
      </c>
      <c r="AB23" s="120">
        <f>'02_Модель'!AB3</f>
        <v/>
      </c>
      <c r="AC23" s="120">
        <f>'02_Модель'!AC3</f>
        <v/>
      </c>
      <c r="AD23" s="120">
        <f>'02_Модель'!AD3</f>
        <v/>
      </c>
      <c r="AE23" s="120">
        <f>'02_Модель'!AE3</f>
        <v/>
      </c>
      <c r="AF23" s="120">
        <f>'02_Модель'!AF3</f>
        <v/>
      </c>
      <c r="AG23" s="120">
        <f>'02_Модель'!AG3</f>
        <v/>
      </c>
      <c r="AH23" s="120">
        <f>'02_Модель'!AH3</f>
        <v/>
      </c>
      <c r="AI23" s="120">
        <f>'02_Модель'!AI3</f>
        <v/>
      </c>
      <c r="AJ23" s="120">
        <f>'02_Модель'!AJ3</f>
        <v/>
      </c>
      <c r="AK23" s="120">
        <f>'02_Модель'!AK3</f>
        <v/>
      </c>
      <c r="AL23" s="120">
        <f>'02_Модель'!AL3</f>
        <v/>
      </c>
      <c r="AM23" s="120">
        <f>'02_Модель'!AM3</f>
        <v/>
      </c>
      <c r="AN23" s="120">
        <f>'02_Модель'!AN3</f>
        <v/>
      </c>
      <c r="AO23" s="120">
        <f>'02_Модель'!AO3</f>
        <v/>
      </c>
      <c r="AP23" s="120">
        <f>'02_Модель'!AP3</f>
        <v/>
      </c>
      <c r="AQ23" s="120">
        <f>'02_Модель'!AQ3</f>
        <v/>
      </c>
      <c r="AR23" s="120">
        <f>'02_Модель'!AR3</f>
        <v/>
      </c>
      <c r="AS23" s="120">
        <f>'02_Модель'!AS3</f>
        <v/>
      </c>
      <c r="AT23" s="120">
        <f>'02_Модель'!AT3</f>
        <v/>
      </c>
      <c r="AU23" s="120">
        <f>'02_Модель'!AU3</f>
        <v/>
      </c>
      <c r="AV23" s="120">
        <f>'02_Модель'!AV3</f>
        <v/>
      </c>
      <c r="AW23" s="120">
        <f>'02_Модель'!AW3</f>
        <v/>
      </c>
      <c r="AX23" s="120">
        <f>'02_Модель'!AX3</f>
        <v/>
      </c>
      <c r="AY23" s="120">
        <f>'02_Модель'!AY3</f>
        <v/>
      </c>
      <c r="AZ23" s="120">
        <f>'02_Модель'!AZ3</f>
        <v/>
      </c>
      <c r="BA23" s="120">
        <f>'02_Модель'!BA3</f>
        <v/>
      </c>
      <c r="BB23" s="120">
        <f>'02_Модель'!BB3</f>
        <v/>
      </c>
      <c r="BC23" s="120">
        <f>'02_Модель'!BC3</f>
        <v/>
      </c>
      <c r="BD23" s="120">
        <f>'02_Модель'!BD3</f>
        <v/>
      </c>
      <c r="BE23" s="120">
        <f>'02_Модель'!BE3</f>
        <v/>
      </c>
      <c r="BF23" s="120">
        <f>'02_Модель'!BF3</f>
        <v/>
      </c>
      <c r="BG23" s="120">
        <f>'02_Модель'!BG3</f>
        <v/>
      </c>
      <c r="BH23" s="120">
        <f>'02_Модель'!BH3</f>
        <v/>
      </c>
      <c r="BI23" s="120">
        <f>'02_Модель'!BI3</f>
        <v/>
      </c>
    </row>
    <row r="24" ht="26" customHeight="1">
      <c r="A24" s="104" t="inlineStr">
        <is>
          <t>Начислено: паушальные</t>
        </is>
      </c>
      <c r="B24" s="103">
        <f>'02_Модель'!B29</f>
        <v/>
      </c>
      <c r="C24" s="103">
        <f>'02_Модель'!C29</f>
        <v/>
      </c>
      <c r="D24" s="103">
        <f>'02_Модель'!D29</f>
        <v/>
      </c>
      <c r="E24" s="103">
        <f>'02_Модель'!E29</f>
        <v/>
      </c>
      <c r="F24" s="103">
        <f>'02_Модель'!F29</f>
        <v/>
      </c>
      <c r="G24" s="103">
        <f>'02_Модель'!G29</f>
        <v/>
      </c>
      <c r="H24" s="103">
        <f>'02_Модель'!H29</f>
        <v/>
      </c>
      <c r="I24" s="103">
        <f>'02_Модель'!I29</f>
        <v/>
      </c>
      <c r="J24" s="103">
        <f>'02_Модель'!J29</f>
        <v/>
      </c>
      <c r="K24" s="103">
        <f>'02_Модель'!K29</f>
        <v/>
      </c>
      <c r="L24" s="103">
        <f>'02_Модель'!L29</f>
        <v/>
      </c>
      <c r="M24" s="103">
        <f>'02_Модель'!M29</f>
        <v/>
      </c>
      <c r="N24" s="103">
        <f>'02_Модель'!N29</f>
        <v/>
      </c>
      <c r="O24" s="103">
        <f>'02_Модель'!O29</f>
        <v/>
      </c>
      <c r="P24" s="103">
        <f>'02_Модель'!P29</f>
        <v/>
      </c>
      <c r="Q24" s="103">
        <f>'02_Модель'!Q29</f>
        <v/>
      </c>
      <c r="R24" s="103">
        <f>'02_Модель'!R29</f>
        <v/>
      </c>
      <c r="S24" s="103">
        <f>'02_Модель'!S29</f>
        <v/>
      </c>
      <c r="T24" s="103">
        <f>'02_Модель'!T29</f>
        <v/>
      </c>
      <c r="U24" s="103">
        <f>'02_Модель'!U29</f>
        <v/>
      </c>
      <c r="V24" s="103">
        <f>'02_Модель'!V29</f>
        <v/>
      </c>
      <c r="W24" s="103">
        <f>'02_Модель'!W29</f>
        <v/>
      </c>
      <c r="X24" s="103">
        <f>'02_Модель'!X29</f>
        <v/>
      </c>
      <c r="Y24" s="103">
        <f>'02_Модель'!Y29</f>
        <v/>
      </c>
      <c r="Z24" s="103">
        <f>'02_Модель'!Z29</f>
        <v/>
      </c>
      <c r="AA24" s="103">
        <f>'02_Модель'!AA29</f>
        <v/>
      </c>
      <c r="AB24" s="103">
        <f>'02_Модель'!AB29</f>
        <v/>
      </c>
      <c r="AC24" s="103">
        <f>'02_Модель'!AC29</f>
        <v/>
      </c>
      <c r="AD24" s="103">
        <f>'02_Модель'!AD29</f>
        <v/>
      </c>
      <c r="AE24" s="103">
        <f>'02_Модель'!AE29</f>
        <v/>
      </c>
      <c r="AF24" s="103">
        <f>'02_Модель'!AF29</f>
        <v/>
      </c>
      <c r="AG24" s="103">
        <f>'02_Модель'!AG29</f>
        <v/>
      </c>
      <c r="AH24" s="103">
        <f>'02_Модель'!AH29</f>
        <v/>
      </c>
      <c r="AI24" s="103">
        <f>'02_Модель'!AI29</f>
        <v/>
      </c>
      <c r="AJ24" s="103">
        <f>'02_Модель'!AJ29</f>
        <v/>
      </c>
      <c r="AK24" s="103">
        <f>'02_Модель'!AK29</f>
        <v/>
      </c>
      <c r="AL24" s="103">
        <f>'02_Модель'!AL29</f>
        <v/>
      </c>
      <c r="AM24" s="103">
        <f>'02_Модель'!AM29</f>
        <v/>
      </c>
      <c r="AN24" s="103">
        <f>'02_Модель'!AN29</f>
        <v/>
      </c>
      <c r="AO24" s="103">
        <f>'02_Модель'!AO29</f>
        <v/>
      </c>
      <c r="AP24" s="103">
        <f>'02_Модель'!AP29</f>
        <v/>
      </c>
      <c r="AQ24" s="103">
        <f>'02_Модель'!AQ29</f>
        <v/>
      </c>
      <c r="AR24" s="103">
        <f>'02_Модель'!AR29</f>
        <v/>
      </c>
      <c r="AS24" s="103">
        <f>'02_Модель'!AS29</f>
        <v/>
      </c>
      <c r="AT24" s="103">
        <f>'02_Модель'!AT29</f>
        <v/>
      </c>
      <c r="AU24" s="103">
        <f>'02_Модель'!AU29</f>
        <v/>
      </c>
      <c r="AV24" s="103">
        <f>'02_Модель'!AV29</f>
        <v/>
      </c>
      <c r="AW24" s="103">
        <f>'02_Модель'!AW29</f>
        <v/>
      </c>
      <c r="AX24" s="103">
        <f>'02_Модель'!AX29</f>
        <v/>
      </c>
      <c r="AY24" s="103">
        <f>'02_Модель'!AY29</f>
        <v/>
      </c>
      <c r="AZ24" s="103">
        <f>'02_Модель'!AZ29</f>
        <v/>
      </c>
      <c r="BA24" s="103">
        <f>'02_Модель'!BA29</f>
        <v/>
      </c>
      <c r="BB24" s="103">
        <f>'02_Модель'!BB29</f>
        <v/>
      </c>
      <c r="BC24" s="103">
        <f>'02_Модель'!BC29</f>
        <v/>
      </c>
      <c r="BD24" s="103">
        <f>'02_Модель'!BD29</f>
        <v/>
      </c>
      <c r="BE24" s="103">
        <f>'02_Модель'!BE29</f>
        <v/>
      </c>
      <c r="BF24" s="103">
        <f>'02_Модель'!BF29</f>
        <v/>
      </c>
      <c r="BG24" s="103">
        <f>'02_Модель'!BG29</f>
        <v/>
      </c>
      <c r="BH24" s="103">
        <f>'02_Модель'!BH29</f>
        <v/>
      </c>
      <c r="BI24" s="121">
        <f>'02_Модель'!BI29</f>
        <v/>
      </c>
    </row>
    <row r="25" ht="26" customHeight="1">
      <c r="A25" s="104" t="inlineStr">
        <is>
          <t>Начислено: роялти</t>
        </is>
      </c>
      <c r="B25" s="103">
        <f>'02_Модель'!B30</f>
        <v/>
      </c>
      <c r="C25" s="103">
        <f>'02_Модель'!C30</f>
        <v/>
      </c>
      <c r="D25" s="103">
        <f>'02_Модель'!D30</f>
        <v/>
      </c>
      <c r="E25" s="103">
        <f>'02_Модель'!E30</f>
        <v/>
      </c>
      <c r="F25" s="103">
        <f>'02_Модель'!F30</f>
        <v/>
      </c>
      <c r="G25" s="103">
        <f>'02_Модель'!G30</f>
        <v/>
      </c>
      <c r="H25" s="103">
        <f>'02_Модель'!H30</f>
        <v/>
      </c>
      <c r="I25" s="103">
        <f>'02_Модель'!I30</f>
        <v/>
      </c>
      <c r="J25" s="103">
        <f>'02_Модель'!J30</f>
        <v/>
      </c>
      <c r="K25" s="103">
        <f>'02_Модель'!K30</f>
        <v/>
      </c>
      <c r="L25" s="103">
        <f>'02_Модель'!L30</f>
        <v/>
      </c>
      <c r="M25" s="103">
        <f>'02_Модель'!M30</f>
        <v/>
      </c>
      <c r="N25" s="103">
        <f>'02_Модель'!N30</f>
        <v/>
      </c>
      <c r="O25" s="103">
        <f>'02_Модель'!O30</f>
        <v/>
      </c>
      <c r="P25" s="103">
        <f>'02_Модель'!P30</f>
        <v/>
      </c>
      <c r="Q25" s="103">
        <f>'02_Модель'!Q30</f>
        <v/>
      </c>
      <c r="R25" s="103">
        <f>'02_Модель'!R30</f>
        <v/>
      </c>
      <c r="S25" s="103">
        <f>'02_Модель'!S30</f>
        <v/>
      </c>
      <c r="T25" s="103">
        <f>'02_Модель'!T30</f>
        <v/>
      </c>
      <c r="U25" s="103">
        <f>'02_Модель'!U30</f>
        <v/>
      </c>
      <c r="V25" s="103">
        <f>'02_Модель'!V30</f>
        <v/>
      </c>
      <c r="W25" s="103">
        <f>'02_Модель'!W30</f>
        <v/>
      </c>
      <c r="X25" s="103">
        <f>'02_Модель'!X30</f>
        <v/>
      </c>
      <c r="Y25" s="103">
        <f>'02_Модель'!Y30</f>
        <v/>
      </c>
      <c r="Z25" s="103">
        <f>'02_Модель'!Z30</f>
        <v/>
      </c>
      <c r="AA25" s="103">
        <f>'02_Модель'!AA30</f>
        <v/>
      </c>
      <c r="AB25" s="103">
        <f>'02_Модель'!AB30</f>
        <v/>
      </c>
      <c r="AC25" s="103">
        <f>'02_Модель'!AC30</f>
        <v/>
      </c>
      <c r="AD25" s="103">
        <f>'02_Модель'!AD30</f>
        <v/>
      </c>
      <c r="AE25" s="103">
        <f>'02_Модель'!AE30</f>
        <v/>
      </c>
      <c r="AF25" s="103">
        <f>'02_Модель'!AF30</f>
        <v/>
      </c>
      <c r="AG25" s="103">
        <f>'02_Модель'!AG30</f>
        <v/>
      </c>
      <c r="AH25" s="103">
        <f>'02_Модель'!AH30</f>
        <v/>
      </c>
      <c r="AI25" s="103">
        <f>'02_Модель'!AI30</f>
        <v/>
      </c>
      <c r="AJ25" s="103">
        <f>'02_Модель'!AJ30</f>
        <v/>
      </c>
      <c r="AK25" s="103">
        <f>'02_Модель'!AK30</f>
        <v/>
      </c>
      <c r="AL25" s="103">
        <f>'02_Модель'!AL30</f>
        <v/>
      </c>
      <c r="AM25" s="103">
        <f>'02_Модель'!AM30</f>
        <v/>
      </c>
      <c r="AN25" s="103">
        <f>'02_Модель'!AN30</f>
        <v/>
      </c>
      <c r="AO25" s="103">
        <f>'02_Модель'!AO30</f>
        <v/>
      </c>
      <c r="AP25" s="103">
        <f>'02_Модель'!AP30</f>
        <v/>
      </c>
      <c r="AQ25" s="103">
        <f>'02_Модель'!AQ30</f>
        <v/>
      </c>
      <c r="AR25" s="103">
        <f>'02_Модель'!AR30</f>
        <v/>
      </c>
      <c r="AS25" s="103">
        <f>'02_Модель'!AS30</f>
        <v/>
      </c>
      <c r="AT25" s="103">
        <f>'02_Модель'!AT30</f>
        <v/>
      </c>
      <c r="AU25" s="103">
        <f>'02_Модель'!AU30</f>
        <v/>
      </c>
      <c r="AV25" s="103">
        <f>'02_Модель'!AV30</f>
        <v/>
      </c>
      <c r="AW25" s="103">
        <f>'02_Модель'!AW30</f>
        <v/>
      </c>
      <c r="AX25" s="103">
        <f>'02_Модель'!AX30</f>
        <v/>
      </c>
      <c r="AY25" s="103">
        <f>'02_Модель'!AY30</f>
        <v/>
      </c>
      <c r="AZ25" s="103">
        <f>'02_Модель'!AZ30</f>
        <v/>
      </c>
      <c r="BA25" s="103">
        <f>'02_Модель'!BA30</f>
        <v/>
      </c>
      <c r="BB25" s="103">
        <f>'02_Модель'!BB30</f>
        <v/>
      </c>
      <c r="BC25" s="103">
        <f>'02_Модель'!BC30</f>
        <v/>
      </c>
      <c r="BD25" s="103">
        <f>'02_Модель'!BD30</f>
        <v/>
      </c>
      <c r="BE25" s="103">
        <f>'02_Модель'!BE30</f>
        <v/>
      </c>
      <c r="BF25" s="103">
        <f>'02_Модель'!BF30</f>
        <v/>
      </c>
      <c r="BG25" s="103">
        <f>'02_Модель'!BG30</f>
        <v/>
      </c>
      <c r="BH25" s="103">
        <f>'02_Модель'!BH30</f>
        <v/>
      </c>
      <c r="BI25" s="121">
        <f>'02_Модель'!BI30</f>
        <v/>
      </c>
    </row>
    <row r="26" ht="26" customHeight="1">
      <c r="A26" s="104" t="inlineStr">
        <is>
          <t>Начислено: мерч</t>
        </is>
      </c>
      <c r="B26" s="103">
        <f>'02_Модель'!B28</f>
        <v/>
      </c>
      <c r="C26" s="103">
        <f>'02_Модель'!C28</f>
        <v/>
      </c>
      <c r="D26" s="103">
        <f>'02_Модель'!D28</f>
        <v/>
      </c>
      <c r="E26" s="103">
        <f>'02_Модель'!E28</f>
        <v/>
      </c>
      <c r="F26" s="103">
        <f>'02_Модель'!F28</f>
        <v/>
      </c>
      <c r="G26" s="103">
        <f>'02_Модель'!G28</f>
        <v/>
      </c>
      <c r="H26" s="103">
        <f>'02_Модель'!H28</f>
        <v/>
      </c>
      <c r="I26" s="103">
        <f>'02_Модель'!I28</f>
        <v/>
      </c>
      <c r="J26" s="103">
        <f>'02_Модель'!J28</f>
        <v/>
      </c>
      <c r="K26" s="103">
        <f>'02_Модель'!K28</f>
        <v/>
      </c>
      <c r="L26" s="103">
        <f>'02_Модель'!L28</f>
        <v/>
      </c>
      <c r="M26" s="103">
        <f>'02_Модель'!M28</f>
        <v/>
      </c>
      <c r="N26" s="103">
        <f>'02_Модель'!N28</f>
        <v/>
      </c>
      <c r="O26" s="103">
        <f>'02_Модель'!O28</f>
        <v/>
      </c>
      <c r="P26" s="103">
        <f>'02_Модель'!P28</f>
        <v/>
      </c>
      <c r="Q26" s="103">
        <f>'02_Модель'!Q28</f>
        <v/>
      </c>
      <c r="R26" s="103">
        <f>'02_Модель'!R28</f>
        <v/>
      </c>
      <c r="S26" s="103">
        <f>'02_Модель'!S28</f>
        <v/>
      </c>
      <c r="T26" s="103">
        <f>'02_Модель'!T28</f>
        <v/>
      </c>
      <c r="U26" s="103">
        <f>'02_Модель'!U28</f>
        <v/>
      </c>
      <c r="V26" s="103">
        <f>'02_Модель'!V28</f>
        <v/>
      </c>
      <c r="W26" s="103">
        <f>'02_Модель'!W28</f>
        <v/>
      </c>
      <c r="X26" s="103">
        <f>'02_Модель'!X28</f>
        <v/>
      </c>
      <c r="Y26" s="103">
        <f>'02_Модель'!Y28</f>
        <v/>
      </c>
      <c r="Z26" s="103">
        <f>'02_Модель'!Z28</f>
        <v/>
      </c>
      <c r="AA26" s="103">
        <f>'02_Модель'!AA28</f>
        <v/>
      </c>
      <c r="AB26" s="103">
        <f>'02_Модель'!AB28</f>
        <v/>
      </c>
      <c r="AC26" s="103">
        <f>'02_Модель'!AC28</f>
        <v/>
      </c>
      <c r="AD26" s="103">
        <f>'02_Модель'!AD28</f>
        <v/>
      </c>
      <c r="AE26" s="103">
        <f>'02_Модель'!AE28</f>
        <v/>
      </c>
      <c r="AF26" s="103">
        <f>'02_Модель'!AF28</f>
        <v/>
      </c>
      <c r="AG26" s="103">
        <f>'02_Модель'!AG28</f>
        <v/>
      </c>
      <c r="AH26" s="103">
        <f>'02_Модель'!AH28</f>
        <v/>
      </c>
      <c r="AI26" s="103">
        <f>'02_Модель'!AI28</f>
        <v/>
      </c>
      <c r="AJ26" s="103">
        <f>'02_Модель'!AJ28</f>
        <v/>
      </c>
      <c r="AK26" s="103">
        <f>'02_Модель'!AK28</f>
        <v/>
      </c>
      <c r="AL26" s="103">
        <f>'02_Модель'!AL28</f>
        <v/>
      </c>
      <c r="AM26" s="103">
        <f>'02_Модель'!AM28</f>
        <v/>
      </c>
      <c r="AN26" s="103">
        <f>'02_Модель'!AN28</f>
        <v/>
      </c>
      <c r="AO26" s="103">
        <f>'02_Модель'!AO28</f>
        <v/>
      </c>
      <c r="AP26" s="103">
        <f>'02_Модель'!AP28</f>
        <v/>
      </c>
      <c r="AQ26" s="103">
        <f>'02_Модель'!AQ28</f>
        <v/>
      </c>
      <c r="AR26" s="103">
        <f>'02_Модель'!AR28</f>
        <v/>
      </c>
      <c r="AS26" s="103">
        <f>'02_Модель'!AS28</f>
        <v/>
      </c>
      <c r="AT26" s="103">
        <f>'02_Модель'!AT28</f>
        <v/>
      </c>
      <c r="AU26" s="103">
        <f>'02_Модель'!AU28</f>
        <v/>
      </c>
      <c r="AV26" s="103">
        <f>'02_Модель'!AV28</f>
        <v/>
      </c>
      <c r="AW26" s="103">
        <f>'02_Модель'!AW28</f>
        <v/>
      </c>
      <c r="AX26" s="103">
        <f>'02_Модель'!AX28</f>
        <v/>
      </c>
      <c r="AY26" s="103">
        <f>'02_Модель'!AY28</f>
        <v/>
      </c>
      <c r="AZ26" s="103">
        <f>'02_Модель'!AZ28</f>
        <v/>
      </c>
      <c r="BA26" s="103">
        <f>'02_Модель'!BA28</f>
        <v/>
      </c>
      <c r="BB26" s="103">
        <f>'02_Модель'!BB28</f>
        <v/>
      </c>
      <c r="BC26" s="103">
        <f>'02_Модель'!BC28</f>
        <v/>
      </c>
      <c r="BD26" s="103">
        <f>'02_Модель'!BD28</f>
        <v/>
      </c>
      <c r="BE26" s="103">
        <f>'02_Модель'!BE28</f>
        <v/>
      </c>
      <c r="BF26" s="103">
        <f>'02_Модель'!BF28</f>
        <v/>
      </c>
      <c r="BG26" s="103">
        <f>'02_Модель'!BG28</f>
        <v/>
      </c>
      <c r="BH26" s="103">
        <f>'02_Модель'!BH28</f>
        <v/>
      </c>
      <c r="BI26" s="121">
        <f>'02_Модель'!BI28</f>
        <v/>
      </c>
    </row>
    <row r="27" ht="26" customHeight="1">
      <c r="A27" s="104" t="inlineStr">
        <is>
          <t>Начислено: итого</t>
        </is>
      </c>
      <c r="B27" s="117">
        <f>SUM(B24:B26)</f>
        <v/>
      </c>
      <c r="C27" s="117">
        <f>SUM(C24:C26)</f>
        <v/>
      </c>
      <c r="D27" s="117">
        <f>SUM(D24:D26)</f>
        <v/>
      </c>
      <c r="E27" s="117">
        <f>SUM(E24:E26)</f>
        <v/>
      </c>
      <c r="F27" s="117">
        <f>SUM(F24:F26)</f>
        <v/>
      </c>
      <c r="G27" s="117">
        <f>SUM(G24:G26)</f>
        <v/>
      </c>
      <c r="H27" s="117">
        <f>SUM(H24:H26)</f>
        <v/>
      </c>
      <c r="I27" s="117">
        <f>SUM(I24:I26)</f>
        <v/>
      </c>
      <c r="J27" s="117">
        <f>SUM(J24:J26)</f>
        <v/>
      </c>
      <c r="K27" s="117">
        <f>SUM(K24:K26)</f>
        <v/>
      </c>
      <c r="L27" s="117">
        <f>SUM(L24:L26)</f>
        <v/>
      </c>
      <c r="M27" s="117">
        <f>SUM(M24:M26)</f>
        <v/>
      </c>
      <c r="N27" s="117">
        <f>SUM(N24:N26)</f>
        <v/>
      </c>
      <c r="O27" s="117">
        <f>SUM(O24:O26)</f>
        <v/>
      </c>
      <c r="P27" s="117">
        <f>SUM(P24:P26)</f>
        <v/>
      </c>
      <c r="Q27" s="117">
        <f>SUM(Q24:Q26)</f>
        <v/>
      </c>
      <c r="R27" s="117">
        <f>SUM(R24:R26)</f>
        <v/>
      </c>
      <c r="S27" s="117">
        <f>SUM(S24:S26)</f>
        <v/>
      </c>
      <c r="T27" s="117">
        <f>SUM(T24:T26)</f>
        <v/>
      </c>
      <c r="U27" s="117">
        <f>SUM(U24:U26)</f>
        <v/>
      </c>
      <c r="V27" s="117">
        <f>SUM(V24:V26)</f>
        <v/>
      </c>
      <c r="W27" s="117">
        <f>SUM(W24:W26)</f>
        <v/>
      </c>
      <c r="X27" s="117">
        <f>SUM(X24:X26)</f>
        <v/>
      </c>
      <c r="Y27" s="117">
        <f>SUM(Y24:Y26)</f>
        <v/>
      </c>
      <c r="Z27" s="117">
        <f>SUM(Z24:Z26)</f>
        <v/>
      </c>
      <c r="AA27" s="117">
        <f>SUM(AA24:AA26)</f>
        <v/>
      </c>
      <c r="AB27" s="117">
        <f>SUM(AB24:AB26)</f>
        <v/>
      </c>
      <c r="AC27" s="117">
        <f>SUM(AC24:AC26)</f>
        <v/>
      </c>
      <c r="AD27" s="117">
        <f>SUM(AD24:AD26)</f>
        <v/>
      </c>
      <c r="AE27" s="117">
        <f>SUM(AE24:AE26)</f>
        <v/>
      </c>
      <c r="AF27" s="117">
        <f>SUM(AF24:AF26)</f>
        <v/>
      </c>
      <c r="AG27" s="117">
        <f>SUM(AG24:AG26)</f>
        <v/>
      </c>
      <c r="AH27" s="117">
        <f>SUM(AH24:AH26)</f>
        <v/>
      </c>
      <c r="AI27" s="117">
        <f>SUM(AI24:AI26)</f>
        <v/>
      </c>
      <c r="AJ27" s="117">
        <f>SUM(AJ24:AJ26)</f>
        <v/>
      </c>
      <c r="AK27" s="117">
        <f>SUM(AK24:AK26)</f>
        <v/>
      </c>
      <c r="AL27" s="117">
        <f>SUM(AL24:AL26)</f>
        <v/>
      </c>
      <c r="AM27" s="117">
        <f>SUM(AM24:AM26)</f>
        <v/>
      </c>
      <c r="AN27" s="117">
        <f>SUM(AN24:AN26)</f>
        <v/>
      </c>
      <c r="AO27" s="117">
        <f>SUM(AO24:AO26)</f>
        <v/>
      </c>
      <c r="AP27" s="117">
        <f>SUM(AP24:AP26)</f>
        <v/>
      </c>
      <c r="AQ27" s="117">
        <f>SUM(AQ24:AQ26)</f>
        <v/>
      </c>
      <c r="AR27" s="117">
        <f>SUM(AR24:AR26)</f>
        <v/>
      </c>
      <c r="AS27" s="117">
        <f>SUM(AS24:AS26)</f>
        <v/>
      </c>
      <c r="AT27" s="117">
        <f>SUM(AT24:AT26)</f>
        <v/>
      </c>
      <c r="AU27" s="117">
        <f>SUM(AU24:AU26)</f>
        <v/>
      </c>
      <c r="AV27" s="117">
        <f>SUM(AV24:AV26)</f>
        <v/>
      </c>
      <c r="AW27" s="117">
        <f>SUM(AW24:AW26)</f>
        <v/>
      </c>
      <c r="AX27" s="117">
        <f>SUM(AX24:AX26)</f>
        <v/>
      </c>
      <c r="AY27" s="117">
        <f>SUM(AY24:AY26)</f>
        <v/>
      </c>
      <c r="AZ27" s="117">
        <f>SUM(AZ24:AZ26)</f>
        <v/>
      </c>
      <c r="BA27" s="117">
        <f>SUM(BA24:BA26)</f>
        <v/>
      </c>
      <c r="BB27" s="117">
        <f>SUM(BB24:BB26)</f>
        <v/>
      </c>
      <c r="BC27" s="117">
        <f>SUM(BC24:BC26)</f>
        <v/>
      </c>
      <c r="BD27" s="117">
        <f>SUM(BD24:BD26)</f>
        <v/>
      </c>
      <c r="BE27" s="117">
        <f>SUM(BE24:BE26)</f>
        <v/>
      </c>
      <c r="BF27" s="117">
        <f>SUM(BF24:BF26)</f>
        <v/>
      </c>
      <c r="BG27" s="117">
        <f>SUM(BG24:BG26)</f>
        <v/>
      </c>
      <c r="BH27" s="117">
        <f>SUM(BH24:BH26)</f>
        <v/>
      </c>
      <c r="BI27" s="122">
        <f>SUM(BI24:BI26)</f>
        <v/>
      </c>
    </row>
    <row r="28" ht="26" customHeight="1">
      <c r="A28" s="104" t="n"/>
      <c r="B28" s="115" t="n"/>
      <c r="C28" s="115" t="n"/>
      <c r="D28" s="115" t="n"/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  <c r="O28" s="115" t="n"/>
      <c r="P28" s="115" t="n"/>
      <c r="Q28" s="115" t="n"/>
      <c r="R28" s="115" t="n"/>
      <c r="S28" s="115" t="n"/>
      <c r="T28" s="115" t="n"/>
      <c r="U28" s="115" t="n"/>
      <c r="V28" s="115" t="n"/>
      <c r="W28" s="115" t="n"/>
      <c r="X28" s="115" t="n"/>
      <c r="Y28" s="115" t="n"/>
      <c r="Z28" s="115" t="n"/>
      <c r="AA28" s="115" t="n"/>
      <c r="AB28" s="115" t="n"/>
      <c r="AC28" s="115" t="n"/>
      <c r="AD28" s="115" t="n"/>
      <c r="AE28" s="115" t="n"/>
      <c r="AF28" s="115" t="n"/>
      <c r="AG28" s="115" t="n"/>
      <c r="AH28" s="115" t="n"/>
      <c r="AI28" s="115" t="n"/>
      <c r="AJ28" s="115" t="n"/>
      <c r="AK28" s="115" t="n"/>
      <c r="AL28" s="115" t="n"/>
      <c r="AM28" s="115" t="n"/>
      <c r="AN28" s="115" t="n"/>
      <c r="AO28" s="115" t="n"/>
      <c r="AP28" s="115" t="n"/>
      <c r="AQ28" s="115" t="n"/>
      <c r="AR28" s="115" t="n"/>
      <c r="AS28" s="115" t="n"/>
      <c r="AT28" s="115" t="n"/>
      <c r="AU28" s="115" t="n"/>
      <c r="AV28" s="115" t="n"/>
      <c r="AW28" s="115" t="n"/>
      <c r="AX28" s="115" t="n"/>
      <c r="AY28" s="115" t="n"/>
      <c r="AZ28" s="115" t="n"/>
      <c r="BA28" s="115" t="n"/>
      <c r="BB28" s="115" t="n"/>
      <c r="BC28" s="115" t="n"/>
      <c r="BD28" s="115" t="n"/>
      <c r="BE28" s="115" t="n"/>
      <c r="BF28" s="115" t="n"/>
      <c r="BG28" s="115" t="n"/>
      <c r="BH28" s="115" t="n"/>
      <c r="BI28" s="104" t="n"/>
    </row>
    <row r="29" ht="26" customHeight="1">
      <c r="A29" s="104" t="inlineStr">
        <is>
          <t>Оплата: паушальные</t>
        </is>
      </c>
      <c r="B29" s="103">
        <f>'02_Модель'!B29</f>
        <v/>
      </c>
      <c r="C29" s="103">
        <f>'02_Модель'!C29</f>
        <v/>
      </c>
      <c r="D29" s="103">
        <f>'02_Модель'!D29</f>
        <v/>
      </c>
      <c r="E29" s="103">
        <f>'02_Модель'!E29</f>
        <v/>
      </c>
      <c r="F29" s="103">
        <f>'02_Модель'!F29</f>
        <v/>
      </c>
      <c r="G29" s="103">
        <f>'02_Модель'!G29</f>
        <v/>
      </c>
      <c r="H29" s="103">
        <f>'02_Модель'!H29</f>
        <v/>
      </c>
      <c r="I29" s="103">
        <f>'02_Модель'!I29</f>
        <v/>
      </c>
      <c r="J29" s="103">
        <f>'02_Модель'!J29</f>
        <v/>
      </c>
      <c r="K29" s="103">
        <f>'02_Модель'!K29</f>
        <v/>
      </c>
      <c r="L29" s="103">
        <f>'02_Модель'!L29</f>
        <v/>
      </c>
      <c r="M29" s="103">
        <f>'02_Модель'!M29</f>
        <v/>
      </c>
      <c r="N29" s="103">
        <f>'02_Модель'!N29</f>
        <v/>
      </c>
      <c r="O29" s="103">
        <f>'02_Модель'!O29</f>
        <v/>
      </c>
      <c r="P29" s="103">
        <f>'02_Модель'!P29</f>
        <v/>
      </c>
      <c r="Q29" s="103">
        <f>'02_Модель'!Q29</f>
        <v/>
      </c>
      <c r="R29" s="103">
        <f>'02_Модель'!R29</f>
        <v/>
      </c>
      <c r="S29" s="103">
        <f>'02_Модель'!S29</f>
        <v/>
      </c>
      <c r="T29" s="103">
        <f>'02_Модель'!T29</f>
        <v/>
      </c>
      <c r="U29" s="103">
        <f>'02_Модель'!U29</f>
        <v/>
      </c>
      <c r="V29" s="103">
        <f>'02_Модель'!V29</f>
        <v/>
      </c>
      <c r="W29" s="103">
        <f>'02_Модель'!W29</f>
        <v/>
      </c>
      <c r="X29" s="103">
        <f>'02_Модель'!X29</f>
        <v/>
      </c>
      <c r="Y29" s="103">
        <f>'02_Модель'!Y29</f>
        <v/>
      </c>
      <c r="Z29" s="103">
        <f>'02_Модель'!Z29</f>
        <v/>
      </c>
      <c r="AA29" s="103">
        <f>'02_Модель'!AA29</f>
        <v/>
      </c>
      <c r="AB29" s="103">
        <f>'02_Модель'!AB29</f>
        <v/>
      </c>
      <c r="AC29" s="103">
        <f>'02_Модель'!AC29</f>
        <v/>
      </c>
      <c r="AD29" s="103">
        <f>'02_Модель'!AD29</f>
        <v/>
      </c>
      <c r="AE29" s="103">
        <f>'02_Модель'!AE29</f>
        <v/>
      </c>
      <c r="AF29" s="103">
        <f>'02_Модель'!AF29</f>
        <v/>
      </c>
      <c r="AG29" s="103">
        <f>'02_Модель'!AG29</f>
        <v/>
      </c>
      <c r="AH29" s="103">
        <f>'02_Модель'!AH29</f>
        <v/>
      </c>
      <c r="AI29" s="103">
        <f>'02_Модель'!AI29</f>
        <v/>
      </c>
      <c r="AJ29" s="103">
        <f>'02_Модель'!AJ29</f>
        <v/>
      </c>
      <c r="AK29" s="103">
        <f>'02_Модель'!AK29</f>
        <v/>
      </c>
      <c r="AL29" s="103">
        <f>'02_Модель'!AL29</f>
        <v/>
      </c>
      <c r="AM29" s="103">
        <f>'02_Модель'!AM29</f>
        <v/>
      </c>
      <c r="AN29" s="103">
        <f>'02_Модель'!AN29</f>
        <v/>
      </c>
      <c r="AO29" s="103">
        <f>'02_Модель'!AO29</f>
        <v/>
      </c>
      <c r="AP29" s="103">
        <f>'02_Модель'!AP29</f>
        <v/>
      </c>
      <c r="AQ29" s="103">
        <f>'02_Модель'!AQ29</f>
        <v/>
      </c>
      <c r="AR29" s="103">
        <f>'02_Модель'!AR29</f>
        <v/>
      </c>
      <c r="AS29" s="103">
        <f>'02_Модель'!AS29</f>
        <v/>
      </c>
      <c r="AT29" s="103">
        <f>'02_Модель'!AT29</f>
        <v/>
      </c>
      <c r="AU29" s="103">
        <f>'02_Модель'!AU29</f>
        <v/>
      </c>
      <c r="AV29" s="103">
        <f>'02_Модель'!AV29</f>
        <v/>
      </c>
      <c r="AW29" s="103">
        <f>'02_Модель'!AW29</f>
        <v/>
      </c>
      <c r="AX29" s="103">
        <f>'02_Модель'!AX29</f>
        <v/>
      </c>
      <c r="AY29" s="103">
        <f>'02_Модель'!AY29</f>
        <v/>
      </c>
      <c r="AZ29" s="103">
        <f>'02_Модель'!AZ29</f>
        <v/>
      </c>
      <c r="BA29" s="103">
        <f>'02_Модель'!BA29</f>
        <v/>
      </c>
      <c r="BB29" s="103">
        <f>'02_Модель'!BB29</f>
        <v/>
      </c>
      <c r="BC29" s="103">
        <f>'02_Модель'!BC29</f>
        <v/>
      </c>
      <c r="BD29" s="103">
        <f>'02_Модель'!BD29</f>
        <v/>
      </c>
      <c r="BE29" s="103">
        <f>'02_Модель'!BE29</f>
        <v/>
      </c>
      <c r="BF29" s="103">
        <f>'02_Модель'!BF29</f>
        <v/>
      </c>
      <c r="BG29" s="103">
        <f>'02_Модель'!BG29</f>
        <v/>
      </c>
      <c r="BH29" s="103">
        <f>'02_Модель'!BH29</f>
        <v/>
      </c>
      <c r="BI29" s="121">
        <f>'02_Модель'!BI29</f>
        <v/>
      </c>
    </row>
    <row r="30" ht="26" customHeight="1">
      <c r="A30" s="104" t="inlineStr">
        <is>
          <t>Оплата: роялти</t>
        </is>
      </c>
      <c r="B30" s="103">
        <f>'02_Модель'!B53/(1+'01_Вводные'!$B$58)*'01_Вводные'!$B$60</f>
        <v/>
      </c>
      <c r="C30" s="103">
        <f>'02_Модель'!C53/(1+'01_Вводные'!$B$58)*'01_Вводные'!$B$60</f>
        <v/>
      </c>
      <c r="D30" s="103">
        <f>'02_Модель'!D53/(1+'01_Вводные'!$B$58)*'01_Вводные'!$B$60</f>
        <v/>
      </c>
      <c r="E30" s="103">
        <f>'02_Модель'!E53/(1+'01_Вводные'!$B$58)*'01_Вводные'!$B$60</f>
        <v/>
      </c>
      <c r="F30" s="103">
        <f>'02_Модель'!F53/(1+'01_Вводные'!$B$58)*'01_Вводные'!$B$60</f>
        <v/>
      </c>
      <c r="G30" s="103">
        <f>'02_Модель'!G53/(1+'01_Вводные'!$B$58)*'01_Вводные'!$B$60</f>
        <v/>
      </c>
      <c r="H30" s="103">
        <f>'02_Модель'!H53/(1+'01_Вводные'!$B$58)*'01_Вводные'!$B$60</f>
        <v/>
      </c>
      <c r="I30" s="103">
        <f>'02_Модель'!I53/(1+'01_Вводные'!$B$58)*'01_Вводные'!$B$60</f>
        <v/>
      </c>
      <c r="J30" s="103">
        <f>'02_Модель'!J53/(1+'01_Вводные'!$B$58)*'01_Вводные'!$B$60</f>
        <v/>
      </c>
      <c r="K30" s="103">
        <f>'02_Модель'!K53/(1+'01_Вводные'!$B$58)*'01_Вводные'!$B$60</f>
        <v/>
      </c>
      <c r="L30" s="103">
        <f>'02_Модель'!L53/(1+'01_Вводные'!$B$58)*'01_Вводные'!$B$60</f>
        <v/>
      </c>
      <c r="M30" s="103">
        <f>'02_Модель'!M53/(1+'01_Вводные'!$B$58)*'01_Вводные'!$B$60</f>
        <v/>
      </c>
      <c r="N30" s="103">
        <f>'02_Модель'!N53/(1+'01_Вводные'!$B$58)*'01_Вводные'!$B$60</f>
        <v/>
      </c>
      <c r="O30" s="103">
        <f>'02_Модель'!O53/(1+'01_Вводные'!$B$58)*'01_Вводные'!$B$60</f>
        <v/>
      </c>
      <c r="P30" s="103">
        <f>'02_Модель'!P53/(1+'01_Вводные'!$B$58)*'01_Вводные'!$B$60</f>
        <v/>
      </c>
      <c r="Q30" s="103">
        <f>'02_Модель'!Q53/(1+'01_Вводные'!$B$58)*'01_Вводные'!$B$60</f>
        <v/>
      </c>
      <c r="R30" s="103">
        <f>'02_Модель'!R53/(1+'01_Вводные'!$B$58)*'01_Вводные'!$B$60</f>
        <v/>
      </c>
      <c r="S30" s="103">
        <f>'02_Модель'!S53/(1+'01_Вводные'!$B$58)*'01_Вводные'!$B$60</f>
        <v/>
      </c>
      <c r="T30" s="103">
        <f>'02_Модель'!T53/(1+'01_Вводные'!$B$58)*'01_Вводные'!$B$60</f>
        <v/>
      </c>
      <c r="U30" s="103">
        <f>'02_Модель'!U53/(1+'01_Вводные'!$B$58)*'01_Вводные'!$B$60</f>
        <v/>
      </c>
      <c r="V30" s="103">
        <f>'02_Модель'!V53/(1+'01_Вводные'!$B$58)*'01_Вводные'!$B$60</f>
        <v/>
      </c>
      <c r="W30" s="103">
        <f>'02_Модель'!W53/(1+'01_Вводные'!$B$58)*'01_Вводные'!$B$60</f>
        <v/>
      </c>
      <c r="X30" s="103">
        <f>'02_Модель'!X53/(1+'01_Вводные'!$B$58)*'01_Вводные'!$B$60</f>
        <v/>
      </c>
      <c r="Y30" s="103">
        <f>'02_Модель'!Y53/(1+'01_Вводные'!$B$58)*'01_Вводные'!$B$60</f>
        <v/>
      </c>
      <c r="Z30" s="103">
        <f>'02_Модель'!Z53/(1+'01_Вводные'!$B$58)*'01_Вводные'!$B$60</f>
        <v/>
      </c>
      <c r="AA30" s="103">
        <f>'02_Модель'!AA53/(1+'01_Вводные'!$B$58)*'01_Вводные'!$B$60</f>
        <v/>
      </c>
      <c r="AB30" s="103">
        <f>'02_Модель'!AB53/(1+'01_Вводные'!$B$58)*'01_Вводные'!$B$60</f>
        <v/>
      </c>
      <c r="AC30" s="103">
        <f>'02_Модель'!AC53/(1+'01_Вводные'!$B$58)*'01_Вводные'!$B$60</f>
        <v/>
      </c>
      <c r="AD30" s="103">
        <f>'02_Модель'!AD53/(1+'01_Вводные'!$B$58)*'01_Вводные'!$B$60</f>
        <v/>
      </c>
      <c r="AE30" s="103">
        <f>'02_Модель'!AE53/(1+'01_Вводные'!$B$58)*'01_Вводные'!$B$60</f>
        <v/>
      </c>
      <c r="AF30" s="103">
        <f>'02_Модель'!AF53/(1+'01_Вводные'!$B$58)*'01_Вводные'!$B$60</f>
        <v/>
      </c>
      <c r="AG30" s="103">
        <f>'02_Модель'!AG53/(1+'01_Вводные'!$B$58)*'01_Вводные'!$B$60</f>
        <v/>
      </c>
      <c r="AH30" s="103">
        <f>'02_Модель'!AH53/(1+'01_Вводные'!$B$58)*'01_Вводные'!$B$60</f>
        <v/>
      </c>
      <c r="AI30" s="103">
        <f>'02_Модель'!AI53/(1+'01_Вводные'!$B$58)*'01_Вводные'!$B$60</f>
        <v/>
      </c>
      <c r="AJ30" s="103">
        <f>'02_Модель'!AJ53/(1+'01_Вводные'!$B$58)*'01_Вводные'!$B$60</f>
        <v/>
      </c>
      <c r="AK30" s="103">
        <f>'02_Модель'!AK53/(1+'01_Вводные'!$B$58)*'01_Вводные'!$B$60</f>
        <v/>
      </c>
      <c r="AL30" s="103">
        <f>'02_Модель'!AL53/(1+'01_Вводные'!$B$58)*'01_Вводные'!$B$60</f>
        <v/>
      </c>
      <c r="AM30" s="103">
        <f>'02_Модель'!AM53/(1+'01_Вводные'!$B$58)*'01_Вводные'!$B$60</f>
        <v/>
      </c>
      <c r="AN30" s="103">
        <f>'02_Модель'!AN53/(1+'01_Вводные'!$B$58)*'01_Вводные'!$B$60</f>
        <v/>
      </c>
      <c r="AO30" s="103">
        <f>'02_Модель'!AO53/(1+'01_Вводные'!$B$58)*'01_Вводные'!$B$60</f>
        <v/>
      </c>
      <c r="AP30" s="103">
        <f>'02_Модель'!AP53/(1+'01_Вводные'!$B$58)*'01_Вводные'!$B$60</f>
        <v/>
      </c>
      <c r="AQ30" s="103">
        <f>'02_Модель'!AQ53/(1+'01_Вводные'!$B$58)*'01_Вводные'!$B$60</f>
        <v/>
      </c>
      <c r="AR30" s="103">
        <f>'02_Модель'!AR53/(1+'01_Вводные'!$B$58)*'01_Вводные'!$B$60</f>
        <v/>
      </c>
      <c r="AS30" s="103">
        <f>'02_Модель'!AS53/(1+'01_Вводные'!$B$58)*'01_Вводные'!$B$60</f>
        <v/>
      </c>
      <c r="AT30" s="103">
        <f>'02_Модель'!AT53/(1+'01_Вводные'!$B$58)*'01_Вводные'!$B$60</f>
        <v/>
      </c>
      <c r="AU30" s="103">
        <f>'02_Модель'!AU53/(1+'01_Вводные'!$B$58)*'01_Вводные'!$B$60</f>
        <v/>
      </c>
      <c r="AV30" s="103">
        <f>'02_Модель'!AV53/(1+'01_Вводные'!$B$58)*'01_Вводные'!$B$60</f>
        <v/>
      </c>
      <c r="AW30" s="103">
        <f>'02_Модель'!AW53/(1+'01_Вводные'!$B$58)*'01_Вводные'!$B$60</f>
        <v/>
      </c>
      <c r="AX30" s="103">
        <f>'02_Модель'!AX53/(1+'01_Вводные'!$B$58)*'01_Вводные'!$B$60</f>
        <v/>
      </c>
      <c r="AY30" s="103">
        <f>'02_Модель'!AY53/(1+'01_Вводные'!$B$58)*'01_Вводные'!$B$60</f>
        <v/>
      </c>
      <c r="AZ30" s="103">
        <f>'02_Модель'!AZ53/(1+'01_Вводные'!$B$58)*'01_Вводные'!$B$60</f>
        <v/>
      </c>
      <c r="BA30" s="103">
        <f>'02_Модель'!BA53/(1+'01_Вводные'!$B$58)*'01_Вводные'!$B$60</f>
        <v/>
      </c>
      <c r="BB30" s="103">
        <f>'02_Модель'!BB53/(1+'01_Вводные'!$B$58)*'01_Вводные'!$B$60</f>
        <v/>
      </c>
      <c r="BC30" s="103">
        <f>'02_Модель'!BC53/(1+'01_Вводные'!$B$58)*'01_Вводные'!$B$60</f>
        <v/>
      </c>
      <c r="BD30" s="103">
        <f>'02_Модель'!BD53/(1+'01_Вводные'!$B$58)*'01_Вводные'!$B$60</f>
        <v/>
      </c>
      <c r="BE30" s="103">
        <f>'02_Модель'!BE53/(1+'01_Вводные'!$B$58)*'01_Вводные'!$B$60</f>
        <v/>
      </c>
      <c r="BF30" s="103">
        <f>'02_Модель'!BF53/(1+'01_Вводные'!$B$58)*'01_Вводные'!$B$60</f>
        <v/>
      </c>
      <c r="BG30" s="103">
        <f>'02_Модель'!BG53/(1+'01_Вводные'!$B$58)*'01_Вводные'!$B$60</f>
        <v/>
      </c>
      <c r="BH30" s="103">
        <f>'02_Модель'!BH53/(1+'01_Вводные'!$B$58)*'01_Вводные'!$B$60</f>
        <v/>
      </c>
      <c r="BI30" s="121">
        <f>'02_Модель'!BI53/(1+'01_Вводные'!$B$58)*'01_Вводные'!$B$60</f>
        <v/>
      </c>
    </row>
    <row r="31" ht="26" customHeight="1">
      <c r="A31" s="104" t="inlineStr">
        <is>
          <t>Оплата: мерч</t>
        </is>
      </c>
      <c r="B31" s="103">
        <f>'02_Модель'!B28</f>
        <v/>
      </c>
      <c r="C31" s="103">
        <f>'02_Модель'!C28</f>
        <v/>
      </c>
      <c r="D31" s="103">
        <f>'02_Модель'!D28</f>
        <v/>
      </c>
      <c r="E31" s="103">
        <f>'02_Модель'!E28</f>
        <v/>
      </c>
      <c r="F31" s="103">
        <f>'02_Модель'!F28</f>
        <v/>
      </c>
      <c r="G31" s="103">
        <f>'02_Модель'!G28</f>
        <v/>
      </c>
      <c r="H31" s="103">
        <f>'02_Модель'!H28</f>
        <v/>
      </c>
      <c r="I31" s="103">
        <f>'02_Модель'!I28</f>
        <v/>
      </c>
      <c r="J31" s="103">
        <f>'02_Модель'!J28</f>
        <v/>
      </c>
      <c r="K31" s="103">
        <f>'02_Модель'!K28</f>
        <v/>
      </c>
      <c r="L31" s="103">
        <f>'02_Модель'!L28</f>
        <v/>
      </c>
      <c r="M31" s="103">
        <f>'02_Модель'!M28</f>
        <v/>
      </c>
      <c r="N31" s="103">
        <f>'02_Модель'!N28</f>
        <v/>
      </c>
      <c r="O31" s="103">
        <f>'02_Модель'!O28</f>
        <v/>
      </c>
      <c r="P31" s="103">
        <f>'02_Модель'!P28</f>
        <v/>
      </c>
      <c r="Q31" s="103">
        <f>'02_Модель'!Q28</f>
        <v/>
      </c>
      <c r="R31" s="103">
        <f>'02_Модель'!R28</f>
        <v/>
      </c>
      <c r="S31" s="103">
        <f>'02_Модель'!S28</f>
        <v/>
      </c>
      <c r="T31" s="103">
        <f>'02_Модель'!T28</f>
        <v/>
      </c>
      <c r="U31" s="103">
        <f>'02_Модель'!U28</f>
        <v/>
      </c>
      <c r="V31" s="103">
        <f>'02_Модель'!V28</f>
        <v/>
      </c>
      <c r="W31" s="103">
        <f>'02_Модель'!W28</f>
        <v/>
      </c>
      <c r="X31" s="103">
        <f>'02_Модель'!X28</f>
        <v/>
      </c>
      <c r="Y31" s="103">
        <f>'02_Модель'!Y28</f>
        <v/>
      </c>
      <c r="Z31" s="103">
        <f>'02_Модель'!Z28</f>
        <v/>
      </c>
      <c r="AA31" s="103">
        <f>'02_Модель'!AA28</f>
        <v/>
      </c>
      <c r="AB31" s="103">
        <f>'02_Модель'!AB28</f>
        <v/>
      </c>
      <c r="AC31" s="103">
        <f>'02_Модель'!AC28</f>
        <v/>
      </c>
      <c r="AD31" s="103">
        <f>'02_Модель'!AD28</f>
        <v/>
      </c>
      <c r="AE31" s="103">
        <f>'02_Модель'!AE28</f>
        <v/>
      </c>
      <c r="AF31" s="103">
        <f>'02_Модель'!AF28</f>
        <v/>
      </c>
      <c r="AG31" s="103">
        <f>'02_Модель'!AG28</f>
        <v/>
      </c>
      <c r="AH31" s="103">
        <f>'02_Модель'!AH28</f>
        <v/>
      </c>
      <c r="AI31" s="103">
        <f>'02_Модель'!AI28</f>
        <v/>
      </c>
      <c r="AJ31" s="103">
        <f>'02_Модель'!AJ28</f>
        <v/>
      </c>
      <c r="AK31" s="103">
        <f>'02_Модель'!AK28</f>
        <v/>
      </c>
      <c r="AL31" s="103">
        <f>'02_Модель'!AL28</f>
        <v/>
      </c>
      <c r="AM31" s="103">
        <f>'02_Модель'!AM28</f>
        <v/>
      </c>
      <c r="AN31" s="103">
        <f>'02_Модель'!AN28</f>
        <v/>
      </c>
      <c r="AO31" s="103">
        <f>'02_Модель'!AO28</f>
        <v/>
      </c>
      <c r="AP31" s="103">
        <f>'02_Модель'!AP28</f>
        <v/>
      </c>
      <c r="AQ31" s="103">
        <f>'02_Модель'!AQ28</f>
        <v/>
      </c>
      <c r="AR31" s="103">
        <f>'02_Модель'!AR28</f>
        <v/>
      </c>
      <c r="AS31" s="103">
        <f>'02_Модель'!AS28</f>
        <v/>
      </c>
      <c r="AT31" s="103">
        <f>'02_Модель'!AT28</f>
        <v/>
      </c>
      <c r="AU31" s="103">
        <f>'02_Модель'!AU28</f>
        <v/>
      </c>
      <c r="AV31" s="103">
        <f>'02_Модель'!AV28</f>
        <v/>
      </c>
      <c r="AW31" s="103">
        <f>'02_Модель'!AW28</f>
        <v/>
      </c>
      <c r="AX31" s="103">
        <f>'02_Модель'!AX28</f>
        <v/>
      </c>
      <c r="AY31" s="103">
        <f>'02_Модель'!AY28</f>
        <v/>
      </c>
      <c r="AZ31" s="103">
        <f>'02_Модель'!AZ28</f>
        <v/>
      </c>
      <c r="BA31" s="103">
        <f>'02_Модель'!BA28</f>
        <v/>
      </c>
      <c r="BB31" s="103">
        <f>'02_Модель'!BB28</f>
        <v/>
      </c>
      <c r="BC31" s="103">
        <f>'02_Модель'!BC28</f>
        <v/>
      </c>
      <c r="BD31" s="103">
        <f>'02_Модель'!BD28</f>
        <v/>
      </c>
      <c r="BE31" s="103">
        <f>'02_Модель'!BE28</f>
        <v/>
      </c>
      <c r="BF31" s="103">
        <f>'02_Модель'!BF28</f>
        <v/>
      </c>
      <c r="BG31" s="103">
        <f>'02_Модель'!BG28</f>
        <v/>
      </c>
      <c r="BH31" s="103">
        <f>'02_Модель'!BH28</f>
        <v/>
      </c>
      <c r="BI31" s="121">
        <f>'02_Модель'!BI28</f>
        <v/>
      </c>
    </row>
    <row r="32" ht="26" customHeight="1">
      <c r="A32" s="104" t="inlineStr">
        <is>
          <t>Операционные выплаты</t>
        </is>
      </c>
      <c r="B32" s="117">
        <f>SUM(B29:B31)</f>
        <v/>
      </c>
      <c r="C32" s="117">
        <f>SUM(C29:C31)</f>
        <v/>
      </c>
      <c r="D32" s="117">
        <f>SUM(D29:D31)</f>
        <v/>
      </c>
      <c r="E32" s="117">
        <f>SUM(E29:E31)</f>
        <v/>
      </c>
      <c r="F32" s="117">
        <f>SUM(F29:F31)</f>
        <v/>
      </c>
      <c r="G32" s="117">
        <f>SUM(G29:G31)</f>
        <v/>
      </c>
      <c r="H32" s="117">
        <f>SUM(H29:H31)</f>
        <v/>
      </c>
      <c r="I32" s="117">
        <f>SUM(I29:I31)</f>
        <v/>
      </c>
      <c r="J32" s="117">
        <f>SUM(J29:J31)</f>
        <v/>
      </c>
      <c r="K32" s="117">
        <f>SUM(K29:K31)</f>
        <v/>
      </c>
      <c r="L32" s="117">
        <f>SUM(L29:L31)</f>
        <v/>
      </c>
      <c r="M32" s="117">
        <f>SUM(M29:M31)</f>
        <v/>
      </c>
      <c r="N32" s="117">
        <f>SUM(N29:N31)</f>
        <v/>
      </c>
      <c r="O32" s="117">
        <f>SUM(O29:O31)</f>
        <v/>
      </c>
      <c r="P32" s="117">
        <f>SUM(P29:P31)</f>
        <v/>
      </c>
      <c r="Q32" s="117">
        <f>SUM(Q29:Q31)</f>
        <v/>
      </c>
      <c r="R32" s="117">
        <f>SUM(R29:R31)</f>
        <v/>
      </c>
      <c r="S32" s="117">
        <f>SUM(S29:S31)</f>
        <v/>
      </c>
      <c r="T32" s="117">
        <f>SUM(T29:T31)</f>
        <v/>
      </c>
      <c r="U32" s="117">
        <f>SUM(U29:U31)</f>
        <v/>
      </c>
      <c r="V32" s="117">
        <f>SUM(V29:V31)</f>
        <v/>
      </c>
      <c r="W32" s="117">
        <f>SUM(W29:W31)</f>
        <v/>
      </c>
      <c r="X32" s="117">
        <f>SUM(X29:X31)</f>
        <v/>
      </c>
      <c r="Y32" s="117">
        <f>SUM(Y29:Y31)</f>
        <v/>
      </c>
      <c r="Z32" s="117">
        <f>SUM(Z29:Z31)</f>
        <v/>
      </c>
      <c r="AA32" s="117">
        <f>SUM(AA29:AA31)</f>
        <v/>
      </c>
      <c r="AB32" s="117">
        <f>SUM(AB29:AB31)</f>
        <v/>
      </c>
      <c r="AC32" s="117">
        <f>SUM(AC29:AC31)</f>
        <v/>
      </c>
      <c r="AD32" s="117">
        <f>SUM(AD29:AD31)</f>
        <v/>
      </c>
      <c r="AE32" s="117">
        <f>SUM(AE29:AE31)</f>
        <v/>
      </c>
      <c r="AF32" s="117">
        <f>SUM(AF29:AF31)</f>
        <v/>
      </c>
      <c r="AG32" s="117">
        <f>SUM(AG29:AG31)</f>
        <v/>
      </c>
      <c r="AH32" s="117">
        <f>SUM(AH29:AH31)</f>
        <v/>
      </c>
      <c r="AI32" s="117">
        <f>SUM(AI29:AI31)</f>
        <v/>
      </c>
      <c r="AJ32" s="117">
        <f>SUM(AJ29:AJ31)</f>
        <v/>
      </c>
      <c r="AK32" s="117">
        <f>SUM(AK29:AK31)</f>
        <v/>
      </c>
      <c r="AL32" s="117">
        <f>SUM(AL29:AL31)</f>
        <v/>
      </c>
      <c r="AM32" s="117">
        <f>SUM(AM29:AM31)</f>
        <v/>
      </c>
      <c r="AN32" s="117">
        <f>SUM(AN29:AN31)</f>
        <v/>
      </c>
      <c r="AO32" s="117">
        <f>SUM(AO29:AO31)</f>
        <v/>
      </c>
      <c r="AP32" s="117">
        <f>SUM(AP29:AP31)</f>
        <v/>
      </c>
      <c r="AQ32" s="117">
        <f>SUM(AQ29:AQ31)</f>
        <v/>
      </c>
      <c r="AR32" s="117">
        <f>SUM(AR29:AR31)</f>
        <v/>
      </c>
      <c r="AS32" s="117">
        <f>SUM(AS29:AS31)</f>
        <v/>
      </c>
      <c r="AT32" s="117">
        <f>SUM(AT29:AT31)</f>
        <v/>
      </c>
      <c r="AU32" s="117">
        <f>SUM(AU29:AU31)</f>
        <v/>
      </c>
      <c r="AV32" s="117">
        <f>SUM(AV29:AV31)</f>
        <v/>
      </c>
      <c r="AW32" s="117">
        <f>SUM(AW29:AW31)</f>
        <v/>
      </c>
      <c r="AX32" s="117">
        <f>SUM(AX29:AX31)</f>
        <v/>
      </c>
      <c r="AY32" s="117">
        <f>SUM(AY29:AY31)</f>
        <v/>
      </c>
      <c r="AZ32" s="117">
        <f>SUM(AZ29:AZ31)</f>
        <v/>
      </c>
      <c r="BA32" s="117">
        <f>SUM(BA29:BA31)</f>
        <v/>
      </c>
      <c r="BB32" s="117">
        <f>SUM(BB29:BB31)</f>
        <v/>
      </c>
      <c r="BC32" s="117">
        <f>SUM(BC29:BC31)</f>
        <v/>
      </c>
      <c r="BD32" s="117">
        <f>SUM(BD29:BD31)</f>
        <v/>
      </c>
      <c r="BE32" s="117">
        <f>SUM(BE29:BE31)</f>
        <v/>
      </c>
      <c r="BF32" s="117">
        <f>SUM(BF29:BF31)</f>
        <v/>
      </c>
      <c r="BG32" s="117">
        <f>SUM(BG29:BG31)</f>
        <v/>
      </c>
      <c r="BH32" s="117">
        <f>SUM(BH29:BH31)</f>
        <v/>
      </c>
      <c r="BI32" s="122">
        <f>SUM(BI29:BI31)</f>
        <v/>
      </c>
    </row>
    <row r="33" ht="26" customHeight="1">
      <c r="A33" s="104" t="inlineStr">
        <is>
          <t>Возврат тела займа</t>
        </is>
      </c>
      <c r="B33" s="103">
        <f>'02_Модель'!B70</f>
        <v/>
      </c>
      <c r="C33" s="103">
        <f>'02_Модель'!C70</f>
        <v/>
      </c>
      <c r="D33" s="103">
        <f>'02_Модель'!D70</f>
        <v/>
      </c>
      <c r="E33" s="103">
        <f>'02_Модель'!E70</f>
        <v/>
      </c>
      <c r="F33" s="103">
        <f>'02_Модель'!F70</f>
        <v/>
      </c>
      <c r="G33" s="103">
        <f>'02_Модель'!G70</f>
        <v/>
      </c>
      <c r="H33" s="103">
        <f>'02_Модель'!H70</f>
        <v/>
      </c>
      <c r="I33" s="103">
        <f>'02_Модель'!I70</f>
        <v/>
      </c>
      <c r="J33" s="103">
        <f>'02_Модель'!J70</f>
        <v/>
      </c>
      <c r="K33" s="103">
        <f>'02_Модель'!K70</f>
        <v/>
      </c>
      <c r="L33" s="103">
        <f>'02_Модель'!L70</f>
        <v/>
      </c>
      <c r="M33" s="103">
        <f>'02_Модель'!M70</f>
        <v/>
      </c>
      <c r="N33" s="103">
        <f>'02_Модель'!N70</f>
        <v/>
      </c>
      <c r="O33" s="103">
        <f>'02_Модель'!O70</f>
        <v/>
      </c>
      <c r="P33" s="103">
        <f>'02_Модель'!P70</f>
        <v/>
      </c>
      <c r="Q33" s="103">
        <f>'02_Модель'!Q70</f>
        <v/>
      </c>
      <c r="R33" s="103">
        <f>'02_Модель'!R70</f>
        <v/>
      </c>
      <c r="S33" s="103">
        <f>'02_Модель'!S70</f>
        <v/>
      </c>
      <c r="T33" s="103">
        <f>'02_Модель'!T70</f>
        <v/>
      </c>
      <c r="U33" s="103">
        <f>'02_Модель'!U70</f>
        <v/>
      </c>
      <c r="V33" s="103">
        <f>'02_Модель'!V70</f>
        <v/>
      </c>
      <c r="W33" s="103">
        <f>'02_Модель'!W70</f>
        <v/>
      </c>
      <c r="X33" s="103">
        <f>'02_Модель'!X70</f>
        <v/>
      </c>
      <c r="Y33" s="103">
        <f>'02_Модель'!Y70</f>
        <v/>
      </c>
      <c r="Z33" s="103">
        <f>'02_Модель'!Z70</f>
        <v/>
      </c>
      <c r="AA33" s="103">
        <f>'02_Модель'!AA70</f>
        <v/>
      </c>
      <c r="AB33" s="103">
        <f>'02_Модель'!AB70</f>
        <v/>
      </c>
      <c r="AC33" s="103">
        <f>'02_Модель'!AC70</f>
        <v/>
      </c>
      <c r="AD33" s="103">
        <f>'02_Модель'!AD70</f>
        <v/>
      </c>
      <c r="AE33" s="103">
        <f>'02_Модель'!AE70</f>
        <v/>
      </c>
      <c r="AF33" s="103">
        <f>'02_Модель'!AF70</f>
        <v/>
      </c>
      <c r="AG33" s="103">
        <f>'02_Модель'!AG70</f>
        <v/>
      </c>
      <c r="AH33" s="103">
        <f>'02_Модель'!AH70</f>
        <v/>
      </c>
      <c r="AI33" s="103">
        <f>'02_Модель'!AI70</f>
        <v/>
      </c>
      <c r="AJ33" s="103">
        <f>'02_Модель'!AJ70</f>
        <v/>
      </c>
      <c r="AK33" s="103">
        <f>'02_Модель'!AK70</f>
        <v/>
      </c>
      <c r="AL33" s="103">
        <f>'02_Модель'!AL70</f>
        <v/>
      </c>
      <c r="AM33" s="103">
        <f>'02_Модель'!AM70</f>
        <v/>
      </c>
      <c r="AN33" s="103">
        <f>'02_Модель'!AN70</f>
        <v/>
      </c>
      <c r="AO33" s="103">
        <f>'02_Модель'!AO70</f>
        <v/>
      </c>
      <c r="AP33" s="103">
        <f>'02_Модель'!AP70</f>
        <v/>
      </c>
      <c r="AQ33" s="103">
        <f>'02_Модель'!AQ70</f>
        <v/>
      </c>
      <c r="AR33" s="103">
        <f>'02_Модель'!AR70</f>
        <v/>
      </c>
      <c r="AS33" s="103">
        <f>'02_Модель'!AS70</f>
        <v/>
      </c>
      <c r="AT33" s="103">
        <f>'02_Модель'!AT70</f>
        <v/>
      </c>
      <c r="AU33" s="103">
        <f>'02_Модель'!AU70</f>
        <v/>
      </c>
      <c r="AV33" s="103">
        <f>'02_Модель'!AV70</f>
        <v/>
      </c>
      <c r="AW33" s="103">
        <f>'02_Модель'!AW70</f>
        <v/>
      </c>
      <c r="AX33" s="103">
        <f>'02_Модель'!AX70</f>
        <v/>
      </c>
      <c r="AY33" s="103">
        <f>'02_Модель'!AY70</f>
        <v/>
      </c>
      <c r="AZ33" s="103">
        <f>'02_Модель'!AZ70</f>
        <v/>
      </c>
      <c r="BA33" s="103">
        <f>'02_Модель'!BA70</f>
        <v/>
      </c>
      <c r="BB33" s="103">
        <f>'02_Модель'!BB70</f>
        <v/>
      </c>
      <c r="BC33" s="103">
        <f>'02_Модель'!BC70</f>
        <v/>
      </c>
      <c r="BD33" s="103">
        <f>'02_Модель'!BD70</f>
        <v/>
      </c>
      <c r="BE33" s="103">
        <f>'02_Модель'!BE70</f>
        <v/>
      </c>
      <c r="BF33" s="103">
        <f>'02_Модель'!BF70</f>
        <v/>
      </c>
      <c r="BG33" s="103">
        <f>'02_Модель'!BG70</f>
        <v/>
      </c>
      <c r="BH33" s="103">
        <f>'02_Модель'!BH70</f>
        <v/>
      </c>
      <c r="BI33" s="121">
        <f>'02_Модель'!BI70</f>
        <v/>
      </c>
    </row>
    <row r="34" ht="26" customHeight="1">
      <c r="A34" s="104" t="inlineStr">
        <is>
          <t>Все перечисления</t>
        </is>
      </c>
      <c r="B34" s="117">
        <f>B32+B33</f>
        <v/>
      </c>
      <c r="C34" s="117">
        <f>C32+C33</f>
        <v/>
      </c>
      <c r="D34" s="117">
        <f>D32+D33</f>
        <v/>
      </c>
      <c r="E34" s="117">
        <f>E32+E33</f>
        <v/>
      </c>
      <c r="F34" s="117">
        <f>F32+F33</f>
        <v/>
      </c>
      <c r="G34" s="117">
        <f>G32+G33</f>
        <v/>
      </c>
      <c r="H34" s="117">
        <f>H32+H33</f>
        <v/>
      </c>
      <c r="I34" s="117">
        <f>I32+I33</f>
        <v/>
      </c>
      <c r="J34" s="117">
        <f>J32+J33</f>
        <v/>
      </c>
      <c r="K34" s="117">
        <f>K32+K33</f>
        <v/>
      </c>
      <c r="L34" s="117">
        <f>L32+L33</f>
        <v/>
      </c>
      <c r="M34" s="117">
        <f>M32+M33</f>
        <v/>
      </c>
      <c r="N34" s="117">
        <f>N32+N33</f>
        <v/>
      </c>
      <c r="O34" s="117">
        <f>O32+O33</f>
        <v/>
      </c>
      <c r="P34" s="117">
        <f>P32+P33</f>
        <v/>
      </c>
      <c r="Q34" s="117">
        <f>Q32+Q33</f>
        <v/>
      </c>
      <c r="R34" s="117">
        <f>R32+R33</f>
        <v/>
      </c>
      <c r="S34" s="117">
        <f>S32+S33</f>
        <v/>
      </c>
      <c r="T34" s="117">
        <f>T32+T33</f>
        <v/>
      </c>
      <c r="U34" s="117">
        <f>U32+U33</f>
        <v/>
      </c>
      <c r="V34" s="117">
        <f>V32+V33</f>
        <v/>
      </c>
      <c r="W34" s="117">
        <f>W32+W33</f>
        <v/>
      </c>
      <c r="X34" s="117">
        <f>X32+X33</f>
        <v/>
      </c>
      <c r="Y34" s="117">
        <f>Y32+Y33</f>
        <v/>
      </c>
      <c r="Z34" s="117">
        <f>Z32+Z33</f>
        <v/>
      </c>
      <c r="AA34" s="117">
        <f>AA32+AA33</f>
        <v/>
      </c>
      <c r="AB34" s="117">
        <f>AB32+AB33</f>
        <v/>
      </c>
      <c r="AC34" s="117">
        <f>AC32+AC33</f>
        <v/>
      </c>
      <c r="AD34" s="117">
        <f>AD32+AD33</f>
        <v/>
      </c>
      <c r="AE34" s="117">
        <f>AE32+AE33</f>
        <v/>
      </c>
      <c r="AF34" s="117">
        <f>AF32+AF33</f>
        <v/>
      </c>
      <c r="AG34" s="117">
        <f>AG32+AG33</f>
        <v/>
      </c>
      <c r="AH34" s="117">
        <f>AH32+AH33</f>
        <v/>
      </c>
      <c r="AI34" s="117">
        <f>AI32+AI33</f>
        <v/>
      </c>
      <c r="AJ34" s="117">
        <f>AJ32+AJ33</f>
        <v/>
      </c>
      <c r="AK34" s="117">
        <f>AK32+AK33</f>
        <v/>
      </c>
      <c r="AL34" s="117">
        <f>AL32+AL33</f>
        <v/>
      </c>
      <c r="AM34" s="117">
        <f>AM32+AM33</f>
        <v/>
      </c>
      <c r="AN34" s="117">
        <f>AN32+AN33</f>
        <v/>
      </c>
      <c r="AO34" s="117">
        <f>AO32+AO33</f>
        <v/>
      </c>
      <c r="AP34" s="117">
        <f>AP32+AP33</f>
        <v/>
      </c>
      <c r="AQ34" s="117">
        <f>AQ32+AQ33</f>
        <v/>
      </c>
      <c r="AR34" s="117">
        <f>AR32+AR33</f>
        <v/>
      </c>
      <c r="AS34" s="117">
        <f>AS32+AS33</f>
        <v/>
      </c>
      <c r="AT34" s="117">
        <f>AT32+AT33</f>
        <v/>
      </c>
      <c r="AU34" s="117">
        <f>AU32+AU33</f>
        <v/>
      </c>
      <c r="AV34" s="117">
        <f>AV32+AV33</f>
        <v/>
      </c>
      <c r="AW34" s="117">
        <f>AW32+AW33</f>
        <v/>
      </c>
      <c r="AX34" s="117">
        <f>AX32+AX33</f>
        <v/>
      </c>
      <c r="AY34" s="117">
        <f>AY32+AY33</f>
        <v/>
      </c>
      <c r="AZ34" s="117">
        <f>AZ32+AZ33</f>
        <v/>
      </c>
      <c r="BA34" s="117">
        <f>BA32+BA33</f>
        <v/>
      </c>
      <c r="BB34" s="117">
        <f>BB32+BB33</f>
        <v/>
      </c>
      <c r="BC34" s="117">
        <f>BC32+BC33</f>
        <v/>
      </c>
      <c r="BD34" s="117">
        <f>BD32+BD33</f>
        <v/>
      </c>
      <c r="BE34" s="117">
        <f>BE32+BE33</f>
        <v/>
      </c>
      <c r="BF34" s="117">
        <f>BF32+BF33</f>
        <v/>
      </c>
      <c r="BG34" s="117">
        <f>BG32+BG33</f>
        <v/>
      </c>
      <c r="BH34" s="117">
        <f>BH32+BH33</f>
        <v/>
      </c>
      <c r="BI34" s="122">
        <f>BI32+BI33</f>
        <v/>
      </c>
    </row>
    <row r="35" ht="26" customHeight="1">
      <c r="A35" s="104" t="inlineStr">
        <is>
          <t>Займ на конец</t>
        </is>
      </c>
      <c r="B35" s="103">
        <f>'02_Модель'!B75</f>
        <v/>
      </c>
      <c r="C35" s="103">
        <f>'02_Модель'!C75</f>
        <v/>
      </c>
      <c r="D35" s="103">
        <f>'02_Модель'!D75</f>
        <v/>
      </c>
      <c r="E35" s="103">
        <f>'02_Модель'!E75</f>
        <v/>
      </c>
      <c r="F35" s="103">
        <f>'02_Модель'!F75</f>
        <v/>
      </c>
      <c r="G35" s="103">
        <f>'02_Модель'!G75</f>
        <v/>
      </c>
      <c r="H35" s="103">
        <f>'02_Модель'!H75</f>
        <v/>
      </c>
      <c r="I35" s="103">
        <f>'02_Модель'!I75</f>
        <v/>
      </c>
      <c r="J35" s="103">
        <f>'02_Модель'!J75</f>
        <v/>
      </c>
      <c r="K35" s="103">
        <f>'02_Модель'!K75</f>
        <v/>
      </c>
      <c r="L35" s="103">
        <f>'02_Модель'!L75</f>
        <v/>
      </c>
      <c r="M35" s="103">
        <f>'02_Модель'!M75</f>
        <v/>
      </c>
      <c r="N35" s="103">
        <f>'02_Модель'!N75</f>
        <v/>
      </c>
      <c r="O35" s="103">
        <f>'02_Модель'!O75</f>
        <v/>
      </c>
      <c r="P35" s="103">
        <f>'02_Модель'!P75</f>
        <v/>
      </c>
      <c r="Q35" s="103">
        <f>'02_Модель'!Q75</f>
        <v/>
      </c>
      <c r="R35" s="103">
        <f>'02_Модель'!R75</f>
        <v/>
      </c>
      <c r="S35" s="103">
        <f>'02_Модель'!S75</f>
        <v/>
      </c>
      <c r="T35" s="103">
        <f>'02_Модель'!T75</f>
        <v/>
      </c>
      <c r="U35" s="103">
        <f>'02_Модель'!U75</f>
        <v/>
      </c>
      <c r="V35" s="103">
        <f>'02_Модель'!V75</f>
        <v/>
      </c>
      <c r="W35" s="103">
        <f>'02_Модель'!W75</f>
        <v/>
      </c>
      <c r="X35" s="103">
        <f>'02_Модель'!X75</f>
        <v/>
      </c>
      <c r="Y35" s="103">
        <f>'02_Модель'!Y75</f>
        <v/>
      </c>
      <c r="Z35" s="103">
        <f>'02_Модель'!Z75</f>
        <v/>
      </c>
      <c r="AA35" s="103">
        <f>'02_Модель'!AA75</f>
        <v/>
      </c>
      <c r="AB35" s="103">
        <f>'02_Модель'!AB75</f>
        <v/>
      </c>
      <c r="AC35" s="103">
        <f>'02_Модель'!AC75</f>
        <v/>
      </c>
      <c r="AD35" s="103">
        <f>'02_Модель'!AD75</f>
        <v/>
      </c>
      <c r="AE35" s="103">
        <f>'02_Модель'!AE75</f>
        <v/>
      </c>
      <c r="AF35" s="103">
        <f>'02_Модель'!AF75</f>
        <v/>
      </c>
      <c r="AG35" s="103">
        <f>'02_Модель'!AG75</f>
        <v/>
      </c>
      <c r="AH35" s="103">
        <f>'02_Модель'!AH75</f>
        <v/>
      </c>
      <c r="AI35" s="103">
        <f>'02_Модель'!AI75</f>
        <v/>
      </c>
      <c r="AJ35" s="103">
        <f>'02_Модель'!AJ75</f>
        <v/>
      </c>
      <c r="AK35" s="103">
        <f>'02_Модель'!AK75</f>
        <v/>
      </c>
      <c r="AL35" s="103">
        <f>'02_Модель'!AL75</f>
        <v/>
      </c>
      <c r="AM35" s="103">
        <f>'02_Модель'!AM75</f>
        <v/>
      </c>
      <c r="AN35" s="103">
        <f>'02_Модель'!AN75</f>
        <v/>
      </c>
      <c r="AO35" s="103">
        <f>'02_Модель'!AO75</f>
        <v/>
      </c>
      <c r="AP35" s="103">
        <f>'02_Модель'!AP75</f>
        <v/>
      </c>
      <c r="AQ35" s="103">
        <f>'02_Модель'!AQ75</f>
        <v/>
      </c>
      <c r="AR35" s="103">
        <f>'02_Модель'!AR75</f>
        <v/>
      </c>
      <c r="AS35" s="103">
        <f>'02_Модель'!AS75</f>
        <v/>
      </c>
      <c r="AT35" s="103">
        <f>'02_Модель'!AT75</f>
        <v/>
      </c>
      <c r="AU35" s="103">
        <f>'02_Модель'!AU75</f>
        <v/>
      </c>
      <c r="AV35" s="103">
        <f>'02_Модель'!AV75</f>
        <v/>
      </c>
      <c r="AW35" s="103">
        <f>'02_Модель'!AW75</f>
        <v/>
      </c>
      <c r="AX35" s="103">
        <f>'02_Модель'!AX75</f>
        <v/>
      </c>
      <c r="AY35" s="103">
        <f>'02_Модель'!AY75</f>
        <v/>
      </c>
      <c r="AZ35" s="103">
        <f>'02_Модель'!AZ75</f>
        <v/>
      </c>
      <c r="BA35" s="103">
        <f>'02_Модель'!BA75</f>
        <v/>
      </c>
      <c r="BB35" s="103">
        <f>'02_Модель'!BB75</f>
        <v/>
      </c>
      <c r="BC35" s="103">
        <f>'02_Модель'!BC75</f>
        <v/>
      </c>
      <c r="BD35" s="103">
        <f>'02_Модель'!BD75</f>
        <v/>
      </c>
      <c r="BE35" s="103">
        <f>'02_Модель'!BE75</f>
        <v/>
      </c>
      <c r="BF35" s="103">
        <f>'02_Модель'!BF75</f>
        <v/>
      </c>
      <c r="BG35" s="103">
        <f>'02_Модель'!BG75</f>
        <v/>
      </c>
      <c r="BH35" s="103">
        <f>'02_Модель'!BH75</f>
        <v/>
      </c>
      <c r="BI35" s="121">
        <f>'02_Модель'!BI75</f>
        <v/>
      </c>
    </row>
    <row r="36" ht="26" customHeight="1">
      <c r="A36" s="104" t="inlineStr">
        <is>
          <t>Начислено, но не оплачено</t>
        </is>
      </c>
      <c r="B36" s="117">
        <f>0+B27-B32</f>
        <v/>
      </c>
      <c r="C36" s="117">
        <f>B36+C27-C32</f>
        <v/>
      </c>
      <c r="D36" s="117">
        <f>C36+D27-D32</f>
        <v/>
      </c>
      <c r="E36" s="117">
        <f>D36+E27-E32</f>
        <v/>
      </c>
      <c r="F36" s="117">
        <f>E36+F27-F32</f>
        <v/>
      </c>
      <c r="G36" s="117">
        <f>F36+G27-G32</f>
        <v/>
      </c>
      <c r="H36" s="117">
        <f>G36+H27-H32</f>
        <v/>
      </c>
      <c r="I36" s="117">
        <f>H36+I27-I32</f>
        <v/>
      </c>
      <c r="J36" s="117">
        <f>I36+J27-J32</f>
        <v/>
      </c>
      <c r="K36" s="117">
        <f>J36+K27-K32</f>
        <v/>
      </c>
      <c r="L36" s="117">
        <f>K36+L27-L32</f>
        <v/>
      </c>
      <c r="M36" s="117">
        <f>L36+M27-M32</f>
        <v/>
      </c>
      <c r="N36" s="117">
        <f>M36+N27-N32</f>
        <v/>
      </c>
      <c r="O36" s="117">
        <f>N36+O27-O32</f>
        <v/>
      </c>
      <c r="P36" s="117">
        <f>O36+P27-P32</f>
        <v/>
      </c>
      <c r="Q36" s="117">
        <f>P36+Q27-Q32</f>
        <v/>
      </c>
      <c r="R36" s="117">
        <f>Q36+R27-R32</f>
        <v/>
      </c>
      <c r="S36" s="117">
        <f>R36+S27-S32</f>
        <v/>
      </c>
      <c r="T36" s="117">
        <f>S36+T27-T32</f>
        <v/>
      </c>
      <c r="U36" s="117">
        <f>T36+U27-U32</f>
        <v/>
      </c>
      <c r="V36" s="117">
        <f>U36+V27-V32</f>
        <v/>
      </c>
      <c r="W36" s="117">
        <f>V36+W27-W32</f>
        <v/>
      </c>
      <c r="X36" s="117">
        <f>W36+X27-X32</f>
        <v/>
      </c>
      <c r="Y36" s="117">
        <f>X36+Y27-Y32</f>
        <v/>
      </c>
      <c r="Z36" s="117">
        <f>Y36+Z27-Z32</f>
        <v/>
      </c>
      <c r="AA36" s="117">
        <f>Z36+AA27-AA32</f>
        <v/>
      </c>
      <c r="AB36" s="117">
        <f>AA36+AB27-AB32</f>
        <v/>
      </c>
      <c r="AC36" s="117">
        <f>AB36+AC27-AC32</f>
        <v/>
      </c>
      <c r="AD36" s="117">
        <f>AC36+AD27-AD32</f>
        <v/>
      </c>
      <c r="AE36" s="117">
        <f>AD36+AE27-AE32</f>
        <v/>
      </c>
      <c r="AF36" s="117">
        <f>AE36+AF27-AF32</f>
        <v/>
      </c>
      <c r="AG36" s="117">
        <f>AF36+AG27-AG32</f>
        <v/>
      </c>
      <c r="AH36" s="117">
        <f>AG36+AH27-AH32</f>
        <v/>
      </c>
      <c r="AI36" s="117">
        <f>AH36+AI27-AI32</f>
        <v/>
      </c>
      <c r="AJ36" s="117">
        <f>AI36+AJ27-AJ32</f>
        <v/>
      </c>
      <c r="AK36" s="117">
        <f>AJ36+AK27-AK32</f>
        <v/>
      </c>
      <c r="AL36" s="117">
        <f>AK36+AL27-AL32</f>
        <v/>
      </c>
      <c r="AM36" s="117">
        <f>AL36+AM27-AM32</f>
        <v/>
      </c>
      <c r="AN36" s="117">
        <f>AM36+AN27-AN32</f>
        <v/>
      </c>
      <c r="AO36" s="117">
        <f>AN36+AO27-AO32</f>
        <v/>
      </c>
      <c r="AP36" s="117">
        <f>AO36+AP27-AP32</f>
        <v/>
      </c>
      <c r="AQ36" s="117">
        <f>AP36+AQ27-AQ32</f>
        <v/>
      </c>
      <c r="AR36" s="117">
        <f>AQ36+AR27-AR32</f>
        <v/>
      </c>
      <c r="AS36" s="117">
        <f>AR36+AS27-AS32</f>
        <v/>
      </c>
      <c r="AT36" s="117">
        <f>AS36+AT27-AT32</f>
        <v/>
      </c>
      <c r="AU36" s="117">
        <f>AT36+AU27-AU32</f>
        <v/>
      </c>
      <c r="AV36" s="117">
        <f>AU36+AV27-AV32</f>
        <v/>
      </c>
      <c r="AW36" s="117">
        <f>AV36+AW27-AW32</f>
        <v/>
      </c>
      <c r="AX36" s="117">
        <f>AW36+AX27-AX32</f>
        <v/>
      </c>
      <c r="AY36" s="117">
        <f>AX36+AY27-AY32</f>
        <v/>
      </c>
      <c r="AZ36" s="117">
        <f>AY36+AZ27-AZ32</f>
        <v/>
      </c>
      <c r="BA36" s="117">
        <f>AZ36+BA27-BA32</f>
        <v/>
      </c>
      <c r="BB36" s="117">
        <f>BA36+BB27-BB32</f>
        <v/>
      </c>
      <c r="BC36" s="117">
        <f>BB36+BC27-BC32</f>
        <v/>
      </c>
      <c r="BD36" s="117">
        <f>BC36+BD27-BD32</f>
        <v/>
      </c>
      <c r="BE36" s="117">
        <f>BD36+BE27-BE32</f>
        <v/>
      </c>
      <c r="BF36" s="117">
        <f>BE36+BF27-BF32</f>
        <v/>
      </c>
      <c r="BG36" s="117">
        <f>BF36+BG27-BG32</f>
        <v/>
      </c>
      <c r="BH36" s="117">
        <f>BG36+BH27-BH32</f>
        <v/>
      </c>
      <c r="BI36" s="122">
        <f>BH36+BI27-BI32</f>
        <v/>
      </c>
    </row>
    <row r="37" ht="26" customHeight="1">
      <c r="A37" s="104" t="inlineStr">
        <is>
          <t>Сверка с БДДС</t>
        </is>
      </c>
      <c r="B37" s="103">
        <f>ROUND(B32-'02_Модель'!B61,6)</f>
        <v/>
      </c>
      <c r="C37" s="103">
        <f>ROUND(C32-'02_Модель'!C61,6)</f>
        <v/>
      </c>
      <c r="D37" s="103">
        <f>ROUND(D32-'02_Модель'!D61,6)</f>
        <v/>
      </c>
      <c r="E37" s="103">
        <f>ROUND(E32-'02_Модель'!E61,6)</f>
        <v/>
      </c>
      <c r="F37" s="103">
        <f>ROUND(F32-'02_Модель'!F61,6)</f>
        <v/>
      </c>
      <c r="G37" s="103">
        <f>ROUND(G32-'02_Модель'!G61,6)</f>
        <v/>
      </c>
      <c r="H37" s="103">
        <f>ROUND(H32-'02_Модель'!H61,6)</f>
        <v/>
      </c>
      <c r="I37" s="103">
        <f>ROUND(I32-'02_Модель'!I61,6)</f>
        <v/>
      </c>
      <c r="J37" s="103">
        <f>ROUND(J32-'02_Модель'!J61,6)</f>
        <v/>
      </c>
      <c r="K37" s="103">
        <f>ROUND(K32-'02_Модель'!K61,6)</f>
        <v/>
      </c>
      <c r="L37" s="103">
        <f>ROUND(L32-'02_Модель'!L61,6)</f>
        <v/>
      </c>
      <c r="M37" s="103">
        <f>ROUND(M32-'02_Модель'!M61,6)</f>
        <v/>
      </c>
      <c r="N37" s="103">
        <f>ROUND(N32-'02_Модель'!N61,6)</f>
        <v/>
      </c>
      <c r="O37" s="103">
        <f>ROUND(O32-'02_Модель'!O61,6)</f>
        <v/>
      </c>
      <c r="P37" s="103">
        <f>ROUND(P32-'02_Модель'!P61,6)</f>
        <v/>
      </c>
      <c r="Q37" s="103">
        <f>ROUND(Q32-'02_Модель'!Q61,6)</f>
        <v/>
      </c>
      <c r="R37" s="103">
        <f>ROUND(R32-'02_Модель'!R61,6)</f>
        <v/>
      </c>
      <c r="S37" s="103">
        <f>ROUND(S32-'02_Модель'!S61,6)</f>
        <v/>
      </c>
      <c r="T37" s="103">
        <f>ROUND(T32-'02_Модель'!T61,6)</f>
        <v/>
      </c>
      <c r="U37" s="103">
        <f>ROUND(U32-'02_Модель'!U61,6)</f>
        <v/>
      </c>
      <c r="V37" s="103">
        <f>ROUND(V32-'02_Модель'!V61,6)</f>
        <v/>
      </c>
      <c r="W37" s="103">
        <f>ROUND(W32-'02_Модель'!W61,6)</f>
        <v/>
      </c>
      <c r="X37" s="103">
        <f>ROUND(X32-'02_Модель'!X61,6)</f>
        <v/>
      </c>
      <c r="Y37" s="103">
        <f>ROUND(Y32-'02_Модель'!Y61,6)</f>
        <v/>
      </c>
      <c r="Z37" s="103">
        <f>ROUND(Z32-'02_Модель'!Z61,6)</f>
        <v/>
      </c>
      <c r="AA37" s="103">
        <f>ROUND(AA32-'02_Модель'!AA61,6)</f>
        <v/>
      </c>
      <c r="AB37" s="103">
        <f>ROUND(AB32-'02_Модель'!AB61,6)</f>
        <v/>
      </c>
      <c r="AC37" s="103">
        <f>ROUND(AC32-'02_Модель'!AC61,6)</f>
        <v/>
      </c>
      <c r="AD37" s="103">
        <f>ROUND(AD32-'02_Модель'!AD61,6)</f>
        <v/>
      </c>
      <c r="AE37" s="103">
        <f>ROUND(AE32-'02_Модель'!AE61,6)</f>
        <v/>
      </c>
      <c r="AF37" s="103">
        <f>ROUND(AF32-'02_Модель'!AF61,6)</f>
        <v/>
      </c>
      <c r="AG37" s="103">
        <f>ROUND(AG32-'02_Модель'!AG61,6)</f>
        <v/>
      </c>
      <c r="AH37" s="103">
        <f>ROUND(AH32-'02_Модель'!AH61,6)</f>
        <v/>
      </c>
      <c r="AI37" s="103">
        <f>ROUND(AI32-'02_Модель'!AI61,6)</f>
        <v/>
      </c>
      <c r="AJ37" s="103">
        <f>ROUND(AJ32-'02_Модель'!AJ61,6)</f>
        <v/>
      </c>
      <c r="AK37" s="103">
        <f>ROUND(AK32-'02_Модель'!AK61,6)</f>
        <v/>
      </c>
      <c r="AL37" s="103">
        <f>ROUND(AL32-'02_Модель'!AL61,6)</f>
        <v/>
      </c>
      <c r="AM37" s="103">
        <f>ROUND(AM32-'02_Модель'!AM61,6)</f>
        <v/>
      </c>
      <c r="AN37" s="103">
        <f>ROUND(AN32-'02_Модель'!AN61,6)</f>
        <v/>
      </c>
      <c r="AO37" s="103">
        <f>ROUND(AO32-'02_Модель'!AO61,6)</f>
        <v/>
      </c>
      <c r="AP37" s="103">
        <f>ROUND(AP32-'02_Модель'!AP61,6)</f>
        <v/>
      </c>
      <c r="AQ37" s="103">
        <f>ROUND(AQ32-'02_Модель'!AQ61,6)</f>
        <v/>
      </c>
      <c r="AR37" s="103">
        <f>ROUND(AR32-'02_Модель'!AR61,6)</f>
        <v/>
      </c>
      <c r="AS37" s="103">
        <f>ROUND(AS32-'02_Модель'!AS61,6)</f>
        <v/>
      </c>
      <c r="AT37" s="103">
        <f>ROUND(AT32-'02_Модель'!AT61,6)</f>
        <v/>
      </c>
      <c r="AU37" s="103">
        <f>ROUND(AU32-'02_Модель'!AU61,6)</f>
        <v/>
      </c>
      <c r="AV37" s="103">
        <f>ROUND(AV32-'02_Модель'!AV61,6)</f>
        <v/>
      </c>
      <c r="AW37" s="103">
        <f>ROUND(AW32-'02_Модель'!AW61,6)</f>
        <v/>
      </c>
      <c r="AX37" s="103">
        <f>ROUND(AX32-'02_Модель'!AX61,6)</f>
        <v/>
      </c>
      <c r="AY37" s="103">
        <f>ROUND(AY32-'02_Модель'!AY61,6)</f>
        <v/>
      </c>
      <c r="AZ37" s="103">
        <f>ROUND(AZ32-'02_Модель'!AZ61,6)</f>
        <v/>
      </c>
      <c r="BA37" s="103">
        <f>ROUND(BA32-'02_Модель'!BA61,6)</f>
        <v/>
      </c>
      <c r="BB37" s="103">
        <f>ROUND(BB32-'02_Модель'!BB61,6)</f>
        <v/>
      </c>
      <c r="BC37" s="103">
        <f>ROUND(BC32-'02_Модель'!BC61,6)</f>
        <v/>
      </c>
      <c r="BD37" s="103">
        <f>ROUND(BD32-'02_Модель'!BD61,6)</f>
        <v/>
      </c>
      <c r="BE37" s="103">
        <f>ROUND(BE32-'02_Модель'!BE61,6)</f>
        <v/>
      </c>
      <c r="BF37" s="103">
        <f>ROUND(BF32-'02_Модель'!BF61,6)</f>
        <v/>
      </c>
      <c r="BG37" s="103">
        <f>ROUND(BG32-'02_Модель'!BG61,6)</f>
        <v/>
      </c>
      <c r="BH37" s="103">
        <f>ROUND(BH32-'02_Модель'!BH61,6)</f>
        <v/>
      </c>
      <c r="BI37" s="121">
        <f>ROUND(BI32-'02_Модель'!BI61,6)</f>
        <v/>
      </c>
    </row>
  </sheetData>
  <mergeCells count="3">
    <mergeCell ref="A3:H3"/>
    <mergeCell ref="A22:H22"/>
    <mergeCell ref="A1:H1"/>
  </mergeCells>
  <printOptions horizontalCentered="0"/>
  <pageMargins left="0.75" right="0.75" top="1" bottom="1" header="0.5" footer="0.5"/>
  <pageSetup orientation="landscape" fitToHeight="0" fitToWidth="1"/>
  <headerFooter>
    <oddHeader/>
    <oddFooter>&amp;LФинмодель Спартак · 10_Выплаты_ФК&amp;R&amp;P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N12"/>
  <sheetViews>
    <sheetView showGridLines="0" zoomScale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4" customHeight="1">
      <c r="A1" s="1" t="inlineStr">
        <is>
          <t>История сезона 2025/26</t>
        </is>
      </c>
    </row>
    <row r="2"/>
    <row r="3">
      <c r="A3" s="6" t="inlineStr">
        <is>
          <t>Показатель</t>
        </is>
      </c>
      <c r="B3" s="29" t="n">
        <v>45901</v>
      </c>
      <c r="C3" s="29" t="n">
        <v>45931</v>
      </c>
      <c r="D3" s="29" t="n">
        <v>45962</v>
      </c>
      <c r="E3" s="29" t="n">
        <v>45992</v>
      </c>
      <c r="F3" s="29" t="n">
        <v>46023</v>
      </c>
      <c r="G3" s="29" t="n">
        <v>46054</v>
      </c>
      <c r="H3" s="29" t="n">
        <v>46082</v>
      </c>
      <c r="I3" s="29" t="n">
        <v>46113</v>
      </c>
      <c r="J3" s="29" t="n">
        <v>46143</v>
      </c>
      <c r="K3" s="29" t="n">
        <v>46174</v>
      </c>
      <c r="L3" s="29" t="n">
        <v>46204</v>
      </c>
      <c r="M3" s="29" t="n">
        <v>46235</v>
      </c>
      <c r="N3" s="6" t="inlineStr">
        <is>
          <t>Итого доступно</t>
        </is>
      </c>
    </row>
    <row r="4">
      <c r="A4" s="2" t="inlineStr">
        <is>
          <t>Выручка</t>
        </is>
      </c>
      <c r="B4" s="40">
        <f>'01_Вводные'!B$181</f>
        <v/>
      </c>
      <c r="C4" s="40">
        <f>'01_Вводные'!C$181</f>
        <v/>
      </c>
      <c r="D4" s="40">
        <f>'01_Вводные'!D$181</f>
        <v/>
      </c>
      <c r="E4" s="40">
        <f>'01_Вводные'!E$181</f>
        <v/>
      </c>
      <c r="F4" s="40">
        <f>'01_Вводные'!F$181</f>
        <v/>
      </c>
      <c r="G4" s="40">
        <f>'01_Вводные'!G$181</f>
        <v/>
      </c>
      <c r="H4" s="40">
        <f>'01_Вводные'!H$181</f>
        <v/>
      </c>
      <c r="I4" s="40">
        <f>'01_Вводные'!I$181</f>
        <v/>
      </c>
      <c r="J4" s="40">
        <f>'01_Вводные'!J$181</f>
        <v/>
      </c>
      <c r="K4" s="40">
        <f>'01_Вводные'!K$181</f>
        <v/>
      </c>
      <c r="L4" s="40">
        <f>'01_Вводные'!L$181</f>
        <v/>
      </c>
      <c r="M4" s="40">
        <f>'01_Вводные'!M$181</f>
        <v/>
      </c>
      <c r="N4" s="42">
        <f>SUM(B4:M4)</f>
        <v/>
      </c>
    </row>
    <row r="5">
      <c r="A5" s="2" t="inlineStr">
        <is>
          <t>Себестоимость</t>
        </is>
      </c>
      <c r="B5" s="40">
        <f>'01_Вводные'!B$182</f>
        <v/>
      </c>
      <c r="C5" s="40">
        <f>'01_Вводные'!C$182</f>
        <v/>
      </c>
      <c r="D5" s="40">
        <f>'01_Вводные'!D$182</f>
        <v/>
      </c>
      <c r="E5" s="40">
        <f>'01_Вводные'!E$182</f>
        <v/>
      </c>
      <c r="F5" s="40">
        <f>'01_Вводные'!F$182</f>
        <v/>
      </c>
      <c r="G5" s="40">
        <f>'01_Вводные'!G$182</f>
        <v/>
      </c>
      <c r="H5" s="40">
        <f>'01_Вводные'!H$182</f>
        <v/>
      </c>
      <c r="I5" s="40">
        <f>'01_Вводные'!I$182</f>
        <v/>
      </c>
      <c r="J5" s="40">
        <f>'01_Вводные'!J$182</f>
        <v/>
      </c>
      <c r="K5" s="40">
        <f>'01_Вводные'!K$182</f>
        <v/>
      </c>
      <c r="L5" s="40">
        <f>'01_Вводные'!L$182</f>
        <v/>
      </c>
      <c r="M5" s="40">
        <f>'01_Вводные'!M$182</f>
        <v/>
      </c>
      <c r="N5" s="42">
        <f>SUM(B5:M5)</f>
        <v/>
      </c>
    </row>
    <row r="6">
      <c r="A6" s="2" t="inlineStr">
        <is>
          <t>Коммерческие расходы</t>
        </is>
      </c>
      <c r="B6" s="40">
        <f>'01_Вводные'!B$183</f>
        <v/>
      </c>
      <c r="C6" s="40">
        <f>'01_Вводные'!C$183</f>
        <v/>
      </c>
      <c r="D6" s="40">
        <f>'01_Вводные'!D$183</f>
        <v/>
      </c>
      <c r="E6" s="40">
        <f>'01_Вводные'!E$183</f>
        <v/>
      </c>
      <c r="F6" s="40">
        <f>'01_Вводные'!F$183</f>
        <v/>
      </c>
      <c r="G6" s="40">
        <f>'01_Вводные'!G$183</f>
        <v/>
      </c>
      <c r="H6" s="40">
        <f>'01_Вводные'!H$183</f>
        <v/>
      </c>
      <c r="I6" s="40">
        <f>'01_Вводные'!I$183</f>
        <v/>
      </c>
      <c r="J6" s="40">
        <f>'01_Вводные'!J$183</f>
        <v/>
      </c>
      <c r="K6" s="40">
        <f>'01_Вводные'!K$183</f>
        <v/>
      </c>
      <c r="L6" s="40">
        <f>'01_Вводные'!L$183</f>
        <v/>
      </c>
      <c r="M6" s="40">
        <f>'01_Вводные'!M$183</f>
        <v/>
      </c>
      <c r="N6" s="42">
        <f>SUM(B6:M6)</f>
        <v/>
      </c>
    </row>
    <row r="7">
      <c r="A7" s="2" t="inlineStr">
        <is>
          <t>Административные расходы</t>
        </is>
      </c>
      <c r="B7" s="40">
        <f>'01_Вводные'!B$184</f>
        <v/>
      </c>
      <c r="C7" s="40">
        <f>'01_Вводные'!C$184</f>
        <v/>
      </c>
      <c r="D7" s="40">
        <f>'01_Вводные'!D$184</f>
        <v/>
      </c>
      <c r="E7" s="40">
        <f>'01_Вводные'!E$184</f>
        <v/>
      </c>
      <c r="F7" s="40">
        <f>'01_Вводные'!F$184</f>
        <v/>
      </c>
      <c r="G7" s="40">
        <f>'01_Вводные'!G$184</f>
        <v/>
      </c>
      <c r="H7" s="40">
        <f>'01_Вводные'!H$184</f>
        <v/>
      </c>
      <c r="I7" s="40">
        <f>'01_Вводные'!I$184</f>
        <v/>
      </c>
      <c r="J7" s="40">
        <f>'01_Вводные'!J$184</f>
        <v/>
      </c>
      <c r="K7" s="40">
        <f>'01_Вводные'!K$184</f>
        <v/>
      </c>
      <c r="L7" s="40">
        <f>'01_Вводные'!L$184</f>
        <v/>
      </c>
      <c r="M7" s="40">
        <f>'01_Вводные'!M$184</f>
        <v/>
      </c>
      <c r="N7" s="42">
        <f>SUM(B7:M7)</f>
        <v/>
      </c>
    </row>
    <row r="8">
      <c r="A8" s="2" t="inlineStr">
        <is>
          <t>Прочие расходы</t>
        </is>
      </c>
      <c r="B8" s="40">
        <f>'01_Вводные'!B$185</f>
        <v/>
      </c>
      <c r="C8" s="40">
        <f>'01_Вводные'!C$185</f>
        <v/>
      </c>
      <c r="D8" s="40">
        <f>'01_Вводные'!D$185</f>
        <v/>
      </c>
      <c r="E8" s="40">
        <f>'01_Вводные'!E$185</f>
        <v/>
      </c>
      <c r="F8" s="40">
        <f>'01_Вводные'!F$185</f>
        <v/>
      </c>
      <c r="G8" s="40">
        <f>'01_Вводные'!G$185</f>
        <v/>
      </c>
      <c r="H8" s="40">
        <f>'01_Вводные'!H$185</f>
        <v/>
      </c>
      <c r="I8" s="40">
        <f>'01_Вводные'!I$185</f>
        <v/>
      </c>
      <c r="J8" s="40">
        <f>'01_Вводные'!J$185</f>
        <v/>
      </c>
      <c r="K8" s="40">
        <f>'01_Вводные'!K$185</f>
        <v/>
      </c>
      <c r="L8" s="40">
        <f>'01_Вводные'!L$185</f>
        <v/>
      </c>
      <c r="M8" s="40">
        <f>'01_Вводные'!M$185</f>
        <v/>
      </c>
      <c r="N8" s="42">
        <f>SUM(B8:M8)</f>
        <v/>
      </c>
    </row>
    <row r="9">
      <c r="A9" s="10" t="inlineStr">
        <is>
          <t>EBITDA</t>
        </is>
      </c>
      <c r="B9" s="43">
        <f>'01_Вводные'!B$186</f>
        <v/>
      </c>
      <c r="C9" s="43">
        <f>'01_Вводные'!C$186</f>
        <v/>
      </c>
      <c r="D9" s="43">
        <f>'01_Вводные'!D$186</f>
        <v/>
      </c>
      <c r="E9" s="43">
        <f>'01_Вводные'!E$186</f>
        <v/>
      </c>
      <c r="F9" s="43">
        <f>'01_Вводные'!F$186</f>
        <v/>
      </c>
      <c r="G9" s="43">
        <f>'01_Вводные'!G$186</f>
        <v/>
      </c>
      <c r="H9" s="43">
        <f>'01_Вводные'!H$186</f>
        <v/>
      </c>
      <c r="I9" s="43">
        <f>'01_Вводные'!I$186</f>
        <v/>
      </c>
      <c r="J9" s="43">
        <f>'01_Вводные'!J$186</f>
        <v/>
      </c>
      <c r="K9" s="43">
        <f>'01_Вводные'!K$186</f>
        <v/>
      </c>
      <c r="L9" s="43">
        <f>'01_Вводные'!L$186</f>
        <v/>
      </c>
      <c r="M9" s="43">
        <f>'01_Вводные'!M$186</f>
        <v/>
      </c>
      <c r="N9" s="43">
        <f>SUM(B9:M9)</f>
        <v/>
      </c>
    </row>
    <row r="10">
      <c r="A10" s="10" t="inlineStr">
        <is>
          <t>Чистый денежный поток</t>
        </is>
      </c>
      <c r="B10" s="43">
        <f>'01_Вводные'!B$187</f>
        <v/>
      </c>
      <c r="C10" s="43">
        <f>'01_Вводные'!C$187</f>
        <v/>
      </c>
      <c r="D10" s="43">
        <f>'01_Вводные'!D$187</f>
        <v/>
      </c>
      <c r="E10" s="43">
        <f>'01_Вводные'!E$187</f>
        <v/>
      </c>
      <c r="F10" s="43">
        <f>'01_Вводные'!F$187</f>
        <v/>
      </c>
      <c r="G10" s="43">
        <f>'01_Вводные'!G$187</f>
        <v/>
      </c>
      <c r="H10" s="43">
        <f>'01_Вводные'!H$187</f>
        <v/>
      </c>
      <c r="I10" s="43">
        <f>'01_Вводные'!I$187</f>
        <v/>
      </c>
      <c r="J10" s="43">
        <f>'01_Вводные'!J$187</f>
        <v/>
      </c>
      <c r="K10" s="43">
        <f>'01_Вводные'!K$187</f>
        <v/>
      </c>
      <c r="L10" s="43">
        <f>'01_Вводные'!L$187</f>
        <v/>
      </c>
      <c r="M10" s="43">
        <f>'01_Вводные'!M$187</f>
        <v/>
      </c>
      <c r="N10" s="43">
        <f>SUM(B10:M10)</f>
        <v/>
      </c>
    </row>
    <row r="11"/>
    <row r="12">
      <c r="A12" s="2" t="inlineStr">
        <is>
          <t>Примечание</t>
        </is>
      </c>
      <c r="B12" s="36" t="inlineStr">
        <is>
          <t>История 25/26 заполняется только на листе 01_Вводные. Июль 2026 добавлен. Август 2026 пока отсутствует; поэтому вариант «С историей» использует доступный факт, а не полный сезон.</t>
        </is>
      </c>
    </row>
  </sheetData>
  <mergeCells count="2">
    <mergeCell ref="B12:N12"/>
    <mergeCell ref="A1:N1"/>
  </mergeCells>
  <printOptions horizontalCentered="0"/>
  <pageMargins left="0.75" right="0.75" top="1" bottom="1" header="0.5" footer="0.5"/>
  <pageSetup orientation="landscape" fitToHeight="0" fitToWidth="1"/>
  <headerFooter>
    <oddHeader/>
    <oddFooter>&amp;LФинмодель Спартак · 11_История_25_26&amp;R&amp;P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H2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9" customWidth="1" min="2" max="2"/>
    <col width="19" customWidth="1" min="3" max="3"/>
    <col width="19" customWidth="1" min="4" max="4"/>
    <col width="21" customWidth="1" min="5" max="5"/>
    <col width="21" customWidth="1" min="6" max="6"/>
    <col width="20" customWidth="1" min="7" max="7"/>
    <col width="34" customWidth="1" min="8" max="8"/>
  </cols>
  <sheetData>
    <row r="1" ht="27" customHeight="1">
      <c r="A1" s="60" t="inlineStr">
        <is>
          <t>СПАРТАК | Чувствительность без 12 лишних расчётов</t>
        </is>
      </c>
    </row>
    <row r="2"/>
    <row r="3" ht="38" customHeight="1">
      <c r="A3" s="111" t="inlineStr">
        <is>
          <t>Выбери один из шести драйверов в 01_Вводные!B233. Все остальные вводные остаются базовыми. Шаги для каждого драйвера сохранены в G198:G203. Эффекты разных правок не складывать.</t>
        </is>
      </c>
    </row>
    <row r="4"/>
    <row r="5">
      <c r="A5" t="inlineStr">
        <is>
          <t>Драйвер</t>
        </is>
      </c>
      <c r="B5">
        <f>'01_Вводные'!B233</f>
        <v/>
      </c>
    </row>
    <row r="6">
      <c r="A6" t="inlineStr">
        <is>
          <t>Шаг</t>
        </is>
      </c>
      <c r="B6" s="91">
        <f>'01_Вводные'!B258</f>
        <v/>
      </c>
      <c r="D6" t="inlineStr">
        <is>
          <t>Расчёт включён</t>
        </is>
      </c>
      <c r="E6">
        <f>'01_Вводные'!B234</f>
        <v/>
      </c>
    </row>
    <row r="7"/>
    <row r="8" ht="33" customHeight="1">
      <c r="A8" s="87" t="inlineStr">
        <is>
          <t>Показатель</t>
        </is>
      </c>
      <c r="B8" s="87" t="inlineStr">
        <is>
          <t>− шаг</t>
        </is>
      </c>
      <c r="C8" s="87" t="inlineStr">
        <is>
          <t>База</t>
        </is>
      </c>
      <c r="D8" s="87" t="inlineStr">
        <is>
          <t>+ шаг</t>
        </is>
      </c>
      <c r="E8" s="87" t="inlineStr">
        <is>
          <t>Изменение −</t>
        </is>
      </c>
      <c r="F8" s="87" t="inlineStr">
        <is>
          <t>Изменение +</t>
        </is>
      </c>
      <c r="G8" s="87" t="inlineStr">
        <is>
          <t>Ед.</t>
        </is>
      </c>
      <c r="H8" s="87" t="inlineStr">
        <is>
          <t>Смысл</t>
        </is>
      </c>
    </row>
    <row r="9" ht="26" customHeight="1">
      <c r="A9" s="104" t="inlineStr">
        <is>
          <t>Выручка</t>
        </is>
      </c>
      <c r="B9" s="153">
        <f>IF('01_Вводные'!$B$234="Да",SUM('19_Расчет_аналитики'!$B$3753:$BI$3753)/1000000,"")</f>
        <v/>
      </c>
      <c r="C9" s="153">
        <f>SUM('19_Расчет_аналитики'!$B$1729:$BI$1729)/1000000</f>
        <v/>
      </c>
      <c r="D9" s="153">
        <f>IF('01_Вводные'!$B$234="Да",SUM('19_Расчет_аналитики'!$B$4765:$BI$4765)/1000000,"")</f>
        <v/>
      </c>
      <c r="E9" s="153">
        <f>IF('01_Вводные'!$B$234="Да",B9-C9,"")</f>
        <v/>
      </c>
      <c r="F9" s="153">
        <f>IF('01_Вводные'!$B$234="Да",D9-C9,"")</f>
        <v/>
      </c>
      <c r="G9" s="115" t="inlineStr">
        <is>
          <t>млн ₽</t>
        </is>
      </c>
      <c r="H9" s="104" t="n"/>
    </row>
    <row r="10" ht="26" customHeight="1">
      <c r="A10" s="104" t="inlineStr">
        <is>
          <t>EBITDA</t>
        </is>
      </c>
      <c r="B10" s="153">
        <f>IF('01_Вводные'!$B$234="Да",SUM('19_Расчет_аналитики'!$B$3774:$BI$3774)/1000000,"")</f>
        <v/>
      </c>
      <c r="C10" s="153">
        <f>SUM('19_Расчет_аналитики'!$B$1750:$BI$1750)/1000000</f>
        <v/>
      </c>
      <c r="D10" s="153">
        <f>IF('01_Вводные'!$B$234="Да",SUM('19_Расчет_аналитики'!$B$4786:$BI$4786)/1000000,"")</f>
        <v/>
      </c>
      <c r="E10" s="153">
        <f>IF('01_Вводные'!$B$234="Да",B10-C10,"")</f>
        <v/>
      </c>
      <c r="F10" s="153">
        <f>IF('01_Вводные'!$B$234="Да",D10-C10,"")</f>
        <v/>
      </c>
      <c r="G10" s="115" t="inlineStr">
        <is>
          <t>млн ₽</t>
        </is>
      </c>
      <c r="H10" s="104" t="n"/>
    </row>
    <row r="11" ht="26" customHeight="1">
      <c r="A11" s="104" t="inlineStr">
        <is>
          <t>Рентабельность EBITDA</t>
        </is>
      </c>
      <c r="B11" s="152">
        <f>IF('01_Вводные'!$B$234="Да",IF(SUM('19_Расчет_аналитики'!$B$3753:$BI$3753)=0,0,SUM('19_Расчет_аналитики'!$B$3774:$BI$3774)/SUM('19_Расчет_аналитики'!$B$3753:$BI$3753)),"")</f>
        <v/>
      </c>
      <c r="C11" s="152">
        <f>IF(SUM('19_Расчет_аналитики'!$B$1729:$BI$1729)=0,0,SUM('19_Расчет_аналитики'!$B$1750:$BI$1750)/SUM('19_Расчет_аналитики'!$B$1729:$BI$1729))</f>
        <v/>
      </c>
      <c r="D11" s="152">
        <f>IF('01_Вводные'!$B$234="Да",IF(SUM('19_Расчет_аналитики'!$B$4765:$BI$4765)=0,0,SUM('19_Расчет_аналитики'!$B$4786:$BI$4786)/SUM('19_Расчет_аналитики'!$B$4765:$BI$4765)),"")</f>
        <v/>
      </c>
      <c r="E11" s="152">
        <f>IF('01_Вводные'!$B$234="Да",B11-C11,"")</f>
        <v/>
      </c>
      <c r="F11" s="152">
        <f>IF('01_Вводные'!$B$234="Да",D11-C11,"")</f>
        <v/>
      </c>
      <c r="G11" s="115" t="inlineStr">
        <is>
          <t>%</t>
        </is>
      </c>
      <c r="H11" s="104" t="n"/>
    </row>
    <row r="12" ht="26" customHeight="1">
      <c r="A12" s="104" t="inlineStr">
        <is>
          <t>Деньги на конец</t>
        </is>
      </c>
      <c r="B12" s="153">
        <f>IF('01_Вводные'!$B$234="Да",'19_Расчет_аналитики'!$BI$3802/1000000,"")</f>
        <v/>
      </c>
      <c r="C12" s="153">
        <f>'19_Расчет_аналитики'!$BI$1778/1000000</f>
        <v/>
      </c>
      <c r="D12" s="153">
        <f>IF('01_Вводные'!$B$234="Да",'19_Расчет_аналитики'!$BI$4814/1000000,"")</f>
        <v/>
      </c>
      <c r="E12" s="153">
        <f>IF('01_Вводные'!$B$234="Да",B12-C12,"")</f>
        <v/>
      </c>
      <c r="F12" s="153">
        <f>IF('01_Вводные'!$B$234="Да",D12-C12,"")</f>
        <v/>
      </c>
      <c r="G12" s="115" t="inlineStr">
        <is>
          <t>млн ₽</t>
        </is>
      </c>
      <c r="H12" s="104" t="n"/>
    </row>
    <row r="13" ht="26" customHeight="1">
      <c r="A13" s="104" t="inlineStr">
        <is>
          <t>Пиковый кассовый дефицит</t>
        </is>
      </c>
      <c r="B13" s="153">
        <f>IF('01_Вводные'!$B$234="Да",MAX(0,-MIN('19_Расчет_аналитики'!$B$3802:$BI$3802))/1000000,"")</f>
        <v/>
      </c>
      <c r="C13" s="153">
        <f>MAX(0,-MIN('19_Расчет_аналитики'!$B$1778:$BI$1778))/1000000</f>
        <v/>
      </c>
      <c r="D13" s="153">
        <f>IF('01_Вводные'!$B$234="Да",MAX(0,-MIN('19_Расчет_аналитики'!$B$4814:$BI$4814))/1000000,"")</f>
        <v/>
      </c>
      <c r="E13" s="153">
        <f>IF('01_Вводные'!$B$234="Да",B13-C13,"")</f>
        <v/>
      </c>
      <c r="F13" s="153">
        <f>IF('01_Вводные'!$B$234="Да",D13-C13,"")</f>
        <v/>
      </c>
      <c r="G13" s="115" t="inlineStr">
        <is>
          <t>млн ₽</t>
        </is>
      </c>
      <c r="H13" s="104" t="n"/>
    </row>
    <row r="14" ht="26" customHeight="1">
      <c r="A14" s="104" t="inlineStr">
        <is>
          <t>Максимальный склад</t>
        </is>
      </c>
      <c r="B14" s="153">
        <f>IF('01_Вводные'!$B$234="Да",MAX('19_Расчет_аналитики'!$B$3663:$BI$3663)/1000000,"")</f>
        <v/>
      </c>
      <c r="C14" s="153">
        <f>MAX('19_Расчет_аналитики'!$B$1639:$BI$1639)/1000000</f>
        <v/>
      </c>
      <c r="D14" s="153">
        <f>IF('01_Вводные'!$B$234="Да",MAX('19_Расчет_аналитики'!$B$4675:$BI$4675)/1000000,"")</f>
        <v/>
      </c>
      <c r="E14" s="153">
        <f>IF('01_Вводные'!$B$234="Да",B14-C14,"")</f>
        <v/>
      </c>
      <c r="F14" s="153">
        <f>IF('01_Вводные'!$B$234="Да",D14-C14,"")</f>
        <v/>
      </c>
      <c r="G14" s="115" t="inlineStr">
        <is>
          <t>млн ₽</t>
        </is>
      </c>
      <c r="H14" s="104" t="n"/>
    </row>
    <row r="15" ht="26" customHeight="1">
      <c r="A15" s="104" t="inlineStr">
        <is>
          <t>Нехватка товара</t>
        </is>
      </c>
      <c r="B15" s="153">
        <f>IF('01_Вводные'!$B$234="Да",MAX('19_Расчет_аналитики'!$B$3664:$BI$3664)/1000000,"")</f>
        <v/>
      </c>
      <c r="C15" s="153">
        <f>MAX('19_Расчет_аналитики'!$B$1640:$BI$1640)/1000000</f>
        <v/>
      </c>
      <c r="D15" s="153">
        <f>IF('01_Вводные'!$B$234="Да",MAX('19_Расчет_аналитики'!$B$4676:$BI$4676)/1000000,"")</f>
        <v/>
      </c>
      <c r="E15" s="153">
        <f>IF('01_Вводные'!$B$234="Да",B15-C15,"")</f>
        <v/>
      </c>
      <c r="F15" s="153">
        <f>IF('01_Вводные'!$B$234="Да",D15-C15,"")</f>
        <v/>
      </c>
      <c r="G15" s="115" t="inlineStr">
        <is>
          <t>млн ₽</t>
        </is>
      </c>
      <c r="H15" s="104" t="n"/>
    </row>
    <row r="16" ht="26" customHeight="1">
      <c r="A16" s="104" t="inlineStr">
        <is>
          <t>Операционные выплаты ФК</t>
        </is>
      </c>
      <c r="B16" s="153">
        <f>IF('01_Вводные'!$B$234="Да",SUM('19_Расчет_аналитики'!$B$3791:$BI$3791)/1000000,"")</f>
        <v/>
      </c>
      <c r="C16" s="153">
        <f>SUM('19_Расчет_аналитики'!$B$1767:$BI$1767)/1000000</f>
        <v/>
      </c>
      <c r="D16" s="153">
        <f>IF('01_Вводные'!$B$234="Да",SUM('19_Расчет_аналитики'!$B$4803:$BI$4803)/1000000,"")</f>
        <v/>
      </c>
      <c r="E16" s="153">
        <f>IF('01_Вводные'!$B$234="Да",B16-C16,"")</f>
        <v/>
      </c>
      <c r="F16" s="153">
        <f>IF('01_Вводные'!$B$234="Да",D16-C16,"")</f>
        <v/>
      </c>
      <c r="G16" s="115" t="inlineStr">
        <is>
          <t>млн ₽</t>
        </is>
      </c>
      <c r="H16" s="104" t="n"/>
    </row>
    <row r="17" ht="26" customHeight="1">
      <c r="A17" s="104" t="inlineStr">
        <is>
          <t>Активные школы на конец</t>
        </is>
      </c>
      <c r="B17" s="153">
        <f>IF('01_Вводные'!$B$234="Да",'19_Расчет_аналитики'!$BI$3408,"")</f>
        <v/>
      </c>
      <c r="C17" s="153">
        <f>'19_Расчет_аналитики'!$BI$1384</f>
        <v/>
      </c>
      <c r="D17" s="153">
        <f>IF('01_Вводные'!$B$234="Да",'19_Расчет_аналитики'!$BI$4420,"")</f>
        <v/>
      </c>
      <c r="E17" s="153">
        <f>IF('01_Вводные'!$B$234="Да",B17-C17,"")</f>
        <v/>
      </c>
      <c r="F17" s="153">
        <f>IF('01_Вводные'!$B$234="Да",D17-C17,"")</f>
        <v/>
      </c>
      <c r="G17" s="115" t="inlineStr">
        <is>
          <t>шт.</t>
        </is>
      </c>
      <c r="H17" s="104" t="n"/>
    </row>
    <row r="18" ht="26" customHeight="1">
      <c r="A18" s="104" t="inlineStr">
        <is>
          <t>Среднее детей за месяц</t>
        </is>
      </c>
      <c r="B18" s="153">
        <f>IF('01_Вводные'!$B$234="Да",AVERAGE('19_Расчет_аналитики'!$B$3416:$BI$3416),"")</f>
        <v/>
      </c>
      <c r="C18" s="153">
        <f>AVERAGE('19_Расчет_аналитики'!$B$1392:$BI$1392)</f>
        <v/>
      </c>
      <c r="D18" s="153">
        <f>IF('01_Вводные'!$B$234="Да",AVERAGE('19_Расчет_аналитики'!$B$4428:$BI$4428),"")</f>
        <v/>
      </c>
      <c r="E18" s="153">
        <f>IF('01_Вводные'!$B$234="Да",B18-C18,"")</f>
        <v/>
      </c>
      <c r="F18" s="153">
        <f>IF('01_Вводные'!$B$234="Да",D18-C18,"")</f>
        <v/>
      </c>
      <c r="G18" s="115" t="inlineStr">
        <is>
          <t>чел.</t>
        </is>
      </c>
      <c r="H18" s="104" t="n"/>
    </row>
    <row r="19">
      <c r="A19" s="104" t="inlineStr">
        <is>
          <t>CAPEX — всего</t>
        </is>
      </c>
      <c r="B19" s="163">
        <f>IF('01_Вводные'!$B$234="Да",SUM('19_Расчет_аналитики'!$B$3787:$BI$3787)/1000000,"")</f>
        <v/>
      </c>
      <c r="C19" s="163">
        <f>SUM('19_Расчет_аналитики'!$B$1763:$BI$1763)/1000000</f>
        <v/>
      </c>
      <c r="D19" s="163">
        <f>IF('01_Вводные'!$B$234="Да",SUM('19_Расчет_аналитики'!$B$4799:$BI$4799)/1000000,"")</f>
        <v/>
      </c>
      <c r="E19" s="163">
        <f>IF('01_Вводные'!$B$234="Да",B19-C19,"")</f>
        <v/>
      </c>
      <c r="F19" s="163">
        <f>IF('01_Вводные'!$B$234="Да",D19-C19,"")</f>
        <v/>
      </c>
      <c r="G19" s="115" t="n"/>
      <c r="H19" s="104" t="n"/>
    </row>
    <row r="20"/>
    <row r="21" ht="45" customHeight="1">
      <c r="A21" s="111" t="inlineStr">
        <is>
          <t>Почему легче: в книге одновременно считаются 3 сценария и только 2 отклонения выбранного драйвера. Доступны все 6 драйверов, но 12 независимых расчётов больше не работают при каждом изменении ячейки.</t>
        </is>
      </c>
    </row>
    <row r="22"/>
    <row r="23" ht="38" customHeight="1">
      <c r="A23" s="111" t="inlineStr">
        <is>
          <t>Полный независимый прогон всех 12 тестов выполнен при ревизии; результаты и ограничения зафиксированы на 14_Ревизия. Проверка на вашем Excel/Google Sheets всё равно необходима.</t>
        </is>
      </c>
    </row>
  </sheetData>
  <mergeCells count="5">
    <mergeCell ref="A3:H3"/>
    <mergeCell ref="A21:H21"/>
    <mergeCell ref="B5:F5"/>
    <mergeCell ref="A1:H1"/>
    <mergeCell ref="A23:H23"/>
  </mergeCell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12_Чувствительность&amp;R&amp;P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8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3" customWidth="1" min="1" max="1"/>
    <col width="24" customWidth="1" min="2" max="2"/>
    <col width="20" customWidth="1" min="3" max="3"/>
    <col width="70" customWidth="1" min="4" max="4"/>
    <col width="34" customWidth="1" min="6" max="6"/>
    <col width="46" customWidth="1" min="7" max="7"/>
  </cols>
  <sheetData>
    <row r="1" ht="27" customHeight="1">
      <c r="A1" s="60" t="inlineStr">
        <is>
          <t>СПАРТАК | Контроль расчёта и ограничения</t>
        </is>
      </c>
      <c r="F1" s="257" t="inlineStr">
        <is>
          <t>Итог автопроверок</t>
        </is>
      </c>
    </row>
    <row r="2"/>
    <row r="3" ht="33" customHeight="1">
      <c r="A3" s="87" t="inlineStr">
        <is>
          <t>Проверка</t>
        </is>
      </c>
      <c r="B3" s="87" t="inlineStr">
        <is>
          <t>Отклонение / значение</t>
        </is>
      </c>
      <c r="C3" s="87" t="inlineStr">
        <is>
          <t>Статус</t>
        </is>
      </c>
      <c r="D3" s="87" t="inlineStr">
        <is>
          <t>Пояснение</t>
        </is>
      </c>
      <c r="F3" s="258" t="inlineStr">
        <is>
          <t>Пройдено</t>
        </is>
      </c>
      <c r="G3" s="344">
        <f>COUNTIF(C4:C74,"OK")</f>
        <v/>
      </c>
    </row>
    <row r="4" ht="26" customHeight="1">
      <c r="A4" s="104" t="inlineStr">
        <is>
          <t>Сезон 1: продажи = план</t>
        </is>
      </c>
      <c r="B4" s="103">
        <f>SUM('04_Продажи'!B15:M15)-'01_Вводные'!B36</f>
        <v/>
      </c>
      <c r="C4" s="117">
        <f>IF(ABS(B4)&lt;0.01,"OK","ПРОВЕРИТЬ")</f>
        <v/>
      </c>
      <c r="D4" s="104" t="inlineStr"/>
      <c r="F4" s="258" t="inlineStr">
        <is>
          <t>Требует проверки</t>
        </is>
      </c>
      <c r="G4" s="344">
        <f>COUNTIF(C4:C74,"ПРОВЕРИТЬ")</f>
        <v/>
      </c>
    </row>
    <row r="5" ht="26" customHeight="1">
      <c r="A5" s="104" t="inlineStr">
        <is>
          <t>Сезон 1: целые продажи = округлённый план</t>
        </is>
      </c>
      <c r="B5" s="103">
        <f>SUM('04_Продажи'!B16:M16)-ROUND('01_Вводные'!B36,0)</f>
        <v/>
      </c>
      <c r="C5" s="117">
        <f>IF(ABS(B5)&lt;0.01,"OK","ПРОВЕРИТЬ")</f>
        <v/>
      </c>
      <c r="D5" s="104" t="inlineStr"/>
      <c r="F5" s="258" t="inlineStr">
        <is>
          <t>Риск плана (не ошибка формул)</t>
        </is>
      </c>
      <c r="G5" s="344">
        <f>COUNTIF(C4:C74,"РИСК ПЛАНА")</f>
        <v/>
      </c>
    </row>
    <row r="6" ht="26" customHeight="1">
      <c r="A6" s="104" t="inlineStr">
        <is>
          <t>Сезон 1: контроль на листе продаж</t>
        </is>
      </c>
      <c r="B6" s="103">
        <f>'04_Продажи'!E5</f>
        <v/>
      </c>
      <c r="C6" s="117">
        <f>IF(ABS(B6)&lt;0.01,"OK","ПРОВЕРИТЬ")</f>
        <v/>
      </c>
      <c r="D6" s="104" t="inlineStr"/>
      <c r="F6" s="258" t="inlineStr">
        <is>
          <t>Сознательное упрощение</t>
        </is>
      </c>
      <c r="G6" s="344">
        <f>COUNTIF(C4:C74,"УПРОЩЕНИЕ")</f>
        <v/>
      </c>
    </row>
    <row r="7" ht="26" customHeight="1">
      <c r="A7" s="104" t="inlineStr">
        <is>
          <t>Сезон 2: продажи = план</t>
        </is>
      </c>
      <c r="B7" s="103">
        <f>SUM('04_Продажи'!N15:Y15)-'01_Вводные'!B37</f>
        <v/>
      </c>
      <c r="C7" s="117">
        <f>IF(ABS(B7)&lt;0.01,"OK","ПРОВЕРИТЬ")</f>
        <v/>
      </c>
      <c r="D7" s="104" t="inlineStr"/>
      <c r="F7" s="258" t="inlineStr">
        <is>
          <t>Двойное премирование</t>
        </is>
      </c>
      <c r="G7" s="344">
        <f>COUNTIF(C4:C74,"ДВОЙНАЯ ПРЕМИЯ")</f>
        <v/>
      </c>
    </row>
    <row r="8" ht="26" customHeight="1">
      <c r="A8" s="104" t="inlineStr">
        <is>
          <t>Сезон 2: целые продажи = округлённый план</t>
        </is>
      </c>
      <c r="B8" s="103">
        <f>SUM('04_Продажи'!N16:Y16)-ROUND('01_Вводные'!B37,0)</f>
        <v/>
      </c>
      <c r="C8" s="117">
        <f>IF(ABS(B8)&lt;0.01,"OK","ПРОВЕРИТЬ")</f>
        <v/>
      </c>
      <c r="D8" s="104" t="inlineStr"/>
      <c r="F8" s="345" t="n"/>
    </row>
    <row r="9" ht="26" customHeight="1">
      <c r="A9" s="104" t="inlineStr">
        <is>
          <t>Сезон 2: контроль на листе продаж</t>
        </is>
      </c>
      <c r="B9" s="103">
        <f>'04_Продажи'!E6</f>
        <v/>
      </c>
      <c r="C9" s="117">
        <f>IF(ABS(B9)&lt;0.01,"OK","ПРОВЕРИТЬ")</f>
        <v/>
      </c>
      <c r="D9" s="104" t="inlineStr"/>
      <c r="F9" t="inlineStr">
        <is>
          <t>Статус</t>
        </is>
      </c>
      <c r="G9" s="345">
        <f>IF(G4=0,"Модель сходится","Есть расхождения — смотри строки со статусом ПРОВЕРИТЬ")</f>
        <v/>
      </c>
    </row>
    <row r="10" ht="26" customHeight="1">
      <c r="A10" s="104" t="inlineStr">
        <is>
          <t>Сезон 3: продажи = план</t>
        </is>
      </c>
      <c r="B10" s="103">
        <f>SUM('04_Продажи'!Z15:AK15)-'01_Вводные'!B38</f>
        <v/>
      </c>
      <c r="C10" s="117">
        <f>IF(ABS(B10)&lt;0.01,"OK","ПРОВЕРИТЬ")</f>
        <v/>
      </c>
      <c r="D10" s="104" t="inlineStr"/>
    </row>
    <row r="11" ht="26" customHeight="1">
      <c r="A11" s="104" t="inlineStr">
        <is>
          <t>Сезон 3: целые продажи = округлённый план</t>
        </is>
      </c>
      <c r="B11" s="103">
        <f>SUM('04_Продажи'!Z16:AK16)-ROUND('01_Вводные'!B38,0)</f>
        <v/>
      </c>
      <c r="C11" s="117">
        <f>IF(ABS(B11)&lt;0.01,"OK","ПРОВЕРИТЬ")</f>
        <v/>
      </c>
      <c r="D11" s="104" t="inlineStr"/>
      <c r="F11" s="346" t="inlineStr">
        <is>
          <t>«РИСК ПЛАНА» и «УПРОЩЕНИЕ» — это не поломка формул, а честно показанные ограничения плана.</t>
        </is>
      </c>
    </row>
    <row r="12" ht="26" customHeight="1">
      <c r="A12" s="104" t="inlineStr">
        <is>
          <t>Сезон 3: контроль на листе продаж</t>
        </is>
      </c>
      <c r="B12" s="103">
        <f>'04_Продажи'!E7</f>
        <v/>
      </c>
      <c r="C12" s="117">
        <f>IF(ABS(B12)&lt;0.01,"OK","ПРОВЕРИТЬ")</f>
        <v/>
      </c>
      <c r="D12" s="104" t="inlineStr"/>
    </row>
    <row r="13" ht="26" customHeight="1">
      <c r="A13" s="104" t="inlineStr">
        <is>
          <t>Сезон 4: продажи = план</t>
        </is>
      </c>
      <c r="B13" s="103">
        <f>SUM('04_Продажи'!AL15:AW15)-'01_Вводные'!B39</f>
        <v/>
      </c>
      <c r="C13" s="117">
        <f>IF(ABS(B13)&lt;0.01,"OK","ПРОВЕРИТЬ")</f>
        <v/>
      </c>
      <c r="D13" s="104" t="inlineStr"/>
    </row>
    <row r="14" ht="26" customHeight="1">
      <c r="A14" s="104" t="inlineStr">
        <is>
          <t>Сезон 4: целые продажи = округлённый план</t>
        </is>
      </c>
      <c r="B14" s="103">
        <f>SUM('04_Продажи'!AL16:AW16)-ROUND('01_Вводные'!B39,0)</f>
        <v/>
      </c>
      <c r="C14" s="117">
        <f>IF(ABS(B14)&lt;0.01,"OK","ПРОВЕРИТЬ")</f>
        <v/>
      </c>
      <c r="D14" s="104" t="inlineStr"/>
    </row>
    <row r="15" ht="26" customHeight="1">
      <c r="A15" s="104" t="inlineStr">
        <is>
          <t>Сезон 4: контроль на листе продаж</t>
        </is>
      </c>
      <c r="B15" s="103">
        <f>'04_Продажи'!E8</f>
        <v/>
      </c>
      <c r="C15" s="117">
        <f>IF(ABS(B15)&lt;0.01,"OK","ПРОВЕРИТЬ")</f>
        <v/>
      </c>
      <c r="D15" s="104" t="inlineStr"/>
    </row>
    <row r="16" ht="26" customHeight="1">
      <c r="A16" s="104" t="inlineStr">
        <is>
          <t>Сезон 5: продажи = план</t>
        </is>
      </c>
      <c r="B16" s="103">
        <f>SUM('04_Продажи'!AX15:BI15)-'01_Вводные'!B40</f>
        <v/>
      </c>
      <c r="C16" s="117">
        <f>IF(ABS(B16)&lt;0.01,"OK","ПРОВЕРИТЬ")</f>
        <v/>
      </c>
      <c r="D16" s="104" t="inlineStr"/>
    </row>
    <row r="17" ht="26" customHeight="1">
      <c r="A17" s="104" t="inlineStr">
        <is>
          <t>Сезон 5: целые продажи = округлённый план</t>
        </is>
      </c>
      <c r="B17" s="103">
        <f>SUM('04_Продажи'!AX16:BI16)-ROUND('01_Вводные'!B40,0)</f>
        <v/>
      </c>
      <c r="C17" s="117">
        <f>IF(ABS(B17)&lt;0.01,"OK","ПРОВЕРИТЬ")</f>
        <v/>
      </c>
      <c r="D17" s="104" t="inlineStr"/>
    </row>
    <row r="18" ht="26" customHeight="1">
      <c r="A18" s="104" t="inlineStr">
        <is>
          <t>Сезон 5: контроль на листе продаж</t>
        </is>
      </c>
      <c r="B18" s="103">
        <f>'04_Продажи'!E9</f>
        <v/>
      </c>
      <c r="C18" s="117">
        <f>IF(ABS(B18)&lt;0.01,"OK","ПРОВЕРИТЬ")</f>
        <v/>
      </c>
      <c r="D18" s="104" t="inlineStr"/>
    </row>
    <row r="19" ht="26" customHeight="1">
      <c r="A19" s="104" t="inlineStr">
        <is>
          <t>Первый месяц: ноль продаж</t>
        </is>
      </c>
      <c r="B19" s="103">
        <f>'04_Продажи'!B15</f>
        <v/>
      </c>
      <c r="C19" s="117">
        <f>IF(ABS(B19)&lt;0.01,"OK","ПРОВЕРИТЬ")</f>
        <v/>
      </c>
      <c r="D19" s="104" t="inlineStr"/>
    </row>
    <row r="20" ht="26" customHeight="1">
      <c r="A20" s="104" t="inlineStr">
        <is>
          <t>Микс тарифных групп = 100%</t>
        </is>
      </c>
      <c r="B20" s="103">
        <f>'01_Вводные'!C283-1</f>
        <v/>
      </c>
      <c r="C20" s="117">
        <f>IF(ABS(B20)&lt;0.01,"OK","ПРОВЕРИТЬ")</f>
        <v/>
      </c>
      <c r="D20" s="104" t="inlineStr"/>
    </row>
    <row r="21" ht="26" customHeight="1">
      <c r="A21" s="104" t="inlineStr">
        <is>
          <t>Распределение первичной формы = 100%</t>
        </is>
      </c>
      <c r="B21" s="103">
        <f>'01_Вводные'!B90-1</f>
        <v/>
      </c>
      <c r="C21" s="117">
        <f>IF(ABS(B21)&lt;0.01,"OK","ПРОВЕРИТЬ")</f>
        <v/>
      </c>
      <c r="D21" s="104" t="inlineStr"/>
    </row>
    <row r="22" ht="26" customHeight="1">
      <c r="A22" s="104" t="inlineStr">
        <is>
          <t>Распределение повторной формы = 100%</t>
        </is>
      </c>
      <c r="B22" s="103">
        <f>'01_Вводные'!B95-1</f>
        <v/>
      </c>
      <c r="C22" s="117">
        <f>IF(ABS(B22)&lt;0.01,"OK","ПРОВЕРИТЬ")</f>
        <v/>
      </c>
      <c r="D22" s="104" t="inlineStr"/>
    </row>
    <row r="23" ht="26" customHeight="1">
      <c r="A23" s="104" t="inlineStr">
        <is>
          <t>Клиентские платежи лагеря = 100%</t>
        </is>
      </c>
      <c r="B23" s="103">
        <f>'01_Вводные'!B171+'01_Вводные'!B172-1</f>
        <v/>
      </c>
      <c r="C23" s="117">
        <f>IF(ABS(B23)&lt;0.01,"OK","ПРОВЕРИТЬ")</f>
        <v/>
      </c>
      <c r="D23" s="104" t="inlineStr"/>
    </row>
    <row r="24" ht="26" customHeight="1">
      <c r="A24" s="104" t="inlineStr">
        <is>
          <t>Платежи проживания = 100%</t>
        </is>
      </c>
      <c r="B24" s="103">
        <f>'01_Вводные'!B174+'01_Вводные'!B176-1</f>
        <v/>
      </c>
      <c r="C24" s="117">
        <f>IF(ABS(B24)&lt;0.01,"OK","ПРОВЕРИТЬ")</f>
        <v/>
      </c>
      <c r="D24" s="104" t="inlineStr"/>
    </row>
    <row r="25" ht="26" customHeight="1">
      <c r="A25" s="104" t="inlineStr">
        <is>
          <t>Продажи лагеря соответствуют участникам</t>
        </is>
      </c>
      <c r="B25" s="103">
        <f>SUM('09_Лагеря'!B5:M5)-IF('01_Вводные'!B241="Да",('01_Вводные'!B162+'01_Вводные'!B163)*'01_Вводные'!B161,0)</f>
        <v/>
      </c>
      <c r="C25" s="117">
        <f>IF(ABS(B25)&lt;0.01,"OK","ПРОВЕРИТЬ")</f>
        <v/>
      </c>
      <c r="D25" s="104" t="inlineStr"/>
    </row>
    <row r="26" ht="26" customHeight="1">
      <c r="A26" s="104" t="inlineStr">
        <is>
          <t>Нет двойного налога лагеря в денежных расходах</t>
        </is>
      </c>
      <c r="B26" s="103">
        <f>SUM('09_Лагеря'!B19:BI19)-SUM('09_Лагеря'!B12:BI12)-SUM('09_Лагеря'!B13:BI13)</f>
        <v/>
      </c>
      <c r="C26" s="117">
        <f>IF(ABS(B26)&lt;0.01,"OK","ПРОВЕРИТЬ")</f>
        <v/>
      </c>
      <c r="D26" s="104" t="inlineStr">
        <is>
          <t>В расходах лагеря налог исключён; отдельная оплата только в БДДС.</t>
        </is>
      </c>
    </row>
    <row r="27" ht="26" customHeight="1">
      <c r="A27" s="104" t="inlineStr">
        <is>
          <t>Логистика мерча полностью оплачена</t>
        </is>
      </c>
      <c r="B27" s="103">
        <f>SUM('02_Модель'!B58:BI58)-SUM('02_Модель'!B27:BI27)</f>
        <v/>
      </c>
      <c r="C27" s="117">
        <f>IF(ABS(B27)&lt;0.01,"OK","ПРОВЕРИТЬ")</f>
        <v/>
      </c>
      <c r="D27" s="104" t="inlineStr"/>
    </row>
    <row r="28" ht="26" customHeight="1">
      <c r="A28" s="104" t="inlineStr">
        <is>
          <t>Баланс товарного запаса</t>
        </is>
      </c>
      <c r="B28" s="103">
        <f>MAX(MAX('02_Модель'!B87:BI87),-MIN('02_Модель'!B87:BI87))</f>
        <v/>
      </c>
      <c r="C28" s="117">
        <f>IF(ABS(B28)&lt;0.01,"OK","ПРОВЕРИТЬ")</f>
        <v/>
      </c>
      <c r="D28" s="104" t="inlineStr"/>
    </row>
    <row r="29" ht="26" customHeight="1">
      <c r="A29" s="104" t="inlineStr">
        <is>
          <t>БДР → БДДС сходится</t>
        </is>
      </c>
      <c r="B29" s="103">
        <f>MAX(MAX('02_Модель'!B86:BI86),-MIN('02_Модель'!B86:BI86))</f>
        <v/>
      </c>
      <c r="C29" s="117">
        <f>IF(ABS(B29)&lt;0.01,"OK","ПРОВЕРИТЬ")</f>
        <v/>
      </c>
      <c r="D29" s="104" t="inlineStr">
        <is>
          <t>Дебиторка, кредиторка, склад, авансы, ФК, CAPEX и тело займа.</t>
        </is>
      </c>
    </row>
    <row r="30" ht="26" customHeight="1">
      <c r="A30" s="104" t="inlineStr">
        <is>
          <t>Баланс займа</t>
        </is>
      </c>
      <c r="B30" s="103">
        <f>'01_Вводные'!B78-SUM('02_Модель'!B70:BI70)-'02_Модель'!BI75</f>
        <v/>
      </c>
      <c r="C30" s="117">
        <f>IF(ABS(B30)&lt;0.01,"OK","ПРОВЕРИТЬ")</f>
        <v/>
      </c>
      <c r="D30" s="104" t="inlineStr"/>
    </row>
    <row r="31" ht="26" customHeight="1">
      <c r="A31" s="104" t="inlineStr">
        <is>
          <t>Погашение не превышает начальный займ</t>
        </is>
      </c>
      <c r="B31" s="103">
        <f>MAX(0,SUM('02_Модель'!B70:BI70)-'01_Вводные'!B78)</f>
        <v/>
      </c>
      <c r="C31" s="117">
        <f>IF(ABS(B31)&lt;0.01,"OK","ПРОВЕРИТЬ")</f>
        <v/>
      </c>
      <c r="D31" s="104" t="inlineStr"/>
    </row>
    <row r="32" ht="26" customHeight="1">
      <c r="A32" s="104" t="inlineStr">
        <is>
          <t>Отчёт ФК = БДДС</t>
        </is>
      </c>
      <c r="B32" s="103">
        <f>MAX(MAX('10_Выплаты_ФК'!B37:BI37),-MIN('10_Выплаты_ФК'!B37:BI37))</f>
        <v/>
      </c>
      <c r="C32" s="117">
        <f>IF(ABS(B32)&lt;0.01,"OK","ПРОВЕРИТЬ")</f>
        <v/>
      </c>
      <c r="D32" s="104" t="inlineStr"/>
    </row>
    <row r="33" ht="26" customHeight="1">
      <c r="A33" s="104" t="inlineStr">
        <is>
          <t>Среднее детей на дашборде = среднее за 60 месяцев</t>
        </is>
      </c>
      <c r="B33" s="103">
        <f>'00_Дашборд'!H23-AVERAGE('06_Сеть_и_дети'!B25:BI25)</f>
        <v/>
      </c>
      <c r="C33" s="117">
        <f>IF(ABS(B33)&lt;0.01,"OK","ПРОВЕРИТЬ")</f>
        <v/>
      </c>
      <c r="D33" s="104" t="inlineStr"/>
    </row>
    <row r="34" ht="26" customHeight="1">
      <c r="A34" s="104" t="inlineStr">
        <is>
          <t>Выбранный сценарий совпадает с EBITDA</t>
        </is>
      </c>
      <c r="B34" s="103">
        <f>SUM('02_Модель'!B44:BI44)-INDEX('03_Сценарии'!B11:D11,1,'01_Вводные'!B194)*1000000</f>
        <v/>
      </c>
      <c r="C34" s="117">
        <f>IF(ABS(B34)&lt;0.01,"OK","ПРОВЕРИТЬ")</f>
        <v/>
      </c>
      <c r="D34" s="104" t="inlineStr"/>
    </row>
    <row r="35" ht="26" customHeight="1">
      <c r="A35" s="104" t="inlineStr">
        <is>
          <t>Выбранный сценарий совпадает с деньгами</t>
        </is>
      </c>
      <c r="B35" s="103">
        <f>'02_Модель'!BI72-INDEX('03_Сценарии'!B16:D16,1,'01_Вводные'!B194)*1000000</f>
        <v/>
      </c>
      <c r="C35" s="117">
        <f>IF(ABS(B35)&lt;0.01,"OK","ПРОВЕРИТЬ")</f>
        <v/>
      </c>
      <c r="D35" s="104" t="inlineStr"/>
    </row>
    <row r="36" ht="26" customHeight="1">
      <c r="A36" s="104" t="inlineStr">
        <is>
          <t>Положительная конверсия лидов</t>
        </is>
      </c>
      <c r="B36" s="103">
        <f>IF('01_Вводные'!B25&gt;0,0,1)</f>
        <v/>
      </c>
      <c r="C36" s="117">
        <f>IF(ABS(B36)&lt;0.01,"OK","ПРОВЕРИТЬ")</f>
        <v/>
      </c>
      <c r="D36" s="104" t="inlineStr"/>
    </row>
    <row r="37" ht="26" customHeight="1">
      <c r="A37" s="104" t="inlineStr">
        <is>
          <t>Допустимые сроки расчётов 0–30 дней</t>
        </is>
      </c>
      <c r="B37" s="103">
        <f>IF(AND('01_Вводные'!B19&gt;=0,'01_Вводные'!B19&lt;=30,'01_Вводные'!B227="OK"),0,1)</f>
        <v/>
      </c>
      <c r="C37" s="117">
        <f>IF(ABS(B37)&lt;0.01,"OK","ПРОВЕРИТЬ")</f>
        <v/>
      </c>
      <c r="D37" s="104" t="inlineStr"/>
    </row>
    <row r="38" ht="26" customHeight="1">
      <c r="A38" s="104" t="inlineStr">
        <is>
          <t>Целевой склад в поддерживаемых границах 1–6 мес.</t>
        </is>
      </c>
      <c r="B38" s="103">
        <f>IF(AND('01_Вводные'!B80&gt;=1,'01_Вводные'!B80&lt;=6),0,1)</f>
        <v/>
      </c>
      <c r="C38" s="117">
        <f>IF(ABS(B38)&lt;0.01,"OK","ПРОВЕРИТЬ")</f>
        <v/>
      </c>
      <c r="D38" s="104" t="inlineStr"/>
    </row>
    <row r="39" ht="26" customHeight="1">
      <c r="A39" s="104" t="inlineStr">
        <is>
          <t>Прогнозный горизонт 60 месяцев</t>
        </is>
      </c>
      <c r="B39" s="103">
        <f>'01_Вводные'!B8-60</f>
        <v/>
      </c>
      <c r="C39" s="117">
        <f>IF(ABS(B39)&lt;0.01,"OK","ПРОВЕРИТЬ")</f>
        <v/>
      </c>
      <c r="D39" s="104" t="inlineStr">
        <is>
          <t>Иная длина требует расширения структуры, а не только смены цифры.</t>
        </is>
      </c>
    </row>
    <row r="40" ht="26" customHeight="1">
      <c r="A40" s="104" t="inlineStr">
        <is>
          <t>Закрытие: коэффициент 0–1</t>
        </is>
      </c>
      <c r="B40" s="103">
        <f>IF(AND('01_Вводные'!B13&gt;=0,'01_Вводные'!B13&lt;=1),0,1)</f>
        <v/>
      </c>
      <c r="C40" s="117">
        <f>IF(ABS(B40)&lt;0.01,"OK","ПРОВЕРИТЬ")</f>
        <v/>
      </c>
      <c r="D40" s="104" t="inlineStr"/>
    </row>
    <row r="41" ht="26" customHeight="1">
      <c r="A41" s="130" t="inlineStr">
        <is>
          <t>Максимальный дефицит товара</t>
        </is>
      </c>
      <c r="B41" s="131">
        <f>MAX('07_Мерч'!B27:BI27)</f>
        <v/>
      </c>
      <c r="C41" s="132">
        <f>IF(ABS(B41)&lt;0.01,"OK","РИСК ПЛАНА")</f>
        <v/>
      </c>
      <c r="D41" s="130" t="inlineStr">
        <is>
          <t>Риск плана продаж, не исправляется скрытым созданием товара.</t>
        </is>
      </c>
    </row>
    <row r="42" ht="26" customHeight="1">
      <c r="A42" s="130" t="inlineStr">
        <is>
          <t>Пиковый кассовый дефицит</t>
        </is>
      </c>
      <c r="B42" s="131">
        <f>MAX(0,-MIN('02_Модель'!B72:BI72))</f>
        <v/>
      </c>
      <c r="C42" s="132">
        <f>IF(ABS(B42)&lt;0.01,"OK","РИСК ПЛАНА")</f>
        <v/>
      </c>
      <c r="D42" s="130" t="inlineStr">
        <is>
          <t>Не включён дополнительный кредит и стоимость его обслуживания.</t>
        </is>
      </c>
    </row>
    <row r="43" ht="42" customHeight="1">
      <c r="A43" s="136" t="inlineStr">
        <is>
          <t>Персональные схемы не дублируются квартальными премиями</t>
        </is>
      </c>
      <c r="B43" s="137">
        <f>IF(OR('01_Вводные'!D141="Да",'01_Вводные'!D142="Да",'01_Вводные'!D143="Да",'01_Вводные'!D150="Да"),1,0)</f>
        <v/>
      </c>
      <c r="C43" s="136">
        <f>IF(ABS(B43)&lt;0.01,"OK","ПРОВЕРИТЬ")</f>
        <v/>
      </c>
      <c r="D43" s="136" t="inlineStr">
        <is>
          <t>Развитие, проектный менеджер и продажи имеют отдельные схемы.</t>
        </is>
      </c>
    </row>
    <row r="44" ht="42" customHeight="1">
      <c r="A44" s="136" t="inlineStr">
        <is>
          <t>Месяцы закупок без повторов</t>
        </is>
      </c>
      <c r="B44" s="137">
        <f>IF(OR('01_Вводные'!B82='01_Вводные'!B83,'01_Вводные'!B82='01_Вводные'!B84,'01_Вводные'!B82='01_Вводные'!B85,'01_Вводные'!B83='01_Вводные'!B84,'01_Вводные'!B83='01_Вводные'!B85,'01_Вводные'!B84='01_Вводные'!B85),1,0)</f>
        <v/>
      </c>
      <c r="C44" s="136">
        <f>IF(ABS(B44)&lt;0.01,"OK","ПРОВЕРИТЬ")</f>
        <v/>
      </c>
      <c r="D44" s="136" t="inlineStr">
        <is>
          <t>Повтор номера месяца уменьшит число доступных закупок.</t>
        </is>
      </c>
    </row>
    <row r="45" ht="44" customHeight="1">
      <c r="A45" s="136" t="inlineStr">
        <is>
          <t>Роялти: включён детальный расчёт</t>
        </is>
      </c>
      <c r="B45" s="137">
        <f>IF('01_Вводные'!B239="Да",0,1)</f>
        <v/>
      </c>
      <c r="C45" s="136">
        <f>IF(B45=0,"OK","УПРОЩЕНИЕ")</f>
        <v/>
      </c>
      <c r="D45" s="136" t="inlineStr">
        <is>
          <t>Нет воспроизводит прежнее усреднение для сравнения, не является точной договорной моделью.</t>
        </is>
      </c>
    </row>
    <row r="46"/>
    <row r="47" ht="32" customHeight="1">
      <c r="A47" s="104" t="inlineStr">
        <is>
          <t>CAPEX включён в БДДС полностью</t>
        </is>
      </c>
      <c r="B47" s="103">
        <f>SUM('02_Модель'!B57:BI57)-SUM('02_Модель'!B99:BI99)</f>
        <v/>
      </c>
      <c r="C47" s="117">
        <f>IF(ABS(B47)&lt;0.01,"OK","ПРОВЕРИТЬ")</f>
        <v/>
      </c>
      <c r="D47" s="104" t="inlineStr">
        <is>
          <t>Оплата равна сумме разового и поддерживающего CAPEX.</t>
        </is>
      </c>
    </row>
    <row r="48" ht="32" customHeight="1">
      <c r="A48" s="104" t="inlineStr">
        <is>
          <t>CAPEX сценария совпадает с отчётом</t>
        </is>
      </c>
      <c r="B48" s="103">
        <f>SUM('02_Модель'!B57:BI57)-INDEX('03_Сценарии'!B28:D28,1,'01_Вводные'!B194)*1000000</f>
        <v/>
      </c>
      <c r="C48" s="117">
        <f>IF(ABS(B48)&lt;0.01,"OK","ПРОВЕРИТЬ")</f>
        <v/>
      </c>
      <c r="D48" s="104" t="inlineStr">
        <is>
          <t>Каждый сценарий использует свою выручку.</t>
        </is>
      </c>
    </row>
    <row r="49" ht="32" customHeight="1">
      <c r="A49" s="104" t="inlineStr">
        <is>
          <t>CAPEX не задвоен</t>
        </is>
      </c>
      <c r="B49" s="103">
        <f>SUM('02_Модель'!B57:BI57)-SUM('02_Модель'!B97:BI98)</f>
        <v/>
      </c>
      <c r="C49" s="117">
        <f>IF(ABS(B49)&lt;0.01,"OK","ПРОВЕРИТЬ")</f>
        <v/>
      </c>
      <c r="D49" s="104" t="inlineStr">
        <is>
          <t>Одна выплата, без включения в OPEX / EBITDA.</t>
        </is>
      </c>
    </row>
    <row r="50" ht="32" customHeight="1">
      <c r="A50" s="104" t="inlineStr">
        <is>
          <t>Разовый CAPEX учтён один раз</t>
        </is>
      </c>
      <c r="B50" s="103">
        <f>SUM('02_Модель'!B98:BI98)-IF(AND('01_Вводные'!B290="Да",'01_Вводные'!B289&gt;='02_Модель'!B3,'01_Вводные'!B289&lt;='02_Модель'!BI3),'01_Вводные'!B287,0)</f>
        <v/>
      </c>
      <c r="C50" s="117">
        <f>IF(ABS(B50)&lt;0.01,"OK","ПРОВЕРИТЬ")</f>
        <v/>
      </c>
      <c r="D50" s="104" t="inlineStr">
        <is>
          <t>В заданном месяце внутри горизонта при включённом CAPEX.</t>
        </is>
      </c>
    </row>
    <row r="51"/>
    <row r="52" ht="30" customHeight="1">
      <c r="A52" s="104" t="inlineStr">
        <is>
          <t>Все возрасты дают все новые школы</t>
        </is>
      </c>
      <c r="B52" s="103">
        <f>MAX(MAX('06_Сеть_и_дети'!B206:BI206),-MIN('06_Сеть_и_дети'!B206:BI206))</f>
        <v/>
      </c>
      <c r="C52" s="117">
        <f>IF(ABS(B52)&lt;0.01,"OK","ПРОВЕРИТЬ")</f>
        <v/>
      </c>
    </row>
    <row r="53" ht="30" customHeight="1">
      <c r="A53" s="104" t="inlineStr">
        <is>
          <t>Дети собраны из всех возрастов</t>
        </is>
      </c>
      <c r="B53" s="103">
        <f>MAX(MAX('06_Сеть_и_дети'!B207:BI207),-MIN('06_Сеть_и_дети'!B207:BI207))</f>
        <v/>
      </c>
      <c r="C53" s="117">
        <f>IF(ABS(B53)&lt;0.01,"OK","ПРОВЕРИТЬ")</f>
        <v/>
      </c>
    </row>
    <row r="54" ht="30" customHeight="1">
      <c r="A54" s="104" t="inlineStr">
        <is>
          <t>Постепенный набор включен</t>
        </is>
      </c>
      <c r="B54" s="103">
        <f>IF('01_Вводные'!B295="Да",0,1)</f>
        <v/>
      </c>
      <c r="C54" s="117">
        <f>IF(ABS(B54)&lt;0.01,"OK","ПРОВЕРИТЬ")</f>
        <v/>
      </c>
    </row>
    <row r="55" ht="30" customHeight="1">
      <c r="A55" s="104" t="inlineStr">
        <is>
          <t>Новый сезон повторных заказов</t>
        </is>
      </c>
      <c r="B55" s="103">
        <f>IF('01_Вводные'!B296="Новый сезон",0,1)</f>
        <v/>
      </c>
      <c r="C55" s="117">
        <f>IF(ABS(B55)&lt;0.01,"OK","ПРОВЕРИТЬ")</f>
        <v/>
      </c>
    </row>
    <row r="56" ht="30" customHeight="1">
      <c r="A56" s="104" t="inlineStr">
        <is>
          <t>В первые 4 мес. повторной формы нет</t>
        </is>
      </c>
      <c r="B56" s="103">
        <f>SUM('06_Сеть_и_дети'!B165:BI168)</f>
        <v/>
      </c>
      <c r="C56" s="117">
        <f>IF(ABS(B56)&lt;0.01,"OK","ПРОВЕРИТЬ")</f>
        <v/>
      </c>
      <c r="D56" t="inlineStr">
        <is>
          <t>Месяц открытия + 3 первичных поставки; нет одновременного учета.</t>
        </is>
      </c>
    </row>
    <row r="57" ht="30" customHeight="1">
      <c r="A57" s="104" t="inlineStr">
        <is>
          <t>Конверсия 0-100%</t>
        </is>
      </c>
      <c r="B57" s="103">
        <f>IF(AND('01_Вводные'!B298&gt;=0,'01_Вводные'!B298&lt;=1),0,1)</f>
        <v/>
      </c>
      <c r="C57" s="117">
        <f>IF(ABS(B57)&lt;0.01,"OK","ПРОВЕРИТЬ")</f>
        <v/>
      </c>
    </row>
    <row r="58" ht="30" customHeight="1">
      <c r="A58" s="104" t="inlineStr">
        <is>
          <t>Индексация вне ФОТ включена</t>
        </is>
      </c>
      <c r="B58" s="103">
        <f>IF('01_Вводные'!B294="Да",0,1)</f>
        <v/>
      </c>
      <c r="C58" s="117">
        <f>IF(ABS(B58)&lt;0.01,"OK","ПРОВЕРИТЬ")</f>
        <v/>
      </c>
    </row>
    <row r="59" ht="30" customHeight="1">
      <c r="A59" s="104" t="inlineStr">
        <is>
          <t>Офис оставлен фиксированным</t>
        </is>
      </c>
      <c r="B59" s="103">
        <f>SUM('02_Модель'!B38:BI38)-60*'01_Вводные'!B108</f>
        <v/>
      </c>
      <c r="C59" s="117">
        <f>IF(ABS(B59)&lt;0.01,"OK","ПРОВЕРИТЬ")</f>
        <v/>
      </c>
    </row>
    <row r="60" ht="30" customHeight="1">
      <c r="A60" s="104" t="inlineStr">
        <is>
          <t>Согласованный мерч 2026 не менялся (в пределах горизонта)</t>
        </is>
      </c>
      <c r="B60" s="103">
        <f>SUMPRODUCT('07_Мерч'!$B$6:$BO$6*(COUNTIF('01_Вводные'!$B$98:$E$98,'07_Мерч'!$B$3:$BO$3)&gt;0))-SUMPRODUCT('01_Вводные'!$B$100:$E$100*(COUNTIF('07_Мерч'!$B$3:$BO$3,'01_Вводные'!$B$98:$E$98)&gt;0))</f>
        <v/>
      </c>
      <c r="C60" s="117">
        <f>IF(ABS(B60)&lt;0.01,"OK","ПРОВЕРИТЬ")</f>
        <v/>
      </c>
    </row>
    <row r="61"/>
    <row r="62">
      <c r="A62" s="104" t="inlineStr">
        <is>
          <t>История: июль 2026 сходится с отчётом</t>
        </is>
      </c>
      <c r="B62" s="103">
        <f>SUM('01_Вводные'!B353:D353)-3136928</f>
        <v/>
      </c>
      <c r="C62" s="117">
        <f>IF(ABS(B62)&lt;0.01,"OK","ПРОВЕРИТЬ")</f>
        <v/>
      </c>
      <c r="D62" s="104" t="inlineStr">
        <is>
          <t>Выручка июля 2026 по разделу 17 должна совпасть с отчётом о финрезультатах: 3 136 928 ₽.</t>
        </is>
      </c>
    </row>
    <row r="63">
      <c r="A63" s="104" t="inlineStr">
        <is>
          <t>Режим истории допустим</t>
        </is>
      </c>
      <c r="B63" s="103">
        <f>'01_Вводные'!B188</f>
        <v/>
      </c>
      <c r="C63" s="117">
        <f>IF(OR(B63="Без истории",B63="С историей"),"OK","ПРОВЕРИТЬ")</f>
        <v/>
      </c>
      <c r="D63" s="104" t="inlineStr">
        <is>
          <t>Переключатель влияет только на представление общего результата на дашборде, а не на прогнозные формулы.</t>
        </is>
      </c>
    </row>
    <row r="64"/>
    <row r="65">
      <c r="A65" s="218" t="inlineStr">
        <is>
          <t>Дополнительные проверки V8.7</t>
        </is>
      </c>
    </row>
    <row r="66">
      <c r="A66" t="inlineStr">
        <is>
          <t>Коэффициент новых юрлиц &gt;= 0</t>
        </is>
      </c>
      <c r="B66">
        <f>IF('01_Вводные'!B16&gt;=0,0,1)</f>
        <v/>
      </c>
      <c r="C66">
        <f>IF(B66=0,"OK","ПРОВЕРИТЬ")</f>
        <v/>
      </c>
    </row>
    <row r="67">
      <c r="A67" t="inlineStr">
        <is>
          <t>Коэффициент новых школ &gt;= 0</t>
        </is>
      </c>
      <c r="B67">
        <f>IF('01_Вводные'!B22&gt;=0,0,1)</f>
        <v/>
      </c>
      <c r="C67">
        <f>IF(B67=0,"OK","ПРОВЕРИТЬ")</f>
        <v/>
      </c>
    </row>
    <row r="68">
      <c r="A68" t="inlineStr">
        <is>
          <t>Старт: 51 партнёр / 104 школы</t>
        </is>
      </c>
      <c r="B68">
        <f>IF(AND('01_Вводные'!B10=51,'01_Вводные'!B9=104),0,1)</f>
        <v/>
      </c>
      <c r="C68">
        <f>IF(B68=0,"OK","ПРОВЕРИТЬ")</f>
        <v/>
      </c>
    </row>
    <row r="70">
      <c r="A70" s="257" t="inlineStr">
        <is>
          <t>Дополнительные проверки по разбору 09.09.2026</t>
        </is>
      </c>
    </row>
    <row r="71" ht="30" customHeight="1">
      <c r="A71" s="243" t="inlineStr">
        <is>
          <t>Двойное премирование: месяцев с 4% и 5% одновременно</t>
        </is>
      </c>
      <c r="B71" s="73">
        <f>SUMPRODUCT(--('04_Продажи'!$B$15:$BI$15&gt;='01_Вводные'!$B$126))</f>
        <v/>
      </c>
      <c r="C71" s="345">
        <f>IF(B71=0,"OK","ДВОЙНАЯ ПРЕМИЯ")</f>
        <v/>
      </c>
      <c r="D71" s="245" t="inlineStr">
        <is>
          <t>При продажах ≥ 5 Евгений получает 4%, а временный продавец 5% с ОДНОЙ И ТОЙ ЖЕ паушальной выручки. Решение по разделению баз не принято — см. 14а_Сверка_с_ТЗ.</t>
        </is>
      </c>
    </row>
    <row r="72" ht="30" customHeight="1">
      <c r="A72" s="243" t="inlineStr">
        <is>
          <t>Лагеря включены в расчёт</t>
        </is>
      </c>
      <c r="B72" s="73">
        <f>IF('01_Вводные'!$B$241="Да",1,0)</f>
        <v/>
      </c>
      <c r="C72" s="345">
        <f>IF(B72=1,"ВКЛЮЧЕНЫ","ОТКЛЮЧЕНЫ")</f>
        <v/>
      </c>
      <c r="D72" s="245" t="inlineStr">
        <is>
          <t>Отключено по запросу 09.09.2026. Вернуть: 01_Вводные!B241 = Да.</t>
        </is>
      </c>
    </row>
    <row r="73" ht="30" customHeight="1">
      <c r="A73" s="243" t="inlineStr">
        <is>
          <t>Выручка лагерей при отключении = 0</t>
        </is>
      </c>
      <c r="B73" s="73">
        <f>SUM('09_Лагеря'!B10:BI10)</f>
        <v/>
      </c>
      <c r="C73" s="345">
        <f>IF(ABS(B73)&lt;0.01,"OK","ПРОВЕРИТЬ")</f>
        <v/>
      </c>
      <c r="D73" s="245" t="inlineStr">
        <is>
          <t>Контроль, что переключатель действительно обнуляет блок.</t>
        </is>
      </c>
    </row>
    <row r="74" ht="30" customHeight="1">
      <c r="A74" s="243" t="inlineStr">
        <is>
          <t>Деньги лагерей при отключении = 0</t>
        </is>
      </c>
      <c r="B74" s="73">
        <f>SUM('09_Лагеря'!B8:BI8)+SUM('09_Лагеря'!B19:BI19)</f>
        <v/>
      </c>
      <c r="C74" s="345">
        <f>IF(ABS(B74)&lt;0.01,"OK","ПРОВЕРИТЬ")</f>
        <v/>
      </c>
      <c r="D74" s="245" t="inlineStr">
        <is>
          <t>Ни поступлений, ни оплат.</t>
        </is>
      </c>
    </row>
    <row r="76">
      <c r="A76" s="347" t="inlineStr">
        <is>
          <t>Дополнительные проверки по разбору 11.09.2026</t>
        </is>
      </c>
    </row>
    <row r="77">
      <c r="A77" t="inlineStr">
        <is>
          <t>Когорты школ сходятся со стадиями — негативный</t>
        </is>
      </c>
      <c r="B77">
        <f>SUM('19_Расчет_аналитики'!$B$561:$BI$561)</f>
        <v/>
      </c>
      <c r="C77">
        <f>IF(ABS(B77)&lt;0.01,"OK","ПРОВЕРИТЬ")</f>
        <v/>
      </c>
      <c r="D77" t="inlineStr">
        <is>
          <t>Сумма школ по 25 месяцам жизни против суммы трёх стадий (1–12, 13–24, зрелые). Считалось в движке, но никуда не выводилось.</t>
        </is>
      </c>
    </row>
    <row r="78">
      <c r="A78" t="inlineStr">
        <is>
          <t>Когорты школ сходятся со стадиями — базовый</t>
        </is>
      </c>
      <c r="B78">
        <f>SUM('19_Расчет_аналитики'!$B$1573:$BI$1573)</f>
        <v/>
      </c>
      <c r="C78">
        <f>IF(ABS(B78)&lt;0.01,"OK","ПРОВЕРИТЬ")</f>
        <v/>
      </c>
      <c r="D78" t="inlineStr">
        <is>
          <t>Сумма школ по 25 месяцам жизни против суммы трёх стадий (1–12, 13–24, зрелые). Считалось в движке, но никуда не выводилось.</t>
        </is>
      </c>
    </row>
    <row r="79">
      <c r="A79" t="inlineStr">
        <is>
          <t>Когорты школ сходятся со стадиями — позитивный</t>
        </is>
      </c>
      <c r="B79">
        <f>SUM('19_Расчет_аналитики'!$B$2585:$BI$2585)</f>
        <v/>
      </c>
      <c r="C79">
        <f>IF(ABS(B79)&lt;0.01,"OK","ПРОВЕРИТЬ")</f>
        <v/>
      </c>
      <c r="D79" t="inlineStr">
        <is>
          <t>Сумма школ по 25 месяцам жизни против суммы трёх стадий (1–12, 13–24, зрелые). Считалось в движке, но никуда не выводилось.</t>
        </is>
      </c>
    </row>
    <row r="80">
      <c r="A80" t="inlineStr">
        <is>
          <t>Продажи движка совпадают с листом продаж</t>
        </is>
      </c>
      <c r="B80">
        <f>CHOOSE('01_Вводные'!$B$194,SUM('19_Расчет_аналитики'!$B$338:$BI$338),SUM('19_Расчет_аналитики'!$B$1350:$BI$1350),SUM('19_Расчет_аналитики'!$B$2362:$BI$2362))-SUM('04_Продажи'!$B$15:$BI$15)</f>
        <v/>
      </c>
      <c r="C80">
        <f>IF(ABS(B80)&lt;0.01,"OK","ПРОВЕРИТЬ")</f>
        <v/>
      </c>
      <c r="D80" t="inlineStr">
        <is>
          <t>Заменяет сломанный контроль внутри движка: там ссылки разъехались при протяжке и строка сравнивала движок сам с собой.</t>
        </is>
      </c>
    </row>
  </sheetData>
  <mergeCells count="1">
    <mergeCell ref="A1:D1"/>
  </mergeCells>
  <conditionalFormatting sqref="B4:B42">
    <cfRule type="cellIs" priority="1" operator="greaterThan" dxfId="1">
      <formula>0.01</formula>
    </cfRule>
  </conditionalFormatting>
  <conditionalFormatting sqref="C4:C68">
    <cfRule type="cellIs" priority="2" operator="equal" dxfId="2">
      <formula>"ПРОВЕРИТЬ"</formula>
    </cfRule>
    <cfRule type="cellIs" priority="3" operator="equal" dxfId="3">
      <formula>"РИСК ПЛАНА"</formula>
    </cfRule>
    <cfRule type="cellIs" priority="4" operator="equal" dxfId="4">
      <formula>"УПРОЩЕНИЕ"</formula>
    </cfRule>
    <cfRule type="cellIs" priority="5" operator="equal" dxfId="5">
      <formula>"OK"</formula>
    </cfRule>
  </conditionalFormatting>
  <conditionalFormatting sqref="G4:G7">
    <cfRule type="cellIs" priority="6" operator="greaterThan" dxfId="2">
      <formula>0</formula>
    </cfRule>
  </conditionalFormatting>
  <conditionalFormatting sqref="C71:C74">
    <cfRule type="cellIs" priority="7" operator="equal" dxfId="2">
      <formula>"ДВОЙНАЯ ПРЕМИЯ"</formula>
    </cfRule>
    <cfRule type="cellIs" priority="8" operator="equal" dxfId="6">
      <formula>"ОТКЛЮЧЕНЫ"</formula>
    </cfRule>
  </conditionalFormatting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13_Проверки&amp;R&amp;P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D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" customWidth="1" min="1" max="1"/>
    <col width="65" customWidth="1" min="2" max="2"/>
    <col width="59" customWidth="1" min="3" max="3"/>
    <col width="35" customWidth="1" min="4" max="4"/>
    <col width="58" customWidth="1" min="5" max="5"/>
    <col width="38" customWidth="1" min="6" max="6"/>
    <col width="20" customWidth="1" min="7" max="7"/>
    <col width="26" customWidth="1" min="8" max="8"/>
  </cols>
  <sheetData>
    <row r="1" ht="38" customHeight="1">
      <c r="A1" s="197" t="inlineStr">
        <is>
          <t>Существенные вопросы и ограничения</t>
        </is>
      </c>
    </row>
    <row r="2"/>
    <row r="3" ht="40" customHeight="1"/>
    <row r="4" ht="30" customHeight="1">
      <c r="A4" s="198" t="inlineStr">
        <is>
          <t>Статус</t>
        </is>
      </c>
      <c r="B4" s="198" t="inlineStr">
        <is>
          <t>Что нужно решить</t>
        </is>
      </c>
      <c r="C4" s="198" t="inlineStr">
        <is>
          <t>Что сейчас</t>
        </is>
      </c>
      <c r="D4" s="198" t="inlineStr">
        <is>
          <t>Где</t>
        </is>
      </c>
    </row>
    <row r="5" ht="65" customHeight="1">
      <c r="A5" s="199" t="inlineStr">
        <is>
          <t>1. Уточнить</t>
        </is>
      </c>
      <c r="B5" s="199" t="inlineStr">
        <is>
          <t>Подтвердить каникулы по роялти, долю продаж, переходящих в открытия, и ежегодные закрытия школ.</t>
        </is>
      </c>
      <c r="C5" s="199" t="inlineStr">
        <is>
          <t>В базе первоначальной v4 — 2 месяца / 95% / 3%. В текущей модели — 0 месяцев / 100% / 0%. Постепенный набор детей предусмотрен в обеих моделях.</t>
        </is>
      </c>
      <c r="D5" s="199" t="inlineStr">
        <is>
          <t>01_Вводные!B297:B298; B13</t>
        </is>
      </c>
    </row>
    <row r="6" ht="82" customHeight="1">
      <c r="A6" s="200" t="inlineStr">
        <is>
          <t>2. Уточнить</t>
        </is>
      </c>
      <c r="B6" s="200" t="inlineStr">
        <is>
          <t>Какие месяцы и объемы пополнения склада подтверждаем? Источник и стоимость денег при кассовом разрыве?</t>
        </is>
      </c>
      <c r="C6" s="200" t="inlineStr">
        <is>
          <t>Цель 6 мес., окна закупок февраль / май / август / ноябрь не менялись. Дефицит товара и денег показан, не закрыт придуманным займом.</t>
        </is>
      </c>
      <c r="D6" s="200" t="inlineStr">
        <is>
          <t>01_Вводные!B80:B85; 03_Сценарии</t>
        </is>
      </c>
    </row>
    <row r="7" ht="82" customHeight="1">
      <c r="A7" s="199" t="inlineStr">
        <is>
          <t>Данные позже</t>
        </is>
      </c>
      <c r="B7" s="199" t="inlineStr">
        <is>
          <t>Подтвердить связь новых продаж с юрлицами и школами и стартовый cash на 31.08.2026.</t>
        </is>
      </c>
      <c r="C7" s="199" t="inlineStr">
        <is>
          <t>Факт сети: 51 действующий партнёр и 104 школы. Сейчас 1 продажа = 1 новое юрлицо и отдельно 1 новая школа; оба коэффициента вынесены во вводные. Cash 187 878 ₽ временный.</t>
        </is>
      </c>
      <c r="D7" s="199" t="inlineStr">
        <is>
          <t>01_Вводные!B9:B22</t>
        </is>
      </c>
    </row>
    <row r="8" ht="82" customHeight="1">
      <c r="A8" s="200" t="inlineStr">
        <is>
          <t>Уточнить</t>
        </is>
      </c>
      <c r="B8" s="200" t="inlineStr">
        <is>
          <t>Премия Евгения: 4% — начисленная премия (gross) с взносами работодателя сверху или полный бюджет работодателя 4% включая взносы?</t>
        </is>
      </c>
      <c r="C8" s="200" t="inlineStr">
        <is>
          <t>Сейчас 4% считается gross, НДФЛ удерживается из выплаты, страховые взносы 30% начисляются сверху. Стоимость компании = 5,2% от базы.</t>
        </is>
      </c>
      <c r="D8" s="200" t="inlineStr">
        <is>
          <t>01_Вводные!B125; 08_ФОТ!17:18</t>
        </is>
      </c>
    </row>
    <row r="9" ht="82" customHeight="1">
      <c r="A9" s="199" t="inlineStr">
        <is>
          <t>Уточнить</t>
        </is>
      </c>
      <c r="B9" s="199" t="inlineStr">
        <is>
          <t>Нужен ли пошкольный/партнёрский расчет минимального роялти действующей сети?</t>
        </is>
      </c>
      <c r="C9" s="199" t="inlineStr">
        <is>
          <t>Сейчас действующая сеть агрегирована: MAX(% с общего оборота; 104 × минимум). Для расчёта по каждой школе нужен реестр оборота/детей или хотя бы базового роялти по партнёрам и количества школ.</t>
        </is>
      </c>
      <c r="D9" s="199" t="inlineStr">
        <is>
          <t>06_Сеть_и_дети; 01_Вводные!B52</t>
        </is>
      </c>
    </row>
    <row r="10" ht="65" customHeight="1">
      <c r="A10" s="200" t="inlineStr">
        <is>
          <t>Уточнить</t>
        </is>
      </c>
      <c r="B10" s="200" t="inlineStr">
        <is>
          <t>Подтвердить средний абонемент и минимальный роялти действующей сети.</t>
        </is>
      </c>
      <c r="C10" s="200" t="inlineStr">
        <is>
          <t>В приложенной v4 — 7 800 ₽ и 17 500 ₽. В текущей модели — 6 000 ₽ и 15 000 ₽.</t>
        </is>
      </c>
      <c r="D10" s="200" t="inlineStr">
        <is>
          <t>01_Вводные!B217; B51:B52</t>
        </is>
      </c>
    </row>
    <row r="11" ht="70" customHeight="1"/>
    <row r="12" ht="30" customHeight="1">
      <c r="A12" s="181" t="inlineStr">
        <is>
          <t>Живые ограничения плана</t>
        </is>
      </c>
    </row>
    <row r="13" ht="40" customHeight="1">
      <c r="A13" s="199" t="inlineStr">
        <is>
          <t>Деньги</t>
        </is>
      </c>
      <c r="B13" s="201">
        <f>MAX(0,-MIN('02_Модель'!B72:BI72))/1000000</f>
        <v/>
      </c>
      <c r="C13" s="199" t="inlineStr">
        <is>
          <t>млн ₽; пиковый кассовый дефицит, не оформленный кредит.</t>
        </is>
      </c>
      <c r="D13" s="199" t="inlineStr">
        <is>
          <t>00_Дашборд!E12</t>
        </is>
      </c>
    </row>
    <row r="14" ht="40" customHeight="1">
      <c r="A14" s="200" t="inlineStr">
        <is>
          <t>Товар</t>
        </is>
      </c>
      <c r="B14" s="202">
        <f>'03_Сценарии'!D22</f>
        <v/>
      </c>
      <c r="C14" s="200" t="inlineStr">
        <is>
          <t>млн ₽ себестоимости; необеспеченный спрос в позитиве.</t>
        </is>
      </c>
      <c r="D14" s="200" t="inlineStr">
        <is>
          <t>03_Сценарии!D22</t>
        </is>
      </c>
    </row>
    <row r="15" ht="70" customHeight="1"/>
    <row r="17" ht="28" customHeight="1"/>
    <row r="19" ht="35" customHeight="1"/>
    <row r="20" ht="70" customHeight="1"/>
    <row r="21" ht="70" customHeight="1"/>
    <row r="22" ht="70" customHeight="1"/>
    <row r="23" ht="70" customHeight="1"/>
    <row r="24" ht="70" customHeight="1"/>
    <row r="25" ht="70" customHeight="1"/>
    <row r="26" ht="70" customHeight="1"/>
    <row r="27" ht="70" customHeight="1"/>
    <row r="28" ht="70" customHeight="1"/>
    <row r="29" ht="70" customHeight="1"/>
    <row r="30" ht="70" customHeight="1"/>
    <row r="34" ht="28" customHeight="1"/>
    <row r="36" ht="35" customHeight="1"/>
    <row r="37" ht="33" customHeight="1"/>
    <row r="38" ht="33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0" ht="38" customHeight="1"/>
  </sheetData>
  <mergeCells count="2">
    <mergeCell ref="A1:D1"/>
    <mergeCell ref="A12:D12"/>
  </mergeCell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14_Ревизия&amp;R&amp;P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E29"/>
  <sheetViews>
    <sheetView showGridLines="0" zoomScale="8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49" customWidth="1" min="2" max="2"/>
    <col width="54" customWidth="1" min="3" max="3"/>
    <col width="52" customWidth="1" min="4" max="4"/>
    <col width="42" customWidth="1" min="5" max="5"/>
  </cols>
  <sheetData>
    <row r="1" ht="30" customHeight="1">
      <c r="A1" s="205" t="inlineStr">
        <is>
          <t>Сравнение с первоначальной моделью v4</t>
        </is>
      </c>
    </row>
    <row r="2" ht="30" customHeight="1">
      <c r="A2" s="206" t="inlineStr">
        <is>
          <t>Основа сравнения: приложенный файл «Финмодель франшизы Спартак — чистовая версия v4.0(2).xlsx» и текущая модель.</t>
        </is>
      </c>
    </row>
    <row r="3" ht="30" customHeight="1">
      <c r="A3" s="207" t="inlineStr">
        <is>
          <t>Сравниваются только две модели. Для числовых планов указан базовый сценарий. Изменения бизнес-условий отделены от упрощения расчётов.</t>
        </is>
      </c>
    </row>
    <row r="4" ht="32" customHeight="1">
      <c r="A4" s="208" t="inlineStr">
        <is>
          <t>Что сравниваем</t>
        </is>
      </c>
      <c r="B4" s="208" t="inlineStr">
        <is>
          <t>В первоначальной v4</t>
        </is>
      </c>
      <c r="C4" s="208" t="inlineStr">
        <is>
          <t>В текущей модели</t>
        </is>
      </c>
      <c r="D4" s="208" t="inlineStr">
        <is>
          <t>Почему и влияет ли на результат</t>
        </is>
      </c>
      <c r="E4" s="208" t="inlineStr">
        <is>
          <t>Где проверить</t>
        </is>
      </c>
    </row>
    <row r="5" ht="86" customHeight="1">
      <c r="A5" s="209" t="inlineStr">
        <is>
          <t>Вводные и организация файла</t>
        </is>
      </c>
      <c r="B5" s="210" t="inlineStr">
        <is>
          <t>Данные распределены между листами «Допущения», «План_продаж», «Микс_продаж», «Типы_продукта» и штатным расписанием.</t>
        </is>
      </c>
      <c r="C5" s="210" t="inlineStr">
        <is>
          <t>Все ручные вводные собраны на «01_Вводные». Расчёты и отчёты вынесены отдельно.</t>
        </is>
      </c>
      <c r="D5" s="210" t="inlineStr">
        <is>
          <t>Упрощено. Меньше поиска и повторного ввода. Сам перенос данных не должен менять финансовый результат.</t>
        </is>
      </c>
      <c r="E5" s="211" t="inlineStr">
        <is>
          <t>v4: перечисленные листы. Сейчас: 01_Вводные.</t>
        </is>
      </c>
    </row>
    <row r="6" ht="86" customHeight="1">
      <c r="A6" s="212" t="inlineStr">
        <is>
          <t>Сценарии и чувствительность</t>
        </is>
      </c>
      <c r="B6" s="213" t="inlineStr">
        <is>
          <t>Три сценария с тремя отдельными помесячными листами. Есть сравнение сценариев; отдельного анализа чувствительности нет.</t>
        </is>
      </c>
      <c r="C6" s="213" t="inlineStr">
        <is>
          <t>Один основной расчёт с переключателем; отдельное сравнение трёх сценариев. Добавлен тест влияния одного параметра с двумя отклонениями.</t>
        </is>
      </c>
      <c r="D6" s="213" t="inlineStr">
        <is>
          <t>Упрощена работа со сценариями; добавлена чувствительность. Технические расчёты остаются в книге. Сценарные коэффициенты могут отличаться от v4.</t>
        </is>
      </c>
      <c r="E6" s="214" t="inlineStr">
        <is>
          <t>v4: Помесячно_Негатив / База / Позитив; Сравнение_сценариев. Сейчас: 01_Вводные!B192; 03_Сценарии; 12_Чувствительность.</t>
        </is>
      </c>
    </row>
    <row r="7" ht="86" customHeight="1">
      <c r="A7" s="209" t="inlineStr">
        <is>
          <t>Календарь и продажи</t>
        </is>
      </c>
      <c r="B7" s="210" t="inlineStr">
        <is>
          <t>Старт 01.08.2026, сезон август–июль. Базовый план по сезонам: 37,84 / 43 / 43 / 43 / 43 франшизы.</t>
        </is>
      </c>
      <c r="C7" s="210" t="inlineStr">
        <is>
          <t>Старт 01.09.2026, сезон сентябрь–август. Базовый план: 66 / 72 / 72 / 60 / 50. В сентябре 2026 продаж нет.</t>
        </is>
      </c>
      <c r="D7" s="210" t="inlineStr">
        <is>
          <t>Изменено по новому ТЗ. Меняются объём продаж, доходы и сроки денег. Нормировка месячных долей обеспечивает точный годовой план.</t>
        </is>
      </c>
      <c r="E7" s="211" t="inlineStr">
        <is>
          <t>v4: Допущения!B16; План_продаж!D4:D8. Сейчас: 01_Вводные!B7; B210:B214; C36:N40.</t>
        </is>
      </c>
    </row>
    <row r="8" ht="86" customHeight="1">
      <c r="A8" s="212" t="inlineStr">
        <is>
          <t>Стартовая сеть</t>
        </is>
      </c>
      <c r="B8" s="213" t="inlineStr">
        <is>
          <t>51 школа × 100 детей = 5 100 детей при полной загрузке. Отдельного счётчика юрлиц нет.</t>
        </is>
      </c>
      <c r="C8" s="213" t="inlineStr">
        <is>
          <t>104 действующие школы и 51 действующий партнёр на 09.09.2026, база 5 200 детей. Три новых партнёра пока без школ. В прогнозе юрлица и школы теперь имеют отдельные коэффициенты.</t>
        </is>
      </c>
      <c r="D8" s="213" t="inlineStr">
        <is>
          <t>Фактический реестр заменяет старое число 49 юрлиц. Разделение важно: менеджерская нагрузка зависит от партнёров/юрлиц, ERP и дети — от школ. Один партнёр может иметь несколько школ.</t>
        </is>
      </c>
      <c r="E8" s="214" t="inlineStr">
        <is>
          <t>v4: Допущения!B18:B19; C10:E10. Сейчас: 01_Вводные!B9:B16.</t>
        </is>
      </c>
    </row>
    <row r="9" ht="86" customHeight="1">
      <c r="A9" s="209" t="inlineStr">
        <is>
          <t>Набор детей новой школой</t>
        </is>
      </c>
      <c r="B9" s="210" t="inlineStr">
        <is>
          <t>Первые 12 месяцев — постепенный выход на план первого года; месяцы 13–24 — плавный переход к плану второго года. Сезонность применяется отдельно.</t>
        </is>
      </c>
      <c r="C9" s="210" t="inlineStr">
        <is>
          <t>Тот же принцип постепенного набора и сезонности. Длинная формула разбита на месячные возрастные группы и понятные промежуточные расчёты.</t>
        </is>
      </c>
      <c r="D9" s="210" t="inlineStr">
        <is>
          <t>Упрощён способ расчёта, а не принцип роста. При одинаковых мощностях, открытиях, закрытиях и сезонности такая группировка должна давать тот же результат.</t>
        </is>
      </c>
      <c r="E9" s="211" t="inlineStr">
        <is>
          <t>v4: Помесячно_База!C16:BJ16. Сейчас: 06_Сеть_и_дети; 01_Вводные!B46:B47; B295.</t>
        </is>
      </c>
    </row>
    <row r="10" ht="86" customHeight="1">
      <c r="A10" s="212" t="inlineStr">
        <is>
          <t>Роялти новых школ</t>
        </is>
      </c>
      <c r="B10" s="213" t="inlineStr">
        <is>
          <t>В помесячном расчёте сравниваются две общие суммы: процентный роялти всей новой сети и сумма минимумов.</t>
        </is>
      </c>
      <c r="C10" s="213" t="inlineStr">
        <is>
          <t>Для новых школ процент и минимум сравниваются для школы соответствующего тарифа и возраста, затем платежи суммируются. Сохранены 20 сочетаний территории и формата. Действующая сеть считается отдельно агрегированно.</t>
        </is>
      </c>
      <c r="D10" s="213" t="inlineStr">
        <is>
          <t>Для новых школ это соответствует подтверждённому правилу «минимум по каждой школе». По действующей сети пошкольный MAX без данных по детям/обороту каждой школы математически не восстановить, поэтому там сохраняется агрегированный расчет.</t>
        </is>
      </c>
      <c r="E10" s="214" t="inlineStr">
        <is>
          <t>v4: Помесячно_База!C26:BJ26; Типы_продукта!A14:M33. Сейчас: 01_Вводные!A263:K282; 06_Сеть_и_дети.</t>
        </is>
      </c>
    </row>
    <row r="11" ht="86" customHeight="1">
      <c r="A11" s="209" t="inlineStr">
        <is>
          <t>Ставки роялти</t>
        </is>
      </c>
      <c r="B11" s="210" t="inlineStr">
        <is>
          <t>6,5% для действующих и продаж до 2027 года; 8,5% для новых продаж с 2027 года. Общая ставка 10% — с 01.10.2030.</t>
        </is>
      </c>
      <c r="C11" s="210" t="inlineStr">
        <is>
          <t>6,5% и 8,5% сохранены. Все партнёры переходят на 10% с 01.01.2030.</t>
        </is>
      </c>
      <c r="D11" s="210" t="inlineStr">
        <is>
          <t>Изменена дата общего повышения по новому ТЗ. Это увеличивает начисления за январь–сентябрь 2030 относительно прежней даты, при прочих равных.</t>
        </is>
      </c>
      <c r="E11" s="211" t="inlineStr">
        <is>
          <t>v4: Допущения!B64:B69. Сейчас: 01_Вводные!B55:B57; 06_Сеть_и_дети.</t>
        </is>
      </c>
    </row>
    <row r="12" ht="86" customHeight="1">
      <c r="A12" s="212" t="inlineStr">
        <is>
          <t>Первая и повторная форма</t>
        </is>
      </c>
      <c r="B12" s="213" t="inlineStr">
        <is>
          <t>Первый заказ 50/30/20 начинается в месяц открытия. Повторный объём новых школ рассчитывается по детям школ старше 12 месяцев.</t>
        </is>
      </c>
      <c r="C12" s="213" t="inlineStr">
        <is>
          <t>Первый заказ 50/30/20 начинается в следующем месяце после открытия. Повторный — с нового сентября, но после завершения первого заказа; пересечения исключены.</t>
        </is>
      </c>
      <c r="D12" s="213" t="inlineStr">
        <is>
          <t>Изменены сроки по новому ТЗ и комментариям. Принцип ежегодной докупки сохранён. Сроки и объём повторных продаж могут отличаться от v4.</t>
        </is>
      </c>
      <c r="E12" s="214" t="inlineStr">
        <is>
          <t>v4: Помесячно_База!C28:C29; C134; Допущения!B78:B80. Сейчас: 01_Вводные!B87:B89; B296; 07_Мерч.</t>
        </is>
      </c>
    </row>
    <row r="13" ht="86" customHeight="1">
      <c r="A13" s="209" t="inlineStr">
        <is>
          <t>Стоимость формы и план на старт</t>
        </is>
      </c>
      <c r="B13" s="210" t="inlineStr">
        <is>
          <t>Себестоимость комплекта 4 400 ₽, наценка 70%. Отдельного согласованного плана действующей сети на сентябрь–декабрь 2026 нет.</t>
        </is>
      </c>
      <c r="C13" s="210" t="inlineStr">
        <is>
          <t>Себестоимость 2 100 ₽, наценка 85%, расчётная цена 3 885 ₽ до индексации. На сентябрь–декабрь 2026 введён отдельный план из файла экипировки.</t>
        </is>
      </c>
      <c r="D13" s="210" t="inlineStr">
        <is>
          <t>Изменены коммерческие вводные и добавлен стартовый план. Меняются выручка, себестоимость, маржа, склад и выплаты клубу.</t>
        </is>
      </c>
      <c r="E13" s="211" t="inlineStr">
        <is>
          <t>v4: Допущения!B25:B26. Сейчас: 01_Вводные!B71:B73; B99:E101.</t>
        </is>
      </c>
    </row>
    <row r="14" ht="86" customHeight="1">
      <c r="A14" s="212" t="inlineStr">
        <is>
          <t>Товарный запас</t>
        </is>
      </c>
      <c r="B14" s="213" t="inlineStr">
        <is>
          <t>Стартовый склад 50 млн ₽. Вводная «4 месяца» не управляет закупками: пополнение покрывает нехватку текущего товара после расходования стартового остатка.</t>
        </is>
      </c>
      <c r="C14" s="213" t="inlineStr">
        <is>
          <t>Стартовый склад 50 млн ₽ сохранён. Целевой запас — 6 будущих месяцев; пополнение в заданные месяцы. Нехватка товара показана отдельно.</t>
        </is>
      </c>
      <c r="D14" s="213" t="inlineStr">
        <is>
          <t>Изменено правило закупок по новому ТЗ. Влияет на деньги и обеспеченность продаж; сама закупка запаса не является расходом EBITDA.</t>
        </is>
      </c>
      <c r="E14" s="214" t="inlineStr">
        <is>
          <t>v4: Допущения!B28; B92; Помесячно_База!C95:C98. Сейчас: 01_Вводные!B77; B80:B85; 07_Мерч.</t>
        </is>
      </c>
    </row>
    <row r="15" ht="86" customHeight="1">
      <c r="A15" s="209" t="inlineStr">
        <is>
          <t>Займ и выплаты ФК</t>
        </is>
      </c>
      <c r="B15" s="210" t="inlineStr">
        <is>
          <t>Займ 50 млн ₽; погашение — 50% себестоимости продаж, не больше остатка долга. Доли ФК: 35% паушального, 10% роялти, 35% прибыли формы.</t>
        </is>
      </c>
      <c r="C15" s="210" t="inlineStr">
        <is>
          <t>Займ и доли ФК сохранены. На погашение направляется 60% себестоимости; платёж ограничивается также деньгами и условием по запасу. Выплаты раскрыты отдельным отчётом.</t>
        </is>
      </c>
      <c r="D15" s="210" t="inlineStr">
        <is>
          <t>Изменены условия погашения по новому ТЗ. Меняются сроки денег и остаток долга. Возврат тела займа ни в одной модели не уменьшает EBITDA.</t>
        </is>
      </c>
      <c r="E15" s="211" t="inlineStr">
        <is>
          <t>v4: Допущения!B31:B33; B49; B93; Помесячно_База!C93. Сейчас: 01_Вводные!B59:B60; B76; B78:B79; 10_Выплаты_ФК.</t>
        </is>
      </c>
    </row>
    <row r="16" ht="86" customHeight="1">
      <c r="A16" s="212" t="inlineStr">
        <is>
          <t>Индексация цен и расходов</t>
        </is>
      </c>
      <c r="B16" s="213" t="inlineStr">
        <is>
          <t>Ежегодное повышение в июне. Индекс использует ставку инфляции 2026 года для всех лет. Офис тоже индексируется.</t>
        </is>
      </c>
      <c r="C16" s="213" t="inlineStr">
        <is>
          <t>Цены и соответствующие текущие расходы индексируются в июне по ставке своего года. Зарплаты — в сентябре; офис до переезда фиксирован.</t>
        </is>
      </c>
      <c r="D16" s="213" t="inlineStr">
        <is>
          <t>Принцип индексации сохранён. Исправлен выбор годовой ставки; отдельно изменены срок повышения зарплат и правило офиса. Это влияет на результат.</t>
        </is>
      </c>
      <c r="E16" s="214" t="inlineStr">
        <is>
          <t>v4: Допущения!C109:BJ109; Помесячно_База!C54. Сейчас: 01_Вводные!B108; B116; B293:B294; A301:B307.</t>
        </is>
      </c>
    </row>
    <row r="17" ht="86" customHeight="1">
      <c r="A17" s="209" t="inlineStr">
        <is>
          <t>ERP, найм и команда</t>
        </is>
      </c>
      <c r="B17" s="210" t="inlineStr">
        <is>
          <t>ERP — 180 тыс. ₽ плюс доплата 3 тыс. ₽ за рост сети. В развитии минимум 3 менеджера, норматив 45 школ. Дополнительный продавец — от 6 сделок.</t>
        </is>
      </c>
      <c r="C17" s="210" t="inlineStr">
        <is>
          <t>ERP — 80 тыс. ₽ плюс 3 тыс. ₽ за новую подключённую школу. В развитии 2 менеджера; найм на порогах 70 / 105 / 140 юрлиц. Временный продавец-ИП — от 5 сделок; добавлены новые роли.</t>
        </is>
      </c>
      <c r="D17" s="210" t="inlineStr">
        <is>
          <t>Изменены затраты и кадровые триггеры по новому ТЗ. Нагрузка менеджеров зависит от юрлиц, а ERP — от школ. Это не нейтральное сокращение формул.</t>
        </is>
      </c>
      <c r="E17" s="211" t="inlineStr">
        <is>
          <t>v4: Допущения!B29:B30; Штатное_расписание!B25:B29. Сейчас: 01_Вводные!B105:B107; B117:B150; 08_ФОТ.</t>
        </is>
      </c>
    </row>
    <row r="18" ht="86" customHeight="1">
      <c r="A18" s="212" t="inlineStr">
        <is>
          <t>Премии</t>
        </is>
      </c>
      <c r="B18" s="213" t="inlineStr">
        <is>
          <t>Квартальные максимумы заданы по сотрудникам. Отдел продаж получает 5% с оплаченных продаж после первой сделки месяца.</t>
        </is>
      </c>
      <c r="C18" s="213" t="inlineStr">
        <is>
          <t>У развития ежемесячные премии; у Евгения 4% при двух и более продажах; у временного продавца отдельная схема. Остальным — 60% оклада ежеквартально с IV квартала 2027.</t>
        </is>
      </c>
      <c r="D18" s="213" t="inlineStr">
        <is>
          <t>Изменены схемы по новому ТЗ. Максимальная бюджетная выплата сохранена; получатели специальных премий не получают обычную квартальную автоматически.</t>
        </is>
      </c>
      <c r="E18" s="214" t="inlineStr">
        <is>
          <t>v4: Штатное_расписание!H8:H20; B36:B39; Помесячно_База!C140. Сейчас: 01_Вводные!B123:B135; D138:D150; 08_ФОТ.</t>
        </is>
      </c>
    </row>
    <row r="19" ht="86" customHeight="1">
      <c r="A19" s="209" t="inlineStr">
        <is>
          <t>Маркетинг</t>
        </is>
      </c>
      <c r="B19" s="210" t="inlineStr">
        <is>
          <t>Расход на привлечение уже привязан к будущим продажам за два месяца до них. В базе — 160 тыс. ₽ на продажу.</t>
        </is>
      </c>
      <c r="C19" s="210" t="inlineStr">
        <is>
          <t>Эта связь сохранена. Для октября 2026 расход перенесён в сентябрь. Добавлены ежегодные размещения и отдельный бюджет маркетинга / SMM.</t>
        </is>
      </c>
      <c r="D19" s="210" t="inlineStr">
        <is>
          <t>Уточнён календарь и добавлены расходы из нового ТЗ. Сам двухмесячный лаг рекламы не является новым правилом.</t>
        </is>
      </c>
      <c r="E19" s="211" t="inlineStr">
        <is>
          <t>v4: Допущения!D12; Помесячно_База!C49:BJ49. Сейчас: 01_Вводные!B26:B33; B111:B112; 04_Продажи.</t>
        </is>
      </c>
    </row>
    <row r="20" ht="86" customHeight="1">
      <c r="A20" s="212" t="inlineStr">
        <is>
          <t>CAPEX</t>
        </is>
      </c>
      <c r="B20" s="213" t="inlineStr">
        <is>
          <t>1% выручки с НДС плюс 1 000 ₽ разово в первом месяце. Уменьшает деньги, но не EBITDA.</t>
        </is>
      </c>
      <c r="C20" s="213" t="inlineStr">
        <is>
          <t>То же правило, с отдельными настройками на едином листе. CAPEX участвует в основном расчёте, сценариях и чувствительности.</t>
        </is>
      </c>
      <c r="D20" s="213" t="inlineStr">
        <is>
          <t>Сохранено. При одинаковой выручке и дате старта сумма должна совпадать. В текущей модели сумма другая из-за другой выручки, в том числе лагерей.</t>
        </is>
      </c>
      <c r="E20" s="214" t="inlineStr">
        <is>
          <t>v4: Допущения!B41:B42; Помесячно_База!C87:BJ87. Сейчас: 01_Вводные!B286:B290; 02_Модель.</t>
        </is>
      </c>
    </row>
    <row r="21" ht="86" customHeight="1">
      <c r="A21" s="209" t="inlineStr">
        <is>
          <t>Поступления и потребность в деньгах</t>
        </is>
      </c>
      <c r="B21" s="210" t="inlineStr">
        <is>
          <t>Паушальный поступает с общей отсрочкой. Отрицательный остаток закрывается строкой внешнего финансирования.</t>
        </is>
      </c>
      <c r="C21" s="210" t="inlineStr">
        <is>
          <t>Паушальный поступает в месяц продажи. Кассовый дефицит показан отдельно; новый кредит и проценты автоматически не добавляются.</t>
        </is>
      </c>
      <c r="D21" s="210" t="inlineStr">
        <is>
          <t>Изменены сроки поступлений по ТЗ и представление дефицита. Отрицательные деньги — потребность в финансировании, а не уже согласованный кредит.</t>
        </is>
      </c>
      <c r="E21" s="211" t="inlineStr">
        <is>
          <t>v4: Допущения!B39; Помесячно_База!C65; C89:C90. Сейчас: 01_Вводные!B18:B21; 02_Модель; 00_Дашборд.</t>
        </is>
      </c>
    </row>
    <row r="22" ht="86" customHeight="1">
      <c r="A22" s="212" t="inlineStr">
        <is>
          <t>Лагеря и исторический факт</t>
        </is>
      </c>
      <c r="B22" s="213" t="inlineStr">
        <is>
          <t>Отдельной экономики лагерей и отдельного блока факта сезона 25/26 нет.</t>
        </is>
      </c>
      <c r="C22" s="213" t="inlineStr">
        <is>
          <t>Добавлены лагеря: участники, выручка, расходы и авансы. Доступный факт сезона 25/26 показан отдельно от прогноза.</t>
        </is>
      </c>
      <c r="D22" s="213" t="inlineStr">
        <is>
          <t>Добавлено. Лагеря меняют прибыль и денежный поток. Исторические данные не заменяют прогноз и пока заполнены не за все месяцы.</t>
        </is>
      </c>
      <c r="E22" s="214" t="inlineStr">
        <is>
          <t>v4: состав листов книги. Сейчас: 09_Лагеря; 11_История_25_26; 01_Вводные!B161:B188.</t>
        </is>
      </c>
    </row>
    <row r="23" ht="86" customHeight="1">
      <c r="A23" s="209" t="inlineStr">
        <is>
          <t>Воронка, выплаты и графики</t>
        </is>
      </c>
      <c r="B23" s="210" t="inlineStr">
        <is>
          <t>Воронка, выплаты ФК, дашборд и проверки уже были в v4.</t>
        </is>
      </c>
      <c r="C23" s="210" t="inlineStr">
        <is>
          <t>Эти отчёты сохранены в новой структуре. Добавлены графики детей и школ, анализ чувствительности и отдельный список ограничений.</t>
        </is>
      </c>
      <c r="D23" s="210" t="inlineStr">
        <is>
          <t>Упрощено чтение; добавлена аналитика. Воронка и выплаты ФК не выдаются за новую деятельность и не начисляют второй доход или расход.</t>
        </is>
      </c>
      <c r="E23" s="211" t="inlineStr">
        <is>
          <t>v4: Воронка_продаж; Выплаты_ФК; Дашборд; Проверка_модели. Сейчас: 00_Дашборд; 13_Проверки; 12_Чувствительность; 05_Воронка; 10_Выплаты_ФК.</t>
        </is>
      </c>
    </row>
    <row r="24" ht="86" customHeight="1">
      <c r="A24" s="212" t="inlineStr">
        <is>
          <t>Налоги и страховые взносы</t>
        </is>
      </c>
      <c r="B24" s="213" t="inlineStr">
        <is>
          <t>УСН и НДС — помесячное управленческое приближение. Основной ФОТ учитывает индивидуальную накопленную базу взносов; бонус продаж — 30%.</t>
        </is>
      </c>
      <c r="C24" s="213" t="inlineStr">
        <is>
          <t>Помесячная налоговая схема сохранена. ФОТ и премии считаются по единой ставке 30%; перевод net в gross — через коэффициент 0,87.</t>
        </is>
      </c>
      <c r="D24" s="213" t="inlineStr">
        <is>
          <t>Налоги не стали полноценным налоговым регистром. Взносы упрощены с потерей индивидуальных порогов: это может менять общий расход. Оставлено по указанию пользователя.</t>
        </is>
      </c>
      <c r="E24" s="214" t="inlineStr">
        <is>
          <t>v4: Допущения!B44:B47; B55:D60; Штатное_расписание. Сейчас: 01_Вводные!B58; B131:B132; B156:B157; 08_ФОТ.</t>
        </is>
      </c>
    </row>
    <row r="25" ht="86" customHeight="1">
      <c r="A25" s="215" t="inlineStr">
        <is>
          <t>Различия, требующие решения: запуск и закрытия</t>
        </is>
      </c>
      <c r="B25" s="216" t="inlineStr">
        <is>
          <t>В базе v4: каникулы по роялти 2 месяца; открываются 95% проданных франшиз; закрытия действующих и новых школ — 3% в год.</t>
        </is>
      </c>
      <c r="C25" s="216" t="inlineStr">
        <is>
          <t>Сейчас: каникулы 0 месяцев, открытие 100%, закрытия 0%. Постепенный набор детей при этом включён.</t>
        </is>
      </c>
      <c r="D25" s="216" t="inlineStr">
        <is>
          <t>Не следует считать нейтральным упрощением. Эти вводные различаются и меняют школы, детей, роялти и расходы. Решение об их изменении пока не принято.</t>
        </is>
      </c>
      <c r="E25" s="217" t="inlineStr">
        <is>
          <t>v4: Допущения!B23; D7:D9. Сейчас: 01_Вводные!B297:B298; B13.</t>
        </is>
      </c>
    </row>
    <row r="26" ht="86" customHeight="1">
      <c r="A26" s="215" t="inlineStr">
        <is>
          <t>Различия, требующие решения: действующая сеть</t>
        </is>
      </c>
      <c r="B26" s="216" t="inlineStr">
        <is>
          <t>Средний абонемент 7 800 ₽; минимальный роялти 17 500 ₽ в месяц на школу.</t>
        </is>
      </c>
      <c r="C26" s="216" t="inlineStr">
        <is>
          <t>Средний абонемент 6 000 ₽; минимум 15 000 ₽. Значения отличаются от приложенной v4.</t>
        </is>
      </c>
      <c r="D26" s="216" t="inlineStr">
        <is>
          <t>Это изменение доходных вводных, а не формы расчёта. Отдельное подтверждение именно этих двух замен в последнем ТЗ не найдено; требуется согласование.</t>
        </is>
      </c>
      <c r="E26" s="217" t="inlineStr">
        <is>
          <t>v4: Допущения!B20; B22. Сейчас: 01_Вводные!B217; B51:B52.</t>
        </is>
      </c>
    </row>
    <row r="27"/>
    <row r="28" ht="30" customHeight="1">
      <c r="A28" s="208" t="inlineStr">
        <is>
          <t>Как понимать различия</t>
        </is>
      </c>
    </row>
    <row r="29" ht="45" customHeight="1">
      <c r="A29" s="206" t="inlineStr">
        <is>
          <t>Перенос вводных и оформление отчётов сами по себе не меняют экономику. Новые планы, цены, сроки, правила роялти и затрат — меняют. Суммарную разницу итогов нельзя считать только эффектом упрощения формул.</t>
        </is>
      </c>
    </row>
  </sheetData>
  <autoFilter ref="A4:E26"/>
  <mergeCells count="5">
    <mergeCell ref="A29:E29"/>
    <mergeCell ref="A2:E2"/>
    <mergeCell ref="A28:E28"/>
    <mergeCell ref="A1:E1"/>
    <mergeCell ref="A3:E3"/>
  </mergeCells>
  <printOptions horizontalCentered="0"/>
  <pageMargins left="0.75" right="0.75" top="1" bottom="1" header="0.5" footer="0.5"/>
  <pageSetup orientation="portrait" paperSize="8" fitToHeight="0" fitToWidth="1"/>
  <headerFooter>
    <oddHeader/>
    <oddFooter>&amp;LФинмодель Спартак · 15_Изменения&amp;R&amp;P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D5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38" customHeight="1">
      <c r="A1" s="197" t="inlineStr">
        <is>
          <t>Как пользоваться моделью</t>
        </is>
      </c>
    </row>
    <row r="2">
      <c r="A2" s="348" t="inlineStr">
        <is>
          <t>Начни отсюда</t>
        </is>
      </c>
      <c r="B2" s="349" t="inlineStr">
        <is>
          <t>Лист 00_Старт — один экран: текущий результат, все переключатели со ссылками, итог автопроверок, легенда цветов и карта листов.</t>
        </is>
      </c>
    </row>
    <row r="3">
      <c r="A3" s="348" t="inlineStr">
        <is>
          <t>Почему цифры такие</t>
        </is>
      </c>
      <c r="B3" s="349" t="inlineStr">
        <is>
          <t>Лист 16а_Логика_модели — вся экономика словами: 27 шагов от лида до денег, с указанием листа и вводных для каждого шага.</t>
        </is>
      </c>
    </row>
    <row r="4" ht="30" customHeight="1">
      <c r="A4" s="198" t="inlineStr">
        <is>
          <t>Что нужно сделать</t>
        </is>
      </c>
      <c r="B4" s="198" t="inlineStr">
        <is>
          <t>Куда зайти и что менять</t>
        </is>
      </c>
    </row>
    <row r="5" ht="60" customHeight="1">
      <c r="A5" s="199" t="inlineStr">
        <is>
          <t>Внести или изменить данные</t>
        </is>
      </c>
      <c r="B5" s="199" t="inlineStr">
        <is>
          <t>Меняй только желтые ячейки на листе 01_Вводные. Зеленая заливка отмечает исправленные формулы; их не нужно менять вручную.</t>
        </is>
      </c>
    </row>
    <row r="6" ht="70" customHeight="1">
      <c r="A6" s="200" t="inlineStr">
        <is>
          <t>Выбрать сценарий</t>
        </is>
      </c>
      <c r="B6" s="200" t="inlineStr">
        <is>
          <t>На 01_Вводные!B192 выбери негативный, базовый или позитивный вариант. Итоги появятся на дашборде и в основной модели. На 03_Сценарии все три варианта видны рядом.</t>
        </is>
      </c>
    </row>
    <row r="7" ht="68" customHeight="1">
      <c r="A7" s="199" t="inlineStr">
        <is>
          <t>Ключевые настройки</t>
        </is>
      </c>
      <c r="B7" s="199" t="inlineStr">
        <is>
          <t>01_Вводные!B293:B298 — индексация, набор детей, повторный заказ и запуск; A301:B307 — инфляция по годам; B286:B290 — CAPEX.</t>
        </is>
      </c>
    </row>
    <row r="8" ht="76" customHeight="1">
      <c r="A8" s="200" t="inlineStr">
        <is>
          <t>Проверить влияние одного параметра</t>
        </is>
      </c>
      <c r="B8" s="200" t="inlineStr">
        <is>
          <t>На 01_Вводные!B233 выбери параметр, в G198:G203 - величину изменения. На 12_Чувствительность сравни три результата. B234 = Нет отключает дополнительные расчеты.</t>
        </is>
      </c>
    </row>
    <row r="9" ht="65" customHeight="1">
      <c r="A9" s="199" t="inlineStr">
        <is>
          <t>Проверить предупреждения</t>
        </is>
      </c>
      <c r="B9" s="199" t="inlineStr">
        <is>
          <t>После изменений открой 13_Проверки. Нехватка денег или товара не обязательно означает поломку формулы: возможно, план требует другого графика закупок или финансирования.</t>
        </is>
      </c>
    </row>
    <row r="10" ht="58" customHeight="1">
      <c r="A10" s="200" t="inlineStr">
        <is>
          <t>Продажи и воронка</t>
        </is>
      </c>
      <c r="B10" s="200" t="inlineStr">
        <is>
          <t>04_Продажи и 05_Воронка: лиды, оплаты, открытия и маркетинг. Количество новых юрлиц и школ на одну продажу задаются отдельно на 01_Вводные.</t>
        </is>
      </c>
    </row>
    <row r="11" ht="66" customHeight="1">
      <c r="A11" s="199" t="inlineStr">
        <is>
          <t>Школы и дети</t>
        </is>
      </c>
      <c r="B11" s="199" t="inlineStr">
        <is>
          <t>06_Сеть_и_дети: отдельно юрлица, школы, постепенный набор детей, сезонность, ERP и роялти. Для новых школ минимальный роялти считается по тарифным группам; действующая сеть пока агрегирована.</t>
        </is>
      </c>
    </row>
    <row r="12" ht="58" customHeight="1">
      <c r="A12" s="200" t="inlineStr">
        <is>
          <t>Форма, команда, лагеря</t>
        </is>
      </c>
      <c r="B12" s="200" t="inlineStr">
        <is>
          <t>07_Мерч - продажи формы, склад и займ; 08_ФОТ - зарплаты и премии; 09_Лагеря - экономика и оплаты лагерей.</t>
        </is>
      </c>
    </row>
    <row r="13" ht="62" customHeight="1">
      <c r="A13" s="199" t="inlineStr">
        <is>
          <t>Прибыль, деньги, выплаты клубу</t>
        </is>
      </c>
      <c r="B13" s="199" t="inlineStr">
        <is>
          <t>02_Модель - доходы, расходы, движение денег и CAPEX. 10_Выплаты_ФК - за что и сколько перечисляется клубу; возврат займа отдельно.</t>
        </is>
      </c>
    </row>
    <row r="14" ht="82" customHeight="1">
      <c r="A14" s="200" t="inlineStr">
        <is>
          <t>История и режим сравнения</t>
        </is>
      </c>
      <c r="B14" s="200" t="inlineStr">
        <is>
          <t>11_История_25_26 — доступный факт. На 01_Вводные!B188 выбери «Без истории» или «С историей». Дашборд покажет выбранный общий результат. Июль 2026 заполнен; август 2026 пока отсутствует.</t>
        </is>
      </c>
    </row>
    <row r="15" ht="64" customHeight="1">
      <c r="A15" s="199" t="inlineStr">
        <is>
          <t>Скрытые расчетные листы</t>
        </is>
      </c>
      <c r="B15" s="199" t="inlineStr">
        <is>
          <t>19_Расчет_аналитики и 18_Календарь_тарифы содержат общие расчёты. Архивная техническая сверка также скрыта. Для работы достаточно вводных и основных отчётов.</t>
        </is>
      </c>
    </row>
    <row r="16"/>
    <row r="17" ht="30" customHeight="1">
      <c r="A17" s="181" t="inlineStr">
        <is>
          <t>Как школа постепенно набирает детей</t>
        </is>
      </c>
    </row>
    <row r="18" ht="70" customHeight="1">
      <c r="A18" s="200" t="inlineStr">
        <is>
          <t>Что означают нормативы</t>
        </is>
      </c>
      <c r="B18" s="200" t="inlineStr">
        <is>
          <t>75,05 детей - цель к 12-му месяцу, а не число детей сразу после открытия. 165,125 - цель к 24-му месяцу. Ниже показаны значения до сезонного снижения или повышения посещаемости.</t>
        </is>
      </c>
    </row>
    <row r="19"/>
    <row r="20" ht="27" customHeight="1">
      <c r="A20" s="200" t="inlineStr">
        <is>
          <t>1 мес. жизни</t>
        </is>
      </c>
      <c r="B20" s="200">
        <f>CapacityAge01</f>
        <v/>
      </c>
    </row>
    <row r="21" ht="27" customHeight="1">
      <c r="A21" s="199" t="inlineStr">
        <is>
          <t>6 мес. жизни</t>
        </is>
      </c>
      <c r="B21" s="199">
        <f>CapacityAge06</f>
        <v/>
      </c>
    </row>
    <row r="22" ht="27" customHeight="1">
      <c r="A22" s="200" t="inlineStr">
        <is>
          <t>12 мес. жизни</t>
        </is>
      </c>
      <c r="B22" s="200">
        <f>CapacityAge12</f>
        <v/>
      </c>
    </row>
    <row r="23" ht="27" customHeight="1">
      <c r="A23" s="199" t="inlineStr">
        <is>
          <t>13 мес. жизни</t>
        </is>
      </c>
      <c r="B23" s="199">
        <f>CapacityAge13</f>
        <v/>
      </c>
    </row>
    <row r="24" ht="27" customHeight="1">
      <c r="A24" s="200" t="inlineStr">
        <is>
          <t>18 мес. жизни</t>
        </is>
      </c>
      <c r="B24" s="200">
        <f>CapacityAge18</f>
        <v/>
      </c>
    </row>
    <row r="25" ht="27" customHeight="1">
      <c r="A25" s="199" t="inlineStr">
        <is>
          <t>24 мес. жизни</t>
        </is>
      </c>
      <c r="B25" s="199">
        <f>CapacityAge24</f>
        <v/>
      </c>
    </row>
    <row r="26" ht="27" customHeight="1">
      <c r="A26" s="200" t="inlineStr">
        <is>
          <t>25 мес. жизни</t>
        </is>
      </c>
      <c r="B26" s="200">
        <f>CapacityAge25</f>
        <v/>
      </c>
    </row>
    <row r="27"/>
    <row r="28" ht="88" customHeight="1">
      <c r="A28" s="200" t="inlineStr">
        <is>
          <t>Когда начинается повторная форма</t>
        </is>
      </c>
      <c r="B28" s="200" t="inlineStr">
        <is>
          <t>Пример: школа открылась в июле, первый заказ поставляется в августе-октябре. Повторный заказ нового сезона может начаться с ноября, чтобы не считать два заказа одновременно. Пропущенные доли повтора не переносятся автоматически.</t>
        </is>
      </c>
    </row>
    <row r="29" ht="78" customHeight="1">
      <c r="A29" s="199" t="inlineStr">
        <is>
          <t>Открытие в Excel и Google Sheets</t>
        </is>
      </c>
      <c r="B29" s="199" t="inlineStr">
        <is>
          <t>В файле обычные формулы, без макросов и ссылок на другие книги. Сохранение туда и обратно между Google Sheets и настольным Excel не проверено. После импорта сверь 13_Проверки и итоги на дашборде.</t>
        </is>
      </c>
    </row>
    <row r="30">
      <c r="A30" s="200" t="inlineStr">
        <is>
          <t>Что смотреть на дашборде</t>
        </is>
      </c>
      <c r="B30" s="200" t="inlineStr">
        <is>
          <t>Пять графиков: школы/юрлица, дети, продажи/открытия, EBITDA, деньги/остаток займа/выплаты ФК.</t>
        </is>
      </c>
    </row>
    <row r="31"/>
    <row r="32">
      <c r="A32" s="223" t="inlineStr">
        <is>
          <t>Структура модели — в каком порядке смотреть</t>
        </is>
      </c>
    </row>
    <row r="33">
      <c r="A33" s="224" t="inlineStr">
        <is>
          <t>00_Дашборд</t>
        </is>
      </c>
      <c r="B33" s="225" t="inlineStr">
        <is>
          <t>Главный экран: ключевые KPI, сезонные итоги и графики.</t>
        </is>
      </c>
    </row>
    <row r="34">
      <c r="A34" s="224" t="inlineStr">
        <is>
          <t>01_Вводные</t>
        </is>
      </c>
      <c r="B34" s="225" t="inlineStr">
        <is>
          <t>Единственный лист для ручного изменения параметров и выбора сценария.</t>
        </is>
      </c>
    </row>
    <row r="35">
      <c r="A35" s="224" t="inlineStr">
        <is>
          <t>02_Модель</t>
        </is>
      </c>
      <c r="B35" s="225" t="inlineStr">
        <is>
          <t>Сводный БДР/БДДС: доходы, расходы, EBITDA, cash flow, CAPEX, склад и займ.</t>
        </is>
      </c>
    </row>
    <row r="36">
      <c r="A36" s="224" t="inlineStr">
        <is>
          <t>03_Сценарии</t>
        </is>
      </c>
      <c r="B36" s="225" t="inlineStr">
        <is>
          <t>Сравнение негативного, базового и позитивного вариантов.</t>
        </is>
      </c>
    </row>
    <row r="37">
      <c r="A37" s="224" t="inlineStr">
        <is>
          <t>04_Продажи</t>
        </is>
      </c>
      <c r="B37" s="225" t="inlineStr">
        <is>
          <t>Помесячный план продаж, нормировка сезонности, открытия и маркетинговый лаг.</t>
        </is>
      </c>
    </row>
    <row r="38">
      <c r="A38" s="224" t="inlineStr">
        <is>
          <t>05_Воронка</t>
        </is>
      </c>
      <c r="B38" s="225" t="inlineStr">
        <is>
          <t>Лиды → продажи → открытия → ERP; управленческий взгляд на коммерческий план.</t>
        </is>
      </c>
    </row>
    <row r="39">
      <c r="A39" s="224" t="inlineStr">
        <is>
          <t>06_Сеть_и_дети</t>
        </is>
      </c>
      <c r="B39" s="225" t="inlineStr">
        <is>
          <t>Юрлица, школы, возраст когорт, постепенный набор детей, сезонность, ERP и роялти.</t>
        </is>
      </c>
    </row>
    <row r="40">
      <c r="A40" s="224" t="inlineStr">
        <is>
          <t>07_Мерч</t>
        </is>
      </c>
      <c r="B40" s="225" t="inlineStr">
        <is>
          <t>Первичные/повторные продажи формы, COGS, склад, закупки и займ.</t>
        </is>
      </c>
    </row>
    <row r="41">
      <c r="A41" s="224" t="inlineStr">
        <is>
          <t>08_ФОТ</t>
        </is>
      </c>
      <c r="B41" s="225" t="inlineStr">
        <is>
          <t>Штат, найм, индексация, премии и кадровые расходы.</t>
        </is>
      </c>
    </row>
    <row r="42">
      <c r="A42" s="224" t="inlineStr">
        <is>
          <t>09_Лагеря</t>
        </is>
      </c>
      <c r="B42" s="225" t="inlineStr">
        <is>
          <t>Отдельная экономика лагерей и график оплат.</t>
        </is>
      </c>
    </row>
    <row r="43">
      <c r="A43" s="224" t="inlineStr">
        <is>
          <t>10_Выплаты_ФК</t>
        </is>
      </c>
      <c r="B43" s="225" t="inlineStr">
        <is>
          <t>Начисления и денежные выплаты клубу, отдельно возврат займа.</t>
        </is>
      </c>
    </row>
    <row r="44">
      <c r="A44" s="224" t="inlineStr">
        <is>
          <t>11_История_25_26</t>
        </is>
      </c>
      <c r="B44" s="225" t="inlineStr">
        <is>
          <t>Доступный исторический факт; используется переключателем «с историей / без истории».</t>
        </is>
      </c>
    </row>
    <row r="45">
      <c r="A45" s="224" t="inlineStr">
        <is>
          <t>12_Чувствительность</t>
        </is>
      </c>
      <c r="B45" s="225" t="inlineStr">
        <is>
          <t>Влияние одного выбранного драйвера на финансовый результат.</t>
        </is>
      </c>
    </row>
    <row r="46">
      <c r="A46" s="224" t="inlineStr">
        <is>
          <t>13_Проверки</t>
        </is>
      </c>
      <c r="B46" s="225" t="inlineStr">
        <is>
          <t>Автоматические контрольные тесты модели.</t>
        </is>
      </c>
    </row>
    <row r="47">
      <c r="A47" s="224" t="inlineStr">
        <is>
          <t>14_Ревизия</t>
        </is>
      </c>
      <c r="B47" s="225" t="inlineStr">
        <is>
          <t>Только существенные нерешённые вопросы и ограничения.</t>
        </is>
      </c>
    </row>
    <row r="48">
      <c r="A48" s="224" t="inlineStr">
        <is>
          <t>15_Изменения</t>
        </is>
      </c>
      <c r="B48" s="225" t="inlineStr">
        <is>
          <t>Краткое сравнение текущей логики с первоначальной моделью.</t>
        </is>
      </c>
    </row>
    <row r="49">
      <c r="A49" s="224" t="inlineStr">
        <is>
          <t>16_Инструкция</t>
        </is>
      </c>
      <c r="B49" s="225" t="inlineStr">
        <is>
          <t>Краткая инструкция и маршрут пользователя.</t>
        </is>
      </c>
      <c r="C49" s="222" t="inlineStr">
        <is>
          <t>14а_Сверка_с_ТЗ</t>
        </is>
      </c>
      <c r="D49" s="243" t="inlineStr">
        <is>
          <t>Каждый пункт ТЗ v6.0 — что требуется, что в модели, где посмотреть.</t>
        </is>
      </c>
    </row>
    <row r="50">
      <c r="A50" s="222" t="inlineStr">
        <is>
          <t>00_Старт</t>
        </is>
      </c>
      <c r="B50" s="349" t="inlineStr">
        <is>
          <t>Стартовый экран: результат, переключатели, проверки, навигация.</t>
        </is>
      </c>
    </row>
    <row r="51">
      <c r="A51" s="222" t="inlineStr">
        <is>
          <t>16а_Логика_модели</t>
        </is>
      </c>
      <c r="B51" s="349" t="inlineStr">
        <is>
          <t>Цепочка расчёта словами и список того, что модель сознательно не делает.</t>
        </is>
      </c>
    </row>
  </sheetData>
  <mergeCells count="3">
    <mergeCell ref="A32:B32"/>
    <mergeCell ref="A1:B1"/>
    <mergeCell ref="A17:B17"/>
  </mergeCells>
  <hyperlinks>
    <hyperlink ref="A33" location="'00_Дашборд'!A1"/>
    <hyperlink ref="A34" location="'01_Вводные'!A1"/>
    <hyperlink ref="A35" location="'02_Модель'!A1"/>
    <hyperlink ref="A36" location="'03_Сценарии'!A1"/>
    <hyperlink ref="A37" location="'04_Продажи'!A1"/>
    <hyperlink ref="A38" location="'05_Воронка'!A1"/>
    <hyperlink ref="A39" location="'06_Сеть_и_дети'!A1"/>
    <hyperlink ref="A40" location="'07_Мерч'!A1"/>
    <hyperlink ref="A41" location="'08_ФОТ'!A1"/>
    <hyperlink ref="A42" location="'09_Лагеря'!A1"/>
    <hyperlink ref="A43" location="'10_Выплаты_ФК'!A1"/>
    <hyperlink ref="A44" location="'11_История_25_26'!A1"/>
    <hyperlink ref="A45" location="'12_Чувствительность'!A1"/>
    <hyperlink ref="A46" location="'13_Проверки'!A1"/>
    <hyperlink ref="A47" location="'14_Ревизия'!A1"/>
    <hyperlink ref="A48" location="'15_Изменения'!A1"/>
    <hyperlink ref="A49" location="'16_Инструкция'!A1"/>
    <hyperlink ref="C49" location="'14а_Сверка_с_ТЗ'!A1"/>
    <hyperlink ref="A50" location="'00_Старт'!A1"/>
    <hyperlink ref="A51" location="'16а_Логика_модели'!A1"/>
  </hyperlink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16_Инструкция&amp;R&amp;P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rgb="00808080"/>
    <outlinePr summaryBelow="1" summaryRight="1"/>
    <pageSetUpPr/>
  </sheetPr>
  <dimension ref="A1:L417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18" customWidth="1" min="2" max="2"/>
    <col width="18" customWidth="1" min="3" max="3"/>
    <col width="18" customWidth="1" min="4" max="4"/>
    <col width="19" customWidth="1" min="5" max="5"/>
    <col width="19" customWidth="1" min="6" max="6"/>
    <col width="19" customWidth="1" min="7" max="7"/>
    <col width="55" customWidth="1" min="8" max="8"/>
    <col hidden="1" width="34" customWidth="1" min="10" max="10"/>
    <col hidden="1" width="19" customWidth="1" min="11" max="11"/>
    <col hidden="1" width="15" customWidth="1" min="12" max="12"/>
  </cols>
  <sheetData>
    <row r="1" ht="28" customHeight="1">
      <c r="A1" s="60" t="inlineStr">
        <is>
          <t>СПАРТАК | Сверка версий при одинаковых вводных</t>
        </is>
      </c>
    </row>
    <row r="2"/>
    <row r="3" ht="48" customHeight="1">
      <c r="A3" s="111" t="inlineStr">
        <is>
          <t>Архивные снимки V7/V8/V8.1. Колонка E - живой текущий результат, теперь с набором, индексацией и новым сезоном мерча. Отдельное сравнение с V8.3 - на листе 17.</t>
        </is>
      </c>
    </row>
    <row r="4">
      <c r="A4" t="inlineStr">
        <is>
          <t>Сопоставимость вводных</t>
        </is>
      </c>
      <c r="B4" s="138">
        <f>IF(SUM(L5:L417)=0,"ИСХОДНАЯ БАЗА","ВВОДНЫЕ ИЗМЕНЕНЫ")</f>
        <v/>
      </c>
    </row>
    <row r="5">
      <c r="J5" t="inlineStr">
        <is>
          <t>B10</t>
        </is>
      </c>
      <c r="K5" t="n">
        <v>49</v>
      </c>
      <c r="L5">
        <f>IF(ABS('01_Вводные'!B10-K5)&lt;0.00000001,0,1)</f>
        <v/>
      </c>
    </row>
    <row r="6" ht="35" customHeight="1">
      <c r="A6" s="87" t="inlineStr">
        <is>
          <t>Показатель</t>
        </is>
      </c>
      <c r="B6" s="87" t="inlineStr">
        <is>
          <t>V7</t>
        </is>
      </c>
      <c r="C6" s="87" t="inlineStr">
        <is>
          <t>V8</t>
        </is>
      </c>
      <c r="D6" s="87" t="inlineStr">
        <is>
          <t>V8.1</t>
        </is>
      </c>
      <c r="E6" s="87" t="inlineStr">
        <is>
          <t>Текущая модель</t>
        </is>
      </c>
      <c r="F6" s="87" t="inlineStr">
        <is>
          <t>Δ к V8.1</t>
        </is>
      </c>
      <c r="G6" s="87" t="inlineStr">
        <is>
          <t>Ед.</t>
        </is>
      </c>
      <c r="H6" s="87" t="inlineStr">
        <is>
          <t>Причина / трактовка</t>
        </is>
      </c>
      <c r="J6" t="inlineStr">
        <is>
          <t>B100</t>
        </is>
      </c>
      <c r="K6" t="n">
        <v>10022370</v>
      </c>
      <c r="L6">
        <f>IF(ABS('01_Вводные'!B100-K6)&lt;0.00000001,0,1)</f>
        <v/>
      </c>
    </row>
    <row r="7" ht="30" customHeight="1">
      <c r="A7" s="136" t="inlineStr">
        <is>
          <t>Выручка без НДС</t>
        </is>
      </c>
      <c r="B7" s="137" t="n">
        <v>1639.618020669331</v>
      </c>
      <c r="C7" s="137" t="n">
        <v>1639.618020669331</v>
      </c>
      <c r="D7" s="137" t="n">
        <v>1639.618020669331</v>
      </c>
      <c r="E7" s="137">
        <f>SUM('02_Модель'!B23:BI23)/1000000.0</f>
        <v/>
      </c>
      <c r="F7" s="136">
        <f>ROUND(E7-D7,8)</f>
        <v/>
      </c>
      <c r="G7" s="136" t="inlineStr">
        <is>
          <t>млн ₽</t>
        </is>
      </c>
      <c r="H7" s="136" t="inlineStr">
        <is>
          <t>Не только ревизия: включены новые подтвержденные правила.</t>
        </is>
      </c>
      <c r="J7" t="inlineStr">
        <is>
          <t>B101</t>
        </is>
      </c>
      <c r="K7" t="n">
        <v>5237418.6</v>
      </c>
      <c r="L7">
        <f>IF(ABS('01_Вводные'!B101-K7)&lt;0.00000001,0,1)</f>
        <v/>
      </c>
    </row>
    <row r="8" ht="30" customHeight="1">
      <c r="A8" s="136" t="inlineStr">
        <is>
          <t>Роялти без НДС</t>
        </is>
      </c>
      <c r="B8" s="137" t="n">
        <v>687.7083930762142</v>
      </c>
      <c r="C8" s="137" t="n">
        <v>687.7083930762142</v>
      </c>
      <c r="D8" s="137" t="n">
        <v>687.7083930762142</v>
      </c>
      <c r="E8" s="137">
        <f>SUM('02_Модель'!B19:BI20)/1000000.0</f>
        <v/>
      </c>
      <c r="F8" s="136">
        <f>ROUND(E8-D8,8)</f>
        <v/>
      </c>
      <c r="G8" s="136" t="inlineStr">
        <is>
          <t>млн ₽</t>
        </is>
      </c>
      <c r="H8" s="136" t="inlineStr"/>
      <c r="J8" t="inlineStr">
        <is>
          <t>B105</t>
        </is>
      </c>
      <c r="K8" t="n">
        <v>80000</v>
      </c>
      <c r="L8">
        <f>IF(ABS('01_Вводные'!B105-K8)&lt;0.00000001,0,1)</f>
        <v/>
      </c>
    </row>
    <row r="9" ht="30" customHeight="1">
      <c r="A9" s="136" t="inlineStr">
        <is>
          <t>Мерч без НДС</t>
        </is>
      </c>
      <c r="B9" s="137" t="n">
        <v>576.114072037561</v>
      </c>
      <c r="C9" s="137" t="n">
        <v>576.114072037561</v>
      </c>
      <c r="D9" s="137" t="n">
        <v>576.114072037561</v>
      </c>
      <c r="E9" s="137">
        <f>SUM('02_Модель'!B21:BI21)/1000000.0</f>
        <v/>
      </c>
      <c r="F9" s="136">
        <f>ROUND(E9-D9,8)</f>
        <v/>
      </c>
      <c r="G9" s="136" t="inlineStr">
        <is>
          <t>млн ₽</t>
        </is>
      </c>
      <c r="H9" s="136" t="inlineStr"/>
      <c r="J9" t="inlineStr">
        <is>
          <t>B106</t>
        </is>
      </c>
      <c r="K9" t="n">
        <v>60</v>
      </c>
      <c r="L9">
        <f>IF(ABS('01_Вводные'!B106-K9)&lt;0.00000001,0,1)</f>
        <v/>
      </c>
    </row>
    <row r="10" ht="58" customHeight="1">
      <c r="A10" s="139" t="inlineStr">
        <is>
          <t>EBITDA</t>
        </is>
      </c>
      <c r="B10" s="140" t="n">
        <v>431.6383195418817</v>
      </c>
      <c r="C10" s="140" t="n">
        <v>433.0516325177438</v>
      </c>
      <c r="D10" s="140" t="n">
        <v>433.0516325177438</v>
      </c>
      <c r="E10" s="140">
        <f>SUM('02_Модель'!B44:BI44)/1000000.0</f>
        <v/>
      </c>
      <c r="F10" s="139">
        <f>ROUND(E10-D10,8)</f>
        <v/>
      </c>
      <c r="G10" s="139" t="inlineStr">
        <is>
          <t>млн ₽</t>
        </is>
      </c>
      <c r="H10" s="139" t="inlineStr">
        <is>
          <t>V8 потеряла премию на повышение оклада ГД. V7 также имела ошибку 367,90 ₽: число менеджеров попало в сумму окладов.</t>
        </is>
      </c>
      <c r="J10" t="inlineStr">
        <is>
          <t>B107</t>
        </is>
      </c>
      <c r="K10" t="n">
        <v>3000</v>
      </c>
      <c r="L10">
        <f>IF(ABS('01_Вводные'!B107-K10)&lt;0.00000001,0,1)</f>
        <v/>
      </c>
    </row>
    <row r="11" ht="30" customHeight="1">
      <c r="A11" s="136" t="inlineStr">
        <is>
          <t>ФОТ и кадровые расходы</t>
        </is>
      </c>
      <c r="B11" s="137" t="n">
        <v>437.0785228471387</v>
      </c>
      <c r="C11" s="137" t="n">
        <v>435.6652098712767</v>
      </c>
      <c r="D11" s="137" t="n">
        <v>435.6652098712767</v>
      </c>
      <c r="E11" s="137">
        <f>SUM('02_Модель'!B36:BI36)/1000000.0</f>
        <v/>
      </c>
      <c r="F11" s="136">
        <f>ROUND(E11-D11,8)</f>
        <v/>
      </c>
      <c r="G11" s="136" t="inlineStr">
        <is>
          <t>млн ₽</t>
        </is>
      </c>
      <c r="H11" s="136" t="inlineStr"/>
      <c r="J11" t="inlineStr">
        <is>
          <t>B108</t>
        </is>
      </c>
      <c r="K11" t="n">
        <v>390000</v>
      </c>
      <c r="L11">
        <f>IF(ABS('01_Вводные'!B108-K11)&lt;0.00000001,0,1)</f>
        <v/>
      </c>
    </row>
    <row r="12" ht="30" customHeight="1">
      <c r="A12" s="139" t="inlineStr">
        <is>
          <t>Деньги на конец горизонта</t>
        </is>
      </c>
      <c r="B12" s="140" t="n">
        <v>258.2067332338193</v>
      </c>
      <c r="C12" s="140" t="n">
        <v>259.4493424901986</v>
      </c>
      <c r="D12" s="140" t="n">
        <v>259.4493424901986</v>
      </c>
      <c r="E12" s="140">
        <f>'02_Модель'!BI72/1000000.0</f>
        <v/>
      </c>
      <c r="F12" s="139">
        <f>ROUND(E12-D12,8)</f>
        <v/>
      </c>
      <c r="G12" s="139" t="inlineStr">
        <is>
          <t>млн ₽</t>
        </is>
      </c>
      <c r="H12" s="139" t="inlineStr"/>
      <c r="J12" t="inlineStr">
        <is>
          <t>B109</t>
        </is>
      </c>
      <c r="K12" t="n">
        <v>40000</v>
      </c>
      <c r="L12">
        <f>IF(ABS('01_Вводные'!B109-K12)&lt;0.00000001,0,1)</f>
        <v/>
      </c>
    </row>
    <row r="13" ht="58" customHeight="1">
      <c r="A13" s="139" t="inlineStr">
        <is>
          <t>Пиковый кассовый дефицит</t>
        </is>
      </c>
      <c r="B13" s="140" t="n">
        <v>24.92639016862698</v>
      </c>
      <c r="C13" s="140" t="n">
        <v>24.40642182138557</v>
      </c>
      <c r="D13" s="140" t="n">
        <v>24.40642182138557</v>
      </c>
      <c r="E13" s="140">
        <f>MAX(0,-MIN('02_Модель'!B72:BI72))/1000000.0</f>
        <v/>
      </c>
      <c r="F13" s="139">
        <f>ROUND(E13-D13,8)</f>
        <v/>
      </c>
      <c r="G13" s="139" t="inlineStr">
        <is>
          <t>млн ₽</t>
        </is>
      </c>
      <c r="H13" s="139" t="inlineStr">
        <is>
          <t>Снижение связано также с переносом возврата займа при недостатке запаса. Это не дополнительная прибыль.</t>
        </is>
      </c>
      <c r="J13" t="inlineStr">
        <is>
          <t>B11</t>
        </is>
      </c>
      <c r="K13" t="n">
        <v>5200</v>
      </c>
      <c r="L13">
        <f>IF(ABS('01_Вводные'!B11-K13)&lt;0.00000001,0,1)</f>
        <v/>
      </c>
    </row>
    <row r="14" ht="30" customHeight="1">
      <c r="A14" s="136" t="inlineStr">
        <is>
          <t>Операционные выплаты ФК</t>
        </is>
      </c>
      <c r="B14" s="137" t="n">
        <v>251.532913751789</v>
      </c>
      <c r="C14" s="137" t="n">
        <v>251.532913751789</v>
      </c>
      <c r="D14" s="137" t="n">
        <v>251.532913751789</v>
      </c>
      <c r="E14" s="137">
        <f>SUM('02_Модель'!B61:BI61)/1000000.0</f>
        <v/>
      </c>
      <c r="F14" s="136">
        <f>ROUND(E14-D14,8)</f>
        <v/>
      </c>
      <c r="G14" s="136" t="inlineStr">
        <is>
          <t>млн ₽</t>
        </is>
      </c>
      <c r="H14" s="136" t="inlineStr"/>
      <c r="J14" t="inlineStr">
        <is>
          <t>B110</t>
        </is>
      </c>
      <c r="K14" t="n">
        <v>80000</v>
      </c>
      <c r="L14">
        <f>IF(ABS('01_Вводные'!B110-K14)&lt;0.00000001,0,1)</f>
        <v/>
      </c>
    </row>
    <row r="15" ht="30" customHeight="1">
      <c r="A15" s="136" t="inlineStr">
        <is>
          <t>Погашение займа ФК</t>
        </is>
      </c>
      <c r="B15" s="137" t="n">
        <v>50.00000000000001</v>
      </c>
      <c r="C15" s="137" t="n">
        <v>50.00000000000001</v>
      </c>
      <c r="D15" s="137" t="n">
        <v>50.00000000000001</v>
      </c>
      <c r="E15" s="137">
        <f>SUM('02_Модель'!B70:BI70)/1000000.0</f>
        <v/>
      </c>
      <c r="F15" s="136">
        <f>ROUND(E15-D15,8)</f>
        <v/>
      </c>
      <c r="G15" s="136" t="inlineStr">
        <is>
          <t>млн ₽</t>
        </is>
      </c>
      <c r="H15" s="136" t="inlineStr"/>
      <c r="J15" t="inlineStr">
        <is>
          <t>B111</t>
        </is>
      </c>
      <c r="K15" t="n">
        <v>100000</v>
      </c>
      <c r="L15">
        <f>IF(ABS('01_Вводные'!B111-K15)&lt;0.00000001,0,1)</f>
        <v/>
      </c>
    </row>
    <row r="16" ht="30" customHeight="1">
      <c r="A16" s="136" t="inlineStr">
        <is>
          <t>Активные школы на конец</t>
        </is>
      </c>
      <c r="B16" s="137" t="n">
        <v>368.5</v>
      </c>
      <c r="C16" s="137" t="n">
        <v>368.4999999999999</v>
      </c>
      <c r="D16" s="137" t="n">
        <v>368.4999999999999</v>
      </c>
      <c r="E16" s="137">
        <f>'06_Сеть_и_дети'!BI17/1</f>
        <v/>
      </c>
      <c r="F16" s="136">
        <f>ROUND(E16-D16,8)</f>
        <v/>
      </c>
      <c r="G16" s="136" t="inlineStr">
        <is>
          <t>шт.</t>
        </is>
      </c>
      <c r="H16" s="136" t="inlineStr">
        <is>
          <t>Количество школ не изменилось из-за ревизии.</t>
        </is>
      </c>
      <c r="J16" t="inlineStr">
        <is>
          <t>B112</t>
        </is>
      </c>
      <c r="K16" t="n">
        <v>40000</v>
      </c>
      <c r="L16">
        <f>IF(ABS('01_Вводные'!B112-K16)&lt;0.00000001,0,1)</f>
        <v/>
      </c>
    </row>
    <row r="17" ht="30" customHeight="1">
      <c r="A17" s="136" t="inlineStr">
        <is>
          <t>Среднее детей за 60 месяцев</t>
        </is>
      </c>
      <c r="B17" s="137" t="n">
        <v>19660.79905419058</v>
      </c>
      <c r="C17" s="137" t="n">
        <v>19660.79905419058</v>
      </c>
      <c r="D17" s="137" t="n">
        <v>19660.79905419058</v>
      </c>
      <c r="E17" s="137">
        <f>AVERAGE('02_Модель'!B15:BI15)/1</f>
        <v/>
      </c>
      <c r="F17" s="136">
        <f>ROUND(E17-D17,8)</f>
        <v/>
      </c>
      <c r="G17" s="136" t="inlineStr">
        <is>
          <t>чел.</t>
        </is>
      </c>
      <c r="H17" s="136" t="inlineStr">
        <is>
          <t>Когортное сжатие проверено отдельно; среднее не равно августовскому минимуму.</t>
        </is>
      </c>
      <c r="J17" t="inlineStr">
        <is>
          <t>B116</t>
        </is>
      </c>
      <c r="K17" t="n">
        <v>0.07000000000000001</v>
      </c>
      <c r="L17">
        <f>IF(ABS('01_Вводные'!B116-K17)&lt;0.00000001,0,1)</f>
        <v/>
      </c>
    </row>
    <row r="18">
      <c r="J18" t="inlineStr">
        <is>
          <t>B117</t>
        </is>
      </c>
      <c r="K18" t="n">
        <v>35</v>
      </c>
      <c r="L18">
        <f>IF(ABS('01_Вводные'!B117-K18)&lt;0.00000001,0,1)</f>
        <v/>
      </c>
    </row>
    <row r="19">
      <c r="J19" t="inlineStr">
        <is>
          <t>B118</t>
        </is>
      </c>
      <c r="K19" t="n">
        <v>2</v>
      </c>
      <c r="L19">
        <f>IF(ABS('01_Вводные'!B118-K19)&lt;0.00000001,0,1)</f>
        <v/>
      </c>
    </row>
    <row r="20" ht="28" customHeight="1">
      <c r="A20" s="60" t="inlineStr">
        <is>
          <t>Влияние каждой правки отдельно — контрольный снимок базы</t>
        </is>
      </c>
      <c r="J20" t="inlineStr">
        <is>
          <t>B119</t>
        </is>
      </c>
      <c r="K20" t="n">
        <v>114943</v>
      </c>
      <c r="L20">
        <f>IF(ABS('01_Вводные'!B119-K20)&lt;0.00000001,0,1)</f>
        <v/>
      </c>
    </row>
    <row r="21">
      <c r="J21" t="inlineStr">
        <is>
          <t>B12</t>
        </is>
      </c>
      <c r="K21" t="n">
        <v>0.1</v>
      </c>
      <c r="L21">
        <f>IF(ABS('01_Вводные'!B12-K21)&lt;0.00000001,0,1)</f>
        <v/>
      </c>
    </row>
    <row r="22" ht="35" customHeight="1">
      <c r="A22" s="87" t="inlineStr">
        <is>
          <t>Шаг</t>
        </is>
      </c>
      <c r="B22" s="87" t="inlineStr">
        <is>
          <t>Выручка</t>
        </is>
      </c>
      <c r="C22" s="87" t="inlineStr">
        <is>
          <t>EBITDA</t>
        </is>
      </c>
      <c r="D22" s="87" t="inlineStr">
        <is>
          <t>Деньги</t>
        </is>
      </c>
      <c r="E22" s="87" t="inlineStr">
        <is>
          <t>Δ выручки</t>
        </is>
      </c>
      <c r="F22" s="87" t="inlineStr">
        <is>
          <t>Δ EBITDA</t>
        </is>
      </c>
      <c r="G22" s="87" t="inlineStr">
        <is>
          <t>Δ денег</t>
        </is>
      </c>
      <c r="H22" s="87" t="inlineStr">
        <is>
          <t>Пояснение</t>
        </is>
      </c>
      <c r="J22" t="inlineStr">
        <is>
          <t>B120</t>
        </is>
      </c>
      <c r="K22" t="n">
        <v>1</v>
      </c>
      <c r="L22">
        <f>IF(ABS('01_Вводные'!B120-K22)&lt;0.00000001,0,1)</f>
        <v/>
      </c>
    </row>
    <row r="23" ht="45" customHeight="1">
      <c r="A23" s="136" t="inlineStr">
        <is>
          <t>V8.1 до правок</t>
        </is>
      </c>
      <c r="B23" s="136" t="n">
        <v>1639.618020669331</v>
      </c>
      <c r="C23" s="136" t="n">
        <v>433.0516325177438</v>
      </c>
      <c r="D23" s="136" t="n">
        <v>259.4493424901986</v>
      </c>
      <c r="E23" s="136">
        <f>0</f>
        <v/>
      </c>
      <c r="F23" s="136">
        <f>0</f>
        <v/>
      </c>
      <c r="G23" s="136">
        <f>0</f>
        <v/>
      </c>
      <c r="H23" s="136" t="inlineStr"/>
      <c r="J23" t="inlineStr">
        <is>
          <t>B121</t>
        </is>
      </c>
      <c r="K23" t="n">
        <v>240000</v>
      </c>
      <c r="L23">
        <f>IF(ABS('01_Вводные'!B121-K23)&lt;0.00000001,0,1)</f>
        <v/>
      </c>
    </row>
    <row r="24" ht="45" customHeight="1">
      <c r="A24" s="136" t="inlineStr">
        <is>
          <t>Технические вводные и календарь</t>
        </is>
      </c>
      <c r="B24" s="136" t="n">
        <v>1639.618020669331</v>
      </c>
      <c r="C24" s="136" t="n">
        <v>433.0516325177437</v>
      </c>
      <c r="D24" s="136" t="n">
        <v>259.4493424901985</v>
      </c>
      <c r="E24" s="136">
        <f>B24-B23</f>
        <v/>
      </c>
      <c r="F24" s="136">
        <f>C24-C23</f>
        <v/>
      </c>
      <c r="G24" s="136">
        <f>D24-D23</f>
        <v/>
      </c>
      <c r="H24" s="136" t="inlineStr"/>
      <c r="J24" t="inlineStr">
        <is>
          <t>B122</t>
        </is>
      </c>
      <c r="K24" t="n">
        <v>350000</v>
      </c>
      <c r="L24">
        <f>IF(ABS('01_Вводные'!B122-K24)&lt;0.00000001,0,1)</f>
        <v/>
      </c>
    </row>
    <row r="25" ht="66" customHeight="1">
      <c r="A25" s="136" t="inlineStr">
        <is>
          <t>БДДС: налог лагеря один раз и оплата логистики</t>
        </is>
      </c>
      <c r="B25" s="136" t="n">
        <v>1639.618020669331</v>
      </c>
      <c r="C25" s="136" t="n">
        <v>433.0516325177437</v>
      </c>
      <c r="D25" s="136" t="n">
        <v>257.9270610494473</v>
      </c>
      <c r="E25" s="136">
        <f>B25-B24</f>
        <v/>
      </c>
      <c r="F25" s="136">
        <f>C25-C24</f>
        <v/>
      </c>
      <c r="G25" s="136">
        <f>D25-D24</f>
        <v/>
      </c>
      <c r="H25" s="136" t="inlineStr">
        <is>
          <t>Убран второй платёж налога лагеря: +10 млн ₽. Добавлена пропущенная оплата логистики: −11,522 млн ₽.</t>
        </is>
      </c>
      <c r="J25" t="inlineStr">
        <is>
          <t>B123</t>
        </is>
      </c>
      <c r="K25" t="n">
        <v>25000</v>
      </c>
      <c r="L25">
        <f>IF(ABS('01_Вводные'!B123-K25)&lt;0.00000001,0,1)</f>
        <v/>
      </c>
    </row>
    <row r="26" ht="66" customHeight="1">
      <c r="A26" s="136" t="inlineStr">
        <is>
          <t>ФОТ: восстановлена премия на повышение ГД</t>
        </is>
      </c>
      <c r="B26" s="136" t="n">
        <v>1639.618020669331</v>
      </c>
      <c r="C26" s="136" t="n">
        <v>431.6386874418816</v>
      </c>
      <c r="D26" s="136" t="n">
        <v>256.684771528068</v>
      </c>
      <c r="E26" s="136">
        <f>B26-B25</f>
        <v/>
      </c>
      <c r="F26" s="136">
        <f>C26-C25</f>
        <v/>
      </c>
      <c r="G26" s="136">
        <f>D26-D25</f>
        <v/>
      </c>
      <c r="H26" s="136" t="inlineStr">
        <is>
          <t>Повышение ГД участвует в квартальной премии. Добавлено 1,413 млн ₽ затрат с начислениями.</t>
        </is>
      </c>
      <c r="J26" t="inlineStr">
        <is>
          <t>B124</t>
        </is>
      </c>
      <c r="K26" t="n">
        <v>30000</v>
      </c>
      <c r="L26">
        <f>IF(ABS('01_Вводные'!B124-K26)&lt;0.00000001,0,1)</f>
        <v/>
      </c>
    </row>
    <row r="27" ht="66" customHeight="1">
      <c r="A27" s="136" t="inlineStr">
        <is>
          <t>Склад: норматив и ограничение займа по ТЗ</t>
        </is>
      </c>
      <c r="B27" s="136" t="n">
        <v>1639.618020669331</v>
      </c>
      <c r="C27" s="136" t="n">
        <v>431.6386874418816</v>
      </c>
      <c r="D27" s="136" t="n">
        <v>256.684771528068</v>
      </c>
      <c r="E27" s="136">
        <f>B27-B26</f>
        <v/>
      </c>
      <c r="F27" s="136">
        <f>C27-C26</f>
        <v/>
      </c>
      <c r="G27" s="136">
        <f>D27-D26</f>
        <v/>
      </c>
      <c r="H27" s="136" t="inlineStr">
        <is>
          <t>Займ нельзя погашать в ущерб оговорённому запасу. Итог 5 лет не изменился, но график выплат изменился.</t>
        </is>
      </c>
      <c r="J27" t="inlineStr">
        <is>
          <t>B125</t>
        </is>
      </c>
      <c r="K27" t="n">
        <v>0.04</v>
      </c>
      <c r="L27">
        <f>IF(ABS('01_Вводные'!B125-K27)&lt;0.00000001,0,1)</f>
        <v/>
      </c>
    </row>
    <row r="28" ht="66" customHeight="1">
      <c r="A28" s="136" t="inlineStr">
        <is>
          <t>Роялти: точные тарифные группы</t>
        </is>
      </c>
      <c r="B28" s="136" t="n">
        <v>1668.173851037389</v>
      </c>
      <c r="C28" s="136" t="n">
        <v>457.3389347731345</v>
      </c>
      <c r="D28" s="136" t="n">
        <v>278.6914901501144</v>
      </c>
      <c r="E28" s="136">
        <f>B28-B27</f>
        <v/>
      </c>
      <c r="F28" s="136">
        <f>C28-C27</f>
        <v/>
      </c>
      <c r="G28" s="136">
        <f>D28-D27</f>
        <v/>
      </c>
      <c r="H28" s="136" t="inlineStr">
        <is>
          <t>Применение минимума до суммирования по неодинаковым форматам. Произведение средних также заменено взвешенным оборотом.</t>
        </is>
      </c>
      <c r="J28" t="inlineStr">
        <is>
          <t>B126</t>
        </is>
      </c>
      <c r="K28" t="n">
        <v>5</v>
      </c>
      <c r="L28">
        <f>IF(ABS('01_Вводные'!B126-K28)&lt;0.00000001,0,1)</f>
        <v/>
      </c>
    </row>
    <row r="29">
      <c r="J29" t="inlineStr">
        <is>
          <t>B127</t>
        </is>
      </c>
      <c r="K29" t="n">
        <v>80000</v>
      </c>
      <c r="L29">
        <f>IF(ABS('01_Вводные'!B127-K29)&lt;0.00000001,0,1)</f>
        <v/>
      </c>
    </row>
    <row r="30" ht="45" customHeight="1">
      <c r="A30" s="111" t="inlineStr">
        <is>
          <t>Погашение займа не является расходом EBITDA. Кассовый дефицит — минимальный отрицательный остаток модели; внешнее финансирование и его стоимость не добавлены. Положительный остаток на конце не исключает кассовых разрывов внутри периода.</t>
        </is>
      </c>
      <c r="J30" t="inlineStr">
        <is>
          <t>B128</t>
        </is>
      </c>
      <c r="K30" t="n">
        <v>0.05</v>
      </c>
      <c r="L30">
        <f>IF(ABS('01_Вводные'!B128-K30)&lt;0.00000001,0,1)</f>
        <v/>
      </c>
    </row>
    <row r="31">
      <c r="J31" t="inlineStr">
        <is>
          <t>B129</t>
        </is>
      </c>
      <c r="K31" t="inlineStr">
        <is>
          <t>ИП</t>
        </is>
      </c>
      <c r="L31">
        <f>IF('01_Вводные'!B129=K31,0,1)</f>
        <v/>
      </c>
    </row>
    <row r="32">
      <c r="J32" t="inlineStr">
        <is>
          <t>B13</t>
        </is>
      </c>
      <c r="K32" t="n">
        <v>0</v>
      </c>
      <c r="L32">
        <f>IF(ABS('01_Вводные'!B13-K32)&lt;0.00000001,0,1)</f>
        <v/>
      </c>
    </row>
    <row r="33" ht="28" customHeight="1">
      <c r="A33" s="60" t="inlineStr">
        <is>
          <t>Проверка сокращения когорт</t>
        </is>
      </c>
      <c r="J33" t="inlineStr">
        <is>
          <t>B130</t>
        </is>
      </c>
      <c r="K33" t="n">
        <v>0.6</v>
      </c>
      <c r="L33">
        <f>IF(ABS('01_Вводные'!B130-K33)&lt;0.00000001,0,1)</f>
        <v/>
      </c>
    </row>
    <row r="34">
      <c r="J34" t="inlineStr">
        <is>
          <t>B131</t>
        </is>
      </c>
      <c r="K34" t="n">
        <v>0.3</v>
      </c>
      <c r="L34">
        <f>IF(ABS('01_Вводные'!B131-K34)&lt;0.00000001,0,1)</f>
        <v/>
      </c>
    </row>
    <row r="35" ht="35" customHeight="1">
      <c r="A35" s="87" t="inlineStr">
        <is>
          <t>Условия</t>
        </is>
      </c>
      <c r="B35" s="87" t="inlineStr">
        <is>
          <t>Разница школ</t>
        </is>
      </c>
      <c r="C35" s="87" t="inlineStr">
        <is>
          <t>Разница детей</t>
        </is>
      </c>
      <c r="D35" s="87" t="inlineStr">
        <is>
          <t>Разница роялти, ₽</t>
        </is>
      </c>
      <c r="E35" s="87" t="inlineStr">
        <is>
          <t>Статус</t>
        </is>
      </c>
      <c r="F35" s="87" t="inlineStr"/>
      <c r="G35" s="87" t="inlineStr"/>
      <c r="H35" s="87" t="inlineStr">
        <is>
          <t>Метод</t>
        </is>
      </c>
      <c r="J35" t="inlineStr">
        <is>
          <t>B132</t>
        </is>
      </c>
      <c r="K35" t="n">
        <v>0.87</v>
      </c>
      <c r="L35">
        <f>IF(ABS('01_Вводные'!B132-K35)&lt;0.00000001,0,1)</f>
        <v/>
      </c>
    </row>
    <row r="36" ht="39" customHeight="1">
      <c r="A36" s="136" t="inlineStr">
        <is>
          <t>Закрытие 0%; лаг 2 мес.</t>
        </is>
      </c>
      <c r="B36" s="146" t="n">
        <v>2.842170943040401e-14</v>
      </c>
      <c r="C36" s="146" t="n">
        <v>2.182787284255028e-11</v>
      </c>
      <c r="D36" s="146" t="n">
        <v>1.490116119384766e-08</v>
      </c>
      <c r="E36" s="136" t="inlineStr">
        <is>
          <t>OK</t>
        </is>
      </c>
      <c r="H36" s="136" t="inlineStr">
        <is>
          <t>Независимое суммирование каждой месячной когорты и 20 тарифов.</t>
        </is>
      </c>
      <c r="J36" t="inlineStr">
        <is>
          <t>B133</t>
        </is>
      </c>
      <c r="K36" t="n">
        <v>70000</v>
      </c>
      <c r="L36">
        <f>IF(ABS('01_Вводные'!B133-K36)&lt;0.00000001,0,1)</f>
        <v/>
      </c>
    </row>
    <row r="37" ht="39" customHeight="1">
      <c r="A37" s="136" t="inlineStr">
        <is>
          <t>Закрытие 12%; лаг 2 мес.</t>
        </is>
      </c>
      <c r="B37" s="146" t="n">
        <v>5.684341886080801e-14</v>
      </c>
      <c r="C37" s="146" t="n">
        <v>2.182787284255028e-11</v>
      </c>
      <c r="D37" s="146" t="n">
        <v>1.862645149230957e-08</v>
      </c>
      <c r="E37" s="136" t="inlineStr">
        <is>
          <t>OK</t>
        </is>
      </c>
      <c r="H37" s="136" t="inlineStr">
        <is>
          <t>Независимое суммирование каждой месячной когорты и 20 тарифов.</t>
        </is>
      </c>
      <c r="J37" t="inlineStr">
        <is>
          <t>B134</t>
        </is>
      </c>
      <c r="K37" t="n">
        <v>100000</v>
      </c>
      <c r="L37">
        <f>IF(ABS('01_Вводные'!B134-K37)&lt;0.00000001,0,1)</f>
        <v/>
      </c>
    </row>
    <row r="38" ht="39" customHeight="1">
      <c r="A38" s="136" t="inlineStr">
        <is>
          <t>Закрытие 30%; лаг 3 мес.</t>
        </is>
      </c>
      <c r="B38" s="146" t="n">
        <v>4.263256414560601e-14</v>
      </c>
      <c r="C38" s="146" t="n">
        <v>7.275957614183426e-12</v>
      </c>
      <c r="D38" s="146" t="n">
        <v>7.450580596923828e-09</v>
      </c>
      <c r="E38" s="136" t="inlineStr">
        <is>
          <t>OK</t>
        </is>
      </c>
      <c r="H38" s="136" t="inlineStr">
        <is>
          <t>Независимое суммирование каждой месячной когорты и 20 тарифов.</t>
        </is>
      </c>
      <c r="J38" t="inlineStr">
        <is>
          <t>B135</t>
        </is>
      </c>
      <c r="K38" t="n">
        <v>100000</v>
      </c>
      <c r="L38">
        <f>IF(ABS('01_Вводные'!B135-K38)&lt;0.00000001,0,1)</f>
        <v/>
      </c>
    </row>
    <row r="39" ht="39" customHeight="1">
      <c r="A39" s="136" t="inlineStr">
        <is>
          <t>Закрытие 0%; лаг 0 мес.</t>
        </is>
      </c>
      <c r="B39" s="146" t="n">
        <v>2.842170943040401e-14</v>
      </c>
      <c r="C39" s="146" t="n">
        <v>2.91038304567337e-11</v>
      </c>
      <c r="D39" s="146" t="n">
        <v>2.60770320892334e-08</v>
      </c>
      <c r="E39" s="136" t="inlineStr">
        <is>
          <t>OK</t>
        </is>
      </c>
      <c r="H39" s="136" t="inlineStr">
        <is>
          <t>Независимое суммирование каждой месячной когорты и 20 тарифов.</t>
        </is>
      </c>
      <c r="J39" t="inlineStr">
        <is>
          <t>B15</t>
        </is>
      </c>
      <c r="K39" t="n">
        <v>2</v>
      </c>
      <c r="L39">
        <f>IF(ABS('01_Вводные'!B15-K39)&lt;0.00000001,0,1)</f>
        <v/>
      </c>
    </row>
    <row r="40" ht="39" customHeight="1">
      <c r="A40" s="136" t="inlineStr">
        <is>
          <t>Закрытие 100%; лаг 2 мес.</t>
        </is>
      </c>
      <c r="B40" s="146" t="n">
        <v>0</v>
      </c>
      <c r="C40" s="146" t="n">
        <v>0</v>
      </c>
      <c r="D40" s="146" t="n">
        <v>0</v>
      </c>
      <c r="E40" s="136" t="inlineStr">
        <is>
          <t>OK</t>
        </is>
      </c>
      <c r="H40" s="136" t="inlineStr">
        <is>
          <t>Независимое суммирование каждой месячной когорты и 20 тарифов.</t>
        </is>
      </c>
      <c r="J40" t="inlineStr">
        <is>
          <t>B156</t>
        </is>
      </c>
      <c r="K40" t="n">
        <v>0.15</v>
      </c>
      <c r="L40">
        <f>IF(ABS('01_Вводные'!B156-K40)&lt;0.00000001,0,1)</f>
        <v/>
      </c>
    </row>
    <row r="41">
      <c r="J41" t="inlineStr">
        <is>
          <t>B157</t>
        </is>
      </c>
      <c r="K41" t="n">
        <v>0.01</v>
      </c>
      <c r="L41">
        <f>IF(ABS('01_Вводные'!B157-K41)&lt;0.00000001,0,1)</f>
        <v/>
      </c>
    </row>
    <row r="42" ht="48" customHeight="1">
      <c r="A42" s="111" t="inlineStr">
        <is>
          <t>Эквивалентность сокращённого расчёта детей подтверждена при текущих правилах: одинаковая вероятность закрытия и норматив численности внутри возрастной группы. При разных профилях разгона, сезонности или закрытия по форматам потребуется дополнительная детализация.</t>
        </is>
      </c>
      <c r="J42" t="inlineStr">
        <is>
          <t>B16</t>
        </is>
      </c>
      <c r="K42" t="n">
        <v>1</v>
      </c>
      <c r="L42">
        <f>IF(ABS('01_Вводные'!B16-K42)&lt;0.00000001,0,1)</f>
        <v/>
      </c>
    </row>
    <row r="43">
      <c r="J43" t="inlineStr">
        <is>
          <t>B161</t>
        </is>
      </c>
      <c r="K43" t="n">
        <v>2</v>
      </c>
      <c r="L43">
        <f>IF(ABS('01_Вводные'!B161-K43)&lt;0.00000001,0,1)</f>
        <v/>
      </c>
    </row>
    <row r="44">
      <c r="J44" t="inlineStr">
        <is>
          <t>B162</t>
        </is>
      </c>
      <c r="K44" t="n">
        <v>50</v>
      </c>
      <c r="L44">
        <f>IF(ABS('01_Вводные'!B162-K44)&lt;0.00000001,0,1)</f>
        <v/>
      </c>
    </row>
    <row r="45">
      <c r="J45" t="inlineStr">
        <is>
          <t>B163</t>
        </is>
      </c>
      <c r="K45" t="n">
        <v>50</v>
      </c>
      <c r="L45">
        <f>IF(ABS('01_Вводные'!B163-K45)&lt;0.00000001,0,1)</f>
        <v/>
      </c>
    </row>
    <row r="46">
      <c r="J46" t="inlineStr">
        <is>
          <t>B164</t>
        </is>
      </c>
      <c r="K46" t="n">
        <v>80000</v>
      </c>
      <c r="L46">
        <f>IF(ABS('01_Вводные'!B164-K46)&lt;0.00000001,0,1)</f>
        <v/>
      </c>
    </row>
    <row r="47">
      <c r="J47" t="inlineStr">
        <is>
          <t>B165</t>
        </is>
      </c>
      <c r="K47" t="n">
        <v>120000</v>
      </c>
      <c r="L47">
        <f>IF(ABS('01_Вводные'!B165-K47)&lt;0.00000001,0,1)</f>
        <v/>
      </c>
    </row>
    <row r="48">
      <c r="J48" t="inlineStr">
        <is>
          <t>B167</t>
        </is>
      </c>
      <c r="K48" t="n">
        <v>5386000</v>
      </c>
      <c r="L48">
        <f>IF(ABS('01_Вводные'!B167-K48)&lt;0.00000001,0,1)</f>
        <v/>
      </c>
    </row>
    <row r="49">
      <c r="J49" t="inlineStr">
        <is>
          <t>B169</t>
        </is>
      </c>
      <c r="K49" t="n">
        <v>0.125</v>
      </c>
      <c r="L49">
        <f>IF(ABS('01_Вводные'!B169-K49)&lt;0.00000001,0,1)</f>
        <v/>
      </c>
    </row>
    <row r="50">
      <c r="J50" t="inlineStr">
        <is>
          <t>B17</t>
        </is>
      </c>
      <c r="K50" t="n">
        <v>187878</v>
      </c>
      <c r="L50">
        <f>IF(ABS('01_Вводные'!B17-K50)&lt;0.00000001,0,1)</f>
        <v/>
      </c>
    </row>
    <row r="51">
      <c r="J51" t="inlineStr">
        <is>
          <t>B170</t>
        </is>
      </c>
      <c r="K51" t="n">
        <v>700000</v>
      </c>
      <c r="L51">
        <f>IF(ABS('01_Вводные'!B170-K51)&lt;0.00000001,0,1)</f>
        <v/>
      </c>
    </row>
    <row r="52">
      <c r="J52" t="inlineStr">
        <is>
          <t>B171</t>
        </is>
      </c>
      <c r="K52" t="n">
        <v>0.4</v>
      </c>
      <c r="L52">
        <f>IF(ABS('01_Вводные'!B171-K52)&lt;0.00000001,0,1)</f>
        <v/>
      </c>
    </row>
    <row r="53">
      <c r="J53" t="inlineStr">
        <is>
          <t>B172</t>
        </is>
      </c>
      <c r="K53" t="n">
        <v>0.6</v>
      </c>
      <c r="L53">
        <f>IF(ABS('01_Вводные'!B172-K53)&lt;0.00000001,0,1)</f>
        <v/>
      </c>
    </row>
    <row r="54">
      <c r="J54" t="inlineStr">
        <is>
          <t>B173</t>
        </is>
      </c>
      <c r="K54" t="n">
        <v>5</v>
      </c>
      <c r="L54">
        <f>IF(ABS('01_Вводные'!B173-K54)&lt;0.00000001,0,1)</f>
        <v/>
      </c>
    </row>
    <row r="55">
      <c r="J55" t="inlineStr">
        <is>
          <t>B174</t>
        </is>
      </c>
      <c r="K55" t="n">
        <v>0.4</v>
      </c>
      <c r="L55">
        <f>IF(ABS('01_Вводные'!B174-K55)&lt;0.00000001,0,1)</f>
        <v/>
      </c>
    </row>
    <row r="56">
      <c r="J56" t="inlineStr">
        <is>
          <t>B175</t>
        </is>
      </c>
      <c r="K56" t="n">
        <v>3</v>
      </c>
      <c r="L56">
        <f>IF(ABS('01_Вводные'!B175-K56)&lt;0.00000001,0,1)</f>
        <v/>
      </c>
    </row>
    <row r="57">
      <c r="J57" t="inlineStr">
        <is>
          <t>B176</t>
        </is>
      </c>
      <c r="K57" t="n">
        <v>0.6</v>
      </c>
      <c r="L57">
        <f>IF(ABS('01_Вводные'!B176-K57)&lt;0.00000001,0,1)</f>
        <v/>
      </c>
    </row>
    <row r="58">
      <c r="J58" t="inlineStr">
        <is>
          <t>B177</t>
        </is>
      </c>
      <c r="K58" t="n">
        <v>5</v>
      </c>
      <c r="L58">
        <f>IF(ABS('01_Вводные'!B177-K58)&lt;0.00000001,0,1)</f>
        <v/>
      </c>
    </row>
    <row r="59">
      <c r="J59" t="inlineStr">
        <is>
          <t>B19</t>
        </is>
      </c>
      <c r="K59" t="n">
        <v>15</v>
      </c>
      <c r="L59">
        <f>IF(ABS('01_Вводные'!B19-K59)&lt;0.00000001,0,1)</f>
        <v/>
      </c>
    </row>
    <row r="60">
      <c r="J60" t="inlineStr">
        <is>
          <t>B192</t>
        </is>
      </c>
      <c r="K60" t="inlineStr">
        <is>
          <t>Базовый</t>
        </is>
      </c>
      <c r="L60">
        <f>IF('01_Вводные'!B192=K60,0,1)</f>
        <v/>
      </c>
    </row>
    <row r="61">
      <c r="J61" t="inlineStr">
        <is>
          <t>B210</t>
        </is>
      </c>
      <c r="K61" t="n">
        <v>66</v>
      </c>
      <c r="L61">
        <f>IF(ABS('01_Вводные'!B210-K61)&lt;0.00000001,0,1)</f>
        <v/>
      </c>
    </row>
    <row r="62">
      <c r="J62" t="inlineStr">
        <is>
          <t>B211</t>
        </is>
      </c>
      <c r="K62" t="n">
        <v>72</v>
      </c>
      <c r="L62">
        <f>IF(ABS('01_Вводные'!B211-K62)&lt;0.00000001,0,1)</f>
        <v/>
      </c>
    </row>
    <row r="63">
      <c r="J63" t="inlineStr">
        <is>
          <t>B212</t>
        </is>
      </c>
      <c r="K63" t="n">
        <v>72</v>
      </c>
      <c r="L63">
        <f>IF(ABS('01_Вводные'!B212-K63)&lt;0.00000001,0,1)</f>
        <v/>
      </c>
    </row>
    <row r="64">
      <c r="J64" t="inlineStr">
        <is>
          <t>B213</t>
        </is>
      </c>
      <c r="K64" t="n">
        <v>60</v>
      </c>
      <c r="L64">
        <f>IF(ABS('01_Вводные'!B213-K64)&lt;0.00000001,0,1)</f>
        <v/>
      </c>
    </row>
    <row r="65">
      <c r="J65" t="inlineStr">
        <is>
          <t>B214</t>
        </is>
      </c>
      <c r="K65" t="n">
        <v>50</v>
      </c>
      <c r="L65">
        <f>IF(ABS('01_Вводные'!B214-K65)&lt;0.00000001,0,1)</f>
        <v/>
      </c>
    </row>
    <row r="66">
      <c r="J66" t="inlineStr">
        <is>
          <t>B217</t>
        </is>
      </c>
      <c r="K66" t="n">
        <v>6000</v>
      </c>
      <c r="L66">
        <f>IF(ABS('01_Вводные'!B217-K66)&lt;0.00000001,0,1)</f>
        <v/>
      </c>
    </row>
    <row r="67">
      <c r="J67" t="inlineStr">
        <is>
          <t>B223</t>
        </is>
      </c>
      <c r="K67" t="n">
        <v>1.2</v>
      </c>
      <c r="L67">
        <f>IF(ABS('01_Вводные'!B223-K67)&lt;0.00000001,0,1)</f>
        <v/>
      </c>
    </row>
    <row r="68">
      <c r="J68" t="inlineStr">
        <is>
          <t>B224</t>
        </is>
      </c>
      <c r="K68" t="n">
        <v>160000</v>
      </c>
      <c r="L68">
        <f>IF(ABS('01_Вводные'!B224-K68)&lt;0.00000001,0,1)</f>
        <v/>
      </c>
    </row>
    <row r="69">
      <c r="J69" t="inlineStr">
        <is>
          <t>B225</t>
        </is>
      </c>
      <c r="K69" t="n">
        <v>15</v>
      </c>
      <c r="L69">
        <f>IF(ABS('01_Вводные'!B225-K69)&lt;0.00000001,0,1)</f>
        <v/>
      </c>
    </row>
    <row r="70">
      <c r="J70" t="inlineStr">
        <is>
          <t>B235</t>
        </is>
      </c>
      <c r="K70" t="n">
        <v>0</v>
      </c>
      <c r="L70">
        <f>IF(ABS('01_Вводные'!B235-K70)&lt;0.00000001,0,1)</f>
        <v/>
      </c>
    </row>
    <row r="71">
      <c r="J71" t="inlineStr">
        <is>
          <t>B237</t>
        </is>
      </c>
      <c r="K71" t="n">
        <v>0</v>
      </c>
      <c r="L71">
        <f>IF(ABS('01_Вводные'!B237-K71)&lt;0.00000001,0,1)</f>
        <v/>
      </c>
    </row>
    <row r="72">
      <c r="J72" t="inlineStr">
        <is>
          <t>B238</t>
        </is>
      </c>
      <c r="K72" t="inlineStr">
        <is>
          <t>Да</t>
        </is>
      </c>
      <c r="L72">
        <f>IF('01_Вводные'!B238=K72,0,1)</f>
        <v/>
      </c>
    </row>
    <row r="73">
      <c r="J73" t="inlineStr">
        <is>
          <t>B239</t>
        </is>
      </c>
      <c r="K73" t="inlineStr">
        <is>
          <t>Да</t>
        </is>
      </c>
      <c r="L73">
        <f>IF('01_Вводные'!B239=K73,0,1)</f>
        <v/>
      </c>
    </row>
    <row r="74">
      <c r="J74" t="inlineStr">
        <is>
          <t>B240</t>
        </is>
      </c>
      <c r="K74" t="n">
        <v>0.1</v>
      </c>
      <c r="L74">
        <f>IF(ABS('01_Вводные'!B240-K74)&lt;0.00000001,0,1)</f>
        <v/>
      </c>
    </row>
    <row r="75">
      <c r="J75" t="inlineStr">
        <is>
          <t>B241</t>
        </is>
      </c>
      <c r="K75" t="inlineStr">
        <is>
          <t>Да</t>
        </is>
      </c>
      <c r="L75">
        <f>IF('01_Вводные'!B241=K75,0,1)</f>
        <v/>
      </c>
    </row>
    <row r="76">
      <c r="J76" t="inlineStr">
        <is>
          <t>B242</t>
        </is>
      </c>
      <c r="K76" s="142" t="n">
        <v>46296</v>
      </c>
      <c r="L76">
        <f>IF('01_Вводные'!B242=K76,0,1)</f>
        <v/>
      </c>
    </row>
    <row r="77">
      <c r="J77" t="inlineStr">
        <is>
          <t>B243</t>
        </is>
      </c>
      <c r="K77" t="n">
        <v>1</v>
      </c>
      <c r="L77">
        <f>IF(ABS('01_Вводные'!B243-K77)&lt;0.00000001,0,1)</f>
        <v/>
      </c>
    </row>
    <row r="78">
      <c r="J78" t="inlineStr">
        <is>
          <t>B244</t>
        </is>
      </c>
      <c r="K78" s="142" t="n">
        <v>46387</v>
      </c>
      <c r="L78">
        <f>IF('01_Вводные'!B244=K78,0,1)</f>
        <v/>
      </c>
    </row>
    <row r="79">
      <c r="J79" t="inlineStr">
        <is>
          <t>B245</t>
        </is>
      </c>
      <c r="K79" s="142" t="n">
        <v>47484</v>
      </c>
      <c r="L79">
        <f>IF('01_Вводные'!B245=K79,0,1)</f>
        <v/>
      </c>
    </row>
    <row r="80">
      <c r="J80" t="inlineStr">
        <is>
          <t>B246</t>
        </is>
      </c>
      <c r="K80" s="142" t="n">
        <v>46722</v>
      </c>
      <c r="L80">
        <f>IF('01_Вводные'!B246=K80,0,1)</f>
        <v/>
      </c>
    </row>
    <row r="81">
      <c r="J81" t="inlineStr">
        <is>
          <t>B247</t>
        </is>
      </c>
      <c r="K81" s="142" t="n">
        <v>46388</v>
      </c>
      <c r="L81">
        <f>IF('01_Вводные'!B247=K81,0,1)</f>
        <v/>
      </c>
    </row>
    <row r="82">
      <c r="J82" t="inlineStr">
        <is>
          <t>B248</t>
        </is>
      </c>
      <c r="K82" s="142" t="n">
        <v>46631</v>
      </c>
      <c r="L82">
        <f>IF('01_Вводные'!B248=K82,0,1)</f>
        <v/>
      </c>
    </row>
    <row r="83">
      <c r="J83" t="inlineStr">
        <is>
          <t>B249</t>
        </is>
      </c>
      <c r="K83" s="142" t="n">
        <v>46753</v>
      </c>
      <c r="L83">
        <f>IF('01_Вводные'!B249=K83,0,1)</f>
        <v/>
      </c>
    </row>
    <row r="84">
      <c r="J84" t="inlineStr">
        <is>
          <t>B250</t>
        </is>
      </c>
      <c r="K84" s="142" t="n">
        <v>46388</v>
      </c>
      <c r="L84">
        <f>IF('01_Вводные'!B250=K84,0,1)</f>
        <v/>
      </c>
    </row>
    <row r="85">
      <c r="J85" t="inlineStr">
        <is>
          <t>B251</t>
        </is>
      </c>
      <c r="K85" s="142" t="n">
        <v>46631</v>
      </c>
      <c r="L85">
        <f>IF('01_Вводные'!B251=K85,0,1)</f>
        <v/>
      </c>
    </row>
    <row r="86">
      <c r="J86" t="inlineStr">
        <is>
          <t>B252</t>
        </is>
      </c>
      <c r="K86" t="n">
        <v>6</v>
      </c>
      <c r="L86">
        <f>IF(ABS('01_Вводные'!B252-K86)&lt;0.00000001,0,1)</f>
        <v/>
      </c>
    </row>
    <row r="87">
      <c r="J87" t="inlineStr">
        <is>
          <t>B253</t>
        </is>
      </c>
      <c r="K87" t="n">
        <v>2</v>
      </c>
      <c r="L87">
        <f>IF(ABS('01_Вводные'!B253-K87)&lt;0.00000001,0,1)</f>
        <v/>
      </c>
    </row>
    <row r="88">
      <c r="J88" t="inlineStr">
        <is>
          <t>B254</t>
        </is>
      </c>
      <c r="K88" t="n">
        <v>5</v>
      </c>
      <c r="L88">
        <f>IF(ABS('01_Вводные'!B254-K88)&lt;0.00000001,0,1)</f>
        <v/>
      </c>
    </row>
    <row r="89">
      <c r="J89" t="inlineStr">
        <is>
          <t>B255</t>
        </is>
      </c>
      <c r="K89" s="142" t="n">
        <v>46296</v>
      </c>
      <c r="L89">
        <f>IF('01_Вводные'!B255=K89,0,1)</f>
        <v/>
      </c>
    </row>
    <row r="90">
      <c r="J90" t="inlineStr">
        <is>
          <t>B256</t>
        </is>
      </c>
      <c r="K90" t="n">
        <v>9</v>
      </c>
      <c r="L90">
        <f>IF(ABS('01_Вводные'!B256-K90)&lt;0.00000001,0,1)</f>
        <v/>
      </c>
    </row>
    <row r="91">
      <c r="J91" t="inlineStr">
        <is>
          <t>B27</t>
        </is>
      </c>
      <c r="K91" t="n">
        <v>2</v>
      </c>
      <c r="L91">
        <f>IF(ABS('01_Вводные'!B27-K91)&lt;0.00000001,0,1)</f>
        <v/>
      </c>
    </row>
    <row r="92">
      <c r="J92" t="inlineStr">
        <is>
          <t>B28</t>
        </is>
      </c>
      <c r="K92" t="n">
        <v>250000</v>
      </c>
      <c r="L92">
        <f>IF(ABS('01_Вводные'!B28-K92)&lt;0.00000001,0,1)</f>
        <v/>
      </c>
    </row>
    <row r="93">
      <c r="J93" t="inlineStr">
        <is>
          <t>B29</t>
        </is>
      </c>
      <c r="K93" t="n">
        <v>10</v>
      </c>
      <c r="L93">
        <f>IF(ABS('01_Вводные'!B29-K93)&lt;0.00000001,0,1)</f>
        <v/>
      </c>
    </row>
    <row r="94">
      <c r="J94" t="inlineStr">
        <is>
          <t>B30</t>
        </is>
      </c>
      <c r="K94" t="n">
        <v>250000</v>
      </c>
      <c r="L94">
        <f>IF(ABS('01_Вводные'!B30-K94)&lt;0.00000001,0,1)</f>
        <v/>
      </c>
    </row>
    <row r="95">
      <c r="J95" t="inlineStr">
        <is>
          <t>B31</t>
        </is>
      </c>
      <c r="K95" t="n">
        <v>11</v>
      </c>
      <c r="L95">
        <f>IF(ABS('01_Вводные'!B31-K95)&lt;0.00000001,0,1)</f>
        <v/>
      </c>
    </row>
    <row r="96">
      <c r="J96" t="inlineStr">
        <is>
          <t>B32</t>
        </is>
      </c>
      <c r="K96" t="n">
        <v>250000</v>
      </c>
      <c r="L96">
        <f>IF(ABS('01_Вводные'!B32-K96)&lt;0.00000001,0,1)</f>
        <v/>
      </c>
    </row>
    <row r="97">
      <c r="J97" t="inlineStr">
        <is>
          <t>B33</t>
        </is>
      </c>
      <c r="K97" t="n">
        <v>12</v>
      </c>
      <c r="L97">
        <f>IF(ABS('01_Вводные'!B33-K97)&lt;0.00000001,0,1)</f>
        <v/>
      </c>
    </row>
    <row r="98">
      <c r="J98" t="inlineStr">
        <is>
          <t>B44</t>
        </is>
      </c>
      <c r="K98" t="n">
        <v>0.963235294117647</v>
      </c>
      <c r="L98">
        <f>IF(ABS('01_Вводные'!B44-K98)&lt;0.00000001,0,1)</f>
        <v/>
      </c>
    </row>
    <row r="99">
      <c r="J99" t="inlineStr">
        <is>
          <t>B52</t>
        </is>
      </c>
      <c r="K99" t="n">
        <v>15000</v>
      </c>
      <c r="L99">
        <f>IF(ABS('01_Вводные'!B52-K99)&lt;0.00000001,0,1)</f>
        <v/>
      </c>
    </row>
    <row r="100">
      <c r="J100" t="inlineStr">
        <is>
          <t>B55</t>
        </is>
      </c>
      <c r="K100" t="n">
        <v>0.065</v>
      </c>
      <c r="L100">
        <f>IF(ABS('01_Вводные'!B55-K100)&lt;0.00000001,0,1)</f>
        <v/>
      </c>
    </row>
    <row r="101">
      <c r="J101" t="inlineStr">
        <is>
          <t>B56</t>
        </is>
      </c>
      <c r="K101" t="n">
        <v>0.08500000000000001</v>
      </c>
      <c r="L101">
        <f>IF(ABS('01_Вводные'!B56-K101)&lt;0.00000001,0,1)</f>
        <v/>
      </c>
    </row>
    <row r="102">
      <c r="J102" t="inlineStr">
        <is>
          <t>B57</t>
        </is>
      </c>
      <c r="K102" t="n">
        <v>0.1</v>
      </c>
      <c r="L102">
        <f>IF(ABS('01_Вводные'!B57-K102)&lt;0.00000001,0,1)</f>
        <v/>
      </c>
    </row>
    <row r="103">
      <c r="J103" t="inlineStr">
        <is>
          <t>B58</t>
        </is>
      </c>
      <c r="K103" t="n">
        <v>0.05</v>
      </c>
      <c r="L103">
        <f>IF(ABS('01_Вводные'!B58-K103)&lt;0.00000001,0,1)</f>
        <v/>
      </c>
    </row>
    <row r="104">
      <c r="J104" t="inlineStr">
        <is>
          <t>B59</t>
        </is>
      </c>
      <c r="K104" t="n">
        <v>0.35</v>
      </c>
      <c r="L104">
        <f>IF(ABS('01_Вводные'!B59-K104)&lt;0.00000001,0,1)</f>
        <v/>
      </c>
    </row>
    <row r="105">
      <c r="J105" t="inlineStr">
        <is>
          <t>B60</t>
        </is>
      </c>
      <c r="K105" t="n">
        <v>0.1</v>
      </c>
      <c r="L105">
        <f>IF(ABS('01_Вводные'!B60-K105)&lt;0.00000001,0,1)</f>
        <v/>
      </c>
    </row>
    <row r="106">
      <c r="J106" t="inlineStr">
        <is>
          <t>B7</t>
        </is>
      </c>
      <c r="K106" s="142" t="n">
        <v>46266</v>
      </c>
      <c r="L106">
        <f>IF('01_Вводные'!B7=K106,0,1)</f>
        <v/>
      </c>
    </row>
    <row r="107">
      <c r="J107" t="inlineStr">
        <is>
          <t>B71</t>
        </is>
      </c>
      <c r="K107" t="n">
        <v>2100</v>
      </c>
      <c r="L107">
        <f>IF(ABS('01_Вводные'!B71-K107)&lt;0.00000001,0,1)</f>
        <v/>
      </c>
    </row>
    <row r="108">
      <c r="J108" t="inlineStr">
        <is>
          <t>B72</t>
        </is>
      </c>
      <c r="K108" t="n">
        <v>0.85</v>
      </c>
      <c r="L108">
        <f>IF(ABS('01_Вводные'!B72-K108)&lt;0.00000001,0,1)</f>
        <v/>
      </c>
    </row>
    <row r="109">
      <c r="J109" t="inlineStr">
        <is>
          <t>B75</t>
        </is>
      </c>
      <c r="K109" t="n">
        <v>0.02</v>
      </c>
      <c r="L109">
        <f>IF(ABS('01_Вводные'!B75-K109)&lt;0.00000001,0,1)</f>
        <v/>
      </c>
    </row>
    <row r="110">
      <c r="J110" t="inlineStr">
        <is>
          <t>B76</t>
        </is>
      </c>
      <c r="K110" t="n">
        <v>0.35</v>
      </c>
      <c r="L110">
        <f>IF(ABS('01_Вводные'!B76-K110)&lt;0.00000001,0,1)</f>
        <v/>
      </c>
    </row>
    <row r="111">
      <c r="J111" t="inlineStr">
        <is>
          <t>B77</t>
        </is>
      </c>
      <c r="K111" t="n">
        <v>50000000</v>
      </c>
      <c r="L111">
        <f>IF(ABS('01_Вводные'!B77-K111)&lt;0.00000001,0,1)</f>
        <v/>
      </c>
    </row>
    <row r="112">
      <c r="J112" t="inlineStr">
        <is>
          <t>B78</t>
        </is>
      </c>
      <c r="K112" t="n">
        <v>50000000</v>
      </c>
      <c r="L112">
        <f>IF(ABS('01_Вводные'!B78-K112)&lt;0.00000001,0,1)</f>
        <v/>
      </c>
    </row>
    <row r="113">
      <c r="J113" t="inlineStr">
        <is>
          <t>B79</t>
        </is>
      </c>
      <c r="K113" t="n">
        <v>0.6</v>
      </c>
      <c r="L113">
        <f>IF(ABS('01_Вводные'!B79-K113)&lt;0.00000001,0,1)</f>
        <v/>
      </c>
    </row>
    <row r="114">
      <c r="J114" t="inlineStr">
        <is>
          <t>B80</t>
        </is>
      </c>
      <c r="K114" t="n">
        <v>6</v>
      </c>
      <c r="L114">
        <f>IF(ABS('01_Вводные'!B80-K114)&lt;0.00000001,0,1)</f>
        <v/>
      </c>
    </row>
    <row r="115">
      <c r="J115" t="inlineStr">
        <is>
          <t>B81</t>
        </is>
      </c>
      <c r="K115" s="142" t="n">
        <v>46966</v>
      </c>
      <c r="L115">
        <f>IF('01_Вводные'!B81=K115,0,1)</f>
        <v/>
      </c>
    </row>
    <row r="116">
      <c r="J116" t="inlineStr">
        <is>
          <t>B82</t>
        </is>
      </c>
      <c r="K116" t="n">
        <v>2</v>
      </c>
      <c r="L116">
        <f>IF(ABS('01_Вводные'!B82-K116)&lt;0.00000001,0,1)</f>
        <v/>
      </c>
    </row>
    <row r="117">
      <c r="J117" t="inlineStr">
        <is>
          <t>B83</t>
        </is>
      </c>
      <c r="K117" t="n">
        <v>5</v>
      </c>
      <c r="L117">
        <f>IF(ABS('01_Вводные'!B83-K117)&lt;0.00000001,0,1)</f>
        <v/>
      </c>
    </row>
    <row r="118">
      <c r="J118" t="inlineStr">
        <is>
          <t>B84</t>
        </is>
      </c>
      <c r="K118" t="n">
        <v>8</v>
      </c>
      <c r="L118">
        <f>IF(ABS('01_Вводные'!B84-K118)&lt;0.00000001,0,1)</f>
        <v/>
      </c>
    </row>
    <row r="119">
      <c r="J119" t="inlineStr">
        <is>
          <t>B85</t>
        </is>
      </c>
      <c r="K119" t="n">
        <v>11</v>
      </c>
      <c r="L119">
        <f>IF(ABS('01_Вводные'!B85-K119)&lt;0.00000001,0,1)</f>
        <v/>
      </c>
    </row>
    <row r="120">
      <c r="J120" t="inlineStr">
        <is>
          <t>B87</t>
        </is>
      </c>
      <c r="K120" t="n">
        <v>0.5</v>
      </c>
      <c r="L120">
        <f>IF(ABS('01_Вводные'!B87-K120)&lt;0.00000001,0,1)</f>
        <v/>
      </c>
    </row>
    <row r="121">
      <c r="J121" t="inlineStr">
        <is>
          <t>B88</t>
        </is>
      </c>
      <c r="K121" t="n">
        <v>0.3</v>
      </c>
      <c r="L121">
        <f>IF(ABS('01_Вводные'!B88-K121)&lt;0.00000001,0,1)</f>
        <v/>
      </c>
    </row>
    <row r="122">
      <c r="J122" t="inlineStr">
        <is>
          <t>B89</t>
        </is>
      </c>
      <c r="K122" t="n">
        <v>0.2</v>
      </c>
      <c r="L122">
        <f>IF(ABS('01_Вводные'!B89-K122)&lt;0.00000001,0,1)</f>
        <v/>
      </c>
    </row>
    <row r="123">
      <c r="J123" t="inlineStr">
        <is>
          <t>B9</t>
        </is>
      </c>
      <c r="K123" t="n">
        <v>60</v>
      </c>
      <c r="L123">
        <f>IF(ABS('01_Вводные'!B9-K123)&lt;0.00000001,0,1)</f>
        <v/>
      </c>
    </row>
    <row r="124">
      <c r="J124" t="inlineStr">
        <is>
          <t>B94</t>
        </is>
      </c>
      <c r="K124" t="n">
        <v>0</v>
      </c>
      <c r="L124">
        <f>IF(ABS('01_Вводные'!B94-K124)&lt;0.00000001,0,1)</f>
        <v/>
      </c>
    </row>
    <row r="125">
      <c r="J125" t="inlineStr">
        <is>
          <t>C100</t>
        </is>
      </c>
      <c r="K125" t="n">
        <v>4335000</v>
      </c>
      <c r="L125">
        <f>IF(ABS('01_Вводные'!C100-K125)&lt;0.00000001,0,1)</f>
        <v/>
      </c>
    </row>
    <row r="126">
      <c r="J126" t="inlineStr">
        <is>
          <t>C101</t>
        </is>
      </c>
      <c r="K126" t="n">
        <v>2167500</v>
      </c>
      <c r="L126">
        <f>IF(ABS('01_Вводные'!C101-K126)&lt;0.00000001,0,1)</f>
        <v/>
      </c>
    </row>
    <row r="127">
      <c r="J127" t="inlineStr">
        <is>
          <t>C138</t>
        </is>
      </c>
      <c r="K127" t="n">
        <v>402300</v>
      </c>
      <c r="L127">
        <f>IF(ABS('01_Вводные'!C138-K127)&lt;0.00000001,0,1)</f>
        <v/>
      </c>
    </row>
    <row r="128">
      <c r="J128" t="inlineStr">
        <is>
          <t>C139</t>
        </is>
      </c>
      <c r="K128" t="n">
        <v>230000</v>
      </c>
      <c r="L128">
        <f>IF(ABS('01_Вводные'!C139-K128)&lt;0.00000001,0,1)</f>
        <v/>
      </c>
    </row>
    <row r="129">
      <c r="J129" t="inlineStr">
        <is>
          <t>C140</t>
        </is>
      </c>
      <c r="K129" t="n">
        <v>287360</v>
      </c>
      <c r="L129">
        <f>IF(ABS('01_Вводные'!C140-K129)&lt;0.00000001,0,1)</f>
        <v/>
      </c>
    </row>
    <row r="130">
      <c r="J130" t="inlineStr">
        <is>
          <t>C141</t>
        </is>
      </c>
      <c r="K130" t="n">
        <v>126436</v>
      </c>
      <c r="L130">
        <f>IF(ABS('01_Вводные'!C141-K130)&lt;0.00000001,0,1)</f>
        <v/>
      </c>
    </row>
    <row r="131">
      <c r="J131" t="inlineStr">
        <is>
          <t>C142</t>
        </is>
      </c>
      <c r="K131" t="n">
        <v>114943</v>
      </c>
      <c r="L131">
        <f>IF(ABS('01_Вводные'!C142-K131)&lt;0.00000001,0,1)</f>
        <v/>
      </c>
    </row>
    <row r="132">
      <c r="J132" t="inlineStr">
        <is>
          <t>C143</t>
        </is>
      </c>
      <c r="K132" t="n">
        <v>114943</v>
      </c>
      <c r="L132">
        <f>IF(ABS('01_Вводные'!C143-K132)&lt;0.00000001,0,1)</f>
        <v/>
      </c>
    </row>
    <row r="133">
      <c r="J133" t="inlineStr">
        <is>
          <t>C144</t>
        </is>
      </c>
      <c r="K133" t="n">
        <v>229890</v>
      </c>
      <c r="L133">
        <f>IF(ABS('01_Вводные'!C144-K133)&lt;0.00000001,0,1)</f>
        <v/>
      </c>
    </row>
    <row r="134">
      <c r="J134" t="inlineStr">
        <is>
          <t>C145</t>
        </is>
      </c>
      <c r="K134" t="n">
        <v>229885</v>
      </c>
      <c r="L134">
        <f>IF(ABS('01_Вводные'!C145-K134)&lt;0.00000001,0,1)</f>
        <v/>
      </c>
    </row>
    <row r="135">
      <c r="J135" t="inlineStr">
        <is>
          <t>C146</t>
        </is>
      </c>
      <c r="K135" t="n">
        <v>287360</v>
      </c>
      <c r="L135">
        <f>IF(ABS('01_Вводные'!C146-K135)&lt;0.00000001,0,1)</f>
        <v/>
      </c>
    </row>
    <row r="136">
      <c r="J136" t="inlineStr">
        <is>
          <t>C147</t>
        </is>
      </c>
      <c r="K136" t="n">
        <v>229885</v>
      </c>
      <c r="L136">
        <f>IF(ABS('01_Вводные'!C147-K136)&lt;0.00000001,0,1)</f>
        <v/>
      </c>
    </row>
    <row r="137">
      <c r="J137" t="inlineStr">
        <is>
          <t>C148</t>
        </is>
      </c>
      <c r="K137" t="n">
        <v>288000</v>
      </c>
      <c r="L137">
        <f>IF(ABS('01_Вводные'!C148-K137)&lt;0.00000001,0,1)</f>
        <v/>
      </c>
    </row>
    <row r="138">
      <c r="J138" t="inlineStr">
        <is>
          <t>C149</t>
        </is>
      </c>
      <c r="K138" t="n">
        <v>287400</v>
      </c>
      <c r="L138">
        <f>IF(ABS('01_Вводные'!C149-K138)&lt;0.00000001,0,1)</f>
        <v/>
      </c>
    </row>
    <row r="139">
      <c r="J139" t="inlineStr">
        <is>
          <t>C150</t>
        </is>
      </c>
      <c r="K139" t="n">
        <v>230000</v>
      </c>
      <c r="L139">
        <f>IF(ABS('01_Вводные'!C150-K139)&lt;0.00000001,0,1)</f>
        <v/>
      </c>
    </row>
    <row r="140">
      <c r="J140" t="inlineStr">
        <is>
          <t>C197</t>
        </is>
      </c>
      <c r="K140" t="inlineStr">
        <is>
          <t>Негативный</t>
        </is>
      </c>
      <c r="L140">
        <f>IF('01_Вводные'!C197=K140,0,1)</f>
        <v/>
      </c>
    </row>
    <row r="141">
      <c r="J141" t="inlineStr">
        <is>
          <t>C198</t>
        </is>
      </c>
      <c r="K141" t="n">
        <v>0.8</v>
      </c>
      <c r="L141">
        <f>IF(ABS('01_Вводные'!C198-K141)&lt;0.00000001,0,1)</f>
        <v/>
      </c>
    </row>
    <row r="142">
      <c r="J142" t="inlineStr">
        <is>
          <t>C199</t>
        </is>
      </c>
      <c r="K142" t="n">
        <v>0.9</v>
      </c>
      <c r="L142">
        <f>IF(ABS('01_Вводные'!C199-K142)&lt;0.00000001,0,1)</f>
        <v/>
      </c>
    </row>
    <row r="143">
      <c r="J143" t="inlineStr">
        <is>
          <t>C200</t>
        </is>
      </c>
      <c r="K143" t="n">
        <v>0.95</v>
      </c>
      <c r="L143">
        <f>IF(ABS('01_Вводные'!C200-K143)&lt;0.00000001,0,1)</f>
        <v/>
      </c>
    </row>
    <row r="144">
      <c r="J144" t="inlineStr">
        <is>
          <t>C201</t>
        </is>
      </c>
      <c r="K144" t="n">
        <v>0.9</v>
      </c>
      <c r="L144">
        <f>IF(ABS('01_Вводные'!C201-K144)&lt;0.00000001,0,1)</f>
        <v/>
      </c>
    </row>
    <row r="145">
      <c r="J145" t="inlineStr">
        <is>
          <t>C202</t>
        </is>
      </c>
      <c r="K145" t="n">
        <v>1.2</v>
      </c>
      <c r="L145">
        <f>IF(ABS('01_Вводные'!C202-K145)&lt;0.00000001,0,1)</f>
        <v/>
      </c>
    </row>
    <row r="146">
      <c r="J146" t="inlineStr">
        <is>
          <t>C203</t>
        </is>
      </c>
      <c r="K146" t="n">
        <v>2</v>
      </c>
      <c r="L146">
        <f>IF(ABS('01_Вводные'!C203-K146)&lt;0.00000001,0,1)</f>
        <v/>
      </c>
    </row>
    <row r="147">
      <c r="J147" t="inlineStr">
        <is>
          <t>C263</t>
        </is>
      </c>
      <c r="K147" t="n">
        <v>0.005000000000000001</v>
      </c>
      <c r="L147">
        <f>IF(ABS('01_Вводные'!C263-K147)&lt;0.00000001,0,1)</f>
        <v/>
      </c>
    </row>
    <row r="148">
      <c r="J148" t="inlineStr">
        <is>
          <t>C264</t>
        </is>
      </c>
      <c r="K148" t="n">
        <v>0.02</v>
      </c>
      <c r="L148">
        <f>IF(ABS('01_Вводные'!C264-K148)&lt;0.00000001,0,1)</f>
        <v/>
      </c>
    </row>
    <row r="149">
      <c r="J149" t="inlineStr">
        <is>
          <t>C265</t>
        </is>
      </c>
      <c r="K149" t="n">
        <v>0.05066666666666667</v>
      </c>
      <c r="L149">
        <f>IF(ABS('01_Вводные'!C265-K149)&lt;0.00000001,0,1)</f>
        <v/>
      </c>
    </row>
    <row r="150">
      <c r="J150" t="inlineStr">
        <is>
          <t>C266</t>
        </is>
      </c>
      <c r="K150" t="n">
        <v>0.02433333333333333</v>
      </c>
      <c r="L150">
        <f>IF(ABS('01_Вводные'!C266-K150)&lt;0.00000001,0,1)</f>
        <v/>
      </c>
    </row>
    <row r="151">
      <c r="J151" t="inlineStr">
        <is>
          <t>C267</t>
        </is>
      </c>
      <c r="K151" t="n">
        <v>0.015</v>
      </c>
      <c r="L151">
        <f>IF(ABS('01_Вводные'!C267-K151)&lt;0.00000001,0,1)</f>
        <v/>
      </c>
    </row>
    <row r="152">
      <c r="J152" t="inlineStr">
        <is>
          <t>C268</t>
        </is>
      </c>
      <c r="K152" t="n">
        <v>0.06</v>
      </c>
      <c r="L152">
        <f>IF(ABS('01_Вводные'!C268-K152)&lt;0.00000001,0,1)</f>
        <v/>
      </c>
    </row>
    <row r="153">
      <c r="J153" t="inlineStr">
        <is>
          <t>C269</t>
        </is>
      </c>
      <c r="K153" t="n">
        <v>0.152</v>
      </c>
      <c r="L153">
        <f>IF(ABS('01_Вводные'!C269-K153)&lt;0.00000001,0,1)</f>
        <v/>
      </c>
    </row>
    <row r="154">
      <c r="J154" t="inlineStr">
        <is>
          <t>C270</t>
        </is>
      </c>
      <c r="K154" t="n">
        <v>0.07299999999999998</v>
      </c>
      <c r="L154">
        <f>IF(ABS('01_Вводные'!C270-K154)&lt;0.00000001,0,1)</f>
        <v/>
      </c>
    </row>
    <row r="155">
      <c r="J155" t="inlineStr">
        <is>
          <t>C271</t>
        </is>
      </c>
      <c r="K155" t="n">
        <v>0.0125</v>
      </c>
      <c r="L155">
        <f>IF(ABS('01_Вводные'!C271-K155)&lt;0.00000001,0,1)</f>
        <v/>
      </c>
    </row>
    <row r="156">
      <c r="J156" t="inlineStr">
        <is>
          <t>C272</t>
        </is>
      </c>
      <c r="K156" t="n">
        <v>0.05</v>
      </c>
      <c r="L156">
        <f>IF(ABS('01_Вводные'!C272-K156)&lt;0.00000001,0,1)</f>
        <v/>
      </c>
    </row>
    <row r="157">
      <c r="J157" t="inlineStr">
        <is>
          <t>C273</t>
        </is>
      </c>
      <c r="K157" t="n">
        <v>0.1266666666666667</v>
      </c>
      <c r="L157">
        <f>IF(ABS('01_Вводные'!C273-K157)&lt;0.00000001,0,1)</f>
        <v/>
      </c>
    </row>
    <row r="158">
      <c r="J158" t="inlineStr">
        <is>
          <t>C274</t>
        </is>
      </c>
      <c r="K158" t="n">
        <v>0.06083333333333332</v>
      </c>
      <c r="L158">
        <f>IF(ABS('01_Вводные'!C274-K158)&lt;0.00000001,0,1)</f>
        <v/>
      </c>
    </row>
    <row r="159">
      <c r="J159" t="inlineStr">
        <is>
          <t>C275</t>
        </is>
      </c>
      <c r="K159" t="n">
        <v>0.0125</v>
      </c>
      <c r="L159">
        <f>IF(ABS('01_Вводные'!C275-K159)&lt;0.00000001,0,1)</f>
        <v/>
      </c>
    </row>
    <row r="160">
      <c r="J160" t="inlineStr">
        <is>
          <t>C276</t>
        </is>
      </c>
      <c r="K160" t="n">
        <v>0.05</v>
      </c>
      <c r="L160">
        <f>IF(ABS('01_Вводные'!C276-K160)&lt;0.00000001,0,1)</f>
        <v/>
      </c>
    </row>
    <row r="161">
      <c r="J161" t="inlineStr">
        <is>
          <t>C277</t>
        </is>
      </c>
      <c r="K161" t="n">
        <v>0.1266666666666667</v>
      </c>
      <c r="L161">
        <f>IF(ABS('01_Вводные'!C277-K161)&lt;0.00000001,0,1)</f>
        <v/>
      </c>
    </row>
    <row r="162">
      <c r="J162" t="inlineStr">
        <is>
          <t>C278</t>
        </is>
      </c>
      <c r="K162" t="n">
        <v>0.06083333333333332</v>
      </c>
      <c r="L162">
        <f>IF(ABS('01_Вводные'!C278-K162)&lt;0.00000001,0,1)</f>
        <v/>
      </c>
    </row>
    <row r="163">
      <c r="J163" t="inlineStr">
        <is>
          <t>C279</t>
        </is>
      </c>
      <c r="K163" t="n">
        <v>0.005000000000000001</v>
      </c>
      <c r="L163">
        <f>IF(ABS('01_Вводные'!C279-K163)&lt;0.00000001,0,1)</f>
        <v/>
      </c>
    </row>
    <row r="164">
      <c r="J164" t="inlineStr">
        <is>
          <t>C280</t>
        </is>
      </c>
      <c r="K164" t="n">
        <v>0.02</v>
      </c>
      <c r="L164">
        <f>IF(ABS('01_Вводные'!C280-K164)&lt;0.00000001,0,1)</f>
        <v/>
      </c>
    </row>
    <row r="165">
      <c r="J165" t="inlineStr">
        <is>
          <t>C281</t>
        </is>
      </c>
      <c r="K165" t="n">
        <v>0.05066666666666667</v>
      </c>
      <c r="L165">
        <f>IF(ABS('01_Вводные'!C281-K165)&lt;0.00000001,0,1)</f>
        <v/>
      </c>
    </row>
    <row r="166">
      <c r="J166" t="inlineStr">
        <is>
          <t>C282</t>
        </is>
      </c>
      <c r="K166" t="n">
        <v>0.02433333333333333</v>
      </c>
      <c r="L166">
        <f>IF(ABS('01_Вводные'!C282-K166)&lt;0.00000001,0,1)</f>
        <v/>
      </c>
    </row>
    <row r="167">
      <c r="J167" t="inlineStr">
        <is>
          <t>C37</t>
        </is>
      </c>
      <c r="K167" t="n">
        <v>0.18</v>
      </c>
      <c r="L167">
        <f>IF(ABS('01_Вводные'!C37-K167)&lt;0.00000001,0,1)</f>
        <v/>
      </c>
    </row>
    <row r="168">
      <c r="J168" t="inlineStr">
        <is>
          <t>C38</t>
        </is>
      </c>
      <c r="K168" t="n">
        <v>0.18</v>
      </c>
      <c r="L168">
        <f>IF(ABS('01_Вводные'!C38-K168)&lt;0.00000001,0,1)</f>
        <v/>
      </c>
    </row>
    <row r="169">
      <c r="J169" t="inlineStr">
        <is>
          <t>C39</t>
        </is>
      </c>
      <c r="K169" t="n">
        <v>0.18</v>
      </c>
      <c r="L169">
        <f>IF(ABS('01_Вводные'!C39-K169)&lt;0.00000001,0,1)</f>
        <v/>
      </c>
    </row>
    <row r="170">
      <c r="J170" t="inlineStr">
        <is>
          <t>C40</t>
        </is>
      </c>
      <c r="K170" t="n">
        <v>0.18</v>
      </c>
      <c r="L170">
        <f>IF(ABS('01_Вводные'!C40-K170)&lt;0.00000001,0,1)</f>
        <v/>
      </c>
    </row>
    <row r="171">
      <c r="J171" t="inlineStr">
        <is>
          <t>C44</t>
        </is>
      </c>
      <c r="K171" t="n">
        <v>1</v>
      </c>
      <c r="L171">
        <f>IF(ABS('01_Вводные'!C44-K171)&lt;0.00000001,0,1)</f>
        <v/>
      </c>
    </row>
    <row r="172">
      <c r="J172" t="inlineStr">
        <is>
          <t>C94</t>
        </is>
      </c>
      <c r="K172" t="n">
        <v>0</v>
      </c>
      <c r="L172">
        <f>IF(ABS('01_Вводные'!C94-K172)&lt;0.00000001,0,1)</f>
        <v/>
      </c>
    </row>
    <row r="173">
      <c r="J173" t="inlineStr">
        <is>
          <t>D100</t>
        </is>
      </c>
      <c r="K173" t="n">
        <v>2142000</v>
      </c>
      <c r="L173">
        <f>IF(ABS('01_Вводные'!D100-K173)&lt;0.00000001,0,1)</f>
        <v/>
      </c>
    </row>
    <row r="174">
      <c r="J174" t="inlineStr">
        <is>
          <t>D101</t>
        </is>
      </c>
      <c r="K174" t="n">
        <v>1178100</v>
      </c>
      <c r="L174">
        <f>IF(ABS('01_Вводные'!D101-K174)&lt;0.00000001,0,1)</f>
        <v/>
      </c>
    </row>
    <row r="175">
      <c r="J175" t="inlineStr">
        <is>
          <t>D138</t>
        </is>
      </c>
      <c r="K175" t="inlineStr">
        <is>
          <t>Да</t>
        </is>
      </c>
      <c r="L175">
        <f>IF('01_Вводные'!D138=K175,0,1)</f>
        <v/>
      </c>
    </row>
    <row r="176">
      <c r="J176" t="inlineStr">
        <is>
          <t>D139</t>
        </is>
      </c>
      <c r="K176" t="inlineStr">
        <is>
          <t>Да</t>
        </is>
      </c>
      <c r="L176">
        <f>IF('01_Вводные'!D139=K176,0,1)</f>
        <v/>
      </c>
    </row>
    <row r="177">
      <c r="J177" t="inlineStr">
        <is>
          <t>D140</t>
        </is>
      </c>
      <c r="K177" t="inlineStr">
        <is>
          <t>Да</t>
        </is>
      </c>
      <c r="L177">
        <f>IF('01_Вводные'!D140=K177,0,1)</f>
        <v/>
      </c>
    </row>
    <row r="178">
      <c r="J178" t="inlineStr">
        <is>
          <t>D141</t>
        </is>
      </c>
      <c r="K178" t="inlineStr">
        <is>
          <t>Нет</t>
        </is>
      </c>
      <c r="L178">
        <f>IF('01_Вводные'!D141=K178,0,1)</f>
        <v/>
      </c>
    </row>
    <row r="179">
      <c r="J179" t="inlineStr">
        <is>
          <t>D142</t>
        </is>
      </c>
      <c r="K179" t="inlineStr">
        <is>
          <t>Нет</t>
        </is>
      </c>
      <c r="L179">
        <f>IF('01_Вводные'!D142=K179,0,1)</f>
        <v/>
      </c>
    </row>
    <row r="180">
      <c r="J180" t="inlineStr">
        <is>
          <t>D143</t>
        </is>
      </c>
      <c r="K180" t="inlineStr">
        <is>
          <t>Нет</t>
        </is>
      </c>
      <c r="L180">
        <f>IF('01_Вводные'!D143=K180,0,1)</f>
        <v/>
      </c>
    </row>
    <row r="181">
      <c r="J181" t="inlineStr">
        <is>
          <t>D144</t>
        </is>
      </c>
      <c r="K181" t="inlineStr">
        <is>
          <t>Да</t>
        </is>
      </c>
      <c r="L181">
        <f>IF('01_Вводные'!D144=K181,0,1)</f>
        <v/>
      </c>
    </row>
    <row r="182">
      <c r="J182" t="inlineStr">
        <is>
          <t>D145</t>
        </is>
      </c>
      <c r="K182" t="inlineStr">
        <is>
          <t>Да</t>
        </is>
      </c>
      <c r="L182">
        <f>IF('01_Вводные'!D145=K182,0,1)</f>
        <v/>
      </c>
    </row>
    <row r="183">
      <c r="J183" t="inlineStr">
        <is>
          <t>D146</t>
        </is>
      </c>
      <c r="K183" t="inlineStr">
        <is>
          <t>Да</t>
        </is>
      </c>
      <c r="L183">
        <f>IF('01_Вводные'!D146=K183,0,1)</f>
        <v/>
      </c>
    </row>
    <row r="184">
      <c r="J184" t="inlineStr">
        <is>
          <t>D147</t>
        </is>
      </c>
      <c r="K184" t="inlineStr">
        <is>
          <t>Да</t>
        </is>
      </c>
      <c r="L184">
        <f>IF('01_Вводные'!D147=K184,0,1)</f>
        <v/>
      </c>
    </row>
    <row r="185">
      <c r="J185" t="inlineStr">
        <is>
          <t>D148</t>
        </is>
      </c>
      <c r="K185" t="inlineStr">
        <is>
          <t>Да</t>
        </is>
      </c>
      <c r="L185">
        <f>IF('01_Вводные'!D148=K185,0,1)</f>
        <v/>
      </c>
    </row>
    <row r="186">
      <c r="J186" t="inlineStr">
        <is>
          <t>D149</t>
        </is>
      </c>
      <c r="K186" t="inlineStr">
        <is>
          <t>Да</t>
        </is>
      </c>
      <c r="L186">
        <f>IF('01_Вводные'!D149=K186,0,1)</f>
        <v/>
      </c>
    </row>
    <row r="187">
      <c r="J187" t="inlineStr">
        <is>
          <t>D150</t>
        </is>
      </c>
      <c r="K187" t="inlineStr">
        <is>
          <t>Нет</t>
        </is>
      </c>
      <c r="L187">
        <f>IF('01_Вводные'!D150=K187,0,1)</f>
        <v/>
      </c>
    </row>
    <row r="188">
      <c r="J188" t="inlineStr">
        <is>
          <t>D197</t>
        </is>
      </c>
      <c r="K188" t="inlineStr">
        <is>
          <t>Базовый</t>
        </is>
      </c>
      <c r="L188">
        <f>IF('01_Вводные'!D197=K188,0,1)</f>
        <v/>
      </c>
    </row>
    <row r="189">
      <c r="J189" t="inlineStr">
        <is>
          <t>D198</t>
        </is>
      </c>
      <c r="K189" t="n">
        <v>1</v>
      </c>
      <c r="L189">
        <f>IF(ABS('01_Вводные'!D198-K189)&lt;0.00000001,0,1)</f>
        <v/>
      </c>
    </row>
    <row r="190">
      <c r="J190" t="inlineStr">
        <is>
          <t>D199</t>
        </is>
      </c>
      <c r="K190" t="n">
        <v>1</v>
      </c>
      <c r="L190">
        <f>IF(ABS('01_Вводные'!D199-K190)&lt;0.00000001,0,1)</f>
        <v/>
      </c>
    </row>
    <row r="191">
      <c r="J191" t="inlineStr">
        <is>
          <t>D200</t>
        </is>
      </c>
      <c r="K191" t="n">
        <v>1</v>
      </c>
      <c r="L191">
        <f>IF(ABS('01_Вводные'!D200-K191)&lt;0.00000001,0,1)</f>
        <v/>
      </c>
    </row>
    <row r="192">
      <c r="J192" t="inlineStr">
        <is>
          <t>D201</t>
        </is>
      </c>
      <c r="K192" t="n">
        <v>1</v>
      </c>
      <c r="L192">
        <f>IF(ABS('01_Вводные'!D201-K192)&lt;0.00000001,0,1)</f>
        <v/>
      </c>
    </row>
    <row r="193">
      <c r="J193" t="inlineStr">
        <is>
          <t>D202</t>
        </is>
      </c>
      <c r="K193" t="n">
        <v>1</v>
      </c>
      <c r="L193">
        <f>IF(ABS('01_Вводные'!D202-K193)&lt;0.00000001,0,1)</f>
        <v/>
      </c>
    </row>
    <row r="194">
      <c r="J194" t="inlineStr">
        <is>
          <t>D203</t>
        </is>
      </c>
      <c r="K194" t="n">
        <v>1</v>
      </c>
      <c r="L194">
        <f>IF(ABS('01_Вводные'!D203-K194)&lt;0.00000001,0,1)</f>
        <v/>
      </c>
    </row>
    <row r="195">
      <c r="J195" t="inlineStr">
        <is>
          <t>D263</t>
        </is>
      </c>
      <c r="K195" t="n">
        <v>890000</v>
      </c>
      <c r="L195">
        <f>IF(ABS('01_Вводные'!D263-K195)&lt;0.00000001,0,1)</f>
        <v/>
      </c>
    </row>
    <row r="196">
      <c r="J196" t="inlineStr">
        <is>
          <t>D264</t>
        </is>
      </c>
      <c r="K196" t="n">
        <v>990000</v>
      </c>
      <c r="L196">
        <f>IF(ABS('01_Вводные'!D264-K196)&lt;0.00000001,0,1)</f>
        <v/>
      </c>
    </row>
    <row r="197">
      <c r="J197" t="inlineStr">
        <is>
          <t>D265</t>
        </is>
      </c>
      <c r="K197" t="n">
        <v>1290000</v>
      </c>
      <c r="L197">
        <f>IF(ABS('01_Вводные'!D265-K197)&lt;0.00000001,0,1)</f>
        <v/>
      </c>
    </row>
    <row r="198">
      <c r="J198" t="inlineStr">
        <is>
          <t>D266</t>
        </is>
      </c>
      <c r="K198" t="n">
        <v>1490000</v>
      </c>
      <c r="L198">
        <f>IF(ABS('01_Вводные'!D266-K198)&lt;0.00000001,0,1)</f>
        <v/>
      </c>
    </row>
    <row r="199">
      <c r="J199" t="inlineStr">
        <is>
          <t>D267</t>
        </is>
      </c>
      <c r="K199" t="n">
        <v>690000</v>
      </c>
      <c r="L199">
        <f>IF(ABS('01_Вводные'!D267-K199)&lt;0.00000001,0,1)</f>
        <v/>
      </c>
    </row>
    <row r="200">
      <c r="J200" t="inlineStr">
        <is>
          <t>D268</t>
        </is>
      </c>
      <c r="K200" t="n">
        <v>890000</v>
      </c>
      <c r="L200">
        <f>IF(ABS('01_Вводные'!D268-K200)&lt;0.00000001,0,1)</f>
        <v/>
      </c>
    </row>
    <row r="201">
      <c r="J201" t="inlineStr">
        <is>
          <t>D269</t>
        </is>
      </c>
      <c r="K201" t="n">
        <v>1190000</v>
      </c>
      <c r="L201">
        <f>IF(ABS('01_Вводные'!D269-K201)&lt;0.00000001,0,1)</f>
        <v/>
      </c>
    </row>
    <row r="202">
      <c r="J202" t="inlineStr">
        <is>
          <t>D270</t>
        </is>
      </c>
      <c r="K202" t="n">
        <v>1290000</v>
      </c>
      <c r="L202">
        <f>IF(ABS('01_Вводные'!D270-K202)&lt;0.00000001,0,1)</f>
        <v/>
      </c>
    </row>
    <row r="203">
      <c r="J203" t="inlineStr">
        <is>
          <t>D271</t>
        </is>
      </c>
      <c r="K203" t="n">
        <v>590000</v>
      </c>
      <c r="L203">
        <f>IF(ABS('01_Вводные'!D271-K203)&lt;0.00000001,0,1)</f>
        <v/>
      </c>
    </row>
    <row r="204">
      <c r="J204" t="inlineStr">
        <is>
          <t>D272</t>
        </is>
      </c>
      <c r="K204" t="n">
        <v>790000</v>
      </c>
      <c r="L204">
        <f>IF(ABS('01_Вводные'!D272-K204)&lt;0.00000001,0,1)</f>
        <v/>
      </c>
    </row>
    <row r="205">
      <c r="J205" t="inlineStr">
        <is>
          <t>D273</t>
        </is>
      </c>
      <c r="K205" t="n">
        <v>890000</v>
      </c>
      <c r="L205">
        <f>IF(ABS('01_Вводные'!D273-K205)&lt;0.00000001,0,1)</f>
        <v/>
      </c>
    </row>
    <row r="206">
      <c r="J206" t="inlineStr">
        <is>
          <t>D274</t>
        </is>
      </c>
      <c r="K206" t="n">
        <v>990000</v>
      </c>
      <c r="L206">
        <f>IF(ABS('01_Вводные'!D274-K206)&lt;0.00000001,0,1)</f>
        <v/>
      </c>
    </row>
    <row r="207">
      <c r="J207" t="inlineStr">
        <is>
          <t>D275</t>
        </is>
      </c>
      <c r="K207" t="n">
        <v>490000</v>
      </c>
      <c r="L207">
        <f>IF(ABS('01_Вводные'!D275-K207)&lt;0.00000001,0,1)</f>
        <v/>
      </c>
    </row>
    <row r="208">
      <c r="J208" t="inlineStr">
        <is>
          <t>D276</t>
        </is>
      </c>
      <c r="K208" t="n">
        <v>690000</v>
      </c>
      <c r="L208">
        <f>IF(ABS('01_Вводные'!D276-K208)&lt;0.00000001,0,1)</f>
        <v/>
      </c>
    </row>
    <row r="209">
      <c r="J209" t="inlineStr">
        <is>
          <t>D277</t>
        </is>
      </c>
      <c r="K209" t="n">
        <v>790000</v>
      </c>
      <c r="L209">
        <f>IF(ABS('01_Вводные'!D277-K209)&lt;0.00000001,0,1)</f>
        <v/>
      </c>
    </row>
    <row r="210">
      <c r="J210" t="inlineStr">
        <is>
          <t>D278</t>
        </is>
      </c>
      <c r="K210" t="n">
        <v>890000</v>
      </c>
      <c r="L210">
        <f>IF(ABS('01_Вводные'!D278-K210)&lt;0.00000001,0,1)</f>
        <v/>
      </c>
    </row>
    <row r="211">
      <c r="J211" t="inlineStr">
        <is>
          <t>D279</t>
        </is>
      </c>
      <c r="K211" t="n">
        <v>390000</v>
      </c>
      <c r="L211">
        <f>IF(ABS('01_Вводные'!D279-K211)&lt;0.00000001,0,1)</f>
        <v/>
      </c>
    </row>
    <row r="212">
      <c r="J212" t="inlineStr">
        <is>
          <t>D280</t>
        </is>
      </c>
      <c r="K212" t="n">
        <v>490000</v>
      </c>
      <c r="L212">
        <f>IF(ABS('01_Вводные'!D280-K212)&lt;0.00000001,0,1)</f>
        <v/>
      </c>
    </row>
    <row r="213">
      <c r="J213" t="inlineStr">
        <is>
          <t>D281</t>
        </is>
      </c>
      <c r="K213" t="n">
        <v>590000</v>
      </c>
      <c r="L213">
        <f>IF(ABS('01_Вводные'!D281-K213)&lt;0.00000001,0,1)</f>
        <v/>
      </c>
    </row>
    <row r="214">
      <c r="J214" t="inlineStr">
        <is>
          <t>D282</t>
        </is>
      </c>
      <c r="K214" t="n">
        <v>690000</v>
      </c>
      <c r="L214">
        <f>IF(ABS('01_Вводные'!D282-K214)&lt;0.00000001,0,1)</f>
        <v/>
      </c>
    </row>
    <row r="215">
      <c r="J215" t="inlineStr">
        <is>
          <t>D36</t>
        </is>
      </c>
      <c r="K215" t="n">
        <v>0.1097560975609756</v>
      </c>
      <c r="L215">
        <f>IF(ABS('01_Вводные'!D36-K215)&lt;0.00000001,0,1)</f>
        <v/>
      </c>
    </row>
    <row r="216">
      <c r="J216" t="inlineStr">
        <is>
          <t>D37</t>
        </is>
      </c>
      <c r="K216" t="n">
        <v>0.09</v>
      </c>
      <c r="L216">
        <f>IF(ABS('01_Вводные'!D37-K216)&lt;0.00000001,0,1)</f>
        <v/>
      </c>
    </row>
    <row r="217">
      <c r="J217" t="inlineStr">
        <is>
          <t>D38</t>
        </is>
      </c>
      <c r="K217" t="n">
        <v>0.09</v>
      </c>
      <c r="L217">
        <f>IF(ABS('01_Вводные'!D38-K217)&lt;0.00000001,0,1)</f>
        <v/>
      </c>
    </row>
    <row r="218">
      <c r="J218" t="inlineStr">
        <is>
          <t>D39</t>
        </is>
      </c>
      <c r="K218" t="n">
        <v>0.09</v>
      </c>
      <c r="L218">
        <f>IF(ABS('01_Вводные'!D39-K218)&lt;0.00000001,0,1)</f>
        <v/>
      </c>
    </row>
    <row r="219">
      <c r="J219" t="inlineStr">
        <is>
          <t>D40</t>
        </is>
      </c>
      <c r="K219" t="n">
        <v>0.09</v>
      </c>
      <c r="L219">
        <f>IF(ABS('01_Вводные'!D40-K219)&lt;0.00000001,0,1)</f>
        <v/>
      </c>
    </row>
    <row r="220">
      <c r="J220" t="inlineStr">
        <is>
          <t>D44</t>
        </is>
      </c>
      <c r="K220" t="n">
        <v>0.9926470588235294</v>
      </c>
      <c r="L220">
        <f>IF(ABS('01_Вводные'!D44-K220)&lt;0.00000001,0,1)</f>
        <v/>
      </c>
    </row>
    <row r="221">
      <c r="J221" t="inlineStr">
        <is>
          <t>D94</t>
        </is>
      </c>
      <c r="K221" t="n">
        <v>0</v>
      </c>
      <c r="L221">
        <f>IF(ABS('01_Вводные'!D94-K221)&lt;0.00000001,0,1)</f>
        <v/>
      </c>
    </row>
    <row r="222">
      <c r="J222" t="inlineStr">
        <is>
          <t>E100</t>
        </is>
      </c>
      <c r="K222" t="n">
        <v>1224000</v>
      </c>
      <c r="L222">
        <f>IF(ABS('01_Вводные'!E100-K222)&lt;0.00000001,0,1)</f>
        <v/>
      </c>
    </row>
    <row r="223">
      <c r="J223" t="inlineStr">
        <is>
          <t>E101</t>
        </is>
      </c>
      <c r="K223" t="n">
        <v>673200</v>
      </c>
      <c r="L223">
        <f>IF(ABS('01_Вводные'!E101-K223)&lt;0.00000001,0,1)</f>
        <v/>
      </c>
    </row>
    <row r="224">
      <c r="J224" t="inlineStr">
        <is>
          <t>E198</t>
        </is>
      </c>
      <c r="K224" t="n">
        <v>1.2</v>
      </c>
      <c r="L224">
        <f>IF(ABS('01_Вводные'!E198-K224)&lt;0.00000001,0,1)</f>
        <v/>
      </c>
    </row>
    <row r="225">
      <c r="J225" t="inlineStr">
        <is>
          <t>E199</t>
        </is>
      </c>
      <c r="K225" t="n">
        <v>1.1</v>
      </c>
      <c r="L225">
        <f>IF(ABS('01_Вводные'!E199-K225)&lt;0.00000001,0,1)</f>
        <v/>
      </c>
    </row>
    <row r="226">
      <c r="J226" t="inlineStr">
        <is>
          <t>E200</t>
        </is>
      </c>
      <c r="K226" t="n">
        <v>1.05</v>
      </c>
      <c r="L226">
        <f>IF(ABS('01_Вводные'!E200-K226)&lt;0.00000001,0,1)</f>
        <v/>
      </c>
    </row>
    <row r="227">
      <c r="J227" t="inlineStr">
        <is>
          <t>E201</t>
        </is>
      </c>
      <c r="K227" t="n">
        <v>1.1</v>
      </c>
      <c r="L227">
        <f>IF(ABS('01_Вводные'!E201-K227)&lt;0.00000001,0,1)</f>
        <v/>
      </c>
    </row>
    <row r="228">
      <c r="J228" t="inlineStr">
        <is>
          <t>E202</t>
        </is>
      </c>
      <c r="K228" t="n">
        <v>0.8</v>
      </c>
      <c r="L228">
        <f>IF(ABS('01_Вводные'!E202-K228)&lt;0.00000001,0,1)</f>
        <v/>
      </c>
    </row>
    <row r="229">
      <c r="J229" t="inlineStr">
        <is>
          <t>E203</t>
        </is>
      </c>
      <c r="K229" t="n">
        <v>0.5</v>
      </c>
      <c r="L229">
        <f>IF(ABS('01_Вводные'!E203-K229)&lt;0.00000001,0,1)</f>
        <v/>
      </c>
    </row>
    <row r="230">
      <c r="J230" t="inlineStr">
        <is>
          <t>E263</t>
        </is>
      </c>
      <c r="K230" t="n">
        <v>25</v>
      </c>
      <c r="L230">
        <f>IF(ABS('01_Вводные'!E263-K230)&lt;0.00000001,0,1)</f>
        <v/>
      </c>
    </row>
    <row r="231">
      <c r="J231" t="inlineStr">
        <is>
          <t>E264</t>
        </is>
      </c>
      <c r="K231" t="n">
        <v>75</v>
      </c>
      <c r="L231">
        <f>IF(ABS('01_Вводные'!E264-K231)&lt;0.00000001,0,1)</f>
        <v/>
      </c>
    </row>
    <row r="232">
      <c r="J232" t="inlineStr">
        <is>
          <t>E265</t>
        </is>
      </c>
      <c r="K232" t="n">
        <v>87.5</v>
      </c>
      <c r="L232">
        <f>IF(ABS('01_Вводные'!E265-K232)&lt;0.00000001,0,1)</f>
        <v/>
      </c>
    </row>
    <row r="233">
      <c r="J233" t="inlineStr">
        <is>
          <t>E266</t>
        </is>
      </c>
      <c r="K233" t="n">
        <v>87.5</v>
      </c>
      <c r="L233">
        <f>IF(ABS('01_Вводные'!E266-K233)&lt;0.00000001,0,1)</f>
        <v/>
      </c>
    </row>
    <row r="234">
      <c r="J234" t="inlineStr">
        <is>
          <t>E267</t>
        </is>
      </c>
      <c r="K234" t="n">
        <v>18.75</v>
      </c>
      <c r="L234">
        <f>IF(ABS('01_Вводные'!E267-K234)&lt;0.00000001,0,1)</f>
        <v/>
      </c>
    </row>
    <row r="235">
      <c r="J235" t="inlineStr">
        <is>
          <t>E268</t>
        </is>
      </c>
      <c r="K235" t="n">
        <v>75</v>
      </c>
      <c r="L235">
        <f>IF(ABS('01_Вводные'!E268-K235)&lt;0.00000001,0,1)</f>
        <v/>
      </c>
    </row>
    <row r="236">
      <c r="J236" t="inlineStr">
        <is>
          <t>E269</t>
        </is>
      </c>
      <c r="K236" t="n">
        <v>87.5</v>
      </c>
      <c r="L236">
        <f>IF(ABS('01_Вводные'!E269-K236)&lt;0.00000001,0,1)</f>
        <v/>
      </c>
    </row>
    <row r="237">
      <c r="J237" t="inlineStr">
        <is>
          <t>E270</t>
        </is>
      </c>
      <c r="K237" t="n">
        <v>87.5</v>
      </c>
      <c r="L237">
        <f>IF(ABS('01_Вводные'!E270-K237)&lt;0.00000001,0,1)</f>
        <v/>
      </c>
    </row>
    <row r="238">
      <c r="J238" t="inlineStr">
        <is>
          <t>E271</t>
        </is>
      </c>
      <c r="K238" t="n">
        <v>12.5</v>
      </c>
      <c r="L238">
        <f>IF(ABS('01_Вводные'!E271-K238)&lt;0.00000001,0,1)</f>
        <v/>
      </c>
    </row>
    <row r="239">
      <c r="J239" t="inlineStr">
        <is>
          <t>E272</t>
        </is>
      </c>
      <c r="K239" t="n">
        <v>75</v>
      </c>
      <c r="L239">
        <f>IF(ABS('01_Вводные'!E272-K239)&lt;0.00000001,0,1)</f>
        <v/>
      </c>
    </row>
    <row r="240">
      <c r="J240" t="inlineStr">
        <is>
          <t>E273</t>
        </is>
      </c>
      <c r="K240" t="n">
        <v>87.5</v>
      </c>
      <c r="L240">
        <f>IF(ABS('01_Вводные'!E273-K240)&lt;0.00000001,0,1)</f>
        <v/>
      </c>
    </row>
    <row r="241">
      <c r="J241" t="inlineStr">
        <is>
          <t>E274</t>
        </is>
      </c>
      <c r="K241" t="n">
        <v>87.5</v>
      </c>
      <c r="L241">
        <f>IF(ABS('01_Вводные'!E274-K241)&lt;0.00000001,0,1)</f>
        <v/>
      </c>
    </row>
    <row r="242">
      <c r="J242" t="inlineStr">
        <is>
          <t>E275</t>
        </is>
      </c>
      <c r="K242" t="n">
        <v>12.5</v>
      </c>
      <c r="L242">
        <f>IF(ABS('01_Вводные'!E275-K242)&lt;0.00000001,0,1)</f>
        <v/>
      </c>
    </row>
    <row r="243">
      <c r="J243" t="inlineStr">
        <is>
          <t>E276</t>
        </is>
      </c>
      <c r="K243" t="n">
        <v>60</v>
      </c>
      <c r="L243">
        <f>IF(ABS('01_Вводные'!E276-K243)&lt;0.00000001,0,1)</f>
        <v/>
      </c>
    </row>
    <row r="244">
      <c r="J244" t="inlineStr">
        <is>
          <t>E277</t>
        </is>
      </c>
      <c r="K244" t="n">
        <v>70</v>
      </c>
      <c r="L244">
        <f>IF(ABS('01_Вводные'!E277-K244)&lt;0.00000001,0,1)</f>
        <v/>
      </c>
    </row>
    <row r="245">
      <c r="J245" t="inlineStr">
        <is>
          <t>E278</t>
        </is>
      </c>
      <c r="K245" t="n">
        <v>70</v>
      </c>
      <c r="L245">
        <f>IF(ABS('01_Вводные'!E278-K245)&lt;0.00000001,0,1)</f>
        <v/>
      </c>
    </row>
    <row r="246">
      <c r="J246" t="inlineStr">
        <is>
          <t>E279</t>
        </is>
      </c>
      <c r="K246" t="n">
        <v>12.5</v>
      </c>
      <c r="L246">
        <f>IF(ABS('01_Вводные'!E279-K246)&lt;0.00000001,0,1)</f>
        <v/>
      </c>
    </row>
    <row r="247">
      <c r="J247" t="inlineStr">
        <is>
          <t>E280</t>
        </is>
      </c>
      <c r="K247" t="n">
        <v>52.5</v>
      </c>
      <c r="L247">
        <f>IF(ABS('01_Вводные'!E280-K247)&lt;0.00000001,0,1)</f>
        <v/>
      </c>
    </row>
    <row r="248">
      <c r="J248" t="inlineStr">
        <is>
          <t>E281</t>
        </is>
      </c>
      <c r="K248" t="n">
        <v>62.5</v>
      </c>
      <c r="L248">
        <f>IF(ABS('01_Вводные'!E281-K248)&lt;0.00000001,0,1)</f>
        <v/>
      </c>
    </row>
    <row r="249">
      <c r="J249" t="inlineStr">
        <is>
          <t>E282</t>
        </is>
      </c>
      <c r="K249" t="n">
        <v>62.5</v>
      </c>
      <c r="L249">
        <f>IF(ABS('01_Вводные'!E282-K249)&lt;0.00000001,0,1)</f>
        <v/>
      </c>
    </row>
    <row r="250">
      <c r="J250" t="inlineStr">
        <is>
          <t>E36</t>
        </is>
      </c>
      <c r="K250" t="n">
        <v>0.03658536585365853</v>
      </c>
      <c r="L250">
        <f>IF(ABS('01_Вводные'!E36-K250)&lt;0.00000001,0,1)</f>
        <v/>
      </c>
    </row>
    <row r="251">
      <c r="J251" t="inlineStr">
        <is>
          <t>E37</t>
        </is>
      </c>
      <c r="K251" t="n">
        <v>0.03</v>
      </c>
      <c r="L251">
        <f>IF(ABS('01_Вводные'!E37-K251)&lt;0.00000001,0,1)</f>
        <v/>
      </c>
    </row>
    <row r="252">
      <c r="J252" t="inlineStr">
        <is>
          <t>E38</t>
        </is>
      </c>
      <c r="K252" t="n">
        <v>0.03</v>
      </c>
      <c r="L252">
        <f>IF(ABS('01_Вводные'!E38-K252)&lt;0.00000001,0,1)</f>
        <v/>
      </c>
    </row>
    <row r="253">
      <c r="J253" t="inlineStr">
        <is>
          <t>E39</t>
        </is>
      </c>
      <c r="K253" t="n">
        <v>0.03</v>
      </c>
      <c r="L253">
        <f>IF(ABS('01_Вводные'!E39-K253)&lt;0.00000001,0,1)</f>
        <v/>
      </c>
    </row>
    <row r="254">
      <c r="J254" t="inlineStr">
        <is>
          <t>E40</t>
        </is>
      </c>
      <c r="K254" t="n">
        <v>0.03</v>
      </c>
      <c r="L254">
        <f>IF(ABS('01_Вводные'!E40-K254)&lt;0.00000001,0,1)</f>
        <v/>
      </c>
    </row>
    <row r="255">
      <c r="J255" t="inlineStr">
        <is>
          <t>E44</t>
        </is>
      </c>
      <c r="K255" t="n">
        <v>0.926470588235294</v>
      </c>
      <c r="L255">
        <f>IF(ABS('01_Вводные'!E44-K255)&lt;0.00000001,0,1)</f>
        <v/>
      </c>
    </row>
    <row r="256">
      <c r="J256" t="inlineStr">
        <is>
          <t>E94</t>
        </is>
      </c>
      <c r="K256" t="n">
        <v>0</v>
      </c>
      <c r="L256">
        <f>IF(ABS('01_Вводные'!E94-K256)&lt;0.00000001,0,1)</f>
        <v/>
      </c>
    </row>
    <row r="257">
      <c r="J257" t="inlineStr">
        <is>
          <t>F263</t>
        </is>
      </c>
      <c r="K257" t="n">
        <v>37.5</v>
      </c>
      <c r="L257">
        <f>IF(ABS('01_Вводные'!F263-K257)&lt;0.00000001,0,1)</f>
        <v/>
      </c>
    </row>
    <row r="258">
      <c r="J258" t="inlineStr">
        <is>
          <t>F264</t>
        </is>
      </c>
      <c r="K258" t="n">
        <v>112.5</v>
      </c>
      <c r="L258">
        <f>IF(ABS('01_Вводные'!F264-K258)&lt;0.00000001,0,1)</f>
        <v/>
      </c>
    </row>
    <row r="259">
      <c r="J259" t="inlineStr">
        <is>
          <t>F265</t>
        </is>
      </c>
      <c r="K259" t="n">
        <v>187.5</v>
      </c>
      <c r="L259">
        <f>IF(ABS('01_Вводные'!F265-K259)&lt;0.00000001,0,1)</f>
        <v/>
      </c>
    </row>
    <row r="260">
      <c r="J260" t="inlineStr">
        <is>
          <t>F266</t>
        </is>
      </c>
      <c r="K260" t="n">
        <v>250</v>
      </c>
      <c r="L260">
        <f>IF(ABS('01_Вводные'!F266-K260)&lt;0.00000001,0,1)</f>
        <v/>
      </c>
    </row>
    <row r="261">
      <c r="J261" t="inlineStr">
        <is>
          <t>F267</t>
        </is>
      </c>
      <c r="K261" t="n">
        <v>31.25</v>
      </c>
      <c r="L261">
        <f>IF(ABS('01_Вводные'!F267-K261)&lt;0.00000001,0,1)</f>
        <v/>
      </c>
    </row>
    <row r="262">
      <c r="J262" t="inlineStr">
        <is>
          <t>F268</t>
        </is>
      </c>
      <c r="K262" t="n">
        <v>112.5</v>
      </c>
      <c r="L262">
        <f>IF(ABS('01_Вводные'!F268-K262)&lt;0.00000001,0,1)</f>
        <v/>
      </c>
    </row>
    <row r="263">
      <c r="J263" t="inlineStr">
        <is>
          <t>F269</t>
        </is>
      </c>
      <c r="K263" t="n">
        <v>187.5</v>
      </c>
      <c r="L263">
        <f>IF(ABS('01_Вводные'!F269-K263)&lt;0.00000001,0,1)</f>
        <v/>
      </c>
    </row>
    <row r="264">
      <c r="J264" t="inlineStr">
        <is>
          <t>F270</t>
        </is>
      </c>
      <c r="K264" t="n">
        <v>250</v>
      </c>
      <c r="L264">
        <f>IF(ABS('01_Вводные'!F270-K264)&lt;0.00000001,0,1)</f>
        <v/>
      </c>
    </row>
    <row r="265">
      <c r="J265" t="inlineStr">
        <is>
          <t>F271</t>
        </is>
      </c>
      <c r="K265" t="n">
        <v>25</v>
      </c>
      <c r="L265">
        <f>IF(ABS('01_Вводные'!F271-K265)&lt;0.00000001,0,1)</f>
        <v/>
      </c>
    </row>
    <row r="266">
      <c r="J266" t="inlineStr">
        <is>
          <t>F272</t>
        </is>
      </c>
      <c r="K266" t="n">
        <v>112.5</v>
      </c>
      <c r="L266">
        <f>IF(ABS('01_Вводные'!F272-K266)&lt;0.00000001,0,1)</f>
        <v/>
      </c>
    </row>
    <row r="267">
      <c r="J267" t="inlineStr">
        <is>
          <t>F273</t>
        </is>
      </c>
      <c r="K267" t="n">
        <v>187.5</v>
      </c>
      <c r="L267">
        <f>IF(ABS('01_Вводные'!F273-K267)&lt;0.00000001,0,1)</f>
        <v/>
      </c>
    </row>
    <row r="268">
      <c r="J268" t="inlineStr">
        <is>
          <t>F274</t>
        </is>
      </c>
      <c r="K268" t="n">
        <v>250</v>
      </c>
      <c r="L268">
        <f>IF(ABS('01_Вводные'!F274-K268)&lt;0.00000001,0,1)</f>
        <v/>
      </c>
    </row>
    <row r="269">
      <c r="J269" t="inlineStr">
        <is>
          <t>F275</t>
        </is>
      </c>
      <c r="K269" t="n">
        <v>25</v>
      </c>
      <c r="L269">
        <f>IF(ABS('01_Вводные'!F275-K269)&lt;0.00000001,0,1)</f>
        <v/>
      </c>
    </row>
    <row r="270">
      <c r="J270" t="inlineStr">
        <is>
          <t>F276</t>
        </is>
      </c>
      <c r="K270" t="n">
        <v>90</v>
      </c>
      <c r="L270">
        <f>IF(ABS('01_Вводные'!F276-K270)&lt;0.00000001,0,1)</f>
        <v/>
      </c>
    </row>
    <row r="271">
      <c r="J271" t="inlineStr">
        <is>
          <t>F277</t>
        </is>
      </c>
      <c r="K271" t="n">
        <v>150</v>
      </c>
      <c r="L271">
        <f>IF(ABS('01_Вводные'!F277-K271)&lt;0.00000001,0,1)</f>
        <v/>
      </c>
    </row>
    <row r="272">
      <c r="J272" t="inlineStr">
        <is>
          <t>F278</t>
        </is>
      </c>
      <c r="K272" t="n">
        <v>200</v>
      </c>
      <c r="L272">
        <f>IF(ABS('01_Вводные'!F278-K272)&lt;0.00000001,0,1)</f>
        <v/>
      </c>
    </row>
    <row r="273">
      <c r="J273" t="inlineStr">
        <is>
          <t>F279</t>
        </is>
      </c>
      <c r="K273" t="n">
        <v>18.75</v>
      </c>
      <c r="L273">
        <f>IF(ABS('01_Вводные'!F279-K273)&lt;0.00000001,0,1)</f>
        <v/>
      </c>
    </row>
    <row r="274">
      <c r="J274" t="inlineStr">
        <is>
          <t>F280</t>
        </is>
      </c>
      <c r="K274" t="n">
        <v>78.75</v>
      </c>
      <c r="L274">
        <f>IF(ABS('01_Вводные'!F280-K274)&lt;0.00000001,0,1)</f>
        <v/>
      </c>
    </row>
    <row r="275">
      <c r="J275" t="inlineStr">
        <is>
          <t>F281</t>
        </is>
      </c>
      <c r="K275" t="n">
        <v>125</v>
      </c>
      <c r="L275">
        <f>IF(ABS('01_Вводные'!F281-K275)&lt;0.00000001,0,1)</f>
        <v/>
      </c>
    </row>
    <row r="276">
      <c r="J276" t="inlineStr">
        <is>
          <t>F282</t>
        </is>
      </c>
      <c r="K276" t="n">
        <v>175</v>
      </c>
      <c r="L276">
        <f>IF(ABS('01_Вводные'!F282-K276)&lt;0.00000001,0,1)</f>
        <v/>
      </c>
    </row>
    <row r="277">
      <c r="J277" t="inlineStr">
        <is>
          <t>F36</t>
        </is>
      </c>
      <c r="K277" t="n">
        <v>0.02439024390243902</v>
      </c>
      <c r="L277">
        <f>IF(ABS('01_Вводные'!F36-K277)&lt;0.00000001,0,1)</f>
        <v/>
      </c>
    </row>
    <row r="278">
      <c r="J278" t="inlineStr">
        <is>
          <t>F37</t>
        </is>
      </c>
      <c r="K278" t="n">
        <v>0.02</v>
      </c>
      <c r="L278">
        <f>IF(ABS('01_Вводные'!F37-K278)&lt;0.00000001,0,1)</f>
        <v/>
      </c>
    </row>
    <row r="279">
      <c r="J279" t="inlineStr">
        <is>
          <t>F38</t>
        </is>
      </c>
      <c r="K279" t="n">
        <v>0.02</v>
      </c>
      <c r="L279">
        <f>IF(ABS('01_Вводные'!F38-K279)&lt;0.00000001,0,1)</f>
        <v/>
      </c>
    </row>
    <row r="280">
      <c r="J280" t="inlineStr">
        <is>
          <t>F39</t>
        </is>
      </c>
      <c r="K280" t="n">
        <v>0.02</v>
      </c>
      <c r="L280">
        <f>IF(ABS('01_Вводные'!F39-K280)&lt;0.00000001,0,1)</f>
        <v/>
      </c>
    </row>
    <row r="281">
      <c r="J281" t="inlineStr">
        <is>
          <t>F40</t>
        </is>
      </c>
      <c r="K281" t="n">
        <v>0.02</v>
      </c>
      <c r="L281">
        <f>IF(ABS('01_Вводные'!F40-K281)&lt;0.00000001,0,1)</f>
        <v/>
      </c>
    </row>
    <row r="282">
      <c r="J282" t="inlineStr">
        <is>
          <t>F44</t>
        </is>
      </c>
      <c r="K282" t="n">
        <v>0.8235294117647058</v>
      </c>
      <c r="L282">
        <f>IF(ABS('01_Вводные'!F44-K282)&lt;0.00000001,0,1)</f>
        <v/>
      </c>
    </row>
    <row r="283">
      <c r="J283" t="inlineStr">
        <is>
          <t>F94</t>
        </is>
      </c>
      <c r="K283" t="n">
        <v>0</v>
      </c>
      <c r="L283">
        <f>IF(ABS('01_Вводные'!F94-K283)&lt;0.00000001,0,1)</f>
        <v/>
      </c>
    </row>
    <row r="284">
      <c r="J284" t="inlineStr">
        <is>
          <t>G263</t>
        </is>
      </c>
      <c r="K284" t="n">
        <v>37.5</v>
      </c>
      <c r="L284">
        <f>IF(ABS('01_Вводные'!G263-K284)&lt;0.00000001,0,1)</f>
        <v/>
      </c>
    </row>
    <row r="285">
      <c r="J285" t="inlineStr">
        <is>
          <t>G264</t>
        </is>
      </c>
      <c r="K285" t="n">
        <v>112.5</v>
      </c>
      <c r="L285">
        <f>IF(ABS('01_Вводные'!G264-K285)&lt;0.00000001,0,1)</f>
        <v/>
      </c>
    </row>
    <row r="286">
      <c r="J286" t="inlineStr">
        <is>
          <t>G265</t>
        </is>
      </c>
      <c r="K286" t="n">
        <v>187.5</v>
      </c>
      <c r="L286">
        <f>IF(ABS('01_Вводные'!G265-K286)&lt;0.00000001,0,1)</f>
        <v/>
      </c>
    </row>
    <row r="287">
      <c r="J287" t="inlineStr">
        <is>
          <t>G266</t>
        </is>
      </c>
      <c r="K287" t="n">
        <v>250</v>
      </c>
      <c r="L287">
        <f>IF(ABS('01_Вводные'!G266-K287)&lt;0.00000001,0,1)</f>
        <v/>
      </c>
    </row>
    <row r="288">
      <c r="J288" t="inlineStr">
        <is>
          <t>G267</t>
        </is>
      </c>
      <c r="K288" t="n">
        <v>31.25</v>
      </c>
      <c r="L288">
        <f>IF(ABS('01_Вводные'!G267-K288)&lt;0.00000001,0,1)</f>
        <v/>
      </c>
    </row>
    <row r="289">
      <c r="J289" t="inlineStr">
        <is>
          <t>G268</t>
        </is>
      </c>
      <c r="K289" t="n">
        <v>112.5</v>
      </c>
      <c r="L289">
        <f>IF(ABS('01_Вводные'!G268-K289)&lt;0.00000001,0,1)</f>
        <v/>
      </c>
    </row>
    <row r="290">
      <c r="J290" t="inlineStr">
        <is>
          <t>G269</t>
        </is>
      </c>
      <c r="K290" t="n">
        <v>187.5</v>
      </c>
      <c r="L290">
        <f>IF(ABS('01_Вводные'!G269-K290)&lt;0.00000001,0,1)</f>
        <v/>
      </c>
    </row>
    <row r="291">
      <c r="J291" t="inlineStr">
        <is>
          <t>G270</t>
        </is>
      </c>
      <c r="K291" t="n">
        <v>250</v>
      </c>
      <c r="L291">
        <f>IF(ABS('01_Вводные'!G270-K291)&lt;0.00000001,0,1)</f>
        <v/>
      </c>
    </row>
    <row r="292">
      <c r="J292" t="inlineStr">
        <is>
          <t>G271</t>
        </is>
      </c>
      <c r="K292" t="n">
        <v>25</v>
      </c>
      <c r="L292">
        <f>IF(ABS('01_Вводные'!G271-K292)&lt;0.00000001,0,1)</f>
        <v/>
      </c>
    </row>
    <row r="293">
      <c r="J293" t="inlineStr">
        <is>
          <t>G272</t>
        </is>
      </c>
      <c r="K293" t="n">
        <v>112.5</v>
      </c>
      <c r="L293">
        <f>IF(ABS('01_Вводные'!G272-K293)&lt;0.00000001,0,1)</f>
        <v/>
      </c>
    </row>
    <row r="294">
      <c r="J294" t="inlineStr">
        <is>
          <t>G273</t>
        </is>
      </c>
      <c r="K294" t="n">
        <v>187.5</v>
      </c>
      <c r="L294">
        <f>IF(ABS('01_Вводные'!G273-K294)&lt;0.00000001,0,1)</f>
        <v/>
      </c>
    </row>
    <row r="295">
      <c r="J295" t="inlineStr">
        <is>
          <t>G274</t>
        </is>
      </c>
      <c r="K295" t="n">
        <v>250</v>
      </c>
      <c r="L295">
        <f>IF(ABS('01_Вводные'!G274-K295)&lt;0.00000001,0,1)</f>
        <v/>
      </c>
    </row>
    <row r="296">
      <c r="J296" t="inlineStr">
        <is>
          <t>G275</t>
        </is>
      </c>
      <c r="K296" t="n">
        <v>25</v>
      </c>
      <c r="L296">
        <f>IF(ABS('01_Вводные'!G275-K296)&lt;0.00000001,0,1)</f>
        <v/>
      </c>
    </row>
    <row r="297">
      <c r="J297" t="inlineStr">
        <is>
          <t>G276</t>
        </is>
      </c>
      <c r="K297" t="n">
        <v>90</v>
      </c>
      <c r="L297">
        <f>IF(ABS('01_Вводные'!G276-K297)&lt;0.00000001,0,1)</f>
        <v/>
      </c>
    </row>
    <row r="298">
      <c r="J298" t="inlineStr">
        <is>
          <t>G277</t>
        </is>
      </c>
      <c r="K298" t="n">
        <v>150</v>
      </c>
      <c r="L298">
        <f>IF(ABS('01_Вводные'!G277-K298)&lt;0.00000001,0,1)</f>
        <v/>
      </c>
    </row>
    <row r="299">
      <c r="J299" t="inlineStr">
        <is>
          <t>G278</t>
        </is>
      </c>
      <c r="K299" t="n">
        <v>200</v>
      </c>
      <c r="L299">
        <f>IF(ABS('01_Вводные'!G278-K299)&lt;0.00000001,0,1)</f>
        <v/>
      </c>
    </row>
    <row r="300">
      <c r="J300" t="inlineStr">
        <is>
          <t>G279</t>
        </is>
      </c>
      <c r="K300" t="n">
        <v>18.75</v>
      </c>
      <c r="L300">
        <f>IF(ABS('01_Вводные'!G279-K300)&lt;0.00000001,0,1)</f>
        <v/>
      </c>
    </row>
    <row r="301">
      <c r="J301" t="inlineStr">
        <is>
          <t>G280</t>
        </is>
      </c>
      <c r="K301" t="n">
        <v>78.75</v>
      </c>
      <c r="L301">
        <f>IF(ABS('01_Вводные'!G280-K301)&lt;0.00000001,0,1)</f>
        <v/>
      </c>
    </row>
    <row r="302">
      <c r="J302" t="inlineStr">
        <is>
          <t>G281</t>
        </is>
      </c>
      <c r="K302" t="n">
        <v>125</v>
      </c>
      <c r="L302">
        <f>IF(ABS('01_Вводные'!G281-K302)&lt;0.00000001,0,1)</f>
        <v/>
      </c>
    </row>
    <row r="303">
      <c r="J303" t="inlineStr">
        <is>
          <t>G282</t>
        </is>
      </c>
      <c r="K303" t="n">
        <v>175</v>
      </c>
      <c r="L303">
        <f>IF(ABS('01_Вводные'!G282-K303)&lt;0.00000001,0,1)</f>
        <v/>
      </c>
    </row>
    <row r="304">
      <c r="J304" t="inlineStr">
        <is>
          <t>G36</t>
        </is>
      </c>
      <c r="K304" t="n">
        <v>0.09756097560975609</v>
      </c>
      <c r="L304">
        <f>IF(ABS('01_Вводные'!G36-K304)&lt;0.00000001,0,1)</f>
        <v/>
      </c>
    </row>
    <row r="305">
      <c r="J305" t="inlineStr">
        <is>
          <t>G37</t>
        </is>
      </c>
      <c r="K305" t="n">
        <v>0.08</v>
      </c>
      <c r="L305">
        <f>IF(ABS('01_Вводные'!G37-K305)&lt;0.00000001,0,1)</f>
        <v/>
      </c>
    </row>
    <row r="306">
      <c r="J306" t="inlineStr">
        <is>
          <t>G38</t>
        </is>
      </c>
      <c r="K306" t="n">
        <v>0.08</v>
      </c>
      <c r="L306">
        <f>IF(ABS('01_Вводные'!G38-K306)&lt;0.00000001,0,1)</f>
        <v/>
      </c>
    </row>
    <row r="307">
      <c r="J307" t="inlineStr">
        <is>
          <t>G39</t>
        </is>
      </c>
      <c r="K307" t="n">
        <v>0.08</v>
      </c>
      <c r="L307">
        <f>IF(ABS('01_Вводные'!G39-K307)&lt;0.00000001,0,1)</f>
        <v/>
      </c>
    </row>
    <row r="308">
      <c r="J308" t="inlineStr">
        <is>
          <t>G40</t>
        </is>
      </c>
      <c r="K308" t="n">
        <v>0.08</v>
      </c>
      <c r="L308">
        <f>IF(ABS('01_Вводные'!G40-K308)&lt;0.00000001,0,1)</f>
        <v/>
      </c>
    </row>
    <row r="309">
      <c r="J309" t="inlineStr">
        <is>
          <t>G44</t>
        </is>
      </c>
      <c r="K309" t="n">
        <v>0.3161764705882353</v>
      </c>
      <c r="L309">
        <f>IF(ABS('01_Вводные'!G44-K309)&lt;0.00000001,0,1)</f>
        <v/>
      </c>
    </row>
    <row r="310">
      <c r="J310" t="inlineStr">
        <is>
          <t>G94</t>
        </is>
      </c>
      <c r="K310" t="n">
        <v>0</v>
      </c>
      <c r="L310">
        <f>IF(ABS('01_Вводные'!G94-K310)&lt;0.00000001,0,1)</f>
        <v/>
      </c>
    </row>
    <row r="311">
      <c r="J311" t="inlineStr">
        <is>
          <t>H263</t>
        </is>
      </c>
      <c r="K311" t="n">
        <v>6000</v>
      </c>
      <c r="L311">
        <f>IF(ABS('01_Вводные'!H263-K311)&lt;0.00000001,0,1)</f>
        <v/>
      </c>
    </row>
    <row r="312">
      <c r="J312" t="inlineStr">
        <is>
          <t>H264</t>
        </is>
      </c>
      <c r="K312" t="n">
        <v>10500</v>
      </c>
      <c r="L312">
        <f>IF(ABS('01_Вводные'!H264-K312)&lt;0.00000001,0,1)</f>
        <v/>
      </c>
    </row>
    <row r="313">
      <c r="J313" t="inlineStr">
        <is>
          <t>H265</t>
        </is>
      </c>
      <c r="K313" t="n">
        <v>11500</v>
      </c>
      <c r="L313">
        <f>IF(ABS('01_Вводные'!H265-K313)&lt;0.00000001,0,1)</f>
        <v/>
      </c>
    </row>
    <row r="314">
      <c r="J314" t="inlineStr">
        <is>
          <t>H266</t>
        </is>
      </c>
      <c r="K314" t="n">
        <v>14000</v>
      </c>
      <c r="L314">
        <f>IF(ABS('01_Вводные'!H266-K314)&lt;0.00000001,0,1)</f>
        <v/>
      </c>
    </row>
    <row r="315">
      <c r="J315" t="inlineStr">
        <is>
          <t>H267</t>
        </is>
      </c>
      <c r="K315" t="n">
        <v>4200</v>
      </c>
      <c r="L315">
        <f>IF(ABS('01_Вводные'!H267-K315)&lt;0.00000001,0,1)</f>
        <v/>
      </c>
    </row>
    <row r="316">
      <c r="J316" t="inlineStr">
        <is>
          <t>H268</t>
        </is>
      </c>
      <c r="K316" t="n">
        <v>6750</v>
      </c>
      <c r="L316">
        <f>IF(ABS('01_Вводные'!H268-K316)&lt;0.00000001,0,1)</f>
        <v/>
      </c>
    </row>
    <row r="317">
      <c r="J317" t="inlineStr">
        <is>
          <t>H269</t>
        </is>
      </c>
      <c r="K317" t="n">
        <v>7250</v>
      </c>
      <c r="L317">
        <f>IF(ABS('01_Вводные'!H269-K317)&lt;0.00000001,0,1)</f>
        <v/>
      </c>
    </row>
    <row r="318">
      <c r="J318" t="inlineStr">
        <is>
          <t>H270</t>
        </is>
      </c>
      <c r="K318" t="n">
        <v>7250</v>
      </c>
      <c r="L318">
        <f>IF(ABS('01_Вводные'!H270-K318)&lt;0.00000001,0,1)</f>
        <v/>
      </c>
    </row>
    <row r="319">
      <c r="J319" t="inlineStr">
        <is>
          <t>H271</t>
        </is>
      </c>
      <c r="K319" t="n">
        <v>3800</v>
      </c>
      <c r="L319">
        <f>IF(ABS('01_Вводные'!H271-K319)&lt;0.00000001,0,1)</f>
        <v/>
      </c>
    </row>
    <row r="320">
      <c r="J320" t="inlineStr">
        <is>
          <t>H272</t>
        </is>
      </c>
      <c r="K320" t="n">
        <v>4900</v>
      </c>
      <c r="L320">
        <f>IF(ABS('01_Вводные'!H272-K320)&lt;0.00000001,0,1)</f>
        <v/>
      </c>
    </row>
    <row r="321">
      <c r="J321" t="inlineStr">
        <is>
          <t>H273</t>
        </is>
      </c>
      <c r="K321" t="n">
        <v>5750</v>
      </c>
      <c r="L321">
        <f>IF(ABS('01_Вводные'!H273-K321)&lt;0.00000001,0,1)</f>
        <v/>
      </c>
    </row>
    <row r="322">
      <c r="J322" t="inlineStr">
        <is>
          <t>H274</t>
        </is>
      </c>
      <c r="K322" t="n">
        <v>5750</v>
      </c>
      <c r="L322">
        <f>IF(ABS('01_Вводные'!H274-K322)&lt;0.00000001,0,1)</f>
        <v/>
      </c>
    </row>
    <row r="323">
      <c r="J323" t="inlineStr">
        <is>
          <t>H275</t>
        </is>
      </c>
      <c r="K323" t="n">
        <v>3300</v>
      </c>
      <c r="L323">
        <f>IF(ABS('01_Вводные'!H275-K323)&lt;0.00000001,0,1)</f>
        <v/>
      </c>
    </row>
    <row r="324">
      <c r="J324" t="inlineStr">
        <is>
          <t>H276</t>
        </is>
      </c>
      <c r="K324" t="n">
        <v>4650</v>
      </c>
      <c r="L324">
        <f>IF(ABS('01_Вводные'!H276-K324)&lt;0.00000001,0,1)</f>
        <v/>
      </c>
    </row>
    <row r="325">
      <c r="J325" t="inlineStr">
        <is>
          <t>H277</t>
        </is>
      </c>
      <c r="K325" t="n">
        <v>5750</v>
      </c>
      <c r="L325">
        <f>IF(ABS('01_Вводные'!H277-K325)&lt;0.00000001,0,1)</f>
        <v/>
      </c>
    </row>
    <row r="326">
      <c r="J326" t="inlineStr">
        <is>
          <t>H278</t>
        </is>
      </c>
      <c r="K326" t="n">
        <v>5750</v>
      </c>
      <c r="L326">
        <f>IF(ABS('01_Вводные'!H278-K326)&lt;0.00000001,0,1)</f>
        <v/>
      </c>
    </row>
    <row r="327">
      <c r="J327" t="inlineStr">
        <is>
          <t>H279</t>
        </is>
      </c>
      <c r="K327" t="n">
        <v>3000</v>
      </c>
      <c r="L327">
        <f>IF(ABS('01_Вводные'!H279-K327)&lt;0.00000001,0,1)</f>
        <v/>
      </c>
    </row>
    <row r="328">
      <c r="J328" t="inlineStr">
        <is>
          <t>H280</t>
        </is>
      </c>
      <c r="K328" t="n">
        <v>4000</v>
      </c>
      <c r="L328">
        <f>IF(ABS('01_Вводные'!H280-K328)&lt;0.00000001,0,1)</f>
        <v/>
      </c>
    </row>
    <row r="329">
      <c r="J329" t="inlineStr">
        <is>
          <t>H281</t>
        </is>
      </c>
      <c r="K329" t="n">
        <v>4500</v>
      </c>
      <c r="L329">
        <f>IF(ABS('01_Вводные'!H281-K329)&lt;0.00000001,0,1)</f>
        <v/>
      </c>
    </row>
    <row r="330">
      <c r="J330" t="inlineStr">
        <is>
          <t>H282</t>
        </is>
      </c>
      <c r="K330" t="n">
        <v>4500</v>
      </c>
      <c r="L330">
        <f>IF(ABS('01_Вводные'!H282-K330)&lt;0.00000001,0,1)</f>
        <v/>
      </c>
    </row>
    <row r="331">
      <c r="J331" t="inlineStr">
        <is>
          <t>H36</t>
        </is>
      </c>
      <c r="K331" t="n">
        <v>0.1585365853658537</v>
      </c>
      <c r="L331">
        <f>IF(ABS('01_Вводные'!H36-K331)&lt;0.00000001,0,1)</f>
        <v/>
      </c>
    </row>
    <row r="332">
      <c r="J332" t="inlineStr">
        <is>
          <t>H37</t>
        </is>
      </c>
      <c r="K332" t="n">
        <v>0.13</v>
      </c>
      <c r="L332">
        <f>IF(ABS('01_Вводные'!H37-K332)&lt;0.00000001,0,1)</f>
        <v/>
      </c>
    </row>
    <row r="333">
      <c r="J333" t="inlineStr">
        <is>
          <t>H38</t>
        </is>
      </c>
      <c r="K333" t="n">
        <v>0.13</v>
      </c>
      <c r="L333">
        <f>IF(ABS('01_Вводные'!H38-K333)&lt;0.00000001,0,1)</f>
        <v/>
      </c>
    </row>
    <row r="334">
      <c r="J334" t="inlineStr">
        <is>
          <t>H39</t>
        </is>
      </c>
      <c r="K334" t="n">
        <v>0.13</v>
      </c>
      <c r="L334">
        <f>IF(ABS('01_Вводные'!H39-K334)&lt;0.00000001,0,1)</f>
        <v/>
      </c>
    </row>
    <row r="335">
      <c r="J335" t="inlineStr">
        <is>
          <t>H40</t>
        </is>
      </c>
      <c r="K335" t="n">
        <v>0.13</v>
      </c>
      <c r="L335">
        <f>IF(ABS('01_Вводные'!H40-K335)&lt;0.00000001,0,1)</f>
        <v/>
      </c>
    </row>
    <row r="336">
      <c r="J336" t="inlineStr">
        <is>
          <t>H44</t>
        </is>
      </c>
      <c r="K336" t="n">
        <v>0.1397058823529412</v>
      </c>
      <c r="L336">
        <f>IF(ABS('01_Вводные'!H44-K336)&lt;0.00000001,0,1)</f>
        <v/>
      </c>
    </row>
    <row r="337">
      <c r="J337" t="inlineStr">
        <is>
          <t>H94</t>
        </is>
      </c>
      <c r="K337" t="n">
        <v>0</v>
      </c>
      <c r="L337">
        <f>IF(ABS('01_Вводные'!H94-K337)&lt;0.00000001,0,1)</f>
        <v/>
      </c>
    </row>
    <row r="338">
      <c r="J338" t="inlineStr">
        <is>
          <t>I263</t>
        </is>
      </c>
      <c r="K338" t="n">
        <v>20000</v>
      </c>
      <c r="L338">
        <f>IF(ABS('01_Вводные'!I263-K338)&lt;0.00000001,0,1)</f>
        <v/>
      </c>
    </row>
    <row r="339">
      <c r="J339" t="inlineStr">
        <is>
          <t>I264</t>
        </is>
      </c>
      <c r="K339" t="n">
        <v>20000</v>
      </c>
      <c r="L339">
        <f>IF(ABS('01_Вводные'!I264-K339)&lt;0.00000001,0,1)</f>
        <v/>
      </c>
    </row>
    <row r="340">
      <c r="J340" t="inlineStr">
        <is>
          <t>I265</t>
        </is>
      </c>
      <c r="K340" t="n">
        <v>20000</v>
      </c>
      <c r="L340">
        <f>IF(ABS('01_Вводные'!I265-K340)&lt;0.00000001,0,1)</f>
        <v/>
      </c>
    </row>
    <row r="341">
      <c r="J341" t="inlineStr">
        <is>
          <t>I266</t>
        </is>
      </c>
      <c r="K341" t="n">
        <v>20000</v>
      </c>
      <c r="L341">
        <f>IF(ABS('01_Вводные'!I266-K341)&lt;0.00000001,0,1)</f>
        <v/>
      </c>
    </row>
    <row r="342">
      <c r="J342" t="inlineStr">
        <is>
          <t>I267</t>
        </is>
      </c>
      <c r="K342" t="n">
        <v>12000</v>
      </c>
      <c r="L342">
        <f>IF(ABS('01_Вводные'!I267-K342)&lt;0.00000001,0,1)</f>
        <v/>
      </c>
    </row>
    <row r="343">
      <c r="J343" t="inlineStr">
        <is>
          <t>I268</t>
        </is>
      </c>
      <c r="K343" t="n">
        <v>20000</v>
      </c>
      <c r="L343">
        <f>IF(ABS('01_Вводные'!I268-K343)&lt;0.00000001,0,1)</f>
        <v/>
      </c>
    </row>
    <row r="344">
      <c r="J344" t="inlineStr">
        <is>
          <t>I269</t>
        </is>
      </c>
      <c r="K344" t="n">
        <v>20000</v>
      </c>
      <c r="L344">
        <f>IF(ABS('01_Вводные'!I269-K344)&lt;0.00000001,0,1)</f>
        <v/>
      </c>
    </row>
    <row r="345">
      <c r="J345" t="inlineStr">
        <is>
          <t>I270</t>
        </is>
      </c>
      <c r="K345" t="n">
        <v>20000</v>
      </c>
      <c r="L345">
        <f>IF(ABS('01_Вводные'!I270-K345)&lt;0.00000001,0,1)</f>
        <v/>
      </c>
    </row>
    <row r="346">
      <c r="J346" t="inlineStr">
        <is>
          <t>I271</t>
        </is>
      </c>
      <c r="K346" t="n">
        <v>7000</v>
      </c>
      <c r="L346">
        <f>IF(ABS('01_Вводные'!I271-K346)&lt;0.00000001,0,1)</f>
        <v/>
      </c>
    </row>
    <row r="347">
      <c r="J347" t="inlineStr">
        <is>
          <t>I272</t>
        </is>
      </c>
      <c r="K347" t="n">
        <v>20000</v>
      </c>
      <c r="L347">
        <f>IF(ABS('01_Вводные'!I272-K347)&lt;0.00000001,0,1)</f>
        <v/>
      </c>
    </row>
    <row r="348">
      <c r="J348" t="inlineStr">
        <is>
          <t>I273</t>
        </is>
      </c>
      <c r="K348" t="n">
        <v>20000</v>
      </c>
      <c r="L348">
        <f>IF(ABS('01_Вводные'!I273-K348)&lt;0.00000001,0,1)</f>
        <v/>
      </c>
    </row>
    <row r="349">
      <c r="J349" t="inlineStr">
        <is>
          <t>I274</t>
        </is>
      </c>
      <c r="K349" t="n">
        <v>20000</v>
      </c>
      <c r="L349">
        <f>IF(ABS('01_Вводные'!I274-K349)&lt;0.00000001,0,1)</f>
        <v/>
      </c>
    </row>
    <row r="350">
      <c r="J350" t="inlineStr">
        <is>
          <t>I275</t>
        </is>
      </c>
      <c r="K350" t="n">
        <v>6000</v>
      </c>
      <c r="L350">
        <f>IF(ABS('01_Вводные'!I275-K350)&lt;0.00000001,0,1)</f>
        <v/>
      </c>
    </row>
    <row r="351">
      <c r="J351" t="inlineStr">
        <is>
          <t>I276</t>
        </is>
      </c>
      <c r="K351" t="n">
        <v>20000</v>
      </c>
      <c r="L351">
        <f>IF(ABS('01_Вводные'!I276-K351)&lt;0.00000001,0,1)</f>
        <v/>
      </c>
    </row>
    <row r="352">
      <c r="J352" t="inlineStr">
        <is>
          <t>I277</t>
        </is>
      </c>
      <c r="K352" t="n">
        <v>20000</v>
      </c>
      <c r="L352">
        <f>IF(ABS('01_Вводные'!I277-K352)&lt;0.00000001,0,1)</f>
        <v/>
      </c>
    </row>
    <row r="353">
      <c r="J353" t="inlineStr">
        <is>
          <t>I278</t>
        </is>
      </c>
      <c r="K353" t="n">
        <v>20000</v>
      </c>
      <c r="L353">
        <f>IF(ABS('01_Вводные'!I278-K353)&lt;0.00000001,0,1)</f>
        <v/>
      </c>
    </row>
    <row r="354">
      <c r="J354" t="inlineStr">
        <is>
          <t>I279</t>
        </is>
      </c>
      <c r="K354" t="n">
        <v>5000</v>
      </c>
      <c r="L354">
        <f>IF(ABS('01_Вводные'!I279-K354)&lt;0.00000001,0,1)</f>
        <v/>
      </c>
    </row>
    <row r="355">
      <c r="J355" t="inlineStr">
        <is>
          <t>I280</t>
        </is>
      </c>
      <c r="K355" t="n">
        <v>20000</v>
      </c>
      <c r="L355">
        <f>IF(ABS('01_Вводные'!I280-K355)&lt;0.00000001,0,1)</f>
        <v/>
      </c>
    </row>
    <row r="356">
      <c r="J356" t="inlineStr">
        <is>
          <t>I281</t>
        </is>
      </c>
      <c r="K356" t="n">
        <v>20000</v>
      </c>
      <c r="L356">
        <f>IF(ABS('01_Вводные'!I281-K356)&lt;0.00000001,0,1)</f>
        <v/>
      </c>
    </row>
    <row r="357">
      <c r="J357" t="inlineStr">
        <is>
          <t>I282</t>
        </is>
      </c>
      <c r="K357" t="n">
        <v>20000</v>
      </c>
      <c r="L357">
        <f>IF(ABS('01_Вводные'!I282-K357)&lt;0.00000001,0,1)</f>
        <v/>
      </c>
    </row>
    <row r="358">
      <c r="J358" t="inlineStr">
        <is>
          <t>I36</t>
        </is>
      </c>
      <c r="K358" t="n">
        <v>0.06097560975609756</v>
      </c>
      <c r="L358">
        <f>IF(ABS('01_Вводные'!I36-K358)&lt;0.00000001,0,1)</f>
        <v/>
      </c>
    </row>
    <row r="359">
      <c r="J359" t="inlineStr">
        <is>
          <t>I37</t>
        </is>
      </c>
      <c r="K359" t="n">
        <v>0.05</v>
      </c>
      <c r="L359">
        <f>IF(ABS('01_Вводные'!I37-K359)&lt;0.00000001,0,1)</f>
        <v/>
      </c>
    </row>
    <row r="360">
      <c r="J360" t="inlineStr">
        <is>
          <t>I38</t>
        </is>
      </c>
      <c r="K360" t="n">
        <v>0.05</v>
      </c>
      <c r="L360">
        <f>IF(ABS('01_Вводные'!I38-K360)&lt;0.00000001,0,1)</f>
        <v/>
      </c>
    </row>
    <row r="361">
      <c r="J361" t="inlineStr">
        <is>
          <t>I39</t>
        </is>
      </c>
      <c r="K361" t="n">
        <v>0.05</v>
      </c>
      <c r="L361">
        <f>IF(ABS('01_Вводные'!I39-K361)&lt;0.00000001,0,1)</f>
        <v/>
      </c>
    </row>
    <row r="362">
      <c r="J362" t="inlineStr">
        <is>
          <t>I40</t>
        </is>
      </c>
      <c r="K362" t="n">
        <v>0.05</v>
      </c>
      <c r="L362">
        <f>IF(ABS('01_Вводные'!I40-K362)&lt;0.00000001,0,1)</f>
        <v/>
      </c>
    </row>
    <row r="363">
      <c r="J363" t="inlineStr">
        <is>
          <t>I44</t>
        </is>
      </c>
      <c r="K363" t="n">
        <v>0.05882352941176471</v>
      </c>
      <c r="L363">
        <f>IF(ABS('01_Вводные'!I44-K363)&lt;0.00000001,0,1)</f>
        <v/>
      </c>
    </row>
    <row r="364">
      <c r="J364" t="inlineStr">
        <is>
          <t>I94</t>
        </is>
      </c>
      <c r="K364" t="n">
        <v>0.25</v>
      </c>
      <c r="L364">
        <f>IF(ABS('01_Вводные'!I94-K364)&lt;0.00000001,0,1)</f>
        <v/>
      </c>
    </row>
    <row r="365">
      <c r="J365" t="inlineStr">
        <is>
          <t>J263</t>
        </is>
      </c>
      <c r="K365" t="n">
        <v>35000</v>
      </c>
      <c r="L365">
        <f>IF(ABS('01_Вводные'!J263-K365)&lt;0.00000001,0,1)</f>
        <v/>
      </c>
    </row>
    <row r="366">
      <c r="J366" t="inlineStr">
        <is>
          <t>J264</t>
        </is>
      </c>
      <c r="K366" t="n">
        <v>90000</v>
      </c>
      <c r="L366">
        <f>IF(ABS('01_Вводные'!J264-K366)&lt;0.00000001,0,1)</f>
        <v/>
      </c>
    </row>
    <row r="367">
      <c r="J367" t="inlineStr">
        <is>
          <t>J265</t>
        </is>
      </c>
      <c r="K367" t="n">
        <v>55000</v>
      </c>
      <c r="L367">
        <f>IF(ABS('01_Вводные'!J265-K367)&lt;0.00000001,0,1)</f>
        <v/>
      </c>
    </row>
    <row r="368">
      <c r="J368" t="inlineStr">
        <is>
          <t>J266</t>
        </is>
      </c>
      <c r="K368" t="n">
        <v>90000</v>
      </c>
      <c r="L368">
        <f>IF(ABS('01_Вводные'!J266-K368)&lt;0.00000001,0,1)</f>
        <v/>
      </c>
    </row>
    <row r="369">
      <c r="J369" t="inlineStr">
        <is>
          <t>J267</t>
        </is>
      </c>
      <c r="K369" t="n">
        <v>20000</v>
      </c>
      <c r="L369">
        <f>IF(ABS('01_Вводные'!J267-K369)&lt;0.00000001,0,1)</f>
        <v/>
      </c>
    </row>
    <row r="370">
      <c r="J370" t="inlineStr">
        <is>
          <t>J268</t>
        </is>
      </c>
      <c r="K370" t="n">
        <v>60000</v>
      </c>
      <c r="L370">
        <f>IF(ABS('01_Вводные'!J268-K370)&lt;0.00000001,0,1)</f>
        <v/>
      </c>
    </row>
    <row r="371">
      <c r="J371" t="inlineStr">
        <is>
          <t>J269</t>
        </is>
      </c>
      <c r="K371" t="n">
        <v>35000</v>
      </c>
      <c r="L371">
        <f>IF(ABS('01_Вводные'!J269-K371)&lt;0.00000001,0,1)</f>
        <v/>
      </c>
    </row>
    <row r="372">
      <c r="J372" t="inlineStr">
        <is>
          <t>J270</t>
        </is>
      </c>
      <c r="K372" t="n">
        <v>45000</v>
      </c>
      <c r="L372">
        <f>IF(ABS('01_Вводные'!J270-K372)&lt;0.00000001,0,1)</f>
        <v/>
      </c>
    </row>
    <row r="373">
      <c r="J373" t="inlineStr">
        <is>
          <t>J271</t>
        </is>
      </c>
      <c r="K373" t="n">
        <v>14000</v>
      </c>
      <c r="L373">
        <f>IF(ABS('01_Вводные'!J271-K373)&lt;0.00000001,0,1)</f>
        <v/>
      </c>
    </row>
    <row r="374">
      <c r="J374" t="inlineStr">
        <is>
          <t>J272</t>
        </is>
      </c>
      <c r="K374" t="n">
        <v>45000</v>
      </c>
      <c r="L374">
        <f>IF(ABS('01_Вводные'!J272-K374)&lt;0.00000001,0,1)</f>
        <v/>
      </c>
    </row>
    <row r="375">
      <c r="J375" t="inlineStr">
        <is>
          <t>J273</t>
        </is>
      </c>
      <c r="K375" t="n">
        <v>30000</v>
      </c>
      <c r="L375">
        <f>IF(ABS('01_Вводные'!J273-K375)&lt;0.00000001,0,1)</f>
        <v/>
      </c>
    </row>
    <row r="376">
      <c r="J376" t="inlineStr">
        <is>
          <t>J274</t>
        </is>
      </c>
      <c r="K376" t="n">
        <v>35000</v>
      </c>
      <c r="L376">
        <f>IF(ABS('01_Вводные'!J274-K376)&lt;0.00000001,0,1)</f>
        <v/>
      </c>
    </row>
    <row r="377">
      <c r="J377" t="inlineStr">
        <is>
          <t>J275</t>
        </is>
      </c>
      <c r="K377" t="n">
        <v>12000</v>
      </c>
      <c r="L377">
        <f>IF(ABS('01_Вводные'!J275-K377)&lt;0.00000001,0,1)</f>
        <v/>
      </c>
    </row>
    <row r="378">
      <c r="J378" t="inlineStr">
        <is>
          <t>J276</t>
        </is>
      </c>
      <c r="K378" t="n">
        <v>30000</v>
      </c>
      <c r="L378">
        <f>IF(ABS('01_Вводные'!J276-K378)&lt;0.00000001,0,1)</f>
        <v/>
      </c>
    </row>
    <row r="379">
      <c r="J379" t="inlineStr">
        <is>
          <t>J277</t>
        </is>
      </c>
      <c r="K379" t="n">
        <v>25000</v>
      </c>
      <c r="L379">
        <f>IF(ABS('01_Вводные'!J277-K379)&lt;0.00000001,0,1)</f>
        <v/>
      </c>
    </row>
    <row r="380">
      <c r="J380" t="inlineStr">
        <is>
          <t>J278</t>
        </is>
      </c>
      <c r="K380" t="n">
        <v>30000</v>
      </c>
      <c r="L380">
        <f>IF(ABS('01_Вводные'!J278-K380)&lt;0.00000001,0,1)</f>
        <v/>
      </c>
    </row>
    <row r="381">
      <c r="J381" t="inlineStr">
        <is>
          <t>J279</t>
        </is>
      </c>
      <c r="K381" t="n">
        <v>8000</v>
      </c>
      <c r="L381">
        <f>IF(ABS('01_Вводные'!J279-K381)&lt;0.00000001,0,1)</f>
        <v/>
      </c>
    </row>
    <row r="382">
      <c r="J382" t="inlineStr">
        <is>
          <t>J280</t>
        </is>
      </c>
      <c r="K382" t="n">
        <v>25000</v>
      </c>
      <c r="L382">
        <f>IF(ABS('01_Вводные'!J280-K382)&lt;0.00000001,0,1)</f>
        <v/>
      </c>
    </row>
    <row r="383">
      <c r="J383" t="inlineStr">
        <is>
          <t>J281</t>
        </is>
      </c>
      <c r="K383" t="n">
        <v>25000</v>
      </c>
      <c r="L383">
        <f>IF(ABS('01_Вводные'!J281-K383)&lt;0.00000001,0,1)</f>
        <v/>
      </c>
    </row>
    <row r="384">
      <c r="J384" t="inlineStr">
        <is>
          <t>J282</t>
        </is>
      </c>
      <c r="K384" t="n">
        <v>30000</v>
      </c>
      <c r="L384">
        <f>IF(ABS('01_Вводные'!J282-K384)&lt;0.00000001,0,1)</f>
        <v/>
      </c>
    </row>
    <row r="385">
      <c r="J385" t="inlineStr">
        <is>
          <t>J36</t>
        </is>
      </c>
      <c r="K385" t="n">
        <v>0.07317073170731707</v>
      </c>
      <c r="L385">
        <f>IF(ABS('01_Вводные'!J36-K385)&lt;0.00000001,0,1)</f>
        <v/>
      </c>
    </row>
    <row r="386">
      <c r="J386" t="inlineStr">
        <is>
          <t>J37</t>
        </is>
      </c>
      <c r="K386" t="n">
        <v>0.06</v>
      </c>
      <c r="L386">
        <f>IF(ABS('01_Вводные'!J37-K386)&lt;0.00000001,0,1)</f>
        <v/>
      </c>
    </row>
    <row r="387">
      <c r="J387" t="inlineStr">
        <is>
          <t>J38</t>
        </is>
      </c>
      <c r="K387" t="n">
        <v>0.06</v>
      </c>
      <c r="L387">
        <f>IF(ABS('01_Вводные'!J38-K387)&lt;0.00000001,0,1)</f>
        <v/>
      </c>
    </row>
    <row r="388">
      <c r="J388" t="inlineStr">
        <is>
          <t>J39</t>
        </is>
      </c>
      <c r="K388" t="n">
        <v>0.06</v>
      </c>
      <c r="L388">
        <f>IF(ABS('01_Вводные'!J39-K388)&lt;0.00000001,0,1)</f>
        <v/>
      </c>
    </row>
    <row r="389">
      <c r="J389" t="inlineStr">
        <is>
          <t>J40</t>
        </is>
      </c>
      <c r="K389" t="n">
        <v>0.06</v>
      </c>
      <c r="L389">
        <f>IF(ABS('01_Вводные'!J40-K389)&lt;0.00000001,0,1)</f>
        <v/>
      </c>
    </row>
    <row r="390">
      <c r="J390" t="inlineStr">
        <is>
          <t>J44</t>
        </is>
      </c>
      <c r="K390" t="n">
        <v>0.7941176470588235</v>
      </c>
      <c r="L390">
        <f>IF(ABS('01_Вводные'!J44-K390)&lt;0.00000001,0,1)</f>
        <v/>
      </c>
    </row>
    <row r="391">
      <c r="J391" t="inlineStr">
        <is>
          <t>J94</t>
        </is>
      </c>
      <c r="K391" t="n">
        <v>0.4</v>
      </c>
      <c r="L391">
        <f>IF(ABS('01_Вводные'!J94-K391)&lt;0.00000001,0,1)</f>
        <v/>
      </c>
    </row>
    <row r="392">
      <c r="J392" t="inlineStr">
        <is>
          <t>K36</t>
        </is>
      </c>
      <c r="K392" t="n">
        <v>0.09756097560975609</v>
      </c>
      <c r="L392">
        <f>IF(ABS('01_Вводные'!K36-K392)&lt;0.00000001,0,1)</f>
        <v/>
      </c>
    </row>
    <row r="393">
      <c r="J393" t="inlineStr">
        <is>
          <t>K37</t>
        </is>
      </c>
      <c r="K393" t="n">
        <v>0.08</v>
      </c>
      <c r="L393">
        <f>IF(ABS('01_Вводные'!K37-K393)&lt;0.00000001,0,1)</f>
        <v/>
      </c>
    </row>
    <row r="394">
      <c r="J394" t="inlineStr">
        <is>
          <t>K38</t>
        </is>
      </c>
      <c r="K394" t="n">
        <v>0.08</v>
      </c>
      <c r="L394">
        <f>IF(ABS('01_Вводные'!K38-K394)&lt;0.00000001,0,1)</f>
        <v/>
      </c>
    </row>
    <row r="395">
      <c r="J395" t="inlineStr">
        <is>
          <t>K39</t>
        </is>
      </c>
      <c r="K395" t="n">
        <v>0.08</v>
      </c>
      <c r="L395">
        <f>IF(ABS('01_Вводные'!K39-K395)&lt;0.00000001,0,1)</f>
        <v/>
      </c>
    </row>
    <row r="396">
      <c r="J396" t="inlineStr">
        <is>
          <t>K40</t>
        </is>
      </c>
      <c r="K396" t="n">
        <v>0.08</v>
      </c>
      <c r="L396">
        <f>IF(ABS('01_Вводные'!K40-K396)&lt;0.00000001,0,1)</f>
        <v/>
      </c>
    </row>
    <row r="397">
      <c r="J397" t="inlineStr">
        <is>
          <t>K44</t>
        </is>
      </c>
      <c r="K397" t="n">
        <v>0.9411764705882353</v>
      </c>
      <c r="L397">
        <f>IF(ABS('01_Вводные'!K44-K397)&lt;0.00000001,0,1)</f>
        <v/>
      </c>
    </row>
    <row r="398">
      <c r="J398" t="inlineStr">
        <is>
          <t>K94</t>
        </is>
      </c>
      <c r="K398" t="n">
        <v>0.25</v>
      </c>
      <c r="L398">
        <f>IF(ABS('01_Вводные'!K94-K398)&lt;0.00000001,0,1)</f>
        <v/>
      </c>
    </row>
    <row r="399">
      <c r="J399" t="inlineStr">
        <is>
          <t>L36</t>
        </is>
      </c>
      <c r="K399" t="n">
        <v>0.06097560975609756</v>
      </c>
      <c r="L399">
        <f>IF(ABS('01_Вводные'!L36-K399)&lt;0.00000001,0,1)</f>
        <v/>
      </c>
    </row>
    <row r="400">
      <c r="J400" t="inlineStr">
        <is>
          <t>L37</t>
        </is>
      </c>
      <c r="K400" t="n">
        <v>0.05</v>
      </c>
      <c r="L400">
        <f>IF(ABS('01_Вводные'!L37-K400)&lt;0.00000001,0,1)</f>
        <v/>
      </c>
    </row>
    <row r="401">
      <c r="J401" t="inlineStr">
        <is>
          <t>L38</t>
        </is>
      </c>
      <c r="K401" t="n">
        <v>0.05</v>
      </c>
      <c r="L401">
        <f>IF(ABS('01_Вводные'!L38-K401)&lt;0.00000001,0,1)</f>
        <v/>
      </c>
    </row>
    <row r="402">
      <c r="J402" t="inlineStr">
        <is>
          <t>L39</t>
        </is>
      </c>
      <c r="K402" t="n">
        <v>0.05</v>
      </c>
      <c r="L402">
        <f>IF(ABS('01_Вводные'!L39-K402)&lt;0.00000001,0,1)</f>
        <v/>
      </c>
    </row>
    <row r="403">
      <c r="J403" t="inlineStr">
        <is>
          <t>L40</t>
        </is>
      </c>
      <c r="K403" t="n">
        <v>0.05</v>
      </c>
      <c r="L403">
        <f>IF(ABS('01_Вводные'!L40-K403)&lt;0.00000001,0,1)</f>
        <v/>
      </c>
    </row>
    <row r="404">
      <c r="J404" t="inlineStr">
        <is>
          <t>L44</t>
        </is>
      </c>
      <c r="K404" t="n">
        <v>0.9411764705882353</v>
      </c>
      <c r="L404">
        <f>IF(ABS('01_Вводные'!L44-K404)&lt;0.00000001,0,1)</f>
        <v/>
      </c>
    </row>
    <row r="405">
      <c r="J405" t="inlineStr">
        <is>
          <t>L94</t>
        </is>
      </c>
      <c r="K405" t="n">
        <v>0.1</v>
      </c>
      <c r="L405">
        <f>IF(ABS('01_Вводные'!L94-K405)&lt;0.00000001,0,1)</f>
        <v/>
      </c>
    </row>
    <row r="406">
      <c r="J406" t="inlineStr">
        <is>
          <t>M36</t>
        </is>
      </c>
      <c r="K406" t="n">
        <v>0.1097560975609756</v>
      </c>
      <c r="L406">
        <f>IF(ABS('01_Вводные'!M36-K406)&lt;0.00000001,0,1)</f>
        <v/>
      </c>
    </row>
    <row r="407">
      <c r="J407" t="inlineStr">
        <is>
          <t>M37</t>
        </is>
      </c>
      <c r="K407" t="n">
        <v>0.09</v>
      </c>
      <c r="L407">
        <f>IF(ABS('01_Вводные'!M37-K407)&lt;0.00000001,0,1)</f>
        <v/>
      </c>
    </row>
    <row r="408">
      <c r="J408" t="inlineStr">
        <is>
          <t>M38</t>
        </is>
      </c>
      <c r="K408" t="n">
        <v>0.09</v>
      </c>
      <c r="L408">
        <f>IF(ABS('01_Вводные'!M38-K408)&lt;0.00000001,0,1)</f>
        <v/>
      </c>
    </row>
    <row r="409">
      <c r="J409" t="inlineStr">
        <is>
          <t>M39</t>
        </is>
      </c>
      <c r="K409" t="n">
        <v>0.09</v>
      </c>
      <c r="L409">
        <f>IF(ABS('01_Вводные'!M39-K409)&lt;0.00000001,0,1)</f>
        <v/>
      </c>
    </row>
    <row r="410">
      <c r="J410" t="inlineStr">
        <is>
          <t>M40</t>
        </is>
      </c>
      <c r="K410" t="n">
        <v>0.09</v>
      </c>
      <c r="L410">
        <f>IF(ABS('01_Вводные'!M40-K410)&lt;0.00000001,0,1)</f>
        <v/>
      </c>
    </row>
    <row r="411">
      <c r="J411" t="inlineStr">
        <is>
          <t>M44</t>
        </is>
      </c>
      <c r="K411" t="n">
        <v>0.926470588235294</v>
      </c>
      <c r="L411">
        <f>IF(ABS('01_Вводные'!M44-K411)&lt;0.00000001,0,1)</f>
        <v/>
      </c>
    </row>
    <row r="412">
      <c r="J412" t="inlineStr">
        <is>
          <t>M94</t>
        </is>
      </c>
      <c r="K412" t="n">
        <v>0</v>
      </c>
      <c r="L412">
        <f>IF(ABS('01_Вводные'!M94-K412)&lt;0.00000001,0,1)</f>
        <v/>
      </c>
    </row>
    <row r="413">
      <c r="J413" t="inlineStr">
        <is>
          <t>N36</t>
        </is>
      </c>
      <c r="K413" t="n">
        <v>0.1707317073170732</v>
      </c>
      <c r="L413">
        <f>IF(ABS('01_Вводные'!N36-K413)&lt;0.00000001,0,1)</f>
        <v/>
      </c>
    </row>
    <row r="414">
      <c r="J414" t="inlineStr">
        <is>
          <t>N37</t>
        </is>
      </c>
      <c r="K414" t="n">
        <v>0.14</v>
      </c>
      <c r="L414">
        <f>IF(ABS('01_Вводные'!N37-K414)&lt;0.00000001,0,1)</f>
        <v/>
      </c>
    </row>
    <row r="415">
      <c r="J415" t="inlineStr">
        <is>
          <t>N38</t>
        </is>
      </c>
      <c r="K415" t="n">
        <v>0.14</v>
      </c>
      <c r="L415">
        <f>IF(ABS('01_Вводные'!N38-K415)&lt;0.00000001,0,1)</f>
        <v/>
      </c>
    </row>
    <row r="416">
      <c r="J416" t="inlineStr">
        <is>
          <t>N39</t>
        </is>
      </c>
      <c r="K416" t="n">
        <v>0.14</v>
      </c>
      <c r="L416">
        <f>IF(ABS('01_Вводные'!N39-K416)&lt;0.00000001,0,1)</f>
        <v/>
      </c>
    </row>
    <row r="417">
      <c r="J417" t="inlineStr">
        <is>
          <t>N40</t>
        </is>
      </c>
      <c r="K417" t="n">
        <v>0.14</v>
      </c>
      <c r="L417">
        <f>IF(ABS('01_Вводные'!N40-K417)&lt;0.00000001,0,1)</f>
        <v/>
      </c>
    </row>
  </sheetData>
  <mergeCells count="7">
    <mergeCell ref="A3:H3"/>
    <mergeCell ref="A30:H30"/>
    <mergeCell ref="A20:H20"/>
    <mergeCell ref="B4:H4"/>
    <mergeCell ref="A42:H42"/>
    <mergeCell ref="A33:H33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808080"/>
    <outlinePr summaryBelow="1" summaryRight="1"/>
    <pageSetUpPr/>
  </sheetPr>
  <dimension ref="A1:BO19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</cols>
  <sheetData>
    <row r="1">
      <c r="A1" s="192" t="inlineStr">
        <is>
          <t>Календарь и возрастные тарифы - только формулы</t>
        </is>
      </c>
    </row>
    <row r="2"/>
    <row r="3">
      <c r="B3" s="193">
        <f>DATE(YEAR('01_Вводные'!$B$7),MONTH('01_Вводные'!$B$7)+0,1)</f>
        <v/>
      </c>
      <c r="C3" s="193">
        <f>DATE(YEAR('01_Вводные'!$B$7),MONTH('01_Вводные'!$B$7)+1,1)</f>
        <v/>
      </c>
      <c r="D3" s="193">
        <f>DATE(YEAR('01_Вводные'!$B$7),MONTH('01_Вводные'!$B$7)+2,1)</f>
        <v/>
      </c>
      <c r="E3" s="193">
        <f>DATE(YEAR('01_Вводные'!$B$7),MONTH('01_Вводные'!$B$7)+3,1)</f>
        <v/>
      </c>
      <c r="F3" s="193">
        <f>DATE(YEAR('01_Вводные'!$B$7),MONTH('01_Вводные'!$B$7)+4,1)</f>
        <v/>
      </c>
      <c r="G3" s="193">
        <f>DATE(YEAR('01_Вводные'!$B$7),MONTH('01_Вводные'!$B$7)+5,1)</f>
        <v/>
      </c>
      <c r="H3" s="193">
        <f>DATE(YEAR('01_Вводные'!$B$7),MONTH('01_Вводные'!$B$7)+6,1)</f>
        <v/>
      </c>
      <c r="I3" s="193">
        <f>DATE(YEAR('01_Вводные'!$B$7),MONTH('01_Вводные'!$B$7)+7,1)</f>
        <v/>
      </c>
      <c r="J3" s="193">
        <f>DATE(YEAR('01_Вводные'!$B$7),MONTH('01_Вводные'!$B$7)+8,1)</f>
        <v/>
      </c>
      <c r="K3" s="193">
        <f>DATE(YEAR('01_Вводные'!$B$7),MONTH('01_Вводные'!$B$7)+9,1)</f>
        <v/>
      </c>
      <c r="L3" s="193">
        <f>DATE(YEAR('01_Вводные'!$B$7),MONTH('01_Вводные'!$B$7)+10,1)</f>
        <v/>
      </c>
      <c r="M3" s="193">
        <f>DATE(YEAR('01_Вводные'!$B$7),MONTH('01_Вводные'!$B$7)+11,1)</f>
        <v/>
      </c>
      <c r="N3" s="193">
        <f>DATE(YEAR('01_Вводные'!$B$7),MONTH('01_Вводные'!$B$7)+12,1)</f>
        <v/>
      </c>
      <c r="O3" s="193">
        <f>DATE(YEAR('01_Вводные'!$B$7),MONTH('01_Вводные'!$B$7)+13,1)</f>
        <v/>
      </c>
      <c r="P3" s="193">
        <f>DATE(YEAR('01_Вводные'!$B$7),MONTH('01_Вводные'!$B$7)+14,1)</f>
        <v/>
      </c>
      <c r="Q3" s="193">
        <f>DATE(YEAR('01_Вводные'!$B$7),MONTH('01_Вводные'!$B$7)+15,1)</f>
        <v/>
      </c>
      <c r="R3" s="193">
        <f>DATE(YEAR('01_Вводные'!$B$7),MONTH('01_Вводные'!$B$7)+16,1)</f>
        <v/>
      </c>
      <c r="S3" s="193">
        <f>DATE(YEAR('01_Вводные'!$B$7),MONTH('01_Вводные'!$B$7)+17,1)</f>
        <v/>
      </c>
      <c r="T3" s="193">
        <f>DATE(YEAR('01_Вводные'!$B$7),MONTH('01_Вводные'!$B$7)+18,1)</f>
        <v/>
      </c>
      <c r="U3" s="193">
        <f>DATE(YEAR('01_Вводные'!$B$7),MONTH('01_Вводные'!$B$7)+19,1)</f>
        <v/>
      </c>
      <c r="V3" s="193">
        <f>DATE(YEAR('01_Вводные'!$B$7),MONTH('01_Вводные'!$B$7)+20,1)</f>
        <v/>
      </c>
      <c r="W3" s="193">
        <f>DATE(YEAR('01_Вводные'!$B$7),MONTH('01_Вводные'!$B$7)+21,1)</f>
        <v/>
      </c>
      <c r="X3" s="193">
        <f>DATE(YEAR('01_Вводные'!$B$7),MONTH('01_Вводные'!$B$7)+22,1)</f>
        <v/>
      </c>
      <c r="Y3" s="193">
        <f>DATE(YEAR('01_Вводные'!$B$7),MONTH('01_Вводные'!$B$7)+23,1)</f>
        <v/>
      </c>
      <c r="Z3" s="193">
        <f>DATE(YEAR('01_Вводные'!$B$7),MONTH('01_Вводные'!$B$7)+24,1)</f>
        <v/>
      </c>
      <c r="AA3" s="193">
        <f>DATE(YEAR('01_Вводные'!$B$7),MONTH('01_Вводные'!$B$7)+25,1)</f>
        <v/>
      </c>
      <c r="AB3" s="193">
        <f>DATE(YEAR('01_Вводные'!$B$7),MONTH('01_Вводные'!$B$7)+26,1)</f>
        <v/>
      </c>
      <c r="AC3" s="193">
        <f>DATE(YEAR('01_Вводные'!$B$7),MONTH('01_Вводные'!$B$7)+27,1)</f>
        <v/>
      </c>
      <c r="AD3" s="193">
        <f>DATE(YEAR('01_Вводные'!$B$7),MONTH('01_Вводные'!$B$7)+28,1)</f>
        <v/>
      </c>
      <c r="AE3" s="193">
        <f>DATE(YEAR('01_Вводные'!$B$7),MONTH('01_Вводные'!$B$7)+29,1)</f>
        <v/>
      </c>
      <c r="AF3" s="193">
        <f>DATE(YEAR('01_Вводные'!$B$7),MONTH('01_Вводные'!$B$7)+30,1)</f>
        <v/>
      </c>
      <c r="AG3" s="193">
        <f>DATE(YEAR('01_Вводные'!$B$7),MONTH('01_Вводные'!$B$7)+31,1)</f>
        <v/>
      </c>
      <c r="AH3" s="193">
        <f>DATE(YEAR('01_Вводные'!$B$7),MONTH('01_Вводные'!$B$7)+32,1)</f>
        <v/>
      </c>
      <c r="AI3" s="193">
        <f>DATE(YEAR('01_Вводные'!$B$7),MONTH('01_Вводные'!$B$7)+33,1)</f>
        <v/>
      </c>
      <c r="AJ3" s="193">
        <f>DATE(YEAR('01_Вводные'!$B$7),MONTH('01_Вводные'!$B$7)+34,1)</f>
        <v/>
      </c>
      <c r="AK3" s="193">
        <f>DATE(YEAR('01_Вводные'!$B$7),MONTH('01_Вводные'!$B$7)+35,1)</f>
        <v/>
      </c>
      <c r="AL3" s="193">
        <f>DATE(YEAR('01_Вводные'!$B$7),MONTH('01_Вводные'!$B$7)+36,1)</f>
        <v/>
      </c>
      <c r="AM3" s="193">
        <f>DATE(YEAR('01_Вводные'!$B$7),MONTH('01_Вводные'!$B$7)+37,1)</f>
        <v/>
      </c>
      <c r="AN3" s="193">
        <f>DATE(YEAR('01_Вводные'!$B$7),MONTH('01_Вводные'!$B$7)+38,1)</f>
        <v/>
      </c>
      <c r="AO3" s="193">
        <f>DATE(YEAR('01_Вводные'!$B$7),MONTH('01_Вводные'!$B$7)+39,1)</f>
        <v/>
      </c>
      <c r="AP3" s="193">
        <f>DATE(YEAR('01_Вводные'!$B$7),MONTH('01_Вводные'!$B$7)+40,1)</f>
        <v/>
      </c>
      <c r="AQ3" s="193">
        <f>DATE(YEAR('01_Вводные'!$B$7),MONTH('01_Вводные'!$B$7)+41,1)</f>
        <v/>
      </c>
      <c r="AR3" s="193">
        <f>DATE(YEAR('01_Вводные'!$B$7),MONTH('01_Вводные'!$B$7)+42,1)</f>
        <v/>
      </c>
      <c r="AS3" s="193">
        <f>DATE(YEAR('01_Вводные'!$B$7),MONTH('01_Вводные'!$B$7)+43,1)</f>
        <v/>
      </c>
      <c r="AT3" s="193">
        <f>DATE(YEAR('01_Вводные'!$B$7),MONTH('01_Вводные'!$B$7)+44,1)</f>
        <v/>
      </c>
      <c r="AU3" s="193">
        <f>DATE(YEAR('01_Вводные'!$B$7),MONTH('01_Вводные'!$B$7)+45,1)</f>
        <v/>
      </c>
      <c r="AV3" s="193">
        <f>DATE(YEAR('01_Вводные'!$B$7),MONTH('01_Вводные'!$B$7)+46,1)</f>
        <v/>
      </c>
      <c r="AW3" s="193">
        <f>DATE(YEAR('01_Вводные'!$B$7),MONTH('01_Вводные'!$B$7)+47,1)</f>
        <v/>
      </c>
      <c r="AX3" s="193">
        <f>DATE(YEAR('01_Вводные'!$B$7),MONTH('01_Вводные'!$B$7)+48,1)</f>
        <v/>
      </c>
      <c r="AY3" s="193">
        <f>DATE(YEAR('01_Вводные'!$B$7),MONTH('01_Вводные'!$B$7)+49,1)</f>
        <v/>
      </c>
      <c r="AZ3" s="193">
        <f>DATE(YEAR('01_Вводные'!$B$7),MONTH('01_Вводные'!$B$7)+50,1)</f>
        <v/>
      </c>
      <c r="BA3" s="193">
        <f>DATE(YEAR('01_Вводные'!$B$7),MONTH('01_Вводные'!$B$7)+51,1)</f>
        <v/>
      </c>
      <c r="BB3" s="193">
        <f>DATE(YEAR('01_Вводные'!$B$7),MONTH('01_Вводные'!$B$7)+52,1)</f>
        <v/>
      </c>
      <c r="BC3" s="193">
        <f>DATE(YEAR('01_Вводные'!$B$7),MONTH('01_Вводные'!$B$7)+53,1)</f>
        <v/>
      </c>
      <c r="BD3" s="193">
        <f>DATE(YEAR('01_Вводные'!$B$7),MONTH('01_Вводные'!$B$7)+54,1)</f>
        <v/>
      </c>
      <c r="BE3" s="193">
        <f>DATE(YEAR('01_Вводные'!$B$7),MONTH('01_Вводные'!$B$7)+55,1)</f>
        <v/>
      </c>
      <c r="BF3" s="193">
        <f>DATE(YEAR('01_Вводные'!$B$7),MONTH('01_Вводные'!$B$7)+56,1)</f>
        <v/>
      </c>
      <c r="BG3" s="193">
        <f>DATE(YEAR('01_Вводные'!$B$7),MONTH('01_Вводные'!$B$7)+57,1)</f>
        <v/>
      </c>
      <c r="BH3" s="193">
        <f>DATE(YEAR('01_Вводные'!$B$7),MONTH('01_Вводные'!$B$7)+58,1)</f>
        <v/>
      </c>
      <c r="BI3" s="193">
        <f>DATE(YEAR('01_Вводные'!$B$7),MONTH('01_Вводные'!$B$7)+59,1)</f>
        <v/>
      </c>
      <c r="BJ3" s="193">
        <f>DATE(YEAR('01_Вводные'!$B$7),MONTH('01_Вводные'!$B$7)+60,1)</f>
        <v/>
      </c>
      <c r="BK3" s="193">
        <f>DATE(YEAR('01_Вводные'!$B$7),MONTH('01_Вводные'!$B$7)+61,1)</f>
        <v/>
      </c>
      <c r="BL3" s="193">
        <f>DATE(YEAR('01_Вводные'!$B$7),MONTH('01_Вводные'!$B$7)+62,1)</f>
        <v/>
      </c>
      <c r="BM3" s="193">
        <f>DATE(YEAR('01_Вводные'!$B$7),MONTH('01_Вводные'!$B$7)+63,1)</f>
        <v/>
      </c>
      <c r="BN3" s="193">
        <f>DATE(YEAR('01_Вводные'!$B$7),MONTH('01_Вводные'!$B$7)+64,1)</f>
        <v/>
      </c>
      <c r="BO3" s="193">
        <f>DATE(YEAR('01_Вводные'!$B$7),MONTH('01_Вводные'!$B$7)+65,1)</f>
        <v/>
      </c>
    </row>
    <row r="4">
      <c r="A4" s="192" t="inlineStr">
        <is>
          <t>Накопленный индекс цен / OPEX</t>
        </is>
      </c>
      <c r="B4" s="194">
        <f>1*IF(AND('01_Вводные'!$B$294="Да",B$3&gt;='01_Вводные'!$B$293,MONTH(B$3)=MONTH('01_Вводные'!$B$293)),1+B5,1)</f>
        <v/>
      </c>
      <c r="C4" s="194">
        <f>B4*IF(AND('01_Вводные'!$B$294="Да",C$3&gt;='01_Вводные'!$B$293,MONTH(C$3)=MONTH('01_Вводные'!$B$293)),1+C5,1)</f>
        <v/>
      </c>
      <c r="D4" s="194">
        <f>C4*IF(AND('01_Вводные'!$B$294="Да",D$3&gt;='01_Вводные'!$B$293,MONTH(D$3)=MONTH('01_Вводные'!$B$293)),1+D5,1)</f>
        <v/>
      </c>
      <c r="E4" s="194">
        <f>D4*IF(AND('01_Вводные'!$B$294="Да",E$3&gt;='01_Вводные'!$B$293,MONTH(E$3)=MONTH('01_Вводные'!$B$293)),1+E5,1)</f>
        <v/>
      </c>
      <c r="F4" s="194">
        <f>E4*IF(AND('01_Вводные'!$B$294="Да",F$3&gt;='01_Вводные'!$B$293,MONTH(F$3)=MONTH('01_Вводные'!$B$293)),1+F5,1)</f>
        <v/>
      </c>
      <c r="G4" s="194">
        <f>F4*IF(AND('01_Вводные'!$B$294="Да",G$3&gt;='01_Вводные'!$B$293,MONTH(G$3)=MONTH('01_Вводные'!$B$293)),1+G5,1)</f>
        <v/>
      </c>
      <c r="H4" s="194">
        <f>G4*IF(AND('01_Вводные'!$B$294="Да",H$3&gt;='01_Вводные'!$B$293,MONTH(H$3)=MONTH('01_Вводные'!$B$293)),1+H5,1)</f>
        <v/>
      </c>
      <c r="I4" s="194">
        <f>H4*IF(AND('01_Вводные'!$B$294="Да",I$3&gt;='01_Вводные'!$B$293,MONTH(I$3)=MONTH('01_Вводные'!$B$293)),1+I5,1)</f>
        <v/>
      </c>
      <c r="J4" s="194">
        <f>I4*IF(AND('01_Вводные'!$B$294="Да",J$3&gt;='01_Вводные'!$B$293,MONTH(J$3)=MONTH('01_Вводные'!$B$293)),1+J5,1)</f>
        <v/>
      </c>
      <c r="K4" s="194">
        <f>J4*IF(AND('01_Вводные'!$B$294="Да",K$3&gt;='01_Вводные'!$B$293,MONTH(K$3)=MONTH('01_Вводные'!$B$293)),1+K5,1)</f>
        <v/>
      </c>
      <c r="L4" s="194">
        <f>K4*IF(AND('01_Вводные'!$B$294="Да",L$3&gt;='01_Вводные'!$B$293,MONTH(L$3)=MONTH('01_Вводные'!$B$293)),1+L5,1)</f>
        <v/>
      </c>
      <c r="M4" s="194">
        <f>L4*IF(AND('01_Вводные'!$B$294="Да",M$3&gt;='01_Вводные'!$B$293,MONTH(M$3)=MONTH('01_Вводные'!$B$293)),1+M5,1)</f>
        <v/>
      </c>
      <c r="N4" s="194">
        <f>M4*IF(AND('01_Вводные'!$B$294="Да",N$3&gt;='01_Вводные'!$B$293,MONTH(N$3)=MONTH('01_Вводные'!$B$293)),1+N5,1)</f>
        <v/>
      </c>
      <c r="O4" s="194">
        <f>N4*IF(AND('01_Вводные'!$B$294="Да",O$3&gt;='01_Вводные'!$B$293,MONTH(O$3)=MONTH('01_Вводные'!$B$293)),1+O5,1)</f>
        <v/>
      </c>
      <c r="P4" s="194">
        <f>O4*IF(AND('01_Вводные'!$B$294="Да",P$3&gt;='01_Вводные'!$B$293,MONTH(P$3)=MONTH('01_Вводные'!$B$293)),1+P5,1)</f>
        <v/>
      </c>
      <c r="Q4" s="194">
        <f>P4*IF(AND('01_Вводные'!$B$294="Да",Q$3&gt;='01_Вводные'!$B$293,MONTH(Q$3)=MONTH('01_Вводные'!$B$293)),1+Q5,1)</f>
        <v/>
      </c>
      <c r="R4" s="194">
        <f>Q4*IF(AND('01_Вводные'!$B$294="Да",R$3&gt;='01_Вводные'!$B$293,MONTH(R$3)=MONTH('01_Вводные'!$B$293)),1+R5,1)</f>
        <v/>
      </c>
      <c r="S4" s="194">
        <f>R4*IF(AND('01_Вводные'!$B$294="Да",S$3&gt;='01_Вводные'!$B$293,MONTH(S$3)=MONTH('01_Вводные'!$B$293)),1+S5,1)</f>
        <v/>
      </c>
      <c r="T4" s="194">
        <f>S4*IF(AND('01_Вводные'!$B$294="Да",T$3&gt;='01_Вводные'!$B$293,MONTH(T$3)=MONTH('01_Вводные'!$B$293)),1+T5,1)</f>
        <v/>
      </c>
      <c r="U4" s="194">
        <f>T4*IF(AND('01_Вводные'!$B$294="Да",U$3&gt;='01_Вводные'!$B$293,MONTH(U$3)=MONTH('01_Вводные'!$B$293)),1+U5,1)</f>
        <v/>
      </c>
      <c r="V4" s="194">
        <f>U4*IF(AND('01_Вводные'!$B$294="Да",V$3&gt;='01_Вводные'!$B$293,MONTH(V$3)=MONTH('01_Вводные'!$B$293)),1+V5,1)</f>
        <v/>
      </c>
      <c r="W4" s="194">
        <f>V4*IF(AND('01_Вводные'!$B$294="Да",W$3&gt;='01_Вводные'!$B$293,MONTH(W$3)=MONTH('01_Вводные'!$B$293)),1+W5,1)</f>
        <v/>
      </c>
      <c r="X4" s="194">
        <f>W4*IF(AND('01_Вводные'!$B$294="Да",X$3&gt;='01_Вводные'!$B$293,MONTH(X$3)=MONTH('01_Вводные'!$B$293)),1+X5,1)</f>
        <v/>
      </c>
      <c r="Y4" s="194">
        <f>X4*IF(AND('01_Вводные'!$B$294="Да",Y$3&gt;='01_Вводные'!$B$293,MONTH(Y$3)=MONTH('01_Вводные'!$B$293)),1+Y5,1)</f>
        <v/>
      </c>
      <c r="Z4" s="194">
        <f>Y4*IF(AND('01_Вводные'!$B$294="Да",Z$3&gt;='01_Вводные'!$B$293,MONTH(Z$3)=MONTH('01_Вводные'!$B$293)),1+Z5,1)</f>
        <v/>
      </c>
      <c r="AA4" s="194">
        <f>Z4*IF(AND('01_Вводные'!$B$294="Да",AA$3&gt;='01_Вводные'!$B$293,MONTH(AA$3)=MONTH('01_Вводные'!$B$293)),1+AA5,1)</f>
        <v/>
      </c>
      <c r="AB4" s="194">
        <f>AA4*IF(AND('01_Вводные'!$B$294="Да",AB$3&gt;='01_Вводные'!$B$293,MONTH(AB$3)=MONTH('01_Вводные'!$B$293)),1+AB5,1)</f>
        <v/>
      </c>
      <c r="AC4" s="194">
        <f>AB4*IF(AND('01_Вводные'!$B$294="Да",AC$3&gt;='01_Вводные'!$B$293,MONTH(AC$3)=MONTH('01_Вводные'!$B$293)),1+AC5,1)</f>
        <v/>
      </c>
      <c r="AD4" s="194">
        <f>AC4*IF(AND('01_Вводные'!$B$294="Да",AD$3&gt;='01_Вводные'!$B$293,MONTH(AD$3)=MONTH('01_Вводные'!$B$293)),1+AD5,1)</f>
        <v/>
      </c>
      <c r="AE4" s="194">
        <f>AD4*IF(AND('01_Вводные'!$B$294="Да",AE$3&gt;='01_Вводные'!$B$293,MONTH(AE$3)=MONTH('01_Вводные'!$B$293)),1+AE5,1)</f>
        <v/>
      </c>
      <c r="AF4" s="194">
        <f>AE4*IF(AND('01_Вводные'!$B$294="Да",AF$3&gt;='01_Вводные'!$B$293,MONTH(AF$3)=MONTH('01_Вводные'!$B$293)),1+AF5,1)</f>
        <v/>
      </c>
      <c r="AG4" s="194">
        <f>AF4*IF(AND('01_Вводные'!$B$294="Да",AG$3&gt;='01_Вводные'!$B$293,MONTH(AG$3)=MONTH('01_Вводные'!$B$293)),1+AG5,1)</f>
        <v/>
      </c>
      <c r="AH4" s="194">
        <f>AG4*IF(AND('01_Вводные'!$B$294="Да",AH$3&gt;='01_Вводные'!$B$293,MONTH(AH$3)=MONTH('01_Вводные'!$B$293)),1+AH5,1)</f>
        <v/>
      </c>
      <c r="AI4" s="194">
        <f>AH4*IF(AND('01_Вводные'!$B$294="Да",AI$3&gt;='01_Вводные'!$B$293,MONTH(AI$3)=MONTH('01_Вводные'!$B$293)),1+AI5,1)</f>
        <v/>
      </c>
      <c r="AJ4" s="194">
        <f>AI4*IF(AND('01_Вводные'!$B$294="Да",AJ$3&gt;='01_Вводные'!$B$293,MONTH(AJ$3)=MONTH('01_Вводные'!$B$293)),1+AJ5,1)</f>
        <v/>
      </c>
      <c r="AK4" s="194">
        <f>AJ4*IF(AND('01_Вводные'!$B$294="Да",AK$3&gt;='01_Вводные'!$B$293,MONTH(AK$3)=MONTH('01_Вводные'!$B$293)),1+AK5,1)</f>
        <v/>
      </c>
      <c r="AL4" s="194">
        <f>AK4*IF(AND('01_Вводные'!$B$294="Да",AL$3&gt;='01_Вводные'!$B$293,MONTH(AL$3)=MONTH('01_Вводные'!$B$293)),1+AL5,1)</f>
        <v/>
      </c>
      <c r="AM4" s="194">
        <f>AL4*IF(AND('01_Вводные'!$B$294="Да",AM$3&gt;='01_Вводные'!$B$293,MONTH(AM$3)=MONTH('01_Вводные'!$B$293)),1+AM5,1)</f>
        <v/>
      </c>
      <c r="AN4" s="194">
        <f>AM4*IF(AND('01_Вводные'!$B$294="Да",AN$3&gt;='01_Вводные'!$B$293,MONTH(AN$3)=MONTH('01_Вводные'!$B$293)),1+AN5,1)</f>
        <v/>
      </c>
      <c r="AO4" s="194">
        <f>AN4*IF(AND('01_Вводные'!$B$294="Да",AO$3&gt;='01_Вводные'!$B$293,MONTH(AO$3)=MONTH('01_Вводные'!$B$293)),1+AO5,1)</f>
        <v/>
      </c>
      <c r="AP4" s="194">
        <f>AO4*IF(AND('01_Вводные'!$B$294="Да",AP$3&gt;='01_Вводные'!$B$293,MONTH(AP$3)=MONTH('01_Вводные'!$B$293)),1+AP5,1)</f>
        <v/>
      </c>
      <c r="AQ4" s="194">
        <f>AP4*IF(AND('01_Вводные'!$B$294="Да",AQ$3&gt;='01_Вводные'!$B$293,MONTH(AQ$3)=MONTH('01_Вводные'!$B$293)),1+AQ5,1)</f>
        <v/>
      </c>
      <c r="AR4" s="194">
        <f>AQ4*IF(AND('01_Вводные'!$B$294="Да",AR$3&gt;='01_Вводные'!$B$293,MONTH(AR$3)=MONTH('01_Вводные'!$B$293)),1+AR5,1)</f>
        <v/>
      </c>
      <c r="AS4" s="194">
        <f>AR4*IF(AND('01_Вводные'!$B$294="Да",AS$3&gt;='01_Вводные'!$B$293,MONTH(AS$3)=MONTH('01_Вводные'!$B$293)),1+AS5,1)</f>
        <v/>
      </c>
      <c r="AT4" s="194">
        <f>AS4*IF(AND('01_Вводные'!$B$294="Да",AT$3&gt;='01_Вводные'!$B$293,MONTH(AT$3)=MONTH('01_Вводные'!$B$293)),1+AT5,1)</f>
        <v/>
      </c>
      <c r="AU4" s="194">
        <f>AT4*IF(AND('01_Вводные'!$B$294="Да",AU$3&gt;='01_Вводные'!$B$293,MONTH(AU$3)=MONTH('01_Вводные'!$B$293)),1+AU5,1)</f>
        <v/>
      </c>
      <c r="AV4" s="194">
        <f>AU4*IF(AND('01_Вводные'!$B$294="Да",AV$3&gt;='01_Вводные'!$B$293,MONTH(AV$3)=MONTH('01_Вводные'!$B$293)),1+AV5,1)</f>
        <v/>
      </c>
      <c r="AW4" s="194">
        <f>AV4*IF(AND('01_Вводные'!$B$294="Да",AW$3&gt;='01_Вводные'!$B$293,MONTH(AW$3)=MONTH('01_Вводные'!$B$293)),1+AW5,1)</f>
        <v/>
      </c>
      <c r="AX4" s="194">
        <f>AW4*IF(AND('01_Вводные'!$B$294="Да",AX$3&gt;='01_Вводные'!$B$293,MONTH(AX$3)=MONTH('01_Вводные'!$B$293)),1+AX5,1)</f>
        <v/>
      </c>
      <c r="AY4" s="194">
        <f>AX4*IF(AND('01_Вводные'!$B$294="Да",AY$3&gt;='01_Вводные'!$B$293,MONTH(AY$3)=MONTH('01_Вводные'!$B$293)),1+AY5,1)</f>
        <v/>
      </c>
      <c r="AZ4" s="194">
        <f>AY4*IF(AND('01_Вводные'!$B$294="Да",AZ$3&gt;='01_Вводные'!$B$293,MONTH(AZ$3)=MONTH('01_Вводные'!$B$293)),1+AZ5,1)</f>
        <v/>
      </c>
      <c r="BA4" s="194">
        <f>AZ4*IF(AND('01_Вводные'!$B$294="Да",BA$3&gt;='01_Вводные'!$B$293,MONTH(BA$3)=MONTH('01_Вводные'!$B$293)),1+BA5,1)</f>
        <v/>
      </c>
      <c r="BB4" s="194">
        <f>BA4*IF(AND('01_Вводные'!$B$294="Да",BB$3&gt;='01_Вводные'!$B$293,MONTH(BB$3)=MONTH('01_Вводные'!$B$293)),1+BB5,1)</f>
        <v/>
      </c>
      <c r="BC4" s="194">
        <f>BB4*IF(AND('01_Вводные'!$B$294="Да",BC$3&gt;='01_Вводные'!$B$293,MONTH(BC$3)=MONTH('01_Вводные'!$B$293)),1+BC5,1)</f>
        <v/>
      </c>
      <c r="BD4" s="194">
        <f>BC4*IF(AND('01_Вводные'!$B$294="Да",BD$3&gt;='01_Вводные'!$B$293,MONTH(BD$3)=MONTH('01_Вводные'!$B$293)),1+BD5,1)</f>
        <v/>
      </c>
      <c r="BE4" s="194">
        <f>BD4*IF(AND('01_Вводные'!$B$294="Да",BE$3&gt;='01_Вводные'!$B$293,MONTH(BE$3)=MONTH('01_Вводные'!$B$293)),1+BE5,1)</f>
        <v/>
      </c>
      <c r="BF4" s="194">
        <f>BE4*IF(AND('01_Вводные'!$B$294="Да",BF$3&gt;='01_Вводные'!$B$293,MONTH(BF$3)=MONTH('01_Вводные'!$B$293)),1+BF5,1)</f>
        <v/>
      </c>
      <c r="BG4" s="194">
        <f>BF4*IF(AND('01_Вводные'!$B$294="Да",BG$3&gt;='01_Вводные'!$B$293,MONTH(BG$3)=MONTH('01_Вводные'!$B$293)),1+BG5,1)</f>
        <v/>
      </c>
      <c r="BH4" s="194">
        <f>BG4*IF(AND('01_Вводные'!$B$294="Да",BH$3&gt;='01_Вводные'!$B$293,MONTH(BH$3)=MONTH('01_Вводные'!$B$293)),1+BH5,1)</f>
        <v/>
      </c>
      <c r="BI4" s="194">
        <f>BH4*IF(AND('01_Вводные'!$B$294="Да",BI$3&gt;='01_Вводные'!$B$293,MONTH(BI$3)=MONTH('01_Вводные'!$B$293)),1+BI5,1)</f>
        <v/>
      </c>
      <c r="BJ4" s="194">
        <f>BI4*IF(AND('01_Вводные'!$B$294="Да",BJ$3&gt;='01_Вводные'!$B$293,MONTH(BJ$3)=MONTH('01_Вводные'!$B$293)),1+BJ5,1)</f>
        <v/>
      </c>
      <c r="BK4" s="194">
        <f>BJ4*IF(AND('01_Вводные'!$B$294="Да",BK$3&gt;='01_Вводные'!$B$293,MONTH(BK$3)=MONTH('01_Вводные'!$B$293)),1+BK5,1)</f>
        <v/>
      </c>
      <c r="BL4" s="194">
        <f>BK4*IF(AND('01_Вводные'!$B$294="Да",BL$3&gt;='01_Вводные'!$B$293,MONTH(BL$3)=MONTH('01_Вводные'!$B$293)),1+BL5,1)</f>
        <v/>
      </c>
      <c r="BM4" s="194">
        <f>BL4*IF(AND('01_Вводные'!$B$294="Да",BM$3&gt;='01_Вводные'!$B$293,MONTH(BM$3)=MONTH('01_Вводные'!$B$293)),1+BM5,1)</f>
        <v/>
      </c>
      <c r="BN4" s="194">
        <f>BM4*IF(AND('01_Вводные'!$B$294="Да",BN$3&gt;='01_Вводные'!$B$293,MONTH(BN$3)=MONTH('01_Вводные'!$B$293)),1+BN5,1)</f>
        <v/>
      </c>
      <c r="BO4" s="194">
        <f>BN4*IF(AND('01_Вводные'!$B$294="Да",BO$3&gt;='01_Вводные'!$B$293,MONTH(BO$3)=MONTH('01_Вводные'!$B$293)),1+BO5,1)</f>
        <v/>
      </c>
    </row>
    <row r="5">
      <c r="A5" s="192" t="inlineStr">
        <is>
          <t>Инфляция года</t>
        </is>
      </c>
      <c r="B5" s="194">
        <f>SUMIF('01_Вводные'!$A$301:$A$307,YEAR(B$3),'01_Вводные'!$B$301:$B$307)</f>
        <v/>
      </c>
      <c r="C5" s="194">
        <f>SUMIF('01_Вводные'!$A$301:$A$307,YEAR(C$3),'01_Вводные'!$B$301:$B$307)</f>
        <v/>
      </c>
      <c r="D5" s="194">
        <f>SUMIF('01_Вводные'!$A$301:$A$307,YEAR(D$3),'01_Вводные'!$B$301:$B$307)</f>
        <v/>
      </c>
      <c r="E5" s="194">
        <f>SUMIF('01_Вводные'!$A$301:$A$307,YEAR(E$3),'01_Вводные'!$B$301:$B$307)</f>
        <v/>
      </c>
      <c r="F5" s="194">
        <f>SUMIF('01_Вводные'!$A$301:$A$307,YEAR(F$3),'01_Вводные'!$B$301:$B$307)</f>
        <v/>
      </c>
      <c r="G5" s="194">
        <f>SUMIF('01_Вводные'!$A$301:$A$307,YEAR(G$3),'01_Вводные'!$B$301:$B$307)</f>
        <v/>
      </c>
      <c r="H5" s="194">
        <f>SUMIF('01_Вводные'!$A$301:$A$307,YEAR(H$3),'01_Вводные'!$B$301:$B$307)</f>
        <v/>
      </c>
      <c r="I5" s="194">
        <f>SUMIF('01_Вводные'!$A$301:$A$307,YEAR(I$3),'01_Вводные'!$B$301:$B$307)</f>
        <v/>
      </c>
      <c r="J5" s="194">
        <f>SUMIF('01_Вводные'!$A$301:$A$307,YEAR(J$3),'01_Вводные'!$B$301:$B$307)</f>
        <v/>
      </c>
      <c r="K5" s="194">
        <f>SUMIF('01_Вводные'!$A$301:$A$307,YEAR(K$3),'01_Вводные'!$B$301:$B$307)</f>
        <v/>
      </c>
      <c r="L5" s="194">
        <f>SUMIF('01_Вводные'!$A$301:$A$307,YEAR(L$3),'01_Вводные'!$B$301:$B$307)</f>
        <v/>
      </c>
      <c r="M5" s="194">
        <f>SUMIF('01_Вводные'!$A$301:$A$307,YEAR(M$3),'01_Вводные'!$B$301:$B$307)</f>
        <v/>
      </c>
      <c r="N5" s="194">
        <f>SUMIF('01_Вводные'!$A$301:$A$307,YEAR(N$3),'01_Вводные'!$B$301:$B$307)</f>
        <v/>
      </c>
      <c r="O5" s="194">
        <f>SUMIF('01_Вводные'!$A$301:$A$307,YEAR(O$3),'01_Вводные'!$B$301:$B$307)</f>
        <v/>
      </c>
      <c r="P5" s="194">
        <f>SUMIF('01_Вводные'!$A$301:$A$307,YEAR(P$3),'01_Вводные'!$B$301:$B$307)</f>
        <v/>
      </c>
      <c r="Q5" s="194">
        <f>SUMIF('01_Вводные'!$A$301:$A$307,YEAR(Q$3),'01_Вводные'!$B$301:$B$307)</f>
        <v/>
      </c>
      <c r="R5" s="194">
        <f>SUMIF('01_Вводные'!$A$301:$A$307,YEAR(R$3),'01_Вводные'!$B$301:$B$307)</f>
        <v/>
      </c>
      <c r="S5" s="194">
        <f>SUMIF('01_Вводные'!$A$301:$A$307,YEAR(S$3),'01_Вводные'!$B$301:$B$307)</f>
        <v/>
      </c>
      <c r="T5" s="194">
        <f>SUMIF('01_Вводные'!$A$301:$A$307,YEAR(T$3),'01_Вводные'!$B$301:$B$307)</f>
        <v/>
      </c>
      <c r="U5" s="194">
        <f>SUMIF('01_Вводные'!$A$301:$A$307,YEAR(U$3),'01_Вводные'!$B$301:$B$307)</f>
        <v/>
      </c>
      <c r="V5" s="194">
        <f>SUMIF('01_Вводные'!$A$301:$A$307,YEAR(V$3),'01_Вводные'!$B$301:$B$307)</f>
        <v/>
      </c>
      <c r="W5" s="194">
        <f>SUMIF('01_Вводные'!$A$301:$A$307,YEAR(W$3),'01_Вводные'!$B$301:$B$307)</f>
        <v/>
      </c>
      <c r="X5" s="194">
        <f>SUMIF('01_Вводные'!$A$301:$A$307,YEAR(X$3),'01_Вводные'!$B$301:$B$307)</f>
        <v/>
      </c>
      <c r="Y5" s="194">
        <f>SUMIF('01_Вводные'!$A$301:$A$307,YEAR(Y$3),'01_Вводные'!$B$301:$B$307)</f>
        <v/>
      </c>
      <c r="Z5" s="194">
        <f>SUMIF('01_Вводные'!$A$301:$A$307,YEAR(Z$3),'01_Вводные'!$B$301:$B$307)</f>
        <v/>
      </c>
      <c r="AA5" s="194">
        <f>SUMIF('01_Вводные'!$A$301:$A$307,YEAR(AA$3),'01_Вводные'!$B$301:$B$307)</f>
        <v/>
      </c>
      <c r="AB5" s="194">
        <f>SUMIF('01_Вводные'!$A$301:$A$307,YEAR(AB$3),'01_Вводные'!$B$301:$B$307)</f>
        <v/>
      </c>
      <c r="AC5" s="194">
        <f>SUMIF('01_Вводные'!$A$301:$A$307,YEAR(AC$3),'01_Вводные'!$B$301:$B$307)</f>
        <v/>
      </c>
      <c r="AD5" s="194">
        <f>SUMIF('01_Вводные'!$A$301:$A$307,YEAR(AD$3),'01_Вводные'!$B$301:$B$307)</f>
        <v/>
      </c>
      <c r="AE5" s="194">
        <f>SUMIF('01_Вводные'!$A$301:$A$307,YEAR(AE$3),'01_Вводные'!$B$301:$B$307)</f>
        <v/>
      </c>
      <c r="AF5" s="194">
        <f>SUMIF('01_Вводные'!$A$301:$A$307,YEAR(AF$3),'01_Вводные'!$B$301:$B$307)</f>
        <v/>
      </c>
      <c r="AG5" s="194">
        <f>SUMIF('01_Вводные'!$A$301:$A$307,YEAR(AG$3),'01_Вводные'!$B$301:$B$307)</f>
        <v/>
      </c>
      <c r="AH5" s="194">
        <f>SUMIF('01_Вводные'!$A$301:$A$307,YEAR(AH$3),'01_Вводные'!$B$301:$B$307)</f>
        <v/>
      </c>
      <c r="AI5" s="194">
        <f>SUMIF('01_Вводные'!$A$301:$A$307,YEAR(AI$3),'01_Вводные'!$B$301:$B$307)</f>
        <v/>
      </c>
      <c r="AJ5" s="194">
        <f>SUMIF('01_Вводные'!$A$301:$A$307,YEAR(AJ$3),'01_Вводные'!$B$301:$B$307)</f>
        <v/>
      </c>
      <c r="AK5" s="194">
        <f>SUMIF('01_Вводные'!$A$301:$A$307,YEAR(AK$3),'01_Вводные'!$B$301:$B$307)</f>
        <v/>
      </c>
      <c r="AL5" s="194">
        <f>SUMIF('01_Вводные'!$A$301:$A$307,YEAR(AL$3),'01_Вводные'!$B$301:$B$307)</f>
        <v/>
      </c>
      <c r="AM5" s="194">
        <f>SUMIF('01_Вводные'!$A$301:$A$307,YEAR(AM$3),'01_Вводные'!$B$301:$B$307)</f>
        <v/>
      </c>
      <c r="AN5" s="194">
        <f>SUMIF('01_Вводные'!$A$301:$A$307,YEAR(AN$3),'01_Вводные'!$B$301:$B$307)</f>
        <v/>
      </c>
      <c r="AO5" s="194">
        <f>SUMIF('01_Вводные'!$A$301:$A$307,YEAR(AO$3),'01_Вводные'!$B$301:$B$307)</f>
        <v/>
      </c>
      <c r="AP5" s="194">
        <f>SUMIF('01_Вводные'!$A$301:$A$307,YEAR(AP$3),'01_Вводные'!$B$301:$B$307)</f>
        <v/>
      </c>
      <c r="AQ5" s="194">
        <f>SUMIF('01_Вводные'!$A$301:$A$307,YEAR(AQ$3),'01_Вводные'!$B$301:$B$307)</f>
        <v/>
      </c>
      <c r="AR5" s="194">
        <f>SUMIF('01_Вводные'!$A$301:$A$307,YEAR(AR$3),'01_Вводные'!$B$301:$B$307)</f>
        <v/>
      </c>
      <c r="AS5" s="194">
        <f>SUMIF('01_Вводные'!$A$301:$A$307,YEAR(AS$3),'01_Вводные'!$B$301:$B$307)</f>
        <v/>
      </c>
      <c r="AT5" s="194">
        <f>SUMIF('01_Вводные'!$A$301:$A$307,YEAR(AT$3),'01_Вводные'!$B$301:$B$307)</f>
        <v/>
      </c>
      <c r="AU5" s="194">
        <f>SUMIF('01_Вводные'!$A$301:$A$307,YEAR(AU$3),'01_Вводные'!$B$301:$B$307)</f>
        <v/>
      </c>
      <c r="AV5" s="194">
        <f>SUMIF('01_Вводные'!$A$301:$A$307,YEAR(AV$3),'01_Вводные'!$B$301:$B$307)</f>
        <v/>
      </c>
      <c r="AW5" s="194">
        <f>SUMIF('01_Вводные'!$A$301:$A$307,YEAR(AW$3),'01_Вводные'!$B$301:$B$307)</f>
        <v/>
      </c>
      <c r="AX5" s="194">
        <f>SUMIF('01_Вводные'!$A$301:$A$307,YEAR(AX$3),'01_Вводные'!$B$301:$B$307)</f>
        <v/>
      </c>
      <c r="AY5" s="194">
        <f>SUMIF('01_Вводные'!$A$301:$A$307,YEAR(AY$3),'01_Вводные'!$B$301:$B$307)</f>
        <v/>
      </c>
      <c r="AZ5" s="194">
        <f>SUMIF('01_Вводные'!$A$301:$A$307,YEAR(AZ$3),'01_Вводные'!$B$301:$B$307)</f>
        <v/>
      </c>
      <c r="BA5" s="194">
        <f>SUMIF('01_Вводные'!$A$301:$A$307,YEAR(BA$3),'01_Вводные'!$B$301:$B$307)</f>
        <v/>
      </c>
      <c r="BB5" s="194">
        <f>SUMIF('01_Вводные'!$A$301:$A$307,YEAR(BB$3),'01_Вводные'!$B$301:$B$307)</f>
        <v/>
      </c>
      <c r="BC5" s="194">
        <f>SUMIF('01_Вводные'!$A$301:$A$307,YEAR(BC$3),'01_Вводные'!$B$301:$B$307)</f>
        <v/>
      </c>
      <c r="BD5" s="194">
        <f>SUMIF('01_Вводные'!$A$301:$A$307,YEAR(BD$3),'01_Вводные'!$B$301:$B$307)</f>
        <v/>
      </c>
      <c r="BE5" s="194">
        <f>SUMIF('01_Вводные'!$A$301:$A$307,YEAR(BE$3),'01_Вводные'!$B$301:$B$307)</f>
        <v/>
      </c>
      <c r="BF5" s="194">
        <f>SUMIF('01_Вводные'!$A$301:$A$307,YEAR(BF$3),'01_Вводные'!$B$301:$B$307)</f>
        <v/>
      </c>
      <c r="BG5" s="194">
        <f>SUMIF('01_Вводные'!$A$301:$A$307,YEAR(BG$3),'01_Вводные'!$B$301:$B$307)</f>
        <v/>
      </c>
      <c r="BH5" s="194">
        <f>SUMIF('01_Вводные'!$A$301:$A$307,YEAR(BH$3),'01_Вводные'!$B$301:$B$307)</f>
        <v/>
      </c>
      <c r="BI5" s="194">
        <f>SUMIF('01_Вводные'!$A$301:$A$307,YEAR(BI$3),'01_Вводные'!$B$301:$B$307)</f>
        <v/>
      </c>
      <c r="BJ5" s="194">
        <f>SUMIF('01_Вводные'!$A$301:$A$307,YEAR(BJ$3),'01_Вводные'!$B$301:$B$307)</f>
        <v/>
      </c>
      <c r="BK5" s="194">
        <f>SUMIF('01_Вводные'!$A$301:$A$307,YEAR(BK$3),'01_Вводные'!$B$301:$B$307)</f>
        <v/>
      </c>
      <c r="BL5" s="194">
        <f>SUMIF('01_Вводные'!$A$301:$A$307,YEAR(BL$3),'01_Вводные'!$B$301:$B$307)</f>
        <v/>
      </c>
      <c r="BM5" s="194">
        <f>SUMIF('01_Вводные'!$A$301:$A$307,YEAR(BM$3),'01_Вводные'!$B$301:$B$307)</f>
        <v/>
      </c>
      <c r="BN5" s="194">
        <f>SUMIF('01_Вводные'!$A$301:$A$307,YEAR(BN$3),'01_Вводные'!$B$301:$B$307)</f>
        <v/>
      </c>
      <c r="BO5" s="194">
        <f>SUMIF('01_Вводные'!$A$301:$A$307,YEAR(BO$3),'01_Вводные'!$B$301:$B$307)</f>
        <v/>
      </c>
    </row>
    <row r="6">
      <c r="A6" s="192" t="inlineStr">
        <is>
          <t>Паушальный, с НДС</t>
        </is>
      </c>
      <c r="B6" s="194">
        <f>INDEX('01_Вводные'!$B$63:$B$67,MIN(5,INT(0/12)+1),1)*B4</f>
        <v/>
      </c>
      <c r="C6" s="194">
        <f>INDEX('01_Вводные'!$B$63:$B$67,MIN(5,INT(1/12)+1),1)*C4</f>
        <v/>
      </c>
      <c r="D6" s="194">
        <f>INDEX('01_Вводные'!$B$63:$B$67,MIN(5,INT(2/12)+1),1)*D4</f>
        <v/>
      </c>
      <c r="E6" s="194">
        <f>INDEX('01_Вводные'!$B$63:$B$67,MIN(5,INT(3/12)+1),1)*E4</f>
        <v/>
      </c>
      <c r="F6" s="194">
        <f>INDEX('01_Вводные'!$B$63:$B$67,MIN(5,INT(4/12)+1),1)*F4</f>
        <v/>
      </c>
      <c r="G6" s="194">
        <f>INDEX('01_Вводные'!$B$63:$B$67,MIN(5,INT(5/12)+1),1)*G4</f>
        <v/>
      </c>
      <c r="H6" s="194">
        <f>INDEX('01_Вводные'!$B$63:$B$67,MIN(5,INT(6/12)+1),1)*H4</f>
        <v/>
      </c>
      <c r="I6" s="194">
        <f>INDEX('01_Вводные'!$B$63:$B$67,MIN(5,INT(7/12)+1),1)*I4</f>
        <v/>
      </c>
      <c r="J6" s="194">
        <f>INDEX('01_Вводные'!$B$63:$B$67,MIN(5,INT(8/12)+1),1)*J4</f>
        <v/>
      </c>
      <c r="K6" s="194">
        <f>INDEX('01_Вводные'!$B$63:$B$67,MIN(5,INT(9/12)+1),1)*K4</f>
        <v/>
      </c>
      <c r="L6" s="194">
        <f>INDEX('01_Вводные'!$B$63:$B$67,MIN(5,INT(10/12)+1),1)*L4</f>
        <v/>
      </c>
      <c r="M6" s="194">
        <f>INDEX('01_Вводные'!$B$63:$B$67,MIN(5,INT(11/12)+1),1)*M4</f>
        <v/>
      </c>
      <c r="N6" s="194">
        <f>INDEX('01_Вводные'!$B$63:$B$67,MIN(5,INT(12/12)+1),1)*N4</f>
        <v/>
      </c>
      <c r="O6" s="194">
        <f>INDEX('01_Вводные'!$B$63:$B$67,MIN(5,INT(13/12)+1),1)*O4</f>
        <v/>
      </c>
      <c r="P6" s="194">
        <f>INDEX('01_Вводные'!$B$63:$B$67,MIN(5,INT(14/12)+1),1)*P4</f>
        <v/>
      </c>
      <c r="Q6" s="194">
        <f>INDEX('01_Вводные'!$B$63:$B$67,MIN(5,INT(15/12)+1),1)*Q4</f>
        <v/>
      </c>
      <c r="R6" s="194">
        <f>INDEX('01_Вводные'!$B$63:$B$67,MIN(5,INT(16/12)+1),1)*R4</f>
        <v/>
      </c>
      <c r="S6" s="194">
        <f>INDEX('01_Вводные'!$B$63:$B$67,MIN(5,INT(17/12)+1),1)*S4</f>
        <v/>
      </c>
      <c r="T6" s="194">
        <f>INDEX('01_Вводные'!$B$63:$B$67,MIN(5,INT(18/12)+1),1)*T4</f>
        <v/>
      </c>
      <c r="U6" s="194">
        <f>INDEX('01_Вводные'!$B$63:$B$67,MIN(5,INT(19/12)+1),1)*U4</f>
        <v/>
      </c>
      <c r="V6" s="194">
        <f>INDEX('01_Вводные'!$B$63:$B$67,MIN(5,INT(20/12)+1),1)*V4</f>
        <v/>
      </c>
      <c r="W6" s="194">
        <f>INDEX('01_Вводные'!$B$63:$B$67,MIN(5,INT(21/12)+1),1)*W4</f>
        <v/>
      </c>
      <c r="X6" s="194">
        <f>INDEX('01_Вводные'!$B$63:$B$67,MIN(5,INT(22/12)+1),1)*X4</f>
        <v/>
      </c>
      <c r="Y6" s="194">
        <f>INDEX('01_Вводные'!$B$63:$B$67,MIN(5,INT(23/12)+1),1)*Y4</f>
        <v/>
      </c>
      <c r="Z6" s="194">
        <f>INDEX('01_Вводные'!$B$63:$B$67,MIN(5,INT(24/12)+1),1)*Z4</f>
        <v/>
      </c>
      <c r="AA6" s="194">
        <f>INDEX('01_Вводные'!$B$63:$B$67,MIN(5,INT(25/12)+1),1)*AA4</f>
        <v/>
      </c>
      <c r="AB6" s="194">
        <f>INDEX('01_Вводные'!$B$63:$B$67,MIN(5,INT(26/12)+1),1)*AB4</f>
        <v/>
      </c>
      <c r="AC6" s="194">
        <f>INDEX('01_Вводные'!$B$63:$B$67,MIN(5,INT(27/12)+1),1)*AC4</f>
        <v/>
      </c>
      <c r="AD6" s="194">
        <f>INDEX('01_Вводные'!$B$63:$B$67,MIN(5,INT(28/12)+1),1)*AD4</f>
        <v/>
      </c>
      <c r="AE6" s="194">
        <f>INDEX('01_Вводные'!$B$63:$B$67,MIN(5,INT(29/12)+1),1)*AE4</f>
        <v/>
      </c>
      <c r="AF6" s="194">
        <f>INDEX('01_Вводные'!$B$63:$B$67,MIN(5,INT(30/12)+1),1)*AF4</f>
        <v/>
      </c>
      <c r="AG6" s="194">
        <f>INDEX('01_Вводные'!$B$63:$B$67,MIN(5,INT(31/12)+1),1)*AG4</f>
        <v/>
      </c>
      <c r="AH6" s="194">
        <f>INDEX('01_Вводные'!$B$63:$B$67,MIN(5,INT(32/12)+1),1)*AH4</f>
        <v/>
      </c>
      <c r="AI6" s="194">
        <f>INDEX('01_Вводные'!$B$63:$B$67,MIN(5,INT(33/12)+1),1)*AI4</f>
        <v/>
      </c>
      <c r="AJ6" s="194">
        <f>INDEX('01_Вводные'!$B$63:$B$67,MIN(5,INT(34/12)+1),1)*AJ4</f>
        <v/>
      </c>
      <c r="AK6" s="194">
        <f>INDEX('01_Вводные'!$B$63:$B$67,MIN(5,INT(35/12)+1),1)*AK4</f>
        <v/>
      </c>
      <c r="AL6" s="194">
        <f>INDEX('01_Вводные'!$B$63:$B$67,MIN(5,INT(36/12)+1),1)*AL4</f>
        <v/>
      </c>
      <c r="AM6" s="194">
        <f>INDEX('01_Вводные'!$B$63:$B$67,MIN(5,INT(37/12)+1),1)*AM4</f>
        <v/>
      </c>
      <c r="AN6" s="194">
        <f>INDEX('01_Вводные'!$B$63:$B$67,MIN(5,INT(38/12)+1),1)*AN4</f>
        <v/>
      </c>
      <c r="AO6" s="194">
        <f>INDEX('01_Вводные'!$B$63:$B$67,MIN(5,INT(39/12)+1),1)*AO4</f>
        <v/>
      </c>
      <c r="AP6" s="194">
        <f>INDEX('01_Вводные'!$B$63:$B$67,MIN(5,INT(40/12)+1),1)*AP4</f>
        <v/>
      </c>
      <c r="AQ6" s="194">
        <f>INDEX('01_Вводные'!$B$63:$B$67,MIN(5,INT(41/12)+1),1)*AQ4</f>
        <v/>
      </c>
      <c r="AR6" s="194">
        <f>INDEX('01_Вводные'!$B$63:$B$67,MIN(5,INT(42/12)+1),1)*AR4</f>
        <v/>
      </c>
      <c r="AS6" s="194">
        <f>INDEX('01_Вводные'!$B$63:$B$67,MIN(5,INT(43/12)+1),1)*AS4</f>
        <v/>
      </c>
      <c r="AT6" s="194">
        <f>INDEX('01_Вводные'!$B$63:$B$67,MIN(5,INT(44/12)+1),1)*AT4</f>
        <v/>
      </c>
      <c r="AU6" s="194">
        <f>INDEX('01_Вводные'!$B$63:$B$67,MIN(5,INT(45/12)+1),1)*AU4</f>
        <v/>
      </c>
      <c r="AV6" s="194">
        <f>INDEX('01_Вводные'!$B$63:$B$67,MIN(5,INT(46/12)+1),1)*AV4</f>
        <v/>
      </c>
      <c r="AW6" s="194">
        <f>INDEX('01_Вводные'!$B$63:$B$67,MIN(5,INT(47/12)+1),1)*AW4</f>
        <v/>
      </c>
      <c r="AX6" s="194">
        <f>INDEX('01_Вводные'!$B$63:$B$67,MIN(5,INT(48/12)+1),1)*AX4</f>
        <v/>
      </c>
      <c r="AY6" s="194">
        <f>INDEX('01_Вводные'!$B$63:$B$67,MIN(5,INT(49/12)+1),1)*AY4</f>
        <v/>
      </c>
      <c r="AZ6" s="194">
        <f>INDEX('01_Вводные'!$B$63:$B$67,MIN(5,INT(50/12)+1),1)*AZ4</f>
        <v/>
      </c>
      <c r="BA6" s="194">
        <f>INDEX('01_Вводные'!$B$63:$B$67,MIN(5,INT(51/12)+1),1)*BA4</f>
        <v/>
      </c>
      <c r="BB6" s="194">
        <f>INDEX('01_Вводные'!$B$63:$B$67,MIN(5,INT(52/12)+1),1)*BB4</f>
        <v/>
      </c>
      <c r="BC6" s="194">
        <f>INDEX('01_Вводные'!$B$63:$B$67,MIN(5,INT(53/12)+1),1)*BC4</f>
        <v/>
      </c>
      <c r="BD6" s="194">
        <f>INDEX('01_Вводные'!$B$63:$B$67,MIN(5,INT(54/12)+1),1)*BD4</f>
        <v/>
      </c>
      <c r="BE6" s="194">
        <f>INDEX('01_Вводные'!$B$63:$B$67,MIN(5,INT(55/12)+1),1)*BE4</f>
        <v/>
      </c>
      <c r="BF6" s="194">
        <f>INDEX('01_Вводные'!$B$63:$B$67,MIN(5,INT(56/12)+1),1)*BF4</f>
        <v/>
      </c>
      <c r="BG6" s="194">
        <f>INDEX('01_Вводные'!$B$63:$B$67,MIN(5,INT(57/12)+1),1)*BG4</f>
        <v/>
      </c>
      <c r="BH6" s="194">
        <f>INDEX('01_Вводные'!$B$63:$B$67,MIN(5,INT(58/12)+1),1)*BH4</f>
        <v/>
      </c>
      <c r="BI6" s="194">
        <f>INDEX('01_Вводные'!$B$63:$B$67,MIN(5,INT(59/12)+1),1)*BI4</f>
        <v/>
      </c>
      <c r="BJ6" s="194">
        <f>INDEX('01_Вводные'!$B$63:$B$67,MIN(5,INT(60/12)+1),1)*BJ4</f>
        <v/>
      </c>
      <c r="BK6" s="194">
        <f>INDEX('01_Вводные'!$B$63:$B$67,MIN(5,INT(61/12)+1),1)*BK4</f>
        <v/>
      </c>
      <c r="BL6" s="194">
        <f>INDEX('01_Вводные'!$B$63:$B$67,MIN(5,INT(62/12)+1),1)*BL4</f>
        <v/>
      </c>
      <c r="BM6" s="194">
        <f>INDEX('01_Вводные'!$B$63:$B$67,MIN(5,INT(63/12)+1),1)*BM4</f>
        <v/>
      </c>
      <c r="BN6" s="194">
        <f>INDEX('01_Вводные'!$B$63:$B$67,MIN(5,INT(64/12)+1),1)*BN4</f>
        <v/>
      </c>
      <c r="BO6" s="194">
        <f>INDEX('01_Вводные'!$B$63:$B$67,MIN(5,INT(65/12)+1),1)*BO4</f>
        <v/>
      </c>
    </row>
    <row r="7">
      <c r="A7" s="192" t="inlineStr">
        <is>
          <t>Абонемент новой школы</t>
        </is>
      </c>
      <c r="B7" s="194">
        <f>INDEX('01_Вводные'!$C$63:$C$67,MIN(5,INT(0/12)+1),1)*B4</f>
        <v/>
      </c>
      <c r="C7" s="194">
        <f>INDEX('01_Вводные'!$C$63:$C$67,MIN(5,INT(1/12)+1),1)*C4</f>
        <v/>
      </c>
      <c r="D7" s="194">
        <f>INDEX('01_Вводные'!$C$63:$C$67,MIN(5,INT(2/12)+1),1)*D4</f>
        <v/>
      </c>
      <c r="E7" s="194">
        <f>INDEX('01_Вводные'!$C$63:$C$67,MIN(5,INT(3/12)+1),1)*E4</f>
        <v/>
      </c>
      <c r="F7" s="194">
        <f>INDEX('01_Вводные'!$C$63:$C$67,MIN(5,INT(4/12)+1),1)*F4</f>
        <v/>
      </c>
      <c r="G7" s="194">
        <f>INDEX('01_Вводные'!$C$63:$C$67,MIN(5,INT(5/12)+1),1)*G4</f>
        <v/>
      </c>
      <c r="H7" s="194">
        <f>INDEX('01_Вводные'!$C$63:$C$67,MIN(5,INT(6/12)+1),1)*H4</f>
        <v/>
      </c>
      <c r="I7" s="194">
        <f>INDEX('01_Вводные'!$C$63:$C$67,MIN(5,INT(7/12)+1),1)*I4</f>
        <v/>
      </c>
      <c r="J7" s="194">
        <f>INDEX('01_Вводные'!$C$63:$C$67,MIN(5,INT(8/12)+1),1)*J4</f>
        <v/>
      </c>
      <c r="K7" s="194">
        <f>INDEX('01_Вводные'!$C$63:$C$67,MIN(5,INT(9/12)+1),1)*K4</f>
        <v/>
      </c>
      <c r="L7" s="194">
        <f>INDEX('01_Вводные'!$C$63:$C$67,MIN(5,INT(10/12)+1),1)*L4</f>
        <v/>
      </c>
      <c r="M7" s="194">
        <f>INDEX('01_Вводные'!$C$63:$C$67,MIN(5,INT(11/12)+1),1)*M4</f>
        <v/>
      </c>
      <c r="N7" s="194">
        <f>INDEX('01_Вводные'!$C$63:$C$67,MIN(5,INT(12/12)+1),1)*N4</f>
        <v/>
      </c>
      <c r="O7" s="194">
        <f>INDEX('01_Вводные'!$C$63:$C$67,MIN(5,INT(13/12)+1),1)*O4</f>
        <v/>
      </c>
      <c r="P7" s="194">
        <f>INDEX('01_Вводные'!$C$63:$C$67,MIN(5,INT(14/12)+1),1)*P4</f>
        <v/>
      </c>
      <c r="Q7" s="194">
        <f>INDEX('01_Вводные'!$C$63:$C$67,MIN(5,INT(15/12)+1),1)*Q4</f>
        <v/>
      </c>
      <c r="R7" s="194">
        <f>INDEX('01_Вводные'!$C$63:$C$67,MIN(5,INT(16/12)+1),1)*R4</f>
        <v/>
      </c>
      <c r="S7" s="194">
        <f>INDEX('01_Вводные'!$C$63:$C$67,MIN(5,INT(17/12)+1),1)*S4</f>
        <v/>
      </c>
      <c r="T7" s="194">
        <f>INDEX('01_Вводные'!$C$63:$C$67,MIN(5,INT(18/12)+1),1)*T4</f>
        <v/>
      </c>
      <c r="U7" s="194">
        <f>INDEX('01_Вводные'!$C$63:$C$67,MIN(5,INT(19/12)+1),1)*U4</f>
        <v/>
      </c>
      <c r="V7" s="194">
        <f>INDEX('01_Вводные'!$C$63:$C$67,MIN(5,INT(20/12)+1),1)*V4</f>
        <v/>
      </c>
      <c r="W7" s="194">
        <f>INDEX('01_Вводные'!$C$63:$C$67,MIN(5,INT(21/12)+1),1)*W4</f>
        <v/>
      </c>
      <c r="X7" s="194">
        <f>INDEX('01_Вводные'!$C$63:$C$67,MIN(5,INT(22/12)+1),1)*X4</f>
        <v/>
      </c>
      <c r="Y7" s="194">
        <f>INDEX('01_Вводные'!$C$63:$C$67,MIN(5,INT(23/12)+1),1)*Y4</f>
        <v/>
      </c>
      <c r="Z7" s="194">
        <f>INDEX('01_Вводные'!$C$63:$C$67,MIN(5,INT(24/12)+1),1)*Z4</f>
        <v/>
      </c>
      <c r="AA7" s="194">
        <f>INDEX('01_Вводные'!$C$63:$C$67,MIN(5,INT(25/12)+1),1)*AA4</f>
        <v/>
      </c>
      <c r="AB7" s="194">
        <f>INDEX('01_Вводные'!$C$63:$C$67,MIN(5,INT(26/12)+1),1)*AB4</f>
        <v/>
      </c>
      <c r="AC7" s="194">
        <f>INDEX('01_Вводные'!$C$63:$C$67,MIN(5,INT(27/12)+1),1)*AC4</f>
        <v/>
      </c>
      <c r="AD7" s="194">
        <f>INDEX('01_Вводные'!$C$63:$C$67,MIN(5,INT(28/12)+1),1)*AD4</f>
        <v/>
      </c>
      <c r="AE7" s="194">
        <f>INDEX('01_Вводные'!$C$63:$C$67,MIN(5,INT(29/12)+1),1)*AE4</f>
        <v/>
      </c>
      <c r="AF7" s="194">
        <f>INDEX('01_Вводные'!$C$63:$C$67,MIN(5,INT(30/12)+1),1)*AF4</f>
        <v/>
      </c>
      <c r="AG7" s="194">
        <f>INDEX('01_Вводные'!$C$63:$C$67,MIN(5,INT(31/12)+1),1)*AG4</f>
        <v/>
      </c>
      <c r="AH7" s="194">
        <f>INDEX('01_Вводные'!$C$63:$C$67,MIN(5,INT(32/12)+1),1)*AH4</f>
        <v/>
      </c>
      <c r="AI7" s="194">
        <f>INDEX('01_Вводные'!$C$63:$C$67,MIN(5,INT(33/12)+1),1)*AI4</f>
        <v/>
      </c>
      <c r="AJ7" s="194">
        <f>INDEX('01_Вводные'!$C$63:$C$67,MIN(5,INT(34/12)+1),1)*AJ4</f>
        <v/>
      </c>
      <c r="AK7" s="194">
        <f>INDEX('01_Вводные'!$C$63:$C$67,MIN(5,INT(35/12)+1),1)*AK4</f>
        <v/>
      </c>
      <c r="AL7" s="194">
        <f>INDEX('01_Вводные'!$C$63:$C$67,MIN(5,INT(36/12)+1),1)*AL4</f>
        <v/>
      </c>
      <c r="AM7" s="194">
        <f>INDEX('01_Вводные'!$C$63:$C$67,MIN(5,INT(37/12)+1),1)*AM4</f>
        <v/>
      </c>
      <c r="AN7" s="194">
        <f>INDEX('01_Вводные'!$C$63:$C$67,MIN(5,INT(38/12)+1),1)*AN4</f>
        <v/>
      </c>
      <c r="AO7" s="194">
        <f>INDEX('01_Вводные'!$C$63:$C$67,MIN(5,INT(39/12)+1),1)*AO4</f>
        <v/>
      </c>
      <c r="AP7" s="194">
        <f>INDEX('01_Вводные'!$C$63:$C$67,MIN(5,INT(40/12)+1),1)*AP4</f>
        <v/>
      </c>
      <c r="AQ7" s="194">
        <f>INDEX('01_Вводные'!$C$63:$C$67,MIN(5,INT(41/12)+1),1)*AQ4</f>
        <v/>
      </c>
      <c r="AR7" s="194">
        <f>INDEX('01_Вводные'!$C$63:$C$67,MIN(5,INT(42/12)+1),1)*AR4</f>
        <v/>
      </c>
      <c r="AS7" s="194">
        <f>INDEX('01_Вводные'!$C$63:$C$67,MIN(5,INT(43/12)+1),1)*AS4</f>
        <v/>
      </c>
      <c r="AT7" s="194">
        <f>INDEX('01_Вводные'!$C$63:$C$67,MIN(5,INT(44/12)+1),1)*AT4</f>
        <v/>
      </c>
      <c r="AU7" s="194">
        <f>INDEX('01_Вводные'!$C$63:$C$67,MIN(5,INT(45/12)+1),1)*AU4</f>
        <v/>
      </c>
      <c r="AV7" s="194">
        <f>INDEX('01_Вводные'!$C$63:$C$67,MIN(5,INT(46/12)+1),1)*AV4</f>
        <v/>
      </c>
      <c r="AW7" s="194">
        <f>INDEX('01_Вводные'!$C$63:$C$67,MIN(5,INT(47/12)+1),1)*AW4</f>
        <v/>
      </c>
      <c r="AX7" s="194">
        <f>INDEX('01_Вводные'!$C$63:$C$67,MIN(5,INT(48/12)+1),1)*AX4</f>
        <v/>
      </c>
      <c r="AY7" s="194">
        <f>INDEX('01_Вводные'!$C$63:$C$67,MIN(5,INT(49/12)+1),1)*AY4</f>
        <v/>
      </c>
      <c r="AZ7" s="194">
        <f>INDEX('01_Вводные'!$C$63:$C$67,MIN(5,INT(50/12)+1),1)*AZ4</f>
        <v/>
      </c>
      <c r="BA7" s="194">
        <f>INDEX('01_Вводные'!$C$63:$C$67,MIN(5,INT(51/12)+1),1)*BA4</f>
        <v/>
      </c>
      <c r="BB7" s="194">
        <f>INDEX('01_Вводные'!$C$63:$C$67,MIN(5,INT(52/12)+1),1)*BB4</f>
        <v/>
      </c>
      <c r="BC7" s="194">
        <f>INDEX('01_Вводные'!$C$63:$C$67,MIN(5,INT(53/12)+1),1)*BC4</f>
        <v/>
      </c>
      <c r="BD7" s="194">
        <f>INDEX('01_Вводные'!$C$63:$C$67,MIN(5,INT(54/12)+1),1)*BD4</f>
        <v/>
      </c>
      <c r="BE7" s="194">
        <f>INDEX('01_Вводные'!$C$63:$C$67,MIN(5,INT(55/12)+1),1)*BE4</f>
        <v/>
      </c>
      <c r="BF7" s="194">
        <f>INDEX('01_Вводные'!$C$63:$C$67,MIN(5,INT(56/12)+1),1)*BF4</f>
        <v/>
      </c>
      <c r="BG7" s="194">
        <f>INDEX('01_Вводные'!$C$63:$C$67,MIN(5,INT(57/12)+1),1)*BG4</f>
        <v/>
      </c>
      <c r="BH7" s="194">
        <f>INDEX('01_Вводные'!$C$63:$C$67,MIN(5,INT(58/12)+1),1)*BH4</f>
        <v/>
      </c>
      <c r="BI7" s="194">
        <f>INDEX('01_Вводные'!$C$63:$C$67,MIN(5,INT(59/12)+1),1)*BI4</f>
        <v/>
      </c>
      <c r="BJ7" s="194">
        <f>INDEX('01_Вводные'!$C$63:$C$67,MIN(5,INT(60/12)+1),1)*BJ4</f>
        <v/>
      </c>
      <c r="BK7" s="194">
        <f>INDEX('01_Вводные'!$C$63:$C$67,MIN(5,INT(61/12)+1),1)*BK4</f>
        <v/>
      </c>
      <c r="BL7" s="194">
        <f>INDEX('01_Вводные'!$C$63:$C$67,MIN(5,INT(62/12)+1),1)*BL4</f>
        <v/>
      </c>
      <c r="BM7" s="194">
        <f>INDEX('01_Вводные'!$C$63:$C$67,MIN(5,INT(63/12)+1),1)*BM4</f>
        <v/>
      </c>
      <c r="BN7" s="194">
        <f>INDEX('01_Вводные'!$C$63:$C$67,MIN(5,INT(64/12)+1),1)*BN4</f>
        <v/>
      </c>
      <c r="BO7" s="194">
        <f>INDEX('01_Вводные'!$C$63:$C$67,MIN(5,INT(65/12)+1),1)*BO4</f>
        <v/>
      </c>
    </row>
    <row r="8">
      <c r="A8" s="192" t="inlineStr">
        <is>
          <t>Абонемент действующей сети</t>
        </is>
      </c>
      <c r="B8" s="194">
        <f>'01_Вводные'!$B$51*B4</f>
        <v/>
      </c>
      <c r="C8" s="194">
        <f>'01_Вводные'!$B$51*C4</f>
        <v/>
      </c>
      <c r="D8" s="194">
        <f>'01_Вводные'!$B$51*D4</f>
        <v/>
      </c>
      <c r="E8" s="194">
        <f>'01_Вводные'!$B$51*E4</f>
        <v/>
      </c>
      <c r="F8" s="194">
        <f>'01_Вводные'!$B$51*F4</f>
        <v/>
      </c>
      <c r="G8" s="194">
        <f>'01_Вводные'!$B$51*G4</f>
        <v/>
      </c>
      <c r="H8" s="194">
        <f>'01_Вводные'!$B$51*H4</f>
        <v/>
      </c>
      <c r="I8" s="194">
        <f>'01_Вводные'!$B$51*I4</f>
        <v/>
      </c>
      <c r="J8" s="194">
        <f>'01_Вводные'!$B$51*J4</f>
        <v/>
      </c>
      <c r="K8" s="194">
        <f>'01_Вводные'!$B$51*K4</f>
        <v/>
      </c>
      <c r="L8" s="194">
        <f>'01_Вводные'!$B$51*L4</f>
        <v/>
      </c>
      <c r="M8" s="194">
        <f>'01_Вводные'!$B$51*M4</f>
        <v/>
      </c>
      <c r="N8" s="194">
        <f>'01_Вводные'!$B$51*N4</f>
        <v/>
      </c>
      <c r="O8" s="194">
        <f>'01_Вводные'!$B$51*O4</f>
        <v/>
      </c>
      <c r="P8" s="194">
        <f>'01_Вводные'!$B$51*P4</f>
        <v/>
      </c>
      <c r="Q8" s="194">
        <f>'01_Вводные'!$B$51*Q4</f>
        <v/>
      </c>
      <c r="R8" s="194">
        <f>'01_Вводные'!$B$51*R4</f>
        <v/>
      </c>
      <c r="S8" s="194">
        <f>'01_Вводные'!$B$51*S4</f>
        <v/>
      </c>
      <c r="T8" s="194">
        <f>'01_Вводные'!$B$51*T4</f>
        <v/>
      </c>
      <c r="U8" s="194">
        <f>'01_Вводные'!$B$51*U4</f>
        <v/>
      </c>
      <c r="V8" s="194">
        <f>'01_Вводные'!$B$51*V4</f>
        <v/>
      </c>
      <c r="W8" s="194">
        <f>'01_Вводные'!$B$51*W4</f>
        <v/>
      </c>
      <c r="X8" s="194">
        <f>'01_Вводные'!$B$51*X4</f>
        <v/>
      </c>
      <c r="Y8" s="194">
        <f>'01_Вводные'!$B$51*Y4</f>
        <v/>
      </c>
      <c r="Z8" s="194">
        <f>'01_Вводные'!$B$51*Z4</f>
        <v/>
      </c>
      <c r="AA8" s="194">
        <f>'01_Вводные'!$B$51*AA4</f>
        <v/>
      </c>
      <c r="AB8" s="194">
        <f>'01_Вводные'!$B$51*AB4</f>
        <v/>
      </c>
      <c r="AC8" s="194">
        <f>'01_Вводные'!$B$51*AC4</f>
        <v/>
      </c>
      <c r="AD8" s="194">
        <f>'01_Вводные'!$B$51*AD4</f>
        <v/>
      </c>
      <c r="AE8" s="194">
        <f>'01_Вводные'!$B$51*AE4</f>
        <v/>
      </c>
      <c r="AF8" s="194">
        <f>'01_Вводные'!$B$51*AF4</f>
        <v/>
      </c>
      <c r="AG8" s="194">
        <f>'01_Вводные'!$B$51*AG4</f>
        <v/>
      </c>
      <c r="AH8" s="194">
        <f>'01_Вводные'!$B$51*AH4</f>
        <v/>
      </c>
      <c r="AI8" s="194">
        <f>'01_Вводные'!$B$51*AI4</f>
        <v/>
      </c>
      <c r="AJ8" s="194">
        <f>'01_Вводные'!$B$51*AJ4</f>
        <v/>
      </c>
      <c r="AK8" s="194">
        <f>'01_Вводные'!$B$51*AK4</f>
        <v/>
      </c>
      <c r="AL8" s="194">
        <f>'01_Вводные'!$B$51*AL4</f>
        <v/>
      </c>
      <c r="AM8" s="194">
        <f>'01_Вводные'!$B$51*AM4</f>
        <v/>
      </c>
      <c r="AN8" s="194">
        <f>'01_Вводные'!$B$51*AN4</f>
        <v/>
      </c>
      <c r="AO8" s="194">
        <f>'01_Вводные'!$B$51*AO4</f>
        <v/>
      </c>
      <c r="AP8" s="194">
        <f>'01_Вводные'!$B$51*AP4</f>
        <v/>
      </c>
      <c r="AQ8" s="194">
        <f>'01_Вводные'!$B$51*AQ4</f>
        <v/>
      </c>
      <c r="AR8" s="194">
        <f>'01_Вводные'!$B$51*AR4</f>
        <v/>
      </c>
      <c r="AS8" s="194">
        <f>'01_Вводные'!$B$51*AS4</f>
        <v/>
      </c>
      <c r="AT8" s="194">
        <f>'01_Вводные'!$B$51*AT4</f>
        <v/>
      </c>
      <c r="AU8" s="194">
        <f>'01_Вводные'!$B$51*AU4</f>
        <v/>
      </c>
      <c r="AV8" s="194">
        <f>'01_Вводные'!$B$51*AV4</f>
        <v/>
      </c>
      <c r="AW8" s="194">
        <f>'01_Вводные'!$B$51*AW4</f>
        <v/>
      </c>
      <c r="AX8" s="194">
        <f>'01_Вводные'!$B$51*AX4</f>
        <v/>
      </c>
      <c r="AY8" s="194">
        <f>'01_Вводные'!$B$51*AY4</f>
        <v/>
      </c>
      <c r="AZ8" s="194">
        <f>'01_Вводные'!$B$51*AZ4</f>
        <v/>
      </c>
      <c r="BA8" s="194">
        <f>'01_Вводные'!$B$51*BA4</f>
        <v/>
      </c>
      <c r="BB8" s="194">
        <f>'01_Вводные'!$B$51*BB4</f>
        <v/>
      </c>
      <c r="BC8" s="194">
        <f>'01_Вводные'!$B$51*BC4</f>
        <v/>
      </c>
      <c r="BD8" s="194">
        <f>'01_Вводные'!$B$51*BD4</f>
        <v/>
      </c>
      <c r="BE8" s="194">
        <f>'01_Вводные'!$B$51*BE4</f>
        <v/>
      </c>
      <c r="BF8" s="194">
        <f>'01_Вводные'!$B$51*BF4</f>
        <v/>
      </c>
      <c r="BG8" s="194">
        <f>'01_Вводные'!$B$51*BG4</f>
        <v/>
      </c>
      <c r="BH8" s="194">
        <f>'01_Вводные'!$B$51*BH4</f>
        <v/>
      </c>
      <c r="BI8" s="194">
        <f>'01_Вводные'!$B$51*BI4</f>
        <v/>
      </c>
      <c r="BJ8" s="194">
        <f>'01_Вводные'!$B$51*BJ4</f>
        <v/>
      </c>
      <c r="BK8" s="194">
        <f>'01_Вводные'!$B$51*BK4</f>
        <v/>
      </c>
      <c r="BL8" s="194">
        <f>'01_Вводные'!$B$51*BL4</f>
        <v/>
      </c>
      <c r="BM8" s="194">
        <f>'01_Вводные'!$B$51*BM4</f>
        <v/>
      </c>
      <c r="BN8" s="194">
        <f>'01_Вводные'!$B$51*BN4</f>
        <v/>
      </c>
      <c r="BO8" s="194">
        <f>'01_Вводные'!$B$51*BO4</f>
        <v/>
      </c>
    </row>
    <row r="9">
      <c r="A9" s="192" t="inlineStr">
        <is>
          <t>Себестоимость комплекта</t>
        </is>
      </c>
      <c r="B9" s="194">
        <f>'01_Вводные'!$B$71*B4</f>
        <v/>
      </c>
      <c r="C9" s="194">
        <f>'01_Вводные'!$B$71*C4</f>
        <v/>
      </c>
      <c r="D9" s="194">
        <f>'01_Вводные'!$B$71*D4</f>
        <v/>
      </c>
      <c r="E9" s="194">
        <f>'01_Вводные'!$B$71*E4</f>
        <v/>
      </c>
      <c r="F9" s="194">
        <f>'01_Вводные'!$B$71*F4</f>
        <v/>
      </c>
      <c r="G9" s="194">
        <f>'01_Вводные'!$B$71*G4</f>
        <v/>
      </c>
      <c r="H9" s="194">
        <f>'01_Вводные'!$B$71*H4</f>
        <v/>
      </c>
      <c r="I9" s="194">
        <f>'01_Вводные'!$B$71*I4</f>
        <v/>
      </c>
      <c r="J9" s="194">
        <f>'01_Вводные'!$B$71*J4</f>
        <v/>
      </c>
      <c r="K9" s="194">
        <f>'01_Вводные'!$B$71*K4</f>
        <v/>
      </c>
      <c r="L9" s="194">
        <f>'01_Вводные'!$B$71*L4</f>
        <v/>
      </c>
      <c r="M9" s="194">
        <f>'01_Вводные'!$B$71*M4</f>
        <v/>
      </c>
      <c r="N9" s="194">
        <f>'01_Вводные'!$B$71*N4</f>
        <v/>
      </c>
      <c r="O9" s="194">
        <f>'01_Вводные'!$B$71*O4</f>
        <v/>
      </c>
      <c r="P9" s="194">
        <f>'01_Вводные'!$B$71*P4</f>
        <v/>
      </c>
      <c r="Q9" s="194">
        <f>'01_Вводные'!$B$71*Q4</f>
        <v/>
      </c>
      <c r="R9" s="194">
        <f>'01_Вводные'!$B$71*R4</f>
        <v/>
      </c>
      <c r="S9" s="194">
        <f>'01_Вводные'!$B$71*S4</f>
        <v/>
      </c>
      <c r="T9" s="194">
        <f>'01_Вводные'!$B$71*T4</f>
        <v/>
      </c>
      <c r="U9" s="194">
        <f>'01_Вводные'!$B$71*U4</f>
        <v/>
      </c>
      <c r="V9" s="194">
        <f>'01_Вводные'!$B$71*V4</f>
        <v/>
      </c>
      <c r="W9" s="194">
        <f>'01_Вводные'!$B$71*W4</f>
        <v/>
      </c>
      <c r="X9" s="194">
        <f>'01_Вводные'!$B$71*X4</f>
        <v/>
      </c>
      <c r="Y9" s="194">
        <f>'01_Вводные'!$B$71*Y4</f>
        <v/>
      </c>
      <c r="Z9" s="194">
        <f>'01_Вводные'!$B$71*Z4</f>
        <v/>
      </c>
      <c r="AA9" s="194">
        <f>'01_Вводные'!$B$71*AA4</f>
        <v/>
      </c>
      <c r="AB9" s="194">
        <f>'01_Вводные'!$B$71*AB4</f>
        <v/>
      </c>
      <c r="AC9" s="194">
        <f>'01_Вводные'!$B$71*AC4</f>
        <v/>
      </c>
      <c r="AD9" s="194">
        <f>'01_Вводные'!$B$71*AD4</f>
        <v/>
      </c>
      <c r="AE9" s="194">
        <f>'01_Вводные'!$B$71*AE4</f>
        <v/>
      </c>
      <c r="AF9" s="194">
        <f>'01_Вводные'!$B$71*AF4</f>
        <v/>
      </c>
      <c r="AG9" s="194">
        <f>'01_Вводные'!$B$71*AG4</f>
        <v/>
      </c>
      <c r="AH9" s="194">
        <f>'01_Вводные'!$B$71*AH4</f>
        <v/>
      </c>
      <c r="AI9" s="194">
        <f>'01_Вводные'!$B$71*AI4</f>
        <v/>
      </c>
      <c r="AJ9" s="194">
        <f>'01_Вводные'!$B$71*AJ4</f>
        <v/>
      </c>
      <c r="AK9" s="194">
        <f>'01_Вводные'!$B$71*AK4</f>
        <v/>
      </c>
      <c r="AL9" s="194">
        <f>'01_Вводные'!$B$71*AL4</f>
        <v/>
      </c>
      <c r="AM9" s="194">
        <f>'01_Вводные'!$B$71*AM4</f>
        <v/>
      </c>
      <c r="AN9" s="194">
        <f>'01_Вводные'!$B$71*AN4</f>
        <v/>
      </c>
      <c r="AO9" s="194">
        <f>'01_Вводные'!$B$71*AO4</f>
        <v/>
      </c>
      <c r="AP9" s="194">
        <f>'01_Вводные'!$B$71*AP4</f>
        <v/>
      </c>
      <c r="AQ9" s="194">
        <f>'01_Вводные'!$B$71*AQ4</f>
        <v/>
      </c>
      <c r="AR9" s="194">
        <f>'01_Вводные'!$B$71*AR4</f>
        <v/>
      </c>
      <c r="AS9" s="194">
        <f>'01_Вводные'!$B$71*AS4</f>
        <v/>
      </c>
      <c r="AT9" s="194">
        <f>'01_Вводные'!$B$71*AT4</f>
        <v/>
      </c>
      <c r="AU9" s="194">
        <f>'01_Вводные'!$B$71*AU4</f>
        <v/>
      </c>
      <c r="AV9" s="194">
        <f>'01_Вводные'!$B$71*AV4</f>
        <v/>
      </c>
      <c r="AW9" s="194">
        <f>'01_Вводные'!$B$71*AW4</f>
        <v/>
      </c>
      <c r="AX9" s="194">
        <f>'01_Вводные'!$B$71*AX4</f>
        <v/>
      </c>
      <c r="AY9" s="194">
        <f>'01_Вводные'!$B$71*AY4</f>
        <v/>
      </c>
      <c r="AZ9" s="194">
        <f>'01_Вводные'!$B$71*AZ4</f>
        <v/>
      </c>
      <c r="BA9" s="194">
        <f>'01_Вводные'!$B$71*BA4</f>
        <v/>
      </c>
      <c r="BB9" s="194">
        <f>'01_Вводные'!$B$71*BB4</f>
        <v/>
      </c>
      <c r="BC9" s="194">
        <f>'01_Вводные'!$B$71*BC4</f>
        <v/>
      </c>
      <c r="BD9" s="194">
        <f>'01_Вводные'!$B$71*BD4</f>
        <v/>
      </c>
      <c r="BE9" s="194">
        <f>'01_Вводные'!$B$71*BE4</f>
        <v/>
      </c>
      <c r="BF9" s="194">
        <f>'01_Вводные'!$B$71*BF4</f>
        <v/>
      </c>
      <c r="BG9" s="194">
        <f>'01_Вводные'!$B$71*BG4</f>
        <v/>
      </c>
      <c r="BH9" s="194">
        <f>'01_Вводные'!$B$71*BH4</f>
        <v/>
      </c>
      <c r="BI9" s="194">
        <f>'01_Вводные'!$B$71*BI4</f>
        <v/>
      </c>
      <c r="BJ9" s="194">
        <f>'01_Вводные'!$B$71*BJ4</f>
        <v/>
      </c>
      <c r="BK9" s="194">
        <f>'01_Вводные'!$B$71*BK4</f>
        <v/>
      </c>
      <c r="BL9" s="194">
        <f>'01_Вводные'!$B$71*BL4</f>
        <v/>
      </c>
      <c r="BM9" s="194">
        <f>'01_Вводные'!$B$71*BM4</f>
        <v/>
      </c>
      <c r="BN9" s="194">
        <f>'01_Вводные'!$B$71*BN4</f>
        <v/>
      </c>
      <c r="BO9" s="194">
        <f>'01_Вводные'!$B$71*BO4</f>
        <v/>
      </c>
    </row>
    <row r="10">
      <c r="A10" s="192" t="inlineStr">
        <is>
          <t>Цена комплекта</t>
        </is>
      </c>
      <c r="B10" s="194">
        <f>'01_Вводные'!$B$73*B4</f>
        <v/>
      </c>
      <c r="C10" s="194">
        <f>'01_Вводные'!$B$73*C4</f>
        <v/>
      </c>
      <c r="D10" s="194">
        <f>'01_Вводные'!$B$73*D4</f>
        <v/>
      </c>
      <c r="E10" s="194">
        <f>'01_Вводные'!$B$73*E4</f>
        <v/>
      </c>
      <c r="F10" s="194">
        <f>'01_Вводные'!$B$73*F4</f>
        <v/>
      </c>
      <c r="G10" s="194">
        <f>'01_Вводные'!$B$73*G4</f>
        <v/>
      </c>
      <c r="H10" s="194">
        <f>'01_Вводные'!$B$73*H4</f>
        <v/>
      </c>
      <c r="I10" s="194">
        <f>'01_Вводные'!$B$73*I4</f>
        <v/>
      </c>
      <c r="J10" s="194">
        <f>'01_Вводные'!$B$73*J4</f>
        <v/>
      </c>
      <c r="K10" s="194">
        <f>'01_Вводные'!$B$73*K4</f>
        <v/>
      </c>
      <c r="L10" s="194">
        <f>'01_Вводные'!$B$73*L4</f>
        <v/>
      </c>
      <c r="M10" s="194">
        <f>'01_Вводные'!$B$73*M4</f>
        <v/>
      </c>
      <c r="N10" s="194">
        <f>'01_Вводные'!$B$73*N4</f>
        <v/>
      </c>
      <c r="O10" s="194">
        <f>'01_Вводные'!$B$73*O4</f>
        <v/>
      </c>
      <c r="P10" s="194">
        <f>'01_Вводные'!$B$73*P4</f>
        <v/>
      </c>
      <c r="Q10" s="194">
        <f>'01_Вводные'!$B$73*Q4</f>
        <v/>
      </c>
      <c r="R10" s="194">
        <f>'01_Вводные'!$B$73*R4</f>
        <v/>
      </c>
      <c r="S10" s="194">
        <f>'01_Вводные'!$B$73*S4</f>
        <v/>
      </c>
      <c r="T10" s="194">
        <f>'01_Вводные'!$B$73*T4</f>
        <v/>
      </c>
      <c r="U10" s="194">
        <f>'01_Вводные'!$B$73*U4</f>
        <v/>
      </c>
      <c r="V10" s="194">
        <f>'01_Вводные'!$B$73*V4</f>
        <v/>
      </c>
      <c r="W10" s="194">
        <f>'01_Вводные'!$B$73*W4</f>
        <v/>
      </c>
      <c r="X10" s="194">
        <f>'01_Вводные'!$B$73*X4</f>
        <v/>
      </c>
      <c r="Y10" s="194">
        <f>'01_Вводные'!$B$73*Y4</f>
        <v/>
      </c>
      <c r="Z10" s="194">
        <f>'01_Вводные'!$B$73*Z4</f>
        <v/>
      </c>
      <c r="AA10" s="194">
        <f>'01_Вводные'!$B$73*AA4</f>
        <v/>
      </c>
      <c r="AB10" s="194">
        <f>'01_Вводные'!$B$73*AB4</f>
        <v/>
      </c>
      <c r="AC10" s="194">
        <f>'01_Вводные'!$B$73*AC4</f>
        <v/>
      </c>
      <c r="AD10" s="194">
        <f>'01_Вводные'!$B$73*AD4</f>
        <v/>
      </c>
      <c r="AE10" s="194">
        <f>'01_Вводные'!$B$73*AE4</f>
        <v/>
      </c>
      <c r="AF10" s="194">
        <f>'01_Вводные'!$B$73*AF4</f>
        <v/>
      </c>
      <c r="AG10" s="194">
        <f>'01_Вводные'!$B$73*AG4</f>
        <v/>
      </c>
      <c r="AH10" s="194">
        <f>'01_Вводные'!$B$73*AH4</f>
        <v/>
      </c>
      <c r="AI10" s="194">
        <f>'01_Вводные'!$B$73*AI4</f>
        <v/>
      </c>
      <c r="AJ10" s="194">
        <f>'01_Вводные'!$B$73*AJ4</f>
        <v/>
      </c>
      <c r="AK10" s="194">
        <f>'01_Вводные'!$B$73*AK4</f>
        <v/>
      </c>
      <c r="AL10" s="194">
        <f>'01_Вводные'!$B$73*AL4</f>
        <v/>
      </c>
      <c r="AM10" s="194">
        <f>'01_Вводные'!$B$73*AM4</f>
        <v/>
      </c>
      <c r="AN10" s="194">
        <f>'01_Вводные'!$B$73*AN4</f>
        <v/>
      </c>
      <c r="AO10" s="194">
        <f>'01_Вводные'!$B$73*AO4</f>
        <v/>
      </c>
      <c r="AP10" s="194">
        <f>'01_Вводные'!$B$73*AP4</f>
        <v/>
      </c>
      <c r="AQ10" s="194">
        <f>'01_Вводные'!$B$73*AQ4</f>
        <v/>
      </c>
      <c r="AR10" s="194">
        <f>'01_Вводные'!$B$73*AR4</f>
        <v/>
      </c>
      <c r="AS10" s="194">
        <f>'01_Вводные'!$B$73*AS4</f>
        <v/>
      </c>
      <c r="AT10" s="194">
        <f>'01_Вводные'!$B$73*AT4</f>
        <v/>
      </c>
      <c r="AU10" s="194">
        <f>'01_Вводные'!$B$73*AU4</f>
        <v/>
      </c>
      <c r="AV10" s="194">
        <f>'01_Вводные'!$B$73*AV4</f>
        <v/>
      </c>
      <c r="AW10" s="194">
        <f>'01_Вводные'!$B$73*AW4</f>
        <v/>
      </c>
      <c r="AX10" s="194">
        <f>'01_Вводные'!$B$73*AX4</f>
        <v/>
      </c>
      <c r="AY10" s="194">
        <f>'01_Вводные'!$B$73*AY4</f>
        <v/>
      </c>
      <c r="AZ10" s="194">
        <f>'01_Вводные'!$B$73*AZ4</f>
        <v/>
      </c>
      <c r="BA10" s="194">
        <f>'01_Вводные'!$B$73*BA4</f>
        <v/>
      </c>
      <c r="BB10" s="194">
        <f>'01_Вводные'!$B$73*BB4</f>
        <v/>
      </c>
      <c r="BC10" s="194">
        <f>'01_Вводные'!$B$73*BC4</f>
        <v/>
      </c>
      <c r="BD10" s="194">
        <f>'01_Вводные'!$B$73*BD4</f>
        <v/>
      </c>
      <c r="BE10" s="194">
        <f>'01_Вводные'!$B$73*BE4</f>
        <v/>
      </c>
      <c r="BF10" s="194">
        <f>'01_Вводные'!$B$73*BF4</f>
        <v/>
      </c>
      <c r="BG10" s="194">
        <f>'01_Вводные'!$B$73*BG4</f>
        <v/>
      </c>
      <c r="BH10" s="194">
        <f>'01_Вводные'!$B$73*BH4</f>
        <v/>
      </c>
      <c r="BI10" s="194">
        <f>'01_Вводные'!$B$73*BI4</f>
        <v/>
      </c>
      <c r="BJ10" s="194">
        <f>'01_Вводные'!$B$73*BJ4</f>
        <v/>
      </c>
      <c r="BK10" s="194">
        <f>'01_Вводные'!$B$73*BK4</f>
        <v/>
      </c>
      <c r="BL10" s="194">
        <f>'01_Вводные'!$B$73*BL4</f>
        <v/>
      </c>
      <c r="BM10" s="194">
        <f>'01_Вводные'!$B$73*BM4</f>
        <v/>
      </c>
      <c r="BN10" s="194">
        <f>'01_Вводные'!$B$73*BN4</f>
        <v/>
      </c>
      <c r="BO10" s="194">
        <f>'01_Вводные'!$B$73*BO4</f>
        <v/>
      </c>
    </row>
    <row r="11">
      <c r="A11" s="192" t="inlineStr">
        <is>
          <t>Таргет на продажу</t>
        </is>
      </c>
      <c r="B11" s="194">
        <f>'01_Вводные'!$B$26*B4</f>
        <v/>
      </c>
      <c r="C11" s="194">
        <f>'01_Вводные'!$B$26*C4</f>
        <v/>
      </c>
      <c r="D11" s="194">
        <f>'01_Вводные'!$B$26*D4</f>
        <v/>
      </c>
      <c r="E11" s="194">
        <f>'01_Вводные'!$B$26*E4</f>
        <v/>
      </c>
      <c r="F11" s="194">
        <f>'01_Вводные'!$B$26*F4</f>
        <v/>
      </c>
      <c r="G11" s="194">
        <f>'01_Вводные'!$B$26*G4</f>
        <v/>
      </c>
      <c r="H11" s="194">
        <f>'01_Вводные'!$B$26*H4</f>
        <v/>
      </c>
      <c r="I11" s="194">
        <f>'01_Вводные'!$B$26*I4</f>
        <v/>
      </c>
      <c r="J11" s="194">
        <f>'01_Вводные'!$B$26*J4</f>
        <v/>
      </c>
      <c r="K11" s="194">
        <f>'01_Вводные'!$B$26*K4</f>
        <v/>
      </c>
      <c r="L11" s="194">
        <f>'01_Вводные'!$B$26*L4</f>
        <v/>
      </c>
      <c r="M11" s="194">
        <f>'01_Вводные'!$B$26*M4</f>
        <v/>
      </c>
      <c r="N11" s="194">
        <f>'01_Вводные'!$B$26*N4</f>
        <v/>
      </c>
      <c r="O11" s="194">
        <f>'01_Вводные'!$B$26*O4</f>
        <v/>
      </c>
      <c r="P11" s="194">
        <f>'01_Вводные'!$B$26*P4</f>
        <v/>
      </c>
      <c r="Q11" s="194">
        <f>'01_Вводные'!$B$26*Q4</f>
        <v/>
      </c>
      <c r="R11" s="194">
        <f>'01_Вводные'!$B$26*R4</f>
        <v/>
      </c>
      <c r="S11" s="194">
        <f>'01_Вводные'!$B$26*S4</f>
        <v/>
      </c>
      <c r="T11" s="194">
        <f>'01_Вводные'!$B$26*T4</f>
        <v/>
      </c>
      <c r="U11" s="194">
        <f>'01_Вводные'!$B$26*U4</f>
        <v/>
      </c>
      <c r="V11" s="194">
        <f>'01_Вводные'!$B$26*V4</f>
        <v/>
      </c>
      <c r="W11" s="194">
        <f>'01_Вводные'!$B$26*W4</f>
        <v/>
      </c>
      <c r="X11" s="194">
        <f>'01_Вводные'!$B$26*X4</f>
        <v/>
      </c>
      <c r="Y11" s="194">
        <f>'01_Вводные'!$B$26*Y4</f>
        <v/>
      </c>
      <c r="Z11" s="194">
        <f>'01_Вводные'!$B$26*Z4</f>
        <v/>
      </c>
      <c r="AA11" s="194">
        <f>'01_Вводные'!$B$26*AA4</f>
        <v/>
      </c>
      <c r="AB11" s="194">
        <f>'01_Вводные'!$B$26*AB4</f>
        <v/>
      </c>
      <c r="AC11" s="194">
        <f>'01_Вводные'!$B$26*AC4</f>
        <v/>
      </c>
      <c r="AD11" s="194">
        <f>'01_Вводные'!$B$26*AD4</f>
        <v/>
      </c>
      <c r="AE11" s="194">
        <f>'01_Вводные'!$B$26*AE4</f>
        <v/>
      </c>
      <c r="AF11" s="194">
        <f>'01_Вводные'!$B$26*AF4</f>
        <v/>
      </c>
      <c r="AG11" s="194">
        <f>'01_Вводные'!$B$26*AG4</f>
        <v/>
      </c>
      <c r="AH11" s="194">
        <f>'01_Вводные'!$B$26*AH4</f>
        <v/>
      </c>
      <c r="AI11" s="194">
        <f>'01_Вводные'!$B$26*AI4</f>
        <v/>
      </c>
      <c r="AJ11" s="194">
        <f>'01_Вводные'!$B$26*AJ4</f>
        <v/>
      </c>
      <c r="AK11" s="194">
        <f>'01_Вводные'!$B$26*AK4</f>
        <v/>
      </c>
      <c r="AL11" s="194">
        <f>'01_Вводные'!$B$26*AL4</f>
        <v/>
      </c>
      <c r="AM11" s="194">
        <f>'01_Вводные'!$B$26*AM4</f>
        <v/>
      </c>
      <c r="AN11" s="194">
        <f>'01_Вводные'!$B$26*AN4</f>
        <v/>
      </c>
      <c r="AO11" s="194">
        <f>'01_Вводные'!$B$26*AO4</f>
        <v/>
      </c>
      <c r="AP11" s="194">
        <f>'01_Вводные'!$B$26*AP4</f>
        <v/>
      </c>
      <c r="AQ11" s="194">
        <f>'01_Вводные'!$B$26*AQ4</f>
        <v/>
      </c>
      <c r="AR11" s="194">
        <f>'01_Вводные'!$B$26*AR4</f>
        <v/>
      </c>
      <c r="AS11" s="194">
        <f>'01_Вводные'!$B$26*AS4</f>
        <v/>
      </c>
      <c r="AT11" s="194">
        <f>'01_Вводные'!$B$26*AT4</f>
        <v/>
      </c>
      <c r="AU11" s="194">
        <f>'01_Вводные'!$B$26*AU4</f>
        <v/>
      </c>
      <c r="AV11" s="194">
        <f>'01_Вводные'!$B$26*AV4</f>
        <v/>
      </c>
      <c r="AW11" s="194">
        <f>'01_Вводные'!$B$26*AW4</f>
        <v/>
      </c>
      <c r="AX11" s="194">
        <f>'01_Вводные'!$B$26*AX4</f>
        <v/>
      </c>
      <c r="AY11" s="194">
        <f>'01_Вводные'!$B$26*AY4</f>
        <v/>
      </c>
      <c r="AZ11" s="194">
        <f>'01_Вводные'!$B$26*AZ4</f>
        <v/>
      </c>
      <c r="BA11" s="194">
        <f>'01_Вводные'!$B$26*BA4</f>
        <v/>
      </c>
      <c r="BB11" s="194">
        <f>'01_Вводные'!$B$26*BB4</f>
        <v/>
      </c>
      <c r="BC11" s="194">
        <f>'01_Вводные'!$B$26*BC4</f>
        <v/>
      </c>
      <c r="BD11" s="194">
        <f>'01_Вводные'!$B$26*BD4</f>
        <v/>
      </c>
      <c r="BE11" s="194">
        <f>'01_Вводные'!$B$26*BE4</f>
        <v/>
      </c>
      <c r="BF11" s="194">
        <f>'01_Вводные'!$B$26*BF4</f>
        <v/>
      </c>
      <c r="BG11" s="194">
        <f>'01_Вводные'!$B$26*BG4</f>
        <v/>
      </c>
      <c r="BH11" s="194">
        <f>'01_Вводные'!$B$26*BH4</f>
        <v/>
      </c>
      <c r="BI11" s="194">
        <f>'01_Вводные'!$B$26*BI4</f>
        <v/>
      </c>
      <c r="BJ11" s="194">
        <f>'01_Вводные'!$B$26*BJ4</f>
        <v/>
      </c>
      <c r="BK11" s="194">
        <f>'01_Вводные'!$B$26*BK4</f>
        <v/>
      </c>
      <c r="BL11" s="194">
        <f>'01_Вводные'!$B$26*BL4</f>
        <v/>
      </c>
      <c r="BM11" s="194">
        <f>'01_Вводные'!$B$26*BM4</f>
        <v/>
      </c>
      <c r="BN11" s="194">
        <f>'01_Вводные'!$B$26*BN4</f>
        <v/>
      </c>
      <c r="BO11" s="194">
        <f>'01_Вводные'!$B$26*BO4</f>
        <v/>
      </c>
    </row>
    <row r="12"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128" t="n"/>
      <c r="U12" s="128" t="n"/>
      <c r="V12" s="128" t="n"/>
      <c r="W12" s="128" t="n"/>
      <c r="X12" s="128" t="n"/>
      <c r="Y12" s="128" t="n"/>
      <c r="Z12" s="128" t="n"/>
      <c r="AA12" s="128" t="n"/>
      <c r="AB12" s="128" t="n"/>
      <c r="AC12" s="128" t="n"/>
      <c r="AD12" s="128" t="n"/>
      <c r="AE12" s="128" t="n"/>
      <c r="AF12" s="128" t="n"/>
      <c r="AG12" s="128" t="n"/>
      <c r="AH12" s="128" t="n"/>
      <c r="AI12" s="128" t="n"/>
      <c r="AJ12" s="128" t="n"/>
      <c r="AK12" s="128" t="n"/>
      <c r="AL12" s="128" t="n"/>
      <c r="AM12" s="128" t="n"/>
      <c r="AN12" s="128" t="n"/>
      <c r="AO12" s="128" t="n"/>
      <c r="AP12" s="128" t="n"/>
      <c r="AQ12" s="128" t="n"/>
      <c r="AR12" s="128" t="n"/>
      <c r="AS12" s="128" t="n"/>
      <c r="AT12" s="128" t="n"/>
      <c r="AU12" s="128" t="n"/>
      <c r="AV12" s="128" t="n"/>
      <c r="AW12" s="128" t="n"/>
      <c r="AX12" s="128" t="n"/>
      <c r="AY12" s="128" t="n"/>
      <c r="AZ12" s="128" t="n"/>
      <c r="BA12" s="128" t="n"/>
      <c r="BB12" s="128" t="n"/>
      <c r="BC12" s="128" t="n"/>
      <c r="BD12" s="128" t="n"/>
      <c r="BE12" s="128" t="n"/>
      <c r="BF12" s="128" t="n"/>
      <c r="BG12" s="128" t="n"/>
      <c r="BH12" s="128" t="n"/>
      <c r="BI12" s="128" t="n"/>
      <c r="BJ12" s="128" t="n"/>
      <c r="BK12" s="128" t="n"/>
      <c r="BL12" s="128" t="n"/>
      <c r="BM12" s="128" t="n"/>
      <c r="BN12" s="128" t="n"/>
      <c r="BO12" s="128" t="n"/>
    </row>
    <row r="13">
      <c r="A13" s="192" t="inlineStr">
        <is>
          <t>SMM-подрядчики</t>
        </is>
      </c>
      <c r="B13" s="194">
        <f>IF(B$3&lt;'01_Вводные'!$B$248,'01_Вводные'!$B$111*B4,'01_Вводные'!$B$112*B4/$B$16)</f>
        <v/>
      </c>
      <c r="C13" s="194">
        <f>IF(C$3&lt;'01_Вводные'!$B$248,'01_Вводные'!$B$111*C4,'01_Вводные'!$B$112*C4/$B$16)</f>
        <v/>
      </c>
      <c r="D13" s="194">
        <f>IF(D$3&lt;'01_Вводные'!$B$248,'01_Вводные'!$B$111*D4,'01_Вводные'!$B$112*D4/$B$16)</f>
        <v/>
      </c>
      <c r="E13" s="194">
        <f>IF(E$3&lt;'01_Вводные'!$B$248,'01_Вводные'!$B$111*E4,'01_Вводные'!$B$112*E4/$B$16)</f>
        <v/>
      </c>
      <c r="F13" s="194">
        <f>IF(F$3&lt;'01_Вводные'!$B$248,'01_Вводные'!$B$111*F4,'01_Вводные'!$B$112*F4/$B$16)</f>
        <v/>
      </c>
      <c r="G13" s="194">
        <f>IF(G$3&lt;'01_Вводные'!$B$248,'01_Вводные'!$B$111*G4,'01_Вводные'!$B$112*G4/$B$16)</f>
        <v/>
      </c>
      <c r="H13" s="194">
        <f>IF(H$3&lt;'01_Вводные'!$B$248,'01_Вводные'!$B$111*H4,'01_Вводные'!$B$112*H4/$B$16)</f>
        <v/>
      </c>
      <c r="I13" s="194">
        <f>IF(I$3&lt;'01_Вводные'!$B$248,'01_Вводные'!$B$111*I4,'01_Вводные'!$B$112*I4/$B$16)</f>
        <v/>
      </c>
      <c r="J13" s="194">
        <f>IF(J$3&lt;'01_Вводные'!$B$248,'01_Вводные'!$B$111*J4,'01_Вводные'!$B$112*J4/$B$16)</f>
        <v/>
      </c>
      <c r="K13" s="194">
        <f>IF(K$3&lt;'01_Вводные'!$B$248,'01_Вводные'!$B$111*K4,'01_Вводные'!$B$112*K4/$B$16)</f>
        <v/>
      </c>
      <c r="L13" s="194">
        <f>IF(L$3&lt;'01_Вводные'!$B$248,'01_Вводные'!$B$111*L4,'01_Вводные'!$B$112*L4/$B$16)</f>
        <v/>
      </c>
      <c r="M13" s="194">
        <f>IF(M$3&lt;'01_Вводные'!$B$248,'01_Вводные'!$B$111*M4,'01_Вводные'!$B$112*M4/$B$16)</f>
        <v/>
      </c>
      <c r="N13" s="194">
        <f>IF(N$3&lt;'01_Вводные'!$B$248,'01_Вводные'!$B$111*N4,'01_Вводные'!$B$112*N4/$B$16)</f>
        <v/>
      </c>
      <c r="O13" s="194">
        <f>IF(O$3&lt;'01_Вводные'!$B$248,'01_Вводные'!$B$111*O4,'01_Вводные'!$B$112*O4/$B$16)</f>
        <v/>
      </c>
      <c r="P13" s="194">
        <f>IF(P$3&lt;'01_Вводные'!$B$248,'01_Вводные'!$B$111*P4,'01_Вводные'!$B$112*P4/$B$16)</f>
        <v/>
      </c>
      <c r="Q13" s="194">
        <f>IF(Q$3&lt;'01_Вводные'!$B$248,'01_Вводные'!$B$111*Q4,'01_Вводные'!$B$112*Q4/$B$16)</f>
        <v/>
      </c>
      <c r="R13" s="194">
        <f>IF(R$3&lt;'01_Вводные'!$B$248,'01_Вводные'!$B$111*R4,'01_Вводные'!$B$112*R4/$B$16)</f>
        <v/>
      </c>
      <c r="S13" s="194">
        <f>IF(S$3&lt;'01_Вводные'!$B$248,'01_Вводные'!$B$111*S4,'01_Вводные'!$B$112*S4/$B$16)</f>
        <v/>
      </c>
      <c r="T13" s="194">
        <f>IF(T$3&lt;'01_Вводные'!$B$248,'01_Вводные'!$B$111*T4,'01_Вводные'!$B$112*T4/$B$16)</f>
        <v/>
      </c>
      <c r="U13" s="194">
        <f>IF(U$3&lt;'01_Вводные'!$B$248,'01_Вводные'!$B$111*U4,'01_Вводные'!$B$112*U4/$B$16)</f>
        <v/>
      </c>
      <c r="V13" s="194">
        <f>IF(V$3&lt;'01_Вводные'!$B$248,'01_Вводные'!$B$111*V4,'01_Вводные'!$B$112*V4/$B$16)</f>
        <v/>
      </c>
      <c r="W13" s="194">
        <f>IF(W$3&lt;'01_Вводные'!$B$248,'01_Вводные'!$B$111*W4,'01_Вводные'!$B$112*W4/$B$16)</f>
        <v/>
      </c>
      <c r="X13" s="194">
        <f>IF(X$3&lt;'01_Вводные'!$B$248,'01_Вводные'!$B$111*X4,'01_Вводные'!$B$112*X4/$B$16)</f>
        <v/>
      </c>
      <c r="Y13" s="194">
        <f>IF(Y$3&lt;'01_Вводные'!$B$248,'01_Вводные'!$B$111*Y4,'01_Вводные'!$B$112*Y4/$B$16)</f>
        <v/>
      </c>
      <c r="Z13" s="194">
        <f>IF(Z$3&lt;'01_Вводные'!$B$248,'01_Вводные'!$B$111*Z4,'01_Вводные'!$B$112*Z4/$B$16)</f>
        <v/>
      </c>
      <c r="AA13" s="194">
        <f>IF(AA$3&lt;'01_Вводные'!$B$248,'01_Вводные'!$B$111*AA4,'01_Вводные'!$B$112*AA4/$B$16)</f>
        <v/>
      </c>
      <c r="AB13" s="194">
        <f>IF(AB$3&lt;'01_Вводные'!$B$248,'01_Вводные'!$B$111*AB4,'01_Вводные'!$B$112*AB4/$B$16)</f>
        <v/>
      </c>
      <c r="AC13" s="194">
        <f>IF(AC$3&lt;'01_Вводные'!$B$248,'01_Вводные'!$B$111*AC4,'01_Вводные'!$B$112*AC4/$B$16)</f>
        <v/>
      </c>
      <c r="AD13" s="194">
        <f>IF(AD$3&lt;'01_Вводные'!$B$248,'01_Вводные'!$B$111*AD4,'01_Вводные'!$B$112*AD4/$B$16)</f>
        <v/>
      </c>
      <c r="AE13" s="194">
        <f>IF(AE$3&lt;'01_Вводные'!$B$248,'01_Вводные'!$B$111*AE4,'01_Вводные'!$B$112*AE4/$B$16)</f>
        <v/>
      </c>
      <c r="AF13" s="194">
        <f>IF(AF$3&lt;'01_Вводные'!$B$248,'01_Вводные'!$B$111*AF4,'01_Вводные'!$B$112*AF4/$B$16)</f>
        <v/>
      </c>
      <c r="AG13" s="194">
        <f>IF(AG$3&lt;'01_Вводные'!$B$248,'01_Вводные'!$B$111*AG4,'01_Вводные'!$B$112*AG4/$B$16)</f>
        <v/>
      </c>
      <c r="AH13" s="194">
        <f>IF(AH$3&lt;'01_Вводные'!$B$248,'01_Вводные'!$B$111*AH4,'01_Вводные'!$B$112*AH4/$B$16)</f>
        <v/>
      </c>
      <c r="AI13" s="194">
        <f>IF(AI$3&lt;'01_Вводные'!$B$248,'01_Вводные'!$B$111*AI4,'01_Вводные'!$B$112*AI4/$B$16)</f>
        <v/>
      </c>
      <c r="AJ13" s="194">
        <f>IF(AJ$3&lt;'01_Вводные'!$B$248,'01_Вводные'!$B$111*AJ4,'01_Вводные'!$B$112*AJ4/$B$16)</f>
        <v/>
      </c>
      <c r="AK13" s="194">
        <f>IF(AK$3&lt;'01_Вводные'!$B$248,'01_Вводные'!$B$111*AK4,'01_Вводные'!$B$112*AK4/$B$16)</f>
        <v/>
      </c>
      <c r="AL13" s="194">
        <f>IF(AL$3&lt;'01_Вводные'!$B$248,'01_Вводные'!$B$111*AL4,'01_Вводные'!$B$112*AL4/$B$16)</f>
        <v/>
      </c>
      <c r="AM13" s="194">
        <f>IF(AM$3&lt;'01_Вводные'!$B$248,'01_Вводные'!$B$111*AM4,'01_Вводные'!$B$112*AM4/$B$16)</f>
        <v/>
      </c>
      <c r="AN13" s="194">
        <f>IF(AN$3&lt;'01_Вводные'!$B$248,'01_Вводные'!$B$111*AN4,'01_Вводные'!$B$112*AN4/$B$16)</f>
        <v/>
      </c>
      <c r="AO13" s="194">
        <f>IF(AO$3&lt;'01_Вводные'!$B$248,'01_Вводные'!$B$111*AO4,'01_Вводные'!$B$112*AO4/$B$16)</f>
        <v/>
      </c>
      <c r="AP13" s="194">
        <f>IF(AP$3&lt;'01_Вводные'!$B$248,'01_Вводные'!$B$111*AP4,'01_Вводные'!$B$112*AP4/$B$16)</f>
        <v/>
      </c>
      <c r="AQ13" s="194">
        <f>IF(AQ$3&lt;'01_Вводные'!$B$248,'01_Вводные'!$B$111*AQ4,'01_Вводные'!$B$112*AQ4/$B$16)</f>
        <v/>
      </c>
      <c r="AR13" s="194">
        <f>IF(AR$3&lt;'01_Вводные'!$B$248,'01_Вводные'!$B$111*AR4,'01_Вводные'!$B$112*AR4/$B$16)</f>
        <v/>
      </c>
      <c r="AS13" s="194">
        <f>IF(AS$3&lt;'01_Вводные'!$B$248,'01_Вводные'!$B$111*AS4,'01_Вводные'!$B$112*AS4/$B$16)</f>
        <v/>
      </c>
      <c r="AT13" s="194">
        <f>IF(AT$3&lt;'01_Вводные'!$B$248,'01_Вводные'!$B$111*AT4,'01_Вводные'!$B$112*AT4/$B$16)</f>
        <v/>
      </c>
      <c r="AU13" s="194">
        <f>IF(AU$3&lt;'01_Вводные'!$B$248,'01_Вводные'!$B$111*AU4,'01_Вводные'!$B$112*AU4/$B$16)</f>
        <v/>
      </c>
      <c r="AV13" s="194">
        <f>IF(AV$3&lt;'01_Вводные'!$B$248,'01_Вводные'!$B$111*AV4,'01_Вводные'!$B$112*AV4/$B$16)</f>
        <v/>
      </c>
      <c r="AW13" s="194">
        <f>IF(AW$3&lt;'01_Вводные'!$B$248,'01_Вводные'!$B$111*AW4,'01_Вводные'!$B$112*AW4/$B$16)</f>
        <v/>
      </c>
      <c r="AX13" s="194">
        <f>IF(AX$3&lt;'01_Вводные'!$B$248,'01_Вводные'!$B$111*AX4,'01_Вводные'!$B$112*AX4/$B$16)</f>
        <v/>
      </c>
      <c r="AY13" s="194">
        <f>IF(AY$3&lt;'01_Вводные'!$B$248,'01_Вводные'!$B$111*AY4,'01_Вводные'!$B$112*AY4/$B$16)</f>
        <v/>
      </c>
      <c r="AZ13" s="194">
        <f>IF(AZ$3&lt;'01_Вводные'!$B$248,'01_Вводные'!$B$111*AZ4,'01_Вводные'!$B$112*AZ4/$B$16)</f>
        <v/>
      </c>
      <c r="BA13" s="194">
        <f>IF(BA$3&lt;'01_Вводные'!$B$248,'01_Вводные'!$B$111*BA4,'01_Вводные'!$B$112*BA4/$B$16)</f>
        <v/>
      </c>
      <c r="BB13" s="194">
        <f>IF(BB$3&lt;'01_Вводные'!$B$248,'01_Вводные'!$B$111*BB4,'01_Вводные'!$B$112*BB4/$B$16)</f>
        <v/>
      </c>
      <c r="BC13" s="194">
        <f>IF(BC$3&lt;'01_Вводные'!$B$248,'01_Вводные'!$B$111*BC4,'01_Вводные'!$B$112*BC4/$B$16)</f>
        <v/>
      </c>
      <c r="BD13" s="194">
        <f>IF(BD$3&lt;'01_Вводные'!$B$248,'01_Вводные'!$B$111*BD4,'01_Вводные'!$B$112*BD4/$B$16)</f>
        <v/>
      </c>
      <c r="BE13" s="194">
        <f>IF(BE$3&lt;'01_Вводные'!$B$248,'01_Вводные'!$B$111*BE4,'01_Вводные'!$B$112*BE4/$B$16)</f>
        <v/>
      </c>
      <c r="BF13" s="194">
        <f>IF(BF$3&lt;'01_Вводные'!$B$248,'01_Вводные'!$B$111*BF4,'01_Вводные'!$B$112*BF4/$B$16)</f>
        <v/>
      </c>
      <c r="BG13" s="194">
        <f>IF(BG$3&lt;'01_Вводные'!$B$248,'01_Вводные'!$B$111*BG4,'01_Вводные'!$B$112*BG4/$B$16)</f>
        <v/>
      </c>
      <c r="BH13" s="194">
        <f>IF(BH$3&lt;'01_Вводные'!$B$248,'01_Вводные'!$B$111*BH4,'01_Вводные'!$B$112*BH4/$B$16)</f>
        <v/>
      </c>
      <c r="BI13" s="194">
        <f>IF(BI$3&lt;'01_Вводные'!$B$248,'01_Вводные'!$B$111*BI4,'01_Вводные'!$B$112*BI4/$B$16)</f>
        <v/>
      </c>
      <c r="BJ13" s="194">
        <f>IF(BJ$3&lt;'01_Вводные'!$B$248,'01_Вводные'!$B$111*BJ4,'01_Вводные'!$B$112*BJ4/$B$16)</f>
        <v/>
      </c>
      <c r="BK13" s="194">
        <f>IF(BK$3&lt;'01_Вводные'!$B$248,'01_Вводные'!$B$111*BK4,'01_Вводные'!$B$112*BK4/$B$16)</f>
        <v/>
      </c>
      <c r="BL13" s="194">
        <f>IF(BL$3&lt;'01_Вводные'!$B$248,'01_Вводные'!$B$111*BL4,'01_Вводные'!$B$112*BL4/$B$16)</f>
        <v/>
      </c>
      <c r="BM13" s="194">
        <f>IF(BM$3&lt;'01_Вводные'!$B$248,'01_Вводные'!$B$111*BM4,'01_Вводные'!$B$112*BM4/$B$16)</f>
        <v/>
      </c>
      <c r="BN13" s="194">
        <f>IF(BN$3&lt;'01_Вводные'!$B$248,'01_Вводные'!$B$111*BN4,'01_Вводные'!$B$112*BN4/$B$16)</f>
        <v/>
      </c>
      <c r="BO13" s="194">
        <f>IF(BO$3&lt;'01_Вводные'!$B$248,'01_Вводные'!$B$111*BO4,'01_Вводные'!$B$112*BO4/$B$16)</f>
        <v/>
      </c>
    </row>
    <row r="14">
      <c r="A14" s="192" t="inlineStr">
        <is>
          <t>Резерв ротации</t>
        </is>
      </c>
      <c r="B14" s="194">
        <f>'01_Вводные'!$B$122*B4</f>
        <v/>
      </c>
      <c r="C14" s="194">
        <f>'01_Вводные'!$B$122*C4</f>
        <v/>
      </c>
      <c r="D14" s="194">
        <f>'01_Вводные'!$B$122*D4</f>
        <v/>
      </c>
      <c r="E14" s="194">
        <f>'01_Вводные'!$B$122*E4</f>
        <v/>
      </c>
      <c r="F14" s="194">
        <f>'01_Вводные'!$B$122*F4</f>
        <v/>
      </c>
      <c r="G14" s="194">
        <f>'01_Вводные'!$B$122*G4</f>
        <v/>
      </c>
      <c r="H14" s="194">
        <f>'01_Вводные'!$B$122*H4</f>
        <v/>
      </c>
      <c r="I14" s="194">
        <f>'01_Вводные'!$B$122*I4</f>
        <v/>
      </c>
      <c r="J14" s="194">
        <f>'01_Вводные'!$B$122*J4</f>
        <v/>
      </c>
      <c r="K14" s="194">
        <f>'01_Вводные'!$B$122*K4</f>
        <v/>
      </c>
      <c r="L14" s="194">
        <f>'01_Вводные'!$B$122*L4</f>
        <v/>
      </c>
      <c r="M14" s="194">
        <f>'01_Вводные'!$B$122*M4</f>
        <v/>
      </c>
      <c r="N14" s="194">
        <f>'01_Вводные'!$B$122*N4</f>
        <v/>
      </c>
      <c r="O14" s="194">
        <f>'01_Вводные'!$B$122*O4</f>
        <v/>
      </c>
      <c r="P14" s="194">
        <f>'01_Вводные'!$B$122*P4</f>
        <v/>
      </c>
      <c r="Q14" s="194">
        <f>'01_Вводные'!$B$122*Q4</f>
        <v/>
      </c>
      <c r="R14" s="194">
        <f>'01_Вводные'!$B$122*R4</f>
        <v/>
      </c>
      <c r="S14" s="194">
        <f>'01_Вводные'!$B$122*S4</f>
        <v/>
      </c>
      <c r="T14" s="194">
        <f>'01_Вводные'!$B$122*T4</f>
        <v/>
      </c>
      <c r="U14" s="194">
        <f>'01_Вводные'!$B$122*U4</f>
        <v/>
      </c>
      <c r="V14" s="194">
        <f>'01_Вводные'!$B$122*V4</f>
        <v/>
      </c>
      <c r="W14" s="194">
        <f>'01_Вводные'!$B$122*W4</f>
        <v/>
      </c>
      <c r="X14" s="194">
        <f>'01_Вводные'!$B$122*X4</f>
        <v/>
      </c>
      <c r="Y14" s="194">
        <f>'01_Вводные'!$B$122*Y4</f>
        <v/>
      </c>
      <c r="Z14" s="194">
        <f>'01_Вводные'!$B$122*Z4</f>
        <v/>
      </c>
      <c r="AA14" s="194">
        <f>'01_Вводные'!$B$122*AA4</f>
        <v/>
      </c>
      <c r="AB14" s="194">
        <f>'01_Вводные'!$B$122*AB4</f>
        <v/>
      </c>
      <c r="AC14" s="194">
        <f>'01_Вводные'!$B$122*AC4</f>
        <v/>
      </c>
      <c r="AD14" s="194">
        <f>'01_Вводные'!$B$122*AD4</f>
        <v/>
      </c>
      <c r="AE14" s="194">
        <f>'01_Вводные'!$B$122*AE4</f>
        <v/>
      </c>
      <c r="AF14" s="194">
        <f>'01_Вводные'!$B$122*AF4</f>
        <v/>
      </c>
      <c r="AG14" s="194">
        <f>'01_Вводные'!$B$122*AG4</f>
        <v/>
      </c>
      <c r="AH14" s="194">
        <f>'01_Вводные'!$B$122*AH4</f>
        <v/>
      </c>
      <c r="AI14" s="194">
        <f>'01_Вводные'!$B$122*AI4</f>
        <v/>
      </c>
      <c r="AJ14" s="194">
        <f>'01_Вводные'!$B$122*AJ4</f>
        <v/>
      </c>
      <c r="AK14" s="194">
        <f>'01_Вводные'!$B$122*AK4</f>
        <v/>
      </c>
      <c r="AL14" s="194">
        <f>'01_Вводные'!$B$122*AL4</f>
        <v/>
      </c>
      <c r="AM14" s="194">
        <f>'01_Вводные'!$B$122*AM4</f>
        <v/>
      </c>
      <c r="AN14" s="194">
        <f>'01_Вводные'!$B$122*AN4</f>
        <v/>
      </c>
      <c r="AO14" s="194">
        <f>'01_Вводные'!$B$122*AO4</f>
        <v/>
      </c>
      <c r="AP14" s="194">
        <f>'01_Вводные'!$B$122*AP4</f>
        <v/>
      </c>
      <c r="AQ14" s="194">
        <f>'01_Вводные'!$B$122*AQ4</f>
        <v/>
      </c>
      <c r="AR14" s="194">
        <f>'01_Вводные'!$B$122*AR4</f>
        <v/>
      </c>
      <c r="AS14" s="194">
        <f>'01_Вводные'!$B$122*AS4</f>
        <v/>
      </c>
      <c r="AT14" s="194">
        <f>'01_Вводные'!$B$122*AT4</f>
        <v/>
      </c>
      <c r="AU14" s="194">
        <f>'01_Вводные'!$B$122*AU4</f>
        <v/>
      </c>
      <c r="AV14" s="194">
        <f>'01_Вводные'!$B$122*AV4</f>
        <v/>
      </c>
      <c r="AW14" s="194">
        <f>'01_Вводные'!$B$122*AW4</f>
        <v/>
      </c>
      <c r="AX14" s="194">
        <f>'01_Вводные'!$B$122*AX4</f>
        <v/>
      </c>
      <c r="AY14" s="194">
        <f>'01_Вводные'!$B$122*AY4</f>
        <v/>
      </c>
      <c r="AZ14" s="194">
        <f>'01_Вводные'!$B$122*AZ4</f>
        <v/>
      </c>
      <c r="BA14" s="194">
        <f>'01_Вводные'!$B$122*BA4</f>
        <v/>
      </c>
      <c r="BB14" s="194">
        <f>'01_Вводные'!$B$122*BB4</f>
        <v/>
      </c>
      <c r="BC14" s="194">
        <f>'01_Вводные'!$B$122*BC4</f>
        <v/>
      </c>
      <c r="BD14" s="194">
        <f>'01_Вводные'!$B$122*BD4</f>
        <v/>
      </c>
      <c r="BE14" s="194">
        <f>'01_Вводные'!$B$122*BE4</f>
        <v/>
      </c>
      <c r="BF14" s="194">
        <f>'01_Вводные'!$B$122*BF4</f>
        <v/>
      </c>
      <c r="BG14" s="194">
        <f>'01_Вводные'!$B$122*BG4</f>
        <v/>
      </c>
      <c r="BH14" s="194">
        <f>'01_Вводные'!$B$122*BH4</f>
        <v/>
      </c>
      <c r="BI14" s="194">
        <f>'01_Вводные'!$B$122*BI4</f>
        <v/>
      </c>
      <c r="BJ14" s="194">
        <f>'01_Вводные'!$B$122*BJ4</f>
        <v/>
      </c>
      <c r="BK14" s="194">
        <f>'01_Вводные'!$B$122*BK4</f>
        <v/>
      </c>
      <c r="BL14" s="194">
        <f>'01_Вводные'!$B$122*BL4</f>
        <v/>
      </c>
      <c r="BM14" s="194">
        <f>'01_Вводные'!$B$122*BM4</f>
        <v/>
      </c>
      <c r="BN14" s="194">
        <f>'01_Вводные'!$B$122*BN4</f>
        <v/>
      </c>
      <c r="BO14" s="194">
        <f>'01_Вводные'!$B$122*BO4</f>
        <v/>
      </c>
    </row>
    <row r="15"/>
    <row r="16">
      <c r="A16" s="192" t="inlineStr">
        <is>
          <t>Индекс на дату нового SMM-тарифа</t>
        </is>
      </c>
      <c r="B16" s="194">
        <f>INDEX($B$4:$BO$4,1,MAX(1,MIN(66,(YEAR('01_Вводные'!$B$248)-YEAR('01_Вводные'!$B$7))*12+MONTH('01_Вводные'!$B$248)-MONTH('01_Вводные'!$B$7)+1)))</f>
        <v/>
      </c>
    </row>
    <row r="17"/>
    <row r="18"/>
    <row r="19"/>
    <row r="20"/>
    <row r="21"/>
    <row r="22">
      <c r="A22" s="192" t="inlineStr">
        <is>
          <t>Веса тарифов</t>
        </is>
      </c>
      <c r="B22" s="194">
        <f>'01_Вводные'!$C$263/'01_Вводные'!$C$283</f>
        <v/>
      </c>
      <c r="C22" s="194">
        <f>'01_Вводные'!$C$264/'01_Вводные'!$C$283</f>
        <v/>
      </c>
      <c r="D22" s="194">
        <f>'01_Вводные'!$C$265/'01_Вводные'!$C$283</f>
        <v/>
      </c>
      <c r="E22" s="194">
        <f>'01_Вводные'!$C$266/'01_Вводные'!$C$283</f>
        <v/>
      </c>
      <c r="F22" s="194">
        <f>'01_Вводные'!$C$267/'01_Вводные'!$C$283</f>
        <v/>
      </c>
      <c r="G22" s="194">
        <f>'01_Вводные'!$C$268/'01_Вводные'!$C$283</f>
        <v/>
      </c>
      <c r="H22" s="194">
        <f>'01_Вводные'!$C$269/'01_Вводные'!$C$283</f>
        <v/>
      </c>
      <c r="I22" s="194">
        <f>'01_Вводные'!$C$270/'01_Вводные'!$C$283</f>
        <v/>
      </c>
      <c r="J22" s="194">
        <f>'01_Вводные'!$C$271/'01_Вводные'!$C$283</f>
        <v/>
      </c>
      <c r="K22" s="194">
        <f>'01_Вводные'!$C$272/'01_Вводные'!$C$283</f>
        <v/>
      </c>
      <c r="L22" s="194">
        <f>'01_Вводные'!$C$273/'01_Вводные'!$C$283</f>
        <v/>
      </c>
      <c r="M22" s="194">
        <f>'01_Вводные'!$C$274/'01_Вводные'!$C$283</f>
        <v/>
      </c>
      <c r="N22" s="194">
        <f>'01_Вводные'!$C$275/'01_Вводные'!$C$283</f>
        <v/>
      </c>
      <c r="O22" s="194">
        <f>'01_Вводные'!$C$276/'01_Вводные'!$C$283</f>
        <v/>
      </c>
      <c r="P22" s="194">
        <f>'01_Вводные'!$C$277/'01_Вводные'!$C$283</f>
        <v/>
      </c>
      <c r="Q22" s="194">
        <f>'01_Вводные'!$C$278/'01_Вводные'!$C$283</f>
        <v/>
      </c>
      <c r="R22" s="194">
        <f>'01_Вводные'!$C$279/'01_Вводные'!$C$283</f>
        <v/>
      </c>
      <c r="S22" s="194">
        <f>'01_Вводные'!$C$280/'01_Вводные'!$C$283</f>
        <v/>
      </c>
      <c r="T22" s="194">
        <f>'01_Вводные'!$C$281/'01_Вводные'!$C$283</f>
        <v/>
      </c>
      <c r="U22" s="194">
        <f>'01_Вводные'!$C$282/'01_Вводные'!$C$283</f>
        <v/>
      </c>
    </row>
    <row r="23"/>
    <row r="24">
      <c r="A24" s="192" t="inlineStr">
        <is>
          <t>1</t>
        </is>
      </c>
      <c r="B24" s="194">
        <f>B86*'01_Вводные'!$H$263</f>
        <v/>
      </c>
      <c r="C24" s="194">
        <f>C86*'01_Вводные'!$H$264</f>
        <v/>
      </c>
      <c r="D24" s="194">
        <f>D86*'01_Вводные'!$H$265</f>
        <v/>
      </c>
      <c r="E24" s="194">
        <f>E86*'01_Вводные'!$H$266</f>
        <v/>
      </c>
      <c r="F24" s="194">
        <f>F86*'01_Вводные'!$H$267</f>
        <v/>
      </c>
      <c r="G24" s="194">
        <f>G86*'01_Вводные'!$H$268</f>
        <v/>
      </c>
      <c r="H24" s="194">
        <f>H86*'01_Вводные'!$H$269</f>
        <v/>
      </c>
      <c r="I24" s="194">
        <f>I86*'01_Вводные'!$H$270</f>
        <v/>
      </c>
      <c r="J24" s="194">
        <f>J86*'01_Вводные'!$H$271</f>
        <v/>
      </c>
      <c r="K24" s="194">
        <f>K86*'01_Вводные'!$H$272</f>
        <v/>
      </c>
      <c r="L24" s="194">
        <f>L86*'01_Вводные'!$H$273</f>
        <v/>
      </c>
      <c r="M24" s="194">
        <f>M86*'01_Вводные'!$H$274</f>
        <v/>
      </c>
      <c r="N24" s="194">
        <f>N86*'01_Вводные'!$H$275</f>
        <v/>
      </c>
      <c r="O24" s="194">
        <f>O86*'01_Вводные'!$H$276</f>
        <v/>
      </c>
      <c r="P24" s="194">
        <f>P86*'01_Вводные'!$H$277</f>
        <v/>
      </c>
      <c r="Q24" s="194">
        <f>Q86*'01_Вводные'!$H$278</f>
        <v/>
      </c>
      <c r="R24" s="194">
        <f>R86*'01_Вводные'!$H$279</f>
        <v/>
      </c>
      <c r="S24" s="194">
        <f>S86*'01_Вводные'!$H$280</f>
        <v/>
      </c>
      <c r="T24" s="194">
        <f>T86*'01_Вводные'!$H$281</f>
        <v/>
      </c>
      <c r="U24" s="194">
        <f>U86*'01_Вводные'!$H$282</f>
        <v/>
      </c>
      <c r="W24" s="195">
        <f>SUMPRODUCT($B$22:$U$22,B86:U86)</f>
        <v/>
      </c>
      <c r="X24" s="195">
        <f>SUMPRODUCT($B$22:$U$22,B54:U54)</f>
        <v/>
      </c>
    </row>
    <row r="25">
      <c r="A25" s="192" t="inlineStr">
        <is>
          <t>2</t>
        </is>
      </c>
      <c r="B25" s="194">
        <f>B87*'01_Вводные'!$H$263</f>
        <v/>
      </c>
      <c r="C25" s="194">
        <f>C87*'01_Вводные'!$H$264</f>
        <v/>
      </c>
      <c r="D25" s="194">
        <f>D87*'01_Вводные'!$H$265</f>
        <v/>
      </c>
      <c r="E25" s="194">
        <f>E87*'01_Вводные'!$H$266</f>
        <v/>
      </c>
      <c r="F25" s="194">
        <f>F87*'01_Вводные'!$H$267</f>
        <v/>
      </c>
      <c r="G25" s="194">
        <f>G87*'01_Вводные'!$H$268</f>
        <v/>
      </c>
      <c r="H25" s="194">
        <f>H87*'01_Вводные'!$H$269</f>
        <v/>
      </c>
      <c r="I25" s="194">
        <f>I87*'01_Вводные'!$H$270</f>
        <v/>
      </c>
      <c r="J25" s="194">
        <f>J87*'01_Вводные'!$H$271</f>
        <v/>
      </c>
      <c r="K25" s="194">
        <f>K87*'01_Вводные'!$H$272</f>
        <v/>
      </c>
      <c r="L25" s="194">
        <f>L87*'01_Вводные'!$H$273</f>
        <v/>
      </c>
      <c r="M25" s="194">
        <f>M87*'01_Вводные'!$H$274</f>
        <v/>
      </c>
      <c r="N25" s="194">
        <f>N87*'01_Вводные'!$H$275</f>
        <v/>
      </c>
      <c r="O25" s="194">
        <f>O87*'01_Вводные'!$H$276</f>
        <v/>
      </c>
      <c r="P25" s="194">
        <f>P87*'01_Вводные'!$H$277</f>
        <v/>
      </c>
      <c r="Q25" s="194">
        <f>Q87*'01_Вводные'!$H$278</f>
        <v/>
      </c>
      <c r="R25" s="194">
        <f>R87*'01_Вводные'!$H$279</f>
        <v/>
      </c>
      <c r="S25" s="194">
        <f>S87*'01_Вводные'!$H$280</f>
        <v/>
      </c>
      <c r="T25" s="194">
        <f>T87*'01_Вводные'!$H$281</f>
        <v/>
      </c>
      <c r="U25" s="194">
        <f>U87*'01_Вводные'!$H$282</f>
        <v/>
      </c>
      <c r="W25" s="195">
        <f>SUMPRODUCT($B$22:$U$22,B87:U87)</f>
        <v/>
      </c>
      <c r="X25" s="195">
        <f>SUMPRODUCT($B$22:$U$22,B55:U55)</f>
        <v/>
      </c>
    </row>
    <row r="26">
      <c r="A26" s="192" t="inlineStr">
        <is>
          <t>3</t>
        </is>
      </c>
      <c r="B26" s="194">
        <f>B88*'01_Вводные'!$H$263</f>
        <v/>
      </c>
      <c r="C26" s="194">
        <f>C88*'01_Вводные'!$H$264</f>
        <v/>
      </c>
      <c r="D26" s="194">
        <f>D88*'01_Вводные'!$H$265</f>
        <v/>
      </c>
      <c r="E26" s="194">
        <f>E88*'01_Вводные'!$H$266</f>
        <v/>
      </c>
      <c r="F26" s="194">
        <f>F88*'01_Вводные'!$H$267</f>
        <v/>
      </c>
      <c r="G26" s="194">
        <f>G88*'01_Вводные'!$H$268</f>
        <v/>
      </c>
      <c r="H26" s="194">
        <f>H88*'01_Вводные'!$H$269</f>
        <v/>
      </c>
      <c r="I26" s="194">
        <f>I88*'01_Вводные'!$H$270</f>
        <v/>
      </c>
      <c r="J26" s="194">
        <f>J88*'01_Вводные'!$H$271</f>
        <v/>
      </c>
      <c r="K26" s="194">
        <f>K88*'01_Вводные'!$H$272</f>
        <v/>
      </c>
      <c r="L26" s="194">
        <f>L88*'01_Вводные'!$H$273</f>
        <v/>
      </c>
      <c r="M26" s="194">
        <f>M88*'01_Вводные'!$H$274</f>
        <v/>
      </c>
      <c r="N26" s="194">
        <f>N88*'01_Вводные'!$H$275</f>
        <v/>
      </c>
      <c r="O26" s="194">
        <f>O88*'01_Вводные'!$H$276</f>
        <v/>
      </c>
      <c r="P26" s="194">
        <f>P88*'01_Вводные'!$H$277</f>
        <v/>
      </c>
      <c r="Q26" s="194">
        <f>Q88*'01_Вводные'!$H$278</f>
        <v/>
      </c>
      <c r="R26" s="194">
        <f>R88*'01_Вводные'!$H$279</f>
        <v/>
      </c>
      <c r="S26" s="194">
        <f>S88*'01_Вводные'!$H$280</f>
        <v/>
      </c>
      <c r="T26" s="194">
        <f>T88*'01_Вводные'!$H$281</f>
        <v/>
      </c>
      <c r="U26" s="194">
        <f>U88*'01_Вводные'!$H$282</f>
        <v/>
      </c>
      <c r="W26" s="195">
        <f>SUMPRODUCT($B$22:$U$22,B88:U88)</f>
        <v/>
      </c>
      <c r="X26" s="195">
        <f>SUMPRODUCT($B$22:$U$22,B56:U56)</f>
        <v/>
      </c>
    </row>
    <row r="27">
      <c r="A27" s="192" t="inlineStr">
        <is>
          <t>4</t>
        </is>
      </c>
      <c r="B27" s="194">
        <f>B89*'01_Вводные'!$H$263</f>
        <v/>
      </c>
      <c r="C27" s="194">
        <f>C89*'01_Вводные'!$H$264</f>
        <v/>
      </c>
      <c r="D27" s="194">
        <f>D89*'01_Вводные'!$H$265</f>
        <v/>
      </c>
      <c r="E27" s="194">
        <f>E89*'01_Вводные'!$H$266</f>
        <v/>
      </c>
      <c r="F27" s="194">
        <f>F89*'01_Вводные'!$H$267</f>
        <v/>
      </c>
      <c r="G27" s="194">
        <f>G89*'01_Вводные'!$H$268</f>
        <v/>
      </c>
      <c r="H27" s="194">
        <f>H89*'01_Вводные'!$H$269</f>
        <v/>
      </c>
      <c r="I27" s="194">
        <f>I89*'01_Вводные'!$H$270</f>
        <v/>
      </c>
      <c r="J27" s="194">
        <f>J89*'01_Вводные'!$H$271</f>
        <v/>
      </c>
      <c r="K27" s="194">
        <f>K89*'01_Вводные'!$H$272</f>
        <v/>
      </c>
      <c r="L27" s="194">
        <f>L89*'01_Вводные'!$H$273</f>
        <v/>
      </c>
      <c r="M27" s="194">
        <f>M89*'01_Вводные'!$H$274</f>
        <v/>
      </c>
      <c r="N27" s="194">
        <f>N89*'01_Вводные'!$H$275</f>
        <v/>
      </c>
      <c r="O27" s="194">
        <f>O89*'01_Вводные'!$H$276</f>
        <v/>
      </c>
      <c r="P27" s="194">
        <f>P89*'01_Вводные'!$H$277</f>
        <v/>
      </c>
      <c r="Q27" s="194">
        <f>Q89*'01_Вводные'!$H$278</f>
        <v/>
      </c>
      <c r="R27" s="194">
        <f>R89*'01_Вводные'!$H$279</f>
        <v/>
      </c>
      <c r="S27" s="194">
        <f>S89*'01_Вводные'!$H$280</f>
        <v/>
      </c>
      <c r="T27" s="194">
        <f>T89*'01_Вводные'!$H$281</f>
        <v/>
      </c>
      <c r="U27" s="194">
        <f>U89*'01_Вводные'!$H$282</f>
        <v/>
      </c>
      <c r="W27" s="195">
        <f>SUMPRODUCT($B$22:$U$22,B89:U89)</f>
        <v/>
      </c>
      <c r="X27" s="195">
        <f>SUMPRODUCT($B$22:$U$22,B57:U57)</f>
        <v/>
      </c>
    </row>
    <row r="28">
      <c r="A28" s="192" t="inlineStr">
        <is>
          <t>5</t>
        </is>
      </c>
      <c r="B28" s="194">
        <f>B90*'01_Вводные'!$H$263</f>
        <v/>
      </c>
      <c r="C28" s="194">
        <f>C90*'01_Вводные'!$H$264</f>
        <v/>
      </c>
      <c r="D28" s="194">
        <f>D90*'01_Вводные'!$H$265</f>
        <v/>
      </c>
      <c r="E28" s="194">
        <f>E90*'01_Вводные'!$H$266</f>
        <v/>
      </c>
      <c r="F28" s="194">
        <f>F90*'01_Вводные'!$H$267</f>
        <v/>
      </c>
      <c r="G28" s="194">
        <f>G90*'01_Вводные'!$H$268</f>
        <v/>
      </c>
      <c r="H28" s="194">
        <f>H90*'01_Вводные'!$H$269</f>
        <v/>
      </c>
      <c r="I28" s="194">
        <f>I90*'01_Вводные'!$H$270</f>
        <v/>
      </c>
      <c r="J28" s="194">
        <f>J90*'01_Вводные'!$H$271</f>
        <v/>
      </c>
      <c r="K28" s="194">
        <f>K90*'01_Вводные'!$H$272</f>
        <v/>
      </c>
      <c r="L28" s="194">
        <f>L90*'01_Вводные'!$H$273</f>
        <v/>
      </c>
      <c r="M28" s="194">
        <f>M90*'01_Вводные'!$H$274</f>
        <v/>
      </c>
      <c r="N28" s="194">
        <f>N90*'01_Вводные'!$H$275</f>
        <v/>
      </c>
      <c r="O28" s="194">
        <f>O90*'01_Вводные'!$H$276</f>
        <v/>
      </c>
      <c r="P28" s="194">
        <f>P90*'01_Вводные'!$H$277</f>
        <v/>
      </c>
      <c r="Q28" s="194">
        <f>Q90*'01_Вводные'!$H$278</f>
        <v/>
      </c>
      <c r="R28" s="194">
        <f>R90*'01_Вводные'!$H$279</f>
        <v/>
      </c>
      <c r="S28" s="194">
        <f>S90*'01_Вводные'!$H$280</f>
        <v/>
      </c>
      <c r="T28" s="194">
        <f>T90*'01_Вводные'!$H$281</f>
        <v/>
      </c>
      <c r="U28" s="194">
        <f>U90*'01_Вводные'!$H$282</f>
        <v/>
      </c>
      <c r="W28" s="195">
        <f>SUMPRODUCT($B$22:$U$22,B90:U90)</f>
        <v/>
      </c>
      <c r="X28" s="195">
        <f>SUMPRODUCT($B$22:$U$22,B58:U58)</f>
        <v/>
      </c>
    </row>
    <row r="29">
      <c r="A29" s="192" t="inlineStr">
        <is>
          <t>6</t>
        </is>
      </c>
      <c r="B29" s="194">
        <f>B91*'01_Вводные'!$H$263</f>
        <v/>
      </c>
      <c r="C29" s="194">
        <f>C91*'01_Вводные'!$H$264</f>
        <v/>
      </c>
      <c r="D29" s="194">
        <f>D91*'01_Вводные'!$H$265</f>
        <v/>
      </c>
      <c r="E29" s="194">
        <f>E91*'01_Вводные'!$H$266</f>
        <v/>
      </c>
      <c r="F29" s="194">
        <f>F91*'01_Вводные'!$H$267</f>
        <v/>
      </c>
      <c r="G29" s="194">
        <f>G91*'01_Вводные'!$H$268</f>
        <v/>
      </c>
      <c r="H29" s="194">
        <f>H91*'01_Вводные'!$H$269</f>
        <v/>
      </c>
      <c r="I29" s="194">
        <f>I91*'01_Вводные'!$H$270</f>
        <v/>
      </c>
      <c r="J29" s="194">
        <f>J91*'01_Вводные'!$H$271</f>
        <v/>
      </c>
      <c r="K29" s="194">
        <f>K91*'01_Вводные'!$H$272</f>
        <v/>
      </c>
      <c r="L29" s="194">
        <f>L91*'01_Вводные'!$H$273</f>
        <v/>
      </c>
      <c r="M29" s="194">
        <f>M91*'01_Вводные'!$H$274</f>
        <v/>
      </c>
      <c r="N29" s="194">
        <f>N91*'01_Вводные'!$H$275</f>
        <v/>
      </c>
      <c r="O29" s="194">
        <f>O91*'01_Вводные'!$H$276</f>
        <v/>
      </c>
      <c r="P29" s="194">
        <f>P91*'01_Вводные'!$H$277</f>
        <v/>
      </c>
      <c r="Q29" s="194">
        <f>Q91*'01_Вводные'!$H$278</f>
        <v/>
      </c>
      <c r="R29" s="194">
        <f>R91*'01_Вводные'!$H$279</f>
        <v/>
      </c>
      <c r="S29" s="194">
        <f>S91*'01_Вводные'!$H$280</f>
        <v/>
      </c>
      <c r="T29" s="194">
        <f>T91*'01_Вводные'!$H$281</f>
        <v/>
      </c>
      <c r="U29" s="194">
        <f>U91*'01_Вводные'!$H$282</f>
        <v/>
      </c>
      <c r="W29" s="195">
        <f>SUMPRODUCT($B$22:$U$22,B91:U91)</f>
        <v/>
      </c>
      <c r="X29" s="195">
        <f>SUMPRODUCT($B$22:$U$22,B59:U59)</f>
        <v/>
      </c>
    </row>
    <row r="30">
      <c r="A30" s="192" t="inlineStr">
        <is>
          <t>7</t>
        </is>
      </c>
      <c r="B30" s="194">
        <f>B92*'01_Вводные'!$H$263</f>
        <v/>
      </c>
      <c r="C30" s="194">
        <f>C92*'01_Вводные'!$H$264</f>
        <v/>
      </c>
      <c r="D30" s="194">
        <f>D92*'01_Вводные'!$H$265</f>
        <v/>
      </c>
      <c r="E30" s="194">
        <f>E92*'01_Вводные'!$H$266</f>
        <v/>
      </c>
      <c r="F30" s="194">
        <f>F92*'01_Вводные'!$H$267</f>
        <v/>
      </c>
      <c r="G30" s="194">
        <f>G92*'01_Вводные'!$H$268</f>
        <v/>
      </c>
      <c r="H30" s="194">
        <f>H92*'01_Вводные'!$H$269</f>
        <v/>
      </c>
      <c r="I30" s="194">
        <f>I92*'01_Вводные'!$H$270</f>
        <v/>
      </c>
      <c r="J30" s="194">
        <f>J92*'01_Вводные'!$H$271</f>
        <v/>
      </c>
      <c r="K30" s="194">
        <f>K92*'01_Вводные'!$H$272</f>
        <v/>
      </c>
      <c r="L30" s="194">
        <f>L92*'01_Вводные'!$H$273</f>
        <v/>
      </c>
      <c r="M30" s="194">
        <f>M92*'01_Вводные'!$H$274</f>
        <v/>
      </c>
      <c r="N30" s="194">
        <f>N92*'01_Вводные'!$H$275</f>
        <v/>
      </c>
      <c r="O30" s="194">
        <f>O92*'01_Вводные'!$H$276</f>
        <v/>
      </c>
      <c r="P30" s="194">
        <f>P92*'01_Вводные'!$H$277</f>
        <v/>
      </c>
      <c r="Q30" s="194">
        <f>Q92*'01_Вводные'!$H$278</f>
        <v/>
      </c>
      <c r="R30" s="194">
        <f>R92*'01_Вводные'!$H$279</f>
        <v/>
      </c>
      <c r="S30" s="194">
        <f>S92*'01_Вводные'!$H$280</f>
        <v/>
      </c>
      <c r="T30" s="194">
        <f>T92*'01_Вводные'!$H$281</f>
        <v/>
      </c>
      <c r="U30" s="194">
        <f>U92*'01_Вводные'!$H$282</f>
        <v/>
      </c>
      <c r="W30" s="195">
        <f>SUMPRODUCT($B$22:$U$22,B92:U92)</f>
        <v/>
      </c>
      <c r="X30" s="195">
        <f>SUMPRODUCT($B$22:$U$22,B60:U60)</f>
        <v/>
      </c>
    </row>
    <row r="31">
      <c r="A31" s="192" t="inlineStr">
        <is>
          <t>8</t>
        </is>
      </c>
      <c r="B31" s="194">
        <f>B93*'01_Вводные'!$H$263</f>
        <v/>
      </c>
      <c r="C31" s="194">
        <f>C93*'01_Вводные'!$H$264</f>
        <v/>
      </c>
      <c r="D31" s="194">
        <f>D93*'01_Вводные'!$H$265</f>
        <v/>
      </c>
      <c r="E31" s="194">
        <f>E93*'01_Вводные'!$H$266</f>
        <v/>
      </c>
      <c r="F31" s="194">
        <f>F93*'01_Вводные'!$H$267</f>
        <v/>
      </c>
      <c r="G31" s="194">
        <f>G93*'01_Вводные'!$H$268</f>
        <v/>
      </c>
      <c r="H31" s="194">
        <f>H93*'01_Вводные'!$H$269</f>
        <v/>
      </c>
      <c r="I31" s="194">
        <f>I93*'01_Вводные'!$H$270</f>
        <v/>
      </c>
      <c r="J31" s="194">
        <f>J93*'01_Вводные'!$H$271</f>
        <v/>
      </c>
      <c r="K31" s="194">
        <f>K93*'01_Вводные'!$H$272</f>
        <v/>
      </c>
      <c r="L31" s="194">
        <f>L93*'01_Вводные'!$H$273</f>
        <v/>
      </c>
      <c r="M31" s="194">
        <f>M93*'01_Вводные'!$H$274</f>
        <v/>
      </c>
      <c r="N31" s="194">
        <f>N93*'01_Вводные'!$H$275</f>
        <v/>
      </c>
      <c r="O31" s="194">
        <f>O93*'01_Вводные'!$H$276</f>
        <v/>
      </c>
      <c r="P31" s="194">
        <f>P93*'01_Вводные'!$H$277</f>
        <v/>
      </c>
      <c r="Q31" s="194">
        <f>Q93*'01_Вводные'!$H$278</f>
        <v/>
      </c>
      <c r="R31" s="194">
        <f>R93*'01_Вводные'!$H$279</f>
        <v/>
      </c>
      <c r="S31" s="194">
        <f>S93*'01_Вводные'!$H$280</f>
        <v/>
      </c>
      <c r="T31" s="194">
        <f>T93*'01_Вводные'!$H$281</f>
        <v/>
      </c>
      <c r="U31" s="194">
        <f>U93*'01_Вводные'!$H$282</f>
        <v/>
      </c>
      <c r="W31" s="195">
        <f>SUMPRODUCT($B$22:$U$22,B93:U93)</f>
        <v/>
      </c>
      <c r="X31" s="195">
        <f>SUMPRODUCT($B$22:$U$22,B61:U61)</f>
        <v/>
      </c>
    </row>
    <row r="32">
      <c r="A32" s="192" t="inlineStr">
        <is>
          <t>9</t>
        </is>
      </c>
      <c r="B32" s="194">
        <f>B94*'01_Вводные'!$H$263</f>
        <v/>
      </c>
      <c r="C32" s="194">
        <f>C94*'01_Вводные'!$H$264</f>
        <v/>
      </c>
      <c r="D32" s="194">
        <f>D94*'01_Вводные'!$H$265</f>
        <v/>
      </c>
      <c r="E32" s="194">
        <f>E94*'01_Вводные'!$H$266</f>
        <v/>
      </c>
      <c r="F32" s="194">
        <f>F94*'01_Вводные'!$H$267</f>
        <v/>
      </c>
      <c r="G32" s="194">
        <f>G94*'01_Вводные'!$H$268</f>
        <v/>
      </c>
      <c r="H32" s="194">
        <f>H94*'01_Вводные'!$H$269</f>
        <v/>
      </c>
      <c r="I32" s="194">
        <f>I94*'01_Вводные'!$H$270</f>
        <v/>
      </c>
      <c r="J32" s="194">
        <f>J94*'01_Вводные'!$H$271</f>
        <v/>
      </c>
      <c r="K32" s="194">
        <f>K94*'01_Вводные'!$H$272</f>
        <v/>
      </c>
      <c r="L32" s="194">
        <f>L94*'01_Вводные'!$H$273</f>
        <v/>
      </c>
      <c r="M32" s="194">
        <f>M94*'01_Вводные'!$H$274</f>
        <v/>
      </c>
      <c r="N32" s="194">
        <f>N94*'01_Вводные'!$H$275</f>
        <v/>
      </c>
      <c r="O32" s="194">
        <f>O94*'01_Вводные'!$H$276</f>
        <v/>
      </c>
      <c r="P32" s="194">
        <f>P94*'01_Вводные'!$H$277</f>
        <v/>
      </c>
      <c r="Q32" s="194">
        <f>Q94*'01_Вводные'!$H$278</f>
        <v/>
      </c>
      <c r="R32" s="194">
        <f>R94*'01_Вводные'!$H$279</f>
        <v/>
      </c>
      <c r="S32" s="194">
        <f>S94*'01_Вводные'!$H$280</f>
        <v/>
      </c>
      <c r="T32" s="194">
        <f>T94*'01_Вводные'!$H$281</f>
        <v/>
      </c>
      <c r="U32" s="194">
        <f>U94*'01_Вводные'!$H$282</f>
        <v/>
      </c>
      <c r="W32" s="195">
        <f>SUMPRODUCT($B$22:$U$22,B94:U94)</f>
        <v/>
      </c>
      <c r="X32" s="195">
        <f>SUMPRODUCT($B$22:$U$22,B62:U62)</f>
        <v/>
      </c>
    </row>
    <row r="33">
      <c r="A33" s="192" t="inlineStr">
        <is>
          <t>10</t>
        </is>
      </c>
      <c r="B33" s="194">
        <f>B95*'01_Вводные'!$H$263</f>
        <v/>
      </c>
      <c r="C33" s="194">
        <f>C95*'01_Вводные'!$H$264</f>
        <v/>
      </c>
      <c r="D33" s="194">
        <f>D95*'01_Вводные'!$H$265</f>
        <v/>
      </c>
      <c r="E33" s="194">
        <f>E95*'01_Вводные'!$H$266</f>
        <v/>
      </c>
      <c r="F33" s="194">
        <f>F95*'01_Вводные'!$H$267</f>
        <v/>
      </c>
      <c r="G33" s="194">
        <f>G95*'01_Вводные'!$H$268</f>
        <v/>
      </c>
      <c r="H33" s="194">
        <f>H95*'01_Вводные'!$H$269</f>
        <v/>
      </c>
      <c r="I33" s="194">
        <f>I95*'01_Вводные'!$H$270</f>
        <v/>
      </c>
      <c r="J33" s="194">
        <f>J95*'01_Вводные'!$H$271</f>
        <v/>
      </c>
      <c r="K33" s="194">
        <f>K95*'01_Вводные'!$H$272</f>
        <v/>
      </c>
      <c r="L33" s="194">
        <f>L95*'01_Вводные'!$H$273</f>
        <v/>
      </c>
      <c r="M33" s="194">
        <f>M95*'01_Вводные'!$H$274</f>
        <v/>
      </c>
      <c r="N33" s="194">
        <f>N95*'01_Вводные'!$H$275</f>
        <v/>
      </c>
      <c r="O33" s="194">
        <f>O95*'01_Вводные'!$H$276</f>
        <v/>
      </c>
      <c r="P33" s="194">
        <f>P95*'01_Вводные'!$H$277</f>
        <v/>
      </c>
      <c r="Q33" s="194">
        <f>Q95*'01_Вводные'!$H$278</f>
        <v/>
      </c>
      <c r="R33" s="194">
        <f>R95*'01_Вводные'!$H$279</f>
        <v/>
      </c>
      <c r="S33" s="194">
        <f>S95*'01_Вводные'!$H$280</f>
        <v/>
      </c>
      <c r="T33" s="194">
        <f>T95*'01_Вводные'!$H$281</f>
        <v/>
      </c>
      <c r="U33" s="194">
        <f>U95*'01_Вводные'!$H$282</f>
        <v/>
      </c>
      <c r="W33" s="195">
        <f>SUMPRODUCT($B$22:$U$22,B95:U95)</f>
        <v/>
      </c>
      <c r="X33" s="195">
        <f>SUMPRODUCT($B$22:$U$22,B63:U63)</f>
        <v/>
      </c>
    </row>
    <row r="34">
      <c r="A34" s="192" t="inlineStr">
        <is>
          <t>11</t>
        </is>
      </c>
      <c r="B34" s="194">
        <f>B96*'01_Вводные'!$H$263</f>
        <v/>
      </c>
      <c r="C34" s="194">
        <f>C96*'01_Вводные'!$H$264</f>
        <v/>
      </c>
      <c r="D34" s="194">
        <f>D96*'01_Вводные'!$H$265</f>
        <v/>
      </c>
      <c r="E34" s="194">
        <f>E96*'01_Вводные'!$H$266</f>
        <v/>
      </c>
      <c r="F34" s="194">
        <f>F96*'01_Вводные'!$H$267</f>
        <v/>
      </c>
      <c r="G34" s="194">
        <f>G96*'01_Вводные'!$H$268</f>
        <v/>
      </c>
      <c r="H34" s="194">
        <f>H96*'01_Вводные'!$H$269</f>
        <v/>
      </c>
      <c r="I34" s="194">
        <f>I96*'01_Вводные'!$H$270</f>
        <v/>
      </c>
      <c r="J34" s="194">
        <f>J96*'01_Вводные'!$H$271</f>
        <v/>
      </c>
      <c r="K34" s="194">
        <f>K96*'01_Вводные'!$H$272</f>
        <v/>
      </c>
      <c r="L34" s="194">
        <f>L96*'01_Вводные'!$H$273</f>
        <v/>
      </c>
      <c r="M34" s="194">
        <f>M96*'01_Вводные'!$H$274</f>
        <v/>
      </c>
      <c r="N34" s="194">
        <f>N96*'01_Вводные'!$H$275</f>
        <v/>
      </c>
      <c r="O34" s="194">
        <f>O96*'01_Вводные'!$H$276</f>
        <v/>
      </c>
      <c r="P34" s="194">
        <f>P96*'01_Вводные'!$H$277</f>
        <v/>
      </c>
      <c r="Q34" s="194">
        <f>Q96*'01_Вводные'!$H$278</f>
        <v/>
      </c>
      <c r="R34" s="194">
        <f>R96*'01_Вводные'!$H$279</f>
        <v/>
      </c>
      <c r="S34" s="194">
        <f>S96*'01_Вводные'!$H$280</f>
        <v/>
      </c>
      <c r="T34" s="194">
        <f>T96*'01_Вводные'!$H$281</f>
        <v/>
      </c>
      <c r="U34" s="194">
        <f>U96*'01_Вводные'!$H$282</f>
        <v/>
      </c>
      <c r="W34" s="195">
        <f>SUMPRODUCT($B$22:$U$22,B96:U96)</f>
        <v/>
      </c>
      <c r="X34" s="195">
        <f>SUMPRODUCT($B$22:$U$22,B64:U64)</f>
        <v/>
      </c>
    </row>
    <row r="35">
      <c r="A35" s="192" t="inlineStr">
        <is>
          <t>12</t>
        </is>
      </c>
      <c r="B35" s="194">
        <f>B97*'01_Вводные'!$H$263</f>
        <v/>
      </c>
      <c r="C35" s="194">
        <f>C97*'01_Вводные'!$H$264</f>
        <v/>
      </c>
      <c r="D35" s="194">
        <f>D97*'01_Вводные'!$H$265</f>
        <v/>
      </c>
      <c r="E35" s="194">
        <f>E97*'01_Вводные'!$H$266</f>
        <v/>
      </c>
      <c r="F35" s="194">
        <f>F97*'01_Вводные'!$H$267</f>
        <v/>
      </c>
      <c r="G35" s="194">
        <f>G97*'01_Вводные'!$H$268</f>
        <v/>
      </c>
      <c r="H35" s="194">
        <f>H97*'01_Вводные'!$H$269</f>
        <v/>
      </c>
      <c r="I35" s="194">
        <f>I97*'01_Вводные'!$H$270</f>
        <v/>
      </c>
      <c r="J35" s="194">
        <f>J97*'01_Вводные'!$H$271</f>
        <v/>
      </c>
      <c r="K35" s="194">
        <f>K97*'01_Вводные'!$H$272</f>
        <v/>
      </c>
      <c r="L35" s="194">
        <f>L97*'01_Вводные'!$H$273</f>
        <v/>
      </c>
      <c r="M35" s="194">
        <f>M97*'01_Вводные'!$H$274</f>
        <v/>
      </c>
      <c r="N35" s="194">
        <f>N97*'01_Вводные'!$H$275</f>
        <v/>
      </c>
      <c r="O35" s="194">
        <f>O97*'01_Вводные'!$H$276</f>
        <v/>
      </c>
      <c r="P35" s="194">
        <f>P97*'01_Вводные'!$H$277</f>
        <v/>
      </c>
      <c r="Q35" s="194">
        <f>Q97*'01_Вводные'!$H$278</f>
        <v/>
      </c>
      <c r="R35" s="194">
        <f>R97*'01_Вводные'!$H$279</f>
        <v/>
      </c>
      <c r="S35" s="194">
        <f>S97*'01_Вводные'!$H$280</f>
        <v/>
      </c>
      <c r="T35" s="194">
        <f>T97*'01_Вводные'!$H$281</f>
        <v/>
      </c>
      <c r="U35" s="194">
        <f>U97*'01_Вводные'!$H$282</f>
        <v/>
      </c>
      <c r="W35" s="195">
        <f>SUMPRODUCT($B$22:$U$22,B97:U97)</f>
        <v/>
      </c>
      <c r="X35" s="195">
        <f>SUMPRODUCT($B$22:$U$22,B65:U65)</f>
        <v/>
      </c>
    </row>
    <row r="36">
      <c r="A36" s="192" t="inlineStr">
        <is>
          <t>13</t>
        </is>
      </c>
      <c r="B36" s="194">
        <f>B98*'01_Вводные'!$H$263</f>
        <v/>
      </c>
      <c r="C36" s="194">
        <f>C98*'01_Вводные'!$H$264</f>
        <v/>
      </c>
      <c r="D36" s="194">
        <f>D98*'01_Вводные'!$H$265</f>
        <v/>
      </c>
      <c r="E36" s="194">
        <f>E98*'01_Вводные'!$H$266</f>
        <v/>
      </c>
      <c r="F36" s="194">
        <f>F98*'01_Вводные'!$H$267</f>
        <v/>
      </c>
      <c r="G36" s="194">
        <f>G98*'01_Вводные'!$H$268</f>
        <v/>
      </c>
      <c r="H36" s="194">
        <f>H98*'01_Вводные'!$H$269</f>
        <v/>
      </c>
      <c r="I36" s="194">
        <f>I98*'01_Вводные'!$H$270</f>
        <v/>
      </c>
      <c r="J36" s="194">
        <f>J98*'01_Вводные'!$H$271</f>
        <v/>
      </c>
      <c r="K36" s="194">
        <f>K98*'01_Вводные'!$H$272</f>
        <v/>
      </c>
      <c r="L36" s="194">
        <f>L98*'01_Вводные'!$H$273</f>
        <v/>
      </c>
      <c r="M36" s="194">
        <f>M98*'01_Вводные'!$H$274</f>
        <v/>
      </c>
      <c r="N36" s="194">
        <f>N98*'01_Вводные'!$H$275</f>
        <v/>
      </c>
      <c r="O36" s="194">
        <f>O98*'01_Вводные'!$H$276</f>
        <v/>
      </c>
      <c r="P36" s="194">
        <f>P98*'01_Вводные'!$H$277</f>
        <v/>
      </c>
      <c r="Q36" s="194">
        <f>Q98*'01_Вводные'!$H$278</f>
        <v/>
      </c>
      <c r="R36" s="194">
        <f>R98*'01_Вводные'!$H$279</f>
        <v/>
      </c>
      <c r="S36" s="194">
        <f>S98*'01_Вводные'!$H$280</f>
        <v/>
      </c>
      <c r="T36" s="194">
        <f>T98*'01_Вводные'!$H$281</f>
        <v/>
      </c>
      <c r="U36" s="194">
        <f>U98*'01_Вводные'!$H$282</f>
        <v/>
      </c>
      <c r="W36" s="195">
        <f>SUMPRODUCT($B$22:$U$22,B98:U98)</f>
        <v/>
      </c>
      <c r="X36" s="195">
        <f>SUMPRODUCT($B$22:$U$22,B66:U66)</f>
        <v/>
      </c>
    </row>
    <row r="37">
      <c r="A37" s="192" t="inlineStr">
        <is>
          <t>14</t>
        </is>
      </c>
      <c r="B37" s="194">
        <f>B99*'01_Вводные'!$H$263</f>
        <v/>
      </c>
      <c r="C37" s="194">
        <f>C99*'01_Вводные'!$H$264</f>
        <v/>
      </c>
      <c r="D37" s="194">
        <f>D99*'01_Вводные'!$H$265</f>
        <v/>
      </c>
      <c r="E37" s="194">
        <f>E99*'01_Вводные'!$H$266</f>
        <v/>
      </c>
      <c r="F37" s="194">
        <f>F99*'01_Вводные'!$H$267</f>
        <v/>
      </c>
      <c r="G37" s="194">
        <f>G99*'01_Вводные'!$H$268</f>
        <v/>
      </c>
      <c r="H37" s="194">
        <f>H99*'01_Вводные'!$H$269</f>
        <v/>
      </c>
      <c r="I37" s="194">
        <f>I99*'01_Вводные'!$H$270</f>
        <v/>
      </c>
      <c r="J37" s="194">
        <f>J99*'01_Вводные'!$H$271</f>
        <v/>
      </c>
      <c r="K37" s="194">
        <f>K99*'01_Вводные'!$H$272</f>
        <v/>
      </c>
      <c r="L37" s="194">
        <f>L99*'01_Вводные'!$H$273</f>
        <v/>
      </c>
      <c r="M37" s="194">
        <f>M99*'01_Вводные'!$H$274</f>
        <v/>
      </c>
      <c r="N37" s="194">
        <f>N99*'01_Вводные'!$H$275</f>
        <v/>
      </c>
      <c r="O37" s="194">
        <f>O99*'01_Вводные'!$H$276</f>
        <v/>
      </c>
      <c r="P37" s="194">
        <f>P99*'01_Вводные'!$H$277</f>
        <v/>
      </c>
      <c r="Q37" s="194">
        <f>Q99*'01_Вводные'!$H$278</f>
        <v/>
      </c>
      <c r="R37" s="194">
        <f>R99*'01_Вводные'!$H$279</f>
        <v/>
      </c>
      <c r="S37" s="194">
        <f>S99*'01_Вводные'!$H$280</f>
        <v/>
      </c>
      <c r="T37" s="194">
        <f>T99*'01_Вводные'!$H$281</f>
        <v/>
      </c>
      <c r="U37" s="194">
        <f>U99*'01_Вводные'!$H$282</f>
        <v/>
      </c>
      <c r="W37" s="195">
        <f>SUMPRODUCT($B$22:$U$22,B99:U99)</f>
        <v/>
      </c>
      <c r="X37" s="195">
        <f>SUMPRODUCT($B$22:$U$22,B67:U67)</f>
        <v/>
      </c>
    </row>
    <row r="38">
      <c r="A38" s="192" t="inlineStr">
        <is>
          <t>15</t>
        </is>
      </c>
      <c r="B38" s="194">
        <f>B100*'01_Вводные'!$H$263</f>
        <v/>
      </c>
      <c r="C38" s="194">
        <f>C100*'01_Вводные'!$H$264</f>
        <v/>
      </c>
      <c r="D38" s="194">
        <f>D100*'01_Вводные'!$H$265</f>
        <v/>
      </c>
      <c r="E38" s="194">
        <f>E100*'01_Вводные'!$H$266</f>
        <v/>
      </c>
      <c r="F38" s="194">
        <f>F100*'01_Вводные'!$H$267</f>
        <v/>
      </c>
      <c r="G38" s="194">
        <f>G100*'01_Вводные'!$H$268</f>
        <v/>
      </c>
      <c r="H38" s="194">
        <f>H100*'01_Вводные'!$H$269</f>
        <v/>
      </c>
      <c r="I38" s="194">
        <f>I100*'01_Вводные'!$H$270</f>
        <v/>
      </c>
      <c r="J38" s="194">
        <f>J100*'01_Вводные'!$H$271</f>
        <v/>
      </c>
      <c r="K38" s="194">
        <f>K100*'01_Вводные'!$H$272</f>
        <v/>
      </c>
      <c r="L38" s="194">
        <f>L100*'01_Вводные'!$H$273</f>
        <v/>
      </c>
      <c r="M38" s="194">
        <f>M100*'01_Вводные'!$H$274</f>
        <v/>
      </c>
      <c r="N38" s="194">
        <f>N100*'01_Вводные'!$H$275</f>
        <v/>
      </c>
      <c r="O38" s="194">
        <f>O100*'01_Вводные'!$H$276</f>
        <v/>
      </c>
      <c r="P38" s="194">
        <f>P100*'01_Вводные'!$H$277</f>
        <v/>
      </c>
      <c r="Q38" s="194">
        <f>Q100*'01_Вводные'!$H$278</f>
        <v/>
      </c>
      <c r="R38" s="194">
        <f>R100*'01_Вводные'!$H$279</f>
        <v/>
      </c>
      <c r="S38" s="194">
        <f>S100*'01_Вводные'!$H$280</f>
        <v/>
      </c>
      <c r="T38" s="194">
        <f>T100*'01_Вводные'!$H$281</f>
        <v/>
      </c>
      <c r="U38" s="194">
        <f>U100*'01_Вводные'!$H$282</f>
        <v/>
      </c>
      <c r="W38" s="195">
        <f>SUMPRODUCT($B$22:$U$22,B100:U100)</f>
        <v/>
      </c>
      <c r="X38" s="195">
        <f>SUMPRODUCT($B$22:$U$22,B68:U68)</f>
        <v/>
      </c>
    </row>
    <row r="39">
      <c r="A39" s="192" t="inlineStr">
        <is>
          <t>16</t>
        </is>
      </c>
      <c r="B39" s="194">
        <f>B101*'01_Вводные'!$H$263</f>
        <v/>
      </c>
      <c r="C39" s="194">
        <f>C101*'01_Вводные'!$H$264</f>
        <v/>
      </c>
      <c r="D39" s="194">
        <f>D101*'01_Вводные'!$H$265</f>
        <v/>
      </c>
      <c r="E39" s="194">
        <f>E101*'01_Вводные'!$H$266</f>
        <v/>
      </c>
      <c r="F39" s="194">
        <f>F101*'01_Вводные'!$H$267</f>
        <v/>
      </c>
      <c r="G39" s="194">
        <f>G101*'01_Вводные'!$H$268</f>
        <v/>
      </c>
      <c r="H39" s="194">
        <f>H101*'01_Вводные'!$H$269</f>
        <v/>
      </c>
      <c r="I39" s="194">
        <f>I101*'01_Вводные'!$H$270</f>
        <v/>
      </c>
      <c r="J39" s="194">
        <f>J101*'01_Вводные'!$H$271</f>
        <v/>
      </c>
      <c r="K39" s="194">
        <f>K101*'01_Вводные'!$H$272</f>
        <v/>
      </c>
      <c r="L39" s="194">
        <f>L101*'01_Вводные'!$H$273</f>
        <v/>
      </c>
      <c r="M39" s="194">
        <f>M101*'01_Вводные'!$H$274</f>
        <v/>
      </c>
      <c r="N39" s="194">
        <f>N101*'01_Вводные'!$H$275</f>
        <v/>
      </c>
      <c r="O39" s="194">
        <f>O101*'01_Вводные'!$H$276</f>
        <v/>
      </c>
      <c r="P39" s="194">
        <f>P101*'01_Вводные'!$H$277</f>
        <v/>
      </c>
      <c r="Q39" s="194">
        <f>Q101*'01_Вводные'!$H$278</f>
        <v/>
      </c>
      <c r="R39" s="194">
        <f>R101*'01_Вводные'!$H$279</f>
        <v/>
      </c>
      <c r="S39" s="194">
        <f>S101*'01_Вводные'!$H$280</f>
        <v/>
      </c>
      <c r="T39" s="194">
        <f>T101*'01_Вводные'!$H$281</f>
        <v/>
      </c>
      <c r="U39" s="194">
        <f>U101*'01_Вводные'!$H$282</f>
        <v/>
      </c>
      <c r="W39" s="195">
        <f>SUMPRODUCT($B$22:$U$22,B101:U101)</f>
        <v/>
      </c>
      <c r="X39" s="195">
        <f>SUMPRODUCT($B$22:$U$22,B69:U69)</f>
        <v/>
      </c>
    </row>
    <row r="40">
      <c r="A40" s="192" t="inlineStr">
        <is>
          <t>17</t>
        </is>
      </c>
      <c r="B40" s="194">
        <f>B102*'01_Вводные'!$H$263</f>
        <v/>
      </c>
      <c r="C40" s="194">
        <f>C102*'01_Вводные'!$H$264</f>
        <v/>
      </c>
      <c r="D40" s="194">
        <f>D102*'01_Вводные'!$H$265</f>
        <v/>
      </c>
      <c r="E40" s="194">
        <f>E102*'01_Вводные'!$H$266</f>
        <v/>
      </c>
      <c r="F40" s="194">
        <f>F102*'01_Вводные'!$H$267</f>
        <v/>
      </c>
      <c r="G40" s="194">
        <f>G102*'01_Вводные'!$H$268</f>
        <v/>
      </c>
      <c r="H40" s="194">
        <f>H102*'01_Вводные'!$H$269</f>
        <v/>
      </c>
      <c r="I40" s="194">
        <f>I102*'01_Вводные'!$H$270</f>
        <v/>
      </c>
      <c r="J40" s="194">
        <f>J102*'01_Вводные'!$H$271</f>
        <v/>
      </c>
      <c r="K40" s="194">
        <f>K102*'01_Вводные'!$H$272</f>
        <v/>
      </c>
      <c r="L40" s="194">
        <f>L102*'01_Вводные'!$H$273</f>
        <v/>
      </c>
      <c r="M40" s="194">
        <f>M102*'01_Вводные'!$H$274</f>
        <v/>
      </c>
      <c r="N40" s="194">
        <f>N102*'01_Вводные'!$H$275</f>
        <v/>
      </c>
      <c r="O40" s="194">
        <f>O102*'01_Вводные'!$H$276</f>
        <v/>
      </c>
      <c r="P40" s="194">
        <f>P102*'01_Вводные'!$H$277</f>
        <v/>
      </c>
      <c r="Q40" s="194">
        <f>Q102*'01_Вводные'!$H$278</f>
        <v/>
      </c>
      <c r="R40" s="194">
        <f>R102*'01_Вводные'!$H$279</f>
        <v/>
      </c>
      <c r="S40" s="194">
        <f>S102*'01_Вводные'!$H$280</f>
        <v/>
      </c>
      <c r="T40" s="194">
        <f>T102*'01_Вводные'!$H$281</f>
        <v/>
      </c>
      <c r="U40" s="194">
        <f>U102*'01_Вводные'!$H$282</f>
        <v/>
      </c>
      <c r="W40" s="195">
        <f>SUMPRODUCT($B$22:$U$22,B102:U102)</f>
        <v/>
      </c>
      <c r="X40" s="195">
        <f>SUMPRODUCT($B$22:$U$22,B70:U70)</f>
        <v/>
      </c>
    </row>
    <row r="41">
      <c r="A41" s="192" t="inlineStr">
        <is>
          <t>18</t>
        </is>
      </c>
      <c r="B41" s="194">
        <f>B103*'01_Вводные'!$H$263</f>
        <v/>
      </c>
      <c r="C41" s="194">
        <f>C103*'01_Вводные'!$H$264</f>
        <v/>
      </c>
      <c r="D41" s="194">
        <f>D103*'01_Вводные'!$H$265</f>
        <v/>
      </c>
      <c r="E41" s="194">
        <f>E103*'01_Вводные'!$H$266</f>
        <v/>
      </c>
      <c r="F41" s="194">
        <f>F103*'01_Вводные'!$H$267</f>
        <v/>
      </c>
      <c r="G41" s="194">
        <f>G103*'01_Вводные'!$H$268</f>
        <v/>
      </c>
      <c r="H41" s="194">
        <f>H103*'01_Вводные'!$H$269</f>
        <v/>
      </c>
      <c r="I41" s="194">
        <f>I103*'01_Вводные'!$H$270</f>
        <v/>
      </c>
      <c r="J41" s="194">
        <f>J103*'01_Вводные'!$H$271</f>
        <v/>
      </c>
      <c r="K41" s="194">
        <f>K103*'01_Вводные'!$H$272</f>
        <v/>
      </c>
      <c r="L41" s="194">
        <f>L103*'01_Вводные'!$H$273</f>
        <v/>
      </c>
      <c r="M41" s="194">
        <f>M103*'01_Вводные'!$H$274</f>
        <v/>
      </c>
      <c r="N41" s="194">
        <f>N103*'01_Вводные'!$H$275</f>
        <v/>
      </c>
      <c r="O41" s="194">
        <f>O103*'01_Вводные'!$H$276</f>
        <v/>
      </c>
      <c r="P41" s="194">
        <f>P103*'01_Вводные'!$H$277</f>
        <v/>
      </c>
      <c r="Q41" s="194">
        <f>Q103*'01_Вводные'!$H$278</f>
        <v/>
      </c>
      <c r="R41" s="194">
        <f>R103*'01_Вводные'!$H$279</f>
        <v/>
      </c>
      <c r="S41" s="194">
        <f>S103*'01_Вводные'!$H$280</f>
        <v/>
      </c>
      <c r="T41" s="194">
        <f>T103*'01_Вводные'!$H$281</f>
        <v/>
      </c>
      <c r="U41" s="194">
        <f>U103*'01_Вводные'!$H$282</f>
        <v/>
      </c>
      <c r="W41" s="195">
        <f>SUMPRODUCT($B$22:$U$22,B103:U103)</f>
        <v/>
      </c>
      <c r="X41" s="195">
        <f>SUMPRODUCT($B$22:$U$22,B71:U71)</f>
        <v/>
      </c>
    </row>
    <row r="42">
      <c r="A42" s="192" t="inlineStr">
        <is>
          <t>19</t>
        </is>
      </c>
      <c r="B42" s="194">
        <f>B104*'01_Вводные'!$H$263</f>
        <v/>
      </c>
      <c r="C42" s="194">
        <f>C104*'01_Вводные'!$H$264</f>
        <v/>
      </c>
      <c r="D42" s="194">
        <f>D104*'01_Вводные'!$H$265</f>
        <v/>
      </c>
      <c r="E42" s="194">
        <f>E104*'01_Вводные'!$H$266</f>
        <v/>
      </c>
      <c r="F42" s="194">
        <f>F104*'01_Вводные'!$H$267</f>
        <v/>
      </c>
      <c r="G42" s="194">
        <f>G104*'01_Вводные'!$H$268</f>
        <v/>
      </c>
      <c r="H42" s="194">
        <f>H104*'01_Вводные'!$H$269</f>
        <v/>
      </c>
      <c r="I42" s="194">
        <f>I104*'01_Вводные'!$H$270</f>
        <v/>
      </c>
      <c r="J42" s="194">
        <f>J104*'01_Вводные'!$H$271</f>
        <v/>
      </c>
      <c r="K42" s="194">
        <f>K104*'01_Вводные'!$H$272</f>
        <v/>
      </c>
      <c r="L42" s="194">
        <f>L104*'01_Вводные'!$H$273</f>
        <v/>
      </c>
      <c r="M42" s="194">
        <f>M104*'01_Вводные'!$H$274</f>
        <v/>
      </c>
      <c r="N42" s="194">
        <f>N104*'01_Вводные'!$H$275</f>
        <v/>
      </c>
      <c r="O42" s="194">
        <f>O104*'01_Вводные'!$H$276</f>
        <v/>
      </c>
      <c r="P42" s="194">
        <f>P104*'01_Вводные'!$H$277</f>
        <v/>
      </c>
      <c r="Q42" s="194">
        <f>Q104*'01_Вводные'!$H$278</f>
        <v/>
      </c>
      <c r="R42" s="194">
        <f>R104*'01_Вводные'!$H$279</f>
        <v/>
      </c>
      <c r="S42" s="194">
        <f>S104*'01_Вводные'!$H$280</f>
        <v/>
      </c>
      <c r="T42" s="194">
        <f>T104*'01_Вводные'!$H$281</f>
        <v/>
      </c>
      <c r="U42" s="194">
        <f>U104*'01_Вводные'!$H$282</f>
        <v/>
      </c>
      <c r="W42" s="195">
        <f>SUMPRODUCT($B$22:$U$22,B104:U104)</f>
        <v/>
      </c>
      <c r="X42" s="195">
        <f>SUMPRODUCT($B$22:$U$22,B72:U72)</f>
        <v/>
      </c>
    </row>
    <row r="43">
      <c r="A43" s="192" t="inlineStr">
        <is>
          <t>20</t>
        </is>
      </c>
      <c r="B43" s="194">
        <f>B105*'01_Вводные'!$H$263</f>
        <v/>
      </c>
      <c r="C43" s="194">
        <f>C105*'01_Вводные'!$H$264</f>
        <v/>
      </c>
      <c r="D43" s="194">
        <f>D105*'01_Вводные'!$H$265</f>
        <v/>
      </c>
      <c r="E43" s="194">
        <f>E105*'01_Вводные'!$H$266</f>
        <v/>
      </c>
      <c r="F43" s="194">
        <f>F105*'01_Вводные'!$H$267</f>
        <v/>
      </c>
      <c r="G43" s="194">
        <f>G105*'01_Вводные'!$H$268</f>
        <v/>
      </c>
      <c r="H43" s="194">
        <f>H105*'01_Вводные'!$H$269</f>
        <v/>
      </c>
      <c r="I43" s="194">
        <f>I105*'01_Вводные'!$H$270</f>
        <v/>
      </c>
      <c r="J43" s="194">
        <f>J105*'01_Вводные'!$H$271</f>
        <v/>
      </c>
      <c r="K43" s="194">
        <f>K105*'01_Вводные'!$H$272</f>
        <v/>
      </c>
      <c r="L43" s="194">
        <f>L105*'01_Вводные'!$H$273</f>
        <v/>
      </c>
      <c r="M43" s="194">
        <f>M105*'01_Вводные'!$H$274</f>
        <v/>
      </c>
      <c r="N43" s="194">
        <f>N105*'01_Вводные'!$H$275</f>
        <v/>
      </c>
      <c r="O43" s="194">
        <f>O105*'01_Вводные'!$H$276</f>
        <v/>
      </c>
      <c r="P43" s="194">
        <f>P105*'01_Вводные'!$H$277</f>
        <v/>
      </c>
      <c r="Q43" s="194">
        <f>Q105*'01_Вводные'!$H$278</f>
        <v/>
      </c>
      <c r="R43" s="194">
        <f>R105*'01_Вводные'!$H$279</f>
        <v/>
      </c>
      <c r="S43" s="194">
        <f>S105*'01_Вводные'!$H$280</f>
        <v/>
      </c>
      <c r="T43" s="194">
        <f>T105*'01_Вводные'!$H$281</f>
        <v/>
      </c>
      <c r="U43" s="194">
        <f>U105*'01_Вводные'!$H$282</f>
        <v/>
      </c>
      <c r="W43" s="195">
        <f>SUMPRODUCT($B$22:$U$22,B105:U105)</f>
        <v/>
      </c>
      <c r="X43" s="195">
        <f>SUMPRODUCT($B$22:$U$22,B73:U73)</f>
        <v/>
      </c>
    </row>
    <row r="44">
      <c r="A44" s="192" t="inlineStr">
        <is>
          <t>21</t>
        </is>
      </c>
      <c r="B44" s="194">
        <f>B106*'01_Вводные'!$H$263</f>
        <v/>
      </c>
      <c r="C44" s="194">
        <f>C106*'01_Вводные'!$H$264</f>
        <v/>
      </c>
      <c r="D44" s="194">
        <f>D106*'01_Вводные'!$H$265</f>
        <v/>
      </c>
      <c r="E44" s="194">
        <f>E106*'01_Вводные'!$H$266</f>
        <v/>
      </c>
      <c r="F44" s="194">
        <f>F106*'01_Вводные'!$H$267</f>
        <v/>
      </c>
      <c r="G44" s="194">
        <f>G106*'01_Вводные'!$H$268</f>
        <v/>
      </c>
      <c r="H44" s="194">
        <f>H106*'01_Вводные'!$H$269</f>
        <v/>
      </c>
      <c r="I44" s="194">
        <f>I106*'01_Вводные'!$H$270</f>
        <v/>
      </c>
      <c r="J44" s="194">
        <f>J106*'01_Вводные'!$H$271</f>
        <v/>
      </c>
      <c r="K44" s="194">
        <f>K106*'01_Вводные'!$H$272</f>
        <v/>
      </c>
      <c r="L44" s="194">
        <f>L106*'01_Вводные'!$H$273</f>
        <v/>
      </c>
      <c r="M44" s="194">
        <f>M106*'01_Вводные'!$H$274</f>
        <v/>
      </c>
      <c r="N44" s="194">
        <f>N106*'01_Вводные'!$H$275</f>
        <v/>
      </c>
      <c r="O44" s="194">
        <f>O106*'01_Вводные'!$H$276</f>
        <v/>
      </c>
      <c r="P44" s="194">
        <f>P106*'01_Вводные'!$H$277</f>
        <v/>
      </c>
      <c r="Q44" s="194">
        <f>Q106*'01_Вводные'!$H$278</f>
        <v/>
      </c>
      <c r="R44" s="194">
        <f>R106*'01_Вводные'!$H$279</f>
        <v/>
      </c>
      <c r="S44" s="194">
        <f>S106*'01_Вводные'!$H$280</f>
        <v/>
      </c>
      <c r="T44" s="194">
        <f>T106*'01_Вводные'!$H$281</f>
        <v/>
      </c>
      <c r="U44" s="194">
        <f>U106*'01_Вводные'!$H$282</f>
        <v/>
      </c>
      <c r="W44" s="195">
        <f>SUMPRODUCT($B$22:$U$22,B106:U106)</f>
        <v/>
      </c>
      <c r="X44" s="195">
        <f>SUMPRODUCT($B$22:$U$22,B74:U74)</f>
        <v/>
      </c>
    </row>
    <row r="45">
      <c r="A45" s="192" t="inlineStr">
        <is>
          <t>22</t>
        </is>
      </c>
      <c r="B45" s="194">
        <f>B107*'01_Вводные'!$H$263</f>
        <v/>
      </c>
      <c r="C45" s="194">
        <f>C107*'01_Вводные'!$H$264</f>
        <v/>
      </c>
      <c r="D45" s="194">
        <f>D107*'01_Вводные'!$H$265</f>
        <v/>
      </c>
      <c r="E45" s="194">
        <f>E107*'01_Вводные'!$H$266</f>
        <v/>
      </c>
      <c r="F45" s="194">
        <f>F107*'01_Вводные'!$H$267</f>
        <v/>
      </c>
      <c r="G45" s="194">
        <f>G107*'01_Вводные'!$H$268</f>
        <v/>
      </c>
      <c r="H45" s="194">
        <f>H107*'01_Вводные'!$H$269</f>
        <v/>
      </c>
      <c r="I45" s="194">
        <f>I107*'01_Вводные'!$H$270</f>
        <v/>
      </c>
      <c r="J45" s="194">
        <f>J107*'01_Вводные'!$H$271</f>
        <v/>
      </c>
      <c r="K45" s="194">
        <f>K107*'01_Вводные'!$H$272</f>
        <v/>
      </c>
      <c r="L45" s="194">
        <f>L107*'01_Вводные'!$H$273</f>
        <v/>
      </c>
      <c r="M45" s="194">
        <f>M107*'01_Вводные'!$H$274</f>
        <v/>
      </c>
      <c r="N45" s="194">
        <f>N107*'01_Вводные'!$H$275</f>
        <v/>
      </c>
      <c r="O45" s="194">
        <f>O107*'01_Вводные'!$H$276</f>
        <v/>
      </c>
      <c r="P45" s="194">
        <f>P107*'01_Вводные'!$H$277</f>
        <v/>
      </c>
      <c r="Q45" s="194">
        <f>Q107*'01_Вводные'!$H$278</f>
        <v/>
      </c>
      <c r="R45" s="194">
        <f>R107*'01_Вводные'!$H$279</f>
        <v/>
      </c>
      <c r="S45" s="194">
        <f>S107*'01_Вводные'!$H$280</f>
        <v/>
      </c>
      <c r="T45" s="194">
        <f>T107*'01_Вводные'!$H$281</f>
        <v/>
      </c>
      <c r="U45" s="194">
        <f>U107*'01_Вводные'!$H$282</f>
        <v/>
      </c>
      <c r="W45" s="195">
        <f>SUMPRODUCT($B$22:$U$22,B107:U107)</f>
        <v/>
      </c>
      <c r="X45" s="195">
        <f>SUMPRODUCT($B$22:$U$22,B75:U75)</f>
        <v/>
      </c>
    </row>
    <row r="46">
      <c r="A46" s="192" t="inlineStr">
        <is>
          <t>23</t>
        </is>
      </c>
      <c r="B46" s="194">
        <f>B108*'01_Вводные'!$H$263</f>
        <v/>
      </c>
      <c r="C46" s="194">
        <f>C108*'01_Вводные'!$H$264</f>
        <v/>
      </c>
      <c r="D46" s="194">
        <f>D108*'01_Вводные'!$H$265</f>
        <v/>
      </c>
      <c r="E46" s="194">
        <f>E108*'01_Вводные'!$H$266</f>
        <v/>
      </c>
      <c r="F46" s="194">
        <f>F108*'01_Вводные'!$H$267</f>
        <v/>
      </c>
      <c r="G46" s="194">
        <f>G108*'01_Вводные'!$H$268</f>
        <v/>
      </c>
      <c r="H46" s="194">
        <f>H108*'01_Вводные'!$H$269</f>
        <v/>
      </c>
      <c r="I46" s="194">
        <f>I108*'01_Вводные'!$H$270</f>
        <v/>
      </c>
      <c r="J46" s="194">
        <f>J108*'01_Вводные'!$H$271</f>
        <v/>
      </c>
      <c r="K46" s="194">
        <f>K108*'01_Вводные'!$H$272</f>
        <v/>
      </c>
      <c r="L46" s="194">
        <f>L108*'01_Вводные'!$H$273</f>
        <v/>
      </c>
      <c r="M46" s="194">
        <f>M108*'01_Вводные'!$H$274</f>
        <v/>
      </c>
      <c r="N46" s="194">
        <f>N108*'01_Вводные'!$H$275</f>
        <v/>
      </c>
      <c r="O46" s="194">
        <f>O108*'01_Вводные'!$H$276</f>
        <v/>
      </c>
      <c r="P46" s="194">
        <f>P108*'01_Вводные'!$H$277</f>
        <v/>
      </c>
      <c r="Q46" s="194">
        <f>Q108*'01_Вводные'!$H$278</f>
        <v/>
      </c>
      <c r="R46" s="194">
        <f>R108*'01_Вводные'!$H$279</f>
        <v/>
      </c>
      <c r="S46" s="194">
        <f>S108*'01_Вводные'!$H$280</f>
        <v/>
      </c>
      <c r="T46" s="194">
        <f>T108*'01_Вводные'!$H$281</f>
        <v/>
      </c>
      <c r="U46" s="194">
        <f>U108*'01_Вводные'!$H$282</f>
        <v/>
      </c>
      <c r="W46" s="195">
        <f>SUMPRODUCT($B$22:$U$22,B108:U108)</f>
        <v/>
      </c>
      <c r="X46" s="195">
        <f>SUMPRODUCT($B$22:$U$22,B76:U76)</f>
        <v/>
      </c>
    </row>
    <row r="47">
      <c r="A47" s="192" t="inlineStr">
        <is>
          <t>24</t>
        </is>
      </c>
      <c r="B47" s="194">
        <f>B109*'01_Вводные'!$H$263</f>
        <v/>
      </c>
      <c r="C47" s="194">
        <f>C109*'01_Вводные'!$H$264</f>
        <v/>
      </c>
      <c r="D47" s="194">
        <f>D109*'01_Вводные'!$H$265</f>
        <v/>
      </c>
      <c r="E47" s="194">
        <f>E109*'01_Вводные'!$H$266</f>
        <v/>
      </c>
      <c r="F47" s="194">
        <f>F109*'01_Вводные'!$H$267</f>
        <v/>
      </c>
      <c r="G47" s="194">
        <f>G109*'01_Вводные'!$H$268</f>
        <v/>
      </c>
      <c r="H47" s="194">
        <f>H109*'01_Вводные'!$H$269</f>
        <v/>
      </c>
      <c r="I47" s="194">
        <f>I109*'01_Вводные'!$H$270</f>
        <v/>
      </c>
      <c r="J47" s="194">
        <f>J109*'01_Вводные'!$H$271</f>
        <v/>
      </c>
      <c r="K47" s="194">
        <f>K109*'01_Вводные'!$H$272</f>
        <v/>
      </c>
      <c r="L47" s="194">
        <f>L109*'01_Вводные'!$H$273</f>
        <v/>
      </c>
      <c r="M47" s="194">
        <f>M109*'01_Вводные'!$H$274</f>
        <v/>
      </c>
      <c r="N47" s="194">
        <f>N109*'01_Вводные'!$H$275</f>
        <v/>
      </c>
      <c r="O47" s="194">
        <f>O109*'01_Вводные'!$H$276</f>
        <v/>
      </c>
      <c r="P47" s="194">
        <f>P109*'01_Вводные'!$H$277</f>
        <v/>
      </c>
      <c r="Q47" s="194">
        <f>Q109*'01_Вводные'!$H$278</f>
        <v/>
      </c>
      <c r="R47" s="194">
        <f>R109*'01_Вводные'!$H$279</f>
        <v/>
      </c>
      <c r="S47" s="194">
        <f>S109*'01_Вводные'!$H$280</f>
        <v/>
      </c>
      <c r="T47" s="194">
        <f>T109*'01_Вводные'!$H$281</f>
        <v/>
      </c>
      <c r="U47" s="194">
        <f>U109*'01_Вводные'!$H$282</f>
        <v/>
      </c>
      <c r="W47" s="195">
        <f>SUMPRODUCT($B$22:$U$22,B109:U109)</f>
        <v/>
      </c>
      <c r="X47" s="195">
        <f>SUMPRODUCT($B$22:$U$22,B77:U77)</f>
        <v/>
      </c>
    </row>
    <row r="48">
      <c r="A48" s="192" t="inlineStr">
        <is>
          <t>25+</t>
        </is>
      </c>
      <c r="B48" s="194">
        <f>B110*'01_Вводные'!$H$263</f>
        <v/>
      </c>
      <c r="C48" s="194">
        <f>C110*'01_Вводные'!$H$264</f>
        <v/>
      </c>
      <c r="D48" s="194">
        <f>D110*'01_Вводные'!$H$265</f>
        <v/>
      </c>
      <c r="E48" s="194">
        <f>E110*'01_Вводные'!$H$266</f>
        <v/>
      </c>
      <c r="F48" s="194">
        <f>F110*'01_Вводные'!$H$267</f>
        <v/>
      </c>
      <c r="G48" s="194">
        <f>G110*'01_Вводные'!$H$268</f>
        <v/>
      </c>
      <c r="H48" s="194">
        <f>H110*'01_Вводные'!$H$269</f>
        <v/>
      </c>
      <c r="I48" s="194">
        <f>I110*'01_Вводные'!$H$270</f>
        <v/>
      </c>
      <c r="J48" s="194">
        <f>J110*'01_Вводные'!$H$271</f>
        <v/>
      </c>
      <c r="K48" s="194">
        <f>K110*'01_Вводные'!$H$272</f>
        <v/>
      </c>
      <c r="L48" s="194">
        <f>L110*'01_Вводные'!$H$273</f>
        <v/>
      </c>
      <c r="M48" s="194">
        <f>M110*'01_Вводные'!$H$274</f>
        <v/>
      </c>
      <c r="N48" s="194">
        <f>N110*'01_Вводные'!$H$275</f>
        <v/>
      </c>
      <c r="O48" s="194">
        <f>O110*'01_Вводные'!$H$276</f>
        <v/>
      </c>
      <c r="P48" s="194">
        <f>P110*'01_Вводные'!$H$277</f>
        <v/>
      </c>
      <c r="Q48" s="194">
        <f>Q110*'01_Вводные'!$H$278</f>
        <v/>
      </c>
      <c r="R48" s="194">
        <f>R110*'01_Вводные'!$H$279</f>
        <v/>
      </c>
      <c r="S48" s="194">
        <f>S110*'01_Вводные'!$H$280</f>
        <v/>
      </c>
      <c r="T48" s="194">
        <f>T110*'01_Вводные'!$H$281</f>
        <v/>
      </c>
      <c r="U48" s="194">
        <f>U110*'01_Вводные'!$H$282</f>
        <v/>
      </c>
      <c r="W48" s="195">
        <f>SUMPRODUCT($B$22:$U$22,B110:U110)</f>
        <v/>
      </c>
      <c r="X48" s="195">
        <f>SUMPRODUCT($B$22:$U$22,B78:U78)</f>
        <v/>
      </c>
    </row>
    <row r="49"/>
    <row r="50"/>
    <row r="51"/>
    <row r="52"/>
    <row r="53"/>
    <row r="54">
      <c r="A54" s="192" t="inlineStr">
        <is>
          <t>1</t>
        </is>
      </c>
      <c r="B54" s="194">
        <f>'01_Вводные'!$I$263</f>
        <v/>
      </c>
      <c r="C54" s="194">
        <f>'01_Вводные'!$I$264</f>
        <v/>
      </c>
      <c r="D54" s="194">
        <f>'01_Вводные'!$I$265</f>
        <v/>
      </c>
      <c r="E54" s="194">
        <f>'01_Вводные'!$I$266</f>
        <v/>
      </c>
      <c r="F54" s="194">
        <f>'01_Вводные'!$I$267</f>
        <v/>
      </c>
      <c r="G54" s="194">
        <f>'01_Вводные'!$I$268</f>
        <v/>
      </c>
      <c r="H54" s="194">
        <f>'01_Вводные'!$I$269</f>
        <v/>
      </c>
      <c r="I54" s="194">
        <f>'01_Вводные'!$I$270</f>
        <v/>
      </c>
      <c r="J54" s="194">
        <f>'01_Вводные'!$I$271</f>
        <v/>
      </c>
      <c r="K54" s="194">
        <f>'01_Вводные'!$I$272</f>
        <v/>
      </c>
      <c r="L54" s="194">
        <f>'01_Вводные'!$I$273</f>
        <v/>
      </c>
      <c r="M54" s="194">
        <f>'01_Вводные'!$I$274</f>
        <v/>
      </c>
      <c r="N54" s="194">
        <f>'01_Вводные'!$I$275</f>
        <v/>
      </c>
      <c r="O54" s="194">
        <f>'01_Вводные'!$I$276</f>
        <v/>
      </c>
      <c r="P54" s="194">
        <f>'01_Вводные'!$I$277</f>
        <v/>
      </c>
      <c r="Q54" s="194">
        <f>'01_Вводные'!$I$278</f>
        <v/>
      </c>
      <c r="R54" s="194">
        <f>'01_Вводные'!$I$279</f>
        <v/>
      </c>
      <c r="S54" s="194">
        <f>'01_Вводные'!$I$280</f>
        <v/>
      </c>
      <c r="T54" s="194">
        <f>'01_Вводные'!$I$281</f>
        <v/>
      </c>
      <c r="U54" s="194">
        <f>'01_Вводные'!$I$282</f>
        <v/>
      </c>
    </row>
    <row r="55">
      <c r="A55" s="192" t="inlineStr">
        <is>
          <t>2</t>
        </is>
      </c>
      <c r="B55" s="194">
        <f>'01_Вводные'!$I$263</f>
        <v/>
      </c>
      <c r="C55" s="194">
        <f>'01_Вводные'!$I$264</f>
        <v/>
      </c>
      <c r="D55" s="194">
        <f>'01_Вводные'!$I$265</f>
        <v/>
      </c>
      <c r="E55" s="194">
        <f>'01_Вводные'!$I$266</f>
        <v/>
      </c>
      <c r="F55" s="194">
        <f>'01_Вводные'!$I$267</f>
        <v/>
      </c>
      <c r="G55" s="194">
        <f>'01_Вводные'!$I$268</f>
        <v/>
      </c>
      <c r="H55" s="194">
        <f>'01_Вводные'!$I$269</f>
        <v/>
      </c>
      <c r="I55" s="194">
        <f>'01_Вводные'!$I$270</f>
        <v/>
      </c>
      <c r="J55" s="194">
        <f>'01_Вводные'!$I$271</f>
        <v/>
      </c>
      <c r="K55" s="194">
        <f>'01_Вводные'!$I$272</f>
        <v/>
      </c>
      <c r="L55" s="194">
        <f>'01_Вводные'!$I$273</f>
        <v/>
      </c>
      <c r="M55" s="194">
        <f>'01_Вводные'!$I$274</f>
        <v/>
      </c>
      <c r="N55" s="194">
        <f>'01_Вводные'!$I$275</f>
        <v/>
      </c>
      <c r="O55" s="194">
        <f>'01_Вводные'!$I$276</f>
        <v/>
      </c>
      <c r="P55" s="194">
        <f>'01_Вводные'!$I$277</f>
        <v/>
      </c>
      <c r="Q55" s="194">
        <f>'01_Вводные'!$I$278</f>
        <v/>
      </c>
      <c r="R55" s="194">
        <f>'01_Вводные'!$I$279</f>
        <v/>
      </c>
      <c r="S55" s="194">
        <f>'01_Вводные'!$I$280</f>
        <v/>
      </c>
      <c r="T55" s="194">
        <f>'01_Вводные'!$I$281</f>
        <v/>
      </c>
      <c r="U55" s="194">
        <f>'01_Вводные'!$I$282</f>
        <v/>
      </c>
    </row>
    <row r="56">
      <c r="A56" s="192" t="inlineStr">
        <is>
          <t>3</t>
        </is>
      </c>
      <c r="B56" s="194">
        <f>'01_Вводные'!$I$263</f>
        <v/>
      </c>
      <c r="C56" s="194">
        <f>'01_Вводные'!$I$264</f>
        <v/>
      </c>
      <c r="D56" s="194">
        <f>'01_Вводные'!$I$265</f>
        <v/>
      </c>
      <c r="E56" s="194">
        <f>'01_Вводные'!$I$266</f>
        <v/>
      </c>
      <c r="F56" s="194">
        <f>'01_Вводные'!$I$267</f>
        <v/>
      </c>
      <c r="G56" s="194">
        <f>'01_Вводные'!$I$268</f>
        <v/>
      </c>
      <c r="H56" s="194">
        <f>'01_Вводные'!$I$269</f>
        <v/>
      </c>
      <c r="I56" s="194">
        <f>'01_Вводные'!$I$270</f>
        <v/>
      </c>
      <c r="J56" s="194">
        <f>'01_Вводные'!$I$271</f>
        <v/>
      </c>
      <c r="K56" s="194">
        <f>'01_Вводные'!$I$272</f>
        <v/>
      </c>
      <c r="L56" s="194">
        <f>'01_Вводные'!$I$273</f>
        <v/>
      </c>
      <c r="M56" s="194">
        <f>'01_Вводные'!$I$274</f>
        <v/>
      </c>
      <c r="N56" s="194">
        <f>'01_Вводные'!$I$275</f>
        <v/>
      </c>
      <c r="O56" s="194">
        <f>'01_Вводные'!$I$276</f>
        <v/>
      </c>
      <c r="P56" s="194">
        <f>'01_Вводные'!$I$277</f>
        <v/>
      </c>
      <c r="Q56" s="194">
        <f>'01_Вводные'!$I$278</f>
        <v/>
      </c>
      <c r="R56" s="194">
        <f>'01_Вводные'!$I$279</f>
        <v/>
      </c>
      <c r="S56" s="194">
        <f>'01_Вводные'!$I$280</f>
        <v/>
      </c>
      <c r="T56" s="194">
        <f>'01_Вводные'!$I$281</f>
        <v/>
      </c>
      <c r="U56" s="194">
        <f>'01_Вводные'!$I$282</f>
        <v/>
      </c>
    </row>
    <row r="57">
      <c r="A57" s="192" t="inlineStr">
        <is>
          <t>4</t>
        </is>
      </c>
      <c r="B57" s="194">
        <f>'01_Вводные'!$I$263</f>
        <v/>
      </c>
      <c r="C57" s="194">
        <f>'01_Вводные'!$I$264</f>
        <v/>
      </c>
      <c r="D57" s="194">
        <f>'01_Вводные'!$I$265</f>
        <v/>
      </c>
      <c r="E57" s="194">
        <f>'01_Вводные'!$I$266</f>
        <v/>
      </c>
      <c r="F57" s="194">
        <f>'01_Вводные'!$I$267</f>
        <v/>
      </c>
      <c r="G57" s="194">
        <f>'01_Вводные'!$I$268</f>
        <v/>
      </c>
      <c r="H57" s="194">
        <f>'01_Вводные'!$I$269</f>
        <v/>
      </c>
      <c r="I57" s="194">
        <f>'01_Вводные'!$I$270</f>
        <v/>
      </c>
      <c r="J57" s="194">
        <f>'01_Вводные'!$I$271</f>
        <v/>
      </c>
      <c r="K57" s="194">
        <f>'01_Вводные'!$I$272</f>
        <v/>
      </c>
      <c r="L57" s="194">
        <f>'01_Вводные'!$I$273</f>
        <v/>
      </c>
      <c r="M57" s="194">
        <f>'01_Вводные'!$I$274</f>
        <v/>
      </c>
      <c r="N57" s="194">
        <f>'01_Вводные'!$I$275</f>
        <v/>
      </c>
      <c r="O57" s="194">
        <f>'01_Вводные'!$I$276</f>
        <v/>
      </c>
      <c r="P57" s="194">
        <f>'01_Вводные'!$I$277</f>
        <v/>
      </c>
      <c r="Q57" s="194">
        <f>'01_Вводные'!$I$278</f>
        <v/>
      </c>
      <c r="R57" s="194">
        <f>'01_Вводные'!$I$279</f>
        <v/>
      </c>
      <c r="S57" s="194">
        <f>'01_Вводные'!$I$280</f>
        <v/>
      </c>
      <c r="T57" s="194">
        <f>'01_Вводные'!$I$281</f>
        <v/>
      </c>
      <c r="U57" s="194">
        <f>'01_Вводные'!$I$282</f>
        <v/>
      </c>
    </row>
    <row r="58">
      <c r="A58" s="192" t="inlineStr">
        <is>
          <t>5</t>
        </is>
      </c>
      <c r="B58" s="194">
        <f>'01_Вводные'!$I$263</f>
        <v/>
      </c>
      <c r="C58" s="194">
        <f>'01_Вводные'!$I$264</f>
        <v/>
      </c>
      <c r="D58" s="194">
        <f>'01_Вводные'!$I$265</f>
        <v/>
      </c>
      <c r="E58" s="194">
        <f>'01_Вводные'!$I$266</f>
        <v/>
      </c>
      <c r="F58" s="194">
        <f>'01_Вводные'!$I$267</f>
        <v/>
      </c>
      <c r="G58" s="194">
        <f>'01_Вводные'!$I$268</f>
        <v/>
      </c>
      <c r="H58" s="194">
        <f>'01_Вводные'!$I$269</f>
        <v/>
      </c>
      <c r="I58" s="194">
        <f>'01_Вводные'!$I$270</f>
        <v/>
      </c>
      <c r="J58" s="194">
        <f>'01_Вводные'!$I$271</f>
        <v/>
      </c>
      <c r="K58" s="194">
        <f>'01_Вводные'!$I$272</f>
        <v/>
      </c>
      <c r="L58" s="194">
        <f>'01_Вводные'!$I$273</f>
        <v/>
      </c>
      <c r="M58" s="194">
        <f>'01_Вводные'!$I$274</f>
        <v/>
      </c>
      <c r="N58" s="194">
        <f>'01_Вводные'!$I$275</f>
        <v/>
      </c>
      <c r="O58" s="194">
        <f>'01_Вводные'!$I$276</f>
        <v/>
      </c>
      <c r="P58" s="194">
        <f>'01_Вводные'!$I$277</f>
        <v/>
      </c>
      <c r="Q58" s="194">
        <f>'01_Вводные'!$I$278</f>
        <v/>
      </c>
      <c r="R58" s="194">
        <f>'01_Вводные'!$I$279</f>
        <v/>
      </c>
      <c r="S58" s="194">
        <f>'01_Вводные'!$I$280</f>
        <v/>
      </c>
      <c r="T58" s="194">
        <f>'01_Вводные'!$I$281</f>
        <v/>
      </c>
      <c r="U58" s="194">
        <f>'01_Вводные'!$I$282</f>
        <v/>
      </c>
    </row>
    <row r="59">
      <c r="A59" s="192" t="inlineStr">
        <is>
          <t>6</t>
        </is>
      </c>
      <c r="B59" s="194">
        <f>'01_Вводные'!$I$263</f>
        <v/>
      </c>
      <c r="C59" s="194">
        <f>'01_Вводные'!$I$264</f>
        <v/>
      </c>
      <c r="D59" s="194">
        <f>'01_Вводные'!$I$265</f>
        <v/>
      </c>
      <c r="E59" s="194">
        <f>'01_Вводные'!$I$266</f>
        <v/>
      </c>
      <c r="F59" s="194">
        <f>'01_Вводные'!$I$267</f>
        <v/>
      </c>
      <c r="G59" s="194">
        <f>'01_Вводные'!$I$268</f>
        <v/>
      </c>
      <c r="H59" s="194">
        <f>'01_Вводные'!$I$269</f>
        <v/>
      </c>
      <c r="I59" s="194">
        <f>'01_Вводные'!$I$270</f>
        <v/>
      </c>
      <c r="J59" s="194">
        <f>'01_Вводные'!$I$271</f>
        <v/>
      </c>
      <c r="K59" s="194">
        <f>'01_Вводные'!$I$272</f>
        <v/>
      </c>
      <c r="L59" s="194">
        <f>'01_Вводные'!$I$273</f>
        <v/>
      </c>
      <c r="M59" s="194">
        <f>'01_Вводные'!$I$274</f>
        <v/>
      </c>
      <c r="N59" s="194">
        <f>'01_Вводные'!$I$275</f>
        <v/>
      </c>
      <c r="O59" s="194">
        <f>'01_Вводные'!$I$276</f>
        <v/>
      </c>
      <c r="P59" s="194">
        <f>'01_Вводные'!$I$277</f>
        <v/>
      </c>
      <c r="Q59" s="194">
        <f>'01_Вводные'!$I$278</f>
        <v/>
      </c>
      <c r="R59" s="194">
        <f>'01_Вводные'!$I$279</f>
        <v/>
      </c>
      <c r="S59" s="194">
        <f>'01_Вводные'!$I$280</f>
        <v/>
      </c>
      <c r="T59" s="194">
        <f>'01_Вводные'!$I$281</f>
        <v/>
      </c>
      <c r="U59" s="194">
        <f>'01_Вводные'!$I$282</f>
        <v/>
      </c>
    </row>
    <row r="60">
      <c r="A60" s="192" t="inlineStr">
        <is>
          <t>7</t>
        </is>
      </c>
      <c r="B60" s="194">
        <f>'01_Вводные'!$I$263</f>
        <v/>
      </c>
      <c r="C60" s="194">
        <f>'01_Вводные'!$I$264</f>
        <v/>
      </c>
      <c r="D60" s="194">
        <f>'01_Вводные'!$I$265</f>
        <v/>
      </c>
      <c r="E60" s="194">
        <f>'01_Вводные'!$I$266</f>
        <v/>
      </c>
      <c r="F60" s="194">
        <f>'01_Вводные'!$I$267</f>
        <v/>
      </c>
      <c r="G60" s="194">
        <f>'01_Вводные'!$I$268</f>
        <v/>
      </c>
      <c r="H60" s="194">
        <f>'01_Вводные'!$I$269</f>
        <v/>
      </c>
      <c r="I60" s="194">
        <f>'01_Вводные'!$I$270</f>
        <v/>
      </c>
      <c r="J60" s="194">
        <f>'01_Вводные'!$I$271</f>
        <v/>
      </c>
      <c r="K60" s="194">
        <f>'01_Вводные'!$I$272</f>
        <v/>
      </c>
      <c r="L60" s="194">
        <f>'01_Вводные'!$I$273</f>
        <v/>
      </c>
      <c r="M60" s="194">
        <f>'01_Вводные'!$I$274</f>
        <v/>
      </c>
      <c r="N60" s="194">
        <f>'01_Вводные'!$I$275</f>
        <v/>
      </c>
      <c r="O60" s="194">
        <f>'01_Вводные'!$I$276</f>
        <v/>
      </c>
      <c r="P60" s="194">
        <f>'01_Вводные'!$I$277</f>
        <v/>
      </c>
      <c r="Q60" s="194">
        <f>'01_Вводные'!$I$278</f>
        <v/>
      </c>
      <c r="R60" s="194">
        <f>'01_Вводные'!$I$279</f>
        <v/>
      </c>
      <c r="S60" s="194">
        <f>'01_Вводные'!$I$280</f>
        <v/>
      </c>
      <c r="T60" s="194">
        <f>'01_Вводные'!$I$281</f>
        <v/>
      </c>
      <c r="U60" s="194">
        <f>'01_Вводные'!$I$282</f>
        <v/>
      </c>
    </row>
    <row r="61">
      <c r="A61" s="192" t="inlineStr">
        <is>
          <t>8</t>
        </is>
      </c>
      <c r="B61" s="194">
        <f>'01_Вводные'!$I$263</f>
        <v/>
      </c>
      <c r="C61" s="194">
        <f>'01_Вводные'!$I$264</f>
        <v/>
      </c>
      <c r="D61" s="194">
        <f>'01_Вводные'!$I$265</f>
        <v/>
      </c>
      <c r="E61" s="194">
        <f>'01_Вводные'!$I$266</f>
        <v/>
      </c>
      <c r="F61" s="194">
        <f>'01_Вводные'!$I$267</f>
        <v/>
      </c>
      <c r="G61" s="194">
        <f>'01_Вводные'!$I$268</f>
        <v/>
      </c>
      <c r="H61" s="194">
        <f>'01_Вводные'!$I$269</f>
        <v/>
      </c>
      <c r="I61" s="194">
        <f>'01_Вводные'!$I$270</f>
        <v/>
      </c>
      <c r="J61" s="194">
        <f>'01_Вводные'!$I$271</f>
        <v/>
      </c>
      <c r="K61" s="194">
        <f>'01_Вводные'!$I$272</f>
        <v/>
      </c>
      <c r="L61" s="194">
        <f>'01_Вводные'!$I$273</f>
        <v/>
      </c>
      <c r="M61" s="194">
        <f>'01_Вводные'!$I$274</f>
        <v/>
      </c>
      <c r="N61" s="194">
        <f>'01_Вводные'!$I$275</f>
        <v/>
      </c>
      <c r="O61" s="194">
        <f>'01_Вводные'!$I$276</f>
        <v/>
      </c>
      <c r="P61" s="194">
        <f>'01_Вводные'!$I$277</f>
        <v/>
      </c>
      <c r="Q61" s="194">
        <f>'01_Вводные'!$I$278</f>
        <v/>
      </c>
      <c r="R61" s="194">
        <f>'01_Вводные'!$I$279</f>
        <v/>
      </c>
      <c r="S61" s="194">
        <f>'01_Вводные'!$I$280</f>
        <v/>
      </c>
      <c r="T61" s="194">
        <f>'01_Вводные'!$I$281</f>
        <v/>
      </c>
      <c r="U61" s="194">
        <f>'01_Вводные'!$I$282</f>
        <v/>
      </c>
    </row>
    <row r="62">
      <c r="A62" s="192" t="inlineStr">
        <is>
          <t>9</t>
        </is>
      </c>
      <c r="B62" s="194">
        <f>'01_Вводные'!$I$263</f>
        <v/>
      </c>
      <c r="C62" s="194">
        <f>'01_Вводные'!$I$264</f>
        <v/>
      </c>
      <c r="D62" s="194">
        <f>'01_Вводные'!$I$265</f>
        <v/>
      </c>
      <c r="E62" s="194">
        <f>'01_Вводные'!$I$266</f>
        <v/>
      </c>
      <c r="F62" s="194">
        <f>'01_Вводные'!$I$267</f>
        <v/>
      </c>
      <c r="G62" s="194">
        <f>'01_Вводные'!$I$268</f>
        <v/>
      </c>
      <c r="H62" s="194">
        <f>'01_Вводные'!$I$269</f>
        <v/>
      </c>
      <c r="I62" s="194">
        <f>'01_Вводные'!$I$270</f>
        <v/>
      </c>
      <c r="J62" s="194">
        <f>'01_Вводные'!$I$271</f>
        <v/>
      </c>
      <c r="K62" s="194">
        <f>'01_Вводные'!$I$272</f>
        <v/>
      </c>
      <c r="L62" s="194">
        <f>'01_Вводные'!$I$273</f>
        <v/>
      </c>
      <c r="M62" s="194">
        <f>'01_Вводные'!$I$274</f>
        <v/>
      </c>
      <c r="N62" s="194">
        <f>'01_Вводные'!$I$275</f>
        <v/>
      </c>
      <c r="O62" s="194">
        <f>'01_Вводные'!$I$276</f>
        <v/>
      </c>
      <c r="P62" s="194">
        <f>'01_Вводные'!$I$277</f>
        <v/>
      </c>
      <c r="Q62" s="194">
        <f>'01_Вводные'!$I$278</f>
        <v/>
      </c>
      <c r="R62" s="194">
        <f>'01_Вводные'!$I$279</f>
        <v/>
      </c>
      <c r="S62" s="194">
        <f>'01_Вводные'!$I$280</f>
        <v/>
      </c>
      <c r="T62" s="194">
        <f>'01_Вводные'!$I$281</f>
        <v/>
      </c>
      <c r="U62" s="194">
        <f>'01_Вводные'!$I$282</f>
        <v/>
      </c>
    </row>
    <row r="63">
      <c r="A63" s="192" t="inlineStr">
        <is>
          <t>10</t>
        </is>
      </c>
      <c r="B63" s="194">
        <f>'01_Вводные'!$I$263</f>
        <v/>
      </c>
      <c r="C63" s="194">
        <f>'01_Вводные'!$I$264</f>
        <v/>
      </c>
      <c r="D63" s="194">
        <f>'01_Вводные'!$I$265</f>
        <v/>
      </c>
      <c r="E63" s="194">
        <f>'01_Вводные'!$I$266</f>
        <v/>
      </c>
      <c r="F63" s="194">
        <f>'01_Вводные'!$I$267</f>
        <v/>
      </c>
      <c r="G63" s="194">
        <f>'01_Вводные'!$I$268</f>
        <v/>
      </c>
      <c r="H63" s="194">
        <f>'01_Вводные'!$I$269</f>
        <v/>
      </c>
      <c r="I63" s="194">
        <f>'01_Вводные'!$I$270</f>
        <v/>
      </c>
      <c r="J63" s="194">
        <f>'01_Вводные'!$I$271</f>
        <v/>
      </c>
      <c r="K63" s="194">
        <f>'01_Вводные'!$I$272</f>
        <v/>
      </c>
      <c r="L63" s="194">
        <f>'01_Вводные'!$I$273</f>
        <v/>
      </c>
      <c r="M63" s="194">
        <f>'01_Вводные'!$I$274</f>
        <v/>
      </c>
      <c r="N63" s="194">
        <f>'01_Вводные'!$I$275</f>
        <v/>
      </c>
      <c r="O63" s="194">
        <f>'01_Вводные'!$I$276</f>
        <v/>
      </c>
      <c r="P63" s="194">
        <f>'01_Вводные'!$I$277</f>
        <v/>
      </c>
      <c r="Q63" s="194">
        <f>'01_Вводные'!$I$278</f>
        <v/>
      </c>
      <c r="R63" s="194">
        <f>'01_Вводные'!$I$279</f>
        <v/>
      </c>
      <c r="S63" s="194">
        <f>'01_Вводные'!$I$280</f>
        <v/>
      </c>
      <c r="T63" s="194">
        <f>'01_Вводные'!$I$281</f>
        <v/>
      </c>
      <c r="U63" s="194">
        <f>'01_Вводные'!$I$282</f>
        <v/>
      </c>
    </row>
    <row r="64">
      <c r="A64" s="192" t="inlineStr">
        <is>
          <t>11</t>
        </is>
      </c>
      <c r="B64" s="194">
        <f>'01_Вводные'!$I$263</f>
        <v/>
      </c>
      <c r="C64" s="194">
        <f>'01_Вводные'!$I$264</f>
        <v/>
      </c>
      <c r="D64" s="194">
        <f>'01_Вводные'!$I$265</f>
        <v/>
      </c>
      <c r="E64" s="194">
        <f>'01_Вводные'!$I$266</f>
        <v/>
      </c>
      <c r="F64" s="194">
        <f>'01_Вводные'!$I$267</f>
        <v/>
      </c>
      <c r="G64" s="194">
        <f>'01_Вводные'!$I$268</f>
        <v/>
      </c>
      <c r="H64" s="194">
        <f>'01_Вводные'!$I$269</f>
        <v/>
      </c>
      <c r="I64" s="194">
        <f>'01_Вводные'!$I$270</f>
        <v/>
      </c>
      <c r="J64" s="194">
        <f>'01_Вводные'!$I$271</f>
        <v/>
      </c>
      <c r="K64" s="194">
        <f>'01_Вводные'!$I$272</f>
        <v/>
      </c>
      <c r="L64" s="194">
        <f>'01_Вводные'!$I$273</f>
        <v/>
      </c>
      <c r="M64" s="194">
        <f>'01_Вводные'!$I$274</f>
        <v/>
      </c>
      <c r="N64" s="194">
        <f>'01_Вводные'!$I$275</f>
        <v/>
      </c>
      <c r="O64" s="194">
        <f>'01_Вводные'!$I$276</f>
        <v/>
      </c>
      <c r="P64" s="194">
        <f>'01_Вводные'!$I$277</f>
        <v/>
      </c>
      <c r="Q64" s="194">
        <f>'01_Вводные'!$I$278</f>
        <v/>
      </c>
      <c r="R64" s="194">
        <f>'01_Вводные'!$I$279</f>
        <v/>
      </c>
      <c r="S64" s="194">
        <f>'01_Вводные'!$I$280</f>
        <v/>
      </c>
      <c r="T64" s="194">
        <f>'01_Вводные'!$I$281</f>
        <v/>
      </c>
      <c r="U64" s="194">
        <f>'01_Вводные'!$I$282</f>
        <v/>
      </c>
    </row>
    <row r="65">
      <c r="A65" s="192" t="inlineStr">
        <is>
          <t>12</t>
        </is>
      </c>
      <c r="B65" s="194">
        <f>'01_Вводные'!$I$263</f>
        <v/>
      </c>
      <c r="C65" s="194">
        <f>'01_Вводные'!$I$264</f>
        <v/>
      </c>
      <c r="D65" s="194">
        <f>'01_Вводные'!$I$265</f>
        <v/>
      </c>
      <c r="E65" s="194">
        <f>'01_Вводные'!$I$266</f>
        <v/>
      </c>
      <c r="F65" s="194">
        <f>'01_Вводные'!$I$267</f>
        <v/>
      </c>
      <c r="G65" s="194">
        <f>'01_Вводные'!$I$268</f>
        <v/>
      </c>
      <c r="H65" s="194">
        <f>'01_Вводные'!$I$269</f>
        <v/>
      </c>
      <c r="I65" s="194">
        <f>'01_Вводные'!$I$270</f>
        <v/>
      </c>
      <c r="J65" s="194">
        <f>'01_Вводные'!$I$271</f>
        <v/>
      </c>
      <c r="K65" s="194">
        <f>'01_Вводные'!$I$272</f>
        <v/>
      </c>
      <c r="L65" s="194">
        <f>'01_Вводные'!$I$273</f>
        <v/>
      </c>
      <c r="M65" s="194">
        <f>'01_Вводные'!$I$274</f>
        <v/>
      </c>
      <c r="N65" s="194">
        <f>'01_Вводные'!$I$275</f>
        <v/>
      </c>
      <c r="O65" s="194">
        <f>'01_Вводные'!$I$276</f>
        <v/>
      </c>
      <c r="P65" s="194">
        <f>'01_Вводные'!$I$277</f>
        <v/>
      </c>
      <c r="Q65" s="194">
        <f>'01_Вводные'!$I$278</f>
        <v/>
      </c>
      <c r="R65" s="194">
        <f>'01_Вводные'!$I$279</f>
        <v/>
      </c>
      <c r="S65" s="194">
        <f>'01_Вводные'!$I$280</f>
        <v/>
      </c>
      <c r="T65" s="194">
        <f>'01_Вводные'!$I$281</f>
        <v/>
      </c>
      <c r="U65" s="194">
        <f>'01_Вводные'!$I$282</f>
        <v/>
      </c>
    </row>
    <row r="66">
      <c r="A66" s="192" t="inlineStr">
        <is>
          <t>13</t>
        </is>
      </c>
      <c r="B66" s="194">
        <f>'01_Вводные'!$J$263</f>
        <v/>
      </c>
      <c r="C66" s="194">
        <f>'01_Вводные'!$J$264</f>
        <v/>
      </c>
      <c r="D66" s="194">
        <f>'01_Вводные'!$J$265</f>
        <v/>
      </c>
      <c r="E66" s="194">
        <f>'01_Вводные'!$J$266</f>
        <v/>
      </c>
      <c r="F66" s="194">
        <f>'01_Вводные'!$J$267</f>
        <v/>
      </c>
      <c r="G66" s="194">
        <f>'01_Вводные'!$J$268</f>
        <v/>
      </c>
      <c r="H66" s="194">
        <f>'01_Вводные'!$J$269</f>
        <v/>
      </c>
      <c r="I66" s="194">
        <f>'01_Вводные'!$J$270</f>
        <v/>
      </c>
      <c r="J66" s="194">
        <f>'01_Вводные'!$J$271</f>
        <v/>
      </c>
      <c r="K66" s="194">
        <f>'01_Вводные'!$J$272</f>
        <v/>
      </c>
      <c r="L66" s="194">
        <f>'01_Вводные'!$J$273</f>
        <v/>
      </c>
      <c r="M66" s="194">
        <f>'01_Вводные'!$J$274</f>
        <v/>
      </c>
      <c r="N66" s="194">
        <f>'01_Вводные'!$J$275</f>
        <v/>
      </c>
      <c r="O66" s="194">
        <f>'01_Вводные'!$J$276</f>
        <v/>
      </c>
      <c r="P66" s="194">
        <f>'01_Вводные'!$J$277</f>
        <v/>
      </c>
      <c r="Q66" s="194">
        <f>'01_Вводные'!$J$278</f>
        <v/>
      </c>
      <c r="R66" s="194">
        <f>'01_Вводные'!$J$279</f>
        <v/>
      </c>
      <c r="S66" s="194">
        <f>'01_Вводные'!$J$280</f>
        <v/>
      </c>
      <c r="T66" s="194">
        <f>'01_Вводные'!$J$281</f>
        <v/>
      </c>
      <c r="U66" s="194">
        <f>'01_Вводные'!$J$282</f>
        <v/>
      </c>
    </row>
    <row r="67">
      <c r="A67" s="192" t="inlineStr">
        <is>
          <t>14</t>
        </is>
      </c>
      <c r="B67" s="194">
        <f>'01_Вводные'!$J$263</f>
        <v/>
      </c>
      <c r="C67" s="194">
        <f>'01_Вводные'!$J$264</f>
        <v/>
      </c>
      <c r="D67" s="194">
        <f>'01_Вводные'!$J$265</f>
        <v/>
      </c>
      <c r="E67" s="194">
        <f>'01_Вводные'!$J$266</f>
        <v/>
      </c>
      <c r="F67" s="194">
        <f>'01_Вводные'!$J$267</f>
        <v/>
      </c>
      <c r="G67" s="194">
        <f>'01_Вводные'!$J$268</f>
        <v/>
      </c>
      <c r="H67" s="194">
        <f>'01_Вводные'!$J$269</f>
        <v/>
      </c>
      <c r="I67" s="194">
        <f>'01_Вводные'!$J$270</f>
        <v/>
      </c>
      <c r="J67" s="194">
        <f>'01_Вводные'!$J$271</f>
        <v/>
      </c>
      <c r="K67" s="194">
        <f>'01_Вводные'!$J$272</f>
        <v/>
      </c>
      <c r="L67" s="194">
        <f>'01_Вводные'!$J$273</f>
        <v/>
      </c>
      <c r="M67" s="194">
        <f>'01_Вводные'!$J$274</f>
        <v/>
      </c>
      <c r="N67" s="194">
        <f>'01_Вводные'!$J$275</f>
        <v/>
      </c>
      <c r="O67" s="194">
        <f>'01_Вводные'!$J$276</f>
        <v/>
      </c>
      <c r="P67" s="194">
        <f>'01_Вводные'!$J$277</f>
        <v/>
      </c>
      <c r="Q67" s="194">
        <f>'01_Вводные'!$J$278</f>
        <v/>
      </c>
      <c r="R67" s="194">
        <f>'01_Вводные'!$J$279</f>
        <v/>
      </c>
      <c r="S67" s="194">
        <f>'01_Вводные'!$J$280</f>
        <v/>
      </c>
      <c r="T67" s="194">
        <f>'01_Вводные'!$J$281</f>
        <v/>
      </c>
      <c r="U67" s="194">
        <f>'01_Вводные'!$J$282</f>
        <v/>
      </c>
    </row>
    <row r="68">
      <c r="A68" s="192" t="inlineStr">
        <is>
          <t>15</t>
        </is>
      </c>
      <c r="B68" s="194">
        <f>'01_Вводные'!$J$263</f>
        <v/>
      </c>
      <c r="C68" s="194">
        <f>'01_Вводные'!$J$264</f>
        <v/>
      </c>
      <c r="D68" s="194">
        <f>'01_Вводные'!$J$265</f>
        <v/>
      </c>
      <c r="E68" s="194">
        <f>'01_Вводные'!$J$266</f>
        <v/>
      </c>
      <c r="F68" s="194">
        <f>'01_Вводные'!$J$267</f>
        <v/>
      </c>
      <c r="G68" s="194">
        <f>'01_Вводные'!$J$268</f>
        <v/>
      </c>
      <c r="H68" s="194">
        <f>'01_Вводные'!$J$269</f>
        <v/>
      </c>
      <c r="I68" s="194">
        <f>'01_Вводные'!$J$270</f>
        <v/>
      </c>
      <c r="J68" s="194">
        <f>'01_Вводные'!$J$271</f>
        <v/>
      </c>
      <c r="K68" s="194">
        <f>'01_Вводные'!$J$272</f>
        <v/>
      </c>
      <c r="L68" s="194">
        <f>'01_Вводные'!$J$273</f>
        <v/>
      </c>
      <c r="M68" s="194">
        <f>'01_Вводные'!$J$274</f>
        <v/>
      </c>
      <c r="N68" s="194">
        <f>'01_Вводные'!$J$275</f>
        <v/>
      </c>
      <c r="O68" s="194">
        <f>'01_Вводные'!$J$276</f>
        <v/>
      </c>
      <c r="P68" s="194">
        <f>'01_Вводные'!$J$277</f>
        <v/>
      </c>
      <c r="Q68" s="194">
        <f>'01_Вводные'!$J$278</f>
        <v/>
      </c>
      <c r="R68" s="194">
        <f>'01_Вводные'!$J$279</f>
        <v/>
      </c>
      <c r="S68" s="194">
        <f>'01_Вводные'!$J$280</f>
        <v/>
      </c>
      <c r="T68" s="194">
        <f>'01_Вводные'!$J$281</f>
        <v/>
      </c>
      <c r="U68" s="194">
        <f>'01_Вводные'!$J$282</f>
        <v/>
      </c>
    </row>
    <row r="69">
      <c r="A69" s="192" t="inlineStr">
        <is>
          <t>16</t>
        </is>
      </c>
      <c r="B69" s="194">
        <f>'01_Вводные'!$J$263</f>
        <v/>
      </c>
      <c r="C69" s="194">
        <f>'01_Вводные'!$J$264</f>
        <v/>
      </c>
      <c r="D69" s="194">
        <f>'01_Вводные'!$J$265</f>
        <v/>
      </c>
      <c r="E69" s="194">
        <f>'01_Вводные'!$J$266</f>
        <v/>
      </c>
      <c r="F69" s="194">
        <f>'01_Вводные'!$J$267</f>
        <v/>
      </c>
      <c r="G69" s="194">
        <f>'01_Вводные'!$J$268</f>
        <v/>
      </c>
      <c r="H69" s="194">
        <f>'01_Вводные'!$J$269</f>
        <v/>
      </c>
      <c r="I69" s="194">
        <f>'01_Вводные'!$J$270</f>
        <v/>
      </c>
      <c r="J69" s="194">
        <f>'01_Вводные'!$J$271</f>
        <v/>
      </c>
      <c r="K69" s="194">
        <f>'01_Вводные'!$J$272</f>
        <v/>
      </c>
      <c r="L69" s="194">
        <f>'01_Вводные'!$J$273</f>
        <v/>
      </c>
      <c r="M69" s="194">
        <f>'01_Вводные'!$J$274</f>
        <v/>
      </c>
      <c r="N69" s="194">
        <f>'01_Вводные'!$J$275</f>
        <v/>
      </c>
      <c r="O69" s="194">
        <f>'01_Вводные'!$J$276</f>
        <v/>
      </c>
      <c r="P69" s="194">
        <f>'01_Вводные'!$J$277</f>
        <v/>
      </c>
      <c r="Q69" s="194">
        <f>'01_Вводные'!$J$278</f>
        <v/>
      </c>
      <c r="R69" s="194">
        <f>'01_Вводные'!$J$279</f>
        <v/>
      </c>
      <c r="S69" s="194">
        <f>'01_Вводные'!$J$280</f>
        <v/>
      </c>
      <c r="T69" s="194">
        <f>'01_Вводные'!$J$281</f>
        <v/>
      </c>
      <c r="U69" s="194">
        <f>'01_Вводные'!$J$282</f>
        <v/>
      </c>
    </row>
    <row r="70">
      <c r="A70" s="192" t="inlineStr">
        <is>
          <t>17</t>
        </is>
      </c>
      <c r="B70" s="194">
        <f>'01_Вводные'!$J$263</f>
        <v/>
      </c>
      <c r="C70" s="194">
        <f>'01_Вводные'!$J$264</f>
        <v/>
      </c>
      <c r="D70" s="194">
        <f>'01_Вводные'!$J$265</f>
        <v/>
      </c>
      <c r="E70" s="194">
        <f>'01_Вводные'!$J$266</f>
        <v/>
      </c>
      <c r="F70" s="194">
        <f>'01_Вводные'!$J$267</f>
        <v/>
      </c>
      <c r="G70" s="194">
        <f>'01_Вводные'!$J$268</f>
        <v/>
      </c>
      <c r="H70" s="194">
        <f>'01_Вводные'!$J$269</f>
        <v/>
      </c>
      <c r="I70" s="194">
        <f>'01_Вводные'!$J$270</f>
        <v/>
      </c>
      <c r="J70" s="194">
        <f>'01_Вводные'!$J$271</f>
        <v/>
      </c>
      <c r="K70" s="194">
        <f>'01_Вводные'!$J$272</f>
        <v/>
      </c>
      <c r="L70" s="194">
        <f>'01_Вводные'!$J$273</f>
        <v/>
      </c>
      <c r="M70" s="194">
        <f>'01_Вводные'!$J$274</f>
        <v/>
      </c>
      <c r="N70" s="194">
        <f>'01_Вводные'!$J$275</f>
        <v/>
      </c>
      <c r="O70" s="194">
        <f>'01_Вводные'!$J$276</f>
        <v/>
      </c>
      <c r="P70" s="194">
        <f>'01_Вводные'!$J$277</f>
        <v/>
      </c>
      <c r="Q70" s="194">
        <f>'01_Вводные'!$J$278</f>
        <v/>
      </c>
      <c r="R70" s="194">
        <f>'01_Вводные'!$J$279</f>
        <v/>
      </c>
      <c r="S70" s="194">
        <f>'01_Вводные'!$J$280</f>
        <v/>
      </c>
      <c r="T70" s="194">
        <f>'01_Вводные'!$J$281</f>
        <v/>
      </c>
      <c r="U70" s="194">
        <f>'01_Вводные'!$J$282</f>
        <v/>
      </c>
    </row>
    <row r="71">
      <c r="A71" s="192" t="inlineStr">
        <is>
          <t>18</t>
        </is>
      </c>
      <c r="B71" s="194">
        <f>'01_Вводные'!$J$263</f>
        <v/>
      </c>
      <c r="C71" s="194">
        <f>'01_Вводные'!$J$264</f>
        <v/>
      </c>
      <c r="D71" s="194">
        <f>'01_Вводные'!$J$265</f>
        <v/>
      </c>
      <c r="E71" s="194">
        <f>'01_Вводные'!$J$266</f>
        <v/>
      </c>
      <c r="F71" s="194">
        <f>'01_Вводные'!$J$267</f>
        <v/>
      </c>
      <c r="G71" s="194">
        <f>'01_Вводные'!$J$268</f>
        <v/>
      </c>
      <c r="H71" s="194">
        <f>'01_Вводные'!$J$269</f>
        <v/>
      </c>
      <c r="I71" s="194">
        <f>'01_Вводные'!$J$270</f>
        <v/>
      </c>
      <c r="J71" s="194">
        <f>'01_Вводные'!$J$271</f>
        <v/>
      </c>
      <c r="K71" s="194">
        <f>'01_Вводные'!$J$272</f>
        <v/>
      </c>
      <c r="L71" s="194">
        <f>'01_Вводные'!$J$273</f>
        <v/>
      </c>
      <c r="M71" s="194">
        <f>'01_Вводные'!$J$274</f>
        <v/>
      </c>
      <c r="N71" s="194">
        <f>'01_Вводные'!$J$275</f>
        <v/>
      </c>
      <c r="O71" s="194">
        <f>'01_Вводные'!$J$276</f>
        <v/>
      </c>
      <c r="P71" s="194">
        <f>'01_Вводные'!$J$277</f>
        <v/>
      </c>
      <c r="Q71" s="194">
        <f>'01_Вводные'!$J$278</f>
        <v/>
      </c>
      <c r="R71" s="194">
        <f>'01_Вводные'!$J$279</f>
        <v/>
      </c>
      <c r="S71" s="194">
        <f>'01_Вводные'!$J$280</f>
        <v/>
      </c>
      <c r="T71" s="194">
        <f>'01_Вводные'!$J$281</f>
        <v/>
      </c>
      <c r="U71" s="194">
        <f>'01_Вводные'!$J$282</f>
        <v/>
      </c>
    </row>
    <row r="72">
      <c r="A72" s="192" t="inlineStr">
        <is>
          <t>19</t>
        </is>
      </c>
      <c r="B72" s="194">
        <f>'01_Вводные'!$J$263</f>
        <v/>
      </c>
      <c r="C72" s="194">
        <f>'01_Вводные'!$J$264</f>
        <v/>
      </c>
      <c r="D72" s="194">
        <f>'01_Вводные'!$J$265</f>
        <v/>
      </c>
      <c r="E72" s="194">
        <f>'01_Вводные'!$J$266</f>
        <v/>
      </c>
      <c r="F72" s="194">
        <f>'01_Вводные'!$J$267</f>
        <v/>
      </c>
      <c r="G72" s="194">
        <f>'01_Вводные'!$J$268</f>
        <v/>
      </c>
      <c r="H72" s="194">
        <f>'01_Вводные'!$J$269</f>
        <v/>
      </c>
      <c r="I72" s="194">
        <f>'01_Вводные'!$J$270</f>
        <v/>
      </c>
      <c r="J72" s="194">
        <f>'01_Вводные'!$J$271</f>
        <v/>
      </c>
      <c r="K72" s="194">
        <f>'01_Вводные'!$J$272</f>
        <v/>
      </c>
      <c r="L72" s="194">
        <f>'01_Вводные'!$J$273</f>
        <v/>
      </c>
      <c r="M72" s="194">
        <f>'01_Вводные'!$J$274</f>
        <v/>
      </c>
      <c r="N72" s="194">
        <f>'01_Вводные'!$J$275</f>
        <v/>
      </c>
      <c r="O72" s="194">
        <f>'01_Вводные'!$J$276</f>
        <v/>
      </c>
      <c r="P72" s="194">
        <f>'01_Вводные'!$J$277</f>
        <v/>
      </c>
      <c r="Q72" s="194">
        <f>'01_Вводные'!$J$278</f>
        <v/>
      </c>
      <c r="R72" s="194">
        <f>'01_Вводные'!$J$279</f>
        <v/>
      </c>
      <c r="S72" s="194">
        <f>'01_Вводные'!$J$280</f>
        <v/>
      </c>
      <c r="T72" s="194">
        <f>'01_Вводные'!$J$281</f>
        <v/>
      </c>
      <c r="U72" s="194">
        <f>'01_Вводные'!$J$282</f>
        <v/>
      </c>
    </row>
    <row r="73">
      <c r="A73" s="192" t="inlineStr">
        <is>
          <t>20</t>
        </is>
      </c>
      <c r="B73" s="194">
        <f>'01_Вводные'!$J$263</f>
        <v/>
      </c>
      <c r="C73" s="194">
        <f>'01_Вводные'!$J$264</f>
        <v/>
      </c>
      <c r="D73" s="194">
        <f>'01_Вводные'!$J$265</f>
        <v/>
      </c>
      <c r="E73" s="194">
        <f>'01_Вводные'!$J$266</f>
        <v/>
      </c>
      <c r="F73" s="194">
        <f>'01_Вводные'!$J$267</f>
        <v/>
      </c>
      <c r="G73" s="194">
        <f>'01_Вводные'!$J$268</f>
        <v/>
      </c>
      <c r="H73" s="194">
        <f>'01_Вводные'!$J$269</f>
        <v/>
      </c>
      <c r="I73" s="194">
        <f>'01_Вводные'!$J$270</f>
        <v/>
      </c>
      <c r="J73" s="194">
        <f>'01_Вводные'!$J$271</f>
        <v/>
      </c>
      <c r="K73" s="194">
        <f>'01_Вводные'!$J$272</f>
        <v/>
      </c>
      <c r="L73" s="194">
        <f>'01_Вводные'!$J$273</f>
        <v/>
      </c>
      <c r="M73" s="194">
        <f>'01_Вводные'!$J$274</f>
        <v/>
      </c>
      <c r="N73" s="194">
        <f>'01_Вводные'!$J$275</f>
        <v/>
      </c>
      <c r="O73" s="194">
        <f>'01_Вводные'!$J$276</f>
        <v/>
      </c>
      <c r="P73" s="194">
        <f>'01_Вводные'!$J$277</f>
        <v/>
      </c>
      <c r="Q73" s="194">
        <f>'01_Вводные'!$J$278</f>
        <v/>
      </c>
      <c r="R73" s="194">
        <f>'01_Вводные'!$J$279</f>
        <v/>
      </c>
      <c r="S73" s="194">
        <f>'01_Вводные'!$J$280</f>
        <v/>
      </c>
      <c r="T73" s="194">
        <f>'01_Вводные'!$J$281</f>
        <v/>
      </c>
      <c r="U73" s="194">
        <f>'01_Вводные'!$J$282</f>
        <v/>
      </c>
    </row>
    <row r="74">
      <c r="A74" s="192" t="inlineStr">
        <is>
          <t>21</t>
        </is>
      </c>
      <c r="B74" s="194">
        <f>'01_Вводные'!$J$263</f>
        <v/>
      </c>
      <c r="C74" s="194">
        <f>'01_Вводные'!$J$264</f>
        <v/>
      </c>
      <c r="D74" s="194">
        <f>'01_Вводные'!$J$265</f>
        <v/>
      </c>
      <c r="E74" s="194">
        <f>'01_Вводные'!$J$266</f>
        <v/>
      </c>
      <c r="F74" s="194">
        <f>'01_Вводные'!$J$267</f>
        <v/>
      </c>
      <c r="G74" s="194">
        <f>'01_Вводные'!$J$268</f>
        <v/>
      </c>
      <c r="H74" s="194">
        <f>'01_Вводные'!$J$269</f>
        <v/>
      </c>
      <c r="I74" s="194">
        <f>'01_Вводные'!$J$270</f>
        <v/>
      </c>
      <c r="J74" s="194">
        <f>'01_Вводные'!$J$271</f>
        <v/>
      </c>
      <c r="K74" s="194">
        <f>'01_Вводные'!$J$272</f>
        <v/>
      </c>
      <c r="L74" s="194">
        <f>'01_Вводные'!$J$273</f>
        <v/>
      </c>
      <c r="M74" s="194">
        <f>'01_Вводные'!$J$274</f>
        <v/>
      </c>
      <c r="N74" s="194">
        <f>'01_Вводные'!$J$275</f>
        <v/>
      </c>
      <c r="O74" s="194">
        <f>'01_Вводные'!$J$276</f>
        <v/>
      </c>
      <c r="P74" s="194">
        <f>'01_Вводные'!$J$277</f>
        <v/>
      </c>
      <c r="Q74" s="194">
        <f>'01_Вводные'!$J$278</f>
        <v/>
      </c>
      <c r="R74" s="194">
        <f>'01_Вводные'!$J$279</f>
        <v/>
      </c>
      <c r="S74" s="194">
        <f>'01_Вводные'!$J$280</f>
        <v/>
      </c>
      <c r="T74" s="194">
        <f>'01_Вводные'!$J$281</f>
        <v/>
      </c>
      <c r="U74" s="194">
        <f>'01_Вводные'!$J$282</f>
        <v/>
      </c>
    </row>
    <row r="75">
      <c r="A75" s="192" t="inlineStr">
        <is>
          <t>22</t>
        </is>
      </c>
      <c r="B75" s="194">
        <f>'01_Вводные'!$J$263</f>
        <v/>
      </c>
      <c r="C75" s="194">
        <f>'01_Вводные'!$J$264</f>
        <v/>
      </c>
      <c r="D75" s="194">
        <f>'01_Вводные'!$J$265</f>
        <v/>
      </c>
      <c r="E75" s="194">
        <f>'01_Вводные'!$J$266</f>
        <v/>
      </c>
      <c r="F75" s="194">
        <f>'01_Вводные'!$J$267</f>
        <v/>
      </c>
      <c r="G75" s="194">
        <f>'01_Вводные'!$J$268</f>
        <v/>
      </c>
      <c r="H75" s="194">
        <f>'01_Вводные'!$J$269</f>
        <v/>
      </c>
      <c r="I75" s="194">
        <f>'01_Вводные'!$J$270</f>
        <v/>
      </c>
      <c r="J75" s="194">
        <f>'01_Вводные'!$J$271</f>
        <v/>
      </c>
      <c r="K75" s="194">
        <f>'01_Вводные'!$J$272</f>
        <v/>
      </c>
      <c r="L75" s="194">
        <f>'01_Вводные'!$J$273</f>
        <v/>
      </c>
      <c r="M75" s="194">
        <f>'01_Вводные'!$J$274</f>
        <v/>
      </c>
      <c r="N75" s="194">
        <f>'01_Вводные'!$J$275</f>
        <v/>
      </c>
      <c r="O75" s="194">
        <f>'01_Вводные'!$J$276</f>
        <v/>
      </c>
      <c r="P75" s="194">
        <f>'01_Вводные'!$J$277</f>
        <v/>
      </c>
      <c r="Q75" s="194">
        <f>'01_Вводные'!$J$278</f>
        <v/>
      </c>
      <c r="R75" s="194">
        <f>'01_Вводные'!$J$279</f>
        <v/>
      </c>
      <c r="S75" s="194">
        <f>'01_Вводные'!$J$280</f>
        <v/>
      </c>
      <c r="T75" s="194">
        <f>'01_Вводные'!$J$281</f>
        <v/>
      </c>
      <c r="U75" s="194">
        <f>'01_Вводные'!$J$282</f>
        <v/>
      </c>
    </row>
    <row r="76">
      <c r="A76" s="192" t="inlineStr">
        <is>
          <t>23</t>
        </is>
      </c>
      <c r="B76" s="194">
        <f>'01_Вводные'!$J$263</f>
        <v/>
      </c>
      <c r="C76" s="194">
        <f>'01_Вводные'!$J$264</f>
        <v/>
      </c>
      <c r="D76" s="194">
        <f>'01_Вводные'!$J$265</f>
        <v/>
      </c>
      <c r="E76" s="194">
        <f>'01_Вводные'!$J$266</f>
        <v/>
      </c>
      <c r="F76" s="194">
        <f>'01_Вводные'!$J$267</f>
        <v/>
      </c>
      <c r="G76" s="194">
        <f>'01_Вводные'!$J$268</f>
        <v/>
      </c>
      <c r="H76" s="194">
        <f>'01_Вводные'!$J$269</f>
        <v/>
      </c>
      <c r="I76" s="194">
        <f>'01_Вводные'!$J$270</f>
        <v/>
      </c>
      <c r="J76" s="194">
        <f>'01_Вводные'!$J$271</f>
        <v/>
      </c>
      <c r="K76" s="194">
        <f>'01_Вводные'!$J$272</f>
        <v/>
      </c>
      <c r="L76" s="194">
        <f>'01_Вводные'!$J$273</f>
        <v/>
      </c>
      <c r="M76" s="194">
        <f>'01_Вводные'!$J$274</f>
        <v/>
      </c>
      <c r="N76" s="194">
        <f>'01_Вводные'!$J$275</f>
        <v/>
      </c>
      <c r="O76" s="194">
        <f>'01_Вводные'!$J$276</f>
        <v/>
      </c>
      <c r="P76" s="194">
        <f>'01_Вводные'!$J$277</f>
        <v/>
      </c>
      <c r="Q76" s="194">
        <f>'01_Вводные'!$J$278</f>
        <v/>
      </c>
      <c r="R76" s="194">
        <f>'01_Вводные'!$J$279</f>
        <v/>
      </c>
      <c r="S76" s="194">
        <f>'01_Вводные'!$J$280</f>
        <v/>
      </c>
      <c r="T76" s="194">
        <f>'01_Вводные'!$J$281</f>
        <v/>
      </c>
      <c r="U76" s="194">
        <f>'01_Вводные'!$J$282</f>
        <v/>
      </c>
    </row>
    <row r="77">
      <c r="A77" s="192" t="inlineStr">
        <is>
          <t>24</t>
        </is>
      </c>
      <c r="B77" s="194">
        <f>'01_Вводные'!$J$263</f>
        <v/>
      </c>
      <c r="C77" s="194">
        <f>'01_Вводные'!$J$264</f>
        <v/>
      </c>
      <c r="D77" s="194">
        <f>'01_Вводные'!$J$265</f>
        <v/>
      </c>
      <c r="E77" s="194">
        <f>'01_Вводные'!$J$266</f>
        <v/>
      </c>
      <c r="F77" s="194">
        <f>'01_Вводные'!$J$267</f>
        <v/>
      </c>
      <c r="G77" s="194">
        <f>'01_Вводные'!$J$268</f>
        <v/>
      </c>
      <c r="H77" s="194">
        <f>'01_Вводные'!$J$269</f>
        <v/>
      </c>
      <c r="I77" s="194">
        <f>'01_Вводные'!$J$270</f>
        <v/>
      </c>
      <c r="J77" s="194">
        <f>'01_Вводные'!$J$271</f>
        <v/>
      </c>
      <c r="K77" s="194">
        <f>'01_Вводные'!$J$272</f>
        <v/>
      </c>
      <c r="L77" s="194">
        <f>'01_Вводные'!$J$273</f>
        <v/>
      </c>
      <c r="M77" s="194">
        <f>'01_Вводные'!$J$274</f>
        <v/>
      </c>
      <c r="N77" s="194">
        <f>'01_Вводные'!$J$275</f>
        <v/>
      </c>
      <c r="O77" s="194">
        <f>'01_Вводные'!$J$276</f>
        <v/>
      </c>
      <c r="P77" s="194">
        <f>'01_Вводные'!$J$277</f>
        <v/>
      </c>
      <c r="Q77" s="194">
        <f>'01_Вводные'!$J$278</f>
        <v/>
      </c>
      <c r="R77" s="194">
        <f>'01_Вводные'!$J$279</f>
        <v/>
      </c>
      <c r="S77" s="194">
        <f>'01_Вводные'!$J$280</f>
        <v/>
      </c>
      <c r="T77" s="194">
        <f>'01_Вводные'!$J$281</f>
        <v/>
      </c>
      <c r="U77" s="194">
        <f>'01_Вводные'!$J$282</f>
        <v/>
      </c>
    </row>
    <row r="78">
      <c r="A78" s="192" t="inlineStr">
        <is>
          <t>25+</t>
        </is>
      </c>
      <c r="B78" s="194">
        <f>'01_Вводные'!$J$263</f>
        <v/>
      </c>
      <c r="C78" s="194">
        <f>'01_Вводные'!$J$264</f>
        <v/>
      </c>
      <c r="D78" s="194">
        <f>'01_Вводные'!$J$265</f>
        <v/>
      </c>
      <c r="E78" s="194">
        <f>'01_Вводные'!$J$266</f>
        <v/>
      </c>
      <c r="F78" s="194">
        <f>'01_Вводные'!$J$267</f>
        <v/>
      </c>
      <c r="G78" s="194">
        <f>'01_Вводные'!$J$268</f>
        <v/>
      </c>
      <c r="H78" s="194">
        <f>'01_Вводные'!$J$269</f>
        <v/>
      </c>
      <c r="I78" s="194">
        <f>'01_Вводные'!$J$270</f>
        <v/>
      </c>
      <c r="J78" s="194">
        <f>'01_Вводные'!$J$271</f>
        <v/>
      </c>
      <c r="K78" s="194">
        <f>'01_Вводные'!$J$272</f>
        <v/>
      </c>
      <c r="L78" s="194">
        <f>'01_Вводные'!$J$273</f>
        <v/>
      </c>
      <c r="M78" s="194">
        <f>'01_Вводные'!$J$274</f>
        <v/>
      </c>
      <c r="N78" s="194">
        <f>'01_Вводные'!$J$275</f>
        <v/>
      </c>
      <c r="O78" s="194">
        <f>'01_Вводные'!$J$276</f>
        <v/>
      </c>
      <c r="P78" s="194">
        <f>'01_Вводные'!$J$277</f>
        <v/>
      </c>
      <c r="Q78" s="194">
        <f>'01_Вводные'!$J$278</f>
        <v/>
      </c>
      <c r="R78" s="194">
        <f>'01_Вводные'!$J$279</f>
        <v/>
      </c>
      <c r="S78" s="194">
        <f>'01_Вводные'!$J$280</f>
        <v/>
      </c>
      <c r="T78" s="194">
        <f>'01_Вводные'!$J$281</f>
        <v/>
      </c>
      <c r="U78" s="194">
        <f>'01_Вводные'!$J$282</f>
        <v/>
      </c>
    </row>
    <row r="79"/>
    <row r="80"/>
    <row r="81"/>
    <row r="82"/>
    <row r="83"/>
    <row r="84"/>
    <row r="85"/>
    <row r="86">
      <c r="A86" s="192" t="inlineStr">
        <is>
          <t>1</t>
        </is>
      </c>
      <c r="B86" s="194">
        <f>'01_Вводные'!$E$263*IF('01_Вводные'!$B$295="Да",1/12,1)</f>
        <v/>
      </c>
      <c r="C86" s="194">
        <f>'01_Вводные'!$E$264*IF('01_Вводные'!$B$295="Да",1/12,1)</f>
        <v/>
      </c>
      <c r="D86" s="194">
        <f>'01_Вводные'!$E$265*IF('01_Вводные'!$B$295="Да",1/12,1)</f>
        <v/>
      </c>
      <c r="E86" s="194">
        <f>'01_Вводные'!$E$266*IF('01_Вводные'!$B$295="Да",1/12,1)</f>
        <v/>
      </c>
      <c r="F86" s="194">
        <f>'01_Вводные'!$E$267*IF('01_Вводные'!$B$295="Да",1/12,1)</f>
        <v/>
      </c>
      <c r="G86" s="194">
        <f>'01_Вводные'!$E$268*IF('01_Вводные'!$B$295="Да",1/12,1)</f>
        <v/>
      </c>
      <c r="H86" s="194">
        <f>'01_Вводные'!$E$269*IF('01_Вводные'!$B$295="Да",1/12,1)</f>
        <v/>
      </c>
      <c r="I86" s="194">
        <f>'01_Вводные'!$E$270*IF('01_Вводные'!$B$295="Да",1/12,1)</f>
        <v/>
      </c>
      <c r="J86" s="194">
        <f>'01_Вводные'!$E$271*IF('01_Вводные'!$B$295="Да",1/12,1)</f>
        <v/>
      </c>
      <c r="K86" s="194">
        <f>'01_Вводные'!$E$272*IF('01_Вводные'!$B$295="Да",1/12,1)</f>
        <v/>
      </c>
      <c r="L86" s="194">
        <f>'01_Вводные'!$E$273*IF('01_Вводные'!$B$295="Да",1/12,1)</f>
        <v/>
      </c>
      <c r="M86" s="194">
        <f>'01_Вводные'!$E$274*IF('01_Вводные'!$B$295="Да",1/12,1)</f>
        <v/>
      </c>
      <c r="N86" s="194">
        <f>'01_Вводные'!$E$275*IF('01_Вводные'!$B$295="Да",1/12,1)</f>
        <v/>
      </c>
      <c r="O86" s="194">
        <f>'01_Вводные'!$E$276*IF('01_Вводные'!$B$295="Да",1/12,1)</f>
        <v/>
      </c>
      <c r="P86" s="194">
        <f>'01_Вводные'!$E$277*IF('01_Вводные'!$B$295="Да",1/12,1)</f>
        <v/>
      </c>
      <c r="Q86" s="194">
        <f>'01_Вводные'!$E$278*IF('01_Вводные'!$B$295="Да",1/12,1)</f>
        <v/>
      </c>
      <c r="R86" s="194">
        <f>'01_Вводные'!$E$279*IF('01_Вводные'!$B$295="Да",1/12,1)</f>
        <v/>
      </c>
      <c r="S86" s="194">
        <f>'01_Вводные'!$E$280*IF('01_Вводные'!$B$295="Да",1/12,1)</f>
        <v/>
      </c>
      <c r="T86" s="194">
        <f>'01_Вводные'!$E$281*IF('01_Вводные'!$B$295="Да",1/12,1)</f>
        <v/>
      </c>
      <c r="U86" s="194">
        <f>'01_Вводные'!$E$282*IF('01_Вводные'!$B$295="Да",1/12,1)</f>
        <v/>
      </c>
    </row>
    <row r="87">
      <c r="A87" s="192" t="inlineStr">
        <is>
          <t>2</t>
        </is>
      </c>
      <c r="B87" s="194">
        <f>'01_Вводные'!$E$263*IF('01_Вводные'!$B$295="Да",2/12,1)</f>
        <v/>
      </c>
      <c r="C87" s="194">
        <f>'01_Вводные'!$E$264*IF('01_Вводные'!$B$295="Да",2/12,1)</f>
        <v/>
      </c>
      <c r="D87" s="194">
        <f>'01_Вводные'!$E$265*IF('01_Вводные'!$B$295="Да",2/12,1)</f>
        <v/>
      </c>
      <c r="E87" s="194">
        <f>'01_Вводные'!$E$266*IF('01_Вводные'!$B$295="Да",2/12,1)</f>
        <v/>
      </c>
      <c r="F87" s="194">
        <f>'01_Вводные'!$E$267*IF('01_Вводные'!$B$295="Да",2/12,1)</f>
        <v/>
      </c>
      <c r="G87" s="194">
        <f>'01_Вводные'!$E$268*IF('01_Вводные'!$B$295="Да",2/12,1)</f>
        <v/>
      </c>
      <c r="H87" s="194">
        <f>'01_Вводные'!$E$269*IF('01_Вводные'!$B$295="Да",2/12,1)</f>
        <v/>
      </c>
      <c r="I87" s="194">
        <f>'01_Вводные'!$E$270*IF('01_Вводные'!$B$295="Да",2/12,1)</f>
        <v/>
      </c>
      <c r="J87" s="194">
        <f>'01_Вводные'!$E$271*IF('01_Вводные'!$B$295="Да",2/12,1)</f>
        <v/>
      </c>
      <c r="K87" s="194">
        <f>'01_Вводные'!$E$272*IF('01_Вводные'!$B$295="Да",2/12,1)</f>
        <v/>
      </c>
      <c r="L87" s="194">
        <f>'01_Вводные'!$E$273*IF('01_Вводные'!$B$295="Да",2/12,1)</f>
        <v/>
      </c>
      <c r="M87" s="194">
        <f>'01_Вводные'!$E$274*IF('01_Вводные'!$B$295="Да",2/12,1)</f>
        <v/>
      </c>
      <c r="N87" s="194">
        <f>'01_Вводные'!$E$275*IF('01_Вводные'!$B$295="Да",2/12,1)</f>
        <v/>
      </c>
      <c r="O87" s="194">
        <f>'01_Вводные'!$E$276*IF('01_Вводные'!$B$295="Да",2/12,1)</f>
        <v/>
      </c>
      <c r="P87" s="194">
        <f>'01_Вводные'!$E$277*IF('01_Вводные'!$B$295="Да",2/12,1)</f>
        <v/>
      </c>
      <c r="Q87" s="194">
        <f>'01_Вводные'!$E$278*IF('01_Вводные'!$B$295="Да",2/12,1)</f>
        <v/>
      </c>
      <c r="R87" s="194">
        <f>'01_Вводные'!$E$279*IF('01_Вводные'!$B$295="Да",2/12,1)</f>
        <v/>
      </c>
      <c r="S87" s="194">
        <f>'01_Вводные'!$E$280*IF('01_Вводные'!$B$295="Да",2/12,1)</f>
        <v/>
      </c>
      <c r="T87" s="194">
        <f>'01_Вводные'!$E$281*IF('01_Вводные'!$B$295="Да",2/12,1)</f>
        <v/>
      </c>
      <c r="U87" s="194">
        <f>'01_Вводные'!$E$282*IF('01_Вводные'!$B$295="Да",2/12,1)</f>
        <v/>
      </c>
    </row>
    <row r="88">
      <c r="A88" s="192" t="inlineStr">
        <is>
          <t>3</t>
        </is>
      </c>
      <c r="B88" s="194">
        <f>'01_Вводные'!$E$263*IF('01_Вводные'!$B$295="Да",3/12,1)</f>
        <v/>
      </c>
      <c r="C88" s="194">
        <f>'01_Вводные'!$E$264*IF('01_Вводные'!$B$295="Да",3/12,1)</f>
        <v/>
      </c>
      <c r="D88" s="194">
        <f>'01_Вводные'!$E$265*IF('01_Вводные'!$B$295="Да",3/12,1)</f>
        <v/>
      </c>
      <c r="E88" s="194">
        <f>'01_Вводные'!$E$266*IF('01_Вводные'!$B$295="Да",3/12,1)</f>
        <v/>
      </c>
      <c r="F88" s="194">
        <f>'01_Вводные'!$E$267*IF('01_Вводные'!$B$295="Да",3/12,1)</f>
        <v/>
      </c>
      <c r="G88" s="194">
        <f>'01_Вводные'!$E$268*IF('01_Вводные'!$B$295="Да",3/12,1)</f>
        <v/>
      </c>
      <c r="H88" s="194">
        <f>'01_Вводные'!$E$269*IF('01_Вводные'!$B$295="Да",3/12,1)</f>
        <v/>
      </c>
      <c r="I88" s="194">
        <f>'01_Вводные'!$E$270*IF('01_Вводные'!$B$295="Да",3/12,1)</f>
        <v/>
      </c>
      <c r="J88" s="194">
        <f>'01_Вводные'!$E$271*IF('01_Вводные'!$B$295="Да",3/12,1)</f>
        <v/>
      </c>
      <c r="K88" s="194">
        <f>'01_Вводные'!$E$272*IF('01_Вводные'!$B$295="Да",3/12,1)</f>
        <v/>
      </c>
      <c r="L88" s="194">
        <f>'01_Вводные'!$E$273*IF('01_Вводные'!$B$295="Да",3/12,1)</f>
        <v/>
      </c>
      <c r="M88" s="194">
        <f>'01_Вводные'!$E$274*IF('01_Вводные'!$B$295="Да",3/12,1)</f>
        <v/>
      </c>
      <c r="N88" s="194">
        <f>'01_Вводные'!$E$275*IF('01_Вводные'!$B$295="Да",3/12,1)</f>
        <v/>
      </c>
      <c r="O88" s="194">
        <f>'01_Вводные'!$E$276*IF('01_Вводные'!$B$295="Да",3/12,1)</f>
        <v/>
      </c>
      <c r="P88" s="194">
        <f>'01_Вводные'!$E$277*IF('01_Вводные'!$B$295="Да",3/12,1)</f>
        <v/>
      </c>
      <c r="Q88" s="194">
        <f>'01_Вводные'!$E$278*IF('01_Вводные'!$B$295="Да",3/12,1)</f>
        <v/>
      </c>
      <c r="R88" s="194">
        <f>'01_Вводные'!$E$279*IF('01_Вводные'!$B$295="Да",3/12,1)</f>
        <v/>
      </c>
      <c r="S88" s="194">
        <f>'01_Вводные'!$E$280*IF('01_Вводные'!$B$295="Да",3/12,1)</f>
        <v/>
      </c>
      <c r="T88" s="194">
        <f>'01_Вводные'!$E$281*IF('01_Вводные'!$B$295="Да",3/12,1)</f>
        <v/>
      </c>
      <c r="U88" s="194">
        <f>'01_Вводные'!$E$282*IF('01_Вводные'!$B$295="Да",3/12,1)</f>
        <v/>
      </c>
    </row>
    <row r="89">
      <c r="A89" s="192" t="inlineStr">
        <is>
          <t>4</t>
        </is>
      </c>
      <c r="B89" s="194">
        <f>'01_Вводные'!$E$263*IF('01_Вводные'!$B$295="Да",4/12,1)</f>
        <v/>
      </c>
      <c r="C89" s="194">
        <f>'01_Вводные'!$E$264*IF('01_Вводные'!$B$295="Да",4/12,1)</f>
        <v/>
      </c>
      <c r="D89" s="194">
        <f>'01_Вводные'!$E$265*IF('01_Вводные'!$B$295="Да",4/12,1)</f>
        <v/>
      </c>
      <c r="E89" s="194">
        <f>'01_Вводные'!$E$266*IF('01_Вводные'!$B$295="Да",4/12,1)</f>
        <v/>
      </c>
      <c r="F89" s="194">
        <f>'01_Вводные'!$E$267*IF('01_Вводные'!$B$295="Да",4/12,1)</f>
        <v/>
      </c>
      <c r="G89" s="194">
        <f>'01_Вводные'!$E$268*IF('01_Вводные'!$B$295="Да",4/12,1)</f>
        <v/>
      </c>
      <c r="H89" s="194">
        <f>'01_Вводные'!$E$269*IF('01_Вводные'!$B$295="Да",4/12,1)</f>
        <v/>
      </c>
      <c r="I89" s="194">
        <f>'01_Вводные'!$E$270*IF('01_Вводные'!$B$295="Да",4/12,1)</f>
        <v/>
      </c>
      <c r="J89" s="194">
        <f>'01_Вводные'!$E$271*IF('01_Вводные'!$B$295="Да",4/12,1)</f>
        <v/>
      </c>
      <c r="K89" s="194">
        <f>'01_Вводные'!$E$272*IF('01_Вводные'!$B$295="Да",4/12,1)</f>
        <v/>
      </c>
      <c r="L89" s="194">
        <f>'01_Вводные'!$E$273*IF('01_Вводные'!$B$295="Да",4/12,1)</f>
        <v/>
      </c>
      <c r="M89" s="194">
        <f>'01_Вводные'!$E$274*IF('01_Вводные'!$B$295="Да",4/12,1)</f>
        <v/>
      </c>
      <c r="N89" s="194">
        <f>'01_Вводные'!$E$275*IF('01_Вводные'!$B$295="Да",4/12,1)</f>
        <v/>
      </c>
      <c r="O89" s="194">
        <f>'01_Вводные'!$E$276*IF('01_Вводные'!$B$295="Да",4/12,1)</f>
        <v/>
      </c>
      <c r="P89" s="194">
        <f>'01_Вводные'!$E$277*IF('01_Вводные'!$B$295="Да",4/12,1)</f>
        <v/>
      </c>
      <c r="Q89" s="194">
        <f>'01_Вводные'!$E$278*IF('01_Вводные'!$B$295="Да",4/12,1)</f>
        <v/>
      </c>
      <c r="R89" s="194">
        <f>'01_Вводные'!$E$279*IF('01_Вводные'!$B$295="Да",4/12,1)</f>
        <v/>
      </c>
      <c r="S89" s="194">
        <f>'01_Вводные'!$E$280*IF('01_Вводные'!$B$295="Да",4/12,1)</f>
        <v/>
      </c>
      <c r="T89" s="194">
        <f>'01_Вводные'!$E$281*IF('01_Вводные'!$B$295="Да",4/12,1)</f>
        <v/>
      </c>
      <c r="U89" s="194">
        <f>'01_Вводные'!$E$282*IF('01_Вводные'!$B$295="Да",4/12,1)</f>
        <v/>
      </c>
    </row>
    <row r="90">
      <c r="A90" s="192" t="inlineStr">
        <is>
          <t>5</t>
        </is>
      </c>
      <c r="B90" s="194">
        <f>'01_Вводные'!$E$263*IF('01_Вводные'!$B$295="Да",5/12,1)</f>
        <v/>
      </c>
      <c r="C90" s="194">
        <f>'01_Вводные'!$E$264*IF('01_Вводные'!$B$295="Да",5/12,1)</f>
        <v/>
      </c>
      <c r="D90" s="194">
        <f>'01_Вводные'!$E$265*IF('01_Вводные'!$B$295="Да",5/12,1)</f>
        <v/>
      </c>
      <c r="E90" s="194">
        <f>'01_Вводные'!$E$266*IF('01_Вводные'!$B$295="Да",5/12,1)</f>
        <v/>
      </c>
      <c r="F90" s="194">
        <f>'01_Вводные'!$E$267*IF('01_Вводные'!$B$295="Да",5/12,1)</f>
        <v/>
      </c>
      <c r="G90" s="194">
        <f>'01_Вводные'!$E$268*IF('01_Вводные'!$B$295="Да",5/12,1)</f>
        <v/>
      </c>
      <c r="H90" s="194">
        <f>'01_Вводные'!$E$269*IF('01_Вводные'!$B$295="Да",5/12,1)</f>
        <v/>
      </c>
      <c r="I90" s="194">
        <f>'01_Вводные'!$E$270*IF('01_Вводные'!$B$295="Да",5/12,1)</f>
        <v/>
      </c>
      <c r="J90" s="194">
        <f>'01_Вводные'!$E$271*IF('01_Вводные'!$B$295="Да",5/12,1)</f>
        <v/>
      </c>
      <c r="K90" s="194">
        <f>'01_Вводные'!$E$272*IF('01_Вводные'!$B$295="Да",5/12,1)</f>
        <v/>
      </c>
      <c r="L90" s="194">
        <f>'01_Вводные'!$E$273*IF('01_Вводные'!$B$295="Да",5/12,1)</f>
        <v/>
      </c>
      <c r="M90" s="194">
        <f>'01_Вводные'!$E$274*IF('01_Вводные'!$B$295="Да",5/12,1)</f>
        <v/>
      </c>
      <c r="N90" s="194">
        <f>'01_Вводные'!$E$275*IF('01_Вводные'!$B$295="Да",5/12,1)</f>
        <v/>
      </c>
      <c r="O90" s="194">
        <f>'01_Вводные'!$E$276*IF('01_Вводные'!$B$295="Да",5/12,1)</f>
        <v/>
      </c>
      <c r="P90" s="194">
        <f>'01_Вводные'!$E$277*IF('01_Вводные'!$B$295="Да",5/12,1)</f>
        <v/>
      </c>
      <c r="Q90" s="194">
        <f>'01_Вводные'!$E$278*IF('01_Вводные'!$B$295="Да",5/12,1)</f>
        <v/>
      </c>
      <c r="R90" s="194">
        <f>'01_Вводные'!$E$279*IF('01_Вводные'!$B$295="Да",5/12,1)</f>
        <v/>
      </c>
      <c r="S90" s="194">
        <f>'01_Вводные'!$E$280*IF('01_Вводные'!$B$295="Да",5/12,1)</f>
        <v/>
      </c>
      <c r="T90" s="194">
        <f>'01_Вводные'!$E$281*IF('01_Вводные'!$B$295="Да",5/12,1)</f>
        <v/>
      </c>
      <c r="U90" s="194">
        <f>'01_Вводные'!$E$282*IF('01_Вводные'!$B$295="Да",5/12,1)</f>
        <v/>
      </c>
    </row>
    <row r="91">
      <c r="A91" s="192" t="inlineStr">
        <is>
          <t>6</t>
        </is>
      </c>
      <c r="B91" s="194">
        <f>'01_Вводные'!$E$263*IF('01_Вводные'!$B$295="Да",6/12,1)</f>
        <v/>
      </c>
      <c r="C91" s="194">
        <f>'01_Вводные'!$E$264*IF('01_Вводные'!$B$295="Да",6/12,1)</f>
        <v/>
      </c>
      <c r="D91" s="194">
        <f>'01_Вводные'!$E$265*IF('01_Вводные'!$B$295="Да",6/12,1)</f>
        <v/>
      </c>
      <c r="E91" s="194">
        <f>'01_Вводные'!$E$266*IF('01_Вводные'!$B$295="Да",6/12,1)</f>
        <v/>
      </c>
      <c r="F91" s="194">
        <f>'01_Вводные'!$E$267*IF('01_Вводные'!$B$295="Да",6/12,1)</f>
        <v/>
      </c>
      <c r="G91" s="194">
        <f>'01_Вводные'!$E$268*IF('01_Вводные'!$B$295="Да",6/12,1)</f>
        <v/>
      </c>
      <c r="H91" s="194">
        <f>'01_Вводные'!$E$269*IF('01_Вводные'!$B$295="Да",6/12,1)</f>
        <v/>
      </c>
      <c r="I91" s="194">
        <f>'01_Вводные'!$E$270*IF('01_Вводные'!$B$295="Да",6/12,1)</f>
        <v/>
      </c>
      <c r="J91" s="194">
        <f>'01_Вводные'!$E$271*IF('01_Вводные'!$B$295="Да",6/12,1)</f>
        <v/>
      </c>
      <c r="K91" s="194">
        <f>'01_Вводные'!$E$272*IF('01_Вводные'!$B$295="Да",6/12,1)</f>
        <v/>
      </c>
      <c r="L91" s="194">
        <f>'01_Вводные'!$E$273*IF('01_Вводные'!$B$295="Да",6/12,1)</f>
        <v/>
      </c>
      <c r="M91" s="194">
        <f>'01_Вводные'!$E$274*IF('01_Вводные'!$B$295="Да",6/12,1)</f>
        <v/>
      </c>
      <c r="N91" s="194">
        <f>'01_Вводные'!$E$275*IF('01_Вводные'!$B$295="Да",6/12,1)</f>
        <v/>
      </c>
      <c r="O91" s="194">
        <f>'01_Вводные'!$E$276*IF('01_Вводные'!$B$295="Да",6/12,1)</f>
        <v/>
      </c>
      <c r="P91" s="194">
        <f>'01_Вводные'!$E$277*IF('01_Вводные'!$B$295="Да",6/12,1)</f>
        <v/>
      </c>
      <c r="Q91" s="194">
        <f>'01_Вводные'!$E$278*IF('01_Вводные'!$B$295="Да",6/12,1)</f>
        <v/>
      </c>
      <c r="R91" s="194">
        <f>'01_Вводные'!$E$279*IF('01_Вводные'!$B$295="Да",6/12,1)</f>
        <v/>
      </c>
      <c r="S91" s="194">
        <f>'01_Вводные'!$E$280*IF('01_Вводные'!$B$295="Да",6/12,1)</f>
        <v/>
      </c>
      <c r="T91" s="194">
        <f>'01_Вводные'!$E$281*IF('01_Вводные'!$B$295="Да",6/12,1)</f>
        <v/>
      </c>
      <c r="U91" s="194">
        <f>'01_Вводные'!$E$282*IF('01_Вводные'!$B$295="Да",6/12,1)</f>
        <v/>
      </c>
    </row>
    <row r="92">
      <c r="A92" s="192" t="inlineStr">
        <is>
          <t>7</t>
        </is>
      </c>
      <c r="B92" s="194">
        <f>'01_Вводные'!$E$263*IF('01_Вводные'!$B$295="Да",7/12,1)</f>
        <v/>
      </c>
      <c r="C92" s="194">
        <f>'01_Вводные'!$E$264*IF('01_Вводные'!$B$295="Да",7/12,1)</f>
        <v/>
      </c>
      <c r="D92" s="194">
        <f>'01_Вводные'!$E$265*IF('01_Вводные'!$B$295="Да",7/12,1)</f>
        <v/>
      </c>
      <c r="E92" s="194">
        <f>'01_Вводные'!$E$266*IF('01_Вводные'!$B$295="Да",7/12,1)</f>
        <v/>
      </c>
      <c r="F92" s="194">
        <f>'01_Вводные'!$E$267*IF('01_Вводные'!$B$295="Да",7/12,1)</f>
        <v/>
      </c>
      <c r="G92" s="194">
        <f>'01_Вводные'!$E$268*IF('01_Вводные'!$B$295="Да",7/12,1)</f>
        <v/>
      </c>
      <c r="H92" s="194">
        <f>'01_Вводные'!$E$269*IF('01_Вводные'!$B$295="Да",7/12,1)</f>
        <v/>
      </c>
      <c r="I92" s="194">
        <f>'01_Вводные'!$E$270*IF('01_Вводные'!$B$295="Да",7/12,1)</f>
        <v/>
      </c>
      <c r="J92" s="194">
        <f>'01_Вводные'!$E$271*IF('01_Вводные'!$B$295="Да",7/12,1)</f>
        <v/>
      </c>
      <c r="K92" s="194">
        <f>'01_Вводные'!$E$272*IF('01_Вводные'!$B$295="Да",7/12,1)</f>
        <v/>
      </c>
      <c r="L92" s="194">
        <f>'01_Вводные'!$E$273*IF('01_Вводные'!$B$295="Да",7/12,1)</f>
        <v/>
      </c>
      <c r="M92" s="194">
        <f>'01_Вводные'!$E$274*IF('01_Вводные'!$B$295="Да",7/12,1)</f>
        <v/>
      </c>
      <c r="N92" s="194">
        <f>'01_Вводные'!$E$275*IF('01_Вводные'!$B$295="Да",7/12,1)</f>
        <v/>
      </c>
      <c r="O92" s="194">
        <f>'01_Вводные'!$E$276*IF('01_Вводные'!$B$295="Да",7/12,1)</f>
        <v/>
      </c>
      <c r="P92" s="194">
        <f>'01_Вводные'!$E$277*IF('01_Вводные'!$B$295="Да",7/12,1)</f>
        <v/>
      </c>
      <c r="Q92" s="194">
        <f>'01_Вводные'!$E$278*IF('01_Вводные'!$B$295="Да",7/12,1)</f>
        <v/>
      </c>
      <c r="R92" s="194">
        <f>'01_Вводные'!$E$279*IF('01_Вводные'!$B$295="Да",7/12,1)</f>
        <v/>
      </c>
      <c r="S92" s="194">
        <f>'01_Вводные'!$E$280*IF('01_Вводные'!$B$295="Да",7/12,1)</f>
        <v/>
      </c>
      <c r="T92" s="194">
        <f>'01_Вводные'!$E$281*IF('01_Вводные'!$B$295="Да",7/12,1)</f>
        <v/>
      </c>
      <c r="U92" s="194">
        <f>'01_Вводные'!$E$282*IF('01_Вводные'!$B$295="Да",7/12,1)</f>
        <v/>
      </c>
    </row>
    <row r="93">
      <c r="A93" s="192" t="inlineStr">
        <is>
          <t>8</t>
        </is>
      </c>
      <c r="B93" s="194">
        <f>'01_Вводные'!$E$263*IF('01_Вводные'!$B$295="Да",8/12,1)</f>
        <v/>
      </c>
      <c r="C93" s="194">
        <f>'01_Вводные'!$E$264*IF('01_Вводные'!$B$295="Да",8/12,1)</f>
        <v/>
      </c>
      <c r="D93" s="194">
        <f>'01_Вводные'!$E$265*IF('01_Вводные'!$B$295="Да",8/12,1)</f>
        <v/>
      </c>
      <c r="E93" s="194">
        <f>'01_Вводные'!$E$266*IF('01_Вводные'!$B$295="Да",8/12,1)</f>
        <v/>
      </c>
      <c r="F93" s="194">
        <f>'01_Вводные'!$E$267*IF('01_Вводные'!$B$295="Да",8/12,1)</f>
        <v/>
      </c>
      <c r="G93" s="194">
        <f>'01_Вводные'!$E$268*IF('01_Вводные'!$B$295="Да",8/12,1)</f>
        <v/>
      </c>
      <c r="H93" s="194">
        <f>'01_Вводные'!$E$269*IF('01_Вводные'!$B$295="Да",8/12,1)</f>
        <v/>
      </c>
      <c r="I93" s="194">
        <f>'01_Вводные'!$E$270*IF('01_Вводные'!$B$295="Да",8/12,1)</f>
        <v/>
      </c>
      <c r="J93" s="194">
        <f>'01_Вводные'!$E$271*IF('01_Вводные'!$B$295="Да",8/12,1)</f>
        <v/>
      </c>
      <c r="K93" s="194">
        <f>'01_Вводные'!$E$272*IF('01_Вводные'!$B$295="Да",8/12,1)</f>
        <v/>
      </c>
      <c r="L93" s="194">
        <f>'01_Вводные'!$E$273*IF('01_Вводные'!$B$295="Да",8/12,1)</f>
        <v/>
      </c>
      <c r="M93" s="194">
        <f>'01_Вводные'!$E$274*IF('01_Вводные'!$B$295="Да",8/12,1)</f>
        <v/>
      </c>
      <c r="N93" s="194">
        <f>'01_Вводные'!$E$275*IF('01_Вводные'!$B$295="Да",8/12,1)</f>
        <v/>
      </c>
      <c r="O93" s="194">
        <f>'01_Вводные'!$E$276*IF('01_Вводные'!$B$295="Да",8/12,1)</f>
        <v/>
      </c>
      <c r="P93" s="194">
        <f>'01_Вводные'!$E$277*IF('01_Вводные'!$B$295="Да",8/12,1)</f>
        <v/>
      </c>
      <c r="Q93" s="194">
        <f>'01_Вводные'!$E$278*IF('01_Вводные'!$B$295="Да",8/12,1)</f>
        <v/>
      </c>
      <c r="R93" s="194">
        <f>'01_Вводные'!$E$279*IF('01_Вводные'!$B$295="Да",8/12,1)</f>
        <v/>
      </c>
      <c r="S93" s="194">
        <f>'01_Вводные'!$E$280*IF('01_Вводные'!$B$295="Да",8/12,1)</f>
        <v/>
      </c>
      <c r="T93" s="194">
        <f>'01_Вводные'!$E$281*IF('01_Вводные'!$B$295="Да",8/12,1)</f>
        <v/>
      </c>
      <c r="U93" s="194">
        <f>'01_Вводные'!$E$282*IF('01_Вводные'!$B$295="Да",8/12,1)</f>
        <v/>
      </c>
    </row>
    <row r="94">
      <c r="A94" s="192" t="inlineStr">
        <is>
          <t>9</t>
        </is>
      </c>
      <c r="B94" s="194">
        <f>'01_Вводные'!$E$263*IF('01_Вводные'!$B$295="Да",9/12,1)</f>
        <v/>
      </c>
      <c r="C94" s="194">
        <f>'01_Вводные'!$E$264*IF('01_Вводные'!$B$295="Да",9/12,1)</f>
        <v/>
      </c>
      <c r="D94" s="194">
        <f>'01_Вводные'!$E$265*IF('01_Вводные'!$B$295="Да",9/12,1)</f>
        <v/>
      </c>
      <c r="E94" s="194">
        <f>'01_Вводные'!$E$266*IF('01_Вводные'!$B$295="Да",9/12,1)</f>
        <v/>
      </c>
      <c r="F94" s="194">
        <f>'01_Вводные'!$E$267*IF('01_Вводные'!$B$295="Да",9/12,1)</f>
        <v/>
      </c>
      <c r="G94" s="194">
        <f>'01_Вводные'!$E$268*IF('01_Вводные'!$B$295="Да",9/12,1)</f>
        <v/>
      </c>
      <c r="H94" s="194">
        <f>'01_Вводные'!$E$269*IF('01_Вводные'!$B$295="Да",9/12,1)</f>
        <v/>
      </c>
      <c r="I94" s="194">
        <f>'01_Вводные'!$E$270*IF('01_Вводные'!$B$295="Да",9/12,1)</f>
        <v/>
      </c>
      <c r="J94" s="194">
        <f>'01_Вводные'!$E$271*IF('01_Вводные'!$B$295="Да",9/12,1)</f>
        <v/>
      </c>
      <c r="K94" s="194">
        <f>'01_Вводные'!$E$272*IF('01_Вводные'!$B$295="Да",9/12,1)</f>
        <v/>
      </c>
      <c r="L94" s="194">
        <f>'01_Вводные'!$E$273*IF('01_Вводные'!$B$295="Да",9/12,1)</f>
        <v/>
      </c>
      <c r="M94" s="194">
        <f>'01_Вводные'!$E$274*IF('01_Вводные'!$B$295="Да",9/12,1)</f>
        <v/>
      </c>
      <c r="N94" s="194">
        <f>'01_Вводные'!$E$275*IF('01_Вводные'!$B$295="Да",9/12,1)</f>
        <v/>
      </c>
      <c r="O94" s="194">
        <f>'01_Вводные'!$E$276*IF('01_Вводные'!$B$295="Да",9/12,1)</f>
        <v/>
      </c>
      <c r="P94" s="194">
        <f>'01_Вводные'!$E$277*IF('01_Вводные'!$B$295="Да",9/12,1)</f>
        <v/>
      </c>
      <c r="Q94" s="194">
        <f>'01_Вводные'!$E$278*IF('01_Вводные'!$B$295="Да",9/12,1)</f>
        <v/>
      </c>
      <c r="R94" s="194">
        <f>'01_Вводные'!$E$279*IF('01_Вводные'!$B$295="Да",9/12,1)</f>
        <v/>
      </c>
      <c r="S94" s="194">
        <f>'01_Вводные'!$E$280*IF('01_Вводные'!$B$295="Да",9/12,1)</f>
        <v/>
      </c>
      <c r="T94" s="194">
        <f>'01_Вводные'!$E$281*IF('01_Вводные'!$B$295="Да",9/12,1)</f>
        <v/>
      </c>
      <c r="U94" s="194">
        <f>'01_Вводные'!$E$282*IF('01_Вводные'!$B$295="Да",9/12,1)</f>
        <v/>
      </c>
    </row>
    <row r="95">
      <c r="A95" s="192" t="inlineStr">
        <is>
          <t>10</t>
        </is>
      </c>
      <c r="B95" s="194">
        <f>'01_Вводные'!$E$263*IF('01_Вводные'!$B$295="Да",10/12,1)</f>
        <v/>
      </c>
      <c r="C95" s="194">
        <f>'01_Вводные'!$E$264*IF('01_Вводные'!$B$295="Да",10/12,1)</f>
        <v/>
      </c>
      <c r="D95" s="194">
        <f>'01_Вводные'!$E$265*IF('01_Вводные'!$B$295="Да",10/12,1)</f>
        <v/>
      </c>
      <c r="E95" s="194">
        <f>'01_Вводные'!$E$266*IF('01_Вводные'!$B$295="Да",10/12,1)</f>
        <v/>
      </c>
      <c r="F95" s="194">
        <f>'01_Вводные'!$E$267*IF('01_Вводные'!$B$295="Да",10/12,1)</f>
        <v/>
      </c>
      <c r="G95" s="194">
        <f>'01_Вводные'!$E$268*IF('01_Вводные'!$B$295="Да",10/12,1)</f>
        <v/>
      </c>
      <c r="H95" s="194">
        <f>'01_Вводные'!$E$269*IF('01_Вводные'!$B$295="Да",10/12,1)</f>
        <v/>
      </c>
      <c r="I95" s="194">
        <f>'01_Вводные'!$E$270*IF('01_Вводные'!$B$295="Да",10/12,1)</f>
        <v/>
      </c>
      <c r="J95" s="194">
        <f>'01_Вводные'!$E$271*IF('01_Вводные'!$B$295="Да",10/12,1)</f>
        <v/>
      </c>
      <c r="K95" s="194">
        <f>'01_Вводные'!$E$272*IF('01_Вводные'!$B$295="Да",10/12,1)</f>
        <v/>
      </c>
      <c r="L95" s="194">
        <f>'01_Вводные'!$E$273*IF('01_Вводные'!$B$295="Да",10/12,1)</f>
        <v/>
      </c>
      <c r="M95" s="194">
        <f>'01_Вводные'!$E$274*IF('01_Вводные'!$B$295="Да",10/12,1)</f>
        <v/>
      </c>
      <c r="N95" s="194">
        <f>'01_Вводные'!$E$275*IF('01_Вводные'!$B$295="Да",10/12,1)</f>
        <v/>
      </c>
      <c r="O95" s="194">
        <f>'01_Вводные'!$E$276*IF('01_Вводные'!$B$295="Да",10/12,1)</f>
        <v/>
      </c>
      <c r="P95" s="194">
        <f>'01_Вводные'!$E$277*IF('01_Вводные'!$B$295="Да",10/12,1)</f>
        <v/>
      </c>
      <c r="Q95" s="194">
        <f>'01_Вводные'!$E$278*IF('01_Вводные'!$B$295="Да",10/12,1)</f>
        <v/>
      </c>
      <c r="R95" s="194">
        <f>'01_Вводные'!$E$279*IF('01_Вводные'!$B$295="Да",10/12,1)</f>
        <v/>
      </c>
      <c r="S95" s="194">
        <f>'01_Вводные'!$E$280*IF('01_Вводные'!$B$295="Да",10/12,1)</f>
        <v/>
      </c>
      <c r="T95" s="194">
        <f>'01_Вводные'!$E$281*IF('01_Вводные'!$B$295="Да",10/12,1)</f>
        <v/>
      </c>
      <c r="U95" s="194">
        <f>'01_Вводные'!$E$282*IF('01_Вводные'!$B$295="Да",10/12,1)</f>
        <v/>
      </c>
    </row>
    <row r="96">
      <c r="A96" s="192" t="inlineStr">
        <is>
          <t>11</t>
        </is>
      </c>
      <c r="B96" s="194">
        <f>'01_Вводные'!$E$263*IF('01_Вводные'!$B$295="Да",11/12,1)</f>
        <v/>
      </c>
      <c r="C96" s="194">
        <f>'01_Вводные'!$E$264*IF('01_Вводные'!$B$295="Да",11/12,1)</f>
        <v/>
      </c>
      <c r="D96" s="194">
        <f>'01_Вводные'!$E$265*IF('01_Вводные'!$B$295="Да",11/12,1)</f>
        <v/>
      </c>
      <c r="E96" s="194">
        <f>'01_Вводные'!$E$266*IF('01_Вводные'!$B$295="Да",11/12,1)</f>
        <v/>
      </c>
      <c r="F96" s="194">
        <f>'01_Вводные'!$E$267*IF('01_Вводные'!$B$295="Да",11/12,1)</f>
        <v/>
      </c>
      <c r="G96" s="194">
        <f>'01_Вводные'!$E$268*IF('01_Вводные'!$B$295="Да",11/12,1)</f>
        <v/>
      </c>
      <c r="H96" s="194">
        <f>'01_Вводные'!$E$269*IF('01_Вводные'!$B$295="Да",11/12,1)</f>
        <v/>
      </c>
      <c r="I96" s="194">
        <f>'01_Вводные'!$E$270*IF('01_Вводные'!$B$295="Да",11/12,1)</f>
        <v/>
      </c>
      <c r="J96" s="194">
        <f>'01_Вводные'!$E$271*IF('01_Вводные'!$B$295="Да",11/12,1)</f>
        <v/>
      </c>
      <c r="K96" s="194">
        <f>'01_Вводные'!$E$272*IF('01_Вводные'!$B$295="Да",11/12,1)</f>
        <v/>
      </c>
      <c r="L96" s="194">
        <f>'01_Вводные'!$E$273*IF('01_Вводные'!$B$295="Да",11/12,1)</f>
        <v/>
      </c>
      <c r="M96" s="194">
        <f>'01_Вводные'!$E$274*IF('01_Вводные'!$B$295="Да",11/12,1)</f>
        <v/>
      </c>
      <c r="N96" s="194">
        <f>'01_Вводные'!$E$275*IF('01_Вводные'!$B$295="Да",11/12,1)</f>
        <v/>
      </c>
      <c r="O96" s="194">
        <f>'01_Вводные'!$E$276*IF('01_Вводные'!$B$295="Да",11/12,1)</f>
        <v/>
      </c>
      <c r="P96" s="194">
        <f>'01_Вводные'!$E$277*IF('01_Вводные'!$B$295="Да",11/12,1)</f>
        <v/>
      </c>
      <c r="Q96" s="194">
        <f>'01_Вводные'!$E$278*IF('01_Вводные'!$B$295="Да",11/12,1)</f>
        <v/>
      </c>
      <c r="R96" s="194">
        <f>'01_Вводные'!$E$279*IF('01_Вводные'!$B$295="Да",11/12,1)</f>
        <v/>
      </c>
      <c r="S96" s="194">
        <f>'01_Вводные'!$E$280*IF('01_Вводные'!$B$295="Да",11/12,1)</f>
        <v/>
      </c>
      <c r="T96" s="194">
        <f>'01_Вводные'!$E$281*IF('01_Вводные'!$B$295="Да",11/12,1)</f>
        <v/>
      </c>
      <c r="U96" s="194">
        <f>'01_Вводные'!$E$282*IF('01_Вводные'!$B$295="Да",11/12,1)</f>
        <v/>
      </c>
    </row>
    <row r="97">
      <c r="A97" s="192" t="inlineStr">
        <is>
          <t>12</t>
        </is>
      </c>
      <c r="B97" s="194">
        <f>'01_Вводные'!$E$263*IF('01_Вводные'!$B$295="Да",12/12,1)</f>
        <v/>
      </c>
      <c r="C97" s="194">
        <f>'01_Вводные'!$E$264*IF('01_Вводные'!$B$295="Да",12/12,1)</f>
        <v/>
      </c>
      <c r="D97" s="194">
        <f>'01_Вводные'!$E$265*IF('01_Вводные'!$B$295="Да",12/12,1)</f>
        <v/>
      </c>
      <c r="E97" s="194">
        <f>'01_Вводные'!$E$266*IF('01_Вводные'!$B$295="Да",12/12,1)</f>
        <v/>
      </c>
      <c r="F97" s="194">
        <f>'01_Вводные'!$E$267*IF('01_Вводные'!$B$295="Да",12/12,1)</f>
        <v/>
      </c>
      <c r="G97" s="194">
        <f>'01_Вводные'!$E$268*IF('01_Вводные'!$B$295="Да",12/12,1)</f>
        <v/>
      </c>
      <c r="H97" s="194">
        <f>'01_Вводные'!$E$269*IF('01_Вводные'!$B$295="Да",12/12,1)</f>
        <v/>
      </c>
      <c r="I97" s="194">
        <f>'01_Вводные'!$E$270*IF('01_Вводные'!$B$295="Да",12/12,1)</f>
        <v/>
      </c>
      <c r="J97" s="194">
        <f>'01_Вводные'!$E$271*IF('01_Вводные'!$B$295="Да",12/12,1)</f>
        <v/>
      </c>
      <c r="K97" s="194">
        <f>'01_Вводные'!$E$272*IF('01_Вводные'!$B$295="Да",12/12,1)</f>
        <v/>
      </c>
      <c r="L97" s="194">
        <f>'01_Вводные'!$E$273*IF('01_Вводные'!$B$295="Да",12/12,1)</f>
        <v/>
      </c>
      <c r="M97" s="194">
        <f>'01_Вводные'!$E$274*IF('01_Вводные'!$B$295="Да",12/12,1)</f>
        <v/>
      </c>
      <c r="N97" s="194">
        <f>'01_Вводные'!$E$275*IF('01_Вводные'!$B$295="Да",12/12,1)</f>
        <v/>
      </c>
      <c r="O97" s="194">
        <f>'01_Вводные'!$E$276*IF('01_Вводные'!$B$295="Да",12/12,1)</f>
        <v/>
      </c>
      <c r="P97" s="194">
        <f>'01_Вводные'!$E$277*IF('01_Вводные'!$B$295="Да",12/12,1)</f>
        <v/>
      </c>
      <c r="Q97" s="194">
        <f>'01_Вводные'!$E$278*IF('01_Вводные'!$B$295="Да",12/12,1)</f>
        <v/>
      </c>
      <c r="R97" s="194">
        <f>'01_Вводные'!$E$279*IF('01_Вводные'!$B$295="Да",12/12,1)</f>
        <v/>
      </c>
      <c r="S97" s="194">
        <f>'01_Вводные'!$E$280*IF('01_Вводные'!$B$295="Да",12/12,1)</f>
        <v/>
      </c>
      <c r="T97" s="194">
        <f>'01_Вводные'!$E$281*IF('01_Вводные'!$B$295="Да",12/12,1)</f>
        <v/>
      </c>
      <c r="U97" s="194">
        <f>'01_Вводные'!$E$282*IF('01_Вводные'!$B$295="Да",12/12,1)</f>
        <v/>
      </c>
    </row>
    <row r="98">
      <c r="A98" s="192" t="inlineStr">
        <is>
          <t>13</t>
        </is>
      </c>
      <c r="B98" s="194">
        <f>IF('01_Вводные'!$B$295="Да",'01_Вводные'!$E$263+('01_Вводные'!$F$263-'01_Вводные'!$E$263)*1/12,'01_Вводные'!$F$263)</f>
        <v/>
      </c>
      <c r="C98" s="194">
        <f>IF('01_Вводные'!$B$295="Да",'01_Вводные'!$E$264+('01_Вводные'!$F$264-'01_Вводные'!$E$264)*1/12,'01_Вводные'!$F$264)</f>
        <v/>
      </c>
      <c r="D98" s="194">
        <f>IF('01_Вводные'!$B$295="Да",'01_Вводные'!$E$265+('01_Вводные'!$F$265-'01_Вводные'!$E$265)*1/12,'01_Вводные'!$F$265)</f>
        <v/>
      </c>
      <c r="E98" s="194">
        <f>IF('01_Вводные'!$B$295="Да",'01_Вводные'!$E$266+('01_Вводные'!$F$266-'01_Вводные'!$E$266)*1/12,'01_Вводные'!$F$266)</f>
        <v/>
      </c>
      <c r="F98" s="194">
        <f>IF('01_Вводные'!$B$295="Да",'01_Вводные'!$E$267+('01_Вводные'!$F$267-'01_Вводные'!$E$267)*1/12,'01_Вводные'!$F$267)</f>
        <v/>
      </c>
      <c r="G98" s="194">
        <f>IF('01_Вводные'!$B$295="Да",'01_Вводные'!$E$268+('01_Вводные'!$F$268-'01_Вводные'!$E$268)*1/12,'01_Вводные'!$F$268)</f>
        <v/>
      </c>
      <c r="H98" s="194">
        <f>IF('01_Вводные'!$B$295="Да",'01_Вводные'!$E$269+('01_Вводные'!$F$269-'01_Вводные'!$E$269)*1/12,'01_Вводные'!$F$269)</f>
        <v/>
      </c>
      <c r="I98" s="194">
        <f>IF('01_Вводные'!$B$295="Да",'01_Вводные'!$E$270+('01_Вводные'!$F$270-'01_Вводные'!$E$270)*1/12,'01_Вводные'!$F$270)</f>
        <v/>
      </c>
      <c r="J98" s="194">
        <f>IF('01_Вводные'!$B$295="Да",'01_Вводные'!$E$271+('01_Вводные'!$F$271-'01_Вводные'!$E$271)*1/12,'01_Вводные'!$F$271)</f>
        <v/>
      </c>
      <c r="K98" s="194">
        <f>IF('01_Вводные'!$B$295="Да",'01_Вводные'!$E$272+('01_Вводные'!$F$272-'01_Вводные'!$E$272)*1/12,'01_Вводные'!$F$272)</f>
        <v/>
      </c>
      <c r="L98" s="194">
        <f>IF('01_Вводные'!$B$295="Да",'01_Вводные'!$E$273+('01_Вводные'!$F$273-'01_Вводные'!$E$273)*1/12,'01_Вводные'!$F$273)</f>
        <v/>
      </c>
      <c r="M98" s="194">
        <f>IF('01_Вводные'!$B$295="Да",'01_Вводные'!$E$274+('01_Вводные'!$F$274-'01_Вводные'!$E$274)*1/12,'01_Вводные'!$F$274)</f>
        <v/>
      </c>
      <c r="N98" s="194">
        <f>IF('01_Вводные'!$B$295="Да",'01_Вводные'!$E$275+('01_Вводные'!$F$275-'01_Вводные'!$E$275)*1/12,'01_Вводные'!$F$275)</f>
        <v/>
      </c>
      <c r="O98" s="194">
        <f>IF('01_Вводные'!$B$295="Да",'01_Вводные'!$E$276+('01_Вводные'!$F$276-'01_Вводные'!$E$276)*1/12,'01_Вводные'!$F$276)</f>
        <v/>
      </c>
      <c r="P98" s="194">
        <f>IF('01_Вводные'!$B$295="Да",'01_Вводные'!$E$277+('01_Вводные'!$F$277-'01_Вводные'!$E$277)*1/12,'01_Вводные'!$F$277)</f>
        <v/>
      </c>
      <c r="Q98" s="194">
        <f>IF('01_Вводные'!$B$295="Да",'01_Вводные'!$E$278+('01_Вводные'!$F$278-'01_Вводные'!$E$278)*1/12,'01_Вводные'!$F$278)</f>
        <v/>
      </c>
      <c r="R98" s="194">
        <f>IF('01_Вводные'!$B$295="Да",'01_Вводные'!$E$279+('01_Вводные'!$F$279-'01_Вводные'!$E$279)*1/12,'01_Вводные'!$F$279)</f>
        <v/>
      </c>
      <c r="S98" s="194">
        <f>IF('01_Вводные'!$B$295="Да",'01_Вводные'!$E$280+('01_Вводные'!$F$280-'01_Вводные'!$E$280)*1/12,'01_Вводные'!$F$280)</f>
        <v/>
      </c>
      <c r="T98" s="194">
        <f>IF('01_Вводные'!$B$295="Да",'01_Вводные'!$E$281+('01_Вводные'!$F$281-'01_Вводные'!$E$281)*1/12,'01_Вводные'!$F$281)</f>
        <v/>
      </c>
      <c r="U98" s="194">
        <f>IF('01_Вводные'!$B$295="Да",'01_Вводные'!$E$282+('01_Вводные'!$F$282-'01_Вводные'!$E$282)*1/12,'01_Вводные'!$F$282)</f>
        <v/>
      </c>
    </row>
    <row r="99">
      <c r="A99" s="192" t="inlineStr">
        <is>
          <t>14</t>
        </is>
      </c>
      <c r="B99" s="194">
        <f>IF('01_Вводные'!$B$295="Да",'01_Вводные'!$E$263+('01_Вводные'!$F$263-'01_Вводные'!$E$263)*2/12,'01_Вводные'!$F$263)</f>
        <v/>
      </c>
      <c r="C99" s="194">
        <f>IF('01_Вводные'!$B$295="Да",'01_Вводные'!$E$264+('01_Вводные'!$F$264-'01_Вводные'!$E$264)*2/12,'01_Вводные'!$F$264)</f>
        <v/>
      </c>
      <c r="D99" s="194">
        <f>IF('01_Вводные'!$B$295="Да",'01_Вводные'!$E$265+('01_Вводные'!$F$265-'01_Вводные'!$E$265)*2/12,'01_Вводные'!$F$265)</f>
        <v/>
      </c>
      <c r="E99" s="194">
        <f>IF('01_Вводные'!$B$295="Да",'01_Вводные'!$E$266+('01_Вводные'!$F$266-'01_Вводные'!$E$266)*2/12,'01_Вводные'!$F$266)</f>
        <v/>
      </c>
      <c r="F99" s="194">
        <f>IF('01_Вводные'!$B$295="Да",'01_Вводные'!$E$267+('01_Вводные'!$F$267-'01_Вводные'!$E$267)*2/12,'01_Вводные'!$F$267)</f>
        <v/>
      </c>
      <c r="G99" s="194">
        <f>IF('01_Вводные'!$B$295="Да",'01_Вводные'!$E$268+('01_Вводные'!$F$268-'01_Вводные'!$E$268)*2/12,'01_Вводные'!$F$268)</f>
        <v/>
      </c>
      <c r="H99" s="194">
        <f>IF('01_Вводные'!$B$295="Да",'01_Вводные'!$E$269+('01_Вводные'!$F$269-'01_Вводные'!$E$269)*2/12,'01_Вводные'!$F$269)</f>
        <v/>
      </c>
      <c r="I99" s="194">
        <f>IF('01_Вводные'!$B$295="Да",'01_Вводные'!$E$270+('01_Вводные'!$F$270-'01_Вводные'!$E$270)*2/12,'01_Вводные'!$F$270)</f>
        <v/>
      </c>
      <c r="J99" s="194">
        <f>IF('01_Вводные'!$B$295="Да",'01_Вводные'!$E$271+('01_Вводные'!$F$271-'01_Вводные'!$E$271)*2/12,'01_Вводные'!$F$271)</f>
        <v/>
      </c>
      <c r="K99" s="194">
        <f>IF('01_Вводные'!$B$295="Да",'01_Вводные'!$E$272+('01_Вводные'!$F$272-'01_Вводные'!$E$272)*2/12,'01_Вводные'!$F$272)</f>
        <v/>
      </c>
      <c r="L99" s="194">
        <f>IF('01_Вводные'!$B$295="Да",'01_Вводные'!$E$273+('01_Вводные'!$F$273-'01_Вводные'!$E$273)*2/12,'01_Вводные'!$F$273)</f>
        <v/>
      </c>
      <c r="M99" s="194">
        <f>IF('01_Вводные'!$B$295="Да",'01_Вводные'!$E$274+('01_Вводные'!$F$274-'01_Вводные'!$E$274)*2/12,'01_Вводные'!$F$274)</f>
        <v/>
      </c>
      <c r="N99" s="194">
        <f>IF('01_Вводные'!$B$295="Да",'01_Вводные'!$E$275+('01_Вводные'!$F$275-'01_Вводные'!$E$275)*2/12,'01_Вводные'!$F$275)</f>
        <v/>
      </c>
      <c r="O99" s="194">
        <f>IF('01_Вводные'!$B$295="Да",'01_Вводные'!$E$276+('01_Вводные'!$F$276-'01_Вводные'!$E$276)*2/12,'01_Вводные'!$F$276)</f>
        <v/>
      </c>
      <c r="P99" s="194">
        <f>IF('01_Вводные'!$B$295="Да",'01_Вводные'!$E$277+('01_Вводные'!$F$277-'01_Вводные'!$E$277)*2/12,'01_Вводные'!$F$277)</f>
        <v/>
      </c>
      <c r="Q99" s="194">
        <f>IF('01_Вводные'!$B$295="Да",'01_Вводные'!$E$278+('01_Вводные'!$F$278-'01_Вводные'!$E$278)*2/12,'01_Вводные'!$F$278)</f>
        <v/>
      </c>
      <c r="R99" s="194">
        <f>IF('01_Вводные'!$B$295="Да",'01_Вводные'!$E$279+('01_Вводные'!$F$279-'01_Вводные'!$E$279)*2/12,'01_Вводные'!$F$279)</f>
        <v/>
      </c>
      <c r="S99" s="194">
        <f>IF('01_Вводные'!$B$295="Да",'01_Вводные'!$E$280+('01_Вводные'!$F$280-'01_Вводные'!$E$280)*2/12,'01_Вводные'!$F$280)</f>
        <v/>
      </c>
      <c r="T99" s="194">
        <f>IF('01_Вводные'!$B$295="Да",'01_Вводные'!$E$281+('01_Вводные'!$F$281-'01_Вводные'!$E$281)*2/12,'01_Вводные'!$F$281)</f>
        <v/>
      </c>
      <c r="U99" s="194">
        <f>IF('01_Вводные'!$B$295="Да",'01_Вводные'!$E$282+('01_Вводные'!$F$282-'01_Вводные'!$E$282)*2/12,'01_Вводные'!$F$282)</f>
        <v/>
      </c>
    </row>
    <row r="100">
      <c r="A100" s="192" t="inlineStr">
        <is>
          <t>15</t>
        </is>
      </c>
      <c r="B100" s="194">
        <f>IF('01_Вводные'!$B$295="Да",'01_Вводные'!$E$263+('01_Вводные'!$F$263-'01_Вводные'!$E$263)*3/12,'01_Вводные'!$F$263)</f>
        <v/>
      </c>
      <c r="C100" s="194">
        <f>IF('01_Вводные'!$B$295="Да",'01_Вводные'!$E$264+('01_Вводные'!$F$264-'01_Вводные'!$E$264)*3/12,'01_Вводные'!$F$264)</f>
        <v/>
      </c>
      <c r="D100" s="194">
        <f>IF('01_Вводные'!$B$295="Да",'01_Вводные'!$E$265+('01_Вводные'!$F$265-'01_Вводные'!$E$265)*3/12,'01_Вводные'!$F$265)</f>
        <v/>
      </c>
      <c r="E100" s="194">
        <f>IF('01_Вводные'!$B$295="Да",'01_Вводные'!$E$266+('01_Вводные'!$F$266-'01_Вводные'!$E$266)*3/12,'01_Вводные'!$F$266)</f>
        <v/>
      </c>
      <c r="F100" s="194">
        <f>IF('01_Вводные'!$B$295="Да",'01_Вводные'!$E$267+('01_Вводные'!$F$267-'01_Вводные'!$E$267)*3/12,'01_Вводные'!$F$267)</f>
        <v/>
      </c>
      <c r="G100" s="194">
        <f>IF('01_Вводные'!$B$295="Да",'01_Вводные'!$E$268+('01_Вводные'!$F$268-'01_Вводные'!$E$268)*3/12,'01_Вводные'!$F$268)</f>
        <v/>
      </c>
      <c r="H100" s="194">
        <f>IF('01_Вводные'!$B$295="Да",'01_Вводные'!$E$269+('01_Вводные'!$F$269-'01_Вводные'!$E$269)*3/12,'01_Вводные'!$F$269)</f>
        <v/>
      </c>
      <c r="I100" s="194">
        <f>IF('01_Вводные'!$B$295="Да",'01_Вводные'!$E$270+('01_Вводные'!$F$270-'01_Вводные'!$E$270)*3/12,'01_Вводные'!$F$270)</f>
        <v/>
      </c>
      <c r="J100" s="194">
        <f>IF('01_Вводные'!$B$295="Да",'01_Вводные'!$E$271+('01_Вводные'!$F$271-'01_Вводные'!$E$271)*3/12,'01_Вводные'!$F$271)</f>
        <v/>
      </c>
      <c r="K100" s="194">
        <f>IF('01_Вводные'!$B$295="Да",'01_Вводные'!$E$272+('01_Вводные'!$F$272-'01_Вводные'!$E$272)*3/12,'01_Вводные'!$F$272)</f>
        <v/>
      </c>
      <c r="L100" s="194">
        <f>IF('01_Вводные'!$B$295="Да",'01_Вводные'!$E$273+('01_Вводные'!$F$273-'01_Вводные'!$E$273)*3/12,'01_Вводные'!$F$273)</f>
        <v/>
      </c>
      <c r="M100" s="194">
        <f>IF('01_Вводные'!$B$295="Да",'01_Вводные'!$E$274+('01_Вводные'!$F$274-'01_Вводные'!$E$274)*3/12,'01_Вводные'!$F$274)</f>
        <v/>
      </c>
      <c r="N100" s="194">
        <f>IF('01_Вводные'!$B$295="Да",'01_Вводные'!$E$275+('01_Вводные'!$F$275-'01_Вводные'!$E$275)*3/12,'01_Вводные'!$F$275)</f>
        <v/>
      </c>
      <c r="O100" s="194">
        <f>IF('01_Вводные'!$B$295="Да",'01_Вводные'!$E$276+('01_Вводные'!$F$276-'01_Вводные'!$E$276)*3/12,'01_Вводные'!$F$276)</f>
        <v/>
      </c>
      <c r="P100" s="194">
        <f>IF('01_Вводные'!$B$295="Да",'01_Вводные'!$E$277+('01_Вводные'!$F$277-'01_Вводные'!$E$277)*3/12,'01_Вводные'!$F$277)</f>
        <v/>
      </c>
      <c r="Q100" s="194">
        <f>IF('01_Вводные'!$B$295="Да",'01_Вводные'!$E$278+('01_Вводные'!$F$278-'01_Вводные'!$E$278)*3/12,'01_Вводные'!$F$278)</f>
        <v/>
      </c>
      <c r="R100" s="194">
        <f>IF('01_Вводные'!$B$295="Да",'01_Вводные'!$E$279+('01_Вводные'!$F$279-'01_Вводные'!$E$279)*3/12,'01_Вводные'!$F$279)</f>
        <v/>
      </c>
      <c r="S100" s="194">
        <f>IF('01_Вводные'!$B$295="Да",'01_Вводные'!$E$280+('01_Вводные'!$F$280-'01_Вводные'!$E$280)*3/12,'01_Вводные'!$F$280)</f>
        <v/>
      </c>
      <c r="T100" s="194">
        <f>IF('01_Вводные'!$B$295="Да",'01_Вводные'!$E$281+('01_Вводные'!$F$281-'01_Вводные'!$E$281)*3/12,'01_Вводные'!$F$281)</f>
        <v/>
      </c>
      <c r="U100" s="194">
        <f>IF('01_Вводные'!$B$295="Да",'01_Вводные'!$E$282+('01_Вводные'!$F$282-'01_Вводные'!$E$282)*3/12,'01_Вводные'!$F$282)</f>
        <v/>
      </c>
    </row>
    <row r="101">
      <c r="A101" s="192" t="inlineStr">
        <is>
          <t>16</t>
        </is>
      </c>
      <c r="B101" s="194">
        <f>IF('01_Вводные'!$B$295="Да",'01_Вводные'!$E$263+('01_Вводные'!$F$263-'01_Вводные'!$E$263)*4/12,'01_Вводные'!$F$263)</f>
        <v/>
      </c>
      <c r="C101" s="194">
        <f>IF('01_Вводные'!$B$295="Да",'01_Вводные'!$E$264+('01_Вводные'!$F$264-'01_Вводные'!$E$264)*4/12,'01_Вводные'!$F$264)</f>
        <v/>
      </c>
      <c r="D101" s="194">
        <f>IF('01_Вводные'!$B$295="Да",'01_Вводные'!$E$265+('01_Вводные'!$F$265-'01_Вводные'!$E$265)*4/12,'01_Вводные'!$F$265)</f>
        <v/>
      </c>
      <c r="E101" s="194">
        <f>IF('01_Вводные'!$B$295="Да",'01_Вводные'!$E$266+('01_Вводные'!$F$266-'01_Вводные'!$E$266)*4/12,'01_Вводные'!$F$266)</f>
        <v/>
      </c>
      <c r="F101" s="194">
        <f>IF('01_Вводные'!$B$295="Да",'01_Вводные'!$E$267+('01_Вводные'!$F$267-'01_Вводные'!$E$267)*4/12,'01_Вводные'!$F$267)</f>
        <v/>
      </c>
      <c r="G101" s="194">
        <f>IF('01_Вводные'!$B$295="Да",'01_Вводные'!$E$268+('01_Вводные'!$F$268-'01_Вводные'!$E$268)*4/12,'01_Вводные'!$F$268)</f>
        <v/>
      </c>
      <c r="H101" s="194">
        <f>IF('01_Вводные'!$B$295="Да",'01_Вводные'!$E$269+('01_Вводные'!$F$269-'01_Вводные'!$E$269)*4/12,'01_Вводные'!$F$269)</f>
        <v/>
      </c>
      <c r="I101" s="194">
        <f>IF('01_Вводные'!$B$295="Да",'01_Вводные'!$E$270+('01_Вводные'!$F$270-'01_Вводные'!$E$270)*4/12,'01_Вводные'!$F$270)</f>
        <v/>
      </c>
      <c r="J101" s="194">
        <f>IF('01_Вводные'!$B$295="Да",'01_Вводные'!$E$271+('01_Вводные'!$F$271-'01_Вводные'!$E$271)*4/12,'01_Вводные'!$F$271)</f>
        <v/>
      </c>
      <c r="K101" s="194">
        <f>IF('01_Вводные'!$B$295="Да",'01_Вводные'!$E$272+('01_Вводные'!$F$272-'01_Вводные'!$E$272)*4/12,'01_Вводные'!$F$272)</f>
        <v/>
      </c>
      <c r="L101" s="194">
        <f>IF('01_Вводные'!$B$295="Да",'01_Вводные'!$E$273+('01_Вводные'!$F$273-'01_Вводные'!$E$273)*4/12,'01_Вводные'!$F$273)</f>
        <v/>
      </c>
      <c r="M101" s="194">
        <f>IF('01_Вводные'!$B$295="Да",'01_Вводные'!$E$274+('01_Вводные'!$F$274-'01_Вводные'!$E$274)*4/12,'01_Вводные'!$F$274)</f>
        <v/>
      </c>
      <c r="N101" s="194">
        <f>IF('01_Вводные'!$B$295="Да",'01_Вводные'!$E$275+('01_Вводные'!$F$275-'01_Вводные'!$E$275)*4/12,'01_Вводные'!$F$275)</f>
        <v/>
      </c>
      <c r="O101" s="194">
        <f>IF('01_Вводные'!$B$295="Да",'01_Вводные'!$E$276+('01_Вводные'!$F$276-'01_Вводные'!$E$276)*4/12,'01_Вводные'!$F$276)</f>
        <v/>
      </c>
      <c r="P101" s="194">
        <f>IF('01_Вводные'!$B$295="Да",'01_Вводные'!$E$277+('01_Вводные'!$F$277-'01_Вводные'!$E$277)*4/12,'01_Вводные'!$F$277)</f>
        <v/>
      </c>
      <c r="Q101" s="194">
        <f>IF('01_Вводные'!$B$295="Да",'01_Вводные'!$E$278+('01_Вводные'!$F$278-'01_Вводные'!$E$278)*4/12,'01_Вводные'!$F$278)</f>
        <v/>
      </c>
      <c r="R101" s="194">
        <f>IF('01_Вводные'!$B$295="Да",'01_Вводные'!$E$279+('01_Вводные'!$F$279-'01_Вводные'!$E$279)*4/12,'01_Вводные'!$F$279)</f>
        <v/>
      </c>
      <c r="S101" s="194">
        <f>IF('01_Вводные'!$B$295="Да",'01_Вводные'!$E$280+('01_Вводные'!$F$280-'01_Вводные'!$E$280)*4/12,'01_Вводные'!$F$280)</f>
        <v/>
      </c>
      <c r="T101" s="194">
        <f>IF('01_Вводные'!$B$295="Да",'01_Вводные'!$E$281+('01_Вводные'!$F$281-'01_Вводные'!$E$281)*4/12,'01_Вводные'!$F$281)</f>
        <v/>
      </c>
      <c r="U101" s="194">
        <f>IF('01_Вводные'!$B$295="Да",'01_Вводные'!$E$282+('01_Вводные'!$F$282-'01_Вводные'!$E$282)*4/12,'01_Вводные'!$F$282)</f>
        <v/>
      </c>
    </row>
    <row r="102">
      <c r="A102" s="192" t="inlineStr">
        <is>
          <t>17</t>
        </is>
      </c>
      <c r="B102" s="194">
        <f>IF('01_Вводные'!$B$295="Да",'01_Вводные'!$E$263+('01_Вводные'!$F$263-'01_Вводные'!$E$263)*5/12,'01_Вводные'!$F$263)</f>
        <v/>
      </c>
      <c r="C102" s="194">
        <f>IF('01_Вводные'!$B$295="Да",'01_Вводные'!$E$264+('01_Вводные'!$F$264-'01_Вводные'!$E$264)*5/12,'01_Вводные'!$F$264)</f>
        <v/>
      </c>
      <c r="D102" s="194">
        <f>IF('01_Вводные'!$B$295="Да",'01_Вводные'!$E$265+('01_Вводные'!$F$265-'01_Вводные'!$E$265)*5/12,'01_Вводные'!$F$265)</f>
        <v/>
      </c>
      <c r="E102" s="194">
        <f>IF('01_Вводные'!$B$295="Да",'01_Вводные'!$E$266+('01_Вводные'!$F$266-'01_Вводные'!$E$266)*5/12,'01_Вводные'!$F$266)</f>
        <v/>
      </c>
      <c r="F102" s="194">
        <f>IF('01_Вводные'!$B$295="Да",'01_Вводные'!$E$267+('01_Вводные'!$F$267-'01_Вводные'!$E$267)*5/12,'01_Вводные'!$F$267)</f>
        <v/>
      </c>
      <c r="G102" s="194">
        <f>IF('01_Вводные'!$B$295="Да",'01_Вводные'!$E$268+('01_Вводные'!$F$268-'01_Вводные'!$E$268)*5/12,'01_Вводные'!$F$268)</f>
        <v/>
      </c>
      <c r="H102" s="194">
        <f>IF('01_Вводные'!$B$295="Да",'01_Вводные'!$E$269+('01_Вводные'!$F$269-'01_Вводные'!$E$269)*5/12,'01_Вводные'!$F$269)</f>
        <v/>
      </c>
      <c r="I102" s="194">
        <f>IF('01_Вводные'!$B$295="Да",'01_Вводные'!$E$270+('01_Вводные'!$F$270-'01_Вводные'!$E$270)*5/12,'01_Вводные'!$F$270)</f>
        <v/>
      </c>
      <c r="J102" s="194">
        <f>IF('01_Вводные'!$B$295="Да",'01_Вводные'!$E$271+('01_Вводные'!$F$271-'01_Вводные'!$E$271)*5/12,'01_Вводные'!$F$271)</f>
        <v/>
      </c>
      <c r="K102" s="194">
        <f>IF('01_Вводные'!$B$295="Да",'01_Вводные'!$E$272+('01_Вводные'!$F$272-'01_Вводные'!$E$272)*5/12,'01_Вводные'!$F$272)</f>
        <v/>
      </c>
      <c r="L102" s="194">
        <f>IF('01_Вводные'!$B$295="Да",'01_Вводные'!$E$273+('01_Вводные'!$F$273-'01_Вводные'!$E$273)*5/12,'01_Вводные'!$F$273)</f>
        <v/>
      </c>
      <c r="M102" s="194">
        <f>IF('01_Вводные'!$B$295="Да",'01_Вводные'!$E$274+('01_Вводные'!$F$274-'01_Вводные'!$E$274)*5/12,'01_Вводные'!$F$274)</f>
        <v/>
      </c>
      <c r="N102" s="194">
        <f>IF('01_Вводные'!$B$295="Да",'01_Вводные'!$E$275+('01_Вводные'!$F$275-'01_Вводные'!$E$275)*5/12,'01_Вводные'!$F$275)</f>
        <v/>
      </c>
      <c r="O102" s="194">
        <f>IF('01_Вводные'!$B$295="Да",'01_Вводные'!$E$276+('01_Вводные'!$F$276-'01_Вводные'!$E$276)*5/12,'01_Вводные'!$F$276)</f>
        <v/>
      </c>
      <c r="P102" s="194">
        <f>IF('01_Вводные'!$B$295="Да",'01_Вводные'!$E$277+('01_Вводные'!$F$277-'01_Вводные'!$E$277)*5/12,'01_Вводные'!$F$277)</f>
        <v/>
      </c>
      <c r="Q102" s="194">
        <f>IF('01_Вводные'!$B$295="Да",'01_Вводные'!$E$278+('01_Вводные'!$F$278-'01_Вводные'!$E$278)*5/12,'01_Вводные'!$F$278)</f>
        <v/>
      </c>
      <c r="R102" s="194">
        <f>IF('01_Вводные'!$B$295="Да",'01_Вводные'!$E$279+('01_Вводные'!$F$279-'01_Вводные'!$E$279)*5/12,'01_Вводные'!$F$279)</f>
        <v/>
      </c>
      <c r="S102" s="194">
        <f>IF('01_Вводные'!$B$295="Да",'01_Вводные'!$E$280+('01_Вводные'!$F$280-'01_Вводные'!$E$280)*5/12,'01_Вводные'!$F$280)</f>
        <v/>
      </c>
      <c r="T102" s="194">
        <f>IF('01_Вводные'!$B$295="Да",'01_Вводные'!$E$281+('01_Вводные'!$F$281-'01_Вводные'!$E$281)*5/12,'01_Вводные'!$F$281)</f>
        <v/>
      </c>
      <c r="U102" s="194">
        <f>IF('01_Вводные'!$B$295="Да",'01_Вводные'!$E$282+('01_Вводные'!$F$282-'01_Вводные'!$E$282)*5/12,'01_Вводные'!$F$282)</f>
        <v/>
      </c>
    </row>
    <row r="103">
      <c r="A103" s="192" t="inlineStr">
        <is>
          <t>18</t>
        </is>
      </c>
      <c r="B103" s="194">
        <f>IF('01_Вводные'!$B$295="Да",'01_Вводные'!$E$263+('01_Вводные'!$F$263-'01_Вводные'!$E$263)*6/12,'01_Вводные'!$F$263)</f>
        <v/>
      </c>
      <c r="C103" s="194">
        <f>IF('01_Вводные'!$B$295="Да",'01_Вводные'!$E$264+('01_Вводные'!$F$264-'01_Вводные'!$E$264)*6/12,'01_Вводные'!$F$264)</f>
        <v/>
      </c>
      <c r="D103" s="194">
        <f>IF('01_Вводные'!$B$295="Да",'01_Вводные'!$E$265+('01_Вводные'!$F$265-'01_Вводные'!$E$265)*6/12,'01_Вводные'!$F$265)</f>
        <v/>
      </c>
      <c r="E103" s="194">
        <f>IF('01_Вводные'!$B$295="Да",'01_Вводные'!$E$266+('01_Вводные'!$F$266-'01_Вводные'!$E$266)*6/12,'01_Вводные'!$F$266)</f>
        <v/>
      </c>
      <c r="F103" s="194">
        <f>IF('01_Вводные'!$B$295="Да",'01_Вводные'!$E$267+('01_Вводные'!$F$267-'01_Вводные'!$E$267)*6/12,'01_Вводные'!$F$267)</f>
        <v/>
      </c>
      <c r="G103" s="194">
        <f>IF('01_Вводные'!$B$295="Да",'01_Вводные'!$E$268+('01_Вводные'!$F$268-'01_Вводные'!$E$268)*6/12,'01_Вводные'!$F$268)</f>
        <v/>
      </c>
      <c r="H103" s="194">
        <f>IF('01_Вводные'!$B$295="Да",'01_Вводные'!$E$269+('01_Вводные'!$F$269-'01_Вводные'!$E$269)*6/12,'01_Вводные'!$F$269)</f>
        <v/>
      </c>
      <c r="I103" s="194">
        <f>IF('01_Вводные'!$B$295="Да",'01_Вводные'!$E$270+('01_Вводные'!$F$270-'01_Вводные'!$E$270)*6/12,'01_Вводные'!$F$270)</f>
        <v/>
      </c>
      <c r="J103" s="194">
        <f>IF('01_Вводные'!$B$295="Да",'01_Вводные'!$E$271+('01_Вводные'!$F$271-'01_Вводные'!$E$271)*6/12,'01_Вводные'!$F$271)</f>
        <v/>
      </c>
      <c r="K103" s="194">
        <f>IF('01_Вводные'!$B$295="Да",'01_Вводные'!$E$272+('01_Вводные'!$F$272-'01_Вводные'!$E$272)*6/12,'01_Вводные'!$F$272)</f>
        <v/>
      </c>
      <c r="L103" s="194">
        <f>IF('01_Вводные'!$B$295="Да",'01_Вводные'!$E$273+('01_Вводные'!$F$273-'01_Вводные'!$E$273)*6/12,'01_Вводные'!$F$273)</f>
        <v/>
      </c>
      <c r="M103" s="194">
        <f>IF('01_Вводные'!$B$295="Да",'01_Вводные'!$E$274+('01_Вводные'!$F$274-'01_Вводные'!$E$274)*6/12,'01_Вводные'!$F$274)</f>
        <v/>
      </c>
      <c r="N103" s="194">
        <f>IF('01_Вводные'!$B$295="Да",'01_Вводные'!$E$275+('01_Вводные'!$F$275-'01_Вводные'!$E$275)*6/12,'01_Вводные'!$F$275)</f>
        <v/>
      </c>
      <c r="O103" s="194">
        <f>IF('01_Вводные'!$B$295="Да",'01_Вводные'!$E$276+('01_Вводные'!$F$276-'01_Вводные'!$E$276)*6/12,'01_Вводные'!$F$276)</f>
        <v/>
      </c>
      <c r="P103" s="194">
        <f>IF('01_Вводные'!$B$295="Да",'01_Вводные'!$E$277+('01_Вводные'!$F$277-'01_Вводные'!$E$277)*6/12,'01_Вводные'!$F$277)</f>
        <v/>
      </c>
      <c r="Q103" s="194">
        <f>IF('01_Вводные'!$B$295="Да",'01_Вводные'!$E$278+('01_Вводные'!$F$278-'01_Вводные'!$E$278)*6/12,'01_Вводные'!$F$278)</f>
        <v/>
      </c>
      <c r="R103" s="194">
        <f>IF('01_Вводные'!$B$295="Да",'01_Вводные'!$E$279+('01_Вводные'!$F$279-'01_Вводные'!$E$279)*6/12,'01_Вводные'!$F$279)</f>
        <v/>
      </c>
      <c r="S103" s="194">
        <f>IF('01_Вводные'!$B$295="Да",'01_Вводные'!$E$280+('01_Вводные'!$F$280-'01_Вводные'!$E$280)*6/12,'01_Вводные'!$F$280)</f>
        <v/>
      </c>
      <c r="T103" s="194">
        <f>IF('01_Вводные'!$B$295="Да",'01_Вводные'!$E$281+('01_Вводные'!$F$281-'01_Вводные'!$E$281)*6/12,'01_Вводные'!$F$281)</f>
        <v/>
      </c>
      <c r="U103" s="194">
        <f>IF('01_Вводные'!$B$295="Да",'01_Вводные'!$E$282+('01_Вводные'!$F$282-'01_Вводные'!$E$282)*6/12,'01_Вводные'!$F$282)</f>
        <v/>
      </c>
    </row>
    <row r="104">
      <c r="A104" s="192" t="inlineStr">
        <is>
          <t>19</t>
        </is>
      </c>
      <c r="B104" s="194">
        <f>IF('01_Вводные'!$B$295="Да",'01_Вводные'!$E$263+('01_Вводные'!$F$263-'01_Вводные'!$E$263)*7/12,'01_Вводные'!$F$263)</f>
        <v/>
      </c>
      <c r="C104" s="194">
        <f>IF('01_Вводные'!$B$295="Да",'01_Вводные'!$E$264+('01_Вводные'!$F$264-'01_Вводные'!$E$264)*7/12,'01_Вводные'!$F$264)</f>
        <v/>
      </c>
      <c r="D104" s="194">
        <f>IF('01_Вводные'!$B$295="Да",'01_Вводные'!$E$265+('01_Вводные'!$F$265-'01_Вводные'!$E$265)*7/12,'01_Вводные'!$F$265)</f>
        <v/>
      </c>
      <c r="E104" s="194">
        <f>IF('01_Вводные'!$B$295="Да",'01_Вводные'!$E$266+('01_Вводные'!$F$266-'01_Вводные'!$E$266)*7/12,'01_Вводные'!$F$266)</f>
        <v/>
      </c>
      <c r="F104" s="194">
        <f>IF('01_Вводные'!$B$295="Да",'01_Вводные'!$E$267+('01_Вводные'!$F$267-'01_Вводные'!$E$267)*7/12,'01_Вводные'!$F$267)</f>
        <v/>
      </c>
      <c r="G104" s="194">
        <f>IF('01_Вводные'!$B$295="Да",'01_Вводные'!$E$268+('01_Вводные'!$F$268-'01_Вводные'!$E$268)*7/12,'01_Вводные'!$F$268)</f>
        <v/>
      </c>
      <c r="H104" s="194">
        <f>IF('01_Вводные'!$B$295="Да",'01_Вводные'!$E$269+('01_Вводные'!$F$269-'01_Вводные'!$E$269)*7/12,'01_Вводные'!$F$269)</f>
        <v/>
      </c>
      <c r="I104" s="194">
        <f>IF('01_Вводные'!$B$295="Да",'01_Вводные'!$E$270+('01_Вводные'!$F$270-'01_Вводные'!$E$270)*7/12,'01_Вводные'!$F$270)</f>
        <v/>
      </c>
      <c r="J104" s="194">
        <f>IF('01_Вводные'!$B$295="Да",'01_Вводные'!$E$271+('01_Вводные'!$F$271-'01_Вводные'!$E$271)*7/12,'01_Вводные'!$F$271)</f>
        <v/>
      </c>
      <c r="K104" s="194">
        <f>IF('01_Вводные'!$B$295="Да",'01_Вводные'!$E$272+('01_Вводные'!$F$272-'01_Вводные'!$E$272)*7/12,'01_Вводные'!$F$272)</f>
        <v/>
      </c>
      <c r="L104" s="194">
        <f>IF('01_Вводные'!$B$295="Да",'01_Вводные'!$E$273+('01_Вводные'!$F$273-'01_Вводные'!$E$273)*7/12,'01_Вводные'!$F$273)</f>
        <v/>
      </c>
      <c r="M104" s="194">
        <f>IF('01_Вводные'!$B$295="Да",'01_Вводные'!$E$274+('01_Вводные'!$F$274-'01_Вводные'!$E$274)*7/12,'01_Вводные'!$F$274)</f>
        <v/>
      </c>
      <c r="N104" s="194">
        <f>IF('01_Вводные'!$B$295="Да",'01_Вводные'!$E$275+('01_Вводные'!$F$275-'01_Вводные'!$E$275)*7/12,'01_Вводные'!$F$275)</f>
        <v/>
      </c>
      <c r="O104" s="194">
        <f>IF('01_Вводные'!$B$295="Да",'01_Вводные'!$E$276+('01_Вводные'!$F$276-'01_Вводные'!$E$276)*7/12,'01_Вводные'!$F$276)</f>
        <v/>
      </c>
      <c r="P104" s="194">
        <f>IF('01_Вводные'!$B$295="Да",'01_Вводные'!$E$277+('01_Вводные'!$F$277-'01_Вводные'!$E$277)*7/12,'01_Вводные'!$F$277)</f>
        <v/>
      </c>
      <c r="Q104" s="194">
        <f>IF('01_Вводные'!$B$295="Да",'01_Вводные'!$E$278+('01_Вводные'!$F$278-'01_Вводные'!$E$278)*7/12,'01_Вводные'!$F$278)</f>
        <v/>
      </c>
      <c r="R104" s="194">
        <f>IF('01_Вводные'!$B$295="Да",'01_Вводные'!$E$279+('01_Вводные'!$F$279-'01_Вводные'!$E$279)*7/12,'01_Вводные'!$F$279)</f>
        <v/>
      </c>
      <c r="S104" s="194">
        <f>IF('01_Вводные'!$B$295="Да",'01_Вводные'!$E$280+('01_Вводные'!$F$280-'01_Вводные'!$E$280)*7/12,'01_Вводные'!$F$280)</f>
        <v/>
      </c>
      <c r="T104" s="194">
        <f>IF('01_Вводные'!$B$295="Да",'01_Вводные'!$E$281+('01_Вводные'!$F$281-'01_Вводные'!$E$281)*7/12,'01_Вводные'!$F$281)</f>
        <v/>
      </c>
      <c r="U104" s="194">
        <f>IF('01_Вводные'!$B$295="Да",'01_Вводные'!$E$282+('01_Вводные'!$F$282-'01_Вводные'!$E$282)*7/12,'01_Вводные'!$F$282)</f>
        <v/>
      </c>
    </row>
    <row r="105">
      <c r="A105" s="192" t="inlineStr">
        <is>
          <t>20</t>
        </is>
      </c>
      <c r="B105" s="194">
        <f>IF('01_Вводные'!$B$295="Да",'01_Вводные'!$E$263+('01_Вводные'!$F$263-'01_Вводные'!$E$263)*8/12,'01_Вводные'!$F$263)</f>
        <v/>
      </c>
      <c r="C105" s="194">
        <f>IF('01_Вводные'!$B$295="Да",'01_Вводные'!$E$264+('01_Вводные'!$F$264-'01_Вводные'!$E$264)*8/12,'01_Вводные'!$F$264)</f>
        <v/>
      </c>
      <c r="D105" s="194">
        <f>IF('01_Вводные'!$B$295="Да",'01_Вводные'!$E$265+('01_Вводные'!$F$265-'01_Вводные'!$E$265)*8/12,'01_Вводные'!$F$265)</f>
        <v/>
      </c>
      <c r="E105" s="194">
        <f>IF('01_Вводные'!$B$295="Да",'01_Вводные'!$E$266+('01_Вводные'!$F$266-'01_Вводные'!$E$266)*8/12,'01_Вводные'!$F$266)</f>
        <v/>
      </c>
      <c r="F105" s="194">
        <f>IF('01_Вводные'!$B$295="Да",'01_Вводные'!$E$267+('01_Вводные'!$F$267-'01_Вводные'!$E$267)*8/12,'01_Вводные'!$F$267)</f>
        <v/>
      </c>
      <c r="G105" s="194">
        <f>IF('01_Вводные'!$B$295="Да",'01_Вводные'!$E$268+('01_Вводные'!$F$268-'01_Вводные'!$E$268)*8/12,'01_Вводные'!$F$268)</f>
        <v/>
      </c>
      <c r="H105" s="194">
        <f>IF('01_Вводные'!$B$295="Да",'01_Вводные'!$E$269+('01_Вводные'!$F$269-'01_Вводные'!$E$269)*8/12,'01_Вводные'!$F$269)</f>
        <v/>
      </c>
      <c r="I105" s="194">
        <f>IF('01_Вводные'!$B$295="Да",'01_Вводные'!$E$270+('01_Вводные'!$F$270-'01_Вводные'!$E$270)*8/12,'01_Вводные'!$F$270)</f>
        <v/>
      </c>
      <c r="J105" s="194">
        <f>IF('01_Вводные'!$B$295="Да",'01_Вводные'!$E$271+('01_Вводные'!$F$271-'01_Вводные'!$E$271)*8/12,'01_Вводные'!$F$271)</f>
        <v/>
      </c>
      <c r="K105" s="194">
        <f>IF('01_Вводные'!$B$295="Да",'01_Вводные'!$E$272+('01_Вводные'!$F$272-'01_Вводные'!$E$272)*8/12,'01_Вводные'!$F$272)</f>
        <v/>
      </c>
      <c r="L105" s="194">
        <f>IF('01_Вводные'!$B$295="Да",'01_Вводные'!$E$273+('01_Вводные'!$F$273-'01_Вводные'!$E$273)*8/12,'01_Вводные'!$F$273)</f>
        <v/>
      </c>
      <c r="M105" s="194">
        <f>IF('01_Вводные'!$B$295="Да",'01_Вводные'!$E$274+('01_Вводные'!$F$274-'01_Вводные'!$E$274)*8/12,'01_Вводные'!$F$274)</f>
        <v/>
      </c>
      <c r="N105" s="194">
        <f>IF('01_Вводные'!$B$295="Да",'01_Вводные'!$E$275+('01_Вводные'!$F$275-'01_Вводные'!$E$275)*8/12,'01_Вводные'!$F$275)</f>
        <v/>
      </c>
      <c r="O105" s="194">
        <f>IF('01_Вводные'!$B$295="Да",'01_Вводные'!$E$276+('01_Вводные'!$F$276-'01_Вводные'!$E$276)*8/12,'01_Вводные'!$F$276)</f>
        <v/>
      </c>
      <c r="P105" s="194">
        <f>IF('01_Вводные'!$B$295="Да",'01_Вводные'!$E$277+('01_Вводные'!$F$277-'01_Вводные'!$E$277)*8/12,'01_Вводные'!$F$277)</f>
        <v/>
      </c>
      <c r="Q105" s="194">
        <f>IF('01_Вводные'!$B$295="Да",'01_Вводные'!$E$278+('01_Вводные'!$F$278-'01_Вводные'!$E$278)*8/12,'01_Вводные'!$F$278)</f>
        <v/>
      </c>
      <c r="R105" s="194">
        <f>IF('01_Вводные'!$B$295="Да",'01_Вводные'!$E$279+('01_Вводные'!$F$279-'01_Вводные'!$E$279)*8/12,'01_Вводные'!$F$279)</f>
        <v/>
      </c>
      <c r="S105" s="194">
        <f>IF('01_Вводные'!$B$295="Да",'01_Вводные'!$E$280+('01_Вводные'!$F$280-'01_Вводные'!$E$280)*8/12,'01_Вводные'!$F$280)</f>
        <v/>
      </c>
      <c r="T105" s="194">
        <f>IF('01_Вводные'!$B$295="Да",'01_Вводные'!$E$281+('01_Вводные'!$F$281-'01_Вводные'!$E$281)*8/12,'01_Вводные'!$F$281)</f>
        <v/>
      </c>
      <c r="U105" s="194">
        <f>IF('01_Вводные'!$B$295="Да",'01_Вводные'!$E$282+('01_Вводные'!$F$282-'01_Вводные'!$E$282)*8/12,'01_Вводные'!$F$282)</f>
        <v/>
      </c>
    </row>
    <row r="106">
      <c r="A106" s="192" t="inlineStr">
        <is>
          <t>21</t>
        </is>
      </c>
      <c r="B106" s="194">
        <f>IF('01_Вводные'!$B$295="Да",'01_Вводные'!$E$263+('01_Вводные'!$F$263-'01_Вводные'!$E$263)*9/12,'01_Вводные'!$F$263)</f>
        <v/>
      </c>
      <c r="C106" s="194">
        <f>IF('01_Вводные'!$B$295="Да",'01_Вводные'!$E$264+('01_Вводные'!$F$264-'01_Вводные'!$E$264)*9/12,'01_Вводные'!$F$264)</f>
        <v/>
      </c>
      <c r="D106" s="194">
        <f>IF('01_Вводные'!$B$295="Да",'01_Вводные'!$E$265+('01_Вводные'!$F$265-'01_Вводные'!$E$265)*9/12,'01_Вводные'!$F$265)</f>
        <v/>
      </c>
      <c r="E106" s="194">
        <f>IF('01_Вводные'!$B$295="Да",'01_Вводные'!$E$266+('01_Вводные'!$F$266-'01_Вводные'!$E$266)*9/12,'01_Вводные'!$F$266)</f>
        <v/>
      </c>
      <c r="F106" s="194">
        <f>IF('01_Вводные'!$B$295="Да",'01_Вводные'!$E$267+('01_Вводные'!$F$267-'01_Вводные'!$E$267)*9/12,'01_Вводные'!$F$267)</f>
        <v/>
      </c>
      <c r="G106" s="194">
        <f>IF('01_Вводные'!$B$295="Да",'01_Вводные'!$E$268+('01_Вводные'!$F$268-'01_Вводные'!$E$268)*9/12,'01_Вводные'!$F$268)</f>
        <v/>
      </c>
      <c r="H106" s="194">
        <f>IF('01_Вводные'!$B$295="Да",'01_Вводные'!$E$269+('01_Вводные'!$F$269-'01_Вводные'!$E$269)*9/12,'01_Вводные'!$F$269)</f>
        <v/>
      </c>
      <c r="I106" s="194">
        <f>IF('01_Вводные'!$B$295="Да",'01_Вводные'!$E$270+('01_Вводные'!$F$270-'01_Вводные'!$E$270)*9/12,'01_Вводные'!$F$270)</f>
        <v/>
      </c>
      <c r="J106" s="194">
        <f>IF('01_Вводные'!$B$295="Да",'01_Вводные'!$E$271+('01_Вводные'!$F$271-'01_Вводные'!$E$271)*9/12,'01_Вводные'!$F$271)</f>
        <v/>
      </c>
      <c r="K106" s="194">
        <f>IF('01_Вводные'!$B$295="Да",'01_Вводные'!$E$272+('01_Вводные'!$F$272-'01_Вводные'!$E$272)*9/12,'01_Вводные'!$F$272)</f>
        <v/>
      </c>
      <c r="L106" s="194">
        <f>IF('01_Вводные'!$B$295="Да",'01_Вводные'!$E$273+('01_Вводные'!$F$273-'01_Вводные'!$E$273)*9/12,'01_Вводные'!$F$273)</f>
        <v/>
      </c>
      <c r="M106" s="194">
        <f>IF('01_Вводные'!$B$295="Да",'01_Вводные'!$E$274+('01_Вводные'!$F$274-'01_Вводные'!$E$274)*9/12,'01_Вводные'!$F$274)</f>
        <v/>
      </c>
      <c r="N106" s="194">
        <f>IF('01_Вводные'!$B$295="Да",'01_Вводные'!$E$275+('01_Вводные'!$F$275-'01_Вводные'!$E$275)*9/12,'01_Вводные'!$F$275)</f>
        <v/>
      </c>
      <c r="O106" s="194">
        <f>IF('01_Вводные'!$B$295="Да",'01_Вводные'!$E$276+('01_Вводные'!$F$276-'01_Вводные'!$E$276)*9/12,'01_Вводные'!$F$276)</f>
        <v/>
      </c>
      <c r="P106" s="194">
        <f>IF('01_Вводные'!$B$295="Да",'01_Вводные'!$E$277+('01_Вводные'!$F$277-'01_Вводные'!$E$277)*9/12,'01_Вводные'!$F$277)</f>
        <v/>
      </c>
      <c r="Q106" s="194">
        <f>IF('01_Вводные'!$B$295="Да",'01_Вводные'!$E$278+('01_Вводные'!$F$278-'01_Вводные'!$E$278)*9/12,'01_Вводные'!$F$278)</f>
        <v/>
      </c>
      <c r="R106" s="194">
        <f>IF('01_Вводные'!$B$295="Да",'01_Вводные'!$E$279+('01_Вводные'!$F$279-'01_Вводные'!$E$279)*9/12,'01_Вводные'!$F$279)</f>
        <v/>
      </c>
      <c r="S106" s="194">
        <f>IF('01_Вводные'!$B$295="Да",'01_Вводные'!$E$280+('01_Вводные'!$F$280-'01_Вводные'!$E$280)*9/12,'01_Вводные'!$F$280)</f>
        <v/>
      </c>
      <c r="T106" s="194">
        <f>IF('01_Вводные'!$B$295="Да",'01_Вводные'!$E$281+('01_Вводные'!$F$281-'01_Вводные'!$E$281)*9/12,'01_Вводные'!$F$281)</f>
        <v/>
      </c>
      <c r="U106" s="194">
        <f>IF('01_Вводные'!$B$295="Да",'01_Вводные'!$E$282+('01_Вводные'!$F$282-'01_Вводные'!$E$282)*9/12,'01_Вводные'!$F$282)</f>
        <v/>
      </c>
    </row>
    <row r="107">
      <c r="A107" s="192" t="inlineStr">
        <is>
          <t>22</t>
        </is>
      </c>
      <c r="B107" s="194">
        <f>IF('01_Вводные'!$B$295="Да",'01_Вводные'!$E$263+('01_Вводные'!$F$263-'01_Вводные'!$E$263)*10/12,'01_Вводные'!$F$263)</f>
        <v/>
      </c>
      <c r="C107" s="194">
        <f>IF('01_Вводные'!$B$295="Да",'01_Вводные'!$E$264+('01_Вводные'!$F$264-'01_Вводные'!$E$264)*10/12,'01_Вводные'!$F$264)</f>
        <v/>
      </c>
      <c r="D107" s="194">
        <f>IF('01_Вводные'!$B$295="Да",'01_Вводные'!$E$265+('01_Вводные'!$F$265-'01_Вводные'!$E$265)*10/12,'01_Вводные'!$F$265)</f>
        <v/>
      </c>
      <c r="E107" s="194">
        <f>IF('01_Вводные'!$B$295="Да",'01_Вводные'!$E$266+('01_Вводные'!$F$266-'01_Вводные'!$E$266)*10/12,'01_Вводные'!$F$266)</f>
        <v/>
      </c>
      <c r="F107" s="194">
        <f>IF('01_Вводные'!$B$295="Да",'01_Вводные'!$E$267+('01_Вводные'!$F$267-'01_Вводные'!$E$267)*10/12,'01_Вводные'!$F$267)</f>
        <v/>
      </c>
      <c r="G107" s="194">
        <f>IF('01_Вводные'!$B$295="Да",'01_Вводные'!$E$268+('01_Вводные'!$F$268-'01_Вводные'!$E$268)*10/12,'01_Вводные'!$F$268)</f>
        <v/>
      </c>
      <c r="H107" s="194">
        <f>IF('01_Вводные'!$B$295="Да",'01_Вводные'!$E$269+('01_Вводные'!$F$269-'01_Вводные'!$E$269)*10/12,'01_Вводные'!$F$269)</f>
        <v/>
      </c>
      <c r="I107" s="194">
        <f>IF('01_Вводные'!$B$295="Да",'01_Вводные'!$E$270+('01_Вводные'!$F$270-'01_Вводные'!$E$270)*10/12,'01_Вводные'!$F$270)</f>
        <v/>
      </c>
      <c r="J107" s="194">
        <f>IF('01_Вводные'!$B$295="Да",'01_Вводные'!$E$271+('01_Вводные'!$F$271-'01_Вводные'!$E$271)*10/12,'01_Вводные'!$F$271)</f>
        <v/>
      </c>
      <c r="K107" s="194">
        <f>IF('01_Вводные'!$B$295="Да",'01_Вводные'!$E$272+('01_Вводные'!$F$272-'01_Вводные'!$E$272)*10/12,'01_Вводные'!$F$272)</f>
        <v/>
      </c>
      <c r="L107" s="194">
        <f>IF('01_Вводные'!$B$295="Да",'01_Вводные'!$E$273+('01_Вводные'!$F$273-'01_Вводные'!$E$273)*10/12,'01_Вводные'!$F$273)</f>
        <v/>
      </c>
      <c r="M107" s="194">
        <f>IF('01_Вводные'!$B$295="Да",'01_Вводные'!$E$274+('01_Вводные'!$F$274-'01_Вводные'!$E$274)*10/12,'01_Вводные'!$F$274)</f>
        <v/>
      </c>
      <c r="N107" s="194">
        <f>IF('01_Вводные'!$B$295="Да",'01_Вводные'!$E$275+('01_Вводные'!$F$275-'01_Вводные'!$E$275)*10/12,'01_Вводные'!$F$275)</f>
        <v/>
      </c>
      <c r="O107" s="194">
        <f>IF('01_Вводные'!$B$295="Да",'01_Вводные'!$E$276+('01_Вводные'!$F$276-'01_Вводные'!$E$276)*10/12,'01_Вводные'!$F$276)</f>
        <v/>
      </c>
      <c r="P107" s="194">
        <f>IF('01_Вводные'!$B$295="Да",'01_Вводные'!$E$277+('01_Вводные'!$F$277-'01_Вводные'!$E$277)*10/12,'01_Вводные'!$F$277)</f>
        <v/>
      </c>
      <c r="Q107" s="194">
        <f>IF('01_Вводные'!$B$295="Да",'01_Вводные'!$E$278+('01_Вводные'!$F$278-'01_Вводные'!$E$278)*10/12,'01_Вводные'!$F$278)</f>
        <v/>
      </c>
      <c r="R107" s="194">
        <f>IF('01_Вводные'!$B$295="Да",'01_Вводные'!$E$279+('01_Вводные'!$F$279-'01_Вводные'!$E$279)*10/12,'01_Вводные'!$F$279)</f>
        <v/>
      </c>
      <c r="S107" s="194">
        <f>IF('01_Вводные'!$B$295="Да",'01_Вводные'!$E$280+('01_Вводные'!$F$280-'01_Вводные'!$E$280)*10/12,'01_Вводные'!$F$280)</f>
        <v/>
      </c>
      <c r="T107" s="194">
        <f>IF('01_Вводные'!$B$295="Да",'01_Вводные'!$E$281+('01_Вводные'!$F$281-'01_Вводные'!$E$281)*10/12,'01_Вводные'!$F$281)</f>
        <v/>
      </c>
      <c r="U107" s="194">
        <f>IF('01_Вводные'!$B$295="Да",'01_Вводные'!$E$282+('01_Вводные'!$F$282-'01_Вводные'!$E$282)*10/12,'01_Вводные'!$F$282)</f>
        <v/>
      </c>
    </row>
    <row r="108">
      <c r="A108" s="192" t="inlineStr">
        <is>
          <t>23</t>
        </is>
      </c>
      <c r="B108" s="194">
        <f>IF('01_Вводные'!$B$295="Да",'01_Вводные'!$E$263+('01_Вводные'!$F$263-'01_Вводные'!$E$263)*11/12,'01_Вводные'!$F$263)</f>
        <v/>
      </c>
      <c r="C108" s="194">
        <f>IF('01_Вводные'!$B$295="Да",'01_Вводные'!$E$264+('01_Вводные'!$F$264-'01_Вводные'!$E$264)*11/12,'01_Вводные'!$F$264)</f>
        <v/>
      </c>
      <c r="D108" s="194">
        <f>IF('01_Вводные'!$B$295="Да",'01_Вводные'!$E$265+('01_Вводные'!$F$265-'01_Вводные'!$E$265)*11/12,'01_Вводные'!$F$265)</f>
        <v/>
      </c>
      <c r="E108" s="194">
        <f>IF('01_Вводные'!$B$295="Да",'01_Вводные'!$E$266+('01_Вводные'!$F$266-'01_Вводные'!$E$266)*11/12,'01_Вводные'!$F$266)</f>
        <v/>
      </c>
      <c r="F108" s="194">
        <f>IF('01_Вводные'!$B$295="Да",'01_Вводные'!$E$267+('01_Вводные'!$F$267-'01_Вводные'!$E$267)*11/12,'01_Вводные'!$F$267)</f>
        <v/>
      </c>
      <c r="G108" s="194">
        <f>IF('01_Вводные'!$B$295="Да",'01_Вводные'!$E$268+('01_Вводные'!$F$268-'01_Вводные'!$E$268)*11/12,'01_Вводные'!$F$268)</f>
        <v/>
      </c>
      <c r="H108" s="194">
        <f>IF('01_Вводные'!$B$295="Да",'01_Вводные'!$E$269+('01_Вводные'!$F$269-'01_Вводные'!$E$269)*11/12,'01_Вводные'!$F$269)</f>
        <v/>
      </c>
      <c r="I108" s="194">
        <f>IF('01_Вводные'!$B$295="Да",'01_Вводные'!$E$270+('01_Вводные'!$F$270-'01_Вводные'!$E$270)*11/12,'01_Вводные'!$F$270)</f>
        <v/>
      </c>
      <c r="J108" s="194">
        <f>IF('01_Вводные'!$B$295="Да",'01_Вводные'!$E$271+('01_Вводные'!$F$271-'01_Вводные'!$E$271)*11/12,'01_Вводные'!$F$271)</f>
        <v/>
      </c>
      <c r="K108" s="194">
        <f>IF('01_Вводные'!$B$295="Да",'01_Вводные'!$E$272+('01_Вводные'!$F$272-'01_Вводные'!$E$272)*11/12,'01_Вводные'!$F$272)</f>
        <v/>
      </c>
      <c r="L108" s="194">
        <f>IF('01_Вводные'!$B$295="Да",'01_Вводные'!$E$273+('01_Вводные'!$F$273-'01_Вводные'!$E$273)*11/12,'01_Вводные'!$F$273)</f>
        <v/>
      </c>
      <c r="M108" s="194">
        <f>IF('01_Вводные'!$B$295="Да",'01_Вводные'!$E$274+('01_Вводные'!$F$274-'01_Вводные'!$E$274)*11/12,'01_Вводные'!$F$274)</f>
        <v/>
      </c>
      <c r="N108" s="194">
        <f>IF('01_Вводные'!$B$295="Да",'01_Вводные'!$E$275+('01_Вводные'!$F$275-'01_Вводные'!$E$275)*11/12,'01_Вводные'!$F$275)</f>
        <v/>
      </c>
      <c r="O108" s="194">
        <f>IF('01_Вводные'!$B$295="Да",'01_Вводные'!$E$276+('01_Вводные'!$F$276-'01_Вводные'!$E$276)*11/12,'01_Вводные'!$F$276)</f>
        <v/>
      </c>
      <c r="P108" s="194">
        <f>IF('01_Вводные'!$B$295="Да",'01_Вводные'!$E$277+('01_Вводные'!$F$277-'01_Вводные'!$E$277)*11/12,'01_Вводные'!$F$277)</f>
        <v/>
      </c>
      <c r="Q108" s="194">
        <f>IF('01_Вводные'!$B$295="Да",'01_Вводные'!$E$278+('01_Вводные'!$F$278-'01_Вводные'!$E$278)*11/12,'01_Вводные'!$F$278)</f>
        <v/>
      </c>
      <c r="R108" s="194">
        <f>IF('01_Вводные'!$B$295="Да",'01_Вводные'!$E$279+('01_Вводные'!$F$279-'01_Вводные'!$E$279)*11/12,'01_Вводные'!$F$279)</f>
        <v/>
      </c>
      <c r="S108" s="194">
        <f>IF('01_Вводные'!$B$295="Да",'01_Вводные'!$E$280+('01_Вводные'!$F$280-'01_Вводные'!$E$280)*11/12,'01_Вводные'!$F$280)</f>
        <v/>
      </c>
      <c r="T108" s="194">
        <f>IF('01_Вводные'!$B$295="Да",'01_Вводные'!$E$281+('01_Вводные'!$F$281-'01_Вводные'!$E$281)*11/12,'01_Вводные'!$F$281)</f>
        <v/>
      </c>
      <c r="U108" s="194">
        <f>IF('01_Вводные'!$B$295="Да",'01_Вводные'!$E$282+('01_Вводные'!$F$282-'01_Вводные'!$E$282)*11/12,'01_Вводные'!$F$282)</f>
        <v/>
      </c>
    </row>
    <row r="109">
      <c r="A109" s="192" t="inlineStr">
        <is>
          <t>24</t>
        </is>
      </c>
      <c r="B109" s="194">
        <f>IF('01_Вводные'!$B$295="Да",'01_Вводные'!$E$263+('01_Вводные'!$F$263-'01_Вводные'!$E$263)*12/12,'01_Вводные'!$F$263)</f>
        <v/>
      </c>
      <c r="C109" s="194">
        <f>IF('01_Вводные'!$B$295="Да",'01_Вводные'!$E$264+('01_Вводные'!$F$264-'01_Вводные'!$E$264)*12/12,'01_Вводные'!$F$264)</f>
        <v/>
      </c>
      <c r="D109" s="194">
        <f>IF('01_Вводные'!$B$295="Да",'01_Вводные'!$E$265+('01_Вводные'!$F$265-'01_Вводные'!$E$265)*12/12,'01_Вводные'!$F$265)</f>
        <v/>
      </c>
      <c r="E109" s="194">
        <f>IF('01_Вводные'!$B$295="Да",'01_Вводные'!$E$266+('01_Вводные'!$F$266-'01_Вводные'!$E$266)*12/12,'01_Вводные'!$F$266)</f>
        <v/>
      </c>
      <c r="F109" s="194">
        <f>IF('01_Вводные'!$B$295="Да",'01_Вводные'!$E$267+('01_Вводные'!$F$267-'01_Вводные'!$E$267)*12/12,'01_Вводные'!$F$267)</f>
        <v/>
      </c>
      <c r="G109" s="194">
        <f>IF('01_Вводные'!$B$295="Да",'01_Вводные'!$E$268+('01_Вводные'!$F$268-'01_Вводные'!$E$268)*12/12,'01_Вводные'!$F$268)</f>
        <v/>
      </c>
      <c r="H109" s="194">
        <f>IF('01_Вводные'!$B$295="Да",'01_Вводные'!$E$269+('01_Вводные'!$F$269-'01_Вводные'!$E$269)*12/12,'01_Вводные'!$F$269)</f>
        <v/>
      </c>
      <c r="I109" s="194">
        <f>IF('01_Вводные'!$B$295="Да",'01_Вводные'!$E$270+('01_Вводные'!$F$270-'01_Вводные'!$E$270)*12/12,'01_Вводные'!$F$270)</f>
        <v/>
      </c>
      <c r="J109" s="194">
        <f>IF('01_Вводные'!$B$295="Да",'01_Вводные'!$E$271+('01_Вводные'!$F$271-'01_Вводные'!$E$271)*12/12,'01_Вводные'!$F$271)</f>
        <v/>
      </c>
      <c r="K109" s="194">
        <f>IF('01_Вводные'!$B$295="Да",'01_Вводные'!$E$272+('01_Вводные'!$F$272-'01_Вводные'!$E$272)*12/12,'01_Вводные'!$F$272)</f>
        <v/>
      </c>
      <c r="L109" s="194">
        <f>IF('01_Вводные'!$B$295="Да",'01_Вводные'!$E$273+('01_Вводные'!$F$273-'01_Вводные'!$E$273)*12/12,'01_Вводные'!$F$273)</f>
        <v/>
      </c>
      <c r="M109" s="194">
        <f>IF('01_Вводные'!$B$295="Да",'01_Вводные'!$E$274+('01_Вводные'!$F$274-'01_Вводные'!$E$274)*12/12,'01_Вводные'!$F$274)</f>
        <v/>
      </c>
      <c r="N109" s="194">
        <f>IF('01_Вводные'!$B$295="Да",'01_Вводные'!$E$275+('01_Вводные'!$F$275-'01_Вводные'!$E$275)*12/12,'01_Вводные'!$F$275)</f>
        <v/>
      </c>
      <c r="O109" s="194">
        <f>IF('01_Вводные'!$B$295="Да",'01_Вводные'!$E$276+('01_Вводные'!$F$276-'01_Вводные'!$E$276)*12/12,'01_Вводные'!$F$276)</f>
        <v/>
      </c>
      <c r="P109" s="194">
        <f>IF('01_Вводные'!$B$295="Да",'01_Вводные'!$E$277+('01_Вводные'!$F$277-'01_Вводные'!$E$277)*12/12,'01_Вводные'!$F$277)</f>
        <v/>
      </c>
      <c r="Q109" s="194">
        <f>IF('01_Вводные'!$B$295="Да",'01_Вводные'!$E$278+('01_Вводные'!$F$278-'01_Вводные'!$E$278)*12/12,'01_Вводные'!$F$278)</f>
        <v/>
      </c>
      <c r="R109" s="194">
        <f>IF('01_Вводные'!$B$295="Да",'01_Вводные'!$E$279+('01_Вводные'!$F$279-'01_Вводные'!$E$279)*12/12,'01_Вводные'!$F$279)</f>
        <v/>
      </c>
      <c r="S109" s="194">
        <f>IF('01_Вводные'!$B$295="Да",'01_Вводные'!$E$280+('01_Вводные'!$F$280-'01_Вводные'!$E$280)*12/12,'01_Вводные'!$F$280)</f>
        <v/>
      </c>
      <c r="T109" s="194">
        <f>IF('01_Вводные'!$B$295="Да",'01_Вводные'!$E$281+('01_Вводные'!$F$281-'01_Вводные'!$E$281)*12/12,'01_Вводные'!$F$281)</f>
        <v/>
      </c>
      <c r="U109" s="194">
        <f>IF('01_Вводные'!$B$295="Да",'01_Вводные'!$E$282+('01_Вводные'!$F$282-'01_Вводные'!$E$282)*12/12,'01_Вводные'!$F$282)</f>
        <v/>
      </c>
    </row>
    <row r="110">
      <c r="A110" s="192" t="inlineStr">
        <is>
          <t>25+</t>
        </is>
      </c>
      <c r="B110" s="194">
        <f>'01_Вводные'!$G$263</f>
        <v/>
      </c>
      <c r="C110" s="194">
        <f>'01_Вводные'!$G$264</f>
        <v/>
      </c>
      <c r="D110" s="194">
        <f>'01_Вводные'!$G$265</f>
        <v/>
      </c>
      <c r="E110" s="194">
        <f>'01_Вводные'!$G$266</f>
        <v/>
      </c>
      <c r="F110" s="194">
        <f>'01_Вводные'!$G$267</f>
        <v/>
      </c>
      <c r="G110" s="194">
        <f>'01_Вводные'!$G$268</f>
        <v/>
      </c>
      <c r="H110" s="194">
        <f>'01_Вводные'!$G$269</f>
        <v/>
      </c>
      <c r="I110" s="194">
        <f>'01_Вводные'!$G$270</f>
        <v/>
      </c>
      <c r="J110" s="194">
        <f>'01_Вводные'!$G$271</f>
        <v/>
      </c>
      <c r="K110" s="194">
        <f>'01_Вводные'!$G$272</f>
        <v/>
      </c>
      <c r="L110" s="194">
        <f>'01_Вводные'!$G$273</f>
        <v/>
      </c>
      <c r="M110" s="194">
        <f>'01_Вводные'!$G$274</f>
        <v/>
      </c>
      <c r="N110" s="194">
        <f>'01_Вводные'!$G$275</f>
        <v/>
      </c>
      <c r="O110" s="194">
        <f>'01_Вводные'!$G$276</f>
        <v/>
      </c>
      <c r="P110" s="194">
        <f>'01_Вводные'!$G$277</f>
        <v/>
      </c>
      <c r="Q110" s="194">
        <f>'01_Вводные'!$G$278</f>
        <v/>
      </c>
      <c r="R110" s="194">
        <f>'01_Вводные'!$G$279</f>
        <v/>
      </c>
      <c r="S110" s="194">
        <f>'01_Вводные'!$G$280</f>
        <v/>
      </c>
      <c r="T110" s="194">
        <f>'01_Вводные'!$G$281</f>
        <v/>
      </c>
      <c r="U110" s="194">
        <f>'01_Вводные'!$G$282</f>
        <v/>
      </c>
    </row>
    <row r="111"/>
    <row r="112"/>
    <row r="113"/>
    <row r="114">
      <c r="B114" s="195">
        <f>IF(B24&gt;0,B54/B24,1E99)</f>
        <v/>
      </c>
      <c r="C114" s="195">
        <f>IF(C24&gt;0,C54/C24,1E99)</f>
        <v/>
      </c>
      <c r="D114" s="195">
        <f>IF(D24&gt;0,D54/D24,1E99)</f>
        <v/>
      </c>
      <c r="E114" s="195">
        <f>IF(E24&gt;0,E54/E24,1E99)</f>
        <v/>
      </c>
      <c r="F114" s="195">
        <f>IF(F24&gt;0,F54/F24,1E99)</f>
        <v/>
      </c>
      <c r="G114" s="195">
        <f>IF(G24&gt;0,G54/G24,1E99)</f>
        <v/>
      </c>
      <c r="H114" s="195">
        <f>IF(H24&gt;0,H54/H24,1E99)</f>
        <v/>
      </c>
      <c r="I114" s="195">
        <f>IF(I24&gt;0,I54/I24,1E99)</f>
        <v/>
      </c>
      <c r="J114" s="195">
        <f>IF(J24&gt;0,J54/J24,1E99)</f>
        <v/>
      </c>
      <c r="K114" s="195">
        <f>IF(K24&gt;0,K54/K24,1E99)</f>
        <v/>
      </c>
      <c r="L114" s="195">
        <f>IF(L24&gt;0,L54/L24,1E99)</f>
        <v/>
      </c>
      <c r="M114" s="195">
        <f>IF(M24&gt;0,M54/M24,1E99)</f>
        <v/>
      </c>
      <c r="N114" s="195">
        <f>IF(N24&gt;0,N54/N24,1E99)</f>
        <v/>
      </c>
      <c r="O114" s="195">
        <f>IF(O24&gt;0,O54/O24,1E99)</f>
        <v/>
      </c>
      <c r="P114" s="195">
        <f>IF(P24&gt;0,P54/P24,1E99)</f>
        <v/>
      </c>
      <c r="Q114" s="195">
        <f>IF(Q24&gt;0,Q54/Q24,1E99)</f>
        <v/>
      </c>
      <c r="R114" s="195">
        <f>IF(R24&gt;0,R54/R24,1E99)</f>
        <v/>
      </c>
      <c r="S114" s="195">
        <f>IF(S24&gt;0,S54/S24,1E99)</f>
        <v/>
      </c>
      <c r="T114" s="195">
        <f>IF(T24&gt;0,T54/T24,1E99)</f>
        <v/>
      </c>
      <c r="U114" s="195">
        <f>IF(U24&gt;0,U54/U24,1E99)</f>
        <v/>
      </c>
    </row>
    <row r="115">
      <c r="B115" s="195">
        <f>IF(B25&gt;0,B55/B25,1E99)</f>
        <v/>
      </c>
      <c r="C115" s="195">
        <f>IF(C25&gt;0,C55/C25,1E99)</f>
        <v/>
      </c>
      <c r="D115" s="195">
        <f>IF(D25&gt;0,D55/D25,1E99)</f>
        <v/>
      </c>
      <c r="E115" s="195">
        <f>IF(E25&gt;0,E55/E25,1E99)</f>
        <v/>
      </c>
      <c r="F115" s="195">
        <f>IF(F25&gt;0,F55/F25,1E99)</f>
        <v/>
      </c>
      <c r="G115" s="195">
        <f>IF(G25&gt;0,G55/G25,1E99)</f>
        <v/>
      </c>
      <c r="H115" s="195">
        <f>IF(H25&gt;0,H55/H25,1E99)</f>
        <v/>
      </c>
      <c r="I115" s="195">
        <f>IF(I25&gt;0,I55/I25,1E99)</f>
        <v/>
      </c>
      <c r="J115" s="195">
        <f>IF(J25&gt;0,J55/J25,1E99)</f>
        <v/>
      </c>
      <c r="K115" s="195">
        <f>IF(K25&gt;0,K55/K25,1E99)</f>
        <v/>
      </c>
      <c r="L115" s="195">
        <f>IF(L25&gt;0,L55/L25,1E99)</f>
        <v/>
      </c>
      <c r="M115" s="195">
        <f>IF(M25&gt;0,M55/M25,1E99)</f>
        <v/>
      </c>
      <c r="N115" s="195">
        <f>IF(N25&gt;0,N55/N25,1E99)</f>
        <v/>
      </c>
      <c r="O115" s="195">
        <f>IF(O25&gt;0,O55/O25,1E99)</f>
        <v/>
      </c>
      <c r="P115" s="195">
        <f>IF(P25&gt;0,P55/P25,1E99)</f>
        <v/>
      </c>
      <c r="Q115" s="195">
        <f>IF(Q25&gt;0,Q55/Q25,1E99)</f>
        <v/>
      </c>
      <c r="R115" s="195">
        <f>IF(R25&gt;0,R55/R25,1E99)</f>
        <v/>
      </c>
      <c r="S115" s="195">
        <f>IF(S25&gt;0,S55/S25,1E99)</f>
        <v/>
      </c>
      <c r="T115" s="195">
        <f>IF(T25&gt;0,T55/T25,1E99)</f>
        <v/>
      </c>
      <c r="U115" s="195">
        <f>IF(U25&gt;0,U55/U25,1E99)</f>
        <v/>
      </c>
    </row>
    <row r="116">
      <c r="B116" s="195">
        <f>IF(B26&gt;0,B56/B26,1E99)</f>
        <v/>
      </c>
      <c r="C116" s="195">
        <f>IF(C26&gt;0,C56/C26,1E99)</f>
        <v/>
      </c>
      <c r="D116" s="195">
        <f>IF(D26&gt;0,D56/D26,1E99)</f>
        <v/>
      </c>
      <c r="E116" s="195">
        <f>IF(E26&gt;0,E56/E26,1E99)</f>
        <v/>
      </c>
      <c r="F116" s="195">
        <f>IF(F26&gt;0,F56/F26,1E99)</f>
        <v/>
      </c>
      <c r="G116" s="195">
        <f>IF(G26&gt;0,G56/G26,1E99)</f>
        <v/>
      </c>
      <c r="H116" s="195">
        <f>IF(H26&gt;0,H56/H26,1E99)</f>
        <v/>
      </c>
      <c r="I116" s="195">
        <f>IF(I26&gt;0,I56/I26,1E99)</f>
        <v/>
      </c>
      <c r="J116" s="195">
        <f>IF(J26&gt;0,J56/J26,1E99)</f>
        <v/>
      </c>
      <c r="K116" s="195">
        <f>IF(K26&gt;0,K56/K26,1E99)</f>
        <v/>
      </c>
      <c r="L116" s="195">
        <f>IF(L26&gt;0,L56/L26,1E99)</f>
        <v/>
      </c>
      <c r="M116" s="195">
        <f>IF(M26&gt;0,M56/M26,1E99)</f>
        <v/>
      </c>
      <c r="N116" s="195">
        <f>IF(N26&gt;0,N56/N26,1E99)</f>
        <v/>
      </c>
      <c r="O116" s="195">
        <f>IF(O26&gt;0,O56/O26,1E99)</f>
        <v/>
      </c>
      <c r="P116" s="195">
        <f>IF(P26&gt;0,P56/P26,1E99)</f>
        <v/>
      </c>
      <c r="Q116" s="195">
        <f>IF(Q26&gt;0,Q56/Q26,1E99)</f>
        <v/>
      </c>
      <c r="R116" s="195">
        <f>IF(R26&gt;0,R56/R26,1E99)</f>
        <v/>
      </c>
      <c r="S116" s="195">
        <f>IF(S26&gt;0,S56/S26,1E99)</f>
        <v/>
      </c>
      <c r="T116" s="195">
        <f>IF(T26&gt;0,T56/T26,1E99)</f>
        <v/>
      </c>
      <c r="U116" s="195">
        <f>IF(U26&gt;0,U56/U26,1E99)</f>
        <v/>
      </c>
    </row>
    <row r="117">
      <c r="B117" s="195">
        <f>IF(B27&gt;0,B57/B27,1E99)</f>
        <v/>
      </c>
      <c r="C117" s="195">
        <f>IF(C27&gt;0,C57/C27,1E99)</f>
        <v/>
      </c>
      <c r="D117" s="195">
        <f>IF(D27&gt;0,D57/D27,1E99)</f>
        <v/>
      </c>
      <c r="E117" s="195">
        <f>IF(E27&gt;0,E57/E27,1E99)</f>
        <v/>
      </c>
      <c r="F117" s="195">
        <f>IF(F27&gt;0,F57/F27,1E99)</f>
        <v/>
      </c>
      <c r="G117" s="195">
        <f>IF(G27&gt;0,G57/G27,1E99)</f>
        <v/>
      </c>
      <c r="H117" s="195">
        <f>IF(H27&gt;0,H57/H27,1E99)</f>
        <v/>
      </c>
      <c r="I117" s="195">
        <f>IF(I27&gt;0,I57/I27,1E99)</f>
        <v/>
      </c>
      <c r="J117" s="195">
        <f>IF(J27&gt;0,J57/J27,1E99)</f>
        <v/>
      </c>
      <c r="K117" s="195">
        <f>IF(K27&gt;0,K57/K27,1E99)</f>
        <v/>
      </c>
      <c r="L117" s="195">
        <f>IF(L27&gt;0,L57/L27,1E99)</f>
        <v/>
      </c>
      <c r="M117" s="195">
        <f>IF(M27&gt;0,M57/M27,1E99)</f>
        <v/>
      </c>
      <c r="N117" s="195">
        <f>IF(N27&gt;0,N57/N27,1E99)</f>
        <v/>
      </c>
      <c r="O117" s="195">
        <f>IF(O27&gt;0,O57/O27,1E99)</f>
        <v/>
      </c>
      <c r="P117" s="195">
        <f>IF(P27&gt;0,P57/P27,1E99)</f>
        <v/>
      </c>
      <c r="Q117" s="195">
        <f>IF(Q27&gt;0,Q57/Q27,1E99)</f>
        <v/>
      </c>
      <c r="R117" s="195">
        <f>IF(R27&gt;0,R57/R27,1E99)</f>
        <v/>
      </c>
      <c r="S117" s="195">
        <f>IF(S27&gt;0,S57/S27,1E99)</f>
        <v/>
      </c>
      <c r="T117" s="195">
        <f>IF(T27&gt;0,T57/T27,1E99)</f>
        <v/>
      </c>
      <c r="U117" s="195">
        <f>IF(U27&gt;0,U57/U27,1E99)</f>
        <v/>
      </c>
    </row>
    <row r="118">
      <c r="B118" s="195">
        <f>IF(B28&gt;0,B58/B28,1E99)</f>
        <v/>
      </c>
      <c r="C118" s="195">
        <f>IF(C28&gt;0,C58/C28,1E99)</f>
        <v/>
      </c>
      <c r="D118" s="195">
        <f>IF(D28&gt;0,D58/D28,1E99)</f>
        <v/>
      </c>
      <c r="E118" s="195">
        <f>IF(E28&gt;0,E58/E28,1E99)</f>
        <v/>
      </c>
      <c r="F118" s="195">
        <f>IF(F28&gt;0,F58/F28,1E99)</f>
        <v/>
      </c>
      <c r="G118" s="195">
        <f>IF(G28&gt;0,G58/G28,1E99)</f>
        <v/>
      </c>
      <c r="H118" s="195">
        <f>IF(H28&gt;0,H58/H28,1E99)</f>
        <v/>
      </c>
      <c r="I118" s="195">
        <f>IF(I28&gt;0,I58/I28,1E99)</f>
        <v/>
      </c>
      <c r="J118" s="195">
        <f>IF(J28&gt;0,J58/J28,1E99)</f>
        <v/>
      </c>
      <c r="K118" s="195">
        <f>IF(K28&gt;0,K58/K28,1E99)</f>
        <v/>
      </c>
      <c r="L118" s="195">
        <f>IF(L28&gt;0,L58/L28,1E99)</f>
        <v/>
      </c>
      <c r="M118" s="195">
        <f>IF(M28&gt;0,M58/M28,1E99)</f>
        <v/>
      </c>
      <c r="N118" s="195">
        <f>IF(N28&gt;0,N58/N28,1E99)</f>
        <v/>
      </c>
      <c r="O118" s="195">
        <f>IF(O28&gt;0,O58/O28,1E99)</f>
        <v/>
      </c>
      <c r="P118" s="195">
        <f>IF(P28&gt;0,P58/P28,1E99)</f>
        <v/>
      </c>
      <c r="Q118" s="195">
        <f>IF(Q28&gt;0,Q58/Q28,1E99)</f>
        <v/>
      </c>
      <c r="R118" s="195">
        <f>IF(R28&gt;0,R58/R28,1E99)</f>
        <v/>
      </c>
      <c r="S118" s="195">
        <f>IF(S28&gt;0,S58/S28,1E99)</f>
        <v/>
      </c>
      <c r="T118" s="195">
        <f>IF(T28&gt;0,T58/T28,1E99)</f>
        <v/>
      </c>
      <c r="U118" s="195">
        <f>IF(U28&gt;0,U58/U28,1E99)</f>
        <v/>
      </c>
    </row>
    <row r="119">
      <c r="B119" s="195">
        <f>IF(B29&gt;0,B59/B29,1E99)</f>
        <v/>
      </c>
      <c r="C119" s="195">
        <f>IF(C29&gt;0,C59/C29,1E99)</f>
        <v/>
      </c>
      <c r="D119" s="195">
        <f>IF(D29&gt;0,D59/D29,1E99)</f>
        <v/>
      </c>
      <c r="E119" s="195">
        <f>IF(E29&gt;0,E59/E29,1E99)</f>
        <v/>
      </c>
      <c r="F119" s="195">
        <f>IF(F29&gt;0,F59/F29,1E99)</f>
        <v/>
      </c>
      <c r="G119" s="195">
        <f>IF(G29&gt;0,G59/G29,1E99)</f>
        <v/>
      </c>
      <c r="H119" s="195">
        <f>IF(H29&gt;0,H59/H29,1E99)</f>
        <v/>
      </c>
      <c r="I119" s="195">
        <f>IF(I29&gt;0,I59/I29,1E99)</f>
        <v/>
      </c>
      <c r="J119" s="195">
        <f>IF(J29&gt;0,J59/J29,1E99)</f>
        <v/>
      </c>
      <c r="K119" s="195">
        <f>IF(K29&gt;0,K59/K29,1E99)</f>
        <v/>
      </c>
      <c r="L119" s="195">
        <f>IF(L29&gt;0,L59/L29,1E99)</f>
        <v/>
      </c>
      <c r="M119" s="195">
        <f>IF(M29&gt;0,M59/M29,1E99)</f>
        <v/>
      </c>
      <c r="N119" s="195">
        <f>IF(N29&gt;0,N59/N29,1E99)</f>
        <v/>
      </c>
      <c r="O119" s="195">
        <f>IF(O29&gt;0,O59/O29,1E99)</f>
        <v/>
      </c>
      <c r="P119" s="195">
        <f>IF(P29&gt;0,P59/P29,1E99)</f>
        <v/>
      </c>
      <c r="Q119" s="195">
        <f>IF(Q29&gt;0,Q59/Q29,1E99)</f>
        <v/>
      </c>
      <c r="R119" s="195">
        <f>IF(R29&gt;0,R59/R29,1E99)</f>
        <v/>
      </c>
      <c r="S119" s="195">
        <f>IF(S29&gt;0,S59/S29,1E99)</f>
        <v/>
      </c>
      <c r="T119" s="195">
        <f>IF(T29&gt;0,T59/T29,1E99)</f>
        <v/>
      </c>
      <c r="U119" s="195">
        <f>IF(U29&gt;0,U59/U29,1E99)</f>
        <v/>
      </c>
    </row>
    <row r="120">
      <c r="B120" s="195">
        <f>IF(B30&gt;0,B60/B30,1E99)</f>
        <v/>
      </c>
      <c r="C120" s="195">
        <f>IF(C30&gt;0,C60/C30,1E99)</f>
        <v/>
      </c>
      <c r="D120" s="195">
        <f>IF(D30&gt;0,D60/D30,1E99)</f>
        <v/>
      </c>
      <c r="E120" s="195">
        <f>IF(E30&gt;0,E60/E30,1E99)</f>
        <v/>
      </c>
      <c r="F120" s="195">
        <f>IF(F30&gt;0,F60/F30,1E99)</f>
        <v/>
      </c>
      <c r="G120" s="195">
        <f>IF(G30&gt;0,G60/G30,1E99)</f>
        <v/>
      </c>
      <c r="H120" s="195">
        <f>IF(H30&gt;0,H60/H30,1E99)</f>
        <v/>
      </c>
      <c r="I120" s="195">
        <f>IF(I30&gt;0,I60/I30,1E99)</f>
        <v/>
      </c>
      <c r="J120" s="195">
        <f>IF(J30&gt;0,J60/J30,1E99)</f>
        <v/>
      </c>
      <c r="K120" s="195">
        <f>IF(K30&gt;0,K60/K30,1E99)</f>
        <v/>
      </c>
      <c r="L120" s="195">
        <f>IF(L30&gt;0,L60/L30,1E99)</f>
        <v/>
      </c>
      <c r="M120" s="195">
        <f>IF(M30&gt;0,M60/M30,1E99)</f>
        <v/>
      </c>
      <c r="N120" s="195">
        <f>IF(N30&gt;0,N60/N30,1E99)</f>
        <v/>
      </c>
      <c r="O120" s="195">
        <f>IF(O30&gt;0,O60/O30,1E99)</f>
        <v/>
      </c>
      <c r="P120" s="195">
        <f>IF(P30&gt;0,P60/P30,1E99)</f>
        <v/>
      </c>
      <c r="Q120" s="195">
        <f>IF(Q30&gt;0,Q60/Q30,1E99)</f>
        <v/>
      </c>
      <c r="R120" s="195">
        <f>IF(R30&gt;0,R60/R30,1E99)</f>
        <v/>
      </c>
      <c r="S120" s="195">
        <f>IF(S30&gt;0,S60/S30,1E99)</f>
        <v/>
      </c>
      <c r="T120" s="195">
        <f>IF(T30&gt;0,T60/T30,1E99)</f>
        <v/>
      </c>
      <c r="U120" s="195">
        <f>IF(U30&gt;0,U60/U30,1E99)</f>
        <v/>
      </c>
    </row>
    <row r="121">
      <c r="B121" s="195">
        <f>IF(B31&gt;0,B61/B31,1E99)</f>
        <v/>
      </c>
      <c r="C121" s="195">
        <f>IF(C31&gt;0,C61/C31,1E99)</f>
        <v/>
      </c>
      <c r="D121" s="195">
        <f>IF(D31&gt;0,D61/D31,1E99)</f>
        <v/>
      </c>
      <c r="E121" s="195">
        <f>IF(E31&gt;0,E61/E31,1E99)</f>
        <v/>
      </c>
      <c r="F121" s="195">
        <f>IF(F31&gt;0,F61/F31,1E99)</f>
        <v/>
      </c>
      <c r="G121" s="195">
        <f>IF(G31&gt;0,G61/G31,1E99)</f>
        <v/>
      </c>
      <c r="H121" s="195">
        <f>IF(H31&gt;0,H61/H31,1E99)</f>
        <v/>
      </c>
      <c r="I121" s="195">
        <f>IF(I31&gt;0,I61/I31,1E99)</f>
        <v/>
      </c>
      <c r="J121" s="195">
        <f>IF(J31&gt;0,J61/J31,1E99)</f>
        <v/>
      </c>
      <c r="K121" s="195">
        <f>IF(K31&gt;0,K61/K31,1E99)</f>
        <v/>
      </c>
      <c r="L121" s="195">
        <f>IF(L31&gt;0,L61/L31,1E99)</f>
        <v/>
      </c>
      <c r="M121" s="195">
        <f>IF(M31&gt;0,M61/M31,1E99)</f>
        <v/>
      </c>
      <c r="N121" s="195">
        <f>IF(N31&gt;0,N61/N31,1E99)</f>
        <v/>
      </c>
      <c r="O121" s="195">
        <f>IF(O31&gt;0,O61/O31,1E99)</f>
        <v/>
      </c>
      <c r="P121" s="195">
        <f>IF(P31&gt;0,P61/P31,1E99)</f>
        <v/>
      </c>
      <c r="Q121" s="195">
        <f>IF(Q31&gt;0,Q61/Q31,1E99)</f>
        <v/>
      </c>
      <c r="R121" s="195">
        <f>IF(R31&gt;0,R61/R31,1E99)</f>
        <v/>
      </c>
      <c r="S121" s="195">
        <f>IF(S31&gt;0,S61/S31,1E99)</f>
        <v/>
      </c>
      <c r="T121" s="195">
        <f>IF(T31&gt;0,T61/T31,1E99)</f>
        <v/>
      </c>
      <c r="U121" s="195">
        <f>IF(U31&gt;0,U61/U31,1E99)</f>
        <v/>
      </c>
    </row>
    <row r="122">
      <c r="B122" s="195">
        <f>IF(B32&gt;0,B62/B32,1E99)</f>
        <v/>
      </c>
      <c r="C122" s="195">
        <f>IF(C32&gt;0,C62/C32,1E99)</f>
        <v/>
      </c>
      <c r="D122" s="195">
        <f>IF(D32&gt;0,D62/D32,1E99)</f>
        <v/>
      </c>
      <c r="E122" s="195">
        <f>IF(E32&gt;0,E62/E32,1E99)</f>
        <v/>
      </c>
      <c r="F122" s="195">
        <f>IF(F32&gt;0,F62/F32,1E99)</f>
        <v/>
      </c>
      <c r="G122" s="195">
        <f>IF(G32&gt;0,G62/G32,1E99)</f>
        <v/>
      </c>
      <c r="H122" s="195">
        <f>IF(H32&gt;0,H62/H32,1E99)</f>
        <v/>
      </c>
      <c r="I122" s="195">
        <f>IF(I32&gt;0,I62/I32,1E99)</f>
        <v/>
      </c>
      <c r="J122" s="195">
        <f>IF(J32&gt;0,J62/J32,1E99)</f>
        <v/>
      </c>
      <c r="K122" s="195">
        <f>IF(K32&gt;0,K62/K32,1E99)</f>
        <v/>
      </c>
      <c r="L122" s="195">
        <f>IF(L32&gt;0,L62/L32,1E99)</f>
        <v/>
      </c>
      <c r="M122" s="195">
        <f>IF(M32&gt;0,M62/M32,1E99)</f>
        <v/>
      </c>
      <c r="N122" s="195">
        <f>IF(N32&gt;0,N62/N32,1E99)</f>
        <v/>
      </c>
      <c r="O122" s="195">
        <f>IF(O32&gt;0,O62/O32,1E99)</f>
        <v/>
      </c>
      <c r="P122" s="195">
        <f>IF(P32&gt;0,P62/P32,1E99)</f>
        <v/>
      </c>
      <c r="Q122" s="195">
        <f>IF(Q32&gt;0,Q62/Q32,1E99)</f>
        <v/>
      </c>
      <c r="R122" s="195">
        <f>IF(R32&gt;0,R62/R32,1E99)</f>
        <v/>
      </c>
      <c r="S122" s="195">
        <f>IF(S32&gt;0,S62/S32,1E99)</f>
        <v/>
      </c>
      <c r="T122" s="195">
        <f>IF(T32&gt;0,T62/T32,1E99)</f>
        <v/>
      </c>
      <c r="U122" s="195">
        <f>IF(U32&gt;0,U62/U32,1E99)</f>
        <v/>
      </c>
    </row>
    <row r="123">
      <c r="B123" s="195">
        <f>IF(B33&gt;0,B63/B33,1E99)</f>
        <v/>
      </c>
      <c r="C123" s="195">
        <f>IF(C33&gt;0,C63/C33,1E99)</f>
        <v/>
      </c>
      <c r="D123" s="195">
        <f>IF(D33&gt;0,D63/D33,1E99)</f>
        <v/>
      </c>
      <c r="E123" s="195">
        <f>IF(E33&gt;0,E63/E33,1E99)</f>
        <v/>
      </c>
      <c r="F123" s="195">
        <f>IF(F33&gt;0,F63/F33,1E99)</f>
        <v/>
      </c>
      <c r="G123" s="195">
        <f>IF(G33&gt;0,G63/G33,1E99)</f>
        <v/>
      </c>
      <c r="H123" s="195">
        <f>IF(H33&gt;0,H63/H33,1E99)</f>
        <v/>
      </c>
      <c r="I123" s="195">
        <f>IF(I33&gt;0,I63/I33,1E99)</f>
        <v/>
      </c>
      <c r="J123" s="195">
        <f>IF(J33&gt;0,J63/J33,1E99)</f>
        <v/>
      </c>
      <c r="K123" s="195">
        <f>IF(K33&gt;0,K63/K33,1E99)</f>
        <v/>
      </c>
      <c r="L123" s="195">
        <f>IF(L33&gt;0,L63/L33,1E99)</f>
        <v/>
      </c>
      <c r="M123" s="195">
        <f>IF(M33&gt;0,M63/M33,1E99)</f>
        <v/>
      </c>
      <c r="N123" s="195">
        <f>IF(N33&gt;0,N63/N33,1E99)</f>
        <v/>
      </c>
      <c r="O123" s="195">
        <f>IF(O33&gt;0,O63/O33,1E99)</f>
        <v/>
      </c>
      <c r="P123" s="195">
        <f>IF(P33&gt;0,P63/P33,1E99)</f>
        <v/>
      </c>
      <c r="Q123" s="195">
        <f>IF(Q33&gt;0,Q63/Q33,1E99)</f>
        <v/>
      </c>
      <c r="R123" s="195">
        <f>IF(R33&gt;0,R63/R33,1E99)</f>
        <v/>
      </c>
      <c r="S123" s="195">
        <f>IF(S33&gt;0,S63/S33,1E99)</f>
        <v/>
      </c>
      <c r="T123" s="195">
        <f>IF(T33&gt;0,T63/T33,1E99)</f>
        <v/>
      </c>
      <c r="U123" s="195">
        <f>IF(U33&gt;0,U63/U33,1E99)</f>
        <v/>
      </c>
    </row>
    <row r="124">
      <c r="B124" s="195">
        <f>IF(B34&gt;0,B64/B34,1E99)</f>
        <v/>
      </c>
      <c r="C124" s="195">
        <f>IF(C34&gt;0,C64/C34,1E99)</f>
        <v/>
      </c>
      <c r="D124" s="195">
        <f>IF(D34&gt;0,D64/D34,1E99)</f>
        <v/>
      </c>
      <c r="E124" s="195">
        <f>IF(E34&gt;0,E64/E34,1E99)</f>
        <v/>
      </c>
      <c r="F124" s="195">
        <f>IF(F34&gt;0,F64/F34,1E99)</f>
        <v/>
      </c>
      <c r="G124" s="195">
        <f>IF(G34&gt;0,G64/G34,1E99)</f>
        <v/>
      </c>
      <c r="H124" s="195">
        <f>IF(H34&gt;0,H64/H34,1E99)</f>
        <v/>
      </c>
      <c r="I124" s="195">
        <f>IF(I34&gt;0,I64/I34,1E99)</f>
        <v/>
      </c>
      <c r="J124" s="195">
        <f>IF(J34&gt;0,J64/J34,1E99)</f>
        <v/>
      </c>
      <c r="K124" s="195">
        <f>IF(K34&gt;0,K64/K34,1E99)</f>
        <v/>
      </c>
      <c r="L124" s="195">
        <f>IF(L34&gt;0,L64/L34,1E99)</f>
        <v/>
      </c>
      <c r="M124" s="195">
        <f>IF(M34&gt;0,M64/M34,1E99)</f>
        <v/>
      </c>
      <c r="N124" s="195">
        <f>IF(N34&gt;0,N64/N34,1E99)</f>
        <v/>
      </c>
      <c r="O124" s="195">
        <f>IF(O34&gt;0,O64/O34,1E99)</f>
        <v/>
      </c>
      <c r="P124" s="195">
        <f>IF(P34&gt;0,P64/P34,1E99)</f>
        <v/>
      </c>
      <c r="Q124" s="195">
        <f>IF(Q34&gt;0,Q64/Q34,1E99)</f>
        <v/>
      </c>
      <c r="R124" s="195">
        <f>IF(R34&gt;0,R64/R34,1E99)</f>
        <v/>
      </c>
      <c r="S124" s="195">
        <f>IF(S34&gt;0,S64/S34,1E99)</f>
        <v/>
      </c>
      <c r="T124" s="195">
        <f>IF(T34&gt;0,T64/T34,1E99)</f>
        <v/>
      </c>
      <c r="U124" s="195">
        <f>IF(U34&gt;0,U64/U34,1E99)</f>
        <v/>
      </c>
    </row>
    <row r="125">
      <c r="B125" s="195">
        <f>IF(B35&gt;0,B65/B35,1E99)</f>
        <v/>
      </c>
      <c r="C125" s="195">
        <f>IF(C35&gt;0,C65/C35,1E99)</f>
        <v/>
      </c>
      <c r="D125" s="195">
        <f>IF(D35&gt;0,D65/D35,1E99)</f>
        <v/>
      </c>
      <c r="E125" s="195">
        <f>IF(E35&gt;0,E65/E35,1E99)</f>
        <v/>
      </c>
      <c r="F125" s="195">
        <f>IF(F35&gt;0,F65/F35,1E99)</f>
        <v/>
      </c>
      <c r="G125" s="195">
        <f>IF(G35&gt;0,G65/G35,1E99)</f>
        <v/>
      </c>
      <c r="H125" s="195">
        <f>IF(H35&gt;0,H65/H35,1E99)</f>
        <v/>
      </c>
      <c r="I125" s="195">
        <f>IF(I35&gt;0,I65/I35,1E99)</f>
        <v/>
      </c>
      <c r="J125" s="195">
        <f>IF(J35&gt;0,J65/J35,1E99)</f>
        <v/>
      </c>
      <c r="K125" s="195">
        <f>IF(K35&gt;0,K65/K35,1E99)</f>
        <v/>
      </c>
      <c r="L125" s="195">
        <f>IF(L35&gt;0,L65/L35,1E99)</f>
        <v/>
      </c>
      <c r="M125" s="195">
        <f>IF(M35&gt;0,M65/M35,1E99)</f>
        <v/>
      </c>
      <c r="N125" s="195">
        <f>IF(N35&gt;0,N65/N35,1E99)</f>
        <v/>
      </c>
      <c r="O125" s="195">
        <f>IF(O35&gt;0,O65/O35,1E99)</f>
        <v/>
      </c>
      <c r="P125" s="195">
        <f>IF(P35&gt;0,P65/P35,1E99)</f>
        <v/>
      </c>
      <c r="Q125" s="195">
        <f>IF(Q35&gt;0,Q65/Q35,1E99)</f>
        <v/>
      </c>
      <c r="R125" s="195">
        <f>IF(R35&gt;0,R65/R35,1E99)</f>
        <v/>
      </c>
      <c r="S125" s="195">
        <f>IF(S35&gt;0,S65/S35,1E99)</f>
        <v/>
      </c>
      <c r="T125" s="195">
        <f>IF(T35&gt;0,T65/T35,1E99)</f>
        <v/>
      </c>
      <c r="U125" s="195">
        <f>IF(U35&gt;0,U65/U35,1E99)</f>
        <v/>
      </c>
    </row>
    <row r="126">
      <c r="B126" s="195">
        <f>IF(B36&gt;0,B66/B36,1E99)</f>
        <v/>
      </c>
      <c r="C126" s="195">
        <f>IF(C36&gt;0,C66/C36,1E99)</f>
        <v/>
      </c>
      <c r="D126" s="195">
        <f>IF(D36&gt;0,D66/D36,1E99)</f>
        <v/>
      </c>
      <c r="E126" s="195">
        <f>IF(E36&gt;0,E66/E36,1E99)</f>
        <v/>
      </c>
      <c r="F126" s="195">
        <f>IF(F36&gt;0,F66/F36,1E99)</f>
        <v/>
      </c>
      <c r="G126" s="195">
        <f>IF(G36&gt;0,G66/G36,1E99)</f>
        <v/>
      </c>
      <c r="H126" s="195">
        <f>IF(H36&gt;0,H66/H36,1E99)</f>
        <v/>
      </c>
      <c r="I126" s="195">
        <f>IF(I36&gt;0,I66/I36,1E99)</f>
        <v/>
      </c>
      <c r="J126" s="195">
        <f>IF(J36&gt;0,J66/J36,1E99)</f>
        <v/>
      </c>
      <c r="K126" s="195">
        <f>IF(K36&gt;0,K66/K36,1E99)</f>
        <v/>
      </c>
      <c r="L126" s="195">
        <f>IF(L36&gt;0,L66/L36,1E99)</f>
        <v/>
      </c>
      <c r="M126" s="195">
        <f>IF(M36&gt;0,M66/M36,1E99)</f>
        <v/>
      </c>
      <c r="N126" s="195">
        <f>IF(N36&gt;0,N66/N36,1E99)</f>
        <v/>
      </c>
      <c r="O126" s="195">
        <f>IF(O36&gt;0,O66/O36,1E99)</f>
        <v/>
      </c>
      <c r="P126" s="195">
        <f>IF(P36&gt;0,P66/P36,1E99)</f>
        <v/>
      </c>
      <c r="Q126" s="195">
        <f>IF(Q36&gt;0,Q66/Q36,1E99)</f>
        <v/>
      </c>
      <c r="R126" s="195">
        <f>IF(R36&gt;0,R66/R36,1E99)</f>
        <v/>
      </c>
      <c r="S126" s="195">
        <f>IF(S36&gt;0,S66/S36,1E99)</f>
        <v/>
      </c>
      <c r="T126" s="195">
        <f>IF(T36&gt;0,T66/T36,1E99)</f>
        <v/>
      </c>
      <c r="U126" s="195">
        <f>IF(U36&gt;0,U66/U36,1E99)</f>
        <v/>
      </c>
    </row>
    <row r="127">
      <c r="B127" s="195">
        <f>IF(B37&gt;0,B67/B37,1E99)</f>
        <v/>
      </c>
      <c r="C127" s="195">
        <f>IF(C37&gt;0,C67/C37,1E99)</f>
        <v/>
      </c>
      <c r="D127" s="195">
        <f>IF(D37&gt;0,D67/D37,1E99)</f>
        <v/>
      </c>
      <c r="E127" s="195">
        <f>IF(E37&gt;0,E67/E37,1E99)</f>
        <v/>
      </c>
      <c r="F127" s="195">
        <f>IF(F37&gt;0,F67/F37,1E99)</f>
        <v/>
      </c>
      <c r="G127" s="195">
        <f>IF(G37&gt;0,G67/G37,1E99)</f>
        <v/>
      </c>
      <c r="H127" s="195">
        <f>IF(H37&gt;0,H67/H37,1E99)</f>
        <v/>
      </c>
      <c r="I127" s="195">
        <f>IF(I37&gt;0,I67/I37,1E99)</f>
        <v/>
      </c>
      <c r="J127" s="195">
        <f>IF(J37&gt;0,J67/J37,1E99)</f>
        <v/>
      </c>
      <c r="K127" s="195">
        <f>IF(K37&gt;0,K67/K37,1E99)</f>
        <v/>
      </c>
      <c r="L127" s="195">
        <f>IF(L37&gt;0,L67/L37,1E99)</f>
        <v/>
      </c>
      <c r="M127" s="195">
        <f>IF(M37&gt;0,M67/M37,1E99)</f>
        <v/>
      </c>
      <c r="N127" s="195">
        <f>IF(N37&gt;0,N67/N37,1E99)</f>
        <v/>
      </c>
      <c r="O127" s="195">
        <f>IF(O37&gt;0,O67/O37,1E99)</f>
        <v/>
      </c>
      <c r="P127" s="195">
        <f>IF(P37&gt;0,P67/P37,1E99)</f>
        <v/>
      </c>
      <c r="Q127" s="195">
        <f>IF(Q37&gt;0,Q67/Q37,1E99)</f>
        <v/>
      </c>
      <c r="R127" s="195">
        <f>IF(R37&gt;0,R67/R37,1E99)</f>
        <v/>
      </c>
      <c r="S127" s="195">
        <f>IF(S37&gt;0,S67/S37,1E99)</f>
        <v/>
      </c>
      <c r="T127" s="195">
        <f>IF(T37&gt;0,T67/T37,1E99)</f>
        <v/>
      </c>
      <c r="U127" s="195">
        <f>IF(U37&gt;0,U67/U37,1E99)</f>
        <v/>
      </c>
    </row>
    <row r="128">
      <c r="B128" s="195">
        <f>IF(B38&gt;0,B68/B38,1E99)</f>
        <v/>
      </c>
      <c r="C128" s="195">
        <f>IF(C38&gt;0,C68/C38,1E99)</f>
        <v/>
      </c>
      <c r="D128" s="195">
        <f>IF(D38&gt;0,D68/D38,1E99)</f>
        <v/>
      </c>
      <c r="E128" s="195">
        <f>IF(E38&gt;0,E68/E38,1E99)</f>
        <v/>
      </c>
      <c r="F128" s="195">
        <f>IF(F38&gt;0,F68/F38,1E99)</f>
        <v/>
      </c>
      <c r="G128" s="195">
        <f>IF(G38&gt;0,G68/G38,1E99)</f>
        <v/>
      </c>
      <c r="H128" s="195">
        <f>IF(H38&gt;0,H68/H38,1E99)</f>
        <v/>
      </c>
      <c r="I128" s="195">
        <f>IF(I38&gt;0,I68/I38,1E99)</f>
        <v/>
      </c>
      <c r="J128" s="195">
        <f>IF(J38&gt;0,J68/J38,1E99)</f>
        <v/>
      </c>
      <c r="K128" s="195">
        <f>IF(K38&gt;0,K68/K38,1E99)</f>
        <v/>
      </c>
      <c r="L128" s="195">
        <f>IF(L38&gt;0,L68/L38,1E99)</f>
        <v/>
      </c>
      <c r="M128" s="195">
        <f>IF(M38&gt;0,M68/M38,1E99)</f>
        <v/>
      </c>
      <c r="N128" s="195">
        <f>IF(N38&gt;0,N68/N38,1E99)</f>
        <v/>
      </c>
      <c r="O128" s="195">
        <f>IF(O38&gt;0,O68/O38,1E99)</f>
        <v/>
      </c>
      <c r="P128" s="195">
        <f>IF(P38&gt;0,P68/P38,1E99)</f>
        <v/>
      </c>
      <c r="Q128" s="195">
        <f>IF(Q38&gt;0,Q68/Q38,1E99)</f>
        <v/>
      </c>
      <c r="R128" s="195">
        <f>IF(R38&gt;0,R68/R38,1E99)</f>
        <v/>
      </c>
      <c r="S128" s="195">
        <f>IF(S38&gt;0,S68/S38,1E99)</f>
        <v/>
      </c>
      <c r="T128" s="195">
        <f>IF(T38&gt;0,T68/T38,1E99)</f>
        <v/>
      </c>
      <c r="U128" s="195">
        <f>IF(U38&gt;0,U68/U38,1E99)</f>
        <v/>
      </c>
    </row>
    <row r="129">
      <c r="B129" s="195">
        <f>IF(B39&gt;0,B69/B39,1E99)</f>
        <v/>
      </c>
      <c r="C129" s="195">
        <f>IF(C39&gt;0,C69/C39,1E99)</f>
        <v/>
      </c>
      <c r="D129" s="195">
        <f>IF(D39&gt;0,D69/D39,1E99)</f>
        <v/>
      </c>
      <c r="E129" s="195">
        <f>IF(E39&gt;0,E69/E39,1E99)</f>
        <v/>
      </c>
      <c r="F129" s="195">
        <f>IF(F39&gt;0,F69/F39,1E99)</f>
        <v/>
      </c>
      <c r="G129" s="195">
        <f>IF(G39&gt;0,G69/G39,1E99)</f>
        <v/>
      </c>
      <c r="H129" s="195">
        <f>IF(H39&gt;0,H69/H39,1E99)</f>
        <v/>
      </c>
      <c r="I129" s="195">
        <f>IF(I39&gt;0,I69/I39,1E99)</f>
        <v/>
      </c>
      <c r="J129" s="195">
        <f>IF(J39&gt;0,J69/J39,1E99)</f>
        <v/>
      </c>
      <c r="K129" s="195">
        <f>IF(K39&gt;0,K69/K39,1E99)</f>
        <v/>
      </c>
      <c r="L129" s="195">
        <f>IF(L39&gt;0,L69/L39,1E99)</f>
        <v/>
      </c>
      <c r="M129" s="195">
        <f>IF(M39&gt;0,M69/M39,1E99)</f>
        <v/>
      </c>
      <c r="N129" s="195">
        <f>IF(N39&gt;0,N69/N39,1E99)</f>
        <v/>
      </c>
      <c r="O129" s="195">
        <f>IF(O39&gt;0,O69/O39,1E99)</f>
        <v/>
      </c>
      <c r="P129" s="195">
        <f>IF(P39&gt;0,P69/P39,1E99)</f>
        <v/>
      </c>
      <c r="Q129" s="195">
        <f>IF(Q39&gt;0,Q69/Q39,1E99)</f>
        <v/>
      </c>
      <c r="R129" s="195">
        <f>IF(R39&gt;0,R69/R39,1E99)</f>
        <v/>
      </c>
      <c r="S129" s="195">
        <f>IF(S39&gt;0,S69/S39,1E99)</f>
        <v/>
      </c>
      <c r="T129" s="195">
        <f>IF(T39&gt;0,T69/T39,1E99)</f>
        <v/>
      </c>
      <c r="U129" s="195">
        <f>IF(U39&gt;0,U69/U39,1E99)</f>
        <v/>
      </c>
    </row>
    <row r="130">
      <c r="B130" s="195">
        <f>IF(B40&gt;0,B70/B40,1E99)</f>
        <v/>
      </c>
      <c r="C130" s="195">
        <f>IF(C40&gt;0,C70/C40,1E99)</f>
        <v/>
      </c>
      <c r="D130" s="195">
        <f>IF(D40&gt;0,D70/D40,1E99)</f>
        <v/>
      </c>
      <c r="E130" s="195">
        <f>IF(E40&gt;0,E70/E40,1E99)</f>
        <v/>
      </c>
      <c r="F130" s="195">
        <f>IF(F40&gt;0,F70/F40,1E99)</f>
        <v/>
      </c>
      <c r="G130" s="195">
        <f>IF(G40&gt;0,G70/G40,1E99)</f>
        <v/>
      </c>
      <c r="H130" s="195">
        <f>IF(H40&gt;0,H70/H40,1E99)</f>
        <v/>
      </c>
      <c r="I130" s="195">
        <f>IF(I40&gt;0,I70/I40,1E99)</f>
        <v/>
      </c>
      <c r="J130" s="195">
        <f>IF(J40&gt;0,J70/J40,1E99)</f>
        <v/>
      </c>
      <c r="K130" s="195">
        <f>IF(K40&gt;0,K70/K40,1E99)</f>
        <v/>
      </c>
      <c r="L130" s="195">
        <f>IF(L40&gt;0,L70/L40,1E99)</f>
        <v/>
      </c>
      <c r="M130" s="195">
        <f>IF(M40&gt;0,M70/M40,1E99)</f>
        <v/>
      </c>
      <c r="N130" s="195">
        <f>IF(N40&gt;0,N70/N40,1E99)</f>
        <v/>
      </c>
      <c r="O130" s="195">
        <f>IF(O40&gt;0,O70/O40,1E99)</f>
        <v/>
      </c>
      <c r="P130" s="195">
        <f>IF(P40&gt;0,P70/P40,1E99)</f>
        <v/>
      </c>
      <c r="Q130" s="195">
        <f>IF(Q40&gt;0,Q70/Q40,1E99)</f>
        <v/>
      </c>
      <c r="R130" s="195">
        <f>IF(R40&gt;0,R70/R40,1E99)</f>
        <v/>
      </c>
      <c r="S130" s="195">
        <f>IF(S40&gt;0,S70/S40,1E99)</f>
        <v/>
      </c>
      <c r="T130" s="195">
        <f>IF(T40&gt;0,T70/T40,1E99)</f>
        <v/>
      </c>
      <c r="U130" s="195">
        <f>IF(U40&gt;0,U70/U40,1E99)</f>
        <v/>
      </c>
    </row>
    <row r="131">
      <c r="B131" s="195">
        <f>IF(B41&gt;0,B71/B41,1E99)</f>
        <v/>
      </c>
      <c r="C131" s="195">
        <f>IF(C41&gt;0,C71/C41,1E99)</f>
        <v/>
      </c>
      <c r="D131" s="195">
        <f>IF(D41&gt;0,D71/D41,1E99)</f>
        <v/>
      </c>
      <c r="E131" s="195">
        <f>IF(E41&gt;0,E71/E41,1E99)</f>
        <v/>
      </c>
      <c r="F131" s="195">
        <f>IF(F41&gt;0,F71/F41,1E99)</f>
        <v/>
      </c>
      <c r="G131" s="195">
        <f>IF(G41&gt;0,G71/G41,1E99)</f>
        <v/>
      </c>
      <c r="H131" s="195">
        <f>IF(H41&gt;0,H71/H41,1E99)</f>
        <v/>
      </c>
      <c r="I131" s="195">
        <f>IF(I41&gt;0,I71/I41,1E99)</f>
        <v/>
      </c>
      <c r="J131" s="195">
        <f>IF(J41&gt;0,J71/J41,1E99)</f>
        <v/>
      </c>
      <c r="K131" s="195">
        <f>IF(K41&gt;0,K71/K41,1E99)</f>
        <v/>
      </c>
      <c r="L131" s="195">
        <f>IF(L41&gt;0,L71/L41,1E99)</f>
        <v/>
      </c>
      <c r="M131" s="195">
        <f>IF(M41&gt;0,M71/M41,1E99)</f>
        <v/>
      </c>
      <c r="N131" s="195">
        <f>IF(N41&gt;0,N71/N41,1E99)</f>
        <v/>
      </c>
      <c r="O131" s="195">
        <f>IF(O41&gt;0,O71/O41,1E99)</f>
        <v/>
      </c>
      <c r="P131" s="195">
        <f>IF(P41&gt;0,P71/P41,1E99)</f>
        <v/>
      </c>
      <c r="Q131" s="195">
        <f>IF(Q41&gt;0,Q71/Q41,1E99)</f>
        <v/>
      </c>
      <c r="R131" s="195">
        <f>IF(R41&gt;0,R71/R41,1E99)</f>
        <v/>
      </c>
      <c r="S131" s="195">
        <f>IF(S41&gt;0,S71/S41,1E99)</f>
        <v/>
      </c>
      <c r="T131" s="195">
        <f>IF(T41&gt;0,T71/T41,1E99)</f>
        <v/>
      </c>
      <c r="U131" s="195">
        <f>IF(U41&gt;0,U71/U41,1E99)</f>
        <v/>
      </c>
    </row>
    <row r="132">
      <c r="B132" s="195">
        <f>IF(B42&gt;0,B72/B42,1E99)</f>
        <v/>
      </c>
      <c r="C132" s="195">
        <f>IF(C42&gt;0,C72/C42,1E99)</f>
        <v/>
      </c>
      <c r="D132" s="195">
        <f>IF(D42&gt;0,D72/D42,1E99)</f>
        <v/>
      </c>
      <c r="E132" s="195">
        <f>IF(E42&gt;0,E72/E42,1E99)</f>
        <v/>
      </c>
      <c r="F132" s="195">
        <f>IF(F42&gt;0,F72/F42,1E99)</f>
        <v/>
      </c>
      <c r="G132" s="195">
        <f>IF(G42&gt;0,G72/G42,1E99)</f>
        <v/>
      </c>
      <c r="H132" s="195">
        <f>IF(H42&gt;0,H72/H42,1E99)</f>
        <v/>
      </c>
      <c r="I132" s="195">
        <f>IF(I42&gt;0,I72/I42,1E99)</f>
        <v/>
      </c>
      <c r="J132" s="195">
        <f>IF(J42&gt;0,J72/J42,1E99)</f>
        <v/>
      </c>
      <c r="K132" s="195">
        <f>IF(K42&gt;0,K72/K42,1E99)</f>
        <v/>
      </c>
      <c r="L132" s="195">
        <f>IF(L42&gt;0,L72/L42,1E99)</f>
        <v/>
      </c>
      <c r="M132" s="195">
        <f>IF(M42&gt;0,M72/M42,1E99)</f>
        <v/>
      </c>
      <c r="N132" s="195">
        <f>IF(N42&gt;0,N72/N42,1E99)</f>
        <v/>
      </c>
      <c r="O132" s="195">
        <f>IF(O42&gt;0,O72/O42,1E99)</f>
        <v/>
      </c>
      <c r="P132" s="195">
        <f>IF(P42&gt;0,P72/P42,1E99)</f>
        <v/>
      </c>
      <c r="Q132" s="195">
        <f>IF(Q42&gt;0,Q72/Q42,1E99)</f>
        <v/>
      </c>
      <c r="R132" s="195">
        <f>IF(R42&gt;0,R72/R42,1E99)</f>
        <v/>
      </c>
      <c r="S132" s="195">
        <f>IF(S42&gt;0,S72/S42,1E99)</f>
        <v/>
      </c>
      <c r="T132" s="195">
        <f>IF(T42&gt;0,T72/T42,1E99)</f>
        <v/>
      </c>
      <c r="U132" s="195">
        <f>IF(U42&gt;0,U72/U42,1E99)</f>
        <v/>
      </c>
    </row>
    <row r="133">
      <c r="B133" s="195">
        <f>IF(B43&gt;0,B73/B43,1E99)</f>
        <v/>
      </c>
      <c r="C133" s="195">
        <f>IF(C43&gt;0,C73/C43,1E99)</f>
        <v/>
      </c>
      <c r="D133" s="195">
        <f>IF(D43&gt;0,D73/D43,1E99)</f>
        <v/>
      </c>
      <c r="E133" s="195">
        <f>IF(E43&gt;0,E73/E43,1E99)</f>
        <v/>
      </c>
      <c r="F133" s="195">
        <f>IF(F43&gt;0,F73/F43,1E99)</f>
        <v/>
      </c>
      <c r="G133" s="195">
        <f>IF(G43&gt;0,G73/G43,1E99)</f>
        <v/>
      </c>
      <c r="H133" s="195">
        <f>IF(H43&gt;0,H73/H43,1E99)</f>
        <v/>
      </c>
      <c r="I133" s="195">
        <f>IF(I43&gt;0,I73/I43,1E99)</f>
        <v/>
      </c>
      <c r="J133" s="195">
        <f>IF(J43&gt;0,J73/J43,1E99)</f>
        <v/>
      </c>
      <c r="K133" s="195">
        <f>IF(K43&gt;0,K73/K43,1E99)</f>
        <v/>
      </c>
      <c r="L133" s="195">
        <f>IF(L43&gt;0,L73/L43,1E99)</f>
        <v/>
      </c>
      <c r="M133" s="195">
        <f>IF(M43&gt;0,M73/M43,1E99)</f>
        <v/>
      </c>
      <c r="N133" s="195">
        <f>IF(N43&gt;0,N73/N43,1E99)</f>
        <v/>
      </c>
      <c r="O133" s="195">
        <f>IF(O43&gt;0,O73/O43,1E99)</f>
        <v/>
      </c>
      <c r="P133" s="195">
        <f>IF(P43&gt;0,P73/P43,1E99)</f>
        <v/>
      </c>
      <c r="Q133" s="195">
        <f>IF(Q43&gt;0,Q73/Q43,1E99)</f>
        <v/>
      </c>
      <c r="R133" s="195">
        <f>IF(R43&gt;0,R73/R43,1E99)</f>
        <v/>
      </c>
      <c r="S133" s="195">
        <f>IF(S43&gt;0,S73/S43,1E99)</f>
        <v/>
      </c>
      <c r="T133" s="195">
        <f>IF(T43&gt;0,T73/T43,1E99)</f>
        <v/>
      </c>
      <c r="U133" s="195">
        <f>IF(U43&gt;0,U73/U43,1E99)</f>
        <v/>
      </c>
    </row>
    <row r="134">
      <c r="B134" s="195">
        <f>IF(B44&gt;0,B74/B44,1E99)</f>
        <v/>
      </c>
      <c r="C134" s="195">
        <f>IF(C44&gt;0,C74/C44,1E99)</f>
        <v/>
      </c>
      <c r="D134" s="195">
        <f>IF(D44&gt;0,D74/D44,1E99)</f>
        <v/>
      </c>
      <c r="E134" s="195">
        <f>IF(E44&gt;0,E74/E44,1E99)</f>
        <v/>
      </c>
      <c r="F134" s="195">
        <f>IF(F44&gt;0,F74/F44,1E99)</f>
        <v/>
      </c>
      <c r="G134" s="195">
        <f>IF(G44&gt;0,G74/G44,1E99)</f>
        <v/>
      </c>
      <c r="H134" s="195">
        <f>IF(H44&gt;0,H74/H44,1E99)</f>
        <v/>
      </c>
      <c r="I134" s="195">
        <f>IF(I44&gt;0,I74/I44,1E99)</f>
        <v/>
      </c>
      <c r="J134" s="195">
        <f>IF(J44&gt;0,J74/J44,1E99)</f>
        <v/>
      </c>
      <c r="K134" s="195">
        <f>IF(K44&gt;0,K74/K44,1E99)</f>
        <v/>
      </c>
      <c r="L134" s="195">
        <f>IF(L44&gt;0,L74/L44,1E99)</f>
        <v/>
      </c>
      <c r="M134" s="195">
        <f>IF(M44&gt;0,M74/M44,1E99)</f>
        <v/>
      </c>
      <c r="N134" s="195">
        <f>IF(N44&gt;0,N74/N44,1E99)</f>
        <v/>
      </c>
      <c r="O134" s="195">
        <f>IF(O44&gt;0,O74/O44,1E99)</f>
        <v/>
      </c>
      <c r="P134" s="195">
        <f>IF(P44&gt;0,P74/P44,1E99)</f>
        <v/>
      </c>
      <c r="Q134" s="195">
        <f>IF(Q44&gt;0,Q74/Q44,1E99)</f>
        <v/>
      </c>
      <c r="R134" s="195">
        <f>IF(R44&gt;0,R74/R44,1E99)</f>
        <v/>
      </c>
      <c r="S134" s="195">
        <f>IF(S44&gt;0,S74/S44,1E99)</f>
        <v/>
      </c>
      <c r="T134" s="195">
        <f>IF(T44&gt;0,T74/T44,1E99)</f>
        <v/>
      </c>
      <c r="U134" s="195">
        <f>IF(U44&gt;0,U74/U44,1E99)</f>
        <v/>
      </c>
    </row>
    <row r="135">
      <c r="B135" s="195">
        <f>IF(B45&gt;0,B75/B45,1E99)</f>
        <v/>
      </c>
      <c r="C135" s="195">
        <f>IF(C45&gt;0,C75/C45,1E99)</f>
        <v/>
      </c>
      <c r="D135" s="195">
        <f>IF(D45&gt;0,D75/D45,1E99)</f>
        <v/>
      </c>
      <c r="E135" s="195">
        <f>IF(E45&gt;0,E75/E45,1E99)</f>
        <v/>
      </c>
      <c r="F135" s="195">
        <f>IF(F45&gt;0,F75/F45,1E99)</f>
        <v/>
      </c>
      <c r="G135" s="195">
        <f>IF(G45&gt;0,G75/G45,1E99)</f>
        <v/>
      </c>
      <c r="H135" s="195">
        <f>IF(H45&gt;0,H75/H45,1E99)</f>
        <v/>
      </c>
      <c r="I135" s="195">
        <f>IF(I45&gt;0,I75/I45,1E99)</f>
        <v/>
      </c>
      <c r="J135" s="195">
        <f>IF(J45&gt;0,J75/J45,1E99)</f>
        <v/>
      </c>
      <c r="K135" s="195">
        <f>IF(K45&gt;0,K75/K45,1E99)</f>
        <v/>
      </c>
      <c r="L135" s="195">
        <f>IF(L45&gt;0,L75/L45,1E99)</f>
        <v/>
      </c>
      <c r="M135" s="195">
        <f>IF(M45&gt;0,M75/M45,1E99)</f>
        <v/>
      </c>
      <c r="N135" s="195">
        <f>IF(N45&gt;0,N75/N45,1E99)</f>
        <v/>
      </c>
      <c r="O135" s="195">
        <f>IF(O45&gt;0,O75/O45,1E99)</f>
        <v/>
      </c>
      <c r="P135" s="195">
        <f>IF(P45&gt;0,P75/P45,1E99)</f>
        <v/>
      </c>
      <c r="Q135" s="195">
        <f>IF(Q45&gt;0,Q75/Q45,1E99)</f>
        <v/>
      </c>
      <c r="R135" s="195">
        <f>IF(R45&gt;0,R75/R45,1E99)</f>
        <v/>
      </c>
      <c r="S135" s="195">
        <f>IF(S45&gt;0,S75/S45,1E99)</f>
        <v/>
      </c>
      <c r="T135" s="195">
        <f>IF(T45&gt;0,T75/T45,1E99)</f>
        <v/>
      </c>
      <c r="U135" s="195">
        <f>IF(U45&gt;0,U75/U45,1E99)</f>
        <v/>
      </c>
    </row>
    <row r="136">
      <c r="B136" s="195">
        <f>IF(B46&gt;0,B76/B46,1E99)</f>
        <v/>
      </c>
      <c r="C136" s="195">
        <f>IF(C46&gt;0,C76/C46,1E99)</f>
        <v/>
      </c>
      <c r="D136" s="195">
        <f>IF(D46&gt;0,D76/D46,1E99)</f>
        <v/>
      </c>
      <c r="E136" s="195">
        <f>IF(E46&gt;0,E76/E46,1E99)</f>
        <v/>
      </c>
      <c r="F136" s="195">
        <f>IF(F46&gt;0,F76/F46,1E99)</f>
        <v/>
      </c>
      <c r="G136" s="195">
        <f>IF(G46&gt;0,G76/G46,1E99)</f>
        <v/>
      </c>
      <c r="H136" s="195">
        <f>IF(H46&gt;0,H76/H46,1E99)</f>
        <v/>
      </c>
      <c r="I136" s="195">
        <f>IF(I46&gt;0,I76/I46,1E99)</f>
        <v/>
      </c>
      <c r="J136" s="195">
        <f>IF(J46&gt;0,J76/J46,1E99)</f>
        <v/>
      </c>
      <c r="K136" s="195">
        <f>IF(K46&gt;0,K76/K46,1E99)</f>
        <v/>
      </c>
      <c r="L136" s="195">
        <f>IF(L46&gt;0,L76/L46,1E99)</f>
        <v/>
      </c>
      <c r="M136" s="195">
        <f>IF(M46&gt;0,M76/M46,1E99)</f>
        <v/>
      </c>
      <c r="N136" s="195">
        <f>IF(N46&gt;0,N76/N46,1E99)</f>
        <v/>
      </c>
      <c r="O136" s="195">
        <f>IF(O46&gt;0,O76/O46,1E99)</f>
        <v/>
      </c>
      <c r="P136" s="195">
        <f>IF(P46&gt;0,P76/P46,1E99)</f>
        <v/>
      </c>
      <c r="Q136" s="195">
        <f>IF(Q46&gt;0,Q76/Q46,1E99)</f>
        <v/>
      </c>
      <c r="R136" s="195">
        <f>IF(R46&gt;0,R76/R46,1E99)</f>
        <v/>
      </c>
      <c r="S136" s="195">
        <f>IF(S46&gt;0,S76/S46,1E99)</f>
        <v/>
      </c>
      <c r="T136" s="195">
        <f>IF(T46&gt;0,T76/T46,1E99)</f>
        <v/>
      </c>
      <c r="U136" s="195">
        <f>IF(U46&gt;0,U76/U46,1E99)</f>
        <v/>
      </c>
    </row>
    <row r="137">
      <c r="B137" s="195">
        <f>IF(B47&gt;0,B77/B47,1E99)</f>
        <v/>
      </c>
      <c r="C137" s="195">
        <f>IF(C47&gt;0,C77/C47,1E99)</f>
        <v/>
      </c>
      <c r="D137" s="195">
        <f>IF(D47&gt;0,D77/D47,1E99)</f>
        <v/>
      </c>
      <c r="E137" s="195">
        <f>IF(E47&gt;0,E77/E47,1E99)</f>
        <v/>
      </c>
      <c r="F137" s="195">
        <f>IF(F47&gt;0,F77/F47,1E99)</f>
        <v/>
      </c>
      <c r="G137" s="195">
        <f>IF(G47&gt;0,G77/G47,1E99)</f>
        <v/>
      </c>
      <c r="H137" s="195">
        <f>IF(H47&gt;0,H77/H47,1E99)</f>
        <v/>
      </c>
      <c r="I137" s="195">
        <f>IF(I47&gt;0,I77/I47,1E99)</f>
        <v/>
      </c>
      <c r="J137" s="195">
        <f>IF(J47&gt;0,J77/J47,1E99)</f>
        <v/>
      </c>
      <c r="K137" s="195">
        <f>IF(K47&gt;0,K77/K47,1E99)</f>
        <v/>
      </c>
      <c r="L137" s="195">
        <f>IF(L47&gt;0,L77/L47,1E99)</f>
        <v/>
      </c>
      <c r="M137" s="195">
        <f>IF(M47&gt;0,M77/M47,1E99)</f>
        <v/>
      </c>
      <c r="N137" s="195">
        <f>IF(N47&gt;0,N77/N47,1E99)</f>
        <v/>
      </c>
      <c r="O137" s="195">
        <f>IF(O47&gt;0,O77/O47,1E99)</f>
        <v/>
      </c>
      <c r="P137" s="195">
        <f>IF(P47&gt;0,P77/P47,1E99)</f>
        <v/>
      </c>
      <c r="Q137" s="195">
        <f>IF(Q47&gt;0,Q77/Q47,1E99)</f>
        <v/>
      </c>
      <c r="R137" s="195">
        <f>IF(R47&gt;0,R77/R47,1E99)</f>
        <v/>
      </c>
      <c r="S137" s="195">
        <f>IF(S47&gt;0,S77/S47,1E99)</f>
        <v/>
      </c>
      <c r="T137" s="195">
        <f>IF(T47&gt;0,T77/T47,1E99)</f>
        <v/>
      </c>
      <c r="U137" s="195">
        <f>IF(U47&gt;0,U77/U47,1E99)</f>
        <v/>
      </c>
    </row>
    <row r="138">
      <c r="B138" s="195">
        <f>IF(B48&gt;0,B78/B48,1E99)</f>
        <v/>
      </c>
      <c r="C138" s="195">
        <f>IF(C48&gt;0,C78/C48,1E99)</f>
        <v/>
      </c>
      <c r="D138" s="195">
        <f>IF(D48&gt;0,D78/D48,1E99)</f>
        <v/>
      </c>
      <c r="E138" s="195">
        <f>IF(E48&gt;0,E78/E48,1E99)</f>
        <v/>
      </c>
      <c r="F138" s="195">
        <f>IF(F48&gt;0,F78/F48,1E99)</f>
        <v/>
      </c>
      <c r="G138" s="195">
        <f>IF(G48&gt;0,G78/G48,1E99)</f>
        <v/>
      </c>
      <c r="H138" s="195">
        <f>IF(H48&gt;0,H78/H48,1E99)</f>
        <v/>
      </c>
      <c r="I138" s="195">
        <f>IF(I48&gt;0,I78/I48,1E99)</f>
        <v/>
      </c>
      <c r="J138" s="195">
        <f>IF(J48&gt;0,J78/J48,1E99)</f>
        <v/>
      </c>
      <c r="K138" s="195">
        <f>IF(K48&gt;0,K78/K48,1E99)</f>
        <v/>
      </c>
      <c r="L138" s="195">
        <f>IF(L48&gt;0,L78/L48,1E99)</f>
        <v/>
      </c>
      <c r="M138" s="195">
        <f>IF(M48&gt;0,M78/M48,1E99)</f>
        <v/>
      </c>
      <c r="N138" s="195">
        <f>IF(N48&gt;0,N78/N48,1E99)</f>
        <v/>
      </c>
      <c r="O138" s="195">
        <f>IF(O48&gt;0,O78/O48,1E99)</f>
        <v/>
      </c>
      <c r="P138" s="195">
        <f>IF(P48&gt;0,P78/P48,1E99)</f>
        <v/>
      </c>
      <c r="Q138" s="195">
        <f>IF(Q48&gt;0,Q78/Q48,1E99)</f>
        <v/>
      </c>
      <c r="R138" s="195">
        <f>IF(R48&gt;0,R78/R48,1E99)</f>
        <v/>
      </c>
      <c r="S138" s="195">
        <f>IF(S48&gt;0,S78/S48,1E99)</f>
        <v/>
      </c>
      <c r="T138" s="195">
        <f>IF(T48&gt;0,T78/T48,1E99)</f>
        <v/>
      </c>
      <c r="U138" s="195">
        <f>IF(U48&gt;0,U78/U48,1E99)</f>
        <v/>
      </c>
    </row>
    <row r="139"/>
    <row r="140"/>
    <row r="141"/>
    <row r="142"/>
    <row r="143"/>
    <row r="144">
      <c r="B144" s="195">
        <f>B24*B$22</f>
        <v/>
      </c>
      <c r="C144" s="195">
        <f>C24*C$22</f>
        <v/>
      </c>
      <c r="D144" s="195">
        <f>D24*D$22</f>
        <v/>
      </c>
      <c r="E144" s="195">
        <f>E24*E$22</f>
        <v/>
      </c>
      <c r="F144" s="195">
        <f>F24*F$22</f>
        <v/>
      </c>
      <c r="G144" s="195">
        <f>G24*G$22</f>
        <v/>
      </c>
      <c r="H144" s="195">
        <f>H24*H$22</f>
        <v/>
      </c>
      <c r="I144" s="195">
        <f>I24*I$22</f>
        <v/>
      </c>
      <c r="J144" s="195">
        <f>J24*J$22</f>
        <v/>
      </c>
      <c r="K144" s="195">
        <f>K24*K$22</f>
        <v/>
      </c>
      <c r="L144" s="195">
        <f>L24*L$22</f>
        <v/>
      </c>
      <c r="M144" s="195">
        <f>M24*M$22</f>
        <v/>
      </c>
      <c r="N144" s="195">
        <f>N24*N$22</f>
        <v/>
      </c>
      <c r="O144" s="195">
        <f>O24*O$22</f>
        <v/>
      </c>
      <c r="P144" s="195">
        <f>P24*P$22</f>
        <v/>
      </c>
      <c r="Q144" s="195">
        <f>Q24*Q$22</f>
        <v/>
      </c>
      <c r="R144" s="195">
        <f>R24*R$22</f>
        <v/>
      </c>
      <c r="S144" s="195">
        <f>S24*S$22</f>
        <v/>
      </c>
      <c r="T144" s="195">
        <f>T24*T$22</f>
        <v/>
      </c>
      <c r="U144" s="195">
        <f>U24*U$22</f>
        <v/>
      </c>
    </row>
    <row r="145">
      <c r="B145" s="195">
        <f>B25*B$22</f>
        <v/>
      </c>
      <c r="C145" s="195">
        <f>C25*C$22</f>
        <v/>
      </c>
      <c r="D145" s="195">
        <f>D25*D$22</f>
        <v/>
      </c>
      <c r="E145" s="195">
        <f>E25*E$22</f>
        <v/>
      </c>
      <c r="F145" s="195">
        <f>F25*F$22</f>
        <v/>
      </c>
      <c r="G145" s="195">
        <f>G25*G$22</f>
        <v/>
      </c>
      <c r="H145" s="195">
        <f>H25*H$22</f>
        <v/>
      </c>
      <c r="I145" s="195">
        <f>I25*I$22</f>
        <v/>
      </c>
      <c r="J145" s="195">
        <f>J25*J$22</f>
        <v/>
      </c>
      <c r="K145" s="195">
        <f>K25*K$22</f>
        <v/>
      </c>
      <c r="L145" s="195">
        <f>L25*L$22</f>
        <v/>
      </c>
      <c r="M145" s="195">
        <f>M25*M$22</f>
        <v/>
      </c>
      <c r="N145" s="195">
        <f>N25*N$22</f>
        <v/>
      </c>
      <c r="O145" s="195">
        <f>O25*O$22</f>
        <v/>
      </c>
      <c r="P145" s="195">
        <f>P25*P$22</f>
        <v/>
      </c>
      <c r="Q145" s="195">
        <f>Q25*Q$22</f>
        <v/>
      </c>
      <c r="R145" s="195">
        <f>R25*R$22</f>
        <v/>
      </c>
      <c r="S145" s="195">
        <f>S25*S$22</f>
        <v/>
      </c>
      <c r="T145" s="195">
        <f>T25*T$22</f>
        <v/>
      </c>
      <c r="U145" s="195">
        <f>U25*U$22</f>
        <v/>
      </c>
    </row>
    <row r="146">
      <c r="B146" s="195">
        <f>B26*B$22</f>
        <v/>
      </c>
      <c r="C146" s="195">
        <f>C26*C$22</f>
        <v/>
      </c>
      <c r="D146" s="195">
        <f>D26*D$22</f>
        <v/>
      </c>
      <c r="E146" s="195">
        <f>E26*E$22</f>
        <v/>
      </c>
      <c r="F146" s="195">
        <f>F26*F$22</f>
        <v/>
      </c>
      <c r="G146" s="195">
        <f>G26*G$22</f>
        <v/>
      </c>
      <c r="H146" s="195">
        <f>H26*H$22</f>
        <v/>
      </c>
      <c r="I146" s="195">
        <f>I26*I$22</f>
        <v/>
      </c>
      <c r="J146" s="195">
        <f>J26*J$22</f>
        <v/>
      </c>
      <c r="K146" s="195">
        <f>K26*K$22</f>
        <v/>
      </c>
      <c r="L146" s="195">
        <f>L26*L$22</f>
        <v/>
      </c>
      <c r="M146" s="195">
        <f>M26*M$22</f>
        <v/>
      </c>
      <c r="N146" s="195">
        <f>N26*N$22</f>
        <v/>
      </c>
      <c r="O146" s="195">
        <f>O26*O$22</f>
        <v/>
      </c>
      <c r="P146" s="195">
        <f>P26*P$22</f>
        <v/>
      </c>
      <c r="Q146" s="195">
        <f>Q26*Q$22</f>
        <v/>
      </c>
      <c r="R146" s="195">
        <f>R26*R$22</f>
        <v/>
      </c>
      <c r="S146" s="195">
        <f>S26*S$22</f>
        <v/>
      </c>
      <c r="T146" s="195">
        <f>T26*T$22</f>
        <v/>
      </c>
      <c r="U146" s="195">
        <f>U26*U$22</f>
        <v/>
      </c>
    </row>
    <row r="147">
      <c r="B147" s="195">
        <f>B27*B$22</f>
        <v/>
      </c>
      <c r="C147" s="195">
        <f>C27*C$22</f>
        <v/>
      </c>
      <c r="D147" s="195">
        <f>D27*D$22</f>
        <v/>
      </c>
      <c r="E147" s="195">
        <f>E27*E$22</f>
        <v/>
      </c>
      <c r="F147" s="195">
        <f>F27*F$22</f>
        <v/>
      </c>
      <c r="G147" s="195">
        <f>G27*G$22</f>
        <v/>
      </c>
      <c r="H147" s="195">
        <f>H27*H$22</f>
        <v/>
      </c>
      <c r="I147" s="195">
        <f>I27*I$22</f>
        <v/>
      </c>
      <c r="J147" s="195">
        <f>J27*J$22</f>
        <v/>
      </c>
      <c r="K147" s="195">
        <f>K27*K$22</f>
        <v/>
      </c>
      <c r="L147" s="195">
        <f>L27*L$22</f>
        <v/>
      </c>
      <c r="M147" s="195">
        <f>M27*M$22</f>
        <v/>
      </c>
      <c r="N147" s="195">
        <f>N27*N$22</f>
        <v/>
      </c>
      <c r="O147" s="195">
        <f>O27*O$22</f>
        <v/>
      </c>
      <c r="P147" s="195">
        <f>P27*P$22</f>
        <v/>
      </c>
      <c r="Q147" s="195">
        <f>Q27*Q$22</f>
        <v/>
      </c>
      <c r="R147" s="195">
        <f>R27*R$22</f>
        <v/>
      </c>
      <c r="S147" s="195">
        <f>S27*S$22</f>
        <v/>
      </c>
      <c r="T147" s="195">
        <f>T27*T$22</f>
        <v/>
      </c>
      <c r="U147" s="195">
        <f>U27*U$22</f>
        <v/>
      </c>
    </row>
    <row r="148">
      <c r="B148" s="195">
        <f>B28*B$22</f>
        <v/>
      </c>
      <c r="C148" s="195">
        <f>C28*C$22</f>
        <v/>
      </c>
      <c r="D148" s="195">
        <f>D28*D$22</f>
        <v/>
      </c>
      <c r="E148" s="195">
        <f>E28*E$22</f>
        <v/>
      </c>
      <c r="F148" s="195">
        <f>F28*F$22</f>
        <v/>
      </c>
      <c r="G148" s="195">
        <f>G28*G$22</f>
        <v/>
      </c>
      <c r="H148" s="195">
        <f>H28*H$22</f>
        <v/>
      </c>
      <c r="I148" s="195">
        <f>I28*I$22</f>
        <v/>
      </c>
      <c r="J148" s="195">
        <f>J28*J$22</f>
        <v/>
      </c>
      <c r="K148" s="195">
        <f>K28*K$22</f>
        <v/>
      </c>
      <c r="L148" s="195">
        <f>L28*L$22</f>
        <v/>
      </c>
      <c r="M148" s="195">
        <f>M28*M$22</f>
        <v/>
      </c>
      <c r="N148" s="195">
        <f>N28*N$22</f>
        <v/>
      </c>
      <c r="O148" s="195">
        <f>O28*O$22</f>
        <v/>
      </c>
      <c r="P148" s="195">
        <f>P28*P$22</f>
        <v/>
      </c>
      <c r="Q148" s="195">
        <f>Q28*Q$22</f>
        <v/>
      </c>
      <c r="R148" s="195">
        <f>R28*R$22</f>
        <v/>
      </c>
      <c r="S148" s="195">
        <f>S28*S$22</f>
        <v/>
      </c>
      <c r="T148" s="195">
        <f>T28*T$22</f>
        <v/>
      </c>
      <c r="U148" s="195">
        <f>U28*U$22</f>
        <v/>
      </c>
    </row>
    <row r="149">
      <c r="B149" s="195">
        <f>B29*B$22</f>
        <v/>
      </c>
      <c r="C149" s="195">
        <f>C29*C$22</f>
        <v/>
      </c>
      <c r="D149" s="195">
        <f>D29*D$22</f>
        <v/>
      </c>
      <c r="E149" s="195">
        <f>E29*E$22</f>
        <v/>
      </c>
      <c r="F149" s="195">
        <f>F29*F$22</f>
        <v/>
      </c>
      <c r="G149" s="195">
        <f>G29*G$22</f>
        <v/>
      </c>
      <c r="H149" s="195">
        <f>H29*H$22</f>
        <v/>
      </c>
      <c r="I149" s="195">
        <f>I29*I$22</f>
        <v/>
      </c>
      <c r="J149" s="195">
        <f>J29*J$22</f>
        <v/>
      </c>
      <c r="K149" s="195">
        <f>K29*K$22</f>
        <v/>
      </c>
      <c r="L149" s="195">
        <f>L29*L$22</f>
        <v/>
      </c>
      <c r="M149" s="195">
        <f>M29*M$22</f>
        <v/>
      </c>
      <c r="N149" s="195">
        <f>N29*N$22</f>
        <v/>
      </c>
      <c r="O149" s="195">
        <f>O29*O$22</f>
        <v/>
      </c>
      <c r="P149" s="195">
        <f>P29*P$22</f>
        <v/>
      </c>
      <c r="Q149" s="195">
        <f>Q29*Q$22</f>
        <v/>
      </c>
      <c r="R149" s="195">
        <f>R29*R$22</f>
        <v/>
      </c>
      <c r="S149" s="195">
        <f>S29*S$22</f>
        <v/>
      </c>
      <c r="T149" s="195">
        <f>T29*T$22</f>
        <v/>
      </c>
      <c r="U149" s="195">
        <f>U29*U$22</f>
        <v/>
      </c>
    </row>
    <row r="150">
      <c r="B150" s="195">
        <f>B30*B$22</f>
        <v/>
      </c>
      <c r="C150" s="195">
        <f>C30*C$22</f>
        <v/>
      </c>
      <c r="D150" s="195">
        <f>D30*D$22</f>
        <v/>
      </c>
      <c r="E150" s="195">
        <f>E30*E$22</f>
        <v/>
      </c>
      <c r="F150" s="195">
        <f>F30*F$22</f>
        <v/>
      </c>
      <c r="G150" s="195">
        <f>G30*G$22</f>
        <v/>
      </c>
      <c r="H150" s="195">
        <f>H30*H$22</f>
        <v/>
      </c>
      <c r="I150" s="195">
        <f>I30*I$22</f>
        <v/>
      </c>
      <c r="J150" s="195">
        <f>J30*J$22</f>
        <v/>
      </c>
      <c r="K150" s="195">
        <f>K30*K$22</f>
        <v/>
      </c>
      <c r="L150" s="195">
        <f>L30*L$22</f>
        <v/>
      </c>
      <c r="M150" s="195">
        <f>M30*M$22</f>
        <v/>
      </c>
      <c r="N150" s="195">
        <f>N30*N$22</f>
        <v/>
      </c>
      <c r="O150" s="195">
        <f>O30*O$22</f>
        <v/>
      </c>
      <c r="P150" s="195">
        <f>P30*P$22</f>
        <v/>
      </c>
      <c r="Q150" s="195">
        <f>Q30*Q$22</f>
        <v/>
      </c>
      <c r="R150" s="195">
        <f>R30*R$22</f>
        <v/>
      </c>
      <c r="S150" s="195">
        <f>S30*S$22</f>
        <v/>
      </c>
      <c r="T150" s="195">
        <f>T30*T$22</f>
        <v/>
      </c>
      <c r="U150" s="195">
        <f>U30*U$22</f>
        <v/>
      </c>
    </row>
    <row r="151">
      <c r="B151" s="195">
        <f>B31*B$22</f>
        <v/>
      </c>
      <c r="C151" s="195">
        <f>C31*C$22</f>
        <v/>
      </c>
      <c r="D151" s="195">
        <f>D31*D$22</f>
        <v/>
      </c>
      <c r="E151" s="195">
        <f>E31*E$22</f>
        <v/>
      </c>
      <c r="F151" s="195">
        <f>F31*F$22</f>
        <v/>
      </c>
      <c r="G151" s="195">
        <f>G31*G$22</f>
        <v/>
      </c>
      <c r="H151" s="195">
        <f>H31*H$22</f>
        <v/>
      </c>
      <c r="I151" s="195">
        <f>I31*I$22</f>
        <v/>
      </c>
      <c r="J151" s="195">
        <f>J31*J$22</f>
        <v/>
      </c>
      <c r="K151" s="195">
        <f>K31*K$22</f>
        <v/>
      </c>
      <c r="L151" s="195">
        <f>L31*L$22</f>
        <v/>
      </c>
      <c r="M151" s="195">
        <f>M31*M$22</f>
        <v/>
      </c>
      <c r="N151" s="195">
        <f>N31*N$22</f>
        <v/>
      </c>
      <c r="O151" s="195">
        <f>O31*O$22</f>
        <v/>
      </c>
      <c r="P151" s="195">
        <f>P31*P$22</f>
        <v/>
      </c>
      <c r="Q151" s="195">
        <f>Q31*Q$22</f>
        <v/>
      </c>
      <c r="R151" s="195">
        <f>R31*R$22</f>
        <v/>
      </c>
      <c r="S151" s="195">
        <f>S31*S$22</f>
        <v/>
      </c>
      <c r="T151" s="195">
        <f>T31*T$22</f>
        <v/>
      </c>
      <c r="U151" s="195">
        <f>U31*U$22</f>
        <v/>
      </c>
    </row>
    <row r="152">
      <c r="B152" s="195">
        <f>B32*B$22</f>
        <v/>
      </c>
      <c r="C152" s="195">
        <f>C32*C$22</f>
        <v/>
      </c>
      <c r="D152" s="195">
        <f>D32*D$22</f>
        <v/>
      </c>
      <c r="E152" s="195">
        <f>E32*E$22</f>
        <v/>
      </c>
      <c r="F152" s="195">
        <f>F32*F$22</f>
        <v/>
      </c>
      <c r="G152" s="195">
        <f>G32*G$22</f>
        <v/>
      </c>
      <c r="H152" s="195">
        <f>H32*H$22</f>
        <v/>
      </c>
      <c r="I152" s="195">
        <f>I32*I$22</f>
        <v/>
      </c>
      <c r="J152" s="195">
        <f>J32*J$22</f>
        <v/>
      </c>
      <c r="K152" s="195">
        <f>K32*K$22</f>
        <v/>
      </c>
      <c r="L152" s="195">
        <f>L32*L$22</f>
        <v/>
      </c>
      <c r="M152" s="195">
        <f>M32*M$22</f>
        <v/>
      </c>
      <c r="N152" s="195">
        <f>N32*N$22</f>
        <v/>
      </c>
      <c r="O152" s="195">
        <f>O32*O$22</f>
        <v/>
      </c>
      <c r="P152" s="195">
        <f>P32*P$22</f>
        <v/>
      </c>
      <c r="Q152" s="195">
        <f>Q32*Q$22</f>
        <v/>
      </c>
      <c r="R152" s="195">
        <f>R32*R$22</f>
        <v/>
      </c>
      <c r="S152" s="195">
        <f>S32*S$22</f>
        <v/>
      </c>
      <c r="T152" s="195">
        <f>T32*T$22</f>
        <v/>
      </c>
      <c r="U152" s="195">
        <f>U32*U$22</f>
        <v/>
      </c>
    </row>
    <row r="153">
      <c r="B153" s="195">
        <f>B33*B$22</f>
        <v/>
      </c>
      <c r="C153" s="195">
        <f>C33*C$22</f>
        <v/>
      </c>
      <c r="D153" s="195">
        <f>D33*D$22</f>
        <v/>
      </c>
      <c r="E153" s="195">
        <f>E33*E$22</f>
        <v/>
      </c>
      <c r="F153" s="195">
        <f>F33*F$22</f>
        <v/>
      </c>
      <c r="G153" s="195">
        <f>G33*G$22</f>
        <v/>
      </c>
      <c r="H153" s="195">
        <f>H33*H$22</f>
        <v/>
      </c>
      <c r="I153" s="195">
        <f>I33*I$22</f>
        <v/>
      </c>
      <c r="J153" s="195">
        <f>J33*J$22</f>
        <v/>
      </c>
      <c r="K153" s="195">
        <f>K33*K$22</f>
        <v/>
      </c>
      <c r="L153" s="195">
        <f>L33*L$22</f>
        <v/>
      </c>
      <c r="M153" s="195">
        <f>M33*M$22</f>
        <v/>
      </c>
      <c r="N153" s="195">
        <f>N33*N$22</f>
        <v/>
      </c>
      <c r="O153" s="195">
        <f>O33*O$22</f>
        <v/>
      </c>
      <c r="P153" s="195">
        <f>P33*P$22</f>
        <v/>
      </c>
      <c r="Q153" s="195">
        <f>Q33*Q$22</f>
        <v/>
      </c>
      <c r="R153" s="195">
        <f>R33*R$22</f>
        <v/>
      </c>
      <c r="S153" s="195">
        <f>S33*S$22</f>
        <v/>
      </c>
      <c r="T153" s="195">
        <f>T33*T$22</f>
        <v/>
      </c>
      <c r="U153" s="195">
        <f>U33*U$22</f>
        <v/>
      </c>
    </row>
    <row r="154">
      <c r="B154" s="195">
        <f>B34*B$22</f>
        <v/>
      </c>
      <c r="C154" s="195">
        <f>C34*C$22</f>
        <v/>
      </c>
      <c r="D154" s="195">
        <f>D34*D$22</f>
        <v/>
      </c>
      <c r="E154" s="195">
        <f>E34*E$22</f>
        <v/>
      </c>
      <c r="F154" s="195">
        <f>F34*F$22</f>
        <v/>
      </c>
      <c r="G154" s="195">
        <f>G34*G$22</f>
        <v/>
      </c>
      <c r="H154" s="195">
        <f>H34*H$22</f>
        <v/>
      </c>
      <c r="I154" s="195">
        <f>I34*I$22</f>
        <v/>
      </c>
      <c r="J154" s="195">
        <f>J34*J$22</f>
        <v/>
      </c>
      <c r="K154" s="195">
        <f>K34*K$22</f>
        <v/>
      </c>
      <c r="L154" s="195">
        <f>L34*L$22</f>
        <v/>
      </c>
      <c r="M154" s="195">
        <f>M34*M$22</f>
        <v/>
      </c>
      <c r="N154" s="195">
        <f>N34*N$22</f>
        <v/>
      </c>
      <c r="O154" s="195">
        <f>O34*O$22</f>
        <v/>
      </c>
      <c r="P154" s="195">
        <f>P34*P$22</f>
        <v/>
      </c>
      <c r="Q154" s="195">
        <f>Q34*Q$22</f>
        <v/>
      </c>
      <c r="R154" s="195">
        <f>R34*R$22</f>
        <v/>
      </c>
      <c r="S154" s="195">
        <f>S34*S$22</f>
        <v/>
      </c>
      <c r="T154" s="195">
        <f>T34*T$22</f>
        <v/>
      </c>
      <c r="U154" s="195">
        <f>U34*U$22</f>
        <v/>
      </c>
    </row>
    <row r="155">
      <c r="B155" s="195">
        <f>B35*B$22</f>
        <v/>
      </c>
      <c r="C155" s="195">
        <f>C35*C$22</f>
        <v/>
      </c>
      <c r="D155" s="195">
        <f>D35*D$22</f>
        <v/>
      </c>
      <c r="E155" s="195">
        <f>E35*E$22</f>
        <v/>
      </c>
      <c r="F155" s="195">
        <f>F35*F$22</f>
        <v/>
      </c>
      <c r="G155" s="195">
        <f>G35*G$22</f>
        <v/>
      </c>
      <c r="H155" s="195">
        <f>H35*H$22</f>
        <v/>
      </c>
      <c r="I155" s="195">
        <f>I35*I$22</f>
        <v/>
      </c>
      <c r="J155" s="195">
        <f>J35*J$22</f>
        <v/>
      </c>
      <c r="K155" s="195">
        <f>K35*K$22</f>
        <v/>
      </c>
      <c r="L155" s="195">
        <f>L35*L$22</f>
        <v/>
      </c>
      <c r="M155" s="195">
        <f>M35*M$22</f>
        <v/>
      </c>
      <c r="N155" s="195">
        <f>N35*N$22</f>
        <v/>
      </c>
      <c r="O155" s="195">
        <f>O35*O$22</f>
        <v/>
      </c>
      <c r="P155" s="195">
        <f>P35*P$22</f>
        <v/>
      </c>
      <c r="Q155" s="195">
        <f>Q35*Q$22</f>
        <v/>
      </c>
      <c r="R155" s="195">
        <f>R35*R$22</f>
        <v/>
      </c>
      <c r="S155" s="195">
        <f>S35*S$22</f>
        <v/>
      </c>
      <c r="T155" s="195">
        <f>T35*T$22</f>
        <v/>
      </c>
      <c r="U155" s="195">
        <f>U35*U$22</f>
        <v/>
      </c>
    </row>
    <row r="156">
      <c r="B156" s="195">
        <f>B36*B$22</f>
        <v/>
      </c>
      <c r="C156" s="195">
        <f>C36*C$22</f>
        <v/>
      </c>
      <c r="D156" s="195">
        <f>D36*D$22</f>
        <v/>
      </c>
      <c r="E156" s="195">
        <f>E36*E$22</f>
        <v/>
      </c>
      <c r="F156" s="195">
        <f>F36*F$22</f>
        <v/>
      </c>
      <c r="G156" s="195">
        <f>G36*G$22</f>
        <v/>
      </c>
      <c r="H156" s="195">
        <f>H36*H$22</f>
        <v/>
      </c>
      <c r="I156" s="195">
        <f>I36*I$22</f>
        <v/>
      </c>
      <c r="J156" s="195">
        <f>J36*J$22</f>
        <v/>
      </c>
      <c r="K156" s="195">
        <f>K36*K$22</f>
        <v/>
      </c>
      <c r="L156" s="195">
        <f>L36*L$22</f>
        <v/>
      </c>
      <c r="M156" s="195">
        <f>M36*M$22</f>
        <v/>
      </c>
      <c r="N156" s="195">
        <f>N36*N$22</f>
        <v/>
      </c>
      <c r="O156" s="195">
        <f>O36*O$22</f>
        <v/>
      </c>
      <c r="P156" s="195">
        <f>P36*P$22</f>
        <v/>
      </c>
      <c r="Q156" s="195">
        <f>Q36*Q$22</f>
        <v/>
      </c>
      <c r="R156" s="195">
        <f>R36*R$22</f>
        <v/>
      </c>
      <c r="S156" s="195">
        <f>S36*S$22</f>
        <v/>
      </c>
      <c r="T156" s="195">
        <f>T36*T$22</f>
        <v/>
      </c>
      <c r="U156" s="195">
        <f>U36*U$22</f>
        <v/>
      </c>
    </row>
    <row r="157">
      <c r="B157" s="195">
        <f>B37*B$22</f>
        <v/>
      </c>
      <c r="C157" s="195">
        <f>C37*C$22</f>
        <v/>
      </c>
      <c r="D157" s="195">
        <f>D37*D$22</f>
        <v/>
      </c>
      <c r="E157" s="195">
        <f>E37*E$22</f>
        <v/>
      </c>
      <c r="F157" s="195">
        <f>F37*F$22</f>
        <v/>
      </c>
      <c r="G157" s="195">
        <f>G37*G$22</f>
        <v/>
      </c>
      <c r="H157" s="195">
        <f>H37*H$22</f>
        <v/>
      </c>
      <c r="I157" s="195">
        <f>I37*I$22</f>
        <v/>
      </c>
      <c r="J157" s="195">
        <f>J37*J$22</f>
        <v/>
      </c>
      <c r="K157" s="195">
        <f>K37*K$22</f>
        <v/>
      </c>
      <c r="L157" s="195">
        <f>L37*L$22</f>
        <v/>
      </c>
      <c r="M157" s="195">
        <f>M37*M$22</f>
        <v/>
      </c>
      <c r="N157" s="195">
        <f>N37*N$22</f>
        <v/>
      </c>
      <c r="O157" s="195">
        <f>O37*O$22</f>
        <v/>
      </c>
      <c r="P157" s="195">
        <f>P37*P$22</f>
        <v/>
      </c>
      <c r="Q157" s="195">
        <f>Q37*Q$22</f>
        <v/>
      </c>
      <c r="R157" s="195">
        <f>R37*R$22</f>
        <v/>
      </c>
      <c r="S157" s="195">
        <f>S37*S$22</f>
        <v/>
      </c>
      <c r="T157" s="195">
        <f>T37*T$22</f>
        <v/>
      </c>
      <c r="U157" s="195">
        <f>U37*U$22</f>
        <v/>
      </c>
    </row>
    <row r="158">
      <c r="B158" s="195">
        <f>B38*B$22</f>
        <v/>
      </c>
      <c r="C158" s="195">
        <f>C38*C$22</f>
        <v/>
      </c>
      <c r="D158" s="195">
        <f>D38*D$22</f>
        <v/>
      </c>
      <c r="E158" s="195">
        <f>E38*E$22</f>
        <v/>
      </c>
      <c r="F158" s="195">
        <f>F38*F$22</f>
        <v/>
      </c>
      <c r="G158" s="195">
        <f>G38*G$22</f>
        <v/>
      </c>
      <c r="H158" s="195">
        <f>H38*H$22</f>
        <v/>
      </c>
      <c r="I158" s="195">
        <f>I38*I$22</f>
        <v/>
      </c>
      <c r="J158" s="195">
        <f>J38*J$22</f>
        <v/>
      </c>
      <c r="K158" s="195">
        <f>K38*K$22</f>
        <v/>
      </c>
      <c r="L158" s="195">
        <f>L38*L$22</f>
        <v/>
      </c>
      <c r="M158" s="195">
        <f>M38*M$22</f>
        <v/>
      </c>
      <c r="N158" s="195">
        <f>N38*N$22</f>
        <v/>
      </c>
      <c r="O158" s="195">
        <f>O38*O$22</f>
        <v/>
      </c>
      <c r="P158" s="195">
        <f>P38*P$22</f>
        <v/>
      </c>
      <c r="Q158" s="195">
        <f>Q38*Q$22</f>
        <v/>
      </c>
      <c r="R158" s="195">
        <f>R38*R$22</f>
        <v/>
      </c>
      <c r="S158" s="195">
        <f>S38*S$22</f>
        <v/>
      </c>
      <c r="T158" s="195">
        <f>T38*T$22</f>
        <v/>
      </c>
      <c r="U158" s="195">
        <f>U38*U$22</f>
        <v/>
      </c>
    </row>
    <row r="159">
      <c r="B159" s="195">
        <f>B39*B$22</f>
        <v/>
      </c>
      <c r="C159" s="195">
        <f>C39*C$22</f>
        <v/>
      </c>
      <c r="D159" s="195">
        <f>D39*D$22</f>
        <v/>
      </c>
      <c r="E159" s="195">
        <f>E39*E$22</f>
        <v/>
      </c>
      <c r="F159" s="195">
        <f>F39*F$22</f>
        <v/>
      </c>
      <c r="G159" s="195">
        <f>G39*G$22</f>
        <v/>
      </c>
      <c r="H159" s="195">
        <f>H39*H$22</f>
        <v/>
      </c>
      <c r="I159" s="195">
        <f>I39*I$22</f>
        <v/>
      </c>
      <c r="J159" s="195">
        <f>J39*J$22</f>
        <v/>
      </c>
      <c r="K159" s="195">
        <f>K39*K$22</f>
        <v/>
      </c>
      <c r="L159" s="195">
        <f>L39*L$22</f>
        <v/>
      </c>
      <c r="M159" s="195">
        <f>M39*M$22</f>
        <v/>
      </c>
      <c r="N159" s="195">
        <f>N39*N$22</f>
        <v/>
      </c>
      <c r="O159" s="195">
        <f>O39*O$22</f>
        <v/>
      </c>
      <c r="P159" s="195">
        <f>P39*P$22</f>
        <v/>
      </c>
      <c r="Q159" s="195">
        <f>Q39*Q$22</f>
        <v/>
      </c>
      <c r="R159" s="195">
        <f>R39*R$22</f>
        <v/>
      </c>
      <c r="S159" s="195">
        <f>S39*S$22</f>
        <v/>
      </c>
      <c r="T159" s="195">
        <f>T39*T$22</f>
        <v/>
      </c>
      <c r="U159" s="195">
        <f>U39*U$22</f>
        <v/>
      </c>
    </row>
    <row r="160">
      <c r="B160" s="195">
        <f>B40*B$22</f>
        <v/>
      </c>
      <c r="C160" s="195">
        <f>C40*C$22</f>
        <v/>
      </c>
      <c r="D160" s="195">
        <f>D40*D$22</f>
        <v/>
      </c>
      <c r="E160" s="195">
        <f>E40*E$22</f>
        <v/>
      </c>
      <c r="F160" s="195">
        <f>F40*F$22</f>
        <v/>
      </c>
      <c r="G160" s="195">
        <f>G40*G$22</f>
        <v/>
      </c>
      <c r="H160" s="195">
        <f>H40*H$22</f>
        <v/>
      </c>
      <c r="I160" s="195">
        <f>I40*I$22</f>
        <v/>
      </c>
      <c r="J160" s="195">
        <f>J40*J$22</f>
        <v/>
      </c>
      <c r="K160" s="195">
        <f>K40*K$22</f>
        <v/>
      </c>
      <c r="L160" s="195">
        <f>L40*L$22</f>
        <v/>
      </c>
      <c r="M160" s="195">
        <f>M40*M$22</f>
        <v/>
      </c>
      <c r="N160" s="195">
        <f>N40*N$22</f>
        <v/>
      </c>
      <c r="O160" s="195">
        <f>O40*O$22</f>
        <v/>
      </c>
      <c r="P160" s="195">
        <f>P40*P$22</f>
        <v/>
      </c>
      <c r="Q160" s="195">
        <f>Q40*Q$22</f>
        <v/>
      </c>
      <c r="R160" s="195">
        <f>R40*R$22</f>
        <v/>
      </c>
      <c r="S160" s="195">
        <f>S40*S$22</f>
        <v/>
      </c>
      <c r="T160" s="195">
        <f>T40*T$22</f>
        <v/>
      </c>
      <c r="U160" s="195">
        <f>U40*U$22</f>
        <v/>
      </c>
    </row>
    <row r="161">
      <c r="B161" s="195">
        <f>B41*B$22</f>
        <v/>
      </c>
      <c r="C161" s="195">
        <f>C41*C$22</f>
        <v/>
      </c>
      <c r="D161" s="195">
        <f>D41*D$22</f>
        <v/>
      </c>
      <c r="E161" s="195">
        <f>E41*E$22</f>
        <v/>
      </c>
      <c r="F161" s="195">
        <f>F41*F$22</f>
        <v/>
      </c>
      <c r="G161" s="195">
        <f>G41*G$22</f>
        <v/>
      </c>
      <c r="H161" s="195">
        <f>H41*H$22</f>
        <v/>
      </c>
      <c r="I161" s="195">
        <f>I41*I$22</f>
        <v/>
      </c>
      <c r="J161" s="195">
        <f>J41*J$22</f>
        <v/>
      </c>
      <c r="K161" s="195">
        <f>K41*K$22</f>
        <v/>
      </c>
      <c r="L161" s="195">
        <f>L41*L$22</f>
        <v/>
      </c>
      <c r="M161" s="195">
        <f>M41*M$22</f>
        <v/>
      </c>
      <c r="N161" s="195">
        <f>N41*N$22</f>
        <v/>
      </c>
      <c r="O161" s="195">
        <f>O41*O$22</f>
        <v/>
      </c>
      <c r="P161" s="195">
        <f>P41*P$22</f>
        <v/>
      </c>
      <c r="Q161" s="195">
        <f>Q41*Q$22</f>
        <v/>
      </c>
      <c r="R161" s="195">
        <f>R41*R$22</f>
        <v/>
      </c>
      <c r="S161" s="195">
        <f>S41*S$22</f>
        <v/>
      </c>
      <c r="T161" s="195">
        <f>T41*T$22</f>
        <v/>
      </c>
      <c r="U161" s="195">
        <f>U41*U$22</f>
        <v/>
      </c>
    </row>
    <row r="162">
      <c r="B162" s="195">
        <f>B42*B$22</f>
        <v/>
      </c>
      <c r="C162" s="195">
        <f>C42*C$22</f>
        <v/>
      </c>
      <c r="D162" s="195">
        <f>D42*D$22</f>
        <v/>
      </c>
      <c r="E162" s="195">
        <f>E42*E$22</f>
        <v/>
      </c>
      <c r="F162" s="195">
        <f>F42*F$22</f>
        <v/>
      </c>
      <c r="G162" s="195">
        <f>G42*G$22</f>
        <v/>
      </c>
      <c r="H162" s="195">
        <f>H42*H$22</f>
        <v/>
      </c>
      <c r="I162" s="195">
        <f>I42*I$22</f>
        <v/>
      </c>
      <c r="J162" s="195">
        <f>J42*J$22</f>
        <v/>
      </c>
      <c r="K162" s="195">
        <f>K42*K$22</f>
        <v/>
      </c>
      <c r="L162" s="195">
        <f>L42*L$22</f>
        <v/>
      </c>
      <c r="M162" s="195">
        <f>M42*M$22</f>
        <v/>
      </c>
      <c r="N162" s="195">
        <f>N42*N$22</f>
        <v/>
      </c>
      <c r="O162" s="195">
        <f>O42*O$22</f>
        <v/>
      </c>
      <c r="P162" s="195">
        <f>P42*P$22</f>
        <v/>
      </c>
      <c r="Q162" s="195">
        <f>Q42*Q$22</f>
        <v/>
      </c>
      <c r="R162" s="195">
        <f>R42*R$22</f>
        <v/>
      </c>
      <c r="S162" s="195">
        <f>S42*S$22</f>
        <v/>
      </c>
      <c r="T162" s="195">
        <f>T42*T$22</f>
        <v/>
      </c>
      <c r="U162" s="195">
        <f>U42*U$22</f>
        <v/>
      </c>
    </row>
    <row r="163">
      <c r="B163" s="195">
        <f>B43*B$22</f>
        <v/>
      </c>
      <c r="C163" s="195">
        <f>C43*C$22</f>
        <v/>
      </c>
      <c r="D163" s="195">
        <f>D43*D$22</f>
        <v/>
      </c>
      <c r="E163" s="195">
        <f>E43*E$22</f>
        <v/>
      </c>
      <c r="F163" s="195">
        <f>F43*F$22</f>
        <v/>
      </c>
      <c r="G163" s="195">
        <f>G43*G$22</f>
        <v/>
      </c>
      <c r="H163" s="195">
        <f>H43*H$22</f>
        <v/>
      </c>
      <c r="I163" s="195">
        <f>I43*I$22</f>
        <v/>
      </c>
      <c r="J163" s="195">
        <f>J43*J$22</f>
        <v/>
      </c>
      <c r="K163" s="195">
        <f>K43*K$22</f>
        <v/>
      </c>
      <c r="L163" s="195">
        <f>L43*L$22</f>
        <v/>
      </c>
      <c r="M163" s="195">
        <f>M43*M$22</f>
        <v/>
      </c>
      <c r="N163" s="195">
        <f>N43*N$22</f>
        <v/>
      </c>
      <c r="O163" s="195">
        <f>O43*O$22</f>
        <v/>
      </c>
      <c r="P163" s="195">
        <f>P43*P$22</f>
        <v/>
      </c>
      <c r="Q163" s="195">
        <f>Q43*Q$22</f>
        <v/>
      </c>
      <c r="R163" s="195">
        <f>R43*R$22</f>
        <v/>
      </c>
      <c r="S163" s="195">
        <f>S43*S$22</f>
        <v/>
      </c>
      <c r="T163" s="195">
        <f>T43*T$22</f>
        <v/>
      </c>
      <c r="U163" s="195">
        <f>U43*U$22</f>
        <v/>
      </c>
    </row>
    <row r="164">
      <c r="B164" s="195">
        <f>B44*B$22</f>
        <v/>
      </c>
      <c r="C164" s="195">
        <f>C44*C$22</f>
        <v/>
      </c>
      <c r="D164" s="195">
        <f>D44*D$22</f>
        <v/>
      </c>
      <c r="E164" s="195">
        <f>E44*E$22</f>
        <v/>
      </c>
      <c r="F164" s="195">
        <f>F44*F$22</f>
        <v/>
      </c>
      <c r="G164" s="195">
        <f>G44*G$22</f>
        <v/>
      </c>
      <c r="H164" s="195">
        <f>H44*H$22</f>
        <v/>
      </c>
      <c r="I164" s="195">
        <f>I44*I$22</f>
        <v/>
      </c>
      <c r="J164" s="195">
        <f>J44*J$22</f>
        <v/>
      </c>
      <c r="K164" s="195">
        <f>K44*K$22</f>
        <v/>
      </c>
      <c r="L164" s="195">
        <f>L44*L$22</f>
        <v/>
      </c>
      <c r="M164" s="195">
        <f>M44*M$22</f>
        <v/>
      </c>
      <c r="N164" s="195">
        <f>N44*N$22</f>
        <v/>
      </c>
      <c r="O164" s="195">
        <f>O44*O$22</f>
        <v/>
      </c>
      <c r="P164" s="195">
        <f>P44*P$22</f>
        <v/>
      </c>
      <c r="Q164" s="195">
        <f>Q44*Q$22</f>
        <v/>
      </c>
      <c r="R164" s="195">
        <f>R44*R$22</f>
        <v/>
      </c>
      <c r="S164" s="195">
        <f>S44*S$22</f>
        <v/>
      </c>
      <c r="T164" s="195">
        <f>T44*T$22</f>
        <v/>
      </c>
      <c r="U164" s="195">
        <f>U44*U$22</f>
        <v/>
      </c>
    </row>
    <row r="165">
      <c r="B165" s="195">
        <f>B45*B$22</f>
        <v/>
      </c>
      <c r="C165" s="195">
        <f>C45*C$22</f>
        <v/>
      </c>
      <c r="D165" s="195">
        <f>D45*D$22</f>
        <v/>
      </c>
      <c r="E165" s="195">
        <f>E45*E$22</f>
        <v/>
      </c>
      <c r="F165" s="195">
        <f>F45*F$22</f>
        <v/>
      </c>
      <c r="G165" s="195">
        <f>G45*G$22</f>
        <v/>
      </c>
      <c r="H165" s="195">
        <f>H45*H$22</f>
        <v/>
      </c>
      <c r="I165" s="195">
        <f>I45*I$22</f>
        <v/>
      </c>
      <c r="J165" s="195">
        <f>J45*J$22</f>
        <v/>
      </c>
      <c r="K165" s="195">
        <f>K45*K$22</f>
        <v/>
      </c>
      <c r="L165" s="195">
        <f>L45*L$22</f>
        <v/>
      </c>
      <c r="M165" s="195">
        <f>M45*M$22</f>
        <v/>
      </c>
      <c r="N165" s="195">
        <f>N45*N$22</f>
        <v/>
      </c>
      <c r="O165" s="195">
        <f>O45*O$22</f>
        <v/>
      </c>
      <c r="P165" s="195">
        <f>P45*P$22</f>
        <v/>
      </c>
      <c r="Q165" s="195">
        <f>Q45*Q$22</f>
        <v/>
      </c>
      <c r="R165" s="195">
        <f>R45*R$22</f>
        <v/>
      </c>
      <c r="S165" s="195">
        <f>S45*S$22</f>
        <v/>
      </c>
      <c r="T165" s="195">
        <f>T45*T$22</f>
        <v/>
      </c>
      <c r="U165" s="195">
        <f>U45*U$22</f>
        <v/>
      </c>
    </row>
    <row r="166">
      <c r="B166" s="195">
        <f>B46*B$22</f>
        <v/>
      </c>
      <c r="C166" s="195">
        <f>C46*C$22</f>
        <v/>
      </c>
      <c r="D166" s="195">
        <f>D46*D$22</f>
        <v/>
      </c>
      <c r="E166" s="195">
        <f>E46*E$22</f>
        <v/>
      </c>
      <c r="F166" s="195">
        <f>F46*F$22</f>
        <v/>
      </c>
      <c r="G166" s="195">
        <f>G46*G$22</f>
        <v/>
      </c>
      <c r="H166" s="195">
        <f>H46*H$22</f>
        <v/>
      </c>
      <c r="I166" s="195">
        <f>I46*I$22</f>
        <v/>
      </c>
      <c r="J166" s="195">
        <f>J46*J$22</f>
        <v/>
      </c>
      <c r="K166" s="195">
        <f>K46*K$22</f>
        <v/>
      </c>
      <c r="L166" s="195">
        <f>L46*L$22</f>
        <v/>
      </c>
      <c r="M166" s="195">
        <f>M46*M$22</f>
        <v/>
      </c>
      <c r="N166" s="195">
        <f>N46*N$22</f>
        <v/>
      </c>
      <c r="O166" s="195">
        <f>O46*O$22</f>
        <v/>
      </c>
      <c r="P166" s="195">
        <f>P46*P$22</f>
        <v/>
      </c>
      <c r="Q166" s="195">
        <f>Q46*Q$22</f>
        <v/>
      </c>
      <c r="R166" s="195">
        <f>R46*R$22</f>
        <v/>
      </c>
      <c r="S166" s="195">
        <f>S46*S$22</f>
        <v/>
      </c>
      <c r="T166" s="195">
        <f>T46*T$22</f>
        <v/>
      </c>
      <c r="U166" s="195">
        <f>U46*U$22</f>
        <v/>
      </c>
    </row>
    <row r="167">
      <c r="B167" s="195">
        <f>B47*B$22</f>
        <v/>
      </c>
      <c r="C167" s="195">
        <f>C47*C$22</f>
        <v/>
      </c>
      <c r="D167" s="195">
        <f>D47*D$22</f>
        <v/>
      </c>
      <c r="E167" s="195">
        <f>E47*E$22</f>
        <v/>
      </c>
      <c r="F167" s="195">
        <f>F47*F$22</f>
        <v/>
      </c>
      <c r="G167" s="195">
        <f>G47*G$22</f>
        <v/>
      </c>
      <c r="H167" s="195">
        <f>H47*H$22</f>
        <v/>
      </c>
      <c r="I167" s="195">
        <f>I47*I$22</f>
        <v/>
      </c>
      <c r="J167" s="195">
        <f>J47*J$22</f>
        <v/>
      </c>
      <c r="K167" s="195">
        <f>K47*K$22</f>
        <v/>
      </c>
      <c r="L167" s="195">
        <f>L47*L$22</f>
        <v/>
      </c>
      <c r="M167" s="195">
        <f>M47*M$22</f>
        <v/>
      </c>
      <c r="N167" s="195">
        <f>N47*N$22</f>
        <v/>
      </c>
      <c r="O167" s="195">
        <f>O47*O$22</f>
        <v/>
      </c>
      <c r="P167" s="195">
        <f>P47*P$22</f>
        <v/>
      </c>
      <c r="Q167" s="195">
        <f>Q47*Q$22</f>
        <v/>
      </c>
      <c r="R167" s="195">
        <f>R47*R$22</f>
        <v/>
      </c>
      <c r="S167" s="195">
        <f>S47*S$22</f>
        <v/>
      </c>
      <c r="T167" s="195">
        <f>T47*T$22</f>
        <v/>
      </c>
      <c r="U167" s="195">
        <f>U47*U$22</f>
        <v/>
      </c>
    </row>
    <row r="168">
      <c r="B168" s="195">
        <f>B48*B$22</f>
        <v/>
      </c>
      <c r="C168" s="195">
        <f>C48*C$22</f>
        <v/>
      </c>
      <c r="D168" s="195">
        <f>D48*D$22</f>
        <v/>
      </c>
      <c r="E168" s="195">
        <f>E48*E$22</f>
        <v/>
      </c>
      <c r="F168" s="195">
        <f>F48*F$22</f>
        <v/>
      </c>
      <c r="G168" s="195">
        <f>G48*G$22</f>
        <v/>
      </c>
      <c r="H168" s="195">
        <f>H48*H$22</f>
        <v/>
      </c>
      <c r="I168" s="195">
        <f>I48*I$22</f>
        <v/>
      </c>
      <c r="J168" s="195">
        <f>J48*J$22</f>
        <v/>
      </c>
      <c r="K168" s="195">
        <f>K48*K$22</f>
        <v/>
      </c>
      <c r="L168" s="195">
        <f>L48*L$22</f>
        <v/>
      </c>
      <c r="M168" s="195">
        <f>M48*M$22</f>
        <v/>
      </c>
      <c r="N168" s="195">
        <f>N48*N$22</f>
        <v/>
      </c>
      <c r="O168" s="195">
        <f>O48*O$22</f>
        <v/>
      </c>
      <c r="P168" s="195">
        <f>P48*P$22</f>
        <v/>
      </c>
      <c r="Q168" s="195">
        <f>Q48*Q$22</f>
        <v/>
      </c>
      <c r="R168" s="195">
        <f>R48*R$22</f>
        <v/>
      </c>
      <c r="S168" s="195">
        <f>S48*S$22</f>
        <v/>
      </c>
      <c r="T168" s="195">
        <f>T48*T$22</f>
        <v/>
      </c>
      <c r="U168" s="195">
        <f>U48*U$22</f>
        <v/>
      </c>
    </row>
    <row r="169"/>
    <row r="170"/>
    <row r="171"/>
    <row r="172"/>
    <row r="173"/>
    <row r="174">
      <c r="B174" s="195">
        <f>B54*B$22</f>
        <v/>
      </c>
      <c r="C174" s="195">
        <f>C54*C$22</f>
        <v/>
      </c>
      <c r="D174" s="195">
        <f>D54*D$22</f>
        <v/>
      </c>
      <c r="E174" s="195">
        <f>E54*E$22</f>
        <v/>
      </c>
      <c r="F174" s="195">
        <f>F54*F$22</f>
        <v/>
      </c>
      <c r="G174" s="195">
        <f>G54*G$22</f>
        <v/>
      </c>
      <c r="H174" s="195">
        <f>H54*H$22</f>
        <v/>
      </c>
      <c r="I174" s="195">
        <f>I54*I$22</f>
        <v/>
      </c>
      <c r="J174" s="195">
        <f>J54*J$22</f>
        <v/>
      </c>
      <c r="K174" s="195">
        <f>K54*K$22</f>
        <v/>
      </c>
      <c r="L174" s="195">
        <f>L54*L$22</f>
        <v/>
      </c>
      <c r="M174" s="195">
        <f>M54*M$22</f>
        <v/>
      </c>
      <c r="N174" s="195">
        <f>N54*N$22</f>
        <v/>
      </c>
      <c r="O174" s="195">
        <f>O54*O$22</f>
        <v/>
      </c>
      <c r="P174" s="195">
        <f>P54*P$22</f>
        <v/>
      </c>
      <c r="Q174" s="195">
        <f>Q54*Q$22</f>
        <v/>
      </c>
      <c r="R174" s="195">
        <f>R54*R$22</f>
        <v/>
      </c>
      <c r="S174" s="195">
        <f>S54*S$22</f>
        <v/>
      </c>
      <c r="T174" s="195">
        <f>T54*T$22</f>
        <v/>
      </c>
      <c r="U174" s="195">
        <f>U54*U$22</f>
        <v/>
      </c>
    </row>
    <row r="175">
      <c r="B175" s="195">
        <f>B55*B$22</f>
        <v/>
      </c>
      <c r="C175" s="195">
        <f>C55*C$22</f>
        <v/>
      </c>
      <c r="D175" s="195">
        <f>D55*D$22</f>
        <v/>
      </c>
      <c r="E175" s="195">
        <f>E55*E$22</f>
        <v/>
      </c>
      <c r="F175" s="195">
        <f>F55*F$22</f>
        <v/>
      </c>
      <c r="G175" s="195">
        <f>G55*G$22</f>
        <v/>
      </c>
      <c r="H175" s="195">
        <f>H55*H$22</f>
        <v/>
      </c>
      <c r="I175" s="195">
        <f>I55*I$22</f>
        <v/>
      </c>
      <c r="J175" s="195">
        <f>J55*J$22</f>
        <v/>
      </c>
      <c r="K175" s="195">
        <f>K55*K$22</f>
        <v/>
      </c>
      <c r="L175" s="195">
        <f>L55*L$22</f>
        <v/>
      </c>
      <c r="M175" s="195">
        <f>M55*M$22</f>
        <v/>
      </c>
      <c r="N175" s="195">
        <f>N55*N$22</f>
        <v/>
      </c>
      <c r="O175" s="195">
        <f>O55*O$22</f>
        <v/>
      </c>
      <c r="P175" s="195">
        <f>P55*P$22</f>
        <v/>
      </c>
      <c r="Q175" s="195">
        <f>Q55*Q$22</f>
        <v/>
      </c>
      <c r="R175" s="195">
        <f>R55*R$22</f>
        <v/>
      </c>
      <c r="S175" s="195">
        <f>S55*S$22</f>
        <v/>
      </c>
      <c r="T175" s="195">
        <f>T55*T$22</f>
        <v/>
      </c>
      <c r="U175" s="195">
        <f>U55*U$22</f>
        <v/>
      </c>
    </row>
    <row r="176">
      <c r="B176" s="195">
        <f>B56*B$22</f>
        <v/>
      </c>
      <c r="C176" s="195">
        <f>C56*C$22</f>
        <v/>
      </c>
      <c r="D176" s="195">
        <f>D56*D$22</f>
        <v/>
      </c>
      <c r="E176" s="195">
        <f>E56*E$22</f>
        <v/>
      </c>
      <c r="F176" s="195">
        <f>F56*F$22</f>
        <v/>
      </c>
      <c r="G176" s="195">
        <f>G56*G$22</f>
        <v/>
      </c>
      <c r="H176" s="195">
        <f>H56*H$22</f>
        <v/>
      </c>
      <c r="I176" s="195">
        <f>I56*I$22</f>
        <v/>
      </c>
      <c r="J176" s="195">
        <f>J56*J$22</f>
        <v/>
      </c>
      <c r="K176" s="195">
        <f>K56*K$22</f>
        <v/>
      </c>
      <c r="L176" s="195">
        <f>L56*L$22</f>
        <v/>
      </c>
      <c r="M176" s="195">
        <f>M56*M$22</f>
        <v/>
      </c>
      <c r="N176" s="195">
        <f>N56*N$22</f>
        <v/>
      </c>
      <c r="O176" s="195">
        <f>O56*O$22</f>
        <v/>
      </c>
      <c r="P176" s="195">
        <f>P56*P$22</f>
        <v/>
      </c>
      <c r="Q176" s="195">
        <f>Q56*Q$22</f>
        <v/>
      </c>
      <c r="R176" s="195">
        <f>R56*R$22</f>
        <v/>
      </c>
      <c r="S176" s="195">
        <f>S56*S$22</f>
        <v/>
      </c>
      <c r="T176" s="195">
        <f>T56*T$22</f>
        <v/>
      </c>
      <c r="U176" s="195">
        <f>U56*U$22</f>
        <v/>
      </c>
    </row>
    <row r="177">
      <c r="B177" s="195">
        <f>B57*B$22</f>
        <v/>
      </c>
      <c r="C177" s="195">
        <f>C57*C$22</f>
        <v/>
      </c>
      <c r="D177" s="195">
        <f>D57*D$22</f>
        <v/>
      </c>
      <c r="E177" s="195">
        <f>E57*E$22</f>
        <v/>
      </c>
      <c r="F177" s="195">
        <f>F57*F$22</f>
        <v/>
      </c>
      <c r="G177" s="195">
        <f>G57*G$22</f>
        <v/>
      </c>
      <c r="H177" s="195">
        <f>H57*H$22</f>
        <v/>
      </c>
      <c r="I177" s="195">
        <f>I57*I$22</f>
        <v/>
      </c>
      <c r="J177" s="195">
        <f>J57*J$22</f>
        <v/>
      </c>
      <c r="K177" s="195">
        <f>K57*K$22</f>
        <v/>
      </c>
      <c r="L177" s="195">
        <f>L57*L$22</f>
        <v/>
      </c>
      <c r="M177" s="195">
        <f>M57*M$22</f>
        <v/>
      </c>
      <c r="N177" s="195">
        <f>N57*N$22</f>
        <v/>
      </c>
      <c r="O177" s="195">
        <f>O57*O$22</f>
        <v/>
      </c>
      <c r="P177" s="195">
        <f>P57*P$22</f>
        <v/>
      </c>
      <c r="Q177" s="195">
        <f>Q57*Q$22</f>
        <v/>
      </c>
      <c r="R177" s="195">
        <f>R57*R$22</f>
        <v/>
      </c>
      <c r="S177" s="195">
        <f>S57*S$22</f>
        <v/>
      </c>
      <c r="T177" s="195">
        <f>T57*T$22</f>
        <v/>
      </c>
      <c r="U177" s="195">
        <f>U57*U$22</f>
        <v/>
      </c>
    </row>
    <row r="178">
      <c r="B178" s="195">
        <f>B58*B$22</f>
        <v/>
      </c>
      <c r="C178" s="195">
        <f>C58*C$22</f>
        <v/>
      </c>
      <c r="D178" s="195">
        <f>D58*D$22</f>
        <v/>
      </c>
      <c r="E178" s="195">
        <f>E58*E$22</f>
        <v/>
      </c>
      <c r="F178" s="195">
        <f>F58*F$22</f>
        <v/>
      </c>
      <c r="G178" s="195">
        <f>G58*G$22</f>
        <v/>
      </c>
      <c r="H178" s="195">
        <f>H58*H$22</f>
        <v/>
      </c>
      <c r="I178" s="195">
        <f>I58*I$22</f>
        <v/>
      </c>
      <c r="J178" s="195">
        <f>J58*J$22</f>
        <v/>
      </c>
      <c r="K178" s="195">
        <f>K58*K$22</f>
        <v/>
      </c>
      <c r="L178" s="195">
        <f>L58*L$22</f>
        <v/>
      </c>
      <c r="M178" s="195">
        <f>M58*M$22</f>
        <v/>
      </c>
      <c r="N178" s="195">
        <f>N58*N$22</f>
        <v/>
      </c>
      <c r="O178" s="195">
        <f>O58*O$22</f>
        <v/>
      </c>
      <c r="P178" s="195">
        <f>P58*P$22</f>
        <v/>
      </c>
      <c r="Q178" s="195">
        <f>Q58*Q$22</f>
        <v/>
      </c>
      <c r="R178" s="195">
        <f>R58*R$22</f>
        <v/>
      </c>
      <c r="S178" s="195">
        <f>S58*S$22</f>
        <v/>
      </c>
      <c r="T178" s="195">
        <f>T58*T$22</f>
        <v/>
      </c>
      <c r="U178" s="195">
        <f>U58*U$22</f>
        <v/>
      </c>
    </row>
    <row r="179">
      <c r="B179" s="195">
        <f>B59*B$22</f>
        <v/>
      </c>
      <c r="C179" s="195">
        <f>C59*C$22</f>
        <v/>
      </c>
      <c r="D179" s="195">
        <f>D59*D$22</f>
        <v/>
      </c>
      <c r="E179" s="195">
        <f>E59*E$22</f>
        <v/>
      </c>
      <c r="F179" s="195">
        <f>F59*F$22</f>
        <v/>
      </c>
      <c r="G179" s="195">
        <f>G59*G$22</f>
        <v/>
      </c>
      <c r="H179" s="195">
        <f>H59*H$22</f>
        <v/>
      </c>
      <c r="I179" s="195">
        <f>I59*I$22</f>
        <v/>
      </c>
      <c r="J179" s="195">
        <f>J59*J$22</f>
        <v/>
      </c>
      <c r="K179" s="195">
        <f>K59*K$22</f>
        <v/>
      </c>
      <c r="L179" s="195">
        <f>L59*L$22</f>
        <v/>
      </c>
      <c r="M179" s="195">
        <f>M59*M$22</f>
        <v/>
      </c>
      <c r="N179" s="195">
        <f>N59*N$22</f>
        <v/>
      </c>
      <c r="O179" s="195">
        <f>O59*O$22</f>
        <v/>
      </c>
      <c r="P179" s="195">
        <f>P59*P$22</f>
        <v/>
      </c>
      <c r="Q179" s="195">
        <f>Q59*Q$22</f>
        <v/>
      </c>
      <c r="R179" s="195">
        <f>R59*R$22</f>
        <v/>
      </c>
      <c r="S179" s="195">
        <f>S59*S$22</f>
        <v/>
      </c>
      <c r="T179" s="195">
        <f>T59*T$22</f>
        <v/>
      </c>
      <c r="U179" s="195">
        <f>U59*U$22</f>
        <v/>
      </c>
    </row>
    <row r="180">
      <c r="B180" s="195">
        <f>B60*B$22</f>
        <v/>
      </c>
      <c r="C180" s="195">
        <f>C60*C$22</f>
        <v/>
      </c>
      <c r="D180" s="195">
        <f>D60*D$22</f>
        <v/>
      </c>
      <c r="E180" s="195">
        <f>E60*E$22</f>
        <v/>
      </c>
      <c r="F180" s="195">
        <f>F60*F$22</f>
        <v/>
      </c>
      <c r="G180" s="195">
        <f>G60*G$22</f>
        <v/>
      </c>
      <c r="H180" s="195">
        <f>H60*H$22</f>
        <v/>
      </c>
      <c r="I180" s="195">
        <f>I60*I$22</f>
        <v/>
      </c>
      <c r="J180" s="195">
        <f>J60*J$22</f>
        <v/>
      </c>
      <c r="K180" s="195">
        <f>K60*K$22</f>
        <v/>
      </c>
      <c r="L180" s="195">
        <f>L60*L$22</f>
        <v/>
      </c>
      <c r="M180" s="195">
        <f>M60*M$22</f>
        <v/>
      </c>
      <c r="N180" s="195">
        <f>N60*N$22</f>
        <v/>
      </c>
      <c r="O180" s="195">
        <f>O60*O$22</f>
        <v/>
      </c>
      <c r="P180" s="195">
        <f>P60*P$22</f>
        <v/>
      </c>
      <c r="Q180" s="195">
        <f>Q60*Q$22</f>
        <v/>
      </c>
      <c r="R180" s="195">
        <f>R60*R$22</f>
        <v/>
      </c>
      <c r="S180" s="195">
        <f>S60*S$22</f>
        <v/>
      </c>
      <c r="T180" s="195">
        <f>T60*T$22</f>
        <v/>
      </c>
      <c r="U180" s="195">
        <f>U60*U$22</f>
        <v/>
      </c>
    </row>
    <row r="181">
      <c r="B181" s="195">
        <f>B61*B$22</f>
        <v/>
      </c>
      <c r="C181" s="195">
        <f>C61*C$22</f>
        <v/>
      </c>
      <c r="D181" s="195">
        <f>D61*D$22</f>
        <v/>
      </c>
      <c r="E181" s="195">
        <f>E61*E$22</f>
        <v/>
      </c>
      <c r="F181" s="195">
        <f>F61*F$22</f>
        <v/>
      </c>
      <c r="G181" s="195">
        <f>G61*G$22</f>
        <v/>
      </c>
      <c r="H181" s="195">
        <f>H61*H$22</f>
        <v/>
      </c>
      <c r="I181" s="195">
        <f>I61*I$22</f>
        <v/>
      </c>
      <c r="J181" s="195">
        <f>J61*J$22</f>
        <v/>
      </c>
      <c r="K181" s="195">
        <f>K61*K$22</f>
        <v/>
      </c>
      <c r="L181" s="195">
        <f>L61*L$22</f>
        <v/>
      </c>
      <c r="M181" s="195">
        <f>M61*M$22</f>
        <v/>
      </c>
      <c r="N181" s="195">
        <f>N61*N$22</f>
        <v/>
      </c>
      <c r="O181" s="195">
        <f>O61*O$22</f>
        <v/>
      </c>
      <c r="P181" s="195">
        <f>P61*P$22</f>
        <v/>
      </c>
      <c r="Q181" s="195">
        <f>Q61*Q$22</f>
        <v/>
      </c>
      <c r="R181" s="195">
        <f>R61*R$22</f>
        <v/>
      </c>
      <c r="S181" s="195">
        <f>S61*S$22</f>
        <v/>
      </c>
      <c r="T181" s="195">
        <f>T61*T$22</f>
        <v/>
      </c>
      <c r="U181" s="195">
        <f>U61*U$22</f>
        <v/>
      </c>
    </row>
    <row r="182">
      <c r="B182" s="195">
        <f>B62*B$22</f>
        <v/>
      </c>
      <c r="C182" s="195">
        <f>C62*C$22</f>
        <v/>
      </c>
      <c r="D182" s="195">
        <f>D62*D$22</f>
        <v/>
      </c>
      <c r="E182" s="195">
        <f>E62*E$22</f>
        <v/>
      </c>
      <c r="F182" s="195">
        <f>F62*F$22</f>
        <v/>
      </c>
      <c r="G182" s="195">
        <f>G62*G$22</f>
        <v/>
      </c>
      <c r="H182" s="195">
        <f>H62*H$22</f>
        <v/>
      </c>
      <c r="I182" s="195">
        <f>I62*I$22</f>
        <v/>
      </c>
      <c r="J182" s="195">
        <f>J62*J$22</f>
        <v/>
      </c>
      <c r="K182" s="195">
        <f>K62*K$22</f>
        <v/>
      </c>
      <c r="L182" s="195">
        <f>L62*L$22</f>
        <v/>
      </c>
      <c r="M182" s="195">
        <f>M62*M$22</f>
        <v/>
      </c>
      <c r="N182" s="195">
        <f>N62*N$22</f>
        <v/>
      </c>
      <c r="O182" s="195">
        <f>O62*O$22</f>
        <v/>
      </c>
      <c r="P182" s="195">
        <f>P62*P$22</f>
        <v/>
      </c>
      <c r="Q182" s="195">
        <f>Q62*Q$22</f>
        <v/>
      </c>
      <c r="R182" s="195">
        <f>R62*R$22</f>
        <v/>
      </c>
      <c r="S182" s="195">
        <f>S62*S$22</f>
        <v/>
      </c>
      <c r="T182" s="195">
        <f>T62*T$22</f>
        <v/>
      </c>
      <c r="U182" s="195">
        <f>U62*U$22</f>
        <v/>
      </c>
    </row>
    <row r="183">
      <c r="B183" s="195">
        <f>B63*B$22</f>
        <v/>
      </c>
      <c r="C183" s="195">
        <f>C63*C$22</f>
        <v/>
      </c>
      <c r="D183" s="195">
        <f>D63*D$22</f>
        <v/>
      </c>
      <c r="E183" s="195">
        <f>E63*E$22</f>
        <v/>
      </c>
      <c r="F183" s="195">
        <f>F63*F$22</f>
        <v/>
      </c>
      <c r="G183" s="195">
        <f>G63*G$22</f>
        <v/>
      </c>
      <c r="H183" s="195">
        <f>H63*H$22</f>
        <v/>
      </c>
      <c r="I183" s="195">
        <f>I63*I$22</f>
        <v/>
      </c>
      <c r="J183" s="195">
        <f>J63*J$22</f>
        <v/>
      </c>
      <c r="K183" s="195">
        <f>K63*K$22</f>
        <v/>
      </c>
      <c r="L183" s="195">
        <f>L63*L$22</f>
        <v/>
      </c>
      <c r="M183" s="195">
        <f>M63*M$22</f>
        <v/>
      </c>
      <c r="N183" s="195">
        <f>N63*N$22</f>
        <v/>
      </c>
      <c r="O183" s="195">
        <f>O63*O$22</f>
        <v/>
      </c>
      <c r="P183" s="195">
        <f>P63*P$22</f>
        <v/>
      </c>
      <c r="Q183" s="195">
        <f>Q63*Q$22</f>
        <v/>
      </c>
      <c r="R183" s="195">
        <f>R63*R$22</f>
        <v/>
      </c>
      <c r="S183" s="195">
        <f>S63*S$22</f>
        <v/>
      </c>
      <c r="T183" s="195">
        <f>T63*T$22</f>
        <v/>
      </c>
      <c r="U183" s="195">
        <f>U63*U$22</f>
        <v/>
      </c>
    </row>
    <row r="184">
      <c r="B184" s="195">
        <f>B64*B$22</f>
        <v/>
      </c>
      <c r="C184" s="195">
        <f>C64*C$22</f>
        <v/>
      </c>
      <c r="D184" s="195">
        <f>D64*D$22</f>
        <v/>
      </c>
      <c r="E184" s="195">
        <f>E64*E$22</f>
        <v/>
      </c>
      <c r="F184" s="195">
        <f>F64*F$22</f>
        <v/>
      </c>
      <c r="G184" s="195">
        <f>G64*G$22</f>
        <v/>
      </c>
      <c r="H184" s="195">
        <f>H64*H$22</f>
        <v/>
      </c>
      <c r="I184" s="195">
        <f>I64*I$22</f>
        <v/>
      </c>
      <c r="J184" s="195">
        <f>J64*J$22</f>
        <v/>
      </c>
      <c r="K184" s="195">
        <f>K64*K$22</f>
        <v/>
      </c>
      <c r="L184" s="195">
        <f>L64*L$22</f>
        <v/>
      </c>
      <c r="M184" s="195">
        <f>M64*M$22</f>
        <v/>
      </c>
      <c r="N184" s="195">
        <f>N64*N$22</f>
        <v/>
      </c>
      <c r="O184" s="195">
        <f>O64*O$22</f>
        <v/>
      </c>
      <c r="P184" s="195">
        <f>P64*P$22</f>
        <v/>
      </c>
      <c r="Q184" s="195">
        <f>Q64*Q$22</f>
        <v/>
      </c>
      <c r="R184" s="195">
        <f>R64*R$22</f>
        <v/>
      </c>
      <c r="S184" s="195">
        <f>S64*S$22</f>
        <v/>
      </c>
      <c r="T184" s="195">
        <f>T64*T$22</f>
        <v/>
      </c>
      <c r="U184" s="195">
        <f>U64*U$22</f>
        <v/>
      </c>
    </row>
    <row r="185">
      <c r="B185" s="195">
        <f>B65*B$22</f>
        <v/>
      </c>
      <c r="C185" s="195">
        <f>C65*C$22</f>
        <v/>
      </c>
      <c r="D185" s="195">
        <f>D65*D$22</f>
        <v/>
      </c>
      <c r="E185" s="195">
        <f>E65*E$22</f>
        <v/>
      </c>
      <c r="F185" s="195">
        <f>F65*F$22</f>
        <v/>
      </c>
      <c r="G185" s="195">
        <f>G65*G$22</f>
        <v/>
      </c>
      <c r="H185" s="195">
        <f>H65*H$22</f>
        <v/>
      </c>
      <c r="I185" s="195">
        <f>I65*I$22</f>
        <v/>
      </c>
      <c r="J185" s="195">
        <f>J65*J$22</f>
        <v/>
      </c>
      <c r="K185" s="195">
        <f>K65*K$22</f>
        <v/>
      </c>
      <c r="L185" s="195">
        <f>L65*L$22</f>
        <v/>
      </c>
      <c r="M185" s="195">
        <f>M65*M$22</f>
        <v/>
      </c>
      <c r="N185" s="195">
        <f>N65*N$22</f>
        <v/>
      </c>
      <c r="O185" s="195">
        <f>O65*O$22</f>
        <v/>
      </c>
      <c r="P185" s="195">
        <f>P65*P$22</f>
        <v/>
      </c>
      <c r="Q185" s="195">
        <f>Q65*Q$22</f>
        <v/>
      </c>
      <c r="R185" s="195">
        <f>R65*R$22</f>
        <v/>
      </c>
      <c r="S185" s="195">
        <f>S65*S$22</f>
        <v/>
      </c>
      <c r="T185" s="195">
        <f>T65*T$22</f>
        <v/>
      </c>
      <c r="U185" s="195">
        <f>U65*U$22</f>
        <v/>
      </c>
    </row>
    <row r="186">
      <c r="B186" s="195">
        <f>B66*B$22</f>
        <v/>
      </c>
      <c r="C186" s="195">
        <f>C66*C$22</f>
        <v/>
      </c>
      <c r="D186" s="195">
        <f>D66*D$22</f>
        <v/>
      </c>
      <c r="E186" s="195">
        <f>E66*E$22</f>
        <v/>
      </c>
      <c r="F186" s="195">
        <f>F66*F$22</f>
        <v/>
      </c>
      <c r="G186" s="195">
        <f>G66*G$22</f>
        <v/>
      </c>
      <c r="H186" s="195">
        <f>H66*H$22</f>
        <v/>
      </c>
      <c r="I186" s="195">
        <f>I66*I$22</f>
        <v/>
      </c>
      <c r="J186" s="195">
        <f>J66*J$22</f>
        <v/>
      </c>
      <c r="K186" s="195">
        <f>K66*K$22</f>
        <v/>
      </c>
      <c r="L186" s="195">
        <f>L66*L$22</f>
        <v/>
      </c>
      <c r="M186" s="195">
        <f>M66*M$22</f>
        <v/>
      </c>
      <c r="N186" s="195">
        <f>N66*N$22</f>
        <v/>
      </c>
      <c r="O186" s="195">
        <f>O66*O$22</f>
        <v/>
      </c>
      <c r="P186" s="195">
        <f>P66*P$22</f>
        <v/>
      </c>
      <c r="Q186" s="195">
        <f>Q66*Q$22</f>
        <v/>
      </c>
      <c r="R186" s="195">
        <f>R66*R$22</f>
        <v/>
      </c>
      <c r="S186" s="195">
        <f>S66*S$22</f>
        <v/>
      </c>
      <c r="T186" s="195">
        <f>T66*T$22</f>
        <v/>
      </c>
      <c r="U186" s="195">
        <f>U66*U$22</f>
        <v/>
      </c>
    </row>
    <row r="187">
      <c r="B187" s="195">
        <f>B67*B$22</f>
        <v/>
      </c>
      <c r="C187" s="195">
        <f>C67*C$22</f>
        <v/>
      </c>
      <c r="D187" s="195">
        <f>D67*D$22</f>
        <v/>
      </c>
      <c r="E187" s="195">
        <f>E67*E$22</f>
        <v/>
      </c>
      <c r="F187" s="195">
        <f>F67*F$22</f>
        <v/>
      </c>
      <c r="G187" s="195">
        <f>G67*G$22</f>
        <v/>
      </c>
      <c r="H187" s="195">
        <f>H67*H$22</f>
        <v/>
      </c>
      <c r="I187" s="195">
        <f>I67*I$22</f>
        <v/>
      </c>
      <c r="J187" s="195">
        <f>J67*J$22</f>
        <v/>
      </c>
      <c r="K187" s="195">
        <f>K67*K$22</f>
        <v/>
      </c>
      <c r="L187" s="195">
        <f>L67*L$22</f>
        <v/>
      </c>
      <c r="M187" s="195">
        <f>M67*M$22</f>
        <v/>
      </c>
      <c r="N187" s="195">
        <f>N67*N$22</f>
        <v/>
      </c>
      <c r="O187" s="195">
        <f>O67*O$22</f>
        <v/>
      </c>
      <c r="P187" s="195">
        <f>P67*P$22</f>
        <v/>
      </c>
      <c r="Q187" s="195">
        <f>Q67*Q$22</f>
        <v/>
      </c>
      <c r="R187" s="195">
        <f>R67*R$22</f>
        <v/>
      </c>
      <c r="S187" s="195">
        <f>S67*S$22</f>
        <v/>
      </c>
      <c r="T187" s="195">
        <f>T67*T$22</f>
        <v/>
      </c>
      <c r="U187" s="195">
        <f>U67*U$22</f>
        <v/>
      </c>
    </row>
    <row r="188">
      <c r="B188" s="195">
        <f>B68*B$22</f>
        <v/>
      </c>
      <c r="C188" s="195">
        <f>C68*C$22</f>
        <v/>
      </c>
      <c r="D188" s="195">
        <f>D68*D$22</f>
        <v/>
      </c>
      <c r="E188" s="195">
        <f>E68*E$22</f>
        <v/>
      </c>
      <c r="F188" s="195">
        <f>F68*F$22</f>
        <v/>
      </c>
      <c r="G188" s="195">
        <f>G68*G$22</f>
        <v/>
      </c>
      <c r="H188" s="195">
        <f>H68*H$22</f>
        <v/>
      </c>
      <c r="I188" s="195">
        <f>I68*I$22</f>
        <v/>
      </c>
      <c r="J188" s="195">
        <f>J68*J$22</f>
        <v/>
      </c>
      <c r="K188" s="195">
        <f>K68*K$22</f>
        <v/>
      </c>
      <c r="L188" s="195">
        <f>L68*L$22</f>
        <v/>
      </c>
      <c r="M188" s="195">
        <f>M68*M$22</f>
        <v/>
      </c>
      <c r="N188" s="195">
        <f>N68*N$22</f>
        <v/>
      </c>
      <c r="O188" s="195">
        <f>O68*O$22</f>
        <v/>
      </c>
      <c r="P188" s="195">
        <f>P68*P$22</f>
        <v/>
      </c>
      <c r="Q188" s="195">
        <f>Q68*Q$22</f>
        <v/>
      </c>
      <c r="R188" s="195">
        <f>R68*R$22</f>
        <v/>
      </c>
      <c r="S188" s="195">
        <f>S68*S$22</f>
        <v/>
      </c>
      <c r="T188" s="195">
        <f>T68*T$22</f>
        <v/>
      </c>
      <c r="U188" s="195">
        <f>U68*U$22</f>
        <v/>
      </c>
    </row>
    <row r="189">
      <c r="B189" s="195">
        <f>B69*B$22</f>
        <v/>
      </c>
      <c r="C189" s="195">
        <f>C69*C$22</f>
        <v/>
      </c>
      <c r="D189" s="195">
        <f>D69*D$22</f>
        <v/>
      </c>
      <c r="E189" s="195">
        <f>E69*E$22</f>
        <v/>
      </c>
      <c r="F189" s="195">
        <f>F69*F$22</f>
        <v/>
      </c>
      <c r="G189" s="195">
        <f>G69*G$22</f>
        <v/>
      </c>
      <c r="H189" s="195">
        <f>H69*H$22</f>
        <v/>
      </c>
      <c r="I189" s="195">
        <f>I69*I$22</f>
        <v/>
      </c>
      <c r="J189" s="195">
        <f>J69*J$22</f>
        <v/>
      </c>
      <c r="K189" s="195">
        <f>K69*K$22</f>
        <v/>
      </c>
      <c r="L189" s="195">
        <f>L69*L$22</f>
        <v/>
      </c>
      <c r="M189" s="195">
        <f>M69*M$22</f>
        <v/>
      </c>
      <c r="N189" s="195">
        <f>N69*N$22</f>
        <v/>
      </c>
      <c r="O189" s="195">
        <f>O69*O$22</f>
        <v/>
      </c>
      <c r="P189" s="195">
        <f>P69*P$22</f>
        <v/>
      </c>
      <c r="Q189" s="195">
        <f>Q69*Q$22</f>
        <v/>
      </c>
      <c r="R189" s="195">
        <f>R69*R$22</f>
        <v/>
      </c>
      <c r="S189" s="195">
        <f>S69*S$22</f>
        <v/>
      </c>
      <c r="T189" s="195">
        <f>T69*T$22</f>
        <v/>
      </c>
      <c r="U189" s="195">
        <f>U69*U$22</f>
        <v/>
      </c>
    </row>
    <row r="190">
      <c r="B190" s="195">
        <f>B70*B$22</f>
        <v/>
      </c>
      <c r="C190" s="195">
        <f>C70*C$22</f>
        <v/>
      </c>
      <c r="D190" s="195">
        <f>D70*D$22</f>
        <v/>
      </c>
      <c r="E190" s="195">
        <f>E70*E$22</f>
        <v/>
      </c>
      <c r="F190" s="195">
        <f>F70*F$22</f>
        <v/>
      </c>
      <c r="G190" s="195">
        <f>G70*G$22</f>
        <v/>
      </c>
      <c r="H190" s="195">
        <f>H70*H$22</f>
        <v/>
      </c>
      <c r="I190" s="195">
        <f>I70*I$22</f>
        <v/>
      </c>
      <c r="J190" s="195">
        <f>J70*J$22</f>
        <v/>
      </c>
      <c r="K190" s="195">
        <f>K70*K$22</f>
        <v/>
      </c>
      <c r="L190" s="195">
        <f>L70*L$22</f>
        <v/>
      </c>
      <c r="M190" s="195">
        <f>M70*M$22</f>
        <v/>
      </c>
      <c r="N190" s="195">
        <f>N70*N$22</f>
        <v/>
      </c>
      <c r="O190" s="195">
        <f>O70*O$22</f>
        <v/>
      </c>
      <c r="P190" s="195">
        <f>P70*P$22</f>
        <v/>
      </c>
      <c r="Q190" s="195">
        <f>Q70*Q$22</f>
        <v/>
      </c>
      <c r="R190" s="195">
        <f>R70*R$22</f>
        <v/>
      </c>
      <c r="S190" s="195">
        <f>S70*S$22</f>
        <v/>
      </c>
      <c r="T190" s="195">
        <f>T70*T$22</f>
        <v/>
      </c>
      <c r="U190" s="195">
        <f>U70*U$22</f>
        <v/>
      </c>
    </row>
    <row r="191">
      <c r="B191" s="195">
        <f>B71*B$22</f>
        <v/>
      </c>
      <c r="C191" s="195">
        <f>C71*C$22</f>
        <v/>
      </c>
      <c r="D191" s="195">
        <f>D71*D$22</f>
        <v/>
      </c>
      <c r="E191" s="195">
        <f>E71*E$22</f>
        <v/>
      </c>
      <c r="F191" s="195">
        <f>F71*F$22</f>
        <v/>
      </c>
      <c r="G191" s="195">
        <f>G71*G$22</f>
        <v/>
      </c>
      <c r="H191" s="195">
        <f>H71*H$22</f>
        <v/>
      </c>
      <c r="I191" s="195">
        <f>I71*I$22</f>
        <v/>
      </c>
      <c r="J191" s="195">
        <f>J71*J$22</f>
        <v/>
      </c>
      <c r="K191" s="195">
        <f>K71*K$22</f>
        <v/>
      </c>
      <c r="L191" s="195">
        <f>L71*L$22</f>
        <v/>
      </c>
      <c r="M191" s="195">
        <f>M71*M$22</f>
        <v/>
      </c>
      <c r="N191" s="195">
        <f>N71*N$22</f>
        <v/>
      </c>
      <c r="O191" s="195">
        <f>O71*O$22</f>
        <v/>
      </c>
      <c r="P191" s="195">
        <f>P71*P$22</f>
        <v/>
      </c>
      <c r="Q191" s="195">
        <f>Q71*Q$22</f>
        <v/>
      </c>
      <c r="R191" s="195">
        <f>R71*R$22</f>
        <v/>
      </c>
      <c r="S191" s="195">
        <f>S71*S$22</f>
        <v/>
      </c>
      <c r="T191" s="195">
        <f>T71*T$22</f>
        <v/>
      </c>
      <c r="U191" s="195">
        <f>U71*U$22</f>
        <v/>
      </c>
    </row>
    <row r="192">
      <c r="B192" s="195">
        <f>B72*B$22</f>
        <v/>
      </c>
      <c r="C192" s="195">
        <f>C72*C$22</f>
        <v/>
      </c>
      <c r="D192" s="195">
        <f>D72*D$22</f>
        <v/>
      </c>
      <c r="E192" s="195">
        <f>E72*E$22</f>
        <v/>
      </c>
      <c r="F192" s="195">
        <f>F72*F$22</f>
        <v/>
      </c>
      <c r="G192" s="195">
        <f>G72*G$22</f>
        <v/>
      </c>
      <c r="H192" s="195">
        <f>H72*H$22</f>
        <v/>
      </c>
      <c r="I192" s="195">
        <f>I72*I$22</f>
        <v/>
      </c>
      <c r="J192" s="195">
        <f>J72*J$22</f>
        <v/>
      </c>
      <c r="K192" s="195">
        <f>K72*K$22</f>
        <v/>
      </c>
      <c r="L192" s="195">
        <f>L72*L$22</f>
        <v/>
      </c>
      <c r="M192" s="195">
        <f>M72*M$22</f>
        <v/>
      </c>
      <c r="N192" s="195">
        <f>N72*N$22</f>
        <v/>
      </c>
      <c r="O192" s="195">
        <f>O72*O$22</f>
        <v/>
      </c>
      <c r="P192" s="195">
        <f>P72*P$22</f>
        <v/>
      </c>
      <c r="Q192" s="195">
        <f>Q72*Q$22</f>
        <v/>
      </c>
      <c r="R192" s="195">
        <f>R72*R$22</f>
        <v/>
      </c>
      <c r="S192" s="195">
        <f>S72*S$22</f>
        <v/>
      </c>
      <c r="T192" s="195">
        <f>T72*T$22</f>
        <v/>
      </c>
      <c r="U192" s="195">
        <f>U72*U$22</f>
        <v/>
      </c>
    </row>
    <row r="193">
      <c r="B193" s="195">
        <f>B73*B$22</f>
        <v/>
      </c>
      <c r="C193" s="195">
        <f>C73*C$22</f>
        <v/>
      </c>
      <c r="D193" s="195">
        <f>D73*D$22</f>
        <v/>
      </c>
      <c r="E193" s="195">
        <f>E73*E$22</f>
        <v/>
      </c>
      <c r="F193" s="195">
        <f>F73*F$22</f>
        <v/>
      </c>
      <c r="G193" s="195">
        <f>G73*G$22</f>
        <v/>
      </c>
      <c r="H193" s="195">
        <f>H73*H$22</f>
        <v/>
      </c>
      <c r="I193" s="195">
        <f>I73*I$22</f>
        <v/>
      </c>
      <c r="J193" s="195">
        <f>J73*J$22</f>
        <v/>
      </c>
      <c r="K193" s="195">
        <f>K73*K$22</f>
        <v/>
      </c>
      <c r="L193" s="195">
        <f>L73*L$22</f>
        <v/>
      </c>
      <c r="M193" s="195">
        <f>M73*M$22</f>
        <v/>
      </c>
      <c r="N193" s="195">
        <f>N73*N$22</f>
        <v/>
      </c>
      <c r="O193" s="195">
        <f>O73*O$22</f>
        <v/>
      </c>
      <c r="P193" s="195">
        <f>P73*P$22</f>
        <v/>
      </c>
      <c r="Q193" s="195">
        <f>Q73*Q$22</f>
        <v/>
      </c>
      <c r="R193" s="195">
        <f>R73*R$22</f>
        <v/>
      </c>
      <c r="S193" s="195">
        <f>S73*S$22</f>
        <v/>
      </c>
      <c r="T193" s="195">
        <f>T73*T$22</f>
        <v/>
      </c>
      <c r="U193" s="195">
        <f>U73*U$22</f>
        <v/>
      </c>
    </row>
    <row r="194">
      <c r="B194" s="195">
        <f>B74*B$22</f>
        <v/>
      </c>
      <c r="C194" s="195">
        <f>C74*C$22</f>
        <v/>
      </c>
      <c r="D194" s="195">
        <f>D74*D$22</f>
        <v/>
      </c>
      <c r="E194" s="195">
        <f>E74*E$22</f>
        <v/>
      </c>
      <c r="F194" s="195">
        <f>F74*F$22</f>
        <v/>
      </c>
      <c r="G194" s="195">
        <f>G74*G$22</f>
        <v/>
      </c>
      <c r="H194" s="195">
        <f>H74*H$22</f>
        <v/>
      </c>
      <c r="I194" s="195">
        <f>I74*I$22</f>
        <v/>
      </c>
      <c r="J194" s="195">
        <f>J74*J$22</f>
        <v/>
      </c>
      <c r="K194" s="195">
        <f>K74*K$22</f>
        <v/>
      </c>
      <c r="L194" s="195">
        <f>L74*L$22</f>
        <v/>
      </c>
      <c r="M194" s="195">
        <f>M74*M$22</f>
        <v/>
      </c>
      <c r="N194" s="195">
        <f>N74*N$22</f>
        <v/>
      </c>
      <c r="O194" s="195">
        <f>O74*O$22</f>
        <v/>
      </c>
      <c r="P194" s="195">
        <f>P74*P$22</f>
        <v/>
      </c>
      <c r="Q194" s="195">
        <f>Q74*Q$22</f>
        <v/>
      </c>
      <c r="R194" s="195">
        <f>R74*R$22</f>
        <v/>
      </c>
      <c r="S194" s="195">
        <f>S74*S$22</f>
        <v/>
      </c>
      <c r="T194" s="195">
        <f>T74*T$22</f>
        <v/>
      </c>
      <c r="U194" s="195">
        <f>U74*U$22</f>
        <v/>
      </c>
    </row>
    <row r="195">
      <c r="B195" s="195">
        <f>B75*B$22</f>
        <v/>
      </c>
      <c r="C195" s="195">
        <f>C75*C$22</f>
        <v/>
      </c>
      <c r="D195" s="195">
        <f>D75*D$22</f>
        <v/>
      </c>
      <c r="E195" s="195">
        <f>E75*E$22</f>
        <v/>
      </c>
      <c r="F195" s="195">
        <f>F75*F$22</f>
        <v/>
      </c>
      <c r="G195" s="195">
        <f>G75*G$22</f>
        <v/>
      </c>
      <c r="H195" s="195">
        <f>H75*H$22</f>
        <v/>
      </c>
      <c r="I195" s="195">
        <f>I75*I$22</f>
        <v/>
      </c>
      <c r="J195" s="195">
        <f>J75*J$22</f>
        <v/>
      </c>
      <c r="K195" s="195">
        <f>K75*K$22</f>
        <v/>
      </c>
      <c r="L195" s="195">
        <f>L75*L$22</f>
        <v/>
      </c>
      <c r="M195" s="195">
        <f>M75*M$22</f>
        <v/>
      </c>
      <c r="N195" s="195">
        <f>N75*N$22</f>
        <v/>
      </c>
      <c r="O195" s="195">
        <f>O75*O$22</f>
        <v/>
      </c>
      <c r="P195" s="195">
        <f>P75*P$22</f>
        <v/>
      </c>
      <c r="Q195" s="195">
        <f>Q75*Q$22</f>
        <v/>
      </c>
      <c r="R195" s="195">
        <f>R75*R$22</f>
        <v/>
      </c>
      <c r="S195" s="195">
        <f>S75*S$22</f>
        <v/>
      </c>
      <c r="T195" s="195">
        <f>T75*T$22</f>
        <v/>
      </c>
      <c r="U195" s="195">
        <f>U75*U$22</f>
        <v/>
      </c>
    </row>
    <row r="196">
      <c r="B196" s="195">
        <f>B76*B$22</f>
        <v/>
      </c>
      <c r="C196" s="195">
        <f>C76*C$22</f>
        <v/>
      </c>
      <c r="D196" s="195">
        <f>D76*D$22</f>
        <v/>
      </c>
      <c r="E196" s="195">
        <f>E76*E$22</f>
        <v/>
      </c>
      <c r="F196" s="195">
        <f>F76*F$22</f>
        <v/>
      </c>
      <c r="G196" s="195">
        <f>G76*G$22</f>
        <v/>
      </c>
      <c r="H196" s="195">
        <f>H76*H$22</f>
        <v/>
      </c>
      <c r="I196" s="195">
        <f>I76*I$22</f>
        <v/>
      </c>
      <c r="J196" s="195">
        <f>J76*J$22</f>
        <v/>
      </c>
      <c r="K196" s="195">
        <f>K76*K$22</f>
        <v/>
      </c>
      <c r="L196" s="195">
        <f>L76*L$22</f>
        <v/>
      </c>
      <c r="M196" s="195">
        <f>M76*M$22</f>
        <v/>
      </c>
      <c r="N196" s="195">
        <f>N76*N$22</f>
        <v/>
      </c>
      <c r="O196" s="195">
        <f>O76*O$22</f>
        <v/>
      </c>
      <c r="P196" s="195">
        <f>P76*P$22</f>
        <v/>
      </c>
      <c r="Q196" s="195">
        <f>Q76*Q$22</f>
        <v/>
      </c>
      <c r="R196" s="195">
        <f>R76*R$22</f>
        <v/>
      </c>
      <c r="S196" s="195">
        <f>S76*S$22</f>
        <v/>
      </c>
      <c r="T196" s="195">
        <f>T76*T$22</f>
        <v/>
      </c>
      <c r="U196" s="195">
        <f>U76*U$22</f>
        <v/>
      </c>
    </row>
    <row r="197">
      <c r="B197" s="195">
        <f>B77*B$22</f>
        <v/>
      </c>
      <c r="C197" s="195">
        <f>C77*C$22</f>
        <v/>
      </c>
      <c r="D197" s="195">
        <f>D77*D$22</f>
        <v/>
      </c>
      <c r="E197" s="195">
        <f>E77*E$22</f>
        <v/>
      </c>
      <c r="F197" s="195">
        <f>F77*F$22</f>
        <v/>
      </c>
      <c r="G197" s="195">
        <f>G77*G$22</f>
        <v/>
      </c>
      <c r="H197" s="195">
        <f>H77*H$22</f>
        <v/>
      </c>
      <c r="I197" s="195">
        <f>I77*I$22</f>
        <v/>
      </c>
      <c r="J197" s="195">
        <f>J77*J$22</f>
        <v/>
      </c>
      <c r="K197" s="195">
        <f>K77*K$22</f>
        <v/>
      </c>
      <c r="L197" s="195">
        <f>L77*L$22</f>
        <v/>
      </c>
      <c r="M197" s="195">
        <f>M77*M$22</f>
        <v/>
      </c>
      <c r="N197" s="195">
        <f>N77*N$22</f>
        <v/>
      </c>
      <c r="O197" s="195">
        <f>O77*O$22</f>
        <v/>
      </c>
      <c r="P197" s="195">
        <f>P77*P$22</f>
        <v/>
      </c>
      <c r="Q197" s="195">
        <f>Q77*Q$22</f>
        <v/>
      </c>
      <c r="R197" s="195">
        <f>R77*R$22</f>
        <v/>
      </c>
      <c r="S197" s="195">
        <f>S77*S$22</f>
        <v/>
      </c>
      <c r="T197" s="195">
        <f>T77*T$22</f>
        <v/>
      </c>
      <c r="U197" s="195">
        <f>U77*U$22</f>
        <v/>
      </c>
    </row>
    <row r="198">
      <c r="B198" s="195">
        <f>B78*B$22</f>
        <v/>
      </c>
      <c r="C198" s="195">
        <f>C78*C$22</f>
        <v/>
      </c>
      <c r="D198" s="195">
        <f>D78*D$22</f>
        <v/>
      </c>
      <c r="E198" s="195">
        <f>E78*E$22</f>
        <v/>
      </c>
      <c r="F198" s="195">
        <f>F78*F$22</f>
        <v/>
      </c>
      <c r="G198" s="195">
        <f>G78*G$22</f>
        <v/>
      </c>
      <c r="H198" s="195">
        <f>H78*H$22</f>
        <v/>
      </c>
      <c r="I198" s="195">
        <f>I78*I$22</f>
        <v/>
      </c>
      <c r="J198" s="195">
        <f>J78*J$22</f>
        <v/>
      </c>
      <c r="K198" s="195">
        <f>K78*K$22</f>
        <v/>
      </c>
      <c r="L198" s="195">
        <f>L78*L$22</f>
        <v/>
      </c>
      <c r="M198" s="195">
        <f>M78*M$22</f>
        <v/>
      </c>
      <c r="N198" s="195">
        <f>N78*N$22</f>
        <v/>
      </c>
      <c r="O198" s="195">
        <f>O78*O$22</f>
        <v/>
      </c>
      <c r="P198" s="195">
        <f>P78*P$22</f>
        <v/>
      </c>
      <c r="Q198" s="195">
        <f>Q78*Q$22</f>
        <v/>
      </c>
      <c r="R198" s="195">
        <f>R78*R$22</f>
        <v/>
      </c>
      <c r="S198" s="195">
        <f>S78*S$22</f>
        <v/>
      </c>
      <c r="T198" s="195">
        <f>T78*T$22</f>
        <v/>
      </c>
      <c r="U198" s="195">
        <f>U78*U$22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808080"/>
    <outlinePr summaryBelow="1" summaryRight="1"/>
    <pageSetUpPr/>
  </sheetPr>
  <dimension ref="A1:BO485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One engine; three scenarios and two one-factor tests. No manual inputs.</t>
        </is>
      </c>
    </row>
    <row r="2"/>
    <row r="3">
      <c r="A3" t="inlineStr">
        <is>
          <t>Negative</t>
        </is>
      </c>
    </row>
    <row r="4"/>
    <row r="5">
      <c r="B5">
        <f>'01_Вводные'!C198</f>
        <v/>
      </c>
      <c r="C5">
        <f>'01_Вводные'!C199</f>
        <v/>
      </c>
      <c r="D5">
        <f>'01_Вводные'!C200</f>
        <v/>
      </c>
      <c r="E5">
        <f>'01_Вводные'!C201</f>
        <v/>
      </c>
      <c r="F5">
        <f>'01_Вводные'!C202</f>
        <v/>
      </c>
      <c r="G5">
        <f>'01_Вводные'!C203</f>
        <v/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B30">
        <f>'01_Вводные'!$B$225*'19_Расчет_аналитики'!$F$215</f>
        <v/>
      </c>
    </row>
    <row r="31"/>
    <row r="32">
      <c r="B32">
        <f>MAX(0,MIN(1,(30-'19_Расчет_аналитики'!B30)/30))</f>
        <v/>
      </c>
    </row>
    <row r="33"/>
    <row r="34"/>
    <row r="35"/>
    <row r="36"/>
    <row r="37"/>
    <row r="38">
      <c r="B38">
        <f>'01_Вводные'!$B$224*'19_Расчет_аналитики'!$F$214</f>
        <v/>
      </c>
    </row>
    <row r="39"/>
    <row r="40"/>
    <row r="41"/>
    <row r="42"/>
    <row r="43"/>
    <row r="44"/>
    <row r="45"/>
    <row r="46"/>
    <row r="47"/>
    <row r="48">
      <c r="B48">
        <f>'01_Вводные'!$B$210*'19_Расчет_аналитики'!$F$210</f>
        <v/>
      </c>
    </row>
    <row r="49">
      <c r="B49">
        <f>'01_Вводные'!$B$211*'19_Расчет_аналитики'!$F$210</f>
        <v/>
      </c>
    </row>
    <row r="50">
      <c r="B50">
        <f>'01_Вводные'!$B$212*'19_Расчет_аналитики'!$F$210</f>
        <v/>
      </c>
    </row>
    <row r="51">
      <c r="B51">
        <f>'01_Вводные'!$B$213*'19_Расчет_аналитики'!$F$210</f>
        <v/>
      </c>
    </row>
    <row r="52">
      <c r="B52">
        <f>'01_Вводные'!$B$214*'19_Расчет_аналитики'!$F$210</f>
        <v/>
      </c>
    </row>
    <row r="53"/>
    <row r="54"/>
    <row r="55"/>
    <row r="56"/>
    <row r="57"/>
    <row r="58">
      <c r="B58">
        <f>'01_Вводные'!$B$215*'19_Расчет_аналитики'!$F$211</f>
        <v/>
      </c>
    </row>
    <row r="59">
      <c r="B59">
        <f>'01_Вводные'!$B$216*'19_Расчет_аналитики'!$F$211</f>
        <v/>
      </c>
    </row>
    <row r="60"/>
    <row r="61"/>
    <row r="62"/>
    <row r="63">
      <c r="B63">
        <f>'01_Вводные'!$B$217*'19_Расчет_аналитики'!$F$212</f>
        <v/>
      </c>
    </row>
    <row r="64"/>
    <row r="65"/>
    <row r="66"/>
    <row r="67"/>
    <row r="68"/>
    <row r="69"/>
    <row r="70"/>
    <row r="71"/>
    <row r="72"/>
    <row r="73"/>
    <row r="74"/>
    <row r="75">
      <c r="C75">
        <f>'01_Вводные'!$B$218*'19_Расчет_аналитики'!$F$212</f>
        <v/>
      </c>
    </row>
    <row r="76">
      <c r="C76">
        <f>'01_Вводные'!$B$219*'19_Расчет_аналитики'!$F$212</f>
        <v/>
      </c>
    </row>
    <row r="77">
      <c r="C77">
        <f>'01_Вводные'!$B$220*'19_Расчет_аналитики'!$F$212</f>
        <v/>
      </c>
    </row>
    <row r="78">
      <c r="C78">
        <f>'01_Вводные'!$B$221*'19_Расчет_аналитики'!$F$212</f>
        <v/>
      </c>
    </row>
    <row r="79">
      <c r="C79">
        <f>'01_Вводные'!$B$222*'19_Расчет_аналитики'!$F$212</f>
        <v/>
      </c>
    </row>
    <row r="80"/>
    <row r="81"/>
    <row r="82"/>
    <row r="83"/>
    <row r="84"/>
    <row r="85"/>
    <row r="86">
      <c r="B86">
        <f>'01_Вводные'!$B$223*'19_Расчет_аналитики'!$F$213</f>
        <v/>
      </c>
    </row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>
      <c r="F210">
        <f>'19_Расчет_аналитики'!$B$5</f>
        <v/>
      </c>
    </row>
    <row r="211">
      <c r="F211">
        <f>'19_Расчет_аналитики'!$C$5</f>
        <v/>
      </c>
    </row>
    <row r="212">
      <c r="F212">
        <f>'19_Расчет_аналитики'!$D$5</f>
        <v/>
      </c>
    </row>
    <row r="213">
      <c r="F213">
        <f>'19_Расчет_аналитики'!$E$5</f>
        <v/>
      </c>
    </row>
    <row r="214">
      <c r="F214">
        <f>'19_Расчет_аналитики'!$F$5</f>
        <v/>
      </c>
    </row>
    <row r="215">
      <c r="F215">
        <f>'19_Расчет_аналитики'!$G$5</f>
        <v/>
      </c>
    </row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>
      <c r="B328">
        <f>'19_Расчет_аналитики'!B48</f>
        <v/>
      </c>
      <c r="D328">
        <f>SUM('19_Расчет_аналитики'!B338:M338)</f>
        <v/>
      </c>
      <c r="E328">
        <f>ROUND('19_Расчет_аналитики'!D328-'19_Расчет_аналитики'!B328,8)</f>
        <v/>
      </c>
    </row>
    <row r="329">
      <c r="B329">
        <f>'19_Расчет_аналитики'!B49</f>
        <v/>
      </c>
      <c r="D329">
        <f>SUM('19_Расчет_аналитики'!N338:Y338)</f>
        <v/>
      </c>
      <c r="E329">
        <f>ROUND('19_Расчет_аналитики'!D329-'19_Расчет_аналитики'!B329,8)</f>
        <v/>
      </c>
    </row>
    <row r="330">
      <c r="B330">
        <f>'19_Расчет_аналитики'!B50</f>
        <v/>
      </c>
      <c r="D330">
        <f>SUM('19_Расчет_аналитики'!Z338:AK338)</f>
        <v/>
      </c>
      <c r="E330">
        <f>ROUND('19_Расчет_аналитики'!D330-'19_Расчет_аналитики'!B330,8)</f>
        <v/>
      </c>
    </row>
    <row r="331">
      <c r="B331">
        <f>'19_Расчет_аналитики'!B51</f>
        <v/>
      </c>
      <c r="D331">
        <f>SUM('19_Расчет_аналитики'!AL338:AW338)</f>
        <v/>
      </c>
      <c r="E331">
        <f>ROUND('19_Расчет_аналитики'!D331-'19_Расчет_аналитики'!B331,8)</f>
        <v/>
      </c>
    </row>
    <row r="332">
      <c r="B332">
        <f>'19_Расчет_аналитики'!B52</f>
        <v/>
      </c>
      <c r="D332">
        <f>SUM('19_Расчет_аналитики'!AX338:BI338)</f>
        <v/>
      </c>
      <c r="E332">
        <f>ROUND('19_Расчет_аналитики'!D332-'19_Расчет_аналитики'!B332,8)</f>
        <v/>
      </c>
    </row>
    <row r="333"/>
    <row r="334"/>
    <row r="335"/>
    <row r="336"/>
    <row r="337"/>
    <row r="338">
      <c r="B338">
        <f>0</f>
        <v/>
      </c>
      <c r="C338">
        <f>'19_Расчет_аналитики'!$B$48*INDEX('01_Вводные'!$C$36:$N$36,1,MOD(MONTH('06_Сеть_и_дети'!C$3)-9,12)+1)/(SUM('01_Вводные'!$C$36:$N$36)-INDEX('01_Вводные'!$C$36:$N$36,1,MOD(MONTH('01_Вводные'!$B$7)-9,12)+1))</f>
        <v/>
      </c>
      <c r="D338">
        <f>'19_Расчет_аналитики'!$B$48*INDEX('01_Вводные'!$C$36:$N$36,1,MOD(MONTH('06_Сеть_и_дети'!D$3)-9,12)+1)/(SUM('01_Вводные'!$C$36:$N$36)-INDEX('01_Вводные'!$C$36:$N$36,1,MOD(MONTH('01_Вводные'!$B$7)-9,12)+1))</f>
        <v/>
      </c>
      <c r="E338">
        <f>'19_Расчет_аналитики'!$B$48*INDEX('01_Вводные'!$C$36:$N$36,1,MOD(MONTH('06_Сеть_и_дети'!E$3)-9,12)+1)/(SUM('01_Вводные'!$C$36:$N$36)-INDEX('01_Вводные'!$C$36:$N$36,1,MOD(MONTH('01_Вводные'!$B$7)-9,12)+1))</f>
        <v/>
      </c>
      <c r="F338">
        <f>'19_Расчет_аналитики'!$B$48*INDEX('01_Вводные'!$C$36:$N$36,1,MOD(MONTH('06_Сеть_и_дети'!F$3)-9,12)+1)/(SUM('01_Вводные'!$C$36:$N$36)-INDEX('01_Вводные'!$C$36:$N$36,1,MOD(MONTH('01_Вводные'!$B$7)-9,12)+1))</f>
        <v/>
      </c>
      <c r="G338">
        <f>'19_Расчет_аналитики'!$B$48*INDEX('01_Вводные'!$C$36:$N$36,1,MOD(MONTH('06_Сеть_и_дети'!G$3)-9,12)+1)/(SUM('01_Вводные'!$C$36:$N$36)-INDEX('01_Вводные'!$C$36:$N$36,1,MOD(MONTH('01_Вводные'!$B$7)-9,12)+1))</f>
        <v/>
      </c>
      <c r="H338">
        <f>'19_Расчет_аналитики'!$B$48*INDEX('01_Вводные'!$C$36:$N$36,1,MOD(MONTH('06_Сеть_и_дети'!H$3)-9,12)+1)/(SUM('01_Вводные'!$C$36:$N$36)-INDEX('01_Вводные'!$C$36:$N$36,1,MOD(MONTH('01_Вводные'!$B$7)-9,12)+1))</f>
        <v/>
      </c>
      <c r="I338">
        <f>'19_Расчет_аналитики'!$B$48*INDEX('01_Вводные'!$C$36:$N$36,1,MOD(MONTH('06_Сеть_и_дети'!I$3)-9,12)+1)/(SUM('01_Вводные'!$C$36:$N$36)-INDEX('01_Вводные'!$C$36:$N$36,1,MOD(MONTH('01_Вводные'!$B$7)-9,12)+1))</f>
        <v/>
      </c>
      <c r="J338">
        <f>'19_Расчет_аналитики'!$B$48*INDEX('01_Вводные'!$C$36:$N$36,1,MOD(MONTH('06_Сеть_и_дети'!J$3)-9,12)+1)/(SUM('01_Вводные'!$C$36:$N$36)-INDEX('01_Вводные'!$C$36:$N$36,1,MOD(MONTH('01_Вводные'!$B$7)-9,12)+1))</f>
        <v/>
      </c>
      <c r="K338">
        <f>'19_Расчет_аналитики'!$B$48*INDEX('01_Вводные'!$C$36:$N$36,1,MOD(MONTH('06_Сеть_и_дети'!K$3)-9,12)+1)/(SUM('01_Вводные'!$C$36:$N$36)-INDEX('01_Вводные'!$C$36:$N$36,1,MOD(MONTH('01_Вводные'!$B$7)-9,12)+1))</f>
        <v/>
      </c>
      <c r="L338">
        <f>'19_Расчет_аналитики'!$B$48*INDEX('01_Вводные'!$C$36:$N$36,1,MOD(MONTH('06_Сеть_и_дети'!L$3)-9,12)+1)/(SUM('01_Вводные'!$C$36:$N$36)-INDEX('01_Вводные'!$C$36:$N$36,1,MOD(MONTH('01_Вводные'!$B$7)-9,12)+1))</f>
        <v/>
      </c>
      <c r="M338">
        <f>'19_Расчет_аналитики'!$B$48*INDEX('01_Вводные'!$C$36:$N$36,1,MOD(MONTH('06_Сеть_и_дети'!M$3)-9,12)+1)/(SUM('01_Вводные'!$C$36:$N$36)-INDEX('01_Вводные'!$C$36:$N$36,1,MOD(MONTH('01_Вводные'!$B$7)-9,12)+1))</f>
        <v/>
      </c>
      <c r="N338">
        <f>'19_Расчет_аналитики'!$B$49*INDEX('01_Вводные'!$C$37:$N$37,1,MOD(MONTH('06_Сеть_и_дети'!N$3)-9,12)+1)/SUM('01_Вводные'!$C$37:$N$37)</f>
        <v/>
      </c>
      <c r="O338">
        <f>'19_Расчет_аналитики'!$B$49*INDEX('01_Вводные'!$C$37:$N$37,1,MOD(MONTH('06_Сеть_и_дети'!O$3)-9,12)+1)/SUM('01_Вводные'!$C$37:$N$37)</f>
        <v/>
      </c>
      <c r="P338">
        <f>'19_Расчет_аналитики'!$B$49*INDEX('01_Вводные'!$C$37:$N$37,1,MOD(MONTH('06_Сеть_и_дети'!P$3)-9,12)+1)/SUM('01_Вводные'!$C$37:$N$37)</f>
        <v/>
      </c>
      <c r="Q338">
        <f>'19_Расчет_аналитики'!$B$49*INDEX('01_Вводные'!$C$37:$N$37,1,MOD(MONTH('06_Сеть_и_дети'!Q$3)-9,12)+1)/SUM('01_Вводные'!$C$37:$N$37)</f>
        <v/>
      </c>
      <c r="R338">
        <f>'19_Расчет_аналитики'!$B$49*INDEX('01_Вводные'!$C$37:$N$37,1,MOD(MONTH('06_Сеть_и_дети'!R$3)-9,12)+1)/SUM('01_Вводные'!$C$37:$N$37)</f>
        <v/>
      </c>
      <c r="S338">
        <f>'19_Расчет_аналитики'!$B$49*INDEX('01_Вводные'!$C$37:$N$37,1,MOD(MONTH('06_Сеть_и_дети'!S$3)-9,12)+1)/SUM('01_Вводные'!$C$37:$N$37)</f>
        <v/>
      </c>
      <c r="T338">
        <f>'19_Расчет_аналитики'!$B$49*INDEX('01_Вводные'!$C$37:$N$37,1,MOD(MONTH('06_Сеть_и_дети'!T$3)-9,12)+1)/SUM('01_Вводные'!$C$37:$N$37)</f>
        <v/>
      </c>
      <c r="U338">
        <f>'19_Расчет_аналитики'!$B$49*INDEX('01_Вводные'!$C$37:$N$37,1,MOD(MONTH('06_Сеть_и_дети'!U$3)-9,12)+1)/SUM('01_Вводные'!$C$37:$N$37)</f>
        <v/>
      </c>
      <c r="V338">
        <f>'19_Расчет_аналитики'!$B$49*INDEX('01_Вводные'!$C$37:$N$37,1,MOD(MONTH('06_Сеть_и_дети'!V$3)-9,12)+1)/SUM('01_Вводные'!$C$37:$N$37)</f>
        <v/>
      </c>
      <c r="W338">
        <f>'19_Расчет_аналитики'!$B$49*INDEX('01_Вводные'!$C$37:$N$37,1,MOD(MONTH('06_Сеть_и_дети'!W$3)-9,12)+1)/SUM('01_Вводные'!$C$37:$N$37)</f>
        <v/>
      </c>
      <c r="X338">
        <f>'19_Расчет_аналитики'!$B$49*INDEX('01_Вводные'!$C$37:$N$37,1,MOD(MONTH('06_Сеть_и_дети'!X$3)-9,12)+1)/SUM('01_Вводные'!$C$37:$N$37)</f>
        <v/>
      </c>
      <c r="Y338">
        <f>'19_Расчет_аналитики'!$B$49*INDEX('01_Вводные'!$C$37:$N$37,1,MOD(MONTH('06_Сеть_и_дети'!Y$3)-9,12)+1)/SUM('01_Вводные'!$C$37:$N$37)</f>
        <v/>
      </c>
      <c r="Z338">
        <f>'19_Расчет_аналитики'!$B$50*INDEX('01_Вводные'!$C$38:$N$38,1,MOD(MONTH('06_Сеть_и_дети'!Z$3)-9,12)+1)/SUM('01_Вводные'!$C$38:$N$38)</f>
        <v/>
      </c>
      <c r="AA338">
        <f>'19_Расчет_аналитики'!$B$50*INDEX('01_Вводные'!$C$38:$N$38,1,MOD(MONTH('06_Сеть_и_дети'!AA$3)-9,12)+1)/SUM('01_Вводные'!$C$38:$N$38)</f>
        <v/>
      </c>
      <c r="AB338">
        <f>'19_Расчет_аналитики'!$B$50*INDEX('01_Вводные'!$C$38:$N$38,1,MOD(MONTH('06_Сеть_и_дети'!AB$3)-9,12)+1)/SUM('01_Вводные'!$C$38:$N$38)</f>
        <v/>
      </c>
      <c r="AC338">
        <f>'19_Расчет_аналитики'!$B$50*INDEX('01_Вводные'!$C$38:$N$38,1,MOD(MONTH('06_Сеть_и_дети'!AC$3)-9,12)+1)/SUM('01_Вводные'!$C$38:$N$38)</f>
        <v/>
      </c>
      <c r="AD338">
        <f>'19_Расчет_аналитики'!$B$50*INDEX('01_Вводные'!$C$38:$N$38,1,MOD(MONTH('06_Сеть_и_дети'!AD$3)-9,12)+1)/SUM('01_Вводные'!$C$38:$N$38)</f>
        <v/>
      </c>
      <c r="AE338">
        <f>'19_Расчет_аналитики'!$B$50*INDEX('01_Вводные'!$C$38:$N$38,1,MOD(MONTH('06_Сеть_и_дети'!AE$3)-9,12)+1)/SUM('01_Вводные'!$C$38:$N$38)</f>
        <v/>
      </c>
      <c r="AF338">
        <f>'19_Расчет_аналитики'!$B$50*INDEX('01_Вводные'!$C$38:$N$38,1,MOD(MONTH('06_Сеть_и_дети'!AF$3)-9,12)+1)/SUM('01_Вводные'!$C$38:$N$38)</f>
        <v/>
      </c>
      <c r="AG338">
        <f>'19_Расчет_аналитики'!$B$50*INDEX('01_Вводные'!$C$38:$N$38,1,MOD(MONTH('06_Сеть_и_дети'!AG$3)-9,12)+1)/SUM('01_Вводные'!$C$38:$N$38)</f>
        <v/>
      </c>
      <c r="AH338">
        <f>'19_Расчет_аналитики'!$B$50*INDEX('01_Вводные'!$C$38:$N$38,1,MOD(MONTH('06_Сеть_и_дети'!AH$3)-9,12)+1)/SUM('01_Вводные'!$C$38:$N$38)</f>
        <v/>
      </c>
      <c r="AI338">
        <f>'19_Расчет_аналитики'!$B$50*INDEX('01_Вводные'!$C$38:$N$38,1,MOD(MONTH('06_Сеть_и_дети'!AI$3)-9,12)+1)/SUM('01_Вводные'!$C$38:$N$38)</f>
        <v/>
      </c>
      <c r="AJ338">
        <f>'19_Расчет_аналитики'!$B$50*INDEX('01_Вводные'!$C$38:$N$38,1,MOD(MONTH('06_Сеть_и_дети'!AJ$3)-9,12)+1)/SUM('01_Вводные'!$C$38:$N$38)</f>
        <v/>
      </c>
      <c r="AK338">
        <f>'19_Расчет_аналитики'!$B$50*INDEX('01_Вводные'!$C$38:$N$38,1,MOD(MONTH('06_Сеть_и_дети'!AK$3)-9,12)+1)/SUM('01_Вводные'!$C$38:$N$38)</f>
        <v/>
      </c>
      <c r="AL338">
        <f>'19_Расчет_аналитики'!$B$51*INDEX('01_Вводные'!$C$39:$N$39,1,MOD(MONTH('06_Сеть_и_дети'!AL$3)-9,12)+1)/SUM('01_Вводные'!$C$39:$N$39)</f>
        <v/>
      </c>
      <c r="AM338">
        <f>'19_Расчет_аналитики'!$B$51*INDEX('01_Вводные'!$C$39:$N$39,1,MOD(MONTH('06_Сеть_и_дети'!AM$3)-9,12)+1)/SUM('01_Вводные'!$C$39:$N$39)</f>
        <v/>
      </c>
      <c r="AN338">
        <f>'19_Расчет_аналитики'!$B$51*INDEX('01_Вводные'!$C$39:$N$39,1,MOD(MONTH('06_Сеть_и_дети'!AN$3)-9,12)+1)/SUM('01_Вводные'!$C$39:$N$39)</f>
        <v/>
      </c>
      <c r="AO338">
        <f>'19_Расчет_аналитики'!$B$51*INDEX('01_Вводные'!$C$39:$N$39,1,MOD(MONTH('06_Сеть_и_дети'!AO$3)-9,12)+1)/SUM('01_Вводные'!$C$39:$N$39)</f>
        <v/>
      </c>
      <c r="AP338">
        <f>'19_Расчет_аналитики'!$B$51*INDEX('01_Вводные'!$C$39:$N$39,1,MOD(MONTH('06_Сеть_и_дети'!AP$3)-9,12)+1)/SUM('01_Вводные'!$C$39:$N$39)</f>
        <v/>
      </c>
      <c r="AQ338">
        <f>'19_Расчет_аналитики'!$B$51*INDEX('01_Вводные'!$C$39:$N$39,1,MOD(MONTH('06_Сеть_и_дети'!AQ$3)-9,12)+1)/SUM('01_Вводные'!$C$39:$N$39)</f>
        <v/>
      </c>
      <c r="AR338">
        <f>'19_Расчет_аналитики'!$B$51*INDEX('01_Вводные'!$C$39:$N$39,1,MOD(MONTH('06_Сеть_и_дети'!AR$3)-9,12)+1)/SUM('01_Вводные'!$C$39:$N$39)</f>
        <v/>
      </c>
      <c r="AS338">
        <f>'19_Расчет_аналитики'!$B$51*INDEX('01_Вводные'!$C$39:$N$39,1,MOD(MONTH('06_Сеть_и_дети'!AS$3)-9,12)+1)/SUM('01_Вводные'!$C$39:$N$39)</f>
        <v/>
      </c>
      <c r="AT338">
        <f>'19_Расчет_аналитики'!$B$51*INDEX('01_Вводные'!$C$39:$N$39,1,MOD(MONTH('06_Сеть_и_дети'!AT$3)-9,12)+1)/SUM('01_Вводные'!$C$39:$N$39)</f>
        <v/>
      </c>
      <c r="AU338">
        <f>'19_Расчет_аналитики'!$B$51*INDEX('01_Вводные'!$C$39:$N$39,1,MOD(MONTH('06_Сеть_и_дети'!AU$3)-9,12)+1)/SUM('01_Вводные'!$C$39:$N$39)</f>
        <v/>
      </c>
      <c r="AV338">
        <f>'19_Расчет_аналитики'!$B$51*INDEX('01_Вводные'!$C$39:$N$39,1,MOD(MONTH('06_Сеть_и_дети'!AV$3)-9,12)+1)/SUM('01_Вводные'!$C$39:$N$39)</f>
        <v/>
      </c>
      <c r="AW338">
        <f>'19_Расчет_аналитики'!$B$51*INDEX('01_Вводные'!$C$39:$N$39,1,MOD(MONTH('06_Сеть_и_дети'!AW$3)-9,12)+1)/SUM('01_Вводные'!$C$39:$N$39)</f>
        <v/>
      </c>
      <c r="AX338">
        <f>'19_Расчет_аналитики'!$B$52*INDEX('01_Вводные'!$C$40:$N$40,1,MOD(MONTH('06_Сеть_и_дети'!AX$3)-9,12)+1)/SUM('01_Вводные'!$C$40:$N$40)</f>
        <v/>
      </c>
      <c r="AY338">
        <f>'19_Расчет_аналитики'!$B$52*INDEX('01_Вводные'!$C$40:$N$40,1,MOD(MONTH('06_Сеть_и_дети'!AY$3)-9,12)+1)/SUM('01_Вводные'!$C$40:$N$40)</f>
        <v/>
      </c>
      <c r="AZ338">
        <f>'19_Расчет_аналитики'!$B$52*INDEX('01_Вводные'!$C$40:$N$40,1,MOD(MONTH('06_Сеть_и_дети'!AZ$3)-9,12)+1)/SUM('01_Вводные'!$C$40:$N$40)</f>
        <v/>
      </c>
      <c r="BA338">
        <f>'19_Расчет_аналитики'!$B$52*INDEX('01_Вводные'!$C$40:$N$40,1,MOD(MONTH('06_Сеть_и_дети'!BA$3)-9,12)+1)/SUM('01_Вводные'!$C$40:$N$40)</f>
        <v/>
      </c>
      <c r="BB338">
        <f>'19_Расчет_аналитики'!$B$52*INDEX('01_Вводные'!$C$40:$N$40,1,MOD(MONTH('06_Сеть_и_дети'!BB$3)-9,12)+1)/SUM('01_Вводные'!$C$40:$N$40)</f>
        <v/>
      </c>
      <c r="BC338">
        <f>'19_Расчет_аналитики'!$B$52*INDEX('01_Вводные'!$C$40:$N$40,1,MOD(MONTH('06_Сеть_и_дети'!BC$3)-9,12)+1)/SUM('01_Вводные'!$C$40:$N$40)</f>
        <v/>
      </c>
      <c r="BD338">
        <f>'19_Расчет_аналитики'!$B$52*INDEX('01_Вводные'!$C$40:$N$40,1,MOD(MONTH('06_Сеть_и_дети'!BD$3)-9,12)+1)/SUM('01_Вводные'!$C$40:$N$40)</f>
        <v/>
      </c>
      <c r="BE338">
        <f>'19_Расчет_аналитики'!$B$52*INDEX('01_Вводные'!$C$40:$N$40,1,MOD(MONTH('06_Сеть_и_дети'!BE$3)-9,12)+1)/SUM('01_Вводные'!$C$40:$N$40)</f>
        <v/>
      </c>
      <c r="BF338">
        <f>'19_Расчет_аналитики'!$B$52*INDEX('01_Вводные'!$C$40:$N$40,1,MOD(MONTH('06_Сеть_и_дети'!BF$3)-9,12)+1)/SUM('01_Вводные'!$C$40:$N$40)</f>
        <v/>
      </c>
      <c r="BG338">
        <f>'19_Расчет_аналитики'!$B$52*INDEX('01_Вводные'!$C$40:$N$40,1,MOD(MONTH('06_Сеть_и_дети'!BG$3)-9,12)+1)/SUM('01_Вводные'!$C$40:$N$40)</f>
        <v/>
      </c>
      <c r="BH338">
        <f>'19_Расчет_аналитики'!$B$52*INDEX('01_Вводные'!$C$40:$N$40,1,MOD(MONTH('06_Сеть_и_дети'!BH$3)-9,12)+1)/SUM('01_Вводные'!$C$40:$N$40)</f>
        <v/>
      </c>
      <c r="BI338">
        <f>'19_Расчет_аналитики'!$B$52*INDEX('01_Вводные'!$C$40:$N$40,1,MOD(MONTH('06_Сеть_и_дети'!BI$3)-9,12)+1)/SUM('01_Вводные'!$C$40:$N$40)</f>
        <v/>
      </c>
    </row>
    <row r="339">
      <c r="A339" t="inlineStr">
        <is>
          <t>Минимальный запас для возврата займа</t>
        </is>
      </c>
      <c r="B339">
        <f>SUM(IF('01_Вводные'!$B$310&gt;=1,'19_Расчет_аналитики'!C617,0),IF('01_Вводные'!$B$310&gt;=2,'19_Расчет_аналитики'!D617,0),IF('01_Вводные'!$B$310&gt;=3,'19_Расчет_аналитики'!E617,0),IF('01_Вводные'!$B$310&gt;=4,'19_Расчет_аналитики'!F617,0),IF('01_Вводные'!$B$310&gt;=5,'19_Расчет_аналитики'!G617,0),IF('01_Вводные'!$B$310&gt;=6,'19_Расчет_аналитики'!H617,0))</f>
        <v/>
      </c>
      <c r="C339">
        <f>SUM(IF('01_Вводные'!$B$310&gt;=1,'19_Расчет_аналитики'!D617,0),IF('01_Вводные'!$B$310&gt;=2,'19_Расчет_аналитики'!E617,0),IF('01_Вводные'!$B$310&gt;=3,'19_Расчет_аналитики'!F617,0),IF('01_Вводные'!$B$310&gt;=4,'19_Расчет_аналитики'!G617,0),IF('01_Вводные'!$B$310&gt;=5,'19_Расчет_аналитики'!H617,0),IF('01_Вводные'!$B$310&gt;=6,'19_Расчет_аналитики'!I617,0))</f>
        <v/>
      </c>
      <c r="D339">
        <f>SUM(IF('01_Вводные'!$B$310&gt;=1,'19_Расчет_аналитики'!E617,0),IF('01_Вводные'!$B$310&gt;=2,'19_Расчет_аналитики'!F617,0),IF('01_Вводные'!$B$310&gt;=3,'19_Расчет_аналитики'!G617,0),IF('01_Вводные'!$B$310&gt;=4,'19_Расчет_аналитики'!H617,0),IF('01_Вводные'!$B$310&gt;=5,'19_Расчет_аналитики'!I617,0),IF('01_Вводные'!$B$310&gt;=6,'19_Расчет_аналитики'!J617,0))</f>
        <v/>
      </c>
      <c r="E339">
        <f>SUM(IF('01_Вводные'!$B$310&gt;=1,'19_Расчет_аналитики'!F617,0),IF('01_Вводные'!$B$310&gt;=2,'19_Расчет_аналитики'!G617,0),IF('01_Вводные'!$B$310&gt;=3,'19_Расчет_аналитики'!H617,0),IF('01_Вводные'!$B$310&gt;=4,'19_Расчет_аналитики'!I617,0),IF('01_Вводные'!$B$310&gt;=5,'19_Расчет_аналитики'!J617,0),IF('01_Вводные'!$B$310&gt;=6,'19_Расчет_аналитики'!K617,0))</f>
        <v/>
      </c>
      <c r="F339">
        <f>SUM(IF('01_Вводные'!$B$310&gt;=1,'19_Расчет_аналитики'!G617,0),IF('01_Вводные'!$B$310&gt;=2,'19_Расчет_аналитики'!H617,0),IF('01_Вводные'!$B$310&gt;=3,'19_Расчет_аналитики'!I617,0),IF('01_Вводные'!$B$310&gt;=4,'19_Расчет_аналитики'!J617,0),IF('01_Вводные'!$B$310&gt;=5,'19_Расчет_аналитики'!K617,0),IF('01_Вводные'!$B$310&gt;=6,'19_Расчет_аналитики'!L617,0))</f>
        <v/>
      </c>
      <c r="G339">
        <f>SUM(IF('01_Вводные'!$B$310&gt;=1,'19_Расчет_аналитики'!H617,0),IF('01_Вводные'!$B$310&gt;=2,'19_Расчет_аналитики'!I617,0),IF('01_Вводные'!$B$310&gt;=3,'19_Расчет_аналитики'!J617,0),IF('01_Вводные'!$B$310&gt;=4,'19_Расчет_аналитики'!K617,0),IF('01_Вводные'!$B$310&gt;=5,'19_Расчет_аналитики'!L617,0),IF('01_Вводные'!$B$310&gt;=6,'19_Расчет_аналитики'!M617,0))</f>
        <v/>
      </c>
      <c r="H339">
        <f>SUM(IF('01_Вводные'!$B$310&gt;=1,'19_Расчет_аналитики'!I617,0),IF('01_Вводные'!$B$310&gt;=2,'19_Расчет_аналитики'!J617,0),IF('01_Вводные'!$B$310&gt;=3,'19_Расчет_аналитики'!K617,0),IF('01_Вводные'!$B$310&gt;=4,'19_Расчет_аналитики'!L617,0),IF('01_Вводные'!$B$310&gt;=5,'19_Расчет_аналитики'!M617,0),IF('01_Вводные'!$B$310&gt;=6,'19_Расчет_аналитики'!N617,0))</f>
        <v/>
      </c>
      <c r="I339">
        <f>SUM(IF('01_Вводные'!$B$310&gt;=1,'19_Расчет_аналитики'!J617,0),IF('01_Вводные'!$B$310&gt;=2,'19_Расчет_аналитики'!K617,0),IF('01_Вводные'!$B$310&gt;=3,'19_Расчет_аналитики'!L617,0),IF('01_Вводные'!$B$310&gt;=4,'19_Расчет_аналитики'!M617,0),IF('01_Вводные'!$B$310&gt;=5,'19_Расчет_аналитики'!N617,0),IF('01_Вводные'!$B$310&gt;=6,'19_Расчет_аналитики'!O617,0))</f>
        <v/>
      </c>
      <c r="J339">
        <f>SUM(IF('01_Вводные'!$B$310&gt;=1,'19_Расчет_аналитики'!K617,0),IF('01_Вводные'!$B$310&gt;=2,'19_Расчет_аналитики'!L617,0),IF('01_Вводные'!$B$310&gt;=3,'19_Расчет_аналитики'!M617,0),IF('01_Вводные'!$B$310&gt;=4,'19_Расчет_аналитики'!N617,0),IF('01_Вводные'!$B$310&gt;=5,'19_Расчет_аналитики'!O617,0),IF('01_Вводные'!$B$310&gt;=6,'19_Расчет_аналитики'!P617,0))</f>
        <v/>
      </c>
      <c r="K339">
        <f>SUM(IF('01_Вводные'!$B$310&gt;=1,'19_Расчет_аналитики'!L617,0),IF('01_Вводные'!$B$310&gt;=2,'19_Расчет_аналитики'!M617,0),IF('01_Вводные'!$B$310&gt;=3,'19_Расчет_аналитики'!N617,0),IF('01_Вводные'!$B$310&gt;=4,'19_Расчет_аналитики'!O617,0),IF('01_Вводные'!$B$310&gt;=5,'19_Расчет_аналитики'!P617,0),IF('01_Вводные'!$B$310&gt;=6,'19_Расчет_аналитики'!Q617,0))</f>
        <v/>
      </c>
      <c r="L339">
        <f>SUM(IF('01_Вводные'!$B$310&gt;=1,'19_Расчет_аналитики'!M617,0),IF('01_Вводные'!$B$310&gt;=2,'19_Расчет_аналитики'!N617,0),IF('01_Вводные'!$B$310&gt;=3,'19_Расчет_аналитики'!O617,0),IF('01_Вводные'!$B$310&gt;=4,'19_Расчет_аналитики'!P617,0),IF('01_Вводные'!$B$310&gt;=5,'19_Расчет_аналитики'!Q617,0),IF('01_Вводные'!$B$310&gt;=6,'19_Расчет_аналитики'!R617,0))</f>
        <v/>
      </c>
      <c r="M339">
        <f>SUM(IF('01_Вводные'!$B$310&gt;=1,'19_Расчет_аналитики'!N617,0),IF('01_Вводные'!$B$310&gt;=2,'19_Расчет_аналитики'!O617,0),IF('01_Вводные'!$B$310&gt;=3,'19_Расчет_аналитики'!P617,0),IF('01_Вводные'!$B$310&gt;=4,'19_Расчет_аналитики'!Q617,0),IF('01_Вводные'!$B$310&gt;=5,'19_Расчет_аналитики'!R617,0),IF('01_Вводные'!$B$310&gt;=6,'19_Расчет_аналитики'!S617,0))</f>
        <v/>
      </c>
      <c r="N339">
        <f>SUM(IF('01_Вводные'!$B$310&gt;=1,'19_Расчет_аналитики'!O617,0),IF('01_Вводные'!$B$310&gt;=2,'19_Расчет_аналитики'!P617,0),IF('01_Вводные'!$B$310&gt;=3,'19_Расчет_аналитики'!Q617,0),IF('01_Вводные'!$B$310&gt;=4,'19_Расчет_аналитики'!R617,0),IF('01_Вводные'!$B$310&gt;=5,'19_Расчет_аналитики'!S617,0),IF('01_Вводные'!$B$310&gt;=6,'19_Расчет_аналитики'!T617,0))</f>
        <v/>
      </c>
      <c r="O339">
        <f>SUM(IF('01_Вводные'!$B$310&gt;=1,'19_Расчет_аналитики'!P617,0),IF('01_Вводные'!$B$310&gt;=2,'19_Расчет_аналитики'!Q617,0),IF('01_Вводные'!$B$310&gt;=3,'19_Расчет_аналитики'!R617,0),IF('01_Вводные'!$B$310&gt;=4,'19_Расчет_аналитики'!S617,0),IF('01_Вводные'!$B$310&gt;=5,'19_Расчет_аналитики'!T617,0),IF('01_Вводные'!$B$310&gt;=6,'19_Расчет_аналитики'!U617,0))</f>
        <v/>
      </c>
      <c r="P339">
        <f>SUM(IF('01_Вводные'!$B$310&gt;=1,'19_Расчет_аналитики'!Q617,0),IF('01_Вводные'!$B$310&gt;=2,'19_Расчет_аналитики'!R617,0),IF('01_Вводные'!$B$310&gt;=3,'19_Расчет_аналитики'!S617,0),IF('01_Вводные'!$B$310&gt;=4,'19_Расчет_аналитики'!T617,0),IF('01_Вводные'!$B$310&gt;=5,'19_Расчет_аналитики'!U617,0),IF('01_Вводные'!$B$310&gt;=6,'19_Расчет_аналитики'!V617,0))</f>
        <v/>
      </c>
      <c r="Q339">
        <f>SUM(IF('01_Вводные'!$B$310&gt;=1,'19_Расчет_аналитики'!R617,0),IF('01_Вводные'!$B$310&gt;=2,'19_Расчет_аналитики'!S617,0),IF('01_Вводные'!$B$310&gt;=3,'19_Расчет_аналитики'!T617,0),IF('01_Вводные'!$B$310&gt;=4,'19_Расчет_аналитики'!U617,0),IF('01_Вводные'!$B$310&gt;=5,'19_Расчет_аналитики'!V617,0),IF('01_Вводные'!$B$310&gt;=6,'19_Расчет_аналитики'!W617,0))</f>
        <v/>
      </c>
      <c r="R339">
        <f>SUM(IF('01_Вводные'!$B$310&gt;=1,'19_Расчет_аналитики'!S617,0),IF('01_Вводные'!$B$310&gt;=2,'19_Расчет_аналитики'!T617,0),IF('01_Вводные'!$B$310&gt;=3,'19_Расчет_аналитики'!U617,0),IF('01_Вводные'!$B$310&gt;=4,'19_Расчет_аналитики'!V617,0),IF('01_Вводные'!$B$310&gt;=5,'19_Расчет_аналитики'!W617,0),IF('01_Вводные'!$B$310&gt;=6,'19_Расчет_аналитики'!X617,0))</f>
        <v/>
      </c>
      <c r="S339">
        <f>SUM(IF('01_Вводные'!$B$310&gt;=1,'19_Расчет_аналитики'!T617,0),IF('01_Вводные'!$B$310&gt;=2,'19_Расчет_аналитики'!U617,0),IF('01_Вводные'!$B$310&gt;=3,'19_Расчет_аналитики'!V617,0),IF('01_Вводные'!$B$310&gt;=4,'19_Расчет_аналитики'!W617,0),IF('01_Вводные'!$B$310&gt;=5,'19_Расчет_аналитики'!X617,0),IF('01_Вводные'!$B$310&gt;=6,'19_Расчет_аналитики'!Y617,0))</f>
        <v/>
      </c>
      <c r="T339">
        <f>SUM(IF('01_Вводные'!$B$310&gt;=1,'19_Расчет_аналитики'!U617,0),IF('01_Вводные'!$B$310&gt;=2,'19_Расчет_аналитики'!V617,0),IF('01_Вводные'!$B$310&gt;=3,'19_Расчет_аналитики'!W617,0),IF('01_Вводные'!$B$310&gt;=4,'19_Расчет_аналитики'!X617,0),IF('01_Вводные'!$B$310&gt;=5,'19_Расчет_аналитики'!Y617,0),IF('01_Вводные'!$B$310&gt;=6,'19_Расчет_аналитики'!Z617,0))</f>
        <v/>
      </c>
      <c r="U339">
        <f>SUM(IF('01_Вводные'!$B$310&gt;=1,'19_Расчет_аналитики'!V617,0),IF('01_Вводные'!$B$310&gt;=2,'19_Расчет_аналитики'!W617,0),IF('01_Вводные'!$B$310&gt;=3,'19_Расчет_аналитики'!X617,0),IF('01_Вводные'!$B$310&gt;=4,'19_Расчет_аналитики'!Y617,0),IF('01_Вводные'!$B$310&gt;=5,'19_Расчет_аналитики'!Z617,0),IF('01_Вводные'!$B$310&gt;=6,'19_Расчет_аналитики'!AA617,0))</f>
        <v/>
      </c>
      <c r="V339">
        <f>SUM(IF('01_Вводные'!$B$310&gt;=1,'19_Расчет_аналитики'!W617,0),IF('01_Вводные'!$B$310&gt;=2,'19_Расчет_аналитики'!X617,0),IF('01_Вводные'!$B$310&gt;=3,'19_Расчет_аналитики'!Y617,0),IF('01_Вводные'!$B$310&gt;=4,'19_Расчет_аналитики'!Z617,0),IF('01_Вводные'!$B$310&gt;=5,'19_Расчет_аналитики'!AA617,0),IF('01_Вводные'!$B$310&gt;=6,'19_Расчет_аналитики'!AB617,0))</f>
        <v/>
      </c>
      <c r="W339">
        <f>SUM(IF('01_Вводные'!$B$310&gt;=1,'19_Расчет_аналитики'!X617,0),IF('01_Вводные'!$B$310&gt;=2,'19_Расчет_аналитики'!Y617,0),IF('01_Вводные'!$B$310&gt;=3,'19_Расчет_аналитики'!Z617,0),IF('01_Вводные'!$B$310&gt;=4,'19_Расчет_аналитики'!AA617,0),IF('01_Вводные'!$B$310&gt;=5,'19_Расчет_аналитики'!AB617,0),IF('01_Вводные'!$B$310&gt;=6,'19_Расчет_аналитики'!AC617,0))</f>
        <v/>
      </c>
      <c r="X339">
        <f>SUM(IF('01_Вводные'!$B$310&gt;=1,'19_Расчет_аналитики'!Y617,0),IF('01_Вводные'!$B$310&gt;=2,'19_Расчет_аналитики'!Z617,0),IF('01_Вводные'!$B$310&gt;=3,'19_Расчет_аналитики'!AA617,0),IF('01_Вводные'!$B$310&gt;=4,'19_Расчет_аналитики'!AB617,0),IF('01_Вводные'!$B$310&gt;=5,'19_Расчет_аналитики'!AC617,0),IF('01_Вводные'!$B$310&gt;=6,'19_Расчет_аналитики'!AD617,0))</f>
        <v/>
      </c>
      <c r="Y339">
        <f>SUM(IF('01_Вводные'!$B$310&gt;=1,'19_Расчет_аналитики'!Z617,0),IF('01_Вводные'!$B$310&gt;=2,'19_Расчет_аналитики'!AA617,0),IF('01_Вводные'!$B$310&gt;=3,'19_Расчет_аналитики'!AB617,0),IF('01_Вводные'!$B$310&gt;=4,'19_Расчет_аналитики'!AC617,0),IF('01_Вводные'!$B$310&gt;=5,'19_Расчет_аналитики'!AD617,0),IF('01_Вводные'!$B$310&gt;=6,'19_Расчет_аналитики'!AE617,0))</f>
        <v/>
      </c>
      <c r="Z339">
        <f>SUM(IF('01_Вводные'!$B$310&gt;=1,'19_Расчет_аналитики'!AA617,0),IF('01_Вводные'!$B$310&gt;=2,'19_Расчет_аналитики'!AB617,0),IF('01_Вводные'!$B$310&gt;=3,'19_Расчет_аналитики'!AC617,0),IF('01_Вводные'!$B$310&gt;=4,'19_Расчет_аналитики'!AD617,0),IF('01_Вводные'!$B$310&gt;=5,'19_Расчет_аналитики'!AE617,0),IF('01_Вводные'!$B$310&gt;=6,'19_Расчет_аналитики'!AF617,0))</f>
        <v/>
      </c>
      <c r="AA339">
        <f>SUM(IF('01_Вводные'!$B$310&gt;=1,'19_Расчет_аналитики'!AB617,0),IF('01_Вводные'!$B$310&gt;=2,'19_Расчет_аналитики'!AC617,0),IF('01_Вводные'!$B$310&gt;=3,'19_Расчет_аналитики'!AD617,0),IF('01_Вводные'!$B$310&gt;=4,'19_Расчет_аналитики'!AE617,0),IF('01_Вводные'!$B$310&gt;=5,'19_Расчет_аналитики'!AF617,0),IF('01_Вводные'!$B$310&gt;=6,'19_Расчет_аналитики'!AG617,0))</f>
        <v/>
      </c>
      <c r="AB339">
        <f>SUM(IF('01_Вводные'!$B$310&gt;=1,'19_Расчет_аналитики'!AC617,0),IF('01_Вводные'!$B$310&gt;=2,'19_Расчет_аналитики'!AD617,0),IF('01_Вводные'!$B$310&gt;=3,'19_Расчет_аналитики'!AE617,0),IF('01_Вводные'!$B$310&gt;=4,'19_Расчет_аналитики'!AF617,0),IF('01_Вводные'!$B$310&gt;=5,'19_Расчет_аналитики'!AG617,0),IF('01_Вводные'!$B$310&gt;=6,'19_Расчет_аналитики'!AH617,0))</f>
        <v/>
      </c>
      <c r="AC339">
        <f>SUM(IF('01_Вводные'!$B$310&gt;=1,'19_Расчет_аналитики'!AD617,0),IF('01_Вводные'!$B$310&gt;=2,'19_Расчет_аналитики'!AE617,0),IF('01_Вводные'!$B$310&gt;=3,'19_Расчет_аналитики'!AF617,0),IF('01_Вводные'!$B$310&gt;=4,'19_Расчет_аналитики'!AG617,0),IF('01_Вводные'!$B$310&gt;=5,'19_Расчет_аналитики'!AH617,0),IF('01_Вводные'!$B$310&gt;=6,'19_Расчет_аналитики'!AI617,0))</f>
        <v/>
      </c>
      <c r="AD339">
        <f>SUM(IF('01_Вводные'!$B$310&gt;=1,'19_Расчет_аналитики'!AE617,0),IF('01_Вводные'!$B$310&gt;=2,'19_Расчет_аналитики'!AF617,0),IF('01_Вводные'!$B$310&gt;=3,'19_Расчет_аналитики'!AG617,0),IF('01_Вводные'!$B$310&gt;=4,'19_Расчет_аналитики'!AH617,0),IF('01_Вводные'!$B$310&gt;=5,'19_Расчет_аналитики'!AI617,0),IF('01_Вводные'!$B$310&gt;=6,'19_Расчет_аналитики'!AJ617,0))</f>
        <v/>
      </c>
      <c r="AE339">
        <f>SUM(IF('01_Вводные'!$B$310&gt;=1,'19_Расчет_аналитики'!AF617,0),IF('01_Вводные'!$B$310&gt;=2,'19_Расчет_аналитики'!AG617,0),IF('01_Вводные'!$B$310&gt;=3,'19_Расчет_аналитики'!AH617,0),IF('01_Вводные'!$B$310&gt;=4,'19_Расчет_аналитики'!AI617,0),IF('01_Вводные'!$B$310&gt;=5,'19_Расчет_аналитики'!AJ617,0),IF('01_Вводные'!$B$310&gt;=6,'19_Расчет_аналитики'!AK617,0))</f>
        <v/>
      </c>
      <c r="AF339">
        <f>SUM(IF('01_Вводные'!$B$310&gt;=1,'19_Расчет_аналитики'!AG617,0),IF('01_Вводные'!$B$310&gt;=2,'19_Расчет_аналитики'!AH617,0),IF('01_Вводные'!$B$310&gt;=3,'19_Расчет_аналитики'!AI617,0),IF('01_Вводные'!$B$310&gt;=4,'19_Расчет_аналитики'!AJ617,0),IF('01_Вводные'!$B$310&gt;=5,'19_Расчет_аналитики'!AK617,0),IF('01_Вводные'!$B$310&gt;=6,'19_Расчет_аналитики'!AL617,0))</f>
        <v/>
      </c>
      <c r="AG339">
        <f>SUM(IF('01_Вводные'!$B$310&gt;=1,'19_Расчет_аналитики'!AH617,0),IF('01_Вводные'!$B$310&gt;=2,'19_Расчет_аналитики'!AI617,0),IF('01_Вводные'!$B$310&gt;=3,'19_Расчет_аналитики'!AJ617,0),IF('01_Вводные'!$B$310&gt;=4,'19_Расчет_аналитики'!AK617,0),IF('01_Вводные'!$B$310&gt;=5,'19_Расчет_аналитики'!AL617,0),IF('01_Вводные'!$B$310&gt;=6,'19_Расчет_аналитики'!AM617,0))</f>
        <v/>
      </c>
      <c r="AH339">
        <f>SUM(IF('01_Вводные'!$B$310&gt;=1,'19_Расчет_аналитики'!AI617,0),IF('01_Вводные'!$B$310&gt;=2,'19_Расчет_аналитики'!AJ617,0),IF('01_Вводные'!$B$310&gt;=3,'19_Расчет_аналитики'!AK617,0),IF('01_Вводные'!$B$310&gt;=4,'19_Расчет_аналитики'!AL617,0),IF('01_Вводные'!$B$310&gt;=5,'19_Расчет_аналитики'!AM617,0),IF('01_Вводные'!$B$310&gt;=6,'19_Расчет_аналитики'!AN617,0))</f>
        <v/>
      </c>
      <c r="AI339">
        <f>SUM(IF('01_Вводные'!$B$310&gt;=1,'19_Расчет_аналитики'!AJ617,0),IF('01_Вводные'!$B$310&gt;=2,'19_Расчет_аналитики'!AK617,0),IF('01_Вводные'!$B$310&gt;=3,'19_Расчет_аналитики'!AL617,0),IF('01_Вводные'!$B$310&gt;=4,'19_Расчет_аналитики'!AM617,0),IF('01_Вводные'!$B$310&gt;=5,'19_Расчет_аналитики'!AN617,0),IF('01_Вводные'!$B$310&gt;=6,'19_Расчет_аналитики'!AO617,0))</f>
        <v/>
      </c>
      <c r="AJ339">
        <f>SUM(IF('01_Вводные'!$B$310&gt;=1,'19_Расчет_аналитики'!AK617,0),IF('01_Вводные'!$B$310&gt;=2,'19_Расчет_аналитики'!AL617,0),IF('01_Вводные'!$B$310&gt;=3,'19_Расчет_аналитики'!AM617,0),IF('01_Вводные'!$B$310&gt;=4,'19_Расчет_аналитики'!AN617,0),IF('01_Вводные'!$B$310&gt;=5,'19_Расчет_аналитики'!AO617,0),IF('01_Вводные'!$B$310&gt;=6,'19_Расчет_аналитики'!AP617,0))</f>
        <v/>
      </c>
      <c r="AK339">
        <f>SUM(IF('01_Вводные'!$B$310&gt;=1,'19_Расчет_аналитики'!AL617,0),IF('01_Вводные'!$B$310&gt;=2,'19_Расчет_аналитики'!AM617,0),IF('01_Вводные'!$B$310&gt;=3,'19_Расчет_аналитики'!AN617,0),IF('01_Вводные'!$B$310&gt;=4,'19_Расчет_аналитики'!AO617,0),IF('01_Вводные'!$B$310&gt;=5,'19_Расчет_аналитики'!AP617,0),IF('01_Вводные'!$B$310&gt;=6,'19_Расчет_аналитики'!AQ617,0))</f>
        <v/>
      </c>
      <c r="AL339">
        <f>SUM(IF('01_Вводные'!$B$310&gt;=1,'19_Расчет_аналитики'!AM617,0),IF('01_Вводные'!$B$310&gt;=2,'19_Расчет_аналитики'!AN617,0),IF('01_Вводные'!$B$310&gt;=3,'19_Расчет_аналитики'!AO617,0),IF('01_Вводные'!$B$310&gt;=4,'19_Расчет_аналитики'!AP617,0),IF('01_Вводные'!$B$310&gt;=5,'19_Расчет_аналитики'!AQ617,0),IF('01_Вводные'!$B$310&gt;=6,'19_Расчет_аналитики'!AR617,0))</f>
        <v/>
      </c>
      <c r="AM339">
        <f>SUM(IF('01_Вводные'!$B$310&gt;=1,'19_Расчет_аналитики'!AN617,0),IF('01_Вводные'!$B$310&gt;=2,'19_Расчет_аналитики'!AO617,0),IF('01_Вводные'!$B$310&gt;=3,'19_Расчет_аналитики'!AP617,0),IF('01_Вводные'!$B$310&gt;=4,'19_Расчет_аналитики'!AQ617,0),IF('01_Вводные'!$B$310&gt;=5,'19_Расчет_аналитики'!AR617,0),IF('01_Вводные'!$B$310&gt;=6,'19_Расчет_аналитики'!AS617,0))</f>
        <v/>
      </c>
      <c r="AN339">
        <f>SUM(IF('01_Вводные'!$B$310&gt;=1,'19_Расчет_аналитики'!AO617,0),IF('01_Вводные'!$B$310&gt;=2,'19_Расчет_аналитики'!AP617,0),IF('01_Вводные'!$B$310&gt;=3,'19_Расчет_аналитики'!AQ617,0),IF('01_Вводные'!$B$310&gt;=4,'19_Расчет_аналитики'!AR617,0),IF('01_Вводные'!$B$310&gt;=5,'19_Расчет_аналитики'!AS617,0),IF('01_Вводные'!$B$310&gt;=6,'19_Расчет_аналитики'!AT617,0))</f>
        <v/>
      </c>
      <c r="AO339">
        <f>SUM(IF('01_Вводные'!$B$310&gt;=1,'19_Расчет_аналитики'!AP617,0),IF('01_Вводные'!$B$310&gt;=2,'19_Расчет_аналитики'!AQ617,0),IF('01_Вводные'!$B$310&gt;=3,'19_Расчет_аналитики'!AR617,0),IF('01_Вводные'!$B$310&gt;=4,'19_Расчет_аналитики'!AS617,0),IF('01_Вводные'!$B$310&gt;=5,'19_Расчет_аналитики'!AT617,0),IF('01_Вводные'!$B$310&gt;=6,'19_Расчет_аналитики'!AU617,0))</f>
        <v/>
      </c>
      <c r="AP339">
        <f>SUM(IF('01_Вводные'!$B$310&gt;=1,'19_Расчет_аналитики'!AQ617,0),IF('01_Вводные'!$B$310&gt;=2,'19_Расчет_аналитики'!AR617,0),IF('01_Вводные'!$B$310&gt;=3,'19_Расчет_аналитики'!AS617,0),IF('01_Вводные'!$B$310&gt;=4,'19_Расчет_аналитики'!AT617,0),IF('01_Вводные'!$B$310&gt;=5,'19_Расчет_аналитики'!AU617,0),IF('01_Вводные'!$B$310&gt;=6,'19_Расчет_аналитики'!AV617,0))</f>
        <v/>
      </c>
      <c r="AQ339">
        <f>SUM(IF('01_Вводные'!$B$310&gt;=1,'19_Расчет_аналитики'!AR617,0),IF('01_Вводные'!$B$310&gt;=2,'19_Расчет_аналитики'!AS617,0),IF('01_Вводные'!$B$310&gt;=3,'19_Расчет_аналитики'!AT617,0),IF('01_Вводные'!$B$310&gt;=4,'19_Расчет_аналитики'!AU617,0),IF('01_Вводные'!$B$310&gt;=5,'19_Расчет_аналитики'!AV617,0),IF('01_Вводные'!$B$310&gt;=6,'19_Расчет_аналитики'!AW617,0))</f>
        <v/>
      </c>
      <c r="AR339">
        <f>SUM(IF('01_Вводные'!$B$310&gt;=1,'19_Расчет_аналитики'!AS617,0),IF('01_Вводные'!$B$310&gt;=2,'19_Расчет_аналитики'!AT617,0),IF('01_Вводные'!$B$310&gt;=3,'19_Расчет_аналитики'!AU617,0),IF('01_Вводные'!$B$310&gt;=4,'19_Расчет_аналитики'!AV617,0),IF('01_Вводные'!$B$310&gt;=5,'19_Расчет_аналитики'!AW617,0),IF('01_Вводные'!$B$310&gt;=6,'19_Расчет_аналитики'!AX617,0))</f>
        <v/>
      </c>
      <c r="AS339">
        <f>SUM(IF('01_Вводные'!$B$310&gt;=1,'19_Расчет_аналитики'!AT617,0),IF('01_Вводные'!$B$310&gt;=2,'19_Расчет_аналитики'!AU617,0),IF('01_Вводные'!$B$310&gt;=3,'19_Расчет_аналитики'!AV617,0),IF('01_Вводные'!$B$310&gt;=4,'19_Расчет_аналитики'!AW617,0),IF('01_Вводные'!$B$310&gt;=5,'19_Расчет_аналитики'!AX617,0),IF('01_Вводные'!$B$310&gt;=6,'19_Расчет_аналитики'!AY617,0))</f>
        <v/>
      </c>
      <c r="AT339">
        <f>SUM(IF('01_Вводные'!$B$310&gt;=1,'19_Расчет_аналитики'!AU617,0),IF('01_Вводные'!$B$310&gt;=2,'19_Расчет_аналитики'!AV617,0),IF('01_Вводные'!$B$310&gt;=3,'19_Расчет_аналитики'!AW617,0),IF('01_Вводные'!$B$310&gt;=4,'19_Расчет_аналитики'!AX617,0),IF('01_Вводные'!$B$310&gt;=5,'19_Расчет_аналитики'!AY617,0),IF('01_Вводные'!$B$310&gt;=6,'19_Расчет_аналитики'!AZ617,0))</f>
        <v/>
      </c>
      <c r="AU339">
        <f>SUM(IF('01_Вводные'!$B$310&gt;=1,'19_Расчет_аналитики'!AV617,0),IF('01_Вводные'!$B$310&gt;=2,'19_Расчет_аналитики'!AW617,0),IF('01_Вводные'!$B$310&gt;=3,'19_Расчет_аналитики'!AX617,0),IF('01_Вводные'!$B$310&gt;=4,'19_Расчет_аналитики'!AY617,0),IF('01_Вводные'!$B$310&gt;=5,'19_Расчет_аналитики'!AZ617,0),IF('01_Вводные'!$B$310&gt;=6,'19_Расчет_аналитики'!BA617,0))</f>
        <v/>
      </c>
      <c r="AV339">
        <f>SUM(IF('01_Вводные'!$B$310&gt;=1,'19_Расчет_аналитики'!AW617,0),IF('01_Вводные'!$B$310&gt;=2,'19_Расчет_аналитики'!AX617,0),IF('01_Вводные'!$B$310&gt;=3,'19_Расчет_аналитики'!AY617,0),IF('01_Вводные'!$B$310&gt;=4,'19_Расчет_аналитики'!AZ617,0),IF('01_Вводные'!$B$310&gt;=5,'19_Расчет_аналитики'!BA617,0),IF('01_Вводные'!$B$310&gt;=6,'19_Расчет_аналитики'!BB617,0))</f>
        <v/>
      </c>
      <c r="AW339">
        <f>SUM(IF('01_Вводные'!$B$310&gt;=1,'19_Расчет_аналитики'!AX617,0),IF('01_Вводные'!$B$310&gt;=2,'19_Расчет_аналитики'!AY617,0),IF('01_Вводные'!$B$310&gt;=3,'19_Расчет_аналитики'!AZ617,0),IF('01_Вводные'!$B$310&gt;=4,'19_Расчет_аналитики'!BA617,0),IF('01_Вводные'!$B$310&gt;=5,'19_Расчет_аналитики'!BB617,0),IF('01_Вводные'!$B$310&gt;=6,'19_Расчет_аналитики'!BC617,0))</f>
        <v/>
      </c>
      <c r="AX339">
        <f>SUM(IF('01_Вводные'!$B$310&gt;=1,'19_Расчет_аналитики'!AY617,0),IF('01_Вводные'!$B$310&gt;=2,'19_Расчет_аналитики'!AZ617,0),IF('01_Вводные'!$B$310&gt;=3,'19_Расчет_аналитики'!BA617,0),IF('01_Вводные'!$B$310&gt;=4,'19_Расчет_аналитики'!BB617,0),IF('01_Вводные'!$B$310&gt;=5,'19_Расчет_аналитики'!BC617,0),IF('01_Вводные'!$B$310&gt;=6,'19_Расчет_аналитики'!BD617,0))</f>
        <v/>
      </c>
      <c r="AY339">
        <f>SUM(IF('01_Вводные'!$B$310&gt;=1,'19_Расчет_аналитики'!AZ617,0),IF('01_Вводные'!$B$310&gt;=2,'19_Расчет_аналитики'!BA617,0),IF('01_Вводные'!$B$310&gt;=3,'19_Расчет_аналитики'!BB617,0),IF('01_Вводные'!$B$310&gt;=4,'19_Расчет_аналитики'!BC617,0),IF('01_Вводные'!$B$310&gt;=5,'19_Расчет_аналитики'!BD617,0),IF('01_Вводные'!$B$310&gt;=6,'19_Расчет_аналитики'!BE617,0))</f>
        <v/>
      </c>
      <c r="AZ339">
        <f>SUM(IF('01_Вводные'!$B$310&gt;=1,'19_Расчет_аналитики'!BA617,0),IF('01_Вводные'!$B$310&gt;=2,'19_Расчет_аналитики'!BB617,0),IF('01_Вводные'!$B$310&gt;=3,'19_Расчет_аналитики'!BC617,0),IF('01_Вводные'!$B$310&gt;=4,'19_Расчет_аналитики'!BD617,0),IF('01_Вводные'!$B$310&gt;=5,'19_Расчет_аналитики'!BE617,0),IF('01_Вводные'!$B$310&gt;=6,'19_Расчет_аналитики'!BF617,0))</f>
        <v/>
      </c>
      <c r="BA339">
        <f>SUM(IF('01_Вводные'!$B$310&gt;=1,'19_Расчет_аналитики'!BB617,0),IF('01_Вводные'!$B$310&gt;=2,'19_Расчет_аналитики'!BC617,0),IF('01_Вводные'!$B$310&gt;=3,'19_Расчет_аналитики'!BD617,0),IF('01_Вводные'!$B$310&gt;=4,'19_Расчет_аналитики'!BE617,0),IF('01_Вводные'!$B$310&gt;=5,'19_Расчет_аналитики'!BF617,0),IF('01_Вводные'!$B$310&gt;=6,'19_Расчет_аналитики'!BG617,0))</f>
        <v/>
      </c>
      <c r="BB339">
        <f>SUM(IF('01_Вводные'!$B$310&gt;=1,'19_Расчет_аналитики'!BC617,0),IF('01_Вводные'!$B$310&gt;=2,'19_Расчет_аналитики'!BD617,0),IF('01_Вводные'!$B$310&gt;=3,'19_Расчет_аналитики'!BE617,0),IF('01_Вводные'!$B$310&gt;=4,'19_Расчет_аналитики'!BF617,0),IF('01_Вводные'!$B$310&gt;=5,'19_Расчет_аналитики'!BG617,0),IF('01_Вводные'!$B$310&gt;=6,'19_Расчет_аналитики'!BH617,0))</f>
        <v/>
      </c>
      <c r="BC339">
        <f>SUM(IF('01_Вводные'!$B$310&gt;=1,'19_Расчет_аналитики'!BD617,0),IF('01_Вводные'!$B$310&gt;=2,'19_Расчет_аналитики'!BE617,0),IF('01_Вводные'!$B$310&gt;=3,'19_Расчет_аналитики'!BF617,0),IF('01_Вводные'!$B$310&gt;=4,'19_Расчет_аналитики'!BG617,0),IF('01_Вводные'!$B$310&gt;=5,'19_Расчет_аналитики'!BH617,0),IF('01_Вводные'!$B$310&gt;=6,'19_Расчет_аналитики'!BI617,0))</f>
        <v/>
      </c>
      <c r="BD339">
        <f>SUM(IF('01_Вводные'!$B$310&gt;=1,'19_Расчет_аналитики'!BE617,0),IF('01_Вводные'!$B$310&gt;=2,'19_Расчет_аналитики'!BF617,0),IF('01_Вводные'!$B$310&gt;=3,'19_Расчет_аналитики'!BG617,0),IF('01_Вводные'!$B$310&gt;=4,'19_Расчет_аналитики'!BH617,0),IF('01_Вводные'!$B$310&gt;=5,'19_Расчет_аналитики'!BI617,0),IF('01_Вводные'!$B$310&gt;=6,'19_Расчет_аналитики'!BJ617,0))</f>
        <v/>
      </c>
      <c r="BE339">
        <f>SUM(IF('01_Вводные'!$B$310&gt;=1,'19_Расчет_аналитики'!BF617,0),IF('01_Вводные'!$B$310&gt;=2,'19_Расчет_аналитики'!BG617,0),IF('01_Вводные'!$B$310&gt;=3,'19_Расчет_аналитики'!BH617,0),IF('01_Вводные'!$B$310&gt;=4,'19_Расчет_аналитики'!BI617,0),IF('01_Вводные'!$B$310&gt;=5,'19_Расчет_аналитики'!BJ617,0),IF('01_Вводные'!$B$310&gt;=6,'19_Расчет_аналитики'!BK617,0))</f>
        <v/>
      </c>
      <c r="BF339">
        <f>SUM(IF('01_Вводные'!$B$310&gt;=1,'19_Расчет_аналитики'!BG617,0),IF('01_Вводные'!$B$310&gt;=2,'19_Расчет_аналитики'!BH617,0),IF('01_Вводные'!$B$310&gt;=3,'19_Расчет_аналитики'!BI617,0),IF('01_Вводные'!$B$310&gt;=4,'19_Расчет_аналитики'!BJ617,0),IF('01_Вводные'!$B$310&gt;=5,'19_Расчет_аналитики'!BK617,0),IF('01_Вводные'!$B$310&gt;=6,'19_Расчет_аналитики'!BL617,0))</f>
        <v/>
      </c>
      <c r="BG339">
        <f>SUM(IF('01_Вводные'!$B$310&gt;=1,'19_Расчет_аналитики'!BH617,0),IF('01_Вводные'!$B$310&gt;=2,'19_Расчет_аналитики'!BI617,0),IF('01_Вводные'!$B$310&gt;=3,'19_Расчет_аналитики'!BJ617,0),IF('01_Вводные'!$B$310&gt;=4,'19_Расчет_аналитики'!BK617,0),IF('01_Вводные'!$B$310&gt;=5,'19_Расчет_аналитики'!BL617,0),IF('01_Вводные'!$B$310&gt;=6,'19_Расчет_аналитики'!BM617,0))</f>
        <v/>
      </c>
      <c r="BH339">
        <f>SUM(IF('01_Вводные'!$B$310&gt;=1,'19_Расчет_аналитики'!BI617,0),IF('01_Вводные'!$B$310&gt;=2,'19_Расчет_аналитики'!BJ617,0),IF('01_Вводные'!$B$310&gt;=3,'19_Расчет_аналитики'!BK617,0),IF('01_Вводные'!$B$310&gt;=4,'19_Расчет_аналитики'!BL617,0),IF('01_Вводные'!$B$310&gt;=5,'19_Расчет_аналитики'!BM617,0),IF('01_Вводные'!$B$310&gt;=6,'19_Расчет_аналитики'!BN617,0))</f>
        <v/>
      </c>
      <c r="BI339">
        <f>SUM(IF('01_Вводные'!$B$310&gt;=1,'19_Расчет_аналитики'!BJ617,0),IF('01_Вводные'!$B$310&gt;=2,'19_Расчет_аналитики'!BK617,0),IF('01_Вводные'!$B$310&gt;=3,'19_Расчет_аналитики'!BL617,0),IF('01_Вводные'!$B$310&gt;=4,'19_Расчет_аналитики'!BM617,0),IF('01_Вводные'!$B$310&gt;=5,'19_Расчет_аналитики'!BN617,0),IF('01_Вводные'!$B$310&gt;=6,'19_Расчет_аналитики'!BO617,0))</f>
        <v/>
      </c>
      <c r="BJ339">
        <f>SUM(IF('01_Вводные'!$B$310&gt;=1,'19_Расчет_аналитики'!BK617,0),IF('01_Вводные'!$B$310&gt;=2,'19_Расчет_аналитики'!BL617,0),IF('01_Вводные'!$B$310&gt;=3,'19_Расчет_аналитики'!BM617,0),IF('01_Вводные'!$B$310&gt;=4,'19_Расчет_аналитики'!BN617,0),IF('01_Вводные'!$B$310&gt;=5,'19_Расчет_аналитики'!BO617,0),IF('01_Вводные'!$B$310&gt;=6,'19_Расчет_аналитики'!BP617,0))</f>
        <v/>
      </c>
      <c r="BK339">
        <f>SUM(IF('01_Вводные'!$B$310&gt;=1,'19_Расчет_аналитики'!BL617,0),IF('01_Вводные'!$B$310&gt;=2,'19_Расчет_аналитики'!BM617,0),IF('01_Вводные'!$B$310&gt;=3,'19_Расчет_аналитики'!BN617,0),IF('01_Вводные'!$B$310&gt;=4,'19_Расчет_аналитики'!BO617,0),IF('01_Вводные'!$B$310&gt;=5,'19_Расчет_аналитики'!BP617,0),IF('01_Вводные'!$B$310&gt;=6,'19_Расчет_аналитики'!BQ617,0))</f>
        <v/>
      </c>
      <c r="BL339">
        <f>SUM(IF('01_Вводные'!$B$310&gt;=1,'19_Расчет_аналитики'!BM617,0),IF('01_Вводные'!$B$310&gt;=2,'19_Расчет_аналитики'!BN617,0),IF('01_Вводные'!$B$310&gt;=3,'19_Расчет_аналитики'!BO617,0),IF('01_Вводные'!$B$310&gt;=4,'19_Расчет_аналитики'!BP617,0),IF('01_Вводные'!$B$310&gt;=5,'19_Расчет_аналитики'!BQ617,0),IF('01_Вводные'!$B$310&gt;=6,'19_Расчет_аналитики'!BR617,0))</f>
        <v/>
      </c>
      <c r="BM339">
        <f>SUM(IF('01_Вводные'!$B$310&gt;=1,'19_Расчет_аналитики'!BN617,0),IF('01_Вводные'!$B$310&gt;=2,'19_Расчет_аналитики'!BO617,0),IF('01_Вводные'!$B$310&gt;=3,'19_Расчет_аналитики'!BP617,0),IF('01_Вводные'!$B$310&gt;=4,'19_Расчет_аналитики'!BQ617,0),IF('01_Вводные'!$B$310&gt;=5,'19_Расчет_аналитики'!BR617,0),IF('01_Вводные'!$B$310&gt;=6,'19_Расчет_аналитики'!BS617,0))</f>
        <v/>
      </c>
      <c r="BN339">
        <f>SUM(IF('01_Вводные'!$B$310&gt;=1,'19_Расчет_аналитики'!BO617,0),IF('01_Вводные'!$B$310&gt;=2,'19_Расчет_аналитики'!BP617,0),IF('01_Вводные'!$B$310&gt;=3,'19_Расчет_аналитики'!BQ617,0),IF('01_Вводные'!$B$310&gt;=4,'19_Расчет_аналитики'!BR617,0),IF('01_Вводные'!$B$310&gt;=5,'19_Расчет_аналитики'!BS617,0),IF('01_Вводные'!$B$310&gt;=6,'19_Расчет_аналитики'!BT617,0))</f>
        <v/>
      </c>
      <c r="BO339">
        <f>SUM(IF('01_Вводные'!$B$310&gt;=1,'19_Расчет_аналитики'!BP617,0),IF('01_Вводные'!$B$310&gt;=2,'19_Расчет_аналитики'!BQ617,0),IF('01_Вводные'!$B$310&gt;=3,'19_Расчет_аналитики'!BR617,0),IF('01_Вводные'!$B$310&gt;=4,'19_Расчет_аналитики'!BS617,0),IF('01_Вводные'!$B$310&gt;=5,'19_Расчет_аналитики'!BT617,0),IF('01_Вводные'!$B$310&gt;=6,'19_Расчет_аналитики'!BU617,0))</f>
        <v/>
      </c>
    </row>
    <row r="340">
      <c r="C340">
        <f>IF('01_Вводные'!$B$25&gt;0,ROUNDUP(ROUND('19_Расчет_аналитики'!C338/'01_Вводные'!$B$25,10),0),0)</f>
        <v/>
      </c>
      <c r="D340">
        <f>IF('01_Вводные'!$B$25&gt;0,ROUNDUP(ROUND('19_Расчет_аналитики'!D338/'01_Вводные'!$B$25,10),0),0)</f>
        <v/>
      </c>
      <c r="E340">
        <f>IF('01_Вводные'!$B$25&gt;0,ROUNDUP(ROUND('19_Расчет_аналитики'!E338/'01_Вводные'!$B$25,10),0),0)</f>
        <v/>
      </c>
      <c r="F340">
        <f>IF('01_Вводные'!$B$25&gt;0,ROUNDUP(ROUND('19_Расчет_аналитики'!F338/'01_Вводные'!$B$25,10),0),0)</f>
        <v/>
      </c>
      <c r="G340">
        <f>IF('01_Вводные'!$B$25&gt;0,ROUNDUP(ROUND('19_Расчет_аналитики'!G338/'01_Вводные'!$B$25,10),0),0)</f>
        <v/>
      </c>
      <c r="H340">
        <f>IF('01_Вводные'!$B$25&gt;0,ROUNDUP(ROUND('19_Расчет_аналитики'!H338/'01_Вводные'!$B$25,10),0),0)</f>
        <v/>
      </c>
      <c r="I340">
        <f>IF('01_Вводные'!$B$25&gt;0,ROUNDUP(ROUND('19_Расчет_аналитики'!I338/'01_Вводные'!$B$25,10),0),0)</f>
        <v/>
      </c>
      <c r="J340">
        <f>IF('01_Вводные'!$B$25&gt;0,ROUNDUP(ROUND('19_Расчет_аналитики'!J338/'01_Вводные'!$B$25,10),0),0)</f>
        <v/>
      </c>
      <c r="K340">
        <f>IF('01_Вводные'!$B$25&gt;0,ROUNDUP(ROUND('19_Расчет_аналитики'!K338/'01_Вводные'!$B$25,10),0),0)</f>
        <v/>
      </c>
      <c r="L340">
        <f>IF('01_Вводные'!$B$25&gt;0,ROUNDUP(ROUND('19_Расчет_аналитики'!L338/'01_Вводные'!$B$25,10),0),0)</f>
        <v/>
      </c>
      <c r="M340">
        <f>IF('01_Вводные'!$B$25&gt;0,ROUNDUP(ROUND('19_Расчет_аналитики'!M338/'01_Вводные'!$B$25,10),0),0)</f>
        <v/>
      </c>
      <c r="N340">
        <f>IF('01_Вводные'!$B$25&gt;0,ROUNDUP(ROUND('19_Расчет_аналитики'!N338/'01_Вводные'!$B$25,10),0),0)</f>
        <v/>
      </c>
      <c r="O340">
        <f>IF('01_Вводные'!$B$25&gt;0,ROUNDUP(ROUND('19_Расчет_аналитики'!O338/'01_Вводные'!$B$25,10),0),0)</f>
        <v/>
      </c>
      <c r="P340">
        <f>IF('01_Вводные'!$B$25&gt;0,ROUNDUP(ROUND('19_Расчет_аналитики'!P338/'01_Вводные'!$B$25,10),0),0)</f>
        <v/>
      </c>
      <c r="Q340">
        <f>IF('01_Вводные'!$B$25&gt;0,ROUNDUP(ROUND('19_Расчет_аналитики'!Q338/'01_Вводные'!$B$25,10),0),0)</f>
        <v/>
      </c>
      <c r="R340">
        <f>IF('01_Вводные'!$B$25&gt;0,ROUNDUP(ROUND('19_Расчет_аналитики'!R338/'01_Вводные'!$B$25,10),0),0)</f>
        <v/>
      </c>
      <c r="S340">
        <f>IF('01_Вводные'!$B$25&gt;0,ROUNDUP(ROUND('19_Расчет_аналитики'!S338/'01_Вводные'!$B$25,10),0),0)</f>
        <v/>
      </c>
      <c r="T340">
        <f>IF('01_Вводные'!$B$25&gt;0,ROUNDUP(ROUND('19_Расчет_аналитики'!T338/'01_Вводные'!$B$25,10),0),0)</f>
        <v/>
      </c>
      <c r="U340">
        <f>IF('01_Вводные'!$B$25&gt;0,ROUNDUP(ROUND('19_Расчет_аналитики'!U338/'01_Вводные'!$B$25,10),0),0)</f>
        <v/>
      </c>
      <c r="V340">
        <f>IF('01_Вводные'!$B$25&gt;0,ROUNDUP(ROUND('19_Расчет_аналитики'!V338/'01_Вводные'!$B$25,10),0),0)</f>
        <v/>
      </c>
      <c r="W340">
        <f>IF('01_Вводные'!$B$25&gt;0,ROUNDUP(ROUND('19_Расчет_аналитики'!W338/'01_Вводные'!$B$25,10),0),0)</f>
        <v/>
      </c>
      <c r="X340">
        <f>IF('01_Вводные'!$B$25&gt;0,ROUNDUP(ROUND('19_Расчет_аналитики'!X338/'01_Вводные'!$B$25,10),0),0)</f>
        <v/>
      </c>
      <c r="Y340">
        <f>IF('01_Вводные'!$B$25&gt;0,ROUNDUP(ROUND('19_Расчет_аналитики'!Y338/'01_Вводные'!$B$25,10),0),0)</f>
        <v/>
      </c>
      <c r="Z340">
        <f>IF('01_Вводные'!$B$25&gt;0,ROUNDUP(ROUND('19_Расчет_аналитики'!Z338/'01_Вводные'!$B$25,10),0),0)</f>
        <v/>
      </c>
      <c r="AA340">
        <f>IF('01_Вводные'!$B$25&gt;0,ROUNDUP(ROUND('19_Расчет_аналитики'!AA338/'01_Вводные'!$B$25,10),0),0)</f>
        <v/>
      </c>
      <c r="AB340">
        <f>IF('01_Вводные'!$B$25&gt;0,ROUNDUP(ROUND('19_Расчет_аналитики'!AB338/'01_Вводные'!$B$25,10),0),0)</f>
        <v/>
      </c>
      <c r="AC340">
        <f>IF('01_Вводные'!$B$25&gt;0,ROUNDUP(ROUND('19_Расчет_аналитики'!AC338/'01_Вводные'!$B$25,10),0),0)</f>
        <v/>
      </c>
      <c r="AD340">
        <f>IF('01_Вводные'!$B$25&gt;0,ROUNDUP(ROUND('19_Расчет_аналитики'!AD338/'01_Вводные'!$B$25,10),0),0)</f>
        <v/>
      </c>
      <c r="AE340">
        <f>IF('01_Вводные'!$B$25&gt;0,ROUNDUP(ROUND('19_Расчет_аналитики'!AE338/'01_Вводные'!$B$25,10),0),0)</f>
        <v/>
      </c>
      <c r="AF340">
        <f>IF('01_Вводные'!$B$25&gt;0,ROUNDUP(ROUND('19_Расчет_аналитики'!AF338/'01_Вводные'!$B$25,10),0),0)</f>
        <v/>
      </c>
      <c r="AG340">
        <f>IF('01_Вводные'!$B$25&gt;0,ROUNDUP(ROUND('19_Расчет_аналитики'!AG338/'01_Вводные'!$B$25,10),0),0)</f>
        <v/>
      </c>
      <c r="AH340">
        <f>IF('01_Вводные'!$B$25&gt;0,ROUNDUP(ROUND('19_Расчет_аналитики'!AH338/'01_Вводные'!$B$25,10),0),0)</f>
        <v/>
      </c>
      <c r="AI340">
        <f>IF('01_Вводные'!$B$25&gt;0,ROUNDUP(ROUND('19_Расчет_аналитики'!AI338/'01_Вводные'!$B$25,10),0),0)</f>
        <v/>
      </c>
      <c r="AJ340">
        <f>IF('01_Вводные'!$B$25&gt;0,ROUNDUP(ROUND('19_Расчет_аналитики'!AJ338/'01_Вводные'!$B$25,10),0),0)</f>
        <v/>
      </c>
      <c r="AK340">
        <f>IF('01_Вводные'!$B$25&gt;0,ROUNDUP(ROUND('19_Расчет_аналитики'!AK338/'01_Вводные'!$B$25,10),0),0)</f>
        <v/>
      </c>
      <c r="AL340">
        <f>IF('01_Вводные'!$B$25&gt;0,ROUNDUP(ROUND('19_Расчет_аналитики'!AL338/'01_Вводные'!$B$25,10),0),0)</f>
        <v/>
      </c>
      <c r="AM340">
        <f>IF('01_Вводные'!$B$25&gt;0,ROUNDUP(ROUND('19_Расчет_аналитики'!AM338/'01_Вводные'!$B$25,10),0),0)</f>
        <v/>
      </c>
      <c r="AN340">
        <f>IF('01_Вводные'!$B$25&gt;0,ROUNDUP(ROUND('19_Расчет_аналитики'!AN338/'01_Вводные'!$B$25,10),0),0)</f>
        <v/>
      </c>
      <c r="AO340">
        <f>IF('01_Вводные'!$B$25&gt;0,ROUNDUP(ROUND('19_Расчет_аналитики'!AO338/'01_Вводные'!$B$25,10),0),0)</f>
        <v/>
      </c>
      <c r="AP340">
        <f>IF('01_Вводные'!$B$25&gt;0,ROUNDUP(ROUND('19_Расчет_аналитики'!AP338/'01_Вводные'!$B$25,10),0),0)</f>
        <v/>
      </c>
      <c r="AQ340">
        <f>IF('01_Вводные'!$B$25&gt;0,ROUNDUP(ROUND('19_Расчет_аналитики'!AQ338/'01_Вводные'!$B$25,10),0),0)</f>
        <v/>
      </c>
      <c r="AR340">
        <f>IF('01_Вводные'!$B$25&gt;0,ROUNDUP(ROUND('19_Расчет_аналитики'!AR338/'01_Вводные'!$B$25,10),0),0)</f>
        <v/>
      </c>
      <c r="AS340">
        <f>IF('01_Вводные'!$B$25&gt;0,ROUNDUP(ROUND('19_Расчет_аналитики'!AS338/'01_Вводные'!$B$25,10),0),0)</f>
        <v/>
      </c>
      <c r="AT340">
        <f>IF('01_Вводные'!$B$25&gt;0,ROUNDUP(ROUND('19_Расчет_аналитики'!AT338/'01_Вводные'!$B$25,10),0),0)</f>
        <v/>
      </c>
      <c r="AU340">
        <f>IF('01_Вводные'!$B$25&gt;0,ROUNDUP(ROUND('19_Расчет_аналитики'!AU338/'01_Вводные'!$B$25,10),0),0)</f>
        <v/>
      </c>
      <c r="AV340">
        <f>IF('01_Вводные'!$B$25&gt;0,ROUNDUP(ROUND('19_Расчет_аналитики'!AV338/'01_Вводные'!$B$25,10),0),0)</f>
        <v/>
      </c>
      <c r="AW340">
        <f>IF('01_Вводные'!$B$25&gt;0,ROUNDUP(ROUND('19_Расчет_аналитики'!AW338/'01_Вводные'!$B$25,10),0),0)</f>
        <v/>
      </c>
      <c r="AX340">
        <f>IF('01_Вводные'!$B$25&gt;0,ROUNDUP(ROUND('19_Расчет_аналитики'!AX338/'01_Вводные'!$B$25,10),0),0)</f>
        <v/>
      </c>
      <c r="AY340">
        <f>IF('01_Вводные'!$B$25&gt;0,ROUNDUP(ROUND('19_Расчет_аналитики'!AY338/'01_Вводные'!$B$25,10),0),0)</f>
        <v/>
      </c>
      <c r="AZ340">
        <f>IF('01_Вводные'!$B$25&gt;0,ROUNDUP(ROUND('19_Расчет_аналитики'!AZ338/'01_Вводные'!$B$25,10),0),0)</f>
        <v/>
      </c>
      <c r="BA340">
        <f>IF('01_Вводные'!$B$25&gt;0,ROUNDUP(ROUND('19_Расчет_аналитики'!BA338/'01_Вводные'!$B$25,10),0),0)</f>
        <v/>
      </c>
      <c r="BB340">
        <f>IF('01_Вводные'!$B$25&gt;0,ROUNDUP(ROUND('19_Расчет_аналитики'!BB338/'01_Вводные'!$B$25,10),0),0)</f>
        <v/>
      </c>
      <c r="BC340">
        <f>IF('01_Вводные'!$B$25&gt;0,ROUNDUP(ROUND('19_Расчет_аналитики'!BC338/'01_Вводные'!$B$25,10),0),0)</f>
        <v/>
      </c>
      <c r="BD340">
        <f>IF('01_Вводные'!$B$25&gt;0,ROUNDUP(ROUND('19_Расчет_аналитики'!BD338/'01_Вводные'!$B$25,10),0),0)</f>
        <v/>
      </c>
      <c r="BE340">
        <f>IF('01_Вводные'!$B$25&gt;0,ROUNDUP(ROUND('19_Расчет_аналитики'!BE338/'01_Вводные'!$B$25,10),0),0)</f>
        <v/>
      </c>
      <c r="BF340">
        <f>IF('01_Вводные'!$B$25&gt;0,ROUNDUP(ROUND('19_Расчет_аналитики'!BF338/'01_Вводные'!$B$25,10),0),0)</f>
        <v/>
      </c>
      <c r="BG340">
        <f>IF('01_Вводные'!$B$25&gt;0,ROUNDUP(ROUND('19_Расчет_аналитики'!BG338/'01_Вводные'!$B$25,10),0),0)</f>
        <v/>
      </c>
      <c r="BH340">
        <f>IF('01_Вводные'!$B$25&gt;0,ROUNDUP(ROUND('19_Расчет_аналитики'!BH338/'01_Вводные'!$B$25,10),0),0)</f>
        <v/>
      </c>
      <c r="BI340">
        <f>IF('01_Вводные'!$B$25&gt;0,ROUNDUP(ROUND('19_Расчет_аналитики'!BI338/'01_Вводные'!$B$25,10),0),0)</f>
        <v/>
      </c>
    </row>
    <row r="341">
      <c r="B341">
        <f>IF(1&lt;='01_Вводные'!$B$15,0,INDEX('19_Расчет_аналитики'!$B$338:$BI$338,1,1-'01_Вводные'!$B$15))*'01_Вводные'!$B$298</f>
        <v/>
      </c>
      <c r="C341">
        <f>IF(2&lt;='01_Вводные'!$B$15,0,INDEX('19_Расчет_аналитики'!$B$338:$BI$338,1,2-'01_Вводные'!$B$15))*'01_Вводные'!$B$298</f>
        <v/>
      </c>
      <c r="D341">
        <f>IF(3&lt;='01_Вводные'!$B$15,0,INDEX('19_Расчет_аналитики'!$B$338:$BI$338,1,3-'01_Вводные'!$B$15))*'01_Вводные'!$B$298</f>
        <v/>
      </c>
      <c r="E341">
        <f>IF(4&lt;='01_Вводные'!$B$15,0,INDEX('19_Расчет_аналитики'!$B$338:$BI$338,1,4-'01_Вводные'!$B$15))*'01_Вводные'!$B$298</f>
        <v/>
      </c>
      <c r="F341">
        <f>IF(5&lt;='01_Вводные'!$B$15,0,INDEX('19_Расчет_аналитики'!$B$338:$BI$338,1,5-'01_Вводные'!$B$15))*'01_Вводные'!$B$298</f>
        <v/>
      </c>
      <c r="G341">
        <f>IF(6&lt;='01_Вводные'!$B$15,0,INDEX('19_Расчет_аналитики'!$B$338:$BI$338,1,6-'01_Вводные'!$B$15))*'01_Вводные'!$B$298</f>
        <v/>
      </c>
      <c r="H341">
        <f>IF(7&lt;='01_Вводные'!$B$15,0,INDEX('19_Расчет_аналитики'!$B$338:$BI$338,1,7-'01_Вводные'!$B$15))*'01_Вводные'!$B$298</f>
        <v/>
      </c>
      <c r="I341">
        <f>IF(8&lt;='01_Вводные'!$B$15,0,INDEX('19_Расчет_аналитики'!$B$338:$BI$338,1,8-'01_Вводные'!$B$15))*'01_Вводные'!$B$298</f>
        <v/>
      </c>
      <c r="J341">
        <f>IF(9&lt;='01_Вводные'!$B$15,0,INDEX('19_Расчет_аналитики'!$B$338:$BI$338,1,9-'01_Вводные'!$B$15))*'01_Вводные'!$B$298</f>
        <v/>
      </c>
      <c r="K341">
        <f>IF(10&lt;='01_Вводные'!$B$15,0,INDEX('19_Расчет_аналитики'!$B$338:$BI$338,1,10-'01_Вводные'!$B$15))*'01_Вводные'!$B$298</f>
        <v/>
      </c>
      <c r="L341">
        <f>IF(11&lt;='01_Вводные'!$B$15,0,INDEX('19_Расчет_аналитики'!$B$338:$BI$338,1,11-'01_Вводные'!$B$15))*'01_Вводные'!$B$298</f>
        <v/>
      </c>
      <c r="M341">
        <f>IF(12&lt;='01_Вводные'!$B$15,0,INDEX('19_Расчет_аналитики'!$B$338:$BI$338,1,12-'01_Вводные'!$B$15))*'01_Вводные'!$B$298</f>
        <v/>
      </c>
      <c r="N341">
        <f>IF(13&lt;='01_Вводные'!$B$15,0,INDEX('19_Расчет_аналитики'!$B$338:$BI$338,1,13-'01_Вводные'!$B$15))*'01_Вводные'!$B$298</f>
        <v/>
      </c>
      <c r="O341">
        <f>IF(14&lt;='01_Вводные'!$B$15,0,INDEX('19_Расчет_аналитики'!$B$338:$BI$338,1,14-'01_Вводные'!$B$15))*'01_Вводные'!$B$298</f>
        <v/>
      </c>
      <c r="P341">
        <f>IF(15&lt;='01_Вводные'!$B$15,0,INDEX('19_Расчет_аналитики'!$B$338:$BI$338,1,15-'01_Вводные'!$B$15))*'01_Вводные'!$B$298</f>
        <v/>
      </c>
      <c r="Q341">
        <f>IF(16&lt;='01_Вводные'!$B$15,0,INDEX('19_Расчет_аналитики'!$B$338:$BI$338,1,16-'01_Вводные'!$B$15))*'01_Вводные'!$B$298</f>
        <v/>
      </c>
      <c r="R341">
        <f>IF(17&lt;='01_Вводные'!$B$15,0,INDEX('19_Расчет_аналитики'!$B$338:$BI$338,1,17-'01_Вводные'!$B$15))*'01_Вводные'!$B$298</f>
        <v/>
      </c>
      <c r="S341">
        <f>IF(18&lt;='01_Вводные'!$B$15,0,INDEX('19_Расчет_аналитики'!$B$338:$BI$338,1,18-'01_Вводные'!$B$15))*'01_Вводные'!$B$298</f>
        <v/>
      </c>
      <c r="T341">
        <f>IF(19&lt;='01_Вводные'!$B$15,0,INDEX('19_Расчет_аналитики'!$B$338:$BI$338,1,19-'01_Вводные'!$B$15))*'01_Вводные'!$B$298</f>
        <v/>
      </c>
      <c r="U341">
        <f>IF(20&lt;='01_Вводные'!$B$15,0,INDEX('19_Расчет_аналитики'!$B$338:$BI$338,1,20-'01_Вводные'!$B$15))*'01_Вводные'!$B$298</f>
        <v/>
      </c>
      <c r="V341">
        <f>IF(21&lt;='01_Вводные'!$B$15,0,INDEX('19_Расчет_аналитики'!$B$338:$BI$338,1,21-'01_Вводные'!$B$15))*'01_Вводные'!$B$298</f>
        <v/>
      </c>
      <c r="W341">
        <f>IF(22&lt;='01_Вводные'!$B$15,0,INDEX('19_Расчет_аналитики'!$B$338:$BI$338,1,22-'01_Вводные'!$B$15))*'01_Вводные'!$B$298</f>
        <v/>
      </c>
      <c r="X341">
        <f>IF(23&lt;='01_Вводные'!$B$15,0,INDEX('19_Расчет_аналитики'!$B$338:$BI$338,1,23-'01_Вводные'!$B$15))*'01_Вводные'!$B$298</f>
        <v/>
      </c>
      <c r="Y341">
        <f>IF(24&lt;='01_Вводные'!$B$15,0,INDEX('19_Расчет_аналитики'!$B$338:$BI$338,1,24-'01_Вводные'!$B$15))*'01_Вводные'!$B$298</f>
        <v/>
      </c>
      <c r="Z341">
        <f>IF(25&lt;='01_Вводные'!$B$15,0,INDEX('19_Расчет_аналитики'!$B$338:$BI$338,1,25-'01_Вводные'!$B$15))*'01_Вводные'!$B$298</f>
        <v/>
      </c>
      <c r="AA341">
        <f>IF(26&lt;='01_Вводные'!$B$15,0,INDEX('19_Расчет_аналитики'!$B$338:$BI$338,1,26-'01_Вводные'!$B$15))*'01_Вводные'!$B$298</f>
        <v/>
      </c>
      <c r="AB341">
        <f>IF(27&lt;='01_Вводные'!$B$15,0,INDEX('19_Расчет_аналитики'!$B$338:$BI$338,1,27-'01_Вводные'!$B$15))*'01_Вводные'!$B$298</f>
        <v/>
      </c>
      <c r="AC341">
        <f>IF(28&lt;='01_Вводные'!$B$15,0,INDEX('19_Расчет_аналитики'!$B$338:$BI$338,1,28-'01_Вводные'!$B$15))*'01_Вводные'!$B$298</f>
        <v/>
      </c>
      <c r="AD341">
        <f>IF(29&lt;='01_Вводные'!$B$15,0,INDEX('19_Расчет_аналитики'!$B$338:$BI$338,1,29-'01_Вводные'!$B$15))*'01_Вводные'!$B$298</f>
        <v/>
      </c>
      <c r="AE341">
        <f>IF(30&lt;='01_Вводные'!$B$15,0,INDEX('19_Расчет_аналитики'!$B$338:$BI$338,1,30-'01_Вводные'!$B$15))*'01_Вводные'!$B$298</f>
        <v/>
      </c>
      <c r="AF341">
        <f>IF(31&lt;='01_Вводные'!$B$15,0,INDEX('19_Расчет_аналитики'!$B$338:$BI$338,1,31-'01_Вводные'!$B$15))*'01_Вводные'!$B$298</f>
        <v/>
      </c>
      <c r="AG341">
        <f>IF(32&lt;='01_Вводные'!$B$15,0,INDEX('19_Расчет_аналитики'!$B$338:$BI$338,1,32-'01_Вводные'!$B$15))*'01_Вводные'!$B$298</f>
        <v/>
      </c>
      <c r="AH341">
        <f>IF(33&lt;='01_Вводные'!$B$15,0,INDEX('19_Расчет_аналитики'!$B$338:$BI$338,1,33-'01_Вводные'!$B$15))*'01_Вводные'!$B$298</f>
        <v/>
      </c>
      <c r="AI341">
        <f>IF(34&lt;='01_Вводные'!$B$15,0,INDEX('19_Расчет_аналитики'!$B$338:$BI$338,1,34-'01_Вводные'!$B$15))*'01_Вводные'!$B$298</f>
        <v/>
      </c>
      <c r="AJ341">
        <f>IF(35&lt;='01_Вводные'!$B$15,0,INDEX('19_Расчет_аналитики'!$B$338:$BI$338,1,35-'01_Вводные'!$B$15))*'01_Вводные'!$B$298</f>
        <v/>
      </c>
      <c r="AK341">
        <f>IF(36&lt;='01_Вводные'!$B$15,0,INDEX('19_Расчет_аналитики'!$B$338:$BI$338,1,36-'01_Вводные'!$B$15))*'01_Вводные'!$B$298</f>
        <v/>
      </c>
      <c r="AL341">
        <f>IF(37&lt;='01_Вводные'!$B$15,0,INDEX('19_Расчет_аналитики'!$B$338:$BI$338,1,37-'01_Вводные'!$B$15))*'01_Вводные'!$B$298</f>
        <v/>
      </c>
      <c r="AM341">
        <f>IF(38&lt;='01_Вводные'!$B$15,0,INDEX('19_Расчет_аналитики'!$B$338:$BI$338,1,38-'01_Вводные'!$B$15))*'01_Вводные'!$B$298</f>
        <v/>
      </c>
      <c r="AN341">
        <f>IF(39&lt;='01_Вводные'!$B$15,0,INDEX('19_Расчет_аналитики'!$B$338:$BI$338,1,39-'01_Вводные'!$B$15))*'01_Вводные'!$B$298</f>
        <v/>
      </c>
      <c r="AO341">
        <f>IF(40&lt;='01_Вводные'!$B$15,0,INDEX('19_Расчет_аналитики'!$B$338:$BI$338,1,40-'01_Вводные'!$B$15))*'01_Вводные'!$B$298</f>
        <v/>
      </c>
      <c r="AP341">
        <f>IF(41&lt;='01_Вводные'!$B$15,0,INDEX('19_Расчет_аналитики'!$B$338:$BI$338,1,41-'01_Вводные'!$B$15))*'01_Вводные'!$B$298</f>
        <v/>
      </c>
      <c r="AQ341">
        <f>IF(42&lt;='01_Вводные'!$B$15,0,INDEX('19_Расчет_аналитики'!$B$338:$BI$338,1,42-'01_Вводные'!$B$15))*'01_Вводные'!$B$298</f>
        <v/>
      </c>
      <c r="AR341">
        <f>IF(43&lt;='01_Вводные'!$B$15,0,INDEX('19_Расчет_аналитики'!$B$338:$BI$338,1,43-'01_Вводные'!$B$15))*'01_Вводные'!$B$298</f>
        <v/>
      </c>
      <c r="AS341">
        <f>IF(44&lt;='01_Вводные'!$B$15,0,INDEX('19_Расчет_аналитики'!$B$338:$BI$338,1,44-'01_Вводные'!$B$15))*'01_Вводные'!$B$298</f>
        <v/>
      </c>
      <c r="AT341">
        <f>IF(45&lt;='01_Вводные'!$B$15,0,INDEX('19_Расчет_аналитики'!$B$338:$BI$338,1,45-'01_Вводные'!$B$15))*'01_Вводные'!$B$298</f>
        <v/>
      </c>
      <c r="AU341">
        <f>IF(46&lt;='01_Вводные'!$B$15,0,INDEX('19_Расчет_аналитики'!$B$338:$BI$338,1,46-'01_Вводные'!$B$15))*'01_Вводные'!$B$298</f>
        <v/>
      </c>
      <c r="AV341">
        <f>IF(47&lt;='01_Вводные'!$B$15,0,INDEX('19_Расчет_аналитики'!$B$338:$BI$338,1,47-'01_Вводные'!$B$15))*'01_Вводные'!$B$298</f>
        <v/>
      </c>
      <c r="AW341">
        <f>IF(48&lt;='01_Вводные'!$B$15,0,INDEX('19_Расчет_аналитики'!$B$338:$BI$338,1,48-'01_Вводные'!$B$15))*'01_Вводные'!$B$298</f>
        <v/>
      </c>
      <c r="AX341">
        <f>IF(49&lt;='01_Вводные'!$B$15,0,INDEX('19_Расчет_аналитики'!$B$338:$BI$338,1,49-'01_Вводные'!$B$15))*'01_Вводные'!$B$298</f>
        <v/>
      </c>
      <c r="AY341">
        <f>IF(50&lt;='01_Вводные'!$B$15,0,INDEX('19_Расчет_аналитики'!$B$338:$BI$338,1,50-'01_Вводные'!$B$15))*'01_Вводные'!$B$298</f>
        <v/>
      </c>
      <c r="AZ341">
        <f>IF(51&lt;='01_Вводные'!$B$15,0,INDEX('19_Расчет_аналитики'!$B$338:$BI$338,1,51-'01_Вводные'!$B$15))*'01_Вводные'!$B$298</f>
        <v/>
      </c>
      <c r="BA341">
        <f>IF(52&lt;='01_Вводные'!$B$15,0,INDEX('19_Расчет_аналитики'!$B$338:$BI$338,1,52-'01_Вводные'!$B$15))*'01_Вводные'!$B$298</f>
        <v/>
      </c>
      <c r="BB341">
        <f>IF(53&lt;='01_Вводные'!$B$15,0,INDEX('19_Расчет_аналитики'!$B$338:$BI$338,1,53-'01_Вводные'!$B$15))*'01_Вводные'!$B$298</f>
        <v/>
      </c>
      <c r="BC341">
        <f>IF(54&lt;='01_Вводные'!$B$15,0,INDEX('19_Расчет_аналитики'!$B$338:$BI$338,1,54-'01_Вводные'!$B$15))*'01_Вводные'!$B$298</f>
        <v/>
      </c>
      <c r="BD341">
        <f>IF(55&lt;='01_Вводные'!$B$15,0,INDEX('19_Расчет_аналитики'!$B$338:$BI$338,1,55-'01_Вводные'!$B$15))*'01_Вводные'!$B$298</f>
        <v/>
      </c>
      <c r="BE341">
        <f>IF(56&lt;='01_Вводные'!$B$15,0,INDEX('19_Расчет_аналитики'!$B$338:$BI$338,1,56-'01_Вводные'!$B$15))*'01_Вводные'!$B$298</f>
        <v/>
      </c>
      <c r="BF341">
        <f>IF(57&lt;='01_Вводные'!$B$15,0,INDEX('19_Расчет_аналитики'!$B$338:$BI$338,1,57-'01_Вводные'!$B$15))*'01_Вводные'!$B$298</f>
        <v/>
      </c>
      <c r="BG341">
        <f>IF(58&lt;='01_Вводные'!$B$15,0,INDEX('19_Расчет_аналитики'!$B$338:$BI$338,1,58-'01_Вводные'!$B$15))*'01_Вводные'!$B$298</f>
        <v/>
      </c>
      <c r="BH341">
        <f>IF(59&lt;='01_Вводные'!$B$15,0,INDEX('19_Расчет_аналитики'!$B$338:$BI$338,1,59-'01_Вводные'!$B$15))*'01_Вводные'!$B$298</f>
        <v/>
      </c>
      <c r="BI341">
        <f>IF(60&lt;='01_Вводные'!$B$15,0,INDEX('19_Расчет_аналитики'!$B$338:$BI$338,1,60-'01_Вводные'!$B$15))*'01_Вводные'!$B$298</f>
        <v/>
      </c>
    </row>
    <row r="342"/>
    <row r="343"/>
    <row r="344">
      <c r="B344">
        <f>SUMIF('04_Продажи'!$B$28:$BI$28,'04_Продажи'!B$11,'19_Расчет_аналитики'!$B$338:$BI$338)*'19_Расчет_аналитики'!B809</f>
        <v/>
      </c>
      <c r="C344">
        <f>SUMIF('04_Продажи'!$B$28:$BI$28,'04_Продажи'!C$11,'19_Расчет_аналитики'!$B$338:$BI$338)*'19_Расчет_аналитики'!C809</f>
        <v/>
      </c>
      <c r="D344">
        <f>SUMIF('04_Продажи'!$B$28:$BI$28,'04_Продажи'!D$11,'19_Расчет_аналитики'!$B$338:$BI$338)*'19_Расчет_аналитики'!D809</f>
        <v/>
      </c>
      <c r="E344">
        <f>SUMIF('04_Продажи'!$B$28:$BI$28,'04_Продажи'!E$11,'19_Расчет_аналитики'!$B$338:$BI$338)*'19_Расчет_аналитики'!E809</f>
        <v/>
      </c>
      <c r="F344">
        <f>SUMIF('04_Продажи'!$B$28:$BI$28,'04_Продажи'!F$11,'19_Расчет_аналитики'!$B$338:$BI$338)*'19_Расчет_аналитики'!F809</f>
        <v/>
      </c>
      <c r="G344">
        <f>SUMIF('04_Продажи'!$B$28:$BI$28,'04_Продажи'!G$11,'19_Расчет_аналитики'!$B$338:$BI$338)*'19_Расчет_аналитики'!G809</f>
        <v/>
      </c>
      <c r="H344">
        <f>SUMIF('04_Продажи'!$B$28:$BI$28,'04_Продажи'!H$11,'19_Расчет_аналитики'!$B$338:$BI$338)*'19_Расчет_аналитики'!H809</f>
        <v/>
      </c>
      <c r="I344">
        <f>SUMIF('04_Продажи'!$B$28:$BI$28,'04_Продажи'!I$11,'19_Расчет_аналитики'!$B$338:$BI$338)*'19_Расчет_аналитики'!I809</f>
        <v/>
      </c>
      <c r="J344">
        <f>SUMIF('04_Продажи'!$B$28:$BI$28,'04_Продажи'!J$11,'19_Расчет_аналитики'!$B$338:$BI$338)*'19_Расчет_аналитики'!J809</f>
        <v/>
      </c>
      <c r="K344">
        <f>SUMIF('04_Продажи'!$B$28:$BI$28,'04_Продажи'!K$11,'19_Расчет_аналитики'!$B$338:$BI$338)*'19_Расчет_аналитики'!K809</f>
        <v/>
      </c>
      <c r="L344">
        <f>SUMIF('04_Продажи'!$B$28:$BI$28,'04_Продажи'!L$11,'19_Расчет_аналитики'!$B$338:$BI$338)*'19_Расчет_аналитики'!L809</f>
        <v/>
      </c>
      <c r="M344">
        <f>SUMIF('04_Продажи'!$B$28:$BI$28,'04_Продажи'!M$11,'19_Расчет_аналитики'!$B$338:$BI$338)*'19_Расчет_аналитики'!M809</f>
        <v/>
      </c>
      <c r="N344">
        <f>SUMIF('04_Продажи'!$B$28:$BI$28,'04_Продажи'!N$11,'19_Расчет_аналитики'!$B$338:$BI$338)*'19_Расчет_аналитики'!N809</f>
        <v/>
      </c>
      <c r="O344">
        <f>SUMIF('04_Продажи'!$B$28:$BI$28,'04_Продажи'!O$11,'19_Расчет_аналитики'!$B$338:$BI$338)*'19_Расчет_аналитики'!O809</f>
        <v/>
      </c>
      <c r="P344">
        <f>SUMIF('04_Продажи'!$B$28:$BI$28,'04_Продажи'!P$11,'19_Расчет_аналитики'!$B$338:$BI$338)*'19_Расчет_аналитики'!P809</f>
        <v/>
      </c>
      <c r="Q344">
        <f>SUMIF('04_Продажи'!$B$28:$BI$28,'04_Продажи'!Q$11,'19_Расчет_аналитики'!$B$338:$BI$338)*'19_Расчет_аналитики'!Q809</f>
        <v/>
      </c>
      <c r="R344">
        <f>SUMIF('04_Продажи'!$B$28:$BI$28,'04_Продажи'!R$11,'19_Расчет_аналитики'!$B$338:$BI$338)*'19_Расчет_аналитики'!R809</f>
        <v/>
      </c>
      <c r="S344">
        <f>SUMIF('04_Продажи'!$B$28:$BI$28,'04_Продажи'!S$11,'19_Расчет_аналитики'!$B$338:$BI$338)*'19_Расчет_аналитики'!S809</f>
        <v/>
      </c>
      <c r="T344">
        <f>SUMIF('04_Продажи'!$B$28:$BI$28,'04_Продажи'!T$11,'19_Расчет_аналитики'!$B$338:$BI$338)*'19_Расчет_аналитики'!T809</f>
        <v/>
      </c>
      <c r="U344">
        <f>SUMIF('04_Продажи'!$B$28:$BI$28,'04_Продажи'!U$11,'19_Расчет_аналитики'!$B$338:$BI$338)*'19_Расчет_аналитики'!U809</f>
        <v/>
      </c>
      <c r="V344">
        <f>SUMIF('04_Продажи'!$B$28:$BI$28,'04_Продажи'!V$11,'19_Расчет_аналитики'!$B$338:$BI$338)*'19_Расчет_аналитики'!V809</f>
        <v/>
      </c>
      <c r="W344">
        <f>SUMIF('04_Продажи'!$B$28:$BI$28,'04_Продажи'!W$11,'19_Расчет_аналитики'!$B$338:$BI$338)*'19_Расчет_аналитики'!W809</f>
        <v/>
      </c>
      <c r="X344">
        <f>SUMIF('04_Продажи'!$B$28:$BI$28,'04_Продажи'!X$11,'19_Расчет_аналитики'!$B$338:$BI$338)*'19_Расчет_аналитики'!X809</f>
        <v/>
      </c>
      <c r="Y344">
        <f>SUMIF('04_Продажи'!$B$28:$BI$28,'04_Продажи'!Y$11,'19_Расчет_аналитики'!$B$338:$BI$338)*'19_Расчет_аналитики'!Y809</f>
        <v/>
      </c>
      <c r="Z344">
        <f>SUMIF('04_Продажи'!$B$28:$BI$28,'04_Продажи'!Z$11,'19_Расчет_аналитики'!$B$338:$BI$338)*'19_Расчет_аналитики'!Z809</f>
        <v/>
      </c>
      <c r="AA344">
        <f>SUMIF('04_Продажи'!$B$28:$BI$28,'04_Продажи'!AA$11,'19_Расчет_аналитики'!$B$338:$BI$338)*'19_Расчет_аналитики'!AA809</f>
        <v/>
      </c>
      <c r="AB344">
        <f>SUMIF('04_Продажи'!$B$28:$BI$28,'04_Продажи'!AB$11,'19_Расчет_аналитики'!$B$338:$BI$338)*'19_Расчет_аналитики'!AB809</f>
        <v/>
      </c>
      <c r="AC344">
        <f>SUMIF('04_Продажи'!$B$28:$BI$28,'04_Продажи'!AC$11,'19_Расчет_аналитики'!$B$338:$BI$338)*'19_Расчет_аналитики'!AC809</f>
        <v/>
      </c>
      <c r="AD344">
        <f>SUMIF('04_Продажи'!$B$28:$BI$28,'04_Продажи'!AD$11,'19_Расчет_аналитики'!$B$338:$BI$338)*'19_Расчет_аналитики'!AD809</f>
        <v/>
      </c>
      <c r="AE344">
        <f>SUMIF('04_Продажи'!$B$28:$BI$28,'04_Продажи'!AE$11,'19_Расчет_аналитики'!$B$338:$BI$338)*'19_Расчет_аналитики'!AE809</f>
        <v/>
      </c>
      <c r="AF344">
        <f>SUMIF('04_Продажи'!$B$28:$BI$28,'04_Продажи'!AF$11,'19_Расчет_аналитики'!$B$338:$BI$338)*'19_Расчет_аналитики'!AF809</f>
        <v/>
      </c>
      <c r="AG344">
        <f>SUMIF('04_Продажи'!$B$28:$BI$28,'04_Продажи'!AG$11,'19_Расчет_аналитики'!$B$338:$BI$338)*'19_Расчет_аналитики'!AG809</f>
        <v/>
      </c>
      <c r="AH344">
        <f>SUMIF('04_Продажи'!$B$28:$BI$28,'04_Продажи'!AH$11,'19_Расчет_аналитики'!$B$338:$BI$338)*'19_Расчет_аналитики'!AH809</f>
        <v/>
      </c>
      <c r="AI344">
        <f>SUMIF('04_Продажи'!$B$28:$BI$28,'04_Продажи'!AI$11,'19_Расчет_аналитики'!$B$338:$BI$338)*'19_Расчет_аналитики'!AI809</f>
        <v/>
      </c>
      <c r="AJ344">
        <f>SUMIF('04_Продажи'!$B$28:$BI$28,'04_Продажи'!AJ$11,'19_Расчет_аналитики'!$B$338:$BI$338)*'19_Расчет_аналитики'!AJ809</f>
        <v/>
      </c>
      <c r="AK344">
        <f>SUMIF('04_Продажи'!$B$28:$BI$28,'04_Продажи'!AK$11,'19_Расчет_аналитики'!$B$338:$BI$338)*'19_Расчет_аналитики'!AK809</f>
        <v/>
      </c>
      <c r="AL344">
        <f>SUMIF('04_Продажи'!$B$28:$BI$28,'04_Продажи'!AL$11,'19_Расчет_аналитики'!$B$338:$BI$338)*'19_Расчет_аналитики'!AL809</f>
        <v/>
      </c>
      <c r="AM344">
        <f>SUMIF('04_Продажи'!$B$28:$BI$28,'04_Продажи'!AM$11,'19_Расчет_аналитики'!$B$338:$BI$338)*'19_Расчет_аналитики'!AM809</f>
        <v/>
      </c>
      <c r="AN344">
        <f>SUMIF('04_Продажи'!$B$28:$BI$28,'04_Продажи'!AN$11,'19_Расчет_аналитики'!$B$338:$BI$338)*'19_Расчет_аналитики'!AN809</f>
        <v/>
      </c>
      <c r="AO344">
        <f>SUMIF('04_Продажи'!$B$28:$BI$28,'04_Продажи'!AO$11,'19_Расчет_аналитики'!$B$338:$BI$338)*'19_Расчет_аналитики'!AO809</f>
        <v/>
      </c>
      <c r="AP344">
        <f>SUMIF('04_Продажи'!$B$28:$BI$28,'04_Продажи'!AP$11,'19_Расчет_аналитики'!$B$338:$BI$338)*'19_Расчет_аналитики'!AP809</f>
        <v/>
      </c>
      <c r="AQ344">
        <f>SUMIF('04_Продажи'!$B$28:$BI$28,'04_Продажи'!AQ$11,'19_Расчет_аналитики'!$B$338:$BI$338)*'19_Расчет_аналитики'!AQ809</f>
        <v/>
      </c>
      <c r="AR344">
        <f>SUMIF('04_Продажи'!$B$28:$BI$28,'04_Продажи'!AR$11,'19_Расчет_аналитики'!$B$338:$BI$338)*'19_Расчет_аналитики'!AR809</f>
        <v/>
      </c>
      <c r="AS344">
        <f>SUMIF('04_Продажи'!$B$28:$BI$28,'04_Продажи'!AS$11,'19_Расчет_аналитики'!$B$338:$BI$338)*'19_Расчет_аналитики'!AS809</f>
        <v/>
      </c>
      <c r="AT344">
        <f>SUMIF('04_Продажи'!$B$28:$BI$28,'04_Продажи'!AT$11,'19_Расчет_аналитики'!$B$338:$BI$338)*'19_Расчет_аналитики'!AT809</f>
        <v/>
      </c>
      <c r="AU344">
        <f>SUMIF('04_Продажи'!$B$28:$BI$28,'04_Продажи'!AU$11,'19_Расчет_аналитики'!$B$338:$BI$338)*'19_Расчет_аналитики'!AU809</f>
        <v/>
      </c>
      <c r="AV344">
        <f>SUMIF('04_Продажи'!$B$28:$BI$28,'04_Продажи'!AV$11,'19_Расчет_аналитики'!$B$338:$BI$338)*'19_Расчет_аналитики'!AV809</f>
        <v/>
      </c>
      <c r="AW344">
        <f>SUMIF('04_Продажи'!$B$28:$BI$28,'04_Продажи'!AW$11,'19_Расчет_аналитики'!$B$338:$BI$338)*'19_Расчет_аналитики'!AW809</f>
        <v/>
      </c>
      <c r="AX344">
        <f>SUMIF('04_Продажи'!$B$28:$BI$28,'04_Продажи'!AX$11,'19_Расчет_аналитики'!$B$338:$BI$338)*'19_Расчет_аналитики'!AX809</f>
        <v/>
      </c>
      <c r="AY344">
        <f>SUMIF('04_Продажи'!$B$28:$BI$28,'04_Продажи'!AY$11,'19_Расчет_аналитики'!$B$338:$BI$338)*'19_Расчет_аналитики'!AY809</f>
        <v/>
      </c>
      <c r="AZ344">
        <f>SUMIF('04_Продажи'!$B$28:$BI$28,'04_Продажи'!AZ$11,'19_Расчет_аналитики'!$B$338:$BI$338)*'19_Расчет_аналитики'!AZ809</f>
        <v/>
      </c>
      <c r="BA344">
        <f>SUMIF('04_Продажи'!$B$28:$BI$28,'04_Продажи'!BA$11,'19_Расчет_аналитики'!$B$338:$BI$338)*'19_Расчет_аналитики'!BA809</f>
        <v/>
      </c>
      <c r="BB344">
        <f>SUMIF('04_Продажи'!$B$28:$BI$28,'04_Продажи'!BB$11,'19_Расчет_аналитики'!$B$338:$BI$338)*'19_Расчет_аналитики'!BB809</f>
        <v/>
      </c>
      <c r="BC344">
        <f>SUMIF('04_Продажи'!$B$28:$BI$28,'04_Продажи'!BC$11,'19_Расчет_аналитики'!$B$338:$BI$338)*'19_Расчет_аналитики'!BC809</f>
        <v/>
      </c>
      <c r="BD344">
        <f>SUMIF('04_Продажи'!$B$28:$BI$28,'04_Продажи'!BD$11,'19_Расчет_аналитики'!$B$338:$BI$338)*'19_Расчет_аналитики'!BD809</f>
        <v/>
      </c>
      <c r="BE344">
        <f>SUMIF('04_Продажи'!$B$28:$BI$28,'04_Продажи'!BE$11,'19_Расчет_аналитики'!$B$338:$BI$338)*'19_Расчет_аналитики'!BE809</f>
        <v/>
      </c>
      <c r="BF344">
        <f>SUMIF('04_Продажи'!$B$28:$BI$28,'04_Продажи'!BF$11,'19_Расчет_аналитики'!$B$338:$BI$338)*'19_Расчет_аналитики'!BF809</f>
        <v/>
      </c>
      <c r="BG344">
        <f>SUMIF('04_Продажи'!$B$28:$BI$28,'04_Продажи'!BG$11,'19_Расчет_аналитики'!$B$338:$BI$338)*'19_Расчет_аналитики'!BG809</f>
        <v/>
      </c>
      <c r="BH344">
        <f>SUMIF('04_Продажи'!$B$28:$BI$28,'04_Продажи'!BH$11,'19_Расчет_аналитики'!$B$338:$BI$338)*'19_Расчет_аналитики'!BH809</f>
        <v/>
      </c>
      <c r="BI344">
        <f>SUMIF('04_Продажи'!$B$28:$BI$28,'04_Продажи'!BI$11,'19_Расчет_аналитики'!$B$338:$BI$338)*'19_Расчет_аналитики'!BI809</f>
        <v/>
      </c>
    </row>
    <row r="345"/>
    <row r="346">
      <c r="B346">
        <f>'19_Расчет_аналитики'!B344+'04_Продажи'!B22</f>
        <v/>
      </c>
      <c r="C346">
        <f>'19_Расчет_аналитики'!C344+'04_Продажи'!C22</f>
        <v/>
      </c>
      <c r="D346">
        <f>'19_Расчет_аналитики'!D344+'04_Продажи'!D22</f>
        <v/>
      </c>
      <c r="E346">
        <f>'19_Расчет_аналитики'!E344+'04_Продажи'!E22</f>
        <v/>
      </c>
      <c r="F346">
        <f>'19_Расчет_аналитики'!F344+'04_Продажи'!F22</f>
        <v/>
      </c>
      <c r="G346">
        <f>'19_Расчет_аналитики'!G344+'04_Продажи'!G22</f>
        <v/>
      </c>
      <c r="H346">
        <f>'19_Расчет_аналитики'!H344+'04_Продажи'!H22</f>
        <v/>
      </c>
      <c r="I346">
        <f>'19_Расчет_аналитики'!I344+'04_Продажи'!I22</f>
        <v/>
      </c>
      <c r="J346">
        <f>'19_Расчет_аналитики'!J344+'04_Продажи'!J22</f>
        <v/>
      </c>
      <c r="K346">
        <f>'19_Расчет_аналитики'!K344+'04_Продажи'!K22</f>
        <v/>
      </c>
      <c r="L346">
        <f>'19_Расчет_аналитики'!L344+'04_Продажи'!L22</f>
        <v/>
      </c>
      <c r="M346">
        <f>'19_Расчет_аналитики'!M344+'04_Продажи'!M22</f>
        <v/>
      </c>
      <c r="N346">
        <f>'19_Расчет_аналитики'!N344+'04_Продажи'!N22</f>
        <v/>
      </c>
      <c r="O346">
        <f>'19_Расчет_аналитики'!O344+'04_Продажи'!O22</f>
        <v/>
      </c>
      <c r="P346">
        <f>'19_Расчет_аналитики'!P344+'04_Продажи'!P22</f>
        <v/>
      </c>
      <c r="Q346">
        <f>'19_Расчет_аналитики'!Q344+'04_Продажи'!Q22</f>
        <v/>
      </c>
      <c r="R346">
        <f>'19_Расчет_аналитики'!R344+'04_Продажи'!R22</f>
        <v/>
      </c>
      <c r="S346">
        <f>'19_Расчет_аналитики'!S344+'04_Продажи'!S22</f>
        <v/>
      </c>
      <c r="T346">
        <f>'19_Расчет_аналитики'!T344+'04_Продажи'!T22</f>
        <v/>
      </c>
      <c r="U346">
        <f>'19_Расчет_аналитики'!U344+'04_Продажи'!U22</f>
        <v/>
      </c>
      <c r="V346">
        <f>'19_Расчет_аналитики'!V344+'04_Продажи'!V22</f>
        <v/>
      </c>
      <c r="W346">
        <f>'19_Расчет_аналитики'!W344+'04_Продажи'!W22</f>
        <v/>
      </c>
      <c r="X346">
        <f>'19_Расчет_аналитики'!X344+'04_Продажи'!X22</f>
        <v/>
      </c>
      <c r="Y346">
        <f>'19_Расчет_аналитики'!Y344+'04_Продажи'!Y22</f>
        <v/>
      </c>
      <c r="Z346">
        <f>'19_Расчет_аналитики'!Z344+'04_Продажи'!Z22</f>
        <v/>
      </c>
      <c r="AA346">
        <f>'19_Расчет_аналитики'!AA344+'04_Продажи'!AA22</f>
        <v/>
      </c>
      <c r="AB346">
        <f>'19_Расчет_аналитики'!AB344+'04_Продажи'!AB22</f>
        <v/>
      </c>
      <c r="AC346">
        <f>'19_Расчет_аналитики'!AC344+'04_Продажи'!AC22</f>
        <v/>
      </c>
      <c r="AD346">
        <f>'19_Расчет_аналитики'!AD344+'04_Продажи'!AD22</f>
        <v/>
      </c>
      <c r="AE346">
        <f>'19_Расчет_аналитики'!AE344+'04_Продажи'!AE22</f>
        <v/>
      </c>
      <c r="AF346">
        <f>'19_Расчет_аналитики'!AF344+'04_Продажи'!AF22</f>
        <v/>
      </c>
      <c r="AG346">
        <f>'19_Расчет_аналитики'!AG344+'04_Продажи'!AG22</f>
        <v/>
      </c>
      <c r="AH346">
        <f>'19_Расчет_аналитики'!AH344+'04_Продажи'!AH22</f>
        <v/>
      </c>
      <c r="AI346">
        <f>'19_Расчет_аналитики'!AI344+'04_Продажи'!AI22</f>
        <v/>
      </c>
      <c r="AJ346">
        <f>'19_Расчет_аналитики'!AJ344+'04_Продажи'!AJ22</f>
        <v/>
      </c>
      <c r="AK346">
        <f>'19_Расчет_аналитики'!AK344+'04_Продажи'!AK22</f>
        <v/>
      </c>
      <c r="AL346">
        <f>'19_Расчет_аналитики'!AL344+'04_Продажи'!AL22</f>
        <v/>
      </c>
      <c r="AM346">
        <f>'19_Расчет_аналитики'!AM344+'04_Продажи'!AM22</f>
        <v/>
      </c>
      <c r="AN346">
        <f>'19_Расчет_аналитики'!AN344+'04_Продажи'!AN22</f>
        <v/>
      </c>
      <c r="AO346">
        <f>'19_Расчет_аналитики'!AO344+'04_Продажи'!AO22</f>
        <v/>
      </c>
      <c r="AP346">
        <f>'19_Расчет_аналитики'!AP344+'04_Продажи'!AP22</f>
        <v/>
      </c>
      <c r="AQ346">
        <f>'19_Расчет_аналитики'!AQ344+'04_Продажи'!AQ22</f>
        <v/>
      </c>
      <c r="AR346">
        <f>'19_Расчет_аналитики'!AR344+'04_Продажи'!AR22</f>
        <v/>
      </c>
      <c r="AS346">
        <f>'19_Расчет_аналитики'!AS344+'04_Продажи'!AS22</f>
        <v/>
      </c>
      <c r="AT346">
        <f>'19_Расчет_аналитики'!AT344+'04_Продажи'!AT22</f>
        <v/>
      </c>
      <c r="AU346">
        <f>'19_Расчет_аналитики'!AU344+'04_Продажи'!AU22</f>
        <v/>
      </c>
      <c r="AV346">
        <f>'19_Расчет_аналитики'!AV344+'04_Продажи'!AV22</f>
        <v/>
      </c>
      <c r="AW346">
        <f>'19_Расчет_аналитики'!AW344+'04_Продажи'!AW22</f>
        <v/>
      </c>
      <c r="AX346">
        <f>'19_Расчет_аналитики'!AX344+'04_Продажи'!AX22</f>
        <v/>
      </c>
      <c r="AY346">
        <f>'19_Расчет_аналитики'!AY344+'04_Продажи'!AY22</f>
        <v/>
      </c>
      <c r="AZ346">
        <f>'19_Расчет_аналитики'!AZ344+'04_Продажи'!AZ22</f>
        <v/>
      </c>
      <c r="BA346">
        <f>'19_Расчет_аналитики'!BA344+'04_Продажи'!BA22</f>
        <v/>
      </c>
      <c r="BB346">
        <f>'19_Расчет_аналитики'!BB344+'04_Продажи'!BB22</f>
        <v/>
      </c>
      <c r="BC346">
        <f>'19_Расчет_аналитики'!BC344+'04_Продажи'!BC22</f>
        <v/>
      </c>
      <c r="BD346">
        <f>'19_Расчет_аналитики'!BD344+'04_Продажи'!BD22</f>
        <v/>
      </c>
      <c r="BE346">
        <f>'19_Расчет_аналитики'!BE344+'04_Продажи'!BE22</f>
        <v/>
      </c>
      <c r="BF346">
        <f>'19_Расчет_аналитики'!BF344+'04_Продажи'!BF22</f>
        <v/>
      </c>
      <c r="BG346">
        <f>'19_Расчет_аналитики'!BG344+'04_Продажи'!BG22</f>
        <v/>
      </c>
      <c r="BH346">
        <f>'19_Расчет_аналитики'!BH344+'04_Продажи'!BH22</f>
        <v/>
      </c>
      <c r="BI346">
        <f>'19_Расчет_аналитики'!BI344+'04_Продажи'!BI22</f>
        <v/>
      </c>
    </row>
    <row r="347"/>
    <row r="348">
      <c r="C348">
        <f>'19_Расчет_аналитики'!C338*'18_Календарь_тарифы'!C6</f>
        <v/>
      </c>
      <c r="D348">
        <f>'19_Расчет_аналитики'!D338*'18_Календарь_тарифы'!D6</f>
        <v/>
      </c>
      <c r="E348">
        <f>'19_Расчет_аналитики'!E338*'18_Календарь_тарифы'!E6</f>
        <v/>
      </c>
      <c r="F348">
        <f>'19_Расчет_аналитики'!F338*'18_Календарь_тарифы'!F6</f>
        <v/>
      </c>
      <c r="G348">
        <f>'19_Расчет_аналитики'!G338*'18_Календарь_тарифы'!G6</f>
        <v/>
      </c>
      <c r="H348">
        <f>'19_Расчет_аналитики'!H338*'18_Календарь_тарифы'!H6</f>
        <v/>
      </c>
      <c r="I348">
        <f>'19_Расчет_аналитики'!I338*'18_Календарь_тарифы'!I6</f>
        <v/>
      </c>
      <c r="J348">
        <f>'19_Расчет_аналитики'!J338*'18_Календарь_тарифы'!J6</f>
        <v/>
      </c>
      <c r="K348">
        <f>'19_Расчет_аналитики'!K338*'18_Календарь_тарифы'!K6</f>
        <v/>
      </c>
      <c r="L348">
        <f>'19_Расчет_аналитики'!L338*'18_Календарь_тарифы'!L6</f>
        <v/>
      </c>
      <c r="M348">
        <f>'19_Расчет_аналитики'!M338*'18_Календарь_тарифы'!M6</f>
        <v/>
      </c>
      <c r="N348">
        <f>'19_Расчет_аналитики'!N338*'18_Календарь_тарифы'!N6</f>
        <v/>
      </c>
      <c r="O348">
        <f>'19_Расчет_аналитики'!O338*'18_Календарь_тарифы'!O6</f>
        <v/>
      </c>
      <c r="P348">
        <f>'19_Расчет_аналитики'!P338*'18_Календарь_тарифы'!P6</f>
        <v/>
      </c>
      <c r="Q348">
        <f>'19_Расчет_аналитики'!Q338*'18_Календарь_тарифы'!Q6</f>
        <v/>
      </c>
      <c r="R348">
        <f>'19_Расчет_аналитики'!R338*'18_Календарь_тарифы'!R6</f>
        <v/>
      </c>
      <c r="S348">
        <f>'19_Расчет_аналитики'!S338*'18_Календарь_тарифы'!S6</f>
        <v/>
      </c>
      <c r="T348">
        <f>'19_Расчет_аналитики'!T338*'18_Календарь_тарифы'!T6</f>
        <v/>
      </c>
      <c r="U348">
        <f>'19_Расчет_аналитики'!U338*'18_Календарь_тарифы'!U6</f>
        <v/>
      </c>
      <c r="V348">
        <f>'19_Расчет_аналитики'!V338*'18_Календарь_тарифы'!V6</f>
        <v/>
      </c>
      <c r="W348">
        <f>'19_Расчет_аналитики'!W338*'18_Календарь_тарифы'!W6</f>
        <v/>
      </c>
      <c r="X348">
        <f>'19_Расчет_аналитики'!X338*'18_Календарь_тарифы'!X6</f>
        <v/>
      </c>
      <c r="Y348">
        <f>'19_Расчет_аналитики'!Y338*'18_Календарь_тарифы'!Y6</f>
        <v/>
      </c>
      <c r="Z348">
        <f>'19_Расчет_аналитики'!Z338*'18_Календарь_тарифы'!Z6</f>
        <v/>
      </c>
      <c r="AA348">
        <f>'19_Расчет_аналитики'!AA338*'18_Календарь_тарифы'!AA6</f>
        <v/>
      </c>
      <c r="AB348">
        <f>'19_Расчет_аналитики'!AB338*'18_Календарь_тарифы'!AB6</f>
        <v/>
      </c>
      <c r="AC348">
        <f>'19_Расчет_аналитики'!AC338*'18_Календарь_тарифы'!AC6</f>
        <v/>
      </c>
      <c r="AD348">
        <f>'19_Расчет_аналитики'!AD338*'18_Календарь_тарифы'!AD6</f>
        <v/>
      </c>
      <c r="AE348">
        <f>'19_Расчет_аналитики'!AE338*'18_Календарь_тарифы'!AE6</f>
        <v/>
      </c>
      <c r="AF348">
        <f>'19_Расчет_аналитики'!AF338*'18_Календарь_тарифы'!AF6</f>
        <v/>
      </c>
      <c r="AG348">
        <f>'19_Расчет_аналитики'!AG338*'18_Календарь_тарифы'!AG6</f>
        <v/>
      </c>
      <c r="AH348">
        <f>'19_Расчет_аналитики'!AH338*'18_Календарь_тарифы'!AH6</f>
        <v/>
      </c>
      <c r="AI348">
        <f>'19_Расчет_аналитики'!AI338*'18_Календарь_тарифы'!AI6</f>
        <v/>
      </c>
      <c r="AJ348">
        <f>'19_Расчет_аналитики'!AJ338*'18_Календарь_тарифы'!AJ6</f>
        <v/>
      </c>
      <c r="AK348">
        <f>'19_Расчет_аналитики'!AK338*'18_Календарь_тарифы'!AK6</f>
        <v/>
      </c>
      <c r="AL348">
        <f>'19_Расчет_аналитики'!AL338*'18_Календарь_тарифы'!AL6</f>
        <v/>
      </c>
      <c r="AM348">
        <f>'19_Расчет_аналитики'!AM338*'18_Календарь_тарифы'!AM6</f>
        <v/>
      </c>
      <c r="AN348">
        <f>'19_Расчет_аналитики'!AN338*'18_Календарь_тарифы'!AN6</f>
        <v/>
      </c>
      <c r="AO348">
        <f>'19_Расчет_аналитики'!AO338*'18_Календарь_тарифы'!AO6</f>
        <v/>
      </c>
      <c r="AP348">
        <f>'19_Расчет_аналитики'!AP338*'18_Календарь_тарифы'!AP6</f>
        <v/>
      </c>
      <c r="AQ348">
        <f>'19_Расчет_аналитики'!AQ338*'18_Календарь_тарифы'!AQ6</f>
        <v/>
      </c>
      <c r="AR348">
        <f>'19_Расчет_аналитики'!AR338*'18_Календарь_тарифы'!AR6</f>
        <v/>
      </c>
      <c r="AS348">
        <f>'19_Расчет_аналитики'!AS338*'18_Календарь_тарифы'!AS6</f>
        <v/>
      </c>
      <c r="AT348">
        <f>'19_Расчет_аналитики'!AT338*'18_Календарь_тарифы'!AT6</f>
        <v/>
      </c>
      <c r="AU348">
        <f>'19_Расчет_аналитики'!AU338*'18_Календарь_тарифы'!AU6</f>
        <v/>
      </c>
      <c r="AV348">
        <f>'19_Расчет_аналитики'!AV338*'18_Календарь_тарифы'!AV6</f>
        <v/>
      </c>
      <c r="AW348">
        <f>'19_Расчет_аналитики'!AW338*'18_Календарь_тарифы'!AW6</f>
        <v/>
      </c>
      <c r="AX348">
        <f>'19_Расчет_аналитики'!AX338*'18_Календарь_тарифы'!AX6</f>
        <v/>
      </c>
      <c r="AY348">
        <f>'19_Расчет_аналитики'!AY338*'18_Календарь_тарифы'!AY6</f>
        <v/>
      </c>
      <c r="AZ348">
        <f>'19_Расчет_аналитики'!AZ338*'18_Календарь_тарифы'!AZ6</f>
        <v/>
      </c>
      <c r="BA348">
        <f>'19_Расчет_аналитики'!BA338*'18_Календарь_тарифы'!BA6</f>
        <v/>
      </c>
      <c r="BB348">
        <f>'19_Расчет_аналитики'!BB338*'18_Календарь_тарифы'!BB6</f>
        <v/>
      </c>
      <c r="BC348">
        <f>'19_Расчет_аналитики'!BC338*'18_Календарь_тарифы'!BC6</f>
        <v/>
      </c>
      <c r="BD348">
        <f>'19_Расчет_аналитики'!BD338*'18_Календарь_тарифы'!BD6</f>
        <v/>
      </c>
      <c r="BE348">
        <f>'19_Расчет_аналитики'!BE338*'18_Календарь_тарифы'!BE6</f>
        <v/>
      </c>
      <c r="BF348">
        <f>'19_Расчет_аналитики'!BF338*'18_Календарь_тарифы'!BF6</f>
        <v/>
      </c>
      <c r="BG348">
        <f>'19_Расчет_аналитики'!BG338*'18_Календарь_тарифы'!BG6</f>
        <v/>
      </c>
      <c r="BH348">
        <f>'19_Расчет_аналитики'!BH338*'18_Календарь_тарифы'!BH6</f>
        <v/>
      </c>
      <c r="BI348">
        <f>'19_Расчет_аналитики'!BI338*'18_Календарь_тарифы'!BI6</f>
        <v/>
      </c>
    </row>
    <row r="349">
      <c r="C349">
        <f>'19_Расчет_аналитики'!C348/(1+'01_Вводные'!$B$58)</f>
        <v/>
      </c>
      <c r="D349">
        <f>'19_Расчет_аналитики'!D348/(1+'01_Вводные'!$B$58)</f>
        <v/>
      </c>
      <c r="E349">
        <f>'19_Расчет_аналитики'!E348/(1+'01_Вводные'!$B$58)</f>
        <v/>
      </c>
      <c r="F349">
        <f>'19_Расчет_аналитики'!F348/(1+'01_Вводные'!$B$58)</f>
        <v/>
      </c>
      <c r="G349">
        <f>'19_Расчет_аналитики'!G348/(1+'01_Вводные'!$B$58)</f>
        <v/>
      </c>
      <c r="H349">
        <f>'19_Расчет_аналитики'!H348/(1+'01_Вводные'!$B$58)</f>
        <v/>
      </c>
      <c r="I349">
        <f>'19_Расчет_аналитики'!I348/(1+'01_Вводные'!$B$58)</f>
        <v/>
      </c>
      <c r="J349">
        <f>'19_Расчет_аналитики'!J348/(1+'01_Вводные'!$B$58)</f>
        <v/>
      </c>
      <c r="K349">
        <f>'19_Расчет_аналитики'!K348/(1+'01_Вводные'!$B$58)</f>
        <v/>
      </c>
      <c r="L349">
        <f>'19_Расчет_аналитики'!L348/(1+'01_Вводные'!$B$58)</f>
        <v/>
      </c>
      <c r="M349">
        <f>'19_Расчет_аналитики'!M348/(1+'01_Вводные'!$B$58)</f>
        <v/>
      </c>
      <c r="N349">
        <f>'19_Расчет_аналитики'!N348/(1+'01_Вводные'!$B$58)</f>
        <v/>
      </c>
      <c r="O349">
        <f>'19_Расчет_аналитики'!O348/(1+'01_Вводные'!$B$58)</f>
        <v/>
      </c>
      <c r="P349">
        <f>'19_Расчет_аналитики'!P348/(1+'01_Вводные'!$B$58)</f>
        <v/>
      </c>
      <c r="Q349">
        <f>'19_Расчет_аналитики'!Q348/(1+'01_Вводные'!$B$58)</f>
        <v/>
      </c>
      <c r="R349">
        <f>'19_Расчет_аналитики'!R348/(1+'01_Вводные'!$B$58)</f>
        <v/>
      </c>
      <c r="S349">
        <f>'19_Расчет_аналитики'!S348/(1+'01_Вводные'!$B$58)</f>
        <v/>
      </c>
      <c r="T349">
        <f>'19_Расчет_аналитики'!T348/(1+'01_Вводные'!$B$58)</f>
        <v/>
      </c>
      <c r="U349">
        <f>'19_Расчет_аналитики'!U348/(1+'01_Вводные'!$B$58)</f>
        <v/>
      </c>
      <c r="V349">
        <f>'19_Расчет_аналитики'!V348/(1+'01_Вводные'!$B$58)</f>
        <v/>
      </c>
      <c r="W349">
        <f>'19_Расчет_аналитики'!W348/(1+'01_Вводные'!$B$58)</f>
        <v/>
      </c>
      <c r="X349">
        <f>'19_Расчет_аналитики'!X348/(1+'01_Вводные'!$B$58)</f>
        <v/>
      </c>
      <c r="Y349">
        <f>'19_Расчет_аналитики'!Y348/(1+'01_Вводные'!$B$58)</f>
        <v/>
      </c>
      <c r="Z349">
        <f>'19_Расчет_аналитики'!Z348/(1+'01_Вводные'!$B$58)</f>
        <v/>
      </c>
      <c r="AA349">
        <f>'19_Расчет_аналитики'!AA348/(1+'01_Вводные'!$B$58)</f>
        <v/>
      </c>
      <c r="AB349">
        <f>'19_Расчет_аналитики'!AB348/(1+'01_Вводные'!$B$58)</f>
        <v/>
      </c>
      <c r="AC349">
        <f>'19_Расчет_аналитики'!AC348/(1+'01_Вводные'!$B$58)</f>
        <v/>
      </c>
      <c r="AD349">
        <f>'19_Расчет_аналитики'!AD348/(1+'01_Вводные'!$B$58)</f>
        <v/>
      </c>
      <c r="AE349">
        <f>'19_Расчет_аналитики'!AE348/(1+'01_Вводные'!$B$58)</f>
        <v/>
      </c>
      <c r="AF349">
        <f>'19_Расчет_аналитики'!AF348/(1+'01_Вводные'!$B$58)</f>
        <v/>
      </c>
      <c r="AG349">
        <f>'19_Расчет_аналитики'!AG348/(1+'01_Вводные'!$B$58)</f>
        <v/>
      </c>
      <c r="AH349">
        <f>'19_Расчет_аналитики'!AH348/(1+'01_Вводные'!$B$58)</f>
        <v/>
      </c>
      <c r="AI349">
        <f>'19_Расчет_аналитики'!AI348/(1+'01_Вводные'!$B$58)</f>
        <v/>
      </c>
      <c r="AJ349">
        <f>'19_Расчет_аналитики'!AJ348/(1+'01_Вводные'!$B$58)</f>
        <v/>
      </c>
      <c r="AK349">
        <f>'19_Расчет_аналитики'!AK348/(1+'01_Вводные'!$B$58)</f>
        <v/>
      </c>
      <c r="AL349">
        <f>'19_Расчет_аналитики'!AL348/(1+'01_Вводные'!$B$58)</f>
        <v/>
      </c>
      <c r="AM349">
        <f>'19_Расчет_аналитики'!AM348/(1+'01_Вводные'!$B$58)</f>
        <v/>
      </c>
      <c r="AN349">
        <f>'19_Расчет_аналитики'!AN348/(1+'01_Вводные'!$B$58)</f>
        <v/>
      </c>
      <c r="AO349">
        <f>'19_Расчет_аналитики'!AO348/(1+'01_Вводные'!$B$58)</f>
        <v/>
      </c>
      <c r="AP349">
        <f>'19_Расчет_аналитики'!AP348/(1+'01_Вводные'!$B$58)</f>
        <v/>
      </c>
      <c r="AQ349">
        <f>'19_Расчет_аналитики'!AQ348/(1+'01_Вводные'!$B$58)</f>
        <v/>
      </c>
      <c r="AR349">
        <f>'19_Расчет_аналитики'!AR348/(1+'01_Вводные'!$B$58)</f>
        <v/>
      </c>
      <c r="AS349">
        <f>'19_Расчет_аналитики'!AS348/(1+'01_Вводные'!$B$58)</f>
        <v/>
      </c>
      <c r="AT349">
        <f>'19_Расчет_аналитики'!AT348/(1+'01_Вводные'!$B$58)</f>
        <v/>
      </c>
      <c r="AU349">
        <f>'19_Расчет_аналитики'!AU348/(1+'01_Вводные'!$B$58)</f>
        <v/>
      </c>
      <c r="AV349">
        <f>'19_Расчет_аналитики'!AV348/(1+'01_Вводные'!$B$58)</f>
        <v/>
      </c>
      <c r="AW349">
        <f>'19_Расчет_аналитики'!AW348/(1+'01_Вводные'!$B$58)</f>
        <v/>
      </c>
      <c r="AX349">
        <f>'19_Расчет_аналитики'!AX348/(1+'01_Вводные'!$B$58)</f>
        <v/>
      </c>
      <c r="AY349">
        <f>'19_Расчет_аналитики'!AY348/(1+'01_Вводные'!$B$58)</f>
        <v/>
      </c>
      <c r="AZ349">
        <f>'19_Расчет_аналитики'!AZ348/(1+'01_Вводные'!$B$58)</f>
        <v/>
      </c>
      <c r="BA349">
        <f>'19_Расчет_аналитики'!BA348/(1+'01_Вводные'!$B$58)</f>
        <v/>
      </c>
      <c r="BB349">
        <f>'19_Расчет_аналитики'!BB348/(1+'01_Вводные'!$B$58)</f>
        <v/>
      </c>
      <c r="BC349">
        <f>'19_Расчет_аналитики'!BC348/(1+'01_Вводные'!$B$58)</f>
        <v/>
      </c>
      <c r="BD349">
        <f>'19_Расчет_аналитики'!BD348/(1+'01_Вводные'!$B$58)</f>
        <v/>
      </c>
      <c r="BE349">
        <f>'19_Расчет_аналитики'!BE348/(1+'01_Вводные'!$B$58)</f>
        <v/>
      </c>
      <c r="BF349">
        <f>'19_Расчет_аналитики'!BF348/(1+'01_Вводные'!$B$58)</f>
        <v/>
      </c>
      <c r="BG349">
        <f>'19_Расчет_аналитики'!BG348/(1+'01_Вводные'!$B$58)</f>
        <v/>
      </c>
      <c r="BH349">
        <f>'19_Расчет_аналитики'!BH348/(1+'01_Вводные'!$B$58)</f>
        <v/>
      </c>
      <c r="BI349">
        <f>'19_Расчет_аналитики'!BI348/(1+'01_Вводные'!$B$58)</f>
        <v/>
      </c>
    </row>
    <row r="350"/>
    <row r="351"/>
    <row r="352"/>
    <row r="353"/>
    <row r="354"/>
    <row r="355"/>
    <row r="356"/>
    <row r="357"/>
    <row r="358"/>
    <row r="359"/>
    <row r="360"/>
    <row r="361"/>
    <row r="362">
      <c r="C362">
        <f>'19_Расчет_аналитики'!C338</f>
        <v/>
      </c>
      <c r="D362">
        <f>'19_Расчет_аналитики'!D338</f>
        <v/>
      </c>
      <c r="E362">
        <f>'19_Расчет_аналитики'!E338</f>
        <v/>
      </c>
      <c r="F362">
        <f>'19_Расчет_аналитики'!F338</f>
        <v/>
      </c>
      <c r="G362">
        <f>'19_Расчет_аналитики'!G338</f>
        <v/>
      </c>
      <c r="H362">
        <f>'19_Расчет_аналитики'!H338</f>
        <v/>
      </c>
      <c r="I362">
        <f>'19_Расчет_аналитики'!I338</f>
        <v/>
      </c>
      <c r="J362">
        <f>'19_Расчет_аналитики'!J338</f>
        <v/>
      </c>
      <c r="K362">
        <f>'19_Расчет_аналитики'!K338</f>
        <v/>
      </c>
      <c r="L362">
        <f>'19_Расчет_аналитики'!L338</f>
        <v/>
      </c>
      <c r="M362">
        <f>'19_Расчет_аналитики'!M338</f>
        <v/>
      </c>
      <c r="N362">
        <f>'19_Расчет_аналитики'!N338</f>
        <v/>
      </c>
      <c r="O362">
        <f>'19_Расчет_аналитики'!O338</f>
        <v/>
      </c>
      <c r="P362">
        <f>'19_Расчет_аналитики'!P338</f>
        <v/>
      </c>
      <c r="Q362">
        <f>'19_Расчет_аналитики'!Q338</f>
        <v/>
      </c>
      <c r="R362">
        <f>'19_Расчет_аналитики'!R338</f>
        <v/>
      </c>
      <c r="S362">
        <f>'19_Расчет_аналитики'!S338</f>
        <v/>
      </c>
      <c r="T362">
        <f>'19_Расчет_аналитики'!T338</f>
        <v/>
      </c>
      <c r="U362">
        <f>'19_Расчет_аналитики'!U338</f>
        <v/>
      </c>
      <c r="V362">
        <f>'19_Расчет_аналитики'!V338</f>
        <v/>
      </c>
      <c r="W362">
        <f>'19_Расчет_аналитики'!W338</f>
        <v/>
      </c>
      <c r="X362">
        <f>'19_Расчет_аналитики'!X338</f>
        <v/>
      </c>
      <c r="Y362">
        <f>'19_Расчет_аналитики'!Y338</f>
        <v/>
      </c>
      <c r="Z362">
        <f>'19_Расчет_аналитики'!Z338</f>
        <v/>
      </c>
      <c r="AA362">
        <f>'19_Расчет_аналитики'!AA338</f>
        <v/>
      </c>
      <c r="AB362">
        <f>'19_Расчет_аналитики'!AB338</f>
        <v/>
      </c>
      <c r="AC362">
        <f>'19_Расчет_аналитики'!AC338</f>
        <v/>
      </c>
      <c r="AD362">
        <f>'19_Расчет_аналитики'!AD338</f>
        <v/>
      </c>
      <c r="AE362">
        <f>'19_Расчет_аналитики'!AE338</f>
        <v/>
      </c>
      <c r="AF362">
        <f>'19_Расчет_аналитики'!AF338</f>
        <v/>
      </c>
      <c r="AG362">
        <f>'19_Расчет_аналитики'!AG338</f>
        <v/>
      </c>
      <c r="AH362">
        <f>'19_Расчет_аналитики'!AH338</f>
        <v/>
      </c>
      <c r="AI362">
        <f>'19_Расчет_аналитики'!AI338</f>
        <v/>
      </c>
      <c r="AJ362">
        <f>'19_Расчет_аналитики'!AJ338</f>
        <v/>
      </c>
      <c r="AK362">
        <f>'19_Расчет_аналитики'!AK338</f>
        <v/>
      </c>
      <c r="AL362">
        <f>'19_Расчет_аналитики'!AL338</f>
        <v/>
      </c>
      <c r="AM362">
        <f>'19_Расчет_аналитики'!AM338</f>
        <v/>
      </c>
      <c r="AN362">
        <f>'19_Расчет_аналитики'!AN338</f>
        <v/>
      </c>
      <c r="AO362">
        <f>'19_Расчет_аналитики'!AO338</f>
        <v/>
      </c>
      <c r="AP362">
        <f>'19_Расчет_аналитики'!AP338</f>
        <v/>
      </c>
      <c r="AQ362">
        <f>'19_Расчет_аналитики'!AQ338</f>
        <v/>
      </c>
      <c r="AR362">
        <f>'19_Расчет_аналитики'!AR338</f>
        <v/>
      </c>
      <c r="AS362">
        <f>'19_Расчет_аналитики'!AS338</f>
        <v/>
      </c>
      <c r="AT362">
        <f>'19_Расчет_аналитики'!AT338</f>
        <v/>
      </c>
      <c r="AU362">
        <f>'19_Расчет_аналитики'!AU338</f>
        <v/>
      </c>
      <c r="AV362">
        <f>'19_Расчет_аналитики'!AV338</f>
        <v/>
      </c>
      <c r="AW362">
        <f>'19_Расчет_аналитики'!AW338</f>
        <v/>
      </c>
      <c r="AX362">
        <f>'19_Расчет_аналитики'!AX338</f>
        <v/>
      </c>
      <c r="AY362">
        <f>'19_Расчет_аналитики'!AY338</f>
        <v/>
      </c>
      <c r="AZ362">
        <f>'19_Расчет_аналитики'!AZ338</f>
        <v/>
      </c>
      <c r="BA362">
        <f>'19_Расчет_аналитики'!BA338</f>
        <v/>
      </c>
      <c r="BB362">
        <f>'19_Расчет_аналитики'!BB338</f>
        <v/>
      </c>
      <c r="BC362">
        <f>'19_Расчет_аналитики'!BC338</f>
        <v/>
      </c>
      <c r="BD362">
        <f>'19_Расчет_аналитики'!BD338</f>
        <v/>
      </c>
      <c r="BE362">
        <f>'19_Расчет_аналитики'!BE338</f>
        <v/>
      </c>
      <c r="BF362">
        <f>'19_Расчет_аналитики'!BF338</f>
        <v/>
      </c>
      <c r="BG362">
        <f>'19_Расчет_аналитики'!BG338</f>
        <v/>
      </c>
      <c r="BH362">
        <f>'19_Расчет_аналитики'!BH338</f>
        <v/>
      </c>
      <c r="BI362">
        <f>'19_Расчет_аналитики'!BI338</f>
        <v/>
      </c>
    </row>
    <row r="363">
      <c r="B363">
        <f>IF(OR(1&lt;='01_Вводные'!$B$15,1-'01_Вводные'!$B$15&gt;60),0,INDEX('19_Расчет_аналитики'!$B$338:$BI$338,1,1-'01_Вводные'!$B$15))*'01_Вводные'!$B$298*MIN(1,'01_Вводные'!$B$22)+IF(OR(1&lt;=('01_Вводные'!$B$15+'01_Вводные'!$B$311),1-('01_Вводные'!$B$15+'01_Вводные'!$B$311)&gt;60),0,INDEX('19_Расчет_аналитики'!$B$338:$BI$338,1,1-('01_Вводные'!$B$15+'01_Вводные'!$B$311)))*'01_Вводные'!$B$298*MAX(0,'01_Вводные'!$B$22-1)</f>
        <v/>
      </c>
      <c r="C363">
        <f>IF(OR(2&lt;='01_Вводные'!$B$15,2-'01_Вводные'!$B$15&gt;60),0,INDEX('19_Расчет_аналитики'!$B$338:$BI$338,1,2-'01_Вводные'!$B$15))*'01_Вводные'!$B$298*MIN(1,'01_Вводные'!$B$22)+IF(OR(2&lt;=('01_Вводные'!$B$15+'01_Вводные'!$B$311),2-('01_Вводные'!$B$15+'01_Вводные'!$B$311)&gt;60),0,INDEX('19_Расчет_аналитики'!$B$338:$BI$338,1,2-('01_Вводные'!$B$15+'01_Вводные'!$B$311)))*'01_Вводные'!$B$298*MAX(0,'01_Вводные'!$B$22-1)</f>
        <v/>
      </c>
      <c r="D363">
        <f>IF(OR(3&lt;='01_Вводные'!$B$15,3-'01_Вводные'!$B$15&gt;60),0,INDEX('19_Расчет_аналитики'!$B$338:$BI$338,1,3-'01_Вводные'!$B$15))*'01_Вводные'!$B$298*MIN(1,'01_Вводные'!$B$22)+IF(OR(3&lt;=('01_Вводные'!$B$15+'01_Вводные'!$B$311),3-('01_Вводные'!$B$15+'01_Вводные'!$B$311)&gt;60),0,INDEX('19_Расчет_аналитики'!$B$338:$BI$338,1,3-('01_Вводные'!$B$15+'01_Вводные'!$B$311)))*'01_Вводные'!$B$298*MAX(0,'01_Вводные'!$B$22-1)</f>
        <v/>
      </c>
      <c r="E363">
        <f>IF(OR(4&lt;='01_Вводные'!$B$15,4-'01_Вводные'!$B$15&gt;60),0,INDEX('19_Расчет_аналитики'!$B$338:$BI$338,1,4-'01_Вводные'!$B$15))*'01_Вводные'!$B$298*MIN(1,'01_Вводные'!$B$22)+IF(OR(4&lt;=('01_Вводные'!$B$15+'01_Вводные'!$B$311),4-('01_Вводные'!$B$15+'01_Вводные'!$B$311)&gt;60),0,INDEX('19_Расчет_аналитики'!$B$338:$BI$338,1,4-('01_Вводные'!$B$15+'01_Вводные'!$B$311)))*'01_Вводные'!$B$298*MAX(0,'01_Вводные'!$B$22-1)</f>
        <v/>
      </c>
      <c r="F363">
        <f>IF(OR(5&lt;='01_Вводные'!$B$15,5-'01_Вводные'!$B$15&gt;60),0,INDEX('19_Расчет_аналитики'!$B$338:$BI$338,1,5-'01_Вводные'!$B$15))*'01_Вводные'!$B$298*MIN(1,'01_Вводные'!$B$22)+IF(OR(5&lt;=('01_Вводные'!$B$15+'01_Вводные'!$B$311),5-('01_Вводные'!$B$15+'01_Вводные'!$B$311)&gt;60),0,INDEX('19_Расчет_аналитики'!$B$338:$BI$338,1,5-('01_Вводные'!$B$15+'01_Вводные'!$B$311)))*'01_Вводные'!$B$298*MAX(0,'01_Вводные'!$B$22-1)</f>
        <v/>
      </c>
      <c r="G363">
        <f>IF(OR(6&lt;='01_Вводные'!$B$15,6-'01_Вводные'!$B$15&gt;60),0,INDEX('19_Расчет_аналитики'!$B$338:$BI$338,1,6-'01_Вводные'!$B$15))*'01_Вводные'!$B$298*MIN(1,'01_Вводные'!$B$22)+IF(OR(6&lt;=('01_Вводные'!$B$15+'01_Вводные'!$B$311),6-('01_Вводные'!$B$15+'01_Вводные'!$B$311)&gt;60),0,INDEX('19_Расчет_аналитики'!$B$338:$BI$338,1,6-('01_Вводные'!$B$15+'01_Вводные'!$B$311)))*'01_Вводные'!$B$298*MAX(0,'01_Вводные'!$B$22-1)</f>
        <v/>
      </c>
      <c r="H363">
        <f>IF(OR(7&lt;='01_Вводные'!$B$15,7-'01_Вводные'!$B$15&gt;60),0,INDEX('19_Расчет_аналитики'!$B$338:$BI$338,1,7-'01_Вводные'!$B$15))*'01_Вводные'!$B$298*MIN(1,'01_Вводные'!$B$22)+IF(OR(7&lt;=('01_Вводные'!$B$15+'01_Вводные'!$B$311),7-('01_Вводные'!$B$15+'01_Вводные'!$B$311)&gt;60),0,INDEX('19_Расчет_аналитики'!$B$338:$BI$338,1,7-('01_Вводные'!$B$15+'01_Вводные'!$B$311)))*'01_Вводные'!$B$298*MAX(0,'01_Вводные'!$B$22-1)</f>
        <v/>
      </c>
      <c r="I363">
        <f>IF(OR(8&lt;='01_Вводные'!$B$15,8-'01_Вводные'!$B$15&gt;60),0,INDEX('19_Расчет_аналитики'!$B$338:$BI$338,1,8-'01_Вводные'!$B$15))*'01_Вводные'!$B$298*MIN(1,'01_Вводные'!$B$22)+IF(OR(8&lt;=('01_Вводные'!$B$15+'01_Вводные'!$B$311),8-('01_Вводные'!$B$15+'01_Вводные'!$B$311)&gt;60),0,INDEX('19_Расчет_аналитики'!$B$338:$BI$338,1,8-('01_Вводные'!$B$15+'01_Вводные'!$B$311)))*'01_Вводные'!$B$298*MAX(0,'01_Вводные'!$B$22-1)</f>
        <v/>
      </c>
      <c r="J363">
        <f>IF(OR(9&lt;='01_Вводные'!$B$15,9-'01_Вводные'!$B$15&gt;60),0,INDEX('19_Расчет_аналитики'!$B$338:$BI$338,1,9-'01_Вводные'!$B$15))*'01_Вводные'!$B$298*MIN(1,'01_Вводные'!$B$22)+IF(OR(9&lt;=('01_Вводные'!$B$15+'01_Вводные'!$B$311),9-('01_Вводные'!$B$15+'01_Вводные'!$B$311)&gt;60),0,INDEX('19_Расчет_аналитики'!$B$338:$BI$338,1,9-('01_Вводные'!$B$15+'01_Вводные'!$B$311)))*'01_Вводные'!$B$298*MAX(0,'01_Вводные'!$B$22-1)</f>
        <v/>
      </c>
      <c r="K363">
        <f>IF(OR(10&lt;='01_Вводные'!$B$15,10-'01_Вводные'!$B$15&gt;60),0,INDEX('19_Расчет_аналитики'!$B$338:$BI$338,1,10-'01_Вводные'!$B$15))*'01_Вводные'!$B$298*MIN(1,'01_Вводные'!$B$22)+IF(OR(10&lt;=('01_Вводные'!$B$15+'01_Вводные'!$B$311),10-('01_Вводные'!$B$15+'01_Вводные'!$B$311)&gt;60),0,INDEX('19_Расчет_аналитики'!$B$338:$BI$338,1,10-('01_Вводные'!$B$15+'01_Вводные'!$B$311)))*'01_Вводные'!$B$298*MAX(0,'01_Вводные'!$B$22-1)</f>
        <v/>
      </c>
      <c r="L363">
        <f>IF(OR(11&lt;='01_Вводные'!$B$15,11-'01_Вводные'!$B$15&gt;60),0,INDEX('19_Расчет_аналитики'!$B$338:$BI$338,1,11-'01_Вводные'!$B$15))*'01_Вводные'!$B$298*MIN(1,'01_Вводные'!$B$22)+IF(OR(11&lt;=('01_Вводные'!$B$15+'01_Вводные'!$B$311),11-('01_Вводные'!$B$15+'01_Вводные'!$B$311)&gt;60),0,INDEX('19_Расчет_аналитики'!$B$338:$BI$338,1,11-('01_Вводные'!$B$15+'01_Вводные'!$B$311)))*'01_Вводные'!$B$298*MAX(0,'01_Вводные'!$B$22-1)</f>
        <v/>
      </c>
      <c r="M363">
        <f>IF(OR(12&lt;='01_Вводные'!$B$15,12-'01_Вводные'!$B$15&gt;60),0,INDEX('19_Расчет_аналитики'!$B$338:$BI$338,1,12-'01_Вводные'!$B$15))*'01_Вводные'!$B$298*MIN(1,'01_Вводные'!$B$22)+IF(OR(12&lt;=('01_Вводные'!$B$15+'01_Вводные'!$B$311),12-('01_Вводные'!$B$15+'01_Вводные'!$B$311)&gt;60),0,INDEX('19_Расчет_аналитики'!$B$338:$BI$338,1,12-('01_Вводные'!$B$15+'01_Вводные'!$B$311)))*'01_Вводные'!$B$298*MAX(0,'01_Вводные'!$B$22-1)</f>
        <v/>
      </c>
      <c r="N363">
        <f>IF(OR(13&lt;='01_Вводные'!$B$15,13-'01_Вводные'!$B$15&gt;60),0,INDEX('19_Расчет_аналитики'!$B$338:$BI$338,1,13-'01_Вводные'!$B$15))*'01_Вводные'!$B$298*MIN(1,'01_Вводные'!$B$22)+IF(OR(13&lt;=('01_Вводные'!$B$15+'01_Вводные'!$B$311),13-('01_Вводные'!$B$15+'01_Вводные'!$B$311)&gt;60),0,INDEX('19_Расчет_аналитики'!$B$338:$BI$338,1,13-('01_Вводные'!$B$15+'01_Вводные'!$B$311)))*'01_Вводные'!$B$298*MAX(0,'01_Вводные'!$B$22-1)</f>
        <v/>
      </c>
      <c r="O363">
        <f>IF(OR(14&lt;='01_Вводные'!$B$15,14-'01_Вводные'!$B$15&gt;60),0,INDEX('19_Расчет_аналитики'!$B$338:$BI$338,1,14-'01_Вводные'!$B$15))*'01_Вводные'!$B$298*MIN(1,'01_Вводные'!$B$22)+IF(OR(14&lt;=('01_Вводные'!$B$15+'01_Вводные'!$B$311),14-('01_Вводные'!$B$15+'01_Вводные'!$B$311)&gt;60),0,INDEX('19_Расчет_аналитики'!$B$338:$BI$338,1,14-('01_Вводные'!$B$15+'01_Вводные'!$B$311)))*'01_Вводные'!$B$298*MAX(0,'01_Вводные'!$B$22-1)</f>
        <v/>
      </c>
      <c r="P363">
        <f>IF(OR(15&lt;='01_Вводные'!$B$15,15-'01_Вводные'!$B$15&gt;60),0,INDEX('19_Расчет_аналитики'!$B$338:$BI$338,1,15-'01_Вводные'!$B$15))*'01_Вводные'!$B$298*MIN(1,'01_Вводные'!$B$22)+IF(OR(15&lt;=('01_Вводные'!$B$15+'01_Вводные'!$B$311),15-('01_Вводные'!$B$15+'01_Вводные'!$B$311)&gt;60),0,INDEX('19_Расчет_аналитики'!$B$338:$BI$338,1,15-('01_Вводные'!$B$15+'01_Вводные'!$B$311)))*'01_Вводные'!$B$298*MAX(0,'01_Вводные'!$B$22-1)</f>
        <v/>
      </c>
      <c r="Q363">
        <f>IF(OR(16&lt;='01_Вводные'!$B$15,16-'01_Вводные'!$B$15&gt;60),0,INDEX('19_Расчет_аналитики'!$B$338:$BI$338,1,16-'01_Вводные'!$B$15))*'01_Вводные'!$B$298*MIN(1,'01_Вводные'!$B$22)+IF(OR(16&lt;=('01_Вводные'!$B$15+'01_Вводные'!$B$311),16-('01_Вводные'!$B$15+'01_Вводные'!$B$311)&gt;60),0,INDEX('19_Расчет_аналитики'!$B$338:$BI$338,1,16-('01_Вводные'!$B$15+'01_Вводные'!$B$311)))*'01_Вводные'!$B$298*MAX(0,'01_Вводные'!$B$22-1)</f>
        <v/>
      </c>
      <c r="R363">
        <f>IF(OR(17&lt;='01_Вводные'!$B$15,17-'01_Вводные'!$B$15&gt;60),0,INDEX('19_Расчет_аналитики'!$B$338:$BI$338,1,17-'01_Вводные'!$B$15))*'01_Вводные'!$B$298*MIN(1,'01_Вводные'!$B$22)+IF(OR(17&lt;=('01_Вводные'!$B$15+'01_Вводные'!$B$311),17-('01_Вводные'!$B$15+'01_Вводные'!$B$311)&gt;60),0,INDEX('19_Расчет_аналитики'!$B$338:$BI$338,1,17-('01_Вводные'!$B$15+'01_Вводные'!$B$311)))*'01_Вводные'!$B$298*MAX(0,'01_Вводные'!$B$22-1)</f>
        <v/>
      </c>
      <c r="S363">
        <f>IF(OR(18&lt;='01_Вводные'!$B$15,18-'01_Вводные'!$B$15&gt;60),0,INDEX('19_Расчет_аналитики'!$B$338:$BI$338,1,18-'01_Вводные'!$B$15))*'01_Вводные'!$B$298*MIN(1,'01_Вводные'!$B$22)+IF(OR(18&lt;=('01_Вводные'!$B$15+'01_Вводные'!$B$311),18-('01_Вводные'!$B$15+'01_Вводные'!$B$311)&gt;60),0,INDEX('19_Расчет_аналитики'!$B$338:$BI$338,1,18-('01_Вводные'!$B$15+'01_Вводные'!$B$311)))*'01_Вводные'!$B$298*MAX(0,'01_Вводные'!$B$22-1)</f>
        <v/>
      </c>
      <c r="T363">
        <f>IF(OR(19&lt;='01_Вводные'!$B$15,19-'01_Вводные'!$B$15&gt;60),0,INDEX('19_Расчет_аналитики'!$B$338:$BI$338,1,19-'01_Вводные'!$B$15))*'01_Вводные'!$B$298*MIN(1,'01_Вводные'!$B$22)+IF(OR(19&lt;=('01_Вводные'!$B$15+'01_Вводные'!$B$311),19-('01_Вводные'!$B$15+'01_Вводные'!$B$311)&gt;60),0,INDEX('19_Расчет_аналитики'!$B$338:$BI$338,1,19-('01_Вводные'!$B$15+'01_Вводные'!$B$311)))*'01_Вводные'!$B$298*MAX(0,'01_Вводные'!$B$22-1)</f>
        <v/>
      </c>
      <c r="U363">
        <f>IF(OR(20&lt;='01_Вводные'!$B$15,20-'01_Вводные'!$B$15&gt;60),0,INDEX('19_Расчет_аналитики'!$B$338:$BI$338,1,20-'01_Вводные'!$B$15))*'01_Вводные'!$B$298*MIN(1,'01_Вводные'!$B$22)+IF(OR(20&lt;=('01_Вводные'!$B$15+'01_Вводные'!$B$311),20-('01_Вводные'!$B$15+'01_Вводные'!$B$311)&gt;60),0,INDEX('19_Расчет_аналитики'!$B$338:$BI$338,1,20-('01_Вводные'!$B$15+'01_Вводные'!$B$311)))*'01_Вводные'!$B$298*MAX(0,'01_Вводные'!$B$22-1)</f>
        <v/>
      </c>
      <c r="V363">
        <f>IF(OR(21&lt;='01_Вводные'!$B$15,21-'01_Вводные'!$B$15&gt;60),0,INDEX('19_Расчет_аналитики'!$B$338:$BI$338,1,21-'01_Вводные'!$B$15))*'01_Вводные'!$B$298*MIN(1,'01_Вводные'!$B$22)+IF(OR(21&lt;=('01_Вводные'!$B$15+'01_Вводные'!$B$311),21-('01_Вводные'!$B$15+'01_Вводные'!$B$311)&gt;60),0,INDEX('19_Расчет_аналитики'!$B$338:$BI$338,1,21-('01_Вводные'!$B$15+'01_Вводные'!$B$311)))*'01_Вводные'!$B$298*MAX(0,'01_Вводные'!$B$22-1)</f>
        <v/>
      </c>
      <c r="W363">
        <f>IF(OR(22&lt;='01_Вводные'!$B$15,22-'01_Вводные'!$B$15&gt;60),0,INDEX('19_Расчет_аналитики'!$B$338:$BI$338,1,22-'01_Вводные'!$B$15))*'01_Вводные'!$B$298*MIN(1,'01_Вводные'!$B$22)+IF(OR(22&lt;=('01_Вводные'!$B$15+'01_Вводные'!$B$311),22-('01_Вводные'!$B$15+'01_Вводные'!$B$311)&gt;60),0,INDEX('19_Расчет_аналитики'!$B$338:$BI$338,1,22-('01_Вводные'!$B$15+'01_Вводные'!$B$311)))*'01_Вводные'!$B$298*MAX(0,'01_Вводные'!$B$22-1)</f>
        <v/>
      </c>
      <c r="X363">
        <f>IF(OR(23&lt;='01_Вводные'!$B$15,23-'01_Вводные'!$B$15&gt;60),0,INDEX('19_Расчет_аналитики'!$B$338:$BI$338,1,23-'01_Вводные'!$B$15))*'01_Вводные'!$B$298*MIN(1,'01_Вводные'!$B$22)+IF(OR(23&lt;=('01_Вводные'!$B$15+'01_Вводные'!$B$311),23-('01_Вводные'!$B$15+'01_Вводные'!$B$311)&gt;60),0,INDEX('19_Расчет_аналитики'!$B$338:$BI$338,1,23-('01_Вводные'!$B$15+'01_Вводные'!$B$311)))*'01_Вводные'!$B$298*MAX(0,'01_Вводные'!$B$22-1)</f>
        <v/>
      </c>
      <c r="Y363">
        <f>IF(OR(24&lt;='01_Вводные'!$B$15,24-'01_Вводные'!$B$15&gt;60),0,INDEX('19_Расчет_аналитики'!$B$338:$BI$338,1,24-'01_Вводные'!$B$15))*'01_Вводные'!$B$298*MIN(1,'01_Вводные'!$B$22)+IF(OR(24&lt;=('01_Вводные'!$B$15+'01_Вводные'!$B$311),24-('01_Вводные'!$B$15+'01_Вводные'!$B$311)&gt;60),0,INDEX('19_Расчет_аналитики'!$B$338:$BI$338,1,24-('01_Вводные'!$B$15+'01_Вводные'!$B$311)))*'01_Вводные'!$B$298*MAX(0,'01_Вводные'!$B$22-1)</f>
        <v/>
      </c>
      <c r="Z363">
        <f>IF(OR(25&lt;='01_Вводные'!$B$15,25-'01_Вводные'!$B$15&gt;60),0,INDEX('19_Расчет_аналитики'!$B$338:$BI$338,1,25-'01_Вводные'!$B$15))*'01_Вводные'!$B$298*MIN(1,'01_Вводные'!$B$22)+IF(OR(25&lt;=('01_Вводные'!$B$15+'01_Вводные'!$B$311),25-('01_Вводные'!$B$15+'01_Вводные'!$B$311)&gt;60),0,INDEX('19_Расчет_аналитики'!$B$338:$BI$338,1,25-('01_Вводные'!$B$15+'01_Вводные'!$B$311)))*'01_Вводные'!$B$298*MAX(0,'01_Вводные'!$B$22-1)</f>
        <v/>
      </c>
      <c r="AA363">
        <f>IF(OR(26&lt;='01_Вводные'!$B$15,26-'01_Вводные'!$B$15&gt;60),0,INDEX('19_Расчет_аналитики'!$B$338:$BI$338,1,26-'01_Вводные'!$B$15))*'01_Вводные'!$B$298*MIN(1,'01_Вводные'!$B$22)+IF(OR(26&lt;=('01_Вводные'!$B$15+'01_Вводные'!$B$311),26-('01_Вводные'!$B$15+'01_Вводные'!$B$311)&gt;60),0,INDEX('19_Расчет_аналитики'!$B$338:$BI$338,1,26-('01_Вводные'!$B$15+'01_Вводные'!$B$311)))*'01_Вводные'!$B$298*MAX(0,'01_Вводные'!$B$22-1)</f>
        <v/>
      </c>
      <c r="AB363">
        <f>IF(OR(27&lt;='01_Вводные'!$B$15,27-'01_Вводные'!$B$15&gt;60),0,INDEX('19_Расчет_аналитики'!$B$338:$BI$338,1,27-'01_Вводные'!$B$15))*'01_Вводные'!$B$298*MIN(1,'01_Вводные'!$B$22)+IF(OR(27&lt;=('01_Вводные'!$B$15+'01_Вводные'!$B$311),27-('01_Вводные'!$B$15+'01_Вводные'!$B$311)&gt;60),0,INDEX('19_Расчет_аналитики'!$B$338:$BI$338,1,27-('01_Вводные'!$B$15+'01_Вводные'!$B$311)))*'01_Вводные'!$B$298*MAX(0,'01_Вводные'!$B$22-1)</f>
        <v/>
      </c>
      <c r="AC363">
        <f>IF(OR(28&lt;='01_Вводные'!$B$15,28-'01_Вводные'!$B$15&gt;60),0,INDEX('19_Расчет_аналитики'!$B$338:$BI$338,1,28-'01_Вводные'!$B$15))*'01_Вводные'!$B$298*MIN(1,'01_Вводные'!$B$22)+IF(OR(28&lt;=('01_Вводные'!$B$15+'01_Вводные'!$B$311),28-('01_Вводные'!$B$15+'01_Вводные'!$B$311)&gt;60),0,INDEX('19_Расчет_аналитики'!$B$338:$BI$338,1,28-('01_Вводные'!$B$15+'01_Вводные'!$B$311)))*'01_Вводные'!$B$298*MAX(0,'01_Вводные'!$B$22-1)</f>
        <v/>
      </c>
      <c r="AD363">
        <f>IF(OR(29&lt;='01_Вводные'!$B$15,29-'01_Вводные'!$B$15&gt;60),0,INDEX('19_Расчет_аналитики'!$B$338:$BI$338,1,29-'01_Вводные'!$B$15))*'01_Вводные'!$B$298*MIN(1,'01_Вводные'!$B$22)+IF(OR(29&lt;=('01_Вводные'!$B$15+'01_Вводные'!$B$311),29-('01_Вводные'!$B$15+'01_Вводные'!$B$311)&gt;60),0,INDEX('19_Расчет_аналитики'!$B$338:$BI$338,1,29-('01_Вводные'!$B$15+'01_Вводные'!$B$311)))*'01_Вводные'!$B$298*MAX(0,'01_Вводные'!$B$22-1)</f>
        <v/>
      </c>
      <c r="AE363">
        <f>IF(OR(30&lt;='01_Вводные'!$B$15,30-'01_Вводные'!$B$15&gt;60),0,INDEX('19_Расчет_аналитики'!$B$338:$BI$338,1,30-'01_Вводные'!$B$15))*'01_Вводные'!$B$298*MIN(1,'01_Вводные'!$B$22)+IF(OR(30&lt;=('01_Вводные'!$B$15+'01_Вводные'!$B$311),30-('01_Вводные'!$B$15+'01_Вводные'!$B$311)&gt;60),0,INDEX('19_Расчет_аналитики'!$B$338:$BI$338,1,30-('01_Вводные'!$B$15+'01_Вводные'!$B$311)))*'01_Вводные'!$B$298*MAX(0,'01_Вводные'!$B$22-1)</f>
        <v/>
      </c>
      <c r="AF363">
        <f>IF(OR(31&lt;='01_Вводные'!$B$15,31-'01_Вводные'!$B$15&gt;60),0,INDEX('19_Расчет_аналитики'!$B$338:$BI$338,1,31-'01_Вводные'!$B$15))*'01_Вводные'!$B$298*MIN(1,'01_Вводные'!$B$22)+IF(OR(31&lt;=('01_Вводные'!$B$15+'01_Вводные'!$B$311),31-('01_Вводные'!$B$15+'01_Вводные'!$B$311)&gt;60),0,INDEX('19_Расчет_аналитики'!$B$338:$BI$338,1,31-('01_Вводные'!$B$15+'01_Вводные'!$B$311)))*'01_Вводные'!$B$298*MAX(0,'01_Вводные'!$B$22-1)</f>
        <v/>
      </c>
      <c r="AG363">
        <f>IF(OR(32&lt;='01_Вводные'!$B$15,32-'01_Вводные'!$B$15&gt;60),0,INDEX('19_Расчет_аналитики'!$B$338:$BI$338,1,32-'01_Вводные'!$B$15))*'01_Вводные'!$B$298*MIN(1,'01_Вводные'!$B$22)+IF(OR(32&lt;=('01_Вводные'!$B$15+'01_Вводные'!$B$311),32-('01_Вводные'!$B$15+'01_Вводные'!$B$311)&gt;60),0,INDEX('19_Расчет_аналитики'!$B$338:$BI$338,1,32-('01_Вводные'!$B$15+'01_Вводные'!$B$311)))*'01_Вводные'!$B$298*MAX(0,'01_Вводные'!$B$22-1)</f>
        <v/>
      </c>
      <c r="AH363">
        <f>IF(OR(33&lt;='01_Вводные'!$B$15,33-'01_Вводные'!$B$15&gt;60),0,INDEX('19_Расчет_аналитики'!$B$338:$BI$338,1,33-'01_Вводные'!$B$15))*'01_Вводные'!$B$298*MIN(1,'01_Вводные'!$B$22)+IF(OR(33&lt;=('01_Вводные'!$B$15+'01_Вводные'!$B$311),33-('01_Вводные'!$B$15+'01_Вводные'!$B$311)&gt;60),0,INDEX('19_Расчет_аналитики'!$B$338:$BI$338,1,33-('01_Вводные'!$B$15+'01_Вводные'!$B$311)))*'01_Вводные'!$B$298*MAX(0,'01_Вводные'!$B$22-1)</f>
        <v/>
      </c>
      <c r="AI363">
        <f>IF(OR(34&lt;='01_Вводные'!$B$15,34-'01_Вводные'!$B$15&gt;60),0,INDEX('19_Расчет_аналитики'!$B$338:$BI$338,1,34-'01_Вводные'!$B$15))*'01_Вводные'!$B$298*MIN(1,'01_Вводные'!$B$22)+IF(OR(34&lt;=('01_Вводные'!$B$15+'01_Вводные'!$B$311),34-('01_Вводные'!$B$15+'01_Вводные'!$B$311)&gt;60),0,INDEX('19_Расчет_аналитики'!$B$338:$BI$338,1,34-('01_Вводные'!$B$15+'01_Вводные'!$B$311)))*'01_Вводные'!$B$298*MAX(0,'01_Вводные'!$B$22-1)</f>
        <v/>
      </c>
      <c r="AJ363">
        <f>IF(OR(35&lt;='01_Вводные'!$B$15,35-'01_Вводные'!$B$15&gt;60),0,INDEX('19_Расчет_аналитики'!$B$338:$BI$338,1,35-'01_Вводные'!$B$15))*'01_Вводные'!$B$298*MIN(1,'01_Вводные'!$B$22)+IF(OR(35&lt;=('01_Вводные'!$B$15+'01_Вводные'!$B$311),35-('01_Вводные'!$B$15+'01_Вводные'!$B$311)&gt;60),0,INDEX('19_Расчет_аналитики'!$B$338:$BI$338,1,35-('01_Вводные'!$B$15+'01_Вводные'!$B$311)))*'01_Вводные'!$B$298*MAX(0,'01_Вводные'!$B$22-1)</f>
        <v/>
      </c>
      <c r="AK363">
        <f>IF(OR(36&lt;='01_Вводные'!$B$15,36-'01_Вводные'!$B$15&gt;60),0,INDEX('19_Расчет_аналитики'!$B$338:$BI$338,1,36-'01_Вводные'!$B$15))*'01_Вводные'!$B$298*MIN(1,'01_Вводные'!$B$22)+IF(OR(36&lt;=('01_Вводные'!$B$15+'01_Вводные'!$B$311),36-('01_Вводные'!$B$15+'01_Вводные'!$B$311)&gt;60),0,INDEX('19_Расчет_аналитики'!$B$338:$BI$338,1,36-('01_Вводные'!$B$15+'01_Вводные'!$B$311)))*'01_Вводные'!$B$298*MAX(0,'01_Вводные'!$B$22-1)</f>
        <v/>
      </c>
      <c r="AL363">
        <f>IF(OR(37&lt;='01_Вводные'!$B$15,37-'01_Вводные'!$B$15&gt;60),0,INDEX('19_Расчет_аналитики'!$B$338:$BI$338,1,37-'01_Вводные'!$B$15))*'01_Вводные'!$B$298*MIN(1,'01_Вводные'!$B$22)+IF(OR(37&lt;=('01_Вводные'!$B$15+'01_Вводные'!$B$311),37-('01_Вводные'!$B$15+'01_Вводные'!$B$311)&gt;60),0,INDEX('19_Расчет_аналитики'!$B$338:$BI$338,1,37-('01_Вводные'!$B$15+'01_Вводные'!$B$311)))*'01_Вводные'!$B$298*MAX(0,'01_Вводные'!$B$22-1)</f>
        <v/>
      </c>
      <c r="AM363">
        <f>IF(OR(38&lt;='01_Вводные'!$B$15,38-'01_Вводные'!$B$15&gt;60),0,INDEX('19_Расчет_аналитики'!$B$338:$BI$338,1,38-'01_Вводные'!$B$15))*'01_Вводные'!$B$298*MIN(1,'01_Вводные'!$B$22)+IF(OR(38&lt;=('01_Вводные'!$B$15+'01_Вводные'!$B$311),38-('01_Вводные'!$B$15+'01_Вводные'!$B$311)&gt;60),0,INDEX('19_Расчет_аналитики'!$B$338:$BI$338,1,38-('01_Вводные'!$B$15+'01_Вводные'!$B$311)))*'01_Вводные'!$B$298*MAX(0,'01_Вводные'!$B$22-1)</f>
        <v/>
      </c>
      <c r="AN363">
        <f>IF(OR(39&lt;='01_Вводные'!$B$15,39-'01_Вводные'!$B$15&gt;60),0,INDEX('19_Расчет_аналитики'!$B$338:$BI$338,1,39-'01_Вводные'!$B$15))*'01_Вводные'!$B$298*MIN(1,'01_Вводные'!$B$22)+IF(OR(39&lt;=('01_Вводные'!$B$15+'01_Вводные'!$B$311),39-('01_Вводные'!$B$15+'01_Вводные'!$B$311)&gt;60),0,INDEX('19_Расчет_аналитики'!$B$338:$BI$338,1,39-('01_Вводные'!$B$15+'01_Вводные'!$B$311)))*'01_Вводные'!$B$298*MAX(0,'01_Вводные'!$B$22-1)</f>
        <v/>
      </c>
      <c r="AO363">
        <f>IF(OR(40&lt;='01_Вводные'!$B$15,40-'01_Вводные'!$B$15&gt;60),0,INDEX('19_Расчет_аналитики'!$B$338:$BI$338,1,40-'01_Вводные'!$B$15))*'01_Вводные'!$B$298*MIN(1,'01_Вводные'!$B$22)+IF(OR(40&lt;=('01_Вводные'!$B$15+'01_Вводные'!$B$311),40-('01_Вводные'!$B$15+'01_Вводные'!$B$311)&gt;60),0,INDEX('19_Расчет_аналитики'!$B$338:$BI$338,1,40-('01_Вводные'!$B$15+'01_Вводные'!$B$311)))*'01_Вводные'!$B$298*MAX(0,'01_Вводные'!$B$22-1)</f>
        <v/>
      </c>
      <c r="AP363">
        <f>IF(OR(41&lt;='01_Вводные'!$B$15,41-'01_Вводные'!$B$15&gt;60),0,INDEX('19_Расчет_аналитики'!$B$338:$BI$338,1,41-'01_Вводные'!$B$15))*'01_Вводные'!$B$298*MIN(1,'01_Вводные'!$B$22)+IF(OR(41&lt;=('01_Вводные'!$B$15+'01_Вводные'!$B$311),41-('01_Вводные'!$B$15+'01_Вводные'!$B$311)&gt;60),0,INDEX('19_Расчет_аналитики'!$B$338:$BI$338,1,41-('01_Вводные'!$B$15+'01_Вводные'!$B$311)))*'01_Вводные'!$B$298*MAX(0,'01_Вводные'!$B$22-1)</f>
        <v/>
      </c>
      <c r="AQ363">
        <f>IF(OR(42&lt;='01_Вводные'!$B$15,42-'01_Вводные'!$B$15&gt;60),0,INDEX('19_Расчет_аналитики'!$B$338:$BI$338,1,42-'01_Вводные'!$B$15))*'01_Вводные'!$B$298*MIN(1,'01_Вводные'!$B$22)+IF(OR(42&lt;=('01_Вводные'!$B$15+'01_Вводные'!$B$311),42-('01_Вводные'!$B$15+'01_Вводные'!$B$311)&gt;60),0,INDEX('19_Расчет_аналитики'!$B$338:$BI$338,1,42-('01_Вводные'!$B$15+'01_Вводные'!$B$311)))*'01_Вводные'!$B$298*MAX(0,'01_Вводные'!$B$22-1)</f>
        <v/>
      </c>
      <c r="AR363">
        <f>IF(OR(43&lt;='01_Вводные'!$B$15,43-'01_Вводные'!$B$15&gt;60),0,INDEX('19_Расчет_аналитики'!$B$338:$BI$338,1,43-'01_Вводные'!$B$15))*'01_Вводные'!$B$298*MIN(1,'01_Вводные'!$B$22)+IF(OR(43&lt;=('01_Вводные'!$B$15+'01_Вводные'!$B$311),43-('01_Вводные'!$B$15+'01_Вводные'!$B$311)&gt;60),0,INDEX('19_Расчет_аналитики'!$B$338:$BI$338,1,43-('01_Вводные'!$B$15+'01_Вводные'!$B$311)))*'01_Вводные'!$B$298*MAX(0,'01_Вводные'!$B$22-1)</f>
        <v/>
      </c>
      <c r="AS363">
        <f>IF(OR(44&lt;='01_Вводные'!$B$15,44-'01_Вводные'!$B$15&gt;60),0,INDEX('19_Расчет_аналитики'!$B$338:$BI$338,1,44-'01_Вводные'!$B$15))*'01_Вводные'!$B$298*MIN(1,'01_Вводные'!$B$22)+IF(OR(44&lt;=('01_Вводные'!$B$15+'01_Вводные'!$B$311),44-('01_Вводные'!$B$15+'01_Вводные'!$B$311)&gt;60),0,INDEX('19_Расчет_аналитики'!$B$338:$BI$338,1,44-('01_Вводные'!$B$15+'01_Вводные'!$B$311)))*'01_Вводные'!$B$298*MAX(0,'01_Вводные'!$B$22-1)</f>
        <v/>
      </c>
      <c r="AT363">
        <f>IF(OR(45&lt;='01_Вводные'!$B$15,45-'01_Вводные'!$B$15&gt;60),0,INDEX('19_Расчет_аналитики'!$B$338:$BI$338,1,45-'01_Вводные'!$B$15))*'01_Вводные'!$B$298*MIN(1,'01_Вводные'!$B$22)+IF(OR(45&lt;=('01_Вводные'!$B$15+'01_Вводные'!$B$311),45-('01_Вводные'!$B$15+'01_Вводные'!$B$311)&gt;60),0,INDEX('19_Расчет_аналитики'!$B$338:$BI$338,1,45-('01_Вводные'!$B$15+'01_Вводные'!$B$311)))*'01_Вводные'!$B$298*MAX(0,'01_Вводные'!$B$22-1)</f>
        <v/>
      </c>
      <c r="AU363">
        <f>IF(OR(46&lt;='01_Вводные'!$B$15,46-'01_Вводные'!$B$15&gt;60),0,INDEX('19_Расчет_аналитики'!$B$338:$BI$338,1,46-'01_Вводные'!$B$15))*'01_Вводные'!$B$298*MIN(1,'01_Вводные'!$B$22)+IF(OR(46&lt;=('01_Вводные'!$B$15+'01_Вводные'!$B$311),46-('01_Вводные'!$B$15+'01_Вводные'!$B$311)&gt;60),0,INDEX('19_Расчет_аналитики'!$B$338:$BI$338,1,46-('01_Вводные'!$B$15+'01_Вводные'!$B$311)))*'01_Вводные'!$B$298*MAX(0,'01_Вводные'!$B$22-1)</f>
        <v/>
      </c>
      <c r="AV363">
        <f>IF(OR(47&lt;='01_Вводные'!$B$15,47-'01_Вводные'!$B$15&gt;60),0,INDEX('19_Расчет_аналитики'!$B$338:$BI$338,1,47-'01_Вводные'!$B$15))*'01_Вводные'!$B$298*MIN(1,'01_Вводные'!$B$22)+IF(OR(47&lt;=('01_Вводные'!$B$15+'01_Вводные'!$B$311),47-('01_Вводные'!$B$15+'01_Вводные'!$B$311)&gt;60),0,INDEX('19_Расчет_аналитики'!$B$338:$BI$338,1,47-('01_Вводные'!$B$15+'01_Вводные'!$B$311)))*'01_Вводные'!$B$298*MAX(0,'01_Вводные'!$B$22-1)</f>
        <v/>
      </c>
      <c r="AW363">
        <f>IF(OR(48&lt;='01_Вводные'!$B$15,48-'01_Вводные'!$B$15&gt;60),0,INDEX('19_Расчет_аналитики'!$B$338:$BI$338,1,48-'01_Вводные'!$B$15))*'01_Вводные'!$B$298*MIN(1,'01_Вводные'!$B$22)+IF(OR(48&lt;=('01_Вводные'!$B$15+'01_Вводные'!$B$311),48-('01_Вводные'!$B$15+'01_Вводные'!$B$311)&gt;60),0,INDEX('19_Расчет_аналитики'!$B$338:$BI$338,1,48-('01_Вводные'!$B$15+'01_Вводные'!$B$311)))*'01_Вводные'!$B$298*MAX(0,'01_Вводные'!$B$22-1)</f>
        <v/>
      </c>
      <c r="AX363">
        <f>IF(OR(49&lt;='01_Вводные'!$B$15,49-'01_Вводные'!$B$15&gt;60),0,INDEX('19_Расчет_аналитики'!$B$338:$BI$338,1,49-'01_Вводные'!$B$15))*'01_Вводные'!$B$298*MIN(1,'01_Вводные'!$B$22)+IF(OR(49&lt;=('01_Вводные'!$B$15+'01_Вводные'!$B$311),49-('01_Вводные'!$B$15+'01_Вводные'!$B$311)&gt;60),0,INDEX('19_Расчет_аналитики'!$B$338:$BI$338,1,49-('01_Вводные'!$B$15+'01_Вводные'!$B$311)))*'01_Вводные'!$B$298*MAX(0,'01_Вводные'!$B$22-1)</f>
        <v/>
      </c>
      <c r="AY363">
        <f>IF(OR(50&lt;='01_Вводные'!$B$15,50-'01_Вводные'!$B$15&gt;60),0,INDEX('19_Расчет_аналитики'!$B$338:$BI$338,1,50-'01_Вводные'!$B$15))*'01_Вводные'!$B$298*MIN(1,'01_Вводные'!$B$22)+IF(OR(50&lt;=('01_Вводные'!$B$15+'01_Вводные'!$B$311),50-('01_Вводные'!$B$15+'01_Вводные'!$B$311)&gt;60),0,INDEX('19_Расчет_аналитики'!$B$338:$BI$338,1,50-('01_Вводные'!$B$15+'01_Вводные'!$B$311)))*'01_Вводные'!$B$298*MAX(0,'01_Вводные'!$B$22-1)</f>
        <v/>
      </c>
      <c r="AZ363">
        <f>IF(OR(51&lt;='01_Вводные'!$B$15,51-'01_Вводные'!$B$15&gt;60),0,INDEX('19_Расчет_аналитики'!$B$338:$BI$338,1,51-'01_Вводные'!$B$15))*'01_Вводные'!$B$298*MIN(1,'01_Вводные'!$B$22)+IF(OR(51&lt;=('01_Вводные'!$B$15+'01_Вводные'!$B$311),51-('01_Вводные'!$B$15+'01_Вводные'!$B$311)&gt;60),0,INDEX('19_Расчет_аналитики'!$B$338:$BI$338,1,51-('01_Вводные'!$B$15+'01_Вводные'!$B$311)))*'01_Вводные'!$B$298*MAX(0,'01_Вводные'!$B$22-1)</f>
        <v/>
      </c>
      <c r="BA363">
        <f>IF(OR(52&lt;='01_Вводные'!$B$15,52-'01_Вводные'!$B$15&gt;60),0,INDEX('19_Расчет_аналитики'!$B$338:$BI$338,1,52-'01_Вводные'!$B$15))*'01_Вводные'!$B$298*MIN(1,'01_Вводные'!$B$22)+IF(OR(52&lt;=('01_Вводные'!$B$15+'01_Вводные'!$B$311),52-('01_Вводные'!$B$15+'01_Вводные'!$B$311)&gt;60),0,INDEX('19_Расчет_аналитики'!$B$338:$BI$338,1,52-('01_Вводные'!$B$15+'01_Вводные'!$B$311)))*'01_Вводные'!$B$298*MAX(0,'01_Вводные'!$B$22-1)</f>
        <v/>
      </c>
      <c r="BB363">
        <f>IF(OR(53&lt;='01_Вводные'!$B$15,53-'01_Вводные'!$B$15&gt;60),0,INDEX('19_Расчет_аналитики'!$B$338:$BI$338,1,53-'01_Вводные'!$B$15))*'01_Вводные'!$B$298*MIN(1,'01_Вводные'!$B$22)+IF(OR(53&lt;=('01_Вводные'!$B$15+'01_Вводные'!$B$311),53-('01_Вводные'!$B$15+'01_Вводные'!$B$311)&gt;60),0,INDEX('19_Расчет_аналитики'!$B$338:$BI$338,1,53-('01_Вводные'!$B$15+'01_Вводные'!$B$311)))*'01_Вводные'!$B$298*MAX(0,'01_Вводные'!$B$22-1)</f>
        <v/>
      </c>
      <c r="BC363">
        <f>IF(OR(54&lt;='01_Вводные'!$B$15,54-'01_Вводные'!$B$15&gt;60),0,INDEX('19_Расчет_аналитики'!$B$338:$BI$338,1,54-'01_Вводные'!$B$15))*'01_Вводные'!$B$298*MIN(1,'01_Вводные'!$B$22)+IF(OR(54&lt;=('01_Вводные'!$B$15+'01_Вводные'!$B$311),54-('01_Вводные'!$B$15+'01_Вводные'!$B$311)&gt;60),0,INDEX('19_Расчет_аналитики'!$B$338:$BI$338,1,54-('01_Вводные'!$B$15+'01_Вводные'!$B$311)))*'01_Вводные'!$B$298*MAX(0,'01_Вводные'!$B$22-1)</f>
        <v/>
      </c>
      <c r="BD363">
        <f>IF(OR(55&lt;='01_Вводные'!$B$15,55-'01_Вводные'!$B$15&gt;60),0,INDEX('19_Расчет_аналитики'!$B$338:$BI$338,1,55-'01_Вводные'!$B$15))*'01_Вводные'!$B$298*MIN(1,'01_Вводные'!$B$22)+IF(OR(55&lt;=('01_Вводные'!$B$15+'01_Вводные'!$B$311),55-('01_Вводные'!$B$15+'01_Вводные'!$B$311)&gt;60),0,INDEX('19_Расчет_аналитики'!$B$338:$BI$338,1,55-('01_Вводные'!$B$15+'01_Вводные'!$B$311)))*'01_Вводные'!$B$298*MAX(0,'01_Вводные'!$B$22-1)</f>
        <v/>
      </c>
      <c r="BE363">
        <f>IF(OR(56&lt;='01_Вводные'!$B$15,56-'01_Вводные'!$B$15&gt;60),0,INDEX('19_Расчет_аналитики'!$B$338:$BI$338,1,56-'01_Вводные'!$B$15))*'01_Вводные'!$B$298*MIN(1,'01_Вводные'!$B$22)+IF(OR(56&lt;=('01_Вводные'!$B$15+'01_Вводные'!$B$311),56-('01_Вводные'!$B$15+'01_Вводные'!$B$311)&gt;60),0,INDEX('19_Расчет_аналитики'!$B$338:$BI$338,1,56-('01_Вводные'!$B$15+'01_Вводные'!$B$311)))*'01_Вводные'!$B$298*MAX(0,'01_Вводные'!$B$22-1)</f>
        <v/>
      </c>
      <c r="BF363">
        <f>IF(OR(57&lt;='01_Вводные'!$B$15,57-'01_Вводные'!$B$15&gt;60),0,INDEX('19_Расчет_аналитики'!$B$338:$BI$338,1,57-'01_Вводные'!$B$15))*'01_Вводные'!$B$298*MIN(1,'01_Вводные'!$B$22)+IF(OR(57&lt;=('01_Вводные'!$B$15+'01_Вводные'!$B$311),57-('01_Вводные'!$B$15+'01_Вводные'!$B$311)&gt;60),0,INDEX('19_Расчет_аналитики'!$B$338:$BI$338,1,57-('01_Вводные'!$B$15+'01_Вводные'!$B$311)))*'01_Вводные'!$B$298*MAX(0,'01_Вводные'!$B$22-1)</f>
        <v/>
      </c>
      <c r="BG363">
        <f>IF(OR(58&lt;='01_Вводные'!$B$15,58-'01_Вводные'!$B$15&gt;60),0,INDEX('19_Расчет_аналитики'!$B$338:$BI$338,1,58-'01_Вводные'!$B$15))*'01_Вводные'!$B$298*MIN(1,'01_Вводные'!$B$22)+IF(OR(58&lt;=('01_Вводные'!$B$15+'01_Вводные'!$B$311),58-('01_Вводные'!$B$15+'01_Вводные'!$B$311)&gt;60),0,INDEX('19_Расчет_аналитики'!$B$338:$BI$338,1,58-('01_Вводные'!$B$15+'01_Вводные'!$B$311)))*'01_Вводные'!$B$298*MAX(0,'01_Вводные'!$B$22-1)</f>
        <v/>
      </c>
      <c r="BH363">
        <f>IF(OR(59&lt;='01_Вводные'!$B$15,59-'01_Вводные'!$B$15&gt;60),0,INDEX('19_Расчет_аналитики'!$B$338:$BI$338,1,59-'01_Вводные'!$B$15))*'01_Вводные'!$B$298*MIN(1,'01_Вводные'!$B$22)+IF(OR(59&lt;=('01_Вводные'!$B$15+'01_Вводные'!$B$311),59-('01_Вводные'!$B$15+'01_Вводные'!$B$311)&gt;60),0,INDEX('19_Расчет_аналитики'!$B$338:$BI$338,1,59-('01_Вводные'!$B$15+'01_Вводные'!$B$311)))*'01_Вводные'!$B$298*MAX(0,'01_Вводные'!$B$22-1)</f>
        <v/>
      </c>
      <c r="BI363">
        <f>IF(OR(60&lt;='01_Вводные'!$B$15,60-'01_Вводные'!$B$15&gt;60),0,INDEX('19_Расчет_аналитики'!$B$338:$BI$338,1,60-'01_Вводные'!$B$15))*'01_Вводные'!$B$298*MIN(1,'01_Вводные'!$B$22)+IF(OR(60&lt;=('01_Вводные'!$B$15+'01_Вводные'!$B$311),60-('01_Вводные'!$B$15+'01_Вводные'!$B$311)&gt;60),0,INDEX('19_Расчет_аналитики'!$B$338:$BI$338,1,60-('01_Вводные'!$B$15+'01_Вводные'!$B$311)))*'01_Вводные'!$B$298*MAX(0,'01_Вводные'!$B$22-1)</f>
        <v/>
      </c>
      <c r="BJ363">
        <f>IF(OR(61&lt;='01_Вводные'!$B$15,61-'01_Вводные'!$B$15&gt;60),0,INDEX('19_Расчет_аналитики'!$B$338:$BI$338,1,61-'01_Вводные'!$B$15))*'01_Вводные'!$B$298*MIN(1,'01_Вводные'!$B$22)+IF(OR(61&lt;=('01_Вводные'!$B$15+'01_Вводные'!$B$311),61-('01_Вводные'!$B$15+'01_Вводные'!$B$311)&gt;60),0,INDEX('19_Расчет_аналитики'!$B$338:$BI$338,1,61-('01_Вводные'!$B$15+'01_Вводные'!$B$311)))*'01_Вводные'!$B$298*MAX(0,'01_Вводные'!$B$22-1)</f>
        <v/>
      </c>
      <c r="BK363">
        <f>IF(OR(62&lt;='01_Вводные'!$B$15,62-'01_Вводные'!$B$15&gt;60),0,INDEX('19_Расчет_аналитики'!$B$338:$BI$338,1,62-'01_Вводные'!$B$15))*'01_Вводные'!$B$298*MIN(1,'01_Вводные'!$B$22)+IF(OR(62&lt;=('01_Вводные'!$B$15+'01_Вводные'!$B$311),62-('01_Вводные'!$B$15+'01_Вводные'!$B$311)&gt;60),0,INDEX('19_Расчет_аналитики'!$B$338:$BI$338,1,62-('01_Вводные'!$B$15+'01_Вводные'!$B$311)))*'01_Вводные'!$B$298*MAX(0,'01_Вводные'!$B$22-1)</f>
        <v/>
      </c>
      <c r="BL363">
        <f>IF(OR(63&lt;='01_Вводные'!$B$15,63-'01_Вводные'!$B$15&gt;60),0,INDEX('19_Расчет_аналитики'!$B$338:$BI$338,1,63-'01_Вводные'!$B$15))*'01_Вводные'!$B$298*MIN(1,'01_Вводные'!$B$22)+IF(OR(63&lt;=('01_Вводные'!$B$15+'01_Вводные'!$B$311),63-('01_Вводные'!$B$15+'01_Вводные'!$B$311)&gt;60),0,INDEX('19_Расчет_аналитики'!$B$338:$BI$338,1,63-('01_Вводные'!$B$15+'01_Вводные'!$B$311)))*'01_Вводные'!$B$298*MAX(0,'01_Вводные'!$B$22-1)</f>
        <v/>
      </c>
      <c r="BM363">
        <f>IF(OR(64&lt;='01_Вводные'!$B$15,64-'01_Вводные'!$B$15&gt;60),0,INDEX('19_Расчет_аналитики'!$B$338:$BI$338,1,64-'01_Вводные'!$B$15))*'01_Вводные'!$B$298*MIN(1,'01_Вводные'!$B$22)+IF(OR(64&lt;=('01_Вводные'!$B$15+'01_Вводные'!$B$311),64-('01_Вводные'!$B$15+'01_Вводные'!$B$311)&gt;60),0,INDEX('19_Расчет_аналитики'!$B$338:$BI$338,1,64-('01_Вводные'!$B$15+'01_Вводные'!$B$311)))*'01_Вводные'!$B$298*MAX(0,'01_Вводные'!$B$22-1)</f>
        <v/>
      </c>
      <c r="BN363">
        <f>IF(OR(65&lt;='01_Вводные'!$B$15,65-'01_Вводные'!$B$15&gt;60),0,INDEX('19_Расчет_аналитики'!$B$338:$BI$338,1,65-'01_Вводные'!$B$15))*'01_Вводные'!$B$298*MIN(1,'01_Вводные'!$B$22)+IF(OR(65&lt;=('01_Вводные'!$B$15+'01_Вводные'!$B$311),65-('01_Вводные'!$B$15+'01_Вводные'!$B$311)&gt;60),0,INDEX('19_Расчет_аналитики'!$B$338:$BI$338,1,65-('01_Вводные'!$B$15+'01_Вводные'!$B$311)))*'01_Вводные'!$B$298*MAX(0,'01_Вводные'!$B$22-1)</f>
        <v/>
      </c>
      <c r="BO363">
        <f>IF(OR(66&lt;='01_Вводные'!$B$15,66-'01_Вводные'!$B$15&gt;60),0,INDEX('19_Расчет_аналитики'!$B$338:$BI$338,1,66-'01_Вводные'!$B$15))*'01_Вводные'!$B$298*MIN(1,'01_Вводные'!$B$22)+IF(OR(66&lt;=('01_Вводные'!$B$15+'01_Вводные'!$B$311),66-('01_Вводные'!$B$15+'01_Вводные'!$B$311)&gt;60),0,INDEX('19_Расчет_аналитики'!$B$338:$BI$338,1,66-('01_Вводные'!$B$15+'01_Вводные'!$B$311)))*'01_Вводные'!$B$298*MAX(0,'01_Вводные'!$B$22-1)</f>
        <v/>
      </c>
    </row>
    <row r="364">
      <c r="C364">
        <f>'19_Расчет_аналитики'!C362*'01_Вводные'!$B$16</f>
        <v/>
      </c>
      <c r="D364">
        <f>'19_Расчет_аналитики'!D362*'01_Вводные'!$B$16</f>
        <v/>
      </c>
      <c r="E364">
        <f>'19_Расчет_аналитики'!E362*'01_Вводные'!$B$16</f>
        <v/>
      </c>
      <c r="F364">
        <f>'19_Расчет_аналитики'!F362*'01_Вводные'!$B$16</f>
        <v/>
      </c>
      <c r="G364">
        <f>'19_Расчет_аналитики'!G362*'01_Вводные'!$B$16</f>
        <v/>
      </c>
      <c r="H364">
        <f>'19_Расчет_аналитики'!H362*'01_Вводные'!$B$16</f>
        <v/>
      </c>
      <c r="I364">
        <f>'19_Расчет_аналитики'!I362*'01_Вводные'!$B$16</f>
        <v/>
      </c>
      <c r="J364">
        <f>'19_Расчет_аналитики'!J362*'01_Вводные'!$B$16</f>
        <v/>
      </c>
      <c r="K364">
        <f>'19_Расчет_аналитики'!K362*'01_Вводные'!$B$16</f>
        <v/>
      </c>
      <c r="L364">
        <f>'19_Расчет_аналитики'!L362*'01_Вводные'!$B$16</f>
        <v/>
      </c>
      <c r="M364">
        <f>'19_Расчет_аналитики'!M362*'01_Вводные'!$B$16</f>
        <v/>
      </c>
      <c r="N364">
        <f>'19_Расчет_аналитики'!N362*'01_Вводные'!$B$16</f>
        <v/>
      </c>
      <c r="O364">
        <f>'19_Расчет_аналитики'!O362*'01_Вводные'!$B$16</f>
        <v/>
      </c>
      <c r="P364">
        <f>'19_Расчет_аналитики'!P362*'01_Вводные'!$B$16</f>
        <v/>
      </c>
      <c r="Q364">
        <f>'19_Расчет_аналитики'!Q362*'01_Вводные'!$B$16</f>
        <v/>
      </c>
      <c r="R364">
        <f>'19_Расчет_аналитики'!R362*'01_Вводные'!$B$16</f>
        <v/>
      </c>
      <c r="S364">
        <f>'19_Расчет_аналитики'!S362*'01_Вводные'!$B$16</f>
        <v/>
      </c>
      <c r="T364">
        <f>'19_Расчет_аналитики'!T362*'01_Вводные'!$B$16</f>
        <v/>
      </c>
      <c r="U364">
        <f>'19_Расчет_аналитики'!U362*'01_Вводные'!$B$16</f>
        <v/>
      </c>
      <c r="V364">
        <f>'19_Расчет_аналитики'!V362*'01_Вводные'!$B$16</f>
        <v/>
      </c>
      <c r="W364">
        <f>'19_Расчет_аналитики'!W362*'01_Вводные'!$B$16</f>
        <v/>
      </c>
      <c r="X364">
        <f>'19_Расчет_аналитики'!X362*'01_Вводные'!$B$16</f>
        <v/>
      </c>
      <c r="Y364">
        <f>'19_Расчет_аналитики'!Y362*'01_Вводные'!$B$16</f>
        <v/>
      </c>
      <c r="Z364">
        <f>'19_Расчет_аналитики'!Z362*'01_Вводные'!$B$16</f>
        <v/>
      </c>
      <c r="AA364">
        <f>'19_Расчет_аналитики'!AA362*'01_Вводные'!$B$16</f>
        <v/>
      </c>
      <c r="AB364">
        <f>'19_Расчет_аналитики'!AB362*'01_Вводные'!$B$16</f>
        <v/>
      </c>
      <c r="AC364">
        <f>'19_Расчет_аналитики'!AC362*'01_Вводные'!$B$16</f>
        <v/>
      </c>
      <c r="AD364">
        <f>'19_Расчет_аналитики'!AD362*'01_Вводные'!$B$16</f>
        <v/>
      </c>
      <c r="AE364">
        <f>'19_Расчет_аналитики'!AE362*'01_Вводные'!$B$16</f>
        <v/>
      </c>
      <c r="AF364">
        <f>'19_Расчет_аналитики'!AF362*'01_Вводные'!$B$16</f>
        <v/>
      </c>
      <c r="AG364">
        <f>'19_Расчет_аналитики'!AG362*'01_Вводные'!$B$16</f>
        <v/>
      </c>
      <c r="AH364">
        <f>'19_Расчет_аналитики'!AH362*'01_Вводные'!$B$16</f>
        <v/>
      </c>
      <c r="AI364">
        <f>'19_Расчет_аналитики'!AI362*'01_Вводные'!$B$16</f>
        <v/>
      </c>
      <c r="AJ364">
        <f>'19_Расчет_аналитики'!AJ362*'01_Вводные'!$B$16</f>
        <v/>
      </c>
      <c r="AK364">
        <f>'19_Расчет_аналитики'!AK362*'01_Вводные'!$B$16</f>
        <v/>
      </c>
      <c r="AL364">
        <f>'19_Расчет_аналитики'!AL362*'01_Вводные'!$B$16</f>
        <v/>
      </c>
      <c r="AM364">
        <f>'19_Расчет_аналитики'!AM362*'01_Вводные'!$B$16</f>
        <v/>
      </c>
      <c r="AN364">
        <f>'19_Расчет_аналитики'!AN362*'01_Вводные'!$B$16</f>
        <v/>
      </c>
      <c r="AO364">
        <f>'19_Расчет_аналитики'!AO362*'01_Вводные'!$B$16</f>
        <v/>
      </c>
      <c r="AP364">
        <f>'19_Расчет_аналитики'!AP362*'01_Вводные'!$B$16</f>
        <v/>
      </c>
      <c r="AQ364">
        <f>'19_Расчет_аналитики'!AQ362*'01_Вводные'!$B$16</f>
        <v/>
      </c>
      <c r="AR364">
        <f>'19_Расчет_аналитики'!AR362*'01_Вводные'!$B$16</f>
        <v/>
      </c>
      <c r="AS364">
        <f>'19_Расчет_аналитики'!AS362*'01_Вводные'!$B$16</f>
        <v/>
      </c>
      <c r="AT364">
        <f>'19_Расчет_аналитики'!AT362*'01_Вводные'!$B$16</f>
        <v/>
      </c>
      <c r="AU364">
        <f>'19_Расчет_аналитики'!AU362*'01_Вводные'!$B$16</f>
        <v/>
      </c>
      <c r="AV364">
        <f>'19_Расчет_аналитики'!AV362*'01_Вводные'!$B$16</f>
        <v/>
      </c>
      <c r="AW364">
        <f>'19_Расчет_аналитики'!AW362*'01_Вводные'!$B$16</f>
        <v/>
      </c>
      <c r="AX364">
        <f>'19_Расчет_аналитики'!AX362*'01_Вводные'!$B$16</f>
        <v/>
      </c>
      <c r="AY364">
        <f>'19_Расчет_аналитики'!AY362*'01_Вводные'!$B$16</f>
        <v/>
      </c>
      <c r="AZ364">
        <f>'19_Расчет_аналитики'!AZ362*'01_Вводные'!$B$16</f>
        <v/>
      </c>
      <c r="BA364">
        <f>'19_Расчет_аналитики'!BA362*'01_Вводные'!$B$16</f>
        <v/>
      </c>
      <c r="BB364">
        <f>'19_Расчет_аналитики'!BB362*'01_Вводные'!$B$16</f>
        <v/>
      </c>
      <c r="BC364">
        <f>'19_Расчет_аналитики'!BC362*'01_Вводные'!$B$16</f>
        <v/>
      </c>
      <c r="BD364">
        <f>'19_Расчет_аналитики'!BD362*'01_Вводные'!$B$16</f>
        <v/>
      </c>
      <c r="BE364">
        <f>'19_Расчет_аналитики'!BE362*'01_Вводные'!$B$16</f>
        <v/>
      </c>
      <c r="BF364">
        <f>'19_Расчет_аналитики'!BF362*'01_Вводные'!$B$16</f>
        <v/>
      </c>
      <c r="BG364">
        <f>'19_Расчет_аналитики'!BG362*'01_Вводные'!$B$16</f>
        <v/>
      </c>
      <c r="BH364">
        <f>'19_Расчет_аналитики'!BH362*'01_Вводные'!$B$16</f>
        <v/>
      </c>
      <c r="BI364">
        <f>'19_Расчет_аналитики'!BI362*'01_Вводные'!$B$16</f>
        <v/>
      </c>
    </row>
    <row r="365">
      <c r="C365">
        <f>'06_Сеть_и_дети'!B10*'01_Вводные'!$B$14+'19_Расчет_аналитики'!C364</f>
        <v/>
      </c>
      <c r="D365">
        <f>'19_Расчет_аналитики'!C365*'01_Вводные'!$B$14+'19_Расчет_аналитики'!D364</f>
        <v/>
      </c>
      <c r="E365">
        <f>'19_Расчет_аналитики'!D365*'01_Вводные'!$B$14+'19_Расчет_аналитики'!E364</f>
        <v/>
      </c>
      <c r="F365">
        <f>'19_Расчет_аналитики'!E365*'01_Вводные'!$B$14+'19_Расчет_аналитики'!F364</f>
        <v/>
      </c>
      <c r="G365">
        <f>'19_Расчет_аналитики'!F365*'01_Вводные'!$B$14+'19_Расчет_аналитики'!G364</f>
        <v/>
      </c>
      <c r="H365">
        <f>'19_Расчет_аналитики'!G365*'01_Вводные'!$B$14+'19_Расчет_аналитики'!H364</f>
        <v/>
      </c>
      <c r="I365">
        <f>'19_Расчет_аналитики'!H365*'01_Вводные'!$B$14+'19_Расчет_аналитики'!I364</f>
        <v/>
      </c>
      <c r="J365">
        <f>'19_Расчет_аналитики'!I365*'01_Вводные'!$B$14+'19_Расчет_аналитики'!J364</f>
        <v/>
      </c>
      <c r="K365">
        <f>'19_Расчет_аналитики'!J365*'01_Вводные'!$B$14+'19_Расчет_аналитики'!K364</f>
        <v/>
      </c>
      <c r="L365">
        <f>'19_Расчет_аналитики'!K365*'01_Вводные'!$B$14+'19_Расчет_аналитики'!L364</f>
        <v/>
      </c>
      <c r="M365">
        <f>'19_Расчет_аналитики'!L365*'01_Вводные'!$B$14+'19_Расчет_аналитики'!M364</f>
        <v/>
      </c>
      <c r="N365">
        <f>'19_Расчет_аналитики'!M365*'01_Вводные'!$B$14+'19_Расчет_аналитики'!N364</f>
        <v/>
      </c>
      <c r="O365">
        <f>'19_Расчет_аналитики'!N365*'01_Вводные'!$B$14+'19_Расчет_аналитики'!O364</f>
        <v/>
      </c>
      <c r="P365">
        <f>'19_Расчет_аналитики'!O365*'01_Вводные'!$B$14+'19_Расчет_аналитики'!P364</f>
        <v/>
      </c>
      <c r="Q365">
        <f>'19_Расчет_аналитики'!P365*'01_Вводные'!$B$14+'19_Расчет_аналитики'!Q364</f>
        <v/>
      </c>
      <c r="R365">
        <f>'19_Расчет_аналитики'!Q365*'01_Вводные'!$B$14+'19_Расчет_аналитики'!R364</f>
        <v/>
      </c>
      <c r="S365">
        <f>'19_Расчет_аналитики'!R365*'01_Вводные'!$B$14+'19_Расчет_аналитики'!S364</f>
        <v/>
      </c>
      <c r="T365">
        <f>'19_Расчет_аналитики'!S365*'01_Вводные'!$B$14+'19_Расчет_аналитики'!T364</f>
        <v/>
      </c>
      <c r="U365">
        <f>'19_Расчет_аналитики'!T365*'01_Вводные'!$B$14+'19_Расчет_аналитики'!U364</f>
        <v/>
      </c>
      <c r="V365">
        <f>'19_Расчет_аналитики'!U365*'01_Вводные'!$B$14+'19_Расчет_аналитики'!V364</f>
        <v/>
      </c>
      <c r="W365">
        <f>'19_Расчет_аналитики'!V365*'01_Вводные'!$B$14+'19_Расчет_аналитики'!W364</f>
        <v/>
      </c>
      <c r="X365">
        <f>'19_Расчет_аналитики'!W365*'01_Вводные'!$B$14+'19_Расчет_аналитики'!X364</f>
        <v/>
      </c>
      <c r="Y365">
        <f>'19_Расчет_аналитики'!X365*'01_Вводные'!$B$14+'19_Расчет_аналитики'!Y364</f>
        <v/>
      </c>
      <c r="Z365">
        <f>'19_Расчет_аналитики'!Y365*'01_Вводные'!$B$14+'19_Расчет_аналитики'!Z364</f>
        <v/>
      </c>
      <c r="AA365">
        <f>'19_Расчет_аналитики'!Z365*'01_Вводные'!$B$14+'19_Расчет_аналитики'!AA364</f>
        <v/>
      </c>
      <c r="AB365">
        <f>'19_Расчет_аналитики'!AA365*'01_Вводные'!$B$14+'19_Расчет_аналитики'!AB364</f>
        <v/>
      </c>
      <c r="AC365">
        <f>'19_Расчет_аналитики'!AB365*'01_Вводные'!$B$14+'19_Расчет_аналитики'!AC364</f>
        <v/>
      </c>
      <c r="AD365">
        <f>'19_Расчет_аналитики'!AC365*'01_Вводные'!$B$14+'19_Расчет_аналитики'!AD364</f>
        <v/>
      </c>
      <c r="AE365">
        <f>'19_Расчет_аналитики'!AD365*'01_Вводные'!$B$14+'19_Расчет_аналитики'!AE364</f>
        <v/>
      </c>
      <c r="AF365">
        <f>'19_Расчет_аналитики'!AE365*'01_Вводные'!$B$14+'19_Расчет_аналитики'!AF364</f>
        <v/>
      </c>
      <c r="AG365">
        <f>'19_Расчет_аналитики'!AF365*'01_Вводные'!$B$14+'19_Расчет_аналитики'!AG364</f>
        <v/>
      </c>
      <c r="AH365">
        <f>'19_Расчет_аналитики'!AG365*'01_Вводные'!$B$14+'19_Расчет_аналитики'!AH364</f>
        <v/>
      </c>
      <c r="AI365">
        <f>'19_Расчет_аналитики'!AH365*'01_Вводные'!$B$14+'19_Расчет_аналитики'!AI364</f>
        <v/>
      </c>
      <c r="AJ365">
        <f>'19_Расчет_аналитики'!AI365*'01_Вводные'!$B$14+'19_Расчет_аналитики'!AJ364</f>
        <v/>
      </c>
      <c r="AK365">
        <f>'19_Расчет_аналитики'!AJ365*'01_Вводные'!$B$14+'19_Расчет_аналитики'!AK364</f>
        <v/>
      </c>
      <c r="AL365">
        <f>'19_Расчет_аналитики'!AK365*'01_Вводные'!$B$14+'19_Расчет_аналитики'!AL364</f>
        <v/>
      </c>
      <c r="AM365">
        <f>'19_Расчет_аналитики'!AL365*'01_Вводные'!$B$14+'19_Расчет_аналитики'!AM364</f>
        <v/>
      </c>
      <c r="AN365">
        <f>'19_Расчет_аналитики'!AM365*'01_Вводные'!$B$14+'19_Расчет_аналитики'!AN364</f>
        <v/>
      </c>
      <c r="AO365">
        <f>'19_Расчет_аналитики'!AN365*'01_Вводные'!$B$14+'19_Расчет_аналитики'!AO364</f>
        <v/>
      </c>
      <c r="AP365">
        <f>'19_Расчет_аналитики'!AO365*'01_Вводные'!$B$14+'19_Расчет_аналитики'!AP364</f>
        <v/>
      </c>
      <c r="AQ365">
        <f>'19_Расчет_аналитики'!AP365*'01_Вводные'!$B$14+'19_Расчет_аналитики'!AQ364</f>
        <v/>
      </c>
      <c r="AR365">
        <f>'19_Расчет_аналитики'!AQ365*'01_Вводные'!$B$14+'19_Расчет_аналитики'!AR364</f>
        <v/>
      </c>
      <c r="AS365">
        <f>'19_Расчет_аналитики'!AR365*'01_Вводные'!$B$14+'19_Расчет_аналитики'!AS364</f>
        <v/>
      </c>
      <c r="AT365">
        <f>'19_Расчет_аналитики'!AS365*'01_Вводные'!$B$14+'19_Расчет_аналитики'!AT364</f>
        <v/>
      </c>
      <c r="AU365">
        <f>'19_Расчет_аналитики'!AT365*'01_Вводные'!$B$14+'19_Расчет_аналитики'!AU364</f>
        <v/>
      </c>
      <c r="AV365">
        <f>'19_Расчет_аналитики'!AU365*'01_Вводные'!$B$14+'19_Расчет_аналитики'!AV364</f>
        <v/>
      </c>
      <c r="AW365">
        <f>'19_Расчет_аналитики'!AV365*'01_Вводные'!$B$14+'19_Расчет_аналитики'!AW364</f>
        <v/>
      </c>
      <c r="AX365">
        <f>'19_Расчет_аналитики'!AW365*'01_Вводные'!$B$14+'19_Расчет_аналитики'!AX364</f>
        <v/>
      </c>
      <c r="AY365">
        <f>'19_Расчет_аналитики'!AX365*'01_Вводные'!$B$14+'19_Расчет_аналитики'!AY364</f>
        <v/>
      </c>
      <c r="AZ365">
        <f>'19_Расчет_аналитики'!AY365*'01_Вводные'!$B$14+'19_Расчет_аналитики'!AZ364</f>
        <v/>
      </c>
      <c r="BA365">
        <f>'19_Расчет_аналитики'!AZ365*'01_Вводные'!$B$14+'19_Расчет_аналитики'!BA364</f>
        <v/>
      </c>
      <c r="BB365">
        <f>'19_Расчет_аналитики'!BA365*'01_Вводные'!$B$14+'19_Расчет_аналитики'!BB364</f>
        <v/>
      </c>
      <c r="BC365">
        <f>'19_Расчет_аналитики'!BB365*'01_Вводные'!$B$14+'19_Расчет_аналитики'!BC364</f>
        <v/>
      </c>
      <c r="BD365">
        <f>'19_Расчет_аналитики'!BC365*'01_Вводные'!$B$14+'19_Расчет_аналитики'!BD364</f>
        <v/>
      </c>
      <c r="BE365">
        <f>'19_Расчет_аналитики'!BD365*'01_Вводные'!$B$14+'19_Расчет_аналитики'!BE364</f>
        <v/>
      </c>
      <c r="BF365">
        <f>'19_Расчет_аналитики'!BE365*'01_Вводные'!$B$14+'19_Расчет_аналитики'!BF364</f>
        <v/>
      </c>
      <c r="BG365">
        <f>'19_Расчет_аналитики'!BF365*'01_Вводные'!$B$14+'19_Расчет_аналитики'!BG364</f>
        <v/>
      </c>
      <c r="BH365">
        <f>'19_Расчет_аналитики'!BG365*'01_Вводные'!$B$14+'19_Расчет_аналитики'!BH364</f>
        <v/>
      </c>
      <c r="BI365">
        <f>'19_Расчет_аналитики'!BH365*'01_Вводные'!$B$14+'19_Расчет_аналитики'!BI364</f>
        <v/>
      </c>
      <c r="BJ365">
        <f>'19_Расчет_аналитики'!BI365*'01_Вводные'!$B$14+'06_Сеть_и_дети'!BJ9</f>
        <v/>
      </c>
      <c r="BK365">
        <f>'19_Расчет_аналитики'!BJ365*'01_Вводные'!$B$14+'06_Сеть_и_дети'!BK9</f>
        <v/>
      </c>
      <c r="BL365">
        <f>'19_Расчет_аналитики'!BK365*'01_Вводные'!$B$14+'06_Сеть_и_дети'!BL9</f>
        <v/>
      </c>
      <c r="BM365">
        <f>'19_Расчет_аналитики'!BL365*'01_Вводные'!$B$14+'06_Сеть_и_дети'!BM9</f>
        <v/>
      </c>
      <c r="BN365">
        <f>'19_Расчет_аналитики'!BM365*'01_Вводные'!$B$14+'06_Сеть_и_дети'!BN9</f>
        <v/>
      </c>
      <c r="BO365">
        <f>'19_Расчет_аналитики'!BN365*'01_Вводные'!$B$14+'06_Сеть_и_дети'!BO9</f>
        <v/>
      </c>
    </row>
    <row r="366"/>
    <row r="367"/>
    <row r="368">
      <c r="B368">
        <f>SUM('19_Расчет_аналитики'!B408:B419)</f>
        <v/>
      </c>
      <c r="C368">
        <f>SUM('19_Расчет_аналитики'!C408:C419)</f>
        <v/>
      </c>
      <c r="D368">
        <f>SUM('19_Расчет_аналитики'!D408:D419)</f>
        <v/>
      </c>
      <c r="E368">
        <f>SUM('19_Расчет_аналитики'!E408:E419)</f>
        <v/>
      </c>
      <c r="F368">
        <f>SUM('19_Расчет_аналитики'!F408:F419)</f>
        <v/>
      </c>
      <c r="G368">
        <f>SUM('19_Расчет_аналитики'!G408:G419)</f>
        <v/>
      </c>
      <c r="H368">
        <f>SUM('19_Расчет_аналитики'!H408:H419)</f>
        <v/>
      </c>
      <c r="I368">
        <f>SUM('19_Расчет_аналитики'!I408:I419)</f>
        <v/>
      </c>
      <c r="J368">
        <f>SUM('19_Расчет_аналитики'!J408:J419)</f>
        <v/>
      </c>
      <c r="K368">
        <f>SUM('19_Расчет_аналитики'!K408:K419)</f>
        <v/>
      </c>
      <c r="L368">
        <f>SUM('19_Расчет_аналитики'!L408:L419)</f>
        <v/>
      </c>
      <c r="M368">
        <f>SUM('19_Расчет_аналитики'!M408:M419)</f>
        <v/>
      </c>
      <c r="N368">
        <f>SUM('19_Расчет_аналитики'!N408:N419)</f>
        <v/>
      </c>
      <c r="O368">
        <f>SUM('19_Расчет_аналитики'!O408:O419)</f>
        <v/>
      </c>
      <c r="P368">
        <f>SUM('19_Расчет_аналитики'!P408:P419)</f>
        <v/>
      </c>
      <c r="Q368">
        <f>SUM('19_Расчет_аналитики'!Q408:Q419)</f>
        <v/>
      </c>
      <c r="R368">
        <f>SUM('19_Расчет_аналитики'!R408:R419)</f>
        <v/>
      </c>
      <c r="S368">
        <f>SUM('19_Расчет_аналитики'!S408:S419)</f>
        <v/>
      </c>
      <c r="T368">
        <f>SUM('19_Расчет_аналитики'!T408:T419)</f>
        <v/>
      </c>
      <c r="U368">
        <f>SUM('19_Расчет_аналитики'!U408:U419)</f>
        <v/>
      </c>
      <c r="V368">
        <f>SUM('19_Расчет_аналитики'!V408:V419)</f>
        <v/>
      </c>
      <c r="W368">
        <f>SUM('19_Расчет_аналитики'!W408:W419)</f>
        <v/>
      </c>
      <c r="X368">
        <f>SUM('19_Расчет_аналитики'!X408:X419)</f>
        <v/>
      </c>
      <c r="Y368">
        <f>SUM('19_Расчет_аналитики'!Y408:Y419)</f>
        <v/>
      </c>
      <c r="Z368">
        <f>SUM('19_Расчет_аналитики'!Z408:Z419)</f>
        <v/>
      </c>
      <c r="AA368">
        <f>SUM('19_Расчет_аналитики'!AA408:AA419)</f>
        <v/>
      </c>
      <c r="AB368">
        <f>SUM('19_Расчет_аналитики'!AB408:AB419)</f>
        <v/>
      </c>
      <c r="AC368">
        <f>SUM('19_Расчет_аналитики'!AC408:AC419)</f>
        <v/>
      </c>
      <c r="AD368">
        <f>SUM('19_Расчет_аналитики'!AD408:AD419)</f>
        <v/>
      </c>
      <c r="AE368">
        <f>SUM('19_Расчет_аналитики'!AE408:AE419)</f>
        <v/>
      </c>
      <c r="AF368">
        <f>SUM('19_Расчет_аналитики'!AF408:AF419)</f>
        <v/>
      </c>
      <c r="AG368">
        <f>SUM('19_Расчет_аналитики'!AG408:AG419)</f>
        <v/>
      </c>
      <c r="AH368">
        <f>SUM('19_Расчет_аналитики'!AH408:AH419)</f>
        <v/>
      </c>
      <c r="AI368">
        <f>SUM('19_Расчет_аналитики'!AI408:AI419)</f>
        <v/>
      </c>
      <c r="AJ368">
        <f>SUM('19_Расчет_аналитики'!AJ408:AJ419)</f>
        <v/>
      </c>
      <c r="AK368">
        <f>SUM('19_Расчет_аналитики'!AK408:AK419)</f>
        <v/>
      </c>
      <c r="AL368">
        <f>SUM('19_Расчет_аналитики'!AL408:AL419)</f>
        <v/>
      </c>
      <c r="AM368">
        <f>SUM('19_Расчет_аналитики'!AM408:AM419)</f>
        <v/>
      </c>
      <c r="AN368">
        <f>SUM('19_Расчет_аналитики'!AN408:AN419)</f>
        <v/>
      </c>
      <c r="AO368">
        <f>SUM('19_Расчет_аналитики'!AO408:AO419)</f>
        <v/>
      </c>
      <c r="AP368">
        <f>SUM('19_Расчет_аналитики'!AP408:AP419)</f>
        <v/>
      </c>
      <c r="AQ368">
        <f>SUM('19_Расчет_аналитики'!AQ408:AQ419)</f>
        <v/>
      </c>
      <c r="AR368">
        <f>SUM('19_Расчет_аналитики'!AR408:AR419)</f>
        <v/>
      </c>
      <c r="AS368">
        <f>SUM('19_Расчет_аналитики'!AS408:AS419)</f>
        <v/>
      </c>
      <c r="AT368">
        <f>SUM('19_Расчет_аналитики'!AT408:AT419)</f>
        <v/>
      </c>
      <c r="AU368">
        <f>SUM('19_Расчет_аналитики'!AU408:AU419)</f>
        <v/>
      </c>
      <c r="AV368">
        <f>SUM('19_Расчет_аналитики'!AV408:AV419)</f>
        <v/>
      </c>
      <c r="AW368">
        <f>SUM('19_Расчет_аналитики'!AW408:AW419)</f>
        <v/>
      </c>
      <c r="AX368">
        <f>SUM('19_Расчет_аналитики'!AX408:AX419)</f>
        <v/>
      </c>
      <c r="AY368">
        <f>SUM('19_Расчет_аналитики'!AY408:AY419)</f>
        <v/>
      </c>
      <c r="AZ368">
        <f>SUM('19_Расчет_аналитики'!AZ408:AZ419)</f>
        <v/>
      </c>
      <c r="BA368">
        <f>SUM('19_Расчет_аналитики'!BA408:BA419)</f>
        <v/>
      </c>
      <c r="BB368">
        <f>SUM('19_Расчет_аналитики'!BB408:BB419)</f>
        <v/>
      </c>
      <c r="BC368">
        <f>SUM('19_Расчет_аналитики'!BC408:BC419)</f>
        <v/>
      </c>
      <c r="BD368">
        <f>SUM('19_Расчет_аналитики'!BD408:BD419)</f>
        <v/>
      </c>
      <c r="BE368">
        <f>SUM('19_Расчет_аналитики'!BE408:BE419)</f>
        <v/>
      </c>
      <c r="BF368">
        <f>SUM('19_Расчет_аналитики'!BF408:BF419)</f>
        <v/>
      </c>
      <c r="BG368">
        <f>SUM('19_Расчет_аналитики'!BG408:BG419)</f>
        <v/>
      </c>
      <c r="BH368">
        <f>SUM('19_Расчет_аналитики'!BH408:BH419)</f>
        <v/>
      </c>
      <c r="BI368">
        <f>SUM('19_Расчет_аналитики'!BI408:BI419)</f>
        <v/>
      </c>
      <c r="BJ368">
        <f>SUM('19_Расчет_аналитики'!BJ408:BJ419)</f>
        <v/>
      </c>
      <c r="BK368">
        <f>SUM('19_Расчет_аналитики'!BK408:BK419)</f>
        <v/>
      </c>
      <c r="BL368">
        <f>SUM('19_Расчет_аналитики'!BL408:BL419)</f>
        <v/>
      </c>
      <c r="BM368">
        <f>SUM('19_Расчет_аналитики'!BM408:BM419)</f>
        <v/>
      </c>
      <c r="BN368">
        <f>SUM('19_Расчет_аналитики'!BN408:BN419)</f>
        <v/>
      </c>
      <c r="BO368">
        <f>SUM('19_Расчет_аналитики'!BO408:BO419)</f>
        <v/>
      </c>
    </row>
    <row r="369">
      <c r="B369">
        <f>'06_Сеть_и_дети'!B14</f>
        <v/>
      </c>
      <c r="C369">
        <f>'06_Сеть_и_дети'!C14</f>
        <v/>
      </c>
      <c r="D369">
        <f>'06_Сеть_и_дети'!D14</f>
        <v/>
      </c>
      <c r="E369">
        <f>'06_Сеть_и_дети'!E14</f>
        <v/>
      </c>
      <c r="F369">
        <f>'06_Сеть_и_дети'!F14</f>
        <v/>
      </c>
      <c r="G369">
        <f>'06_Сеть_и_дети'!G14</f>
        <v/>
      </c>
      <c r="H369">
        <f>'06_Сеть_и_дети'!H14</f>
        <v/>
      </c>
      <c r="I369">
        <f>'06_Сеть_и_дети'!I14</f>
        <v/>
      </c>
      <c r="J369">
        <f>'06_Сеть_и_дети'!J14</f>
        <v/>
      </c>
      <c r="K369">
        <f>'06_Сеть_и_дети'!K14</f>
        <v/>
      </c>
      <c r="L369">
        <f>'06_Сеть_и_дети'!L14</f>
        <v/>
      </c>
      <c r="M369">
        <f>'06_Сеть_и_дети'!M14</f>
        <v/>
      </c>
      <c r="N369">
        <f>SUM('19_Расчет_аналитики'!N420:N431)</f>
        <v/>
      </c>
      <c r="O369">
        <f>SUM('19_Расчет_аналитики'!O420:O431)</f>
        <v/>
      </c>
      <c r="P369">
        <f>SUM('19_Расчет_аналитики'!P420:P431)</f>
        <v/>
      </c>
      <c r="Q369">
        <f>SUM('19_Расчет_аналитики'!Q420:Q431)</f>
        <v/>
      </c>
      <c r="R369">
        <f>SUM('19_Расчет_аналитики'!R420:R431)</f>
        <v/>
      </c>
      <c r="S369">
        <f>SUM('19_Расчет_аналитики'!S420:S431)</f>
        <v/>
      </c>
      <c r="T369">
        <f>SUM('19_Расчет_аналитики'!T420:T431)</f>
        <v/>
      </c>
      <c r="U369">
        <f>SUM('19_Расчет_аналитики'!U420:U431)</f>
        <v/>
      </c>
      <c r="V369">
        <f>SUM('19_Расчет_аналитики'!V420:V431)</f>
        <v/>
      </c>
      <c r="W369">
        <f>SUM('19_Расчет_аналитики'!W420:W431)</f>
        <v/>
      </c>
      <c r="X369">
        <f>SUM('19_Расчет_аналитики'!X420:X431)</f>
        <v/>
      </c>
      <c r="Y369">
        <f>SUM('19_Расчет_аналитики'!Y420:Y431)</f>
        <v/>
      </c>
      <c r="Z369">
        <f>SUM('19_Расчет_аналитики'!Z420:Z431)</f>
        <v/>
      </c>
      <c r="AA369">
        <f>SUM('19_Расчет_аналитики'!AA420:AA431)</f>
        <v/>
      </c>
      <c r="AB369">
        <f>SUM('19_Расчет_аналитики'!AB420:AB431)</f>
        <v/>
      </c>
      <c r="AC369">
        <f>SUM('19_Расчет_аналитики'!AC420:AC431)</f>
        <v/>
      </c>
      <c r="AD369">
        <f>SUM('19_Расчет_аналитики'!AD420:AD431)</f>
        <v/>
      </c>
      <c r="AE369">
        <f>SUM('19_Расчет_аналитики'!AE420:AE431)</f>
        <v/>
      </c>
      <c r="AF369">
        <f>SUM('19_Расчет_аналитики'!AF420:AF431)</f>
        <v/>
      </c>
      <c r="AG369">
        <f>SUM('19_Расчет_аналитики'!AG420:AG431)</f>
        <v/>
      </c>
      <c r="AH369">
        <f>SUM('19_Расчет_аналитики'!AH420:AH431)</f>
        <v/>
      </c>
      <c r="AI369">
        <f>SUM('19_Расчет_аналитики'!AI420:AI431)</f>
        <v/>
      </c>
      <c r="AJ369">
        <f>SUM('19_Расчет_аналитики'!AJ420:AJ431)</f>
        <v/>
      </c>
      <c r="AK369">
        <f>SUM('19_Расчет_аналитики'!AK420:AK431)</f>
        <v/>
      </c>
      <c r="AL369">
        <f>SUM('19_Расчет_аналитики'!AL420:AL431)</f>
        <v/>
      </c>
      <c r="AM369">
        <f>SUM('19_Расчет_аналитики'!AM420:AM431)</f>
        <v/>
      </c>
      <c r="AN369">
        <f>SUM('19_Расчет_аналитики'!AN420:AN431)</f>
        <v/>
      </c>
      <c r="AO369">
        <f>SUM('19_Расчет_аналитики'!AO420:AO431)</f>
        <v/>
      </c>
      <c r="AP369">
        <f>SUM('19_Расчет_аналитики'!AP420:AP431)</f>
        <v/>
      </c>
      <c r="AQ369">
        <f>SUM('19_Расчет_аналитики'!AQ420:AQ431)</f>
        <v/>
      </c>
      <c r="AR369">
        <f>SUM('19_Расчет_аналитики'!AR420:AR431)</f>
        <v/>
      </c>
      <c r="AS369">
        <f>SUM('19_Расчет_аналитики'!AS420:AS431)</f>
        <v/>
      </c>
      <c r="AT369">
        <f>SUM('19_Расчет_аналитики'!AT420:AT431)</f>
        <v/>
      </c>
      <c r="AU369">
        <f>SUM('19_Расчет_аналитики'!AU420:AU431)</f>
        <v/>
      </c>
      <c r="AV369">
        <f>SUM('19_Расчет_аналитики'!AV420:AV431)</f>
        <v/>
      </c>
      <c r="AW369">
        <f>SUM('19_Расчет_аналитики'!AW420:AW431)</f>
        <v/>
      </c>
      <c r="AX369">
        <f>SUM('19_Расчет_аналитики'!AX420:AX431)</f>
        <v/>
      </c>
      <c r="AY369">
        <f>SUM('19_Расчет_аналитики'!AY420:AY431)</f>
        <v/>
      </c>
      <c r="AZ369">
        <f>SUM('19_Расчет_аналитики'!AZ420:AZ431)</f>
        <v/>
      </c>
      <c r="BA369">
        <f>SUM('19_Расчет_аналитики'!BA420:BA431)</f>
        <v/>
      </c>
      <c r="BB369">
        <f>SUM('19_Расчет_аналитики'!BB420:BB431)</f>
        <v/>
      </c>
      <c r="BC369">
        <f>SUM('19_Расчет_аналитики'!BC420:BC431)</f>
        <v/>
      </c>
      <c r="BD369">
        <f>SUM('19_Расчет_аналитики'!BD420:BD431)</f>
        <v/>
      </c>
      <c r="BE369">
        <f>SUM('19_Расчет_аналитики'!BE420:BE431)</f>
        <v/>
      </c>
      <c r="BF369">
        <f>SUM('19_Расчет_аналитики'!BF420:BF431)</f>
        <v/>
      </c>
      <c r="BG369">
        <f>SUM('19_Расчет_аналитики'!BG420:BG431)</f>
        <v/>
      </c>
      <c r="BH369">
        <f>SUM('19_Расчет_аналитики'!BH420:BH431)</f>
        <v/>
      </c>
      <c r="BI369">
        <f>SUM('19_Расчет_аналитики'!BI420:BI431)</f>
        <v/>
      </c>
      <c r="BJ369">
        <f>SUM('19_Расчет_аналитики'!BJ420:BJ431)</f>
        <v/>
      </c>
      <c r="BK369">
        <f>SUM('19_Расчет_аналитики'!BK420:BK431)</f>
        <v/>
      </c>
      <c r="BL369">
        <f>SUM('19_Расчет_аналитики'!BL420:BL431)</f>
        <v/>
      </c>
      <c r="BM369">
        <f>SUM('19_Расчет_аналитики'!BM420:BM431)</f>
        <v/>
      </c>
      <c r="BN369">
        <f>SUM('19_Расчет_аналитики'!BN420:BN431)</f>
        <v/>
      </c>
      <c r="BO369">
        <f>SUM('19_Расчет_аналитики'!BO420:BO431)</f>
        <v/>
      </c>
    </row>
    <row r="370">
      <c r="B370">
        <f>'06_Сеть_и_дети'!B15</f>
        <v/>
      </c>
      <c r="C370">
        <f>'06_Сеть_и_дети'!C15</f>
        <v/>
      </c>
      <c r="D370">
        <f>'06_Сеть_и_дети'!D15</f>
        <v/>
      </c>
      <c r="E370">
        <f>'06_Сеть_и_дети'!E15</f>
        <v/>
      </c>
      <c r="F370">
        <f>'06_Сеть_и_дети'!F15</f>
        <v/>
      </c>
      <c r="G370">
        <f>'06_Сеть_и_дети'!G15</f>
        <v/>
      </c>
      <c r="H370">
        <f>'06_Сеть_и_дети'!H15</f>
        <v/>
      </c>
      <c r="I370">
        <f>'06_Сеть_и_дети'!I15</f>
        <v/>
      </c>
      <c r="J370">
        <f>'06_Сеть_и_дети'!J15</f>
        <v/>
      </c>
      <c r="K370">
        <f>'06_Сеть_и_дети'!K15</f>
        <v/>
      </c>
      <c r="L370">
        <f>'06_Сеть_и_дети'!L15</f>
        <v/>
      </c>
      <c r="M370">
        <f>'06_Сеть_и_дети'!M15</f>
        <v/>
      </c>
      <c r="N370">
        <f>'06_Сеть_и_дети'!N15</f>
        <v/>
      </c>
      <c r="O370">
        <f>'06_Сеть_и_дети'!O15</f>
        <v/>
      </c>
      <c r="P370">
        <f>'06_Сеть_и_дети'!P15</f>
        <v/>
      </c>
      <c r="Q370">
        <f>'06_Сеть_и_дети'!Q15</f>
        <v/>
      </c>
      <c r="R370">
        <f>'06_Сеть_и_дети'!R15</f>
        <v/>
      </c>
      <c r="S370">
        <f>'06_Сеть_и_дети'!S15</f>
        <v/>
      </c>
      <c r="T370">
        <f>'06_Сеть_и_дети'!T15</f>
        <v/>
      </c>
      <c r="U370">
        <f>'06_Сеть_и_дети'!U15</f>
        <v/>
      </c>
      <c r="V370">
        <f>'06_Сеть_и_дети'!V15</f>
        <v/>
      </c>
      <c r="W370">
        <f>'06_Сеть_и_дети'!W15</f>
        <v/>
      </c>
      <c r="X370">
        <f>'06_Сеть_и_дети'!X15</f>
        <v/>
      </c>
      <c r="Y370">
        <f>'06_Сеть_и_дети'!Y15</f>
        <v/>
      </c>
      <c r="Z370">
        <f>'19_Расчет_аналитики'!Z432</f>
        <v/>
      </c>
      <c r="AA370">
        <f>'19_Расчет_аналитики'!AA432</f>
        <v/>
      </c>
      <c r="AB370">
        <f>'19_Расчет_аналитики'!AB432</f>
        <v/>
      </c>
      <c r="AC370">
        <f>'19_Расчет_аналитики'!AC432</f>
        <v/>
      </c>
      <c r="AD370">
        <f>'19_Расчет_аналитики'!AD432</f>
        <v/>
      </c>
      <c r="AE370">
        <f>'19_Расчет_аналитики'!AE432</f>
        <v/>
      </c>
      <c r="AF370">
        <f>'19_Расчет_аналитики'!AF432</f>
        <v/>
      </c>
      <c r="AG370">
        <f>'19_Расчет_аналитики'!AG432</f>
        <v/>
      </c>
      <c r="AH370">
        <f>'19_Расчет_аналитики'!AH432</f>
        <v/>
      </c>
      <c r="AI370">
        <f>'19_Расчет_аналитики'!AI432</f>
        <v/>
      </c>
      <c r="AJ370">
        <f>'19_Расчет_аналитики'!AJ432</f>
        <v/>
      </c>
      <c r="AK370">
        <f>'19_Расчет_аналитики'!AK432</f>
        <v/>
      </c>
      <c r="AL370">
        <f>'19_Расчет_аналитики'!AL432</f>
        <v/>
      </c>
      <c r="AM370">
        <f>'19_Расчет_аналитики'!AM432</f>
        <v/>
      </c>
      <c r="AN370">
        <f>'19_Расчет_аналитики'!AN432</f>
        <v/>
      </c>
      <c r="AO370">
        <f>'19_Расчет_аналитики'!AO432</f>
        <v/>
      </c>
      <c r="AP370">
        <f>'19_Расчет_аналитики'!AP432</f>
        <v/>
      </c>
      <c r="AQ370">
        <f>'19_Расчет_аналитики'!AQ432</f>
        <v/>
      </c>
      <c r="AR370">
        <f>'19_Расчет_аналитики'!AR432</f>
        <v/>
      </c>
      <c r="AS370">
        <f>'19_Расчет_аналитики'!AS432</f>
        <v/>
      </c>
      <c r="AT370">
        <f>'19_Расчет_аналитики'!AT432</f>
        <v/>
      </c>
      <c r="AU370">
        <f>'19_Расчет_аналитики'!AU432</f>
        <v/>
      </c>
      <c r="AV370">
        <f>'19_Расчет_аналитики'!AV432</f>
        <v/>
      </c>
      <c r="AW370">
        <f>'19_Расчет_аналитики'!AW432</f>
        <v/>
      </c>
      <c r="AX370">
        <f>'19_Расчет_аналитики'!AX432</f>
        <v/>
      </c>
      <c r="AY370">
        <f>'19_Расчет_аналитики'!AY432</f>
        <v/>
      </c>
      <c r="AZ370">
        <f>'19_Расчет_аналитики'!AZ432</f>
        <v/>
      </c>
      <c r="BA370">
        <f>'19_Расчет_аналитики'!BA432</f>
        <v/>
      </c>
      <c r="BB370">
        <f>'19_Расчет_аналитики'!BB432</f>
        <v/>
      </c>
      <c r="BC370">
        <f>'19_Расчет_аналитики'!BC432</f>
        <v/>
      </c>
      <c r="BD370">
        <f>'19_Расчет_аналитики'!BD432</f>
        <v/>
      </c>
      <c r="BE370">
        <f>'19_Расчет_аналитики'!BE432</f>
        <v/>
      </c>
      <c r="BF370">
        <f>'19_Расчет_аналитики'!BF432</f>
        <v/>
      </c>
      <c r="BG370">
        <f>'19_Расчет_аналитики'!BG432</f>
        <v/>
      </c>
      <c r="BH370">
        <f>'19_Расчет_аналитики'!BH432</f>
        <v/>
      </c>
      <c r="BI370">
        <f>'19_Расчет_аналитики'!BI432</f>
        <v/>
      </c>
      <c r="BJ370">
        <f>'19_Расчет_аналитики'!BJ432</f>
        <v/>
      </c>
      <c r="BK370">
        <f>'19_Расчет_аналитики'!BK432</f>
        <v/>
      </c>
      <c r="BL370">
        <f>'19_Расчет_аналитики'!BL432</f>
        <v/>
      </c>
      <c r="BM370">
        <f>'19_Расчет_аналитики'!BM432</f>
        <v/>
      </c>
      <c r="BN370">
        <f>'19_Расчет_аналитики'!BN432</f>
        <v/>
      </c>
      <c r="BO370">
        <f>'19_Расчет_аналитики'!BO432</f>
        <v/>
      </c>
    </row>
    <row r="371">
      <c r="B371">
        <f>SUM('19_Расчет_аналитики'!B368:B370)</f>
        <v/>
      </c>
      <c r="C371">
        <f>SUM('19_Расчет_аналитики'!C368:C370)</f>
        <v/>
      </c>
      <c r="D371">
        <f>SUM('19_Расчет_аналитики'!D368:D370)</f>
        <v/>
      </c>
      <c r="E371">
        <f>SUM('19_Расчет_аналитики'!E368:E370)</f>
        <v/>
      </c>
      <c r="F371">
        <f>SUM('19_Расчет_аналитики'!F368:F370)</f>
        <v/>
      </c>
      <c r="G371">
        <f>SUM('19_Расчет_аналитики'!G368:G370)</f>
        <v/>
      </c>
      <c r="H371">
        <f>SUM('19_Расчет_аналитики'!H368:H370)</f>
        <v/>
      </c>
      <c r="I371">
        <f>SUM('19_Расчет_аналитики'!I368:I370)</f>
        <v/>
      </c>
      <c r="J371">
        <f>SUM('19_Расчет_аналитики'!J368:J370)</f>
        <v/>
      </c>
      <c r="K371">
        <f>SUM('19_Расчет_аналитики'!K368:K370)</f>
        <v/>
      </c>
      <c r="L371">
        <f>SUM('19_Расчет_аналитики'!L368:L370)</f>
        <v/>
      </c>
      <c r="M371">
        <f>SUM('19_Расчет_аналитики'!M368:M370)</f>
        <v/>
      </c>
      <c r="N371">
        <f>SUM('19_Расчет_аналитики'!N368:N370)</f>
        <v/>
      </c>
      <c r="O371">
        <f>SUM('19_Расчет_аналитики'!O368:O370)</f>
        <v/>
      </c>
      <c r="P371">
        <f>SUM('19_Расчет_аналитики'!P368:P370)</f>
        <v/>
      </c>
      <c r="Q371">
        <f>SUM('19_Расчет_аналитики'!Q368:Q370)</f>
        <v/>
      </c>
      <c r="R371">
        <f>SUM('19_Расчет_аналитики'!R368:R370)</f>
        <v/>
      </c>
      <c r="S371">
        <f>SUM('19_Расчет_аналитики'!S368:S370)</f>
        <v/>
      </c>
      <c r="T371">
        <f>SUM('19_Расчет_аналитики'!T368:T370)</f>
        <v/>
      </c>
      <c r="U371">
        <f>SUM('19_Расчет_аналитики'!U368:U370)</f>
        <v/>
      </c>
      <c r="V371">
        <f>SUM('19_Расчет_аналитики'!V368:V370)</f>
        <v/>
      </c>
      <c r="W371">
        <f>SUM('19_Расчет_аналитики'!W368:W370)</f>
        <v/>
      </c>
      <c r="X371">
        <f>SUM('19_Расчет_аналитики'!X368:X370)</f>
        <v/>
      </c>
      <c r="Y371">
        <f>SUM('19_Расчет_аналитики'!Y368:Y370)</f>
        <v/>
      </c>
      <c r="Z371">
        <f>SUM('19_Расчет_аналитики'!Z368:Z370)</f>
        <v/>
      </c>
      <c r="AA371">
        <f>SUM('19_Расчет_аналитики'!AA368:AA370)</f>
        <v/>
      </c>
      <c r="AB371">
        <f>SUM('19_Расчет_аналитики'!AB368:AB370)</f>
        <v/>
      </c>
      <c r="AC371">
        <f>SUM('19_Расчет_аналитики'!AC368:AC370)</f>
        <v/>
      </c>
      <c r="AD371">
        <f>SUM('19_Расчет_аналитики'!AD368:AD370)</f>
        <v/>
      </c>
      <c r="AE371">
        <f>SUM('19_Расчет_аналитики'!AE368:AE370)</f>
        <v/>
      </c>
      <c r="AF371">
        <f>SUM('19_Расчет_аналитики'!AF368:AF370)</f>
        <v/>
      </c>
      <c r="AG371">
        <f>SUM('19_Расчет_аналитики'!AG368:AG370)</f>
        <v/>
      </c>
      <c r="AH371">
        <f>SUM('19_Расчет_аналитики'!AH368:AH370)</f>
        <v/>
      </c>
      <c r="AI371">
        <f>SUM('19_Расчет_аналитики'!AI368:AI370)</f>
        <v/>
      </c>
      <c r="AJ371">
        <f>SUM('19_Расчет_аналитики'!AJ368:AJ370)</f>
        <v/>
      </c>
      <c r="AK371">
        <f>SUM('19_Расчет_аналитики'!AK368:AK370)</f>
        <v/>
      </c>
      <c r="AL371">
        <f>SUM('19_Расчет_аналитики'!AL368:AL370)</f>
        <v/>
      </c>
      <c r="AM371">
        <f>SUM('19_Расчет_аналитики'!AM368:AM370)</f>
        <v/>
      </c>
      <c r="AN371">
        <f>SUM('19_Расчет_аналитики'!AN368:AN370)</f>
        <v/>
      </c>
      <c r="AO371">
        <f>SUM('19_Расчет_аналитики'!AO368:AO370)</f>
        <v/>
      </c>
      <c r="AP371">
        <f>SUM('19_Расчет_аналитики'!AP368:AP370)</f>
        <v/>
      </c>
      <c r="AQ371">
        <f>SUM('19_Расчет_аналитики'!AQ368:AQ370)</f>
        <v/>
      </c>
      <c r="AR371">
        <f>SUM('19_Расчет_аналитики'!AR368:AR370)</f>
        <v/>
      </c>
      <c r="AS371">
        <f>SUM('19_Расчет_аналитики'!AS368:AS370)</f>
        <v/>
      </c>
      <c r="AT371">
        <f>SUM('19_Расчет_аналитики'!AT368:AT370)</f>
        <v/>
      </c>
      <c r="AU371">
        <f>SUM('19_Расчет_аналитики'!AU368:AU370)</f>
        <v/>
      </c>
      <c r="AV371">
        <f>SUM('19_Расчет_аналитики'!AV368:AV370)</f>
        <v/>
      </c>
      <c r="AW371">
        <f>SUM('19_Расчет_аналитики'!AW368:AW370)</f>
        <v/>
      </c>
      <c r="AX371">
        <f>SUM('19_Расчет_аналитики'!AX368:AX370)</f>
        <v/>
      </c>
      <c r="AY371">
        <f>SUM('19_Расчет_аналитики'!AY368:AY370)</f>
        <v/>
      </c>
      <c r="AZ371">
        <f>SUM('19_Расчет_аналитики'!AZ368:AZ370)</f>
        <v/>
      </c>
      <c r="BA371">
        <f>SUM('19_Расчет_аналитики'!BA368:BA370)</f>
        <v/>
      </c>
      <c r="BB371">
        <f>SUM('19_Расчет_аналитики'!BB368:BB370)</f>
        <v/>
      </c>
      <c r="BC371">
        <f>SUM('19_Расчет_аналитики'!BC368:BC370)</f>
        <v/>
      </c>
      <c r="BD371">
        <f>SUM('19_Расчет_аналитики'!BD368:BD370)</f>
        <v/>
      </c>
      <c r="BE371">
        <f>SUM('19_Расчет_аналитики'!BE368:BE370)</f>
        <v/>
      </c>
      <c r="BF371">
        <f>SUM('19_Расчет_аналитики'!BF368:BF370)</f>
        <v/>
      </c>
      <c r="BG371">
        <f>SUM('19_Расчет_аналитики'!BG368:BG370)</f>
        <v/>
      </c>
      <c r="BH371">
        <f>SUM('19_Расчет_аналитики'!BH368:BH370)</f>
        <v/>
      </c>
      <c r="BI371">
        <f>SUM('19_Расчет_аналитики'!BI368:BI370)</f>
        <v/>
      </c>
      <c r="BJ371">
        <f>SUM('19_Расчет_аналитики'!BJ368:BJ370)</f>
        <v/>
      </c>
      <c r="BK371">
        <f>SUM('19_Расчет_аналитики'!BK368:BK370)</f>
        <v/>
      </c>
      <c r="BL371">
        <f>SUM('19_Расчет_аналитики'!BL368:BL370)</f>
        <v/>
      </c>
      <c r="BM371">
        <f>SUM('19_Расчет_аналитики'!BM368:BM370)</f>
        <v/>
      </c>
      <c r="BN371">
        <f>SUM('19_Расчет_аналитики'!BN368:BN370)</f>
        <v/>
      </c>
      <c r="BO371">
        <f>SUM('19_Расчет_аналитики'!BO368:BO370)</f>
        <v/>
      </c>
    </row>
    <row r="372">
      <c r="B372">
        <f>'06_Сеть_и_дети'!B11+'19_Расчет_аналитики'!B371</f>
        <v/>
      </c>
      <c r="C372">
        <f>'06_Сеть_и_дети'!C11+'19_Расчет_аналитики'!C371</f>
        <v/>
      </c>
      <c r="D372">
        <f>'06_Сеть_и_дети'!D11+'19_Расчет_аналитики'!D371</f>
        <v/>
      </c>
      <c r="E372">
        <f>'06_Сеть_и_дети'!E11+'19_Расчет_аналитики'!E371</f>
        <v/>
      </c>
      <c r="F372">
        <f>'06_Сеть_и_дети'!F11+'19_Расчет_аналитики'!F371</f>
        <v/>
      </c>
      <c r="G372">
        <f>'06_Сеть_и_дети'!G11+'19_Расчет_аналитики'!G371</f>
        <v/>
      </c>
      <c r="H372">
        <f>'06_Сеть_и_дети'!H11+'19_Расчет_аналитики'!H371</f>
        <v/>
      </c>
      <c r="I372">
        <f>'06_Сеть_и_дети'!I11+'19_Расчет_аналитики'!I371</f>
        <v/>
      </c>
      <c r="J372">
        <f>'06_Сеть_и_дети'!J11+'19_Расчет_аналитики'!J371</f>
        <v/>
      </c>
      <c r="K372">
        <f>'06_Сеть_и_дети'!K11+'19_Расчет_аналитики'!K371</f>
        <v/>
      </c>
      <c r="L372">
        <f>'06_Сеть_и_дети'!L11+'19_Расчет_аналитики'!L371</f>
        <v/>
      </c>
      <c r="M372">
        <f>'06_Сеть_и_дети'!M11+'19_Расчет_аналитики'!M371</f>
        <v/>
      </c>
      <c r="N372">
        <f>'06_Сеть_и_дети'!N11+'19_Расчет_аналитики'!N371</f>
        <v/>
      </c>
      <c r="O372">
        <f>'06_Сеть_и_дети'!O11+'19_Расчет_аналитики'!O371</f>
        <v/>
      </c>
      <c r="P372">
        <f>'06_Сеть_и_дети'!P11+'19_Расчет_аналитики'!P371</f>
        <v/>
      </c>
      <c r="Q372">
        <f>'06_Сеть_и_дети'!Q11+'19_Расчет_аналитики'!Q371</f>
        <v/>
      </c>
      <c r="R372">
        <f>'06_Сеть_и_дети'!R11+'19_Расчет_аналитики'!R371</f>
        <v/>
      </c>
      <c r="S372">
        <f>'06_Сеть_и_дети'!S11+'19_Расчет_аналитики'!S371</f>
        <v/>
      </c>
      <c r="T372">
        <f>'06_Сеть_и_дети'!T11+'19_Расчет_аналитики'!T371</f>
        <v/>
      </c>
      <c r="U372">
        <f>'06_Сеть_и_дети'!U11+'19_Расчет_аналитики'!U371</f>
        <v/>
      </c>
      <c r="V372">
        <f>'06_Сеть_и_дети'!V11+'19_Расчет_аналитики'!V371</f>
        <v/>
      </c>
      <c r="W372">
        <f>'06_Сеть_и_дети'!W11+'19_Расчет_аналитики'!W371</f>
        <v/>
      </c>
      <c r="X372">
        <f>'06_Сеть_и_дети'!X11+'19_Расчет_аналитики'!X371</f>
        <v/>
      </c>
      <c r="Y372">
        <f>'06_Сеть_и_дети'!Y11+'19_Расчет_аналитики'!Y371</f>
        <v/>
      </c>
      <c r="Z372">
        <f>'06_Сеть_и_дети'!Z11+'19_Расчет_аналитики'!Z371</f>
        <v/>
      </c>
      <c r="AA372">
        <f>'06_Сеть_и_дети'!AA11+'19_Расчет_аналитики'!AA371</f>
        <v/>
      </c>
      <c r="AB372">
        <f>'06_Сеть_и_дети'!AB11+'19_Расчет_аналитики'!AB371</f>
        <v/>
      </c>
      <c r="AC372">
        <f>'06_Сеть_и_дети'!AC11+'19_Расчет_аналитики'!AC371</f>
        <v/>
      </c>
      <c r="AD372">
        <f>'06_Сеть_и_дети'!AD11+'19_Расчет_аналитики'!AD371</f>
        <v/>
      </c>
      <c r="AE372">
        <f>'06_Сеть_и_дети'!AE11+'19_Расчет_аналитики'!AE371</f>
        <v/>
      </c>
      <c r="AF372">
        <f>'06_Сеть_и_дети'!AF11+'19_Расчет_аналитики'!AF371</f>
        <v/>
      </c>
      <c r="AG372">
        <f>'06_Сеть_и_дети'!AG11+'19_Расчет_аналитики'!AG371</f>
        <v/>
      </c>
      <c r="AH372">
        <f>'06_Сеть_и_дети'!AH11+'19_Расчет_аналитики'!AH371</f>
        <v/>
      </c>
      <c r="AI372">
        <f>'06_Сеть_и_дети'!AI11+'19_Расчет_аналитики'!AI371</f>
        <v/>
      </c>
      <c r="AJ372">
        <f>'06_Сеть_и_дети'!AJ11+'19_Расчет_аналитики'!AJ371</f>
        <v/>
      </c>
      <c r="AK372">
        <f>'06_Сеть_и_дети'!AK11+'19_Расчет_аналитики'!AK371</f>
        <v/>
      </c>
      <c r="AL372">
        <f>'06_Сеть_и_дети'!AL11+'19_Расчет_аналитики'!AL371</f>
        <v/>
      </c>
      <c r="AM372">
        <f>'06_Сеть_и_дети'!AM11+'19_Расчет_аналитики'!AM371</f>
        <v/>
      </c>
      <c r="AN372">
        <f>'06_Сеть_и_дети'!AN11+'19_Расчет_аналитики'!AN371</f>
        <v/>
      </c>
      <c r="AO372">
        <f>'06_Сеть_и_дети'!AO11+'19_Расчет_аналитики'!AO371</f>
        <v/>
      </c>
      <c r="AP372">
        <f>'06_Сеть_и_дети'!AP11+'19_Расчет_аналитики'!AP371</f>
        <v/>
      </c>
      <c r="AQ372">
        <f>'06_Сеть_и_дети'!AQ11+'19_Расчет_аналитики'!AQ371</f>
        <v/>
      </c>
      <c r="AR372">
        <f>'06_Сеть_и_дети'!AR11+'19_Расчет_аналитики'!AR371</f>
        <v/>
      </c>
      <c r="AS372">
        <f>'06_Сеть_и_дети'!AS11+'19_Расчет_аналитики'!AS371</f>
        <v/>
      </c>
      <c r="AT372">
        <f>'06_Сеть_и_дети'!AT11+'19_Расчет_аналитики'!AT371</f>
        <v/>
      </c>
      <c r="AU372">
        <f>'06_Сеть_и_дети'!AU11+'19_Расчет_аналитики'!AU371</f>
        <v/>
      </c>
      <c r="AV372">
        <f>'06_Сеть_и_дети'!AV11+'19_Расчет_аналитики'!AV371</f>
        <v/>
      </c>
      <c r="AW372">
        <f>'06_Сеть_и_дети'!AW11+'19_Расчет_аналитики'!AW371</f>
        <v/>
      </c>
      <c r="AX372">
        <f>'06_Сеть_и_дети'!AX11+'19_Расчет_аналитики'!AX371</f>
        <v/>
      </c>
      <c r="AY372">
        <f>'06_Сеть_и_дети'!AY11+'19_Расчет_аналитики'!AY371</f>
        <v/>
      </c>
      <c r="AZ372">
        <f>'06_Сеть_и_дети'!AZ11+'19_Расчет_аналитики'!AZ371</f>
        <v/>
      </c>
      <c r="BA372">
        <f>'06_Сеть_и_дети'!BA11+'19_Расчет_аналитики'!BA371</f>
        <v/>
      </c>
      <c r="BB372">
        <f>'06_Сеть_и_дети'!BB11+'19_Расчет_аналитики'!BB371</f>
        <v/>
      </c>
      <c r="BC372">
        <f>'06_Сеть_и_дети'!BC11+'19_Расчет_аналитики'!BC371</f>
        <v/>
      </c>
      <c r="BD372">
        <f>'06_Сеть_и_дети'!BD11+'19_Расчет_аналитики'!BD371</f>
        <v/>
      </c>
      <c r="BE372">
        <f>'06_Сеть_и_дети'!BE11+'19_Расчет_аналитики'!BE371</f>
        <v/>
      </c>
      <c r="BF372">
        <f>'06_Сеть_и_дети'!BF11+'19_Расчет_аналитики'!BF371</f>
        <v/>
      </c>
      <c r="BG372">
        <f>'06_Сеть_и_дети'!BG11+'19_Расчет_аналитики'!BG371</f>
        <v/>
      </c>
      <c r="BH372">
        <f>'06_Сеть_и_дети'!BH11+'19_Расчет_аналитики'!BH371</f>
        <v/>
      </c>
      <c r="BI372">
        <f>'06_Сеть_и_дети'!BI11+'19_Расчет_аналитики'!BI371</f>
        <v/>
      </c>
      <c r="BJ372">
        <f>'06_Сеть_и_дети'!BJ11+'19_Расчет_аналитики'!BJ371</f>
        <v/>
      </c>
      <c r="BK372">
        <f>'06_Сеть_и_дети'!BK11+'19_Расчет_аналитики'!BK371</f>
        <v/>
      </c>
      <c r="BL372">
        <f>'06_Сеть_и_дети'!BL11+'19_Расчет_аналитики'!BL371</f>
        <v/>
      </c>
      <c r="BM372">
        <f>'06_Сеть_и_дети'!BM11+'19_Расчет_аналитики'!BM371</f>
        <v/>
      </c>
      <c r="BN372">
        <f>'06_Сеть_и_дети'!BN11+'19_Расчет_аналитики'!BN371</f>
        <v/>
      </c>
      <c r="BO372">
        <f>'06_Сеть_и_дети'!BO11+'19_Расчет_аналитики'!BO371</f>
        <v/>
      </c>
    </row>
    <row r="373"/>
    <row r="374"/>
    <row r="375"/>
    <row r="376">
      <c r="B376">
        <f>SUMPRODUCT('19_Расчет_аналитики'!B408:B419,CapacityYear1)*'19_Расчет_аналитики'!$F$211*'06_Сеть_и_дети'!B5</f>
        <v/>
      </c>
      <c r="C376">
        <f>SUMPRODUCT('19_Расчет_аналитики'!C408:C419,CapacityYear1)*'19_Расчет_аналитики'!$F$211*'06_Сеть_и_дети'!C5</f>
        <v/>
      </c>
      <c r="D376">
        <f>SUMPRODUCT('19_Расчет_аналитики'!D408:D419,CapacityYear1)*'19_Расчет_аналитики'!$F$211*'06_Сеть_и_дети'!D5</f>
        <v/>
      </c>
      <c r="E376">
        <f>SUMPRODUCT('19_Расчет_аналитики'!E408:E419,CapacityYear1)*'19_Расчет_аналитики'!$F$211*'06_Сеть_и_дети'!E5</f>
        <v/>
      </c>
      <c r="F376">
        <f>SUMPRODUCT('19_Расчет_аналитики'!F408:F419,CapacityYear1)*'19_Расчет_аналитики'!$F$211*'06_Сеть_и_дети'!F5</f>
        <v/>
      </c>
      <c r="G376">
        <f>SUMPRODUCT('19_Расчет_аналитики'!G408:G419,CapacityYear1)*'19_Расчет_аналитики'!$F$211*'06_Сеть_и_дети'!G5</f>
        <v/>
      </c>
      <c r="H376">
        <f>SUMPRODUCT('19_Расчет_аналитики'!H408:H419,CapacityYear1)*'19_Расчет_аналитики'!$F$211*'06_Сеть_и_дети'!H5</f>
        <v/>
      </c>
      <c r="I376">
        <f>SUMPRODUCT('19_Расчет_аналитики'!I408:I419,CapacityYear1)*'19_Расчет_аналитики'!$F$211*'06_Сеть_и_дети'!I5</f>
        <v/>
      </c>
      <c r="J376">
        <f>SUMPRODUCT('19_Расчет_аналитики'!J408:J419,CapacityYear1)*'19_Расчет_аналитики'!$F$211*'06_Сеть_и_дети'!J5</f>
        <v/>
      </c>
      <c r="K376">
        <f>SUMPRODUCT('19_Расчет_аналитики'!K408:K419,CapacityYear1)*'19_Расчет_аналитики'!$F$211*'06_Сеть_и_дети'!K5</f>
        <v/>
      </c>
      <c r="L376">
        <f>SUMPRODUCT('19_Расчет_аналитики'!L408:L419,CapacityYear1)*'19_Расчет_аналитики'!$F$211*'06_Сеть_и_дети'!L5</f>
        <v/>
      </c>
      <c r="M376">
        <f>SUMPRODUCT('19_Расчет_аналитики'!M408:M419,CapacityYear1)*'19_Расчет_аналитики'!$F$211*'06_Сеть_и_дети'!M5</f>
        <v/>
      </c>
      <c r="N376">
        <f>SUMPRODUCT('19_Расчет_аналитики'!N408:N419,CapacityYear1)*'19_Расчет_аналитики'!$F$211*'06_Сеть_и_дети'!N5</f>
        <v/>
      </c>
      <c r="O376">
        <f>SUMPRODUCT('19_Расчет_аналитики'!O408:O419,CapacityYear1)*'19_Расчет_аналитики'!$F$211*'06_Сеть_и_дети'!O5</f>
        <v/>
      </c>
      <c r="P376">
        <f>SUMPRODUCT('19_Расчет_аналитики'!P408:P419,CapacityYear1)*'19_Расчет_аналитики'!$F$211*'06_Сеть_и_дети'!P5</f>
        <v/>
      </c>
      <c r="Q376">
        <f>SUMPRODUCT('19_Расчет_аналитики'!Q408:Q419,CapacityYear1)*'19_Расчет_аналитики'!$F$211*'06_Сеть_и_дети'!Q5</f>
        <v/>
      </c>
      <c r="R376">
        <f>SUMPRODUCT('19_Расчет_аналитики'!R408:R419,CapacityYear1)*'19_Расчет_аналитики'!$F$211*'06_Сеть_и_дети'!R5</f>
        <v/>
      </c>
      <c r="S376">
        <f>SUMPRODUCT('19_Расчет_аналитики'!S408:S419,CapacityYear1)*'19_Расчет_аналитики'!$F$211*'06_Сеть_и_дети'!S5</f>
        <v/>
      </c>
      <c r="T376">
        <f>SUMPRODUCT('19_Расчет_аналитики'!T408:T419,CapacityYear1)*'19_Расчет_аналитики'!$F$211*'06_Сеть_и_дети'!T5</f>
        <v/>
      </c>
      <c r="U376">
        <f>SUMPRODUCT('19_Расчет_аналитики'!U408:U419,CapacityYear1)*'19_Расчет_аналитики'!$F$211*'06_Сеть_и_дети'!U5</f>
        <v/>
      </c>
      <c r="V376">
        <f>SUMPRODUCT('19_Расчет_аналитики'!V408:V419,CapacityYear1)*'19_Расчет_аналитики'!$F$211*'06_Сеть_и_дети'!V5</f>
        <v/>
      </c>
      <c r="W376">
        <f>SUMPRODUCT('19_Расчет_аналитики'!W408:W419,CapacityYear1)*'19_Расчет_аналитики'!$F$211*'06_Сеть_и_дети'!W5</f>
        <v/>
      </c>
      <c r="X376">
        <f>SUMPRODUCT('19_Расчет_аналитики'!X408:X419,CapacityYear1)*'19_Расчет_аналитики'!$F$211*'06_Сеть_и_дети'!X5</f>
        <v/>
      </c>
      <c r="Y376">
        <f>SUMPRODUCT('19_Расчет_аналитики'!Y408:Y419,CapacityYear1)*'19_Расчет_аналитики'!$F$211*'06_Сеть_и_дети'!Y5</f>
        <v/>
      </c>
      <c r="Z376">
        <f>SUMPRODUCT('19_Расчет_аналитики'!Z408:Z419,CapacityYear1)*'19_Расчет_аналитики'!$F$211*'06_Сеть_и_дети'!Z5</f>
        <v/>
      </c>
      <c r="AA376">
        <f>SUMPRODUCT('19_Расчет_аналитики'!AA408:AA419,CapacityYear1)*'19_Расчет_аналитики'!$F$211*'06_Сеть_и_дети'!AA5</f>
        <v/>
      </c>
      <c r="AB376">
        <f>SUMPRODUCT('19_Расчет_аналитики'!AB408:AB419,CapacityYear1)*'19_Расчет_аналитики'!$F$211*'06_Сеть_и_дети'!AB5</f>
        <v/>
      </c>
      <c r="AC376">
        <f>SUMPRODUCT('19_Расчет_аналитики'!AC408:AC419,CapacityYear1)*'19_Расчет_аналитики'!$F$211*'06_Сеть_и_дети'!AC5</f>
        <v/>
      </c>
      <c r="AD376">
        <f>SUMPRODUCT('19_Расчет_аналитики'!AD408:AD419,CapacityYear1)*'19_Расчет_аналитики'!$F$211*'06_Сеть_и_дети'!AD5</f>
        <v/>
      </c>
      <c r="AE376">
        <f>SUMPRODUCT('19_Расчет_аналитики'!AE408:AE419,CapacityYear1)*'19_Расчет_аналитики'!$F$211*'06_Сеть_и_дети'!AE5</f>
        <v/>
      </c>
      <c r="AF376">
        <f>SUMPRODUCT('19_Расчет_аналитики'!AF408:AF419,CapacityYear1)*'19_Расчет_аналитики'!$F$211*'06_Сеть_и_дети'!AF5</f>
        <v/>
      </c>
      <c r="AG376">
        <f>SUMPRODUCT('19_Расчет_аналитики'!AG408:AG419,CapacityYear1)*'19_Расчет_аналитики'!$F$211*'06_Сеть_и_дети'!AG5</f>
        <v/>
      </c>
      <c r="AH376">
        <f>SUMPRODUCT('19_Расчет_аналитики'!AH408:AH419,CapacityYear1)*'19_Расчет_аналитики'!$F$211*'06_Сеть_и_дети'!AH5</f>
        <v/>
      </c>
      <c r="AI376">
        <f>SUMPRODUCT('19_Расчет_аналитики'!AI408:AI419,CapacityYear1)*'19_Расчет_аналитики'!$F$211*'06_Сеть_и_дети'!AI5</f>
        <v/>
      </c>
      <c r="AJ376">
        <f>SUMPRODUCT('19_Расчет_аналитики'!AJ408:AJ419,CapacityYear1)*'19_Расчет_аналитики'!$F$211*'06_Сеть_и_дети'!AJ5</f>
        <v/>
      </c>
      <c r="AK376">
        <f>SUMPRODUCT('19_Расчет_аналитики'!AK408:AK419,CapacityYear1)*'19_Расчет_аналитики'!$F$211*'06_Сеть_и_дети'!AK5</f>
        <v/>
      </c>
      <c r="AL376">
        <f>SUMPRODUCT('19_Расчет_аналитики'!AL408:AL419,CapacityYear1)*'19_Расчет_аналитики'!$F$211*'06_Сеть_и_дети'!AL5</f>
        <v/>
      </c>
      <c r="AM376">
        <f>SUMPRODUCT('19_Расчет_аналитики'!AM408:AM419,CapacityYear1)*'19_Расчет_аналитики'!$F$211*'06_Сеть_и_дети'!AM5</f>
        <v/>
      </c>
      <c r="AN376">
        <f>SUMPRODUCT('19_Расчет_аналитики'!AN408:AN419,CapacityYear1)*'19_Расчет_аналитики'!$F$211*'06_Сеть_и_дети'!AN5</f>
        <v/>
      </c>
      <c r="AO376">
        <f>SUMPRODUCT('19_Расчет_аналитики'!AO408:AO419,CapacityYear1)*'19_Расчет_аналитики'!$F$211*'06_Сеть_и_дети'!AO5</f>
        <v/>
      </c>
      <c r="AP376">
        <f>SUMPRODUCT('19_Расчет_аналитики'!AP408:AP419,CapacityYear1)*'19_Расчет_аналитики'!$F$211*'06_Сеть_и_дети'!AP5</f>
        <v/>
      </c>
      <c r="AQ376">
        <f>SUMPRODUCT('19_Расчет_аналитики'!AQ408:AQ419,CapacityYear1)*'19_Расчет_аналитики'!$F$211*'06_Сеть_и_дети'!AQ5</f>
        <v/>
      </c>
      <c r="AR376">
        <f>SUMPRODUCT('19_Расчет_аналитики'!AR408:AR419,CapacityYear1)*'19_Расчет_аналитики'!$F$211*'06_Сеть_и_дети'!AR5</f>
        <v/>
      </c>
      <c r="AS376">
        <f>SUMPRODUCT('19_Расчет_аналитики'!AS408:AS419,CapacityYear1)*'19_Расчет_аналитики'!$F$211*'06_Сеть_и_дети'!AS5</f>
        <v/>
      </c>
      <c r="AT376">
        <f>SUMPRODUCT('19_Расчет_аналитики'!AT408:AT419,CapacityYear1)*'19_Расчет_аналитики'!$F$211*'06_Сеть_и_дети'!AT5</f>
        <v/>
      </c>
      <c r="AU376">
        <f>SUMPRODUCT('19_Расчет_аналитики'!AU408:AU419,CapacityYear1)*'19_Расчет_аналитики'!$F$211*'06_Сеть_и_дети'!AU5</f>
        <v/>
      </c>
      <c r="AV376">
        <f>SUMPRODUCT('19_Расчет_аналитики'!AV408:AV419,CapacityYear1)*'19_Расчет_аналитики'!$F$211*'06_Сеть_и_дети'!AV5</f>
        <v/>
      </c>
      <c r="AW376">
        <f>SUMPRODUCT('19_Расчет_аналитики'!AW408:AW419,CapacityYear1)*'19_Расчет_аналитики'!$F$211*'06_Сеть_и_дети'!AW5</f>
        <v/>
      </c>
      <c r="AX376">
        <f>SUMPRODUCT('19_Расчет_аналитики'!AX408:AX419,CapacityYear1)*'19_Расчет_аналитики'!$F$211*'06_Сеть_и_дети'!AX5</f>
        <v/>
      </c>
      <c r="AY376">
        <f>SUMPRODUCT('19_Расчет_аналитики'!AY408:AY419,CapacityYear1)*'19_Расчет_аналитики'!$F$211*'06_Сеть_и_дети'!AY5</f>
        <v/>
      </c>
      <c r="AZ376">
        <f>SUMPRODUCT('19_Расчет_аналитики'!AZ408:AZ419,CapacityYear1)*'19_Расчет_аналитики'!$F$211*'06_Сеть_и_дети'!AZ5</f>
        <v/>
      </c>
      <c r="BA376">
        <f>SUMPRODUCT('19_Расчет_аналитики'!BA408:BA419,CapacityYear1)*'19_Расчет_аналитики'!$F$211*'06_Сеть_и_дети'!BA5</f>
        <v/>
      </c>
      <c r="BB376">
        <f>SUMPRODUCT('19_Расчет_аналитики'!BB408:BB419,CapacityYear1)*'19_Расчет_аналитики'!$F$211*'06_Сеть_и_дети'!BB5</f>
        <v/>
      </c>
      <c r="BC376">
        <f>SUMPRODUCT('19_Расчет_аналитики'!BC408:BC419,CapacityYear1)*'19_Расчет_аналитики'!$F$211*'06_Сеть_и_дети'!BC5</f>
        <v/>
      </c>
      <c r="BD376">
        <f>SUMPRODUCT('19_Расчет_аналитики'!BD408:BD419,CapacityYear1)*'19_Расчет_аналитики'!$F$211*'06_Сеть_и_дети'!BD5</f>
        <v/>
      </c>
      <c r="BE376">
        <f>SUMPRODUCT('19_Расчет_аналитики'!BE408:BE419,CapacityYear1)*'19_Расчет_аналитики'!$F$211*'06_Сеть_и_дети'!BE5</f>
        <v/>
      </c>
      <c r="BF376">
        <f>SUMPRODUCT('19_Расчет_аналитики'!BF408:BF419,CapacityYear1)*'19_Расчет_аналитики'!$F$211*'06_Сеть_и_дети'!BF5</f>
        <v/>
      </c>
      <c r="BG376">
        <f>SUMPRODUCT('19_Расчет_аналитики'!BG408:BG419,CapacityYear1)*'19_Расчет_аналитики'!$F$211*'06_Сеть_и_дети'!BG5</f>
        <v/>
      </c>
      <c r="BH376">
        <f>SUMPRODUCT('19_Расчет_аналитики'!BH408:BH419,CapacityYear1)*'19_Расчет_аналитики'!$F$211*'06_Сеть_и_дети'!BH5</f>
        <v/>
      </c>
      <c r="BI376">
        <f>SUMPRODUCT('19_Расчет_аналитики'!BI408:BI419,CapacityYear1)*'19_Расчет_аналитики'!$F$211*'06_Сеть_и_дети'!BI5</f>
        <v/>
      </c>
      <c r="BJ376">
        <f>SUMPRODUCT('19_Расчет_аналитики'!BJ408:BJ419,CapacityYear1)*'19_Расчет_аналитики'!$F$211*'06_Сеть_и_дети'!BJ5</f>
        <v/>
      </c>
      <c r="BK376">
        <f>SUMPRODUCT('19_Расчет_аналитики'!BK408:BK419,CapacityYear1)*'19_Расчет_аналитики'!$F$211*'06_Сеть_и_дети'!BK5</f>
        <v/>
      </c>
      <c r="BL376">
        <f>SUMPRODUCT('19_Расчет_аналитики'!BL408:BL419,CapacityYear1)*'19_Расчет_аналитики'!$F$211*'06_Сеть_и_дети'!BL5</f>
        <v/>
      </c>
      <c r="BM376">
        <f>SUMPRODUCT('19_Расчет_аналитики'!BM408:BM419,CapacityYear1)*'19_Расчет_аналитики'!$F$211*'06_Сеть_и_дети'!BM5</f>
        <v/>
      </c>
      <c r="BN376">
        <f>SUMPRODUCT('19_Расчет_аналитики'!BN408:BN419,CapacityYear1)*'19_Расчет_аналитики'!$F$211*'06_Сеть_и_дети'!BN5</f>
        <v/>
      </c>
      <c r="BO376">
        <f>SUMPRODUCT('19_Расчет_аналитики'!BO408:BO419,CapacityYear1)*'19_Расчет_аналитики'!$F$211*'06_Сеть_и_дети'!BO5</f>
        <v/>
      </c>
    </row>
    <row r="377">
      <c r="B377">
        <f>SUMPRODUCT('06_Сеть_и_дети'!B65:B76,CapacityYear2)*'19_Расчет_аналитики'!$F$211*'06_Сеть_и_дети'!B5</f>
        <v/>
      </c>
      <c r="C377">
        <f>SUMPRODUCT('06_Сеть_и_дети'!C65:C76,CapacityYear2)*'19_Расчет_аналитики'!$F$211*'06_Сеть_и_дети'!C5</f>
        <v/>
      </c>
      <c r="D377">
        <f>SUMPRODUCT('06_Сеть_и_дети'!D65:D76,CapacityYear2)*'19_Расчет_аналитики'!$F$211*'06_Сеть_и_дети'!D5</f>
        <v/>
      </c>
      <c r="E377">
        <f>SUMPRODUCT('06_Сеть_и_дети'!E65:E76,CapacityYear2)*'19_Расчет_аналитики'!$F$211*'06_Сеть_и_дети'!E5</f>
        <v/>
      </c>
      <c r="F377">
        <f>SUMPRODUCT('06_Сеть_и_дети'!F65:F76,CapacityYear2)*'19_Расчет_аналитики'!$F$211*'06_Сеть_и_дети'!F5</f>
        <v/>
      </c>
      <c r="G377">
        <f>SUMPRODUCT('06_Сеть_и_дети'!G65:G76,CapacityYear2)*'19_Расчет_аналитики'!$F$211*'06_Сеть_и_дети'!G5</f>
        <v/>
      </c>
      <c r="H377">
        <f>SUMPRODUCT('06_Сеть_и_дети'!H65:H76,CapacityYear2)*'19_Расчет_аналитики'!$F$211*'06_Сеть_и_дети'!H5</f>
        <v/>
      </c>
      <c r="I377">
        <f>SUMPRODUCT('06_Сеть_и_дети'!I65:I76,CapacityYear2)*'19_Расчет_аналитики'!$F$211*'06_Сеть_и_дети'!I5</f>
        <v/>
      </c>
      <c r="J377">
        <f>SUMPRODUCT('06_Сеть_и_дети'!J65:J76,CapacityYear2)*'19_Расчет_аналитики'!$F$211*'06_Сеть_и_дети'!J5</f>
        <v/>
      </c>
      <c r="K377">
        <f>SUMPRODUCT('06_Сеть_и_дети'!K65:K76,CapacityYear2)*'19_Расчет_аналитики'!$F$211*'06_Сеть_и_дети'!K5</f>
        <v/>
      </c>
      <c r="L377">
        <f>SUMPRODUCT('06_Сеть_и_дети'!L65:L76,CapacityYear2)*'19_Расчет_аналитики'!$F$211*'06_Сеть_и_дети'!L5</f>
        <v/>
      </c>
      <c r="M377">
        <f>SUMPRODUCT('06_Сеть_и_дети'!M65:M76,CapacityYear2)*'19_Расчет_аналитики'!$F$211*'06_Сеть_и_дети'!M5</f>
        <v/>
      </c>
      <c r="N377">
        <f>SUMPRODUCT('19_Расчет_аналитики'!N420:N431,CapacityYear2)*'19_Расчет_аналитики'!$F$211*'06_Сеть_и_дети'!N5</f>
        <v/>
      </c>
      <c r="O377">
        <f>SUMPRODUCT('19_Расчет_аналитики'!O420:O431,CapacityYear2)*'19_Расчет_аналитики'!$F$211*'06_Сеть_и_дети'!O5</f>
        <v/>
      </c>
      <c r="P377">
        <f>SUMPRODUCT('19_Расчет_аналитики'!P420:P431,CapacityYear2)*'19_Расчет_аналитики'!$F$211*'06_Сеть_и_дети'!P5</f>
        <v/>
      </c>
      <c r="Q377">
        <f>SUMPRODUCT('19_Расчет_аналитики'!Q420:Q431,CapacityYear2)*'19_Расчет_аналитики'!$F$211*'06_Сеть_и_дети'!Q5</f>
        <v/>
      </c>
      <c r="R377">
        <f>SUMPRODUCT('19_Расчет_аналитики'!R420:R431,CapacityYear2)*'19_Расчет_аналитики'!$F$211*'06_Сеть_и_дети'!R5</f>
        <v/>
      </c>
      <c r="S377">
        <f>SUMPRODUCT('19_Расчет_аналитики'!S420:S431,CapacityYear2)*'19_Расчет_аналитики'!$F$211*'06_Сеть_и_дети'!S5</f>
        <v/>
      </c>
      <c r="T377">
        <f>SUMPRODUCT('19_Расчет_аналитики'!T420:T431,CapacityYear2)*'19_Расчет_аналитики'!$F$211*'06_Сеть_и_дети'!T5</f>
        <v/>
      </c>
      <c r="U377">
        <f>SUMPRODUCT('19_Расчет_аналитики'!U420:U431,CapacityYear2)*'19_Расчет_аналитики'!$F$211*'06_Сеть_и_дети'!U5</f>
        <v/>
      </c>
      <c r="V377">
        <f>SUMPRODUCT('19_Расчет_аналитики'!V420:V431,CapacityYear2)*'19_Расчет_аналитики'!$F$211*'06_Сеть_и_дети'!V5</f>
        <v/>
      </c>
      <c r="W377">
        <f>SUMPRODUCT('19_Расчет_аналитики'!W420:W431,CapacityYear2)*'19_Расчет_аналитики'!$F$211*'06_Сеть_и_дети'!W5</f>
        <v/>
      </c>
      <c r="X377">
        <f>SUMPRODUCT('19_Расчет_аналитики'!X420:X431,CapacityYear2)*'19_Расчет_аналитики'!$F$211*'06_Сеть_и_дети'!X5</f>
        <v/>
      </c>
      <c r="Y377">
        <f>SUMPRODUCT('19_Расчет_аналитики'!Y420:Y431,CapacityYear2)*'19_Расчет_аналитики'!$F$211*'06_Сеть_и_дети'!Y5</f>
        <v/>
      </c>
      <c r="Z377">
        <f>SUMPRODUCT('19_Расчет_аналитики'!Z420:Z431,CapacityYear2)*'19_Расчет_аналитики'!$F$211*'06_Сеть_и_дети'!Z5</f>
        <v/>
      </c>
      <c r="AA377">
        <f>SUMPRODUCT('19_Расчет_аналитики'!AA420:AA431,CapacityYear2)*'19_Расчет_аналитики'!$F$211*'06_Сеть_и_дети'!AA5</f>
        <v/>
      </c>
      <c r="AB377">
        <f>SUMPRODUCT('19_Расчет_аналитики'!AB420:AB431,CapacityYear2)*'19_Расчет_аналитики'!$F$211*'06_Сеть_и_дети'!AB5</f>
        <v/>
      </c>
      <c r="AC377">
        <f>SUMPRODUCT('19_Расчет_аналитики'!AC420:AC431,CapacityYear2)*'19_Расчет_аналитики'!$F$211*'06_Сеть_и_дети'!AC5</f>
        <v/>
      </c>
      <c r="AD377">
        <f>SUMPRODUCT('19_Расчет_аналитики'!AD420:AD431,CapacityYear2)*'19_Расчет_аналитики'!$F$211*'06_Сеть_и_дети'!AD5</f>
        <v/>
      </c>
      <c r="AE377">
        <f>SUMPRODUCT('19_Расчет_аналитики'!AE420:AE431,CapacityYear2)*'19_Расчет_аналитики'!$F$211*'06_Сеть_и_дети'!AE5</f>
        <v/>
      </c>
      <c r="AF377">
        <f>SUMPRODUCT('19_Расчет_аналитики'!AF420:AF431,CapacityYear2)*'19_Расчет_аналитики'!$F$211*'06_Сеть_и_дети'!AF5</f>
        <v/>
      </c>
      <c r="AG377">
        <f>SUMPRODUCT('19_Расчет_аналитики'!AG420:AG431,CapacityYear2)*'19_Расчет_аналитики'!$F$211*'06_Сеть_и_дети'!AG5</f>
        <v/>
      </c>
      <c r="AH377">
        <f>SUMPRODUCT('19_Расчет_аналитики'!AH420:AH431,CapacityYear2)*'19_Расчет_аналитики'!$F$211*'06_Сеть_и_дети'!AH5</f>
        <v/>
      </c>
      <c r="AI377">
        <f>SUMPRODUCT('19_Расчет_аналитики'!AI420:AI431,CapacityYear2)*'19_Расчет_аналитики'!$F$211*'06_Сеть_и_дети'!AI5</f>
        <v/>
      </c>
      <c r="AJ377">
        <f>SUMPRODUCT('19_Расчет_аналитики'!AJ420:AJ431,CapacityYear2)*'19_Расчет_аналитики'!$F$211*'06_Сеть_и_дети'!AJ5</f>
        <v/>
      </c>
      <c r="AK377">
        <f>SUMPRODUCT('19_Расчет_аналитики'!AK420:AK431,CapacityYear2)*'19_Расчет_аналитики'!$F$211*'06_Сеть_и_дети'!AK5</f>
        <v/>
      </c>
      <c r="AL377">
        <f>SUMPRODUCT('19_Расчет_аналитики'!AL420:AL431,CapacityYear2)*'19_Расчет_аналитики'!$F$211*'06_Сеть_и_дети'!AL5</f>
        <v/>
      </c>
      <c r="AM377">
        <f>SUMPRODUCT('19_Расчет_аналитики'!AM420:AM431,CapacityYear2)*'19_Расчет_аналитики'!$F$211*'06_Сеть_и_дети'!AM5</f>
        <v/>
      </c>
      <c r="AN377">
        <f>SUMPRODUCT('19_Расчет_аналитики'!AN420:AN431,CapacityYear2)*'19_Расчет_аналитики'!$F$211*'06_Сеть_и_дети'!AN5</f>
        <v/>
      </c>
      <c r="AO377">
        <f>SUMPRODUCT('19_Расчет_аналитики'!AO420:AO431,CapacityYear2)*'19_Расчет_аналитики'!$F$211*'06_Сеть_и_дети'!AO5</f>
        <v/>
      </c>
      <c r="AP377">
        <f>SUMPRODUCT('19_Расчет_аналитики'!AP420:AP431,CapacityYear2)*'19_Расчет_аналитики'!$F$211*'06_Сеть_и_дети'!AP5</f>
        <v/>
      </c>
      <c r="AQ377">
        <f>SUMPRODUCT('19_Расчет_аналитики'!AQ420:AQ431,CapacityYear2)*'19_Расчет_аналитики'!$F$211*'06_Сеть_и_дети'!AQ5</f>
        <v/>
      </c>
      <c r="AR377">
        <f>SUMPRODUCT('19_Расчет_аналитики'!AR420:AR431,CapacityYear2)*'19_Расчет_аналитики'!$F$211*'06_Сеть_и_дети'!AR5</f>
        <v/>
      </c>
      <c r="AS377">
        <f>SUMPRODUCT('19_Расчет_аналитики'!AS420:AS431,CapacityYear2)*'19_Расчет_аналитики'!$F$211*'06_Сеть_и_дети'!AS5</f>
        <v/>
      </c>
      <c r="AT377">
        <f>SUMPRODUCT('19_Расчет_аналитики'!AT420:AT431,CapacityYear2)*'19_Расчет_аналитики'!$F$211*'06_Сеть_и_дети'!AT5</f>
        <v/>
      </c>
      <c r="AU377">
        <f>SUMPRODUCT('19_Расчет_аналитики'!AU420:AU431,CapacityYear2)*'19_Расчет_аналитики'!$F$211*'06_Сеть_и_дети'!AU5</f>
        <v/>
      </c>
      <c r="AV377">
        <f>SUMPRODUCT('19_Расчет_аналитики'!AV420:AV431,CapacityYear2)*'19_Расчет_аналитики'!$F$211*'06_Сеть_и_дети'!AV5</f>
        <v/>
      </c>
      <c r="AW377">
        <f>SUMPRODUCT('19_Расчет_аналитики'!AW420:AW431,CapacityYear2)*'19_Расчет_аналитики'!$F$211*'06_Сеть_и_дети'!AW5</f>
        <v/>
      </c>
      <c r="AX377">
        <f>SUMPRODUCT('19_Расчет_аналитики'!AX420:AX431,CapacityYear2)*'19_Расчет_аналитики'!$F$211*'06_Сеть_и_дети'!AX5</f>
        <v/>
      </c>
      <c r="AY377">
        <f>SUMPRODUCT('19_Расчет_аналитики'!AY420:AY431,CapacityYear2)*'19_Расчет_аналитики'!$F$211*'06_Сеть_и_дети'!AY5</f>
        <v/>
      </c>
      <c r="AZ377">
        <f>SUMPRODUCT('19_Расчет_аналитики'!AZ420:AZ431,CapacityYear2)*'19_Расчет_аналитики'!$F$211*'06_Сеть_и_дети'!AZ5</f>
        <v/>
      </c>
      <c r="BA377">
        <f>SUMPRODUCT('19_Расчет_аналитики'!BA420:BA431,CapacityYear2)*'19_Расчет_аналитики'!$F$211*'06_Сеть_и_дети'!BA5</f>
        <v/>
      </c>
      <c r="BB377">
        <f>SUMPRODUCT('19_Расчет_аналитики'!BB420:BB431,CapacityYear2)*'19_Расчет_аналитики'!$F$211*'06_Сеть_и_дети'!BB5</f>
        <v/>
      </c>
      <c r="BC377">
        <f>SUMPRODUCT('19_Расчет_аналитики'!BC420:BC431,CapacityYear2)*'19_Расчет_аналитики'!$F$211*'06_Сеть_и_дети'!BC5</f>
        <v/>
      </c>
      <c r="BD377">
        <f>SUMPRODUCT('19_Расчет_аналитики'!BD420:BD431,CapacityYear2)*'19_Расчет_аналитики'!$F$211*'06_Сеть_и_дети'!BD5</f>
        <v/>
      </c>
      <c r="BE377">
        <f>SUMPRODUCT('19_Расчет_аналитики'!BE420:BE431,CapacityYear2)*'19_Расчет_аналитики'!$F$211*'06_Сеть_и_дети'!BE5</f>
        <v/>
      </c>
      <c r="BF377">
        <f>SUMPRODUCT('19_Расчет_аналитики'!BF420:BF431,CapacityYear2)*'19_Расчет_аналитики'!$F$211*'06_Сеть_и_дети'!BF5</f>
        <v/>
      </c>
      <c r="BG377">
        <f>SUMPRODUCT('19_Расчет_аналитики'!BG420:BG431,CapacityYear2)*'19_Расчет_аналитики'!$F$211*'06_Сеть_и_дети'!BG5</f>
        <v/>
      </c>
      <c r="BH377">
        <f>SUMPRODUCT('19_Расчет_аналитики'!BH420:BH431,CapacityYear2)*'19_Расчет_аналитики'!$F$211*'06_Сеть_и_дети'!BH5</f>
        <v/>
      </c>
      <c r="BI377">
        <f>SUMPRODUCT('19_Расчет_аналитики'!BI420:BI431,CapacityYear2)*'19_Расчет_аналитики'!$F$211*'06_Сеть_и_дети'!BI5</f>
        <v/>
      </c>
      <c r="BJ377">
        <f>SUMPRODUCT('19_Расчет_аналитики'!BJ420:BJ431,CapacityYear2)*'19_Расчет_аналитики'!$F$211*'06_Сеть_и_дети'!BJ5</f>
        <v/>
      </c>
      <c r="BK377">
        <f>SUMPRODUCT('19_Расчет_аналитики'!BK420:BK431,CapacityYear2)*'19_Расчет_аналитики'!$F$211*'06_Сеть_и_дети'!BK5</f>
        <v/>
      </c>
      <c r="BL377">
        <f>SUMPRODUCT('19_Расчет_аналитики'!BL420:BL431,CapacityYear2)*'19_Расчет_аналитики'!$F$211*'06_Сеть_и_дети'!BL5</f>
        <v/>
      </c>
      <c r="BM377">
        <f>SUMPRODUCT('19_Расчет_аналитики'!BM420:BM431,CapacityYear2)*'19_Расчет_аналитики'!$F$211*'06_Сеть_и_дети'!BM5</f>
        <v/>
      </c>
      <c r="BN377">
        <f>SUMPRODUCT('19_Расчет_аналитики'!BN420:BN431,CapacityYear2)*'19_Расчет_аналитики'!$F$211*'06_Сеть_и_дети'!BN5</f>
        <v/>
      </c>
      <c r="BO377">
        <f>SUMPRODUCT('19_Расчет_аналитики'!BO420:BO431,CapacityYear2)*'19_Расчет_аналитики'!$F$211*'06_Сеть_и_дети'!BO5</f>
        <v/>
      </c>
    </row>
    <row r="378">
      <c r="B378">
        <f>'06_Сеть_и_дети'!B77*CapacityAge25*'19_Расчет_аналитики'!$F$211*'06_Сеть_и_дети'!B5</f>
        <v/>
      </c>
      <c r="C378">
        <f>'06_Сеть_и_дети'!C77*CapacityAge25*'19_Расчет_аналитики'!$F$211*'06_Сеть_и_дети'!C5</f>
        <v/>
      </c>
      <c r="D378">
        <f>'06_Сеть_и_дети'!D77*CapacityAge25*'19_Расчет_аналитики'!$F$211*'06_Сеть_и_дети'!D5</f>
        <v/>
      </c>
      <c r="E378">
        <f>'06_Сеть_и_дети'!E77*CapacityAge25*'19_Расчет_аналитики'!$F$211*'06_Сеть_и_дети'!E5</f>
        <v/>
      </c>
      <c r="F378">
        <f>'06_Сеть_и_дети'!F77*CapacityAge25*'19_Расчет_аналитики'!$F$211*'06_Сеть_и_дети'!F5</f>
        <v/>
      </c>
      <c r="G378">
        <f>'06_Сеть_и_дети'!G77*CapacityAge25*'19_Расчет_аналитики'!$F$211*'06_Сеть_и_дети'!G5</f>
        <v/>
      </c>
      <c r="H378">
        <f>'06_Сеть_и_дети'!H77*CapacityAge25*'19_Расчет_аналитики'!$F$211*'06_Сеть_и_дети'!H5</f>
        <v/>
      </c>
      <c r="I378">
        <f>'06_Сеть_и_дети'!I77*CapacityAge25*'19_Расчет_аналитики'!$F$211*'06_Сеть_и_дети'!I5</f>
        <v/>
      </c>
      <c r="J378">
        <f>'06_Сеть_и_дети'!J77*CapacityAge25*'19_Расчет_аналитики'!$F$211*'06_Сеть_и_дети'!J5</f>
        <v/>
      </c>
      <c r="K378">
        <f>'06_Сеть_и_дети'!K77*CapacityAge25*'19_Расчет_аналитики'!$F$211*'06_Сеть_и_дети'!K5</f>
        <v/>
      </c>
      <c r="L378">
        <f>'06_Сеть_и_дети'!L77*CapacityAge25*'19_Расчет_аналитики'!$F$211*'06_Сеть_и_дети'!L5</f>
        <v/>
      </c>
      <c r="M378">
        <f>'06_Сеть_и_дети'!M77*CapacityAge25*'19_Расчет_аналитики'!$F$211*'06_Сеть_и_дети'!M5</f>
        <v/>
      </c>
      <c r="N378">
        <f>'06_Сеть_и_дети'!N77*CapacityAge25*'19_Расчет_аналитики'!$F$211*'06_Сеть_и_дети'!N5</f>
        <v/>
      </c>
      <c r="O378">
        <f>'06_Сеть_и_дети'!O77*CapacityAge25*'19_Расчет_аналитики'!$F$211*'06_Сеть_и_дети'!O5</f>
        <v/>
      </c>
      <c r="P378">
        <f>'06_Сеть_и_дети'!P77*CapacityAge25*'19_Расчет_аналитики'!$F$211*'06_Сеть_и_дети'!P5</f>
        <v/>
      </c>
      <c r="Q378">
        <f>'06_Сеть_и_дети'!Q77*CapacityAge25*'19_Расчет_аналитики'!$F$211*'06_Сеть_и_дети'!Q5</f>
        <v/>
      </c>
      <c r="R378">
        <f>'06_Сеть_и_дети'!R77*CapacityAge25*'19_Расчет_аналитики'!$F$211*'06_Сеть_и_дети'!R5</f>
        <v/>
      </c>
      <c r="S378">
        <f>'06_Сеть_и_дети'!S77*CapacityAge25*'19_Расчет_аналитики'!$F$211*'06_Сеть_и_дети'!S5</f>
        <v/>
      </c>
      <c r="T378">
        <f>'06_Сеть_и_дети'!T77*CapacityAge25*'19_Расчет_аналитики'!$F$211*'06_Сеть_и_дети'!T5</f>
        <v/>
      </c>
      <c r="U378">
        <f>'06_Сеть_и_дети'!U77*CapacityAge25*'19_Расчет_аналитики'!$F$211*'06_Сеть_и_дети'!U5</f>
        <v/>
      </c>
      <c r="V378">
        <f>'06_Сеть_и_дети'!V77*CapacityAge25*'19_Расчет_аналитики'!$F$211*'06_Сеть_и_дети'!V5</f>
        <v/>
      </c>
      <c r="W378">
        <f>'06_Сеть_и_дети'!W77*CapacityAge25*'19_Расчет_аналитики'!$F$211*'06_Сеть_и_дети'!W5</f>
        <v/>
      </c>
      <c r="X378">
        <f>'06_Сеть_и_дети'!X77*CapacityAge25*'19_Расчет_аналитики'!$F$211*'06_Сеть_и_дети'!X5</f>
        <v/>
      </c>
      <c r="Y378">
        <f>'06_Сеть_и_дети'!Y77*CapacityAge25*'19_Расчет_аналитики'!$F$211*'06_Сеть_и_дети'!Y5</f>
        <v/>
      </c>
      <c r="Z378">
        <f>'19_Расчет_аналитики'!Z432*CapacityAge25*'19_Расчет_аналитики'!$F$211*'06_Сеть_и_дети'!Z5</f>
        <v/>
      </c>
      <c r="AA378">
        <f>'19_Расчет_аналитики'!AA432*CapacityAge25*'19_Расчет_аналитики'!$F$211*'06_Сеть_и_дети'!AA5</f>
        <v/>
      </c>
      <c r="AB378">
        <f>'19_Расчет_аналитики'!AB432*CapacityAge25*'19_Расчет_аналитики'!$F$211*'06_Сеть_и_дети'!AB5</f>
        <v/>
      </c>
      <c r="AC378">
        <f>'19_Расчет_аналитики'!AC432*CapacityAge25*'19_Расчет_аналитики'!$F$211*'06_Сеть_и_дети'!AC5</f>
        <v/>
      </c>
      <c r="AD378">
        <f>'19_Расчет_аналитики'!AD432*CapacityAge25*'19_Расчет_аналитики'!$F$211*'06_Сеть_и_дети'!AD5</f>
        <v/>
      </c>
      <c r="AE378">
        <f>'19_Расчет_аналитики'!AE432*CapacityAge25*'19_Расчет_аналитики'!$F$211*'06_Сеть_и_дети'!AE5</f>
        <v/>
      </c>
      <c r="AF378">
        <f>'19_Расчет_аналитики'!AF432*CapacityAge25*'19_Расчет_аналитики'!$F$211*'06_Сеть_и_дети'!AF5</f>
        <v/>
      </c>
      <c r="AG378">
        <f>'19_Расчет_аналитики'!AG432*CapacityAge25*'19_Расчет_аналитики'!$F$211*'06_Сеть_и_дети'!AG5</f>
        <v/>
      </c>
      <c r="AH378">
        <f>'19_Расчет_аналитики'!AH432*CapacityAge25*'19_Расчет_аналитики'!$F$211*'06_Сеть_и_дети'!AH5</f>
        <v/>
      </c>
      <c r="AI378">
        <f>'19_Расчет_аналитики'!AI432*CapacityAge25*'19_Расчет_аналитики'!$F$211*'06_Сеть_и_дети'!AI5</f>
        <v/>
      </c>
      <c r="AJ378">
        <f>'19_Расчет_аналитики'!AJ432*CapacityAge25*'19_Расчет_аналитики'!$F$211*'06_Сеть_и_дети'!AJ5</f>
        <v/>
      </c>
      <c r="AK378">
        <f>'19_Расчет_аналитики'!AK432*CapacityAge25*'19_Расчет_аналитики'!$F$211*'06_Сеть_и_дети'!AK5</f>
        <v/>
      </c>
      <c r="AL378">
        <f>'19_Расчет_аналитики'!AL432*CapacityAge25*'19_Расчет_аналитики'!$F$211*'06_Сеть_и_дети'!AL5</f>
        <v/>
      </c>
      <c r="AM378">
        <f>'19_Расчет_аналитики'!AM432*CapacityAge25*'19_Расчет_аналитики'!$F$211*'06_Сеть_и_дети'!AM5</f>
        <v/>
      </c>
      <c r="AN378">
        <f>'19_Расчет_аналитики'!AN432*CapacityAge25*'19_Расчет_аналитики'!$F$211*'06_Сеть_и_дети'!AN5</f>
        <v/>
      </c>
      <c r="AO378">
        <f>'19_Расчет_аналитики'!AO432*CapacityAge25*'19_Расчет_аналитики'!$F$211*'06_Сеть_и_дети'!AO5</f>
        <v/>
      </c>
      <c r="AP378">
        <f>'19_Расчет_аналитики'!AP432*CapacityAge25*'19_Расчет_аналитики'!$F$211*'06_Сеть_и_дети'!AP5</f>
        <v/>
      </c>
      <c r="AQ378">
        <f>'19_Расчет_аналитики'!AQ432*CapacityAge25*'19_Расчет_аналитики'!$F$211*'06_Сеть_и_дети'!AQ5</f>
        <v/>
      </c>
      <c r="AR378">
        <f>'19_Расчет_аналитики'!AR432*CapacityAge25*'19_Расчет_аналитики'!$F$211*'06_Сеть_и_дети'!AR5</f>
        <v/>
      </c>
      <c r="AS378">
        <f>'19_Расчет_аналитики'!AS432*CapacityAge25*'19_Расчет_аналитики'!$F$211*'06_Сеть_и_дети'!AS5</f>
        <v/>
      </c>
      <c r="AT378">
        <f>'19_Расчет_аналитики'!AT432*CapacityAge25*'19_Расчет_аналитики'!$F$211*'06_Сеть_и_дети'!AT5</f>
        <v/>
      </c>
      <c r="AU378">
        <f>'19_Расчет_аналитики'!AU432*CapacityAge25*'19_Расчет_аналитики'!$F$211*'06_Сеть_и_дети'!AU5</f>
        <v/>
      </c>
      <c r="AV378">
        <f>'19_Расчет_аналитики'!AV432*CapacityAge25*'19_Расчет_аналитики'!$F$211*'06_Сеть_и_дети'!AV5</f>
        <v/>
      </c>
      <c r="AW378">
        <f>'19_Расчет_аналитики'!AW432*CapacityAge25*'19_Расчет_аналитики'!$F$211*'06_Сеть_и_дети'!AW5</f>
        <v/>
      </c>
      <c r="AX378">
        <f>'19_Расчет_аналитики'!AX432*CapacityAge25*'19_Расчет_аналитики'!$F$211*'06_Сеть_и_дети'!AX5</f>
        <v/>
      </c>
      <c r="AY378">
        <f>'19_Расчет_аналитики'!AY432*CapacityAge25*'19_Расчет_аналитики'!$F$211*'06_Сеть_и_дети'!AY5</f>
        <v/>
      </c>
      <c r="AZ378">
        <f>'19_Расчет_аналитики'!AZ432*CapacityAge25*'19_Расчет_аналитики'!$F$211*'06_Сеть_и_дети'!AZ5</f>
        <v/>
      </c>
      <c r="BA378">
        <f>'19_Расчет_аналитики'!BA432*CapacityAge25*'19_Расчет_аналитики'!$F$211*'06_Сеть_и_дети'!BA5</f>
        <v/>
      </c>
      <c r="BB378">
        <f>'19_Расчет_аналитики'!BB432*CapacityAge25*'19_Расчет_аналитики'!$F$211*'06_Сеть_и_дети'!BB5</f>
        <v/>
      </c>
      <c r="BC378">
        <f>'19_Расчет_аналитики'!BC432*CapacityAge25*'19_Расчет_аналитики'!$F$211*'06_Сеть_и_дети'!BC5</f>
        <v/>
      </c>
      <c r="BD378">
        <f>'19_Расчет_аналитики'!BD432*CapacityAge25*'19_Расчет_аналитики'!$F$211*'06_Сеть_и_дети'!BD5</f>
        <v/>
      </c>
      <c r="BE378">
        <f>'19_Расчет_аналитики'!BE432*CapacityAge25*'19_Расчет_аналитики'!$F$211*'06_Сеть_и_дети'!BE5</f>
        <v/>
      </c>
      <c r="BF378">
        <f>'19_Расчет_аналитики'!BF432*CapacityAge25*'19_Расчет_аналитики'!$F$211*'06_Сеть_и_дети'!BF5</f>
        <v/>
      </c>
      <c r="BG378">
        <f>'19_Расчет_аналитики'!BG432*CapacityAge25*'19_Расчет_аналитики'!$F$211*'06_Сеть_и_дети'!BG5</f>
        <v/>
      </c>
      <c r="BH378">
        <f>'19_Расчет_аналитики'!BH432*CapacityAge25*'19_Расчет_аналитики'!$F$211*'06_Сеть_и_дети'!BH5</f>
        <v/>
      </c>
      <c r="BI378">
        <f>'19_Расчет_аналитики'!BI432*CapacityAge25*'19_Расчет_аналитики'!$F$211*'06_Сеть_и_дети'!BI5</f>
        <v/>
      </c>
      <c r="BJ378">
        <f>'19_Расчет_аналитики'!BJ432*CapacityAge25*'19_Расчет_аналитики'!$F$211*'06_Сеть_и_дети'!BJ5</f>
        <v/>
      </c>
      <c r="BK378">
        <f>'19_Расчет_аналитики'!BK432*CapacityAge25*'19_Расчет_аналитики'!$F$211*'06_Сеть_и_дети'!BK5</f>
        <v/>
      </c>
      <c r="BL378">
        <f>'19_Расчет_аналитики'!BL432*CapacityAge25*'19_Расчет_аналитики'!$F$211*'06_Сеть_и_дети'!BL5</f>
        <v/>
      </c>
      <c r="BM378">
        <f>'19_Расчет_аналитики'!BM432*CapacityAge25*'19_Расчет_аналитики'!$F$211*'06_Сеть_и_дети'!BM5</f>
        <v/>
      </c>
      <c r="BN378">
        <f>'19_Расчет_аналитики'!BN432*CapacityAge25*'19_Расчет_аналитики'!$F$211*'06_Сеть_и_дети'!BN5</f>
        <v/>
      </c>
      <c r="BO378">
        <f>'19_Расчет_аналитики'!BO432*CapacityAge25*'19_Расчет_аналитики'!$F$211*'06_Сеть_и_дети'!BO5</f>
        <v/>
      </c>
    </row>
    <row r="379">
      <c r="B379">
        <f>SUM('19_Расчет_аналитики'!B376:B378)</f>
        <v/>
      </c>
      <c r="C379">
        <f>SUM('19_Расчет_аналитики'!C376:C378)</f>
        <v/>
      </c>
      <c r="D379">
        <f>SUM('19_Расчет_аналитики'!D376:D378)</f>
        <v/>
      </c>
      <c r="E379">
        <f>SUM('19_Расчет_аналитики'!E376:E378)</f>
        <v/>
      </c>
      <c r="F379">
        <f>SUM('19_Расчет_аналитики'!F376:F378)</f>
        <v/>
      </c>
      <c r="G379">
        <f>SUM('19_Расчет_аналитики'!G376:G378)</f>
        <v/>
      </c>
      <c r="H379">
        <f>SUM('19_Расчет_аналитики'!H376:H378)</f>
        <v/>
      </c>
      <c r="I379">
        <f>SUM('19_Расчет_аналитики'!I376:I378)</f>
        <v/>
      </c>
      <c r="J379">
        <f>SUM('19_Расчет_аналитики'!J376:J378)</f>
        <v/>
      </c>
      <c r="K379">
        <f>SUM('19_Расчет_аналитики'!K376:K378)</f>
        <v/>
      </c>
      <c r="L379">
        <f>SUM('19_Расчет_аналитики'!L376:L378)</f>
        <v/>
      </c>
      <c r="M379">
        <f>SUM('19_Расчет_аналитики'!M376:M378)</f>
        <v/>
      </c>
      <c r="N379">
        <f>SUM('19_Расчет_аналитики'!N376:N378)</f>
        <v/>
      </c>
      <c r="O379">
        <f>SUM('19_Расчет_аналитики'!O376:O378)</f>
        <v/>
      </c>
      <c r="P379">
        <f>SUM('19_Расчет_аналитики'!P376:P378)</f>
        <v/>
      </c>
      <c r="Q379">
        <f>SUM('19_Расчет_аналитики'!Q376:Q378)</f>
        <v/>
      </c>
      <c r="R379">
        <f>SUM('19_Расчет_аналитики'!R376:R378)</f>
        <v/>
      </c>
      <c r="S379">
        <f>SUM('19_Расчет_аналитики'!S376:S378)</f>
        <v/>
      </c>
      <c r="T379">
        <f>SUM('19_Расчет_аналитики'!T376:T378)</f>
        <v/>
      </c>
      <c r="U379">
        <f>SUM('19_Расчет_аналитики'!U376:U378)</f>
        <v/>
      </c>
      <c r="V379">
        <f>SUM('19_Расчет_аналитики'!V376:V378)</f>
        <v/>
      </c>
      <c r="W379">
        <f>SUM('19_Расчет_аналитики'!W376:W378)</f>
        <v/>
      </c>
      <c r="X379">
        <f>SUM('19_Расчет_аналитики'!X376:X378)</f>
        <v/>
      </c>
      <c r="Y379">
        <f>SUM('19_Расчет_аналитики'!Y376:Y378)</f>
        <v/>
      </c>
      <c r="Z379">
        <f>SUM('19_Расчет_аналитики'!Z376:Z378)</f>
        <v/>
      </c>
      <c r="AA379">
        <f>SUM('19_Расчет_аналитики'!AA376:AA378)</f>
        <v/>
      </c>
      <c r="AB379">
        <f>SUM('19_Расчет_аналитики'!AB376:AB378)</f>
        <v/>
      </c>
      <c r="AC379">
        <f>SUM('19_Расчет_аналитики'!AC376:AC378)</f>
        <v/>
      </c>
      <c r="AD379">
        <f>SUM('19_Расчет_аналитики'!AD376:AD378)</f>
        <v/>
      </c>
      <c r="AE379">
        <f>SUM('19_Расчет_аналитики'!AE376:AE378)</f>
        <v/>
      </c>
      <c r="AF379">
        <f>SUM('19_Расчет_аналитики'!AF376:AF378)</f>
        <v/>
      </c>
      <c r="AG379">
        <f>SUM('19_Расчет_аналитики'!AG376:AG378)</f>
        <v/>
      </c>
      <c r="AH379">
        <f>SUM('19_Расчет_аналитики'!AH376:AH378)</f>
        <v/>
      </c>
      <c r="AI379">
        <f>SUM('19_Расчет_аналитики'!AI376:AI378)</f>
        <v/>
      </c>
      <c r="AJ379">
        <f>SUM('19_Расчет_аналитики'!AJ376:AJ378)</f>
        <v/>
      </c>
      <c r="AK379">
        <f>SUM('19_Расчет_аналитики'!AK376:AK378)</f>
        <v/>
      </c>
      <c r="AL379">
        <f>SUM('19_Расчет_аналитики'!AL376:AL378)</f>
        <v/>
      </c>
      <c r="AM379">
        <f>SUM('19_Расчет_аналитики'!AM376:AM378)</f>
        <v/>
      </c>
      <c r="AN379">
        <f>SUM('19_Расчет_аналитики'!AN376:AN378)</f>
        <v/>
      </c>
      <c r="AO379">
        <f>SUM('19_Расчет_аналитики'!AO376:AO378)</f>
        <v/>
      </c>
      <c r="AP379">
        <f>SUM('19_Расчет_аналитики'!AP376:AP378)</f>
        <v/>
      </c>
      <c r="AQ379">
        <f>SUM('19_Расчет_аналитики'!AQ376:AQ378)</f>
        <v/>
      </c>
      <c r="AR379">
        <f>SUM('19_Расчет_аналитики'!AR376:AR378)</f>
        <v/>
      </c>
      <c r="AS379">
        <f>SUM('19_Расчет_аналитики'!AS376:AS378)</f>
        <v/>
      </c>
      <c r="AT379">
        <f>SUM('19_Расчет_аналитики'!AT376:AT378)</f>
        <v/>
      </c>
      <c r="AU379">
        <f>SUM('19_Расчет_аналитики'!AU376:AU378)</f>
        <v/>
      </c>
      <c r="AV379">
        <f>SUM('19_Расчет_аналитики'!AV376:AV378)</f>
        <v/>
      </c>
      <c r="AW379">
        <f>SUM('19_Расчет_аналитики'!AW376:AW378)</f>
        <v/>
      </c>
      <c r="AX379">
        <f>SUM('19_Расчет_аналитики'!AX376:AX378)</f>
        <v/>
      </c>
      <c r="AY379">
        <f>SUM('19_Расчет_аналитики'!AY376:AY378)</f>
        <v/>
      </c>
      <c r="AZ379">
        <f>SUM('19_Расчет_аналитики'!AZ376:AZ378)</f>
        <v/>
      </c>
      <c r="BA379">
        <f>SUM('19_Расчет_аналитики'!BA376:BA378)</f>
        <v/>
      </c>
      <c r="BB379">
        <f>SUM('19_Расчет_аналитики'!BB376:BB378)</f>
        <v/>
      </c>
      <c r="BC379">
        <f>SUM('19_Расчет_аналитики'!BC376:BC378)</f>
        <v/>
      </c>
      <c r="BD379">
        <f>SUM('19_Расчет_аналитики'!BD376:BD378)</f>
        <v/>
      </c>
      <c r="BE379">
        <f>SUM('19_Расчет_аналитики'!BE376:BE378)</f>
        <v/>
      </c>
      <c r="BF379">
        <f>SUM('19_Расчет_аналитики'!BF376:BF378)</f>
        <v/>
      </c>
      <c r="BG379">
        <f>SUM('19_Расчет_аналитики'!BG376:BG378)</f>
        <v/>
      </c>
      <c r="BH379">
        <f>SUM('19_Расчет_аналитики'!BH376:BH378)</f>
        <v/>
      </c>
      <c r="BI379">
        <f>SUM('19_Расчет_аналитики'!BI376:BI378)</f>
        <v/>
      </c>
      <c r="BJ379">
        <f>SUM('19_Расчет_аналитики'!BJ376:BJ378)</f>
        <v/>
      </c>
      <c r="BK379">
        <f>SUM('19_Расчет_аналитики'!BK376:BK378)</f>
        <v/>
      </c>
      <c r="BL379">
        <f>SUM('19_Расчет_аналитики'!BL376:BL378)</f>
        <v/>
      </c>
      <c r="BM379">
        <f>SUM('19_Расчет_аналитики'!BM376:BM378)</f>
        <v/>
      </c>
      <c r="BN379">
        <f>SUM('19_Расчет_аналитики'!BN376:BN378)</f>
        <v/>
      </c>
      <c r="BO379">
        <f>SUM('19_Расчет_аналитики'!BO376:BO378)</f>
        <v/>
      </c>
    </row>
    <row r="380">
      <c r="B380">
        <f>'06_Сеть_и_дети'!B20+'19_Расчет_аналитики'!B379</f>
        <v/>
      </c>
      <c r="C380">
        <f>'06_Сеть_и_дети'!C20+'19_Расчет_аналитики'!C379</f>
        <v/>
      </c>
      <c r="D380">
        <f>'06_Сеть_и_дети'!D20+'19_Расчет_аналитики'!D379</f>
        <v/>
      </c>
      <c r="E380">
        <f>'06_Сеть_и_дети'!E20+'19_Расчет_аналитики'!E379</f>
        <v/>
      </c>
      <c r="F380">
        <f>'06_Сеть_и_дети'!F20+'19_Расчет_аналитики'!F379</f>
        <v/>
      </c>
      <c r="G380">
        <f>'06_Сеть_и_дети'!G20+'19_Расчет_аналитики'!G379</f>
        <v/>
      </c>
      <c r="H380">
        <f>'06_Сеть_и_дети'!H20+'19_Расчет_аналитики'!H379</f>
        <v/>
      </c>
      <c r="I380">
        <f>'06_Сеть_и_дети'!I20+'19_Расчет_аналитики'!I379</f>
        <v/>
      </c>
      <c r="J380">
        <f>'06_Сеть_и_дети'!J20+'19_Расчет_аналитики'!J379</f>
        <v/>
      </c>
      <c r="K380">
        <f>'06_Сеть_и_дети'!K20+'19_Расчет_аналитики'!K379</f>
        <v/>
      </c>
      <c r="L380">
        <f>'06_Сеть_и_дети'!L20+'19_Расчет_аналитики'!L379</f>
        <v/>
      </c>
      <c r="M380">
        <f>'06_Сеть_и_дети'!M20+'19_Расчет_аналитики'!M379</f>
        <v/>
      </c>
      <c r="N380">
        <f>'06_Сеть_и_дети'!N20+'19_Расчет_аналитики'!N379</f>
        <v/>
      </c>
      <c r="O380">
        <f>'06_Сеть_и_дети'!O20+'19_Расчет_аналитики'!O379</f>
        <v/>
      </c>
      <c r="P380">
        <f>'06_Сеть_и_дети'!P20+'19_Расчет_аналитики'!P379</f>
        <v/>
      </c>
      <c r="Q380">
        <f>'06_Сеть_и_дети'!Q20+'19_Расчет_аналитики'!Q379</f>
        <v/>
      </c>
      <c r="R380">
        <f>'06_Сеть_и_дети'!R20+'19_Расчет_аналитики'!R379</f>
        <v/>
      </c>
      <c r="S380">
        <f>'06_Сеть_и_дети'!S20+'19_Расчет_аналитики'!S379</f>
        <v/>
      </c>
      <c r="T380">
        <f>'06_Сеть_и_дети'!T20+'19_Расчет_аналитики'!T379</f>
        <v/>
      </c>
      <c r="U380">
        <f>'06_Сеть_и_дети'!U20+'19_Расчет_аналитики'!U379</f>
        <v/>
      </c>
      <c r="V380">
        <f>'06_Сеть_и_дети'!V20+'19_Расчет_аналитики'!V379</f>
        <v/>
      </c>
      <c r="W380">
        <f>'06_Сеть_и_дети'!W20+'19_Расчет_аналитики'!W379</f>
        <v/>
      </c>
      <c r="X380">
        <f>'06_Сеть_и_дети'!X20+'19_Расчет_аналитики'!X379</f>
        <v/>
      </c>
      <c r="Y380">
        <f>'06_Сеть_и_дети'!Y20+'19_Расчет_аналитики'!Y379</f>
        <v/>
      </c>
      <c r="Z380">
        <f>'06_Сеть_и_дети'!Z20+'19_Расчет_аналитики'!Z379</f>
        <v/>
      </c>
      <c r="AA380">
        <f>'06_Сеть_и_дети'!AA20+'19_Расчет_аналитики'!AA379</f>
        <v/>
      </c>
      <c r="AB380">
        <f>'06_Сеть_и_дети'!AB20+'19_Расчет_аналитики'!AB379</f>
        <v/>
      </c>
      <c r="AC380">
        <f>'06_Сеть_и_дети'!AC20+'19_Расчет_аналитики'!AC379</f>
        <v/>
      </c>
      <c r="AD380">
        <f>'06_Сеть_и_дети'!AD20+'19_Расчет_аналитики'!AD379</f>
        <v/>
      </c>
      <c r="AE380">
        <f>'06_Сеть_и_дети'!AE20+'19_Расчет_аналитики'!AE379</f>
        <v/>
      </c>
      <c r="AF380">
        <f>'06_Сеть_и_дети'!AF20+'19_Расчет_аналитики'!AF379</f>
        <v/>
      </c>
      <c r="AG380">
        <f>'06_Сеть_и_дети'!AG20+'19_Расчет_аналитики'!AG379</f>
        <v/>
      </c>
      <c r="AH380">
        <f>'06_Сеть_и_дети'!AH20+'19_Расчет_аналитики'!AH379</f>
        <v/>
      </c>
      <c r="AI380">
        <f>'06_Сеть_и_дети'!AI20+'19_Расчет_аналитики'!AI379</f>
        <v/>
      </c>
      <c r="AJ380">
        <f>'06_Сеть_и_дети'!AJ20+'19_Расчет_аналитики'!AJ379</f>
        <v/>
      </c>
      <c r="AK380">
        <f>'06_Сеть_и_дети'!AK20+'19_Расчет_аналитики'!AK379</f>
        <v/>
      </c>
      <c r="AL380">
        <f>'06_Сеть_и_дети'!AL20+'19_Расчет_аналитики'!AL379</f>
        <v/>
      </c>
      <c r="AM380">
        <f>'06_Сеть_и_дети'!AM20+'19_Расчет_аналитики'!AM379</f>
        <v/>
      </c>
      <c r="AN380">
        <f>'06_Сеть_и_дети'!AN20+'19_Расчет_аналитики'!AN379</f>
        <v/>
      </c>
      <c r="AO380">
        <f>'06_Сеть_и_дети'!AO20+'19_Расчет_аналитики'!AO379</f>
        <v/>
      </c>
      <c r="AP380">
        <f>'06_Сеть_и_дети'!AP20+'19_Расчет_аналитики'!AP379</f>
        <v/>
      </c>
      <c r="AQ380">
        <f>'06_Сеть_и_дети'!AQ20+'19_Расчет_аналитики'!AQ379</f>
        <v/>
      </c>
      <c r="AR380">
        <f>'06_Сеть_и_дети'!AR20+'19_Расчет_аналитики'!AR379</f>
        <v/>
      </c>
      <c r="AS380">
        <f>'06_Сеть_и_дети'!AS20+'19_Расчет_аналитики'!AS379</f>
        <v/>
      </c>
      <c r="AT380">
        <f>'06_Сеть_и_дети'!AT20+'19_Расчет_аналитики'!AT379</f>
        <v/>
      </c>
      <c r="AU380">
        <f>'06_Сеть_и_дети'!AU20+'19_Расчет_аналитики'!AU379</f>
        <v/>
      </c>
      <c r="AV380">
        <f>'06_Сеть_и_дети'!AV20+'19_Расчет_аналитики'!AV379</f>
        <v/>
      </c>
      <c r="AW380">
        <f>'06_Сеть_и_дети'!AW20+'19_Расчет_аналитики'!AW379</f>
        <v/>
      </c>
      <c r="AX380">
        <f>'06_Сеть_и_дети'!AX20+'19_Расчет_аналитики'!AX379</f>
        <v/>
      </c>
      <c r="AY380">
        <f>'06_Сеть_и_дети'!AY20+'19_Расчет_аналитики'!AY379</f>
        <v/>
      </c>
      <c r="AZ380">
        <f>'06_Сеть_и_дети'!AZ20+'19_Расчет_аналитики'!AZ379</f>
        <v/>
      </c>
      <c r="BA380">
        <f>'06_Сеть_и_дети'!BA20+'19_Расчет_аналитики'!BA379</f>
        <v/>
      </c>
      <c r="BB380">
        <f>'06_Сеть_и_дети'!BB20+'19_Расчет_аналитики'!BB379</f>
        <v/>
      </c>
      <c r="BC380">
        <f>'06_Сеть_и_дети'!BC20+'19_Расчет_аналитики'!BC379</f>
        <v/>
      </c>
      <c r="BD380">
        <f>'06_Сеть_и_дети'!BD20+'19_Расчет_аналитики'!BD379</f>
        <v/>
      </c>
      <c r="BE380">
        <f>'06_Сеть_и_дети'!BE20+'19_Расчет_аналитики'!BE379</f>
        <v/>
      </c>
      <c r="BF380">
        <f>'06_Сеть_и_дети'!BF20+'19_Расчет_аналитики'!BF379</f>
        <v/>
      </c>
      <c r="BG380">
        <f>'06_Сеть_и_дети'!BG20+'19_Расчет_аналитики'!BG379</f>
        <v/>
      </c>
      <c r="BH380">
        <f>'06_Сеть_и_дети'!BH20+'19_Расчет_аналитики'!BH379</f>
        <v/>
      </c>
      <c r="BI380">
        <f>'06_Сеть_и_дети'!BI20+'19_Расчет_аналитики'!BI379</f>
        <v/>
      </c>
      <c r="BJ380">
        <f>'06_Сеть_и_дети'!BJ20+'19_Расчет_аналитики'!BJ379</f>
        <v/>
      </c>
      <c r="BK380">
        <f>'06_Сеть_и_дети'!BK20+'19_Расчет_аналитики'!BK379</f>
        <v/>
      </c>
      <c r="BL380">
        <f>'06_Сеть_и_дети'!BL20+'19_Расчет_аналитики'!BL379</f>
        <v/>
      </c>
      <c r="BM380">
        <f>'06_Сеть_и_дети'!BM20+'19_Расчет_аналитики'!BM379</f>
        <v/>
      </c>
      <c r="BN380">
        <f>'06_Сеть_и_дети'!BN20+'19_Расчет_аналитики'!BN379</f>
        <v/>
      </c>
      <c r="BO380">
        <f>'06_Сеть_и_дети'!BO20+'19_Расчет_аналитики'!BO379</f>
        <v/>
      </c>
    </row>
    <row r="381"/>
    <row r="382"/>
    <row r="383">
      <c r="B383">
        <f>SUMPRODUCT(('01_Вводные'!$D$314:$D$318*'01_Вводные'!$B$314:$B$318*IF('01_Вводные'!$B$9=0,0,'06_Сеть_и_дети'!B11/'01_Вводные'!$B$9)+'06_Сеть_и_дети'!B20*'19_Расчет_аналитики'!B806*'01_Вводные'!$C$314:$C$318*('01_Вводные'!$E$314:$E$318*('06_Сеть_и_дети'!B$3&lt;'01_Вводные'!$B$245)+'01_Вводные'!$B$57*('06_Сеть_и_дети'!B$3&gt;='01_Вводные'!$B$245))+ABS('01_Вводные'!$D$314:$D$318*'01_Вводные'!$B$314:$B$318*IF('01_Вводные'!$B$9=0,0,'06_Сеть_и_дети'!B11/'01_Вводные'!$B$9)-'06_Сеть_и_дети'!B20*'19_Расчет_аналитики'!B806*'01_Вводные'!$C$314:$C$318*('01_Вводные'!$E$314:$E$318*('06_Сеть_и_дети'!B$3&lt;'01_Вводные'!$B$245)+'01_Вводные'!$B$57*('06_Сеть_и_дети'!B$3&gt;='01_Вводные'!$B$245))))/2)</f>
        <v/>
      </c>
      <c r="C383">
        <f>SUMPRODUCT(('01_Вводные'!$D$314:$D$318*'01_Вводные'!$B$314:$B$318*IF('01_Вводные'!$B$9=0,0,'06_Сеть_и_дети'!C11/'01_Вводные'!$B$9)+'06_Сеть_и_дети'!C20*'19_Расчет_аналитики'!C806*'01_Вводные'!$C$314:$C$318*('01_Вводные'!$E$314:$E$318*('06_Сеть_и_дети'!C$3&lt;'01_Вводные'!$B$245)+'01_Вводные'!$B$57*('06_Сеть_и_дети'!C$3&gt;='01_Вводные'!$B$245))+ABS('01_Вводные'!$D$314:$D$318*'01_Вводные'!$B$314:$B$318*IF('01_Вводные'!$B$9=0,0,'06_Сеть_и_дети'!C11/'01_Вводные'!$B$9)-'06_Сеть_и_дети'!C20*'19_Расчет_аналитики'!C806*'01_Вводные'!$C$314:$C$318*('01_Вводные'!$E$314:$E$318*('06_Сеть_и_дети'!C$3&lt;'01_Вводные'!$B$245)+'01_Вводные'!$B$57*('06_Сеть_и_дети'!C$3&gt;='01_Вводные'!$B$245))))/2)</f>
        <v/>
      </c>
      <c r="D383">
        <f>SUMPRODUCT(('01_Вводные'!$D$314:$D$318*'01_Вводные'!$B$314:$B$318*IF('01_Вводные'!$B$9=0,0,'06_Сеть_и_дети'!D11/'01_Вводные'!$B$9)+'06_Сеть_и_дети'!D20*'19_Расчет_аналитики'!D806*'01_Вводные'!$C$314:$C$318*('01_Вводные'!$E$314:$E$318*('06_Сеть_и_дети'!D$3&lt;'01_Вводные'!$B$245)+'01_Вводные'!$B$57*('06_Сеть_и_дети'!D$3&gt;='01_Вводные'!$B$245))+ABS('01_Вводные'!$D$314:$D$318*'01_Вводные'!$B$314:$B$318*IF('01_Вводные'!$B$9=0,0,'06_Сеть_и_дети'!D11/'01_Вводные'!$B$9)-'06_Сеть_и_дети'!D20*'19_Расчет_аналитики'!D806*'01_Вводные'!$C$314:$C$318*('01_Вводные'!$E$314:$E$318*('06_Сеть_и_дети'!D$3&lt;'01_Вводные'!$B$245)+'01_Вводные'!$B$57*('06_Сеть_и_дети'!D$3&gt;='01_Вводные'!$B$245))))/2)</f>
        <v/>
      </c>
      <c r="E383">
        <f>SUMPRODUCT(('01_Вводные'!$D$314:$D$318*'01_Вводные'!$B$314:$B$318*IF('01_Вводные'!$B$9=0,0,'06_Сеть_и_дети'!E11/'01_Вводные'!$B$9)+'06_Сеть_и_дети'!E20*'19_Расчет_аналитики'!E806*'01_Вводные'!$C$314:$C$318*('01_Вводные'!$E$314:$E$318*('06_Сеть_и_дети'!E$3&lt;'01_Вводные'!$B$245)+'01_Вводные'!$B$57*('06_Сеть_и_дети'!E$3&gt;='01_Вводные'!$B$245))+ABS('01_Вводные'!$D$314:$D$318*'01_Вводные'!$B$314:$B$318*IF('01_Вводные'!$B$9=0,0,'06_Сеть_и_дети'!E11/'01_Вводные'!$B$9)-'06_Сеть_и_дети'!E20*'19_Расчет_аналитики'!E806*'01_Вводные'!$C$314:$C$318*('01_Вводные'!$E$314:$E$318*('06_Сеть_и_дети'!E$3&lt;'01_Вводные'!$B$245)+'01_Вводные'!$B$57*('06_Сеть_и_дети'!E$3&gt;='01_Вводные'!$B$245))))/2)</f>
        <v/>
      </c>
      <c r="F383">
        <f>SUMPRODUCT(('01_Вводные'!$D$314:$D$318*'01_Вводные'!$B$314:$B$318*IF('01_Вводные'!$B$9=0,0,'06_Сеть_и_дети'!F11/'01_Вводные'!$B$9)+'06_Сеть_и_дети'!F20*'19_Расчет_аналитики'!F806*'01_Вводные'!$C$314:$C$318*('01_Вводные'!$E$314:$E$318*('06_Сеть_и_дети'!F$3&lt;'01_Вводные'!$B$245)+'01_Вводные'!$B$57*('06_Сеть_и_дети'!F$3&gt;='01_Вводные'!$B$245))+ABS('01_Вводные'!$D$314:$D$318*'01_Вводные'!$B$314:$B$318*IF('01_Вводные'!$B$9=0,0,'06_Сеть_и_дети'!F11/'01_Вводные'!$B$9)-'06_Сеть_и_дети'!F20*'19_Расчет_аналитики'!F806*'01_Вводные'!$C$314:$C$318*('01_Вводные'!$E$314:$E$318*('06_Сеть_и_дети'!F$3&lt;'01_Вводные'!$B$245)+'01_Вводные'!$B$57*('06_Сеть_и_дети'!F$3&gt;='01_Вводные'!$B$245))))/2)</f>
        <v/>
      </c>
      <c r="G383">
        <f>SUMPRODUCT(('01_Вводные'!$D$314:$D$318*'01_Вводные'!$B$314:$B$318*IF('01_Вводные'!$B$9=0,0,'06_Сеть_и_дети'!G11/'01_Вводные'!$B$9)+'06_Сеть_и_дети'!G20*'19_Расчет_аналитики'!G806*'01_Вводные'!$C$314:$C$318*('01_Вводные'!$E$314:$E$318*('06_Сеть_и_дети'!G$3&lt;'01_Вводные'!$B$245)+'01_Вводные'!$B$57*('06_Сеть_и_дети'!G$3&gt;='01_Вводные'!$B$245))+ABS('01_Вводные'!$D$314:$D$318*'01_Вводные'!$B$314:$B$318*IF('01_Вводные'!$B$9=0,0,'06_Сеть_и_дети'!G11/'01_Вводные'!$B$9)-'06_Сеть_и_дети'!G20*'19_Расчет_аналитики'!G806*'01_Вводные'!$C$314:$C$318*('01_Вводные'!$E$314:$E$318*('06_Сеть_и_дети'!G$3&lt;'01_Вводные'!$B$245)+'01_Вводные'!$B$57*('06_Сеть_и_дети'!G$3&gt;='01_Вводные'!$B$245))))/2)</f>
        <v/>
      </c>
      <c r="H383">
        <f>SUMPRODUCT(('01_Вводные'!$D$314:$D$318*'01_Вводные'!$B$314:$B$318*IF('01_Вводные'!$B$9=0,0,'06_Сеть_и_дети'!H11/'01_Вводные'!$B$9)+'06_Сеть_и_дети'!H20*'19_Расчет_аналитики'!H806*'01_Вводные'!$C$314:$C$318*('01_Вводные'!$E$314:$E$318*('06_Сеть_и_дети'!H$3&lt;'01_Вводные'!$B$245)+'01_Вводные'!$B$57*('06_Сеть_и_дети'!H$3&gt;='01_Вводные'!$B$245))+ABS('01_Вводные'!$D$314:$D$318*'01_Вводные'!$B$314:$B$318*IF('01_Вводные'!$B$9=0,0,'06_Сеть_и_дети'!H11/'01_Вводные'!$B$9)-'06_Сеть_и_дети'!H20*'19_Расчет_аналитики'!H806*'01_Вводные'!$C$314:$C$318*('01_Вводные'!$E$314:$E$318*('06_Сеть_и_дети'!H$3&lt;'01_Вводные'!$B$245)+'01_Вводные'!$B$57*('06_Сеть_и_дети'!H$3&gt;='01_Вводные'!$B$245))))/2)</f>
        <v/>
      </c>
      <c r="I383">
        <f>SUMPRODUCT(('01_Вводные'!$D$314:$D$318*'01_Вводные'!$B$314:$B$318*IF('01_Вводные'!$B$9=0,0,'06_Сеть_и_дети'!I11/'01_Вводные'!$B$9)+'06_Сеть_и_дети'!I20*'19_Расчет_аналитики'!I806*'01_Вводные'!$C$314:$C$318*('01_Вводные'!$E$314:$E$318*('06_Сеть_и_дети'!I$3&lt;'01_Вводные'!$B$245)+'01_Вводные'!$B$57*('06_Сеть_и_дети'!I$3&gt;='01_Вводные'!$B$245))+ABS('01_Вводные'!$D$314:$D$318*'01_Вводные'!$B$314:$B$318*IF('01_Вводные'!$B$9=0,0,'06_Сеть_и_дети'!I11/'01_Вводные'!$B$9)-'06_Сеть_и_дети'!I20*'19_Расчет_аналитики'!I806*'01_Вводные'!$C$314:$C$318*('01_Вводные'!$E$314:$E$318*('06_Сеть_и_дети'!I$3&lt;'01_Вводные'!$B$245)+'01_Вводные'!$B$57*('06_Сеть_и_дети'!I$3&gt;='01_Вводные'!$B$245))))/2)</f>
        <v/>
      </c>
      <c r="J383">
        <f>SUMPRODUCT(('01_Вводные'!$D$314:$D$318*'01_Вводные'!$B$314:$B$318*IF('01_Вводные'!$B$9=0,0,'06_Сеть_и_дети'!J11/'01_Вводные'!$B$9)+'06_Сеть_и_дети'!J20*'19_Расчет_аналитики'!J806*'01_Вводные'!$C$314:$C$318*('01_Вводные'!$E$314:$E$318*('06_Сеть_и_дети'!J$3&lt;'01_Вводные'!$B$245)+'01_Вводные'!$B$57*('06_Сеть_и_дети'!J$3&gt;='01_Вводные'!$B$245))+ABS('01_Вводные'!$D$314:$D$318*'01_Вводные'!$B$314:$B$318*IF('01_Вводные'!$B$9=0,0,'06_Сеть_и_дети'!J11/'01_Вводные'!$B$9)-'06_Сеть_и_дети'!J20*'19_Расчет_аналитики'!J806*'01_Вводные'!$C$314:$C$318*('01_Вводные'!$E$314:$E$318*('06_Сеть_и_дети'!J$3&lt;'01_Вводные'!$B$245)+'01_Вводные'!$B$57*('06_Сеть_и_дети'!J$3&gt;='01_Вводные'!$B$245))))/2)</f>
        <v/>
      </c>
      <c r="K383">
        <f>SUMPRODUCT(('01_Вводные'!$D$314:$D$318*'01_Вводные'!$B$314:$B$318*IF('01_Вводные'!$B$9=0,0,'06_Сеть_и_дети'!K11/'01_Вводные'!$B$9)+'06_Сеть_и_дети'!K20*'19_Расчет_аналитики'!K806*'01_Вводные'!$C$314:$C$318*('01_Вводные'!$E$314:$E$318*('06_Сеть_и_дети'!K$3&lt;'01_Вводные'!$B$245)+'01_Вводные'!$B$57*('06_Сеть_и_дети'!K$3&gt;='01_Вводные'!$B$245))+ABS('01_Вводные'!$D$314:$D$318*'01_Вводные'!$B$314:$B$318*IF('01_Вводные'!$B$9=0,0,'06_Сеть_и_дети'!K11/'01_Вводные'!$B$9)-'06_Сеть_и_дети'!K20*'19_Расчет_аналитики'!K806*'01_Вводные'!$C$314:$C$318*('01_Вводные'!$E$314:$E$318*('06_Сеть_и_дети'!K$3&lt;'01_Вводные'!$B$245)+'01_Вводные'!$B$57*('06_Сеть_и_дети'!K$3&gt;='01_Вводные'!$B$245))))/2)</f>
        <v/>
      </c>
      <c r="L383">
        <f>SUMPRODUCT(('01_Вводные'!$D$314:$D$318*'01_Вводные'!$B$314:$B$318*IF('01_Вводные'!$B$9=0,0,'06_Сеть_и_дети'!L11/'01_Вводные'!$B$9)+'06_Сеть_и_дети'!L20*'19_Расчет_аналитики'!L806*'01_Вводные'!$C$314:$C$318*('01_Вводные'!$E$314:$E$318*('06_Сеть_и_дети'!L$3&lt;'01_Вводные'!$B$245)+'01_Вводные'!$B$57*('06_Сеть_и_дети'!L$3&gt;='01_Вводные'!$B$245))+ABS('01_Вводные'!$D$314:$D$318*'01_Вводные'!$B$314:$B$318*IF('01_Вводные'!$B$9=0,0,'06_Сеть_и_дети'!L11/'01_Вводные'!$B$9)-'06_Сеть_и_дети'!L20*'19_Расчет_аналитики'!L806*'01_Вводные'!$C$314:$C$318*('01_Вводные'!$E$314:$E$318*('06_Сеть_и_дети'!L$3&lt;'01_Вводные'!$B$245)+'01_Вводные'!$B$57*('06_Сеть_и_дети'!L$3&gt;='01_Вводные'!$B$245))))/2)</f>
        <v/>
      </c>
      <c r="M383">
        <f>SUMPRODUCT(('01_Вводные'!$D$314:$D$318*'01_Вводные'!$B$314:$B$318*IF('01_Вводные'!$B$9=0,0,'06_Сеть_и_дети'!M11/'01_Вводные'!$B$9)+'06_Сеть_и_дети'!M20*'19_Расчет_аналитики'!M806*'01_Вводные'!$C$314:$C$318*('01_Вводные'!$E$314:$E$318*('06_Сеть_и_дети'!M$3&lt;'01_Вводные'!$B$245)+'01_Вводные'!$B$57*('06_Сеть_и_дети'!M$3&gt;='01_Вводные'!$B$245))+ABS('01_Вводные'!$D$314:$D$318*'01_Вводные'!$B$314:$B$318*IF('01_Вводные'!$B$9=0,0,'06_Сеть_и_дети'!M11/'01_Вводные'!$B$9)-'06_Сеть_и_дети'!M20*'19_Расчет_аналитики'!M806*'01_Вводные'!$C$314:$C$318*('01_Вводные'!$E$314:$E$318*('06_Сеть_и_дети'!M$3&lt;'01_Вводные'!$B$245)+'01_Вводные'!$B$57*('06_Сеть_и_дети'!M$3&gt;='01_Вводные'!$B$245))))/2)</f>
        <v/>
      </c>
      <c r="N383">
        <f>SUMPRODUCT(('01_Вводные'!$D$314:$D$318*'01_Вводные'!$B$314:$B$318*IF('01_Вводные'!$B$9=0,0,'06_Сеть_и_дети'!N11/'01_Вводные'!$B$9)+'06_Сеть_и_дети'!N20*'19_Расчет_аналитики'!N806*'01_Вводные'!$C$314:$C$318*('01_Вводные'!$E$314:$E$318*('06_Сеть_и_дети'!N$3&lt;'01_Вводные'!$B$245)+'01_Вводные'!$B$57*('06_Сеть_и_дети'!N$3&gt;='01_Вводные'!$B$245))+ABS('01_Вводные'!$D$314:$D$318*'01_Вводные'!$B$314:$B$318*IF('01_Вводные'!$B$9=0,0,'06_Сеть_и_дети'!N11/'01_Вводные'!$B$9)-'06_Сеть_и_дети'!N20*'19_Расчет_аналитики'!N806*'01_Вводные'!$C$314:$C$318*('01_Вводные'!$E$314:$E$318*('06_Сеть_и_дети'!N$3&lt;'01_Вводные'!$B$245)+'01_Вводные'!$B$57*('06_Сеть_и_дети'!N$3&gt;='01_Вводные'!$B$245))))/2)</f>
        <v/>
      </c>
      <c r="O383">
        <f>SUMPRODUCT(('01_Вводные'!$D$314:$D$318*'01_Вводные'!$B$314:$B$318*IF('01_Вводные'!$B$9=0,0,'06_Сеть_и_дети'!O11/'01_Вводные'!$B$9)+'06_Сеть_и_дети'!O20*'19_Расчет_аналитики'!O806*'01_Вводные'!$C$314:$C$318*('01_Вводные'!$E$314:$E$318*('06_Сеть_и_дети'!O$3&lt;'01_Вводные'!$B$245)+'01_Вводные'!$B$57*('06_Сеть_и_дети'!O$3&gt;='01_Вводные'!$B$245))+ABS('01_Вводные'!$D$314:$D$318*'01_Вводные'!$B$314:$B$318*IF('01_Вводные'!$B$9=0,0,'06_Сеть_и_дети'!O11/'01_Вводные'!$B$9)-'06_Сеть_и_дети'!O20*'19_Расчет_аналитики'!O806*'01_Вводные'!$C$314:$C$318*('01_Вводные'!$E$314:$E$318*('06_Сеть_и_дети'!O$3&lt;'01_Вводные'!$B$245)+'01_Вводные'!$B$57*('06_Сеть_и_дети'!O$3&gt;='01_Вводные'!$B$245))))/2)</f>
        <v/>
      </c>
      <c r="P383">
        <f>SUMPRODUCT(('01_Вводные'!$D$314:$D$318*'01_Вводные'!$B$314:$B$318*IF('01_Вводные'!$B$9=0,0,'06_Сеть_и_дети'!P11/'01_Вводные'!$B$9)+'06_Сеть_и_дети'!P20*'19_Расчет_аналитики'!P806*'01_Вводные'!$C$314:$C$318*('01_Вводные'!$E$314:$E$318*('06_Сеть_и_дети'!P$3&lt;'01_Вводные'!$B$245)+'01_Вводные'!$B$57*('06_Сеть_и_дети'!P$3&gt;='01_Вводные'!$B$245))+ABS('01_Вводные'!$D$314:$D$318*'01_Вводные'!$B$314:$B$318*IF('01_Вводные'!$B$9=0,0,'06_Сеть_и_дети'!P11/'01_Вводные'!$B$9)-'06_Сеть_и_дети'!P20*'19_Расчет_аналитики'!P806*'01_Вводные'!$C$314:$C$318*('01_Вводные'!$E$314:$E$318*('06_Сеть_и_дети'!P$3&lt;'01_Вводные'!$B$245)+'01_Вводные'!$B$57*('06_Сеть_и_дети'!P$3&gt;='01_Вводные'!$B$245))))/2)</f>
        <v/>
      </c>
      <c r="Q383">
        <f>SUMPRODUCT(('01_Вводные'!$D$314:$D$318*'01_Вводные'!$B$314:$B$318*IF('01_Вводные'!$B$9=0,0,'06_Сеть_и_дети'!Q11/'01_Вводные'!$B$9)+'06_Сеть_и_дети'!Q20*'19_Расчет_аналитики'!Q806*'01_Вводные'!$C$314:$C$318*('01_Вводные'!$E$314:$E$318*('06_Сеть_и_дети'!Q$3&lt;'01_Вводные'!$B$245)+'01_Вводные'!$B$57*('06_Сеть_и_дети'!Q$3&gt;='01_Вводные'!$B$245))+ABS('01_Вводные'!$D$314:$D$318*'01_Вводные'!$B$314:$B$318*IF('01_Вводные'!$B$9=0,0,'06_Сеть_и_дети'!Q11/'01_Вводные'!$B$9)-'06_Сеть_и_дети'!Q20*'19_Расчет_аналитики'!Q806*'01_Вводные'!$C$314:$C$318*('01_Вводные'!$E$314:$E$318*('06_Сеть_и_дети'!Q$3&lt;'01_Вводные'!$B$245)+'01_Вводные'!$B$57*('06_Сеть_и_дети'!Q$3&gt;='01_Вводные'!$B$245))))/2)</f>
        <v/>
      </c>
      <c r="R383">
        <f>SUMPRODUCT(('01_Вводные'!$D$314:$D$318*'01_Вводные'!$B$314:$B$318*IF('01_Вводные'!$B$9=0,0,'06_Сеть_и_дети'!R11/'01_Вводные'!$B$9)+'06_Сеть_и_дети'!R20*'19_Расчет_аналитики'!R806*'01_Вводные'!$C$314:$C$318*('01_Вводные'!$E$314:$E$318*('06_Сеть_и_дети'!R$3&lt;'01_Вводные'!$B$245)+'01_Вводные'!$B$57*('06_Сеть_и_дети'!R$3&gt;='01_Вводные'!$B$245))+ABS('01_Вводные'!$D$314:$D$318*'01_Вводные'!$B$314:$B$318*IF('01_Вводные'!$B$9=0,0,'06_Сеть_и_дети'!R11/'01_Вводные'!$B$9)-'06_Сеть_и_дети'!R20*'19_Расчет_аналитики'!R806*'01_Вводные'!$C$314:$C$318*('01_Вводные'!$E$314:$E$318*('06_Сеть_и_дети'!R$3&lt;'01_Вводные'!$B$245)+'01_Вводные'!$B$57*('06_Сеть_и_дети'!R$3&gt;='01_Вводные'!$B$245))))/2)</f>
        <v/>
      </c>
      <c r="S383">
        <f>SUMPRODUCT(('01_Вводные'!$D$314:$D$318*'01_Вводные'!$B$314:$B$318*IF('01_Вводные'!$B$9=0,0,'06_Сеть_и_дети'!S11/'01_Вводные'!$B$9)+'06_Сеть_и_дети'!S20*'19_Расчет_аналитики'!S806*'01_Вводные'!$C$314:$C$318*('01_Вводные'!$E$314:$E$318*('06_Сеть_и_дети'!S$3&lt;'01_Вводные'!$B$245)+'01_Вводные'!$B$57*('06_Сеть_и_дети'!S$3&gt;='01_Вводные'!$B$245))+ABS('01_Вводные'!$D$314:$D$318*'01_Вводные'!$B$314:$B$318*IF('01_Вводные'!$B$9=0,0,'06_Сеть_и_дети'!S11/'01_Вводные'!$B$9)-'06_Сеть_и_дети'!S20*'19_Расчет_аналитики'!S806*'01_Вводные'!$C$314:$C$318*('01_Вводные'!$E$314:$E$318*('06_Сеть_и_дети'!S$3&lt;'01_Вводные'!$B$245)+'01_Вводные'!$B$57*('06_Сеть_и_дети'!S$3&gt;='01_Вводные'!$B$245))))/2)</f>
        <v/>
      </c>
      <c r="T383">
        <f>SUMPRODUCT(('01_Вводные'!$D$314:$D$318*'01_Вводные'!$B$314:$B$318*IF('01_Вводные'!$B$9=0,0,'06_Сеть_и_дети'!T11/'01_Вводные'!$B$9)+'06_Сеть_и_дети'!T20*'19_Расчет_аналитики'!T806*'01_Вводные'!$C$314:$C$318*('01_Вводные'!$E$314:$E$318*('06_Сеть_и_дети'!T$3&lt;'01_Вводные'!$B$245)+'01_Вводные'!$B$57*('06_Сеть_и_дети'!T$3&gt;='01_Вводные'!$B$245))+ABS('01_Вводные'!$D$314:$D$318*'01_Вводные'!$B$314:$B$318*IF('01_Вводные'!$B$9=0,0,'06_Сеть_и_дети'!T11/'01_Вводные'!$B$9)-'06_Сеть_и_дети'!T20*'19_Расчет_аналитики'!T806*'01_Вводные'!$C$314:$C$318*('01_Вводные'!$E$314:$E$318*('06_Сеть_и_дети'!T$3&lt;'01_Вводные'!$B$245)+'01_Вводные'!$B$57*('06_Сеть_и_дети'!T$3&gt;='01_Вводные'!$B$245))))/2)</f>
        <v/>
      </c>
      <c r="U383">
        <f>SUMPRODUCT(('01_Вводные'!$D$314:$D$318*'01_Вводные'!$B$314:$B$318*IF('01_Вводные'!$B$9=0,0,'06_Сеть_и_дети'!U11/'01_Вводные'!$B$9)+'06_Сеть_и_дети'!U20*'19_Расчет_аналитики'!U806*'01_Вводные'!$C$314:$C$318*('01_Вводные'!$E$314:$E$318*('06_Сеть_и_дети'!U$3&lt;'01_Вводные'!$B$245)+'01_Вводные'!$B$57*('06_Сеть_и_дети'!U$3&gt;='01_Вводные'!$B$245))+ABS('01_Вводные'!$D$314:$D$318*'01_Вводные'!$B$314:$B$318*IF('01_Вводные'!$B$9=0,0,'06_Сеть_и_дети'!U11/'01_Вводные'!$B$9)-'06_Сеть_и_дети'!U20*'19_Расчет_аналитики'!U806*'01_Вводные'!$C$314:$C$318*('01_Вводные'!$E$314:$E$318*('06_Сеть_и_дети'!U$3&lt;'01_Вводные'!$B$245)+'01_Вводные'!$B$57*('06_Сеть_и_дети'!U$3&gt;='01_Вводные'!$B$245))))/2)</f>
        <v/>
      </c>
      <c r="V383">
        <f>SUMPRODUCT(('01_Вводные'!$D$314:$D$318*'01_Вводные'!$B$314:$B$318*IF('01_Вводные'!$B$9=0,0,'06_Сеть_и_дети'!V11/'01_Вводные'!$B$9)+'06_Сеть_и_дети'!V20*'19_Расчет_аналитики'!V806*'01_Вводные'!$C$314:$C$318*('01_Вводные'!$E$314:$E$318*('06_Сеть_и_дети'!V$3&lt;'01_Вводные'!$B$245)+'01_Вводные'!$B$57*('06_Сеть_и_дети'!V$3&gt;='01_Вводные'!$B$245))+ABS('01_Вводные'!$D$314:$D$318*'01_Вводные'!$B$314:$B$318*IF('01_Вводные'!$B$9=0,0,'06_Сеть_и_дети'!V11/'01_Вводные'!$B$9)-'06_Сеть_и_дети'!V20*'19_Расчет_аналитики'!V806*'01_Вводные'!$C$314:$C$318*('01_Вводные'!$E$314:$E$318*('06_Сеть_и_дети'!V$3&lt;'01_Вводные'!$B$245)+'01_Вводные'!$B$57*('06_Сеть_и_дети'!V$3&gt;='01_Вводные'!$B$245))))/2)</f>
        <v/>
      </c>
      <c r="W383">
        <f>SUMPRODUCT(('01_Вводные'!$D$314:$D$318*'01_Вводные'!$B$314:$B$318*IF('01_Вводные'!$B$9=0,0,'06_Сеть_и_дети'!W11/'01_Вводные'!$B$9)+'06_Сеть_и_дети'!W20*'19_Расчет_аналитики'!W806*'01_Вводные'!$C$314:$C$318*('01_Вводные'!$E$314:$E$318*('06_Сеть_и_дети'!W$3&lt;'01_Вводные'!$B$245)+'01_Вводные'!$B$57*('06_Сеть_и_дети'!W$3&gt;='01_Вводные'!$B$245))+ABS('01_Вводные'!$D$314:$D$318*'01_Вводные'!$B$314:$B$318*IF('01_Вводные'!$B$9=0,0,'06_Сеть_и_дети'!W11/'01_Вводные'!$B$9)-'06_Сеть_и_дети'!W20*'19_Расчет_аналитики'!W806*'01_Вводные'!$C$314:$C$318*('01_Вводные'!$E$314:$E$318*('06_Сеть_и_дети'!W$3&lt;'01_Вводные'!$B$245)+'01_Вводные'!$B$57*('06_Сеть_и_дети'!W$3&gt;='01_Вводные'!$B$245))))/2)</f>
        <v/>
      </c>
      <c r="X383">
        <f>SUMPRODUCT(('01_Вводные'!$D$314:$D$318*'01_Вводные'!$B$314:$B$318*IF('01_Вводные'!$B$9=0,0,'06_Сеть_и_дети'!X11/'01_Вводные'!$B$9)+'06_Сеть_и_дети'!X20*'19_Расчет_аналитики'!X806*'01_Вводные'!$C$314:$C$318*('01_Вводные'!$E$314:$E$318*('06_Сеть_и_дети'!X$3&lt;'01_Вводные'!$B$245)+'01_Вводные'!$B$57*('06_Сеть_и_дети'!X$3&gt;='01_Вводные'!$B$245))+ABS('01_Вводные'!$D$314:$D$318*'01_Вводные'!$B$314:$B$318*IF('01_Вводные'!$B$9=0,0,'06_Сеть_и_дети'!X11/'01_Вводные'!$B$9)-'06_Сеть_и_дети'!X20*'19_Расчет_аналитики'!X806*'01_Вводные'!$C$314:$C$318*('01_Вводные'!$E$314:$E$318*('06_Сеть_и_дети'!X$3&lt;'01_Вводные'!$B$245)+'01_Вводные'!$B$57*('06_Сеть_и_дети'!X$3&gt;='01_Вводные'!$B$245))))/2)</f>
        <v/>
      </c>
      <c r="Y383">
        <f>SUMPRODUCT(('01_Вводные'!$D$314:$D$318*'01_Вводные'!$B$314:$B$318*IF('01_Вводные'!$B$9=0,0,'06_Сеть_и_дети'!Y11/'01_Вводные'!$B$9)+'06_Сеть_и_дети'!Y20*'19_Расчет_аналитики'!Y806*'01_Вводные'!$C$314:$C$318*('01_Вводные'!$E$314:$E$318*('06_Сеть_и_дети'!Y$3&lt;'01_Вводные'!$B$245)+'01_Вводные'!$B$57*('06_Сеть_и_дети'!Y$3&gt;='01_Вводные'!$B$245))+ABS('01_Вводные'!$D$314:$D$318*'01_Вводные'!$B$314:$B$318*IF('01_Вводные'!$B$9=0,0,'06_Сеть_и_дети'!Y11/'01_Вводные'!$B$9)-'06_Сеть_и_дети'!Y20*'19_Расчет_аналитики'!Y806*'01_Вводные'!$C$314:$C$318*('01_Вводные'!$E$314:$E$318*('06_Сеть_и_дети'!Y$3&lt;'01_Вводные'!$B$245)+'01_Вводные'!$B$57*('06_Сеть_и_дети'!Y$3&gt;='01_Вводные'!$B$245))))/2)</f>
        <v/>
      </c>
      <c r="Z383">
        <f>SUMPRODUCT(('01_Вводные'!$D$314:$D$318*'01_Вводные'!$B$314:$B$318*IF('01_Вводные'!$B$9=0,0,'06_Сеть_и_дети'!Z11/'01_Вводные'!$B$9)+'06_Сеть_и_дети'!Z20*'19_Расчет_аналитики'!Z806*'01_Вводные'!$C$314:$C$318*('01_Вводные'!$E$314:$E$318*('06_Сеть_и_дети'!Z$3&lt;'01_Вводные'!$B$245)+'01_Вводные'!$B$57*('06_Сеть_и_дети'!Z$3&gt;='01_Вводные'!$B$245))+ABS('01_Вводные'!$D$314:$D$318*'01_Вводные'!$B$314:$B$318*IF('01_Вводные'!$B$9=0,0,'06_Сеть_и_дети'!Z11/'01_Вводные'!$B$9)-'06_Сеть_и_дети'!Z20*'19_Расчет_аналитики'!Z806*'01_Вводные'!$C$314:$C$318*('01_Вводные'!$E$314:$E$318*('06_Сеть_и_дети'!Z$3&lt;'01_Вводные'!$B$245)+'01_Вводные'!$B$57*('06_Сеть_и_дети'!Z$3&gt;='01_Вводные'!$B$245))))/2)</f>
        <v/>
      </c>
      <c r="AA383">
        <f>SUMPRODUCT(('01_Вводные'!$D$314:$D$318*'01_Вводные'!$B$314:$B$318*IF('01_Вводные'!$B$9=0,0,'06_Сеть_и_дети'!AA11/'01_Вводные'!$B$9)+'06_Сеть_и_дети'!AA20*'19_Расчет_аналитики'!AA806*'01_Вводные'!$C$314:$C$318*('01_Вводные'!$E$314:$E$318*('06_Сеть_и_дети'!AA$3&lt;'01_Вводные'!$B$245)+'01_Вводные'!$B$57*('06_Сеть_и_дети'!AA$3&gt;='01_Вводные'!$B$245))+ABS('01_Вводные'!$D$314:$D$318*'01_Вводные'!$B$314:$B$318*IF('01_Вводные'!$B$9=0,0,'06_Сеть_и_дети'!AA11/'01_Вводные'!$B$9)-'06_Сеть_и_дети'!AA20*'19_Расчет_аналитики'!AA806*'01_Вводные'!$C$314:$C$318*('01_Вводные'!$E$314:$E$318*('06_Сеть_и_дети'!AA$3&lt;'01_Вводные'!$B$245)+'01_Вводные'!$B$57*('06_Сеть_и_дети'!AA$3&gt;='01_Вводные'!$B$245))))/2)</f>
        <v/>
      </c>
      <c r="AB383">
        <f>SUMPRODUCT(('01_Вводные'!$D$314:$D$318*'01_Вводные'!$B$314:$B$318*IF('01_Вводные'!$B$9=0,0,'06_Сеть_и_дети'!AB11/'01_Вводные'!$B$9)+'06_Сеть_и_дети'!AB20*'19_Расчет_аналитики'!AB806*'01_Вводные'!$C$314:$C$318*('01_Вводные'!$E$314:$E$318*('06_Сеть_и_дети'!AB$3&lt;'01_Вводные'!$B$245)+'01_Вводные'!$B$57*('06_Сеть_и_дети'!AB$3&gt;='01_Вводные'!$B$245))+ABS('01_Вводные'!$D$314:$D$318*'01_Вводные'!$B$314:$B$318*IF('01_Вводные'!$B$9=0,0,'06_Сеть_и_дети'!AB11/'01_Вводные'!$B$9)-'06_Сеть_и_дети'!AB20*'19_Расчет_аналитики'!AB806*'01_Вводные'!$C$314:$C$318*('01_Вводные'!$E$314:$E$318*('06_Сеть_и_дети'!AB$3&lt;'01_Вводные'!$B$245)+'01_Вводные'!$B$57*('06_Сеть_и_дети'!AB$3&gt;='01_Вводные'!$B$245))))/2)</f>
        <v/>
      </c>
      <c r="AC383">
        <f>SUMPRODUCT(('01_Вводные'!$D$314:$D$318*'01_Вводные'!$B$314:$B$318*IF('01_Вводные'!$B$9=0,0,'06_Сеть_и_дети'!AC11/'01_Вводные'!$B$9)+'06_Сеть_и_дети'!AC20*'19_Расчет_аналитики'!AC806*'01_Вводные'!$C$314:$C$318*('01_Вводные'!$E$314:$E$318*('06_Сеть_и_дети'!AC$3&lt;'01_Вводные'!$B$245)+'01_Вводные'!$B$57*('06_Сеть_и_дети'!AC$3&gt;='01_Вводные'!$B$245))+ABS('01_Вводные'!$D$314:$D$318*'01_Вводные'!$B$314:$B$318*IF('01_Вводные'!$B$9=0,0,'06_Сеть_и_дети'!AC11/'01_Вводные'!$B$9)-'06_Сеть_и_дети'!AC20*'19_Расчет_аналитики'!AC806*'01_Вводные'!$C$314:$C$318*('01_Вводные'!$E$314:$E$318*('06_Сеть_и_дети'!AC$3&lt;'01_Вводные'!$B$245)+'01_Вводные'!$B$57*('06_Сеть_и_дети'!AC$3&gt;='01_Вводные'!$B$245))))/2)</f>
        <v/>
      </c>
      <c r="AD383">
        <f>SUMPRODUCT(('01_Вводные'!$D$314:$D$318*'01_Вводные'!$B$314:$B$318*IF('01_Вводные'!$B$9=0,0,'06_Сеть_и_дети'!AD11/'01_Вводные'!$B$9)+'06_Сеть_и_дети'!AD20*'19_Расчет_аналитики'!AD806*'01_Вводные'!$C$314:$C$318*('01_Вводные'!$E$314:$E$318*('06_Сеть_и_дети'!AD$3&lt;'01_Вводные'!$B$245)+'01_Вводные'!$B$57*('06_Сеть_и_дети'!AD$3&gt;='01_Вводные'!$B$245))+ABS('01_Вводные'!$D$314:$D$318*'01_Вводные'!$B$314:$B$318*IF('01_Вводные'!$B$9=0,0,'06_Сеть_и_дети'!AD11/'01_Вводные'!$B$9)-'06_Сеть_и_дети'!AD20*'19_Расчет_аналитики'!AD806*'01_Вводные'!$C$314:$C$318*('01_Вводные'!$E$314:$E$318*('06_Сеть_и_дети'!AD$3&lt;'01_Вводные'!$B$245)+'01_Вводные'!$B$57*('06_Сеть_и_дети'!AD$3&gt;='01_Вводные'!$B$245))))/2)</f>
        <v/>
      </c>
      <c r="AE383">
        <f>SUMPRODUCT(('01_Вводные'!$D$314:$D$318*'01_Вводные'!$B$314:$B$318*IF('01_Вводные'!$B$9=0,0,'06_Сеть_и_дети'!AE11/'01_Вводные'!$B$9)+'06_Сеть_и_дети'!AE20*'19_Расчет_аналитики'!AE806*'01_Вводные'!$C$314:$C$318*('01_Вводные'!$E$314:$E$318*('06_Сеть_и_дети'!AE$3&lt;'01_Вводные'!$B$245)+'01_Вводные'!$B$57*('06_Сеть_и_дети'!AE$3&gt;='01_Вводные'!$B$245))+ABS('01_Вводные'!$D$314:$D$318*'01_Вводные'!$B$314:$B$318*IF('01_Вводные'!$B$9=0,0,'06_Сеть_и_дети'!AE11/'01_Вводные'!$B$9)-'06_Сеть_и_дети'!AE20*'19_Расчет_аналитики'!AE806*'01_Вводные'!$C$314:$C$318*('01_Вводные'!$E$314:$E$318*('06_Сеть_и_дети'!AE$3&lt;'01_Вводные'!$B$245)+'01_Вводные'!$B$57*('06_Сеть_и_дети'!AE$3&gt;='01_Вводные'!$B$245))))/2)</f>
        <v/>
      </c>
      <c r="AF383">
        <f>SUMPRODUCT(('01_Вводные'!$D$314:$D$318*'01_Вводные'!$B$314:$B$318*IF('01_Вводные'!$B$9=0,0,'06_Сеть_и_дети'!AF11/'01_Вводные'!$B$9)+'06_Сеть_и_дети'!AF20*'19_Расчет_аналитики'!AF806*'01_Вводные'!$C$314:$C$318*('01_Вводные'!$E$314:$E$318*('06_Сеть_и_дети'!AF$3&lt;'01_Вводные'!$B$245)+'01_Вводные'!$B$57*('06_Сеть_и_дети'!AF$3&gt;='01_Вводные'!$B$245))+ABS('01_Вводные'!$D$314:$D$318*'01_Вводные'!$B$314:$B$318*IF('01_Вводные'!$B$9=0,0,'06_Сеть_и_дети'!AF11/'01_Вводные'!$B$9)-'06_Сеть_и_дети'!AF20*'19_Расчет_аналитики'!AF806*'01_Вводные'!$C$314:$C$318*('01_Вводные'!$E$314:$E$318*('06_Сеть_и_дети'!AF$3&lt;'01_Вводные'!$B$245)+'01_Вводные'!$B$57*('06_Сеть_и_дети'!AF$3&gt;='01_Вводные'!$B$245))))/2)</f>
        <v/>
      </c>
      <c r="AG383">
        <f>SUMPRODUCT(('01_Вводные'!$D$314:$D$318*'01_Вводные'!$B$314:$B$318*IF('01_Вводные'!$B$9=0,0,'06_Сеть_и_дети'!AG11/'01_Вводные'!$B$9)+'06_Сеть_и_дети'!AG20*'19_Расчет_аналитики'!AG806*'01_Вводные'!$C$314:$C$318*('01_Вводные'!$E$314:$E$318*('06_Сеть_и_дети'!AG$3&lt;'01_Вводные'!$B$245)+'01_Вводные'!$B$57*('06_Сеть_и_дети'!AG$3&gt;='01_Вводные'!$B$245))+ABS('01_Вводные'!$D$314:$D$318*'01_Вводные'!$B$314:$B$318*IF('01_Вводные'!$B$9=0,0,'06_Сеть_и_дети'!AG11/'01_Вводные'!$B$9)-'06_Сеть_и_дети'!AG20*'19_Расчет_аналитики'!AG806*'01_Вводные'!$C$314:$C$318*('01_Вводные'!$E$314:$E$318*('06_Сеть_и_дети'!AG$3&lt;'01_Вводные'!$B$245)+'01_Вводные'!$B$57*('06_Сеть_и_дети'!AG$3&gt;='01_Вводные'!$B$245))))/2)</f>
        <v/>
      </c>
      <c r="AH383">
        <f>SUMPRODUCT(('01_Вводные'!$D$314:$D$318*'01_Вводные'!$B$314:$B$318*IF('01_Вводные'!$B$9=0,0,'06_Сеть_и_дети'!AH11/'01_Вводные'!$B$9)+'06_Сеть_и_дети'!AH20*'19_Расчет_аналитики'!AH806*'01_Вводные'!$C$314:$C$318*('01_Вводные'!$E$314:$E$318*('06_Сеть_и_дети'!AH$3&lt;'01_Вводные'!$B$245)+'01_Вводные'!$B$57*('06_Сеть_и_дети'!AH$3&gt;='01_Вводные'!$B$245))+ABS('01_Вводные'!$D$314:$D$318*'01_Вводные'!$B$314:$B$318*IF('01_Вводные'!$B$9=0,0,'06_Сеть_и_дети'!AH11/'01_Вводные'!$B$9)-'06_Сеть_и_дети'!AH20*'19_Расчет_аналитики'!AH806*'01_Вводные'!$C$314:$C$318*('01_Вводные'!$E$314:$E$318*('06_Сеть_и_дети'!AH$3&lt;'01_Вводные'!$B$245)+'01_Вводные'!$B$57*('06_Сеть_и_дети'!AH$3&gt;='01_Вводные'!$B$245))))/2)</f>
        <v/>
      </c>
      <c r="AI383">
        <f>SUMPRODUCT(('01_Вводные'!$D$314:$D$318*'01_Вводные'!$B$314:$B$318*IF('01_Вводные'!$B$9=0,0,'06_Сеть_и_дети'!AI11/'01_Вводные'!$B$9)+'06_Сеть_и_дети'!AI20*'19_Расчет_аналитики'!AI806*'01_Вводные'!$C$314:$C$318*('01_Вводные'!$E$314:$E$318*('06_Сеть_и_дети'!AI$3&lt;'01_Вводные'!$B$245)+'01_Вводные'!$B$57*('06_Сеть_и_дети'!AI$3&gt;='01_Вводные'!$B$245))+ABS('01_Вводные'!$D$314:$D$318*'01_Вводные'!$B$314:$B$318*IF('01_Вводные'!$B$9=0,0,'06_Сеть_и_дети'!AI11/'01_Вводные'!$B$9)-'06_Сеть_и_дети'!AI20*'19_Расчет_аналитики'!AI806*'01_Вводные'!$C$314:$C$318*('01_Вводные'!$E$314:$E$318*('06_Сеть_и_дети'!AI$3&lt;'01_Вводные'!$B$245)+'01_Вводные'!$B$57*('06_Сеть_и_дети'!AI$3&gt;='01_Вводные'!$B$245))))/2)</f>
        <v/>
      </c>
      <c r="AJ383">
        <f>SUMPRODUCT(('01_Вводные'!$D$314:$D$318*'01_Вводные'!$B$314:$B$318*IF('01_Вводные'!$B$9=0,0,'06_Сеть_и_дети'!AJ11/'01_Вводные'!$B$9)+'06_Сеть_и_дети'!AJ20*'19_Расчет_аналитики'!AJ806*'01_Вводные'!$C$314:$C$318*('01_Вводные'!$E$314:$E$318*('06_Сеть_и_дети'!AJ$3&lt;'01_Вводные'!$B$245)+'01_Вводные'!$B$57*('06_Сеть_и_дети'!AJ$3&gt;='01_Вводные'!$B$245))+ABS('01_Вводные'!$D$314:$D$318*'01_Вводные'!$B$314:$B$318*IF('01_Вводные'!$B$9=0,0,'06_Сеть_и_дети'!AJ11/'01_Вводные'!$B$9)-'06_Сеть_и_дети'!AJ20*'19_Расчет_аналитики'!AJ806*'01_Вводные'!$C$314:$C$318*('01_Вводные'!$E$314:$E$318*('06_Сеть_и_дети'!AJ$3&lt;'01_Вводные'!$B$245)+'01_Вводные'!$B$57*('06_Сеть_и_дети'!AJ$3&gt;='01_Вводные'!$B$245))))/2)</f>
        <v/>
      </c>
      <c r="AK383">
        <f>SUMPRODUCT(('01_Вводные'!$D$314:$D$318*'01_Вводные'!$B$314:$B$318*IF('01_Вводные'!$B$9=0,0,'06_Сеть_и_дети'!AK11/'01_Вводные'!$B$9)+'06_Сеть_и_дети'!AK20*'19_Расчет_аналитики'!AK806*'01_Вводные'!$C$314:$C$318*('01_Вводные'!$E$314:$E$318*('06_Сеть_и_дети'!AK$3&lt;'01_Вводные'!$B$245)+'01_Вводные'!$B$57*('06_Сеть_и_дети'!AK$3&gt;='01_Вводные'!$B$245))+ABS('01_Вводные'!$D$314:$D$318*'01_Вводные'!$B$314:$B$318*IF('01_Вводные'!$B$9=0,0,'06_Сеть_и_дети'!AK11/'01_Вводные'!$B$9)-'06_Сеть_и_дети'!AK20*'19_Расчет_аналитики'!AK806*'01_Вводные'!$C$314:$C$318*('01_Вводные'!$E$314:$E$318*('06_Сеть_и_дети'!AK$3&lt;'01_Вводные'!$B$245)+'01_Вводные'!$B$57*('06_Сеть_и_дети'!AK$3&gt;='01_Вводные'!$B$245))))/2)</f>
        <v/>
      </c>
      <c r="AL383">
        <f>SUMPRODUCT(('01_Вводные'!$D$314:$D$318*'01_Вводные'!$B$314:$B$318*IF('01_Вводные'!$B$9=0,0,'06_Сеть_и_дети'!AL11/'01_Вводные'!$B$9)+'06_Сеть_и_дети'!AL20*'19_Расчет_аналитики'!AL806*'01_Вводные'!$C$314:$C$318*('01_Вводные'!$E$314:$E$318*('06_Сеть_и_дети'!AL$3&lt;'01_Вводные'!$B$245)+'01_Вводные'!$B$57*('06_Сеть_и_дети'!AL$3&gt;='01_Вводные'!$B$245))+ABS('01_Вводные'!$D$314:$D$318*'01_Вводные'!$B$314:$B$318*IF('01_Вводные'!$B$9=0,0,'06_Сеть_и_дети'!AL11/'01_Вводные'!$B$9)-'06_Сеть_и_дети'!AL20*'19_Расчет_аналитики'!AL806*'01_Вводные'!$C$314:$C$318*('01_Вводные'!$E$314:$E$318*('06_Сеть_и_дети'!AL$3&lt;'01_Вводные'!$B$245)+'01_Вводные'!$B$57*('06_Сеть_и_дети'!AL$3&gt;='01_Вводные'!$B$245))))/2)</f>
        <v/>
      </c>
      <c r="AM383">
        <f>SUMPRODUCT(('01_Вводные'!$D$314:$D$318*'01_Вводные'!$B$314:$B$318*IF('01_Вводные'!$B$9=0,0,'06_Сеть_и_дети'!AM11/'01_Вводные'!$B$9)+'06_Сеть_и_дети'!AM20*'19_Расчет_аналитики'!AM806*'01_Вводные'!$C$314:$C$318*('01_Вводные'!$E$314:$E$318*('06_Сеть_и_дети'!AM$3&lt;'01_Вводные'!$B$245)+'01_Вводные'!$B$57*('06_Сеть_и_дети'!AM$3&gt;='01_Вводные'!$B$245))+ABS('01_Вводные'!$D$314:$D$318*'01_Вводные'!$B$314:$B$318*IF('01_Вводные'!$B$9=0,0,'06_Сеть_и_дети'!AM11/'01_Вводные'!$B$9)-'06_Сеть_и_дети'!AM20*'19_Расчет_аналитики'!AM806*'01_Вводные'!$C$314:$C$318*('01_Вводные'!$E$314:$E$318*('06_Сеть_и_дети'!AM$3&lt;'01_Вводные'!$B$245)+'01_Вводные'!$B$57*('06_Сеть_и_дети'!AM$3&gt;='01_Вводные'!$B$245))))/2)</f>
        <v/>
      </c>
      <c r="AN383">
        <f>SUMPRODUCT(('01_Вводные'!$D$314:$D$318*'01_Вводные'!$B$314:$B$318*IF('01_Вводные'!$B$9=0,0,'06_Сеть_и_дети'!AN11/'01_Вводные'!$B$9)+'06_Сеть_и_дети'!AN20*'19_Расчет_аналитики'!AN806*'01_Вводные'!$C$314:$C$318*('01_Вводные'!$E$314:$E$318*('06_Сеть_и_дети'!AN$3&lt;'01_Вводные'!$B$245)+'01_Вводные'!$B$57*('06_Сеть_и_дети'!AN$3&gt;='01_Вводные'!$B$245))+ABS('01_Вводные'!$D$314:$D$318*'01_Вводные'!$B$314:$B$318*IF('01_Вводные'!$B$9=0,0,'06_Сеть_и_дети'!AN11/'01_Вводные'!$B$9)-'06_Сеть_и_дети'!AN20*'19_Расчет_аналитики'!AN806*'01_Вводные'!$C$314:$C$318*('01_Вводные'!$E$314:$E$318*('06_Сеть_и_дети'!AN$3&lt;'01_Вводные'!$B$245)+'01_Вводные'!$B$57*('06_Сеть_и_дети'!AN$3&gt;='01_Вводные'!$B$245))))/2)</f>
        <v/>
      </c>
      <c r="AO383">
        <f>SUMPRODUCT(('01_Вводные'!$D$314:$D$318*'01_Вводные'!$B$314:$B$318*IF('01_Вводные'!$B$9=0,0,'06_Сеть_и_дети'!AO11/'01_Вводные'!$B$9)+'06_Сеть_и_дети'!AO20*'19_Расчет_аналитики'!AO806*'01_Вводные'!$C$314:$C$318*('01_Вводные'!$E$314:$E$318*('06_Сеть_и_дети'!AO$3&lt;'01_Вводные'!$B$245)+'01_Вводные'!$B$57*('06_Сеть_и_дети'!AO$3&gt;='01_Вводные'!$B$245))+ABS('01_Вводные'!$D$314:$D$318*'01_Вводные'!$B$314:$B$318*IF('01_Вводные'!$B$9=0,0,'06_Сеть_и_дети'!AO11/'01_Вводные'!$B$9)-'06_Сеть_и_дети'!AO20*'19_Расчет_аналитики'!AO806*'01_Вводные'!$C$314:$C$318*('01_Вводные'!$E$314:$E$318*('06_Сеть_и_дети'!AO$3&lt;'01_Вводные'!$B$245)+'01_Вводные'!$B$57*('06_Сеть_и_дети'!AO$3&gt;='01_Вводные'!$B$245))))/2)</f>
        <v/>
      </c>
      <c r="AP383">
        <f>SUMPRODUCT(('01_Вводные'!$D$314:$D$318*'01_Вводные'!$B$314:$B$318*IF('01_Вводные'!$B$9=0,0,'06_Сеть_и_дети'!AP11/'01_Вводные'!$B$9)+'06_Сеть_и_дети'!AP20*'19_Расчет_аналитики'!AP806*'01_Вводные'!$C$314:$C$318*('01_Вводные'!$E$314:$E$318*('06_Сеть_и_дети'!AP$3&lt;'01_Вводные'!$B$245)+'01_Вводные'!$B$57*('06_Сеть_и_дети'!AP$3&gt;='01_Вводные'!$B$245))+ABS('01_Вводные'!$D$314:$D$318*'01_Вводные'!$B$314:$B$318*IF('01_Вводные'!$B$9=0,0,'06_Сеть_и_дети'!AP11/'01_Вводные'!$B$9)-'06_Сеть_и_дети'!AP20*'19_Расчет_аналитики'!AP806*'01_Вводные'!$C$314:$C$318*('01_Вводные'!$E$314:$E$318*('06_Сеть_и_дети'!AP$3&lt;'01_Вводные'!$B$245)+'01_Вводные'!$B$57*('06_Сеть_и_дети'!AP$3&gt;='01_Вводные'!$B$245))))/2)</f>
        <v/>
      </c>
      <c r="AQ383">
        <f>SUMPRODUCT(('01_Вводные'!$D$314:$D$318*'01_Вводные'!$B$314:$B$318*IF('01_Вводные'!$B$9=0,0,'06_Сеть_и_дети'!AQ11/'01_Вводные'!$B$9)+'06_Сеть_и_дети'!AQ20*'19_Расчет_аналитики'!AQ806*'01_Вводные'!$C$314:$C$318*('01_Вводные'!$E$314:$E$318*('06_Сеть_и_дети'!AQ$3&lt;'01_Вводные'!$B$245)+'01_Вводные'!$B$57*('06_Сеть_и_дети'!AQ$3&gt;='01_Вводные'!$B$245))+ABS('01_Вводные'!$D$314:$D$318*'01_Вводные'!$B$314:$B$318*IF('01_Вводные'!$B$9=0,0,'06_Сеть_и_дети'!AQ11/'01_Вводные'!$B$9)-'06_Сеть_и_дети'!AQ20*'19_Расчет_аналитики'!AQ806*'01_Вводные'!$C$314:$C$318*('01_Вводные'!$E$314:$E$318*('06_Сеть_и_дети'!AQ$3&lt;'01_Вводные'!$B$245)+'01_Вводные'!$B$57*('06_Сеть_и_дети'!AQ$3&gt;='01_Вводные'!$B$245))))/2)</f>
        <v/>
      </c>
      <c r="AR383">
        <f>SUMPRODUCT(('01_Вводные'!$D$314:$D$318*'01_Вводные'!$B$314:$B$318*IF('01_Вводные'!$B$9=0,0,'06_Сеть_и_дети'!AR11/'01_Вводные'!$B$9)+'06_Сеть_и_дети'!AR20*'19_Расчет_аналитики'!AR806*'01_Вводные'!$C$314:$C$318*('01_Вводные'!$E$314:$E$318*('06_Сеть_и_дети'!AR$3&lt;'01_Вводные'!$B$245)+'01_Вводные'!$B$57*('06_Сеть_и_дети'!AR$3&gt;='01_Вводные'!$B$245))+ABS('01_Вводные'!$D$314:$D$318*'01_Вводные'!$B$314:$B$318*IF('01_Вводные'!$B$9=0,0,'06_Сеть_и_дети'!AR11/'01_Вводные'!$B$9)-'06_Сеть_и_дети'!AR20*'19_Расчет_аналитики'!AR806*'01_Вводные'!$C$314:$C$318*('01_Вводные'!$E$314:$E$318*('06_Сеть_и_дети'!AR$3&lt;'01_Вводные'!$B$245)+'01_Вводные'!$B$57*('06_Сеть_и_дети'!AR$3&gt;='01_Вводные'!$B$245))))/2)</f>
        <v/>
      </c>
      <c r="AS383">
        <f>SUMPRODUCT(('01_Вводные'!$D$314:$D$318*'01_Вводные'!$B$314:$B$318*IF('01_Вводные'!$B$9=0,0,'06_Сеть_и_дети'!AS11/'01_Вводные'!$B$9)+'06_Сеть_и_дети'!AS20*'19_Расчет_аналитики'!AS806*'01_Вводные'!$C$314:$C$318*('01_Вводные'!$E$314:$E$318*('06_Сеть_и_дети'!AS$3&lt;'01_Вводные'!$B$245)+'01_Вводные'!$B$57*('06_Сеть_и_дети'!AS$3&gt;='01_Вводные'!$B$245))+ABS('01_Вводные'!$D$314:$D$318*'01_Вводные'!$B$314:$B$318*IF('01_Вводные'!$B$9=0,0,'06_Сеть_и_дети'!AS11/'01_Вводные'!$B$9)-'06_Сеть_и_дети'!AS20*'19_Расчет_аналитики'!AS806*'01_Вводные'!$C$314:$C$318*('01_Вводные'!$E$314:$E$318*('06_Сеть_и_дети'!AS$3&lt;'01_Вводные'!$B$245)+'01_Вводные'!$B$57*('06_Сеть_и_дети'!AS$3&gt;='01_Вводные'!$B$245))))/2)</f>
        <v/>
      </c>
      <c r="AT383">
        <f>SUMPRODUCT(('01_Вводные'!$D$314:$D$318*'01_Вводные'!$B$314:$B$318*IF('01_Вводные'!$B$9=0,0,'06_Сеть_и_дети'!AT11/'01_Вводные'!$B$9)+'06_Сеть_и_дети'!AT20*'19_Расчет_аналитики'!AT806*'01_Вводные'!$C$314:$C$318*('01_Вводные'!$E$314:$E$318*('06_Сеть_и_дети'!AT$3&lt;'01_Вводные'!$B$245)+'01_Вводные'!$B$57*('06_Сеть_и_дети'!AT$3&gt;='01_Вводные'!$B$245))+ABS('01_Вводные'!$D$314:$D$318*'01_Вводные'!$B$314:$B$318*IF('01_Вводные'!$B$9=0,0,'06_Сеть_и_дети'!AT11/'01_Вводные'!$B$9)-'06_Сеть_и_дети'!AT20*'19_Расчет_аналитики'!AT806*'01_Вводные'!$C$314:$C$318*('01_Вводные'!$E$314:$E$318*('06_Сеть_и_дети'!AT$3&lt;'01_Вводные'!$B$245)+'01_Вводные'!$B$57*('06_Сеть_и_дети'!AT$3&gt;='01_Вводные'!$B$245))))/2)</f>
        <v/>
      </c>
      <c r="AU383">
        <f>SUMPRODUCT(('01_Вводные'!$D$314:$D$318*'01_Вводные'!$B$314:$B$318*IF('01_Вводные'!$B$9=0,0,'06_Сеть_и_дети'!AU11/'01_Вводные'!$B$9)+'06_Сеть_и_дети'!AU20*'19_Расчет_аналитики'!AU806*'01_Вводные'!$C$314:$C$318*('01_Вводные'!$E$314:$E$318*('06_Сеть_и_дети'!AU$3&lt;'01_Вводные'!$B$245)+'01_Вводные'!$B$57*('06_Сеть_и_дети'!AU$3&gt;='01_Вводные'!$B$245))+ABS('01_Вводные'!$D$314:$D$318*'01_Вводные'!$B$314:$B$318*IF('01_Вводные'!$B$9=0,0,'06_Сеть_и_дети'!AU11/'01_Вводные'!$B$9)-'06_Сеть_и_дети'!AU20*'19_Расчет_аналитики'!AU806*'01_Вводные'!$C$314:$C$318*('01_Вводные'!$E$314:$E$318*('06_Сеть_и_дети'!AU$3&lt;'01_Вводные'!$B$245)+'01_Вводные'!$B$57*('06_Сеть_и_дети'!AU$3&gt;='01_Вводные'!$B$245))))/2)</f>
        <v/>
      </c>
      <c r="AV383">
        <f>SUMPRODUCT(('01_Вводные'!$D$314:$D$318*'01_Вводные'!$B$314:$B$318*IF('01_Вводные'!$B$9=0,0,'06_Сеть_и_дети'!AV11/'01_Вводные'!$B$9)+'06_Сеть_и_дети'!AV20*'19_Расчет_аналитики'!AV806*'01_Вводные'!$C$314:$C$318*('01_Вводные'!$E$314:$E$318*('06_Сеть_и_дети'!AV$3&lt;'01_Вводные'!$B$245)+'01_Вводные'!$B$57*('06_Сеть_и_дети'!AV$3&gt;='01_Вводные'!$B$245))+ABS('01_Вводные'!$D$314:$D$318*'01_Вводные'!$B$314:$B$318*IF('01_Вводные'!$B$9=0,0,'06_Сеть_и_дети'!AV11/'01_Вводные'!$B$9)-'06_Сеть_и_дети'!AV20*'19_Расчет_аналитики'!AV806*'01_Вводные'!$C$314:$C$318*('01_Вводные'!$E$314:$E$318*('06_Сеть_и_дети'!AV$3&lt;'01_Вводные'!$B$245)+'01_Вводные'!$B$57*('06_Сеть_и_дети'!AV$3&gt;='01_Вводные'!$B$245))))/2)</f>
        <v/>
      </c>
      <c r="AW383">
        <f>SUMPRODUCT(('01_Вводные'!$D$314:$D$318*'01_Вводные'!$B$314:$B$318*IF('01_Вводные'!$B$9=0,0,'06_Сеть_и_дети'!AW11/'01_Вводные'!$B$9)+'06_Сеть_и_дети'!AW20*'19_Расчет_аналитики'!AW806*'01_Вводные'!$C$314:$C$318*('01_Вводные'!$E$314:$E$318*('06_Сеть_и_дети'!AW$3&lt;'01_Вводные'!$B$245)+'01_Вводные'!$B$57*('06_Сеть_и_дети'!AW$3&gt;='01_Вводные'!$B$245))+ABS('01_Вводные'!$D$314:$D$318*'01_Вводные'!$B$314:$B$318*IF('01_Вводные'!$B$9=0,0,'06_Сеть_и_дети'!AW11/'01_Вводные'!$B$9)-'06_Сеть_и_дети'!AW20*'19_Расчет_аналитики'!AW806*'01_Вводные'!$C$314:$C$318*('01_Вводные'!$E$314:$E$318*('06_Сеть_и_дети'!AW$3&lt;'01_Вводные'!$B$245)+'01_Вводные'!$B$57*('06_Сеть_и_дети'!AW$3&gt;='01_Вводные'!$B$245))))/2)</f>
        <v/>
      </c>
      <c r="AX383">
        <f>SUMPRODUCT(('01_Вводные'!$D$314:$D$318*'01_Вводные'!$B$314:$B$318*IF('01_Вводные'!$B$9=0,0,'06_Сеть_и_дети'!AX11/'01_Вводные'!$B$9)+'06_Сеть_и_дети'!AX20*'19_Расчет_аналитики'!AX806*'01_Вводные'!$C$314:$C$318*('01_Вводные'!$E$314:$E$318*('06_Сеть_и_дети'!AX$3&lt;'01_Вводные'!$B$245)+'01_Вводные'!$B$57*('06_Сеть_и_дети'!AX$3&gt;='01_Вводные'!$B$245))+ABS('01_Вводные'!$D$314:$D$318*'01_Вводные'!$B$314:$B$318*IF('01_Вводные'!$B$9=0,0,'06_Сеть_и_дети'!AX11/'01_Вводные'!$B$9)-'06_Сеть_и_дети'!AX20*'19_Расчет_аналитики'!AX806*'01_Вводные'!$C$314:$C$318*('01_Вводные'!$E$314:$E$318*('06_Сеть_и_дети'!AX$3&lt;'01_Вводные'!$B$245)+'01_Вводные'!$B$57*('06_Сеть_и_дети'!AX$3&gt;='01_Вводные'!$B$245))))/2)</f>
        <v/>
      </c>
      <c r="AY383">
        <f>SUMPRODUCT(('01_Вводные'!$D$314:$D$318*'01_Вводные'!$B$314:$B$318*IF('01_Вводные'!$B$9=0,0,'06_Сеть_и_дети'!AY11/'01_Вводные'!$B$9)+'06_Сеть_и_дети'!AY20*'19_Расчет_аналитики'!AY806*'01_Вводные'!$C$314:$C$318*('01_Вводные'!$E$314:$E$318*('06_Сеть_и_дети'!AY$3&lt;'01_Вводные'!$B$245)+'01_Вводные'!$B$57*('06_Сеть_и_дети'!AY$3&gt;='01_Вводные'!$B$245))+ABS('01_Вводные'!$D$314:$D$318*'01_Вводные'!$B$314:$B$318*IF('01_Вводные'!$B$9=0,0,'06_Сеть_и_дети'!AY11/'01_Вводные'!$B$9)-'06_Сеть_и_дети'!AY20*'19_Расчет_аналитики'!AY806*'01_Вводные'!$C$314:$C$318*('01_Вводные'!$E$314:$E$318*('06_Сеть_и_дети'!AY$3&lt;'01_Вводные'!$B$245)+'01_Вводные'!$B$57*('06_Сеть_и_дети'!AY$3&gt;='01_Вводные'!$B$245))))/2)</f>
        <v/>
      </c>
      <c r="AZ383">
        <f>SUMPRODUCT(('01_Вводные'!$D$314:$D$318*'01_Вводные'!$B$314:$B$318*IF('01_Вводные'!$B$9=0,0,'06_Сеть_и_дети'!AZ11/'01_Вводные'!$B$9)+'06_Сеть_и_дети'!AZ20*'19_Расчет_аналитики'!AZ806*'01_Вводные'!$C$314:$C$318*('01_Вводные'!$E$314:$E$318*('06_Сеть_и_дети'!AZ$3&lt;'01_Вводные'!$B$245)+'01_Вводные'!$B$57*('06_Сеть_и_дети'!AZ$3&gt;='01_Вводные'!$B$245))+ABS('01_Вводные'!$D$314:$D$318*'01_Вводные'!$B$314:$B$318*IF('01_Вводные'!$B$9=0,0,'06_Сеть_и_дети'!AZ11/'01_Вводные'!$B$9)-'06_Сеть_и_дети'!AZ20*'19_Расчет_аналитики'!AZ806*'01_Вводные'!$C$314:$C$318*('01_Вводные'!$E$314:$E$318*('06_Сеть_и_дети'!AZ$3&lt;'01_Вводные'!$B$245)+'01_Вводные'!$B$57*('06_Сеть_и_дети'!AZ$3&gt;='01_Вводные'!$B$245))))/2)</f>
        <v/>
      </c>
      <c r="BA383">
        <f>SUMPRODUCT(('01_Вводные'!$D$314:$D$318*'01_Вводные'!$B$314:$B$318*IF('01_Вводные'!$B$9=0,0,'06_Сеть_и_дети'!BA11/'01_Вводные'!$B$9)+'06_Сеть_и_дети'!BA20*'19_Расчет_аналитики'!BA806*'01_Вводные'!$C$314:$C$318*('01_Вводные'!$E$314:$E$318*('06_Сеть_и_дети'!BA$3&lt;'01_Вводные'!$B$245)+'01_Вводные'!$B$57*('06_Сеть_и_дети'!BA$3&gt;='01_Вводные'!$B$245))+ABS('01_Вводные'!$D$314:$D$318*'01_Вводные'!$B$314:$B$318*IF('01_Вводные'!$B$9=0,0,'06_Сеть_и_дети'!BA11/'01_Вводные'!$B$9)-'06_Сеть_и_дети'!BA20*'19_Расчет_аналитики'!BA806*'01_Вводные'!$C$314:$C$318*('01_Вводные'!$E$314:$E$318*('06_Сеть_и_дети'!BA$3&lt;'01_Вводные'!$B$245)+'01_Вводные'!$B$57*('06_Сеть_и_дети'!BA$3&gt;='01_Вводные'!$B$245))))/2)</f>
        <v/>
      </c>
      <c r="BB383">
        <f>SUMPRODUCT(('01_Вводные'!$D$314:$D$318*'01_Вводные'!$B$314:$B$318*IF('01_Вводные'!$B$9=0,0,'06_Сеть_и_дети'!BB11/'01_Вводные'!$B$9)+'06_Сеть_и_дети'!BB20*'19_Расчет_аналитики'!BB806*'01_Вводные'!$C$314:$C$318*('01_Вводные'!$E$314:$E$318*('06_Сеть_и_дети'!BB$3&lt;'01_Вводные'!$B$245)+'01_Вводные'!$B$57*('06_Сеть_и_дети'!BB$3&gt;='01_Вводные'!$B$245))+ABS('01_Вводные'!$D$314:$D$318*'01_Вводные'!$B$314:$B$318*IF('01_Вводные'!$B$9=0,0,'06_Сеть_и_дети'!BB11/'01_Вводные'!$B$9)-'06_Сеть_и_дети'!BB20*'19_Расчет_аналитики'!BB806*'01_Вводные'!$C$314:$C$318*('01_Вводные'!$E$314:$E$318*('06_Сеть_и_дети'!BB$3&lt;'01_Вводные'!$B$245)+'01_Вводные'!$B$57*('06_Сеть_и_дети'!BB$3&gt;='01_Вводные'!$B$245))))/2)</f>
        <v/>
      </c>
      <c r="BC383">
        <f>SUMPRODUCT(('01_Вводные'!$D$314:$D$318*'01_Вводные'!$B$314:$B$318*IF('01_Вводные'!$B$9=0,0,'06_Сеть_и_дети'!BC11/'01_Вводные'!$B$9)+'06_Сеть_и_дети'!BC20*'19_Расчет_аналитики'!BC806*'01_Вводные'!$C$314:$C$318*('01_Вводные'!$E$314:$E$318*('06_Сеть_и_дети'!BC$3&lt;'01_Вводные'!$B$245)+'01_Вводные'!$B$57*('06_Сеть_и_дети'!BC$3&gt;='01_Вводные'!$B$245))+ABS('01_Вводные'!$D$314:$D$318*'01_Вводные'!$B$314:$B$318*IF('01_Вводные'!$B$9=0,0,'06_Сеть_и_дети'!BC11/'01_Вводные'!$B$9)-'06_Сеть_и_дети'!BC20*'19_Расчет_аналитики'!BC806*'01_Вводные'!$C$314:$C$318*('01_Вводные'!$E$314:$E$318*('06_Сеть_и_дети'!BC$3&lt;'01_Вводные'!$B$245)+'01_Вводные'!$B$57*('06_Сеть_и_дети'!BC$3&gt;='01_Вводные'!$B$245))))/2)</f>
        <v/>
      </c>
      <c r="BD383">
        <f>SUMPRODUCT(('01_Вводные'!$D$314:$D$318*'01_Вводные'!$B$314:$B$318*IF('01_Вводные'!$B$9=0,0,'06_Сеть_и_дети'!BD11/'01_Вводные'!$B$9)+'06_Сеть_и_дети'!BD20*'19_Расчет_аналитики'!BD806*'01_Вводные'!$C$314:$C$318*('01_Вводные'!$E$314:$E$318*('06_Сеть_и_дети'!BD$3&lt;'01_Вводные'!$B$245)+'01_Вводные'!$B$57*('06_Сеть_и_дети'!BD$3&gt;='01_Вводные'!$B$245))+ABS('01_Вводные'!$D$314:$D$318*'01_Вводные'!$B$314:$B$318*IF('01_Вводные'!$B$9=0,0,'06_Сеть_и_дети'!BD11/'01_Вводные'!$B$9)-'06_Сеть_и_дети'!BD20*'19_Расчет_аналитики'!BD806*'01_Вводные'!$C$314:$C$318*('01_Вводные'!$E$314:$E$318*('06_Сеть_и_дети'!BD$3&lt;'01_Вводные'!$B$245)+'01_Вводные'!$B$57*('06_Сеть_и_дети'!BD$3&gt;='01_Вводные'!$B$245))))/2)</f>
        <v/>
      </c>
      <c r="BE383">
        <f>SUMPRODUCT(('01_Вводные'!$D$314:$D$318*'01_Вводные'!$B$314:$B$318*IF('01_Вводные'!$B$9=0,0,'06_Сеть_и_дети'!BE11/'01_Вводные'!$B$9)+'06_Сеть_и_дети'!BE20*'19_Расчет_аналитики'!BE806*'01_Вводные'!$C$314:$C$318*('01_Вводные'!$E$314:$E$318*('06_Сеть_и_дети'!BE$3&lt;'01_Вводные'!$B$245)+'01_Вводные'!$B$57*('06_Сеть_и_дети'!BE$3&gt;='01_Вводные'!$B$245))+ABS('01_Вводные'!$D$314:$D$318*'01_Вводные'!$B$314:$B$318*IF('01_Вводные'!$B$9=0,0,'06_Сеть_и_дети'!BE11/'01_Вводные'!$B$9)-'06_Сеть_и_дети'!BE20*'19_Расчет_аналитики'!BE806*'01_Вводные'!$C$314:$C$318*('01_Вводные'!$E$314:$E$318*('06_Сеть_и_дети'!BE$3&lt;'01_Вводные'!$B$245)+'01_Вводные'!$B$57*('06_Сеть_и_дети'!BE$3&gt;='01_Вводные'!$B$245))))/2)</f>
        <v/>
      </c>
      <c r="BF383">
        <f>SUMPRODUCT(('01_Вводные'!$D$314:$D$318*'01_Вводные'!$B$314:$B$318*IF('01_Вводные'!$B$9=0,0,'06_Сеть_и_дети'!BF11/'01_Вводные'!$B$9)+'06_Сеть_и_дети'!BF20*'19_Расчет_аналитики'!BF806*'01_Вводные'!$C$314:$C$318*('01_Вводные'!$E$314:$E$318*('06_Сеть_и_дети'!BF$3&lt;'01_Вводные'!$B$245)+'01_Вводные'!$B$57*('06_Сеть_и_дети'!BF$3&gt;='01_Вводные'!$B$245))+ABS('01_Вводные'!$D$314:$D$318*'01_Вводные'!$B$314:$B$318*IF('01_Вводные'!$B$9=0,0,'06_Сеть_и_дети'!BF11/'01_Вводные'!$B$9)-'06_Сеть_и_дети'!BF20*'19_Расчет_аналитики'!BF806*'01_Вводные'!$C$314:$C$318*('01_Вводные'!$E$314:$E$318*('06_Сеть_и_дети'!BF$3&lt;'01_Вводные'!$B$245)+'01_Вводные'!$B$57*('06_Сеть_и_дети'!BF$3&gt;='01_Вводные'!$B$245))))/2)</f>
        <v/>
      </c>
      <c r="BG383">
        <f>SUMPRODUCT(('01_Вводные'!$D$314:$D$318*'01_Вводные'!$B$314:$B$318*IF('01_Вводные'!$B$9=0,0,'06_Сеть_и_дети'!BG11/'01_Вводные'!$B$9)+'06_Сеть_и_дети'!BG20*'19_Расчет_аналитики'!BG806*'01_Вводные'!$C$314:$C$318*('01_Вводные'!$E$314:$E$318*('06_Сеть_и_дети'!BG$3&lt;'01_Вводные'!$B$245)+'01_Вводные'!$B$57*('06_Сеть_и_дети'!BG$3&gt;='01_Вводные'!$B$245))+ABS('01_Вводные'!$D$314:$D$318*'01_Вводные'!$B$314:$B$318*IF('01_Вводные'!$B$9=0,0,'06_Сеть_и_дети'!BG11/'01_Вводные'!$B$9)-'06_Сеть_и_дети'!BG20*'19_Расчет_аналитики'!BG806*'01_Вводные'!$C$314:$C$318*('01_Вводные'!$E$314:$E$318*('06_Сеть_и_дети'!BG$3&lt;'01_Вводные'!$B$245)+'01_Вводные'!$B$57*('06_Сеть_и_дети'!BG$3&gt;='01_Вводные'!$B$245))))/2)</f>
        <v/>
      </c>
      <c r="BH383">
        <f>SUMPRODUCT(('01_Вводные'!$D$314:$D$318*'01_Вводные'!$B$314:$B$318*IF('01_Вводные'!$B$9=0,0,'06_Сеть_и_дети'!BH11/'01_Вводные'!$B$9)+'06_Сеть_и_дети'!BH20*'19_Расчет_аналитики'!BH806*'01_Вводные'!$C$314:$C$318*('01_Вводные'!$E$314:$E$318*('06_Сеть_и_дети'!BH$3&lt;'01_Вводные'!$B$245)+'01_Вводные'!$B$57*('06_Сеть_и_дети'!BH$3&gt;='01_Вводные'!$B$245))+ABS('01_Вводные'!$D$314:$D$318*'01_Вводные'!$B$314:$B$318*IF('01_Вводные'!$B$9=0,0,'06_Сеть_и_дети'!BH11/'01_Вводные'!$B$9)-'06_Сеть_и_дети'!BH20*'19_Расчет_аналитики'!BH806*'01_Вводные'!$C$314:$C$318*('01_Вводные'!$E$314:$E$318*('06_Сеть_и_дети'!BH$3&lt;'01_Вводные'!$B$245)+'01_Вводные'!$B$57*('06_Сеть_и_дети'!BH$3&gt;='01_Вводные'!$B$245))))/2)</f>
        <v/>
      </c>
      <c r="BI383">
        <f>SUMPRODUCT(('01_Вводные'!$D$314:$D$318*'01_Вводные'!$B$314:$B$318*IF('01_Вводные'!$B$9=0,0,'06_Сеть_и_дети'!BI11/'01_Вводные'!$B$9)+'06_Сеть_и_дети'!BI20*'19_Расчет_аналитики'!BI806*'01_Вводные'!$C$314:$C$318*('01_Вводные'!$E$314:$E$318*('06_Сеть_и_дети'!BI$3&lt;'01_Вводные'!$B$245)+'01_Вводные'!$B$57*('06_Сеть_и_дети'!BI$3&gt;='01_Вводные'!$B$245))+ABS('01_Вводные'!$D$314:$D$318*'01_Вводные'!$B$314:$B$318*IF('01_Вводные'!$B$9=0,0,'06_Сеть_и_дети'!BI11/'01_Вводные'!$B$9)-'06_Сеть_и_дети'!BI20*'19_Расчет_аналитики'!BI806*'01_Вводные'!$C$314:$C$318*('01_Вводные'!$E$314:$E$318*('06_Сеть_и_дети'!BI$3&lt;'01_Вводные'!$B$245)+'01_Вводные'!$B$57*('06_Сеть_и_дети'!BI$3&gt;='01_Вводные'!$B$245))))/2)</f>
        <v/>
      </c>
      <c r="BJ383">
        <f>SUMPRODUCT(('01_Вводные'!$D$314:$D$318*'01_Вводные'!$B$314:$B$318*IF('01_Вводные'!$B$9=0,0,'06_Сеть_и_дети'!BJ11/'01_Вводные'!$B$9)+'06_Сеть_и_дети'!BJ20*'19_Расчет_аналитики'!BJ806*'01_Вводные'!$C$314:$C$318*('01_Вводные'!$E$314:$E$318*('06_Сеть_и_дети'!BJ$3&lt;'01_Вводные'!$B$245)+'01_Вводные'!$B$57*('06_Сеть_и_дети'!BJ$3&gt;='01_Вводные'!$B$245))+ABS('01_Вводные'!$D$314:$D$318*'01_Вводные'!$B$314:$B$318*IF('01_Вводные'!$B$9=0,0,'06_Сеть_и_дети'!BJ11/'01_Вводные'!$B$9)-'06_Сеть_и_дети'!BJ20*'19_Расчет_аналитики'!BJ806*'01_Вводные'!$C$314:$C$318*('01_Вводные'!$E$314:$E$318*('06_Сеть_и_дети'!BJ$3&lt;'01_Вводные'!$B$245)+'01_Вводные'!$B$57*('06_Сеть_и_дети'!BJ$3&gt;='01_Вводные'!$B$245))))/2)</f>
        <v/>
      </c>
      <c r="BK383">
        <f>SUMPRODUCT(('01_Вводные'!$D$314:$D$318*'01_Вводные'!$B$314:$B$318*IF('01_Вводные'!$B$9=0,0,'06_Сеть_и_дети'!BK11/'01_Вводные'!$B$9)+'06_Сеть_и_дети'!BK20*'19_Расчет_аналитики'!BK806*'01_Вводные'!$C$314:$C$318*('01_Вводные'!$E$314:$E$318*('06_Сеть_и_дети'!BK$3&lt;'01_Вводные'!$B$245)+'01_Вводные'!$B$57*('06_Сеть_и_дети'!BK$3&gt;='01_Вводные'!$B$245))+ABS('01_Вводные'!$D$314:$D$318*'01_Вводные'!$B$314:$B$318*IF('01_Вводные'!$B$9=0,0,'06_Сеть_и_дети'!BK11/'01_Вводные'!$B$9)-'06_Сеть_и_дети'!BK20*'19_Расчет_аналитики'!BK806*'01_Вводные'!$C$314:$C$318*('01_Вводные'!$E$314:$E$318*('06_Сеть_и_дети'!BK$3&lt;'01_Вводные'!$B$245)+'01_Вводные'!$B$57*('06_Сеть_и_дети'!BK$3&gt;='01_Вводные'!$B$245))))/2)</f>
        <v/>
      </c>
      <c r="BL383">
        <f>SUMPRODUCT(('01_Вводные'!$D$314:$D$318*'01_Вводные'!$B$314:$B$318*IF('01_Вводные'!$B$9=0,0,'06_Сеть_и_дети'!BL11/'01_Вводные'!$B$9)+'06_Сеть_и_дети'!BL20*'19_Расчет_аналитики'!BL806*'01_Вводные'!$C$314:$C$318*('01_Вводные'!$E$314:$E$318*('06_Сеть_и_дети'!BL$3&lt;'01_Вводные'!$B$245)+'01_Вводные'!$B$57*('06_Сеть_и_дети'!BL$3&gt;='01_Вводные'!$B$245))+ABS('01_Вводные'!$D$314:$D$318*'01_Вводные'!$B$314:$B$318*IF('01_Вводные'!$B$9=0,0,'06_Сеть_и_дети'!BL11/'01_Вводные'!$B$9)-'06_Сеть_и_дети'!BL20*'19_Расчет_аналитики'!BL806*'01_Вводные'!$C$314:$C$318*('01_Вводные'!$E$314:$E$318*('06_Сеть_и_дети'!BL$3&lt;'01_Вводные'!$B$245)+'01_Вводные'!$B$57*('06_Сеть_и_дети'!BL$3&gt;='01_Вводные'!$B$245))))/2)</f>
        <v/>
      </c>
      <c r="BM383">
        <f>SUMPRODUCT(('01_Вводные'!$D$314:$D$318*'01_Вводные'!$B$314:$B$318*IF('01_Вводные'!$B$9=0,0,'06_Сеть_и_дети'!BM11/'01_Вводные'!$B$9)+'06_Сеть_и_дети'!BM20*'19_Расчет_аналитики'!BM806*'01_Вводные'!$C$314:$C$318*('01_Вводные'!$E$314:$E$318*('06_Сеть_и_дети'!BM$3&lt;'01_Вводные'!$B$245)+'01_Вводные'!$B$57*('06_Сеть_и_дети'!BM$3&gt;='01_Вводные'!$B$245))+ABS('01_Вводные'!$D$314:$D$318*'01_Вводные'!$B$314:$B$318*IF('01_Вводные'!$B$9=0,0,'06_Сеть_и_дети'!BM11/'01_Вводные'!$B$9)-'06_Сеть_и_дети'!BM20*'19_Расчет_аналитики'!BM806*'01_Вводные'!$C$314:$C$318*('01_Вводные'!$E$314:$E$318*('06_Сеть_и_дети'!BM$3&lt;'01_Вводные'!$B$245)+'01_Вводные'!$B$57*('06_Сеть_и_дети'!BM$3&gt;='01_Вводные'!$B$245))))/2)</f>
        <v/>
      </c>
      <c r="BN383">
        <f>SUMPRODUCT(('01_Вводные'!$D$314:$D$318*'01_Вводные'!$B$314:$B$318*IF('01_Вводные'!$B$9=0,0,'06_Сеть_и_дети'!BN11/'01_Вводные'!$B$9)+'06_Сеть_и_дети'!BN20*'19_Расчет_аналитики'!BN806*'01_Вводные'!$C$314:$C$318*('01_Вводные'!$E$314:$E$318*('06_Сеть_и_дети'!BN$3&lt;'01_Вводные'!$B$245)+'01_Вводные'!$B$57*('06_Сеть_и_дети'!BN$3&gt;='01_Вводные'!$B$245))+ABS('01_Вводные'!$D$314:$D$318*'01_Вводные'!$B$314:$B$318*IF('01_Вводные'!$B$9=0,0,'06_Сеть_и_дети'!BN11/'01_Вводные'!$B$9)-'06_Сеть_и_дети'!BN20*'19_Расчет_аналитики'!BN806*'01_Вводные'!$C$314:$C$318*('01_Вводные'!$E$314:$E$318*('06_Сеть_и_дети'!BN$3&lt;'01_Вводные'!$B$245)+'01_Вводные'!$B$57*('06_Сеть_и_дети'!BN$3&gt;='01_Вводные'!$B$245))))/2)</f>
        <v/>
      </c>
      <c r="BO383">
        <f>SUMPRODUCT(('01_Вводные'!$D$314:$D$318*'01_Вводные'!$B$314:$B$318*IF('01_Вводные'!$B$9=0,0,'06_Сеть_и_дети'!BO11/'01_Вводные'!$B$9)+'06_Сеть_и_дети'!BO20*'19_Расчет_аналитики'!BO806*'01_Вводные'!$C$314:$C$318*('01_Вводные'!$E$314:$E$318*('06_Сеть_и_дети'!BO$3&lt;'01_Вводные'!$B$245)+'01_Вводные'!$B$57*('06_Сеть_и_дети'!BO$3&gt;='01_Вводные'!$B$245))+ABS('01_Вводные'!$D$314:$D$318*'01_Вводные'!$B$314:$B$318*IF('01_Вводные'!$B$9=0,0,'06_Сеть_и_дети'!BO11/'01_Вводные'!$B$9)-'06_Сеть_и_дети'!BO20*'19_Расчет_аналитики'!BO806*'01_Вводные'!$C$314:$C$318*('01_Вводные'!$E$314:$E$318*('06_Сеть_и_дети'!BO$3&lt;'01_Вводные'!$B$245)+'01_Вводные'!$B$57*('06_Сеть_и_дети'!BO$3&gt;='01_Вводные'!$B$245))))/2)</f>
        <v/>
      </c>
    </row>
    <row r="384">
      <c r="B384">
        <f>SUM('19_Расчет_аналитики'!B464:B488,'19_Расчет_аналитики'!B492:B516)</f>
        <v/>
      </c>
      <c r="C384">
        <f>SUM('19_Расчет_аналитики'!C464:C488,'19_Расчет_аналитики'!C492:C516)</f>
        <v/>
      </c>
      <c r="D384">
        <f>SUM('19_Расчет_аналитики'!D464:D488,'19_Расчет_аналитики'!D492:D516)</f>
        <v/>
      </c>
      <c r="E384">
        <f>SUM('19_Расчет_аналитики'!E464:E488,'19_Расчет_аналитики'!E492:E516)</f>
        <v/>
      </c>
      <c r="F384">
        <f>SUM('19_Расчет_аналитики'!F464:F488,'19_Расчет_аналитики'!F492:F516)</f>
        <v/>
      </c>
      <c r="G384">
        <f>SUM('19_Расчет_аналитики'!G464:G488,'19_Расчет_аналитики'!G492:G516)</f>
        <v/>
      </c>
      <c r="H384">
        <f>SUM('19_Расчет_аналитики'!H464:H488,'19_Расчет_аналитики'!H492:H516)</f>
        <v/>
      </c>
      <c r="I384">
        <f>SUM('19_Расчет_аналитики'!I464:I488,'19_Расчет_аналитики'!I492:I516)</f>
        <v/>
      </c>
      <c r="J384">
        <f>SUM('19_Расчет_аналитики'!J464:J488,'19_Расчет_аналитики'!J492:J516)</f>
        <v/>
      </c>
      <c r="K384">
        <f>SUM('19_Расчет_аналитики'!K464:K488,'19_Расчет_аналитики'!K492:K516)</f>
        <v/>
      </c>
      <c r="L384">
        <f>SUM('19_Расчет_аналитики'!L464:L488,'19_Расчет_аналитики'!L492:L516)</f>
        <v/>
      </c>
      <c r="M384">
        <f>SUM('19_Расчет_аналитики'!M464:M488,'19_Расчет_аналитики'!M492:M516)</f>
        <v/>
      </c>
      <c r="N384">
        <f>SUM('19_Расчет_аналитики'!N464:N488,'19_Расчет_аналитики'!N492:N516)</f>
        <v/>
      </c>
      <c r="O384">
        <f>SUM('19_Расчет_аналитики'!O464:O488,'19_Расчет_аналитики'!O492:O516)</f>
        <v/>
      </c>
      <c r="P384">
        <f>SUM('19_Расчет_аналитики'!P464:P488,'19_Расчет_аналитики'!P492:P516)</f>
        <v/>
      </c>
      <c r="Q384">
        <f>SUM('19_Расчет_аналитики'!Q464:Q488,'19_Расчет_аналитики'!Q492:Q516)</f>
        <v/>
      </c>
      <c r="R384">
        <f>SUM('19_Расчет_аналитики'!R464:R488,'19_Расчет_аналитики'!R492:R516)</f>
        <v/>
      </c>
      <c r="S384">
        <f>SUM('19_Расчет_аналитики'!S464:S488,'19_Расчет_аналитики'!S492:S516)</f>
        <v/>
      </c>
      <c r="T384">
        <f>SUM('19_Расчет_аналитики'!T464:T488,'19_Расчет_аналитики'!T492:T516)</f>
        <v/>
      </c>
      <c r="U384">
        <f>SUM('19_Расчет_аналитики'!U464:U488,'19_Расчет_аналитики'!U492:U516)</f>
        <v/>
      </c>
      <c r="V384">
        <f>SUM('19_Расчет_аналитики'!V464:V488,'19_Расчет_аналитики'!V492:V516)</f>
        <v/>
      </c>
      <c r="W384">
        <f>SUM('19_Расчет_аналитики'!W464:W488,'19_Расчет_аналитики'!W492:W516)</f>
        <v/>
      </c>
      <c r="X384">
        <f>SUM('19_Расчет_аналитики'!X464:X488,'19_Расчет_аналитики'!X492:X516)</f>
        <v/>
      </c>
      <c r="Y384">
        <f>SUM('19_Расчет_аналитики'!Y464:Y488,'19_Расчет_аналитики'!Y492:Y516)</f>
        <v/>
      </c>
      <c r="Z384">
        <f>SUM('19_Расчет_аналитики'!Z464:Z488,'19_Расчет_аналитики'!Z492:Z516)</f>
        <v/>
      </c>
      <c r="AA384">
        <f>SUM('19_Расчет_аналитики'!AA464:AA488,'19_Расчет_аналитики'!AA492:AA516)</f>
        <v/>
      </c>
      <c r="AB384">
        <f>SUM('19_Расчет_аналитики'!AB464:AB488,'19_Расчет_аналитики'!AB492:AB516)</f>
        <v/>
      </c>
      <c r="AC384">
        <f>SUM('19_Расчет_аналитики'!AC464:AC488,'19_Расчет_аналитики'!AC492:AC516)</f>
        <v/>
      </c>
      <c r="AD384">
        <f>SUM('19_Расчет_аналитики'!AD464:AD488,'19_Расчет_аналитики'!AD492:AD516)</f>
        <v/>
      </c>
      <c r="AE384">
        <f>SUM('19_Расчет_аналитики'!AE464:AE488,'19_Расчет_аналитики'!AE492:AE516)</f>
        <v/>
      </c>
      <c r="AF384">
        <f>SUM('19_Расчет_аналитики'!AF464:AF488,'19_Расчет_аналитики'!AF492:AF516)</f>
        <v/>
      </c>
      <c r="AG384">
        <f>SUM('19_Расчет_аналитики'!AG464:AG488,'19_Расчет_аналитики'!AG492:AG516)</f>
        <v/>
      </c>
      <c r="AH384">
        <f>SUM('19_Расчет_аналитики'!AH464:AH488,'19_Расчет_аналитики'!AH492:AH516)</f>
        <v/>
      </c>
      <c r="AI384">
        <f>SUM('19_Расчет_аналитики'!AI464:AI488,'19_Расчет_аналитики'!AI492:AI516)</f>
        <v/>
      </c>
      <c r="AJ384">
        <f>SUM('19_Расчет_аналитики'!AJ464:AJ488,'19_Расчет_аналитики'!AJ492:AJ516)</f>
        <v/>
      </c>
      <c r="AK384">
        <f>SUM('19_Расчет_аналитики'!AK464:AK488,'19_Расчет_аналитики'!AK492:AK516)</f>
        <v/>
      </c>
      <c r="AL384">
        <f>SUM('19_Расчет_аналитики'!AL464:AL488,'19_Расчет_аналитики'!AL492:AL516)</f>
        <v/>
      </c>
      <c r="AM384">
        <f>SUM('19_Расчет_аналитики'!AM464:AM488,'19_Расчет_аналитики'!AM492:AM516)</f>
        <v/>
      </c>
      <c r="AN384">
        <f>SUM('19_Расчет_аналитики'!AN464:AN488,'19_Расчет_аналитики'!AN492:AN516)</f>
        <v/>
      </c>
      <c r="AO384">
        <f>SUM('19_Расчет_аналитики'!AO464:AO488,'19_Расчет_аналитики'!AO492:AO516)</f>
        <v/>
      </c>
      <c r="AP384">
        <f>SUM('19_Расчет_аналитики'!AP464:AP488,'19_Расчет_аналитики'!AP492:AP516)</f>
        <v/>
      </c>
      <c r="AQ384">
        <f>SUM('19_Расчет_аналитики'!AQ464:AQ488,'19_Расчет_аналитики'!AQ492:AQ516)</f>
        <v/>
      </c>
      <c r="AR384">
        <f>SUM('19_Расчет_аналитики'!AR464:AR488,'19_Расчет_аналитики'!AR492:AR516)</f>
        <v/>
      </c>
      <c r="AS384">
        <f>SUM('19_Расчет_аналитики'!AS464:AS488,'19_Расчет_аналитики'!AS492:AS516)</f>
        <v/>
      </c>
      <c r="AT384">
        <f>SUM('19_Расчет_аналитики'!AT464:AT488,'19_Расчет_аналитики'!AT492:AT516)</f>
        <v/>
      </c>
      <c r="AU384">
        <f>SUM('19_Расчет_аналитики'!AU464:AU488,'19_Расчет_аналитики'!AU492:AU516)</f>
        <v/>
      </c>
      <c r="AV384">
        <f>SUM('19_Расчет_аналитики'!AV464:AV488,'19_Расчет_аналитики'!AV492:AV516)</f>
        <v/>
      </c>
      <c r="AW384">
        <f>SUM('19_Расчет_аналитики'!AW464:AW488,'19_Расчет_аналитики'!AW492:AW516)</f>
        <v/>
      </c>
      <c r="AX384">
        <f>SUM('19_Расчет_аналитики'!AX464:AX488,'19_Расчет_аналитики'!AX492:AX516)</f>
        <v/>
      </c>
      <c r="AY384">
        <f>SUM('19_Расчет_аналитики'!AY464:AY488,'19_Расчет_аналитики'!AY492:AY516)</f>
        <v/>
      </c>
      <c r="AZ384">
        <f>SUM('19_Расчет_аналитики'!AZ464:AZ488,'19_Расчет_аналитики'!AZ492:AZ516)</f>
        <v/>
      </c>
      <c r="BA384">
        <f>SUM('19_Расчет_аналитики'!BA464:BA488,'19_Расчет_аналитики'!BA492:BA516)</f>
        <v/>
      </c>
      <c r="BB384">
        <f>SUM('19_Расчет_аналитики'!BB464:BB488,'19_Расчет_аналитики'!BB492:BB516)</f>
        <v/>
      </c>
      <c r="BC384">
        <f>SUM('19_Расчет_аналитики'!BC464:BC488,'19_Расчет_аналитики'!BC492:BC516)</f>
        <v/>
      </c>
      <c r="BD384">
        <f>SUM('19_Расчет_аналитики'!BD464:BD488,'19_Расчет_аналитики'!BD492:BD516)</f>
        <v/>
      </c>
      <c r="BE384">
        <f>SUM('19_Расчет_аналитики'!BE464:BE488,'19_Расчет_аналитики'!BE492:BE516)</f>
        <v/>
      </c>
      <c r="BF384">
        <f>SUM('19_Расчет_аналитики'!BF464:BF488,'19_Расчет_аналитики'!BF492:BF516)</f>
        <v/>
      </c>
      <c r="BG384">
        <f>SUM('19_Расчет_аналитики'!BG464:BG488,'19_Расчет_аналитики'!BG492:BG516)</f>
        <v/>
      </c>
      <c r="BH384">
        <f>SUM('19_Расчет_аналитики'!BH464:BH488,'19_Расчет_аналитики'!BH492:BH516)</f>
        <v/>
      </c>
      <c r="BI384">
        <f>SUM('19_Расчет_аналитики'!BI464:BI488,'19_Расчет_аналитики'!BI492:BI516)</f>
        <v/>
      </c>
      <c r="BJ384">
        <f>SUM('19_Расчет_аналитики'!BJ464:BJ488,'19_Расчет_аналитики'!BJ492:BJ516)</f>
        <v/>
      </c>
      <c r="BK384">
        <f>SUM('19_Расчет_аналитики'!BK464:BK488,'19_Расчет_аналитики'!BK492:BK516)</f>
        <v/>
      </c>
      <c r="BL384">
        <f>SUM('19_Расчет_аналитики'!BL464:BL488,'19_Расчет_аналитики'!BL492:BL516)</f>
        <v/>
      </c>
      <c r="BM384">
        <f>SUM('19_Расчет_аналитики'!BM464:BM488,'19_Расчет_аналитики'!BM492:BM516)</f>
        <v/>
      </c>
      <c r="BN384">
        <f>SUM('19_Расчет_аналитики'!BN464:BN488,'19_Расчет_аналитики'!BN492:BN516)</f>
        <v/>
      </c>
      <c r="BO384">
        <f>SUM('19_Расчет_аналитики'!BO464:BO488,'19_Расчет_аналитики'!BO492:BO516)</f>
        <v/>
      </c>
    </row>
    <row r="385">
      <c r="B385">
        <f>'19_Расчет_аналитики'!B383+'19_Расчет_аналитики'!B384</f>
        <v/>
      </c>
      <c r="C385">
        <f>'19_Расчет_аналитики'!C383+'19_Расчет_аналитики'!C384</f>
        <v/>
      </c>
      <c r="D385">
        <f>'19_Расчет_аналитики'!D383+'19_Расчет_аналитики'!D384</f>
        <v/>
      </c>
      <c r="E385">
        <f>'19_Расчет_аналитики'!E383+'19_Расчет_аналитики'!E384</f>
        <v/>
      </c>
      <c r="F385">
        <f>'19_Расчет_аналитики'!F383+'19_Расчет_аналитики'!F384</f>
        <v/>
      </c>
      <c r="G385">
        <f>'19_Расчет_аналитики'!G383+'19_Расчет_аналитики'!G384</f>
        <v/>
      </c>
      <c r="H385">
        <f>'19_Расчет_аналитики'!H383+'19_Расчет_аналитики'!H384</f>
        <v/>
      </c>
      <c r="I385">
        <f>'19_Расчет_аналитики'!I383+'19_Расчет_аналитики'!I384</f>
        <v/>
      </c>
      <c r="J385">
        <f>'19_Расчет_аналитики'!J383+'19_Расчет_аналитики'!J384</f>
        <v/>
      </c>
      <c r="K385">
        <f>'19_Расчет_аналитики'!K383+'19_Расчет_аналитики'!K384</f>
        <v/>
      </c>
      <c r="L385">
        <f>'19_Расчет_аналитики'!L383+'19_Расчет_аналитики'!L384</f>
        <v/>
      </c>
      <c r="M385">
        <f>'19_Расчет_аналитики'!M383+'19_Расчет_аналитики'!M384</f>
        <v/>
      </c>
      <c r="N385">
        <f>'19_Расчет_аналитики'!N383+'19_Расчет_аналитики'!N384</f>
        <v/>
      </c>
      <c r="O385">
        <f>'19_Расчет_аналитики'!O383+'19_Расчет_аналитики'!O384</f>
        <v/>
      </c>
      <c r="P385">
        <f>'19_Расчет_аналитики'!P383+'19_Расчет_аналитики'!P384</f>
        <v/>
      </c>
      <c r="Q385">
        <f>'19_Расчет_аналитики'!Q383+'19_Расчет_аналитики'!Q384</f>
        <v/>
      </c>
      <c r="R385">
        <f>'19_Расчет_аналитики'!R383+'19_Расчет_аналитики'!R384</f>
        <v/>
      </c>
      <c r="S385">
        <f>'19_Расчет_аналитики'!S383+'19_Расчет_аналитики'!S384</f>
        <v/>
      </c>
      <c r="T385">
        <f>'19_Расчет_аналитики'!T383+'19_Расчет_аналитики'!T384</f>
        <v/>
      </c>
      <c r="U385">
        <f>'19_Расчет_аналитики'!U383+'19_Расчет_аналитики'!U384</f>
        <v/>
      </c>
      <c r="V385">
        <f>'19_Расчет_аналитики'!V383+'19_Расчет_аналитики'!V384</f>
        <v/>
      </c>
      <c r="W385">
        <f>'19_Расчет_аналитики'!W383+'19_Расчет_аналитики'!W384</f>
        <v/>
      </c>
      <c r="X385">
        <f>'19_Расчет_аналитики'!X383+'19_Расчет_аналитики'!X384</f>
        <v/>
      </c>
      <c r="Y385">
        <f>'19_Расчет_аналитики'!Y383+'19_Расчет_аналитики'!Y384</f>
        <v/>
      </c>
      <c r="Z385">
        <f>'19_Расчет_аналитики'!Z383+'19_Расчет_аналитики'!Z384</f>
        <v/>
      </c>
      <c r="AA385">
        <f>'19_Расчет_аналитики'!AA383+'19_Расчет_аналитики'!AA384</f>
        <v/>
      </c>
      <c r="AB385">
        <f>'19_Расчет_аналитики'!AB383+'19_Расчет_аналитики'!AB384</f>
        <v/>
      </c>
      <c r="AC385">
        <f>'19_Расчет_аналитики'!AC383+'19_Расчет_аналитики'!AC384</f>
        <v/>
      </c>
      <c r="AD385">
        <f>'19_Расчет_аналитики'!AD383+'19_Расчет_аналитики'!AD384</f>
        <v/>
      </c>
      <c r="AE385">
        <f>'19_Расчет_аналитики'!AE383+'19_Расчет_аналитики'!AE384</f>
        <v/>
      </c>
      <c r="AF385">
        <f>'19_Расчет_аналитики'!AF383+'19_Расчет_аналитики'!AF384</f>
        <v/>
      </c>
      <c r="AG385">
        <f>'19_Расчет_аналитики'!AG383+'19_Расчет_аналитики'!AG384</f>
        <v/>
      </c>
      <c r="AH385">
        <f>'19_Расчет_аналитики'!AH383+'19_Расчет_аналитики'!AH384</f>
        <v/>
      </c>
      <c r="AI385">
        <f>'19_Расчет_аналитики'!AI383+'19_Расчет_аналитики'!AI384</f>
        <v/>
      </c>
      <c r="AJ385">
        <f>'19_Расчет_аналитики'!AJ383+'19_Расчет_аналитики'!AJ384</f>
        <v/>
      </c>
      <c r="AK385">
        <f>'19_Расчет_аналитики'!AK383+'19_Расчет_аналитики'!AK384</f>
        <v/>
      </c>
      <c r="AL385">
        <f>'19_Расчет_аналитики'!AL383+'19_Расчет_аналитики'!AL384</f>
        <v/>
      </c>
      <c r="AM385">
        <f>'19_Расчет_аналитики'!AM383+'19_Расчет_аналитики'!AM384</f>
        <v/>
      </c>
      <c r="AN385">
        <f>'19_Расчет_аналитики'!AN383+'19_Расчет_аналитики'!AN384</f>
        <v/>
      </c>
      <c r="AO385">
        <f>'19_Расчет_аналитики'!AO383+'19_Расчет_аналитики'!AO384</f>
        <v/>
      </c>
      <c r="AP385">
        <f>'19_Расчет_аналитики'!AP383+'19_Расчет_аналитики'!AP384</f>
        <v/>
      </c>
      <c r="AQ385">
        <f>'19_Расчет_аналитики'!AQ383+'19_Расчет_аналитики'!AQ384</f>
        <v/>
      </c>
      <c r="AR385">
        <f>'19_Расчет_аналитики'!AR383+'19_Расчет_аналитики'!AR384</f>
        <v/>
      </c>
      <c r="AS385">
        <f>'19_Расчет_аналитики'!AS383+'19_Расчет_аналитики'!AS384</f>
        <v/>
      </c>
      <c r="AT385">
        <f>'19_Расчет_аналитики'!AT383+'19_Расчет_аналитики'!AT384</f>
        <v/>
      </c>
      <c r="AU385">
        <f>'19_Расчет_аналитики'!AU383+'19_Расчет_аналитики'!AU384</f>
        <v/>
      </c>
      <c r="AV385">
        <f>'19_Расчет_аналитики'!AV383+'19_Расчет_аналитики'!AV384</f>
        <v/>
      </c>
      <c r="AW385">
        <f>'19_Расчет_аналитики'!AW383+'19_Расчет_аналитики'!AW384</f>
        <v/>
      </c>
      <c r="AX385">
        <f>'19_Расчет_аналитики'!AX383+'19_Расчет_аналитики'!AX384</f>
        <v/>
      </c>
      <c r="AY385">
        <f>'19_Расчет_аналитики'!AY383+'19_Расчет_аналитики'!AY384</f>
        <v/>
      </c>
      <c r="AZ385">
        <f>'19_Расчет_аналитики'!AZ383+'19_Расчет_аналитики'!AZ384</f>
        <v/>
      </c>
      <c r="BA385">
        <f>'19_Расчет_аналитики'!BA383+'19_Расчет_аналитики'!BA384</f>
        <v/>
      </c>
      <c r="BB385">
        <f>'19_Расчет_аналитики'!BB383+'19_Расчет_аналитики'!BB384</f>
        <v/>
      </c>
      <c r="BC385">
        <f>'19_Расчет_аналитики'!BC383+'19_Расчет_аналитики'!BC384</f>
        <v/>
      </c>
      <c r="BD385">
        <f>'19_Расчет_аналитики'!BD383+'19_Расчет_аналитики'!BD384</f>
        <v/>
      </c>
      <c r="BE385">
        <f>'19_Расчет_аналитики'!BE383+'19_Расчет_аналитики'!BE384</f>
        <v/>
      </c>
      <c r="BF385">
        <f>'19_Расчет_аналитики'!BF383+'19_Расчет_аналитики'!BF384</f>
        <v/>
      </c>
      <c r="BG385">
        <f>'19_Расчет_аналитики'!BG383+'19_Расчет_аналитики'!BG384</f>
        <v/>
      </c>
      <c r="BH385">
        <f>'19_Расчет_аналитики'!BH383+'19_Расчет_аналитики'!BH384</f>
        <v/>
      </c>
      <c r="BI385">
        <f>'19_Расчет_аналитики'!BI383+'19_Расчет_аналитики'!BI384</f>
        <v/>
      </c>
      <c r="BJ385">
        <f>'19_Расчет_аналитики'!BJ383+'19_Расчет_аналитики'!BJ384</f>
        <v/>
      </c>
      <c r="BK385">
        <f>'19_Расчет_аналитики'!BK383+'19_Расчет_аналитики'!BK384</f>
        <v/>
      </c>
      <c r="BL385">
        <f>'19_Расчет_аналитики'!BL383+'19_Расчет_аналитики'!BL384</f>
        <v/>
      </c>
      <c r="BM385">
        <f>'19_Расчет_аналитики'!BM383+'19_Расчет_аналитики'!BM384</f>
        <v/>
      </c>
      <c r="BN385">
        <f>'19_Расчет_аналитики'!BN383+'19_Расчет_аналитики'!BN384</f>
        <v/>
      </c>
      <c r="BO385">
        <f>'19_Расчет_аналитики'!BO383+'19_Расчет_аналитики'!BO384</f>
        <v/>
      </c>
    </row>
    <row r="386"/>
    <row r="387"/>
    <row r="388">
      <c r="B388">
        <f>IF(OR(1&lt;='01_Вводные'!$B$15,1-'01_Вводные'!$B$15&gt;60),0,IF(INDEX('04_Продажи'!$B$11:$BI$11,1,1-'01_Вводные'!$B$15)&lt;='01_Вводные'!$B$244,'19_Расчет_аналитики'!B363,0))</f>
        <v/>
      </c>
      <c r="C388">
        <f>IF(OR(2&lt;='01_Вводные'!$B$15,2-'01_Вводные'!$B$15&gt;60),0,IF(INDEX('04_Продажи'!$B$11:$BI$11,1,2-'01_Вводные'!$B$15)&lt;='01_Вводные'!$B$244,'19_Расчет_аналитики'!C363,0))</f>
        <v/>
      </c>
      <c r="D388">
        <f>IF(OR(3&lt;='01_Вводные'!$B$15,3-'01_Вводные'!$B$15&gt;60),0,IF(INDEX('04_Продажи'!$B$11:$BI$11,1,3-'01_Вводные'!$B$15)&lt;='01_Вводные'!$B$244,'19_Расчет_аналитики'!D363,0))</f>
        <v/>
      </c>
      <c r="E388">
        <f>IF(OR(4&lt;='01_Вводные'!$B$15,4-'01_Вводные'!$B$15&gt;60),0,IF(INDEX('04_Продажи'!$B$11:$BI$11,1,4-'01_Вводные'!$B$15)&lt;='01_Вводные'!$B$244,'19_Расчет_аналитики'!E363,0))</f>
        <v/>
      </c>
      <c r="F388">
        <f>IF(OR(5&lt;='01_Вводные'!$B$15,5-'01_Вводные'!$B$15&gt;60),0,IF(INDEX('04_Продажи'!$B$11:$BI$11,1,5-'01_Вводные'!$B$15)&lt;='01_Вводные'!$B$244,'19_Расчет_аналитики'!F363,0))</f>
        <v/>
      </c>
      <c r="G388">
        <f>IF(OR(6&lt;='01_Вводные'!$B$15,6-'01_Вводные'!$B$15&gt;60),0,IF(INDEX('04_Продажи'!$B$11:$BI$11,1,6-'01_Вводные'!$B$15)&lt;='01_Вводные'!$B$244,'19_Расчет_аналитики'!G363,0))</f>
        <v/>
      </c>
      <c r="H388">
        <f>IF(OR(7&lt;='01_Вводные'!$B$15,7-'01_Вводные'!$B$15&gt;60),0,IF(INDEX('04_Продажи'!$B$11:$BI$11,1,7-'01_Вводные'!$B$15)&lt;='01_Вводные'!$B$244,'19_Расчет_аналитики'!H363,0))</f>
        <v/>
      </c>
      <c r="I388">
        <f>IF(OR(8&lt;='01_Вводные'!$B$15,8-'01_Вводные'!$B$15&gt;60),0,IF(INDEX('04_Продажи'!$B$11:$BI$11,1,8-'01_Вводные'!$B$15)&lt;='01_Вводные'!$B$244,'19_Расчет_аналитики'!I363,0))</f>
        <v/>
      </c>
      <c r="J388">
        <f>IF(OR(9&lt;='01_Вводные'!$B$15,9-'01_Вводные'!$B$15&gt;60),0,IF(INDEX('04_Продажи'!$B$11:$BI$11,1,9-'01_Вводные'!$B$15)&lt;='01_Вводные'!$B$244,'19_Расчет_аналитики'!J363,0))</f>
        <v/>
      </c>
      <c r="K388">
        <f>IF(OR(10&lt;='01_Вводные'!$B$15,10-'01_Вводные'!$B$15&gt;60),0,IF(INDEX('04_Продажи'!$B$11:$BI$11,1,10-'01_Вводные'!$B$15)&lt;='01_Вводные'!$B$244,'19_Расчет_аналитики'!K363,0))</f>
        <v/>
      </c>
      <c r="L388">
        <f>IF(OR(11&lt;='01_Вводные'!$B$15,11-'01_Вводные'!$B$15&gt;60),0,IF(INDEX('04_Продажи'!$B$11:$BI$11,1,11-'01_Вводные'!$B$15)&lt;='01_Вводные'!$B$244,'19_Расчет_аналитики'!L363,0))</f>
        <v/>
      </c>
      <c r="M388">
        <f>IF(OR(12&lt;='01_Вводные'!$B$15,12-'01_Вводные'!$B$15&gt;60),0,IF(INDEX('04_Продажи'!$B$11:$BI$11,1,12-'01_Вводные'!$B$15)&lt;='01_Вводные'!$B$244,'19_Расчет_аналитики'!M363,0))</f>
        <v/>
      </c>
      <c r="N388">
        <f>IF(OR(13&lt;='01_Вводные'!$B$15,13-'01_Вводные'!$B$15&gt;60),0,IF(INDEX('04_Продажи'!$B$11:$BI$11,1,13-'01_Вводные'!$B$15)&lt;='01_Вводные'!$B$244,'19_Расчет_аналитики'!N363,0))</f>
        <v/>
      </c>
      <c r="O388">
        <f>IF(OR(14&lt;='01_Вводные'!$B$15,14-'01_Вводные'!$B$15&gt;60),0,IF(INDEX('04_Продажи'!$B$11:$BI$11,1,14-'01_Вводные'!$B$15)&lt;='01_Вводные'!$B$244,'19_Расчет_аналитики'!O363,0))</f>
        <v/>
      </c>
      <c r="P388">
        <f>IF(OR(15&lt;='01_Вводные'!$B$15,15-'01_Вводные'!$B$15&gt;60),0,IF(INDEX('04_Продажи'!$B$11:$BI$11,1,15-'01_Вводные'!$B$15)&lt;='01_Вводные'!$B$244,'19_Расчет_аналитики'!P363,0))</f>
        <v/>
      </c>
      <c r="Q388">
        <f>IF(OR(16&lt;='01_Вводные'!$B$15,16-'01_Вводные'!$B$15&gt;60),0,IF(INDEX('04_Продажи'!$B$11:$BI$11,1,16-'01_Вводные'!$B$15)&lt;='01_Вводные'!$B$244,'19_Расчет_аналитики'!Q363,0))</f>
        <v/>
      </c>
      <c r="R388">
        <f>IF(OR(17&lt;='01_Вводные'!$B$15,17-'01_Вводные'!$B$15&gt;60),0,IF(INDEX('04_Продажи'!$B$11:$BI$11,1,17-'01_Вводные'!$B$15)&lt;='01_Вводные'!$B$244,'19_Расчет_аналитики'!R363,0))</f>
        <v/>
      </c>
      <c r="S388">
        <f>IF(OR(18&lt;='01_Вводные'!$B$15,18-'01_Вводные'!$B$15&gt;60),0,IF(INDEX('04_Продажи'!$B$11:$BI$11,1,18-'01_Вводные'!$B$15)&lt;='01_Вводные'!$B$244,'19_Расчет_аналитики'!S363,0))</f>
        <v/>
      </c>
      <c r="T388">
        <f>IF(OR(19&lt;='01_Вводные'!$B$15,19-'01_Вводные'!$B$15&gt;60),0,IF(INDEX('04_Продажи'!$B$11:$BI$11,1,19-'01_Вводные'!$B$15)&lt;='01_Вводные'!$B$244,'19_Расчет_аналитики'!T363,0))</f>
        <v/>
      </c>
      <c r="U388">
        <f>IF(OR(20&lt;='01_Вводные'!$B$15,20-'01_Вводные'!$B$15&gt;60),0,IF(INDEX('04_Продажи'!$B$11:$BI$11,1,20-'01_Вводные'!$B$15)&lt;='01_Вводные'!$B$244,'19_Расчет_аналитики'!U363,0))</f>
        <v/>
      </c>
      <c r="V388">
        <f>IF(OR(21&lt;='01_Вводные'!$B$15,21-'01_Вводные'!$B$15&gt;60),0,IF(INDEX('04_Продажи'!$B$11:$BI$11,1,21-'01_Вводные'!$B$15)&lt;='01_Вводные'!$B$244,'19_Расчет_аналитики'!V363,0))</f>
        <v/>
      </c>
      <c r="W388">
        <f>IF(OR(22&lt;='01_Вводные'!$B$15,22-'01_Вводные'!$B$15&gt;60),0,IF(INDEX('04_Продажи'!$B$11:$BI$11,1,22-'01_Вводные'!$B$15)&lt;='01_Вводные'!$B$244,'19_Расчет_аналитики'!W363,0))</f>
        <v/>
      </c>
      <c r="X388">
        <f>IF(OR(23&lt;='01_Вводные'!$B$15,23-'01_Вводные'!$B$15&gt;60),0,IF(INDEX('04_Продажи'!$B$11:$BI$11,1,23-'01_Вводные'!$B$15)&lt;='01_Вводные'!$B$244,'19_Расчет_аналитики'!X363,0))</f>
        <v/>
      </c>
      <c r="Y388">
        <f>IF(OR(24&lt;='01_Вводные'!$B$15,24-'01_Вводные'!$B$15&gt;60),0,IF(INDEX('04_Продажи'!$B$11:$BI$11,1,24-'01_Вводные'!$B$15)&lt;='01_Вводные'!$B$244,'19_Расчет_аналитики'!Y363,0))</f>
        <v/>
      </c>
      <c r="Z388">
        <f>IF(OR(25&lt;='01_Вводные'!$B$15,25-'01_Вводные'!$B$15&gt;60),0,IF(INDEX('04_Продажи'!$B$11:$BI$11,1,25-'01_Вводные'!$B$15)&lt;='01_Вводные'!$B$244,'19_Расчет_аналитики'!Z363,0))</f>
        <v/>
      </c>
      <c r="AA388">
        <f>IF(OR(26&lt;='01_Вводные'!$B$15,26-'01_Вводные'!$B$15&gt;60),0,IF(INDEX('04_Продажи'!$B$11:$BI$11,1,26-'01_Вводные'!$B$15)&lt;='01_Вводные'!$B$244,'19_Расчет_аналитики'!AA363,0))</f>
        <v/>
      </c>
      <c r="AB388">
        <f>IF(OR(27&lt;='01_Вводные'!$B$15,27-'01_Вводные'!$B$15&gt;60),0,IF(INDEX('04_Продажи'!$B$11:$BI$11,1,27-'01_Вводные'!$B$15)&lt;='01_Вводные'!$B$244,'19_Расчет_аналитики'!AB363,0))</f>
        <v/>
      </c>
      <c r="AC388">
        <f>IF(OR(28&lt;='01_Вводные'!$B$15,28-'01_Вводные'!$B$15&gt;60),0,IF(INDEX('04_Продажи'!$B$11:$BI$11,1,28-'01_Вводные'!$B$15)&lt;='01_Вводные'!$B$244,'19_Расчет_аналитики'!AC363,0))</f>
        <v/>
      </c>
      <c r="AD388">
        <f>IF(OR(29&lt;='01_Вводные'!$B$15,29-'01_Вводные'!$B$15&gt;60),0,IF(INDEX('04_Продажи'!$B$11:$BI$11,1,29-'01_Вводные'!$B$15)&lt;='01_Вводные'!$B$244,'19_Расчет_аналитики'!AD363,0))</f>
        <v/>
      </c>
      <c r="AE388">
        <f>IF(OR(30&lt;='01_Вводные'!$B$15,30-'01_Вводные'!$B$15&gt;60),0,IF(INDEX('04_Продажи'!$B$11:$BI$11,1,30-'01_Вводные'!$B$15)&lt;='01_Вводные'!$B$244,'19_Расчет_аналитики'!AE363,0))</f>
        <v/>
      </c>
      <c r="AF388">
        <f>IF(OR(31&lt;='01_Вводные'!$B$15,31-'01_Вводные'!$B$15&gt;60),0,IF(INDEX('04_Продажи'!$B$11:$BI$11,1,31-'01_Вводные'!$B$15)&lt;='01_Вводные'!$B$244,'19_Расчет_аналитики'!AF363,0))</f>
        <v/>
      </c>
      <c r="AG388">
        <f>IF(OR(32&lt;='01_Вводные'!$B$15,32-'01_Вводные'!$B$15&gt;60),0,IF(INDEX('04_Продажи'!$B$11:$BI$11,1,32-'01_Вводные'!$B$15)&lt;='01_Вводные'!$B$244,'19_Расчет_аналитики'!AG363,0))</f>
        <v/>
      </c>
      <c r="AH388">
        <f>IF(OR(33&lt;='01_Вводные'!$B$15,33-'01_Вводные'!$B$15&gt;60),0,IF(INDEX('04_Продажи'!$B$11:$BI$11,1,33-'01_Вводные'!$B$15)&lt;='01_Вводные'!$B$244,'19_Расчет_аналитики'!AH363,0))</f>
        <v/>
      </c>
      <c r="AI388">
        <f>IF(OR(34&lt;='01_Вводные'!$B$15,34-'01_Вводные'!$B$15&gt;60),0,IF(INDEX('04_Продажи'!$B$11:$BI$11,1,34-'01_Вводные'!$B$15)&lt;='01_Вводные'!$B$244,'19_Расчет_аналитики'!AI363,0))</f>
        <v/>
      </c>
      <c r="AJ388">
        <f>IF(OR(35&lt;='01_Вводные'!$B$15,35-'01_Вводные'!$B$15&gt;60),0,IF(INDEX('04_Продажи'!$B$11:$BI$11,1,35-'01_Вводные'!$B$15)&lt;='01_Вводные'!$B$244,'19_Расчет_аналитики'!AJ363,0))</f>
        <v/>
      </c>
      <c r="AK388">
        <f>IF(OR(36&lt;='01_Вводные'!$B$15,36-'01_Вводные'!$B$15&gt;60),0,IF(INDEX('04_Продажи'!$B$11:$BI$11,1,36-'01_Вводные'!$B$15)&lt;='01_Вводные'!$B$244,'19_Расчет_аналитики'!AK363,0))</f>
        <v/>
      </c>
      <c r="AL388">
        <f>IF(OR(37&lt;='01_Вводные'!$B$15,37-'01_Вводные'!$B$15&gt;60),0,IF(INDEX('04_Продажи'!$B$11:$BI$11,1,37-'01_Вводные'!$B$15)&lt;='01_Вводные'!$B$244,'19_Расчет_аналитики'!AL363,0))</f>
        <v/>
      </c>
      <c r="AM388">
        <f>IF(OR(38&lt;='01_Вводные'!$B$15,38-'01_Вводные'!$B$15&gt;60),0,IF(INDEX('04_Продажи'!$B$11:$BI$11,1,38-'01_Вводные'!$B$15)&lt;='01_Вводные'!$B$244,'19_Расчет_аналитики'!AM363,0))</f>
        <v/>
      </c>
      <c r="AN388">
        <f>IF(OR(39&lt;='01_Вводные'!$B$15,39-'01_Вводные'!$B$15&gt;60),0,IF(INDEX('04_Продажи'!$B$11:$BI$11,1,39-'01_Вводные'!$B$15)&lt;='01_Вводные'!$B$244,'19_Расчет_аналитики'!AN363,0))</f>
        <v/>
      </c>
      <c r="AO388">
        <f>IF(OR(40&lt;='01_Вводные'!$B$15,40-'01_Вводные'!$B$15&gt;60),0,IF(INDEX('04_Продажи'!$B$11:$BI$11,1,40-'01_Вводные'!$B$15)&lt;='01_Вводные'!$B$244,'19_Расчет_аналитики'!AO363,0))</f>
        <v/>
      </c>
      <c r="AP388">
        <f>IF(OR(41&lt;='01_Вводные'!$B$15,41-'01_Вводные'!$B$15&gt;60),0,IF(INDEX('04_Продажи'!$B$11:$BI$11,1,41-'01_Вводные'!$B$15)&lt;='01_Вводные'!$B$244,'19_Расчет_аналитики'!AP363,0))</f>
        <v/>
      </c>
      <c r="AQ388">
        <f>IF(OR(42&lt;='01_Вводные'!$B$15,42-'01_Вводные'!$B$15&gt;60),0,IF(INDEX('04_Продажи'!$B$11:$BI$11,1,42-'01_Вводные'!$B$15)&lt;='01_Вводные'!$B$244,'19_Расчет_аналитики'!AQ363,0))</f>
        <v/>
      </c>
      <c r="AR388">
        <f>IF(OR(43&lt;='01_Вводные'!$B$15,43-'01_Вводные'!$B$15&gt;60),0,IF(INDEX('04_Продажи'!$B$11:$BI$11,1,43-'01_Вводные'!$B$15)&lt;='01_Вводные'!$B$244,'19_Расчет_аналитики'!AR363,0))</f>
        <v/>
      </c>
      <c r="AS388">
        <f>IF(OR(44&lt;='01_Вводные'!$B$15,44-'01_Вводные'!$B$15&gt;60),0,IF(INDEX('04_Продажи'!$B$11:$BI$11,1,44-'01_Вводные'!$B$15)&lt;='01_Вводные'!$B$244,'19_Расчет_аналитики'!AS363,0))</f>
        <v/>
      </c>
      <c r="AT388">
        <f>IF(OR(45&lt;='01_Вводные'!$B$15,45-'01_Вводные'!$B$15&gt;60),0,IF(INDEX('04_Продажи'!$B$11:$BI$11,1,45-'01_Вводные'!$B$15)&lt;='01_Вводные'!$B$244,'19_Расчет_аналитики'!AT363,0))</f>
        <v/>
      </c>
      <c r="AU388">
        <f>IF(OR(46&lt;='01_Вводные'!$B$15,46-'01_Вводные'!$B$15&gt;60),0,IF(INDEX('04_Продажи'!$B$11:$BI$11,1,46-'01_Вводные'!$B$15)&lt;='01_Вводные'!$B$244,'19_Расчет_аналитики'!AU363,0))</f>
        <v/>
      </c>
      <c r="AV388">
        <f>IF(OR(47&lt;='01_Вводные'!$B$15,47-'01_Вводные'!$B$15&gt;60),0,IF(INDEX('04_Продажи'!$B$11:$BI$11,1,47-'01_Вводные'!$B$15)&lt;='01_Вводные'!$B$244,'19_Расчет_аналитики'!AV363,0))</f>
        <v/>
      </c>
      <c r="AW388">
        <f>IF(OR(48&lt;='01_Вводные'!$B$15,48-'01_Вводные'!$B$15&gt;60),0,IF(INDEX('04_Продажи'!$B$11:$BI$11,1,48-'01_Вводные'!$B$15)&lt;='01_Вводные'!$B$244,'19_Расчет_аналитики'!AW363,0))</f>
        <v/>
      </c>
      <c r="AX388">
        <f>IF(OR(49&lt;='01_Вводные'!$B$15,49-'01_Вводные'!$B$15&gt;60),0,IF(INDEX('04_Продажи'!$B$11:$BI$11,1,49-'01_Вводные'!$B$15)&lt;='01_Вводные'!$B$244,'19_Расчет_аналитики'!AX363,0))</f>
        <v/>
      </c>
      <c r="AY388">
        <f>IF(OR(50&lt;='01_Вводные'!$B$15,50-'01_Вводные'!$B$15&gt;60),0,IF(INDEX('04_Продажи'!$B$11:$BI$11,1,50-'01_Вводные'!$B$15)&lt;='01_Вводные'!$B$244,'19_Расчет_аналитики'!AY363,0))</f>
        <v/>
      </c>
      <c r="AZ388">
        <f>IF(OR(51&lt;='01_Вводные'!$B$15,51-'01_Вводные'!$B$15&gt;60),0,IF(INDEX('04_Продажи'!$B$11:$BI$11,1,51-'01_Вводные'!$B$15)&lt;='01_Вводные'!$B$244,'19_Расчет_аналитики'!AZ363,0))</f>
        <v/>
      </c>
      <c r="BA388">
        <f>IF(OR(52&lt;='01_Вводные'!$B$15,52-'01_Вводные'!$B$15&gt;60),0,IF(INDEX('04_Продажи'!$B$11:$BI$11,1,52-'01_Вводные'!$B$15)&lt;='01_Вводные'!$B$244,'19_Расчет_аналитики'!BA363,0))</f>
        <v/>
      </c>
      <c r="BB388">
        <f>IF(OR(53&lt;='01_Вводные'!$B$15,53-'01_Вводные'!$B$15&gt;60),0,IF(INDEX('04_Продажи'!$B$11:$BI$11,1,53-'01_Вводные'!$B$15)&lt;='01_Вводные'!$B$244,'19_Расчет_аналитики'!BB363,0))</f>
        <v/>
      </c>
      <c r="BC388">
        <f>IF(OR(54&lt;='01_Вводные'!$B$15,54-'01_Вводные'!$B$15&gt;60),0,IF(INDEX('04_Продажи'!$B$11:$BI$11,1,54-'01_Вводные'!$B$15)&lt;='01_Вводные'!$B$244,'19_Расчет_аналитики'!BC363,0))</f>
        <v/>
      </c>
      <c r="BD388">
        <f>IF(OR(55&lt;='01_Вводные'!$B$15,55-'01_Вводные'!$B$15&gt;60),0,IF(INDEX('04_Продажи'!$B$11:$BI$11,1,55-'01_Вводные'!$B$15)&lt;='01_Вводные'!$B$244,'19_Расчет_аналитики'!BD363,0))</f>
        <v/>
      </c>
      <c r="BE388">
        <f>IF(OR(56&lt;='01_Вводные'!$B$15,56-'01_Вводные'!$B$15&gt;60),0,IF(INDEX('04_Продажи'!$B$11:$BI$11,1,56-'01_Вводные'!$B$15)&lt;='01_Вводные'!$B$244,'19_Расчет_аналитики'!BE363,0))</f>
        <v/>
      </c>
      <c r="BF388">
        <f>IF(OR(57&lt;='01_Вводные'!$B$15,57-'01_Вводные'!$B$15&gt;60),0,IF(INDEX('04_Продажи'!$B$11:$BI$11,1,57-'01_Вводные'!$B$15)&lt;='01_Вводные'!$B$244,'19_Расчет_аналитики'!BF363,0))</f>
        <v/>
      </c>
      <c r="BG388">
        <f>IF(OR(58&lt;='01_Вводные'!$B$15,58-'01_Вводные'!$B$15&gt;60),0,IF(INDEX('04_Продажи'!$B$11:$BI$11,1,58-'01_Вводные'!$B$15)&lt;='01_Вводные'!$B$244,'19_Расчет_аналитики'!BG363,0))</f>
        <v/>
      </c>
      <c r="BH388">
        <f>IF(OR(59&lt;='01_Вводные'!$B$15,59-'01_Вводные'!$B$15&gt;60),0,IF(INDEX('04_Продажи'!$B$11:$BI$11,1,59-'01_Вводные'!$B$15)&lt;='01_Вводные'!$B$244,'19_Расчет_аналитики'!BH363,0))</f>
        <v/>
      </c>
      <c r="BI388">
        <f>IF(OR(60&lt;='01_Вводные'!$B$15,60-'01_Вводные'!$B$15&gt;60),0,IF(INDEX('04_Продажи'!$B$11:$BI$11,1,60-'01_Вводные'!$B$15)&lt;='01_Вводные'!$B$244,'19_Расчет_аналитики'!BI363,0))</f>
        <v/>
      </c>
      <c r="BJ388">
        <f>IF(OR(61&lt;='01_Вводные'!$B$15,61-'01_Вводные'!$B$15&gt;60),0,IF(INDEX('04_Продажи'!$B$11:$BI$11,1,61-'01_Вводные'!$B$15)&lt;='01_Вводные'!$B$244,'19_Расчет_аналитики'!BJ363,0))</f>
        <v/>
      </c>
      <c r="BK388">
        <f>IF(OR(62&lt;='01_Вводные'!$B$15,62-'01_Вводные'!$B$15&gt;60),0,IF(INDEX('04_Продажи'!$B$11:$BI$11,1,62-'01_Вводные'!$B$15)&lt;='01_Вводные'!$B$244,'19_Расчет_аналитики'!BK363,0))</f>
        <v/>
      </c>
      <c r="BL388">
        <f>IF(OR(63&lt;='01_Вводные'!$B$15,63-'01_Вводные'!$B$15&gt;60),0,IF(INDEX('04_Продажи'!$B$11:$BI$11,1,63-'01_Вводные'!$B$15)&lt;='01_Вводные'!$B$244,'19_Расчет_аналитики'!BL363,0))</f>
        <v/>
      </c>
      <c r="BM388">
        <f>IF(OR(64&lt;='01_Вводные'!$B$15,64-'01_Вводные'!$B$15&gt;60),0,IF(INDEX('04_Продажи'!$B$11:$BI$11,1,64-'01_Вводные'!$B$15)&lt;='01_Вводные'!$B$244,'19_Расчет_аналитики'!BM363,0))</f>
        <v/>
      </c>
      <c r="BN388">
        <f>IF(OR(65&lt;='01_Вводные'!$B$15,65-'01_Вводные'!$B$15&gt;60),0,IF(INDEX('04_Продажи'!$B$11:$BI$11,1,65-'01_Вводные'!$B$15)&lt;='01_Вводные'!$B$244,'19_Расчет_аналитики'!BN363,0))</f>
        <v/>
      </c>
      <c r="BO388">
        <f>IF(OR(66&lt;='01_Вводные'!$B$15,66-'01_Вводные'!$B$15&gt;60),0,IF(INDEX('04_Продажи'!$B$11:$BI$11,1,66-'01_Вводные'!$B$15)&lt;='01_Вводные'!$B$244,'19_Расчет_аналитики'!BO363,0))</f>
        <v/>
      </c>
    </row>
    <row r="389">
      <c r="B389">
        <f>SUM('19_Расчет_аналитики'!B436:B447)</f>
        <v/>
      </c>
      <c r="C389">
        <f>SUM('19_Расчет_аналитики'!C436:C447)</f>
        <v/>
      </c>
      <c r="D389">
        <f>SUM('19_Расчет_аналитики'!D436:D447)</f>
        <v/>
      </c>
      <c r="E389">
        <f>SUM('19_Расчет_аналитики'!E436:E447)</f>
        <v/>
      </c>
      <c r="F389">
        <f>SUM('19_Расчет_аналитики'!F436:F447)</f>
        <v/>
      </c>
      <c r="G389">
        <f>SUM('19_Расчет_аналитики'!G436:G447)</f>
        <v/>
      </c>
      <c r="H389">
        <f>SUM('19_Расчет_аналитики'!H436:H447)</f>
        <v/>
      </c>
      <c r="I389">
        <f>SUM('19_Расчет_аналитики'!I436:I447)</f>
        <v/>
      </c>
      <c r="J389">
        <f>SUM('19_Расчет_аналитики'!J436:J447)</f>
        <v/>
      </c>
      <c r="K389">
        <f>SUM('19_Расчет_аналитики'!K436:K447)</f>
        <v/>
      </c>
      <c r="L389">
        <f>SUM('19_Расчет_аналитики'!L436:L447)</f>
        <v/>
      </c>
      <c r="M389">
        <f>SUM('19_Расчет_аналитики'!M436:M447)</f>
        <v/>
      </c>
      <c r="N389">
        <f>SUM('19_Расчет_аналитики'!N436:N447)</f>
        <v/>
      </c>
      <c r="O389">
        <f>SUM('19_Расчет_аналитики'!O436:O447)</f>
        <v/>
      </c>
      <c r="P389">
        <f>SUM('19_Расчет_аналитики'!P436:P447)</f>
        <v/>
      </c>
      <c r="Q389">
        <f>SUM('19_Расчет_аналитики'!Q436:Q447)</f>
        <v/>
      </c>
      <c r="R389">
        <f>SUM('19_Расчет_аналитики'!R436:R447)</f>
        <v/>
      </c>
      <c r="S389">
        <f>SUM('19_Расчет_аналитики'!S436:S447)</f>
        <v/>
      </c>
      <c r="T389">
        <f>SUM('19_Расчет_аналитики'!T436:T447)</f>
        <v/>
      </c>
      <c r="U389">
        <f>SUM('19_Расчет_аналитики'!U436:U447)</f>
        <v/>
      </c>
      <c r="V389">
        <f>SUM('19_Расчет_аналитики'!V436:V447)</f>
        <v/>
      </c>
      <c r="W389">
        <f>SUM('19_Расчет_аналитики'!W436:W447)</f>
        <v/>
      </c>
      <c r="X389">
        <f>SUM('19_Расчет_аналитики'!X436:X447)</f>
        <v/>
      </c>
      <c r="Y389">
        <f>SUM('19_Расчет_аналитики'!Y436:Y447)</f>
        <v/>
      </c>
      <c r="Z389">
        <f>SUM('19_Расчет_аналитики'!Z436:Z447)</f>
        <v/>
      </c>
      <c r="AA389">
        <f>SUM('19_Расчет_аналитики'!AA436:AA447)</f>
        <v/>
      </c>
      <c r="AB389">
        <f>SUM('19_Расчет_аналитики'!AB436:AB447)</f>
        <v/>
      </c>
      <c r="AC389">
        <f>SUM('19_Расчет_аналитики'!AC436:AC447)</f>
        <v/>
      </c>
      <c r="AD389">
        <f>SUM('19_Расчет_аналитики'!AD436:AD447)</f>
        <v/>
      </c>
      <c r="AE389">
        <f>SUM('19_Расчет_аналитики'!AE436:AE447)</f>
        <v/>
      </c>
      <c r="AF389">
        <f>SUM('19_Расчет_аналитики'!AF436:AF447)</f>
        <v/>
      </c>
      <c r="AG389">
        <f>SUM('19_Расчет_аналитики'!AG436:AG447)</f>
        <v/>
      </c>
      <c r="AH389">
        <f>SUM('19_Расчет_аналитики'!AH436:AH447)</f>
        <v/>
      </c>
      <c r="AI389">
        <f>SUM('19_Расчет_аналитики'!AI436:AI447)</f>
        <v/>
      </c>
      <c r="AJ389">
        <f>SUM('19_Расчет_аналитики'!AJ436:AJ447)</f>
        <v/>
      </c>
      <c r="AK389">
        <f>SUM('19_Расчет_аналитики'!AK436:AK447)</f>
        <v/>
      </c>
      <c r="AL389">
        <f>SUM('19_Расчет_аналитики'!AL436:AL447)</f>
        <v/>
      </c>
      <c r="AM389">
        <f>SUM('19_Расчет_аналитики'!AM436:AM447)</f>
        <v/>
      </c>
      <c r="AN389">
        <f>SUM('19_Расчет_аналитики'!AN436:AN447)</f>
        <v/>
      </c>
      <c r="AO389">
        <f>SUM('19_Расчет_аналитики'!AO436:AO447)</f>
        <v/>
      </c>
      <c r="AP389">
        <f>SUM('19_Расчет_аналитики'!AP436:AP447)</f>
        <v/>
      </c>
      <c r="AQ389">
        <f>SUM('19_Расчет_аналитики'!AQ436:AQ447)</f>
        <v/>
      </c>
      <c r="AR389">
        <f>SUM('19_Расчет_аналитики'!AR436:AR447)</f>
        <v/>
      </c>
      <c r="AS389">
        <f>SUM('19_Расчет_аналитики'!AS436:AS447)</f>
        <v/>
      </c>
      <c r="AT389">
        <f>SUM('19_Расчет_аналитики'!AT436:AT447)</f>
        <v/>
      </c>
      <c r="AU389">
        <f>SUM('19_Расчет_аналитики'!AU436:AU447)</f>
        <v/>
      </c>
      <c r="AV389">
        <f>SUM('19_Расчет_аналитики'!AV436:AV447)</f>
        <v/>
      </c>
      <c r="AW389">
        <f>SUM('19_Расчет_аналитики'!AW436:AW447)</f>
        <v/>
      </c>
      <c r="AX389">
        <f>SUM('19_Расчет_аналитики'!AX436:AX447)</f>
        <v/>
      </c>
      <c r="AY389">
        <f>SUM('19_Расчет_аналитики'!AY436:AY447)</f>
        <v/>
      </c>
      <c r="AZ389">
        <f>SUM('19_Расчет_аналитики'!AZ436:AZ447)</f>
        <v/>
      </c>
      <c r="BA389">
        <f>SUM('19_Расчет_аналитики'!BA436:BA447)</f>
        <v/>
      </c>
      <c r="BB389">
        <f>SUM('19_Расчет_аналитики'!BB436:BB447)</f>
        <v/>
      </c>
      <c r="BC389">
        <f>SUM('19_Расчет_аналитики'!BC436:BC447)</f>
        <v/>
      </c>
      <c r="BD389">
        <f>SUM('19_Расчет_аналитики'!BD436:BD447)</f>
        <v/>
      </c>
      <c r="BE389">
        <f>SUM('19_Расчет_аналитики'!BE436:BE447)</f>
        <v/>
      </c>
      <c r="BF389">
        <f>SUM('19_Расчет_аналитики'!BF436:BF447)</f>
        <v/>
      </c>
      <c r="BG389">
        <f>SUM('19_Расчет_аналитики'!BG436:BG447)</f>
        <v/>
      </c>
      <c r="BH389">
        <f>SUM('19_Расчет_аналитики'!BH436:BH447)</f>
        <v/>
      </c>
      <c r="BI389">
        <f>SUM('19_Расчет_аналитики'!BI436:BI447)</f>
        <v/>
      </c>
      <c r="BJ389">
        <f>SUM('19_Расчет_аналитики'!BJ436:BJ447)</f>
        <v/>
      </c>
      <c r="BK389">
        <f>SUM('19_Расчет_аналитики'!BK436:BK447)</f>
        <v/>
      </c>
      <c r="BL389">
        <f>SUM('19_Расчет_аналитики'!BL436:BL447)</f>
        <v/>
      </c>
      <c r="BM389">
        <f>SUM('19_Расчет_аналитики'!BM436:BM447)</f>
        <v/>
      </c>
      <c r="BN389">
        <f>SUM('19_Расчет_аналитики'!BN436:BN447)</f>
        <v/>
      </c>
      <c r="BO389">
        <f>SUM('19_Расчет_аналитики'!BO436:BO447)</f>
        <v/>
      </c>
    </row>
    <row r="390"/>
    <row r="391">
      <c r="B391">
        <f>MAX(0,'19_Расчет_аналитики'!B368-'19_Расчет_аналитики'!B389)</f>
        <v/>
      </c>
      <c r="C391">
        <f>MAX(0,'19_Расчет_аналитики'!C368-'19_Расчет_аналитики'!C389)</f>
        <v/>
      </c>
      <c r="D391">
        <f>MAX(0,'19_Расчет_аналитики'!D368-'19_Расчет_аналитики'!D389)</f>
        <v/>
      </c>
      <c r="E391">
        <f>MAX(0,'19_Расчет_аналитики'!E368-'19_Расчет_аналитики'!E389)</f>
        <v/>
      </c>
      <c r="F391">
        <f>MAX(0,'19_Расчет_аналитики'!F368-'19_Расчет_аналитики'!F389)</f>
        <v/>
      </c>
      <c r="G391">
        <f>MAX(0,'19_Расчет_аналитики'!G368-'19_Расчет_аналитики'!G389)</f>
        <v/>
      </c>
      <c r="H391">
        <f>MAX(0,'19_Расчет_аналитики'!H368-'19_Расчет_аналитики'!H389)</f>
        <v/>
      </c>
      <c r="I391">
        <f>MAX(0,'19_Расчет_аналитики'!I368-'19_Расчет_аналитики'!I389)</f>
        <v/>
      </c>
      <c r="J391">
        <f>MAX(0,'19_Расчет_аналитики'!J368-'19_Расчет_аналитики'!J389)</f>
        <v/>
      </c>
      <c r="K391">
        <f>MAX(0,'19_Расчет_аналитики'!K368-'19_Расчет_аналитики'!K389)</f>
        <v/>
      </c>
      <c r="L391">
        <f>MAX(0,'19_Расчет_аналитики'!L368-'19_Расчет_аналитики'!L389)</f>
        <v/>
      </c>
      <c r="M391">
        <f>MAX(0,'19_Расчет_аналитики'!M368-'19_Расчет_аналитики'!M389)</f>
        <v/>
      </c>
      <c r="N391">
        <f>MAX(0,'19_Расчет_аналитики'!N368-'19_Расчет_аналитики'!N389)</f>
        <v/>
      </c>
      <c r="O391">
        <f>MAX(0,'19_Расчет_аналитики'!O368-'19_Расчет_аналитики'!O389)</f>
        <v/>
      </c>
      <c r="P391">
        <f>MAX(0,'19_Расчет_аналитики'!P368-'19_Расчет_аналитики'!P389)</f>
        <v/>
      </c>
      <c r="Q391">
        <f>MAX(0,'19_Расчет_аналитики'!Q368-'19_Расчет_аналитики'!Q389)</f>
        <v/>
      </c>
      <c r="R391">
        <f>MAX(0,'19_Расчет_аналитики'!R368-'19_Расчет_аналитики'!R389)</f>
        <v/>
      </c>
      <c r="S391">
        <f>MAX(0,'19_Расчет_аналитики'!S368-'19_Расчет_аналитики'!S389)</f>
        <v/>
      </c>
      <c r="T391">
        <f>MAX(0,'19_Расчет_аналитики'!T368-'19_Расчет_аналитики'!T389)</f>
        <v/>
      </c>
      <c r="U391">
        <f>MAX(0,'19_Расчет_аналитики'!U368-'19_Расчет_аналитики'!U389)</f>
        <v/>
      </c>
      <c r="V391">
        <f>MAX(0,'19_Расчет_аналитики'!V368-'19_Расчет_аналитики'!V389)</f>
        <v/>
      </c>
      <c r="W391">
        <f>MAX(0,'19_Расчет_аналитики'!W368-'19_Расчет_аналитики'!W389)</f>
        <v/>
      </c>
      <c r="X391">
        <f>MAX(0,'19_Расчет_аналитики'!X368-'19_Расчет_аналитики'!X389)</f>
        <v/>
      </c>
      <c r="Y391">
        <f>MAX(0,'19_Расчет_аналитики'!Y368-'19_Расчет_аналитики'!Y389)</f>
        <v/>
      </c>
      <c r="Z391">
        <f>MAX(0,'19_Расчет_аналитики'!Z368-'19_Расчет_аналитики'!Z389)</f>
        <v/>
      </c>
      <c r="AA391">
        <f>MAX(0,'19_Расчет_аналитики'!AA368-'19_Расчет_аналитики'!AA389)</f>
        <v/>
      </c>
      <c r="AB391">
        <f>MAX(0,'19_Расчет_аналитики'!AB368-'19_Расчет_аналитики'!AB389)</f>
        <v/>
      </c>
      <c r="AC391">
        <f>MAX(0,'19_Расчет_аналитики'!AC368-'19_Расчет_аналитики'!AC389)</f>
        <v/>
      </c>
      <c r="AD391">
        <f>MAX(0,'19_Расчет_аналитики'!AD368-'19_Расчет_аналитики'!AD389)</f>
        <v/>
      </c>
      <c r="AE391">
        <f>MAX(0,'19_Расчет_аналитики'!AE368-'19_Расчет_аналитики'!AE389)</f>
        <v/>
      </c>
      <c r="AF391">
        <f>MAX(0,'19_Расчет_аналитики'!AF368-'19_Расчет_аналитики'!AF389)</f>
        <v/>
      </c>
      <c r="AG391">
        <f>MAX(0,'19_Расчет_аналитики'!AG368-'19_Расчет_аналитики'!AG389)</f>
        <v/>
      </c>
      <c r="AH391">
        <f>MAX(0,'19_Расчет_аналитики'!AH368-'19_Расчет_аналитики'!AH389)</f>
        <v/>
      </c>
      <c r="AI391">
        <f>MAX(0,'19_Расчет_аналитики'!AI368-'19_Расчет_аналитики'!AI389)</f>
        <v/>
      </c>
      <c r="AJ391">
        <f>MAX(0,'19_Расчет_аналитики'!AJ368-'19_Расчет_аналитики'!AJ389)</f>
        <v/>
      </c>
      <c r="AK391">
        <f>MAX(0,'19_Расчет_аналитики'!AK368-'19_Расчет_аналитики'!AK389)</f>
        <v/>
      </c>
      <c r="AL391">
        <f>MAX(0,'19_Расчет_аналитики'!AL368-'19_Расчет_аналитики'!AL389)</f>
        <v/>
      </c>
      <c r="AM391">
        <f>MAX(0,'19_Расчет_аналитики'!AM368-'19_Расчет_аналитики'!AM389)</f>
        <v/>
      </c>
      <c r="AN391">
        <f>MAX(0,'19_Расчет_аналитики'!AN368-'19_Расчет_аналитики'!AN389)</f>
        <v/>
      </c>
      <c r="AO391">
        <f>MAX(0,'19_Расчет_аналитики'!AO368-'19_Расчет_аналитики'!AO389)</f>
        <v/>
      </c>
      <c r="AP391">
        <f>MAX(0,'19_Расчет_аналитики'!AP368-'19_Расчет_аналитики'!AP389)</f>
        <v/>
      </c>
      <c r="AQ391">
        <f>MAX(0,'19_Расчет_аналитики'!AQ368-'19_Расчет_аналитики'!AQ389)</f>
        <v/>
      </c>
      <c r="AR391">
        <f>MAX(0,'19_Расчет_аналитики'!AR368-'19_Расчет_аналитики'!AR389)</f>
        <v/>
      </c>
      <c r="AS391">
        <f>MAX(0,'19_Расчет_аналитики'!AS368-'19_Расчет_аналитики'!AS389)</f>
        <v/>
      </c>
      <c r="AT391">
        <f>MAX(0,'19_Расчет_аналитики'!AT368-'19_Расчет_аналитики'!AT389)</f>
        <v/>
      </c>
      <c r="AU391">
        <f>MAX(0,'19_Расчет_аналитики'!AU368-'19_Расчет_аналитики'!AU389)</f>
        <v/>
      </c>
      <c r="AV391">
        <f>MAX(0,'19_Расчет_аналитики'!AV368-'19_Расчет_аналитики'!AV389)</f>
        <v/>
      </c>
      <c r="AW391">
        <f>MAX(0,'19_Расчет_аналитики'!AW368-'19_Расчет_аналитики'!AW389)</f>
        <v/>
      </c>
      <c r="AX391">
        <f>MAX(0,'19_Расчет_аналитики'!AX368-'19_Расчет_аналитики'!AX389)</f>
        <v/>
      </c>
      <c r="AY391">
        <f>MAX(0,'19_Расчет_аналитики'!AY368-'19_Расчет_аналитики'!AY389)</f>
        <v/>
      </c>
      <c r="AZ391">
        <f>MAX(0,'19_Расчет_аналитики'!AZ368-'19_Расчет_аналитики'!AZ389)</f>
        <v/>
      </c>
      <c r="BA391">
        <f>MAX(0,'19_Расчет_аналитики'!BA368-'19_Расчет_аналитики'!BA389)</f>
        <v/>
      </c>
      <c r="BB391">
        <f>MAX(0,'19_Расчет_аналитики'!BB368-'19_Расчет_аналитики'!BB389)</f>
        <v/>
      </c>
      <c r="BC391">
        <f>MAX(0,'19_Расчет_аналитики'!BC368-'19_Расчет_аналитики'!BC389)</f>
        <v/>
      </c>
      <c r="BD391">
        <f>MAX(0,'19_Расчет_аналитики'!BD368-'19_Расчет_аналитики'!BD389)</f>
        <v/>
      </c>
      <c r="BE391">
        <f>MAX(0,'19_Расчет_аналитики'!BE368-'19_Расчет_аналитики'!BE389)</f>
        <v/>
      </c>
      <c r="BF391">
        <f>MAX(0,'19_Расчет_аналитики'!BF368-'19_Расчет_аналитики'!BF389)</f>
        <v/>
      </c>
      <c r="BG391">
        <f>MAX(0,'19_Расчет_аналитики'!BG368-'19_Расчет_аналитики'!BG389)</f>
        <v/>
      </c>
      <c r="BH391">
        <f>MAX(0,'19_Расчет_аналитики'!BH368-'19_Расчет_аналитики'!BH389)</f>
        <v/>
      </c>
      <c r="BI391">
        <f>MAX(0,'19_Расчет_аналитики'!BI368-'19_Расчет_аналитики'!BI389)</f>
        <v/>
      </c>
      <c r="BJ391">
        <f>MAX(0,'19_Расчет_аналитики'!BJ368-'19_Расчет_аналитики'!BJ389)</f>
        <v/>
      </c>
      <c r="BK391">
        <f>MAX(0,'19_Расчет_аналитики'!BK368-'19_Расчет_аналитики'!BK389)</f>
        <v/>
      </c>
      <c r="BL391">
        <f>MAX(0,'19_Расчет_аналитики'!BL368-'19_Расчет_аналитики'!BL389)</f>
        <v/>
      </c>
      <c r="BM391">
        <f>MAX(0,'19_Расчет_аналитики'!BM368-'19_Расчет_аналитики'!BM389)</f>
        <v/>
      </c>
      <c r="BN391">
        <f>MAX(0,'19_Расчет_аналитики'!BN368-'19_Расчет_аналитики'!BN389)</f>
        <v/>
      </c>
      <c r="BO391">
        <f>MAX(0,'19_Расчет_аналитики'!BO368-'19_Расчет_аналитики'!BO389)</f>
        <v/>
      </c>
    </row>
    <row r="392"/>
    <row r="393"/>
    <row r="394"/>
    <row r="395"/>
    <row r="396"/>
    <row r="397"/>
    <row r="398">
      <c r="B398">
        <f>IF(1&lt;='01_Вводные'!$B$235,0,INDEX('19_Расчет_аналитики'!$B$363:$BO$363,1,1-'01_Вводные'!$B$235)*'01_Вводные'!$B$14^'01_Вводные'!$B$235)</f>
        <v/>
      </c>
      <c r="C398">
        <f>IF(2&lt;='01_Вводные'!$B$235,0,INDEX('19_Расчет_аналитики'!$B$363:$BO$363,1,2-'01_Вводные'!$B$235)*'01_Вводные'!$B$14^'01_Вводные'!$B$235)</f>
        <v/>
      </c>
      <c r="D398">
        <f>IF(3&lt;='01_Вводные'!$B$235,0,INDEX('19_Расчет_аналитики'!$B$363:$BO$363,1,3-'01_Вводные'!$B$235)*'01_Вводные'!$B$14^'01_Вводные'!$B$235)</f>
        <v/>
      </c>
      <c r="E398">
        <f>IF(4&lt;='01_Вводные'!$B$235,0,INDEX('19_Расчет_аналитики'!$B$363:$BO$363,1,4-'01_Вводные'!$B$235)*'01_Вводные'!$B$14^'01_Вводные'!$B$235)</f>
        <v/>
      </c>
      <c r="F398">
        <f>IF(5&lt;='01_Вводные'!$B$235,0,INDEX('19_Расчет_аналитики'!$B$363:$BO$363,1,5-'01_Вводные'!$B$235)*'01_Вводные'!$B$14^'01_Вводные'!$B$235)</f>
        <v/>
      </c>
      <c r="G398">
        <f>IF(6&lt;='01_Вводные'!$B$235,0,INDEX('19_Расчет_аналитики'!$B$363:$BO$363,1,6-'01_Вводные'!$B$235)*'01_Вводные'!$B$14^'01_Вводные'!$B$235)</f>
        <v/>
      </c>
      <c r="H398">
        <f>IF(7&lt;='01_Вводные'!$B$235,0,INDEX('19_Расчет_аналитики'!$B$363:$BO$363,1,7-'01_Вводные'!$B$235)*'01_Вводные'!$B$14^'01_Вводные'!$B$235)</f>
        <v/>
      </c>
      <c r="I398">
        <f>IF(8&lt;='01_Вводные'!$B$235,0,INDEX('19_Расчет_аналитики'!$B$363:$BO$363,1,8-'01_Вводные'!$B$235)*'01_Вводные'!$B$14^'01_Вводные'!$B$235)</f>
        <v/>
      </c>
      <c r="J398">
        <f>IF(9&lt;='01_Вводные'!$B$235,0,INDEX('19_Расчет_аналитики'!$B$363:$BO$363,1,9-'01_Вводные'!$B$235)*'01_Вводные'!$B$14^'01_Вводные'!$B$235)</f>
        <v/>
      </c>
      <c r="K398">
        <f>IF(10&lt;='01_Вводные'!$B$235,0,INDEX('19_Расчет_аналитики'!$B$363:$BO$363,1,10-'01_Вводные'!$B$235)*'01_Вводные'!$B$14^'01_Вводные'!$B$235)</f>
        <v/>
      </c>
      <c r="L398">
        <f>IF(11&lt;='01_Вводные'!$B$235,0,INDEX('19_Расчет_аналитики'!$B$363:$BO$363,1,11-'01_Вводные'!$B$235)*'01_Вводные'!$B$14^'01_Вводные'!$B$235)</f>
        <v/>
      </c>
      <c r="M398">
        <f>IF(12&lt;='01_Вводные'!$B$235,0,INDEX('19_Расчет_аналитики'!$B$363:$BO$363,1,12-'01_Вводные'!$B$235)*'01_Вводные'!$B$14^'01_Вводные'!$B$235)</f>
        <v/>
      </c>
      <c r="N398">
        <f>IF(13&lt;='01_Вводные'!$B$235,0,INDEX('19_Расчет_аналитики'!$B$363:$BO$363,1,13-'01_Вводные'!$B$235)*'01_Вводные'!$B$14^'01_Вводные'!$B$235)</f>
        <v/>
      </c>
      <c r="O398">
        <f>IF(14&lt;='01_Вводные'!$B$235,0,INDEX('19_Расчет_аналитики'!$B$363:$BO$363,1,14-'01_Вводные'!$B$235)*'01_Вводные'!$B$14^'01_Вводные'!$B$235)</f>
        <v/>
      </c>
      <c r="P398">
        <f>IF(15&lt;='01_Вводные'!$B$235,0,INDEX('19_Расчет_аналитики'!$B$363:$BO$363,1,15-'01_Вводные'!$B$235)*'01_Вводные'!$B$14^'01_Вводные'!$B$235)</f>
        <v/>
      </c>
      <c r="Q398">
        <f>IF(16&lt;='01_Вводные'!$B$235,0,INDEX('19_Расчет_аналитики'!$B$363:$BO$363,1,16-'01_Вводные'!$B$235)*'01_Вводные'!$B$14^'01_Вводные'!$B$235)</f>
        <v/>
      </c>
      <c r="R398">
        <f>IF(17&lt;='01_Вводные'!$B$235,0,INDEX('19_Расчет_аналитики'!$B$363:$BO$363,1,17-'01_Вводные'!$B$235)*'01_Вводные'!$B$14^'01_Вводные'!$B$235)</f>
        <v/>
      </c>
      <c r="S398">
        <f>IF(18&lt;='01_Вводные'!$B$235,0,INDEX('19_Расчет_аналитики'!$B$363:$BO$363,1,18-'01_Вводные'!$B$235)*'01_Вводные'!$B$14^'01_Вводные'!$B$235)</f>
        <v/>
      </c>
      <c r="T398">
        <f>IF(19&lt;='01_Вводные'!$B$235,0,INDEX('19_Расчет_аналитики'!$B$363:$BO$363,1,19-'01_Вводные'!$B$235)*'01_Вводные'!$B$14^'01_Вводные'!$B$235)</f>
        <v/>
      </c>
      <c r="U398">
        <f>IF(20&lt;='01_Вводные'!$B$235,0,INDEX('19_Расчет_аналитики'!$B$363:$BO$363,1,20-'01_Вводные'!$B$235)*'01_Вводные'!$B$14^'01_Вводные'!$B$235)</f>
        <v/>
      </c>
      <c r="V398">
        <f>IF(21&lt;='01_Вводные'!$B$235,0,INDEX('19_Расчет_аналитики'!$B$363:$BO$363,1,21-'01_Вводные'!$B$235)*'01_Вводные'!$B$14^'01_Вводные'!$B$235)</f>
        <v/>
      </c>
      <c r="W398">
        <f>IF(22&lt;='01_Вводные'!$B$235,0,INDEX('19_Расчет_аналитики'!$B$363:$BO$363,1,22-'01_Вводные'!$B$235)*'01_Вводные'!$B$14^'01_Вводные'!$B$235)</f>
        <v/>
      </c>
      <c r="X398">
        <f>IF(23&lt;='01_Вводные'!$B$235,0,INDEX('19_Расчет_аналитики'!$B$363:$BO$363,1,23-'01_Вводные'!$B$235)*'01_Вводные'!$B$14^'01_Вводные'!$B$235)</f>
        <v/>
      </c>
      <c r="Y398">
        <f>IF(24&lt;='01_Вводные'!$B$235,0,INDEX('19_Расчет_аналитики'!$B$363:$BO$363,1,24-'01_Вводные'!$B$235)*'01_Вводные'!$B$14^'01_Вводные'!$B$235)</f>
        <v/>
      </c>
      <c r="Z398">
        <f>IF(25&lt;='01_Вводные'!$B$235,0,INDEX('19_Расчет_аналитики'!$B$363:$BO$363,1,25-'01_Вводные'!$B$235)*'01_Вводные'!$B$14^'01_Вводные'!$B$235)</f>
        <v/>
      </c>
      <c r="AA398">
        <f>IF(26&lt;='01_Вводные'!$B$235,0,INDEX('19_Расчет_аналитики'!$B$363:$BO$363,1,26-'01_Вводные'!$B$235)*'01_Вводные'!$B$14^'01_Вводные'!$B$235)</f>
        <v/>
      </c>
      <c r="AB398">
        <f>IF(27&lt;='01_Вводные'!$B$235,0,INDEX('19_Расчет_аналитики'!$B$363:$BO$363,1,27-'01_Вводные'!$B$235)*'01_Вводные'!$B$14^'01_Вводные'!$B$235)</f>
        <v/>
      </c>
      <c r="AC398">
        <f>IF(28&lt;='01_Вводные'!$B$235,0,INDEX('19_Расчет_аналитики'!$B$363:$BO$363,1,28-'01_Вводные'!$B$235)*'01_Вводные'!$B$14^'01_Вводные'!$B$235)</f>
        <v/>
      </c>
      <c r="AD398">
        <f>IF(29&lt;='01_Вводные'!$B$235,0,INDEX('19_Расчет_аналитики'!$B$363:$BO$363,1,29-'01_Вводные'!$B$235)*'01_Вводные'!$B$14^'01_Вводные'!$B$235)</f>
        <v/>
      </c>
      <c r="AE398">
        <f>IF(30&lt;='01_Вводные'!$B$235,0,INDEX('19_Расчет_аналитики'!$B$363:$BO$363,1,30-'01_Вводные'!$B$235)*'01_Вводные'!$B$14^'01_Вводные'!$B$235)</f>
        <v/>
      </c>
      <c r="AF398">
        <f>IF(31&lt;='01_Вводные'!$B$235,0,INDEX('19_Расчет_аналитики'!$B$363:$BO$363,1,31-'01_Вводные'!$B$235)*'01_Вводные'!$B$14^'01_Вводные'!$B$235)</f>
        <v/>
      </c>
      <c r="AG398">
        <f>IF(32&lt;='01_Вводные'!$B$235,0,INDEX('19_Расчет_аналитики'!$B$363:$BO$363,1,32-'01_Вводные'!$B$235)*'01_Вводные'!$B$14^'01_Вводные'!$B$235)</f>
        <v/>
      </c>
      <c r="AH398">
        <f>IF(33&lt;='01_Вводные'!$B$235,0,INDEX('19_Расчет_аналитики'!$B$363:$BO$363,1,33-'01_Вводные'!$B$235)*'01_Вводные'!$B$14^'01_Вводные'!$B$235)</f>
        <v/>
      </c>
      <c r="AI398">
        <f>IF(34&lt;='01_Вводные'!$B$235,0,INDEX('19_Расчет_аналитики'!$B$363:$BO$363,1,34-'01_Вводные'!$B$235)*'01_Вводные'!$B$14^'01_Вводные'!$B$235)</f>
        <v/>
      </c>
      <c r="AJ398">
        <f>IF(35&lt;='01_Вводные'!$B$235,0,INDEX('19_Расчет_аналитики'!$B$363:$BO$363,1,35-'01_Вводные'!$B$235)*'01_Вводные'!$B$14^'01_Вводные'!$B$235)</f>
        <v/>
      </c>
      <c r="AK398">
        <f>IF(36&lt;='01_Вводные'!$B$235,0,INDEX('19_Расчет_аналитики'!$B$363:$BO$363,1,36-'01_Вводные'!$B$235)*'01_Вводные'!$B$14^'01_Вводные'!$B$235)</f>
        <v/>
      </c>
      <c r="AL398">
        <f>IF(37&lt;='01_Вводные'!$B$235,0,INDEX('19_Расчет_аналитики'!$B$363:$BO$363,1,37-'01_Вводные'!$B$235)*'01_Вводные'!$B$14^'01_Вводные'!$B$235)</f>
        <v/>
      </c>
      <c r="AM398">
        <f>IF(38&lt;='01_Вводные'!$B$235,0,INDEX('19_Расчет_аналитики'!$B$363:$BO$363,1,38-'01_Вводные'!$B$235)*'01_Вводные'!$B$14^'01_Вводные'!$B$235)</f>
        <v/>
      </c>
      <c r="AN398">
        <f>IF(39&lt;='01_Вводные'!$B$235,0,INDEX('19_Расчет_аналитики'!$B$363:$BO$363,1,39-'01_Вводные'!$B$235)*'01_Вводные'!$B$14^'01_Вводные'!$B$235)</f>
        <v/>
      </c>
      <c r="AO398">
        <f>IF(40&lt;='01_Вводные'!$B$235,0,INDEX('19_Расчет_аналитики'!$B$363:$BO$363,1,40-'01_Вводные'!$B$235)*'01_Вводные'!$B$14^'01_Вводные'!$B$235)</f>
        <v/>
      </c>
      <c r="AP398">
        <f>IF(41&lt;='01_Вводные'!$B$235,0,INDEX('19_Расчет_аналитики'!$B$363:$BO$363,1,41-'01_Вводные'!$B$235)*'01_Вводные'!$B$14^'01_Вводные'!$B$235)</f>
        <v/>
      </c>
      <c r="AQ398">
        <f>IF(42&lt;='01_Вводные'!$B$235,0,INDEX('19_Расчет_аналитики'!$B$363:$BO$363,1,42-'01_Вводные'!$B$235)*'01_Вводные'!$B$14^'01_Вводные'!$B$235)</f>
        <v/>
      </c>
      <c r="AR398">
        <f>IF(43&lt;='01_Вводные'!$B$235,0,INDEX('19_Расчет_аналитики'!$B$363:$BO$363,1,43-'01_Вводные'!$B$235)*'01_Вводные'!$B$14^'01_Вводные'!$B$235)</f>
        <v/>
      </c>
      <c r="AS398">
        <f>IF(44&lt;='01_Вводные'!$B$235,0,INDEX('19_Расчет_аналитики'!$B$363:$BO$363,1,44-'01_Вводные'!$B$235)*'01_Вводные'!$B$14^'01_Вводные'!$B$235)</f>
        <v/>
      </c>
      <c r="AT398">
        <f>IF(45&lt;='01_Вводные'!$B$235,0,INDEX('19_Расчет_аналитики'!$B$363:$BO$363,1,45-'01_Вводные'!$B$235)*'01_Вводные'!$B$14^'01_Вводные'!$B$235)</f>
        <v/>
      </c>
      <c r="AU398">
        <f>IF(46&lt;='01_Вводные'!$B$235,0,INDEX('19_Расчет_аналитики'!$B$363:$BO$363,1,46-'01_Вводные'!$B$235)*'01_Вводные'!$B$14^'01_Вводные'!$B$235)</f>
        <v/>
      </c>
      <c r="AV398">
        <f>IF(47&lt;='01_Вводные'!$B$235,0,INDEX('19_Расчет_аналитики'!$B$363:$BO$363,1,47-'01_Вводные'!$B$235)*'01_Вводные'!$B$14^'01_Вводные'!$B$235)</f>
        <v/>
      </c>
      <c r="AW398">
        <f>IF(48&lt;='01_Вводные'!$B$235,0,INDEX('19_Расчет_аналитики'!$B$363:$BO$363,1,48-'01_Вводные'!$B$235)*'01_Вводные'!$B$14^'01_Вводные'!$B$235)</f>
        <v/>
      </c>
      <c r="AX398">
        <f>IF(49&lt;='01_Вводные'!$B$235,0,INDEX('19_Расчет_аналитики'!$B$363:$BO$363,1,49-'01_Вводные'!$B$235)*'01_Вводные'!$B$14^'01_Вводные'!$B$235)</f>
        <v/>
      </c>
      <c r="AY398">
        <f>IF(50&lt;='01_Вводные'!$B$235,0,INDEX('19_Расчет_аналитики'!$B$363:$BO$363,1,50-'01_Вводные'!$B$235)*'01_Вводные'!$B$14^'01_Вводные'!$B$235)</f>
        <v/>
      </c>
      <c r="AZ398">
        <f>IF(51&lt;='01_Вводные'!$B$235,0,INDEX('19_Расчет_аналитики'!$B$363:$BO$363,1,51-'01_Вводные'!$B$235)*'01_Вводные'!$B$14^'01_Вводные'!$B$235)</f>
        <v/>
      </c>
      <c r="BA398">
        <f>IF(52&lt;='01_Вводные'!$B$235,0,INDEX('19_Расчет_аналитики'!$B$363:$BO$363,1,52-'01_Вводные'!$B$235)*'01_Вводные'!$B$14^'01_Вводные'!$B$235)</f>
        <v/>
      </c>
      <c r="BB398">
        <f>IF(53&lt;='01_Вводные'!$B$235,0,INDEX('19_Расчет_аналитики'!$B$363:$BO$363,1,53-'01_Вводные'!$B$235)*'01_Вводные'!$B$14^'01_Вводные'!$B$235)</f>
        <v/>
      </c>
      <c r="BC398">
        <f>IF(54&lt;='01_Вводные'!$B$235,0,INDEX('19_Расчет_аналитики'!$B$363:$BO$363,1,54-'01_Вводные'!$B$235)*'01_Вводные'!$B$14^'01_Вводные'!$B$235)</f>
        <v/>
      </c>
      <c r="BD398">
        <f>IF(55&lt;='01_Вводные'!$B$235,0,INDEX('19_Расчет_аналитики'!$B$363:$BO$363,1,55-'01_Вводные'!$B$235)*'01_Вводные'!$B$14^'01_Вводные'!$B$235)</f>
        <v/>
      </c>
      <c r="BE398">
        <f>IF(56&lt;='01_Вводные'!$B$235,0,INDEX('19_Расчет_аналитики'!$B$363:$BO$363,1,56-'01_Вводные'!$B$235)*'01_Вводные'!$B$14^'01_Вводные'!$B$235)</f>
        <v/>
      </c>
      <c r="BF398">
        <f>IF(57&lt;='01_Вводные'!$B$235,0,INDEX('19_Расчет_аналитики'!$B$363:$BO$363,1,57-'01_Вводные'!$B$235)*'01_Вводные'!$B$14^'01_Вводные'!$B$235)</f>
        <v/>
      </c>
      <c r="BG398">
        <f>IF(58&lt;='01_Вводные'!$B$235,0,INDEX('19_Расчет_аналитики'!$B$363:$BO$363,1,58-'01_Вводные'!$B$235)*'01_Вводные'!$B$14^'01_Вводные'!$B$235)</f>
        <v/>
      </c>
      <c r="BH398">
        <f>IF(59&lt;='01_Вводные'!$B$235,0,INDEX('19_Расчет_аналитики'!$B$363:$BO$363,1,59-'01_Вводные'!$B$235)*'01_Вводные'!$B$14^'01_Вводные'!$B$235)</f>
        <v/>
      </c>
      <c r="BI398">
        <f>IF(60&lt;='01_Вводные'!$B$235,0,INDEX('19_Расчет_аналитики'!$B$363:$BO$363,1,60-'01_Вводные'!$B$235)*'01_Вводные'!$B$14^'01_Вводные'!$B$235)</f>
        <v/>
      </c>
      <c r="BJ398">
        <f>IF(61&lt;='01_Вводные'!$B$235,0,INDEX('19_Расчет_аналитики'!$B$363:$BO$363,1,61-'01_Вводные'!$B$235)*'01_Вводные'!$B$14^'01_Вводные'!$B$235)</f>
        <v/>
      </c>
      <c r="BK398">
        <f>IF(62&lt;='01_Вводные'!$B$235,0,INDEX('19_Расчет_аналитики'!$B$363:$BO$363,1,62-'01_Вводные'!$B$235)*'01_Вводные'!$B$14^'01_Вводные'!$B$235)</f>
        <v/>
      </c>
      <c r="BL398">
        <f>IF(63&lt;='01_Вводные'!$B$235,0,INDEX('19_Расчет_аналитики'!$B$363:$BO$363,1,63-'01_Вводные'!$B$235)*'01_Вводные'!$B$14^'01_Вводные'!$B$235)</f>
        <v/>
      </c>
      <c r="BM398">
        <f>IF(64&lt;='01_Вводные'!$B$235,0,INDEX('19_Расчет_аналитики'!$B$363:$BO$363,1,64-'01_Вводные'!$B$235)*'01_Вводные'!$B$14^'01_Вводные'!$B$235)</f>
        <v/>
      </c>
      <c r="BN398">
        <f>IF(65&lt;='01_Вводные'!$B$235,0,INDEX('19_Расчет_аналитики'!$B$363:$BO$363,1,65-'01_Вводные'!$B$235)*'01_Вводные'!$B$14^'01_Вводные'!$B$235)</f>
        <v/>
      </c>
      <c r="BO398">
        <f>IF(66&lt;='01_Вводные'!$B$235,0,INDEX('19_Расчет_аналитики'!$B$363:$BO$363,1,66-'01_Вводные'!$B$235)*'01_Вводные'!$B$14^'01_Вводные'!$B$235)</f>
        <v/>
      </c>
    </row>
    <row r="399">
      <c r="B399">
        <f>'19_Расчет_аналитики'!B398</f>
        <v/>
      </c>
      <c r="C399">
        <f>'19_Расчет_аналитики'!B399*'01_Вводные'!$B$14+'19_Расчет_аналитики'!C398</f>
        <v/>
      </c>
      <c r="D399">
        <f>'19_Расчет_аналитики'!C399*'01_Вводные'!$B$14+'19_Расчет_аналитики'!D398</f>
        <v/>
      </c>
      <c r="E399">
        <f>'19_Расчет_аналитики'!D399*'01_Вводные'!$B$14+'19_Расчет_аналитики'!E398</f>
        <v/>
      </c>
      <c r="F399">
        <f>'19_Расчет_аналитики'!E399*'01_Вводные'!$B$14+'19_Расчет_аналитики'!F398</f>
        <v/>
      </c>
      <c r="G399">
        <f>'19_Расчет_аналитики'!F399*'01_Вводные'!$B$14+'19_Расчет_аналитики'!G398</f>
        <v/>
      </c>
      <c r="H399">
        <f>'19_Расчет_аналитики'!G399*'01_Вводные'!$B$14+'19_Расчет_аналитики'!H398</f>
        <v/>
      </c>
      <c r="I399">
        <f>'19_Расчет_аналитики'!H399*'01_Вводные'!$B$14+'19_Расчет_аналитики'!I398</f>
        <v/>
      </c>
      <c r="J399">
        <f>'19_Расчет_аналитики'!I399*'01_Вводные'!$B$14+'19_Расчет_аналитики'!J398</f>
        <v/>
      </c>
      <c r="K399">
        <f>'19_Расчет_аналитики'!J399*'01_Вводные'!$B$14+'19_Расчет_аналитики'!K398</f>
        <v/>
      </c>
      <c r="L399">
        <f>'19_Расчет_аналитики'!K399*'01_Вводные'!$B$14+'19_Расчет_аналитики'!L398</f>
        <v/>
      </c>
      <c r="M399">
        <f>'19_Расчет_аналитики'!L399*'01_Вводные'!$B$14+'19_Расчет_аналитики'!M398</f>
        <v/>
      </c>
      <c r="N399">
        <f>'19_Расчет_аналитики'!M399*'01_Вводные'!$B$14+'19_Расчет_аналитики'!N398</f>
        <v/>
      </c>
      <c r="O399">
        <f>'19_Расчет_аналитики'!N399*'01_Вводные'!$B$14+'19_Расчет_аналитики'!O398</f>
        <v/>
      </c>
      <c r="P399">
        <f>'19_Расчет_аналитики'!O399*'01_Вводные'!$B$14+'19_Расчет_аналитики'!P398</f>
        <v/>
      </c>
      <c r="Q399">
        <f>'19_Расчет_аналитики'!P399*'01_Вводные'!$B$14+'19_Расчет_аналитики'!Q398</f>
        <v/>
      </c>
      <c r="R399">
        <f>'19_Расчет_аналитики'!Q399*'01_Вводные'!$B$14+'19_Расчет_аналитики'!R398</f>
        <v/>
      </c>
      <c r="S399">
        <f>'19_Расчет_аналитики'!R399*'01_Вводные'!$B$14+'19_Расчет_аналитики'!S398</f>
        <v/>
      </c>
      <c r="T399">
        <f>'19_Расчет_аналитики'!S399*'01_Вводные'!$B$14+'19_Расчет_аналитики'!T398</f>
        <v/>
      </c>
      <c r="U399">
        <f>'19_Расчет_аналитики'!T399*'01_Вводные'!$B$14+'19_Расчет_аналитики'!U398</f>
        <v/>
      </c>
      <c r="V399">
        <f>'19_Расчет_аналитики'!U399*'01_Вводные'!$B$14+'19_Расчет_аналитики'!V398</f>
        <v/>
      </c>
      <c r="W399">
        <f>'19_Расчет_аналитики'!V399*'01_Вводные'!$B$14+'19_Расчет_аналитики'!W398</f>
        <v/>
      </c>
      <c r="X399">
        <f>'19_Расчет_аналитики'!W399*'01_Вводные'!$B$14+'19_Расчет_аналитики'!X398</f>
        <v/>
      </c>
      <c r="Y399">
        <f>'19_Расчет_аналитики'!X399*'01_Вводные'!$B$14+'19_Расчет_аналитики'!Y398</f>
        <v/>
      </c>
      <c r="Z399">
        <f>'19_Расчет_аналитики'!Y399*'01_Вводные'!$B$14+'19_Расчет_аналитики'!Z398</f>
        <v/>
      </c>
      <c r="AA399">
        <f>'19_Расчет_аналитики'!Z399*'01_Вводные'!$B$14+'19_Расчет_аналитики'!AA398</f>
        <v/>
      </c>
      <c r="AB399">
        <f>'19_Расчет_аналитики'!AA399*'01_Вводные'!$B$14+'19_Расчет_аналитики'!AB398</f>
        <v/>
      </c>
      <c r="AC399">
        <f>'19_Расчет_аналитики'!AB399*'01_Вводные'!$B$14+'19_Расчет_аналитики'!AC398</f>
        <v/>
      </c>
      <c r="AD399">
        <f>'19_Расчет_аналитики'!AC399*'01_Вводные'!$B$14+'19_Расчет_аналитики'!AD398</f>
        <v/>
      </c>
      <c r="AE399">
        <f>'19_Расчет_аналитики'!AD399*'01_Вводные'!$B$14+'19_Расчет_аналитики'!AE398</f>
        <v/>
      </c>
      <c r="AF399">
        <f>'19_Расчет_аналитики'!AE399*'01_Вводные'!$B$14+'19_Расчет_аналитики'!AF398</f>
        <v/>
      </c>
      <c r="AG399">
        <f>'19_Расчет_аналитики'!AF399*'01_Вводные'!$B$14+'19_Расчет_аналитики'!AG398</f>
        <v/>
      </c>
      <c r="AH399">
        <f>'19_Расчет_аналитики'!AG399*'01_Вводные'!$B$14+'19_Расчет_аналитики'!AH398</f>
        <v/>
      </c>
      <c r="AI399">
        <f>'19_Расчет_аналитики'!AH399*'01_Вводные'!$B$14+'19_Расчет_аналитики'!AI398</f>
        <v/>
      </c>
      <c r="AJ399">
        <f>'19_Расчет_аналитики'!AI399*'01_Вводные'!$B$14+'19_Расчет_аналитики'!AJ398</f>
        <v/>
      </c>
      <c r="AK399">
        <f>'19_Расчет_аналитики'!AJ399*'01_Вводные'!$B$14+'19_Расчет_аналитики'!AK398</f>
        <v/>
      </c>
      <c r="AL399">
        <f>'19_Расчет_аналитики'!AK399*'01_Вводные'!$B$14+'19_Расчет_аналитики'!AL398</f>
        <v/>
      </c>
      <c r="AM399">
        <f>'19_Расчет_аналитики'!AL399*'01_Вводные'!$B$14+'19_Расчет_аналитики'!AM398</f>
        <v/>
      </c>
      <c r="AN399">
        <f>'19_Расчет_аналитики'!AM399*'01_Вводные'!$B$14+'19_Расчет_аналитики'!AN398</f>
        <v/>
      </c>
      <c r="AO399">
        <f>'19_Расчет_аналитики'!AN399*'01_Вводные'!$B$14+'19_Расчет_аналитики'!AO398</f>
        <v/>
      </c>
      <c r="AP399">
        <f>'19_Расчет_аналитики'!AO399*'01_Вводные'!$B$14+'19_Расчет_аналитики'!AP398</f>
        <v/>
      </c>
      <c r="AQ399">
        <f>'19_Расчет_аналитики'!AP399*'01_Вводные'!$B$14+'19_Расчет_аналитики'!AQ398</f>
        <v/>
      </c>
      <c r="AR399">
        <f>'19_Расчет_аналитики'!AQ399*'01_Вводные'!$B$14+'19_Расчет_аналитики'!AR398</f>
        <v/>
      </c>
      <c r="AS399">
        <f>'19_Расчет_аналитики'!AR399*'01_Вводные'!$B$14+'19_Расчет_аналитики'!AS398</f>
        <v/>
      </c>
      <c r="AT399">
        <f>'19_Расчет_аналитики'!AS399*'01_Вводные'!$B$14+'19_Расчет_аналитики'!AT398</f>
        <v/>
      </c>
      <c r="AU399">
        <f>'19_Расчет_аналитики'!AT399*'01_Вводные'!$B$14+'19_Расчет_аналитики'!AU398</f>
        <v/>
      </c>
      <c r="AV399">
        <f>'19_Расчет_аналитики'!AU399*'01_Вводные'!$B$14+'19_Расчет_аналитики'!AV398</f>
        <v/>
      </c>
      <c r="AW399">
        <f>'19_Расчет_аналитики'!AV399*'01_Вводные'!$B$14+'19_Расчет_аналитики'!AW398</f>
        <v/>
      </c>
      <c r="AX399">
        <f>'19_Расчет_аналитики'!AW399*'01_Вводные'!$B$14+'19_Расчет_аналитики'!AX398</f>
        <v/>
      </c>
      <c r="AY399">
        <f>'19_Расчет_аналитики'!AX399*'01_Вводные'!$B$14+'19_Расчет_аналитики'!AY398</f>
        <v/>
      </c>
      <c r="AZ399">
        <f>'19_Расчет_аналитики'!AY399*'01_Вводные'!$B$14+'19_Расчет_аналитики'!AZ398</f>
        <v/>
      </c>
      <c r="BA399">
        <f>'19_Расчет_аналитики'!AZ399*'01_Вводные'!$B$14+'19_Расчет_аналитики'!BA398</f>
        <v/>
      </c>
      <c r="BB399">
        <f>'19_Расчет_аналитики'!BA399*'01_Вводные'!$B$14+'19_Расчет_аналитики'!BB398</f>
        <v/>
      </c>
      <c r="BC399">
        <f>'19_Расчет_аналитики'!BB399*'01_Вводные'!$B$14+'19_Расчет_аналитики'!BC398</f>
        <v/>
      </c>
      <c r="BD399">
        <f>'19_Расчет_аналитики'!BC399*'01_Вводные'!$B$14+'19_Расчет_аналитики'!BD398</f>
        <v/>
      </c>
      <c r="BE399">
        <f>'19_Расчет_аналитики'!BD399*'01_Вводные'!$B$14+'19_Расчет_аналитики'!BE398</f>
        <v/>
      </c>
      <c r="BF399">
        <f>'19_Расчет_аналитики'!BE399*'01_Вводные'!$B$14+'19_Расчет_аналитики'!BF398</f>
        <v/>
      </c>
      <c r="BG399">
        <f>'19_Расчет_аналитики'!BF399*'01_Вводные'!$B$14+'19_Расчет_аналитики'!BG398</f>
        <v/>
      </c>
      <c r="BH399">
        <f>'19_Расчет_аналитики'!BG399*'01_Вводные'!$B$14+'19_Расчет_аналитики'!BH398</f>
        <v/>
      </c>
      <c r="BI399">
        <f>'19_Расчет_аналитики'!BH399*'01_Вводные'!$B$14+'19_Расчет_аналитики'!BI398</f>
        <v/>
      </c>
      <c r="BJ399">
        <f>'19_Расчет_аналитики'!BI399*'01_Вводные'!$B$14+'19_Расчет_аналитики'!BJ398</f>
        <v/>
      </c>
      <c r="BK399">
        <f>'19_Расчет_аналитики'!BJ399*'01_Вводные'!$B$14+'19_Расчет_аналитики'!BK398</f>
        <v/>
      </c>
      <c r="BL399">
        <f>'19_Расчет_аналитики'!BK399*'01_Вводные'!$B$14+'19_Расчет_аналитики'!BL398</f>
        <v/>
      </c>
      <c r="BM399">
        <f>'19_Расчет_аналитики'!BL399*'01_Вводные'!$B$14+'19_Расчет_аналитики'!BM398</f>
        <v/>
      </c>
      <c r="BN399">
        <f>'19_Расчет_аналитики'!BM399*'01_Вводные'!$B$14+'19_Расчет_аналитики'!BN398</f>
        <v/>
      </c>
      <c r="BO399">
        <f>'19_Расчет_аналитики'!BN399*'01_Вводные'!$B$14+'19_Расчет_аналитики'!BO398</f>
        <v/>
      </c>
    </row>
    <row r="400"/>
    <row r="401"/>
    <row r="402"/>
    <row r="403"/>
    <row r="404"/>
    <row r="405"/>
    <row r="406"/>
    <row r="407"/>
    <row r="408">
      <c r="B408">
        <f>'19_Расчет_аналитики'!B363</f>
        <v/>
      </c>
      <c r="C408">
        <f>'19_Расчет_аналитики'!C363</f>
        <v/>
      </c>
      <c r="D408">
        <f>'19_Расчет_аналитики'!D363</f>
        <v/>
      </c>
      <c r="E408">
        <f>'19_Расчет_аналитики'!E363</f>
        <v/>
      </c>
      <c r="F408">
        <f>'19_Расчет_аналитики'!F363</f>
        <v/>
      </c>
      <c r="G408">
        <f>'19_Расчет_аналитики'!G363</f>
        <v/>
      </c>
      <c r="H408">
        <f>'19_Расчет_аналитики'!H363</f>
        <v/>
      </c>
      <c r="I408">
        <f>'19_Расчет_аналитики'!I363</f>
        <v/>
      </c>
      <c r="J408">
        <f>'19_Расчет_аналитики'!J363</f>
        <v/>
      </c>
      <c r="K408">
        <f>'19_Расчет_аналитики'!K363</f>
        <v/>
      </c>
      <c r="L408">
        <f>'19_Расчет_аналитики'!L363</f>
        <v/>
      </c>
      <c r="M408">
        <f>'19_Расчет_аналитики'!M363</f>
        <v/>
      </c>
      <c r="N408">
        <f>'19_Расчет_аналитики'!N363</f>
        <v/>
      </c>
      <c r="O408">
        <f>'19_Расчет_аналитики'!O363</f>
        <v/>
      </c>
      <c r="P408">
        <f>'19_Расчет_аналитики'!P363</f>
        <v/>
      </c>
      <c r="Q408">
        <f>'19_Расчет_аналитики'!Q363</f>
        <v/>
      </c>
      <c r="R408">
        <f>'19_Расчет_аналитики'!R363</f>
        <v/>
      </c>
      <c r="S408">
        <f>'19_Расчет_аналитики'!S363</f>
        <v/>
      </c>
      <c r="T408">
        <f>'19_Расчет_аналитики'!T363</f>
        <v/>
      </c>
      <c r="U408">
        <f>'19_Расчет_аналитики'!U363</f>
        <v/>
      </c>
      <c r="V408">
        <f>'19_Расчет_аналитики'!V363</f>
        <v/>
      </c>
      <c r="W408">
        <f>'19_Расчет_аналитики'!W363</f>
        <v/>
      </c>
      <c r="X408">
        <f>'19_Расчет_аналитики'!X363</f>
        <v/>
      </c>
      <c r="Y408">
        <f>'19_Расчет_аналитики'!Y363</f>
        <v/>
      </c>
      <c r="Z408">
        <f>'19_Расчет_аналитики'!Z363</f>
        <v/>
      </c>
      <c r="AA408">
        <f>'19_Расчет_аналитики'!AA363</f>
        <v/>
      </c>
      <c r="AB408">
        <f>'19_Расчет_аналитики'!AB363</f>
        <v/>
      </c>
      <c r="AC408">
        <f>'19_Расчет_аналитики'!AC363</f>
        <v/>
      </c>
      <c r="AD408">
        <f>'19_Расчет_аналитики'!AD363</f>
        <v/>
      </c>
      <c r="AE408">
        <f>'19_Расчет_аналитики'!AE363</f>
        <v/>
      </c>
      <c r="AF408">
        <f>'19_Расчет_аналитики'!AF363</f>
        <v/>
      </c>
      <c r="AG408">
        <f>'19_Расчет_аналитики'!AG363</f>
        <v/>
      </c>
      <c r="AH408">
        <f>'19_Расчет_аналитики'!AH363</f>
        <v/>
      </c>
      <c r="AI408">
        <f>'19_Расчет_аналитики'!AI363</f>
        <v/>
      </c>
      <c r="AJ408">
        <f>'19_Расчет_аналитики'!AJ363</f>
        <v/>
      </c>
      <c r="AK408">
        <f>'19_Расчет_аналитики'!AK363</f>
        <v/>
      </c>
      <c r="AL408">
        <f>'19_Расчет_аналитики'!AL363</f>
        <v/>
      </c>
      <c r="AM408">
        <f>'19_Расчет_аналитики'!AM363</f>
        <v/>
      </c>
      <c r="AN408">
        <f>'19_Расчет_аналитики'!AN363</f>
        <v/>
      </c>
      <c r="AO408">
        <f>'19_Расчет_аналитики'!AO363</f>
        <v/>
      </c>
      <c r="AP408">
        <f>'19_Расчет_аналитики'!AP363</f>
        <v/>
      </c>
      <c r="AQ408">
        <f>'19_Расчет_аналитики'!AQ363</f>
        <v/>
      </c>
      <c r="AR408">
        <f>'19_Расчет_аналитики'!AR363</f>
        <v/>
      </c>
      <c r="AS408">
        <f>'19_Расчет_аналитики'!AS363</f>
        <v/>
      </c>
      <c r="AT408">
        <f>'19_Расчет_аналитики'!AT363</f>
        <v/>
      </c>
      <c r="AU408">
        <f>'19_Расчет_аналитики'!AU363</f>
        <v/>
      </c>
      <c r="AV408">
        <f>'19_Расчет_аналитики'!AV363</f>
        <v/>
      </c>
      <c r="AW408">
        <f>'19_Расчет_аналитики'!AW363</f>
        <v/>
      </c>
      <c r="AX408">
        <f>'19_Расчет_аналитики'!AX363</f>
        <v/>
      </c>
      <c r="AY408">
        <f>'19_Расчет_аналитики'!AY363</f>
        <v/>
      </c>
      <c r="AZ408">
        <f>'19_Расчет_аналитики'!AZ363</f>
        <v/>
      </c>
      <c r="BA408">
        <f>'19_Расчет_аналитики'!BA363</f>
        <v/>
      </c>
      <c r="BB408">
        <f>'19_Расчет_аналитики'!BB363</f>
        <v/>
      </c>
      <c r="BC408">
        <f>'19_Расчет_аналитики'!BC363</f>
        <v/>
      </c>
      <c r="BD408">
        <f>'19_Расчет_аналитики'!BD363</f>
        <v/>
      </c>
      <c r="BE408">
        <f>'19_Расчет_аналитики'!BE363</f>
        <v/>
      </c>
      <c r="BF408">
        <f>'19_Расчет_аналитики'!BF363</f>
        <v/>
      </c>
      <c r="BG408">
        <f>'19_Расчет_аналитики'!BG363</f>
        <v/>
      </c>
      <c r="BH408">
        <f>'19_Расчет_аналитики'!BH363</f>
        <v/>
      </c>
      <c r="BI408">
        <f>'19_Расчет_аналитики'!BI363</f>
        <v/>
      </c>
      <c r="BJ408">
        <f>'19_Расчет_аналитики'!BJ363</f>
        <v/>
      </c>
      <c r="BK408">
        <f>'19_Расчет_аналитики'!BK363</f>
        <v/>
      </c>
      <c r="BL408">
        <f>'19_Расчет_аналитики'!BL363</f>
        <v/>
      </c>
      <c r="BM408">
        <f>'19_Расчет_аналитики'!BM363</f>
        <v/>
      </c>
      <c r="BN408">
        <f>'19_Расчет_аналитики'!BN363</f>
        <v/>
      </c>
      <c r="BO408">
        <f>'19_Расчет_аналитики'!BO363</f>
        <v/>
      </c>
    </row>
    <row r="409">
      <c r="B409">
        <f>'06_Сеть_и_дети'!B54</f>
        <v/>
      </c>
      <c r="C409">
        <f>'19_Расчет_аналитики'!B408*'01_Вводные'!$B$14</f>
        <v/>
      </c>
      <c r="D409">
        <f>'19_Расчет_аналитики'!C408*'01_Вводные'!$B$14</f>
        <v/>
      </c>
      <c r="E409">
        <f>'19_Расчет_аналитики'!D408*'01_Вводные'!$B$14</f>
        <v/>
      </c>
      <c r="F409">
        <f>'19_Расчет_аналитики'!E408*'01_Вводные'!$B$14</f>
        <v/>
      </c>
      <c r="G409">
        <f>'19_Расчет_аналитики'!F408*'01_Вводные'!$B$14</f>
        <v/>
      </c>
      <c r="H409">
        <f>'19_Расчет_аналитики'!G408*'01_Вводные'!$B$14</f>
        <v/>
      </c>
      <c r="I409">
        <f>'19_Расчет_аналитики'!H408*'01_Вводные'!$B$14</f>
        <v/>
      </c>
      <c r="J409">
        <f>'19_Расчет_аналитики'!I408*'01_Вводные'!$B$14</f>
        <v/>
      </c>
      <c r="K409">
        <f>'19_Расчет_аналитики'!J408*'01_Вводные'!$B$14</f>
        <v/>
      </c>
      <c r="L409">
        <f>'19_Расчет_аналитики'!K408*'01_Вводные'!$B$14</f>
        <v/>
      </c>
      <c r="M409">
        <f>'19_Расчет_аналитики'!L408*'01_Вводные'!$B$14</f>
        <v/>
      </c>
      <c r="N409">
        <f>'19_Расчет_аналитики'!M408*'01_Вводные'!$B$14</f>
        <v/>
      </c>
      <c r="O409">
        <f>'19_Расчет_аналитики'!N408*'01_Вводные'!$B$14</f>
        <v/>
      </c>
      <c r="P409">
        <f>'19_Расчет_аналитики'!O408*'01_Вводные'!$B$14</f>
        <v/>
      </c>
      <c r="Q409">
        <f>'19_Расчет_аналитики'!P408*'01_Вводные'!$B$14</f>
        <v/>
      </c>
      <c r="R409">
        <f>'19_Расчет_аналитики'!Q408*'01_Вводные'!$B$14</f>
        <v/>
      </c>
      <c r="S409">
        <f>'19_Расчет_аналитики'!R408*'01_Вводные'!$B$14</f>
        <v/>
      </c>
      <c r="T409">
        <f>'19_Расчет_аналитики'!S408*'01_Вводные'!$B$14</f>
        <v/>
      </c>
      <c r="U409">
        <f>'19_Расчет_аналитики'!T408*'01_Вводные'!$B$14</f>
        <v/>
      </c>
      <c r="V409">
        <f>'19_Расчет_аналитики'!U408*'01_Вводные'!$B$14</f>
        <v/>
      </c>
      <c r="W409">
        <f>'19_Расчет_аналитики'!V408*'01_Вводные'!$B$14</f>
        <v/>
      </c>
      <c r="X409">
        <f>'19_Расчет_аналитики'!W408*'01_Вводные'!$B$14</f>
        <v/>
      </c>
      <c r="Y409">
        <f>'19_Расчет_аналитики'!X408*'01_Вводные'!$B$14</f>
        <v/>
      </c>
      <c r="Z409">
        <f>'19_Расчет_аналитики'!Y408*'01_Вводные'!$B$14</f>
        <v/>
      </c>
      <c r="AA409">
        <f>'19_Расчет_аналитики'!Z408*'01_Вводные'!$B$14</f>
        <v/>
      </c>
      <c r="AB409">
        <f>'19_Расчет_аналитики'!AA408*'01_Вводные'!$B$14</f>
        <v/>
      </c>
      <c r="AC409">
        <f>'19_Расчет_аналитики'!AB408*'01_Вводные'!$B$14</f>
        <v/>
      </c>
      <c r="AD409">
        <f>'19_Расчет_аналитики'!AC408*'01_Вводные'!$B$14</f>
        <v/>
      </c>
      <c r="AE409">
        <f>'19_Расчет_аналитики'!AD408*'01_Вводные'!$B$14</f>
        <v/>
      </c>
      <c r="AF409">
        <f>'19_Расчет_аналитики'!AE408*'01_Вводные'!$B$14</f>
        <v/>
      </c>
      <c r="AG409">
        <f>'19_Расчет_аналитики'!AF408*'01_Вводные'!$B$14</f>
        <v/>
      </c>
      <c r="AH409">
        <f>'19_Расчет_аналитики'!AG408*'01_Вводные'!$B$14</f>
        <v/>
      </c>
      <c r="AI409">
        <f>'19_Расчет_аналитики'!AH408*'01_Вводные'!$B$14</f>
        <v/>
      </c>
      <c r="AJ409">
        <f>'19_Расчет_аналитики'!AI408*'01_Вводные'!$B$14</f>
        <v/>
      </c>
      <c r="AK409">
        <f>'19_Расчет_аналитики'!AJ408*'01_Вводные'!$B$14</f>
        <v/>
      </c>
      <c r="AL409">
        <f>'19_Расчет_аналитики'!AK408*'01_Вводные'!$B$14</f>
        <v/>
      </c>
      <c r="AM409">
        <f>'19_Расчет_аналитики'!AL408*'01_Вводные'!$B$14</f>
        <v/>
      </c>
      <c r="AN409">
        <f>'19_Расчет_аналитики'!AM408*'01_Вводные'!$B$14</f>
        <v/>
      </c>
      <c r="AO409">
        <f>'19_Расчет_аналитики'!AN408*'01_Вводные'!$B$14</f>
        <v/>
      </c>
      <c r="AP409">
        <f>'19_Расчет_аналитики'!AO408*'01_Вводные'!$B$14</f>
        <v/>
      </c>
      <c r="AQ409">
        <f>'19_Расчет_аналитики'!AP408*'01_Вводные'!$B$14</f>
        <v/>
      </c>
      <c r="AR409">
        <f>'19_Расчет_аналитики'!AQ408*'01_Вводные'!$B$14</f>
        <v/>
      </c>
      <c r="AS409">
        <f>'19_Расчет_аналитики'!AR408*'01_Вводные'!$B$14</f>
        <v/>
      </c>
      <c r="AT409">
        <f>'19_Расчет_аналитики'!AS408*'01_Вводные'!$B$14</f>
        <v/>
      </c>
      <c r="AU409">
        <f>'19_Расчет_аналитики'!AT408*'01_Вводные'!$B$14</f>
        <v/>
      </c>
      <c r="AV409">
        <f>'19_Расчет_аналитики'!AU408*'01_Вводные'!$B$14</f>
        <v/>
      </c>
      <c r="AW409">
        <f>'19_Расчет_аналитики'!AV408*'01_Вводные'!$B$14</f>
        <v/>
      </c>
      <c r="AX409">
        <f>'19_Расчет_аналитики'!AW408*'01_Вводные'!$B$14</f>
        <v/>
      </c>
      <c r="AY409">
        <f>'19_Расчет_аналитики'!AX408*'01_Вводные'!$B$14</f>
        <v/>
      </c>
      <c r="AZ409">
        <f>'19_Расчет_аналитики'!AY408*'01_Вводные'!$B$14</f>
        <v/>
      </c>
      <c r="BA409">
        <f>'19_Расчет_аналитики'!AZ408*'01_Вводные'!$B$14</f>
        <v/>
      </c>
      <c r="BB409">
        <f>'19_Расчет_аналитики'!BA408*'01_Вводные'!$B$14</f>
        <v/>
      </c>
      <c r="BC409">
        <f>'19_Расчет_аналитики'!BB408*'01_Вводные'!$B$14</f>
        <v/>
      </c>
      <c r="BD409">
        <f>'19_Расчет_аналитики'!BC408*'01_Вводные'!$B$14</f>
        <v/>
      </c>
      <c r="BE409">
        <f>'19_Расчет_аналитики'!BD408*'01_Вводные'!$B$14</f>
        <v/>
      </c>
      <c r="BF409">
        <f>'19_Расчет_аналитики'!BE408*'01_Вводные'!$B$14</f>
        <v/>
      </c>
      <c r="BG409">
        <f>'19_Расчет_аналитики'!BF408*'01_Вводные'!$B$14</f>
        <v/>
      </c>
      <c r="BH409">
        <f>'19_Расчет_аналитики'!BG408*'01_Вводные'!$B$14</f>
        <v/>
      </c>
      <c r="BI409">
        <f>'19_Расчет_аналитики'!BH408*'01_Вводные'!$B$14</f>
        <v/>
      </c>
      <c r="BJ409">
        <f>'19_Расчет_аналитики'!BI408*'01_Вводные'!$B$14</f>
        <v/>
      </c>
      <c r="BK409">
        <f>'19_Расчет_аналитики'!BJ408*'01_Вводные'!$B$14</f>
        <v/>
      </c>
      <c r="BL409">
        <f>'19_Расчет_аналитики'!BK408*'01_Вводные'!$B$14</f>
        <v/>
      </c>
      <c r="BM409">
        <f>'19_Расчет_аналитики'!BL408*'01_Вводные'!$B$14</f>
        <v/>
      </c>
      <c r="BN409">
        <f>'19_Расчет_аналитики'!BM408*'01_Вводные'!$B$14</f>
        <v/>
      </c>
      <c r="BO409">
        <f>'19_Расчет_аналитики'!BN408*'01_Вводные'!$B$14</f>
        <v/>
      </c>
    </row>
    <row r="410">
      <c r="B410">
        <f>'06_Сеть_и_дети'!B55</f>
        <v/>
      </c>
      <c r="C410">
        <f>'06_Сеть_и_дети'!C55</f>
        <v/>
      </c>
      <c r="D410">
        <f>'19_Расчет_аналитики'!C409*'01_Вводные'!$B$14</f>
        <v/>
      </c>
      <c r="E410">
        <f>'19_Расчет_аналитики'!D409*'01_Вводные'!$B$14</f>
        <v/>
      </c>
      <c r="F410">
        <f>'19_Расчет_аналитики'!E409*'01_Вводные'!$B$14</f>
        <v/>
      </c>
      <c r="G410">
        <f>'19_Расчет_аналитики'!F409*'01_Вводные'!$B$14</f>
        <v/>
      </c>
      <c r="H410">
        <f>'19_Расчет_аналитики'!G409*'01_Вводные'!$B$14</f>
        <v/>
      </c>
      <c r="I410">
        <f>'19_Расчет_аналитики'!H409*'01_Вводные'!$B$14</f>
        <v/>
      </c>
      <c r="J410">
        <f>'19_Расчет_аналитики'!I409*'01_Вводные'!$B$14</f>
        <v/>
      </c>
      <c r="K410">
        <f>'19_Расчет_аналитики'!J409*'01_Вводные'!$B$14</f>
        <v/>
      </c>
      <c r="L410">
        <f>'19_Расчет_аналитики'!K409*'01_Вводные'!$B$14</f>
        <v/>
      </c>
      <c r="M410">
        <f>'19_Расчет_аналитики'!L409*'01_Вводные'!$B$14</f>
        <v/>
      </c>
      <c r="N410">
        <f>'19_Расчет_аналитики'!M409*'01_Вводные'!$B$14</f>
        <v/>
      </c>
      <c r="O410">
        <f>'19_Расчет_аналитики'!N409*'01_Вводные'!$B$14</f>
        <v/>
      </c>
      <c r="P410">
        <f>'19_Расчет_аналитики'!O409*'01_Вводные'!$B$14</f>
        <v/>
      </c>
      <c r="Q410">
        <f>'19_Расчет_аналитики'!P409*'01_Вводные'!$B$14</f>
        <v/>
      </c>
      <c r="R410">
        <f>'19_Расчет_аналитики'!Q409*'01_Вводные'!$B$14</f>
        <v/>
      </c>
      <c r="S410">
        <f>'19_Расчет_аналитики'!R409*'01_Вводные'!$B$14</f>
        <v/>
      </c>
      <c r="T410">
        <f>'19_Расчет_аналитики'!S409*'01_Вводные'!$B$14</f>
        <v/>
      </c>
      <c r="U410">
        <f>'19_Расчет_аналитики'!T409*'01_Вводные'!$B$14</f>
        <v/>
      </c>
      <c r="V410">
        <f>'19_Расчет_аналитики'!U409*'01_Вводные'!$B$14</f>
        <v/>
      </c>
      <c r="W410">
        <f>'19_Расчет_аналитики'!V409*'01_Вводные'!$B$14</f>
        <v/>
      </c>
      <c r="X410">
        <f>'19_Расчет_аналитики'!W409*'01_Вводные'!$B$14</f>
        <v/>
      </c>
      <c r="Y410">
        <f>'19_Расчет_аналитики'!X409*'01_Вводные'!$B$14</f>
        <v/>
      </c>
      <c r="Z410">
        <f>'19_Расчет_аналитики'!Y409*'01_Вводные'!$B$14</f>
        <v/>
      </c>
      <c r="AA410">
        <f>'19_Расчет_аналитики'!Z409*'01_Вводные'!$B$14</f>
        <v/>
      </c>
      <c r="AB410">
        <f>'19_Расчет_аналитики'!AA409*'01_Вводные'!$B$14</f>
        <v/>
      </c>
      <c r="AC410">
        <f>'19_Расчет_аналитики'!AB409*'01_Вводные'!$B$14</f>
        <v/>
      </c>
      <c r="AD410">
        <f>'19_Расчет_аналитики'!AC409*'01_Вводные'!$B$14</f>
        <v/>
      </c>
      <c r="AE410">
        <f>'19_Расчет_аналитики'!AD409*'01_Вводные'!$B$14</f>
        <v/>
      </c>
      <c r="AF410">
        <f>'19_Расчет_аналитики'!AE409*'01_Вводные'!$B$14</f>
        <v/>
      </c>
      <c r="AG410">
        <f>'19_Расчет_аналитики'!AF409*'01_Вводные'!$B$14</f>
        <v/>
      </c>
      <c r="AH410">
        <f>'19_Расчет_аналитики'!AG409*'01_Вводные'!$B$14</f>
        <v/>
      </c>
      <c r="AI410">
        <f>'19_Расчет_аналитики'!AH409*'01_Вводные'!$B$14</f>
        <v/>
      </c>
      <c r="AJ410">
        <f>'19_Расчет_аналитики'!AI409*'01_Вводные'!$B$14</f>
        <v/>
      </c>
      <c r="AK410">
        <f>'19_Расчет_аналитики'!AJ409*'01_Вводные'!$B$14</f>
        <v/>
      </c>
      <c r="AL410">
        <f>'19_Расчет_аналитики'!AK409*'01_Вводные'!$B$14</f>
        <v/>
      </c>
      <c r="AM410">
        <f>'19_Расчет_аналитики'!AL409*'01_Вводные'!$B$14</f>
        <v/>
      </c>
      <c r="AN410">
        <f>'19_Расчет_аналитики'!AM409*'01_Вводные'!$B$14</f>
        <v/>
      </c>
      <c r="AO410">
        <f>'19_Расчет_аналитики'!AN409*'01_Вводные'!$B$14</f>
        <v/>
      </c>
      <c r="AP410">
        <f>'19_Расчет_аналитики'!AO409*'01_Вводные'!$B$14</f>
        <v/>
      </c>
      <c r="AQ410">
        <f>'19_Расчет_аналитики'!AP409*'01_Вводные'!$B$14</f>
        <v/>
      </c>
      <c r="AR410">
        <f>'19_Расчет_аналитики'!AQ409*'01_Вводные'!$B$14</f>
        <v/>
      </c>
      <c r="AS410">
        <f>'19_Расчет_аналитики'!AR409*'01_Вводные'!$B$14</f>
        <v/>
      </c>
      <c r="AT410">
        <f>'19_Расчет_аналитики'!AS409*'01_Вводные'!$B$14</f>
        <v/>
      </c>
      <c r="AU410">
        <f>'19_Расчет_аналитики'!AT409*'01_Вводные'!$B$14</f>
        <v/>
      </c>
      <c r="AV410">
        <f>'19_Расчет_аналитики'!AU409*'01_Вводные'!$B$14</f>
        <v/>
      </c>
      <c r="AW410">
        <f>'19_Расчет_аналитики'!AV409*'01_Вводные'!$B$14</f>
        <v/>
      </c>
      <c r="AX410">
        <f>'19_Расчет_аналитики'!AW409*'01_Вводные'!$B$14</f>
        <v/>
      </c>
      <c r="AY410">
        <f>'19_Расчет_аналитики'!AX409*'01_Вводные'!$B$14</f>
        <v/>
      </c>
      <c r="AZ410">
        <f>'19_Расчет_аналитики'!AY409*'01_Вводные'!$B$14</f>
        <v/>
      </c>
      <c r="BA410">
        <f>'19_Расчет_аналитики'!AZ409*'01_Вводные'!$B$14</f>
        <v/>
      </c>
      <c r="BB410">
        <f>'19_Расчет_аналитики'!BA409*'01_Вводные'!$B$14</f>
        <v/>
      </c>
      <c r="BC410">
        <f>'19_Расчет_аналитики'!BB409*'01_Вводные'!$B$14</f>
        <v/>
      </c>
      <c r="BD410">
        <f>'19_Расчет_аналитики'!BC409*'01_Вводные'!$B$14</f>
        <v/>
      </c>
      <c r="BE410">
        <f>'19_Расчет_аналитики'!BD409*'01_Вводные'!$B$14</f>
        <v/>
      </c>
      <c r="BF410">
        <f>'19_Расчет_аналитики'!BE409*'01_Вводные'!$B$14</f>
        <v/>
      </c>
      <c r="BG410">
        <f>'19_Расчет_аналитики'!BF409*'01_Вводные'!$B$14</f>
        <v/>
      </c>
      <c r="BH410">
        <f>'19_Расчет_аналитики'!BG409*'01_Вводные'!$B$14</f>
        <v/>
      </c>
      <c r="BI410">
        <f>'19_Расчет_аналитики'!BH409*'01_Вводные'!$B$14</f>
        <v/>
      </c>
      <c r="BJ410">
        <f>'19_Расчет_аналитики'!BI409*'01_Вводные'!$B$14</f>
        <v/>
      </c>
      <c r="BK410">
        <f>'19_Расчет_аналитики'!BJ409*'01_Вводные'!$B$14</f>
        <v/>
      </c>
      <c r="BL410">
        <f>'19_Расчет_аналитики'!BK409*'01_Вводные'!$B$14</f>
        <v/>
      </c>
      <c r="BM410">
        <f>'19_Расчет_аналитики'!BL409*'01_Вводные'!$B$14</f>
        <v/>
      </c>
      <c r="BN410">
        <f>'19_Расчет_аналитики'!BM409*'01_Вводные'!$B$14</f>
        <v/>
      </c>
      <c r="BO410">
        <f>'19_Расчет_аналитики'!BN409*'01_Вводные'!$B$14</f>
        <v/>
      </c>
    </row>
    <row r="411">
      <c r="B411">
        <f>'06_Сеть_и_дети'!B56</f>
        <v/>
      </c>
      <c r="C411">
        <f>'06_Сеть_и_дети'!C56</f>
        <v/>
      </c>
      <c r="D411">
        <f>'06_Сеть_и_дети'!D56</f>
        <v/>
      </c>
      <c r="E411">
        <f>'19_Расчет_аналитики'!D410*'01_Вводные'!$B$14</f>
        <v/>
      </c>
      <c r="F411">
        <f>'19_Расчет_аналитики'!E410*'01_Вводные'!$B$14</f>
        <v/>
      </c>
      <c r="G411">
        <f>'19_Расчет_аналитики'!F410*'01_Вводные'!$B$14</f>
        <v/>
      </c>
      <c r="H411">
        <f>'19_Расчет_аналитики'!G410*'01_Вводные'!$B$14</f>
        <v/>
      </c>
      <c r="I411">
        <f>'19_Расчет_аналитики'!H410*'01_Вводные'!$B$14</f>
        <v/>
      </c>
      <c r="J411">
        <f>'19_Расчет_аналитики'!I410*'01_Вводные'!$B$14</f>
        <v/>
      </c>
      <c r="K411">
        <f>'19_Расчет_аналитики'!J410*'01_Вводные'!$B$14</f>
        <v/>
      </c>
      <c r="L411">
        <f>'19_Расчет_аналитики'!K410*'01_Вводные'!$B$14</f>
        <v/>
      </c>
      <c r="M411">
        <f>'19_Расчет_аналитики'!L410*'01_Вводные'!$B$14</f>
        <v/>
      </c>
      <c r="N411">
        <f>'19_Расчет_аналитики'!M410*'01_Вводные'!$B$14</f>
        <v/>
      </c>
      <c r="O411">
        <f>'19_Расчет_аналитики'!N410*'01_Вводные'!$B$14</f>
        <v/>
      </c>
      <c r="P411">
        <f>'19_Расчет_аналитики'!O410*'01_Вводные'!$B$14</f>
        <v/>
      </c>
      <c r="Q411">
        <f>'19_Расчет_аналитики'!P410*'01_Вводные'!$B$14</f>
        <v/>
      </c>
      <c r="R411">
        <f>'19_Расчет_аналитики'!Q410*'01_Вводные'!$B$14</f>
        <v/>
      </c>
      <c r="S411">
        <f>'19_Расчет_аналитики'!R410*'01_Вводные'!$B$14</f>
        <v/>
      </c>
      <c r="T411">
        <f>'19_Расчет_аналитики'!S410*'01_Вводные'!$B$14</f>
        <v/>
      </c>
      <c r="U411">
        <f>'19_Расчет_аналитики'!T410*'01_Вводные'!$B$14</f>
        <v/>
      </c>
      <c r="V411">
        <f>'19_Расчет_аналитики'!U410*'01_Вводные'!$B$14</f>
        <v/>
      </c>
      <c r="W411">
        <f>'19_Расчет_аналитики'!V410*'01_Вводные'!$B$14</f>
        <v/>
      </c>
      <c r="X411">
        <f>'19_Расчет_аналитики'!W410*'01_Вводные'!$B$14</f>
        <v/>
      </c>
      <c r="Y411">
        <f>'19_Расчет_аналитики'!X410*'01_Вводные'!$B$14</f>
        <v/>
      </c>
      <c r="Z411">
        <f>'19_Расчет_аналитики'!Y410*'01_Вводные'!$B$14</f>
        <v/>
      </c>
      <c r="AA411">
        <f>'19_Расчет_аналитики'!Z410*'01_Вводные'!$B$14</f>
        <v/>
      </c>
      <c r="AB411">
        <f>'19_Расчет_аналитики'!AA410*'01_Вводные'!$B$14</f>
        <v/>
      </c>
      <c r="AC411">
        <f>'19_Расчет_аналитики'!AB410*'01_Вводные'!$B$14</f>
        <v/>
      </c>
      <c r="AD411">
        <f>'19_Расчет_аналитики'!AC410*'01_Вводные'!$B$14</f>
        <v/>
      </c>
      <c r="AE411">
        <f>'19_Расчет_аналитики'!AD410*'01_Вводные'!$B$14</f>
        <v/>
      </c>
      <c r="AF411">
        <f>'19_Расчет_аналитики'!AE410*'01_Вводные'!$B$14</f>
        <v/>
      </c>
      <c r="AG411">
        <f>'19_Расчет_аналитики'!AF410*'01_Вводные'!$B$14</f>
        <v/>
      </c>
      <c r="AH411">
        <f>'19_Расчет_аналитики'!AG410*'01_Вводные'!$B$14</f>
        <v/>
      </c>
      <c r="AI411">
        <f>'19_Расчет_аналитики'!AH410*'01_Вводные'!$B$14</f>
        <v/>
      </c>
      <c r="AJ411">
        <f>'19_Расчет_аналитики'!AI410*'01_Вводные'!$B$14</f>
        <v/>
      </c>
      <c r="AK411">
        <f>'19_Расчет_аналитики'!AJ410*'01_Вводные'!$B$14</f>
        <v/>
      </c>
      <c r="AL411">
        <f>'19_Расчет_аналитики'!AK410*'01_Вводные'!$B$14</f>
        <v/>
      </c>
      <c r="AM411">
        <f>'19_Расчет_аналитики'!AL410*'01_Вводные'!$B$14</f>
        <v/>
      </c>
      <c r="AN411">
        <f>'19_Расчет_аналитики'!AM410*'01_Вводные'!$B$14</f>
        <v/>
      </c>
      <c r="AO411">
        <f>'19_Расчет_аналитики'!AN410*'01_Вводные'!$B$14</f>
        <v/>
      </c>
      <c r="AP411">
        <f>'19_Расчет_аналитики'!AO410*'01_Вводные'!$B$14</f>
        <v/>
      </c>
      <c r="AQ411">
        <f>'19_Расчет_аналитики'!AP410*'01_Вводные'!$B$14</f>
        <v/>
      </c>
      <c r="AR411">
        <f>'19_Расчет_аналитики'!AQ410*'01_Вводные'!$B$14</f>
        <v/>
      </c>
      <c r="AS411">
        <f>'19_Расчет_аналитики'!AR410*'01_Вводные'!$B$14</f>
        <v/>
      </c>
      <c r="AT411">
        <f>'19_Расчет_аналитики'!AS410*'01_Вводные'!$B$14</f>
        <v/>
      </c>
      <c r="AU411">
        <f>'19_Расчет_аналитики'!AT410*'01_Вводные'!$B$14</f>
        <v/>
      </c>
      <c r="AV411">
        <f>'19_Расчет_аналитики'!AU410*'01_Вводные'!$B$14</f>
        <v/>
      </c>
      <c r="AW411">
        <f>'19_Расчет_аналитики'!AV410*'01_Вводные'!$B$14</f>
        <v/>
      </c>
      <c r="AX411">
        <f>'19_Расчет_аналитики'!AW410*'01_Вводные'!$B$14</f>
        <v/>
      </c>
      <c r="AY411">
        <f>'19_Расчет_аналитики'!AX410*'01_Вводные'!$B$14</f>
        <v/>
      </c>
      <c r="AZ411">
        <f>'19_Расчет_аналитики'!AY410*'01_Вводные'!$B$14</f>
        <v/>
      </c>
      <c r="BA411">
        <f>'19_Расчет_аналитики'!AZ410*'01_Вводные'!$B$14</f>
        <v/>
      </c>
      <c r="BB411">
        <f>'19_Расчет_аналитики'!BA410*'01_Вводные'!$B$14</f>
        <v/>
      </c>
      <c r="BC411">
        <f>'19_Расчет_аналитики'!BB410*'01_Вводные'!$B$14</f>
        <v/>
      </c>
      <c r="BD411">
        <f>'19_Расчет_аналитики'!BC410*'01_Вводные'!$B$14</f>
        <v/>
      </c>
      <c r="BE411">
        <f>'19_Расчет_аналитики'!BD410*'01_Вводные'!$B$14</f>
        <v/>
      </c>
      <c r="BF411">
        <f>'19_Расчет_аналитики'!BE410*'01_Вводные'!$B$14</f>
        <v/>
      </c>
      <c r="BG411">
        <f>'19_Расчет_аналитики'!BF410*'01_Вводные'!$B$14</f>
        <v/>
      </c>
      <c r="BH411">
        <f>'19_Расчет_аналитики'!BG410*'01_Вводные'!$B$14</f>
        <v/>
      </c>
      <c r="BI411">
        <f>'19_Расчет_аналитики'!BH410*'01_Вводные'!$B$14</f>
        <v/>
      </c>
      <c r="BJ411">
        <f>'19_Расчет_аналитики'!BI410*'01_Вводные'!$B$14</f>
        <v/>
      </c>
      <c r="BK411">
        <f>'19_Расчет_аналитики'!BJ410*'01_Вводные'!$B$14</f>
        <v/>
      </c>
      <c r="BL411">
        <f>'19_Расчет_аналитики'!BK410*'01_Вводные'!$B$14</f>
        <v/>
      </c>
      <c r="BM411">
        <f>'19_Расчет_аналитики'!BL410*'01_Вводные'!$B$14</f>
        <v/>
      </c>
      <c r="BN411">
        <f>'19_Расчет_аналитики'!BM410*'01_Вводные'!$B$14</f>
        <v/>
      </c>
      <c r="BO411">
        <f>'19_Расчет_аналитики'!BN410*'01_Вводные'!$B$14</f>
        <v/>
      </c>
    </row>
    <row r="412">
      <c r="B412">
        <f>'06_Сеть_и_дети'!B57</f>
        <v/>
      </c>
      <c r="C412">
        <f>'06_Сеть_и_дети'!C57</f>
        <v/>
      </c>
      <c r="D412">
        <f>'06_Сеть_и_дети'!D57</f>
        <v/>
      </c>
      <c r="E412">
        <f>'06_Сеть_и_дети'!E57</f>
        <v/>
      </c>
      <c r="F412">
        <f>'19_Расчет_аналитики'!E411*'01_Вводные'!$B$14</f>
        <v/>
      </c>
      <c r="G412">
        <f>'19_Расчет_аналитики'!F411*'01_Вводные'!$B$14</f>
        <v/>
      </c>
      <c r="H412">
        <f>'19_Расчет_аналитики'!G411*'01_Вводные'!$B$14</f>
        <v/>
      </c>
      <c r="I412">
        <f>'19_Расчет_аналитики'!H411*'01_Вводные'!$B$14</f>
        <v/>
      </c>
      <c r="J412">
        <f>'19_Расчет_аналитики'!I411*'01_Вводные'!$B$14</f>
        <v/>
      </c>
      <c r="K412">
        <f>'19_Расчет_аналитики'!J411*'01_Вводные'!$B$14</f>
        <v/>
      </c>
      <c r="L412">
        <f>'19_Расчет_аналитики'!K411*'01_Вводные'!$B$14</f>
        <v/>
      </c>
      <c r="M412">
        <f>'19_Расчет_аналитики'!L411*'01_Вводные'!$B$14</f>
        <v/>
      </c>
      <c r="N412">
        <f>'19_Расчет_аналитики'!M411*'01_Вводные'!$B$14</f>
        <v/>
      </c>
      <c r="O412">
        <f>'19_Расчет_аналитики'!N411*'01_Вводные'!$B$14</f>
        <v/>
      </c>
      <c r="P412">
        <f>'19_Расчет_аналитики'!O411*'01_Вводные'!$B$14</f>
        <v/>
      </c>
      <c r="Q412">
        <f>'19_Расчет_аналитики'!P411*'01_Вводные'!$B$14</f>
        <v/>
      </c>
      <c r="R412">
        <f>'19_Расчет_аналитики'!Q411*'01_Вводные'!$B$14</f>
        <v/>
      </c>
      <c r="S412">
        <f>'19_Расчет_аналитики'!R411*'01_Вводные'!$B$14</f>
        <v/>
      </c>
      <c r="T412">
        <f>'19_Расчет_аналитики'!S411*'01_Вводные'!$B$14</f>
        <v/>
      </c>
      <c r="U412">
        <f>'19_Расчет_аналитики'!T411*'01_Вводные'!$B$14</f>
        <v/>
      </c>
      <c r="V412">
        <f>'19_Расчет_аналитики'!U411*'01_Вводные'!$B$14</f>
        <v/>
      </c>
      <c r="W412">
        <f>'19_Расчет_аналитики'!V411*'01_Вводные'!$B$14</f>
        <v/>
      </c>
      <c r="X412">
        <f>'19_Расчет_аналитики'!W411*'01_Вводные'!$B$14</f>
        <v/>
      </c>
      <c r="Y412">
        <f>'19_Расчет_аналитики'!X411*'01_Вводные'!$B$14</f>
        <v/>
      </c>
      <c r="Z412">
        <f>'19_Расчет_аналитики'!Y411*'01_Вводные'!$B$14</f>
        <v/>
      </c>
      <c r="AA412">
        <f>'19_Расчет_аналитики'!Z411*'01_Вводные'!$B$14</f>
        <v/>
      </c>
      <c r="AB412">
        <f>'19_Расчет_аналитики'!AA411*'01_Вводные'!$B$14</f>
        <v/>
      </c>
      <c r="AC412">
        <f>'19_Расчет_аналитики'!AB411*'01_Вводные'!$B$14</f>
        <v/>
      </c>
      <c r="AD412">
        <f>'19_Расчет_аналитики'!AC411*'01_Вводные'!$B$14</f>
        <v/>
      </c>
      <c r="AE412">
        <f>'19_Расчет_аналитики'!AD411*'01_Вводные'!$B$14</f>
        <v/>
      </c>
      <c r="AF412">
        <f>'19_Расчет_аналитики'!AE411*'01_Вводные'!$B$14</f>
        <v/>
      </c>
      <c r="AG412">
        <f>'19_Расчет_аналитики'!AF411*'01_Вводные'!$B$14</f>
        <v/>
      </c>
      <c r="AH412">
        <f>'19_Расчет_аналитики'!AG411*'01_Вводные'!$B$14</f>
        <v/>
      </c>
      <c r="AI412">
        <f>'19_Расчет_аналитики'!AH411*'01_Вводные'!$B$14</f>
        <v/>
      </c>
      <c r="AJ412">
        <f>'19_Расчет_аналитики'!AI411*'01_Вводные'!$B$14</f>
        <v/>
      </c>
      <c r="AK412">
        <f>'19_Расчет_аналитики'!AJ411*'01_Вводные'!$B$14</f>
        <v/>
      </c>
      <c r="AL412">
        <f>'19_Расчет_аналитики'!AK411*'01_Вводные'!$B$14</f>
        <v/>
      </c>
      <c r="AM412">
        <f>'19_Расчет_аналитики'!AL411*'01_Вводные'!$B$14</f>
        <v/>
      </c>
      <c r="AN412">
        <f>'19_Расчет_аналитики'!AM411*'01_Вводные'!$B$14</f>
        <v/>
      </c>
      <c r="AO412">
        <f>'19_Расчет_аналитики'!AN411*'01_Вводные'!$B$14</f>
        <v/>
      </c>
      <c r="AP412">
        <f>'19_Расчет_аналитики'!AO411*'01_Вводные'!$B$14</f>
        <v/>
      </c>
      <c r="AQ412">
        <f>'19_Расчет_аналитики'!AP411*'01_Вводные'!$B$14</f>
        <v/>
      </c>
      <c r="AR412">
        <f>'19_Расчет_аналитики'!AQ411*'01_Вводные'!$B$14</f>
        <v/>
      </c>
      <c r="AS412">
        <f>'19_Расчет_аналитики'!AR411*'01_Вводные'!$B$14</f>
        <v/>
      </c>
      <c r="AT412">
        <f>'19_Расчет_аналитики'!AS411*'01_Вводные'!$B$14</f>
        <v/>
      </c>
      <c r="AU412">
        <f>'19_Расчет_аналитики'!AT411*'01_Вводные'!$B$14</f>
        <v/>
      </c>
      <c r="AV412">
        <f>'19_Расчет_аналитики'!AU411*'01_Вводные'!$B$14</f>
        <v/>
      </c>
      <c r="AW412">
        <f>'19_Расчет_аналитики'!AV411*'01_Вводные'!$B$14</f>
        <v/>
      </c>
      <c r="AX412">
        <f>'19_Расчет_аналитики'!AW411*'01_Вводные'!$B$14</f>
        <v/>
      </c>
      <c r="AY412">
        <f>'19_Расчет_аналитики'!AX411*'01_Вводные'!$B$14</f>
        <v/>
      </c>
      <c r="AZ412">
        <f>'19_Расчет_аналитики'!AY411*'01_Вводные'!$B$14</f>
        <v/>
      </c>
      <c r="BA412">
        <f>'19_Расчет_аналитики'!AZ411*'01_Вводные'!$B$14</f>
        <v/>
      </c>
      <c r="BB412">
        <f>'19_Расчет_аналитики'!BA411*'01_Вводные'!$B$14</f>
        <v/>
      </c>
      <c r="BC412">
        <f>'19_Расчет_аналитики'!BB411*'01_Вводные'!$B$14</f>
        <v/>
      </c>
      <c r="BD412">
        <f>'19_Расчет_аналитики'!BC411*'01_Вводные'!$B$14</f>
        <v/>
      </c>
      <c r="BE412">
        <f>'19_Расчет_аналитики'!BD411*'01_Вводные'!$B$14</f>
        <v/>
      </c>
      <c r="BF412">
        <f>'19_Расчет_аналитики'!BE411*'01_Вводные'!$B$14</f>
        <v/>
      </c>
      <c r="BG412">
        <f>'19_Расчет_аналитики'!BF411*'01_Вводные'!$B$14</f>
        <v/>
      </c>
      <c r="BH412">
        <f>'19_Расчет_аналитики'!BG411*'01_Вводные'!$B$14</f>
        <v/>
      </c>
      <c r="BI412">
        <f>'19_Расчет_аналитики'!BH411*'01_Вводные'!$B$14</f>
        <v/>
      </c>
      <c r="BJ412">
        <f>'19_Расчет_аналитики'!BI411*'01_Вводные'!$B$14</f>
        <v/>
      </c>
      <c r="BK412">
        <f>'19_Расчет_аналитики'!BJ411*'01_Вводные'!$B$14</f>
        <v/>
      </c>
      <c r="BL412">
        <f>'19_Расчет_аналитики'!BK411*'01_Вводные'!$B$14</f>
        <v/>
      </c>
      <c r="BM412">
        <f>'19_Расчет_аналитики'!BL411*'01_Вводные'!$B$14</f>
        <v/>
      </c>
      <c r="BN412">
        <f>'19_Расчет_аналитики'!BM411*'01_Вводные'!$B$14</f>
        <v/>
      </c>
      <c r="BO412">
        <f>'19_Расчет_аналитики'!BN411*'01_Вводные'!$B$14</f>
        <v/>
      </c>
    </row>
    <row r="413">
      <c r="B413">
        <f>'06_Сеть_и_дети'!B58</f>
        <v/>
      </c>
      <c r="C413">
        <f>'06_Сеть_и_дети'!C58</f>
        <v/>
      </c>
      <c r="D413">
        <f>'06_Сеть_и_дети'!D58</f>
        <v/>
      </c>
      <c r="E413">
        <f>'06_Сеть_и_дети'!E58</f>
        <v/>
      </c>
      <c r="F413">
        <f>'06_Сеть_и_дети'!F58</f>
        <v/>
      </c>
      <c r="G413">
        <f>'19_Расчет_аналитики'!F412*'01_Вводные'!$B$14</f>
        <v/>
      </c>
      <c r="H413">
        <f>'19_Расчет_аналитики'!G412*'01_Вводные'!$B$14</f>
        <v/>
      </c>
      <c r="I413">
        <f>'19_Расчет_аналитики'!H412*'01_Вводные'!$B$14</f>
        <v/>
      </c>
      <c r="J413">
        <f>'19_Расчет_аналитики'!I412*'01_Вводные'!$B$14</f>
        <v/>
      </c>
      <c r="K413">
        <f>'19_Расчет_аналитики'!J412*'01_Вводные'!$B$14</f>
        <v/>
      </c>
      <c r="L413">
        <f>'19_Расчет_аналитики'!K412*'01_Вводные'!$B$14</f>
        <v/>
      </c>
      <c r="M413">
        <f>'19_Расчет_аналитики'!L412*'01_Вводные'!$B$14</f>
        <v/>
      </c>
      <c r="N413">
        <f>'19_Расчет_аналитики'!M412*'01_Вводные'!$B$14</f>
        <v/>
      </c>
      <c r="O413">
        <f>'19_Расчет_аналитики'!N412*'01_Вводные'!$B$14</f>
        <v/>
      </c>
      <c r="P413">
        <f>'19_Расчет_аналитики'!O412*'01_Вводные'!$B$14</f>
        <v/>
      </c>
      <c r="Q413">
        <f>'19_Расчет_аналитики'!P412*'01_Вводные'!$B$14</f>
        <v/>
      </c>
      <c r="R413">
        <f>'19_Расчет_аналитики'!Q412*'01_Вводные'!$B$14</f>
        <v/>
      </c>
      <c r="S413">
        <f>'19_Расчет_аналитики'!R412*'01_Вводные'!$B$14</f>
        <v/>
      </c>
      <c r="T413">
        <f>'19_Расчет_аналитики'!S412*'01_Вводные'!$B$14</f>
        <v/>
      </c>
      <c r="U413">
        <f>'19_Расчет_аналитики'!T412*'01_Вводные'!$B$14</f>
        <v/>
      </c>
      <c r="V413">
        <f>'19_Расчет_аналитики'!U412*'01_Вводные'!$B$14</f>
        <v/>
      </c>
      <c r="W413">
        <f>'19_Расчет_аналитики'!V412*'01_Вводные'!$B$14</f>
        <v/>
      </c>
      <c r="X413">
        <f>'19_Расчет_аналитики'!W412*'01_Вводные'!$B$14</f>
        <v/>
      </c>
      <c r="Y413">
        <f>'19_Расчет_аналитики'!X412*'01_Вводные'!$B$14</f>
        <v/>
      </c>
      <c r="Z413">
        <f>'19_Расчет_аналитики'!Y412*'01_Вводные'!$B$14</f>
        <v/>
      </c>
      <c r="AA413">
        <f>'19_Расчет_аналитики'!Z412*'01_Вводные'!$B$14</f>
        <v/>
      </c>
      <c r="AB413">
        <f>'19_Расчет_аналитики'!AA412*'01_Вводные'!$B$14</f>
        <v/>
      </c>
      <c r="AC413">
        <f>'19_Расчет_аналитики'!AB412*'01_Вводные'!$B$14</f>
        <v/>
      </c>
      <c r="AD413">
        <f>'19_Расчет_аналитики'!AC412*'01_Вводные'!$B$14</f>
        <v/>
      </c>
      <c r="AE413">
        <f>'19_Расчет_аналитики'!AD412*'01_Вводные'!$B$14</f>
        <v/>
      </c>
      <c r="AF413">
        <f>'19_Расчет_аналитики'!AE412*'01_Вводные'!$B$14</f>
        <v/>
      </c>
      <c r="AG413">
        <f>'19_Расчет_аналитики'!AF412*'01_Вводные'!$B$14</f>
        <v/>
      </c>
      <c r="AH413">
        <f>'19_Расчет_аналитики'!AG412*'01_Вводные'!$B$14</f>
        <v/>
      </c>
      <c r="AI413">
        <f>'19_Расчет_аналитики'!AH412*'01_Вводные'!$B$14</f>
        <v/>
      </c>
      <c r="AJ413">
        <f>'19_Расчет_аналитики'!AI412*'01_Вводные'!$B$14</f>
        <v/>
      </c>
      <c r="AK413">
        <f>'19_Расчет_аналитики'!AJ412*'01_Вводные'!$B$14</f>
        <v/>
      </c>
      <c r="AL413">
        <f>'19_Расчет_аналитики'!AK412*'01_Вводные'!$B$14</f>
        <v/>
      </c>
      <c r="AM413">
        <f>'19_Расчет_аналитики'!AL412*'01_Вводные'!$B$14</f>
        <v/>
      </c>
      <c r="AN413">
        <f>'19_Расчет_аналитики'!AM412*'01_Вводные'!$B$14</f>
        <v/>
      </c>
      <c r="AO413">
        <f>'19_Расчет_аналитики'!AN412*'01_Вводные'!$B$14</f>
        <v/>
      </c>
      <c r="AP413">
        <f>'19_Расчет_аналитики'!AO412*'01_Вводные'!$B$14</f>
        <v/>
      </c>
      <c r="AQ413">
        <f>'19_Расчет_аналитики'!AP412*'01_Вводные'!$B$14</f>
        <v/>
      </c>
      <c r="AR413">
        <f>'19_Расчет_аналитики'!AQ412*'01_Вводные'!$B$14</f>
        <v/>
      </c>
      <c r="AS413">
        <f>'19_Расчет_аналитики'!AR412*'01_Вводные'!$B$14</f>
        <v/>
      </c>
      <c r="AT413">
        <f>'19_Расчет_аналитики'!AS412*'01_Вводные'!$B$14</f>
        <v/>
      </c>
      <c r="AU413">
        <f>'19_Расчет_аналитики'!AT412*'01_Вводные'!$B$14</f>
        <v/>
      </c>
      <c r="AV413">
        <f>'19_Расчет_аналитики'!AU412*'01_Вводные'!$B$14</f>
        <v/>
      </c>
      <c r="AW413">
        <f>'19_Расчет_аналитики'!AV412*'01_Вводные'!$B$14</f>
        <v/>
      </c>
      <c r="AX413">
        <f>'19_Расчет_аналитики'!AW412*'01_Вводные'!$B$14</f>
        <v/>
      </c>
      <c r="AY413">
        <f>'19_Расчет_аналитики'!AX412*'01_Вводные'!$B$14</f>
        <v/>
      </c>
      <c r="AZ413">
        <f>'19_Расчет_аналитики'!AY412*'01_Вводные'!$B$14</f>
        <v/>
      </c>
      <c r="BA413">
        <f>'19_Расчет_аналитики'!AZ412*'01_Вводные'!$B$14</f>
        <v/>
      </c>
      <c r="BB413">
        <f>'19_Расчет_аналитики'!BA412*'01_Вводные'!$B$14</f>
        <v/>
      </c>
      <c r="BC413">
        <f>'19_Расчет_аналитики'!BB412*'01_Вводные'!$B$14</f>
        <v/>
      </c>
      <c r="BD413">
        <f>'19_Расчет_аналитики'!BC412*'01_Вводные'!$B$14</f>
        <v/>
      </c>
      <c r="BE413">
        <f>'19_Расчет_аналитики'!BD412*'01_Вводные'!$B$14</f>
        <v/>
      </c>
      <c r="BF413">
        <f>'19_Расчет_аналитики'!BE412*'01_Вводные'!$B$14</f>
        <v/>
      </c>
      <c r="BG413">
        <f>'19_Расчет_аналитики'!BF412*'01_Вводные'!$B$14</f>
        <v/>
      </c>
      <c r="BH413">
        <f>'19_Расчет_аналитики'!BG412*'01_Вводные'!$B$14</f>
        <v/>
      </c>
      <c r="BI413">
        <f>'19_Расчет_аналитики'!BH412*'01_Вводные'!$B$14</f>
        <v/>
      </c>
      <c r="BJ413">
        <f>'19_Расчет_аналитики'!BI412*'01_Вводные'!$B$14</f>
        <v/>
      </c>
      <c r="BK413">
        <f>'19_Расчет_аналитики'!BJ412*'01_Вводные'!$B$14</f>
        <v/>
      </c>
      <c r="BL413">
        <f>'19_Расчет_аналитики'!BK412*'01_Вводные'!$B$14</f>
        <v/>
      </c>
      <c r="BM413">
        <f>'19_Расчет_аналитики'!BL412*'01_Вводные'!$B$14</f>
        <v/>
      </c>
      <c r="BN413">
        <f>'19_Расчет_аналитики'!BM412*'01_Вводные'!$B$14</f>
        <v/>
      </c>
      <c r="BO413">
        <f>'19_Расчет_аналитики'!BN412*'01_Вводные'!$B$14</f>
        <v/>
      </c>
    </row>
    <row r="414">
      <c r="B414">
        <f>'06_Сеть_и_дети'!B59</f>
        <v/>
      </c>
      <c r="C414">
        <f>'06_Сеть_и_дети'!C59</f>
        <v/>
      </c>
      <c r="D414">
        <f>'06_Сеть_и_дети'!D59</f>
        <v/>
      </c>
      <c r="E414">
        <f>'06_Сеть_и_дети'!E59</f>
        <v/>
      </c>
      <c r="F414">
        <f>'06_Сеть_и_дети'!F59</f>
        <v/>
      </c>
      <c r="G414">
        <f>'06_Сеть_и_дети'!G59</f>
        <v/>
      </c>
      <c r="H414">
        <f>'19_Расчет_аналитики'!G413*'01_Вводные'!$B$14</f>
        <v/>
      </c>
      <c r="I414">
        <f>'19_Расчет_аналитики'!H413*'01_Вводные'!$B$14</f>
        <v/>
      </c>
      <c r="J414">
        <f>'19_Расчет_аналитики'!I413*'01_Вводные'!$B$14</f>
        <v/>
      </c>
      <c r="K414">
        <f>'19_Расчет_аналитики'!J413*'01_Вводные'!$B$14</f>
        <v/>
      </c>
      <c r="L414">
        <f>'19_Расчет_аналитики'!K413*'01_Вводные'!$B$14</f>
        <v/>
      </c>
      <c r="M414">
        <f>'19_Расчет_аналитики'!L413*'01_Вводные'!$B$14</f>
        <v/>
      </c>
      <c r="N414">
        <f>'19_Расчет_аналитики'!M413*'01_Вводные'!$B$14</f>
        <v/>
      </c>
      <c r="O414">
        <f>'19_Расчет_аналитики'!N413*'01_Вводные'!$B$14</f>
        <v/>
      </c>
      <c r="P414">
        <f>'19_Расчет_аналитики'!O413*'01_Вводные'!$B$14</f>
        <v/>
      </c>
      <c r="Q414">
        <f>'19_Расчет_аналитики'!P413*'01_Вводные'!$B$14</f>
        <v/>
      </c>
      <c r="R414">
        <f>'19_Расчет_аналитики'!Q413*'01_Вводные'!$B$14</f>
        <v/>
      </c>
      <c r="S414">
        <f>'19_Расчет_аналитики'!R413*'01_Вводные'!$B$14</f>
        <v/>
      </c>
      <c r="T414">
        <f>'19_Расчет_аналитики'!S413*'01_Вводные'!$B$14</f>
        <v/>
      </c>
      <c r="U414">
        <f>'19_Расчет_аналитики'!T413*'01_Вводные'!$B$14</f>
        <v/>
      </c>
      <c r="V414">
        <f>'19_Расчет_аналитики'!U413*'01_Вводные'!$B$14</f>
        <v/>
      </c>
      <c r="W414">
        <f>'19_Расчет_аналитики'!V413*'01_Вводные'!$B$14</f>
        <v/>
      </c>
      <c r="X414">
        <f>'19_Расчет_аналитики'!W413*'01_Вводные'!$B$14</f>
        <v/>
      </c>
      <c r="Y414">
        <f>'19_Расчет_аналитики'!X413*'01_Вводные'!$B$14</f>
        <v/>
      </c>
      <c r="Z414">
        <f>'19_Расчет_аналитики'!Y413*'01_Вводные'!$B$14</f>
        <v/>
      </c>
      <c r="AA414">
        <f>'19_Расчет_аналитики'!Z413*'01_Вводные'!$B$14</f>
        <v/>
      </c>
      <c r="AB414">
        <f>'19_Расчет_аналитики'!AA413*'01_Вводные'!$B$14</f>
        <v/>
      </c>
      <c r="AC414">
        <f>'19_Расчет_аналитики'!AB413*'01_Вводные'!$B$14</f>
        <v/>
      </c>
      <c r="AD414">
        <f>'19_Расчет_аналитики'!AC413*'01_Вводные'!$B$14</f>
        <v/>
      </c>
      <c r="AE414">
        <f>'19_Расчет_аналитики'!AD413*'01_Вводные'!$B$14</f>
        <v/>
      </c>
      <c r="AF414">
        <f>'19_Расчет_аналитики'!AE413*'01_Вводные'!$B$14</f>
        <v/>
      </c>
      <c r="AG414">
        <f>'19_Расчет_аналитики'!AF413*'01_Вводные'!$B$14</f>
        <v/>
      </c>
      <c r="AH414">
        <f>'19_Расчет_аналитики'!AG413*'01_Вводные'!$B$14</f>
        <v/>
      </c>
      <c r="AI414">
        <f>'19_Расчет_аналитики'!AH413*'01_Вводные'!$B$14</f>
        <v/>
      </c>
      <c r="AJ414">
        <f>'19_Расчет_аналитики'!AI413*'01_Вводные'!$B$14</f>
        <v/>
      </c>
      <c r="AK414">
        <f>'19_Расчет_аналитики'!AJ413*'01_Вводные'!$B$14</f>
        <v/>
      </c>
      <c r="AL414">
        <f>'19_Расчет_аналитики'!AK413*'01_Вводные'!$B$14</f>
        <v/>
      </c>
      <c r="AM414">
        <f>'19_Расчет_аналитики'!AL413*'01_Вводные'!$B$14</f>
        <v/>
      </c>
      <c r="AN414">
        <f>'19_Расчет_аналитики'!AM413*'01_Вводные'!$B$14</f>
        <v/>
      </c>
      <c r="AO414">
        <f>'19_Расчет_аналитики'!AN413*'01_Вводные'!$B$14</f>
        <v/>
      </c>
      <c r="AP414">
        <f>'19_Расчет_аналитики'!AO413*'01_Вводные'!$B$14</f>
        <v/>
      </c>
      <c r="AQ414">
        <f>'19_Расчет_аналитики'!AP413*'01_Вводные'!$B$14</f>
        <v/>
      </c>
      <c r="AR414">
        <f>'19_Расчет_аналитики'!AQ413*'01_Вводные'!$B$14</f>
        <v/>
      </c>
      <c r="AS414">
        <f>'19_Расчет_аналитики'!AR413*'01_Вводные'!$B$14</f>
        <v/>
      </c>
      <c r="AT414">
        <f>'19_Расчет_аналитики'!AS413*'01_Вводные'!$B$14</f>
        <v/>
      </c>
      <c r="AU414">
        <f>'19_Расчет_аналитики'!AT413*'01_Вводные'!$B$14</f>
        <v/>
      </c>
      <c r="AV414">
        <f>'19_Расчет_аналитики'!AU413*'01_Вводные'!$B$14</f>
        <v/>
      </c>
      <c r="AW414">
        <f>'19_Расчет_аналитики'!AV413*'01_Вводные'!$B$14</f>
        <v/>
      </c>
      <c r="AX414">
        <f>'19_Расчет_аналитики'!AW413*'01_Вводные'!$B$14</f>
        <v/>
      </c>
      <c r="AY414">
        <f>'19_Расчет_аналитики'!AX413*'01_Вводные'!$B$14</f>
        <v/>
      </c>
      <c r="AZ414">
        <f>'19_Расчет_аналитики'!AY413*'01_Вводные'!$B$14</f>
        <v/>
      </c>
      <c r="BA414">
        <f>'19_Расчет_аналитики'!AZ413*'01_Вводные'!$B$14</f>
        <v/>
      </c>
      <c r="BB414">
        <f>'19_Расчет_аналитики'!BA413*'01_Вводные'!$B$14</f>
        <v/>
      </c>
      <c r="BC414">
        <f>'19_Расчет_аналитики'!BB413*'01_Вводные'!$B$14</f>
        <v/>
      </c>
      <c r="BD414">
        <f>'19_Расчет_аналитики'!BC413*'01_Вводные'!$B$14</f>
        <v/>
      </c>
      <c r="BE414">
        <f>'19_Расчет_аналитики'!BD413*'01_Вводные'!$B$14</f>
        <v/>
      </c>
      <c r="BF414">
        <f>'19_Расчет_аналитики'!BE413*'01_Вводные'!$B$14</f>
        <v/>
      </c>
      <c r="BG414">
        <f>'19_Расчет_аналитики'!BF413*'01_Вводные'!$B$14</f>
        <v/>
      </c>
      <c r="BH414">
        <f>'19_Расчет_аналитики'!BG413*'01_Вводные'!$B$14</f>
        <v/>
      </c>
      <c r="BI414">
        <f>'19_Расчет_аналитики'!BH413*'01_Вводные'!$B$14</f>
        <v/>
      </c>
      <c r="BJ414">
        <f>'19_Расчет_аналитики'!BI413*'01_Вводные'!$B$14</f>
        <v/>
      </c>
      <c r="BK414">
        <f>'19_Расчет_аналитики'!BJ413*'01_Вводные'!$B$14</f>
        <v/>
      </c>
      <c r="BL414">
        <f>'19_Расчет_аналитики'!BK413*'01_Вводные'!$B$14</f>
        <v/>
      </c>
      <c r="BM414">
        <f>'19_Расчет_аналитики'!BL413*'01_Вводные'!$B$14</f>
        <v/>
      </c>
      <c r="BN414">
        <f>'19_Расчет_аналитики'!BM413*'01_Вводные'!$B$14</f>
        <v/>
      </c>
      <c r="BO414">
        <f>'19_Расчет_аналитики'!BN413*'01_Вводные'!$B$14</f>
        <v/>
      </c>
    </row>
    <row r="415">
      <c r="B415">
        <f>'06_Сеть_и_дети'!B60</f>
        <v/>
      </c>
      <c r="C415">
        <f>'06_Сеть_и_дети'!C60</f>
        <v/>
      </c>
      <c r="D415">
        <f>'06_Сеть_и_дети'!D60</f>
        <v/>
      </c>
      <c r="E415">
        <f>'06_Сеть_и_дети'!E60</f>
        <v/>
      </c>
      <c r="F415">
        <f>'06_Сеть_и_дети'!F60</f>
        <v/>
      </c>
      <c r="G415">
        <f>'06_Сеть_и_дети'!G60</f>
        <v/>
      </c>
      <c r="H415">
        <f>'06_Сеть_и_дети'!H60</f>
        <v/>
      </c>
      <c r="I415">
        <f>'19_Расчет_аналитики'!H414*'01_Вводные'!$B$14</f>
        <v/>
      </c>
      <c r="J415">
        <f>'19_Расчет_аналитики'!I414*'01_Вводные'!$B$14</f>
        <v/>
      </c>
      <c r="K415">
        <f>'19_Расчет_аналитики'!J414*'01_Вводные'!$B$14</f>
        <v/>
      </c>
      <c r="L415">
        <f>'19_Расчет_аналитики'!K414*'01_Вводные'!$B$14</f>
        <v/>
      </c>
      <c r="M415">
        <f>'19_Расчет_аналитики'!L414*'01_Вводные'!$B$14</f>
        <v/>
      </c>
      <c r="N415">
        <f>'19_Расчет_аналитики'!M414*'01_Вводные'!$B$14</f>
        <v/>
      </c>
      <c r="O415">
        <f>'19_Расчет_аналитики'!N414*'01_Вводные'!$B$14</f>
        <v/>
      </c>
      <c r="P415">
        <f>'19_Расчет_аналитики'!O414*'01_Вводные'!$B$14</f>
        <v/>
      </c>
      <c r="Q415">
        <f>'19_Расчет_аналитики'!P414*'01_Вводные'!$B$14</f>
        <v/>
      </c>
      <c r="R415">
        <f>'19_Расчет_аналитики'!Q414*'01_Вводные'!$B$14</f>
        <v/>
      </c>
      <c r="S415">
        <f>'19_Расчет_аналитики'!R414*'01_Вводные'!$B$14</f>
        <v/>
      </c>
      <c r="T415">
        <f>'19_Расчет_аналитики'!S414*'01_Вводные'!$B$14</f>
        <v/>
      </c>
      <c r="U415">
        <f>'19_Расчет_аналитики'!T414*'01_Вводные'!$B$14</f>
        <v/>
      </c>
      <c r="V415">
        <f>'19_Расчет_аналитики'!U414*'01_Вводные'!$B$14</f>
        <v/>
      </c>
      <c r="W415">
        <f>'19_Расчет_аналитики'!V414*'01_Вводные'!$B$14</f>
        <v/>
      </c>
      <c r="X415">
        <f>'19_Расчет_аналитики'!W414*'01_Вводные'!$B$14</f>
        <v/>
      </c>
      <c r="Y415">
        <f>'19_Расчет_аналитики'!X414*'01_Вводные'!$B$14</f>
        <v/>
      </c>
      <c r="Z415">
        <f>'19_Расчет_аналитики'!Y414*'01_Вводные'!$B$14</f>
        <v/>
      </c>
      <c r="AA415">
        <f>'19_Расчет_аналитики'!Z414*'01_Вводные'!$B$14</f>
        <v/>
      </c>
      <c r="AB415">
        <f>'19_Расчет_аналитики'!AA414*'01_Вводные'!$B$14</f>
        <v/>
      </c>
      <c r="AC415">
        <f>'19_Расчет_аналитики'!AB414*'01_Вводные'!$B$14</f>
        <v/>
      </c>
      <c r="AD415">
        <f>'19_Расчет_аналитики'!AC414*'01_Вводные'!$B$14</f>
        <v/>
      </c>
      <c r="AE415">
        <f>'19_Расчет_аналитики'!AD414*'01_Вводные'!$B$14</f>
        <v/>
      </c>
      <c r="AF415">
        <f>'19_Расчет_аналитики'!AE414*'01_Вводные'!$B$14</f>
        <v/>
      </c>
      <c r="AG415">
        <f>'19_Расчет_аналитики'!AF414*'01_Вводные'!$B$14</f>
        <v/>
      </c>
      <c r="AH415">
        <f>'19_Расчет_аналитики'!AG414*'01_Вводные'!$B$14</f>
        <v/>
      </c>
      <c r="AI415">
        <f>'19_Расчет_аналитики'!AH414*'01_Вводные'!$B$14</f>
        <v/>
      </c>
      <c r="AJ415">
        <f>'19_Расчет_аналитики'!AI414*'01_Вводные'!$B$14</f>
        <v/>
      </c>
      <c r="AK415">
        <f>'19_Расчет_аналитики'!AJ414*'01_Вводные'!$B$14</f>
        <v/>
      </c>
      <c r="AL415">
        <f>'19_Расчет_аналитики'!AK414*'01_Вводные'!$B$14</f>
        <v/>
      </c>
      <c r="AM415">
        <f>'19_Расчет_аналитики'!AL414*'01_Вводные'!$B$14</f>
        <v/>
      </c>
      <c r="AN415">
        <f>'19_Расчет_аналитики'!AM414*'01_Вводные'!$B$14</f>
        <v/>
      </c>
      <c r="AO415">
        <f>'19_Расчет_аналитики'!AN414*'01_Вводные'!$B$14</f>
        <v/>
      </c>
      <c r="AP415">
        <f>'19_Расчет_аналитики'!AO414*'01_Вводные'!$B$14</f>
        <v/>
      </c>
      <c r="AQ415">
        <f>'19_Расчет_аналитики'!AP414*'01_Вводные'!$B$14</f>
        <v/>
      </c>
      <c r="AR415">
        <f>'19_Расчет_аналитики'!AQ414*'01_Вводные'!$B$14</f>
        <v/>
      </c>
      <c r="AS415">
        <f>'19_Расчет_аналитики'!AR414*'01_Вводные'!$B$14</f>
        <v/>
      </c>
      <c r="AT415">
        <f>'19_Расчет_аналитики'!AS414*'01_Вводные'!$B$14</f>
        <v/>
      </c>
      <c r="AU415">
        <f>'19_Расчет_аналитики'!AT414*'01_Вводные'!$B$14</f>
        <v/>
      </c>
      <c r="AV415">
        <f>'19_Расчет_аналитики'!AU414*'01_Вводные'!$B$14</f>
        <v/>
      </c>
      <c r="AW415">
        <f>'19_Расчет_аналитики'!AV414*'01_Вводные'!$B$14</f>
        <v/>
      </c>
      <c r="AX415">
        <f>'19_Расчет_аналитики'!AW414*'01_Вводные'!$B$14</f>
        <v/>
      </c>
      <c r="AY415">
        <f>'19_Расчет_аналитики'!AX414*'01_Вводные'!$B$14</f>
        <v/>
      </c>
      <c r="AZ415">
        <f>'19_Расчет_аналитики'!AY414*'01_Вводные'!$B$14</f>
        <v/>
      </c>
      <c r="BA415">
        <f>'19_Расчет_аналитики'!AZ414*'01_Вводные'!$B$14</f>
        <v/>
      </c>
      <c r="BB415">
        <f>'19_Расчет_аналитики'!BA414*'01_Вводные'!$B$14</f>
        <v/>
      </c>
      <c r="BC415">
        <f>'19_Расчет_аналитики'!BB414*'01_Вводные'!$B$14</f>
        <v/>
      </c>
      <c r="BD415">
        <f>'19_Расчет_аналитики'!BC414*'01_Вводные'!$B$14</f>
        <v/>
      </c>
      <c r="BE415">
        <f>'19_Расчет_аналитики'!BD414*'01_Вводные'!$B$14</f>
        <v/>
      </c>
      <c r="BF415">
        <f>'19_Расчет_аналитики'!BE414*'01_Вводные'!$B$14</f>
        <v/>
      </c>
      <c r="BG415">
        <f>'19_Расчет_аналитики'!BF414*'01_Вводные'!$B$14</f>
        <v/>
      </c>
      <c r="BH415">
        <f>'19_Расчет_аналитики'!BG414*'01_Вводные'!$B$14</f>
        <v/>
      </c>
      <c r="BI415">
        <f>'19_Расчет_аналитики'!BH414*'01_Вводные'!$B$14</f>
        <v/>
      </c>
      <c r="BJ415">
        <f>'19_Расчет_аналитики'!BI414*'01_Вводные'!$B$14</f>
        <v/>
      </c>
      <c r="BK415">
        <f>'19_Расчет_аналитики'!BJ414*'01_Вводные'!$B$14</f>
        <v/>
      </c>
      <c r="BL415">
        <f>'19_Расчет_аналитики'!BK414*'01_Вводные'!$B$14</f>
        <v/>
      </c>
      <c r="BM415">
        <f>'19_Расчет_аналитики'!BL414*'01_Вводные'!$B$14</f>
        <v/>
      </c>
      <c r="BN415">
        <f>'19_Расчет_аналитики'!BM414*'01_Вводные'!$B$14</f>
        <v/>
      </c>
      <c r="BO415">
        <f>'19_Расчет_аналитики'!BN414*'01_Вводные'!$B$14</f>
        <v/>
      </c>
    </row>
    <row r="416">
      <c r="B416">
        <f>'06_Сеть_и_дети'!B61</f>
        <v/>
      </c>
      <c r="C416">
        <f>'06_Сеть_и_дети'!C61</f>
        <v/>
      </c>
      <c r="D416">
        <f>'06_Сеть_и_дети'!D61</f>
        <v/>
      </c>
      <c r="E416">
        <f>'06_Сеть_и_дети'!E61</f>
        <v/>
      </c>
      <c r="F416">
        <f>'06_Сеть_и_дети'!F61</f>
        <v/>
      </c>
      <c r="G416">
        <f>'06_Сеть_и_дети'!G61</f>
        <v/>
      </c>
      <c r="H416">
        <f>'06_Сеть_и_дети'!H61</f>
        <v/>
      </c>
      <c r="I416">
        <f>'06_Сеть_и_дети'!I61</f>
        <v/>
      </c>
      <c r="J416">
        <f>'19_Расчет_аналитики'!I415*'01_Вводные'!$B$14</f>
        <v/>
      </c>
      <c r="K416">
        <f>'19_Расчет_аналитики'!J415*'01_Вводные'!$B$14</f>
        <v/>
      </c>
      <c r="L416">
        <f>'19_Расчет_аналитики'!K415*'01_Вводные'!$B$14</f>
        <v/>
      </c>
      <c r="M416">
        <f>'19_Расчет_аналитики'!L415*'01_Вводные'!$B$14</f>
        <v/>
      </c>
      <c r="N416">
        <f>'19_Расчет_аналитики'!M415*'01_Вводные'!$B$14</f>
        <v/>
      </c>
      <c r="O416">
        <f>'19_Расчет_аналитики'!N415*'01_Вводные'!$B$14</f>
        <v/>
      </c>
      <c r="P416">
        <f>'19_Расчет_аналитики'!O415*'01_Вводные'!$B$14</f>
        <v/>
      </c>
      <c r="Q416">
        <f>'19_Расчет_аналитики'!P415*'01_Вводные'!$B$14</f>
        <v/>
      </c>
      <c r="R416">
        <f>'19_Расчет_аналитики'!Q415*'01_Вводные'!$B$14</f>
        <v/>
      </c>
      <c r="S416">
        <f>'19_Расчет_аналитики'!R415*'01_Вводные'!$B$14</f>
        <v/>
      </c>
      <c r="T416">
        <f>'19_Расчет_аналитики'!S415*'01_Вводные'!$B$14</f>
        <v/>
      </c>
      <c r="U416">
        <f>'19_Расчет_аналитики'!T415*'01_Вводные'!$B$14</f>
        <v/>
      </c>
      <c r="V416">
        <f>'19_Расчет_аналитики'!U415*'01_Вводные'!$B$14</f>
        <v/>
      </c>
      <c r="W416">
        <f>'19_Расчет_аналитики'!V415*'01_Вводные'!$B$14</f>
        <v/>
      </c>
      <c r="X416">
        <f>'19_Расчет_аналитики'!W415*'01_Вводные'!$B$14</f>
        <v/>
      </c>
      <c r="Y416">
        <f>'19_Расчет_аналитики'!X415*'01_Вводные'!$B$14</f>
        <v/>
      </c>
      <c r="Z416">
        <f>'19_Расчет_аналитики'!Y415*'01_Вводные'!$B$14</f>
        <v/>
      </c>
      <c r="AA416">
        <f>'19_Расчет_аналитики'!Z415*'01_Вводные'!$B$14</f>
        <v/>
      </c>
      <c r="AB416">
        <f>'19_Расчет_аналитики'!AA415*'01_Вводные'!$B$14</f>
        <v/>
      </c>
      <c r="AC416">
        <f>'19_Расчет_аналитики'!AB415*'01_Вводные'!$B$14</f>
        <v/>
      </c>
      <c r="AD416">
        <f>'19_Расчет_аналитики'!AC415*'01_Вводные'!$B$14</f>
        <v/>
      </c>
      <c r="AE416">
        <f>'19_Расчет_аналитики'!AD415*'01_Вводные'!$B$14</f>
        <v/>
      </c>
      <c r="AF416">
        <f>'19_Расчет_аналитики'!AE415*'01_Вводные'!$B$14</f>
        <v/>
      </c>
      <c r="AG416">
        <f>'19_Расчет_аналитики'!AF415*'01_Вводные'!$B$14</f>
        <v/>
      </c>
      <c r="AH416">
        <f>'19_Расчет_аналитики'!AG415*'01_Вводные'!$B$14</f>
        <v/>
      </c>
      <c r="AI416">
        <f>'19_Расчет_аналитики'!AH415*'01_Вводные'!$B$14</f>
        <v/>
      </c>
      <c r="AJ416">
        <f>'19_Расчет_аналитики'!AI415*'01_Вводные'!$B$14</f>
        <v/>
      </c>
      <c r="AK416">
        <f>'19_Расчет_аналитики'!AJ415*'01_Вводные'!$B$14</f>
        <v/>
      </c>
      <c r="AL416">
        <f>'19_Расчет_аналитики'!AK415*'01_Вводные'!$B$14</f>
        <v/>
      </c>
      <c r="AM416">
        <f>'19_Расчет_аналитики'!AL415*'01_Вводные'!$B$14</f>
        <v/>
      </c>
      <c r="AN416">
        <f>'19_Расчет_аналитики'!AM415*'01_Вводные'!$B$14</f>
        <v/>
      </c>
      <c r="AO416">
        <f>'19_Расчет_аналитики'!AN415*'01_Вводные'!$B$14</f>
        <v/>
      </c>
      <c r="AP416">
        <f>'19_Расчет_аналитики'!AO415*'01_Вводные'!$B$14</f>
        <v/>
      </c>
      <c r="AQ416">
        <f>'19_Расчет_аналитики'!AP415*'01_Вводные'!$B$14</f>
        <v/>
      </c>
      <c r="AR416">
        <f>'19_Расчет_аналитики'!AQ415*'01_Вводные'!$B$14</f>
        <v/>
      </c>
      <c r="AS416">
        <f>'19_Расчет_аналитики'!AR415*'01_Вводные'!$B$14</f>
        <v/>
      </c>
      <c r="AT416">
        <f>'19_Расчет_аналитики'!AS415*'01_Вводные'!$B$14</f>
        <v/>
      </c>
      <c r="AU416">
        <f>'19_Расчет_аналитики'!AT415*'01_Вводные'!$B$14</f>
        <v/>
      </c>
      <c r="AV416">
        <f>'19_Расчет_аналитики'!AU415*'01_Вводные'!$B$14</f>
        <v/>
      </c>
      <c r="AW416">
        <f>'19_Расчет_аналитики'!AV415*'01_Вводные'!$B$14</f>
        <v/>
      </c>
      <c r="AX416">
        <f>'19_Расчет_аналитики'!AW415*'01_Вводные'!$B$14</f>
        <v/>
      </c>
      <c r="AY416">
        <f>'19_Расчет_аналитики'!AX415*'01_Вводные'!$B$14</f>
        <v/>
      </c>
      <c r="AZ416">
        <f>'19_Расчет_аналитики'!AY415*'01_Вводные'!$B$14</f>
        <v/>
      </c>
      <c r="BA416">
        <f>'19_Расчет_аналитики'!AZ415*'01_Вводные'!$B$14</f>
        <v/>
      </c>
      <c r="BB416">
        <f>'19_Расчет_аналитики'!BA415*'01_Вводные'!$B$14</f>
        <v/>
      </c>
      <c r="BC416">
        <f>'19_Расчет_аналитики'!BB415*'01_Вводные'!$B$14</f>
        <v/>
      </c>
      <c r="BD416">
        <f>'19_Расчет_аналитики'!BC415*'01_Вводные'!$B$14</f>
        <v/>
      </c>
      <c r="BE416">
        <f>'19_Расчет_аналитики'!BD415*'01_Вводные'!$B$14</f>
        <v/>
      </c>
      <c r="BF416">
        <f>'19_Расчет_аналитики'!BE415*'01_Вводные'!$B$14</f>
        <v/>
      </c>
      <c r="BG416">
        <f>'19_Расчет_аналитики'!BF415*'01_Вводные'!$B$14</f>
        <v/>
      </c>
      <c r="BH416">
        <f>'19_Расчет_аналитики'!BG415*'01_Вводные'!$B$14</f>
        <v/>
      </c>
      <c r="BI416">
        <f>'19_Расчет_аналитики'!BH415*'01_Вводные'!$B$14</f>
        <v/>
      </c>
      <c r="BJ416">
        <f>'19_Расчет_аналитики'!BI415*'01_Вводные'!$B$14</f>
        <v/>
      </c>
      <c r="BK416">
        <f>'19_Расчет_аналитики'!BJ415*'01_Вводные'!$B$14</f>
        <v/>
      </c>
      <c r="BL416">
        <f>'19_Расчет_аналитики'!BK415*'01_Вводные'!$B$14</f>
        <v/>
      </c>
      <c r="BM416">
        <f>'19_Расчет_аналитики'!BL415*'01_Вводные'!$B$14</f>
        <v/>
      </c>
      <c r="BN416">
        <f>'19_Расчет_аналитики'!BM415*'01_Вводные'!$B$14</f>
        <v/>
      </c>
      <c r="BO416">
        <f>'19_Расчет_аналитики'!BN415*'01_Вводные'!$B$14</f>
        <v/>
      </c>
    </row>
    <row r="417">
      <c r="B417">
        <f>'06_Сеть_и_дети'!B62</f>
        <v/>
      </c>
      <c r="C417">
        <f>'06_Сеть_и_дети'!C62</f>
        <v/>
      </c>
      <c r="D417">
        <f>'06_Сеть_и_дети'!D62</f>
        <v/>
      </c>
      <c r="E417">
        <f>'06_Сеть_и_дети'!E62</f>
        <v/>
      </c>
      <c r="F417">
        <f>'06_Сеть_и_дети'!F62</f>
        <v/>
      </c>
      <c r="G417">
        <f>'06_Сеть_и_дети'!G62</f>
        <v/>
      </c>
      <c r="H417">
        <f>'06_Сеть_и_дети'!H62</f>
        <v/>
      </c>
      <c r="I417">
        <f>'06_Сеть_и_дети'!I62</f>
        <v/>
      </c>
      <c r="J417">
        <f>'06_Сеть_и_дети'!J62</f>
        <v/>
      </c>
      <c r="K417">
        <f>'19_Расчет_аналитики'!J416*'01_Вводные'!$B$14</f>
        <v/>
      </c>
      <c r="L417">
        <f>'19_Расчет_аналитики'!K416*'01_Вводные'!$B$14</f>
        <v/>
      </c>
      <c r="M417">
        <f>'19_Расчет_аналитики'!L416*'01_Вводные'!$B$14</f>
        <v/>
      </c>
      <c r="N417">
        <f>'19_Расчет_аналитики'!M416*'01_Вводные'!$B$14</f>
        <v/>
      </c>
      <c r="O417">
        <f>'19_Расчет_аналитики'!N416*'01_Вводные'!$B$14</f>
        <v/>
      </c>
      <c r="P417">
        <f>'19_Расчет_аналитики'!O416*'01_Вводные'!$B$14</f>
        <v/>
      </c>
      <c r="Q417">
        <f>'19_Расчет_аналитики'!P416*'01_Вводные'!$B$14</f>
        <v/>
      </c>
      <c r="R417">
        <f>'19_Расчет_аналитики'!Q416*'01_Вводные'!$B$14</f>
        <v/>
      </c>
      <c r="S417">
        <f>'19_Расчет_аналитики'!R416*'01_Вводные'!$B$14</f>
        <v/>
      </c>
      <c r="T417">
        <f>'19_Расчет_аналитики'!S416*'01_Вводные'!$B$14</f>
        <v/>
      </c>
      <c r="U417">
        <f>'19_Расчет_аналитики'!T416*'01_Вводные'!$B$14</f>
        <v/>
      </c>
      <c r="V417">
        <f>'19_Расчет_аналитики'!U416*'01_Вводные'!$B$14</f>
        <v/>
      </c>
      <c r="W417">
        <f>'19_Расчет_аналитики'!V416*'01_Вводные'!$B$14</f>
        <v/>
      </c>
      <c r="X417">
        <f>'19_Расчет_аналитики'!W416*'01_Вводные'!$B$14</f>
        <v/>
      </c>
      <c r="Y417">
        <f>'19_Расчет_аналитики'!X416*'01_Вводные'!$B$14</f>
        <v/>
      </c>
      <c r="Z417">
        <f>'19_Расчет_аналитики'!Y416*'01_Вводные'!$B$14</f>
        <v/>
      </c>
      <c r="AA417">
        <f>'19_Расчет_аналитики'!Z416*'01_Вводные'!$B$14</f>
        <v/>
      </c>
      <c r="AB417">
        <f>'19_Расчет_аналитики'!AA416*'01_Вводные'!$B$14</f>
        <v/>
      </c>
      <c r="AC417">
        <f>'19_Расчет_аналитики'!AB416*'01_Вводные'!$B$14</f>
        <v/>
      </c>
      <c r="AD417">
        <f>'19_Расчет_аналитики'!AC416*'01_Вводные'!$B$14</f>
        <v/>
      </c>
      <c r="AE417">
        <f>'19_Расчет_аналитики'!AD416*'01_Вводные'!$B$14</f>
        <v/>
      </c>
      <c r="AF417">
        <f>'19_Расчет_аналитики'!AE416*'01_Вводные'!$B$14</f>
        <v/>
      </c>
      <c r="AG417">
        <f>'19_Расчет_аналитики'!AF416*'01_Вводные'!$B$14</f>
        <v/>
      </c>
      <c r="AH417">
        <f>'19_Расчет_аналитики'!AG416*'01_Вводные'!$B$14</f>
        <v/>
      </c>
      <c r="AI417">
        <f>'19_Расчет_аналитики'!AH416*'01_Вводные'!$B$14</f>
        <v/>
      </c>
      <c r="AJ417">
        <f>'19_Расчет_аналитики'!AI416*'01_Вводные'!$B$14</f>
        <v/>
      </c>
      <c r="AK417">
        <f>'19_Расчет_аналитики'!AJ416*'01_Вводные'!$B$14</f>
        <v/>
      </c>
      <c r="AL417">
        <f>'19_Расчет_аналитики'!AK416*'01_Вводные'!$B$14</f>
        <v/>
      </c>
      <c r="AM417">
        <f>'19_Расчет_аналитики'!AL416*'01_Вводные'!$B$14</f>
        <v/>
      </c>
      <c r="AN417">
        <f>'19_Расчет_аналитики'!AM416*'01_Вводные'!$B$14</f>
        <v/>
      </c>
      <c r="AO417">
        <f>'19_Расчет_аналитики'!AN416*'01_Вводные'!$B$14</f>
        <v/>
      </c>
      <c r="AP417">
        <f>'19_Расчет_аналитики'!AO416*'01_Вводные'!$B$14</f>
        <v/>
      </c>
      <c r="AQ417">
        <f>'19_Расчет_аналитики'!AP416*'01_Вводные'!$B$14</f>
        <v/>
      </c>
      <c r="AR417">
        <f>'19_Расчет_аналитики'!AQ416*'01_Вводные'!$B$14</f>
        <v/>
      </c>
      <c r="AS417">
        <f>'19_Расчет_аналитики'!AR416*'01_Вводные'!$B$14</f>
        <v/>
      </c>
      <c r="AT417">
        <f>'19_Расчет_аналитики'!AS416*'01_Вводные'!$B$14</f>
        <v/>
      </c>
      <c r="AU417">
        <f>'19_Расчет_аналитики'!AT416*'01_Вводные'!$B$14</f>
        <v/>
      </c>
      <c r="AV417">
        <f>'19_Расчет_аналитики'!AU416*'01_Вводные'!$B$14</f>
        <v/>
      </c>
      <c r="AW417">
        <f>'19_Расчет_аналитики'!AV416*'01_Вводные'!$B$14</f>
        <v/>
      </c>
      <c r="AX417">
        <f>'19_Расчет_аналитики'!AW416*'01_Вводные'!$B$14</f>
        <v/>
      </c>
      <c r="AY417">
        <f>'19_Расчет_аналитики'!AX416*'01_Вводные'!$B$14</f>
        <v/>
      </c>
      <c r="AZ417">
        <f>'19_Расчет_аналитики'!AY416*'01_Вводные'!$B$14</f>
        <v/>
      </c>
      <c r="BA417">
        <f>'19_Расчет_аналитики'!AZ416*'01_Вводные'!$B$14</f>
        <v/>
      </c>
      <c r="BB417">
        <f>'19_Расчет_аналитики'!BA416*'01_Вводные'!$B$14</f>
        <v/>
      </c>
      <c r="BC417">
        <f>'19_Расчет_аналитики'!BB416*'01_Вводные'!$B$14</f>
        <v/>
      </c>
      <c r="BD417">
        <f>'19_Расчет_аналитики'!BC416*'01_Вводные'!$B$14</f>
        <v/>
      </c>
      <c r="BE417">
        <f>'19_Расчет_аналитики'!BD416*'01_Вводные'!$B$14</f>
        <v/>
      </c>
      <c r="BF417">
        <f>'19_Расчет_аналитики'!BE416*'01_Вводные'!$B$14</f>
        <v/>
      </c>
      <c r="BG417">
        <f>'19_Расчет_аналитики'!BF416*'01_Вводные'!$B$14</f>
        <v/>
      </c>
      <c r="BH417">
        <f>'19_Расчет_аналитики'!BG416*'01_Вводные'!$B$14</f>
        <v/>
      </c>
      <c r="BI417">
        <f>'19_Расчет_аналитики'!BH416*'01_Вводные'!$B$14</f>
        <v/>
      </c>
      <c r="BJ417">
        <f>'19_Расчет_аналитики'!BI416*'01_Вводные'!$B$14</f>
        <v/>
      </c>
      <c r="BK417">
        <f>'19_Расчет_аналитики'!BJ416*'01_Вводные'!$B$14</f>
        <v/>
      </c>
      <c r="BL417">
        <f>'19_Расчет_аналитики'!BK416*'01_Вводные'!$B$14</f>
        <v/>
      </c>
      <c r="BM417">
        <f>'19_Расчет_аналитики'!BL416*'01_Вводные'!$B$14</f>
        <v/>
      </c>
      <c r="BN417">
        <f>'19_Расчет_аналитики'!BM416*'01_Вводные'!$B$14</f>
        <v/>
      </c>
      <c r="BO417">
        <f>'19_Расчет_аналитики'!BN416*'01_Вводные'!$B$14</f>
        <v/>
      </c>
    </row>
    <row r="418">
      <c r="B418">
        <f>'06_Сеть_и_дети'!B63</f>
        <v/>
      </c>
      <c r="C418">
        <f>'06_Сеть_и_дети'!C63</f>
        <v/>
      </c>
      <c r="D418">
        <f>'06_Сеть_и_дети'!D63</f>
        <v/>
      </c>
      <c r="E418">
        <f>'06_Сеть_и_дети'!E63</f>
        <v/>
      </c>
      <c r="F418">
        <f>'06_Сеть_и_дети'!F63</f>
        <v/>
      </c>
      <c r="G418">
        <f>'06_Сеть_и_дети'!G63</f>
        <v/>
      </c>
      <c r="H418">
        <f>'06_Сеть_и_дети'!H63</f>
        <v/>
      </c>
      <c r="I418">
        <f>'06_Сеть_и_дети'!I63</f>
        <v/>
      </c>
      <c r="J418">
        <f>'06_Сеть_и_дети'!J63</f>
        <v/>
      </c>
      <c r="K418">
        <f>'06_Сеть_и_дети'!K63</f>
        <v/>
      </c>
      <c r="L418">
        <f>'19_Расчет_аналитики'!K417*'01_Вводные'!$B$14</f>
        <v/>
      </c>
      <c r="M418">
        <f>'19_Расчет_аналитики'!L417*'01_Вводные'!$B$14</f>
        <v/>
      </c>
      <c r="N418">
        <f>'19_Расчет_аналитики'!M417*'01_Вводные'!$B$14</f>
        <v/>
      </c>
      <c r="O418">
        <f>'19_Расчет_аналитики'!N417*'01_Вводные'!$B$14</f>
        <v/>
      </c>
      <c r="P418">
        <f>'19_Расчет_аналитики'!O417*'01_Вводные'!$B$14</f>
        <v/>
      </c>
      <c r="Q418">
        <f>'19_Расчет_аналитики'!P417*'01_Вводные'!$B$14</f>
        <v/>
      </c>
      <c r="R418">
        <f>'19_Расчет_аналитики'!Q417*'01_Вводные'!$B$14</f>
        <v/>
      </c>
      <c r="S418">
        <f>'19_Расчет_аналитики'!R417*'01_Вводные'!$B$14</f>
        <v/>
      </c>
      <c r="T418">
        <f>'19_Расчет_аналитики'!S417*'01_Вводные'!$B$14</f>
        <v/>
      </c>
      <c r="U418">
        <f>'19_Расчет_аналитики'!T417*'01_Вводные'!$B$14</f>
        <v/>
      </c>
      <c r="V418">
        <f>'19_Расчет_аналитики'!U417*'01_Вводные'!$B$14</f>
        <v/>
      </c>
      <c r="W418">
        <f>'19_Расчет_аналитики'!V417*'01_Вводные'!$B$14</f>
        <v/>
      </c>
      <c r="X418">
        <f>'19_Расчет_аналитики'!W417*'01_Вводные'!$B$14</f>
        <v/>
      </c>
      <c r="Y418">
        <f>'19_Расчет_аналитики'!X417*'01_Вводные'!$B$14</f>
        <v/>
      </c>
      <c r="Z418">
        <f>'19_Расчет_аналитики'!Y417*'01_Вводные'!$B$14</f>
        <v/>
      </c>
      <c r="AA418">
        <f>'19_Расчет_аналитики'!Z417*'01_Вводные'!$B$14</f>
        <v/>
      </c>
      <c r="AB418">
        <f>'19_Расчет_аналитики'!AA417*'01_Вводные'!$B$14</f>
        <v/>
      </c>
      <c r="AC418">
        <f>'19_Расчет_аналитики'!AB417*'01_Вводные'!$B$14</f>
        <v/>
      </c>
      <c r="AD418">
        <f>'19_Расчет_аналитики'!AC417*'01_Вводные'!$B$14</f>
        <v/>
      </c>
      <c r="AE418">
        <f>'19_Расчет_аналитики'!AD417*'01_Вводные'!$B$14</f>
        <v/>
      </c>
      <c r="AF418">
        <f>'19_Расчет_аналитики'!AE417*'01_Вводные'!$B$14</f>
        <v/>
      </c>
      <c r="AG418">
        <f>'19_Расчет_аналитики'!AF417*'01_Вводные'!$B$14</f>
        <v/>
      </c>
      <c r="AH418">
        <f>'19_Расчет_аналитики'!AG417*'01_Вводные'!$B$14</f>
        <v/>
      </c>
      <c r="AI418">
        <f>'19_Расчет_аналитики'!AH417*'01_Вводные'!$B$14</f>
        <v/>
      </c>
      <c r="AJ418">
        <f>'19_Расчет_аналитики'!AI417*'01_Вводные'!$B$14</f>
        <v/>
      </c>
      <c r="AK418">
        <f>'19_Расчет_аналитики'!AJ417*'01_Вводные'!$B$14</f>
        <v/>
      </c>
      <c r="AL418">
        <f>'19_Расчет_аналитики'!AK417*'01_Вводные'!$B$14</f>
        <v/>
      </c>
      <c r="AM418">
        <f>'19_Расчет_аналитики'!AL417*'01_Вводные'!$B$14</f>
        <v/>
      </c>
      <c r="AN418">
        <f>'19_Расчет_аналитики'!AM417*'01_Вводные'!$B$14</f>
        <v/>
      </c>
      <c r="AO418">
        <f>'19_Расчет_аналитики'!AN417*'01_Вводные'!$B$14</f>
        <v/>
      </c>
      <c r="AP418">
        <f>'19_Расчет_аналитики'!AO417*'01_Вводные'!$B$14</f>
        <v/>
      </c>
      <c r="AQ418">
        <f>'19_Расчет_аналитики'!AP417*'01_Вводные'!$B$14</f>
        <v/>
      </c>
      <c r="AR418">
        <f>'19_Расчет_аналитики'!AQ417*'01_Вводные'!$B$14</f>
        <v/>
      </c>
      <c r="AS418">
        <f>'19_Расчет_аналитики'!AR417*'01_Вводные'!$B$14</f>
        <v/>
      </c>
      <c r="AT418">
        <f>'19_Расчет_аналитики'!AS417*'01_Вводные'!$B$14</f>
        <v/>
      </c>
      <c r="AU418">
        <f>'19_Расчет_аналитики'!AT417*'01_Вводные'!$B$14</f>
        <v/>
      </c>
      <c r="AV418">
        <f>'19_Расчет_аналитики'!AU417*'01_Вводные'!$B$14</f>
        <v/>
      </c>
      <c r="AW418">
        <f>'19_Расчет_аналитики'!AV417*'01_Вводные'!$B$14</f>
        <v/>
      </c>
      <c r="AX418">
        <f>'19_Расчет_аналитики'!AW417*'01_Вводные'!$B$14</f>
        <v/>
      </c>
      <c r="AY418">
        <f>'19_Расчет_аналитики'!AX417*'01_Вводные'!$B$14</f>
        <v/>
      </c>
      <c r="AZ418">
        <f>'19_Расчет_аналитики'!AY417*'01_Вводные'!$B$14</f>
        <v/>
      </c>
      <c r="BA418">
        <f>'19_Расчет_аналитики'!AZ417*'01_Вводные'!$B$14</f>
        <v/>
      </c>
      <c r="BB418">
        <f>'19_Расчет_аналитики'!BA417*'01_Вводные'!$B$14</f>
        <v/>
      </c>
      <c r="BC418">
        <f>'19_Расчет_аналитики'!BB417*'01_Вводные'!$B$14</f>
        <v/>
      </c>
      <c r="BD418">
        <f>'19_Расчет_аналитики'!BC417*'01_Вводные'!$B$14</f>
        <v/>
      </c>
      <c r="BE418">
        <f>'19_Расчет_аналитики'!BD417*'01_Вводные'!$B$14</f>
        <v/>
      </c>
      <c r="BF418">
        <f>'19_Расчет_аналитики'!BE417*'01_Вводные'!$B$14</f>
        <v/>
      </c>
      <c r="BG418">
        <f>'19_Расчет_аналитики'!BF417*'01_Вводные'!$B$14</f>
        <v/>
      </c>
      <c r="BH418">
        <f>'19_Расчет_аналитики'!BG417*'01_Вводные'!$B$14</f>
        <v/>
      </c>
      <c r="BI418">
        <f>'19_Расчет_аналитики'!BH417*'01_Вводные'!$B$14</f>
        <v/>
      </c>
      <c r="BJ418">
        <f>'19_Расчет_аналитики'!BI417*'01_Вводные'!$B$14</f>
        <v/>
      </c>
      <c r="BK418">
        <f>'19_Расчет_аналитики'!BJ417*'01_Вводные'!$B$14</f>
        <v/>
      </c>
      <c r="BL418">
        <f>'19_Расчет_аналитики'!BK417*'01_Вводные'!$B$14</f>
        <v/>
      </c>
      <c r="BM418">
        <f>'19_Расчет_аналитики'!BL417*'01_Вводные'!$B$14</f>
        <v/>
      </c>
      <c r="BN418">
        <f>'19_Расчет_аналитики'!BM417*'01_Вводные'!$B$14</f>
        <v/>
      </c>
      <c r="BO418">
        <f>'19_Расчет_аналитики'!BN417*'01_Вводные'!$B$14</f>
        <v/>
      </c>
    </row>
    <row r="419">
      <c r="B419">
        <f>'06_Сеть_и_дети'!B64</f>
        <v/>
      </c>
      <c r="C419">
        <f>'06_Сеть_и_дети'!C64</f>
        <v/>
      </c>
      <c r="D419">
        <f>'06_Сеть_и_дети'!D64</f>
        <v/>
      </c>
      <c r="E419">
        <f>'06_Сеть_и_дети'!E64</f>
        <v/>
      </c>
      <c r="F419">
        <f>'06_Сеть_и_дети'!F64</f>
        <v/>
      </c>
      <c r="G419">
        <f>'06_Сеть_и_дети'!G64</f>
        <v/>
      </c>
      <c r="H419">
        <f>'06_Сеть_и_дети'!H64</f>
        <v/>
      </c>
      <c r="I419">
        <f>'06_Сеть_и_дети'!I64</f>
        <v/>
      </c>
      <c r="J419">
        <f>'06_Сеть_и_дети'!J64</f>
        <v/>
      </c>
      <c r="K419">
        <f>'06_Сеть_и_дети'!K64</f>
        <v/>
      </c>
      <c r="L419">
        <f>'06_Сеть_и_дети'!L64</f>
        <v/>
      </c>
      <c r="M419">
        <f>'19_Расчет_аналитики'!L418*'01_Вводные'!$B$14</f>
        <v/>
      </c>
      <c r="N419">
        <f>'19_Расчет_аналитики'!M418*'01_Вводные'!$B$14</f>
        <v/>
      </c>
      <c r="O419">
        <f>'19_Расчет_аналитики'!N418*'01_Вводные'!$B$14</f>
        <v/>
      </c>
      <c r="P419">
        <f>'19_Расчет_аналитики'!O418*'01_Вводные'!$B$14</f>
        <v/>
      </c>
      <c r="Q419">
        <f>'19_Расчет_аналитики'!P418*'01_Вводные'!$B$14</f>
        <v/>
      </c>
      <c r="R419">
        <f>'19_Расчет_аналитики'!Q418*'01_Вводные'!$B$14</f>
        <v/>
      </c>
      <c r="S419">
        <f>'19_Расчет_аналитики'!R418*'01_Вводные'!$B$14</f>
        <v/>
      </c>
      <c r="T419">
        <f>'19_Расчет_аналитики'!S418*'01_Вводные'!$B$14</f>
        <v/>
      </c>
      <c r="U419">
        <f>'19_Расчет_аналитики'!T418*'01_Вводные'!$B$14</f>
        <v/>
      </c>
      <c r="V419">
        <f>'19_Расчет_аналитики'!U418*'01_Вводные'!$B$14</f>
        <v/>
      </c>
      <c r="W419">
        <f>'19_Расчет_аналитики'!V418*'01_Вводные'!$B$14</f>
        <v/>
      </c>
      <c r="X419">
        <f>'19_Расчет_аналитики'!W418*'01_Вводные'!$B$14</f>
        <v/>
      </c>
      <c r="Y419">
        <f>'19_Расчет_аналитики'!X418*'01_Вводные'!$B$14</f>
        <v/>
      </c>
      <c r="Z419">
        <f>'19_Расчет_аналитики'!Y418*'01_Вводные'!$B$14</f>
        <v/>
      </c>
      <c r="AA419">
        <f>'19_Расчет_аналитики'!Z418*'01_Вводные'!$B$14</f>
        <v/>
      </c>
      <c r="AB419">
        <f>'19_Расчет_аналитики'!AA418*'01_Вводные'!$B$14</f>
        <v/>
      </c>
      <c r="AC419">
        <f>'19_Расчет_аналитики'!AB418*'01_Вводные'!$B$14</f>
        <v/>
      </c>
      <c r="AD419">
        <f>'19_Расчет_аналитики'!AC418*'01_Вводные'!$B$14</f>
        <v/>
      </c>
      <c r="AE419">
        <f>'19_Расчет_аналитики'!AD418*'01_Вводные'!$B$14</f>
        <v/>
      </c>
      <c r="AF419">
        <f>'19_Расчет_аналитики'!AE418*'01_Вводные'!$B$14</f>
        <v/>
      </c>
      <c r="AG419">
        <f>'19_Расчет_аналитики'!AF418*'01_Вводные'!$B$14</f>
        <v/>
      </c>
      <c r="AH419">
        <f>'19_Расчет_аналитики'!AG418*'01_Вводные'!$B$14</f>
        <v/>
      </c>
      <c r="AI419">
        <f>'19_Расчет_аналитики'!AH418*'01_Вводные'!$B$14</f>
        <v/>
      </c>
      <c r="AJ419">
        <f>'19_Расчет_аналитики'!AI418*'01_Вводные'!$B$14</f>
        <v/>
      </c>
      <c r="AK419">
        <f>'19_Расчет_аналитики'!AJ418*'01_Вводные'!$B$14</f>
        <v/>
      </c>
      <c r="AL419">
        <f>'19_Расчет_аналитики'!AK418*'01_Вводные'!$B$14</f>
        <v/>
      </c>
      <c r="AM419">
        <f>'19_Расчет_аналитики'!AL418*'01_Вводные'!$B$14</f>
        <v/>
      </c>
      <c r="AN419">
        <f>'19_Расчет_аналитики'!AM418*'01_Вводные'!$B$14</f>
        <v/>
      </c>
      <c r="AO419">
        <f>'19_Расчет_аналитики'!AN418*'01_Вводные'!$B$14</f>
        <v/>
      </c>
      <c r="AP419">
        <f>'19_Расчет_аналитики'!AO418*'01_Вводные'!$B$14</f>
        <v/>
      </c>
      <c r="AQ419">
        <f>'19_Расчет_аналитики'!AP418*'01_Вводные'!$B$14</f>
        <v/>
      </c>
      <c r="AR419">
        <f>'19_Расчет_аналитики'!AQ418*'01_Вводные'!$B$14</f>
        <v/>
      </c>
      <c r="AS419">
        <f>'19_Расчет_аналитики'!AR418*'01_Вводные'!$B$14</f>
        <v/>
      </c>
      <c r="AT419">
        <f>'19_Расчет_аналитики'!AS418*'01_Вводные'!$B$14</f>
        <v/>
      </c>
      <c r="AU419">
        <f>'19_Расчет_аналитики'!AT418*'01_Вводные'!$B$14</f>
        <v/>
      </c>
      <c r="AV419">
        <f>'19_Расчет_аналитики'!AU418*'01_Вводные'!$B$14</f>
        <v/>
      </c>
      <c r="AW419">
        <f>'19_Расчет_аналитики'!AV418*'01_Вводные'!$B$14</f>
        <v/>
      </c>
      <c r="AX419">
        <f>'19_Расчет_аналитики'!AW418*'01_Вводные'!$B$14</f>
        <v/>
      </c>
      <c r="AY419">
        <f>'19_Расчет_аналитики'!AX418*'01_Вводные'!$B$14</f>
        <v/>
      </c>
      <c r="AZ419">
        <f>'19_Расчет_аналитики'!AY418*'01_Вводные'!$B$14</f>
        <v/>
      </c>
      <c r="BA419">
        <f>'19_Расчет_аналитики'!AZ418*'01_Вводные'!$B$14</f>
        <v/>
      </c>
      <c r="BB419">
        <f>'19_Расчет_аналитики'!BA418*'01_Вводные'!$B$14</f>
        <v/>
      </c>
      <c r="BC419">
        <f>'19_Расчет_аналитики'!BB418*'01_Вводные'!$B$14</f>
        <v/>
      </c>
      <c r="BD419">
        <f>'19_Расчет_аналитики'!BC418*'01_Вводные'!$B$14</f>
        <v/>
      </c>
      <c r="BE419">
        <f>'19_Расчет_аналитики'!BD418*'01_Вводные'!$B$14</f>
        <v/>
      </c>
      <c r="BF419">
        <f>'19_Расчет_аналитики'!BE418*'01_Вводные'!$B$14</f>
        <v/>
      </c>
      <c r="BG419">
        <f>'19_Расчет_аналитики'!BF418*'01_Вводные'!$B$14</f>
        <v/>
      </c>
      <c r="BH419">
        <f>'19_Расчет_аналитики'!BG418*'01_Вводные'!$B$14</f>
        <v/>
      </c>
      <c r="BI419">
        <f>'19_Расчет_аналитики'!BH418*'01_Вводные'!$B$14</f>
        <v/>
      </c>
      <c r="BJ419">
        <f>'19_Расчет_аналитики'!BI418*'01_Вводные'!$B$14</f>
        <v/>
      </c>
      <c r="BK419">
        <f>'19_Расчет_аналитики'!BJ418*'01_Вводные'!$B$14</f>
        <v/>
      </c>
      <c r="BL419">
        <f>'19_Расчет_аналитики'!BK418*'01_Вводные'!$B$14</f>
        <v/>
      </c>
      <c r="BM419">
        <f>'19_Расчет_аналитики'!BL418*'01_Вводные'!$B$14</f>
        <v/>
      </c>
      <c r="BN419">
        <f>'19_Расчет_аналитики'!BM418*'01_Вводные'!$B$14</f>
        <v/>
      </c>
      <c r="BO419">
        <f>'19_Расчет_аналитики'!BN418*'01_Вводные'!$B$14</f>
        <v/>
      </c>
    </row>
    <row r="420">
      <c r="B420">
        <f>'06_Сеть_и_дети'!B65</f>
        <v/>
      </c>
      <c r="C420">
        <f>'06_Сеть_и_дети'!C65</f>
        <v/>
      </c>
      <c r="D420">
        <f>'06_Сеть_и_дети'!D65</f>
        <v/>
      </c>
      <c r="E420">
        <f>'06_Сеть_и_дети'!E65</f>
        <v/>
      </c>
      <c r="F420">
        <f>'06_Сеть_и_дети'!F65</f>
        <v/>
      </c>
      <c r="G420">
        <f>'06_Сеть_и_дети'!G65</f>
        <v/>
      </c>
      <c r="H420">
        <f>'06_Сеть_и_дети'!H65</f>
        <v/>
      </c>
      <c r="I420">
        <f>'06_Сеть_и_дети'!I65</f>
        <v/>
      </c>
      <c r="J420">
        <f>'06_Сеть_и_дети'!J65</f>
        <v/>
      </c>
      <c r="K420">
        <f>'06_Сеть_и_дети'!K65</f>
        <v/>
      </c>
      <c r="L420">
        <f>'06_Сеть_и_дети'!L65</f>
        <v/>
      </c>
      <c r="M420">
        <f>'06_Сеть_и_дети'!M65</f>
        <v/>
      </c>
      <c r="N420">
        <f>'19_Расчет_аналитики'!M419*'01_Вводные'!$B$14</f>
        <v/>
      </c>
      <c r="O420">
        <f>'19_Расчет_аналитики'!N419*'01_Вводные'!$B$14</f>
        <v/>
      </c>
      <c r="P420">
        <f>'19_Расчет_аналитики'!O419*'01_Вводные'!$B$14</f>
        <v/>
      </c>
      <c r="Q420">
        <f>'19_Расчет_аналитики'!P419*'01_Вводные'!$B$14</f>
        <v/>
      </c>
      <c r="R420">
        <f>'19_Расчет_аналитики'!Q419*'01_Вводные'!$B$14</f>
        <v/>
      </c>
      <c r="S420">
        <f>'19_Расчет_аналитики'!R419*'01_Вводные'!$B$14</f>
        <v/>
      </c>
      <c r="T420">
        <f>'19_Расчет_аналитики'!S419*'01_Вводные'!$B$14</f>
        <v/>
      </c>
      <c r="U420">
        <f>'19_Расчет_аналитики'!T419*'01_Вводные'!$B$14</f>
        <v/>
      </c>
      <c r="V420">
        <f>'19_Расчет_аналитики'!U419*'01_Вводные'!$B$14</f>
        <v/>
      </c>
      <c r="W420">
        <f>'19_Расчет_аналитики'!V419*'01_Вводные'!$B$14</f>
        <v/>
      </c>
      <c r="X420">
        <f>'19_Расчет_аналитики'!W419*'01_Вводные'!$B$14</f>
        <v/>
      </c>
      <c r="Y420">
        <f>'19_Расчет_аналитики'!X419*'01_Вводные'!$B$14</f>
        <v/>
      </c>
      <c r="Z420">
        <f>'19_Расчет_аналитики'!Y419*'01_Вводные'!$B$14</f>
        <v/>
      </c>
      <c r="AA420">
        <f>'19_Расчет_аналитики'!Z419*'01_Вводные'!$B$14</f>
        <v/>
      </c>
      <c r="AB420">
        <f>'19_Расчет_аналитики'!AA419*'01_Вводные'!$B$14</f>
        <v/>
      </c>
      <c r="AC420">
        <f>'19_Расчет_аналитики'!AB419*'01_Вводные'!$B$14</f>
        <v/>
      </c>
      <c r="AD420">
        <f>'19_Расчет_аналитики'!AC419*'01_Вводные'!$B$14</f>
        <v/>
      </c>
      <c r="AE420">
        <f>'19_Расчет_аналитики'!AD419*'01_Вводные'!$B$14</f>
        <v/>
      </c>
      <c r="AF420">
        <f>'19_Расчет_аналитики'!AE419*'01_Вводные'!$B$14</f>
        <v/>
      </c>
      <c r="AG420">
        <f>'19_Расчет_аналитики'!AF419*'01_Вводные'!$B$14</f>
        <v/>
      </c>
      <c r="AH420">
        <f>'19_Расчет_аналитики'!AG419*'01_Вводные'!$B$14</f>
        <v/>
      </c>
      <c r="AI420">
        <f>'19_Расчет_аналитики'!AH419*'01_Вводные'!$B$14</f>
        <v/>
      </c>
      <c r="AJ420">
        <f>'19_Расчет_аналитики'!AI419*'01_Вводные'!$B$14</f>
        <v/>
      </c>
      <c r="AK420">
        <f>'19_Расчет_аналитики'!AJ419*'01_Вводные'!$B$14</f>
        <v/>
      </c>
      <c r="AL420">
        <f>'19_Расчет_аналитики'!AK419*'01_Вводные'!$B$14</f>
        <v/>
      </c>
      <c r="AM420">
        <f>'19_Расчет_аналитики'!AL419*'01_Вводные'!$B$14</f>
        <v/>
      </c>
      <c r="AN420">
        <f>'19_Расчет_аналитики'!AM419*'01_Вводные'!$B$14</f>
        <v/>
      </c>
      <c r="AO420">
        <f>'19_Расчет_аналитики'!AN419*'01_Вводные'!$B$14</f>
        <v/>
      </c>
      <c r="AP420">
        <f>'19_Расчет_аналитики'!AO419*'01_Вводные'!$B$14</f>
        <v/>
      </c>
      <c r="AQ420">
        <f>'19_Расчет_аналитики'!AP419*'01_Вводные'!$B$14</f>
        <v/>
      </c>
      <c r="AR420">
        <f>'19_Расчет_аналитики'!AQ419*'01_Вводные'!$B$14</f>
        <v/>
      </c>
      <c r="AS420">
        <f>'19_Расчет_аналитики'!AR419*'01_Вводные'!$B$14</f>
        <v/>
      </c>
      <c r="AT420">
        <f>'19_Расчет_аналитики'!AS419*'01_Вводные'!$B$14</f>
        <v/>
      </c>
      <c r="AU420">
        <f>'19_Расчет_аналитики'!AT419*'01_Вводные'!$B$14</f>
        <v/>
      </c>
      <c r="AV420">
        <f>'19_Расчет_аналитики'!AU419*'01_Вводные'!$B$14</f>
        <v/>
      </c>
      <c r="AW420">
        <f>'19_Расчет_аналитики'!AV419*'01_Вводные'!$B$14</f>
        <v/>
      </c>
      <c r="AX420">
        <f>'19_Расчет_аналитики'!AW419*'01_Вводные'!$B$14</f>
        <v/>
      </c>
      <c r="AY420">
        <f>'19_Расчет_аналитики'!AX419*'01_Вводные'!$B$14</f>
        <v/>
      </c>
      <c r="AZ420">
        <f>'19_Расчет_аналитики'!AY419*'01_Вводные'!$B$14</f>
        <v/>
      </c>
      <c r="BA420">
        <f>'19_Расчет_аналитики'!AZ419*'01_Вводные'!$B$14</f>
        <v/>
      </c>
      <c r="BB420">
        <f>'19_Расчет_аналитики'!BA419*'01_Вводные'!$B$14</f>
        <v/>
      </c>
      <c r="BC420">
        <f>'19_Расчет_аналитики'!BB419*'01_Вводные'!$B$14</f>
        <v/>
      </c>
      <c r="BD420">
        <f>'19_Расчет_аналитики'!BC419*'01_Вводные'!$B$14</f>
        <v/>
      </c>
      <c r="BE420">
        <f>'19_Расчет_аналитики'!BD419*'01_Вводные'!$B$14</f>
        <v/>
      </c>
      <c r="BF420">
        <f>'19_Расчет_аналитики'!BE419*'01_Вводные'!$B$14</f>
        <v/>
      </c>
      <c r="BG420">
        <f>'19_Расчет_аналитики'!BF419*'01_Вводные'!$B$14</f>
        <v/>
      </c>
      <c r="BH420">
        <f>'19_Расчет_аналитики'!BG419*'01_Вводные'!$B$14</f>
        <v/>
      </c>
      <c r="BI420">
        <f>'19_Расчет_аналитики'!BH419*'01_Вводные'!$B$14</f>
        <v/>
      </c>
      <c r="BJ420">
        <f>'19_Расчет_аналитики'!BI419*'01_Вводные'!$B$14</f>
        <v/>
      </c>
      <c r="BK420">
        <f>'19_Расчет_аналитики'!BJ419*'01_Вводные'!$B$14</f>
        <v/>
      </c>
      <c r="BL420">
        <f>'19_Расчет_аналитики'!BK419*'01_Вводные'!$B$14</f>
        <v/>
      </c>
      <c r="BM420">
        <f>'19_Расчет_аналитики'!BL419*'01_Вводные'!$B$14</f>
        <v/>
      </c>
      <c r="BN420">
        <f>'19_Расчет_аналитики'!BM419*'01_Вводные'!$B$14</f>
        <v/>
      </c>
      <c r="BO420">
        <f>'19_Расчет_аналитики'!BN419*'01_Вводные'!$B$14</f>
        <v/>
      </c>
    </row>
    <row r="421">
      <c r="B421">
        <f>'06_Сеть_и_дети'!B66</f>
        <v/>
      </c>
      <c r="C421">
        <f>'06_Сеть_и_дети'!C66</f>
        <v/>
      </c>
      <c r="D421">
        <f>'06_Сеть_и_дети'!D66</f>
        <v/>
      </c>
      <c r="E421">
        <f>'06_Сеть_и_дети'!E66</f>
        <v/>
      </c>
      <c r="F421">
        <f>'06_Сеть_и_дети'!F66</f>
        <v/>
      </c>
      <c r="G421">
        <f>'06_Сеть_и_дети'!G66</f>
        <v/>
      </c>
      <c r="H421">
        <f>'06_Сеть_и_дети'!H66</f>
        <v/>
      </c>
      <c r="I421">
        <f>'06_Сеть_и_дети'!I66</f>
        <v/>
      </c>
      <c r="J421">
        <f>'06_Сеть_и_дети'!J66</f>
        <v/>
      </c>
      <c r="K421">
        <f>'06_Сеть_и_дети'!K66</f>
        <v/>
      </c>
      <c r="L421">
        <f>'06_Сеть_и_дети'!L66</f>
        <v/>
      </c>
      <c r="M421">
        <f>'06_Сеть_и_дети'!M66</f>
        <v/>
      </c>
      <c r="N421">
        <f>'06_Сеть_и_дети'!N66</f>
        <v/>
      </c>
      <c r="O421">
        <f>'19_Расчет_аналитики'!N420*'01_Вводные'!$B$14</f>
        <v/>
      </c>
      <c r="P421">
        <f>'19_Расчет_аналитики'!O420*'01_Вводные'!$B$14</f>
        <v/>
      </c>
      <c r="Q421">
        <f>'19_Расчет_аналитики'!P420*'01_Вводные'!$B$14</f>
        <v/>
      </c>
      <c r="R421">
        <f>'19_Расчет_аналитики'!Q420*'01_Вводные'!$B$14</f>
        <v/>
      </c>
      <c r="S421">
        <f>'19_Расчет_аналитики'!R420*'01_Вводные'!$B$14</f>
        <v/>
      </c>
      <c r="T421">
        <f>'19_Расчет_аналитики'!S420*'01_Вводные'!$B$14</f>
        <v/>
      </c>
      <c r="U421">
        <f>'19_Расчет_аналитики'!T420*'01_Вводные'!$B$14</f>
        <v/>
      </c>
      <c r="V421">
        <f>'19_Расчет_аналитики'!U420*'01_Вводные'!$B$14</f>
        <v/>
      </c>
      <c r="W421">
        <f>'19_Расчет_аналитики'!V420*'01_Вводные'!$B$14</f>
        <v/>
      </c>
      <c r="X421">
        <f>'19_Расчет_аналитики'!W420*'01_Вводные'!$B$14</f>
        <v/>
      </c>
      <c r="Y421">
        <f>'19_Расчет_аналитики'!X420*'01_Вводные'!$B$14</f>
        <v/>
      </c>
      <c r="Z421">
        <f>'19_Расчет_аналитики'!Y420*'01_Вводные'!$B$14</f>
        <v/>
      </c>
      <c r="AA421">
        <f>'19_Расчет_аналитики'!Z420*'01_Вводные'!$B$14</f>
        <v/>
      </c>
      <c r="AB421">
        <f>'19_Расчет_аналитики'!AA420*'01_Вводные'!$B$14</f>
        <v/>
      </c>
      <c r="AC421">
        <f>'19_Расчет_аналитики'!AB420*'01_Вводные'!$B$14</f>
        <v/>
      </c>
      <c r="AD421">
        <f>'19_Расчет_аналитики'!AC420*'01_Вводные'!$B$14</f>
        <v/>
      </c>
      <c r="AE421">
        <f>'19_Расчет_аналитики'!AD420*'01_Вводные'!$B$14</f>
        <v/>
      </c>
      <c r="AF421">
        <f>'19_Расчет_аналитики'!AE420*'01_Вводные'!$B$14</f>
        <v/>
      </c>
      <c r="AG421">
        <f>'19_Расчет_аналитики'!AF420*'01_Вводные'!$B$14</f>
        <v/>
      </c>
      <c r="AH421">
        <f>'19_Расчет_аналитики'!AG420*'01_Вводные'!$B$14</f>
        <v/>
      </c>
      <c r="AI421">
        <f>'19_Расчет_аналитики'!AH420*'01_Вводные'!$B$14</f>
        <v/>
      </c>
      <c r="AJ421">
        <f>'19_Расчет_аналитики'!AI420*'01_Вводные'!$B$14</f>
        <v/>
      </c>
      <c r="AK421">
        <f>'19_Расчет_аналитики'!AJ420*'01_Вводные'!$B$14</f>
        <v/>
      </c>
      <c r="AL421">
        <f>'19_Расчет_аналитики'!AK420*'01_Вводные'!$B$14</f>
        <v/>
      </c>
      <c r="AM421">
        <f>'19_Расчет_аналитики'!AL420*'01_Вводные'!$B$14</f>
        <v/>
      </c>
      <c r="AN421">
        <f>'19_Расчет_аналитики'!AM420*'01_Вводные'!$B$14</f>
        <v/>
      </c>
      <c r="AO421">
        <f>'19_Расчет_аналитики'!AN420*'01_Вводные'!$B$14</f>
        <v/>
      </c>
      <c r="AP421">
        <f>'19_Расчет_аналитики'!AO420*'01_Вводные'!$B$14</f>
        <v/>
      </c>
      <c r="AQ421">
        <f>'19_Расчет_аналитики'!AP420*'01_Вводные'!$B$14</f>
        <v/>
      </c>
      <c r="AR421">
        <f>'19_Расчет_аналитики'!AQ420*'01_Вводные'!$B$14</f>
        <v/>
      </c>
      <c r="AS421">
        <f>'19_Расчет_аналитики'!AR420*'01_Вводные'!$B$14</f>
        <v/>
      </c>
      <c r="AT421">
        <f>'19_Расчет_аналитики'!AS420*'01_Вводные'!$B$14</f>
        <v/>
      </c>
      <c r="AU421">
        <f>'19_Расчет_аналитики'!AT420*'01_Вводные'!$B$14</f>
        <v/>
      </c>
      <c r="AV421">
        <f>'19_Расчет_аналитики'!AU420*'01_Вводные'!$B$14</f>
        <v/>
      </c>
      <c r="AW421">
        <f>'19_Расчет_аналитики'!AV420*'01_Вводные'!$B$14</f>
        <v/>
      </c>
      <c r="AX421">
        <f>'19_Расчет_аналитики'!AW420*'01_Вводные'!$B$14</f>
        <v/>
      </c>
      <c r="AY421">
        <f>'19_Расчет_аналитики'!AX420*'01_Вводные'!$B$14</f>
        <v/>
      </c>
      <c r="AZ421">
        <f>'19_Расчет_аналитики'!AY420*'01_Вводные'!$B$14</f>
        <v/>
      </c>
      <c r="BA421">
        <f>'19_Расчет_аналитики'!AZ420*'01_Вводные'!$B$14</f>
        <v/>
      </c>
      <c r="BB421">
        <f>'19_Расчет_аналитики'!BA420*'01_Вводные'!$B$14</f>
        <v/>
      </c>
      <c r="BC421">
        <f>'19_Расчет_аналитики'!BB420*'01_Вводные'!$B$14</f>
        <v/>
      </c>
      <c r="BD421">
        <f>'19_Расчет_аналитики'!BC420*'01_Вводные'!$B$14</f>
        <v/>
      </c>
      <c r="BE421">
        <f>'19_Расчет_аналитики'!BD420*'01_Вводные'!$B$14</f>
        <v/>
      </c>
      <c r="BF421">
        <f>'19_Расчет_аналитики'!BE420*'01_Вводные'!$B$14</f>
        <v/>
      </c>
      <c r="BG421">
        <f>'19_Расчет_аналитики'!BF420*'01_Вводные'!$B$14</f>
        <v/>
      </c>
      <c r="BH421">
        <f>'19_Расчет_аналитики'!BG420*'01_Вводные'!$B$14</f>
        <v/>
      </c>
      <c r="BI421">
        <f>'19_Расчет_аналитики'!BH420*'01_Вводные'!$B$14</f>
        <v/>
      </c>
      <c r="BJ421">
        <f>'19_Расчет_аналитики'!BI420*'01_Вводные'!$B$14</f>
        <v/>
      </c>
      <c r="BK421">
        <f>'19_Расчет_аналитики'!BJ420*'01_Вводные'!$B$14</f>
        <v/>
      </c>
      <c r="BL421">
        <f>'19_Расчет_аналитики'!BK420*'01_Вводные'!$B$14</f>
        <v/>
      </c>
      <c r="BM421">
        <f>'19_Расчет_аналитики'!BL420*'01_Вводные'!$B$14</f>
        <v/>
      </c>
      <c r="BN421">
        <f>'19_Расчет_аналитики'!BM420*'01_Вводные'!$B$14</f>
        <v/>
      </c>
      <c r="BO421">
        <f>'19_Расчет_аналитики'!BN420*'01_Вводные'!$B$14</f>
        <v/>
      </c>
    </row>
    <row r="422">
      <c r="B422">
        <f>'06_Сеть_и_дети'!B67</f>
        <v/>
      </c>
      <c r="C422">
        <f>'06_Сеть_и_дети'!C67</f>
        <v/>
      </c>
      <c r="D422">
        <f>'06_Сеть_и_дети'!D67</f>
        <v/>
      </c>
      <c r="E422">
        <f>'06_Сеть_и_дети'!E67</f>
        <v/>
      </c>
      <c r="F422">
        <f>'06_Сеть_и_дети'!F67</f>
        <v/>
      </c>
      <c r="G422">
        <f>'06_Сеть_и_дети'!G67</f>
        <v/>
      </c>
      <c r="H422">
        <f>'06_Сеть_и_дети'!H67</f>
        <v/>
      </c>
      <c r="I422">
        <f>'06_Сеть_и_дети'!I67</f>
        <v/>
      </c>
      <c r="J422">
        <f>'06_Сеть_и_дети'!J67</f>
        <v/>
      </c>
      <c r="K422">
        <f>'06_Сеть_и_дети'!K67</f>
        <v/>
      </c>
      <c r="L422">
        <f>'06_Сеть_и_дети'!L67</f>
        <v/>
      </c>
      <c r="M422">
        <f>'06_Сеть_и_дети'!M67</f>
        <v/>
      </c>
      <c r="N422">
        <f>'06_Сеть_и_дети'!N67</f>
        <v/>
      </c>
      <c r="O422">
        <f>'06_Сеть_и_дети'!O67</f>
        <v/>
      </c>
      <c r="P422">
        <f>'19_Расчет_аналитики'!O421*'01_Вводные'!$B$14</f>
        <v/>
      </c>
      <c r="Q422">
        <f>'19_Расчет_аналитики'!P421*'01_Вводные'!$B$14</f>
        <v/>
      </c>
      <c r="R422">
        <f>'19_Расчет_аналитики'!Q421*'01_Вводные'!$B$14</f>
        <v/>
      </c>
      <c r="S422">
        <f>'19_Расчет_аналитики'!R421*'01_Вводные'!$B$14</f>
        <v/>
      </c>
      <c r="T422">
        <f>'19_Расчет_аналитики'!S421*'01_Вводные'!$B$14</f>
        <v/>
      </c>
      <c r="U422">
        <f>'19_Расчет_аналитики'!T421*'01_Вводные'!$B$14</f>
        <v/>
      </c>
      <c r="V422">
        <f>'19_Расчет_аналитики'!U421*'01_Вводные'!$B$14</f>
        <v/>
      </c>
      <c r="W422">
        <f>'19_Расчет_аналитики'!V421*'01_Вводные'!$B$14</f>
        <v/>
      </c>
      <c r="X422">
        <f>'19_Расчет_аналитики'!W421*'01_Вводные'!$B$14</f>
        <v/>
      </c>
      <c r="Y422">
        <f>'19_Расчет_аналитики'!X421*'01_Вводные'!$B$14</f>
        <v/>
      </c>
      <c r="Z422">
        <f>'19_Расчет_аналитики'!Y421*'01_Вводные'!$B$14</f>
        <v/>
      </c>
      <c r="AA422">
        <f>'19_Расчет_аналитики'!Z421*'01_Вводные'!$B$14</f>
        <v/>
      </c>
      <c r="AB422">
        <f>'19_Расчет_аналитики'!AA421*'01_Вводные'!$B$14</f>
        <v/>
      </c>
      <c r="AC422">
        <f>'19_Расчет_аналитики'!AB421*'01_Вводные'!$B$14</f>
        <v/>
      </c>
      <c r="AD422">
        <f>'19_Расчет_аналитики'!AC421*'01_Вводные'!$B$14</f>
        <v/>
      </c>
      <c r="AE422">
        <f>'19_Расчет_аналитики'!AD421*'01_Вводные'!$B$14</f>
        <v/>
      </c>
      <c r="AF422">
        <f>'19_Расчет_аналитики'!AE421*'01_Вводные'!$B$14</f>
        <v/>
      </c>
      <c r="AG422">
        <f>'19_Расчет_аналитики'!AF421*'01_Вводные'!$B$14</f>
        <v/>
      </c>
      <c r="AH422">
        <f>'19_Расчет_аналитики'!AG421*'01_Вводные'!$B$14</f>
        <v/>
      </c>
      <c r="AI422">
        <f>'19_Расчет_аналитики'!AH421*'01_Вводные'!$B$14</f>
        <v/>
      </c>
      <c r="AJ422">
        <f>'19_Расчет_аналитики'!AI421*'01_Вводные'!$B$14</f>
        <v/>
      </c>
      <c r="AK422">
        <f>'19_Расчет_аналитики'!AJ421*'01_Вводные'!$B$14</f>
        <v/>
      </c>
      <c r="AL422">
        <f>'19_Расчет_аналитики'!AK421*'01_Вводные'!$B$14</f>
        <v/>
      </c>
      <c r="AM422">
        <f>'19_Расчет_аналитики'!AL421*'01_Вводные'!$B$14</f>
        <v/>
      </c>
      <c r="AN422">
        <f>'19_Расчет_аналитики'!AM421*'01_Вводные'!$B$14</f>
        <v/>
      </c>
      <c r="AO422">
        <f>'19_Расчет_аналитики'!AN421*'01_Вводные'!$B$14</f>
        <v/>
      </c>
      <c r="AP422">
        <f>'19_Расчет_аналитики'!AO421*'01_Вводные'!$B$14</f>
        <v/>
      </c>
      <c r="AQ422">
        <f>'19_Расчет_аналитики'!AP421*'01_Вводные'!$B$14</f>
        <v/>
      </c>
      <c r="AR422">
        <f>'19_Расчет_аналитики'!AQ421*'01_Вводные'!$B$14</f>
        <v/>
      </c>
      <c r="AS422">
        <f>'19_Расчет_аналитики'!AR421*'01_Вводные'!$B$14</f>
        <v/>
      </c>
      <c r="AT422">
        <f>'19_Расчет_аналитики'!AS421*'01_Вводные'!$B$14</f>
        <v/>
      </c>
      <c r="AU422">
        <f>'19_Расчет_аналитики'!AT421*'01_Вводные'!$B$14</f>
        <v/>
      </c>
      <c r="AV422">
        <f>'19_Расчет_аналитики'!AU421*'01_Вводные'!$B$14</f>
        <v/>
      </c>
      <c r="AW422">
        <f>'19_Расчет_аналитики'!AV421*'01_Вводные'!$B$14</f>
        <v/>
      </c>
      <c r="AX422">
        <f>'19_Расчет_аналитики'!AW421*'01_Вводные'!$B$14</f>
        <v/>
      </c>
      <c r="AY422">
        <f>'19_Расчет_аналитики'!AX421*'01_Вводные'!$B$14</f>
        <v/>
      </c>
      <c r="AZ422">
        <f>'19_Расчет_аналитики'!AY421*'01_Вводные'!$B$14</f>
        <v/>
      </c>
      <c r="BA422">
        <f>'19_Расчет_аналитики'!AZ421*'01_Вводные'!$B$14</f>
        <v/>
      </c>
      <c r="BB422">
        <f>'19_Расчет_аналитики'!BA421*'01_Вводные'!$B$14</f>
        <v/>
      </c>
      <c r="BC422">
        <f>'19_Расчет_аналитики'!BB421*'01_Вводные'!$B$14</f>
        <v/>
      </c>
      <c r="BD422">
        <f>'19_Расчет_аналитики'!BC421*'01_Вводные'!$B$14</f>
        <v/>
      </c>
      <c r="BE422">
        <f>'19_Расчет_аналитики'!BD421*'01_Вводные'!$B$14</f>
        <v/>
      </c>
      <c r="BF422">
        <f>'19_Расчет_аналитики'!BE421*'01_Вводные'!$B$14</f>
        <v/>
      </c>
      <c r="BG422">
        <f>'19_Расчет_аналитики'!BF421*'01_Вводные'!$B$14</f>
        <v/>
      </c>
      <c r="BH422">
        <f>'19_Расчет_аналитики'!BG421*'01_Вводные'!$B$14</f>
        <v/>
      </c>
      <c r="BI422">
        <f>'19_Расчет_аналитики'!BH421*'01_Вводные'!$B$14</f>
        <v/>
      </c>
      <c r="BJ422">
        <f>'19_Расчет_аналитики'!BI421*'01_Вводные'!$B$14</f>
        <v/>
      </c>
      <c r="BK422">
        <f>'19_Расчет_аналитики'!BJ421*'01_Вводные'!$B$14</f>
        <v/>
      </c>
      <c r="BL422">
        <f>'19_Расчет_аналитики'!BK421*'01_Вводные'!$B$14</f>
        <v/>
      </c>
      <c r="BM422">
        <f>'19_Расчет_аналитики'!BL421*'01_Вводные'!$B$14</f>
        <v/>
      </c>
      <c r="BN422">
        <f>'19_Расчет_аналитики'!BM421*'01_Вводные'!$B$14</f>
        <v/>
      </c>
      <c r="BO422">
        <f>'19_Расчет_аналитики'!BN421*'01_Вводные'!$B$14</f>
        <v/>
      </c>
    </row>
    <row r="423">
      <c r="B423">
        <f>'06_Сеть_и_дети'!B68</f>
        <v/>
      </c>
      <c r="C423">
        <f>'06_Сеть_и_дети'!C68</f>
        <v/>
      </c>
      <c r="D423">
        <f>'06_Сеть_и_дети'!D68</f>
        <v/>
      </c>
      <c r="E423">
        <f>'06_Сеть_и_дети'!E68</f>
        <v/>
      </c>
      <c r="F423">
        <f>'06_Сеть_и_дети'!F68</f>
        <v/>
      </c>
      <c r="G423">
        <f>'06_Сеть_и_дети'!G68</f>
        <v/>
      </c>
      <c r="H423">
        <f>'06_Сеть_и_дети'!H68</f>
        <v/>
      </c>
      <c r="I423">
        <f>'06_Сеть_и_дети'!I68</f>
        <v/>
      </c>
      <c r="J423">
        <f>'06_Сеть_и_дети'!J68</f>
        <v/>
      </c>
      <c r="K423">
        <f>'06_Сеть_и_дети'!K68</f>
        <v/>
      </c>
      <c r="L423">
        <f>'06_Сеть_и_дети'!L68</f>
        <v/>
      </c>
      <c r="M423">
        <f>'06_Сеть_и_дети'!M68</f>
        <v/>
      </c>
      <c r="N423">
        <f>'06_Сеть_и_дети'!N68</f>
        <v/>
      </c>
      <c r="O423">
        <f>'06_Сеть_и_дети'!O68</f>
        <v/>
      </c>
      <c r="P423">
        <f>'06_Сеть_и_дети'!P68</f>
        <v/>
      </c>
      <c r="Q423">
        <f>'19_Расчет_аналитики'!P422*'01_Вводные'!$B$14</f>
        <v/>
      </c>
      <c r="R423">
        <f>'19_Расчет_аналитики'!Q422*'01_Вводные'!$B$14</f>
        <v/>
      </c>
      <c r="S423">
        <f>'19_Расчет_аналитики'!R422*'01_Вводные'!$B$14</f>
        <v/>
      </c>
      <c r="T423">
        <f>'19_Расчет_аналитики'!S422*'01_Вводные'!$B$14</f>
        <v/>
      </c>
      <c r="U423">
        <f>'19_Расчет_аналитики'!T422*'01_Вводные'!$B$14</f>
        <v/>
      </c>
      <c r="V423">
        <f>'19_Расчет_аналитики'!U422*'01_Вводные'!$B$14</f>
        <v/>
      </c>
      <c r="W423">
        <f>'19_Расчет_аналитики'!V422*'01_Вводные'!$B$14</f>
        <v/>
      </c>
      <c r="X423">
        <f>'19_Расчет_аналитики'!W422*'01_Вводные'!$B$14</f>
        <v/>
      </c>
      <c r="Y423">
        <f>'19_Расчет_аналитики'!X422*'01_Вводные'!$B$14</f>
        <v/>
      </c>
      <c r="Z423">
        <f>'19_Расчет_аналитики'!Y422*'01_Вводные'!$B$14</f>
        <v/>
      </c>
      <c r="AA423">
        <f>'19_Расчет_аналитики'!Z422*'01_Вводные'!$B$14</f>
        <v/>
      </c>
      <c r="AB423">
        <f>'19_Расчет_аналитики'!AA422*'01_Вводные'!$B$14</f>
        <v/>
      </c>
      <c r="AC423">
        <f>'19_Расчет_аналитики'!AB422*'01_Вводные'!$B$14</f>
        <v/>
      </c>
      <c r="AD423">
        <f>'19_Расчет_аналитики'!AC422*'01_Вводные'!$B$14</f>
        <v/>
      </c>
      <c r="AE423">
        <f>'19_Расчет_аналитики'!AD422*'01_Вводные'!$B$14</f>
        <v/>
      </c>
      <c r="AF423">
        <f>'19_Расчет_аналитики'!AE422*'01_Вводные'!$B$14</f>
        <v/>
      </c>
      <c r="AG423">
        <f>'19_Расчет_аналитики'!AF422*'01_Вводные'!$B$14</f>
        <v/>
      </c>
      <c r="AH423">
        <f>'19_Расчет_аналитики'!AG422*'01_Вводные'!$B$14</f>
        <v/>
      </c>
      <c r="AI423">
        <f>'19_Расчет_аналитики'!AH422*'01_Вводные'!$B$14</f>
        <v/>
      </c>
      <c r="AJ423">
        <f>'19_Расчет_аналитики'!AI422*'01_Вводные'!$B$14</f>
        <v/>
      </c>
      <c r="AK423">
        <f>'19_Расчет_аналитики'!AJ422*'01_Вводные'!$B$14</f>
        <v/>
      </c>
      <c r="AL423">
        <f>'19_Расчет_аналитики'!AK422*'01_Вводные'!$B$14</f>
        <v/>
      </c>
      <c r="AM423">
        <f>'19_Расчет_аналитики'!AL422*'01_Вводные'!$B$14</f>
        <v/>
      </c>
      <c r="AN423">
        <f>'19_Расчет_аналитики'!AM422*'01_Вводные'!$B$14</f>
        <v/>
      </c>
      <c r="AO423">
        <f>'19_Расчет_аналитики'!AN422*'01_Вводные'!$B$14</f>
        <v/>
      </c>
      <c r="AP423">
        <f>'19_Расчет_аналитики'!AO422*'01_Вводные'!$B$14</f>
        <v/>
      </c>
      <c r="AQ423">
        <f>'19_Расчет_аналитики'!AP422*'01_Вводные'!$B$14</f>
        <v/>
      </c>
      <c r="AR423">
        <f>'19_Расчет_аналитики'!AQ422*'01_Вводные'!$B$14</f>
        <v/>
      </c>
      <c r="AS423">
        <f>'19_Расчет_аналитики'!AR422*'01_Вводные'!$B$14</f>
        <v/>
      </c>
      <c r="AT423">
        <f>'19_Расчет_аналитики'!AS422*'01_Вводные'!$B$14</f>
        <v/>
      </c>
      <c r="AU423">
        <f>'19_Расчет_аналитики'!AT422*'01_Вводные'!$B$14</f>
        <v/>
      </c>
      <c r="AV423">
        <f>'19_Расчет_аналитики'!AU422*'01_Вводные'!$B$14</f>
        <v/>
      </c>
      <c r="AW423">
        <f>'19_Расчет_аналитики'!AV422*'01_Вводные'!$B$14</f>
        <v/>
      </c>
      <c r="AX423">
        <f>'19_Расчет_аналитики'!AW422*'01_Вводные'!$B$14</f>
        <v/>
      </c>
      <c r="AY423">
        <f>'19_Расчет_аналитики'!AX422*'01_Вводные'!$B$14</f>
        <v/>
      </c>
      <c r="AZ423">
        <f>'19_Расчет_аналитики'!AY422*'01_Вводные'!$B$14</f>
        <v/>
      </c>
      <c r="BA423">
        <f>'19_Расчет_аналитики'!AZ422*'01_Вводные'!$B$14</f>
        <v/>
      </c>
      <c r="BB423">
        <f>'19_Расчет_аналитики'!BA422*'01_Вводные'!$B$14</f>
        <v/>
      </c>
      <c r="BC423">
        <f>'19_Расчет_аналитики'!BB422*'01_Вводные'!$B$14</f>
        <v/>
      </c>
      <c r="BD423">
        <f>'19_Расчет_аналитики'!BC422*'01_Вводные'!$B$14</f>
        <v/>
      </c>
      <c r="BE423">
        <f>'19_Расчет_аналитики'!BD422*'01_Вводные'!$B$14</f>
        <v/>
      </c>
      <c r="BF423">
        <f>'19_Расчет_аналитики'!BE422*'01_Вводные'!$B$14</f>
        <v/>
      </c>
      <c r="BG423">
        <f>'19_Расчет_аналитики'!BF422*'01_Вводные'!$B$14</f>
        <v/>
      </c>
      <c r="BH423">
        <f>'19_Расчет_аналитики'!BG422*'01_Вводные'!$B$14</f>
        <v/>
      </c>
      <c r="BI423">
        <f>'19_Расчет_аналитики'!BH422*'01_Вводные'!$B$14</f>
        <v/>
      </c>
      <c r="BJ423">
        <f>'19_Расчет_аналитики'!BI422*'01_Вводные'!$B$14</f>
        <v/>
      </c>
      <c r="BK423">
        <f>'19_Расчет_аналитики'!BJ422*'01_Вводные'!$B$14</f>
        <v/>
      </c>
      <c r="BL423">
        <f>'19_Расчет_аналитики'!BK422*'01_Вводные'!$B$14</f>
        <v/>
      </c>
      <c r="BM423">
        <f>'19_Расчет_аналитики'!BL422*'01_Вводные'!$B$14</f>
        <v/>
      </c>
      <c r="BN423">
        <f>'19_Расчет_аналитики'!BM422*'01_Вводные'!$B$14</f>
        <v/>
      </c>
      <c r="BO423">
        <f>'19_Расчет_аналитики'!BN422*'01_Вводные'!$B$14</f>
        <v/>
      </c>
    </row>
    <row r="424">
      <c r="B424">
        <f>'06_Сеть_и_дети'!B69</f>
        <v/>
      </c>
      <c r="C424">
        <f>'06_Сеть_и_дети'!C69</f>
        <v/>
      </c>
      <c r="D424">
        <f>'06_Сеть_и_дети'!D69</f>
        <v/>
      </c>
      <c r="E424">
        <f>'06_Сеть_и_дети'!E69</f>
        <v/>
      </c>
      <c r="F424">
        <f>'06_Сеть_и_дети'!F69</f>
        <v/>
      </c>
      <c r="G424">
        <f>'06_Сеть_и_дети'!G69</f>
        <v/>
      </c>
      <c r="H424">
        <f>'06_Сеть_и_дети'!H69</f>
        <v/>
      </c>
      <c r="I424">
        <f>'06_Сеть_и_дети'!I69</f>
        <v/>
      </c>
      <c r="J424">
        <f>'06_Сеть_и_дети'!J69</f>
        <v/>
      </c>
      <c r="K424">
        <f>'06_Сеть_и_дети'!K69</f>
        <v/>
      </c>
      <c r="L424">
        <f>'06_Сеть_и_дети'!L69</f>
        <v/>
      </c>
      <c r="M424">
        <f>'06_Сеть_и_дети'!M69</f>
        <v/>
      </c>
      <c r="N424">
        <f>'06_Сеть_и_дети'!N69</f>
        <v/>
      </c>
      <c r="O424">
        <f>'06_Сеть_и_дети'!O69</f>
        <v/>
      </c>
      <c r="P424">
        <f>'06_Сеть_и_дети'!P69</f>
        <v/>
      </c>
      <c r="Q424">
        <f>'06_Сеть_и_дети'!Q69</f>
        <v/>
      </c>
      <c r="R424">
        <f>'19_Расчет_аналитики'!Q423*'01_Вводные'!$B$14</f>
        <v/>
      </c>
      <c r="S424">
        <f>'19_Расчет_аналитики'!R423*'01_Вводные'!$B$14</f>
        <v/>
      </c>
      <c r="T424">
        <f>'19_Расчет_аналитики'!S423*'01_Вводные'!$B$14</f>
        <v/>
      </c>
      <c r="U424">
        <f>'19_Расчет_аналитики'!T423*'01_Вводные'!$B$14</f>
        <v/>
      </c>
      <c r="V424">
        <f>'19_Расчет_аналитики'!U423*'01_Вводные'!$B$14</f>
        <v/>
      </c>
      <c r="W424">
        <f>'19_Расчет_аналитики'!V423*'01_Вводные'!$B$14</f>
        <v/>
      </c>
      <c r="X424">
        <f>'19_Расчет_аналитики'!W423*'01_Вводные'!$B$14</f>
        <v/>
      </c>
      <c r="Y424">
        <f>'19_Расчет_аналитики'!X423*'01_Вводные'!$B$14</f>
        <v/>
      </c>
      <c r="Z424">
        <f>'19_Расчет_аналитики'!Y423*'01_Вводные'!$B$14</f>
        <v/>
      </c>
      <c r="AA424">
        <f>'19_Расчет_аналитики'!Z423*'01_Вводные'!$B$14</f>
        <v/>
      </c>
      <c r="AB424">
        <f>'19_Расчет_аналитики'!AA423*'01_Вводные'!$B$14</f>
        <v/>
      </c>
      <c r="AC424">
        <f>'19_Расчет_аналитики'!AB423*'01_Вводные'!$B$14</f>
        <v/>
      </c>
      <c r="AD424">
        <f>'19_Расчет_аналитики'!AC423*'01_Вводные'!$B$14</f>
        <v/>
      </c>
      <c r="AE424">
        <f>'19_Расчет_аналитики'!AD423*'01_Вводные'!$B$14</f>
        <v/>
      </c>
      <c r="AF424">
        <f>'19_Расчет_аналитики'!AE423*'01_Вводные'!$B$14</f>
        <v/>
      </c>
      <c r="AG424">
        <f>'19_Расчет_аналитики'!AF423*'01_Вводные'!$B$14</f>
        <v/>
      </c>
      <c r="AH424">
        <f>'19_Расчет_аналитики'!AG423*'01_Вводные'!$B$14</f>
        <v/>
      </c>
      <c r="AI424">
        <f>'19_Расчет_аналитики'!AH423*'01_Вводные'!$B$14</f>
        <v/>
      </c>
      <c r="AJ424">
        <f>'19_Расчет_аналитики'!AI423*'01_Вводные'!$B$14</f>
        <v/>
      </c>
      <c r="AK424">
        <f>'19_Расчет_аналитики'!AJ423*'01_Вводные'!$B$14</f>
        <v/>
      </c>
      <c r="AL424">
        <f>'19_Расчет_аналитики'!AK423*'01_Вводные'!$B$14</f>
        <v/>
      </c>
      <c r="AM424">
        <f>'19_Расчет_аналитики'!AL423*'01_Вводные'!$B$14</f>
        <v/>
      </c>
      <c r="AN424">
        <f>'19_Расчет_аналитики'!AM423*'01_Вводные'!$B$14</f>
        <v/>
      </c>
      <c r="AO424">
        <f>'19_Расчет_аналитики'!AN423*'01_Вводные'!$B$14</f>
        <v/>
      </c>
      <c r="AP424">
        <f>'19_Расчет_аналитики'!AO423*'01_Вводные'!$B$14</f>
        <v/>
      </c>
      <c r="AQ424">
        <f>'19_Расчет_аналитики'!AP423*'01_Вводные'!$B$14</f>
        <v/>
      </c>
      <c r="AR424">
        <f>'19_Расчет_аналитики'!AQ423*'01_Вводные'!$B$14</f>
        <v/>
      </c>
      <c r="AS424">
        <f>'19_Расчет_аналитики'!AR423*'01_Вводные'!$B$14</f>
        <v/>
      </c>
      <c r="AT424">
        <f>'19_Расчет_аналитики'!AS423*'01_Вводные'!$B$14</f>
        <v/>
      </c>
      <c r="AU424">
        <f>'19_Расчет_аналитики'!AT423*'01_Вводные'!$B$14</f>
        <v/>
      </c>
      <c r="AV424">
        <f>'19_Расчет_аналитики'!AU423*'01_Вводные'!$B$14</f>
        <v/>
      </c>
      <c r="AW424">
        <f>'19_Расчет_аналитики'!AV423*'01_Вводные'!$B$14</f>
        <v/>
      </c>
      <c r="AX424">
        <f>'19_Расчет_аналитики'!AW423*'01_Вводные'!$B$14</f>
        <v/>
      </c>
      <c r="AY424">
        <f>'19_Расчет_аналитики'!AX423*'01_Вводные'!$B$14</f>
        <v/>
      </c>
      <c r="AZ424">
        <f>'19_Расчет_аналитики'!AY423*'01_Вводные'!$B$14</f>
        <v/>
      </c>
      <c r="BA424">
        <f>'19_Расчет_аналитики'!AZ423*'01_Вводные'!$B$14</f>
        <v/>
      </c>
      <c r="BB424">
        <f>'19_Расчет_аналитики'!BA423*'01_Вводные'!$B$14</f>
        <v/>
      </c>
      <c r="BC424">
        <f>'19_Расчет_аналитики'!BB423*'01_Вводные'!$B$14</f>
        <v/>
      </c>
      <c r="BD424">
        <f>'19_Расчет_аналитики'!BC423*'01_Вводные'!$B$14</f>
        <v/>
      </c>
      <c r="BE424">
        <f>'19_Расчет_аналитики'!BD423*'01_Вводные'!$B$14</f>
        <v/>
      </c>
      <c r="BF424">
        <f>'19_Расчет_аналитики'!BE423*'01_Вводные'!$B$14</f>
        <v/>
      </c>
      <c r="BG424">
        <f>'19_Расчет_аналитики'!BF423*'01_Вводные'!$B$14</f>
        <v/>
      </c>
      <c r="BH424">
        <f>'19_Расчет_аналитики'!BG423*'01_Вводные'!$B$14</f>
        <v/>
      </c>
      <c r="BI424">
        <f>'19_Расчет_аналитики'!BH423*'01_Вводные'!$B$14</f>
        <v/>
      </c>
      <c r="BJ424">
        <f>'19_Расчет_аналитики'!BI423*'01_Вводные'!$B$14</f>
        <v/>
      </c>
      <c r="BK424">
        <f>'19_Расчет_аналитики'!BJ423*'01_Вводные'!$B$14</f>
        <v/>
      </c>
      <c r="BL424">
        <f>'19_Расчет_аналитики'!BK423*'01_Вводные'!$B$14</f>
        <v/>
      </c>
      <c r="BM424">
        <f>'19_Расчет_аналитики'!BL423*'01_Вводные'!$B$14</f>
        <v/>
      </c>
      <c r="BN424">
        <f>'19_Расчет_аналитики'!BM423*'01_Вводные'!$B$14</f>
        <v/>
      </c>
      <c r="BO424">
        <f>'19_Расчет_аналитики'!BN423*'01_Вводные'!$B$14</f>
        <v/>
      </c>
    </row>
    <row r="425">
      <c r="B425">
        <f>'06_Сеть_и_дети'!B70</f>
        <v/>
      </c>
      <c r="C425">
        <f>'06_Сеть_и_дети'!C70</f>
        <v/>
      </c>
      <c r="D425">
        <f>'06_Сеть_и_дети'!D70</f>
        <v/>
      </c>
      <c r="E425">
        <f>'06_Сеть_и_дети'!E70</f>
        <v/>
      </c>
      <c r="F425">
        <f>'06_Сеть_и_дети'!F70</f>
        <v/>
      </c>
      <c r="G425">
        <f>'06_Сеть_и_дети'!G70</f>
        <v/>
      </c>
      <c r="H425">
        <f>'06_Сеть_и_дети'!H70</f>
        <v/>
      </c>
      <c r="I425">
        <f>'06_Сеть_и_дети'!I70</f>
        <v/>
      </c>
      <c r="J425">
        <f>'06_Сеть_и_дети'!J70</f>
        <v/>
      </c>
      <c r="K425">
        <f>'06_Сеть_и_дети'!K70</f>
        <v/>
      </c>
      <c r="L425">
        <f>'06_Сеть_и_дети'!L70</f>
        <v/>
      </c>
      <c r="M425">
        <f>'06_Сеть_и_дети'!M70</f>
        <v/>
      </c>
      <c r="N425">
        <f>'06_Сеть_и_дети'!N70</f>
        <v/>
      </c>
      <c r="O425">
        <f>'06_Сеть_и_дети'!O70</f>
        <v/>
      </c>
      <c r="P425">
        <f>'06_Сеть_и_дети'!P70</f>
        <v/>
      </c>
      <c r="Q425">
        <f>'06_Сеть_и_дети'!Q70</f>
        <v/>
      </c>
      <c r="R425">
        <f>'06_Сеть_и_дети'!R70</f>
        <v/>
      </c>
      <c r="S425">
        <f>'19_Расчет_аналитики'!R424*'01_Вводные'!$B$14</f>
        <v/>
      </c>
      <c r="T425">
        <f>'19_Расчет_аналитики'!S424*'01_Вводные'!$B$14</f>
        <v/>
      </c>
      <c r="U425">
        <f>'19_Расчет_аналитики'!T424*'01_Вводные'!$B$14</f>
        <v/>
      </c>
      <c r="V425">
        <f>'19_Расчет_аналитики'!U424*'01_Вводные'!$B$14</f>
        <v/>
      </c>
      <c r="W425">
        <f>'19_Расчет_аналитики'!V424*'01_Вводные'!$B$14</f>
        <v/>
      </c>
      <c r="X425">
        <f>'19_Расчет_аналитики'!W424*'01_Вводные'!$B$14</f>
        <v/>
      </c>
      <c r="Y425">
        <f>'19_Расчет_аналитики'!X424*'01_Вводные'!$B$14</f>
        <v/>
      </c>
      <c r="Z425">
        <f>'19_Расчет_аналитики'!Y424*'01_Вводные'!$B$14</f>
        <v/>
      </c>
      <c r="AA425">
        <f>'19_Расчет_аналитики'!Z424*'01_Вводные'!$B$14</f>
        <v/>
      </c>
      <c r="AB425">
        <f>'19_Расчет_аналитики'!AA424*'01_Вводные'!$B$14</f>
        <v/>
      </c>
      <c r="AC425">
        <f>'19_Расчет_аналитики'!AB424*'01_Вводные'!$B$14</f>
        <v/>
      </c>
      <c r="AD425">
        <f>'19_Расчет_аналитики'!AC424*'01_Вводные'!$B$14</f>
        <v/>
      </c>
      <c r="AE425">
        <f>'19_Расчет_аналитики'!AD424*'01_Вводные'!$B$14</f>
        <v/>
      </c>
      <c r="AF425">
        <f>'19_Расчет_аналитики'!AE424*'01_Вводные'!$B$14</f>
        <v/>
      </c>
      <c r="AG425">
        <f>'19_Расчет_аналитики'!AF424*'01_Вводные'!$B$14</f>
        <v/>
      </c>
      <c r="AH425">
        <f>'19_Расчет_аналитики'!AG424*'01_Вводные'!$B$14</f>
        <v/>
      </c>
      <c r="AI425">
        <f>'19_Расчет_аналитики'!AH424*'01_Вводные'!$B$14</f>
        <v/>
      </c>
      <c r="AJ425">
        <f>'19_Расчет_аналитики'!AI424*'01_Вводные'!$B$14</f>
        <v/>
      </c>
      <c r="AK425">
        <f>'19_Расчет_аналитики'!AJ424*'01_Вводные'!$B$14</f>
        <v/>
      </c>
      <c r="AL425">
        <f>'19_Расчет_аналитики'!AK424*'01_Вводные'!$B$14</f>
        <v/>
      </c>
      <c r="AM425">
        <f>'19_Расчет_аналитики'!AL424*'01_Вводные'!$B$14</f>
        <v/>
      </c>
      <c r="AN425">
        <f>'19_Расчет_аналитики'!AM424*'01_Вводные'!$B$14</f>
        <v/>
      </c>
      <c r="AO425">
        <f>'19_Расчет_аналитики'!AN424*'01_Вводные'!$B$14</f>
        <v/>
      </c>
      <c r="AP425">
        <f>'19_Расчет_аналитики'!AO424*'01_Вводные'!$B$14</f>
        <v/>
      </c>
      <c r="AQ425">
        <f>'19_Расчет_аналитики'!AP424*'01_Вводные'!$B$14</f>
        <v/>
      </c>
      <c r="AR425">
        <f>'19_Расчет_аналитики'!AQ424*'01_Вводные'!$B$14</f>
        <v/>
      </c>
      <c r="AS425">
        <f>'19_Расчет_аналитики'!AR424*'01_Вводные'!$B$14</f>
        <v/>
      </c>
      <c r="AT425">
        <f>'19_Расчет_аналитики'!AS424*'01_Вводные'!$B$14</f>
        <v/>
      </c>
      <c r="AU425">
        <f>'19_Расчет_аналитики'!AT424*'01_Вводные'!$B$14</f>
        <v/>
      </c>
      <c r="AV425">
        <f>'19_Расчет_аналитики'!AU424*'01_Вводные'!$B$14</f>
        <v/>
      </c>
      <c r="AW425">
        <f>'19_Расчет_аналитики'!AV424*'01_Вводные'!$B$14</f>
        <v/>
      </c>
      <c r="AX425">
        <f>'19_Расчет_аналитики'!AW424*'01_Вводные'!$B$14</f>
        <v/>
      </c>
      <c r="AY425">
        <f>'19_Расчет_аналитики'!AX424*'01_Вводные'!$B$14</f>
        <v/>
      </c>
      <c r="AZ425">
        <f>'19_Расчет_аналитики'!AY424*'01_Вводные'!$B$14</f>
        <v/>
      </c>
      <c r="BA425">
        <f>'19_Расчет_аналитики'!AZ424*'01_Вводные'!$B$14</f>
        <v/>
      </c>
      <c r="BB425">
        <f>'19_Расчет_аналитики'!BA424*'01_Вводные'!$B$14</f>
        <v/>
      </c>
      <c r="BC425">
        <f>'19_Расчет_аналитики'!BB424*'01_Вводные'!$B$14</f>
        <v/>
      </c>
      <c r="BD425">
        <f>'19_Расчет_аналитики'!BC424*'01_Вводные'!$B$14</f>
        <v/>
      </c>
      <c r="BE425">
        <f>'19_Расчет_аналитики'!BD424*'01_Вводные'!$B$14</f>
        <v/>
      </c>
      <c r="BF425">
        <f>'19_Расчет_аналитики'!BE424*'01_Вводные'!$B$14</f>
        <v/>
      </c>
      <c r="BG425">
        <f>'19_Расчет_аналитики'!BF424*'01_Вводные'!$B$14</f>
        <v/>
      </c>
      <c r="BH425">
        <f>'19_Расчет_аналитики'!BG424*'01_Вводные'!$B$14</f>
        <v/>
      </c>
      <c r="BI425">
        <f>'19_Расчет_аналитики'!BH424*'01_Вводные'!$B$14</f>
        <v/>
      </c>
      <c r="BJ425">
        <f>'19_Расчет_аналитики'!BI424*'01_Вводные'!$B$14</f>
        <v/>
      </c>
      <c r="BK425">
        <f>'19_Расчет_аналитики'!BJ424*'01_Вводные'!$B$14</f>
        <v/>
      </c>
      <c r="BL425">
        <f>'19_Расчет_аналитики'!BK424*'01_Вводные'!$B$14</f>
        <v/>
      </c>
      <c r="BM425">
        <f>'19_Расчет_аналитики'!BL424*'01_Вводные'!$B$14</f>
        <v/>
      </c>
      <c r="BN425">
        <f>'19_Расчет_аналитики'!BM424*'01_Вводные'!$B$14</f>
        <v/>
      </c>
      <c r="BO425">
        <f>'19_Расчет_аналитики'!BN424*'01_Вводные'!$B$14</f>
        <v/>
      </c>
    </row>
    <row r="426">
      <c r="B426">
        <f>'06_Сеть_и_дети'!B71</f>
        <v/>
      </c>
      <c r="C426">
        <f>'06_Сеть_и_дети'!C71</f>
        <v/>
      </c>
      <c r="D426">
        <f>'06_Сеть_и_дети'!D71</f>
        <v/>
      </c>
      <c r="E426">
        <f>'06_Сеть_и_дети'!E71</f>
        <v/>
      </c>
      <c r="F426">
        <f>'06_Сеть_и_дети'!F71</f>
        <v/>
      </c>
      <c r="G426">
        <f>'06_Сеть_и_дети'!G71</f>
        <v/>
      </c>
      <c r="H426">
        <f>'06_Сеть_и_дети'!H71</f>
        <v/>
      </c>
      <c r="I426">
        <f>'06_Сеть_и_дети'!I71</f>
        <v/>
      </c>
      <c r="J426">
        <f>'06_Сеть_и_дети'!J71</f>
        <v/>
      </c>
      <c r="K426">
        <f>'06_Сеть_и_дети'!K71</f>
        <v/>
      </c>
      <c r="L426">
        <f>'06_Сеть_и_дети'!L71</f>
        <v/>
      </c>
      <c r="M426">
        <f>'06_Сеть_и_дети'!M71</f>
        <v/>
      </c>
      <c r="N426">
        <f>'06_Сеть_и_дети'!N71</f>
        <v/>
      </c>
      <c r="O426">
        <f>'06_Сеть_и_дети'!O71</f>
        <v/>
      </c>
      <c r="P426">
        <f>'06_Сеть_и_дети'!P71</f>
        <v/>
      </c>
      <c r="Q426">
        <f>'06_Сеть_и_дети'!Q71</f>
        <v/>
      </c>
      <c r="R426">
        <f>'06_Сеть_и_дети'!R71</f>
        <v/>
      </c>
      <c r="S426">
        <f>'06_Сеть_и_дети'!S71</f>
        <v/>
      </c>
      <c r="T426">
        <f>'19_Расчет_аналитики'!S425*'01_Вводные'!$B$14</f>
        <v/>
      </c>
      <c r="U426">
        <f>'19_Расчет_аналитики'!T425*'01_Вводные'!$B$14</f>
        <v/>
      </c>
      <c r="V426">
        <f>'19_Расчет_аналитики'!U425*'01_Вводные'!$B$14</f>
        <v/>
      </c>
      <c r="W426">
        <f>'19_Расчет_аналитики'!V425*'01_Вводные'!$B$14</f>
        <v/>
      </c>
      <c r="X426">
        <f>'19_Расчет_аналитики'!W425*'01_Вводные'!$B$14</f>
        <v/>
      </c>
      <c r="Y426">
        <f>'19_Расчет_аналитики'!X425*'01_Вводные'!$B$14</f>
        <v/>
      </c>
      <c r="Z426">
        <f>'19_Расчет_аналитики'!Y425*'01_Вводные'!$B$14</f>
        <v/>
      </c>
      <c r="AA426">
        <f>'19_Расчет_аналитики'!Z425*'01_Вводные'!$B$14</f>
        <v/>
      </c>
      <c r="AB426">
        <f>'19_Расчет_аналитики'!AA425*'01_Вводные'!$B$14</f>
        <v/>
      </c>
      <c r="AC426">
        <f>'19_Расчет_аналитики'!AB425*'01_Вводные'!$B$14</f>
        <v/>
      </c>
      <c r="AD426">
        <f>'19_Расчет_аналитики'!AC425*'01_Вводные'!$B$14</f>
        <v/>
      </c>
      <c r="AE426">
        <f>'19_Расчет_аналитики'!AD425*'01_Вводные'!$B$14</f>
        <v/>
      </c>
      <c r="AF426">
        <f>'19_Расчет_аналитики'!AE425*'01_Вводные'!$B$14</f>
        <v/>
      </c>
      <c r="AG426">
        <f>'19_Расчет_аналитики'!AF425*'01_Вводные'!$B$14</f>
        <v/>
      </c>
      <c r="AH426">
        <f>'19_Расчет_аналитики'!AG425*'01_Вводные'!$B$14</f>
        <v/>
      </c>
      <c r="AI426">
        <f>'19_Расчет_аналитики'!AH425*'01_Вводные'!$B$14</f>
        <v/>
      </c>
      <c r="AJ426">
        <f>'19_Расчет_аналитики'!AI425*'01_Вводные'!$B$14</f>
        <v/>
      </c>
      <c r="AK426">
        <f>'19_Расчет_аналитики'!AJ425*'01_Вводные'!$B$14</f>
        <v/>
      </c>
      <c r="AL426">
        <f>'19_Расчет_аналитики'!AK425*'01_Вводные'!$B$14</f>
        <v/>
      </c>
      <c r="AM426">
        <f>'19_Расчет_аналитики'!AL425*'01_Вводные'!$B$14</f>
        <v/>
      </c>
      <c r="AN426">
        <f>'19_Расчет_аналитики'!AM425*'01_Вводные'!$B$14</f>
        <v/>
      </c>
      <c r="AO426">
        <f>'19_Расчет_аналитики'!AN425*'01_Вводные'!$B$14</f>
        <v/>
      </c>
      <c r="AP426">
        <f>'19_Расчет_аналитики'!AO425*'01_Вводные'!$B$14</f>
        <v/>
      </c>
      <c r="AQ426">
        <f>'19_Расчет_аналитики'!AP425*'01_Вводные'!$B$14</f>
        <v/>
      </c>
      <c r="AR426">
        <f>'19_Расчет_аналитики'!AQ425*'01_Вводные'!$B$14</f>
        <v/>
      </c>
      <c r="AS426">
        <f>'19_Расчет_аналитики'!AR425*'01_Вводные'!$B$14</f>
        <v/>
      </c>
      <c r="AT426">
        <f>'19_Расчет_аналитики'!AS425*'01_Вводные'!$B$14</f>
        <v/>
      </c>
      <c r="AU426">
        <f>'19_Расчет_аналитики'!AT425*'01_Вводные'!$B$14</f>
        <v/>
      </c>
      <c r="AV426">
        <f>'19_Расчет_аналитики'!AU425*'01_Вводные'!$B$14</f>
        <v/>
      </c>
      <c r="AW426">
        <f>'19_Расчет_аналитики'!AV425*'01_Вводные'!$B$14</f>
        <v/>
      </c>
      <c r="AX426">
        <f>'19_Расчет_аналитики'!AW425*'01_Вводные'!$B$14</f>
        <v/>
      </c>
      <c r="AY426">
        <f>'19_Расчет_аналитики'!AX425*'01_Вводные'!$B$14</f>
        <v/>
      </c>
      <c r="AZ426">
        <f>'19_Расчет_аналитики'!AY425*'01_Вводные'!$B$14</f>
        <v/>
      </c>
      <c r="BA426">
        <f>'19_Расчет_аналитики'!AZ425*'01_Вводные'!$B$14</f>
        <v/>
      </c>
      <c r="BB426">
        <f>'19_Расчет_аналитики'!BA425*'01_Вводные'!$B$14</f>
        <v/>
      </c>
      <c r="BC426">
        <f>'19_Расчет_аналитики'!BB425*'01_Вводные'!$B$14</f>
        <v/>
      </c>
      <c r="BD426">
        <f>'19_Расчет_аналитики'!BC425*'01_Вводные'!$B$14</f>
        <v/>
      </c>
      <c r="BE426">
        <f>'19_Расчет_аналитики'!BD425*'01_Вводные'!$B$14</f>
        <v/>
      </c>
      <c r="BF426">
        <f>'19_Расчет_аналитики'!BE425*'01_Вводные'!$B$14</f>
        <v/>
      </c>
      <c r="BG426">
        <f>'19_Расчет_аналитики'!BF425*'01_Вводные'!$B$14</f>
        <v/>
      </c>
      <c r="BH426">
        <f>'19_Расчет_аналитики'!BG425*'01_Вводные'!$B$14</f>
        <v/>
      </c>
      <c r="BI426">
        <f>'19_Расчет_аналитики'!BH425*'01_Вводные'!$B$14</f>
        <v/>
      </c>
      <c r="BJ426">
        <f>'19_Расчет_аналитики'!BI425*'01_Вводные'!$B$14</f>
        <v/>
      </c>
      <c r="BK426">
        <f>'19_Расчет_аналитики'!BJ425*'01_Вводные'!$B$14</f>
        <v/>
      </c>
      <c r="BL426">
        <f>'19_Расчет_аналитики'!BK425*'01_Вводные'!$B$14</f>
        <v/>
      </c>
      <c r="BM426">
        <f>'19_Расчет_аналитики'!BL425*'01_Вводные'!$B$14</f>
        <v/>
      </c>
      <c r="BN426">
        <f>'19_Расчет_аналитики'!BM425*'01_Вводные'!$B$14</f>
        <v/>
      </c>
      <c r="BO426">
        <f>'19_Расчет_аналитики'!BN425*'01_Вводные'!$B$14</f>
        <v/>
      </c>
    </row>
    <row r="427">
      <c r="B427">
        <f>'06_Сеть_и_дети'!B72</f>
        <v/>
      </c>
      <c r="C427">
        <f>'06_Сеть_и_дети'!C72</f>
        <v/>
      </c>
      <c r="D427">
        <f>'06_Сеть_и_дети'!D72</f>
        <v/>
      </c>
      <c r="E427">
        <f>'06_Сеть_и_дети'!E72</f>
        <v/>
      </c>
      <c r="F427">
        <f>'06_Сеть_и_дети'!F72</f>
        <v/>
      </c>
      <c r="G427">
        <f>'06_Сеть_и_дети'!G72</f>
        <v/>
      </c>
      <c r="H427">
        <f>'06_Сеть_и_дети'!H72</f>
        <v/>
      </c>
      <c r="I427">
        <f>'06_Сеть_и_дети'!I72</f>
        <v/>
      </c>
      <c r="J427">
        <f>'06_Сеть_и_дети'!J72</f>
        <v/>
      </c>
      <c r="K427">
        <f>'06_Сеть_и_дети'!K72</f>
        <v/>
      </c>
      <c r="L427">
        <f>'06_Сеть_и_дети'!L72</f>
        <v/>
      </c>
      <c r="M427">
        <f>'06_Сеть_и_дети'!M72</f>
        <v/>
      </c>
      <c r="N427">
        <f>'06_Сеть_и_дети'!N72</f>
        <v/>
      </c>
      <c r="O427">
        <f>'06_Сеть_и_дети'!O72</f>
        <v/>
      </c>
      <c r="P427">
        <f>'06_Сеть_и_дети'!P72</f>
        <v/>
      </c>
      <c r="Q427">
        <f>'06_Сеть_и_дети'!Q72</f>
        <v/>
      </c>
      <c r="R427">
        <f>'06_Сеть_и_дети'!R72</f>
        <v/>
      </c>
      <c r="S427">
        <f>'06_Сеть_и_дети'!S72</f>
        <v/>
      </c>
      <c r="T427">
        <f>'06_Сеть_и_дети'!T72</f>
        <v/>
      </c>
      <c r="U427">
        <f>'19_Расчет_аналитики'!T426*'01_Вводные'!$B$14</f>
        <v/>
      </c>
      <c r="V427">
        <f>'19_Расчет_аналитики'!U426*'01_Вводные'!$B$14</f>
        <v/>
      </c>
      <c r="W427">
        <f>'19_Расчет_аналитики'!V426*'01_Вводные'!$B$14</f>
        <v/>
      </c>
      <c r="X427">
        <f>'19_Расчет_аналитики'!W426*'01_Вводные'!$B$14</f>
        <v/>
      </c>
      <c r="Y427">
        <f>'19_Расчет_аналитики'!X426*'01_Вводные'!$B$14</f>
        <v/>
      </c>
      <c r="Z427">
        <f>'19_Расчет_аналитики'!Y426*'01_Вводные'!$B$14</f>
        <v/>
      </c>
      <c r="AA427">
        <f>'19_Расчет_аналитики'!Z426*'01_Вводные'!$B$14</f>
        <v/>
      </c>
      <c r="AB427">
        <f>'19_Расчет_аналитики'!AA426*'01_Вводные'!$B$14</f>
        <v/>
      </c>
      <c r="AC427">
        <f>'19_Расчет_аналитики'!AB426*'01_Вводные'!$B$14</f>
        <v/>
      </c>
      <c r="AD427">
        <f>'19_Расчет_аналитики'!AC426*'01_Вводные'!$B$14</f>
        <v/>
      </c>
      <c r="AE427">
        <f>'19_Расчет_аналитики'!AD426*'01_Вводные'!$B$14</f>
        <v/>
      </c>
      <c r="AF427">
        <f>'19_Расчет_аналитики'!AE426*'01_Вводные'!$B$14</f>
        <v/>
      </c>
      <c r="AG427">
        <f>'19_Расчет_аналитики'!AF426*'01_Вводные'!$B$14</f>
        <v/>
      </c>
      <c r="AH427">
        <f>'19_Расчет_аналитики'!AG426*'01_Вводные'!$B$14</f>
        <v/>
      </c>
      <c r="AI427">
        <f>'19_Расчет_аналитики'!AH426*'01_Вводные'!$B$14</f>
        <v/>
      </c>
      <c r="AJ427">
        <f>'19_Расчет_аналитики'!AI426*'01_Вводные'!$B$14</f>
        <v/>
      </c>
      <c r="AK427">
        <f>'19_Расчет_аналитики'!AJ426*'01_Вводные'!$B$14</f>
        <v/>
      </c>
      <c r="AL427">
        <f>'19_Расчет_аналитики'!AK426*'01_Вводные'!$B$14</f>
        <v/>
      </c>
      <c r="AM427">
        <f>'19_Расчет_аналитики'!AL426*'01_Вводные'!$B$14</f>
        <v/>
      </c>
      <c r="AN427">
        <f>'19_Расчет_аналитики'!AM426*'01_Вводные'!$B$14</f>
        <v/>
      </c>
      <c r="AO427">
        <f>'19_Расчет_аналитики'!AN426*'01_Вводные'!$B$14</f>
        <v/>
      </c>
      <c r="AP427">
        <f>'19_Расчет_аналитики'!AO426*'01_Вводные'!$B$14</f>
        <v/>
      </c>
      <c r="AQ427">
        <f>'19_Расчет_аналитики'!AP426*'01_Вводные'!$B$14</f>
        <v/>
      </c>
      <c r="AR427">
        <f>'19_Расчет_аналитики'!AQ426*'01_Вводные'!$B$14</f>
        <v/>
      </c>
      <c r="AS427">
        <f>'19_Расчет_аналитики'!AR426*'01_Вводные'!$B$14</f>
        <v/>
      </c>
      <c r="AT427">
        <f>'19_Расчет_аналитики'!AS426*'01_Вводные'!$B$14</f>
        <v/>
      </c>
      <c r="AU427">
        <f>'19_Расчет_аналитики'!AT426*'01_Вводные'!$B$14</f>
        <v/>
      </c>
      <c r="AV427">
        <f>'19_Расчет_аналитики'!AU426*'01_Вводные'!$B$14</f>
        <v/>
      </c>
      <c r="AW427">
        <f>'19_Расчет_аналитики'!AV426*'01_Вводные'!$B$14</f>
        <v/>
      </c>
      <c r="AX427">
        <f>'19_Расчет_аналитики'!AW426*'01_Вводные'!$B$14</f>
        <v/>
      </c>
      <c r="AY427">
        <f>'19_Расчет_аналитики'!AX426*'01_Вводные'!$B$14</f>
        <v/>
      </c>
      <c r="AZ427">
        <f>'19_Расчет_аналитики'!AY426*'01_Вводные'!$B$14</f>
        <v/>
      </c>
      <c r="BA427">
        <f>'19_Расчет_аналитики'!AZ426*'01_Вводные'!$B$14</f>
        <v/>
      </c>
      <c r="BB427">
        <f>'19_Расчет_аналитики'!BA426*'01_Вводные'!$B$14</f>
        <v/>
      </c>
      <c r="BC427">
        <f>'19_Расчет_аналитики'!BB426*'01_Вводные'!$B$14</f>
        <v/>
      </c>
      <c r="BD427">
        <f>'19_Расчет_аналитики'!BC426*'01_Вводные'!$B$14</f>
        <v/>
      </c>
      <c r="BE427">
        <f>'19_Расчет_аналитики'!BD426*'01_Вводные'!$B$14</f>
        <v/>
      </c>
      <c r="BF427">
        <f>'19_Расчет_аналитики'!BE426*'01_Вводные'!$B$14</f>
        <v/>
      </c>
      <c r="BG427">
        <f>'19_Расчет_аналитики'!BF426*'01_Вводные'!$B$14</f>
        <v/>
      </c>
      <c r="BH427">
        <f>'19_Расчет_аналитики'!BG426*'01_Вводные'!$B$14</f>
        <v/>
      </c>
      <c r="BI427">
        <f>'19_Расчет_аналитики'!BH426*'01_Вводные'!$B$14</f>
        <v/>
      </c>
      <c r="BJ427">
        <f>'19_Расчет_аналитики'!BI426*'01_Вводные'!$B$14</f>
        <v/>
      </c>
      <c r="BK427">
        <f>'19_Расчет_аналитики'!BJ426*'01_Вводные'!$B$14</f>
        <v/>
      </c>
      <c r="BL427">
        <f>'19_Расчет_аналитики'!BK426*'01_Вводные'!$B$14</f>
        <v/>
      </c>
      <c r="BM427">
        <f>'19_Расчет_аналитики'!BL426*'01_Вводные'!$B$14</f>
        <v/>
      </c>
      <c r="BN427">
        <f>'19_Расчет_аналитики'!BM426*'01_Вводные'!$B$14</f>
        <v/>
      </c>
      <c r="BO427">
        <f>'19_Расчет_аналитики'!BN426*'01_Вводные'!$B$14</f>
        <v/>
      </c>
    </row>
    <row r="428">
      <c r="B428">
        <f>'06_Сеть_и_дети'!B73</f>
        <v/>
      </c>
      <c r="C428">
        <f>'06_Сеть_и_дети'!C73</f>
        <v/>
      </c>
      <c r="D428">
        <f>'06_Сеть_и_дети'!D73</f>
        <v/>
      </c>
      <c r="E428">
        <f>'06_Сеть_и_дети'!E73</f>
        <v/>
      </c>
      <c r="F428">
        <f>'06_Сеть_и_дети'!F73</f>
        <v/>
      </c>
      <c r="G428">
        <f>'06_Сеть_и_дети'!G73</f>
        <v/>
      </c>
      <c r="H428">
        <f>'06_Сеть_и_дети'!H73</f>
        <v/>
      </c>
      <c r="I428">
        <f>'06_Сеть_и_дети'!I73</f>
        <v/>
      </c>
      <c r="J428">
        <f>'06_Сеть_и_дети'!J73</f>
        <v/>
      </c>
      <c r="K428">
        <f>'06_Сеть_и_дети'!K73</f>
        <v/>
      </c>
      <c r="L428">
        <f>'06_Сеть_и_дети'!L73</f>
        <v/>
      </c>
      <c r="M428">
        <f>'06_Сеть_и_дети'!M73</f>
        <v/>
      </c>
      <c r="N428">
        <f>'06_Сеть_и_дети'!N73</f>
        <v/>
      </c>
      <c r="O428">
        <f>'06_Сеть_и_дети'!O73</f>
        <v/>
      </c>
      <c r="P428">
        <f>'06_Сеть_и_дети'!P73</f>
        <v/>
      </c>
      <c r="Q428">
        <f>'06_Сеть_и_дети'!Q73</f>
        <v/>
      </c>
      <c r="R428">
        <f>'06_Сеть_и_дети'!R73</f>
        <v/>
      </c>
      <c r="S428">
        <f>'06_Сеть_и_дети'!S73</f>
        <v/>
      </c>
      <c r="T428">
        <f>'06_Сеть_и_дети'!T73</f>
        <v/>
      </c>
      <c r="U428">
        <f>'06_Сеть_и_дети'!U73</f>
        <v/>
      </c>
      <c r="V428">
        <f>'19_Расчет_аналитики'!U427*'01_Вводные'!$B$14</f>
        <v/>
      </c>
      <c r="W428">
        <f>'19_Расчет_аналитики'!V427*'01_Вводные'!$B$14</f>
        <v/>
      </c>
      <c r="X428">
        <f>'19_Расчет_аналитики'!W427*'01_Вводные'!$B$14</f>
        <v/>
      </c>
      <c r="Y428">
        <f>'19_Расчет_аналитики'!X427*'01_Вводные'!$B$14</f>
        <v/>
      </c>
      <c r="Z428">
        <f>'19_Расчет_аналитики'!Y427*'01_Вводные'!$B$14</f>
        <v/>
      </c>
      <c r="AA428">
        <f>'19_Расчет_аналитики'!Z427*'01_Вводные'!$B$14</f>
        <v/>
      </c>
      <c r="AB428">
        <f>'19_Расчет_аналитики'!AA427*'01_Вводные'!$B$14</f>
        <v/>
      </c>
      <c r="AC428">
        <f>'19_Расчет_аналитики'!AB427*'01_Вводные'!$B$14</f>
        <v/>
      </c>
      <c r="AD428">
        <f>'19_Расчет_аналитики'!AC427*'01_Вводные'!$B$14</f>
        <v/>
      </c>
      <c r="AE428">
        <f>'19_Расчет_аналитики'!AD427*'01_Вводные'!$B$14</f>
        <v/>
      </c>
      <c r="AF428">
        <f>'19_Расчет_аналитики'!AE427*'01_Вводные'!$B$14</f>
        <v/>
      </c>
      <c r="AG428">
        <f>'19_Расчет_аналитики'!AF427*'01_Вводные'!$B$14</f>
        <v/>
      </c>
      <c r="AH428">
        <f>'19_Расчет_аналитики'!AG427*'01_Вводные'!$B$14</f>
        <v/>
      </c>
      <c r="AI428">
        <f>'19_Расчет_аналитики'!AH427*'01_Вводные'!$B$14</f>
        <v/>
      </c>
      <c r="AJ428">
        <f>'19_Расчет_аналитики'!AI427*'01_Вводные'!$B$14</f>
        <v/>
      </c>
      <c r="AK428">
        <f>'19_Расчет_аналитики'!AJ427*'01_Вводные'!$B$14</f>
        <v/>
      </c>
      <c r="AL428">
        <f>'19_Расчет_аналитики'!AK427*'01_Вводные'!$B$14</f>
        <v/>
      </c>
      <c r="AM428">
        <f>'19_Расчет_аналитики'!AL427*'01_Вводные'!$B$14</f>
        <v/>
      </c>
      <c r="AN428">
        <f>'19_Расчет_аналитики'!AM427*'01_Вводные'!$B$14</f>
        <v/>
      </c>
      <c r="AO428">
        <f>'19_Расчет_аналитики'!AN427*'01_Вводные'!$B$14</f>
        <v/>
      </c>
      <c r="AP428">
        <f>'19_Расчет_аналитики'!AO427*'01_Вводные'!$B$14</f>
        <v/>
      </c>
      <c r="AQ428">
        <f>'19_Расчет_аналитики'!AP427*'01_Вводные'!$B$14</f>
        <v/>
      </c>
      <c r="AR428">
        <f>'19_Расчет_аналитики'!AQ427*'01_Вводные'!$B$14</f>
        <v/>
      </c>
      <c r="AS428">
        <f>'19_Расчет_аналитики'!AR427*'01_Вводные'!$B$14</f>
        <v/>
      </c>
      <c r="AT428">
        <f>'19_Расчет_аналитики'!AS427*'01_Вводные'!$B$14</f>
        <v/>
      </c>
      <c r="AU428">
        <f>'19_Расчет_аналитики'!AT427*'01_Вводные'!$B$14</f>
        <v/>
      </c>
      <c r="AV428">
        <f>'19_Расчет_аналитики'!AU427*'01_Вводные'!$B$14</f>
        <v/>
      </c>
      <c r="AW428">
        <f>'19_Расчет_аналитики'!AV427*'01_Вводные'!$B$14</f>
        <v/>
      </c>
      <c r="AX428">
        <f>'19_Расчет_аналитики'!AW427*'01_Вводные'!$B$14</f>
        <v/>
      </c>
      <c r="AY428">
        <f>'19_Расчет_аналитики'!AX427*'01_Вводные'!$B$14</f>
        <v/>
      </c>
      <c r="AZ428">
        <f>'19_Расчет_аналитики'!AY427*'01_Вводные'!$B$14</f>
        <v/>
      </c>
      <c r="BA428">
        <f>'19_Расчет_аналитики'!AZ427*'01_Вводные'!$B$14</f>
        <v/>
      </c>
      <c r="BB428">
        <f>'19_Расчет_аналитики'!BA427*'01_Вводные'!$B$14</f>
        <v/>
      </c>
      <c r="BC428">
        <f>'19_Расчет_аналитики'!BB427*'01_Вводные'!$B$14</f>
        <v/>
      </c>
      <c r="BD428">
        <f>'19_Расчет_аналитики'!BC427*'01_Вводные'!$B$14</f>
        <v/>
      </c>
      <c r="BE428">
        <f>'19_Расчет_аналитики'!BD427*'01_Вводные'!$B$14</f>
        <v/>
      </c>
      <c r="BF428">
        <f>'19_Расчет_аналитики'!BE427*'01_Вводные'!$B$14</f>
        <v/>
      </c>
      <c r="BG428">
        <f>'19_Расчет_аналитики'!BF427*'01_Вводные'!$B$14</f>
        <v/>
      </c>
      <c r="BH428">
        <f>'19_Расчет_аналитики'!BG427*'01_Вводные'!$B$14</f>
        <v/>
      </c>
      <c r="BI428">
        <f>'19_Расчет_аналитики'!BH427*'01_Вводные'!$B$14</f>
        <v/>
      </c>
      <c r="BJ428">
        <f>'19_Расчет_аналитики'!BI427*'01_Вводные'!$B$14</f>
        <v/>
      </c>
      <c r="BK428">
        <f>'19_Расчет_аналитики'!BJ427*'01_Вводные'!$B$14</f>
        <v/>
      </c>
      <c r="BL428">
        <f>'19_Расчет_аналитики'!BK427*'01_Вводные'!$B$14</f>
        <v/>
      </c>
      <c r="BM428">
        <f>'19_Расчет_аналитики'!BL427*'01_Вводные'!$B$14</f>
        <v/>
      </c>
      <c r="BN428">
        <f>'19_Расчет_аналитики'!BM427*'01_Вводные'!$B$14</f>
        <v/>
      </c>
      <c r="BO428">
        <f>'19_Расчет_аналитики'!BN427*'01_Вводные'!$B$14</f>
        <v/>
      </c>
    </row>
    <row r="429">
      <c r="B429">
        <f>'06_Сеть_и_дети'!B74</f>
        <v/>
      </c>
      <c r="C429">
        <f>'06_Сеть_и_дети'!C74</f>
        <v/>
      </c>
      <c r="D429">
        <f>'06_Сеть_и_дети'!D74</f>
        <v/>
      </c>
      <c r="E429">
        <f>'06_Сеть_и_дети'!E74</f>
        <v/>
      </c>
      <c r="F429">
        <f>'06_Сеть_и_дети'!F74</f>
        <v/>
      </c>
      <c r="G429">
        <f>'06_Сеть_и_дети'!G74</f>
        <v/>
      </c>
      <c r="H429">
        <f>'06_Сеть_и_дети'!H74</f>
        <v/>
      </c>
      <c r="I429">
        <f>'06_Сеть_и_дети'!I74</f>
        <v/>
      </c>
      <c r="J429">
        <f>'06_Сеть_и_дети'!J74</f>
        <v/>
      </c>
      <c r="K429">
        <f>'06_Сеть_и_дети'!K74</f>
        <v/>
      </c>
      <c r="L429">
        <f>'06_Сеть_и_дети'!L74</f>
        <v/>
      </c>
      <c r="M429">
        <f>'06_Сеть_и_дети'!M74</f>
        <v/>
      </c>
      <c r="N429">
        <f>'06_Сеть_и_дети'!N74</f>
        <v/>
      </c>
      <c r="O429">
        <f>'06_Сеть_и_дети'!O74</f>
        <v/>
      </c>
      <c r="P429">
        <f>'06_Сеть_и_дети'!P74</f>
        <v/>
      </c>
      <c r="Q429">
        <f>'06_Сеть_и_дети'!Q74</f>
        <v/>
      </c>
      <c r="R429">
        <f>'06_Сеть_и_дети'!R74</f>
        <v/>
      </c>
      <c r="S429">
        <f>'06_Сеть_и_дети'!S74</f>
        <v/>
      </c>
      <c r="T429">
        <f>'06_Сеть_и_дети'!T74</f>
        <v/>
      </c>
      <c r="U429">
        <f>'06_Сеть_и_дети'!U74</f>
        <v/>
      </c>
      <c r="V429">
        <f>'06_Сеть_и_дети'!V74</f>
        <v/>
      </c>
      <c r="W429">
        <f>'19_Расчет_аналитики'!V428*'01_Вводные'!$B$14</f>
        <v/>
      </c>
      <c r="X429">
        <f>'19_Расчет_аналитики'!W428*'01_Вводные'!$B$14</f>
        <v/>
      </c>
      <c r="Y429">
        <f>'19_Расчет_аналитики'!X428*'01_Вводные'!$B$14</f>
        <v/>
      </c>
      <c r="Z429">
        <f>'19_Расчет_аналитики'!Y428*'01_Вводные'!$B$14</f>
        <v/>
      </c>
      <c r="AA429">
        <f>'19_Расчет_аналитики'!Z428*'01_Вводные'!$B$14</f>
        <v/>
      </c>
      <c r="AB429">
        <f>'19_Расчет_аналитики'!AA428*'01_Вводные'!$B$14</f>
        <v/>
      </c>
      <c r="AC429">
        <f>'19_Расчет_аналитики'!AB428*'01_Вводные'!$B$14</f>
        <v/>
      </c>
      <c r="AD429">
        <f>'19_Расчет_аналитики'!AC428*'01_Вводные'!$B$14</f>
        <v/>
      </c>
      <c r="AE429">
        <f>'19_Расчет_аналитики'!AD428*'01_Вводные'!$B$14</f>
        <v/>
      </c>
      <c r="AF429">
        <f>'19_Расчет_аналитики'!AE428*'01_Вводные'!$B$14</f>
        <v/>
      </c>
      <c r="AG429">
        <f>'19_Расчет_аналитики'!AF428*'01_Вводные'!$B$14</f>
        <v/>
      </c>
      <c r="AH429">
        <f>'19_Расчет_аналитики'!AG428*'01_Вводные'!$B$14</f>
        <v/>
      </c>
      <c r="AI429">
        <f>'19_Расчет_аналитики'!AH428*'01_Вводные'!$B$14</f>
        <v/>
      </c>
      <c r="AJ429">
        <f>'19_Расчет_аналитики'!AI428*'01_Вводные'!$B$14</f>
        <v/>
      </c>
      <c r="AK429">
        <f>'19_Расчет_аналитики'!AJ428*'01_Вводные'!$B$14</f>
        <v/>
      </c>
      <c r="AL429">
        <f>'19_Расчет_аналитики'!AK428*'01_Вводные'!$B$14</f>
        <v/>
      </c>
      <c r="AM429">
        <f>'19_Расчет_аналитики'!AL428*'01_Вводные'!$B$14</f>
        <v/>
      </c>
      <c r="AN429">
        <f>'19_Расчет_аналитики'!AM428*'01_Вводные'!$B$14</f>
        <v/>
      </c>
      <c r="AO429">
        <f>'19_Расчет_аналитики'!AN428*'01_Вводные'!$B$14</f>
        <v/>
      </c>
      <c r="AP429">
        <f>'19_Расчет_аналитики'!AO428*'01_Вводные'!$B$14</f>
        <v/>
      </c>
      <c r="AQ429">
        <f>'19_Расчет_аналитики'!AP428*'01_Вводные'!$B$14</f>
        <v/>
      </c>
      <c r="AR429">
        <f>'19_Расчет_аналитики'!AQ428*'01_Вводные'!$B$14</f>
        <v/>
      </c>
      <c r="AS429">
        <f>'19_Расчет_аналитики'!AR428*'01_Вводные'!$B$14</f>
        <v/>
      </c>
      <c r="AT429">
        <f>'19_Расчет_аналитики'!AS428*'01_Вводные'!$B$14</f>
        <v/>
      </c>
      <c r="AU429">
        <f>'19_Расчет_аналитики'!AT428*'01_Вводные'!$B$14</f>
        <v/>
      </c>
      <c r="AV429">
        <f>'19_Расчет_аналитики'!AU428*'01_Вводные'!$B$14</f>
        <v/>
      </c>
      <c r="AW429">
        <f>'19_Расчет_аналитики'!AV428*'01_Вводные'!$B$14</f>
        <v/>
      </c>
      <c r="AX429">
        <f>'19_Расчет_аналитики'!AW428*'01_Вводные'!$B$14</f>
        <v/>
      </c>
      <c r="AY429">
        <f>'19_Расчет_аналитики'!AX428*'01_Вводные'!$B$14</f>
        <v/>
      </c>
      <c r="AZ429">
        <f>'19_Расчет_аналитики'!AY428*'01_Вводные'!$B$14</f>
        <v/>
      </c>
      <c r="BA429">
        <f>'19_Расчет_аналитики'!AZ428*'01_Вводные'!$B$14</f>
        <v/>
      </c>
      <c r="BB429">
        <f>'19_Расчет_аналитики'!BA428*'01_Вводные'!$B$14</f>
        <v/>
      </c>
      <c r="BC429">
        <f>'19_Расчет_аналитики'!BB428*'01_Вводные'!$B$14</f>
        <v/>
      </c>
      <c r="BD429">
        <f>'19_Расчет_аналитики'!BC428*'01_Вводные'!$B$14</f>
        <v/>
      </c>
      <c r="BE429">
        <f>'19_Расчет_аналитики'!BD428*'01_Вводные'!$B$14</f>
        <v/>
      </c>
      <c r="BF429">
        <f>'19_Расчет_аналитики'!BE428*'01_Вводные'!$B$14</f>
        <v/>
      </c>
      <c r="BG429">
        <f>'19_Расчет_аналитики'!BF428*'01_Вводные'!$B$14</f>
        <v/>
      </c>
      <c r="BH429">
        <f>'19_Расчет_аналитики'!BG428*'01_Вводные'!$B$14</f>
        <v/>
      </c>
      <c r="BI429">
        <f>'19_Расчет_аналитики'!BH428*'01_Вводные'!$B$14</f>
        <v/>
      </c>
      <c r="BJ429">
        <f>'19_Расчет_аналитики'!BI428*'01_Вводные'!$B$14</f>
        <v/>
      </c>
      <c r="BK429">
        <f>'19_Расчет_аналитики'!BJ428*'01_Вводные'!$B$14</f>
        <v/>
      </c>
      <c r="BL429">
        <f>'19_Расчет_аналитики'!BK428*'01_Вводные'!$B$14</f>
        <v/>
      </c>
      <c r="BM429">
        <f>'19_Расчет_аналитики'!BL428*'01_Вводные'!$B$14</f>
        <v/>
      </c>
      <c r="BN429">
        <f>'19_Расчет_аналитики'!BM428*'01_Вводные'!$B$14</f>
        <v/>
      </c>
      <c r="BO429">
        <f>'19_Расчет_аналитики'!BN428*'01_Вводные'!$B$14</f>
        <v/>
      </c>
    </row>
    <row r="430">
      <c r="B430">
        <f>'06_Сеть_и_дети'!B75</f>
        <v/>
      </c>
      <c r="C430">
        <f>'06_Сеть_и_дети'!C75</f>
        <v/>
      </c>
      <c r="D430">
        <f>'06_Сеть_и_дети'!D75</f>
        <v/>
      </c>
      <c r="E430">
        <f>'06_Сеть_и_дети'!E75</f>
        <v/>
      </c>
      <c r="F430">
        <f>'06_Сеть_и_дети'!F75</f>
        <v/>
      </c>
      <c r="G430">
        <f>'06_Сеть_и_дети'!G75</f>
        <v/>
      </c>
      <c r="H430">
        <f>'06_Сеть_и_дети'!H75</f>
        <v/>
      </c>
      <c r="I430">
        <f>'06_Сеть_и_дети'!I75</f>
        <v/>
      </c>
      <c r="J430">
        <f>'06_Сеть_и_дети'!J75</f>
        <v/>
      </c>
      <c r="K430">
        <f>'06_Сеть_и_дети'!K75</f>
        <v/>
      </c>
      <c r="L430">
        <f>'06_Сеть_и_дети'!L75</f>
        <v/>
      </c>
      <c r="M430">
        <f>'06_Сеть_и_дети'!M75</f>
        <v/>
      </c>
      <c r="N430">
        <f>'06_Сеть_и_дети'!N75</f>
        <v/>
      </c>
      <c r="O430">
        <f>'06_Сеть_и_дети'!O75</f>
        <v/>
      </c>
      <c r="P430">
        <f>'06_Сеть_и_дети'!P75</f>
        <v/>
      </c>
      <c r="Q430">
        <f>'06_Сеть_и_дети'!Q75</f>
        <v/>
      </c>
      <c r="R430">
        <f>'06_Сеть_и_дети'!R75</f>
        <v/>
      </c>
      <c r="S430">
        <f>'06_Сеть_и_дети'!S75</f>
        <v/>
      </c>
      <c r="T430">
        <f>'06_Сеть_и_дети'!T75</f>
        <v/>
      </c>
      <c r="U430">
        <f>'06_Сеть_и_дети'!U75</f>
        <v/>
      </c>
      <c r="V430">
        <f>'06_Сеть_и_дети'!V75</f>
        <v/>
      </c>
      <c r="W430">
        <f>'06_Сеть_и_дети'!W75</f>
        <v/>
      </c>
      <c r="X430">
        <f>'19_Расчет_аналитики'!W429*'01_Вводные'!$B$14</f>
        <v/>
      </c>
      <c r="Y430">
        <f>'19_Расчет_аналитики'!X429*'01_Вводные'!$B$14</f>
        <v/>
      </c>
      <c r="Z430">
        <f>'19_Расчет_аналитики'!Y429*'01_Вводные'!$B$14</f>
        <v/>
      </c>
      <c r="AA430">
        <f>'19_Расчет_аналитики'!Z429*'01_Вводные'!$B$14</f>
        <v/>
      </c>
      <c r="AB430">
        <f>'19_Расчет_аналитики'!AA429*'01_Вводные'!$B$14</f>
        <v/>
      </c>
      <c r="AC430">
        <f>'19_Расчет_аналитики'!AB429*'01_Вводные'!$B$14</f>
        <v/>
      </c>
      <c r="AD430">
        <f>'19_Расчет_аналитики'!AC429*'01_Вводные'!$B$14</f>
        <v/>
      </c>
      <c r="AE430">
        <f>'19_Расчет_аналитики'!AD429*'01_Вводные'!$B$14</f>
        <v/>
      </c>
      <c r="AF430">
        <f>'19_Расчет_аналитики'!AE429*'01_Вводные'!$B$14</f>
        <v/>
      </c>
      <c r="AG430">
        <f>'19_Расчет_аналитики'!AF429*'01_Вводные'!$B$14</f>
        <v/>
      </c>
      <c r="AH430">
        <f>'19_Расчет_аналитики'!AG429*'01_Вводные'!$B$14</f>
        <v/>
      </c>
      <c r="AI430">
        <f>'19_Расчет_аналитики'!AH429*'01_Вводные'!$B$14</f>
        <v/>
      </c>
      <c r="AJ430">
        <f>'19_Расчет_аналитики'!AI429*'01_Вводные'!$B$14</f>
        <v/>
      </c>
      <c r="AK430">
        <f>'19_Расчет_аналитики'!AJ429*'01_Вводные'!$B$14</f>
        <v/>
      </c>
      <c r="AL430">
        <f>'19_Расчет_аналитики'!AK429*'01_Вводные'!$B$14</f>
        <v/>
      </c>
      <c r="AM430">
        <f>'19_Расчет_аналитики'!AL429*'01_Вводные'!$B$14</f>
        <v/>
      </c>
      <c r="AN430">
        <f>'19_Расчет_аналитики'!AM429*'01_Вводные'!$B$14</f>
        <v/>
      </c>
      <c r="AO430">
        <f>'19_Расчет_аналитики'!AN429*'01_Вводные'!$B$14</f>
        <v/>
      </c>
      <c r="AP430">
        <f>'19_Расчет_аналитики'!AO429*'01_Вводные'!$B$14</f>
        <v/>
      </c>
      <c r="AQ430">
        <f>'19_Расчет_аналитики'!AP429*'01_Вводные'!$B$14</f>
        <v/>
      </c>
      <c r="AR430">
        <f>'19_Расчет_аналитики'!AQ429*'01_Вводные'!$B$14</f>
        <v/>
      </c>
      <c r="AS430">
        <f>'19_Расчет_аналитики'!AR429*'01_Вводные'!$B$14</f>
        <v/>
      </c>
      <c r="AT430">
        <f>'19_Расчет_аналитики'!AS429*'01_Вводные'!$B$14</f>
        <v/>
      </c>
      <c r="AU430">
        <f>'19_Расчет_аналитики'!AT429*'01_Вводные'!$B$14</f>
        <v/>
      </c>
      <c r="AV430">
        <f>'19_Расчет_аналитики'!AU429*'01_Вводные'!$B$14</f>
        <v/>
      </c>
      <c r="AW430">
        <f>'19_Расчет_аналитики'!AV429*'01_Вводные'!$B$14</f>
        <v/>
      </c>
      <c r="AX430">
        <f>'19_Расчет_аналитики'!AW429*'01_Вводные'!$B$14</f>
        <v/>
      </c>
      <c r="AY430">
        <f>'19_Расчет_аналитики'!AX429*'01_Вводные'!$B$14</f>
        <v/>
      </c>
      <c r="AZ430">
        <f>'19_Расчет_аналитики'!AY429*'01_Вводные'!$B$14</f>
        <v/>
      </c>
      <c r="BA430">
        <f>'19_Расчет_аналитики'!AZ429*'01_Вводные'!$B$14</f>
        <v/>
      </c>
      <c r="BB430">
        <f>'19_Расчет_аналитики'!BA429*'01_Вводные'!$B$14</f>
        <v/>
      </c>
      <c r="BC430">
        <f>'19_Расчет_аналитики'!BB429*'01_Вводные'!$B$14</f>
        <v/>
      </c>
      <c r="BD430">
        <f>'19_Расчет_аналитики'!BC429*'01_Вводные'!$B$14</f>
        <v/>
      </c>
      <c r="BE430">
        <f>'19_Расчет_аналитики'!BD429*'01_Вводные'!$B$14</f>
        <v/>
      </c>
      <c r="BF430">
        <f>'19_Расчет_аналитики'!BE429*'01_Вводные'!$B$14</f>
        <v/>
      </c>
      <c r="BG430">
        <f>'19_Расчет_аналитики'!BF429*'01_Вводные'!$B$14</f>
        <v/>
      </c>
      <c r="BH430">
        <f>'19_Расчет_аналитики'!BG429*'01_Вводные'!$B$14</f>
        <v/>
      </c>
      <c r="BI430">
        <f>'19_Расчет_аналитики'!BH429*'01_Вводные'!$B$14</f>
        <v/>
      </c>
      <c r="BJ430">
        <f>'19_Расчет_аналитики'!BI429*'01_Вводные'!$B$14</f>
        <v/>
      </c>
      <c r="BK430">
        <f>'19_Расчет_аналитики'!BJ429*'01_Вводные'!$B$14</f>
        <v/>
      </c>
      <c r="BL430">
        <f>'19_Расчет_аналитики'!BK429*'01_Вводные'!$B$14</f>
        <v/>
      </c>
      <c r="BM430">
        <f>'19_Расчет_аналитики'!BL429*'01_Вводные'!$B$14</f>
        <v/>
      </c>
      <c r="BN430">
        <f>'19_Расчет_аналитики'!BM429*'01_Вводные'!$B$14</f>
        <v/>
      </c>
      <c r="BO430">
        <f>'19_Расчет_аналитики'!BN429*'01_Вводные'!$B$14</f>
        <v/>
      </c>
    </row>
    <row r="431">
      <c r="B431">
        <f>'06_Сеть_и_дети'!B76</f>
        <v/>
      </c>
      <c r="C431">
        <f>'06_Сеть_и_дети'!C76</f>
        <v/>
      </c>
      <c r="D431">
        <f>'06_Сеть_и_дети'!D76</f>
        <v/>
      </c>
      <c r="E431">
        <f>'06_Сеть_и_дети'!E76</f>
        <v/>
      </c>
      <c r="F431">
        <f>'06_Сеть_и_дети'!F76</f>
        <v/>
      </c>
      <c r="G431">
        <f>'06_Сеть_и_дети'!G76</f>
        <v/>
      </c>
      <c r="H431">
        <f>'06_Сеть_и_дети'!H76</f>
        <v/>
      </c>
      <c r="I431">
        <f>'06_Сеть_и_дети'!I76</f>
        <v/>
      </c>
      <c r="J431">
        <f>'06_Сеть_и_дети'!J76</f>
        <v/>
      </c>
      <c r="K431">
        <f>'06_Сеть_и_дети'!K76</f>
        <v/>
      </c>
      <c r="L431">
        <f>'06_Сеть_и_дети'!L76</f>
        <v/>
      </c>
      <c r="M431">
        <f>'06_Сеть_и_дети'!M76</f>
        <v/>
      </c>
      <c r="N431">
        <f>'06_Сеть_и_дети'!N76</f>
        <v/>
      </c>
      <c r="O431">
        <f>'06_Сеть_и_дети'!O76</f>
        <v/>
      </c>
      <c r="P431">
        <f>'06_Сеть_и_дети'!P76</f>
        <v/>
      </c>
      <c r="Q431">
        <f>'06_Сеть_и_дети'!Q76</f>
        <v/>
      </c>
      <c r="R431">
        <f>'06_Сеть_и_дети'!R76</f>
        <v/>
      </c>
      <c r="S431">
        <f>'06_Сеть_и_дети'!S76</f>
        <v/>
      </c>
      <c r="T431">
        <f>'06_Сеть_и_дети'!T76</f>
        <v/>
      </c>
      <c r="U431">
        <f>'06_Сеть_и_дети'!U76</f>
        <v/>
      </c>
      <c r="V431">
        <f>'06_Сеть_и_дети'!V76</f>
        <v/>
      </c>
      <c r="W431">
        <f>'06_Сеть_и_дети'!W76</f>
        <v/>
      </c>
      <c r="X431">
        <f>'06_Сеть_и_дети'!X76</f>
        <v/>
      </c>
      <c r="Y431">
        <f>'19_Расчет_аналитики'!X430*'01_Вводные'!$B$14</f>
        <v/>
      </c>
      <c r="Z431">
        <f>'19_Расчет_аналитики'!Y430*'01_Вводные'!$B$14</f>
        <v/>
      </c>
      <c r="AA431">
        <f>'19_Расчет_аналитики'!Z430*'01_Вводные'!$B$14</f>
        <v/>
      </c>
      <c r="AB431">
        <f>'19_Расчет_аналитики'!AA430*'01_Вводные'!$B$14</f>
        <v/>
      </c>
      <c r="AC431">
        <f>'19_Расчет_аналитики'!AB430*'01_Вводные'!$B$14</f>
        <v/>
      </c>
      <c r="AD431">
        <f>'19_Расчет_аналитики'!AC430*'01_Вводные'!$B$14</f>
        <v/>
      </c>
      <c r="AE431">
        <f>'19_Расчет_аналитики'!AD430*'01_Вводные'!$B$14</f>
        <v/>
      </c>
      <c r="AF431">
        <f>'19_Расчет_аналитики'!AE430*'01_Вводные'!$B$14</f>
        <v/>
      </c>
      <c r="AG431">
        <f>'19_Расчет_аналитики'!AF430*'01_Вводные'!$B$14</f>
        <v/>
      </c>
      <c r="AH431">
        <f>'19_Расчет_аналитики'!AG430*'01_Вводные'!$B$14</f>
        <v/>
      </c>
      <c r="AI431">
        <f>'19_Расчет_аналитики'!AH430*'01_Вводные'!$B$14</f>
        <v/>
      </c>
      <c r="AJ431">
        <f>'19_Расчет_аналитики'!AI430*'01_Вводные'!$B$14</f>
        <v/>
      </c>
      <c r="AK431">
        <f>'19_Расчет_аналитики'!AJ430*'01_Вводные'!$B$14</f>
        <v/>
      </c>
      <c r="AL431">
        <f>'19_Расчет_аналитики'!AK430*'01_Вводные'!$B$14</f>
        <v/>
      </c>
      <c r="AM431">
        <f>'19_Расчет_аналитики'!AL430*'01_Вводные'!$B$14</f>
        <v/>
      </c>
      <c r="AN431">
        <f>'19_Расчет_аналитики'!AM430*'01_Вводные'!$B$14</f>
        <v/>
      </c>
      <c r="AO431">
        <f>'19_Расчет_аналитики'!AN430*'01_Вводные'!$B$14</f>
        <v/>
      </c>
      <c r="AP431">
        <f>'19_Расчет_аналитики'!AO430*'01_Вводные'!$B$14</f>
        <v/>
      </c>
      <c r="AQ431">
        <f>'19_Расчет_аналитики'!AP430*'01_Вводные'!$B$14</f>
        <v/>
      </c>
      <c r="AR431">
        <f>'19_Расчет_аналитики'!AQ430*'01_Вводные'!$B$14</f>
        <v/>
      </c>
      <c r="AS431">
        <f>'19_Расчет_аналитики'!AR430*'01_Вводные'!$B$14</f>
        <v/>
      </c>
      <c r="AT431">
        <f>'19_Расчет_аналитики'!AS430*'01_Вводные'!$B$14</f>
        <v/>
      </c>
      <c r="AU431">
        <f>'19_Расчет_аналитики'!AT430*'01_Вводные'!$B$14</f>
        <v/>
      </c>
      <c r="AV431">
        <f>'19_Расчет_аналитики'!AU430*'01_Вводные'!$B$14</f>
        <v/>
      </c>
      <c r="AW431">
        <f>'19_Расчет_аналитики'!AV430*'01_Вводные'!$B$14</f>
        <v/>
      </c>
      <c r="AX431">
        <f>'19_Расчет_аналитики'!AW430*'01_Вводные'!$B$14</f>
        <v/>
      </c>
      <c r="AY431">
        <f>'19_Расчет_аналитики'!AX430*'01_Вводные'!$B$14</f>
        <v/>
      </c>
      <c r="AZ431">
        <f>'19_Расчет_аналитики'!AY430*'01_Вводные'!$B$14</f>
        <v/>
      </c>
      <c r="BA431">
        <f>'19_Расчет_аналитики'!AZ430*'01_Вводные'!$B$14</f>
        <v/>
      </c>
      <c r="BB431">
        <f>'19_Расчет_аналитики'!BA430*'01_Вводные'!$B$14</f>
        <v/>
      </c>
      <c r="BC431">
        <f>'19_Расчет_аналитики'!BB430*'01_Вводные'!$B$14</f>
        <v/>
      </c>
      <c r="BD431">
        <f>'19_Расчет_аналитики'!BC430*'01_Вводные'!$B$14</f>
        <v/>
      </c>
      <c r="BE431">
        <f>'19_Расчет_аналитики'!BD430*'01_Вводные'!$B$14</f>
        <v/>
      </c>
      <c r="BF431">
        <f>'19_Расчет_аналитики'!BE430*'01_Вводные'!$B$14</f>
        <v/>
      </c>
      <c r="BG431">
        <f>'19_Расчет_аналитики'!BF430*'01_Вводные'!$B$14</f>
        <v/>
      </c>
      <c r="BH431">
        <f>'19_Расчет_аналитики'!BG430*'01_Вводные'!$B$14</f>
        <v/>
      </c>
      <c r="BI431">
        <f>'19_Расчет_аналитики'!BH430*'01_Вводные'!$B$14</f>
        <v/>
      </c>
      <c r="BJ431">
        <f>'19_Расчет_аналитики'!BI430*'01_Вводные'!$B$14</f>
        <v/>
      </c>
      <c r="BK431">
        <f>'19_Расчет_аналитики'!BJ430*'01_Вводные'!$B$14</f>
        <v/>
      </c>
      <c r="BL431">
        <f>'19_Расчет_аналитики'!BK430*'01_Вводные'!$B$14</f>
        <v/>
      </c>
      <c r="BM431">
        <f>'19_Расчет_аналитики'!BL430*'01_Вводные'!$B$14</f>
        <v/>
      </c>
      <c r="BN431">
        <f>'19_Расчет_аналитики'!BM430*'01_Вводные'!$B$14</f>
        <v/>
      </c>
      <c r="BO431">
        <f>'19_Расчет_аналитики'!BN430*'01_Вводные'!$B$14</f>
        <v/>
      </c>
    </row>
    <row r="432">
      <c r="B432">
        <f>'06_Сеть_и_дети'!B77</f>
        <v/>
      </c>
      <c r="C432">
        <f>'06_Сеть_и_дети'!C77</f>
        <v/>
      </c>
      <c r="D432">
        <f>'06_Сеть_и_дети'!D77</f>
        <v/>
      </c>
      <c r="E432">
        <f>'06_Сеть_и_дети'!E77</f>
        <v/>
      </c>
      <c r="F432">
        <f>'06_Сеть_и_дети'!F77</f>
        <v/>
      </c>
      <c r="G432">
        <f>'06_Сеть_и_дети'!G77</f>
        <v/>
      </c>
      <c r="H432">
        <f>'06_Сеть_и_дети'!H77</f>
        <v/>
      </c>
      <c r="I432">
        <f>'06_Сеть_и_дети'!I77</f>
        <v/>
      </c>
      <c r="J432">
        <f>'06_Сеть_и_дети'!J77</f>
        <v/>
      </c>
      <c r="K432">
        <f>'06_Сеть_и_дети'!K77</f>
        <v/>
      </c>
      <c r="L432">
        <f>'06_Сеть_и_дети'!L77</f>
        <v/>
      </c>
      <c r="M432">
        <f>'06_Сеть_и_дети'!M77</f>
        <v/>
      </c>
      <c r="N432">
        <f>'06_Сеть_и_дети'!N77</f>
        <v/>
      </c>
      <c r="O432">
        <f>'06_Сеть_и_дети'!O77</f>
        <v/>
      </c>
      <c r="P432">
        <f>'06_Сеть_и_дети'!P77</f>
        <v/>
      </c>
      <c r="Q432">
        <f>'06_Сеть_и_дети'!Q77</f>
        <v/>
      </c>
      <c r="R432">
        <f>'06_Сеть_и_дети'!R77</f>
        <v/>
      </c>
      <c r="S432">
        <f>'06_Сеть_и_дети'!S77</f>
        <v/>
      </c>
      <c r="T432">
        <f>'06_Сеть_и_дети'!T77</f>
        <v/>
      </c>
      <c r="U432">
        <f>'06_Сеть_и_дети'!U77</f>
        <v/>
      </c>
      <c r="V432">
        <f>'06_Сеть_и_дети'!V77</f>
        <v/>
      </c>
      <c r="W432">
        <f>'06_Сеть_и_дети'!W77</f>
        <v/>
      </c>
      <c r="X432">
        <f>'06_Сеть_и_дети'!X77</f>
        <v/>
      </c>
      <c r="Y432">
        <f>'06_Сеть_и_дети'!Y77</f>
        <v/>
      </c>
      <c r="Z432">
        <f>SUM('19_Расчет_аналитики'!Y431:Y432)*'01_Вводные'!$B$14</f>
        <v/>
      </c>
      <c r="AA432">
        <f>SUM('19_Расчет_аналитики'!Z431:Z432)*'01_Вводные'!$B$14</f>
        <v/>
      </c>
      <c r="AB432">
        <f>SUM('19_Расчет_аналитики'!AA431:AA432)*'01_Вводные'!$B$14</f>
        <v/>
      </c>
      <c r="AC432">
        <f>SUM('19_Расчет_аналитики'!AB431:AB432)*'01_Вводные'!$B$14</f>
        <v/>
      </c>
      <c r="AD432">
        <f>SUM('19_Расчет_аналитики'!AC431:AC432)*'01_Вводные'!$B$14</f>
        <v/>
      </c>
      <c r="AE432">
        <f>SUM('19_Расчет_аналитики'!AD431:AD432)*'01_Вводные'!$B$14</f>
        <v/>
      </c>
      <c r="AF432">
        <f>SUM('19_Расчет_аналитики'!AE431:AE432)*'01_Вводные'!$B$14</f>
        <v/>
      </c>
      <c r="AG432">
        <f>SUM('19_Расчет_аналитики'!AF431:AF432)*'01_Вводные'!$B$14</f>
        <v/>
      </c>
      <c r="AH432">
        <f>SUM('19_Расчет_аналитики'!AG431:AG432)*'01_Вводные'!$B$14</f>
        <v/>
      </c>
      <c r="AI432">
        <f>SUM('19_Расчет_аналитики'!AH431:AH432)*'01_Вводные'!$B$14</f>
        <v/>
      </c>
      <c r="AJ432">
        <f>SUM('19_Расчет_аналитики'!AI431:AI432)*'01_Вводные'!$B$14</f>
        <v/>
      </c>
      <c r="AK432">
        <f>SUM('19_Расчет_аналитики'!AJ431:AJ432)*'01_Вводные'!$B$14</f>
        <v/>
      </c>
      <c r="AL432">
        <f>SUM('19_Расчет_аналитики'!AK431:AK432)*'01_Вводные'!$B$14</f>
        <v/>
      </c>
      <c r="AM432">
        <f>SUM('19_Расчет_аналитики'!AL431:AL432)*'01_Вводные'!$B$14</f>
        <v/>
      </c>
      <c r="AN432">
        <f>SUM('19_Расчет_аналитики'!AM431:AM432)*'01_Вводные'!$B$14</f>
        <v/>
      </c>
      <c r="AO432">
        <f>SUM('19_Расчет_аналитики'!AN431:AN432)*'01_Вводные'!$B$14</f>
        <v/>
      </c>
      <c r="AP432">
        <f>SUM('19_Расчет_аналитики'!AO431:AO432)*'01_Вводные'!$B$14</f>
        <v/>
      </c>
      <c r="AQ432">
        <f>SUM('19_Расчет_аналитики'!AP431:AP432)*'01_Вводные'!$B$14</f>
        <v/>
      </c>
      <c r="AR432">
        <f>SUM('19_Расчет_аналитики'!AQ431:AQ432)*'01_Вводные'!$B$14</f>
        <v/>
      </c>
      <c r="AS432">
        <f>SUM('19_Расчет_аналитики'!AR431:AR432)*'01_Вводные'!$B$14</f>
        <v/>
      </c>
      <c r="AT432">
        <f>SUM('19_Расчет_аналитики'!AS431:AS432)*'01_Вводные'!$B$14</f>
        <v/>
      </c>
      <c r="AU432">
        <f>SUM('19_Расчет_аналитики'!AT431:AT432)*'01_Вводные'!$B$14</f>
        <v/>
      </c>
      <c r="AV432">
        <f>SUM('19_Расчет_аналитики'!AU431:AU432)*'01_Вводные'!$B$14</f>
        <v/>
      </c>
      <c r="AW432">
        <f>SUM('19_Расчет_аналитики'!AV431:AV432)*'01_Вводные'!$B$14</f>
        <v/>
      </c>
      <c r="AX432">
        <f>SUM('19_Расчет_аналитики'!AW431:AW432)*'01_Вводные'!$B$14</f>
        <v/>
      </c>
      <c r="AY432">
        <f>SUM('19_Расчет_аналитики'!AX431:AX432)*'01_Вводные'!$B$14</f>
        <v/>
      </c>
      <c r="AZ432">
        <f>SUM('19_Расчет_аналитики'!AY431:AY432)*'01_Вводные'!$B$14</f>
        <v/>
      </c>
      <c r="BA432">
        <f>SUM('19_Расчет_аналитики'!AZ431:AZ432)*'01_Вводные'!$B$14</f>
        <v/>
      </c>
      <c r="BB432">
        <f>SUM('19_Расчет_аналитики'!BA431:BA432)*'01_Вводные'!$B$14</f>
        <v/>
      </c>
      <c r="BC432">
        <f>SUM('19_Расчет_аналитики'!BB431:BB432)*'01_Вводные'!$B$14</f>
        <v/>
      </c>
      <c r="BD432">
        <f>SUM('19_Расчет_аналитики'!BC431:BC432)*'01_Вводные'!$B$14</f>
        <v/>
      </c>
      <c r="BE432">
        <f>SUM('19_Расчет_аналитики'!BD431:BD432)*'01_Вводные'!$B$14</f>
        <v/>
      </c>
      <c r="BF432">
        <f>SUM('19_Расчет_аналитики'!BE431:BE432)*'01_Вводные'!$B$14</f>
        <v/>
      </c>
      <c r="BG432">
        <f>SUM('19_Расчет_аналитики'!BF431:BF432)*'01_Вводные'!$B$14</f>
        <v/>
      </c>
      <c r="BH432">
        <f>SUM('19_Расчет_аналитики'!BG431:BG432)*'01_Вводные'!$B$14</f>
        <v/>
      </c>
      <c r="BI432">
        <f>SUM('19_Расчет_аналитики'!BH431:BH432)*'01_Вводные'!$B$14</f>
        <v/>
      </c>
      <c r="BJ432">
        <f>SUM('19_Расчет_аналитики'!BI431:BI432)*'01_Вводные'!$B$14</f>
        <v/>
      </c>
      <c r="BK432">
        <f>SUM('19_Расчет_аналитики'!BJ431:BJ432)*'01_Вводные'!$B$14</f>
        <v/>
      </c>
      <c r="BL432">
        <f>SUM('19_Расчет_аналитики'!BK431:BK432)*'01_Вводные'!$B$14</f>
        <v/>
      </c>
      <c r="BM432">
        <f>SUM('19_Расчет_аналитики'!BL431:BL432)*'01_Вводные'!$B$14</f>
        <v/>
      </c>
      <c r="BN432">
        <f>SUM('19_Расчет_аналитики'!BM431:BM432)*'01_Вводные'!$B$14</f>
        <v/>
      </c>
      <c r="BO432">
        <f>SUM('19_Расчет_аналитики'!BN431:BN432)*'01_Вводные'!$B$14</f>
        <v/>
      </c>
    </row>
    <row r="433"/>
    <row r="434"/>
    <row r="435"/>
    <row r="436">
      <c r="B436">
        <f>'19_Расчет_аналитики'!B388</f>
        <v/>
      </c>
      <c r="C436">
        <f>'19_Расчет_аналитики'!C388</f>
        <v/>
      </c>
      <c r="D436">
        <f>'19_Расчет_аналитики'!D388</f>
        <v/>
      </c>
      <c r="E436">
        <f>'19_Расчет_аналитики'!E388</f>
        <v/>
      </c>
      <c r="F436">
        <f>'19_Расчет_аналитики'!F388</f>
        <v/>
      </c>
      <c r="G436">
        <f>'19_Расчет_аналитики'!G388</f>
        <v/>
      </c>
      <c r="H436">
        <f>'19_Расчет_аналитики'!H388</f>
        <v/>
      </c>
      <c r="I436">
        <f>'19_Расчет_аналитики'!I388</f>
        <v/>
      </c>
      <c r="J436">
        <f>'19_Расчет_аналитики'!J388</f>
        <v/>
      </c>
      <c r="K436">
        <f>'19_Расчет_аналитики'!K388</f>
        <v/>
      </c>
      <c r="L436">
        <f>'19_Расчет_аналитики'!L388</f>
        <v/>
      </c>
      <c r="M436">
        <f>'19_Расчет_аналитики'!M388</f>
        <v/>
      </c>
      <c r="N436">
        <f>'19_Расчет_аналитики'!N388</f>
        <v/>
      </c>
      <c r="O436">
        <f>'19_Расчет_аналитики'!O388</f>
        <v/>
      </c>
      <c r="P436">
        <f>'19_Расчет_аналитики'!P388</f>
        <v/>
      </c>
      <c r="Q436">
        <f>'19_Расчет_аналитики'!Q388</f>
        <v/>
      </c>
      <c r="R436">
        <f>'19_Расчет_аналитики'!R388</f>
        <v/>
      </c>
      <c r="S436">
        <f>'19_Расчет_аналитики'!S388</f>
        <v/>
      </c>
      <c r="T436">
        <f>'19_Расчет_аналитики'!T388</f>
        <v/>
      </c>
      <c r="U436">
        <f>'19_Расчет_аналитики'!U388</f>
        <v/>
      </c>
      <c r="V436">
        <f>'19_Расчет_аналитики'!V388</f>
        <v/>
      </c>
      <c r="W436">
        <f>'19_Расчет_аналитики'!W388</f>
        <v/>
      </c>
      <c r="X436">
        <f>'19_Расчет_аналитики'!X388</f>
        <v/>
      </c>
      <c r="Y436">
        <f>'19_Расчет_аналитики'!Y388</f>
        <v/>
      </c>
      <c r="Z436">
        <f>'19_Расчет_аналитики'!Z388</f>
        <v/>
      </c>
      <c r="AA436">
        <f>'19_Расчет_аналитики'!AA388</f>
        <v/>
      </c>
      <c r="AB436">
        <f>'19_Расчет_аналитики'!AB388</f>
        <v/>
      </c>
      <c r="AC436">
        <f>'19_Расчет_аналитики'!AC388</f>
        <v/>
      </c>
      <c r="AD436">
        <f>'19_Расчет_аналитики'!AD388</f>
        <v/>
      </c>
      <c r="AE436">
        <f>'19_Расчет_аналитики'!AE388</f>
        <v/>
      </c>
      <c r="AF436">
        <f>'19_Расчет_аналитики'!AF388</f>
        <v/>
      </c>
      <c r="AG436">
        <f>'19_Расчет_аналитики'!AG388</f>
        <v/>
      </c>
      <c r="AH436">
        <f>'19_Расчет_аналитики'!AH388</f>
        <v/>
      </c>
      <c r="AI436">
        <f>'19_Расчет_аналитики'!AI388</f>
        <v/>
      </c>
      <c r="AJ436">
        <f>'19_Расчет_аналитики'!AJ388</f>
        <v/>
      </c>
      <c r="AK436">
        <f>'19_Расчет_аналитики'!AK388</f>
        <v/>
      </c>
      <c r="AL436">
        <f>'19_Расчет_аналитики'!AL388</f>
        <v/>
      </c>
      <c r="AM436">
        <f>'19_Расчет_аналитики'!AM388</f>
        <v/>
      </c>
      <c r="AN436">
        <f>'19_Расчет_аналитики'!AN388</f>
        <v/>
      </c>
      <c r="AO436">
        <f>'19_Расчет_аналитики'!AO388</f>
        <v/>
      </c>
      <c r="AP436">
        <f>'19_Расчет_аналитики'!AP388</f>
        <v/>
      </c>
      <c r="AQ436">
        <f>'19_Расчет_аналитики'!AQ388</f>
        <v/>
      </c>
      <c r="AR436">
        <f>'19_Расчет_аналитики'!AR388</f>
        <v/>
      </c>
      <c r="AS436">
        <f>'19_Расчет_аналитики'!AS388</f>
        <v/>
      </c>
      <c r="AT436">
        <f>'19_Расчет_аналитики'!AT388</f>
        <v/>
      </c>
      <c r="AU436">
        <f>'19_Расчет_аналитики'!AU388</f>
        <v/>
      </c>
      <c r="AV436">
        <f>'19_Расчет_аналитики'!AV388</f>
        <v/>
      </c>
      <c r="AW436">
        <f>'19_Расчет_аналитики'!AW388</f>
        <v/>
      </c>
      <c r="AX436">
        <f>'19_Расчет_аналитики'!AX388</f>
        <v/>
      </c>
      <c r="AY436">
        <f>'19_Расчет_аналитики'!AY388</f>
        <v/>
      </c>
      <c r="AZ436">
        <f>'19_Расчет_аналитики'!AZ388</f>
        <v/>
      </c>
      <c r="BA436">
        <f>'19_Расчет_аналитики'!BA388</f>
        <v/>
      </c>
      <c r="BB436">
        <f>'19_Расчет_аналитики'!BB388</f>
        <v/>
      </c>
      <c r="BC436">
        <f>'19_Расчет_аналитики'!BC388</f>
        <v/>
      </c>
      <c r="BD436">
        <f>'19_Расчет_аналитики'!BD388</f>
        <v/>
      </c>
      <c r="BE436">
        <f>'19_Расчет_аналитики'!BE388</f>
        <v/>
      </c>
      <c r="BF436">
        <f>'19_Расчет_аналитики'!BF388</f>
        <v/>
      </c>
      <c r="BG436">
        <f>'19_Расчет_аналитики'!BG388</f>
        <v/>
      </c>
      <c r="BH436">
        <f>'19_Расчет_аналитики'!BH388</f>
        <v/>
      </c>
      <c r="BI436">
        <f>'19_Расчет_аналитики'!BI388</f>
        <v/>
      </c>
      <c r="BJ436">
        <f>'19_Расчет_аналитики'!BJ388</f>
        <v/>
      </c>
      <c r="BK436">
        <f>'19_Расчет_аналитики'!BK388</f>
        <v/>
      </c>
      <c r="BL436">
        <f>'19_Расчет_аналитики'!BL388</f>
        <v/>
      </c>
      <c r="BM436">
        <f>'19_Расчет_аналитики'!BM388</f>
        <v/>
      </c>
      <c r="BN436">
        <f>'19_Расчет_аналитики'!BN388</f>
        <v/>
      </c>
      <c r="BO436">
        <f>'19_Расчет_аналитики'!BO388</f>
        <v/>
      </c>
    </row>
    <row r="437">
      <c r="B437">
        <f>'06_Сеть_и_дети'!B82</f>
        <v/>
      </c>
      <c r="C437">
        <f>'19_Расчет_аналитики'!B436*'01_Вводные'!$B$14</f>
        <v/>
      </c>
      <c r="D437">
        <f>'19_Расчет_аналитики'!C436*'01_Вводные'!$B$14</f>
        <v/>
      </c>
      <c r="E437">
        <f>'19_Расчет_аналитики'!D436*'01_Вводные'!$B$14</f>
        <v/>
      </c>
      <c r="F437">
        <f>'19_Расчет_аналитики'!E436*'01_Вводные'!$B$14</f>
        <v/>
      </c>
      <c r="G437">
        <f>'19_Расчет_аналитики'!F436*'01_Вводные'!$B$14</f>
        <v/>
      </c>
      <c r="H437">
        <f>'19_Расчет_аналитики'!G436*'01_Вводные'!$B$14</f>
        <v/>
      </c>
      <c r="I437">
        <f>'19_Расчет_аналитики'!H436*'01_Вводные'!$B$14</f>
        <v/>
      </c>
      <c r="J437">
        <f>'19_Расчет_аналитики'!I436*'01_Вводные'!$B$14</f>
        <v/>
      </c>
      <c r="K437">
        <f>'19_Расчет_аналитики'!J436*'01_Вводные'!$B$14</f>
        <v/>
      </c>
      <c r="L437">
        <f>'19_Расчет_аналитики'!K436*'01_Вводные'!$B$14</f>
        <v/>
      </c>
      <c r="M437">
        <f>'19_Расчет_аналитики'!L436*'01_Вводные'!$B$14</f>
        <v/>
      </c>
      <c r="N437">
        <f>'19_Расчет_аналитики'!M436*'01_Вводные'!$B$14</f>
        <v/>
      </c>
      <c r="O437">
        <f>'19_Расчет_аналитики'!N436*'01_Вводные'!$B$14</f>
        <v/>
      </c>
      <c r="P437">
        <f>'19_Расчет_аналитики'!O436*'01_Вводные'!$B$14</f>
        <v/>
      </c>
      <c r="Q437">
        <f>'19_Расчет_аналитики'!P436*'01_Вводные'!$B$14</f>
        <v/>
      </c>
      <c r="R437">
        <f>'19_Расчет_аналитики'!Q436*'01_Вводные'!$B$14</f>
        <v/>
      </c>
      <c r="S437">
        <f>'19_Расчет_аналитики'!R436*'01_Вводные'!$B$14</f>
        <v/>
      </c>
      <c r="T437">
        <f>'19_Расчет_аналитики'!S436*'01_Вводные'!$B$14</f>
        <v/>
      </c>
      <c r="U437">
        <f>'19_Расчет_аналитики'!T436*'01_Вводные'!$B$14</f>
        <v/>
      </c>
      <c r="V437">
        <f>'19_Расчет_аналитики'!U436*'01_Вводные'!$B$14</f>
        <v/>
      </c>
      <c r="W437">
        <f>'19_Расчет_аналитики'!V436*'01_Вводные'!$B$14</f>
        <v/>
      </c>
      <c r="X437">
        <f>'19_Расчет_аналитики'!W436*'01_Вводные'!$B$14</f>
        <v/>
      </c>
      <c r="Y437">
        <f>'19_Расчет_аналитики'!X436*'01_Вводные'!$B$14</f>
        <v/>
      </c>
      <c r="Z437">
        <f>'19_Расчет_аналитики'!Y436*'01_Вводные'!$B$14</f>
        <v/>
      </c>
      <c r="AA437">
        <f>'19_Расчет_аналитики'!Z436*'01_Вводные'!$B$14</f>
        <v/>
      </c>
      <c r="AB437">
        <f>'19_Расчет_аналитики'!AA436*'01_Вводные'!$B$14</f>
        <v/>
      </c>
      <c r="AC437">
        <f>'19_Расчет_аналитики'!AB436*'01_Вводные'!$B$14</f>
        <v/>
      </c>
      <c r="AD437">
        <f>'19_Расчет_аналитики'!AC436*'01_Вводные'!$B$14</f>
        <v/>
      </c>
      <c r="AE437">
        <f>'19_Расчет_аналитики'!AD436*'01_Вводные'!$B$14</f>
        <v/>
      </c>
      <c r="AF437">
        <f>'19_Расчет_аналитики'!AE436*'01_Вводные'!$B$14</f>
        <v/>
      </c>
      <c r="AG437">
        <f>'19_Расчет_аналитики'!AF436*'01_Вводные'!$B$14</f>
        <v/>
      </c>
      <c r="AH437">
        <f>'19_Расчет_аналитики'!AG436*'01_Вводные'!$B$14</f>
        <v/>
      </c>
      <c r="AI437">
        <f>'19_Расчет_аналитики'!AH436*'01_Вводные'!$B$14</f>
        <v/>
      </c>
      <c r="AJ437">
        <f>'19_Расчет_аналитики'!AI436*'01_Вводные'!$B$14</f>
        <v/>
      </c>
      <c r="AK437">
        <f>'19_Расчет_аналитики'!AJ436*'01_Вводные'!$B$14</f>
        <v/>
      </c>
      <c r="AL437">
        <f>'19_Расчет_аналитики'!AK436*'01_Вводные'!$B$14</f>
        <v/>
      </c>
      <c r="AM437">
        <f>'19_Расчет_аналитики'!AL436*'01_Вводные'!$B$14</f>
        <v/>
      </c>
      <c r="AN437">
        <f>'19_Расчет_аналитики'!AM436*'01_Вводные'!$B$14</f>
        <v/>
      </c>
      <c r="AO437">
        <f>'19_Расчет_аналитики'!AN436*'01_Вводные'!$B$14</f>
        <v/>
      </c>
      <c r="AP437">
        <f>'19_Расчет_аналитики'!AO436*'01_Вводные'!$B$14</f>
        <v/>
      </c>
      <c r="AQ437">
        <f>'19_Расчет_аналитики'!AP436*'01_Вводные'!$B$14</f>
        <v/>
      </c>
      <c r="AR437">
        <f>'19_Расчет_аналитики'!AQ436*'01_Вводные'!$B$14</f>
        <v/>
      </c>
      <c r="AS437">
        <f>'19_Расчет_аналитики'!AR436*'01_Вводные'!$B$14</f>
        <v/>
      </c>
      <c r="AT437">
        <f>'19_Расчет_аналитики'!AS436*'01_Вводные'!$B$14</f>
        <v/>
      </c>
      <c r="AU437">
        <f>'19_Расчет_аналитики'!AT436*'01_Вводные'!$B$14</f>
        <v/>
      </c>
      <c r="AV437">
        <f>'19_Расчет_аналитики'!AU436*'01_Вводные'!$B$14</f>
        <v/>
      </c>
      <c r="AW437">
        <f>'19_Расчет_аналитики'!AV436*'01_Вводные'!$B$14</f>
        <v/>
      </c>
      <c r="AX437">
        <f>'19_Расчет_аналитики'!AW436*'01_Вводные'!$B$14</f>
        <v/>
      </c>
      <c r="AY437">
        <f>'19_Расчет_аналитики'!AX436*'01_Вводные'!$B$14</f>
        <v/>
      </c>
      <c r="AZ437">
        <f>'19_Расчет_аналитики'!AY436*'01_Вводные'!$B$14</f>
        <v/>
      </c>
      <c r="BA437">
        <f>'19_Расчет_аналитики'!AZ436*'01_Вводные'!$B$14</f>
        <v/>
      </c>
      <c r="BB437">
        <f>'19_Расчет_аналитики'!BA436*'01_Вводные'!$B$14</f>
        <v/>
      </c>
      <c r="BC437">
        <f>'19_Расчет_аналитики'!BB436*'01_Вводные'!$B$14</f>
        <v/>
      </c>
      <c r="BD437">
        <f>'19_Расчет_аналитики'!BC436*'01_Вводные'!$B$14</f>
        <v/>
      </c>
      <c r="BE437">
        <f>'19_Расчет_аналитики'!BD436*'01_Вводные'!$B$14</f>
        <v/>
      </c>
      <c r="BF437">
        <f>'19_Расчет_аналитики'!BE436*'01_Вводные'!$B$14</f>
        <v/>
      </c>
      <c r="BG437">
        <f>'19_Расчет_аналитики'!BF436*'01_Вводные'!$B$14</f>
        <v/>
      </c>
      <c r="BH437">
        <f>'19_Расчет_аналитики'!BG436*'01_Вводные'!$B$14</f>
        <v/>
      </c>
      <c r="BI437">
        <f>'19_Расчет_аналитики'!BH436*'01_Вводные'!$B$14</f>
        <v/>
      </c>
      <c r="BJ437">
        <f>'19_Расчет_аналитики'!BI436*'01_Вводные'!$B$14</f>
        <v/>
      </c>
      <c r="BK437">
        <f>'19_Расчет_аналитики'!BJ436*'01_Вводные'!$B$14</f>
        <v/>
      </c>
      <c r="BL437">
        <f>'19_Расчет_аналитики'!BK436*'01_Вводные'!$B$14</f>
        <v/>
      </c>
      <c r="BM437">
        <f>'19_Расчет_аналитики'!BL436*'01_Вводные'!$B$14</f>
        <v/>
      </c>
      <c r="BN437">
        <f>'19_Расчет_аналитики'!BM436*'01_Вводные'!$B$14</f>
        <v/>
      </c>
      <c r="BO437">
        <f>'19_Расчет_аналитики'!BN436*'01_Вводные'!$B$14</f>
        <v/>
      </c>
    </row>
    <row r="438">
      <c r="B438">
        <f>'06_Сеть_и_дети'!B83</f>
        <v/>
      </c>
      <c r="C438">
        <f>'06_Сеть_и_дети'!C83</f>
        <v/>
      </c>
      <c r="D438">
        <f>'19_Расчет_аналитики'!C437*'01_Вводные'!$B$14</f>
        <v/>
      </c>
      <c r="E438">
        <f>'19_Расчет_аналитики'!D437*'01_Вводные'!$B$14</f>
        <v/>
      </c>
      <c r="F438">
        <f>'19_Расчет_аналитики'!E437*'01_Вводные'!$B$14</f>
        <v/>
      </c>
      <c r="G438">
        <f>'19_Расчет_аналитики'!F437*'01_Вводные'!$B$14</f>
        <v/>
      </c>
      <c r="H438">
        <f>'19_Расчет_аналитики'!G437*'01_Вводные'!$B$14</f>
        <v/>
      </c>
      <c r="I438">
        <f>'19_Расчет_аналитики'!H437*'01_Вводные'!$B$14</f>
        <v/>
      </c>
      <c r="J438">
        <f>'19_Расчет_аналитики'!I437*'01_Вводные'!$B$14</f>
        <v/>
      </c>
      <c r="K438">
        <f>'19_Расчет_аналитики'!J437*'01_Вводные'!$B$14</f>
        <v/>
      </c>
      <c r="L438">
        <f>'19_Расчет_аналитики'!K437*'01_Вводные'!$B$14</f>
        <v/>
      </c>
      <c r="M438">
        <f>'19_Расчет_аналитики'!L437*'01_Вводные'!$B$14</f>
        <v/>
      </c>
      <c r="N438">
        <f>'19_Расчет_аналитики'!M437*'01_Вводные'!$B$14</f>
        <v/>
      </c>
      <c r="O438">
        <f>'19_Расчет_аналитики'!N437*'01_Вводные'!$B$14</f>
        <v/>
      </c>
      <c r="P438">
        <f>'19_Расчет_аналитики'!O437*'01_Вводные'!$B$14</f>
        <v/>
      </c>
      <c r="Q438">
        <f>'19_Расчет_аналитики'!P437*'01_Вводные'!$B$14</f>
        <v/>
      </c>
      <c r="R438">
        <f>'19_Расчет_аналитики'!Q437*'01_Вводные'!$B$14</f>
        <v/>
      </c>
      <c r="S438">
        <f>'19_Расчет_аналитики'!R437*'01_Вводные'!$B$14</f>
        <v/>
      </c>
      <c r="T438">
        <f>'19_Расчет_аналитики'!S437*'01_Вводные'!$B$14</f>
        <v/>
      </c>
      <c r="U438">
        <f>'19_Расчет_аналитики'!T437*'01_Вводные'!$B$14</f>
        <v/>
      </c>
      <c r="V438">
        <f>'19_Расчет_аналитики'!U437*'01_Вводные'!$B$14</f>
        <v/>
      </c>
      <c r="W438">
        <f>'19_Расчет_аналитики'!V437*'01_Вводные'!$B$14</f>
        <v/>
      </c>
      <c r="X438">
        <f>'19_Расчет_аналитики'!W437*'01_Вводные'!$B$14</f>
        <v/>
      </c>
      <c r="Y438">
        <f>'19_Расчет_аналитики'!X437*'01_Вводные'!$B$14</f>
        <v/>
      </c>
      <c r="Z438">
        <f>'19_Расчет_аналитики'!Y437*'01_Вводные'!$B$14</f>
        <v/>
      </c>
      <c r="AA438">
        <f>'19_Расчет_аналитики'!Z437*'01_Вводные'!$B$14</f>
        <v/>
      </c>
      <c r="AB438">
        <f>'19_Расчет_аналитики'!AA437*'01_Вводные'!$B$14</f>
        <v/>
      </c>
      <c r="AC438">
        <f>'19_Расчет_аналитики'!AB437*'01_Вводные'!$B$14</f>
        <v/>
      </c>
      <c r="AD438">
        <f>'19_Расчет_аналитики'!AC437*'01_Вводные'!$B$14</f>
        <v/>
      </c>
      <c r="AE438">
        <f>'19_Расчет_аналитики'!AD437*'01_Вводные'!$B$14</f>
        <v/>
      </c>
      <c r="AF438">
        <f>'19_Расчет_аналитики'!AE437*'01_Вводные'!$B$14</f>
        <v/>
      </c>
      <c r="AG438">
        <f>'19_Расчет_аналитики'!AF437*'01_Вводные'!$B$14</f>
        <v/>
      </c>
      <c r="AH438">
        <f>'19_Расчет_аналитики'!AG437*'01_Вводные'!$B$14</f>
        <v/>
      </c>
      <c r="AI438">
        <f>'19_Расчет_аналитики'!AH437*'01_Вводные'!$B$14</f>
        <v/>
      </c>
      <c r="AJ438">
        <f>'19_Расчет_аналитики'!AI437*'01_Вводные'!$B$14</f>
        <v/>
      </c>
      <c r="AK438">
        <f>'19_Расчет_аналитики'!AJ437*'01_Вводные'!$B$14</f>
        <v/>
      </c>
      <c r="AL438">
        <f>'19_Расчет_аналитики'!AK437*'01_Вводные'!$B$14</f>
        <v/>
      </c>
      <c r="AM438">
        <f>'19_Расчет_аналитики'!AL437*'01_Вводные'!$B$14</f>
        <v/>
      </c>
      <c r="AN438">
        <f>'19_Расчет_аналитики'!AM437*'01_Вводные'!$B$14</f>
        <v/>
      </c>
      <c r="AO438">
        <f>'19_Расчет_аналитики'!AN437*'01_Вводные'!$B$14</f>
        <v/>
      </c>
      <c r="AP438">
        <f>'19_Расчет_аналитики'!AO437*'01_Вводные'!$B$14</f>
        <v/>
      </c>
      <c r="AQ438">
        <f>'19_Расчет_аналитики'!AP437*'01_Вводные'!$B$14</f>
        <v/>
      </c>
      <c r="AR438">
        <f>'19_Расчет_аналитики'!AQ437*'01_Вводные'!$B$14</f>
        <v/>
      </c>
      <c r="AS438">
        <f>'19_Расчет_аналитики'!AR437*'01_Вводные'!$B$14</f>
        <v/>
      </c>
      <c r="AT438">
        <f>'19_Расчет_аналитики'!AS437*'01_Вводные'!$B$14</f>
        <v/>
      </c>
      <c r="AU438">
        <f>'19_Расчет_аналитики'!AT437*'01_Вводные'!$B$14</f>
        <v/>
      </c>
      <c r="AV438">
        <f>'19_Расчет_аналитики'!AU437*'01_Вводные'!$B$14</f>
        <v/>
      </c>
      <c r="AW438">
        <f>'19_Расчет_аналитики'!AV437*'01_Вводные'!$B$14</f>
        <v/>
      </c>
      <c r="AX438">
        <f>'19_Расчет_аналитики'!AW437*'01_Вводные'!$B$14</f>
        <v/>
      </c>
      <c r="AY438">
        <f>'19_Расчет_аналитики'!AX437*'01_Вводные'!$B$14</f>
        <v/>
      </c>
      <c r="AZ438">
        <f>'19_Расчет_аналитики'!AY437*'01_Вводные'!$B$14</f>
        <v/>
      </c>
      <c r="BA438">
        <f>'19_Расчет_аналитики'!AZ437*'01_Вводные'!$B$14</f>
        <v/>
      </c>
      <c r="BB438">
        <f>'19_Расчет_аналитики'!BA437*'01_Вводные'!$B$14</f>
        <v/>
      </c>
      <c r="BC438">
        <f>'19_Расчет_аналитики'!BB437*'01_Вводные'!$B$14</f>
        <v/>
      </c>
      <c r="BD438">
        <f>'19_Расчет_аналитики'!BC437*'01_Вводные'!$B$14</f>
        <v/>
      </c>
      <c r="BE438">
        <f>'19_Расчет_аналитики'!BD437*'01_Вводные'!$B$14</f>
        <v/>
      </c>
      <c r="BF438">
        <f>'19_Расчет_аналитики'!BE437*'01_Вводные'!$B$14</f>
        <v/>
      </c>
      <c r="BG438">
        <f>'19_Расчет_аналитики'!BF437*'01_Вводные'!$B$14</f>
        <v/>
      </c>
      <c r="BH438">
        <f>'19_Расчет_аналитики'!BG437*'01_Вводные'!$B$14</f>
        <v/>
      </c>
      <c r="BI438">
        <f>'19_Расчет_аналитики'!BH437*'01_Вводные'!$B$14</f>
        <v/>
      </c>
      <c r="BJ438">
        <f>'19_Расчет_аналитики'!BI437*'01_Вводные'!$B$14</f>
        <v/>
      </c>
      <c r="BK438">
        <f>'19_Расчет_аналитики'!BJ437*'01_Вводные'!$B$14</f>
        <v/>
      </c>
      <c r="BL438">
        <f>'19_Расчет_аналитики'!BK437*'01_Вводные'!$B$14</f>
        <v/>
      </c>
      <c r="BM438">
        <f>'19_Расчет_аналитики'!BL437*'01_Вводные'!$B$14</f>
        <v/>
      </c>
      <c r="BN438">
        <f>'19_Расчет_аналитики'!BM437*'01_Вводные'!$B$14</f>
        <v/>
      </c>
      <c r="BO438">
        <f>'19_Расчет_аналитики'!BN437*'01_Вводные'!$B$14</f>
        <v/>
      </c>
    </row>
    <row r="439">
      <c r="B439">
        <f>'06_Сеть_и_дети'!B84</f>
        <v/>
      </c>
      <c r="C439">
        <f>'06_Сеть_и_дети'!C84</f>
        <v/>
      </c>
      <c r="D439">
        <f>'06_Сеть_и_дети'!D84</f>
        <v/>
      </c>
      <c r="E439">
        <f>'19_Расчет_аналитики'!D438*'01_Вводные'!$B$14</f>
        <v/>
      </c>
      <c r="F439">
        <f>'19_Расчет_аналитики'!E438*'01_Вводные'!$B$14</f>
        <v/>
      </c>
      <c r="G439">
        <f>'19_Расчет_аналитики'!F438*'01_Вводные'!$B$14</f>
        <v/>
      </c>
      <c r="H439">
        <f>'19_Расчет_аналитики'!G438*'01_Вводные'!$B$14</f>
        <v/>
      </c>
      <c r="I439">
        <f>'19_Расчет_аналитики'!H438*'01_Вводные'!$B$14</f>
        <v/>
      </c>
      <c r="J439">
        <f>'19_Расчет_аналитики'!I438*'01_Вводные'!$B$14</f>
        <v/>
      </c>
      <c r="K439">
        <f>'19_Расчет_аналитики'!J438*'01_Вводные'!$B$14</f>
        <v/>
      </c>
      <c r="L439">
        <f>'19_Расчет_аналитики'!K438*'01_Вводные'!$B$14</f>
        <v/>
      </c>
      <c r="M439">
        <f>'19_Расчет_аналитики'!L438*'01_Вводные'!$B$14</f>
        <v/>
      </c>
      <c r="N439">
        <f>'19_Расчет_аналитики'!M438*'01_Вводные'!$B$14</f>
        <v/>
      </c>
      <c r="O439">
        <f>'19_Расчет_аналитики'!N438*'01_Вводные'!$B$14</f>
        <v/>
      </c>
      <c r="P439">
        <f>'19_Расчет_аналитики'!O438*'01_Вводные'!$B$14</f>
        <v/>
      </c>
      <c r="Q439">
        <f>'19_Расчет_аналитики'!P438*'01_Вводные'!$B$14</f>
        <v/>
      </c>
      <c r="R439">
        <f>'19_Расчет_аналитики'!Q438*'01_Вводные'!$B$14</f>
        <v/>
      </c>
      <c r="S439">
        <f>'19_Расчет_аналитики'!R438*'01_Вводные'!$B$14</f>
        <v/>
      </c>
      <c r="T439">
        <f>'19_Расчет_аналитики'!S438*'01_Вводные'!$B$14</f>
        <v/>
      </c>
      <c r="U439">
        <f>'19_Расчет_аналитики'!T438*'01_Вводные'!$B$14</f>
        <v/>
      </c>
      <c r="V439">
        <f>'19_Расчет_аналитики'!U438*'01_Вводные'!$B$14</f>
        <v/>
      </c>
      <c r="W439">
        <f>'19_Расчет_аналитики'!V438*'01_Вводные'!$B$14</f>
        <v/>
      </c>
      <c r="X439">
        <f>'19_Расчет_аналитики'!W438*'01_Вводные'!$B$14</f>
        <v/>
      </c>
      <c r="Y439">
        <f>'19_Расчет_аналитики'!X438*'01_Вводные'!$B$14</f>
        <v/>
      </c>
      <c r="Z439">
        <f>'19_Расчет_аналитики'!Y438*'01_Вводные'!$B$14</f>
        <v/>
      </c>
      <c r="AA439">
        <f>'19_Расчет_аналитики'!Z438*'01_Вводные'!$B$14</f>
        <v/>
      </c>
      <c r="AB439">
        <f>'19_Расчет_аналитики'!AA438*'01_Вводные'!$B$14</f>
        <v/>
      </c>
      <c r="AC439">
        <f>'19_Расчет_аналитики'!AB438*'01_Вводные'!$B$14</f>
        <v/>
      </c>
      <c r="AD439">
        <f>'19_Расчет_аналитики'!AC438*'01_Вводные'!$B$14</f>
        <v/>
      </c>
      <c r="AE439">
        <f>'19_Расчет_аналитики'!AD438*'01_Вводные'!$B$14</f>
        <v/>
      </c>
      <c r="AF439">
        <f>'19_Расчет_аналитики'!AE438*'01_Вводные'!$B$14</f>
        <v/>
      </c>
      <c r="AG439">
        <f>'19_Расчет_аналитики'!AF438*'01_Вводные'!$B$14</f>
        <v/>
      </c>
      <c r="AH439">
        <f>'19_Расчет_аналитики'!AG438*'01_Вводные'!$B$14</f>
        <v/>
      </c>
      <c r="AI439">
        <f>'19_Расчет_аналитики'!AH438*'01_Вводные'!$B$14</f>
        <v/>
      </c>
      <c r="AJ439">
        <f>'19_Расчет_аналитики'!AI438*'01_Вводные'!$B$14</f>
        <v/>
      </c>
      <c r="AK439">
        <f>'19_Расчет_аналитики'!AJ438*'01_Вводные'!$B$14</f>
        <v/>
      </c>
      <c r="AL439">
        <f>'19_Расчет_аналитики'!AK438*'01_Вводные'!$B$14</f>
        <v/>
      </c>
      <c r="AM439">
        <f>'19_Расчет_аналитики'!AL438*'01_Вводные'!$B$14</f>
        <v/>
      </c>
      <c r="AN439">
        <f>'19_Расчет_аналитики'!AM438*'01_Вводные'!$B$14</f>
        <v/>
      </c>
      <c r="AO439">
        <f>'19_Расчет_аналитики'!AN438*'01_Вводные'!$B$14</f>
        <v/>
      </c>
      <c r="AP439">
        <f>'19_Расчет_аналитики'!AO438*'01_Вводные'!$B$14</f>
        <v/>
      </c>
      <c r="AQ439">
        <f>'19_Расчет_аналитики'!AP438*'01_Вводные'!$B$14</f>
        <v/>
      </c>
      <c r="AR439">
        <f>'19_Расчет_аналитики'!AQ438*'01_Вводные'!$B$14</f>
        <v/>
      </c>
      <c r="AS439">
        <f>'19_Расчет_аналитики'!AR438*'01_Вводные'!$B$14</f>
        <v/>
      </c>
      <c r="AT439">
        <f>'19_Расчет_аналитики'!AS438*'01_Вводные'!$B$14</f>
        <v/>
      </c>
      <c r="AU439">
        <f>'19_Расчет_аналитики'!AT438*'01_Вводные'!$B$14</f>
        <v/>
      </c>
      <c r="AV439">
        <f>'19_Расчет_аналитики'!AU438*'01_Вводные'!$B$14</f>
        <v/>
      </c>
      <c r="AW439">
        <f>'19_Расчет_аналитики'!AV438*'01_Вводные'!$B$14</f>
        <v/>
      </c>
      <c r="AX439">
        <f>'19_Расчет_аналитики'!AW438*'01_Вводные'!$B$14</f>
        <v/>
      </c>
      <c r="AY439">
        <f>'19_Расчет_аналитики'!AX438*'01_Вводные'!$B$14</f>
        <v/>
      </c>
      <c r="AZ439">
        <f>'19_Расчет_аналитики'!AY438*'01_Вводные'!$B$14</f>
        <v/>
      </c>
      <c r="BA439">
        <f>'19_Расчет_аналитики'!AZ438*'01_Вводные'!$B$14</f>
        <v/>
      </c>
      <c r="BB439">
        <f>'19_Расчет_аналитики'!BA438*'01_Вводные'!$B$14</f>
        <v/>
      </c>
      <c r="BC439">
        <f>'19_Расчет_аналитики'!BB438*'01_Вводные'!$B$14</f>
        <v/>
      </c>
      <c r="BD439">
        <f>'19_Расчет_аналитики'!BC438*'01_Вводные'!$B$14</f>
        <v/>
      </c>
      <c r="BE439">
        <f>'19_Расчет_аналитики'!BD438*'01_Вводные'!$B$14</f>
        <v/>
      </c>
      <c r="BF439">
        <f>'19_Расчет_аналитики'!BE438*'01_Вводные'!$B$14</f>
        <v/>
      </c>
      <c r="BG439">
        <f>'19_Расчет_аналитики'!BF438*'01_Вводные'!$B$14</f>
        <v/>
      </c>
      <c r="BH439">
        <f>'19_Расчет_аналитики'!BG438*'01_Вводные'!$B$14</f>
        <v/>
      </c>
      <c r="BI439">
        <f>'19_Расчет_аналитики'!BH438*'01_Вводные'!$B$14</f>
        <v/>
      </c>
      <c r="BJ439">
        <f>'19_Расчет_аналитики'!BI438*'01_Вводные'!$B$14</f>
        <v/>
      </c>
      <c r="BK439">
        <f>'19_Расчет_аналитики'!BJ438*'01_Вводные'!$B$14</f>
        <v/>
      </c>
      <c r="BL439">
        <f>'19_Расчет_аналитики'!BK438*'01_Вводные'!$B$14</f>
        <v/>
      </c>
      <c r="BM439">
        <f>'19_Расчет_аналитики'!BL438*'01_Вводные'!$B$14</f>
        <v/>
      </c>
      <c r="BN439">
        <f>'19_Расчет_аналитики'!BM438*'01_Вводные'!$B$14</f>
        <v/>
      </c>
      <c r="BO439">
        <f>'19_Расчет_аналитики'!BN438*'01_Вводные'!$B$14</f>
        <v/>
      </c>
    </row>
    <row r="440">
      <c r="B440">
        <f>'06_Сеть_и_дети'!B85</f>
        <v/>
      </c>
      <c r="C440">
        <f>'06_Сеть_и_дети'!C85</f>
        <v/>
      </c>
      <c r="D440">
        <f>'06_Сеть_и_дети'!D85</f>
        <v/>
      </c>
      <c r="E440">
        <f>'06_Сеть_и_дети'!E85</f>
        <v/>
      </c>
      <c r="F440">
        <f>'19_Расчет_аналитики'!E439*'01_Вводные'!$B$14</f>
        <v/>
      </c>
      <c r="G440">
        <f>'19_Расчет_аналитики'!F439*'01_Вводные'!$B$14</f>
        <v/>
      </c>
      <c r="H440">
        <f>'19_Расчет_аналитики'!G439*'01_Вводные'!$B$14</f>
        <v/>
      </c>
      <c r="I440">
        <f>'19_Расчет_аналитики'!H439*'01_Вводные'!$B$14</f>
        <v/>
      </c>
      <c r="J440">
        <f>'19_Расчет_аналитики'!I439*'01_Вводные'!$B$14</f>
        <v/>
      </c>
      <c r="K440">
        <f>'19_Расчет_аналитики'!J439*'01_Вводные'!$B$14</f>
        <v/>
      </c>
      <c r="L440">
        <f>'19_Расчет_аналитики'!K439*'01_Вводные'!$B$14</f>
        <v/>
      </c>
      <c r="M440">
        <f>'19_Расчет_аналитики'!L439*'01_Вводные'!$B$14</f>
        <v/>
      </c>
      <c r="N440">
        <f>'19_Расчет_аналитики'!M439*'01_Вводные'!$B$14</f>
        <v/>
      </c>
      <c r="O440">
        <f>'19_Расчет_аналитики'!N439*'01_Вводные'!$B$14</f>
        <v/>
      </c>
      <c r="P440">
        <f>'19_Расчет_аналитики'!O439*'01_Вводные'!$B$14</f>
        <v/>
      </c>
      <c r="Q440">
        <f>'19_Расчет_аналитики'!P439*'01_Вводные'!$B$14</f>
        <v/>
      </c>
      <c r="R440">
        <f>'19_Расчет_аналитики'!Q439*'01_Вводные'!$B$14</f>
        <v/>
      </c>
      <c r="S440">
        <f>'19_Расчет_аналитики'!R439*'01_Вводные'!$B$14</f>
        <v/>
      </c>
      <c r="T440">
        <f>'19_Расчет_аналитики'!S439*'01_Вводные'!$B$14</f>
        <v/>
      </c>
      <c r="U440">
        <f>'19_Расчет_аналитики'!T439*'01_Вводные'!$B$14</f>
        <v/>
      </c>
      <c r="V440">
        <f>'19_Расчет_аналитики'!U439*'01_Вводные'!$B$14</f>
        <v/>
      </c>
      <c r="W440">
        <f>'19_Расчет_аналитики'!V439*'01_Вводные'!$B$14</f>
        <v/>
      </c>
      <c r="X440">
        <f>'19_Расчет_аналитики'!W439*'01_Вводные'!$B$14</f>
        <v/>
      </c>
      <c r="Y440">
        <f>'19_Расчет_аналитики'!X439*'01_Вводные'!$B$14</f>
        <v/>
      </c>
      <c r="Z440">
        <f>'19_Расчет_аналитики'!Y439*'01_Вводные'!$B$14</f>
        <v/>
      </c>
      <c r="AA440">
        <f>'19_Расчет_аналитики'!Z439*'01_Вводные'!$B$14</f>
        <v/>
      </c>
      <c r="AB440">
        <f>'19_Расчет_аналитики'!AA439*'01_Вводные'!$B$14</f>
        <v/>
      </c>
      <c r="AC440">
        <f>'19_Расчет_аналитики'!AB439*'01_Вводные'!$B$14</f>
        <v/>
      </c>
      <c r="AD440">
        <f>'19_Расчет_аналитики'!AC439*'01_Вводные'!$B$14</f>
        <v/>
      </c>
      <c r="AE440">
        <f>'19_Расчет_аналитики'!AD439*'01_Вводные'!$B$14</f>
        <v/>
      </c>
      <c r="AF440">
        <f>'19_Расчет_аналитики'!AE439*'01_Вводные'!$B$14</f>
        <v/>
      </c>
      <c r="AG440">
        <f>'19_Расчет_аналитики'!AF439*'01_Вводные'!$B$14</f>
        <v/>
      </c>
      <c r="AH440">
        <f>'19_Расчет_аналитики'!AG439*'01_Вводные'!$B$14</f>
        <v/>
      </c>
      <c r="AI440">
        <f>'19_Расчет_аналитики'!AH439*'01_Вводные'!$B$14</f>
        <v/>
      </c>
      <c r="AJ440">
        <f>'19_Расчет_аналитики'!AI439*'01_Вводные'!$B$14</f>
        <v/>
      </c>
      <c r="AK440">
        <f>'19_Расчет_аналитики'!AJ439*'01_Вводные'!$B$14</f>
        <v/>
      </c>
      <c r="AL440">
        <f>'19_Расчет_аналитики'!AK439*'01_Вводные'!$B$14</f>
        <v/>
      </c>
      <c r="AM440">
        <f>'19_Расчет_аналитики'!AL439*'01_Вводные'!$B$14</f>
        <v/>
      </c>
      <c r="AN440">
        <f>'19_Расчет_аналитики'!AM439*'01_Вводные'!$B$14</f>
        <v/>
      </c>
      <c r="AO440">
        <f>'19_Расчет_аналитики'!AN439*'01_Вводные'!$B$14</f>
        <v/>
      </c>
      <c r="AP440">
        <f>'19_Расчет_аналитики'!AO439*'01_Вводные'!$B$14</f>
        <v/>
      </c>
      <c r="AQ440">
        <f>'19_Расчет_аналитики'!AP439*'01_Вводные'!$B$14</f>
        <v/>
      </c>
      <c r="AR440">
        <f>'19_Расчет_аналитики'!AQ439*'01_Вводные'!$B$14</f>
        <v/>
      </c>
      <c r="AS440">
        <f>'19_Расчет_аналитики'!AR439*'01_Вводные'!$B$14</f>
        <v/>
      </c>
      <c r="AT440">
        <f>'19_Расчет_аналитики'!AS439*'01_Вводные'!$B$14</f>
        <v/>
      </c>
      <c r="AU440">
        <f>'19_Расчет_аналитики'!AT439*'01_Вводные'!$B$14</f>
        <v/>
      </c>
      <c r="AV440">
        <f>'19_Расчет_аналитики'!AU439*'01_Вводные'!$B$14</f>
        <v/>
      </c>
      <c r="AW440">
        <f>'19_Расчет_аналитики'!AV439*'01_Вводные'!$B$14</f>
        <v/>
      </c>
      <c r="AX440">
        <f>'19_Расчет_аналитики'!AW439*'01_Вводные'!$B$14</f>
        <v/>
      </c>
      <c r="AY440">
        <f>'19_Расчет_аналитики'!AX439*'01_Вводные'!$B$14</f>
        <v/>
      </c>
      <c r="AZ440">
        <f>'19_Расчет_аналитики'!AY439*'01_Вводные'!$B$14</f>
        <v/>
      </c>
      <c r="BA440">
        <f>'19_Расчет_аналитики'!AZ439*'01_Вводные'!$B$14</f>
        <v/>
      </c>
      <c r="BB440">
        <f>'19_Расчет_аналитики'!BA439*'01_Вводные'!$B$14</f>
        <v/>
      </c>
      <c r="BC440">
        <f>'19_Расчет_аналитики'!BB439*'01_Вводные'!$B$14</f>
        <v/>
      </c>
      <c r="BD440">
        <f>'19_Расчет_аналитики'!BC439*'01_Вводные'!$B$14</f>
        <v/>
      </c>
      <c r="BE440">
        <f>'19_Расчет_аналитики'!BD439*'01_Вводные'!$B$14</f>
        <v/>
      </c>
      <c r="BF440">
        <f>'19_Расчет_аналитики'!BE439*'01_Вводные'!$B$14</f>
        <v/>
      </c>
      <c r="BG440">
        <f>'19_Расчет_аналитики'!BF439*'01_Вводные'!$B$14</f>
        <v/>
      </c>
      <c r="BH440">
        <f>'19_Расчет_аналитики'!BG439*'01_Вводные'!$B$14</f>
        <v/>
      </c>
      <c r="BI440">
        <f>'19_Расчет_аналитики'!BH439*'01_Вводные'!$B$14</f>
        <v/>
      </c>
      <c r="BJ440">
        <f>'19_Расчет_аналитики'!BI439*'01_Вводные'!$B$14</f>
        <v/>
      </c>
      <c r="BK440">
        <f>'19_Расчет_аналитики'!BJ439*'01_Вводные'!$B$14</f>
        <v/>
      </c>
      <c r="BL440">
        <f>'19_Расчет_аналитики'!BK439*'01_Вводные'!$B$14</f>
        <v/>
      </c>
      <c r="BM440">
        <f>'19_Расчет_аналитики'!BL439*'01_Вводные'!$B$14</f>
        <v/>
      </c>
      <c r="BN440">
        <f>'19_Расчет_аналитики'!BM439*'01_Вводные'!$B$14</f>
        <v/>
      </c>
      <c r="BO440">
        <f>'19_Расчет_аналитики'!BN439*'01_Вводные'!$B$14</f>
        <v/>
      </c>
    </row>
    <row r="441">
      <c r="B441">
        <f>'06_Сеть_и_дети'!B86</f>
        <v/>
      </c>
      <c r="C441">
        <f>'06_Сеть_и_дети'!C86</f>
        <v/>
      </c>
      <c r="D441">
        <f>'06_Сеть_и_дети'!D86</f>
        <v/>
      </c>
      <c r="E441">
        <f>'06_Сеть_и_дети'!E86</f>
        <v/>
      </c>
      <c r="F441">
        <f>'06_Сеть_и_дети'!F86</f>
        <v/>
      </c>
      <c r="G441">
        <f>'19_Расчет_аналитики'!F440*'01_Вводные'!$B$14</f>
        <v/>
      </c>
      <c r="H441">
        <f>'19_Расчет_аналитики'!G440*'01_Вводные'!$B$14</f>
        <v/>
      </c>
      <c r="I441">
        <f>'19_Расчет_аналитики'!H440*'01_Вводные'!$B$14</f>
        <v/>
      </c>
      <c r="J441">
        <f>'19_Расчет_аналитики'!I440*'01_Вводные'!$B$14</f>
        <v/>
      </c>
      <c r="K441">
        <f>'19_Расчет_аналитики'!J440*'01_Вводные'!$B$14</f>
        <v/>
      </c>
      <c r="L441">
        <f>'19_Расчет_аналитики'!K440*'01_Вводные'!$B$14</f>
        <v/>
      </c>
      <c r="M441">
        <f>'19_Расчет_аналитики'!L440*'01_Вводные'!$B$14</f>
        <v/>
      </c>
      <c r="N441">
        <f>'19_Расчет_аналитики'!M440*'01_Вводные'!$B$14</f>
        <v/>
      </c>
      <c r="O441">
        <f>'19_Расчет_аналитики'!N440*'01_Вводные'!$B$14</f>
        <v/>
      </c>
      <c r="P441">
        <f>'19_Расчет_аналитики'!O440*'01_Вводные'!$B$14</f>
        <v/>
      </c>
      <c r="Q441">
        <f>'19_Расчет_аналитики'!P440*'01_Вводные'!$B$14</f>
        <v/>
      </c>
      <c r="R441">
        <f>'19_Расчет_аналитики'!Q440*'01_Вводные'!$B$14</f>
        <v/>
      </c>
      <c r="S441">
        <f>'19_Расчет_аналитики'!R440*'01_Вводные'!$B$14</f>
        <v/>
      </c>
      <c r="T441">
        <f>'19_Расчет_аналитики'!S440*'01_Вводные'!$B$14</f>
        <v/>
      </c>
      <c r="U441">
        <f>'19_Расчет_аналитики'!T440*'01_Вводные'!$B$14</f>
        <v/>
      </c>
      <c r="V441">
        <f>'19_Расчет_аналитики'!U440*'01_Вводные'!$B$14</f>
        <v/>
      </c>
      <c r="W441">
        <f>'19_Расчет_аналитики'!V440*'01_Вводные'!$B$14</f>
        <v/>
      </c>
      <c r="X441">
        <f>'19_Расчет_аналитики'!W440*'01_Вводные'!$B$14</f>
        <v/>
      </c>
      <c r="Y441">
        <f>'19_Расчет_аналитики'!X440*'01_Вводные'!$B$14</f>
        <v/>
      </c>
      <c r="Z441">
        <f>'19_Расчет_аналитики'!Y440*'01_Вводные'!$B$14</f>
        <v/>
      </c>
      <c r="AA441">
        <f>'19_Расчет_аналитики'!Z440*'01_Вводные'!$B$14</f>
        <v/>
      </c>
      <c r="AB441">
        <f>'19_Расчет_аналитики'!AA440*'01_Вводные'!$B$14</f>
        <v/>
      </c>
      <c r="AC441">
        <f>'19_Расчет_аналитики'!AB440*'01_Вводные'!$B$14</f>
        <v/>
      </c>
      <c r="AD441">
        <f>'19_Расчет_аналитики'!AC440*'01_Вводные'!$B$14</f>
        <v/>
      </c>
      <c r="AE441">
        <f>'19_Расчет_аналитики'!AD440*'01_Вводные'!$B$14</f>
        <v/>
      </c>
      <c r="AF441">
        <f>'19_Расчет_аналитики'!AE440*'01_Вводные'!$B$14</f>
        <v/>
      </c>
      <c r="AG441">
        <f>'19_Расчет_аналитики'!AF440*'01_Вводные'!$B$14</f>
        <v/>
      </c>
      <c r="AH441">
        <f>'19_Расчет_аналитики'!AG440*'01_Вводные'!$B$14</f>
        <v/>
      </c>
      <c r="AI441">
        <f>'19_Расчет_аналитики'!AH440*'01_Вводные'!$B$14</f>
        <v/>
      </c>
      <c r="AJ441">
        <f>'19_Расчет_аналитики'!AI440*'01_Вводные'!$B$14</f>
        <v/>
      </c>
      <c r="AK441">
        <f>'19_Расчет_аналитики'!AJ440*'01_Вводные'!$B$14</f>
        <v/>
      </c>
      <c r="AL441">
        <f>'19_Расчет_аналитики'!AK440*'01_Вводные'!$B$14</f>
        <v/>
      </c>
      <c r="AM441">
        <f>'19_Расчет_аналитики'!AL440*'01_Вводные'!$B$14</f>
        <v/>
      </c>
      <c r="AN441">
        <f>'19_Расчет_аналитики'!AM440*'01_Вводные'!$B$14</f>
        <v/>
      </c>
      <c r="AO441">
        <f>'19_Расчет_аналитики'!AN440*'01_Вводные'!$B$14</f>
        <v/>
      </c>
      <c r="AP441">
        <f>'19_Расчет_аналитики'!AO440*'01_Вводные'!$B$14</f>
        <v/>
      </c>
      <c r="AQ441">
        <f>'19_Расчет_аналитики'!AP440*'01_Вводные'!$B$14</f>
        <v/>
      </c>
      <c r="AR441">
        <f>'19_Расчет_аналитики'!AQ440*'01_Вводные'!$B$14</f>
        <v/>
      </c>
      <c r="AS441">
        <f>'19_Расчет_аналитики'!AR440*'01_Вводные'!$B$14</f>
        <v/>
      </c>
      <c r="AT441">
        <f>'19_Расчет_аналитики'!AS440*'01_Вводные'!$B$14</f>
        <v/>
      </c>
      <c r="AU441">
        <f>'19_Расчет_аналитики'!AT440*'01_Вводные'!$B$14</f>
        <v/>
      </c>
      <c r="AV441">
        <f>'19_Расчет_аналитики'!AU440*'01_Вводные'!$B$14</f>
        <v/>
      </c>
      <c r="AW441">
        <f>'19_Расчет_аналитики'!AV440*'01_Вводные'!$B$14</f>
        <v/>
      </c>
      <c r="AX441">
        <f>'19_Расчет_аналитики'!AW440*'01_Вводные'!$B$14</f>
        <v/>
      </c>
      <c r="AY441">
        <f>'19_Расчет_аналитики'!AX440*'01_Вводные'!$B$14</f>
        <v/>
      </c>
      <c r="AZ441">
        <f>'19_Расчет_аналитики'!AY440*'01_Вводные'!$B$14</f>
        <v/>
      </c>
      <c r="BA441">
        <f>'19_Расчет_аналитики'!AZ440*'01_Вводные'!$B$14</f>
        <v/>
      </c>
      <c r="BB441">
        <f>'19_Расчет_аналитики'!BA440*'01_Вводные'!$B$14</f>
        <v/>
      </c>
      <c r="BC441">
        <f>'19_Расчет_аналитики'!BB440*'01_Вводные'!$B$14</f>
        <v/>
      </c>
      <c r="BD441">
        <f>'19_Расчет_аналитики'!BC440*'01_Вводные'!$B$14</f>
        <v/>
      </c>
      <c r="BE441">
        <f>'19_Расчет_аналитики'!BD440*'01_Вводные'!$B$14</f>
        <v/>
      </c>
      <c r="BF441">
        <f>'19_Расчет_аналитики'!BE440*'01_Вводные'!$B$14</f>
        <v/>
      </c>
      <c r="BG441">
        <f>'19_Расчет_аналитики'!BF440*'01_Вводные'!$B$14</f>
        <v/>
      </c>
      <c r="BH441">
        <f>'19_Расчет_аналитики'!BG440*'01_Вводные'!$B$14</f>
        <v/>
      </c>
      <c r="BI441">
        <f>'19_Расчет_аналитики'!BH440*'01_Вводные'!$B$14</f>
        <v/>
      </c>
      <c r="BJ441">
        <f>'19_Расчет_аналитики'!BI440*'01_Вводные'!$B$14</f>
        <v/>
      </c>
      <c r="BK441">
        <f>'19_Расчет_аналитики'!BJ440*'01_Вводные'!$B$14</f>
        <v/>
      </c>
      <c r="BL441">
        <f>'19_Расчет_аналитики'!BK440*'01_Вводные'!$B$14</f>
        <v/>
      </c>
      <c r="BM441">
        <f>'19_Расчет_аналитики'!BL440*'01_Вводные'!$B$14</f>
        <v/>
      </c>
      <c r="BN441">
        <f>'19_Расчет_аналитики'!BM440*'01_Вводные'!$B$14</f>
        <v/>
      </c>
      <c r="BO441">
        <f>'19_Расчет_аналитики'!BN440*'01_Вводные'!$B$14</f>
        <v/>
      </c>
    </row>
    <row r="442">
      <c r="B442">
        <f>'06_Сеть_и_дети'!B87</f>
        <v/>
      </c>
      <c r="C442">
        <f>'06_Сеть_и_дети'!C87</f>
        <v/>
      </c>
      <c r="D442">
        <f>'06_Сеть_и_дети'!D87</f>
        <v/>
      </c>
      <c r="E442">
        <f>'06_Сеть_и_дети'!E87</f>
        <v/>
      </c>
      <c r="F442">
        <f>'06_Сеть_и_дети'!F87</f>
        <v/>
      </c>
      <c r="G442">
        <f>'06_Сеть_и_дети'!G87</f>
        <v/>
      </c>
      <c r="H442">
        <f>'19_Расчет_аналитики'!G441*'01_Вводные'!$B$14</f>
        <v/>
      </c>
      <c r="I442">
        <f>'19_Расчет_аналитики'!H441*'01_Вводные'!$B$14</f>
        <v/>
      </c>
      <c r="J442">
        <f>'19_Расчет_аналитики'!I441*'01_Вводные'!$B$14</f>
        <v/>
      </c>
      <c r="K442">
        <f>'19_Расчет_аналитики'!J441*'01_Вводные'!$B$14</f>
        <v/>
      </c>
      <c r="L442">
        <f>'19_Расчет_аналитики'!K441*'01_Вводные'!$B$14</f>
        <v/>
      </c>
      <c r="M442">
        <f>'19_Расчет_аналитики'!L441*'01_Вводные'!$B$14</f>
        <v/>
      </c>
      <c r="N442">
        <f>'19_Расчет_аналитики'!M441*'01_Вводные'!$B$14</f>
        <v/>
      </c>
      <c r="O442">
        <f>'19_Расчет_аналитики'!N441*'01_Вводные'!$B$14</f>
        <v/>
      </c>
      <c r="P442">
        <f>'19_Расчет_аналитики'!O441*'01_Вводные'!$B$14</f>
        <v/>
      </c>
      <c r="Q442">
        <f>'19_Расчет_аналитики'!P441*'01_Вводные'!$B$14</f>
        <v/>
      </c>
      <c r="R442">
        <f>'19_Расчет_аналитики'!Q441*'01_Вводные'!$B$14</f>
        <v/>
      </c>
      <c r="S442">
        <f>'19_Расчет_аналитики'!R441*'01_Вводные'!$B$14</f>
        <v/>
      </c>
      <c r="T442">
        <f>'19_Расчет_аналитики'!S441*'01_Вводные'!$B$14</f>
        <v/>
      </c>
      <c r="U442">
        <f>'19_Расчет_аналитики'!T441*'01_Вводные'!$B$14</f>
        <v/>
      </c>
      <c r="V442">
        <f>'19_Расчет_аналитики'!U441*'01_Вводные'!$B$14</f>
        <v/>
      </c>
      <c r="W442">
        <f>'19_Расчет_аналитики'!V441*'01_Вводные'!$B$14</f>
        <v/>
      </c>
      <c r="X442">
        <f>'19_Расчет_аналитики'!W441*'01_Вводные'!$B$14</f>
        <v/>
      </c>
      <c r="Y442">
        <f>'19_Расчет_аналитики'!X441*'01_Вводные'!$B$14</f>
        <v/>
      </c>
      <c r="Z442">
        <f>'19_Расчет_аналитики'!Y441*'01_Вводные'!$B$14</f>
        <v/>
      </c>
      <c r="AA442">
        <f>'19_Расчет_аналитики'!Z441*'01_Вводные'!$B$14</f>
        <v/>
      </c>
      <c r="AB442">
        <f>'19_Расчет_аналитики'!AA441*'01_Вводные'!$B$14</f>
        <v/>
      </c>
      <c r="AC442">
        <f>'19_Расчет_аналитики'!AB441*'01_Вводные'!$B$14</f>
        <v/>
      </c>
      <c r="AD442">
        <f>'19_Расчет_аналитики'!AC441*'01_Вводные'!$B$14</f>
        <v/>
      </c>
      <c r="AE442">
        <f>'19_Расчет_аналитики'!AD441*'01_Вводные'!$B$14</f>
        <v/>
      </c>
      <c r="AF442">
        <f>'19_Расчет_аналитики'!AE441*'01_Вводные'!$B$14</f>
        <v/>
      </c>
      <c r="AG442">
        <f>'19_Расчет_аналитики'!AF441*'01_Вводные'!$B$14</f>
        <v/>
      </c>
      <c r="AH442">
        <f>'19_Расчет_аналитики'!AG441*'01_Вводные'!$B$14</f>
        <v/>
      </c>
      <c r="AI442">
        <f>'19_Расчет_аналитики'!AH441*'01_Вводные'!$B$14</f>
        <v/>
      </c>
      <c r="AJ442">
        <f>'19_Расчет_аналитики'!AI441*'01_Вводные'!$B$14</f>
        <v/>
      </c>
      <c r="AK442">
        <f>'19_Расчет_аналитики'!AJ441*'01_Вводные'!$B$14</f>
        <v/>
      </c>
      <c r="AL442">
        <f>'19_Расчет_аналитики'!AK441*'01_Вводные'!$B$14</f>
        <v/>
      </c>
      <c r="AM442">
        <f>'19_Расчет_аналитики'!AL441*'01_Вводные'!$B$14</f>
        <v/>
      </c>
      <c r="AN442">
        <f>'19_Расчет_аналитики'!AM441*'01_Вводные'!$B$14</f>
        <v/>
      </c>
      <c r="AO442">
        <f>'19_Расчет_аналитики'!AN441*'01_Вводные'!$B$14</f>
        <v/>
      </c>
      <c r="AP442">
        <f>'19_Расчет_аналитики'!AO441*'01_Вводные'!$B$14</f>
        <v/>
      </c>
      <c r="AQ442">
        <f>'19_Расчет_аналитики'!AP441*'01_Вводные'!$B$14</f>
        <v/>
      </c>
      <c r="AR442">
        <f>'19_Расчет_аналитики'!AQ441*'01_Вводные'!$B$14</f>
        <v/>
      </c>
      <c r="AS442">
        <f>'19_Расчет_аналитики'!AR441*'01_Вводные'!$B$14</f>
        <v/>
      </c>
      <c r="AT442">
        <f>'19_Расчет_аналитики'!AS441*'01_Вводные'!$B$14</f>
        <v/>
      </c>
      <c r="AU442">
        <f>'19_Расчет_аналитики'!AT441*'01_Вводные'!$B$14</f>
        <v/>
      </c>
      <c r="AV442">
        <f>'19_Расчет_аналитики'!AU441*'01_Вводные'!$B$14</f>
        <v/>
      </c>
      <c r="AW442">
        <f>'19_Расчет_аналитики'!AV441*'01_Вводные'!$B$14</f>
        <v/>
      </c>
      <c r="AX442">
        <f>'19_Расчет_аналитики'!AW441*'01_Вводные'!$B$14</f>
        <v/>
      </c>
      <c r="AY442">
        <f>'19_Расчет_аналитики'!AX441*'01_Вводные'!$B$14</f>
        <v/>
      </c>
      <c r="AZ442">
        <f>'19_Расчет_аналитики'!AY441*'01_Вводные'!$B$14</f>
        <v/>
      </c>
      <c r="BA442">
        <f>'19_Расчет_аналитики'!AZ441*'01_Вводные'!$B$14</f>
        <v/>
      </c>
      <c r="BB442">
        <f>'19_Расчет_аналитики'!BA441*'01_Вводные'!$B$14</f>
        <v/>
      </c>
      <c r="BC442">
        <f>'19_Расчет_аналитики'!BB441*'01_Вводные'!$B$14</f>
        <v/>
      </c>
      <c r="BD442">
        <f>'19_Расчет_аналитики'!BC441*'01_Вводные'!$B$14</f>
        <v/>
      </c>
      <c r="BE442">
        <f>'19_Расчет_аналитики'!BD441*'01_Вводные'!$B$14</f>
        <v/>
      </c>
      <c r="BF442">
        <f>'19_Расчет_аналитики'!BE441*'01_Вводные'!$B$14</f>
        <v/>
      </c>
      <c r="BG442">
        <f>'19_Расчет_аналитики'!BF441*'01_Вводные'!$B$14</f>
        <v/>
      </c>
      <c r="BH442">
        <f>'19_Расчет_аналитики'!BG441*'01_Вводные'!$B$14</f>
        <v/>
      </c>
      <c r="BI442">
        <f>'19_Расчет_аналитики'!BH441*'01_Вводные'!$B$14</f>
        <v/>
      </c>
      <c r="BJ442">
        <f>'19_Расчет_аналитики'!BI441*'01_Вводные'!$B$14</f>
        <v/>
      </c>
      <c r="BK442">
        <f>'19_Расчет_аналитики'!BJ441*'01_Вводные'!$B$14</f>
        <v/>
      </c>
      <c r="BL442">
        <f>'19_Расчет_аналитики'!BK441*'01_Вводные'!$B$14</f>
        <v/>
      </c>
      <c r="BM442">
        <f>'19_Расчет_аналитики'!BL441*'01_Вводные'!$B$14</f>
        <v/>
      </c>
      <c r="BN442">
        <f>'19_Расчет_аналитики'!BM441*'01_Вводные'!$B$14</f>
        <v/>
      </c>
      <c r="BO442">
        <f>'19_Расчет_аналитики'!BN441*'01_Вводные'!$B$14</f>
        <v/>
      </c>
    </row>
    <row r="443">
      <c r="B443">
        <f>'06_Сеть_и_дети'!B88</f>
        <v/>
      </c>
      <c r="C443">
        <f>'06_Сеть_и_дети'!C88</f>
        <v/>
      </c>
      <c r="D443">
        <f>'06_Сеть_и_дети'!D88</f>
        <v/>
      </c>
      <c r="E443">
        <f>'06_Сеть_и_дети'!E88</f>
        <v/>
      </c>
      <c r="F443">
        <f>'06_Сеть_и_дети'!F88</f>
        <v/>
      </c>
      <c r="G443">
        <f>'06_Сеть_и_дети'!G88</f>
        <v/>
      </c>
      <c r="H443">
        <f>'06_Сеть_и_дети'!H88</f>
        <v/>
      </c>
      <c r="I443">
        <f>'19_Расчет_аналитики'!H442*'01_Вводные'!$B$14</f>
        <v/>
      </c>
      <c r="J443">
        <f>'19_Расчет_аналитики'!I442*'01_Вводные'!$B$14</f>
        <v/>
      </c>
      <c r="K443">
        <f>'19_Расчет_аналитики'!J442*'01_Вводные'!$B$14</f>
        <v/>
      </c>
      <c r="L443">
        <f>'19_Расчет_аналитики'!K442*'01_Вводные'!$B$14</f>
        <v/>
      </c>
      <c r="M443">
        <f>'19_Расчет_аналитики'!L442*'01_Вводные'!$B$14</f>
        <v/>
      </c>
      <c r="N443">
        <f>'19_Расчет_аналитики'!M442*'01_Вводные'!$B$14</f>
        <v/>
      </c>
      <c r="O443">
        <f>'19_Расчет_аналитики'!N442*'01_Вводные'!$B$14</f>
        <v/>
      </c>
      <c r="P443">
        <f>'19_Расчет_аналитики'!O442*'01_Вводные'!$B$14</f>
        <v/>
      </c>
      <c r="Q443">
        <f>'19_Расчет_аналитики'!P442*'01_Вводные'!$B$14</f>
        <v/>
      </c>
      <c r="R443">
        <f>'19_Расчет_аналитики'!Q442*'01_Вводные'!$B$14</f>
        <v/>
      </c>
      <c r="S443">
        <f>'19_Расчет_аналитики'!R442*'01_Вводные'!$B$14</f>
        <v/>
      </c>
      <c r="T443">
        <f>'19_Расчет_аналитики'!S442*'01_Вводные'!$B$14</f>
        <v/>
      </c>
      <c r="U443">
        <f>'19_Расчет_аналитики'!T442*'01_Вводные'!$B$14</f>
        <v/>
      </c>
      <c r="V443">
        <f>'19_Расчет_аналитики'!U442*'01_Вводные'!$B$14</f>
        <v/>
      </c>
      <c r="W443">
        <f>'19_Расчет_аналитики'!V442*'01_Вводные'!$B$14</f>
        <v/>
      </c>
      <c r="X443">
        <f>'19_Расчет_аналитики'!W442*'01_Вводные'!$B$14</f>
        <v/>
      </c>
      <c r="Y443">
        <f>'19_Расчет_аналитики'!X442*'01_Вводные'!$B$14</f>
        <v/>
      </c>
      <c r="Z443">
        <f>'19_Расчет_аналитики'!Y442*'01_Вводные'!$B$14</f>
        <v/>
      </c>
      <c r="AA443">
        <f>'19_Расчет_аналитики'!Z442*'01_Вводные'!$B$14</f>
        <v/>
      </c>
      <c r="AB443">
        <f>'19_Расчет_аналитики'!AA442*'01_Вводные'!$B$14</f>
        <v/>
      </c>
      <c r="AC443">
        <f>'19_Расчет_аналитики'!AB442*'01_Вводные'!$B$14</f>
        <v/>
      </c>
      <c r="AD443">
        <f>'19_Расчет_аналитики'!AC442*'01_Вводные'!$B$14</f>
        <v/>
      </c>
      <c r="AE443">
        <f>'19_Расчет_аналитики'!AD442*'01_Вводные'!$B$14</f>
        <v/>
      </c>
      <c r="AF443">
        <f>'19_Расчет_аналитики'!AE442*'01_Вводные'!$B$14</f>
        <v/>
      </c>
      <c r="AG443">
        <f>'19_Расчет_аналитики'!AF442*'01_Вводные'!$B$14</f>
        <v/>
      </c>
      <c r="AH443">
        <f>'19_Расчет_аналитики'!AG442*'01_Вводные'!$B$14</f>
        <v/>
      </c>
      <c r="AI443">
        <f>'19_Расчет_аналитики'!AH442*'01_Вводные'!$B$14</f>
        <v/>
      </c>
      <c r="AJ443">
        <f>'19_Расчет_аналитики'!AI442*'01_Вводные'!$B$14</f>
        <v/>
      </c>
      <c r="AK443">
        <f>'19_Расчет_аналитики'!AJ442*'01_Вводные'!$B$14</f>
        <v/>
      </c>
      <c r="AL443">
        <f>'19_Расчет_аналитики'!AK442*'01_Вводные'!$B$14</f>
        <v/>
      </c>
      <c r="AM443">
        <f>'19_Расчет_аналитики'!AL442*'01_Вводные'!$B$14</f>
        <v/>
      </c>
      <c r="AN443">
        <f>'19_Расчет_аналитики'!AM442*'01_Вводные'!$B$14</f>
        <v/>
      </c>
      <c r="AO443">
        <f>'19_Расчет_аналитики'!AN442*'01_Вводные'!$B$14</f>
        <v/>
      </c>
      <c r="AP443">
        <f>'19_Расчет_аналитики'!AO442*'01_Вводные'!$B$14</f>
        <v/>
      </c>
      <c r="AQ443">
        <f>'19_Расчет_аналитики'!AP442*'01_Вводные'!$B$14</f>
        <v/>
      </c>
      <c r="AR443">
        <f>'19_Расчет_аналитики'!AQ442*'01_Вводные'!$B$14</f>
        <v/>
      </c>
      <c r="AS443">
        <f>'19_Расчет_аналитики'!AR442*'01_Вводные'!$B$14</f>
        <v/>
      </c>
      <c r="AT443">
        <f>'19_Расчет_аналитики'!AS442*'01_Вводные'!$B$14</f>
        <v/>
      </c>
      <c r="AU443">
        <f>'19_Расчет_аналитики'!AT442*'01_Вводные'!$B$14</f>
        <v/>
      </c>
      <c r="AV443">
        <f>'19_Расчет_аналитики'!AU442*'01_Вводные'!$B$14</f>
        <v/>
      </c>
      <c r="AW443">
        <f>'19_Расчет_аналитики'!AV442*'01_Вводные'!$B$14</f>
        <v/>
      </c>
      <c r="AX443">
        <f>'19_Расчет_аналитики'!AW442*'01_Вводные'!$B$14</f>
        <v/>
      </c>
      <c r="AY443">
        <f>'19_Расчет_аналитики'!AX442*'01_Вводные'!$B$14</f>
        <v/>
      </c>
      <c r="AZ443">
        <f>'19_Расчет_аналитики'!AY442*'01_Вводные'!$B$14</f>
        <v/>
      </c>
      <c r="BA443">
        <f>'19_Расчет_аналитики'!AZ442*'01_Вводные'!$B$14</f>
        <v/>
      </c>
      <c r="BB443">
        <f>'19_Расчет_аналитики'!BA442*'01_Вводные'!$B$14</f>
        <v/>
      </c>
      <c r="BC443">
        <f>'19_Расчет_аналитики'!BB442*'01_Вводные'!$B$14</f>
        <v/>
      </c>
      <c r="BD443">
        <f>'19_Расчет_аналитики'!BC442*'01_Вводные'!$B$14</f>
        <v/>
      </c>
      <c r="BE443">
        <f>'19_Расчет_аналитики'!BD442*'01_Вводные'!$B$14</f>
        <v/>
      </c>
      <c r="BF443">
        <f>'19_Расчет_аналитики'!BE442*'01_Вводные'!$B$14</f>
        <v/>
      </c>
      <c r="BG443">
        <f>'19_Расчет_аналитики'!BF442*'01_Вводные'!$B$14</f>
        <v/>
      </c>
      <c r="BH443">
        <f>'19_Расчет_аналитики'!BG442*'01_Вводные'!$B$14</f>
        <v/>
      </c>
      <c r="BI443">
        <f>'19_Расчет_аналитики'!BH442*'01_Вводные'!$B$14</f>
        <v/>
      </c>
      <c r="BJ443">
        <f>'19_Расчет_аналитики'!BI442*'01_Вводные'!$B$14</f>
        <v/>
      </c>
      <c r="BK443">
        <f>'19_Расчет_аналитики'!BJ442*'01_Вводные'!$B$14</f>
        <v/>
      </c>
      <c r="BL443">
        <f>'19_Расчет_аналитики'!BK442*'01_Вводные'!$B$14</f>
        <v/>
      </c>
      <c r="BM443">
        <f>'19_Расчет_аналитики'!BL442*'01_Вводные'!$B$14</f>
        <v/>
      </c>
      <c r="BN443">
        <f>'19_Расчет_аналитики'!BM442*'01_Вводные'!$B$14</f>
        <v/>
      </c>
      <c r="BO443">
        <f>'19_Расчет_аналитики'!BN442*'01_Вводные'!$B$14</f>
        <v/>
      </c>
    </row>
    <row r="444">
      <c r="B444">
        <f>'06_Сеть_и_дети'!B89</f>
        <v/>
      </c>
      <c r="C444">
        <f>'06_Сеть_и_дети'!C89</f>
        <v/>
      </c>
      <c r="D444">
        <f>'06_Сеть_и_дети'!D89</f>
        <v/>
      </c>
      <c r="E444">
        <f>'06_Сеть_и_дети'!E89</f>
        <v/>
      </c>
      <c r="F444">
        <f>'06_Сеть_и_дети'!F89</f>
        <v/>
      </c>
      <c r="G444">
        <f>'06_Сеть_и_дети'!G89</f>
        <v/>
      </c>
      <c r="H444">
        <f>'06_Сеть_и_дети'!H89</f>
        <v/>
      </c>
      <c r="I444">
        <f>'06_Сеть_и_дети'!I89</f>
        <v/>
      </c>
      <c r="J444">
        <f>'19_Расчет_аналитики'!I443*'01_Вводные'!$B$14</f>
        <v/>
      </c>
      <c r="K444">
        <f>'19_Расчет_аналитики'!J443*'01_Вводные'!$B$14</f>
        <v/>
      </c>
      <c r="L444">
        <f>'19_Расчет_аналитики'!K443*'01_Вводные'!$B$14</f>
        <v/>
      </c>
      <c r="M444">
        <f>'19_Расчет_аналитики'!L443*'01_Вводные'!$B$14</f>
        <v/>
      </c>
      <c r="N444">
        <f>'19_Расчет_аналитики'!M443*'01_Вводные'!$B$14</f>
        <v/>
      </c>
      <c r="O444">
        <f>'19_Расчет_аналитики'!N443*'01_Вводные'!$B$14</f>
        <v/>
      </c>
      <c r="P444">
        <f>'19_Расчет_аналитики'!O443*'01_Вводные'!$B$14</f>
        <v/>
      </c>
      <c r="Q444">
        <f>'19_Расчет_аналитики'!P443*'01_Вводные'!$B$14</f>
        <v/>
      </c>
      <c r="R444">
        <f>'19_Расчет_аналитики'!Q443*'01_Вводные'!$B$14</f>
        <v/>
      </c>
      <c r="S444">
        <f>'19_Расчет_аналитики'!R443*'01_Вводные'!$B$14</f>
        <v/>
      </c>
      <c r="T444">
        <f>'19_Расчет_аналитики'!S443*'01_Вводные'!$B$14</f>
        <v/>
      </c>
      <c r="U444">
        <f>'19_Расчет_аналитики'!T443*'01_Вводные'!$B$14</f>
        <v/>
      </c>
      <c r="V444">
        <f>'19_Расчет_аналитики'!U443*'01_Вводные'!$B$14</f>
        <v/>
      </c>
      <c r="W444">
        <f>'19_Расчет_аналитики'!V443*'01_Вводные'!$B$14</f>
        <v/>
      </c>
      <c r="X444">
        <f>'19_Расчет_аналитики'!W443*'01_Вводные'!$B$14</f>
        <v/>
      </c>
      <c r="Y444">
        <f>'19_Расчет_аналитики'!X443*'01_Вводные'!$B$14</f>
        <v/>
      </c>
      <c r="Z444">
        <f>'19_Расчет_аналитики'!Y443*'01_Вводные'!$B$14</f>
        <v/>
      </c>
      <c r="AA444">
        <f>'19_Расчет_аналитики'!Z443*'01_Вводные'!$B$14</f>
        <v/>
      </c>
      <c r="AB444">
        <f>'19_Расчет_аналитики'!AA443*'01_Вводные'!$B$14</f>
        <v/>
      </c>
      <c r="AC444">
        <f>'19_Расчет_аналитики'!AB443*'01_Вводные'!$B$14</f>
        <v/>
      </c>
      <c r="AD444">
        <f>'19_Расчет_аналитики'!AC443*'01_Вводные'!$B$14</f>
        <v/>
      </c>
      <c r="AE444">
        <f>'19_Расчет_аналитики'!AD443*'01_Вводные'!$B$14</f>
        <v/>
      </c>
      <c r="AF444">
        <f>'19_Расчет_аналитики'!AE443*'01_Вводные'!$B$14</f>
        <v/>
      </c>
      <c r="AG444">
        <f>'19_Расчет_аналитики'!AF443*'01_Вводные'!$B$14</f>
        <v/>
      </c>
      <c r="AH444">
        <f>'19_Расчет_аналитики'!AG443*'01_Вводные'!$B$14</f>
        <v/>
      </c>
      <c r="AI444">
        <f>'19_Расчет_аналитики'!AH443*'01_Вводные'!$B$14</f>
        <v/>
      </c>
      <c r="AJ444">
        <f>'19_Расчет_аналитики'!AI443*'01_Вводные'!$B$14</f>
        <v/>
      </c>
      <c r="AK444">
        <f>'19_Расчет_аналитики'!AJ443*'01_Вводные'!$B$14</f>
        <v/>
      </c>
      <c r="AL444">
        <f>'19_Расчет_аналитики'!AK443*'01_Вводные'!$B$14</f>
        <v/>
      </c>
      <c r="AM444">
        <f>'19_Расчет_аналитики'!AL443*'01_Вводные'!$B$14</f>
        <v/>
      </c>
      <c r="AN444">
        <f>'19_Расчет_аналитики'!AM443*'01_Вводные'!$B$14</f>
        <v/>
      </c>
      <c r="AO444">
        <f>'19_Расчет_аналитики'!AN443*'01_Вводные'!$B$14</f>
        <v/>
      </c>
      <c r="AP444">
        <f>'19_Расчет_аналитики'!AO443*'01_Вводные'!$B$14</f>
        <v/>
      </c>
      <c r="AQ444">
        <f>'19_Расчет_аналитики'!AP443*'01_Вводные'!$B$14</f>
        <v/>
      </c>
      <c r="AR444">
        <f>'19_Расчет_аналитики'!AQ443*'01_Вводные'!$B$14</f>
        <v/>
      </c>
      <c r="AS444">
        <f>'19_Расчет_аналитики'!AR443*'01_Вводные'!$B$14</f>
        <v/>
      </c>
      <c r="AT444">
        <f>'19_Расчет_аналитики'!AS443*'01_Вводные'!$B$14</f>
        <v/>
      </c>
      <c r="AU444">
        <f>'19_Расчет_аналитики'!AT443*'01_Вводные'!$B$14</f>
        <v/>
      </c>
      <c r="AV444">
        <f>'19_Расчет_аналитики'!AU443*'01_Вводные'!$B$14</f>
        <v/>
      </c>
      <c r="AW444">
        <f>'19_Расчет_аналитики'!AV443*'01_Вводные'!$B$14</f>
        <v/>
      </c>
      <c r="AX444">
        <f>'19_Расчет_аналитики'!AW443*'01_Вводные'!$B$14</f>
        <v/>
      </c>
      <c r="AY444">
        <f>'19_Расчет_аналитики'!AX443*'01_Вводные'!$B$14</f>
        <v/>
      </c>
      <c r="AZ444">
        <f>'19_Расчет_аналитики'!AY443*'01_Вводные'!$B$14</f>
        <v/>
      </c>
      <c r="BA444">
        <f>'19_Расчет_аналитики'!AZ443*'01_Вводные'!$B$14</f>
        <v/>
      </c>
      <c r="BB444">
        <f>'19_Расчет_аналитики'!BA443*'01_Вводные'!$B$14</f>
        <v/>
      </c>
      <c r="BC444">
        <f>'19_Расчет_аналитики'!BB443*'01_Вводные'!$B$14</f>
        <v/>
      </c>
      <c r="BD444">
        <f>'19_Расчет_аналитики'!BC443*'01_Вводные'!$B$14</f>
        <v/>
      </c>
      <c r="BE444">
        <f>'19_Расчет_аналитики'!BD443*'01_Вводные'!$B$14</f>
        <v/>
      </c>
      <c r="BF444">
        <f>'19_Расчет_аналитики'!BE443*'01_Вводные'!$B$14</f>
        <v/>
      </c>
      <c r="BG444">
        <f>'19_Расчет_аналитики'!BF443*'01_Вводные'!$B$14</f>
        <v/>
      </c>
      <c r="BH444">
        <f>'19_Расчет_аналитики'!BG443*'01_Вводные'!$B$14</f>
        <v/>
      </c>
      <c r="BI444">
        <f>'19_Расчет_аналитики'!BH443*'01_Вводные'!$B$14</f>
        <v/>
      </c>
      <c r="BJ444">
        <f>'19_Расчет_аналитики'!BI443*'01_Вводные'!$B$14</f>
        <v/>
      </c>
      <c r="BK444">
        <f>'19_Расчет_аналитики'!BJ443*'01_Вводные'!$B$14</f>
        <v/>
      </c>
      <c r="BL444">
        <f>'19_Расчет_аналитики'!BK443*'01_Вводные'!$B$14</f>
        <v/>
      </c>
      <c r="BM444">
        <f>'19_Расчет_аналитики'!BL443*'01_Вводные'!$B$14</f>
        <v/>
      </c>
      <c r="BN444">
        <f>'19_Расчет_аналитики'!BM443*'01_Вводные'!$B$14</f>
        <v/>
      </c>
      <c r="BO444">
        <f>'19_Расчет_аналитики'!BN443*'01_Вводные'!$B$14</f>
        <v/>
      </c>
    </row>
    <row r="445">
      <c r="B445">
        <f>'06_Сеть_и_дети'!B90</f>
        <v/>
      </c>
      <c r="C445">
        <f>'06_Сеть_и_дети'!C90</f>
        <v/>
      </c>
      <c r="D445">
        <f>'06_Сеть_и_дети'!D90</f>
        <v/>
      </c>
      <c r="E445">
        <f>'06_Сеть_и_дети'!E90</f>
        <v/>
      </c>
      <c r="F445">
        <f>'06_Сеть_и_дети'!F90</f>
        <v/>
      </c>
      <c r="G445">
        <f>'06_Сеть_и_дети'!G90</f>
        <v/>
      </c>
      <c r="H445">
        <f>'06_Сеть_и_дети'!H90</f>
        <v/>
      </c>
      <c r="I445">
        <f>'06_Сеть_и_дети'!I90</f>
        <v/>
      </c>
      <c r="J445">
        <f>'06_Сеть_и_дети'!J90</f>
        <v/>
      </c>
      <c r="K445">
        <f>'19_Расчет_аналитики'!J444*'01_Вводные'!$B$14</f>
        <v/>
      </c>
      <c r="L445">
        <f>'19_Расчет_аналитики'!K444*'01_Вводные'!$B$14</f>
        <v/>
      </c>
      <c r="M445">
        <f>'19_Расчет_аналитики'!L444*'01_Вводные'!$B$14</f>
        <v/>
      </c>
      <c r="N445">
        <f>'19_Расчет_аналитики'!M444*'01_Вводные'!$B$14</f>
        <v/>
      </c>
      <c r="O445">
        <f>'19_Расчет_аналитики'!N444*'01_Вводные'!$B$14</f>
        <v/>
      </c>
      <c r="P445">
        <f>'19_Расчет_аналитики'!O444*'01_Вводные'!$B$14</f>
        <v/>
      </c>
      <c r="Q445">
        <f>'19_Расчет_аналитики'!P444*'01_Вводные'!$B$14</f>
        <v/>
      </c>
      <c r="R445">
        <f>'19_Расчет_аналитики'!Q444*'01_Вводные'!$B$14</f>
        <v/>
      </c>
      <c r="S445">
        <f>'19_Расчет_аналитики'!R444*'01_Вводные'!$B$14</f>
        <v/>
      </c>
      <c r="T445">
        <f>'19_Расчет_аналитики'!S444*'01_Вводные'!$B$14</f>
        <v/>
      </c>
      <c r="U445">
        <f>'19_Расчет_аналитики'!T444*'01_Вводные'!$B$14</f>
        <v/>
      </c>
      <c r="V445">
        <f>'19_Расчет_аналитики'!U444*'01_Вводные'!$B$14</f>
        <v/>
      </c>
      <c r="W445">
        <f>'19_Расчет_аналитики'!V444*'01_Вводные'!$B$14</f>
        <v/>
      </c>
      <c r="X445">
        <f>'19_Расчет_аналитики'!W444*'01_Вводные'!$B$14</f>
        <v/>
      </c>
      <c r="Y445">
        <f>'19_Расчет_аналитики'!X444*'01_Вводные'!$B$14</f>
        <v/>
      </c>
      <c r="Z445">
        <f>'19_Расчет_аналитики'!Y444*'01_Вводные'!$B$14</f>
        <v/>
      </c>
      <c r="AA445">
        <f>'19_Расчет_аналитики'!Z444*'01_Вводные'!$B$14</f>
        <v/>
      </c>
      <c r="AB445">
        <f>'19_Расчет_аналитики'!AA444*'01_Вводные'!$B$14</f>
        <v/>
      </c>
      <c r="AC445">
        <f>'19_Расчет_аналитики'!AB444*'01_Вводные'!$B$14</f>
        <v/>
      </c>
      <c r="AD445">
        <f>'19_Расчет_аналитики'!AC444*'01_Вводные'!$B$14</f>
        <v/>
      </c>
      <c r="AE445">
        <f>'19_Расчет_аналитики'!AD444*'01_Вводные'!$B$14</f>
        <v/>
      </c>
      <c r="AF445">
        <f>'19_Расчет_аналитики'!AE444*'01_Вводные'!$B$14</f>
        <v/>
      </c>
      <c r="AG445">
        <f>'19_Расчет_аналитики'!AF444*'01_Вводные'!$B$14</f>
        <v/>
      </c>
      <c r="AH445">
        <f>'19_Расчет_аналитики'!AG444*'01_Вводные'!$B$14</f>
        <v/>
      </c>
      <c r="AI445">
        <f>'19_Расчет_аналитики'!AH444*'01_Вводные'!$B$14</f>
        <v/>
      </c>
      <c r="AJ445">
        <f>'19_Расчет_аналитики'!AI444*'01_Вводные'!$B$14</f>
        <v/>
      </c>
      <c r="AK445">
        <f>'19_Расчет_аналитики'!AJ444*'01_Вводные'!$B$14</f>
        <v/>
      </c>
      <c r="AL445">
        <f>'19_Расчет_аналитики'!AK444*'01_Вводные'!$B$14</f>
        <v/>
      </c>
      <c r="AM445">
        <f>'19_Расчет_аналитики'!AL444*'01_Вводные'!$B$14</f>
        <v/>
      </c>
      <c r="AN445">
        <f>'19_Расчет_аналитики'!AM444*'01_Вводные'!$B$14</f>
        <v/>
      </c>
      <c r="AO445">
        <f>'19_Расчет_аналитики'!AN444*'01_Вводные'!$B$14</f>
        <v/>
      </c>
      <c r="AP445">
        <f>'19_Расчет_аналитики'!AO444*'01_Вводные'!$B$14</f>
        <v/>
      </c>
      <c r="AQ445">
        <f>'19_Расчет_аналитики'!AP444*'01_Вводные'!$B$14</f>
        <v/>
      </c>
      <c r="AR445">
        <f>'19_Расчет_аналитики'!AQ444*'01_Вводные'!$B$14</f>
        <v/>
      </c>
      <c r="AS445">
        <f>'19_Расчет_аналитики'!AR444*'01_Вводные'!$B$14</f>
        <v/>
      </c>
      <c r="AT445">
        <f>'19_Расчет_аналитики'!AS444*'01_Вводные'!$B$14</f>
        <v/>
      </c>
      <c r="AU445">
        <f>'19_Расчет_аналитики'!AT444*'01_Вводные'!$B$14</f>
        <v/>
      </c>
      <c r="AV445">
        <f>'19_Расчет_аналитики'!AU444*'01_Вводные'!$B$14</f>
        <v/>
      </c>
      <c r="AW445">
        <f>'19_Расчет_аналитики'!AV444*'01_Вводные'!$B$14</f>
        <v/>
      </c>
      <c r="AX445">
        <f>'19_Расчет_аналитики'!AW444*'01_Вводные'!$B$14</f>
        <v/>
      </c>
      <c r="AY445">
        <f>'19_Расчет_аналитики'!AX444*'01_Вводные'!$B$14</f>
        <v/>
      </c>
      <c r="AZ445">
        <f>'19_Расчет_аналитики'!AY444*'01_Вводные'!$B$14</f>
        <v/>
      </c>
      <c r="BA445">
        <f>'19_Расчет_аналитики'!AZ444*'01_Вводные'!$B$14</f>
        <v/>
      </c>
      <c r="BB445">
        <f>'19_Расчет_аналитики'!BA444*'01_Вводные'!$B$14</f>
        <v/>
      </c>
      <c r="BC445">
        <f>'19_Расчет_аналитики'!BB444*'01_Вводные'!$B$14</f>
        <v/>
      </c>
      <c r="BD445">
        <f>'19_Расчет_аналитики'!BC444*'01_Вводные'!$B$14</f>
        <v/>
      </c>
      <c r="BE445">
        <f>'19_Расчет_аналитики'!BD444*'01_Вводные'!$B$14</f>
        <v/>
      </c>
      <c r="BF445">
        <f>'19_Расчет_аналитики'!BE444*'01_Вводные'!$B$14</f>
        <v/>
      </c>
      <c r="BG445">
        <f>'19_Расчет_аналитики'!BF444*'01_Вводные'!$B$14</f>
        <v/>
      </c>
      <c r="BH445">
        <f>'19_Расчет_аналитики'!BG444*'01_Вводные'!$B$14</f>
        <v/>
      </c>
      <c r="BI445">
        <f>'19_Расчет_аналитики'!BH444*'01_Вводные'!$B$14</f>
        <v/>
      </c>
      <c r="BJ445">
        <f>'19_Расчет_аналитики'!BI444*'01_Вводные'!$B$14</f>
        <v/>
      </c>
      <c r="BK445">
        <f>'19_Расчет_аналитики'!BJ444*'01_Вводные'!$B$14</f>
        <v/>
      </c>
      <c r="BL445">
        <f>'19_Расчет_аналитики'!BK444*'01_Вводные'!$B$14</f>
        <v/>
      </c>
      <c r="BM445">
        <f>'19_Расчет_аналитики'!BL444*'01_Вводные'!$B$14</f>
        <v/>
      </c>
      <c r="BN445">
        <f>'19_Расчет_аналитики'!BM444*'01_Вводные'!$B$14</f>
        <v/>
      </c>
      <c r="BO445">
        <f>'19_Расчет_аналитики'!BN444*'01_Вводные'!$B$14</f>
        <v/>
      </c>
    </row>
    <row r="446">
      <c r="B446">
        <f>'06_Сеть_и_дети'!B91</f>
        <v/>
      </c>
      <c r="C446">
        <f>'06_Сеть_и_дети'!C91</f>
        <v/>
      </c>
      <c r="D446">
        <f>'06_Сеть_и_дети'!D91</f>
        <v/>
      </c>
      <c r="E446">
        <f>'06_Сеть_и_дети'!E91</f>
        <v/>
      </c>
      <c r="F446">
        <f>'06_Сеть_и_дети'!F91</f>
        <v/>
      </c>
      <c r="G446">
        <f>'06_Сеть_и_дети'!G91</f>
        <v/>
      </c>
      <c r="H446">
        <f>'06_Сеть_и_дети'!H91</f>
        <v/>
      </c>
      <c r="I446">
        <f>'06_Сеть_и_дети'!I91</f>
        <v/>
      </c>
      <c r="J446">
        <f>'06_Сеть_и_дети'!J91</f>
        <v/>
      </c>
      <c r="K446">
        <f>'06_Сеть_и_дети'!K91</f>
        <v/>
      </c>
      <c r="L446">
        <f>'19_Расчет_аналитики'!K445*'01_Вводные'!$B$14</f>
        <v/>
      </c>
      <c r="M446">
        <f>'19_Расчет_аналитики'!L445*'01_Вводные'!$B$14</f>
        <v/>
      </c>
      <c r="N446">
        <f>'19_Расчет_аналитики'!M445*'01_Вводные'!$B$14</f>
        <v/>
      </c>
      <c r="O446">
        <f>'19_Расчет_аналитики'!N445*'01_Вводные'!$B$14</f>
        <v/>
      </c>
      <c r="P446">
        <f>'19_Расчет_аналитики'!O445*'01_Вводные'!$B$14</f>
        <v/>
      </c>
      <c r="Q446">
        <f>'19_Расчет_аналитики'!P445*'01_Вводные'!$B$14</f>
        <v/>
      </c>
      <c r="R446">
        <f>'19_Расчет_аналитики'!Q445*'01_Вводные'!$B$14</f>
        <v/>
      </c>
      <c r="S446">
        <f>'19_Расчет_аналитики'!R445*'01_Вводные'!$B$14</f>
        <v/>
      </c>
      <c r="T446">
        <f>'19_Расчет_аналитики'!S445*'01_Вводные'!$B$14</f>
        <v/>
      </c>
      <c r="U446">
        <f>'19_Расчет_аналитики'!T445*'01_Вводные'!$B$14</f>
        <v/>
      </c>
      <c r="V446">
        <f>'19_Расчет_аналитики'!U445*'01_Вводные'!$B$14</f>
        <v/>
      </c>
      <c r="W446">
        <f>'19_Расчет_аналитики'!V445*'01_Вводные'!$B$14</f>
        <v/>
      </c>
      <c r="X446">
        <f>'19_Расчет_аналитики'!W445*'01_Вводные'!$B$14</f>
        <v/>
      </c>
      <c r="Y446">
        <f>'19_Расчет_аналитики'!X445*'01_Вводные'!$B$14</f>
        <v/>
      </c>
      <c r="Z446">
        <f>'19_Расчет_аналитики'!Y445*'01_Вводные'!$B$14</f>
        <v/>
      </c>
      <c r="AA446">
        <f>'19_Расчет_аналитики'!Z445*'01_Вводные'!$B$14</f>
        <v/>
      </c>
      <c r="AB446">
        <f>'19_Расчет_аналитики'!AA445*'01_Вводные'!$B$14</f>
        <v/>
      </c>
      <c r="AC446">
        <f>'19_Расчет_аналитики'!AB445*'01_Вводные'!$B$14</f>
        <v/>
      </c>
      <c r="AD446">
        <f>'19_Расчет_аналитики'!AC445*'01_Вводные'!$B$14</f>
        <v/>
      </c>
      <c r="AE446">
        <f>'19_Расчет_аналитики'!AD445*'01_Вводные'!$B$14</f>
        <v/>
      </c>
      <c r="AF446">
        <f>'19_Расчет_аналитики'!AE445*'01_Вводные'!$B$14</f>
        <v/>
      </c>
      <c r="AG446">
        <f>'19_Расчет_аналитики'!AF445*'01_Вводные'!$B$14</f>
        <v/>
      </c>
      <c r="AH446">
        <f>'19_Расчет_аналитики'!AG445*'01_Вводные'!$B$14</f>
        <v/>
      </c>
      <c r="AI446">
        <f>'19_Расчет_аналитики'!AH445*'01_Вводные'!$B$14</f>
        <v/>
      </c>
      <c r="AJ446">
        <f>'19_Расчет_аналитики'!AI445*'01_Вводные'!$B$14</f>
        <v/>
      </c>
      <c r="AK446">
        <f>'19_Расчет_аналитики'!AJ445*'01_Вводные'!$B$14</f>
        <v/>
      </c>
      <c r="AL446">
        <f>'19_Расчет_аналитики'!AK445*'01_Вводные'!$B$14</f>
        <v/>
      </c>
      <c r="AM446">
        <f>'19_Расчет_аналитики'!AL445*'01_Вводные'!$B$14</f>
        <v/>
      </c>
      <c r="AN446">
        <f>'19_Расчет_аналитики'!AM445*'01_Вводные'!$B$14</f>
        <v/>
      </c>
      <c r="AO446">
        <f>'19_Расчет_аналитики'!AN445*'01_Вводные'!$B$14</f>
        <v/>
      </c>
      <c r="AP446">
        <f>'19_Расчет_аналитики'!AO445*'01_Вводные'!$B$14</f>
        <v/>
      </c>
      <c r="AQ446">
        <f>'19_Расчет_аналитики'!AP445*'01_Вводные'!$B$14</f>
        <v/>
      </c>
      <c r="AR446">
        <f>'19_Расчет_аналитики'!AQ445*'01_Вводные'!$B$14</f>
        <v/>
      </c>
      <c r="AS446">
        <f>'19_Расчет_аналитики'!AR445*'01_Вводные'!$B$14</f>
        <v/>
      </c>
      <c r="AT446">
        <f>'19_Расчет_аналитики'!AS445*'01_Вводные'!$B$14</f>
        <v/>
      </c>
      <c r="AU446">
        <f>'19_Расчет_аналитики'!AT445*'01_Вводные'!$B$14</f>
        <v/>
      </c>
      <c r="AV446">
        <f>'19_Расчет_аналитики'!AU445*'01_Вводные'!$B$14</f>
        <v/>
      </c>
      <c r="AW446">
        <f>'19_Расчет_аналитики'!AV445*'01_Вводные'!$B$14</f>
        <v/>
      </c>
      <c r="AX446">
        <f>'19_Расчет_аналитики'!AW445*'01_Вводные'!$B$14</f>
        <v/>
      </c>
      <c r="AY446">
        <f>'19_Расчет_аналитики'!AX445*'01_Вводные'!$B$14</f>
        <v/>
      </c>
      <c r="AZ446">
        <f>'19_Расчет_аналитики'!AY445*'01_Вводные'!$B$14</f>
        <v/>
      </c>
      <c r="BA446">
        <f>'19_Расчет_аналитики'!AZ445*'01_Вводные'!$B$14</f>
        <v/>
      </c>
      <c r="BB446">
        <f>'19_Расчет_аналитики'!BA445*'01_Вводные'!$B$14</f>
        <v/>
      </c>
      <c r="BC446">
        <f>'19_Расчет_аналитики'!BB445*'01_Вводные'!$B$14</f>
        <v/>
      </c>
      <c r="BD446">
        <f>'19_Расчет_аналитики'!BC445*'01_Вводные'!$B$14</f>
        <v/>
      </c>
      <c r="BE446">
        <f>'19_Расчет_аналитики'!BD445*'01_Вводные'!$B$14</f>
        <v/>
      </c>
      <c r="BF446">
        <f>'19_Расчет_аналитики'!BE445*'01_Вводные'!$B$14</f>
        <v/>
      </c>
      <c r="BG446">
        <f>'19_Расчет_аналитики'!BF445*'01_Вводные'!$B$14</f>
        <v/>
      </c>
      <c r="BH446">
        <f>'19_Расчет_аналитики'!BG445*'01_Вводные'!$B$14</f>
        <v/>
      </c>
      <c r="BI446">
        <f>'19_Расчет_аналитики'!BH445*'01_Вводные'!$B$14</f>
        <v/>
      </c>
      <c r="BJ446">
        <f>'19_Расчет_аналитики'!BI445*'01_Вводные'!$B$14</f>
        <v/>
      </c>
      <c r="BK446">
        <f>'19_Расчет_аналитики'!BJ445*'01_Вводные'!$B$14</f>
        <v/>
      </c>
      <c r="BL446">
        <f>'19_Расчет_аналитики'!BK445*'01_Вводные'!$B$14</f>
        <v/>
      </c>
      <c r="BM446">
        <f>'19_Расчет_аналитики'!BL445*'01_Вводные'!$B$14</f>
        <v/>
      </c>
      <c r="BN446">
        <f>'19_Расчет_аналитики'!BM445*'01_Вводные'!$B$14</f>
        <v/>
      </c>
      <c r="BO446">
        <f>'19_Расчет_аналитики'!BN445*'01_Вводные'!$B$14</f>
        <v/>
      </c>
    </row>
    <row r="447">
      <c r="B447">
        <f>'06_Сеть_и_дети'!B92</f>
        <v/>
      </c>
      <c r="C447">
        <f>'06_Сеть_и_дети'!C92</f>
        <v/>
      </c>
      <c r="D447">
        <f>'06_Сеть_и_дети'!D92</f>
        <v/>
      </c>
      <c r="E447">
        <f>'06_Сеть_и_дети'!E92</f>
        <v/>
      </c>
      <c r="F447">
        <f>'06_Сеть_и_дети'!F92</f>
        <v/>
      </c>
      <c r="G447">
        <f>'06_Сеть_и_дети'!G92</f>
        <v/>
      </c>
      <c r="H447">
        <f>'06_Сеть_и_дети'!H92</f>
        <v/>
      </c>
      <c r="I447">
        <f>'06_Сеть_и_дети'!I92</f>
        <v/>
      </c>
      <c r="J447">
        <f>'06_Сеть_и_дети'!J92</f>
        <v/>
      </c>
      <c r="K447">
        <f>'06_Сеть_и_дети'!K92</f>
        <v/>
      </c>
      <c r="L447">
        <f>'06_Сеть_и_дети'!L92</f>
        <v/>
      </c>
      <c r="M447">
        <f>'19_Расчет_аналитики'!L446*'01_Вводные'!$B$14</f>
        <v/>
      </c>
      <c r="N447">
        <f>'19_Расчет_аналитики'!M446*'01_Вводные'!$B$14</f>
        <v/>
      </c>
      <c r="O447">
        <f>'19_Расчет_аналитики'!N446*'01_Вводные'!$B$14</f>
        <v/>
      </c>
      <c r="P447">
        <f>'19_Расчет_аналитики'!O446*'01_Вводные'!$B$14</f>
        <v/>
      </c>
      <c r="Q447">
        <f>'19_Расчет_аналитики'!P446*'01_Вводные'!$B$14</f>
        <v/>
      </c>
      <c r="R447">
        <f>'19_Расчет_аналитики'!Q446*'01_Вводные'!$B$14</f>
        <v/>
      </c>
      <c r="S447">
        <f>'19_Расчет_аналитики'!R446*'01_Вводные'!$B$14</f>
        <v/>
      </c>
      <c r="T447">
        <f>'19_Расчет_аналитики'!S446*'01_Вводные'!$B$14</f>
        <v/>
      </c>
      <c r="U447">
        <f>'19_Расчет_аналитики'!T446*'01_Вводные'!$B$14</f>
        <v/>
      </c>
      <c r="V447">
        <f>'19_Расчет_аналитики'!U446*'01_Вводные'!$B$14</f>
        <v/>
      </c>
      <c r="W447">
        <f>'19_Расчет_аналитики'!V446*'01_Вводные'!$B$14</f>
        <v/>
      </c>
      <c r="X447">
        <f>'19_Расчет_аналитики'!W446*'01_Вводные'!$B$14</f>
        <v/>
      </c>
      <c r="Y447">
        <f>'19_Расчет_аналитики'!X446*'01_Вводные'!$B$14</f>
        <v/>
      </c>
      <c r="Z447">
        <f>'19_Расчет_аналитики'!Y446*'01_Вводные'!$B$14</f>
        <v/>
      </c>
      <c r="AA447">
        <f>'19_Расчет_аналитики'!Z446*'01_Вводные'!$B$14</f>
        <v/>
      </c>
      <c r="AB447">
        <f>'19_Расчет_аналитики'!AA446*'01_Вводные'!$B$14</f>
        <v/>
      </c>
      <c r="AC447">
        <f>'19_Расчет_аналитики'!AB446*'01_Вводные'!$B$14</f>
        <v/>
      </c>
      <c r="AD447">
        <f>'19_Расчет_аналитики'!AC446*'01_Вводные'!$B$14</f>
        <v/>
      </c>
      <c r="AE447">
        <f>'19_Расчет_аналитики'!AD446*'01_Вводные'!$B$14</f>
        <v/>
      </c>
      <c r="AF447">
        <f>'19_Расчет_аналитики'!AE446*'01_Вводные'!$B$14</f>
        <v/>
      </c>
      <c r="AG447">
        <f>'19_Расчет_аналитики'!AF446*'01_Вводные'!$B$14</f>
        <v/>
      </c>
      <c r="AH447">
        <f>'19_Расчет_аналитики'!AG446*'01_Вводные'!$B$14</f>
        <v/>
      </c>
      <c r="AI447">
        <f>'19_Расчет_аналитики'!AH446*'01_Вводные'!$B$14</f>
        <v/>
      </c>
      <c r="AJ447">
        <f>'19_Расчет_аналитики'!AI446*'01_Вводные'!$B$14</f>
        <v/>
      </c>
      <c r="AK447">
        <f>'19_Расчет_аналитики'!AJ446*'01_Вводные'!$B$14</f>
        <v/>
      </c>
      <c r="AL447">
        <f>'19_Расчет_аналитики'!AK446*'01_Вводные'!$B$14</f>
        <v/>
      </c>
      <c r="AM447">
        <f>'19_Расчет_аналитики'!AL446*'01_Вводные'!$B$14</f>
        <v/>
      </c>
      <c r="AN447">
        <f>'19_Расчет_аналитики'!AM446*'01_Вводные'!$B$14</f>
        <v/>
      </c>
      <c r="AO447">
        <f>'19_Расчет_аналитики'!AN446*'01_Вводные'!$B$14</f>
        <v/>
      </c>
      <c r="AP447">
        <f>'19_Расчет_аналитики'!AO446*'01_Вводные'!$B$14</f>
        <v/>
      </c>
      <c r="AQ447">
        <f>'19_Расчет_аналитики'!AP446*'01_Вводные'!$B$14</f>
        <v/>
      </c>
      <c r="AR447">
        <f>'19_Расчет_аналитики'!AQ446*'01_Вводные'!$B$14</f>
        <v/>
      </c>
      <c r="AS447">
        <f>'19_Расчет_аналитики'!AR446*'01_Вводные'!$B$14</f>
        <v/>
      </c>
      <c r="AT447">
        <f>'19_Расчет_аналитики'!AS446*'01_Вводные'!$B$14</f>
        <v/>
      </c>
      <c r="AU447">
        <f>'19_Расчет_аналитики'!AT446*'01_Вводные'!$B$14</f>
        <v/>
      </c>
      <c r="AV447">
        <f>'19_Расчет_аналитики'!AU446*'01_Вводные'!$B$14</f>
        <v/>
      </c>
      <c r="AW447">
        <f>'19_Расчет_аналитики'!AV446*'01_Вводные'!$B$14</f>
        <v/>
      </c>
      <c r="AX447">
        <f>'19_Расчет_аналитики'!AW446*'01_Вводные'!$B$14</f>
        <v/>
      </c>
      <c r="AY447">
        <f>'19_Расчет_аналитики'!AX446*'01_Вводные'!$B$14</f>
        <v/>
      </c>
      <c r="AZ447">
        <f>'19_Расчет_аналитики'!AY446*'01_Вводные'!$B$14</f>
        <v/>
      </c>
      <c r="BA447">
        <f>'19_Расчет_аналитики'!AZ446*'01_Вводные'!$B$14</f>
        <v/>
      </c>
      <c r="BB447">
        <f>'19_Расчет_аналитики'!BA446*'01_Вводные'!$B$14</f>
        <v/>
      </c>
      <c r="BC447">
        <f>'19_Расчет_аналитики'!BB446*'01_Вводные'!$B$14</f>
        <v/>
      </c>
      <c r="BD447">
        <f>'19_Расчет_аналитики'!BC446*'01_Вводные'!$B$14</f>
        <v/>
      </c>
      <c r="BE447">
        <f>'19_Расчет_аналитики'!BD446*'01_Вводные'!$B$14</f>
        <v/>
      </c>
      <c r="BF447">
        <f>'19_Расчет_аналитики'!BE446*'01_Вводные'!$B$14</f>
        <v/>
      </c>
      <c r="BG447">
        <f>'19_Расчет_аналитики'!BF446*'01_Вводные'!$B$14</f>
        <v/>
      </c>
      <c r="BH447">
        <f>'19_Расчет_аналитики'!BG446*'01_Вводные'!$B$14</f>
        <v/>
      </c>
      <c r="BI447">
        <f>'19_Расчет_аналитики'!BH446*'01_Вводные'!$B$14</f>
        <v/>
      </c>
      <c r="BJ447">
        <f>'19_Расчет_аналитики'!BI446*'01_Вводные'!$B$14</f>
        <v/>
      </c>
      <c r="BK447">
        <f>'19_Расчет_аналитики'!BJ446*'01_Вводные'!$B$14</f>
        <v/>
      </c>
      <c r="BL447">
        <f>'19_Расчет_аналитики'!BK446*'01_Вводные'!$B$14</f>
        <v/>
      </c>
      <c r="BM447">
        <f>'19_Расчет_аналитики'!BL446*'01_Вводные'!$B$14</f>
        <v/>
      </c>
      <c r="BN447">
        <f>'19_Расчет_аналитики'!BM446*'01_Вводные'!$B$14</f>
        <v/>
      </c>
      <c r="BO447">
        <f>'19_Расчет_аналитики'!BN446*'01_Вводные'!$B$14</f>
        <v/>
      </c>
    </row>
    <row r="448">
      <c r="N448">
        <f>'19_Расчет_аналитики'!M447*'01_Вводные'!$B$14</f>
        <v/>
      </c>
      <c r="O448">
        <f>'19_Расчет_аналитики'!N447*'01_Вводные'!$B$14</f>
        <v/>
      </c>
      <c r="P448">
        <f>'19_Расчет_аналитики'!O447*'01_Вводные'!$B$14</f>
        <v/>
      </c>
      <c r="Q448">
        <f>'19_Расчет_аналитики'!P447*'01_Вводные'!$B$14</f>
        <v/>
      </c>
      <c r="R448">
        <f>'19_Расчет_аналитики'!Q447*'01_Вводные'!$B$14</f>
        <v/>
      </c>
      <c r="S448">
        <f>'19_Расчет_аналитики'!R447*'01_Вводные'!$B$14</f>
        <v/>
      </c>
      <c r="T448">
        <f>'19_Расчет_аналитики'!S447*'01_Вводные'!$B$14</f>
        <v/>
      </c>
      <c r="U448">
        <f>'19_Расчет_аналитики'!T447*'01_Вводные'!$B$14</f>
        <v/>
      </c>
      <c r="V448">
        <f>'19_Расчет_аналитики'!U447*'01_Вводные'!$B$14</f>
        <v/>
      </c>
      <c r="W448">
        <f>'19_Расчет_аналитики'!V447*'01_Вводные'!$B$14</f>
        <v/>
      </c>
      <c r="X448">
        <f>'19_Расчет_аналитики'!W447*'01_Вводные'!$B$14</f>
        <v/>
      </c>
      <c r="Y448">
        <f>'19_Расчет_аналитики'!X447*'01_Вводные'!$B$14</f>
        <v/>
      </c>
      <c r="Z448">
        <f>'19_Расчет_аналитики'!Y447*'01_Вводные'!$B$14</f>
        <v/>
      </c>
      <c r="AA448">
        <f>'19_Расчет_аналитики'!Z447*'01_Вводные'!$B$14</f>
        <v/>
      </c>
      <c r="AB448">
        <f>'19_Расчет_аналитики'!AA447*'01_Вводные'!$B$14</f>
        <v/>
      </c>
      <c r="AC448">
        <f>'19_Расчет_аналитики'!AB447*'01_Вводные'!$B$14</f>
        <v/>
      </c>
      <c r="AD448">
        <f>'19_Расчет_аналитики'!AC447*'01_Вводные'!$B$14</f>
        <v/>
      </c>
      <c r="AE448">
        <f>'19_Расчет_аналитики'!AD447*'01_Вводные'!$B$14</f>
        <v/>
      </c>
      <c r="AF448">
        <f>'19_Расчет_аналитики'!AE447*'01_Вводные'!$B$14</f>
        <v/>
      </c>
      <c r="AG448">
        <f>'19_Расчет_аналитики'!AF447*'01_Вводные'!$B$14</f>
        <v/>
      </c>
      <c r="AH448">
        <f>'19_Расчет_аналитики'!AG447*'01_Вводные'!$B$14</f>
        <v/>
      </c>
      <c r="AI448">
        <f>'19_Расчет_аналитики'!AH447*'01_Вводные'!$B$14</f>
        <v/>
      </c>
      <c r="AJ448">
        <f>'19_Расчет_аналитики'!AI447*'01_Вводные'!$B$14</f>
        <v/>
      </c>
      <c r="AK448">
        <f>'19_Расчет_аналитики'!AJ447*'01_Вводные'!$B$14</f>
        <v/>
      </c>
      <c r="AL448">
        <f>'19_Расчет_аналитики'!AK447*'01_Вводные'!$B$14</f>
        <v/>
      </c>
      <c r="AM448">
        <f>'19_Расчет_аналитики'!AL447*'01_Вводные'!$B$14</f>
        <v/>
      </c>
      <c r="AN448">
        <f>'19_Расчет_аналитики'!AM447*'01_Вводные'!$B$14</f>
        <v/>
      </c>
      <c r="AO448">
        <f>'19_Расчет_аналитики'!AN447*'01_Вводные'!$B$14</f>
        <v/>
      </c>
      <c r="AP448">
        <f>'19_Расчет_аналитики'!AO447*'01_Вводные'!$B$14</f>
        <v/>
      </c>
      <c r="AQ448">
        <f>'19_Расчет_аналитики'!AP447*'01_Вводные'!$B$14</f>
        <v/>
      </c>
      <c r="AR448">
        <f>'19_Расчет_аналитики'!AQ447*'01_Вводные'!$B$14</f>
        <v/>
      </c>
      <c r="AS448">
        <f>'19_Расчет_аналитики'!AR447*'01_Вводные'!$B$14</f>
        <v/>
      </c>
      <c r="AT448">
        <f>'19_Расчет_аналитики'!AS447*'01_Вводные'!$B$14</f>
        <v/>
      </c>
      <c r="AU448">
        <f>'19_Расчет_аналитики'!AT447*'01_Вводные'!$B$14</f>
        <v/>
      </c>
      <c r="AV448">
        <f>'19_Расчет_аналитики'!AU447*'01_Вводные'!$B$14</f>
        <v/>
      </c>
      <c r="AW448">
        <f>'19_Расчет_аналитики'!AV447*'01_Вводные'!$B$14</f>
        <v/>
      </c>
      <c r="AX448">
        <f>'19_Расчет_аналитики'!AW447*'01_Вводные'!$B$14</f>
        <v/>
      </c>
      <c r="AY448">
        <f>'19_Расчет_аналитики'!AX447*'01_Вводные'!$B$14</f>
        <v/>
      </c>
      <c r="AZ448">
        <f>'19_Расчет_аналитики'!AY447*'01_Вводные'!$B$14</f>
        <v/>
      </c>
      <c r="BA448">
        <f>'19_Расчет_аналитики'!AZ447*'01_Вводные'!$B$14</f>
        <v/>
      </c>
      <c r="BB448">
        <f>'19_Расчет_аналитики'!BA447*'01_Вводные'!$B$14</f>
        <v/>
      </c>
      <c r="BC448">
        <f>'19_Расчет_аналитики'!BB447*'01_Вводные'!$B$14</f>
        <v/>
      </c>
      <c r="BD448">
        <f>'19_Расчет_аналитики'!BC447*'01_Вводные'!$B$14</f>
        <v/>
      </c>
      <c r="BE448">
        <f>'19_Расчет_аналитики'!BD447*'01_Вводные'!$B$14</f>
        <v/>
      </c>
      <c r="BF448">
        <f>'19_Расчет_аналитики'!BE447*'01_Вводные'!$B$14</f>
        <v/>
      </c>
      <c r="BG448">
        <f>'19_Расчет_аналитики'!BF447*'01_Вводные'!$B$14</f>
        <v/>
      </c>
      <c r="BH448">
        <f>'19_Расчет_аналитики'!BG447*'01_Вводные'!$B$14</f>
        <v/>
      </c>
      <c r="BI448">
        <f>'19_Расчет_аналитики'!BH447*'01_Вводные'!$B$14</f>
        <v/>
      </c>
      <c r="BJ448">
        <f>'19_Расчет_аналитики'!BI447*'01_Вводные'!$B$14</f>
        <v/>
      </c>
      <c r="BK448">
        <f>'19_Расчет_аналитики'!BJ447*'01_Вводные'!$B$14</f>
        <v/>
      </c>
      <c r="BL448">
        <f>'19_Расчет_аналитики'!BK447*'01_Вводные'!$B$14</f>
        <v/>
      </c>
      <c r="BM448">
        <f>'19_Расчет_аналитики'!BL447*'01_Вводные'!$B$14</f>
        <v/>
      </c>
      <c r="BN448">
        <f>'19_Расчет_аналитики'!BM447*'01_Вводные'!$B$14</f>
        <v/>
      </c>
      <c r="BO448">
        <f>'19_Расчет_аналитики'!BN447*'01_Вводные'!$B$14</f>
        <v/>
      </c>
    </row>
    <row r="449">
      <c r="N449">
        <f>'06_Сеть_и_дети'!N94</f>
        <v/>
      </c>
      <c r="O449">
        <f>'19_Расчет_аналитики'!N448*'01_Вводные'!$B$14</f>
        <v/>
      </c>
      <c r="P449">
        <f>'19_Расчет_аналитики'!O448*'01_Вводные'!$B$14</f>
        <v/>
      </c>
      <c r="Q449">
        <f>'19_Расчет_аналитики'!P448*'01_Вводные'!$B$14</f>
        <v/>
      </c>
      <c r="R449">
        <f>'19_Расчет_аналитики'!Q448*'01_Вводные'!$B$14</f>
        <v/>
      </c>
      <c r="S449">
        <f>'19_Расчет_аналитики'!R448*'01_Вводные'!$B$14</f>
        <v/>
      </c>
      <c r="T449">
        <f>'19_Расчет_аналитики'!S448*'01_Вводные'!$B$14</f>
        <v/>
      </c>
      <c r="U449">
        <f>'19_Расчет_аналитики'!T448*'01_Вводные'!$B$14</f>
        <v/>
      </c>
      <c r="V449">
        <f>'19_Расчет_аналитики'!U448*'01_Вводные'!$B$14</f>
        <v/>
      </c>
      <c r="W449">
        <f>'19_Расчет_аналитики'!V448*'01_Вводные'!$B$14</f>
        <v/>
      </c>
      <c r="X449">
        <f>'19_Расчет_аналитики'!W448*'01_Вводные'!$B$14</f>
        <v/>
      </c>
      <c r="Y449">
        <f>'19_Расчет_аналитики'!X448*'01_Вводные'!$B$14</f>
        <v/>
      </c>
      <c r="Z449">
        <f>'19_Расчет_аналитики'!Y448*'01_Вводные'!$B$14</f>
        <v/>
      </c>
      <c r="AA449">
        <f>'19_Расчет_аналитики'!Z448*'01_Вводные'!$B$14</f>
        <v/>
      </c>
      <c r="AB449">
        <f>'19_Расчет_аналитики'!AA448*'01_Вводные'!$B$14</f>
        <v/>
      </c>
      <c r="AC449">
        <f>'19_Расчет_аналитики'!AB448*'01_Вводные'!$B$14</f>
        <v/>
      </c>
      <c r="AD449">
        <f>'19_Расчет_аналитики'!AC448*'01_Вводные'!$B$14</f>
        <v/>
      </c>
      <c r="AE449">
        <f>'19_Расчет_аналитики'!AD448*'01_Вводные'!$B$14</f>
        <v/>
      </c>
      <c r="AF449">
        <f>'19_Расчет_аналитики'!AE448*'01_Вводные'!$B$14</f>
        <v/>
      </c>
      <c r="AG449">
        <f>'19_Расчет_аналитики'!AF448*'01_Вводные'!$B$14</f>
        <v/>
      </c>
      <c r="AH449">
        <f>'19_Расчет_аналитики'!AG448*'01_Вводные'!$B$14</f>
        <v/>
      </c>
      <c r="AI449">
        <f>'19_Расчет_аналитики'!AH448*'01_Вводные'!$B$14</f>
        <v/>
      </c>
      <c r="AJ449">
        <f>'19_Расчет_аналитики'!AI448*'01_Вводные'!$B$14</f>
        <v/>
      </c>
      <c r="AK449">
        <f>'19_Расчет_аналитики'!AJ448*'01_Вводные'!$B$14</f>
        <v/>
      </c>
      <c r="AL449">
        <f>'19_Расчет_аналитики'!AK448*'01_Вводные'!$B$14</f>
        <v/>
      </c>
      <c r="AM449">
        <f>'19_Расчет_аналитики'!AL448*'01_Вводные'!$B$14</f>
        <v/>
      </c>
      <c r="AN449">
        <f>'19_Расчет_аналитики'!AM448*'01_Вводные'!$B$14</f>
        <v/>
      </c>
      <c r="AO449">
        <f>'19_Расчет_аналитики'!AN448*'01_Вводные'!$B$14</f>
        <v/>
      </c>
      <c r="AP449">
        <f>'19_Расчет_аналитики'!AO448*'01_Вводные'!$B$14</f>
        <v/>
      </c>
      <c r="AQ449">
        <f>'19_Расчет_аналитики'!AP448*'01_Вводные'!$B$14</f>
        <v/>
      </c>
      <c r="AR449">
        <f>'19_Расчет_аналитики'!AQ448*'01_Вводные'!$B$14</f>
        <v/>
      </c>
      <c r="AS449">
        <f>'19_Расчет_аналитики'!AR448*'01_Вводные'!$B$14</f>
        <v/>
      </c>
      <c r="AT449">
        <f>'19_Расчет_аналитики'!AS448*'01_Вводные'!$B$14</f>
        <v/>
      </c>
      <c r="AU449">
        <f>'19_Расчет_аналитики'!AT448*'01_Вводные'!$B$14</f>
        <v/>
      </c>
      <c r="AV449">
        <f>'19_Расчет_аналитики'!AU448*'01_Вводные'!$B$14</f>
        <v/>
      </c>
      <c r="AW449">
        <f>'19_Расчет_аналитики'!AV448*'01_Вводные'!$B$14</f>
        <v/>
      </c>
      <c r="AX449">
        <f>'19_Расчет_аналитики'!AW448*'01_Вводные'!$B$14</f>
        <v/>
      </c>
      <c r="AY449">
        <f>'19_Расчет_аналитики'!AX448*'01_Вводные'!$B$14</f>
        <v/>
      </c>
      <c r="AZ449">
        <f>'19_Расчет_аналитики'!AY448*'01_Вводные'!$B$14</f>
        <v/>
      </c>
      <c r="BA449">
        <f>'19_Расчет_аналитики'!AZ448*'01_Вводные'!$B$14</f>
        <v/>
      </c>
      <c r="BB449">
        <f>'19_Расчет_аналитики'!BA448*'01_Вводные'!$B$14</f>
        <v/>
      </c>
      <c r="BC449">
        <f>'19_Расчет_аналитики'!BB448*'01_Вводные'!$B$14</f>
        <v/>
      </c>
      <c r="BD449">
        <f>'19_Расчет_аналитики'!BC448*'01_Вводные'!$B$14</f>
        <v/>
      </c>
      <c r="BE449">
        <f>'19_Расчет_аналитики'!BD448*'01_Вводные'!$B$14</f>
        <v/>
      </c>
      <c r="BF449">
        <f>'19_Расчет_аналитики'!BE448*'01_Вводные'!$B$14</f>
        <v/>
      </c>
      <c r="BG449">
        <f>'19_Расчет_аналитики'!BF448*'01_Вводные'!$B$14</f>
        <v/>
      </c>
      <c r="BH449">
        <f>'19_Расчет_аналитики'!BG448*'01_Вводные'!$B$14</f>
        <v/>
      </c>
      <c r="BI449">
        <f>'19_Расчет_аналитики'!BH448*'01_Вводные'!$B$14</f>
        <v/>
      </c>
      <c r="BJ449">
        <f>'19_Расчет_аналитики'!BI448*'01_Вводные'!$B$14</f>
        <v/>
      </c>
      <c r="BK449">
        <f>'19_Расчет_аналитики'!BJ448*'01_Вводные'!$B$14</f>
        <v/>
      </c>
      <c r="BL449">
        <f>'19_Расчет_аналитики'!BK448*'01_Вводные'!$B$14</f>
        <v/>
      </c>
      <c r="BM449">
        <f>'19_Расчет_аналитики'!BL448*'01_Вводные'!$B$14</f>
        <v/>
      </c>
      <c r="BN449">
        <f>'19_Расчет_аналитики'!BM448*'01_Вводные'!$B$14</f>
        <v/>
      </c>
      <c r="BO449">
        <f>'19_Расчет_аналитики'!BN448*'01_Вводные'!$B$14</f>
        <v/>
      </c>
    </row>
    <row r="450">
      <c r="N450">
        <f>'06_Сеть_и_дети'!N95</f>
        <v/>
      </c>
      <c r="O450">
        <f>'06_Сеть_и_дети'!O95</f>
        <v/>
      </c>
      <c r="P450">
        <f>'19_Расчет_аналитики'!O449*'01_Вводные'!$B$14</f>
        <v/>
      </c>
      <c r="Q450">
        <f>'19_Расчет_аналитики'!P449*'01_Вводные'!$B$14</f>
        <v/>
      </c>
      <c r="R450">
        <f>'19_Расчет_аналитики'!Q449*'01_Вводные'!$B$14</f>
        <v/>
      </c>
      <c r="S450">
        <f>'19_Расчет_аналитики'!R449*'01_Вводные'!$B$14</f>
        <v/>
      </c>
      <c r="T450">
        <f>'19_Расчет_аналитики'!S449*'01_Вводные'!$B$14</f>
        <v/>
      </c>
      <c r="U450">
        <f>'19_Расчет_аналитики'!T449*'01_Вводные'!$B$14</f>
        <v/>
      </c>
      <c r="V450">
        <f>'19_Расчет_аналитики'!U449*'01_Вводные'!$B$14</f>
        <v/>
      </c>
      <c r="W450">
        <f>'19_Расчет_аналитики'!V449*'01_Вводные'!$B$14</f>
        <v/>
      </c>
      <c r="X450">
        <f>'19_Расчет_аналитики'!W449*'01_Вводные'!$B$14</f>
        <v/>
      </c>
      <c r="Y450">
        <f>'19_Расчет_аналитики'!X449*'01_Вводные'!$B$14</f>
        <v/>
      </c>
      <c r="Z450">
        <f>'19_Расчет_аналитики'!Y449*'01_Вводные'!$B$14</f>
        <v/>
      </c>
      <c r="AA450">
        <f>'19_Расчет_аналитики'!Z449*'01_Вводные'!$B$14</f>
        <v/>
      </c>
      <c r="AB450">
        <f>'19_Расчет_аналитики'!AA449*'01_Вводные'!$B$14</f>
        <v/>
      </c>
      <c r="AC450">
        <f>'19_Расчет_аналитики'!AB449*'01_Вводные'!$B$14</f>
        <v/>
      </c>
      <c r="AD450">
        <f>'19_Расчет_аналитики'!AC449*'01_Вводные'!$B$14</f>
        <v/>
      </c>
      <c r="AE450">
        <f>'19_Расчет_аналитики'!AD449*'01_Вводные'!$B$14</f>
        <v/>
      </c>
      <c r="AF450">
        <f>'19_Расчет_аналитики'!AE449*'01_Вводные'!$B$14</f>
        <v/>
      </c>
      <c r="AG450">
        <f>'19_Расчет_аналитики'!AF449*'01_Вводные'!$B$14</f>
        <v/>
      </c>
      <c r="AH450">
        <f>'19_Расчет_аналитики'!AG449*'01_Вводные'!$B$14</f>
        <v/>
      </c>
      <c r="AI450">
        <f>'19_Расчет_аналитики'!AH449*'01_Вводные'!$B$14</f>
        <v/>
      </c>
      <c r="AJ450">
        <f>'19_Расчет_аналитики'!AI449*'01_Вводные'!$B$14</f>
        <v/>
      </c>
      <c r="AK450">
        <f>'19_Расчет_аналитики'!AJ449*'01_Вводные'!$B$14</f>
        <v/>
      </c>
      <c r="AL450">
        <f>'19_Расчет_аналитики'!AK449*'01_Вводные'!$B$14</f>
        <v/>
      </c>
      <c r="AM450">
        <f>'19_Расчет_аналитики'!AL449*'01_Вводные'!$B$14</f>
        <v/>
      </c>
      <c r="AN450">
        <f>'19_Расчет_аналитики'!AM449*'01_Вводные'!$B$14</f>
        <v/>
      </c>
      <c r="AO450">
        <f>'19_Расчет_аналитики'!AN449*'01_Вводные'!$B$14</f>
        <v/>
      </c>
      <c r="AP450">
        <f>'19_Расчет_аналитики'!AO449*'01_Вводные'!$B$14</f>
        <v/>
      </c>
      <c r="AQ450">
        <f>'19_Расчет_аналитики'!AP449*'01_Вводные'!$B$14</f>
        <v/>
      </c>
      <c r="AR450">
        <f>'19_Расчет_аналитики'!AQ449*'01_Вводные'!$B$14</f>
        <v/>
      </c>
      <c r="AS450">
        <f>'19_Расчет_аналитики'!AR449*'01_Вводные'!$B$14</f>
        <v/>
      </c>
      <c r="AT450">
        <f>'19_Расчет_аналитики'!AS449*'01_Вводные'!$B$14</f>
        <v/>
      </c>
      <c r="AU450">
        <f>'19_Расчет_аналитики'!AT449*'01_Вводные'!$B$14</f>
        <v/>
      </c>
      <c r="AV450">
        <f>'19_Расчет_аналитики'!AU449*'01_Вводные'!$B$14</f>
        <v/>
      </c>
      <c r="AW450">
        <f>'19_Расчет_аналитики'!AV449*'01_Вводные'!$B$14</f>
        <v/>
      </c>
      <c r="AX450">
        <f>'19_Расчет_аналитики'!AW449*'01_Вводные'!$B$14</f>
        <v/>
      </c>
      <c r="AY450">
        <f>'19_Расчет_аналитики'!AX449*'01_Вводные'!$B$14</f>
        <v/>
      </c>
      <c r="AZ450">
        <f>'19_Расчет_аналитики'!AY449*'01_Вводные'!$B$14</f>
        <v/>
      </c>
      <c r="BA450">
        <f>'19_Расчет_аналитики'!AZ449*'01_Вводные'!$B$14</f>
        <v/>
      </c>
      <c r="BB450">
        <f>'19_Расчет_аналитики'!BA449*'01_Вводные'!$B$14</f>
        <v/>
      </c>
      <c r="BC450">
        <f>'19_Расчет_аналитики'!BB449*'01_Вводные'!$B$14</f>
        <v/>
      </c>
      <c r="BD450">
        <f>'19_Расчет_аналитики'!BC449*'01_Вводные'!$B$14</f>
        <v/>
      </c>
      <c r="BE450">
        <f>'19_Расчет_аналитики'!BD449*'01_Вводные'!$B$14</f>
        <v/>
      </c>
      <c r="BF450">
        <f>'19_Расчет_аналитики'!BE449*'01_Вводные'!$B$14</f>
        <v/>
      </c>
      <c r="BG450">
        <f>'19_Расчет_аналитики'!BF449*'01_Вводные'!$B$14</f>
        <v/>
      </c>
      <c r="BH450">
        <f>'19_Расчет_аналитики'!BG449*'01_Вводные'!$B$14</f>
        <v/>
      </c>
      <c r="BI450">
        <f>'19_Расчет_аналитики'!BH449*'01_Вводные'!$B$14</f>
        <v/>
      </c>
      <c r="BJ450">
        <f>'19_Расчет_аналитики'!BI449*'01_Вводные'!$B$14</f>
        <v/>
      </c>
      <c r="BK450">
        <f>'19_Расчет_аналитики'!BJ449*'01_Вводные'!$B$14</f>
        <v/>
      </c>
      <c r="BL450">
        <f>'19_Расчет_аналитики'!BK449*'01_Вводные'!$B$14</f>
        <v/>
      </c>
      <c r="BM450">
        <f>'19_Расчет_аналитики'!BL449*'01_Вводные'!$B$14</f>
        <v/>
      </c>
      <c r="BN450">
        <f>'19_Расчет_аналитики'!BM449*'01_Вводные'!$B$14</f>
        <v/>
      </c>
      <c r="BO450">
        <f>'19_Расчет_аналитики'!BN449*'01_Вводные'!$B$14</f>
        <v/>
      </c>
    </row>
    <row r="451">
      <c r="N451">
        <f>'06_Сеть_и_дети'!N96</f>
        <v/>
      </c>
      <c r="O451">
        <f>'06_Сеть_и_дети'!O96</f>
        <v/>
      </c>
      <c r="P451">
        <f>'06_Сеть_и_дети'!P96</f>
        <v/>
      </c>
      <c r="Q451">
        <f>'19_Расчет_аналитики'!P450*'01_Вводные'!$B$14</f>
        <v/>
      </c>
      <c r="R451">
        <f>'19_Расчет_аналитики'!Q450*'01_Вводные'!$B$14</f>
        <v/>
      </c>
      <c r="S451">
        <f>'19_Расчет_аналитики'!R450*'01_Вводные'!$B$14</f>
        <v/>
      </c>
      <c r="T451">
        <f>'19_Расчет_аналитики'!S450*'01_Вводные'!$B$14</f>
        <v/>
      </c>
      <c r="U451">
        <f>'19_Расчет_аналитики'!T450*'01_Вводные'!$B$14</f>
        <v/>
      </c>
      <c r="V451">
        <f>'19_Расчет_аналитики'!U450*'01_Вводные'!$B$14</f>
        <v/>
      </c>
      <c r="W451">
        <f>'19_Расчет_аналитики'!V450*'01_Вводные'!$B$14</f>
        <v/>
      </c>
      <c r="X451">
        <f>'19_Расчет_аналитики'!W450*'01_Вводные'!$B$14</f>
        <v/>
      </c>
      <c r="Y451">
        <f>'19_Расчет_аналитики'!X450*'01_Вводные'!$B$14</f>
        <v/>
      </c>
      <c r="Z451">
        <f>'19_Расчет_аналитики'!Y450*'01_Вводные'!$B$14</f>
        <v/>
      </c>
      <c r="AA451">
        <f>'19_Расчет_аналитики'!Z450*'01_Вводные'!$B$14</f>
        <v/>
      </c>
      <c r="AB451">
        <f>'19_Расчет_аналитики'!AA450*'01_Вводные'!$B$14</f>
        <v/>
      </c>
      <c r="AC451">
        <f>'19_Расчет_аналитики'!AB450*'01_Вводные'!$B$14</f>
        <v/>
      </c>
      <c r="AD451">
        <f>'19_Расчет_аналитики'!AC450*'01_Вводные'!$B$14</f>
        <v/>
      </c>
      <c r="AE451">
        <f>'19_Расчет_аналитики'!AD450*'01_Вводные'!$B$14</f>
        <v/>
      </c>
      <c r="AF451">
        <f>'19_Расчет_аналитики'!AE450*'01_Вводные'!$B$14</f>
        <v/>
      </c>
      <c r="AG451">
        <f>'19_Расчет_аналитики'!AF450*'01_Вводные'!$B$14</f>
        <v/>
      </c>
      <c r="AH451">
        <f>'19_Расчет_аналитики'!AG450*'01_Вводные'!$B$14</f>
        <v/>
      </c>
      <c r="AI451">
        <f>'19_Расчет_аналитики'!AH450*'01_Вводные'!$B$14</f>
        <v/>
      </c>
      <c r="AJ451">
        <f>'19_Расчет_аналитики'!AI450*'01_Вводные'!$B$14</f>
        <v/>
      </c>
      <c r="AK451">
        <f>'19_Расчет_аналитики'!AJ450*'01_Вводные'!$B$14</f>
        <v/>
      </c>
      <c r="AL451">
        <f>'19_Расчет_аналитики'!AK450*'01_Вводные'!$B$14</f>
        <v/>
      </c>
      <c r="AM451">
        <f>'19_Расчет_аналитики'!AL450*'01_Вводные'!$B$14</f>
        <v/>
      </c>
      <c r="AN451">
        <f>'19_Расчет_аналитики'!AM450*'01_Вводные'!$B$14</f>
        <v/>
      </c>
      <c r="AO451">
        <f>'19_Расчет_аналитики'!AN450*'01_Вводные'!$B$14</f>
        <v/>
      </c>
      <c r="AP451">
        <f>'19_Расчет_аналитики'!AO450*'01_Вводные'!$B$14</f>
        <v/>
      </c>
      <c r="AQ451">
        <f>'19_Расчет_аналитики'!AP450*'01_Вводные'!$B$14</f>
        <v/>
      </c>
      <c r="AR451">
        <f>'19_Расчет_аналитики'!AQ450*'01_Вводные'!$B$14</f>
        <v/>
      </c>
      <c r="AS451">
        <f>'19_Расчет_аналитики'!AR450*'01_Вводные'!$B$14</f>
        <v/>
      </c>
      <c r="AT451">
        <f>'19_Расчет_аналитики'!AS450*'01_Вводные'!$B$14</f>
        <v/>
      </c>
      <c r="AU451">
        <f>'19_Расчет_аналитики'!AT450*'01_Вводные'!$B$14</f>
        <v/>
      </c>
      <c r="AV451">
        <f>'19_Расчет_аналитики'!AU450*'01_Вводные'!$B$14</f>
        <v/>
      </c>
      <c r="AW451">
        <f>'19_Расчет_аналитики'!AV450*'01_Вводные'!$B$14</f>
        <v/>
      </c>
      <c r="AX451">
        <f>'19_Расчет_аналитики'!AW450*'01_Вводные'!$B$14</f>
        <v/>
      </c>
      <c r="AY451">
        <f>'19_Расчет_аналитики'!AX450*'01_Вводные'!$B$14</f>
        <v/>
      </c>
      <c r="AZ451">
        <f>'19_Расчет_аналитики'!AY450*'01_Вводные'!$B$14</f>
        <v/>
      </c>
      <c r="BA451">
        <f>'19_Расчет_аналитики'!AZ450*'01_Вводные'!$B$14</f>
        <v/>
      </c>
      <c r="BB451">
        <f>'19_Расчет_аналитики'!BA450*'01_Вводные'!$B$14</f>
        <v/>
      </c>
      <c r="BC451">
        <f>'19_Расчет_аналитики'!BB450*'01_Вводные'!$B$14</f>
        <v/>
      </c>
      <c r="BD451">
        <f>'19_Расчет_аналитики'!BC450*'01_Вводные'!$B$14</f>
        <v/>
      </c>
      <c r="BE451">
        <f>'19_Расчет_аналитики'!BD450*'01_Вводные'!$B$14</f>
        <v/>
      </c>
      <c r="BF451">
        <f>'19_Расчет_аналитики'!BE450*'01_Вводные'!$B$14</f>
        <v/>
      </c>
      <c r="BG451">
        <f>'19_Расчет_аналитики'!BF450*'01_Вводные'!$B$14</f>
        <v/>
      </c>
      <c r="BH451">
        <f>'19_Расчет_аналитики'!BG450*'01_Вводные'!$B$14</f>
        <v/>
      </c>
      <c r="BI451">
        <f>'19_Расчет_аналитики'!BH450*'01_Вводные'!$B$14</f>
        <v/>
      </c>
      <c r="BJ451">
        <f>'19_Расчет_аналитики'!BI450*'01_Вводные'!$B$14</f>
        <v/>
      </c>
      <c r="BK451">
        <f>'19_Расчет_аналитики'!BJ450*'01_Вводные'!$B$14</f>
        <v/>
      </c>
      <c r="BL451">
        <f>'19_Расчет_аналитики'!BK450*'01_Вводные'!$B$14</f>
        <v/>
      </c>
      <c r="BM451">
        <f>'19_Расчет_аналитики'!BL450*'01_Вводные'!$B$14</f>
        <v/>
      </c>
      <c r="BN451">
        <f>'19_Расчет_аналитики'!BM450*'01_Вводные'!$B$14</f>
        <v/>
      </c>
      <c r="BO451">
        <f>'19_Расчет_аналитики'!BN450*'01_Вводные'!$B$14</f>
        <v/>
      </c>
    </row>
    <row r="452">
      <c r="N452">
        <f>'06_Сеть_и_дети'!N97</f>
        <v/>
      </c>
      <c r="O452">
        <f>'06_Сеть_и_дети'!O97</f>
        <v/>
      </c>
      <c r="P452">
        <f>'06_Сеть_и_дети'!P97</f>
        <v/>
      </c>
      <c r="Q452">
        <f>'06_Сеть_и_дети'!Q97</f>
        <v/>
      </c>
      <c r="R452">
        <f>'19_Расчет_аналитики'!Q451*'01_Вводные'!$B$14</f>
        <v/>
      </c>
      <c r="S452">
        <f>'19_Расчет_аналитики'!R451*'01_Вводные'!$B$14</f>
        <v/>
      </c>
      <c r="T452">
        <f>'19_Расчет_аналитики'!S451*'01_Вводные'!$B$14</f>
        <v/>
      </c>
      <c r="U452">
        <f>'19_Расчет_аналитики'!T451*'01_Вводные'!$B$14</f>
        <v/>
      </c>
      <c r="V452">
        <f>'19_Расчет_аналитики'!U451*'01_Вводные'!$B$14</f>
        <v/>
      </c>
      <c r="W452">
        <f>'19_Расчет_аналитики'!V451*'01_Вводные'!$B$14</f>
        <v/>
      </c>
      <c r="X452">
        <f>'19_Расчет_аналитики'!W451*'01_Вводные'!$B$14</f>
        <v/>
      </c>
      <c r="Y452">
        <f>'19_Расчет_аналитики'!X451*'01_Вводные'!$B$14</f>
        <v/>
      </c>
      <c r="Z452">
        <f>'19_Расчет_аналитики'!Y451*'01_Вводные'!$B$14</f>
        <v/>
      </c>
      <c r="AA452">
        <f>'19_Расчет_аналитики'!Z451*'01_Вводные'!$B$14</f>
        <v/>
      </c>
      <c r="AB452">
        <f>'19_Расчет_аналитики'!AA451*'01_Вводные'!$B$14</f>
        <v/>
      </c>
      <c r="AC452">
        <f>'19_Расчет_аналитики'!AB451*'01_Вводные'!$B$14</f>
        <v/>
      </c>
      <c r="AD452">
        <f>'19_Расчет_аналитики'!AC451*'01_Вводные'!$B$14</f>
        <v/>
      </c>
      <c r="AE452">
        <f>'19_Расчет_аналитики'!AD451*'01_Вводные'!$B$14</f>
        <v/>
      </c>
      <c r="AF452">
        <f>'19_Расчет_аналитики'!AE451*'01_Вводные'!$B$14</f>
        <v/>
      </c>
      <c r="AG452">
        <f>'19_Расчет_аналитики'!AF451*'01_Вводные'!$B$14</f>
        <v/>
      </c>
      <c r="AH452">
        <f>'19_Расчет_аналитики'!AG451*'01_Вводные'!$B$14</f>
        <v/>
      </c>
      <c r="AI452">
        <f>'19_Расчет_аналитики'!AH451*'01_Вводные'!$B$14</f>
        <v/>
      </c>
      <c r="AJ452">
        <f>'19_Расчет_аналитики'!AI451*'01_Вводные'!$B$14</f>
        <v/>
      </c>
      <c r="AK452">
        <f>'19_Расчет_аналитики'!AJ451*'01_Вводные'!$B$14</f>
        <v/>
      </c>
      <c r="AL452">
        <f>'19_Расчет_аналитики'!AK451*'01_Вводные'!$B$14</f>
        <v/>
      </c>
      <c r="AM452">
        <f>'19_Расчет_аналитики'!AL451*'01_Вводные'!$B$14</f>
        <v/>
      </c>
      <c r="AN452">
        <f>'19_Расчет_аналитики'!AM451*'01_Вводные'!$B$14</f>
        <v/>
      </c>
      <c r="AO452">
        <f>'19_Расчет_аналитики'!AN451*'01_Вводные'!$B$14</f>
        <v/>
      </c>
      <c r="AP452">
        <f>'19_Расчет_аналитики'!AO451*'01_Вводные'!$B$14</f>
        <v/>
      </c>
      <c r="AQ452">
        <f>'19_Расчет_аналитики'!AP451*'01_Вводные'!$B$14</f>
        <v/>
      </c>
      <c r="AR452">
        <f>'19_Расчет_аналитики'!AQ451*'01_Вводные'!$B$14</f>
        <v/>
      </c>
      <c r="AS452">
        <f>'19_Расчет_аналитики'!AR451*'01_Вводные'!$B$14</f>
        <v/>
      </c>
      <c r="AT452">
        <f>'19_Расчет_аналитики'!AS451*'01_Вводные'!$B$14</f>
        <v/>
      </c>
      <c r="AU452">
        <f>'19_Расчет_аналитики'!AT451*'01_Вводные'!$B$14</f>
        <v/>
      </c>
      <c r="AV452">
        <f>'19_Расчет_аналитики'!AU451*'01_Вводные'!$B$14</f>
        <v/>
      </c>
      <c r="AW452">
        <f>'19_Расчет_аналитики'!AV451*'01_Вводные'!$B$14</f>
        <v/>
      </c>
      <c r="AX452">
        <f>'19_Расчет_аналитики'!AW451*'01_Вводные'!$B$14</f>
        <v/>
      </c>
      <c r="AY452">
        <f>'19_Расчет_аналитики'!AX451*'01_Вводные'!$B$14</f>
        <v/>
      </c>
      <c r="AZ452">
        <f>'19_Расчет_аналитики'!AY451*'01_Вводные'!$B$14</f>
        <v/>
      </c>
      <c r="BA452">
        <f>'19_Расчет_аналитики'!AZ451*'01_Вводные'!$B$14</f>
        <v/>
      </c>
      <c r="BB452">
        <f>'19_Расчет_аналитики'!BA451*'01_Вводные'!$B$14</f>
        <v/>
      </c>
      <c r="BC452">
        <f>'19_Расчет_аналитики'!BB451*'01_Вводные'!$B$14</f>
        <v/>
      </c>
      <c r="BD452">
        <f>'19_Расчет_аналитики'!BC451*'01_Вводные'!$B$14</f>
        <v/>
      </c>
      <c r="BE452">
        <f>'19_Расчет_аналитики'!BD451*'01_Вводные'!$B$14</f>
        <v/>
      </c>
      <c r="BF452">
        <f>'19_Расчет_аналитики'!BE451*'01_Вводные'!$B$14</f>
        <v/>
      </c>
      <c r="BG452">
        <f>'19_Расчет_аналитики'!BF451*'01_Вводные'!$B$14</f>
        <v/>
      </c>
      <c r="BH452">
        <f>'19_Расчет_аналитики'!BG451*'01_Вводные'!$B$14</f>
        <v/>
      </c>
      <c r="BI452">
        <f>'19_Расчет_аналитики'!BH451*'01_Вводные'!$B$14</f>
        <v/>
      </c>
      <c r="BJ452">
        <f>'19_Расчет_аналитики'!BI451*'01_Вводные'!$B$14</f>
        <v/>
      </c>
      <c r="BK452">
        <f>'19_Расчет_аналитики'!BJ451*'01_Вводные'!$B$14</f>
        <v/>
      </c>
      <c r="BL452">
        <f>'19_Расчет_аналитики'!BK451*'01_Вводные'!$B$14</f>
        <v/>
      </c>
      <c r="BM452">
        <f>'19_Расчет_аналитики'!BL451*'01_Вводные'!$B$14</f>
        <v/>
      </c>
      <c r="BN452">
        <f>'19_Расчет_аналитики'!BM451*'01_Вводные'!$B$14</f>
        <v/>
      </c>
      <c r="BO452">
        <f>'19_Расчет_аналитики'!BN451*'01_Вводные'!$B$14</f>
        <v/>
      </c>
    </row>
    <row r="453">
      <c r="N453">
        <f>'06_Сеть_и_дети'!N98</f>
        <v/>
      </c>
      <c r="O453">
        <f>'06_Сеть_и_дети'!O98</f>
        <v/>
      </c>
      <c r="P453">
        <f>'06_Сеть_и_дети'!P98</f>
        <v/>
      </c>
      <c r="Q453">
        <f>'06_Сеть_и_дети'!Q98</f>
        <v/>
      </c>
      <c r="R453">
        <f>'06_Сеть_и_дети'!R98</f>
        <v/>
      </c>
      <c r="S453">
        <f>'19_Расчет_аналитики'!R452*'01_Вводные'!$B$14</f>
        <v/>
      </c>
      <c r="T453">
        <f>'19_Расчет_аналитики'!S452*'01_Вводные'!$B$14</f>
        <v/>
      </c>
      <c r="U453">
        <f>'19_Расчет_аналитики'!T452*'01_Вводные'!$B$14</f>
        <v/>
      </c>
      <c r="V453">
        <f>'19_Расчет_аналитики'!U452*'01_Вводные'!$B$14</f>
        <v/>
      </c>
      <c r="W453">
        <f>'19_Расчет_аналитики'!V452*'01_Вводные'!$B$14</f>
        <v/>
      </c>
      <c r="X453">
        <f>'19_Расчет_аналитики'!W452*'01_Вводные'!$B$14</f>
        <v/>
      </c>
      <c r="Y453">
        <f>'19_Расчет_аналитики'!X452*'01_Вводные'!$B$14</f>
        <v/>
      </c>
      <c r="Z453">
        <f>'19_Расчет_аналитики'!Y452*'01_Вводные'!$B$14</f>
        <v/>
      </c>
      <c r="AA453">
        <f>'19_Расчет_аналитики'!Z452*'01_Вводные'!$B$14</f>
        <v/>
      </c>
      <c r="AB453">
        <f>'19_Расчет_аналитики'!AA452*'01_Вводные'!$B$14</f>
        <v/>
      </c>
      <c r="AC453">
        <f>'19_Расчет_аналитики'!AB452*'01_Вводные'!$B$14</f>
        <v/>
      </c>
      <c r="AD453">
        <f>'19_Расчет_аналитики'!AC452*'01_Вводные'!$B$14</f>
        <v/>
      </c>
      <c r="AE453">
        <f>'19_Расчет_аналитики'!AD452*'01_Вводные'!$B$14</f>
        <v/>
      </c>
      <c r="AF453">
        <f>'19_Расчет_аналитики'!AE452*'01_Вводные'!$B$14</f>
        <v/>
      </c>
      <c r="AG453">
        <f>'19_Расчет_аналитики'!AF452*'01_Вводные'!$B$14</f>
        <v/>
      </c>
      <c r="AH453">
        <f>'19_Расчет_аналитики'!AG452*'01_Вводные'!$B$14</f>
        <v/>
      </c>
      <c r="AI453">
        <f>'19_Расчет_аналитики'!AH452*'01_Вводные'!$B$14</f>
        <v/>
      </c>
      <c r="AJ453">
        <f>'19_Расчет_аналитики'!AI452*'01_Вводные'!$B$14</f>
        <v/>
      </c>
      <c r="AK453">
        <f>'19_Расчет_аналитики'!AJ452*'01_Вводные'!$B$14</f>
        <v/>
      </c>
      <c r="AL453">
        <f>'19_Расчет_аналитики'!AK452*'01_Вводные'!$B$14</f>
        <v/>
      </c>
      <c r="AM453">
        <f>'19_Расчет_аналитики'!AL452*'01_Вводные'!$B$14</f>
        <v/>
      </c>
      <c r="AN453">
        <f>'19_Расчет_аналитики'!AM452*'01_Вводные'!$B$14</f>
        <v/>
      </c>
      <c r="AO453">
        <f>'19_Расчет_аналитики'!AN452*'01_Вводные'!$B$14</f>
        <v/>
      </c>
      <c r="AP453">
        <f>'19_Расчет_аналитики'!AO452*'01_Вводные'!$B$14</f>
        <v/>
      </c>
      <c r="AQ453">
        <f>'19_Расчет_аналитики'!AP452*'01_Вводные'!$B$14</f>
        <v/>
      </c>
      <c r="AR453">
        <f>'19_Расчет_аналитики'!AQ452*'01_Вводные'!$B$14</f>
        <v/>
      </c>
      <c r="AS453">
        <f>'19_Расчет_аналитики'!AR452*'01_Вводные'!$B$14</f>
        <v/>
      </c>
      <c r="AT453">
        <f>'19_Расчет_аналитики'!AS452*'01_Вводные'!$B$14</f>
        <v/>
      </c>
      <c r="AU453">
        <f>'19_Расчет_аналитики'!AT452*'01_Вводные'!$B$14</f>
        <v/>
      </c>
      <c r="AV453">
        <f>'19_Расчет_аналитики'!AU452*'01_Вводные'!$B$14</f>
        <v/>
      </c>
      <c r="AW453">
        <f>'19_Расчет_аналитики'!AV452*'01_Вводные'!$B$14</f>
        <v/>
      </c>
      <c r="AX453">
        <f>'19_Расчет_аналитики'!AW452*'01_Вводные'!$B$14</f>
        <v/>
      </c>
      <c r="AY453">
        <f>'19_Расчет_аналитики'!AX452*'01_Вводные'!$B$14</f>
        <v/>
      </c>
      <c r="AZ453">
        <f>'19_Расчет_аналитики'!AY452*'01_Вводные'!$B$14</f>
        <v/>
      </c>
      <c r="BA453">
        <f>'19_Расчет_аналитики'!AZ452*'01_Вводные'!$B$14</f>
        <v/>
      </c>
      <c r="BB453">
        <f>'19_Расчет_аналитики'!BA452*'01_Вводные'!$B$14</f>
        <v/>
      </c>
      <c r="BC453">
        <f>'19_Расчет_аналитики'!BB452*'01_Вводные'!$B$14</f>
        <v/>
      </c>
      <c r="BD453">
        <f>'19_Расчет_аналитики'!BC452*'01_Вводные'!$B$14</f>
        <v/>
      </c>
      <c r="BE453">
        <f>'19_Расчет_аналитики'!BD452*'01_Вводные'!$B$14</f>
        <v/>
      </c>
      <c r="BF453">
        <f>'19_Расчет_аналитики'!BE452*'01_Вводные'!$B$14</f>
        <v/>
      </c>
      <c r="BG453">
        <f>'19_Расчет_аналитики'!BF452*'01_Вводные'!$B$14</f>
        <v/>
      </c>
      <c r="BH453">
        <f>'19_Расчет_аналитики'!BG452*'01_Вводные'!$B$14</f>
        <v/>
      </c>
      <c r="BI453">
        <f>'19_Расчет_аналитики'!BH452*'01_Вводные'!$B$14</f>
        <v/>
      </c>
      <c r="BJ453">
        <f>'19_Расчет_аналитики'!BI452*'01_Вводные'!$B$14</f>
        <v/>
      </c>
      <c r="BK453">
        <f>'19_Расчет_аналитики'!BJ452*'01_Вводные'!$B$14</f>
        <v/>
      </c>
      <c r="BL453">
        <f>'19_Расчет_аналитики'!BK452*'01_Вводные'!$B$14</f>
        <v/>
      </c>
      <c r="BM453">
        <f>'19_Расчет_аналитики'!BL452*'01_Вводные'!$B$14</f>
        <v/>
      </c>
      <c r="BN453">
        <f>'19_Расчет_аналитики'!BM452*'01_Вводные'!$B$14</f>
        <v/>
      </c>
      <c r="BO453">
        <f>'19_Расчет_аналитики'!BN452*'01_Вводные'!$B$14</f>
        <v/>
      </c>
    </row>
    <row r="454">
      <c r="N454">
        <f>'06_Сеть_и_дети'!N99</f>
        <v/>
      </c>
      <c r="O454">
        <f>'06_Сеть_и_дети'!O99</f>
        <v/>
      </c>
      <c r="P454">
        <f>'06_Сеть_и_дети'!P99</f>
        <v/>
      </c>
      <c r="Q454">
        <f>'06_Сеть_и_дети'!Q99</f>
        <v/>
      </c>
      <c r="R454">
        <f>'06_Сеть_и_дети'!R99</f>
        <v/>
      </c>
      <c r="S454">
        <f>'06_Сеть_и_дети'!S99</f>
        <v/>
      </c>
      <c r="T454">
        <f>'19_Расчет_аналитики'!S453*'01_Вводные'!$B$14</f>
        <v/>
      </c>
      <c r="U454">
        <f>'19_Расчет_аналитики'!T453*'01_Вводные'!$B$14</f>
        <v/>
      </c>
      <c r="V454">
        <f>'19_Расчет_аналитики'!U453*'01_Вводные'!$B$14</f>
        <v/>
      </c>
      <c r="W454">
        <f>'19_Расчет_аналитики'!V453*'01_Вводные'!$B$14</f>
        <v/>
      </c>
      <c r="X454">
        <f>'19_Расчет_аналитики'!W453*'01_Вводные'!$B$14</f>
        <v/>
      </c>
      <c r="Y454">
        <f>'19_Расчет_аналитики'!X453*'01_Вводные'!$B$14</f>
        <v/>
      </c>
      <c r="Z454">
        <f>'19_Расчет_аналитики'!Y453*'01_Вводные'!$B$14</f>
        <v/>
      </c>
      <c r="AA454">
        <f>'19_Расчет_аналитики'!Z453*'01_Вводные'!$B$14</f>
        <v/>
      </c>
      <c r="AB454">
        <f>'19_Расчет_аналитики'!AA453*'01_Вводные'!$B$14</f>
        <v/>
      </c>
      <c r="AC454">
        <f>'19_Расчет_аналитики'!AB453*'01_Вводные'!$B$14</f>
        <v/>
      </c>
      <c r="AD454">
        <f>'19_Расчет_аналитики'!AC453*'01_Вводные'!$B$14</f>
        <v/>
      </c>
      <c r="AE454">
        <f>'19_Расчет_аналитики'!AD453*'01_Вводные'!$B$14</f>
        <v/>
      </c>
      <c r="AF454">
        <f>'19_Расчет_аналитики'!AE453*'01_Вводные'!$B$14</f>
        <v/>
      </c>
      <c r="AG454">
        <f>'19_Расчет_аналитики'!AF453*'01_Вводные'!$B$14</f>
        <v/>
      </c>
      <c r="AH454">
        <f>'19_Расчет_аналитики'!AG453*'01_Вводные'!$B$14</f>
        <v/>
      </c>
      <c r="AI454">
        <f>'19_Расчет_аналитики'!AH453*'01_Вводные'!$B$14</f>
        <v/>
      </c>
      <c r="AJ454">
        <f>'19_Расчет_аналитики'!AI453*'01_Вводные'!$B$14</f>
        <v/>
      </c>
      <c r="AK454">
        <f>'19_Расчет_аналитики'!AJ453*'01_Вводные'!$B$14</f>
        <v/>
      </c>
      <c r="AL454">
        <f>'19_Расчет_аналитики'!AK453*'01_Вводные'!$B$14</f>
        <v/>
      </c>
      <c r="AM454">
        <f>'19_Расчет_аналитики'!AL453*'01_Вводные'!$B$14</f>
        <v/>
      </c>
      <c r="AN454">
        <f>'19_Расчет_аналитики'!AM453*'01_Вводные'!$B$14</f>
        <v/>
      </c>
      <c r="AO454">
        <f>'19_Расчет_аналитики'!AN453*'01_Вводные'!$B$14</f>
        <v/>
      </c>
      <c r="AP454">
        <f>'19_Расчет_аналитики'!AO453*'01_Вводные'!$B$14</f>
        <v/>
      </c>
      <c r="AQ454">
        <f>'19_Расчет_аналитики'!AP453*'01_Вводные'!$B$14</f>
        <v/>
      </c>
      <c r="AR454">
        <f>'19_Расчет_аналитики'!AQ453*'01_Вводные'!$B$14</f>
        <v/>
      </c>
      <c r="AS454">
        <f>'19_Расчет_аналитики'!AR453*'01_Вводные'!$B$14</f>
        <v/>
      </c>
      <c r="AT454">
        <f>'19_Расчет_аналитики'!AS453*'01_Вводные'!$B$14</f>
        <v/>
      </c>
      <c r="AU454">
        <f>'19_Расчет_аналитики'!AT453*'01_Вводные'!$B$14</f>
        <v/>
      </c>
      <c r="AV454">
        <f>'19_Расчет_аналитики'!AU453*'01_Вводные'!$B$14</f>
        <v/>
      </c>
      <c r="AW454">
        <f>'19_Расчет_аналитики'!AV453*'01_Вводные'!$B$14</f>
        <v/>
      </c>
      <c r="AX454">
        <f>'19_Расчет_аналитики'!AW453*'01_Вводные'!$B$14</f>
        <v/>
      </c>
      <c r="AY454">
        <f>'19_Расчет_аналитики'!AX453*'01_Вводные'!$B$14</f>
        <v/>
      </c>
      <c r="AZ454">
        <f>'19_Расчет_аналитики'!AY453*'01_Вводные'!$B$14</f>
        <v/>
      </c>
      <c r="BA454">
        <f>'19_Расчет_аналитики'!AZ453*'01_Вводные'!$B$14</f>
        <v/>
      </c>
      <c r="BB454">
        <f>'19_Расчет_аналитики'!BA453*'01_Вводные'!$B$14</f>
        <v/>
      </c>
      <c r="BC454">
        <f>'19_Расчет_аналитики'!BB453*'01_Вводные'!$B$14</f>
        <v/>
      </c>
      <c r="BD454">
        <f>'19_Расчет_аналитики'!BC453*'01_Вводные'!$B$14</f>
        <v/>
      </c>
      <c r="BE454">
        <f>'19_Расчет_аналитики'!BD453*'01_Вводные'!$B$14</f>
        <v/>
      </c>
      <c r="BF454">
        <f>'19_Расчет_аналитики'!BE453*'01_Вводные'!$B$14</f>
        <v/>
      </c>
      <c r="BG454">
        <f>'19_Расчет_аналитики'!BF453*'01_Вводные'!$B$14</f>
        <v/>
      </c>
      <c r="BH454">
        <f>'19_Расчет_аналитики'!BG453*'01_Вводные'!$B$14</f>
        <v/>
      </c>
      <c r="BI454">
        <f>'19_Расчет_аналитики'!BH453*'01_Вводные'!$B$14</f>
        <v/>
      </c>
      <c r="BJ454">
        <f>'19_Расчет_аналитики'!BI453*'01_Вводные'!$B$14</f>
        <v/>
      </c>
      <c r="BK454">
        <f>'19_Расчет_аналитики'!BJ453*'01_Вводные'!$B$14</f>
        <v/>
      </c>
      <c r="BL454">
        <f>'19_Расчет_аналитики'!BK453*'01_Вводные'!$B$14</f>
        <v/>
      </c>
      <c r="BM454">
        <f>'19_Расчет_аналитики'!BL453*'01_Вводные'!$B$14</f>
        <v/>
      </c>
      <c r="BN454">
        <f>'19_Расчет_аналитики'!BM453*'01_Вводные'!$B$14</f>
        <v/>
      </c>
      <c r="BO454">
        <f>'19_Расчет_аналитики'!BN453*'01_Вводные'!$B$14</f>
        <v/>
      </c>
    </row>
    <row r="455">
      <c r="N455">
        <f>'06_Сеть_и_дети'!N100</f>
        <v/>
      </c>
      <c r="O455">
        <f>'06_Сеть_и_дети'!O100</f>
        <v/>
      </c>
      <c r="P455">
        <f>'06_Сеть_и_дети'!P100</f>
        <v/>
      </c>
      <c r="Q455">
        <f>'06_Сеть_и_дети'!Q100</f>
        <v/>
      </c>
      <c r="R455">
        <f>'06_Сеть_и_дети'!R100</f>
        <v/>
      </c>
      <c r="S455">
        <f>'06_Сеть_и_дети'!S100</f>
        <v/>
      </c>
      <c r="T455">
        <f>'06_Сеть_и_дети'!T100</f>
        <v/>
      </c>
      <c r="U455">
        <f>'19_Расчет_аналитики'!T454*'01_Вводные'!$B$14</f>
        <v/>
      </c>
      <c r="V455">
        <f>'19_Расчет_аналитики'!U454*'01_Вводные'!$B$14</f>
        <v/>
      </c>
      <c r="W455">
        <f>'19_Расчет_аналитики'!V454*'01_Вводные'!$B$14</f>
        <v/>
      </c>
      <c r="X455">
        <f>'19_Расчет_аналитики'!W454*'01_Вводные'!$B$14</f>
        <v/>
      </c>
      <c r="Y455">
        <f>'19_Расчет_аналитики'!X454*'01_Вводные'!$B$14</f>
        <v/>
      </c>
      <c r="Z455">
        <f>'19_Расчет_аналитики'!Y454*'01_Вводные'!$B$14</f>
        <v/>
      </c>
      <c r="AA455">
        <f>'19_Расчет_аналитики'!Z454*'01_Вводные'!$B$14</f>
        <v/>
      </c>
      <c r="AB455">
        <f>'19_Расчет_аналитики'!AA454*'01_Вводные'!$B$14</f>
        <v/>
      </c>
      <c r="AC455">
        <f>'19_Расчет_аналитики'!AB454*'01_Вводные'!$B$14</f>
        <v/>
      </c>
      <c r="AD455">
        <f>'19_Расчет_аналитики'!AC454*'01_Вводные'!$B$14</f>
        <v/>
      </c>
      <c r="AE455">
        <f>'19_Расчет_аналитики'!AD454*'01_Вводные'!$B$14</f>
        <v/>
      </c>
      <c r="AF455">
        <f>'19_Расчет_аналитики'!AE454*'01_Вводные'!$B$14</f>
        <v/>
      </c>
      <c r="AG455">
        <f>'19_Расчет_аналитики'!AF454*'01_Вводные'!$B$14</f>
        <v/>
      </c>
      <c r="AH455">
        <f>'19_Расчет_аналитики'!AG454*'01_Вводные'!$B$14</f>
        <v/>
      </c>
      <c r="AI455">
        <f>'19_Расчет_аналитики'!AH454*'01_Вводные'!$B$14</f>
        <v/>
      </c>
      <c r="AJ455">
        <f>'19_Расчет_аналитики'!AI454*'01_Вводные'!$B$14</f>
        <v/>
      </c>
      <c r="AK455">
        <f>'19_Расчет_аналитики'!AJ454*'01_Вводные'!$B$14</f>
        <v/>
      </c>
      <c r="AL455">
        <f>'19_Расчет_аналитики'!AK454*'01_Вводные'!$B$14</f>
        <v/>
      </c>
      <c r="AM455">
        <f>'19_Расчет_аналитики'!AL454*'01_Вводные'!$B$14</f>
        <v/>
      </c>
      <c r="AN455">
        <f>'19_Расчет_аналитики'!AM454*'01_Вводные'!$B$14</f>
        <v/>
      </c>
      <c r="AO455">
        <f>'19_Расчет_аналитики'!AN454*'01_Вводные'!$B$14</f>
        <v/>
      </c>
      <c r="AP455">
        <f>'19_Расчет_аналитики'!AO454*'01_Вводные'!$B$14</f>
        <v/>
      </c>
      <c r="AQ455">
        <f>'19_Расчет_аналитики'!AP454*'01_Вводные'!$B$14</f>
        <v/>
      </c>
      <c r="AR455">
        <f>'19_Расчет_аналитики'!AQ454*'01_Вводные'!$B$14</f>
        <v/>
      </c>
      <c r="AS455">
        <f>'19_Расчет_аналитики'!AR454*'01_Вводные'!$B$14</f>
        <v/>
      </c>
      <c r="AT455">
        <f>'19_Расчет_аналитики'!AS454*'01_Вводные'!$B$14</f>
        <v/>
      </c>
      <c r="AU455">
        <f>'19_Расчет_аналитики'!AT454*'01_Вводные'!$B$14</f>
        <v/>
      </c>
      <c r="AV455">
        <f>'19_Расчет_аналитики'!AU454*'01_Вводные'!$B$14</f>
        <v/>
      </c>
      <c r="AW455">
        <f>'19_Расчет_аналитики'!AV454*'01_Вводные'!$B$14</f>
        <v/>
      </c>
      <c r="AX455">
        <f>'19_Расчет_аналитики'!AW454*'01_Вводные'!$B$14</f>
        <v/>
      </c>
      <c r="AY455">
        <f>'19_Расчет_аналитики'!AX454*'01_Вводные'!$B$14</f>
        <v/>
      </c>
      <c r="AZ455">
        <f>'19_Расчет_аналитики'!AY454*'01_Вводные'!$B$14</f>
        <v/>
      </c>
      <c r="BA455">
        <f>'19_Расчет_аналитики'!AZ454*'01_Вводные'!$B$14</f>
        <v/>
      </c>
      <c r="BB455">
        <f>'19_Расчет_аналитики'!BA454*'01_Вводные'!$B$14</f>
        <v/>
      </c>
      <c r="BC455">
        <f>'19_Расчет_аналитики'!BB454*'01_Вводные'!$B$14</f>
        <v/>
      </c>
      <c r="BD455">
        <f>'19_Расчет_аналитики'!BC454*'01_Вводные'!$B$14</f>
        <v/>
      </c>
      <c r="BE455">
        <f>'19_Расчет_аналитики'!BD454*'01_Вводные'!$B$14</f>
        <v/>
      </c>
      <c r="BF455">
        <f>'19_Расчет_аналитики'!BE454*'01_Вводные'!$B$14</f>
        <v/>
      </c>
      <c r="BG455">
        <f>'19_Расчет_аналитики'!BF454*'01_Вводные'!$B$14</f>
        <v/>
      </c>
      <c r="BH455">
        <f>'19_Расчет_аналитики'!BG454*'01_Вводные'!$B$14</f>
        <v/>
      </c>
      <c r="BI455">
        <f>'19_Расчет_аналитики'!BH454*'01_Вводные'!$B$14</f>
        <v/>
      </c>
      <c r="BJ455">
        <f>'19_Расчет_аналитики'!BI454*'01_Вводные'!$B$14</f>
        <v/>
      </c>
      <c r="BK455">
        <f>'19_Расчет_аналитики'!BJ454*'01_Вводные'!$B$14</f>
        <v/>
      </c>
      <c r="BL455">
        <f>'19_Расчет_аналитики'!BK454*'01_Вводные'!$B$14</f>
        <v/>
      </c>
      <c r="BM455">
        <f>'19_Расчет_аналитики'!BL454*'01_Вводные'!$B$14</f>
        <v/>
      </c>
      <c r="BN455">
        <f>'19_Расчет_аналитики'!BM454*'01_Вводные'!$B$14</f>
        <v/>
      </c>
      <c r="BO455">
        <f>'19_Расчет_аналитики'!BN454*'01_Вводные'!$B$14</f>
        <v/>
      </c>
    </row>
    <row r="456">
      <c r="N456">
        <f>'06_Сеть_и_дети'!N101</f>
        <v/>
      </c>
      <c r="O456">
        <f>'06_Сеть_и_дети'!O101</f>
        <v/>
      </c>
      <c r="P456">
        <f>'06_Сеть_и_дети'!P101</f>
        <v/>
      </c>
      <c r="Q456">
        <f>'06_Сеть_и_дети'!Q101</f>
        <v/>
      </c>
      <c r="R456">
        <f>'06_Сеть_и_дети'!R101</f>
        <v/>
      </c>
      <c r="S456">
        <f>'06_Сеть_и_дети'!S101</f>
        <v/>
      </c>
      <c r="T456">
        <f>'06_Сеть_и_дети'!T101</f>
        <v/>
      </c>
      <c r="U456">
        <f>'06_Сеть_и_дети'!U101</f>
        <v/>
      </c>
      <c r="V456">
        <f>'19_Расчет_аналитики'!U455*'01_Вводные'!$B$14</f>
        <v/>
      </c>
      <c r="W456">
        <f>'19_Расчет_аналитики'!V455*'01_Вводные'!$B$14</f>
        <v/>
      </c>
      <c r="X456">
        <f>'19_Расчет_аналитики'!W455*'01_Вводные'!$B$14</f>
        <v/>
      </c>
      <c r="Y456">
        <f>'19_Расчет_аналитики'!X455*'01_Вводные'!$B$14</f>
        <v/>
      </c>
      <c r="Z456">
        <f>'19_Расчет_аналитики'!Y455*'01_Вводные'!$B$14</f>
        <v/>
      </c>
      <c r="AA456">
        <f>'19_Расчет_аналитики'!Z455*'01_Вводные'!$B$14</f>
        <v/>
      </c>
      <c r="AB456">
        <f>'19_Расчет_аналитики'!AA455*'01_Вводные'!$B$14</f>
        <v/>
      </c>
      <c r="AC456">
        <f>'19_Расчет_аналитики'!AB455*'01_Вводные'!$B$14</f>
        <v/>
      </c>
      <c r="AD456">
        <f>'19_Расчет_аналитики'!AC455*'01_Вводные'!$B$14</f>
        <v/>
      </c>
      <c r="AE456">
        <f>'19_Расчет_аналитики'!AD455*'01_Вводные'!$B$14</f>
        <v/>
      </c>
      <c r="AF456">
        <f>'19_Расчет_аналитики'!AE455*'01_Вводные'!$B$14</f>
        <v/>
      </c>
      <c r="AG456">
        <f>'19_Расчет_аналитики'!AF455*'01_Вводные'!$B$14</f>
        <v/>
      </c>
      <c r="AH456">
        <f>'19_Расчет_аналитики'!AG455*'01_Вводные'!$B$14</f>
        <v/>
      </c>
      <c r="AI456">
        <f>'19_Расчет_аналитики'!AH455*'01_Вводные'!$B$14</f>
        <v/>
      </c>
      <c r="AJ456">
        <f>'19_Расчет_аналитики'!AI455*'01_Вводные'!$B$14</f>
        <v/>
      </c>
      <c r="AK456">
        <f>'19_Расчет_аналитики'!AJ455*'01_Вводные'!$B$14</f>
        <v/>
      </c>
      <c r="AL456">
        <f>'19_Расчет_аналитики'!AK455*'01_Вводные'!$B$14</f>
        <v/>
      </c>
      <c r="AM456">
        <f>'19_Расчет_аналитики'!AL455*'01_Вводные'!$B$14</f>
        <v/>
      </c>
      <c r="AN456">
        <f>'19_Расчет_аналитики'!AM455*'01_Вводные'!$B$14</f>
        <v/>
      </c>
      <c r="AO456">
        <f>'19_Расчет_аналитики'!AN455*'01_Вводные'!$B$14</f>
        <v/>
      </c>
      <c r="AP456">
        <f>'19_Расчет_аналитики'!AO455*'01_Вводные'!$B$14</f>
        <v/>
      </c>
      <c r="AQ456">
        <f>'19_Расчет_аналитики'!AP455*'01_Вводные'!$B$14</f>
        <v/>
      </c>
      <c r="AR456">
        <f>'19_Расчет_аналитики'!AQ455*'01_Вводные'!$B$14</f>
        <v/>
      </c>
      <c r="AS456">
        <f>'19_Расчет_аналитики'!AR455*'01_Вводные'!$B$14</f>
        <v/>
      </c>
      <c r="AT456">
        <f>'19_Расчет_аналитики'!AS455*'01_Вводные'!$B$14</f>
        <v/>
      </c>
      <c r="AU456">
        <f>'19_Расчет_аналитики'!AT455*'01_Вводные'!$B$14</f>
        <v/>
      </c>
      <c r="AV456">
        <f>'19_Расчет_аналитики'!AU455*'01_Вводные'!$B$14</f>
        <v/>
      </c>
      <c r="AW456">
        <f>'19_Расчет_аналитики'!AV455*'01_Вводные'!$B$14</f>
        <v/>
      </c>
      <c r="AX456">
        <f>'19_Расчет_аналитики'!AW455*'01_Вводные'!$B$14</f>
        <v/>
      </c>
      <c r="AY456">
        <f>'19_Расчет_аналитики'!AX455*'01_Вводные'!$B$14</f>
        <v/>
      </c>
      <c r="AZ456">
        <f>'19_Расчет_аналитики'!AY455*'01_Вводные'!$B$14</f>
        <v/>
      </c>
      <c r="BA456">
        <f>'19_Расчет_аналитики'!AZ455*'01_Вводные'!$B$14</f>
        <v/>
      </c>
      <c r="BB456">
        <f>'19_Расчет_аналитики'!BA455*'01_Вводные'!$B$14</f>
        <v/>
      </c>
      <c r="BC456">
        <f>'19_Расчет_аналитики'!BB455*'01_Вводные'!$B$14</f>
        <v/>
      </c>
      <c r="BD456">
        <f>'19_Расчет_аналитики'!BC455*'01_Вводные'!$B$14</f>
        <v/>
      </c>
      <c r="BE456">
        <f>'19_Расчет_аналитики'!BD455*'01_Вводные'!$B$14</f>
        <v/>
      </c>
      <c r="BF456">
        <f>'19_Расчет_аналитики'!BE455*'01_Вводные'!$B$14</f>
        <v/>
      </c>
      <c r="BG456">
        <f>'19_Расчет_аналитики'!BF455*'01_Вводные'!$B$14</f>
        <v/>
      </c>
      <c r="BH456">
        <f>'19_Расчет_аналитики'!BG455*'01_Вводные'!$B$14</f>
        <v/>
      </c>
      <c r="BI456">
        <f>'19_Расчет_аналитики'!BH455*'01_Вводные'!$B$14</f>
        <v/>
      </c>
      <c r="BJ456">
        <f>'19_Расчет_аналитики'!BI455*'01_Вводные'!$B$14</f>
        <v/>
      </c>
      <c r="BK456">
        <f>'19_Расчет_аналитики'!BJ455*'01_Вводные'!$B$14</f>
        <v/>
      </c>
      <c r="BL456">
        <f>'19_Расчет_аналитики'!BK455*'01_Вводные'!$B$14</f>
        <v/>
      </c>
      <c r="BM456">
        <f>'19_Расчет_аналитики'!BL455*'01_Вводные'!$B$14</f>
        <v/>
      </c>
      <c r="BN456">
        <f>'19_Расчет_аналитики'!BM455*'01_Вводные'!$B$14</f>
        <v/>
      </c>
      <c r="BO456">
        <f>'19_Расчет_аналитики'!BN455*'01_Вводные'!$B$14</f>
        <v/>
      </c>
    </row>
    <row r="457">
      <c r="N457">
        <f>'06_Сеть_и_дети'!N102</f>
        <v/>
      </c>
      <c r="O457">
        <f>'06_Сеть_и_дети'!O102</f>
        <v/>
      </c>
      <c r="P457">
        <f>'06_Сеть_и_дети'!P102</f>
        <v/>
      </c>
      <c r="Q457">
        <f>'06_Сеть_и_дети'!Q102</f>
        <v/>
      </c>
      <c r="R457">
        <f>'06_Сеть_и_дети'!R102</f>
        <v/>
      </c>
      <c r="S457">
        <f>'06_Сеть_и_дети'!S102</f>
        <v/>
      </c>
      <c r="T457">
        <f>'06_Сеть_и_дети'!T102</f>
        <v/>
      </c>
      <c r="U457">
        <f>'06_Сеть_и_дети'!U102</f>
        <v/>
      </c>
      <c r="V457">
        <f>'06_Сеть_и_дети'!V102</f>
        <v/>
      </c>
      <c r="W457">
        <f>'19_Расчет_аналитики'!V456*'01_Вводные'!$B$14</f>
        <v/>
      </c>
      <c r="X457">
        <f>'19_Расчет_аналитики'!W456*'01_Вводные'!$B$14</f>
        <v/>
      </c>
      <c r="Y457">
        <f>'19_Расчет_аналитики'!X456*'01_Вводные'!$B$14</f>
        <v/>
      </c>
      <c r="Z457">
        <f>'19_Расчет_аналитики'!Y456*'01_Вводные'!$B$14</f>
        <v/>
      </c>
      <c r="AA457">
        <f>'19_Расчет_аналитики'!Z456*'01_Вводные'!$B$14</f>
        <v/>
      </c>
      <c r="AB457">
        <f>'19_Расчет_аналитики'!AA456*'01_Вводные'!$B$14</f>
        <v/>
      </c>
      <c r="AC457">
        <f>'19_Расчет_аналитики'!AB456*'01_Вводные'!$B$14</f>
        <v/>
      </c>
      <c r="AD457">
        <f>'19_Расчет_аналитики'!AC456*'01_Вводные'!$B$14</f>
        <v/>
      </c>
      <c r="AE457">
        <f>'19_Расчет_аналитики'!AD456*'01_Вводные'!$B$14</f>
        <v/>
      </c>
      <c r="AF457">
        <f>'19_Расчет_аналитики'!AE456*'01_Вводные'!$B$14</f>
        <v/>
      </c>
      <c r="AG457">
        <f>'19_Расчет_аналитики'!AF456*'01_Вводные'!$B$14</f>
        <v/>
      </c>
      <c r="AH457">
        <f>'19_Расчет_аналитики'!AG456*'01_Вводные'!$B$14</f>
        <v/>
      </c>
      <c r="AI457">
        <f>'19_Расчет_аналитики'!AH456*'01_Вводные'!$B$14</f>
        <v/>
      </c>
      <c r="AJ457">
        <f>'19_Расчет_аналитики'!AI456*'01_Вводные'!$B$14</f>
        <v/>
      </c>
      <c r="AK457">
        <f>'19_Расчет_аналитики'!AJ456*'01_Вводные'!$B$14</f>
        <v/>
      </c>
      <c r="AL457">
        <f>'19_Расчет_аналитики'!AK456*'01_Вводные'!$B$14</f>
        <v/>
      </c>
      <c r="AM457">
        <f>'19_Расчет_аналитики'!AL456*'01_Вводные'!$B$14</f>
        <v/>
      </c>
      <c r="AN457">
        <f>'19_Расчет_аналитики'!AM456*'01_Вводные'!$B$14</f>
        <v/>
      </c>
      <c r="AO457">
        <f>'19_Расчет_аналитики'!AN456*'01_Вводные'!$B$14</f>
        <v/>
      </c>
      <c r="AP457">
        <f>'19_Расчет_аналитики'!AO456*'01_Вводные'!$B$14</f>
        <v/>
      </c>
      <c r="AQ457">
        <f>'19_Расчет_аналитики'!AP456*'01_Вводные'!$B$14</f>
        <v/>
      </c>
      <c r="AR457">
        <f>'19_Расчет_аналитики'!AQ456*'01_Вводные'!$B$14</f>
        <v/>
      </c>
      <c r="AS457">
        <f>'19_Расчет_аналитики'!AR456*'01_Вводные'!$B$14</f>
        <v/>
      </c>
      <c r="AT457">
        <f>'19_Расчет_аналитики'!AS456*'01_Вводные'!$B$14</f>
        <v/>
      </c>
      <c r="AU457">
        <f>'19_Расчет_аналитики'!AT456*'01_Вводные'!$B$14</f>
        <v/>
      </c>
      <c r="AV457">
        <f>'19_Расчет_аналитики'!AU456*'01_Вводные'!$B$14</f>
        <v/>
      </c>
      <c r="AW457">
        <f>'19_Расчет_аналитики'!AV456*'01_Вводные'!$B$14</f>
        <v/>
      </c>
      <c r="AX457">
        <f>'19_Расчет_аналитики'!AW456*'01_Вводные'!$B$14</f>
        <v/>
      </c>
      <c r="AY457">
        <f>'19_Расчет_аналитики'!AX456*'01_Вводные'!$B$14</f>
        <v/>
      </c>
      <c r="AZ457">
        <f>'19_Расчет_аналитики'!AY456*'01_Вводные'!$B$14</f>
        <v/>
      </c>
      <c r="BA457">
        <f>'19_Расчет_аналитики'!AZ456*'01_Вводные'!$B$14</f>
        <v/>
      </c>
      <c r="BB457">
        <f>'19_Расчет_аналитики'!BA456*'01_Вводные'!$B$14</f>
        <v/>
      </c>
      <c r="BC457">
        <f>'19_Расчет_аналитики'!BB456*'01_Вводные'!$B$14</f>
        <v/>
      </c>
      <c r="BD457">
        <f>'19_Расчет_аналитики'!BC456*'01_Вводные'!$B$14</f>
        <v/>
      </c>
      <c r="BE457">
        <f>'19_Расчет_аналитики'!BD456*'01_Вводные'!$B$14</f>
        <v/>
      </c>
      <c r="BF457">
        <f>'19_Расчет_аналитики'!BE456*'01_Вводные'!$B$14</f>
        <v/>
      </c>
      <c r="BG457">
        <f>'19_Расчет_аналитики'!BF456*'01_Вводные'!$B$14</f>
        <v/>
      </c>
      <c r="BH457">
        <f>'19_Расчет_аналитики'!BG456*'01_Вводные'!$B$14</f>
        <v/>
      </c>
      <c r="BI457">
        <f>'19_Расчет_аналитики'!BH456*'01_Вводные'!$B$14</f>
        <v/>
      </c>
      <c r="BJ457">
        <f>'19_Расчет_аналитики'!BI456*'01_Вводные'!$B$14</f>
        <v/>
      </c>
      <c r="BK457">
        <f>'19_Расчет_аналитики'!BJ456*'01_Вводные'!$B$14</f>
        <v/>
      </c>
      <c r="BL457">
        <f>'19_Расчет_аналитики'!BK456*'01_Вводные'!$B$14</f>
        <v/>
      </c>
      <c r="BM457">
        <f>'19_Расчет_аналитики'!BL456*'01_Вводные'!$B$14</f>
        <v/>
      </c>
      <c r="BN457">
        <f>'19_Расчет_аналитики'!BM456*'01_Вводные'!$B$14</f>
        <v/>
      </c>
      <c r="BO457">
        <f>'19_Расчет_аналитики'!BN456*'01_Вводные'!$B$14</f>
        <v/>
      </c>
    </row>
    <row r="458">
      <c r="N458">
        <f>'06_Сеть_и_дети'!N103</f>
        <v/>
      </c>
      <c r="O458">
        <f>'06_Сеть_и_дети'!O103</f>
        <v/>
      </c>
      <c r="P458">
        <f>'06_Сеть_и_дети'!P103</f>
        <v/>
      </c>
      <c r="Q458">
        <f>'06_Сеть_и_дети'!Q103</f>
        <v/>
      </c>
      <c r="R458">
        <f>'06_Сеть_и_дети'!R103</f>
        <v/>
      </c>
      <c r="S458">
        <f>'06_Сеть_и_дети'!S103</f>
        <v/>
      </c>
      <c r="T458">
        <f>'06_Сеть_и_дети'!T103</f>
        <v/>
      </c>
      <c r="U458">
        <f>'06_Сеть_и_дети'!U103</f>
        <v/>
      </c>
      <c r="V458">
        <f>'06_Сеть_и_дети'!V103</f>
        <v/>
      </c>
      <c r="W458">
        <f>'06_Сеть_и_дети'!W103</f>
        <v/>
      </c>
      <c r="X458">
        <f>'19_Расчет_аналитики'!W457*'01_Вводные'!$B$14</f>
        <v/>
      </c>
      <c r="Y458">
        <f>'19_Расчет_аналитики'!X457*'01_Вводные'!$B$14</f>
        <v/>
      </c>
      <c r="Z458">
        <f>'19_Расчет_аналитики'!Y457*'01_Вводные'!$B$14</f>
        <v/>
      </c>
      <c r="AA458">
        <f>'19_Расчет_аналитики'!Z457*'01_Вводные'!$B$14</f>
        <v/>
      </c>
      <c r="AB458">
        <f>'19_Расчет_аналитики'!AA457*'01_Вводные'!$B$14</f>
        <v/>
      </c>
      <c r="AC458">
        <f>'19_Расчет_аналитики'!AB457*'01_Вводные'!$B$14</f>
        <v/>
      </c>
      <c r="AD458">
        <f>'19_Расчет_аналитики'!AC457*'01_Вводные'!$B$14</f>
        <v/>
      </c>
      <c r="AE458">
        <f>'19_Расчет_аналитики'!AD457*'01_Вводные'!$B$14</f>
        <v/>
      </c>
      <c r="AF458">
        <f>'19_Расчет_аналитики'!AE457*'01_Вводные'!$B$14</f>
        <v/>
      </c>
      <c r="AG458">
        <f>'19_Расчет_аналитики'!AF457*'01_Вводные'!$B$14</f>
        <v/>
      </c>
      <c r="AH458">
        <f>'19_Расчет_аналитики'!AG457*'01_Вводные'!$B$14</f>
        <v/>
      </c>
      <c r="AI458">
        <f>'19_Расчет_аналитики'!AH457*'01_Вводные'!$B$14</f>
        <v/>
      </c>
      <c r="AJ458">
        <f>'19_Расчет_аналитики'!AI457*'01_Вводные'!$B$14</f>
        <v/>
      </c>
      <c r="AK458">
        <f>'19_Расчет_аналитики'!AJ457*'01_Вводные'!$B$14</f>
        <v/>
      </c>
      <c r="AL458">
        <f>'19_Расчет_аналитики'!AK457*'01_Вводные'!$B$14</f>
        <v/>
      </c>
      <c r="AM458">
        <f>'19_Расчет_аналитики'!AL457*'01_Вводные'!$B$14</f>
        <v/>
      </c>
      <c r="AN458">
        <f>'19_Расчет_аналитики'!AM457*'01_Вводные'!$B$14</f>
        <v/>
      </c>
      <c r="AO458">
        <f>'19_Расчет_аналитики'!AN457*'01_Вводные'!$B$14</f>
        <v/>
      </c>
      <c r="AP458">
        <f>'19_Расчет_аналитики'!AO457*'01_Вводные'!$B$14</f>
        <v/>
      </c>
      <c r="AQ458">
        <f>'19_Расчет_аналитики'!AP457*'01_Вводные'!$B$14</f>
        <v/>
      </c>
      <c r="AR458">
        <f>'19_Расчет_аналитики'!AQ457*'01_Вводные'!$B$14</f>
        <v/>
      </c>
      <c r="AS458">
        <f>'19_Расчет_аналитики'!AR457*'01_Вводные'!$B$14</f>
        <v/>
      </c>
      <c r="AT458">
        <f>'19_Расчет_аналитики'!AS457*'01_Вводные'!$B$14</f>
        <v/>
      </c>
      <c r="AU458">
        <f>'19_Расчет_аналитики'!AT457*'01_Вводные'!$B$14</f>
        <v/>
      </c>
      <c r="AV458">
        <f>'19_Расчет_аналитики'!AU457*'01_Вводные'!$B$14</f>
        <v/>
      </c>
      <c r="AW458">
        <f>'19_Расчет_аналитики'!AV457*'01_Вводные'!$B$14</f>
        <v/>
      </c>
      <c r="AX458">
        <f>'19_Расчет_аналитики'!AW457*'01_Вводные'!$B$14</f>
        <v/>
      </c>
      <c r="AY458">
        <f>'19_Расчет_аналитики'!AX457*'01_Вводные'!$B$14</f>
        <v/>
      </c>
      <c r="AZ458">
        <f>'19_Расчет_аналитики'!AY457*'01_Вводные'!$B$14</f>
        <v/>
      </c>
      <c r="BA458">
        <f>'19_Расчет_аналитики'!AZ457*'01_Вводные'!$B$14</f>
        <v/>
      </c>
      <c r="BB458">
        <f>'19_Расчет_аналитики'!BA457*'01_Вводные'!$B$14</f>
        <v/>
      </c>
      <c r="BC458">
        <f>'19_Расчет_аналитики'!BB457*'01_Вводные'!$B$14</f>
        <v/>
      </c>
      <c r="BD458">
        <f>'19_Расчет_аналитики'!BC457*'01_Вводные'!$B$14</f>
        <v/>
      </c>
      <c r="BE458">
        <f>'19_Расчет_аналитики'!BD457*'01_Вводные'!$B$14</f>
        <v/>
      </c>
      <c r="BF458">
        <f>'19_Расчет_аналитики'!BE457*'01_Вводные'!$B$14</f>
        <v/>
      </c>
      <c r="BG458">
        <f>'19_Расчет_аналитики'!BF457*'01_Вводные'!$B$14</f>
        <v/>
      </c>
      <c r="BH458">
        <f>'19_Расчет_аналитики'!BG457*'01_Вводные'!$B$14</f>
        <v/>
      </c>
      <c r="BI458">
        <f>'19_Расчет_аналитики'!BH457*'01_Вводные'!$B$14</f>
        <v/>
      </c>
      <c r="BJ458">
        <f>'19_Расчет_аналитики'!BI457*'01_Вводные'!$B$14</f>
        <v/>
      </c>
      <c r="BK458">
        <f>'19_Расчет_аналитики'!BJ457*'01_Вводные'!$B$14</f>
        <v/>
      </c>
      <c r="BL458">
        <f>'19_Расчет_аналитики'!BK457*'01_Вводные'!$B$14</f>
        <v/>
      </c>
      <c r="BM458">
        <f>'19_Расчет_аналитики'!BL457*'01_Вводные'!$B$14</f>
        <v/>
      </c>
      <c r="BN458">
        <f>'19_Расчет_аналитики'!BM457*'01_Вводные'!$B$14</f>
        <v/>
      </c>
      <c r="BO458">
        <f>'19_Расчет_аналитики'!BN457*'01_Вводные'!$B$14</f>
        <v/>
      </c>
    </row>
    <row r="459">
      <c r="N459">
        <f>'06_Сеть_и_дети'!N104</f>
        <v/>
      </c>
      <c r="O459">
        <f>'06_Сеть_и_дети'!O104</f>
        <v/>
      </c>
      <c r="P459">
        <f>'06_Сеть_и_дети'!P104</f>
        <v/>
      </c>
      <c r="Q459">
        <f>'06_Сеть_и_дети'!Q104</f>
        <v/>
      </c>
      <c r="R459">
        <f>'06_Сеть_и_дети'!R104</f>
        <v/>
      </c>
      <c r="S459">
        <f>'06_Сеть_и_дети'!S104</f>
        <v/>
      </c>
      <c r="T459">
        <f>'06_Сеть_и_дети'!T104</f>
        <v/>
      </c>
      <c r="U459">
        <f>'06_Сеть_и_дети'!U104</f>
        <v/>
      </c>
      <c r="V459">
        <f>'06_Сеть_и_дети'!V104</f>
        <v/>
      </c>
      <c r="W459">
        <f>'06_Сеть_и_дети'!W104</f>
        <v/>
      </c>
      <c r="X459">
        <f>'06_Сеть_и_дети'!X104</f>
        <v/>
      </c>
      <c r="Y459">
        <f>'19_Расчет_аналитики'!X458*'01_Вводные'!$B$14</f>
        <v/>
      </c>
      <c r="Z459">
        <f>'19_Расчет_аналитики'!Y458*'01_Вводные'!$B$14</f>
        <v/>
      </c>
      <c r="AA459">
        <f>'19_Расчет_аналитики'!Z458*'01_Вводные'!$B$14</f>
        <v/>
      </c>
      <c r="AB459">
        <f>'19_Расчет_аналитики'!AA458*'01_Вводные'!$B$14</f>
        <v/>
      </c>
      <c r="AC459">
        <f>'19_Расчет_аналитики'!AB458*'01_Вводные'!$B$14</f>
        <v/>
      </c>
      <c r="AD459">
        <f>'19_Расчет_аналитики'!AC458*'01_Вводные'!$B$14</f>
        <v/>
      </c>
      <c r="AE459">
        <f>'19_Расчет_аналитики'!AD458*'01_Вводные'!$B$14</f>
        <v/>
      </c>
      <c r="AF459">
        <f>'19_Расчет_аналитики'!AE458*'01_Вводные'!$B$14</f>
        <v/>
      </c>
      <c r="AG459">
        <f>'19_Расчет_аналитики'!AF458*'01_Вводные'!$B$14</f>
        <v/>
      </c>
      <c r="AH459">
        <f>'19_Расчет_аналитики'!AG458*'01_Вводные'!$B$14</f>
        <v/>
      </c>
      <c r="AI459">
        <f>'19_Расчет_аналитики'!AH458*'01_Вводные'!$B$14</f>
        <v/>
      </c>
      <c r="AJ459">
        <f>'19_Расчет_аналитики'!AI458*'01_Вводные'!$B$14</f>
        <v/>
      </c>
      <c r="AK459">
        <f>'19_Расчет_аналитики'!AJ458*'01_Вводные'!$B$14</f>
        <v/>
      </c>
      <c r="AL459">
        <f>'19_Расчет_аналитики'!AK458*'01_Вводные'!$B$14</f>
        <v/>
      </c>
      <c r="AM459">
        <f>'19_Расчет_аналитики'!AL458*'01_Вводные'!$B$14</f>
        <v/>
      </c>
      <c r="AN459">
        <f>'19_Расчет_аналитики'!AM458*'01_Вводные'!$B$14</f>
        <v/>
      </c>
      <c r="AO459">
        <f>'19_Расчет_аналитики'!AN458*'01_Вводные'!$B$14</f>
        <v/>
      </c>
      <c r="AP459">
        <f>'19_Расчет_аналитики'!AO458*'01_Вводные'!$B$14</f>
        <v/>
      </c>
      <c r="AQ459">
        <f>'19_Расчет_аналитики'!AP458*'01_Вводные'!$B$14</f>
        <v/>
      </c>
      <c r="AR459">
        <f>'19_Расчет_аналитики'!AQ458*'01_Вводные'!$B$14</f>
        <v/>
      </c>
      <c r="AS459">
        <f>'19_Расчет_аналитики'!AR458*'01_Вводные'!$B$14</f>
        <v/>
      </c>
      <c r="AT459">
        <f>'19_Расчет_аналитики'!AS458*'01_Вводные'!$B$14</f>
        <v/>
      </c>
      <c r="AU459">
        <f>'19_Расчет_аналитики'!AT458*'01_Вводные'!$B$14</f>
        <v/>
      </c>
      <c r="AV459">
        <f>'19_Расчет_аналитики'!AU458*'01_Вводные'!$B$14</f>
        <v/>
      </c>
      <c r="AW459">
        <f>'19_Расчет_аналитики'!AV458*'01_Вводные'!$B$14</f>
        <v/>
      </c>
      <c r="AX459">
        <f>'19_Расчет_аналитики'!AW458*'01_Вводные'!$B$14</f>
        <v/>
      </c>
      <c r="AY459">
        <f>'19_Расчет_аналитики'!AX458*'01_Вводные'!$B$14</f>
        <v/>
      </c>
      <c r="AZ459">
        <f>'19_Расчет_аналитики'!AY458*'01_Вводные'!$B$14</f>
        <v/>
      </c>
      <c r="BA459">
        <f>'19_Расчет_аналитики'!AZ458*'01_Вводные'!$B$14</f>
        <v/>
      </c>
      <c r="BB459">
        <f>'19_Расчет_аналитики'!BA458*'01_Вводные'!$B$14</f>
        <v/>
      </c>
      <c r="BC459">
        <f>'19_Расчет_аналитики'!BB458*'01_Вводные'!$B$14</f>
        <v/>
      </c>
      <c r="BD459">
        <f>'19_Расчет_аналитики'!BC458*'01_Вводные'!$B$14</f>
        <v/>
      </c>
      <c r="BE459">
        <f>'19_Расчет_аналитики'!BD458*'01_Вводные'!$B$14</f>
        <v/>
      </c>
      <c r="BF459">
        <f>'19_Расчет_аналитики'!BE458*'01_Вводные'!$B$14</f>
        <v/>
      </c>
      <c r="BG459">
        <f>'19_Расчет_аналитики'!BF458*'01_Вводные'!$B$14</f>
        <v/>
      </c>
      <c r="BH459">
        <f>'19_Расчет_аналитики'!BG458*'01_Вводные'!$B$14</f>
        <v/>
      </c>
      <c r="BI459">
        <f>'19_Расчет_аналитики'!BH458*'01_Вводные'!$B$14</f>
        <v/>
      </c>
      <c r="BJ459">
        <f>'19_Расчет_аналитики'!BI458*'01_Вводные'!$B$14</f>
        <v/>
      </c>
      <c r="BK459">
        <f>'19_Расчет_аналитики'!BJ458*'01_Вводные'!$B$14</f>
        <v/>
      </c>
      <c r="BL459">
        <f>'19_Расчет_аналитики'!BK458*'01_Вводные'!$B$14</f>
        <v/>
      </c>
      <c r="BM459">
        <f>'19_Расчет_аналитики'!BL458*'01_Вводные'!$B$14</f>
        <v/>
      </c>
      <c r="BN459">
        <f>'19_Расчет_аналитики'!BM458*'01_Вводные'!$B$14</f>
        <v/>
      </c>
      <c r="BO459">
        <f>'19_Расчет_аналитики'!BN458*'01_Вводные'!$B$14</f>
        <v/>
      </c>
    </row>
    <row r="460">
      <c r="N460">
        <f>'06_Сеть_и_дети'!N105</f>
        <v/>
      </c>
      <c r="O460">
        <f>'06_Сеть_и_дети'!O105</f>
        <v/>
      </c>
      <c r="P460">
        <f>'06_Сеть_и_дети'!P105</f>
        <v/>
      </c>
      <c r="Q460">
        <f>'06_Сеть_и_дети'!Q105</f>
        <v/>
      </c>
      <c r="R460">
        <f>'06_Сеть_и_дети'!R105</f>
        <v/>
      </c>
      <c r="S460">
        <f>'06_Сеть_и_дети'!S105</f>
        <v/>
      </c>
      <c r="T460">
        <f>'06_Сеть_и_дети'!T105</f>
        <v/>
      </c>
      <c r="U460">
        <f>'06_Сеть_и_дети'!U105</f>
        <v/>
      </c>
      <c r="V460">
        <f>'06_Сеть_и_дети'!V105</f>
        <v/>
      </c>
      <c r="W460">
        <f>'06_Сеть_и_дети'!W105</f>
        <v/>
      </c>
      <c r="X460">
        <f>'06_Сеть_и_дети'!X105</f>
        <v/>
      </c>
      <c r="Y460">
        <f>'06_Сеть_и_дети'!Y105</f>
        <v/>
      </c>
      <c r="Z460">
        <f>SUM('19_Расчет_аналитики'!Y459:Y460)*'01_Вводные'!$B$14</f>
        <v/>
      </c>
      <c r="AA460">
        <f>SUM('19_Расчет_аналитики'!Z459:Z460)*'01_Вводные'!$B$14</f>
        <v/>
      </c>
      <c r="AB460">
        <f>SUM('19_Расчет_аналитики'!AA459:AA460)*'01_Вводные'!$B$14</f>
        <v/>
      </c>
      <c r="AC460">
        <f>SUM('19_Расчет_аналитики'!AB459:AB460)*'01_Вводные'!$B$14</f>
        <v/>
      </c>
      <c r="AD460">
        <f>SUM('19_Расчет_аналитики'!AC459:AC460)*'01_Вводные'!$B$14</f>
        <v/>
      </c>
      <c r="AE460">
        <f>SUM('19_Расчет_аналитики'!AD459:AD460)*'01_Вводные'!$B$14</f>
        <v/>
      </c>
      <c r="AF460">
        <f>SUM('19_Расчет_аналитики'!AE459:AE460)*'01_Вводные'!$B$14</f>
        <v/>
      </c>
      <c r="AG460">
        <f>SUM('19_Расчет_аналитики'!AF459:AF460)*'01_Вводные'!$B$14</f>
        <v/>
      </c>
      <c r="AH460">
        <f>SUM('19_Расчет_аналитики'!AG459:AG460)*'01_Вводные'!$B$14</f>
        <v/>
      </c>
      <c r="AI460">
        <f>SUM('19_Расчет_аналитики'!AH459:AH460)*'01_Вводные'!$B$14</f>
        <v/>
      </c>
      <c r="AJ460">
        <f>SUM('19_Расчет_аналитики'!AI459:AI460)*'01_Вводные'!$B$14</f>
        <v/>
      </c>
      <c r="AK460">
        <f>SUM('19_Расчет_аналитики'!AJ459:AJ460)*'01_Вводные'!$B$14</f>
        <v/>
      </c>
      <c r="AL460">
        <f>SUM('19_Расчет_аналитики'!AK459:AK460)*'01_Вводные'!$B$14</f>
        <v/>
      </c>
      <c r="AM460">
        <f>SUM('19_Расчет_аналитики'!AL459:AL460)*'01_Вводные'!$B$14</f>
        <v/>
      </c>
      <c r="AN460">
        <f>SUM('19_Расчет_аналитики'!AM459:AM460)*'01_Вводные'!$B$14</f>
        <v/>
      </c>
      <c r="AO460">
        <f>SUM('19_Расчет_аналитики'!AN459:AN460)*'01_Вводные'!$B$14</f>
        <v/>
      </c>
      <c r="AP460">
        <f>SUM('19_Расчет_аналитики'!AO459:AO460)*'01_Вводные'!$B$14</f>
        <v/>
      </c>
      <c r="AQ460">
        <f>SUM('19_Расчет_аналитики'!AP459:AP460)*'01_Вводные'!$B$14</f>
        <v/>
      </c>
      <c r="AR460">
        <f>SUM('19_Расчет_аналитики'!AQ459:AQ460)*'01_Вводные'!$B$14</f>
        <v/>
      </c>
      <c r="AS460">
        <f>SUM('19_Расчет_аналитики'!AR459:AR460)*'01_Вводные'!$B$14</f>
        <v/>
      </c>
      <c r="AT460">
        <f>SUM('19_Расчет_аналитики'!AS459:AS460)*'01_Вводные'!$B$14</f>
        <v/>
      </c>
      <c r="AU460">
        <f>SUM('19_Расчет_аналитики'!AT459:AT460)*'01_Вводные'!$B$14</f>
        <v/>
      </c>
      <c r="AV460">
        <f>SUM('19_Расчет_аналитики'!AU459:AU460)*'01_Вводные'!$B$14</f>
        <v/>
      </c>
      <c r="AW460">
        <f>SUM('19_Расчет_аналитики'!AV459:AV460)*'01_Вводные'!$B$14</f>
        <v/>
      </c>
      <c r="AX460">
        <f>SUM('19_Расчет_аналитики'!AW459:AW460)*'01_Вводные'!$B$14</f>
        <v/>
      </c>
      <c r="AY460">
        <f>SUM('19_Расчет_аналитики'!AX459:AX460)*'01_Вводные'!$B$14</f>
        <v/>
      </c>
      <c r="AZ460">
        <f>SUM('19_Расчет_аналитики'!AY459:AY460)*'01_Вводные'!$B$14</f>
        <v/>
      </c>
      <c r="BA460">
        <f>SUM('19_Расчет_аналитики'!AZ459:AZ460)*'01_Вводные'!$B$14</f>
        <v/>
      </c>
      <c r="BB460">
        <f>SUM('19_Расчет_аналитики'!BA459:BA460)*'01_Вводные'!$B$14</f>
        <v/>
      </c>
      <c r="BC460">
        <f>SUM('19_Расчет_аналитики'!BB459:BB460)*'01_Вводные'!$B$14</f>
        <v/>
      </c>
      <c r="BD460">
        <f>SUM('19_Расчет_аналитики'!BC459:BC460)*'01_Вводные'!$B$14</f>
        <v/>
      </c>
      <c r="BE460">
        <f>SUM('19_Расчет_аналитики'!BD459:BD460)*'01_Вводные'!$B$14</f>
        <v/>
      </c>
      <c r="BF460">
        <f>SUM('19_Расчет_аналитики'!BE459:BE460)*'01_Вводные'!$B$14</f>
        <v/>
      </c>
      <c r="BG460">
        <f>SUM('19_Расчет_аналитики'!BF459:BF460)*'01_Вводные'!$B$14</f>
        <v/>
      </c>
      <c r="BH460">
        <f>SUM('19_Расчет_аналитики'!BG459:BG460)*'01_Вводные'!$B$14</f>
        <v/>
      </c>
      <c r="BI460">
        <f>SUM('19_Расчет_аналитики'!BH459:BH460)*'01_Вводные'!$B$14</f>
        <v/>
      </c>
      <c r="BJ460">
        <f>SUM('19_Расчет_аналитики'!BI459:BI460)*'01_Вводные'!$B$14</f>
        <v/>
      </c>
      <c r="BK460">
        <f>SUM('19_Расчет_аналитики'!BJ459:BJ460)*'01_Вводные'!$B$14</f>
        <v/>
      </c>
      <c r="BL460">
        <f>SUM('19_Расчет_аналитики'!BK459:BK460)*'01_Вводные'!$B$14</f>
        <v/>
      </c>
      <c r="BM460">
        <f>SUM('19_Расчет_аналитики'!BL459:BL460)*'01_Вводные'!$B$14</f>
        <v/>
      </c>
      <c r="BN460">
        <f>SUM('19_Расчет_аналитики'!BM459:BM460)*'01_Вводные'!$B$14</f>
        <v/>
      </c>
      <c r="BO460">
        <f>SUM('19_Расчет_аналитики'!BN459:BN460)*'01_Вводные'!$B$14</f>
        <v/>
      </c>
    </row>
    <row r="461"/>
    <row r="462"/>
    <row r="463"/>
    <row r="464">
      <c r="B464">
        <f>IF(OR('19_Расчет_аналитики'!B436=0,1&lt;='01_Вводные'!$B$297),0,'19_Расчет_аналитики'!B436*IF('01_Вводные'!$B$239="Да",MeanMinAge01+'19_Расчет_аналитики'!B559*SUMIF(ThresholdAge01,"&lt;"&amp;'19_Расчет_аналитики'!B559,WeightedRevAge01)-SUMIF(ThresholdAge01,"&lt;"&amp;'19_Расчет_аналитики'!B559,WeightedMinAge01),MAX(CapacityAge01*'01_Вводные'!$B$218*'19_Расчет_аналитики'!B559,MeanMinAge01)))</f>
        <v/>
      </c>
      <c r="C464">
        <f>IF(OR('19_Расчет_аналитики'!C436=0,1&lt;='01_Вводные'!$B$297),0,'19_Расчет_аналитики'!C436*IF('01_Вводные'!$B$239="Да",MeanMinAge01+'19_Расчет_аналитики'!C559*SUMIF(ThresholdAge01,"&lt;"&amp;'19_Расчет_аналитики'!C559,WeightedRevAge01)-SUMIF(ThresholdAge01,"&lt;"&amp;'19_Расчет_аналитики'!C559,WeightedMinAge01),MAX(CapacityAge01*'01_Вводные'!$B$218*'19_Расчет_аналитики'!C559,MeanMinAge01)))</f>
        <v/>
      </c>
      <c r="D464">
        <f>IF(OR('19_Расчет_аналитики'!D436=0,1&lt;='01_Вводные'!$B$297),0,'19_Расчет_аналитики'!D436*IF('01_Вводные'!$B$239="Да",MeanMinAge01+'19_Расчет_аналитики'!D559*SUMIF(ThresholdAge01,"&lt;"&amp;'19_Расчет_аналитики'!D559,WeightedRevAge01)-SUMIF(ThresholdAge01,"&lt;"&amp;'19_Расчет_аналитики'!D559,WeightedMinAge01),MAX(CapacityAge01*'01_Вводные'!$B$218*'19_Расчет_аналитики'!D559,MeanMinAge01)))</f>
        <v/>
      </c>
      <c r="E464">
        <f>IF(OR('19_Расчет_аналитики'!E436=0,1&lt;='01_Вводные'!$B$297),0,'19_Расчет_аналитики'!E436*IF('01_Вводные'!$B$239="Да",MeanMinAge01+'19_Расчет_аналитики'!E559*SUMIF(ThresholdAge01,"&lt;"&amp;'19_Расчет_аналитики'!E559,WeightedRevAge01)-SUMIF(ThresholdAge01,"&lt;"&amp;'19_Расчет_аналитики'!E559,WeightedMinAge01),MAX(CapacityAge01*'01_Вводные'!$B$218*'19_Расчет_аналитики'!E559,MeanMinAge01)))</f>
        <v/>
      </c>
      <c r="F464">
        <f>IF(OR('19_Расчет_аналитики'!F436=0,1&lt;='01_Вводные'!$B$297),0,'19_Расчет_аналитики'!F436*IF('01_Вводные'!$B$239="Да",MeanMinAge01+'19_Расчет_аналитики'!F559*SUMIF(ThresholdAge01,"&lt;"&amp;'19_Расчет_аналитики'!F559,WeightedRevAge01)-SUMIF(ThresholdAge01,"&lt;"&amp;'19_Расчет_аналитики'!F559,WeightedMinAge01),MAX(CapacityAge01*'01_Вводные'!$B$218*'19_Расчет_аналитики'!F559,MeanMinAge01)))</f>
        <v/>
      </c>
      <c r="G464">
        <f>IF(OR('19_Расчет_аналитики'!G436=0,1&lt;='01_Вводные'!$B$297),0,'19_Расчет_аналитики'!G436*IF('01_Вводные'!$B$239="Да",MeanMinAge01+'19_Расчет_аналитики'!G559*SUMIF(ThresholdAge01,"&lt;"&amp;'19_Расчет_аналитики'!G559,WeightedRevAge01)-SUMIF(ThresholdAge01,"&lt;"&amp;'19_Расчет_аналитики'!G559,WeightedMinAge01),MAX(CapacityAge01*'01_Вводные'!$B$218*'19_Расчет_аналитики'!G559,MeanMinAge01)))</f>
        <v/>
      </c>
      <c r="H464">
        <f>IF(OR('19_Расчет_аналитики'!H436=0,1&lt;='01_Вводные'!$B$297),0,'19_Расчет_аналитики'!H436*IF('01_Вводные'!$B$239="Да",MeanMinAge01+'19_Расчет_аналитики'!H559*SUMIF(ThresholdAge01,"&lt;"&amp;'19_Расчет_аналитики'!H559,WeightedRevAge01)-SUMIF(ThresholdAge01,"&lt;"&amp;'19_Расчет_аналитики'!H559,WeightedMinAge01),MAX(CapacityAge01*'01_Вводные'!$B$218*'19_Расчет_аналитики'!H559,MeanMinAge01)))</f>
        <v/>
      </c>
      <c r="I464">
        <f>IF(OR('19_Расчет_аналитики'!I436=0,1&lt;='01_Вводные'!$B$297),0,'19_Расчет_аналитики'!I436*IF('01_Вводные'!$B$239="Да",MeanMinAge01+'19_Расчет_аналитики'!I559*SUMIF(ThresholdAge01,"&lt;"&amp;'19_Расчет_аналитики'!I559,WeightedRevAge01)-SUMIF(ThresholdAge01,"&lt;"&amp;'19_Расчет_аналитики'!I559,WeightedMinAge01),MAX(CapacityAge01*'01_Вводные'!$B$218*'19_Расчет_аналитики'!I559,MeanMinAge01)))</f>
        <v/>
      </c>
      <c r="J464">
        <f>IF(OR('19_Расчет_аналитики'!J436=0,1&lt;='01_Вводные'!$B$297),0,'19_Расчет_аналитики'!J436*IF('01_Вводные'!$B$239="Да",MeanMinAge01+'19_Расчет_аналитики'!J559*SUMIF(ThresholdAge01,"&lt;"&amp;'19_Расчет_аналитики'!J559,WeightedRevAge01)-SUMIF(ThresholdAge01,"&lt;"&amp;'19_Расчет_аналитики'!J559,WeightedMinAge01),MAX(CapacityAge01*'01_Вводные'!$B$218*'19_Расчет_аналитики'!J559,MeanMinAge01)))</f>
        <v/>
      </c>
      <c r="K464">
        <f>IF(OR('19_Расчет_аналитики'!K436=0,1&lt;='01_Вводные'!$B$297),0,'19_Расчет_аналитики'!K436*IF('01_Вводные'!$B$239="Да",MeanMinAge01+'19_Расчет_аналитики'!K559*SUMIF(ThresholdAge01,"&lt;"&amp;'19_Расчет_аналитики'!K559,WeightedRevAge01)-SUMIF(ThresholdAge01,"&lt;"&amp;'19_Расчет_аналитики'!K559,WeightedMinAge01),MAX(CapacityAge01*'01_Вводные'!$B$218*'19_Расчет_аналитики'!K559,MeanMinAge01)))</f>
        <v/>
      </c>
      <c r="L464">
        <f>IF(OR('19_Расчет_аналитики'!L436=0,1&lt;='01_Вводные'!$B$297),0,'19_Расчет_аналитики'!L436*IF('01_Вводные'!$B$239="Да",MeanMinAge01+'19_Расчет_аналитики'!L559*SUMIF(ThresholdAge01,"&lt;"&amp;'19_Расчет_аналитики'!L559,WeightedRevAge01)-SUMIF(ThresholdAge01,"&lt;"&amp;'19_Расчет_аналитики'!L559,WeightedMinAge01),MAX(CapacityAge01*'01_Вводные'!$B$218*'19_Расчет_аналитики'!L559,MeanMinAge01)))</f>
        <v/>
      </c>
      <c r="M464">
        <f>IF(OR('19_Расчет_аналитики'!M436=0,1&lt;='01_Вводные'!$B$297),0,'19_Расчет_аналитики'!M436*IF('01_Вводные'!$B$239="Да",MeanMinAge01+'19_Расчет_аналитики'!M559*SUMIF(ThresholdAge01,"&lt;"&amp;'19_Расчет_аналитики'!M559,WeightedRevAge01)-SUMIF(ThresholdAge01,"&lt;"&amp;'19_Расчет_аналитики'!M559,WeightedMinAge01),MAX(CapacityAge01*'01_Вводные'!$B$218*'19_Расчет_аналитики'!M559,MeanMinAge01)))</f>
        <v/>
      </c>
      <c r="N464">
        <f>IF(OR('19_Расчет_аналитики'!N436=0,1&lt;='01_Вводные'!$B$297),0,'19_Расчет_аналитики'!N436*IF('01_Вводные'!$B$239="Да",MeanMinAge01+'19_Расчет_аналитики'!N559*SUMIF(ThresholdAge01,"&lt;"&amp;'19_Расчет_аналитики'!N559,WeightedRevAge01)-SUMIF(ThresholdAge01,"&lt;"&amp;'19_Расчет_аналитики'!N559,WeightedMinAge01),MAX(CapacityAge01*'01_Вводные'!$B$218*'19_Расчет_аналитики'!N559,MeanMinAge01)))</f>
        <v/>
      </c>
      <c r="O464">
        <f>IF(OR('19_Расчет_аналитики'!O436=0,1&lt;='01_Вводные'!$B$297),0,'19_Расчет_аналитики'!O436*IF('01_Вводные'!$B$239="Да",MeanMinAge01+'19_Расчет_аналитики'!O559*SUMIF(ThresholdAge01,"&lt;"&amp;'19_Расчет_аналитики'!O559,WeightedRevAge01)-SUMIF(ThresholdAge01,"&lt;"&amp;'19_Расчет_аналитики'!O559,WeightedMinAge01),MAX(CapacityAge01*'01_Вводные'!$B$218*'19_Расчет_аналитики'!O559,MeanMinAge01)))</f>
        <v/>
      </c>
      <c r="P464">
        <f>IF(OR('19_Расчет_аналитики'!P436=0,1&lt;='01_Вводные'!$B$297),0,'19_Расчет_аналитики'!P436*IF('01_Вводные'!$B$239="Да",MeanMinAge01+'19_Расчет_аналитики'!P559*SUMIF(ThresholdAge01,"&lt;"&amp;'19_Расчет_аналитики'!P559,WeightedRevAge01)-SUMIF(ThresholdAge01,"&lt;"&amp;'19_Расчет_аналитики'!P559,WeightedMinAge01),MAX(CapacityAge01*'01_Вводные'!$B$218*'19_Расчет_аналитики'!P559,MeanMinAge01)))</f>
        <v/>
      </c>
      <c r="Q464">
        <f>IF(OR('19_Расчет_аналитики'!Q436=0,1&lt;='01_Вводные'!$B$297),0,'19_Расчет_аналитики'!Q436*IF('01_Вводные'!$B$239="Да",MeanMinAge01+'19_Расчет_аналитики'!Q559*SUMIF(ThresholdAge01,"&lt;"&amp;'19_Расчет_аналитики'!Q559,WeightedRevAge01)-SUMIF(ThresholdAge01,"&lt;"&amp;'19_Расчет_аналитики'!Q559,WeightedMinAge01),MAX(CapacityAge01*'01_Вводные'!$B$218*'19_Расчет_аналитики'!Q559,MeanMinAge01)))</f>
        <v/>
      </c>
      <c r="R464">
        <f>IF(OR('19_Расчет_аналитики'!R436=0,1&lt;='01_Вводные'!$B$297),0,'19_Расчет_аналитики'!R436*IF('01_Вводные'!$B$239="Да",MeanMinAge01+'19_Расчет_аналитики'!R559*SUMIF(ThresholdAge01,"&lt;"&amp;'19_Расчет_аналитики'!R559,WeightedRevAge01)-SUMIF(ThresholdAge01,"&lt;"&amp;'19_Расчет_аналитики'!R559,WeightedMinAge01),MAX(CapacityAge01*'01_Вводные'!$B$218*'19_Расчет_аналитики'!R559,MeanMinAge01)))</f>
        <v/>
      </c>
      <c r="S464">
        <f>IF(OR('19_Расчет_аналитики'!S436=0,1&lt;='01_Вводные'!$B$297),0,'19_Расчет_аналитики'!S436*IF('01_Вводные'!$B$239="Да",MeanMinAge01+'19_Расчет_аналитики'!S559*SUMIF(ThresholdAge01,"&lt;"&amp;'19_Расчет_аналитики'!S559,WeightedRevAge01)-SUMIF(ThresholdAge01,"&lt;"&amp;'19_Расчет_аналитики'!S559,WeightedMinAge01),MAX(CapacityAge01*'01_Вводные'!$B$218*'19_Расчет_аналитики'!S559,MeanMinAge01)))</f>
        <v/>
      </c>
      <c r="T464">
        <f>IF(OR('19_Расчет_аналитики'!T436=0,1&lt;='01_Вводные'!$B$297),0,'19_Расчет_аналитики'!T436*IF('01_Вводные'!$B$239="Да",MeanMinAge01+'19_Расчет_аналитики'!T559*SUMIF(ThresholdAge01,"&lt;"&amp;'19_Расчет_аналитики'!T559,WeightedRevAge01)-SUMIF(ThresholdAge01,"&lt;"&amp;'19_Расчет_аналитики'!T559,WeightedMinAge01),MAX(CapacityAge01*'01_Вводные'!$B$218*'19_Расчет_аналитики'!T559,MeanMinAge01)))</f>
        <v/>
      </c>
      <c r="U464">
        <f>IF(OR('19_Расчет_аналитики'!U436=0,1&lt;='01_Вводные'!$B$297),0,'19_Расчет_аналитики'!U436*IF('01_Вводные'!$B$239="Да",MeanMinAge01+'19_Расчет_аналитики'!U559*SUMIF(ThresholdAge01,"&lt;"&amp;'19_Расчет_аналитики'!U559,WeightedRevAge01)-SUMIF(ThresholdAge01,"&lt;"&amp;'19_Расчет_аналитики'!U559,WeightedMinAge01),MAX(CapacityAge01*'01_Вводные'!$B$218*'19_Расчет_аналитики'!U559,MeanMinAge01)))</f>
        <v/>
      </c>
      <c r="V464">
        <f>IF(OR('19_Расчет_аналитики'!V436=0,1&lt;='01_Вводные'!$B$297),0,'19_Расчет_аналитики'!V436*IF('01_Вводные'!$B$239="Да",MeanMinAge01+'19_Расчет_аналитики'!V559*SUMIF(ThresholdAge01,"&lt;"&amp;'19_Расчет_аналитики'!V559,WeightedRevAge01)-SUMIF(ThresholdAge01,"&lt;"&amp;'19_Расчет_аналитики'!V559,WeightedMinAge01),MAX(CapacityAge01*'01_Вводные'!$B$218*'19_Расчет_аналитики'!V559,MeanMinAge01)))</f>
        <v/>
      </c>
      <c r="W464">
        <f>IF(OR('19_Расчет_аналитики'!W436=0,1&lt;='01_Вводные'!$B$297),0,'19_Расчет_аналитики'!W436*IF('01_Вводные'!$B$239="Да",MeanMinAge01+'19_Расчет_аналитики'!W559*SUMIF(ThresholdAge01,"&lt;"&amp;'19_Расчет_аналитики'!W559,WeightedRevAge01)-SUMIF(ThresholdAge01,"&lt;"&amp;'19_Расчет_аналитики'!W559,WeightedMinAge01),MAX(CapacityAge01*'01_Вводные'!$B$218*'19_Расчет_аналитики'!W559,MeanMinAge01)))</f>
        <v/>
      </c>
      <c r="X464">
        <f>IF(OR('19_Расчет_аналитики'!X436=0,1&lt;='01_Вводные'!$B$297),0,'19_Расчет_аналитики'!X436*IF('01_Вводные'!$B$239="Да",MeanMinAge01+'19_Расчет_аналитики'!X559*SUMIF(ThresholdAge01,"&lt;"&amp;'19_Расчет_аналитики'!X559,WeightedRevAge01)-SUMIF(ThresholdAge01,"&lt;"&amp;'19_Расчет_аналитики'!X559,WeightedMinAge01),MAX(CapacityAge01*'01_Вводные'!$B$218*'19_Расчет_аналитики'!X559,MeanMinAge01)))</f>
        <v/>
      </c>
      <c r="Y464">
        <f>IF(OR('19_Расчет_аналитики'!Y436=0,1&lt;='01_Вводные'!$B$297),0,'19_Расчет_аналитики'!Y436*IF('01_Вводные'!$B$239="Да",MeanMinAge01+'19_Расчет_аналитики'!Y559*SUMIF(ThresholdAge01,"&lt;"&amp;'19_Расчет_аналитики'!Y559,WeightedRevAge01)-SUMIF(ThresholdAge01,"&lt;"&amp;'19_Расчет_аналитики'!Y559,WeightedMinAge01),MAX(CapacityAge01*'01_Вводные'!$B$218*'19_Расчет_аналитики'!Y559,MeanMinAge01)))</f>
        <v/>
      </c>
      <c r="Z464">
        <f>IF(OR('19_Расчет_аналитики'!Z436=0,1&lt;='01_Вводные'!$B$297),0,'19_Расчет_аналитики'!Z436*IF('01_Вводные'!$B$239="Да",MeanMinAge01+'19_Расчет_аналитики'!Z559*SUMIF(ThresholdAge01,"&lt;"&amp;'19_Расчет_аналитики'!Z559,WeightedRevAge01)-SUMIF(ThresholdAge01,"&lt;"&amp;'19_Расчет_аналитики'!Z559,WeightedMinAge01),MAX(CapacityAge01*'01_Вводные'!$B$218*'19_Расчет_аналитики'!Z559,MeanMinAge01)))</f>
        <v/>
      </c>
      <c r="AA464">
        <f>IF(OR('19_Расчет_аналитики'!AA436=0,1&lt;='01_Вводные'!$B$297),0,'19_Расчет_аналитики'!AA436*IF('01_Вводные'!$B$239="Да",MeanMinAge01+'19_Расчет_аналитики'!AA559*SUMIF(ThresholdAge01,"&lt;"&amp;'19_Расчет_аналитики'!AA559,WeightedRevAge01)-SUMIF(ThresholdAge01,"&lt;"&amp;'19_Расчет_аналитики'!AA559,WeightedMinAge01),MAX(CapacityAge01*'01_Вводные'!$B$218*'19_Расчет_аналитики'!AA559,MeanMinAge01)))</f>
        <v/>
      </c>
      <c r="AB464">
        <f>IF(OR('19_Расчет_аналитики'!AB436=0,1&lt;='01_Вводные'!$B$297),0,'19_Расчет_аналитики'!AB436*IF('01_Вводные'!$B$239="Да",MeanMinAge01+'19_Расчет_аналитики'!AB559*SUMIF(ThresholdAge01,"&lt;"&amp;'19_Расчет_аналитики'!AB559,WeightedRevAge01)-SUMIF(ThresholdAge01,"&lt;"&amp;'19_Расчет_аналитики'!AB559,WeightedMinAge01),MAX(CapacityAge01*'01_Вводные'!$B$218*'19_Расчет_аналитики'!AB559,MeanMinAge01)))</f>
        <v/>
      </c>
      <c r="AC464">
        <f>IF(OR('19_Расчет_аналитики'!AC436=0,1&lt;='01_Вводные'!$B$297),0,'19_Расчет_аналитики'!AC436*IF('01_Вводные'!$B$239="Да",MeanMinAge01+'19_Расчет_аналитики'!AC559*SUMIF(ThresholdAge01,"&lt;"&amp;'19_Расчет_аналитики'!AC559,WeightedRevAge01)-SUMIF(ThresholdAge01,"&lt;"&amp;'19_Расчет_аналитики'!AC559,WeightedMinAge01),MAX(CapacityAge01*'01_Вводные'!$B$218*'19_Расчет_аналитики'!AC559,MeanMinAge01)))</f>
        <v/>
      </c>
      <c r="AD464">
        <f>IF(OR('19_Расчет_аналитики'!AD436=0,1&lt;='01_Вводные'!$B$297),0,'19_Расчет_аналитики'!AD436*IF('01_Вводные'!$B$239="Да",MeanMinAge01+'19_Расчет_аналитики'!AD559*SUMIF(ThresholdAge01,"&lt;"&amp;'19_Расчет_аналитики'!AD559,WeightedRevAge01)-SUMIF(ThresholdAge01,"&lt;"&amp;'19_Расчет_аналитики'!AD559,WeightedMinAge01),MAX(CapacityAge01*'01_Вводные'!$B$218*'19_Расчет_аналитики'!AD559,MeanMinAge01)))</f>
        <v/>
      </c>
      <c r="AE464">
        <f>IF(OR('19_Расчет_аналитики'!AE436=0,1&lt;='01_Вводные'!$B$297),0,'19_Расчет_аналитики'!AE436*IF('01_Вводные'!$B$239="Да",MeanMinAge01+'19_Расчет_аналитики'!AE559*SUMIF(ThresholdAge01,"&lt;"&amp;'19_Расчет_аналитики'!AE559,WeightedRevAge01)-SUMIF(ThresholdAge01,"&lt;"&amp;'19_Расчет_аналитики'!AE559,WeightedMinAge01),MAX(CapacityAge01*'01_Вводные'!$B$218*'19_Расчет_аналитики'!AE559,MeanMinAge01)))</f>
        <v/>
      </c>
      <c r="AF464">
        <f>IF(OR('19_Расчет_аналитики'!AF436=0,1&lt;='01_Вводные'!$B$297),0,'19_Расчет_аналитики'!AF436*IF('01_Вводные'!$B$239="Да",MeanMinAge01+'19_Расчет_аналитики'!AF559*SUMIF(ThresholdAge01,"&lt;"&amp;'19_Расчет_аналитики'!AF559,WeightedRevAge01)-SUMIF(ThresholdAge01,"&lt;"&amp;'19_Расчет_аналитики'!AF559,WeightedMinAge01),MAX(CapacityAge01*'01_Вводные'!$B$218*'19_Расчет_аналитики'!AF559,MeanMinAge01)))</f>
        <v/>
      </c>
      <c r="AG464">
        <f>IF(OR('19_Расчет_аналитики'!AG436=0,1&lt;='01_Вводные'!$B$297),0,'19_Расчет_аналитики'!AG436*IF('01_Вводные'!$B$239="Да",MeanMinAge01+'19_Расчет_аналитики'!AG559*SUMIF(ThresholdAge01,"&lt;"&amp;'19_Расчет_аналитики'!AG559,WeightedRevAge01)-SUMIF(ThresholdAge01,"&lt;"&amp;'19_Расчет_аналитики'!AG559,WeightedMinAge01),MAX(CapacityAge01*'01_Вводные'!$B$218*'19_Расчет_аналитики'!AG559,MeanMinAge01)))</f>
        <v/>
      </c>
      <c r="AH464">
        <f>IF(OR('19_Расчет_аналитики'!AH436=0,1&lt;='01_Вводные'!$B$297),0,'19_Расчет_аналитики'!AH436*IF('01_Вводные'!$B$239="Да",MeanMinAge01+'19_Расчет_аналитики'!AH559*SUMIF(ThresholdAge01,"&lt;"&amp;'19_Расчет_аналитики'!AH559,WeightedRevAge01)-SUMIF(ThresholdAge01,"&lt;"&amp;'19_Расчет_аналитики'!AH559,WeightedMinAge01),MAX(CapacityAge01*'01_Вводные'!$B$218*'19_Расчет_аналитики'!AH559,MeanMinAge01)))</f>
        <v/>
      </c>
      <c r="AI464">
        <f>IF(OR('19_Расчет_аналитики'!AI436=0,1&lt;='01_Вводные'!$B$297),0,'19_Расчет_аналитики'!AI436*IF('01_Вводные'!$B$239="Да",MeanMinAge01+'19_Расчет_аналитики'!AI559*SUMIF(ThresholdAge01,"&lt;"&amp;'19_Расчет_аналитики'!AI559,WeightedRevAge01)-SUMIF(ThresholdAge01,"&lt;"&amp;'19_Расчет_аналитики'!AI559,WeightedMinAge01),MAX(CapacityAge01*'01_Вводные'!$B$218*'19_Расчет_аналитики'!AI559,MeanMinAge01)))</f>
        <v/>
      </c>
      <c r="AJ464">
        <f>IF(OR('19_Расчет_аналитики'!AJ436=0,1&lt;='01_Вводные'!$B$297),0,'19_Расчет_аналитики'!AJ436*IF('01_Вводные'!$B$239="Да",MeanMinAge01+'19_Расчет_аналитики'!AJ559*SUMIF(ThresholdAge01,"&lt;"&amp;'19_Расчет_аналитики'!AJ559,WeightedRevAge01)-SUMIF(ThresholdAge01,"&lt;"&amp;'19_Расчет_аналитики'!AJ559,WeightedMinAge01),MAX(CapacityAge01*'01_Вводные'!$B$218*'19_Расчет_аналитики'!AJ559,MeanMinAge01)))</f>
        <v/>
      </c>
      <c r="AK464">
        <f>IF(OR('19_Расчет_аналитики'!AK436=0,1&lt;='01_Вводные'!$B$297),0,'19_Расчет_аналитики'!AK436*IF('01_Вводные'!$B$239="Да",MeanMinAge01+'19_Расчет_аналитики'!AK559*SUMIF(ThresholdAge01,"&lt;"&amp;'19_Расчет_аналитики'!AK559,WeightedRevAge01)-SUMIF(ThresholdAge01,"&lt;"&amp;'19_Расчет_аналитики'!AK559,WeightedMinAge01),MAX(CapacityAge01*'01_Вводные'!$B$218*'19_Расчет_аналитики'!AK559,MeanMinAge01)))</f>
        <v/>
      </c>
      <c r="AL464">
        <f>IF(OR('19_Расчет_аналитики'!AL436=0,1&lt;='01_Вводные'!$B$297),0,'19_Расчет_аналитики'!AL436*IF('01_Вводные'!$B$239="Да",MeanMinAge01+'19_Расчет_аналитики'!AL559*SUMIF(ThresholdAge01,"&lt;"&amp;'19_Расчет_аналитики'!AL559,WeightedRevAge01)-SUMIF(ThresholdAge01,"&lt;"&amp;'19_Расчет_аналитики'!AL559,WeightedMinAge01),MAX(CapacityAge01*'01_Вводные'!$B$218*'19_Расчет_аналитики'!AL559,MeanMinAge01)))</f>
        <v/>
      </c>
      <c r="AM464">
        <f>IF(OR('19_Расчет_аналитики'!AM436=0,1&lt;='01_Вводные'!$B$297),0,'19_Расчет_аналитики'!AM436*IF('01_Вводные'!$B$239="Да",MeanMinAge01+'19_Расчет_аналитики'!AM559*SUMIF(ThresholdAge01,"&lt;"&amp;'19_Расчет_аналитики'!AM559,WeightedRevAge01)-SUMIF(ThresholdAge01,"&lt;"&amp;'19_Расчет_аналитики'!AM559,WeightedMinAge01),MAX(CapacityAge01*'01_Вводные'!$B$218*'19_Расчет_аналитики'!AM559,MeanMinAge01)))</f>
        <v/>
      </c>
      <c r="AN464">
        <f>IF(OR('19_Расчет_аналитики'!AN436=0,1&lt;='01_Вводные'!$B$297),0,'19_Расчет_аналитики'!AN436*IF('01_Вводные'!$B$239="Да",MeanMinAge01+'19_Расчет_аналитики'!AN559*SUMIF(ThresholdAge01,"&lt;"&amp;'19_Расчет_аналитики'!AN559,WeightedRevAge01)-SUMIF(ThresholdAge01,"&lt;"&amp;'19_Расчет_аналитики'!AN559,WeightedMinAge01),MAX(CapacityAge01*'01_Вводные'!$B$218*'19_Расчет_аналитики'!AN559,MeanMinAge01)))</f>
        <v/>
      </c>
      <c r="AO464">
        <f>IF(OR('19_Расчет_аналитики'!AO436=0,1&lt;='01_Вводные'!$B$297),0,'19_Расчет_аналитики'!AO436*IF('01_Вводные'!$B$239="Да",MeanMinAge01+'19_Расчет_аналитики'!AO559*SUMIF(ThresholdAge01,"&lt;"&amp;'19_Расчет_аналитики'!AO559,WeightedRevAge01)-SUMIF(ThresholdAge01,"&lt;"&amp;'19_Расчет_аналитики'!AO559,WeightedMinAge01),MAX(CapacityAge01*'01_Вводные'!$B$218*'19_Расчет_аналитики'!AO559,MeanMinAge01)))</f>
        <v/>
      </c>
      <c r="AP464">
        <f>IF(OR('19_Расчет_аналитики'!AP436=0,1&lt;='01_Вводные'!$B$297),0,'19_Расчет_аналитики'!AP436*IF('01_Вводные'!$B$239="Да",MeanMinAge01+'19_Расчет_аналитики'!AP559*SUMIF(ThresholdAge01,"&lt;"&amp;'19_Расчет_аналитики'!AP559,WeightedRevAge01)-SUMIF(ThresholdAge01,"&lt;"&amp;'19_Расчет_аналитики'!AP559,WeightedMinAge01),MAX(CapacityAge01*'01_Вводные'!$B$218*'19_Расчет_аналитики'!AP559,MeanMinAge01)))</f>
        <v/>
      </c>
      <c r="AQ464">
        <f>IF(OR('19_Расчет_аналитики'!AQ436=0,1&lt;='01_Вводные'!$B$297),0,'19_Расчет_аналитики'!AQ436*IF('01_Вводные'!$B$239="Да",MeanMinAge01+'19_Расчет_аналитики'!AQ559*SUMIF(ThresholdAge01,"&lt;"&amp;'19_Расчет_аналитики'!AQ559,WeightedRevAge01)-SUMIF(ThresholdAge01,"&lt;"&amp;'19_Расчет_аналитики'!AQ559,WeightedMinAge01),MAX(CapacityAge01*'01_Вводные'!$B$218*'19_Расчет_аналитики'!AQ559,MeanMinAge01)))</f>
        <v/>
      </c>
      <c r="AR464">
        <f>IF(OR('19_Расчет_аналитики'!AR436=0,1&lt;='01_Вводные'!$B$297),0,'19_Расчет_аналитики'!AR436*IF('01_Вводные'!$B$239="Да",MeanMinAge01+'19_Расчет_аналитики'!AR559*SUMIF(ThresholdAge01,"&lt;"&amp;'19_Расчет_аналитики'!AR559,WeightedRevAge01)-SUMIF(ThresholdAge01,"&lt;"&amp;'19_Расчет_аналитики'!AR559,WeightedMinAge01),MAX(CapacityAge01*'01_Вводные'!$B$218*'19_Расчет_аналитики'!AR559,MeanMinAge01)))</f>
        <v/>
      </c>
      <c r="AS464">
        <f>IF(OR('19_Расчет_аналитики'!AS436=0,1&lt;='01_Вводные'!$B$297),0,'19_Расчет_аналитики'!AS436*IF('01_Вводные'!$B$239="Да",MeanMinAge01+'19_Расчет_аналитики'!AS559*SUMIF(ThresholdAge01,"&lt;"&amp;'19_Расчет_аналитики'!AS559,WeightedRevAge01)-SUMIF(ThresholdAge01,"&lt;"&amp;'19_Расчет_аналитики'!AS559,WeightedMinAge01),MAX(CapacityAge01*'01_Вводные'!$B$218*'19_Расчет_аналитики'!AS559,MeanMinAge01)))</f>
        <v/>
      </c>
      <c r="AT464">
        <f>IF(OR('19_Расчет_аналитики'!AT436=0,1&lt;='01_Вводные'!$B$297),0,'19_Расчет_аналитики'!AT436*IF('01_Вводные'!$B$239="Да",MeanMinAge01+'19_Расчет_аналитики'!AT559*SUMIF(ThresholdAge01,"&lt;"&amp;'19_Расчет_аналитики'!AT559,WeightedRevAge01)-SUMIF(ThresholdAge01,"&lt;"&amp;'19_Расчет_аналитики'!AT559,WeightedMinAge01),MAX(CapacityAge01*'01_Вводные'!$B$218*'19_Расчет_аналитики'!AT559,MeanMinAge01)))</f>
        <v/>
      </c>
      <c r="AU464">
        <f>IF(OR('19_Расчет_аналитики'!AU436=0,1&lt;='01_Вводные'!$B$297),0,'19_Расчет_аналитики'!AU436*IF('01_Вводные'!$B$239="Да",MeanMinAge01+'19_Расчет_аналитики'!AU559*SUMIF(ThresholdAge01,"&lt;"&amp;'19_Расчет_аналитики'!AU559,WeightedRevAge01)-SUMIF(ThresholdAge01,"&lt;"&amp;'19_Расчет_аналитики'!AU559,WeightedMinAge01),MAX(CapacityAge01*'01_Вводные'!$B$218*'19_Расчет_аналитики'!AU559,MeanMinAge01)))</f>
        <v/>
      </c>
      <c r="AV464">
        <f>IF(OR('19_Расчет_аналитики'!AV436=0,1&lt;='01_Вводные'!$B$297),0,'19_Расчет_аналитики'!AV436*IF('01_Вводные'!$B$239="Да",MeanMinAge01+'19_Расчет_аналитики'!AV559*SUMIF(ThresholdAge01,"&lt;"&amp;'19_Расчет_аналитики'!AV559,WeightedRevAge01)-SUMIF(ThresholdAge01,"&lt;"&amp;'19_Расчет_аналитики'!AV559,WeightedMinAge01),MAX(CapacityAge01*'01_Вводные'!$B$218*'19_Расчет_аналитики'!AV559,MeanMinAge01)))</f>
        <v/>
      </c>
      <c r="AW464">
        <f>IF(OR('19_Расчет_аналитики'!AW436=0,1&lt;='01_Вводные'!$B$297),0,'19_Расчет_аналитики'!AW436*IF('01_Вводные'!$B$239="Да",MeanMinAge01+'19_Расчет_аналитики'!AW559*SUMIF(ThresholdAge01,"&lt;"&amp;'19_Расчет_аналитики'!AW559,WeightedRevAge01)-SUMIF(ThresholdAge01,"&lt;"&amp;'19_Расчет_аналитики'!AW559,WeightedMinAge01),MAX(CapacityAge01*'01_Вводные'!$B$218*'19_Расчет_аналитики'!AW559,MeanMinAge01)))</f>
        <v/>
      </c>
      <c r="AX464">
        <f>IF(OR('19_Расчет_аналитики'!AX436=0,1&lt;='01_Вводные'!$B$297),0,'19_Расчет_аналитики'!AX436*IF('01_Вводные'!$B$239="Да",MeanMinAge01+'19_Расчет_аналитики'!AX559*SUMIF(ThresholdAge01,"&lt;"&amp;'19_Расчет_аналитики'!AX559,WeightedRevAge01)-SUMIF(ThresholdAge01,"&lt;"&amp;'19_Расчет_аналитики'!AX559,WeightedMinAge01),MAX(CapacityAge01*'01_Вводные'!$B$218*'19_Расчет_аналитики'!AX559,MeanMinAge01)))</f>
        <v/>
      </c>
      <c r="AY464">
        <f>IF(OR('19_Расчет_аналитики'!AY436=0,1&lt;='01_Вводные'!$B$297),0,'19_Расчет_аналитики'!AY436*IF('01_Вводные'!$B$239="Да",MeanMinAge01+'19_Расчет_аналитики'!AY559*SUMIF(ThresholdAge01,"&lt;"&amp;'19_Расчет_аналитики'!AY559,WeightedRevAge01)-SUMIF(ThresholdAge01,"&lt;"&amp;'19_Расчет_аналитики'!AY559,WeightedMinAge01),MAX(CapacityAge01*'01_Вводные'!$B$218*'19_Расчет_аналитики'!AY559,MeanMinAge01)))</f>
        <v/>
      </c>
      <c r="AZ464">
        <f>IF(OR('19_Расчет_аналитики'!AZ436=0,1&lt;='01_Вводные'!$B$297),0,'19_Расчет_аналитики'!AZ436*IF('01_Вводные'!$B$239="Да",MeanMinAge01+'19_Расчет_аналитики'!AZ559*SUMIF(ThresholdAge01,"&lt;"&amp;'19_Расчет_аналитики'!AZ559,WeightedRevAge01)-SUMIF(ThresholdAge01,"&lt;"&amp;'19_Расчет_аналитики'!AZ559,WeightedMinAge01),MAX(CapacityAge01*'01_Вводные'!$B$218*'19_Расчет_аналитики'!AZ559,MeanMinAge01)))</f>
        <v/>
      </c>
      <c r="BA464">
        <f>IF(OR('19_Расчет_аналитики'!BA436=0,1&lt;='01_Вводные'!$B$297),0,'19_Расчет_аналитики'!BA436*IF('01_Вводные'!$B$239="Да",MeanMinAge01+'19_Расчет_аналитики'!BA559*SUMIF(ThresholdAge01,"&lt;"&amp;'19_Расчет_аналитики'!BA559,WeightedRevAge01)-SUMIF(ThresholdAge01,"&lt;"&amp;'19_Расчет_аналитики'!BA559,WeightedMinAge01),MAX(CapacityAge01*'01_Вводные'!$B$218*'19_Расчет_аналитики'!BA559,MeanMinAge01)))</f>
        <v/>
      </c>
      <c r="BB464">
        <f>IF(OR('19_Расчет_аналитики'!BB436=0,1&lt;='01_Вводные'!$B$297),0,'19_Расчет_аналитики'!BB436*IF('01_Вводные'!$B$239="Да",MeanMinAge01+'19_Расчет_аналитики'!BB559*SUMIF(ThresholdAge01,"&lt;"&amp;'19_Расчет_аналитики'!BB559,WeightedRevAge01)-SUMIF(ThresholdAge01,"&lt;"&amp;'19_Расчет_аналитики'!BB559,WeightedMinAge01),MAX(CapacityAge01*'01_Вводные'!$B$218*'19_Расчет_аналитики'!BB559,MeanMinAge01)))</f>
        <v/>
      </c>
      <c r="BC464">
        <f>IF(OR('19_Расчет_аналитики'!BC436=0,1&lt;='01_Вводные'!$B$297),0,'19_Расчет_аналитики'!BC436*IF('01_Вводные'!$B$239="Да",MeanMinAge01+'19_Расчет_аналитики'!BC559*SUMIF(ThresholdAge01,"&lt;"&amp;'19_Расчет_аналитики'!BC559,WeightedRevAge01)-SUMIF(ThresholdAge01,"&lt;"&amp;'19_Расчет_аналитики'!BC559,WeightedMinAge01),MAX(CapacityAge01*'01_Вводные'!$B$218*'19_Расчет_аналитики'!BC559,MeanMinAge01)))</f>
        <v/>
      </c>
      <c r="BD464">
        <f>IF(OR('19_Расчет_аналитики'!BD436=0,1&lt;='01_Вводные'!$B$297),0,'19_Расчет_аналитики'!BD436*IF('01_Вводные'!$B$239="Да",MeanMinAge01+'19_Расчет_аналитики'!BD559*SUMIF(ThresholdAge01,"&lt;"&amp;'19_Расчет_аналитики'!BD559,WeightedRevAge01)-SUMIF(ThresholdAge01,"&lt;"&amp;'19_Расчет_аналитики'!BD559,WeightedMinAge01),MAX(CapacityAge01*'01_Вводные'!$B$218*'19_Расчет_аналитики'!BD559,MeanMinAge01)))</f>
        <v/>
      </c>
      <c r="BE464">
        <f>IF(OR('19_Расчет_аналитики'!BE436=0,1&lt;='01_Вводные'!$B$297),0,'19_Расчет_аналитики'!BE436*IF('01_Вводные'!$B$239="Да",MeanMinAge01+'19_Расчет_аналитики'!BE559*SUMIF(ThresholdAge01,"&lt;"&amp;'19_Расчет_аналитики'!BE559,WeightedRevAge01)-SUMIF(ThresholdAge01,"&lt;"&amp;'19_Расчет_аналитики'!BE559,WeightedMinAge01),MAX(CapacityAge01*'01_Вводные'!$B$218*'19_Расчет_аналитики'!BE559,MeanMinAge01)))</f>
        <v/>
      </c>
      <c r="BF464">
        <f>IF(OR('19_Расчет_аналитики'!BF436=0,1&lt;='01_Вводные'!$B$297),0,'19_Расчет_аналитики'!BF436*IF('01_Вводные'!$B$239="Да",MeanMinAge01+'19_Расчет_аналитики'!BF559*SUMIF(ThresholdAge01,"&lt;"&amp;'19_Расчет_аналитики'!BF559,WeightedRevAge01)-SUMIF(ThresholdAge01,"&lt;"&amp;'19_Расчет_аналитики'!BF559,WeightedMinAge01),MAX(CapacityAge01*'01_Вводные'!$B$218*'19_Расчет_аналитики'!BF559,MeanMinAge01)))</f>
        <v/>
      </c>
      <c r="BG464">
        <f>IF(OR('19_Расчет_аналитики'!BG436=0,1&lt;='01_Вводные'!$B$297),0,'19_Расчет_аналитики'!BG436*IF('01_Вводные'!$B$239="Да",MeanMinAge01+'19_Расчет_аналитики'!BG559*SUMIF(ThresholdAge01,"&lt;"&amp;'19_Расчет_аналитики'!BG559,WeightedRevAge01)-SUMIF(ThresholdAge01,"&lt;"&amp;'19_Расчет_аналитики'!BG559,WeightedMinAge01),MAX(CapacityAge01*'01_Вводные'!$B$218*'19_Расчет_аналитики'!BG559,MeanMinAge01)))</f>
        <v/>
      </c>
      <c r="BH464">
        <f>IF(OR('19_Расчет_аналитики'!BH436=0,1&lt;='01_Вводные'!$B$297),0,'19_Расчет_аналитики'!BH436*IF('01_Вводные'!$B$239="Да",MeanMinAge01+'19_Расчет_аналитики'!BH559*SUMIF(ThresholdAge01,"&lt;"&amp;'19_Расчет_аналитики'!BH559,WeightedRevAge01)-SUMIF(ThresholdAge01,"&lt;"&amp;'19_Расчет_аналитики'!BH559,WeightedMinAge01),MAX(CapacityAge01*'01_Вводные'!$B$218*'19_Расчет_аналитики'!BH559,MeanMinAge01)))</f>
        <v/>
      </c>
      <c r="BI464">
        <f>IF(OR('19_Расчет_аналитики'!BI436=0,1&lt;='01_Вводные'!$B$297),0,'19_Расчет_аналитики'!BI436*IF('01_Вводные'!$B$239="Да",MeanMinAge01+'19_Расчет_аналитики'!BI559*SUMIF(ThresholdAge01,"&lt;"&amp;'19_Расчет_аналитики'!BI559,WeightedRevAge01)-SUMIF(ThresholdAge01,"&lt;"&amp;'19_Расчет_аналитики'!BI559,WeightedMinAge01),MAX(CapacityAge01*'01_Вводные'!$B$218*'19_Расчет_аналитики'!BI559,MeanMinAge01)))</f>
        <v/>
      </c>
      <c r="BJ464">
        <f>IF(OR('19_Расчет_аналитики'!BJ436=0,1&lt;='01_Вводные'!$B$297),0,'19_Расчет_аналитики'!BJ436*IF('01_Вводные'!$B$239="Да",MeanMinAge01+'19_Расчет_аналитики'!BJ559*SUMIF(ThresholdAge01,"&lt;"&amp;'19_Расчет_аналитики'!BJ559,WeightedRevAge01)-SUMIF(ThresholdAge01,"&lt;"&amp;'19_Расчет_аналитики'!BJ559,WeightedMinAge01),MAX(CapacityAge01*'01_Вводные'!$B$218*'19_Расчет_аналитики'!BJ559,MeanMinAge01)))</f>
        <v/>
      </c>
      <c r="BK464">
        <f>IF(OR('19_Расчет_аналитики'!BK436=0,1&lt;='01_Вводные'!$B$297),0,'19_Расчет_аналитики'!BK436*IF('01_Вводные'!$B$239="Да",MeanMinAge01+'19_Расчет_аналитики'!BK559*SUMIF(ThresholdAge01,"&lt;"&amp;'19_Расчет_аналитики'!BK559,WeightedRevAge01)-SUMIF(ThresholdAge01,"&lt;"&amp;'19_Расчет_аналитики'!BK559,WeightedMinAge01),MAX(CapacityAge01*'01_Вводные'!$B$218*'19_Расчет_аналитики'!BK559,MeanMinAge01)))</f>
        <v/>
      </c>
      <c r="BL464">
        <f>IF(OR('19_Расчет_аналитики'!BL436=0,1&lt;='01_Вводные'!$B$297),0,'19_Расчет_аналитики'!BL436*IF('01_Вводные'!$B$239="Да",MeanMinAge01+'19_Расчет_аналитики'!BL559*SUMIF(ThresholdAge01,"&lt;"&amp;'19_Расчет_аналитики'!BL559,WeightedRevAge01)-SUMIF(ThresholdAge01,"&lt;"&amp;'19_Расчет_аналитики'!BL559,WeightedMinAge01),MAX(CapacityAge01*'01_Вводные'!$B$218*'19_Расчет_аналитики'!BL559,MeanMinAge01)))</f>
        <v/>
      </c>
      <c r="BM464">
        <f>IF(OR('19_Расчет_аналитики'!BM436=0,1&lt;='01_Вводные'!$B$297),0,'19_Расчет_аналитики'!BM436*IF('01_Вводные'!$B$239="Да",MeanMinAge01+'19_Расчет_аналитики'!BM559*SUMIF(ThresholdAge01,"&lt;"&amp;'19_Расчет_аналитики'!BM559,WeightedRevAge01)-SUMIF(ThresholdAge01,"&lt;"&amp;'19_Расчет_аналитики'!BM559,WeightedMinAge01),MAX(CapacityAge01*'01_Вводные'!$B$218*'19_Расчет_аналитики'!BM559,MeanMinAge01)))</f>
        <v/>
      </c>
      <c r="BN464">
        <f>IF(OR('19_Расчет_аналитики'!BN436=0,1&lt;='01_Вводные'!$B$297),0,'19_Расчет_аналитики'!BN436*IF('01_Вводные'!$B$239="Да",MeanMinAge01+'19_Расчет_аналитики'!BN559*SUMIF(ThresholdAge01,"&lt;"&amp;'19_Расчет_аналитики'!BN559,WeightedRevAge01)-SUMIF(ThresholdAge01,"&lt;"&amp;'19_Расчет_аналитики'!BN559,WeightedMinAge01),MAX(CapacityAge01*'01_Вводные'!$B$218*'19_Расчет_аналитики'!BN559,MeanMinAge01)))</f>
        <v/>
      </c>
      <c r="BO464">
        <f>IF(OR('19_Расчет_аналитики'!BO436=0,1&lt;='01_Вводные'!$B$297),0,'19_Расчет_аналитики'!BO436*IF('01_Вводные'!$B$239="Да",MeanMinAge01+'19_Расчет_аналитики'!BO559*SUMIF(ThresholdAge01,"&lt;"&amp;'19_Расчет_аналитики'!BO559,WeightedRevAge01)-SUMIF(ThresholdAge01,"&lt;"&amp;'19_Расчет_аналитики'!BO559,WeightedMinAge01),MAX(CapacityAge01*'01_Вводные'!$B$218*'19_Расчет_аналитики'!BO559,MeanMinAge01)))</f>
        <v/>
      </c>
    </row>
    <row r="465">
      <c r="B465">
        <f>IF(OR('06_Сеть_и_дети'!B82=0,2&lt;='01_Вводные'!$B$297),0,'06_Сеть_и_дети'!B82*IF('01_Вводные'!$B$239="Да",MeanMinAge02+'19_Расчет_аналитики'!B559*SUMIF(ThresholdAge02,"&lt;"&amp;'19_Расчет_аналитики'!B559,WeightedRevAge02)-SUMIF(ThresholdAge02,"&lt;"&amp;'19_Расчет_аналитики'!B559,WeightedMinAge02),MAX(CapacityAge02*'01_Вводные'!$B$218*'19_Расчет_аналитики'!B559,MeanMinAge02)))</f>
        <v/>
      </c>
      <c r="C465">
        <f>IF(OR('19_Расчет_аналитики'!C437=0,2&lt;='01_Вводные'!$B$297),0,'19_Расчет_аналитики'!C437*IF('01_Вводные'!$B$239="Да",MeanMinAge02+'19_Расчет_аналитики'!C559*SUMIF(ThresholdAge02,"&lt;"&amp;'19_Расчет_аналитики'!C559,WeightedRevAge02)-SUMIF(ThresholdAge02,"&lt;"&amp;'19_Расчет_аналитики'!C559,WeightedMinAge02),MAX(CapacityAge02*'01_Вводные'!$B$218*'19_Расчет_аналитики'!C559,MeanMinAge02)))</f>
        <v/>
      </c>
      <c r="D465">
        <f>IF(OR('19_Расчет_аналитики'!D437=0,2&lt;='01_Вводные'!$B$297),0,'19_Расчет_аналитики'!D437*IF('01_Вводные'!$B$239="Да",MeanMinAge02+'19_Расчет_аналитики'!D559*SUMIF(ThresholdAge02,"&lt;"&amp;'19_Расчет_аналитики'!D559,WeightedRevAge02)-SUMIF(ThresholdAge02,"&lt;"&amp;'19_Расчет_аналитики'!D559,WeightedMinAge02),MAX(CapacityAge02*'01_Вводные'!$B$218*'19_Расчет_аналитики'!D559,MeanMinAge02)))</f>
        <v/>
      </c>
      <c r="E465">
        <f>IF(OR('19_Расчет_аналитики'!E437=0,2&lt;='01_Вводные'!$B$297),0,'19_Расчет_аналитики'!E437*IF('01_Вводные'!$B$239="Да",MeanMinAge02+'19_Расчет_аналитики'!E559*SUMIF(ThresholdAge02,"&lt;"&amp;'19_Расчет_аналитики'!E559,WeightedRevAge02)-SUMIF(ThresholdAge02,"&lt;"&amp;'19_Расчет_аналитики'!E559,WeightedMinAge02),MAX(CapacityAge02*'01_Вводные'!$B$218*'19_Расчет_аналитики'!E559,MeanMinAge02)))</f>
        <v/>
      </c>
      <c r="F465">
        <f>IF(OR('19_Расчет_аналитики'!F437=0,2&lt;='01_Вводные'!$B$297),0,'19_Расчет_аналитики'!F437*IF('01_Вводные'!$B$239="Да",MeanMinAge02+'19_Расчет_аналитики'!F559*SUMIF(ThresholdAge02,"&lt;"&amp;'19_Расчет_аналитики'!F559,WeightedRevAge02)-SUMIF(ThresholdAge02,"&lt;"&amp;'19_Расчет_аналитики'!F559,WeightedMinAge02),MAX(CapacityAge02*'01_Вводные'!$B$218*'19_Расчет_аналитики'!F559,MeanMinAge02)))</f>
        <v/>
      </c>
      <c r="G465">
        <f>IF(OR('19_Расчет_аналитики'!G437=0,2&lt;='01_Вводные'!$B$297),0,'19_Расчет_аналитики'!G437*IF('01_Вводные'!$B$239="Да",MeanMinAge02+'19_Расчет_аналитики'!G559*SUMIF(ThresholdAge02,"&lt;"&amp;'19_Расчет_аналитики'!G559,WeightedRevAge02)-SUMIF(ThresholdAge02,"&lt;"&amp;'19_Расчет_аналитики'!G559,WeightedMinAge02),MAX(CapacityAge02*'01_Вводные'!$B$218*'19_Расчет_аналитики'!G559,MeanMinAge02)))</f>
        <v/>
      </c>
      <c r="H465">
        <f>IF(OR('19_Расчет_аналитики'!H437=0,2&lt;='01_Вводные'!$B$297),0,'19_Расчет_аналитики'!H437*IF('01_Вводные'!$B$239="Да",MeanMinAge02+'19_Расчет_аналитики'!H559*SUMIF(ThresholdAge02,"&lt;"&amp;'19_Расчет_аналитики'!H559,WeightedRevAge02)-SUMIF(ThresholdAge02,"&lt;"&amp;'19_Расчет_аналитики'!H559,WeightedMinAge02),MAX(CapacityAge02*'01_Вводные'!$B$218*'19_Расчет_аналитики'!H559,MeanMinAge02)))</f>
        <v/>
      </c>
      <c r="I465">
        <f>IF(OR('19_Расчет_аналитики'!I437=0,2&lt;='01_Вводные'!$B$297),0,'19_Расчет_аналитики'!I437*IF('01_Вводные'!$B$239="Да",MeanMinAge02+'19_Расчет_аналитики'!I559*SUMIF(ThresholdAge02,"&lt;"&amp;'19_Расчет_аналитики'!I559,WeightedRevAge02)-SUMIF(ThresholdAge02,"&lt;"&amp;'19_Расчет_аналитики'!I559,WeightedMinAge02),MAX(CapacityAge02*'01_Вводные'!$B$218*'19_Расчет_аналитики'!I559,MeanMinAge02)))</f>
        <v/>
      </c>
      <c r="J465">
        <f>IF(OR('19_Расчет_аналитики'!J437=0,2&lt;='01_Вводные'!$B$297),0,'19_Расчет_аналитики'!J437*IF('01_Вводные'!$B$239="Да",MeanMinAge02+'19_Расчет_аналитики'!J559*SUMIF(ThresholdAge02,"&lt;"&amp;'19_Расчет_аналитики'!J559,WeightedRevAge02)-SUMIF(ThresholdAge02,"&lt;"&amp;'19_Расчет_аналитики'!J559,WeightedMinAge02),MAX(CapacityAge02*'01_Вводные'!$B$218*'19_Расчет_аналитики'!J559,MeanMinAge02)))</f>
        <v/>
      </c>
      <c r="K465">
        <f>IF(OR('19_Расчет_аналитики'!K437=0,2&lt;='01_Вводные'!$B$297),0,'19_Расчет_аналитики'!K437*IF('01_Вводные'!$B$239="Да",MeanMinAge02+'19_Расчет_аналитики'!K559*SUMIF(ThresholdAge02,"&lt;"&amp;'19_Расчет_аналитики'!K559,WeightedRevAge02)-SUMIF(ThresholdAge02,"&lt;"&amp;'19_Расчет_аналитики'!K559,WeightedMinAge02),MAX(CapacityAge02*'01_Вводные'!$B$218*'19_Расчет_аналитики'!K559,MeanMinAge02)))</f>
        <v/>
      </c>
      <c r="L465">
        <f>IF(OR('19_Расчет_аналитики'!L437=0,2&lt;='01_Вводные'!$B$297),0,'19_Расчет_аналитики'!L437*IF('01_Вводные'!$B$239="Да",MeanMinAge02+'19_Расчет_аналитики'!L559*SUMIF(ThresholdAge02,"&lt;"&amp;'19_Расчет_аналитики'!L559,WeightedRevAge02)-SUMIF(ThresholdAge02,"&lt;"&amp;'19_Расчет_аналитики'!L559,WeightedMinAge02),MAX(CapacityAge02*'01_Вводные'!$B$218*'19_Расчет_аналитики'!L559,MeanMinAge02)))</f>
        <v/>
      </c>
      <c r="M465">
        <f>IF(OR('19_Расчет_аналитики'!M437=0,2&lt;='01_Вводные'!$B$297),0,'19_Расчет_аналитики'!M437*IF('01_Вводные'!$B$239="Да",MeanMinAge02+'19_Расчет_аналитики'!M559*SUMIF(ThresholdAge02,"&lt;"&amp;'19_Расчет_аналитики'!M559,WeightedRevAge02)-SUMIF(ThresholdAge02,"&lt;"&amp;'19_Расчет_аналитики'!M559,WeightedMinAge02),MAX(CapacityAge02*'01_Вводные'!$B$218*'19_Расчет_аналитики'!M559,MeanMinAge02)))</f>
        <v/>
      </c>
      <c r="N465">
        <f>IF(OR('19_Расчет_аналитики'!N437=0,2&lt;='01_Вводные'!$B$297),0,'19_Расчет_аналитики'!N437*IF('01_Вводные'!$B$239="Да",MeanMinAge02+'19_Расчет_аналитики'!N559*SUMIF(ThresholdAge02,"&lt;"&amp;'19_Расчет_аналитики'!N559,WeightedRevAge02)-SUMIF(ThresholdAge02,"&lt;"&amp;'19_Расчет_аналитики'!N559,WeightedMinAge02),MAX(CapacityAge02*'01_Вводные'!$B$218*'19_Расчет_аналитики'!N559,MeanMinAge02)))</f>
        <v/>
      </c>
      <c r="O465">
        <f>IF(OR('19_Расчет_аналитики'!O437=0,2&lt;='01_Вводные'!$B$297),0,'19_Расчет_аналитики'!O437*IF('01_Вводные'!$B$239="Да",MeanMinAge02+'19_Расчет_аналитики'!O559*SUMIF(ThresholdAge02,"&lt;"&amp;'19_Расчет_аналитики'!O559,WeightedRevAge02)-SUMIF(ThresholdAge02,"&lt;"&amp;'19_Расчет_аналитики'!O559,WeightedMinAge02),MAX(CapacityAge02*'01_Вводные'!$B$218*'19_Расчет_аналитики'!O559,MeanMinAge02)))</f>
        <v/>
      </c>
      <c r="P465">
        <f>IF(OR('19_Расчет_аналитики'!P437=0,2&lt;='01_Вводные'!$B$297),0,'19_Расчет_аналитики'!P437*IF('01_Вводные'!$B$239="Да",MeanMinAge02+'19_Расчет_аналитики'!P559*SUMIF(ThresholdAge02,"&lt;"&amp;'19_Расчет_аналитики'!P559,WeightedRevAge02)-SUMIF(ThresholdAge02,"&lt;"&amp;'19_Расчет_аналитики'!P559,WeightedMinAge02),MAX(CapacityAge02*'01_Вводные'!$B$218*'19_Расчет_аналитики'!P559,MeanMinAge02)))</f>
        <v/>
      </c>
      <c r="Q465">
        <f>IF(OR('19_Расчет_аналитики'!Q437=0,2&lt;='01_Вводные'!$B$297),0,'19_Расчет_аналитики'!Q437*IF('01_Вводные'!$B$239="Да",MeanMinAge02+'19_Расчет_аналитики'!Q559*SUMIF(ThresholdAge02,"&lt;"&amp;'19_Расчет_аналитики'!Q559,WeightedRevAge02)-SUMIF(ThresholdAge02,"&lt;"&amp;'19_Расчет_аналитики'!Q559,WeightedMinAge02),MAX(CapacityAge02*'01_Вводные'!$B$218*'19_Расчет_аналитики'!Q559,MeanMinAge02)))</f>
        <v/>
      </c>
      <c r="R465">
        <f>IF(OR('19_Расчет_аналитики'!R437=0,2&lt;='01_Вводные'!$B$297),0,'19_Расчет_аналитики'!R437*IF('01_Вводные'!$B$239="Да",MeanMinAge02+'19_Расчет_аналитики'!R559*SUMIF(ThresholdAge02,"&lt;"&amp;'19_Расчет_аналитики'!R559,WeightedRevAge02)-SUMIF(ThresholdAge02,"&lt;"&amp;'19_Расчет_аналитики'!R559,WeightedMinAge02),MAX(CapacityAge02*'01_Вводные'!$B$218*'19_Расчет_аналитики'!R559,MeanMinAge02)))</f>
        <v/>
      </c>
      <c r="S465">
        <f>IF(OR('19_Расчет_аналитики'!S437=0,2&lt;='01_Вводные'!$B$297),0,'19_Расчет_аналитики'!S437*IF('01_Вводные'!$B$239="Да",MeanMinAge02+'19_Расчет_аналитики'!S559*SUMIF(ThresholdAge02,"&lt;"&amp;'19_Расчет_аналитики'!S559,WeightedRevAge02)-SUMIF(ThresholdAge02,"&lt;"&amp;'19_Расчет_аналитики'!S559,WeightedMinAge02),MAX(CapacityAge02*'01_Вводные'!$B$218*'19_Расчет_аналитики'!S559,MeanMinAge02)))</f>
        <v/>
      </c>
      <c r="T465">
        <f>IF(OR('19_Расчет_аналитики'!T437=0,2&lt;='01_Вводные'!$B$297),0,'19_Расчет_аналитики'!T437*IF('01_Вводные'!$B$239="Да",MeanMinAge02+'19_Расчет_аналитики'!T559*SUMIF(ThresholdAge02,"&lt;"&amp;'19_Расчет_аналитики'!T559,WeightedRevAge02)-SUMIF(ThresholdAge02,"&lt;"&amp;'19_Расчет_аналитики'!T559,WeightedMinAge02),MAX(CapacityAge02*'01_Вводные'!$B$218*'19_Расчет_аналитики'!T559,MeanMinAge02)))</f>
        <v/>
      </c>
      <c r="U465">
        <f>IF(OR('19_Расчет_аналитики'!U437=0,2&lt;='01_Вводные'!$B$297),0,'19_Расчет_аналитики'!U437*IF('01_Вводные'!$B$239="Да",MeanMinAge02+'19_Расчет_аналитики'!U559*SUMIF(ThresholdAge02,"&lt;"&amp;'19_Расчет_аналитики'!U559,WeightedRevAge02)-SUMIF(ThresholdAge02,"&lt;"&amp;'19_Расчет_аналитики'!U559,WeightedMinAge02),MAX(CapacityAge02*'01_Вводные'!$B$218*'19_Расчет_аналитики'!U559,MeanMinAge02)))</f>
        <v/>
      </c>
      <c r="V465">
        <f>IF(OR('19_Расчет_аналитики'!V437=0,2&lt;='01_Вводные'!$B$297),0,'19_Расчет_аналитики'!V437*IF('01_Вводные'!$B$239="Да",MeanMinAge02+'19_Расчет_аналитики'!V559*SUMIF(ThresholdAge02,"&lt;"&amp;'19_Расчет_аналитики'!V559,WeightedRevAge02)-SUMIF(ThresholdAge02,"&lt;"&amp;'19_Расчет_аналитики'!V559,WeightedMinAge02),MAX(CapacityAge02*'01_Вводные'!$B$218*'19_Расчет_аналитики'!V559,MeanMinAge02)))</f>
        <v/>
      </c>
      <c r="W465">
        <f>IF(OR('19_Расчет_аналитики'!W437=0,2&lt;='01_Вводные'!$B$297),0,'19_Расчет_аналитики'!W437*IF('01_Вводные'!$B$239="Да",MeanMinAge02+'19_Расчет_аналитики'!W559*SUMIF(ThresholdAge02,"&lt;"&amp;'19_Расчет_аналитики'!W559,WeightedRevAge02)-SUMIF(ThresholdAge02,"&lt;"&amp;'19_Расчет_аналитики'!W559,WeightedMinAge02),MAX(CapacityAge02*'01_Вводные'!$B$218*'19_Расчет_аналитики'!W559,MeanMinAge02)))</f>
        <v/>
      </c>
      <c r="X465">
        <f>IF(OR('19_Расчет_аналитики'!X437=0,2&lt;='01_Вводные'!$B$297),0,'19_Расчет_аналитики'!X437*IF('01_Вводные'!$B$239="Да",MeanMinAge02+'19_Расчет_аналитики'!X559*SUMIF(ThresholdAge02,"&lt;"&amp;'19_Расчет_аналитики'!X559,WeightedRevAge02)-SUMIF(ThresholdAge02,"&lt;"&amp;'19_Расчет_аналитики'!X559,WeightedMinAge02),MAX(CapacityAge02*'01_Вводные'!$B$218*'19_Расчет_аналитики'!X559,MeanMinAge02)))</f>
        <v/>
      </c>
      <c r="Y465">
        <f>IF(OR('19_Расчет_аналитики'!Y437=0,2&lt;='01_Вводные'!$B$297),0,'19_Расчет_аналитики'!Y437*IF('01_Вводные'!$B$239="Да",MeanMinAge02+'19_Расчет_аналитики'!Y559*SUMIF(ThresholdAge02,"&lt;"&amp;'19_Расчет_аналитики'!Y559,WeightedRevAge02)-SUMIF(ThresholdAge02,"&lt;"&amp;'19_Расчет_аналитики'!Y559,WeightedMinAge02),MAX(CapacityAge02*'01_Вводные'!$B$218*'19_Расчет_аналитики'!Y559,MeanMinAge02)))</f>
        <v/>
      </c>
      <c r="Z465">
        <f>IF(OR('19_Расчет_аналитики'!Z437=0,2&lt;='01_Вводные'!$B$297),0,'19_Расчет_аналитики'!Z437*IF('01_Вводные'!$B$239="Да",MeanMinAge02+'19_Расчет_аналитики'!Z559*SUMIF(ThresholdAge02,"&lt;"&amp;'19_Расчет_аналитики'!Z559,WeightedRevAge02)-SUMIF(ThresholdAge02,"&lt;"&amp;'19_Расчет_аналитики'!Z559,WeightedMinAge02),MAX(CapacityAge02*'01_Вводные'!$B$218*'19_Расчет_аналитики'!Z559,MeanMinAge02)))</f>
        <v/>
      </c>
      <c r="AA465">
        <f>IF(OR('19_Расчет_аналитики'!AA437=0,2&lt;='01_Вводные'!$B$297),0,'19_Расчет_аналитики'!AA437*IF('01_Вводные'!$B$239="Да",MeanMinAge02+'19_Расчет_аналитики'!AA559*SUMIF(ThresholdAge02,"&lt;"&amp;'19_Расчет_аналитики'!AA559,WeightedRevAge02)-SUMIF(ThresholdAge02,"&lt;"&amp;'19_Расчет_аналитики'!AA559,WeightedMinAge02),MAX(CapacityAge02*'01_Вводные'!$B$218*'19_Расчет_аналитики'!AA559,MeanMinAge02)))</f>
        <v/>
      </c>
      <c r="AB465">
        <f>IF(OR('19_Расчет_аналитики'!AB437=0,2&lt;='01_Вводные'!$B$297),0,'19_Расчет_аналитики'!AB437*IF('01_Вводные'!$B$239="Да",MeanMinAge02+'19_Расчет_аналитики'!AB559*SUMIF(ThresholdAge02,"&lt;"&amp;'19_Расчет_аналитики'!AB559,WeightedRevAge02)-SUMIF(ThresholdAge02,"&lt;"&amp;'19_Расчет_аналитики'!AB559,WeightedMinAge02),MAX(CapacityAge02*'01_Вводные'!$B$218*'19_Расчет_аналитики'!AB559,MeanMinAge02)))</f>
        <v/>
      </c>
      <c r="AC465">
        <f>IF(OR('19_Расчет_аналитики'!AC437=0,2&lt;='01_Вводные'!$B$297),0,'19_Расчет_аналитики'!AC437*IF('01_Вводные'!$B$239="Да",MeanMinAge02+'19_Расчет_аналитики'!AC559*SUMIF(ThresholdAge02,"&lt;"&amp;'19_Расчет_аналитики'!AC559,WeightedRevAge02)-SUMIF(ThresholdAge02,"&lt;"&amp;'19_Расчет_аналитики'!AC559,WeightedMinAge02),MAX(CapacityAge02*'01_Вводные'!$B$218*'19_Расчет_аналитики'!AC559,MeanMinAge02)))</f>
        <v/>
      </c>
      <c r="AD465">
        <f>IF(OR('19_Расчет_аналитики'!AD437=0,2&lt;='01_Вводные'!$B$297),0,'19_Расчет_аналитики'!AD437*IF('01_Вводные'!$B$239="Да",MeanMinAge02+'19_Расчет_аналитики'!AD559*SUMIF(ThresholdAge02,"&lt;"&amp;'19_Расчет_аналитики'!AD559,WeightedRevAge02)-SUMIF(ThresholdAge02,"&lt;"&amp;'19_Расчет_аналитики'!AD559,WeightedMinAge02),MAX(CapacityAge02*'01_Вводные'!$B$218*'19_Расчет_аналитики'!AD559,MeanMinAge02)))</f>
        <v/>
      </c>
      <c r="AE465">
        <f>IF(OR('19_Расчет_аналитики'!AE437=0,2&lt;='01_Вводные'!$B$297),0,'19_Расчет_аналитики'!AE437*IF('01_Вводные'!$B$239="Да",MeanMinAge02+'19_Расчет_аналитики'!AE559*SUMIF(ThresholdAge02,"&lt;"&amp;'19_Расчет_аналитики'!AE559,WeightedRevAge02)-SUMIF(ThresholdAge02,"&lt;"&amp;'19_Расчет_аналитики'!AE559,WeightedMinAge02),MAX(CapacityAge02*'01_Вводные'!$B$218*'19_Расчет_аналитики'!AE559,MeanMinAge02)))</f>
        <v/>
      </c>
      <c r="AF465">
        <f>IF(OR('19_Расчет_аналитики'!AF437=0,2&lt;='01_Вводные'!$B$297),0,'19_Расчет_аналитики'!AF437*IF('01_Вводные'!$B$239="Да",MeanMinAge02+'19_Расчет_аналитики'!AF559*SUMIF(ThresholdAge02,"&lt;"&amp;'19_Расчет_аналитики'!AF559,WeightedRevAge02)-SUMIF(ThresholdAge02,"&lt;"&amp;'19_Расчет_аналитики'!AF559,WeightedMinAge02),MAX(CapacityAge02*'01_Вводные'!$B$218*'19_Расчет_аналитики'!AF559,MeanMinAge02)))</f>
        <v/>
      </c>
      <c r="AG465">
        <f>IF(OR('19_Расчет_аналитики'!AG437=0,2&lt;='01_Вводные'!$B$297),0,'19_Расчет_аналитики'!AG437*IF('01_Вводные'!$B$239="Да",MeanMinAge02+'19_Расчет_аналитики'!AG559*SUMIF(ThresholdAge02,"&lt;"&amp;'19_Расчет_аналитики'!AG559,WeightedRevAge02)-SUMIF(ThresholdAge02,"&lt;"&amp;'19_Расчет_аналитики'!AG559,WeightedMinAge02),MAX(CapacityAge02*'01_Вводные'!$B$218*'19_Расчет_аналитики'!AG559,MeanMinAge02)))</f>
        <v/>
      </c>
      <c r="AH465">
        <f>IF(OR('19_Расчет_аналитики'!AH437=0,2&lt;='01_Вводные'!$B$297),0,'19_Расчет_аналитики'!AH437*IF('01_Вводные'!$B$239="Да",MeanMinAge02+'19_Расчет_аналитики'!AH559*SUMIF(ThresholdAge02,"&lt;"&amp;'19_Расчет_аналитики'!AH559,WeightedRevAge02)-SUMIF(ThresholdAge02,"&lt;"&amp;'19_Расчет_аналитики'!AH559,WeightedMinAge02),MAX(CapacityAge02*'01_Вводные'!$B$218*'19_Расчет_аналитики'!AH559,MeanMinAge02)))</f>
        <v/>
      </c>
      <c r="AI465">
        <f>IF(OR('19_Расчет_аналитики'!AI437=0,2&lt;='01_Вводные'!$B$297),0,'19_Расчет_аналитики'!AI437*IF('01_Вводные'!$B$239="Да",MeanMinAge02+'19_Расчет_аналитики'!AI559*SUMIF(ThresholdAge02,"&lt;"&amp;'19_Расчет_аналитики'!AI559,WeightedRevAge02)-SUMIF(ThresholdAge02,"&lt;"&amp;'19_Расчет_аналитики'!AI559,WeightedMinAge02),MAX(CapacityAge02*'01_Вводные'!$B$218*'19_Расчет_аналитики'!AI559,MeanMinAge02)))</f>
        <v/>
      </c>
      <c r="AJ465">
        <f>IF(OR('19_Расчет_аналитики'!AJ437=0,2&lt;='01_Вводные'!$B$297),0,'19_Расчет_аналитики'!AJ437*IF('01_Вводные'!$B$239="Да",MeanMinAge02+'19_Расчет_аналитики'!AJ559*SUMIF(ThresholdAge02,"&lt;"&amp;'19_Расчет_аналитики'!AJ559,WeightedRevAge02)-SUMIF(ThresholdAge02,"&lt;"&amp;'19_Расчет_аналитики'!AJ559,WeightedMinAge02),MAX(CapacityAge02*'01_Вводные'!$B$218*'19_Расчет_аналитики'!AJ559,MeanMinAge02)))</f>
        <v/>
      </c>
      <c r="AK465">
        <f>IF(OR('19_Расчет_аналитики'!AK437=0,2&lt;='01_Вводные'!$B$297),0,'19_Расчет_аналитики'!AK437*IF('01_Вводные'!$B$239="Да",MeanMinAge02+'19_Расчет_аналитики'!AK559*SUMIF(ThresholdAge02,"&lt;"&amp;'19_Расчет_аналитики'!AK559,WeightedRevAge02)-SUMIF(ThresholdAge02,"&lt;"&amp;'19_Расчет_аналитики'!AK559,WeightedMinAge02),MAX(CapacityAge02*'01_Вводные'!$B$218*'19_Расчет_аналитики'!AK559,MeanMinAge02)))</f>
        <v/>
      </c>
      <c r="AL465">
        <f>IF(OR('19_Расчет_аналитики'!AL437=0,2&lt;='01_Вводные'!$B$297),0,'19_Расчет_аналитики'!AL437*IF('01_Вводные'!$B$239="Да",MeanMinAge02+'19_Расчет_аналитики'!AL559*SUMIF(ThresholdAge02,"&lt;"&amp;'19_Расчет_аналитики'!AL559,WeightedRevAge02)-SUMIF(ThresholdAge02,"&lt;"&amp;'19_Расчет_аналитики'!AL559,WeightedMinAge02),MAX(CapacityAge02*'01_Вводные'!$B$218*'19_Расчет_аналитики'!AL559,MeanMinAge02)))</f>
        <v/>
      </c>
      <c r="AM465">
        <f>IF(OR('19_Расчет_аналитики'!AM437=0,2&lt;='01_Вводные'!$B$297),0,'19_Расчет_аналитики'!AM437*IF('01_Вводные'!$B$239="Да",MeanMinAge02+'19_Расчет_аналитики'!AM559*SUMIF(ThresholdAge02,"&lt;"&amp;'19_Расчет_аналитики'!AM559,WeightedRevAge02)-SUMIF(ThresholdAge02,"&lt;"&amp;'19_Расчет_аналитики'!AM559,WeightedMinAge02),MAX(CapacityAge02*'01_Вводные'!$B$218*'19_Расчет_аналитики'!AM559,MeanMinAge02)))</f>
        <v/>
      </c>
      <c r="AN465">
        <f>IF(OR('19_Расчет_аналитики'!AN437=0,2&lt;='01_Вводные'!$B$297),0,'19_Расчет_аналитики'!AN437*IF('01_Вводные'!$B$239="Да",MeanMinAge02+'19_Расчет_аналитики'!AN559*SUMIF(ThresholdAge02,"&lt;"&amp;'19_Расчет_аналитики'!AN559,WeightedRevAge02)-SUMIF(ThresholdAge02,"&lt;"&amp;'19_Расчет_аналитики'!AN559,WeightedMinAge02),MAX(CapacityAge02*'01_Вводные'!$B$218*'19_Расчет_аналитики'!AN559,MeanMinAge02)))</f>
        <v/>
      </c>
      <c r="AO465">
        <f>IF(OR('19_Расчет_аналитики'!AO437=0,2&lt;='01_Вводные'!$B$297),0,'19_Расчет_аналитики'!AO437*IF('01_Вводные'!$B$239="Да",MeanMinAge02+'19_Расчет_аналитики'!AO559*SUMIF(ThresholdAge02,"&lt;"&amp;'19_Расчет_аналитики'!AO559,WeightedRevAge02)-SUMIF(ThresholdAge02,"&lt;"&amp;'19_Расчет_аналитики'!AO559,WeightedMinAge02),MAX(CapacityAge02*'01_Вводные'!$B$218*'19_Расчет_аналитики'!AO559,MeanMinAge02)))</f>
        <v/>
      </c>
      <c r="AP465">
        <f>IF(OR('19_Расчет_аналитики'!AP437=0,2&lt;='01_Вводные'!$B$297),0,'19_Расчет_аналитики'!AP437*IF('01_Вводные'!$B$239="Да",MeanMinAge02+'19_Расчет_аналитики'!AP559*SUMIF(ThresholdAge02,"&lt;"&amp;'19_Расчет_аналитики'!AP559,WeightedRevAge02)-SUMIF(ThresholdAge02,"&lt;"&amp;'19_Расчет_аналитики'!AP559,WeightedMinAge02),MAX(CapacityAge02*'01_Вводные'!$B$218*'19_Расчет_аналитики'!AP559,MeanMinAge02)))</f>
        <v/>
      </c>
      <c r="AQ465">
        <f>IF(OR('19_Расчет_аналитики'!AQ437=0,2&lt;='01_Вводные'!$B$297),0,'19_Расчет_аналитики'!AQ437*IF('01_Вводные'!$B$239="Да",MeanMinAge02+'19_Расчет_аналитики'!AQ559*SUMIF(ThresholdAge02,"&lt;"&amp;'19_Расчет_аналитики'!AQ559,WeightedRevAge02)-SUMIF(ThresholdAge02,"&lt;"&amp;'19_Расчет_аналитики'!AQ559,WeightedMinAge02),MAX(CapacityAge02*'01_Вводные'!$B$218*'19_Расчет_аналитики'!AQ559,MeanMinAge02)))</f>
        <v/>
      </c>
      <c r="AR465">
        <f>IF(OR('19_Расчет_аналитики'!AR437=0,2&lt;='01_Вводные'!$B$297),0,'19_Расчет_аналитики'!AR437*IF('01_Вводные'!$B$239="Да",MeanMinAge02+'19_Расчет_аналитики'!AR559*SUMIF(ThresholdAge02,"&lt;"&amp;'19_Расчет_аналитики'!AR559,WeightedRevAge02)-SUMIF(ThresholdAge02,"&lt;"&amp;'19_Расчет_аналитики'!AR559,WeightedMinAge02),MAX(CapacityAge02*'01_Вводные'!$B$218*'19_Расчет_аналитики'!AR559,MeanMinAge02)))</f>
        <v/>
      </c>
      <c r="AS465">
        <f>IF(OR('19_Расчет_аналитики'!AS437=0,2&lt;='01_Вводные'!$B$297),0,'19_Расчет_аналитики'!AS437*IF('01_Вводные'!$B$239="Да",MeanMinAge02+'19_Расчет_аналитики'!AS559*SUMIF(ThresholdAge02,"&lt;"&amp;'19_Расчет_аналитики'!AS559,WeightedRevAge02)-SUMIF(ThresholdAge02,"&lt;"&amp;'19_Расчет_аналитики'!AS559,WeightedMinAge02),MAX(CapacityAge02*'01_Вводные'!$B$218*'19_Расчет_аналитики'!AS559,MeanMinAge02)))</f>
        <v/>
      </c>
      <c r="AT465">
        <f>IF(OR('19_Расчет_аналитики'!AT437=0,2&lt;='01_Вводные'!$B$297),0,'19_Расчет_аналитики'!AT437*IF('01_Вводные'!$B$239="Да",MeanMinAge02+'19_Расчет_аналитики'!AT559*SUMIF(ThresholdAge02,"&lt;"&amp;'19_Расчет_аналитики'!AT559,WeightedRevAge02)-SUMIF(ThresholdAge02,"&lt;"&amp;'19_Расчет_аналитики'!AT559,WeightedMinAge02),MAX(CapacityAge02*'01_Вводные'!$B$218*'19_Расчет_аналитики'!AT559,MeanMinAge02)))</f>
        <v/>
      </c>
      <c r="AU465">
        <f>IF(OR('19_Расчет_аналитики'!AU437=0,2&lt;='01_Вводные'!$B$297),0,'19_Расчет_аналитики'!AU437*IF('01_Вводные'!$B$239="Да",MeanMinAge02+'19_Расчет_аналитики'!AU559*SUMIF(ThresholdAge02,"&lt;"&amp;'19_Расчет_аналитики'!AU559,WeightedRevAge02)-SUMIF(ThresholdAge02,"&lt;"&amp;'19_Расчет_аналитики'!AU559,WeightedMinAge02),MAX(CapacityAge02*'01_Вводные'!$B$218*'19_Расчет_аналитики'!AU559,MeanMinAge02)))</f>
        <v/>
      </c>
      <c r="AV465">
        <f>IF(OR('19_Расчет_аналитики'!AV437=0,2&lt;='01_Вводные'!$B$297),0,'19_Расчет_аналитики'!AV437*IF('01_Вводные'!$B$239="Да",MeanMinAge02+'19_Расчет_аналитики'!AV559*SUMIF(ThresholdAge02,"&lt;"&amp;'19_Расчет_аналитики'!AV559,WeightedRevAge02)-SUMIF(ThresholdAge02,"&lt;"&amp;'19_Расчет_аналитики'!AV559,WeightedMinAge02),MAX(CapacityAge02*'01_Вводные'!$B$218*'19_Расчет_аналитики'!AV559,MeanMinAge02)))</f>
        <v/>
      </c>
      <c r="AW465">
        <f>IF(OR('19_Расчет_аналитики'!AW437=0,2&lt;='01_Вводные'!$B$297),0,'19_Расчет_аналитики'!AW437*IF('01_Вводные'!$B$239="Да",MeanMinAge02+'19_Расчет_аналитики'!AW559*SUMIF(ThresholdAge02,"&lt;"&amp;'19_Расчет_аналитики'!AW559,WeightedRevAge02)-SUMIF(ThresholdAge02,"&lt;"&amp;'19_Расчет_аналитики'!AW559,WeightedMinAge02),MAX(CapacityAge02*'01_Вводные'!$B$218*'19_Расчет_аналитики'!AW559,MeanMinAge02)))</f>
        <v/>
      </c>
      <c r="AX465">
        <f>IF(OR('19_Расчет_аналитики'!AX437=0,2&lt;='01_Вводные'!$B$297),0,'19_Расчет_аналитики'!AX437*IF('01_Вводные'!$B$239="Да",MeanMinAge02+'19_Расчет_аналитики'!AX559*SUMIF(ThresholdAge02,"&lt;"&amp;'19_Расчет_аналитики'!AX559,WeightedRevAge02)-SUMIF(ThresholdAge02,"&lt;"&amp;'19_Расчет_аналитики'!AX559,WeightedMinAge02),MAX(CapacityAge02*'01_Вводные'!$B$218*'19_Расчет_аналитики'!AX559,MeanMinAge02)))</f>
        <v/>
      </c>
      <c r="AY465">
        <f>IF(OR('19_Расчет_аналитики'!AY437=0,2&lt;='01_Вводные'!$B$297),0,'19_Расчет_аналитики'!AY437*IF('01_Вводные'!$B$239="Да",MeanMinAge02+'19_Расчет_аналитики'!AY559*SUMIF(ThresholdAge02,"&lt;"&amp;'19_Расчет_аналитики'!AY559,WeightedRevAge02)-SUMIF(ThresholdAge02,"&lt;"&amp;'19_Расчет_аналитики'!AY559,WeightedMinAge02),MAX(CapacityAge02*'01_Вводные'!$B$218*'19_Расчет_аналитики'!AY559,MeanMinAge02)))</f>
        <v/>
      </c>
      <c r="AZ465">
        <f>IF(OR('19_Расчет_аналитики'!AZ437=0,2&lt;='01_Вводные'!$B$297),0,'19_Расчет_аналитики'!AZ437*IF('01_Вводные'!$B$239="Да",MeanMinAge02+'19_Расчет_аналитики'!AZ559*SUMIF(ThresholdAge02,"&lt;"&amp;'19_Расчет_аналитики'!AZ559,WeightedRevAge02)-SUMIF(ThresholdAge02,"&lt;"&amp;'19_Расчет_аналитики'!AZ559,WeightedMinAge02),MAX(CapacityAge02*'01_Вводные'!$B$218*'19_Расчет_аналитики'!AZ559,MeanMinAge02)))</f>
        <v/>
      </c>
      <c r="BA465">
        <f>IF(OR('19_Расчет_аналитики'!BA437=0,2&lt;='01_Вводные'!$B$297),0,'19_Расчет_аналитики'!BA437*IF('01_Вводные'!$B$239="Да",MeanMinAge02+'19_Расчет_аналитики'!BA559*SUMIF(ThresholdAge02,"&lt;"&amp;'19_Расчет_аналитики'!BA559,WeightedRevAge02)-SUMIF(ThresholdAge02,"&lt;"&amp;'19_Расчет_аналитики'!BA559,WeightedMinAge02),MAX(CapacityAge02*'01_Вводные'!$B$218*'19_Расчет_аналитики'!BA559,MeanMinAge02)))</f>
        <v/>
      </c>
      <c r="BB465">
        <f>IF(OR('19_Расчет_аналитики'!BB437=0,2&lt;='01_Вводные'!$B$297),0,'19_Расчет_аналитики'!BB437*IF('01_Вводные'!$B$239="Да",MeanMinAge02+'19_Расчет_аналитики'!BB559*SUMIF(ThresholdAge02,"&lt;"&amp;'19_Расчет_аналитики'!BB559,WeightedRevAge02)-SUMIF(ThresholdAge02,"&lt;"&amp;'19_Расчет_аналитики'!BB559,WeightedMinAge02),MAX(CapacityAge02*'01_Вводные'!$B$218*'19_Расчет_аналитики'!BB559,MeanMinAge02)))</f>
        <v/>
      </c>
      <c r="BC465">
        <f>IF(OR('19_Расчет_аналитики'!BC437=0,2&lt;='01_Вводные'!$B$297),0,'19_Расчет_аналитики'!BC437*IF('01_Вводные'!$B$239="Да",MeanMinAge02+'19_Расчет_аналитики'!BC559*SUMIF(ThresholdAge02,"&lt;"&amp;'19_Расчет_аналитики'!BC559,WeightedRevAge02)-SUMIF(ThresholdAge02,"&lt;"&amp;'19_Расчет_аналитики'!BC559,WeightedMinAge02),MAX(CapacityAge02*'01_Вводные'!$B$218*'19_Расчет_аналитики'!BC559,MeanMinAge02)))</f>
        <v/>
      </c>
      <c r="BD465">
        <f>IF(OR('19_Расчет_аналитики'!BD437=0,2&lt;='01_Вводные'!$B$297),0,'19_Расчет_аналитики'!BD437*IF('01_Вводные'!$B$239="Да",MeanMinAge02+'19_Расчет_аналитики'!BD559*SUMIF(ThresholdAge02,"&lt;"&amp;'19_Расчет_аналитики'!BD559,WeightedRevAge02)-SUMIF(ThresholdAge02,"&lt;"&amp;'19_Расчет_аналитики'!BD559,WeightedMinAge02),MAX(CapacityAge02*'01_Вводные'!$B$218*'19_Расчет_аналитики'!BD559,MeanMinAge02)))</f>
        <v/>
      </c>
      <c r="BE465">
        <f>IF(OR('19_Расчет_аналитики'!BE437=0,2&lt;='01_Вводные'!$B$297),0,'19_Расчет_аналитики'!BE437*IF('01_Вводные'!$B$239="Да",MeanMinAge02+'19_Расчет_аналитики'!BE559*SUMIF(ThresholdAge02,"&lt;"&amp;'19_Расчет_аналитики'!BE559,WeightedRevAge02)-SUMIF(ThresholdAge02,"&lt;"&amp;'19_Расчет_аналитики'!BE559,WeightedMinAge02),MAX(CapacityAge02*'01_Вводные'!$B$218*'19_Расчет_аналитики'!BE559,MeanMinAge02)))</f>
        <v/>
      </c>
      <c r="BF465">
        <f>IF(OR('19_Расчет_аналитики'!BF437=0,2&lt;='01_Вводные'!$B$297),0,'19_Расчет_аналитики'!BF437*IF('01_Вводные'!$B$239="Да",MeanMinAge02+'19_Расчет_аналитики'!BF559*SUMIF(ThresholdAge02,"&lt;"&amp;'19_Расчет_аналитики'!BF559,WeightedRevAge02)-SUMIF(ThresholdAge02,"&lt;"&amp;'19_Расчет_аналитики'!BF559,WeightedMinAge02),MAX(CapacityAge02*'01_Вводные'!$B$218*'19_Расчет_аналитики'!BF559,MeanMinAge02)))</f>
        <v/>
      </c>
      <c r="BG465">
        <f>IF(OR('19_Расчет_аналитики'!BG437=0,2&lt;='01_Вводные'!$B$297),0,'19_Расчет_аналитики'!BG437*IF('01_Вводные'!$B$239="Да",MeanMinAge02+'19_Расчет_аналитики'!BG559*SUMIF(ThresholdAge02,"&lt;"&amp;'19_Расчет_аналитики'!BG559,WeightedRevAge02)-SUMIF(ThresholdAge02,"&lt;"&amp;'19_Расчет_аналитики'!BG559,WeightedMinAge02),MAX(CapacityAge02*'01_Вводные'!$B$218*'19_Расчет_аналитики'!BG559,MeanMinAge02)))</f>
        <v/>
      </c>
      <c r="BH465">
        <f>IF(OR('19_Расчет_аналитики'!BH437=0,2&lt;='01_Вводные'!$B$297),0,'19_Расчет_аналитики'!BH437*IF('01_Вводные'!$B$239="Да",MeanMinAge02+'19_Расчет_аналитики'!BH559*SUMIF(ThresholdAge02,"&lt;"&amp;'19_Расчет_аналитики'!BH559,WeightedRevAge02)-SUMIF(ThresholdAge02,"&lt;"&amp;'19_Расчет_аналитики'!BH559,WeightedMinAge02),MAX(CapacityAge02*'01_Вводные'!$B$218*'19_Расчет_аналитики'!BH559,MeanMinAge02)))</f>
        <v/>
      </c>
      <c r="BI465">
        <f>IF(OR('19_Расчет_аналитики'!BI437=0,2&lt;='01_Вводные'!$B$297),0,'19_Расчет_аналитики'!BI437*IF('01_Вводные'!$B$239="Да",MeanMinAge02+'19_Расчет_аналитики'!BI559*SUMIF(ThresholdAge02,"&lt;"&amp;'19_Расчет_аналитики'!BI559,WeightedRevAge02)-SUMIF(ThresholdAge02,"&lt;"&amp;'19_Расчет_аналитики'!BI559,WeightedMinAge02),MAX(CapacityAge02*'01_Вводные'!$B$218*'19_Расчет_аналитики'!BI559,MeanMinAge02)))</f>
        <v/>
      </c>
      <c r="BJ465">
        <f>IF(OR('19_Расчет_аналитики'!BJ437=0,2&lt;='01_Вводные'!$B$297),0,'19_Расчет_аналитики'!BJ437*IF('01_Вводные'!$B$239="Да",MeanMinAge02+'19_Расчет_аналитики'!BJ559*SUMIF(ThresholdAge02,"&lt;"&amp;'19_Расчет_аналитики'!BJ559,WeightedRevAge02)-SUMIF(ThresholdAge02,"&lt;"&amp;'19_Расчет_аналитики'!BJ559,WeightedMinAge02),MAX(CapacityAge02*'01_Вводные'!$B$218*'19_Расчет_аналитики'!BJ559,MeanMinAge02)))</f>
        <v/>
      </c>
      <c r="BK465">
        <f>IF(OR('19_Расчет_аналитики'!BK437=0,2&lt;='01_Вводные'!$B$297),0,'19_Расчет_аналитики'!BK437*IF('01_Вводные'!$B$239="Да",MeanMinAge02+'19_Расчет_аналитики'!BK559*SUMIF(ThresholdAge02,"&lt;"&amp;'19_Расчет_аналитики'!BK559,WeightedRevAge02)-SUMIF(ThresholdAge02,"&lt;"&amp;'19_Расчет_аналитики'!BK559,WeightedMinAge02),MAX(CapacityAge02*'01_Вводные'!$B$218*'19_Расчет_аналитики'!BK559,MeanMinAge02)))</f>
        <v/>
      </c>
      <c r="BL465">
        <f>IF(OR('19_Расчет_аналитики'!BL437=0,2&lt;='01_Вводные'!$B$297),0,'19_Расчет_аналитики'!BL437*IF('01_Вводные'!$B$239="Да",MeanMinAge02+'19_Расчет_аналитики'!BL559*SUMIF(ThresholdAge02,"&lt;"&amp;'19_Расчет_аналитики'!BL559,WeightedRevAge02)-SUMIF(ThresholdAge02,"&lt;"&amp;'19_Расчет_аналитики'!BL559,WeightedMinAge02),MAX(CapacityAge02*'01_Вводные'!$B$218*'19_Расчет_аналитики'!BL559,MeanMinAge02)))</f>
        <v/>
      </c>
      <c r="BM465">
        <f>IF(OR('19_Расчет_аналитики'!BM437=0,2&lt;='01_Вводные'!$B$297),0,'19_Расчет_аналитики'!BM437*IF('01_Вводные'!$B$239="Да",MeanMinAge02+'19_Расчет_аналитики'!BM559*SUMIF(ThresholdAge02,"&lt;"&amp;'19_Расчет_аналитики'!BM559,WeightedRevAge02)-SUMIF(ThresholdAge02,"&lt;"&amp;'19_Расчет_аналитики'!BM559,WeightedMinAge02),MAX(CapacityAge02*'01_Вводные'!$B$218*'19_Расчет_аналитики'!BM559,MeanMinAge02)))</f>
        <v/>
      </c>
      <c r="BN465">
        <f>IF(OR('19_Расчет_аналитики'!BN437=0,2&lt;='01_Вводные'!$B$297),0,'19_Расчет_аналитики'!BN437*IF('01_Вводные'!$B$239="Да",MeanMinAge02+'19_Расчет_аналитики'!BN559*SUMIF(ThresholdAge02,"&lt;"&amp;'19_Расчет_аналитики'!BN559,WeightedRevAge02)-SUMIF(ThresholdAge02,"&lt;"&amp;'19_Расчет_аналитики'!BN559,WeightedMinAge02),MAX(CapacityAge02*'01_Вводные'!$B$218*'19_Расчет_аналитики'!BN559,MeanMinAge02)))</f>
        <v/>
      </c>
      <c r="BO465">
        <f>IF(OR('19_Расчет_аналитики'!BO437=0,2&lt;='01_Вводные'!$B$297),0,'19_Расчет_аналитики'!BO437*IF('01_Вводные'!$B$239="Да",MeanMinAge02+'19_Расчет_аналитики'!BO559*SUMIF(ThresholdAge02,"&lt;"&amp;'19_Расчет_аналитики'!BO559,WeightedRevAge02)-SUMIF(ThresholdAge02,"&lt;"&amp;'19_Расчет_аналитики'!BO559,WeightedMinAge02),MAX(CapacityAge02*'01_Вводные'!$B$218*'19_Расчет_аналитики'!BO559,MeanMinAge02)))</f>
        <v/>
      </c>
    </row>
    <row r="466">
      <c r="B466">
        <f>IF(OR('06_Сеть_и_дети'!B83=0,3&lt;='01_Вводные'!$B$297),0,'06_Сеть_и_дети'!B83*IF('01_Вводные'!$B$239="Да",MeanMinAge03+'19_Расчет_аналитики'!B559*SUMIF(ThresholdAge03,"&lt;"&amp;'19_Расчет_аналитики'!B559,WeightedRevAge03)-SUMIF(ThresholdAge03,"&lt;"&amp;'19_Расчет_аналитики'!B559,WeightedMinAge03),MAX(CapacityAge03*'01_Вводные'!$B$218*'19_Расчет_аналитики'!B559,MeanMinAge03)))</f>
        <v/>
      </c>
      <c r="C466">
        <f>IF(OR('06_Сеть_и_дети'!C83=0,3&lt;='01_Вводные'!$B$297),0,'06_Сеть_и_дети'!C83*IF('01_Вводные'!$B$239="Да",MeanMinAge03+'19_Расчет_аналитики'!C559*SUMIF(ThresholdAge03,"&lt;"&amp;'19_Расчет_аналитики'!C559,WeightedRevAge03)-SUMIF(ThresholdAge03,"&lt;"&amp;'19_Расчет_аналитики'!C559,WeightedMinAge03),MAX(CapacityAge03*'01_Вводные'!$B$218*'19_Расчет_аналитики'!C559,MeanMinAge03)))</f>
        <v/>
      </c>
      <c r="D466">
        <f>IF(OR('19_Расчет_аналитики'!D438=0,3&lt;='01_Вводные'!$B$297),0,'19_Расчет_аналитики'!D438*IF('01_Вводные'!$B$239="Да",MeanMinAge03+'19_Расчет_аналитики'!D559*SUMIF(ThresholdAge03,"&lt;"&amp;'19_Расчет_аналитики'!D559,WeightedRevAge03)-SUMIF(ThresholdAge03,"&lt;"&amp;'19_Расчет_аналитики'!D559,WeightedMinAge03),MAX(CapacityAge03*'01_Вводные'!$B$218*'19_Расчет_аналитики'!D559,MeanMinAge03)))</f>
        <v/>
      </c>
      <c r="E466">
        <f>IF(OR('19_Расчет_аналитики'!E438=0,3&lt;='01_Вводные'!$B$297),0,'19_Расчет_аналитики'!E438*IF('01_Вводные'!$B$239="Да",MeanMinAge03+'19_Расчет_аналитики'!E559*SUMIF(ThresholdAge03,"&lt;"&amp;'19_Расчет_аналитики'!E559,WeightedRevAge03)-SUMIF(ThresholdAge03,"&lt;"&amp;'19_Расчет_аналитики'!E559,WeightedMinAge03),MAX(CapacityAge03*'01_Вводные'!$B$218*'19_Расчет_аналитики'!E559,MeanMinAge03)))</f>
        <v/>
      </c>
      <c r="F466">
        <f>IF(OR('19_Расчет_аналитики'!F438=0,3&lt;='01_Вводные'!$B$297),0,'19_Расчет_аналитики'!F438*IF('01_Вводные'!$B$239="Да",MeanMinAge03+'19_Расчет_аналитики'!F559*SUMIF(ThresholdAge03,"&lt;"&amp;'19_Расчет_аналитики'!F559,WeightedRevAge03)-SUMIF(ThresholdAge03,"&lt;"&amp;'19_Расчет_аналитики'!F559,WeightedMinAge03),MAX(CapacityAge03*'01_Вводные'!$B$218*'19_Расчет_аналитики'!F559,MeanMinAge03)))</f>
        <v/>
      </c>
      <c r="G466">
        <f>IF(OR('19_Расчет_аналитики'!G438=0,3&lt;='01_Вводные'!$B$297),0,'19_Расчет_аналитики'!G438*IF('01_Вводные'!$B$239="Да",MeanMinAge03+'19_Расчет_аналитики'!G559*SUMIF(ThresholdAge03,"&lt;"&amp;'19_Расчет_аналитики'!G559,WeightedRevAge03)-SUMIF(ThresholdAge03,"&lt;"&amp;'19_Расчет_аналитики'!G559,WeightedMinAge03),MAX(CapacityAge03*'01_Вводные'!$B$218*'19_Расчет_аналитики'!G559,MeanMinAge03)))</f>
        <v/>
      </c>
      <c r="H466">
        <f>IF(OR('19_Расчет_аналитики'!H438=0,3&lt;='01_Вводные'!$B$297),0,'19_Расчет_аналитики'!H438*IF('01_Вводные'!$B$239="Да",MeanMinAge03+'19_Расчет_аналитики'!H559*SUMIF(ThresholdAge03,"&lt;"&amp;'19_Расчет_аналитики'!H559,WeightedRevAge03)-SUMIF(ThresholdAge03,"&lt;"&amp;'19_Расчет_аналитики'!H559,WeightedMinAge03),MAX(CapacityAge03*'01_Вводные'!$B$218*'19_Расчет_аналитики'!H559,MeanMinAge03)))</f>
        <v/>
      </c>
      <c r="I466">
        <f>IF(OR('19_Расчет_аналитики'!I438=0,3&lt;='01_Вводные'!$B$297),0,'19_Расчет_аналитики'!I438*IF('01_Вводные'!$B$239="Да",MeanMinAge03+'19_Расчет_аналитики'!I559*SUMIF(ThresholdAge03,"&lt;"&amp;'19_Расчет_аналитики'!I559,WeightedRevAge03)-SUMIF(ThresholdAge03,"&lt;"&amp;'19_Расчет_аналитики'!I559,WeightedMinAge03),MAX(CapacityAge03*'01_Вводные'!$B$218*'19_Расчет_аналитики'!I559,MeanMinAge03)))</f>
        <v/>
      </c>
      <c r="J466">
        <f>IF(OR('19_Расчет_аналитики'!J438=0,3&lt;='01_Вводные'!$B$297),0,'19_Расчет_аналитики'!J438*IF('01_Вводные'!$B$239="Да",MeanMinAge03+'19_Расчет_аналитики'!J559*SUMIF(ThresholdAge03,"&lt;"&amp;'19_Расчет_аналитики'!J559,WeightedRevAge03)-SUMIF(ThresholdAge03,"&lt;"&amp;'19_Расчет_аналитики'!J559,WeightedMinAge03),MAX(CapacityAge03*'01_Вводные'!$B$218*'19_Расчет_аналитики'!J559,MeanMinAge03)))</f>
        <v/>
      </c>
      <c r="K466">
        <f>IF(OR('19_Расчет_аналитики'!K438=0,3&lt;='01_Вводные'!$B$297),0,'19_Расчет_аналитики'!K438*IF('01_Вводные'!$B$239="Да",MeanMinAge03+'19_Расчет_аналитики'!K559*SUMIF(ThresholdAge03,"&lt;"&amp;'19_Расчет_аналитики'!K559,WeightedRevAge03)-SUMIF(ThresholdAge03,"&lt;"&amp;'19_Расчет_аналитики'!K559,WeightedMinAge03),MAX(CapacityAge03*'01_Вводные'!$B$218*'19_Расчет_аналитики'!K559,MeanMinAge03)))</f>
        <v/>
      </c>
      <c r="L466">
        <f>IF(OR('19_Расчет_аналитики'!L438=0,3&lt;='01_Вводные'!$B$297),0,'19_Расчет_аналитики'!L438*IF('01_Вводные'!$B$239="Да",MeanMinAge03+'19_Расчет_аналитики'!L559*SUMIF(ThresholdAge03,"&lt;"&amp;'19_Расчет_аналитики'!L559,WeightedRevAge03)-SUMIF(ThresholdAge03,"&lt;"&amp;'19_Расчет_аналитики'!L559,WeightedMinAge03),MAX(CapacityAge03*'01_Вводные'!$B$218*'19_Расчет_аналитики'!L559,MeanMinAge03)))</f>
        <v/>
      </c>
      <c r="M466">
        <f>IF(OR('19_Расчет_аналитики'!M438=0,3&lt;='01_Вводные'!$B$297),0,'19_Расчет_аналитики'!M438*IF('01_Вводные'!$B$239="Да",MeanMinAge03+'19_Расчет_аналитики'!M559*SUMIF(ThresholdAge03,"&lt;"&amp;'19_Расчет_аналитики'!M559,WeightedRevAge03)-SUMIF(ThresholdAge03,"&lt;"&amp;'19_Расчет_аналитики'!M559,WeightedMinAge03),MAX(CapacityAge03*'01_Вводные'!$B$218*'19_Расчет_аналитики'!M559,MeanMinAge03)))</f>
        <v/>
      </c>
      <c r="N466">
        <f>IF(OR('19_Расчет_аналитики'!N438=0,3&lt;='01_Вводные'!$B$297),0,'19_Расчет_аналитики'!N438*IF('01_Вводные'!$B$239="Да",MeanMinAge03+'19_Расчет_аналитики'!N559*SUMIF(ThresholdAge03,"&lt;"&amp;'19_Расчет_аналитики'!N559,WeightedRevAge03)-SUMIF(ThresholdAge03,"&lt;"&amp;'19_Расчет_аналитики'!N559,WeightedMinAge03),MAX(CapacityAge03*'01_Вводные'!$B$218*'19_Расчет_аналитики'!N559,MeanMinAge03)))</f>
        <v/>
      </c>
      <c r="O466">
        <f>IF(OR('19_Расчет_аналитики'!O438=0,3&lt;='01_Вводные'!$B$297),0,'19_Расчет_аналитики'!O438*IF('01_Вводные'!$B$239="Да",MeanMinAge03+'19_Расчет_аналитики'!O559*SUMIF(ThresholdAge03,"&lt;"&amp;'19_Расчет_аналитики'!O559,WeightedRevAge03)-SUMIF(ThresholdAge03,"&lt;"&amp;'19_Расчет_аналитики'!O559,WeightedMinAge03),MAX(CapacityAge03*'01_Вводные'!$B$218*'19_Расчет_аналитики'!O559,MeanMinAge03)))</f>
        <v/>
      </c>
      <c r="P466">
        <f>IF(OR('19_Расчет_аналитики'!P438=0,3&lt;='01_Вводные'!$B$297),0,'19_Расчет_аналитики'!P438*IF('01_Вводные'!$B$239="Да",MeanMinAge03+'19_Расчет_аналитики'!P559*SUMIF(ThresholdAge03,"&lt;"&amp;'19_Расчет_аналитики'!P559,WeightedRevAge03)-SUMIF(ThresholdAge03,"&lt;"&amp;'19_Расчет_аналитики'!P559,WeightedMinAge03),MAX(CapacityAge03*'01_Вводные'!$B$218*'19_Расчет_аналитики'!P559,MeanMinAge03)))</f>
        <v/>
      </c>
      <c r="Q466">
        <f>IF(OR('19_Расчет_аналитики'!Q438=0,3&lt;='01_Вводные'!$B$297),0,'19_Расчет_аналитики'!Q438*IF('01_Вводные'!$B$239="Да",MeanMinAge03+'19_Расчет_аналитики'!Q559*SUMIF(ThresholdAge03,"&lt;"&amp;'19_Расчет_аналитики'!Q559,WeightedRevAge03)-SUMIF(ThresholdAge03,"&lt;"&amp;'19_Расчет_аналитики'!Q559,WeightedMinAge03),MAX(CapacityAge03*'01_Вводные'!$B$218*'19_Расчет_аналитики'!Q559,MeanMinAge03)))</f>
        <v/>
      </c>
      <c r="R466">
        <f>IF(OR('19_Расчет_аналитики'!R438=0,3&lt;='01_Вводные'!$B$297),0,'19_Расчет_аналитики'!R438*IF('01_Вводные'!$B$239="Да",MeanMinAge03+'19_Расчет_аналитики'!R559*SUMIF(ThresholdAge03,"&lt;"&amp;'19_Расчет_аналитики'!R559,WeightedRevAge03)-SUMIF(ThresholdAge03,"&lt;"&amp;'19_Расчет_аналитики'!R559,WeightedMinAge03),MAX(CapacityAge03*'01_Вводные'!$B$218*'19_Расчет_аналитики'!R559,MeanMinAge03)))</f>
        <v/>
      </c>
      <c r="S466">
        <f>IF(OR('19_Расчет_аналитики'!S438=0,3&lt;='01_Вводные'!$B$297),0,'19_Расчет_аналитики'!S438*IF('01_Вводные'!$B$239="Да",MeanMinAge03+'19_Расчет_аналитики'!S559*SUMIF(ThresholdAge03,"&lt;"&amp;'19_Расчет_аналитики'!S559,WeightedRevAge03)-SUMIF(ThresholdAge03,"&lt;"&amp;'19_Расчет_аналитики'!S559,WeightedMinAge03),MAX(CapacityAge03*'01_Вводные'!$B$218*'19_Расчет_аналитики'!S559,MeanMinAge03)))</f>
        <v/>
      </c>
      <c r="T466">
        <f>IF(OR('19_Расчет_аналитики'!T438=0,3&lt;='01_Вводные'!$B$297),0,'19_Расчет_аналитики'!T438*IF('01_Вводные'!$B$239="Да",MeanMinAge03+'19_Расчет_аналитики'!T559*SUMIF(ThresholdAge03,"&lt;"&amp;'19_Расчет_аналитики'!T559,WeightedRevAge03)-SUMIF(ThresholdAge03,"&lt;"&amp;'19_Расчет_аналитики'!T559,WeightedMinAge03),MAX(CapacityAge03*'01_Вводные'!$B$218*'19_Расчет_аналитики'!T559,MeanMinAge03)))</f>
        <v/>
      </c>
      <c r="U466">
        <f>IF(OR('19_Расчет_аналитики'!U438=0,3&lt;='01_Вводные'!$B$297),0,'19_Расчет_аналитики'!U438*IF('01_Вводные'!$B$239="Да",MeanMinAge03+'19_Расчет_аналитики'!U559*SUMIF(ThresholdAge03,"&lt;"&amp;'19_Расчет_аналитики'!U559,WeightedRevAge03)-SUMIF(ThresholdAge03,"&lt;"&amp;'19_Расчет_аналитики'!U559,WeightedMinAge03),MAX(CapacityAge03*'01_Вводные'!$B$218*'19_Расчет_аналитики'!U559,MeanMinAge03)))</f>
        <v/>
      </c>
      <c r="V466">
        <f>IF(OR('19_Расчет_аналитики'!V438=0,3&lt;='01_Вводные'!$B$297),0,'19_Расчет_аналитики'!V438*IF('01_Вводные'!$B$239="Да",MeanMinAge03+'19_Расчет_аналитики'!V559*SUMIF(ThresholdAge03,"&lt;"&amp;'19_Расчет_аналитики'!V559,WeightedRevAge03)-SUMIF(ThresholdAge03,"&lt;"&amp;'19_Расчет_аналитики'!V559,WeightedMinAge03),MAX(CapacityAge03*'01_Вводные'!$B$218*'19_Расчет_аналитики'!V559,MeanMinAge03)))</f>
        <v/>
      </c>
      <c r="W466">
        <f>IF(OR('19_Расчет_аналитики'!W438=0,3&lt;='01_Вводные'!$B$297),0,'19_Расчет_аналитики'!W438*IF('01_Вводные'!$B$239="Да",MeanMinAge03+'19_Расчет_аналитики'!W559*SUMIF(ThresholdAge03,"&lt;"&amp;'19_Расчет_аналитики'!W559,WeightedRevAge03)-SUMIF(ThresholdAge03,"&lt;"&amp;'19_Расчет_аналитики'!W559,WeightedMinAge03),MAX(CapacityAge03*'01_Вводные'!$B$218*'19_Расчет_аналитики'!W559,MeanMinAge03)))</f>
        <v/>
      </c>
      <c r="X466">
        <f>IF(OR('19_Расчет_аналитики'!X438=0,3&lt;='01_Вводные'!$B$297),0,'19_Расчет_аналитики'!X438*IF('01_Вводные'!$B$239="Да",MeanMinAge03+'19_Расчет_аналитики'!X559*SUMIF(ThresholdAge03,"&lt;"&amp;'19_Расчет_аналитики'!X559,WeightedRevAge03)-SUMIF(ThresholdAge03,"&lt;"&amp;'19_Расчет_аналитики'!X559,WeightedMinAge03),MAX(CapacityAge03*'01_Вводные'!$B$218*'19_Расчет_аналитики'!X559,MeanMinAge03)))</f>
        <v/>
      </c>
      <c r="Y466">
        <f>IF(OR('19_Расчет_аналитики'!Y438=0,3&lt;='01_Вводные'!$B$297),0,'19_Расчет_аналитики'!Y438*IF('01_Вводные'!$B$239="Да",MeanMinAge03+'19_Расчет_аналитики'!Y559*SUMIF(ThresholdAge03,"&lt;"&amp;'19_Расчет_аналитики'!Y559,WeightedRevAge03)-SUMIF(ThresholdAge03,"&lt;"&amp;'19_Расчет_аналитики'!Y559,WeightedMinAge03),MAX(CapacityAge03*'01_Вводные'!$B$218*'19_Расчет_аналитики'!Y559,MeanMinAge03)))</f>
        <v/>
      </c>
      <c r="Z466">
        <f>IF(OR('19_Расчет_аналитики'!Z438=0,3&lt;='01_Вводные'!$B$297),0,'19_Расчет_аналитики'!Z438*IF('01_Вводные'!$B$239="Да",MeanMinAge03+'19_Расчет_аналитики'!Z559*SUMIF(ThresholdAge03,"&lt;"&amp;'19_Расчет_аналитики'!Z559,WeightedRevAge03)-SUMIF(ThresholdAge03,"&lt;"&amp;'19_Расчет_аналитики'!Z559,WeightedMinAge03),MAX(CapacityAge03*'01_Вводные'!$B$218*'19_Расчет_аналитики'!Z559,MeanMinAge03)))</f>
        <v/>
      </c>
      <c r="AA466">
        <f>IF(OR('19_Расчет_аналитики'!AA438=0,3&lt;='01_Вводные'!$B$297),0,'19_Расчет_аналитики'!AA438*IF('01_Вводные'!$B$239="Да",MeanMinAge03+'19_Расчет_аналитики'!AA559*SUMIF(ThresholdAge03,"&lt;"&amp;'19_Расчет_аналитики'!AA559,WeightedRevAge03)-SUMIF(ThresholdAge03,"&lt;"&amp;'19_Расчет_аналитики'!AA559,WeightedMinAge03),MAX(CapacityAge03*'01_Вводные'!$B$218*'19_Расчет_аналитики'!AA559,MeanMinAge03)))</f>
        <v/>
      </c>
      <c r="AB466">
        <f>IF(OR('19_Расчет_аналитики'!AB438=0,3&lt;='01_Вводные'!$B$297),0,'19_Расчет_аналитики'!AB438*IF('01_Вводные'!$B$239="Да",MeanMinAge03+'19_Расчет_аналитики'!AB559*SUMIF(ThresholdAge03,"&lt;"&amp;'19_Расчет_аналитики'!AB559,WeightedRevAge03)-SUMIF(ThresholdAge03,"&lt;"&amp;'19_Расчет_аналитики'!AB559,WeightedMinAge03),MAX(CapacityAge03*'01_Вводные'!$B$218*'19_Расчет_аналитики'!AB559,MeanMinAge03)))</f>
        <v/>
      </c>
      <c r="AC466">
        <f>IF(OR('19_Расчет_аналитики'!AC438=0,3&lt;='01_Вводные'!$B$297),0,'19_Расчет_аналитики'!AC438*IF('01_Вводные'!$B$239="Да",MeanMinAge03+'19_Расчет_аналитики'!AC559*SUMIF(ThresholdAge03,"&lt;"&amp;'19_Расчет_аналитики'!AC559,WeightedRevAge03)-SUMIF(ThresholdAge03,"&lt;"&amp;'19_Расчет_аналитики'!AC559,WeightedMinAge03),MAX(CapacityAge03*'01_Вводные'!$B$218*'19_Расчет_аналитики'!AC559,MeanMinAge03)))</f>
        <v/>
      </c>
      <c r="AD466">
        <f>IF(OR('19_Расчет_аналитики'!AD438=0,3&lt;='01_Вводные'!$B$297),0,'19_Расчет_аналитики'!AD438*IF('01_Вводные'!$B$239="Да",MeanMinAge03+'19_Расчет_аналитики'!AD559*SUMIF(ThresholdAge03,"&lt;"&amp;'19_Расчет_аналитики'!AD559,WeightedRevAge03)-SUMIF(ThresholdAge03,"&lt;"&amp;'19_Расчет_аналитики'!AD559,WeightedMinAge03),MAX(CapacityAge03*'01_Вводные'!$B$218*'19_Расчет_аналитики'!AD559,MeanMinAge03)))</f>
        <v/>
      </c>
      <c r="AE466">
        <f>IF(OR('19_Расчет_аналитики'!AE438=0,3&lt;='01_Вводные'!$B$297),0,'19_Расчет_аналитики'!AE438*IF('01_Вводные'!$B$239="Да",MeanMinAge03+'19_Расчет_аналитики'!AE559*SUMIF(ThresholdAge03,"&lt;"&amp;'19_Расчет_аналитики'!AE559,WeightedRevAge03)-SUMIF(ThresholdAge03,"&lt;"&amp;'19_Расчет_аналитики'!AE559,WeightedMinAge03),MAX(CapacityAge03*'01_Вводные'!$B$218*'19_Расчет_аналитики'!AE559,MeanMinAge03)))</f>
        <v/>
      </c>
      <c r="AF466">
        <f>IF(OR('19_Расчет_аналитики'!AF438=0,3&lt;='01_Вводные'!$B$297),0,'19_Расчет_аналитики'!AF438*IF('01_Вводные'!$B$239="Да",MeanMinAge03+'19_Расчет_аналитики'!AF559*SUMIF(ThresholdAge03,"&lt;"&amp;'19_Расчет_аналитики'!AF559,WeightedRevAge03)-SUMIF(ThresholdAge03,"&lt;"&amp;'19_Расчет_аналитики'!AF559,WeightedMinAge03),MAX(CapacityAge03*'01_Вводные'!$B$218*'19_Расчет_аналитики'!AF559,MeanMinAge03)))</f>
        <v/>
      </c>
      <c r="AG466">
        <f>IF(OR('19_Расчет_аналитики'!AG438=0,3&lt;='01_Вводные'!$B$297),0,'19_Расчет_аналитики'!AG438*IF('01_Вводные'!$B$239="Да",MeanMinAge03+'19_Расчет_аналитики'!AG559*SUMIF(ThresholdAge03,"&lt;"&amp;'19_Расчет_аналитики'!AG559,WeightedRevAge03)-SUMIF(ThresholdAge03,"&lt;"&amp;'19_Расчет_аналитики'!AG559,WeightedMinAge03),MAX(CapacityAge03*'01_Вводные'!$B$218*'19_Расчет_аналитики'!AG559,MeanMinAge03)))</f>
        <v/>
      </c>
      <c r="AH466">
        <f>IF(OR('19_Расчет_аналитики'!AH438=0,3&lt;='01_Вводные'!$B$297),0,'19_Расчет_аналитики'!AH438*IF('01_Вводные'!$B$239="Да",MeanMinAge03+'19_Расчет_аналитики'!AH559*SUMIF(ThresholdAge03,"&lt;"&amp;'19_Расчет_аналитики'!AH559,WeightedRevAge03)-SUMIF(ThresholdAge03,"&lt;"&amp;'19_Расчет_аналитики'!AH559,WeightedMinAge03),MAX(CapacityAge03*'01_Вводные'!$B$218*'19_Расчет_аналитики'!AH559,MeanMinAge03)))</f>
        <v/>
      </c>
      <c r="AI466">
        <f>IF(OR('19_Расчет_аналитики'!AI438=0,3&lt;='01_Вводные'!$B$297),0,'19_Расчет_аналитики'!AI438*IF('01_Вводные'!$B$239="Да",MeanMinAge03+'19_Расчет_аналитики'!AI559*SUMIF(ThresholdAge03,"&lt;"&amp;'19_Расчет_аналитики'!AI559,WeightedRevAge03)-SUMIF(ThresholdAge03,"&lt;"&amp;'19_Расчет_аналитики'!AI559,WeightedMinAge03),MAX(CapacityAge03*'01_Вводные'!$B$218*'19_Расчет_аналитики'!AI559,MeanMinAge03)))</f>
        <v/>
      </c>
      <c r="AJ466">
        <f>IF(OR('19_Расчет_аналитики'!AJ438=0,3&lt;='01_Вводные'!$B$297),0,'19_Расчет_аналитики'!AJ438*IF('01_Вводные'!$B$239="Да",MeanMinAge03+'19_Расчет_аналитики'!AJ559*SUMIF(ThresholdAge03,"&lt;"&amp;'19_Расчет_аналитики'!AJ559,WeightedRevAge03)-SUMIF(ThresholdAge03,"&lt;"&amp;'19_Расчет_аналитики'!AJ559,WeightedMinAge03),MAX(CapacityAge03*'01_Вводные'!$B$218*'19_Расчет_аналитики'!AJ559,MeanMinAge03)))</f>
        <v/>
      </c>
      <c r="AK466">
        <f>IF(OR('19_Расчет_аналитики'!AK438=0,3&lt;='01_Вводные'!$B$297),0,'19_Расчет_аналитики'!AK438*IF('01_Вводные'!$B$239="Да",MeanMinAge03+'19_Расчет_аналитики'!AK559*SUMIF(ThresholdAge03,"&lt;"&amp;'19_Расчет_аналитики'!AK559,WeightedRevAge03)-SUMIF(ThresholdAge03,"&lt;"&amp;'19_Расчет_аналитики'!AK559,WeightedMinAge03),MAX(CapacityAge03*'01_Вводные'!$B$218*'19_Расчет_аналитики'!AK559,MeanMinAge03)))</f>
        <v/>
      </c>
      <c r="AL466">
        <f>IF(OR('19_Расчет_аналитики'!AL438=0,3&lt;='01_Вводные'!$B$297),0,'19_Расчет_аналитики'!AL438*IF('01_Вводные'!$B$239="Да",MeanMinAge03+'19_Расчет_аналитики'!AL559*SUMIF(ThresholdAge03,"&lt;"&amp;'19_Расчет_аналитики'!AL559,WeightedRevAge03)-SUMIF(ThresholdAge03,"&lt;"&amp;'19_Расчет_аналитики'!AL559,WeightedMinAge03),MAX(CapacityAge03*'01_Вводные'!$B$218*'19_Расчет_аналитики'!AL559,MeanMinAge03)))</f>
        <v/>
      </c>
      <c r="AM466">
        <f>IF(OR('19_Расчет_аналитики'!AM438=0,3&lt;='01_Вводные'!$B$297),0,'19_Расчет_аналитики'!AM438*IF('01_Вводные'!$B$239="Да",MeanMinAge03+'19_Расчет_аналитики'!AM559*SUMIF(ThresholdAge03,"&lt;"&amp;'19_Расчет_аналитики'!AM559,WeightedRevAge03)-SUMIF(ThresholdAge03,"&lt;"&amp;'19_Расчет_аналитики'!AM559,WeightedMinAge03),MAX(CapacityAge03*'01_Вводные'!$B$218*'19_Расчет_аналитики'!AM559,MeanMinAge03)))</f>
        <v/>
      </c>
      <c r="AN466">
        <f>IF(OR('19_Расчет_аналитики'!AN438=0,3&lt;='01_Вводные'!$B$297),0,'19_Расчет_аналитики'!AN438*IF('01_Вводные'!$B$239="Да",MeanMinAge03+'19_Расчет_аналитики'!AN559*SUMIF(ThresholdAge03,"&lt;"&amp;'19_Расчет_аналитики'!AN559,WeightedRevAge03)-SUMIF(ThresholdAge03,"&lt;"&amp;'19_Расчет_аналитики'!AN559,WeightedMinAge03),MAX(CapacityAge03*'01_Вводные'!$B$218*'19_Расчет_аналитики'!AN559,MeanMinAge03)))</f>
        <v/>
      </c>
      <c r="AO466">
        <f>IF(OR('19_Расчет_аналитики'!AO438=0,3&lt;='01_Вводные'!$B$297),0,'19_Расчет_аналитики'!AO438*IF('01_Вводные'!$B$239="Да",MeanMinAge03+'19_Расчет_аналитики'!AO559*SUMIF(ThresholdAge03,"&lt;"&amp;'19_Расчет_аналитики'!AO559,WeightedRevAge03)-SUMIF(ThresholdAge03,"&lt;"&amp;'19_Расчет_аналитики'!AO559,WeightedMinAge03),MAX(CapacityAge03*'01_Вводные'!$B$218*'19_Расчет_аналитики'!AO559,MeanMinAge03)))</f>
        <v/>
      </c>
      <c r="AP466">
        <f>IF(OR('19_Расчет_аналитики'!AP438=0,3&lt;='01_Вводные'!$B$297),0,'19_Расчет_аналитики'!AP438*IF('01_Вводные'!$B$239="Да",MeanMinAge03+'19_Расчет_аналитики'!AP559*SUMIF(ThresholdAge03,"&lt;"&amp;'19_Расчет_аналитики'!AP559,WeightedRevAge03)-SUMIF(ThresholdAge03,"&lt;"&amp;'19_Расчет_аналитики'!AP559,WeightedMinAge03),MAX(CapacityAge03*'01_Вводные'!$B$218*'19_Расчет_аналитики'!AP559,MeanMinAge03)))</f>
        <v/>
      </c>
      <c r="AQ466">
        <f>IF(OR('19_Расчет_аналитики'!AQ438=0,3&lt;='01_Вводные'!$B$297),0,'19_Расчет_аналитики'!AQ438*IF('01_Вводные'!$B$239="Да",MeanMinAge03+'19_Расчет_аналитики'!AQ559*SUMIF(ThresholdAge03,"&lt;"&amp;'19_Расчет_аналитики'!AQ559,WeightedRevAge03)-SUMIF(ThresholdAge03,"&lt;"&amp;'19_Расчет_аналитики'!AQ559,WeightedMinAge03),MAX(CapacityAge03*'01_Вводные'!$B$218*'19_Расчет_аналитики'!AQ559,MeanMinAge03)))</f>
        <v/>
      </c>
      <c r="AR466">
        <f>IF(OR('19_Расчет_аналитики'!AR438=0,3&lt;='01_Вводные'!$B$297),0,'19_Расчет_аналитики'!AR438*IF('01_Вводные'!$B$239="Да",MeanMinAge03+'19_Расчет_аналитики'!AR559*SUMIF(ThresholdAge03,"&lt;"&amp;'19_Расчет_аналитики'!AR559,WeightedRevAge03)-SUMIF(ThresholdAge03,"&lt;"&amp;'19_Расчет_аналитики'!AR559,WeightedMinAge03),MAX(CapacityAge03*'01_Вводные'!$B$218*'19_Расчет_аналитики'!AR559,MeanMinAge03)))</f>
        <v/>
      </c>
      <c r="AS466">
        <f>IF(OR('19_Расчет_аналитики'!AS438=0,3&lt;='01_Вводные'!$B$297),0,'19_Расчет_аналитики'!AS438*IF('01_Вводные'!$B$239="Да",MeanMinAge03+'19_Расчет_аналитики'!AS559*SUMIF(ThresholdAge03,"&lt;"&amp;'19_Расчет_аналитики'!AS559,WeightedRevAge03)-SUMIF(ThresholdAge03,"&lt;"&amp;'19_Расчет_аналитики'!AS559,WeightedMinAge03),MAX(CapacityAge03*'01_Вводные'!$B$218*'19_Расчет_аналитики'!AS559,MeanMinAge03)))</f>
        <v/>
      </c>
      <c r="AT466">
        <f>IF(OR('19_Расчет_аналитики'!AT438=0,3&lt;='01_Вводные'!$B$297),0,'19_Расчет_аналитики'!AT438*IF('01_Вводные'!$B$239="Да",MeanMinAge03+'19_Расчет_аналитики'!AT559*SUMIF(ThresholdAge03,"&lt;"&amp;'19_Расчет_аналитики'!AT559,WeightedRevAge03)-SUMIF(ThresholdAge03,"&lt;"&amp;'19_Расчет_аналитики'!AT559,WeightedMinAge03),MAX(CapacityAge03*'01_Вводные'!$B$218*'19_Расчет_аналитики'!AT559,MeanMinAge03)))</f>
        <v/>
      </c>
      <c r="AU466">
        <f>IF(OR('19_Расчет_аналитики'!AU438=0,3&lt;='01_Вводные'!$B$297),0,'19_Расчет_аналитики'!AU438*IF('01_Вводные'!$B$239="Да",MeanMinAge03+'19_Расчет_аналитики'!AU559*SUMIF(ThresholdAge03,"&lt;"&amp;'19_Расчет_аналитики'!AU559,WeightedRevAge03)-SUMIF(ThresholdAge03,"&lt;"&amp;'19_Расчет_аналитики'!AU559,WeightedMinAge03),MAX(CapacityAge03*'01_Вводные'!$B$218*'19_Расчет_аналитики'!AU559,MeanMinAge03)))</f>
        <v/>
      </c>
      <c r="AV466">
        <f>IF(OR('19_Расчет_аналитики'!AV438=0,3&lt;='01_Вводные'!$B$297),0,'19_Расчет_аналитики'!AV438*IF('01_Вводные'!$B$239="Да",MeanMinAge03+'19_Расчет_аналитики'!AV559*SUMIF(ThresholdAge03,"&lt;"&amp;'19_Расчет_аналитики'!AV559,WeightedRevAge03)-SUMIF(ThresholdAge03,"&lt;"&amp;'19_Расчет_аналитики'!AV559,WeightedMinAge03),MAX(CapacityAge03*'01_Вводные'!$B$218*'19_Расчет_аналитики'!AV559,MeanMinAge03)))</f>
        <v/>
      </c>
      <c r="AW466">
        <f>IF(OR('19_Расчет_аналитики'!AW438=0,3&lt;='01_Вводные'!$B$297),0,'19_Расчет_аналитики'!AW438*IF('01_Вводные'!$B$239="Да",MeanMinAge03+'19_Расчет_аналитики'!AW559*SUMIF(ThresholdAge03,"&lt;"&amp;'19_Расчет_аналитики'!AW559,WeightedRevAge03)-SUMIF(ThresholdAge03,"&lt;"&amp;'19_Расчет_аналитики'!AW559,WeightedMinAge03),MAX(CapacityAge03*'01_Вводные'!$B$218*'19_Расчет_аналитики'!AW559,MeanMinAge03)))</f>
        <v/>
      </c>
      <c r="AX466">
        <f>IF(OR('19_Расчет_аналитики'!AX438=0,3&lt;='01_Вводные'!$B$297),0,'19_Расчет_аналитики'!AX438*IF('01_Вводные'!$B$239="Да",MeanMinAge03+'19_Расчет_аналитики'!AX559*SUMIF(ThresholdAge03,"&lt;"&amp;'19_Расчет_аналитики'!AX559,WeightedRevAge03)-SUMIF(ThresholdAge03,"&lt;"&amp;'19_Расчет_аналитики'!AX559,WeightedMinAge03),MAX(CapacityAge03*'01_Вводные'!$B$218*'19_Расчет_аналитики'!AX559,MeanMinAge03)))</f>
        <v/>
      </c>
      <c r="AY466">
        <f>IF(OR('19_Расчет_аналитики'!AY438=0,3&lt;='01_Вводные'!$B$297),0,'19_Расчет_аналитики'!AY438*IF('01_Вводные'!$B$239="Да",MeanMinAge03+'19_Расчет_аналитики'!AY559*SUMIF(ThresholdAge03,"&lt;"&amp;'19_Расчет_аналитики'!AY559,WeightedRevAge03)-SUMIF(ThresholdAge03,"&lt;"&amp;'19_Расчет_аналитики'!AY559,WeightedMinAge03),MAX(CapacityAge03*'01_Вводные'!$B$218*'19_Расчет_аналитики'!AY559,MeanMinAge03)))</f>
        <v/>
      </c>
      <c r="AZ466">
        <f>IF(OR('19_Расчет_аналитики'!AZ438=0,3&lt;='01_Вводные'!$B$297),0,'19_Расчет_аналитики'!AZ438*IF('01_Вводные'!$B$239="Да",MeanMinAge03+'19_Расчет_аналитики'!AZ559*SUMIF(ThresholdAge03,"&lt;"&amp;'19_Расчет_аналитики'!AZ559,WeightedRevAge03)-SUMIF(ThresholdAge03,"&lt;"&amp;'19_Расчет_аналитики'!AZ559,WeightedMinAge03),MAX(CapacityAge03*'01_Вводные'!$B$218*'19_Расчет_аналитики'!AZ559,MeanMinAge03)))</f>
        <v/>
      </c>
      <c r="BA466">
        <f>IF(OR('19_Расчет_аналитики'!BA438=0,3&lt;='01_Вводные'!$B$297),0,'19_Расчет_аналитики'!BA438*IF('01_Вводные'!$B$239="Да",MeanMinAge03+'19_Расчет_аналитики'!BA559*SUMIF(ThresholdAge03,"&lt;"&amp;'19_Расчет_аналитики'!BA559,WeightedRevAge03)-SUMIF(ThresholdAge03,"&lt;"&amp;'19_Расчет_аналитики'!BA559,WeightedMinAge03),MAX(CapacityAge03*'01_Вводные'!$B$218*'19_Расчет_аналитики'!BA559,MeanMinAge03)))</f>
        <v/>
      </c>
      <c r="BB466">
        <f>IF(OR('19_Расчет_аналитики'!BB438=0,3&lt;='01_Вводные'!$B$297),0,'19_Расчет_аналитики'!BB438*IF('01_Вводные'!$B$239="Да",MeanMinAge03+'19_Расчет_аналитики'!BB559*SUMIF(ThresholdAge03,"&lt;"&amp;'19_Расчет_аналитики'!BB559,WeightedRevAge03)-SUMIF(ThresholdAge03,"&lt;"&amp;'19_Расчет_аналитики'!BB559,WeightedMinAge03),MAX(CapacityAge03*'01_Вводные'!$B$218*'19_Расчет_аналитики'!BB559,MeanMinAge03)))</f>
        <v/>
      </c>
      <c r="BC466">
        <f>IF(OR('19_Расчет_аналитики'!BC438=0,3&lt;='01_Вводные'!$B$297),0,'19_Расчет_аналитики'!BC438*IF('01_Вводные'!$B$239="Да",MeanMinAge03+'19_Расчет_аналитики'!BC559*SUMIF(ThresholdAge03,"&lt;"&amp;'19_Расчет_аналитики'!BC559,WeightedRevAge03)-SUMIF(ThresholdAge03,"&lt;"&amp;'19_Расчет_аналитики'!BC559,WeightedMinAge03),MAX(CapacityAge03*'01_Вводные'!$B$218*'19_Расчет_аналитики'!BC559,MeanMinAge03)))</f>
        <v/>
      </c>
      <c r="BD466">
        <f>IF(OR('19_Расчет_аналитики'!BD438=0,3&lt;='01_Вводные'!$B$297),0,'19_Расчет_аналитики'!BD438*IF('01_Вводные'!$B$239="Да",MeanMinAge03+'19_Расчет_аналитики'!BD559*SUMIF(ThresholdAge03,"&lt;"&amp;'19_Расчет_аналитики'!BD559,WeightedRevAge03)-SUMIF(ThresholdAge03,"&lt;"&amp;'19_Расчет_аналитики'!BD559,WeightedMinAge03),MAX(CapacityAge03*'01_Вводные'!$B$218*'19_Расчет_аналитики'!BD559,MeanMinAge03)))</f>
        <v/>
      </c>
      <c r="BE466">
        <f>IF(OR('19_Расчет_аналитики'!BE438=0,3&lt;='01_Вводные'!$B$297),0,'19_Расчет_аналитики'!BE438*IF('01_Вводные'!$B$239="Да",MeanMinAge03+'19_Расчет_аналитики'!BE559*SUMIF(ThresholdAge03,"&lt;"&amp;'19_Расчет_аналитики'!BE559,WeightedRevAge03)-SUMIF(ThresholdAge03,"&lt;"&amp;'19_Расчет_аналитики'!BE559,WeightedMinAge03),MAX(CapacityAge03*'01_Вводные'!$B$218*'19_Расчет_аналитики'!BE559,MeanMinAge03)))</f>
        <v/>
      </c>
      <c r="BF466">
        <f>IF(OR('19_Расчет_аналитики'!BF438=0,3&lt;='01_Вводные'!$B$297),0,'19_Расчет_аналитики'!BF438*IF('01_Вводные'!$B$239="Да",MeanMinAge03+'19_Расчет_аналитики'!BF559*SUMIF(ThresholdAge03,"&lt;"&amp;'19_Расчет_аналитики'!BF559,WeightedRevAge03)-SUMIF(ThresholdAge03,"&lt;"&amp;'19_Расчет_аналитики'!BF559,WeightedMinAge03),MAX(CapacityAge03*'01_Вводные'!$B$218*'19_Расчет_аналитики'!BF559,MeanMinAge03)))</f>
        <v/>
      </c>
      <c r="BG466">
        <f>IF(OR('19_Расчет_аналитики'!BG438=0,3&lt;='01_Вводные'!$B$297),0,'19_Расчет_аналитики'!BG438*IF('01_Вводные'!$B$239="Да",MeanMinAge03+'19_Расчет_аналитики'!BG559*SUMIF(ThresholdAge03,"&lt;"&amp;'19_Расчет_аналитики'!BG559,WeightedRevAge03)-SUMIF(ThresholdAge03,"&lt;"&amp;'19_Расчет_аналитики'!BG559,WeightedMinAge03),MAX(CapacityAge03*'01_Вводные'!$B$218*'19_Расчет_аналитики'!BG559,MeanMinAge03)))</f>
        <v/>
      </c>
      <c r="BH466">
        <f>IF(OR('19_Расчет_аналитики'!BH438=0,3&lt;='01_Вводные'!$B$297),0,'19_Расчет_аналитики'!BH438*IF('01_Вводные'!$B$239="Да",MeanMinAge03+'19_Расчет_аналитики'!BH559*SUMIF(ThresholdAge03,"&lt;"&amp;'19_Расчет_аналитики'!BH559,WeightedRevAge03)-SUMIF(ThresholdAge03,"&lt;"&amp;'19_Расчет_аналитики'!BH559,WeightedMinAge03),MAX(CapacityAge03*'01_Вводные'!$B$218*'19_Расчет_аналитики'!BH559,MeanMinAge03)))</f>
        <v/>
      </c>
      <c r="BI466">
        <f>IF(OR('19_Расчет_аналитики'!BI438=0,3&lt;='01_Вводные'!$B$297),0,'19_Расчет_аналитики'!BI438*IF('01_Вводные'!$B$239="Да",MeanMinAge03+'19_Расчет_аналитики'!BI559*SUMIF(ThresholdAge03,"&lt;"&amp;'19_Расчет_аналитики'!BI559,WeightedRevAge03)-SUMIF(ThresholdAge03,"&lt;"&amp;'19_Расчет_аналитики'!BI559,WeightedMinAge03),MAX(CapacityAge03*'01_Вводные'!$B$218*'19_Расчет_аналитики'!BI559,MeanMinAge03)))</f>
        <v/>
      </c>
      <c r="BJ466">
        <f>IF(OR('19_Расчет_аналитики'!BJ438=0,3&lt;='01_Вводные'!$B$297),0,'19_Расчет_аналитики'!BJ438*IF('01_Вводные'!$B$239="Да",MeanMinAge03+'19_Расчет_аналитики'!BJ559*SUMIF(ThresholdAge03,"&lt;"&amp;'19_Расчет_аналитики'!BJ559,WeightedRevAge03)-SUMIF(ThresholdAge03,"&lt;"&amp;'19_Расчет_аналитики'!BJ559,WeightedMinAge03),MAX(CapacityAge03*'01_Вводные'!$B$218*'19_Расчет_аналитики'!BJ559,MeanMinAge03)))</f>
        <v/>
      </c>
      <c r="BK466">
        <f>IF(OR('19_Расчет_аналитики'!BK438=0,3&lt;='01_Вводные'!$B$297),0,'19_Расчет_аналитики'!BK438*IF('01_Вводные'!$B$239="Да",MeanMinAge03+'19_Расчет_аналитики'!BK559*SUMIF(ThresholdAge03,"&lt;"&amp;'19_Расчет_аналитики'!BK559,WeightedRevAge03)-SUMIF(ThresholdAge03,"&lt;"&amp;'19_Расчет_аналитики'!BK559,WeightedMinAge03),MAX(CapacityAge03*'01_Вводные'!$B$218*'19_Расчет_аналитики'!BK559,MeanMinAge03)))</f>
        <v/>
      </c>
      <c r="BL466">
        <f>IF(OR('19_Расчет_аналитики'!BL438=0,3&lt;='01_Вводные'!$B$297),0,'19_Расчет_аналитики'!BL438*IF('01_Вводные'!$B$239="Да",MeanMinAge03+'19_Расчет_аналитики'!BL559*SUMIF(ThresholdAge03,"&lt;"&amp;'19_Расчет_аналитики'!BL559,WeightedRevAge03)-SUMIF(ThresholdAge03,"&lt;"&amp;'19_Расчет_аналитики'!BL559,WeightedMinAge03),MAX(CapacityAge03*'01_Вводные'!$B$218*'19_Расчет_аналитики'!BL559,MeanMinAge03)))</f>
        <v/>
      </c>
      <c r="BM466">
        <f>IF(OR('19_Расчет_аналитики'!BM438=0,3&lt;='01_Вводные'!$B$297),0,'19_Расчет_аналитики'!BM438*IF('01_Вводные'!$B$239="Да",MeanMinAge03+'19_Расчет_аналитики'!BM559*SUMIF(ThresholdAge03,"&lt;"&amp;'19_Расчет_аналитики'!BM559,WeightedRevAge03)-SUMIF(ThresholdAge03,"&lt;"&amp;'19_Расчет_аналитики'!BM559,WeightedMinAge03),MAX(CapacityAge03*'01_Вводные'!$B$218*'19_Расчет_аналитики'!BM559,MeanMinAge03)))</f>
        <v/>
      </c>
      <c r="BN466">
        <f>IF(OR('19_Расчет_аналитики'!BN438=0,3&lt;='01_Вводные'!$B$297),0,'19_Расчет_аналитики'!BN438*IF('01_Вводные'!$B$239="Да",MeanMinAge03+'19_Расчет_аналитики'!BN559*SUMIF(ThresholdAge03,"&lt;"&amp;'19_Расчет_аналитики'!BN559,WeightedRevAge03)-SUMIF(ThresholdAge03,"&lt;"&amp;'19_Расчет_аналитики'!BN559,WeightedMinAge03),MAX(CapacityAge03*'01_Вводные'!$B$218*'19_Расчет_аналитики'!BN559,MeanMinAge03)))</f>
        <v/>
      </c>
      <c r="BO466">
        <f>IF(OR('19_Расчет_аналитики'!BO438=0,3&lt;='01_Вводные'!$B$297),0,'19_Расчет_аналитики'!BO438*IF('01_Вводные'!$B$239="Да",MeanMinAge03+'19_Расчет_аналитики'!BO559*SUMIF(ThresholdAge03,"&lt;"&amp;'19_Расчет_аналитики'!BO559,WeightedRevAge03)-SUMIF(ThresholdAge03,"&lt;"&amp;'19_Расчет_аналитики'!BO559,WeightedMinAge03),MAX(CapacityAge03*'01_Вводные'!$B$218*'19_Расчет_аналитики'!BO559,MeanMinAge03)))</f>
        <v/>
      </c>
    </row>
    <row r="467">
      <c r="B467">
        <f>IF(OR('06_Сеть_и_дети'!B84=0,4&lt;='01_Вводные'!$B$297),0,'06_Сеть_и_дети'!B84*IF('01_Вводные'!$B$239="Да",MeanMinAge04+'19_Расчет_аналитики'!B559*SUMIF(ThresholdAge04,"&lt;"&amp;'19_Расчет_аналитики'!B559,WeightedRevAge04)-SUMIF(ThresholdAge04,"&lt;"&amp;'19_Расчет_аналитики'!B559,WeightedMinAge04),MAX(CapacityAge04*'01_Вводные'!$B$218*'19_Расчет_аналитики'!B559,MeanMinAge04)))</f>
        <v/>
      </c>
      <c r="C467">
        <f>IF(OR('06_Сеть_и_дети'!C84=0,4&lt;='01_Вводные'!$B$297),0,'06_Сеть_и_дети'!C84*IF('01_Вводные'!$B$239="Да",MeanMinAge04+'19_Расчет_аналитики'!C559*SUMIF(ThresholdAge04,"&lt;"&amp;'19_Расчет_аналитики'!C559,WeightedRevAge04)-SUMIF(ThresholdAge04,"&lt;"&amp;'19_Расчет_аналитики'!C559,WeightedMinAge04),MAX(CapacityAge04*'01_Вводные'!$B$218*'19_Расчет_аналитики'!C559,MeanMinAge04)))</f>
        <v/>
      </c>
      <c r="D467">
        <f>IF(OR('06_Сеть_и_дети'!D84=0,4&lt;='01_Вводные'!$B$297),0,'06_Сеть_и_дети'!D84*IF('01_Вводные'!$B$239="Да",MeanMinAge04+'19_Расчет_аналитики'!D559*SUMIF(ThresholdAge04,"&lt;"&amp;'19_Расчет_аналитики'!D559,WeightedRevAge04)-SUMIF(ThresholdAge04,"&lt;"&amp;'19_Расчет_аналитики'!D559,WeightedMinAge04),MAX(CapacityAge04*'01_Вводные'!$B$218*'19_Расчет_аналитики'!D559,MeanMinAge04)))</f>
        <v/>
      </c>
      <c r="E467">
        <f>IF(OR('19_Расчет_аналитики'!E439=0,4&lt;='01_Вводные'!$B$297),0,'19_Расчет_аналитики'!E439*IF('01_Вводные'!$B$239="Да",MeanMinAge04+'19_Расчет_аналитики'!E559*SUMIF(ThresholdAge04,"&lt;"&amp;'19_Расчет_аналитики'!E559,WeightedRevAge04)-SUMIF(ThresholdAge04,"&lt;"&amp;'19_Расчет_аналитики'!E559,WeightedMinAge04),MAX(CapacityAge04*'01_Вводные'!$B$218*'19_Расчет_аналитики'!E559,MeanMinAge04)))</f>
        <v/>
      </c>
      <c r="F467">
        <f>IF(OR('19_Расчет_аналитики'!F439=0,4&lt;='01_Вводные'!$B$297),0,'19_Расчет_аналитики'!F439*IF('01_Вводные'!$B$239="Да",MeanMinAge04+'19_Расчет_аналитики'!F559*SUMIF(ThresholdAge04,"&lt;"&amp;'19_Расчет_аналитики'!F559,WeightedRevAge04)-SUMIF(ThresholdAge04,"&lt;"&amp;'19_Расчет_аналитики'!F559,WeightedMinAge04),MAX(CapacityAge04*'01_Вводные'!$B$218*'19_Расчет_аналитики'!F559,MeanMinAge04)))</f>
        <v/>
      </c>
      <c r="G467">
        <f>IF(OR('19_Расчет_аналитики'!G439=0,4&lt;='01_Вводные'!$B$297),0,'19_Расчет_аналитики'!G439*IF('01_Вводные'!$B$239="Да",MeanMinAge04+'19_Расчет_аналитики'!G559*SUMIF(ThresholdAge04,"&lt;"&amp;'19_Расчет_аналитики'!G559,WeightedRevAge04)-SUMIF(ThresholdAge04,"&lt;"&amp;'19_Расчет_аналитики'!G559,WeightedMinAge04),MAX(CapacityAge04*'01_Вводные'!$B$218*'19_Расчет_аналитики'!G559,MeanMinAge04)))</f>
        <v/>
      </c>
      <c r="H467">
        <f>IF(OR('19_Расчет_аналитики'!H439=0,4&lt;='01_Вводные'!$B$297),0,'19_Расчет_аналитики'!H439*IF('01_Вводные'!$B$239="Да",MeanMinAge04+'19_Расчет_аналитики'!H559*SUMIF(ThresholdAge04,"&lt;"&amp;'19_Расчет_аналитики'!H559,WeightedRevAge04)-SUMIF(ThresholdAge04,"&lt;"&amp;'19_Расчет_аналитики'!H559,WeightedMinAge04),MAX(CapacityAge04*'01_Вводные'!$B$218*'19_Расчет_аналитики'!H559,MeanMinAge04)))</f>
        <v/>
      </c>
      <c r="I467">
        <f>IF(OR('19_Расчет_аналитики'!I439=0,4&lt;='01_Вводные'!$B$297),0,'19_Расчет_аналитики'!I439*IF('01_Вводные'!$B$239="Да",MeanMinAge04+'19_Расчет_аналитики'!I559*SUMIF(ThresholdAge04,"&lt;"&amp;'19_Расчет_аналитики'!I559,WeightedRevAge04)-SUMIF(ThresholdAge04,"&lt;"&amp;'19_Расчет_аналитики'!I559,WeightedMinAge04),MAX(CapacityAge04*'01_Вводные'!$B$218*'19_Расчет_аналитики'!I559,MeanMinAge04)))</f>
        <v/>
      </c>
      <c r="J467">
        <f>IF(OR('19_Расчет_аналитики'!J439=0,4&lt;='01_Вводные'!$B$297),0,'19_Расчет_аналитики'!J439*IF('01_Вводные'!$B$239="Да",MeanMinAge04+'19_Расчет_аналитики'!J559*SUMIF(ThresholdAge04,"&lt;"&amp;'19_Расчет_аналитики'!J559,WeightedRevAge04)-SUMIF(ThresholdAge04,"&lt;"&amp;'19_Расчет_аналитики'!J559,WeightedMinAge04),MAX(CapacityAge04*'01_Вводные'!$B$218*'19_Расчет_аналитики'!J559,MeanMinAge04)))</f>
        <v/>
      </c>
      <c r="K467">
        <f>IF(OR('19_Расчет_аналитики'!K439=0,4&lt;='01_Вводные'!$B$297),0,'19_Расчет_аналитики'!K439*IF('01_Вводные'!$B$239="Да",MeanMinAge04+'19_Расчет_аналитики'!K559*SUMIF(ThresholdAge04,"&lt;"&amp;'19_Расчет_аналитики'!K559,WeightedRevAge04)-SUMIF(ThresholdAge04,"&lt;"&amp;'19_Расчет_аналитики'!K559,WeightedMinAge04),MAX(CapacityAge04*'01_Вводные'!$B$218*'19_Расчет_аналитики'!K559,MeanMinAge04)))</f>
        <v/>
      </c>
      <c r="L467">
        <f>IF(OR('19_Расчет_аналитики'!L439=0,4&lt;='01_Вводные'!$B$297),0,'19_Расчет_аналитики'!L439*IF('01_Вводные'!$B$239="Да",MeanMinAge04+'19_Расчет_аналитики'!L559*SUMIF(ThresholdAge04,"&lt;"&amp;'19_Расчет_аналитики'!L559,WeightedRevAge04)-SUMIF(ThresholdAge04,"&lt;"&amp;'19_Расчет_аналитики'!L559,WeightedMinAge04),MAX(CapacityAge04*'01_Вводные'!$B$218*'19_Расчет_аналитики'!L559,MeanMinAge04)))</f>
        <v/>
      </c>
      <c r="M467">
        <f>IF(OR('19_Расчет_аналитики'!M439=0,4&lt;='01_Вводные'!$B$297),0,'19_Расчет_аналитики'!M439*IF('01_Вводные'!$B$239="Да",MeanMinAge04+'19_Расчет_аналитики'!M559*SUMIF(ThresholdAge04,"&lt;"&amp;'19_Расчет_аналитики'!M559,WeightedRevAge04)-SUMIF(ThresholdAge04,"&lt;"&amp;'19_Расчет_аналитики'!M559,WeightedMinAge04),MAX(CapacityAge04*'01_Вводные'!$B$218*'19_Расчет_аналитики'!M559,MeanMinAge04)))</f>
        <v/>
      </c>
      <c r="N467">
        <f>IF(OR('19_Расчет_аналитики'!N439=0,4&lt;='01_Вводные'!$B$297),0,'19_Расчет_аналитики'!N439*IF('01_Вводные'!$B$239="Да",MeanMinAge04+'19_Расчет_аналитики'!N559*SUMIF(ThresholdAge04,"&lt;"&amp;'19_Расчет_аналитики'!N559,WeightedRevAge04)-SUMIF(ThresholdAge04,"&lt;"&amp;'19_Расчет_аналитики'!N559,WeightedMinAge04),MAX(CapacityAge04*'01_Вводные'!$B$218*'19_Расчет_аналитики'!N559,MeanMinAge04)))</f>
        <v/>
      </c>
      <c r="O467">
        <f>IF(OR('19_Расчет_аналитики'!O439=0,4&lt;='01_Вводные'!$B$297),0,'19_Расчет_аналитики'!O439*IF('01_Вводные'!$B$239="Да",MeanMinAge04+'19_Расчет_аналитики'!O559*SUMIF(ThresholdAge04,"&lt;"&amp;'19_Расчет_аналитики'!O559,WeightedRevAge04)-SUMIF(ThresholdAge04,"&lt;"&amp;'19_Расчет_аналитики'!O559,WeightedMinAge04),MAX(CapacityAge04*'01_Вводные'!$B$218*'19_Расчет_аналитики'!O559,MeanMinAge04)))</f>
        <v/>
      </c>
      <c r="P467">
        <f>IF(OR('19_Расчет_аналитики'!P439=0,4&lt;='01_Вводные'!$B$297),0,'19_Расчет_аналитики'!P439*IF('01_Вводные'!$B$239="Да",MeanMinAge04+'19_Расчет_аналитики'!P559*SUMIF(ThresholdAge04,"&lt;"&amp;'19_Расчет_аналитики'!P559,WeightedRevAge04)-SUMIF(ThresholdAge04,"&lt;"&amp;'19_Расчет_аналитики'!P559,WeightedMinAge04),MAX(CapacityAge04*'01_Вводные'!$B$218*'19_Расчет_аналитики'!P559,MeanMinAge04)))</f>
        <v/>
      </c>
      <c r="Q467">
        <f>IF(OR('19_Расчет_аналитики'!Q439=0,4&lt;='01_Вводные'!$B$297),0,'19_Расчет_аналитики'!Q439*IF('01_Вводные'!$B$239="Да",MeanMinAge04+'19_Расчет_аналитики'!Q559*SUMIF(ThresholdAge04,"&lt;"&amp;'19_Расчет_аналитики'!Q559,WeightedRevAge04)-SUMIF(ThresholdAge04,"&lt;"&amp;'19_Расчет_аналитики'!Q559,WeightedMinAge04),MAX(CapacityAge04*'01_Вводные'!$B$218*'19_Расчет_аналитики'!Q559,MeanMinAge04)))</f>
        <v/>
      </c>
      <c r="R467">
        <f>IF(OR('19_Расчет_аналитики'!R439=0,4&lt;='01_Вводные'!$B$297),0,'19_Расчет_аналитики'!R439*IF('01_Вводные'!$B$239="Да",MeanMinAge04+'19_Расчет_аналитики'!R559*SUMIF(ThresholdAge04,"&lt;"&amp;'19_Расчет_аналитики'!R559,WeightedRevAge04)-SUMIF(ThresholdAge04,"&lt;"&amp;'19_Расчет_аналитики'!R559,WeightedMinAge04),MAX(CapacityAge04*'01_Вводные'!$B$218*'19_Расчет_аналитики'!R559,MeanMinAge04)))</f>
        <v/>
      </c>
      <c r="S467">
        <f>IF(OR('19_Расчет_аналитики'!S439=0,4&lt;='01_Вводные'!$B$297),0,'19_Расчет_аналитики'!S439*IF('01_Вводные'!$B$239="Да",MeanMinAge04+'19_Расчет_аналитики'!S559*SUMIF(ThresholdAge04,"&lt;"&amp;'19_Расчет_аналитики'!S559,WeightedRevAge04)-SUMIF(ThresholdAge04,"&lt;"&amp;'19_Расчет_аналитики'!S559,WeightedMinAge04),MAX(CapacityAge04*'01_Вводные'!$B$218*'19_Расчет_аналитики'!S559,MeanMinAge04)))</f>
        <v/>
      </c>
      <c r="T467">
        <f>IF(OR('19_Расчет_аналитики'!T439=0,4&lt;='01_Вводные'!$B$297),0,'19_Расчет_аналитики'!T439*IF('01_Вводные'!$B$239="Да",MeanMinAge04+'19_Расчет_аналитики'!T559*SUMIF(ThresholdAge04,"&lt;"&amp;'19_Расчет_аналитики'!T559,WeightedRevAge04)-SUMIF(ThresholdAge04,"&lt;"&amp;'19_Расчет_аналитики'!T559,WeightedMinAge04),MAX(CapacityAge04*'01_Вводные'!$B$218*'19_Расчет_аналитики'!T559,MeanMinAge04)))</f>
        <v/>
      </c>
      <c r="U467">
        <f>IF(OR('19_Расчет_аналитики'!U439=0,4&lt;='01_Вводные'!$B$297),0,'19_Расчет_аналитики'!U439*IF('01_Вводные'!$B$239="Да",MeanMinAge04+'19_Расчет_аналитики'!U559*SUMIF(ThresholdAge04,"&lt;"&amp;'19_Расчет_аналитики'!U559,WeightedRevAge04)-SUMIF(ThresholdAge04,"&lt;"&amp;'19_Расчет_аналитики'!U559,WeightedMinAge04),MAX(CapacityAge04*'01_Вводные'!$B$218*'19_Расчет_аналитики'!U559,MeanMinAge04)))</f>
        <v/>
      </c>
      <c r="V467">
        <f>IF(OR('19_Расчет_аналитики'!V439=0,4&lt;='01_Вводные'!$B$297),0,'19_Расчет_аналитики'!V439*IF('01_Вводные'!$B$239="Да",MeanMinAge04+'19_Расчет_аналитики'!V559*SUMIF(ThresholdAge04,"&lt;"&amp;'19_Расчет_аналитики'!V559,WeightedRevAge04)-SUMIF(ThresholdAge04,"&lt;"&amp;'19_Расчет_аналитики'!V559,WeightedMinAge04),MAX(CapacityAge04*'01_Вводные'!$B$218*'19_Расчет_аналитики'!V559,MeanMinAge04)))</f>
        <v/>
      </c>
      <c r="W467">
        <f>IF(OR('19_Расчет_аналитики'!W439=0,4&lt;='01_Вводные'!$B$297),0,'19_Расчет_аналитики'!W439*IF('01_Вводные'!$B$239="Да",MeanMinAge04+'19_Расчет_аналитики'!W559*SUMIF(ThresholdAge04,"&lt;"&amp;'19_Расчет_аналитики'!W559,WeightedRevAge04)-SUMIF(ThresholdAge04,"&lt;"&amp;'19_Расчет_аналитики'!W559,WeightedMinAge04),MAX(CapacityAge04*'01_Вводные'!$B$218*'19_Расчет_аналитики'!W559,MeanMinAge04)))</f>
        <v/>
      </c>
      <c r="X467">
        <f>IF(OR('19_Расчет_аналитики'!X439=0,4&lt;='01_Вводные'!$B$297),0,'19_Расчет_аналитики'!X439*IF('01_Вводные'!$B$239="Да",MeanMinAge04+'19_Расчет_аналитики'!X559*SUMIF(ThresholdAge04,"&lt;"&amp;'19_Расчет_аналитики'!X559,WeightedRevAge04)-SUMIF(ThresholdAge04,"&lt;"&amp;'19_Расчет_аналитики'!X559,WeightedMinAge04),MAX(CapacityAge04*'01_Вводные'!$B$218*'19_Расчет_аналитики'!X559,MeanMinAge04)))</f>
        <v/>
      </c>
      <c r="Y467">
        <f>IF(OR('19_Расчет_аналитики'!Y439=0,4&lt;='01_Вводные'!$B$297),0,'19_Расчет_аналитики'!Y439*IF('01_Вводные'!$B$239="Да",MeanMinAge04+'19_Расчет_аналитики'!Y559*SUMIF(ThresholdAge04,"&lt;"&amp;'19_Расчет_аналитики'!Y559,WeightedRevAge04)-SUMIF(ThresholdAge04,"&lt;"&amp;'19_Расчет_аналитики'!Y559,WeightedMinAge04),MAX(CapacityAge04*'01_Вводные'!$B$218*'19_Расчет_аналитики'!Y559,MeanMinAge04)))</f>
        <v/>
      </c>
      <c r="Z467">
        <f>IF(OR('19_Расчет_аналитики'!Z439=0,4&lt;='01_Вводные'!$B$297),0,'19_Расчет_аналитики'!Z439*IF('01_Вводные'!$B$239="Да",MeanMinAge04+'19_Расчет_аналитики'!Z559*SUMIF(ThresholdAge04,"&lt;"&amp;'19_Расчет_аналитики'!Z559,WeightedRevAge04)-SUMIF(ThresholdAge04,"&lt;"&amp;'19_Расчет_аналитики'!Z559,WeightedMinAge04),MAX(CapacityAge04*'01_Вводные'!$B$218*'19_Расчет_аналитики'!Z559,MeanMinAge04)))</f>
        <v/>
      </c>
      <c r="AA467">
        <f>IF(OR('19_Расчет_аналитики'!AA439=0,4&lt;='01_Вводные'!$B$297),0,'19_Расчет_аналитики'!AA439*IF('01_Вводные'!$B$239="Да",MeanMinAge04+'19_Расчет_аналитики'!AA559*SUMIF(ThresholdAge04,"&lt;"&amp;'19_Расчет_аналитики'!AA559,WeightedRevAge04)-SUMIF(ThresholdAge04,"&lt;"&amp;'19_Расчет_аналитики'!AA559,WeightedMinAge04),MAX(CapacityAge04*'01_Вводные'!$B$218*'19_Расчет_аналитики'!AA559,MeanMinAge04)))</f>
        <v/>
      </c>
      <c r="AB467">
        <f>IF(OR('19_Расчет_аналитики'!AB439=0,4&lt;='01_Вводные'!$B$297),0,'19_Расчет_аналитики'!AB439*IF('01_Вводные'!$B$239="Да",MeanMinAge04+'19_Расчет_аналитики'!AB559*SUMIF(ThresholdAge04,"&lt;"&amp;'19_Расчет_аналитики'!AB559,WeightedRevAge04)-SUMIF(ThresholdAge04,"&lt;"&amp;'19_Расчет_аналитики'!AB559,WeightedMinAge04),MAX(CapacityAge04*'01_Вводные'!$B$218*'19_Расчет_аналитики'!AB559,MeanMinAge04)))</f>
        <v/>
      </c>
      <c r="AC467">
        <f>IF(OR('19_Расчет_аналитики'!AC439=0,4&lt;='01_Вводные'!$B$297),0,'19_Расчет_аналитики'!AC439*IF('01_Вводные'!$B$239="Да",MeanMinAge04+'19_Расчет_аналитики'!AC559*SUMIF(ThresholdAge04,"&lt;"&amp;'19_Расчет_аналитики'!AC559,WeightedRevAge04)-SUMIF(ThresholdAge04,"&lt;"&amp;'19_Расчет_аналитики'!AC559,WeightedMinAge04),MAX(CapacityAge04*'01_Вводные'!$B$218*'19_Расчет_аналитики'!AC559,MeanMinAge04)))</f>
        <v/>
      </c>
      <c r="AD467">
        <f>IF(OR('19_Расчет_аналитики'!AD439=0,4&lt;='01_Вводные'!$B$297),0,'19_Расчет_аналитики'!AD439*IF('01_Вводные'!$B$239="Да",MeanMinAge04+'19_Расчет_аналитики'!AD559*SUMIF(ThresholdAge04,"&lt;"&amp;'19_Расчет_аналитики'!AD559,WeightedRevAge04)-SUMIF(ThresholdAge04,"&lt;"&amp;'19_Расчет_аналитики'!AD559,WeightedMinAge04),MAX(CapacityAge04*'01_Вводные'!$B$218*'19_Расчет_аналитики'!AD559,MeanMinAge04)))</f>
        <v/>
      </c>
      <c r="AE467">
        <f>IF(OR('19_Расчет_аналитики'!AE439=0,4&lt;='01_Вводные'!$B$297),0,'19_Расчет_аналитики'!AE439*IF('01_Вводные'!$B$239="Да",MeanMinAge04+'19_Расчет_аналитики'!AE559*SUMIF(ThresholdAge04,"&lt;"&amp;'19_Расчет_аналитики'!AE559,WeightedRevAge04)-SUMIF(ThresholdAge04,"&lt;"&amp;'19_Расчет_аналитики'!AE559,WeightedMinAge04),MAX(CapacityAge04*'01_Вводные'!$B$218*'19_Расчет_аналитики'!AE559,MeanMinAge04)))</f>
        <v/>
      </c>
      <c r="AF467">
        <f>IF(OR('19_Расчет_аналитики'!AF439=0,4&lt;='01_Вводные'!$B$297),0,'19_Расчет_аналитики'!AF439*IF('01_Вводные'!$B$239="Да",MeanMinAge04+'19_Расчет_аналитики'!AF559*SUMIF(ThresholdAge04,"&lt;"&amp;'19_Расчет_аналитики'!AF559,WeightedRevAge04)-SUMIF(ThresholdAge04,"&lt;"&amp;'19_Расчет_аналитики'!AF559,WeightedMinAge04),MAX(CapacityAge04*'01_Вводные'!$B$218*'19_Расчет_аналитики'!AF559,MeanMinAge04)))</f>
        <v/>
      </c>
      <c r="AG467">
        <f>IF(OR('19_Расчет_аналитики'!AG439=0,4&lt;='01_Вводные'!$B$297),0,'19_Расчет_аналитики'!AG439*IF('01_Вводные'!$B$239="Да",MeanMinAge04+'19_Расчет_аналитики'!AG559*SUMIF(ThresholdAge04,"&lt;"&amp;'19_Расчет_аналитики'!AG559,WeightedRevAge04)-SUMIF(ThresholdAge04,"&lt;"&amp;'19_Расчет_аналитики'!AG559,WeightedMinAge04),MAX(CapacityAge04*'01_Вводные'!$B$218*'19_Расчет_аналитики'!AG559,MeanMinAge04)))</f>
        <v/>
      </c>
      <c r="AH467">
        <f>IF(OR('19_Расчет_аналитики'!AH439=0,4&lt;='01_Вводные'!$B$297),0,'19_Расчет_аналитики'!AH439*IF('01_Вводные'!$B$239="Да",MeanMinAge04+'19_Расчет_аналитики'!AH559*SUMIF(ThresholdAge04,"&lt;"&amp;'19_Расчет_аналитики'!AH559,WeightedRevAge04)-SUMIF(ThresholdAge04,"&lt;"&amp;'19_Расчет_аналитики'!AH559,WeightedMinAge04),MAX(CapacityAge04*'01_Вводные'!$B$218*'19_Расчет_аналитики'!AH559,MeanMinAge04)))</f>
        <v/>
      </c>
      <c r="AI467">
        <f>IF(OR('19_Расчет_аналитики'!AI439=0,4&lt;='01_Вводные'!$B$297),0,'19_Расчет_аналитики'!AI439*IF('01_Вводные'!$B$239="Да",MeanMinAge04+'19_Расчет_аналитики'!AI559*SUMIF(ThresholdAge04,"&lt;"&amp;'19_Расчет_аналитики'!AI559,WeightedRevAge04)-SUMIF(ThresholdAge04,"&lt;"&amp;'19_Расчет_аналитики'!AI559,WeightedMinAge04),MAX(CapacityAge04*'01_Вводные'!$B$218*'19_Расчет_аналитики'!AI559,MeanMinAge04)))</f>
        <v/>
      </c>
      <c r="AJ467">
        <f>IF(OR('19_Расчет_аналитики'!AJ439=0,4&lt;='01_Вводные'!$B$297),0,'19_Расчет_аналитики'!AJ439*IF('01_Вводные'!$B$239="Да",MeanMinAge04+'19_Расчет_аналитики'!AJ559*SUMIF(ThresholdAge04,"&lt;"&amp;'19_Расчет_аналитики'!AJ559,WeightedRevAge04)-SUMIF(ThresholdAge04,"&lt;"&amp;'19_Расчет_аналитики'!AJ559,WeightedMinAge04),MAX(CapacityAge04*'01_Вводные'!$B$218*'19_Расчет_аналитики'!AJ559,MeanMinAge04)))</f>
        <v/>
      </c>
      <c r="AK467">
        <f>IF(OR('19_Расчет_аналитики'!AK439=0,4&lt;='01_Вводные'!$B$297),0,'19_Расчет_аналитики'!AK439*IF('01_Вводные'!$B$239="Да",MeanMinAge04+'19_Расчет_аналитики'!AK559*SUMIF(ThresholdAge04,"&lt;"&amp;'19_Расчет_аналитики'!AK559,WeightedRevAge04)-SUMIF(ThresholdAge04,"&lt;"&amp;'19_Расчет_аналитики'!AK559,WeightedMinAge04),MAX(CapacityAge04*'01_Вводные'!$B$218*'19_Расчет_аналитики'!AK559,MeanMinAge04)))</f>
        <v/>
      </c>
      <c r="AL467">
        <f>IF(OR('19_Расчет_аналитики'!AL439=0,4&lt;='01_Вводные'!$B$297),0,'19_Расчет_аналитики'!AL439*IF('01_Вводные'!$B$239="Да",MeanMinAge04+'19_Расчет_аналитики'!AL559*SUMIF(ThresholdAge04,"&lt;"&amp;'19_Расчет_аналитики'!AL559,WeightedRevAge04)-SUMIF(ThresholdAge04,"&lt;"&amp;'19_Расчет_аналитики'!AL559,WeightedMinAge04),MAX(CapacityAge04*'01_Вводные'!$B$218*'19_Расчет_аналитики'!AL559,MeanMinAge04)))</f>
        <v/>
      </c>
      <c r="AM467">
        <f>IF(OR('19_Расчет_аналитики'!AM439=0,4&lt;='01_Вводные'!$B$297),0,'19_Расчет_аналитики'!AM439*IF('01_Вводные'!$B$239="Да",MeanMinAge04+'19_Расчет_аналитики'!AM559*SUMIF(ThresholdAge04,"&lt;"&amp;'19_Расчет_аналитики'!AM559,WeightedRevAge04)-SUMIF(ThresholdAge04,"&lt;"&amp;'19_Расчет_аналитики'!AM559,WeightedMinAge04),MAX(CapacityAge04*'01_Вводные'!$B$218*'19_Расчет_аналитики'!AM559,MeanMinAge04)))</f>
        <v/>
      </c>
      <c r="AN467">
        <f>IF(OR('19_Расчет_аналитики'!AN439=0,4&lt;='01_Вводные'!$B$297),0,'19_Расчет_аналитики'!AN439*IF('01_Вводные'!$B$239="Да",MeanMinAge04+'19_Расчет_аналитики'!AN559*SUMIF(ThresholdAge04,"&lt;"&amp;'19_Расчет_аналитики'!AN559,WeightedRevAge04)-SUMIF(ThresholdAge04,"&lt;"&amp;'19_Расчет_аналитики'!AN559,WeightedMinAge04),MAX(CapacityAge04*'01_Вводные'!$B$218*'19_Расчет_аналитики'!AN559,MeanMinAge04)))</f>
        <v/>
      </c>
      <c r="AO467">
        <f>IF(OR('19_Расчет_аналитики'!AO439=0,4&lt;='01_Вводные'!$B$297),0,'19_Расчет_аналитики'!AO439*IF('01_Вводные'!$B$239="Да",MeanMinAge04+'19_Расчет_аналитики'!AO559*SUMIF(ThresholdAge04,"&lt;"&amp;'19_Расчет_аналитики'!AO559,WeightedRevAge04)-SUMIF(ThresholdAge04,"&lt;"&amp;'19_Расчет_аналитики'!AO559,WeightedMinAge04),MAX(CapacityAge04*'01_Вводные'!$B$218*'19_Расчет_аналитики'!AO559,MeanMinAge04)))</f>
        <v/>
      </c>
      <c r="AP467">
        <f>IF(OR('19_Расчет_аналитики'!AP439=0,4&lt;='01_Вводные'!$B$297),0,'19_Расчет_аналитики'!AP439*IF('01_Вводные'!$B$239="Да",MeanMinAge04+'19_Расчет_аналитики'!AP559*SUMIF(ThresholdAge04,"&lt;"&amp;'19_Расчет_аналитики'!AP559,WeightedRevAge04)-SUMIF(ThresholdAge04,"&lt;"&amp;'19_Расчет_аналитики'!AP559,WeightedMinAge04),MAX(CapacityAge04*'01_Вводные'!$B$218*'19_Расчет_аналитики'!AP559,MeanMinAge04)))</f>
        <v/>
      </c>
      <c r="AQ467">
        <f>IF(OR('19_Расчет_аналитики'!AQ439=0,4&lt;='01_Вводные'!$B$297),0,'19_Расчет_аналитики'!AQ439*IF('01_Вводные'!$B$239="Да",MeanMinAge04+'19_Расчет_аналитики'!AQ559*SUMIF(ThresholdAge04,"&lt;"&amp;'19_Расчет_аналитики'!AQ559,WeightedRevAge04)-SUMIF(ThresholdAge04,"&lt;"&amp;'19_Расчет_аналитики'!AQ559,WeightedMinAge04),MAX(CapacityAge04*'01_Вводные'!$B$218*'19_Расчет_аналитики'!AQ559,MeanMinAge04)))</f>
        <v/>
      </c>
      <c r="AR467">
        <f>IF(OR('19_Расчет_аналитики'!AR439=0,4&lt;='01_Вводные'!$B$297),0,'19_Расчет_аналитики'!AR439*IF('01_Вводные'!$B$239="Да",MeanMinAge04+'19_Расчет_аналитики'!AR559*SUMIF(ThresholdAge04,"&lt;"&amp;'19_Расчет_аналитики'!AR559,WeightedRevAge04)-SUMIF(ThresholdAge04,"&lt;"&amp;'19_Расчет_аналитики'!AR559,WeightedMinAge04),MAX(CapacityAge04*'01_Вводные'!$B$218*'19_Расчет_аналитики'!AR559,MeanMinAge04)))</f>
        <v/>
      </c>
      <c r="AS467">
        <f>IF(OR('19_Расчет_аналитики'!AS439=0,4&lt;='01_Вводные'!$B$297),0,'19_Расчет_аналитики'!AS439*IF('01_Вводные'!$B$239="Да",MeanMinAge04+'19_Расчет_аналитики'!AS559*SUMIF(ThresholdAge04,"&lt;"&amp;'19_Расчет_аналитики'!AS559,WeightedRevAge04)-SUMIF(ThresholdAge04,"&lt;"&amp;'19_Расчет_аналитики'!AS559,WeightedMinAge04),MAX(CapacityAge04*'01_Вводные'!$B$218*'19_Расчет_аналитики'!AS559,MeanMinAge04)))</f>
        <v/>
      </c>
      <c r="AT467">
        <f>IF(OR('19_Расчет_аналитики'!AT439=0,4&lt;='01_Вводные'!$B$297),0,'19_Расчет_аналитики'!AT439*IF('01_Вводные'!$B$239="Да",MeanMinAge04+'19_Расчет_аналитики'!AT559*SUMIF(ThresholdAge04,"&lt;"&amp;'19_Расчет_аналитики'!AT559,WeightedRevAge04)-SUMIF(ThresholdAge04,"&lt;"&amp;'19_Расчет_аналитики'!AT559,WeightedMinAge04),MAX(CapacityAge04*'01_Вводные'!$B$218*'19_Расчет_аналитики'!AT559,MeanMinAge04)))</f>
        <v/>
      </c>
      <c r="AU467">
        <f>IF(OR('19_Расчет_аналитики'!AU439=0,4&lt;='01_Вводные'!$B$297),0,'19_Расчет_аналитики'!AU439*IF('01_Вводные'!$B$239="Да",MeanMinAge04+'19_Расчет_аналитики'!AU559*SUMIF(ThresholdAge04,"&lt;"&amp;'19_Расчет_аналитики'!AU559,WeightedRevAge04)-SUMIF(ThresholdAge04,"&lt;"&amp;'19_Расчет_аналитики'!AU559,WeightedMinAge04),MAX(CapacityAge04*'01_Вводные'!$B$218*'19_Расчет_аналитики'!AU559,MeanMinAge04)))</f>
        <v/>
      </c>
      <c r="AV467">
        <f>IF(OR('19_Расчет_аналитики'!AV439=0,4&lt;='01_Вводные'!$B$297),0,'19_Расчет_аналитики'!AV439*IF('01_Вводные'!$B$239="Да",MeanMinAge04+'19_Расчет_аналитики'!AV559*SUMIF(ThresholdAge04,"&lt;"&amp;'19_Расчет_аналитики'!AV559,WeightedRevAge04)-SUMIF(ThresholdAge04,"&lt;"&amp;'19_Расчет_аналитики'!AV559,WeightedMinAge04),MAX(CapacityAge04*'01_Вводные'!$B$218*'19_Расчет_аналитики'!AV559,MeanMinAge04)))</f>
        <v/>
      </c>
      <c r="AW467">
        <f>IF(OR('19_Расчет_аналитики'!AW439=0,4&lt;='01_Вводные'!$B$297),0,'19_Расчет_аналитики'!AW439*IF('01_Вводные'!$B$239="Да",MeanMinAge04+'19_Расчет_аналитики'!AW559*SUMIF(ThresholdAge04,"&lt;"&amp;'19_Расчет_аналитики'!AW559,WeightedRevAge04)-SUMIF(ThresholdAge04,"&lt;"&amp;'19_Расчет_аналитики'!AW559,WeightedMinAge04),MAX(CapacityAge04*'01_Вводные'!$B$218*'19_Расчет_аналитики'!AW559,MeanMinAge04)))</f>
        <v/>
      </c>
      <c r="AX467">
        <f>IF(OR('19_Расчет_аналитики'!AX439=0,4&lt;='01_Вводные'!$B$297),0,'19_Расчет_аналитики'!AX439*IF('01_Вводные'!$B$239="Да",MeanMinAge04+'19_Расчет_аналитики'!AX559*SUMIF(ThresholdAge04,"&lt;"&amp;'19_Расчет_аналитики'!AX559,WeightedRevAge04)-SUMIF(ThresholdAge04,"&lt;"&amp;'19_Расчет_аналитики'!AX559,WeightedMinAge04),MAX(CapacityAge04*'01_Вводные'!$B$218*'19_Расчет_аналитики'!AX559,MeanMinAge04)))</f>
        <v/>
      </c>
      <c r="AY467">
        <f>IF(OR('19_Расчет_аналитики'!AY439=0,4&lt;='01_Вводные'!$B$297),0,'19_Расчет_аналитики'!AY439*IF('01_Вводные'!$B$239="Да",MeanMinAge04+'19_Расчет_аналитики'!AY559*SUMIF(ThresholdAge04,"&lt;"&amp;'19_Расчет_аналитики'!AY559,WeightedRevAge04)-SUMIF(ThresholdAge04,"&lt;"&amp;'19_Расчет_аналитики'!AY559,WeightedMinAge04),MAX(CapacityAge04*'01_Вводные'!$B$218*'19_Расчет_аналитики'!AY559,MeanMinAge04)))</f>
        <v/>
      </c>
      <c r="AZ467">
        <f>IF(OR('19_Расчет_аналитики'!AZ439=0,4&lt;='01_Вводные'!$B$297),0,'19_Расчет_аналитики'!AZ439*IF('01_Вводные'!$B$239="Да",MeanMinAge04+'19_Расчет_аналитики'!AZ559*SUMIF(ThresholdAge04,"&lt;"&amp;'19_Расчет_аналитики'!AZ559,WeightedRevAge04)-SUMIF(ThresholdAge04,"&lt;"&amp;'19_Расчет_аналитики'!AZ559,WeightedMinAge04),MAX(CapacityAge04*'01_Вводные'!$B$218*'19_Расчет_аналитики'!AZ559,MeanMinAge04)))</f>
        <v/>
      </c>
      <c r="BA467">
        <f>IF(OR('19_Расчет_аналитики'!BA439=0,4&lt;='01_Вводные'!$B$297),0,'19_Расчет_аналитики'!BA439*IF('01_Вводные'!$B$239="Да",MeanMinAge04+'19_Расчет_аналитики'!BA559*SUMIF(ThresholdAge04,"&lt;"&amp;'19_Расчет_аналитики'!BA559,WeightedRevAge04)-SUMIF(ThresholdAge04,"&lt;"&amp;'19_Расчет_аналитики'!BA559,WeightedMinAge04),MAX(CapacityAge04*'01_Вводные'!$B$218*'19_Расчет_аналитики'!BA559,MeanMinAge04)))</f>
        <v/>
      </c>
      <c r="BB467">
        <f>IF(OR('19_Расчет_аналитики'!BB439=0,4&lt;='01_Вводные'!$B$297),0,'19_Расчет_аналитики'!BB439*IF('01_Вводные'!$B$239="Да",MeanMinAge04+'19_Расчет_аналитики'!BB559*SUMIF(ThresholdAge04,"&lt;"&amp;'19_Расчет_аналитики'!BB559,WeightedRevAge04)-SUMIF(ThresholdAge04,"&lt;"&amp;'19_Расчет_аналитики'!BB559,WeightedMinAge04),MAX(CapacityAge04*'01_Вводные'!$B$218*'19_Расчет_аналитики'!BB559,MeanMinAge04)))</f>
        <v/>
      </c>
      <c r="BC467">
        <f>IF(OR('19_Расчет_аналитики'!BC439=0,4&lt;='01_Вводные'!$B$297),0,'19_Расчет_аналитики'!BC439*IF('01_Вводные'!$B$239="Да",MeanMinAge04+'19_Расчет_аналитики'!BC559*SUMIF(ThresholdAge04,"&lt;"&amp;'19_Расчет_аналитики'!BC559,WeightedRevAge04)-SUMIF(ThresholdAge04,"&lt;"&amp;'19_Расчет_аналитики'!BC559,WeightedMinAge04),MAX(CapacityAge04*'01_Вводные'!$B$218*'19_Расчет_аналитики'!BC559,MeanMinAge04)))</f>
        <v/>
      </c>
      <c r="BD467">
        <f>IF(OR('19_Расчет_аналитики'!BD439=0,4&lt;='01_Вводные'!$B$297),0,'19_Расчет_аналитики'!BD439*IF('01_Вводные'!$B$239="Да",MeanMinAge04+'19_Расчет_аналитики'!BD559*SUMIF(ThresholdAge04,"&lt;"&amp;'19_Расчет_аналитики'!BD559,WeightedRevAge04)-SUMIF(ThresholdAge04,"&lt;"&amp;'19_Расчет_аналитики'!BD559,WeightedMinAge04),MAX(CapacityAge04*'01_Вводные'!$B$218*'19_Расчет_аналитики'!BD559,MeanMinAge04)))</f>
        <v/>
      </c>
      <c r="BE467">
        <f>IF(OR('19_Расчет_аналитики'!BE439=0,4&lt;='01_Вводные'!$B$297),0,'19_Расчет_аналитики'!BE439*IF('01_Вводные'!$B$239="Да",MeanMinAge04+'19_Расчет_аналитики'!BE559*SUMIF(ThresholdAge04,"&lt;"&amp;'19_Расчет_аналитики'!BE559,WeightedRevAge04)-SUMIF(ThresholdAge04,"&lt;"&amp;'19_Расчет_аналитики'!BE559,WeightedMinAge04),MAX(CapacityAge04*'01_Вводные'!$B$218*'19_Расчет_аналитики'!BE559,MeanMinAge04)))</f>
        <v/>
      </c>
      <c r="BF467">
        <f>IF(OR('19_Расчет_аналитики'!BF439=0,4&lt;='01_Вводные'!$B$297),0,'19_Расчет_аналитики'!BF439*IF('01_Вводные'!$B$239="Да",MeanMinAge04+'19_Расчет_аналитики'!BF559*SUMIF(ThresholdAge04,"&lt;"&amp;'19_Расчет_аналитики'!BF559,WeightedRevAge04)-SUMIF(ThresholdAge04,"&lt;"&amp;'19_Расчет_аналитики'!BF559,WeightedMinAge04),MAX(CapacityAge04*'01_Вводные'!$B$218*'19_Расчет_аналитики'!BF559,MeanMinAge04)))</f>
        <v/>
      </c>
      <c r="BG467">
        <f>IF(OR('19_Расчет_аналитики'!BG439=0,4&lt;='01_Вводные'!$B$297),0,'19_Расчет_аналитики'!BG439*IF('01_Вводные'!$B$239="Да",MeanMinAge04+'19_Расчет_аналитики'!BG559*SUMIF(ThresholdAge04,"&lt;"&amp;'19_Расчет_аналитики'!BG559,WeightedRevAge04)-SUMIF(ThresholdAge04,"&lt;"&amp;'19_Расчет_аналитики'!BG559,WeightedMinAge04),MAX(CapacityAge04*'01_Вводные'!$B$218*'19_Расчет_аналитики'!BG559,MeanMinAge04)))</f>
        <v/>
      </c>
      <c r="BH467">
        <f>IF(OR('19_Расчет_аналитики'!BH439=0,4&lt;='01_Вводные'!$B$297),0,'19_Расчет_аналитики'!BH439*IF('01_Вводные'!$B$239="Да",MeanMinAge04+'19_Расчет_аналитики'!BH559*SUMIF(ThresholdAge04,"&lt;"&amp;'19_Расчет_аналитики'!BH559,WeightedRevAge04)-SUMIF(ThresholdAge04,"&lt;"&amp;'19_Расчет_аналитики'!BH559,WeightedMinAge04),MAX(CapacityAge04*'01_Вводные'!$B$218*'19_Расчет_аналитики'!BH559,MeanMinAge04)))</f>
        <v/>
      </c>
      <c r="BI467">
        <f>IF(OR('19_Расчет_аналитики'!BI439=0,4&lt;='01_Вводные'!$B$297),0,'19_Расчет_аналитики'!BI439*IF('01_Вводные'!$B$239="Да",MeanMinAge04+'19_Расчет_аналитики'!BI559*SUMIF(ThresholdAge04,"&lt;"&amp;'19_Расчет_аналитики'!BI559,WeightedRevAge04)-SUMIF(ThresholdAge04,"&lt;"&amp;'19_Расчет_аналитики'!BI559,WeightedMinAge04),MAX(CapacityAge04*'01_Вводные'!$B$218*'19_Расчет_аналитики'!BI559,MeanMinAge04)))</f>
        <v/>
      </c>
      <c r="BJ467">
        <f>IF(OR('19_Расчет_аналитики'!BJ439=0,4&lt;='01_Вводные'!$B$297),0,'19_Расчет_аналитики'!BJ439*IF('01_Вводные'!$B$239="Да",MeanMinAge04+'19_Расчет_аналитики'!BJ559*SUMIF(ThresholdAge04,"&lt;"&amp;'19_Расчет_аналитики'!BJ559,WeightedRevAge04)-SUMIF(ThresholdAge04,"&lt;"&amp;'19_Расчет_аналитики'!BJ559,WeightedMinAge04),MAX(CapacityAge04*'01_Вводные'!$B$218*'19_Расчет_аналитики'!BJ559,MeanMinAge04)))</f>
        <v/>
      </c>
      <c r="BK467">
        <f>IF(OR('19_Расчет_аналитики'!BK439=0,4&lt;='01_Вводные'!$B$297),0,'19_Расчет_аналитики'!BK439*IF('01_Вводные'!$B$239="Да",MeanMinAge04+'19_Расчет_аналитики'!BK559*SUMIF(ThresholdAge04,"&lt;"&amp;'19_Расчет_аналитики'!BK559,WeightedRevAge04)-SUMIF(ThresholdAge04,"&lt;"&amp;'19_Расчет_аналитики'!BK559,WeightedMinAge04),MAX(CapacityAge04*'01_Вводные'!$B$218*'19_Расчет_аналитики'!BK559,MeanMinAge04)))</f>
        <v/>
      </c>
      <c r="BL467">
        <f>IF(OR('19_Расчет_аналитики'!BL439=0,4&lt;='01_Вводные'!$B$297),0,'19_Расчет_аналитики'!BL439*IF('01_Вводные'!$B$239="Да",MeanMinAge04+'19_Расчет_аналитики'!BL559*SUMIF(ThresholdAge04,"&lt;"&amp;'19_Расчет_аналитики'!BL559,WeightedRevAge04)-SUMIF(ThresholdAge04,"&lt;"&amp;'19_Расчет_аналитики'!BL559,WeightedMinAge04),MAX(CapacityAge04*'01_Вводные'!$B$218*'19_Расчет_аналитики'!BL559,MeanMinAge04)))</f>
        <v/>
      </c>
      <c r="BM467">
        <f>IF(OR('19_Расчет_аналитики'!BM439=0,4&lt;='01_Вводные'!$B$297),0,'19_Расчет_аналитики'!BM439*IF('01_Вводные'!$B$239="Да",MeanMinAge04+'19_Расчет_аналитики'!BM559*SUMIF(ThresholdAge04,"&lt;"&amp;'19_Расчет_аналитики'!BM559,WeightedRevAge04)-SUMIF(ThresholdAge04,"&lt;"&amp;'19_Расчет_аналитики'!BM559,WeightedMinAge04),MAX(CapacityAge04*'01_Вводные'!$B$218*'19_Расчет_аналитики'!BM559,MeanMinAge04)))</f>
        <v/>
      </c>
      <c r="BN467">
        <f>IF(OR('19_Расчет_аналитики'!BN439=0,4&lt;='01_Вводные'!$B$297),0,'19_Расчет_аналитики'!BN439*IF('01_Вводные'!$B$239="Да",MeanMinAge04+'19_Расчет_аналитики'!BN559*SUMIF(ThresholdAge04,"&lt;"&amp;'19_Расчет_аналитики'!BN559,WeightedRevAge04)-SUMIF(ThresholdAge04,"&lt;"&amp;'19_Расчет_аналитики'!BN559,WeightedMinAge04),MAX(CapacityAge04*'01_Вводные'!$B$218*'19_Расчет_аналитики'!BN559,MeanMinAge04)))</f>
        <v/>
      </c>
      <c r="BO467">
        <f>IF(OR('19_Расчет_аналитики'!BO439=0,4&lt;='01_Вводные'!$B$297),0,'19_Расчет_аналитики'!BO439*IF('01_Вводные'!$B$239="Да",MeanMinAge04+'19_Расчет_аналитики'!BO559*SUMIF(ThresholdAge04,"&lt;"&amp;'19_Расчет_аналитики'!BO559,WeightedRevAge04)-SUMIF(ThresholdAge04,"&lt;"&amp;'19_Расчет_аналитики'!BO559,WeightedMinAge04),MAX(CapacityAge04*'01_Вводные'!$B$218*'19_Расчет_аналитики'!BO559,MeanMinAge04)))</f>
        <v/>
      </c>
    </row>
    <row r="468">
      <c r="B468">
        <f>IF(OR('06_Сеть_и_дети'!B85=0,5&lt;='01_Вводные'!$B$297),0,'06_Сеть_и_дети'!B85*IF('01_Вводные'!$B$239="Да",MeanMinAge05+'19_Расчет_аналитики'!B559*SUMIF(ThresholdAge05,"&lt;"&amp;'19_Расчет_аналитики'!B559,WeightedRevAge05)-SUMIF(ThresholdAge05,"&lt;"&amp;'19_Расчет_аналитики'!B559,WeightedMinAge05),MAX(CapacityAge05*'01_Вводные'!$B$218*'19_Расчет_аналитики'!B559,MeanMinAge05)))</f>
        <v/>
      </c>
      <c r="C468">
        <f>IF(OR('06_Сеть_и_дети'!C85=0,5&lt;='01_Вводные'!$B$297),0,'06_Сеть_и_дети'!C85*IF('01_Вводные'!$B$239="Да",MeanMinAge05+'19_Расчет_аналитики'!C559*SUMIF(ThresholdAge05,"&lt;"&amp;'19_Расчет_аналитики'!C559,WeightedRevAge05)-SUMIF(ThresholdAge05,"&lt;"&amp;'19_Расчет_аналитики'!C559,WeightedMinAge05),MAX(CapacityAge05*'01_Вводные'!$B$218*'19_Расчет_аналитики'!C559,MeanMinAge05)))</f>
        <v/>
      </c>
      <c r="D468">
        <f>IF(OR('06_Сеть_и_дети'!D85=0,5&lt;='01_Вводные'!$B$297),0,'06_Сеть_и_дети'!D85*IF('01_Вводные'!$B$239="Да",MeanMinAge05+'19_Расчет_аналитики'!D559*SUMIF(ThresholdAge05,"&lt;"&amp;'19_Расчет_аналитики'!D559,WeightedRevAge05)-SUMIF(ThresholdAge05,"&lt;"&amp;'19_Расчет_аналитики'!D559,WeightedMinAge05),MAX(CapacityAge05*'01_Вводные'!$B$218*'19_Расчет_аналитики'!D559,MeanMinAge05)))</f>
        <v/>
      </c>
      <c r="E468">
        <f>IF(OR('06_Сеть_и_дети'!E85=0,5&lt;='01_Вводные'!$B$297),0,'06_Сеть_и_дети'!E85*IF('01_Вводные'!$B$239="Да",MeanMinAge05+'19_Расчет_аналитики'!E559*SUMIF(ThresholdAge05,"&lt;"&amp;'19_Расчет_аналитики'!E559,WeightedRevAge05)-SUMIF(ThresholdAge05,"&lt;"&amp;'19_Расчет_аналитики'!E559,WeightedMinAge05),MAX(CapacityAge05*'01_Вводные'!$B$218*'19_Расчет_аналитики'!E559,MeanMinAge05)))</f>
        <v/>
      </c>
      <c r="F468">
        <f>IF(OR('19_Расчет_аналитики'!F440=0,5&lt;='01_Вводные'!$B$297),0,'19_Расчет_аналитики'!F440*IF('01_Вводные'!$B$239="Да",MeanMinAge05+'19_Расчет_аналитики'!F559*SUMIF(ThresholdAge05,"&lt;"&amp;'19_Расчет_аналитики'!F559,WeightedRevAge05)-SUMIF(ThresholdAge05,"&lt;"&amp;'19_Расчет_аналитики'!F559,WeightedMinAge05),MAX(CapacityAge05*'01_Вводные'!$B$218*'19_Расчет_аналитики'!F559,MeanMinAge05)))</f>
        <v/>
      </c>
      <c r="G468">
        <f>IF(OR('19_Расчет_аналитики'!G440=0,5&lt;='01_Вводные'!$B$297),0,'19_Расчет_аналитики'!G440*IF('01_Вводные'!$B$239="Да",MeanMinAge05+'19_Расчет_аналитики'!G559*SUMIF(ThresholdAge05,"&lt;"&amp;'19_Расчет_аналитики'!G559,WeightedRevAge05)-SUMIF(ThresholdAge05,"&lt;"&amp;'19_Расчет_аналитики'!G559,WeightedMinAge05),MAX(CapacityAge05*'01_Вводные'!$B$218*'19_Расчет_аналитики'!G559,MeanMinAge05)))</f>
        <v/>
      </c>
      <c r="H468">
        <f>IF(OR('19_Расчет_аналитики'!H440=0,5&lt;='01_Вводные'!$B$297),0,'19_Расчет_аналитики'!H440*IF('01_Вводные'!$B$239="Да",MeanMinAge05+'19_Расчет_аналитики'!H559*SUMIF(ThresholdAge05,"&lt;"&amp;'19_Расчет_аналитики'!H559,WeightedRevAge05)-SUMIF(ThresholdAge05,"&lt;"&amp;'19_Расчет_аналитики'!H559,WeightedMinAge05),MAX(CapacityAge05*'01_Вводные'!$B$218*'19_Расчет_аналитики'!H559,MeanMinAge05)))</f>
        <v/>
      </c>
      <c r="I468">
        <f>IF(OR('19_Расчет_аналитики'!I440=0,5&lt;='01_Вводные'!$B$297),0,'19_Расчет_аналитики'!I440*IF('01_Вводные'!$B$239="Да",MeanMinAge05+'19_Расчет_аналитики'!I559*SUMIF(ThresholdAge05,"&lt;"&amp;'19_Расчет_аналитики'!I559,WeightedRevAge05)-SUMIF(ThresholdAge05,"&lt;"&amp;'19_Расчет_аналитики'!I559,WeightedMinAge05),MAX(CapacityAge05*'01_Вводные'!$B$218*'19_Расчет_аналитики'!I559,MeanMinAge05)))</f>
        <v/>
      </c>
      <c r="J468">
        <f>IF(OR('19_Расчет_аналитики'!J440=0,5&lt;='01_Вводные'!$B$297),0,'19_Расчет_аналитики'!J440*IF('01_Вводные'!$B$239="Да",MeanMinAge05+'19_Расчет_аналитики'!J559*SUMIF(ThresholdAge05,"&lt;"&amp;'19_Расчет_аналитики'!J559,WeightedRevAge05)-SUMIF(ThresholdAge05,"&lt;"&amp;'19_Расчет_аналитики'!J559,WeightedMinAge05),MAX(CapacityAge05*'01_Вводные'!$B$218*'19_Расчет_аналитики'!J559,MeanMinAge05)))</f>
        <v/>
      </c>
      <c r="K468">
        <f>IF(OR('19_Расчет_аналитики'!K440=0,5&lt;='01_Вводные'!$B$297),0,'19_Расчет_аналитики'!K440*IF('01_Вводные'!$B$239="Да",MeanMinAge05+'19_Расчет_аналитики'!K559*SUMIF(ThresholdAge05,"&lt;"&amp;'19_Расчет_аналитики'!K559,WeightedRevAge05)-SUMIF(ThresholdAge05,"&lt;"&amp;'19_Расчет_аналитики'!K559,WeightedMinAge05),MAX(CapacityAge05*'01_Вводные'!$B$218*'19_Расчет_аналитики'!K559,MeanMinAge05)))</f>
        <v/>
      </c>
      <c r="L468">
        <f>IF(OR('19_Расчет_аналитики'!L440=0,5&lt;='01_Вводные'!$B$297),0,'19_Расчет_аналитики'!L440*IF('01_Вводные'!$B$239="Да",MeanMinAge05+'19_Расчет_аналитики'!L559*SUMIF(ThresholdAge05,"&lt;"&amp;'19_Расчет_аналитики'!L559,WeightedRevAge05)-SUMIF(ThresholdAge05,"&lt;"&amp;'19_Расчет_аналитики'!L559,WeightedMinAge05),MAX(CapacityAge05*'01_Вводные'!$B$218*'19_Расчет_аналитики'!L559,MeanMinAge05)))</f>
        <v/>
      </c>
      <c r="M468">
        <f>IF(OR('19_Расчет_аналитики'!M440=0,5&lt;='01_Вводные'!$B$297),0,'19_Расчет_аналитики'!M440*IF('01_Вводные'!$B$239="Да",MeanMinAge05+'19_Расчет_аналитики'!M559*SUMIF(ThresholdAge05,"&lt;"&amp;'19_Расчет_аналитики'!M559,WeightedRevAge05)-SUMIF(ThresholdAge05,"&lt;"&amp;'19_Расчет_аналитики'!M559,WeightedMinAge05),MAX(CapacityAge05*'01_Вводные'!$B$218*'19_Расчет_аналитики'!M559,MeanMinAge05)))</f>
        <v/>
      </c>
      <c r="N468">
        <f>IF(OR('19_Расчет_аналитики'!N440=0,5&lt;='01_Вводные'!$B$297),0,'19_Расчет_аналитики'!N440*IF('01_Вводные'!$B$239="Да",MeanMinAge05+'19_Расчет_аналитики'!N559*SUMIF(ThresholdAge05,"&lt;"&amp;'19_Расчет_аналитики'!N559,WeightedRevAge05)-SUMIF(ThresholdAge05,"&lt;"&amp;'19_Расчет_аналитики'!N559,WeightedMinAge05),MAX(CapacityAge05*'01_Вводные'!$B$218*'19_Расчет_аналитики'!N559,MeanMinAge05)))</f>
        <v/>
      </c>
      <c r="O468">
        <f>IF(OR('19_Расчет_аналитики'!O440=0,5&lt;='01_Вводные'!$B$297),0,'19_Расчет_аналитики'!O440*IF('01_Вводные'!$B$239="Да",MeanMinAge05+'19_Расчет_аналитики'!O559*SUMIF(ThresholdAge05,"&lt;"&amp;'19_Расчет_аналитики'!O559,WeightedRevAge05)-SUMIF(ThresholdAge05,"&lt;"&amp;'19_Расчет_аналитики'!O559,WeightedMinAge05),MAX(CapacityAge05*'01_Вводные'!$B$218*'19_Расчет_аналитики'!O559,MeanMinAge05)))</f>
        <v/>
      </c>
      <c r="P468">
        <f>IF(OR('19_Расчет_аналитики'!P440=0,5&lt;='01_Вводные'!$B$297),0,'19_Расчет_аналитики'!P440*IF('01_Вводные'!$B$239="Да",MeanMinAge05+'19_Расчет_аналитики'!P559*SUMIF(ThresholdAge05,"&lt;"&amp;'19_Расчет_аналитики'!P559,WeightedRevAge05)-SUMIF(ThresholdAge05,"&lt;"&amp;'19_Расчет_аналитики'!P559,WeightedMinAge05),MAX(CapacityAge05*'01_Вводные'!$B$218*'19_Расчет_аналитики'!P559,MeanMinAge05)))</f>
        <v/>
      </c>
      <c r="Q468">
        <f>IF(OR('19_Расчет_аналитики'!Q440=0,5&lt;='01_Вводные'!$B$297),0,'19_Расчет_аналитики'!Q440*IF('01_Вводные'!$B$239="Да",MeanMinAge05+'19_Расчет_аналитики'!Q559*SUMIF(ThresholdAge05,"&lt;"&amp;'19_Расчет_аналитики'!Q559,WeightedRevAge05)-SUMIF(ThresholdAge05,"&lt;"&amp;'19_Расчет_аналитики'!Q559,WeightedMinAge05),MAX(CapacityAge05*'01_Вводные'!$B$218*'19_Расчет_аналитики'!Q559,MeanMinAge05)))</f>
        <v/>
      </c>
      <c r="R468">
        <f>IF(OR('19_Расчет_аналитики'!R440=0,5&lt;='01_Вводные'!$B$297),0,'19_Расчет_аналитики'!R440*IF('01_Вводные'!$B$239="Да",MeanMinAge05+'19_Расчет_аналитики'!R559*SUMIF(ThresholdAge05,"&lt;"&amp;'19_Расчет_аналитики'!R559,WeightedRevAge05)-SUMIF(ThresholdAge05,"&lt;"&amp;'19_Расчет_аналитики'!R559,WeightedMinAge05),MAX(CapacityAge05*'01_Вводные'!$B$218*'19_Расчет_аналитики'!R559,MeanMinAge05)))</f>
        <v/>
      </c>
      <c r="S468">
        <f>IF(OR('19_Расчет_аналитики'!S440=0,5&lt;='01_Вводные'!$B$297),0,'19_Расчет_аналитики'!S440*IF('01_Вводные'!$B$239="Да",MeanMinAge05+'19_Расчет_аналитики'!S559*SUMIF(ThresholdAge05,"&lt;"&amp;'19_Расчет_аналитики'!S559,WeightedRevAge05)-SUMIF(ThresholdAge05,"&lt;"&amp;'19_Расчет_аналитики'!S559,WeightedMinAge05),MAX(CapacityAge05*'01_Вводные'!$B$218*'19_Расчет_аналитики'!S559,MeanMinAge05)))</f>
        <v/>
      </c>
      <c r="T468">
        <f>IF(OR('19_Расчет_аналитики'!T440=0,5&lt;='01_Вводные'!$B$297),0,'19_Расчет_аналитики'!T440*IF('01_Вводные'!$B$239="Да",MeanMinAge05+'19_Расчет_аналитики'!T559*SUMIF(ThresholdAge05,"&lt;"&amp;'19_Расчет_аналитики'!T559,WeightedRevAge05)-SUMIF(ThresholdAge05,"&lt;"&amp;'19_Расчет_аналитики'!T559,WeightedMinAge05),MAX(CapacityAge05*'01_Вводные'!$B$218*'19_Расчет_аналитики'!T559,MeanMinAge05)))</f>
        <v/>
      </c>
      <c r="U468">
        <f>IF(OR('19_Расчет_аналитики'!U440=0,5&lt;='01_Вводные'!$B$297),0,'19_Расчет_аналитики'!U440*IF('01_Вводные'!$B$239="Да",MeanMinAge05+'19_Расчет_аналитики'!U559*SUMIF(ThresholdAge05,"&lt;"&amp;'19_Расчет_аналитики'!U559,WeightedRevAge05)-SUMIF(ThresholdAge05,"&lt;"&amp;'19_Расчет_аналитики'!U559,WeightedMinAge05),MAX(CapacityAge05*'01_Вводные'!$B$218*'19_Расчет_аналитики'!U559,MeanMinAge05)))</f>
        <v/>
      </c>
      <c r="V468">
        <f>IF(OR('19_Расчет_аналитики'!V440=0,5&lt;='01_Вводные'!$B$297),0,'19_Расчет_аналитики'!V440*IF('01_Вводные'!$B$239="Да",MeanMinAge05+'19_Расчет_аналитики'!V559*SUMIF(ThresholdAge05,"&lt;"&amp;'19_Расчет_аналитики'!V559,WeightedRevAge05)-SUMIF(ThresholdAge05,"&lt;"&amp;'19_Расчет_аналитики'!V559,WeightedMinAge05),MAX(CapacityAge05*'01_Вводные'!$B$218*'19_Расчет_аналитики'!V559,MeanMinAge05)))</f>
        <v/>
      </c>
      <c r="W468">
        <f>IF(OR('19_Расчет_аналитики'!W440=0,5&lt;='01_Вводные'!$B$297),0,'19_Расчет_аналитики'!W440*IF('01_Вводные'!$B$239="Да",MeanMinAge05+'19_Расчет_аналитики'!W559*SUMIF(ThresholdAge05,"&lt;"&amp;'19_Расчет_аналитики'!W559,WeightedRevAge05)-SUMIF(ThresholdAge05,"&lt;"&amp;'19_Расчет_аналитики'!W559,WeightedMinAge05),MAX(CapacityAge05*'01_Вводные'!$B$218*'19_Расчет_аналитики'!W559,MeanMinAge05)))</f>
        <v/>
      </c>
      <c r="X468">
        <f>IF(OR('19_Расчет_аналитики'!X440=0,5&lt;='01_Вводные'!$B$297),0,'19_Расчет_аналитики'!X440*IF('01_Вводные'!$B$239="Да",MeanMinAge05+'19_Расчет_аналитики'!X559*SUMIF(ThresholdAge05,"&lt;"&amp;'19_Расчет_аналитики'!X559,WeightedRevAge05)-SUMIF(ThresholdAge05,"&lt;"&amp;'19_Расчет_аналитики'!X559,WeightedMinAge05),MAX(CapacityAge05*'01_Вводные'!$B$218*'19_Расчет_аналитики'!X559,MeanMinAge05)))</f>
        <v/>
      </c>
      <c r="Y468">
        <f>IF(OR('19_Расчет_аналитики'!Y440=0,5&lt;='01_Вводные'!$B$297),0,'19_Расчет_аналитики'!Y440*IF('01_Вводные'!$B$239="Да",MeanMinAge05+'19_Расчет_аналитики'!Y559*SUMIF(ThresholdAge05,"&lt;"&amp;'19_Расчет_аналитики'!Y559,WeightedRevAge05)-SUMIF(ThresholdAge05,"&lt;"&amp;'19_Расчет_аналитики'!Y559,WeightedMinAge05),MAX(CapacityAge05*'01_Вводные'!$B$218*'19_Расчет_аналитики'!Y559,MeanMinAge05)))</f>
        <v/>
      </c>
      <c r="Z468">
        <f>IF(OR('19_Расчет_аналитики'!Z440=0,5&lt;='01_Вводные'!$B$297),0,'19_Расчет_аналитики'!Z440*IF('01_Вводные'!$B$239="Да",MeanMinAge05+'19_Расчет_аналитики'!Z559*SUMIF(ThresholdAge05,"&lt;"&amp;'19_Расчет_аналитики'!Z559,WeightedRevAge05)-SUMIF(ThresholdAge05,"&lt;"&amp;'19_Расчет_аналитики'!Z559,WeightedMinAge05),MAX(CapacityAge05*'01_Вводные'!$B$218*'19_Расчет_аналитики'!Z559,MeanMinAge05)))</f>
        <v/>
      </c>
      <c r="AA468">
        <f>IF(OR('19_Расчет_аналитики'!AA440=0,5&lt;='01_Вводные'!$B$297),0,'19_Расчет_аналитики'!AA440*IF('01_Вводные'!$B$239="Да",MeanMinAge05+'19_Расчет_аналитики'!AA559*SUMIF(ThresholdAge05,"&lt;"&amp;'19_Расчет_аналитики'!AA559,WeightedRevAge05)-SUMIF(ThresholdAge05,"&lt;"&amp;'19_Расчет_аналитики'!AA559,WeightedMinAge05),MAX(CapacityAge05*'01_Вводные'!$B$218*'19_Расчет_аналитики'!AA559,MeanMinAge05)))</f>
        <v/>
      </c>
      <c r="AB468">
        <f>IF(OR('19_Расчет_аналитики'!AB440=0,5&lt;='01_Вводные'!$B$297),0,'19_Расчет_аналитики'!AB440*IF('01_Вводные'!$B$239="Да",MeanMinAge05+'19_Расчет_аналитики'!AB559*SUMIF(ThresholdAge05,"&lt;"&amp;'19_Расчет_аналитики'!AB559,WeightedRevAge05)-SUMIF(ThresholdAge05,"&lt;"&amp;'19_Расчет_аналитики'!AB559,WeightedMinAge05),MAX(CapacityAge05*'01_Вводные'!$B$218*'19_Расчет_аналитики'!AB559,MeanMinAge05)))</f>
        <v/>
      </c>
      <c r="AC468">
        <f>IF(OR('19_Расчет_аналитики'!AC440=0,5&lt;='01_Вводные'!$B$297),0,'19_Расчет_аналитики'!AC440*IF('01_Вводные'!$B$239="Да",MeanMinAge05+'19_Расчет_аналитики'!AC559*SUMIF(ThresholdAge05,"&lt;"&amp;'19_Расчет_аналитики'!AC559,WeightedRevAge05)-SUMIF(ThresholdAge05,"&lt;"&amp;'19_Расчет_аналитики'!AC559,WeightedMinAge05),MAX(CapacityAge05*'01_Вводные'!$B$218*'19_Расчет_аналитики'!AC559,MeanMinAge05)))</f>
        <v/>
      </c>
      <c r="AD468">
        <f>IF(OR('19_Расчет_аналитики'!AD440=0,5&lt;='01_Вводные'!$B$297),0,'19_Расчет_аналитики'!AD440*IF('01_Вводные'!$B$239="Да",MeanMinAge05+'19_Расчет_аналитики'!AD559*SUMIF(ThresholdAge05,"&lt;"&amp;'19_Расчет_аналитики'!AD559,WeightedRevAge05)-SUMIF(ThresholdAge05,"&lt;"&amp;'19_Расчет_аналитики'!AD559,WeightedMinAge05),MAX(CapacityAge05*'01_Вводные'!$B$218*'19_Расчет_аналитики'!AD559,MeanMinAge05)))</f>
        <v/>
      </c>
      <c r="AE468">
        <f>IF(OR('19_Расчет_аналитики'!AE440=0,5&lt;='01_Вводные'!$B$297),0,'19_Расчет_аналитики'!AE440*IF('01_Вводные'!$B$239="Да",MeanMinAge05+'19_Расчет_аналитики'!AE559*SUMIF(ThresholdAge05,"&lt;"&amp;'19_Расчет_аналитики'!AE559,WeightedRevAge05)-SUMIF(ThresholdAge05,"&lt;"&amp;'19_Расчет_аналитики'!AE559,WeightedMinAge05),MAX(CapacityAge05*'01_Вводные'!$B$218*'19_Расчет_аналитики'!AE559,MeanMinAge05)))</f>
        <v/>
      </c>
      <c r="AF468">
        <f>IF(OR('19_Расчет_аналитики'!AF440=0,5&lt;='01_Вводные'!$B$297),0,'19_Расчет_аналитики'!AF440*IF('01_Вводные'!$B$239="Да",MeanMinAge05+'19_Расчет_аналитики'!AF559*SUMIF(ThresholdAge05,"&lt;"&amp;'19_Расчет_аналитики'!AF559,WeightedRevAge05)-SUMIF(ThresholdAge05,"&lt;"&amp;'19_Расчет_аналитики'!AF559,WeightedMinAge05),MAX(CapacityAge05*'01_Вводные'!$B$218*'19_Расчет_аналитики'!AF559,MeanMinAge05)))</f>
        <v/>
      </c>
      <c r="AG468">
        <f>IF(OR('19_Расчет_аналитики'!AG440=0,5&lt;='01_Вводные'!$B$297),0,'19_Расчет_аналитики'!AG440*IF('01_Вводные'!$B$239="Да",MeanMinAge05+'19_Расчет_аналитики'!AG559*SUMIF(ThresholdAge05,"&lt;"&amp;'19_Расчет_аналитики'!AG559,WeightedRevAge05)-SUMIF(ThresholdAge05,"&lt;"&amp;'19_Расчет_аналитики'!AG559,WeightedMinAge05),MAX(CapacityAge05*'01_Вводные'!$B$218*'19_Расчет_аналитики'!AG559,MeanMinAge05)))</f>
        <v/>
      </c>
      <c r="AH468">
        <f>IF(OR('19_Расчет_аналитики'!AH440=0,5&lt;='01_Вводные'!$B$297),0,'19_Расчет_аналитики'!AH440*IF('01_Вводные'!$B$239="Да",MeanMinAge05+'19_Расчет_аналитики'!AH559*SUMIF(ThresholdAge05,"&lt;"&amp;'19_Расчет_аналитики'!AH559,WeightedRevAge05)-SUMIF(ThresholdAge05,"&lt;"&amp;'19_Расчет_аналитики'!AH559,WeightedMinAge05),MAX(CapacityAge05*'01_Вводные'!$B$218*'19_Расчет_аналитики'!AH559,MeanMinAge05)))</f>
        <v/>
      </c>
      <c r="AI468">
        <f>IF(OR('19_Расчет_аналитики'!AI440=0,5&lt;='01_Вводные'!$B$297),0,'19_Расчет_аналитики'!AI440*IF('01_Вводные'!$B$239="Да",MeanMinAge05+'19_Расчет_аналитики'!AI559*SUMIF(ThresholdAge05,"&lt;"&amp;'19_Расчет_аналитики'!AI559,WeightedRevAge05)-SUMIF(ThresholdAge05,"&lt;"&amp;'19_Расчет_аналитики'!AI559,WeightedMinAge05),MAX(CapacityAge05*'01_Вводные'!$B$218*'19_Расчет_аналитики'!AI559,MeanMinAge05)))</f>
        <v/>
      </c>
      <c r="AJ468">
        <f>IF(OR('19_Расчет_аналитики'!AJ440=0,5&lt;='01_Вводные'!$B$297),0,'19_Расчет_аналитики'!AJ440*IF('01_Вводные'!$B$239="Да",MeanMinAge05+'19_Расчет_аналитики'!AJ559*SUMIF(ThresholdAge05,"&lt;"&amp;'19_Расчет_аналитики'!AJ559,WeightedRevAge05)-SUMIF(ThresholdAge05,"&lt;"&amp;'19_Расчет_аналитики'!AJ559,WeightedMinAge05),MAX(CapacityAge05*'01_Вводные'!$B$218*'19_Расчет_аналитики'!AJ559,MeanMinAge05)))</f>
        <v/>
      </c>
      <c r="AK468">
        <f>IF(OR('19_Расчет_аналитики'!AK440=0,5&lt;='01_Вводные'!$B$297),0,'19_Расчет_аналитики'!AK440*IF('01_Вводные'!$B$239="Да",MeanMinAge05+'19_Расчет_аналитики'!AK559*SUMIF(ThresholdAge05,"&lt;"&amp;'19_Расчет_аналитики'!AK559,WeightedRevAge05)-SUMIF(ThresholdAge05,"&lt;"&amp;'19_Расчет_аналитики'!AK559,WeightedMinAge05),MAX(CapacityAge05*'01_Вводные'!$B$218*'19_Расчет_аналитики'!AK559,MeanMinAge05)))</f>
        <v/>
      </c>
      <c r="AL468">
        <f>IF(OR('19_Расчет_аналитики'!AL440=0,5&lt;='01_Вводные'!$B$297),0,'19_Расчет_аналитики'!AL440*IF('01_Вводные'!$B$239="Да",MeanMinAge05+'19_Расчет_аналитики'!AL559*SUMIF(ThresholdAge05,"&lt;"&amp;'19_Расчет_аналитики'!AL559,WeightedRevAge05)-SUMIF(ThresholdAge05,"&lt;"&amp;'19_Расчет_аналитики'!AL559,WeightedMinAge05),MAX(CapacityAge05*'01_Вводные'!$B$218*'19_Расчет_аналитики'!AL559,MeanMinAge05)))</f>
        <v/>
      </c>
      <c r="AM468">
        <f>IF(OR('19_Расчет_аналитики'!AM440=0,5&lt;='01_Вводные'!$B$297),0,'19_Расчет_аналитики'!AM440*IF('01_Вводные'!$B$239="Да",MeanMinAge05+'19_Расчет_аналитики'!AM559*SUMIF(ThresholdAge05,"&lt;"&amp;'19_Расчет_аналитики'!AM559,WeightedRevAge05)-SUMIF(ThresholdAge05,"&lt;"&amp;'19_Расчет_аналитики'!AM559,WeightedMinAge05),MAX(CapacityAge05*'01_Вводные'!$B$218*'19_Расчет_аналитики'!AM559,MeanMinAge05)))</f>
        <v/>
      </c>
      <c r="AN468">
        <f>IF(OR('19_Расчет_аналитики'!AN440=0,5&lt;='01_Вводные'!$B$297),0,'19_Расчет_аналитики'!AN440*IF('01_Вводные'!$B$239="Да",MeanMinAge05+'19_Расчет_аналитики'!AN559*SUMIF(ThresholdAge05,"&lt;"&amp;'19_Расчет_аналитики'!AN559,WeightedRevAge05)-SUMIF(ThresholdAge05,"&lt;"&amp;'19_Расчет_аналитики'!AN559,WeightedMinAge05),MAX(CapacityAge05*'01_Вводные'!$B$218*'19_Расчет_аналитики'!AN559,MeanMinAge05)))</f>
        <v/>
      </c>
      <c r="AO468">
        <f>IF(OR('19_Расчет_аналитики'!AO440=0,5&lt;='01_Вводные'!$B$297),0,'19_Расчет_аналитики'!AO440*IF('01_Вводные'!$B$239="Да",MeanMinAge05+'19_Расчет_аналитики'!AO559*SUMIF(ThresholdAge05,"&lt;"&amp;'19_Расчет_аналитики'!AO559,WeightedRevAge05)-SUMIF(ThresholdAge05,"&lt;"&amp;'19_Расчет_аналитики'!AO559,WeightedMinAge05),MAX(CapacityAge05*'01_Вводные'!$B$218*'19_Расчет_аналитики'!AO559,MeanMinAge05)))</f>
        <v/>
      </c>
      <c r="AP468">
        <f>IF(OR('19_Расчет_аналитики'!AP440=0,5&lt;='01_Вводные'!$B$297),0,'19_Расчет_аналитики'!AP440*IF('01_Вводные'!$B$239="Да",MeanMinAge05+'19_Расчет_аналитики'!AP559*SUMIF(ThresholdAge05,"&lt;"&amp;'19_Расчет_аналитики'!AP559,WeightedRevAge05)-SUMIF(ThresholdAge05,"&lt;"&amp;'19_Расчет_аналитики'!AP559,WeightedMinAge05),MAX(CapacityAge05*'01_Вводные'!$B$218*'19_Расчет_аналитики'!AP559,MeanMinAge05)))</f>
        <v/>
      </c>
      <c r="AQ468">
        <f>IF(OR('19_Расчет_аналитики'!AQ440=0,5&lt;='01_Вводные'!$B$297),0,'19_Расчет_аналитики'!AQ440*IF('01_Вводные'!$B$239="Да",MeanMinAge05+'19_Расчет_аналитики'!AQ559*SUMIF(ThresholdAge05,"&lt;"&amp;'19_Расчет_аналитики'!AQ559,WeightedRevAge05)-SUMIF(ThresholdAge05,"&lt;"&amp;'19_Расчет_аналитики'!AQ559,WeightedMinAge05),MAX(CapacityAge05*'01_Вводные'!$B$218*'19_Расчет_аналитики'!AQ559,MeanMinAge05)))</f>
        <v/>
      </c>
      <c r="AR468">
        <f>IF(OR('19_Расчет_аналитики'!AR440=0,5&lt;='01_Вводные'!$B$297),0,'19_Расчет_аналитики'!AR440*IF('01_Вводные'!$B$239="Да",MeanMinAge05+'19_Расчет_аналитики'!AR559*SUMIF(ThresholdAge05,"&lt;"&amp;'19_Расчет_аналитики'!AR559,WeightedRevAge05)-SUMIF(ThresholdAge05,"&lt;"&amp;'19_Расчет_аналитики'!AR559,WeightedMinAge05),MAX(CapacityAge05*'01_Вводные'!$B$218*'19_Расчет_аналитики'!AR559,MeanMinAge05)))</f>
        <v/>
      </c>
      <c r="AS468">
        <f>IF(OR('19_Расчет_аналитики'!AS440=0,5&lt;='01_Вводные'!$B$297),0,'19_Расчет_аналитики'!AS440*IF('01_Вводные'!$B$239="Да",MeanMinAge05+'19_Расчет_аналитики'!AS559*SUMIF(ThresholdAge05,"&lt;"&amp;'19_Расчет_аналитики'!AS559,WeightedRevAge05)-SUMIF(ThresholdAge05,"&lt;"&amp;'19_Расчет_аналитики'!AS559,WeightedMinAge05),MAX(CapacityAge05*'01_Вводные'!$B$218*'19_Расчет_аналитики'!AS559,MeanMinAge05)))</f>
        <v/>
      </c>
      <c r="AT468">
        <f>IF(OR('19_Расчет_аналитики'!AT440=0,5&lt;='01_Вводные'!$B$297),0,'19_Расчет_аналитики'!AT440*IF('01_Вводные'!$B$239="Да",MeanMinAge05+'19_Расчет_аналитики'!AT559*SUMIF(ThresholdAge05,"&lt;"&amp;'19_Расчет_аналитики'!AT559,WeightedRevAge05)-SUMIF(ThresholdAge05,"&lt;"&amp;'19_Расчет_аналитики'!AT559,WeightedMinAge05),MAX(CapacityAge05*'01_Вводные'!$B$218*'19_Расчет_аналитики'!AT559,MeanMinAge05)))</f>
        <v/>
      </c>
      <c r="AU468">
        <f>IF(OR('19_Расчет_аналитики'!AU440=0,5&lt;='01_Вводные'!$B$297),0,'19_Расчет_аналитики'!AU440*IF('01_Вводные'!$B$239="Да",MeanMinAge05+'19_Расчет_аналитики'!AU559*SUMIF(ThresholdAge05,"&lt;"&amp;'19_Расчет_аналитики'!AU559,WeightedRevAge05)-SUMIF(ThresholdAge05,"&lt;"&amp;'19_Расчет_аналитики'!AU559,WeightedMinAge05),MAX(CapacityAge05*'01_Вводные'!$B$218*'19_Расчет_аналитики'!AU559,MeanMinAge05)))</f>
        <v/>
      </c>
      <c r="AV468">
        <f>IF(OR('19_Расчет_аналитики'!AV440=0,5&lt;='01_Вводные'!$B$297),0,'19_Расчет_аналитики'!AV440*IF('01_Вводные'!$B$239="Да",MeanMinAge05+'19_Расчет_аналитики'!AV559*SUMIF(ThresholdAge05,"&lt;"&amp;'19_Расчет_аналитики'!AV559,WeightedRevAge05)-SUMIF(ThresholdAge05,"&lt;"&amp;'19_Расчет_аналитики'!AV559,WeightedMinAge05),MAX(CapacityAge05*'01_Вводные'!$B$218*'19_Расчет_аналитики'!AV559,MeanMinAge05)))</f>
        <v/>
      </c>
      <c r="AW468">
        <f>IF(OR('19_Расчет_аналитики'!AW440=0,5&lt;='01_Вводные'!$B$297),0,'19_Расчет_аналитики'!AW440*IF('01_Вводные'!$B$239="Да",MeanMinAge05+'19_Расчет_аналитики'!AW559*SUMIF(ThresholdAge05,"&lt;"&amp;'19_Расчет_аналитики'!AW559,WeightedRevAge05)-SUMIF(ThresholdAge05,"&lt;"&amp;'19_Расчет_аналитики'!AW559,WeightedMinAge05),MAX(CapacityAge05*'01_Вводные'!$B$218*'19_Расчет_аналитики'!AW559,MeanMinAge05)))</f>
        <v/>
      </c>
      <c r="AX468">
        <f>IF(OR('19_Расчет_аналитики'!AX440=0,5&lt;='01_Вводные'!$B$297),0,'19_Расчет_аналитики'!AX440*IF('01_Вводные'!$B$239="Да",MeanMinAge05+'19_Расчет_аналитики'!AX559*SUMIF(ThresholdAge05,"&lt;"&amp;'19_Расчет_аналитики'!AX559,WeightedRevAge05)-SUMIF(ThresholdAge05,"&lt;"&amp;'19_Расчет_аналитики'!AX559,WeightedMinAge05),MAX(CapacityAge05*'01_Вводные'!$B$218*'19_Расчет_аналитики'!AX559,MeanMinAge05)))</f>
        <v/>
      </c>
      <c r="AY468">
        <f>IF(OR('19_Расчет_аналитики'!AY440=0,5&lt;='01_Вводные'!$B$297),0,'19_Расчет_аналитики'!AY440*IF('01_Вводные'!$B$239="Да",MeanMinAge05+'19_Расчет_аналитики'!AY559*SUMIF(ThresholdAge05,"&lt;"&amp;'19_Расчет_аналитики'!AY559,WeightedRevAge05)-SUMIF(ThresholdAge05,"&lt;"&amp;'19_Расчет_аналитики'!AY559,WeightedMinAge05),MAX(CapacityAge05*'01_Вводные'!$B$218*'19_Расчет_аналитики'!AY559,MeanMinAge05)))</f>
        <v/>
      </c>
      <c r="AZ468">
        <f>IF(OR('19_Расчет_аналитики'!AZ440=0,5&lt;='01_Вводные'!$B$297),0,'19_Расчет_аналитики'!AZ440*IF('01_Вводные'!$B$239="Да",MeanMinAge05+'19_Расчет_аналитики'!AZ559*SUMIF(ThresholdAge05,"&lt;"&amp;'19_Расчет_аналитики'!AZ559,WeightedRevAge05)-SUMIF(ThresholdAge05,"&lt;"&amp;'19_Расчет_аналитики'!AZ559,WeightedMinAge05),MAX(CapacityAge05*'01_Вводные'!$B$218*'19_Расчет_аналитики'!AZ559,MeanMinAge05)))</f>
        <v/>
      </c>
      <c r="BA468">
        <f>IF(OR('19_Расчет_аналитики'!BA440=0,5&lt;='01_Вводные'!$B$297),0,'19_Расчет_аналитики'!BA440*IF('01_Вводные'!$B$239="Да",MeanMinAge05+'19_Расчет_аналитики'!BA559*SUMIF(ThresholdAge05,"&lt;"&amp;'19_Расчет_аналитики'!BA559,WeightedRevAge05)-SUMIF(ThresholdAge05,"&lt;"&amp;'19_Расчет_аналитики'!BA559,WeightedMinAge05),MAX(CapacityAge05*'01_Вводные'!$B$218*'19_Расчет_аналитики'!BA559,MeanMinAge05)))</f>
        <v/>
      </c>
      <c r="BB468">
        <f>IF(OR('19_Расчет_аналитики'!BB440=0,5&lt;='01_Вводные'!$B$297),0,'19_Расчет_аналитики'!BB440*IF('01_Вводные'!$B$239="Да",MeanMinAge05+'19_Расчет_аналитики'!BB559*SUMIF(ThresholdAge05,"&lt;"&amp;'19_Расчет_аналитики'!BB559,WeightedRevAge05)-SUMIF(ThresholdAge05,"&lt;"&amp;'19_Расчет_аналитики'!BB559,WeightedMinAge05),MAX(CapacityAge05*'01_Вводные'!$B$218*'19_Расчет_аналитики'!BB559,MeanMinAge05)))</f>
        <v/>
      </c>
      <c r="BC468">
        <f>IF(OR('19_Расчет_аналитики'!BC440=0,5&lt;='01_Вводные'!$B$297),0,'19_Расчет_аналитики'!BC440*IF('01_Вводные'!$B$239="Да",MeanMinAge05+'19_Расчет_аналитики'!BC559*SUMIF(ThresholdAge05,"&lt;"&amp;'19_Расчет_аналитики'!BC559,WeightedRevAge05)-SUMIF(ThresholdAge05,"&lt;"&amp;'19_Расчет_аналитики'!BC559,WeightedMinAge05),MAX(CapacityAge05*'01_Вводные'!$B$218*'19_Расчет_аналитики'!BC559,MeanMinAge05)))</f>
        <v/>
      </c>
      <c r="BD468">
        <f>IF(OR('19_Расчет_аналитики'!BD440=0,5&lt;='01_Вводные'!$B$297),0,'19_Расчет_аналитики'!BD440*IF('01_Вводные'!$B$239="Да",MeanMinAge05+'19_Расчет_аналитики'!BD559*SUMIF(ThresholdAge05,"&lt;"&amp;'19_Расчет_аналитики'!BD559,WeightedRevAge05)-SUMIF(ThresholdAge05,"&lt;"&amp;'19_Расчет_аналитики'!BD559,WeightedMinAge05),MAX(CapacityAge05*'01_Вводные'!$B$218*'19_Расчет_аналитики'!BD559,MeanMinAge05)))</f>
        <v/>
      </c>
      <c r="BE468">
        <f>IF(OR('19_Расчет_аналитики'!BE440=0,5&lt;='01_Вводные'!$B$297),0,'19_Расчет_аналитики'!BE440*IF('01_Вводные'!$B$239="Да",MeanMinAge05+'19_Расчет_аналитики'!BE559*SUMIF(ThresholdAge05,"&lt;"&amp;'19_Расчет_аналитики'!BE559,WeightedRevAge05)-SUMIF(ThresholdAge05,"&lt;"&amp;'19_Расчет_аналитики'!BE559,WeightedMinAge05),MAX(CapacityAge05*'01_Вводные'!$B$218*'19_Расчет_аналитики'!BE559,MeanMinAge05)))</f>
        <v/>
      </c>
      <c r="BF468">
        <f>IF(OR('19_Расчет_аналитики'!BF440=0,5&lt;='01_Вводные'!$B$297),0,'19_Расчет_аналитики'!BF440*IF('01_Вводные'!$B$239="Да",MeanMinAge05+'19_Расчет_аналитики'!BF559*SUMIF(ThresholdAge05,"&lt;"&amp;'19_Расчет_аналитики'!BF559,WeightedRevAge05)-SUMIF(ThresholdAge05,"&lt;"&amp;'19_Расчет_аналитики'!BF559,WeightedMinAge05),MAX(CapacityAge05*'01_Вводные'!$B$218*'19_Расчет_аналитики'!BF559,MeanMinAge05)))</f>
        <v/>
      </c>
      <c r="BG468">
        <f>IF(OR('19_Расчет_аналитики'!BG440=0,5&lt;='01_Вводные'!$B$297),0,'19_Расчет_аналитики'!BG440*IF('01_Вводные'!$B$239="Да",MeanMinAge05+'19_Расчет_аналитики'!BG559*SUMIF(ThresholdAge05,"&lt;"&amp;'19_Расчет_аналитики'!BG559,WeightedRevAge05)-SUMIF(ThresholdAge05,"&lt;"&amp;'19_Расчет_аналитики'!BG559,WeightedMinAge05),MAX(CapacityAge05*'01_Вводные'!$B$218*'19_Расчет_аналитики'!BG559,MeanMinAge05)))</f>
        <v/>
      </c>
      <c r="BH468">
        <f>IF(OR('19_Расчет_аналитики'!BH440=0,5&lt;='01_Вводные'!$B$297),0,'19_Расчет_аналитики'!BH440*IF('01_Вводные'!$B$239="Да",MeanMinAge05+'19_Расчет_аналитики'!BH559*SUMIF(ThresholdAge05,"&lt;"&amp;'19_Расчет_аналитики'!BH559,WeightedRevAge05)-SUMIF(ThresholdAge05,"&lt;"&amp;'19_Расчет_аналитики'!BH559,WeightedMinAge05),MAX(CapacityAge05*'01_Вводные'!$B$218*'19_Расчет_аналитики'!BH559,MeanMinAge05)))</f>
        <v/>
      </c>
      <c r="BI468">
        <f>IF(OR('19_Расчет_аналитики'!BI440=0,5&lt;='01_Вводные'!$B$297),0,'19_Расчет_аналитики'!BI440*IF('01_Вводные'!$B$239="Да",MeanMinAge05+'19_Расчет_аналитики'!BI559*SUMIF(ThresholdAge05,"&lt;"&amp;'19_Расчет_аналитики'!BI559,WeightedRevAge05)-SUMIF(ThresholdAge05,"&lt;"&amp;'19_Расчет_аналитики'!BI559,WeightedMinAge05),MAX(CapacityAge05*'01_Вводные'!$B$218*'19_Расчет_аналитики'!BI559,MeanMinAge05)))</f>
        <v/>
      </c>
      <c r="BJ468">
        <f>IF(OR('19_Расчет_аналитики'!BJ440=0,5&lt;='01_Вводные'!$B$297),0,'19_Расчет_аналитики'!BJ440*IF('01_Вводные'!$B$239="Да",MeanMinAge05+'19_Расчет_аналитики'!BJ559*SUMIF(ThresholdAge05,"&lt;"&amp;'19_Расчет_аналитики'!BJ559,WeightedRevAge05)-SUMIF(ThresholdAge05,"&lt;"&amp;'19_Расчет_аналитики'!BJ559,WeightedMinAge05),MAX(CapacityAge05*'01_Вводные'!$B$218*'19_Расчет_аналитики'!BJ559,MeanMinAge05)))</f>
        <v/>
      </c>
      <c r="BK468">
        <f>IF(OR('19_Расчет_аналитики'!BK440=0,5&lt;='01_Вводные'!$B$297),0,'19_Расчет_аналитики'!BK440*IF('01_Вводные'!$B$239="Да",MeanMinAge05+'19_Расчет_аналитики'!BK559*SUMIF(ThresholdAge05,"&lt;"&amp;'19_Расчет_аналитики'!BK559,WeightedRevAge05)-SUMIF(ThresholdAge05,"&lt;"&amp;'19_Расчет_аналитики'!BK559,WeightedMinAge05),MAX(CapacityAge05*'01_Вводные'!$B$218*'19_Расчет_аналитики'!BK559,MeanMinAge05)))</f>
        <v/>
      </c>
      <c r="BL468">
        <f>IF(OR('19_Расчет_аналитики'!BL440=0,5&lt;='01_Вводные'!$B$297),0,'19_Расчет_аналитики'!BL440*IF('01_Вводные'!$B$239="Да",MeanMinAge05+'19_Расчет_аналитики'!BL559*SUMIF(ThresholdAge05,"&lt;"&amp;'19_Расчет_аналитики'!BL559,WeightedRevAge05)-SUMIF(ThresholdAge05,"&lt;"&amp;'19_Расчет_аналитики'!BL559,WeightedMinAge05),MAX(CapacityAge05*'01_Вводные'!$B$218*'19_Расчет_аналитики'!BL559,MeanMinAge05)))</f>
        <v/>
      </c>
      <c r="BM468">
        <f>IF(OR('19_Расчет_аналитики'!BM440=0,5&lt;='01_Вводные'!$B$297),0,'19_Расчет_аналитики'!BM440*IF('01_Вводные'!$B$239="Да",MeanMinAge05+'19_Расчет_аналитики'!BM559*SUMIF(ThresholdAge05,"&lt;"&amp;'19_Расчет_аналитики'!BM559,WeightedRevAge05)-SUMIF(ThresholdAge05,"&lt;"&amp;'19_Расчет_аналитики'!BM559,WeightedMinAge05),MAX(CapacityAge05*'01_Вводные'!$B$218*'19_Расчет_аналитики'!BM559,MeanMinAge05)))</f>
        <v/>
      </c>
      <c r="BN468">
        <f>IF(OR('19_Расчет_аналитики'!BN440=0,5&lt;='01_Вводные'!$B$297),0,'19_Расчет_аналитики'!BN440*IF('01_Вводные'!$B$239="Да",MeanMinAge05+'19_Расчет_аналитики'!BN559*SUMIF(ThresholdAge05,"&lt;"&amp;'19_Расчет_аналитики'!BN559,WeightedRevAge05)-SUMIF(ThresholdAge05,"&lt;"&amp;'19_Расчет_аналитики'!BN559,WeightedMinAge05),MAX(CapacityAge05*'01_Вводные'!$B$218*'19_Расчет_аналитики'!BN559,MeanMinAge05)))</f>
        <v/>
      </c>
      <c r="BO468">
        <f>IF(OR('19_Расчет_аналитики'!BO440=0,5&lt;='01_Вводные'!$B$297),0,'19_Расчет_аналитики'!BO440*IF('01_Вводные'!$B$239="Да",MeanMinAge05+'19_Расчет_аналитики'!BO559*SUMIF(ThresholdAge05,"&lt;"&amp;'19_Расчет_аналитики'!BO559,WeightedRevAge05)-SUMIF(ThresholdAge05,"&lt;"&amp;'19_Расчет_аналитики'!BO559,WeightedMinAge05),MAX(CapacityAge05*'01_Вводные'!$B$218*'19_Расчет_аналитики'!BO559,MeanMinAge05)))</f>
        <v/>
      </c>
    </row>
    <row r="469">
      <c r="B469">
        <f>IF(OR('06_Сеть_и_дети'!B86=0,6&lt;='01_Вводные'!$B$297),0,'06_Сеть_и_дети'!B86*IF('01_Вводные'!$B$239="Да",MeanMinAge06+'19_Расчет_аналитики'!B559*SUMIF(ThresholdAge06,"&lt;"&amp;'19_Расчет_аналитики'!B559,WeightedRevAge06)-SUMIF(ThresholdAge06,"&lt;"&amp;'19_Расчет_аналитики'!B559,WeightedMinAge06),MAX(CapacityAge06*'01_Вводные'!$B$218*'19_Расчет_аналитики'!B559,MeanMinAge06)))</f>
        <v/>
      </c>
      <c r="C469">
        <f>IF(OR('06_Сеть_и_дети'!C86=0,6&lt;='01_Вводные'!$B$297),0,'06_Сеть_и_дети'!C86*IF('01_Вводные'!$B$239="Да",MeanMinAge06+'19_Расчет_аналитики'!C559*SUMIF(ThresholdAge06,"&lt;"&amp;'19_Расчет_аналитики'!C559,WeightedRevAge06)-SUMIF(ThresholdAge06,"&lt;"&amp;'19_Расчет_аналитики'!C559,WeightedMinAge06),MAX(CapacityAge06*'01_Вводные'!$B$218*'19_Расчет_аналитики'!C559,MeanMinAge06)))</f>
        <v/>
      </c>
      <c r="D469">
        <f>IF(OR('06_Сеть_и_дети'!D86=0,6&lt;='01_Вводные'!$B$297),0,'06_Сеть_и_дети'!D86*IF('01_Вводные'!$B$239="Да",MeanMinAge06+'19_Расчет_аналитики'!D559*SUMIF(ThresholdAge06,"&lt;"&amp;'19_Расчет_аналитики'!D559,WeightedRevAge06)-SUMIF(ThresholdAge06,"&lt;"&amp;'19_Расчет_аналитики'!D559,WeightedMinAge06),MAX(CapacityAge06*'01_Вводные'!$B$218*'19_Расчет_аналитики'!D559,MeanMinAge06)))</f>
        <v/>
      </c>
      <c r="E469">
        <f>IF(OR('06_Сеть_и_дети'!E86=0,6&lt;='01_Вводные'!$B$297),0,'06_Сеть_и_дети'!E86*IF('01_Вводные'!$B$239="Да",MeanMinAge06+'19_Расчет_аналитики'!E559*SUMIF(ThresholdAge06,"&lt;"&amp;'19_Расчет_аналитики'!E559,WeightedRevAge06)-SUMIF(ThresholdAge06,"&lt;"&amp;'19_Расчет_аналитики'!E559,WeightedMinAge06),MAX(CapacityAge06*'01_Вводные'!$B$218*'19_Расчет_аналитики'!E559,MeanMinAge06)))</f>
        <v/>
      </c>
      <c r="F469">
        <f>IF(OR('06_Сеть_и_дети'!F86=0,6&lt;='01_Вводные'!$B$297),0,'06_Сеть_и_дети'!F86*IF('01_Вводные'!$B$239="Да",MeanMinAge06+'19_Расчет_аналитики'!F559*SUMIF(ThresholdAge06,"&lt;"&amp;'19_Расчет_аналитики'!F559,WeightedRevAge06)-SUMIF(ThresholdAge06,"&lt;"&amp;'19_Расчет_аналитики'!F559,WeightedMinAge06),MAX(CapacityAge06*'01_Вводные'!$B$218*'19_Расчет_аналитики'!F559,MeanMinAge06)))</f>
        <v/>
      </c>
      <c r="G469">
        <f>IF(OR('19_Расчет_аналитики'!G441=0,6&lt;='01_Вводные'!$B$297),0,'19_Расчет_аналитики'!G441*IF('01_Вводные'!$B$239="Да",MeanMinAge06+'19_Расчет_аналитики'!G559*SUMIF(ThresholdAge06,"&lt;"&amp;'19_Расчет_аналитики'!G559,WeightedRevAge06)-SUMIF(ThresholdAge06,"&lt;"&amp;'19_Расчет_аналитики'!G559,WeightedMinAge06),MAX(CapacityAge06*'01_Вводные'!$B$218*'19_Расчет_аналитики'!G559,MeanMinAge06)))</f>
        <v/>
      </c>
      <c r="H469">
        <f>IF(OR('19_Расчет_аналитики'!H441=0,6&lt;='01_Вводные'!$B$297),0,'19_Расчет_аналитики'!H441*IF('01_Вводные'!$B$239="Да",MeanMinAge06+'19_Расчет_аналитики'!H559*SUMIF(ThresholdAge06,"&lt;"&amp;'19_Расчет_аналитики'!H559,WeightedRevAge06)-SUMIF(ThresholdAge06,"&lt;"&amp;'19_Расчет_аналитики'!H559,WeightedMinAge06),MAX(CapacityAge06*'01_Вводные'!$B$218*'19_Расчет_аналитики'!H559,MeanMinAge06)))</f>
        <v/>
      </c>
      <c r="I469">
        <f>IF(OR('19_Расчет_аналитики'!I441=0,6&lt;='01_Вводные'!$B$297),0,'19_Расчет_аналитики'!I441*IF('01_Вводные'!$B$239="Да",MeanMinAge06+'19_Расчет_аналитики'!I559*SUMIF(ThresholdAge06,"&lt;"&amp;'19_Расчет_аналитики'!I559,WeightedRevAge06)-SUMIF(ThresholdAge06,"&lt;"&amp;'19_Расчет_аналитики'!I559,WeightedMinAge06),MAX(CapacityAge06*'01_Вводные'!$B$218*'19_Расчет_аналитики'!I559,MeanMinAge06)))</f>
        <v/>
      </c>
      <c r="J469">
        <f>IF(OR('19_Расчет_аналитики'!J441=0,6&lt;='01_Вводные'!$B$297),0,'19_Расчет_аналитики'!J441*IF('01_Вводные'!$B$239="Да",MeanMinAge06+'19_Расчет_аналитики'!J559*SUMIF(ThresholdAge06,"&lt;"&amp;'19_Расчет_аналитики'!J559,WeightedRevAge06)-SUMIF(ThresholdAge06,"&lt;"&amp;'19_Расчет_аналитики'!J559,WeightedMinAge06),MAX(CapacityAge06*'01_Вводные'!$B$218*'19_Расчет_аналитики'!J559,MeanMinAge06)))</f>
        <v/>
      </c>
      <c r="K469">
        <f>IF(OR('19_Расчет_аналитики'!K441=0,6&lt;='01_Вводные'!$B$297),0,'19_Расчет_аналитики'!K441*IF('01_Вводные'!$B$239="Да",MeanMinAge06+'19_Расчет_аналитики'!K559*SUMIF(ThresholdAge06,"&lt;"&amp;'19_Расчет_аналитики'!K559,WeightedRevAge06)-SUMIF(ThresholdAge06,"&lt;"&amp;'19_Расчет_аналитики'!K559,WeightedMinAge06),MAX(CapacityAge06*'01_Вводные'!$B$218*'19_Расчет_аналитики'!K559,MeanMinAge06)))</f>
        <v/>
      </c>
      <c r="L469">
        <f>IF(OR('19_Расчет_аналитики'!L441=0,6&lt;='01_Вводные'!$B$297),0,'19_Расчет_аналитики'!L441*IF('01_Вводные'!$B$239="Да",MeanMinAge06+'19_Расчет_аналитики'!L559*SUMIF(ThresholdAge06,"&lt;"&amp;'19_Расчет_аналитики'!L559,WeightedRevAge06)-SUMIF(ThresholdAge06,"&lt;"&amp;'19_Расчет_аналитики'!L559,WeightedMinAge06),MAX(CapacityAge06*'01_Вводные'!$B$218*'19_Расчет_аналитики'!L559,MeanMinAge06)))</f>
        <v/>
      </c>
      <c r="M469">
        <f>IF(OR('19_Расчет_аналитики'!M441=0,6&lt;='01_Вводные'!$B$297),0,'19_Расчет_аналитики'!M441*IF('01_Вводные'!$B$239="Да",MeanMinAge06+'19_Расчет_аналитики'!M559*SUMIF(ThresholdAge06,"&lt;"&amp;'19_Расчет_аналитики'!M559,WeightedRevAge06)-SUMIF(ThresholdAge06,"&lt;"&amp;'19_Расчет_аналитики'!M559,WeightedMinAge06),MAX(CapacityAge06*'01_Вводные'!$B$218*'19_Расчет_аналитики'!M559,MeanMinAge06)))</f>
        <v/>
      </c>
      <c r="N469">
        <f>IF(OR('19_Расчет_аналитики'!N441=0,6&lt;='01_Вводные'!$B$297),0,'19_Расчет_аналитики'!N441*IF('01_Вводные'!$B$239="Да",MeanMinAge06+'19_Расчет_аналитики'!N559*SUMIF(ThresholdAge06,"&lt;"&amp;'19_Расчет_аналитики'!N559,WeightedRevAge06)-SUMIF(ThresholdAge06,"&lt;"&amp;'19_Расчет_аналитики'!N559,WeightedMinAge06),MAX(CapacityAge06*'01_Вводные'!$B$218*'19_Расчет_аналитики'!N559,MeanMinAge06)))</f>
        <v/>
      </c>
      <c r="O469">
        <f>IF(OR('19_Расчет_аналитики'!O441=0,6&lt;='01_Вводные'!$B$297),0,'19_Расчет_аналитики'!O441*IF('01_Вводные'!$B$239="Да",MeanMinAge06+'19_Расчет_аналитики'!O559*SUMIF(ThresholdAge06,"&lt;"&amp;'19_Расчет_аналитики'!O559,WeightedRevAge06)-SUMIF(ThresholdAge06,"&lt;"&amp;'19_Расчет_аналитики'!O559,WeightedMinAge06),MAX(CapacityAge06*'01_Вводные'!$B$218*'19_Расчет_аналитики'!O559,MeanMinAge06)))</f>
        <v/>
      </c>
      <c r="P469">
        <f>IF(OR('19_Расчет_аналитики'!P441=0,6&lt;='01_Вводные'!$B$297),0,'19_Расчет_аналитики'!P441*IF('01_Вводные'!$B$239="Да",MeanMinAge06+'19_Расчет_аналитики'!P559*SUMIF(ThresholdAge06,"&lt;"&amp;'19_Расчет_аналитики'!P559,WeightedRevAge06)-SUMIF(ThresholdAge06,"&lt;"&amp;'19_Расчет_аналитики'!P559,WeightedMinAge06),MAX(CapacityAge06*'01_Вводные'!$B$218*'19_Расчет_аналитики'!P559,MeanMinAge06)))</f>
        <v/>
      </c>
      <c r="Q469">
        <f>IF(OR('19_Расчет_аналитики'!Q441=0,6&lt;='01_Вводные'!$B$297),0,'19_Расчет_аналитики'!Q441*IF('01_Вводные'!$B$239="Да",MeanMinAge06+'19_Расчет_аналитики'!Q559*SUMIF(ThresholdAge06,"&lt;"&amp;'19_Расчет_аналитики'!Q559,WeightedRevAge06)-SUMIF(ThresholdAge06,"&lt;"&amp;'19_Расчет_аналитики'!Q559,WeightedMinAge06),MAX(CapacityAge06*'01_Вводные'!$B$218*'19_Расчет_аналитики'!Q559,MeanMinAge06)))</f>
        <v/>
      </c>
      <c r="R469">
        <f>IF(OR('19_Расчет_аналитики'!R441=0,6&lt;='01_Вводные'!$B$297),0,'19_Расчет_аналитики'!R441*IF('01_Вводные'!$B$239="Да",MeanMinAge06+'19_Расчет_аналитики'!R559*SUMIF(ThresholdAge06,"&lt;"&amp;'19_Расчет_аналитики'!R559,WeightedRevAge06)-SUMIF(ThresholdAge06,"&lt;"&amp;'19_Расчет_аналитики'!R559,WeightedMinAge06),MAX(CapacityAge06*'01_Вводные'!$B$218*'19_Расчет_аналитики'!R559,MeanMinAge06)))</f>
        <v/>
      </c>
      <c r="S469">
        <f>IF(OR('19_Расчет_аналитики'!S441=0,6&lt;='01_Вводные'!$B$297),0,'19_Расчет_аналитики'!S441*IF('01_Вводные'!$B$239="Да",MeanMinAge06+'19_Расчет_аналитики'!S559*SUMIF(ThresholdAge06,"&lt;"&amp;'19_Расчет_аналитики'!S559,WeightedRevAge06)-SUMIF(ThresholdAge06,"&lt;"&amp;'19_Расчет_аналитики'!S559,WeightedMinAge06),MAX(CapacityAge06*'01_Вводные'!$B$218*'19_Расчет_аналитики'!S559,MeanMinAge06)))</f>
        <v/>
      </c>
      <c r="T469">
        <f>IF(OR('19_Расчет_аналитики'!T441=0,6&lt;='01_Вводные'!$B$297),0,'19_Расчет_аналитики'!T441*IF('01_Вводные'!$B$239="Да",MeanMinAge06+'19_Расчет_аналитики'!T559*SUMIF(ThresholdAge06,"&lt;"&amp;'19_Расчет_аналитики'!T559,WeightedRevAge06)-SUMIF(ThresholdAge06,"&lt;"&amp;'19_Расчет_аналитики'!T559,WeightedMinAge06),MAX(CapacityAge06*'01_Вводные'!$B$218*'19_Расчет_аналитики'!T559,MeanMinAge06)))</f>
        <v/>
      </c>
      <c r="U469">
        <f>IF(OR('19_Расчет_аналитики'!U441=0,6&lt;='01_Вводные'!$B$297),0,'19_Расчет_аналитики'!U441*IF('01_Вводные'!$B$239="Да",MeanMinAge06+'19_Расчет_аналитики'!U559*SUMIF(ThresholdAge06,"&lt;"&amp;'19_Расчет_аналитики'!U559,WeightedRevAge06)-SUMIF(ThresholdAge06,"&lt;"&amp;'19_Расчет_аналитики'!U559,WeightedMinAge06),MAX(CapacityAge06*'01_Вводные'!$B$218*'19_Расчет_аналитики'!U559,MeanMinAge06)))</f>
        <v/>
      </c>
      <c r="V469">
        <f>IF(OR('19_Расчет_аналитики'!V441=0,6&lt;='01_Вводные'!$B$297),0,'19_Расчет_аналитики'!V441*IF('01_Вводные'!$B$239="Да",MeanMinAge06+'19_Расчет_аналитики'!V559*SUMIF(ThresholdAge06,"&lt;"&amp;'19_Расчет_аналитики'!V559,WeightedRevAge06)-SUMIF(ThresholdAge06,"&lt;"&amp;'19_Расчет_аналитики'!V559,WeightedMinAge06),MAX(CapacityAge06*'01_Вводные'!$B$218*'19_Расчет_аналитики'!V559,MeanMinAge06)))</f>
        <v/>
      </c>
      <c r="W469">
        <f>IF(OR('19_Расчет_аналитики'!W441=0,6&lt;='01_Вводные'!$B$297),0,'19_Расчет_аналитики'!W441*IF('01_Вводные'!$B$239="Да",MeanMinAge06+'19_Расчет_аналитики'!W559*SUMIF(ThresholdAge06,"&lt;"&amp;'19_Расчет_аналитики'!W559,WeightedRevAge06)-SUMIF(ThresholdAge06,"&lt;"&amp;'19_Расчет_аналитики'!W559,WeightedMinAge06),MAX(CapacityAge06*'01_Вводные'!$B$218*'19_Расчет_аналитики'!W559,MeanMinAge06)))</f>
        <v/>
      </c>
      <c r="X469">
        <f>IF(OR('19_Расчет_аналитики'!X441=0,6&lt;='01_Вводные'!$B$297),0,'19_Расчет_аналитики'!X441*IF('01_Вводные'!$B$239="Да",MeanMinAge06+'19_Расчет_аналитики'!X559*SUMIF(ThresholdAge06,"&lt;"&amp;'19_Расчет_аналитики'!X559,WeightedRevAge06)-SUMIF(ThresholdAge06,"&lt;"&amp;'19_Расчет_аналитики'!X559,WeightedMinAge06),MAX(CapacityAge06*'01_Вводные'!$B$218*'19_Расчет_аналитики'!X559,MeanMinAge06)))</f>
        <v/>
      </c>
      <c r="Y469">
        <f>IF(OR('19_Расчет_аналитики'!Y441=0,6&lt;='01_Вводные'!$B$297),0,'19_Расчет_аналитики'!Y441*IF('01_Вводные'!$B$239="Да",MeanMinAge06+'19_Расчет_аналитики'!Y559*SUMIF(ThresholdAge06,"&lt;"&amp;'19_Расчет_аналитики'!Y559,WeightedRevAge06)-SUMIF(ThresholdAge06,"&lt;"&amp;'19_Расчет_аналитики'!Y559,WeightedMinAge06),MAX(CapacityAge06*'01_Вводные'!$B$218*'19_Расчет_аналитики'!Y559,MeanMinAge06)))</f>
        <v/>
      </c>
      <c r="Z469">
        <f>IF(OR('19_Расчет_аналитики'!Z441=0,6&lt;='01_Вводные'!$B$297),0,'19_Расчет_аналитики'!Z441*IF('01_Вводные'!$B$239="Да",MeanMinAge06+'19_Расчет_аналитики'!Z559*SUMIF(ThresholdAge06,"&lt;"&amp;'19_Расчет_аналитики'!Z559,WeightedRevAge06)-SUMIF(ThresholdAge06,"&lt;"&amp;'19_Расчет_аналитики'!Z559,WeightedMinAge06),MAX(CapacityAge06*'01_Вводные'!$B$218*'19_Расчет_аналитики'!Z559,MeanMinAge06)))</f>
        <v/>
      </c>
      <c r="AA469">
        <f>IF(OR('19_Расчет_аналитики'!AA441=0,6&lt;='01_Вводные'!$B$297),0,'19_Расчет_аналитики'!AA441*IF('01_Вводные'!$B$239="Да",MeanMinAge06+'19_Расчет_аналитики'!AA559*SUMIF(ThresholdAge06,"&lt;"&amp;'19_Расчет_аналитики'!AA559,WeightedRevAge06)-SUMIF(ThresholdAge06,"&lt;"&amp;'19_Расчет_аналитики'!AA559,WeightedMinAge06),MAX(CapacityAge06*'01_Вводные'!$B$218*'19_Расчет_аналитики'!AA559,MeanMinAge06)))</f>
        <v/>
      </c>
      <c r="AB469">
        <f>IF(OR('19_Расчет_аналитики'!AB441=0,6&lt;='01_Вводные'!$B$297),0,'19_Расчет_аналитики'!AB441*IF('01_Вводные'!$B$239="Да",MeanMinAge06+'19_Расчет_аналитики'!AB559*SUMIF(ThresholdAge06,"&lt;"&amp;'19_Расчет_аналитики'!AB559,WeightedRevAge06)-SUMIF(ThresholdAge06,"&lt;"&amp;'19_Расчет_аналитики'!AB559,WeightedMinAge06),MAX(CapacityAge06*'01_Вводные'!$B$218*'19_Расчет_аналитики'!AB559,MeanMinAge06)))</f>
        <v/>
      </c>
      <c r="AC469">
        <f>IF(OR('19_Расчет_аналитики'!AC441=0,6&lt;='01_Вводные'!$B$297),0,'19_Расчет_аналитики'!AC441*IF('01_Вводные'!$B$239="Да",MeanMinAge06+'19_Расчет_аналитики'!AC559*SUMIF(ThresholdAge06,"&lt;"&amp;'19_Расчет_аналитики'!AC559,WeightedRevAge06)-SUMIF(ThresholdAge06,"&lt;"&amp;'19_Расчет_аналитики'!AC559,WeightedMinAge06),MAX(CapacityAge06*'01_Вводные'!$B$218*'19_Расчет_аналитики'!AC559,MeanMinAge06)))</f>
        <v/>
      </c>
      <c r="AD469">
        <f>IF(OR('19_Расчет_аналитики'!AD441=0,6&lt;='01_Вводные'!$B$297),0,'19_Расчет_аналитики'!AD441*IF('01_Вводные'!$B$239="Да",MeanMinAge06+'19_Расчет_аналитики'!AD559*SUMIF(ThresholdAge06,"&lt;"&amp;'19_Расчет_аналитики'!AD559,WeightedRevAge06)-SUMIF(ThresholdAge06,"&lt;"&amp;'19_Расчет_аналитики'!AD559,WeightedMinAge06),MAX(CapacityAge06*'01_Вводные'!$B$218*'19_Расчет_аналитики'!AD559,MeanMinAge06)))</f>
        <v/>
      </c>
      <c r="AE469">
        <f>IF(OR('19_Расчет_аналитики'!AE441=0,6&lt;='01_Вводные'!$B$297),0,'19_Расчет_аналитики'!AE441*IF('01_Вводные'!$B$239="Да",MeanMinAge06+'19_Расчет_аналитики'!AE559*SUMIF(ThresholdAge06,"&lt;"&amp;'19_Расчет_аналитики'!AE559,WeightedRevAge06)-SUMIF(ThresholdAge06,"&lt;"&amp;'19_Расчет_аналитики'!AE559,WeightedMinAge06),MAX(CapacityAge06*'01_Вводные'!$B$218*'19_Расчет_аналитики'!AE559,MeanMinAge06)))</f>
        <v/>
      </c>
      <c r="AF469">
        <f>IF(OR('19_Расчет_аналитики'!AF441=0,6&lt;='01_Вводные'!$B$297),0,'19_Расчет_аналитики'!AF441*IF('01_Вводные'!$B$239="Да",MeanMinAge06+'19_Расчет_аналитики'!AF559*SUMIF(ThresholdAge06,"&lt;"&amp;'19_Расчет_аналитики'!AF559,WeightedRevAge06)-SUMIF(ThresholdAge06,"&lt;"&amp;'19_Расчет_аналитики'!AF559,WeightedMinAge06),MAX(CapacityAge06*'01_Вводные'!$B$218*'19_Расчет_аналитики'!AF559,MeanMinAge06)))</f>
        <v/>
      </c>
      <c r="AG469">
        <f>IF(OR('19_Расчет_аналитики'!AG441=0,6&lt;='01_Вводные'!$B$297),0,'19_Расчет_аналитики'!AG441*IF('01_Вводные'!$B$239="Да",MeanMinAge06+'19_Расчет_аналитики'!AG559*SUMIF(ThresholdAge06,"&lt;"&amp;'19_Расчет_аналитики'!AG559,WeightedRevAge06)-SUMIF(ThresholdAge06,"&lt;"&amp;'19_Расчет_аналитики'!AG559,WeightedMinAge06),MAX(CapacityAge06*'01_Вводные'!$B$218*'19_Расчет_аналитики'!AG559,MeanMinAge06)))</f>
        <v/>
      </c>
      <c r="AH469">
        <f>IF(OR('19_Расчет_аналитики'!AH441=0,6&lt;='01_Вводные'!$B$297),0,'19_Расчет_аналитики'!AH441*IF('01_Вводные'!$B$239="Да",MeanMinAge06+'19_Расчет_аналитики'!AH559*SUMIF(ThresholdAge06,"&lt;"&amp;'19_Расчет_аналитики'!AH559,WeightedRevAge06)-SUMIF(ThresholdAge06,"&lt;"&amp;'19_Расчет_аналитики'!AH559,WeightedMinAge06),MAX(CapacityAge06*'01_Вводные'!$B$218*'19_Расчет_аналитики'!AH559,MeanMinAge06)))</f>
        <v/>
      </c>
      <c r="AI469">
        <f>IF(OR('19_Расчет_аналитики'!AI441=0,6&lt;='01_Вводные'!$B$297),0,'19_Расчет_аналитики'!AI441*IF('01_Вводные'!$B$239="Да",MeanMinAge06+'19_Расчет_аналитики'!AI559*SUMIF(ThresholdAge06,"&lt;"&amp;'19_Расчет_аналитики'!AI559,WeightedRevAge06)-SUMIF(ThresholdAge06,"&lt;"&amp;'19_Расчет_аналитики'!AI559,WeightedMinAge06),MAX(CapacityAge06*'01_Вводные'!$B$218*'19_Расчет_аналитики'!AI559,MeanMinAge06)))</f>
        <v/>
      </c>
      <c r="AJ469">
        <f>IF(OR('19_Расчет_аналитики'!AJ441=0,6&lt;='01_Вводные'!$B$297),0,'19_Расчет_аналитики'!AJ441*IF('01_Вводные'!$B$239="Да",MeanMinAge06+'19_Расчет_аналитики'!AJ559*SUMIF(ThresholdAge06,"&lt;"&amp;'19_Расчет_аналитики'!AJ559,WeightedRevAge06)-SUMIF(ThresholdAge06,"&lt;"&amp;'19_Расчет_аналитики'!AJ559,WeightedMinAge06),MAX(CapacityAge06*'01_Вводные'!$B$218*'19_Расчет_аналитики'!AJ559,MeanMinAge06)))</f>
        <v/>
      </c>
      <c r="AK469">
        <f>IF(OR('19_Расчет_аналитики'!AK441=0,6&lt;='01_Вводные'!$B$297),0,'19_Расчет_аналитики'!AK441*IF('01_Вводные'!$B$239="Да",MeanMinAge06+'19_Расчет_аналитики'!AK559*SUMIF(ThresholdAge06,"&lt;"&amp;'19_Расчет_аналитики'!AK559,WeightedRevAge06)-SUMIF(ThresholdAge06,"&lt;"&amp;'19_Расчет_аналитики'!AK559,WeightedMinAge06),MAX(CapacityAge06*'01_Вводные'!$B$218*'19_Расчет_аналитики'!AK559,MeanMinAge06)))</f>
        <v/>
      </c>
      <c r="AL469">
        <f>IF(OR('19_Расчет_аналитики'!AL441=0,6&lt;='01_Вводные'!$B$297),0,'19_Расчет_аналитики'!AL441*IF('01_Вводные'!$B$239="Да",MeanMinAge06+'19_Расчет_аналитики'!AL559*SUMIF(ThresholdAge06,"&lt;"&amp;'19_Расчет_аналитики'!AL559,WeightedRevAge06)-SUMIF(ThresholdAge06,"&lt;"&amp;'19_Расчет_аналитики'!AL559,WeightedMinAge06),MAX(CapacityAge06*'01_Вводные'!$B$218*'19_Расчет_аналитики'!AL559,MeanMinAge06)))</f>
        <v/>
      </c>
      <c r="AM469">
        <f>IF(OR('19_Расчет_аналитики'!AM441=0,6&lt;='01_Вводные'!$B$297),0,'19_Расчет_аналитики'!AM441*IF('01_Вводные'!$B$239="Да",MeanMinAge06+'19_Расчет_аналитики'!AM559*SUMIF(ThresholdAge06,"&lt;"&amp;'19_Расчет_аналитики'!AM559,WeightedRevAge06)-SUMIF(ThresholdAge06,"&lt;"&amp;'19_Расчет_аналитики'!AM559,WeightedMinAge06),MAX(CapacityAge06*'01_Вводные'!$B$218*'19_Расчет_аналитики'!AM559,MeanMinAge06)))</f>
        <v/>
      </c>
      <c r="AN469">
        <f>IF(OR('19_Расчет_аналитики'!AN441=0,6&lt;='01_Вводные'!$B$297),0,'19_Расчет_аналитики'!AN441*IF('01_Вводные'!$B$239="Да",MeanMinAge06+'19_Расчет_аналитики'!AN559*SUMIF(ThresholdAge06,"&lt;"&amp;'19_Расчет_аналитики'!AN559,WeightedRevAge06)-SUMIF(ThresholdAge06,"&lt;"&amp;'19_Расчет_аналитики'!AN559,WeightedMinAge06),MAX(CapacityAge06*'01_Вводные'!$B$218*'19_Расчет_аналитики'!AN559,MeanMinAge06)))</f>
        <v/>
      </c>
      <c r="AO469">
        <f>IF(OR('19_Расчет_аналитики'!AO441=0,6&lt;='01_Вводные'!$B$297),0,'19_Расчет_аналитики'!AO441*IF('01_Вводные'!$B$239="Да",MeanMinAge06+'19_Расчет_аналитики'!AO559*SUMIF(ThresholdAge06,"&lt;"&amp;'19_Расчет_аналитики'!AO559,WeightedRevAge06)-SUMIF(ThresholdAge06,"&lt;"&amp;'19_Расчет_аналитики'!AO559,WeightedMinAge06),MAX(CapacityAge06*'01_Вводные'!$B$218*'19_Расчет_аналитики'!AO559,MeanMinAge06)))</f>
        <v/>
      </c>
      <c r="AP469">
        <f>IF(OR('19_Расчет_аналитики'!AP441=0,6&lt;='01_Вводные'!$B$297),0,'19_Расчет_аналитики'!AP441*IF('01_Вводные'!$B$239="Да",MeanMinAge06+'19_Расчет_аналитики'!AP559*SUMIF(ThresholdAge06,"&lt;"&amp;'19_Расчет_аналитики'!AP559,WeightedRevAge06)-SUMIF(ThresholdAge06,"&lt;"&amp;'19_Расчет_аналитики'!AP559,WeightedMinAge06),MAX(CapacityAge06*'01_Вводные'!$B$218*'19_Расчет_аналитики'!AP559,MeanMinAge06)))</f>
        <v/>
      </c>
      <c r="AQ469">
        <f>IF(OR('19_Расчет_аналитики'!AQ441=0,6&lt;='01_Вводные'!$B$297),0,'19_Расчет_аналитики'!AQ441*IF('01_Вводные'!$B$239="Да",MeanMinAge06+'19_Расчет_аналитики'!AQ559*SUMIF(ThresholdAge06,"&lt;"&amp;'19_Расчет_аналитики'!AQ559,WeightedRevAge06)-SUMIF(ThresholdAge06,"&lt;"&amp;'19_Расчет_аналитики'!AQ559,WeightedMinAge06),MAX(CapacityAge06*'01_Вводные'!$B$218*'19_Расчет_аналитики'!AQ559,MeanMinAge06)))</f>
        <v/>
      </c>
      <c r="AR469">
        <f>IF(OR('19_Расчет_аналитики'!AR441=0,6&lt;='01_Вводные'!$B$297),0,'19_Расчет_аналитики'!AR441*IF('01_Вводные'!$B$239="Да",MeanMinAge06+'19_Расчет_аналитики'!AR559*SUMIF(ThresholdAge06,"&lt;"&amp;'19_Расчет_аналитики'!AR559,WeightedRevAge06)-SUMIF(ThresholdAge06,"&lt;"&amp;'19_Расчет_аналитики'!AR559,WeightedMinAge06),MAX(CapacityAge06*'01_Вводные'!$B$218*'19_Расчет_аналитики'!AR559,MeanMinAge06)))</f>
        <v/>
      </c>
      <c r="AS469">
        <f>IF(OR('19_Расчет_аналитики'!AS441=0,6&lt;='01_Вводные'!$B$297),0,'19_Расчет_аналитики'!AS441*IF('01_Вводные'!$B$239="Да",MeanMinAge06+'19_Расчет_аналитики'!AS559*SUMIF(ThresholdAge06,"&lt;"&amp;'19_Расчет_аналитики'!AS559,WeightedRevAge06)-SUMIF(ThresholdAge06,"&lt;"&amp;'19_Расчет_аналитики'!AS559,WeightedMinAge06),MAX(CapacityAge06*'01_Вводные'!$B$218*'19_Расчет_аналитики'!AS559,MeanMinAge06)))</f>
        <v/>
      </c>
      <c r="AT469">
        <f>IF(OR('19_Расчет_аналитики'!AT441=0,6&lt;='01_Вводные'!$B$297),0,'19_Расчет_аналитики'!AT441*IF('01_Вводные'!$B$239="Да",MeanMinAge06+'19_Расчет_аналитики'!AT559*SUMIF(ThresholdAge06,"&lt;"&amp;'19_Расчет_аналитики'!AT559,WeightedRevAge06)-SUMIF(ThresholdAge06,"&lt;"&amp;'19_Расчет_аналитики'!AT559,WeightedMinAge06),MAX(CapacityAge06*'01_Вводные'!$B$218*'19_Расчет_аналитики'!AT559,MeanMinAge06)))</f>
        <v/>
      </c>
      <c r="AU469">
        <f>IF(OR('19_Расчет_аналитики'!AU441=0,6&lt;='01_Вводные'!$B$297),0,'19_Расчет_аналитики'!AU441*IF('01_Вводные'!$B$239="Да",MeanMinAge06+'19_Расчет_аналитики'!AU559*SUMIF(ThresholdAge06,"&lt;"&amp;'19_Расчет_аналитики'!AU559,WeightedRevAge06)-SUMIF(ThresholdAge06,"&lt;"&amp;'19_Расчет_аналитики'!AU559,WeightedMinAge06),MAX(CapacityAge06*'01_Вводные'!$B$218*'19_Расчет_аналитики'!AU559,MeanMinAge06)))</f>
        <v/>
      </c>
      <c r="AV469">
        <f>IF(OR('19_Расчет_аналитики'!AV441=0,6&lt;='01_Вводные'!$B$297),0,'19_Расчет_аналитики'!AV441*IF('01_Вводные'!$B$239="Да",MeanMinAge06+'19_Расчет_аналитики'!AV559*SUMIF(ThresholdAge06,"&lt;"&amp;'19_Расчет_аналитики'!AV559,WeightedRevAge06)-SUMIF(ThresholdAge06,"&lt;"&amp;'19_Расчет_аналитики'!AV559,WeightedMinAge06),MAX(CapacityAge06*'01_Вводные'!$B$218*'19_Расчет_аналитики'!AV559,MeanMinAge06)))</f>
        <v/>
      </c>
      <c r="AW469">
        <f>IF(OR('19_Расчет_аналитики'!AW441=0,6&lt;='01_Вводные'!$B$297),0,'19_Расчет_аналитики'!AW441*IF('01_Вводные'!$B$239="Да",MeanMinAge06+'19_Расчет_аналитики'!AW559*SUMIF(ThresholdAge06,"&lt;"&amp;'19_Расчет_аналитики'!AW559,WeightedRevAge06)-SUMIF(ThresholdAge06,"&lt;"&amp;'19_Расчет_аналитики'!AW559,WeightedMinAge06),MAX(CapacityAge06*'01_Вводные'!$B$218*'19_Расчет_аналитики'!AW559,MeanMinAge06)))</f>
        <v/>
      </c>
      <c r="AX469">
        <f>IF(OR('19_Расчет_аналитики'!AX441=0,6&lt;='01_Вводные'!$B$297),0,'19_Расчет_аналитики'!AX441*IF('01_Вводные'!$B$239="Да",MeanMinAge06+'19_Расчет_аналитики'!AX559*SUMIF(ThresholdAge06,"&lt;"&amp;'19_Расчет_аналитики'!AX559,WeightedRevAge06)-SUMIF(ThresholdAge06,"&lt;"&amp;'19_Расчет_аналитики'!AX559,WeightedMinAge06),MAX(CapacityAge06*'01_Вводные'!$B$218*'19_Расчет_аналитики'!AX559,MeanMinAge06)))</f>
        <v/>
      </c>
      <c r="AY469">
        <f>IF(OR('19_Расчет_аналитики'!AY441=0,6&lt;='01_Вводные'!$B$297),0,'19_Расчет_аналитики'!AY441*IF('01_Вводные'!$B$239="Да",MeanMinAge06+'19_Расчет_аналитики'!AY559*SUMIF(ThresholdAge06,"&lt;"&amp;'19_Расчет_аналитики'!AY559,WeightedRevAge06)-SUMIF(ThresholdAge06,"&lt;"&amp;'19_Расчет_аналитики'!AY559,WeightedMinAge06),MAX(CapacityAge06*'01_Вводные'!$B$218*'19_Расчет_аналитики'!AY559,MeanMinAge06)))</f>
        <v/>
      </c>
      <c r="AZ469">
        <f>IF(OR('19_Расчет_аналитики'!AZ441=0,6&lt;='01_Вводные'!$B$297),0,'19_Расчет_аналитики'!AZ441*IF('01_Вводные'!$B$239="Да",MeanMinAge06+'19_Расчет_аналитики'!AZ559*SUMIF(ThresholdAge06,"&lt;"&amp;'19_Расчет_аналитики'!AZ559,WeightedRevAge06)-SUMIF(ThresholdAge06,"&lt;"&amp;'19_Расчет_аналитики'!AZ559,WeightedMinAge06),MAX(CapacityAge06*'01_Вводные'!$B$218*'19_Расчет_аналитики'!AZ559,MeanMinAge06)))</f>
        <v/>
      </c>
      <c r="BA469">
        <f>IF(OR('19_Расчет_аналитики'!BA441=0,6&lt;='01_Вводные'!$B$297),0,'19_Расчет_аналитики'!BA441*IF('01_Вводные'!$B$239="Да",MeanMinAge06+'19_Расчет_аналитики'!BA559*SUMIF(ThresholdAge06,"&lt;"&amp;'19_Расчет_аналитики'!BA559,WeightedRevAge06)-SUMIF(ThresholdAge06,"&lt;"&amp;'19_Расчет_аналитики'!BA559,WeightedMinAge06),MAX(CapacityAge06*'01_Вводные'!$B$218*'19_Расчет_аналитики'!BA559,MeanMinAge06)))</f>
        <v/>
      </c>
      <c r="BB469">
        <f>IF(OR('19_Расчет_аналитики'!BB441=0,6&lt;='01_Вводные'!$B$297),0,'19_Расчет_аналитики'!BB441*IF('01_Вводные'!$B$239="Да",MeanMinAge06+'19_Расчет_аналитики'!BB559*SUMIF(ThresholdAge06,"&lt;"&amp;'19_Расчет_аналитики'!BB559,WeightedRevAge06)-SUMIF(ThresholdAge06,"&lt;"&amp;'19_Расчет_аналитики'!BB559,WeightedMinAge06),MAX(CapacityAge06*'01_Вводные'!$B$218*'19_Расчет_аналитики'!BB559,MeanMinAge06)))</f>
        <v/>
      </c>
      <c r="BC469">
        <f>IF(OR('19_Расчет_аналитики'!BC441=0,6&lt;='01_Вводные'!$B$297),0,'19_Расчет_аналитики'!BC441*IF('01_Вводные'!$B$239="Да",MeanMinAge06+'19_Расчет_аналитики'!BC559*SUMIF(ThresholdAge06,"&lt;"&amp;'19_Расчет_аналитики'!BC559,WeightedRevAge06)-SUMIF(ThresholdAge06,"&lt;"&amp;'19_Расчет_аналитики'!BC559,WeightedMinAge06),MAX(CapacityAge06*'01_Вводные'!$B$218*'19_Расчет_аналитики'!BC559,MeanMinAge06)))</f>
        <v/>
      </c>
      <c r="BD469">
        <f>IF(OR('19_Расчет_аналитики'!BD441=0,6&lt;='01_Вводные'!$B$297),0,'19_Расчет_аналитики'!BD441*IF('01_Вводные'!$B$239="Да",MeanMinAge06+'19_Расчет_аналитики'!BD559*SUMIF(ThresholdAge06,"&lt;"&amp;'19_Расчет_аналитики'!BD559,WeightedRevAge06)-SUMIF(ThresholdAge06,"&lt;"&amp;'19_Расчет_аналитики'!BD559,WeightedMinAge06),MAX(CapacityAge06*'01_Вводные'!$B$218*'19_Расчет_аналитики'!BD559,MeanMinAge06)))</f>
        <v/>
      </c>
      <c r="BE469">
        <f>IF(OR('19_Расчет_аналитики'!BE441=0,6&lt;='01_Вводные'!$B$297),0,'19_Расчет_аналитики'!BE441*IF('01_Вводные'!$B$239="Да",MeanMinAge06+'19_Расчет_аналитики'!BE559*SUMIF(ThresholdAge06,"&lt;"&amp;'19_Расчет_аналитики'!BE559,WeightedRevAge06)-SUMIF(ThresholdAge06,"&lt;"&amp;'19_Расчет_аналитики'!BE559,WeightedMinAge06),MAX(CapacityAge06*'01_Вводные'!$B$218*'19_Расчет_аналитики'!BE559,MeanMinAge06)))</f>
        <v/>
      </c>
      <c r="BF469">
        <f>IF(OR('19_Расчет_аналитики'!BF441=0,6&lt;='01_Вводные'!$B$297),0,'19_Расчет_аналитики'!BF441*IF('01_Вводные'!$B$239="Да",MeanMinAge06+'19_Расчет_аналитики'!BF559*SUMIF(ThresholdAge06,"&lt;"&amp;'19_Расчет_аналитики'!BF559,WeightedRevAge06)-SUMIF(ThresholdAge06,"&lt;"&amp;'19_Расчет_аналитики'!BF559,WeightedMinAge06),MAX(CapacityAge06*'01_Вводные'!$B$218*'19_Расчет_аналитики'!BF559,MeanMinAge06)))</f>
        <v/>
      </c>
      <c r="BG469">
        <f>IF(OR('19_Расчет_аналитики'!BG441=0,6&lt;='01_Вводные'!$B$297),0,'19_Расчет_аналитики'!BG441*IF('01_Вводные'!$B$239="Да",MeanMinAge06+'19_Расчет_аналитики'!BG559*SUMIF(ThresholdAge06,"&lt;"&amp;'19_Расчет_аналитики'!BG559,WeightedRevAge06)-SUMIF(ThresholdAge06,"&lt;"&amp;'19_Расчет_аналитики'!BG559,WeightedMinAge06),MAX(CapacityAge06*'01_Вводные'!$B$218*'19_Расчет_аналитики'!BG559,MeanMinAge06)))</f>
        <v/>
      </c>
      <c r="BH469">
        <f>IF(OR('19_Расчет_аналитики'!BH441=0,6&lt;='01_Вводные'!$B$297),0,'19_Расчет_аналитики'!BH441*IF('01_Вводные'!$B$239="Да",MeanMinAge06+'19_Расчет_аналитики'!BH559*SUMIF(ThresholdAge06,"&lt;"&amp;'19_Расчет_аналитики'!BH559,WeightedRevAge06)-SUMIF(ThresholdAge06,"&lt;"&amp;'19_Расчет_аналитики'!BH559,WeightedMinAge06),MAX(CapacityAge06*'01_Вводные'!$B$218*'19_Расчет_аналитики'!BH559,MeanMinAge06)))</f>
        <v/>
      </c>
      <c r="BI469">
        <f>IF(OR('19_Расчет_аналитики'!BI441=0,6&lt;='01_Вводные'!$B$297),0,'19_Расчет_аналитики'!BI441*IF('01_Вводные'!$B$239="Да",MeanMinAge06+'19_Расчет_аналитики'!BI559*SUMIF(ThresholdAge06,"&lt;"&amp;'19_Расчет_аналитики'!BI559,WeightedRevAge06)-SUMIF(ThresholdAge06,"&lt;"&amp;'19_Расчет_аналитики'!BI559,WeightedMinAge06),MAX(CapacityAge06*'01_Вводные'!$B$218*'19_Расчет_аналитики'!BI559,MeanMinAge06)))</f>
        <v/>
      </c>
      <c r="BJ469">
        <f>IF(OR('19_Расчет_аналитики'!BJ441=0,6&lt;='01_Вводные'!$B$297),0,'19_Расчет_аналитики'!BJ441*IF('01_Вводные'!$B$239="Да",MeanMinAge06+'19_Расчет_аналитики'!BJ559*SUMIF(ThresholdAge06,"&lt;"&amp;'19_Расчет_аналитики'!BJ559,WeightedRevAge06)-SUMIF(ThresholdAge06,"&lt;"&amp;'19_Расчет_аналитики'!BJ559,WeightedMinAge06),MAX(CapacityAge06*'01_Вводные'!$B$218*'19_Расчет_аналитики'!BJ559,MeanMinAge06)))</f>
        <v/>
      </c>
      <c r="BK469">
        <f>IF(OR('19_Расчет_аналитики'!BK441=0,6&lt;='01_Вводные'!$B$297),0,'19_Расчет_аналитики'!BK441*IF('01_Вводные'!$B$239="Да",MeanMinAge06+'19_Расчет_аналитики'!BK559*SUMIF(ThresholdAge06,"&lt;"&amp;'19_Расчет_аналитики'!BK559,WeightedRevAge06)-SUMIF(ThresholdAge06,"&lt;"&amp;'19_Расчет_аналитики'!BK559,WeightedMinAge06),MAX(CapacityAge06*'01_Вводные'!$B$218*'19_Расчет_аналитики'!BK559,MeanMinAge06)))</f>
        <v/>
      </c>
      <c r="BL469">
        <f>IF(OR('19_Расчет_аналитики'!BL441=0,6&lt;='01_Вводные'!$B$297),0,'19_Расчет_аналитики'!BL441*IF('01_Вводные'!$B$239="Да",MeanMinAge06+'19_Расчет_аналитики'!BL559*SUMIF(ThresholdAge06,"&lt;"&amp;'19_Расчет_аналитики'!BL559,WeightedRevAge06)-SUMIF(ThresholdAge06,"&lt;"&amp;'19_Расчет_аналитики'!BL559,WeightedMinAge06),MAX(CapacityAge06*'01_Вводные'!$B$218*'19_Расчет_аналитики'!BL559,MeanMinAge06)))</f>
        <v/>
      </c>
      <c r="BM469">
        <f>IF(OR('19_Расчет_аналитики'!BM441=0,6&lt;='01_Вводные'!$B$297),0,'19_Расчет_аналитики'!BM441*IF('01_Вводные'!$B$239="Да",MeanMinAge06+'19_Расчет_аналитики'!BM559*SUMIF(ThresholdAge06,"&lt;"&amp;'19_Расчет_аналитики'!BM559,WeightedRevAge06)-SUMIF(ThresholdAge06,"&lt;"&amp;'19_Расчет_аналитики'!BM559,WeightedMinAge06),MAX(CapacityAge06*'01_Вводные'!$B$218*'19_Расчет_аналитики'!BM559,MeanMinAge06)))</f>
        <v/>
      </c>
      <c r="BN469">
        <f>IF(OR('19_Расчет_аналитики'!BN441=0,6&lt;='01_Вводные'!$B$297),0,'19_Расчет_аналитики'!BN441*IF('01_Вводные'!$B$239="Да",MeanMinAge06+'19_Расчет_аналитики'!BN559*SUMIF(ThresholdAge06,"&lt;"&amp;'19_Расчет_аналитики'!BN559,WeightedRevAge06)-SUMIF(ThresholdAge06,"&lt;"&amp;'19_Расчет_аналитики'!BN559,WeightedMinAge06),MAX(CapacityAge06*'01_Вводные'!$B$218*'19_Расчет_аналитики'!BN559,MeanMinAge06)))</f>
        <v/>
      </c>
      <c r="BO469">
        <f>IF(OR('19_Расчет_аналитики'!BO441=0,6&lt;='01_Вводные'!$B$297),0,'19_Расчет_аналитики'!BO441*IF('01_Вводные'!$B$239="Да",MeanMinAge06+'19_Расчет_аналитики'!BO559*SUMIF(ThresholdAge06,"&lt;"&amp;'19_Расчет_аналитики'!BO559,WeightedRevAge06)-SUMIF(ThresholdAge06,"&lt;"&amp;'19_Расчет_аналитики'!BO559,WeightedMinAge06),MAX(CapacityAge06*'01_Вводные'!$B$218*'19_Расчет_аналитики'!BO559,MeanMinAge06)))</f>
        <v/>
      </c>
    </row>
    <row r="470">
      <c r="B470">
        <f>IF(OR('06_Сеть_и_дети'!B87=0,7&lt;='01_Вводные'!$B$297),0,'06_Сеть_и_дети'!B87*IF('01_Вводные'!$B$239="Да",MeanMinAge07+'19_Расчет_аналитики'!B559*SUMIF(ThresholdAge07,"&lt;"&amp;'19_Расчет_аналитики'!B559,WeightedRevAge07)-SUMIF(ThresholdAge07,"&lt;"&amp;'19_Расчет_аналитики'!B559,WeightedMinAge07),MAX(CapacityAge07*'01_Вводные'!$B$218*'19_Расчет_аналитики'!B559,MeanMinAge07)))</f>
        <v/>
      </c>
      <c r="C470">
        <f>IF(OR('06_Сеть_и_дети'!C87=0,7&lt;='01_Вводные'!$B$297),0,'06_Сеть_и_дети'!C87*IF('01_Вводные'!$B$239="Да",MeanMinAge07+'19_Расчет_аналитики'!C559*SUMIF(ThresholdAge07,"&lt;"&amp;'19_Расчет_аналитики'!C559,WeightedRevAge07)-SUMIF(ThresholdAge07,"&lt;"&amp;'19_Расчет_аналитики'!C559,WeightedMinAge07),MAX(CapacityAge07*'01_Вводные'!$B$218*'19_Расчет_аналитики'!C559,MeanMinAge07)))</f>
        <v/>
      </c>
      <c r="D470">
        <f>IF(OR('06_Сеть_и_дети'!D87=0,7&lt;='01_Вводные'!$B$297),0,'06_Сеть_и_дети'!D87*IF('01_Вводные'!$B$239="Да",MeanMinAge07+'19_Расчет_аналитики'!D559*SUMIF(ThresholdAge07,"&lt;"&amp;'19_Расчет_аналитики'!D559,WeightedRevAge07)-SUMIF(ThresholdAge07,"&lt;"&amp;'19_Расчет_аналитики'!D559,WeightedMinAge07),MAX(CapacityAge07*'01_Вводные'!$B$218*'19_Расчет_аналитики'!D559,MeanMinAge07)))</f>
        <v/>
      </c>
      <c r="E470">
        <f>IF(OR('06_Сеть_и_дети'!E87=0,7&lt;='01_Вводные'!$B$297),0,'06_Сеть_и_дети'!E87*IF('01_Вводные'!$B$239="Да",MeanMinAge07+'19_Расчет_аналитики'!E559*SUMIF(ThresholdAge07,"&lt;"&amp;'19_Расчет_аналитики'!E559,WeightedRevAge07)-SUMIF(ThresholdAge07,"&lt;"&amp;'19_Расчет_аналитики'!E559,WeightedMinAge07),MAX(CapacityAge07*'01_Вводные'!$B$218*'19_Расчет_аналитики'!E559,MeanMinAge07)))</f>
        <v/>
      </c>
      <c r="F470">
        <f>IF(OR('06_Сеть_и_дети'!F87=0,7&lt;='01_Вводные'!$B$297),0,'06_Сеть_и_дети'!F87*IF('01_Вводные'!$B$239="Да",MeanMinAge07+'19_Расчет_аналитики'!F559*SUMIF(ThresholdAge07,"&lt;"&amp;'19_Расчет_аналитики'!F559,WeightedRevAge07)-SUMIF(ThresholdAge07,"&lt;"&amp;'19_Расчет_аналитики'!F559,WeightedMinAge07),MAX(CapacityAge07*'01_Вводные'!$B$218*'19_Расчет_аналитики'!F559,MeanMinAge07)))</f>
        <v/>
      </c>
      <c r="G470">
        <f>IF(OR('06_Сеть_и_дети'!G87=0,7&lt;='01_Вводные'!$B$297),0,'06_Сеть_и_дети'!G87*IF('01_Вводные'!$B$239="Да",MeanMinAge07+'19_Расчет_аналитики'!G559*SUMIF(ThresholdAge07,"&lt;"&amp;'19_Расчет_аналитики'!G559,WeightedRevAge07)-SUMIF(ThresholdAge07,"&lt;"&amp;'19_Расчет_аналитики'!G559,WeightedMinAge07),MAX(CapacityAge07*'01_Вводные'!$B$218*'19_Расчет_аналитики'!G559,MeanMinAge07)))</f>
        <v/>
      </c>
      <c r="H470">
        <f>IF(OR('19_Расчет_аналитики'!H442=0,7&lt;='01_Вводные'!$B$297),0,'19_Расчет_аналитики'!H442*IF('01_Вводные'!$B$239="Да",MeanMinAge07+'19_Расчет_аналитики'!H559*SUMIF(ThresholdAge07,"&lt;"&amp;'19_Расчет_аналитики'!H559,WeightedRevAge07)-SUMIF(ThresholdAge07,"&lt;"&amp;'19_Расчет_аналитики'!H559,WeightedMinAge07),MAX(CapacityAge07*'01_Вводные'!$B$218*'19_Расчет_аналитики'!H559,MeanMinAge07)))</f>
        <v/>
      </c>
      <c r="I470">
        <f>IF(OR('19_Расчет_аналитики'!I442=0,7&lt;='01_Вводные'!$B$297),0,'19_Расчет_аналитики'!I442*IF('01_Вводные'!$B$239="Да",MeanMinAge07+'19_Расчет_аналитики'!I559*SUMIF(ThresholdAge07,"&lt;"&amp;'19_Расчет_аналитики'!I559,WeightedRevAge07)-SUMIF(ThresholdAge07,"&lt;"&amp;'19_Расчет_аналитики'!I559,WeightedMinAge07),MAX(CapacityAge07*'01_Вводные'!$B$218*'19_Расчет_аналитики'!I559,MeanMinAge07)))</f>
        <v/>
      </c>
      <c r="J470">
        <f>IF(OR('19_Расчет_аналитики'!J442=0,7&lt;='01_Вводные'!$B$297),0,'19_Расчет_аналитики'!J442*IF('01_Вводные'!$B$239="Да",MeanMinAge07+'19_Расчет_аналитики'!J559*SUMIF(ThresholdAge07,"&lt;"&amp;'19_Расчет_аналитики'!J559,WeightedRevAge07)-SUMIF(ThresholdAge07,"&lt;"&amp;'19_Расчет_аналитики'!J559,WeightedMinAge07),MAX(CapacityAge07*'01_Вводные'!$B$218*'19_Расчет_аналитики'!J559,MeanMinAge07)))</f>
        <v/>
      </c>
      <c r="K470">
        <f>IF(OR('19_Расчет_аналитики'!K442=0,7&lt;='01_Вводные'!$B$297),0,'19_Расчет_аналитики'!K442*IF('01_Вводные'!$B$239="Да",MeanMinAge07+'19_Расчет_аналитики'!K559*SUMIF(ThresholdAge07,"&lt;"&amp;'19_Расчет_аналитики'!K559,WeightedRevAge07)-SUMIF(ThresholdAge07,"&lt;"&amp;'19_Расчет_аналитики'!K559,WeightedMinAge07),MAX(CapacityAge07*'01_Вводные'!$B$218*'19_Расчет_аналитики'!K559,MeanMinAge07)))</f>
        <v/>
      </c>
      <c r="L470">
        <f>IF(OR('19_Расчет_аналитики'!L442=0,7&lt;='01_Вводные'!$B$297),0,'19_Расчет_аналитики'!L442*IF('01_Вводные'!$B$239="Да",MeanMinAge07+'19_Расчет_аналитики'!L559*SUMIF(ThresholdAge07,"&lt;"&amp;'19_Расчет_аналитики'!L559,WeightedRevAge07)-SUMIF(ThresholdAge07,"&lt;"&amp;'19_Расчет_аналитики'!L559,WeightedMinAge07),MAX(CapacityAge07*'01_Вводные'!$B$218*'19_Расчет_аналитики'!L559,MeanMinAge07)))</f>
        <v/>
      </c>
      <c r="M470">
        <f>IF(OR('19_Расчет_аналитики'!M442=0,7&lt;='01_Вводные'!$B$297),0,'19_Расчет_аналитики'!M442*IF('01_Вводные'!$B$239="Да",MeanMinAge07+'19_Расчет_аналитики'!M559*SUMIF(ThresholdAge07,"&lt;"&amp;'19_Расчет_аналитики'!M559,WeightedRevAge07)-SUMIF(ThresholdAge07,"&lt;"&amp;'19_Расчет_аналитики'!M559,WeightedMinAge07),MAX(CapacityAge07*'01_Вводные'!$B$218*'19_Расчет_аналитики'!M559,MeanMinAge07)))</f>
        <v/>
      </c>
      <c r="N470">
        <f>IF(OR('19_Расчет_аналитики'!N442=0,7&lt;='01_Вводные'!$B$297),0,'19_Расчет_аналитики'!N442*IF('01_Вводные'!$B$239="Да",MeanMinAge07+'19_Расчет_аналитики'!N559*SUMIF(ThresholdAge07,"&lt;"&amp;'19_Расчет_аналитики'!N559,WeightedRevAge07)-SUMIF(ThresholdAge07,"&lt;"&amp;'19_Расчет_аналитики'!N559,WeightedMinAge07),MAX(CapacityAge07*'01_Вводные'!$B$218*'19_Расчет_аналитики'!N559,MeanMinAge07)))</f>
        <v/>
      </c>
      <c r="O470">
        <f>IF(OR('19_Расчет_аналитики'!O442=0,7&lt;='01_Вводные'!$B$297),0,'19_Расчет_аналитики'!O442*IF('01_Вводные'!$B$239="Да",MeanMinAge07+'19_Расчет_аналитики'!O559*SUMIF(ThresholdAge07,"&lt;"&amp;'19_Расчет_аналитики'!O559,WeightedRevAge07)-SUMIF(ThresholdAge07,"&lt;"&amp;'19_Расчет_аналитики'!O559,WeightedMinAge07),MAX(CapacityAge07*'01_Вводные'!$B$218*'19_Расчет_аналитики'!O559,MeanMinAge07)))</f>
        <v/>
      </c>
      <c r="P470">
        <f>IF(OR('19_Расчет_аналитики'!P442=0,7&lt;='01_Вводные'!$B$297),0,'19_Расчет_аналитики'!P442*IF('01_Вводные'!$B$239="Да",MeanMinAge07+'19_Расчет_аналитики'!P559*SUMIF(ThresholdAge07,"&lt;"&amp;'19_Расчет_аналитики'!P559,WeightedRevAge07)-SUMIF(ThresholdAge07,"&lt;"&amp;'19_Расчет_аналитики'!P559,WeightedMinAge07),MAX(CapacityAge07*'01_Вводные'!$B$218*'19_Расчет_аналитики'!P559,MeanMinAge07)))</f>
        <v/>
      </c>
      <c r="Q470">
        <f>IF(OR('19_Расчет_аналитики'!Q442=0,7&lt;='01_Вводные'!$B$297),0,'19_Расчет_аналитики'!Q442*IF('01_Вводные'!$B$239="Да",MeanMinAge07+'19_Расчет_аналитики'!Q559*SUMIF(ThresholdAge07,"&lt;"&amp;'19_Расчет_аналитики'!Q559,WeightedRevAge07)-SUMIF(ThresholdAge07,"&lt;"&amp;'19_Расчет_аналитики'!Q559,WeightedMinAge07),MAX(CapacityAge07*'01_Вводные'!$B$218*'19_Расчет_аналитики'!Q559,MeanMinAge07)))</f>
        <v/>
      </c>
      <c r="R470">
        <f>IF(OR('19_Расчет_аналитики'!R442=0,7&lt;='01_Вводные'!$B$297),0,'19_Расчет_аналитики'!R442*IF('01_Вводные'!$B$239="Да",MeanMinAge07+'19_Расчет_аналитики'!R559*SUMIF(ThresholdAge07,"&lt;"&amp;'19_Расчет_аналитики'!R559,WeightedRevAge07)-SUMIF(ThresholdAge07,"&lt;"&amp;'19_Расчет_аналитики'!R559,WeightedMinAge07),MAX(CapacityAge07*'01_Вводные'!$B$218*'19_Расчет_аналитики'!R559,MeanMinAge07)))</f>
        <v/>
      </c>
      <c r="S470">
        <f>IF(OR('19_Расчет_аналитики'!S442=0,7&lt;='01_Вводные'!$B$297),0,'19_Расчет_аналитики'!S442*IF('01_Вводные'!$B$239="Да",MeanMinAge07+'19_Расчет_аналитики'!S559*SUMIF(ThresholdAge07,"&lt;"&amp;'19_Расчет_аналитики'!S559,WeightedRevAge07)-SUMIF(ThresholdAge07,"&lt;"&amp;'19_Расчет_аналитики'!S559,WeightedMinAge07),MAX(CapacityAge07*'01_Вводные'!$B$218*'19_Расчет_аналитики'!S559,MeanMinAge07)))</f>
        <v/>
      </c>
      <c r="T470">
        <f>IF(OR('19_Расчет_аналитики'!T442=0,7&lt;='01_Вводные'!$B$297),0,'19_Расчет_аналитики'!T442*IF('01_Вводные'!$B$239="Да",MeanMinAge07+'19_Расчет_аналитики'!T559*SUMIF(ThresholdAge07,"&lt;"&amp;'19_Расчет_аналитики'!T559,WeightedRevAge07)-SUMIF(ThresholdAge07,"&lt;"&amp;'19_Расчет_аналитики'!T559,WeightedMinAge07),MAX(CapacityAge07*'01_Вводные'!$B$218*'19_Расчет_аналитики'!T559,MeanMinAge07)))</f>
        <v/>
      </c>
      <c r="U470">
        <f>IF(OR('19_Расчет_аналитики'!U442=0,7&lt;='01_Вводные'!$B$297),0,'19_Расчет_аналитики'!U442*IF('01_Вводные'!$B$239="Да",MeanMinAge07+'19_Расчет_аналитики'!U559*SUMIF(ThresholdAge07,"&lt;"&amp;'19_Расчет_аналитики'!U559,WeightedRevAge07)-SUMIF(ThresholdAge07,"&lt;"&amp;'19_Расчет_аналитики'!U559,WeightedMinAge07),MAX(CapacityAge07*'01_Вводные'!$B$218*'19_Расчет_аналитики'!U559,MeanMinAge07)))</f>
        <v/>
      </c>
      <c r="V470">
        <f>IF(OR('19_Расчет_аналитики'!V442=0,7&lt;='01_Вводные'!$B$297),0,'19_Расчет_аналитики'!V442*IF('01_Вводные'!$B$239="Да",MeanMinAge07+'19_Расчет_аналитики'!V559*SUMIF(ThresholdAge07,"&lt;"&amp;'19_Расчет_аналитики'!V559,WeightedRevAge07)-SUMIF(ThresholdAge07,"&lt;"&amp;'19_Расчет_аналитики'!V559,WeightedMinAge07),MAX(CapacityAge07*'01_Вводные'!$B$218*'19_Расчет_аналитики'!V559,MeanMinAge07)))</f>
        <v/>
      </c>
      <c r="W470">
        <f>IF(OR('19_Расчет_аналитики'!W442=0,7&lt;='01_Вводные'!$B$297),0,'19_Расчет_аналитики'!W442*IF('01_Вводные'!$B$239="Да",MeanMinAge07+'19_Расчет_аналитики'!W559*SUMIF(ThresholdAge07,"&lt;"&amp;'19_Расчет_аналитики'!W559,WeightedRevAge07)-SUMIF(ThresholdAge07,"&lt;"&amp;'19_Расчет_аналитики'!W559,WeightedMinAge07),MAX(CapacityAge07*'01_Вводные'!$B$218*'19_Расчет_аналитики'!W559,MeanMinAge07)))</f>
        <v/>
      </c>
      <c r="X470">
        <f>IF(OR('19_Расчет_аналитики'!X442=0,7&lt;='01_Вводные'!$B$297),0,'19_Расчет_аналитики'!X442*IF('01_Вводные'!$B$239="Да",MeanMinAge07+'19_Расчет_аналитики'!X559*SUMIF(ThresholdAge07,"&lt;"&amp;'19_Расчет_аналитики'!X559,WeightedRevAge07)-SUMIF(ThresholdAge07,"&lt;"&amp;'19_Расчет_аналитики'!X559,WeightedMinAge07),MAX(CapacityAge07*'01_Вводные'!$B$218*'19_Расчет_аналитики'!X559,MeanMinAge07)))</f>
        <v/>
      </c>
      <c r="Y470">
        <f>IF(OR('19_Расчет_аналитики'!Y442=0,7&lt;='01_Вводные'!$B$297),0,'19_Расчет_аналитики'!Y442*IF('01_Вводные'!$B$239="Да",MeanMinAge07+'19_Расчет_аналитики'!Y559*SUMIF(ThresholdAge07,"&lt;"&amp;'19_Расчет_аналитики'!Y559,WeightedRevAge07)-SUMIF(ThresholdAge07,"&lt;"&amp;'19_Расчет_аналитики'!Y559,WeightedMinAge07),MAX(CapacityAge07*'01_Вводные'!$B$218*'19_Расчет_аналитики'!Y559,MeanMinAge07)))</f>
        <v/>
      </c>
      <c r="Z470">
        <f>IF(OR('19_Расчет_аналитики'!Z442=0,7&lt;='01_Вводные'!$B$297),0,'19_Расчет_аналитики'!Z442*IF('01_Вводные'!$B$239="Да",MeanMinAge07+'19_Расчет_аналитики'!Z559*SUMIF(ThresholdAge07,"&lt;"&amp;'19_Расчет_аналитики'!Z559,WeightedRevAge07)-SUMIF(ThresholdAge07,"&lt;"&amp;'19_Расчет_аналитики'!Z559,WeightedMinAge07),MAX(CapacityAge07*'01_Вводные'!$B$218*'19_Расчет_аналитики'!Z559,MeanMinAge07)))</f>
        <v/>
      </c>
      <c r="AA470">
        <f>IF(OR('19_Расчет_аналитики'!AA442=0,7&lt;='01_Вводные'!$B$297),0,'19_Расчет_аналитики'!AA442*IF('01_Вводные'!$B$239="Да",MeanMinAge07+'19_Расчет_аналитики'!AA559*SUMIF(ThresholdAge07,"&lt;"&amp;'19_Расчет_аналитики'!AA559,WeightedRevAge07)-SUMIF(ThresholdAge07,"&lt;"&amp;'19_Расчет_аналитики'!AA559,WeightedMinAge07),MAX(CapacityAge07*'01_Вводные'!$B$218*'19_Расчет_аналитики'!AA559,MeanMinAge07)))</f>
        <v/>
      </c>
      <c r="AB470">
        <f>IF(OR('19_Расчет_аналитики'!AB442=0,7&lt;='01_Вводные'!$B$297),0,'19_Расчет_аналитики'!AB442*IF('01_Вводные'!$B$239="Да",MeanMinAge07+'19_Расчет_аналитики'!AB559*SUMIF(ThresholdAge07,"&lt;"&amp;'19_Расчет_аналитики'!AB559,WeightedRevAge07)-SUMIF(ThresholdAge07,"&lt;"&amp;'19_Расчет_аналитики'!AB559,WeightedMinAge07),MAX(CapacityAge07*'01_Вводные'!$B$218*'19_Расчет_аналитики'!AB559,MeanMinAge07)))</f>
        <v/>
      </c>
      <c r="AC470">
        <f>IF(OR('19_Расчет_аналитики'!AC442=0,7&lt;='01_Вводные'!$B$297),0,'19_Расчет_аналитики'!AC442*IF('01_Вводные'!$B$239="Да",MeanMinAge07+'19_Расчет_аналитики'!AC559*SUMIF(ThresholdAge07,"&lt;"&amp;'19_Расчет_аналитики'!AC559,WeightedRevAge07)-SUMIF(ThresholdAge07,"&lt;"&amp;'19_Расчет_аналитики'!AC559,WeightedMinAge07),MAX(CapacityAge07*'01_Вводные'!$B$218*'19_Расчет_аналитики'!AC559,MeanMinAge07)))</f>
        <v/>
      </c>
      <c r="AD470">
        <f>IF(OR('19_Расчет_аналитики'!AD442=0,7&lt;='01_Вводные'!$B$297),0,'19_Расчет_аналитики'!AD442*IF('01_Вводные'!$B$239="Да",MeanMinAge07+'19_Расчет_аналитики'!AD559*SUMIF(ThresholdAge07,"&lt;"&amp;'19_Расчет_аналитики'!AD559,WeightedRevAge07)-SUMIF(ThresholdAge07,"&lt;"&amp;'19_Расчет_аналитики'!AD559,WeightedMinAge07),MAX(CapacityAge07*'01_Вводные'!$B$218*'19_Расчет_аналитики'!AD559,MeanMinAge07)))</f>
        <v/>
      </c>
      <c r="AE470">
        <f>IF(OR('19_Расчет_аналитики'!AE442=0,7&lt;='01_Вводные'!$B$297),0,'19_Расчет_аналитики'!AE442*IF('01_Вводные'!$B$239="Да",MeanMinAge07+'19_Расчет_аналитики'!AE559*SUMIF(ThresholdAge07,"&lt;"&amp;'19_Расчет_аналитики'!AE559,WeightedRevAge07)-SUMIF(ThresholdAge07,"&lt;"&amp;'19_Расчет_аналитики'!AE559,WeightedMinAge07),MAX(CapacityAge07*'01_Вводные'!$B$218*'19_Расчет_аналитики'!AE559,MeanMinAge07)))</f>
        <v/>
      </c>
      <c r="AF470">
        <f>IF(OR('19_Расчет_аналитики'!AF442=0,7&lt;='01_Вводные'!$B$297),0,'19_Расчет_аналитики'!AF442*IF('01_Вводные'!$B$239="Да",MeanMinAge07+'19_Расчет_аналитики'!AF559*SUMIF(ThresholdAge07,"&lt;"&amp;'19_Расчет_аналитики'!AF559,WeightedRevAge07)-SUMIF(ThresholdAge07,"&lt;"&amp;'19_Расчет_аналитики'!AF559,WeightedMinAge07),MAX(CapacityAge07*'01_Вводные'!$B$218*'19_Расчет_аналитики'!AF559,MeanMinAge07)))</f>
        <v/>
      </c>
      <c r="AG470">
        <f>IF(OR('19_Расчет_аналитики'!AG442=0,7&lt;='01_Вводные'!$B$297),0,'19_Расчет_аналитики'!AG442*IF('01_Вводные'!$B$239="Да",MeanMinAge07+'19_Расчет_аналитики'!AG559*SUMIF(ThresholdAge07,"&lt;"&amp;'19_Расчет_аналитики'!AG559,WeightedRevAge07)-SUMIF(ThresholdAge07,"&lt;"&amp;'19_Расчет_аналитики'!AG559,WeightedMinAge07),MAX(CapacityAge07*'01_Вводные'!$B$218*'19_Расчет_аналитики'!AG559,MeanMinAge07)))</f>
        <v/>
      </c>
      <c r="AH470">
        <f>IF(OR('19_Расчет_аналитики'!AH442=0,7&lt;='01_Вводные'!$B$297),0,'19_Расчет_аналитики'!AH442*IF('01_Вводные'!$B$239="Да",MeanMinAge07+'19_Расчет_аналитики'!AH559*SUMIF(ThresholdAge07,"&lt;"&amp;'19_Расчет_аналитики'!AH559,WeightedRevAge07)-SUMIF(ThresholdAge07,"&lt;"&amp;'19_Расчет_аналитики'!AH559,WeightedMinAge07),MAX(CapacityAge07*'01_Вводные'!$B$218*'19_Расчет_аналитики'!AH559,MeanMinAge07)))</f>
        <v/>
      </c>
      <c r="AI470">
        <f>IF(OR('19_Расчет_аналитики'!AI442=0,7&lt;='01_Вводные'!$B$297),0,'19_Расчет_аналитики'!AI442*IF('01_Вводные'!$B$239="Да",MeanMinAge07+'19_Расчет_аналитики'!AI559*SUMIF(ThresholdAge07,"&lt;"&amp;'19_Расчет_аналитики'!AI559,WeightedRevAge07)-SUMIF(ThresholdAge07,"&lt;"&amp;'19_Расчет_аналитики'!AI559,WeightedMinAge07),MAX(CapacityAge07*'01_Вводные'!$B$218*'19_Расчет_аналитики'!AI559,MeanMinAge07)))</f>
        <v/>
      </c>
      <c r="AJ470">
        <f>IF(OR('19_Расчет_аналитики'!AJ442=0,7&lt;='01_Вводные'!$B$297),0,'19_Расчет_аналитики'!AJ442*IF('01_Вводные'!$B$239="Да",MeanMinAge07+'19_Расчет_аналитики'!AJ559*SUMIF(ThresholdAge07,"&lt;"&amp;'19_Расчет_аналитики'!AJ559,WeightedRevAge07)-SUMIF(ThresholdAge07,"&lt;"&amp;'19_Расчет_аналитики'!AJ559,WeightedMinAge07),MAX(CapacityAge07*'01_Вводные'!$B$218*'19_Расчет_аналитики'!AJ559,MeanMinAge07)))</f>
        <v/>
      </c>
      <c r="AK470">
        <f>IF(OR('19_Расчет_аналитики'!AK442=0,7&lt;='01_Вводные'!$B$297),0,'19_Расчет_аналитики'!AK442*IF('01_Вводные'!$B$239="Да",MeanMinAge07+'19_Расчет_аналитики'!AK559*SUMIF(ThresholdAge07,"&lt;"&amp;'19_Расчет_аналитики'!AK559,WeightedRevAge07)-SUMIF(ThresholdAge07,"&lt;"&amp;'19_Расчет_аналитики'!AK559,WeightedMinAge07),MAX(CapacityAge07*'01_Вводные'!$B$218*'19_Расчет_аналитики'!AK559,MeanMinAge07)))</f>
        <v/>
      </c>
      <c r="AL470">
        <f>IF(OR('19_Расчет_аналитики'!AL442=0,7&lt;='01_Вводные'!$B$297),0,'19_Расчет_аналитики'!AL442*IF('01_Вводные'!$B$239="Да",MeanMinAge07+'19_Расчет_аналитики'!AL559*SUMIF(ThresholdAge07,"&lt;"&amp;'19_Расчет_аналитики'!AL559,WeightedRevAge07)-SUMIF(ThresholdAge07,"&lt;"&amp;'19_Расчет_аналитики'!AL559,WeightedMinAge07),MAX(CapacityAge07*'01_Вводные'!$B$218*'19_Расчет_аналитики'!AL559,MeanMinAge07)))</f>
        <v/>
      </c>
      <c r="AM470">
        <f>IF(OR('19_Расчет_аналитики'!AM442=0,7&lt;='01_Вводные'!$B$297),0,'19_Расчет_аналитики'!AM442*IF('01_Вводные'!$B$239="Да",MeanMinAge07+'19_Расчет_аналитики'!AM559*SUMIF(ThresholdAge07,"&lt;"&amp;'19_Расчет_аналитики'!AM559,WeightedRevAge07)-SUMIF(ThresholdAge07,"&lt;"&amp;'19_Расчет_аналитики'!AM559,WeightedMinAge07),MAX(CapacityAge07*'01_Вводные'!$B$218*'19_Расчет_аналитики'!AM559,MeanMinAge07)))</f>
        <v/>
      </c>
      <c r="AN470">
        <f>IF(OR('19_Расчет_аналитики'!AN442=0,7&lt;='01_Вводные'!$B$297),0,'19_Расчет_аналитики'!AN442*IF('01_Вводные'!$B$239="Да",MeanMinAge07+'19_Расчет_аналитики'!AN559*SUMIF(ThresholdAge07,"&lt;"&amp;'19_Расчет_аналитики'!AN559,WeightedRevAge07)-SUMIF(ThresholdAge07,"&lt;"&amp;'19_Расчет_аналитики'!AN559,WeightedMinAge07),MAX(CapacityAge07*'01_Вводные'!$B$218*'19_Расчет_аналитики'!AN559,MeanMinAge07)))</f>
        <v/>
      </c>
      <c r="AO470">
        <f>IF(OR('19_Расчет_аналитики'!AO442=0,7&lt;='01_Вводные'!$B$297),0,'19_Расчет_аналитики'!AO442*IF('01_Вводные'!$B$239="Да",MeanMinAge07+'19_Расчет_аналитики'!AO559*SUMIF(ThresholdAge07,"&lt;"&amp;'19_Расчет_аналитики'!AO559,WeightedRevAge07)-SUMIF(ThresholdAge07,"&lt;"&amp;'19_Расчет_аналитики'!AO559,WeightedMinAge07),MAX(CapacityAge07*'01_Вводные'!$B$218*'19_Расчет_аналитики'!AO559,MeanMinAge07)))</f>
        <v/>
      </c>
      <c r="AP470">
        <f>IF(OR('19_Расчет_аналитики'!AP442=0,7&lt;='01_Вводные'!$B$297),0,'19_Расчет_аналитики'!AP442*IF('01_Вводные'!$B$239="Да",MeanMinAge07+'19_Расчет_аналитики'!AP559*SUMIF(ThresholdAge07,"&lt;"&amp;'19_Расчет_аналитики'!AP559,WeightedRevAge07)-SUMIF(ThresholdAge07,"&lt;"&amp;'19_Расчет_аналитики'!AP559,WeightedMinAge07),MAX(CapacityAge07*'01_Вводные'!$B$218*'19_Расчет_аналитики'!AP559,MeanMinAge07)))</f>
        <v/>
      </c>
      <c r="AQ470">
        <f>IF(OR('19_Расчет_аналитики'!AQ442=0,7&lt;='01_Вводные'!$B$297),0,'19_Расчет_аналитики'!AQ442*IF('01_Вводные'!$B$239="Да",MeanMinAge07+'19_Расчет_аналитики'!AQ559*SUMIF(ThresholdAge07,"&lt;"&amp;'19_Расчет_аналитики'!AQ559,WeightedRevAge07)-SUMIF(ThresholdAge07,"&lt;"&amp;'19_Расчет_аналитики'!AQ559,WeightedMinAge07),MAX(CapacityAge07*'01_Вводные'!$B$218*'19_Расчет_аналитики'!AQ559,MeanMinAge07)))</f>
        <v/>
      </c>
      <c r="AR470">
        <f>IF(OR('19_Расчет_аналитики'!AR442=0,7&lt;='01_Вводные'!$B$297),0,'19_Расчет_аналитики'!AR442*IF('01_Вводные'!$B$239="Да",MeanMinAge07+'19_Расчет_аналитики'!AR559*SUMIF(ThresholdAge07,"&lt;"&amp;'19_Расчет_аналитики'!AR559,WeightedRevAge07)-SUMIF(ThresholdAge07,"&lt;"&amp;'19_Расчет_аналитики'!AR559,WeightedMinAge07),MAX(CapacityAge07*'01_Вводные'!$B$218*'19_Расчет_аналитики'!AR559,MeanMinAge07)))</f>
        <v/>
      </c>
      <c r="AS470">
        <f>IF(OR('19_Расчет_аналитики'!AS442=0,7&lt;='01_Вводные'!$B$297),0,'19_Расчет_аналитики'!AS442*IF('01_Вводные'!$B$239="Да",MeanMinAge07+'19_Расчет_аналитики'!AS559*SUMIF(ThresholdAge07,"&lt;"&amp;'19_Расчет_аналитики'!AS559,WeightedRevAge07)-SUMIF(ThresholdAge07,"&lt;"&amp;'19_Расчет_аналитики'!AS559,WeightedMinAge07),MAX(CapacityAge07*'01_Вводные'!$B$218*'19_Расчет_аналитики'!AS559,MeanMinAge07)))</f>
        <v/>
      </c>
      <c r="AT470">
        <f>IF(OR('19_Расчет_аналитики'!AT442=0,7&lt;='01_Вводные'!$B$297),0,'19_Расчет_аналитики'!AT442*IF('01_Вводные'!$B$239="Да",MeanMinAge07+'19_Расчет_аналитики'!AT559*SUMIF(ThresholdAge07,"&lt;"&amp;'19_Расчет_аналитики'!AT559,WeightedRevAge07)-SUMIF(ThresholdAge07,"&lt;"&amp;'19_Расчет_аналитики'!AT559,WeightedMinAge07),MAX(CapacityAge07*'01_Вводные'!$B$218*'19_Расчет_аналитики'!AT559,MeanMinAge07)))</f>
        <v/>
      </c>
      <c r="AU470">
        <f>IF(OR('19_Расчет_аналитики'!AU442=0,7&lt;='01_Вводные'!$B$297),0,'19_Расчет_аналитики'!AU442*IF('01_Вводные'!$B$239="Да",MeanMinAge07+'19_Расчет_аналитики'!AU559*SUMIF(ThresholdAge07,"&lt;"&amp;'19_Расчет_аналитики'!AU559,WeightedRevAge07)-SUMIF(ThresholdAge07,"&lt;"&amp;'19_Расчет_аналитики'!AU559,WeightedMinAge07),MAX(CapacityAge07*'01_Вводные'!$B$218*'19_Расчет_аналитики'!AU559,MeanMinAge07)))</f>
        <v/>
      </c>
      <c r="AV470">
        <f>IF(OR('19_Расчет_аналитики'!AV442=0,7&lt;='01_Вводные'!$B$297),0,'19_Расчет_аналитики'!AV442*IF('01_Вводные'!$B$239="Да",MeanMinAge07+'19_Расчет_аналитики'!AV559*SUMIF(ThresholdAge07,"&lt;"&amp;'19_Расчет_аналитики'!AV559,WeightedRevAge07)-SUMIF(ThresholdAge07,"&lt;"&amp;'19_Расчет_аналитики'!AV559,WeightedMinAge07),MAX(CapacityAge07*'01_Вводные'!$B$218*'19_Расчет_аналитики'!AV559,MeanMinAge07)))</f>
        <v/>
      </c>
      <c r="AW470">
        <f>IF(OR('19_Расчет_аналитики'!AW442=0,7&lt;='01_Вводные'!$B$297),0,'19_Расчет_аналитики'!AW442*IF('01_Вводные'!$B$239="Да",MeanMinAge07+'19_Расчет_аналитики'!AW559*SUMIF(ThresholdAge07,"&lt;"&amp;'19_Расчет_аналитики'!AW559,WeightedRevAge07)-SUMIF(ThresholdAge07,"&lt;"&amp;'19_Расчет_аналитики'!AW559,WeightedMinAge07),MAX(CapacityAge07*'01_Вводные'!$B$218*'19_Расчет_аналитики'!AW559,MeanMinAge07)))</f>
        <v/>
      </c>
      <c r="AX470">
        <f>IF(OR('19_Расчет_аналитики'!AX442=0,7&lt;='01_Вводные'!$B$297),0,'19_Расчет_аналитики'!AX442*IF('01_Вводные'!$B$239="Да",MeanMinAge07+'19_Расчет_аналитики'!AX559*SUMIF(ThresholdAge07,"&lt;"&amp;'19_Расчет_аналитики'!AX559,WeightedRevAge07)-SUMIF(ThresholdAge07,"&lt;"&amp;'19_Расчет_аналитики'!AX559,WeightedMinAge07),MAX(CapacityAge07*'01_Вводные'!$B$218*'19_Расчет_аналитики'!AX559,MeanMinAge07)))</f>
        <v/>
      </c>
      <c r="AY470">
        <f>IF(OR('19_Расчет_аналитики'!AY442=0,7&lt;='01_Вводные'!$B$297),0,'19_Расчет_аналитики'!AY442*IF('01_Вводные'!$B$239="Да",MeanMinAge07+'19_Расчет_аналитики'!AY559*SUMIF(ThresholdAge07,"&lt;"&amp;'19_Расчет_аналитики'!AY559,WeightedRevAge07)-SUMIF(ThresholdAge07,"&lt;"&amp;'19_Расчет_аналитики'!AY559,WeightedMinAge07),MAX(CapacityAge07*'01_Вводные'!$B$218*'19_Расчет_аналитики'!AY559,MeanMinAge07)))</f>
        <v/>
      </c>
      <c r="AZ470">
        <f>IF(OR('19_Расчет_аналитики'!AZ442=0,7&lt;='01_Вводные'!$B$297),0,'19_Расчет_аналитики'!AZ442*IF('01_Вводные'!$B$239="Да",MeanMinAge07+'19_Расчет_аналитики'!AZ559*SUMIF(ThresholdAge07,"&lt;"&amp;'19_Расчет_аналитики'!AZ559,WeightedRevAge07)-SUMIF(ThresholdAge07,"&lt;"&amp;'19_Расчет_аналитики'!AZ559,WeightedMinAge07),MAX(CapacityAge07*'01_Вводные'!$B$218*'19_Расчет_аналитики'!AZ559,MeanMinAge07)))</f>
        <v/>
      </c>
      <c r="BA470">
        <f>IF(OR('19_Расчет_аналитики'!BA442=0,7&lt;='01_Вводные'!$B$297),0,'19_Расчет_аналитики'!BA442*IF('01_Вводные'!$B$239="Да",MeanMinAge07+'19_Расчет_аналитики'!BA559*SUMIF(ThresholdAge07,"&lt;"&amp;'19_Расчет_аналитики'!BA559,WeightedRevAge07)-SUMIF(ThresholdAge07,"&lt;"&amp;'19_Расчет_аналитики'!BA559,WeightedMinAge07),MAX(CapacityAge07*'01_Вводные'!$B$218*'19_Расчет_аналитики'!BA559,MeanMinAge07)))</f>
        <v/>
      </c>
      <c r="BB470">
        <f>IF(OR('19_Расчет_аналитики'!BB442=0,7&lt;='01_Вводные'!$B$297),0,'19_Расчет_аналитики'!BB442*IF('01_Вводные'!$B$239="Да",MeanMinAge07+'19_Расчет_аналитики'!BB559*SUMIF(ThresholdAge07,"&lt;"&amp;'19_Расчет_аналитики'!BB559,WeightedRevAge07)-SUMIF(ThresholdAge07,"&lt;"&amp;'19_Расчет_аналитики'!BB559,WeightedMinAge07),MAX(CapacityAge07*'01_Вводные'!$B$218*'19_Расчет_аналитики'!BB559,MeanMinAge07)))</f>
        <v/>
      </c>
      <c r="BC470">
        <f>IF(OR('19_Расчет_аналитики'!BC442=0,7&lt;='01_Вводные'!$B$297),0,'19_Расчет_аналитики'!BC442*IF('01_Вводные'!$B$239="Да",MeanMinAge07+'19_Расчет_аналитики'!BC559*SUMIF(ThresholdAge07,"&lt;"&amp;'19_Расчет_аналитики'!BC559,WeightedRevAge07)-SUMIF(ThresholdAge07,"&lt;"&amp;'19_Расчет_аналитики'!BC559,WeightedMinAge07),MAX(CapacityAge07*'01_Вводные'!$B$218*'19_Расчет_аналитики'!BC559,MeanMinAge07)))</f>
        <v/>
      </c>
      <c r="BD470">
        <f>IF(OR('19_Расчет_аналитики'!BD442=0,7&lt;='01_Вводные'!$B$297),0,'19_Расчет_аналитики'!BD442*IF('01_Вводные'!$B$239="Да",MeanMinAge07+'19_Расчет_аналитики'!BD559*SUMIF(ThresholdAge07,"&lt;"&amp;'19_Расчет_аналитики'!BD559,WeightedRevAge07)-SUMIF(ThresholdAge07,"&lt;"&amp;'19_Расчет_аналитики'!BD559,WeightedMinAge07),MAX(CapacityAge07*'01_Вводные'!$B$218*'19_Расчет_аналитики'!BD559,MeanMinAge07)))</f>
        <v/>
      </c>
      <c r="BE470">
        <f>IF(OR('19_Расчет_аналитики'!BE442=0,7&lt;='01_Вводные'!$B$297),0,'19_Расчет_аналитики'!BE442*IF('01_Вводные'!$B$239="Да",MeanMinAge07+'19_Расчет_аналитики'!BE559*SUMIF(ThresholdAge07,"&lt;"&amp;'19_Расчет_аналитики'!BE559,WeightedRevAge07)-SUMIF(ThresholdAge07,"&lt;"&amp;'19_Расчет_аналитики'!BE559,WeightedMinAge07),MAX(CapacityAge07*'01_Вводные'!$B$218*'19_Расчет_аналитики'!BE559,MeanMinAge07)))</f>
        <v/>
      </c>
      <c r="BF470">
        <f>IF(OR('19_Расчет_аналитики'!BF442=0,7&lt;='01_Вводные'!$B$297),0,'19_Расчет_аналитики'!BF442*IF('01_Вводные'!$B$239="Да",MeanMinAge07+'19_Расчет_аналитики'!BF559*SUMIF(ThresholdAge07,"&lt;"&amp;'19_Расчет_аналитики'!BF559,WeightedRevAge07)-SUMIF(ThresholdAge07,"&lt;"&amp;'19_Расчет_аналитики'!BF559,WeightedMinAge07),MAX(CapacityAge07*'01_Вводные'!$B$218*'19_Расчет_аналитики'!BF559,MeanMinAge07)))</f>
        <v/>
      </c>
      <c r="BG470">
        <f>IF(OR('19_Расчет_аналитики'!BG442=0,7&lt;='01_Вводные'!$B$297),0,'19_Расчет_аналитики'!BG442*IF('01_Вводные'!$B$239="Да",MeanMinAge07+'19_Расчет_аналитики'!BG559*SUMIF(ThresholdAge07,"&lt;"&amp;'19_Расчет_аналитики'!BG559,WeightedRevAge07)-SUMIF(ThresholdAge07,"&lt;"&amp;'19_Расчет_аналитики'!BG559,WeightedMinAge07),MAX(CapacityAge07*'01_Вводные'!$B$218*'19_Расчет_аналитики'!BG559,MeanMinAge07)))</f>
        <v/>
      </c>
      <c r="BH470">
        <f>IF(OR('19_Расчет_аналитики'!BH442=0,7&lt;='01_Вводные'!$B$297),0,'19_Расчет_аналитики'!BH442*IF('01_Вводные'!$B$239="Да",MeanMinAge07+'19_Расчет_аналитики'!BH559*SUMIF(ThresholdAge07,"&lt;"&amp;'19_Расчет_аналитики'!BH559,WeightedRevAge07)-SUMIF(ThresholdAge07,"&lt;"&amp;'19_Расчет_аналитики'!BH559,WeightedMinAge07),MAX(CapacityAge07*'01_Вводные'!$B$218*'19_Расчет_аналитики'!BH559,MeanMinAge07)))</f>
        <v/>
      </c>
      <c r="BI470">
        <f>IF(OR('19_Расчет_аналитики'!BI442=0,7&lt;='01_Вводные'!$B$297),0,'19_Расчет_аналитики'!BI442*IF('01_Вводные'!$B$239="Да",MeanMinAge07+'19_Расчет_аналитики'!BI559*SUMIF(ThresholdAge07,"&lt;"&amp;'19_Расчет_аналитики'!BI559,WeightedRevAge07)-SUMIF(ThresholdAge07,"&lt;"&amp;'19_Расчет_аналитики'!BI559,WeightedMinAge07),MAX(CapacityAge07*'01_Вводные'!$B$218*'19_Расчет_аналитики'!BI559,MeanMinAge07)))</f>
        <v/>
      </c>
      <c r="BJ470">
        <f>IF(OR('19_Расчет_аналитики'!BJ442=0,7&lt;='01_Вводные'!$B$297),0,'19_Расчет_аналитики'!BJ442*IF('01_Вводные'!$B$239="Да",MeanMinAge07+'19_Расчет_аналитики'!BJ559*SUMIF(ThresholdAge07,"&lt;"&amp;'19_Расчет_аналитики'!BJ559,WeightedRevAge07)-SUMIF(ThresholdAge07,"&lt;"&amp;'19_Расчет_аналитики'!BJ559,WeightedMinAge07),MAX(CapacityAge07*'01_Вводные'!$B$218*'19_Расчет_аналитики'!BJ559,MeanMinAge07)))</f>
        <v/>
      </c>
      <c r="BK470">
        <f>IF(OR('19_Расчет_аналитики'!BK442=0,7&lt;='01_Вводные'!$B$297),0,'19_Расчет_аналитики'!BK442*IF('01_Вводные'!$B$239="Да",MeanMinAge07+'19_Расчет_аналитики'!BK559*SUMIF(ThresholdAge07,"&lt;"&amp;'19_Расчет_аналитики'!BK559,WeightedRevAge07)-SUMIF(ThresholdAge07,"&lt;"&amp;'19_Расчет_аналитики'!BK559,WeightedMinAge07),MAX(CapacityAge07*'01_Вводные'!$B$218*'19_Расчет_аналитики'!BK559,MeanMinAge07)))</f>
        <v/>
      </c>
      <c r="BL470">
        <f>IF(OR('19_Расчет_аналитики'!BL442=0,7&lt;='01_Вводные'!$B$297),0,'19_Расчет_аналитики'!BL442*IF('01_Вводные'!$B$239="Да",MeanMinAge07+'19_Расчет_аналитики'!BL559*SUMIF(ThresholdAge07,"&lt;"&amp;'19_Расчет_аналитики'!BL559,WeightedRevAge07)-SUMIF(ThresholdAge07,"&lt;"&amp;'19_Расчет_аналитики'!BL559,WeightedMinAge07),MAX(CapacityAge07*'01_Вводные'!$B$218*'19_Расчет_аналитики'!BL559,MeanMinAge07)))</f>
        <v/>
      </c>
      <c r="BM470">
        <f>IF(OR('19_Расчет_аналитики'!BM442=0,7&lt;='01_Вводные'!$B$297),0,'19_Расчет_аналитики'!BM442*IF('01_Вводные'!$B$239="Да",MeanMinAge07+'19_Расчет_аналитики'!BM559*SUMIF(ThresholdAge07,"&lt;"&amp;'19_Расчет_аналитики'!BM559,WeightedRevAge07)-SUMIF(ThresholdAge07,"&lt;"&amp;'19_Расчет_аналитики'!BM559,WeightedMinAge07),MAX(CapacityAge07*'01_Вводные'!$B$218*'19_Расчет_аналитики'!BM559,MeanMinAge07)))</f>
        <v/>
      </c>
      <c r="BN470">
        <f>IF(OR('19_Расчет_аналитики'!BN442=0,7&lt;='01_Вводные'!$B$297),0,'19_Расчет_аналитики'!BN442*IF('01_Вводные'!$B$239="Да",MeanMinAge07+'19_Расчет_аналитики'!BN559*SUMIF(ThresholdAge07,"&lt;"&amp;'19_Расчет_аналитики'!BN559,WeightedRevAge07)-SUMIF(ThresholdAge07,"&lt;"&amp;'19_Расчет_аналитики'!BN559,WeightedMinAge07),MAX(CapacityAge07*'01_Вводные'!$B$218*'19_Расчет_аналитики'!BN559,MeanMinAge07)))</f>
        <v/>
      </c>
      <c r="BO470">
        <f>IF(OR('19_Расчет_аналитики'!BO442=0,7&lt;='01_Вводные'!$B$297),0,'19_Расчет_аналитики'!BO442*IF('01_Вводные'!$B$239="Да",MeanMinAge07+'19_Расчет_аналитики'!BO559*SUMIF(ThresholdAge07,"&lt;"&amp;'19_Расчет_аналитики'!BO559,WeightedRevAge07)-SUMIF(ThresholdAge07,"&lt;"&amp;'19_Расчет_аналитики'!BO559,WeightedMinAge07),MAX(CapacityAge07*'01_Вводные'!$B$218*'19_Расчет_аналитики'!BO559,MeanMinAge07)))</f>
        <v/>
      </c>
    </row>
    <row r="471">
      <c r="B471">
        <f>IF(OR('06_Сеть_и_дети'!B88=0,8&lt;='01_Вводные'!$B$297),0,'06_Сеть_и_дети'!B88*IF('01_Вводные'!$B$239="Да",MeanMinAge08+'19_Расчет_аналитики'!B559*SUMIF(ThresholdAge08,"&lt;"&amp;'19_Расчет_аналитики'!B559,WeightedRevAge08)-SUMIF(ThresholdAge08,"&lt;"&amp;'19_Расчет_аналитики'!B559,WeightedMinAge08),MAX(CapacityAge08*'01_Вводные'!$B$218*'19_Расчет_аналитики'!B559,MeanMinAge08)))</f>
        <v/>
      </c>
      <c r="C471">
        <f>IF(OR('06_Сеть_и_дети'!C88=0,8&lt;='01_Вводные'!$B$297),0,'06_Сеть_и_дети'!C88*IF('01_Вводные'!$B$239="Да",MeanMinAge08+'19_Расчет_аналитики'!C559*SUMIF(ThresholdAge08,"&lt;"&amp;'19_Расчет_аналитики'!C559,WeightedRevAge08)-SUMIF(ThresholdAge08,"&lt;"&amp;'19_Расчет_аналитики'!C559,WeightedMinAge08),MAX(CapacityAge08*'01_Вводные'!$B$218*'19_Расчет_аналитики'!C559,MeanMinAge08)))</f>
        <v/>
      </c>
      <c r="D471">
        <f>IF(OR('06_Сеть_и_дети'!D88=0,8&lt;='01_Вводные'!$B$297),0,'06_Сеть_и_дети'!D88*IF('01_Вводные'!$B$239="Да",MeanMinAge08+'19_Расчет_аналитики'!D559*SUMIF(ThresholdAge08,"&lt;"&amp;'19_Расчет_аналитики'!D559,WeightedRevAge08)-SUMIF(ThresholdAge08,"&lt;"&amp;'19_Расчет_аналитики'!D559,WeightedMinAge08),MAX(CapacityAge08*'01_Вводные'!$B$218*'19_Расчет_аналитики'!D559,MeanMinAge08)))</f>
        <v/>
      </c>
      <c r="E471">
        <f>IF(OR('06_Сеть_и_дети'!E88=0,8&lt;='01_Вводные'!$B$297),0,'06_Сеть_и_дети'!E88*IF('01_Вводные'!$B$239="Да",MeanMinAge08+'19_Расчет_аналитики'!E559*SUMIF(ThresholdAge08,"&lt;"&amp;'19_Расчет_аналитики'!E559,WeightedRevAge08)-SUMIF(ThresholdAge08,"&lt;"&amp;'19_Расчет_аналитики'!E559,WeightedMinAge08),MAX(CapacityAge08*'01_Вводные'!$B$218*'19_Расчет_аналитики'!E559,MeanMinAge08)))</f>
        <v/>
      </c>
      <c r="F471">
        <f>IF(OR('06_Сеть_и_дети'!F88=0,8&lt;='01_Вводные'!$B$297),0,'06_Сеть_и_дети'!F88*IF('01_Вводные'!$B$239="Да",MeanMinAge08+'19_Расчет_аналитики'!F559*SUMIF(ThresholdAge08,"&lt;"&amp;'19_Расчет_аналитики'!F559,WeightedRevAge08)-SUMIF(ThresholdAge08,"&lt;"&amp;'19_Расчет_аналитики'!F559,WeightedMinAge08),MAX(CapacityAge08*'01_Вводные'!$B$218*'19_Расчет_аналитики'!F559,MeanMinAge08)))</f>
        <v/>
      </c>
      <c r="G471">
        <f>IF(OR('06_Сеть_и_дети'!G88=0,8&lt;='01_Вводные'!$B$297),0,'06_Сеть_и_дети'!G88*IF('01_Вводные'!$B$239="Да",MeanMinAge08+'19_Расчет_аналитики'!G559*SUMIF(ThresholdAge08,"&lt;"&amp;'19_Расчет_аналитики'!G559,WeightedRevAge08)-SUMIF(ThresholdAge08,"&lt;"&amp;'19_Расчет_аналитики'!G559,WeightedMinAge08),MAX(CapacityAge08*'01_Вводные'!$B$218*'19_Расчет_аналитики'!G559,MeanMinAge08)))</f>
        <v/>
      </c>
      <c r="H471">
        <f>IF(OR('06_Сеть_и_дети'!H88=0,8&lt;='01_Вводные'!$B$297),0,'06_Сеть_и_дети'!H88*IF('01_Вводные'!$B$239="Да",MeanMinAge08+'19_Расчет_аналитики'!H559*SUMIF(ThresholdAge08,"&lt;"&amp;'19_Расчет_аналитики'!H559,WeightedRevAge08)-SUMIF(ThresholdAge08,"&lt;"&amp;'19_Расчет_аналитики'!H559,WeightedMinAge08),MAX(CapacityAge08*'01_Вводные'!$B$218*'19_Расчет_аналитики'!H559,MeanMinAge08)))</f>
        <v/>
      </c>
      <c r="I471">
        <f>IF(OR('19_Расчет_аналитики'!I443=0,8&lt;='01_Вводные'!$B$297),0,'19_Расчет_аналитики'!I443*IF('01_Вводные'!$B$239="Да",MeanMinAge08+'19_Расчет_аналитики'!I559*SUMIF(ThresholdAge08,"&lt;"&amp;'19_Расчет_аналитики'!I559,WeightedRevAge08)-SUMIF(ThresholdAge08,"&lt;"&amp;'19_Расчет_аналитики'!I559,WeightedMinAge08),MAX(CapacityAge08*'01_Вводные'!$B$218*'19_Расчет_аналитики'!I559,MeanMinAge08)))</f>
        <v/>
      </c>
      <c r="J471">
        <f>IF(OR('19_Расчет_аналитики'!J443=0,8&lt;='01_Вводные'!$B$297),0,'19_Расчет_аналитики'!J443*IF('01_Вводные'!$B$239="Да",MeanMinAge08+'19_Расчет_аналитики'!J559*SUMIF(ThresholdAge08,"&lt;"&amp;'19_Расчет_аналитики'!J559,WeightedRevAge08)-SUMIF(ThresholdAge08,"&lt;"&amp;'19_Расчет_аналитики'!J559,WeightedMinAge08),MAX(CapacityAge08*'01_Вводные'!$B$218*'19_Расчет_аналитики'!J559,MeanMinAge08)))</f>
        <v/>
      </c>
      <c r="K471">
        <f>IF(OR('19_Расчет_аналитики'!K443=0,8&lt;='01_Вводные'!$B$297),0,'19_Расчет_аналитики'!K443*IF('01_Вводные'!$B$239="Да",MeanMinAge08+'19_Расчет_аналитики'!K559*SUMIF(ThresholdAge08,"&lt;"&amp;'19_Расчет_аналитики'!K559,WeightedRevAge08)-SUMIF(ThresholdAge08,"&lt;"&amp;'19_Расчет_аналитики'!K559,WeightedMinAge08),MAX(CapacityAge08*'01_Вводные'!$B$218*'19_Расчет_аналитики'!K559,MeanMinAge08)))</f>
        <v/>
      </c>
      <c r="L471">
        <f>IF(OR('19_Расчет_аналитики'!L443=0,8&lt;='01_Вводные'!$B$297),0,'19_Расчет_аналитики'!L443*IF('01_Вводные'!$B$239="Да",MeanMinAge08+'19_Расчет_аналитики'!L559*SUMIF(ThresholdAge08,"&lt;"&amp;'19_Расчет_аналитики'!L559,WeightedRevAge08)-SUMIF(ThresholdAge08,"&lt;"&amp;'19_Расчет_аналитики'!L559,WeightedMinAge08),MAX(CapacityAge08*'01_Вводные'!$B$218*'19_Расчет_аналитики'!L559,MeanMinAge08)))</f>
        <v/>
      </c>
      <c r="M471">
        <f>IF(OR('19_Расчет_аналитики'!M443=0,8&lt;='01_Вводные'!$B$297),0,'19_Расчет_аналитики'!M443*IF('01_Вводные'!$B$239="Да",MeanMinAge08+'19_Расчет_аналитики'!M559*SUMIF(ThresholdAge08,"&lt;"&amp;'19_Расчет_аналитики'!M559,WeightedRevAge08)-SUMIF(ThresholdAge08,"&lt;"&amp;'19_Расчет_аналитики'!M559,WeightedMinAge08),MAX(CapacityAge08*'01_Вводные'!$B$218*'19_Расчет_аналитики'!M559,MeanMinAge08)))</f>
        <v/>
      </c>
      <c r="N471">
        <f>IF(OR('19_Расчет_аналитики'!N443=0,8&lt;='01_Вводные'!$B$297),0,'19_Расчет_аналитики'!N443*IF('01_Вводные'!$B$239="Да",MeanMinAge08+'19_Расчет_аналитики'!N559*SUMIF(ThresholdAge08,"&lt;"&amp;'19_Расчет_аналитики'!N559,WeightedRevAge08)-SUMIF(ThresholdAge08,"&lt;"&amp;'19_Расчет_аналитики'!N559,WeightedMinAge08),MAX(CapacityAge08*'01_Вводные'!$B$218*'19_Расчет_аналитики'!N559,MeanMinAge08)))</f>
        <v/>
      </c>
      <c r="O471">
        <f>IF(OR('19_Расчет_аналитики'!O443=0,8&lt;='01_Вводные'!$B$297),0,'19_Расчет_аналитики'!O443*IF('01_Вводные'!$B$239="Да",MeanMinAge08+'19_Расчет_аналитики'!O559*SUMIF(ThresholdAge08,"&lt;"&amp;'19_Расчет_аналитики'!O559,WeightedRevAge08)-SUMIF(ThresholdAge08,"&lt;"&amp;'19_Расчет_аналитики'!O559,WeightedMinAge08),MAX(CapacityAge08*'01_Вводные'!$B$218*'19_Расчет_аналитики'!O559,MeanMinAge08)))</f>
        <v/>
      </c>
      <c r="P471">
        <f>IF(OR('19_Расчет_аналитики'!P443=0,8&lt;='01_Вводные'!$B$297),0,'19_Расчет_аналитики'!P443*IF('01_Вводные'!$B$239="Да",MeanMinAge08+'19_Расчет_аналитики'!P559*SUMIF(ThresholdAge08,"&lt;"&amp;'19_Расчет_аналитики'!P559,WeightedRevAge08)-SUMIF(ThresholdAge08,"&lt;"&amp;'19_Расчет_аналитики'!P559,WeightedMinAge08),MAX(CapacityAge08*'01_Вводные'!$B$218*'19_Расчет_аналитики'!P559,MeanMinAge08)))</f>
        <v/>
      </c>
      <c r="Q471">
        <f>IF(OR('19_Расчет_аналитики'!Q443=0,8&lt;='01_Вводные'!$B$297),0,'19_Расчет_аналитики'!Q443*IF('01_Вводные'!$B$239="Да",MeanMinAge08+'19_Расчет_аналитики'!Q559*SUMIF(ThresholdAge08,"&lt;"&amp;'19_Расчет_аналитики'!Q559,WeightedRevAge08)-SUMIF(ThresholdAge08,"&lt;"&amp;'19_Расчет_аналитики'!Q559,WeightedMinAge08),MAX(CapacityAge08*'01_Вводные'!$B$218*'19_Расчет_аналитики'!Q559,MeanMinAge08)))</f>
        <v/>
      </c>
      <c r="R471">
        <f>IF(OR('19_Расчет_аналитики'!R443=0,8&lt;='01_Вводные'!$B$297),0,'19_Расчет_аналитики'!R443*IF('01_Вводные'!$B$239="Да",MeanMinAge08+'19_Расчет_аналитики'!R559*SUMIF(ThresholdAge08,"&lt;"&amp;'19_Расчет_аналитики'!R559,WeightedRevAge08)-SUMIF(ThresholdAge08,"&lt;"&amp;'19_Расчет_аналитики'!R559,WeightedMinAge08),MAX(CapacityAge08*'01_Вводные'!$B$218*'19_Расчет_аналитики'!R559,MeanMinAge08)))</f>
        <v/>
      </c>
      <c r="S471">
        <f>IF(OR('19_Расчет_аналитики'!S443=0,8&lt;='01_Вводные'!$B$297),0,'19_Расчет_аналитики'!S443*IF('01_Вводные'!$B$239="Да",MeanMinAge08+'19_Расчет_аналитики'!S559*SUMIF(ThresholdAge08,"&lt;"&amp;'19_Расчет_аналитики'!S559,WeightedRevAge08)-SUMIF(ThresholdAge08,"&lt;"&amp;'19_Расчет_аналитики'!S559,WeightedMinAge08),MAX(CapacityAge08*'01_Вводные'!$B$218*'19_Расчет_аналитики'!S559,MeanMinAge08)))</f>
        <v/>
      </c>
      <c r="T471">
        <f>IF(OR('19_Расчет_аналитики'!T443=0,8&lt;='01_Вводные'!$B$297),0,'19_Расчет_аналитики'!T443*IF('01_Вводные'!$B$239="Да",MeanMinAge08+'19_Расчет_аналитики'!T559*SUMIF(ThresholdAge08,"&lt;"&amp;'19_Расчет_аналитики'!T559,WeightedRevAge08)-SUMIF(ThresholdAge08,"&lt;"&amp;'19_Расчет_аналитики'!T559,WeightedMinAge08),MAX(CapacityAge08*'01_Вводные'!$B$218*'19_Расчет_аналитики'!T559,MeanMinAge08)))</f>
        <v/>
      </c>
      <c r="U471">
        <f>IF(OR('19_Расчет_аналитики'!U443=0,8&lt;='01_Вводные'!$B$297),0,'19_Расчет_аналитики'!U443*IF('01_Вводные'!$B$239="Да",MeanMinAge08+'19_Расчет_аналитики'!U559*SUMIF(ThresholdAge08,"&lt;"&amp;'19_Расчет_аналитики'!U559,WeightedRevAge08)-SUMIF(ThresholdAge08,"&lt;"&amp;'19_Расчет_аналитики'!U559,WeightedMinAge08),MAX(CapacityAge08*'01_Вводные'!$B$218*'19_Расчет_аналитики'!U559,MeanMinAge08)))</f>
        <v/>
      </c>
      <c r="V471">
        <f>IF(OR('19_Расчет_аналитики'!V443=0,8&lt;='01_Вводные'!$B$297),0,'19_Расчет_аналитики'!V443*IF('01_Вводные'!$B$239="Да",MeanMinAge08+'19_Расчет_аналитики'!V559*SUMIF(ThresholdAge08,"&lt;"&amp;'19_Расчет_аналитики'!V559,WeightedRevAge08)-SUMIF(ThresholdAge08,"&lt;"&amp;'19_Расчет_аналитики'!V559,WeightedMinAge08),MAX(CapacityAge08*'01_Вводные'!$B$218*'19_Расчет_аналитики'!V559,MeanMinAge08)))</f>
        <v/>
      </c>
      <c r="W471">
        <f>IF(OR('19_Расчет_аналитики'!W443=0,8&lt;='01_Вводные'!$B$297),0,'19_Расчет_аналитики'!W443*IF('01_Вводные'!$B$239="Да",MeanMinAge08+'19_Расчет_аналитики'!W559*SUMIF(ThresholdAge08,"&lt;"&amp;'19_Расчет_аналитики'!W559,WeightedRevAge08)-SUMIF(ThresholdAge08,"&lt;"&amp;'19_Расчет_аналитики'!W559,WeightedMinAge08),MAX(CapacityAge08*'01_Вводные'!$B$218*'19_Расчет_аналитики'!W559,MeanMinAge08)))</f>
        <v/>
      </c>
      <c r="X471">
        <f>IF(OR('19_Расчет_аналитики'!X443=0,8&lt;='01_Вводные'!$B$297),0,'19_Расчет_аналитики'!X443*IF('01_Вводные'!$B$239="Да",MeanMinAge08+'19_Расчет_аналитики'!X559*SUMIF(ThresholdAge08,"&lt;"&amp;'19_Расчет_аналитики'!X559,WeightedRevAge08)-SUMIF(ThresholdAge08,"&lt;"&amp;'19_Расчет_аналитики'!X559,WeightedMinAge08),MAX(CapacityAge08*'01_Вводные'!$B$218*'19_Расчет_аналитики'!X559,MeanMinAge08)))</f>
        <v/>
      </c>
      <c r="Y471">
        <f>IF(OR('19_Расчет_аналитики'!Y443=0,8&lt;='01_Вводные'!$B$297),0,'19_Расчет_аналитики'!Y443*IF('01_Вводные'!$B$239="Да",MeanMinAge08+'19_Расчет_аналитики'!Y559*SUMIF(ThresholdAge08,"&lt;"&amp;'19_Расчет_аналитики'!Y559,WeightedRevAge08)-SUMIF(ThresholdAge08,"&lt;"&amp;'19_Расчет_аналитики'!Y559,WeightedMinAge08),MAX(CapacityAge08*'01_Вводные'!$B$218*'19_Расчет_аналитики'!Y559,MeanMinAge08)))</f>
        <v/>
      </c>
      <c r="Z471">
        <f>IF(OR('19_Расчет_аналитики'!Z443=0,8&lt;='01_Вводные'!$B$297),0,'19_Расчет_аналитики'!Z443*IF('01_Вводные'!$B$239="Да",MeanMinAge08+'19_Расчет_аналитики'!Z559*SUMIF(ThresholdAge08,"&lt;"&amp;'19_Расчет_аналитики'!Z559,WeightedRevAge08)-SUMIF(ThresholdAge08,"&lt;"&amp;'19_Расчет_аналитики'!Z559,WeightedMinAge08),MAX(CapacityAge08*'01_Вводные'!$B$218*'19_Расчет_аналитики'!Z559,MeanMinAge08)))</f>
        <v/>
      </c>
      <c r="AA471">
        <f>IF(OR('19_Расчет_аналитики'!AA443=0,8&lt;='01_Вводные'!$B$297),0,'19_Расчет_аналитики'!AA443*IF('01_Вводные'!$B$239="Да",MeanMinAge08+'19_Расчет_аналитики'!AA559*SUMIF(ThresholdAge08,"&lt;"&amp;'19_Расчет_аналитики'!AA559,WeightedRevAge08)-SUMIF(ThresholdAge08,"&lt;"&amp;'19_Расчет_аналитики'!AA559,WeightedMinAge08),MAX(CapacityAge08*'01_Вводные'!$B$218*'19_Расчет_аналитики'!AA559,MeanMinAge08)))</f>
        <v/>
      </c>
      <c r="AB471">
        <f>IF(OR('19_Расчет_аналитики'!AB443=0,8&lt;='01_Вводные'!$B$297),0,'19_Расчет_аналитики'!AB443*IF('01_Вводные'!$B$239="Да",MeanMinAge08+'19_Расчет_аналитики'!AB559*SUMIF(ThresholdAge08,"&lt;"&amp;'19_Расчет_аналитики'!AB559,WeightedRevAge08)-SUMIF(ThresholdAge08,"&lt;"&amp;'19_Расчет_аналитики'!AB559,WeightedMinAge08),MAX(CapacityAge08*'01_Вводные'!$B$218*'19_Расчет_аналитики'!AB559,MeanMinAge08)))</f>
        <v/>
      </c>
      <c r="AC471">
        <f>IF(OR('19_Расчет_аналитики'!AC443=0,8&lt;='01_Вводные'!$B$297),0,'19_Расчет_аналитики'!AC443*IF('01_Вводные'!$B$239="Да",MeanMinAge08+'19_Расчет_аналитики'!AC559*SUMIF(ThresholdAge08,"&lt;"&amp;'19_Расчет_аналитики'!AC559,WeightedRevAge08)-SUMIF(ThresholdAge08,"&lt;"&amp;'19_Расчет_аналитики'!AC559,WeightedMinAge08),MAX(CapacityAge08*'01_Вводные'!$B$218*'19_Расчет_аналитики'!AC559,MeanMinAge08)))</f>
        <v/>
      </c>
      <c r="AD471">
        <f>IF(OR('19_Расчет_аналитики'!AD443=0,8&lt;='01_Вводные'!$B$297),0,'19_Расчет_аналитики'!AD443*IF('01_Вводные'!$B$239="Да",MeanMinAge08+'19_Расчет_аналитики'!AD559*SUMIF(ThresholdAge08,"&lt;"&amp;'19_Расчет_аналитики'!AD559,WeightedRevAge08)-SUMIF(ThresholdAge08,"&lt;"&amp;'19_Расчет_аналитики'!AD559,WeightedMinAge08),MAX(CapacityAge08*'01_Вводные'!$B$218*'19_Расчет_аналитики'!AD559,MeanMinAge08)))</f>
        <v/>
      </c>
      <c r="AE471">
        <f>IF(OR('19_Расчет_аналитики'!AE443=0,8&lt;='01_Вводные'!$B$297),0,'19_Расчет_аналитики'!AE443*IF('01_Вводные'!$B$239="Да",MeanMinAge08+'19_Расчет_аналитики'!AE559*SUMIF(ThresholdAge08,"&lt;"&amp;'19_Расчет_аналитики'!AE559,WeightedRevAge08)-SUMIF(ThresholdAge08,"&lt;"&amp;'19_Расчет_аналитики'!AE559,WeightedMinAge08),MAX(CapacityAge08*'01_Вводные'!$B$218*'19_Расчет_аналитики'!AE559,MeanMinAge08)))</f>
        <v/>
      </c>
      <c r="AF471">
        <f>IF(OR('19_Расчет_аналитики'!AF443=0,8&lt;='01_Вводные'!$B$297),0,'19_Расчет_аналитики'!AF443*IF('01_Вводные'!$B$239="Да",MeanMinAge08+'19_Расчет_аналитики'!AF559*SUMIF(ThresholdAge08,"&lt;"&amp;'19_Расчет_аналитики'!AF559,WeightedRevAge08)-SUMIF(ThresholdAge08,"&lt;"&amp;'19_Расчет_аналитики'!AF559,WeightedMinAge08),MAX(CapacityAge08*'01_Вводные'!$B$218*'19_Расчет_аналитики'!AF559,MeanMinAge08)))</f>
        <v/>
      </c>
      <c r="AG471">
        <f>IF(OR('19_Расчет_аналитики'!AG443=0,8&lt;='01_Вводные'!$B$297),0,'19_Расчет_аналитики'!AG443*IF('01_Вводные'!$B$239="Да",MeanMinAge08+'19_Расчет_аналитики'!AG559*SUMIF(ThresholdAge08,"&lt;"&amp;'19_Расчет_аналитики'!AG559,WeightedRevAge08)-SUMIF(ThresholdAge08,"&lt;"&amp;'19_Расчет_аналитики'!AG559,WeightedMinAge08),MAX(CapacityAge08*'01_Вводные'!$B$218*'19_Расчет_аналитики'!AG559,MeanMinAge08)))</f>
        <v/>
      </c>
      <c r="AH471">
        <f>IF(OR('19_Расчет_аналитики'!AH443=0,8&lt;='01_Вводные'!$B$297),0,'19_Расчет_аналитики'!AH443*IF('01_Вводные'!$B$239="Да",MeanMinAge08+'19_Расчет_аналитики'!AH559*SUMIF(ThresholdAge08,"&lt;"&amp;'19_Расчет_аналитики'!AH559,WeightedRevAge08)-SUMIF(ThresholdAge08,"&lt;"&amp;'19_Расчет_аналитики'!AH559,WeightedMinAge08),MAX(CapacityAge08*'01_Вводные'!$B$218*'19_Расчет_аналитики'!AH559,MeanMinAge08)))</f>
        <v/>
      </c>
      <c r="AI471">
        <f>IF(OR('19_Расчет_аналитики'!AI443=0,8&lt;='01_Вводные'!$B$297),0,'19_Расчет_аналитики'!AI443*IF('01_Вводные'!$B$239="Да",MeanMinAge08+'19_Расчет_аналитики'!AI559*SUMIF(ThresholdAge08,"&lt;"&amp;'19_Расчет_аналитики'!AI559,WeightedRevAge08)-SUMIF(ThresholdAge08,"&lt;"&amp;'19_Расчет_аналитики'!AI559,WeightedMinAge08),MAX(CapacityAge08*'01_Вводные'!$B$218*'19_Расчет_аналитики'!AI559,MeanMinAge08)))</f>
        <v/>
      </c>
      <c r="AJ471">
        <f>IF(OR('19_Расчет_аналитики'!AJ443=0,8&lt;='01_Вводные'!$B$297),0,'19_Расчет_аналитики'!AJ443*IF('01_Вводные'!$B$239="Да",MeanMinAge08+'19_Расчет_аналитики'!AJ559*SUMIF(ThresholdAge08,"&lt;"&amp;'19_Расчет_аналитики'!AJ559,WeightedRevAge08)-SUMIF(ThresholdAge08,"&lt;"&amp;'19_Расчет_аналитики'!AJ559,WeightedMinAge08),MAX(CapacityAge08*'01_Вводные'!$B$218*'19_Расчет_аналитики'!AJ559,MeanMinAge08)))</f>
        <v/>
      </c>
      <c r="AK471">
        <f>IF(OR('19_Расчет_аналитики'!AK443=0,8&lt;='01_Вводные'!$B$297),0,'19_Расчет_аналитики'!AK443*IF('01_Вводные'!$B$239="Да",MeanMinAge08+'19_Расчет_аналитики'!AK559*SUMIF(ThresholdAge08,"&lt;"&amp;'19_Расчет_аналитики'!AK559,WeightedRevAge08)-SUMIF(ThresholdAge08,"&lt;"&amp;'19_Расчет_аналитики'!AK559,WeightedMinAge08),MAX(CapacityAge08*'01_Вводные'!$B$218*'19_Расчет_аналитики'!AK559,MeanMinAge08)))</f>
        <v/>
      </c>
      <c r="AL471">
        <f>IF(OR('19_Расчет_аналитики'!AL443=0,8&lt;='01_Вводные'!$B$297),0,'19_Расчет_аналитики'!AL443*IF('01_Вводные'!$B$239="Да",MeanMinAge08+'19_Расчет_аналитики'!AL559*SUMIF(ThresholdAge08,"&lt;"&amp;'19_Расчет_аналитики'!AL559,WeightedRevAge08)-SUMIF(ThresholdAge08,"&lt;"&amp;'19_Расчет_аналитики'!AL559,WeightedMinAge08),MAX(CapacityAge08*'01_Вводные'!$B$218*'19_Расчет_аналитики'!AL559,MeanMinAge08)))</f>
        <v/>
      </c>
      <c r="AM471">
        <f>IF(OR('19_Расчет_аналитики'!AM443=0,8&lt;='01_Вводные'!$B$297),0,'19_Расчет_аналитики'!AM443*IF('01_Вводные'!$B$239="Да",MeanMinAge08+'19_Расчет_аналитики'!AM559*SUMIF(ThresholdAge08,"&lt;"&amp;'19_Расчет_аналитики'!AM559,WeightedRevAge08)-SUMIF(ThresholdAge08,"&lt;"&amp;'19_Расчет_аналитики'!AM559,WeightedMinAge08),MAX(CapacityAge08*'01_Вводные'!$B$218*'19_Расчет_аналитики'!AM559,MeanMinAge08)))</f>
        <v/>
      </c>
      <c r="AN471">
        <f>IF(OR('19_Расчет_аналитики'!AN443=0,8&lt;='01_Вводные'!$B$297),0,'19_Расчет_аналитики'!AN443*IF('01_Вводные'!$B$239="Да",MeanMinAge08+'19_Расчет_аналитики'!AN559*SUMIF(ThresholdAge08,"&lt;"&amp;'19_Расчет_аналитики'!AN559,WeightedRevAge08)-SUMIF(ThresholdAge08,"&lt;"&amp;'19_Расчет_аналитики'!AN559,WeightedMinAge08),MAX(CapacityAge08*'01_Вводные'!$B$218*'19_Расчет_аналитики'!AN559,MeanMinAge08)))</f>
        <v/>
      </c>
      <c r="AO471">
        <f>IF(OR('19_Расчет_аналитики'!AO443=0,8&lt;='01_Вводные'!$B$297),0,'19_Расчет_аналитики'!AO443*IF('01_Вводные'!$B$239="Да",MeanMinAge08+'19_Расчет_аналитики'!AO559*SUMIF(ThresholdAge08,"&lt;"&amp;'19_Расчет_аналитики'!AO559,WeightedRevAge08)-SUMIF(ThresholdAge08,"&lt;"&amp;'19_Расчет_аналитики'!AO559,WeightedMinAge08),MAX(CapacityAge08*'01_Вводные'!$B$218*'19_Расчет_аналитики'!AO559,MeanMinAge08)))</f>
        <v/>
      </c>
      <c r="AP471">
        <f>IF(OR('19_Расчет_аналитики'!AP443=0,8&lt;='01_Вводные'!$B$297),0,'19_Расчет_аналитики'!AP443*IF('01_Вводные'!$B$239="Да",MeanMinAge08+'19_Расчет_аналитики'!AP559*SUMIF(ThresholdAge08,"&lt;"&amp;'19_Расчет_аналитики'!AP559,WeightedRevAge08)-SUMIF(ThresholdAge08,"&lt;"&amp;'19_Расчет_аналитики'!AP559,WeightedMinAge08),MAX(CapacityAge08*'01_Вводные'!$B$218*'19_Расчет_аналитики'!AP559,MeanMinAge08)))</f>
        <v/>
      </c>
      <c r="AQ471">
        <f>IF(OR('19_Расчет_аналитики'!AQ443=0,8&lt;='01_Вводные'!$B$297),0,'19_Расчет_аналитики'!AQ443*IF('01_Вводные'!$B$239="Да",MeanMinAge08+'19_Расчет_аналитики'!AQ559*SUMIF(ThresholdAge08,"&lt;"&amp;'19_Расчет_аналитики'!AQ559,WeightedRevAge08)-SUMIF(ThresholdAge08,"&lt;"&amp;'19_Расчет_аналитики'!AQ559,WeightedMinAge08),MAX(CapacityAge08*'01_Вводные'!$B$218*'19_Расчет_аналитики'!AQ559,MeanMinAge08)))</f>
        <v/>
      </c>
      <c r="AR471">
        <f>IF(OR('19_Расчет_аналитики'!AR443=0,8&lt;='01_Вводные'!$B$297),0,'19_Расчет_аналитики'!AR443*IF('01_Вводные'!$B$239="Да",MeanMinAge08+'19_Расчет_аналитики'!AR559*SUMIF(ThresholdAge08,"&lt;"&amp;'19_Расчет_аналитики'!AR559,WeightedRevAge08)-SUMIF(ThresholdAge08,"&lt;"&amp;'19_Расчет_аналитики'!AR559,WeightedMinAge08),MAX(CapacityAge08*'01_Вводные'!$B$218*'19_Расчет_аналитики'!AR559,MeanMinAge08)))</f>
        <v/>
      </c>
      <c r="AS471">
        <f>IF(OR('19_Расчет_аналитики'!AS443=0,8&lt;='01_Вводные'!$B$297),0,'19_Расчет_аналитики'!AS443*IF('01_Вводные'!$B$239="Да",MeanMinAge08+'19_Расчет_аналитики'!AS559*SUMIF(ThresholdAge08,"&lt;"&amp;'19_Расчет_аналитики'!AS559,WeightedRevAge08)-SUMIF(ThresholdAge08,"&lt;"&amp;'19_Расчет_аналитики'!AS559,WeightedMinAge08),MAX(CapacityAge08*'01_Вводные'!$B$218*'19_Расчет_аналитики'!AS559,MeanMinAge08)))</f>
        <v/>
      </c>
      <c r="AT471">
        <f>IF(OR('19_Расчет_аналитики'!AT443=0,8&lt;='01_Вводные'!$B$297),0,'19_Расчет_аналитики'!AT443*IF('01_Вводные'!$B$239="Да",MeanMinAge08+'19_Расчет_аналитики'!AT559*SUMIF(ThresholdAge08,"&lt;"&amp;'19_Расчет_аналитики'!AT559,WeightedRevAge08)-SUMIF(ThresholdAge08,"&lt;"&amp;'19_Расчет_аналитики'!AT559,WeightedMinAge08),MAX(CapacityAge08*'01_Вводные'!$B$218*'19_Расчет_аналитики'!AT559,MeanMinAge08)))</f>
        <v/>
      </c>
      <c r="AU471">
        <f>IF(OR('19_Расчет_аналитики'!AU443=0,8&lt;='01_Вводные'!$B$297),0,'19_Расчет_аналитики'!AU443*IF('01_Вводные'!$B$239="Да",MeanMinAge08+'19_Расчет_аналитики'!AU559*SUMIF(ThresholdAge08,"&lt;"&amp;'19_Расчет_аналитики'!AU559,WeightedRevAge08)-SUMIF(ThresholdAge08,"&lt;"&amp;'19_Расчет_аналитики'!AU559,WeightedMinAge08),MAX(CapacityAge08*'01_Вводные'!$B$218*'19_Расчет_аналитики'!AU559,MeanMinAge08)))</f>
        <v/>
      </c>
      <c r="AV471">
        <f>IF(OR('19_Расчет_аналитики'!AV443=0,8&lt;='01_Вводные'!$B$297),0,'19_Расчет_аналитики'!AV443*IF('01_Вводные'!$B$239="Да",MeanMinAge08+'19_Расчет_аналитики'!AV559*SUMIF(ThresholdAge08,"&lt;"&amp;'19_Расчет_аналитики'!AV559,WeightedRevAge08)-SUMIF(ThresholdAge08,"&lt;"&amp;'19_Расчет_аналитики'!AV559,WeightedMinAge08),MAX(CapacityAge08*'01_Вводные'!$B$218*'19_Расчет_аналитики'!AV559,MeanMinAge08)))</f>
        <v/>
      </c>
      <c r="AW471">
        <f>IF(OR('19_Расчет_аналитики'!AW443=0,8&lt;='01_Вводные'!$B$297),0,'19_Расчет_аналитики'!AW443*IF('01_Вводные'!$B$239="Да",MeanMinAge08+'19_Расчет_аналитики'!AW559*SUMIF(ThresholdAge08,"&lt;"&amp;'19_Расчет_аналитики'!AW559,WeightedRevAge08)-SUMIF(ThresholdAge08,"&lt;"&amp;'19_Расчет_аналитики'!AW559,WeightedMinAge08),MAX(CapacityAge08*'01_Вводные'!$B$218*'19_Расчет_аналитики'!AW559,MeanMinAge08)))</f>
        <v/>
      </c>
      <c r="AX471">
        <f>IF(OR('19_Расчет_аналитики'!AX443=0,8&lt;='01_Вводные'!$B$297),0,'19_Расчет_аналитики'!AX443*IF('01_Вводные'!$B$239="Да",MeanMinAge08+'19_Расчет_аналитики'!AX559*SUMIF(ThresholdAge08,"&lt;"&amp;'19_Расчет_аналитики'!AX559,WeightedRevAge08)-SUMIF(ThresholdAge08,"&lt;"&amp;'19_Расчет_аналитики'!AX559,WeightedMinAge08),MAX(CapacityAge08*'01_Вводные'!$B$218*'19_Расчет_аналитики'!AX559,MeanMinAge08)))</f>
        <v/>
      </c>
      <c r="AY471">
        <f>IF(OR('19_Расчет_аналитики'!AY443=0,8&lt;='01_Вводные'!$B$297),0,'19_Расчет_аналитики'!AY443*IF('01_Вводные'!$B$239="Да",MeanMinAge08+'19_Расчет_аналитики'!AY559*SUMIF(ThresholdAge08,"&lt;"&amp;'19_Расчет_аналитики'!AY559,WeightedRevAge08)-SUMIF(ThresholdAge08,"&lt;"&amp;'19_Расчет_аналитики'!AY559,WeightedMinAge08),MAX(CapacityAge08*'01_Вводные'!$B$218*'19_Расчет_аналитики'!AY559,MeanMinAge08)))</f>
        <v/>
      </c>
      <c r="AZ471">
        <f>IF(OR('19_Расчет_аналитики'!AZ443=0,8&lt;='01_Вводные'!$B$297),0,'19_Расчет_аналитики'!AZ443*IF('01_Вводные'!$B$239="Да",MeanMinAge08+'19_Расчет_аналитики'!AZ559*SUMIF(ThresholdAge08,"&lt;"&amp;'19_Расчет_аналитики'!AZ559,WeightedRevAge08)-SUMIF(ThresholdAge08,"&lt;"&amp;'19_Расчет_аналитики'!AZ559,WeightedMinAge08),MAX(CapacityAge08*'01_Вводные'!$B$218*'19_Расчет_аналитики'!AZ559,MeanMinAge08)))</f>
        <v/>
      </c>
      <c r="BA471">
        <f>IF(OR('19_Расчет_аналитики'!BA443=0,8&lt;='01_Вводные'!$B$297),0,'19_Расчет_аналитики'!BA443*IF('01_Вводные'!$B$239="Да",MeanMinAge08+'19_Расчет_аналитики'!BA559*SUMIF(ThresholdAge08,"&lt;"&amp;'19_Расчет_аналитики'!BA559,WeightedRevAge08)-SUMIF(ThresholdAge08,"&lt;"&amp;'19_Расчет_аналитики'!BA559,WeightedMinAge08),MAX(CapacityAge08*'01_Вводные'!$B$218*'19_Расчет_аналитики'!BA559,MeanMinAge08)))</f>
        <v/>
      </c>
      <c r="BB471">
        <f>IF(OR('19_Расчет_аналитики'!BB443=0,8&lt;='01_Вводные'!$B$297),0,'19_Расчет_аналитики'!BB443*IF('01_Вводные'!$B$239="Да",MeanMinAge08+'19_Расчет_аналитики'!BB559*SUMIF(ThresholdAge08,"&lt;"&amp;'19_Расчет_аналитики'!BB559,WeightedRevAge08)-SUMIF(ThresholdAge08,"&lt;"&amp;'19_Расчет_аналитики'!BB559,WeightedMinAge08),MAX(CapacityAge08*'01_Вводные'!$B$218*'19_Расчет_аналитики'!BB559,MeanMinAge08)))</f>
        <v/>
      </c>
      <c r="BC471">
        <f>IF(OR('19_Расчет_аналитики'!BC443=0,8&lt;='01_Вводные'!$B$297),0,'19_Расчет_аналитики'!BC443*IF('01_Вводные'!$B$239="Да",MeanMinAge08+'19_Расчет_аналитики'!BC559*SUMIF(ThresholdAge08,"&lt;"&amp;'19_Расчет_аналитики'!BC559,WeightedRevAge08)-SUMIF(ThresholdAge08,"&lt;"&amp;'19_Расчет_аналитики'!BC559,WeightedMinAge08),MAX(CapacityAge08*'01_Вводные'!$B$218*'19_Расчет_аналитики'!BC559,MeanMinAge08)))</f>
        <v/>
      </c>
      <c r="BD471">
        <f>IF(OR('19_Расчет_аналитики'!BD443=0,8&lt;='01_Вводные'!$B$297),0,'19_Расчет_аналитики'!BD443*IF('01_Вводные'!$B$239="Да",MeanMinAge08+'19_Расчет_аналитики'!BD559*SUMIF(ThresholdAge08,"&lt;"&amp;'19_Расчет_аналитики'!BD559,WeightedRevAge08)-SUMIF(ThresholdAge08,"&lt;"&amp;'19_Расчет_аналитики'!BD559,WeightedMinAge08),MAX(CapacityAge08*'01_Вводные'!$B$218*'19_Расчет_аналитики'!BD559,MeanMinAge08)))</f>
        <v/>
      </c>
      <c r="BE471">
        <f>IF(OR('19_Расчет_аналитики'!BE443=0,8&lt;='01_Вводные'!$B$297),0,'19_Расчет_аналитики'!BE443*IF('01_Вводные'!$B$239="Да",MeanMinAge08+'19_Расчет_аналитики'!BE559*SUMIF(ThresholdAge08,"&lt;"&amp;'19_Расчет_аналитики'!BE559,WeightedRevAge08)-SUMIF(ThresholdAge08,"&lt;"&amp;'19_Расчет_аналитики'!BE559,WeightedMinAge08),MAX(CapacityAge08*'01_Вводные'!$B$218*'19_Расчет_аналитики'!BE559,MeanMinAge08)))</f>
        <v/>
      </c>
      <c r="BF471">
        <f>IF(OR('19_Расчет_аналитики'!BF443=0,8&lt;='01_Вводные'!$B$297),0,'19_Расчет_аналитики'!BF443*IF('01_Вводные'!$B$239="Да",MeanMinAge08+'19_Расчет_аналитики'!BF559*SUMIF(ThresholdAge08,"&lt;"&amp;'19_Расчет_аналитики'!BF559,WeightedRevAge08)-SUMIF(ThresholdAge08,"&lt;"&amp;'19_Расчет_аналитики'!BF559,WeightedMinAge08),MAX(CapacityAge08*'01_Вводные'!$B$218*'19_Расчет_аналитики'!BF559,MeanMinAge08)))</f>
        <v/>
      </c>
      <c r="BG471">
        <f>IF(OR('19_Расчет_аналитики'!BG443=0,8&lt;='01_Вводные'!$B$297),0,'19_Расчет_аналитики'!BG443*IF('01_Вводные'!$B$239="Да",MeanMinAge08+'19_Расчет_аналитики'!BG559*SUMIF(ThresholdAge08,"&lt;"&amp;'19_Расчет_аналитики'!BG559,WeightedRevAge08)-SUMIF(ThresholdAge08,"&lt;"&amp;'19_Расчет_аналитики'!BG559,WeightedMinAge08),MAX(CapacityAge08*'01_Вводные'!$B$218*'19_Расчет_аналитики'!BG559,MeanMinAge08)))</f>
        <v/>
      </c>
      <c r="BH471">
        <f>IF(OR('19_Расчет_аналитики'!BH443=0,8&lt;='01_Вводные'!$B$297),0,'19_Расчет_аналитики'!BH443*IF('01_Вводные'!$B$239="Да",MeanMinAge08+'19_Расчет_аналитики'!BH559*SUMIF(ThresholdAge08,"&lt;"&amp;'19_Расчет_аналитики'!BH559,WeightedRevAge08)-SUMIF(ThresholdAge08,"&lt;"&amp;'19_Расчет_аналитики'!BH559,WeightedMinAge08),MAX(CapacityAge08*'01_Вводные'!$B$218*'19_Расчет_аналитики'!BH559,MeanMinAge08)))</f>
        <v/>
      </c>
      <c r="BI471">
        <f>IF(OR('19_Расчет_аналитики'!BI443=0,8&lt;='01_Вводные'!$B$297),0,'19_Расчет_аналитики'!BI443*IF('01_Вводные'!$B$239="Да",MeanMinAge08+'19_Расчет_аналитики'!BI559*SUMIF(ThresholdAge08,"&lt;"&amp;'19_Расчет_аналитики'!BI559,WeightedRevAge08)-SUMIF(ThresholdAge08,"&lt;"&amp;'19_Расчет_аналитики'!BI559,WeightedMinAge08),MAX(CapacityAge08*'01_Вводные'!$B$218*'19_Расчет_аналитики'!BI559,MeanMinAge08)))</f>
        <v/>
      </c>
      <c r="BJ471">
        <f>IF(OR('19_Расчет_аналитики'!BJ443=0,8&lt;='01_Вводные'!$B$297),0,'19_Расчет_аналитики'!BJ443*IF('01_Вводные'!$B$239="Да",MeanMinAge08+'19_Расчет_аналитики'!BJ559*SUMIF(ThresholdAge08,"&lt;"&amp;'19_Расчет_аналитики'!BJ559,WeightedRevAge08)-SUMIF(ThresholdAge08,"&lt;"&amp;'19_Расчет_аналитики'!BJ559,WeightedMinAge08),MAX(CapacityAge08*'01_Вводные'!$B$218*'19_Расчет_аналитики'!BJ559,MeanMinAge08)))</f>
        <v/>
      </c>
      <c r="BK471">
        <f>IF(OR('19_Расчет_аналитики'!BK443=0,8&lt;='01_Вводные'!$B$297),0,'19_Расчет_аналитики'!BK443*IF('01_Вводные'!$B$239="Да",MeanMinAge08+'19_Расчет_аналитики'!BK559*SUMIF(ThresholdAge08,"&lt;"&amp;'19_Расчет_аналитики'!BK559,WeightedRevAge08)-SUMIF(ThresholdAge08,"&lt;"&amp;'19_Расчет_аналитики'!BK559,WeightedMinAge08),MAX(CapacityAge08*'01_Вводные'!$B$218*'19_Расчет_аналитики'!BK559,MeanMinAge08)))</f>
        <v/>
      </c>
      <c r="BL471">
        <f>IF(OR('19_Расчет_аналитики'!BL443=0,8&lt;='01_Вводные'!$B$297),0,'19_Расчет_аналитики'!BL443*IF('01_Вводные'!$B$239="Да",MeanMinAge08+'19_Расчет_аналитики'!BL559*SUMIF(ThresholdAge08,"&lt;"&amp;'19_Расчет_аналитики'!BL559,WeightedRevAge08)-SUMIF(ThresholdAge08,"&lt;"&amp;'19_Расчет_аналитики'!BL559,WeightedMinAge08),MAX(CapacityAge08*'01_Вводные'!$B$218*'19_Расчет_аналитики'!BL559,MeanMinAge08)))</f>
        <v/>
      </c>
      <c r="BM471">
        <f>IF(OR('19_Расчет_аналитики'!BM443=0,8&lt;='01_Вводные'!$B$297),0,'19_Расчет_аналитики'!BM443*IF('01_Вводные'!$B$239="Да",MeanMinAge08+'19_Расчет_аналитики'!BM559*SUMIF(ThresholdAge08,"&lt;"&amp;'19_Расчет_аналитики'!BM559,WeightedRevAge08)-SUMIF(ThresholdAge08,"&lt;"&amp;'19_Расчет_аналитики'!BM559,WeightedMinAge08),MAX(CapacityAge08*'01_Вводные'!$B$218*'19_Расчет_аналитики'!BM559,MeanMinAge08)))</f>
        <v/>
      </c>
      <c r="BN471">
        <f>IF(OR('19_Расчет_аналитики'!BN443=0,8&lt;='01_Вводные'!$B$297),0,'19_Расчет_аналитики'!BN443*IF('01_Вводные'!$B$239="Да",MeanMinAge08+'19_Расчет_аналитики'!BN559*SUMIF(ThresholdAge08,"&lt;"&amp;'19_Расчет_аналитики'!BN559,WeightedRevAge08)-SUMIF(ThresholdAge08,"&lt;"&amp;'19_Расчет_аналитики'!BN559,WeightedMinAge08),MAX(CapacityAge08*'01_Вводные'!$B$218*'19_Расчет_аналитики'!BN559,MeanMinAge08)))</f>
        <v/>
      </c>
      <c r="BO471">
        <f>IF(OR('19_Расчет_аналитики'!BO443=0,8&lt;='01_Вводные'!$B$297),0,'19_Расчет_аналитики'!BO443*IF('01_Вводные'!$B$239="Да",MeanMinAge08+'19_Расчет_аналитики'!BO559*SUMIF(ThresholdAge08,"&lt;"&amp;'19_Расчет_аналитики'!BO559,WeightedRevAge08)-SUMIF(ThresholdAge08,"&lt;"&amp;'19_Расчет_аналитики'!BO559,WeightedMinAge08),MAX(CapacityAge08*'01_Вводные'!$B$218*'19_Расчет_аналитики'!BO559,MeanMinAge08)))</f>
        <v/>
      </c>
    </row>
    <row r="472">
      <c r="B472">
        <f>IF(OR('06_Сеть_и_дети'!B89=0,9&lt;='01_Вводные'!$B$297),0,'06_Сеть_и_дети'!B89*IF('01_Вводные'!$B$239="Да",MeanMinAge09+'19_Расчет_аналитики'!B559*SUMIF(ThresholdAge09,"&lt;"&amp;'19_Расчет_аналитики'!B559,WeightedRevAge09)-SUMIF(ThresholdAge09,"&lt;"&amp;'19_Расчет_аналитики'!B559,WeightedMinAge09),MAX(CapacityAge09*'01_Вводные'!$B$218*'19_Расчет_аналитики'!B559,MeanMinAge09)))</f>
        <v/>
      </c>
      <c r="C472">
        <f>IF(OR('06_Сеть_и_дети'!C89=0,9&lt;='01_Вводные'!$B$297),0,'06_Сеть_и_дети'!C89*IF('01_Вводные'!$B$239="Да",MeanMinAge09+'19_Расчет_аналитики'!C559*SUMIF(ThresholdAge09,"&lt;"&amp;'19_Расчет_аналитики'!C559,WeightedRevAge09)-SUMIF(ThresholdAge09,"&lt;"&amp;'19_Расчет_аналитики'!C559,WeightedMinAge09),MAX(CapacityAge09*'01_Вводные'!$B$218*'19_Расчет_аналитики'!C559,MeanMinAge09)))</f>
        <v/>
      </c>
      <c r="D472">
        <f>IF(OR('06_Сеть_и_дети'!D89=0,9&lt;='01_Вводные'!$B$297),0,'06_Сеть_и_дети'!D89*IF('01_Вводные'!$B$239="Да",MeanMinAge09+'19_Расчет_аналитики'!D559*SUMIF(ThresholdAge09,"&lt;"&amp;'19_Расчет_аналитики'!D559,WeightedRevAge09)-SUMIF(ThresholdAge09,"&lt;"&amp;'19_Расчет_аналитики'!D559,WeightedMinAge09),MAX(CapacityAge09*'01_Вводные'!$B$218*'19_Расчет_аналитики'!D559,MeanMinAge09)))</f>
        <v/>
      </c>
      <c r="E472">
        <f>IF(OR('06_Сеть_и_дети'!E89=0,9&lt;='01_Вводные'!$B$297),0,'06_Сеть_и_дети'!E89*IF('01_Вводные'!$B$239="Да",MeanMinAge09+'19_Расчет_аналитики'!E559*SUMIF(ThresholdAge09,"&lt;"&amp;'19_Расчет_аналитики'!E559,WeightedRevAge09)-SUMIF(ThresholdAge09,"&lt;"&amp;'19_Расчет_аналитики'!E559,WeightedMinAge09),MAX(CapacityAge09*'01_Вводные'!$B$218*'19_Расчет_аналитики'!E559,MeanMinAge09)))</f>
        <v/>
      </c>
      <c r="F472">
        <f>IF(OR('06_Сеть_и_дети'!F89=0,9&lt;='01_Вводные'!$B$297),0,'06_Сеть_и_дети'!F89*IF('01_Вводные'!$B$239="Да",MeanMinAge09+'19_Расчет_аналитики'!F559*SUMIF(ThresholdAge09,"&lt;"&amp;'19_Расчет_аналитики'!F559,WeightedRevAge09)-SUMIF(ThresholdAge09,"&lt;"&amp;'19_Расчет_аналитики'!F559,WeightedMinAge09),MAX(CapacityAge09*'01_Вводные'!$B$218*'19_Расчет_аналитики'!F559,MeanMinAge09)))</f>
        <v/>
      </c>
      <c r="G472">
        <f>IF(OR('06_Сеть_и_дети'!G89=0,9&lt;='01_Вводные'!$B$297),0,'06_Сеть_и_дети'!G89*IF('01_Вводные'!$B$239="Да",MeanMinAge09+'19_Расчет_аналитики'!G559*SUMIF(ThresholdAge09,"&lt;"&amp;'19_Расчет_аналитики'!G559,WeightedRevAge09)-SUMIF(ThresholdAge09,"&lt;"&amp;'19_Расчет_аналитики'!G559,WeightedMinAge09),MAX(CapacityAge09*'01_Вводные'!$B$218*'19_Расчет_аналитики'!G559,MeanMinAge09)))</f>
        <v/>
      </c>
      <c r="H472">
        <f>IF(OR('06_Сеть_и_дети'!H89=0,9&lt;='01_Вводные'!$B$297),0,'06_Сеть_и_дети'!H89*IF('01_Вводные'!$B$239="Да",MeanMinAge09+'19_Расчет_аналитики'!H559*SUMIF(ThresholdAge09,"&lt;"&amp;'19_Расчет_аналитики'!H559,WeightedRevAge09)-SUMIF(ThresholdAge09,"&lt;"&amp;'19_Расчет_аналитики'!H559,WeightedMinAge09),MAX(CapacityAge09*'01_Вводные'!$B$218*'19_Расчет_аналитики'!H559,MeanMinAge09)))</f>
        <v/>
      </c>
      <c r="I472">
        <f>IF(OR('06_Сеть_и_дети'!I89=0,9&lt;='01_Вводные'!$B$297),0,'06_Сеть_и_дети'!I89*IF('01_Вводные'!$B$239="Да",MeanMinAge09+'19_Расчет_аналитики'!I559*SUMIF(ThresholdAge09,"&lt;"&amp;'19_Расчет_аналитики'!I559,WeightedRevAge09)-SUMIF(ThresholdAge09,"&lt;"&amp;'19_Расчет_аналитики'!I559,WeightedMinAge09),MAX(CapacityAge09*'01_Вводные'!$B$218*'19_Расчет_аналитики'!I559,MeanMinAge09)))</f>
        <v/>
      </c>
      <c r="J472">
        <f>IF(OR('19_Расчет_аналитики'!J444=0,9&lt;='01_Вводные'!$B$297),0,'19_Расчет_аналитики'!J444*IF('01_Вводные'!$B$239="Да",MeanMinAge09+'19_Расчет_аналитики'!J559*SUMIF(ThresholdAge09,"&lt;"&amp;'19_Расчет_аналитики'!J559,WeightedRevAge09)-SUMIF(ThresholdAge09,"&lt;"&amp;'19_Расчет_аналитики'!J559,WeightedMinAge09),MAX(CapacityAge09*'01_Вводные'!$B$218*'19_Расчет_аналитики'!J559,MeanMinAge09)))</f>
        <v/>
      </c>
      <c r="K472">
        <f>IF(OR('19_Расчет_аналитики'!K444=0,9&lt;='01_Вводные'!$B$297),0,'19_Расчет_аналитики'!K444*IF('01_Вводные'!$B$239="Да",MeanMinAge09+'19_Расчет_аналитики'!K559*SUMIF(ThresholdAge09,"&lt;"&amp;'19_Расчет_аналитики'!K559,WeightedRevAge09)-SUMIF(ThresholdAge09,"&lt;"&amp;'19_Расчет_аналитики'!K559,WeightedMinAge09),MAX(CapacityAge09*'01_Вводные'!$B$218*'19_Расчет_аналитики'!K559,MeanMinAge09)))</f>
        <v/>
      </c>
      <c r="L472">
        <f>IF(OR('19_Расчет_аналитики'!L444=0,9&lt;='01_Вводные'!$B$297),0,'19_Расчет_аналитики'!L444*IF('01_Вводные'!$B$239="Да",MeanMinAge09+'19_Расчет_аналитики'!L559*SUMIF(ThresholdAge09,"&lt;"&amp;'19_Расчет_аналитики'!L559,WeightedRevAge09)-SUMIF(ThresholdAge09,"&lt;"&amp;'19_Расчет_аналитики'!L559,WeightedMinAge09),MAX(CapacityAge09*'01_Вводные'!$B$218*'19_Расчет_аналитики'!L559,MeanMinAge09)))</f>
        <v/>
      </c>
      <c r="M472">
        <f>IF(OR('19_Расчет_аналитики'!M444=0,9&lt;='01_Вводные'!$B$297),0,'19_Расчет_аналитики'!M444*IF('01_Вводные'!$B$239="Да",MeanMinAge09+'19_Расчет_аналитики'!M559*SUMIF(ThresholdAge09,"&lt;"&amp;'19_Расчет_аналитики'!M559,WeightedRevAge09)-SUMIF(ThresholdAge09,"&lt;"&amp;'19_Расчет_аналитики'!M559,WeightedMinAge09),MAX(CapacityAge09*'01_Вводные'!$B$218*'19_Расчет_аналитики'!M559,MeanMinAge09)))</f>
        <v/>
      </c>
      <c r="N472">
        <f>IF(OR('19_Расчет_аналитики'!N444=0,9&lt;='01_Вводные'!$B$297),0,'19_Расчет_аналитики'!N444*IF('01_Вводные'!$B$239="Да",MeanMinAge09+'19_Расчет_аналитики'!N559*SUMIF(ThresholdAge09,"&lt;"&amp;'19_Расчет_аналитики'!N559,WeightedRevAge09)-SUMIF(ThresholdAge09,"&lt;"&amp;'19_Расчет_аналитики'!N559,WeightedMinAge09),MAX(CapacityAge09*'01_Вводные'!$B$218*'19_Расчет_аналитики'!N559,MeanMinAge09)))</f>
        <v/>
      </c>
      <c r="O472">
        <f>IF(OR('19_Расчет_аналитики'!O444=0,9&lt;='01_Вводные'!$B$297),0,'19_Расчет_аналитики'!O444*IF('01_Вводные'!$B$239="Да",MeanMinAge09+'19_Расчет_аналитики'!O559*SUMIF(ThresholdAge09,"&lt;"&amp;'19_Расчет_аналитики'!O559,WeightedRevAge09)-SUMIF(ThresholdAge09,"&lt;"&amp;'19_Расчет_аналитики'!O559,WeightedMinAge09),MAX(CapacityAge09*'01_Вводные'!$B$218*'19_Расчет_аналитики'!O559,MeanMinAge09)))</f>
        <v/>
      </c>
      <c r="P472">
        <f>IF(OR('19_Расчет_аналитики'!P444=0,9&lt;='01_Вводные'!$B$297),0,'19_Расчет_аналитики'!P444*IF('01_Вводные'!$B$239="Да",MeanMinAge09+'19_Расчет_аналитики'!P559*SUMIF(ThresholdAge09,"&lt;"&amp;'19_Расчет_аналитики'!P559,WeightedRevAge09)-SUMIF(ThresholdAge09,"&lt;"&amp;'19_Расчет_аналитики'!P559,WeightedMinAge09),MAX(CapacityAge09*'01_Вводные'!$B$218*'19_Расчет_аналитики'!P559,MeanMinAge09)))</f>
        <v/>
      </c>
      <c r="Q472">
        <f>IF(OR('19_Расчет_аналитики'!Q444=0,9&lt;='01_Вводные'!$B$297),0,'19_Расчет_аналитики'!Q444*IF('01_Вводные'!$B$239="Да",MeanMinAge09+'19_Расчет_аналитики'!Q559*SUMIF(ThresholdAge09,"&lt;"&amp;'19_Расчет_аналитики'!Q559,WeightedRevAge09)-SUMIF(ThresholdAge09,"&lt;"&amp;'19_Расчет_аналитики'!Q559,WeightedMinAge09),MAX(CapacityAge09*'01_Вводные'!$B$218*'19_Расчет_аналитики'!Q559,MeanMinAge09)))</f>
        <v/>
      </c>
      <c r="R472">
        <f>IF(OR('19_Расчет_аналитики'!R444=0,9&lt;='01_Вводные'!$B$297),0,'19_Расчет_аналитики'!R444*IF('01_Вводные'!$B$239="Да",MeanMinAge09+'19_Расчет_аналитики'!R559*SUMIF(ThresholdAge09,"&lt;"&amp;'19_Расчет_аналитики'!R559,WeightedRevAge09)-SUMIF(ThresholdAge09,"&lt;"&amp;'19_Расчет_аналитики'!R559,WeightedMinAge09),MAX(CapacityAge09*'01_Вводные'!$B$218*'19_Расчет_аналитики'!R559,MeanMinAge09)))</f>
        <v/>
      </c>
      <c r="S472">
        <f>IF(OR('19_Расчет_аналитики'!S444=0,9&lt;='01_Вводные'!$B$297),0,'19_Расчет_аналитики'!S444*IF('01_Вводные'!$B$239="Да",MeanMinAge09+'19_Расчет_аналитики'!S559*SUMIF(ThresholdAge09,"&lt;"&amp;'19_Расчет_аналитики'!S559,WeightedRevAge09)-SUMIF(ThresholdAge09,"&lt;"&amp;'19_Расчет_аналитики'!S559,WeightedMinAge09),MAX(CapacityAge09*'01_Вводные'!$B$218*'19_Расчет_аналитики'!S559,MeanMinAge09)))</f>
        <v/>
      </c>
      <c r="T472">
        <f>IF(OR('19_Расчет_аналитики'!T444=0,9&lt;='01_Вводные'!$B$297),0,'19_Расчет_аналитики'!T444*IF('01_Вводные'!$B$239="Да",MeanMinAge09+'19_Расчет_аналитики'!T559*SUMIF(ThresholdAge09,"&lt;"&amp;'19_Расчет_аналитики'!T559,WeightedRevAge09)-SUMIF(ThresholdAge09,"&lt;"&amp;'19_Расчет_аналитики'!T559,WeightedMinAge09),MAX(CapacityAge09*'01_Вводные'!$B$218*'19_Расчет_аналитики'!T559,MeanMinAge09)))</f>
        <v/>
      </c>
      <c r="U472">
        <f>IF(OR('19_Расчет_аналитики'!U444=0,9&lt;='01_Вводные'!$B$297),0,'19_Расчет_аналитики'!U444*IF('01_Вводные'!$B$239="Да",MeanMinAge09+'19_Расчет_аналитики'!U559*SUMIF(ThresholdAge09,"&lt;"&amp;'19_Расчет_аналитики'!U559,WeightedRevAge09)-SUMIF(ThresholdAge09,"&lt;"&amp;'19_Расчет_аналитики'!U559,WeightedMinAge09),MAX(CapacityAge09*'01_Вводные'!$B$218*'19_Расчет_аналитики'!U559,MeanMinAge09)))</f>
        <v/>
      </c>
      <c r="V472">
        <f>IF(OR('19_Расчет_аналитики'!V444=0,9&lt;='01_Вводные'!$B$297),0,'19_Расчет_аналитики'!V444*IF('01_Вводные'!$B$239="Да",MeanMinAge09+'19_Расчет_аналитики'!V559*SUMIF(ThresholdAge09,"&lt;"&amp;'19_Расчет_аналитики'!V559,WeightedRevAge09)-SUMIF(ThresholdAge09,"&lt;"&amp;'19_Расчет_аналитики'!V559,WeightedMinAge09),MAX(CapacityAge09*'01_Вводные'!$B$218*'19_Расчет_аналитики'!V559,MeanMinAge09)))</f>
        <v/>
      </c>
      <c r="W472">
        <f>IF(OR('19_Расчет_аналитики'!W444=0,9&lt;='01_Вводные'!$B$297),0,'19_Расчет_аналитики'!W444*IF('01_Вводные'!$B$239="Да",MeanMinAge09+'19_Расчет_аналитики'!W559*SUMIF(ThresholdAge09,"&lt;"&amp;'19_Расчет_аналитики'!W559,WeightedRevAge09)-SUMIF(ThresholdAge09,"&lt;"&amp;'19_Расчет_аналитики'!W559,WeightedMinAge09),MAX(CapacityAge09*'01_Вводные'!$B$218*'19_Расчет_аналитики'!W559,MeanMinAge09)))</f>
        <v/>
      </c>
      <c r="X472">
        <f>IF(OR('19_Расчет_аналитики'!X444=0,9&lt;='01_Вводные'!$B$297),0,'19_Расчет_аналитики'!X444*IF('01_Вводные'!$B$239="Да",MeanMinAge09+'19_Расчет_аналитики'!X559*SUMIF(ThresholdAge09,"&lt;"&amp;'19_Расчет_аналитики'!X559,WeightedRevAge09)-SUMIF(ThresholdAge09,"&lt;"&amp;'19_Расчет_аналитики'!X559,WeightedMinAge09),MAX(CapacityAge09*'01_Вводные'!$B$218*'19_Расчет_аналитики'!X559,MeanMinAge09)))</f>
        <v/>
      </c>
      <c r="Y472">
        <f>IF(OR('19_Расчет_аналитики'!Y444=0,9&lt;='01_Вводные'!$B$297),0,'19_Расчет_аналитики'!Y444*IF('01_Вводные'!$B$239="Да",MeanMinAge09+'19_Расчет_аналитики'!Y559*SUMIF(ThresholdAge09,"&lt;"&amp;'19_Расчет_аналитики'!Y559,WeightedRevAge09)-SUMIF(ThresholdAge09,"&lt;"&amp;'19_Расчет_аналитики'!Y559,WeightedMinAge09),MAX(CapacityAge09*'01_Вводные'!$B$218*'19_Расчет_аналитики'!Y559,MeanMinAge09)))</f>
        <v/>
      </c>
      <c r="Z472">
        <f>IF(OR('19_Расчет_аналитики'!Z444=0,9&lt;='01_Вводные'!$B$297),0,'19_Расчет_аналитики'!Z444*IF('01_Вводные'!$B$239="Да",MeanMinAge09+'19_Расчет_аналитики'!Z559*SUMIF(ThresholdAge09,"&lt;"&amp;'19_Расчет_аналитики'!Z559,WeightedRevAge09)-SUMIF(ThresholdAge09,"&lt;"&amp;'19_Расчет_аналитики'!Z559,WeightedMinAge09),MAX(CapacityAge09*'01_Вводные'!$B$218*'19_Расчет_аналитики'!Z559,MeanMinAge09)))</f>
        <v/>
      </c>
      <c r="AA472">
        <f>IF(OR('19_Расчет_аналитики'!AA444=0,9&lt;='01_Вводные'!$B$297),0,'19_Расчет_аналитики'!AA444*IF('01_Вводные'!$B$239="Да",MeanMinAge09+'19_Расчет_аналитики'!AA559*SUMIF(ThresholdAge09,"&lt;"&amp;'19_Расчет_аналитики'!AA559,WeightedRevAge09)-SUMIF(ThresholdAge09,"&lt;"&amp;'19_Расчет_аналитики'!AA559,WeightedMinAge09),MAX(CapacityAge09*'01_Вводные'!$B$218*'19_Расчет_аналитики'!AA559,MeanMinAge09)))</f>
        <v/>
      </c>
      <c r="AB472">
        <f>IF(OR('19_Расчет_аналитики'!AB444=0,9&lt;='01_Вводные'!$B$297),0,'19_Расчет_аналитики'!AB444*IF('01_Вводные'!$B$239="Да",MeanMinAge09+'19_Расчет_аналитики'!AB559*SUMIF(ThresholdAge09,"&lt;"&amp;'19_Расчет_аналитики'!AB559,WeightedRevAge09)-SUMIF(ThresholdAge09,"&lt;"&amp;'19_Расчет_аналитики'!AB559,WeightedMinAge09),MAX(CapacityAge09*'01_Вводные'!$B$218*'19_Расчет_аналитики'!AB559,MeanMinAge09)))</f>
        <v/>
      </c>
      <c r="AC472">
        <f>IF(OR('19_Расчет_аналитики'!AC444=0,9&lt;='01_Вводные'!$B$297),0,'19_Расчет_аналитики'!AC444*IF('01_Вводные'!$B$239="Да",MeanMinAge09+'19_Расчет_аналитики'!AC559*SUMIF(ThresholdAge09,"&lt;"&amp;'19_Расчет_аналитики'!AC559,WeightedRevAge09)-SUMIF(ThresholdAge09,"&lt;"&amp;'19_Расчет_аналитики'!AC559,WeightedMinAge09),MAX(CapacityAge09*'01_Вводные'!$B$218*'19_Расчет_аналитики'!AC559,MeanMinAge09)))</f>
        <v/>
      </c>
      <c r="AD472">
        <f>IF(OR('19_Расчет_аналитики'!AD444=0,9&lt;='01_Вводные'!$B$297),0,'19_Расчет_аналитики'!AD444*IF('01_Вводные'!$B$239="Да",MeanMinAge09+'19_Расчет_аналитики'!AD559*SUMIF(ThresholdAge09,"&lt;"&amp;'19_Расчет_аналитики'!AD559,WeightedRevAge09)-SUMIF(ThresholdAge09,"&lt;"&amp;'19_Расчет_аналитики'!AD559,WeightedMinAge09),MAX(CapacityAge09*'01_Вводные'!$B$218*'19_Расчет_аналитики'!AD559,MeanMinAge09)))</f>
        <v/>
      </c>
      <c r="AE472">
        <f>IF(OR('19_Расчет_аналитики'!AE444=0,9&lt;='01_Вводные'!$B$297),0,'19_Расчет_аналитики'!AE444*IF('01_Вводные'!$B$239="Да",MeanMinAge09+'19_Расчет_аналитики'!AE559*SUMIF(ThresholdAge09,"&lt;"&amp;'19_Расчет_аналитики'!AE559,WeightedRevAge09)-SUMIF(ThresholdAge09,"&lt;"&amp;'19_Расчет_аналитики'!AE559,WeightedMinAge09),MAX(CapacityAge09*'01_Вводные'!$B$218*'19_Расчет_аналитики'!AE559,MeanMinAge09)))</f>
        <v/>
      </c>
      <c r="AF472">
        <f>IF(OR('19_Расчет_аналитики'!AF444=0,9&lt;='01_Вводные'!$B$297),0,'19_Расчет_аналитики'!AF444*IF('01_Вводные'!$B$239="Да",MeanMinAge09+'19_Расчет_аналитики'!AF559*SUMIF(ThresholdAge09,"&lt;"&amp;'19_Расчет_аналитики'!AF559,WeightedRevAge09)-SUMIF(ThresholdAge09,"&lt;"&amp;'19_Расчет_аналитики'!AF559,WeightedMinAge09),MAX(CapacityAge09*'01_Вводные'!$B$218*'19_Расчет_аналитики'!AF559,MeanMinAge09)))</f>
        <v/>
      </c>
      <c r="AG472">
        <f>IF(OR('19_Расчет_аналитики'!AG444=0,9&lt;='01_Вводные'!$B$297),0,'19_Расчет_аналитики'!AG444*IF('01_Вводные'!$B$239="Да",MeanMinAge09+'19_Расчет_аналитики'!AG559*SUMIF(ThresholdAge09,"&lt;"&amp;'19_Расчет_аналитики'!AG559,WeightedRevAge09)-SUMIF(ThresholdAge09,"&lt;"&amp;'19_Расчет_аналитики'!AG559,WeightedMinAge09),MAX(CapacityAge09*'01_Вводные'!$B$218*'19_Расчет_аналитики'!AG559,MeanMinAge09)))</f>
        <v/>
      </c>
      <c r="AH472">
        <f>IF(OR('19_Расчет_аналитики'!AH444=0,9&lt;='01_Вводные'!$B$297),0,'19_Расчет_аналитики'!AH444*IF('01_Вводные'!$B$239="Да",MeanMinAge09+'19_Расчет_аналитики'!AH559*SUMIF(ThresholdAge09,"&lt;"&amp;'19_Расчет_аналитики'!AH559,WeightedRevAge09)-SUMIF(ThresholdAge09,"&lt;"&amp;'19_Расчет_аналитики'!AH559,WeightedMinAge09),MAX(CapacityAge09*'01_Вводные'!$B$218*'19_Расчет_аналитики'!AH559,MeanMinAge09)))</f>
        <v/>
      </c>
      <c r="AI472">
        <f>IF(OR('19_Расчет_аналитики'!AI444=0,9&lt;='01_Вводные'!$B$297),0,'19_Расчет_аналитики'!AI444*IF('01_Вводные'!$B$239="Да",MeanMinAge09+'19_Расчет_аналитики'!AI559*SUMIF(ThresholdAge09,"&lt;"&amp;'19_Расчет_аналитики'!AI559,WeightedRevAge09)-SUMIF(ThresholdAge09,"&lt;"&amp;'19_Расчет_аналитики'!AI559,WeightedMinAge09),MAX(CapacityAge09*'01_Вводные'!$B$218*'19_Расчет_аналитики'!AI559,MeanMinAge09)))</f>
        <v/>
      </c>
      <c r="AJ472">
        <f>IF(OR('19_Расчет_аналитики'!AJ444=0,9&lt;='01_Вводные'!$B$297),0,'19_Расчет_аналитики'!AJ444*IF('01_Вводные'!$B$239="Да",MeanMinAge09+'19_Расчет_аналитики'!AJ559*SUMIF(ThresholdAge09,"&lt;"&amp;'19_Расчет_аналитики'!AJ559,WeightedRevAge09)-SUMIF(ThresholdAge09,"&lt;"&amp;'19_Расчет_аналитики'!AJ559,WeightedMinAge09),MAX(CapacityAge09*'01_Вводные'!$B$218*'19_Расчет_аналитики'!AJ559,MeanMinAge09)))</f>
        <v/>
      </c>
      <c r="AK472">
        <f>IF(OR('19_Расчет_аналитики'!AK444=0,9&lt;='01_Вводные'!$B$297),0,'19_Расчет_аналитики'!AK444*IF('01_Вводные'!$B$239="Да",MeanMinAge09+'19_Расчет_аналитики'!AK559*SUMIF(ThresholdAge09,"&lt;"&amp;'19_Расчет_аналитики'!AK559,WeightedRevAge09)-SUMIF(ThresholdAge09,"&lt;"&amp;'19_Расчет_аналитики'!AK559,WeightedMinAge09),MAX(CapacityAge09*'01_Вводные'!$B$218*'19_Расчет_аналитики'!AK559,MeanMinAge09)))</f>
        <v/>
      </c>
      <c r="AL472">
        <f>IF(OR('19_Расчет_аналитики'!AL444=0,9&lt;='01_Вводные'!$B$297),0,'19_Расчет_аналитики'!AL444*IF('01_Вводные'!$B$239="Да",MeanMinAge09+'19_Расчет_аналитики'!AL559*SUMIF(ThresholdAge09,"&lt;"&amp;'19_Расчет_аналитики'!AL559,WeightedRevAge09)-SUMIF(ThresholdAge09,"&lt;"&amp;'19_Расчет_аналитики'!AL559,WeightedMinAge09),MAX(CapacityAge09*'01_Вводные'!$B$218*'19_Расчет_аналитики'!AL559,MeanMinAge09)))</f>
        <v/>
      </c>
      <c r="AM472">
        <f>IF(OR('19_Расчет_аналитики'!AM444=0,9&lt;='01_Вводные'!$B$297),0,'19_Расчет_аналитики'!AM444*IF('01_Вводные'!$B$239="Да",MeanMinAge09+'19_Расчет_аналитики'!AM559*SUMIF(ThresholdAge09,"&lt;"&amp;'19_Расчет_аналитики'!AM559,WeightedRevAge09)-SUMIF(ThresholdAge09,"&lt;"&amp;'19_Расчет_аналитики'!AM559,WeightedMinAge09),MAX(CapacityAge09*'01_Вводные'!$B$218*'19_Расчет_аналитики'!AM559,MeanMinAge09)))</f>
        <v/>
      </c>
      <c r="AN472">
        <f>IF(OR('19_Расчет_аналитики'!AN444=0,9&lt;='01_Вводные'!$B$297),0,'19_Расчет_аналитики'!AN444*IF('01_Вводные'!$B$239="Да",MeanMinAge09+'19_Расчет_аналитики'!AN559*SUMIF(ThresholdAge09,"&lt;"&amp;'19_Расчет_аналитики'!AN559,WeightedRevAge09)-SUMIF(ThresholdAge09,"&lt;"&amp;'19_Расчет_аналитики'!AN559,WeightedMinAge09),MAX(CapacityAge09*'01_Вводные'!$B$218*'19_Расчет_аналитики'!AN559,MeanMinAge09)))</f>
        <v/>
      </c>
      <c r="AO472">
        <f>IF(OR('19_Расчет_аналитики'!AO444=0,9&lt;='01_Вводные'!$B$297),0,'19_Расчет_аналитики'!AO444*IF('01_Вводные'!$B$239="Да",MeanMinAge09+'19_Расчет_аналитики'!AO559*SUMIF(ThresholdAge09,"&lt;"&amp;'19_Расчет_аналитики'!AO559,WeightedRevAge09)-SUMIF(ThresholdAge09,"&lt;"&amp;'19_Расчет_аналитики'!AO559,WeightedMinAge09),MAX(CapacityAge09*'01_Вводные'!$B$218*'19_Расчет_аналитики'!AO559,MeanMinAge09)))</f>
        <v/>
      </c>
      <c r="AP472">
        <f>IF(OR('19_Расчет_аналитики'!AP444=0,9&lt;='01_Вводные'!$B$297),0,'19_Расчет_аналитики'!AP444*IF('01_Вводные'!$B$239="Да",MeanMinAge09+'19_Расчет_аналитики'!AP559*SUMIF(ThresholdAge09,"&lt;"&amp;'19_Расчет_аналитики'!AP559,WeightedRevAge09)-SUMIF(ThresholdAge09,"&lt;"&amp;'19_Расчет_аналитики'!AP559,WeightedMinAge09),MAX(CapacityAge09*'01_Вводные'!$B$218*'19_Расчет_аналитики'!AP559,MeanMinAge09)))</f>
        <v/>
      </c>
      <c r="AQ472">
        <f>IF(OR('19_Расчет_аналитики'!AQ444=0,9&lt;='01_Вводные'!$B$297),0,'19_Расчет_аналитики'!AQ444*IF('01_Вводные'!$B$239="Да",MeanMinAge09+'19_Расчет_аналитики'!AQ559*SUMIF(ThresholdAge09,"&lt;"&amp;'19_Расчет_аналитики'!AQ559,WeightedRevAge09)-SUMIF(ThresholdAge09,"&lt;"&amp;'19_Расчет_аналитики'!AQ559,WeightedMinAge09),MAX(CapacityAge09*'01_Вводные'!$B$218*'19_Расчет_аналитики'!AQ559,MeanMinAge09)))</f>
        <v/>
      </c>
      <c r="AR472">
        <f>IF(OR('19_Расчет_аналитики'!AR444=0,9&lt;='01_Вводные'!$B$297),0,'19_Расчет_аналитики'!AR444*IF('01_Вводные'!$B$239="Да",MeanMinAge09+'19_Расчет_аналитики'!AR559*SUMIF(ThresholdAge09,"&lt;"&amp;'19_Расчет_аналитики'!AR559,WeightedRevAge09)-SUMIF(ThresholdAge09,"&lt;"&amp;'19_Расчет_аналитики'!AR559,WeightedMinAge09),MAX(CapacityAge09*'01_Вводные'!$B$218*'19_Расчет_аналитики'!AR559,MeanMinAge09)))</f>
        <v/>
      </c>
      <c r="AS472">
        <f>IF(OR('19_Расчет_аналитики'!AS444=0,9&lt;='01_Вводные'!$B$297),0,'19_Расчет_аналитики'!AS444*IF('01_Вводные'!$B$239="Да",MeanMinAge09+'19_Расчет_аналитики'!AS559*SUMIF(ThresholdAge09,"&lt;"&amp;'19_Расчет_аналитики'!AS559,WeightedRevAge09)-SUMIF(ThresholdAge09,"&lt;"&amp;'19_Расчет_аналитики'!AS559,WeightedMinAge09),MAX(CapacityAge09*'01_Вводные'!$B$218*'19_Расчет_аналитики'!AS559,MeanMinAge09)))</f>
        <v/>
      </c>
      <c r="AT472">
        <f>IF(OR('19_Расчет_аналитики'!AT444=0,9&lt;='01_Вводные'!$B$297),0,'19_Расчет_аналитики'!AT444*IF('01_Вводные'!$B$239="Да",MeanMinAge09+'19_Расчет_аналитики'!AT559*SUMIF(ThresholdAge09,"&lt;"&amp;'19_Расчет_аналитики'!AT559,WeightedRevAge09)-SUMIF(ThresholdAge09,"&lt;"&amp;'19_Расчет_аналитики'!AT559,WeightedMinAge09),MAX(CapacityAge09*'01_Вводные'!$B$218*'19_Расчет_аналитики'!AT559,MeanMinAge09)))</f>
        <v/>
      </c>
      <c r="AU472">
        <f>IF(OR('19_Расчет_аналитики'!AU444=0,9&lt;='01_Вводные'!$B$297),0,'19_Расчет_аналитики'!AU444*IF('01_Вводные'!$B$239="Да",MeanMinAge09+'19_Расчет_аналитики'!AU559*SUMIF(ThresholdAge09,"&lt;"&amp;'19_Расчет_аналитики'!AU559,WeightedRevAge09)-SUMIF(ThresholdAge09,"&lt;"&amp;'19_Расчет_аналитики'!AU559,WeightedMinAge09),MAX(CapacityAge09*'01_Вводные'!$B$218*'19_Расчет_аналитики'!AU559,MeanMinAge09)))</f>
        <v/>
      </c>
      <c r="AV472">
        <f>IF(OR('19_Расчет_аналитики'!AV444=0,9&lt;='01_Вводные'!$B$297),0,'19_Расчет_аналитики'!AV444*IF('01_Вводные'!$B$239="Да",MeanMinAge09+'19_Расчет_аналитики'!AV559*SUMIF(ThresholdAge09,"&lt;"&amp;'19_Расчет_аналитики'!AV559,WeightedRevAge09)-SUMIF(ThresholdAge09,"&lt;"&amp;'19_Расчет_аналитики'!AV559,WeightedMinAge09),MAX(CapacityAge09*'01_Вводные'!$B$218*'19_Расчет_аналитики'!AV559,MeanMinAge09)))</f>
        <v/>
      </c>
      <c r="AW472">
        <f>IF(OR('19_Расчет_аналитики'!AW444=0,9&lt;='01_Вводные'!$B$297),0,'19_Расчет_аналитики'!AW444*IF('01_Вводные'!$B$239="Да",MeanMinAge09+'19_Расчет_аналитики'!AW559*SUMIF(ThresholdAge09,"&lt;"&amp;'19_Расчет_аналитики'!AW559,WeightedRevAge09)-SUMIF(ThresholdAge09,"&lt;"&amp;'19_Расчет_аналитики'!AW559,WeightedMinAge09),MAX(CapacityAge09*'01_Вводные'!$B$218*'19_Расчет_аналитики'!AW559,MeanMinAge09)))</f>
        <v/>
      </c>
      <c r="AX472">
        <f>IF(OR('19_Расчет_аналитики'!AX444=0,9&lt;='01_Вводные'!$B$297),0,'19_Расчет_аналитики'!AX444*IF('01_Вводные'!$B$239="Да",MeanMinAge09+'19_Расчет_аналитики'!AX559*SUMIF(ThresholdAge09,"&lt;"&amp;'19_Расчет_аналитики'!AX559,WeightedRevAge09)-SUMIF(ThresholdAge09,"&lt;"&amp;'19_Расчет_аналитики'!AX559,WeightedMinAge09),MAX(CapacityAge09*'01_Вводные'!$B$218*'19_Расчет_аналитики'!AX559,MeanMinAge09)))</f>
        <v/>
      </c>
      <c r="AY472">
        <f>IF(OR('19_Расчет_аналитики'!AY444=0,9&lt;='01_Вводные'!$B$297),0,'19_Расчет_аналитики'!AY444*IF('01_Вводные'!$B$239="Да",MeanMinAge09+'19_Расчет_аналитики'!AY559*SUMIF(ThresholdAge09,"&lt;"&amp;'19_Расчет_аналитики'!AY559,WeightedRevAge09)-SUMIF(ThresholdAge09,"&lt;"&amp;'19_Расчет_аналитики'!AY559,WeightedMinAge09),MAX(CapacityAge09*'01_Вводные'!$B$218*'19_Расчет_аналитики'!AY559,MeanMinAge09)))</f>
        <v/>
      </c>
      <c r="AZ472">
        <f>IF(OR('19_Расчет_аналитики'!AZ444=0,9&lt;='01_Вводные'!$B$297),0,'19_Расчет_аналитики'!AZ444*IF('01_Вводные'!$B$239="Да",MeanMinAge09+'19_Расчет_аналитики'!AZ559*SUMIF(ThresholdAge09,"&lt;"&amp;'19_Расчет_аналитики'!AZ559,WeightedRevAge09)-SUMIF(ThresholdAge09,"&lt;"&amp;'19_Расчет_аналитики'!AZ559,WeightedMinAge09),MAX(CapacityAge09*'01_Вводные'!$B$218*'19_Расчет_аналитики'!AZ559,MeanMinAge09)))</f>
        <v/>
      </c>
      <c r="BA472">
        <f>IF(OR('19_Расчет_аналитики'!BA444=0,9&lt;='01_Вводные'!$B$297),0,'19_Расчет_аналитики'!BA444*IF('01_Вводные'!$B$239="Да",MeanMinAge09+'19_Расчет_аналитики'!BA559*SUMIF(ThresholdAge09,"&lt;"&amp;'19_Расчет_аналитики'!BA559,WeightedRevAge09)-SUMIF(ThresholdAge09,"&lt;"&amp;'19_Расчет_аналитики'!BA559,WeightedMinAge09),MAX(CapacityAge09*'01_Вводные'!$B$218*'19_Расчет_аналитики'!BA559,MeanMinAge09)))</f>
        <v/>
      </c>
      <c r="BB472">
        <f>IF(OR('19_Расчет_аналитики'!BB444=0,9&lt;='01_Вводные'!$B$297),0,'19_Расчет_аналитики'!BB444*IF('01_Вводные'!$B$239="Да",MeanMinAge09+'19_Расчет_аналитики'!BB559*SUMIF(ThresholdAge09,"&lt;"&amp;'19_Расчет_аналитики'!BB559,WeightedRevAge09)-SUMIF(ThresholdAge09,"&lt;"&amp;'19_Расчет_аналитики'!BB559,WeightedMinAge09),MAX(CapacityAge09*'01_Вводные'!$B$218*'19_Расчет_аналитики'!BB559,MeanMinAge09)))</f>
        <v/>
      </c>
      <c r="BC472">
        <f>IF(OR('19_Расчет_аналитики'!BC444=0,9&lt;='01_Вводные'!$B$297),0,'19_Расчет_аналитики'!BC444*IF('01_Вводные'!$B$239="Да",MeanMinAge09+'19_Расчет_аналитики'!BC559*SUMIF(ThresholdAge09,"&lt;"&amp;'19_Расчет_аналитики'!BC559,WeightedRevAge09)-SUMIF(ThresholdAge09,"&lt;"&amp;'19_Расчет_аналитики'!BC559,WeightedMinAge09),MAX(CapacityAge09*'01_Вводные'!$B$218*'19_Расчет_аналитики'!BC559,MeanMinAge09)))</f>
        <v/>
      </c>
      <c r="BD472">
        <f>IF(OR('19_Расчет_аналитики'!BD444=0,9&lt;='01_Вводные'!$B$297),0,'19_Расчет_аналитики'!BD444*IF('01_Вводные'!$B$239="Да",MeanMinAge09+'19_Расчет_аналитики'!BD559*SUMIF(ThresholdAge09,"&lt;"&amp;'19_Расчет_аналитики'!BD559,WeightedRevAge09)-SUMIF(ThresholdAge09,"&lt;"&amp;'19_Расчет_аналитики'!BD559,WeightedMinAge09),MAX(CapacityAge09*'01_Вводные'!$B$218*'19_Расчет_аналитики'!BD559,MeanMinAge09)))</f>
        <v/>
      </c>
      <c r="BE472">
        <f>IF(OR('19_Расчет_аналитики'!BE444=0,9&lt;='01_Вводные'!$B$297),0,'19_Расчет_аналитики'!BE444*IF('01_Вводные'!$B$239="Да",MeanMinAge09+'19_Расчет_аналитики'!BE559*SUMIF(ThresholdAge09,"&lt;"&amp;'19_Расчет_аналитики'!BE559,WeightedRevAge09)-SUMIF(ThresholdAge09,"&lt;"&amp;'19_Расчет_аналитики'!BE559,WeightedMinAge09),MAX(CapacityAge09*'01_Вводные'!$B$218*'19_Расчет_аналитики'!BE559,MeanMinAge09)))</f>
        <v/>
      </c>
      <c r="BF472">
        <f>IF(OR('19_Расчет_аналитики'!BF444=0,9&lt;='01_Вводные'!$B$297),0,'19_Расчет_аналитики'!BF444*IF('01_Вводные'!$B$239="Да",MeanMinAge09+'19_Расчет_аналитики'!BF559*SUMIF(ThresholdAge09,"&lt;"&amp;'19_Расчет_аналитики'!BF559,WeightedRevAge09)-SUMIF(ThresholdAge09,"&lt;"&amp;'19_Расчет_аналитики'!BF559,WeightedMinAge09),MAX(CapacityAge09*'01_Вводные'!$B$218*'19_Расчет_аналитики'!BF559,MeanMinAge09)))</f>
        <v/>
      </c>
      <c r="BG472">
        <f>IF(OR('19_Расчет_аналитики'!BG444=0,9&lt;='01_Вводные'!$B$297),0,'19_Расчет_аналитики'!BG444*IF('01_Вводные'!$B$239="Да",MeanMinAge09+'19_Расчет_аналитики'!BG559*SUMIF(ThresholdAge09,"&lt;"&amp;'19_Расчет_аналитики'!BG559,WeightedRevAge09)-SUMIF(ThresholdAge09,"&lt;"&amp;'19_Расчет_аналитики'!BG559,WeightedMinAge09),MAX(CapacityAge09*'01_Вводные'!$B$218*'19_Расчет_аналитики'!BG559,MeanMinAge09)))</f>
        <v/>
      </c>
      <c r="BH472">
        <f>IF(OR('19_Расчет_аналитики'!BH444=0,9&lt;='01_Вводные'!$B$297),0,'19_Расчет_аналитики'!BH444*IF('01_Вводные'!$B$239="Да",MeanMinAge09+'19_Расчет_аналитики'!BH559*SUMIF(ThresholdAge09,"&lt;"&amp;'19_Расчет_аналитики'!BH559,WeightedRevAge09)-SUMIF(ThresholdAge09,"&lt;"&amp;'19_Расчет_аналитики'!BH559,WeightedMinAge09),MAX(CapacityAge09*'01_Вводные'!$B$218*'19_Расчет_аналитики'!BH559,MeanMinAge09)))</f>
        <v/>
      </c>
      <c r="BI472">
        <f>IF(OR('19_Расчет_аналитики'!BI444=0,9&lt;='01_Вводные'!$B$297),0,'19_Расчет_аналитики'!BI444*IF('01_Вводные'!$B$239="Да",MeanMinAge09+'19_Расчет_аналитики'!BI559*SUMIF(ThresholdAge09,"&lt;"&amp;'19_Расчет_аналитики'!BI559,WeightedRevAge09)-SUMIF(ThresholdAge09,"&lt;"&amp;'19_Расчет_аналитики'!BI559,WeightedMinAge09),MAX(CapacityAge09*'01_Вводные'!$B$218*'19_Расчет_аналитики'!BI559,MeanMinAge09)))</f>
        <v/>
      </c>
      <c r="BJ472">
        <f>IF(OR('19_Расчет_аналитики'!BJ444=0,9&lt;='01_Вводные'!$B$297),0,'19_Расчет_аналитики'!BJ444*IF('01_Вводные'!$B$239="Да",MeanMinAge09+'19_Расчет_аналитики'!BJ559*SUMIF(ThresholdAge09,"&lt;"&amp;'19_Расчет_аналитики'!BJ559,WeightedRevAge09)-SUMIF(ThresholdAge09,"&lt;"&amp;'19_Расчет_аналитики'!BJ559,WeightedMinAge09),MAX(CapacityAge09*'01_Вводные'!$B$218*'19_Расчет_аналитики'!BJ559,MeanMinAge09)))</f>
        <v/>
      </c>
      <c r="BK472">
        <f>IF(OR('19_Расчет_аналитики'!BK444=0,9&lt;='01_Вводные'!$B$297),0,'19_Расчет_аналитики'!BK444*IF('01_Вводные'!$B$239="Да",MeanMinAge09+'19_Расчет_аналитики'!BK559*SUMIF(ThresholdAge09,"&lt;"&amp;'19_Расчет_аналитики'!BK559,WeightedRevAge09)-SUMIF(ThresholdAge09,"&lt;"&amp;'19_Расчет_аналитики'!BK559,WeightedMinAge09),MAX(CapacityAge09*'01_Вводные'!$B$218*'19_Расчет_аналитики'!BK559,MeanMinAge09)))</f>
        <v/>
      </c>
      <c r="BL472">
        <f>IF(OR('19_Расчет_аналитики'!BL444=0,9&lt;='01_Вводные'!$B$297),0,'19_Расчет_аналитики'!BL444*IF('01_Вводные'!$B$239="Да",MeanMinAge09+'19_Расчет_аналитики'!BL559*SUMIF(ThresholdAge09,"&lt;"&amp;'19_Расчет_аналитики'!BL559,WeightedRevAge09)-SUMIF(ThresholdAge09,"&lt;"&amp;'19_Расчет_аналитики'!BL559,WeightedMinAge09),MAX(CapacityAge09*'01_Вводные'!$B$218*'19_Расчет_аналитики'!BL559,MeanMinAge09)))</f>
        <v/>
      </c>
      <c r="BM472">
        <f>IF(OR('19_Расчет_аналитики'!BM444=0,9&lt;='01_Вводные'!$B$297),0,'19_Расчет_аналитики'!BM444*IF('01_Вводные'!$B$239="Да",MeanMinAge09+'19_Расчет_аналитики'!BM559*SUMIF(ThresholdAge09,"&lt;"&amp;'19_Расчет_аналитики'!BM559,WeightedRevAge09)-SUMIF(ThresholdAge09,"&lt;"&amp;'19_Расчет_аналитики'!BM559,WeightedMinAge09),MAX(CapacityAge09*'01_Вводные'!$B$218*'19_Расчет_аналитики'!BM559,MeanMinAge09)))</f>
        <v/>
      </c>
      <c r="BN472">
        <f>IF(OR('19_Расчет_аналитики'!BN444=0,9&lt;='01_Вводные'!$B$297),0,'19_Расчет_аналитики'!BN444*IF('01_Вводные'!$B$239="Да",MeanMinAge09+'19_Расчет_аналитики'!BN559*SUMIF(ThresholdAge09,"&lt;"&amp;'19_Расчет_аналитики'!BN559,WeightedRevAge09)-SUMIF(ThresholdAge09,"&lt;"&amp;'19_Расчет_аналитики'!BN559,WeightedMinAge09),MAX(CapacityAge09*'01_Вводные'!$B$218*'19_Расчет_аналитики'!BN559,MeanMinAge09)))</f>
        <v/>
      </c>
      <c r="BO472">
        <f>IF(OR('19_Расчет_аналитики'!BO444=0,9&lt;='01_Вводные'!$B$297),0,'19_Расчет_аналитики'!BO444*IF('01_Вводные'!$B$239="Да",MeanMinAge09+'19_Расчет_аналитики'!BO559*SUMIF(ThresholdAge09,"&lt;"&amp;'19_Расчет_аналитики'!BO559,WeightedRevAge09)-SUMIF(ThresholdAge09,"&lt;"&amp;'19_Расчет_аналитики'!BO559,WeightedMinAge09),MAX(CapacityAge09*'01_Вводные'!$B$218*'19_Расчет_аналитики'!BO559,MeanMinAge09)))</f>
        <v/>
      </c>
    </row>
    <row r="473">
      <c r="B473">
        <f>IF(OR('06_Сеть_и_дети'!B90=0,10&lt;='01_Вводные'!$B$297),0,'06_Сеть_и_дети'!B90*IF('01_Вводные'!$B$239="Да",MeanMinAge10+'19_Расчет_аналитики'!B559*SUMIF(ThresholdAge10,"&lt;"&amp;'19_Расчет_аналитики'!B559,WeightedRevAge10)-SUMIF(ThresholdAge10,"&lt;"&amp;'19_Расчет_аналитики'!B559,WeightedMinAge10),MAX(CapacityAge10*'01_Вводные'!$B$218*'19_Расчет_аналитики'!B559,MeanMinAge10)))</f>
        <v/>
      </c>
      <c r="C473">
        <f>IF(OR('06_Сеть_и_дети'!C90=0,10&lt;='01_Вводные'!$B$297),0,'06_Сеть_и_дети'!C90*IF('01_Вводные'!$B$239="Да",MeanMinAge10+'19_Расчет_аналитики'!C559*SUMIF(ThresholdAge10,"&lt;"&amp;'19_Расчет_аналитики'!C559,WeightedRevAge10)-SUMIF(ThresholdAge10,"&lt;"&amp;'19_Расчет_аналитики'!C559,WeightedMinAge10),MAX(CapacityAge10*'01_Вводные'!$B$218*'19_Расчет_аналитики'!C559,MeanMinAge10)))</f>
        <v/>
      </c>
      <c r="D473">
        <f>IF(OR('06_Сеть_и_дети'!D90=0,10&lt;='01_Вводные'!$B$297),0,'06_Сеть_и_дети'!D90*IF('01_Вводные'!$B$239="Да",MeanMinAge10+'19_Расчет_аналитики'!D559*SUMIF(ThresholdAge10,"&lt;"&amp;'19_Расчет_аналитики'!D559,WeightedRevAge10)-SUMIF(ThresholdAge10,"&lt;"&amp;'19_Расчет_аналитики'!D559,WeightedMinAge10),MAX(CapacityAge10*'01_Вводные'!$B$218*'19_Расчет_аналитики'!D559,MeanMinAge10)))</f>
        <v/>
      </c>
      <c r="E473">
        <f>IF(OR('06_Сеть_и_дети'!E90=0,10&lt;='01_Вводные'!$B$297),0,'06_Сеть_и_дети'!E90*IF('01_Вводные'!$B$239="Да",MeanMinAge10+'19_Расчет_аналитики'!E559*SUMIF(ThresholdAge10,"&lt;"&amp;'19_Расчет_аналитики'!E559,WeightedRevAge10)-SUMIF(ThresholdAge10,"&lt;"&amp;'19_Расчет_аналитики'!E559,WeightedMinAge10),MAX(CapacityAge10*'01_Вводные'!$B$218*'19_Расчет_аналитики'!E559,MeanMinAge10)))</f>
        <v/>
      </c>
      <c r="F473">
        <f>IF(OR('06_Сеть_и_дети'!F90=0,10&lt;='01_Вводные'!$B$297),0,'06_Сеть_и_дети'!F90*IF('01_Вводные'!$B$239="Да",MeanMinAge10+'19_Расчет_аналитики'!F559*SUMIF(ThresholdAge10,"&lt;"&amp;'19_Расчет_аналитики'!F559,WeightedRevAge10)-SUMIF(ThresholdAge10,"&lt;"&amp;'19_Расчет_аналитики'!F559,WeightedMinAge10),MAX(CapacityAge10*'01_Вводные'!$B$218*'19_Расчет_аналитики'!F559,MeanMinAge10)))</f>
        <v/>
      </c>
      <c r="G473">
        <f>IF(OR('06_Сеть_и_дети'!G90=0,10&lt;='01_Вводные'!$B$297),0,'06_Сеть_и_дети'!G90*IF('01_Вводные'!$B$239="Да",MeanMinAge10+'19_Расчет_аналитики'!G559*SUMIF(ThresholdAge10,"&lt;"&amp;'19_Расчет_аналитики'!G559,WeightedRevAge10)-SUMIF(ThresholdAge10,"&lt;"&amp;'19_Расчет_аналитики'!G559,WeightedMinAge10),MAX(CapacityAge10*'01_Вводные'!$B$218*'19_Расчет_аналитики'!G559,MeanMinAge10)))</f>
        <v/>
      </c>
      <c r="H473">
        <f>IF(OR('06_Сеть_и_дети'!H90=0,10&lt;='01_Вводные'!$B$297),0,'06_Сеть_и_дети'!H90*IF('01_Вводные'!$B$239="Да",MeanMinAge10+'19_Расчет_аналитики'!H559*SUMIF(ThresholdAge10,"&lt;"&amp;'19_Расчет_аналитики'!H559,WeightedRevAge10)-SUMIF(ThresholdAge10,"&lt;"&amp;'19_Расчет_аналитики'!H559,WeightedMinAge10),MAX(CapacityAge10*'01_Вводные'!$B$218*'19_Расчет_аналитики'!H559,MeanMinAge10)))</f>
        <v/>
      </c>
      <c r="I473">
        <f>IF(OR('06_Сеть_и_дети'!I90=0,10&lt;='01_Вводные'!$B$297),0,'06_Сеть_и_дети'!I90*IF('01_Вводные'!$B$239="Да",MeanMinAge10+'19_Расчет_аналитики'!I559*SUMIF(ThresholdAge10,"&lt;"&amp;'19_Расчет_аналитики'!I559,WeightedRevAge10)-SUMIF(ThresholdAge10,"&lt;"&amp;'19_Расчет_аналитики'!I559,WeightedMinAge10),MAX(CapacityAge10*'01_Вводные'!$B$218*'19_Расчет_аналитики'!I559,MeanMinAge10)))</f>
        <v/>
      </c>
      <c r="J473">
        <f>IF(OR('06_Сеть_и_дети'!J90=0,10&lt;='01_Вводные'!$B$297),0,'06_Сеть_и_дети'!J90*IF('01_Вводные'!$B$239="Да",MeanMinAge10+'19_Расчет_аналитики'!J559*SUMIF(ThresholdAge10,"&lt;"&amp;'19_Расчет_аналитики'!J559,WeightedRevAge10)-SUMIF(ThresholdAge10,"&lt;"&amp;'19_Расчет_аналитики'!J559,WeightedMinAge10),MAX(CapacityAge10*'01_Вводные'!$B$218*'19_Расчет_аналитики'!J559,MeanMinAge10)))</f>
        <v/>
      </c>
      <c r="K473">
        <f>IF(OR('19_Расчет_аналитики'!K445=0,10&lt;='01_Вводные'!$B$297),0,'19_Расчет_аналитики'!K445*IF('01_Вводные'!$B$239="Да",MeanMinAge10+'19_Расчет_аналитики'!K559*SUMIF(ThresholdAge10,"&lt;"&amp;'19_Расчет_аналитики'!K559,WeightedRevAge10)-SUMIF(ThresholdAge10,"&lt;"&amp;'19_Расчет_аналитики'!K559,WeightedMinAge10),MAX(CapacityAge10*'01_Вводные'!$B$218*'19_Расчет_аналитики'!K559,MeanMinAge10)))</f>
        <v/>
      </c>
      <c r="L473">
        <f>IF(OR('19_Расчет_аналитики'!L445=0,10&lt;='01_Вводные'!$B$297),0,'19_Расчет_аналитики'!L445*IF('01_Вводные'!$B$239="Да",MeanMinAge10+'19_Расчет_аналитики'!L559*SUMIF(ThresholdAge10,"&lt;"&amp;'19_Расчет_аналитики'!L559,WeightedRevAge10)-SUMIF(ThresholdAge10,"&lt;"&amp;'19_Расчет_аналитики'!L559,WeightedMinAge10),MAX(CapacityAge10*'01_Вводные'!$B$218*'19_Расчет_аналитики'!L559,MeanMinAge10)))</f>
        <v/>
      </c>
      <c r="M473">
        <f>IF(OR('19_Расчет_аналитики'!M445=0,10&lt;='01_Вводные'!$B$297),0,'19_Расчет_аналитики'!M445*IF('01_Вводные'!$B$239="Да",MeanMinAge10+'19_Расчет_аналитики'!M559*SUMIF(ThresholdAge10,"&lt;"&amp;'19_Расчет_аналитики'!M559,WeightedRevAge10)-SUMIF(ThresholdAge10,"&lt;"&amp;'19_Расчет_аналитики'!M559,WeightedMinAge10),MAX(CapacityAge10*'01_Вводные'!$B$218*'19_Расчет_аналитики'!M559,MeanMinAge10)))</f>
        <v/>
      </c>
      <c r="N473">
        <f>IF(OR('19_Расчет_аналитики'!N445=0,10&lt;='01_Вводные'!$B$297),0,'19_Расчет_аналитики'!N445*IF('01_Вводные'!$B$239="Да",MeanMinAge10+'19_Расчет_аналитики'!N559*SUMIF(ThresholdAge10,"&lt;"&amp;'19_Расчет_аналитики'!N559,WeightedRevAge10)-SUMIF(ThresholdAge10,"&lt;"&amp;'19_Расчет_аналитики'!N559,WeightedMinAge10),MAX(CapacityAge10*'01_Вводные'!$B$218*'19_Расчет_аналитики'!N559,MeanMinAge10)))</f>
        <v/>
      </c>
      <c r="O473">
        <f>IF(OR('19_Расчет_аналитики'!O445=0,10&lt;='01_Вводные'!$B$297),0,'19_Расчет_аналитики'!O445*IF('01_Вводные'!$B$239="Да",MeanMinAge10+'19_Расчет_аналитики'!O559*SUMIF(ThresholdAge10,"&lt;"&amp;'19_Расчет_аналитики'!O559,WeightedRevAge10)-SUMIF(ThresholdAge10,"&lt;"&amp;'19_Расчет_аналитики'!O559,WeightedMinAge10),MAX(CapacityAge10*'01_Вводные'!$B$218*'19_Расчет_аналитики'!O559,MeanMinAge10)))</f>
        <v/>
      </c>
      <c r="P473">
        <f>IF(OR('19_Расчет_аналитики'!P445=0,10&lt;='01_Вводные'!$B$297),0,'19_Расчет_аналитики'!P445*IF('01_Вводные'!$B$239="Да",MeanMinAge10+'19_Расчет_аналитики'!P559*SUMIF(ThresholdAge10,"&lt;"&amp;'19_Расчет_аналитики'!P559,WeightedRevAge10)-SUMIF(ThresholdAge10,"&lt;"&amp;'19_Расчет_аналитики'!P559,WeightedMinAge10),MAX(CapacityAge10*'01_Вводные'!$B$218*'19_Расчет_аналитики'!P559,MeanMinAge10)))</f>
        <v/>
      </c>
      <c r="Q473">
        <f>IF(OR('19_Расчет_аналитики'!Q445=0,10&lt;='01_Вводные'!$B$297),0,'19_Расчет_аналитики'!Q445*IF('01_Вводные'!$B$239="Да",MeanMinAge10+'19_Расчет_аналитики'!Q559*SUMIF(ThresholdAge10,"&lt;"&amp;'19_Расчет_аналитики'!Q559,WeightedRevAge10)-SUMIF(ThresholdAge10,"&lt;"&amp;'19_Расчет_аналитики'!Q559,WeightedMinAge10),MAX(CapacityAge10*'01_Вводные'!$B$218*'19_Расчет_аналитики'!Q559,MeanMinAge10)))</f>
        <v/>
      </c>
      <c r="R473">
        <f>IF(OR('19_Расчет_аналитики'!R445=0,10&lt;='01_Вводные'!$B$297),0,'19_Расчет_аналитики'!R445*IF('01_Вводные'!$B$239="Да",MeanMinAge10+'19_Расчет_аналитики'!R559*SUMIF(ThresholdAge10,"&lt;"&amp;'19_Расчет_аналитики'!R559,WeightedRevAge10)-SUMIF(ThresholdAge10,"&lt;"&amp;'19_Расчет_аналитики'!R559,WeightedMinAge10),MAX(CapacityAge10*'01_Вводные'!$B$218*'19_Расчет_аналитики'!R559,MeanMinAge10)))</f>
        <v/>
      </c>
      <c r="S473">
        <f>IF(OR('19_Расчет_аналитики'!S445=0,10&lt;='01_Вводные'!$B$297),0,'19_Расчет_аналитики'!S445*IF('01_Вводные'!$B$239="Да",MeanMinAge10+'19_Расчет_аналитики'!S559*SUMIF(ThresholdAge10,"&lt;"&amp;'19_Расчет_аналитики'!S559,WeightedRevAge10)-SUMIF(ThresholdAge10,"&lt;"&amp;'19_Расчет_аналитики'!S559,WeightedMinAge10),MAX(CapacityAge10*'01_Вводные'!$B$218*'19_Расчет_аналитики'!S559,MeanMinAge10)))</f>
        <v/>
      </c>
      <c r="T473">
        <f>IF(OR('19_Расчет_аналитики'!T445=0,10&lt;='01_Вводные'!$B$297),0,'19_Расчет_аналитики'!T445*IF('01_Вводные'!$B$239="Да",MeanMinAge10+'19_Расчет_аналитики'!T559*SUMIF(ThresholdAge10,"&lt;"&amp;'19_Расчет_аналитики'!T559,WeightedRevAge10)-SUMIF(ThresholdAge10,"&lt;"&amp;'19_Расчет_аналитики'!T559,WeightedMinAge10),MAX(CapacityAge10*'01_Вводные'!$B$218*'19_Расчет_аналитики'!T559,MeanMinAge10)))</f>
        <v/>
      </c>
      <c r="U473">
        <f>IF(OR('19_Расчет_аналитики'!U445=0,10&lt;='01_Вводные'!$B$297),0,'19_Расчет_аналитики'!U445*IF('01_Вводные'!$B$239="Да",MeanMinAge10+'19_Расчет_аналитики'!U559*SUMIF(ThresholdAge10,"&lt;"&amp;'19_Расчет_аналитики'!U559,WeightedRevAge10)-SUMIF(ThresholdAge10,"&lt;"&amp;'19_Расчет_аналитики'!U559,WeightedMinAge10),MAX(CapacityAge10*'01_Вводные'!$B$218*'19_Расчет_аналитики'!U559,MeanMinAge10)))</f>
        <v/>
      </c>
      <c r="V473">
        <f>IF(OR('19_Расчет_аналитики'!V445=0,10&lt;='01_Вводные'!$B$297),0,'19_Расчет_аналитики'!V445*IF('01_Вводные'!$B$239="Да",MeanMinAge10+'19_Расчет_аналитики'!V559*SUMIF(ThresholdAge10,"&lt;"&amp;'19_Расчет_аналитики'!V559,WeightedRevAge10)-SUMIF(ThresholdAge10,"&lt;"&amp;'19_Расчет_аналитики'!V559,WeightedMinAge10),MAX(CapacityAge10*'01_Вводные'!$B$218*'19_Расчет_аналитики'!V559,MeanMinAge10)))</f>
        <v/>
      </c>
      <c r="W473">
        <f>IF(OR('19_Расчет_аналитики'!W445=0,10&lt;='01_Вводные'!$B$297),0,'19_Расчет_аналитики'!W445*IF('01_Вводные'!$B$239="Да",MeanMinAge10+'19_Расчет_аналитики'!W559*SUMIF(ThresholdAge10,"&lt;"&amp;'19_Расчет_аналитики'!W559,WeightedRevAge10)-SUMIF(ThresholdAge10,"&lt;"&amp;'19_Расчет_аналитики'!W559,WeightedMinAge10),MAX(CapacityAge10*'01_Вводные'!$B$218*'19_Расчет_аналитики'!W559,MeanMinAge10)))</f>
        <v/>
      </c>
      <c r="X473">
        <f>IF(OR('19_Расчет_аналитики'!X445=0,10&lt;='01_Вводные'!$B$297),0,'19_Расчет_аналитики'!X445*IF('01_Вводные'!$B$239="Да",MeanMinAge10+'19_Расчет_аналитики'!X559*SUMIF(ThresholdAge10,"&lt;"&amp;'19_Расчет_аналитики'!X559,WeightedRevAge10)-SUMIF(ThresholdAge10,"&lt;"&amp;'19_Расчет_аналитики'!X559,WeightedMinAge10),MAX(CapacityAge10*'01_Вводные'!$B$218*'19_Расчет_аналитики'!X559,MeanMinAge10)))</f>
        <v/>
      </c>
      <c r="Y473">
        <f>IF(OR('19_Расчет_аналитики'!Y445=0,10&lt;='01_Вводные'!$B$297),0,'19_Расчет_аналитики'!Y445*IF('01_Вводные'!$B$239="Да",MeanMinAge10+'19_Расчет_аналитики'!Y559*SUMIF(ThresholdAge10,"&lt;"&amp;'19_Расчет_аналитики'!Y559,WeightedRevAge10)-SUMIF(ThresholdAge10,"&lt;"&amp;'19_Расчет_аналитики'!Y559,WeightedMinAge10),MAX(CapacityAge10*'01_Вводные'!$B$218*'19_Расчет_аналитики'!Y559,MeanMinAge10)))</f>
        <v/>
      </c>
      <c r="Z473">
        <f>IF(OR('19_Расчет_аналитики'!Z445=0,10&lt;='01_Вводные'!$B$297),0,'19_Расчет_аналитики'!Z445*IF('01_Вводные'!$B$239="Да",MeanMinAge10+'19_Расчет_аналитики'!Z559*SUMIF(ThresholdAge10,"&lt;"&amp;'19_Расчет_аналитики'!Z559,WeightedRevAge10)-SUMIF(ThresholdAge10,"&lt;"&amp;'19_Расчет_аналитики'!Z559,WeightedMinAge10),MAX(CapacityAge10*'01_Вводные'!$B$218*'19_Расчет_аналитики'!Z559,MeanMinAge10)))</f>
        <v/>
      </c>
      <c r="AA473">
        <f>IF(OR('19_Расчет_аналитики'!AA445=0,10&lt;='01_Вводные'!$B$297),0,'19_Расчет_аналитики'!AA445*IF('01_Вводные'!$B$239="Да",MeanMinAge10+'19_Расчет_аналитики'!AA559*SUMIF(ThresholdAge10,"&lt;"&amp;'19_Расчет_аналитики'!AA559,WeightedRevAge10)-SUMIF(ThresholdAge10,"&lt;"&amp;'19_Расчет_аналитики'!AA559,WeightedMinAge10),MAX(CapacityAge10*'01_Вводные'!$B$218*'19_Расчет_аналитики'!AA559,MeanMinAge10)))</f>
        <v/>
      </c>
      <c r="AB473">
        <f>IF(OR('19_Расчет_аналитики'!AB445=0,10&lt;='01_Вводные'!$B$297),0,'19_Расчет_аналитики'!AB445*IF('01_Вводные'!$B$239="Да",MeanMinAge10+'19_Расчет_аналитики'!AB559*SUMIF(ThresholdAge10,"&lt;"&amp;'19_Расчет_аналитики'!AB559,WeightedRevAge10)-SUMIF(ThresholdAge10,"&lt;"&amp;'19_Расчет_аналитики'!AB559,WeightedMinAge10),MAX(CapacityAge10*'01_Вводные'!$B$218*'19_Расчет_аналитики'!AB559,MeanMinAge10)))</f>
        <v/>
      </c>
      <c r="AC473">
        <f>IF(OR('19_Расчет_аналитики'!AC445=0,10&lt;='01_Вводные'!$B$297),0,'19_Расчет_аналитики'!AC445*IF('01_Вводные'!$B$239="Да",MeanMinAge10+'19_Расчет_аналитики'!AC559*SUMIF(ThresholdAge10,"&lt;"&amp;'19_Расчет_аналитики'!AC559,WeightedRevAge10)-SUMIF(ThresholdAge10,"&lt;"&amp;'19_Расчет_аналитики'!AC559,WeightedMinAge10),MAX(CapacityAge10*'01_Вводные'!$B$218*'19_Расчет_аналитики'!AC559,MeanMinAge10)))</f>
        <v/>
      </c>
      <c r="AD473">
        <f>IF(OR('19_Расчет_аналитики'!AD445=0,10&lt;='01_Вводные'!$B$297),0,'19_Расчет_аналитики'!AD445*IF('01_Вводные'!$B$239="Да",MeanMinAge10+'19_Расчет_аналитики'!AD559*SUMIF(ThresholdAge10,"&lt;"&amp;'19_Расчет_аналитики'!AD559,WeightedRevAge10)-SUMIF(ThresholdAge10,"&lt;"&amp;'19_Расчет_аналитики'!AD559,WeightedMinAge10),MAX(CapacityAge10*'01_Вводные'!$B$218*'19_Расчет_аналитики'!AD559,MeanMinAge10)))</f>
        <v/>
      </c>
      <c r="AE473">
        <f>IF(OR('19_Расчет_аналитики'!AE445=0,10&lt;='01_Вводные'!$B$297),0,'19_Расчет_аналитики'!AE445*IF('01_Вводные'!$B$239="Да",MeanMinAge10+'19_Расчет_аналитики'!AE559*SUMIF(ThresholdAge10,"&lt;"&amp;'19_Расчет_аналитики'!AE559,WeightedRevAge10)-SUMIF(ThresholdAge10,"&lt;"&amp;'19_Расчет_аналитики'!AE559,WeightedMinAge10),MAX(CapacityAge10*'01_Вводные'!$B$218*'19_Расчет_аналитики'!AE559,MeanMinAge10)))</f>
        <v/>
      </c>
      <c r="AF473">
        <f>IF(OR('19_Расчет_аналитики'!AF445=0,10&lt;='01_Вводные'!$B$297),0,'19_Расчет_аналитики'!AF445*IF('01_Вводные'!$B$239="Да",MeanMinAge10+'19_Расчет_аналитики'!AF559*SUMIF(ThresholdAge10,"&lt;"&amp;'19_Расчет_аналитики'!AF559,WeightedRevAge10)-SUMIF(ThresholdAge10,"&lt;"&amp;'19_Расчет_аналитики'!AF559,WeightedMinAge10),MAX(CapacityAge10*'01_Вводные'!$B$218*'19_Расчет_аналитики'!AF559,MeanMinAge10)))</f>
        <v/>
      </c>
      <c r="AG473">
        <f>IF(OR('19_Расчет_аналитики'!AG445=0,10&lt;='01_Вводные'!$B$297),0,'19_Расчет_аналитики'!AG445*IF('01_Вводные'!$B$239="Да",MeanMinAge10+'19_Расчет_аналитики'!AG559*SUMIF(ThresholdAge10,"&lt;"&amp;'19_Расчет_аналитики'!AG559,WeightedRevAge10)-SUMIF(ThresholdAge10,"&lt;"&amp;'19_Расчет_аналитики'!AG559,WeightedMinAge10),MAX(CapacityAge10*'01_Вводные'!$B$218*'19_Расчет_аналитики'!AG559,MeanMinAge10)))</f>
        <v/>
      </c>
      <c r="AH473">
        <f>IF(OR('19_Расчет_аналитики'!AH445=0,10&lt;='01_Вводные'!$B$297),0,'19_Расчет_аналитики'!AH445*IF('01_Вводные'!$B$239="Да",MeanMinAge10+'19_Расчет_аналитики'!AH559*SUMIF(ThresholdAge10,"&lt;"&amp;'19_Расчет_аналитики'!AH559,WeightedRevAge10)-SUMIF(ThresholdAge10,"&lt;"&amp;'19_Расчет_аналитики'!AH559,WeightedMinAge10),MAX(CapacityAge10*'01_Вводные'!$B$218*'19_Расчет_аналитики'!AH559,MeanMinAge10)))</f>
        <v/>
      </c>
      <c r="AI473">
        <f>IF(OR('19_Расчет_аналитики'!AI445=0,10&lt;='01_Вводные'!$B$297),0,'19_Расчет_аналитики'!AI445*IF('01_Вводные'!$B$239="Да",MeanMinAge10+'19_Расчет_аналитики'!AI559*SUMIF(ThresholdAge10,"&lt;"&amp;'19_Расчет_аналитики'!AI559,WeightedRevAge10)-SUMIF(ThresholdAge10,"&lt;"&amp;'19_Расчет_аналитики'!AI559,WeightedMinAge10),MAX(CapacityAge10*'01_Вводные'!$B$218*'19_Расчет_аналитики'!AI559,MeanMinAge10)))</f>
        <v/>
      </c>
      <c r="AJ473">
        <f>IF(OR('19_Расчет_аналитики'!AJ445=0,10&lt;='01_Вводные'!$B$297),0,'19_Расчет_аналитики'!AJ445*IF('01_Вводные'!$B$239="Да",MeanMinAge10+'19_Расчет_аналитики'!AJ559*SUMIF(ThresholdAge10,"&lt;"&amp;'19_Расчет_аналитики'!AJ559,WeightedRevAge10)-SUMIF(ThresholdAge10,"&lt;"&amp;'19_Расчет_аналитики'!AJ559,WeightedMinAge10),MAX(CapacityAge10*'01_Вводные'!$B$218*'19_Расчет_аналитики'!AJ559,MeanMinAge10)))</f>
        <v/>
      </c>
      <c r="AK473">
        <f>IF(OR('19_Расчет_аналитики'!AK445=0,10&lt;='01_Вводные'!$B$297),0,'19_Расчет_аналитики'!AK445*IF('01_Вводные'!$B$239="Да",MeanMinAge10+'19_Расчет_аналитики'!AK559*SUMIF(ThresholdAge10,"&lt;"&amp;'19_Расчет_аналитики'!AK559,WeightedRevAge10)-SUMIF(ThresholdAge10,"&lt;"&amp;'19_Расчет_аналитики'!AK559,WeightedMinAge10),MAX(CapacityAge10*'01_Вводные'!$B$218*'19_Расчет_аналитики'!AK559,MeanMinAge10)))</f>
        <v/>
      </c>
      <c r="AL473">
        <f>IF(OR('19_Расчет_аналитики'!AL445=0,10&lt;='01_Вводные'!$B$297),0,'19_Расчет_аналитики'!AL445*IF('01_Вводные'!$B$239="Да",MeanMinAge10+'19_Расчет_аналитики'!AL559*SUMIF(ThresholdAge10,"&lt;"&amp;'19_Расчет_аналитики'!AL559,WeightedRevAge10)-SUMIF(ThresholdAge10,"&lt;"&amp;'19_Расчет_аналитики'!AL559,WeightedMinAge10),MAX(CapacityAge10*'01_Вводные'!$B$218*'19_Расчет_аналитики'!AL559,MeanMinAge10)))</f>
        <v/>
      </c>
      <c r="AM473">
        <f>IF(OR('19_Расчет_аналитики'!AM445=0,10&lt;='01_Вводные'!$B$297),0,'19_Расчет_аналитики'!AM445*IF('01_Вводные'!$B$239="Да",MeanMinAge10+'19_Расчет_аналитики'!AM559*SUMIF(ThresholdAge10,"&lt;"&amp;'19_Расчет_аналитики'!AM559,WeightedRevAge10)-SUMIF(ThresholdAge10,"&lt;"&amp;'19_Расчет_аналитики'!AM559,WeightedMinAge10),MAX(CapacityAge10*'01_Вводные'!$B$218*'19_Расчет_аналитики'!AM559,MeanMinAge10)))</f>
        <v/>
      </c>
      <c r="AN473">
        <f>IF(OR('19_Расчет_аналитики'!AN445=0,10&lt;='01_Вводные'!$B$297),0,'19_Расчет_аналитики'!AN445*IF('01_Вводные'!$B$239="Да",MeanMinAge10+'19_Расчет_аналитики'!AN559*SUMIF(ThresholdAge10,"&lt;"&amp;'19_Расчет_аналитики'!AN559,WeightedRevAge10)-SUMIF(ThresholdAge10,"&lt;"&amp;'19_Расчет_аналитики'!AN559,WeightedMinAge10),MAX(CapacityAge10*'01_Вводные'!$B$218*'19_Расчет_аналитики'!AN559,MeanMinAge10)))</f>
        <v/>
      </c>
      <c r="AO473">
        <f>IF(OR('19_Расчет_аналитики'!AO445=0,10&lt;='01_Вводные'!$B$297),0,'19_Расчет_аналитики'!AO445*IF('01_Вводные'!$B$239="Да",MeanMinAge10+'19_Расчет_аналитики'!AO559*SUMIF(ThresholdAge10,"&lt;"&amp;'19_Расчет_аналитики'!AO559,WeightedRevAge10)-SUMIF(ThresholdAge10,"&lt;"&amp;'19_Расчет_аналитики'!AO559,WeightedMinAge10),MAX(CapacityAge10*'01_Вводные'!$B$218*'19_Расчет_аналитики'!AO559,MeanMinAge10)))</f>
        <v/>
      </c>
      <c r="AP473">
        <f>IF(OR('19_Расчет_аналитики'!AP445=0,10&lt;='01_Вводные'!$B$297),0,'19_Расчет_аналитики'!AP445*IF('01_Вводные'!$B$239="Да",MeanMinAge10+'19_Расчет_аналитики'!AP559*SUMIF(ThresholdAge10,"&lt;"&amp;'19_Расчет_аналитики'!AP559,WeightedRevAge10)-SUMIF(ThresholdAge10,"&lt;"&amp;'19_Расчет_аналитики'!AP559,WeightedMinAge10),MAX(CapacityAge10*'01_Вводные'!$B$218*'19_Расчет_аналитики'!AP559,MeanMinAge10)))</f>
        <v/>
      </c>
      <c r="AQ473">
        <f>IF(OR('19_Расчет_аналитики'!AQ445=0,10&lt;='01_Вводные'!$B$297),0,'19_Расчет_аналитики'!AQ445*IF('01_Вводные'!$B$239="Да",MeanMinAge10+'19_Расчет_аналитики'!AQ559*SUMIF(ThresholdAge10,"&lt;"&amp;'19_Расчет_аналитики'!AQ559,WeightedRevAge10)-SUMIF(ThresholdAge10,"&lt;"&amp;'19_Расчет_аналитики'!AQ559,WeightedMinAge10),MAX(CapacityAge10*'01_Вводные'!$B$218*'19_Расчет_аналитики'!AQ559,MeanMinAge10)))</f>
        <v/>
      </c>
      <c r="AR473">
        <f>IF(OR('19_Расчет_аналитики'!AR445=0,10&lt;='01_Вводные'!$B$297),0,'19_Расчет_аналитики'!AR445*IF('01_Вводные'!$B$239="Да",MeanMinAge10+'19_Расчет_аналитики'!AR559*SUMIF(ThresholdAge10,"&lt;"&amp;'19_Расчет_аналитики'!AR559,WeightedRevAge10)-SUMIF(ThresholdAge10,"&lt;"&amp;'19_Расчет_аналитики'!AR559,WeightedMinAge10),MAX(CapacityAge10*'01_Вводные'!$B$218*'19_Расчет_аналитики'!AR559,MeanMinAge10)))</f>
        <v/>
      </c>
      <c r="AS473">
        <f>IF(OR('19_Расчет_аналитики'!AS445=0,10&lt;='01_Вводные'!$B$297),0,'19_Расчет_аналитики'!AS445*IF('01_Вводные'!$B$239="Да",MeanMinAge10+'19_Расчет_аналитики'!AS559*SUMIF(ThresholdAge10,"&lt;"&amp;'19_Расчет_аналитики'!AS559,WeightedRevAge10)-SUMIF(ThresholdAge10,"&lt;"&amp;'19_Расчет_аналитики'!AS559,WeightedMinAge10),MAX(CapacityAge10*'01_Вводные'!$B$218*'19_Расчет_аналитики'!AS559,MeanMinAge10)))</f>
        <v/>
      </c>
      <c r="AT473">
        <f>IF(OR('19_Расчет_аналитики'!AT445=0,10&lt;='01_Вводные'!$B$297),0,'19_Расчет_аналитики'!AT445*IF('01_Вводные'!$B$239="Да",MeanMinAge10+'19_Расчет_аналитики'!AT559*SUMIF(ThresholdAge10,"&lt;"&amp;'19_Расчет_аналитики'!AT559,WeightedRevAge10)-SUMIF(ThresholdAge10,"&lt;"&amp;'19_Расчет_аналитики'!AT559,WeightedMinAge10),MAX(CapacityAge10*'01_Вводные'!$B$218*'19_Расчет_аналитики'!AT559,MeanMinAge10)))</f>
        <v/>
      </c>
      <c r="AU473">
        <f>IF(OR('19_Расчет_аналитики'!AU445=0,10&lt;='01_Вводные'!$B$297),0,'19_Расчет_аналитики'!AU445*IF('01_Вводные'!$B$239="Да",MeanMinAge10+'19_Расчет_аналитики'!AU559*SUMIF(ThresholdAge10,"&lt;"&amp;'19_Расчет_аналитики'!AU559,WeightedRevAge10)-SUMIF(ThresholdAge10,"&lt;"&amp;'19_Расчет_аналитики'!AU559,WeightedMinAge10),MAX(CapacityAge10*'01_Вводные'!$B$218*'19_Расчет_аналитики'!AU559,MeanMinAge10)))</f>
        <v/>
      </c>
      <c r="AV473">
        <f>IF(OR('19_Расчет_аналитики'!AV445=0,10&lt;='01_Вводные'!$B$297),0,'19_Расчет_аналитики'!AV445*IF('01_Вводные'!$B$239="Да",MeanMinAge10+'19_Расчет_аналитики'!AV559*SUMIF(ThresholdAge10,"&lt;"&amp;'19_Расчет_аналитики'!AV559,WeightedRevAge10)-SUMIF(ThresholdAge10,"&lt;"&amp;'19_Расчет_аналитики'!AV559,WeightedMinAge10),MAX(CapacityAge10*'01_Вводные'!$B$218*'19_Расчет_аналитики'!AV559,MeanMinAge10)))</f>
        <v/>
      </c>
      <c r="AW473">
        <f>IF(OR('19_Расчет_аналитики'!AW445=0,10&lt;='01_Вводные'!$B$297),0,'19_Расчет_аналитики'!AW445*IF('01_Вводные'!$B$239="Да",MeanMinAge10+'19_Расчет_аналитики'!AW559*SUMIF(ThresholdAge10,"&lt;"&amp;'19_Расчет_аналитики'!AW559,WeightedRevAge10)-SUMIF(ThresholdAge10,"&lt;"&amp;'19_Расчет_аналитики'!AW559,WeightedMinAge10),MAX(CapacityAge10*'01_Вводные'!$B$218*'19_Расчет_аналитики'!AW559,MeanMinAge10)))</f>
        <v/>
      </c>
      <c r="AX473">
        <f>IF(OR('19_Расчет_аналитики'!AX445=0,10&lt;='01_Вводные'!$B$297),0,'19_Расчет_аналитики'!AX445*IF('01_Вводные'!$B$239="Да",MeanMinAge10+'19_Расчет_аналитики'!AX559*SUMIF(ThresholdAge10,"&lt;"&amp;'19_Расчет_аналитики'!AX559,WeightedRevAge10)-SUMIF(ThresholdAge10,"&lt;"&amp;'19_Расчет_аналитики'!AX559,WeightedMinAge10),MAX(CapacityAge10*'01_Вводные'!$B$218*'19_Расчет_аналитики'!AX559,MeanMinAge10)))</f>
        <v/>
      </c>
      <c r="AY473">
        <f>IF(OR('19_Расчет_аналитики'!AY445=0,10&lt;='01_Вводные'!$B$297),0,'19_Расчет_аналитики'!AY445*IF('01_Вводные'!$B$239="Да",MeanMinAge10+'19_Расчет_аналитики'!AY559*SUMIF(ThresholdAge10,"&lt;"&amp;'19_Расчет_аналитики'!AY559,WeightedRevAge10)-SUMIF(ThresholdAge10,"&lt;"&amp;'19_Расчет_аналитики'!AY559,WeightedMinAge10),MAX(CapacityAge10*'01_Вводные'!$B$218*'19_Расчет_аналитики'!AY559,MeanMinAge10)))</f>
        <v/>
      </c>
      <c r="AZ473">
        <f>IF(OR('19_Расчет_аналитики'!AZ445=0,10&lt;='01_Вводные'!$B$297),0,'19_Расчет_аналитики'!AZ445*IF('01_Вводные'!$B$239="Да",MeanMinAge10+'19_Расчет_аналитики'!AZ559*SUMIF(ThresholdAge10,"&lt;"&amp;'19_Расчет_аналитики'!AZ559,WeightedRevAge10)-SUMIF(ThresholdAge10,"&lt;"&amp;'19_Расчет_аналитики'!AZ559,WeightedMinAge10),MAX(CapacityAge10*'01_Вводные'!$B$218*'19_Расчет_аналитики'!AZ559,MeanMinAge10)))</f>
        <v/>
      </c>
      <c r="BA473">
        <f>IF(OR('19_Расчет_аналитики'!BA445=0,10&lt;='01_Вводные'!$B$297),0,'19_Расчет_аналитики'!BA445*IF('01_Вводные'!$B$239="Да",MeanMinAge10+'19_Расчет_аналитики'!BA559*SUMIF(ThresholdAge10,"&lt;"&amp;'19_Расчет_аналитики'!BA559,WeightedRevAge10)-SUMIF(ThresholdAge10,"&lt;"&amp;'19_Расчет_аналитики'!BA559,WeightedMinAge10),MAX(CapacityAge10*'01_Вводные'!$B$218*'19_Расчет_аналитики'!BA559,MeanMinAge10)))</f>
        <v/>
      </c>
      <c r="BB473">
        <f>IF(OR('19_Расчет_аналитики'!BB445=0,10&lt;='01_Вводные'!$B$297),0,'19_Расчет_аналитики'!BB445*IF('01_Вводные'!$B$239="Да",MeanMinAge10+'19_Расчет_аналитики'!BB559*SUMIF(ThresholdAge10,"&lt;"&amp;'19_Расчет_аналитики'!BB559,WeightedRevAge10)-SUMIF(ThresholdAge10,"&lt;"&amp;'19_Расчет_аналитики'!BB559,WeightedMinAge10),MAX(CapacityAge10*'01_Вводные'!$B$218*'19_Расчет_аналитики'!BB559,MeanMinAge10)))</f>
        <v/>
      </c>
      <c r="BC473">
        <f>IF(OR('19_Расчет_аналитики'!BC445=0,10&lt;='01_Вводные'!$B$297),0,'19_Расчет_аналитики'!BC445*IF('01_Вводные'!$B$239="Да",MeanMinAge10+'19_Расчет_аналитики'!BC559*SUMIF(ThresholdAge10,"&lt;"&amp;'19_Расчет_аналитики'!BC559,WeightedRevAge10)-SUMIF(ThresholdAge10,"&lt;"&amp;'19_Расчет_аналитики'!BC559,WeightedMinAge10),MAX(CapacityAge10*'01_Вводные'!$B$218*'19_Расчет_аналитики'!BC559,MeanMinAge10)))</f>
        <v/>
      </c>
      <c r="BD473">
        <f>IF(OR('19_Расчет_аналитики'!BD445=0,10&lt;='01_Вводные'!$B$297),0,'19_Расчет_аналитики'!BD445*IF('01_Вводные'!$B$239="Да",MeanMinAge10+'19_Расчет_аналитики'!BD559*SUMIF(ThresholdAge10,"&lt;"&amp;'19_Расчет_аналитики'!BD559,WeightedRevAge10)-SUMIF(ThresholdAge10,"&lt;"&amp;'19_Расчет_аналитики'!BD559,WeightedMinAge10),MAX(CapacityAge10*'01_Вводные'!$B$218*'19_Расчет_аналитики'!BD559,MeanMinAge10)))</f>
        <v/>
      </c>
      <c r="BE473">
        <f>IF(OR('19_Расчет_аналитики'!BE445=0,10&lt;='01_Вводные'!$B$297),0,'19_Расчет_аналитики'!BE445*IF('01_Вводные'!$B$239="Да",MeanMinAge10+'19_Расчет_аналитики'!BE559*SUMIF(ThresholdAge10,"&lt;"&amp;'19_Расчет_аналитики'!BE559,WeightedRevAge10)-SUMIF(ThresholdAge10,"&lt;"&amp;'19_Расчет_аналитики'!BE559,WeightedMinAge10),MAX(CapacityAge10*'01_Вводные'!$B$218*'19_Расчет_аналитики'!BE559,MeanMinAge10)))</f>
        <v/>
      </c>
      <c r="BF473">
        <f>IF(OR('19_Расчет_аналитики'!BF445=0,10&lt;='01_Вводные'!$B$297),0,'19_Расчет_аналитики'!BF445*IF('01_Вводные'!$B$239="Да",MeanMinAge10+'19_Расчет_аналитики'!BF559*SUMIF(ThresholdAge10,"&lt;"&amp;'19_Расчет_аналитики'!BF559,WeightedRevAge10)-SUMIF(ThresholdAge10,"&lt;"&amp;'19_Расчет_аналитики'!BF559,WeightedMinAge10),MAX(CapacityAge10*'01_Вводные'!$B$218*'19_Расчет_аналитики'!BF559,MeanMinAge10)))</f>
        <v/>
      </c>
      <c r="BG473">
        <f>IF(OR('19_Расчет_аналитики'!BG445=0,10&lt;='01_Вводные'!$B$297),0,'19_Расчет_аналитики'!BG445*IF('01_Вводные'!$B$239="Да",MeanMinAge10+'19_Расчет_аналитики'!BG559*SUMIF(ThresholdAge10,"&lt;"&amp;'19_Расчет_аналитики'!BG559,WeightedRevAge10)-SUMIF(ThresholdAge10,"&lt;"&amp;'19_Расчет_аналитики'!BG559,WeightedMinAge10),MAX(CapacityAge10*'01_Вводные'!$B$218*'19_Расчет_аналитики'!BG559,MeanMinAge10)))</f>
        <v/>
      </c>
      <c r="BH473">
        <f>IF(OR('19_Расчет_аналитики'!BH445=0,10&lt;='01_Вводные'!$B$297),0,'19_Расчет_аналитики'!BH445*IF('01_Вводные'!$B$239="Да",MeanMinAge10+'19_Расчет_аналитики'!BH559*SUMIF(ThresholdAge10,"&lt;"&amp;'19_Расчет_аналитики'!BH559,WeightedRevAge10)-SUMIF(ThresholdAge10,"&lt;"&amp;'19_Расчет_аналитики'!BH559,WeightedMinAge10),MAX(CapacityAge10*'01_Вводные'!$B$218*'19_Расчет_аналитики'!BH559,MeanMinAge10)))</f>
        <v/>
      </c>
      <c r="BI473">
        <f>IF(OR('19_Расчет_аналитики'!BI445=0,10&lt;='01_Вводные'!$B$297),0,'19_Расчет_аналитики'!BI445*IF('01_Вводные'!$B$239="Да",MeanMinAge10+'19_Расчет_аналитики'!BI559*SUMIF(ThresholdAge10,"&lt;"&amp;'19_Расчет_аналитики'!BI559,WeightedRevAge10)-SUMIF(ThresholdAge10,"&lt;"&amp;'19_Расчет_аналитики'!BI559,WeightedMinAge10),MAX(CapacityAge10*'01_Вводные'!$B$218*'19_Расчет_аналитики'!BI559,MeanMinAge10)))</f>
        <v/>
      </c>
      <c r="BJ473">
        <f>IF(OR('19_Расчет_аналитики'!BJ445=0,10&lt;='01_Вводные'!$B$297),0,'19_Расчет_аналитики'!BJ445*IF('01_Вводные'!$B$239="Да",MeanMinAge10+'19_Расчет_аналитики'!BJ559*SUMIF(ThresholdAge10,"&lt;"&amp;'19_Расчет_аналитики'!BJ559,WeightedRevAge10)-SUMIF(ThresholdAge10,"&lt;"&amp;'19_Расчет_аналитики'!BJ559,WeightedMinAge10),MAX(CapacityAge10*'01_Вводные'!$B$218*'19_Расчет_аналитики'!BJ559,MeanMinAge10)))</f>
        <v/>
      </c>
      <c r="BK473">
        <f>IF(OR('19_Расчет_аналитики'!BK445=0,10&lt;='01_Вводные'!$B$297),0,'19_Расчет_аналитики'!BK445*IF('01_Вводные'!$B$239="Да",MeanMinAge10+'19_Расчет_аналитики'!BK559*SUMIF(ThresholdAge10,"&lt;"&amp;'19_Расчет_аналитики'!BK559,WeightedRevAge10)-SUMIF(ThresholdAge10,"&lt;"&amp;'19_Расчет_аналитики'!BK559,WeightedMinAge10),MAX(CapacityAge10*'01_Вводные'!$B$218*'19_Расчет_аналитики'!BK559,MeanMinAge10)))</f>
        <v/>
      </c>
      <c r="BL473">
        <f>IF(OR('19_Расчет_аналитики'!BL445=0,10&lt;='01_Вводные'!$B$297),0,'19_Расчет_аналитики'!BL445*IF('01_Вводные'!$B$239="Да",MeanMinAge10+'19_Расчет_аналитики'!BL559*SUMIF(ThresholdAge10,"&lt;"&amp;'19_Расчет_аналитики'!BL559,WeightedRevAge10)-SUMIF(ThresholdAge10,"&lt;"&amp;'19_Расчет_аналитики'!BL559,WeightedMinAge10),MAX(CapacityAge10*'01_Вводные'!$B$218*'19_Расчет_аналитики'!BL559,MeanMinAge10)))</f>
        <v/>
      </c>
      <c r="BM473">
        <f>IF(OR('19_Расчет_аналитики'!BM445=0,10&lt;='01_Вводные'!$B$297),0,'19_Расчет_аналитики'!BM445*IF('01_Вводные'!$B$239="Да",MeanMinAge10+'19_Расчет_аналитики'!BM559*SUMIF(ThresholdAge10,"&lt;"&amp;'19_Расчет_аналитики'!BM559,WeightedRevAge10)-SUMIF(ThresholdAge10,"&lt;"&amp;'19_Расчет_аналитики'!BM559,WeightedMinAge10),MAX(CapacityAge10*'01_Вводные'!$B$218*'19_Расчет_аналитики'!BM559,MeanMinAge10)))</f>
        <v/>
      </c>
      <c r="BN473">
        <f>IF(OR('19_Расчет_аналитики'!BN445=0,10&lt;='01_Вводные'!$B$297),0,'19_Расчет_аналитики'!BN445*IF('01_Вводные'!$B$239="Да",MeanMinAge10+'19_Расчет_аналитики'!BN559*SUMIF(ThresholdAge10,"&lt;"&amp;'19_Расчет_аналитики'!BN559,WeightedRevAge10)-SUMIF(ThresholdAge10,"&lt;"&amp;'19_Расчет_аналитики'!BN559,WeightedMinAge10),MAX(CapacityAge10*'01_Вводные'!$B$218*'19_Расчет_аналитики'!BN559,MeanMinAge10)))</f>
        <v/>
      </c>
      <c r="BO473">
        <f>IF(OR('19_Расчет_аналитики'!BO445=0,10&lt;='01_Вводные'!$B$297),0,'19_Расчет_аналитики'!BO445*IF('01_Вводные'!$B$239="Да",MeanMinAge10+'19_Расчет_аналитики'!BO559*SUMIF(ThresholdAge10,"&lt;"&amp;'19_Расчет_аналитики'!BO559,WeightedRevAge10)-SUMIF(ThresholdAge10,"&lt;"&amp;'19_Расчет_аналитики'!BO559,WeightedMinAge10),MAX(CapacityAge10*'01_Вводные'!$B$218*'19_Расчет_аналитики'!BO559,MeanMinAge10)))</f>
        <v/>
      </c>
    </row>
    <row r="474">
      <c r="B474">
        <f>IF(OR('06_Сеть_и_дети'!B91=0,11&lt;='01_Вводные'!$B$297),0,'06_Сеть_и_дети'!B91*IF('01_Вводные'!$B$239="Да",MeanMinAge11+'19_Расчет_аналитики'!B559*SUMIF(ThresholdAge11,"&lt;"&amp;'19_Расчет_аналитики'!B559,WeightedRevAge11)-SUMIF(ThresholdAge11,"&lt;"&amp;'19_Расчет_аналитики'!B559,WeightedMinAge11),MAX(CapacityAge11*'01_Вводные'!$B$218*'19_Расчет_аналитики'!B559,MeanMinAge11)))</f>
        <v/>
      </c>
      <c r="C474">
        <f>IF(OR('06_Сеть_и_дети'!C91=0,11&lt;='01_Вводные'!$B$297),0,'06_Сеть_и_дети'!C91*IF('01_Вводные'!$B$239="Да",MeanMinAge11+'19_Расчет_аналитики'!C559*SUMIF(ThresholdAge11,"&lt;"&amp;'19_Расчет_аналитики'!C559,WeightedRevAge11)-SUMIF(ThresholdAge11,"&lt;"&amp;'19_Расчет_аналитики'!C559,WeightedMinAge11),MAX(CapacityAge11*'01_Вводные'!$B$218*'19_Расчет_аналитики'!C559,MeanMinAge11)))</f>
        <v/>
      </c>
      <c r="D474">
        <f>IF(OR('06_Сеть_и_дети'!D91=0,11&lt;='01_Вводные'!$B$297),0,'06_Сеть_и_дети'!D91*IF('01_Вводные'!$B$239="Да",MeanMinAge11+'19_Расчет_аналитики'!D559*SUMIF(ThresholdAge11,"&lt;"&amp;'19_Расчет_аналитики'!D559,WeightedRevAge11)-SUMIF(ThresholdAge11,"&lt;"&amp;'19_Расчет_аналитики'!D559,WeightedMinAge11),MAX(CapacityAge11*'01_Вводные'!$B$218*'19_Расчет_аналитики'!D559,MeanMinAge11)))</f>
        <v/>
      </c>
      <c r="E474">
        <f>IF(OR('06_Сеть_и_дети'!E91=0,11&lt;='01_Вводные'!$B$297),0,'06_Сеть_и_дети'!E91*IF('01_Вводные'!$B$239="Да",MeanMinAge11+'19_Расчет_аналитики'!E559*SUMIF(ThresholdAge11,"&lt;"&amp;'19_Расчет_аналитики'!E559,WeightedRevAge11)-SUMIF(ThresholdAge11,"&lt;"&amp;'19_Расчет_аналитики'!E559,WeightedMinAge11),MAX(CapacityAge11*'01_Вводные'!$B$218*'19_Расчет_аналитики'!E559,MeanMinAge11)))</f>
        <v/>
      </c>
      <c r="F474">
        <f>IF(OR('06_Сеть_и_дети'!F91=0,11&lt;='01_Вводные'!$B$297),0,'06_Сеть_и_дети'!F91*IF('01_Вводные'!$B$239="Да",MeanMinAge11+'19_Расчет_аналитики'!F559*SUMIF(ThresholdAge11,"&lt;"&amp;'19_Расчет_аналитики'!F559,WeightedRevAge11)-SUMIF(ThresholdAge11,"&lt;"&amp;'19_Расчет_аналитики'!F559,WeightedMinAge11),MAX(CapacityAge11*'01_Вводные'!$B$218*'19_Расчет_аналитики'!F559,MeanMinAge11)))</f>
        <v/>
      </c>
      <c r="G474">
        <f>IF(OR('06_Сеть_и_дети'!G91=0,11&lt;='01_Вводные'!$B$297),0,'06_Сеть_и_дети'!G91*IF('01_Вводные'!$B$239="Да",MeanMinAge11+'19_Расчет_аналитики'!G559*SUMIF(ThresholdAge11,"&lt;"&amp;'19_Расчет_аналитики'!G559,WeightedRevAge11)-SUMIF(ThresholdAge11,"&lt;"&amp;'19_Расчет_аналитики'!G559,WeightedMinAge11),MAX(CapacityAge11*'01_Вводные'!$B$218*'19_Расчет_аналитики'!G559,MeanMinAge11)))</f>
        <v/>
      </c>
      <c r="H474">
        <f>IF(OR('06_Сеть_и_дети'!H91=0,11&lt;='01_Вводные'!$B$297),0,'06_Сеть_и_дети'!H91*IF('01_Вводные'!$B$239="Да",MeanMinAge11+'19_Расчет_аналитики'!H559*SUMIF(ThresholdAge11,"&lt;"&amp;'19_Расчет_аналитики'!H559,WeightedRevAge11)-SUMIF(ThresholdAge11,"&lt;"&amp;'19_Расчет_аналитики'!H559,WeightedMinAge11),MAX(CapacityAge11*'01_Вводные'!$B$218*'19_Расчет_аналитики'!H559,MeanMinAge11)))</f>
        <v/>
      </c>
      <c r="I474">
        <f>IF(OR('06_Сеть_и_дети'!I91=0,11&lt;='01_Вводные'!$B$297),0,'06_Сеть_и_дети'!I91*IF('01_Вводные'!$B$239="Да",MeanMinAge11+'19_Расчет_аналитики'!I559*SUMIF(ThresholdAge11,"&lt;"&amp;'19_Расчет_аналитики'!I559,WeightedRevAge11)-SUMIF(ThresholdAge11,"&lt;"&amp;'19_Расчет_аналитики'!I559,WeightedMinAge11),MAX(CapacityAge11*'01_Вводные'!$B$218*'19_Расчет_аналитики'!I559,MeanMinAge11)))</f>
        <v/>
      </c>
      <c r="J474">
        <f>IF(OR('06_Сеть_и_дети'!J91=0,11&lt;='01_Вводные'!$B$297),0,'06_Сеть_и_дети'!J91*IF('01_Вводные'!$B$239="Да",MeanMinAge11+'19_Расчет_аналитики'!J559*SUMIF(ThresholdAge11,"&lt;"&amp;'19_Расчет_аналитики'!J559,WeightedRevAge11)-SUMIF(ThresholdAge11,"&lt;"&amp;'19_Расчет_аналитики'!J559,WeightedMinAge11),MAX(CapacityAge11*'01_Вводные'!$B$218*'19_Расчет_аналитики'!J559,MeanMinAge11)))</f>
        <v/>
      </c>
      <c r="K474">
        <f>IF(OR('06_Сеть_и_дети'!K91=0,11&lt;='01_Вводные'!$B$297),0,'06_Сеть_и_дети'!K91*IF('01_Вводные'!$B$239="Да",MeanMinAge11+'19_Расчет_аналитики'!K559*SUMIF(ThresholdAge11,"&lt;"&amp;'19_Расчет_аналитики'!K559,WeightedRevAge11)-SUMIF(ThresholdAge11,"&lt;"&amp;'19_Расчет_аналитики'!K559,WeightedMinAge11),MAX(CapacityAge11*'01_Вводные'!$B$218*'19_Расчет_аналитики'!K559,MeanMinAge11)))</f>
        <v/>
      </c>
      <c r="L474">
        <f>IF(OR('19_Расчет_аналитики'!L446=0,11&lt;='01_Вводные'!$B$297),0,'19_Расчет_аналитики'!L446*IF('01_Вводные'!$B$239="Да",MeanMinAge11+'19_Расчет_аналитики'!L559*SUMIF(ThresholdAge11,"&lt;"&amp;'19_Расчет_аналитики'!L559,WeightedRevAge11)-SUMIF(ThresholdAge11,"&lt;"&amp;'19_Расчет_аналитики'!L559,WeightedMinAge11),MAX(CapacityAge11*'01_Вводные'!$B$218*'19_Расчет_аналитики'!L559,MeanMinAge11)))</f>
        <v/>
      </c>
      <c r="M474">
        <f>IF(OR('19_Расчет_аналитики'!M446=0,11&lt;='01_Вводные'!$B$297),0,'19_Расчет_аналитики'!M446*IF('01_Вводные'!$B$239="Да",MeanMinAge11+'19_Расчет_аналитики'!M559*SUMIF(ThresholdAge11,"&lt;"&amp;'19_Расчет_аналитики'!M559,WeightedRevAge11)-SUMIF(ThresholdAge11,"&lt;"&amp;'19_Расчет_аналитики'!M559,WeightedMinAge11),MAX(CapacityAge11*'01_Вводные'!$B$218*'19_Расчет_аналитики'!M559,MeanMinAge11)))</f>
        <v/>
      </c>
      <c r="N474">
        <f>IF(OR('19_Расчет_аналитики'!N446=0,11&lt;='01_Вводные'!$B$297),0,'19_Расчет_аналитики'!N446*IF('01_Вводные'!$B$239="Да",MeanMinAge11+'19_Расчет_аналитики'!N559*SUMIF(ThresholdAge11,"&lt;"&amp;'19_Расчет_аналитики'!N559,WeightedRevAge11)-SUMIF(ThresholdAge11,"&lt;"&amp;'19_Расчет_аналитики'!N559,WeightedMinAge11),MAX(CapacityAge11*'01_Вводные'!$B$218*'19_Расчет_аналитики'!N559,MeanMinAge11)))</f>
        <v/>
      </c>
      <c r="O474">
        <f>IF(OR('19_Расчет_аналитики'!O446=0,11&lt;='01_Вводные'!$B$297),0,'19_Расчет_аналитики'!O446*IF('01_Вводные'!$B$239="Да",MeanMinAge11+'19_Расчет_аналитики'!O559*SUMIF(ThresholdAge11,"&lt;"&amp;'19_Расчет_аналитики'!O559,WeightedRevAge11)-SUMIF(ThresholdAge11,"&lt;"&amp;'19_Расчет_аналитики'!O559,WeightedMinAge11),MAX(CapacityAge11*'01_Вводные'!$B$218*'19_Расчет_аналитики'!O559,MeanMinAge11)))</f>
        <v/>
      </c>
      <c r="P474">
        <f>IF(OR('19_Расчет_аналитики'!P446=0,11&lt;='01_Вводные'!$B$297),0,'19_Расчет_аналитики'!P446*IF('01_Вводные'!$B$239="Да",MeanMinAge11+'19_Расчет_аналитики'!P559*SUMIF(ThresholdAge11,"&lt;"&amp;'19_Расчет_аналитики'!P559,WeightedRevAge11)-SUMIF(ThresholdAge11,"&lt;"&amp;'19_Расчет_аналитики'!P559,WeightedMinAge11),MAX(CapacityAge11*'01_Вводные'!$B$218*'19_Расчет_аналитики'!P559,MeanMinAge11)))</f>
        <v/>
      </c>
      <c r="Q474">
        <f>IF(OR('19_Расчет_аналитики'!Q446=0,11&lt;='01_Вводные'!$B$297),0,'19_Расчет_аналитики'!Q446*IF('01_Вводные'!$B$239="Да",MeanMinAge11+'19_Расчет_аналитики'!Q559*SUMIF(ThresholdAge11,"&lt;"&amp;'19_Расчет_аналитики'!Q559,WeightedRevAge11)-SUMIF(ThresholdAge11,"&lt;"&amp;'19_Расчет_аналитики'!Q559,WeightedMinAge11),MAX(CapacityAge11*'01_Вводные'!$B$218*'19_Расчет_аналитики'!Q559,MeanMinAge11)))</f>
        <v/>
      </c>
      <c r="R474">
        <f>IF(OR('19_Расчет_аналитики'!R446=0,11&lt;='01_Вводные'!$B$297),0,'19_Расчет_аналитики'!R446*IF('01_Вводные'!$B$239="Да",MeanMinAge11+'19_Расчет_аналитики'!R559*SUMIF(ThresholdAge11,"&lt;"&amp;'19_Расчет_аналитики'!R559,WeightedRevAge11)-SUMIF(ThresholdAge11,"&lt;"&amp;'19_Расчет_аналитики'!R559,WeightedMinAge11),MAX(CapacityAge11*'01_Вводные'!$B$218*'19_Расчет_аналитики'!R559,MeanMinAge11)))</f>
        <v/>
      </c>
      <c r="S474">
        <f>IF(OR('19_Расчет_аналитики'!S446=0,11&lt;='01_Вводные'!$B$297),0,'19_Расчет_аналитики'!S446*IF('01_Вводные'!$B$239="Да",MeanMinAge11+'19_Расчет_аналитики'!S559*SUMIF(ThresholdAge11,"&lt;"&amp;'19_Расчет_аналитики'!S559,WeightedRevAge11)-SUMIF(ThresholdAge11,"&lt;"&amp;'19_Расчет_аналитики'!S559,WeightedMinAge11),MAX(CapacityAge11*'01_Вводные'!$B$218*'19_Расчет_аналитики'!S559,MeanMinAge11)))</f>
        <v/>
      </c>
      <c r="T474">
        <f>IF(OR('19_Расчет_аналитики'!T446=0,11&lt;='01_Вводные'!$B$297),0,'19_Расчет_аналитики'!T446*IF('01_Вводные'!$B$239="Да",MeanMinAge11+'19_Расчет_аналитики'!T559*SUMIF(ThresholdAge11,"&lt;"&amp;'19_Расчет_аналитики'!T559,WeightedRevAge11)-SUMIF(ThresholdAge11,"&lt;"&amp;'19_Расчет_аналитики'!T559,WeightedMinAge11),MAX(CapacityAge11*'01_Вводные'!$B$218*'19_Расчет_аналитики'!T559,MeanMinAge11)))</f>
        <v/>
      </c>
      <c r="U474">
        <f>IF(OR('19_Расчет_аналитики'!U446=0,11&lt;='01_Вводные'!$B$297),0,'19_Расчет_аналитики'!U446*IF('01_Вводные'!$B$239="Да",MeanMinAge11+'19_Расчет_аналитики'!U559*SUMIF(ThresholdAge11,"&lt;"&amp;'19_Расчет_аналитики'!U559,WeightedRevAge11)-SUMIF(ThresholdAge11,"&lt;"&amp;'19_Расчет_аналитики'!U559,WeightedMinAge11),MAX(CapacityAge11*'01_Вводные'!$B$218*'19_Расчет_аналитики'!U559,MeanMinAge11)))</f>
        <v/>
      </c>
      <c r="V474">
        <f>IF(OR('19_Расчет_аналитики'!V446=0,11&lt;='01_Вводные'!$B$297),0,'19_Расчет_аналитики'!V446*IF('01_Вводные'!$B$239="Да",MeanMinAge11+'19_Расчет_аналитики'!V559*SUMIF(ThresholdAge11,"&lt;"&amp;'19_Расчет_аналитики'!V559,WeightedRevAge11)-SUMIF(ThresholdAge11,"&lt;"&amp;'19_Расчет_аналитики'!V559,WeightedMinAge11),MAX(CapacityAge11*'01_Вводные'!$B$218*'19_Расчет_аналитики'!V559,MeanMinAge11)))</f>
        <v/>
      </c>
      <c r="W474">
        <f>IF(OR('19_Расчет_аналитики'!W446=0,11&lt;='01_Вводные'!$B$297),0,'19_Расчет_аналитики'!W446*IF('01_Вводные'!$B$239="Да",MeanMinAge11+'19_Расчет_аналитики'!W559*SUMIF(ThresholdAge11,"&lt;"&amp;'19_Расчет_аналитики'!W559,WeightedRevAge11)-SUMIF(ThresholdAge11,"&lt;"&amp;'19_Расчет_аналитики'!W559,WeightedMinAge11),MAX(CapacityAge11*'01_Вводные'!$B$218*'19_Расчет_аналитики'!W559,MeanMinAge11)))</f>
        <v/>
      </c>
      <c r="X474">
        <f>IF(OR('19_Расчет_аналитики'!X446=0,11&lt;='01_Вводные'!$B$297),0,'19_Расчет_аналитики'!X446*IF('01_Вводные'!$B$239="Да",MeanMinAge11+'19_Расчет_аналитики'!X559*SUMIF(ThresholdAge11,"&lt;"&amp;'19_Расчет_аналитики'!X559,WeightedRevAge11)-SUMIF(ThresholdAge11,"&lt;"&amp;'19_Расчет_аналитики'!X559,WeightedMinAge11),MAX(CapacityAge11*'01_Вводные'!$B$218*'19_Расчет_аналитики'!X559,MeanMinAge11)))</f>
        <v/>
      </c>
      <c r="Y474">
        <f>IF(OR('19_Расчет_аналитики'!Y446=0,11&lt;='01_Вводные'!$B$297),0,'19_Расчет_аналитики'!Y446*IF('01_Вводные'!$B$239="Да",MeanMinAge11+'19_Расчет_аналитики'!Y559*SUMIF(ThresholdAge11,"&lt;"&amp;'19_Расчет_аналитики'!Y559,WeightedRevAge11)-SUMIF(ThresholdAge11,"&lt;"&amp;'19_Расчет_аналитики'!Y559,WeightedMinAge11),MAX(CapacityAge11*'01_Вводные'!$B$218*'19_Расчет_аналитики'!Y559,MeanMinAge11)))</f>
        <v/>
      </c>
      <c r="Z474">
        <f>IF(OR('19_Расчет_аналитики'!Z446=0,11&lt;='01_Вводные'!$B$297),0,'19_Расчет_аналитики'!Z446*IF('01_Вводные'!$B$239="Да",MeanMinAge11+'19_Расчет_аналитики'!Z559*SUMIF(ThresholdAge11,"&lt;"&amp;'19_Расчет_аналитики'!Z559,WeightedRevAge11)-SUMIF(ThresholdAge11,"&lt;"&amp;'19_Расчет_аналитики'!Z559,WeightedMinAge11),MAX(CapacityAge11*'01_Вводные'!$B$218*'19_Расчет_аналитики'!Z559,MeanMinAge11)))</f>
        <v/>
      </c>
      <c r="AA474">
        <f>IF(OR('19_Расчет_аналитики'!AA446=0,11&lt;='01_Вводные'!$B$297),0,'19_Расчет_аналитики'!AA446*IF('01_Вводные'!$B$239="Да",MeanMinAge11+'19_Расчет_аналитики'!AA559*SUMIF(ThresholdAge11,"&lt;"&amp;'19_Расчет_аналитики'!AA559,WeightedRevAge11)-SUMIF(ThresholdAge11,"&lt;"&amp;'19_Расчет_аналитики'!AA559,WeightedMinAge11),MAX(CapacityAge11*'01_Вводные'!$B$218*'19_Расчет_аналитики'!AA559,MeanMinAge11)))</f>
        <v/>
      </c>
      <c r="AB474">
        <f>IF(OR('19_Расчет_аналитики'!AB446=0,11&lt;='01_Вводные'!$B$297),0,'19_Расчет_аналитики'!AB446*IF('01_Вводные'!$B$239="Да",MeanMinAge11+'19_Расчет_аналитики'!AB559*SUMIF(ThresholdAge11,"&lt;"&amp;'19_Расчет_аналитики'!AB559,WeightedRevAge11)-SUMIF(ThresholdAge11,"&lt;"&amp;'19_Расчет_аналитики'!AB559,WeightedMinAge11),MAX(CapacityAge11*'01_Вводные'!$B$218*'19_Расчет_аналитики'!AB559,MeanMinAge11)))</f>
        <v/>
      </c>
      <c r="AC474">
        <f>IF(OR('19_Расчет_аналитики'!AC446=0,11&lt;='01_Вводные'!$B$297),0,'19_Расчет_аналитики'!AC446*IF('01_Вводные'!$B$239="Да",MeanMinAge11+'19_Расчет_аналитики'!AC559*SUMIF(ThresholdAge11,"&lt;"&amp;'19_Расчет_аналитики'!AC559,WeightedRevAge11)-SUMIF(ThresholdAge11,"&lt;"&amp;'19_Расчет_аналитики'!AC559,WeightedMinAge11),MAX(CapacityAge11*'01_Вводные'!$B$218*'19_Расчет_аналитики'!AC559,MeanMinAge11)))</f>
        <v/>
      </c>
      <c r="AD474">
        <f>IF(OR('19_Расчет_аналитики'!AD446=0,11&lt;='01_Вводные'!$B$297),0,'19_Расчет_аналитики'!AD446*IF('01_Вводные'!$B$239="Да",MeanMinAge11+'19_Расчет_аналитики'!AD559*SUMIF(ThresholdAge11,"&lt;"&amp;'19_Расчет_аналитики'!AD559,WeightedRevAge11)-SUMIF(ThresholdAge11,"&lt;"&amp;'19_Расчет_аналитики'!AD559,WeightedMinAge11),MAX(CapacityAge11*'01_Вводные'!$B$218*'19_Расчет_аналитики'!AD559,MeanMinAge11)))</f>
        <v/>
      </c>
      <c r="AE474">
        <f>IF(OR('19_Расчет_аналитики'!AE446=0,11&lt;='01_Вводные'!$B$297),0,'19_Расчет_аналитики'!AE446*IF('01_Вводные'!$B$239="Да",MeanMinAge11+'19_Расчет_аналитики'!AE559*SUMIF(ThresholdAge11,"&lt;"&amp;'19_Расчет_аналитики'!AE559,WeightedRevAge11)-SUMIF(ThresholdAge11,"&lt;"&amp;'19_Расчет_аналитики'!AE559,WeightedMinAge11),MAX(CapacityAge11*'01_Вводные'!$B$218*'19_Расчет_аналитики'!AE559,MeanMinAge11)))</f>
        <v/>
      </c>
      <c r="AF474">
        <f>IF(OR('19_Расчет_аналитики'!AF446=0,11&lt;='01_Вводные'!$B$297),0,'19_Расчет_аналитики'!AF446*IF('01_Вводные'!$B$239="Да",MeanMinAge11+'19_Расчет_аналитики'!AF559*SUMIF(ThresholdAge11,"&lt;"&amp;'19_Расчет_аналитики'!AF559,WeightedRevAge11)-SUMIF(ThresholdAge11,"&lt;"&amp;'19_Расчет_аналитики'!AF559,WeightedMinAge11),MAX(CapacityAge11*'01_Вводные'!$B$218*'19_Расчет_аналитики'!AF559,MeanMinAge11)))</f>
        <v/>
      </c>
      <c r="AG474">
        <f>IF(OR('19_Расчет_аналитики'!AG446=0,11&lt;='01_Вводные'!$B$297),0,'19_Расчет_аналитики'!AG446*IF('01_Вводные'!$B$239="Да",MeanMinAge11+'19_Расчет_аналитики'!AG559*SUMIF(ThresholdAge11,"&lt;"&amp;'19_Расчет_аналитики'!AG559,WeightedRevAge11)-SUMIF(ThresholdAge11,"&lt;"&amp;'19_Расчет_аналитики'!AG559,WeightedMinAge11),MAX(CapacityAge11*'01_Вводные'!$B$218*'19_Расчет_аналитики'!AG559,MeanMinAge11)))</f>
        <v/>
      </c>
      <c r="AH474">
        <f>IF(OR('19_Расчет_аналитики'!AH446=0,11&lt;='01_Вводные'!$B$297),0,'19_Расчет_аналитики'!AH446*IF('01_Вводные'!$B$239="Да",MeanMinAge11+'19_Расчет_аналитики'!AH559*SUMIF(ThresholdAge11,"&lt;"&amp;'19_Расчет_аналитики'!AH559,WeightedRevAge11)-SUMIF(ThresholdAge11,"&lt;"&amp;'19_Расчет_аналитики'!AH559,WeightedMinAge11),MAX(CapacityAge11*'01_Вводные'!$B$218*'19_Расчет_аналитики'!AH559,MeanMinAge11)))</f>
        <v/>
      </c>
      <c r="AI474">
        <f>IF(OR('19_Расчет_аналитики'!AI446=0,11&lt;='01_Вводные'!$B$297),0,'19_Расчет_аналитики'!AI446*IF('01_Вводные'!$B$239="Да",MeanMinAge11+'19_Расчет_аналитики'!AI559*SUMIF(ThresholdAge11,"&lt;"&amp;'19_Расчет_аналитики'!AI559,WeightedRevAge11)-SUMIF(ThresholdAge11,"&lt;"&amp;'19_Расчет_аналитики'!AI559,WeightedMinAge11),MAX(CapacityAge11*'01_Вводные'!$B$218*'19_Расчет_аналитики'!AI559,MeanMinAge11)))</f>
        <v/>
      </c>
      <c r="AJ474">
        <f>IF(OR('19_Расчет_аналитики'!AJ446=0,11&lt;='01_Вводные'!$B$297),0,'19_Расчет_аналитики'!AJ446*IF('01_Вводные'!$B$239="Да",MeanMinAge11+'19_Расчет_аналитики'!AJ559*SUMIF(ThresholdAge11,"&lt;"&amp;'19_Расчет_аналитики'!AJ559,WeightedRevAge11)-SUMIF(ThresholdAge11,"&lt;"&amp;'19_Расчет_аналитики'!AJ559,WeightedMinAge11),MAX(CapacityAge11*'01_Вводные'!$B$218*'19_Расчет_аналитики'!AJ559,MeanMinAge11)))</f>
        <v/>
      </c>
      <c r="AK474">
        <f>IF(OR('19_Расчет_аналитики'!AK446=0,11&lt;='01_Вводные'!$B$297),0,'19_Расчет_аналитики'!AK446*IF('01_Вводные'!$B$239="Да",MeanMinAge11+'19_Расчет_аналитики'!AK559*SUMIF(ThresholdAge11,"&lt;"&amp;'19_Расчет_аналитики'!AK559,WeightedRevAge11)-SUMIF(ThresholdAge11,"&lt;"&amp;'19_Расчет_аналитики'!AK559,WeightedMinAge11),MAX(CapacityAge11*'01_Вводные'!$B$218*'19_Расчет_аналитики'!AK559,MeanMinAge11)))</f>
        <v/>
      </c>
      <c r="AL474">
        <f>IF(OR('19_Расчет_аналитики'!AL446=0,11&lt;='01_Вводные'!$B$297),0,'19_Расчет_аналитики'!AL446*IF('01_Вводные'!$B$239="Да",MeanMinAge11+'19_Расчет_аналитики'!AL559*SUMIF(ThresholdAge11,"&lt;"&amp;'19_Расчет_аналитики'!AL559,WeightedRevAge11)-SUMIF(ThresholdAge11,"&lt;"&amp;'19_Расчет_аналитики'!AL559,WeightedMinAge11),MAX(CapacityAge11*'01_Вводные'!$B$218*'19_Расчет_аналитики'!AL559,MeanMinAge11)))</f>
        <v/>
      </c>
      <c r="AM474">
        <f>IF(OR('19_Расчет_аналитики'!AM446=0,11&lt;='01_Вводные'!$B$297),0,'19_Расчет_аналитики'!AM446*IF('01_Вводные'!$B$239="Да",MeanMinAge11+'19_Расчет_аналитики'!AM559*SUMIF(ThresholdAge11,"&lt;"&amp;'19_Расчет_аналитики'!AM559,WeightedRevAge11)-SUMIF(ThresholdAge11,"&lt;"&amp;'19_Расчет_аналитики'!AM559,WeightedMinAge11),MAX(CapacityAge11*'01_Вводные'!$B$218*'19_Расчет_аналитики'!AM559,MeanMinAge11)))</f>
        <v/>
      </c>
      <c r="AN474">
        <f>IF(OR('19_Расчет_аналитики'!AN446=0,11&lt;='01_Вводные'!$B$297),0,'19_Расчет_аналитики'!AN446*IF('01_Вводные'!$B$239="Да",MeanMinAge11+'19_Расчет_аналитики'!AN559*SUMIF(ThresholdAge11,"&lt;"&amp;'19_Расчет_аналитики'!AN559,WeightedRevAge11)-SUMIF(ThresholdAge11,"&lt;"&amp;'19_Расчет_аналитики'!AN559,WeightedMinAge11),MAX(CapacityAge11*'01_Вводные'!$B$218*'19_Расчет_аналитики'!AN559,MeanMinAge11)))</f>
        <v/>
      </c>
      <c r="AO474">
        <f>IF(OR('19_Расчет_аналитики'!AO446=0,11&lt;='01_Вводные'!$B$297),0,'19_Расчет_аналитики'!AO446*IF('01_Вводные'!$B$239="Да",MeanMinAge11+'19_Расчет_аналитики'!AO559*SUMIF(ThresholdAge11,"&lt;"&amp;'19_Расчет_аналитики'!AO559,WeightedRevAge11)-SUMIF(ThresholdAge11,"&lt;"&amp;'19_Расчет_аналитики'!AO559,WeightedMinAge11),MAX(CapacityAge11*'01_Вводные'!$B$218*'19_Расчет_аналитики'!AO559,MeanMinAge11)))</f>
        <v/>
      </c>
      <c r="AP474">
        <f>IF(OR('19_Расчет_аналитики'!AP446=0,11&lt;='01_Вводные'!$B$297),0,'19_Расчет_аналитики'!AP446*IF('01_Вводные'!$B$239="Да",MeanMinAge11+'19_Расчет_аналитики'!AP559*SUMIF(ThresholdAge11,"&lt;"&amp;'19_Расчет_аналитики'!AP559,WeightedRevAge11)-SUMIF(ThresholdAge11,"&lt;"&amp;'19_Расчет_аналитики'!AP559,WeightedMinAge11),MAX(CapacityAge11*'01_Вводные'!$B$218*'19_Расчет_аналитики'!AP559,MeanMinAge11)))</f>
        <v/>
      </c>
      <c r="AQ474">
        <f>IF(OR('19_Расчет_аналитики'!AQ446=0,11&lt;='01_Вводные'!$B$297),0,'19_Расчет_аналитики'!AQ446*IF('01_Вводные'!$B$239="Да",MeanMinAge11+'19_Расчет_аналитики'!AQ559*SUMIF(ThresholdAge11,"&lt;"&amp;'19_Расчет_аналитики'!AQ559,WeightedRevAge11)-SUMIF(ThresholdAge11,"&lt;"&amp;'19_Расчет_аналитики'!AQ559,WeightedMinAge11),MAX(CapacityAge11*'01_Вводные'!$B$218*'19_Расчет_аналитики'!AQ559,MeanMinAge11)))</f>
        <v/>
      </c>
      <c r="AR474">
        <f>IF(OR('19_Расчет_аналитики'!AR446=0,11&lt;='01_Вводные'!$B$297),0,'19_Расчет_аналитики'!AR446*IF('01_Вводные'!$B$239="Да",MeanMinAge11+'19_Расчет_аналитики'!AR559*SUMIF(ThresholdAge11,"&lt;"&amp;'19_Расчет_аналитики'!AR559,WeightedRevAge11)-SUMIF(ThresholdAge11,"&lt;"&amp;'19_Расчет_аналитики'!AR559,WeightedMinAge11),MAX(CapacityAge11*'01_Вводные'!$B$218*'19_Расчет_аналитики'!AR559,MeanMinAge11)))</f>
        <v/>
      </c>
      <c r="AS474">
        <f>IF(OR('19_Расчет_аналитики'!AS446=0,11&lt;='01_Вводные'!$B$297),0,'19_Расчет_аналитики'!AS446*IF('01_Вводные'!$B$239="Да",MeanMinAge11+'19_Расчет_аналитики'!AS559*SUMIF(ThresholdAge11,"&lt;"&amp;'19_Расчет_аналитики'!AS559,WeightedRevAge11)-SUMIF(ThresholdAge11,"&lt;"&amp;'19_Расчет_аналитики'!AS559,WeightedMinAge11),MAX(CapacityAge11*'01_Вводные'!$B$218*'19_Расчет_аналитики'!AS559,MeanMinAge11)))</f>
        <v/>
      </c>
      <c r="AT474">
        <f>IF(OR('19_Расчет_аналитики'!AT446=0,11&lt;='01_Вводные'!$B$297),0,'19_Расчет_аналитики'!AT446*IF('01_Вводные'!$B$239="Да",MeanMinAge11+'19_Расчет_аналитики'!AT559*SUMIF(ThresholdAge11,"&lt;"&amp;'19_Расчет_аналитики'!AT559,WeightedRevAge11)-SUMIF(ThresholdAge11,"&lt;"&amp;'19_Расчет_аналитики'!AT559,WeightedMinAge11),MAX(CapacityAge11*'01_Вводные'!$B$218*'19_Расчет_аналитики'!AT559,MeanMinAge11)))</f>
        <v/>
      </c>
      <c r="AU474">
        <f>IF(OR('19_Расчет_аналитики'!AU446=0,11&lt;='01_Вводные'!$B$297),0,'19_Расчет_аналитики'!AU446*IF('01_Вводные'!$B$239="Да",MeanMinAge11+'19_Расчет_аналитики'!AU559*SUMIF(ThresholdAge11,"&lt;"&amp;'19_Расчет_аналитики'!AU559,WeightedRevAge11)-SUMIF(ThresholdAge11,"&lt;"&amp;'19_Расчет_аналитики'!AU559,WeightedMinAge11),MAX(CapacityAge11*'01_Вводные'!$B$218*'19_Расчет_аналитики'!AU559,MeanMinAge11)))</f>
        <v/>
      </c>
      <c r="AV474">
        <f>IF(OR('19_Расчет_аналитики'!AV446=0,11&lt;='01_Вводные'!$B$297),0,'19_Расчет_аналитики'!AV446*IF('01_Вводные'!$B$239="Да",MeanMinAge11+'19_Расчет_аналитики'!AV559*SUMIF(ThresholdAge11,"&lt;"&amp;'19_Расчет_аналитики'!AV559,WeightedRevAge11)-SUMIF(ThresholdAge11,"&lt;"&amp;'19_Расчет_аналитики'!AV559,WeightedMinAge11),MAX(CapacityAge11*'01_Вводные'!$B$218*'19_Расчет_аналитики'!AV559,MeanMinAge11)))</f>
        <v/>
      </c>
      <c r="AW474">
        <f>IF(OR('19_Расчет_аналитики'!AW446=0,11&lt;='01_Вводные'!$B$297),0,'19_Расчет_аналитики'!AW446*IF('01_Вводные'!$B$239="Да",MeanMinAge11+'19_Расчет_аналитики'!AW559*SUMIF(ThresholdAge11,"&lt;"&amp;'19_Расчет_аналитики'!AW559,WeightedRevAge11)-SUMIF(ThresholdAge11,"&lt;"&amp;'19_Расчет_аналитики'!AW559,WeightedMinAge11),MAX(CapacityAge11*'01_Вводные'!$B$218*'19_Расчет_аналитики'!AW559,MeanMinAge11)))</f>
        <v/>
      </c>
      <c r="AX474">
        <f>IF(OR('19_Расчет_аналитики'!AX446=0,11&lt;='01_Вводные'!$B$297),0,'19_Расчет_аналитики'!AX446*IF('01_Вводные'!$B$239="Да",MeanMinAge11+'19_Расчет_аналитики'!AX559*SUMIF(ThresholdAge11,"&lt;"&amp;'19_Расчет_аналитики'!AX559,WeightedRevAge11)-SUMIF(ThresholdAge11,"&lt;"&amp;'19_Расчет_аналитики'!AX559,WeightedMinAge11),MAX(CapacityAge11*'01_Вводные'!$B$218*'19_Расчет_аналитики'!AX559,MeanMinAge11)))</f>
        <v/>
      </c>
      <c r="AY474">
        <f>IF(OR('19_Расчет_аналитики'!AY446=0,11&lt;='01_Вводные'!$B$297),0,'19_Расчет_аналитики'!AY446*IF('01_Вводные'!$B$239="Да",MeanMinAge11+'19_Расчет_аналитики'!AY559*SUMIF(ThresholdAge11,"&lt;"&amp;'19_Расчет_аналитики'!AY559,WeightedRevAge11)-SUMIF(ThresholdAge11,"&lt;"&amp;'19_Расчет_аналитики'!AY559,WeightedMinAge11),MAX(CapacityAge11*'01_Вводные'!$B$218*'19_Расчет_аналитики'!AY559,MeanMinAge11)))</f>
        <v/>
      </c>
      <c r="AZ474">
        <f>IF(OR('19_Расчет_аналитики'!AZ446=0,11&lt;='01_Вводные'!$B$297),0,'19_Расчет_аналитики'!AZ446*IF('01_Вводные'!$B$239="Да",MeanMinAge11+'19_Расчет_аналитики'!AZ559*SUMIF(ThresholdAge11,"&lt;"&amp;'19_Расчет_аналитики'!AZ559,WeightedRevAge11)-SUMIF(ThresholdAge11,"&lt;"&amp;'19_Расчет_аналитики'!AZ559,WeightedMinAge11),MAX(CapacityAge11*'01_Вводные'!$B$218*'19_Расчет_аналитики'!AZ559,MeanMinAge11)))</f>
        <v/>
      </c>
      <c r="BA474">
        <f>IF(OR('19_Расчет_аналитики'!BA446=0,11&lt;='01_Вводные'!$B$297),0,'19_Расчет_аналитики'!BA446*IF('01_Вводные'!$B$239="Да",MeanMinAge11+'19_Расчет_аналитики'!BA559*SUMIF(ThresholdAge11,"&lt;"&amp;'19_Расчет_аналитики'!BA559,WeightedRevAge11)-SUMIF(ThresholdAge11,"&lt;"&amp;'19_Расчет_аналитики'!BA559,WeightedMinAge11),MAX(CapacityAge11*'01_Вводные'!$B$218*'19_Расчет_аналитики'!BA559,MeanMinAge11)))</f>
        <v/>
      </c>
      <c r="BB474">
        <f>IF(OR('19_Расчет_аналитики'!BB446=0,11&lt;='01_Вводные'!$B$297),0,'19_Расчет_аналитики'!BB446*IF('01_Вводные'!$B$239="Да",MeanMinAge11+'19_Расчет_аналитики'!BB559*SUMIF(ThresholdAge11,"&lt;"&amp;'19_Расчет_аналитики'!BB559,WeightedRevAge11)-SUMIF(ThresholdAge11,"&lt;"&amp;'19_Расчет_аналитики'!BB559,WeightedMinAge11),MAX(CapacityAge11*'01_Вводные'!$B$218*'19_Расчет_аналитики'!BB559,MeanMinAge11)))</f>
        <v/>
      </c>
      <c r="BC474">
        <f>IF(OR('19_Расчет_аналитики'!BC446=0,11&lt;='01_Вводные'!$B$297),0,'19_Расчет_аналитики'!BC446*IF('01_Вводные'!$B$239="Да",MeanMinAge11+'19_Расчет_аналитики'!BC559*SUMIF(ThresholdAge11,"&lt;"&amp;'19_Расчет_аналитики'!BC559,WeightedRevAge11)-SUMIF(ThresholdAge11,"&lt;"&amp;'19_Расчет_аналитики'!BC559,WeightedMinAge11),MAX(CapacityAge11*'01_Вводные'!$B$218*'19_Расчет_аналитики'!BC559,MeanMinAge11)))</f>
        <v/>
      </c>
      <c r="BD474">
        <f>IF(OR('19_Расчет_аналитики'!BD446=0,11&lt;='01_Вводные'!$B$297),0,'19_Расчет_аналитики'!BD446*IF('01_Вводные'!$B$239="Да",MeanMinAge11+'19_Расчет_аналитики'!BD559*SUMIF(ThresholdAge11,"&lt;"&amp;'19_Расчет_аналитики'!BD559,WeightedRevAge11)-SUMIF(ThresholdAge11,"&lt;"&amp;'19_Расчет_аналитики'!BD559,WeightedMinAge11),MAX(CapacityAge11*'01_Вводные'!$B$218*'19_Расчет_аналитики'!BD559,MeanMinAge11)))</f>
        <v/>
      </c>
      <c r="BE474">
        <f>IF(OR('19_Расчет_аналитики'!BE446=0,11&lt;='01_Вводные'!$B$297),0,'19_Расчет_аналитики'!BE446*IF('01_Вводные'!$B$239="Да",MeanMinAge11+'19_Расчет_аналитики'!BE559*SUMIF(ThresholdAge11,"&lt;"&amp;'19_Расчет_аналитики'!BE559,WeightedRevAge11)-SUMIF(ThresholdAge11,"&lt;"&amp;'19_Расчет_аналитики'!BE559,WeightedMinAge11),MAX(CapacityAge11*'01_Вводные'!$B$218*'19_Расчет_аналитики'!BE559,MeanMinAge11)))</f>
        <v/>
      </c>
      <c r="BF474">
        <f>IF(OR('19_Расчет_аналитики'!BF446=0,11&lt;='01_Вводные'!$B$297),0,'19_Расчет_аналитики'!BF446*IF('01_Вводные'!$B$239="Да",MeanMinAge11+'19_Расчет_аналитики'!BF559*SUMIF(ThresholdAge11,"&lt;"&amp;'19_Расчет_аналитики'!BF559,WeightedRevAge11)-SUMIF(ThresholdAge11,"&lt;"&amp;'19_Расчет_аналитики'!BF559,WeightedMinAge11),MAX(CapacityAge11*'01_Вводные'!$B$218*'19_Расчет_аналитики'!BF559,MeanMinAge11)))</f>
        <v/>
      </c>
      <c r="BG474">
        <f>IF(OR('19_Расчет_аналитики'!BG446=0,11&lt;='01_Вводные'!$B$297),0,'19_Расчет_аналитики'!BG446*IF('01_Вводные'!$B$239="Да",MeanMinAge11+'19_Расчет_аналитики'!BG559*SUMIF(ThresholdAge11,"&lt;"&amp;'19_Расчет_аналитики'!BG559,WeightedRevAge11)-SUMIF(ThresholdAge11,"&lt;"&amp;'19_Расчет_аналитики'!BG559,WeightedMinAge11),MAX(CapacityAge11*'01_Вводные'!$B$218*'19_Расчет_аналитики'!BG559,MeanMinAge11)))</f>
        <v/>
      </c>
      <c r="BH474">
        <f>IF(OR('19_Расчет_аналитики'!BH446=0,11&lt;='01_Вводные'!$B$297),0,'19_Расчет_аналитики'!BH446*IF('01_Вводные'!$B$239="Да",MeanMinAge11+'19_Расчет_аналитики'!BH559*SUMIF(ThresholdAge11,"&lt;"&amp;'19_Расчет_аналитики'!BH559,WeightedRevAge11)-SUMIF(ThresholdAge11,"&lt;"&amp;'19_Расчет_аналитики'!BH559,WeightedMinAge11),MAX(CapacityAge11*'01_Вводные'!$B$218*'19_Расчет_аналитики'!BH559,MeanMinAge11)))</f>
        <v/>
      </c>
      <c r="BI474">
        <f>IF(OR('19_Расчет_аналитики'!BI446=0,11&lt;='01_Вводные'!$B$297),0,'19_Расчет_аналитики'!BI446*IF('01_Вводные'!$B$239="Да",MeanMinAge11+'19_Расчет_аналитики'!BI559*SUMIF(ThresholdAge11,"&lt;"&amp;'19_Расчет_аналитики'!BI559,WeightedRevAge11)-SUMIF(ThresholdAge11,"&lt;"&amp;'19_Расчет_аналитики'!BI559,WeightedMinAge11),MAX(CapacityAge11*'01_Вводные'!$B$218*'19_Расчет_аналитики'!BI559,MeanMinAge11)))</f>
        <v/>
      </c>
      <c r="BJ474">
        <f>IF(OR('19_Расчет_аналитики'!BJ446=0,11&lt;='01_Вводные'!$B$297),0,'19_Расчет_аналитики'!BJ446*IF('01_Вводные'!$B$239="Да",MeanMinAge11+'19_Расчет_аналитики'!BJ559*SUMIF(ThresholdAge11,"&lt;"&amp;'19_Расчет_аналитики'!BJ559,WeightedRevAge11)-SUMIF(ThresholdAge11,"&lt;"&amp;'19_Расчет_аналитики'!BJ559,WeightedMinAge11),MAX(CapacityAge11*'01_Вводные'!$B$218*'19_Расчет_аналитики'!BJ559,MeanMinAge11)))</f>
        <v/>
      </c>
      <c r="BK474">
        <f>IF(OR('19_Расчет_аналитики'!BK446=0,11&lt;='01_Вводные'!$B$297),0,'19_Расчет_аналитики'!BK446*IF('01_Вводные'!$B$239="Да",MeanMinAge11+'19_Расчет_аналитики'!BK559*SUMIF(ThresholdAge11,"&lt;"&amp;'19_Расчет_аналитики'!BK559,WeightedRevAge11)-SUMIF(ThresholdAge11,"&lt;"&amp;'19_Расчет_аналитики'!BK559,WeightedMinAge11),MAX(CapacityAge11*'01_Вводные'!$B$218*'19_Расчет_аналитики'!BK559,MeanMinAge11)))</f>
        <v/>
      </c>
      <c r="BL474">
        <f>IF(OR('19_Расчет_аналитики'!BL446=0,11&lt;='01_Вводные'!$B$297),0,'19_Расчет_аналитики'!BL446*IF('01_Вводные'!$B$239="Да",MeanMinAge11+'19_Расчет_аналитики'!BL559*SUMIF(ThresholdAge11,"&lt;"&amp;'19_Расчет_аналитики'!BL559,WeightedRevAge11)-SUMIF(ThresholdAge11,"&lt;"&amp;'19_Расчет_аналитики'!BL559,WeightedMinAge11),MAX(CapacityAge11*'01_Вводные'!$B$218*'19_Расчет_аналитики'!BL559,MeanMinAge11)))</f>
        <v/>
      </c>
      <c r="BM474">
        <f>IF(OR('19_Расчет_аналитики'!BM446=0,11&lt;='01_Вводные'!$B$297),0,'19_Расчет_аналитики'!BM446*IF('01_Вводные'!$B$239="Да",MeanMinAge11+'19_Расчет_аналитики'!BM559*SUMIF(ThresholdAge11,"&lt;"&amp;'19_Расчет_аналитики'!BM559,WeightedRevAge11)-SUMIF(ThresholdAge11,"&lt;"&amp;'19_Расчет_аналитики'!BM559,WeightedMinAge11),MAX(CapacityAge11*'01_Вводные'!$B$218*'19_Расчет_аналитики'!BM559,MeanMinAge11)))</f>
        <v/>
      </c>
      <c r="BN474">
        <f>IF(OR('19_Расчет_аналитики'!BN446=0,11&lt;='01_Вводные'!$B$297),0,'19_Расчет_аналитики'!BN446*IF('01_Вводные'!$B$239="Да",MeanMinAge11+'19_Расчет_аналитики'!BN559*SUMIF(ThresholdAge11,"&lt;"&amp;'19_Расчет_аналитики'!BN559,WeightedRevAge11)-SUMIF(ThresholdAge11,"&lt;"&amp;'19_Расчет_аналитики'!BN559,WeightedMinAge11),MAX(CapacityAge11*'01_Вводные'!$B$218*'19_Расчет_аналитики'!BN559,MeanMinAge11)))</f>
        <v/>
      </c>
      <c r="BO474">
        <f>IF(OR('19_Расчет_аналитики'!BO446=0,11&lt;='01_Вводные'!$B$297),0,'19_Расчет_аналитики'!BO446*IF('01_Вводные'!$B$239="Да",MeanMinAge11+'19_Расчет_аналитики'!BO559*SUMIF(ThresholdAge11,"&lt;"&amp;'19_Расчет_аналитики'!BO559,WeightedRevAge11)-SUMIF(ThresholdAge11,"&lt;"&amp;'19_Расчет_аналитики'!BO559,WeightedMinAge11),MAX(CapacityAge11*'01_Вводные'!$B$218*'19_Расчет_аналитики'!BO559,MeanMinAge11)))</f>
        <v/>
      </c>
    </row>
    <row r="475">
      <c r="B475">
        <f>IF(OR('06_Сеть_и_дети'!B92=0,12&lt;='01_Вводные'!$B$297),0,'06_Сеть_и_дети'!B92*IF('01_Вводные'!$B$239="Да",MeanMinAge12+'19_Расчет_аналитики'!B559*SUMIF(ThresholdAge12,"&lt;"&amp;'19_Расчет_аналитики'!B559,WeightedRevAge12)-SUMIF(ThresholdAge12,"&lt;"&amp;'19_Расчет_аналитики'!B559,WeightedMinAge12),MAX(CapacityAge12*'01_Вводные'!$B$218*'19_Расчет_аналитики'!B559,MeanMinAge12)))</f>
        <v/>
      </c>
      <c r="C475">
        <f>IF(OR('06_Сеть_и_дети'!C92=0,12&lt;='01_Вводные'!$B$297),0,'06_Сеть_и_дети'!C92*IF('01_Вводные'!$B$239="Да",MeanMinAge12+'19_Расчет_аналитики'!C559*SUMIF(ThresholdAge12,"&lt;"&amp;'19_Расчет_аналитики'!C559,WeightedRevAge12)-SUMIF(ThresholdAge12,"&lt;"&amp;'19_Расчет_аналитики'!C559,WeightedMinAge12),MAX(CapacityAge12*'01_Вводные'!$B$218*'19_Расчет_аналитики'!C559,MeanMinAge12)))</f>
        <v/>
      </c>
      <c r="D475">
        <f>IF(OR('06_Сеть_и_дети'!D92=0,12&lt;='01_Вводные'!$B$297),0,'06_Сеть_и_дети'!D92*IF('01_Вводные'!$B$239="Да",MeanMinAge12+'19_Расчет_аналитики'!D559*SUMIF(ThresholdAge12,"&lt;"&amp;'19_Расчет_аналитики'!D559,WeightedRevAge12)-SUMIF(ThresholdAge12,"&lt;"&amp;'19_Расчет_аналитики'!D559,WeightedMinAge12),MAX(CapacityAge12*'01_Вводные'!$B$218*'19_Расчет_аналитики'!D559,MeanMinAge12)))</f>
        <v/>
      </c>
      <c r="E475">
        <f>IF(OR('06_Сеть_и_дети'!E92=0,12&lt;='01_Вводные'!$B$297),0,'06_Сеть_и_дети'!E92*IF('01_Вводные'!$B$239="Да",MeanMinAge12+'19_Расчет_аналитики'!E559*SUMIF(ThresholdAge12,"&lt;"&amp;'19_Расчет_аналитики'!E559,WeightedRevAge12)-SUMIF(ThresholdAge12,"&lt;"&amp;'19_Расчет_аналитики'!E559,WeightedMinAge12),MAX(CapacityAge12*'01_Вводные'!$B$218*'19_Расчет_аналитики'!E559,MeanMinAge12)))</f>
        <v/>
      </c>
      <c r="F475">
        <f>IF(OR('06_Сеть_и_дети'!F92=0,12&lt;='01_Вводные'!$B$297),0,'06_Сеть_и_дети'!F92*IF('01_Вводные'!$B$239="Да",MeanMinAge12+'19_Расчет_аналитики'!F559*SUMIF(ThresholdAge12,"&lt;"&amp;'19_Расчет_аналитики'!F559,WeightedRevAge12)-SUMIF(ThresholdAge12,"&lt;"&amp;'19_Расчет_аналитики'!F559,WeightedMinAge12),MAX(CapacityAge12*'01_Вводные'!$B$218*'19_Расчет_аналитики'!F559,MeanMinAge12)))</f>
        <v/>
      </c>
      <c r="G475">
        <f>IF(OR('06_Сеть_и_дети'!G92=0,12&lt;='01_Вводные'!$B$297),0,'06_Сеть_и_дети'!G92*IF('01_Вводные'!$B$239="Да",MeanMinAge12+'19_Расчет_аналитики'!G559*SUMIF(ThresholdAge12,"&lt;"&amp;'19_Расчет_аналитики'!G559,WeightedRevAge12)-SUMIF(ThresholdAge12,"&lt;"&amp;'19_Расчет_аналитики'!G559,WeightedMinAge12),MAX(CapacityAge12*'01_Вводные'!$B$218*'19_Расчет_аналитики'!G559,MeanMinAge12)))</f>
        <v/>
      </c>
      <c r="H475">
        <f>IF(OR('06_Сеть_и_дети'!H92=0,12&lt;='01_Вводные'!$B$297),0,'06_Сеть_и_дети'!H92*IF('01_Вводные'!$B$239="Да",MeanMinAge12+'19_Расчет_аналитики'!H559*SUMIF(ThresholdAge12,"&lt;"&amp;'19_Расчет_аналитики'!H559,WeightedRevAge12)-SUMIF(ThresholdAge12,"&lt;"&amp;'19_Расчет_аналитики'!H559,WeightedMinAge12),MAX(CapacityAge12*'01_Вводные'!$B$218*'19_Расчет_аналитики'!H559,MeanMinAge12)))</f>
        <v/>
      </c>
      <c r="I475">
        <f>IF(OR('06_Сеть_и_дети'!I92=0,12&lt;='01_Вводные'!$B$297),0,'06_Сеть_и_дети'!I92*IF('01_Вводные'!$B$239="Да",MeanMinAge12+'19_Расчет_аналитики'!I559*SUMIF(ThresholdAge12,"&lt;"&amp;'19_Расчет_аналитики'!I559,WeightedRevAge12)-SUMIF(ThresholdAge12,"&lt;"&amp;'19_Расчет_аналитики'!I559,WeightedMinAge12),MAX(CapacityAge12*'01_Вводные'!$B$218*'19_Расчет_аналитики'!I559,MeanMinAge12)))</f>
        <v/>
      </c>
      <c r="J475">
        <f>IF(OR('06_Сеть_и_дети'!J92=0,12&lt;='01_Вводные'!$B$297),0,'06_Сеть_и_дети'!J92*IF('01_Вводные'!$B$239="Да",MeanMinAge12+'19_Расчет_аналитики'!J559*SUMIF(ThresholdAge12,"&lt;"&amp;'19_Расчет_аналитики'!J559,WeightedRevAge12)-SUMIF(ThresholdAge12,"&lt;"&amp;'19_Расчет_аналитики'!J559,WeightedMinAge12),MAX(CapacityAge12*'01_Вводные'!$B$218*'19_Расчет_аналитики'!J559,MeanMinAge12)))</f>
        <v/>
      </c>
      <c r="K475">
        <f>IF(OR('06_Сеть_и_дети'!K92=0,12&lt;='01_Вводные'!$B$297),0,'06_Сеть_и_дети'!K92*IF('01_Вводные'!$B$239="Да",MeanMinAge12+'19_Расчет_аналитики'!K559*SUMIF(ThresholdAge12,"&lt;"&amp;'19_Расчет_аналитики'!K559,WeightedRevAge12)-SUMIF(ThresholdAge12,"&lt;"&amp;'19_Расчет_аналитики'!K559,WeightedMinAge12),MAX(CapacityAge12*'01_Вводные'!$B$218*'19_Расчет_аналитики'!K559,MeanMinAge12)))</f>
        <v/>
      </c>
      <c r="L475">
        <f>IF(OR('06_Сеть_и_дети'!L92=0,12&lt;='01_Вводные'!$B$297),0,'06_Сеть_и_дети'!L92*IF('01_Вводные'!$B$239="Да",MeanMinAge12+'19_Расчет_аналитики'!L559*SUMIF(ThresholdAge12,"&lt;"&amp;'19_Расчет_аналитики'!L559,WeightedRevAge12)-SUMIF(ThresholdAge12,"&lt;"&amp;'19_Расчет_аналитики'!L559,WeightedMinAge12),MAX(CapacityAge12*'01_Вводные'!$B$218*'19_Расчет_аналитики'!L559,MeanMinAge12)))</f>
        <v/>
      </c>
      <c r="M475">
        <f>IF(OR('19_Расчет_аналитики'!M447=0,12&lt;='01_Вводные'!$B$297),0,'19_Расчет_аналитики'!M447*IF('01_Вводные'!$B$239="Да",MeanMinAge12+'19_Расчет_аналитики'!M559*SUMIF(ThresholdAge12,"&lt;"&amp;'19_Расчет_аналитики'!M559,WeightedRevAge12)-SUMIF(ThresholdAge12,"&lt;"&amp;'19_Расчет_аналитики'!M559,WeightedMinAge12),MAX(CapacityAge12*'01_Вводные'!$B$218*'19_Расчет_аналитики'!M559,MeanMinAge12)))</f>
        <v/>
      </c>
      <c r="N475">
        <f>IF(OR('19_Расчет_аналитики'!N447=0,12&lt;='01_Вводные'!$B$297),0,'19_Расчет_аналитики'!N447*IF('01_Вводные'!$B$239="Да",MeanMinAge12+'19_Расчет_аналитики'!N559*SUMIF(ThresholdAge12,"&lt;"&amp;'19_Расчет_аналитики'!N559,WeightedRevAge12)-SUMIF(ThresholdAge12,"&lt;"&amp;'19_Расчет_аналитики'!N559,WeightedMinAge12),MAX(CapacityAge12*'01_Вводные'!$B$218*'19_Расчет_аналитики'!N559,MeanMinAge12)))</f>
        <v/>
      </c>
      <c r="O475">
        <f>IF(OR('19_Расчет_аналитики'!O447=0,12&lt;='01_Вводные'!$B$297),0,'19_Расчет_аналитики'!O447*IF('01_Вводные'!$B$239="Да",MeanMinAge12+'19_Расчет_аналитики'!O559*SUMIF(ThresholdAge12,"&lt;"&amp;'19_Расчет_аналитики'!O559,WeightedRevAge12)-SUMIF(ThresholdAge12,"&lt;"&amp;'19_Расчет_аналитики'!O559,WeightedMinAge12),MAX(CapacityAge12*'01_Вводные'!$B$218*'19_Расчет_аналитики'!O559,MeanMinAge12)))</f>
        <v/>
      </c>
      <c r="P475">
        <f>IF(OR('19_Расчет_аналитики'!P447=0,12&lt;='01_Вводные'!$B$297),0,'19_Расчет_аналитики'!P447*IF('01_Вводные'!$B$239="Да",MeanMinAge12+'19_Расчет_аналитики'!P559*SUMIF(ThresholdAge12,"&lt;"&amp;'19_Расчет_аналитики'!P559,WeightedRevAge12)-SUMIF(ThresholdAge12,"&lt;"&amp;'19_Расчет_аналитики'!P559,WeightedMinAge12),MAX(CapacityAge12*'01_Вводные'!$B$218*'19_Расчет_аналитики'!P559,MeanMinAge12)))</f>
        <v/>
      </c>
      <c r="Q475">
        <f>IF(OR('19_Расчет_аналитики'!Q447=0,12&lt;='01_Вводные'!$B$297),0,'19_Расчет_аналитики'!Q447*IF('01_Вводные'!$B$239="Да",MeanMinAge12+'19_Расчет_аналитики'!Q559*SUMIF(ThresholdAge12,"&lt;"&amp;'19_Расчет_аналитики'!Q559,WeightedRevAge12)-SUMIF(ThresholdAge12,"&lt;"&amp;'19_Расчет_аналитики'!Q559,WeightedMinAge12),MAX(CapacityAge12*'01_Вводные'!$B$218*'19_Расчет_аналитики'!Q559,MeanMinAge12)))</f>
        <v/>
      </c>
      <c r="R475">
        <f>IF(OR('19_Расчет_аналитики'!R447=0,12&lt;='01_Вводные'!$B$297),0,'19_Расчет_аналитики'!R447*IF('01_Вводные'!$B$239="Да",MeanMinAge12+'19_Расчет_аналитики'!R559*SUMIF(ThresholdAge12,"&lt;"&amp;'19_Расчет_аналитики'!R559,WeightedRevAge12)-SUMIF(ThresholdAge12,"&lt;"&amp;'19_Расчет_аналитики'!R559,WeightedMinAge12),MAX(CapacityAge12*'01_Вводные'!$B$218*'19_Расчет_аналитики'!R559,MeanMinAge12)))</f>
        <v/>
      </c>
      <c r="S475">
        <f>IF(OR('19_Расчет_аналитики'!S447=0,12&lt;='01_Вводные'!$B$297),0,'19_Расчет_аналитики'!S447*IF('01_Вводные'!$B$239="Да",MeanMinAge12+'19_Расчет_аналитики'!S559*SUMIF(ThresholdAge12,"&lt;"&amp;'19_Расчет_аналитики'!S559,WeightedRevAge12)-SUMIF(ThresholdAge12,"&lt;"&amp;'19_Расчет_аналитики'!S559,WeightedMinAge12),MAX(CapacityAge12*'01_Вводные'!$B$218*'19_Расчет_аналитики'!S559,MeanMinAge12)))</f>
        <v/>
      </c>
      <c r="T475">
        <f>IF(OR('19_Расчет_аналитики'!T447=0,12&lt;='01_Вводные'!$B$297),0,'19_Расчет_аналитики'!T447*IF('01_Вводные'!$B$239="Да",MeanMinAge12+'19_Расчет_аналитики'!T559*SUMIF(ThresholdAge12,"&lt;"&amp;'19_Расчет_аналитики'!T559,WeightedRevAge12)-SUMIF(ThresholdAge12,"&lt;"&amp;'19_Расчет_аналитики'!T559,WeightedMinAge12),MAX(CapacityAge12*'01_Вводные'!$B$218*'19_Расчет_аналитики'!T559,MeanMinAge12)))</f>
        <v/>
      </c>
      <c r="U475">
        <f>IF(OR('19_Расчет_аналитики'!U447=0,12&lt;='01_Вводные'!$B$297),0,'19_Расчет_аналитики'!U447*IF('01_Вводные'!$B$239="Да",MeanMinAge12+'19_Расчет_аналитики'!U559*SUMIF(ThresholdAge12,"&lt;"&amp;'19_Расчет_аналитики'!U559,WeightedRevAge12)-SUMIF(ThresholdAge12,"&lt;"&amp;'19_Расчет_аналитики'!U559,WeightedMinAge12),MAX(CapacityAge12*'01_Вводные'!$B$218*'19_Расчет_аналитики'!U559,MeanMinAge12)))</f>
        <v/>
      </c>
      <c r="V475">
        <f>IF(OR('19_Расчет_аналитики'!V447=0,12&lt;='01_Вводные'!$B$297),0,'19_Расчет_аналитики'!V447*IF('01_Вводные'!$B$239="Да",MeanMinAge12+'19_Расчет_аналитики'!V559*SUMIF(ThresholdAge12,"&lt;"&amp;'19_Расчет_аналитики'!V559,WeightedRevAge12)-SUMIF(ThresholdAge12,"&lt;"&amp;'19_Расчет_аналитики'!V559,WeightedMinAge12),MAX(CapacityAge12*'01_Вводные'!$B$218*'19_Расчет_аналитики'!V559,MeanMinAge12)))</f>
        <v/>
      </c>
      <c r="W475">
        <f>IF(OR('19_Расчет_аналитики'!W447=0,12&lt;='01_Вводные'!$B$297),0,'19_Расчет_аналитики'!W447*IF('01_Вводные'!$B$239="Да",MeanMinAge12+'19_Расчет_аналитики'!W559*SUMIF(ThresholdAge12,"&lt;"&amp;'19_Расчет_аналитики'!W559,WeightedRevAge12)-SUMIF(ThresholdAge12,"&lt;"&amp;'19_Расчет_аналитики'!W559,WeightedMinAge12),MAX(CapacityAge12*'01_Вводные'!$B$218*'19_Расчет_аналитики'!W559,MeanMinAge12)))</f>
        <v/>
      </c>
      <c r="X475">
        <f>IF(OR('19_Расчет_аналитики'!X447=0,12&lt;='01_Вводные'!$B$297),0,'19_Расчет_аналитики'!X447*IF('01_Вводные'!$B$239="Да",MeanMinAge12+'19_Расчет_аналитики'!X559*SUMIF(ThresholdAge12,"&lt;"&amp;'19_Расчет_аналитики'!X559,WeightedRevAge12)-SUMIF(ThresholdAge12,"&lt;"&amp;'19_Расчет_аналитики'!X559,WeightedMinAge12),MAX(CapacityAge12*'01_Вводные'!$B$218*'19_Расчет_аналитики'!X559,MeanMinAge12)))</f>
        <v/>
      </c>
      <c r="Y475">
        <f>IF(OR('19_Расчет_аналитики'!Y447=0,12&lt;='01_Вводные'!$B$297),0,'19_Расчет_аналитики'!Y447*IF('01_Вводные'!$B$239="Да",MeanMinAge12+'19_Расчет_аналитики'!Y559*SUMIF(ThresholdAge12,"&lt;"&amp;'19_Расчет_аналитики'!Y559,WeightedRevAge12)-SUMIF(ThresholdAge12,"&lt;"&amp;'19_Расчет_аналитики'!Y559,WeightedMinAge12),MAX(CapacityAge12*'01_Вводные'!$B$218*'19_Расчет_аналитики'!Y559,MeanMinAge12)))</f>
        <v/>
      </c>
      <c r="Z475">
        <f>IF(OR('19_Расчет_аналитики'!Z447=0,12&lt;='01_Вводные'!$B$297),0,'19_Расчет_аналитики'!Z447*IF('01_Вводные'!$B$239="Да",MeanMinAge12+'19_Расчет_аналитики'!Z559*SUMIF(ThresholdAge12,"&lt;"&amp;'19_Расчет_аналитики'!Z559,WeightedRevAge12)-SUMIF(ThresholdAge12,"&lt;"&amp;'19_Расчет_аналитики'!Z559,WeightedMinAge12),MAX(CapacityAge12*'01_Вводные'!$B$218*'19_Расчет_аналитики'!Z559,MeanMinAge12)))</f>
        <v/>
      </c>
      <c r="AA475">
        <f>IF(OR('19_Расчет_аналитики'!AA447=0,12&lt;='01_Вводные'!$B$297),0,'19_Расчет_аналитики'!AA447*IF('01_Вводные'!$B$239="Да",MeanMinAge12+'19_Расчет_аналитики'!AA559*SUMIF(ThresholdAge12,"&lt;"&amp;'19_Расчет_аналитики'!AA559,WeightedRevAge12)-SUMIF(ThresholdAge12,"&lt;"&amp;'19_Расчет_аналитики'!AA559,WeightedMinAge12),MAX(CapacityAge12*'01_Вводные'!$B$218*'19_Расчет_аналитики'!AA559,MeanMinAge12)))</f>
        <v/>
      </c>
      <c r="AB475">
        <f>IF(OR('19_Расчет_аналитики'!AB447=0,12&lt;='01_Вводные'!$B$297),0,'19_Расчет_аналитики'!AB447*IF('01_Вводные'!$B$239="Да",MeanMinAge12+'19_Расчет_аналитики'!AB559*SUMIF(ThresholdAge12,"&lt;"&amp;'19_Расчет_аналитики'!AB559,WeightedRevAge12)-SUMIF(ThresholdAge12,"&lt;"&amp;'19_Расчет_аналитики'!AB559,WeightedMinAge12),MAX(CapacityAge12*'01_Вводные'!$B$218*'19_Расчет_аналитики'!AB559,MeanMinAge12)))</f>
        <v/>
      </c>
      <c r="AC475">
        <f>IF(OR('19_Расчет_аналитики'!AC447=0,12&lt;='01_Вводные'!$B$297),0,'19_Расчет_аналитики'!AC447*IF('01_Вводные'!$B$239="Да",MeanMinAge12+'19_Расчет_аналитики'!AC559*SUMIF(ThresholdAge12,"&lt;"&amp;'19_Расчет_аналитики'!AC559,WeightedRevAge12)-SUMIF(ThresholdAge12,"&lt;"&amp;'19_Расчет_аналитики'!AC559,WeightedMinAge12),MAX(CapacityAge12*'01_Вводные'!$B$218*'19_Расчет_аналитики'!AC559,MeanMinAge12)))</f>
        <v/>
      </c>
      <c r="AD475">
        <f>IF(OR('19_Расчет_аналитики'!AD447=0,12&lt;='01_Вводные'!$B$297),0,'19_Расчет_аналитики'!AD447*IF('01_Вводные'!$B$239="Да",MeanMinAge12+'19_Расчет_аналитики'!AD559*SUMIF(ThresholdAge12,"&lt;"&amp;'19_Расчет_аналитики'!AD559,WeightedRevAge12)-SUMIF(ThresholdAge12,"&lt;"&amp;'19_Расчет_аналитики'!AD559,WeightedMinAge12),MAX(CapacityAge12*'01_Вводные'!$B$218*'19_Расчет_аналитики'!AD559,MeanMinAge12)))</f>
        <v/>
      </c>
      <c r="AE475">
        <f>IF(OR('19_Расчет_аналитики'!AE447=0,12&lt;='01_Вводные'!$B$297),0,'19_Расчет_аналитики'!AE447*IF('01_Вводные'!$B$239="Да",MeanMinAge12+'19_Расчет_аналитики'!AE559*SUMIF(ThresholdAge12,"&lt;"&amp;'19_Расчет_аналитики'!AE559,WeightedRevAge12)-SUMIF(ThresholdAge12,"&lt;"&amp;'19_Расчет_аналитики'!AE559,WeightedMinAge12),MAX(CapacityAge12*'01_Вводные'!$B$218*'19_Расчет_аналитики'!AE559,MeanMinAge12)))</f>
        <v/>
      </c>
      <c r="AF475">
        <f>IF(OR('19_Расчет_аналитики'!AF447=0,12&lt;='01_Вводные'!$B$297),0,'19_Расчет_аналитики'!AF447*IF('01_Вводные'!$B$239="Да",MeanMinAge12+'19_Расчет_аналитики'!AF559*SUMIF(ThresholdAge12,"&lt;"&amp;'19_Расчет_аналитики'!AF559,WeightedRevAge12)-SUMIF(ThresholdAge12,"&lt;"&amp;'19_Расчет_аналитики'!AF559,WeightedMinAge12),MAX(CapacityAge12*'01_Вводные'!$B$218*'19_Расчет_аналитики'!AF559,MeanMinAge12)))</f>
        <v/>
      </c>
      <c r="AG475">
        <f>IF(OR('19_Расчет_аналитики'!AG447=0,12&lt;='01_Вводные'!$B$297),0,'19_Расчет_аналитики'!AG447*IF('01_Вводные'!$B$239="Да",MeanMinAge12+'19_Расчет_аналитики'!AG559*SUMIF(ThresholdAge12,"&lt;"&amp;'19_Расчет_аналитики'!AG559,WeightedRevAge12)-SUMIF(ThresholdAge12,"&lt;"&amp;'19_Расчет_аналитики'!AG559,WeightedMinAge12),MAX(CapacityAge12*'01_Вводные'!$B$218*'19_Расчет_аналитики'!AG559,MeanMinAge12)))</f>
        <v/>
      </c>
      <c r="AH475">
        <f>IF(OR('19_Расчет_аналитики'!AH447=0,12&lt;='01_Вводные'!$B$297),0,'19_Расчет_аналитики'!AH447*IF('01_Вводные'!$B$239="Да",MeanMinAge12+'19_Расчет_аналитики'!AH559*SUMIF(ThresholdAge12,"&lt;"&amp;'19_Расчет_аналитики'!AH559,WeightedRevAge12)-SUMIF(ThresholdAge12,"&lt;"&amp;'19_Расчет_аналитики'!AH559,WeightedMinAge12),MAX(CapacityAge12*'01_Вводные'!$B$218*'19_Расчет_аналитики'!AH559,MeanMinAge12)))</f>
        <v/>
      </c>
      <c r="AI475">
        <f>IF(OR('19_Расчет_аналитики'!AI447=0,12&lt;='01_Вводные'!$B$297),0,'19_Расчет_аналитики'!AI447*IF('01_Вводные'!$B$239="Да",MeanMinAge12+'19_Расчет_аналитики'!AI559*SUMIF(ThresholdAge12,"&lt;"&amp;'19_Расчет_аналитики'!AI559,WeightedRevAge12)-SUMIF(ThresholdAge12,"&lt;"&amp;'19_Расчет_аналитики'!AI559,WeightedMinAge12),MAX(CapacityAge12*'01_Вводные'!$B$218*'19_Расчет_аналитики'!AI559,MeanMinAge12)))</f>
        <v/>
      </c>
      <c r="AJ475">
        <f>IF(OR('19_Расчет_аналитики'!AJ447=0,12&lt;='01_Вводные'!$B$297),0,'19_Расчет_аналитики'!AJ447*IF('01_Вводные'!$B$239="Да",MeanMinAge12+'19_Расчет_аналитики'!AJ559*SUMIF(ThresholdAge12,"&lt;"&amp;'19_Расчет_аналитики'!AJ559,WeightedRevAge12)-SUMIF(ThresholdAge12,"&lt;"&amp;'19_Расчет_аналитики'!AJ559,WeightedMinAge12),MAX(CapacityAge12*'01_Вводные'!$B$218*'19_Расчет_аналитики'!AJ559,MeanMinAge12)))</f>
        <v/>
      </c>
      <c r="AK475">
        <f>IF(OR('19_Расчет_аналитики'!AK447=0,12&lt;='01_Вводные'!$B$297),0,'19_Расчет_аналитики'!AK447*IF('01_Вводные'!$B$239="Да",MeanMinAge12+'19_Расчет_аналитики'!AK559*SUMIF(ThresholdAge12,"&lt;"&amp;'19_Расчет_аналитики'!AK559,WeightedRevAge12)-SUMIF(ThresholdAge12,"&lt;"&amp;'19_Расчет_аналитики'!AK559,WeightedMinAge12),MAX(CapacityAge12*'01_Вводные'!$B$218*'19_Расчет_аналитики'!AK559,MeanMinAge12)))</f>
        <v/>
      </c>
      <c r="AL475">
        <f>IF(OR('19_Расчет_аналитики'!AL447=0,12&lt;='01_Вводные'!$B$297),0,'19_Расчет_аналитики'!AL447*IF('01_Вводные'!$B$239="Да",MeanMinAge12+'19_Расчет_аналитики'!AL559*SUMIF(ThresholdAge12,"&lt;"&amp;'19_Расчет_аналитики'!AL559,WeightedRevAge12)-SUMIF(ThresholdAge12,"&lt;"&amp;'19_Расчет_аналитики'!AL559,WeightedMinAge12),MAX(CapacityAge12*'01_Вводные'!$B$218*'19_Расчет_аналитики'!AL559,MeanMinAge12)))</f>
        <v/>
      </c>
      <c r="AM475">
        <f>IF(OR('19_Расчет_аналитики'!AM447=0,12&lt;='01_Вводные'!$B$297),0,'19_Расчет_аналитики'!AM447*IF('01_Вводные'!$B$239="Да",MeanMinAge12+'19_Расчет_аналитики'!AM559*SUMIF(ThresholdAge12,"&lt;"&amp;'19_Расчет_аналитики'!AM559,WeightedRevAge12)-SUMIF(ThresholdAge12,"&lt;"&amp;'19_Расчет_аналитики'!AM559,WeightedMinAge12),MAX(CapacityAge12*'01_Вводные'!$B$218*'19_Расчет_аналитики'!AM559,MeanMinAge12)))</f>
        <v/>
      </c>
      <c r="AN475">
        <f>IF(OR('19_Расчет_аналитики'!AN447=0,12&lt;='01_Вводные'!$B$297),0,'19_Расчет_аналитики'!AN447*IF('01_Вводные'!$B$239="Да",MeanMinAge12+'19_Расчет_аналитики'!AN559*SUMIF(ThresholdAge12,"&lt;"&amp;'19_Расчет_аналитики'!AN559,WeightedRevAge12)-SUMIF(ThresholdAge12,"&lt;"&amp;'19_Расчет_аналитики'!AN559,WeightedMinAge12),MAX(CapacityAge12*'01_Вводные'!$B$218*'19_Расчет_аналитики'!AN559,MeanMinAge12)))</f>
        <v/>
      </c>
      <c r="AO475">
        <f>IF(OR('19_Расчет_аналитики'!AO447=0,12&lt;='01_Вводные'!$B$297),0,'19_Расчет_аналитики'!AO447*IF('01_Вводные'!$B$239="Да",MeanMinAge12+'19_Расчет_аналитики'!AO559*SUMIF(ThresholdAge12,"&lt;"&amp;'19_Расчет_аналитики'!AO559,WeightedRevAge12)-SUMIF(ThresholdAge12,"&lt;"&amp;'19_Расчет_аналитики'!AO559,WeightedMinAge12),MAX(CapacityAge12*'01_Вводные'!$B$218*'19_Расчет_аналитики'!AO559,MeanMinAge12)))</f>
        <v/>
      </c>
      <c r="AP475">
        <f>IF(OR('19_Расчет_аналитики'!AP447=0,12&lt;='01_Вводные'!$B$297),0,'19_Расчет_аналитики'!AP447*IF('01_Вводные'!$B$239="Да",MeanMinAge12+'19_Расчет_аналитики'!AP559*SUMIF(ThresholdAge12,"&lt;"&amp;'19_Расчет_аналитики'!AP559,WeightedRevAge12)-SUMIF(ThresholdAge12,"&lt;"&amp;'19_Расчет_аналитики'!AP559,WeightedMinAge12),MAX(CapacityAge12*'01_Вводные'!$B$218*'19_Расчет_аналитики'!AP559,MeanMinAge12)))</f>
        <v/>
      </c>
      <c r="AQ475">
        <f>IF(OR('19_Расчет_аналитики'!AQ447=0,12&lt;='01_Вводные'!$B$297),0,'19_Расчет_аналитики'!AQ447*IF('01_Вводные'!$B$239="Да",MeanMinAge12+'19_Расчет_аналитики'!AQ559*SUMIF(ThresholdAge12,"&lt;"&amp;'19_Расчет_аналитики'!AQ559,WeightedRevAge12)-SUMIF(ThresholdAge12,"&lt;"&amp;'19_Расчет_аналитики'!AQ559,WeightedMinAge12),MAX(CapacityAge12*'01_Вводные'!$B$218*'19_Расчет_аналитики'!AQ559,MeanMinAge12)))</f>
        <v/>
      </c>
      <c r="AR475">
        <f>IF(OR('19_Расчет_аналитики'!AR447=0,12&lt;='01_Вводные'!$B$297),0,'19_Расчет_аналитики'!AR447*IF('01_Вводные'!$B$239="Да",MeanMinAge12+'19_Расчет_аналитики'!AR559*SUMIF(ThresholdAge12,"&lt;"&amp;'19_Расчет_аналитики'!AR559,WeightedRevAge12)-SUMIF(ThresholdAge12,"&lt;"&amp;'19_Расчет_аналитики'!AR559,WeightedMinAge12),MAX(CapacityAge12*'01_Вводные'!$B$218*'19_Расчет_аналитики'!AR559,MeanMinAge12)))</f>
        <v/>
      </c>
      <c r="AS475">
        <f>IF(OR('19_Расчет_аналитики'!AS447=0,12&lt;='01_Вводные'!$B$297),0,'19_Расчет_аналитики'!AS447*IF('01_Вводные'!$B$239="Да",MeanMinAge12+'19_Расчет_аналитики'!AS559*SUMIF(ThresholdAge12,"&lt;"&amp;'19_Расчет_аналитики'!AS559,WeightedRevAge12)-SUMIF(ThresholdAge12,"&lt;"&amp;'19_Расчет_аналитики'!AS559,WeightedMinAge12),MAX(CapacityAge12*'01_Вводные'!$B$218*'19_Расчет_аналитики'!AS559,MeanMinAge12)))</f>
        <v/>
      </c>
      <c r="AT475">
        <f>IF(OR('19_Расчет_аналитики'!AT447=0,12&lt;='01_Вводные'!$B$297),0,'19_Расчет_аналитики'!AT447*IF('01_Вводные'!$B$239="Да",MeanMinAge12+'19_Расчет_аналитики'!AT559*SUMIF(ThresholdAge12,"&lt;"&amp;'19_Расчет_аналитики'!AT559,WeightedRevAge12)-SUMIF(ThresholdAge12,"&lt;"&amp;'19_Расчет_аналитики'!AT559,WeightedMinAge12),MAX(CapacityAge12*'01_Вводные'!$B$218*'19_Расчет_аналитики'!AT559,MeanMinAge12)))</f>
        <v/>
      </c>
      <c r="AU475">
        <f>IF(OR('19_Расчет_аналитики'!AU447=0,12&lt;='01_Вводные'!$B$297),0,'19_Расчет_аналитики'!AU447*IF('01_Вводные'!$B$239="Да",MeanMinAge12+'19_Расчет_аналитики'!AU559*SUMIF(ThresholdAge12,"&lt;"&amp;'19_Расчет_аналитики'!AU559,WeightedRevAge12)-SUMIF(ThresholdAge12,"&lt;"&amp;'19_Расчет_аналитики'!AU559,WeightedMinAge12),MAX(CapacityAge12*'01_Вводные'!$B$218*'19_Расчет_аналитики'!AU559,MeanMinAge12)))</f>
        <v/>
      </c>
      <c r="AV475">
        <f>IF(OR('19_Расчет_аналитики'!AV447=0,12&lt;='01_Вводные'!$B$297),0,'19_Расчет_аналитики'!AV447*IF('01_Вводные'!$B$239="Да",MeanMinAge12+'19_Расчет_аналитики'!AV559*SUMIF(ThresholdAge12,"&lt;"&amp;'19_Расчет_аналитики'!AV559,WeightedRevAge12)-SUMIF(ThresholdAge12,"&lt;"&amp;'19_Расчет_аналитики'!AV559,WeightedMinAge12),MAX(CapacityAge12*'01_Вводные'!$B$218*'19_Расчет_аналитики'!AV559,MeanMinAge12)))</f>
        <v/>
      </c>
      <c r="AW475">
        <f>IF(OR('19_Расчет_аналитики'!AW447=0,12&lt;='01_Вводные'!$B$297),0,'19_Расчет_аналитики'!AW447*IF('01_Вводные'!$B$239="Да",MeanMinAge12+'19_Расчет_аналитики'!AW559*SUMIF(ThresholdAge12,"&lt;"&amp;'19_Расчет_аналитики'!AW559,WeightedRevAge12)-SUMIF(ThresholdAge12,"&lt;"&amp;'19_Расчет_аналитики'!AW559,WeightedMinAge12),MAX(CapacityAge12*'01_Вводные'!$B$218*'19_Расчет_аналитики'!AW559,MeanMinAge12)))</f>
        <v/>
      </c>
      <c r="AX475">
        <f>IF(OR('19_Расчет_аналитики'!AX447=0,12&lt;='01_Вводные'!$B$297),0,'19_Расчет_аналитики'!AX447*IF('01_Вводные'!$B$239="Да",MeanMinAge12+'19_Расчет_аналитики'!AX559*SUMIF(ThresholdAge12,"&lt;"&amp;'19_Расчет_аналитики'!AX559,WeightedRevAge12)-SUMIF(ThresholdAge12,"&lt;"&amp;'19_Расчет_аналитики'!AX559,WeightedMinAge12),MAX(CapacityAge12*'01_Вводные'!$B$218*'19_Расчет_аналитики'!AX559,MeanMinAge12)))</f>
        <v/>
      </c>
      <c r="AY475">
        <f>IF(OR('19_Расчет_аналитики'!AY447=0,12&lt;='01_Вводные'!$B$297),0,'19_Расчет_аналитики'!AY447*IF('01_Вводные'!$B$239="Да",MeanMinAge12+'19_Расчет_аналитики'!AY559*SUMIF(ThresholdAge12,"&lt;"&amp;'19_Расчет_аналитики'!AY559,WeightedRevAge12)-SUMIF(ThresholdAge12,"&lt;"&amp;'19_Расчет_аналитики'!AY559,WeightedMinAge12),MAX(CapacityAge12*'01_Вводные'!$B$218*'19_Расчет_аналитики'!AY559,MeanMinAge12)))</f>
        <v/>
      </c>
      <c r="AZ475">
        <f>IF(OR('19_Расчет_аналитики'!AZ447=0,12&lt;='01_Вводные'!$B$297),0,'19_Расчет_аналитики'!AZ447*IF('01_Вводные'!$B$239="Да",MeanMinAge12+'19_Расчет_аналитики'!AZ559*SUMIF(ThresholdAge12,"&lt;"&amp;'19_Расчет_аналитики'!AZ559,WeightedRevAge12)-SUMIF(ThresholdAge12,"&lt;"&amp;'19_Расчет_аналитики'!AZ559,WeightedMinAge12),MAX(CapacityAge12*'01_Вводные'!$B$218*'19_Расчет_аналитики'!AZ559,MeanMinAge12)))</f>
        <v/>
      </c>
      <c r="BA475">
        <f>IF(OR('19_Расчет_аналитики'!BA447=0,12&lt;='01_Вводные'!$B$297),0,'19_Расчет_аналитики'!BA447*IF('01_Вводные'!$B$239="Да",MeanMinAge12+'19_Расчет_аналитики'!BA559*SUMIF(ThresholdAge12,"&lt;"&amp;'19_Расчет_аналитики'!BA559,WeightedRevAge12)-SUMIF(ThresholdAge12,"&lt;"&amp;'19_Расчет_аналитики'!BA559,WeightedMinAge12),MAX(CapacityAge12*'01_Вводные'!$B$218*'19_Расчет_аналитики'!BA559,MeanMinAge12)))</f>
        <v/>
      </c>
      <c r="BB475">
        <f>IF(OR('19_Расчет_аналитики'!BB447=0,12&lt;='01_Вводные'!$B$297),0,'19_Расчет_аналитики'!BB447*IF('01_Вводные'!$B$239="Да",MeanMinAge12+'19_Расчет_аналитики'!BB559*SUMIF(ThresholdAge12,"&lt;"&amp;'19_Расчет_аналитики'!BB559,WeightedRevAge12)-SUMIF(ThresholdAge12,"&lt;"&amp;'19_Расчет_аналитики'!BB559,WeightedMinAge12),MAX(CapacityAge12*'01_Вводные'!$B$218*'19_Расчет_аналитики'!BB559,MeanMinAge12)))</f>
        <v/>
      </c>
      <c r="BC475">
        <f>IF(OR('19_Расчет_аналитики'!BC447=0,12&lt;='01_Вводные'!$B$297),0,'19_Расчет_аналитики'!BC447*IF('01_Вводные'!$B$239="Да",MeanMinAge12+'19_Расчет_аналитики'!BC559*SUMIF(ThresholdAge12,"&lt;"&amp;'19_Расчет_аналитики'!BC559,WeightedRevAge12)-SUMIF(ThresholdAge12,"&lt;"&amp;'19_Расчет_аналитики'!BC559,WeightedMinAge12),MAX(CapacityAge12*'01_Вводные'!$B$218*'19_Расчет_аналитики'!BC559,MeanMinAge12)))</f>
        <v/>
      </c>
      <c r="BD475">
        <f>IF(OR('19_Расчет_аналитики'!BD447=0,12&lt;='01_Вводные'!$B$297),0,'19_Расчет_аналитики'!BD447*IF('01_Вводные'!$B$239="Да",MeanMinAge12+'19_Расчет_аналитики'!BD559*SUMIF(ThresholdAge12,"&lt;"&amp;'19_Расчет_аналитики'!BD559,WeightedRevAge12)-SUMIF(ThresholdAge12,"&lt;"&amp;'19_Расчет_аналитики'!BD559,WeightedMinAge12),MAX(CapacityAge12*'01_Вводные'!$B$218*'19_Расчет_аналитики'!BD559,MeanMinAge12)))</f>
        <v/>
      </c>
      <c r="BE475">
        <f>IF(OR('19_Расчет_аналитики'!BE447=0,12&lt;='01_Вводные'!$B$297),0,'19_Расчет_аналитики'!BE447*IF('01_Вводные'!$B$239="Да",MeanMinAge12+'19_Расчет_аналитики'!BE559*SUMIF(ThresholdAge12,"&lt;"&amp;'19_Расчет_аналитики'!BE559,WeightedRevAge12)-SUMIF(ThresholdAge12,"&lt;"&amp;'19_Расчет_аналитики'!BE559,WeightedMinAge12),MAX(CapacityAge12*'01_Вводные'!$B$218*'19_Расчет_аналитики'!BE559,MeanMinAge12)))</f>
        <v/>
      </c>
      <c r="BF475">
        <f>IF(OR('19_Расчет_аналитики'!BF447=0,12&lt;='01_Вводные'!$B$297),0,'19_Расчет_аналитики'!BF447*IF('01_Вводные'!$B$239="Да",MeanMinAge12+'19_Расчет_аналитики'!BF559*SUMIF(ThresholdAge12,"&lt;"&amp;'19_Расчет_аналитики'!BF559,WeightedRevAge12)-SUMIF(ThresholdAge12,"&lt;"&amp;'19_Расчет_аналитики'!BF559,WeightedMinAge12),MAX(CapacityAge12*'01_Вводные'!$B$218*'19_Расчет_аналитики'!BF559,MeanMinAge12)))</f>
        <v/>
      </c>
      <c r="BG475">
        <f>IF(OR('19_Расчет_аналитики'!BG447=0,12&lt;='01_Вводные'!$B$297),0,'19_Расчет_аналитики'!BG447*IF('01_Вводные'!$B$239="Да",MeanMinAge12+'19_Расчет_аналитики'!BG559*SUMIF(ThresholdAge12,"&lt;"&amp;'19_Расчет_аналитики'!BG559,WeightedRevAge12)-SUMIF(ThresholdAge12,"&lt;"&amp;'19_Расчет_аналитики'!BG559,WeightedMinAge12),MAX(CapacityAge12*'01_Вводные'!$B$218*'19_Расчет_аналитики'!BG559,MeanMinAge12)))</f>
        <v/>
      </c>
      <c r="BH475">
        <f>IF(OR('19_Расчет_аналитики'!BH447=0,12&lt;='01_Вводные'!$B$297),0,'19_Расчет_аналитики'!BH447*IF('01_Вводные'!$B$239="Да",MeanMinAge12+'19_Расчет_аналитики'!BH559*SUMIF(ThresholdAge12,"&lt;"&amp;'19_Расчет_аналитики'!BH559,WeightedRevAge12)-SUMIF(ThresholdAge12,"&lt;"&amp;'19_Расчет_аналитики'!BH559,WeightedMinAge12),MAX(CapacityAge12*'01_Вводные'!$B$218*'19_Расчет_аналитики'!BH559,MeanMinAge12)))</f>
        <v/>
      </c>
      <c r="BI475">
        <f>IF(OR('19_Расчет_аналитики'!BI447=0,12&lt;='01_Вводные'!$B$297),0,'19_Расчет_аналитики'!BI447*IF('01_Вводные'!$B$239="Да",MeanMinAge12+'19_Расчет_аналитики'!BI559*SUMIF(ThresholdAge12,"&lt;"&amp;'19_Расчет_аналитики'!BI559,WeightedRevAge12)-SUMIF(ThresholdAge12,"&lt;"&amp;'19_Расчет_аналитики'!BI559,WeightedMinAge12),MAX(CapacityAge12*'01_Вводные'!$B$218*'19_Расчет_аналитики'!BI559,MeanMinAge12)))</f>
        <v/>
      </c>
      <c r="BJ475">
        <f>IF(OR('19_Расчет_аналитики'!BJ447=0,12&lt;='01_Вводные'!$B$297),0,'19_Расчет_аналитики'!BJ447*IF('01_Вводные'!$B$239="Да",MeanMinAge12+'19_Расчет_аналитики'!BJ559*SUMIF(ThresholdAge12,"&lt;"&amp;'19_Расчет_аналитики'!BJ559,WeightedRevAge12)-SUMIF(ThresholdAge12,"&lt;"&amp;'19_Расчет_аналитики'!BJ559,WeightedMinAge12),MAX(CapacityAge12*'01_Вводные'!$B$218*'19_Расчет_аналитики'!BJ559,MeanMinAge12)))</f>
        <v/>
      </c>
      <c r="BK475">
        <f>IF(OR('19_Расчет_аналитики'!BK447=0,12&lt;='01_Вводные'!$B$297),0,'19_Расчет_аналитики'!BK447*IF('01_Вводные'!$B$239="Да",MeanMinAge12+'19_Расчет_аналитики'!BK559*SUMIF(ThresholdAge12,"&lt;"&amp;'19_Расчет_аналитики'!BK559,WeightedRevAge12)-SUMIF(ThresholdAge12,"&lt;"&amp;'19_Расчет_аналитики'!BK559,WeightedMinAge12),MAX(CapacityAge12*'01_Вводные'!$B$218*'19_Расчет_аналитики'!BK559,MeanMinAge12)))</f>
        <v/>
      </c>
      <c r="BL475">
        <f>IF(OR('19_Расчет_аналитики'!BL447=0,12&lt;='01_Вводные'!$B$297),0,'19_Расчет_аналитики'!BL447*IF('01_Вводные'!$B$239="Да",MeanMinAge12+'19_Расчет_аналитики'!BL559*SUMIF(ThresholdAge12,"&lt;"&amp;'19_Расчет_аналитики'!BL559,WeightedRevAge12)-SUMIF(ThresholdAge12,"&lt;"&amp;'19_Расчет_аналитики'!BL559,WeightedMinAge12),MAX(CapacityAge12*'01_Вводные'!$B$218*'19_Расчет_аналитики'!BL559,MeanMinAge12)))</f>
        <v/>
      </c>
      <c r="BM475">
        <f>IF(OR('19_Расчет_аналитики'!BM447=0,12&lt;='01_Вводные'!$B$297),0,'19_Расчет_аналитики'!BM447*IF('01_Вводные'!$B$239="Да",MeanMinAge12+'19_Расчет_аналитики'!BM559*SUMIF(ThresholdAge12,"&lt;"&amp;'19_Расчет_аналитики'!BM559,WeightedRevAge12)-SUMIF(ThresholdAge12,"&lt;"&amp;'19_Расчет_аналитики'!BM559,WeightedMinAge12),MAX(CapacityAge12*'01_Вводные'!$B$218*'19_Расчет_аналитики'!BM559,MeanMinAge12)))</f>
        <v/>
      </c>
      <c r="BN475">
        <f>IF(OR('19_Расчет_аналитики'!BN447=0,12&lt;='01_Вводные'!$B$297),0,'19_Расчет_аналитики'!BN447*IF('01_Вводные'!$B$239="Да",MeanMinAge12+'19_Расчет_аналитики'!BN559*SUMIF(ThresholdAge12,"&lt;"&amp;'19_Расчет_аналитики'!BN559,WeightedRevAge12)-SUMIF(ThresholdAge12,"&lt;"&amp;'19_Расчет_аналитики'!BN559,WeightedMinAge12),MAX(CapacityAge12*'01_Вводные'!$B$218*'19_Расчет_аналитики'!BN559,MeanMinAge12)))</f>
        <v/>
      </c>
      <c r="BO475">
        <f>IF(OR('19_Расчет_аналитики'!BO447=0,12&lt;='01_Вводные'!$B$297),0,'19_Расчет_аналитики'!BO447*IF('01_Вводные'!$B$239="Да",MeanMinAge12+'19_Расчет_аналитики'!BO559*SUMIF(ThresholdAge12,"&lt;"&amp;'19_Расчет_аналитики'!BO559,WeightedRevAge12)-SUMIF(ThresholdAge12,"&lt;"&amp;'19_Расчет_аналитики'!BO559,WeightedMinAge12),MAX(CapacityAge12*'01_Вводные'!$B$218*'19_Расчет_аналитики'!BO559,MeanMinAge12)))</f>
        <v/>
      </c>
    </row>
    <row r="476">
      <c r="B476">
        <f>IF(OR('06_Сеть_и_дети'!B93=0,13&lt;='01_Вводные'!$B$297),0,'06_Сеть_и_дети'!B93*IF('01_Вводные'!$B$239="Да",MeanMinAge13+'19_Расчет_аналитики'!B559*SUMIF(ThresholdAge13,"&lt;"&amp;'19_Расчет_аналитики'!B559,WeightedRevAge13)-SUMIF(ThresholdAge13,"&lt;"&amp;'19_Расчет_аналитики'!B559,WeightedMinAge13),MAX(CapacityAge13*'01_Вводные'!$B$218*'19_Расчет_аналитики'!B559,MeanMinAge13)))</f>
        <v/>
      </c>
      <c r="C476">
        <f>IF(OR('06_Сеть_и_дети'!C93=0,13&lt;='01_Вводные'!$B$297),0,'06_Сеть_и_дети'!C93*IF('01_Вводные'!$B$239="Да",MeanMinAge13+'19_Расчет_аналитики'!C559*SUMIF(ThresholdAge13,"&lt;"&amp;'19_Расчет_аналитики'!C559,WeightedRevAge13)-SUMIF(ThresholdAge13,"&lt;"&amp;'19_Расчет_аналитики'!C559,WeightedMinAge13),MAX(CapacityAge13*'01_Вводные'!$B$218*'19_Расчет_аналитики'!C559,MeanMinAge13)))</f>
        <v/>
      </c>
      <c r="D476">
        <f>IF(OR('06_Сеть_и_дети'!D93=0,13&lt;='01_Вводные'!$B$297),0,'06_Сеть_и_дети'!D93*IF('01_Вводные'!$B$239="Да",MeanMinAge13+'19_Расчет_аналитики'!D559*SUMIF(ThresholdAge13,"&lt;"&amp;'19_Расчет_аналитики'!D559,WeightedRevAge13)-SUMIF(ThresholdAge13,"&lt;"&amp;'19_Расчет_аналитики'!D559,WeightedMinAge13),MAX(CapacityAge13*'01_Вводные'!$B$218*'19_Расчет_аналитики'!D559,MeanMinAge13)))</f>
        <v/>
      </c>
      <c r="E476">
        <f>IF(OR('06_Сеть_и_дети'!E93=0,13&lt;='01_Вводные'!$B$297),0,'06_Сеть_и_дети'!E93*IF('01_Вводные'!$B$239="Да",MeanMinAge13+'19_Расчет_аналитики'!E559*SUMIF(ThresholdAge13,"&lt;"&amp;'19_Расчет_аналитики'!E559,WeightedRevAge13)-SUMIF(ThresholdAge13,"&lt;"&amp;'19_Расчет_аналитики'!E559,WeightedMinAge13),MAX(CapacityAge13*'01_Вводные'!$B$218*'19_Расчет_аналитики'!E559,MeanMinAge13)))</f>
        <v/>
      </c>
      <c r="F476">
        <f>IF(OR('06_Сеть_и_дети'!F93=0,13&lt;='01_Вводные'!$B$297),0,'06_Сеть_и_дети'!F93*IF('01_Вводные'!$B$239="Да",MeanMinAge13+'19_Расчет_аналитики'!F559*SUMIF(ThresholdAge13,"&lt;"&amp;'19_Расчет_аналитики'!F559,WeightedRevAge13)-SUMIF(ThresholdAge13,"&lt;"&amp;'19_Расчет_аналитики'!F559,WeightedMinAge13),MAX(CapacityAge13*'01_Вводные'!$B$218*'19_Расчет_аналитики'!F559,MeanMinAge13)))</f>
        <v/>
      </c>
      <c r="G476">
        <f>IF(OR('06_Сеть_и_дети'!G93=0,13&lt;='01_Вводные'!$B$297),0,'06_Сеть_и_дети'!G93*IF('01_Вводные'!$B$239="Да",MeanMinAge13+'19_Расчет_аналитики'!G559*SUMIF(ThresholdAge13,"&lt;"&amp;'19_Расчет_аналитики'!G559,WeightedRevAge13)-SUMIF(ThresholdAge13,"&lt;"&amp;'19_Расчет_аналитики'!G559,WeightedMinAge13),MAX(CapacityAge13*'01_Вводные'!$B$218*'19_Расчет_аналитики'!G559,MeanMinAge13)))</f>
        <v/>
      </c>
      <c r="H476">
        <f>IF(OR('06_Сеть_и_дети'!H93=0,13&lt;='01_Вводные'!$B$297),0,'06_Сеть_и_дети'!H93*IF('01_Вводные'!$B$239="Да",MeanMinAge13+'19_Расчет_аналитики'!H559*SUMIF(ThresholdAge13,"&lt;"&amp;'19_Расчет_аналитики'!H559,WeightedRevAge13)-SUMIF(ThresholdAge13,"&lt;"&amp;'19_Расчет_аналитики'!H559,WeightedMinAge13),MAX(CapacityAge13*'01_Вводные'!$B$218*'19_Расчет_аналитики'!H559,MeanMinAge13)))</f>
        <v/>
      </c>
      <c r="I476">
        <f>IF(OR('06_Сеть_и_дети'!I93=0,13&lt;='01_Вводные'!$B$297),0,'06_Сеть_и_дети'!I93*IF('01_Вводные'!$B$239="Да",MeanMinAge13+'19_Расчет_аналитики'!I559*SUMIF(ThresholdAge13,"&lt;"&amp;'19_Расчет_аналитики'!I559,WeightedRevAge13)-SUMIF(ThresholdAge13,"&lt;"&amp;'19_Расчет_аналитики'!I559,WeightedMinAge13),MAX(CapacityAge13*'01_Вводные'!$B$218*'19_Расчет_аналитики'!I559,MeanMinAge13)))</f>
        <v/>
      </c>
      <c r="J476">
        <f>IF(OR('06_Сеть_и_дети'!J93=0,13&lt;='01_Вводные'!$B$297),0,'06_Сеть_и_дети'!J93*IF('01_Вводные'!$B$239="Да",MeanMinAge13+'19_Расчет_аналитики'!J559*SUMIF(ThresholdAge13,"&lt;"&amp;'19_Расчет_аналитики'!J559,WeightedRevAge13)-SUMIF(ThresholdAge13,"&lt;"&amp;'19_Расчет_аналитики'!J559,WeightedMinAge13),MAX(CapacityAge13*'01_Вводные'!$B$218*'19_Расчет_аналитики'!J559,MeanMinAge13)))</f>
        <v/>
      </c>
      <c r="K476">
        <f>IF(OR('06_Сеть_и_дети'!K93=0,13&lt;='01_Вводные'!$B$297),0,'06_Сеть_и_дети'!K93*IF('01_Вводные'!$B$239="Да",MeanMinAge13+'19_Расчет_аналитики'!K559*SUMIF(ThresholdAge13,"&lt;"&amp;'19_Расчет_аналитики'!K559,WeightedRevAge13)-SUMIF(ThresholdAge13,"&lt;"&amp;'19_Расчет_аналитики'!K559,WeightedMinAge13),MAX(CapacityAge13*'01_Вводные'!$B$218*'19_Расчет_аналитики'!K559,MeanMinAge13)))</f>
        <v/>
      </c>
      <c r="L476">
        <f>IF(OR('06_Сеть_и_дети'!L93=0,13&lt;='01_Вводные'!$B$297),0,'06_Сеть_и_дети'!L93*IF('01_Вводные'!$B$239="Да",MeanMinAge13+'19_Расчет_аналитики'!L559*SUMIF(ThresholdAge13,"&lt;"&amp;'19_Расчет_аналитики'!L559,WeightedRevAge13)-SUMIF(ThresholdAge13,"&lt;"&amp;'19_Расчет_аналитики'!L559,WeightedMinAge13),MAX(CapacityAge13*'01_Вводные'!$B$218*'19_Расчет_аналитики'!L559,MeanMinAge13)))</f>
        <v/>
      </c>
      <c r="M476">
        <f>IF(OR('06_Сеть_и_дети'!M93=0,13&lt;='01_Вводные'!$B$297),0,'06_Сеть_и_дети'!M93*IF('01_Вводные'!$B$239="Да",MeanMinAge13+'19_Расчет_аналитики'!M559*SUMIF(ThresholdAge13,"&lt;"&amp;'19_Расчет_аналитики'!M559,WeightedRevAge13)-SUMIF(ThresholdAge13,"&lt;"&amp;'19_Расчет_аналитики'!M559,WeightedMinAge13),MAX(CapacityAge13*'01_Вводные'!$B$218*'19_Расчет_аналитики'!M559,MeanMinAge13)))</f>
        <v/>
      </c>
      <c r="N476">
        <f>IF(OR('19_Расчет_аналитики'!N448=0,13&lt;='01_Вводные'!$B$297),0,'19_Расчет_аналитики'!N448*IF('01_Вводные'!$B$239="Да",MeanMinAge13+'19_Расчет_аналитики'!N559*SUMIF(ThresholdAge13,"&lt;"&amp;'19_Расчет_аналитики'!N559,WeightedRevAge13)-SUMIF(ThresholdAge13,"&lt;"&amp;'19_Расчет_аналитики'!N559,WeightedMinAge13),MAX(CapacityAge13*'01_Вводные'!$B$218*'19_Расчет_аналитики'!N559,MeanMinAge13)))</f>
        <v/>
      </c>
      <c r="O476">
        <f>IF(OR('19_Расчет_аналитики'!O448=0,13&lt;='01_Вводные'!$B$297),0,'19_Расчет_аналитики'!O448*IF('01_Вводные'!$B$239="Да",MeanMinAge13+'19_Расчет_аналитики'!O559*SUMIF(ThresholdAge13,"&lt;"&amp;'19_Расчет_аналитики'!O559,WeightedRevAge13)-SUMIF(ThresholdAge13,"&lt;"&amp;'19_Расчет_аналитики'!O559,WeightedMinAge13),MAX(CapacityAge13*'01_Вводные'!$B$218*'19_Расчет_аналитики'!O559,MeanMinAge13)))</f>
        <v/>
      </c>
      <c r="P476">
        <f>IF(OR('19_Расчет_аналитики'!P448=0,13&lt;='01_Вводные'!$B$297),0,'19_Расчет_аналитики'!P448*IF('01_Вводные'!$B$239="Да",MeanMinAge13+'19_Расчет_аналитики'!P559*SUMIF(ThresholdAge13,"&lt;"&amp;'19_Расчет_аналитики'!P559,WeightedRevAge13)-SUMIF(ThresholdAge13,"&lt;"&amp;'19_Расчет_аналитики'!P559,WeightedMinAge13),MAX(CapacityAge13*'01_Вводные'!$B$218*'19_Расчет_аналитики'!P559,MeanMinAge13)))</f>
        <v/>
      </c>
      <c r="Q476">
        <f>IF(OR('19_Расчет_аналитики'!Q448=0,13&lt;='01_Вводные'!$B$297),0,'19_Расчет_аналитики'!Q448*IF('01_Вводные'!$B$239="Да",MeanMinAge13+'19_Расчет_аналитики'!Q559*SUMIF(ThresholdAge13,"&lt;"&amp;'19_Расчет_аналитики'!Q559,WeightedRevAge13)-SUMIF(ThresholdAge13,"&lt;"&amp;'19_Расчет_аналитики'!Q559,WeightedMinAge13),MAX(CapacityAge13*'01_Вводные'!$B$218*'19_Расчет_аналитики'!Q559,MeanMinAge13)))</f>
        <v/>
      </c>
      <c r="R476">
        <f>IF(OR('19_Расчет_аналитики'!R448=0,13&lt;='01_Вводные'!$B$297),0,'19_Расчет_аналитики'!R448*IF('01_Вводные'!$B$239="Да",MeanMinAge13+'19_Расчет_аналитики'!R559*SUMIF(ThresholdAge13,"&lt;"&amp;'19_Расчет_аналитики'!R559,WeightedRevAge13)-SUMIF(ThresholdAge13,"&lt;"&amp;'19_Расчет_аналитики'!R559,WeightedMinAge13),MAX(CapacityAge13*'01_Вводные'!$B$218*'19_Расчет_аналитики'!R559,MeanMinAge13)))</f>
        <v/>
      </c>
      <c r="S476">
        <f>IF(OR('19_Расчет_аналитики'!S448=0,13&lt;='01_Вводные'!$B$297),0,'19_Расчет_аналитики'!S448*IF('01_Вводные'!$B$239="Да",MeanMinAge13+'19_Расчет_аналитики'!S559*SUMIF(ThresholdAge13,"&lt;"&amp;'19_Расчет_аналитики'!S559,WeightedRevAge13)-SUMIF(ThresholdAge13,"&lt;"&amp;'19_Расчет_аналитики'!S559,WeightedMinAge13),MAX(CapacityAge13*'01_Вводные'!$B$218*'19_Расчет_аналитики'!S559,MeanMinAge13)))</f>
        <v/>
      </c>
      <c r="T476">
        <f>IF(OR('19_Расчет_аналитики'!T448=0,13&lt;='01_Вводные'!$B$297),0,'19_Расчет_аналитики'!T448*IF('01_Вводные'!$B$239="Да",MeanMinAge13+'19_Расчет_аналитики'!T559*SUMIF(ThresholdAge13,"&lt;"&amp;'19_Расчет_аналитики'!T559,WeightedRevAge13)-SUMIF(ThresholdAge13,"&lt;"&amp;'19_Расчет_аналитики'!T559,WeightedMinAge13),MAX(CapacityAge13*'01_Вводные'!$B$218*'19_Расчет_аналитики'!T559,MeanMinAge13)))</f>
        <v/>
      </c>
      <c r="U476">
        <f>IF(OR('19_Расчет_аналитики'!U448=0,13&lt;='01_Вводные'!$B$297),0,'19_Расчет_аналитики'!U448*IF('01_Вводные'!$B$239="Да",MeanMinAge13+'19_Расчет_аналитики'!U559*SUMIF(ThresholdAge13,"&lt;"&amp;'19_Расчет_аналитики'!U559,WeightedRevAge13)-SUMIF(ThresholdAge13,"&lt;"&amp;'19_Расчет_аналитики'!U559,WeightedMinAge13),MAX(CapacityAge13*'01_Вводные'!$B$218*'19_Расчет_аналитики'!U559,MeanMinAge13)))</f>
        <v/>
      </c>
      <c r="V476">
        <f>IF(OR('19_Расчет_аналитики'!V448=0,13&lt;='01_Вводные'!$B$297),0,'19_Расчет_аналитики'!V448*IF('01_Вводные'!$B$239="Да",MeanMinAge13+'19_Расчет_аналитики'!V559*SUMIF(ThresholdAge13,"&lt;"&amp;'19_Расчет_аналитики'!V559,WeightedRevAge13)-SUMIF(ThresholdAge13,"&lt;"&amp;'19_Расчет_аналитики'!V559,WeightedMinAge13),MAX(CapacityAge13*'01_Вводные'!$B$218*'19_Расчет_аналитики'!V559,MeanMinAge13)))</f>
        <v/>
      </c>
      <c r="W476">
        <f>IF(OR('19_Расчет_аналитики'!W448=0,13&lt;='01_Вводные'!$B$297),0,'19_Расчет_аналитики'!W448*IF('01_Вводные'!$B$239="Да",MeanMinAge13+'19_Расчет_аналитики'!W559*SUMIF(ThresholdAge13,"&lt;"&amp;'19_Расчет_аналитики'!W559,WeightedRevAge13)-SUMIF(ThresholdAge13,"&lt;"&amp;'19_Расчет_аналитики'!W559,WeightedMinAge13),MAX(CapacityAge13*'01_Вводные'!$B$218*'19_Расчет_аналитики'!W559,MeanMinAge13)))</f>
        <v/>
      </c>
      <c r="X476">
        <f>IF(OR('19_Расчет_аналитики'!X448=0,13&lt;='01_Вводные'!$B$297),0,'19_Расчет_аналитики'!X448*IF('01_Вводные'!$B$239="Да",MeanMinAge13+'19_Расчет_аналитики'!X559*SUMIF(ThresholdAge13,"&lt;"&amp;'19_Расчет_аналитики'!X559,WeightedRevAge13)-SUMIF(ThresholdAge13,"&lt;"&amp;'19_Расчет_аналитики'!X559,WeightedMinAge13),MAX(CapacityAge13*'01_Вводные'!$B$218*'19_Расчет_аналитики'!X559,MeanMinAge13)))</f>
        <v/>
      </c>
      <c r="Y476">
        <f>IF(OR('19_Расчет_аналитики'!Y448=0,13&lt;='01_Вводные'!$B$297),0,'19_Расчет_аналитики'!Y448*IF('01_Вводные'!$B$239="Да",MeanMinAge13+'19_Расчет_аналитики'!Y559*SUMIF(ThresholdAge13,"&lt;"&amp;'19_Расчет_аналитики'!Y559,WeightedRevAge13)-SUMIF(ThresholdAge13,"&lt;"&amp;'19_Расчет_аналитики'!Y559,WeightedMinAge13),MAX(CapacityAge13*'01_Вводные'!$B$218*'19_Расчет_аналитики'!Y559,MeanMinAge13)))</f>
        <v/>
      </c>
      <c r="Z476">
        <f>IF(OR('19_Расчет_аналитики'!Z448=0,13&lt;='01_Вводные'!$B$297),0,'19_Расчет_аналитики'!Z448*IF('01_Вводные'!$B$239="Да",MeanMinAge13+'19_Расчет_аналитики'!Z559*SUMIF(ThresholdAge13,"&lt;"&amp;'19_Расчет_аналитики'!Z559,WeightedRevAge13)-SUMIF(ThresholdAge13,"&lt;"&amp;'19_Расчет_аналитики'!Z559,WeightedMinAge13),MAX(CapacityAge13*'01_Вводные'!$B$218*'19_Расчет_аналитики'!Z559,MeanMinAge13)))</f>
        <v/>
      </c>
      <c r="AA476">
        <f>IF(OR('19_Расчет_аналитики'!AA448=0,13&lt;='01_Вводные'!$B$297),0,'19_Расчет_аналитики'!AA448*IF('01_Вводные'!$B$239="Да",MeanMinAge13+'19_Расчет_аналитики'!AA559*SUMIF(ThresholdAge13,"&lt;"&amp;'19_Расчет_аналитики'!AA559,WeightedRevAge13)-SUMIF(ThresholdAge13,"&lt;"&amp;'19_Расчет_аналитики'!AA559,WeightedMinAge13),MAX(CapacityAge13*'01_Вводные'!$B$218*'19_Расчет_аналитики'!AA559,MeanMinAge13)))</f>
        <v/>
      </c>
      <c r="AB476">
        <f>IF(OR('19_Расчет_аналитики'!AB448=0,13&lt;='01_Вводные'!$B$297),0,'19_Расчет_аналитики'!AB448*IF('01_Вводные'!$B$239="Да",MeanMinAge13+'19_Расчет_аналитики'!AB559*SUMIF(ThresholdAge13,"&lt;"&amp;'19_Расчет_аналитики'!AB559,WeightedRevAge13)-SUMIF(ThresholdAge13,"&lt;"&amp;'19_Расчет_аналитики'!AB559,WeightedMinAge13),MAX(CapacityAge13*'01_Вводные'!$B$218*'19_Расчет_аналитики'!AB559,MeanMinAge13)))</f>
        <v/>
      </c>
      <c r="AC476">
        <f>IF(OR('19_Расчет_аналитики'!AC448=0,13&lt;='01_Вводные'!$B$297),0,'19_Расчет_аналитики'!AC448*IF('01_Вводные'!$B$239="Да",MeanMinAge13+'19_Расчет_аналитики'!AC559*SUMIF(ThresholdAge13,"&lt;"&amp;'19_Расчет_аналитики'!AC559,WeightedRevAge13)-SUMIF(ThresholdAge13,"&lt;"&amp;'19_Расчет_аналитики'!AC559,WeightedMinAge13),MAX(CapacityAge13*'01_Вводные'!$B$218*'19_Расчет_аналитики'!AC559,MeanMinAge13)))</f>
        <v/>
      </c>
      <c r="AD476">
        <f>IF(OR('19_Расчет_аналитики'!AD448=0,13&lt;='01_Вводные'!$B$297),0,'19_Расчет_аналитики'!AD448*IF('01_Вводные'!$B$239="Да",MeanMinAge13+'19_Расчет_аналитики'!AD559*SUMIF(ThresholdAge13,"&lt;"&amp;'19_Расчет_аналитики'!AD559,WeightedRevAge13)-SUMIF(ThresholdAge13,"&lt;"&amp;'19_Расчет_аналитики'!AD559,WeightedMinAge13),MAX(CapacityAge13*'01_Вводные'!$B$218*'19_Расчет_аналитики'!AD559,MeanMinAge13)))</f>
        <v/>
      </c>
      <c r="AE476">
        <f>IF(OR('19_Расчет_аналитики'!AE448=0,13&lt;='01_Вводные'!$B$297),0,'19_Расчет_аналитики'!AE448*IF('01_Вводные'!$B$239="Да",MeanMinAge13+'19_Расчет_аналитики'!AE559*SUMIF(ThresholdAge13,"&lt;"&amp;'19_Расчет_аналитики'!AE559,WeightedRevAge13)-SUMIF(ThresholdAge13,"&lt;"&amp;'19_Расчет_аналитики'!AE559,WeightedMinAge13),MAX(CapacityAge13*'01_Вводные'!$B$218*'19_Расчет_аналитики'!AE559,MeanMinAge13)))</f>
        <v/>
      </c>
      <c r="AF476">
        <f>IF(OR('19_Расчет_аналитики'!AF448=0,13&lt;='01_Вводные'!$B$297),0,'19_Расчет_аналитики'!AF448*IF('01_Вводные'!$B$239="Да",MeanMinAge13+'19_Расчет_аналитики'!AF559*SUMIF(ThresholdAge13,"&lt;"&amp;'19_Расчет_аналитики'!AF559,WeightedRevAge13)-SUMIF(ThresholdAge13,"&lt;"&amp;'19_Расчет_аналитики'!AF559,WeightedMinAge13),MAX(CapacityAge13*'01_Вводные'!$B$218*'19_Расчет_аналитики'!AF559,MeanMinAge13)))</f>
        <v/>
      </c>
      <c r="AG476">
        <f>IF(OR('19_Расчет_аналитики'!AG448=0,13&lt;='01_Вводные'!$B$297),0,'19_Расчет_аналитики'!AG448*IF('01_Вводные'!$B$239="Да",MeanMinAge13+'19_Расчет_аналитики'!AG559*SUMIF(ThresholdAge13,"&lt;"&amp;'19_Расчет_аналитики'!AG559,WeightedRevAge13)-SUMIF(ThresholdAge13,"&lt;"&amp;'19_Расчет_аналитики'!AG559,WeightedMinAge13),MAX(CapacityAge13*'01_Вводные'!$B$218*'19_Расчет_аналитики'!AG559,MeanMinAge13)))</f>
        <v/>
      </c>
      <c r="AH476">
        <f>IF(OR('19_Расчет_аналитики'!AH448=0,13&lt;='01_Вводные'!$B$297),0,'19_Расчет_аналитики'!AH448*IF('01_Вводные'!$B$239="Да",MeanMinAge13+'19_Расчет_аналитики'!AH559*SUMIF(ThresholdAge13,"&lt;"&amp;'19_Расчет_аналитики'!AH559,WeightedRevAge13)-SUMIF(ThresholdAge13,"&lt;"&amp;'19_Расчет_аналитики'!AH559,WeightedMinAge13),MAX(CapacityAge13*'01_Вводные'!$B$218*'19_Расчет_аналитики'!AH559,MeanMinAge13)))</f>
        <v/>
      </c>
      <c r="AI476">
        <f>IF(OR('19_Расчет_аналитики'!AI448=0,13&lt;='01_Вводные'!$B$297),0,'19_Расчет_аналитики'!AI448*IF('01_Вводные'!$B$239="Да",MeanMinAge13+'19_Расчет_аналитики'!AI559*SUMIF(ThresholdAge13,"&lt;"&amp;'19_Расчет_аналитики'!AI559,WeightedRevAge13)-SUMIF(ThresholdAge13,"&lt;"&amp;'19_Расчет_аналитики'!AI559,WeightedMinAge13),MAX(CapacityAge13*'01_Вводные'!$B$218*'19_Расчет_аналитики'!AI559,MeanMinAge13)))</f>
        <v/>
      </c>
      <c r="AJ476">
        <f>IF(OR('19_Расчет_аналитики'!AJ448=0,13&lt;='01_Вводные'!$B$297),0,'19_Расчет_аналитики'!AJ448*IF('01_Вводные'!$B$239="Да",MeanMinAge13+'19_Расчет_аналитики'!AJ559*SUMIF(ThresholdAge13,"&lt;"&amp;'19_Расчет_аналитики'!AJ559,WeightedRevAge13)-SUMIF(ThresholdAge13,"&lt;"&amp;'19_Расчет_аналитики'!AJ559,WeightedMinAge13),MAX(CapacityAge13*'01_Вводные'!$B$218*'19_Расчет_аналитики'!AJ559,MeanMinAge13)))</f>
        <v/>
      </c>
      <c r="AK476">
        <f>IF(OR('19_Расчет_аналитики'!AK448=0,13&lt;='01_Вводные'!$B$297),0,'19_Расчет_аналитики'!AK448*IF('01_Вводные'!$B$239="Да",MeanMinAge13+'19_Расчет_аналитики'!AK559*SUMIF(ThresholdAge13,"&lt;"&amp;'19_Расчет_аналитики'!AK559,WeightedRevAge13)-SUMIF(ThresholdAge13,"&lt;"&amp;'19_Расчет_аналитики'!AK559,WeightedMinAge13),MAX(CapacityAge13*'01_Вводные'!$B$218*'19_Расчет_аналитики'!AK559,MeanMinAge13)))</f>
        <v/>
      </c>
      <c r="AL476">
        <f>IF(OR('19_Расчет_аналитики'!AL448=0,13&lt;='01_Вводные'!$B$297),0,'19_Расчет_аналитики'!AL448*IF('01_Вводные'!$B$239="Да",MeanMinAge13+'19_Расчет_аналитики'!AL559*SUMIF(ThresholdAge13,"&lt;"&amp;'19_Расчет_аналитики'!AL559,WeightedRevAge13)-SUMIF(ThresholdAge13,"&lt;"&amp;'19_Расчет_аналитики'!AL559,WeightedMinAge13),MAX(CapacityAge13*'01_Вводные'!$B$218*'19_Расчет_аналитики'!AL559,MeanMinAge13)))</f>
        <v/>
      </c>
      <c r="AM476">
        <f>IF(OR('19_Расчет_аналитики'!AM448=0,13&lt;='01_Вводные'!$B$297),0,'19_Расчет_аналитики'!AM448*IF('01_Вводные'!$B$239="Да",MeanMinAge13+'19_Расчет_аналитики'!AM559*SUMIF(ThresholdAge13,"&lt;"&amp;'19_Расчет_аналитики'!AM559,WeightedRevAge13)-SUMIF(ThresholdAge13,"&lt;"&amp;'19_Расчет_аналитики'!AM559,WeightedMinAge13),MAX(CapacityAge13*'01_Вводные'!$B$218*'19_Расчет_аналитики'!AM559,MeanMinAge13)))</f>
        <v/>
      </c>
      <c r="AN476">
        <f>IF(OR('19_Расчет_аналитики'!AN448=0,13&lt;='01_Вводные'!$B$297),0,'19_Расчет_аналитики'!AN448*IF('01_Вводные'!$B$239="Да",MeanMinAge13+'19_Расчет_аналитики'!AN559*SUMIF(ThresholdAge13,"&lt;"&amp;'19_Расчет_аналитики'!AN559,WeightedRevAge13)-SUMIF(ThresholdAge13,"&lt;"&amp;'19_Расчет_аналитики'!AN559,WeightedMinAge13),MAX(CapacityAge13*'01_Вводные'!$B$218*'19_Расчет_аналитики'!AN559,MeanMinAge13)))</f>
        <v/>
      </c>
      <c r="AO476">
        <f>IF(OR('19_Расчет_аналитики'!AO448=0,13&lt;='01_Вводные'!$B$297),0,'19_Расчет_аналитики'!AO448*IF('01_Вводные'!$B$239="Да",MeanMinAge13+'19_Расчет_аналитики'!AO559*SUMIF(ThresholdAge13,"&lt;"&amp;'19_Расчет_аналитики'!AO559,WeightedRevAge13)-SUMIF(ThresholdAge13,"&lt;"&amp;'19_Расчет_аналитики'!AO559,WeightedMinAge13),MAX(CapacityAge13*'01_Вводные'!$B$218*'19_Расчет_аналитики'!AO559,MeanMinAge13)))</f>
        <v/>
      </c>
      <c r="AP476">
        <f>IF(OR('19_Расчет_аналитики'!AP448=0,13&lt;='01_Вводные'!$B$297),0,'19_Расчет_аналитики'!AP448*IF('01_Вводные'!$B$239="Да",MeanMinAge13+'19_Расчет_аналитики'!AP559*SUMIF(ThresholdAge13,"&lt;"&amp;'19_Расчет_аналитики'!AP559,WeightedRevAge13)-SUMIF(ThresholdAge13,"&lt;"&amp;'19_Расчет_аналитики'!AP559,WeightedMinAge13),MAX(CapacityAge13*'01_Вводные'!$B$218*'19_Расчет_аналитики'!AP559,MeanMinAge13)))</f>
        <v/>
      </c>
      <c r="AQ476">
        <f>IF(OR('19_Расчет_аналитики'!AQ448=0,13&lt;='01_Вводные'!$B$297),0,'19_Расчет_аналитики'!AQ448*IF('01_Вводные'!$B$239="Да",MeanMinAge13+'19_Расчет_аналитики'!AQ559*SUMIF(ThresholdAge13,"&lt;"&amp;'19_Расчет_аналитики'!AQ559,WeightedRevAge13)-SUMIF(ThresholdAge13,"&lt;"&amp;'19_Расчет_аналитики'!AQ559,WeightedMinAge13),MAX(CapacityAge13*'01_Вводные'!$B$218*'19_Расчет_аналитики'!AQ559,MeanMinAge13)))</f>
        <v/>
      </c>
      <c r="AR476">
        <f>IF(OR('19_Расчет_аналитики'!AR448=0,13&lt;='01_Вводные'!$B$297),0,'19_Расчет_аналитики'!AR448*IF('01_Вводные'!$B$239="Да",MeanMinAge13+'19_Расчет_аналитики'!AR559*SUMIF(ThresholdAge13,"&lt;"&amp;'19_Расчет_аналитики'!AR559,WeightedRevAge13)-SUMIF(ThresholdAge13,"&lt;"&amp;'19_Расчет_аналитики'!AR559,WeightedMinAge13),MAX(CapacityAge13*'01_Вводные'!$B$218*'19_Расчет_аналитики'!AR559,MeanMinAge13)))</f>
        <v/>
      </c>
      <c r="AS476">
        <f>IF(OR('19_Расчет_аналитики'!AS448=0,13&lt;='01_Вводные'!$B$297),0,'19_Расчет_аналитики'!AS448*IF('01_Вводные'!$B$239="Да",MeanMinAge13+'19_Расчет_аналитики'!AS559*SUMIF(ThresholdAge13,"&lt;"&amp;'19_Расчет_аналитики'!AS559,WeightedRevAge13)-SUMIF(ThresholdAge13,"&lt;"&amp;'19_Расчет_аналитики'!AS559,WeightedMinAge13),MAX(CapacityAge13*'01_Вводные'!$B$218*'19_Расчет_аналитики'!AS559,MeanMinAge13)))</f>
        <v/>
      </c>
      <c r="AT476">
        <f>IF(OR('19_Расчет_аналитики'!AT448=0,13&lt;='01_Вводные'!$B$297),0,'19_Расчет_аналитики'!AT448*IF('01_Вводные'!$B$239="Да",MeanMinAge13+'19_Расчет_аналитики'!AT559*SUMIF(ThresholdAge13,"&lt;"&amp;'19_Расчет_аналитики'!AT559,WeightedRevAge13)-SUMIF(ThresholdAge13,"&lt;"&amp;'19_Расчет_аналитики'!AT559,WeightedMinAge13),MAX(CapacityAge13*'01_Вводные'!$B$218*'19_Расчет_аналитики'!AT559,MeanMinAge13)))</f>
        <v/>
      </c>
      <c r="AU476">
        <f>IF(OR('19_Расчет_аналитики'!AU448=0,13&lt;='01_Вводные'!$B$297),0,'19_Расчет_аналитики'!AU448*IF('01_Вводные'!$B$239="Да",MeanMinAge13+'19_Расчет_аналитики'!AU559*SUMIF(ThresholdAge13,"&lt;"&amp;'19_Расчет_аналитики'!AU559,WeightedRevAge13)-SUMIF(ThresholdAge13,"&lt;"&amp;'19_Расчет_аналитики'!AU559,WeightedMinAge13),MAX(CapacityAge13*'01_Вводные'!$B$218*'19_Расчет_аналитики'!AU559,MeanMinAge13)))</f>
        <v/>
      </c>
      <c r="AV476">
        <f>IF(OR('19_Расчет_аналитики'!AV448=0,13&lt;='01_Вводные'!$B$297),0,'19_Расчет_аналитики'!AV448*IF('01_Вводные'!$B$239="Да",MeanMinAge13+'19_Расчет_аналитики'!AV559*SUMIF(ThresholdAge13,"&lt;"&amp;'19_Расчет_аналитики'!AV559,WeightedRevAge13)-SUMIF(ThresholdAge13,"&lt;"&amp;'19_Расчет_аналитики'!AV559,WeightedMinAge13),MAX(CapacityAge13*'01_Вводные'!$B$218*'19_Расчет_аналитики'!AV559,MeanMinAge13)))</f>
        <v/>
      </c>
      <c r="AW476">
        <f>IF(OR('19_Расчет_аналитики'!AW448=0,13&lt;='01_Вводные'!$B$297),0,'19_Расчет_аналитики'!AW448*IF('01_Вводные'!$B$239="Да",MeanMinAge13+'19_Расчет_аналитики'!AW559*SUMIF(ThresholdAge13,"&lt;"&amp;'19_Расчет_аналитики'!AW559,WeightedRevAge13)-SUMIF(ThresholdAge13,"&lt;"&amp;'19_Расчет_аналитики'!AW559,WeightedMinAge13),MAX(CapacityAge13*'01_Вводные'!$B$218*'19_Расчет_аналитики'!AW559,MeanMinAge13)))</f>
        <v/>
      </c>
      <c r="AX476">
        <f>IF(OR('19_Расчет_аналитики'!AX448=0,13&lt;='01_Вводные'!$B$297),0,'19_Расчет_аналитики'!AX448*IF('01_Вводные'!$B$239="Да",MeanMinAge13+'19_Расчет_аналитики'!AX559*SUMIF(ThresholdAge13,"&lt;"&amp;'19_Расчет_аналитики'!AX559,WeightedRevAge13)-SUMIF(ThresholdAge13,"&lt;"&amp;'19_Расчет_аналитики'!AX559,WeightedMinAge13),MAX(CapacityAge13*'01_Вводные'!$B$218*'19_Расчет_аналитики'!AX559,MeanMinAge13)))</f>
        <v/>
      </c>
      <c r="AY476">
        <f>IF(OR('19_Расчет_аналитики'!AY448=0,13&lt;='01_Вводные'!$B$297),0,'19_Расчет_аналитики'!AY448*IF('01_Вводные'!$B$239="Да",MeanMinAge13+'19_Расчет_аналитики'!AY559*SUMIF(ThresholdAge13,"&lt;"&amp;'19_Расчет_аналитики'!AY559,WeightedRevAge13)-SUMIF(ThresholdAge13,"&lt;"&amp;'19_Расчет_аналитики'!AY559,WeightedMinAge13),MAX(CapacityAge13*'01_Вводные'!$B$218*'19_Расчет_аналитики'!AY559,MeanMinAge13)))</f>
        <v/>
      </c>
      <c r="AZ476">
        <f>IF(OR('19_Расчет_аналитики'!AZ448=0,13&lt;='01_Вводные'!$B$297),0,'19_Расчет_аналитики'!AZ448*IF('01_Вводные'!$B$239="Да",MeanMinAge13+'19_Расчет_аналитики'!AZ559*SUMIF(ThresholdAge13,"&lt;"&amp;'19_Расчет_аналитики'!AZ559,WeightedRevAge13)-SUMIF(ThresholdAge13,"&lt;"&amp;'19_Расчет_аналитики'!AZ559,WeightedMinAge13),MAX(CapacityAge13*'01_Вводные'!$B$218*'19_Расчет_аналитики'!AZ559,MeanMinAge13)))</f>
        <v/>
      </c>
      <c r="BA476">
        <f>IF(OR('19_Расчет_аналитики'!BA448=0,13&lt;='01_Вводные'!$B$297),0,'19_Расчет_аналитики'!BA448*IF('01_Вводные'!$B$239="Да",MeanMinAge13+'19_Расчет_аналитики'!BA559*SUMIF(ThresholdAge13,"&lt;"&amp;'19_Расчет_аналитики'!BA559,WeightedRevAge13)-SUMIF(ThresholdAge13,"&lt;"&amp;'19_Расчет_аналитики'!BA559,WeightedMinAge13),MAX(CapacityAge13*'01_Вводные'!$B$218*'19_Расчет_аналитики'!BA559,MeanMinAge13)))</f>
        <v/>
      </c>
      <c r="BB476">
        <f>IF(OR('19_Расчет_аналитики'!BB448=0,13&lt;='01_Вводные'!$B$297),0,'19_Расчет_аналитики'!BB448*IF('01_Вводные'!$B$239="Да",MeanMinAge13+'19_Расчет_аналитики'!BB559*SUMIF(ThresholdAge13,"&lt;"&amp;'19_Расчет_аналитики'!BB559,WeightedRevAge13)-SUMIF(ThresholdAge13,"&lt;"&amp;'19_Расчет_аналитики'!BB559,WeightedMinAge13),MAX(CapacityAge13*'01_Вводные'!$B$218*'19_Расчет_аналитики'!BB559,MeanMinAge13)))</f>
        <v/>
      </c>
      <c r="BC476">
        <f>IF(OR('19_Расчет_аналитики'!BC448=0,13&lt;='01_Вводные'!$B$297),0,'19_Расчет_аналитики'!BC448*IF('01_Вводные'!$B$239="Да",MeanMinAge13+'19_Расчет_аналитики'!BC559*SUMIF(ThresholdAge13,"&lt;"&amp;'19_Расчет_аналитики'!BC559,WeightedRevAge13)-SUMIF(ThresholdAge13,"&lt;"&amp;'19_Расчет_аналитики'!BC559,WeightedMinAge13),MAX(CapacityAge13*'01_Вводные'!$B$218*'19_Расчет_аналитики'!BC559,MeanMinAge13)))</f>
        <v/>
      </c>
      <c r="BD476">
        <f>IF(OR('19_Расчет_аналитики'!BD448=0,13&lt;='01_Вводные'!$B$297),0,'19_Расчет_аналитики'!BD448*IF('01_Вводные'!$B$239="Да",MeanMinAge13+'19_Расчет_аналитики'!BD559*SUMIF(ThresholdAge13,"&lt;"&amp;'19_Расчет_аналитики'!BD559,WeightedRevAge13)-SUMIF(ThresholdAge13,"&lt;"&amp;'19_Расчет_аналитики'!BD559,WeightedMinAge13),MAX(CapacityAge13*'01_Вводные'!$B$218*'19_Расчет_аналитики'!BD559,MeanMinAge13)))</f>
        <v/>
      </c>
      <c r="BE476">
        <f>IF(OR('19_Расчет_аналитики'!BE448=0,13&lt;='01_Вводные'!$B$297),0,'19_Расчет_аналитики'!BE448*IF('01_Вводные'!$B$239="Да",MeanMinAge13+'19_Расчет_аналитики'!BE559*SUMIF(ThresholdAge13,"&lt;"&amp;'19_Расчет_аналитики'!BE559,WeightedRevAge13)-SUMIF(ThresholdAge13,"&lt;"&amp;'19_Расчет_аналитики'!BE559,WeightedMinAge13),MAX(CapacityAge13*'01_Вводные'!$B$218*'19_Расчет_аналитики'!BE559,MeanMinAge13)))</f>
        <v/>
      </c>
      <c r="BF476">
        <f>IF(OR('19_Расчет_аналитики'!BF448=0,13&lt;='01_Вводные'!$B$297),0,'19_Расчет_аналитики'!BF448*IF('01_Вводные'!$B$239="Да",MeanMinAge13+'19_Расчет_аналитики'!BF559*SUMIF(ThresholdAge13,"&lt;"&amp;'19_Расчет_аналитики'!BF559,WeightedRevAge13)-SUMIF(ThresholdAge13,"&lt;"&amp;'19_Расчет_аналитики'!BF559,WeightedMinAge13),MAX(CapacityAge13*'01_Вводные'!$B$218*'19_Расчет_аналитики'!BF559,MeanMinAge13)))</f>
        <v/>
      </c>
      <c r="BG476">
        <f>IF(OR('19_Расчет_аналитики'!BG448=0,13&lt;='01_Вводные'!$B$297),0,'19_Расчет_аналитики'!BG448*IF('01_Вводные'!$B$239="Да",MeanMinAge13+'19_Расчет_аналитики'!BG559*SUMIF(ThresholdAge13,"&lt;"&amp;'19_Расчет_аналитики'!BG559,WeightedRevAge13)-SUMIF(ThresholdAge13,"&lt;"&amp;'19_Расчет_аналитики'!BG559,WeightedMinAge13),MAX(CapacityAge13*'01_Вводные'!$B$218*'19_Расчет_аналитики'!BG559,MeanMinAge13)))</f>
        <v/>
      </c>
      <c r="BH476">
        <f>IF(OR('19_Расчет_аналитики'!BH448=0,13&lt;='01_Вводные'!$B$297),0,'19_Расчет_аналитики'!BH448*IF('01_Вводные'!$B$239="Да",MeanMinAge13+'19_Расчет_аналитики'!BH559*SUMIF(ThresholdAge13,"&lt;"&amp;'19_Расчет_аналитики'!BH559,WeightedRevAge13)-SUMIF(ThresholdAge13,"&lt;"&amp;'19_Расчет_аналитики'!BH559,WeightedMinAge13),MAX(CapacityAge13*'01_Вводные'!$B$218*'19_Расчет_аналитики'!BH559,MeanMinAge13)))</f>
        <v/>
      </c>
      <c r="BI476">
        <f>IF(OR('19_Расчет_аналитики'!BI448=0,13&lt;='01_Вводные'!$B$297),0,'19_Расчет_аналитики'!BI448*IF('01_Вводные'!$B$239="Да",MeanMinAge13+'19_Расчет_аналитики'!BI559*SUMIF(ThresholdAge13,"&lt;"&amp;'19_Расчет_аналитики'!BI559,WeightedRevAge13)-SUMIF(ThresholdAge13,"&lt;"&amp;'19_Расчет_аналитики'!BI559,WeightedMinAge13),MAX(CapacityAge13*'01_Вводные'!$B$218*'19_Расчет_аналитики'!BI559,MeanMinAge13)))</f>
        <v/>
      </c>
      <c r="BJ476">
        <f>IF(OR('19_Расчет_аналитики'!BJ448=0,13&lt;='01_Вводные'!$B$297),0,'19_Расчет_аналитики'!BJ448*IF('01_Вводные'!$B$239="Да",MeanMinAge13+'19_Расчет_аналитики'!BJ559*SUMIF(ThresholdAge13,"&lt;"&amp;'19_Расчет_аналитики'!BJ559,WeightedRevAge13)-SUMIF(ThresholdAge13,"&lt;"&amp;'19_Расчет_аналитики'!BJ559,WeightedMinAge13),MAX(CapacityAge13*'01_Вводные'!$B$218*'19_Расчет_аналитики'!BJ559,MeanMinAge13)))</f>
        <v/>
      </c>
      <c r="BK476">
        <f>IF(OR('19_Расчет_аналитики'!BK448=0,13&lt;='01_Вводные'!$B$297),0,'19_Расчет_аналитики'!BK448*IF('01_Вводные'!$B$239="Да",MeanMinAge13+'19_Расчет_аналитики'!BK559*SUMIF(ThresholdAge13,"&lt;"&amp;'19_Расчет_аналитики'!BK559,WeightedRevAge13)-SUMIF(ThresholdAge13,"&lt;"&amp;'19_Расчет_аналитики'!BK559,WeightedMinAge13),MAX(CapacityAge13*'01_Вводные'!$B$218*'19_Расчет_аналитики'!BK559,MeanMinAge13)))</f>
        <v/>
      </c>
      <c r="BL476">
        <f>IF(OR('19_Расчет_аналитики'!BL448=0,13&lt;='01_Вводные'!$B$297),0,'19_Расчет_аналитики'!BL448*IF('01_Вводные'!$B$239="Да",MeanMinAge13+'19_Расчет_аналитики'!BL559*SUMIF(ThresholdAge13,"&lt;"&amp;'19_Расчет_аналитики'!BL559,WeightedRevAge13)-SUMIF(ThresholdAge13,"&lt;"&amp;'19_Расчет_аналитики'!BL559,WeightedMinAge13),MAX(CapacityAge13*'01_Вводные'!$B$218*'19_Расчет_аналитики'!BL559,MeanMinAge13)))</f>
        <v/>
      </c>
      <c r="BM476">
        <f>IF(OR('19_Расчет_аналитики'!BM448=0,13&lt;='01_Вводные'!$B$297),0,'19_Расчет_аналитики'!BM448*IF('01_Вводные'!$B$239="Да",MeanMinAge13+'19_Расчет_аналитики'!BM559*SUMIF(ThresholdAge13,"&lt;"&amp;'19_Расчет_аналитики'!BM559,WeightedRevAge13)-SUMIF(ThresholdAge13,"&lt;"&amp;'19_Расчет_аналитики'!BM559,WeightedMinAge13),MAX(CapacityAge13*'01_Вводные'!$B$218*'19_Расчет_аналитики'!BM559,MeanMinAge13)))</f>
        <v/>
      </c>
      <c r="BN476">
        <f>IF(OR('19_Расчет_аналитики'!BN448=0,13&lt;='01_Вводные'!$B$297),0,'19_Расчет_аналитики'!BN448*IF('01_Вводные'!$B$239="Да",MeanMinAge13+'19_Расчет_аналитики'!BN559*SUMIF(ThresholdAge13,"&lt;"&amp;'19_Расчет_аналитики'!BN559,WeightedRevAge13)-SUMIF(ThresholdAge13,"&lt;"&amp;'19_Расчет_аналитики'!BN559,WeightedMinAge13),MAX(CapacityAge13*'01_Вводные'!$B$218*'19_Расчет_аналитики'!BN559,MeanMinAge13)))</f>
        <v/>
      </c>
      <c r="BO476">
        <f>IF(OR('19_Расчет_аналитики'!BO448=0,13&lt;='01_Вводные'!$B$297),0,'19_Расчет_аналитики'!BO448*IF('01_Вводные'!$B$239="Да",MeanMinAge13+'19_Расчет_аналитики'!BO559*SUMIF(ThresholdAge13,"&lt;"&amp;'19_Расчет_аналитики'!BO559,WeightedRevAge13)-SUMIF(ThresholdAge13,"&lt;"&amp;'19_Расчет_аналитики'!BO559,WeightedMinAge13),MAX(CapacityAge13*'01_Вводные'!$B$218*'19_Расчет_аналитики'!BO559,MeanMinAge13)))</f>
        <v/>
      </c>
    </row>
    <row r="477">
      <c r="B477">
        <f>IF(OR('06_Сеть_и_дети'!B94=0,14&lt;='01_Вводные'!$B$297),0,'06_Сеть_и_дети'!B94*IF('01_Вводные'!$B$239="Да",MeanMinAge14+'19_Расчет_аналитики'!B559*SUMIF(ThresholdAge14,"&lt;"&amp;'19_Расчет_аналитики'!B559,WeightedRevAge14)-SUMIF(ThresholdAge14,"&lt;"&amp;'19_Расчет_аналитики'!B559,WeightedMinAge14),MAX(CapacityAge14*'01_Вводные'!$B$218*'19_Расчет_аналитики'!B559,MeanMinAge14)))</f>
        <v/>
      </c>
      <c r="C477">
        <f>IF(OR('06_Сеть_и_дети'!C94=0,14&lt;='01_Вводные'!$B$297),0,'06_Сеть_и_дети'!C94*IF('01_Вводные'!$B$239="Да",MeanMinAge14+'19_Расчет_аналитики'!C559*SUMIF(ThresholdAge14,"&lt;"&amp;'19_Расчет_аналитики'!C559,WeightedRevAge14)-SUMIF(ThresholdAge14,"&lt;"&amp;'19_Расчет_аналитики'!C559,WeightedMinAge14),MAX(CapacityAge14*'01_Вводные'!$B$218*'19_Расчет_аналитики'!C559,MeanMinAge14)))</f>
        <v/>
      </c>
      <c r="D477">
        <f>IF(OR('06_Сеть_и_дети'!D94=0,14&lt;='01_Вводные'!$B$297),0,'06_Сеть_и_дети'!D94*IF('01_Вводные'!$B$239="Да",MeanMinAge14+'19_Расчет_аналитики'!D559*SUMIF(ThresholdAge14,"&lt;"&amp;'19_Расчет_аналитики'!D559,WeightedRevAge14)-SUMIF(ThresholdAge14,"&lt;"&amp;'19_Расчет_аналитики'!D559,WeightedMinAge14),MAX(CapacityAge14*'01_Вводные'!$B$218*'19_Расчет_аналитики'!D559,MeanMinAge14)))</f>
        <v/>
      </c>
      <c r="E477">
        <f>IF(OR('06_Сеть_и_дети'!E94=0,14&lt;='01_Вводные'!$B$297),0,'06_Сеть_и_дети'!E94*IF('01_Вводные'!$B$239="Да",MeanMinAge14+'19_Расчет_аналитики'!E559*SUMIF(ThresholdAge14,"&lt;"&amp;'19_Расчет_аналитики'!E559,WeightedRevAge14)-SUMIF(ThresholdAge14,"&lt;"&amp;'19_Расчет_аналитики'!E559,WeightedMinAge14),MAX(CapacityAge14*'01_Вводные'!$B$218*'19_Расчет_аналитики'!E559,MeanMinAge14)))</f>
        <v/>
      </c>
      <c r="F477">
        <f>IF(OR('06_Сеть_и_дети'!F94=0,14&lt;='01_Вводные'!$B$297),0,'06_Сеть_и_дети'!F94*IF('01_Вводные'!$B$239="Да",MeanMinAge14+'19_Расчет_аналитики'!F559*SUMIF(ThresholdAge14,"&lt;"&amp;'19_Расчет_аналитики'!F559,WeightedRevAge14)-SUMIF(ThresholdAge14,"&lt;"&amp;'19_Расчет_аналитики'!F559,WeightedMinAge14),MAX(CapacityAge14*'01_Вводные'!$B$218*'19_Расчет_аналитики'!F559,MeanMinAge14)))</f>
        <v/>
      </c>
      <c r="G477">
        <f>IF(OR('06_Сеть_и_дети'!G94=0,14&lt;='01_Вводные'!$B$297),0,'06_Сеть_и_дети'!G94*IF('01_Вводные'!$B$239="Да",MeanMinAge14+'19_Расчет_аналитики'!G559*SUMIF(ThresholdAge14,"&lt;"&amp;'19_Расчет_аналитики'!G559,WeightedRevAge14)-SUMIF(ThresholdAge14,"&lt;"&amp;'19_Расчет_аналитики'!G559,WeightedMinAge14),MAX(CapacityAge14*'01_Вводные'!$B$218*'19_Расчет_аналитики'!G559,MeanMinAge14)))</f>
        <v/>
      </c>
      <c r="H477">
        <f>IF(OR('06_Сеть_и_дети'!H94=0,14&lt;='01_Вводные'!$B$297),0,'06_Сеть_и_дети'!H94*IF('01_Вводные'!$B$239="Да",MeanMinAge14+'19_Расчет_аналитики'!H559*SUMIF(ThresholdAge14,"&lt;"&amp;'19_Расчет_аналитики'!H559,WeightedRevAge14)-SUMIF(ThresholdAge14,"&lt;"&amp;'19_Расчет_аналитики'!H559,WeightedMinAge14),MAX(CapacityAge14*'01_Вводные'!$B$218*'19_Расчет_аналитики'!H559,MeanMinAge14)))</f>
        <v/>
      </c>
      <c r="I477">
        <f>IF(OR('06_Сеть_и_дети'!I94=0,14&lt;='01_Вводные'!$B$297),0,'06_Сеть_и_дети'!I94*IF('01_Вводные'!$B$239="Да",MeanMinAge14+'19_Расчет_аналитики'!I559*SUMIF(ThresholdAge14,"&lt;"&amp;'19_Расчет_аналитики'!I559,WeightedRevAge14)-SUMIF(ThresholdAge14,"&lt;"&amp;'19_Расчет_аналитики'!I559,WeightedMinAge14),MAX(CapacityAge14*'01_Вводные'!$B$218*'19_Расчет_аналитики'!I559,MeanMinAge14)))</f>
        <v/>
      </c>
      <c r="J477">
        <f>IF(OR('06_Сеть_и_дети'!J94=0,14&lt;='01_Вводные'!$B$297),0,'06_Сеть_и_дети'!J94*IF('01_Вводные'!$B$239="Да",MeanMinAge14+'19_Расчет_аналитики'!J559*SUMIF(ThresholdAge14,"&lt;"&amp;'19_Расчет_аналитики'!J559,WeightedRevAge14)-SUMIF(ThresholdAge14,"&lt;"&amp;'19_Расчет_аналитики'!J559,WeightedMinAge14),MAX(CapacityAge14*'01_Вводные'!$B$218*'19_Расчет_аналитики'!J559,MeanMinAge14)))</f>
        <v/>
      </c>
      <c r="K477">
        <f>IF(OR('06_Сеть_и_дети'!K94=0,14&lt;='01_Вводные'!$B$297),0,'06_Сеть_и_дети'!K94*IF('01_Вводные'!$B$239="Да",MeanMinAge14+'19_Расчет_аналитики'!K559*SUMIF(ThresholdAge14,"&lt;"&amp;'19_Расчет_аналитики'!K559,WeightedRevAge14)-SUMIF(ThresholdAge14,"&lt;"&amp;'19_Расчет_аналитики'!K559,WeightedMinAge14),MAX(CapacityAge14*'01_Вводные'!$B$218*'19_Расчет_аналитики'!K559,MeanMinAge14)))</f>
        <v/>
      </c>
      <c r="L477">
        <f>IF(OR('06_Сеть_и_дети'!L94=0,14&lt;='01_Вводные'!$B$297),0,'06_Сеть_и_дети'!L94*IF('01_Вводные'!$B$239="Да",MeanMinAge14+'19_Расчет_аналитики'!L559*SUMIF(ThresholdAge14,"&lt;"&amp;'19_Расчет_аналитики'!L559,WeightedRevAge14)-SUMIF(ThresholdAge14,"&lt;"&amp;'19_Расчет_аналитики'!L559,WeightedMinAge14),MAX(CapacityAge14*'01_Вводные'!$B$218*'19_Расчет_аналитики'!L559,MeanMinAge14)))</f>
        <v/>
      </c>
      <c r="M477">
        <f>IF(OR('06_Сеть_и_дети'!M94=0,14&lt;='01_Вводные'!$B$297),0,'06_Сеть_и_дети'!M94*IF('01_Вводные'!$B$239="Да",MeanMinAge14+'19_Расчет_аналитики'!M559*SUMIF(ThresholdAge14,"&lt;"&amp;'19_Расчет_аналитики'!M559,WeightedRevAge14)-SUMIF(ThresholdAge14,"&lt;"&amp;'19_Расчет_аналитики'!M559,WeightedMinAge14),MAX(CapacityAge14*'01_Вводные'!$B$218*'19_Расчет_аналитики'!M559,MeanMinAge14)))</f>
        <v/>
      </c>
      <c r="N477">
        <f>IF(OR('06_Сеть_и_дети'!N94=0,14&lt;='01_Вводные'!$B$297),0,'06_Сеть_и_дети'!N94*IF('01_Вводные'!$B$239="Да",MeanMinAge14+'19_Расчет_аналитики'!N559*SUMIF(ThresholdAge14,"&lt;"&amp;'19_Расчет_аналитики'!N559,WeightedRevAge14)-SUMIF(ThresholdAge14,"&lt;"&amp;'19_Расчет_аналитики'!N559,WeightedMinAge14),MAX(CapacityAge14*'01_Вводные'!$B$218*'19_Расчет_аналитики'!N559,MeanMinAge14)))</f>
        <v/>
      </c>
      <c r="O477">
        <f>IF(OR('19_Расчет_аналитики'!O449=0,14&lt;='01_Вводные'!$B$297),0,'19_Расчет_аналитики'!O449*IF('01_Вводные'!$B$239="Да",MeanMinAge14+'19_Расчет_аналитики'!O559*SUMIF(ThresholdAge14,"&lt;"&amp;'19_Расчет_аналитики'!O559,WeightedRevAge14)-SUMIF(ThresholdAge14,"&lt;"&amp;'19_Расчет_аналитики'!O559,WeightedMinAge14),MAX(CapacityAge14*'01_Вводные'!$B$218*'19_Расчет_аналитики'!O559,MeanMinAge14)))</f>
        <v/>
      </c>
      <c r="P477">
        <f>IF(OR('19_Расчет_аналитики'!P449=0,14&lt;='01_Вводные'!$B$297),0,'19_Расчет_аналитики'!P449*IF('01_Вводные'!$B$239="Да",MeanMinAge14+'19_Расчет_аналитики'!P559*SUMIF(ThresholdAge14,"&lt;"&amp;'19_Расчет_аналитики'!P559,WeightedRevAge14)-SUMIF(ThresholdAge14,"&lt;"&amp;'19_Расчет_аналитики'!P559,WeightedMinAge14),MAX(CapacityAge14*'01_Вводные'!$B$218*'19_Расчет_аналитики'!P559,MeanMinAge14)))</f>
        <v/>
      </c>
      <c r="Q477">
        <f>IF(OR('19_Расчет_аналитики'!Q449=0,14&lt;='01_Вводные'!$B$297),0,'19_Расчет_аналитики'!Q449*IF('01_Вводные'!$B$239="Да",MeanMinAge14+'19_Расчет_аналитики'!Q559*SUMIF(ThresholdAge14,"&lt;"&amp;'19_Расчет_аналитики'!Q559,WeightedRevAge14)-SUMIF(ThresholdAge14,"&lt;"&amp;'19_Расчет_аналитики'!Q559,WeightedMinAge14),MAX(CapacityAge14*'01_Вводные'!$B$218*'19_Расчет_аналитики'!Q559,MeanMinAge14)))</f>
        <v/>
      </c>
      <c r="R477">
        <f>IF(OR('19_Расчет_аналитики'!R449=0,14&lt;='01_Вводные'!$B$297),0,'19_Расчет_аналитики'!R449*IF('01_Вводные'!$B$239="Да",MeanMinAge14+'19_Расчет_аналитики'!R559*SUMIF(ThresholdAge14,"&lt;"&amp;'19_Расчет_аналитики'!R559,WeightedRevAge14)-SUMIF(ThresholdAge14,"&lt;"&amp;'19_Расчет_аналитики'!R559,WeightedMinAge14),MAX(CapacityAge14*'01_Вводные'!$B$218*'19_Расчет_аналитики'!R559,MeanMinAge14)))</f>
        <v/>
      </c>
      <c r="S477">
        <f>IF(OR('19_Расчет_аналитики'!S449=0,14&lt;='01_Вводные'!$B$297),0,'19_Расчет_аналитики'!S449*IF('01_Вводные'!$B$239="Да",MeanMinAge14+'19_Расчет_аналитики'!S559*SUMIF(ThresholdAge14,"&lt;"&amp;'19_Расчет_аналитики'!S559,WeightedRevAge14)-SUMIF(ThresholdAge14,"&lt;"&amp;'19_Расчет_аналитики'!S559,WeightedMinAge14),MAX(CapacityAge14*'01_Вводные'!$B$218*'19_Расчет_аналитики'!S559,MeanMinAge14)))</f>
        <v/>
      </c>
      <c r="T477">
        <f>IF(OR('19_Расчет_аналитики'!T449=0,14&lt;='01_Вводные'!$B$297),0,'19_Расчет_аналитики'!T449*IF('01_Вводные'!$B$239="Да",MeanMinAge14+'19_Расчет_аналитики'!T559*SUMIF(ThresholdAge14,"&lt;"&amp;'19_Расчет_аналитики'!T559,WeightedRevAge14)-SUMIF(ThresholdAge14,"&lt;"&amp;'19_Расчет_аналитики'!T559,WeightedMinAge14),MAX(CapacityAge14*'01_Вводные'!$B$218*'19_Расчет_аналитики'!T559,MeanMinAge14)))</f>
        <v/>
      </c>
      <c r="U477">
        <f>IF(OR('19_Расчет_аналитики'!U449=0,14&lt;='01_Вводные'!$B$297),0,'19_Расчет_аналитики'!U449*IF('01_Вводные'!$B$239="Да",MeanMinAge14+'19_Расчет_аналитики'!U559*SUMIF(ThresholdAge14,"&lt;"&amp;'19_Расчет_аналитики'!U559,WeightedRevAge14)-SUMIF(ThresholdAge14,"&lt;"&amp;'19_Расчет_аналитики'!U559,WeightedMinAge14),MAX(CapacityAge14*'01_Вводные'!$B$218*'19_Расчет_аналитики'!U559,MeanMinAge14)))</f>
        <v/>
      </c>
      <c r="V477">
        <f>IF(OR('19_Расчет_аналитики'!V449=0,14&lt;='01_Вводные'!$B$297),0,'19_Расчет_аналитики'!V449*IF('01_Вводные'!$B$239="Да",MeanMinAge14+'19_Расчет_аналитики'!V559*SUMIF(ThresholdAge14,"&lt;"&amp;'19_Расчет_аналитики'!V559,WeightedRevAge14)-SUMIF(ThresholdAge14,"&lt;"&amp;'19_Расчет_аналитики'!V559,WeightedMinAge14),MAX(CapacityAge14*'01_Вводные'!$B$218*'19_Расчет_аналитики'!V559,MeanMinAge14)))</f>
        <v/>
      </c>
      <c r="W477">
        <f>IF(OR('19_Расчет_аналитики'!W449=0,14&lt;='01_Вводные'!$B$297),0,'19_Расчет_аналитики'!W449*IF('01_Вводные'!$B$239="Да",MeanMinAge14+'19_Расчет_аналитики'!W559*SUMIF(ThresholdAge14,"&lt;"&amp;'19_Расчет_аналитики'!W559,WeightedRevAge14)-SUMIF(ThresholdAge14,"&lt;"&amp;'19_Расчет_аналитики'!W559,WeightedMinAge14),MAX(CapacityAge14*'01_Вводные'!$B$218*'19_Расчет_аналитики'!W559,MeanMinAge14)))</f>
        <v/>
      </c>
      <c r="X477">
        <f>IF(OR('19_Расчет_аналитики'!X449=0,14&lt;='01_Вводные'!$B$297),0,'19_Расчет_аналитики'!X449*IF('01_Вводные'!$B$239="Да",MeanMinAge14+'19_Расчет_аналитики'!X559*SUMIF(ThresholdAge14,"&lt;"&amp;'19_Расчет_аналитики'!X559,WeightedRevAge14)-SUMIF(ThresholdAge14,"&lt;"&amp;'19_Расчет_аналитики'!X559,WeightedMinAge14),MAX(CapacityAge14*'01_Вводные'!$B$218*'19_Расчет_аналитики'!X559,MeanMinAge14)))</f>
        <v/>
      </c>
      <c r="Y477">
        <f>IF(OR('19_Расчет_аналитики'!Y449=0,14&lt;='01_Вводные'!$B$297),0,'19_Расчет_аналитики'!Y449*IF('01_Вводные'!$B$239="Да",MeanMinAge14+'19_Расчет_аналитики'!Y559*SUMIF(ThresholdAge14,"&lt;"&amp;'19_Расчет_аналитики'!Y559,WeightedRevAge14)-SUMIF(ThresholdAge14,"&lt;"&amp;'19_Расчет_аналитики'!Y559,WeightedMinAge14),MAX(CapacityAge14*'01_Вводные'!$B$218*'19_Расчет_аналитики'!Y559,MeanMinAge14)))</f>
        <v/>
      </c>
      <c r="Z477">
        <f>IF(OR('19_Расчет_аналитики'!Z449=0,14&lt;='01_Вводные'!$B$297),0,'19_Расчет_аналитики'!Z449*IF('01_Вводные'!$B$239="Да",MeanMinAge14+'19_Расчет_аналитики'!Z559*SUMIF(ThresholdAge14,"&lt;"&amp;'19_Расчет_аналитики'!Z559,WeightedRevAge14)-SUMIF(ThresholdAge14,"&lt;"&amp;'19_Расчет_аналитики'!Z559,WeightedMinAge14),MAX(CapacityAge14*'01_Вводные'!$B$218*'19_Расчет_аналитики'!Z559,MeanMinAge14)))</f>
        <v/>
      </c>
      <c r="AA477">
        <f>IF(OR('19_Расчет_аналитики'!AA449=0,14&lt;='01_Вводные'!$B$297),0,'19_Расчет_аналитики'!AA449*IF('01_Вводные'!$B$239="Да",MeanMinAge14+'19_Расчет_аналитики'!AA559*SUMIF(ThresholdAge14,"&lt;"&amp;'19_Расчет_аналитики'!AA559,WeightedRevAge14)-SUMIF(ThresholdAge14,"&lt;"&amp;'19_Расчет_аналитики'!AA559,WeightedMinAge14),MAX(CapacityAge14*'01_Вводные'!$B$218*'19_Расчет_аналитики'!AA559,MeanMinAge14)))</f>
        <v/>
      </c>
      <c r="AB477">
        <f>IF(OR('19_Расчет_аналитики'!AB449=0,14&lt;='01_Вводные'!$B$297),0,'19_Расчет_аналитики'!AB449*IF('01_Вводные'!$B$239="Да",MeanMinAge14+'19_Расчет_аналитики'!AB559*SUMIF(ThresholdAge14,"&lt;"&amp;'19_Расчет_аналитики'!AB559,WeightedRevAge14)-SUMIF(ThresholdAge14,"&lt;"&amp;'19_Расчет_аналитики'!AB559,WeightedMinAge14),MAX(CapacityAge14*'01_Вводные'!$B$218*'19_Расчет_аналитики'!AB559,MeanMinAge14)))</f>
        <v/>
      </c>
      <c r="AC477">
        <f>IF(OR('19_Расчет_аналитики'!AC449=0,14&lt;='01_Вводные'!$B$297),0,'19_Расчет_аналитики'!AC449*IF('01_Вводные'!$B$239="Да",MeanMinAge14+'19_Расчет_аналитики'!AC559*SUMIF(ThresholdAge14,"&lt;"&amp;'19_Расчет_аналитики'!AC559,WeightedRevAge14)-SUMIF(ThresholdAge14,"&lt;"&amp;'19_Расчет_аналитики'!AC559,WeightedMinAge14),MAX(CapacityAge14*'01_Вводные'!$B$218*'19_Расчет_аналитики'!AC559,MeanMinAge14)))</f>
        <v/>
      </c>
      <c r="AD477">
        <f>IF(OR('19_Расчет_аналитики'!AD449=0,14&lt;='01_Вводные'!$B$297),0,'19_Расчет_аналитики'!AD449*IF('01_Вводные'!$B$239="Да",MeanMinAge14+'19_Расчет_аналитики'!AD559*SUMIF(ThresholdAge14,"&lt;"&amp;'19_Расчет_аналитики'!AD559,WeightedRevAge14)-SUMIF(ThresholdAge14,"&lt;"&amp;'19_Расчет_аналитики'!AD559,WeightedMinAge14),MAX(CapacityAge14*'01_Вводные'!$B$218*'19_Расчет_аналитики'!AD559,MeanMinAge14)))</f>
        <v/>
      </c>
      <c r="AE477">
        <f>IF(OR('19_Расчет_аналитики'!AE449=0,14&lt;='01_Вводные'!$B$297),0,'19_Расчет_аналитики'!AE449*IF('01_Вводные'!$B$239="Да",MeanMinAge14+'19_Расчет_аналитики'!AE559*SUMIF(ThresholdAge14,"&lt;"&amp;'19_Расчет_аналитики'!AE559,WeightedRevAge14)-SUMIF(ThresholdAge14,"&lt;"&amp;'19_Расчет_аналитики'!AE559,WeightedMinAge14),MAX(CapacityAge14*'01_Вводные'!$B$218*'19_Расчет_аналитики'!AE559,MeanMinAge14)))</f>
        <v/>
      </c>
      <c r="AF477">
        <f>IF(OR('19_Расчет_аналитики'!AF449=0,14&lt;='01_Вводные'!$B$297),0,'19_Расчет_аналитики'!AF449*IF('01_Вводные'!$B$239="Да",MeanMinAge14+'19_Расчет_аналитики'!AF559*SUMIF(ThresholdAge14,"&lt;"&amp;'19_Расчет_аналитики'!AF559,WeightedRevAge14)-SUMIF(ThresholdAge14,"&lt;"&amp;'19_Расчет_аналитики'!AF559,WeightedMinAge14),MAX(CapacityAge14*'01_Вводные'!$B$218*'19_Расчет_аналитики'!AF559,MeanMinAge14)))</f>
        <v/>
      </c>
      <c r="AG477">
        <f>IF(OR('19_Расчет_аналитики'!AG449=0,14&lt;='01_Вводные'!$B$297),0,'19_Расчет_аналитики'!AG449*IF('01_Вводные'!$B$239="Да",MeanMinAge14+'19_Расчет_аналитики'!AG559*SUMIF(ThresholdAge14,"&lt;"&amp;'19_Расчет_аналитики'!AG559,WeightedRevAge14)-SUMIF(ThresholdAge14,"&lt;"&amp;'19_Расчет_аналитики'!AG559,WeightedMinAge14),MAX(CapacityAge14*'01_Вводные'!$B$218*'19_Расчет_аналитики'!AG559,MeanMinAge14)))</f>
        <v/>
      </c>
      <c r="AH477">
        <f>IF(OR('19_Расчет_аналитики'!AH449=0,14&lt;='01_Вводные'!$B$297),0,'19_Расчет_аналитики'!AH449*IF('01_Вводные'!$B$239="Да",MeanMinAge14+'19_Расчет_аналитики'!AH559*SUMIF(ThresholdAge14,"&lt;"&amp;'19_Расчет_аналитики'!AH559,WeightedRevAge14)-SUMIF(ThresholdAge14,"&lt;"&amp;'19_Расчет_аналитики'!AH559,WeightedMinAge14),MAX(CapacityAge14*'01_Вводные'!$B$218*'19_Расчет_аналитики'!AH559,MeanMinAge14)))</f>
        <v/>
      </c>
      <c r="AI477">
        <f>IF(OR('19_Расчет_аналитики'!AI449=0,14&lt;='01_Вводные'!$B$297),0,'19_Расчет_аналитики'!AI449*IF('01_Вводные'!$B$239="Да",MeanMinAge14+'19_Расчет_аналитики'!AI559*SUMIF(ThresholdAge14,"&lt;"&amp;'19_Расчет_аналитики'!AI559,WeightedRevAge14)-SUMIF(ThresholdAge14,"&lt;"&amp;'19_Расчет_аналитики'!AI559,WeightedMinAge14),MAX(CapacityAge14*'01_Вводные'!$B$218*'19_Расчет_аналитики'!AI559,MeanMinAge14)))</f>
        <v/>
      </c>
      <c r="AJ477">
        <f>IF(OR('19_Расчет_аналитики'!AJ449=0,14&lt;='01_Вводные'!$B$297),0,'19_Расчет_аналитики'!AJ449*IF('01_Вводные'!$B$239="Да",MeanMinAge14+'19_Расчет_аналитики'!AJ559*SUMIF(ThresholdAge14,"&lt;"&amp;'19_Расчет_аналитики'!AJ559,WeightedRevAge14)-SUMIF(ThresholdAge14,"&lt;"&amp;'19_Расчет_аналитики'!AJ559,WeightedMinAge14),MAX(CapacityAge14*'01_Вводные'!$B$218*'19_Расчет_аналитики'!AJ559,MeanMinAge14)))</f>
        <v/>
      </c>
      <c r="AK477">
        <f>IF(OR('19_Расчет_аналитики'!AK449=0,14&lt;='01_Вводные'!$B$297),0,'19_Расчет_аналитики'!AK449*IF('01_Вводные'!$B$239="Да",MeanMinAge14+'19_Расчет_аналитики'!AK559*SUMIF(ThresholdAge14,"&lt;"&amp;'19_Расчет_аналитики'!AK559,WeightedRevAge14)-SUMIF(ThresholdAge14,"&lt;"&amp;'19_Расчет_аналитики'!AK559,WeightedMinAge14),MAX(CapacityAge14*'01_Вводные'!$B$218*'19_Расчет_аналитики'!AK559,MeanMinAge14)))</f>
        <v/>
      </c>
      <c r="AL477">
        <f>IF(OR('19_Расчет_аналитики'!AL449=0,14&lt;='01_Вводные'!$B$297),0,'19_Расчет_аналитики'!AL449*IF('01_Вводные'!$B$239="Да",MeanMinAge14+'19_Расчет_аналитики'!AL559*SUMIF(ThresholdAge14,"&lt;"&amp;'19_Расчет_аналитики'!AL559,WeightedRevAge14)-SUMIF(ThresholdAge14,"&lt;"&amp;'19_Расчет_аналитики'!AL559,WeightedMinAge14),MAX(CapacityAge14*'01_Вводные'!$B$218*'19_Расчет_аналитики'!AL559,MeanMinAge14)))</f>
        <v/>
      </c>
      <c r="AM477">
        <f>IF(OR('19_Расчет_аналитики'!AM449=0,14&lt;='01_Вводные'!$B$297),0,'19_Расчет_аналитики'!AM449*IF('01_Вводные'!$B$239="Да",MeanMinAge14+'19_Расчет_аналитики'!AM559*SUMIF(ThresholdAge14,"&lt;"&amp;'19_Расчет_аналитики'!AM559,WeightedRevAge14)-SUMIF(ThresholdAge14,"&lt;"&amp;'19_Расчет_аналитики'!AM559,WeightedMinAge14),MAX(CapacityAge14*'01_Вводные'!$B$218*'19_Расчет_аналитики'!AM559,MeanMinAge14)))</f>
        <v/>
      </c>
      <c r="AN477">
        <f>IF(OR('19_Расчет_аналитики'!AN449=0,14&lt;='01_Вводные'!$B$297),0,'19_Расчет_аналитики'!AN449*IF('01_Вводные'!$B$239="Да",MeanMinAge14+'19_Расчет_аналитики'!AN559*SUMIF(ThresholdAge14,"&lt;"&amp;'19_Расчет_аналитики'!AN559,WeightedRevAge14)-SUMIF(ThresholdAge14,"&lt;"&amp;'19_Расчет_аналитики'!AN559,WeightedMinAge14),MAX(CapacityAge14*'01_Вводные'!$B$218*'19_Расчет_аналитики'!AN559,MeanMinAge14)))</f>
        <v/>
      </c>
      <c r="AO477">
        <f>IF(OR('19_Расчет_аналитики'!AO449=0,14&lt;='01_Вводные'!$B$297),0,'19_Расчет_аналитики'!AO449*IF('01_Вводные'!$B$239="Да",MeanMinAge14+'19_Расчет_аналитики'!AO559*SUMIF(ThresholdAge14,"&lt;"&amp;'19_Расчет_аналитики'!AO559,WeightedRevAge14)-SUMIF(ThresholdAge14,"&lt;"&amp;'19_Расчет_аналитики'!AO559,WeightedMinAge14),MAX(CapacityAge14*'01_Вводные'!$B$218*'19_Расчет_аналитики'!AO559,MeanMinAge14)))</f>
        <v/>
      </c>
      <c r="AP477">
        <f>IF(OR('19_Расчет_аналитики'!AP449=0,14&lt;='01_Вводные'!$B$297),0,'19_Расчет_аналитики'!AP449*IF('01_Вводные'!$B$239="Да",MeanMinAge14+'19_Расчет_аналитики'!AP559*SUMIF(ThresholdAge14,"&lt;"&amp;'19_Расчет_аналитики'!AP559,WeightedRevAge14)-SUMIF(ThresholdAge14,"&lt;"&amp;'19_Расчет_аналитики'!AP559,WeightedMinAge14),MAX(CapacityAge14*'01_Вводные'!$B$218*'19_Расчет_аналитики'!AP559,MeanMinAge14)))</f>
        <v/>
      </c>
      <c r="AQ477">
        <f>IF(OR('19_Расчет_аналитики'!AQ449=0,14&lt;='01_Вводные'!$B$297),0,'19_Расчет_аналитики'!AQ449*IF('01_Вводные'!$B$239="Да",MeanMinAge14+'19_Расчет_аналитики'!AQ559*SUMIF(ThresholdAge14,"&lt;"&amp;'19_Расчет_аналитики'!AQ559,WeightedRevAge14)-SUMIF(ThresholdAge14,"&lt;"&amp;'19_Расчет_аналитики'!AQ559,WeightedMinAge14),MAX(CapacityAge14*'01_Вводные'!$B$218*'19_Расчет_аналитики'!AQ559,MeanMinAge14)))</f>
        <v/>
      </c>
      <c r="AR477">
        <f>IF(OR('19_Расчет_аналитики'!AR449=0,14&lt;='01_Вводные'!$B$297),0,'19_Расчет_аналитики'!AR449*IF('01_Вводные'!$B$239="Да",MeanMinAge14+'19_Расчет_аналитики'!AR559*SUMIF(ThresholdAge14,"&lt;"&amp;'19_Расчет_аналитики'!AR559,WeightedRevAge14)-SUMIF(ThresholdAge14,"&lt;"&amp;'19_Расчет_аналитики'!AR559,WeightedMinAge14),MAX(CapacityAge14*'01_Вводные'!$B$218*'19_Расчет_аналитики'!AR559,MeanMinAge14)))</f>
        <v/>
      </c>
      <c r="AS477">
        <f>IF(OR('19_Расчет_аналитики'!AS449=0,14&lt;='01_Вводные'!$B$297),0,'19_Расчет_аналитики'!AS449*IF('01_Вводные'!$B$239="Да",MeanMinAge14+'19_Расчет_аналитики'!AS559*SUMIF(ThresholdAge14,"&lt;"&amp;'19_Расчет_аналитики'!AS559,WeightedRevAge14)-SUMIF(ThresholdAge14,"&lt;"&amp;'19_Расчет_аналитики'!AS559,WeightedMinAge14),MAX(CapacityAge14*'01_Вводные'!$B$218*'19_Расчет_аналитики'!AS559,MeanMinAge14)))</f>
        <v/>
      </c>
      <c r="AT477">
        <f>IF(OR('19_Расчет_аналитики'!AT449=0,14&lt;='01_Вводные'!$B$297),0,'19_Расчет_аналитики'!AT449*IF('01_Вводные'!$B$239="Да",MeanMinAge14+'19_Расчет_аналитики'!AT559*SUMIF(ThresholdAge14,"&lt;"&amp;'19_Расчет_аналитики'!AT559,WeightedRevAge14)-SUMIF(ThresholdAge14,"&lt;"&amp;'19_Расчет_аналитики'!AT559,WeightedMinAge14),MAX(CapacityAge14*'01_Вводные'!$B$218*'19_Расчет_аналитики'!AT559,MeanMinAge14)))</f>
        <v/>
      </c>
      <c r="AU477">
        <f>IF(OR('19_Расчет_аналитики'!AU449=0,14&lt;='01_Вводные'!$B$297),0,'19_Расчет_аналитики'!AU449*IF('01_Вводные'!$B$239="Да",MeanMinAge14+'19_Расчет_аналитики'!AU559*SUMIF(ThresholdAge14,"&lt;"&amp;'19_Расчет_аналитики'!AU559,WeightedRevAge14)-SUMIF(ThresholdAge14,"&lt;"&amp;'19_Расчет_аналитики'!AU559,WeightedMinAge14),MAX(CapacityAge14*'01_Вводные'!$B$218*'19_Расчет_аналитики'!AU559,MeanMinAge14)))</f>
        <v/>
      </c>
      <c r="AV477">
        <f>IF(OR('19_Расчет_аналитики'!AV449=0,14&lt;='01_Вводные'!$B$297),0,'19_Расчет_аналитики'!AV449*IF('01_Вводные'!$B$239="Да",MeanMinAge14+'19_Расчет_аналитики'!AV559*SUMIF(ThresholdAge14,"&lt;"&amp;'19_Расчет_аналитики'!AV559,WeightedRevAge14)-SUMIF(ThresholdAge14,"&lt;"&amp;'19_Расчет_аналитики'!AV559,WeightedMinAge14),MAX(CapacityAge14*'01_Вводные'!$B$218*'19_Расчет_аналитики'!AV559,MeanMinAge14)))</f>
        <v/>
      </c>
      <c r="AW477">
        <f>IF(OR('19_Расчет_аналитики'!AW449=0,14&lt;='01_Вводные'!$B$297),0,'19_Расчет_аналитики'!AW449*IF('01_Вводные'!$B$239="Да",MeanMinAge14+'19_Расчет_аналитики'!AW559*SUMIF(ThresholdAge14,"&lt;"&amp;'19_Расчет_аналитики'!AW559,WeightedRevAge14)-SUMIF(ThresholdAge14,"&lt;"&amp;'19_Расчет_аналитики'!AW559,WeightedMinAge14),MAX(CapacityAge14*'01_Вводные'!$B$218*'19_Расчет_аналитики'!AW559,MeanMinAge14)))</f>
        <v/>
      </c>
      <c r="AX477">
        <f>IF(OR('19_Расчет_аналитики'!AX449=0,14&lt;='01_Вводные'!$B$297),0,'19_Расчет_аналитики'!AX449*IF('01_Вводные'!$B$239="Да",MeanMinAge14+'19_Расчет_аналитики'!AX559*SUMIF(ThresholdAge14,"&lt;"&amp;'19_Расчет_аналитики'!AX559,WeightedRevAge14)-SUMIF(ThresholdAge14,"&lt;"&amp;'19_Расчет_аналитики'!AX559,WeightedMinAge14),MAX(CapacityAge14*'01_Вводные'!$B$218*'19_Расчет_аналитики'!AX559,MeanMinAge14)))</f>
        <v/>
      </c>
      <c r="AY477">
        <f>IF(OR('19_Расчет_аналитики'!AY449=0,14&lt;='01_Вводные'!$B$297),0,'19_Расчет_аналитики'!AY449*IF('01_Вводные'!$B$239="Да",MeanMinAge14+'19_Расчет_аналитики'!AY559*SUMIF(ThresholdAge14,"&lt;"&amp;'19_Расчет_аналитики'!AY559,WeightedRevAge14)-SUMIF(ThresholdAge14,"&lt;"&amp;'19_Расчет_аналитики'!AY559,WeightedMinAge14),MAX(CapacityAge14*'01_Вводные'!$B$218*'19_Расчет_аналитики'!AY559,MeanMinAge14)))</f>
        <v/>
      </c>
      <c r="AZ477">
        <f>IF(OR('19_Расчет_аналитики'!AZ449=0,14&lt;='01_Вводные'!$B$297),0,'19_Расчет_аналитики'!AZ449*IF('01_Вводные'!$B$239="Да",MeanMinAge14+'19_Расчет_аналитики'!AZ559*SUMIF(ThresholdAge14,"&lt;"&amp;'19_Расчет_аналитики'!AZ559,WeightedRevAge14)-SUMIF(ThresholdAge14,"&lt;"&amp;'19_Расчет_аналитики'!AZ559,WeightedMinAge14),MAX(CapacityAge14*'01_Вводные'!$B$218*'19_Расчет_аналитики'!AZ559,MeanMinAge14)))</f>
        <v/>
      </c>
      <c r="BA477">
        <f>IF(OR('19_Расчет_аналитики'!BA449=0,14&lt;='01_Вводные'!$B$297),0,'19_Расчет_аналитики'!BA449*IF('01_Вводные'!$B$239="Да",MeanMinAge14+'19_Расчет_аналитики'!BA559*SUMIF(ThresholdAge14,"&lt;"&amp;'19_Расчет_аналитики'!BA559,WeightedRevAge14)-SUMIF(ThresholdAge14,"&lt;"&amp;'19_Расчет_аналитики'!BA559,WeightedMinAge14),MAX(CapacityAge14*'01_Вводные'!$B$218*'19_Расчет_аналитики'!BA559,MeanMinAge14)))</f>
        <v/>
      </c>
      <c r="BB477">
        <f>IF(OR('19_Расчет_аналитики'!BB449=0,14&lt;='01_Вводные'!$B$297),0,'19_Расчет_аналитики'!BB449*IF('01_Вводные'!$B$239="Да",MeanMinAge14+'19_Расчет_аналитики'!BB559*SUMIF(ThresholdAge14,"&lt;"&amp;'19_Расчет_аналитики'!BB559,WeightedRevAge14)-SUMIF(ThresholdAge14,"&lt;"&amp;'19_Расчет_аналитики'!BB559,WeightedMinAge14),MAX(CapacityAge14*'01_Вводные'!$B$218*'19_Расчет_аналитики'!BB559,MeanMinAge14)))</f>
        <v/>
      </c>
      <c r="BC477">
        <f>IF(OR('19_Расчет_аналитики'!BC449=0,14&lt;='01_Вводные'!$B$297),0,'19_Расчет_аналитики'!BC449*IF('01_Вводные'!$B$239="Да",MeanMinAge14+'19_Расчет_аналитики'!BC559*SUMIF(ThresholdAge14,"&lt;"&amp;'19_Расчет_аналитики'!BC559,WeightedRevAge14)-SUMIF(ThresholdAge14,"&lt;"&amp;'19_Расчет_аналитики'!BC559,WeightedMinAge14),MAX(CapacityAge14*'01_Вводные'!$B$218*'19_Расчет_аналитики'!BC559,MeanMinAge14)))</f>
        <v/>
      </c>
      <c r="BD477">
        <f>IF(OR('19_Расчет_аналитики'!BD449=0,14&lt;='01_Вводные'!$B$297),0,'19_Расчет_аналитики'!BD449*IF('01_Вводные'!$B$239="Да",MeanMinAge14+'19_Расчет_аналитики'!BD559*SUMIF(ThresholdAge14,"&lt;"&amp;'19_Расчет_аналитики'!BD559,WeightedRevAge14)-SUMIF(ThresholdAge14,"&lt;"&amp;'19_Расчет_аналитики'!BD559,WeightedMinAge14),MAX(CapacityAge14*'01_Вводные'!$B$218*'19_Расчет_аналитики'!BD559,MeanMinAge14)))</f>
        <v/>
      </c>
      <c r="BE477">
        <f>IF(OR('19_Расчет_аналитики'!BE449=0,14&lt;='01_Вводные'!$B$297),0,'19_Расчет_аналитики'!BE449*IF('01_Вводные'!$B$239="Да",MeanMinAge14+'19_Расчет_аналитики'!BE559*SUMIF(ThresholdAge14,"&lt;"&amp;'19_Расчет_аналитики'!BE559,WeightedRevAge14)-SUMIF(ThresholdAge14,"&lt;"&amp;'19_Расчет_аналитики'!BE559,WeightedMinAge14),MAX(CapacityAge14*'01_Вводные'!$B$218*'19_Расчет_аналитики'!BE559,MeanMinAge14)))</f>
        <v/>
      </c>
      <c r="BF477">
        <f>IF(OR('19_Расчет_аналитики'!BF449=0,14&lt;='01_Вводные'!$B$297),0,'19_Расчет_аналитики'!BF449*IF('01_Вводные'!$B$239="Да",MeanMinAge14+'19_Расчет_аналитики'!BF559*SUMIF(ThresholdAge14,"&lt;"&amp;'19_Расчет_аналитики'!BF559,WeightedRevAge14)-SUMIF(ThresholdAge14,"&lt;"&amp;'19_Расчет_аналитики'!BF559,WeightedMinAge14),MAX(CapacityAge14*'01_Вводные'!$B$218*'19_Расчет_аналитики'!BF559,MeanMinAge14)))</f>
        <v/>
      </c>
      <c r="BG477">
        <f>IF(OR('19_Расчет_аналитики'!BG449=0,14&lt;='01_Вводные'!$B$297),0,'19_Расчет_аналитики'!BG449*IF('01_Вводные'!$B$239="Да",MeanMinAge14+'19_Расчет_аналитики'!BG559*SUMIF(ThresholdAge14,"&lt;"&amp;'19_Расчет_аналитики'!BG559,WeightedRevAge14)-SUMIF(ThresholdAge14,"&lt;"&amp;'19_Расчет_аналитики'!BG559,WeightedMinAge14),MAX(CapacityAge14*'01_Вводные'!$B$218*'19_Расчет_аналитики'!BG559,MeanMinAge14)))</f>
        <v/>
      </c>
      <c r="BH477">
        <f>IF(OR('19_Расчет_аналитики'!BH449=0,14&lt;='01_Вводные'!$B$297),0,'19_Расчет_аналитики'!BH449*IF('01_Вводные'!$B$239="Да",MeanMinAge14+'19_Расчет_аналитики'!BH559*SUMIF(ThresholdAge14,"&lt;"&amp;'19_Расчет_аналитики'!BH559,WeightedRevAge14)-SUMIF(ThresholdAge14,"&lt;"&amp;'19_Расчет_аналитики'!BH559,WeightedMinAge14),MAX(CapacityAge14*'01_Вводные'!$B$218*'19_Расчет_аналитики'!BH559,MeanMinAge14)))</f>
        <v/>
      </c>
      <c r="BI477">
        <f>IF(OR('19_Расчет_аналитики'!BI449=0,14&lt;='01_Вводные'!$B$297),0,'19_Расчет_аналитики'!BI449*IF('01_Вводные'!$B$239="Да",MeanMinAge14+'19_Расчет_аналитики'!BI559*SUMIF(ThresholdAge14,"&lt;"&amp;'19_Расчет_аналитики'!BI559,WeightedRevAge14)-SUMIF(ThresholdAge14,"&lt;"&amp;'19_Расчет_аналитики'!BI559,WeightedMinAge14),MAX(CapacityAge14*'01_Вводные'!$B$218*'19_Расчет_аналитики'!BI559,MeanMinAge14)))</f>
        <v/>
      </c>
      <c r="BJ477">
        <f>IF(OR('19_Расчет_аналитики'!BJ449=0,14&lt;='01_Вводные'!$B$297),0,'19_Расчет_аналитики'!BJ449*IF('01_Вводные'!$B$239="Да",MeanMinAge14+'19_Расчет_аналитики'!BJ559*SUMIF(ThresholdAge14,"&lt;"&amp;'19_Расчет_аналитики'!BJ559,WeightedRevAge14)-SUMIF(ThresholdAge14,"&lt;"&amp;'19_Расчет_аналитики'!BJ559,WeightedMinAge14),MAX(CapacityAge14*'01_Вводные'!$B$218*'19_Расчет_аналитики'!BJ559,MeanMinAge14)))</f>
        <v/>
      </c>
      <c r="BK477">
        <f>IF(OR('19_Расчет_аналитики'!BK449=0,14&lt;='01_Вводные'!$B$297),0,'19_Расчет_аналитики'!BK449*IF('01_Вводные'!$B$239="Да",MeanMinAge14+'19_Расчет_аналитики'!BK559*SUMIF(ThresholdAge14,"&lt;"&amp;'19_Расчет_аналитики'!BK559,WeightedRevAge14)-SUMIF(ThresholdAge14,"&lt;"&amp;'19_Расчет_аналитики'!BK559,WeightedMinAge14),MAX(CapacityAge14*'01_Вводные'!$B$218*'19_Расчет_аналитики'!BK559,MeanMinAge14)))</f>
        <v/>
      </c>
      <c r="BL477">
        <f>IF(OR('19_Расчет_аналитики'!BL449=0,14&lt;='01_Вводные'!$B$297),0,'19_Расчет_аналитики'!BL449*IF('01_Вводные'!$B$239="Да",MeanMinAge14+'19_Расчет_аналитики'!BL559*SUMIF(ThresholdAge14,"&lt;"&amp;'19_Расчет_аналитики'!BL559,WeightedRevAge14)-SUMIF(ThresholdAge14,"&lt;"&amp;'19_Расчет_аналитики'!BL559,WeightedMinAge14),MAX(CapacityAge14*'01_Вводные'!$B$218*'19_Расчет_аналитики'!BL559,MeanMinAge14)))</f>
        <v/>
      </c>
      <c r="BM477">
        <f>IF(OR('19_Расчет_аналитики'!BM449=0,14&lt;='01_Вводные'!$B$297),0,'19_Расчет_аналитики'!BM449*IF('01_Вводные'!$B$239="Да",MeanMinAge14+'19_Расчет_аналитики'!BM559*SUMIF(ThresholdAge14,"&lt;"&amp;'19_Расчет_аналитики'!BM559,WeightedRevAge14)-SUMIF(ThresholdAge14,"&lt;"&amp;'19_Расчет_аналитики'!BM559,WeightedMinAge14),MAX(CapacityAge14*'01_Вводные'!$B$218*'19_Расчет_аналитики'!BM559,MeanMinAge14)))</f>
        <v/>
      </c>
      <c r="BN477">
        <f>IF(OR('19_Расчет_аналитики'!BN449=0,14&lt;='01_Вводные'!$B$297),0,'19_Расчет_аналитики'!BN449*IF('01_Вводные'!$B$239="Да",MeanMinAge14+'19_Расчет_аналитики'!BN559*SUMIF(ThresholdAge14,"&lt;"&amp;'19_Расчет_аналитики'!BN559,WeightedRevAge14)-SUMIF(ThresholdAge14,"&lt;"&amp;'19_Расчет_аналитики'!BN559,WeightedMinAge14),MAX(CapacityAge14*'01_Вводные'!$B$218*'19_Расчет_аналитики'!BN559,MeanMinAge14)))</f>
        <v/>
      </c>
      <c r="BO477">
        <f>IF(OR('19_Расчет_аналитики'!BO449=0,14&lt;='01_Вводные'!$B$297),0,'19_Расчет_аналитики'!BO449*IF('01_Вводные'!$B$239="Да",MeanMinAge14+'19_Расчет_аналитики'!BO559*SUMIF(ThresholdAge14,"&lt;"&amp;'19_Расчет_аналитики'!BO559,WeightedRevAge14)-SUMIF(ThresholdAge14,"&lt;"&amp;'19_Расчет_аналитики'!BO559,WeightedMinAge14),MAX(CapacityAge14*'01_Вводные'!$B$218*'19_Расчет_аналитики'!BO559,MeanMinAge14)))</f>
        <v/>
      </c>
    </row>
    <row r="478">
      <c r="B478">
        <f>IF(OR('06_Сеть_и_дети'!B95=0,15&lt;='01_Вводные'!$B$297),0,'06_Сеть_и_дети'!B95*IF('01_Вводные'!$B$239="Да",MeanMinAge15+'19_Расчет_аналитики'!B559*SUMIF(ThresholdAge15,"&lt;"&amp;'19_Расчет_аналитики'!B559,WeightedRevAge15)-SUMIF(ThresholdAge15,"&lt;"&amp;'19_Расчет_аналитики'!B559,WeightedMinAge15),MAX(CapacityAge15*'01_Вводные'!$B$218*'19_Расчет_аналитики'!B559,MeanMinAge15)))</f>
        <v/>
      </c>
      <c r="C478">
        <f>IF(OR('06_Сеть_и_дети'!C95=0,15&lt;='01_Вводные'!$B$297),0,'06_Сеть_и_дети'!C95*IF('01_Вводные'!$B$239="Да",MeanMinAge15+'19_Расчет_аналитики'!C559*SUMIF(ThresholdAge15,"&lt;"&amp;'19_Расчет_аналитики'!C559,WeightedRevAge15)-SUMIF(ThresholdAge15,"&lt;"&amp;'19_Расчет_аналитики'!C559,WeightedMinAge15),MAX(CapacityAge15*'01_Вводные'!$B$218*'19_Расчет_аналитики'!C559,MeanMinAge15)))</f>
        <v/>
      </c>
      <c r="D478">
        <f>IF(OR('06_Сеть_и_дети'!D95=0,15&lt;='01_Вводные'!$B$297),0,'06_Сеть_и_дети'!D95*IF('01_Вводные'!$B$239="Да",MeanMinAge15+'19_Расчет_аналитики'!D559*SUMIF(ThresholdAge15,"&lt;"&amp;'19_Расчет_аналитики'!D559,WeightedRevAge15)-SUMIF(ThresholdAge15,"&lt;"&amp;'19_Расчет_аналитики'!D559,WeightedMinAge15),MAX(CapacityAge15*'01_Вводные'!$B$218*'19_Расчет_аналитики'!D559,MeanMinAge15)))</f>
        <v/>
      </c>
      <c r="E478">
        <f>IF(OR('06_Сеть_и_дети'!E95=0,15&lt;='01_Вводные'!$B$297),0,'06_Сеть_и_дети'!E95*IF('01_Вводные'!$B$239="Да",MeanMinAge15+'19_Расчет_аналитики'!E559*SUMIF(ThresholdAge15,"&lt;"&amp;'19_Расчет_аналитики'!E559,WeightedRevAge15)-SUMIF(ThresholdAge15,"&lt;"&amp;'19_Расчет_аналитики'!E559,WeightedMinAge15),MAX(CapacityAge15*'01_Вводные'!$B$218*'19_Расчет_аналитики'!E559,MeanMinAge15)))</f>
        <v/>
      </c>
      <c r="F478">
        <f>IF(OR('06_Сеть_и_дети'!F95=0,15&lt;='01_Вводные'!$B$297),0,'06_Сеть_и_дети'!F95*IF('01_Вводные'!$B$239="Да",MeanMinAge15+'19_Расчет_аналитики'!F559*SUMIF(ThresholdAge15,"&lt;"&amp;'19_Расчет_аналитики'!F559,WeightedRevAge15)-SUMIF(ThresholdAge15,"&lt;"&amp;'19_Расчет_аналитики'!F559,WeightedMinAge15),MAX(CapacityAge15*'01_Вводные'!$B$218*'19_Расчет_аналитики'!F559,MeanMinAge15)))</f>
        <v/>
      </c>
      <c r="G478">
        <f>IF(OR('06_Сеть_и_дети'!G95=0,15&lt;='01_Вводные'!$B$297),0,'06_Сеть_и_дети'!G95*IF('01_Вводные'!$B$239="Да",MeanMinAge15+'19_Расчет_аналитики'!G559*SUMIF(ThresholdAge15,"&lt;"&amp;'19_Расчет_аналитики'!G559,WeightedRevAge15)-SUMIF(ThresholdAge15,"&lt;"&amp;'19_Расчет_аналитики'!G559,WeightedMinAge15),MAX(CapacityAge15*'01_Вводные'!$B$218*'19_Расчет_аналитики'!G559,MeanMinAge15)))</f>
        <v/>
      </c>
      <c r="H478">
        <f>IF(OR('06_Сеть_и_дети'!H95=0,15&lt;='01_Вводные'!$B$297),0,'06_Сеть_и_дети'!H95*IF('01_Вводные'!$B$239="Да",MeanMinAge15+'19_Расчет_аналитики'!H559*SUMIF(ThresholdAge15,"&lt;"&amp;'19_Расчет_аналитики'!H559,WeightedRevAge15)-SUMIF(ThresholdAge15,"&lt;"&amp;'19_Расчет_аналитики'!H559,WeightedMinAge15),MAX(CapacityAge15*'01_Вводные'!$B$218*'19_Расчет_аналитики'!H559,MeanMinAge15)))</f>
        <v/>
      </c>
      <c r="I478">
        <f>IF(OR('06_Сеть_и_дети'!I95=0,15&lt;='01_Вводные'!$B$297),0,'06_Сеть_и_дети'!I95*IF('01_Вводные'!$B$239="Да",MeanMinAge15+'19_Расчет_аналитики'!I559*SUMIF(ThresholdAge15,"&lt;"&amp;'19_Расчет_аналитики'!I559,WeightedRevAge15)-SUMIF(ThresholdAge15,"&lt;"&amp;'19_Расчет_аналитики'!I559,WeightedMinAge15),MAX(CapacityAge15*'01_Вводные'!$B$218*'19_Расчет_аналитики'!I559,MeanMinAge15)))</f>
        <v/>
      </c>
      <c r="J478">
        <f>IF(OR('06_Сеть_и_дети'!J95=0,15&lt;='01_Вводные'!$B$297),0,'06_Сеть_и_дети'!J95*IF('01_Вводные'!$B$239="Да",MeanMinAge15+'19_Расчет_аналитики'!J559*SUMIF(ThresholdAge15,"&lt;"&amp;'19_Расчет_аналитики'!J559,WeightedRevAge15)-SUMIF(ThresholdAge15,"&lt;"&amp;'19_Расчет_аналитики'!J559,WeightedMinAge15),MAX(CapacityAge15*'01_Вводные'!$B$218*'19_Расчет_аналитики'!J559,MeanMinAge15)))</f>
        <v/>
      </c>
      <c r="K478">
        <f>IF(OR('06_Сеть_и_дети'!K95=0,15&lt;='01_Вводные'!$B$297),0,'06_Сеть_и_дети'!K95*IF('01_Вводные'!$B$239="Да",MeanMinAge15+'19_Расчет_аналитики'!K559*SUMIF(ThresholdAge15,"&lt;"&amp;'19_Расчет_аналитики'!K559,WeightedRevAge15)-SUMIF(ThresholdAge15,"&lt;"&amp;'19_Расчет_аналитики'!K559,WeightedMinAge15),MAX(CapacityAge15*'01_Вводные'!$B$218*'19_Расчет_аналитики'!K559,MeanMinAge15)))</f>
        <v/>
      </c>
      <c r="L478">
        <f>IF(OR('06_Сеть_и_дети'!L95=0,15&lt;='01_Вводные'!$B$297),0,'06_Сеть_и_дети'!L95*IF('01_Вводные'!$B$239="Да",MeanMinAge15+'19_Расчет_аналитики'!L559*SUMIF(ThresholdAge15,"&lt;"&amp;'19_Расчет_аналитики'!L559,WeightedRevAge15)-SUMIF(ThresholdAge15,"&lt;"&amp;'19_Расчет_аналитики'!L559,WeightedMinAge15),MAX(CapacityAge15*'01_Вводные'!$B$218*'19_Расчет_аналитики'!L559,MeanMinAge15)))</f>
        <v/>
      </c>
      <c r="M478">
        <f>IF(OR('06_Сеть_и_дети'!M95=0,15&lt;='01_Вводные'!$B$297),0,'06_Сеть_и_дети'!M95*IF('01_Вводные'!$B$239="Да",MeanMinAge15+'19_Расчет_аналитики'!M559*SUMIF(ThresholdAge15,"&lt;"&amp;'19_Расчет_аналитики'!M559,WeightedRevAge15)-SUMIF(ThresholdAge15,"&lt;"&amp;'19_Расчет_аналитики'!M559,WeightedMinAge15),MAX(CapacityAge15*'01_Вводные'!$B$218*'19_Расчет_аналитики'!M559,MeanMinAge15)))</f>
        <v/>
      </c>
      <c r="N478">
        <f>IF(OR('06_Сеть_и_дети'!N95=0,15&lt;='01_Вводные'!$B$297),0,'06_Сеть_и_дети'!N95*IF('01_Вводные'!$B$239="Да",MeanMinAge15+'19_Расчет_аналитики'!N559*SUMIF(ThresholdAge15,"&lt;"&amp;'19_Расчет_аналитики'!N559,WeightedRevAge15)-SUMIF(ThresholdAge15,"&lt;"&amp;'19_Расчет_аналитики'!N559,WeightedMinAge15),MAX(CapacityAge15*'01_Вводные'!$B$218*'19_Расчет_аналитики'!N559,MeanMinAge15)))</f>
        <v/>
      </c>
      <c r="O478">
        <f>IF(OR('06_Сеть_и_дети'!O95=0,15&lt;='01_Вводные'!$B$297),0,'06_Сеть_и_дети'!O95*IF('01_Вводные'!$B$239="Да",MeanMinAge15+'19_Расчет_аналитики'!O559*SUMIF(ThresholdAge15,"&lt;"&amp;'19_Расчет_аналитики'!O559,WeightedRevAge15)-SUMIF(ThresholdAge15,"&lt;"&amp;'19_Расчет_аналитики'!O559,WeightedMinAge15),MAX(CapacityAge15*'01_Вводные'!$B$218*'19_Расчет_аналитики'!O559,MeanMinAge15)))</f>
        <v/>
      </c>
      <c r="P478">
        <f>IF(OR('19_Расчет_аналитики'!P450=0,15&lt;='01_Вводные'!$B$297),0,'19_Расчет_аналитики'!P450*IF('01_Вводные'!$B$239="Да",MeanMinAge15+'19_Расчет_аналитики'!P559*SUMIF(ThresholdAge15,"&lt;"&amp;'19_Расчет_аналитики'!P559,WeightedRevAge15)-SUMIF(ThresholdAge15,"&lt;"&amp;'19_Расчет_аналитики'!P559,WeightedMinAge15),MAX(CapacityAge15*'01_Вводные'!$B$218*'19_Расчет_аналитики'!P559,MeanMinAge15)))</f>
        <v/>
      </c>
      <c r="Q478">
        <f>IF(OR('19_Расчет_аналитики'!Q450=0,15&lt;='01_Вводные'!$B$297),0,'19_Расчет_аналитики'!Q450*IF('01_Вводные'!$B$239="Да",MeanMinAge15+'19_Расчет_аналитики'!Q559*SUMIF(ThresholdAge15,"&lt;"&amp;'19_Расчет_аналитики'!Q559,WeightedRevAge15)-SUMIF(ThresholdAge15,"&lt;"&amp;'19_Расчет_аналитики'!Q559,WeightedMinAge15),MAX(CapacityAge15*'01_Вводные'!$B$218*'19_Расчет_аналитики'!Q559,MeanMinAge15)))</f>
        <v/>
      </c>
      <c r="R478">
        <f>IF(OR('19_Расчет_аналитики'!R450=0,15&lt;='01_Вводные'!$B$297),0,'19_Расчет_аналитики'!R450*IF('01_Вводные'!$B$239="Да",MeanMinAge15+'19_Расчет_аналитики'!R559*SUMIF(ThresholdAge15,"&lt;"&amp;'19_Расчет_аналитики'!R559,WeightedRevAge15)-SUMIF(ThresholdAge15,"&lt;"&amp;'19_Расчет_аналитики'!R559,WeightedMinAge15),MAX(CapacityAge15*'01_Вводные'!$B$218*'19_Расчет_аналитики'!R559,MeanMinAge15)))</f>
        <v/>
      </c>
      <c r="S478">
        <f>IF(OR('19_Расчет_аналитики'!S450=0,15&lt;='01_Вводные'!$B$297),0,'19_Расчет_аналитики'!S450*IF('01_Вводные'!$B$239="Да",MeanMinAge15+'19_Расчет_аналитики'!S559*SUMIF(ThresholdAge15,"&lt;"&amp;'19_Расчет_аналитики'!S559,WeightedRevAge15)-SUMIF(ThresholdAge15,"&lt;"&amp;'19_Расчет_аналитики'!S559,WeightedMinAge15),MAX(CapacityAge15*'01_Вводные'!$B$218*'19_Расчет_аналитики'!S559,MeanMinAge15)))</f>
        <v/>
      </c>
      <c r="T478">
        <f>IF(OR('19_Расчет_аналитики'!T450=0,15&lt;='01_Вводные'!$B$297),0,'19_Расчет_аналитики'!T450*IF('01_Вводные'!$B$239="Да",MeanMinAge15+'19_Расчет_аналитики'!T559*SUMIF(ThresholdAge15,"&lt;"&amp;'19_Расчет_аналитики'!T559,WeightedRevAge15)-SUMIF(ThresholdAge15,"&lt;"&amp;'19_Расчет_аналитики'!T559,WeightedMinAge15),MAX(CapacityAge15*'01_Вводные'!$B$218*'19_Расчет_аналитики'!T559,MeanMinAge15)))</f>
        <v/>
      </c>
      <c r="U478">
        <f>IF(OR('19_Расчет_аналитики'!U450=0,15&lt;='01_Вводные'!$B$297),0,'19_Расчет_аналитики'!U450*IF('01_Вводные'!$B$239="Да",MeanMinAge15+'19_Расчет_аналитики'!U559*SUMIF(ThresholdAge15,"&lt;"&amp;'19_Расчет_аналитики'!U559,WeightedRevAge15)-SUMIF(ThresholdAge15,"&lt;"&amp;'19_Расчет_аналитики'!U559,WeightedMinAge15),MAX(CapacityAge15*'01_Вводные'!$B$218*'19_Расчет_аналитики'!U559,MeanMinAge15)))</f>
        <v/>
      </c>
      <c r="V478">
        <f>IF(OR('19_Расчет_аналитики'!V450=0,15&lt;='01_Вводные'!$B$297),0,'19_Расчет_аналитики'!V450*IF('01_Вводные'!$B$239="Да",MeanMinAge15+'19_Расчет_аналитики'!V559*SUMIF(ThresholdAge15,"&lt;"&amp;'19_Расчет_аналитики'!V559,WeightedRevAge15)-SUMIF(ThresholdAge15,"&lt;"&amp;'19_Расчет_аналитики'!V559,WeightedMinAge15),MAX(CapacityAge15*'01_Вводные'!$B$218*'19_Расчет_аналитики'!V559,MeanMinAge15)))</f>
        <v/>
      </c>
      <c r="W478">
        <f>IF(OR('19_Расчет_аналитики'!W450=0,15&lt;='01_Вводные'!$B$297),0,'19_Расчет_аналитики'!W450*IF('01_Вводные'!$B$239="Да",MeanMinAge15+'19_Расчет_аналитики'!W559*SUMIF(ThresholdAge15,"&lt;"&amp;'19_Расчет_аналитики'!W559,WeightedRevAge15)-SUMIF(ThresholdAge15,"&lt;"&amp;'19_Расчет_аналитики'!W559,WeightedMinAge15),MAX(CapacityAge15*'01_Вводные'!$B$218*'19_Расчет_аналитики'!W559,MeanMinAge15)))</f>
        <v/>
      </c>
      <c r="X478">
        <f>IF(OR('19_Расчет_аналитики'!X450=0,15&lt;='01_Вводные'!$B$297),0,'19_Расчет_аналитики'!X450*IF('01_Вводные'!$B$239="Да",MeanMinAge15+'19_Расчет_аналитики'!X559*SUMIF(ThresholdAge15,"&lt;"&amp;'19_Расчет_аналитики'!X559,WeightedRevAge15)-SUMIF(ThresholdAge15,"&lt;"&amp;'19_Расчет_аналитики'!X559,WeightedMinAge15),MAX(CapacityAge15*'01_Вводные'!$B$218*'19_Расчет_аналитики'!X559,MeanMinAge15)))</f>
        <v/>
      </c>
      <c r="Y478">
        <f>IF(OR('19_Расчет_аналитики'!Y450=0,15&lt;='01_Вводные'!$B$297),0,'19_Расчет_аналитики'!Y450*IF('01_Вводные'!$B$239="Да",MeanMinAge15+'19_Расчет_аналитики'!Y559*SUMIF(ThresholdAge15,"&lt;"&amp;'19_Расчет_аналитики'!Y559,WeightedRevAge15)-SUMIF(ThresholdAge15,"&lt;"&amp;'19_Расчет_аналитики'!Y559,WeightedMinAge15),MAX(CapacityAge15*'01_Вводные'!$B$218*'19_Расчет_аналитики'!Y559,MeanMinAge15)))</f>
        <v/>
      </c>
      <c r="Z478">
        <f>IF(OR('19_Расчет_аналитики'!Z450=0,15&lt;='01_Вводные'!$B$297),0,'19_Расчет_аналитики'!Z450*IF('01_Вводные'!$B$239="Да",MeanMinAge15+'19_Расчет_аналитики'!Z559*SUMIF(ThresholdAge15,"&lt;"&amp;'19_Расчет_аналитики'!Z559,WeightedRevAge15)-SUMIF(ThresholdAge15,"&lt;"&amp;'19_Расчет_аналитики'!Z559,WeightedMinAge15),MAX(CapacityAge15*'01_Вводные'!$B$218*'19_Расчет_аналитики'!Z559,MeanMinAge15)))</f>
        <v/>
      </c>
      <c r="AA478">
        <f>IF(OR('19_Расчет_аналитики'!AA450=0,15&lt;='01_Вводные'!$B$297),0,'19_Расчет_аналитики'!AA450*IF('01_Вводные'!$B$239="Да",MeanMinAge15+'19_Расчет_аналитики'!AA559*SUMIF(ThresholdAge15,"&lt;"&amp;'19_Расчет_аналитики'!AA559,WeightedRevAge15)-SUMIF(ThresholdAge15,"&lt;"&amp;'19_Расчет_аналитики'!AA559,WeightedMinAge15),MAX(CapacityAge15*'01_Вводные'!$B$218*'19_Расчет_аналитики'!AA559,MeanMinAge15)))</f>
        <v/>
      </c>
      <c r="AB478">
        <f>IF(OR('19_Расчет_аналитики'!AB450=0,15&lt;='01_Вводные'!$B$297),0,'19_Расчет_аналитики'!AB450*IF('01_Вводные'!$B$239="Да",MeanMinAge15+'19_Расчет_аналитики'!AB559*SUMIF(ThresholdAge15,"&lt;"&amp;'19_Расчет_аналитики'!AB559,WeightedRevAge15)-SUMIF(ThresholdAge15,"&lt;"&amp;'19_Расчет_аналитики'!AB559,WeightedMinAge15),MAX(CapacityAge15*'01_Вводные'!$B$218*'19_Расчет_аналитики'!AB559,MeanMinAge15)))</f>
        <v/>
      </c>
      <c r="AC478">
        <f>IF(OR('19_Расчет_аналитики'!AC450=0,15&lt;='01_Вводные'!$B$297),0,'19_Расчет_аналитики'!AC450*IF('01_Вводные'!$B$239="Да",MeanMinAge15+'19_Расчет_аналитики'!AC559*SUMIF(ThresholdAge15,"&lt;"&amp;'19_Расчет_аналитики'!AC559,WeightedRevAge15)-SUMIF(ThresholdAge15,"&lt;"&amp;'19_Расчет_аналитики'!AC559,WeightedMinAge15),MAX(CapacityAge15*'01_Вводные'!$B$218*'19_Расчет_аналитики'!AC559,MeanMinAge15)))</f>
        <v/>
      </c>
      <c r="AD478">
        <f>IF(OR('19_Расчет_аналитики'!AD450=0,15&lt;='01_Вводные'!$B$297),0,'19_Расчет_аналитики'!AD450*IF('01_Вводные'!$B$239="Да",MeanMinAge15+'19_Расчет_аналитики'!AD559*SUMIF(ThresholdAge15,"&lt;"&amp;'19_Расчет_аналитики'!AD559,WeightedRevAge15)-SUMIF(ThresholdAge15,"&lt;"&amp;'19_Расчет_аналитики'!AD559,WeightedMinAge15),MAX(CapacityAge15*'01_Вводные'!$B$218*'19_Расчет_аналитики'!AD559,MeanMinAge15)))</f>
        <v/>
      </c>
      <c r="AE478">
        <f>IF(OR('19_Расчет_аналитики'!AE450=0,15&lt;='01_Вводные'!$B$297),0,'19_Расчет_аналитики'!AE450*IF('01_Вводные'!$B$239="Да",MeanMinAge15+'19_Расчет_аналитики'!AE559*SUMIF(ThresholdAge15,"&lt;"&amp;'19_Расчет_аналитики'!AE559,WeightedRevAge15)-SUMIF(ThresholdAge15,"&lt;"&amp;'19_Расчет_аналитики'!AE559,WeightedMinAge15),MAX(CapacityAge15*'01_Вводные'!$B$218*'19_Расчет_аналитики'!AE559,MeanMinAge15)))</f>
        <v/>
      </c>
      <c r="AF478">
        <f>IF(OR('19_Расчет_аналитики'!AF450=0,15&lt;='01_Вводные'!$B$297),0,'19_Расчет_аналитики'!AF450*IF('01_Вводные'!$B$239="Да",MeanMinAge15+'19_Расчет_аналитики'!AF559*SUMIF(ThresholdAge15,"&lt;"&amp;'19_Расчет_аналитики'!AF559,WeightedRevAge15)-SUMIF(ThresholdAge15,"&lt;"&amp;'19_Расчет_аналитики'!AF559,WeightedMinAge15),MAX(CapacityAge15*'01_Вводные'!$B$218*'19_Расчет_аналитики'!AF559,MeanMinAge15)))</f>
        <v/>
      </c>
      <c r="AG478">
        <f>IF(OR('19_Расчет_аналитики'!AG450=0,15&lt;='01_Вводные'!$B$297),0,'19_Расчет_аналитики'!AG450*IF('01_Вводные'!$B$239="Да",MeanMinAge15+'19_Расчет_аналитики'!AG559*SUMIF(ThresholdAge15,"&lt;"&amp;'19_Расчет_аналитики'!AG559,WeightedRevAge15)-SUMIF(ThresholdAge15,"&lt;"&amp;'19_Расчет_аналитики'!AG559,WeightedMinAge15),MAX(CapacityAge15*'01_Вводные'!$B$218*'19_Расчет_аналитики'!AG559,MeanMinAge15)))</f>
        <v/>
      </c>
      <c r="AH478">
        <f>IF(OR('19_Расчет_аналитики'!AH450=0,15&lt;='01_Вводные'!$B$297),0,'19_Расчет_аналитики'!AH450*IF('01_Вводные'!$B$239="Да",MeanMinAge15+'19_Расчет_аналитики'!AH559*SUMIF(ThresholdAge15,"&lt;"&amp;'19_Расчет_аналитики'!AH559,WeightedRevAge15)-SUMIF(ThresholdAge15,"&lt;"&amp;'19_Расчет_аналитики'!AH559,WeightedMinAge15),MAX(CapacityAge15*'01_Вводные'!$B$218*'19_Расчет_аналитики'!AH559,MeanMinAge15)))</f>
        <v/>
      </c>
      <c r="AI478">
        <f>IF(OR('19_Расчет_аналитики'!AI450=0,15&lt;='01_Вводные'!$B$297),0,'19_Расчет_аналитики'!AI450*IF('01_Вводные'!$B$239="Да",MeanMinAge15+'19_Расчет_аналитики'!AI559*SUMIF(ThresholdAge15,"&lt;"&amp;'19_Расчет_аналитики'!AI559,WeightedRevAge15)-SUMIF(ThresholdAge15,"&lt;"&amp;'19_Расчет_аналитики'!AI559,WeightedMinAge15),MAX(CapacityAge15*'01_Вводные'!$B$218*'19_Расчет_аналитики'!AI559,MeanMinAge15)))</f>
        <v/>
      </c>
      <c r="AJ478">
        <f>IF(OR('19_Расчет_аналитики'!AJ450=0,15&lt;='01_Вводные'!$B$297),0,'19_Расчет_аналитики'!AJ450*IF('01_Вводные'!$B$239="Да",MeanMinAge15+'19_Расчет_аналитики'!AJ559*SUMIF(ThresholdAge15,"&lt;"&amp;'19_Расчет_аналитики'!AJ559,WeightedRevAge15)-SUMIF(ThresholdAge15,"&lt;"&amp;'19_Расчет_аналитики'!AJ559,WeightedMinAge15),MAX(CapacityAge15*'01_Вводные'!$B$218*'19_Расчет_аналитики'!AJ559,MeanMinAge15)))</f>
        <v/>
      </c>
      <c r="AK478">
        <f>IF(OR('19_Расчет_аналитики'!AK450=0,15&lt;='01_Вводные'!$B$297),0,'19_Расчет_аналитики'!AK450*IF('01_Вводные'!$B$239="Да",MeanMinAge15+'19_Расчет_аналитики'!AK559*SUMIF(ThresholdAge15,"&lt;"&amp;'19_Расчет_аналитики'!AK559,WeightedRevAge15)-SUMIF(ThresholdAge15,"&lt;"&amp;'19_Расчет_аналитики'!AK559,WeightedMinAge15),MAX(CapacityAge15*'01_Вводные'!$B$218*'19_Расчет_аналитики'!AK559,MeanMinAge15)))</f>
        <v/>
      </c>
      <c r="AL478">
        <f>IF(OR('19_Расчет_аналитики'!AL450=0,15&lt;='01_Вводные'!$B$297),0,'19_Расчет_аналитики'!AL450*IF('01_Вводные'!$B$239="Да",MeanMinAge15+'19_Расчет_аналитики'!AL559*SUMIF(ThresholdAge15,"&lt;"&amp;'19_Расчет_аналитики'!AL559,WeightedRevAge15)-SUMIF(ThresholdAge15,"&lt;"&amp;'19_Расчет_аналитики'!AL559,WeightedMinAge15),MAX(CapacityAge15*'01_Вводные'!$B$218*'19_Расчет_аналитики'!AL559,MeanMinAge15)))</f>
        <v/>
      </c>
      <c r="AM478">
        <f>IF(OR('19_Расчет_аналитики'!AM450=0,15&lt;='01_Вводные'!$B$297),0,'19_Расчет_аналитики'!AM450*IF('01_Вводные'!$B$239="Да",MeanMinAge15+'19_Расчет_аналитики'!AM559*SUMIF(ThresholdAge15,"&lt;"&amp;'19_Расчет_аналитики'!AM559,WeightedRevAge15)-SUMIF(ThresholdAge15,"&lt;"&amp;'19_Расчет_аналитики'!AM559,WeightedMinAge15),MAX(CapacityAge15*'01_Вводные'!$B$218*'19_Расчет_аналитики'!AM559,MeanMinAge15)))</f>
        <v/>
      </c>
      <c r="AN478">
        <f>IF(OR('19_Расчет_аналитики'!AN450=0,15&lt;='01_Вводные'!$B$297),0,'19_Расчет_аналитики'!AN450*IF('01_Вводные'!$B$239="Да",MeanMinAge15+'19_Расчет_аналитики'!AN559*SUMIF(ThresholdAge15,"&lt;"&amp;'19_Расчет_аналитики'!AN559,WeightedRevAge15)-SUMIF(ThresholdAge15,"&lt;"&amp;'19_Расчет_аналитики'!AN559,WeightedMinAge15),MAX(CapacityAge15*'01_Вводные'!$B$218*'19_Расчет_аналитики'!AN559,MeanMinAge15)))</f>
        <v/>
      </c>
      <c r="AO478">
        <f>IF(OR('19_Расчет_аналитики'!AO450=0,15&lt;='01_Вводные'!$B$297),0,'19_Расчет_аналитики'!AO450*IF('01_Вводные'!$B$239="Да",MeanMinAge15+'19_Расчет_аналитики'!AO559*SUMIF(ThresholdAge15,"&lt;"&amp;'19_Расчет_аналитики'!AO559,WeightedRevAge15)-SUMIF(ThresholdAge15,"&lt;"&amp;'19_Расчет_аналитики'!AO559,WeightedMinAge15),MAX(CapacityAge15*'01_Вводные'!$B$218*'19_Расчет_аналитики'!AO559,MeanMinAge15)))</f>
        <v/>
      </c>
      <c r="AP478">
        <f>IF(OR('19_Расчет_аналитики'!AP450=0,15&lt;='01_Вводные'!$B$297),0,'19_Расчет_аналитики'!AP450*IF('01_Вводные'!$B$239="Да",MeanMinAge15+'19_Расчет_аналитики'!AP559*SUMIF(ThresholdAge15,"&lt;"&amp;'19_Расчет_аналитики'!AP559,WeightedRevAge15)-SUMIF(ThresholdAge15,"&lt;"&amp;'19_Расчет_аналитики'!AP559,WeightedMinAge15),MAX(CapacityAge15*'01_Вводные'!$B$218*'19_Расчет_аналитики'!AP559,MeanMinAge15)))</f>
        <v/>
      </c>
      <c r="AQ478">
        <f>IF(OR('19_Расчет_аналитики'!AQ450=0,15&lt;='01_Вводные'!$B$297),0,'19_Расчет_аналитики'!AQ450*IF('01_Вводные'!$B$239="Да",MeanMinAge15+'19_Расчет_аналитики'!AQ559*SUMIF(ThresholdAge15,"&lt;"&amp;'19_Расчет_аналитики'!AQ559,WeightedRevAge15)-SUMIF(ThresholdAge15,"&lt;"&amp;'19_Расчет_аналитики'!AQ559,WeightedMinAge15),MAX(CapacityAge15*'01_Вводные'!$B$218*'19_Расчет_аналитики'!AQ559,MeanMinAge15)))</f>
        <v/>
      </c>
      <c r="AR478">
        <f>IF(OR('19_Расчет_аналитики'!AR450=0,15&lt;='01_Вводные'!$B$297),0,'19_Расчет_аналитики'!AR450*IF('01_Вводные'!$B$239="Да",MeanMinAge15+'19_Расчет_аналитики'!AR559*SUMIF(ThresholdAge15,"&lt;"&amp;'19_Расчет_аналитики'!AR559,WeightedRevAge15)-SUMIF(ThresholdAge15,"&lt;"&amp;'19_Расчет_аналитики'!AR559,WeightedMinAge15),MAX(CapacityAge15*'01_Вводные'!$B$218*'19_Расчет_аналитики'!AR559,MeanMinAge15)))</f>
        <v/>
      </c>
      <c r="AS478">
        <f>IF(OR('19_Расчет_аналитики'!AS450=0,15&lt;='01_Вводные'!$B$297),0,'19_Расчет_аналитики'!AS450*IF('01_Вводные'!$B$239="Да",MeanMinAge15+'19_Расчет_аналитики'!AS559*SUMIF(ThresholdAge15,"&lt;"&amp;'19_Расчет_аналитики'!AS559,WeightedRevAge15)-SUMIF(ThresholdAge15,"&lt;"&amp;'19_Расчет_аналитики'!AS559,WeightedMinAge15),MAX(CapacityAge15*'01_Вводные'!$B$218*'19_Расчет_аналитики'!AS559,MeanMinAge15)))</f>
        <v/>
      </c>
      <c r="AT478">
        <f>IF(OR('19_Расчет_аналитики'!AT450=0,15&lt;='01_Вводные'!$B$297),0,'19_Расчет_аналитики'!AT450*IF('01_Вводные'!$B$239="Да",MeanMinAge15+'19_Расчет_аналитики'!AT559*SUMIF(ThresholdAge15,"&lt;"&amp;'19_Расчет_аналитики'!AT559,WeightedRevAge15)-SUMIF(ThresholdAge15,"&lt;"&amp;'19_Расчет_аналитики'!AT559,WeightedMinAge15),MAX(CapacityAge15*'01_Вводные'!$B$218*'19_Расчет_аналитики'!AT559,MeanMinAge15)))</f>
        <v/>
      </c>
      <c r="AU478">
        <f>IF(OR('19_Расчет_аналитики'!AU450=0,15&lt;='01_Вводные'!$B$297),0,'19_Расчет_аналитики'!AU450*IF('01_Вводные'!$B$239="Да",MeanMinAge15+'19_Расчет_аналитики'!AU559*SUMIF(ThresholdAge15,"&lt;"&amp;'19_Расчет_аналитики'!AU559,WeightedRevAge15)-SUMIF(ThresholdAge15,"&lt;"&amp;'19_Расчет_аналитики'!AU559,WeightedMinAge15),MAX(CapacityAge15*'01_Вводные'!$B$218*'19_Расчет_аналитики'!AU559,MeanMinAge15)))</f>
        <v/>
      </c>
      <c r="AV478">
        <f>IF(OR('19_Расчет_аналитики'!AV450=0,15&lt;='01_Вводные'!$B$297),0,'19_Расчет_аналитики'!AV450*IF('01_Вводные'!$B$239="Да",MeanMinAge15+'19_Расчет_аналитики'!AV559*SUMIF(ThresholdAge15,"&lt;"&amp;'19_Расчет_аналитики'!AV559,WeightedRevAge15)-SUMIF(ThresholdAge15,"&lt;"&amp;'19_Расчет_аналитики'!AV559,WeightedMinAge15),MAX(CapacityAge15*'01_Вводные'!$B$218*'19_Расчет_аналитики'!AV559,MeanMinAge15)))</f>
        <v/>
      </c>
      <c r="AW478">
        <f>IF(OR('19_Расчет_аналитики'!AW450=0,15&lt;='01_Вводные'!$B$297),0,'19_Расчет_аналитики'!AW450*IF('01_Вводные'!$B$239="Да",MeanMinAge15+'19_Расчет_аналитики'!AW559*SUMIF(ThresholdAge15,"&lt;"&amp;'19_Расчет_аналитики'!AW559,WeightedRevAge15)-SUMIF(ThresholdAge15,"&lt;"&amp;'19_Расчет_аналитики'!AW559,WeightedMinAge15),MAX(CapacityAge15*'01_Вводные'!$B$218*'19_Расчет_аналитики'!AW559,MeanMinAge15)))</f>
        <v/>
      </c>
      <c r="AX478">
        <f>IF(OR('19_Расчет_аналитики'!AX450=0,15&lt;='01_Вводные'!$B$297),0,'19_Расчет_аналитики'!AX450*IF('01_Вводные'!$B$239="Да",MeanMinAge15+'19_Расчет_аналитики'!AX559*SUMIF(ThresholdAge15,"&lt;"&amp;'19_Расчет_аналитики'!AX559,WeightedRevAge15)-SUMIF(ThresholdAge15,"&lt;"&amp;'19_Расчет_аналитики'!AX559,WeightedMinAge15),MAX(CapacityAge15*'01_Вводные'!$B$218*'19_Расчет_аналитики'!AX559,MeanMinAge15)))</f>
        <v/>
      </c>
      <c r="AY478">
        <f>IF(OR('19_Расчет_аналитики'!AY450=0,15&lt;='01_Вводные'!$B$297),0,'19_Расчет_аналитики'!AY450*IF('01_Вводные'!$B$239="Да",MeanMinAge15+'19_Расчет_аналитики'!AY559*SUMIF(ThresholdAge15,"&lt;"&amp;'19_Расчет_аналитики'!AY559,WeightedRevAge15)-SUMIF(ThresholdAge15,"&lt;"&amp;'19_Расчет_аналитики'!AY559,WeightedMinAge15),MAX(CapacityAge15*'01_Вводные'!$B$218*'19_Расчет_аналитики'!AY559,MeanMinAge15)))</f>
        <v/>
      </c>
      <c r="AZ478">
        <f>IF(OR('19_Расчет_аналитики'!AZ450=0,15&lt;='01_Вводные'!$B$297),0,'19_Расчет_аналитики'!AZ450*IF('01_Вводные'!$B$239="Да",MeanMinAge15+'19_Расчет_аналитики'!AZ559*SUMIF(ThresholdAge15,"&lt;"&amp;'19_Расчет_аналитики'!AZ559,WeightedRevAge15)-SUMIF(ThresholdAge15,"&lt;"&amp;'19_Расчет_аналитики'!AZ559,WeightedMinAge15),MAX(CapacityAge15*'01_Вводные'!$B$218*'19_Расчет_аналитики'!AZ559,MeanMinAge15)))</f>
        <v/>
      </c>
      <c r="BA478">
        <f>IF(OR('19_Расчет_аналитики'!BA450=0,15&lt;='01_Вводные'!$B$297),0,'19_Расчет_аналитики'!BA450*IF('01_Вводные'!$B$239="Да",MeanMinAge15+'19_Расчет_аналитики'!BA559*SUMIF(ThresholdAge15,"&lt;"&amp;'19_Расчет_аналитики'!BA559,WeightedRevAge15)-SUMIF(ThresholdAge15,"&lt;"&amp;'19_Расчет_аналитики'!BA559,WeightedMinAge15),MAX(CapacityAge15*'01_Вводные'!$B$218*'19_Расчет_аналитики'!BA559,MeanMinAge15)))</f>
        <v/>
      </c>
      <c r="BB478">
        <f>IF(OR('19_Расчет_аналитики'!BB450=0,15&lt;='01_Вводные'!$B$297),0,'19_Расчет_аналитики'!BB450*IF('01_Вводные'!$B$239="Да",MeanMinAge15+'19_Расчет_аналитики'!BB559*SUMIF(ThresholdAge15,"&lt;"&amp;'19_Расчет_аналитики'!BB559,WeightedRevAge15)-SUMIF(ThresholdAge15,"&lt;"&amp;'19_Расчет_аналитики'!BB559,WeightedMinAge15),MAX(CapacityAge15*'01_Вводные'!$B$218*'19_Расчет_аналитики'!BB559,MeanMinAge15)))</f>
        <v/>
      </c>
      <c r="BC478">
        <f>IF(OR('19_Расчет_аналитики'!BC450=0,15&lt;='01_Вводные'!$B$297),0,'19_Расчет_аналитики'!BC450*IF('01_Вводные'!$B$239="Да",MeanMinAge15+'19_Расчет_аналитики'!BC559*SUMIF(ThresholdAge15,"&lt;"&amp;'19_Расчет_аналитики'!BC559,WeightedRevAge15)-SUMIF(ThresholdAge15,"&lt;"&amp;'19_Расчет_аналитики'!BC559,WeightedMinAge15),MAX(CapacityAge15*'01_Вводные'!$B$218*'19_Расчет_аналитики'!BC559,MeanMinAge15)))</f>
        <v/>
      </c>
      <c r="BD478">
        <f>IF(OR('19_Расчет_аналитики'!BD450=0,15&lt;='01_Вводные'!$B$297),0,'19_Расчет_аналитики'!BD450*IF('01_Вводные'!$B$239="Да",MeanMinAge15+'19_Расчет_аналитики'!BD559*SUMIF(ThresholdAge15,"&lt;"&amp;'19_Расчет_аналитики'!BD559,WeightedRevAge15)-SUMIF(ThresholdAge15,"&lt;"&amp;'19_Расчет_аналитики'!BD559,WeightedMinAge15),MAX(CapacityAge15*'01_Вводные'!$B$218*'19_Расчет_аналитики'!BD559,MeanMinAge15)))</f>
        <v/>
      </c>
      <c r="BE478">
        <f>IF(OR('19_Расчет_аналитики'!BE450=0,15&lt;='01_Вводные'!$B$297),0,'19_Расчет_аналитики'!BE450*IF('01_Вводные'!$B$239="Да",MeanMinAge15+'19_Расчет_аналитики'!BE559*SUMIF(ThresholdAge15,"&lt;"&amp;'19_Расчет_аналитики'!BE559,WeightedRevAge15)-SUMIF(ThresholdAge15,"&lt;"&amp;'19_Расчет_аналитики'!BE559,WeightedMinAge15),MAX(CapacityAge15*'01_Вводные'!$B$218*'19_Расчет_аналитики'!BE559,MeanMinAge15)))</f>
        <v/>
      </c>
      <c r="BF478">
        <f>IF(OR('19_Расчет_аналитики'!BF450=0,15&lt;='01_Вводные'!$B$297),0,'19_Расчет_аналитики'!BF450*IF('01_Вводные'!$B$239="Да",MeanMinAge15+'19_Расчет_аналитики'!BF559*SUMIF(ThresholdAge15,"&lt;"&amp;'19_Расчет_аналитики'!BF559,WeightedRevAge15)-SUMIF(ThresholdAge15,"&lt;"&amp;'19_Расчет_аналитики'!BF559,WeightedMinAge15),MAX(CapacityAge15*'01_Вводные'!$B$218*'19_Расчет_аналитики'!BF559,MeanMinAge15)))</f>
        <v/>
      </c>
      <c r="BG478">
        <f>IF(OR('19_Расчет_аналитики'!BG450=0,15&lt;='01_Вводные'!$B$297),0,'19_Расчет_аналитики'!BG450*IF('01_Вводные'!$B$239="Да",MeanMinAge15+'19_Расчет_аналитики'!BG559*SUMIF(ThresholdAge15,"&lt;"&amp;'19_Расчет_аналитики'!BG559,WeightedRevAge15)-SUMIF(ThresholdAge15,"&lt;"&amp;'19_Расчет_аналитики'!BG559,WeightedMinAge15),MAX(CapacityAge15*'01_Вводные'!$B$218*'19_Расчет_аналитики'!BG559,MeanMinAge15)))</f>
        <v/>
      </c>
      <c r="BH478">
        <f>IF(OR('19_Расчет_аналитики'!BH450=0,15&lt;='01_Вводные'!$B$297),0,'19_Расчет_аналитики'!BH450*IF('01_Вводные'!$B$239="Да",MeanMinAge15+'19_Расчет_аналитики'!BH559*SUMIF(ThresholdAge15,"&lt;"&amp;'19_Расчет_аналитики'!BH559,WeightedRevAge15)-SUMIF(ThresholdAge15,"&lt;"&amp;'19_Расчет_аналитики'!BH559,WeightedMinAge15),MAX(CapacityAge15*'01_Вводные'!$B$218*'19_Расчет_аналитики'!BH559,MeanMinAge15)))</f>
        <v/>
      </c>
      <c r="BI478">
        <f>IF(OR('19_Расчет_аналитики'!BI450=0,15&lt;='01_Вводные'!$B$297),0,'19_Расчет_аналитики'!BI450*IF('01_Вводные'!$B$239="Да",MeanMinAge15+'19_Расчет_аналитики'!BI559*SUMIF(ThresholdAge15,"&lt;"&amp;'19_Расчет_аналитики'!BI559,WeightedRevAge15)-SUMIF(ThresholdAge15,"&lt;"&amp;'19_Расчет_аналитики'!BI559,WeightedMinAge15),MAX(CapacityAge15*'01_Вводные'!$B$218*'19_Расчет_аналитики'!BI559,MeanMinAge15)))</f>
        <v/>
      </c>
      <c r="BJ478">
        <f>IF(OR('19_Расчет_аналитики'!BJ450=0,15&lt;='01_Вводные'!$B$297),0,'19_Расчет_аналитики'!BJ450*IF('01_Вводные'!$B$239="Да",MeanMinAge15+'19_Расчет_аналитики'!BJ559*SUMIF(ThresholdAge15,"&lt;"&amp;'19_Расчет_аналитики'!BJ559,WeightedRevAge15)-SUMIF(ThresholdAge15,"&lt;"&amp;'19_Расчет_аналитики'!BJ559,WeightedMinAge15),MAX(CapacityAge15*'01_Вводные'!$B$218*'19_Расчет_аналитики'!BJ559,MeanMinAge15)))</f>
        <v/>
      </c>
      <c r="BK478">
        <f>IF(OR('19_Расчет_аналитики'!BK450=0,15&lt;='01_Вводные'!$B$297),0,'19_Расчет_аналитики'!BK450*IF('01_Вводные'!$B$239="Да",MeanMinAge15+'19_Расчет_аналитики'!BK559*SUMIF(ThresholdAge15,"&lt;"&amp;'19_Расчет_аналитики'!BK559,WeightedRevAge15)-SUMIF(ThresholdAge15,"&lt;"&amp;'19_Расчет_аналитики'!BK559,WeightedMinAge15),MAX(CapacityAge15*'01_Вводные'!$B$218*'19_Расчет_аналитики'!BK559,MeanMinAge15)))</f>
        <v/>
      </c>
      <c r="BL478">
        <f>IF(OR('19_Расчет_аналитики'!BL450=0,15&lt;='01_Вводные'!$B$297),0,'19_Расчет_аналитики'!BL450*IF('01_Вводные'!$B$239="Да",MeanMinAge15+'19_Расчет_аналитики'!BL559*SUMIF(ThresholdAge15,"&lt;"&amp;'19_Расчет_аналитики'!BL559,WeightedRevAge15)-SUMIF(ThresholdAge15,"&lt;"&amp;'19_Расчет_аналитики'!BL559,WeightedMinAge15),MAX(CapacityAge15*'01_Вводные'!$B$218*'19_Расчет_аналитики'!BL559,MeanMinAge15)))</f>
        <v/>
      </c>
      <c r="BM478">
        <f>IF(OR('19_Расчет_аналитики'!BM450=0,15&lt;='01_Вводные'!$B$297),0,'19_Расчет_аналитики'!BM450*IF('01_Вводные'!$B$239="Да",MeanMinAge15+'19_Расчет_аналитики'!BM559*SUMIF(ThresholdAge15,"&lt;"&amp;'19_Расчет_аналитики'!BM559,WeightedRevAge15)-SUMIF(ThresholdAge15,"&lt;"&amp;'19_Расчет_аналитики'!BM559,WeightedMinAge15),MAX(CapacityAge15*'01_Вводные'!$B$218*'19_Расчет_аналитики'!BM559,MeanMinAge15)))</f>
        <v/>
      </c>
      <c r="BN478">
        <f>IF(OR('19_Расчет_аналитики'!BN450=0,15&lt;='01_Вводные'!$B$297),0,'19_Расчет_аналитики'!BN450*IF('01_Вводные'!$B$239="Да",MeanMinAge15+'19_Расчет_аналитики'!BN559*SUMIF(ThresholdAge15,"&lt;"&amp;'19_Расчет_аналитики'!BN559,WeightedRevAge15)-SUMIF(ThresholdAge15,"&lt;"&amp;'19_Расчет_аналитики'!BN559,WeightedMinAge15),MAX(CapacityAge15*'01_Вводные'!$B$218*'19_Расчет_аналитики'!BN559,MeanMinAge15)))</f>
        <v/>
      </c>
      <c r="BO478">
        <f>IF(OR('19_Расчет_аналитики'!BO450=0,15&lt;='01_Вводные'!$B$297),0,'19_Расчет_аналитики'!BO450*IF('01_Вводные'!$B$239="Да",MeanMinAge15+'19_Расчет_аналитики'!BO559*SUMIF(ThresholdAge15,"&lt;"&amp;'19_Расчет_аналитики'!BO559,WeightedRevAge15)-SUMIF(ThresholdAge15,"&lt;"&amp;'19_Расчет_аналитики'!BO559,WeightedMinAge15),MAX(CapacityAge15*'01_Вводные'!$B$218*'19_Расчет_аналитики'!BO559,MeanMinAge15)))</f>
        <v/>
      </c>
    </row>
    <row r="479">
      <c r="B479">
        <f>IF(OR('06_Сеть_и_дети'!B96=0,16&lt;='01_Вводные'!$B$297),0,'06_Сеть_и_дети'!B96*IF('01_Вводные'!$B$239="Да",MeanMinAge16+'19_Расчет_аналитики'!B559*SUMIF(ThresholdAge16,"&lt;"&amp;'19_Расчет_аналитики'!B559,WeightedRevAge16)-SUMIF(ThresholdAge16,"&lt;"&amp;'19_Расчет_аналитики'!B559,WeightedMinAge16),MAX(CapacityAge16*'01_Вводные'!$B$218*'19_Расчет_аналитики'!B559,MeanMinAge16)))</f>
        <v/>
      </c>
      <c r="C479">
        <f>IF(OR('06_Сеть_и_дети'!C96=0,16&lt;='01_Вводные'!$B$297),0,'06_Сеть_и_дети'!C96*IF('01_Вводные'!$B$239="Да",MeanMinAge16+'19_Расчет_аналитики'!C559*SUMIF(ThresholdAge16,"&lt;"&amp;'19_Расчет_аналитики'!C559,WeightedRevAge16)-SUMIF(ThresholdAge16,"&lt;"&amp;'19_Расчет_аналитики'!C559,WeightedMinAge16),MAX(CapacityAge16*'01_Вводные'!$B$218*'19_Расчет_аналитики'!C559,MeanMinAge16)))</f>
        <v/>
      </c>
      <c r="D479">
        <f>IF(OR('06_Сеть_и_дети'!D96=0,16&lt;='01_Вводные'!$B$297),0,'06_Сеть_и_дети'!D96*IF('01_Вводные'!$B$239="Да",MeanMinAge16+'19_Расчет_аналитики'!D559*SUMIF(ThresholdAge16,"&lt;"&amp;'19_Расчет_аналитики'!D559,WeightedRevAge16)-SUMIF(ThresholdAge16,"&lt;"&amp;'19_Расчет_аналитики'!D559,WeightedMinAge16),MAX(CapacityAge16*'01_Вводные'!$B$218*'19_Расчет_аналитики'!D559,MeanMinAge16)))</f>
        <v/>
      </c>
      <c r="E479">
        <f>IF(OR('06_Сеть_и_дети'!E96=0,16&lt;='01_Вводные'!$B$297),0,'06_Сеть_и_дети'!E96*IF('01_Вводные'!$B$239="Да",MeanMinAge16+'19_Расчет_аналитики'!E559*SUMIF(ThresholdAge16,"&lt;"&amp;'19_Расчет_аналитики'!E559,WeightedRevAge16)-SUMIF(ThresholdAge16,"&lt;"&amp;'19_Расчет_аналитики'!E559,WeightedMinAge16),MAX(CapacityAge16*'01_Вводные'!$B$218*'19_Расчет_аналитики'!E559,MeanMinAge16)))</f>
        <v/>
      </c>
      <c r="F479">
        <f>IF(OR('06_Сеть_и_дети'!F96=0,16&lt;='01_Вводные'!$B$297),0,'06_Сеть_и_дети'!F96*IF('01_Вводные'!$B$239="Да",MeanMinAge16+'19_Расчет_аналитики'!F559*SUMIF(ThresholdAge16,"&lt;"&amp;'19_Расчет_аналитики'!F559,WeightedRevAge16)-SUMIF(ThresholdAge16,"&lt;"&amp;'19_Расчет_аналитики'!F559,WeightedMinAge16),MAX(CapacityAge16*'01_Вводные'!$B$218*'19_Расчет_аналитики'!F559,MeanMinAge16)))</f>
        <v/>
      </c>
      <c r="G479">
        <f>IF(OR('06_Сеть_и_дети'!G96=0,16&lt;='01_Вводные'!$B$297),0,'06_Сеть_и_дети'!G96*IF('01_Вводные'!$B$239="Да",MeanMinAge16+'19_Расчет_аналитики'!G559*SUMIF(ThresholdAge16,"&lt;"&amp;'19_Расчет_аналитики'!G559,WeightedRevAge16)-SUMIF(ThresholdAge16,"&lt;"&amp;'19_Расчет_аналитики'!G559,WeightedMinAge16),MAX(CapacityAge16*'01_Вводные'!$B$218*'19_Расчет_аналитики'!G559,MeanMinAge16)))</f>
        <v/>
      </c>
      <c r="H479">
        <f>IF(OR('06_Сеть_и_дети'!H96=0,16&lt;='01_Вводные'!$B$297),0,'06_Сеть_и_дети'!H96*IF('01_Вводные'!$B$239="Да",MeanMinAge16+'19_Расчет_аналитики'!H559*SUMIF(ThresholdAge16,"&lt;"&amp;'19_Расчет_аналитики'!H559,WeightedRevAge16)-SUMIF(ThresholdAge16,"&lt;"&amp;'19_Расчет_аналитики'!H559,WeightedMinAge16),MAX(CapacityAge16*'01_Вводные'!$B$218*'19_Расчет_аналитики'!H559,MeanMinAge16)))</f>
        <v/>
      </c>
      <c r="I479">
        <f>IF(OR('06_Сеть_и_дети'!I96=0,16&lt;='01_Вводные'!$B$297),0,'06_Сеть_и_дети'!I96*IF('01_Вводные'!$B$239="Да",MeanMinAge16+'19_Расчет_аналитики'!I559*SUMIF(ThresholdAge16,"&lt;"&amp;'19_Расчет_аналитики'!I559,WeightedRevAge16)-SUMIF(ThresholdAge16,"&lt;"&amp;'19_Расчет_аналитики'!I559,WeightedMinAge16),MAX(CapacityAge16*'01_Вводные'!$B$218*'19_Расчет_аналитики'!I559,MeanMinAge16)))</f>
        <v/>
      </c>
      <c r="J479">
        <f>IF(OR('06_Сеть_и_дети'!J96=0,16&lt;='01_Вводные'!$B$297),0,'06_Сеть_и_дети'!J96*IF('01_Вводные'!$B$239="Да",MeanMinAge16+'19_Расчет_аналитики'!J559*SUMIF(ThresholdAge16,"&lt;"&amp;'19_Расчет_аналитики'!J559,WeightedRevAge16)-SUMIF(ThresholdAge16,"&lt;"&amp;'19_Расчет_аналитики'!J559,WeightedMinAge16),MAX(CapacityAge16*'01_Вводные'!$B$218*'19_Расчет_аналитики'!J559,MeanMinAge16)))</f>
        <v/>
      </c>
      <c r="K479">
        <f>IF(OR('06_Сеть_и_дети'!K96=0,16&lt;='01_Вводные'!$B$297),0,'06_Сеть_и_дети'!K96*IF('01_Вводные'!$B$239="Да",MeanMinAge16+'19_Расчет_аналитики'!K559*SUMIF(ThresholdAge16,"&lt;"&amp;'19_Расчет_аналитики'!K559,WeightedRevAge16)-SUMIF(ThresholdAge16,"&lt;"&amp;'19_Расчет_аналитики'!K559,WeightedMinAge16),MAX(CapacityAge16*'01_Вводные'!$B$218*'19_Расчет_аналитики'!K559,MeanMinAge16)))</f>
        <v/>
      </c>
      <c r="L479">
        <f>IF(OR('06_Сеть_и_дети'!L96=0,16&lt;='01_Вводные'!$B$297),0,'06_Сеть_и_дети'!L96*IF('01_Вводные'!$B$239="Да",MeanMinAge16+'19_Расчет_аналитики'!L559*SUMIF(ThresholdAge16,"&lt;"&amp;'19_Расчет_аналитики'!L559,WeightedRevAge16)-SUMIF(ThresholdAge16,"&lt;"&amp;'19_Расчет_аналитики'!L559,WeightedMinAge16),MAX(CapacityAge16*'01_Вводные'!$B$218*'19_Расчет_аналитики'!L559,MeanMinAge16)))</f>
        <v/>
      </c>
      <c r="M479">
        <f>IF(OR('06_Сеть_и_дети'!M96=0,16&lt;='01_Вводные'!$B$297),0,'06_Сеть_и_дети'!M96*IF('01_Вводные'!$B$239="Да",MeanMinAge16+'19_Расчет_аналитики'!M559*SUMIF(ThresholdAge16,"&lt;"&amp;'19_Расчет_аналитики'!M559,WeightedRevAge16)-SUMIF(ThresholdAge16,"&lt;"&amp;'19_Расчет_аналитики'!M559,WeightedMinAge16),MAX(CapacityAge16*'01_Вводные'!$B$218*'19_Расчет_аналитики'!M559,MeanMinAge16)))</f>
        <v/>
      </c>
      <c r="N479">
        <f>IF(OR('06_Сеть_и_дети'!N96=0,16&lt;='01_Вводные'!$B$297),0,'06_Сеть_и_дети'!N96*IF('01_Вводные'!$B$239="Да",MeanMinAge16+'19_Расчет_аналитики'!N559*SUMIF(ThresholdAge16,"&lt;"&amp;'19_Расчет_аналитики'!N559,WeightedRevAge16)-SUMIF(ThresholdAge16,"&lt;"&amp;'19_Расчет_аналитики'!N559,WeightedMinAge16),MAX(CapacityAge16*'01_Вводные'!$B$218*'19_Расчет_аналитики'!N559,MeanMinAge16)))</f>
        <v/>
      </c>
      <c r="O479">
        <f>IF(OR('06_Сеть_и_дети'!O96=0,16&lt;='01_Вводные'!$B$297),0,'06_Сеть_и_дети'!O96*IF('01_Вводные'!$B$239="Да",MeanMinAge16+'19_Расчет_аналитики'!O559*SUMIF(ThresholdAge16,"&lt;"&amp;'19_Расчет_аналитики'!O559,WeightedRevAge16)-SUMIF(ThresholdAge16,"&lt;"&amp;'19_Расчет_аналитики'!O559,WeightedMinAge16),MAX(CapacityAge16*'01_Вводные'!$B$218*'19_Расчет_аналитики'!O559,MeanMinAge16)))</f>
        <v/>
      </c>
      <c r="P479">
        <f>IF(OR('06_Сеть_и_дети'!P96=0,16&lt;='01_Вводные'!$B$297),0,'06_Сеть_и_дети'!P96*IF('01_Вводные'!$B$239="Да",MeanMinAge16+'19_Расчет_аналитики'!P559*SUMIF(ThresholdAge16,"&lt;"&amp;'19_Расчет_аналитики'!P559,WeightedRevAge16)-SUMIF(ThresholdAge16,"&lt;"&amp;'19_Расчет_аналитики'!P559,WeightedMinAge16),MAX(CapacityAge16*'01_Вводные'!$B$218*'19_Расчет_аналитики'!P559,MeanMinAge16)))</f>
        <v/>
      </c>
      <c r="Q479">
        <f>IF(OR('19_Расчет_аналитики'!Q451=0,16&lt;='01_Вводные'!$B$297),0,'19_Расчет_аналитики'!Q451*IF('01_Вводные'!$B$239="Да",MeanMinAge16+'19_Расчет_аналитики'!Q559*SUMIF(ThresholdAge16,"&lt;"&amp;'19_Расчет_аналитики'!Q559,WeightedRevAge16)-SUMIF(ThresholdAge16,"&lt;"&amp;'19_Расчет_аналитики'!Q559,WeightedMinAge16),MAX(CapacityAge16*'01_Вводные'!$B$218*'19_Расчет_аналитики'!Q559,MeanMinAge16)))</f>
        <v/>
      </c>
      <c r="R479">
        <f>IF(OR('19_Расчет_аналитики'!R451=0,16&lt;='01_Вводные'!$B$297),0,'19_Расчет_аналитики'!R451*IF('01_Вводные'!$B$239="Да",MeanMinAge16+'19_Расчет_аналитики'!R559*SUMIF(ThresholdAge16,"&lt;"&amp;'19_Расчет_аналитики'!R559,WeightedRevAge16)-SUMIF(ThresholdAge16,"&lt;"&amp;'19_Расчет_аналитики'!R559,WeightedMinAge16),MAX(CapacityAge16*'01_Вводные'!$B$218*'19_Расчет_аналитики'!R559,MeanMinAge16)))</f>
        <v/>
      </c>
      <c r="S479">
        <f>IF(OR('19_Расчет_аналитики'!S451=0,16&lt;='01_Вводные'!$B$297),0,'19_Расчет_аналитики'!S451*IF('01_Вводные'!$B$239="Да",MeanMinAge16+'19_Расчет_аналитики'!S559*SUMIF(ThresholdAge16,"&lt;"&amp;'19_Расчет_аналитики'!S559,WeightedRevAge16)-SUMIF(ThresholdAge16,"&lt;"&amp;'19_Расчет_аналитики'!S559,WeightedMinAge16),MAX(CapacityAge16*'01_Вводные'!$B$218*'19_Расчет_аналитики'!S559,MeanMinAge16)))</f>
        <v/>
      </c>
      <c r="T479">
        <f>IF(OR('19_Расчет_аналитики'!T451=0,16&lt;='01_Вводные'!$B$297),0,'19_Расчет_аналитики'!T451*IF('01_Вводные'!$B$239="Да",MeanMinAge16+'19_Расчет_аналитики'!T559*SUMIF(ThresholdAge16,"&lt;"&amp;'19_Расчет_аналитики'!T559,WeightedRevAge16)-SUMIF(ThresholdAge16,"&lt;"&amp;'19_Расчет_аналитики'!T559,WeightedMinAge16),MAX(CapacityAge16*'01_Вводные'!$B$218*'19_Расчет_аналитики'!T559,MeanMinAge16)))</f>
        <v/>
      </c>
      <c r="U479">
        <f>IF(OR('19_Расчет_аналитики'!U451=0,16&lt;='01_Вводные'!$B$297),0,'19_Расчет_аналитики'!U451*IF('01_Вводные'!$B$239="Да",MeanMinAge16+'19_Расчет_аналитики'!U559*SUMIF(ThresholdAge16,"&lt;"&amp;'19_Расчет_аналитики'!U559,WeightedRevAge16)-SUMIF(ThresholdAge16,"&lt;"&amp;'19_Расчет_аналитики'!U559,WeightedMinAge16),MAX(CapacityAge16*'01_Вводные'!$B$218*'19_Расчет_аналитики'!U559,MeanMinAge16)))</f>
        <v/>
      </c>
      <c r="V479">
        <f>IF(OR('19_Расчет_аналитики'!V451=0,16&lt;='01_Вводные'!$B$297),0,'19_Расчет_аналитики'!V451*IF('01_Вводные'!$B$239="Да",MeanMinAge16+'19_Расчет_аналитики'!V559*SUMIF(ThresholdAge16,"&lt;"&amp;'19_Расчет_аналитики'!V559,WeightedRevAge16)-SUMIF(ThresholdAge16,"&lt;"&amp;'19_Расчет_аналитики'!V559,WeightedMinAge16),MAX(CapacityAge16*'01_Вводные'!$B$218*'19_Расчет_аналитики'!V559,MeanMinAge16)))</f>
        <v/>
      </c>
      <c r="W479">
        <f>IF(OR('19_Расчет_аналитики'!W451=0,16&lt;='01_Вводные'!$B$297),0,'19_Расчет_аналитики'!W451*IF('01_Вводные'!$B$239="Да",MeanMinAge16+'19_Расчет_аналитики'!W559*SUMIF(ThresholdAge16,"&lt;"&amp;'19_Расчет_аналитики'!W559,WeightedRevAge16)-SUMIF(ThresholdAge16,"&lt;"&amp;'19_Расчет_аналитики'!W559,WeightedMinAge16),MAX(CapacityAge16*'01_Вводные'!$B$218*'19_Расчет_аналитики'!W559,MeanMinAge16)))</f>
        <v/>
      </c>
      <c r="X479">
        <f>IF(OR('19_Расчет_аналитики'!X451=0,16&lt;='01_Вводные'!$B$297),0,'19_Расчет_аналитики'!X451*IF('01_Вводные'!$B$239="Да",MeanMinAge16+'19_Расчет_аналитики'!X559*SUMIF(ThresholdAge16,"&lt;"&amp;'19_Расчет_аналитики'!X559,WeightedRevAge16)-SUMIF(ThresholdAge16,"&lt;"&amp;'19_Расчет_аналитики'!X559,WeightedMinAge16),MAX(CapacityAge16*'01_Вводные'!$B$218*'19_Расчет_аналитики'!X559,MeanMinAge16)))</f>
        <v/>
      </c>
      <c r="Y479">
        <f>IF(OR('19_Расчет_аналитики'!Y451=0,16&lt;='01_Вводные'!$B$297),0,'19_Расчет_аналитики'!Y451*IF('01_Вводные'!$B$239="Да",MeanMinAge16+'19_Расчет_аналитики'!Y559*SUMIF(ThresholdAge16,"&lt;"&amp;'19_Расчет_аналитики'!Y559,WeightedRevAge16)-SUMIF(ThresholdAge16,"&lt;"&amp;'19_Расчет_аналитики'!Y559,WeightedMinAge16),MAX(CapacityAge16*'01_Вводные'!$B$218*'19_Расчет_аналитики'!Y559,MeanMinAge16)))</f>
        <v/>
      </c>
      <c r="Z479">
        <f>IF(OR('19_Расчет_аналитики'!Z451=0,16&lt;='01_Вводные'!$B$297),0,'19_Расчет_аналитики'!Z451*IF('01_Вводные'!$B$239="Да",MeanMinAge16+'19_Расчет_аналитики'!Z559*SUMIF(ThresholdAge16,"&lt;"&amp;'19_Расчет_аналитики'!Z559,WeightedRevAge16)-SUMIF(ThresholdAge16,"&lt;"&amp;'19_Расчет_аналитики'!Z559,WeightedMinAge16),MAX(CapacityAge16*'01_Вводные'!$B$218*'19_Расчет_аналитики'!Z559,MeanMinAge16)))</f>
        <v/>
      </c>
      <c r="AA479">
        <f>IF(OR('19_Расчет_аналитики'!AA451=0,16&lt;='01_Вводные'!$B$297),0,'19_Расчет_аналитики'!AA451*IF('01_Вводные'!$B$239="Да",MeanMinAge16+'19_Расчет_аналитики'!AA559*SUMIF(ThresholdAge16,"&lt;"&amp;'19_Расчет_аналитики'!AA559,WeightedRevAge16)-SUMIF(ThresholdAge16,"&lt;"&amp;'19_Расчет_аналитики'!AA559,WeightedMinAge16),MAX(CapacityAge16*'01_Вводные'!$B$218*'19_Расчет_аналитики'!AA559,MeanMinAge16)))</f>
        <v/>
      </c>
      <c r="AB479">
        <f>IF(OR('19_Расчет_аналитики'!AB451=0,16&lt;='01_Вводные'!$B$297),0,'19_Расчет_аналитики'!AB451*IF('01_Вводные'!$B$239="Да",MeanMinAge16+'19_Расчет_аналитики'!AB559*SUMIF(ThresholdAge16,"&lt;"&amp;'19_Расчет_аналитики'!AB559,WeightedRevAge16)-SUMIF(ThresholdAge16,"&lt;"&amp;'19_Расчет_аналитики'!AB559,WeightedMinAge16),MAX(CapacityAge16*'01_Вводные'!$B$218*'19_Расчет_аналитики'!AB559,MeanMinAge16)))</f>
        <v/>
      </c>
      <c r="AC479">
        <f>IF(OR('19_Расчет_аналитики'!AC451=0,16&lt;='01_Вводные'!$B$297),0,'19_Расчет_аналитики'!AC451*IF('01_Вводные'!$B$239="Да",MeanMinAge16+'19_Расчет_аналитики'!AC559*SUMIF(ThresholdAge16,"&lt;"&amp;'19_Расчет_аналитики'!AC559,WeightedRevAge16)-SUMIF(ThresholdAge16,"&lt;"&amp;'19_Расчет_аналитики'!AC559,WeightedMinAge16),MAX(CapacityAge16*'01_Вводные'!$B$218*'19_Расчет_аналитики'!AC559,MeanMinAge16)))</f>
        <v/>
      </c>
      <c r="AD479">
        <f>IF(OR('19_Расчет_аналитики'!AD451=0,16&lt;='01_Вводные'!$B$297),0,'19_Расчет_аналитики'!AD451*IF('01_Вводные'!$B$239="Да",MeanMinAge16+'19_Расчет_аналитики'!AD559*SUMIF(ThresholdAge16,"&lt;"&amp;'19_Расчет_аналитики'!AD559,WeightedRevAge16)-SUMIF(ThresholdAge16,"&lt;"&amp;'19_Расчет_аналитики'!AD559,WeightedMinAge16),MAX(CapacityAge16*'01_Вводные'!$B$218*'19_Расчет_аналитики'!AD559,MeanMinAge16)))</f>
        <v/>
      </c>
      <c r="AE479">
        <f>IF(OR('19_Расчет_аналитики'!AE451=0,16&lt;='01_Вводные'!$B$297),0,'19_Расчет_аналитики'!AE451*IF('01_Вводные'!$B$239="Да",MeanMinAge16+'19_Расчет_аналитики'!AE559*SUMIF(ThresholdAge16,"&lt;"&amp;'19_Расчет_аналитики'!AE559,WeightedRevAge16)-SUMIF(ThresholdAge16,"&lt;"&amp;'19_Расчет_аналитики'!AE559,WeightedMinAge16),MAX(CapacityAge16*'01_Вводные'!$B$218*'19_Расчет_аналитики'!AE559,MeanMinAge16)))</f>
        <v/>
      </c>
      <c r="AF479">
        <f>IF(OR('19_Расчет_аналитики'!AF451=0,16&lt;='01_Вводные'!$B$297),0,'19_Расчет_аналитики'!AF451*IF('01_Вводные'!$B$239="Да",MeanMinAge16+'19_Расчет_аналитики'!AF559*SUMIF(ThresholdAge16,"&lt;"&amp;'19_Расчет_аналитики'!AF559,WeightedRevAge16)-SUMIF(ThresholdAge16,"&lt;"&amp;'19_Расчет_аналитики'!AF559,WeightedMinAge16),MAX(CapacityAge16*'01_Вводные'!$B$218*'19_Расчет_аналитики'!AF559,MeanMinAge16)))</f>
        <v/>
      </c>
      <c r="AG479">
        <f>IF(OR('19_Расчет_аналитики'!AG451=0,16&lt;='01_Вводные'!$B$297),0,'19_Расчет_аналитики'!AG451*IF('01_Вводные'!$B$239="Да",MeanMinAge16+'19_Расчет_аналитики'!AG559*SUMIF(ThresholdAge16,"&lt;"&amp;'19_Расчет_аналитики'!AG559,WeightedRevAge16)-SUMIF(ThresholdAge16,"&lt;"&amp;'19_Расчет_аналитики'!AG559,WeightedMinAge16),MAX(CapacityAge16*'01_Вводные'!$B$218*'19_Расчет_аналитики'!AG559,MeanMinAge16)))</f>
        <v/>
      </c>
      <c r="AH479">
        <f>IF(OR('19_Расчет_аналитики'!AH451=0,16&lt;='01_Вводные'!$B$297),0,'19_Расчет_аналитики'!AH451*IF('01_Вводные'!$B$239="Да",MeanMinAge16+'19_Расчет_аналитики'!AH559*SUMIF(ThresholdAge16,"&lt;"&amp;'19_Расчет_аналитики'!AH559,WeightedRevAge16)-SUMIF(ThresholdAge16,"&lt;"&amp;'19_Расчет_аналитики'!AH559,WeightedMinAge16),MAX(CapacityAge16*'01_Вводные'!$B$218*'19_Расчет_аналитики'!AH559,MeanMinAge16)))</f>
        <v/>
      </c>
      <c r="AI479">
        <f>IF(OR('19_Расчет_аналитики'!AI451=0,16&lt;='01_Вводные'!$B$297),0,'19_Расчет_аналитики'!AI451*IF('01_Вводные'!$B$239="Да",MeanMinAge16+'19_Расчет_аналитики'!AI559*SUMIF(ThresholdAge16,"&lt;"&amp;'19_Расчет_аналитики'!AI559,WeightedRevAge16)-SUMIF(ThresholdAge16,"&lt;"&amp;'19_Расчет_аналитики'!AI559,WeightedMinAge16),MAX(CapacityAge16*'01_Вводные'!$B$218*'19_Расчет_аналитики'!AI559,MeanMinAge16)))</f>
        <v/>
      </c>
      <c r="AJ479">
        <f>IF(OR('19_Расчет_аналитики'!AJ451=0,16&lt;='01_Вводные'!$B$297),0,'19_Расчет_аналитики'!AJ451*IF('01_Вводные'!$B$239="Да",MeanMinAge16+'19_Расчет_аналитики'!AJ559*SUMIF(ThresholdAge16,"&lt;"&amp;'19_Расчет_аналитики'!AJ559,WeightedRevAge16)-SUMIF(ThresholdAge16,"&lt;"&amp;'19_Расчет_аналитики'!AJ559,WeightedMinAge16),MAX(CapacityAge16*'01_Вводные'!$B$218*'19_Расчет_аналитики'!AJ559,MeanMinAge16)))</f>
        <v/>
      </c>
      <c r="AK479">
        <f>IF(OR('19_Расчет_аналитики'!AK451=0,16&lt;='01_Вводные'!$B$297),0,'19_Расчет_аналитики'!AK451*IF('01_Вводные'!$B$239="Да",MeanMinAge16+'19_Расчет_аналитики'!AK559*SUMIF(ThresholdAge16,"&lt;"&amp;'19_Расчет_аналитики'!AK559,WeightedRevAge16)-SUMIF(ThresholdAge16,"&lt;"&amp;'19_Расчет_аналитики'!AK559,WeightedMinAge16),MAX(CapacityAge16*'01_Вводные'!$B$218*'19_Расчет_аналитики'!AK559,MeanMinAge16)))</f>
        <v/>
      </c>
      <c r="AL479">
        <f>IF(OR('19_Расчет_аналитики'!AL451=0,16&lt;='01_Вводные'!$B$297),0,'19_Расчет_аналитики'!AL451*IF('01_Вводные'!$B$239="Да",MeanMinAge16+'19_Расчет_аналитики'!AL559*SUMIF(ThresholdAge16,"&lt;"&amp;'19_Расчет_аналитики'!AL559,WeightedRevAge16)-SUMIF(ThresholdAge16,"&lt;"&amp;'19_Расчет_аналитики'!AL559,WeightedMinAge16),MAX(CapacityAge16*'01_Вводные'!$B$218*'19_Расчет_аналитики'!AL559,MeanMinAge16)))</f>
        <v/>
      </c>
      <c r="AM479">
        <f>IF(OR('19_Расчет_аналитики'!AM451=0,16&lt;='01_Вводные'!$B$297),0,'19_Расчет_аналитики'!AM451*IF('01_Вводные'!$B$239="Да",MeanMinAge16+'19_Расчет_аналитики'!AM559*SUMIF(ThresholdAge16,"&lt;"&amp;'19_Расчет_аналитики'!AM559,WeightedRevAge16)-SUMIF(ThresholdAge16,"&lt;"&amp;'19_Расчет_аналитики'!AM559,WeightedMinAge16),MAX(CapacityAge16*'01_Вводные'!$B$218*'19_Расчет_аналитики'!AM559,MeanMinAge16)))</f>
        <v/>
      </c>
      <c r="AN479">
        <f>IF(OR('19_Расчет_аналитики'!AN451=0,16&lt;='01_Вводные'!$B$297),0,'19_Расчет_аналитики'!AN451*IF('01_Вводные'!$B$239="Да",MeanMinAge16+'19_Расчет_аналитики'!AN559*SUMIF(ThresholdAge16,"&lt;"&amp;'19_Расчет_аналитики'!AN559,WeightedRevAge16)-SUMIF(ThresholdAge16,"&lt;"&amp;'19_Расчет_аналитики'!AN559,WeightedMinAge16),MAX(CapacityAge16*'01_Вводные'!$B$218*'19_Расчет_аналитики'!AN559,MeanMinAge16)))</f>
        <v/>
      </c>
      <c r="AO479">
        <f>IF(OR('19_Расчет_аналитики'!AO451=0,16&lt;='01_Вводные'!$B$297),0,'19_Расчет_аналитики'!AO451*IF('01_Вводные'!$B$239="Да",MeanMinAge16+'19_Расчет_аналитики'!AO559*SUMIF(ThresholdAge16,"&lt;"&amp;'19_Расчет_аналитики'!AO559,WeightedRevAge16)-SUMIF(ThresholdAge16,"&lt;"&amp;'19_Расчет_аналитики'!AO559,WeightedMinAge16),MAX(CapacityAge16*'01_Вводные'!$B$218*'19_Расчет_аналитики'!AO559,MeanMinAge16)))</f>
        <v/>
      </c>
      <c r="AP479">
        <f>IF(OR('19_Расчет_аналитики'!AP451=0,16&lt;='01_Вводные'!$B$297),0,'19_Расчет_аналитики'!AP451*IF('01_Вводные'!$B$239="Да",MeanMinAge16+'19_Расчет_аналитики'!AP559*SUMIF(ThresholdAge16,"&lt;"&amp;'19_Расчет_аналитики'!AP559,WeightedRevAge16)-SUMIF(ThresholdAge16,"&lt;"&amp;'19_Расчет_аналитики'!AP559,WeightedMinAge16),MAX(CapacityAge16*'01_Вводные'!$B$218*'19_Расчет_аналитики'!AP559,MeanMinAge16)))</f>
        <v/>
      </c>
      <c r="AQ479">
        <f>IF(OR('19_Расчет_аналитики'!AQ451=0,16&lt;='01_Вводные'!$B$297),0,'19_Расчет_аналитики'!AQ451*IF('01_Вводные'!$B$239="Да",MeanMinAge16+'19_Расчет_аналитики'!AQ559*SUMIF(ThresholdAge16,"&lt;"&amp;'19_Расчет_аналитики'!AQ559,WeightedRevAge16)-SUMIF(ThresholdAge16,"&lt;"&amp;'19_Расчет_аналитики'!AQ559,WeightedMinAge16),MAX(CapacityAge16*'01_Вводные'!$B$218*'19_Расчет_аналитики'!AQ559,MeanMinAge16)))</f>
        <v/>
      </c>
      <c r="AR479">
        <f>IF(OR('19_Расчет_аналитики'!AR451=0,16&lt;='01_Вводные'!$B$297),0,'19_Расчет_аналитики'!AR451*IF('01_Вводные'!$B$239="Да",MeanMinAge16+'19_Расчет_аналитики'!AR559*SUMIF(ThresholdAge16,"&lt;"&amp;'19_Расчет_аналитики'!AR559,WeightedRevAge16)-SUMIF(ThresholdAge16,"&lt;"&amp;'19_Расчет_аналитики'!AR559,WeightedMinAge16),MAX(CapacityAge16*'01_Вводные'!$B$218*'19_Расчет_аналитики'!AR559,MeanMinAge16)))</f>
        <v/>
      </c>
      <c r="AS479">
        <f>IF(OR('19_Расчет_аналитики'!AS451=0,16&lt;='01_Вводные'!$B$297),0,'19_Расчет_аналитики'!AS451*IF('01_Вводные'!$B$239="Да",MeanMinAge16+'19_Расчет_аналитики'!AS559*SUMIF(ThresholdAge16,"&lt;"&amp;'19_Расчет_аналитики'!AS559,WeightedRevAge16)-SUMIF(ThresholdAge16,"&lt;"&amp;'19_Расчет_аналитики'!AS559,WeightedMinAge16),MAX(CapacityAge16*'01_Вводные'!$B$218*'19_Расчет_аналитики'!AS559,MeanMinAge16)))</f>
        <v/>
      </c>
      <c r="AT479">
        <f>IF(OR('19_Расчет_аналитики'!AT451=0,16&lt;='01_Вводные'!$B$297),0,'19_Расчет_аналитики'!AT451*IF('01_Вводные'!$B$239="Да",MeanMinAge16+'19_Расчет_аналитики'!AT559*SUMIF(ThresholdAge16,"&lt;"&amp;'19_Расчет_аналитики'!AT559,WeightedRevAge16)-SUMIF(ThresholdAge16,"&lt;"&amp;'19_Расчет_аналитики'!AT559,WeightedMinAge16),MAX(CapacityAge16*'01_Вводные'!$B$218*'19_Расчет_аналитики'!AT559,MeanMinAge16)))</f>
        <v/>
      </c>
      <c r="AU479">
        <f>IF(OR('19_Расчет_аналитики'!AU451=0,16&lt;='01_Вводные'!$B$297),0,'19_Расчет_аналитики'!AU451*IF('01_Вводные'!$B$239="Да",MeanMinAge16+'19_Расчет_аналитики'!AU559*SUMIF(ThresholdAge16,"&lt;"&amp;'19_Расчет_аналитики'!AU559,WeightedRevAge16)-SUMIF(ThresholdAge16,"&lt;"&amp;'19_Расчет_аналитики'!AU559,WeightedMinAge16),MAX(CapacityAge16*'01_Вводные'!$B$218*'19_Расчет_аналитики'!AU559,MeanMinAge16)))</f>
        <v/>
      </c>
      <c r="AV479">
        <f>IF(OR('19_Расчет_аналитики'!AV451=0,16&lt;='01_Вводные'!$B$297),0,'19_Расчет_аналитики'!AV451*IF('01_Вводные'!$B$239="Да",MeanMinAge16+'19_Расчет_аналитики'!AV559*SUMIF(ThresholdAge16,"&lt;"&amp;'19_Расчет_аналитики'!AV559,WeightedRevAge16)-SUMIF(ThresholdAge16,"&lt;"&amp;'19_Расчет_аналитики'!AV559,WeightedMinAge16),MAX(CapacityAge16*'01_Вводные'!$B$218*'19_Расчет_аналитики'!AV559,MeanMinAge16)))</f>
        <v/>
      </c>
      <c r="AW479">
        <f>IF(OR('19_Расчет_аналитики'!AW451=0,16&lt;='01_Вводные'!$B$297),0,'19_Расчет_аналитики'!AW451*IF('01_Вводные'!$B$239="Да",MeanMinAge16+'19_Расчет_аналитики'!AW559*SUMIF(ThresholdAge16,"&lt;"&amp;'19_Расчет_аналитики'!AW559,WeightedRevAge16)-SUMIF(ThresholdAge16,"&lt;"&amp;'19_Расчет_аналитики'!AW559,WeightedMinAge16),MAX(CapacityAge16*'01_Вводные'!$B$218*'19_Расчет_аналитики'!AW559,MeanMinAge16)))</f>
        <v/>
      </c>
      <c r="AX479">
        <f>IF(OR('19_Расчет_аналитики'!AX451=0,16&lt;='01_Вводные'!$B$297),0,'19_Расчет_аналитики'!AX451*IF('01_Вводные'!$B$239="Да",MeanMinAge16+'19_Расчет_аналитики'!AX559*SUMIF(ThresholdAge16,"&lt;"&amp;'19_Расчет_аналитики'!AX559,WeightedRevAge16)-SUMIF(ThresholdAge16,"&lt;"&amp;'19_Расчет_аналитики'!AX559,WeightedMinAge16),MAX(CapacityAge16*'01_Вводные'!$B$218*'19_Расчет_аналитики'!AX559,MeanMinAge16)))</f>
        <v/>
      </c>
      <c r="AY479">
        <f>IF(OR('19_Расчет_аналитики'!AY451=0,16&lt;='01_Вводные'!$B$297),0,'19_Расчет_аналитики'!AY451*IF('01_Вводные'!$B$239="Да",MeanMinAge16+'19_Расчет_аналитики'!AY559*SUMIF(ThresholdAge16,"&lt;"&amp;'19_Расчет_аналитики'!AY559,WeightedRevAge16)-SUMIF(ThresholdAge16,"&lt;"&amp;'19_Расчет_аналитики'!AY559,WeightedMinAge16),MAX(CapacityAge16*'01_Вводные'!$B$218*'19_Расчет_аналитики'!AY559,MeanMinAge16)))</f>
        <v/>
      </c>
      <c r="AZ479">
        <f>IF(OR('19_Расчет_аналитики'!AZ451=0,16&lt;='01_Вводные'!$B$297),0,'19_Расчет_аналитики'!AZ451*IF('01_Вводные'!$B$239="Да",MeanMinAge16+'19_Расчет_аналитики'!AZ559*SUMIF(ThresholdAge16,"&lt;"&amp;'19_Расчет_аналитики'!AZ559,WeightedRevAge16)-SUMIF(ThresholdAge16,"&lt;"&amp;'19_Расчет_аналитики'!AZ559,WeightedMinAge16),MAX(CapacityAge16*'01_Вводные'!$B$218*'19_Расчет_аналитики'!AZ559,MeanMinAge16)))</f>
        <v/>
      </c>
      <c r="BA479">
        <f>IF(OR('19_Расчет_аналитики'!BA451=0,16&lt;='01_Вводные'!$B$297),0,'19_Расчет_аналитики'!BA451*IF('01_Вводные'!$B$239="Да",MeanMinAge16+'19_Расчет_аналитики'!BA559*SUMIF(ThresholdAge16,"&lt;"&amp;'19_Расчет_аналитики'!BA559,WeightedRevAge16)-SUMIF(ThresholdAge16,"&lt;"&amp;'19_Расчет_аналитики'!BA559,WeightedMinAge16),MAX(CapacityAge16*'01_Вводные'!$B$218*'19_Расчет_аналитики'!BA559,MeanMinAge16)))</f>
        <v/>
      </c>
      <c r="BB479">
        <f>IF(OR('19_Расчет_аналитики'!BB451=0,16&lt;='01_Вводные'!$B$297),0,'19_Расчет_аналитики'!BB451*IF('01_Вводные'!$B$239="Да",MeanMinAge16+'19_Расчет_аналитики'!BB559*SUMIF(ThresholdAge16,"&lt;"&amp;'19_Расчет_аналитики'!BB559,WeightedRevAge16)-SUMIF(ThresholdAge16,"&lt;"&amp;'19_Расчет_аналитики'!BB559,WeightedMinAge16),MAX(CapacityAge16*'01_Вводные'!$B$218*'19_Расчет_аналитики'!BB559,MeanMinAge16)))</f>
        <v/>
      </c>
      <c r="BC479">
        <f>IF(OR('19_Расчет_аналитики'!BC451=0,16&lt;='01_Вводные'!$B$297),0,'19_Расчет_аналитики'!BC451*IF('01_Вводные'!$B$239="Да",MeanMinAge16+'19_Расчет_аналитики'!BC559*SUMIF(ThresholdAge16,"&lt;"&amp;'19_Расчет_аналитики'!BC559,WeightedRevAge16)-SUMIF(ThresholdAge16,"&lt;"&amp;'19_Расчет_аналитики'!BC559,WeightedMinAge16),MAX(CapacityAge16*'01_Вводные'!$B$218*'19_Расчет_аналитики'!BC559,MeanMinAge16)))</f>
        <v/>
      </c>
      <c r="BD479">
        <f>IF(OR('19_Расчет_аналитики'!BD451=0,16&lt;='01_Вводные'!$B$297),0,'19_Расчет_аналитики'!BD451*IF('01_Вводные'!$B$239="Да",MeanMinAge16+'19_Расчет_аналитики'!BD559*SUMIF(ThresholdAge16,"&lt;"&amp;'19_Расчет_аналитики'!BD559,WeightedRevAge16)-SUMIF(ThresholdAge16,"&lt;"&amp;'19_Расчет_аналитики'!BD559,WeightedMinAge16),MAX(CapacityAge16*'01_Вводные'!$B$218*'19_Расчет_аналитики'!BD559,MeanMinAge16)))</f>
        <v/>
      </c>
      <c r="BE479">
        <f>IF(OR('19_Расчет_аналитики'!BE451=0,16&lt;='01_Вводные'!$B$297),0,'19_Расчет_аналитики'!BE451*IF('01_Вводные'!$B$239="Да",MeanMinAge16+'19_Расчет_аналитики'!BE559*SUMIF(ThresholdAge16,"&lt;"&amp;'19_Расчет_аналитики'!BE559,WeightedRevAge16)-SUMIF(ThresholdAge16,"&lt;"&amp;'19_Расчет_аналитики'!BE559,WeightedMinAge16),MAX(CapacityAge16*'01_Вводные'!$B$218*'19_Расчет_аналитики'!BE559,MeanMinAge16)))</f>
        <v/>
      </c>
      <c r="BF479">
        <f>IF(OR('19_Расчет_аналитики'!BF451=0,16&lt;='01_Вводные'!$B$297),0,'19_Расчет_аналитики'!BF451*IF('01_Вводные'!$B$239="Да",MeanMinAge16+'19_Расчет_аналитики'!BF559*SUMIF(ThresholdAge16,"&lt;"&amp;'19_Расчет_аналитики'!BF559,WeightedRevAge16)-SUMIF(ThresholdAge16,"&lt;"&amp;'19_Расчет_аналитики'!BF559,WeightedMinAge16),MAX(CapacityAge16*'01_Вводные'!$B$218*'19_Расчет_аналитики'!BF559,MeanMinAge16)))</f>
        <v/>
      </c>
      <c r="BG479">
        <f>IF(OR('19_Расчет_аналитики'!BG451=0,16&lt;='01_Вводные'!$B$297),0,'19_Расчет_аналитики'!BG451*IF('01_Вводные'!$B$239="Да",MeanMinAge16+'19_Расчет_аналитики'!BG559*SUMIF(ThresholdAge16,"&lt;"&amp;'19_Расчет_аналитики'!BG559,WeightedRevAge16)-SUMIF(ThresholdAge16,"&lt;"&amp;'19_Расчет_аналитики'!BG559,WeightedMinAge16),MAX(CapacityAge16*'01_Вводные'!$B$218*'19_Расчет_аналитики'!BG559,MeanMinAge16)))</f>
        <v/>
      </c>
      <c r="BH479">
        <f>IF(OR('19_Расчет_аналитики'!BH451=0,16&lt;='01_Вводные'!$B$297),0,'19_Расчет_аналитики'!BH451*IF('01_Вводные'!$B$239="Да",MeanMinAge16+'19_Расчет_аналитики'!BH559*SUMIF(ThresholdAge16,"&lt;"&amp;'19_Расчет_аналитики'!BH559,WeightedRevAge16)-SUMIF(ThresholdAge16,"&lt;"&amp;'19_Расчет_аналитики'!BH559,WeightedMinAge16),MAX(CapacityAge16*'01_Вводные'!$B$218*'19_Расчет_аналитики'!BH559,MeanMinAge16)))</f>
        <v/>
      </c>
      <c r="BI479">
        <f>IF(OR('19_Расчет_аналитики'!BI451=0,16&lt;='01_Вводные'!$B$297),0,'19_Расчет_аналитики'!BI451*IF('01_Вводные'!$B$239="Да",MeanMinAge16+'19_Расчет_аналитики'!BI559*SUMIF(ThresholdAge16,"&lt;"&amp;'19_Расчет_аналитики'!BI559,WeightedRevAge16)-SUMIF(ThresholdAge16,"&lt;"&amp;'19_Расчет_аналитики'!BI559,WeightedMinAge16),MAX(CapacityAge16*'01_Вводные'!$B$218*'19_Расчет_аналитики'!BI559,MeanMinAge16)))</f>
        <v/>
      </c>
      <c r="BJ479">
        <f>IF(OR('19_Расчет_аналитики'!BJ451=0,16&lt;='01_Вводные'!$B$297),0,'19_Расчет_аналитики'!BJ451*IF('01_Вводные'!$B$239="Да",MeanMinAge16+'19_Расчет_аналитики'!BJ559*SUMIF(ThresholdAge16,"&lt;"&amp;'19_Расчет_аналитики'!BJ559,WeightedRevAge16)-SUMIF(ThresholdAge16,"&lt;"&amp;'19_Расчет_аналитики'!BJ559,WeightedMinAge16),MAX(CapacityAge16*'01_Вводные'!$B$218*'19_Расчет_аналитики'!BJ559,MeanMinAge16)))</f>
        <v/>
      </c>
      <c r="BK479">
        <f>IF(OR('19_Расчет_аналитики'!BK451=0,16&lt;='01_Вводные'!$B$297),0,'19_Расчет_аналитики'!BK451*IF('01_Вводные'!$B$239="Да",MeanMinAge16+'19_Расчет_аналитики'!BK559*SUMIF(ThresholdAge16,"&lt;"&amp;'19_Расчет_аналитики'!BK559,WeightedRevAge16)-SUMIF(ThresholdAge16,"&lt;"&amp;'19_Расчет_аналитики'!BK559,WeightedMinAge16),MAX(CapacityAge16*'01_Вводные'!$B$218*'19_Расчет_аналитики'!BK559,MeanMinAge16)))</f>
        <v/>
      </c>
      <c r="BL479">
        <f>IF(OR('19_Расчет_аналитики'!BL451=0,16&lt;='01_Вводные'!$B$297),0,'19_Расчет_аналитики'!BL451*IF('01_Вводные'!$B$239="Да",MeanMinAge16+'19_Расчет_аналитики'!BL559*SUMIF(ThresholdAge16,"&lt;"&amp;'19_Расчет_аналитики'!BL559,WeightedRevAge16)-SUMIF(ThresholdAge16,"&lt;"&amp;'19_Расчет_аналитики'!BL559,WeightedMinAge16),MAX(CapacityAge16*'01_Вводные'!$B$218*'19_Расчет_аналитики'!BL559,MeanMinAge16)))</f>
        <v/>
      </c>
      <c r="BM479">
        <f>IF(OR('19_Расчет_аналитики'!BM451=0,16&lt;='01_Вводные'!$B$297),0,'19_Расчет_аналитики'!BM451*IF('01_Вводные'!$B$239="Да",MeanMinAge16+'19_Расчет_аналитики'!BM559*SUMIF(ThresholdAge16,"&lt;"&amp;'19_Расчет_аналитики'!BM559,WeightedRevAge16)-SUMIF(ThresholdAge16,"&lt;"&amp;'19_Расчет_аналитики'!BM559,WeightedMinAge16),MAX(CapacityAge16*'01_Вводные'!$B$218*'19_Расчет_аналитики'!BM559,MeanMinAge16)))</f>
        <v/>
      </c>
      <c r="BN479">
        <f>IF(OR('19_Расчет_аналитики'!BN451=0,16&lt;='01_Вводные'!$B$297),0,'19_Расчет_аналитики'!BN451*IF('01_Вводные'!$B$239="Да",MeanMinAge16+'19_Расчет_аналитики'!BN559*SUMIF(ThresholdAge16,"&lt;"&amp;'19_Расчет_аналитики'!BN559,WeightedRevAge16)-SUMIF(ThresholdAge16,"&lt;"&amp;'19_Расчет_аналитики'!BN559,WeightedMinAge16),MAX(CapacityAge16*'01_Вводные'!$B$218*'19_Расчет_аналитики'!BN559,MeanMinAge16)))</f>
        <v/>
      </c>
      <c r="BO479">
        <f>IF(OR('19_Расчет_аналитики'!BO451=0,16&lt;='01_Вводные'!$B$297),0,'19_Расчет_аналитики'!BO451*IF('01_Вводные'!$B$239="Да",MeanMinAge16+'19_Расчет_аналитики'!BO559*SUMIF(ThresholdAge16,"&lt;"&amp;'19_Расчет_аналитики'!BO559,WeightedRevAge16)-SUMIF(ThresholdAge16,"&lt;"&amp;'19_Расчет_аналитики'!BO559,WeightedMinAge16),MAX(CapacityAge16*'01_Вводные'!$B$218*'19_Расчет_аналитики'!BO559,MeanMinAge16)))</f>
        <v/>
      </c>
    </row>
    <row r="480">
      <c r="B480">
        <f>IF(OR('06_Сеть_и_дети'!B97=0,17&lt;='01_Вводные'!$B$297),0,'06_Сеть_и_дети'!B97*IF('01_Вводные'!$B$239="Да",MeanMinAge17+'19_Расчет_аналитики'!B559*SUMIF(ThresholdAge17,"&lt;"&amp;'19_Расчет_аналитики'!B559,WeightedRevAge17)-SUMIF(ThresholdAge17,"&lt;"&amp;'19_Расчет_аналитики'!B559,WeightedMinAge17),MAX(CapacityAge17*'01_Вводные'!$B$218*'19_Расчет_аналитики'!B559,MeanMinAge17)))</f>
        <v/>
      </c>
      <c r="C480">
        <f>IF(OR('06_Сеть_и_дети'!C97=0,17&lt;='01_Вводные'!$B$297),0,'06_Сеть_и_дети'!C97*IF('01_Вводные'!$B$239="Да",MeanMinAge17+'19_Расчет_аналитики'!C559*SUMIF(ThresholdAge17,"&lt;"&amp;'19_Расчет_аналитики'!C559,WeightedRevAge17)-SUMIF(ThresholdAge17,"&lt;"&amp;'19_Расчет_аналитики'!C559,WeightedMinAge17),MAX(CapacityAge17*'01_Вводные'!$B$218*'19_Расчет_аналитики'!C559,MeanMinAge17)))</f>
        <v/>
      </c>
      <c r="D480">
        <f>IF(OR('06_Сеть_и_дети'!D97=0,17&lt;='01_Вводные'!$B$297),0,'06_Сеть_и_дети'!D97*IF('01_Вводные'!$B$239="Да",MeanMinAge17+'19_Расчет_аналитики'!D559*SUMIF(ThresholdAge17,"&lt;"&amp;'19_Расчет_аналитики'!D559,WeightedRevAge17)-SUMIF(ThresholdAge17,"&lt;"&amp;'19_Расчет_аналитики'!D559,WeightedMinAge17),MAX(CapacityAge17*'01_Вводные'!$B$218*'19_Расчет_аналитики'!D559,MeanMinAge17)))</f>
        <v/>
      </c>
      <c r="E480">
        <f>IF(OR('06_Сеть_и_дети'!E97=0,17&lt;='01_Вводные'!$B$297),0,'06_Сеть_и_дети'!E97*IF('01_Вводные'!$B$239="Да",MeanMinAge17+'19_Расчет_аналитики'!E559*SUMIF(ThresholdAge17,"&lt;"&amp;'19_Расчет_аналитики'!E559,WeightedRevAge17)-SUMIF(ThresholdAge17,"&lt;"&amp;'19_Расчет_аналитики'!E559,WeightedMinAge17),MAX(CapacityAge17*'01_Вводные'!$B$218*'19_Расчет_аналитики'!E559,MeanMinAge17)))</f>
        <v/>
      </c>
      <c r="F480">
        <f>IF(OR('06_Сеть_и_дети'!F97=0,17&lt;='01_Вводные'!$B$297),0,'06_Сеть_и_дети'!F97*IF('01_Вводные'!$B$239="Да",MeanMinAge17+'19_Расчет_аналитики'!F559*SUMIF(ThresholdAge17,"&lt;"&amp;'19_Расчет_аналитики'!F559,WeightedRevAge17)-SUMIF(ThresholdAge17,"&lt;"&amp;'19_Расчет_аналитики'!F559,WeightedMinAge17),MAX(CapacityAge17*'01_Вводные'!$B$218*'19_Расчет_аналитики'!F559,MeanMinAge17)))</f>
        <v/>
      </c>
      <c r="G480">
        <f>IF(OR('06_Сеть_и_дети'!G97=0,17&lt;='01_Вводные'!$B$297),0,'06_Сеть_и_дети'!G97*IF('01_Вводные'!$B$239="Да",MeanMinAge17+'19_Расчет_аналитики'!G559*SUMIF(ThresholdAge17,"&lt;"&amp;'19_Расчет_аналитики'!G559,WeightedRevAge17)-SUMIF(ThresholdAge17,"&lt;"&amp;'19_Расчет_аналитики'!G559,WeightedMinAge17),MAX(CapacityAge17*'01_Вводные'!$B$218*'19_Расчет_аналитики'!G559,MeanMinAge17)))</f>
        <v/>
      </c>
      <c r="H480">
        <f>IF(OR('06_Сеть_и_дети'!H97=0,17&lt;='01_Вводные'!$B$297),0,'06_Сеть_и_дети'!H97*IF('01_Вводные'!$B$239="Да",MeanMinAge17+'19_Расчет_аналитики'!H559*SUMIF(ThresholdAge17,"&lt;"&amp;'19_Расчет_аналитики'!H559,WeightedRevAge17)-SUMIF(ThresholdAge17,"&lt;"&amp;'19_Расчет_аналитики'!H559,WeightedMinAge17),MAX(CapacityAge17*'01_Вводные'!$B$218*'19_Расчет_аналитики'!H559,MeanMinAge17)))</f>
        <v/>
      </c>
      <c r="I480">
        <f>IF(OR('06_Сеть_и_дети'!I97=0,17&lt;='01_Вводные'!$B$297),0,'06_Сеть_и_дети'!I97*IF('01_Вводные'!$B$239="Да",MeanMinAge17+'19_Расчет_аналитики'!I559*SUMIF(ThresholdAge17,"&lt;"&amp;'19_Расчет_аналитики'!I559,WeightedRevAge17)-SUMIF(ThresholdAge17,"&lt;"&amp;'19_Расчет_аналитики'!I559,WeightedMinAge17),MAX(CapacityAge17*'01_Вводные'!$B$218*'19_Расчет_аналитики'!I559,MeanMinAge17)))</f>
        <v/>
      </c>
      <c r="J480">
        <f>IF(OR('06_Сеть_и_дети'!J97=0,17&lt;='01_Вводные'!$B$297),0,'06_Сеть_и_дети'!J97*IF('01_Вводные'!$B$239="Да",MeanMinAge17+'19_Расчет_аналитики'!J559*SUMIF(ThresholdAge17,"&lt;"&amp;'19_Расчет_аналитики'!J559,WeightedRevAge17)-SUMIF(ThresholdAge17,"&lt;"&amp;'19_Расчет_аналитики'!J559,WeightedMinAge17),MAX(CapacityAge17*'01_Вводные'!$B$218*'19_Расчет_аналитики'!J559,MeanMinAge17)))</f>
        <v/>
      </c>
      <c r="K480">
        <f>IF(OR('06_Сеть_и_дети'!K97=0,17&lt;='01_Вводные'!$B$297),0,'06_Сеть_и_дети'!K97*IF('01_Вводные'!$B$239="Да",MeanMinAge17+'19_Расчет_аналитики'!K559*SUMIF(ThresholdAge17,"&lt;"&amp;'19_Расчет_аналитики'!K559,WeightedRevAge17)-SUMIF(ThresholdAge17,"&lt;"&amp;'19_Расчет_аналитики'!K559,WeightedMinAge17),MAX(CapacityAge17*'01_Вводные'!$B$218*'19_Расчет_аналитики'!K559,MeanMinAge17)))</f>
        <v/>
      </c>
      <c r="L480">
        <f>IF(OR('06_Сеть_и_дети'!L97=0,17&lt;='01_Вводные'!$B$297),0,'06_Сеть_и_дети'!L97*IF('01_Вводные'!$B$239="Да",MeanMinAge17+'19_Расчет_аналитики'!L559*SUMIF(ThresholdAge17,"&lt;"&amp;'19_Расчет_аналитики'!L559,WeightedRevAge17)-SUMIF(ThresholdAge17,"&lt;"&amp;'19_Расчет_аналитики'!L559,WeightedMinAge17),MAX(CapacityAge17*'01_Вводные'!$B$218*'19_Расчет_аналитики'!L559,MeanMinAge17)))</f>
        <v/>
      </c>
      <c r="M480">
        <f>IF(OR('06_Сеть_и_дети'!M97=0,17&lt;='01_Вводные'!$B$297),0,'06_Сеть_и_дети'!M97*IF('01_Вводные'!$B$239="Да",MeanMinAge17+'19_Расчет_аналитики'!M559*SUMIF(ThresholdAge17,"&lt;"&amp;'19_Расчет_аналитики'!M559,WeightedRevAge17)-SUMIF(ThresholdAge17,"&lt;"&amp;'19_Расчет_аналитики'!M559,WeightedMinAge17),MAX(CapacityAge17*'01_Вводные'!$B$218*'19_Расчет_аналитики'!M559,MeanMinAge17)))</f>
        <v/>
      </c>
      <c r="N480">
        <f>IF(OR('06_Сеть_и_дети'!N97=0,17&lt;='01_Вводные'!$B$297),0,'06_Сеть_и_дети'!N97*IF('01_Вводные'!$B$239="Да",MeanMinAge17+'19_Расчет_аналитики'!N559*SUMIF(ThresholdAge17,"&lt;"&amp;'19_Расчет_аналитики'!N559,WeightedRevAge17)-SUMIF(ThresholdAge17,"&lt;"&amp;'19_Расчет_аналитики'!N559,WeightedMinAge17),MAX(CapacityAge17*'01_Вводные'!$B$218*'19_Расчет_аналитики'!N559,MeanMinAge17)))</f>
        <v/>
      </c>
      <c r="O480">
        <f>IF(OR('06_Сеть_и_дети'!O97=0,17&lt;='01_Вводные'!$B$297),0,'06_Сеть_и_дети'!O97*IF('01_Вводные'!$B$239="Да",MeanMinAge17+'19_Расчет_аналитики'!O559*SUMIF(ThresholdAge17,"&lt;"&amp;'19_Расчет_аналитики'!O559,WeightedRevAge17)-SUMIF(ThresholdAge17,"&lt;"&amp;'19_Расчет_аналитики'!O559,WeightedMinAge17),MAX(CapacityAge17*'01_Вводные'!$B$218*'19_Расчет_аналитики'!O559,MeanMinAge17)))</f>
        <v/>
      </c>
      <c r="P480">
        <f>IF(OR('06_Сеть_и_дети'!P97=0,17&lt;='01_Вводные'!$B$297),0,'06_Сеть_и_дети'!P97*IF('01_Вводные'!$B$239="Да",MeanMinAge17+'19_Расчет_аналитики'!P559*SUMIF(ThresholdAge17,"&lt;"&amp;'19_Расчет_аналитики'!P559,WeightedRevAge17)-SUMIF(ThresholdAge17,"&lt;"&amp;'19_Расчет_аналитики'!P559,WeightedMinAge17),MAX(CapacityAge17*'01_Вводные'!$B$218*'19_Расчет_аналитики'!P559,MeanMinAge17)))</f>
        <v/>
      </c>
      <c r="Q480">
        <f>IF(OR('06_Сеть_и_дети'!Q97=0,17&lt;='01_Вводные'!$B$297),0,'06_Сеть_и_дети'!Q97*IF('01_Вводные'!$B$239="Да",MeanMinAge17+'19_Расчет_аналитики'!Q559*SUMIF(ThresholdAge17,"&lt;"&amp;'19_Расчет_аналитики'!Q559,WeightedRevAge17)-SUMIF(ThresholdAge17,"&lt;"&amp;'19_Расчет_аналитики'!Q559,WeightedMinAge17),MAX(CapacityAge17*'01_Вводные'!$B$218*'19_Расчет_аналитики'!Q559,MeanMinAge17)))</f>
        <v/>
      </c>
      <c r="R480">
        <f>IF(OR('19_Расчет_аналитики'!R452=0,17&lt;='01_Вводные'!$B$297),0,'19_Расчет_аналитики'!R452*IF('01_Вводные'!$B$239="Да",MeanMinAge17+'19_Расчет_аналитики'!R559*SUMIF(ThresholdAge17,"&lt;"&amp;'19_Расчет_аналитики'!R559,WeightedRevAge17)-SUMIF(ThresholdAge17,"&lt;"&amp;'19_Расчет_аналитики'!R559,WeightedMinAge17),MAX(CapacityAge17*'01_Вводные'!$B$218*'19_Расчет_аналитики'!R559,MeanMinAge17)))</f>
        <v/>
      </c>
      <c r="S480">
        <f>IF(OR('19_Расчет_аналитики'!S452=0,17&lt;='01_Вводные'!$B$297),0,'19_Расчет_аналитики'!S452*IF('01_Вводные'!$B$239="Да",MeanMinAge17+'19_Расчет_аналитики'!S559*SUMIF(ThresholdAge17,"&lt;"&amp;'19_Расчет_аналитики'!S559,WeightedRevAge17)-SUMIF(ThresholdAge17,"&lt;"&amp;'19_Расчет_аналитики'!S559,WeightedMinAge17),MAX(CapacityAge17*'01_Вводные'!$B$218*'19_Расчет_аналитики'!S559,MeanMinAge17)))</f>
        <v/>
      </c>
      <c r="T480">
        <f>IF(OR('19_Расчет_аналитики'!T452=0,17&lt;='01_Вводные'!$B$297),0,'19_Расчет_аналитики'!T452*IF('01_Вводные'!$B$239="Да",MeanMinAge17+'19_Расчет_аналитики'!T559*SUMIF(ThresholdAge17,"&lt;"&amp;'19_Расчет_аналитики'!T559,WeightedRevAge17)-SUMIF(ThresholdAge17,"&lt;"&amp;'19_Расчет_аналитики'!T559,WeightedMinAge17),MAX(CapacityAge17*'01_Вводные'!$B$218*'19_Расчет_аналитики'!T559,MeanMinAge17)))</f>
        <v/>
      </c>
      <c r="U480">
        <f>IF(OR('19_Расчет_аналитики'!U452=0,17&lt;='01_Вводные'!$B$297),0,'19_Расчет_аналитики'!U452*IF('01_Вводные'!$B$239="Да",MeanMinAge17+'19_Расчет_аналитики'!U559*SUMIF(ThresholdAge17,"&lt;"&amp;'19_Расчет_аналитики'!U559,WeightedRevAge17)-SUMIF(ThresholdAge17,"&lt;"&amp;'19_Расчет_аналитики'!U559,WeightedMinAge17),MAX(CapacityAge17*'01_Вводные'!$B$218*'19_Расчет_аналитики'!U559,MeanMinAge17)))</f>
        <v/>
      </c>
      <c r="V480">
        <f>IF(OR('19_Расчет_аналитики'!V452=0,17&lt;='01_Вводные'!$B$297),0,'19_Расчет_аналитики'!V452*IF('01_Вводные'!$B$239="Да",MeanMinAge17+'19_Расчет_аналитики'!V559*SUMIF(ThresholdAge17,"&lt;"&amp;'19_Расчет_аналитики'!V559,WeightedRevAge17)-SUMIF(ThresholdAge17,"&lt;"&amp;'19_Расчет_аналитики'!V559,WeightedMinAge17),MAX(CapacityAge17*'01_Вводные'!$B$218*'19_Расчет_аналитики'!V559,MeanMinAge17)))</f>
        <v/>
      </c>
      <c r="W480">
        <f>IF(OR('19_Расчет_аналитики'!W452=0,17&lt;='01_Вводные'!$B$297),0,'19_Расчет_аналитики'!W452*IF('01_Вводные'!$B$239="Да",MeanMinAge17+'19_Расчет_аналитики'!W559*SUMIF(ThresholdAge17,"&lt;"&amp;'19_Расчет_аналитики'!W559,WeightedRevAge17)-SUMIF(ThresholdAge17,"&lt;"&amp;'19_Расчет_аналитики'!W559,WeightedMinAge17),MAX(CapacityAge17*'01_Вводные'!$B$218*'19_Расчет_аналитики'!W559,MeanMinAge17)))</f>
        <v/>
      </c>
      <c r="X480">
        <f>IF(OR('19_Расчет_аналитики'!X452=0,17&lt;='01_Вводные'!$B$297),0,'19_Расчет_аналитики'!X452*IF('01_Вводные'!$B$239="Да",MeanMinAge17+'19_Расчет_аналитики'!X559*SUMIF(ThresholdAge17,"&lt;"&amp;'19_Расчет_аналитики'!X559,WeightedRevAge17)-SUMIF(ThresholdAge17,"&lt;"&amp;'19_Расчет_аналитики'!X559,WeightedMinAge17),MAX(CapacityAge17*'01_Вводные'!$B$218*'19_Расчет_аналитики'!X559,MeanMinAge17)))</f>
        <v/>
      </c>
      <c r="Y480">
        <f>IF(OR('19_Расчет_аналитики'!Y452=0,17&lt;='01_Вводные'!$B$297),0,'19_Расчет_аналитики'!Y452*IF('01_Вводные'!$B$239="Да",MeanMinAge17+'19_Расчет_аналитики'!Y559*SUMIF(ThresholdAge17,"&lt;"&amp;'19_Расчет_аналитики'!Y559,WeightedRevAge17)-SUMIF(ThresholdAge17,"&lt;"&amp;'19_Расчет_аналитики'!Y559,WeightedMinAge17),MAX(CapacityAge17*'01_Вводные'!$B$218*'19_Расчет_аналитики'!Y559,MeanMinAge17)))</f>
        <v/>
      </c>
      <c r="Z480">
        <f>IF(OR('19_Расчет_аналитики'!Z452=0,17&lt;='01_Вводные'!$B$297),0,'19_Расчет_аналитики'!Z452*IF('01_Вводные'!$B$239="Да",MeanMinAge17+'19_Расчет_аналитики'!Z559*SUMIF(ThresholdAge17,"&lt;"&amp;'19_Расчет_аналитики'!Z559,WeightedRevAge17)-SUMIF(ThresholdAge17,"&lt;"&amp;'19_Расчет_аналитики'!Z559,WeightedMinAge17),MAX(CapacityAge17*'01_Вводные'!$B$218*'19_Расчет_аналитики'!Z559,MeanMinAge17)))</f>
        <v/>
      </c>
      <c r="AA480">
        <f>IF(OR('19_Расчет_аналитики'!AA452=0,17&lt;='01_Вводные'!$B$297),0,'19_Расчет_аналитики'!AA452*IF('01_Вводные'!$B$239="Да",MeanMinAge17+'19_Расчет_аналитики'!AA559*SUMIF(ThresholdAge17,"&lt;"&amp;'19_Расчет_аналитики'!AA559,WeightedRevAge17)-SUMIF(ThresholdAge17,"&lt;"&amp;'19_Расчет_аналитики'!AA559,WeightedMinAge17),MAX(CapacityAge17*'01_Вводные'!$B$218*'19_Расчет_аналитики'!AA559,MeanMinAge17)))</f>
        <v/>
      </c>
      <c r="AB480">
        <f>IF(OR('19_Расчет_аналитики'!AB452=0,17&lt;='01_Вводные'!$B$297),0,'19_Расчет_аналитики'!AB452*IF('01_Вводные'!$B$239="Да",MeanMinAge17+'19_Расчет_аналитики'!AB559*SUMIF(ThresholdAge17,"&lt;"&amp;'19_Расчет_аналитики'!AB559,WeightedRevAge17)-SUMIF(ThresholdAge17,"&lt;"&amp;'19_Расчет_аналитики'!AB559,WeightedMinAge17),MAX(CapacityAge17*'01_Вводные'!$B$218*'19_Расчет_аналитики'!AB559,MeanMinAge17)))</f>
        <v/>
      </c>
      <c r="AC480">
        <f>IF(OR('19_Расчет_аналитики'!AC452=0,17&lt;='01_Вводные'!$B$297),0,'19_Расчет_аналитики'!AC452*IF('01_Вводные'!$B$239="Да",MeanMinAge17+'19_Расчет_аналитики'!AC559*SUMIF(ThresholdAge17,"&lt;"&amp;'19_Расчет_аналитики'!AC559,WeightedRevAge17)-SUMIF(ThresholdAge17,"&lt;"&amp;'19_Расчет_аналитики'!AC559,WeightedMinAge17),MAX(CapacityAge17*'01_Вводные'!$B$218*'19_Расчет_аналитики'!AC559,MeanMinAge17)))</f>
        <v/>
      </c>
      <c r="AD480">
        <f>IF(OR('19_Расчет_аналитики'!AD452=0,17&lt;='01_Вводные'!$B$297),0,'19_Расчет_аналитики'!AD452*IF('01_Вводные'!$B$239="Да",MeanMinAge17+'19_Расчет_аналитики'!AD559*SUMIF(ThresholdAge17,"&lt;"&amp;'19_Расчет_аналитики'!AD559,WeightedRevAge17)-SUMIF(ThresholdAge17,"&lt;"&amp;'19_Расчет_аналитики'!AD559,WeightedMinAge17),MAX(CapacityAge17*'01_Вводные'!$B$218*'19_Расчет_аналитики'!AD559,MeanMinAge17)))</f>
        <v/>
      </c>
      <c r="AE480">
        <f>IF(OR('19_Расчет_аналитики'!AE452=0,17&lt;='01_Вводные'!$B$297),0,'19_Расчет_аналитики'!AE452*IF('01_Вводные'!$B$239="Да",MeanMinAge17+'19_Расчет_аналитики'!AE559*SUMIF(ThresholdAge17,"&lt;"&amp;'19_Расчет_аналитики'!AE559,WeightedRevAge17)-SUMIF(ThresholdAge17,"&lt;"&amp;'19_Расчет_аналитики'!AE559,WeightedMinAge17),MAX(CapacityAge17*'01_Вводные'!$B$218*'19_Расчет_аналитики'!AE559,MeanMinAge17)))</f>
        <v/>
      </c>
      <c r="AF480">
        <f>IF(OR('19_Расчет_аналитики'!AF452=0,17&lt;='01_Вводные'!$B$297),0,'19_Расчет_аналитики'!AF452*IF('01_Вводные'!$B$239="Да",MeanMinAge17+'19_Расчет_аналитики'!AF559*SUMIF(ThresholdAge17,"&lt;"&amp;'19_Расчет_аналитики'!AF559,WeightedRevAge17)-SUMIF(ThresholdAge17,"&lt;"&amp;'19_Расчет_аналитики'!AF559,WeightedMinAge17),MAX(CapacityAge17*'01_Вводные'!$B$218*'19_Расчет_аналитики'!AF559,MeanMinAge17)))</f>
        <v/>
      </c>
      <c r="AG480">
        <f>IF(OR('19_Расчет_аналитики'!AG452=0,17&lt;='01_Вводные'!$B$297),0,'19_Расчет_аналитики'!AG452*IF('01_Вводные'!$B$239="Да",MeanMinAge17+'19_Расчет_аналитики'!AG559*SUMIF(ThresholdAge17,"&lt;"&amp;'19_Расчет_аналитики'!AG559,WeightedRevAge17)-SUMIF(ThresholdAge17,"&lt;"&amp;'19_Расчет_аналитики'!AG559,WeightedMinAge17),MAX(CapacityAge17*'01_Вводные'!$B$218*'19_Расчет_аналитики'!AG559,MeanMinAge17)))</f>
        <v/>
      </c>
      <c r="AH480">
        <f>IF(OR('19_Расчет_аналитики'!AH452=0,17&lt;='01_Вводные'!$B$297),0,'19_Расчет_аналитики'!AH452*IF('01_Вводные'!$B$239="Да",MeanMinAge17+'19_Расчет_аналитики'!AH559*SUMIF(ThresholdAge17,"&lt;"&amp;'19_Расчет_аналитики'!AH559,WeightedRevAge17)-SUMIF(ThresholdAge17,"&lt;"&amp;'19_Расчет_аналитики'!AH559,WeightedMinAge17),MAX(CapacityAge17*'01_Вводные'!$B$218*'19_Расчет_аналитики'!AH559,MeanMinAge17)))</f>
        <v/>
      </c>
      <c r="AI480">
        <f>IF(OR('19_Расчет_аналитики'!AI452=0,17&lt;='01_Вводные'!$B$297),0,'19_Расчет_аналитики'!AI452*IF('01_Вводные'!$B$239="Да",MeanMinAge17+'19_Расчет_аналитики'!AI559*SUMIF(ThresholdAge17,"&lt;"&amp;'19_Расчет_аналитики'!AI559,WeightedRevAge17)-SUMIF(ThresholdAge17,"&lt;"&amp;'19_Расчет_аналитики'!AI559,WeightedMinAge17),MAX(CapacityAge17*'01_Вводные'!$B$218*'19_Расчет_аналитики'!AI559,MeanMinAge17)))</f>
        <v/>
      </c>
      <c r="AJ480">
        <f>IF(OR('19_Расчет_аналитики'!AJ452=0,17&lt;='01_Вводные'!$B$297),0,'19_Расчет_аналитики'!AJ452*IF('01_Вводные'!$B$239="Да",MeanMinAge17+'19_Расчет_аналитики'!AJ559*SUMIF(ThresholdAge17,"&lt;"&amp;'19_Расчет_аналитики'!AJ559,WeightedRevAge17)-SUMIF(ThresholdAge17,"&lt;"&amp;'19_Расчет_аналитики'!AJ559,WeightedMinAge17),MAX(CapacityAge17*'01_Вводные'!$B$218*'19_Расчет_аналитики'!AJ559,MeanMinAge17)))</f>
        <v/>
      </c>
      <c r="AK480">
        <f>IF(OR('19_Расчет_аналитики'!AK452=0,17&lt;='01_Вводные'!$B$297),0,'19_Расчет_аналитики'!AK452*IF('01_Вводные'!$B$239="Да",MeanMinAge17+'19_Расчет_аналитики'!AK559*SUMIF(ThresholdAge17,"&lt;"&amp;'19_Расчет_аналитики'!AK559,WeightedRevAge17)-SUMIF(ThresholdAge17,"&lt;"&amp;'19_Расчет_аналитики'!AK559,WeightedMinAge17),MAX(CapacityAge17*'01_Вводные'!$B$218*'19_Расчет_аналитики'!AK559,MeanMinAge17)))</f>
        <v/>
      </c>
      <c r="AL480">
        <f>IF(OR('19_Расчет_аналитики'!AL452=0,17&lt;='01_Вводные'!$B$297),0,'19_Расчет_аналитики'!AL452*IF('01_Вводные'!$B$239="Да",MeanMinAge17+'19_Расчет_аналитики'!AL559*SUMIF(ThresholdAge17,"&lt;"&amp;'19_Расчет_аналитики'!AL559,WeightedRevAge17)-SUMIF(ThresholdAge17,"&lt;"&amp;'19_Расчет_аналитики'!AL559,WeightedMinAge17),MAX(CapacityAge17*'01_Вводные'!$B$218*'19_Расчет_аналитики'!AL559,MeanMinAge17)))</f>
        <v/>
      </c>
      <c r="AM480">
        <f>IF(OR('19_Расчет_аналитики'!AM452=0,17&lt;='01_Вводные'!$B$297),0,'19_Расчет_аналитики'!AM452*IF('01_Вводные'!$B$239="Да",MeanMinAge17+'19_Расчет_аналитики'!AM559*SUMIF(ThresholdAge17,"&lt;"&amp;'19_Расчет_аналитики'!AM559,WeightedRevAge17)-SUMIF(ThresholdAge17,"&lt;"&amp;'19_Расчет_аналитики'!AM559,WeightedMinAge17),MAX(CapacityAge17*'01_Вводные'!$B$218*'19_Расчет_аналитики'!AM559,MeanMinAge17)))</f>
        <v/>
      </c>
      <c r="AN480">
        <f>IF(OR('19_Расчет_аналитики'!AN452=0,17&lt;='01_Вводные'!$B$297),0,'19_Расчет_аналитики'!AN452*IF('01_Вводные'!$B$239="Да",MeanMinAge17+'19_Расчет_аналитики'!AN559*SUMIF(ThresholdAge17,"&lt;"&amp;'19_Расчет_аналитики'!AN559,WeightedRevAge17)-SUMIF(ThresholdAge17,"&lt;"&amp;'19_Расчет_аналитики'!AN559,WeightedMinAge17),MAX(CapacityAge17*'01_Вводные'!$B$218*'19_Расчет_аналитики'!AN559,MeanMinAge17)))</f>
        <v/>
      </c>
      <c r="AO480">
        <f>IF(OR('19_Расчет_аналитики'!AO452=0,17&lt;='01_Вводные'!$B$297),0,'19_Расчет_аналитики'!AO452*IF('01_Вводные'!$B$239="Да",MeanMinAge17+'19_Расчет_аналитики'!AO559*SUMIF(ThresholdAge17,"&lt;"&amp;'19_Расчет_аналитики'!AO559,WeightedRevAge17)-SUMIF(ThresholdAge17,"&lt;"&amp;'19_Расчет_аналитики'!AO559,WeightedMinAge17),MAX(CapacityAge17*'01_Вводные'!$B$218*'19_Расчет_аналитики'!AO559,MeanMinAge17)))</f>
        <v/>
      </c>
      <c r="AP480">
        <f>IF(OR('19_Расчет_аналитики'!AP452=0,17&lt;='01_Вводные'!$B$297),0,'19_Расчет_аналитики'!AP452*IF('01_Вводные'!$B$239="Да",MeanMinAge17+'19_Расчет_аналитики'!AP559*SUMIF(ThresholdAge17,"&lt;"&amp;'19_Расчет_аналитики'!AP559,WeightedRevAge17)-SUMIF(ThresholdAge17,"&lt;"&amp;'19_Расчет_аналитики'!AP559,WeightedMinAge17),MAX(CapacityAge17*'01_Вводные'!$B$218*'19_Расчет_аналитики'!AP559,MeanMinAge17)))</f>
        <v/>
      </c>
      <c r="AQ480">
        <f>IF(OR('19_Расчет_аналитики'!AQ452=0,17&lt;='01_Вводные'!$B$297),0,'19_Расчет_аналитики'!AQ452*IF('01_Вводные'!$B$239="Да",MeanMinAge17+'19_Расчет_аналитики'!AQ559*SUMIF(ThresholdAge17,"&lt;"&amp;'19_Расчет_аналитики'!AQ559,WeightedRevAge17)-SUMIF(ThresholdAge17,"&lt;"&amp;'19_Расчет_аналитики'!AQ559,WeightedMinAge17),MAX(CapacityAge17*'01_Вводные'!$B$218*'19_Расчет_аналитики'!AQ559,MeanMinAge17)))</f>
        <v/>
      </c>
      <c r="AR480">
        <f>IF(OR('19_Расчет_аналитики'!AR452=0,17&lt;='01_Вводные'!$B$297),0,'19_Расчет_аналитики'!AR452*IF('01_Вводные'!$B$239="Да",MeanMinAge17+'19_Расчет_аналитики'!AR559*SUMIF(ThresholdAge17,"&lt;"&amp;'19_Расчет_аналитики'!AR559,WeightedRevAge17)-SUMIF(ThresholdAge17,"&lt;"&amp;'19_Расчет_аналитики'!AR559,WeightedMinAge17),MAX(CapacityAge17*'01_Вводные'!$B$218*'19_Расчет_аналитики'!AR559,MeanMinAge17)))</f>
        <v/>
      </c>
      <c r="AS480">
        <f>IF(OR('19_Расчет_аналитики'!AS452=0,17&lt;='01_Вводные'!$B$297),0,'19_Расчет_аналитики'!AS452*IF('01_Вводные'!$B$239="Да",MeanMinAge17+'19_Расчет_аналитики'!AS559*SUMIF(ThresholdAge17,"&lt;"&amp;'19_Расчет_аналитики'!AS559,WeightedRevAge17)-SUMIF(ThresholdAge17,"&lt;"&amp;'19_Расчет_аналитики'!AS559,WeightedMinAge17),MAX(CapacityAge17*'01_Вводные'!$B$218*'19_Расчет_аналитики'!AS559,MeanMinAge17)))</f>
        <v/>
      </c>
      <c r="AT480">
        <f>IF(OR('19_Расчет_аналитики'!AT452=0,17&lt;='01_Вводные'!$B$297),0,'19_Расчет_аналитики'!AT452*IF('01_Вводные'!$B$239="Да",MeanMinAge17+'19_Расчет_аналитики'!AT559*SUMIF(ThresholdAge17,"&lt;"&amp;'19_Расчет_аналитики'!AT559,WeightedRevAge17)-SUMIF(ThresholdAge17,"&lt;"&amp;'19_Расчет_аналитики'!AT559,WeightedMinAge17),MAX(CapacityAge17*'01_Вводные'!$B$218*'19_Расчет_аналитики'!AT559,MeanMinAge17)))</f>
        <v/>
      </c>
      <c r="AU480">
        <f>IF(OR('19_Расчет_аналитики'!AU452=0,17&lt;='01_Вводные'!$B$297),0,'19_Расчет_аналитики'!AU452*IF('01_Вводные'!$B$239="Да",MeanMinAge17+'19_Расчет_аналитики'!AU559*SUMIF(ThresholdAge17,"&lt;"&amp;'19_Расчет_аналитики'!AU559,WeightedRevAge17)-SUMIF(ThresholdAge17,"&lt;"&amp;'19_Расчет_аналитики'!AU559,WeightedMinAge17),MAX(CapacityAge17*'01_Вводные'!$B$218*'19_Расчет_аналитики'!AU559,MeanMinAge17)))</f>
        <v/>
      </c>
      <c r="AV480">
        <f>IF(OR('19_Расчет_аналитики'!AV452=0,17&lt;='01_Вводные'!$B$297),0,'19_Расчет_аналитики'!AV452*IF('01_Вводные'!$B$239="Да",MeanMinAge17+'19_Расчет_аналитики'!AV559*SUMIF(ThresholdAge17,"&lt;"&amp;'19_Расчет_аналитики'!AV559,WeightedRevAge17)-SUMIF(ThresholdAge17,"&lt;"&amp;'19_Расчет_аналитики'!AV559,WeightedMinAge17),MAX(CapacityAge17*'01_Вводные'!$B$218*'19_Расчет_аналитики'!AV559,MeanMinAge17)))</f>
        <v/>
      </c>
      <c r="AW480">
        <f>IF(OR('19_Расчет_аналитики'!AW452=0,17&lt;='01_Вводные'!$B$297),0,'19_Расчет_аналитики'!AW452*IF('01_Вводные'!$B$239="Да",MeanMinAge17+'19_Расчет_аналитики'!AW559*SUMIF(ThresholdAge17,"&lt;"&amp;'19_Расчет_аналитики'!AW559,WeightedRevAge17)-SUMIF(ThresholdAge17,"&lt;"&amp;'19_Расчет_аналитики'!AW559,WeightedMinAge17),MAX(CapacityAge17*'01_Вводные'!$B$218*'19_Расчет_аналитики'!AW559,MeanMinAge17)))</f>
        <v/>
      </c>
      <c r="AX480">
        <f>IF(OR('19_Расчет_аналитики'!AX452=0,17&lt;='01_Вводные'!$B$297),0,'19_Расчет_аналитики'!AX452*IF('01_Вводные'!$B$239="Да",MeanMinAge17+'19_Расчет_аналитики'!AX559*SUMIF(ThresholdAge17,"&lt;"&amp;'19_Расчет_аналитики'!AX559,WeightedRevAge17)-SUMIF(ThresholdAge17,"&lt;"&amp;'19_Расчет_аналитики'!AX559,WeightedMinAge17),MAX(CapacityAge17*'01_Вводные'!$B$218*'19_Расчет_аналитики'!AX559,MeanMinAge17)))</f>
        <v/>
      </c>
      <c r="AY480">
        <f>IF(OR('19_Расчет_аналитики'!AY452=0,17&lt;='01_Вводные'!$B$297),0,'19_Расчет_аналитики'!AY452*IF('01_Вводные'!$B$239="Да",MeanMinAge17+'19_Расчет_аналитики'!AY559*SUMIF(ThresholdAge17,"&lt;"&amp;'19_Расчет_аналитики'!AY559,WeightedRevAge17)-SUMIF(ThresholdAge17,"&lt;"&amp;'19_Расчет_аналитики'!AY559,WeightedMinAge17),MAX(CapacityAge17*'01_Вводные'!$B$218*'19_Расчет_аналитики'!AY559,MeanMinAge17)))</f>
        <v/>
      </c>
      <c r="AZ480">
        <f>IF(OR('19_Расчет_аналитики'!AZ452=0,17&lt;='01_Вводные'!$B$297),0,'19_Расчет_аналитики'!AZ452*IF('01_Вводные'!$B$239="Да",MeanMinAge17+'19_Расчет_аналитики'!AZ559*SUMIF(ThresholdAge17,"&lt;"&amp;'19_Расчет_аналитики'!AZ559,WeightedRevAge17)-SUMIF(ThresholdAge17,"&lt;"&amp;'19_Расчет_аналитики'!AZ559,WeightedMinAge17),MAX(CapacityAge17*'01_Вводные'!$B$218*'19_Расчет_аналитики'!AZ559,MeanMinAge17)))</f>
        <v/>
      </c>
      <c r="BA480">
        <f>IF(OR('19_Расчет_аналитики'!BA452=0,17&lt;='01_Вводные'!$B$297),0,'19_Расчет_аналитики'!BA452*IF('01_Вводные'!$B$239="Да",MeanMinAge17+'19_Расчет_аналитики'!BA559*SUMIF(ThresholdAge17,"&lt;"&amp;'19_Расчет_аналитики'!BA559,WeightedRevAge17)-SUMIF(ThresholdAge17,"&lt;"&amp;'19_Расчет_аналитики'!BA559,WeightedMinAge17),MAX(CapacityAge17*'01_Вводные'!$B$218*'19_Расчет_аналитики'!BA559,MeanMinAge17)))</f>
        <v/>
      </c>
      <c r="BB480">
        <f>IF(OR('19_Расчет_аналитики'!BB452=0,17&lt;='01_Вводные'!$B$297),0,'19_Расчет_аналитики'!BB452*IF('01_Вводные'!$B$239="Да",MeanMinAge17+'19_Расчет_аналитики'!BB559*SUMIF(ThresholdAge17,"&lt;"&amp;'19_Расчет_аналитики'!BB559,WeightedRevAge17)-SUMIF(ThresholdAge17,"&lt;"&amp;'19_Расчет_аналитики'!BB559,WeightedMinAge17),MAX(CapacityAge17*'01_Вводные'!$B$218*'19_Расчет_аналитики'!BB559,MeanMinAge17)))</f>
        <v/>
      </c>
      <c r="BC480">
        <f>IF(OR('19_Расчет_аналитики'!BC452=0,17&lt;='01_Вводные'!$B$297),0,'19_Расчет_аналитики'!BC452*IF('01_Вводные'!$B$239="Да",MeanMinAge17+'19_Расчет_аналитики'!BC559*SUMIF(ThresholdAge17,"&lt;"&amp;'19_Расчет_аналитики'!BC559,WeightedRevAge17)-SUMIF(ThresholdAge17,"&lt;"&amp;'19_Расчет_аналитики'!BC559,WeightedMinAge17),MAX(CapacityAge17*'01_Вводные'!$B$218*'19_Расчет_аналитики'!BC559,MeanMinAge17)))</f>
        <v/>
      </c>
      <c r="BD480">
        <f>IF(OR('19_Расчет_аналитики'!BD452=0,17&lt;='01_Вводные'!$B$297),0,'19_Расчет_аналитики'!BD452*IF('01_Вводные'!$B$239="Да",MeanMinAge17+'19_Расчет_аналитики'!BD559*SUMIF(ThresholdAge17,"&lt;"&amp;'19_Расчет_аналитики'!BD559,WeightedRevAge17)-SUMIF(ThresholdAge17,"&lt;"&amp;'19_Расчет_аналитики'!BD559,WeightedMinAge17),MAX(CapacityAge17*'01_Вводные'!$B$218*'19_Расчет_аналитики'!BD559,MeanMinAge17)))</f>
        <v/>
      </c>
      <c r="BE480">
        <f>IF(OR('19_Расчет_аналитики'!BE452=0,17&lt;='01_Вводные'!$B$297),0,'19_Расчет_аналитики'!BE452*IF('01_Вводные'!$B$239="Да",MeanMinAge17+'19_Расчет_аналитики'!BE559*SUMIF(ThresholdAge17,"&lt;"&amp;'19_Расчет_аналитики'!BE559,WeightedRevAge17)-SUMIF(ThresholdAge17,"&lt;"&amp;'19_Расчет_аналитики'!BE559,WeightedMinAge17),MAX(CapacityAge17*'01_Вводные'!$B$218*'19_Расчет_аналитики'!BE559,MeanMinAge17)))</f>
        <v/>
      </c>
      <c r="BF480">
        <f>IF(OR('19_Расчет_аналитики'!BF452=0,17&lt;='01_Вводные'!$B$297),0,'19_Расчет_аналитики'!BF452*IF('01_Вводные'!$B$239="Да",MeanMinAge17+'19_Расчет_аналитики'!BF559*SUMIF(ThresholdAge17,"&lt;"&amp;'19_Расчет_аналитики'!BF559,WeightedRevAge17)-SUMIF(ThresholdAge17,"&lt;"&amp;'19_Расчет_аналитики'!BF559,WeightedMinAge17),MAX(CapacityAge17*'01_Вводные'!$B$218*'19_Расчет_аналитики'!BF559,MeanMinAge17)))</f>
        <v/>
      </c>
      <c r="BG480">
        <f>IF(OR('19_Расчет_аналитики'!BG452=0,17&lt;='01_Вводные'!$B$297),0,'19_Расчет_аналитики'!BG452*IF('01_Вводные'!$B$239="Да",MeanMinAge17+'19_Расчет_аналитики'!BG559*SUMIF(ThresholdAge17,"&lt;"&amp;'19_Расчет_аналитики'!BG559,WeightedRevAge17)-SUMIF(ThresholdAge17,"&lt;"&amp;'19_Расчет_аналитики'!BG559,WeightedMinAge17),MAX(CapacityAge17*'01_Вводные'!$B$218*'19_Расчет_аналитики'!BG559,MeanMinAge17)))</f>
        <v/>
      </c>
      <c r="BH480">
        <f>IF(OR('19_Расчет_аналитики'!BH452=0,17&lt;='01_Вводные'!$B$297),0,'19_Расчет_аналитики'!BH452*IF('01_Вводные'!$B$239="Да",MeanMinAge17+'19_Расчет_аналитики'!BH559*SUMIF(ThresholdAge17,"&lt;"&amp;'19_Расчет_аналитики'!BH559,WeightedRevAge17)-SUMIF(ThresholdAge17,"&lt;"&amp;'19_Расчет_аналитики'!BH559,WeightedMinAge17),MAX(CapacityAge17*'01_Вводные'!$B$218*'19_Расчет_аналитики'!BH559,MeanMinAge17)))</f>
        <v/>
      </c>
      <c r="BI480">
        <f>IF(OR('19_Расчет_аналитики'!BI452=0,17&lt;='01_Вводные'!$B$297),0,'19_Расчет_аналитики'!BI452*IF('01_Вводные'!$B$239="Да",MeanMinAge17+'19_Расчет_аналитики'!BI559*SUMIF(ThresholdAge17,"&lt;"&amp;'19_Расчет_аналитики'!BI559,WeightedRevAge17)-SUMIF(ThresholdAge17,"&lt;"&amp;'19_Расчет_аналитики'!BI559,WeightedMinAge17),MAX(CapacityAge17*'01_Вводные'!$B$218*'19_Расчет_аналитики'!BI559,MeanMinAge17)))</f>
        <v/>
      </c>
      <c r="BJ480">
        <f>IF(OR('19_Расчет_аналитики'!BJ452=0,17&lt;='01_Вводные'!$B$297),0,'19_Расчет_аналитики'!BJ452*IF('01_Вводные'!$B$239="Да",MeanMinAge17+'19_Расчет_аналитики'!BJ559*SUMIF(ThresholdAge17,"&lt;"&amp;'19_Расчет_аналитики'!BJ559,WeightedRevAge17)-SUMIF(ThresholdAge17,"&lt;"&amp;'19_Расчет_аналитики'!BJ559,WeightedMinAge17),MAX(CapacityAge17*'01_Вводные'!$B$218*'19_Расчет_аналитики'!BJ559,MeanMinAge17)))</f>
        <v/>
      </c>
      <c r="BK480">
        <f>IF(OR('19_Расчет_аналитики'!BK452=0,17&lt;='01_Вводные'!$B$297),0,'19_Расчет_аналитики'!BK452*IF('01_Вводные'!$B$239="Да",MeanMinAge17+'19_Расчет_аналитики'!BK559*SUMIF(ThresholdAge17,"&lt;"&amp;'19_Расчет_аналитики'!BK559,WeightedRevAge17)-SUMIF(ThresholdAge17,"&lt;"&amp;'19_Расчет_аналитики'!BK559,WeightedMinAge17),MAX(CapacityAge17*'01_Вводные'!$B$218*'19_Расчет_аналитики'!BK559,MeanMinAge17)))</f>
        <v/>
      </c>
      <c r="BL480">
        <f>IF(OR('19_Расчет_аналитики'!BL452=0,17&lt;='01_Вводные'!$B$297),0,'19_Расчет_аналитики'!BL452*IF('01_Вводные'!$B$239="Да",MeanMinAge17+'19_Расчет_аналитики'!BL559*SUMIF(ThresholdAge17,"&lt;"&amp;'19_Расчет_аналитики'!BL559,WeightedRevAge17)-SUMIF(ThresholdAge17,"&lt;"&amp;'19_Расчет_аналитики'!BL559,WeightedMinAge17),MAX(CapacityAge17*'01_Вводные'!$B$218*'19_Расчет_аналитики'!BL559,MeanMinAge17)))</f>
        <v/>
      </c>
      <c r="BM480">
        <f>IF(OR('19_Расчет_аналитики'!BM452=0,17&lt;='01_Вводные'!$B$297),0,'19_Расчет_аналитики'!BM452*IF('01_Вводные'!$B$239="Да",MeanMinAge17+'19_Расчет_аналитики'!BM559*SUMIF(ThresholdAge17,"&lt;"&amp;'19_Расчет_аналитики'!BM559,WeightedRevAge17)-SUMIF(ThresholdAge17,"&lt;"&amp;'19_Расчет_аналитики'!BM559,WeightedMinAge17),MAX(CapacityAge17*'01_Вводные'!$B$218*'19_Расчет_аналитики'!BM559,MeanMinAge17)))</f>
        <v/>
      </c>
      <c r="BN480">
        <f>IF(OR('19_Расчет_аналитики'!BN452=0,17&lt;='01_Вводные'!$B$297),0,'19_Расчет_аналитики'!BN452*IF('01_Вводные'!$B$239="Да",MeanMinAge17+'19_Расчет_аналитики'!BN559*SUMIF(ThresholdAge17,"&lt;"&amp;'19_Расчет_аналитики'!BN559,WeightedRevAge17)-SUMIF(ThresholdAge17,"&lt;"&amp;'19_Расчет_аналитики'!BN559,WeightedMinAge17),MAX(CapacityAge17*'01_Вводные'!$B$218*'19_Расчет_аналитики'!BN559,MeanMinAge17)))</f>
        <v/>
      </c>
      <c r="BO480">
        <f>IF(OR('19_Расчет_аналитики'!BO452=0,17&lt;='01_Вводные'!$B$297),0,'19_Расчет_аналитики'!BO452*IF('01_Вводные'!$B$239="Да",MeanMinAge17+'19_Расчет_аналитики'!BO559*SUMIF(ThresholdAge17,"&lt;"&amp;'19_Расчет_аналитики'!BO559,WeightedRevAge17)-SUMIF(ThresholdAge17,"&lt;"&amp;'19_Расчет_аналитики'!BO559,WeightedMinAge17),MAX(CapacityAge17*'01_Вводные'!$B$218*'19_Расчет_аналитики'!BO559,MeanMinAge17)))</f>
        <v/>
      </c>
    </row>
    <row r="481">
      <c r="B481">
        <f>IF(OR('06_Сеть_и_дети'!B98=0,18&lt;='01_Вводные'!$B$297),0,'06_Сеть_и_дети'!B98*IF('01_Вводные'!$B$239="Да",MeanMinAge18+'19_Расчет_аналитики'!B559*SUMIF(ThresholdAge18,"&lt;"&amp;'19_Расчет_аналитики'!B559,WeightedRevAge18)-SUMIF(ThresholdAge18,"&lt;"&amp;'19_Расчет_аналитики'!B559,WeightedMinAge18),MAX(CapacityAge18*'01_Вводные'!$B$218*'19_Расчет_аналитики'!B559,MeanMinAge18)))</f>
        <v/>
      </c>
      <c r="C481">
        <f>IF(OR('06_Сеть_и_дети'!C98=0,18&lt;='01_Вводные'!$B$297),0,'06_Сеть_и_дети'!C98*IF('01_Вводные'!$B$239="Да",MeanMinAge18+'19_Расчет_аналитики'!C559*SUMIF(ThresholdAge18,"&lt;"&amp;'19_Расчет_аналитики'!C559,WeightedRevAge18)-SUMIF(ThresholdAge18,"&lt;"&amp;'19_Расчет_аналитики'!C559,WeightedMinAge18),MAX(CapacityAge18*'01_Вводные'!$B$218*'19_Расчет_аналитики'!C559,MeanMinAge18)))</f>
        <v/>
      </c>
      <c r="D481">
        <f>IF(OR('06_Сеть_и_дети'!D98=0,18&lt;='01_Вводные'!$B$297),0,'06_Сеть_и_дети'!D98*IF('01_Вводные'!$B$239="Да",MeanMinAge18+'19_Расчет_аналитики'!D559*SUMIF(ThresholdAge18,"&lt;"&amp;'19_Расчет_аналитики'!D559,WeightedRevAge18)-SUMIF(ThresholdAge18,"&lt;"&amp;'19_Расчет_аналитики'!D559,WeightedMinAge18),MAX(CapacityAge18*'01_Вводные'!$B$218*'19_Расчет_аналитики'!D559,MeanMinAge18)))</f>
        <v/>
      </c>
      <c r="E481">
        <f>IF(OR('06_Сеть_и_дети'!E98=0,18&lt;='01_Вводные'!$B$297),0,'06_Сеть_и_дети'!E98*IF('01_Вводные'!$B$239="Да",MeanMinAge18+'19_Расчет_аналитики'!E559*SUMIF(ThresholdAge18,"&lt;"&amp;'19_Расчет_аналитики'!E559,WeightedRevAge18)-SUMIF(ThresholdAge18,"&lt;"&amp;'19_Расчет_аналитики'!E559,WeightedMinAge18),MAX(CapacityAge18*'01_Вводные'!$B$218*'19_Расчет_аналитики'!E559,MeanMinAge18)))</f>
        <v/>
      </c>
      <c r="F481">
        <f>IF(OR('06_Сеть_и_дети'!F98=0,18&lt;='01_Вводные'!$B$297),0,'06_Сеть_и_дети'!F98*IF('01_Вводные'!$B$239="Да",MeanMinAge18+'19_Расчет_аналитики'!F559*SUMIF(ThresholdAge18,"&lt;"&amp;'19_Расчет_аналитики'!F559,WeightedRevAge18)-SUMIF(ThresholdAge18,"&lt;"&amp;'19_Расчет_аналитики'!F559,WeightedMinAge18),MAX(CapacityAge18*'01_Вводные'!$B$218*'19_Расчет_аналитики'!F559,MeanMinAge18)))</f>
        <v/>
      </c>
      <c r="G481">
        <f>IF(OR('06_Сеть_и_дети'!G98=0,18&lt;='01_Вводные'!$B$297),0,'06_Сеть_и_дети'!G98*IF('01_Вводные'!$B$239="Да",MeanMinAge18+'19_Расчет_аналитики'!G559*SUMIF(ThresholdAge18,"&lt;"&amp;'19_Расчет_аналитики'!G559,WeightedRevAge18)-SUMIF(ThresholdAge18,"&lt;"&amp;'19_Расчет_аналитики'!G559,WeightedMinAge18),MAX(CapacityAge18*'01_Вводные'!$B$218*'19_Расчет_аналитики'!G559,MeanMinAge18)))</f>
        <v/>
      </c>
      <c r="H481">
        <f>IF(OR('06_Сеть_и_дети'!H98=0,18&lt;='01_Вводные'!$B$297),0,'06_Сеть_и_дети'!H98*IF('01_Вводные'!$B$239="Да",MeanMinAge18+'19_Расчет_аналитики'!H559*SUMIF(ThresholdAge18,"&lt;"&amp;'19_Расчет_аналитики'!H559,WeightedRevAge18)-SUMIF(ThresholdAge18,"&lt;"&amp;'19_Расчет_аналитики'!H559,WeightedMinAge18),MAX(CapacityAge18*'01_Вводные'!$B$218*'19_Расчет_аналитики'!H559,MeanMinAge18)))</f>
        <v/>
      </c>
      <c r="I481">
        <f>IF(OR('06_Сеть_и_дети'!I98=0,18&lt;='01_Вводные'!$B$297),0,'06_Сеть_и_дети'!I98*IF('01_Вводные'!$B$239="Да",MeanMinAge18+'19_Расчет_аналитики'!I559*SUMIF(ThresholdAge18,"&lt;"&amp;'19_Расчет_аналитики'!I559,WeightedRevAge18)-SUMIF(ThresholdAge18,"&lt;"&amp;'19_Расчет_аналитики'!I559,WeightedMinAge18),MAX(CapacityAge18*'01_Вводные'!$B$218*'19_Расчет_аналитики'!I559,MeanMinAge18)))</f>
        <v/>
      </c>
      <c r="J481">
        <f>IF(OR('06_Сеть_и_дети'!J98=0,18&lt;='01_Вводные'!$B$297),0,'06_Сеть_и_дети'!J98*IF('01_Вводные'!$B$239="Да",MeanMinAge18+'19_Расчет_аналитики'!J559*SUMIF(ThresholdAge18,"&lt;"&amp;'19_Расчет_аналитики'!J559,WeightedRevAge18)-SUMIF(ThresholdAge18,"&lt;"&amp;'19_Расчет_аналитики'!J559,WeightedMinAge18),MAX(CapacityAge18*'01_Вводные'!$B$218*'19_Расчет_аналитики'!J559,MeanMinAge18)))</f>
        <v/>
      </c>
      <c r="K481">
        <f>IF(OR('06_Сеть_и_дети'!K98=0,18&lt;='01_Вводные'!$B$297),0,'06_Сеть_и_дети'!K98*IF('01_Вводные'!$B$239="Да",MeanMinAge18+'19_Расчет_аналитики'!K559*SUMIF(ThresholdAge18,"&lt;"&amp;'19_Расчет_аналитики'!K559,WeightedRevAge18)-SUMIF(ThresholdAge18,"&lt;"&amp;'19_Расчет_аналитики'!K559,WeightedMinAge18),MAX(CapacityAge18*'01_Вводные'!$B$218*'19_Расчет_аналитики'!K559,MeanMinAge18)))</f>
        <v/>
      </c>
      <c r="L481">
        <f>IF(OR('06_Сеть_и_дети'!L98=0,18&lt;='01_Вводные'!$B$297),0,'06_Сеть_и_дети'!L98*IF('01_Вводные'!$B$239="Да",MeanMinAge18+'19_Расчет_аналитики'!L559*SUMIF(ThresholdAge18,"&lt;"&amp;'19_Расчет_аналитики'!L559,WeightedRevAge18)-SUMIF(ThresholdAge18,"&lt;"&amp;'19_Расчет_аналитики'!L559,WeightedMinAge18),MAX(CapacityAge18*'01_Вводные'!$B$218*'19_Расчет_аналитики'!L559,MeanMinAge18)))</f>
        <v/>
      </c>
      <c r="M481">
        <f>IF(OR('06_Сеть_и_дети'!M98=0,18&lt;='01_Вводные'!$B$297),0,'06_Сеть_и_дети'!M98*IF('01_Вводные'!$B$239="Да",MeanMinAge18+'19_Расчет_аналитики'!M559*SUMIF(ThresholdAge18,"&lt;"&amp;'19_Расчет_аналитики'!M559,WeightedRevAge18)-SUMIF(ThresholdAge18,"&lt;"&amp;'19_Расчет_аналитики'!M559,WeightedMinAge18),MAX(CapacityAge18*'01_Вводные'!$B$218*'19_Расчет_аналитики'!M559,MeanMinAge18)))</f>
        <v/>
      </c>
      <c r="N481">
        <f>IF(OR('06_Сеть_и_дети'!N98=0,18&lt;='01_Вводные'!$B$297),0,'06_Сеть_и_дети'!N98*IF('01_Вводные'!$B$239="Да",MeanMinAge18+'19_Расчет_аналитики'!N559*SUMIF(ThresholdAge18,"&lt;"&amp;'19_Расчет_аналитики'!N559,WeightedRevAge18)-SUMIF(ThresholdAge18,"&lt;"&amp;'19_Расчет_аналитики'!N559,WeightedMinAge18),MAX(CapacityAge18*'01_Вводные'!$B$218*'19_Расчет_аналитики'!N559,MeanMinAge18)))</f>
        <v/>
      </c>
      <c r="O481">
        <f>IF(OR('06_Сеть_и_дети'!O98=0,18&lt;='01_Вводные'!$B$297),0,'06_Сеть_и_дети'!O98*IF('01_Вводные'!$B$239="Да",MeanMinAge18+'19_Расчет_аналитики'!O559*SUMIF(ThresholdAge18,"&lt;"&amp;'19_Расчет_аналитики'!O559,WeightedRevAge18)-SUMIF(ThresholdAge18,"&lt;"&amp;'19_Расчет_аналитики'!O559,WeightedMinAge18),MAX(CapacityAge18*'01_Вводные'!$B$218*'19_Расчет_аналитики'!O559,MeanMinAge18)))</f>
        <v/>
      </c>
      <c r="P481">
        <f>IF(OR('06_Сеть_и_дети'!P98=0,18&lt;='01_Вводные'!$B$297),0,'06_Сеть_и_дети'!P98*IF('01_Вводные'!$B$239="Да",MeanMinAge18+'19_Расчет_аналитики'!P559*SUMIF(ThresholdAge18,"&lt;"&amp;'19_Расчет_аналитики'!P559,WeightedRevAge18)-SUMIF(ThresholdAge18,"&lt;"&amp;'19_Расчет_аналитики'!P559,WeightedMinAge18),MAX(CapacityAge18*'01_Вводные'!$B$218*'19_Расчет_аналитики'!P559,MeanMinAge18)))</f>
        <v/>
      </c>
      <c r="Q481">
        <f>IF(OR('06_Сеть_и_дети'!Q98=0,18&lt;='01_Вводные'!$B$297),0,'06_Сеть_и_дети'!Q98*IF('01_Вводные'!$B$239="Да",MeanMinAge18+'19_Расчет_аналитики'!Q559*SUMIF(ThresholdAge18,"&lt;"&amp;'19_Расчет_аналитики'!Q559,WeightedRevAge18)-SUMIF(ThresholdAge18,"&lt;"&amp;'19_Расчет_аналитики'!Q559,WeightedMinAge18),MAX(CapacityAge18*'01_Вводные'!$B$218*'19_Расчет_аналитики'!Q559,MeanMinAge18)))</f>
        <v/>
      </c>
      <c r="R481">
        <f>IF(OR('06_Сеть_и_дети'!R98=0,18&lt;='01_Вводные'!$B$297),0,'06_Сеть_и_дети'!R98*IF('01_Вводные'!$B$239="Да",MeanMinAge18+'19_Расчет_аналитики'!R559*SUMIF(ThresholdAge18,"&lt;"&amp;'19_Расчет_аналитики'!R559,WeightedRevAge18)-SUMIF(ThresholdAge18,"&lt;"&amp;'19_Расчет_аналитики'!R559,WeightedMinAge18),MAX(CapacityAge18*'01_Вводные'!$B$218*'19_Расчет_аналитики'!R559,MeanMinAge18)))</f>
        <v/>
      </c>
      <c r="S481">
        <f>IF(OR('19_Расчет_аналитики'!S453=0,18&lt;='01_Вводные'!$B$297),0,'19_Расчет_аналитики'!S453*IF('01_Вводные'!$B$239="Да",MeanMinAge18+'19_Расчет_аналитики'!S559*SUMIF(ThresholdAge18,"&lt;"&amp;'19_Расчет_аналитики'!S559,WeightedRevAge18)-SUMIF(ThresholdAge18,"&lt;"&amp;'19_Расчет_аналитики'!S559,WeightedMinAge18),MAX(CapacityAge18*'01_Вводные'!$B$218*'19_Расчет_аналитики'!S559,MeanMinAge18)))</f>
        <v/>
      </c>
      <c r="T481">
        <f>IF(OR('19_Расчет_аналитики'!T453=0,18&lt;='01_Вводные'!$B$297),0,'19_Расчет_аналитики'!T453*IF('01_Вводные'!$B$239="Да",MeanMinAge18+'19_Расчет_аналитики'!T559*SUMIF(ThresholdAge18,"&lt;"&amp;'19_Расчет_аналитики'!T559,WeightedRevAge18)-SUMIF(ThresholdAge18,"&lt;"&amp;'19_Расчет_аналитики'!T559,WeightedMinAge18),MAX(CapacityAge18*'01_Вводные'!$B$218*'19_Расчет_аналитики'!T559,MeanMinAge18)))</f>
        <v/>
      </c>
      <c r="U481">
        <f>IF(OR('19_Расчет_аналитики'!U453=0,18&lt;='01_Вводные'!$B$297),0,'19_Расчет_аналитики'!U453*IF('01_Вводные'!$B$239="Да",MeanMinAge18+'19_Расчет_аналитики'!U559*SUMIF(ThresholdAge18,"&lt;"&amp;'19_Расчет_аналитики'!U559,WeightedRevAge18)-SUMIF(ThresholdAge18,"&lt;"&amp;'19_Расчет_аналитики'!U559,WeightedMinAge18),MAX(CapacityAge18*'01_Вводные'!$B$218*'19_Расчет_аналитики'!U559,MeanMinAge18)))</f>
        <v/>
      </c>
      <c r="V481">
        <f>IF(OR('19_Расчет_аналитики'!V453=0,18&lt;='01_Вводные'!$B$297),0,'19_Расчет_аналитики'!V453*IF('01_Вводные'!$B$239="Да",MeanMinAge18+'19_Расчет_аналитики'!V559*SUMIF(ThresholdAge18,"&lt;"&amp;'19_Расчет_аналитики'!V559,WeightedRevAge18)-SUMIF(ThresholdAge18,"&lt;"&amp;'19_Расчет_аналитики'!V559,WeightedMinAge18),MAX(CapacityAge18*'01_Вводные'!$B$218*'19_Расчет_аналитики'!V559,MeanMinAge18)))</f>
        <v/>
      </c>
      <c r="W481">
        <f>IF(OR('19_Расчет_аналитики'!W453=0,18&lt;='01_Вводные'!$B$297),0,'19_Расчет_аналитики'!W453*IF('01_Вводные'!$B$239="Да",MeanMinAge18+'19_Расчет_аналитики'!W559*SUMIF(ThresholdAge18,"&lt;"&amp;'19_Расчет_аналитики'!W559,WeightedRevAge18)-SUMIF(ThresholdAge18,"&lt;"&amp;'19_Расчет_аналитики'!W559,WeightedMinAge18),MAX(CapacityAge18*'01_Вводные'!$B$218*'19_Расчет_аналитики'!W559,MeanMinAge18)))</f>
        <v/>
      </c>
      <c r="X481">
        <f>IF(OR('19_Расчет_аналитики'!X453=0,18&lt;='01_Вводные'!$B$297),0,'19_Расчет_аналитики'!X453*IF('01_Вводные'!$B$239="Да",MeanMinAge18+'19_Расчет_аналитики'!X559*SUMIF(ThresholdAge18,"&lt;"&amp;'19_Расчет_аналитики'!X559,WeightedRevAge18)-SUMIF(ThresholdAge18,"&lt;"&amp;'19_Расчет_аналитики'!X559,WeightedMinAge18),MAX(CapacityAge18*'01_Вводные'!$B$218*'19_Расчет_аналитики'!X559,MeanMinAge18)))</f>
        <v/>
      </c>
      <c r="Y481">
        <f>IF(OR('19_Расчет_аналитики'!Y453=0,18&lt;='01_Вводные'!$B$297),0,'19_Расчет_аналитики'!Y453*IF('01_Вводные'!$B$239="Да",MeanMinAge18+'19_Расчет_аналитики'!Y559*SUMIF(ThresholdAge18,"&lt;"&amp;'19_Расчет_аналитики'!Y559,WeightedRevAge18)-SUMIF(ThresholdAge18,"&lt;"&amp;'19_Расчет_аналитики'!Y559,WeightedMinAge18),MAX(CapacityAge18*'01_Вводные'!$B$218*'19_Расчет_аналитики'!Y559,MeanMinAge18)))</f>
        <v/>
      </c>
      <c r="Z481">
        <f>IF(OR('19_Расчет_аналитики'!Z453=0,18&lt;='01_Вводные'!$B$297),0,'19_Расчет_аналитики'!Z453*IF('01_Вводные'!$B$239="Да",MeanMinAge18+'19_Расчет_аналитики'!Z559*SUMIF(ThresholdAge18,"&lt;"&amp;'19_Расчет_аналитики'!Z559,WeightedRevAge18)-SUMIF(ThresholdAge18,"&lt;"&amp;'19_Расчет_аналитики'!Z559,WeightedMinAge18),MAX(CapacityAge18*'01_Вводные'!$B$218*'19_Расчет_аналитики'!Z559,MeanMinAge18)))</f>
        <v/>
      </c>
      <c r="AA481">
        <f>IF(OR('19_Расчет_аналитики'!AA453=0,18&lt;='01_Вводные'!$B$297),0,'19_Расчет_аналитики'!AA453*IF('01_Вводные'!$B$239="Да",MeanMinAge18+'19_Расчет_аналитики'!AA559*SUMIF(ThresholdAge18,"&lt;"&amp;'19_Расчет_аналитики'!AA559,WeightedRevAge18)-SUMIF(ThresholdAge18,"&lt;"&amp;'19_Расчет_аналитики'!AA559,WeightedMinAge18),MAX(CapacityAge18*'01_Вводные'!$B$218*'19_Расчет_аналитики'!AA559,MeanMinAge18)))</f>
        <v/>
      </c>
      <c r="AB481">
        <f>IF(OR('19_Расчет_аналитики'!AB453=0,18&lt;='01_Вводные'!$B$297),0,'19_Расчет_аналитики'!AB453*IF('01_Вводные'!$B$239="Да",MeanMinAge18+'19_Расчет_аналитики'!AB559*SUMIF(ThresholdAge18,"&lt;"&amp;'19_Расчет_аналитики'!AB559,WeightedRevAge18)-SUMIF(ThresholdAge18,"&lt;"&amp;'19_Расчет_аналитики'!AB559,WeightedMinAge18),MAX(CapacityAge18*'01_Вводные'!$B$218*'19_Расчет_аналитики'!AB559,MeanMinAge18)))</f>
        <v/>
      </c>
      <c r="AC481">
        <f>IF(OR('19_Расчет_аналитики'!AC453=0,18&lt;='01_Вводные'!$B$297),0,'19_Расчет_аналитики'!AC453*IF('01_Вводные'!$B$239="Да",MeanMinAge18+'19_Расчет_аналитики'!AC559*SUMIF(ThresholdAge18,"&lt;"&amp;'19_Расчет_аналитики'!AC559,WeightedRevAge18)-SUMIF(ThresholdAge18,"&lt;"&amp;'19_Расчет_аналитики'!AC559,WeightedMinAge18),MAX(CapacityAge18*'01_Вводные'!$B$218*'19_Расчет_аналитики'!AC559,MeanMinAge18)))</f>
        <v/>
      </c>
      <c r="AD481">
        <f>IF(OR('19_Расчет_аналитики'!AD453=0,18&lt;='01_Вводные'!$B$297),0,'19_Расчет_аналитики'!AD453*IF('01_Вводные'!$B$239="Да",MeanMinAge18+'19_Расчет_аналитики'!AD559*SUMIF(ThresholdAge18,"&lt;"&amp;'19_Расчет_аналитики'!AD559,WeightedRevAge18)-SUMIF(ThresholdAge18,"&lt;"&amp;'19_Расчет_аналитики'!AD559,WeightedMinAge18),MAX(CapacityAge18*'01_Вводные'!$B$218*'19_Расчет_аналитики'!AD559,MeanMinAge18)))</f>
        <v/>
      </c>
      <c r="AE481">
        <f>IF(OR('19_Расчет_аналитики'!AE453=0,18&lt;='01_Вводные'!$B$297),0,'19_Расчет_аналитики'!AE453*IF('01_Вводные'!$B$239="Да",MeanMinAge18+'19_Расчет_аналитики'!AE559*SUMIF(ThresholdAge18,"&lt;"&amp;'19_Расчет_аналитики'!AE559,WeightedRevAge18)-SUMIF(ThresholdAge18,"&lt;"&amp;'19_Расчет_аналитики'!AE559,WeightedMinAge18),MAX(CapacityAge18*'01_Вводные'!$B$218*'19_Расчет_аналитики'!AE559,MeanMinAge18)))</f>
        <v/>
      </c>
      <c r="AF481">
        <f>IF(OR('19_Расчет_аналитики'!AF453=0,18&lt;='01_Вводные'!$B$297),0,'19_Расчет_аналитики'!AF453*IF('01_Вводные'!$B$239="Да",MeanMinAge18+'19_Расчет_аналитики'!AF559*SUMIF(ThresholdAge18,"&lt;"&amp;'19_Расчет_аналитики'!AF559,WeightedRevAge18)-SUMIF(ThresholdAge18,"&lt;"&amp;'19_Расчет_аналитики'!AF559,WeightedMinAge18),MAX(CapacityAge18*'01_Вводные'!$B$218*'19_Расчет_аналитики'!AF559,MeanMinAge18)))</f>
        <v/>
      </c>
      <c r="AG481">
        <f>IF(OR('19_Расчет_аналитики'!AG453=0,18&lt;='01_Вводные'!$B$297),0,'19_Расчет_аналитики'!AG453*IF('01_Вводные'!$B$239="Да",MeanMinAge18+'19_Расчет_аналитики'!AG559*SUMIF(ThresholdAge18,"&lt;"&amp;'19_Расчет_аналитики'!AG559,WeightedRevAge18)-SUMIF(ThresholdAge18,"&lt;"&amp;'19_Расчет_аналитики'!AG559,WeightedMinAge18),MAX(CapacityAge18*'01_Вводные'!$B$218*'19_Расчет_аналитики'!AG559,MeanMinAge18)))</f>
        <v/>
      </c>
      <c r="AH481">
        <f>IF(OR('19_Расчет_аналитики'!AH453=0,18&lt;='01_Вводные'!$B$297),0,'19_Расчет_аналитики'!AH453*IF('01_Вводные'!$B$239="Да",MeanMinAge18+'19_Расчет_аналитики'!AH559*SUMIF(ThresholdAge18,"&lt;"&amp;'19_Расчет_аналитики'!AH559,WeightedRevAge18)-SUMIF(ThresholdAge18,"&lt;"&amp;'19_Расчет_аналитики'!AH559,WeightedMinAge18),MAX(CapacityAge18*'01_Вводные'!$B$218*'19_Расчет_аналитики'!AH559,MeanMinAge18)))</f>
        <v/>
      </c>
      <c r="AI481">
        <f>IF(OR('19_Расчет_аналитики'!AI453=0,18&lt;='01_Вводные'!$B$297),0,'19_Расчет_аналитики'!AI453*IF('01_Вводные'!$B$239="Да",MeanMinAge18+'19_Расчет_аналитики'!AI559*SUMIF(ThresholdAge18,"&lt;"&amp;'19_Расчет_аналитики'!AI559,WeightedRevAge18)-SUMIF(ThresholdAge18,"&lt;"&amp;'19_Расчет_аналитики'!AI559,WeightedMinAge18),MAX(CapacityAge18*'01_Вводные'!$B$218*'19_Расчет_аналитики'!AI559,MeanMinAge18)))</f>
        <v/>
      </c>
      <c r="AJ481">
        <f>IF(OR('19_Расчет_аналитики'!AJ453=0,18&lt;='01_Вводные'!$B$297),0,'19_Расчет_аналитики'!AJ453*IF('01_Вводные'!$B$239="Да",MeanMinAge18+'19_Расчет_аналитики'!AJ559*SUMIF(ThresholdAge18,"&lt;"&amp;'19_Расчет_аналитики'!AJ559,WeightedRevAge18)-SUMIF(ThresholdAge18,"&lt;"&amp;'19_Расчет_аналитики'!AJ559,WeightedMinAge18),MAX(CapacityAge18*'01_Вводные'!$B$218*'19_Расчет_аналитики'!AJ559,MeanMinAge18)))</f>
        <v/>
      </c>
      <c r="AK481">
        <f>IF(OR('19_Расчет_аналитики'!AK453=0,18&lt;='01_Вводные'!$B$297),0,'19_Расчет_аналитики'!AK453*IF('01_Вводные'!$B$239="Да",MeanMinAge18+'19_Расчет_аналитики'!AK559*SUMIF(ThresholdAge18,"&lt;"&amp;'19_Расчет_аналитики'!AK559,WeightedRevAge18)-SUMIF(ThresholdAge18,"&lt;"&amp;'19_Расчет_аналитики'!AK559,WeightedMinAge18),MAX(CapacityAge18*'01_Вводные'!$B$218*'19_Расчет_аналитики'!AK559,MeanMinAge18)))</f>
        <v/>
      </c>
      <c r="AL481">
        <f>IF(OR('19_Расчет_аналитики'!AL453=0,18&lt;='01_Вводные'!$B$297),0,'19_Расчет_аналитики'!AL453*IF('01_Вводные'!$B$239="Да",MeanMinAge18+'19_Расчет_аналитики'!AL559*SUMIF(ThresholdAge18,"&lt;"&amp;'19_Расчет_аналитики'!AL559,WeightedRevAge18)-SUMIF(ThresholdAge18,"&lt;"&amp;'19_Расчет_аналитики'!AL559,WeightedMinAge18),MAX(CapacityAge18*'01_Вводные'!$B$218*'19_Расчет_аналитики'!AL559,MeanMinAge18)))</f>
        <v/>
      </c>
      <c r="AM481">
        <f>IF(OR('19_Расчет_аналитики'!AM453=0,18&lt;='01_Вводные'!$B$297),0,'19_Расчет_аналитики'!AM453*IF('01_Вводные'!$B$239="Да",MeanMinAge18+'19_Расчет_аналитики'!AM559*SUMIF(ThresholdAge18,"&lt;"&amp;'19_Расчет_аналитики'!AM559,WeightedRevAge18)-SUMIF(ThresholdAge18,"&lt;"&amp;'19_Расчет_аналитики'!AM559,WeightedMinAge18),MAX(CapacityAge18*'01_Вводные'!$B$218*'19_Расчет_аналитики'!AM559,MeanMinAge18)))</f>
        <v/>
      </c>
      <c r="AN481">
        <f>IF(OR('19_Расчет_аналитики'!AN453=0,18&lt;='01_Вводные'!$B$297),0,'19_Расчет_аналитики'!AN453*IF('01_Вводные'!$B$239="Да",MeanMinAge18+'19_Расчет_аналитики'!AN559*SUMIF(ThresholdAge18,"&lt;"&amp;'19_Расчет_аналитики'!AN559,WeightedRevAge18)-SUMIF(ThresholdAge18,"&lt;"&amp;'19_Расчет_аналитики'!AN559,WeightedMinAge18),MAX(CapacityAge18*'01_Вводные'!$B$218*'19_Расчет_аналитики'!AN559,MeanMinAge18)))</f>
        <v/>
      </c>
      <c r="AO481">
        <f>IF(OR('19_Расчет_аналитики'!AO453=0,18&lt;='01_Вводные'!$B$297),0,'19_Расчет_аналитики'!AO453*IF('01_Вводные'!$B$239="Да",MeanMinAge18+'19_Расчет_аналитики'!AO559*SUMIF(ThresholdAge18,"&lt;"&amp;'19_Расчет_аналитики'!AO559,WeightedRevAge18)-SUMIF(ThresholdAge18,"&lt;"&amp;'19_Расчет_аналитики'!AO559,WeightedMinAge18),MAX(CapacityAge18*'01_Вводные'!$B$218*'19_Расчет_аналитики'!AO559,MeanMinAge18)))</f>
        <v/>
      </c>
      <c r="AP481">
        <f>IF(OR('19_Расчет_аналитики'!AP453=0,18&lt;='01_Вводные'!$B$297),0,'19_Расчет_аналитики'!AP453*IF('01_Вводные'!$B$239="Да",MeanMinAge18+'19_Расчет_аналитики'!AP559*SUMIF(ThresholdAge18,"&lt;"&amp;'19_Расчет_аналитики'!AP559,WeightedRevAge18)-SUMIF(ThresholdAge18,"&lt;"&amp;'19_Расчет_аналитики'!AP559,WeightedMinAge18),MAX(CapacityAge18*'01_Вводные'!$B$218*'19_Расчет_аналитики'!AP559,MeanMinAge18)))</f>
        <v/>
      </c>
      <c r="AQ481">
        <f>IF(OR('19_Расчет_аналитики'!AQ453=0,18&lt;='01_Вводные'!$B$297),0,'19_Расчет_аналитики'!AQ453*IF('01_Вводные'!$B$239="Да",MeanMinAge18+'19_Расчет_аналитики'!AQ559*SUMIF(ThresholdAge18,"&lt;"&amp;'19_Расчет_аналитики'!AQ559,WeightedRevAge18)-SUMIF(ThresholdAge18,"&lt;"&amp;'19_Расчет_аналитики'!AQ559,WeightedMinAge18),MAX(CapacityAge18*'01_Вводные'!$B$218*'19_Расчет_аналитики'!AQ559,MeanMinAge18)))</f>
        <v/>
      </c>
      <c r="AR481">
        <f>IF(OR('19_Расчет_аналитики'!AR453=0,18&lt;='01_Вводные'!$B$297),0,'19_Расчет_аналитики'!AR453*IF('01_Вводные'!$B$239="Да",MeanMinAge18+'19_Расчет_аналитики'!AR559*SUMIF(ThresholdAge18,"&lt;"&amp;'19_Расчет_аналитики'!AR559,WeightedRevAge18)-SUMIF(ThresholdAge18,"&lt;"&amp;'19_Расчет_аналитики'!AR559,WeightedMinAge18),MAX(CapacityAge18*'01_Вводные'!$B$218*'19_Расчет_аналитики'!AR559,MeanMinAge18)))</f>
        <v/>
      </c>
      <c r="AS481">
        <f>IF(OR('19_Расчет_аналитики'!AS453=0,18&lt;='01_Вводные'!$B$297),0,'19_Расчет_аналитики'!AS453*IF('01_Вводные'!$B$239="Да",MeanMinAge18+'19_Расчет_аналитики'!AS559*SUMIF(ThresholdAge18,"&lt;"&amp;'19_Расчет_аналитики'!AS559,WeightedRevAge18)-SUMIF(ThresholdAge18,"&lt;"&amp;'19_Расчет_аналитики'!AS559,WeightedMinAge18),MAX(CapacityAge18*'01_Вводные'!$B$218*'19_Расчет_аналитики'!AS559,MeanMinAge18)))</f>
        <v/>
      </c>
      <c r="AT481">
        <f>IF(OR('19_Расчет_аналитики'!AT453=0,18&lt;='01_Вводные'!$B$297),0,'19_Расчет_аналитики'!AT453*IF('01_Вводные'!$B$239="Да",MeanMinAge18+'19_Расчет_аналитики'!AT559*SUMIF(ThresholdAge18,"&lt;"&amp;'19_Расчет_аналитики'!AT559,WeightedRevAge18)-SUMIF(ThresholdAge18,"&lt;"&amp;'19_Расчет_аналитики'!AT559,WeightedMinAge18),MAX(CapacityAge18*'01_Вводные'!$B$218*'19_Расчет_аналитики'!AT559,MeanMinAge18)))</f>
        <v/>
      </c>
      <c r="AU481">
        <f>IF(OR('19_Расчет_аналитики'!AU453=0,18&lt;='01_Вводные'!$B$297),0,'19_Расчет_аналитики'!AU453*IF('01_Вводные'!$B$239="Да",MeanMinAge18+'19_Расчет_аналитики'!AU559*SUMIF(ThresholdAge18,"&lt;"&amp;'19_Расчет_аналитики'!AU559,WeightedRevAge18)-SUMIF(ThresholdAge18,"&lt;"&amp;'19_Расчет_аналитики'!AU559,WeightedMinAge18),MAX(CapacityAge18*'01_Вводные'!$B$218*'19_Расчет_аналитики'!AU559,MeanMinAge18)))</f>
        <v/>
      </c>
      <c r="AV481">
        <f>IF(OR('19_Расчет_аналитики'!AV453=0,18&lt;='01_Вводные'!$B$297),0,'19_Расчет_аналитики'!AV453*IF('01_Вводные'!$B$239="Да",MeanMinAge18+'19_Расчет_аналитики'!AV559*SUMIF(ThresholdAge18,"&lt;"&amp;'19_Расчет_аналитики'!AV559,WeightedRevAge18)-SUMIF(ThresholdAge18,"&lt;"&amp;'19_Расчет_аналитики'!AV559,WeightedMinAge18),MAX(CapacityAge18*'01_Вводные'!$B$218*'19_Расчет_аналитики'!AV559,MeanMinAge18)))</f>
        <v/>
      </c>
      <c r="AW481">
        <f>IF(OR('19_Расчет_аналитики'!AW453=0,18&lt;='01_Вводные'!$B$297),0,'19_Расчет_аналитики'!AW453*IF('01_Вводные'!$B$239="Да",MeanMinAge18+'19_Расчет_аналитики'!AW559*SUMIF(ThresholdAge18,"&lt;"&amp;'19_Расчет_аналитики'!AW559,WeightedRevAge18)-SUMIF(ThresholdAge18,"&lt;"&amp;'19_Расчет_аналитики'!AW559,WeightedMinAge18),MAX(CapacityAge18*'01_Вводные'!$B$218*'19_Расчет_аналитики'!AW559,MeanMinAge18)))</f>
        <v/>
      </c>
      <c r="AX481">
        <f>IF(OR('19_Расчет_аналитики'!AX453=0,18&lt;='01_Вводные'!$B$297),0,'19_Расчет_аналитики'!AX453*IF('01_Вводные'!$B$239="Да",MeanMinAge18+'19_Расчет_аналитики'!AX559*SUMIF(ThresholdAge18,"&lt;"&amp;'19_Расчет_аналитики'!AX559,WeightedRevAge18)-SUMIF(ThresholdAge18,"&lt;"&amp;'19_Расчет_аналитики'!AX559,WeightedMinAge18),MAX(CapacityAge18*'01_Вводные'!$B$218*'19_Расчет_аналитики'!AX559,MeanMinAge18)))</f>
        <v/>
      </c>
      <c r="AY481">
        <f>IF(OR('19_Расчет_аналитики'!AY453=0,18&lt;='01_Вводные'!$B$297),0,'19_Расчет_аналитики'!AY453*IF('01_Вводные'!$B$239="Да",MeanMinAge18+'19_Расчет_аналитики'!AY559*SUMIF(ThresholdAge18,"&lt;"&amp;'19_Расчет_аналитики'!AY559,WeightedRevAge18)-SUMIF(ThresholdAge18,"&lt;"&amp;'19_Расчет_аналитики'!AY559,WeightedMinAge18),MAX(CapacityAge18*'01_Вводные'!$B$218*'19_Расчет_аналитики'!AY559,MeanMinAge18)))</f>
        <v/>
      </c>
      <c r="AZ481">
        <f>IF(OR('19_Расчет_аналитики'!AZ453=0,18&lt;='01_Вводные'!$B$297),0,'19_Расчет_аналитики'!AZ453*IF('01_Вводные'!$B$239="Да",MeanMinAge18+'19_Расчет_аналитики'!AZ559*SUMIF(ThresholdAge18,"&lt;"&amp;'19_Расчет_аналитики'!AZ559,WeightedRevAge18)-SUMIF(ThresholdAge18,"&lt;"&amp;'19_Расчет_аналитики'!AZ559,WeightedMinAge18),MAX(CapacityAge18*'01_Вводные'!$B$218*'19_Расчет_аналитики'!AZ559,MeanMinAge18)))</f>
        <v/>
      </c>
      <c r="BA481">
        <f>IF(OR('19_Расчет_аналитики'!BA453=0,18&lt;='01_Вводные'!$B$297),0,'19_Расчет_аналитики'!BA453*IF('01_Вводные'!$B$239="Да",MeanMinAge18+'19_Расчет_аналитики'!BA559*SUMIF(ThresholdAge18,"&lt;"&amp;'19_Расчет_аналитики'!BA559,WeightedRevAge18)-SUMIF(ThresholdAge18,"&lt;"&amp;'19_Расчет_аналитики'!BA559,WeightedMinAge18),MAX(CapacityAge18*'01_Вводные'!$B$218*'19_Расчет_аналитики'!BA559,MeanMinAge18)))</f>
        <v/>
      </c>
      <c r="BB481">
        <f>IF(OR('19_Расчет_аналитики'!BB453=0,18&lt;='01_Вводные'!$B$297),0,'19_Расчет_аналитики'!BB453*IF('01_Вводные'!$B$239="Да",MeanMinAge18+'19_Расчет_аналитики'!BB559*SUMIF(ThresholdAge18,"&lt;"&amp;'19_Расчет_аналитики'!BB559,WeightedRevAge18)-SUMIF(ThresholdAge18,"&lt;"&amp;'19_Расчет_аналитики'!BB559,WeightedMinAge18),MAX(CapacityAge18*'01_Вводные'!$B$218*'19_Расчет_аналитики'!BB559,MeanMinAge18)))</f>
        <v/>
      </c>
      <c r="BC481">
        <f>IF(OR('19_Расчет_аналитики'!BC453=0,18&lt;='01_Вводные'!$B$297),0,'19_Расчет_аналитики'!BC453*IF('01_Вводные'!$B$239="Да",MeanMinAge18+'19_Расчет_аналитики'!BC559*SUMIF(ThresholdAge18,"&lt;"&amp;'19_Расчет_аналитики'!BC559,WeightedRevAge18)-SUMIF(ThresholdAge18,"&lt;"&amp;'19_Расчет_аналитики'!BC559,WeightedMinAge18),MAX(CapacityAge18*'01_Вводные'!$B$218*'19_Расчет_аналитики'!BC559,MeanMinAge18)))</f>
        <v/>
      </c>
      <c r="BD481">
        <f>IF(OR('19_Расчет_аналитики'!BD453=0,18&lt;='01_Вводные'!$B$297),0,'19_Расчет_аналитики'!BD453*IF('01_Вводные'!$B$239="Да",MeanMinAge18+'19_Расчет_аналитики'!BD559*SUMIF(ThresholdAge18,"&lt;"&amp;'19_Расчет_аналитики'!BD559,WeightedRevAge18)-SUMIF(ThresholdAge18,"&lt;"&amp;'19_Расчет_аналитики'!BD559,WeightedMinAge18),MAX(CapacityAge18*'01_Вводные'!$B$218*'19_Расчет_аналитики'!BD559,MeanMinAge18)))</f>
        <v/>
      </c>
      <c r="BE481">
        <f>IF(OR('19_Расчет_аналитики'!BE453=0,18&lt;='01_Вводные'!$B$297),0,'19_Расчет_аналитики'!BE453*IF('01_Вводные'!$B$239="Да",MeanMinAge18+'19_Расчет_аналитики'!BE559*SUMIF(ThresholdAge18,"&lt;"&amp;'19_Расчет_аналитики'!BE559,WeightedRevAge18)-SUMIF(ThresholdAge18,"&lt;"&amp;'19_Расчет_аналитики'!BE559,WeightedMinAge18),MAX(CapacityAge18*'01_Вводные'!$B$218*'19_Расчет_аналитики'!BE559,MeanMinAge18)))</f>
        <v/>
      </c>
      <c r="BF481">
        <f>IF(OR('19_Расчет_аналитики'!BF453=0,18&lt;='01_Вводные'!$B$297),0,'19_Расчет_аналитики'!BF453*IF('01_Вводные'!$B$239="Да",MeanMinAge18+'19_Расчет_аналитики'!BF559*SUMIF(ThresholdAge18,"&lt;"&amp;'19_Расчет_аналитики'!BF559,WeightedRevAge18)-SUMIF(ThresholdAge18,"&lt;"&amp;'19_Расчет_аналитики'!BF559,WeightedMinAge18),MAX(CapacityAge18*'01_Вводные'!$B$218*'19_Расчет_аналитики'!BF559,MeanMinAge18)))</f>
        <v/>
      </c>
      <c r="BG481">
        <f>IF(OR('19_Расчет_аналитики'!BG453=0,18&lt;='01_Вводные'!$B$297),0,'19_Расчет_аналитики'!BG453*IF('01_Вводные'!$B$239="Да",MeanMinAge18+'19_Расчет_аналитики'!BG559*SUMIF(ThresholdAge18,"&lt;"&amp;'19_Расчет_аналитики'!BG559,WeightedRevAge18)-SUMIF(ThresholdAge18,"&lt;"&amp;'19_Расчет_аналитики'!BG559,WeightedMinAge18),MAX(CapacityAge18*'01_Вводные'!$B$218*'19_Расчет_аналитики'!BG559,MeanMinAge18)))</f>
        <v/>
      </c>
      <c r="BH481">
        <f>IF(OR('19_Расчет_аналитики'!BH453=0,18&lt;='01_Вводные'!$B$297),0,'19_Расчет_аналитики'!BH453*IF('01_Вводные'!$B$239="Да",MeanMinAge18+'19_Расчет_аналитики'!BH559*SUMIF(ThresholdAge18,"&lt;"&amp;'19_Расчет_аналитики'!BH559,WeightedRevAge18)-SUMIF(ThresholdAge18,"&lt;"&amp;'19_Расчет_аналитики'!BH559,WeightedMinAge18),MAX(CapacityAge18*'01_Вводные'!$B$218*'19_Расчет_аналитики'!BH559,MeanMinAge18)))</f>
        <v/>
      </c>
      <c r="BI481">
        <f>IF(OR('19_Расчет_аналитики'!BI453=0,18&lt;='01_Вводные'!$B$297),0,'19_Расчет_аналитики'!BI453*IF('01_Вводные'!$B$239="Да",MeanMinAge18+'19_Расчет_аналитики'!BI559*SUMIF(ThresholdAge18,"&lt;"&amp;'19_Расчет_аналитики'!BI559,WeightedRevAge18)-SUMIF(ThresholdAge18,"&lt;"&amp;'19_Расчет_аналитики'!BI559,WeightedMinAge18),MAX(CapacityAge18*'01_Вводные'!$B$218*'19_Расчет_аналитики'!BI559,MeanMinAge18)))</f>
        <v/>
      </c>
      <c r="BJ481">
        <f>IF(OR('19_Расчет_аналитики'!BJ453=0,18&lt;='01_Вводные'!$B$297),0,'19_Расчет_аналитики'!BJ453*IF('01_Вводные'!$B$239="Да",MeanMinAge18+'19_Расчет_аналитики'!BJ559*SUMIF(ThresholdAge18,"&lt;"&amp;'19_Расчет_аналитики'!BJ559,WeightedRevAge18)-SUMIF(ThresholdAge18,"&lt;"&amp;'19_Расчет_аналитики'!BJ559,WeightedMinAge18),MAX(CapacityAge18*'01_Вводные'!$B$218*'19_Расчет_аналитики'!BJ559,MeanMinAge18)))</f>
        <v/>
      </c>
      <c r="BK481">
        <f>IF(OR('19_Расчет_аналитики'!BK453=0,18&lt;='01_Вводные'!$B$297),0,'19_Расчет_аналитики'!BK453*IF('01_Вводные'!$B$239="Да",MeanMinAge18+'19_Расчет_аналитики'!BK559*SUMIF(ThresholdAge18,"&lt;"&amp;'19_Расчет_аналитики'!BK559,WeightedRevAge18)-SUMIF(ThresholdAge18,"&lt;"&amp;'19_Расчет_аналитики'!BK559,WeightedMinAge18),MAX(CapacityAge18*'01_Вводные'!$B$218*'19_Расчет_аналитики'!BK559,MeanMinAge18)))</f>
        <v/>
      </c>
      <c r="BL481">
        <f>IF(OR('19_Расчет_аналитики'!BL453=0,18&lt;='01_Вводные'!$B$297),0,'19_Расчет_аналитики'!BL453*IF('01_Вводные'!$B$239="Да",MeanMinAge18+'19_Расчет_аналитики'!BL559*SUMIF(ThresholdAge18,"&lt;"&amp;'19_Расчет_аналитики'!BL559,WeightedRevAge18)-SUMIF(ThresholdAge18,"&lt;"&amp;'19_Расчет_аналитики'!BL559,WeightedMinAge18),MAX(CapacityAge18*'01_Вводные'!$B$218*'19_Расчет_аналитики'!BL559,MeanMinAge18)))</f>
        <v/>
      </c>
      <c r="BM481">
        <f>IF(OR('19_Расчет_аналитики'!BM453=0,18&lt;='01_Вводные'!$B$297),0,'19_Расчет_аналитики'!BM453*IF('01_Вводные'!$B$239="Да",MeanMinAge18+'19_Расчет_аналитики'!BM559*SUMIF(ThresholdAge18,"&lt;"&amp;'19_Расчет_аналитики'!BM559,WeightedRevAge18)-SUMIF(ThresholdAge18,"&lt;"&amp;'19_Расчет_аналитики'!BM559,WeightedMinAge18),MAX(CapacityAge18*'01_Вводные'!$B$218*'19_Расчет_аналитики'!BM559,MeanMinAge18)))</f>
        <v/>
      </c>
      <c r="BN481">
        <f>IF(OR('19_Расчет_аналитики'!BN453=0,18&lt;='01_Вводные'!$B$297),0,'19_Расчет_аналитики'!BN453*IF('01_Вводные'!$B$239="Да",MeanMinAge18+'19_Расчет_аналитики'!BN559*SUMIF(ThresholdAge18,"&lt;"&amp;'19_Расчет_аналитики'!BN559,WeightedRevAge18)-SUMIF(ThresholdAge18,"&lt;"&amp;'19_Расчет_аналитики'!BN559,WeightedMinAge18),MAX(CapacityAge18*'01_Вводные'!$B$218*'19_Расчет_аналитики'!BN559,MeanMinAge18)))</f>
        <v/>
      </c>
      <c r="BO481">
        <f>IF(OR('19_Расчет_аналитики'!BO453=0,18&lt;='01_Вводные'!$B$297),0,'19_Расчет_аналитики'!BO453*IF('01_Вводные'!$B$239="Да",MeanMinAge18+'19_Расчет_аналитики'!BO559*SUMIF(ThresholdAge18,"&lt;"&amp;'19_Расчет_аналитики'!BO559,WeightedRevAge18)-SUMIF(ThresholdAge18,"&lt;"&amp;'19_Расчет_аналитики'!BO559,WeightedMinAge18),MAX(CapacityAge18*'01_Вводные'!$B$218*'19_Расчет_аналитики'!BO559,MeanMinAge18)))</f>
        <v/>
      </c>
    </row>
    <row r="482">
      <c r="B482">
        <f>IF(OR('06_Сеть_и_дети'!B99=0,19&lt;='01_Вводные'!$B$297),0,'06_Сеть_и_дети'!B99*IF('01_Вводные'!$B$239="Да",MeanMinAge19+'19_Расчет_аналитики'!B559*SUMIF(ThresholdAge19,"&lt;"&amp;'19_Расчет_аналитики'!B559,WeightedRevAge19)-SUMIF(ThresholdAge19,"&lt;"&amp;'19_Расчет_аналитики'!B559,WeightedMinAge19),MAX(CapacityAge19*'01_Вводные'!$B$218*'19_Расчет_аналитики'!B559,MeanMinAge19)))</f>
        <v/>
      </c>
      <c r="C482">
        <f>IF(OR('06_Сеть_и_дети'!C99=0,19&lt;='01_Вводные'!$B$297),0,'06_Сеть_и_дети'!C99*IF('01_Вводные'!$B$239="Да",MeanMinAge19+'19_Расчет_аналитики'!C559*SUMIF(ThresholdAge19,"&lt;"&amp;'19_Расчет_аналитики'!C559,WeightedRevAge19)-SUMIF(ThresholdAge19,"&lt;"&amp;'19_Расчет_аналитики'!C559,WeightedMinAge19),MAX(CapacityAge19*'01_Вводные'!$B$218*'19_Расчет_аналитики'!C559,MeanMinAge19)))</f>
        <v/>
      </c>
      <c r="D482">
        <f>IF(OR('06_Сеть_и_дети'!D99=0,19&lt;='01_Вводные'!$B$297),0,'06_Сеть_и_дети'!D99*IF('01_Вводные'!$B$239="Да",MeanMinAge19+'19_Расчет_аналитики'!D559*SUMIF(ThresholdAge19,"&lt;"&amp;'19_Расчет_аналитики'!D559,WeightedRevAge19)-SUMIF(ThresholdAge19,"&lt;"&amp;'19_Расчет_аналитики'!D559,WeightedMinAge19),MAX(CapacityAge19*'01_Вводные'!$B$218*'19_Расчет_аналитики'!D559,MeanMinAge19)))</f>
        <v/>
      </c>
      <c r="E482">
        <f>IF(OR('06_Сеть_и_дети'!E99=0,19&lt;='01_Вводные'!$B$297),0,'06_Сеть_и_дети'!E99*IF('01_Вводные'!$B$239="Да",MeanMinAge19+'19_Расчет_аналитики'!E559*SUMIF(ThresholdAge19,"&lt;"&amp;'19_Расчет_аналитики'!E559,WeightedRevAge19)-SUMIF(ThresholdAge19,"&lt;"&amp;'19_Расчет_аналитики'!E559,WeightedMinAge19),MAX(CapacityAge19*'01_Вводные'!$B$218*'19_Расчет_аналитики'!E559,MeanMinAge19)))</f>
        <v/>
      </c>
      <c r="F482">
        <f>IF(OR('06_Сеть_и_дети'!F99=0,19&lt;='01_Вводные'!$B$297),0,'06_Сеть_и_дети'!F99*IF('01_Вводные'!$B$239="Да",MeanMinAge19+'19_Расчет_аналитики'!F559*SUMIF(ThresholdAge19,"&lt;"&amp;'19_Расчет_аналитики'!F559,WeightedRevAge19)-SUMIF(ThresholdAge19,"&lt;"&amp;'19_Расчет_аналитики'!F559,WeightedMinAge19),MAX(CapacityAge19*'01_Вводные'!$B$218*'19_Расчет_аналитики'!F559,MeanMinAge19)))</f>
        <v/>
      </c>
      <c r="G482">
        <f>IF(OR('06_Сеть_и_дети'!G99=0,19&lt;='01_Вводные'!$B$297),0,'06_Сеть_и_дети'!G99*IF('01_Вводные'!$B$239="Да",MeanMinAge19+'19_Расчет_аналитики'!G559*SUMIF(ThresholdAge19,"&lt;"&amp;'19_Расчет_аналитики'!G559,WeightedRevAge19)-SUMIF(ThresholdAge19,"&lt;"&amp;'19_Расчет_аналитики'!G559,WeightedMinAge19),MAX(CapacityAge19*'01_Вводные'!$B$218*'19_Расчет_аналитики'!G559,MeanMinAge19)))</f>
        <v/>
      </c>
      <c r="H482">
        <f>IF(OR('06_Сеть_и_дети'!H99=0,19&lt;='01_Вводные'!$B$297),0,'06_Сеть_и_дети'!H99*IF('01_Вводные'!$B$239="Да",MeanMinAge19+'19_Расчет_аналитики'!H559*SUMIF(ThresholdAge19,"&lt;"&amp;'19_Расчет_аналитики'!H559,WeightedRevAge19)-SUMIF(ThresholdAge19,"&lt;"&amp;'19_Расчет_аналитики'!H559,WeightedMinAge19),MAX(CapacityAge19*'01_Вводные'!$B$218*'19_Расчет_аналитики'!H559,MeanMinAge19)))</f>
        <v/>
      </c>
      <c r="I482">
        <f>IF(OR('06_Сеть_и_дети'!I99=0,19&lt;='01_Вводные'!$B$297),0,'06_Сеть_и_дети'!I99*IF('01_Вводные'!$B$239="Да",MeanMinAge19+'19_Расчет_аналитики'!I559*SUMIF(ThresholdAge19,"&lt;"&amp;'19_Расчет_аналитики'!I559,WeightedRevAge19)-SUMIF(ThresholdAge19,"&lt;"&amp;'19_Расчет_аналитики'!I559,WeightedMinAge19),MAX(CapacityAge19*'01_Вводные'!$B$218*'19_Расчет_аналитики'!I559,MeanMinAge19)))</f>
        <v/>
      </c>
      <c r="J482">
        <f>IF(OR('06_Сеть_и_дети'!J99=0,19&lt;='01_Вводные'!$B$297),0,'06_Сеть_и_дети'!J99*IF('01_Вводные'!$B$239="Да",MeanMinAge19+'19_Расчет_аналитики'!J559*SUMIF(ThresholdAge19,"&lt;"&amp;'19_Расчет_аналитики'!J559,WeightedRevAge19)-SUMIF(ThresholdAge19,"&lt;"&amp;'19_Расчет_аналитики'!J559,WeightedMinAge19),MAX(CapacityAge19*'01_Вводные'!$B$218*'19_Расчет_аналитики'!J559,MeanMinAge19)))</f>
        <v/>
      </c>
      <c r="K482">
        <f>IF(OR('06_Сеть_и_дети'!K99=0,19&lt;='01_Вводные'!$B$297),0,'06_Сеть_и_дети'!K99*IF('01_Вводные'!$B$239="Да",MeanMinAge19+'19_Расчет_аналитики'!K559*SUMIF(ThresholdAge19,"&lt;"&amp;'19_Расчет_аналитики'!K559,WeightedRevAge19)-SUMIF(ThresholdAge19,"&lt;"&amp;'19_Расчет_аналитики'!K559,WeightedMinAge19),MAX(CapacityAge19*'01_Вводные'!$B$218*'19_Расчет_аналитики'!K559,MeanMinAge19)))</f>
        <v/>
      </c>
      <c r="L482">
        <f>IF(OR('06_Сеть_и_дети'!L99=0,19&lt;='01_Вводные'!$B$297),0,'06_Сеть_и_дети'!L99*IF('01_Вводные'!$B$239="Да",MeanMinAge19+'19_Расчет_аналитики'!L559*SUMIF(ThresholdAge19,"&lt;"&amp;'19_Расчет_аналитики'!L559,WeightedRevAge19)-SUMIF(ThresholdAge19,"&lt;"&amp;'19_Расчет_аналитики'!L559,WeightedMinAge19),MAX(CapacityAge19*'01_Вводные'!$B$218*'19_Расчет_аналитики'!L559,MeanMinAge19)))</f>
        <v/>
      </c>
      <c r="M482">
        <f>IF(OR('06_Сеть_и_дети'!M99=0,19&lt;='01_Вводные'!$B$297),0,'06_Сеть_и_дети'!M99*IF('01_Вводные'!$B$239="Да",MeanMinAge19+'19_Расчет_аналитики'!M559*SUMIF(ThresholdAge19,"&lt;"&amp;'19_Расчет_аналитики'!M559,WeightedRevAge19)-SUMIF(ThresholdAge19,"&lt;"&amp;'19_Расчет_аналитики'!M559,WeightedMinAge19),MAX(CapacityAge19*'01_Вводные'!$B$218*'19_Расчет_аналитики'!M559,MeanMinAge19)))</f>
        <v/>
      </c>
      <c r="N482">
        <f>IF(OR('06_Сеть_и_дети'!N99=0,19&lt;='01_Вводные'!$B$297),0,'06_Сеть_и_дети'!N99*IF('01_Вводные'!$B$239="Да",MeanMinAge19+'19_Расчет_аналитики'!N559*SUMIF(ThresholdAge19,"&lt;"&amp;'19_Расчет_аналитики'!N559,WeightedRevAge19)-SUMIF(ThresholdAge19,"&lt;"&amp;'19_Расчет_аналитики'!N559,WeightedMinAge19),MAX(CapacityAge19*'01_Вводные'!$B$218*'19_Расчет_аналитики'!N559,MeanMinAge19)))</f>
        <v/>
      </c>
      <c r="O482">
        <f>IF(OR('06_Сеть_и_дети'!O99=0,19&lt;='01_Вводные'!$B$297),0,'06_Сеть_и_дети'!O99*IF('01_Вводные'!$B$239="Да",MeanMinAge19+'19_Расчет_аналитики'!O559*SUMIF(ThresholdAge19,"&lt;"&amp;'19_Расчет_аналитики'!O559,WeightedRevAge19)-SUMIF(ThresholdAge19,"&lt;"&amp;'19_Расчет_аналитики'!O559,WeightedMinAge19),MAX(CapacityAge19*'01_Вводные'!$B$218*'19_Расчет_аналитики'!O559,MeanMinAge19)))</f>
        <v/>
      </c>
      <c r="P482">
        <f>IF(OR('06_Сеть_и_дети'!P99=0,19&lt;='01_Вводные'!$B$297),0,'06_Сеть_и_дети'!P99*IF('01_Вводные'!$B$239="Да",MeanMinAge19+'19_Расчет_аналитики'!P559*SUMIF(ThresholdAge19,"&lt;"&amp;'19_Расчет_аналитики'!P559,WeightedRevAge19)-SUMIF(ThresholdAge19,"&lt;"&amp;'19_Расчет_аналитики'!P559,WeightedMinAge19),MAX(CapacityAge19*'01_Вводные'!$B$218*'19_Расчет_аналитики'!P559,MeanMinAge19)))</f>
        <v/>
      </c>
      <c r="Q482">
        <f>IF(OR('06_Сеть_и_дети'!Q99=0,19&lt;='01_Вводные'!$B$297),0,'06_Сеть_и_дети'!Q99*IF('01_Вводные'!$B$239="Да",MeanMinAge19+'19_Расчет_аналитики'!Q559*SUMIF(ThresholdAge19,"&lt;"&amp;'19_Расчет_аналитики'!Q559,WeightedRevAge19)-SUMIF(ThresholdAge19,"&lt;"&amp;'19_Расчет_аналитики'!Q559,WeightedMinAge19),MAX(CapacityAge19*'01_Вводные'!$B$218*'19_Расчет_аналитики'!Q559,MeanMinAge19)))</f>
        <v/>
      </c>
      <c r="R482">
        <f>IF(OR('06_Сеть_и_дети'!R99=0,19&lt;='01_Вводные'!$B$297),0,'06_Сеть_и_дети'!R99*IF('01_Вводные'!$B$239="Да",MeanMinAge19+'19_Расчет_аналитики'!R559*SUMIF(ThresholdAge19,"&lt;"&amp;'19_Расчет_аналитики'!R559,WeightedRevAge19)-SUMIF(ThresholdAge19,"&lt;"&amp;'19_Расчет_аналитики'!R559,WeightedMinAge19),MAX(CapacityAge19*'01_Вводные'!$B$218*'19_Расчет_аналитики'!R559,MeanMinAge19)))</f>
        <v/>
      </c>
      <c r="S482">
        <f>IF(OR('06_Сеть_и_дети'!S99=0,19&lt;='01_Вводные'!$B$297),0,'06_Сеть_и_дети'!S99*IF('01_Вводные'!$B$239="Да",MeanMinAge19+'19_Расчет_аналитики'!S559*SUMIF(ThresholdAge19,"&lt;"&amp;'19_Расчет_аналитики'!S559,WeightedRevAge19)-SUMIF(ThresholdAge19,"&lt;"&amp;'19_Расчет_аналитики'!S559,WeightedMinAge19),MAX(CapacityAge19*'01_Вводные'!$B$218*'19_Расчет_аналитики'!S559,MeanMinAge19)))</f>
        <v/>
      </c>
      <c r="T482">
        <f>IF(OR('19_Расчет_аналитики'!T454=0,19&lt;='01_Вводные'!$B$297),0,'19_Расчет_аналитики'!T454*IF('01_Вводные'!$B$239="Да",MeanMinAge19+'19_Расчет_аналитики'!T559*SUMIF(ThresholdAge19,"&lt;"&amp;'19_Расчет_аналитики'!T559,WeightedRevAge19)-SUMIF(ThresholdAge19,"&lt;"&amp;'19_Расчет_аналитики'!T559,WeightedMinAge19),MAX(CapacityAge19*'01_Вводные'!$B$218*'19_Расчет_аналитики'!T559,MeanMinAge19)))</f>
        <v/>
      </c>
      <c r="U482">
        <f>IF(OR('19_Расчет_аналитики'!U454=0,19&lt;='01_Вводные'!$B$297),0,'19_Расчет_аналитики'!U454*IF('01_Вводные'!$B$239="Да",MeanMinAge19+'19_Расчет_аналитики'!U559*SUMIF(ThresholdAge19,"&lt;"&amp;'19_Расчет_аналитики'!U559,WeightedRevAge19)-SUMIF(ThresholdAge19,"&lt;"&amp;'19_Расчет_аналитики'!U559,WeightedMinAge19),MAX(CapacityAge19*'01_Вводные'!$B$218*'19_Расчет_аналитики'!U559,MeanMinAge19)))</f>
        <v/>
      </c>
      <c r="V482">
        <f>IF(OR('19_Расчет_аналитики'!V454=0,19&lt;='01_Вводные'!$B$297),0,'19_Расчет_аналитики'!V454*IF('01_Вводные'!$B$239="Да",MeanMinAge19+'19_Расчет_аналитики'!V559*SUMIF(ThresholdAge19,"&lt;"&amp;'19_Расчет_аналитики'!V559,WeightedRevAge19)-SUMIF(ThresholdAge19,"&lt;"&amp;'19_Расчет_аналитики'!V559,WeightedMinAge19),MAX(CapacityAge19*'01_Вводные'!$B$218*'19_Расчет_аналитики'!V559,MeanMinAge19)))</f>
        <v/>
      </c>
      <c r="W482">
        <f>IF(OR('19_Расчет_аналитики'!W454=0,19&lt;='01_Вводные'!$B$297),0,'19_Расчет_аналитики'!W454*IF('01_Вводные'!$B$239="Да",MeanMinAge19+'19_Расчет_аналитики'!W559*SUMIF(ThresholdAge19,"&lt;"&amp;'19_Расчет_аналитики'!W559,WeightedRevAge19)-SUMIF(ThresholdAge19,"&lt;"&amp;'19_Расчет_аналитики'!W559,WeightedMinAge19),MAX(CapacityAge19*'01_Вводные'!$B$218*'19_Расчет_аналитики'!W559,MeanMinAge19)))</f>
        <v/>
      </c>
      <c r="X482">
        <f>IF(OR('19_Расчет_аналитики'!X454=0,19&lt;='01_Вводные'!$B$297),0,'19_Расчет_аналитики'!X454*IF('01_Вводные'!$B$239="Да",MeanMinAge19+'19_Расчет_аналитики'!X559*SUMIF(ThresholdAge19,"&lt;"&amp;'19_Расчет_аналитики'!X559,WeightedRevAge19)-SUMIF(ThresholdAge19,"&lt;"&amp;'19_Расчет_аналитики'!X559,WeightedMinAge19),MAX(CapacityAge19*'01_Вводные'!$B$218*'19_Расчет_аналитики'!X559,MeanMinAge19)))</f>
        <v/>
      </c>
      <c r="Y482">
        <f>IF(OR('19_Расчет_аналитики'!Y454=0,19&lt;='01_Вводные'!$B$297),0,'19_Расчет_аналитики'!Y454*IF('01_Вводные'!$B$239="Да",MeanMinAge19+'19_Расчет_аналитики'!Y559*SUMIF(ThresholdAge19,"&lt;"&amp;'19_Расчет_аналитики'!Y559,WeightedRevAge19)-SUMIF(ThresholdAge19,"&lt;"&amp;'19_Расчет_аналитики'!Y559,WeightedMinAge19),MAX(CapacityAge19*'01_Вводные'!$B$218*'19_Расчет_аналитики'!Y559,MeanMinAge19)))</f>
        <v/>
      </c>
      <c r="Z482">
        <f>IF(OR('19_Расчет_аналитики'!Z454=0,19&lt;='01_Вводные'!$B$297),0,'19_Расчет_аналитики'!Z454*IF('01_Вводные'!$B$239="Да",MeanMinAge19+'19_Расчет_аналитики'!Z559*SUMIF(ThresholdAge19,"&lt;"&amp;'19_Расчет_аналитики'!Z559,WeightedRevAge19)-SUMIF(ThresholdAge19,"&lt;"&amp;'19_Расчет_аналитики'!Z559,WeightedMinAge19),MAX(CapacityAge19*'01_Вводные'!$B$218*'19_Расчет_аналитики'!Z559,MeanMinAge19)))</f>
        <v/>
      </c>
      <c r="AA482">
        <f>IF(OR('19_Расчет_аналитики'!AA454=0,19&lt;='01_Вводные'!$B$297),0,'19_Расчет_аналитики'!AA454*IF('01_Вводные'!$B$239="Да",MeanMinAge19+'19_Расчет_аналитики'!AA559*SUMIF(ThresholdAge19,"&lt;"&amp;'19_Расчет_аналитики'!AA559,WeightedRevAge19)-SUMIF(ThresholdAge19,"&lt;"&amp;'19_Расчет_аналитики'!AA559,WeightedMinAge19),MAX(CapacityAge19*'01_Вводные'!$B$218*'19_Расчет_аналитики'!AA559,MeanMinAge19)))</f>
        <v/>
      </c>
      <c r="AB482">
        <f>IF(OR('19_Расчет_аналитики'!AB454=0,19&lt;='01_Вводные'!$B$297),0,'19_Расчет_аналитики'!AB454*IF('01_Вводные'!$B$239="Да",MeanMinAge19+'19_Расчет_аналитики'!AB559*SUMIF(ThresholdAge19,"&lt;"&amp;'19_Расчет_аналитики'!AB559,WeightedRevAge19)-SUMIF(ThresholdAge19,"&lt;"&amp;'19_Расчет_аналитики'!AB559,WeightedMinAge19),MAX(CapacityAge19*'01_Вводные'!$B$218*'19_Расчет_аналитики'!AB559,MeanMinAge19)))</f>
        <v/>
      </c>
      <c r="AC482">
        <f>IF(OR('19_Расчет_аналитики'!AC454=0,19&lt;='01_Вводные'!$B$297),0,'19_Расчет_аналитики'!AC454*IF('01_Вводные'!$B$239="Да",MeanMinAge19+'19_Расчет_аналитики'!AC559*SUMIF(ThresholdAge19,"&lt;"&amp;'19_Расчет_аналитики'!AC559,WeightedRevAge19)-SUMIF(ThresholdAge19,"&lt;"&amp;'19_Расчет_аналитики'!AC559,WeightedMinAge19),MAX(CapacityAge19*'01_Вводные'!$B$218*'19_Расчет_аналитики'!AC559,MeanMinAge19)))</f>
        <v/>
      </c>
      <c r="AD482">
        <f>IF(OR('19_Расчет_аналитики'!AD454=0,19&lt;='01_Вводные'!$B$297),0,'19_Расчет_аналитики'!AD454*IF('01_Вводные'!$B$239="Да",MeanMinAge19+'19_Расчет_аналитики'!AD559*SUMIF(ThresholdAge19,"&lt;"&amp;'19_Расчет_аналитики'!AD559,WeightedRevAge19)-SUMIF(ThresholdAge19,"&lt;"&amp;'19_Расчет_аналитики'!AD559,WeightedMinAge19),MAX(CapacityAge19*'01_Вводные'!$B$218*'19_Расчет_аналитики'!AD559,MeanMinAge19)))</f>
        <v/>
      </c>
      <c r="AE482">
        <f>IF(OR('19_Расчет_аналитики'!AE454=0,19&lt;='01_Вводные'!$B$297),0,'19_Расчет_аналитики'!AE454*IF('01_Вводные'!$B$239="Да",MeanMinAge19+'19_Расчет_аналитики'!AE559*SUMIF(ThresholdAge19,"&lt;"&amp;'19_Расчет_аналитики'!AE559,WeightedRevAge19)-SUMIF(ThresholdAge19,"&lt;"&amp;'19_Расчет_аналитики'!AE559,WeightedMinAge19),MAX(CapacityAge19*'01_Вводные'!$B$218*'19_Расчет_аналитики'!AE559,MeanMinAge19)))</f>
        <v/>
      </c>
      <c r="AF482">
        <f>IF(OR('19_Расчет_аналитики'!AF454=0,19&lt;='01_Вводные'!$B$297),0,'19_Расчет_аналитики'!AF454*IF('01_Вводные'!$B$239="Да",MeanMinAge19+'19_Расчет_аналитики'!AF559*SUMIF(ThresholdAge19,"&lt;"&amp;'19_Расчет_аналитики'!AF559,WeightedRevAge19)-SUMIF(ThresholdAge19,"&lt;"&amp;'19_Расчет_аналитики'!AF559,WeightedMinAge19),MAX(CapacityAge19*'01_Вводные'!$B$218*'19_Расчет_аналитики'!AF559,MeanMinAge19)))</f>
        <v/>
      </c>
      <c r="AG482">
        <f>IF(OR('19_Расчет_аналитики'!AG454=0,19&lt;='01_Вводные'!$B$297),0,'19_Расчет_аналитики'!AG454*IF('01_Вводные'!$B$239="Да",MeanMinAge19+'19_Расчет_аналитики'!AG559*SUMIF(ThresholdAge19,"&lt;"&amp;'19_Расчет_аналитики'!AG559,WeightedRevAge19)-SUMIF(ThresholdAge19,"&lt;"&amp;'19_Расчет_аналитики'!AG559,WeightedMinAge19),MAX(CapacityAge19*'01_Вводные'!$B$218*'19_Расчет_аналитики'!AG559,MeanMinAge19)))</f>
        <v/>
      </c>
      <c r="AH482">
        <f>IF(OR('19_Расчет_аналитики'!AH454=0,19&lt;='01_Вводные'!$B$297),0,'19_Расчет_аналитики'!AH454*IF('01_Вводные'!$B$239="Да",MeanMinAge19+'19_Расчет_аналитики'!AH559*SUMIF(ThresholdAge19,"&lt;"&amp;'19_Расчет_аналитики'!AH559,WeightedRevAge19)-SUMIF(ThresholdAge19,"&lt;"&amp;'19_Расчет_аналитики'!AH559,WeightedMinAge19),MAX(CapacityAge19*'01_Вводные'!$B$218*'19_Расчет_аналитики'!AH559,MeanMinAge19)))</f>
        <v/>
      </c>
      <c r="AI482">
        <f>IF(OR('19_Расчет_аналитики'!AI454=0,19&lt;='01_Вводные'!$B$297),0,'19_Расчет_аналитики'!AI454*IF('01_Вводные'!$B$239="Да",MeanMinAge19+'19_Расчет_аналитики'!AI559*SUMIF(ThresholdAge19,"&lt;"&amp;'19_Расчет_аналитики'!AI559,WeightedRevAge19)-SUMIF(ThresholdAge19,"&lt;"&amp;'19_Расчет_аналитики'!AI559,WeightedMinAge19),MAX(CapacityAge19*'01_Вводные'!$B$218*'19_Расчет_аналитики'!AI559,MeanMinAge19)))</f>
        <v/>
      </c>
      <c r="AJ482">
        <f>IF(OR('19_Расчет_аналитики'!AJ454=0,19&lt;='01_Вводные'!$B$297),0,'19_Расчет_аналитики'!AJ454*IF('01_Вводные'!$B$239="Да",MeanMinAge19+'19_Расчет_аналитики'!AJ559*SUMIF(ThresholdAge19,"&lt;"&amp;'19_Расчет_аналитики'!AJ559,WeightedRevAge19)-SUMIF(ThresholdAge19,"&lt;"&amp;'19_Расчет_аналитики'!AJ559,WeightedMinAge19),MAX(CapacityAge19*'01_Вводные'!$B$218*'19_Расчет_аналитики'!AJ559,MeanMinAge19)))</f>
        <v/>
      </c>
      <c r="AK482">
        <f>IF(OR('19_Расчет_аналитики'!AK454=0,19&lt;='01_Вводные'!$B$297),0,'19_Расчет_аналитики'!AK454*IF('01_Вводные'!$B$239="Да",MeanMinAge19+'19_Расчет_аналитики'!AK559*SUMIF(ThresholdAge19,"&lt;"&amp;'19_Расчет_аналитики'!AK559,WeightedRevAge19)-SUMIF(ThresholdAge19,"&lt;"&amp;'19_Расчет_аналитики'!AK559,WeightedMinAge19),MAX(CapacityAge19*'01_Вводные'!$B$218*'19_Расчет_аналитики'!AK559,MeanMinAge19)))</f>
        <v/>
      </c>
      <c r="AL482">
        <f>IF(OR('19_Расчет_аналитики'!AL454=0,19&lt;='01_Вводные'!$B$297),0,'19_Расчет_аналитики'!AL454*IF('01_Вводные'!$B$239="Да",MeanMinAge19+'19_Расчет_аналитики'!AL559*SUMIF(ThresholdAge19,"&lt;"&amp;'19_Расчет_аналитики'!AL559,WeightedRevAge19)-SUMIF(ThresholdAge19,"&lt;"&amp;'19_Расчет_аналитики'!AL559,WeightedMinAge19),MAX(CapacityAge19*'01_Вводные'!$B$218*'19_Расчет_аналитики'!AL559,MeanMinAge19)))</f>
        <v/>
      </c>
      <c r="AM482">
        <f>IF(OR('19_Расчет_аналитики'!AM454=0,19&lt;='01_Вводные'!$B$297),0,'19_Расчет_аналитики'!AM454*IF('01_Вводные'!$B$239="Да",MeanMinAge19+'19_Расчет_аналитики'!AM559*SUMIF(ThresholdAge19,"&lt;"&amp;'19_Расчет_аналитики'!AM559,WeightedRevAge19)-SUMIF(ThresholdAge19,"&lt;"&amp;'19_Расчет_аналитики'!AM559,WeightedMinAge19),MAX(CapacityAge19*'01_Вводные'!$B$218*'19_Расчет_аналитики'!AM559,MeanMinAge19)))</f>
        <v/>
      </c>
      <c r="AN482">
        <f>IF(OR('19_Расчет_аналитики'!AN454=0,19&lt;='01_Вводные'!$B$297),0,'19_Расчет_аналитики'!AN454*IF('01_Вводные'!$B$239="Да",MeanMinAge19+'19_Расчет_аналитики'!AN559*SUMIF(ThresholdAge19,"&lt;"&amp;'19_Расчет_аналитики'!AN559,WeightedRevAge19)-SUMIF(ThresholdAge19,"&lt;"&amp;'19_Расчет_аналитики'!AN559,WeightedMinAge19),MAX(CapacityAge19*'01_Вводные'!$B$218*'19_Расчет_аналитики'!AN559,MeanMinAge19)))</f>
        <v/>
      </c>
      <c r="AO482">
        <f>IF(OR('19_Расчет_аналитики'!AO454=0,19&lt;='01_Вводные'!$B$297),0,'19_Расчет_аналитики'!AO454*IF('01_Вводные'!$B$239="Да",MeanMinAge19+'19_Расчет_аналитики'!AO559*SUMIF(ThresholdAge19,"&lt;"&amp;'19_Расчет_аналитики'!AO559,WeightedRevAge19)-SUMIF(ThresholdAge19,"&lt;"&amp;'19_Расчет_аналитики'!AO559,WeightedMinAge19),MAX(CapacityAge19*'01_Вводные'!$B$218*'19_Расчет_аналитики'!AO559,MeanMinAge19)))</f>
        <v/>
      </c>
      <c r="AP482">
        <f>IF(OR('19_Расчет_аналитики'!AP454=0,19&lt;='01_Вводные'!$B$297),0,'19_Расчет_аналитики'!AP454*IF('01_Вводные'!$B$239="Да",MeanMinAge19+'19_Расчет_аналитики'!AP559*SUMIF(ThresholdAge19,"&lt;"&amp;'19_Расчет_аналитики'!AP559,WeightedRevAge19)-SUMIF(ThresholdAge19,"&lt;"&amp;'19_Расчет_аналитики'!AP559,WeightedMinAge19),MAX(CapacityAge19*'01_Вводные'!$B$218*'19_Расчет_аналитики'!AP559,MeanMinAge19)))</f>
        <v/>
      </c>
      <c r="AQ482">
        <f>IF(OR('19_Расчет_аналитики'!AQ454=0,19&lt;='01_Вводные'!$B$297),0,'19_Расчет_аналитики'!AQ454*IF('01_Вводные'!$B$239="Да",MeanMinAge19+'19_Расчет_аналитики'!AQ559*SUMIF(ThresholdAge19,"&lt;"&amp;'19_Расчет_аналитики'!AQ559,WeightedRevAge19)-SUMIF(ThresholdAge19,"&lt;"&amp;'19_Расчет_аналитики'!AQ559,WeightedMinAge19),MAX(CapacityAge19*'01_Вводные'!$B$218*'19_Расчет_аналитики'!AQ559,MeanMinAge19)))</f>
        <v/>
      </c>
      <c r="AR482">
        <f>IF(OR('19_Расчет_аналитики'!AR454=0,19&lt;='01_Вводные'!$B$297),0,'19_Расчет_аналитики'!AR454*IF('01_Вводные'!$B$239="Да",MeanMinAge19+'19_Расчет_аналитики'!AR559*SUMIF(ThresholdAge19,"&lt;"&amp;'19_Расчет_аналитики'!AR559,WeightedRevAge19)-SUMIF(ThresholdAge19,"&lt;"&amp;'19_Расчет_аналитики'!AR559,WeightedMinAge19),MAX(CapacityAge19*'01_Вводные'!$B$218*'19_Расчет_аналитики'!AR559,MeanMinAge19)))</f>
        <v/>
      </c>
      <c r="AS482">
        <f>IF(OR('19_Расчет_аналитики'!AS454=0,19&lt;='01_Вводные'!$B$297),0,'19_Расчет_аналитики'!AS454*IF('01_Вводные'!$B$239="Да",MeanMinAge19+'19_Расчет_аналитики'!AS559*SUMIF(ThresholdAge19,"&lt;"&amp;'19_Расчет_аналитики'!AS559,WeightedRevAge19)-SUMIF(ThresholdAge19,"&lt;"&amp;'19_Расчет_аналитики'!AS559,WeightedMinAge19),MAX(CapacityAge19*'01_Вводные'!$B$218*'19_Расчет_аналитики'!AS559,MeanMinAge19)))</f>
        <v/>
      </c>
      <c r="AT482">
        <f>IF(OR('19_Расчет_аналитики'!AT454=0,19&lt;='01_Вводные'!$B$297),0,'19_Расчет_аналитики'!AT454*IF('01_Вводные'!$B$239="Да",MeanMinAge19+'19_Расчет_аналитики'!AT559*SUMIF(ThresholdAge19,"&lt;"&amp;'19_Расчет_аналитики'!AT559,WeightedRevAge19)-SUMIF(ThresholdAge19,"&lt;"&amp;'19_Расчет_аналитики'!AT559,WeightedMinAge19),MAX(CapacityAge19*'01_Вводные'!$B$218*'19_Расчет_аналитики'!AT559,MeanMinAge19)))</f>
        <v/>
      </c>
      <c r="AU482">
        <f>IF(OR('19_Расчет_аналитики'!AU454=0,19&lt;='01_Вводные'!$B$297),0,'19_Расчет_аналитики'!AU454*IF('01_Вводные'!$B$239="Да",MeanMinAge19+'19_Расчет_аналитики'!AU559*SUMIF(ThresholdAge19,"&lt;"&amp;'19_Расчет_аналитики'!AU559,WeightedRevAge19)-SUMIF(ThresholdAge19,"&lt;"&amp;'19_Расчет_аналитики'!AU559,WeightedMinAge19),MAX(CapacityAge19*'01_Вводные'!$B$218*'19_Расчет_аналитики'!AU559,MeanMinAge19)))</f>
        <v/>
      </c>
      <c r="AV482">
        <f>IF(OR('19_Расчет_аналитики'!AV454=0,19&lt;='01_Вводные'!$B$297),0,'19_Расчет_аналитики'!AV454*IF('01_Вводные'!$B$239="Да",MeanMinAge19+'19_Расчет_аналитики'!AV559*SUMIF(ThresholdAge19,"&lt;"&amp;'19_Расчет_аналитики'!AV559,WeightedRevAge19)-SUMIF(ThresholdAge19,"&lt;"&amp;'19_Расчет_аналитики'!AV559,WeightedMinAge19),MAX(CapacityAge19*'01_Вводные'!$B$218*'19_Расчет_аналитики'!AV559,MeanMinAge19)))</f>
        <v/>
      </c>
      <c r="AW482">
        <f>IF(OR('19_Расчет_аналитики'!AW454=0,19&lt;='01_Вводные'!$B$297),0,'19_Расчет_аналитики'!AW454*IF('01_Вводные'!$B$239="Да",MeanMinAge19+'19_Расчет_аналитики'!AW559*SUMIF(ThresholdAge19,"&lt;"&amp;'19_Расчет_аналитики'!AW559,WeightedRevAge19)-SUMIF(ThresholdAge19,"&lt;"&amp;'19_Расчет_аналитики'!AW559,WeightedMinAge19),MAX(CapacityAge19*'01_Вводные'!$B$218*'19_Расчет_аналитики'!AW559,MeanMinAge19)))</f>
        <v/>
      </c>
      <c r="AX482">
        <f>IF(OR('19_Расчет_аналитики'!AX454=0,19&lt;='01_Вводные'!$B$297),0,'19_Расчет_аналитики'!AX454*IF('01_Вводные'!$B$239="Да",MeanMinAge19+'19_Расчет_аналитики'!AX559*SUMIF(ThresholdAge19,"&lt;"&amp;'19_Расчет_аналитики'!AX559,WeightedRevAge19)-SUMIF(ThresholdAge19,"&lt;"&amp;'19_Расчет_аналитики'!AX559,WeightedMinAge19),MAX(CapacityAge19*'01_Вводные'!$B$218*'19_Расчет_аналитики'!AX559,MeanMinAge19)))</f>
        <v/>
      </c>
      <c r="AY482">
        <f>IF(OR('19_Расчет_аналитики'!AY454=0,19&lt;='01_Вводные'!$B$297),0,'19_Расчет_аналитики'!AY454*IF('01_Вводные'!$B$239="Да",MeanMinAge19+'19_Расчет_аналитики'!AY559*SUMIF(ThresholdAge19,"&lt;"&amp;'19_Расчет_аналитики'!AY559,WeightedRevAge19)-SUMIF(ThresholdAge19,"&lt;"&amp;'19_Расчет_аналитики'!AY559,WeightedMinAge19),MAX(CapacityAge19*'01_Вводные'!$B$218*'19_Расчет_аналитики'!AY559,MeanMinAge19)))</f>
        <v/>
      </c>
      <c r="AZ482">
        <f>IF(OR('19_Расчет_аналитики'!AZ454=0,19&lt;='01_Вводные'!$B$297),0,'19_Расчет_аналитики'!AZ454*IF('01_Вводные'!$B$239="Да",MeanMinAge19+'19_Расчет_аналитики'!AZ559*SUMIF(ThresholdAge19,"&lt;"&amp;'19_Расчет_аналитики'!AZ559,WeightedRevAge19)-SUMIF(ThresholdAge19,"&lt;"&amp;'19_Расчет_аналитики'!AZ559,WeightedMinAge19),MAX(CapacityAge19*'01_Вводные'!$B$218*'19_Расчет_аналитики'!AZ559,MeanMinAge19)))</f>
        <v/>
      </c>
      <c r="BA482">
        <f>IF(OR('19_Расчет_аналитики'!BA454=0,19&lt;='01_Вводные'!$B$297),0,'19_Расчет_аналитики'!BA454*IF('01_Вводные'!$B$239="Да",MeanMinAge19+'19_Расчет_аналитики'!BA559*SUMIF(ThresholdAge19,"&lt;"&amp;'19_Расчет_аналитики'!BA559,WeightedRevAge19)-SUMIF(ThresholdAge19,"&lt;"&amp;'19_Расчет_аналитики'!BA559,WeightedMinAge19),MAX(CapacityAge19*'01_Вводные'!$B$218*'19_Расчет_аналитики'!BA559,MeanMinAge19)))</f>
        <v/>
      </c>
      <c r="BB482">
        <f>IF(OR('19_Расчет_аналитики'!BB454=0,19&lt;='01_Вводные'!$B$297),0,'19_Расчет_аналитики'!BB454*IF('01_Вводные'!$B$239="Да",MeanMinAge19+'19_Расчет_аналитики'!BB559*SUMIF(ThresholdAge19,"&lt;"&amp;'19_Расчет_аналитики'!BB559,WeightedRevAge19)-SUMIF(ThresholdAge19,"&lt;"&amp;'19_Расчет_аналитики'!BB559,WeightedMinAge19),MAX(CapacityAge19*'01_Вводные'!$B$218*'19_Расчет_аналитики'!BB559,MeanMinAge19)))</f>
        <v/>
      </c>
      <c r="BC482">
        <f>IF(OR('19_Расчет_аналитики'!BC454=0,19&lt;='01_Вводные'!$B$297),0,'19_Расчет_аналитики'!BC454*IF('01_Вводные'!$B$239="Да",MeanMinAge19+'19_Расчет_аналитики'!BC559*SUMIF(ThresholdAge19,"&lt;"&amp;'19_Расчет_аналитики'!BC559,WeightedRevAge19)-SUMIF(ThresholdAge19,"&lt;"&amp;'19_Расчет_аналитики'!BC559,WeightedMinAge19),MAX(CapacityAge19*'01_Вводные'!$B$218*'19_Расчет_аналитики'!BC559,MeanMinAge19)))</f>
        <v/>
      </c>
      <c r="BD482">
        <f>IF(OR('19_Расчет_аналитики'!BD454=0,19&lt;='01_Вводные'!$B$297),0,'19_Расчет_аналитики'!BD454*IF('01_Вводные'!$B$239="Да",MeanMinAge19+'19_Расчет_аналитики'!BD559*SUMIF(ThresholdAge19,"&lt;"&amp;'19_Расчет_аналитики'!BD559,WeightedRevAge19)-SUMIF(ThresholdAge19,"&lt;"&amp;'19_Расчет_аналитики'!BD559,WeightedMinAge19),MAX(CapacityAge19*'01_Вводные'!$B$218*'19_Расчет_аналитики'!BD559,MeanMinAge19)))</f>
        <v/>
      </c>
      <c r="BE482">
        <f>IF(OR('19_Расчет_аналитики'!BE454=0,19&lt;='01_Вводные'!$B$297),0,'19_Расчет_аналитики'!BE454*IF('01_Вводные'!$B$239="Да",MeanMinAge19+'19_Расчет_аналитики'!BE559*SUMIF(ThresholdAge19,"&lt;"&amp;'19_Расчет_аналитики'!BE559,WeightedRevAge19)-SUMIF(ThresholdAge19,"&lt;"&amp;'19_Расчет_аналитики'!BE559,WeightedMinAge19),MAX(CapacityAge19*'01_Вводные'!$B$218*'19_Расчет_аналитики'!BE559,MeanMinAge19)))</f>
        <v/>
      </c>
      <c r="BF482">
        <f>IF(OR('19_Расчет_аналитики'!BF454=0,19&lt;='01_Вводные'!$B$297),0,'19_Расчет_аналитики'!BF454*IF('01_Вводные'!$B$239="Да",MeanMinAge19+'19_Расчет_аналитики'!BF559*SUMIF(ThresholdAge19,"&lt;"&amp;'19_Расчет_аналитики'!BF559,WeightedRevAge19)-SUMIF(ThresholdAge19,"&lt;"&amp;'19_Расчет_аналитики'!BF559,WeightedMinAge19),MAX(CapacityAge19*'01_Вводные'!$B$218*'19_Расчет_аналитики'!BF559,MeanMinAge19)))</f>
        <v/>
      </c>
      <c r="BG482">
        <f>IF(OR('19_Расчет_аналитики'!BG454=0,19&lt;='01_Вводные'!$B$297),0,'19_Расчет_аналитики'!BG454*IF('01_Вводные'!$B$239="Да",MeanMinAge19+'19_Расчет_аналитики'!BG559*SUMIF(ThresholdAge19,"&lt;"&amp;'19_Расчет_аналитики'!BG559,WeightedRevAge19)-SUMIF(ThresholdAge19,"&lt;"&amp;'19_Расчет_аналитики'!BG559,WeightedMinAge19),MAX(CapacityAge19*'01_Вводные'!$B$218*'19_Расчет_аналитики'!BG559,MeanMinAge19)))</f>
        <v/>
      </c>
      <c r="BH482">
        <f>IF(OR('19_Расчет_аналитики'!BH454=0,19&lt;='01_Вводные'!$B$297),0,'19_Расчет_аналитики'!BH454*IF('01_Вводные'!$B$239="Да",MeanMinAge19+'19_Расчет_аналитики'!BH559*SUMIF(ThresholdAge19,"&lt;"&amp;'19_Расчет_аналитики'!BH559,WeightedRevAge19)-SUMIF(ThresholdAge19,"&lt;"&amp;'19_Расчет_аналитики'!BH559,WeightedMinAge19),MAX(CapacityAge19*'01_Вводные'!$B$218*'19_Расчет_аналитики'!BH559,MeanMinAge19)))</f>
        <v/>
      </c>
      <c r="BI482">
        <f>IF(OR('19_Расчет_аналитики'!BI454=0,19&lt;='01_Вводные'!$B$297),0,'19_Расчет_аналитики'!BI454*IF('01_Вводные'!$B$239="Да",MeanMinAge19+'19_Расчет_аналитики'!BI559*SUMIF(ThresholdAge19,"&lt;"&amp;'19_Расчет_аналитики'!BI559,WeightedRevAge19)-SUMIF(ThresholdAge19,"&lt;"&amp;'19_Расчет_аналитики'!BI559,WeightedMinAge19),MAX(CapacityAge19*'01_Вводные'!$B$218*'19_Расчет_аналитики'!BI559,MeanMinAge19)))</f>
        <v/>
      </c>
      <c r="BJ482">
        <f>IF(OR('19_Расчет_аналитики'!BJ454=0,19&lt;='01_Вводные'!$B$297),0,'19_Расчет_аналитики'!BJ454*IF('01_Вводные'!$B$239="Да",MeanMinAge19+'19_Расчет_аналитики'!BJ559*SUMIF(ThresholdAge19,"&lt;"&amp;'19_Расчет_аналитики'!BJ559,WeightedRevAge19)-SUMIF(ThresholdAge19,"&lt;"&amp;'19_Расчет_аналитики'!BJ559,WeightedMinAge19),MAX(CapacityAge19*'01_Вводные'!$B$218*'19_Расчет_аналитики'!BJ559,MeanMinAge19)))</f>
        <v/>
      </c>
      <c r="BK482">
        <f>IF(OR('19_Расчет_аналитики'!BK454=0,19&lt;='01_Вводные'!$B$297),0,'19_Расчет_аналитики'!BK454*IF('01_Вводные'!$B$239="Да",MeanMinAge19+'19_Расчет_аналитики'!BK559*SUMIF(ThresholdAge19,"&lt;"&amp;'19_Расчет_аналитики'!BK559,WeightedRevAge19)-SUMIF(ThresholdAge19,"&lt;"&amp;'19_Расчет_аналитики'!BK559,WeightedMinAge19),MAX(CapacityAge19*'01_Вводные'!$B$218*'19_Расчет_аналитики'!BK559,MeanMinAge19)))</f>
        <v/>
      </c>
      <c r="BL482">
        <f>IF(OR('19_Расчет_аналитики'!BL454=0,19&lt;='01_Вводные'!$B$297),0,'19_Расчет_аналитики'!BL454*IF('01_Вводные'!$B$239="Да",MeanMinAge19+'19_Расчет_аналитики'!BL559*SUMIF(ThresholdAge19,"&lt;"&amp;'19_Расчет_аналитики'!BL559,WeightedRevAge19)-SUMIF(ThresholdAge19,"&lt;"&amp;'19_Расчет_аналитики'!BL559,WeightedMinAge19),MAX(CapacityAge19*'01_Вводные'!$B$218*'19_Расчет_аналитики'!BL559,MeanMinAge19)))</f>
        <v/>
      </c>
      <c r="BM482">
        <f>IF(OR('19_Расчет_аналитики'!BM454=0,19&lt;='01_Вводные'!$B$297),0,'19_Расчет_аналитики'!BM454*IF('01_Вводные'!$B$239="Да",MeanMinAge19+'19_Расчет_аналитики'!BM559*SUMIF(ThresholdAge19,"&lt;"&amp;'19_Расчет_аналитики'!BM559,WeightedRevAge19)-SUMIF(ThresholdAge19,"&lt;"&amp;'19_Расчет_аналитики'!BM559,WeightedMinAge19),MAX(CapacityAge19*'01_Вводные'!$B$218*'19_Расчет_аналитики'!BM559,MeanMinAge19)))</f>
        <v/>
      </c>
      <c r="BN482">
        <f>IF(OR('19_Расчет_аналитики'!BN454=0,19&lt;='01_Вводные'!$B$297),0,'19_Расчет_аналитики'!BN454*IF('01_Вводные'!$B$239="Да",MeanMinAge19+'19_Расчет_аналитики'!BN559*SUMIF(ThresholdAge19,"&lt;"&amp;'19_Расчет_аналитики'!BN559,WeightedRevAge19)-SUMIF(ThresholdAge19,"&lt;"&amp;'19_Расчет_аналитики'!BN559,WeightedMinAge19),MAX(CapacityAge19*'01_Вводные'!$B$218*'19_Расчет_аналитики'!BN559,MeanMinAge19)))</f>
        <v/>
      </c>
      <c r="BO482">
        <f>IF(OR('19_Расчет_аналитики'!BO454=0,19&lt;='01_Вводные'!$B$297),0,'19_Расчет_аналитики'!BO454*IF('01_Вводные'!$B$239="Да",MeanMinAge19+'19_Расчет_аналитики'!BO559*SUMIF(ThresholdAge19,"&lt;"&amp;'19_Расчет_аналитики'!BO559,WeightedRevAge19)-SUMIF(ThresholdAge19,"&lt;"&amp;'19_Расчет_аналитики'!BO559,WeightedMinAge19),MAX(CapacityAge19*'01_Вводные'!$B$218*'19_Расчет_аналитики'!BO559,MeanMinAge19)))</f>
        <v/>
      </c>
    </row>
    <row r="483">
      <c r="B483">
        <f>IF(OR('06_Сеть_и_дети'!B100=0,20&lt;='01_Вводные'!$B$297),0,'06_Сеть_и_дети'!B100*IF('01_Вводные'!$B$239="Да",MeanMinAge20+'19_Расчет_аналитики'!B559*SUMIF(ThresholdAge20,"&lt;"&amp;'19_Расчет_аналитики'!B559,WeightedRevAge20)-SUMIF(ThresholdAge20,"&lt;"&amp;'19_Расчет_аналитики'!B559,WeightedMinAge20),MAX(CapacityAge20*'01_Вводные'!$B$218*'19_Расчет_аналитики'!B559,MeanMinAge20)))</f>
        <v/>
      </c>
      <c r="C483">
        <f>IF(OR('06_Сеть_и_дети'!C100=0,20&lt;='01_Вводные'!$B$297),0,'06_Сеть_и_дети'!C100*IF('01_Вводные'!$B$239="Да",MeanMinAge20+'19_Расчет_аналитики'!C559*SUMIF(ThresholdAge20,"&lt;"&amp;'19_Расчет_аналитики'!C559,WeightedRevAge20)-SUMIF(ThresholdAge20,"&lt;"&amp;'19_Расчет_аналитики'!C559,WeightedMinAge20),MAX(CapacityAge20*'01_Вводные'!$B$218*'19_Расчет_аналитики'!C559,MeanMinAge20)))</f>
        <v/>
      </c>
      <c r="D483">
        <f>IF(OR('06_Сеть_и_дети'!D100=0,20&lt;='01_Вводные'!$B$297),0,'06_Сеть_и_дети'!D100*IF('01_Вводные'!$B$239="Да",MeanMinAge20+'19_Расчет_аналитики'!D559*SUMIF(ThresholdAge20,"&lt;"&amp;'19_Расчет_аналитики'!D559,WeightedRevAge20)-SUMIF(ThresholdAge20,"&lt;"&amp;'19_Расчет_аналитики'!D559,WeightedMinAge20),MAX(CapacityAge20*'01_Вводные'!$B$218*'19_Расчет_аналитики'!D559,MeanMinAge20)))</f>
        <v/>
      </c>
      <c r="E483">
        <f>IF(OR('06_Сеть_и_дети'!E100=0,20&lt;='01_Вводные'!$B$297),0,'06_Сеть_и_дети'!E100*IF('01_Вводные'!$B$239="Да",MeanMinAge20+'19_Расчет_аналитики'!E559*SUMIF(ThresholdAge20,"&lt;"&amp;'19_Расчет_аналитики'!E559,WeightedRevAge20)-SUMIF(ThresholdAge20,"&lt;"&amp;'19_Расчет_аналитики'!E559,WeightedMinAge20),MAX(CapacityAge20*'01_Вводные'!$B$218*'19_Расчет_аналитики'!E559,MeanMinAge20)))</f>
        <v/>
      </c>
      <c r="F483">
        <f>IF(OR('06_Сеть_и_дети'!F100=0,20&lt;='01_Вводные'!$B$297),0,'06_Сеть_и_дети'!F100*IF('01_Вводные'!$B$239="Да",MeanMinAge20+'19_Расчет_аналитики'!F559*SUMIF(ThresholdAge20,"&lt;"&amp;'19_Расчет_аналитики'!F559,WeightedRevAge20)-SUMIF(ThresholdAge20,"&lt;"&amp;'19_Расчет_аналитики'!F559,WeightedMinAge20),MAX(CapacityAge20*'01_Вводные'!$B$218*'19_Расчет_аналитики'!F559,MeanMinAge20)))</f>
        <v/>
      </c>
      <c r="G483">
        <f>IF(OR('06_Сеть_и_дети'!G100=0,20&lt;='01_Вводные'!$B$297),0,'06_Сеть_и_дети'!G100*IF('01_Вводные'!$B$239="Да",MeanMinAge20+'19_Расчет_аналитики'!G559*SUMIF(ThresholdAge20,"&lt;"&amp;'19_Расчет_аналитики'!G559,WeightedRevAge20)-SUMIF(ThresholdAge20,"&lt;"&amp;'19_Расчет_аналитики'!G559,WeightedMinAge20),MAX(CapacityAge20*'01_Вводные'!$B$218*'19_Расчет_аналитики'!G559,MeanMinAge20)))</f>
        <v/>
      </c>
      <c r="H483">
        <f>IF(OR('06_Сеть_и_дети'!H100=0,20&lt;='01_Вводные'!$B$297),0,'06_Сеть_и_дети'!H100*IF('01_Вводные'!$B$239="Да",MeanMinAge20+'19_Расчет_аналитики'!H559*SUMIF(ThresholdAge20,"&lt;"&amp;'19_Расчет_аналитики'!H559,WeightedRevAge20)-SUMIF(ThresholdAge20,"&lt;"&amp;'19_Расчет_аналитики'!H559,WeightedMinAge20),MAX(CapacityAge20*'01_Вводные'!$B$218*'19_Расчет_аналитики'!H559,MeanMinAge20)))</f>
        <v/>
      </c>
      <c r="I483">
        <f>IF(OR('06_Сеть_и_дети'!I100=0,20&lt;='01_Вводные'!$B$297),0,'06_Сеть_и_дети'!I100*IF('01_Вводные'!$B$239="Да",MeanMinAge20+'19_Расчет_аналитики'!I559*SUMIF(ThresholdAge20,"&lt;"&amp;'19_Расчет_аналитики'!I559,WeightedRevAge20)-SUMIF(ThresholdAge20,"&lt;"&amp;'19_Расчет_аналитики'!I559,WeightedMinAge20),MAX(CapacityAge20*'01_Вводные'!$B$218*'19_Расчет_аналитики'!I559,MeanMinAge20)))</f>
        <v/>
      </c>
      <c r="J483">
        <f>IF(OR('06_Сеть_и_дети'!J100=0,20&lt;='01_Вводные'!$B$297),0,'06_Сеть_и_дети'!J100*IF('01_Вводные'!$B$239="Да",MeanMinAge20+'19_Расчет_аналитики'!J559*SUMIF(ThresholdAge20,"&lt;"&amp;'19_Расчет_аналитики'!J559,WeightedRevAge20)-SUMIF(ThresholdAge20,"&lt;"&amp;'19_Расчет_аналитики'!J559,WeightedMinAge20),MAX(CapacityAge20*'01_Вводные'!$B$218*'19_Расчет_аналитики'!J559,MeanMinAge20)))</f>
        <v/>
      </c>
      <c r="K483">
        <f>IF(OR('06_Сеть_и_дети'!K100=0,20&lt;='01_Вводные'!$B$297),0,'06_Сеть_и_дети'!K100*IF('01_Вводные'!$B$239="Да",MeanMinAge20+'19_Расчет_аналитики'!K559*SUMIF(ThresholdAge20,"&lt;"&amp;'19_Расчет_аналитики'!K559,WeightedRevAge20)-SUMIF(ThresholdAge20,"&lt;"&amp;'19_Расчет_аналитики'!K559,WeightedMinAge20),MAX(CapacityAge20*'01_Вводные'!$B$218*'19_Расчет_аналитики'!K559,MeanMinAge20)))</f>
        <v/>
      </c>
      <c r="L483">
        <f>IF(OR('06_Сеть_и_дети'!L100=0,20&lt;='01_Вводные'!$B$297),0,'06_Сеть_и_дети'!L100*IF('01_Вводные'!$B$239="Да",MeanMinAge20+'19_Расчет_аналитики'!L559*SUMIF(ThresholdAge20,"&lt;"&amp;'19_Расчет_аналитики'!L559,WeightedRevAge20)-SUMIF(ThresholdAge20,"&lt;"&amp;'19_Расчет_аналитики'!L559,WeightedMinAge20),MAX(CapacityAge20*'01_Вводные'!$B$218*'19_Расчет_аналитики'!L559,MeanMinAge20)))</f>
        <v/>
      </c>
      <c r="M483">
        <f>IF(OR('06_Сеть_и_дети'!M100=0,20&lt;='01_Вводные'!$B$297),0,'06_Сеть_и_дети'!M100*IF('01_Вводные'!$B$239="Да",MeanMinAge20+'19_Расчет_аналитики'!M559*SUMIF(ThresholdAge20,"&lt;"&amp;'19_Расчет_аналитики'!M559,WeightedRevAge20)-SUMIF(ThresholdAge20,"&lt;"&amp;'19_Расчет_аналитики'!M559,WeightedMinAge20),MAX(CapacityAge20*'01_Вводные'!$B$218*'19_Расчет_аналитики'!M559,MeanMinAge20)))</f>
        <v/>
      </c>
      <c r="N483">
        <f>IF(OR('06_Сеть_и_дети'!N100=0,20&lt;='01_Вводные'!$B$297),0,'06_Сеть_и_дети'!N100*IF('01_Вводные'!$B$239="Да",MeanMinAge20+'19_Расчет_аналитики'!N559*SUMIF(ThresholdAge20,"&lt;"&amp;'19_Расчет_аналитики'!N559,WeightedRevAge20)-SUMIF(ThresholdAge20,"&lt;"&amp;'19_Расчет_аналитики'!N559,WeightedMinAge20),MAX(CapacityAge20*'01_Вводные'!$B$218*'19_Расчет_аналитики'!N559,MeanMinAge20)))</f>
        <v/>
      </c>
      <c r="O483">
        <f>IF(OR('06_Сеть_и_дети'!O100=0,20&lt;='01_Вводные'!$B$297),0,'06_Сеть_и_дети'!O100*IF('01_Вводные'!$B$239="Да",MeanMinAge20+'19_Расчет_аналитики'!O559*SUMIF(ThresholdAge20,"&lt;"&amp;'19_Расчет_аналитики'!O559,WeightedRevAge20)-SUMIF(ThresholdAge20,"&lt;"&amp;'19_Расчет_аналитики'!O559,WeightedMinAge20),MAX(CapacityAge20*'01_Вводные'!$B$218*'19_Расчет_аналитики'!O559,MeanMinAge20)))</f>
        <v/>
      </c>
      <c r="P483">
        <f>IF(OR('06_Сеть_и_дети'!P100=0,20&lt;='01_Вводные'!$B$297),0,'06_Сеть_и_дети'!P100*IF('01_Вводные'!$B$239="Да",MeanMinAge20+'19_Расчет_аналитики'!P559*SUMIF(ThresholdAge20,"&lt;"&amp;'19_Расчет_аналитики'!P559,WeightedRevAge20)-SUMIF(ThresholdAge20,"&lt;"&amp;'19_Расчет_аналитики'!P559,WeightedMinAge20),MAX(CapacityAge20*'01_Вводные'!$B$218*'19_Расчет_аналитики'!P559,MeanMinAge20)))</f>
        <v/>
      </c>
      <c r="Q483">
        <f>IF(OR('06_Сеть_и_дети'!Q100=0,20&lt;='01_Вводные'!$B$297),0,'06_Сеть_и_дети'!Q100*IF('01_Вводные'!$B$239="Да",MeanMinAge20+'19_Расчет_аналитики'!Q559*SUMIF(ThresholdAge20,"&lt;"&amp;'19_Расчет_аналитики'!Q559,WeightedRevAge20)-SUMIF(ThresholdAge20,"&lt;"&amp;'19_Расчет_аналитики'!Q559,WeightedMinAge20),MAX(CapacityAge20*'01_Вводные'!$B$218*'19_Расчет_аналитики'!Q559,MeanMinAge20)))</f>
        <v/>
      </c>
      <c r="R483">
        <f>IF(OR('06_Сеть_и_дети'!R100=0,20&lt;='01_Вводные'!$B$297),0,'06_Сеть_и_дети'!R100*IF('01_Вводные'!$B$239="Да",MeanMinAge20+'19_Расчет_аналитики'!R559*SUMIF(ThresholdAge20,"&lt;"&amp;'19_Расчет_аналитики'!R559,WeightedRevAge20)-SUMIF(ThresholdAge20,"&lt;"&amp;'19_Расчет_аналитики'!R559,WeightedMinAge20),MAX(CapacityAge20*'01_Вводные'!$B$218*'19_Расчет_аналитики'!R559,MeanMinAge20)))</f>
        <v/>
      </c>
      <c r="S483">
        <f>IF(OR('06_Сеть_и_дети'!S100=0,20&lt;='01_Вводные'!$B$297),0,'06_Сеть_и_дети'!S100*IF('01_Вводные'!$B$239="Да",MeanMinAge20+'19_Расчет_аналитики'!S559*SUMIF(ThresholdAge20,"&lt;"&amp;'19_Расчет_аналитики'!S559,WeightedRevAge20)-SUMIF(ThresholdAge20,"&lt;"&amp;'19_Расчет_аналитики'!S559,WeightedMinAge20),MAX(CapacityAge20*'01_Вводные'!$B$218*'19_Расчет_аналитики'!S559,MeanMinAge20)))</f>
        <v/>
      </c>
      <c r="T483">
        <f>IF(OR('06_Сеть_и_дети'!T100=0,20&lt;='01_Вводные'!$B$297),0,'06_Сеть_и_дети'!T100*IF('01_Вводные'!$B$239="Да",MeanMinAge20+'19_Расчет_аналитики'!T559*SUMIF(ThresholdAge20,"&lt;"&amp;'19_Расчет_аналитики'!T559,WeightedRevAge20)-SUMIF(ThresholdAge20,"&lt;"&amp;'19_Расчет_аналитики'!T559,WeightedMinAge20),MAX(CapacityAge20*'01_Вводные'!$B$218*'19_Расчет_аналитики'!T559,MeanMinAge20)))</f>
        <v/>
      </c>
      <c r="U483">
        <f>IF(OR('19_Расчет_аналитики'!U455=0,20&lt;='01_Вводные'!$B$297),0,'19_Расчет_аналитики'!U455*IF('01_Вводные'!$B$239="Да",MeanMinAge20+'19_Расчет_аналитики'!U559*SUMIF(ThresholdAge20,"&lt;"&amp;'19_Расчет_аналитики'!U559,WeightedRevAge20)-SUMIF(ThresholdAge20,"&lt;"&amp;'19_Расчет_аналитики'!U559,WeightedMinAge20),MAX(CapacityAge20*'01_Вводные'!$B$218*'19_Расчет_аналитики'!U559,MeanMinAge20)))</f>
        <v/>
      </c>
      <c r="V483">
        <f>IF(OR('19_Расчет_аналитики'!V455=0,20&lt;='01_Вводные'!$B$297),0,'19_Расчет_аналитики'!V455*IF('01_Вводные'!$B$239="Да",MeanMinAge20+'19_Расчет_аналитики'!V559*SUMIF(ThresholdAge20,"&lt;"&amp;'19_Расчет_аналитики'!V559,WeightedRevAge20)-SUMIF(ThresholdAge20,"&lt;"&amp;'19_Расчет_аналитики'!V559,WeightedMinAge20),MAX(CapacityAge20*'01_Вводные'!$B$218*'19_Расчет_аналитики'!V559,MeanMinAge20)))</f>
        <v/>
      </c>
      <c r="W483">
        <f>IF(OR('19_Расчет_аналитики'!W455=0,20&lt;='01_Вводные'!$B$297),0,'19_Расчет_аналитики'!W455*IF('01_Вводные'!$B$239="Да",MeanMinAge20+'19_Расчет_аналитики'!W559*SUMIF(ThresholdAge20,"&lt;"&amp;'19_Расчет_аналитики'!W559,WeightedRevAge20)-SUMIF(ThresholdAge20,"&lt;"&amp;'19_Расчет_аналитики'!W559,WeightedMinAge20),MAX(CapacityAge20*'01_Вводные'!$B$218*'19_Расчет_аналитики'!W559,MeanMinAge20)))</f>
        <v/>
      </c>
      <c r="X483">
        <f>IF(OR('19_Расчет_аналитики'!X455=0,20&lt;='01_Вводные'!$B$297),0,'19_Расчет_аналитики'!X455*IF('01_Вводные'!$B$239="Да",MeanMinAge20+'19_Расчет_аналитики'!X559*SUMIF(ThresholdAge20,"&lt;"&amp;'19_Расчет_аналитики'!X559,WeightedRevAge20)-SUMIF(ThresholdAge20,"&lt;"&amp;'19_Расчет_аналитики'!X559,WeightedMinAge20),MAX(CapacityAge20*'01_Вводные'!$B$218*'19_Расчет_аналитики'!X559,MeanMinAge20)))</f>
        <v/>
      </c>
      <c r="Y483">
        <f>IF(OR('19_Расчет_аналитики'!Y455=0,20&lt;='01_Вводные'!$B$297),0,'19_Расчет_аналитики'!Y455*IF('01_Вводные'!$B$239="Да",MeanMinAge20+'19_Расчет_аналитики'!Y559*SUMIF(ThresholdAge20,"&lt;"&amp;'19_Расчет_аналитики'!Y559,WeightedRevAge20)-SUMIF(ThresholdAge20,"&lt;"&amp;'19_Расчет_аналитики'!Y559,WeightedMinAge20),MAX(CapacityAge20*'01_Вводные'!$B$218*'19_Расчет_аналитики'!Y559,MeanMinAge20)))</f>
        <v/>
      </c>
      <c r="Z483">
        <f>IF(OR('19_Расчет_аналитики'!Z455=0,20&lt;='01_Вводные'!$B$297),0,'19_Расчет_аналитики'!Z455*IF('01_Вводные'!$B$239="Да",MeanMinAge20+'19_Расчет_аналитики'!Z559*SUMIF(ThresholdAge20,"&lt;"&amp;'19_Расчет_аналитики'!Z559,WeightedRevAge20)-SUMIF(ThresholdAge20,"&lt;"&amp;'19_Расчет_аналитики'!Z559,WeightedMinAge20),MAX(CapacityAge20*'01_Вводные'!$B$218*'19_Расчет_аналитики'!Z559,MeanMinAge20)))</f>
        <v/>
      </c>
      <c r="AA483">
        <f>IF(OR('19_Расчет_аналитики'!AA455=0,20&lt;='01_Вводные'!$B$297),0,'19_Расчет_аналитики'!AA455*IF('01_Вводные'!$B$239="Да",MeanMinAge20+'19_Расчет_аналитики'!AA559*SUMIF(ThresholdAge20,"&lt;"&amp;'19_Расчет_аналитики'!AA559,WeightedRevAge20)-SUMIF(ThresholdAge20,"&lt;"&amp;'19_Расчет_аналитики'!AA559,WeightedMinAge20),MAX(CapacityAge20*'01_Вводные'!$B$218*'19_Расчет_аналитики'!AA559,MeanMinAge20)))</f>
        <v/>
      </c>
      <c r="AB483">
        <f>IF(OR('19_Расчет_аналитики'!AB455=0,20&lt;='01_Вводные'!$B$297),0,'19_Расчет_аналитики'!AB455*IF('01_Вводные'!$B$239="Да",MeanMinAge20+'19_Расчет_аналитики'!AB559*SUMIF(ThresholdAge20,"&lt;"&amp;'19_Расчет_аналитики'!AB559,WeightedRevAge20)-SUMIF(ThresholdAge20,"&lt;"&amp;'19_Расчет_аналитики'!AB559,WeightedMinAge20),MAX(CapacityAge20*'01_Вводные'!$B$218*'19_Расчет_аналитики'!AB559,MeanMinAge20)))</f>
        <v/>
      </c>
      <c r="AC483">
        <f>IF(OR('19_Расчет_аналитики'!AC455=0,20&lt;='01_Вводные'!$B$297),0,'19_Расчет_аналитики'!AC455*IF('01_Вводные'!$B$239="Да",MeanMinAge20+'19_Расчет_аналитики'!AC559*SUMIF(ThresholdAge20,"&lt;"&amp;'19_Расчет_аналитики'!AC559,WeightedRevAge20)-SUMIF(ThresholdAge20,"&lt;"&amp;'19_Расчет_аналитики'!AC559,WeightedMinAge20),MAX(CapacityAge20*'01_Вводные'!$B$218*'19_Расчет_аналитики'!AC559,MeanMinAge20)))</f>
        <v/>
      </c>
      <c r="AD483">
        <f>IF(OR('19_Расчет_аналитики'!AD455=0,20&lt;='01_Вводные'!$B$297),0,'19_Расчет_аналитики'!AD455*IF('01_Вводные'!$B$239="Да",MeanMinAge20+'19_Расчет_аналитики'!AD559*SUMIF(ThresholdAge20,"&lt;"&amp;'19_Расчет_аналитики'!AD559,WeightedRevAge20)-SUMIF(ThresholdAge20,"&lt;"&amp;'19_Расчет_аналитики'!AD559,WeightedMinAge20),MAX(CapacityAge20*'01_Вводные'!$B$218*'19_Расчет_аналитики'!AD559,MeanMinAge20)))</f>
        <v/>
      </c>
      <c r="AE483">
        <f>IF(OR('19_Расчет_аналитики'!AE455=0,20&lt;='01_Вводные'!$B$297),0,'19_Расчет_аналитики'!AE455*IF('01_Вводные'!$B$239="Да",MeanMinAge20+'19_Расчет_аналитики'!AE559*SUMIF(ThresholdAge20,"&lt;"&amp;'19_Расчет_аналитики'!AE559,WeightedRevAge20)-SUMIF(ThresholdAge20,"&lt;"&amp;'19_Расчет_аналитики'!AE559,WeightedMinAge20),MAX(CapacityAge20*'01_Вводные'!$B$218*'19_Расчет_аналитики'!AE559,MeanMinAge20)))</f>
        <v/>
      </c>
      <c r="AF483">
        <f>IF(OR('19_Расчет_аналитики'!AF455=0,20&lt;='01_Вводные'!$B$297),0,'19_Расчет_аналитики'!AF455*IF('01_Вводные'!$B$239="Да",MeanMinAge20+'19_Расчет_аналитики'!AF559*SUMIF(ThresholdAge20,"&lt;"&amp;'19_Расчет_аналитики'!AF559,WeightedRevAge20)-SUMIF(ThresholdAge20,"&lt;"&amp;'19_Расчет_аналитики'!AF559,WeightedMinAge20),MAX(CapacityAge20*'01_Вводные'!$B$218*'19_Расчет_аналитики'!AF559,MeanMinAge20)))</f>
        <v/>
      </c>
      <c r="AG483">
        <f>IF(OR('19_Расчет_аналитики'!AG455=0,20&lt;='01_Вводные'!$B$297),0,'19_Расчет_аналитики'!AG455*IF('01_Вводные'!$B$239="Да",MeanMinAge20+'19_Расчет_аналитики'!AG559*SUMIF(ThresholdAge20,"&lt;"&amp;'19_Расчет_аналитики'!AG559,WeightedRevAge20)-SUMIF(ThresholdAge20,"&lt;"&amp;'19_Расчет_аналитики'!AG559,WeightedMinAge20),MAX(CapacityAge20*'01_Вводные'!$B$218*'19_Расчет_аналитики'!AG559,MeanMinAge20)))</f>
        <v/>
      </c>
      <c r="AH483">
        <f>IF(OR('19_Расчет_аналитики'!AH455=0,20&lt;='01_Вводные'!$B$297),0,'19_Расчет_аналитики'!AH455*IF('01_Вводные'!$B$239="Да",MeanMinAge20+'19_Расчет_аналитики'!AH559*SUMIF(ThresholdAge20,"&lt;"&amp;'19_Расчет_аналитики'!AH559,WeightedRevAge20)-SUMIF(ThresholdAge20,"&lt;"&amp;'19_Расчет_аналитики'!AH559,WeightedMinAge20),MAX(CapacityAge20*'01_Вводные'!$B$218*'19_Расчет_аналитики'!AH559,MeanMinAge20)))</f>
        <v/>
      </c>
      <c r="AI483">
        <f>IF(OR('19_Расчет_аналитики'!AI455=0,20&lt;='01_Вводные'!$B$297),0,'19_Расчет_аналитики'!AI455*IF('01_Вводные'!$B$239="Да",MeanMinAge20+'19_Расчет_аналитики'!AI559*SUMIF(ThresholdAge20,"&lt;"&amp;'19_Расчет_аналитики'!AI559,WeightedRevAge20)-SUMIF(ThresholdAge20,"&lt;"&amp;'19_Расчет_аналитики'!AI559,WeightedMinAge20),MAX(CapacityAge20*'01_Вводные'!$B$218*'19_Расчет_аналитики'!AI559,MeanMinAge20)))</f>
        <v/>
      </c>
      <c r="AJ483">
        <f>IF(OR('19_Расчет_аналитики'!AJ455=0,20&lt;='01_Вводные'!$B$297),0,'19_Расчет_аналитики'!AJ455*IF('01_Вводные'!$B$239="Да",MeanMinAge20+'19_Расчет_аналитики'!AJ559*SUMIF(ThresholdAge20,"&lt;"&amp;'19_Расчет_аналитики'!AJ559,WeightedRevAge20)-SUMIF(ThresholdAge20,"&lt;"&amp;'19_Расчет_аналитики'!AJ559,WeightedMinAge20),MAX(CapacityAge20*'01_Вводные'!$B$218*'19_Расчет_аналитики'!AJ559,MeanMinAge20)))</f>
        <v/>
      </c>
      <c r="AK483">
        <f>IF(OR('19_Расчет_аналитики'!AK455=0,20&lt;='01_Вводные'!$B$297),0,'19_Расчет_аналитики'!AK455*IF('01_Вводные'!$B$239="Да",MeanMinAge20+'19_Расчет_аналитики'!AK559*SUMIF(ThresholdAge20,"&lt;"&amp;'19_Расчет_аналитики'!AK559,WeightedRevAge20)-SUMIF(ThresholdAge20,"&lt;"&amp;'19_Расчет_аналитики'!AK559,WeightedMinAge20),MAX(CapacityAge20*'01_Вводные'!$B$218*'19_Расчет_аналитики'!AK559,MeanMinAge20)))</f>
        <v/>
      </c>
      <c r="AL483">
        <f>IF(OR('19_Расчет_аналитики'!AL455=0,20&lt;='01_Вводные'!$B$297),0,'19_Расчет_аналитики'!AL455*IF('01_Вводные'!$B$239="Да",MeanMinAge20+'19_Расчет_аналитики'!AL559*SUMIF(ThresholdAge20,"&lt;"&amp;'19_Расчет_аналитики'!AL559,WeightedRevAge20)-SUMIF(ThresholdAge20,"&lt;"&amp;'19_Расчет_аналитики'!AL559,WeightedMinAge20),MAX(CapacityAge20*'01_Вводные'!$B$218*'19_Расчет_аналитики'!AL559,MeanMinAge20)))</f>
        <v/>
      </c>
      <c r="AM483">
        <f>IF(OR('19_Расчет_аналитики'!AM455=0,20&lt;='01_Вводные'!$B$297),0,'19_Расчет_аналитики'!AM455*IF('01_Вводные'!$B$239="Да",MeanMinAge20+'19_Расчет_аналитики'!AM559*SUMIF(ThresholdAge20,"&lt;"&amp;'19_Расчет_аналитики'!AM559,WeightedRevAge20)-SUMIF(ThresholdAge20,"&lt;"&amp;'19_Расчет_аналитики'!AM559,WeightedMinAge20),MAX(CapacityAge20*'01_Вводные'!$B$218*'19_Расчет_аналитики'!AM559,MeanMinAge20)))</f>
        <v/>
      </c>
      <c r="AN483">
        <f>IF(OR('19_Расчет_аналитики'!AN455=0,20&lt;='01_Вводные'!$B$297),0,'19_Расчет_аналитики'!AN455*IF('01_Вводные'!$B$239="Да",MeanMinAge20+'19_Расчет_аналитики'!AN559*SUMIF(ThresholdAge20,"&lt;"&amp;'19_Расчет_аналитики'!AN559,WeightedRevAge20)-SUMIF(ThresholdAge20,"&lt;"&amp;'19_Расчет_аналитики'!AN559,WeightedMinAge20),MAX(CapacityAge20*'01_Вводные'!$B$218*'19_Расчет_аналитики'!AN559,MeanMinAge20)))</f>
        <v/>
      </c>
      <c r="AO483">
        <f>IF(OR('19_Расчет_аналитики'!AO455=0,20&lt;='01_Вводные'!$B$297),0,'19_Расчет_аналитики'!AO455*IF('01_Вводные'!$B$239="Да",MeanMinAge20+'19_Расчет_аналитики'!AO559*SUMIF(ThresholdAge20,"&lt;"&amp;'19_Расчет_аналитики'!AO559,WeightedRevAge20)-SUMIF(ThresholdAge20,"&lt;"&amp;'19_Расчет_аналитики'!AO559,WeightedMinAge20),MAX(CapacityAge20*'01_Вводные'!$B$218*'19_Расчет_аналитики'!AO559,MeanMinAge20)))</f>
        <v/>
      </c>
      <c r="AP483">
        <f>IF(OR('19_Расчет_аналитики'!AP455=0,20&lt;='01_Вводные'!$B$297),0,'19_Расчет_аналитики'!AP455*IF('01_Вводные'!$B$239="Да",MeanMinAge20+'19_Расчет_аналитики'!AP559*SUMIF(ThresholdAge20,"&lt;"&amp;'19_Расчет_аналитики'!AP559,WeightedRevAge20)-SUMIF(ThresholdAge20,"&lt;"&amp;'19_Расчет_аналитики'!AP559,WeightedMinAge20),MAX(CapacityAge20*'01_Вводные'!$B$218*'19_Расчет_аналитики'!AP559,MeanMinAge20)))</f>
        <v/>
      </c>
      <c r="AQ483">
        <f>IF(OR('19_Расчет_аналитики'!AQ455=0,20&lt;='01_Вводные'!$B$297),0,'19_Расчет_аналитики'!AQ455*IF('01_Вводные'!$B$239="Да",MeanMinAge20+'19_Расчет_аналитики'!AQ559*SUMIF(ThresholdAge20,"&lt;"&amp;'19_Расчет_аналитики'!AQ559,WeightedRevAge20)-SUMIF(ThresholdAge20,"&lt;"&amp;'19_Расчет_аналитики'!AQ559,WeightedMinAge20),MAX(CapacityAge20*'01_Вводные'!$B$218*'19_Расчет_аналитики'!AQ559,MeanMinAge20)))</f>
        <v/>
      </c>
      <c r="AR483">
        <f>IF(OR('19_Расчет_аналитики'!AR455=0,20&lt;='01_Вводные'!$B$297),0,'19_Расчет_аналитики'!AR455*IF('01_Вводные'!$B$239="Да",MeanMinAge20+'19_Расчет_аналитики'!AR559*SUMIF(ThresholdAge20,"&lt;"&amp;'19_Расчет_аналитики'!AR559,WeightedRevAge20)-SUMIF(ThresholdAge20,"&lt;"&amp;'19_Расчет_аналитики'!AR559,WeightedMinAge20),MAX(CapacityAge20*'01_Вводные'!$B$218*'19_Расчет_аналитики'!AR559,MeanMinAge20)))</f>
        <v/>
      </c>
      <c r="AS483">
        <f>IF(OR('19_Расчет_аналитики'!AS455=0,20&lt;='01_Вводные'!$B$297),0,'19_Расчет_аналитики'!AS455*IF('01_Вводные'!$B$239="Да",MeanMinAge20+'19_Расчет_аналитики'!AS559*SUMIF(ThresholdAge20,"&lt;"&amp;'19_Расчет_аналитики'!AS559,WeightedRevAge20)-SUMIF(ThresholdAge20,"&lt;"&amp;'19_Расчет_аналитики'!AS559,WeightedMinAge20),MAX(CapacityAge20*'01_Вводные'!$B$218*'19_Расчет_аналитики'!AS559,MeanMinAge20)))</f>
        <v/>
      </c>
      <c r="AT483">
        <f>IF(OR('19_Расчет_аналитики'!AT455=0,20&lt;='01_Вводные'!$B$297),0,'19_Расчет_аналитики'!AT455*IF('01_Вводные'!$B$239="Да",MeanMinAge20+'19_Расчет_аналитики'!AT559*SUMIF(ThresholdAge20,"&lt;"&amp;'19_Расчет_аналитики'!AT559,WeightedRevAge20)-SUMIF(ThresholdAge20,"&lt;"&amp;'19_Расчет_аналитики'!AT559,WeightedMinAge20),MAX(CapacityAge20*'01_Вводные'!$B$218*'19_Расчет_аналитики'!AT559,MeanMinAge20)))</f>
        <v/>
      </c>
      <c r="AU483">
        <f>IF(OR('19_Расчет_аналитики'!AU455=0,20&lt;='01_Вводные'!$B$297),0,'19_Расчет_аналитики'!AU455*IF('01_Вводные'!$B$239="Да",MeanMinAge20+'19_Расчет_аналитики'!AU559*SUMIF(ThresholdAge20,"&lt;"&amp;'19_Расчет_аналитики'!AU559,WeightedRevAge20)-SUMIF(ThresholdAge20,"&lt;"&amp;'19_Расчет_аналитики'!AU559,WeightedMinAge20),MAX(CapacityAge20*'01_Вводные'!$B$218*'19_Расчет_аналитики'!AU559,MeanMinAge20)))</f>
        <v/>
      </c>
      <c r="AV483">
        <f>IF(OR('19_Расчет_аналитики'!AV455=0,20&lt;='01_Вводные'!$B$297),0,'19_Расчет_аналитики'!AV455*IF('01_Вводные'!$B$239="Да",MeanMinAge20+'19_Расчет_аналитики'!AV559*SUMIF(ThresholdAge20,"&lt;"&amp;'19_Расчет_аналитики'!AV559,WeightedRevAge20)-SUMIF(ThresholdAge20,"&lt;"&amp;'19_Расчет_аналитики'!AV559,WeightedMinAge20),MAX(CapacityAge20*'01_Вводные'!$B$218*'19_Расчет_аналитики'!AV559,MeanMinAge20)))</f>
        <v/>
      </c>
      <c r="AW483">
        <f>IF(OR('19_Расчет_аналитики'!AW455=0,20&lt;='01_Вводные'!$B$297),0,'19_Расчет_аналитики'!AW455*IF('01_Вводные'!$B$239="Да",MeanMinAge20+'19_Расчет_аналитики'!AW559*SUMIF(ThresholdAge20,"&lt;"&amp;'19_Расчет_аналитики'!AW559,WeightedRevAge20)-SUMIF(ThresholdAge20,"&lt;"&amp;'19_Расчет_аналитики'!AW559,WeightedMinAge20),MAX(CapacityAge20*'01_Вводные'!$B$218*'19_Расчет_аналитики'!AW559,MeanMinAge20)))</f>
        <v/>
      </c>
      <c r="AX483">
        <f>IF(OR('19_Расчет_аналитики'!AX455=0,20&lt;='01_Вводные'!$B$297),0,'19_Расчет_аналитики'!AX455*IF('01_Вводные'!$B$239="Да",MeanMinAge20+'19_Расчет_аналитики'!AX559*SUMIF(ThresholdAge20,"&lt;"&amp;'19_Расчет_аналитики'!AX559,WeightedRevAge20)-SUMIF(ThresholdAge20,"&lt;"&amp;'19_Расчет_аналитики'!AX559,WeightedMinAge20),MAX(CapacityAge20*'01_Вводные'!$B$218*'19_Расчет_аналитики'!AX559,MeanMinAge20)))</f>
        <v/>
      </c>
      <c r="AY483">
        <f>IF(OR('19_Расчет_аналитики'!AY455=0,20&lt;='01_Вводные'!$B$297),0,'19_Расчет_аналитики'!AY455*IF('01_Вводные'!$B$239="Да",MeanMinAge20+'19_Расчет_аналитики'!AY559*SUMIF(ThresholdAge20,"&lt;"&amp;'19_Расчет_аналитики'!AY559,WeightedRevAge20)-SUMIF(ThresholdAge20,"&lt;"&amp;'19_Расчет_аналитики'!AY559,WeightedMinAge20),MAX(CapacityAge20*'01_Вводные'!$B$218*'19_Расчет_аналитики'!AY559,MeanMinAge20)))</f>
        <v/>
      </c>
      <c r="AZ483">
        <f>IF(OR('19_Расчет_аналитики'!AZ455=0,20&lt;='01_Вводные'!$B$297),0,'19_Расчет_аналитики'!AZ455*IF('01_Вводные'!$B$239="Да",MeanMinAge20+'19_Расчет_аналитики'!AZ559*SUMIF(ThresholdAge20,"&lt;"&amp;'19_Расчет_аналитики'!AZ559,WeightedRevAge20)-SUMIF(ThresholdAge20,"&lt;"&amp;'19_Расчет_аналитики'!AZ559,WeightedMinAge20),MAX(CapacityAge20*'01_Вводные'!$B$218*'19_Расчет_аналитики'!AZ559,MeanMinAge20)))</f>
        <v/>
      </c>
      <c r="BA483">
        <f>IF(OR('19_Расчет_аналитики'!BA455=0,20&lt;='01_Вводные'!$B$297),0,'19_Расчет_аналитики'!BA455*IF('01_Вводные'!$B$239="Да",MeanMinAge20+'19_Расчет_аналитики'!BA559*SUMIF(ThresholdAge20,"&lt;"&amp;'19_Расчет_аналитики'!BA559,WeightedRevAge20)-SUMIF(ThresholdAge20,"&lt;"&amp;'19_Расчет_аналитики'!BA559,WeightedMinAge20),MAX(CapacityAge20*'01_Вводные'!$B$218*'19_Расчет_аналитики'!BA559,MeanMinAge20)))</f>
        <v/>
      </c>
      <c r="BB483">
        <f>IF(OR('19_Расчет_аналитики'!BB455=0,20&lt;='01_Вводные'!$B$297),0,'19_Расчет_аналитики'!BB455*IF('01_Вводные'!$B$239="Да",MeanMinAge20+'19_Расчет_аналитики'!BB559*SUMIF(ThresholdAge20,"&lt;"&amp;'19_Расчет_аналитики'!BB559,WeightedRevAge20)-SUMIF(ThresholdAge20,"&lt;"&amp;'19_Расчет_аналитики'!BB559,WeightedMinAge20),MAX(CapacityAge20*'01_Вводные'!$B$218*'19_Расчет_аналитики'!BB559,MeanMinAge20)))</f>
        <v/>
      </c>
      <c r="BC483">
        <f>IF(OR('19_Расчет_аналитики'!BC455=0,20&lt;='01_Вводные'!$B$297),0,'19_Расчет_аналитики'!BC455*IF('01_Вводные'!$B$239="Да",MeanMinAge20+'19_Расчет_аналитики'!BC559*SUMIF(ThresholdAge20,"&lt;"&amp;'19_Расчет_аналитики'!BC559,WeightedRevAge20)-SUMIF(ThresholdAge20,"&lt;"&amp;'19_Расчет_аналитики'!BC559,WeightedMinAge20),MAX(CapacityAge20*'01_Вводные'!$B$218*'19_Расчет_аналитики'!BC559,MeanMinAge20)))</f>
        <v/>
      </c>
      <c r="BD483">
        <f>IF(OR('19_Расчет_аналитики'!BD455=0,20&lt;='01_Вводные'!$B$297),0,'19_Расчет_аналитики'!BD455*IF('01_Вводные'!$B$239="Да",MeanMinAge20+'19_Расчет_аналитики'!BD559*SUMIF(ThresholdAge20,"&lt;"&amp;'19_Расчет_аналитики'!BD559,WeightedRevAge20)-SUMIF(ThresholdAge20,"&lt;"&amp;'19_Расчет_аналитики'!BD559,WeightedMinAge20),MAX(CapacityAge20*'01_Вводные'!$B$218*'19_Расчет_аналитики'!BD559,MeanMinAge20)))</f>
        <v/>
      </c>
      <c r="BE483">
        <f>IF(OR('19_Расчет_аналитики'!BE455=0,20&lt;='01_Вводные'!$B$297),0,'19_Расчет_аналитики'!BE455*IF('01_Вводные'!$B$239="Да",MeanMinAge20+'19_Расчет_аналитики'!BE559*SUMIF(ThresholdAge20,"&lt;"&amp;'19_Расчет_аналитики'!BE559,WeightedRevAge20)-SUMIF(ThresholdAge20,"&lt;"&amp;'19_Расчет_аналитики'!BE559,WeightedMinAge20),MAX(CapacityAge20*'01_Вводные'!$B$218*'19_Расчет_аналитики'!BE559,MeanMinAge20)))</f>
        <v/>
      </c>
      <c r="BF483">
        <f>IF(OR('19_Расчет_аналитики'!BF455=0,20&lt;='01_Вводные'!$B$297),0,'19_Расчет_аналитики'!BF455*IF('01_Вводные'!$B$239="Да",MeanMinAge20+'19_Расчет_аналитики'!BF559*SUMIF(ThresholdAge20,"&lt;"&amp;'19_Расчет_аналитики'!BF559,WeightedRevAge20)-SUMIF(ThresholdAge20,"&lt;"&amp;'19_Расчет_аналитики'!BF559,WeightedMinAge20),MAX(CapacityAge20*'01_Вводные'!$B$218*'19_Расчет_аналитики'!BF559,MeanMinAge20)))</f>
        <v/>
      </c>
      <c r="BG483">
        <f>IF(OR('19_Расчет_аналитики'!BG455=0,20&lt;='01_Вводные'!$B$297),0,'19_Расчет_аналитики'!BG455*IF('01_Вводные'!$B$239="Да",MeanMinAge20+'19_Расчет_аналитики'!BG559*SUMIF(ThresholdAge20,"&lt;"&amp;'19_Расчет_аналитики'!BG559,WeightedRevAge20)-SUMIF(ThresholdAge20,"&lt;"&amp;'19_Расчет_аналитики'!BG559,WeightedMinAge20),MAX(CapacityAge20*'01_Вводные'!$B$218*'19_Расчет_аналитики'!BG559,MeanMinAge20)))</f>
        <v/>
      </c>
      <c r="BH483">
        <f>IF(OR('19_Расчет_аналитики'!BH455=0,20&lt;='01_Вводные'!$B$297),0,'19_Расчет_аналитики'!BH455*IF('01_Вводные'!$B$239="Да",MeanMinAge20+'19_Расчет_аналитики'!BH559*SUMIF(ThresholdAge20,"&lt;"&amp;'19_Расчет_аналитики'!BH559,WeightedRevAge20)-SUMIF(ThresholdAge20,"&lt;"&amp;'19_Расчет_аналитики'!BH559,WeightedMinAge20),MAX(CapacityAge20*'01_Вводные'!$B$218*'19_Расчет_аналитики'!BH559,MeanMinAge20)))</f>
        <v/>
      </c>
      <c r="BI483">
        <f>IF(OR('19_Расчет_аналитики'!BI455=0,20&lt;='01_Вводные'!$B$297),0,'19_Расчет_аналитики'!BI455*IF('01_Вводные'!$B$239="Да",MeanMinAge20+'19_Расчет_аналитики'!BI559*SUMIF(ThresholdAge20,"&lt;"&amp;'19_Расчет_аналитики'!BI559,WeightedRevAge20)-SUMIF(ThresholdAge20,"&lt;"&amp;'19_Расчет_аналитики'!BI559,WeightedMinAge20),MAX(CapacityAge20*'01_Вводные'!$B$218*'19_Расчет_аналитики'!BI559,MeanMinAge20)))</f>
        <v/>
      </c>
      <c r="BJ483">
        <f>IF(OR('19_Расчет_аналитики'!BJ455=0,20&lt;='01_Вводные'!$B$297),0,'19_Расчет_аналитики'!BJ455*IF('01_Вводные'!$B$239="Да",MeanMinAge20+'19_Расчет_аналитики'!BJ559*SUMIF(ThresholdAge20,"&lt;"&amp;'19_Расчет_аналитики'!BJ559,WeightedRevAge20)-SUMIF(ThresholdAge20,"&lt;"&amp;'19_Расчет_аналитики'!BJ559,WeightedMinAge20),MAX(CapacityAge20*'01_Вводные'!$B$218*'19_Расчет_аналитики'!BJ559,MeanMinAge20)))</f>
        <v/>
      </c>
      <c r="BK483">
        <f>IF(OR('19_Расчет_аналитики'!BK455=0,20&lt;='01_Вводные'!$B$297),0,'19_Расчет_аналитики'!BK455*IF('01_Вводные'!$B$239="Да",MeanMinAge20+'19_Расчет_аналитики'!BK559*SUMIF(ThresholdAge20,"&lt;"&amp;'19_Расчет_аналитики'!BK559,WeightedRevAge20)-SUMIF(ThresholdAge20,"&lt;"&amp;'19_Расчет_аналитики'!BK559,WeightedMinAge20),MAX(CapacityAge20*'01_Вводные'!$B$218*'19_Расчет_аналитики'!BK559,MeanMinAge20)))</f>
        <v/>
      </c>
      <c r="BL483">
        <f>IF(OR('19_Расчет_аналитики'!BL455=0,20&lt;='01_Вводные'!$B$297),0,'19_Расчет_аналитики'!BL455*IF('01_Вводные'!$B$239="Да",MeanMinAge20+'19_Расчет_аналитики'!BL559*SUMIF(ThresholdAge20,"&lt;"&amp;'19_Расчет_аналитики'!BL559,WeightedRevAge20)-SUMIF(ThresholdAge20,"&lt;"&amp;'19_Расчет_аналитики'!BL559,WeightedMinAge20),MAX(CapacityAge20*'01_Вводные'!$B$218*'19_Расчет_аналитики'!BL559,MeanMinAge20)))</f>
        <v/>
      </c>
      <c r="BM483">
        <f>IF(OR('19_Расчет_аналитики'!BM455=0,20&lt;='01_Вводные'!$B$297),0,'19_Расчет_аналитики'!BM455*IF('01_Вводные'!$B$239="Да",MeanMinAge20+'19_Расчет_аналитики'!BM559*SUMIF(ThresholdAge20,"&lt;"&amp;'19_Расчет_аналитики'!BM559,WeightedRevAge20)-SUMIF(ThresholdAge20,"&lt;"&amp;'19_Расчет_аналитики'!BM559,WeightedMinAge20),MAX(CapacityAge20*'01_Вводные'!$B$218*'19_Расчет_аналитики'!BM559,MeanMinAge20)))</f>
        <v/>
      </c>
      <c r="BN483">
        <f>IF(OR('19_Расчет_аналитики'!BN455=0,20&lt;='01_Вводные'!$B$297),0,'19_Расчет_аналитики'!BN455*IF('01_Вводные'!$B$239="Да",MeanMinAge20+'19_Расчет_аналитики'!BN559*SUMIF(ThresholdAge20,"&lt;"&amp;'19_Расчет_аналитики'!BN559,WeightedRevAge20)-SUMIF(ThresholdAge20,"&lt;"&amp;'19_Расчет_аналитики'!BN559,WeightedMinAge20),MAX(CapacityAge20*'01_Вводные'!$B$218*'19_Расчет_аналитики'!BN559,MeanMinAge20)))</f>
        <v/>
      </c>
      <c r="BO483">
        <f>IF(OR('19_Расчет_аналитики'!BO455=0,20&lt;='01_Вводные'!$B$297),0,'19_Расчет_аналитики'!BO455*IF('01_Вводные'!$B$239="Да",MeanMinAge20+'19_Расчет_аналитики'!BO559*SUMIF(ThresholdAge20,"&lt;"&amp;'19_Расчет_аналитики'!BO559,WeightedRevAge20)-SUMIF(ThresholdAge20,"&lt;"&amp;'19_Расчет_аналитики'!BO559,WeightedMinAge20),MAX(CapacityAge20*'01_Вводные'!$B$218*'19_Расчет_аналитики'!BO559,MeanMinAge20)))</f>
        <v/>
      </c>
    </row>
    <row r="484">
      <c r="B484">
        <f>IF(OR('06_Сеть_и_дети'!B101=0,21&lt;='01_Вводные'!$B$297),0,'06_Сеть_и_дети'!B101*IF('01_Вводные'!$B$239="Да",MeanMinAge21+'19_Расчет_аналитики'!B559*SUMIF(ThresholdAge21,"&lt;"&amp;'19_Расчет_аналитики'!B559,WeightedRevAge21)-SUMIF(ThresholdAge21,"&lt;"&amp;'19_Расчет_аналитики'!B559,WeightedMinAge21),MAX(CapacityAge21*'01_Вводные'!$B$218*'19_Расчет_аналитики'!B559,MeanMinAge21)))</f>
        <v/>
      </c>
      <c r="C484">
        <f>IF(OR('06_Сеть_и_дети'!C101=0,21&lt;='01_Вводные'!$B$297),0,'06_Сеть_и_дети'!C101*IF('01_Вводные'!$B$239="Да",MeanMinAge21+'19_Расчет_аналитики'!C559*SUMIF(ThresholdAge21,"&lt;"&amp;'19_Расчет_аналитики'!C559,WeightedRevAge21)-SUMIF(ThresholdAge21,"&lt;"&amp;'19_Расчет_аналитики'!C559,WeightedMinAge21),MAX(CapacityAge21*'01_Вводные'!$B$218*'19_Расчет_аналитики'!C559,MeanMinAge21)))</f>
        <v/>
      </c>
      <c r="D484">
        <f>IF(OR('06_Сеть_и_дети'!D101=0,21&lt;='01_Вводные'!$B$297),0,'06_Сеть_и_дети'!D101*IF('01_Вводные'!$B$239="Да",MeanMinAge21+'19_Расчет_аналитики'!D559*SUMIF(ThresholdAge21,"&lt;"&amp;'19_Расчет_аналитики'!D559,WeightedRevAge21)-SUMIF(ThresholdAge21,"&lt;"&amp;'19_Расчет_аналитики'!D559,WeightedMinAge21),MAX(CapacityAge21*'01_Вводные'!$B$218*'19_Расчет_аналитики'!D559,MeanMinAge21)))</f>
        <v/>
      </c>
      <c r="E484">
        <f>IF(OR('06_Сеть_и_дети'!E101=0,21&lt;='01_Вводные'!$B$297),0,'06_Сеть_и_дети'!E101*IF('01_Вводные'!$B$239="Да",MeanMinAge21+'19_Расчет_аналитики'!E559*SUMIF(ThresholdAge21,"&lt;"&amp;'19_Расчет_аналитики'!E559,WeightedRevAge21)-SUMIF(ThresholdAge21,"&lt;"&amp;'19_Расчет_аналитики'!E559,WeightedMinAge21),MAX(CapacityAge21*'01_Вводные'!$B$218*'19_Расчет_аналитики'!E559,MeanMinAge21)))</f>
        <v/>
      </c>
      <c r="F484">
        <f>IF(OR('06_Сеть_и_дети'!F101=0,21&lt;='01_Вводные'!$B$297),0,'06_Сеть_и_дети'!F101*IF('01_Вводные'!$B$239="Да",MeanMinAge21+'19_Расчет_аналитики'!F559*SUMIF(ThresholdAge21,"&lt;"&amp;'19_Расчет_аналитики'!F559,WeightedRevAge21)-SUMIF(ThresholdAge21,"&lt;"&amp;'19_Расчет_аналитики'!F559,WeightedMinAge21),MAX(CapacityAge21*'01_Вводные'!$B$218*'19_Расчет_аналитики'!F559,MeanMinAge21)))</f>
        <v/>
      </c>
      <c r="G484">
        <f>IF(OR('06_Сеть_и_дети'!G101=0,21&lt;='01_Вводные'!$B$297),0,'06_Сеть_и_дети'!G101*IF('01_Вводные'!$B$239="Да",MeanMinAge21+'19_Расчет_аналитики'!G559*SUMIF(ThresholdAge21,"&lt;"&amp;'19_Расчет_аналитики'!G559,WeightedRevAge21)-SUMIF(ThresholdAge21,"&lt;"&amp;'19_Расчет_аналитики'!G559,WeightedMinAge21),MAX(CapacityAge21*'01_Вводные'!$B$218*'19_Расчет_аналитики'!G559,MeanMinAge21)))</f>
        <v/>
      </c>
      <c r="H484">
        <f>IF(OR('06_Сеть_и_дети'!H101=0,21&lt;='01_Вводные'!$B$297),0,'06_Сеть_и_дети'!H101*IF('01_Вводные'!$B$239="Да",MeanMinAge21+'19_Расчет_аналитики'!H559*SUMIF(ThresholdAge21,"&lt;"&amp;'19_Расчет_аналитики'!H559,WeightedRevAge21)-SUMIF(ThresholdAge21,"&lt;"&amp;'19_Расчет_аналитики'!H559,WeightedMinAge21),MAX(CapacityAge21*'01_Вводные'!$B$218*'19_Расчет_аналитики'!H559,MeanMinAge21)))</f>
        <v/>
      </c>
      <c r="I484">
        <f>IF(OR('06_Сеть_и_дети'!I101=0,21&lt;='01_Вводные'!$B$297),0,'06_Сеть_и_дети'!I101*IF('01_Вводные'!$B$239="Да",MeanMinAge21+'19_Расчет_аналитики'!I559*SUMIF(ThresholdAge21,"&lt;"&amp;'19_Расчет_аналитики'!I559,WeightedRevAge21)-SUMIF(ThresholdAge21,"&lt;"&amp;'19_Расчет_аналитики'!I559,WeightedMinAge21),MAX(CapacityAge21*'01_Вводные'!$B$218*'19_Расчет_аналитики'!I559,MeanMinAge21)))</f>
        <v/>
      </c>
      <c r="J484">
        <f>IF(OR('06_Сеть_и_дети'!J101=0,21&lt;='01_Вводные'!$B$297),0,'06_Сеть_и_дети'!J101*IF('01_Вводные'!$B$239="Да",MeanMinAge21+'19_Расчет_аналитики'!J559*SUMIF(ThresholdAge21,"&lt;"&amp;'19_Расчет_аналитики'!J559,WeightedRevAge21)-SUMIF(ThresholdAge21,"&lt;"&amp;'19_Расчет_аналитики'!J559,WeightedMinAge21),MAX(CapacityAge21*'01_Вводные'!$B$218*'19_Расчет_аналитики'!J559,MeanMinAge21)))</f>
        <v/>
      </c>
      <c r="K484">
        <f>IF(OR('06_Сеть_и_дети'!K101=0,21&lt;='01_Вводные'!$B$297),0,'06_Сеть_и_дети'!K101*IF('01_Вводные'!$B$239="Да",MeanMinAge21+'19_Расчет_аналитики'!K559*SUMIF(ThresholdAge21,"&lt;"&amp;'19_Расчет_аналитики'!K559,WeightedRevAge21)-SUMIF(ThresholdAge21,"&lt;"&amp;'19_Расчет_аналитики'!K559,WeightedMinAge21),MAX(CapacityAge21*'01_Вводные'!$B$218*'19_Расчет_аналитики'!K559,MeanMinAge21)))</f>
        <v/>
      </c>
      <c r="L484">
        <f>IF(OR('06_Сеть_и_дети'!L101=0,21&lt;='01_Вводные'!$B$297),0,'06_Сеть_и_дети'!L101*IF('01_Вводные'!$B$239="Да",MeanMinAge21+'19_Расчет_аналитики'!L559*SUMIF(ThresholdAge21,"&lt;"&amp;'19_Расчет_аналитики'!L559,WeightedRevAge21)-SUMIF(ThresholdAge21,"&lt;"&amp;'19_Расчет_аналитики'!L559,WeightedMinAge21),MAX(CapacityAge21*'01_Вводные'!$B$218*'19_Расчет_аналитики'!L559,MeanMinAge21)))</f>
        <v/>
      </c>
      <c r="M484">
        <f>IF(OR('06_Сеть_и_дети'!M101=0,21&lt;='01_Вводные'!$B$297),0,'06_Сеть_и_дети'!M101*IF('01_Вводные'!$B$239="Да",MeanMinAge21+'19_Расчет_аналитики'!M559*SUMIF(ThresholdAge21,"&lt;"&amp;'19_Расчет_аналитики'!M559,WeightedRevAge21)-SUMIF(ThresholdAge21,"&lt;"&amp;'19_Расчет_аналитики'!M559,WeightedMinAge21),MAX(CapacityAge21*'01_Вводные'!$B$218*'19_Расчет_аналитики'!M559,MeanMinAge21)))</f>
        <v/>
      </c>
      <c r="N484">
        <f>IF(OR('06_Сеть_и_дети'!N101=0,21&lt;='01_Вводные'!$B$297),0,'06_Сеть_и_дети'!N101*IF('01_Вводные'!$B$239="Да",MeanMinAge21+'19_Расчет_аналитики'!N559*SUMIF(ThresholdAge21,"&lt;"&amp;'19_Расчет_аналитики'!N559,WeightedRevAge21)-SUMIF(ThresholdAge21,"&lt;"&amp;'19_Расчет_аналитики'!N559,WeightedMinAge21),MAX(CapacityAge21*'01_Вводные'!$B$218*'19_Расчет_аналитики'!N559,MeanMinAge21)))</f>
        <v/>
      </c>
      <c r="O484">
        <f>IF(OR('06_Сеть_и_дети'!O101=0,21&lt;='01_Вводные'!$B$297),0,'06_Сеть_и_дети'!O101*IF('01_Вводные'!$B$239="Да",MeanMinAge21+'19_Расчет_аналитики'!O559*SUMIF(ThresholdAge21,"&lt;"&amp;'19_Расчет_аналитики'!O559,WeightedRevAge21)-SUMIF(ThresholdAge21,"&lt;"&amp;'19_Расчет_аналитики'!O559,WeightedMinAge21),MAX(CapacityAge21*'01_Вводные'!$B$218*'19_Расчет_аналитики'!O559,MeanMinAge21)))</f>
        <v/>
      </c>
      <c r="P484">
        <f>IF(OR('06_Сеть_и_дети'!P101=0,21&lt;='01_Вводные'!$B$297),0,'06_Сеть_и_дети'!P101*IF('01_Вводные'!$B$239="Да",MeanMinAge21+'19_Расчет_аналитики'!P559*SUMIF(ThresholdAge21,"&lt;"&amp;'19_Расчет_аналитики'!P559,WeightedRevAge21)-SUMIF(ThresholdAge21,"&lt;"&amp;'19_Расчет_аналитики'!P559,WeightedMinAge21),MAX(CapacityAge21*'01_Вводные'!$B$218*'19_Расчет_аналитики'!P559,MeanMinAge21)))</f>
        <v/>
      </c>
      <c r="Q484">
        <f>IF(OR('06_Сеть_и_дети'!Q101=0,21&lt;='01_Вводные'!$B$297),0,'06_Сеть_и_дети'!Q101*IF('01_Вводные'!$B$239="Да",MeanMinAge21+'19_Расчет_аналитики'!Q559*SUMIF(ThresholdAge21,"&lt;"&amp;'19_Расчет_аналитики'!Q559,WeightedRevAge21)-SUMIF(ThresholdAge21,"&lt;"&amp;'19_Расчет_аналитики'!Q559,WeightedMinAge21),MAX(CapacityAge21*'01_Вводные'!$B$218*'19_Расчет_аналитики'!Q559,MeanMinAge21)))</f>
        <v/>
      </c>
      <c r="R484">
        <f>IF(OR('06_Сеть_и_дети'!R101=0,21&lt;='01_Вводные'!$B$297),0,'06_Сеть_и_дети'!R101*IF('01_Вводные'!$B$239="Да",MeanMinAge21+'19_Расчет_аналитики'!R559*SUMIF(ThresholdAge21,"&lt;"&amp;'19_Расчет_аналитики'!R559,WeightedRevAge21)-SUMIF(ThresholdAge21,"&lt;"&amp;'19_Расчет_аналитики'!R559,WeightedMinAge21),MAX(CapacityAge21*'01_Вводные'!$B$218*'19_Расчет_аналитики'!R559,MeanMinAge21)))</f>
        <v/>
      </c>
      <c r="S484">
        <f>IF(OR('06_Сеть_и_дети'!S101=0,21&lt;='01_Вводные'!$B$297),0,'06_Сеть_и_дети'!S101*IF('01_Вводные'!$B$239="Да",MeanMinAge21+'19_Расчет_аналитики'!S559*SUMIF(ThresholdAge21,"&lt;"&amp;'19_Расчет_аналитики'!S559,WeightedRevAge21)-SUMIF(ThresholdAge21,"&lt;"&amp;'19_Расчет_аналитики'!S559,WeightedMinAge21),MAX(CapacityAge21*'01_Вводные'!$B$218*'19_Расчет_аналитики'!S559,MeanMinAge21)))</f>
        <v/>
      </c>
      <c r="T484">
        <f>IF(OR('06_Сеть_и_дети'!T101=0,21&lt;='01_Вводные'!$B$297),0,'06_Сеть_и_дети'!T101*IF('01_Вводные'!$B$239="Да",MeanMinAge21+'19_Расчет_аналитики'!T559*SUMIF(ThresholdAge21,"&lt;"&amp;'19_Расчет_аналитики'!T559,WeightedRevAge21)-SUMIF(ThresholdAge21,"&lt;"&amp;'19_Расчет_аналитики'!T559,WeightedMinAge21),MAX(CapacityAge21*'01_Вводные'!$B$218*'19_Расчет_аналитики'!T559,MeanMinAge21)))</f>
        <v/>
      </c>
      <c r="U484">
        <f>IF(OR('06_Сеть_и_дети'!U101=0,21&lt;='01_Вводные'!$B$297),0,'06_Сеть_и_дети'!U101*IF('01_Вводные'!$B$239="Да",MeanMinAge21+'19_Расчет_аналитики'!U559*SUMIF(ThresholdAge21,"&lt;"&amp;'19_Расчет_аналитики'!U559,WeightedRevAge21)-SUMIF(ThresholdAge21,"&lt;"&amp;'19_Расчет_аналитики'!U559,WeightedMinAge21),MAX(CapacityAge21*'01_Вводные'!$B$218*'19_Расчет_аналитики'!U559,MeanMinAge21)))</f>
        <v/>
      </c>
      <c r="V484">
        <f>IF(OR('19_Расчет_аналитики'!V456=0,21&lt;='01_Вводные'!$B$297),0,'19_Расчет_аналитики'!V456*IF('01_Вводные'!$B$239="Да",MeanMinAge21+'19_Расчет_аналитики'!V559*SUMIF(ThresholdAge21,"&lt;"&amp;'19_Расчет_аналитики'!V559,WeightedRevAge21)-SUMIF(ThresholdAge21,"&lt;"&amp;'19_Расчет_аналитики'!V559,WeightedMinAge21),MAX(CapacityAge21*'01_Вводные'!$B$218*'19_Расчет_аналитики'!V559,MeanMinAge21)))</f>
        <v/>
      </c>
      <c r="W484">
        <f>IF(OR('19_Расчет_аналитики'!W456=0,21&lt;='01_Вводные'!$B$297),0,'19_Расчет_аналитики'!W456*IF('01_Вводные'!$B$239="Да",MeanMinAge21+'19_Расчет_аналитики'!W559*SUMIF(ThresholdAge21,"&lt;"&amp;'19_Расчет_аналитики'!W559,WeightedRevAge21)-SUMIF(ThresholdAge21,"&lt;"&amp;'19_Расчет_аналитики'!W559,WeightedMinAge21),MAX(CapacityAge21*'01_Вводные'!$B$218*'19_Расчет_аналитики'!W559,MeanMinAge21)))</f>
        <v/>
      </c>
      <c r="X484">
        <f>IF(OR('19_Расчет_аналитики'!X456=0,21&lt;='01_Вводные'!$B$297),0,'19_Расчет_аналитики'!X456*IF('01_Вводные'!$B$239="Да",MeanMinAge21+'19_Расчет_аналитики'!X559*SUMIF(ThresholdAge21,"&lt;"&amp;'19_Расчет_аналитики'!X559,WeightedRevAge21)-SUMIF(ThresholdAge21,"&lt;"&amp;'19_Расчет_аналитики'!X559,WeightedMinAge21),MAX(CapacityAge21*'01_Вводные'!$B$218*'19_Расчет_аналитики'!X559,MeanMinAge21)))</f>
        <v/>
      </c>
      <c r="Y484">
        <f>IF(OR('19_Расчет_аналитики'!Y456=0,21&lt;='01_Вводные'!$B$297),0,'19_Расчет_аналитики'!Y456*IF('01_Вводные'!$B$239="Да",MeanMinAge21+'19_Расчет_аналитики'!Y559*SUMIF(ThresholdAge21,"&lt;"&amp;'19_Расчет_аналитики'!Y559,WeightedRevAge21)-SUMIF(ThresholdAge21,"&lt;"&amp;'19_Расчет_аналитики'!Y559,WeightedMinAge21),MAX(CapacityAge21*'01_Вводные'!$B$218*'19_Расчет_аналитики'!Y559,MeanMinAge21)))</f>
        <v/>
      </c>
      <c r="Z484">
        <f>IF(OR('19_Расчет_аналитики'!Z456=0,21&lt;='01_Вводные'!$B$297),0,'19_Расчет_аналитики'!Z456*IF('01_Вводные'!$B$239="Да",MeanMinAge21+'19_Расчет_аналитики'!Z559*SUMIF(ThresholdAge21,"&lt;"&amp;'19_Расчет_аналитики'!Z559,WeightedRevAge21)-SUMIF(ThresholdAge21,"&lt;"&amp;'19_Расчет_аналитики'!Z559,WeightedMinAge21),MAX(CapacityAge21*'01_Вводные'!$B$218*'19_Расчет_аналитики'!Z559,MeanMinAge21)))</f>
        <v/>
      </c>
      <c r="AA484">
        <f>IF(OR('19_Расчет_аналитики'!AA456=0,21&lt;='01_Вводные'!$B$297),0,'19_Расчет_аналитики'!AA456*IF('01_Вводные'!$B$239="Да",MeanMinAge21+'19_Расчет_аналитики'!AA559*SUMIF(ThresholdAge21,"&lt;"&amp;'19_Расчет_аналитики'!AA559,WeightedRevAge21)-SUMIF(ThresholdAge21,"&lt;"&amp;'19_Расчет_аналитики'!AA559,WeightedMinAge21),MAX(CapacityAge21*'01_Вводные'!$B$218*'19_Расчет_аналитики'!AA559,MeanMinAge21)))</f>
        <v/>
      </c>
      <c r="AB484">
        <f>IF(OR('19_Расчет_аналитики'!AB456=0,21&lt;='01_Вводные'!$B$297),0,'19_Расчет_аналитики'!AB456*IF('01_Вводные'!$B$239="Да",MeanMinAge21+'19_Расчет_аналитики'!AB559*SUMIF(ThresholdAge21,"&lt;"&amp;'19_Расчет_аналитики'!AB559,WeightedRevAge21)-SUMIF(ThresholdAge21,"&lt;"&amp;'19_Расчет_аналитики'!AB559,WeightedMinAge21),MAX(CapacityAge21*'01_Вводные'!$B$218*'19_Расчет_аналитики'!AB559,MeanMinAge21)))</f>
        <v/>
      </c>
      <c r="AC484">
        <f>IF(OR('19_Расчет_аналитики'!AC456=0,21&lt;='01_Вводные'!$B$297),0,'19_Расчет_аналитики'!AC456*IF('01_Вводные'!$B$239="Да",MeanMinAge21+'19_Расчет_аналитики'!AC559*SUMIF(ThresholdAge21,"&lt;"&amp;'19_Расчет_аналитики'!AC559,WeightedRevAge21)-SUMIF(ThresholdAge21,"&lt;"&amp;'19_Расчет_аналитики'!AC559,WeightedMinAge21),MAX(CapacityAge21*'01_Вводные'!$B$218*'19_Расчет_аналитики'!AC559,MeanMinAge21)))</f>
        <v/>
      </c>
      <c r="AD484">
        <f>IF(OR('19_Расчет_аналитики'!AD456=0,21&lt;='01_Вводные'!$B$297),0,'19_Расчет_аналитики'!AD456*IF('01_Вводные'!$B$239="Да",MeanMinAge21+'19_Расчет_аналитики'!AD559*SUMIF(ThresholdAge21,"&lt;"&amp;'19_Расчет_аналитики'!AD559,WeightedRevAge21)-SUMIF(ThresholdAge21,"&lt;"&amp;'19_Расчет_аналитики'!AD559,WeightedMinAge21),MAX(CapacityAge21*'01_Вводные'!$B$218*'19_Расчет_аналитики'!AD559,MeanMinAge21)))</f>
        <v/>
      </c>
      <c r="AE484">
        <f>IF(OR('19_Расчет_аналитики'!AE456=0,21&lt;='01_Вводные'!$B$297),0,'19_Расчет_аналитики'!AE456*IF('01_Вводные'!$B$239="Да",MeanMinAge21+'19_Расчет_аналитики'!AE559*SUMIF(ThresholdAge21,"&lt;"&amp;'19_Расчет_аналитики'!AE559,WeightedRevAge21)-SUMIF(ThresholdAge21,"&lt;"&amp;'19_Расчет_аналитики'!AE559,WeightedMinAge21),MAX(CapacityAge21*'01_Вводные'!$B$218*'19_Расчет_аналитики'!AE559,MeanMinAge21)))</f>
        <v/>
      </c>
      <c r="AF484">
        <f>IF(OR('19_Расчет_аналитики'!AF456=0,21&lt;='01_Вводные'!$B$297),0,'19_Расчет_аналитики'!AF456*IF('01_Вводные'!$B$239="Да",MeanMinAge21+'19_Расчет_аналитики'!AF559*SUMIF(ThresholdAge21,"&lt;"&amp;'19_Расчет_аналитики'!AF559,WeightedRevAge21)-SUMIF(ThresholdAge21,"&lt;"&amp;'19_Расчет_аналитики'!AF559,WeightedMinAge21),MAX(CapacityAge21*'01_Вводные'!$B$218*'19_Расчет_аналитики'!AF559,MeanMinAge21)))</f>
        <v/>
      </c>
      <c r="AG484">
        <f>IF(OR('19_Расчет_аналитики'!AG456=0,21&lt;='01_Вводные'!$B$297),0,'19_Расчет_аналитики'!AG456*IF('01_Вводные'!$B$239="Да",MeanMinAge21+'19_Расчет_аналитики'!AG559*SUMIF(ThresholdAge21,"&lt;"&amp;'19_Расчет_аналитики'!AG559,WeightedRevAge21)-SUMIF(ThresholdAge21,"&lt;"&amp;'19_Расчет_аналитики'!AG559,WeightedMinAge21),MAX(CapacityAge21*'01_Вводные'!$B$218*'19_Расчет_аналитики'!AG559,MeanMinAge21)))</f>
        <v/>
      </c>
      <c r="AH484">
        <f>IF(OR('19_Расчет_аналитики'!AH456=0,21&lt;='01_Вводные'!$B$297),0,'19_Расчет_аналитики'!AH456*IF('01_Вводные'!$B$239="Да",MeanMinAge21+'19_Расчет_аналитики'!AH559*SUMIF(ThresholdAge21,"&lt;"&amp;'19_Расчет_аналитики'!AH559,WeightedRevAge21)-SUMIF(ThresholdAge21,"&lt;"&amp;'19_Расчет_аналитики'!AH559,WeightedMinAge21),MAX(CapacityAge21*'01_Вводные'!$B$218*'19_Расчет_аналитики'!AH559,MeanMinAge21)))</f>
        <v/>
      </c>
      <c r="AI484">
        <f>IF(OR('19_Расчет_аналитики'!AI456=0,21&lt;='01_Вводные'!$B$297),0,'19_Расчет_аналитики'!AI456*IF('01_Вводные'!$B$239="Да",MeanMinAge21+'19_Расчет_аналитики'!AI559*SUMIF(ThresholdAge21,"&lt;"&amp;'19_Расчет_аналитики'!AI559,WeightedRevAge21)-SUMIF(ThresholdAge21,"&lt;"&amp;'19_Расчет_аналитики'!AI559,WeightedMinAge21),MAX(CapacityAge21*'01_Вводные'!$B$218*'19_Расчет_аналитики'!AI559,MeanMinAge21)))</f>
        <v/>
      </c>
      <c r="AJ484">
        <f>IF(OR('19_Расчет_аналитики'!AJ456=0,21&lt;='01_Вводные'!$B$297),0,'19_Расчет_аналитики'!AJ456*IF('01_Вводные'!$B$239="Да",MeanMinAge21+'19_Расчет_аналитики'!AJ559*SUMIF(ThresholdAge21,"&lt;"&amp;'19_Расчет_аналитики'!AJ559,WeightedRevAge21)-SUMIF(ThresholdAge21,"&lt;"&amp;'19_Расчет_аналитики'!AJ559,WeightedMinAge21),MAX(CapacityAge21*'01_Вводные'!$B$218*'19_Расчет_аналитики'!AJ559,MeanMinAge21)))</f>
        <v/>
      </c>
      <c r="AK484">
        <f>IF(OR('19_Расчет_аналитики'!AK456=0,21&lt;='01_Вводные'!$B$297),0,'19_Расчет_аналитики'!AK456*IF('01_Вводные'!$B$239="Да",MeanMinAge21+'19_Расчет_аналитики'!AK559*SUMIF(ThresholdAge21,"&lt;"&amp;'19_Расчет_аналитики'!AK559,WeightedRevAge21)-SUMIF(ThresholdAge21,"&lt;"&amp;'19_Расчет_аналитики'!AK559,WeightedMinAge21),MAX(CapacityAge21*'01_Вводные'!$B$218*'19_Расчет_аналитики'!AK559,MeanMinAge21)))</f>
        <v/>
      </c>
      <c r="AL484">
        <f>IF(OR('19_Расчет_аналитики'!AL456=0,21&lt;='01_Вводные'!$B$297),0,'19_Расчет_аналитики'!AL456*IF('01_Вводные'!$B$239="Да",MeanMinAge21+'19_Расчет_аналитики'!AL559*SUMIF(ThresholdAge21,"&lt;"&amp;'19_Расчет_аналитики'!AL559,WeightedRevAge21)-SUMIF(ThresholdAge21,"&lt;"&amp;'19_Расчет_аналитики'!AL559,WeightedMinAge21),MAX(CapacityAge21*'01_Вводные'!$B$218*'19_Расчет_аналитики'!AL559,MeanMinAge21)))</f>
        <v/>
      </c>
      <c r="AM484">
        <f>IF(OR('19_Расчет_аналитики'!AM456=0,21&lt;='01_Вводные'!$B$297),0,'19_Расчет_аналитики'!AM456*IF('01_Вводные'!$B$239="Да",MeanMinAge21+'19_Расчет_аналитики'!AM559*SUMIF(ThresholdAge21,"&lt;"&amp;'19_Расчет_аналитики'!AM559,WeightedRevAge21)-SUMIF(ThresholdAge21,"&lt;"&amp;'19_Расчет_аналитики'!AM559,WeightedMinAge21),MAX(CapacityAge21*'01_Вводные'!$B$218*'19_Расчет_аналитики'!AM559,MeanMinAge21)))</f>
        <v/>
      </c>
      <c r="AN484">
        <f>IF(OR('19_Расчет_аналитики'!AN456=0,21&lt;='01_Вводные'!$B$297),0,'19_Расчет_аналитики'!AN456*IF('01_Вводные'!$B$239="Да",MeanMinAge21+'19_Расчет_аналитики'!AN559*SUMIF(ThresholdAge21,"&lt;"&amp;'19_Расчет_аналитики'!AN559,WeightedRevAge21)-SUMIF(ThresholdAge21,"&lt;"&amp;'19_Расчет_аналитики'!AN559,WeightedMinAge21),MAX(CapacityAge21*'01_Вводные'!$B$218*'19_Расчет_аналитики'!AN559,MeanMinAge21)))</f>
        <v/>
      </c>
      <c r="AO484">
        <f>IF(OR('19_Расчет_аналитики'!AO456=0,21&lt;='01_Вводные'!$B$297),0,'19_Расчет_аналитики'!AO456*IF('01_Вводные'!$B$239="Да",MeanMinAge21+'19_Расчет_аналитики'!AO559*SUMIF(ThresholdAge21,"&lt;"&amp;'19_Расчет_аналитики'!AO559,WeightedRevAge21)-SUMIF(ThresholdAge21,"&lt;"&amp;'19_Расчет_аналитики'!AO559,WeightedMinAge21),MAX(CapacityAge21*'01_Вводные'!$B$218*'19_Расчет_аналитики'!AO559,MeanMinAge21)))</f>
        <v/>
      </c>
      <c r="AP484">
        <f>IF(OR('19_Расчет_аналитики'!AP456=0,21&lt;='01_Вводные'!$B$297),0,'19_Расчет_аналитики'!AP456*IF('01_Вводные'!$B$239="Да",MeanMinAge21+'19_Расчет_аналитики'!AP559*SUMIF(ThresholdAge21,"&lt;"&amp;'19_Расчет_аналитики'!AP559,WeightedRevAge21)-SUMIF(ThresholdAge21,"&lt;"&amp;'19_Расчет_аналитики'!AP559,WeightedMinAge21),MAX(CapacityAge21*'01_Вводные'!$B$218*'19_Расчет_аналитики'!AP559,MeanMinAge21)))</f>
        <v/>
      </c>
      <c r="AQ484">
        <f>IF(OR('19_Расчет_аналитики'!AQ456=0,21&lt;='01_Вводные'!$B$297),0,'19_Расчет_аналитики'!AQ456*IF('01_Вводные'!$B$239="Да",MeanMinAge21+'19_Расчет_аналитики'!AQ559*SUMIF(ThresholdAge21,"&lt;"&amp;'19_Расчет_аналитики'!AQ559,WeightedRevAge21)-SUMIF(ThresholdAge21,"&lt;"&amp;'19_Расчет_аналитики'!AQ559,WeightedMinAge21),MAX(CapacityAge21*'01_Вводные'!$B$218*'19_Расчет_аналитики'!AQ559,MeanMinAge21)))</f>
        <v/>
      </c>
      <c r="AR484">
        <f>IF(OR('19_Расчет_аналитики'!AR456=0,21&lt;='01_Вводные'!$B$297),0,'19_Расчет_аналитики'!AR456*IF('01_Вводные'!$B$239="Да",MeanMinAge21+'19_Расчет_аналитики'!AR559*SUMIF(ThresholdAge21,"&lt;"&amp;'19_Расчет_аналитики'!AR559,WeightedRevAge21)-SUMIF(ThresholdAge21,"&lt;"&amp;'19_Расчет_аналитики'!AR559,WeightedMinAge21),MAX(CapacityAge21*'01_Вводные'!$B$218*'19_Расчет_аналитики'!AR559,MeanMinAge21)))</f>
        <v/>
      </c>
      <c r="AS484">
        <f>IF(OR('19_Расчет_аналитики'!AS456=0,21&lt;='01_Вводные'!$B$297),0,'19_Расчет_аналитики'!AS456*IF('01_Вводные'!$B$239="Да",MeanMinAge21+'19_Расчет_аналитики'!AS559*SUMIF(ThresholdAge21,"&lt;"&amp;'19_Расчет_аналитики'!AS559,WeightedRevAge21)-SUMIF(ThresholdAge21,"&lt;"&amp;'19_Расчет_аналитики'!AS559,WeightedMinAge21),MAX(CapacityAge21*'01_Вводные'!$B$218*'19_Расчет_аналитики'!AS559,MeanMinAge21)))</f>
        <v/>
      </c>
      <c r="AT484">
        <f>IF(OR('19_Расчет_аналитики'!AT456=0,21&lt;='01_Вводные'!$B$297),0,'19_Расчет_аналитики'!AT456*IF('01_Вводные'!$B$239="Да",MeanMinAge21+'19_Расчет_аналитики'!AT559*SUMIF(ThresholdAge21,"&lt;"&amp;'19_Расчет_аналитики'!AT559,WeightedRevAge21)-SUMIF(ThresholdAge21,"&lt;"&amp;'19_Расчет_аналитики'!AT559,WeightedMinAge21),MAX(CapacityAge21*'01_Вводные'!$B$218*'19_Расчет_аналитики'!AT559,MeanMinAge21)))</f>
        <v/>
      </c>
      <c r="AU484">
        <f>IF(OR('19_Расчет_аналитики'!AU456=0,21&lt;='01_Вводные'!$B$297),0,'19_Расчет_аналитики'!AU456*IF('01_Вводные'!$B$239="Да",MeanMinAge21+'19_Расчет_аналитики'!AU559*SUMIF(ThresholdAge21,"&lt;"&amp;'19_Расчет_аналитики'!AU559,WeightedRevAge21)-SUMIF(ThresholdAge21,"&lt;"&amp;'19_Расчет_аналитики'!AU559,WeightedMinAge21),MAX(CapacityAge21*'01_Вводные'!$B$218*'19_Расчет_аналитики'!AU559,MeanMinAge21)))</f>
        <v/>
      </c>
      <c r="AV484">
        <f>IF(OR('19_Расчет_аналитики'!AV456=0,21&lt;='01_Вводные'!$B$297),0,'19_Расчет_аналитики'!AV456*IF('01_Вводные'!$B$239="Да",MeanMinAge21+'19_Расчет_аналитики'!AV559*SUMIF(ThresholdAge21,"&lt;"&amp;'19_Расчет_аналитики'!AV559,WeightedRevAge21)-SUMIF(ThresholdAge21,"&lt;"&amp;'19_Расчет_аналитики'!AV559,WeightedMinAge21),MAX(CapacityAge21*'01_Вводные'!$B$218*'19_Расчет_аналитики'!AV559,MeanMinAge21)))</f>
        <v/>
      </c>
      <c r="AW484">
        <f>IF(OR('19_Расчет_аналитики'!AW456=0,21&lt;='01_Вводные'!$B$297),0,'19_Расчет_аналитики'!AW456*IF('01_Вводные'!$B$239="Да",MeanMinAge21+'19_Расчет_аналитики'!AW559*SUMIF(ThresholdAge21,"&lt;"&amp;'19_Расчет_аналитики'!AW559,WeightedRevAge21)-SUMIF(ThresholdAge21,"&lt;"&amp;'19_Расчет_аналитики'!AW559,WeightedMinAge21),MAX(CapacityAge21*'01_Вводные'!$B$218*'19_Расчет_аналитики'!AW559,MeanMinAge21)))</f>
        <v/>
      </c>
      <c r="AX484">
        <f>IF(OR('19_Расчет_аналитики'!AX456=0,21&lt;='01_Вводные'!$B$297),0,'19_Расчет_аналитики'!AX456*IF('01_Вводные'!$B$239="Да",MeanMinAge21+'19_Расчет_аналитики'!AX559*SUMIF(ThresholdAge21,"&lt;"&amp;'19_Расчет_аналитики'!AX559,WeightedRevAge21)-SUMIF(ThresholdAge21,"&lt;"&amp;'19_Расчет_аналитики'!AX559,WeightedMinAge21),MAX(CapacityAge21*'01_Вводные'!$B$218*'19_Расчет_аналитики'!AX559,MeanMinAge21)))</f>
        <v/>
      </c>
      <c r="AY484">
        <f>IF(OR('19_Расчет_аналитики'!AY456=0,21&lt;='01_Вводные'!$B$297),0,'19_Расчет_аналитики'!AY456*IF('01_Вводные'!$B$239="Да",MeanMinAge21+'19_Расчет_аналитики'!AY559*SUMIF(ThresholdAge21,"&lt;"&amp;'19_Расчет_аналитики'!AY559,WeightedRevAge21)-SUMIF(ThresholdAge21,"&lt;"&amp;'19_Расчет_аналитики'!AY559,WeightedMinAge21),MAX(CapacityAge21*'01_Вводные'!$B$218*'19_Расчет_аналитики'!AY559,MeanMinAge21)))</f>
        <v/>
      </c>
      <c r="AZ484">
        <f>IF(OR('19_Расчет_аналитики'!AZ456=0,21&lt;='01_Вводные'!$B$297),0,'19_Расчет_аналитики'!AZ456*IF('01_Вводные'!$B$239="Да",MeanMinAge21+'19_Расчет_аналитики'!AZ559*SUMIF(ThresholdAge21,"&lt;"&amp;'19_Расчет_аналитики'!AZ559,WeightedRevAge21)-SUMIF(ThresholdAge21,"&lt;"&amp;'19_Расчет_аналитики'!AZ559,WeightedMinAge21),MAX(CapacityAge21*'01_Вводные'!$B$218*'19_Расчет_аналитики'!AZ559,MeanMinAge21)))</f>
        <v/>
      </c>
      <c r="BA484">
        <f>IF(OR('19_Расчет_аналитики'!BA456=0,21&lt;='01_Вводные'!$B$297),0,'19_Расчет_аналитики'!BA456*IF('01_Вводные'!$B$239="Да",MeanMinAge21+'19_Расчет_аналитики'!BA559*SUMIF(ThresholdAge21,"&lt;"&amp;'19_Расчет_аналитики'!BA559,WeightedRevAge21)-SUMIF(ThresholdAge21,"&lt;"&amp;'19_Расчет_аналитики'!BA559,WeightedMinAge21),MAX(CapacityAge21*'01_Вводные'!$B$218*'19_Расчет_аналитики'!BA559,MeanMinAge21)))</f>
        <v/>
      </c>
      <c r="BB484">
        <f>IF(OR('19_Расчет_аналитики'!BB456=0,21&lt;='01_Вводные'!$B$297),0,'19_Расчет_аналитики'!BB456*IF('01_Вводные'!$B$239="Да",MeanMinAge21+'19_Расчет_аналитики'!BB559*SUMIF(ThresholdAge21,"&lt;"&amp;'19_Расчет_аналитики'!BB559,WeightedRevAge21)-SUMIF(ThresholdAge21,"&lt;"&amp;'19_Расчет_аналитики'!BB559,WeightedMinAge21),MAX(CapacityAge21*'01_Вводные'!$B$218*'19_Расчет_аналитики'!BB559,MeanMinAge21)))</f>
        <v/>
      </c>
      <c r="BC484">
        <f>IF(OR('19_Расчет_аналитики'!BC456=0,21&lt;='01_Вводные'!$B$297),0,'19_Расчет_аналитики'!BC456*IF('01_Вводные'!$B$239="Да",MeanMinAge21+'19_Расчет_аналитики'!BC559*SUMIF(ThresholdAge21,"&lt;"&amp;'19_Расчет_аналитики'!BC559,WeightedRevAge21)-SUMIF(ThresholdAge21,"&lt;"&amp;'19_Расчет_аналитики'!BC559,WeightedMinAge21),MAX(CapacityAge21*'01_Вводные'!$B$218*'19_Расчет_аналитики'!BC559,MeanMinAge21)))</f>
        <v/>
      </c>
      <c r="BD484">
        <f>IF(OR('19_Расчет_аналитики'!BD456=0,21&lt;='01_Вводные'!$B$297),0,'19_Расчет_аналитики'!BD456*IF('01_Вводные'!$B$239="Да",MeanMinAge21+'19_Расчет_аналитики'!BD559*SUMIF(ThresholdAge21,"&lt;"&amp;'19_Расчет_аналитики'!BD559,WeightedRevAge21)-SUMIF(ThresholdAge21,"&lt;"&amp;'19_Расчет_аналитики'!BD559,WeightedMinAge21),MAX(CapacityAge21*'01_Вводные'!$B$218*'19_Расчет_аналитики'!BD559,MeanMinAge21)))</f>
        <v/>
      </c>
      <c r="BE484">
        <f>IF(OR('19_Расчет_аналитики'!BE456=0,21&lt;='01_Вводные'!$B$297),0,'19_Расчет_аналитики'!BE456*IF('01_Вводные'!$B$239="Да",MeanMinAge21+'19_Расчет_аналитики'!BE559*SUMIF(ThresholdAge21,"&lt;"&amp;'19_Расчет_аналитики'!BE559,WeightedRevAge21)-SUMIF(ThresholdAge21,"&lt;"&amp;'19_Расчет_аналитики'!BE559,WeightedMinAge21),MAX(CapacityAge21*'01_Вводные'!$B$218*'19_Расчет_аналитики'!BE559,MeanMinAge21)))</f>
        <v/>
      </c>
      <c r="BF484">
        <f>IF(OR('19_Расчет_аналитики'!BF456=0,21&lt;='01_Вводные'!$B$297),0,'19_Расчет_аналитики'!BF456*IF('01_Вводные'!$B$239="Да",MeanMinAge21+'19_Расчет_аналитики'!BF559*SUMIF(ThresholdAge21,"&lt;"&amp;'19_Расчет_аналитики'!BF559,WeightedRevAge21)-SUMIF(ThresholdAge21,"&lt;"&amp;'19_Расчет_аналитики'!BF559,WeightedMinAge21),MAX(CapacityAge21*'01_Вводные'!$B$218*'19_Расчет_аналитики'!BF559,MeanMinAge21)))</f>
        <v/>
      </c>
      <c r="BG484">
        <f>IF(OR('19_Расчет_аналитики'!BG456=0,21&lt;='01_Вводные'!$B$297),0,'19_Расчет_аналитики'!BG456*IF('01_Вводные'!$B$239="Да",MeanMinAge21+'19_Расчет_аналитики'!BG559*SUMIF(ThresholdAge21,"&lt;"&amp;'19_Расчет_аналитики'!BG559,WeightedRevAge21)-SUMIF(ThresholdAge21,"&lt;"&amp;'19_Расчет_аналитики'!BG559,WeightedMinAge21),MAX(CapacityAge21*'01_Вводные'!$B$218*'19_Расчет_аналитики'!BG559,MeanMinAge21)))</f>
        <v/>
      </c>
      <c r="BH484">
        <f>IF(OR('19_Расчет_аналитики'!BH456=0,21&lt;='01_Вводные'!$B$297),0,'19_Расчет_аналитики'!BH456*IF('01_Вводные'!$B$239="Да",MeanMinAge21+'19_Расчет_аналитики'!BH559*SUMIF(ThresholdAge21,"&lt;"&amp;'19_Расчет_аналитики'!BH559,WeightedRevAge21)-SUMIF(ThresholdAge21,"&lt;"&amp;'19_Расчет_аналитики'!BH559,WeightedMinAge21),MAX(CapacityAge21*'01_Вводные'!$B$218*'19_Расчет_аналитики'!BH559,MeanMinAge21)))</f>
        <v/>
      </c>
      <c r="BI484">
        <f>IF(OR('19_Расчет_аналитики'!BI456=0,21&lt;='01_Вводные'!$B$297),0,'19_Расчет_аналитики'!BI456*IF('01_Вводные'!$B$239="Да",MeanMinAge21+'19_Расчет_аналитики'!BI559*SUMIF(ThresholdAge21,"&lt;"&amp;'19_Расчет_аналитики'!BI559,WeightedRevAge21)-SUMIF(ThresholdAge21,"&lt;"&amp;'19_Расчет_аналитики'!BI559,WeightedMinAge21),MAX(CapacityAge21*'01_Вводные'!$B$218*'19_Расчет_аналитики'!BI559,MeanMinAge21)))</f>
        <v/>
      </c>
      <c r="BJ484">
        <f>IF(OR('19_Расчет_аналитики'!BJ456=0,21&lt;='01_Вводные'!$B$297),0,'19_Расчет_аналитики'!BJ456*IF('01_Вводные'!$B$239="Да",MeanMinAge21+'19_Расчет_аналитики'!BJ559*SUMIF(ThresholdAge21,"&lt;"&amp;'19_Расчет_аналитики'!BJ559,WeightedRevAge21)-SUMIF(ThresholdAge21,"&lt;"&amp;'19_Расчет_аналитики'!BJ559,WeightedMinAge21),MAX(CapacityAge21*'01_Вводные'!$B$218*'19_Расчет_аналитики'!BJ559,MeanMinAge21)))</f>
        <v/>
      </c>
      <c r="BK484">
        <f>IF(OR('19_Расчет_аналитики'!BK456=0,21&lt;='01_Вводные'!$B$297),0,'19_Расчет_аналитики'!BK456*IF('01_Вводные'!$B$239="Да",MeanMinAge21+'19_Расчет_аналитики'!BK559*SUMIF(ThresholdAge21,"&lt;"&amp;'19_Расчет_аналитики'!BK559,WeightedRevAge21)-SUMIF(ThresholdAge21,"&lt;"&amp;'19_Расчет_аналитики'!BK559,WeightedMinAge21),MAX(CapacityAge21*'01_Вводные'!$B$218*'19_Расчет_аналитики'!BK559,MeanMinAge21)))</f>
        <v/>
      </c>
      <c r="BL484">
        <f>IF(OR('19_Расчет_аналитики'!BL456=0,21&lt;='01_Вводные'!$B$297),0,'19_Расчет_аналитики'!BL456*IF('01_Вводные'!$B$239="Да",MeanMinAge21+'19_Расчет_аналитики'!BL559*SUMIF(ThresholdAge21,"&lt;"&amp;'19_Расчет_аналитики'!BL559,WeightedRevAge21)-SUMIF(ThresholdAge21,"&lt;"&amp;'19_Расчет_аналитики'!BL559,WeightedMinAge21),MAX(CapacityAge21*'01_Вводные'!$B$218*'19_Расчет_аналитики'!BL559,MeanMinAge21)))</f>
        <v/>
      </c>
      <c r="BM484">
        <f>IF(OR('19_Расчет_аналитики'!BM456=0,21&lt;='01_Вводные'!$B$297),0,'19_Расчет_аналитики'!BM456*IF('01_Вводные'!$B$239="Да",MeanMinAge21+'19_Расчет_аналитики'!BM559*SUMIF(ThresholdAge21,"&lt;"&amp;'19_Расчет_аналитики'!BM559,WeightedRevAge21)-SUMIF(ThresholdAge21,"&lt;"&amp;'19_Расчет_аналитики'!BM559,WeightedMinAge21),MAX(CapacityAge21*'01_Вводные'!$B$218*'19_Расчет_аналитики'!BM559,MeanMinAge21)))</f>
        <v/>
      </c>
      <c r="BN484">
        <f>IF(OR('19_Расчет_аналитики'!BN456=0,21&lt;='01_Вводные'!$B$297),0,'19_Расчет_аналитики'!BN456*IF('01_Вводные'!$B$239="Да",MeanMinAge21+'19_Расчет_аналитики'!BN559*SUMIF(ThresholdAge21,"&lt;"&amp;'19_Расчет_аналитики'!BN559,WeightedRevAge21)-SUMIF(ThresholdAge21,"&lt;"&amp;'19_Расчет_аналитики'!BN559,WeightedMinAge21),MAX(CapacityAge21*'01_Вводные'!$B$218*'19_Расчет_аналитики'!BN559,MeanMinAge21)))</f>
        <v/>
      </c>
      <c r="BO484">
        <f>IF(OR('19_Расчет_аналитики'!BO456=0,21&lt;='01_Вводные'!$B$297),0,'19_Расчет_аналитики'!BO456*IF('01_Вводные'!$B$239="Да",MeanMinAge21+'19_Расчет_аналитики'!BO559*SUMIF(ThresholdAge21,"&lt;"&amp;'19_Расчет_аналитики'!BO559,WeightedRevAge21)-SUMIF(ThresholdAge21,"&lt;"&amp;'19_Расчет_аналитики'!BO559,WeightedMinAge21),MAX(CapacityAge21*'01_Вводные'!$B$218*'19_Расчет_аналитики'!BO559,MeanMinAge21)))</f>
        <v/>
      </c>
    </row>
    <row r="485">
      <c r="B485">
        <f>IF(OR('06_Сеть_и_дети'!B102=0,22&lt;='01_Вводные'!$B$297),0,'06_Сеть_и_дети'!B102*IF('01_Вводные'!$B$239="Да",MeanMinAge22+'19_Расчет_аналитики'!B559*SUMIF(ThresholdAge22,"&lt;"&amp;'19_Расчет_аналитики'!B559,WeightedRevAge22)-SUMIF(ThresholdAge22,"&lt;"&amp;'19_Расчет_аналитики'!B559,WeightedMinAge22),MAX(CapacityAge22*'01_Вводные'!$B$218*'19_Расчет_аналитики'!B559,MeanMinAge22)))</f>
        <v/>
      </c>
      <c r="C485">
        <f>IF(OR('06_Сеть_и_дети'!C102=0,22&lt;='01_Вводные'!$B$297),0,'06_Сеть_и_дети'!C102*IF('01_Вводные'!$B$239="Да",MeanMinAge22+'19_Расчет_аналитики'!C559*SUMIF(ThresholdAge22,"&lt;"&amp;'19_Расчет_аналитики'!C559,WeightedRevAge22)-SUMIF(ThresholdAge22,"&lt;"&amp;'19_Расчет_аналитики'!C559,WeightedMinAge22),MAX(CapacityAge22*'01_Вводные'!$B$218*'19_Расчет_аналитики'!C559,MeanMinAge22)))</f>
        <v/>
      </c>
      <c r="D485">
        <f>IF(OR('06_Сеть_и_дети'!D102=0,22&lt;='01_Вводные'!$B$297),0,'06_Сеть_и_дети'!D102*IF('01_Вводные'!$B$239="Да",MeanMinAge22+'19_Расчет_аналитики'!D559*SUMIF(ThresholdAge22,"&lt;"&amp;'19_Расчет_аналитики'!D559,WeightedRevAge22)-SUMIF(ThresholdAge22,"&lt;"&amp;'19_Расчет_аналитики'!D559,WeightedMinAge22),MAX(CapacityAge22*'01_Вводные'!$B$218*'19_Расчет_аналитики'!D559,MeanMinAge22)))</f>
        <v/>
      </c>
      <c r="E485">
        <f>IF(OR('06_Сеть_и_дети'!E102=0,22&lt;='01_Вводные'!$B$297),0,'06_Сеть_и_дети'!E102*IF('01_Вводные'!$B$239="Да",MeanMinAge22+'19_Расчет_аналитики'!E559*SUMIF(ThresholdAge22,"&lt;"&amp;'19_Расчет_аналитики'!E559,WeightedRevAge22)-SUMIF(ThresholdAge22,"&lt;"&amp;'19_Расчет_аналитики'!E559,WeightedMinAge22),MAX(CapacityAge22*'01_Вводные'!$B$218*'19_Расчет_аналитики'!E559,MeanMinAge22)))</f>
        <v/>
      </c>
      <c r="F485">
        <f>IF(OR('06_Сеть_и_дети'!F102=0,22&lt;='01_Вводные'!$B$297),0,'06_Сеть_и_дети'!F102*IF('01_Вводные'!$B$239="Да",MeanMinAge22+'19_Расчет_аналитики'!F559*SUMIF(ThresholdAge22,"&lt;"&amp;'19_Расчет_аналитики'!F559,WeightedRevAge22)-SUMIF(ThresholdAge22,"&lt;"&amp;'19_Расчет_аналитики'!F559,WeightedMinAge22),MAX(CapacityAge22*'01_Вводные'!$B$218*'19_Расчет_аналитики'!F559,MeanMinAge22)))</f>
        <v/>
      </c>
      <c r="G485">
        <f>IF(OR('06_Сеть_и_дети'!G102=0,22&lt;='01_Вводные'!$B$297),0,'06_Сеть_и_дети'!G102*IF('01_Вводные'!$B$239="Да",MeanMinAge22+'19_Расчет_аналитики'!G559*SUMIF(ThresholdAge22,"&lt;"&amp;'19_Расчет_аналитики'!G559,WeightedRevAge22)-SUMIF(ThresholdAge22,"&lt;"&amp;'19_Расчет_аналитики'!G559,WeightedMinAge22),MAX(CapacityAge22*'01_Вводные'!$B$218*'19_Расчет_аналитики'!G559,MeanMinAge22)))</f>
        <v/>
      </c>
      <c r="H485">
        <f>IF(OR('06_Сеть_и_дети'!H102=0,22&lt;='01_Вводные'!$B$297),0,'06_Сеть_и_дети'!H102*IF('01_Вводные'!$B$239="Да",MeanMinAge22+'19_Расчет_аналитики'!H559*SUMIF(ThresholdAge22,"&lt;"&amp;'19_Расчет_аналитики'!H559,WeightedRevAge22)-SUMIF(ThresholdAge22,"&lt;"&amp;'19_Расчет_аналитики'!H559,WeightedMinAge22),MAX(CapacityAge22*'01_Вводные'!$B$218*'19_Расчет_аналитики'!H559,MeanMinAge22)))</f>
        <v/>
      </c>
      <c r="I485">
        <f>IF(OR('06_Сеть_и_дети'!I102=0,22&lt;='01_Вводные'!$B$297),0,'06_Сеть_и_дети'!I102*IF('01_Вводные'!$B$239="Да",MeanMinAge22+'19_Расчет_аналитики'!I559*SUMIF(ThresholdAge22,"&lt;"&amp;'19_Расчет_аналитики'!I559,WeightedRevAge22)-SUMIF(ThresholdAge22,"&lt;"&amp;'19_Расчет_аналитики'!I559,WeightedMinAge22),MAX(CapacityAge22*'01_Вводные'!$B$218*'19_Расчет_аналитики'!I559,MeanMinAge22)))</f>
        <v/>
      </c>
      <c r="J485">
        <f>IF(OR('06_Сеть_и_дети'!J102=0,22&lt;='01_Вводные'!$B$297),0,'06_Сеть_и_дети'!J102*IF('01_Вводные'!$B$239="Да",MeanMinAge22+'19_Расчет_аналитики'!J559*SUMIF(ThresholdAge22,"&lt;"&amp;'19_Расчет_аналитики'!J559,WeightedRevAge22)-SUMIF(ThresholdAge22,"&lt;"&amp;'19_Расчет_аналитики'!J559,WeightedMinAge22),MAX(CapacityAge22*'01_Вводные'!$B$218*'19_Расчет_аналитики'!J559,MeanMinAge22)))</f>
        <v/>
      </c>
      <c r="K485">
        <f>IF(OR('06_Сеть_и_дети'!K102=0,22&lt;='01_Вводные'!$B$297),0,'06_Сеть_и_дети'!K102*IF('01_Вводные'!$B$239="Да",MeanMinAge22+'19_Расчет_аналитики'!K559*SUMIF(ThresholdAge22,"&lt;"&amp;'19_Расчет_аналитики'!K559,WeightedRevAge22)-SUMIF(ThresholdAge22,"&lt;"&amp;'19_Расчет_аналитики'!K559,WeightedMinAge22),MAX(CapacityAge22*'01_Вводные'!$B$218*'19_Расчет_аналитики'!K559,MeanMinAge22)))</f>
        <v/>
      </c>
      <c r="L485">
        <f>IF(OR('06_Сеть_и_дети'!L102=0,22&lt;='01_Вводные'!$B$297),0,'06_Сеть_и_дети'!L102*IF('01_Вводные'!$B$239="Да",MeanMinAge22+'19_Расчет_аналитики'!L559*SUMIF(ThresholdAge22,"&lt;"&amp;'19_Расчет_аналитики'!L559,WeightedRevAge22)-SUMIF(ThresholdAge22,"&lt;"&amp;'19_Расчет_аналитики'!L559,WeightedMinAge22),MAX(CapacityAge22*'01_Вводные'!$B$218*'19_Расчет_аналитики'!L559,MeanMinAge22)))</f>
        <v/>
      </c>
      <c r="M485">
        <f>IF(OR('06_Сеть_и_дети'!M102=0,22&lt;='01_Вводные'!$B$297),0,'06_Сеть_и_дети'!M102*IF('01_Вводные'!$B$239="Да",MeanMinAge22+'19_Расчет_аналитики'!M559*SUMIF(ThresholdAge22,"&lt;"&amp;'19_Расчет_аналитики'!M559,WeightedRevAge22)-SUMIF(ThresholdAge22,"&lt;"&amp;'19_Расчет_аналитики'!M559,WeightedMinAge22),MAX(CapacityAge22*'01_Вводные'!$B$218*'19_Расчет_аналитики'!M559,MeanMinAge22)))</f>
        <v/>
      </c>
      <c r="N485">
        <f>IF(OR('06_Сеть_и_дети'!N102=0,22&lt;='01_Вводные'!$B$297),0,'06_Сеть_и_дети'!N102*IF('01_Вводные'!$B$239="Да",MeanMinAge22+'19_Расчет_аналитики'!N559*SUMIF(ThresholdAge22,"&lt;"&amp;'19_Расчет_аналитики'!N559,WeightedRevAge22)-SUMIF(ThresholdAge22,"&lt;"&amp;'19_Расчет_аналитики'!N559,WeightedMinAge22),MAX(CapacityAge22*'01_Вводные'!$B$218*'19_Расчет_аналитики'!N559,MeanMinAge22)))</f>
        <v/>
      </c>
      <c r="O485">
        <f>IF(OR('06_Сеть_и_дети'!O102=0,22&lt;='01_Вводные'!$B$297),0,'06_Сеть_и_дети'!O102*IF('01_Вводные'!$B$239="Да",MeanMinAge22+'19_Расчет_аналитики'!O559*SUMIF(ThresholdAge22,"&lt;"&amp;'19_Расчет_аналитики'!O559,WeightedRevAge22)-SUMIF(ThresholdAge22,"&lt;"&amp;'19_Расчет_аналитики'!O559,WeightedMinAge22),MAX(CapacityAge22*'01_Вводные'!$B$218*'19_Расчет_аналитики'!O559,MeanMinAge22)))</f>
        <v/>
      </c>
      <c r="P485">
        <f>IF(OR('06_Сеть_и_дети'!P102=0,22&lt;='01_Вводные'!$B$297),0,'06_Сеть_и_дети'!P102*IF('01_Вводные'!$B$239="Да",MeanMinAge22+'19_Расчет_аналитики'!P559*SUMIF(ThresholdAge22,"&lt;"&amp;'19_Расчет_аналитики'!P559,WeightedRevAge22)-SUMIF(ThresholdAge22,"&lt;"&amp;'19_Расчет_аналитики'!P559,WeightedMinAge22),MAX(CapacityAge22*'01_Вводные'!$B$218*'19_Расчет_аналитики'!P559,MeanMinAge22)))</f>
        <v/>
      </c>
      <c r="Q485">
        <f>IF(OR('06_Сеть_и_дети'!Q102=0,22&lt;='01_Вводные'!$B$297),0,'06_Сеть_и_дети'!Q102*IF('01_Вводные'!$B$239="Да",MeanMinAge22+'19_Расчет_аналитики'!Q559*SUMIF(ThresholdAge22,"&lt;"&amp;'19_Расчет_аналитики'!Q559,WeightedRevAge22)-SUMIF(ThresholdAge22,"&lt;"&amp;'19_Расчет_аналитики'!Q559,WeightedMinAge22),MAX(CapacityAge22*'01_Вводные'!$B$218*'19_Расчет_аналитики'!Q559,MeanMinAge22)))</f>
        <v/>
      </c>
      <c r="R485">
        <f>IF(OR('06_Сеть_и_дети'!R102=0,22&lt;='01_Вводные'!$B$297),0,'06_Сеть_и_дети'!R102*IF('01_Вводные'!$B$239="Да",MeanMinAge22+'19_Расчет_аналитики'!R559*SUMIF(ThresholdAge22,"&lt;"&amp;'19_Расчет_аналитики'!R559,WeightedRevAge22)-SUMIF(ThresholdAge22,"&lt;"&amp;'19_Расчет_аналитики'!R559,WeightedMinAge22),MAX(CapacityAge22*'01_Вводные'!$B$218*'19_Расчет_аналитики'!R559,MeanMinAge22)))</f>
        <v/>
      </c>
      <c r="S485">
        <f>IF(OR('06_Сеть_и_дети'!S102=0,22&lt;='01_Вводные'!$B$297),0,'06_Сеть_и_дети'!S102*IF('01_Вводные'!$B$239="Да",MeanMinAge22+'19_Расчет_аналитики'!S559*SUMIF(ThresholdAge22,"&lt;"&amp;'19_Расчет_аналитики'!S559,WeightedRevAge22)-SUMIF(ThresholdAge22,"&lt;"&amp;'19_Расчет_аналитики'!S559,WeightedMinAge22),MAX(CapacityAge22*'01_Вводные'!$B$218*'19_Расчет_аналитики'!S559,MeanMinAge22)))</f>
        <v/>
      </c>
      <c r="T485">
        <f>IF(OR('06_Сеть_и_дети'!T102=0,22&lt;='01_Вводные'!$B$297),0,'06_Сеть_и_дети'!T102*IF('01_Вводные'!$B$239="Да",MeanMinAge22+'19_Расчет_аналитики'!T559*SUMIF(ThresholdAge22,"&lt;"&amp;'19_Расчет_аналитики'!T559,WeightedRevAge22)-SUMIF(ThresholdAge22,"&lt;"&amp;'19_Расчет_аналитики'!T559,WeightedMinAge22),MAX(CapacityAge22*'01_Вводные'!$B$218*'19_Расчет_аналитики'!T559,MeanMinAge22)))</f>
        <v/>
      </c>
      <c r="U485">
        <f>IF(OR('06_Сеть_и_дети'!U102=0,22&lt;='01_Вводные'!$B$297),0,'06_Сеть_и_дети'!U102*IF('01_Вводные'!$B$239="Да",MeanMinAge22+'19_Расчет_аналитики'!U559*SUMIF(ThresholdAge22,"&lt;"&amp;'19_Расчет_аналитики'!U559,WeightedRevAge22)-SUMIF(ThresholdAge22,"&lt;"&amp;'19_Расчет_аналитики'!U559,WeightedMinAge22),MAX(CapacityAge22*'01_Вводные'!$B$218*'19_Расчет_аналитики'!U559,MeanMinAge22)))</f>
        <v/>
      </c>
      <c r="V485">
        <f>IF(OR('06_Сеть_и_дети'!V102=0,22&lt;='01_Вводные'!$B$297),0,'06_Сеть_и_дети'!V102*IF('01_Вводные'!$B$239="Да",MeanMinAge22+'19_Расчет_аналитики'!V559*SUMIF(ThresholdAge22,"&lt;"&amp;'19_Расчет_аналитики'!V559,WeightedRevAge22)-SUMIF(ThresholdAge22,"&lt;"&amp;'19_Расчет_аналитики'!V559,WeightedMinAge22),MAX(CapacityAge22*'01_Вводные'!$B$218*'19_Расчет_аналитики'!V559,MeanMinAge22)))</f>
        <v/>
      </c>
      <c r="W485">
        <f>IF(OR('19_Расчет_аналитики'!W457=0,22&lt;='01_Вводные'!$B$297),0,'19_Расчет_аналитики'!W457*IF('01_Вводные'!$B$239="Да",MeanMinAge22+'19_Расчет_аналитики'!W559*SUMIF(ThresholdAge22,"&lt;"&amp;'19_Расчет_аналитики'!W559,WeightedRevAge22)-SUMIF(ThresholdAge22,"&lt;"&amp;'19_Расчет_аналитики'!W559,WeightedMinAge22),MAX(CapacityAge22*'01_Вводные'!$B$218*'19_Расчет_аналитики'!W559,MeanMinAge22)))</f>
        <v/>
      </c>
      <c r="X485">
        <f>IF(OR('19_Расчет_аналитики'!X457=0,22&lt;='01_Вводные'!$B$297),0,'19_Расчет_аналитики'!X457*IF('01_Вводные'!$B$239="Да",MeanMinAge22+'19_Расчет_аналитики'!X559*SUMIF(ThresholdAge22,"&lt;"&amp;'19_Расчет_аналитики'!X559,WeightedRevAge22)-SUMIF(ThresholdAge22,"&lt;"&amp;'19_Расчет_аналитики'!X559,WeightedMinAge22),MAX(CapacityAge22*'01_Вводные'!$B$218*'19_Расчет_аналитики'!X559,MeanMinAge22)))</f>
        <v/>
      </c>
      <c r="Y485">
        <f>IF(OR('19_Расчет_аналитики'!Y457=0,22&lt;='01_Вводные'!$B$297),0,'19_Расчет_аналитики'!Y457*IF('01_Вводные'!$B$239="Да",MeanMinAge22+'19_Расчет_аналитики'!Y559*SUMIF(ThresholdAge22,"&lt;"&amp;'19_Расчет_аналитики'!Y559,WeightedRevAge22)-SUMIF(ThresholdAge22,"&lt;"&amp;'19_Расчет_аналитики'!Y559,WeightedMinAge22),MAX(CapacityAge22*'01_Вводные'!$B$218*'19_Расчет_аналитики'!Y559,MeanMinAge22)))</f>
        <v/>
      </c>
      <c r="Z485">
        <f>IF(OR('19_Расчет_аналитики'!Z457=0,22&lt;='01_Вводные'!$B$297),0,'19_Расчет_аналитики'!Z457*IF('01_Вводные'!$B$239="Да",MeanMinAge22+'19_Расчет_аналитики'!Z559*SUMIF(ThresholdAge22,"&lt;"&amp;'19_Расчет_аналитики'!Z559,WeightedRevAge22)-SUMIF(ThresholdAge22,"&lt;"&amp;'19_Расчет_аналитики'!Z559,WeightedMinAge22),MAX(CapacityAge22*'01_Вводные'!$B$218*'19_Расчет_аналитики'!Z559,MeanMinAge22)))</f>
        <v/>
      </c>
      <c r="AA485">
        <f>IF(OR('19_Расчет_аналитики'!AA457=0,22&lt;='01_Вводные'!$B$297),0,'19_Расчет_аналитики'!AA457*IF('01_Вводные'!$B$239="Да",MeanMinAge22+'19_Расчет_аналитики'!AA559*SUMIF(ThresholdAge22,"&lt;"&amp;'19_Расчет_аналитики'!AA559,WeightedRevAge22)-SUMIF(ThresholdAge22,"&lt;"&amp;'19_Расчет_аналитики'!AA559,WeightedMinAge22),MAX(CapacityAge22*'01_Вводные'!$B$218*'19_Расчет_аналитики'!AA559,MeanMinAge22)))</f>
        <v/>
      </c>
      <c r="AB485">
        <f>IF(OR('19_Расчет_аналитики'!AB457=0,22&lt;='01_Вводные'!$B$297),0,'19_Расчет_аналитики'!AB457*IF('01_Вводные'!$B$239="Да",MeanMinAge22+'19_Расчет_аналитики'!AB559*SUMIF(ThresholdAge22,"&lt;"&amp;'19_Расчет_аналитики'!AB559,WeightedRevAge22)-SUMIF(ThresholdAge22,"&lt;"&amp;'19_Расчет_аналитики'!AB559,WeightedMinAge22),MAX(CapacityAge22*'01_Вводные'!$B$218*'19_Расчет_аналитики'!AB559,MeanMinAge22)))</f>
        <v/>
      </c>
      <c r="AC485">
        <f>IF(OR('19_Расчет_аналитики'!AC457=0,22&lt;='01_Вводные'!$B$297),0,'19_Расчет_аналитики'!AC457*IF('01_Вводные'!$B$239="Да",MeanMinAge22+'19_Расчет_аналитики'!AC559*SUMIF(ThresholdAge22,"&lt;"&amp;'19_Расчет_аналитики'!AC559,WeightedRevAge22)-SUMIF(ThresholdAge22,"&lt;"&amp;'19_Расчет_аналитики'!AC559,WeightedMinAge22),MAX(CapacityAge22*'01_Вводные'!$B$218*'19_Расчет_аналитики'!AC559,MeanMinAge22)))</f>
        <v/>
      </c>
      <c r="AD485">
        <f>IF(OR('19_Расчет_аналитики'!AD457=0,22&lt;='01_Вводные'!$B$297),0,'19_Расчет_аналитики'!AD457*IF('01_Вводные'!$B$239="Да",MeanMinAge22+'19_Расчет_аналитики'!AD559*SUMIF(ThresholdAge22,"&lt;"&amp;'19_Расчет_аналитики'!AD559,WeightedRevAge22)-SUMIF(ThresholdAge22,"&lt;"&amp;'19_Расчет_аналитики'!AD559,WeightedMinAge22),MAX(CapacityAge22*'01_Вводные'!$B$218*'19_Расчет_аналитики'!AD559,MeanMinAge22)))</f>
        <v/>
      </c>
      <c r="AE485">
        <f>IF(OR('19_Расчет_аналитики'!AE457=0,22&lt;='01_Вводные'!$B$297),0,'19_Расчет_аналитики'!AE457*IF('01_Вводные'!$B$239="Да",MeanMinAge22+'19_Расчет_аналитики'!AE559*SUMIF(ThresholdAge22,"&lt;"&amp;'19_Расчет_аналитики'!AE559,WeightedRevAge22)-SUMIF(ThresholdAge22,"&lt;"&amp;'19_Расчет_аналитики'!AE559,WeightedMinAge22),MAX(CapacityAge22*'01_Вводные'!$B$218*'19_Расчет_аналитики'!AE559,MeanMinAge22)))</f>
        <v/>
      </c>
      <c r="AF485">
        <f>IF(OR('19_Расчет_аналитики'!AF457=0,22&lt;='01_Вводные'!$B$297),0,'19_Расчет_аналитики'!AF457*IF('01_Вводные'!$B$239="Да",MeanMinAge22+'19_Расчет_аналитики'!AF559*SUMIF(ThresholdAge22,"&lt;"&amp;'19_Расчет_аналитики'!AF559,WeightedRevAge22)-SUMIF(ThresholdAge22,"&lt;"&amp;'19_Расчет_аналитики'!AF559,WeightedMinAge22),MAX(CapacityAge22*'01_Вводные'!$B$218*'19_Расчет_аналитики'!AF559,MeanMinAge22)))</f>
        <v/>
      </c>
      <c r="AG485">
        <f>IF(OR('19_Расчет_аналитики'!AG457=0,22&lt;='01_Вводные'!$B$297),0,'19_Расчет_аналитики'!AG457*IF('01_Вводные'!$B$239="Да",MeanMinAge22+'19_Расчет_аналитики'!AG559*SUMIF(ThresholdAge22,"&lt;"&amp;'19_Расчет_аналитики'!AG559,WeightedRevAge22)-SUMIF(ThresholdAge22,"&lt;"&amp;'19_Расчет_аналитики'!AG559,WeightedMinAge22),MAX(CapacityAge22*'01_Вводные'!$B$218*'19_Расчет_аналитики'!AG559,MeanMinAge22)))</f>
        <v/>
      </c>
      <c r="AH485">
        <f>IF(OR('19_Расчет_аналитики'!AH457=0,22&lt;='01_Вводные'!$B$297),0,'19_Расчет_аналитики'!AH457*IF('01_Вводные'!$B$239="Да",MeanMinAge22+'19_Расчет_аналитики'!AH559*SUMIF(ThresholdAge22,"&lt;"&amp;'19_Расчет_аналитики'!AH559,WeightedRevAge22)-SUMIF(ThresholdAge22,"&lt;"&amp;'19_Расчет_аналитики'!AH559,WeightedMinAge22),MAX(CapacityAge22*'01_Вводные'!$B$218*'19_Расчет_аналитики'!AH559,MeanMinAge22)))</f>
        <v/>
      </c>
      <c r="AI485">
        <f>IF(OR('19_Расчет_аналитики'!AI457=0,22&lt;='01_Вводные'!$B$297),0,'19_Расчет_аналитики'!AI457*IF('01_Вводные'!$B$239="Да",MeanMinAge22+'19_Расчет_аналитики'!AI559*SUMIF(ThresholdAge22,"&lt;"&amp;'19_Расчет_аналитики'!AI559,WeightedRevAge22)-SUMIF(ThresholdAge22,"&lt;"&amp;'19_Расчет_аналитики'!AI559,WeightedMinAge22),MAX(CapacityAge22*'01_Вводные'!$B$218*'19_Расчет_аналитики'!AI559,MeanMinAge22)))</f>
        <v/>
      </c>
      <c r="AJ485">
        <f>IF(OR('19_Расчет_аналитики'!AJ457=0,22&lt;='01_Вводные'!$B$297),0,'19_Расчет_аналитики'!AJ457*IF('01_Вводные'!$B$239="Да",MeanMinAge22+'19_Расчет_аналитики'!AJ559*SUMIF(ThresholdAge22,"&lt;"&amp;'19_Расчет_аналитики'!AJ559,WeightedRevAge22)-SUMIF(ThresholdAge22,"&lt;"&amp;'19_Расчет_аналитики'!AJ559,WeightedMinAge22),MAX(CapacityAge22*'01_Вводные'!$B$218*'19_Расчет_аналитики'!AJ559,MeanMinAge22)))</f>
        <v/>
      </c>
      <c r="AK485">
        <f>IF(OR('19_Расчет_аналитики'!AK457=0,22&lt;='01_Вводные'!$B$297),0,'19_Расчет_аналитики'!AK457*IF('01_Вводные'!$B$239="Да",MeanMinAge22+'19_Расчет_аналитики'!AK559*SUMIF(ThresholdAge22,"&lt;"&amp;'19_Расчет_аналитики'!AK559,WeightedRevAge22)-SUMIF(ThresholdAge22,"&lt;"&amp;'19_Расчет_аналитики'!AK559,WeightedMinAge22),MAX(CapacityAge22*'01_Вводные'!$B$218*'19_Расчет_аналитики'!AK559,MeanMinAge22)))</f>
        <v/>
      </c>
      <c r="AL485">
        <f>IF(OR('19_Расчет_аналитики'!AL457=0,22&lt;='01_Вводные'!$B$297),0,'19_Расчет_аналитики'!AL457*IF('01_Вводные'!$B$239="Да",MeanMinAge22+'19_Расчет_аналитики'!AL559*SUMIF(ThresholdAge22,"&lt;"&amp;'19_Расчет_аналитики'!AL559,WeightedRevAge22)-SUMIF(ThresholdAge22,"&lt;"&amp;'19_Расчет_аналитики'!AL559,WeightedMinAge22),MAX(CapacityAge22*'01_Вводные'!$B$218*'19_Расчет_аналитики'!AL559,MeanMinAge22)))</f>
        <v/>
      </c>
      <c r="AM485">
        <f>IF(OR('19_Расчет_аналитики'!AM457=0,22&lt;='01_Вводные'!$B$297),0,'19_Расчет_аналитики'!AM457*IF('01_Вводные'!$B$239="Да",MeanMinAge22+'19_Расчет_аналитики'!AM559*SUMIF(ThresholdAge22,"&lt;"&amp;'19_Расчет_аналитики'!AM559,WeightedRevAge22)-SUMIF(ThresholdAge22,"&lt;"&amp;'19_Расчет_аналитики'!AM559,WeightedMinAge22),MAX(CapacityAge22*'01_Вводные'!$B$218*'19_Расчет_аналитики'!AM559,MeanMinAge22)))</f>
        <v/>
      </c>
      <c r="AN485">
        <f>IF(OR('19_Расчет_аналитики'!AN457=0,22&lt;='01_Вводные'!$B$297),0,'19_Расчет_аналитики'!AN457*IF('01_Вводные'!$B$239="Да",MeanMinAge22+'19_Расчет_аналитики'!AN559*SUMIF(ThresholdAge22,"&lt;"&amp;'19_Расчет_аналитики'!AN559,WeightedRevAge22)-SUMIF(ThresholdAge22,"&lt;"&amp;'19_Расчет_аналитики'!AN559,WeightedMinAge22),MAX(CapacityAge22*'01_Вводные'!$B$218*'19_Расчет_аналитики'!AN559,MeanMinAge22)))</f>
        <v/>
      </c>
      <c r="AO485">
        <f>IF(OR('19_Расчет_аналитики'!AO457=0,22&lt;='01_Вводные'!$B$297),0,'19_Расчет_аналитики'!AO457*IF('01_Вводные'!$B$239="Да",MeanMinAge22+'19_Расчет_аналитики'!AO559*SUMIF(ThresholdAge22,"&lt;"&amp;'19_Расчет_аналитики'!AO559,WeightedRevAge22)-SUMIF(ThresholdAge22,"&lt;"&amp;'19_Расчет_аналитики'!AO559,WeightedMinAge22),MAX(CapacityAge22*'01_Вводные'!$B$218*'19_Расчет_аналитики'!AO559,MeanMinAge22)))</f>
        <v/>
      </c>
      <c r="AP485">
        <f>IF(OR('19_Расчет_аналитики'!AP457=0,22&lt;='01_Вводные'!$B$297),0,'19_Расчет_аналитики'!AP457*IF('01_Вводные'!$B$239="Да",MeanMinAge22+'19_Расчет_аналитики'!AP559*SUMIF(ThresholdAge22,"&lt;"&amp;'19_Расчет_аналитики'!AP559,WeightedRevAge22)-SUMIF(ThresholdAge22,"&lt;"&amp;'19_Расчет_аналитики'!AP559,WeightedMinAge22),MAX(CapacityAge22*'01_Вводные'!$B$218*'19_Расчет_аналитики'!AP559,MeanMinAge22)))</f>
        <v/>
      </c>
      <c r="AQ485">
        <f>IF(OR('19_Расчет_аналитики'!AQ457=0,22&lt;='01_Вводные'!$B$297),0,'19_Расчет_аналитики'!AQ457*IF('01_Вводные'!$B$239="Да",MeanMinAge22+'19_Расчет_аналитики'!AQ559*SUMIF(ThresholdAge22,"&lt;"&amp;'19_Расчет_аналитики'!AQ559,WeightedRevAge22)-SUMIF(ThresholdAge22,"&lt;"&amp;'19_Расчет_аналитики'!AQ559,WeightedMinAge22),MAX(CapacityAge22*'01_Вводные'!$B$218*'19_Расчет_аналитики'!AQ559,MeanMinAge22)))</f>
        <v/>
      </c>
      <c r="AR485">
        <f>IF(OR('19_Расчет_аналитики'!AR457=0,22&lt;='01_Вводные'!$B$297),0,'19_Расчет_аналитики'!AR457*IF('01_Вводные'!$B$239="Да",MeanMinAge22+'19_Расчет_аналитики'!AR559*SUMIF(ThresholdAge22,"&lt;"&amp;'19_Расчет_аналитики'!AR559,WeightedRevAge22)-SUMIF(ThresholdAge22,"&lt;"&amp;'19_Расчет_аналитики'!AR559,WeightedMinAge22),MAX(CapacityAge22*'01_Вводные'!$B$218*'19_Расчет_аналитики'!AR559,MeanMinAge22)))</f>
        <v/>
      </c>
      <c r="AS485">
        <f>IF(OR('19_Расчет_аналитики'!AS457=0,22&lt;='01_Вводные'!$B$297),0,'19_Расчет_аналитики'!AS457*IF('01_Вводные'!$B$239="Да",MeanMinAge22+'19_Расчет_аналитики'!AS559*SUMIF(ThresholdAge22,"&lt;"&amp;'19_Расчет_аналитики'!AS559,WeightedRevAge22)-SUMIF(ThresholdAge22,"&lt;"&amp;'19_Расчет_аналитики'!AS559,WeightedMinAge22),MAX(CapacityAge22*'01_Вводные'!$B$218*'19_Расчет_аналитики'!AS559,MeanMinAge22)))</f>
        <v/>
      </c>
      <c r="AT485">
        <f>IF(OR('19_Расчет_аналитики'!AT457=0,22&lt;='01_Вводные'!$B$297),0,'19_Расчет_аналитики'!AT457*IF('01_Вводные'!$B$239="Да",MeanMinAge22+'19_Расчет_аналитики'!AT559*SUMIF(ThresholdAge22,"&lt;"&amp;'19_Расчет_аналитики'!AT559,WeightedRevAge22)-SUMIF(ThresholdAge22,"&lt;"&amp;'19_Расчет_аналитики'!AT559,WeightedMinAge22),MAX(CapacityAge22*'01_Вводные'!$B$218*'19_Расчет_аналитики'!AT559,MeanMinAge22)))</f>
        <v/>
      </c>
      <c r="AU485">
        <f>IF(OR('19_Расчет_аналитики'!AU457=0,22&lt;='01_Вводные'!$B$297),0,'19_Расчет_аналитики'!AU457*IF('01_Вводные'!$B$239="Да",MeanMinAge22+'19_Расчет_аналитики'!AU559*SUMIF(ThresholdAge22,"&lt;"&amp;'19_Расчет_аналитики'!AU559,WeightedRevAge22)-SUMIF(ThresholdAge22,"&lt;"&amp;'19_Расчет_аналитики'!AU559,WeightedMinAge22),MAX(CapacityAge22*'01_Вводные'!$B$218*'19_Расчет_аналитики'!AU559,MeanMinAge22)))</f>
        <v/>
      </c>
      <c r="AV485">
        <f>IF(OR('19_Расчет_аналитики'!AV457=0,22&lt;='01_Вводные'!$B$297),0,'19_Расчет_аналитики'!AV457*IF('01_Вводные'!$B$239="Да",MeanMinAge22+'19_Расчет_аналитики'!AV559*SUMIF(ThresholdAge22,"&lt;"&amp;'19_Расчет_аналитики'!AV559,WeightedRevAge22)-SUMIF(ThresholdAge22,"&lt;"&amp;'19_Расчет_аналитики'!AV559,WeightedMinAge22),MAX(CapacityAge22*'01_Вводные'!$B$218*'19_Расчет_аналитики'!AV559,MeanMinAge22)))</f>
        <v/>
      </c>
      <c r="AW485">
        <f>IF(OR('19_Расчет_аналитики'!AW457=0,22&lt;='01_Вводные'!$B$297),0,'19_Расчет_аналитики'!AW457*IF('01_Вводные'!$B$239="Да",MeanMinAge22+'19_Расчет_аналитики'!AW559*SUMIF(ThresholdAge22,"&lt;"&amp;'19_Расчет_аналитики'!AW559,WeightedRevAge22)-SUMIF(ThresholdAge22,"&lt;"&amp;'19_Расчет_аналитики'!AW559,WeightedMinAge22),MAX(CapacityAge22*'01_Вводные'!$B$218*'19_Расчет_аналитики'!AW559,MeanMinAge22)))</f>
        <v/>
      </c>
      <c r="AX485">
        <f>IF(OR('19_Расчет_аналитики'!AX457=0,22&lt;='01_Вводные'!$B$297),0,'19_Расчет_аналитики'!AX457*IF('01_Вводные'!$B$239="Да",MeanMinAge22+'19_Расчет_аналитики'!AX559*SUMIF(ThresholdAge22,"&lt;"&amp;'19_Расчет_аналитики'!AX559,WeightedRevAge22)-SUMIF(ThresholdAge22,"&lt;"&amp;'19_Расчет_аналитики'!AX559,WeightedMinAge22),MAX(CapacityAge22*'01_Вводные'!$B$218*'19_Расчет_аналитики'!AX559,MeanMinAge22)))</f>
        <v/>
      </c>
      <c r="AY485">
        <f>IF(OR('19_Расчет_аналитики'!AY457=0,22&lt;='01_Вводные'!$B$297),0,'19_Расчет_аналитики'!AY457*IF('01_Вводные'!$B$239="Да",MeanMinAge22+'19_Расчет_аналитики'!AY559*SUMIF(ThresholdAge22,"&lt;"&amp;'19_Расчет_аналитики'!AY559,WeightedRevAge22)-SUMIF(ThresholdAge22,"&lt;"&amp;'19_Расчет_аналитики'!AY559,WeightedMinAge22),MAX(CapacityAge22*'01_Вводные'!$B$218*'19_Расчет_аналитики'!AY559,MeanMinAge22)))</f>
        <v/>
      </c>
      <c r="AZ485">
        <f>IF(OR('19_Расчет_аналитики'!AZ457=0,22&lt;='01_Вводные'!$B$297),0,'19_Расчет_аналитики'!AZ457*IF('01_Вводные'!$B$239="Да",MeanMinAge22+'19_Расчет_аналитики'!AZ559*SUMIF(ThresholdAge22,"&lt;"&amp;'19_Расчет_аналитики'!AZ559,WeightedRevAge22)-SUMIF(ThresholdAge22,"&lt;"&amp;'19_Расчет_аналитики'!AZ559,WeightedMinAge22),MAX(CapacityAge22*'01_Вводные'!$B$218*'19_Расчет_аналитики'!AZ559,MeanMinAge22)))</f>
        <v/>
      </c>
      <c r="BA485">
        <f>IF(OR('19_Расчет_аналитики'!BA457=0,22&lt;='01_Вводные'!$B$297),0,'19_Расчет_аналитики'!BA457*IF('01_Вводные'!$B$239="Да",MeanMinAge22+'19_Расчет_аналитики'!BA559*SUMIF(ThresholdAge22,"&lt;"&amp;'19_Расчет_аналитики'!BA559,WeightedRevAge22)-SUMIF(ThresholdAge22,"&lt;"&amp;'19_Расчет_аналитики'!BA559,WeightedMinAge22),MAX(CapacityAge22*'01_Вводные'!$B$218*'19_Расчет_аналитики'!BA559,MeanMinAge22)))</f>
        <v/>
      </c>
      <c r="BB485">
        <f>IF(OR('19_Расчет_аналитики'!BB457=0,22&lt;='01_Вводные'!$B$297),0,'19_Расчет_аналитики'!BB457*IF('01_Вводные'!$B$239="Да",MeanMinAge22+'19_Расчет_аналитики'!BB559*SUMIF(ThresholdAge22,"&lt;"&amp;'19_Расчет_аналитики'!BB559,WeightedRevAge22)-SUMIF(ThresholdAge22,"&lt;"&amp;'19_Расчет_аналитики'!BB559,WeightedMinAge22),MAX(CapacityAge22*'01_Вводные'!$B$218*'19_Расчет_аналитики'!BB559,MeanMinAge22)))</f>
        <v/>
      </c>
      <c r="BC485">
        <f>IF(OR('19_Расчет_аналитики'!BC457=0,22&lt;='01_Вводные'!$B$297),0,'19_Расчет_аналитики'!BC457*IF('01_Вводные'!$B$239="Да",MeanMinAge22+'19_Расчет_аналитики'!BC559*SUMIF(ThresholdAge22,"&lt;"&amp;'19_Расчет_аналитики'!BC559,WeightedRevAge22)-SUMIF(ThresholdAge22,"&lt;"&amp;'19_Расчет_аналитики'!BC559,WeightedMinAge22),MAX(CapacityAge22*'01_Вводные'!$B$218*'19_Расчет_аналитики'!BC559,MeanMinAge22)))</f>
        <v/>
      </c>
      <c r="BD485">
        <f>IF(OR('19_Расчет_аналитики'!BD457=0,22&lt;='01_Вводные'!$B$297),0,'19_Расчет_аналитики'!BD457*IF('01_Вводные'!$B$239="Да",MeanMinAge22+'19_Расчет_аналитики'!BD559*SUMIF(ThresholdAge22,"&lt;"&amp;'19_Расчет_аналитики'!BD559,WeightedRevAge22)-SUMIF(ThresholdAge22,"&lt;"&amp;'19_Расчет_аналитики'!BD559,WeightedMinAge22),MAX(CapacityAge22*'01_Вводные'!$B$218*'19_Расчет_аналитики'!BD559,MeanMinAge22)))</f>
        <v/>
      </c>
      <c r="BE485">
        <f>IF(OR('19_Расчет_аналитики'!BE457=0,22&lt;='01_Вводные'!$B$297),0,'19_Расчет_аналитики'!BE457*IF('01_Вводные'!$B$239="Да",MeanMinAge22+'19_Расчет_аналитики'!BE559*SUMIF(ThresholdAge22,"&lt;"&amp;'19_Расчет_аналитики'!BE559,WeightedRevAge22)-SUMIF(ThresholdAge22,"&lt;"&amp;'19_Расчет_аналитики'!BE559,WeightedMinAge22),MAX(CapacityAge22*'01_Вводные'!$B$218*'19_Расчет_аналитики'!BE559,MeanMinAge22)))</f>
        <v/>
      </c>
      <c r="BF485">
        <f>IF(OR('19_Расчет_аналитики'!BF457=0,22&lt;='01_Вводные'!$B$297),0,'19_Расчет_аналитики'!BF457*IF('01_Вводные'!$B$239="Да",MeanMinAge22+'19_Расчет_аналитики'!BF559*SUMIF(ThresholdAge22,"&lt;"&amp;'19_Расчет_аналитики'!BF559,WeightedRevAge22)-SUMIF(ThresholdAge22,"&lt;"&amp;'19_Расчет_аналитики'!BF559,WeightedMinAge22),MAX(CapacityAge22*'01_Вводные'!$B$218*'19_Расчет_аналитики'!BF559,MeanMinAge22)))</f>
        <v/>
      </c>
      <c r="BG485">
        <f>IF(OR('19_Расчет_аналитики'!BG457=0,22&lt;='01_Вводные'!$B$297),0,'19_Расчет_аналитики'!BG457*IF('01_Вводные'!$B$239="Да",MeanMinAge22+'19_Расчет_аналитики'!BG559*SUMIF(ThresholdAge22,"&lt;"&amp;'19_Расчет_аналитики'!BG559,WeightedRevAge22)-SUMIF(ThresholdAge22,"&lt;"&amp;'19_Расчет_аналитики'!BG559,WeightedMinAge22),MAX(CapacityAge22*'01_Вводные'!$B$218*'19_Расчет_аналитики'!BG559,MeanMinAge22)))</f>
        <v/>
      </c>
      <c r="BH485">
        <f>IF(OR('19_Расчет_аналитики'!BH457=0,22&lt;='01_Вводные'!$B$297),0,'19_Расчет_аналитики'!BH457*IF('01_Вводные'!$B$239="Да",MeanMinAge22+'19_Расчет_аналитики'!BH559*SUMIF(ThresholdAge22,"&lt;"&amp;'19_Расчет_аналитики'!BH559,WeightedRevAge22)-SUMIF(ThresholdAge22,"&lt;"&amp;'19_Расчет_аналитики'!BH559,WeightedMinAge22),MAX(CapacityAge22*'01_Вводные'!$B$218*'19_Расчет_аналитики'!BH559,MeanMinAge22)))</f>
        <v/>
      </c>
      <c r="BI485">
        <f>IF(OR('19_Расчет_аналитики'!BI457=0,22&lt;='01_Вводные'!$B$297),0,'19_Расчет_аналитики'!BI457*IF('01_Вводные'!$B$239="Да",MeanMinAge22+'19_Расчет_аналитики'!BI559*SUMIF(ThresholdAge22,"&lt;"&amp;'19_Расчет_аналитики'!BI559,WeightedRevAge22)-SUMIF(ThresholdAge22,"&lt;"&amp;'19_Расчет_аналитики'!BI559,WeightedMinAge22),MAX(CapacityAge22*'01_Вводные'!$B$218*'19_Расчет_аналитики'!BI559,MeanMinAge22)))</f>
        <v/>
      </c>
      <c r="BJ485">
        <f>IF(OR('19_Расчет_аналитики'!BJ457=0,22&lt;='01_Вводные'!$B$297),0,'19_Расчет_аналитики'!BJ457*IF('01_Вводные'!$B$239="Да",MeanMinAge22+'19_Расчет_аналитики'!BJ559*SUMIF(ThresholdAge22,"&lt;"&amp;'19_Расчет_аналитики'!BJ559,WeightedRevAge22)-SUMIF(ThresholdAge22,"&lt;"&amp;'19_Расчет_аналитики'!BJ559,WeightedMinAge22),MAX(CapacityAge22*'01_Вводные'!$B$218*'19_Расчет_аналитики'!BJ559,MeanMinAge22)))</f>
        <v/>
      </c>
      <c r="BK485">
        <f>IF(OR('19_Расчет_аналитики'!BK457=0,22&lt;='01_Вводные'!$B$297),0,'19_Расчет_аналитики'!BK457*IF('01_Вводные'!$B$239="Да",MeanMinAge22+'19_Расчет_аналитики'!BK559*SUMIF(ThresholdAge22,"&lt;"&amp;'19_Расчет_аналитики'!BK559,WeightedRevAge22)-SUMIF(ThresholdAge22,"&lt;"&amp;'19_Расчет_аналитики'!BK559,WeightedMinAge22),MAX(CapacityAge22*'01_Вводные'!$B$218*'19_Расчет_аналитики'!BK559,MeanMinAge22)))</f>
        <v/>
      </c>
      <c r="BL485">
        <f>IF(OR('19_Расчет_аналитики'!BL457=0,22&lt;='01_Вводные'!$B$297),0,'19_Расчет_аналитики'!BL457*IF('01_Вводные'!$B$239="Да",MeanMinAge22+'19_Расчет_аналитики'!BL559*SUMIF(ThresholdAge22,"&lt;"&amp;'19_Расчет_аналитики'!BL559,WeightedRevAge22)-SUMIF(ThresholdAge22,"&lt;"&amp;'19_Расчет_аналитики'!BL559,WeightedMinAge22),MAX(CapacityAge22*'01_Вводные'!$B$218*'19_Расчет_аналитики'!BL559,MeanMinAge22)))</f>
        <v/>
      </c>
      <c r="BM485">
        <f>IF(OR('19_Расчет_аналитики'!BM457=0,22&lt;='01_Вводные'!$B$297),0,'19_Расчет_аналитики'!BM457*IF('01_Вводные'!$B$239="Да",MeanMinAge22+'19_Расчет_аналитики'!BM559*SUMIF(ThresholdAge22,"&lt;"&amp;'19_Расчет_аналитики'!BM559,WeightedRevAge22)-SUMIF(ThresholdAge22,"&lt;"&amp;'19_Расчет_аналитики'!BM559,WeightedMinAge22),MAX(CapacityAge22*'01_Вводные'!$B$218*'19_Расчет_аналитики'!BM559,MeanMinAge22)))</f>
        <v/>
      </c>
      <c r="BN485">
        <f>IF(OR('19_Расчет_аналитики'!BN457=0,22&lt;='01_Вводные'!$B$297),0,'19_Расчет_аналитики'!BN457*IF('01_Вводные'!$B$239="Да",MeanMinAge22+'19_Расчет_аналитики'!BN559*SUMIF(ThresholdAge22,"&lt;"&amp;'19_Расчет_аналитики'!BN559,WeightedRevAge22)-SUMIF(ThresholdAge22,"&lt;"&amp;'19_Расчет_аналитики'!BN559,WeightedMinAge22),MAX(CapacityAge22*'01_Вводные'!$B$218*'19_Расчет_аналитики'!BN559,MeanMinAge22)))</f>
        <v/>
      </c>
      <c r="BO485">
        <f>IF(OR('19_Расчет_аналитики'!BO457=0,22&lt;='01_Вводные'!$B$297),0,'19_Расчет_аналитики'!BO457*IF('01_Вводные'!$B$239="Да",MeanMinAge22+'19_Расчет_аналитики'!BO559*SUMIF(ThresholdAge22,"&lt;"&amp;'19_Расчет_аналитики'!BO559,WeightedRevAge22)-SUMIF(ThresholdAge22,"&lt;"&amp;'19_Расчет_аналитики'!BO559,WeightedMinAge22),MAX(CapacityAge22*'01_Вводные'!$B$218*'19_Расчет_аналитики'!BO559,MeanMinAge22)))</f>
        <v/>
      </c>
    </row>
    <row r="486">
      <c r="B486">
        <f>IF(OR('06_Сеть_и_дети'!B103=0,23&lt;='01_Вводные'!$B$297),0,'06_Сеть_и_дети'!B103*IF('01_Вводные'!$B$239="Да",MeanMinAge23+'19_Расчет_аналитики'!B559*SUMIF(ThresholdAge23,"&lt;"&amp;'19_Расчет_аналитики'!B559,WeightedRevAge23)-SUMIF(ThresholdAge23,"&lt;"&amp;'19_Расчет_аналитики'!B559,WeightedMinAge23),MAX(CapacityAge23*'01_Вводные'!$B$218*'19_Расчет_аналитики'!B559,MeanMinAge23)))</f>
        <v/>
      </c>
      <c r="C486">
        <f>IF(OR('06_Сеть_и_дети'!C103=0,23&lt;='01_Вводные'!$B$297),0,'06_Сеть_и_дети'!C103*IF('01_Вводные'!$B$239="Да",MeanMinAge23+'19_Расчет_аналитики'!C559*SUMIF(ThresholdAge23,"&lt;"&amp;'19_Расчет_аналитики'!C559,WeightedRevAge23)-SUMIF(ThresholdAge23,"&lt;"&amp;'19_Расчет_аналитики'!C559,WeightedMinAge23),MAX(CapacityAge23*'01_Вводные'!$B$218*'19_Расчет_аналитики'!C559,MeanMinAge23)))</f>
        <v/>
      </c>
      <c r="D486">
        <f>IF(OR('06_Сеть_и_дети'!D103=0,23&lt;='01_Вводные'!$B$297),0,'06_Сеть_и_дети'!D103*IF('01_Вводные'!$B$239="Да",MeanMinAge23+'19_Расчет_аналитики'!D559*SUMIF(ThresholdAge23,"&lt;"&amp;'19_Расчет_аналитики'!D559,WeightedRevAge23)-SUMIF(ThresholdAge23,"&lt;"&amp;'19_Расчет_аналитики'!D559,WeightedMinAge23),MAX(CapacityAge23*'01_Вводные'!$B$218*'19_Расчет_аналитики'!D559,MeanMinAge23)))</f>
        <v/>
      </c>
      <c r="E486">
        <f>IF(OR('06_Сеть_и_дети'!E103=0,23&lt;='01_Вводные'!$B$297),0,'06_Сеть_и_дети'!E103*IF('01_Вводные'!$B$239="Да",MeanMinAge23+'19_Расчет_аналитики'!E559*SUMIF(ThresholdAge23,"&lt;"&amp;'19_Расчет_аналитики'!E559,WeightedRevAge23)-SUMIF(ThresholdAge23,"&lt;"&amp;'19_Расчет_аналитики'!E559,WeightedMinAge23),MAX(CapacityAge23*'01_Вводные'!$B$218*'19_Расчет_аналитики'!E559,MeanMinAge23)))</f>
        <v/>
      </c>
      <c r="F486">
        <f>IF(OR('06_Сеть_и_дети'!F103=0,23&lt;='01_Вводные'!$B$297),0,'06_Сеть_и_дети'!F103*IF('01_Вводные'!$B$239="Да",MeanMinAge23+'19_Расчет_аналитики'!F559*SUMIF(ThresholdAge23,"&lt;"&amp;'19_Расчет_аналитики'!F559,WeightedRevAge23)-SUMIF(ThresholdAge23,"&lt;"&amp;'19_Расчет_аналитики'!F559,WeightedMinAge23),MAX(CapacityAge23*'01_Вводные'!$B$218*'19_Расчет_аналитики'!F559,MeanMinAge23)))</f>
        <v/>
      </c>
      <c r="G486">
        <f>IF(OR('06_Сеть_и_дети'!G103=0,23&lt;='01_Вводные'!$B$297),0,'06_Сеть_и_дети'!G103*IF('01_Вводные'!$B$239="Да",MeanMinAge23+'19_Расчет_аналитики'!G559*SUMIF(ThresholdAge23,"&lt;"&amp;'19_Расчет_аналитики'!G559,WeightedRevAge23)-SUMIF(ThresholdAge23,"&lt;"&amp;'19_Расчет_аналитики'!G559,WeightedMinAge23),MAX(CapacityAge23*'01_Вводные'!$B$218*'19_Расчет_аналитики'!G559,MeanMinAge23)))</f>
        <v/>
      </c>
      <c r="H486">
        <f>IF(OR('06_Сеть_и_дети'!H103=0,23&lt;='01_Вводные'!$B$297),0,'06_Сеть_и_дети'!H103*IF('01_Вводные'!$B$239="Да",MeanMinAge23+'19_Расчет_аналитики'!H559*SUMIF(ThresholdAge23,"&lt;"&amp;'19_Расчет_аналитики'!H559,WeightedRevAge23)-SUMIF(ThresholdAge23,"&lt;"&amp;'19_Расчет_аналитики'!H559,WeightedMinAge23),MAX(CapacityAge23*'01_Вводные'!$B$218*'19_Расчет_аналитики'!H559,MeanMinAge23)))</f>
        <v/>
      </c>
      <c r="I486">
        <f>IF(OR('06_Сеть_и_дети'!I103=0,23&lt;='01_Вводные'!$B$297),0,'06_Сеть_и_дети'!I103*IF('01_Вводные'!$B$239="Да",MeanMinAge23+'19_Расчет_аналитики'!I559*SUMIF(ThresholdAge23,"&lt;"&amp;'19_Расчет_аналитики'!I559,WeightedRevAge23)-SUMIF(ThresholdAge23,"&lt;"&amp;'19_Расчет_аналитики'!I559,WeightedMinAge23),MAX(CapacityAge23*'01_Вводные'!$B$218*'19_Расчет_аналитики'!I559,MeanMinAge23)))</f>
        <v/>
      </c>
      <c r="J486">
        <f>IF(OR('06_Сеть_и_дети'!J103=0,23&lt;='01_Вводные'!$B$297),0,'06_Сеть_и_дети'!J103*IF('01_Вводные'!$B$239="Да",MeanMinAge23+'19_Расчет_аналитики'!J559*SUMIF(ThresholdAge23,"&lt;"&amp;'19_Расчет_аналитики'!J559,WeightedRevAge23)-SUMIF(ThresholdAge23,"&lt;"&amp;'19_Расчет_аналитики'!J559,WeightedMinAge23),MAX(CapacityAge23*'01_Вводные'!$B$218*'19_Расчет_аналитики'!J559,MeanMinAge23)))</f>
        <v/>
      </c>
      <c r="K486">
        <f>IF(OR('06_Сеть_и_дети'!K103=0,23&lt;='01_Вводные'!$B$297),0,'06_Сеть_и_дети'!K103*IF('01_Вводные'!$B$239="Да",MeanMinAge23+'19_Расчет_аналитики'!K559*SUMIF(ThresholdAge23,"&lt;"&amp;'19_Расчет_аналитики'!K559,WeightedRevAge23)-SUMIF(ThresholdAge23,"&lt;"&amp;'19_Расчет_аналитики'!K559,WeightedMinAge23),MAX(CapacityAge23*'01_Вводные'!$B$218*'19_Расчет_аналитики'!K559,MeanMinAge23)))</f>
        <v/>
      </c>
      <c r="L486">
        <f>IF(OR('06_Сеть_и_дети'!L103=0,23&lt;='01_Вводные'!$B$297),0,'06_Сеть_и_дети'!L103*IF('01_Вводные'!$B$239="Да",MeanMinAge23+'19_Расчет_аналитики'!L559*SUMIF(ThresholdAge23,"&lt;"&amp;'19_Расчет_аналитики'!L559,WeightedRevAge23)-SUMIF(ThresholdAge23,"&lt;"&amp;'19_Расчет_аналитики'!L559,WeightedMinAge23),MAX(CapacityAge23*'01_Вводные'!$B$218*'19_Расчет_аналитики'!L559,MeanMinAge23)))</f>
        <v/>
      </c>
      <c r="M486">
        <f>IF(OR('06_Сеть_и_дети'!M103=0,23&lt;='01_Вводные'!$B$297),0,'06_Сеть_и_дети'!M103*IF('01_Вводные'!$B$239="Да",MeanMinAge23+'19_Расчет_аналитики'!M559*SUMIF(ThresholdAge23,"&lt;"&amp;'19_Расчет_аналитики'!M559,WeightedRevAge23)-SUMIF(ThresholdAge23,"&lt;"&amp;'19_Расчет_аналитики'!M559,WeightedMinAge23),MAX(CapacityAge23*'01_Вводные'!$B$218*'19_Расчет_аналитики'!M559,MeanMinAge23)))</f>
        <v/>
      </c>
      <c r="N486">
        <f>IF(OR('06_Сеть_и_дети'!N103=0,23&lt;='01_Вводные'!$B$297),0,'06_Сеть_и_дети'!N103*IF('01_Вводные'!$B$239="Да",MeanMinAge23+'19_Расчет_аналитики'!N559*SUMIF(ThresholdAge23,"&lt;"&amp;'19_Расчет_аналитики'!N559,WeightedRevAge23)-SUMIF(ThresholdAge23,"&lt;"&amp;'19_Расчет_аналитики'!N559,WeightedMinAge23),MAX(CapacityAge23*'01_Вводные'!$B$218*'19_Расчет_аналитики'!N559,MeanMinAge23)))</f>
        <v/>
      </c>
      <c r="O486">
        <f>IF(OR('06_Сеть_и_дети'!O103=0,23&lt;='01_Вводные'!$B$297),0,'06_Сеть_и_дети'!O103*IF('01_Вводные'!$B$239="Да",MeanMinAge23+'19_Расчет_аналитики'!O559*SUMIF(ThresholdAge23,"&lt;"&amp;'19_Расчет_аналитики'!O559,WeightedRevAge23)-SUMIF(ThresholdAge23,"&lt;"&amp;'19_Расчет_аналитики'!O559,WeightedMinAge23),MAX(CapacityAge23*'01_Вводные'!$B$218*'19_Расчет_аналитики'!O559,MeanMinAge23)))</f>
        <v/>
      </c>
      <c r="P486">
        <f>IF(OR('06_Сеть_и_дети'!P103=0,23&lt;='01_Вводные'!$B$297),0,'06_Сеть_и_дети'!P103*IF('01_Вводные'!$B$239="Да",MeanMinAge23+'19_Расчет_аналитики'!P559*SUMIF(ThresholdAge23,"&lt;"&amp;'19_Расчет_аналитики'!P559,WeightedRevAge23)-SUMIF(ThresholdAge23,"&lt;"&amp;'19_Расчет_аналитики'!P559,WeightedMinAge23),MAX(CapacityAge23*'01_Вводные'!$B$218*'19_Расчет_аналитики'!P559,MeanMinAge23)))</f>
        <v/>
      </c>
      <c r="Q486">
        <f>IF(OR('06_Сеть_и_дети'!Q103=0,23&lt;='01_Вводные'!$B$297),0,'06_Сеть_и_дети'!Q103*IF('01_Вводные'!$B$239="Да",MeanMinAge23+'19_Расчет_аналитики'!Q559*SUMIF(ThresholdAge23,"&lt;"&amp;'19_Расчет_аналитики'!Q559,WeightedRevAge23)-SUMIF(ThresholdAge23,"&lt;"&amp;'19_Расчет_аналитики'!Q559,WeightedMinAge23),MAX(CapacityAge23*'01_Вводные'!$B$218*'19_Расчет_аналитики'!Q559,MeanMinAge23)))</f>
        <v/>
      </c>
      <c r="R486">
        <f>IF(OR('06_Сеть_и_дети'!R103=0,23&lt;='01_Вводные'!$B$297),0,'06_Сеть_и_дети'!R103*IF('01_Вводные'!$B$239="Да",MeanMinAge23+'19_Расчет_аналитики'!R559*SUMIF(ThresholdAge23,"&lt;"&amp;'19_Расчет_аналитики'!R559,WeightedRevAge23)-SUMIF(ThresholdAge23,"&lt;"&amp;'19_Расчет_аналитики'!R559,WeightedMinAge23),MAX(CapacityAge23*'01_Вводные'!$B$218*'19_Расчет_аналитики'!R559,MeanMinAge23)))</f>
        <v/>
      </c>
      <c r="S486">
        <f>IF(OR('06_Сеть_и_дети'!S103=0,23&lt;='01_Вводные'!$B$297),0,'06_Сеть_и_дети'!S103*IF('01_Вводные'!$B$239="Да",MeanMinAge23+'19_Расчет_аналитики'!S559*SUMIF(ThresholdAge23,"&lt;"&amp;'19_Расчет_аналитики'!S559,WeightedRevAge23)-SUMIF(ThresholdAge23,"&lt;"&amp;'19_Расчет_аналитики'!S559,WeightedMinAge23),MAX(CapacityAge23*'01_Вводные'!$B$218*'19_Расчет_аналитики'!S559,MeanMinAge23)))</f>
        <v/>
      </c>
      <c r="T486">
        <f>IF(OR('06_Сеть_и_дети'!T103=0,23&lt;='01_Вводные'!$B$297),0,'06_Сеть_и_дети'!T103*IF('01_Вводные'!$B$239="Да",MeanMinAge23+'19_Расчет_аналитики'!T559*SUMIF(ThresholdAge23,"&lt;"&amp;'19_Расчет_аналитики'!T559,WeightedRevAge23)-SUMIF(ThresholdAge23,"&lt;"&amp;'19_Расчет_аналитики'!T559,WeightedMinAge23),MAX(CapacityAge23*'01_Вводные'!$B$218*'19_Расчет_аналитики'!T559,MeanMinAge23)))</f>
        <v/>
      </c>
      <c r="U486">
        <f>IF(OR('06_Сеть_и_дети'!U103=0,23&lt;='01_Вводные'!$B$297),0,'06_Сеть_и_дети'!U103*IF('01_Вводные'!$B$239="Да",MeanMinAge23+'19_Расчет_аналитики'!U559*SUMIF(ThresholdAge23,"&lt;"&amp;'19_Расчет_аналитики'!U559,WeightedRevAge23)-SUMIF(ThresholdAge23,"&lt;"&amp;'19_Расчет_аналитики'!U559,WeightedMinAge23),MAX(CapacityAge23*'01_Вводные'!$B$218*'19_Расчет_аналитики'!U559,MeanMinAge23)))</f>
        <v/>
      </c>
      <c r="V486">
        <f>IF(OR('06_Сеть_и_дети'!V103=0,23&lt;='01_Вводные'!$B$297),0,'06_Сеть_и_дети'!V103*IF('01_Вводные'!$B$239="Да",MeanMinAge23+'19_Расчет_аналитики'!V559*SUMIF(ThresholdAge23,"&lt;"&amp;'19_Расчет_аналитики'!V559,WeightedRevAge23)-SUMIF(ThresholdAge23,"&lt;"&amp;'19_Расчет_аналитики'!V559,WeightedMinAge23),MAX(CapacityAge23*'01_Вводные'!$B$218*'19_Расчет_аналитики'!V559,MeanMinAge23)))</f>
        <v/>
      </c>
      <c r="W486">
        <f>IF(OR('06_Сеть_и_дети'!W103=0,23&lt;='01_Вводные'!$B$297),0,'06_Сеть_и_дети'!W103*IF('01_Вводные'!$B$239="Да",MeanMinAge23+'19_Расчет_аналитики'!W559*SUMIF(ThresholdAge23,"&lt;"&amp;'19_Расчет_аналитики'!W559,WeightedRevAge23)-SUMIF(ThresholdAge23,"&lt;"&amp;'19_Расчет_аналитики'!W559,WeightedMinAge23),MAX(CapacityAge23*'01_Вводные'!$B$218*'19_Расчет_аналитики'!W559,MeanMinAge23)))</f>
        <v/>
      </c>
      <c r="X486">
        <f>IF(OR('19_Расчет_аналитики'!X458=0,23&lt;='01_Вводные'!$B$297),0,'19_Расчет_аналитики'!X458*IF('01_Вводные'!$B$239="Да",MeanMinAge23+'19_Расчет_аналитики'!X559*SUMIF(ThresholdAge23,"&lt;"&amp;'19_Расчет_аналитики'!X559,WeightedRevAge23)-SUMIF(ThresholdAge23,"&lt;"&amp;'19_Расчет_аналитики'!X559,WeightedMinAge23),MAX(CapacityAge23*'01_Вводные'!$B$218*'19_Расчет_аналитики'!X559,MeanMinAge23)))</f>
        <v/>
      </c>
      <c r="Y486">
        <f>IF(OR('19_Расчет_аналитики'!Y458=0,23&lt;='01_Вводные'!$B$297),0,'19_Расчет_аналитики'!Y458*IF('01_Вводные'!$B$239="Да",MeanMinAge23+'19_Расчет_аналитики'!Y559*SUMIF(ThresholdAge23,"&lt;"&amp;'19_Расчет_аналитики'!Y559,WeightedRevAge23)-SUMIF(ThresholdAge23,"&lt;"&amp;'19_Расчет_аналитики'!Y559,WeightedMinAge23),MAX(CapacityAge23*'01_Вводные'!$B$218*'19_Расчет_аналитики'!Y559,MeanMinAge23)))</f>
        <v/>
      </c>
      <c r="Z486">
        <f>IF(OR('19_Расчет_аналитики'!Z458=0,23&lt;='01_Вводные'!$B$297),0,'19_Расчет_аналитики'!Z458*IF('01_Вводные'!$B$239="Да",MeanMinAge23+'19_Расчет_аналитики'!Z559*SUMIF(ThresholdAge23,"&lt;"&amp;'19_Расчет_аналитики'!Z559,WeightedRevAge23)-SUMIF(ThresholdAge23,"&lt;"&amp;'19_Расчет_аналитики'!Z559,WeightedMinAge23),MAX(CapacityAge23*'01_Вводные'!$B$218*'19_Расчет_аналитики'!Z559,MeanMinAge23)))</f>
        <v/>
      </c>
      <c r="AA486">
        <f>IF(OR('19_Расчет_аналитики'!AA458=0,23&lt;='01_Вводные'!$B$297),0,'19_Расчет_аналитики'!AA458*IF('01_Вводные'!$B$239="Да",MeanMinAge23+'19_Расчет_аналитики'!AA559*SUMIF(ThresholdAge23,"&lt;"&amp;'19_Расчет_аналитики'!AA559,WeightedRevAge23)-SUMIF(ThresholdAge23,"&lt;"&amp;'19_Расчет_аналитики'!AA559,WeightedMinAge23),MAX(CapacityAge23*'01_Вводные'!$B$218*'19_Расчет_аналитики'!AA559,MeanMinAge23)))</f>
        <v/>
      </c>
      <c r="AB486">
        <f>IF(OR('19_Расчет_аналитики'!AB458=0,23&lt;='01_Вводные'!$B$297),0,'19_Расчет_аналитики'!AB458*IF('01_Вводные'!$B$239="Да",MeanMinAge23+'19_Расчет_аналитики'!AB559*SUMIF(ThresholdAge23,"&lt;"&amp;'19_Расчет_аналитики'!AB559,WeightedRevAge23)-SUMIF(ThresholdAge23,"&lt;"&amp;'19_Расчет_аналитики'!AB559,WeightedMinAge23),MAX(CapacityAge23*'01_Вводные'!$B$218*'19_Расчет_аналитики'!AB559,MeanMinAge23)))</f>
        <v/>
      </c>
      <c r="AC486">
        <f>IF(OR('19_Расчет_аналитики'!AC458=0,23&lt;='01_Вводные'!$B$297),0,'19_Расчет_аналитики'!AC458*IF('01_Вводные'!$B$239="Да",MeanMinAge23+'19_Расчет_аналитики'!AC559*SUMIF(ThresholdAge23,"&lt;"&amp;'19_Расчет_аналитики'!AC559,WeightedRevAge23)-SUMIF(ThresholdAge23,"&lt;"&amp;'19_Расчет_аналитики'!AC559,WeightedMinAge23),MAX(CapacityAge23*'01_Вводные'!$B$218*'19_Расчет_аналитики'!AC559,MeanMinAge23)))</f>
        <v/>
      </c>
      <c r="AD486">
        <f>IF(OR('19_Расчет_аналитики'!AD458=0,23&lt;='01_Вводные'!$B$297),0,'19_Расчет_аналитики'!AD458*IF('01_Вводные'!$B$239="Да",MeanMinAge23+'19_Расчет_аналитики'!AD559*SUMIF(ThresholdAge23,"&lt;"&amp;'19_Расчет_аналитики'!AD559,WeightedRevAge23)-SUMIF(ThresholdAge23,"&lt;"&amp;'19_Расчет_аналитики'!AD559,WeightedMinAge23),MAX(CapacityAge23*'01_Вводные'!$B$218*'19_Расчет_аналитики'!AD559,MeanMinAge23)))</f>
        <v/>
      </c>
      <c r="AE486">
        <f>IF(OR('19_Расчет_аналитики'!AE458=0,23&lt;='01_Вводные'!$B$297),0,'19_Расчет_аналитики'!AE458*IF('01_Вводные'!$B$239="Да",MeanMinAge23+'19_Расчет_аналитики'!AE559*SUMIF(ThresholdAge23,"&lt;"&amp;'19_Расчет_аналитики'!AE559,WeightedRevAge23)-SUMIF(ThresholdAge23,"&lt;"&amp;'19_Расчет_аналитики'!AE559,WeightedMinAge23),MAX(CapacityAge23*'01_Вводные'!$B$218*'19_Расчет_аналитики'!AE559,MeanMinAge23)))</f>
        <v/>
      </c>
      <c r="AF486">
        <f>IF(OR('19_Расчет_аналитики'!AF458=0,23&lt;='01_Вводные'!$B$297),0,'19_Расчет_аналитики'!AF458*IF('01_Вводные'!$B$239="Да",MeanMinAge23+'19_Расчет_аналитики'!AF559*SUMIF(ThresholdAge23,"&lt;"&amp;'19_Расчет_аналитики'!AF559,WeightedRevAge23)-SUMIF(ThresholdAge23,"&lt;"&amp;'19_Расчет_аналитики'!AF559,WeightedMinAge23),MAX(CapacityAge23*'01_Вводные'!$B$218*'19_Расчет_аналитики'!AF559,MeanMinAge23)))</f>
        <v/>
      </c>
      <c r="AG486">
        <f>IF(OR('19_Расчет_аналитики'!AG458=0,23&lt;='01_Вводные'!$B$297),0,'19_Расчет_аналитики'!AG458*IF('01_Вводные'!$B$239="Да",MeanMinAge23+'19_Расчет_аналитики'!AG559*SUMIF(ThresholdAge23,"&lt;"&amp;'19_Расчет_аналитики'!AG559,WeightedRevAge23)-SUMIF(ThresholdAge23,"&lt;"&amp;'19_Расчет_аналитики'!AG559,WeightedMinAge23),MAX(CapacityAge23*'01_Вводные'!$B$218*'19_Расчет_аналитики'!AG559,MeanMinAge23)))</f>
        <v/>
      </c>
      <c r="AH486">
        <f>IF(OR('19_Расчет_аналитики'!AH458=0,23&lt;='01_Вводные'!$B$297),0,'19_Расчет_аналитики'!AH458*IF('01_Вводные'!$B$239="Да",MeanMinAge23+'19_Расчет_аналитики'!AH559*SUMIF(ThresholdAge23,"&lt;"&amp;'19_Расчет_аналитики'!AH559,WeightedRevAge23)-SUMIF(ThresholdAge23,"&lt;"&amp;'19_Расчет_аналитики'!AH559,WeightedMinAge23),MAX(CapacityAge23*'01_Вводные'!$B$218*'19_Расчет_аналитики'!AH559,MeanMinAge23)))</f>
        <v/>
      </c>
      <c r="AI486">
        <f>IF(OR('19_Расчет_аналитики'!AI458=0,23&lt;='01_Вводные'!$B$297),0,'19_Расчет_аналитики'!AI458*IF('01_Вводные'!$B$239="Да",MeanMinAge23+'19_Расчет_аналитики'!AI559*SUMIF(ThresholdAge23,"&lt;"&amp;'19_Расчет_аналитики'!AI559,WeightedRevAge23)-SUMIF(ThresholdAge23,"&lt;"&amp;'19_Расчет_аналитики'!AI559,WeightedMinAge23),MAX(CapacityAge23*'01_Вводные'!$B$218*'19_Расчет_аналитики'!AI559,MeanMinAge23)))</f>
        <v/>
      </c>
      <c r="AJ486">
        <f>IF(OR('19_Расчет_аналитики'!AJ458=0,23&lt;='01_Вводные'!$B$297),0,'19_Расчет_аналитики'!AJ458*IF('01_Вводные'!$B$239="Да",MeanMinAge23+'19_Расчет_аналитики'!AJ559*SUMIF(ThresholdAge23,"&lt;"&amp;'19_Расчет_аналитики'!AJ559,WeightedRevAge23)-SUMIF(ThresholdAge23,"&lt;"&amp;'19_Расчет_аналитики'!AJ559,WeightedMinAge23),MAX(CapacityAge23*'01_Вводные'!$B$218*'19_Расчет_аналитики'!AJ559,MeanMinAge23)))</f>
        <v/>
      </c>
      <c r="AK486">
        <f>IF(OR('19_Расчет_аналитики'!AK458=0,23&lt;='01_Вводные'!$B$297),0,'19_Расчет_аналитики'!AK458*IF('01_Вводные'!$B$239="Да",MeanMinAge23+'19_Расчет_аналитики'!AK559*SUMIF(ThresholdAge23,"&lt;"&amp;'19_Расчет_аналитики'!AK559,WeightedRevAge23)-SUMIF(ThresholdAge23,"&lt;"&amp;'19_Расчет_аналитики'!AK559,WeightedMinAge23),MAX(CapacityAge23*'01_Вводные'!$B$218*'19_Расчет_аналитики'!AK559,MeanMinAge23)))</f>
        <v/>
      </c>
      <c r="AL486">
        <f>IF(OR('19_Расчет_аналитики'!AL458=0,23&lt;='01_Вводные'!$B$297),0,'19_Расчет_аналитики'!AL458*IF('01_Вводные'!$B$239="Да",MeanMinAge23+'19_Расчет_аналитики'!AL559*SUMIF(ThresholdAge23,"&lt;"&amp;'19_Расчет_аналитики'!AL559,WeightedRevAge23)-SUMIF(ThresholdAge23,"&lt;"&amp;'19_Расчет_аналитики'!AL559,WeightedMinAge23),MAX(CapacityAge23*'01_Вводные'!$B$218*'19_Расчет_аналитики'!AL559,MeanMinAge23)))</f>
        <v/>
      </c>
      <c r="AM486">
        <f>IF(OR('19_Расчет_аналитики'!AM458=0,23&lt;='01_Вводные'!$B$297),0,'19_Расчет_аналитики'!AM458*IF('01_Вводные'!$B$239="Да",MeanMinAge23+'19_Расчет_аналитики'!AM559*SUMIF(ThresholdAge23,"&lt;"&amp;'19_Расчет_аналитики'!AM559,WeightedRevAge23)-SUMIF(ThresholdAge23,"&lt;"&amp;'19_Расчет_аналитики'!AM559,WeightedMinAge23),MAX(CapacityAge23*'01_Вводные'!$B$218*'19_Расчет_аналитики'!AM559,MeanMinAge23)))</f>
        <v/>
      </c>
      <c r="AN486">
        <f>IF(OR('19_Расчет_аналитики'!AN458=0,23&lt;='01_Вводные'!$B$297),0,'19_Расчет_аналитики'!AN458*IF('01_Вводные'!$B$239="Да",MeanMinAge23+'19_Расчет_аналитики'!AN559*SUMIF(ThresholdAge23,"&lt;"&amp;'19_Расчет_аналитики'!AN559,WeightedRevAge23)-SUMIF(ThresholdAge23,"&lt;"&amp;'19_Расчет_аналитики'!AN559,WeightedMinAge23),MAX(CapacityAge23*'01_Вводные'!$B$218*'19_Расчет_аналитики'!AN559,MeanMinAge23)))</f>
        <v/>
      </c>
      <c r="AO486">
        <f>IF(OR('19_Расчет_аналитики'!AO458=0,23&lt;='01_Вводные'!$B$297),0,'19_Расчет_аналитики'!AO458*IF('01_Вводные'!$B$239="Да",MeanMinAge23+'19_Расчет_аналитики'!AO559*SUMIF(ThresholdAge23,"&lt;"&amp;'19_Расчет_аналитики'!AO559,WeightedRevAge23)-SUMIF(ThresholdAge23,"&lt;"&amp;'19_Расчет_аналитики'!AO559,WeightedMinAge23),MAX(CapacityAge23*'01_Вводные'!$B$218*'19_Расчет_аналитики'!AO559,MeanMinAge23)))</f>
        <v/>
      </c>
      <c r="AP486">
        <f>IF(OR('19_Расчет_аналитики'!AP458=0,23&lt;='01_Вводные'!$B$297),0,'19_Расчет_аналитики'!AP458*IF('01_Вводные'!$B$239="Да",MeanMinAge23+'19_Расчет_аналитики'!AP559*SUMIF(ThresholdAge23,"&lt;"&amp;'19_Расчет_аналитики'!AP559,WeightedRevAge23)-SUMIF(ThresholdAge23,"&lt;"&amp;'19_Расчет_аналитики'!AP559,WeightedMinAge23),MAX(CapacityAge23*'01_Вводные'!$B$218*'19_Расчет_аналитики'!AP559,MeanMinAge23)))</f>
        <v/>
      </c>
      <c r="AQ486">
        <f>IF(OR('19_Расчет_аналитики'!AQ458=0,23&lt;='01_Вводные'!$B$297),0,'19_Расчет_аналитики'!AQ458*IF('01_Вводные'!$B$239="Да",MeanMinAge23+'19_Расчет_аналитики'!AQ559*SUMIF(ThresholdAge23,"&lt;"&amp;'19_Расчет_аналитики'!AQ559,WeightedRevAge23)-SUMIF(ThresholdAge23,"&lt;"&amp;'19_Расчет_аналитики'!AQ559,WeightedMinAge23),MAX(CapacityAge23*'01_Вводные'!$B$218*'19_Расчет_аналитики'!AQ559,MeanMinAge23)))</f>
        <v/>
      </c>
      <c r="AR486">
        <f>IF(OR('19_Расчет_аналитики'!AR458=0,23&lt;='01_Вводные'!$B$297),0,'19_Расчет_аналитики'!AR458*IF('01_Вводные'!$B$239="Да",MeanMinAge23+'19_Расчет_аналитики'!AR559*SUMIF(ThresholdAge23,"&lt;"&amp;'19_Расчет_аналитики'!AR559,WeightedRevAge23)-SUMIF(ThresholdAge23,"&lt;"&amp;'19_Расчет_аналитики'!AR559,WeightedMinAge23),MAX(CapacityAge23*'01_Вводные'!$B$218*'19_Расчет_аналитики'!AR559,MeanMinAge23)))</f>
        <v/>
      </c>
      <c r="AS486">
        <f>IF(OR('19_Расчет_аналитики'!AS458=0,23&lt;='01_Вводные'!$B$297),0,'19_Расчет_аналитики'!AS458*IF('01_Вводные'!$B$239="Да",MeanMinAge23+'19_Расчет_аналитики'!AS559*SUMIF(ThresholdAge23,"&lt;"&amp;'19_Расчет_аналитики'!AS559,WeightedRevAge23)-SUMIF(ThresholdAge23,"&lt;"&amp;'19_Расчет_аналитики'!AS559,WeightedMinAge23),MAX(CapacityAge23*'01_Вводные'!$B$218*'19_Расчет_аналитики'!AS559,MeanMinAge23)))</f>
        <v/>
      </c>
      <c r="AT486">
        <f>IF(OR('19_Расчет_аналитики'!AT458=0,23&lt;='01_Вводные'!$B$297),0,'19_Расчет_аналитики'!AT458*IF('01_Вводные'!$B$239="Да",MeanMinAge23+'19_Расчет_аналитики'!AT559*SUMIF(ThresholdAge23,"&lt;"&amp;'19_Расчет_аналитики'!AT559,WeightedRevAge23)-SUMIF(ThresholdAge23,"&lt;"&amp;'19_Расчет_аналитики'!AT559,WeightedMinAge23),MAX(CapacityAge23*'01_Вводные'!$B$218*'19_Расчет_аналитики'!AT559,MeanMinAge23)))</f>
        <v/>
      </c>
      <c r="AU486">
        <f>IF(OR('19_Расчет_аналитики'!AU458=0,23&lt;='01_Вводные'!$B$297),0,'19_Расчет_аналитики'!AU458*IF('01_Вводные'!$B$239="Да",MeanMinAge23+'19_Расчет_аналитики'!AU559*SUMIF(ThresholdAge23,"&lt;"&amp;'19_Расчет_аналитики'!AU559,WeightedRevAge23)-SUMIF(ThresholdAge23,"&lt;"&amp;'19_Расчет_аналитики'!AU559,WeightedMinAge23),MAX(CapacityAge23*'01_Вводные'!$B$218*'19_Расчет_аналитики'!AU559,MeanMinAge23)))</f>
        <v/>
      </c>
      <c r="AV486">
        <f>IF(OR('19_Расчет_аналитики'!AV458=0,23&lt;='01_Вводные'!$B$297),0,'19_Расчет_аналитики'!AV458*IF('01_Вводные'!$B$239="Да",MeanMinAge23+'19_Расчет_аналитики'!AV559*SUMIF(ThresholdAge23,"&lt;"&amp;'19_Расчет_аналитики'!AV559,WeightedRevAge23)-SUMIF(ThresholdAge23,"&lt;"&amp;'19_Расчет_аналитики'!AV559,WeightedMinAge23),MAX(CapacityAge23*'01_Вводные'!$B$218*'19_Расчет_аналитики'!AV559,MeanMinAge23)))</f>
        <v/>
      </c>
      <c r="AW486">
        <f>IF(OR('19_Расчет_аналитики'!AW458=0,23&lt;='01_Вводные'!$B$297),0,'19_Расчет_аналитики'!AW458*IF('01_Вводные'!$B$239="Да",MeanMinAge23+'19_Расчет_аналитики'!AW559*SUMIF(ThresholdAge23,"&lt;"&amp;'19_Расчет_аналитики'!AW559,WeightedRevAge23)-SUMIF(ThresholdAge23,"&lt;"&amp;'19_Расчет_аналитики'!AW559,WeightedMinAge23),MAX(CapacityAge23*'01_Вводные'!$B$218*'19_Расчет_аналитики'!AW559,MeanMinAge23)))</f>
        <v/>
      </c>
      <c r="AX486">
        <f>IF(OR('19_Расчет_аналитики'!AX458=0,23&lt;='01_Вводные'!$B$297),0,'19_Расчет_аналитики'!AX458*IF('01_Вводные'!$B$239="Да",MeanMinAge23+'19_Расчет_аналитики'!AX559*SUMIF(ThresholdAge23,"&lt;"&amp;'19_Расчет_аналитики'!AX559,WeightedRevAge23)-SUMIF(ThresholdAge23,"&lt;"&amp;'19_Расчет_аналитики'!AX559,WeightedMinAge23),MAX(CapacityAge23*'01_Вводные'!$B$218*'19_Расчет_аналитики'!AX559,MeanMinAge23)))</f>
        <v/>
      </c>
      <c r="AY486">
        <f>IF(OR('19_Расчет_аналитики'!AY458=0,23&lt;='01_Вводные'!$B$297),0,'19_Расчет_аналитики'!AY458*IF('01_Вводные'!$B$239="Да",MeanMinAge23+'19_Расчет_аналитики'!AY559*SUMIF(ThresholdAge23,"&lt;"&amp;'19_Расчет_аналитики'!AY559,WeightedRevAge23)-SUMIF(ThresholdAge23,"&lt;"&amp;'19_Расчет_аналитики'!AY559,WeightedMinAge23),MAX(CapacityAge23*'01_Вводные'!$B$218*'19_Расчет_аналитики'!AY559,MeanMinAge23)))</f>
        <v/>
      </c>
      <c r="AZ486">
        <f>IF(OR('19_Расчет_аналитики'!AZ458=0,23&lt;='01_Вводные'!$B$297),0,'19_Расчет_аналитики'!AZ458*IF('01_Вводные'!$B$239="Да",MeanMinAge23+'19_Расчет_аналитики'!AZ559*SUMIF(ThresholdAge23,"&lt;"&amp;'19_Расчет_аналитики'!AZ559,WeightedRevAge23)-SUMIF(ThresholdAge23,"&lt;"&amp;'19_Расчет_аналитики'!AZ559,WeightedMinAge23),MAX(CapacityAge23*'01_Вводные'!$B$218*'19_Расчет_аналитики'!AZ559,MeanMinAge23)))</f>
        <v/>
      </c>
      <c r="BA486">
        <f>IF(OR('19_Расчет_аналитики'!BA458=0,23&lt;='01_Вводные'!$B$297),0,'19_Расчет_аналитики'!BA458*IF('01_Вводные'!$B$239="Да",MeanMinAge23+'19_Расчет_аналитики'!BA559*SUMIF(ThresholdAge23,"&lt;"&amp;'19_Расчет_аналитики'!BA559,WeightedRevAge23)-SUMIF(ThresholdAge23,"&lt;"&amp;'19_Расчет_аналитики'!BA559,WeightedMinAge23),MAX(CapacityAge23*'01_Вводные'!$B$218*'19_Расчет_аналитики'!BA559,MeanMinAge23)))</f>
        <v/>
      </c>
      <c r="BB486">
        <f>IF(OR('19_Расчет_аналитики'!BB458=0,23&lt;='01_Вводные'!$B$297),0,'19_Расчет_аналитики'!BB458*IF('01_Вводные'!$B$239="Да",MeanMinAge23+'19_Расчет_аналитики'!BB559*SUMIF(ThresholdAge23,"&lt;"&amp;'19_Расчет_аналитики'!BB559,WeightedRevAge23)-SUMIF(ThresholdAge23,"&lt;"&amp;'19_Расчет_аналитики'!BB559,WeightedMinAge23),MAX(CapacityAge23*'01_Вводные'!$B$218*'19_Расчет_аналитики'!BB559,MeanMinAge23)))</f>
        <v/>
      </c>
      <c r="BC486">
        <f>IF(OR('19_Расчет_аналитики'!BC458=0,23&lt;='01_Вводные'!$B$297),0,'19_Расчет_аналитики'!BC458*IF('01_Вводные'!$B$239="Да",MeanMinAge23+'19_Расчет_аналитики'!BC559*SUMIF(ThresholdAge23,"&lt;"&amp;'19_Расчет_аналитики'!BC559,WeightedRevAge23)-SUMIF(ThresholdAge23,"&lt;"&amp;'19_Расчет_аналитики'!BC559,WeightedMinAge23),MAX(CapacityAge23*'01_Вводные'!$B$218*'19_Расчет_аналитики'!BC559,MeanMinAge23)))</f>
        <v/>
      </c>
      <c r="BD486">
        <f>IF(OR('19_Расчет_аналитики'!BD458=0,23&lt;='01_Вводные'!$B$297),0,'19_Расчет_аналитики'!BD458*IF('01_Вводные'!$B$239="Да",MeanMinAge23+'19_Расчет_аналитики'!BD559*SUMIF(ThresholdAge23,"&lt;"&amp;'19_Расчет_аналитики'!BD559,WeightedRevAge23)-SUMIF(ThresholdAge23,"&lt;"&amp;'19_Расчет_аналитики'!BD559,WeightedMinAge23),MAX(CapacityAge23*'01_Вводные'!$B$218*'19_Расчет_аналитики'!BD559,MeanMinAge23)))</f>
        <v/>
      </c>
      <c r="BE486">
        <f>IF(OR('19_Расчет_аналитики'!BE458=0,23&lt;='01_Вводные'!$B$297),0,'19_Расчет_аналитики'!BE458*IF('01_Вводные'!$B$239="Да",MeanMinAge23+'19_Расчет_аналитики'!BE559*SUMIF(ThresholdAge23,"&lt;"&amp;'19_Расчет_аналитики'!BE559,WeightedRevAge23)-SUMIF(ThresholdAge23,"&lt;"&amp;'19_Расчет_аналитики'!BE559,WeightedMinAge23),MAX(CapacityAge23*'01_Вводные'!$B$218*'19_Расчет_аналитики'!BE559,MeanMinAge23)))</f>
        <v/>
      </c>
      <c r="BF486">
        <f>IF(OR('19_Расчет_аналитики'!BF458=0,23&lt;='01_Вводные'!$B$297),0,'19_Расчет_аналитики'!BF458*IF('01_Вводные'!$B$239="Да",MeanMinAge23+'19_Расчет_аналитики'!BF559*SUMIF(ThresholdAge23,"&lt;"&amp;'19_Расчет_аналитики'!BF559,WeightedRevAge23)-SUMIF(ThresholdAge23,"&lt;"&amp;'19_Расчет_аналитики'!BF559,WeightedMinAge23),MAX(CapacityAge23*'01_Вводные'!$B$218*'19_Расчет_аналитики'!BF559,MeanMinAge23)))</f>
        <v/>
      </c>
      <c r="BG486">
        <f>IF(OR('19_Расчет_аналитики'!BG458=0,23&lt;='01_Вводные'!$B$297),0,'19_Расчет_аналитики'!BG458*IF('01_Вводные'!$B$239="Да",MeanMinAge23+'19_Расчет_аналитики'!BG559*SUMIF(ThresholdAge23,"&lt;"&amp;'19_Расчет_аналитики'!BG559,WeightedRevAge23)-SUMIF(ThresholdAge23,"&lt;"&amp;'19_Расчет_аналитики'!BG559,WeightedMinAge23),MAX(CapacityAge23*'01_Вводные'!$B$218*'19_Расчет_аналитики'!BG559,MeanMinAge23)))</f>
        <v/>
      </c>
      <c r="BH486">
        <f>IF(OR('19_Расчет_аналитики'!BH458=0,23&lt;='01_Вводные'!$B$297),0,'19_Расчет_аналитики'!BH458*IF('01_Вводные'!$B$239="Да",MeanMinAge23+'19_Расчет_аналитики'!BH559*SUMIF(ThresholdAge23,"&lt;"&amp;'19_Расчет_аналитики'!BH559,WeightedRevAge23)-SUMIF(ThresholdAge23,"&lt;"&amp;'19_Расчет_аналитики'!BH559,WeightedMinAge23),MAX(CapacityAge23*'01_Вводные'!$B$218*'19_Расчет_аналитики'!BH559,MeanMinAge23)))</f>
        <v/>
      </c>
      <c r="BI486">
        <f>IF(OR('19_Расчет_аналитики'!BI458=0,23&lt;='01_Вводные'!$B$297),0,'19_Расчет_аналитики'!BI458*IF('01_Вводные'!$B$239="Да",MeanMinAge23+'19_Расчет_аналитики'!BI559*SUMIF(ThresholdAge23,"&lt;"&amp;'19_Расчет_аналитики'!BI559,WeightedRevAge23)-SUMIF(ThresholdAge23,"&lt;"&amp;'19_Расчет_аналитики'!BI559,WeightedMinAge23),MAX(CapacityAge23*'01_Вводные'!$B$218*'19_Расчет_аналитики'!BI559,MeanMinAge23)))</f>
        <v/>
      </c>
      <c r="BJ486">
        <f>IF(OR('19_Расчет_аналитики'!BJ458=0,23&lt;='01_Вводные'!$B$297),0,'19_Расчет_аналитики'!BJ458*IF('01_Вводные'!$B$239="Да",MeanMinAge23+'19_Расчет_аналитики'!BJ559*SUMIF(ThresholdAge23,"&lt;"&amp;'19_Расчет_аналитики'!BJ559,WeightedRevAge23)-SUMIF(ThresholdAge23,"&lt;"&amp;'19_Расчет_аналитики'!BJ559,WeightedMinAge23),MAX(CapacityAge23*'01_Вводные'!$B$218*'19_Расчет_аналитики'!BJ559,MeanMinAge23)))</f>
        <v/>
      </c>
      <c r="BK486">
        <f>IF(OR('19_Расчет_аналитики'!BK458=0,23&lt;='01_Вводные'!$B$297),0,'19_Расчет_аналитики'!BK458*IF('01_Вводные'!$B$239="Да",MeanMinAge23+'19_Расчет_аналитики'!BK559*SUMIF(ThresholdAge23,"&lt;"&amp;'19_Расчет_аналитики'!BK559,WeightedRevAge23)-SUMIF(ThresholdAge23,"&lt;"&amp;'19_Расчет_аналитики'!BK559,WeightedMinAge23),MAX(CapacityAge23*'01_Вводные'!$B$218*'19_Расчет_аналитики'!BK559,MeanMinAge23)))</f>
        <v/>
      </c>
      <c r="BL486">
        <f>IF(OR('19_Расчет_аналитики'!BL458=0,23&lt;='01_Вводные'!$B$297),0,'19_Расчет_аналитики'!BL458*IF('01_Вводные'!$B$239="Да",MeanMinAge23+'19_Расчет_аналитики'!BL559*SUMIF(ThresholdAge23,"&lt;"&amp;'19_Расчет_аналитики'!BL559,WeightedRevAge23)-SUMIF(ThresholdAge23,"&lt;"&amp;'19_Расчет_аналитики'!BL559,WeightedMinAge23),MAX(CapacityAge23*'01_Вводные'!$B$218*'19_Расчет_аналитики'!BL559,MeanMinAge23)))</f>
        <v/>
      </c>
      <c r="BM486">
        <f>IF(OR('19_Расчет_аналитики'!BM458=0,23&lt;='01_Вводные'!$B$297),0,'19_Расчет_аналитики'!BM458*IF('01_Вводные'!$B$239="Да",MeanMinAge23+'19_Расчет_аналитики'!BM559*SUMIF(ThresholdAge23,"&lt;"&amp;'19_Расчет_аналитики'!BM559,WeightedRevAge23)-SUMIF(ThresholdAge23,"&lt;"&amp;'19_Расчет_аналитики'!BM559,WeightedMinAge23),MAX(CapacityAge23*'01_Вводные'!$B$218*'19_Расчет_аналитики'!BM559,MeanMinAge23)))</f>
        <v/>
      </c>
      <c r="BN486">
        <f>IF(OR('19_Расчет_аналитики'!BN458=0,23&lt;='01_Вводные'!$B$297),0,'19_Расчет_аналитики'!BN458*IF('01_Вводные'!$B$239="Да",MeanMinAge23+'19_Расчет_аналитики'!BN559*SUMIF(ThresholdAge23,"&lt;"&amp;'19_Расчет_аналитики'!BN559,WeightedRevAge23)-SUMIF(ThresholdAge23,"&lt;"&amp;'19_Расчет_аналитики'!BN559,WeightedMinAge23),MAX(CapacityAge23*'01_Вводные'!$B$218*'19_Расчет_аналитики'!BN559,MeanMinAge23)))</f>
        <v/>
      </c>
      <c r="BO486">
        <f>IF(OR('19_Расчет_аналитики'!BO458=0,23&lt;='01_Вводные'!$B$297),0,'19_Расчет_аналитики'!BO458*IF('01_Вводные'!$B$239="Да",MeanMinAge23+'19_Расчет_аналитики'!BO559*SUMIF(ThresholdAge23,"&lt;"&amp;'19_Расчет_аналитики'!BO559,WeightedRevAge23)-SUMIF(ThresholdAge23,"&lt;"&amp;'19_Расчет_аналитики'!BO559,WeightedMinAge23),MAX(CapacityAge23*'01_Вводные'!$B$218*'19_Расчет_аналитики'!BO559,MeanMinAge23)))</f>
        <v/>
      </c>
    </row>
    <row r="487">
      <c r="B487">
        <f>IF(OR('06_Сеть_и_дети'!B104=0,24&lt;='01_Вводные'!$B$297),0,'06_Сеть_и_дети'!B104*IF('01_Вводные'!$B$239="Да",MeanMinAge24+'19_Расчет_аналитики'!B559*SUMIF(ThresholdAge24,"&lt;"&amp;'19_Расчет_аналитики'!B559,WeightedRevAge24)-SUMIF(ThresholdAge24,"&lt;"&amp;'19_Расчет_аналитики'!B559,WeightedMinAge24),MAX(CapacityAge24*'01_Вводные'!$B$218*'19_Расчет_аналитики'!B559,MeanMinAge24)))</f>
        <v/>
      </c>
      <c r="C487">
        <f>IF(OR('06_Сеть_и_дети'!C104=0,24&lt;='01_Вводные'!$B$297),0,'06_Сеть_и_дети'!C104*IF('01_Вводные'!$B$239="Да",MeanMinAge24+'19_Расчет_аналитики'!C559*SUMIF(ThresholdAge24,"&lt;"&amp;'19_Расчет_аналитики'!C559,WeightedRevAge24)-SUMIF(ThresholdAge24,"&lt;"&amp;'19_Расчет_аналитики'!C559,WeightedMinAge24),MAX(CapacityAge24*'01_Вводные'!$B$218*'19_Расчет_аналитики'!C559,MeanMinAge24)))</f>
        <v/>
      </c>
      <c r="D487">
        <f>IF(OR('06_Сеть_и_дети'!D104=0,24&lt;='01_Вводные'!$B$297),0,'06_Сеть_и_дети'!D104*IF('01_Вводные'!$B$239="Да",MeanMinAge24+'19_Расчет_аналитики'!D559*SUMIF(ThresholdAge24,"&lt;"&amp;'19_Расчет_аналитики'!D559,WeightedRevAge24)-SUMIF(ThresholdAge24,"&lt;"&amp;'19_Расчет_аналитики'!D559,WeightedMinAge24),MAX(CapacityAge24*'01_Вводные'!$B$218*'19_Расчет_аналитики'!D559,MeanMinAge24)))</f>
        <v/>
      </c>
      <c r="E487">
        <f>IF(OR('06_Сеть_и_дети'!E104=0,24&lt;='01_Вводные'!$B$297),0,'06_Сеть_и_дети'!E104*IF('01_Вводные'!$B$239="Да",MeanMinAge24+'19_Расчет_аналитики'!E559*SUMIF(ThresholdAge24,"&lt;"&amp;'19_Расчет_аналитики'!E559,WeightedRevAge24)-SUMIF(ThresholdAge24,"&lt;"&amp;'19_Расчет_аналитики'!E559,WeightedMinAge24),MAX(CapacityAge24*'01_Вводные'!$B$218*'19_Расчет_аналитики'!E559,MeanMinAge24)))</f>
        <v/>
      </c>
      <c r="F487">
        <f>IF(OR('06_Сеть_и_дети'!F104=0,24&lt;='01_Вводные'!$B$297),0,'06_Сеть_и_дети'!F104*IF('01_Вводные'!$B$239="Да",MeanMinAge24+'19_Расчет_аналитики'!F559*SUMIF(ThresholdAge24,"&lt;"&amp;'19_Расчет_аналитики'!F559,WeightedRevAge24)-SUMIF(ThresholdAge24,"&lt;"&amp;'19_Расчет_аналитики'!F559,WeightedMinAge24),MAX(CapacityAge24*'01_Вводные'!$B$218*'19_Расчет_аналитики'!F559,MeanMinAge24)))</f>
        <v/>
      </c>
      <c r="G487">
        <f>IF(OR('06_Сеть_и_дети'!G104=0,24&lt;='01_Вводные'!$B$297),0,'06_Сеть_и_дети'!G104*IF('01_Вводные'!$B$239="Да",MeanMinAge24+'19_Расчет_аналитики'!G559*SUMIF(ThresholdAge24,"&lt;"&amp;'19_Расчет_аналитики'!G559,WeightedRevAge24)-SUMIF(ThresholdAge24,"&lt;"&amp;'19_Расчет_аналитики'!G559,WeightedMinAge24),MAX(CapacityAge24*'01_Вводные'!$B$218*'19_Расчет_аналитики'!G559,MeanMinAge24)))</f>
        <v/>
      </c>
      <c r="H487">
        <f>IF(OR('06_Сеть_и_дети'!H104=0,24&lt;='01_Вводные'!$B$297),0,'06_Сеть_и_дети'!H104*IF('01_Вводные'!$B$239="Да",MeanMinAge24+'19_Расчет_аналитики'!H559*SUMIF(ThresholdAge24,"&lt;"&amp;'19_Расчет_аналитики'!H559,WeightedRevAge24)-SUMIF(ThresholdAge24,"&lt;"&amp;'19_Расчет_аналитики'!H559,WeightedMinAge24),MAX(CapacityAge24*'01_Вводные'!$B$218*'19_Расчет_аналитики'!H559,MeanMinAge24)))</f>
        <v/>
      </c>
      <c r="I487">
        <f>IF(OR('06_Сеть_и_дети'!I104=0,24&lt;='01_Вводные'!$B$297),0,'06_Сеть_и_дети'!I104*IF('01_Вводные'!$B$239="Да",MeanMinAge24+'19_Расчет_аналитики'!I559*SUMIF(ThresholdAge24,"&lt;"&amp;'19_Расчет_аналитики'!I559,WeightedRevAge24)-SUMIF(ThresholdAge24,"&lt;"&amp;'19_Расчет_аналитики'!I559,WeightedMinAge24),MAX(CapacityAge24*'01_Вводные'!$B$218*'19_Расчет_аналитики'!I559,MeanMinAge24)))</f>
        <v/>
      </c>
      <c r="J487">
        <f>IF(OR('06_Сеть_и_дети'!J104=0,24&lt;='01_Вводные'!$B$297),0,'06_Сеть_и_дети'!J104*IF('01_Вводные'!$B$239="Да",MeanMinAge24+'19_Расчет_аналитики'!J559*SUMIF(ThresholdAge24,"&lt;"&amp;'19_Расчет_аналитики'!J559,WeightedRevAge24)-SUMIF(ThresholdAge24,"&lt;"&amp;'19_Расчет_аналитики'!J559,WeightedMinAge24),MAX(CapacityAge24*'01_Вводные'!$B$218*'19_Расчет_аналитики'!J559,MeanMinAge24)))</f>
        <v/>
      </c>
      <c r="K487">
        <f>IF(OR('06_Сеть_и_дети'!K104=0,24&lt;='01_Вводные'!$B$297),0,'06_Сеть_и_дети'!K104*IF('01_Вводные'!$B$239="Да",MeanMinAge24+'19_Расчет_аналитики'!K559*SUMIF(ThresholdAge24,"&lt;"&amp;'19_Расчет_аналитики'!K559,WeightedRevAge24)-SUMIF(ThresholdAge24,"&lt;"&amp;'19_Расчет_аналитики'!K559,WeightedMinAge24),MAX(CapacityAge24*'01_Вводные'!$B$218*'19_Расчет_аналитики'!K559,MeanMinAge24)))</f>
        <v/>
      </c>
      <c r="L487">
        <f>IF(OR('06_Сеть_и_дети'!L104=0,24&lt;='01_Вводные'!$B$297),0,'06_Сеть_и_дети'!L104*IF('01_Вводные'!$B$239="Да",MeanMinAge24+'19_Расчет_аналитики'!L559*SUMIF(ThresholdAge24,"&lt;"&amp;'19_Расчет_аналитики'!L559,WeightedRevAge24)-SUMIF(ThresholdAge24,"&lt;"&amp;'19_Расчет_аналитики'!L559,WeightedMinAge24),MAX(CapacityAge24*'01_Вводные'!$B$218*'19_Расчет_аналитики'!L559,MeanMinAge24)))</f>
        <v/>
      </c>
      <c r="M487">
        <f>IF(OR('06_Сеть_и_дети'!M104=0,24&lt;='01_Вводные'!$B$297),0,'06_Сеть_и_дети'!M104*IF('01_Вводные'!$B$239="Да",MeanMinAge24+'19_Расчет_аналитики'!M559*SUMIF(ThresholdAge24,"&lt;"&amp;'19_Расчет_аналитики'!M559,WeightedRevAge24)-SUMIF(ThresholdAge24,"&lt;"&amp;'19_Расчет_аналитики'!M559,WeightedMinAge24),MAX(CapacityAge24*'01_Вводные'!$B$218*'19_Расчет_аналитики'!M559,MeanMinAge24)))</f>
        <v/>
      </c>
      <c r="N487">
        <f>IF(OR('06_Сеть_и_дети'!N104=0,24&lt;='01_Вводные'!$B$297),0,'06_Сеть_и_дети'!N104*IF('01_Вводные'!$B$239="Да",MeanMinAge24+'19_Расчет_аналитики'!N559*SUMIF(ThresholdAge24,"&lt;"&amp;'19_Расчет_аналитики'!N559,WeightedRevAge24)-SUMIF(ThresholdAge24,"&lt;"&amp;'19_Расчет_аналитики'!N559,WeightedMinAge24),MAX(CapacityAge24*'01_Вводные'!$B$218*'19_Расчет_аналитики'!N559,MeanMinAge24)))</f>
        <v/>
      </c>
      <c r="O487">
        <f>IF(OR('06_Сеть_и_дети'!O104=0,24&lt;='01_Вводные'!$B$297),0,'06_Сеть_и_дети'!O104*IF('01_Вводные'!$B$239="Да",MeanMinAge24+'19_Расчет_аналитики'!O559*SUMIF(ThresholdAge24,"&lt;"&amp;'19_Расчет_аналитики'!O559,WeightedRevAge24)-SUMIF(ThresholdAge24,"&lt;"&amp;'19_Расчет_аналитики'!O559,WeightedMinAge24),MAX(CapacityAge24*'01_Вводные'!$B$218*'19_Расчет_аналитики'!O559,MeanMinAge24)))</f>
        <v/>
      </c>
      <c r="P487">
        <f>IF(OR('06_Сеть_и_дети'!P104=0,24&lt;='01_Вводные'!$B$297),0,'06_Сеть_и_дети'!P104*IF('01_Вводные'!$B$239="Да",MeanMinAge24+'19_Расчет_аналитики'!P559*SUMIF(ThresholdAge24,"&lt;"&amp;'19_Расчет_аналитики'!P559,WeightedRevAge24)-SUMIF(ThresholdAge24,"&lt;"&amp;'19_Расчет_аналитики'!P559,WeightedMinAge24),MAX(CapacityAge24*'01_Вводные'!$B$218*'19_Расчет_аналитики'!P559,MeanMinAge24)))</f>
        <v/>
      </c>
      <c r="Q487">
        <f>IF(OR('06_Сеть_и_дети'!Q104=0,24&lt;='01_Вводные'!$B$297),0,'06_Сеть_и_дети'!Q104*IF('01_Вводные'!$B$239="Да",MeanMinAge24+'19_Расчет_аналитики'!Q559*SUMIF(ThresholdAge24,"&lt;"&amp;'19_Расчет_аналитики'!Q559,WeightedRevAge24)-SUMIF(ThresholdAge24,"&lt;"&amp;'19_Расчет_аналитики'!Q559,WeightedMinAge24),MAX(CapacityAge24*'01_Вводные'!$B$218*'19_Расчет_аналитики'!Q559,MeanMinAge24)))</f>
        <v/>
      </c>
      <c r="R487">
        <f>IF(OR('06_Сеть_и_дети'!R104=0,24&lt;='01_Вводные'!$B$297),0,'06_Сеть_и_дети'!R104*IF('01_Вводные'!$B$239="Да",MeanMinAge24+'19_Расчет_аналитики'!R559*SUMIF(ThresholdAge24,"&lt;"&amp;'19_Расчет_аналитики'!R559,WeightedRevAge24)-SUMIF(ThresholdAge24,"&lt;"&amp;'19_Расчет_аналитики'!R559,WeightedMinAge24),MAX(CapacityAge24*'01_Вводные'!$B$218*'19_Расчет_аналитики'!R559,MeanMinAge24)))</f>
        <v/>
      </c>
      <c r="S487">
        <f>IF(OR('06_Сеть_и_дети'!S104=0,24&lt;='01_Вводные'!$B$297),0,'06_Сеть_и_дети'!S104*IF('01_Вводные'!$B$239="Да",MeanMinAge24+'19_Расчет_аналитики'!S559*SUMIF(ThresholdAge24,"&lt;"&amp;'19_Расчет_аналитики'!S559,WeightedRevAge24)-SUMIF(ThresholdAge24,"&lt;"&amp;'19_Расчет_аналитики'!S559,WeightedMinAge24),MAX(CapacityAge24*'01_Вводные'!$B$218*'19_Расчет_аналитики'!S559,MeanMinAge24)))</f>
        <v/>
      </c>
      <c r="T487">
        <f>IF(OR('06_Сеть_и_дети'!T104=0,24&lt;='01_Вводные'!$B$297),0,'06_Сеть_и_дети'!T104*IF('01_Вводные'!$B$239="Да",MeanMinAge24+'19_Расчет_аналитики'!T559*SUMIF(ThresholdAge24,"&lt;"&amp;'19_Расчет_аналитики'!T559,WeightedRevAge24)-SUMIF(ThresholdAge24,"&lt;"&amp;'19_Расчет_аналитики'!T559,WeightedMinAge24),MAX(CapacityAge24*'01_Вводные'!$B$218*'19_Расчет_аналитики'!T559,MeanMinAge24)))</f>
        <v/>
      </c>
      <c r="U487">
        <f>IF(OR('06_Сеть_и_дети'!U104=0,24&lt;='01_Вводные'!$B$297),0,'06_Сеть_и_дети'!U104*IF('01_Вводные'!$B$239="Да",MeanMinAge24+'19_Расчет_аналитики'!U559*SUMIF(ThresholdAge24,"&lt;"&amp;'19_Расчет_аналитики'!U559,WeightedRevAge24)-SUMIF(ThresholdAge24,"&lt;"&amp;'19_Расчет_аналитики'!U559,WeightedMinAge24),MAX(CapacityAge24*'01_Вводные'!$B$218*'19_Расчет_аналитики'!U559,MeanMinAge24)))</f>
        <v/>
      </c>
      <c r="V487">
        <f>IF(OR('06_Сеть_и_дети'!V104=0,24&lt;='01_Вводные'!$B$297),0,'06_Сеть_и_дети'!V104*IF('01_Вводные'!$B$239="Да",MeanMinAge24+'19_Расчет_аналитики'!V559*SUMIF(ThresholdAge24,"&lt;"&amp;'19_Расчет_аналитики'!V559,WeightedRevAge24)-SUMIF(ThresholdAge24,"&lt;"&amp;'19_Расчет_аналитики'!V559,WeightedMinAge24),MAX(CapacityAge24*'01_Вводные'!$B$218*'19_Расчет_аналитики'!V559,MeanMinAge24)))</f>
        <v/>
      </c>
      <c r="W487">
        <f>IF(OR('06_Сеть_и_дети'!W104=0,24&lt;='01_Вводные'!$B$297),0,'06_Сеть_и_дети'!W104*IF('01_Вводные'!$B$239="Да",MeanMinAge24+'19_Расчет_аналитики'!W559*SUMIF(ThresholdAge24,"&lt;"&amp;'19_Расчет_аналитики'!W559,WeightedRevAge24)-SUMIF(ThresholdAge24,"&lt;"&amp;'19_Расчет_аналитики'!W559,WeightedMinAge24),MAX(CapacityAge24*'01_Вводные'!$B$218*'19_Расчет_аналитики'!W559,MeanMinAge24)))</f>
        <v/>
      </c>
      <c r="X487">
        <f>IF(OR('06_Сеть_и_дети'!X104=0,24&lt;='01_Вводные'!$B$297),0,'06_Сеть_и_дети'!X104*IF('01_Вводные'!$B$239="Да",MeanMinAge24+'19_Расчет_аналитики'!X559*SUMIF(ThresholdAge24,"&lt;"&amp;'19_Расчет_аналитики'!X559,WeightedRevAge24)-SUMIF(ThresholdAge24,"&lt;"&amp;'19_Расчет_аналитики'!X559,WeightedMinAge24),MAX(CapacityAge24*'01_Вводные'!$B$218*'19_Расчет_аналитики'!X559,MeanMinAge24)))</f>
        <v/>
      </c>
      <c r="Y487">
        <f>IF(OR('19_Расчет_аналитики'!Y459=0,24&lt;='01_Вводные'!$B$297),0,'19_Расчет_аналитики'!Y459*IF('01_Вводные'!$B$239="Да",MeanMinAge24+'19_Расчет_аналитики'!Y559*SUMIF(ThresholdAge24,"&lt;"&amp;'19_Расчет_аналитики'!Y559,WeightedRevAge24)-SUMIF(ThresholdAge24,"&lt;"&amp;'19_Расчет_аналитики'!Y559,WeightedMinAge24),MAX(CapacityAge24*'01_Вводные'!$B$218*'19_Расчет_аналитики'!Y559,MeanMinAge24)))</f>
        <v/>
      </c>
      <c r="Z487">
        <f>IF(OR('19_Расчет_аналитики'!Z459=0,24&lt;='01_Вводные'!$B$297),0,'19_Расчет_аналитики'!Z459*IF('01_Вводные'!$B$239="Да",MeanMinAge24+'19_Расчет_аналитики'!Z559*SUMIF(ThresholdAge24,"&lt;"&amp;'19_Расчет_аналитики'!Z559,WeightedRevAge24)-SUMIF(ThresholdAge24,"&lt;"&amp;'19_Расчет_аналитики'!Z559,WeightedMinAge24),MAX(CapacityAge24*'01_Вводные'!$B$218*'19_Расчет_аналитики'!Z559,MeanMinAge24)))</f>
        <v/>
      </c>
      <c r="AA487">
        <f>IF(OR('19_Расчет_аналитики'!AA459=0,24&lt;='01_Вводные'!$B$297),0,'19_Расчет_аналитики'!AA459*IF('01_Вводные'!$B$239="Да",MeanMinAge24+'19_Расчет_аналитики'!AA559*SUMIF(ThresholdAge24,"&lt;"&amp;'19_Расчет_аналитики'!AA559,WeightedRevAge24)-SUMIF(ThresholdAge24,"&lt;"&amp;'19_Расчет_аналитики'!AA559,WeightedMinAge24),MAX(CapacityAge24*'01_Вводные'!$B$218*'19_Расчет_аналитики'!AA559,MeanMinAge24)))</f>
        <v/>
      </c>
      <c r="AB487">
        <f>IF(OR('19_Расчет_аналитики'!AB459=0,24&lt;='01_Вводные'!$B$297),0,'19_Расчет_аналитики'!AB459*IF('01_Вводные'!$B$239="Да",MeanMinAge24+'19_Расчет_аналитики'!AB559*SUMIF(ThresholdAge24,"&lt;"&amp;'19_Расчет_аналитики'!AB559,WeightedRevAge24)-SUMIF(ThresholdAge24,"&lt;"&amp;'19_Расчет_аналитики'!AB559,WeightedMinAge24),MAX(CapacityAge24*'01_Вводные'!$B$218*'19_Расчет_аналитики'!AB559,MeanMinAge24)))</f>
        <v/>
      </c>
      <c r="AC487">
        <f>IF(OR('19_Расчет_аналитики'!AC459=0,24&lt;='01_Вводные'!$B$297),0,'19_Расчет_аналитики'!AC459*IF('01_Вводные'!$B$239="Да",MeanMinAge24+'19_Расчет_аналитики'!AC559*SUMIF(ThresholdAge24,"&lt;"&amp;'19_Расчет_аналитики'!AC559,WeightedRevAge24)-SUMIF(ThresholdAge24,"&lt;"&amp;'19_Расчет_аналитики'!AC559,WeightedMinAge24),MAX(CapacityAge24*'01_Вводные'!$B$218*'19_Расчет_аналитики'!AC559,MeanMinAge24)))</f>
        <v/>
      </c>
      <c r="AD487">
        <f>IF(OR('19_Расчет_аналитики'!AD459=0,24&lt;='01_Вводные'!$B$297),0,'19_Расчет_аналитики'!AD459*IF('01_Вводные'!$B$239="Да",MeanMinAge24+'19_Расчет_аналитики'!AD559*SUMIF(ThresholdAge24,"&lt;"&amp;'19_Расчет_аналитики'!AD559,WeightedRevAge24)-SUMIF(ThresholdAge24,"&lt;"&amp;'19_Расчет_аналитики'!AD559,WeightedMinAge24),MAX(CapacityAge24*'01_Вводные'!$B$218*'19_Расчет_аналитики'!AD559,MeanMinAge24)))</f>
        <v/>
      </c>
      <c r="AE487">
        <f>IF(OR('19_Расчет_аналитики'!AE459=0,24&lt;='01_Вводные'!$B$297),0,'19_Расчет_аналитики'!AE459*IF('01_Вводные'!$B$239="Да",MeanMinAge24+'19_Расчет_аналитики'!AE559*SUMIF(ThresholdAge24,"&lt;"&amp;'19_Расчет_аналитики'!AE559,WeightedRevAge24)-SUMIF(ThresholdAge24,"&lt;"&amp;'19_Расчет_аналитики'!AE559,WeightedMinAge24),MAX(CapacityAge24*'01_Вводные'!$B$218*'19_Расчет_аналитики'!AE559,MeanMinAge24)))</f>
        <v/>
      </c>
      <c r="AF487">
        <f>IF(OR('19_Расчет_аналитики'!AF459=0,24&lt;='01_Вводные'!$B$297),0,'19_Расчет_аналитики'!AF459*IF('01_Вводные'!$B$239="Да",MeanMinAge24+'19_Расчет_аналитики'!AF559*SUMIF(ThresholdAge24,"&lt;"&amp;'19_Расчет_аналитики'!AF559,WeightedRevAge24)-SUMIF(ThresholdAge24,"&lt;"&amp;'19_Расчет_аналитики'!AF559,WeightedMinAge24),MAX(CapacityAge24*'01_Вводные'!$B$218*'19_Расчет_аналитики'!AF559,MeanMinAge24)))</f>
        <v/>
      </c>
      <c r="AG487">
        <f>IF(OR('19_Расчет_аналитики'!AG459=0,24&lt;='01_Вводные'!$B$297),0,'19_Расчет_аналитики'!AG459*IF('01_Вводные'!$B$239="Да",MeanMinAge24+'19_Расчет_аналитики'!AG559*SUMIF(ThresholdAge24,"&lt;"&amp;'19_Расчет_аналитики'!AG559,WeightedRevAge24)-SUMIF(ThresholdAge24,"&lt;"&amp;'19_Расчет_аналитики'!AG559,WeightedMinAge24),MAX(CapacityAge24*'01_Вводные'!$B$218*'19_Расчет_аналитики'!AG559,MeanMinAge24)))</f>
        <v/>
      </c>
      <c r="AH487">
        <f>IF(OR('19_Расчет_аналитики'!AH459=0,24&lt;='01_Вводные'!$B$297),0,'19_Расчет_аналитики'!AH459*IF('01_Вводные'!$B$239="Да",MeanMinAge24+'19_Расчет_аналитики'!AH559*SUMIF(ThresholdAge24,"&lt;"&amp;'19_Расчет_аналитики'!AH559,WeightedRevAge24)-SUMIF(ThresholdAge24,"&lt;"&amp;'19_Расчет_аналитики'!AH559,WeightedMinAge24),MAX(CapacityAge24*'01_Вводные'!$B$218*'19_Расчет_аналитики'!AH559,MeanMinAge24)))</f>
        <v/>
      </c>
      <c r="AI487">
        <f>IF(OR('19_Расчет_аналитики'!AI459=0,24&lt;='01_Вводные'!$B$297),0,'19_Расчет_аналитики'!AI459*IF('01_Вводные'!$B$239="Да",MeanMinAge24+'19_Расчет_аналитики'!AI559*SUMIF(ThresholdAge24,"&lt;"&amp;'19_Расчет_аналитики'!AI559,WeightedRevAge24)-SUMIF(ThresholdAge24,"&lt;"&amp;'19_Расчет_аналитики'!AI559,WeightedMinAge24),MAX(CapacityAge24*'01_Вводные'!$B$218*'19_Расчет_аналитики'!AI559,MeanMinAge24)))</f>
        <v/>
      </c>
      <c r="AJ487">
        <f>IF(OR('19_Расчет_аналитики'!AJ459=0,24&lt;='01_Вводные'!$B$297),0,'19_Расчет_аналитики'!AJ459*IF('01_Вводные'!$B$239="Да",MeanMinAge24+'19_Расчет_аналитики'!AJ559*SUMIF(ThresholdAge24,"&lt;"&amp;'19_Расчет_аналитики'!AJ559,WeightedRevAge24)-SUMIF(ThresholdAge24,"&lt;"&amp;'19_Расчет_аналитики'!AJ559,WeightedMinAge24),MAX(CapacityAge24*'01_Вводные'!$B$218*'19_Расчет_аналитики'!AJ559,MeanMinAge24)))</f>
        <v/>
      </c>
      <c r="AK487">
        <f>IF(OR('19_Расчет_аналитики'!AK459=0,24&lt;='01_Вводные'!$B$297),0,'19_Расчет_аналитики'!AK459*IF('01_Вводные'!$B$239="Да",MeanMinAge24+'19_Расчет_аналитики'!AK559*SUMIF(ThresholdAge24,"&lt;"&amp;'19_Расчет_аналитики'!AK559,WeightedRevAge24)-SUMIF(ThresholdAge24,"&lt;"&amp;'19_Расчет_аналитики'!AK559,WeightedMinAge24),MAX(CapacityAge24*'01_Вводные'!$B$218*'19_Расчет_аналитики'!AK559,MeanMinAge24)))</f>
        <v/>
      </c>
      <c r="AL487">
        <f>IF(OR('19_Расчет_аналитики'!AL459=0,24&lt;='01_Вводные'!$B$297),0,'19_Расчет_аналитики'!AL459*IF('01_Вводные'!$B$239="Да",MeanMinAge24+'19_Расчет_аналитики'!AL559*SUMIF(ThresholdAge24,"&lt;"&amp;'19_Расчет_аналитики'!AL559,WeightedRevAge24)-SUMIF(ThresholdAge24,"&lt;"&amp;'19_Расчет_аналитики'!AL559,WeightedMinAge24),MAX(CapacityAge24*'01_Вводные'!$B$218*'19_Расчет_аналитики'!AL559,MeanMinAge24)))</f>
        <v/>
      </c>
      <c r="AM487">
        <f>IF(OR('19_Расчет_аналитики'!AM459=0,24&lt;='01_Вводные'!$B$297),0,'19_Расчет_аналитики'!AM459*IF('01_Вводные'!$B$239="Да",MeanMinAge24+'19_Расчет_аналитики'!AM559*SUMIF(ThresholdAge24,"&lt;"&amp;'19_Расчет_аналитики'!AM559,WeightedRevAge24)-SUMIF(ThresholdAge24,"&lt;"&amp;'19_Расчет_аналитики'!AM559,WeightedMinAge24),MAX(CapacityAge24*'01_Вводные'!$B$218*'19_Расчет_аналитики'!AM559,MeanMinAge24)))</f>
        <v/>
      </c>
      <c r="AN487">
        <f>IF(OR('19_Расчет_аналитики'!AN459=0,24&lt;='01_Вводные'!$B$297),0,'19_Расчет_аналитики'!AN459*IF('01_Вводные'!$B$239="Да",MeanMinAge24+'19_Расчет_аналитики'!AN559*SUMIF(ThresholdAge24,"&lt;"&amp;'19_Расчет_аналитики'!AN559,WeightedRevAge24)-SUMIF(ThresholdAge24,"&lt;"&amp;'19_Расчет_аналитики'!AN559,WeightedMinAge24),MAX(CapacityAge24*'01_Вводные'!$B$218*'19_Расчет_аналитики'!AN559,MeanMinAge24)))</f>
        <v/>
      </c>
      <c r="AO487">
        <f>IF(OR('19_Расчет_аналитики'!AO459=0,24&lt;='01_Вводные'!$B$297),0,'19_Расчет_аналитики'!AO459*IF('01_Вводные'!$B$239="Да",MeanMinAge24+'19_Расчет_аналитики'!AO559*SUMIF(ThresholdAge24,"&lt;"&amp;'19_Расчет_аналитики'!AO559,WeightedRevAge24)-SUMIF(ThresholdAge24,"&lt;"&amp;'19_Расчет_аналитики'!AO559,WeightedMinAge24),MAX(CapacityAge24*'01_Вводные'!$B$218*'19_Расчет_аналитики'!AO559,MeanMinAge24)))</f>
        <v/>
      </c>
      <c r="AP487">
        <f>IF(OR('19_Расчет_аналитики'!AP459=0,24&lt;='01_Вводные'!$B$297),0,'19_Расчет_аналитики'!AP459*IF('01_Вводные'!$B$239="Да",MeanMinAge24+'19_Расчет_аналитики'!AP559*SUMIF(ThresholdAge24,"&lt;"&amp;'19_Расчет_аналитики'!AP559,WeightedRevAge24)-SUMIF(ThresholdAge24,"&lt;"&amp;'19_Расчет_аналитики'!AP559,WeightedMinAge24),MAX(CapacityAge24*'01_Вводные'!$B$218*'19_Расчет_аналитики'!AP559,MeanMinAge24)))</f>
        <v/>
      </c>
      <c r="AQ487">
        <f>IF(OR('19_Расчет_аналитики'!AQ459=0,24&lt;='01_Вводные'!$B$297),0,'19_Расчет_аналитики'!AQ459*IF('01_Вводные'!$B$239="Да",MeanMinAge24+'19_Расчет_аналитики'!AQ559*SUMIF(ThresholdAge24,"&lt;"&amp;'19_Расчет_аналитики'!AQ559,WeightedRevAge24)-SUMIF(ThresholdAge24,"&lt;"&amp;'19_Расчет_аналитики'!AQ559,WeightedMinAge24),MAX(CapacityAge24*'01_Вводные'!$B$218*'19_Расчет_аналитики'!AQ559,MeanMinAge24)))</f>
        <v/>
      </c>
      <c r="AR487">
        <f>IF(OR('19_Расчет_аналитики'!AR459=0,24&lt;='01_Вводные'!$B$297),0,'19_Расчет_аналитики'!AR459*IF('01_Вводные'!$B$239="Да",MeanMinAge24+'19_Расчет_аналитики'!AR559*SUMIF(ThresholdAge24,"&lt;"&amp;'19_Расчет_аналитики'!AR559,WeightedRevAge24)-SUMIF(ThresholdAge24,"&lt;"&amp;'19_Расчет_аналитики'!AR559,WeightedMinAge24),MAX(CapacityAge24*'01_Вводные'!$B$218*'19_Расчет_аналитики'!AR559,MeanMinAge24)))</f>
        <v/>
      </c>
      <c r="AS487">
        <f>IF(OR('19_Расчет_аналитики'!AS459=0,24&lt;='01_Вводные'!$B$297),0,'19_Расчет_аналитики'!AS459*IF('01_Вводные'!$B$239="Да",MeanMinAge24+'19_Расчет_аналитики'!AS559*SUMIF(ThresholdAge24,"&lt;"&amp;'19_Расчет_аналитики'!AS559,WeightedRevAge24)-SUMIF(ThresholdAge24,"&lt;"&amp;'19_Расчет_аналитики'!AS559,WeightedMinAge24),MAX(CapacityAge24*'01_Вводные'!$B$218*'19_Расчет_аналитики'!AS559,MeanMinAge24)))</f>
        <v/>
      </c>
      <c r="AT487">
        <f>IF(OR('19_Расчет_аналитики'!AT459=0,24&lt;='01_Вводные'!$B$297),0,'19_Расчет_аналитики'!AT459*IF('01_Вводные'!$B$239="Да",MeanMinAge24+'19_Расчет_аналитики'!AT559*SUMIF(ThresholdAge24,"&lt;"&amp;'19_Расчет_аналитики'!AT559,WeightedRevAge24)-SUMIF(ThresholdAge24,"&lt;"&amp;'19_Расчет_аналитики'!AT559,WeightedMinAge24),MAX(CapacityAge24*'01_Вводные'!$B$218*'19_Расчет_аналитики'!AT559,MeanMinAge24)))</f>
        <v/>
      </c>
      <c r="AU487">
        <f>IF(OR('19_Расчет_аналитики'!AU459=0,24&lt;='01_Вводные'!$B$297),0,'19_Расчет_аналитики'!AU459*IF('01_Вводные'!$B$239="Да",MeanMinAge24+'19_Расчет_аналитики'!AU559*SUMIF(ThresholdAge24,"&lt;"&amp;'19_Расчет_аналитики'!AU559,WeightedRevAge24)-SUMIF(ThresholdAge24,"&lt;"&amp;'19_Расчет_аналитики'!AU559,WeightedMinAge24),MAX(CapacityAge24*'01_Вводные'!$B$218*'19_Расчет_аналитики'!AU559,MeanMinAge24)))</f>
        <v/>
      </c>
      <c r="AV487">
        <f>IF(OR('19_Расчет_аналитики'!AV459=0,24&lt;='01_Вводные'!$B$297),0,'19_Расчет_аналитики'!AV459*IF('01_Вводные'!$B$239="Да",MeanMinAge24+'19_Расчет_аналитики'!AV559*SUMIF(ThresholdAge24,"&lt;"&amp;'19_Расчет_аналитики'!AV559,WeightedRevAge24)-SUMIF(ThresholdAge24,"&lt;"&amp;'19_Расчет_аналитики'!AV559,WeightedMinAge24),MAX(CapacityAge24*'01_Вводные'!$B$218*'19_Расчет_аналитики'!AV559,MeanMinAge24)))</f>
        <v/>
      </c>
      <c r="AW487">
        <f>IF(OR('19_Расчет_аналитики'!AW459=0,24&lt;='01_Вводные'!$B$297),0,'19_Расчет_аналитики'!AW459*IF('01_Вводные'!$B$239="Да",MeanMinAge24+'19_Расчет_аналитики'!AW559*SUMIF(ThresholdAge24,"&lt;"&amp;'19_Расчет_аналитики'!AW559,WeightedRevAge24)-SUMIF(ThresholdAge24,"&lt;"&amp;'19_Расчет_аналитики'!AW559,WeightedMinAge24),MAX(CapacityAge24*'01_Вводные'!$B$218*'19_Расчет_аналитики'!AW559,MeanMinAge24)))</f>
        <v/>
      </c>
      <c r="AX487">
        <f>IF(OR('19_Расчет_аналитики'!AX459=0,24&lt;='01_Вводные'!$B$297),0,'19_Расчет_аналитики'!AX459*IF('01_Вводные'!$B$239="Да",MeanMinAge24+'19_Расчет_аналитики'!AX559*SUMIF(ThresholdAge24,"&lt;"&amp;'19_Расчет_аналитики'!AX559,WeightedRevAge24)-SUMIF(ThresholdAge24,"&lt;"&amp;'19_Расчет_аналитики'!AX559,WeightedMinAge24),MAX(CapacityAge24*'01_Вводные'!$B$218*'19_Расчет_аналитики'!AX559,MeanMinAge24)))</f>
        <v/>
      </c>
      <c r="AY487">
        <f>IF(OR('19_Расчет_аналитики'!AY459=0,24&lt;='01_Вводные'!$B$297),0,'19_Расчет_аналитики'!AY459*IF('01_Вводные'!$B$239="Да",MeanMinAge24+'19_Расчет_аналитики'!AY559*SUMIF(ThresholdAge24,"&lt;"&amp;'19_Расчет_аналитики'!AY559,WeightedRevAge24)-SUMIF(ThresholdAge24,"&lt;"&amp;'19_Расчет_аналитики'!AY559,WeightedMinAge24),MAX(CapacityAge24*'01_Вводные'!$B$218*'19_Расчет_аналитики'!AY559,MeanMinAge24)))</f>
        <v/>
      </c>
      <c r="AZ487">
        <f>IF(OR('19_Расчет_аналитики'!AZ459=0,24&lt;='01_Вводные'!$B$297),0,'19_Расчет_аналитики'!AZ459*IF('01_Вводные'!$B$239="Да",MeanMinAge24+'19_Расчет_аналитики'!AZ559*SUMIF(ThresholdAge24,"&lt;"&amp;'19_Расчет_аналитики'!AZ559,WeightedRevAge24)-SUMIF(ThresholdAge24,"&lt;"&amp;'19_Расчет_аналитики'!AZ559,WeightedMinAge24),MAX(CapacityAge24*'01_Вводные'!$B$218*'19_Расчет_аналитики'!AZ559,MeanMinAge24)))</f>
        <v/>
      </c>
      <c r="BA487">
        <f>IF(OR('19_Расчет_аналитики'!BA459=0,24&lt;='01_Вводные'!$B$297),0,'19_Расчет_аналитики'!BA459*IF('01_Вводные'!$B$239="Да",MeanMinAge24+'19_Расчет_аналитики'!BA559*SUMIF(ThresholdAge24,"&lt;"&amp;'19_Расчет_аналитики'!BA559,WeightedRevAge24)-SUMIF(ThresholdAge24,"&lt;"&amp;'19_Расчет_аналитики'!BA559,WeightedMinAge24),MAX(CapacityAge24*'01_Вводные'!$B$218*'19_Расчет_аналитики'!BA559,MeanMinAge24)))</f>
        <v/>
      </c>
      <c r="BB487">
        <f>IF(OR('19_Расчет_аналитики'!BB459=0,24&lt;='01_Вводные'!$B$297),0,'19_Расчет_аналитики'!BB459*IF('01_Вводные'!$B$239="Да",MeanMinAge24+'19_Расчет_аналитики'!BB559*SUMIF(ThresholdAge24,"&lt;"&amp;'19_Расчет_аналитики'!BB559,WeightedRevAge24)-SUMIF(ThresholdAge24,"&lt;"&amp;'19_Расчет_аналитики'!BB559,WeightedMinAge24),MAX(CapacityAge24*'01_Вводные'!$B$218*'19_Расчет_аналитики'!BB559,MeanMinAge24)))</f>
        <v/>
      </c>
      <c r="BC487">
        <f>IF(OR('19_Расчет_аналитики'!BC459=0,24&lt;='01_Вводные'!$B$297),0,'19_Расчет_аналитики'!BC459*IF('01_Вводные'!$B$239="Да",MeanMinAge24+'19_Расчет_аналитики'!BC559*SUMIF(ThresholdAge24,"&lt;"&amp;'19_Расчет_аналитики'!BC559,WeightedRevAge24)-SUMIF(ThresholdAge24,"&lt;"&amp;'19_Расчет_аналитики'!BC559,WeightedMinAge24),MAX(CapacityAge24*'01_Вводные'!$B$218*'19_Расчет_аналитики'!BC559,MeanMinAge24)))</f>
        <v/>
      </c>
      <c r="BD487">
        <f>IF(OR('19_Расчет_аналитики'!BD459=0,24&lt;='01_Вводные'!$B$297),0,'19_Расчет_аналитики'!BD459*IF('01_Вводные'!$B$239="Да",MeanMinAge24+'19_Расчет_аналитики'!BD559*SUMIF(ThresholdAge24,"&lt;"&amp;'19_Расчет_аналитики'!BD559,WeightedRevAge24)-SUMIF(ThresholdAge24,"&lt;"&amp;'19_Расчет_аналитики'!BD559,WeightedMinAge24),MAX(CapacityAge24*'01_Вводные'!$B$218*'19_Расчет_аналитики'!BD559,MeanMinAge24)))</f>
        <v/>
      </c>
      <c r="BE487">
        <f>IF(OR('19_Расчет_аналитики'!BE459=0,24&lt;='01_Вводные'!$B$297),0,'19_Расчет_аналитики'!BE459*IF('01_Вводные'!$B$239="Да",MeanMinAge24+'19_Расчет_аналитики'!BE559*SUMIF(ThresholdAge24,"&lt;"&amp;'19_Расчет_аналитики'!BE559,WeightedRevAge24)-SUMIF(ThresholdAge24,"&lt;"&amp;'19_Расчет_аналитики'!BE559,WeightedMinAge24),MAX(CapacityAge24*'01_Вводные'!$B$218*'19_Расчет_аналитики'!BE559,MeanMinAge24)))</f>
        <v/>
      </c>
      <c r="BF487">
        <f>IF(OR('19_Расчет_аналитики'!BF459=0,24&lt;='01_Вводные'!$B$297),0,'19_Расчет_аналитики'!BF459*IF('01_Вводные'!$B$239="Да",MeanMinAge24+'19_Расчет_аналитики'!BF559*SUMIF(ThresholdAge24,"&lt;"&amp;'19_Расчет_аналитики'!BF559,WeightedRevAge24)-SUMIF(ThresholdAge24,"&lt;"&amp;'19_Расчет_аналитики'!BF559,WeightedMinAge24),MAX(CapacityAge24*'01_Вводные'!$B$218*'19_Расчет_аналитики'!BF559,MeanMinAge24)))</f>
        <v/>
      </c>
      <c r="BG487">
        <f>IF(OR('19_Расчет_аналитики'!BG459=0,24&lt;='01_Вводные'!$B$297),0,'19_Расчет_аналитики'!BG459*IF('01_Вводные'!$B$239="Да",MeanMinAge24+'19_Расчет_аналитики'!BG559*SUMIF(ThresholdAge24,"&lt;"&amp;'19_Расчет_аналитики'!BG559,WeightedRevAge24)-SUMIF(ThresholdAge24,"&lt;"&amp;'19_Расчет_аналитики'!BG559,WeightedMinAge24),MAX(CapacityAge24*'01_Вводные'!$B$218*'19_Расчет_аналитики'!BG559,MeanMinAge24)))</f>
        <v/>
      </c>
      <c r="BH487">
        <f>IF(OR('19_Расчет_аналитики'!BH459=0,24&lt;='01_Вводные'!$B$297),0,'19_Расчет_аналитики'!BH459*IF('01_Вводные'!$B$239="Да",MeanMinAge24+'19_Расчет_аналитики'!BH559*SUMIF(ThresholdAge24,"&lt;"&amp;'19_Расчет_аналитики'!BH559,WeightedRevAge24)-SUMIF(ThresholdAge24,"&lt;"&amp;'19_Расчет_аналитики'!BH559,WeightedMinAge24),MAX(CapacityAge24*'01_Вводные'!$B$218*'19_Расчет_аналитики'!BH559,MeanMinAge24)))</f>
        <v/>
      </c>
      <c r="BI487">
        <f>IF(OR('19_Расчет_аналитики'!BI459=0,24&lt;='01_Вводные'!$B$297),0,'19_Расчет_аналитики'!BI459*IF('01_Вводные'!$B$239="Да",MeanMinAge24+'19_Расчет_аналитики'!BI559*SUMIF(ThresholdAge24,"&lt;"&amp;'19_Расчет_аналитики'!BI559,WeightedRevAge24)-SUMIF(ThresholdAge24,"&lt;"&amp;'19_Расчет_аналитики'!BI559,WeightedMinAge24),MAX(CapacityAge24*'01_Вводные'!$B$218*'19_Расчет_аналитики'!BI559,MeanMinAge24)))</f>
        <v/>
      </c>
      <c r="BJ487">
        <f>IF(OR('19_Расчет_аналитики'!BJ459=0,24&lt;='01_Вводные'!$B$297),0,'19_Расчет_аналитики'!BJ459*IF('01_Вводные'!$B$239="Да",MeanMinAge24+'19_Расчет_аналитики'!BJ559*SUMIF(ThresholdAge24,"&lt;"&amp;'19_Расчет_аналитики'!BJ559,WeightedRevAge24)-SUMIF(ThresholdAge24,"&lt;"&amp;'19_Расчет_аналитики'!BJ559,WeightedMinAge24),MAX(CapacityAge24*'01_Вводные'!$B$218*'19_Расчет_аналитики'!BJ559,MeanMinAge24)))</f>
        <v/>
      </c>
      <c r="BK487">
        <f>IF(OR('19_Расчет_аналитики'!BK459=0,24&lt;='01_Вводные'!$B$297),0,'19_Расчет_аналитики'!BK459*IF('01_Вводные'!$B$239="Да",MeanMinAge24+'19_Расчет_аналитики'!BK559*SUMIF(ThresholdAge24,"&lt;"&amp;'19_Расчет_аналитики'!BK559,WeightedRevAge24)-SUMIF(ThresholdAge24,"&lt;"&amp;'19_Расчет_аналитики'!BK559,WeightedMinAge24),MAX(CapacityAge24*'01_Вводные'!$B$218*'19_Расчет_аналитики'!BK559,MeanMinAge24)))</f>
        <v/>
      </c>
      <c r="BL487">
        <f>IF(OR('19_Расчет_аналитики'!BL459=0,24&lt;='01_Вводные'!$B$297),0,'19_Расчет_аналитики'!BL459*IF('01_Вводные'!$B$239="Да",MeanMinAge24+'19_Расчет_аналитики'!BL559*SUMIF(ThresholdAge24,"&lt;"&amp;'19_Расчет_аналитики'!BL559,WeightedRevAge24)-SUMIF(ThresholdAge24,"&lt;"&amp;'19_Расчет_аналитики'!BL559,WeightedMinAge24),MAX(CapacityAge24*'01_Вводные'!$B$218*'19_Расчет_аналитики'!BL559,MeanMinAge24)))</f>
        <v/>
      </c>
      <c r="BM487">
        <f>IF(OR('19_Расчет_аналитики'!BM459=0,24&lt;='01_Вводные'!$B$297),0,'19_Расчет_аналитики'!BM459*IF('01_Вводные'!$B$239="Да",MeanMinAge24+'19_Расчет_аналитики'!BM559*SUMIF(ThresholdAge24,"&lt;"&amp;'19_Расчет_аналитики'!BM559,WeightedRevAge24)-SUMIF(ThresholdAge24,"&lt;"&amp;'19_Расчет_аналитики'!BM559,WeightedMinAge24),MAX(CapacityAge24*'01_Вводные'!$B$218*'19_Расчет_аналитики'!BM559,MeanMinAge24)))</f>
        <v/>
      </c>
      <c r="BN487">
        <f>IF(OR('19_Расчет_аналитики'!BN459=0,24&lt;='01_Вводные'!$B$297),0,'19_Расчет_аналитики'!BN459*IF('01_Вводные'!$B$239="Да",MeanMinAge24+'19_Расчет_аналитики'!BN559*SUMIF(ThresholdAge24,"&lt;"&amp;'19_Расчет_аналитики'!BN559,WeightedRevAge24)-SUMIF(ThresholdAge24,"&lt;"&amp;'19_Расчет_аналитики'!BN559,WeightedMinAge24),MAX(CapacityAge24*'01_Вводные'!$B$218*'19_Расчет_аналитики'!BN559,MeanMinAge24)))</f>
        <v/>
      </c>
      <c r="BO487">
        <f>IF(OR('19_Расчет_аналитики'!BO459=0,24&lt;='01_Вводные'!$B$297),0,'19_Расчет_аналитики'!BO459*IF('01_Вводные'!$B$239="Да",MeanMinAge24+'19_Расчет_аналитики'!BO559*SUMIF(ThresholdAge24,"&lt;"&amp;'19_Расчет_аналитики'!BO559,WeightedRevAge24)-SUMIF(ThresholdAge24,"&lt;"&amp;'19_Расчет_аналитики'!BO559,WeightedMinAge24),MAX(CapacityAge24*'01_Вводные'!$B$218*'19_Расчет_аналитики'!BO559,MeanMinAge24)))</f>
        <v/>
      </c>
    </row>
    <row r="488">
      <c r="B488">
        <f>IF(OR('06_Сеть_и_дети'!B105=0,25&lt;='01_Вводные'!$B$297),0,'06_Сеть_и_дети'!B105*IF('01_Вводные'!$B$239="Да",MeanMinAge25+'19_Расчет_аналитики'!B559*SUMIF(ThresholdAge25,"&lt;"&amp;'19_Расчет_аналитики'!B559,WeightedRevAge25)-SUMIF(ThresholdAge25,"&lt;"&amp;'19_Расчет_аналитики'!B559,WeightedMinAge25),MAX(CapacityAge25*'01_Вводные'!$B$218*'19_Расчет_аналитики'!B559,MeanMinAge25)))</f>
        <v/>
      </c>
      <c r="C488">
        <f>IF(OR('06_Сеть_и_дети'!C105=0,25&lt;='01_Вводные'!$B$297),0,'06_Сеть_и_дети'!C105*IF('01_Вводные'!$B$239="Да",MeanMinAge25+'19_Расчет_аналитики'!C559*SUMIF(ThresholdAge25,"&lt;"&amp;'19_Расчет_аналитики'!C559,WeightedRevAge25)-SUMIF(ThresholdAge25,"&lt;"&amp;'19_Расчет_аналитики'!C559,WeightedMinAge25),MAX(CapacityAge25*'01_Вводные'!$B$218*'19_Расчет_аналитики'!C559,MeanMinAge25)))</f>
        <v/>
      </c>
      <c r="D488">
        <f>IF(OR('06_Сеть_и_дети'!D105=0,25&lt;='01_Вводные'!$B$297),0,'06_Сеть_и_дети'!D105*IF('01_Вводные'!$B$239="Да",MeanMinAge25+'19_Расчет_аналитики'!D559*SUMIF(ThresholdAge25,"&lt;"&amp;'19_Расчет_аналитики'!D559,WeightedRevAge25)-SUMIF(ThresholdAge25,"&lt;"&amp;'19_Расчет_аналитики'!D559,WeightedMinAge25),MAX(CapacityAge25*'01_Вводные'!$B$218*'19_Расчет_аналитики'!D559,MeanMinAge25)))</f>
        <v/>
      </c>
      <c r="E488">
        <f>IF(OR('06_Сеть_и_дети'!E105=0,25&lt;='01_Вводные'!$B$297),0,'06_Сеть_и_дети'!E105*IF('01_Вводные'!$B$239="Да",MeanMinAge25+'19_Расчет_аналитики'!E559*SUMIF(ThresholdAge25,"&lt;"&amp;'19_Расчет_аналитики'!E559,WeightedRevAge25)-SUMIF(ThresholdAge25,"&lt;"&amp;'19_Расчет_аналитики'!E559,WeightedMinAge25),MAX(CapacityAge25*'01_Вводные'!$B$218*'19_Расчет_аналитики'!E559,MeanMinAge25)))</f>
        <v/>
      </c>
      <c r="F488">
        <f>IF(OR('06_Сеть_и_дети'!F105=0,25&lt;='01_Вводные'!$B$297),0,'06_Сеть_и_дети'!F105*IF('01_Вводные'!$B$239="Да",MeanMinAge25+'19_Расчет_аналитики'!F559*SUMIF(ThresholdAge25,"&lt;"&amp;'19_Расчет_аналитики'!F559,WeightedRevAge25)-SUMIF(ThresholdAge25,"&lt;"&amp;'19_Расчет_аналитики'!F559,WeightedMinAge25),MAX(CapacityAge25*'01_Вводные'!$B$218*'19_Расчет_аналитики'!F559,MeanMinAge25)))</f>
        <v/>
      </c>
      <c r="G488">
        <f>IF(OR('06_Сеть_и_дети'!G105=0,25&lt;='01_Вводные'!$B$297),0,'06_Сеть_и_дети'!G105*IF('01_Вводные'!$B$239="Да",MeanMinAge25+'19_Расчет_аналитики'!G559*SUMIF(ThresholdAge25,"&lt;"&amp;'19_Расчет_аналитики'!G559,WeightedRevAge25)-SUMIF(ThresholdAge25,"&lt;"&amp;'19_Расчет_аналитики'!G559,WeightedMinAge25),MAX(CapacityAge25*'01_Вводные'!$B$218*'19_Расчет_аналитики'!G559,MeanMinAge25)))</f>
        <v/>
      </c>
      <c r="H488">
        <f>IF(OR('06_Сеть_и_дети'!H105=0,25&lt;='01_Вводные'!$B$297),0,'06_Сеть_и_дети'!H105*IF('01_Вводные'!$B$239="Да",MeanMinAge25+'19_Расчет_аналитики'!H559*SUMIF(ThresholdAge25,"&lt;"&amp;'19_Расчет_аналитики'!H559,WeightedRevAge25)-SUMIF(ThresholdAge25,"&lt;"&amp;'19_Расчет_аналитики'!H559,WeightedMinAge25),MAX(CapacityAge25*'01_Вводные'!$B$218*'19_Расчет_аналитики'!H559,MeanMinAge25)))</f>
        <v/>
      </c>
      <c r="I488">
        <f>IF(OR('06_Сеть_и_дети'!I105=0,25&lt;='01_Вводные'!$B$297),0,'06_Сеть_и_дети'!I105*IF('01_Вводные'!$B$239="Да",MeanMinAge25+'19_Расчет_аналитики'!I559*SUMIF(ThresholdAge25,"&lt;"&amp;'19_Расчет_аналитики'!I559,WeightedRevAge25)-SUMIF(ThresholdAge25,"&lt;"&amp;'19_Расчет_аналитики'!I559,WeightedMinAge25),MAX(CapacityAge25*'01_Вводные'!$B$218*'19_Расчет_аналитики'!I559,MeanMinAge25)))</f>
        <v/>
      </c>
      <c r="J488">
        <f>IF(OR('06_Сеть_и_дети'!J105=0,25&lt;='01_Вводные'!$B$297),0,'06_Сеть_и_дети'!J105*IF('01_Вводные'!$B$239="Да",MeanMinAge25+'19_Расчет_аналитики'!J559*SUMIF(ThresholdAge25,"&lt;"&amp;'19_Расчет_аналитики'!J559,WeightedRevAge25)-SUMIF(ThresholdAge25,"&lt;"&amp;'19_Расчет_аналитики'!J559,WeightedMinAge25),MAX(CapacityAge25*'01_Вводные'!$B$218*'19_Расчет_аналитики'!J559,MeanMinAge25)))</f>
        <v/>
      </c>
      <c r="K488">
        <f>IF(OR('06_Сеть_и_дети'!K105=0,25&lt;='01_Вводные'!$B$297),0,'06_Сеть_и_дети'!K105*IF('01_Вводные'!$B$239="Да",MeanMinAge25+'19_Расчет_аналитики'!K559*SUMIF(ThresholdAge25,"&lt;"&amp;'19_Расчет_аналитики'!K559,WeightedRevAge25)-SUMIF(ThresholdAge25,"&lt;"&amp;'19_Расчет_аналитики'!K559,WeightedMinAge25),MAX(CapacityAge25*'01_Вводные'!$B$218*'19_Расчет_аналитики'!K559,MeanMinAge25)))</f>
        <v/>
      </c>
      <c r="L488">
        <f>IF(OR('06_Сеть_и_дети'!L105=0,25&lt;='01_Вводные'!$B$297),0,'06_Сеть_и_дети'!L105*IF('01_Вводные'!$B$239="Да",MeanMinAge25+'19_Расчет_аналитики'!L559*SUMIF(ThresholdAge25,"&lt;"&amp;'19_Расчет_аналитики'!L559,WeightedRevAge25)-SUMIF(ThresholdAge25,"&lt;"&amp;'19_Расчет_аналитики'!L559,WeightedMinAge25),MAX(CapacityAge25*'01_Вводные'!$B$218*'19_Расчет_аналитики'!L559,MeanMinAge25)))</f>
        <v/>
      </c>
      <c r="M488">
        <f>IF(OR('06_Сеть_и_дети'!M105=0,25&lt;='01_Вводные'!$B$297),0,'06_Сеть_и_дети'!M105*IF('01_Вводные'!$B$239="Да",MeanMinAge25+'19_Расчет_аналитики'!M559*SUMIF(ThresholdAge25,"&lt;"&amp;'19_Расчет_аналитики'!M559,WeightedRevAge25)-SUMIF(ThresholdAge25,"&lt;"&amp;'19_Расчет_аналитики'!M559,WeightedMinAge25),MAX(CapacityAge25*'01_Вводные'!$B$218*'19_Расчет_аналитики'!M559,MeanMinAge25)))</f>
        <v/>
      </c>
      <c r="N488">
        <f>IF(OR('06_Сеть_и_дети'!N105=0,25&lt;='01_Вводные'!$B$297),0,'06_Сеть_и_дети'!N105*IF('01_Вводные'!$B$239="Да",MeanMinAge25+'19_Расчет_аналитики'!N559*SUMIF(ThresholdAge25,"&lt;"&amp;'19_Расчет_аналитики'!N559,WeightedRevAge25)-SUMIF(ThresholdAge25,"&lt;"&amp;'19_Расчет_аналитики'!N559,WeightedMinAge25),MAX(CapacityAge25*'01_Вводные'!$B$218*'19_Расчет_аналитики'!N559,MeanMinAge25)))</f>
        <v/>
      </c>
      <c r="O488">
        <f>IF(OR('06_Сеть_и_дети'!O105=0,25&lt;='01_Вводные'!$B$297),0,'06_Сеть_и_дети'!O105*IF('01_Вводные'!$B$239="Да",MeanMinAge25+'19_Расчет_аналитики'!O559*SUMIF(ThresholdAge25,"&lt;"&amp;'19_Расчет_аналитики'!O559,WeightedRevAge25)-SUMIF(ThresholdAge25,"&lt;"&amp;'19_Расчет_аналитики'!O559,WeightedMinAge25),MAX(CapacityAge25*'01_Вводные'!$B$218*'19_Расчет_аналитики'!O559,MeanMinAge25)))</f>
        <v/>
      </c>
      <c r="P488">
        <f>IF(OR('06_Сеть_и_дети'!P105=0,25&lt;='01_Вводные'!$B$297),0,'06_Сеть_и_дети'!P105*IF('01_Вводные'!$B$239="Да",MeanMinAge25+'19_Расчет_аналитики'!P559*SUMIF(ThresholdAge25,"&lt;"&amp;'19_Расчет_аналитики'!P559,WeightedRevAge25)-SUMIF(ThresholdAge25,"&lt;"&amp;'19_Расчет_аналитики'!P559,WeightedMinAge25),MAX(CapacityAge25*'01_Вводные'!$B$218*'19_Расчет_аналитики'!P559,MeanMinAge25)))</f>
        <v/>
      </c>
      <c r="Q488">
        <f>IF(OR('06_Сеть_и_дети'!Q105=0,25&lt;='01_Вводные'!$B$297),0,'06_Сеть_и_дети'!Q105*IF('01_Вводные'!$B$239="Да",MeanMinAge25+'19_Расчет_аналитики'!Q559*SUMIF(ThresholdAge25,"&lt;"&amp;'19_Расчет_аналитики'!Q559,WeightedRevAge25)-SUMIF(ThresholdAge25,"&lt;"&amp;'19_Расчет_аналитики'!Q559,WeightedMinAge25),MAX(CapacityAge25*'01_Вводные'!$B$218*'19_Расчет_аналитики'!Q559,MeanMinAge25)))</f>
        <v/>
      </c>
      <c r="R488">
        <f>IF(OR('06_Сеть_и_дети'!R105=0,25&lt;='01_Вводные'!$B$297),0,'06_Сеть_и_дети'!R105*IF('01_Вводные'!$B$239="Да",MeanMinAge25+'19_Расчет_аналитики'!R559*SUMIF(ThresholdAge25,"&lt;"&amp;'19_Расчет_аналитики'!R559,WeightedRevAge25)-SUMIF(ThresholdAge25,"&lt;"&amp;'19_Расчет_аналитики'!R559,WeightedMinAge25),MAX(CapacityAge25*'01_Вводные'!$B$218*'19_Расчет_аналитики'!R559,MeanMinAge25)))</f>
        <v/>
      </c>
      <c r="S488">
        <f>IF(OR('06_Сеть_и_дети'!S105=0,25&lt;='01_Вводные'!$B$297),0,'06_Сеть_и_дети'!S105*IF('01_Вводные'!$B$239="Да",MeanMinAge25+'19_Расчет_аналитики'!S559*SUMIF(ThresholdAge25,"&lt;"&amp;'19_Расчет_аналитики'!S559,WeightedRevAge25)-SUMIF(ThresholdAge25,"&lt;"&amp;'19_Расчет_аналитики'!S559,WeightedMinAge25),MAX(CapacityAge25*'01_Вводные'!$B$218*'19_Расчет_аналитики'!S559,MeanMinAge25)))</f>
        <v/>
      </c>
      <c r="T488">
        <f>IF(OR('06_Сеть_и_дети'!T105=0,25&lt;='01_Вводные'!$B$297),0,'06_Сеть_и_дети'!T105*IF('01_Вводные'!$B$239="Да",MeanMinAge25+'19_Расчет_аналитики'!T559*SUMIF(ThresholdAge25,"&lt;"&amp;'19_Расчет_аналитики'!T559,WeightedRevAge25)-SUMIF(ThresholdAge25,"&lt;"&amp;'19_Расчет_аналитики'!T559,WeightedMinAge25),MAX(CapacityAge25*'01_Вводные'!$B$218*'19_Расчет_аналитики'!T559,MeanMinAge25)))</f>
        <v/>
      </c>
      <c r="U488">
        <f>IF(OR('06_Сеть_и_дети'!U105=0,25&lt;='01_Вводные'!$B$297),0,'06_Сеть_и_дети'!U105*IF('01_Вводные'!$B$239="Да",MeanMinAge25+'19_Расчет_аналитики'!U559*SUMIF(ThresholdAge25,"&lt;"&amp;'19_Расчет_аналитики'!U559,WeightedRevAge25)-SUMIF(ThresholdAge25,"&lt;"&amp;'19_Расчет_аналитики'!U559,WeightedMinAge25),MAX(CapacityAge25*'01_Вводные'!$B$218*'19_Расчет_аналитики'!U559,MeanMinAge25)))</f>
        <v/>
      </c>
      <c r="V488">
        <f>IF(OR('06_Сеть_и_дети'!V105=0,25&lt;='01_Вводные'!$B$297),0,'06_Сеть_и_дети'!V105*IF('01_Вводные'!$B$239="Да",MeanMinAge25+'19_Расчет_аналитики'!V559*SUMIF(ThresholdAge25,"&lt;"&amp;'19_Расчет_аналитики'!V559,WeightedRevAge25)-SUMIF(ThresholdAge25,"&lt;"&amp;'19_Расчет_аналитики'!V559,WeightedMinAge25),MAX(CapacityAge25*'01_Вводные'!$B$218*'19_Расчет_аналитики'!V559,MeanMinAge25)))</f>
        <v/>
      </c>
      <c r="W488">
        <f>IF(OR('06_Сеть_и_дети'!W105=0,25&lt;='01_Вводные'!$B$297),0,'06_Сеть_и_дети'!W105*IF('01_Вводные'!$B$239="Да",MeanMinAge25+'19_Расчет_аналитики'!W559*SUMIF(ThresholdAge25,"&lt;"&amp;'19_Расчет_аналитики'!W559,WeightedRevAge25)-SUMIF(ThresholdAge25,"&lt;"&amp;'19_Расчет_аналитики'!W559,WeightedMinAge25),MAX(CapacityAge25*'01_Вводные'!$B$218*'19_Расчет_аналитики'!W559,MeanMinAge25)))</f>
        <v/>
      </c>
      <c r="X488">
        <f>IF(OR('06_Сеть_и_дети'!X105=0,25&lt;='01_Вводные'!$B$297),0,'06_Сеть_и_дети'!X105*IF('01_Вводные'!$B$239="Да",MeanMinAge25+'19_Расчет_аналитики'!X559*SUMIF(ThresholdAge25,"&lt;"&amp;'19_Расчет_аналитики'!X559,WeightedRevAge25)-SUMIF(ThresholdAge25,"&lt;"&amp;'19_Расчет_аналитики'!X559,WeightedMinAge25),MAX(CapacityAge25*'01_Вводные'!$B$218*'19_Расчет_аналитики'!X559,MeanMinAge25)))</f>
        <v/>
      </c>
      <c r="Y488">
        <f>IF(OR('06_Сеть_и_дети'!Y105=0,25&lt;='01_Вводные'!$B$297),0,'06_Сеть_и_дети'!Y105*IF('01_Вводные'!$B$239="Да",MeanMinAge25+'19_Расчет_аналитики'!Y559*SUMIF(ThresholdAge25,"&lt;"&amp;'19_Расчет_аналитики'!Y559,WeightedRevAge25)-SUMIF(ThresholdAge25,"&lt;"&amp;'19_Расчет_аналитики'!Y559,WeightedMinAge25),MAX(CapacityAge25*'01_Вводные'!$B$218*'19_Расчет_аналитики'!Y559,MeanMinAge25)))</f>
        <v/>
      </c>
      <c r="Z488">
        <f>IF(OR('19_Расчет_аналитики'!Z460=0,25&lt;='01_Вводные'!$B$297),0,'19_Расчет_аналитики'!Z460*IF('01_Вводные'!$B$239="Да",MeanMinAge25+'19_Расчет_аналитики'!Z559*SUMIF(ThresholdAge25,"&lt;"&amp;'19_Расчет_аналитики'!Z559,WeightedRevAge25)-SUMIF(ThresholdAge25,"&lt;"&amp;'19_Расчет_аналитики'!Z559,WeightedMinAge25),MAX(CapacityAge25*'01_Вводные'!$B$218*'19_Расчет_аналитики'!Z559,MeanMinAge25)))</f>
        <v/>
      </c>
      <c r="AA488">
        <f>IF(OR('19_Расчет_аналитики'!AA460=0,25&lt;='01_Вводные'!$B$297),0,'19_Расчет_аналитики'!AA460*IF('01_Вводные'!$B$239="Да",MeanMinAge25+'19_Расчет_аналитики'!AA559*SUMIF(ThresholdAge25,"&lt;"&amp;'19_Расчет_аналитики'!AA559,WeightedRevAge25)-SUMIF(ThresholdAge25,"&lt;"&amp;'19_Расчет_аналитики'!AA559,WeightedMinAge25),MAX(CapacityAge25*'01_Вводные'!$B$218*'19_Расчет_аналитики'!AA559,MeanMinAge25)))</f>
        <v/>
      </c>
      <c r="AB488">
        <f>IF(OR('19_Расчет_аналитики'!AB460=0,25&lt;='01_Вводные'!$B$297),0,'19_Расчет_аналитики'!AB460*IF('01_Вводные'!$B$239="Да",MeanMinAge25+'19_Расчет_аналитики'!AB559*SUMIF(ThresholdAge25,"&lt;"&amp;'19_Расчет_аналитики'!AB559,WeightedRevAge25)-SUMIF(ThresholdAge25,"&lt;"&amp;'19_Расчет_аналитики'!AB559,WeightedMinAge25),MAX(CapacityAge25*'01_Вводные'!$B$218*'19_Расчет_аналитики'!AB559,MeanMinAge25)))</f>
        <v/>
      </c>
      <c r="AC488">
        <f>IF(OR('19_Расчет_аналитики'!AC460=0,25&lt;='01_Вводные'!$B$297),0,'19_Расчет_аналитики'!AC460*IF('01_Вводные'!$B$239="Да",MeanMinAge25+'19_Расчет_аналитики'!AC559*SUMIF(ThresholdAge25,"&lt;"&amp;'19_Расчет_аналитики'!AC559,WeightedRevAge25)-SUMIF(ThresholdAge25,"&lt;"&amp;'19_Расчет_аналитики'!AC559,WeightedMinAge25),MAX(CapacityAge25*'01_Вводные'!$B$218*'19_Расчет_аналитики'!AC559,MeanMinAge25)))</f>
        <v/>
      </c>
      <c r="AD488">
        <f>IF(OR('19_Расчет_аналитики'!AD460=0,25&lt;='01_Вводные'!$B$297),0,'19_Расчет_аналитики'!AD460*IF('01_Вводные'!$B$239="Да",MeanMinAge25+'19_Расчет_аналитики'!AD559*SUMIF(ThresholdAge25,"&lt;"&amp;'19_Расчет_аналитики'!AD559,WeightedRevAge25)-SUMIF(ThresholdAge25,"&lt;"&amp;'19_Расчет_аналитики'!AD559,WeightedMinAge25),MAX(CapacityAge25*'01_Вводные'!$B$218*'19_Расчет_аналитики'!AD559,MeanMinAge25)))</f>
        <v/>
      </c>
      <c r="AE488">
        <f>IF(OR('19_Расчет_аналитики'!AE460=0,25&lt;='01_Вводные'!$B$297),0,'19_Расчет_аналитики'!AE460*IF('01_Вводные'!$B$239="Да",MeanMinAge25+'19_Расчет_аналитики'!AE559*SUMIF(ThresholdAge25,"&lt;"&amp;'19_Расчет_аналитики'!AE559,WeightedRevAge25)-SUMIF(ThresholdAge25,"&lt;"&amp;'19_Расчет_аналитики'!AE559,WeightedMinAge25),MAX(CapacityAge25*'01_Вводные'!$B$218*'19_Расчет_аналитики'!AE559,MeanMinAge25)))</f>
        <v/>
      </c>
      <c r="AF488">
        <f>IF(OR('19_Расчет_аналитики'!AF460=0,25&lt;='01_Вводные'!$B$297),0,'19_Расчет_аналитики'!AF460*IF('01_Вводные'!$B$239="Да",MeanMinAge25+'19_Расчет_аналитики'!AF559*SUMIF(ThresholdAge25,"&lt;"&amp;'19_Расчет_аналитики'!AF559,WeightedRevAge25)-SUMIF(ThresholdAge25,"&lt;"&amp;'19_Расчет_аналитики'!AF559,WeightedMinAge25),MAX(CapacityAge25*'01_Вводные'!$B$218*'19_Расчет_аналитики'!AF559,MeanMinAge25)))</f>
        <v/>
      </c>
      <c r="AG488">
        <f>IF(OR('19_Расчет_аналитики'!AG460=0,25&lt;='01_Вводные'!$B$297),0,'19_Расчет_аналитики'!AG460*IF('01_Вводные'!$B$239="Да",MeanMinAge25+'19_Расчет_аналитики'!AG559*SUMIF(ThresholdAge25,"&lt;"&amp;'19_Расчет_аналитики'!AG559,WeightedRevAge25)-SUMIF(ThresholdAge25,"&lt;"&amp;'19_Расчет_аналитики'!AG559,WeightedMinAge25),MAX(CapacityAge25*'01_Вводные'!$B$218*'19_Расчет_аналитики'!AG559,MeanMinAge25)))</f>
        <v/>
      </c>
      <c r="AH488">
        <f>IF(OR('19_Расчет_аналитики'!AH460=0,25&lt;='01_Вводные'!$B$297),0,'19_Расчет_аналитики'!AH460*IF('01_Вводные'!$B$239="Да",MeanMinAge25+'19_Расчет_аналитики'!AH559*SUMIF(ThresholdAge25,"&lt;"&amp;'19_Расчет_аналитики'!AH559,WeightedRevAge25)-SUMIF(ThresholdAge25,"&lt;"&amp;'19_Расчет_аналитики'!AH559,WeightedMinAge25),MAX(CapacityAge25*'01_Вводные'!$B$218*'19_Расчет_аналитики'!AH559,MeanMinAge25)))</f>
        <v/>
      </c>
      <c r="AI488">
        <f>IF(OR('19_Расчет_аналитики'!AI460=0,25&lt;='01_Вводные'!$B$297),0,'19_Расчет_аналитики'!AI460*IF('01_Вводные'!$B$239="Да",MeanMinAge25+'19_Расчет_аналитики'!AI559*SUMIF(ThresholdAge25,"&lt;"&amp;'19_Расчет_аналитики'!AI559,WeightedRevAge25)-SUMIF(ThresholdAge25,"&lt;"&amp;'19_Расчет_аналитики'!AI559,WeightedMinAge25),MAX(CapacityAge25*'01_Вводные'!$B$218*'19_Расчет_аналитики'!AI559,MeanMinAge25)))</f>
        <v/>
      </c>
      <c r="AJ488">
        <f>IF(OR('19_Расчет_аналитики'!AJ460=0,25&lt;='01_Вводные'!$B$297),0,'19_Расчет_аналитики'!AJ460*IF('01_Вводные'!$B$239="Да",MeanMinAge25+'19_Расчет_аналитики'!AJ559*SUMIF(ThresholdAge25,"&lt;"&amp;'19_Расчет_аналитики'!AJ559,WeightedRevAge25)-SUMIF(ThresholdAge25,"&lt;"&amp;'19_Расчет_аналитики'!AJ559,WeightedMinAge25),MAX(CapacityAge25*'01_Вводные'!$B$218*'19_Расчет_аналитики'!AJ559,MeanMinAge25)))</f>
        <v/>
      </c>
      <c r="AK488">
        <f>IF(OR('19_Расчет_аналитики'!AK460=0,25&lt;='01_Вводные'!$B$297),0,'19_Расчет_аналитики'!AK460*IF('01_Вводные'!$B$239="Да",MeanMinAge25+'19_Расчет_аналитики'!AK559*SUMIF(ThresholdAge25,"&lt;"&amp;'19_Расчет_аналитики'!AK559,WeightedRevAge25)-SUMIF(ThresholdAge25,"&lt;"&amp;'19_Расчет_аналитики'!AK559,WeightedMinAge25),MAX(CapacityAge25*'01_Вводные'!$B$218*'19_Расчет_аналитики'!AK559,MeanMinAge25)))</f>
        <v/>
      </c>
      <c r="AL488">
        <f>IF(OR('19_Расчет_аналитики'!AL460=0,25&lt;='01_Вводные'!$B$297),0,'19_Расчет_аналитики'!AL460*IF('01_Вводные'!$B$239="Да",MeanMinAge25+'19_Расчет_аналитики'!AL559*SUMIF(ThresholdAge25,"&lt;"&amp;'19_Расчет_аналитики'!AL559,WeightedRevAge25)-SUMIF(ThresholdAge25,"&lt;"&amp;'19_Расчет_аналитики'!AL559,WeightedMinAge25),MAX(CapacityAge25*'01_Вводные'!$B$218*'19_Расчет_аналитики'!AL559,MeanMinAge25)))</f>
        <v/>
      </c>
      <c r="AM488">
        <f>IF(OR('19_Расчет_аналитики'!AM460=0,25&lt;='01_Вводные'!$B$297),0,'19_Расчет_аналитики'!AM460*IF('01_Вводные'!$B$239="Да",MeanMinAge25+'19_Расчет_аналитики'!AM559*SUMIF(ThresholdAge25,"&lt;"&amp;'19_Расчет_аналитики'!AM559,WeightedRevAge25)-SUMIF(ThresholdAge25,"&lt;"&amp;'19_Расчет_аналитики'!AM559,WeightedMinAge25),MAX(CapacityAge25*'01_Вводные'!$B$218*'19_Расчет_аналитики'!AM559,MeanMinAge25)))</f>
        <v/>
      </c>
      <c r="AN488">
        <f>IF(OR('19_Расчет_аналитики'!AN460=0,25&lt;='01_Вводные'!$B$297),0,'19_Расчет_аналитики'!AN460*IF('01_Вводные'!$B$239="Да",MeanMinAge25+'19_Расчет_аналитики'!AN559*SUMIF(ThresholdAge25,"&lt;"&amp;'19_Расчет_аналитики'!AN559,WeightedRevAge25)-SUMIF(ThresholdAge25,"&lt;"&amp;'19_Расчет_аналитики'!AN559,WeightedMinAge25),MAX(CapacityAge25*'01_Вводные'!$B$218*'19_Расчет_аналитики'!AN559,MeanMinAge25)))</f>
        <v/>
      </c>
      <c r="AO488">
        <f>IF(OR('19_Расчет_аналитики'!AO460=0,25&lt;='01_Вводные'!$B$297),0,'19_Расчет_аналитики'!AO460*IF('01_Вводные'!$B$239="Да",MeanMinAge25+'19_Расчет_аналитики'!AO559*SUMIF(ThresholdAge25,"&lt;"&amp;'19_Расчет_аналитики'!AO559,WeightedRevAge25)-SUMIF(ThresholdAge25,"&lt;"&amp;'19_Расчет_аналитики'!AO559,WeightedMinAge25),MAX(CapacityAge25*'01_Вводные'!$B$218*'19_Расчет_аналитики'!AO559,MeanMinAge25)))</f>
        <v/>
      </c>
      <c r="AP488">
        <f>IF(OR('19_Расчет_аналитики'!AP460=0,25&lt;='01_Вводные'!$B$297),0,'19_Расчет_аналитики'!AP460*IF('01_Вводные'!$B$239="Да",MeanMinAge25+'19_Расчет_аналитики'!AP559*SUMIF(ThresholdAge25,"&lt;"&amp;'19_Расчет_аналитики'!AP559,WeightedRevAge25)-SUMIF(ThresholdAge25,"&lt;"&amp;'19_Расчет_аналитики'!AP559,WeightedMinAge25),MAX(CapacityAge25*'01_Вводные'!$B$218*'19_Расчет_аналитики'!AP559,MeanMinAge25)))</f>
        <v/>
      </c>
      <c r="AQ488">
        <f>IF(OR('19_Расчет_аналитики'!AQ460=0,25&lt;='01_Вводные'!$B$297),0,'19_Расчет_аналитики'!AQ460*IF('01_Вводные'!$B$239="Да",MeanMinAge25+'19_Расчет_аналитики'!AQ559*SUMIF(ThresholdAge25,"&lt;"&amp;'19_Расчет_аналитики'!AQ559,WeightedRevAge25)-SUMIF(ThresholdAge25,"&lt;"&amp;'19_Расчет_аналитики'!AQ559,WeightedMinAge25),MAX(CapacityAge25*'01_Вводные'!$B$218*'19_Расчет_аналитики'!AQ559,MeanMinAge25)))</f>
        <v/>
      </c>
      <c r="AR488">
        <f>IF(OR('19_Расчет_аналитики'!AR460=0,25&lt;='01_Вводные'!$B$297),0,'19_Расчет_аналитики'!AR460*IF('01_Вводные'!$B$239="Да",MeanMinAge25+'19_Расчет_аналитики'!AR559*SUMIF(ThresholdAge25,"&lt;"&amp;'19_Расчет_аналитики'!AR559,WeightedRevAge25)-SUMIF(ThresholdAge25,"&lt;"&amp;'19_Расчет_аналитики'!AR559,WeightedMinAge25),MAX(CapacityAge25*'01_Вводные'!$B$218*'19_Расчет_аналитики'!AR559,MeanMinAge25)))</f>
        <v/>
      </c>
      <c r="AS488">
        <f>IF(OR('19_Расчет_аналитики'!AS460=0,25&lt;='01_Вводные'!$B$297),0,'19_Расчет_аналитики'!AS460*IF('01_Вводные'!$B$239="Да",MeanMinAge25+'19_Расчет_аналитики'!AS559*SUMIF(ThresholdAge25,"&lt;"&amp;'19_Расчет_аналитики'!AS559,WeightedRevAge25)-SUMIF(ThresholdAge25,"&lt;"&amp;'19_Расчет_аналитики'!AS559,WeightedMinAge25),MAX(CapacityAge25*'01_Вводные'!$B$218*'19_Расчет_аналитики'!AS559,MeanMinAge25)))</f>
        <v/>
      </c>
      <c r="AT488">
        <f>IF(OR('19_Расчет_аналитики'!AT460=0,25&lt;='01_Вводные'!$B$297),0,'19_Расчет_аналитики'!AT460*IF('01_Вводные'!$B$239="Да",MeanMinAge25+'19_Расчет_аналитики'!AT559*SUMIF(ThresholdAge25,"&lt;"&amp;'19_Расчет_аналитики'!AT559,WeightedRevAge25)-SUMIF(ThresholdAge25,"&lt;"&amp;'19_Расчет_аналитики'!AT559,WeightedMinAge25),MAX(CapacityAge25*'01_Вводные'!$B$218*'19_Расчет_аналитики'!AT559,MeanMinAge25)))</f>
        <v/>
      </c>
      <c r="AU488">
        <f>IF(OR('19_Расчет_аналитики'!AU460=0,25&lt;='01_Вводные'!$B$297),0,'19_Расчет_аналитики'!AU460*IF('01_Вводные'!$B$239="Да",MeanMinAge25+'19_Расчет_аналитики'!AU559*SUMIF(ThresholdAge25,"&lt;"&amp;'19_Расчет_аналитики'!AU559,WeightedRevAge25)-SUMIF(ThresholdAge25,"&lt;"&amp;'19_Расчет_аналитики'!AU559,WeightedMinAge25),MAX(CapacityAge25*'01_Вводные'!$B$218*'19_Расчет_аналитики'!AU559,MeanMinAge25)))</f>
        <v/>
      </c>
      <c r="AV488">
        <f>IF(OR('19_Расчет_аналитики'!AV460=0,25&lt;='01_Вводные'!$B$297),0,'19_Расчет_аналитики'!AV460*IF('01_Вводные'!$B$239="Да",MeanMinAge25+'19_Расчет_аналитики'!AV559*SUMIF(ThresholdAge25,"&lt;"&amp;'19_Расчет_аналитики'!AV559,WeightedRevAge25)-SUMIF(ThresholdAge25,"&lt;"&amp;'19_Расчет_аналитики'!AV559,WeightedMinAge25),MAX(CapacityAge25*'01_Вводные'!$B$218*'19_Расчет_аналитики'!AV559,MeanMinAge25)))</f>
        <v/>
      </c>
      <c r="AW488">
        <f>IF(OR('19_Расчет_аналитики'!AW460=0,25&lt;='01_Вводные'!$B$297),0,'19_Расчет_аналитики'!AW460*IF('01_Вводные'!$B$239="Да",MeanMinAge25+'19_Расчет_аналитики'!AW559*SUMIF(ThresholdAge25,"&lt;"&amp;'19_Расчет_аналитики'!AW559,WeightedRevAge25)-SUMIF(ThresholdAge25,"&lt;"&amp;'19_Расчет_аналитики'!AW559,WeightedMinAge25),MAX(CapacityAge25*'01_Вводные'!$B$218*'19_Расчет_аналитики'!AW559,MeanMinAge25)))</f>
        <v/>
      </c>
      <c r="AX488">
        <f>IF(OR('19_Расчет_аналитики'!AX460=0,25&lt;='01_Вводные'!$B$297),0,'19_Расчет_аналитики'!AX460*IF('01_Вводные'!$B$239="Да",MeanMinAge25+'19_Расчет_аналитики'!AX559*SUMIF(ThresholdAge25,"&lt;"&amp;'19_Расчет_аналитики'!AX559,WeightedRevAge25)-SUMIF(ThresholdAge25,"&lt;"&amp;'19_Расчет_аналитики'!AX559,WeightedMinAge25),MAX(CapacityAge25*'01_Вводные'!$B$218*'19_Расчет_аналитики'!AX559,MeanMinAge25)))</f>
        <v/>
      </c>
      <c r="AY488">
        <f>IF(OR('19_Расчет_аналитики'!AY460=0,25&lt;='01_Вводные'!$B$297),0,'19_Расчет_аналитики'!AY460*IF('01_Вводные'!$B$239="Да",MeanMinAge25+'19_Расчет_аналитики'!AY559*SUMIF(ThresholdAge25,"&lt;"&amp;'19_Расчет_аналитики'!AY559,WeightedRevAge25)-SUMIF(ThresholdAge25,"&lt;"&amp;'19_Расчет_аналитики'!AY559,WeightedMinAge25),MAX(CapacityAge25*'01_Вводные'!$B$218*'19_Расчет_аналитики'!AY559,MeanMinAge25)))</f>
        <v/>
      </c>
      <c r="AZ488">
        <f>IF(OR('19_Расчет_аналитики'!AZ460=0,25&lt;='01_Вводные'!$B$297),0,'19_Расчет_аналитики'!AZ460*IF('01_Вводные'!$B$239="Да",MeanMinAge25+'19_Расчет_аналитики'!AZ559*SUMIF(ThresholdAge25,"&lt;"&amp;'19_Расчет_аналитики'!AZ559,WeightedRevAge25)-SUMIF(ThresholdAge25,"&lt;"&amp;'19_Расчет_аналитики'!AZ559,WeightedMinAge25),MAX(CapacityAge25*'01_Вводные'!$B$218*'19_Расчет_аналитики'!AZ559,MeanMinAge25)))</f>
        <v/>
      </c>
      <c r="BA488">
        <f>IF(OR('19_Расчет_аналитики'!BA460=0,25&lt;='01_Вводные'!$B$297),0,'19_Расчет_аналитики'!BA460*IF('01_Вводные'!$B$239="Да",MeanMinAge25+'19_Расчет_аналитики'!BA559*SUMIF(ThresholdAge25,"&lt;"&amp;'19_Расчет_аналитики'!BA559,WeightedRevAge25)-SUMIF(ThresholdAge25,"&lt;"&amp;'19_Расчет_аналитики'!BA559,WeightedMinAge25),MAX(CapacityAge25*'01_Вводные'!$B$218*'19_Расчет_аналитики'!BA559,MeanMinAge25)))</f>
        <v/>
      </c>
      <c r="BB488">
        <f>IF(OR('19_Расчет_аналитики'!BB460=0,25&lt;='01_Вводные'!$B$297),0,'19_Расчет_аналитики'!BB460*IF('01_Вводные'!$B$239="Да",MeanMinAge25+'19_Расчет_аналитики'!BB559*SUMIF(ThresholdAge25,"&lt;"&amp;'19_Расчет_аналитики'!BB559,WeightedRevAge25)-SUMIF(ThresholdAge25,"&lt;"&amp;'19_Расчет_аналитики'!BB559,WeightedMinAge25),MAX(CapacityAge25*'01_Вводные'!$B$218*'19_Расчет_аналитики'!BB559,MeanMinAge25)))</f>
        <v/>
      </c>
      <c r="BC488">
        <f>IF(OR('19_Расчет_аналитики'!BC460=0,25&lt;='01_Вводные'!$B$297),0,'19_Расчет_аналитики'!BC460*IF('01_Вводные'!$B$239="Да",MeanMinAge25+'19_Расчет_аналитики'!BC559*SUMIF(ThresholdAge25,"&lt;"&amp;'19_Расчет_аналитики'!BC559,WeightedRevAge25)-SUMIF(ThresholdAge25,"&lt;"&amp;'19_Расчет_аналитики'!BC559,WeightedMinAge25),MAX(CapacityAge25*'01_Вводные'!$B$218*'19_Расчет_аналитики'!BC559,MeanMinAge25)))</f>
        <v/>
      </c>
      <c r="BD488">
        <f>IF(OR('19_Расчет_аналитики'!BD460=0,25&lt;='01_Вводные'!$B$297),0,'19_Расчет_аналитики'!BD460*IF('01_Вводные'!$B$239="Да",MeanMinAge25+'19_Расчет_аналитики'!BD559*SUMIF(ThresholdAge25,"&lt;"&amp;'19_Расчет_аналитики'!BD559,WeightedRevAge25)-SUMIF(ThresholdAge25,"&lt;"&amp;'19_Расчет_аналитики'!BD559,WeightedMinAge25),MAX(CapacityAge25*'01_Вводные'!$B$218*'19_Расчет_аналитики'!BD559,MeanMinAge25)))</f>
        <v/>
      </c>
      <c r="BE488">
        <f>IF(OR('19_Расчет_аналитики'!BE460=0,25&lt;='01_Вводные'!$B$297),0,'19_Расчет_аналитики'!BE460*IF('01_Вводные'!$B$239="Да",MeanMinAge25+'19_Расчет_аналитики'!BE559*SUMIF(ThresholdAge25,"&lt;"&amp;'19_Расчет_аналитики'!BE559,WeightedRevAge25)-SUMIF(ThresholdAge25,"&lt;"&amp;'19_Расчет_аналитики'!BE559,WeightedMinAge25),MAX(CapacityAge25*'01_Вводные'!$B$218*'19_Расчет_аналитики'!BE559,MeanMinAge25)))</f>
        <v/>
      </c>
      <c r="BF488">
        <f>IF(OR('19_Расчет_аналитики'!BF460=0,25&lt;='01_Вводные'!$B$297),0,'19_Расчет_аналитики'!BF460*IF('01_Вводные'!$B$239="Да",MeanMinAge25+'19_Расчет_аналитики'!BF559*SUMIF(ThresholdAge25,"&lt;"&amp;'19_Расчет_аналитики'!BF559,WeightedRevAge25)-SUMIF(ThresholdAge25,"&lt;"&amp;'19_Расчет_аналитики'!BF559,WeightedMinAge25),MAX(CapacityAge25*'01_Вводные'!$B$218*'19_Расчет_аналитики'!BF559,MeanMinAge25)))</f>
        <v/>
      </c>
      <c r="BG488">
        <f>IF(OR('19_Расчет_аналитики'!BG460=0,25&lt;='01_Вводные'!$B$297),0,'19_Расчет_аналитики'!BG460*IF('01_Вводные'!$B$239="Да",MeanMinAge25+'19_Расчет_аналитики'!BG559*SUMIF(ThresholdAge25,"&lt;"&amp;'19_Расчет_аналитики'!BG559,WeightedRevAge25)-SUMIF(ThresholdAge25,"&lt;"&amp;'19_Расчет_аналитики'!BG559,WeightedMinAge25),MAX(CapacityAge25*'01_Вводные'!$B$218*'19_Расчет_аналитики'!BG559,MeanMinAge25)))</f>
        <v/>
      </c>
      <c r="BH488">
        <f>IF(OR('19_Расчет_аналитики'!BH460=0,25&lt;='01_Вводные'!$B$297),0,'19_Расчет_аналитики'!BH460*IF('01_Вводные'!$B$239="Да",MeanMinAge25+'19_Расчет_аналитики'!BH559*SUMIF(ThresholdAge25,"&lt;"&amp;'19_Расчет_аналитики'!BH559,WeightedRevAge25)-SUMIF(ThresholdAge25,"&lt;"&amp;'19_Расчет_аналитики'!BH559,WeightedMinAge25),MAX(CapacityAge25*'01_Вводные'!$B$218*'19_Расчет_аналитики'!BH559,MeanMinAge25)))</f>
        <v/>
      </c>
      <c r="BI488">
        <f>IF(OR('19_Расчет_аналитики'!BI460=0,25&lt;='01_Вводные'!$B$297),0,'19_Расчет_аналитики'!BI460*IF('01_Вводные'!$B$239="Да",MeanMinAge25+'19_Расчет_аналитики'!BI559*SUMIF(ThresholdAge25,"&lt;"&amp;'19_Расчет_аналитики'!BI559,WeightedRevAge25)-SUMIF(ThresholdAge25,"&lt;"&amp;'19_Расчет_аналитики'!BI559,WeightedMinAge25),MAX(CapacityAge25*'01_Вводные'!$B$218*'19_Расчет_аналитики'!BI559,MeanMinAge25)))</f>
        <v/>
      </c>
      <c r="BJ488">
        <f>IF(OR('19_Расчет_аналитики'!BJ460=0,25&lt;='01_Вводные'!$B$297),0,'19_Расчет_аналитики'!BJ460*IF('01_Вводные'!$B$239="Да",MeanMinAge25+'19_Расчет_аналитики'!BJ559*SUMIF(ThresholdAge25,"&lt;"&amp;'19_Расчет_аналитики'!BJ559,WeightedRevAge25)-SUMIF(ThresholdAge25,"&lt;"&amp;'19_Расчет_аналитики'!BJ559,WeightedMinAge25),MAX(CapacityAge25*'01_Вводные'!$B$218*'19_Расчет_аналитики'!BJ559,MeanMinAge25)))</f>
        <v/>
      </c>
      <c r="BK488">
        <f>IF(OR('19_Расчет_аналитики'!BK460=0,25&lt;='01_Вводные'!$B$297),0,'19_Расчет_аналитики'!BK460*IF('01_Вводные'!$B$239="Да",MeanMinAge25+'19_Расчет_аналитики'!BK559*SUMIF(ThresholdAge25,"&lt;"&amp;'19_Расчет_аналитики'!BK559,WeightedRevAge25)-SUMIF(ThresholdAge25,"&lt;"&amp;'19_Расчет_аналитики'!BK559,WeightedMinAge25),MAX(CapacityAge25*'01_Вводные'!$B$218*'19_Расчет_аналитики'!BK559,MeanMinAge25)))</f>
        <v/>
      </c>
      <c r="BL488">
        <f>IF(OR('19_Расчет_аналитики'!BL460=0,25&lt;='01_Вводные'!$B$297),0,'19_Расчет_аналитики'!BL460*IF('01_Вводные'!$B$239="Да",MeanMinAge25+'19_Расчет_аналитики'!BL559*SUMIF(ThresholdAge25,"&lt;"&amp;'19_Расчет_аналитики'!BL559,WeightedRevAge25)-SUMIF(ThresholdAge25,"&lt;"&amp;'19_Расчет_аналитики'!BL559,WeightedMinAge25),MAX(CapacityAge25*'01_Вводные'!$B$218*'19_Расчет_аналитики'!BL559,MeanMinAge25)))</f>
        <v/>
      </c>
      <c r="BM488">
        <f>IF(OR('19_Расчет_аналитики'!BM460=0,25&lt;='01_Вводные'!$B$297),0,'19_Расчет_аналитики'!BM460*IF('01_Вводные'!$B$239="Да",MeanMinAge25+'19_Расчет_аналитики'!BM559*SUMIF(ThresholdAge25,"&lt;"&amp;'19_Расчет_аналитики'!BM559,WeightedRevAge25)-SUMIF(ThresholdAge25,"&lt;"&amp;'19_Расчет_аналитики'!BM559,WeightedMinAge25),MAX(CapacityAge25*'01_Вводные'!$B$218*'19_Расчет_аналитики'!BM559,MeanMinAge25)))</f>
        <v/>
      </c>
      <c r="BN488">
        <f>IF(OR('19_Расчет_аналитики'!BN460=0,25&lt;='01_Вводные'!$B$297),0,'19_Расчет_аналитики'!BN460*IF('01_Вводные'!$B$239="Да",MeanMinAge25+'19_Расчет_аналитики'!BN559*SUMIF(ThresholdAge25,"&lt;"&amp;'19_Расчет_аналитики'!BN559,WeightedRevAge25)-SUMIF(ThresholdAge25,"&lt;"&amp;'19_Расчет_аналитики'!BN559,WeightedMinAge25),MAX(CapacityAge25*'01_Вводные'!$B$218*'19_Расчет_аналитики'!BN559,MeanMinAge25)))</f>
        <v/>
      </c>
      <c r="BO488">
        <f>IF(OR('19_Расчет_аналитики'!BO460=0,25&lt;='01_Вводные'!$B$297),0,'19_Расчет_аналитики'!BO460*IF('01_Вводные'!$B$239="Да",MeanMinAge25+'19_Расчет_аналитики'!BO559*SUMIF(ThresholdAge25,"&lt;"&amp;'19_Расчет_аналитики'!BO559,WeightedRevAge25)-SUMIF(ThresholdAge25,"&lt;"&amp;'19_Расчет_аналитики'!BO559,WeightedMinAge25),MAX(CapacityAge25*'01_Вводные'!$B$218*'19_Расчет_аналитики'!BO559,MeanMinAge25)))</f>
        <v/>
      </c>
    </row>
    <row r="489"/>
    <row r="490"/>
    <row r="491"/>
    <row r="492">
      <c r="B492">
        <f>IF(OR(('19_Расчет_аналитики'!B408-'19_Расчет_аналитики'!B436)=0,1&lt;='01_Вводные'!$B$297),0,('19_Расчет_аналитики'!B408-'19_Расчет_аналитики'!B436)*IF('01_Вводные'!$B$239="Да",MeanMinAge01+'19_Расчет_аналитики'!B560*SUMIF(ThresholdAge01,"&lt;"&amp;'19_Расчет_аналитики'!B560,WeightedRevAge01)-SUMIF(ThresholdAge01,"&lt;"&amp;'19_Расчет_аналитики'!B560,WeightedMinAge01),MAX(CapacityAge01*'01_Вводные'!$B$218*'19_Расчет_аналитики'!B560,MeanMinAge01)))</f>
        <v/>
      </c>
      <c r="C492">
        <f>IF(OR(('19_Расчет_аналитики'!C408-'19_Расчет_аналитики'!C436)=0,1&lt;='01_Вводные'!$B$297),0,('19_Расчет_аналитики'!C408-'19_Расчет_аналитики'!C436)*IF('01_Вводные'!$B$239="Да",MeanMinAge01+'19_Расчет_аналитики'!C560*SUMIF(ThresholdAge01,"&lt;"&amp;'19_Расчет_аналитики'!C560,WeightedRevAge01)-SUMIF(ThresholdAge01,"&lt;"&amp;'19_Расчет_аналитики'!C560,WeightedMinAge01),MAX(CapacityAge01*'01_Вводные'!$B$218*'19_Расчет_аналитики'!C560,MeanMinAge01)))</f>
        <v/>
      </c>
      <c r="D492">
        <f>IF(OR(('19_Расчет_аналитики'!D408-'19_Расчет_аналитики'!D436)=0,1&lt;='01_Вводные'!$B$297),0,('19_Расчет_аналитики'!D408-'19_Расчет_аналитики'!D436)*IF('01_Вводные'!$B$239="Да",MeanMinAge01+'19_Расчет_аналитики'!D560*SUMIF(ThresholdAge01,"&lt;"&amp;'19_Расчет_аналитики'!D560,WeightedRevAge01)-SUMIF(ThresholdAge01,"&lt;"&amp;'19_Расчет_аналитики'!D560,WeightedMinAge01),MAX(CapacityAge01*'01_Вводные'!$B$218*'19_Расчет_аналитики'!D560,MeanMinAge01)))</f>
        <v/>
      </c>
      <c r="E492">
        <f>IF(OR(('19_Расчет_аналитики'!E408-'19_Расчет_аналитики'!E436)=0,1&lt;='01_Вводные'!$B$297),0,('19_Расчет_аналитики'!E408-'19_Расчет_аналитики'!E436)*IF('01_Вводные'!$B$239="Да",MeanMinAge01+'19_Расчет_аналитики'!E560*SUMIF(ThresholdAge01,"&lt;"&amp;'19_Расчет_аналитики'!E560,WeightedRevAge01)-SUMIF(ThresholdAge01,"&lt;"&amp;'19_Расчет_аналитики'!E560,WeightedMinAge01),MAX(CapacityAge01*'01_Вводные'!$B$218*'19_Расчет_аналитики'!E560,MeanMinAge01)))</f>
        <v/>
      </c>
      <c r="F492">
        <f>IF(OR(('19_Расчет_аналитики'!F408-'19_Расчет_аналитики'!F436)=0,1&lt;='01_Вводные'!$B$297),0,('19_Расчет_аналитики'!F408-'19_Расчет_аналитики'!F436)*IF('01_Вводные'!$B$239="Да",MeanMinAge01+'19_Расчет_аналитики'!F560*SUMIF(ThresholdAge01,"&lt;"&amp;'19_Расчет_аналитики'!F560,WeightedRevAge01)-SUMIF(ThresholdAge01,"&lt;"&amp;'19_Расчет_аналитики'!F560,WeightedMinAge01),MAX(CapacityAge01*'01_Вводные'!$B$218*'19_Расчет_аналитики'!F560,MeanMinAge01)))</f>
        <v/>
      </c>
      <c r="G492">
        <f>IF(OR(('19_Расчет_аналитики'!G408-'19_Расчет_аналитики'!G436)=0,1&lt;='01_Вводные'!$B$297),0,('19_Расчет_аналитики'!G408-'19_Расчет_аналитики'!G436)*IF('01_Вводные'!$B$239="Да",MeanMinAge01+'19_Расчет_аналитики'!G560*SUMIF(ThresholdAge01,"&lt;"&amp;'19_Расчет_аналитики'!G560,WeightedRevAge01)-SUMIF(ThresholdAge01,"&lt;"&amp;'19_Расчет_аналитики'!G560,WeightedMinAge01),MAX(CapacityAge01*'01_Вводные'!$B$218*'19_Расчет_аналитики'!G560,MeanMinAge01)))</f>
        <v/>
      </c>
      <c r="H492">
        <f>IF(OR(('19_Расчет_аналитики'!H408-'19_Расчет_аналитики'!H436)=0,1&lt;='01_Вводные'!$B$297),0,('19_Расчет_аналитики'!H408-'19_Расчет_аналитики'!H436)*IF('01_Вводные'!$B$239="Да",MeanMinAge01+'19_Расчет_аналитики'!H560*SUMIF(ThresholdAge01,"&lt;"&amp;'19_Расчет_аналитики'!H560,WeightedRevAge01)-SUMIF(ThresholdAge01,"&lt;"&amp;'19_Расчет_аналитики'!H560,WeightedMinAge01),MAX(CapacityAge01*'01_Вводные'!$B$218*'19_Расчет_аналитики'!H560,MeanMinAge01)))</f>
        <v/>
      </c>
      <c r="I492">
        <f>IF(OR(('19_Расчет_аналитики'!I408-'19_Расчет_аналитики'!I436)=0,1&lt;='01_Вводные'!$B$297),0,('19_Расчет_аналитики'!I408-'19_Расчет_аналитики'!I436)*IF('01_Вводные'!$B$239="Да",MeanMinAge01+'19_Расчет_аналитики'!I560*SUMIF(ThresholdAge01,"&lt;"&amp;'19_Расчет_аналитики'!I560,WeightedRevAge01)-SUMIF(ThresholdAge01,"&lt;"&amp;'19_Расчет_аналитики'!I560,WeightedMinAge01),MAX(CapacityAge01*'01_Вводные'!$B$218*'19_Расчет_аналитики'!I560,MeanMinAge01)))</f>
        <v/>
      </c>
      <c r="J492">
        <f>IF(OR(('19_Расчет_аналитики'!J408-'19_Расчет_аналитики'!J436)=0,1&lt;='01_Вводные'!$B$297),0,('19_Расчет_аналитики'!J408-'19_Расчет_аналитики'!J436)*IF('01_Вводные'!$B$239="Да",MeanMinAge01+'19_Расчет_аналитики'!J560*SUMIF(ThresholdAge01,"&lt;"&amp;'19_Расчет_аналитики'!J560,WeightedRevAge01)-SUMIF(ThresholdAge01,"&lt;"&amp;'19_Расчет_аналитики'!J560,WeightedMinAge01),MAX(CapacityAge01*'01_Вводные'!$B$218*'19_Расчет_аналитики'!J560,MeanMinAge01)))</f>
        <v/>
      </c>
      <c r="K492">
        <f>IF(OR(('19_Расчет_аналитики'!K408-'19_Расчет_аналитики'!K436)=0,1&lt;='01_Вводные'!$B$297),0,('19_Расчет_аналитики'!K408-'19_Расчет_аналитики'!K436)*IF('01_Вводные'!$B$239="Да",MeanMinAge01+'19_Расчет_аналитики'!K560*SUMIF(ThresholdAge01,"&lt;"&amp;'19_Расчет_аналитики'!K560,WeightedRevAge01)-SUMIF(ThresholdAge01,"&lt;"&amp;'19_Расчет_аналитики'!K560,WeightedMinAge01),MAX(CapacityAge01*'01_Вводные'!$B$218*'19_Расчет_аналитики'!K560,MeanMinAge01)))</f>
        <v/>
      </c>
      <c r="L492">
        <f>IF(OR(('19_Расчет_аналитики'!L408-'19_Расчет_аналитики'!L436)=0,1&lt;='01_Вводные'!$B$297),0,('19_Расчет_аналитики'!L408-'19_Расчет_аналитики'!L436)*IF('01_Вводные'!$B$239="Да",MeanMinAge01+'19_Расчет_аналитики'!L560*SUMIF(ThresholdAge01,"&lt;"&amp;'19_Расчет_аналитики'!L560,WeightedRevAge01)-SUMIF(ThresholdAge01,"&lt;"&amp;'19_Расчет_аналитики'!L560,WeightedMinAge01),MAX(CapacityAge01*'01_Вводные'!$B$218*'19_Расчет_аналитики'!L560,MeanMinAge01)))</f>
        <v/>
      </c>
      <c r="M492">
        <f>IF(OR(('19_Расчет_аналитики'!M408-'19_Расчет_аналитики'!M436)=0,1&lt;='01_Вводные'!$B$297),0,('19_Расчет_аналитики'!M408-'19_Расчет_аналитики'!M436)*IF('01_Вводные'!$B$239="Да",MeanMinAge01+'19_Расчет_аналитики'!M560*SUMIF(ThresholdAge01,"&lt;"&amp;'19_Расчет_аналитики'!M560,WeightedRevAge01)-SUMIF(ThresholdAge01,"&lt;"&amp;'19_Расчет_аналитики'!M560,WeightedMinAge01),MAX(CapacityAge01*'01_Вводные'!$B$218*'19_Расчет_аналитики'!M560,MeanMinAge01)))</f>
        <v/>
      </c>
      <c r="N492">
        <f>IF(OR(('19_Расчет_аналитики'!N408-'19_Расчет_аналитики'!N436)=0,1&lt;='01_Вводные'!$B$297),0,('19_Расчет_аналитики'!N408-'19_Расчет_аналитики'!N436)*IF('01_Вводные'!$B$239="Да",MeanMinAge01+'19_Расчет_аналитики'!N560*SUMIF(ThresholdAge01,"&lt;"&amp;'19_Расчет_аналитики'!N560,WeightedRevAge01)-SUMIF(ThresholdAge01,"&lt;"&amp;'19_Расчет_аналитики'!N560,WeightedMinAge01),MAX(CapacityAge01*'01_Вводные'!$B$218*'19_Расчет_аналитики'!N560,MeanMinAge01)))</f>
        <v/>
      </c>
      <c r="O492">
        <f>IF(OR(('19_Расчет_аналитики'!O408-'19_Расчет_аналитики'!O436)=0,1&lt;='01_Вводные'!$B$297),0,('19_Расчет_аналитики'!O408-'19_Расчет_аналитики'!O436)*IF('01_Вводные'!$B$239="Да",MeanMinAge01+'19_Расчет_аналитики'!O560*SUMIF(ThresholdAge01,"&lt;"&amp;'19_Расчет_аналитики'!O560,WeightedRevAge01)-SUMIF(ThresholdAge01,"&lt;"&amp;'19_Расчет_аналитики'!O560,WeightedMinAge01),MAX(CapacityAge01*'01_Вводные'!$B$218*'19_Расчет_аналитики'!O560,MeanMinAge01)))</f>
        <v/>
      </c>
      <c r="P492">
        <f>IF(OR(('19_Расчет_аналитики'!P408-'19_Расчет_аналитики'!P436)=0,1&lt;='01_Вводные'!$B$297),0,('19_Расчет_аналитики'!P408-'19_Расчет_аналитики'!P436)*IF('01_Вводные'!$B$239="Да",MeanMinAge01+'19_Расчет_аналитики'!P560*SUMIF(ThresholdAge01,"&lt;"&amp;'19_Расчет_аналитики'!P560,WeightedRevAge01)-SUMIF(ThresholdAge01,"&lt;"&amp;'19_Расчет_аналитики'!P560,WeightedMinAge01),MAX(CapacityAge01*'01_Вводные'!$B$218*'19_Расчет_аналитики'!P560,MeanMinAge01)))</f>
        <v/>
      </c>
      <c r="Q492">
        <f>IF(OR(('19_Расчет_аналитики'!Q408-'19_Расчет_аналитики'!Q436)=0,1&lt;='01_Вводные'!$B$297),0,('19_Расчет_аналитики'!Q408-'19_Расчет_аналитики'!Q436)*IF('01_Вводные'!$B$239="Да",MeanMinAge01+'19_Расчет_аналитики'!Q560*SUMIF(ThresholdAge01,"&lt;"&amp;'19_Расчет_аналитики'!Q560,WeightedRevAge01)-SUMIF(ThresholdAge01,"&lt;"&amp;'19_Расчет_аналитики'!Q560,WeightedMinAge01),MAX(CapacityAge01*'01_Вводные'!$B$218*'19_Расчет_аналитики'!Q560,MeanMinAge01)))</f>
        <v/>
      </c>
      <c r="R492">
        <f>IF(OR(('19_Расчет_аналитики'!R408-'19_Расчет_аналитики'!R436)=0,1&lt;='01_Вводные'!$B$297),0,('19_Расчет_аналитики'!R408-'19_Расчет_аналитики'!R436)*IF('01_Вводные'!$B$239="Да",MeanMinAge01+'19_Расчет_аналитики'!R560*SUMIF(ThresholdAge01,"&lt;"&amp;'19_Расчет_аналитики'!R560,WeightedRevAge01)-SUMIF(ThresholdAge01,"&lt;"&amp;'19_Расчет_аналитики'!R560,WeightedMinAge01),MAX(CapacityAge01*'01_Вводные'!$B$218*'19_Расчет_аналитики'!R560,MeanMinAge01)))</f>
        <v/>
      </c>
      <c r="S492">
        <f>IF(OR(('19_Расчет_аналитики'!S408-'19_Расчет_аналитики'!S436)=0,1&lt;='01_Вводные'!$B$297),0,('19_Расчет_аналитики'!S408-'19_Расчет_аналитики'!S436)*IF('01_Вводные'!$B$239="Да",MeanMinAge01+'19_Расчет_аналитики'!S560*SUMIF(ThresholdAge01,"&lt;"&amp;'19_Расчет_аналитики'!S560,WeightedRevAge01)-SUMIF(ThresholdAge01,"&lt;"&amp;'19_Расчет_аналитики'!S560,WeightedMinAge01),MAX(CapacityAge01*'01_Вводные'!$B$218*'19_Расчет_аналитики'!S560,MeanMinAge01)))</f>
        <v/>
      </c>
      <c r="T492">
        <f>IF(OR(('19_Расчет_аналитики'!T408-'19_Расчет_аналитики'!T436)=0,1&lt;='01_Вводные'!$B$297),0,('19_Расчет_аналитики'!T408-'19_Расчет_аналитики'!T436)*IF('01_Вводные'!$B$239="Да",MeanMinAge01+'19_Расчет_аналитики'!T560*SUMIF(ThresholdAge01,"&lt;"&amp;'19_Расчет_аналитики'!T560,WeightedRevAge01)-SUMIF(ThresholdAge01,"&lt;"&amp;'19_Расчет_аналитики'!T560,WeightedMinAge01),MAX(CapacityAge01*'01_Вводные'!$B$218*'19_Расчет_аналитики'!T560,MeanMinAge01)))</f>
        <v/>
      </c>
      <c r="U492">
        <f>IF(OR(('19_Расчет_аналитики'!U408-'19_Расчет_аналитики'!U436)=0,1&lt;='01_Вводные'!$B$297),0,('19_Расчет_аналитики'!U408-'19_Расчет_аналитики'!U436)*IF('01_Вводные'!$B$239="Да",MeanMinAge01+'19_Расчет_аналитики'!U560*SUMIF(ThresholdAge01,"&lt;"&amp;'19_Расчет_аналитики'!U560,WeightedRevAge01)-SUMIF(ThresholdAge01,"&lt;"&amp;'19_Расчет_аналитики'!U560,WeightedMinAge01),MAX(CapacityAge01*'01_Вводные'!$B$218*'19_Расчет_аналитики'!U560,MeanMinAge01)))</f>
        <v/>
      </c>
      <c r="V492">
        <f>IF(OR(('19_Расчет_аналитики'!V408-'19_Расчет_аналитики'!V436)=0,1&lt;='01_Вводные'!$B$297),0,('19_Расчет_аналитики'!V408-'19_Расчет_аналитики'!V436)*IF('01_Вводные'!$B$239="Да",MeanMinAge01+'19_Расчет_аналитики'!V560*SUMIF(ThresholdAge01,"&lt;"&amp;'19_Расчет_аналитики'!V560,WeightedRevAge01)-SUMIF(ThresholdAge01,"&lt;"&amp;'19_Расчет_аналитики'!V560,WeightedMinAge01),MAX(CapacityAge01*'01_Вводные'!$B$218*'19_Расчет_аналитики'!V560,MeanMinAge01)))</f>
        <v/>
      </c>
      <c r="W492">
        <f>IF(OR(('19_Расчет_аналитики'!W408-'19_Расчет_аналитики'!W436)=0,1&lt;='01_Вводные'!$B$297),0,('19_Расчет_аналитики'!W408-'19_Расчет_аналитики'!W436)*IF('01_Вводные'!$B$239="Да",MeanMinAge01+'19_Расчет_аналитики'!W560*SUMIF(ThresholdAge01,"&lt;"&amp;'19_Расчет_аналитики'!W560,WeightedRevAge01)-SUMIF(ThresholdAge01,"&lt;"&amp;'19_Расчет_аналитики'!W560,WeightedMinAge01),MAX(CapacityAge01*'01_Вводные'!$B$218*'19_Расчет_аналитики'!W560,MeanMinAge01)))</f>
        <v/>
      </c>
      <c r="X492">
        <f>IF(OR(('19_Расчет_аналитики'!X408-'19_Расчет_аналитики'!X436)=0,1&lt;='01_Вводные'!$B$297),0,('19_Расчет_аналитики'!X408-'19_Расчет_аналитики'!X436)*IF('01_Вводные'!$B$239="Да",MeanMinAge01+'19_Расчет_аналитики'!X560*SUMIF(ThresholdAge01,"&lt;"&amp;'19_Расчет_аналитики'!X560,WeightedRevAge01)-SUMIF(ThresholdAge01,"&lt;"&amp;'19_Расчет_аналитики'!X560,WeightedMinAge01),MAX(CapacityAge01*'01_Вводные'!$B$218*'19_Расчет_аналитики'!X560,MeanMinAge01)))</f>
        <v/>
      </c>
      <c r="Y492">
        <f>IF(OR(('19_Расчет_аналитики'!Y408-'19_Расчет_аналитики'!Y436)=0,1&lt;='01_Вводные'!$B$297),0,('19_Расчет_аналитики'!Y408-'19_Расчет_аналитики'!Y436)*IF('01_Вводные'!$B$239="Да",MeanMinAge01+'19_Расчет_аналитики'!Y560*SUMIF(ThresholdAge01,"&lt;"&amp;'19_Расчет_аналитики'!Y560,WeightedRevAge01)-SUMIF(ThresholdAge01,"&lt;"&amp;'19_Расчет_аналитики'!Y560,WeightedMinAge01),MAX(CapacityAge01*'01_Вводные'!$B$218*'19_Расчет_аналитики'!Y560,MeanMinAge01)))</f>
        <v/>
      </c>
      <c r="Z492">
        <f>IF(OR(('19_Расчет_аналитики'!Z408-'19_Расчет_аналитики'!Z436)=0,1&lt;='01_Вводные'!$B$297),0,('19_Расчет_аналитики'!Z408-'19_Расчет_аналитики'!Z436)*IF('01_Вводные'!$B$239="Да",MeanMinAge01+'19_Расчет_аналитики'!Z560*SUMIF(ThresholdAge01,"&lt;"&amp;'19_Расчет_аналитики'!Z560,WeightedRevAge01)-SUMIF(ThresholdAge01,"&lt;"&amp;'19_Расчет_аналитики'!Z560,WeightedMinAge01),MAX(CapacityAge01*'01_Вводные'!$B$218*'19_Расчет_аналитики'!Z560,MeanMinAge01)))</f>
        <v/>
      </c>
      <c r="AA492">
        <f>IF(OR(('19_Расчет_аналитики'!AA408-'19_Расчет_аналитики'!AA436)=0,1&lt;='01_Вводные'!$B$297),0,('19_Расчет_аналитики'!AA408-'19_Расчет_аналитики'!AA436)*IF('01_Вводные'!$B$239="Да",MeanMinAge01+'19_Расчет_аналитики'!AA560*SUMIF(ThresholdAge01,"&lt;"&amp;'19_Расчет_аналитики'!AA560,WeightedRevAge01)-SUMIF(ThresholdAge01,"&lt;"&amp;'19_Расчет_аналитики'!AA560,WeightedMinAge01),MAX(CapacityAge01*'01_Вводные'!$B$218*'19_Расчет_аналитики'!AA560,MeanMinAge01)))</f>
        <v/>
      </c>
      <c r="AB492">
        <f>IF(OR(('19_Расчет_аналитики'!AB408-'19_Расчет_аналитики'!AB436)=0,1&lt;='01_Вводные'!$B$297),0,('19_Расчет_аналитики'!AB408-'19_Расчет_аналитики'!AB436)*IF('01_Вводные'!$B$239="Да",MeanMinAge01+'19_Расчет_аналитики'!AB560*SUMIF(ThresholdAge01,"&lt;"&amp;'19_Расчет_аналитики'!AB560,WeightedRevAge01)-SUMIF(ThresholdAge01,"&lt;"&amp;'19_Расчет_аналитики'!AB560,WeightedMinAge01),MAX(CapacityAge01*'01_Вводные'!$B$218*'19_Расчет_аналитики'!AB560,MeanMinAge01)))</f>
        <v/>
      </c>
      <c r="AC492">
        <f>IF(OR(('19_Расчет_аналитики'!AC408-'19_Расчет_аналитики'!AC436)=0,1&lt;='01_Вводные'!$B$297),0,('19_Расчет_аналитики'!AC408-'19_Расчет_аналитики'!AC436)*IF('01_Вводные'!$B$239="Да",MeanMinAge01+'19_Расчет_аналитики'!AC560*SUMIF(ThresholdAge01,"&lt;"&amp;'19_Расчет_аналитики'!AC560,WeightedRevAge01)-SUMIF(ThresholdAge01,"&lt;"&amp;'19_Расчет_аналитики'!AC560,WeightedMinAge01),MAX(CapacityAge01*'01_Вводные'!$B$218*'19_Расчет_аналитики'!AC560,MeanMinAge01)))</f>
        <v/>
      </c>
      <c r="AD492">
        <f>IF(OR(('19_Расчет_аналитики'!AD408-'19_Расчет_аналитики'!AD436)=0,1&lt;='01_Вводные'!$B$297),0,('19_Расчет_аналитики'!AD408-'19_Расчет_аналитики'!AD436)*IF('01_Вводные'!$B$239="Да",MeanMinAge01+'19_Расчет_аналитики'!AD560*SUMIF(ThresholdAge01,"&lt;"&amp;'19_Расчет_аналитики'!AD560,WeightedRevAge01)-SUMIF(ThresholdAge01,"&lt;"&amp;'19_Расчет_аналитики'!AD560,WeightedMinAge01),MAX(CapacityAge01*'01_Вводные'!$B$218*'19_Расчет_аналитики'!AD560,MeanMinAge01)))</f>
        <v/>
      </c>
      <c r="AE492">
        <f>IF(OR(('19_Расчет_аналитики'!AE408-'19_Расчет_аналитики'!AE436)=0,1&lt;='01_Вводные'!$B$297),0,('19_Расчет_аналитики'!AE408-'19_Расчет_аналитики'!AE436)*IF('01_Вводные'!$B$239="Да",MeanMinAge01+'19_Расчет_аналитики'!AE560*SUMIF(ThresholdAge01,"&lt;"&amp;'19_Расчет_аналитики'!AE560,WeightedRevAge01)-SUMIF(ThresholdAge01,"&lt;"&amp;'19_Расчет_аналитики'!AE560,WeightedMinAge01),MAX(CapacityAge01*'01_Вводные'!$B$218*'19_Расчет_аналитики'!AE560,MeanMinAge01)))</f>
        <v/>
      </c>
      <c r="AF492">
        <f>IF(OR(('19_Расчет_аналитики'!AF408-'19_Расчет_аналитики'!AF436)=0,1&lt;='01_Вводные'!$B$297),0,('19_Расчет_аналитики'!AF408-'19_Расчет_аналитики'!AF436)*IF('01_Вводные'!$B$239="Да",MeanMinAge01+'19_Расчет_аналитики'!AF560*SUMIF(ThresholdAge01,"&lt;"&amp;'19_Расчет_аналитики'!AF560,WeightedRevAge01)-SUMIF(ThresholdAge01,"&lt;"&amp;'19_Расчет_аналитики'!AF560,WeightedMinAge01),MAX(CapacityAge01*'01_Вводные'!$B$218*'19_Расчет_аналитики'!AF560,MeanMinAge01)))</f>
        <v/>
      </c>
      <c r="AG492">
        <f>IF(OR(('19_Расчет_аналитики'!AG408-'19_Расчет_аналитики'!AG436)=0,1&lt;='01_Вводные'!$B$297),0,('19_Расчет_аналитики'!AG408-'19_Расчет_аналитики'!AG436)*IF('01_Вводные'!$B$239="Да",MeanMinAge01+'19_Расчет_аналитики'!AG560*SUMIF(ThresholdAge01,"&lt;"&amp;'19_Расчет_аналитики'!AG560,WeightedRevAge01)-SUMIF(ThresholdAge01,"&lt;"&amp;'19_Расчет_аналитики'!AG560,WeightedMinAge01),MAX(CapacityAge01*'01_Вводные'!$B$218*'19_Расчет_аналитики'!AG560,MeanMinAge01)))</f>
        <v/>
      </c>
      <c r="AH492">
        <f>IF(OR(('19_Расчет_аналитики'!AH408-'19_Расчет_аналитики'!AH436)=0,1&lt;='01_Вводные'!$B$297),0,('19_Расчет_аналитики'!AH408-'19_Расчет_аналитики'!AH436)*IF('01_Вводные'!$B$239="Да",MeanMinAge01+'19_Расчет_аналитики'!AH560*SUMIF(ThresholdAge01,"&lt;"&amp;'19_Расчет_аналитики'!AH560,WeightedRevAge01)-SUMIF(ThresholdAge01,"&lt;"&amp;'19_Расчет_аналитики'!AH560,WeightedMinAge01),MAX(CapacityAge01*'01_Вводные'!$B$218*'19_Расчет_аналитики'!AH560,MeanMinAge01)))</f>
        <v/>
      </c>
      <c r="AI492">
        <f>IF(OR(('19_Расчет_аналитики'!AI408-'19_Расчет_аналитики'!AI436)=0,1&lt;='01_Вводные'!$B$297),0,('19_Расчет_аналитики'!AI408-'19_Расчет_аналитики'!AI436)*IF('01_Вводные'!$B$239="Да",MeanMinAge01+'19_Расчет_аналитики'!AI560*SUMIF(ThresholdAge01,"&lt;"&amp;'19_Расчет_аналитики'!AI560,WeightedRevAge01)-SUMIF(ThresholdAge01,"&lt;"&amp;'19_Расчет_аналитики'!AI560,WeightedMinAge01),MAX(CapacityAge01*'01_Вводные'!$B$218*'19_Расчет_аналитики'!AI560,MeanMinAge01)))</f>
        <v/>
      </c>
      <c r="AJ492">
        <f>IF(OR(('19_Расчет_аналитики'!AJ408-'19_Расчет_аналитики'!AJ436)=0,1&lt;='01_Вводные'!$B$297),0,('19_Расчет_аналитики'!AJ408-'19_Расчет_аналитики'!AJ436)*IF('01_Вводные'!$B$239="Да",MeanMinAge01+'19_Расчет_аналитики'!AJ560*SUMIF(ThresholdAge01,"&lt;"&amp;'19_Расчет_аналитики'!AJ560,WeightedRevAge01)-SUMIF(ThresholdAge01,"&lt;"&amp;'19_Расчет_аналитики'!AJ560,WeightedMinAge01),MAX(CapacityAge01*'01_Вводные'!$B$218*'19_Расчет_аналитики'!AJ560,MeanMinAge01)))</f>
        <v/>
      </c>
      <c r="AK492">
        <f>IF(OR(('19_Расчет_аналитики'!AK408-'19_Расчет_аналитики'!AK436)=0,1&lt;='01_Вводные'!$B$297),0,('19_Расчет_аналитики'!AK408-'19_Расчет_аналитики'!AK436)*IF('01_Вводные'!$B$239="Да",MeanMinAge01+'19_Расчет_аналитики'!AK560*SUMIF(ThresholdAge01,"&lt;"&amp;'19_Расчет_аналитики'!AK560,WeightedRevAge01)-SUMIF(ThresholdAge01,"&lt;"&amp;'19_Расчет_аналитики'!AK560,WeightedMinAge01),MAX(CapacityAge01*'01_Вводные'!$B$218*'19_Расчет_аналитики'!AK560,MeanMinAge01)))</f>
        <v/>
      </c>
      <c r="AL492">
        <f>IF(OR(('19_Расчет_аналитики'!AL408-'19_Расчет_аналитики'!AL436)=0,1&lt;='01_Вводные'!$B$297),0,('19_Расчет_аналитики'!AL408-'19_Расчет_аналитики'!AL436)*IF('01_Вводные'!$B$239="Да",MeanMinAge01+'19_Расчет_аналитики'!AL560*SUMIF(ThresholdAge01,"&lt;"&amp;'19_Расчет_аналитики'!AL560,WeightedRevAge01)-SUMIF(ThresholdAge01,"&lt;"&amp;'19_Расчет_аналитики'!AL560,WeightedMinAge01),MAX(CapacityAge01*'01_Вводные'!$B$218*'19_Расчет_аналитики'!AL560,MeanMinAge01)))</f>
        <v/>
      </c>
      <c r="AM492">
        <f>IF(OR(('19_Расчет_аналитики'!AM408-'19_Расчет_аналитики'!AM436)=0,1&lt;='01_Вводные'!$B$297),0,('19_Расчет_аналитики'!AM408-'19_Расчет_аналитики'!AM436)*IF('01_Вводные'!$B$239="Да",MeanMinAge01+'19_Расчет_аналитики'!AM560*SUMIF(ThresholdAge01,"&lt;"&amp;'19_Расчет_аналитики'!AM560,WeightedRevAge01)-SUMIF(ThresholdAge01,"&lt;"&amp;'19_Расчет_аналитики'!AM560,WeightedMinAge01),MAX(CapacityAge01*'01_Вводные'!$B$218*'19_Расчет_аналитики'!AM560,MeanMinAge01)))</f>
        <v/>
      </c>
      <c r="AN492">
        <f>IF(OR(('19_Расчет_аналитики'!AN408-'19_Расчет_аналитики'!AN436)=0,1&lt;='01_Вводные'!$B$297),0,('19_Расчет_аналитики'!AN408-'19_Расчет_аналитики'!AN436)*IF('01_Вводные'!$B$239="Да",MeanMinAge01+'19_Расчет_аналитики'!AN560*SUMIF(ThresholdAge01,"&lt;"&amp;'19_Расчет_аналитики'!AN560,WeightedRevAge01)-SUMIF(ThresholdAge01,"&lt;"&amp;'19_Расчет_аналитики'!AN560,WeightedMinAge01),MAX(CapacityAge01*'01_Вводные'!$B$218*'19_Расчет_аналитики'!AN560,MeanMinAge01)))</f>
        <v/>
      </c>
      <c r="AO492">
        <f>IF(OR(('19_Расчет_аналитики'!AO408-'19_Расчет_аналитики'!AO436)=0,1&lt;='01_Вводные'!$B$297),0,('19_Расчет_аналитики'!AO408-'19_Расчет_аналитики'!AO436)*IF('01_Вводные'!$B$239="Да",MeanMinAge01+'19_Расчет_аналитики'!AO560*SUMIF(ThresholdAge01,"&lt;"&amp;'19_Расчет_аналитики'!AO560,WeightedRevAge01)-SUMIF(ThresholdAge01,"&lt;"&amp;'19_Расчет_аналитики'!AO560,WeightedMinAge01),MAX(CapacityAge01*'01_Вводные'!$B$218*'19_Расчет_аналитики'!AO560,MeanMinAge01)))</f>
        <v/>
      </c>
      <c r="AP492">
        <f>IF(OR(('19_Расчет_аналитики'!AP408-'19_Расчет_аналитики'!AP436)=0,1&lt;='01_Вводные'!$B$297),0,('19_Расчет_аналитики'!AP408-'19_Расчет_аналитики'!AP436)*IF('01_Вводные'!$B$239="Да",MeanMinAge01+'19_Расчет_аналитики'!AP560*SUMIF(ThresholdAge01,"&lt;"&amp;'19_Расчет_аналитики'!AP560,WeightedRevAge01)-SUMIF(ThresholdAge01,"&lt;"&amp;'19_Расчет_аналитики'!AP560,WeightedMinAge01),MAX(CapacityAge01*'01_Вводные'!$B$218*'19_Расчет_аналитики'!AP560,MeanMinAge01)))</f>
        <v/>
      </c>
      <c r="AQ492">
        <f>IF(OR(('19_Расчет_аналитики'!AQ408-'19_Расчет_аналитики'!AQ436)=0,1&lt;='01_Вводные'!$B$297),0,('19_Расчет_аналитики'!AQ408-'19_Расчет_аналитики'!AQ436)*IF('01_Вводные'!$B$239="Да",MeanMinAge01+'19_Расчет_аналитики'!AQ560*SUMIF(ThresholdAge01,"&lt;"&amp;'19_Расчет_аналитики'!AQ560,WeightedRevAge01)-SUMIF(ThresholdAge01,"&lt;"&amp;'19_Расчет_аналитики'!AQ560,WeightedMinAge01),MAX(CapacityAge01*'01_Вводные'!$B$218*'19_Расчет_аналитики'!AQ560,MeanMinAge01)))</f>
        <v/>
      </c>
      <c r="AR492">
        <f>IF(OR(('19_Расчет_аналитики'!AR408-'19_Расчет_аналитики'!AR436)=0,1&lt;='01_Вводные'!$B$297),0,('19_Расчет_аналитики'!AR408-'19_Расчет_аналитики'!AR436)*IF('01_Вводные'!$B$239="Да",MeanMinAge01+'19_Расчет_аналитики'!AR560*SUMIF(ThresholdAge01,"&lt;"&amp;'19_Расчет_аналитики'!AR560,WeightedRevAge01)-SUMIF(ThresholdAge01,"&lt;"&amp;'19_Расчет_аналитики'!AR560,WeightedMinAge01),MAX(CapacityAge01*'01_Вводные'!$B$218*'19_Расчет_аналитики'!AR560,MeanMinAge01)))</f>
        <v/>
      </c>
      <c r="AS492">
        <f>IF(OR(('19_Расчет_аналитики'!AS408-'19_Расчет_аналитики'!AS436)=0,1&lt;='01_Вводные'!$B$297),0,('19_Расчет_аналитики'!AS408-'19_Расчет_аналитики'!AS436)*IF('01_Вводные'!$B$239="Да",MeanMinAge01+'19_Расчет_аналитики'!AS560*SUMIF(ThresholdAge01,"&lt;"&amp;'19_Расчет_аналитики'!AS560,WeightedRevAge01)-SUMIF(ThresholdAge01,"&lt;"&amp;'19_Расчет_аналитики'!AS560,WeightedMinAge01),MAX(CapacityAge01*'01_Вводные'!$B$218*'19_Расчет_аналитики'!AS560,MeanMinAge01)))</f>
        <v/>
      </c>
      <c r="AT492">
        <f>IF(OR(('19_Расчет_аналитики'!AT408-'19_Расчет_аналитики'!AT436)=0,1&lt;='01_Вводные'!$B$297),0,('19_Расчет_аналитики'!AT408-'19_Расчет_аналитики'!AT436)*IF('01_Вводные'!$B$239="Да",MeanMinAge01+'19_Расчет_аналитики'!AT560*SUMIF(ThresholdAge01,"&lt;"&amp;'19_Расчет_аналитики'!AT560,WeightedRevAge01)-SUMIF(ThresholdAge01,"&lt;"&amp;'19_Расчет_аналитики'!AT560,WeightedMinAge01),MAX(CapacityAge01*'01_Вводные'!$B$218*'19_Расчет_аналитики'!AT560,MeanMinAge01)))</f>
        <v/>
      </c>
      <c r="AU492">
        <f>IF(OR(('19_Расчет_аналитики'!AU408-'19_Расчет_аналитики'!AU436)=0,1&lt;='01_Вводные'!$B$297),0,('19_Расчет_аналитики'!AU408-'19_Расчет_аналитики'!AU436)*IF('01_Вводные'!$B$239="Да",MeanMinAge01+'19_Расчет_аналитики'!AU560*SUMIF(ThresholdAge01,"&lt;"&amp;'19_Расчет_аналитики'!AU560,WeightedRevAge01)-SUMIF(ThresholdAge01,"&lt;"&amp;'19_Расчет_аналитики'!AU560,WeightedMinAge01),MAX(CapacityAge01*'01_Вводные'!$B$218*'19_Расчет_аналитики'!AU560,MeanMinAge01)))</f>
        <v/>
      </c>
      <c r="AV492">
        <f>IF(OR(('19_Расчет_аналитики'!AV408-'19_Расчет_аналитики'!AV436)=0,1&lt;='01_Вводные'!$B$297),0,('19_Расчет_аналитики'!AV408-'19_Расчет_аналитики'!AV436)*IF('01_Вводные'!$B$239="Да",MeanMinAge01+'19_Расчет_аналитики'!AV560*SUMIF(ThresholdAge01,"&lt;"&amp;'19_Расчет_аналитики'!AV560,WeightedRevAge01)-SUMIF(ThresholdAge01,"&lt;"&amp;'19_Расчет_аналитики'!AV560,WeightedMinAge01),MAX(CapacityAge01*'01_Вводные'!$B$218*'19_Расчет_аналитики'!AV560,MeanMinAge01)))</f>
        <v/>
      </c>
      <c r="AW492">
        <f>IF(OR(('19_Расчет_аналитики'!AW408-'19_Расчет_аналитики'!AW436)=0,1&lt;='01_Вводные'!$B$297),0,('19_Расчет_аналитики'!AW408-'19_Расчет_аналитики'!AW436)*IF('01_Вводные'!$B$239="Да",MeanMinAge01+'19_Расчет_аналитики'!AW560*SUMIF(ThresholdAge01,"&lt;"&amp;'19_Расчет_аналитики'!AW560,WeightedRevAge01)-SUMIF(ThresholdAge01,"&lt;"&amp;'19_Расчет_аналитики'!AW560,WeightedMinAge01),MAX(CapacityAge01*'01_Вводные'!$B$218*'19_Расчет_аналитики'!AW560,MeanMinAge01)))</f>
        <v/>
      </c>
      <c r="AX492">
        <f>IF(OR(('19_Расчет_аналитики'!AX408-'19_Расчет_аналитики'!AX436)=0,1&lt;='01_Вводные'!$B$297),0,('19_Расчет_аналитики'!AX408-'19_Расчет_аналитики'!AX436)*IF('01_Вводные'!$B$239="Да",MeanMinAge01+'19_Расчет_аналитики'!AX560*SUMIF(ThresholdAge01,"&lt;"&amp;'19_Расчет_аналитики'!AX560,WeightedRevAge01)-SUMIF(ThresholdAge01,"&lt;"&amp;'19_Расчет_аналитики'!AX560,WeightedMinAge01),MAX(CapacityAge01*'01_Вводные'!$B$218*'19_Расчет_аналитики'!AX560,MeanMinAge01)))</f>
        <v/>
      </c>
      <c r="AY492">
        <f>IF(OR(('19_Расчет_аналитики'!AY408-'19_Расчет_аналитики'!AY436)=0,1&lt;='01_Вводные'!$B$297),0,('19_Расчет_аналитики'!AY408-'19_Расчет_аналитики'!AY436)*IF('01_Вводные'!$B$239="Да",MeanMinAge01+'19_Расчет_аналитики'!AY560*SUMIF(ThresholdAge01,"&lt;"&amp;'19_Расчет_аналитики'!AY560,WeightedRevAge01)-SUMIF(ThresholdAge01,"&lt;"&amp;'19_Расчет_аналитики'!AY560,WeightedMinAge01),MAX(CapacityAge01*'01_Вводные'!$B$218*'19_Расчет_аналитики'!AY560,MeanMinAge01)))</f>
        <v/>
      </c>
      <c r="AZ492">
        <f>IF(OR(('19_Расчет_аналитики'!AZ408-'19_Расчет_аналитики'!AZ436)=0,1&lt;='01_Вводные'!$B$297),0,('19_Расчет_аналитики'!AZ408-'19_Расчет_аналитики'!AZ436)*IF('01_Вводные'!$B$239="Да",MeanMinAge01+'19_Расчет_аналитики'!AZ560*SUMIF(ThresholdAge01,"&lt;"&amp;'19_Расчет_аналитики'!AZ560,WeightedRevAge01)-SUMIF(ThresholdAge01,"&lt;"&amp;'19_Расчет_аналитики'!AZ560,WeightedMinAge01),MAX(CapacityAge01*'01_Вводные'!$B$218*'19_Расчет_аналитики'!AZ560,MeanMinAge01)))</f>
        <v/>
      </c>
      <c r="BA492">
        <f>IF(OR(('19_Расчет_аналитики'!BA408-'19_Расчет_аналитики'!BA436)=0,1&lt;='01_Вводные'!$B$297),0,('19_Расчет_аналитики'!BA408-'19_Расчет_аналитики'!BA436)*IF('01_Вводные'!$B$239="Да",MeanMinAge01+'19_Расчет_аналитики'!BA560*SUMIF(ThresholdAge01,"&lt;"&amp;'19_Расчет_аналитики'!BA560,WeightedRevAge01)-SUMIF(ThresholdAge01,"&lt;"&amp;'19_Расчет_аналитики'!BA560,WeightedMinAge01),MAX(CapacityAge01*'01_Вводные'!$B$218*'19_Расчет_аналитики'!BA560,MeanMinAge01)))</f>
        <v/>
      </c>
      <c r="BB492">
        <f>IF(OR(('19_Расчет_аналитики'!BB408-'19_Расчет_аналитики'!BB436)=0,1&lt;='01_Вводные'!$B$297),0,('19_Расчет_аналитики'!BB408-'19_Расчет_аналитики'!BB436)*IF('01_Вводные'!$B$239="Да",MeanMinAge01+'19_Расчет_аналитики'!BB560*SUMIF(ThresholdAge01,"&lt;"&amp;'19_Расчет_аналитики'!BB560,WeightedRevAge01)-SUMIF(ThresholdAge01,"&lt;"&amp;'19_Расчет_аналитики'!BB560,WeightedMinAge01),MAX(CapacityAge01*'01_Вводные'!$B$218*'19_Расчет_аналитики'!BB560,MeanMinAge01)))</f>
        <v/>
      </c>
      <c r="BC492">
        <f>IF(OR(('19_Расчет_аналитики'!BC408-'19_Расчет_аналитики'!BC436)=0,1&lt;='01_Вводные'!$B$297),0,('19_Расчет_аналитики'!BC408-'19_Расчет_аналитики'!BC436)*IF('01_Вводные'!$B$239="Да",MeanMinAge01+'19_Расчет_аналитики'!BC560*SUMIF(ThresholdAge01,"&lt;"&amp;'19_Расчет_аналитики'!BC560,WeightedRevAge01)-SUMIF(ThresholdAge01,"&lt;"&amp;'19_Расчет_аналитики'!BC560,WeightedMinAge01),MAX(CapacityAge01*'01_Вводные'!$B$218*'19_Расчет_аналитики'!BC560,MeanMinAge01)))</f>
        <v/>
      </c>
      <c r="BD492">
        <f>IF(OR(('19_Расчет_аналитики'!BD408-'19_Расчет_аналитики'!BD436)=0,1&lt;='01_Вводные'!$B$297),0,('19_Расчет_аналитики'!BD408-'19_Расчет_аналитики'!BD436)*IF('01_Вводные'!$B$239="Да",MeanMinAge01+'19_Расчет_аналитики'!BD560*SUMIF(ThresholdAge01,"&lt;"&amp;'19_Расчет_аналитики'!BD560,WeightedRevAge01)-SUMIF(ThresholdAge01,"&lt;"&amp;'19_Расчет_аналитики'!BD560,WeightedMinAge01),MAX(CapacityAge01*'01_Вводные'!$B$218*'19_Расчет_аналитики'!BD560,MeanMinAge01)))</f>
        <v/>
      </c>
      <c r="BE492">
        <f>IF(OR(('19_Расчет_аналитики'!BE408-'19_Расчет_аналитики'!BE436)=0,1&lt;='01_Вводные'!$B$297),0,('19_Расчет_аналитики'!BE408-'19_Расчет_аналитики'!BE436)*IF('01_Вводные'!$B$239="Да",MeanMinAge01+'19_Расчет_аналитики'!BE560*SUMIF(ThresholdAge01,"&lt;"&amp;'19_Расчет_аналитики'!BE560,WeightedRevAge01)-SUMIF(ThresholdAge01,"&lt;"&amp;'19_Расчет_аналитики'!BE560,WeightedMinAge01),MAX(CapacityAge01*'01_Вводные'!$B$218*'19_Расчет_аналитики'!BE560,MeanMinAge01)))</f>
        <v/>
      </c>
      <c r="BF492">
        <f>IF(OR(('19_Расчет_аналитики'!BF408-'19_Расчет_аналитики'!BF436)=0,1&lt;='01_Вводные'!$B$297),0,('19_Расчет_аналитики'!BF408-'19_Расчет_аналитики'!BF436)*IF('01_Вводные'!$B$239="Да",MeanMinAge01+'19_Расчет_аналитики'!BF560*SUMIF(ThresholdAge01,"&lt;"&amp;'19_Расчет_аналитики'!BF560,WeightedRevAge01)-SUMIF(ThresholdAge01,"&lt;"&amp;'19_Расчет_аналитики'!BF560,WeightedMinAge01),MAX(CapacityAge01*'01_Вводные'!$B$218*'19_Расчет_аналитики'!BF560,MeanMinAge01)))</f>
        <v/>
      </c>
      <c r="BG492">
        <f>IF(OR(('19_Расчет_аналитики'!BG408-'19_Расчет_аналитики'!BG436)=0,1&lt;='01_Вводные'!$B$297),0,('19_Расчет_аналитики'!BG408-'19_Расчет_аналитики'!BG436)*IF('01_Вводные'!$B$239="Да",MeanMinAge01+'19_Расчет_аналитики'!BG560*SUMIF(ThresholdAge01,"&lt;"&amp;'19_Расчет_аналитики'!BG560,WeightedRevAge01)-SUMIF(ThresholdAge01,"&lt;"&amp;'19_Расчет_аналитики'!BG560,WeightedMinAge01),MAX(CapacityAge01*'01_Вводные'!$B$218*'19_Расчет_аналитики'!BG560,MeanMinAge01)))</f>
        <v/>
      </c>
      <c r="BH492">
        <f>IF(OR(('19_Расчет_аналитики'!BH408-'19_Расчет_аналитики'!BH436)=0,1&lt;='01_Вводные'!$B$297),0,('19_Расчет_аналитики'!BH408-'19_Расчет_аналитики'!BH436)*IF('01_Вводные'!$B$239="Да",MeanMinAge01+'19_Расчет_аналитики'!BH560*SUMIF(ThresholdAge01,"&lt;"&amp;'19_Расчет_аналитики'!BH560,WeightedRevAge01)-SUMIF(ThresholdAge01,"&lt;"&amp;'19_Расчет_аналитики'!BH560,WeightedMinAge01),MAX(CapacityAge01*'01_Вводные'!$B$218*'19_Расчет_аналитики'!BH560,MeanMinAge01)))</f>
        <v/>
      </c>
      <c r="BI492">
        <f>IF(OR(('19_Расчет_аналитики'!BI408-'19_Расчет_аналитики'!BI436)=0,1&lt;='01_Вводные'!$B$297),0,('19_Расчет_аналитики'!BI408-'19_Расчет_аналитики'!BI436)*IF('01_Вводные'!$B$239="Да",MeanMinAge01+'19_Расчет_аналитики'!BI560*SUMIF(ThresholdAge01,"&lt;"&amp;'19_Расчет_аналитики'!BI560,WeightedRevAge01)-SUMIF(ThresholdAge01,"&lt;"&amp;'19_Расчет_аналитики'!BI560,WeightedMinAge01),MAX(CapacityAge01*'01_Вводные'!$B$218*'19_Расчет_аналитики'!BI560,MeanMinAge01)))</f>
        <v/>
      </c>
      <c r="BJ492">
        <f>IF(OR(('19_Расчет_аналитики'!BJ408-'19_Расчет_аналитики'!BJ436)=0,1&lt;='01_Вводные'!$B$297),0,('19_Расчет_аналитики'!BJ408-'19_Расчет_аналитики'!BJ436)*IF('01_Вводные'!$B$239="Да",MeanMinAge01+'19_Расчет_аналитики'!BJ560*SUMIF(ThresholdAge01,"&lt;"&amp;'19_Расчет_аналитики'!BJ560,WeightedRevAge01)-SUMIF(ThresholdAge01,"&lt;"&amp;'19_Расчет_аналитики'!BJ560,WeightedMinAge01),MAX(CapacityAge01*'01_Вводные'!$B$218*'19_Расчет_аналитики'!BJ560,MeanMinAge01)))</f>
        <v/>
      </c>
      <c r="BK492">
        <f>IF(OR(('19_Расчет_аналитики'!BK408-'19_Расчет_аналитики'!BK436)=0,1&lt;='01_Вводные'!$B$297),0,('19_Расчет_аналитики'!BK408-'19_Расчет_аналитики'!BK436)*IF('01_Вводные'!$B$239="Да",MeanMinAge01+'19_Расчет_аналитики'!BK560*SUMIF(ThresholdAge01,"&lt;"&amp;'19_Расчет_аналитики'!BK560,WeightedRevAge01)-SUMIF(ThresholdAge01,"&lt;"&amp;'19_Расчет_аналитики'!BK560,WeightedMinAge01),MAX(CapacityAge01*'01_Вводные'!$B$218*'19_Расчет_аналитики'!BK560,MeanMinAge01)))</f>
        <v/>
      </c>
      <c r="BL492">
        <f>IF(OR(('19_Расчет_аналитики'!BL408-'19_Расчет_аналитики'!BL436)=0,1&lt;='01_Вводные'!$B$297),0,('19_Расчет_аналитики'!BL408-'19_Расчет_аналитики'!BL436)*IF('01_Вводные'!$B$239="Да",MeanMinAge01+'19_Расчет_аналитики'!BL560*SUMIF(ThresholdAge01,"&lt;"&amp;'19_Расчет_аналитики'!BL560,WeightedRevAge01)-SUMIF(ThresholdAge01,"&lt;"&amp;'19_Расчет_аналитики'!BL560,WeightedMinAge01),MAX(CapacityAge01*'01_Вводные'!$B$218*'19_Расчет_аналитики'!BL560,MeanMinAge01)))</f>
        <v/>
      </c>
      <c r="BM492">
        <f>IF(OR(('19_Расчет_аналитики'!BM408-'19_Расчет_аналитики'!BM436)=0,1&lt;='01_Вводные'!$B$297),0,('19_Расчет_аналитики'!BM408-'19_Расчет_аналитики'!BM436)*IF('01_Вводные'!$B$239="Да",MeanMinAge01+'19_Расчет_аналитики'!BM560*SUMIF(ThresholdAge01,"&lt;"&amp;'19_Расчет_аналитики'!BM560,WeightedRevAge01)-SUMIF(ThresholdAge01,"&lt;"&amp;'19_Расчет_аналитики'!BM560,WeightedMinAge01),MAX(CapacityAge01*'01_Вводные'!$B$218*'19_Расчет_аналитики'!BM560,MeanMinAge01)))</f>
        <v/>
      </c>
      <c r="BN492">
        <f>IF(OR(('19_Расчет_аналитики'!BN408-'19_Расчет_аналитики'!BN436)=0,1&lt;='01_Вводные'!$B$297),0,('19_Расчет_аналитики'!BN408-'19_Расчет_аналитики'!BN436)*IF('01_Вводные'!$B$239="Да",MeanMinAge01+'19_Расчет_аналитики'!BN560*SUMIF(ThresholdAge01,"&lt;"&amp;'19_Расчет_аналитики'!BN560,WeightedRevAge01)-SUMIF(ThresholdAge01,"&lt;"&amp;'19_Расчет_аналитики'!BN560,WeightedMinAge01),MAX(CapacityAge01*'01_Вводные'!$B$218*'19_Расчет_аналитики'!BN560,MeanMinAge01)))</f>
        <v/>
      </c>
      <c r="BO492">
        <f>IF(OR(('19_Расчет_аналитики'!BO408-'19_Расчет_аналитики'!BO436)=0,1&lt;='01_Вводные'!$B$297),0,('19_Расчет_аналитики'!BO408-'19_Расчет_аналитики'!BO436)*IF('01_Вводные'!$B$239="Да",MeanMinAge01+'19_Расчет_аналитики'!BO560*SUMIF(ThresholdAge01,"&lt;"&amp;'19_Расчет_аналитики'!BO560,WeightedRevAge01)-SUMIF(ThresholdAge01,"&lt;"&amp;'19_Расчет_аналитики'!BO560,WeightedMinAge01),MAX(CapacityAge01*'01_Вводные'!$B$218*'19_Расчет_аналитики'!BO560,MeanMinAge01)))</f>
        <v/>
      </c>
    </row>
    <row r="493">
      <c r="B493">
        <f>IF(OR(('06_Сеть_и_дети'!B54-'06_Сеть_и_дети'!B82)=0,2&lt;='01_Вводные'!$B$297),0,('06_Сеть_и_дети'!B54-'06_Сеть_и_дети'!B82)*IF('01_Вводные'!$B$239="Да",MeanMinAge02+'19_Расчет_аналитики'!B560*SUMIF(ThresholdAge02,"&lt;"&amp;'19_Расчет_аналитики'!B560,WeightedRevAge02)-SUMIF(ThresholdAge02,"&lt;"&amp;'19_Расчет_аналитики'!B560,WeightedMinAge02),MAX(CapacityAge02*'01_Вводные'!$B$218*'19_Расчет_аналитики'!B560,MeanMinAge02)))</f>
        <v/>
      </c>
      <c r="C493">
        <f>IF(OR(('19_Расчет_аналитики'!C409-'19_Расчет_аналитики'!C437)=0,2&lt;='01_Вводные'!$B$297),0,('19_Расчет_аналитики'!C409-'19_Расчет_аналитики'!C437)*IF('01_Вводные'!$B$239="Да",MeanMinAge02+'19_Расчет_аналитики'!C560*SUMIF(ThresholdAge02,"&lt;"&amp;'19_Расчет_аналитики'!C560,WeightedRevAge02)-SUMIF(ThresholdAge02,"&lt;"&amp;'19_Расчет_аналитики'!C560,WeightedMinAge02),MAX(CapacityAge02*'01_Вводные'!$B$218*'19_Расчет_аналитики'!C560,MeanMinAge02)))</f>
        <v/>
      </c>
      <c r="D493">
        <f>IF(OR(('19_Расчет_аналитики'!D409-'19_Расчет_аналитики'!D437)=0,2&lt;='01_Вводные'!$B$297),0,('19_Расчет_аналитики'!D409-'19_Расчет_аналитики'!D437)*IF('01_Вводные'!$B$239="Да",MeanMinAge02+'19_Расчет_аналитики'!D560*SUMIF(ThresholdAge02,"&lt;"&amp;'19_Расчет_аналитики'!D560,WeightedRevAge02)-SUMIF(ThresholdAge02,"&lt;"&amp;'19_Расчет_аналитики'!D560,WeightedMinAge02),MAX(CapacityAge02*'01_Вводные'!$B$218*'19_Расчет_аналитики'!D560,MeanMinAge02)))</f>
        <v/>
      </c>
      <c r="E493">
        <f>IF(OR(('19_Расчет_аналитики'!E409-'19_Расчет_аналитики'!E437)=0,2&lt;='01_Вводные'!$B$297),0,('19_Расчет_аналитики'!E409-'19_Расчет_аналитики'!E437)*IF('01_Вводные'!$B$239="Да",MeanMinAge02+'19_Расчет_аналитики'!E560*SUMIF(ThresholdAge02,"&lt;"&amp;'19_Расчет_аналитики'!E560,WeightedRevAge02)-SUMIF(ThresholdAge02,"&lt;"&amp;'19_Расчет_аналитики'!E560,WeightedMinAge02),MAX(CapacityAge02*'01_Вводные'!$B$218*'19_Расчет_аналитики'!E560,MeanMinAge02)))</f>
        <v/>
      </c>
      <c r="F493">
        <f>IF(OR(('19_Расчет_аналитики'!F409-'19_Расчет_аналитики'!F437)=0,2&lt;='01_Вводные'!$B$297),0,('19_Расчет_аналитики'!F409-'19_Расчет_аналитики'!F437)*IF('01_Вводные'!$B$239="Да",MeanMinAge02+'19_Расчет_аналитики'!F560*SUMIF(ThresholdAge02,"&lt;"&amp;'19_Расчет_аналитики'!F560,WeightedRevAge02)-SUMIF(ThresholdAge02,"&lt;"&amp;'19_Расчет_аналитики'!F560,WeightedMinAge02),MAX(CapacityAge02*'01_Вводные'!$B$218*'19_Расчет_аналитики'!F560,MeanMinAge02)))</f>
        <v/>
      </c>
      <c r="G493">
        <f>IF(OR(('19_Расчет_аналитики'!G409-'19_Расчет_аналитики'!G437)=0,2&lt;='01_Вводные'!$B$297),0,('19_Расчет_аналитики'!G409-'19_Расчет_аналитики'!G437)*IF('01_Вводные'!$B$239="Да",MeanMinAge02+'19_Расчет_аналитики'!G560*SUMIF(ThresholdAge02,"&lt;"&amp;'19_Расчет_аналитики'!G560,WeightedRevAge02)-SUMIF(ThresholdAge02,"&lt;"&amp;'19_Расчет_аналитики'!G560,WeightedMinAge02),MAX(CapacityAge02*'01_Вводные'!$B$218*'19_Расчет_аналитики'!G560,MeanMinAge02)))</f>
        <v/>
      </c>
      <c r="H493">
        <f>IF(OR(('19_Расчет_аналитики'!H409-'19_Расчет_аналитики'!H437)=0,2&lt;='01_Вводные'!$B$297),0,('19_Расчет_аналитики'!H409-'19_Расчет_аналитики'!H437)*IF('01_Вводные'!$B$239="Да",MeanMinAge02+'19_Расчет_аналитики'!H560*SUMIF(ThresholdAge02,"&lt;"&amp;'19_Расчет_аналитики'!H560,WeightedRevAge02)-SUMIF(ThresholdAge02,"&lt;"&amp;'19_Расчет_аналитики'!H560,WeightedMinAge02),MAX(CapacityAge02*'01_Вводные'!$B$218*'19_Расчет_аналитики'!H560,MeanMinAge02)))</f>
        <v/>
      </c>
      <c r="I493">
        <f>IF(OR(('19_Расчет_аналитики'!I409-'19_Расчет_аналитики'!I437)=0,2&lt;='01_Вводные'!$B$297),0,('19_Расчет_аналитики'!I409-'19_Расчет_аналитики'!I437)*IF('01_Вводные'!$B$239="Да",MeanMinAge02+'19_Расчет_аналитики'!I560*SUMIF(ThresholdAge02,"&lt;"&amp;'19_Расчет_аналитики'!I560,WeightedRevAge02)-SUMIF(ThresholdAge02,"&lt;"&amp;'19_Расчет_аналитики'!I560,WeightedMinAge02),MAX(CapacityAge02*'01_Вводные'!$B$218*'19_Расчет_аналитики'!I560,MeanMinAge02)))</f>
        <v/>
      </c>
      <c r="J493">
        <f>IF(OR(('19_Расчет_аналитики'!J409-'19_Расчет_аналитики'!J437)=0,2&lt;='01_Вводные'!$B$297),0,('19_Расчет_аналитики'!J409-'19_Расчет_аналитики'!J437)*IF('01_Вводные'!$B$239="Да",MeanMinAge02+'19_Расчет_аналитики'!J560*SUMIF(ThresholdAge02,"&lt;"&amp;'19_Расчет_аналитики'!J560,WeightedRevAge02)-SUMIF(ThresholdAge02,"&lt;"&amp;'19_Расчет_аналитики'!J560,WeightedMinAge02),MAX(CapacityAge02*'01_Вводные'!$B$218*'19_Расчет_аналитики'!J560,MeanMinAge02)))</f>
        <v/>
      </c>
      <c r="K493">
        <f>IF(OR(('19_Расчет_аналитики'!K409-'19_Расчет_аналитики'!K437)=0,2&lt;='01_Вводные'!$B$297),0,('19_Расчет_аналитики'!K409-'19_Расчет_аналитики'!K437)*IF('01_Вводные'!$B$239="Да",MeanMinAge02+'19_Расчет_аналитики'!K560*SUMIF(ThresholdAge02,"&lt;"&amp;'19_Расчет_аналитики'!K560,WeightedRevAge02)-SUMIF(ThresholdAge02,"&lt;"&amp;'19_Расчет_аналитики'!K560,WeightedMinAge02),MAX(CapacityAge02*'01_Вводные'!$B$218*'19_Расчет_аналитики'!K560,MeanMinAge02)))</f>
        <v/>
      </c>
      <c r="L493">
        <f>IF(OR(('19_Расчет_аналитики'!L409-'19_Расчет_аналитики'!L437)=0,2&lt;='01_Вводные'!$B$297),0,('19_Расчет_аналитики'!L409-'19_Расчет_аналитики'!L437)*IF('01_Вводные'!$B$239="Да",MeanMinAge02+'19_Расчет_аналитики'!L560*SUMIF(ThresholdAge02,"&lt;"&amp;'19_Расчет_аналитики'!L560,WeightedRevAge02)-SUMIF(ThresholdAge02,"&lt;"&amp;'19_Расчет_аналитики'!L560,WeightedMinAge02),MAX(CapacityAge02*'01_Вводные'!$B$218*'19_Расчет_аналитики'!L560,MeanMinAge02)))</f>
        <v/>
      </c>
      <c r="M493">
        <f>IF(OR(('19_Расчет_аналитики'!M409-'19_Расчет_аналитики'!M437)=0,2&lt;='01_Вводные'!$B$297),0,('19_Расчет_аналитики'!M409-'19_Расчет_аналитики'!M437)*IF('01_Вводные'!$B$239="Да",MeanMinAge02+'19_Расчет_аналитики'!M560*SUMIF(ThresholdAge02,"&lt;"&amp;'19_Расчет_аналитики'!M560,WeightedRevAge02)-SUMIF(ThresholdAge02,"&lt;"&amp;'19_Расчет_аналитики'!M560,WeightedMinAge02),MAX(CapacityAge02*'01_Вводные'!$B$218*'19_Расчет_аналитики'!M560,MeanMinAge02)))</f>
        <v/>
      </c>
      <c r="N493">
        <f>IF(OR(('19_Расчет_аналитики'!N409-'19_Расчет_аналитики'!N437)=0,2&lt;='01_Вводные'!$B$297),0,('19_Расчет_аналитики'!N409-'19_Расчет_аналитики'!N437)*IF('01_Вводные'!$B$239="Да",MeanMinAge02+'19_Расчет_аналитики'!N560*SUMIF(ThresholdAge02,"&lt;"&amp;'19_Расчет_аналитики'!N560,WeightedRevAge02)-SUMIF(ThresholdAge02,"&lt;"&amp;'19_Расчет_аналитики'!N560,WeightedMinAge02),MAX(CapacityAge02*'01_Вводные'!$B$218*'19_Расчет_аналитики'!N560,MeanMinAge02)))</f>
        <v/>
      </c>
      <c r="O493">
        <f>IF(OR(('19_Расчет_аналитики'!O409-'19_Расчет_аналитики'!O437)=0,2&lt;='01_Вводные'!$B$297),0,('19_Расчет_аналитики'!O409-'19_Расчет_аналитики'!O437)*IF('01_Вводные'!$B$239="Да",MeanMinAge02+'19_Расчет_аналитики'!O560*SUMIF(ThresholdAge02,"&lt;"&amp;'19_Расчет_аналитики'!O560,WeightedRevAge02)-SUMIF(ThresholdAge02,"&lt;"&amp;'19_Расчет_аналитики'!O560,WeightedMinAge02),MAX(CapacityAge02*'01_Вводные'!$B$218*'19_Расчет_аналитики'!O560,MeanMinAge02)))</f>
        <v/>
      </c>
      <c r="P493">
        <f>IF(OR(('19_Расчет_аналитики'!P409-'19_Расчет_аналитики'!P437)=0,2&lt;='01_Вводные'!$B$297),0,('19_Расчет_аналитики'!P409-'19_Расчет_аналитики'!P437)*IF('01_Вводные'!$B$239="Да",MeanMinAge02+'19_Расчет_аналитики'!P560*SUMIF(ThresholdAge02,"&lt;"&amp;'19_Расчет_аналитики'!P560,WeightedRevAge02)-SUMIF(ThresholdAge02,"&lt;"&amp;'19_Расчет_аналитики'!P560,WeightedMinAge02),MAX(CapacityAge02*'01_Вводные'!$B$218*'19_Расчет_аналитики'!P560,MeanMinAge02)))</f>
        <v/>
      </c>
      <c r="Q493">
        <f>IF(OR(('19_Расчет_аналитики'!Q409-'19_Расчет_аналитики'!Q437)=0,2&lt;='01_Вводные'!$B$297),0,('19_Расчет_аналитики'!Q409-'19_Расчет_аналитики'!Q437)*IF('01_Вводные'!$B$239="Да",MeanMinAge02+'19_Расчет_аналитики'!Q560*SUMIF(ThresholdAge02,"&lt;"&amp;'19_Расчет_аналитики'!Q560,WeightedRevAge02)-SUMIF(ThresholdAge02,"&lt;"&amp;'19_Расчет_аналитики'!Q560,WeightedMinAge02),MAX(CapacityAge02*'01_Вводные'!$B$218*'19_Расчет_аналитики'!Q560,MeanMinAge02)))</f>
        <v/>
      </c>
      <c r="R493">
        <f>IF(OR(('19_Расчет_аналитики'!R409-'19_Расчет_аналитики'!R437)=0,2&lt;='01_Вводные'!$B$297),0,('19_Расчет_аналитики'!R409-'19_Расчет_аналитики'!R437)*IF('01_Вводные'!$B$239="Да",MeanMinAge02+'19_Расчет_аналитики'!R560*SUMIF(ThresholdAge02,"&lt;"&amp;'19_Расчет_аналитики'!R560,WeightedRevAge02)-SUMIF(ThresholdAge02,"&lt;"&amp;'19_Расчет_аналитики'!R560,WeightedMinAge02),MAX(CapacityAge02*'01_Вводные'!$B$218*'19_Расчет_аналитики'!R560,MeanMinAge02)))</f>
        <v/>
      </c>
      <c r="S493">
        <f>IF(OR(('19_Расчет_аналитики'!S409-'19_Расчет_аналитики'!S437)=0,2&lt;='01_Вводные'!$B$297),0,('19_Расчет_аналитики'!S409-'19_Расчет_аналитики'!S437)*IF('01_Вводные'!$B$239="Да",MeanMinAge02+'19_Расчет_аналитики'!S560*SUMIF(ThresholdAge02,"&lt;"&amp;'19_Расчет_аналитики'!S560,WeightedRevAge02)-SUMIF(ThresholdAge02,"&lt;"&amp;'19_Расчет_аналитики'!S560,WeightedMinAge02),MAX(CapacityAge02*'01_Вводные'!$B$218*'19_Расчет_аналитики'!S560,MeanMinAge02)))</f>
        <v/>
      </c>
      <c r="T493">
        <f>IF(OR(('19_Расчет_аналитики'!T409-'19_Расчет_аналитики'!T437)=0,2&lt;='01_Вводные'!$B$297),0,('19_Расчет_аналитики'!T409-'19_Расчет_аналитики'!T437)*IF('01_Вводные'!$B$239="Да",MeanMinAge02+'19_Расчет_аналитики'!T560*SUMIF(ThresholdAge02,"&lt;"&amp;'19_Расчет_аналитики'!T560,WeightedRevAge02)-SUMIF(ThresholdAge02,"&lt;"&amp;'19_Расчет_аналитики'!T560,WeightedMinAge02),MAX(CapacityAge02*'01_Вводные'!$B$218*'19_Расчет_аналитики'!T560,MeanMinAge02)))</f>
        <v/>
      </c>
      <c r="U493">
        <f>IF(OR(('19_Расчет_аналитики'!U409-'19_Расчет_аналитики'!U437)=0,2&lt;='01_Вводные'!$B$297),0,('19_Расчет_аналитики'!U409-'19_Расчет_аналитики'!U437)*IF('01_Вводные'!$B$239="Да",MeanMinAge02+'19_Расчет_аналитики'!U560*SUMIF(ThresholdAge02,"&lt;"&amp;'19_Расчет_аналитики'!U560,WeightedRevAge02)-SUMIF(ThresholdAge02,"&lt;"&amp;'19_Расчет_аналитики'!U560,WeightedMinAge02),MAX(CapacityAge02*'01_Вводные'!$B$218*'19_Расчет_аналитики'!U560,MeanMinAge02)))</f>
        <v/>
      </c>
      <c r="V493">
        <f>IF(OR(('19_Расчет_аналитики'!V409-'19_Расчет_аналитики'!V437)=0,2&lt;='01_Вводные'!$B$297),0,('19_Расчет_аналитики'!V409-'19_Расчет_аналитики'!V437)*IF('01_Вводные'!$B$239="Да",MeanMinAge02+'19_Расчет_аналитики'!V560*SUMIF(ThresholdAge02,"&lt;"&amp;'19_Расчет_аналитики'!V560,WeightedRevAge02)-SUMIF(ThresholdAge02,"&lt;"&amp;'19_Расчет_аналитики'!V560,WeightedMinAge02),MAX(CapacityAge02*'01_Вводные'!$B$218*'19_Расчет_аналитики'!V560,MeanMinAge02)))</f>
        <v/>
      </c>
      <c r="W493">
        <f>IF(OR(('19_Расчет_аналитики'!W409-'19_Расчет_аналитики'!W437)=0,2&lt;='01_Вводные'!$B$297),0,('19_Расчет_аналитики'!W409-'19_Расчет_аналитики'!W437)*IF('01_Вводные'!$B$239="Да",MeanMinAge02+'19_Расчет_аналитики'!W560*SUMIF(ThresholdAge02,"&lt;"&amp;'19_Расчет_аналитики'!W560,WeightedRevAge02)-SUMIF(ThresholdAge02,"&lt;"&amp;'19_Расчет_аналитики'!W560,WeightedMinAge02),MAX(CapacityAge02*'01_Вводные'!$B$218*'19_Расчет_аналитики'!W560,MeanMinAge02)))</f>
        <v/>
      </c>
      <c r="X493">
        <f>IF(OR(('19_Расчет_аналитики'!X409-'19_Расчет_аналитики'!X437)=0,2&lt;='01_Вводные'!$B$297),0,('19_Расчет_аналитики'!X409-'19_Расчет_аналитики'!X437)*IF('01_Вводные'!$B$239="Да",MeanMinAge02+'19_Расчет_аналитики'!X560*SUMIF(ThresholdAge02,"&lt;"&amp;'19_Расчет_аналитики'!X560,WeightedRevAge02)-SUMIF(ThresholdAge02,"&lt;"&amp;'19_Расчет_аналитики'!X560,WeightedMinAge02),MAX(CapacityAge02*'01_Вводные'!$B$218*'19_Расчет_аналитики'!X560,MeanMinAge02)))</f>
        <v/>
      </c>
      <c r="Y493">
        <f>IF(OR(('19_Расчет_аналитики'!Y409-'19_Расчет_аналитики'!Y437)=0,2&lt;='01_Вводные'!$B$297),0,('19_Расчет_аналитики'!Y409-'19_Расчет_аналитики'!Y437)*IF('01_Вводные'!$B$239="Да",MeanMinAge02+'19_Расчет_аналитики'!Y560*SUMIF(ThresholdAge02,"&lt;"&amp;'19_Расчет_аналитики'!Y560,WeightedRevAge02)-SUMIF(ThresholdAge02,"&lt;"&amp;'19_Расчет_аналитики'!Y560,WeightedMinAge02),MAX(CapacityAge02*'01_Вводные'!$B$218*'19_Расчет_аналитики'!Y560,MeanMinAge02)))</f>
        <v/>
      </c>
      <c r="Z493">
        <f>IF(OR(('19_Расчет_аналитики'!Z409-'19_Расчет_аналитики'!Z437)=0,2&lt;='01_Вводные'!$B$297),0,('19_Расчет_аналитики'!Z409-'19_Расчет_аналитики'!Z437)*IF('01_Вводные'!$B$239="Да",MeanMinAge02+'19_Расчет_аналитики'!Z560*SUMIF(ThresholdAge02,"&lt;"&amp;'19_Расчет_аналитики'!Z560,WeightedRevAge02)-SUMIF(ThresholdAge02,"&lt;"&amp;'19_Расчет_аналитики'!Z560,WeightedMinAge02),MAX(CapacityAge02*'01_Вводные'!$B$218*'19_Расчет_аналитики'!Z560,MeanMinAge02)))</f>
        <v/>
      </c>
      <c r="AA493">
        <f>IF(OR(('19_Расчет_аналитики'!AA409-'19_Расчет_аналитики'!AA437)=0,2&lt;='01_Вводные'!$B$297),0,('19_Расчет_аналитики'!AA409-'19_Расчет_аналитики'!AA437)*IF('01_Вводные'!$B$239="Да",MeanMinAge02+'19_Расчет_аналитики'!AA560*SUMIF(ThresholdAge02,"&lt;"&amp;'19_Расчет_аналитики'!AA560,WeightedRevAge02)-SUMIF(ThresholdAge02,"&lt;"&amp;'19_Расчет_аналитики'!AA560,WeightedMinAge02),MAX(CapacityAge02*'01_Вводные'!$B$218*'19_Расчет_аналитики'!AA560,MeanMinAge02)))</f>
        <v/>
      </c>
      <c r="AB493">
        <f>IF(OR(('19_Расчет_аналитики'!AB409-'19_Расчет_аналитики'!AB437)=0,2&lt;='01_Вводные'!$B$297),0,('19_Расчет_аналитики'!AB409-'19_Расчет_аналитики'!AB437)*IF('01_Вводные'!$B$239="Да",MeanMinAge02+'19_Расчет_аналитики'!AB560*SUMIF(ThresholdAge02,"&lt;"&amp;'19_Расчет_аналитики'!AB560,WeightedRevAge02)-SUMIF(ThresholdAge02,"&lt;"&amp;'19_Расчет_аналитики'!AB560,WeightedMinAge02),MAX(CapacityAge02*'01_Вводные'!$B$218*'19_Расчет_аналитики'!AB560,MeanMinAge02)))</f>
        <v/>
      </c>
      <c r="AC493">
        <f>IF(OR(('19_Расчет_аналитики'!AC409-'19_Расчет_аналитики'!AC437)=0,2&lt;='01_Вводные'!$B$297),0,('19_Расчет_аналитики'!AC409-'19_Расчет_аналитики'!AC437)*IF('01_Вводные'!$B$239="Да",MeanMinAge02+'19_Расчет_аналитики'!AC560*SUMIF(ThresholdAge02,"&lt;"&amp;'19_Расчет_аналитики'!AC560,WeightedRevAge02)-SUMIF(ThresholdAge02,"&lt;"&amp;'19_Расчет_аналитики'!AC560,WeightedMinAge02),MAX(CapacityAge02*'01_Вводные'!$B$218*'19_Расчет_аналитики'!AC560,MeanMinAge02)))</f>
        <v/>
      </c>
      <c r="AD493">
        <f>IF(OR(('19_Расчет_аналитики'!AD409-'19_Расчет_аналитики'!AD437)=0,2&lt;='01_Вводные'!$B$297),0,('19_Расчет_аналитики'!AD409-'19_Расчет_аналитики'!AD437)*IF('01_Вводные'!$B$239="Да",MeanMinAge02+'19_Расчет_аналитики'!AD560*SUMIF(ThresholdAge02,"&lt;"&amp;'19_Расчет_аналитики'!AD560,WeightedRevAge02)-SUMIF(ThresholdAge02,"&lt;"&amp;'19_Расчет_аналитики'!AD560,WeightedMinAge02),MAX(CapacityAge02*'01_Вводные'!$B$218*'19_Расчет_аналитики'!AD560,MeanMinAge02)))</f>
        <v/>
      </c>
      <c r="AE493">
        <f>IF(OR(('19_Расчет_аналитики'!AE409-'19_Расчет_аналитики'!AE437)=0,2&lt;='01_Вводные'!$B$297),0,('19_Расчет_аналитики'!AE409-'19_Расчет_аналитики'!AE437)*IF('01_Вводные'!$B$239="Да",MeanMinAge02+'19_Расчет_аналитики'!AE560*SUMIF(ThresholdAge02,"&lt;"&amp;'19_Расчет_аналитики'!AE560,WeightedRevAge02)-SUMIF(ThresholdAge02,"&lt;"&amp;'19_Расчет_аналитики'!AE560,WeightedMinAge02),MAX(CapacityAge02*'01_Вводные'!$B$218*'19_Расчет_аналитики'!AE560,MeanMinAge02)))</f>
        <v/>
      </c>
      <c r="AF493">
        <f>IF(OR(('19_Расчет_аналитики'!AF409-'19_Расчет_аналитики'!AF437)=0,2&lt;='01_Вводные'!$B$297),0,('19_Расчет_аналитики'!AF409-'19_Расчет_аналитики'!AF437)*IF('01_Вводные'!$B$239="Да",MeanMinAge02+'19_Расчет_аналитики'!AF560*SUMIF(ThresholdAge02,"&lt;"&amp;'19_Расчет_аналитики'!AF560,WeightedRevAge02)-SUMIF(ThresholdAge02,"&lt;"&amp;'19_Расчет_аналитики'!AF560,WeightedMinAge02),MAX(CapacityAge02*'01_Вводные'!$B$218*'19_Расчет_аналитики'!AF560,MeanMinAge02)))</f>
        <v/>
      </c>
      <c r="AG493">
        <f>IF(OR(('19_Расчет_аналитики'!AG409-'19_Расчет_аналитики'!AG437)=0,2&lt;='01_Вводные'!$B$297),0,('19_Расчет_аналитики'!AG409-'19_Расчет_аналитики'!AG437)*IF('01_Вводные'!$B$239="Да",MeanMinAge02+'19_Расчет_аналитики'!AG560*SUMIF(ThresholdAge02,"&lt;"&amp;'19_Расчет_аналитики'!AG560,WeightedRevAge02)-SUMIF(ThresholdAge02,"&lt;"&amp;'19_Расчет_аналитики'!AG560,WeightedMinAge02),MAX(CapacityAge02*'01_Вводные'!$B$218*'19_Расчет_аналитики'!AG560,MeanMinAge02)))</f>
        <v/>
      </c>
      <c r="AH493">
        <f>IF(OR(('19_Расчет_аналитики'!AH409-'19_Расчет_аналитики'!AH437)=0,2&lt;='01_Вводные'!$B$297),0,('19_Расчет_аналитики'!AH409-'19_Расчет_аналитики'!AH437)*IF('01_Вводные'!$B$239="Да",MeanMinAge02+'19_Расчет_аналитики'!AH560*SUMIF(ThresholdAge02,"&lt;"&amp;'19_Расчет_аналитики'!AH560,WeightedRevAge02)-SUMIF(ThresholdAge02,"&lt;"&amp;'19_Расчет_аналитики'!AH560,WeightedMinAge02),MAX(CapacityAge02*'01_Вводные'!$B$218*'19_Расчет_аналитики'!AH560,MeanMinAge02)))</f>
        <v/>
      </c>
      <c r="AI493">
        <f>IF(OR(('19_Расчет_аналитики'!AI409-'19_Расчет_аналитики'!AI437)=0,2&lt;='01_Вводные'!$B$297),0,('19_Расчет_аналитики'!AI409-'19_Расчет_аналитики'!AI437)*IF('01_Вводные'!$B$239="Да",MeanMinAge02+'19_Расчет_аналитики'!AI560*SUMIF(ThresholdAge02,"&lt;"&amp;'19_Расчет_аналитики'!AI560,WeightedRevAge02)-SUMIF(ThresholdAge02,"&lt;"&amp;'19_Расчет_аналитики'!AI560,WeightedMinAge02),MAX(CapacityAge02*'01_Вводные'!$B$218*'19_Расчет_аналитики'!AI560,MeanMinAge02)))</f>
        <v/>
      </c>
      <c r="AJ493">
        <f>IF(OR(('19_Расчет_аналитики'!AJ409-'19_Расчет_аналитики'!AJ437)=0,2&lt;='01_Вводные'!$B$297),0,('19_Расчет_аналитики'!AJ409-'19_Расчет_аналитики'!AJ437)*IF('01_Вводные'!$B$239="Да",MeanMinAge02+'19_Расчет_аналитики'!AJ560*SUMIF(ThresholdAge02,"&lt;"&amp;'19_Расчет_аналитики'!AJ560,WeightedRevAge02)-SUMIF(ThresholdAge02,"&lt;"&amp;'19_Расчет_аналитики'!AJ560,WeightedMinAge02),MAX(CapacityAge02*'01_Вводные'!$B$218*'19_Расчет_аналитики'!AJ560,MeanMinAge02)))</f>
        <v/>
      </c>
      <c r="AK493">
        <f>IF(OR(('19_Расчет_аналитики'!AK409-'19_Расчет_аналитики'!AK437)=0,2&lt;='01_Вводные'!$B$297),0,('19_Расчет_аналитики'!AK409-'19_Расчет_аналитики'!AK437)*IF('01_Вводные'!$B$239="Да",MeanMinAge02+'19_Расчет_аналитики'!AK560*SUMIF(ThresholdAge02,"&lt;"&amp;'19_Расчет_аналитики'!AK560,WeightedRevAge02)-SUMIF(ThresholdAge02,"&lt;"&amp;'19_Расчет_аналитики'!AK560,WeightedMinAge02),MAX(CapacityAge02*'01_Вводные'!$B$218*'19_Расчет_аналитики'!AK560,MeanMinAge02)))</f>
        <v/>
      </c>
      <c r="AL493">
        <f>IF(OR(('19_Расчет_аналитики'!AL409-'19_Расчет_аналитики'!AL437)=0,2&lt;='01_Вводные'!$B$297),0,('19_Расчет_аналитики'!AL409-'19_Расчет_аналитики'!AL437)*IF('01_Вводные'!$B$239="Да",MeanMinAge02+'19_Расчет_аналитики'!AL560*SUMIF(ThresholdAge02,"&lt;"&amp;'19_Расчет_аналитики'!AL560,WeightedRevAge02)-SUMIF(ThresholdAge02,"&lt;"&amp;'19_Расчет_аналитики'!AL560,WeightedMinAge02),MAX(CapacityAge02*'01_Вводные'!$B$218*'19_Расчет_аналитики'!AL560,MeanMinAge02)))</f>
        <v/>
      </c>
      <c r="AM493">
        <f>IF(OR(('19_Расчет_аналитики'!AM409-'19_Расчет_аналитики'!AM437)=0,2&lt;='01_Вводные'!$B$297),0,('19_Расчет_аналитики'!AM409-'19_Расчет_аналитики'!AM437)*IF('01_Вводные'!$B$239="Да",MeanMinAge02+'19_Расчет_аналитики'!AM560*SUMIF(ThresholdAge02,"&lt;"&amp;'19_Расчет_аналитики'!AM560,WeightedRevAge02)-SUMIF(ThresholdAge02,"&lt;"&amp;'19_Расчет_аналитики'!AM560,WeightedMinAge02),MAX(CapacityAge02*'01_Вводные'!$B$218*'19_Расчет_аналитики'!AM560,MeanMinAge02)))</f>
        <v/>
      </c>
      <c r="AN493">
        <f>IF(OR(('19_Расчет_аналитики'!AN409-'19_Расчет_аналитики'!AN437)=0,2&lt;='01_Вводные'!$B$297),0,('19_Расчет_аналитики'!AN409-'19_Расчет_аналитики'!AN437)*IF('01_Вводные'!$B$239="Да",MeanMinAge02+'19_Расчет_аналитики'!AN560*SUMIF(ThresholdAge02,"&lt;"&amp;'19_Расчет_аналитики'!AN560,WeightedRevAge02)-SUMIF(ThresholdAge02,"&lt;"&amp;'19_Расчет_аналитики'!AN560,WeightedMinAge02),MAX(CapacityAge02*'01_Вводные'!$B$218*'19_Расчет_аналитики'!AN560,MeanMinAge02)))</f>
        <v/>
      </c>
      <c r="AO493">
        <f>IF(OR(('19_Расчет_аналитики'!AO409-'19_Расчет_аналитики'!AO437)=0,2&lt;='01_Вводные'!$B$297),0,('19_Расчет_аналитики'!AO409-'19_Расчет_аналитики'!AO437)*IF('01_Вводные'!$B$239="Да",MeanMinAge02+'19_Расчет_аналитики'!AO560*SUMIF(ThresholdAge02,"&lt;"&amp;'19_Расчет_аналитики'!AO560,WeightedRevAge02)-SUMIF(ThresholdAge02,"&lt;"&amp;'19_Расчет_аналитики'!AO560,WeightedMinAge02),MAX(CapacityAge02*'01_Вводные'!$B$218*'19_Расчет_аналитики'!AO560,MeanMinAge02)))</f>
        <v/>
      </c>
      <c r="AP493">
        <f>IF(OR(('19_Расчет_аналитики'!AP409-'19_Расчет_аналитики'!AP437)=0,2&lt;='01_Вводные'!$B$297),0,('19_Расчет_аналитики'!AP409-'19_Расчет_аналитики'!AP437)*IF('01_Вводные'!$B$239="Да",MeanMinAge02+'19_Расчет_аналитики'!AP560*SUMIF(ThresholdAge02,"&lt;"&amp;'19_Расчет_аналитики'!AP560,WeightedRevAge02)-SUMIF(ThresholdAge02,"&lt;"&amp;'19_Расчет_аналитики'!AP560,WeightedMinAge02),MAX(CapacityAge02*'01_Вводные'!$B$218*'19_Расчет_аналитики'!AP560,MeanMinAge02)))</f>
        <v/>
      </c>
      <c r="AQ493">
        <f>IF(OR(('19_Расчет_аналитики'!AQ409-'19_Расчет_аналитики'!AQ437)=0,2&lt;='01_Вводные'!$B$297),0,('19_Расчет_аналитики'!AQ409-'19_Расчет_аналитики'!AQ437)*IF('01_Вводные'!$B$239="Да",MeanMinAge02+'19_Расчет_аналитики'!AQ560*SUMIF(ThresholdAge02,"&lt;"&amp;'19_Расчет_аналитики'!AQ560,WeightedRevAge02)-SUMIF(ThresholdAge02,"&lt;"&amp;'19_Расчет_аналитики'!AQ560,WeightedMinAge02),MAX(CapacityAge02*'01_Вводные'!$B$218*'19_Расчет_аналитики'!AQ560,MeanMinAge02)))</f>
        <v/>
      </c>
      <c r="AR493">
        <f>IF(OR(('19_Расчет_аналитики'!AR409-'19_Расчет_аналитики'!AR437)=0,2&lt;='01_Вводные'!$B$297),0,('19_Расчет_аналитики'!AR409-'19_Расчет_аналитики'!AR437)*IF('01_Вводные'!$B$239="Да",MeanMinAge02+'19_Расчет_аналитики'!AR560*SUMIF(ThresholdAge02,"&lt;"&amp;'19_Расчет_аналитики'!AR560,WeightedRevAge02)-SUMIF(ThresholdAge02,"&lt;"&amp;'19_Расчет_аналитики'!AR560,WeightedMinAge02),MAX(CapacityAge02*'01_Вводные'!$B$218*'19_Расчет_аналитики'!AR560,MeanMinAge02)))</f>
        <v/>
      </c>
      <c r="AS493">
        <f>IF(OR(('19_Расчет_аналитики'!AS409-'19_Расчет_аналитики'!AS437)=0,2&lt;='01_Вводные'!$B$297),0,('19_Расчет_аналитики'!AS409-'19_Расчет_аналитики'!AS437)*IF('01_Вводные'!$B$239="Да",MeanMinAge02+'19_Расчет_аналитики'!AS560*SUMIF(ThresholdAge02,"&lt;"&amp;'19_Расчет_аналитики'!AS560,WeightedRevAge02)-SUMIF(ThresholdAge02,"&lt;"&amp;'19_Расчет_аналитики'!AS560,WeightedMinAge02),MAX(CapacityAge02*'01_Вводные'!$B$218*'19_Расчет_аналитики'!AS560,MeanMinAge02)))</f>
        <v/>
      </c>
      <c r="AT493">
        <f>IF(OR(('19_Расчет_аналитики'!AT409-'19_Расчет_аналитики'!AT437)=0,2&lt;='01_Вводные'!$B$297),0,('19_Расчет_аналитики'!AT409-'19_Расчет_аналитики'!AT437)*IF('01_Вводные'!$B$239="Да",MeanMinAge02+'19_Расчет_аналитики'!AT560*SUMIF(ThresholdAge02,"&lt;"&amp;'19_Расчет_аналитики'!AT560,WeightedRevAge02)-SUMIF(ThresholdAge02,"&lt;"&amp;'19_Расчет_аналитики'!AT560,WeightedMinAge02),MAX(CapacityAge02*'01_Вводные'!$B$218*'19_Расчет_аналитики'!AT560,MeanMinAge02)))</f>
        <v/>
      </c>
      <c r="AU493">
        <f>IF(OR(('19_Расчет_аналитики'!AU409-'19_Расчет_аналитики'!AU437)=0,2&lt;='01_Вводные'!$B$297),0,('19_Расчет_аналитики'!AU409-'19_Расчет_аналитики'!AU437)*IF('01_Вводные'!$B$239="Да",MeanMinAge02+'19_Расчет_аналитики'!AU560*SUMIF(ThresholdAge02,"&lt;"&amp;'19_Расчет_аналитики'!AU560,WeightedRevAge02)-SUMIF(ThresholdAge02,"&lt;"&amp;'19_Расчет_аналитики'!AU560,WeightedMinAge02),MAX(CapacityAge02*'01_Вводные'!$B$218*'19_Расчет_аналитики'!AU560,MeanMinAge02)))</f>
        <v/>
      </c>
      <c r="AV493">
        <f>IF(OR(('19_Расчет_аналитики'!AV409-'19_Расчет_аналитики'!AV437)=0,2&lt;='01_Вводные'!$B$297),0,('19_Расчет_аналитики'!AV409-'19_Расчет_аналитики'!AV437)*IF('01_Вводные'!$B$239="Да",MeanMinAge02+'19_Расчет_аналитики'!AV560*SUMIF(ThresholdAge02,"&lt;"&amp;'19_Расчет_аналитики'!AV560,WeightedRevAge02)-SUMIF(ThresholdAge02,"&lt;"&amp;'19_Расчет_аналитики'!AV560,WeightedMinAge02),MAX(CapacityAge02*'01_Вводные'!$B$218*'19_Расчет_аналитики'!AV560,MeanMinAge02)))</f>
        <v/>
      </c>
      <c r="AW493">
        <f>IF(OR(('19_Расчет_аналитики'!AW409-'19_Расчет_аналитики'!AW437)=0,2&lt;='01_Вводные'!$B$297),0,('19_Расчет_аналитики'!AW409-'19_Расчет_аналитики'!AW437)*IF('01_Вводные'!$B$239="Да",MeanMinAge02+'19_Расчет_аналитики'!AW560*SUMIF(ThresholdAge02,"&lt;"&amp;'19_Расчет_аналитики'!AW560,WeightedRevAge02)-SUMIF(ThresholdAge02,"&lt;"&amp;'19_Расчет_аналитики'!AW560,WeightedMinAge02),MAX(CapacityAge02*'01_Вводные'!$B$218*'19_Расчет_аналитики'!AW560,MeanMinAge02)))</f>
        <v/>
      </c>
      <c r="AX493">
        <f>IF(OR(('19_Расчет_аналитики'!AX409-'19_Расчет_аналитики'!AX437)=0,2&lt;='01_Вводные'!$B$297),0,('19_Расчет_аналитики'!AX409-'19_Расчет_аналитики'!AX437)*IF('01_Вводные'!$B$239="Да",MeanMinAge02+'19_Расчет_аналитики'!AX560*SUMIF(ThresholdAge02,"&lt;"&amp;'19_Расчет_аналитики'!AX560,WeightedRevAge02)-SUMIF(ThresholdAge02,"&lt;"&amp;'19_Расчет_аналитики'!AX560,WeightedMinAge02),MAX(CapacityAge02*'01_Вводные'!$B$218*'19_Расчет_аналитики'!AX560,MeanMinAge02)))</f>
        <v/>
      </c>
      <c r="AY493">
        <f>IF(OR(('19_Расчет_аналитики'!AY409-'19_Расчет_аналитики'!AY437)=0,2&lt;='01_Вводные'!$B$297),0,('19_Расчет_аналитики'!AY409-'19_Расчет_аналитики'!AY437)*IF('01_Вводные'!$B$239="Да",MeanMinAge02+'19_Расчет_аналитики'!AY560*SUMIF(ThresholdAge02,"&lt;"&amp;'19_Расчет_аналитики'!AY560,WeightedRevAge02)-SUMIF(ThresholdAge02,"&lt;"&amp;'19_Расчет_аналитики'!AY560,WeightedMinAge02),MAX(CapacityAge02*'01_Вводные'!$B$218*'19_Расчет_аналитики'!AY560,MeanMinAge02)))</f>
        <v/>
      </c>
      <c r="AZ493">
        <f>IF(OR(('19_Расчет_аналитики'!AZ409-'19_Расчет_аналитики'!AZ437)=0,2&lt;='01_Вводные'!$B$297),0,('19_Расчет_аналитики'!AZ409-'19_Расчет_аналитики'!AZ437)*IF('01_Вводные'!$B$239="Да",MeanMinAge02+'19_Расчет_аналитики'!AZ560*SUMIF(ThresholdAge02,"&lt;"&amp;'19_Расчет_аналитики'!AZ560,WeightedRevAge02)-SUMIF(ThresholdAge02,"&lt;"&amp;'19_Расчет_аналитики'!AZ560,WeightedMinAge02),MAX(CapacityAge02*'01_Вводные'!$B$218*'19_Расчет_аналитики'!AZ560,MeanMinAge02)))</f>
        <v/>
      </c>
      <c r="BA493">
        <f>IF(OR(('19_Расчет_аналитики'!BA409-'19_Расчет_аналитики'!BA437)=0,2&lt;='01_Вводные'!$B$297),0,('19_Расчет_аналитики'!BA409-'19_Расчет_аналитики'!BA437)*IF('01_Вводные'!$B$239="Да",MeanMinAge02+'19_Расчет_аналитики'!BA560*SUMIF(ThresholdAge02,"&lt;"&amp;'19_Расчет_аналитики'!BA560,WeightedRevAge02)-SUMIF(ThresholdAge02,"&lt;"&amp;'19_Расчет_аналитики'!BA560,WeightedMinAge02),MAX(CapacityAge02*'01_Вводные'!$B$218*'19_Расчет_аналитики'!BA560,MeanMinAge02)))</f>
        <v/>
      </c>
      <c r="BB493">
        <f>IF(OR(('19_Расчет_аналитики'!BB409-'19_Расчет_аналитики'!BB437)=0,2&lt;='01_Вводные'!$B$297),0,('19_Расчет_аналитики'!BB409-'19_Расчет_аналитики'!BB437)*IF('01_Вводные'!$B$239="Да",MeanMinAge02+'19_Расчет_аналитики'!BB560*SUMIF(ThresholdAge02,"&lt;"&amp;'19_Расчет_аналитики'!BB560,WeightedRevAge02)-SUMIF(ThresholdAge02,"&lt;"&amp;'19_Расчет_аналитики'!BB560,WeightedMinAge02),MAX(CapacityAge02*'01_Вводные'!$B$218*'19_Расчет_аналитики'!BB560,MeanMinAge02)))</f>
        <v/>
      </c>
      <c r="BC493">
        <f>IF(OR(('19_Расчет_аналитики'!BC409-'19_Расчет_аналитики'!BC437)=0,2&lt;='01_Вводные'!$B$297),0,('19_Расчет_аналитики'!BC409-'19_Расчет_аналитики'!BC437)*IF('01_Вводные'!$B$239="Да",MeanMinAge02+'19_Расчет_аналитики'!BC560*SUMIF(ThresholdAge02,"&lt;"&amp;'19_Расчет_аналитики'!BC560,WeightedRevAge02)-SUMIF(ThresholdAge02,"&lt;"&amp;'19_Расчет_аналитики'!BC560,WeightedMinAge02),MAX(CapacityAge02*'01_Вводные'!$B$218*'19_Расчет_аналитики'!BC560,MeanMinAge02)))</f>
        <v/>
      </c>
      <c r="BD493">
        <f>IF(OR(('19_Расчет_аналитики'!BD409-'19_Расчет_аналитики'!BD437)=0,2&lt;='01_Вводные'!$B$297),0,('19_Расчет_аналитики'!BD409-'19_Расчет_аналитики'!BD437)*IF('01_Вводные'!$B$239="Да",MeanMinAge02+'19_Расчет_аналитики'!BD560*SUMIF(ThresholdAge02,"&lt;"&amp;'19_Расчет_аналитики'!BD560,WeightedRevAge02)-SUMIF(ThresholdAge02,"&lt;"&amp;'19_Расчет_аналитики'!BD560,WeightedMinAge02),MAX(CapacityAge02*'01_Вводные'!$B$218*'19_Расчет_аналитики'!BD560,MeanMinAge02)))</f>
        <v/>
      </c>
      <c r="BE493">
        <f>IF(OR(('19_Расчет_аналитики'!BE409-'19_Расчет_аналитики'!BE437)=0,2&lt;='01_Вводные'!$B$297),0,('19_Расчет_аналитики'!BE409-'19_Расчет_аналитики'!BE437)*IF('01_Вводные'!$B$239="Да",MeanMinAge02+'19_Расчет_аналитики'!BE560*SUMIF(ThresholdAge02,"&lt;"&amp;'19_Расчет_аналитики'!BE560,WeightedRevAge02)-SUMIF(ThresholdAge02,"&lt;"&amp;'19_Расчет_аналитики'!BE560,WeightedMinAge02),MAX(CapacityAge02*'01_Вводные'!$B$218*'19_Расчет_аналитики'!BE560,MeanMinAge02)))</f>
        <v/>
      </c>
      <c r="BF493">
        <f>IF(OR(('19_Расчет_аналитики'!BF409-'19_Расчет_аналитики'!BF437)=0,2&lt;='01_Вводные'!$B$297),0,('19_Расчет_аналитики'!BF409-'19_Расчет_аналитики'!BF437)*IF('01_Вводные'!$B$239="Да",MeanMinAge02+'19_Расчет_аналитики'!BF560*SUMIF(ThresholdAge02,"&lt;"&amp;'19_Расчет_аналитики'!BF560,WeightedRevAge02)-SUMIF(ThresholdAge02,"&lt;"&amp;'19_Расчет_аналитики'!BF560,WeightedMinAge02),MAX(CapacityAge02*'01_Вводные'!$B$218*'19_Расчет_аналитики'!BF560,MeanMinAge02)))</f>
        <v/>
      </c>
      <c r="BG493">
        <f>IF(OR(('19_Расчет_аналитики'!BG409-'19_Расчет_аналитики'!BG437)=0,2&lt;='01_Вводные'!$B$297),0,('19_Расчет_аналитики'!BG409-'19_Расчет_аналитики'!BG437)*IF('01_Вводные'!$B$239="Да",MeanMinAge02+'19_Расчет_аналитики'!BG560*SUMIF(ThresholdAge02,"&lt;"&amp;'19_Расчет_аналитики'!BG560,WeightedRevAge02)-SUMIF(ThresholdAge02,"&lt;"&amp;'19_Расчет_аналитики'!BG560,WeightedMinAge02),MAX(CapacityAge02*'01_Вводные'!$B$218*'19_Расчет_аналитики'!BG560,MeanMinAge02)))</f>
        <v/>
      </c>
      <c r="BH493">
        <f>IF(OR(('19_Расчет_аналитики'!BH409-'19_Расчет_аналитики'!BH437)=0,2&lt;='01_Вводные'!$B$297),0,('19_Расчет_аналитики'!BH409-'19_Расчет_аналитики'!BH437)*IF('01_Вводные'!$B$239="Да",MeanMinAge02+'19_Расчет_аналитики'!BH560*SUMIF(ThresholdAge02,"&lt;"&amp;'19_Расчет_аналитики'!BH560,WeightedRevAge02)-SUMIF(ThresholdAge02,"&lt;"&amp;'19_Расчет_аналитики'!BH560,WeightedMinAge02),MAX(CapacityAge02*'01_Вводные'!$B$218*'19_Расчет_аналитики'!BH560,MeanMinAge02)))</f>
        <v/>
      </c>
      <c r="BI493">
        <f>IF(OR(('19_Расчет_аналитики'!BI409-'19_Расчет_аналитики'!BI437)=0,2&lt;='01_Вводные'!$B$297),0,('19_Расчет_аналитики'!BI409-'19_Расчет_аналитики'!BI437)*IF('01_Вводные'!$B$239="Да",MeanMinAge02+'19_Расчет_аналитики'!BI560*SUMIF(ThresholdAge02,"&lt;"&amp;'19_Расчет_аналитики'!BI560,WeightedRevAge02)-SUMIF(ThresholdAge02,"&lt;"&amp;'19_Расчет_аналитики'!BI560,WeightedMinAge02),MAX(CapacityAge02*'01_Вводные'!$B$218*'19_Расчет_аналитики'!BI560,MeanMinAge02)))</f>
        <v/>
      </c>
      <c r="BJ493">
        <f>IF(OR(('19_Расчет_аналитики'!BJ409-'19_Расчет_аналитики'!BJ437)=0,2&lt;='01_Вводные'!$B$297),0,('19_Расчет_аналитики'!BJ409-'19_Расчет_аналитики'!BJ437)*IF('01_Вводные'!$B$239="Да",MeanMinAge02+'19_Расчет_аналитики'!BJ560*SUMIF(ThresholdAge02,"&lt;"&amp;'19_Расчет_аналитики'!BJ560,WeightedRevAge02)-SUMIF(ThresholdAge02,"&lt;"&amp;'19_Расчет_аналитики'!BJ560,WeightedMinAge02),MAX(CapacityAge02*'01_Вводные'!$B$218*'19_Расчет_аналитики'!BJ560,MeanMinAge02)))</f>
        <v/>
      </c>
      <c r="BK493">
        <f>IF(OR(('19_Расчет_аналитики'!BK409-'19_Расчет_аналитики'!BK437)=0,2&lt;='01_Вводные'!$B$297),0,('19_Расчет_аналитики'!BK409-'19_Расчет_аналитики'!BK437)*IF('01_Вводные'!$B$239="Да",MeanMinAge02+'19_Расчет_аналитики'!BK560*SUMIF(ThresholdAge02,"&lt;"&amp;'19_Расчет_аналитики'!BK560,WeightedRevAge02)-SUMIF(ThresholdAge02,"&lt;"&amp;'19_Расчет_аналитики'!BK560,WeightedMinAge02),MAX(CapacityAge02*'01_Вводные'!$B$218*'19_Расчет_аналитики'!BK560,MeanMinAge02)))</f>
        <v/>
      </c>
      <c r="BL493">
        <f>IF(OR(('19_Расчет_аналитики'!BL409-'19_Расчет_аналитики'!BL437)=0,2&lt;='01_Вводные'!$B$297),0,('19_Расчет_аналитики'!BL409-'19_Расчет_аналитики'!BL437)*IF('01_Вводные'!$B$239="Да",MeanMinAge02+'19_Расчет_аналитики'!BL560*SUMIF(ThresholdAge02,"&lt;"&amp;'19_Расчет_аналитики'!BL560,WeightedRevAge02)-SUMIF(ThresholdAge02,"&lt;"&amp;'19_Расчет_аналитики'!BL560,WeightedMinAge02),MAX(CapacityAge02*'01_Вводные'!$B$218*'19_Расчет_аналитики'!BL560,MeanMinAge02)))</f>
        <v/>
      </c>
      <c r="BM493">
        <f>IF(OR(('19_Расчет_аналитики'!BM409-'19_Расчет_аналитики'!BM437)=0,2&lt;='01_Вводные'!$B$297),0,('19_Расчет_аналитики'!BM409-'19_Расчет_аналитики'!BM437)*IF('01_Вводные'!$B$239="Да",MeanMinAge02+'19_Расчет_аналитики'!BM560*SUMIF(ThresholdAge02,"&lt;"&amp;'19_Расчет_аналитики'!BM560,WeightedRevAge02)-SUMIF(ThresholdAge02,"&lt;"&amp;'19_Расчет_аналитики'!BM560,WeightedMinAge02),MAX(CapacityAge02*'01_Вводные'!$B$218*'19_Расчет_аналитики'!BM560,MeanMinAge02)))</f>
        <v/>
      </c>
      <c r="BN493">
        <f>IF(OR(('19_Расчет_аналитики'!BN409-'19_Расчет_аналитики'!BN437)=0,2&lt;='01_Вводные'!$B$297),0,('19_Расчет_аналитики'!BN409-'19_Расчет_аналитики'!BN437)*IF('01_Вводные'!$B$239="Да",MeanMinAge02+'19_Расчет_аналитики'!BN560*SUMIF(ThresholdAge02,"&lt;"&amp;'19_Расчет_аналитики'!BN560,WeightedRevAge02)-SUMIF(ThresholdAge02,"&lt;"&amp;'19_Расчет_аналитики'!BN560,WeightedMinAge02),MAX(CapacityAge02*'01_Вводные'!$B$218*'19_Расчет_аналитики'!BN560,MeanMinAge02)))</f>
        <v/>
      </c>
      <c r="BO493">
        <f>IF(OR(('19_Расчет_аналитики'!BO409-'19_Расчет_аналитики'!BO437)=0,2&lt;='01_Вводные'!$B$297),0,('19_Расчет_аналитики'!BO409-'19_Расчет_аналитики'!BO437)*IF('01_Вводные'!$B$239="Да",MeanMinAge02+'19_Расчет_аналитики'!BO560*SUMIF(ThresholdAge02,"&lt;"&amp;'19_Расчет_аналитики'!BO560,WeightedRevAge02)-SUMIF(ThresholdAge02,"&lt;"&amp;'19_Расчет_аналитики'!BO560,WeightedMinAge02),MAX(CapacityAge02*'01_Вводные'!$B$218*'19_Расчет_аналитики'!BO560,MeanMinAge02)))</f>
        <v/>
      </c>
    </row>
    <row r="494">
      <c r="B494">
        <f>IF(OR(('06_Сеть_и_дети'!B55-'06_Сеть_и_дети'!B83)=0,3&lt;='01_Вводные'!$B$297),0,('06_Сеть_и_дети'!B55-'06_Сеть_и_дети'!B83)*IF('01_Вводные'!$B$239="Да",MeanMinAge03+'19_Расчет_аналитики'!B560*SUMIF(ThresholdAge03,"&lt;"&amp;'19_Расчет_аналитики'!B560,WeightedRevAge03)-SUMIF(ThresholdAge03,"&lt;"&amp;'19_Расчет_аналитики'!B560,WeightedMinAge03),MAX(CapacityAge03*'01_Вводные'!$B$218*'19_Расчет_аналитики'!B560,MeanMinAge03)))</f>
        <v/>
      </c>
      <c r="C494">
        <f>IF(OR(('06_Сеть_и_дети'!C55-'06_Сеть_и_дети'!C83)=0,3&lt;='01_Вводные'!$B$297),0,('06_Сеть_и_дети'!C55-'06_Сеть_и_дети'!C83)*IF('01_Вводные'!$B$239="Да",MeanMinAge03+'19_Расчет_аналитики'!C560*SUMIF(ThresholdAge03,"&lt;"&amp;'19_Расчет_аналитики'!C560,WeightedRevAge03)-SUMIF(ThresholdAge03,"&lt;"&amp;'19_Расчет_аналитики'!C560,WeightedMinAge03),MAX(CapacityAge03*'01_Вводные'!$B$218*'19_Расчет_аналитики'!C560,MeanMinAge03)))</f>
        <v/>
      </c>
      <c r="D494">
        <f>IF(OR(('19_Расчет_аналитики'!D410-'19_Расчет_аналитики'!D438)=0,3&lt;='01_Вводные'!$B$297),0,('19_Расчет_аналитики'!D410-'19_Расчет_аналитики'!D438)*IF('01_Вводные'!$B$239="Да",MeanMinAge03+'19_Расчет_аналитики'!D560*SUMIF(ThresholdAge03,"&lt;"&amp;'19_Расчет_аналитики'!D560,WeightedRevAge03)-SUMIF(ThresholdAge03,"&lt;"&amp;'19_Расчет_аналитики'!D560,WeightedMinAge03),MAX(CapacityAge03*'01_Вводные'!$B$218*'19_Расчет_аналитики'!D560,MeanMinAge03)))</f>
        <v/>
      </c>
      <c r="E494">
        <f>IF(OR(('19_Расчет_аналитики'!E410-'19_Расчет_аналитики'!E438)=0,3&lt;='01_Вводные'!$B$297),0,('19_Расчет_аналитики'!E410-'19_Расчет_аналитики'!E438)*IF('01_Вводные'!$B$239="Да",MeanMinAge03+'19_Расчет_аналитики'!E560*SUMIF(ThresholdAge03,"&lt;"&amp;'19_Расчет_аналитики'!E560,WeightedRevAge03)-SUMIF(ThresholdAge03,"&lt;"&amp;'19_Расчет_аналитики'!E560,WeightedMinAge03),MAX(CapacityAge03*'01_Вводные'!$B$218*'19_Расчет_аналитики'!E560,MeanMinAge03)))</f>
        <v/>
      </c>
      <c r="F494">
        <f>IF(OR(('19_Расчет_аналитики'!F410-'19_Расчет_аналитики'!F438)=0,3&lt;='01_Вводные'!$B$297),0,('19_Расчет_аналитики'!F410-'19_Расчет_аналитики'!F438)*IF('01_Вводные'!$B$239="Да",MeanMinAge03+'19_Расчет_аналитики'!F560*SUMIF(ThresholdAge03,"&lt;"&amp;'19_Расчет_аналитики'!F560,WeightedRevAge03)-SUMIF(ThresholdAge03,"&lt;"&amp;'19_Расчет_аналитики'!F560,WeightedMinAge03),MAX(CapacityAge03*'01_Вводные'!$B$218*'19_Расчет_аналитики'!F560,MeanMinAge03)))</f>
        <v/>
      </c>
      <c r="G494">
        <f>IF(OR(('19_Расчет_аналитики'!G410-'19_Расчет_аналитики'!G438)=0,3&lt;='01_Вводные'!$B$297),0,('19_Расчет_аналитики'!G410-'19_Расчет_аналитики'!G438)*IF('01_Вводные'!$B$239="Да",MeanMinAge03+'19_Расчет_аналитики'!G560*SUMIF(ThresholdAge03,"&lt;"&amp;'19_Расчет_аналитики'!G560,WeightedRevAge03)-SUMIF(ThresholdAge03,"&lt;"&amp;'19_Расчет_аналитики'!G560,WeightedMinAge03),MAX(CapacityAge03*'01_Вводные'!$B$218*'19_Расчет_аналитики'!G560,MeanMinAge03)))</f>
        <v/>
      </c>
      <c r="H494">
        <f>IF(OR(('19_Расчет_аналитики'!H410-'19_Расчет_аналитики'!H438)=0,3&lt;='01_Вводные'!$B$297),0,('19_Расчет_аналитики'!H410-'19_Расчет_аналитики'!H438)*IF('01_Вводные'!$B$239="Да",MeanMinAge03+'19_Расчет_аналитики'!H560*SUMIF(ThresholdAge03,"&lt;"&amp;'19_Расчет_аналитики'!H560,WeightedRevAge03)-SUMIF(ThresholdAge03,"&lt;"&amp;'19_Расчет_аналитики'!H560,WeightedMinAge03),MAX(CapacityAge03*'01_Вводные'!$B$218*'19_Расчет_аналитики'!H560,MeanMinAge03)))</f>
        <v/>
      </c>
      <c r="I494">
        <f>IF(OR(('19_Расчет_аналитики'!I410-'19_Расчет_аналитики'!I438)=0,3&lt;='01_Вводные'!$B$297),0,('19_Расчет_аналитики'!I410-'19_Расчет_аналитики'!I438)*IF('01_Вводные'!$B$239="Да",MeanMinAge03+'19_Расчет_аналитики'!I560*SUMIF(ThresholdAge03,"&lt;"&amp;'19_Расчет_аналитики'!I560,WeightedRevAge03)-SUMIF(ThresholdAge03,"&lt;"&amp;'19_Расчет_аналитики'!I560,WeightedMinAge03),MAX(CapacityAge03*'01_Вводные'!$B$218*'19_Расчет_аналитики'!I560,MeanMinAge03)))</f>
        <v/>
      </c>
      <c r="J494">
        <f>IF(OR(('19_Расчет_аналитики'!J410-'19_Расчет_аналитики'!J438)=0,3&lt;='01_Вводные'!$B$297),0,('19_Расчет_аналитики'!J410-'19_Расчет_аналитики'!J438)*IF('01_Вводные'!$B$239="Да",MeanMinAge03+'19_Расчет_аналитики'!J560*SUMIF(ThresholdAge03,"&lt;"&amp;'19_Расчет_аналитики'!J560,WeightedRevAge03)-SUMIF(ThresholdAge03,"&lt;"&amp;'19_Расчет_аналитики'!J560,WeightedMinAge03),MAX(CapacityAge03*'01_Вводные'!$B$218*'19_Расчет_аналитики'!J560,MeanMinAge03)))</f>
        <v/>
      </c>
      <c r="K494">
        <f>IF(OR(('19_Расчет_аналитики'!K410-'19_Расчет_аналитики'!K438)=0,3&lt;='01_Вводные'!$B$297),0,('19_Расчет_аналитики'!K410-'19_Расчет_аналитики'!K438)*IF('01_Вводные'!$B$239="Да",MeanMinAge03+'19_Расчет_аналитики'!K560*SUMIF(ThresholdAge03,"&lt;"&amp;'19_Расчет_аналитики'!K560,WeightedRevAge03)-SUMIF(ThresholdAge03,"&lt;"&amp;'19_Расчет_аналитики'!K560,WeightedMinAge03),MAX(CapacityAge03*'01_Вводные'!$B$218*'19_Расчет_аналитики'!K560,MeanMinAge03)))</f>
        <v/>
      </c>
      <c r="L494">
        <f>IF(OR(('19_Расчет_аналитики'!L410-'19_Расчет_аналитики'!L438)=0,3&lt;='01_Вводные'!$B$297),0,('19_Расчет_аналитики'!L410-'19_Расчет_аналитики'!L438)*IF('01_Вводные'!$B$239="Да",MeanMinAge03+'19_Расчет_аналитики'!L560*SUMIF(ThresholdAge03,"&lt;"&amp;'19_Расчет_аналитики'!L560,WeightedRevAge03)-SUMIF(ThresholdAge03,"&lt;"&amp;'19_Расчет_аналитики'!L560,WeightedMinAge03),MAX(CapacityAge03*'01_Вводные'!$B$218*'19_Расчет_аналитики'!L560,MeanMinAge03)))</f>
        <v/>
      </c>
      <c r="M494">
        <f>IF(OR(('19_Расчет_аналитики'!M410-'19_Расчет_аналитики'!M438)=0,3&lt;='01_Вводные'!$B$297),0,('19_Расчет_аналитики'!M410-'19_Расчет_аналитики'!M438)*IF('01_Вводные'!$B$239="Да",MeanMinAge03+'19_Расчет_аналитики'!M560*SUMIF(ThresholdAge03,"&lt;"&amp;'19_Расчет_аналитики'!M560,WeightedRevAge03)-SUMIF(ThresholdAge03,"&lt;"&amp;'19_Расчет_аналитики'!M560,WeightedMinAge03),MAX(CapacityAge03*'01_Вводные'!$B$218*'19_Расчет_аналитики'!M560,MeanMinAge03)))</f>
        <v/>
      </c>
      <c r="N494">
        <f>IF(OR(('19_Расчет_аналитики'!N410-'19_Расчет_аналитики'!N438)=0,3&lt;='01_Вводные'!$B$297),0,('19_Расчет_аналитики'!N410-'19_Расчет_аналитики'!N438)*IF('01_Вводные'!$B$239="Да",MeanMinAge03+'19_Расчет_аналитики'!N560*SUMIF(ThresholdAge03,"&lt;"&amp;'19_Расчет_аналитики'!N560,WeightedRevAge03)-SUMIF(ThresholdAge03,"&lt;"&amp;'19_Расчет_аналитики'!N560,WeightedMinAge03),MAX(CapacityAge03*'01_Вводные'!$B$218*'19_Расчет_аналитики'!N560,MeanMinAge03)))</f>
        <v/>
      </c>
      <c r="O494">
        <f>IF(OR(('19_Расчет_аналитики'!O410-'19_Расчет_аналитики'!O438)=0,3&lt;='01_Вводные'!$B$297),0,('19_Расчет_аналитики'!O410-'19_Расчет_аналитики'!O438)*IF('01_Вводные'!$B$239="Да",MeanMinAge03+'19_Расчет_аналитики'!O560*SUMIF(ThresholdAge03,"&lt;"&amp;'19_Расчет_аналитики'!O560,WeightedRevAge03)-SUMIF(ThresholdAge03,"&lt;"&amp;'19_Расчет_аналитики'!O560,WeightedMinAge03),MAX(CapacityAge03*'01_Вводные'!$B$218*'19_Расчет_аналитики'!O560,MeanMinAge03)))</f>
        <v/>
      </c>
      <c r="P494">
        <f>IF(OR(('19_Расчет_аналитики'!P410-'19_Расчет_аналитики'!P438)=0,3&lt;='01_Вводные'!$B$297),0,('19_Расчет_аналитики'!P410-'19_Расчет_аналитики'!P438)*IF('01_Вводные'!$B$239="Да",MeanMinAge03+'19_Расчет_аналитики'!P560*SUMIF(ThresholdAge03,"&lt;"&amp;'19_Расчет_аналитики'!P560,WeightedRevAge03)-SUMIF(ThresholdAge03,"&lt;"&amp;'19_Расчет_аналитики'!P560,WeightedMinAge03),MAX(CapacityAge03*'01_Вводные'!$B$218*'19_Расчет_аналитики'!P560,MeanMinAge03)))</f>
        <v/>
      </c>
      <c r="Q494">
        <f>IF(OR(('19_Расчет_аналитики'!Q410-'19_Расчет_аналитики'!Q438)=0,3&lt;='01_Вводные'!$B$297),0,('19_Расчет_аналитики'!Q410-'19_Расчет_аналитики'!Q438)*IF('01_Вводные'!$B$239="Да",MeanMinAge03+'19_Расчет_аналитики'!Q560*SUMIF(ThresholdAge03,"&lt;"&amp;'19_Расчет_аналитики'!Q560,WeightedRevAge03)-SUMIF(ThresholdAge03,"&lt;"&amp;'19_Расчет_аналитики'!Q560,WeightedMinAge03),MAX(CapacityAge03*'01_Вводные'!$B$218*'19_Расчет_аналитики'!Q560,MeanMinAge03)))</f>
        <v/>
      </c>
      <c r="R494">
        <f>IF(OR(('19_Расчет_аналитики'!R410-'19_Расчет_аналитики'!R438)=0,3&lt;='01_Вводные'!$B$297),0,('19_Расчет_аналитики'!R410-'19_Расчет_аналитики'!R438)*IF('01_Вводные'!$B$239="Да",MeanMinAge03+'19_Расчет_аналитики'!R560*SUMIF(ThresholdAge03,"&lt;"&amp;'19_Расчет_аналитики'!R560,WeightedRevAge03)-SUMIF(ThresholdAge03,"&lt;"&amp;'19_Расчет_аналитики'!R560,WeightedMinAge03),MAX(CapacityAge03*'01_Вводные'!$B$218*'19_Расчет_аналитики'!R560,MeanMinAge03)))</f>
        <v/>
      </c>
      <c r="S494">
        <f>IF(OR(('19_Расчет_аналитики'!S410-'19_Расчет_аналитики'!S438)=0,3&lt;='01_Вводные'!$B$297),0,('19_Расчет_аналитики'!S410-'19_Расчет_аналитики'!S438)*IF('01_Вводные'!$B$239="Да",MeanMinAge03+'19_Расчет_аналитики'!S560*SUMIF(ThresholdAge03,"&lt;"&amp;'19_Расчет_аналитики'!S560,WeightedRevAge03)-SUMIF(ThresholdAge03,"&lt;"&amp;'19_Расчет_аналитики'!S560,WeightedMinAge03),MAX(CapacityAge03*'01_Вводные'!$B$218*'19_Расчет_аналитики'!S560,MeanMinAge03)))</f>
        <v/>
      </c>
      <c r="T494">
        <f>IF(OR(('19_Расчет_аналитики'!T410-'19_Расчет_аналитики'!T438)=0,3&lt;='01_Вводные'!$B$297),0,('19_Расчет_аналитики'!T410-'19_Расчет_аналитики'!T438)*IF('01_Вводные'!$B$239="Да",MeanMinAge03+'19_Расчет_аналитики'!T560*SUMIF(ThresholdAge03,"&lt;"&amp;'19_Расчет_аналитики'!T560,WeightedRevAge03)-SUMIF(ThresholdAge03,"&lt;"&amp;'19_Расчет_аналитики'!T560,WeightedMinAge03),MAX(CapacityAge03*'01_Вводные'!$B$218*'19_Расчет_аналитики'!T560,MeanMinAge03)))</f>
        <v/>
      </c>
      <c r="U494">
        <f>IF(OR(('19_Расчет_аналитики'!U410-'19_Расчет_аналитики'!U438)=0,3&lt;='01_Вводные'!$B$297),0,('19_Расчет_аналитики'!U410-'19_Расчет_аналитики'!U438)*IF('01_Вводные'!$B$239="Да",MeanMinAge03+'19_Расчет_аналитики'!U560*SUMIF(ThresholdAge03,"&lt;"&amp;'19_Расчет_аналитики'!U560,WeightedRevAge03)-SUMIF(ThresholdAge03,"&lt;"&amp;'19_Расчет_аналитики'!U560,WeightedMinAge03),MAX(CapacityAge03*'01_Вводные'!$B$218*'19_Расчет_аналитики'!U560,MeanMinAge03)))</f>
        <v/>
      </c>
      <c r="V494">
        <f>IF(OR(('19_Расчет_аналитики'!V410-'19_Расчет_аналитики'!V438)=0,3&lt;='01_Вводные'!$B$297),0,('19_Расчет_аналитики'!V410-'19_Расчет_аналитики'!V438)*IF('01_Вводные'!$B$239="Да",MeanMinAge03+'19_Расчет_аналитики'!V560*SUMIF(ThresholdAge03,"&lt;"&amp;'19_Расчет_аналитики'!V560,WeightedRevAge03)-SUMIF(ThresholdAge03,"&lt;"&amp;'19_Расчет_аналитики'!V560,WeightedMinAge03),MAX(CapacityAge03*'01_Вводные'!$B$218*'19_Расчет_аналитики'!V560,MeanMinAge03)))</f>
        <v/>
      </c>
      <c r="W494">
        <f>IF(OR(('19_Расчет_аналитики'!W410-'19_Расчет_аналитики'!W438)=0,3&lt;='01_Вводные'!$B$297),0,('19_Расчет_аналитики'!W410-'19_Расчет_аналитики'!W438)*IF('01_Вводные'!$B$239="Да",MeanMinAge03+'19_Расчет_аналитики'!W560*SUMIF(ThresholdAge03,"&lt;"&amp;'19_Расчет_аналитики'!W560,WeightedRevAge03)-SUMIF(ThresholdAge03,"&lt;"&amp;'19_Расчет_аналитики'!W560,WeightedMinAge03),MAX(CapacityAge03*'01_Вводные'!$B$218*'19_Расчет_аналитики'!W560,MeanMinAge03)))</f>
        <v/>
      </c>
      <c r="X494">
        <f>IF(OR(('19_Расчет_аналитики'!X410-'19_Расчет_аналитики'!X438)=0,3&lt;='01_Вводные'!$B$297),0,('19_Расчет_аналитики'!X410-'19_Расчет_аналитики'!X438)*IF('01_Вводные'!$B$239="Да",MeanMinAge03+'19_Расчет_аналитики'!X560*SUMIF(ThresholdAge03,"&lt;"&amp;'19_Расчет_аналитики'!X560,WeightedRevAge03)-SUMIF(ThresholdAge03,"&lt;"&amp;'19_Расчет_аналитики'!X560,WeightedMinAge03),MAX(CapacityAge03*'01_Вводные'!$B$218*'19_Расчет_аналитики'!X560,MeanMinAge03)))</f>
        <v/>
      </c>
      <c r="Y494">
        <f>IF(OR(('19_Расчет_аналитики'!Y410-'19_Расчет_аналитики'!Y438)=0,3&lt;='01_Вводные'!$B$297),0,('19_Расчет_аналитики'!Y410-'19_Расчет_аналитики'!Y438)*IF('01_Вводные'!$B$239="Да",MeanMinAge03+'19_Расчет_аналитики'!Y560*SUMIF(ThresholdAge03,"&lt;"&amp;'19_Расчет_аналитики'!Y560,WeightedRevAge03)-SUMIF(ThresholdAge03,"&lt;"&amp;'19_Расчет_аналитики'!Y560,WeightedMinAge03),MAX(CapacityAge03*'01_Вводные'!$B$218*'19_Расчет_аналитики'!Y560,MeanMinAge03)))</f>
        <v/>
      </c>
      <c r="Z494">
        <f>IF(OR(('19_Расчет_аналитики'!Z410-'19_Расчет_аналитики'!Z438)=0,3&lt;='01_Вводные'!$B$297),0,('19_Расчет_аналитики'!Z410-'19_Расчет_аналитики'!Z438)*IF('01_Вводные'!$B$239="Да",MeanMinAge03+'19_Расчет_аналитики'!Z560*SUMIF(ThresholdAge03,"&lt;"&amp;'19_Расчет_аналитики'!Z560,WeightedRevAge03)-SUMIF(ThresholdAge03,"&lt;"&amp;'19_Расчет_аналитики'!Z560,WeightedMinAge03),MAX(CapacityAge03*'01_Вводные'!$B$218*'19_Расчет_аналитики'!Z560,MeanMinAge03)))</f>
        <v/>
      </c>
      <c r="AA494">
        <f>IF(OR(('19_Расчет_аналитики'!AA410-'19_Расчет_аналитики'!AA438)=0,3&lt;='01_Вводные'!$B$297),0,('19_Расчет_аналитики'!AA410-'19_Расчет_аналитики'!AA438)*IF('01_Вводные'!$B$239="Да",MeanMinAge03+'19_Расчет_аналитики'!AA560*SUMIF(ThresholdAge03,"&lt;"&amp;'19_Расчет_аналитики'!AA560,WeightedRevAge03)-SUMIF(ThresholdAge03,"&lt;"&amp;'19_Расчет_аналитики'!AA560,WeightedMinAge03),MAX(CapacityAge03*'01_Вводные'!$B$218*'19_Расчет_аналитики'!AA560,MeanMinAge03)))</f>
        <v/>
      </c>
      <c r="AB494">
        <f>IF(OR(('19_Расчет_аналитики'!AB410-'19_Расчет_аналитики'!AB438)=0,3&lt;='01_Вводные'!$B$297),0,('19_Расчет_аналитики'!AB410-'19_Расчет_аналитики'!AB438)*IF('01_Вводные'!$B$239="Да",MeanMinAge03+'19_Расчет_аналитики'!AB560*SUMIF(ThresholdAge03,"&lt;"&amp;'19_Расчет_аналитики'!AB560,WeightedRevAge03)-SUMIF(ThresholdAge03,"&lt;"&amp;'19_Расчет_аналитики'!AB560,WeightedMinAge03),MAX(CapacityAge03*'01_Вводные'!$B$218*'19_Расчет_аналитики'!AB560,MeanMinAge03)))</f>
        <v/>
      </c>
      <c r="AC494">
        <f>IF(OR(('19_Расчет_аналитики'!AC410-'19_Расчет_аналитики'!AC438)=0,3&lt;='01_Вводные'!$B$297),0,('19_Расчет_аналитики'!AC410-'19_Расчет_аналитики'!AC438)*IF('01_Вводные'!$B$239="Да",MeanMinAge03+'19_Расчет_аналитики'!AC560*SUMIF(ThresholdAge03,"&lt;"&amp;'19_Расчет_аналитики'!AC560,WeightedRevAge03)-SUMIF(ThresholdAge03,"&lt;"&amp;'19_Расчет_аналитики'!AC560,WeightedMinAge03),MAX(CapacityAge03*'01_Вводные'!$B$218*'19_Расчет_аналитики'!AC560,MeanMinAge03)))</f>
        <v/>
      </c>
      <c r="AD494">
        <f>IF(OR(('19_Расчет_аналитики'!AD410-'19_Расчет_аналитики'!AD438)=0,3&lt;='01_Вводные'!$B$297),0,('19_Расчет_аналитики'!AD410-'19_Расчет_аналитики'!AD438)*IF('01_Вводные'!$B$239="Да",MeanMinAge03+'19_Расчет_аналитики'!AD560*SUMIF(ThresholdAge03,"&lt;"&amp;'19_Расчет_аналитики'!AD560,WeightedRevAge03)-SUMIF(ThresholdAge03,"&lt;"&amp;'19_Расчет_аналитики'!AD560,WeightedMinAge03),MAX(CapacityAge03*'01_Вводные'!$B$218*'19_Расчет_аналитики'!AD560,MeanMinAge03)))</f>
        <v/>
      </c>
      <c r="AE494">
        <f>IF(OR(('19_Расчет_аналитики'!AE410-'19_Расчет_аналитики'!AE438)=0,3&lt;='01_Вводные'!$B$297),0,('19_Расчет_аналитики'!AE410-'19_Расчет_аналитики'!AE438)*IF('01_Вводные'!$B$239="Да",MeanMinAge03+'19_Расчет_аналитики'!AE560*SUMIF(ThresholdAge03,"&lt;"&amp;'19_Расчет_аналитики'!AE560,WeightedRevAge03)-SUMIF(ThresholdAge03,"&lt;"&amp;'19_Расчет_аналитики'!AE560,WeightedMinAge03),MAX(CapacityAge03*'01_Вводные'!$B$218*'19_Расчет_аналитики'!AE560,MeanMinAge03)))</f>
        <v/>
      </c>
      <c r="AF494">
        <f>IF(OR(('19_Расчет_аналитики'!AF410-'19_Расчет_аналитики'!AF438)=0,3&lt;='01_Вводные'!$B$297),0,('19_Расчет_аналитики'!AF410-'19_Расчет_аналитики'!AF438)*IF('01_Вводные'!$B$239="Да",MeanMinAge03+'19_Расчет_аналитики'!AF560*SUMIF(ThresholdAge03,"&lt;"&amp;'19_Расчет_аналитики'!AF560,WeightedRevAge03)-SUMIF(ThresholdAge03,"&lt;"&amp;'19_Расчет_аналитики'!AF560,WeightedMinAge03),MAX(CapacityAge03*'01_Вводные'!$B$218*'19_Расчет_аналитики'!AF560,MeanMinAge03)))</f>
        <v/>
      </c>
      <c r="AG494">
        <f>IF(OR(('19_Расчет_аналитики'!AG410-'19_Расчет_аналитики'!AG438)=0,3&lt;='01_Вводные'!$B$297),0,('19_Расчет_аналитики'!AG410-'19_Расчет_аналитики'!AG438)*IF('01_Вводные'!$B$239="Да",MeanMinAge03+'19_Расчет_аналитики'!AG560*SUMIF(ThresholdAge03,"&lt;"&amp;'19_Расчет_аналитики'!AG560,WeightedRevAge03)-SUMIF(ThresholdAge03,"&lt;"&amp;'19_Расчет_аналитики'!AG560,WeightedMinAge03),MAX(CapacityAge03*'01_Вводные'!$B$218*'19_Расчет_аналитики'!AG560,MeanMinAge03)))</f>
        <v/>
      </c>
      <c r="AH494">
        <f>IF(OR(('19_Расчет_аналитики'!AH410-'19_Расчет_аналитики'!AH438)=0,3&lt;='01_Вводные'!$B$297),0,('19_Расчет_аналитики'!AH410-'19_Расчет_аналитики'!AH438)*IF('01_Вводные'!$B$239="Да",MeanMinAge03+'19_Расчет_аналитики'!AH560*SUMIF(ThresholdAge03,"&lt;"&amp;'19_Расчет_аналитики'!AH560,WeightedRevAge03)-SUMIF(ThresholdAge03,"&lt;"&amp;'19_Расчет_аналитики'!AH560,WeightedMinAge03),MAX(CapacityAge03*'01_Вводные'!$B$218*'19_Расчет_аналитики'!AH560,MeanMinAge03)))</f>
        <v/>
      </c>
      <c r="AI494">
        <f>IF(OR(('19_Расчет_аналитики'!AI410-'19_Расчет_аналитики'!AI438)=0,3&lt;='01_Вводные'!$B$297),0,('19_Расчет_аналитики'!AI410-'19_Расчет_аналитики'!AI438)*IF('01_Вводные'!$B$239="Да",MeanMinAge03+'19_Расчет_аналитики'!AI560*SUMIF(ThresholdAge03,"&lt;"&amp;'19_Расчет_аналитики'!AI560,WeightedRevAge03)-SUMIF(ThresholdAge03,"&lt;"&amp;'19_Расчет_аналитики'!AI560,WeightedMinAge03),MAX(CapacityAge03*'01_Вводные'!$B$218*'19_Расчет_аналитики'!AI560,MeanMinAge03)))</f>
        <v/>
      </c>
      <c r="AJ494">
        <f>IF(OR(('19_Расчет_аналитики'!AJ410-'19_Расчет_аналитики'!AJ438)=0,3&lt;='01_Вводные'!$B$297),0,('19_Расчет_аналитики'!AJ410-'19_Расчет_аналитики'!AJ438)*IF('01_Вводные'!$B$239="Да",MeanMinAge03+'19_Расчет_аналитики'!AJ560*SUMIF(ThresholdAge03,"&lt;"&amp;'19_Расчет_аналитики'!AJ560,WeightedRevAge03)-SUMIF(ThresholdAge03,"&lt;"&amp;'19_Расчет_аналитики'!AJ560,WeightedMinAge03),MAX(CapacityAge03*'01_Вводные'!$B$218*'19_Расчет_аналитики'!AJ560,MeanMinAge03)))</f>
        <v/>
      </c>
      <c r="AK494">
        <f>IF(OR(('19_Расчет_аналитики'!AK410-'19_Расчет_аналитики'!AK438)=0,3&lt;='01_Вводные'!$B$297),0,('19_Расчет_аналитики'!AK410-'19_Расчет_аналитики'!AK438)*IF('01_Вводные'!$B$239="Да",MeanMinAge03+'19_Расчет_аналитики'!AK560*SUMIF(ThresholdAge03,"&lt;"&amp;'19_Расчет_аналитики'!AK560,WeightedRevAge03)-SUMIF(ThresholdAge03,"&lt;"&amp;'19_Расчет_аналитики'!AK560,WeightedMinAge03),MAX(CapacityAge03*'01_Вводные'!$B$218*'19_Расчет_аналитики'!AK560,MeanMinAge03)))</f>
        <v/>
      </c>
      <c r="AL494">
        <f>IF(OR(('19_Расчет_аналитики'!AL410-'19_Расчет_аналитики'!AL438)=0,3&lt;='01_Вводные'!$B$297),0,('19_Расчет_аналитики'!AL410-'19_Расчет_аналитики'!AL438)*IF('01_Вводные'!$B$239="Да",MeanMinAge03+'19_Расчет_аналитики'!AL560*SUMIF(ThresholdAge03,"&lt;"&amp;'19_Расчет_аналитики'!AL560,WeightedRevAge03)-SUMIF(ThresholdAge03,"&lt;"&amp;'19_Расчет_аналитики'!AL560,WeightedMinAge03),MAX(CapacityAge03*'01_Вводные'!$B$218*'19_Расчет_аналитики'!AL560,MeanMinAge03)))</f>
        <v/>
      </c>
      <c r="AM494">
        <f>IF(OR(('19_Расчет_аналитики'!AM410-'19_Расчет_аналитики'!AM438)=0,3&lt;='01_Вводные'!$B$297),0,('19_Расчет_аналитики'!AM410-'19_Расчет_аналитики'!AM438)*IF('01_Вводные'!$B$239="Да",MeanMinAge03+'19_Расчет_аналитики'!AM560*SUMIF(ThresholdAge03,"&lt;"&amp;'19_Расчет_аналитики'!AM560,WeightedRevAge03)-SUMIF(ThresholdAge03,"&lt;"&amp;'19_Расчет_аналитики'!AM560,WeightedMinAge03),MAX(CapacityAge03*'01_Вводные'!$B$218*'19_Расчет_аналитики'!AM560,MeanMinAge03)))</f>
        <v/>
      </c>
      <c r="AN494">
        <f>IF(OR(('19_Расчет_аналитики'!AN410-'19_Расчет_аналитики'!AN438)=0,3&lt;='01_Вводные'!$B$297),0,('19_Расчет_аналитики'!AN410-'19_Расчет_аналитики'!AN438)*IF('01_Вводные'!$B$239="Да",MeanMinAge03+'19_Расчет_аналитики'!AN560*SUMIF(ThresholdAge03,"&lt;"&amp;'19_Расчет_аналитики'!AN560,WeightedRevAge03)-SUMIF(ThresholdAge03,"&lt;"&amp;'19_Расчет_аналитики'!AN560,WeightedMinAge03),MAX(CapacityAge03*'01_Вводные'!$B$218*'19_Расчет_аналитики'!AN560,MeanMinAge03)))</f>
        <v/>
      </c>
      <c r="AO494">
        <f>IF(OR(('19_Расчет_аналитики'!AO410-'19_Расчет_аналитики'!AO438)=0,3&lt;='01_Вводные'!$B$297),0,('19_Расчет_аналитики'!AO410-'19_Расчет_аналитики'!AO438)*IF('01_Вводные'!$B$239="Да",MeanMinAge03+'19_Расчет_аналитики'!AO560*SUMIF(ThresholdAge03,"&lt;"&amp;'19_Расчет_аналитики'!AO560,WeightedRevAge03)-SUMIF(ThresholdAge03,"&lt;"&amp;'19_Расчет_аналитики'!AO560,WeightedMinAge03),MAX(CapacityAge03*'01_Вводные'!$B$218*'19_Расчет_аналитики'!AO560,MeanMinAge03)))</f>
        <v/>
      </c>
      <c r="AP494">
        <f>IF(OR(('19_Расчет_аналитики'!AP410-'19_Расчет_аналитики'!AP438)=0,3&lt;='01_Вводные'!$B$297),0,('19_Расчет_аналитики'!AP410-'19_Расчет_аналитики'!AP438)*IF('01_Вводные'!$B$239="Да",MeanMinAge03+'19_Расчет_аналитики'!AP560*SUMIF(ThresholdAge03,"&lt;"&amp;'19_Расчет_аналитики'!AP560,WeightedRevAge03)-SUMIF(ThresholdAge03,"&lt;"&amp;'19_Расчет_аналитики'!AP560,WeightedMinAge03),MAX(CapacityAge03*'01_Вводные'!$B$218*'19_Расчет_аналитики'!AP560,MeanMinAge03)))</f>
        <v/>
      </c>
      <c r="AQ494">
        <f>IF(OR(('19_Расчет_аналитики'!AQ410-'19_Расчет_аналитики'!AQ438)=0,3&lt;='01_Вводные'!$B$297),0,('19_Расчет_аналитики'!AQ410-'19_Расчет_аналитики'!AQ438)*IF('01_Вводные'!$B$239="Да",MeanMinAge03+'19_Расчет_аналитики'!AQ560*SUMIF(ThresholdAge03,"&lt;"&amp;'19_Расчет_аналитики'!AQ560,WeightedRevAge03)-SUMIF(ThresholdAge03,"&lt;"&amp;'19_Расчет_аналитики'!AQ560,WeightedMinAge03),MAX(CapacityAge03*'01_Вводные'!$B$218*'19_Расчет_аналитики'!AQ560,MeanMinAge03)))</f>
        <v/>
      </c>
      <c r="AR494">
        <f>IF(OR(('19_Расчет_аналитики'!AR410-'19_Расчет_аналитики'!AR438)=0,3&lt;='01_Вводные'!$B$297),0,('19_Расчет_аналитики'!AR410-'19_Расчет_аналитики'!AR438)*IF('01_Вводные'!$B$239="Да",MeanMinAge03+'19_Расчет_аналитики'!AR560*SUMIF(ThresholdAge03,"&lt;"&amp;'19_Расчет_аналитики'!AR560,WeightedRevAge03)-SUMIF(ThresholdAge03,"&lt;"&amp;'19_Расчет_аналитики'!AR560,WeightedMinAge03),MAX(CapacityAge03*'01_Вводные'!$B$218*'19_Расчет_аналитики'!AR560,MeanMinAge03)))</f>
        <v/>
      </c>
      <c r="AS494">
        <f>IF(OR(('19_Расчет_аналитики'!AS410-'19_Расчет_аналитики'!AS438)=0,3&lt;='01_Вводные'!$B$297),0,('19_Расчет_аналитики'!AS410-'19_Расчет_аналитики'!AS438)*IF('01_Вводные'!$B$239="Да",MeanMinAge03+'19_Расчет_аналитики'!AS560*SUMIF(ThresholdAge03,"&lt;"&amp;'19_Расчет_аналитики'!AS560,WeightedRevAge03)-SUMIF(ThresholdAge03,"&lt;"&amp;'19_Расчет_аналитики'!AS560,WeightedMinAge03),MAX(CapacityAge03*'01_Вводные'!$B$218*'19_Расчет_аналитики'!AS560,MeanMinAge03)))</f>
        <v/>
      </c>
      <c r="AT494">
        <f>IF(OR(('19_Расчет_аналитики'!AT410-'19_Расчет_аналитики'!AT438)=0,3&lt;='01_Вводные'!$B$297),0,('19_Расчет_аналитики'!AT410-'19_Расчет_аналитики'!AT438)*IF('01_Вводные'!$B$239="Да",MeanMinAge03+'19_Расчет_аналитики'!AT560*SUMIF(ThresholdAge03,"&lt;"&amp;'19_Расчет_аналитики'!AT560,WeightedRevAge03)-SUMIF(ThresholdAge03,"&lt;"&amp;'19_Расчет_аналитики'!AT560,WeightedMinAge03),MAX(CapacityAge03*'01_Вводные'!$B$218*'19_Расчет_аналитики'!AT560,MeanMinAge03)))</f>
        <v/>
      </c>
      <c r="AU494">
        <f>IF(OR(('19_Расчет_аналитики'!AU410-'19_Расчет_аналитики'!AU438)=0,3&lt;='01_Вводные'!$B$297),0,('19_Расчет_аналитики'!AU410-'19_Расчет_аналитики'!AU438)*IF('01_Вводные'!$B$239="Да",MeanMinAge03+'19_Расчет_аналитики'!AU560*SUMIF(ThresholdAge03,"&lt;"&amp;'19_Расчет_аналитики'!AU560,WeightedRevAge03)-SUMIF(ThresholdAge03,"&lt;"&amp;'19_Расчет_аналитики'!AU560,WeightedMinAge03),MAX(CapacityAge03*'01_Вводные'!$B$218*'19_Расчет_аналитики'!AU560,MeanMinAge03)))</f>
        <v/>
      </c>
      <c r="AV494">
        <f>IF(OR(('19_Расчет_аналитики'!AV410-'19_Расчет_аналитики'!AV438)=0,3&lt;='01_Вводные'!$B$297),0,('19_Расчет_аналитики'!AV410-'19_Расчет_аналитики'!AV438)*IF('01_Вводные'!$B$239="Да",MeanMinAge03+'19_Расчет_аналитики'!AV560*SUMIF(ThresholdAge03,"&lt;"&amp;'19_Расчет_аналитики'!AV560,WeightedRevAge03)-SUMIF(ThresholdAge03,"&lt;"&amp;'19_Расчет_аналитики'!AV560,WeightedMinAge03),MAX(CapacityAge03*'01_Вводные'!$B$218*'19_Расчет_аналитики'!AV560,MeanMinAge03)))</f>
        <v/>
      </c>
      <c r="AW494">
        <f>IF(OR(('19_Расчет_аналитики'!AW410-'19_Расчет_аналитики'!AW438)=0,3&lt;='01_Вводные'!$B$297),0,('19_Расчет_аналитики'!AW410-'19_Расчет_аналитики'!AW438)*IF('01_Вводные'!$B$239="Да",MeanMinAge03+'19_Расчет_аналитики'!AW560*SUMIF(ThresholdAge03,"&lt;"&amp;'19_Расчет_аналитики'!AW560,WeightedRevAge03)-SUMIF(ThresholdAge03,"&lt;"&amp;'19_Расчет_аналитики'!AW560,WeightedMinAge03),MAX(CapacityAge03*'01_Вводные'!$B$218*'19_Расчет_аналитики'!AW560,MeanMinAge03)))</f>
        <v/>
      </c>
      <c r="AX494">
        <f>IF(OR(('19_Расчет_аналитики'!AX410-'19_Расчет_аналитики'!AX438)=0,3&lt;='01_Вводные'!$B$297),0,('19_Расчет_аналитики'!AX410-'19_Расчет_аналитики'!AX438)*IF('01_Вводные'!$B$239="Да",MeanMinAge03+'19_Расчет_аналитики'!AX560*SUMIF(ThresholdAge03,"&lt;"&amp;'19_Расчет_аналитики'!AX560,WeightedRevAge03)-SUMIF(ThresholdAge03,"&lt;"&amp;'19_Расчет_аналитики'!AX560,WeightedMinAge03),MAX(CapacityAge03*'01_Вводные'!$B$218*'19_Расчет_аналитики'!AX560,MeanMinAge03)))</f>
        <v/>
      </c>
      <c r="AY494">
        <f>IF(OR(('19_Расчет_аналитики'!AY410-'19_Расчет_аналитики'!AY438)=0,3&lt;='01_Вводные'!$B$297),0,('19_Расчет_аналитики'!AY410-'19_Расчет_аналитики'!AY438)*IF('01_Вводные'!$B$239="Да",MeanMinAge03+'19_Расчет_аналитики'!AY560*SUMIF(ThresholdAge03,"&lt;"&amp;'19_Расчет_аналитики'!AY560,WeightedRevAge03)-SUMIF(ThresholdAge03,"&lt;"&amp;'19_Расчет_аналитики'!AY560,WeightedMinAge03),MAX(CapacityAge03*'01_Вводные'!$B$218*'19_Расчет_аналитики'!AY560,MeanMinAge03)))</f>
        <v/>
      </c>
      <c r="AZ494">
        <f>IF(OR(('19_Расчет_аналитики'!AZ410-'19_Расчет_аналитики'!AZ438)=0,3&lt;='01_Вводные'!$B$297),0,('19_Расчет_аналитики'!AZ410-'19_Расчет_аналитики'!AZ438)*IF('01_Вводные'!$B$239="Да",MeanMinAge03+'19_Расчет_аналитики'!AZ560*SUMIF(ThresholdAge03,"&lt;"&amp;'19_Расчет_аналитики'!AZ560,WeightedRevAge03)-SUMIF(ThresholdAge03,"&lt;"&amp;'19_Расчет_аналитики'!AZ560,WeightedMinAge03),MAX(CapacityAge03*'01_Вводные'!$B$218*'19_Расчет_аналитики'!AZ560,MeanMinAge03)))</f>
        <v/>
      </c>
      <c r="BA494">
        <f>IF(OR(('19_Расчет_аналитики'!BA410-'19_Расчет_аналитики'!BA438)=0,3&lt;='01_Вводные'!$B$297),0,('19_Расчет_аналитики'!BA410-'19_Расчет_аналитики'!BA438)*IF('01_Вводные'!$B$239="Да",MeanMinAge03+'19_Расчет_аналитики'!BA560*SUMIF(ThresholdAge03,"&lt;"&amp;'19_Расчет_аналитики'!BA560,WeightedRevAge03)-SUMIF(ThresholdAge03,"&lt;"&amp;'19_Расчет_аналитики'!BA560,WeightedMinAge03),MAX(CapacityAge03*'01_Вводные'!$B$218*'19_Расчет_аналитики'!BA560,MeanMinAge03)))</f>
        <v/>
      </c>
      <c r="BB494">
        <f>IF(OR(('19_Расчет_аналитики'!BB410-'19_Расчет_аналитики'!BB438)=0,3&lt;='01_Вводные'!$B$297),0,('19_Расчет_аналитики'!BB410-'19_Расчет_аналитики'!BB438)*IF('01_Вводные'!$B$239="Да",MeanMinAge03+'19_Расчет_аналитики'!BB560*SUMIF(ThresholdAge03,"&lt;"&amp;'19_Расчет_аналитики'!BB560,WeightedRevAge03)-SUMIF(ThresholdAge03,"&lt;"&amp;'19_Расчет_аналитики'!BB560,WeightedMinAge03),MAX(CapacityAge03*'01_Вводные'!$B$218*'19_Расчет_аналитики'!BB560,MeanMinAge03)))</f>
        <v/>
      </c>
      <c r="BC494">
        <f>IF(OR(('19_Расчет_аналитики'!BC410-'19_Расчет_аналитики'!BC438)=0,3&lt;='01_Вводные'!$B$297),0,('19_Расчет_аналитики'!BC410-'19_Расчет_аналитики'!BC438)*IF('01_Вводные'!$B$239="Да",MeanMinAge03+'19_Расчет_аналитики'!BC560*SUMIF(ThresholdAge03,"&lt;"&amp;'19_Расчет_аналитики'!BC560,WeightedRevAge03)-SUMIF(ThresholdAge03,"&lt;"&amp;'19_Расчет_аналитики'!BC560,WeightedMinAge03),MAX(CapacityAge03*'01_Вводные'!$B$218*'19_Расчет_аналитики'!BC560,MeanMinAge03)))</f>
        <v/>
      </c>
      <c r="BD494">
        <f>IF(OR(('19_Расчет_аналитики'!BD410-'19_Расчет_аналитики'!BD438)=0,3&lt;='01_Вводные'!$B$297),0,('19_Расчет_аналитики'!BD410-'19_Расчет_аналитики'!BD438)*IF('01_Вводные'!$B$239="Да",MeanMinAge03+'19_Расчет_аналитики'!BD560*SUMIF(ThresholdAge03,"&lt;"&amp;'19_Расчет_аналитики'!BD560,WeightedRevAge03)-SUMIF(ThresholdAge03,"&lt;"&amp;'19_Расчет_аналитики'!BD560,WeightedMinAge03),MAX(CapacityAge03*'01_Вводные'!$B$218*'19_Расчет_аналитики'!BD560,MeanMinAge03)))</f>
        <v/>
      </c>
      <c r="BE494">
        <f>IF(OR(('19_Расчет_аналитики'!BE410-'19_Расчет_аналитики'!BE438)=0,3&lt;='01_Вводные'!$B$297),0,('19_Расчет_аналитики'!BE410-'19_Расчет_аналитики'!BE438)*IF('01_Вводные'!$B$239="Да",MeanMinAge03+'19_Расчет_аналитики'!BE560*SUMIF(ThresholdAge03,"&lt;"&amp;'19_Расчет_аналитики'!BE560,WeightedRevAge03)-SUMIF(ThresholdAge03,"&lt;"&amp;'19_Расчет_аналитики'!BE560,WeightedMinAge03),MAX(CapacityAge03*'01_Вводные'!$B$218*'19_Расчет_аналитики'!BE560,MeanMinAge03)))</f>
        <v/>
      </c>
      <c r="BF494">
        <f>IF(OR(('19_Расчет_аналитики'!BF410-'19_Расчет_аналитики'!BF438)=0,3&lt;='01_Вводные'!$B$297),0,('19_Расчет_аналитики'!BF410-'19_Расчет_аналитики'!BF438)*IF('01_Вводные'!$B$239="Да",MeanMinAge03+'19_Расчет_аналитики'!BF560*SUMIF(ThresholdAge03,"&lt;"&amp;'19_Расчет_аналитики'!BF560,WeightedRevAge03)-SUMIF(ThresholdAge03,"&lt;"&amp;'19_Расчет_аналитики'!BF560,WeightedMinAge03),MAX(CapacityAge03*'01_Вводные'!$B$218*'19_Расчет_аналитики'!BF560,MeanMinAge03)))</f>
        <v/>
      </c>
      <c r="BG494">
        <f>IF(OR(('19_Расчет_аналитики'!BG410-'19_Расчет_аналитики'!BG438)=0,3&lt;='01_Вводные'!$B$297),0,('19_Расчет_аналитики'!BG410-'19_Расчет_аналитики'!BG438)*IF('01_Вводные'!$B$239="Да",MeanMinAge03+'19_Расчет_аналитики'!BG560*SUMIF(ThresholdAge03,"&lt;"&amp;'19_Расчет_аналитики'!BG560,WeightedRevAge03)-SUMIF(ThresholdAge03,"&lt;"&amp;'19_Расчет_аналитики'!BG560,WeightedMinAge03),MAX(CapacityAge03*'01_Вводные'!$B$218*'19_Расчет_аналитики'!BG560,MeanMinAge03)))</f>
        <v/>
      </c>
      <c r="BH494">
        <f>IF(OR(('19_Расчет_аналитики'!BH410-'19_Расчет_аналитики'!BH438)=0,3&lt;='01_Вводные'!$B$297),0,('19_Расчет_аналитики'!BH410-'19_Расчет_аналитики'!BH438)*IF('01_Вводные'!$B$239="Да",MeanMinAge03+'19_Расчет_аналитики'!BH560*SUMIF(ThresholdAge03,"&lt;"&amp;'19_Расчет_аналитики'!BH560,WeightedRevAge03)-SUMIF(ThresholdAge03,"&lt;"&amp;'19_Расчет_аналитики'!BH560,WeightedMinAge03),MAX(CapacityAge03*'01_Вводные'!$B$218*'19_Расчет_аналитики'!BH560,MeanMinAge03)))</f>
        <v/>
      </c>
      <c r="BI494">
        <f>IF(OR(('19_Расчет_аналитики'!BI410-'19_Расчет_аналитики'!BI438)=0,3&lt;='01_Вводные'!$B$297),0,('19_Расчет_аналитики'!BI410-'19_Расчет_аналитики'!BI438)*IF('01_Вводные'!$B$239="Да",MeanMinAge03+'19_Расчет_аналитики'!BI560*SUMIF(ThresholdAge03,"&lt;"&amp;'19_Расчет_аналитики'!BI560,WeightedRevAge03)-SUMIF(ThresholdAge03,"&lt;"&amp;'19_Расчет_аналитики'!BI560,WeightedMinAge03),MAX(CapacityAge03*'01_Вводные'!$B$218*'19_Расчет_аналитики'!BI560,MeanMinAge03)))</f>
        <v/>
      </c>
      <c r="BJ494">
        <f>IF(OR(('19_Расчет_аналитики'!BJ410-'19_Расчет_аналитики'!BJ438)=0,3&lt;='01_Вводные'!$B$297),0,('19_Расчет_аналитики'!BJ410-'19_Расчет_аналитики'!BJ438)*IF('01_Вводные'!$B$239="Да",MeanMinAge03+'19_Расчет_аналитики'!BJ560*SUMIF(ThresholdAge03,"&lt;"&amp;'19_Расчет_аналитики'!BJ560,WeightedRevAge03)-SUMIF(ThresholdAge03,"&lt;"&amp;'19_Расчет_аналитики'!BJ560,WeightedMinAge03),MAX(CapacityAge03*'01_Вводные'!$B$218*'19_Расчет_аналитики'!BJ560,MeanMinAge03)))</f>
        <v/>
      </c>
      <c r="BK494">
        <f>IF(OR(('19_Расчет_аналитики'!BK410-'19_Расчет_аналитики'!BK438)=0,3&lt;='01_Вводные'!$B$297),0,('19_Расчет_аналитики'!BK410-'19_Расчет_аналитики'!BK438)*IF('01_Вводные'!$B$239="Да",MeanMinAge03+'19_Расчет_аналитики'!BK560*SUMIF(ThresholdAge03,"&lt;"&amp;'19_Расчет_аналитики'!BK560,WeightedRevAge03)-SUMIF(ThresholdAge03,"&lt;"&amp;'19_Расчет_аналитики'!BK560,WeightedMinAge03),MAX(CapacityAge03*'01_Вводные'!$B$218*'19_Расчет_аналитики'!BK560,MeanMinAge03)))</f>
        <v/>
      </c>
      <c r="BL494">
        <f>IF(OR(('19_Расчет_аналитики'!BL410-'19_Расчет_аналитики'!BL438)=0,3&lt;='01_Вводные'!$B$297),0,('19_Расчет_аналитики'!BL410-'19_Расчет_аналитики'!BL438)*IF('01_Вводные'!$B$239="Да",MeanMinAge03+'19_Расчет_аналитики'!BL560*SUMIF(ThresholdAge03,"&lt;"&amp;'19_Расчет_аналитики'!BL560,WeightedRevAge03)-SUMIF(ThresholdAge03,"&lt;"&amp;'19_Расчет_аналитики'!BL560,WeightedMinAge03),MAX(CapacityAge03*'01_Вводные'!$B$218*'19_Расчет_аналитики'!BL560,MeanMinAge03)))</f>
        <v/>
      </c>
      <c r="BM494">
        <f>IF(OR(('19_Расчет_аналитики'!BM410-'19_Расчет_аналитики'!BM438)=0,3&lt;='01_Вводные'!$B$297),0,('19_Расчет_аналитики'!BM410-'19_Расчет_аналитики'!BM438)*IF('01_Вводные'!$B$239="Да",MeanMinAge03+'19_Расчет_аналитики'!BM560*SUMIF(ThresholdAge03,"&lt;"&amp;'19_Расчет_аналитики'!BM560,WeightedRevAge03)-SUMIF(ThresholdAge03,"&lt;"&amp;'19_Расчет_аналитики'!BM560,WeightedMinAge03),MAX(CapacityAge03*'01_Вводные'!$B$218*'19_Расчет_аналитики'!BM560,MeanMinAge03)))</f>
        <v/>
      </c>
      <c r="BN494">
        <f>IF(OR(('19_Расчет_аналитики'!BN410-'19_Расчет_аналитики'!BN438)=0,3&lt;='01_Вводные'!$B$297),0,('19_Расчет_аналитики'!BN410-'19_Расчет_аналитики'!BN438)*IF('01_Вводные'!$B$239="Да",MeanMinAge03+'19_Расчет_аналитики'!BN560*SUMIF(ThresholdAge03,"&lt;"&amp;'19_Расчет_аналитики'!BN560,WeightedRevAge03)-SUMIF(ThresholdAge03,"&lt;"&amp;'19_Расчет_аналитики'!BN560,WeightedMinAge03),MAX(CapacityAge03*'01_Вводные'!$B$218*'19_Расчет_аналитики'!BN560,MeanMinAge03)))</f>
        <v/>
      </c>
      <c r="BO494">
        <f>IF(OR(('19_Расчет_аналитики'!BO410-'19_Расчет_аналитики'!BO438)=0,3&lt;='01_Вводные'!$B$297),0,('19_Расчет_аналитики'!BO410-'19_Расчет_аналитики'!BO438)*IF('01_Вводные'!$B$239="Да",MeanMinAge03+'19_Расчет_аналитики'!BO560*SUMIF(ThresholdAge03,"&lt;"&amp;'19_Расчет_аналитики'!BO560,WeightedRevAge03)-SUMIF(ThresholdAge03,"&lt;"&amp;'19_Расчет_аналитики'!BO560,WeightedMinAge03),MAX(CapacityAge03*'01_Вводные'!$B$218*'19_Расчет_аналитики'!BO560,MeanMinAge03)))</f>
        <v/>
      </c>
    </row>
    <row r="495">
      <c r="B495">
        <f>IF(OR(('06_Сеть_и_дети'!B56-'06_Сеть_и_дети'!B84)=0,4&lt;='01_Вводные'!$B$297),0,('06_Сеть_и_дети'!B56-'06_Сеть_и_дети'!B84)*IF('01_Вводные'!$B$239="Да",MeanMinAge04+'19_Расчет_аналитики'!B560*SUMIF(ThresholdAge04,"&lt;"&amp;'19_Расчет_аналитики'!B560,WeightedRevAge04)-SUMIF(ThresholdAge04,"&lt;"&amp;'19_Расчет_аналитики'!B560,WeightedMinAge04),MAX(CapacityAge04*'01_Вводные'!$B$218*'19_Расчет_аналитики'!B560,MeanMinAge04)))</f>
        <v/>
      </c>
      <c r="C495">
        <f>IF(OR(('06_Сеть_и_дети'!C56-'06_Сеть_и_дети'!C84)=0,4&lt;='01_Вводные'!$B$297),0,('06_Сеть_и_дети'!C56-'06_Сеть_и_дети'!C84)*IF('01_Вводные'!$B$239="Да",MeanMinAge04+'19_Расчет_аналитики'!C560*SUMIF(ThresholdAge04,"&lt;"&amp;'19_Расчет_аналитики'!C560,WeightedRevAge04)-SUMIF(ThresholdAge04,"&lt;"&amp;'19_Расчет_аналитики'!C560,WeightedMinAge04),MAX(CapacityAge04*'01_Вводные'!$B$218*'19_Расчет_аналитики'!C560,MeanMinAge04)))</f>
        <v/>
      </c>
      <c r="D495">
        <f>IF(OR(('06_Сеть_и_дети'!D56-'06_Сеть_и_дети'!D84)=0,4&lt;='01_Вводные'!$B$297),0,('06_Сеть_и_дети'!D56-'06_Сеть_и_дети'!D84)*IF('01_Вводные'!$B$239="Да",MeanMinAge04+'19_Расчет_аналитики'!D560*SUMIF(ThresholdAge04,"&lt;"&amp;'19_Расчет_аналитики'!D560,WeightedRevAge04)-SUMIF(ThresholdAge04,"&lt;"&amp;'19_Расчет_аналитики'!D560,WeightedMinAge04),MAX(CapacityAge04*'01_Вводные'!$B$218*'19_Расчет_аналитики'!D560,MeanMinAge04)))</f>
        <v/>
      </c>
      <c r="E495">
        <f>IF(OR(('19_Расчет_аналитики'!E411-'19_Расчет_аналитики'!E439)=0,4&lt;='01_Вводные'!$B$297),0,('19_Расчет_аналитики'!E411-'19_Расчет_аналитики'!E439)*IF('01_Вводные'!$B$239="Да",MeanMinAge04+'19_Расчет_аналитики'!E560*SUMIF(ThresholdAge04,"&lt;"&amp;'19_Расчет_аналитики'!E560,WeightedRevAge04)-SUMIF(ThresholdAge04,"&lt;"&amp;'19_Расчет_аналитики'!E560,WeightedMinAge04),MAX(CapacityAge04*'01_Вводные'!$B$218*'19_Расчет_аналитики'!E560,MeanMinAge04)))</f>
        <v/>
      </c>
      <c r="F495">
        <f>IF(OR(('19_Расчет_аналитики'!F411-'19_Расчет_аналитики'!F439)=0,4&lt;='01_Вводные'!$B$297),0,('19_Расчет_аналитики'!F411-'19_Расчет_аналитики'!F439)*IF('01_Вводные'!$B$239="Да",MeanMinAge04+'19_Расчет_аналитики'!F560*SUMIF(ThresholdAge04,"&lt;"&amp;'19_Расчет_аналитики'!F560,WeightedRevAge04)-SUMIF(ThresholdAge04,"&lt;"&amp;'19_Расчет_аналитики'!F560,WeightedMinAge04),MAX(CapacityAge04*'01_Вводные'!$B$218*'19_Расчет_аналитики'!F560,MeanMinAge04)))</f>
        <v/>
      </c>
      <c r="G495">
        <f>IF(OR(('19_Расчет_аналитики'!G411-'19_Расчет_аналитики'!G439)=0,4&lt;='01_Вводные'!$B$297),0,('19_Расчет_аналитики'!G411-'19_Расчет_аналитики'!G439)*IF('01_Вводные'!$B$239="Да",MeanMinAge04+'19_Расчет_аналитики'!G560*SUMIF(ThresholdAge04,"&lt;"&amp;'19_Расчет_аналитики'!G560,WeightedRevAge04)-SUMIF(ThresholdAge04,"&lt;"&amp;'19_Расчет_аналитики'!G560,WeightedMinAge04),MAX(CapacityAge04*'01_Вводные'!$B$218*'19_Расчет_аналитики'!G560,MeanMinAge04)))</f>
        <v/>
      </c>
      <c r="H495">
        <f>IF(OR(('19_Расчет_аналитики'!H411-'19_Расчет_аналитики'!H439)=0,4&lt;='01_Вводные'!$B$297),0,('19_Расчет_аналитики'!H411-'19_Расчет_аналитики'!H439)*IF('01_Вводные'!$B$239="Да",MeanMinAge04+'19_Расчет_аналитики'!H560*SUMIF(ThresholdAge04,"&lt;"&amp;'19_Расчет_аналитики'!H560,WeightedRevAge04)-SUMIF(ThresholdAge04,"&lt;"&amp;'19_Расчет_аналитики'!H560,WeightedMinAge04),MAX(CapacityAge04*'01_Вводные'!$B$218*'19_Расчет_аналитики'!H560,MeanMinAge04)))</f>
        <v/>
      </c>
      <c r="I495">
        <f>IF(OR(('19_Расчет_аналитики'!I411-'19_Расчет_аналитики'!I439)=0,4&lt;='01_Вводные'!$B$297),0,('19_Расчет_аналитики'!I411-'19_Расчет_аналитики'!I439)*IF('01_Вводные'!$B$239="Да",MeanMinAge04+'19_Расчет_аналитики'!I560*SUMIF(ThresholdAge04,"&lt;"&amp;'19_Расчет_аналитики'!I560,WeightedRevAge04)-SUMIF(ThresholdAge04,"&lt;"&amp;'19_Расчет_аналитики'!I560,WeightedMinAge04),MAX(CapacityAge04*'01_Вводные'!$B$218*'19_Расчет_аналитики'!I560,MeanMinAge04)))</f>
        <v/>
      </c>
      <c r="J495">
        <f>IF(OR(('19_Расчет_аналитики'!J411-'19_Расчет_аналитики'!J439)=0,4&lt;='01_Вводные'!$B$297),0,('19_Расчет_аналитики'!J411-'19_Расчет_аналитики'!J439)*IF('01_Вводные'!$B$239="Да",MeanMinAge04+'19_Расчет_аналитики'!J560*SUMIF(ThresholdAge04,"&lt;"&amp;'19_Расчет_аналитики'!J560,WeightedRevAge04)-SUMIF(ThresholdAge04,"&lt;"&amp;'19_Расчет_аналитики'!J560,WeightedMinAge04),MAX(CapacityAge04*'01_Вводные'!$B$218*'19_Расчет_аналитики'!J560,MeanMinAge04)))</f>
        <v/>
      </c>
      <c r="K495">
        <f>IF(OR(('19_Расчет_аналитики'!K411-'19_Расчет_аналитики'!K439)=0,4&lt;='01_Вводные'!$B$297),0,('19_Расчет_аналитики'!K411-'19_Расчет_аналитики'!K439)*IF('01_Вводные'!$B$239="Да",MeanMinAge04+'19_Расчет_аналитики'!K560*SUMIF(ThresholdAge04,"&lt;"&amp;'19_Расчет_аналитики'!K560,WeightedRevAge04)-SUMIF(ThresholdAge04,"&lt;"&amp;'19_Расчет_аналитики'!K560,WeightedMinAge04),MAX(CapacityAge04*'01_Вводные'!$B$218*'19_Расчет_аналитики'!K560,MeanMinAge04)))</f>
        <v/>
      </c>
      <c r="L495">
        <f>IF(OR(('19_Расчет_аналитики'!L411-'19_Расчет_аналитики'!L439)=0,4&lt;='01_Вводные'!$B$297),0,('19_Расчет_аналитики'!L411-'19_Расчет_аналитики'!L439)*IF('01_Вводные'!$B$239="Да",MeanMinAge04+'19_Расчет_аналитики'!L560*SUMIF(ThresholdAge04,"&lt;"&amp;'19_Расчет_аналитики'!L560,WeightedRevAge04)-SUMIF(ThresholdAge04,"&lt;"&amp;'19_Расчет_аналитики'!L560,WeightedMinAge04),MAX(CapacityAge04*'01_Вводные'!$B$218*'19_Расчет_аналитики'!L560,MeanMinAge04)))</f>
        <v/>
      </c>
      <c r="M495">
        <f>IF(OR(('19_Расчет_аналитики'!M411-'19_Расчет_аналитики'!M439)=0,4&lt;='01_Вводные'!$B$297),0,('19_Расчет_аналитики'!M411-'19_Расчет_аналитики'!M439)*IF('01_Вводные'!$B$239="Да",MeanMinAge04+'19_Расчет_аналитики'!M560*SUMIF(ThresholdAge04,"&lt;"&amp;'19_Расчет_аналитики'!M560,WeightedRevAge04)-SUMIF(ThresholdAge04,"&lt;"&amp;'19_Расчет_аналитики'!M560,WeightedMinAge04),MAX(CapacityAge04*'01_Вводные'!$B$218*'19_Расчет_аналитики'!M560,MeanMinAge04)))</f>
        <v/>
      </c>
      <c r="N495">
        <f>IF(OR(('19_Расчет_аналитики'!N411-'19_Расчет_аналитики'!N439)=0,4&lt;='01_Вводные'!$B$297),0,('19_Расчет_аналитики'!N411-'19_Расчет_аналитики'!N439)*IF('01_Вводные'!$B$239="Да",MeanMinAge04+'19_Расчет_аналитики'!N560*SUMIF(ThresholdAge04,"&lt;"&amp;'19_Расчет_аналитики'!N560,WeightedRevAge04)-SUMIF(ThresholdAge04,"&lt;"&amp;'19_Расчет_аналитики'!N560,WeightedMinAge04),MAX(CapacityAge04*'01_Вводные'!$B$218*'19_Расчет_аналитики'!N560,MeanMinAge04)))</f>
        <v/>
      </c>
      <c r="O495">
        <f>IF(OR(('19_Расчет_аналитики'!O411-'19_Расчет_аналитики'!O439)=0,4&lt;='01_Вводные'!$B$297),0,('19_Расчет_аналитики'!O411-'19_Расчет_аналитики'!O439)*IF('01_Вводные'!$B$239="Да",MeanMinAge04+'19_Расчет_аналитики'!O560*SUMIF(ThresholdAge04,"&lt;"&amp;'19_Расчет_аналитики'!O560,WeightedRevAge04)-SUMIF(ThresholdAge04,"&lt;"&amp;'19_Расчет_аналитики'!O560,WeightedMinAge04),MAX(CapacityAge04*'01_Вводные'!$B$218*'19_Расчет_аналитики'!O560,MeanMinAge04)))</f>
        <v/>
      </c>
      <c r="P495">
        <f>IF(OR(('19_Расчет_аналитики'!P411-'19_Расчет_аналитики'!P439)=0,4&lt;='01_Вводные'!$B$297),0,('19_Расчет_аналитики'!P411-'19_Расчет_аналитики'!P439)*IF('01_Вводные'!$B$239="Да",MeanMinAge04+'19_Расчет_аналитики'!P560*SUMIF(ThresholdAge04,"&lt;"&amp;'19_Расчет_аналитики'!P560,WeightedRevAge04)-SUMIF(ThresholdAge04,"&lt;"&amp;'19_Расчет_аналитики'!P560,WeightedMinAge04),MAX(CapacityAge04*'01_Вводные'!$B$218*'19_Расчет_аналитики'!P560,MeanMinAge04)))</f>
        <v/>
      </c>
      <c r="Q495">
        <f>IF(OR(('19_Расчет_аналитики'!Q411-'19_Расчет_аналитики'!Q439)=0,4&lt;='01_Вводные'!$B$297),0,('19_Расчет_аналитики'!Q411-'19_Расчет_аналитики'!Q439)*IF('01_Вводные'!$B$239="Да",MeanMinAge04+'19_Расчет_аналитики'!Q560*SUMIF(ThresholdAge04,"&lt;"&amp;'19_Расчет_аналитики'!Q560,WeightedRevAge04)-SUMIF(ThresholdAge04,"&lt;"&amp;'19_Расчет_аналитики'!Q560,WeightedMinAge04),MAX(CapacityAge04*'01_Вводные'!$B$218*'19_Расчет_аналитики'!Q560,MeanMinAge04)))</f>
        <v/>
      </c>
      <c r="R495">
        <f>IF(OR(('19_Расчет_аналитики'!R411-'19_Расчет_аналитики'!R439)=0,4&lt;='01_Вводные'!$B$297),0,('19_Расчет_аналитики'!R411-'19_Расчет_аналитики'!R439)*IF('01_Вводные'!$B$239="Да",MeanMinAge04+'19_Расчет_аналитики'!R560*SUMIF(ThresholdAge04,"&lt;"&amp;'19_Расчет_аналитики'!R560,WeightedRevAge04)-SUMIF(ThresholdAge04,"&lt;"&amp;'19_Расчет_аналитики'!R560,WeightedMinAge04),MAX(CapacityAge04*'01_Вводные'!$B$218*'19_Расчет_аналитики'!R560,MeanMinAge04)))</f>
        <v/>
      </c>
      <c r="S495">
        <f>IF(OR(('19_Расчет_аналитики'!S411-'19_Расчет_аналитики'!S439)=0,4&lt;='01_Вводные'!$B$297),0,('19_Расчет_аналитики'!S411-'19_Расчет_аналитики'!S439)*IF('01_Вводные'!$B$239="Да",MeanMinAge04+'19_Расчет_аналитики'!S560*SUMIF(ThresholdAge04,"&lt;"&amp;'19_Расчет_аналитики'!S560,WeightedRevAge04)-SUMIF(ThresholdAge04,"&lt;"&amp;'19_Расчет_аналитики'!S560,WeightedMinAge04),MAX(CapacityAge04*'01_Вводные'!$B$218*'19_Расчет_аналитики'!S560,MeanMinAge04)))</f>
        <v/>
      </c>
      <c r="T495">
        <f>IF(OR(('19_Расчет_аналитики'!T411-'19_Расчет_аналитики'!T439)=0,4&lt;='01_Вводные'!$B$297),0,('19_Расчет_аналитики'!T411-'19_Расчет_аналитики'!T439)*IF('01_Вводные'!$B$239="Да",MeanMinAge04+'19_Расчет_аналитики'!T560*SUMIF(ThresholdAge04,"&lt;"&amp;'19_Расчет_аналитики'!T560,WeightedRevAge04)-SUMIF(ThresholdAge04,"&lt;"&amp;'19_Расчет_аналитики'!T560,WeightedMinAge04),MAX(CapacityAge04*'01_Вводные'!$B$218*'19_Расчет_аналитики'!T560,MeanMinAge04)))</f>
        <v/>
      </c>
      <c r="U495">
        <f>IF(OR(('19_Расчет_аналитики'!U411-'19_Расчет_аналитики'!U439)=0,4&lt;='01_Вводные'!$B$297),0,('19_Расчет_аналитики'!U411-'19_Расчет_аналитики'!U439)*IF('01_Вводные'!$B$239="Да",MeanMinAge04+'19_Расчет_аналитики'!U560*SUMIF(ThresholdAge04,"&lt;"&amp;'19_Расчет_аналитики'!U560,WeightedRevAge04)-SUMIF(ThresholdAge04,"&lt;"&amp;'19_Расчет_аналитики'!U560,WeightedMinAge04),MAX(CapacityAge04*'01_Вводные'!$B$218*'19_Расчет_аналитики'!U560,MeanMinAge04)))</f>
        <v/>
      </c>
      <c r="V495">
        <f>IF(OR(('19_Расчет_аналитики'!V411-'19_Расчет_аналитики'!V439)=0,4&lt;='01_Вводные'!$B$297),0,('19_Расчет_аналитики'!V411-'19_Расчет_аналитики'!V439)*IF('01_Вводные'!$B$239="Да",MeanMinAge04+'19_Расчет_аналитики'!V560*SUMIF(ThresholdAge04,"&lt;"&amp;'19_Расчет_аналитики'!V560,WeightedRevAge04)-SUMIF(ThresholdAge04,"&lt;"&amp;'19_Расчет_аналитики'!V560,WeightedMinAge04),MAX(CapacityAge04*'01_Вводные'!$B$218*'19_Расчет_аналитики'!V560,MeanMinAge04)))</f>
        <v/>
      </c>
      <c r="W495">
        <f>IF(OR(('19_Расчет_аналитики'!W411-'19_Расчет_аналитики'!W439)=0,4&lt;='01_Вводные'!$B$297),0,('19_Расчет_аналитики'!W411-'19_Расчет_аналитики'!W439)*IF('01_Вводные'!$B$239="Да",MeanMinAge04+'19_Расчет_аналитики'!W560*SUMIF(ThresholdAge04,"&lt;"&amp;'19_Расчет_аналитики'!W560,WeightedRevAge04)-SUMIF(ThresholdAge04,"&lt;"&amp;'19_Расчет_аналитики'!W560,WeightedMinAge04),MAX(CapacityAge04*'01_Вводные'!$B$218*'19_Расчет_аналитики'!W560,MeanMinAge04)))</f>
        <v/>
      </c>
      <c r="X495">
        <f>IF(OR(('19_Расчет_аналитики'!X411-'19_Расчет_аналитики'!X439)=0,4&lt;='01_Вводные'!$B$297),0,('19_Расчет_аналитики'!X411-'19_Расчет_аналитики'!X439)*IF('01_Вводные'!$B$239="Да",MeanMinAge04+'19_Расчет_аналитики'!X560*SUMIF(ThresholdAge04,"&lt;"&amp;'19_Расчет_аналитики'!X560,WeightedRevAge04)-SUMIF(ThresholdAge04,"&lt;"&amp;'19_Расчет_аналитики'!X560,WeightedMinAge04),MAX(CapacityAge04*'01_Вводные'!$B$218*'19_Расчет_аналитики'!X560,MeanMinAge04)))</f>
        <v/>
      </c>
      <c r="Y495">
        <f>IF(OR(('19_Расчет_аналитики'!Y411-'19_Расчет_аналитики'!Y439)=0,4&lt;='01_Вводные'!$B$297),0,('19_Расчет_аналитики'!Y411-'19_Расчет_аналитики'!Y439)*IF('01_Вводные'!$B$239="Да",MeanMinAge04+'19_Расчет_аналитики'!Y560*SUMIF(ThresholdAge04,"&lt;"&amp;'19_Расчет_аналитики'!Y560,WeightedRevAge04)-SUMIF(ThresholdAge04,"&lt;"&amp;'19_Расчет_аналитики'!Y560,WeightedMinAge04),MAX(CapacityAge04*'01_Вводные'!$B$218*'19_Расчет_аналитики'!Y560,MeanMinAge04)))</f>
        <v/>
      </c>
      <c r="Z495">
        <f>IF(OR(('19_Расчет_аналитики'!Z411-'19_Расчет_аналитики'!Z439)=0,4&lt;='01_Вводные'!$B$297),0,('19_Расчет_аналитики'!Z411-'19_Расчет_аналитики'!Z439)*IF('01_Вводные'!$B$239="Да",MeanMinAge04+'19_Расчет_аналитики'!Z560*SUMIF(ThresholdAge04,"&lt;"&amp;'19_Расчет_аналитики'!Z560,WeightedRevAge04)-SUMIF(ThresholdAge04,"&lt;"&amp;'19_Расчет_аналитики'!Z560,WeightedMinAge04),MAX(CapacityAge04*'01_Вводные'!$B$218*'19_Расчет_аналитики'!Z560,MeanMinAge04)))</f>
        <v/>
      </c>
      <c r="AA495">
        <f>IF(OR(('19_Расчет_аналитики'!AA411-'19_Расчет_аналитики'!AA439)=0,4&lt;='01_Вводные'!$B$297),0,('19_Расчет_аналитики'!AA411-'19_Расчет_аналитики'!AA439)*IF('01_Вводные'!$B$239="Да",MeanMinAge04+'19_Расчет_аналитики'!AA560*SUMIF(ThresholdAge04,"&lt;"&amp;'19_Расчет_аналитики'!AA560,WeightedRevAge04)-SUMIF(ThresholdAge04,"&lt;"&amp;'19_Расчет_аналитики'!AA560,WeightedMinAge04),MAX(CapacityAge04*'01_Вводные'!$B$218*'19_Расчет_аналитики'!AA560,MeanMinAge04)))</f>
        <v/>
      </c>
      <c r="AB495">
        <f>IF(OR(('19_Расчет_аналитики'!AB411-'19_Расчет_аналитики'!AB439)=0,4&lt;='01_Вводные'!$B$297),0,('19_Расчет_аналитики'!AB411-'19_Расчет_аналитики'!AB439)*IF('01_Вводные'!$B$239="Да",MeanMinAge04+'19_Расчет_аналитики'!AB560*SUMIF(ThresholdAge04,"&lt;"&amp;'19_Расчет_аналитики'!AB560,WeightedRevAge04)-SUMIF(ThresholdAge04,"&lt;"&amp;'19_Расчет_аналитики'!AB560,WeightedMinAge04),MAX(CapacityAge04*'01_Вводные'!$B$218*'19_Расчет_аналитики'!AB560,MeanMinAge04)))</f>
        <v/>
      </c>
      <c r="AC495">
        <f>IF(OR(('19_Расчет_аналитики'!AC411-'19_Расчет_аналитики'!AC439)=0,4&lt;='01_Вводные'!$B$297),0,('19_Расчет_аналитики'!AC411-'19_Расчет_аналитики'!AC439)*IF('01_Вводные'!$B$239="Да",MeanMinAge04+'19_Расчет_аналитики'!AC560*SUMIF(ThresholdAge04,"&lt;"&amp;'19_Расчет_аналитики'!AC560,WeightedRevAge04)-SUMIF(ThresholdAge04,"&lt;"&amp;'19_Расчет_аналитики'!AC560,WeightedMinAge04),MAX(CapacityAge04*'01_Вводные'!$B$218*'19_Расчет_аналитики'!AC560,MeanMinAge04)))</f>
        <v/>
      </c>
      <c r="AD495">
        <f>IF(OR(('19_Расчет_аналитики'!AD411-'19_Расчет_аналитики'!AD439)=0,4&lt;='01_Вводные'!$B$297),0,('19_Расчет_аналитики'!AD411-'19_Расчет_аналитики'!AD439)*IF('01_Вводные'!$B$239="Да",MeanMinAge04+'19_Расчет_аналитики'!AD560*SUMIF(ThresholdAge04,"&lt;"&amp;'19_Расчет_аналитики'!AD560,WeightedRevAge04)-SUMIF(ThresholdAge04,"&lt;"&amp;'19_Расчет_аналитики'!AD560,WeightedMinAge04),MAX(CapacityAge04*'01_Вводные'!$B$218*'19_Расчет_аналитики'!AD560,MeanMinAge04)))</f>
        <v/>
      </c>
      <c r="AE495">
        <f>IF(OR(('19_Расчет_аналитики'!AE411-'19_Расчет_аналитики'!AE439)=0,4&lt;='01_Вводные'!$B$297),0,('19_Расчет_аналитики'!AE411-'19_Расчет_аналитики'!AE439)*IF('01_Вводные'!$B$239="Да",MeanMinAge04+'19_Расчет_аналитики'!AE560*SUMIF(ThresholdAge04,"&lt;"&amp;'19_Расчет_аналитики'!AE560,WeightedRevAge04)-SUMIF(ThresholdAge04,"&lt;"&amp;'19_Расчет_аналитики'!AE560,WeightedMinAge04),MAX(CapacityAge04*'01_Вводные'!$B$218*'19_Расчет_аналитики'!AE560,MeanMinAge04)))</f>
        <v/>
      </c>
      <c r="AF495">
        <f>IF(OR(('19_Расчет_аналитики'!AF411-'19_Расчет_аналитики'!AF439)=0,4&lt;='01_Вводные'!$B$297),0,('19_Расчет_аналитики'!AF411-'19_Расчет_аналитики'!AF439)*IF('01_Вводные'!$B$239="Да",MeanMinAge04+'19_Расчет_аналитики'!AF560*SUMIF(ThresholdAge04,"&lt;"&amp;'19_Расчет_аналитики'!AF560,WeightedRevAge04)-SUMIF(ThresholdAge04,"&lt;"&amp;'19_Расчет_аналитики'!AF560,WeightedMinAge04),MAX(CapacityAge04*'01_Вводные'!$B$218*'19_Расчет_аналитики'!AF560,MeanMinAge04)))</f>
        <v/>
      </c>
      <c r="AG495">
        <f>IF(OR(('19_Расчет_аналитики'!AG411-'19_Расчет_аналитики'!AG439)=0,4&lt;='01_Вводные'!$B$297),0,('19_Расчет_аналитики'!AG411-'19_Расчет_аналитики'!AG439)*IF('01_Вводные'!$B$239="Да",MeanMinAge04+'19_Расчет_аналитики'!AG560*SUMIF(ThresholdAge04,"&lt;"&amp;'19_Расчет_аналитики'!AG560,WeightedRevAge04)-SUMIF(ThresholdAge04,"&lt;"&amp;'19_Расчет_аналитики'!AG560,WeightedMinAge04),MAX(CapacityAge04*'01_Вводные'!$B$218*'19_Расчет_аналитики'!AG560,MeanMinAge04)))</f>
        <v/>
      </c>
      <c r="AH495">
        <f>IF(OR(('19_Расчет_аналитики'!AH411-'19_Расчет_аналитики'!AH439)=0,4&lt;='01_Вводные'!$B$297),0,('19_Расчет_аналитики'!AH411-'19_Расчет_аналитики'!AH439)*IF('01_Вводные'!$B$239="Да",MeanMinAge04+'19_Расчет_аналитики'!AH560*SUMIF(ThresholdAge04,"&lt;"&amp;'19_Расчет_аналитики'!AH560,WeightedRevAge04)-SUMIF(ThresholdAge04,"&lt;"&amp;'19_Расчет_аналитики'!AH560,WeightedMinAge04),MAX(CapacityAge04*'01_Вводные'!$B$218*'19_Расчет_аналитики'!AH560,MeanMinAge04)))</f>
        <v/>
      </c>
      <c r="AI495">
        <f>IF(OR(('19_Расчет_аналитики'!AI411-'19_Расчет_аналитики'!AI439)=0,4&lt;='01_Вводные'!$B$297),0,('19_Расчет_аналитики'!AI411-'19_Расчет_аналитики'!AI439)*IF('01_Вводные'!$B$239="Да",MeanMinAge04+'19_Расчет_аналитики'!AI560*SUMIF(ThresholdAge04,"&lt;"&amp;'19_Расчет_аналитики'!AI560,WeightedRevAge04)-SUMIF(ThresholdAge04,"&lt;"&amp;'19_Расчет_аналитики'!AI560,WeightedMinAge04),MAX(CapacityAge04*'01_Вводные'!$B$218*'19_Расчет_аналитики'!AI560,MeanMinAge04)))</f>
        <v/>
      </c>
      <c r="AJ495">
        <f>IF(OR(('19_Расчет_аналитики'!AJ411-'19_Расчет_аналитики'!AJ439)=0,4&lt;='01_Вводные'!$B$297),0,('19_Расчет_аналитики'!AJ411-'19_Расчет_аналитики'!AJ439)*IF('01_Вводные'!$B$239="Да",MeanMinAge04+'19_Расчет_аналитики'!AJ560*SUMIF(ThresholdAge04,"&lt;"&amp;'19_Расчет_аналитики'!AJ560,WeightedRevAge04)-SUMIF(ThresholdAge04,"&lt;"&amp;'19_Расчет_аналитики'!AJ560,WeightedMinAge04),MAX(CapacityAge04*'01_Вводные'!$B$218*'19_Расчет_аналитики'!AJ560,MeanMinAge04)))</f>
        <v/>
      </c>
      <c r="AK495">
        <f>IF(OR(('19_Расчет_аналитики'!AK411-'19_Расчет_аналитики'!AK439)=0,4&lt;='01_Вводные'!$B$297),0,('19_Расчет_аналитики'!AK411-'19_Расчет_аналитики'!AK439)*IF('01_Вводные'!$B$239="Да",MeanMinAge04+'19_Расчет_аналитики'!AK560*SUMIF(ThresholdAge04,"&lt;"&amp;'19_Расчет_аналитики'!AK560,WeightedRevAge04)-SUMIF(ThresholdAge04,"&lt;"&amp;'19_Расчет_аналитики'!AK560,WeightedMinAge04),MAX(CapacityAge04*'01_Вводные'!$B$218*'19_Расчет_аналитики'!AK560,MeanMinAge04)))</f>
        <v/>
      </c>
      <c r="AL495">
        <f>IF(OR(('19_Расчет_аналитики'!AL411-'19_Расчет_аналитики'!AL439)=0,4&lt;='01_Вводные'!$B$297),0,('19_Расчет_аналитики'!AL411-'19_Расчет_аналитики'!AL439)*IF('01_Вводные'!$B$239="Да",MeanMinAge04+'19_Расчет_аналитики'!AL560*SUMIF(ThresholdAge04,"&lt;"&amp;'19_Расчет_аналитики'!AL560,WeightedRevAge04)-SUMIF(ThresholdAge04,"&lt;"&amp;'19_Расчет_аналитики'!AL560,WeightedMinAge04),MAX(CapacityAge04*'01_Вводные'!$B$218*'19_Расчет_аналитики'!AL560,MeanMinAge04)))</f>
        <v/>
      </c>
      <c r="AM495">
        <f>IF(OR(('19_Расчет_аналитики'!AM411-'19_Расчет_аналитики'!AM439)=0,4&lt;='01_Вводные'!$B$297),0,('19_Расчет_аналитики'!AM411-'19_Расчет_аналитики'!AM439)*IF('01_Вводные'!$B$239="Да",MeanMinAge04+'19_Расчет_аналитики'!AM560*SUMIF(ThresholdAge04,"&lt;"&amp;'19_Расчет_аналитики'!AM560,WeightedRevAge04)-SUMIF(ThresholdAge04,"&lt;"&amp;'19_Расчет_аналитики'!AM560,WeightedMinAge04),MAX(CapacityAge04*'01_Вводные'!$B$218*'19_Расчет_аналитики'!AM560,MeanMinAge04)))</f>
        <v/>
      </c>
      <c r="AN495">
        <f>IF(OR(('19_Расчет_аналитики'!AN411-'19_Расчет_аналитики'!AN439)=0,4&lt;='01_Вводные'!$B$297),0,('19_Расчет_аналитики'!AN411-'19_Расчет_аналитики'!AN439)*IF('01_Вводные'!$B$239="Да",MeanMinAge04+'19_Расчет_аналитики'!AN560*SUMIF(ThresholdAge04,"&lt;"&amp;'19_Расчет_аналитики'!AN560,WeightedRevAge04)-SUMIF(ThresholdAge04,"&lt;"&amp;'19_Расчет_аналитики'!AN560,WeightedMinAge04),MAX(CapacityAge04*'01_Вводные'!$B$218*'19_Расчет_аналитики'!AN560,MeanMinAge04)))</f>
        <v/>
      </c>
      <c r="AO495">
        <f>IF(OR(('19_Расчет_аналитики'!AO411-'19_Расчет_аналитики'!AO439)=0,4&lt;='01_Вводные'!$B$297),0,('19_Расчет_аналитики'!AO411-'19_Расчет_аналитики'!AO439)*IF('01_Вводные'!$B$239="Да",MeanMinAge04+'19_Расчет_аналитики'!AO560*SUMIF(ThresholdAge04,"&lt;"&amp;'19_Расчет_аналитики'!AO560,WeightedRevAge04)-SUMIF(ThresholdAge04,"&lt;"&amp;'19_Расчет_аналитики'!AO560,WeightedMinAge04),MAX(CapacityAge04*'01_Вводные'!$B$218*'19_Расчет_аналитики'!AO560,MeanMinAge04)))</f>
        <v/>
      </c>
      <c r="AP495">
        <f>IF(OR(('19_Расчет_аналитики'!AP411-'19_Расчет_аналитики'!AP439)=0,4&lt;='01_Вводные'!$B$297),0,('19_Расчет_аналитики'!AP411-'19_Расчет_аналитики'!AP439)*IF('01_Вводные'!$B$239="Да",MeanMinAge04+'19_Расчет_аналитики'!AP560*SUMIF(ThresholdAge04,"&lt;"&amp;'19_Расчет_аналитики'!AP560,WeightedRevAge04)-SUMIF(ThresholdAge04,"&lt;"&amp;'19_Расчет_аналитики'!AP560,WeightedMinAge04),MAX(CapacityAge04*'01_Вводные'!$B$218*'19_Расчет_аналитики'!AP560,MeanMinAge04)))</f>
        <v/>
      </c>
      <c r="AQ495">
        <f>IF(OR(('19_Расчет_аналитики'!AQ411-'19_Расчет_аналитики'!AQ439)=0,4&lt;='01_Вводные'!$B$297),0,('19_Расчет_аналитики'!AQ411-'19_Расчет_аналитики'!AQ439)*IF('01_Вводные'!$B$239="Да",MeanMinAge04+'19_Расчет_аналитики'!AQ560*SUMIF(ThresholdAge04,"&lt;"&amp;'19_Расчет_аналитики'!AQ560,WeightedRevAge04)-SUMIF(ThresholdAge04,"&lt;"&amp;'19_Расчет_аналитики'!AQ560,WeightedMinAge04),MAX(CapacityAge04*'01_Вводные'!$B$218*'19_Расчет_аналитики'!AQ560,MeanMinAge04)))</f>
        <v/>
      </c>
      <c r="AR495">
        <f>IF(OR(('19_Расчет_аналитики'!AR411-'19_Расчет_аналитики'!AR439)=0,4&lt;='01_Вводные'!$B$297),0,('19_Расчет_аналитики'!AR411-'19_Расчет_аналитики'!AR439)*IF('01_Вводные'!$B$239="Да",MeanMinAge04+'19_Расчет_аналитики'!AR560*SUMIF(ThresholdAge04,"&lt;"&amp;'19_Расчет_аналитики'!AR560,WeightedRevAge04)-SUMIF(ThresholdAge04,"&lt;"&amp;'19_Расчет_аналитики'!AR560,WeightedMinAge04),MAX(CapacityAge04*'01_Вводные'!$B$218*'19_Расчет_аналитики'!AR560,MeanMinAge04)))</f>
        <v/>
      </c>
      <c r="AS495">
        <f>IF(OR(('19_Расчет_аналитики'!AS411-'19_Расчет_аналитики'!AS439)=0,4&lt;='01_Вводные'!$B$297),0,('19_Расчет_аналитики'!AS411-'19_Расчет_аналитики'!AS439)*IF('01_Вводные'!$B$239="Да",MeanMinAge04+'19_Расчет_аналитики'!AS560*SUMIF(ThresholdAge04,"&lt;"&amp;'19_Расчет_аналитики'!AS560,WeightedRevAge04)-SUMIF(ThresholdAge04,"&lt;"&amp;'19_Расчет_аналитики'!AS560,WeightedMinAge04),MAX(CapacityAge04*'01_Вводные'!$B$218*'19_Расчет_аналитики'!AS560,MeanMinAge04)))</f>
        <v/>
      </c>
      <c r="AT495">
        <f>IF(OR(('19_Расчет_аналитики'!AT411-'19_Расчет_аналитики'!AT439)=0,4&lt;='01_Вводные'!$B$297),0,('19_Расчет_аналитики'!AT411-'19_Расчет_аналитики'!AT439)*IF('01_Вводные'!$B$239="Да",MeanMinAge04+'19_Расчет_аналитики'!AT560*SUMIF(ThresholdAge04,"&lt;"&amp;'19_Расчет_аналитики'!AT560,WeightedRevAge04)-SUMIF(ThresholdAge04,"&lt;"&amp;'19_Расчет_аналитики'!AT560,WeightedMinAge04),MAX(CapacityAge04*'01_Вводные'!$B$218*'19_Расчет_аналитики'!AT560,MeanMinAge04)))</f>
        <v/>
      </c>
      <c r="AU495">
        <f>IF(OR(('19_Расчет_аналитики'!AU411-'19_Расчет_аналитики'!AU439)=0,4&lt;='01_Вводные'!$B$297),0,('19_Расчет_аналитики'!AU411-'19_Расчет_аналитики'!AU439)*IF('01_Вводные'!$B$239="Да",MeanMinAge04+'19_Расчет_аналитики'!AU560*SUMIF(ThresholdAge04,"&lt;"&amp;'19_Расчет_аналитики'!AU560,WeightedRevAge04)-SUMIF(ThresholdAge04,"&lt;"&amp;'19_Расчет_аналитики'!AU560,WeightedMinAge04),MAX(CapacityAge04*'01_Вводные'!$B$218*'19_Расчет_аналитики'!AU560,MeanMinAge04)))</f>
        <v/>
      </c>
      <c r="AV495">
        <f>IF(OR(('19_Расчет_аналитики'!AV411-'19_Расчет_аналитики'!AV439)=0,4&lt;='01_Вводные'!$B$297),0,('19_Расчет_аналитики'!AV411-'19_Расчет_аналитики'!AV439)*IF('01_Вводные'!$B$239="Да",MeanMinAge04+'19_Расчет_аналитики'!AV560*SUMIF(ThresholdAge04,"&lt;"&amp;'19_Расчет_аналитики'!AV560,WeightedRevAge04)-SUMIF(ThresholdAge04,"&lt;"&amp;'19_Расчет_аналитики'!AV560,WeightedMinAge04),MAX(CapacityAge04*'01_Вводные'!$B$218*'19_Расчет_аналитики'!AV560,MeanMinAge04)))</f>
        <v/>
      </c>
      <c r="AW495">
        <f>IF(OR(('19_Расчет_аналитики'!AW411-'19_Расчет_аналитики'!AW439)=0,4&lt;='01_Вводные'!$B$297),0,('19_Расчет_аналитики'!AW411-'19_Расчет_аналитики'!AW439)*IF('01_Вводные'!$B$239="Да",MeanMinAge04+'19_Расчет_аналитики'!AW560*SUMIF(ThresholdAge04,"&lt;"&amp;'19_Расчет_аналитики'!AW560,WeightedRevAge04)-SUMIF(ThresholdAge04,"&lt;"&amp;'19_Расчет_аналитики'!AW560,WeightedMinAge04),MAX(CapacityAge04*'01_Вводные'!$B$218*'19_Расчет_аналитики'!AW560,MeanMinAge04)))</f>
        <v/>
      </c>
      <c r="AX495">
        <f>IF(OR(('19_Расчет_аналитики'!AX411-'19_Расчет_аналитики'!AX439)=0,4&lt;='01_Вводные'!$B$297),0,('19_Расчет_аналитики'!AX411-'19_Расчет_аналитики'!AX439)*IF('01_Вводные'!$B$239="Да",MeanMinAge04+'19_Расчет_аналитики'!AX560*SUMIF(ThresholdAge04,"&lt;"&amp;'19_Расчет_аналитики'!AX560,WeightedRevAge04)-SUMIF(ThresholdAge04,"&lt;"&amp;'19_Расчет_аналитики'!AX560,WeightedMinAge04),MAX(CapacityAge04*'01_Вводные'!$B$218*'19_Расчет_аналитики'!AX560,MeanMinAge04)))</f>
        <v/>
      </c>
      <c r="AY495">
        <f>IF(OR(('19_Расчет_аналитики'!AY411-'19_Расчет_аналитики'!AY439)=0,4&lt;='01_Вводные'!$B$297),0,('19_Расчет_аналитики'!AY411-'19_Расчет_аналитики'!AY439)*IF('01_Вводные'!$B$239="Да",MeanMinAge04+'19_Расчет_аналитики'!AY560*SUMIF(ThresholdAge04,"&lt;"&amp;'19_Расчет_аналитики'!AY560,WeightedRevAge04)-SUMIF(ThresholdAge04,"&lt;"&amp;'19_Расчет_аналитики'!AY560,WeightedMinAge04),MAX(CapacityAge04*'01_Вводные'!$B$218*'19_Расчет_аналитики'!AY560,MeanMinAge04)))</f>
        <v/>
      </c>
      <c r="AZ495">
        <f>IF(OR(('19_Расчет_аналитики'!AZ411-'19_Расчет_аналитики'!AZ439)=0,4&lt;='01_Вводные'!$B$297),0,('19_Расчет_аналитики'!AZ411-'19_Расчет_аналитики'!AZ439)*IF('01_Вводные'!$B$239="Да",MeanMinAge04+'19_Расчет_аналитики'!AZ560*SUMIF(ThresholdAge04,"&lt;"&amp;'19_Расчет_аналитики'!AZ560,WeightedRevAge04)-SUMIF(ThresholdAge04,"&lt;"&amp;'19_Расчет_аналитики'!AZ560,WeightedMinAge04),MAX(CapacityAge04*'01_Вводные'!$B$218*'19_Расчет_аналитики'!AZ560,MeanMinAge04)))</f>
        <v/>
      </c>
      <c r="BA495">
        <f>IF(OR(('19_Расчет_аналитики'!BA411-'19_Расчет_аналитики'!BA439)=0,4&lt;='01_Вводные'!$B$297),0,('19_Расчет_аналитики'!BA411-'19_Расчет_аналитики'!BA439)*IF('01_Вводные'!$B$239="Да",MeanMinAge04+'19_Расчет_аналитики'!BA560*SUMIF(ThresholdAge04,"&lt;"&amp;'19_Расчет_аналитики'!BA560,WeightedRevAge04)-SUMIF(ThresholdAge04,"&lt;"&amp;'19_Расчет_аналитики'!BA560,WeightedMinAge04),MAX(CapacityAge04*'01_Вводные'!$B$218*'19_Расчет_аналитики'!BA560,MeanMinAge04)))</f>
        <v/>
      </c>
      <c r="BB495">
        <f>IF(OR(('19_Расчет_аналитики'!BB411-'19_Расчет_аналитики'!BB439)=0,4&lt;='01_Вводные'!$B$297),0,('19_Расчет_аналитики'!BB411-'19_Расчет_аналитики'!BB439)*IF('01_Вводные'!$B$239="Да",MeanMinAge04+'19_Расчет_аналитики'!BB560*SUMIF(ThresholdAge04,"&lt;"&amp;'19_Расчет_аналитики'!BB560,WeightedRevAge04)-SUMIF(ThresholdAge04,"&lt;"&amp;'19_Расчет_аналитики'!BB560,WeightedMinAge04),MAX(CapacityAge04*'01_Вводные'!$B$218*'19_Расчет_аналитики'!BB560,MeanMinAge04)))</f>
        <v/>
      </c>
      <c r="BC495">
        <f>IF(OR(('19_Расчет_аналитики'!BC411-'19_Расчет_аналитики'!BC439)=0,4&lt;='01_Вводные'!$B$297),0,('19_Расчет_аналитики'!BC411-'19_Расчет_аналитики'!BC439)*IF('01_Вводные'!$B$239="Да",MeanMinAge04+'19_Расчет_аналитики'!BC560*SUMIF(ThresholdAge04,"&lt;"&amp;'19_Расчет_аналитики'!BC560,WeightedRevAge04)-SUMIF(ThresholdAge04,"&lt;"&amp;'19_Расчет_аналитики'!BC560,WeightedMinAge04),MAX(CapacityAge04*'01_Вводные'!$B$218*'19_Расчет_аналитики'!BC560,MeanMinAge04)))</f>
        <v/>
      </c>
      <c r="BD495">
        <f>IF(OR(('19_Расчет_аналитики'!BD411-'19_Расчет_аналитики'!BD439)=0,4&lt;='01_Вводные'!$B$297),0,('19_Расчет_аналитики'!BD411-'19_Расчет_аналитики'!BD439)*IF('01_Вводные'!$B$239="Да",MeanMinAge04+'19_Расчет_аналитики'!BD560*SUMIF(ThresholdAge04,"&lt;"&amp;'19_Расчет_аналитики'!BD560,WeightedRevAge04)-SUMIF(ThresholdAge04,"&lt;"&amp;'19_Расчет_аналитики'!BD560,WeightedMinAge04),MAX(CapacityAge04*'01_Вводные'!$B$218*'19_Расчет_аналитики'!BD560,MeanMinAge04)))</f>
        <v/>
      </c>
      <c r="BE495">
        <f>IF(OR(('19_Расчет_аналитики'!BE411-'19_Расчет_аналитики'!BE439)=0,4&lt;='01_Вводные'!$B$297),0,('19_Расчет_аналитики'!BE411-'19_Расчет_аналитики'!BE439)*IF('01_Вводные'!$B$239="Да",MeanMinAge04+'19_Расчет_аналитики'!BE560*SUMIF(ThresholdAge04,"&lt;"&amp;'19_Расчет_аналитики'!BE560,WeightedRevAge04)-SUMIF(ThresholdAge04,"&lt;"&amp;'19_Расчет_аналитики'!BE560,WeightedMinAge04),MAX(CapacityAge04*'01_Вводные'!$B$218*'19_Расчет_аналитики'!BE560,MeanMinAge04)))</f>
        <v/>
      </c>
      <c r="BF495">
        <f>IF(OR(('19_Расчет_аналитики'!BF411-'19_Расчет_аналитики'!BF439)=0,4&lt;='01_Вводные'!$B$297),0,('19_Расчет_аналитики'!BF411-'19_Расчет_аналитики'!BF439)*IF('01_Вводные'!$B$239="Да",MeanMinAge04+'19_Расчет_аналитики'!BF560*SUMIF(ThresholdAge04,"&lt;"&amp;'19_Расчет_аналитики'!BF560,WeightedRevAge04)-SUMIF(ThresholdAge04,"&lt;"&amp;'19_Расчет_аналитики'!BF560,WeightedMinAge04),MAX(CapacityAge04*'01_Вводные'!$B$218*'19_Расчет_аналитики'!BF560,MeanMinAge04)))</f>
        <v/>
      </c>
      <c r="BG495">
        <f>IF(OR(('19_Расчет_аналитики'!BG411-'19_Расчет_аналитики'!BG439)=0,4&lt;='01_Вводные'!$B$297),0,('19_Расчет_аналитики'!BG411-'19_Расчет_аналитики'!BG439)*IF('01_Вводные'!$B$239="Да",MeanMinAge04+'19_Расчет_аналитики'!BG560*SUMIF(ThresholdAge04,"&lt;"&amp;'19_Расчет_аналитики'!BG560,WeightedRevAge04)-SUMIF(ThresholdAge04,"&lt;"&amp;'19_Расчет_аналитики'!BG560,WeightedMinAge04),MAX(CapacityAge04*'01_Вводные'!$B$218*'19_Расчет_аналитики'!BG560,MeanMinAge04)))</f>
        <v/>
      </c>
      <c r="BH495">
        <f>IF(OR(('19_Расчет_аналитики'!BH411-'19_Расчет_аналитики'!BH439)=0,4&lt;='01_Вводные'!$B$297),0,('19_Расчет_аналитики'!BH411-'19_Расчет_аналитики'!BH439)*IF('01_Вводные'!$B$239="Да",MeanMinAge04+'19_Расчет_аналитики'!BH560*SUMIF(ThresholdAge04,"&lt;"&amp;'19_Расчет_аналитики'!BH560,WeightedRevAge04)-SUMIF(ThresholdAge04,"&lt;"&amp;'19_Расчет_аналитики'!BH560,WeightedMinAge04),MAX(CapacityAge04*'01_Вводные'!$B$218*'19_Расчет_аналитики'!BH560,MeanMinAge04)))</f>
        <v/>
      </c>
      <c r="BI495">
        <f>IF(OR(('19_Расчет_аналитики'!BI411-'19_Расчет_аналитики'!BI439)=0,4&lt;='01_Вводные'!$B$297),0,('19_Расчет_аналитики'!BI411-'19_Расчет_аналитики'!BI439)*IF('01_Вводные'!$B$239="Да",MeanMinAge04+'19_Расчет_аналитики'!BI560*SUMIF(ThresholdAge04,"&lt;"&amp;'19_Расчет_аналитики'!BI560,WeightedRevAge04)-SUMIF(ThresholdAge04,"&lt;"&amp;'19_Расчет_аналитики'!BI560,WeightedMinAge04),MAX(CapacityAge04*'01_Вводные'!$B$218*'19_Расчет_аналитики'!BI560,MeanMinAge04)))</f>
        <v/>
      </c>
      <c r="BJ495">
        <f>IF(OR(('19_Расчет_аналитики'!BJ411-'19_Расчет_аналитики'!BJ439)=0,4&lt;='01_Вводные'!$B$297),0,('19_Расчет_аналитики'!BJ411-'19_Расчет_аналитики'!BJ439)*IF('01_Вводные'!$B$239="Да",MeanMinAge04+'19_Расчет_аналитики'!BJ560*SUMIF(ThresholdAge04,"&lt;"&amp;'19_Расчет_аналитики'!BJ560,WeightedRevAge04)-SUMIF(ThresholdAge04,"&lt;"&amp;'19_Расчет_аналитики'!BJ560,WeightedMinAge04),MAX(CapacityAge04*'01_Вводные'!$B$218*'19_Расчет_аналитики'!BJ560,MeanMinAge04)))</f>
        <v/>
      </c>
      <c r="BK495">
        <f>IF(OR(('19_Расчет_аналитики'!BK411-'19_Расчет_аналитики'!BK439)=0,4&lt;='01_Вводные'!$B$297),0,('19_Расчет_аналитики'!BK411-'19_Расчет_аналитики'!BK439)*IF('01_Вводные'!$B$239="Да",MeanMinAge04+'19_Расчет_аналитики'!BK560*SUMIF(ThresholdAge04,"&lt;"&amp;'19_Расчет_аналитики'!BK560,WeightedRevAge04)-SUMIF(ThresholdAge04,"&lt;"&amp;'19_Расчет_аналитики'!BK560,WeightedMinAge04),MAX(CapacityAge04*'01_Вводные'!$B$218*'19_Расчет_аналитики'!BK560,MeanMinAge04)))</f>
        <v/>
      </c>
      <c r="BL495">
        <f>IF(OR(('19_Расчет_аналитики'!BL411-'19_Расчет_аналитики'!BL439)=0,4&lt;='01_Вводные'!$B$297),0,('19_Расчет_аналитики'!BL411-'19_Расчет_аналитики'!BL439)*IF('01_Вводные'!$B$239="Да",MeanMinAge04+'19_Расчет_аналитики'!BL560*SUMIF(ThresholdAge04,"&lt;"&amp;'19_Расчет_аналитики'!BL560,WeightedRevAge04)-SUMIF(ThresholdAge04,"&lt;"&amp;'19_Расчет_аналитики'!BL560,WeightedMinAge04),MAX(CapacityAge04*'01_Вводные'!$B$218*'19_Расчет_аналитики'!BL560,MeanMinAge04)))</f>
        <v/>
      </c>
      <c r="BM495">
        <f>IF(OR(('19_Расчет_аналитики'!BM411-'19_Расчет_аналитики'!BM439)=0,4&lt;='01_Вводные'!$B$297),0,('19_Расчет_аналитики'!BM411-'19_Расчет_аналитики'!BM439)*IF('01_Вводные'!$B$239="Да",MeanMinAge04+'19_Расчет_аналитики'!BM560*SUMIF(ThresholdAge04,"&lt;"&amp;'19_Расчет_аналитики'!BM560,WeightedRevAge04)-SUMIF(ThresholdAge04,"&lt;"&amp;'19_Расчет_аналитики'!BM560,WeightedMinAge04),MAX(CapacityAge04*'01_Вводные'!$B$218*'19_Расчет_аналитики'!BM560,MeanMinAge04)))</f>
        <v/>
      </c>
      <c r="BN495">
        <f>IF(OR(('19_Расчет_аналитики'!BN411-'19_Расчет_аналитики'!BN439)=0,4&lt;='01_Вводные'!$B$297),0,('19_Расчет_аналитики'!BN411-'19_Расчет_аналитики'!BN439)*IF('01_Вводные'!$B$239="Да",MeanMinAge04+'19_Расчет_аналитики'!BN560*SUMIF(ThresholdAge04,"&lt;"&amp;'19_Расчет_аналитики'!BN560,WeightedRevAge04)-SUMIF(ThresholdAge04,"&lt;"&amp;'19_Расчет_аналитики'!BN560,WeightedMinAge04),MAX(CapacityAge04*'01_Вводные'!$B$218*'19_Расчет_аналитики'!BN560,MeanMinAge04)))</f>
        <v/>
      </c>
      <c r="BO495">
        <f>IF(OR(('19_Расчет_аналитики'!BO411-'19_Расчет_аналитики'!BO439)=0,4&lt;='01_Вводные'!$B$297),0,('19_Расчет_аналитики'!BO411-'19_Расчет_аналитики'!BO439)*IF('01_Вводные'!$B$239="Да",MeanMinAge04+'19_Расчет_аналитики'!BO560*SUMIF(ThresholdAge04,"&lt;"&amp;'19_Расчет_аналитики'!BO560,WeightedRevAge04)-SUMIF(ThresholdAge04,"&lt;"&amp;'19_Расчет_аналитики'!BO560,WeightedMinAge04),MAX(CapacityAge04*'01_Вводные'!$B$218*'19_Расчет_аналитики'!BO560,MeanMinAge04)))</f>
        <v/>
      </c>
    </row>
    <row r="496">
      <c r="B496">
        <f>IF(OR(('06_Сеть_и_дети'!B57-'06_Сеть_и_дети'!B85)=0,5&lt;='01_Вводные'!$B$297),0,('06_Сеть_и_дети'!B57-'06_Сеть_и_дети'!B85)*IF('01_Вводные'!$B$239="Да",MeanMinAge05+'19_Расчет_аналитики'!B560*SUMIF(ThresholdAge05,"&lt;"&amp;'19_Расчет_аналитики'!B560,WeightedRevAge05)-SUMIF(ThresholdAge05,"&lt;"&amp;'19_Расчет_аналитики'!B560,WeightedMinAge05),MAX(CapacityAge05*'01_Вводные'!$B$218*'19_Расчет_аналитики'!B560,MeanMinAge05)))</f>
        <v/>
      </c>
      <c r="C496">
        <f>IF(OR(('06_Сеть_и_дети'!C57-'06_Сеть_и_дети'!C85)=0,5&lt;='01_Вводные'!$B$297),0,('06_Сеть_и_дети'!C57-'06_Сеть_и_дети'!C85)*IF('01_Вводные'!$B$239="Да",MeanMinAge05+'19_Расчет_аналитики'!C560*SUMIF(ThresholdAge05,"&lt;"&amp;'19_Расчет_аналитики'!C560,WeightedRevAge05)-SUMIF(ThresholdAge05,"&lt;"&amp;'19_Расчет_аналитики'!C560,WeightedMinAge05),MAX(CapacityAge05*'01_Вводные'!$B$218*'19_Расчет_аналитики'!C560,MeanMinAge05)))</f>
        <v/>
      </c>
      <c r="D496">
        <f>IF(OR(('06_Сеть_и_дети'!D57-'06_Сеть_и_дети'!D85)=0,5&lt;='01_Вводные'!$B$297),0,('06_Сеть_и_дети'!D57-'06_Сеть_и_дети'!D85)*IF('01_Вводные'!$B$239="Да",MeanMinAge05+'19_Расчет_аналитики'!D560*SUMIF(ThresholdAge05,"&lt;"&amp;'19_Расчет_аналитики'!D560,WeightedRevAge05)-SUMIF(ThresholdAge05,"&lt;"&amp;'19_Расчет_аналитики'!D560,WeightedMinAge05),MAX(CapacityAge05*'01_Вводные'!$B$218*'19_Расчет_аналитики'!D560,MeanMinAge05)))</f>
        <v/>
      </c>
      <c r="E496">
        <f>IF(OR(('06_Сеть_и_дети'!E57-'06_Сеть_и_дети'!E85)=0,5&lt;='01_Вводные'!$B$297),0,('06_Сеть_и_дети'!E57-'06_Сеть_и_дети'!E85)*IF('01_Вводные'!$B$239="Да",MeanMinAge05+'19_Расчет_аналитики'!E560*SUMIF(ThresholdAge05,"&lt;"&amp;'19_Расчет_аналитики'!E560,WeightedRevAge05)-SUMIF(ThresholdAge05,"&lt;"&amp;'19_Расчет_аналитики'!E560,WeightedMinAge05),MAX(CapacityAge05*'01_Вводные'!$B$218*'19_Расчет_аналитики'!E560,MeanMinAge05)))</f>
        <v/>
      </c>
      <c r="F496">
        <f>IF(OR(('19_Расчет_аналитики'!F412-'19_Расчет_аналитики'!F440)=0,5&lt;='01_Вводные'!$B$297),0,('19_Расчет_аналитики'!F412-'19_Расчет_аналитики'!F440)*IF('01_Вводные'!$B$239="Да",MeanMinAge05+'19_Расчет_аналитики'!F560*SUMIF(ThresholdAge05,"&lt;"&amp;'19_Расчет_аналитики'!F560,WeightedRevAge05)-SUMIF(ThresholdAge05,"&lt;"&amp;'19_Расчет_аналитики'!F560,WeightedMinAge05),MAX(CapacityAge05*'01_Вводные'!$B$218*'19_Расчет_аналитики'!F560,MeanMinAge05)))</f>
        <v/>
      </c>
      <c r="G496">
        <f>IF(OR(('19_Расчет_аналитики'!G412-'19_Расчет_аналитики'!G440)=0,5&lt;='01_Вводные'!$B$297),0,('19_Расчет_аналитики'!G412-'19_Расчет_аналитики'!G440)*IF('01_Вводные'!$B$239="Да",MeanMinAge05+'19_Расчет_аналитики'!G560*SUMIF(ThresholdAge05,"&lt;"&amp;'19_Расчет_аналитики'!G560,WeightedRevAge05)-SUMIF(ThresholdAge05,"&lt;"&amp;'19_Расчет_аналитики'!G560,WeightedMinAge05),MAX(CapacityAge05*'01_Вводные'!$B$218*'19_Расчет_аналитики'!G560,MeanMinAge05)))</f>
        <v/>
      </c>
      <c r="H496">
        <f>IF(OR(('19_Расчет_аналитики'!H412-'19_Расчет_аналитики'!H440)=0,5&lt;='01_Вводные'!$B$297),0,('19_Расчет_аналитики'!H412-'19_Расчет_аналитики'!H440)*IF('01_Вводные'!$B$239="Да",MeanMinAge05+'19_Расчет_аналитики'!H560*SUMIF(ThresholdAge05,"&lt;"&amp;'19_Расчет_аналитики'!H560,WeightedRevAge05)-SUMIF(ThresholdAge05,"&lt;"&amp;'19_Расчет_аналитики'!H560,WeightedMinAge05),MAX(CapacityAge05*'01_Вводные'!$B$218*'19_Расчет_аналитики'!H560,MeanMinAge05)))</f>
        <v/>
      </c>
      <c r="I496">
        <f>IF(OR(('19_Расчет_аналитики'!I412-'19_Расчет_аналитики'!I440)=0,5&lt;='01_Вводные'!$B$297),0,('19_Расчет_аналитики'!I412-'19_Расчет_аналитики'!I440)*IF('01_Вводные'!$B$239="Да",MeanMinAge05+'19_Расчет_аналитики'!I560*SUMIF(ThresholdAge05,"&lt;"&amp;'19_Расчет_аналитики'!I560,WeightedRevAge05)-SUMIF(ThresholdAge05,"&lt;"&amp;'19_Расчет_аналитики'!I560,WeightedMinAge05),MAX(CapacityAge05*'01_Вводные'!$B$218*'19_Расчет_аналитики'!I560,MeanMinAge05)))</f>
        <v/>
      </c>
      <c r="J496">
        <f>IF(OR(('19_Расчет_аналитики'!J412-'19_Расчет_аналитики'!J440)=0,5&lt;='01_Вводные'!$B$297),0,('19_Расчет_аналитики'!J412-'19_Расчет_аналитики'!J440)*IF('01_Вводные'!$B$239="Да",MeanMinAge05+'19_Расчет_аналитики'!J560*SUMIF(ThresholdAge05,"&lt;"&amp;'19_Расчет_аналитики'!J560,WeightedRevAge05)-SUMIF(ThresholdAge05,"&lt;"&amp;'19_Расчет_аналитики'!J560,WeightedMinAge05),MAX(CapacityAge05*'01_Вводные'!$B$218*'19_Расчет_аналитики'!J560,MeanMinAge05)))</f>
        <v/>
      </c>
      <c r="K496">
        <f>IF(OR(('19_Расчет_аналитики'!K412-'19_Расчет_аналитики'!K440)=0,5&lt;='01_Вводные'!$B$297),0,('19_Расчет_аналитики'!K412-'19_Расчет_аналитики'!K440)*IF('01_Вводные'!$B$239="Да",MeanMinAge05+'19_Расчет_аналитики'!K560*SUMIF(ThresholdAge05,"&lt;"&amp;'19_Расчет_аналитики'!K560,WeightedRevAge05)-SUMIF(ThresholdAge05,"&lt;"&amp;'19_Расчет_аналитики'!K560,WeightedMinAge05),MAX(CapacityAge05*'01_Вводные'!$B$218*'19_Расчет_аналитики'!K560,MeanMinAge05)))</f>
        <v/>
      </c>
      <c r="L496">
        <f>IF(OR(('19_Расчет_аналитики'!L412-'19_Расчет_аналитики'!L440)=0,5&lt;='01_Вводные'!$B$297),0,('19_Расчет_аналитики'!L412-'19_Расчет_аналитики'!L440)*IF('01_Вводные'!$B$239="Да",MeanMinAge05+'19_Расчет_аналитики'!L560*SUMIF(ThresholdAge05,"&lt;"&amp;'19_Расчет_аналитики'!L560,WeightedRevAge05)-SUMIF(ThresholdAge05,"&lt;"&amp;'19_Расчет_аналитики'!L560,WeightedMinAge05),MAX(CapacityAge05*'01_Вводные'!$B$218*'19_Расчет_аналитики'!L560,MeanMinAge05)))</f>
        <v/>
      </c>
      <c r="M496">
        <f>IF(OR(('19_Расчет_аналитики'!M412-'19_Расчет_аналитики'!M440)=0,5&lt;='01_Вводные'!$B$297),0,('19_Расчет_аналитики'!M412-'19_Расчет_аналитики'!M440)*IF('01_Вводные'!$B$239="Да",MeanMinAge05+'19_Расчет_аналитики'!M560*SUMIF(ThresholdAge05,"&lt;"&amp;'19_Расчет_аналитики'!M560,WeightedRevAge05)-SUMIF(ThresholdAge05,"&lt;"&amp;'19_Расчет_аналитики'!M560,WeightedMinAge05),MAX(CapacityAge05*'01_Вводные'!$B$218*'19_Расчет_аналитики'!M560,MeanMinAge05)))</f>
        <v/>
      </c>
      <c r="N496">
        <f>IF(OR(('19_Расчет_аналитики'!N412-'19_Расчет_аналитики'!N440)=0,5&lt;='01_Вводные'!$B$297),0,('19_Расчет_аналитики'!N412-'19_Расчет_аналитики'!N440)*IF('01_Вводные'!$B$239="Да",MeanMinAge05+'19_Расчет_аналитики'!N560*SUMIF(ThresholdAge05,"&lt;"&amp;'19_Расчет_аналитики'!N560,WeightedRevAge05)-SUMIF(ThresholdAge05,"&lt;"&amp;'19_Расчет_аналитики'!N560,WeightedMinAge05),MAX(CapacityAge05*'01_Вводные'!$B$218*'19_Расчет_аналитики'!N560,MeanMinAge05)))</f>
        <v/>
      </c>
      <c r="O496">
        <f>IF(OR(('19_Расчет_аналитики'!O412-'19_Расчет_аналитики'!O440)=0,5&lt;='01_Вводные'!$B$297),0,('19_Расчет_аналитики'!O412-'19_Расчет_аналитики'!O440)*IF('01_Вводные'!$B$239="Да",MeanMinAge05+'19_Расчет_аналитики'!O560*SUMIF(ThresholdAge05,"&lt;"&amp;'19_Расчет_аналитики'!O560,WeightedRevAge05)-SUMIF(ThresholdAge05,"&lt;"&amp;'19_Расчет_аналитики'!O560,WeightedMinAge05),MAX(CapacityAge05*'01_Вводные'!$B$218*'19_Расчет_аналитики'!O560,MeanMinAge05)))</f>
        <v/>
      </c>
      <c r="P496">
        <f>IF(OR(('19_Расчет_аналитики'!P412-'19_Расчет_аналитики'!P440)=0,5&lt;='01_Вводные'!$B$297),0,('19_Расчет_аналитики'!P412-'19_Расчет_аналитики'!P440)*IF('01_Вводные'!$B$239="Да",MeanMinAge05+'19_Расчет_аналитики'!P560*SUMIF(ThresholdAge05,"&lt;"&amp;'19_Расчет_аналитики'!P560,WeightedRevAge05)-SUMIF(ThresholdAge05,"&lt;"&amp;'19_Расчет_аналитики'!P560,WeightedMinAge05),MAX(CapacityAge05*'01_Вводные'!$B$218*'19_Расчет_аналитики'!P560,MeanMinAge05)))</f>
        <v/>
      </c>
      <c r="Q496">
        <f>IF(OR(('19_Расчет_аналитики'!Q412-'19_Расчет_аналитики'!Q440)=0,5&lt;='01_Вводные'!$B$297),0,('19_Расчет_аналитики'!Q412-'19_Расчет_аналитики'!Q440)*IF('01_Вводные'!$B$239="Да",MeanMinAge05+'19_Расчет_аналитики'!Q560*SUMIF(ThresholdAge05,"&lt;"&amp;'19_Расчет_аналитики'!Q560,WeightedRevAge05)-SUMIF(ThresholdAge05,"&lt;"&amp;'19_Расчет_аналитики'!Q560,WeightedMinAge05),MAX(CapacityAge05*'01_Вводные'!$B$218*'19_Расчет_аналитики'!Q560,MeanMinAge05)))</f>
        <v/>
      </c>
      <c r="R496">
        <f>IF(OR(('19_Расчет_аналитики'!R412-'19_Расчет_аналитики'!R440)=0,5&lt;='01_Вводные'!$B$297),0,('19_Расчет_аналитики'!R412-'19_Расчет_аналитики'!R440)*IF('01_Вводные'!$B$239="Да",MeanMinAge05+'19_Расчет_аналитики'!R560*SUMIF(ThresholdAge05,"&lt;"&amp;'19_Расчет_аналитики'!R560,WeightedRevAge05)-SUMIF(ThresholdAge05,"&lt;"&amp;'19_Расчет_аналитики'!R560,WeightedMinAge05),MAX(CapacityAge05*'01_Вводные'!$B$218*'19_Расчет_аналитики'!R560,MeanMinAge05)))</f>
        <v/>
      </c>
      <c r="S496">
        <f>IF(OR(('19_Расчет_аналитики'!S412-'19_Расчет_аналитики'!S440)=0,5&lt;='01_Вводные'!$B$297),0,('19_Расчет_аналитики'!S412-'19_Расчет_аналитики'!S440)*IF('01_Вводные'!$B$239="Да",MeanMinAge05+'19_Расчет_аналитики'!S560*SUMIF(ThresholdAge05,"&lt;"&amp;'19_Расчет_аналитики'!S560,WeightedRevAge05)-SUMIF(ThresholdAge05,"&lt;"&amp;'19_Расчет_аналитики'!S560,WeightedMinAge05),MAX(CapacityAge05*'01_Вводные'!$B$218*'19_Расчет_аналитики'!S560,MeanMinAge05)))</f>
        <v/>
      </c>
      <c r="T496">
        <f>IF(OR(('19_Расчет_аналитики'!T412-'19_Расчет_аналитики'!T440)=0,5&lt;='01_Вводные'!$B$297),0,('19_Расчет_аналитики'!T412-'19_Расчет_аналитики'!T440)*IF('01_Вводные'!$B$239="Да",MeanMinAge05+'19_Расчет_аналитики'!T560*SUMIF(ThresholdAge05,"&lt;"&amp;'19_Расчет_аналитики'!T560,WeightedRevAge05)-SUMIF(ThresholdAge05,"&lt;"&amp;'19_Расчет_аналитики'!T560,WeightedMinAge05),MAX(CapacityAge05*'01_Вводные'!$B$218*'19_Расчет_аналитики'!T560,MeanMinAge05)))</f>
        <v/>
      </c>
      <c r="U496">
        <f>IF(OR(('19_Расчет_аналитики'!U412-'19_Расчет_аналитики'!U440)=0,5&lt;='01_Вводные'!$B$297),0,('19_Расчет_аналитики'!U412-'19_Расчет_аналитики'!U440)*IF('01_Вводные'!$B$239="Да",MeanMinAge05+'19_Расчет_аналитики'!U560*SUMIF(ThresholdAge05,"&lt;"&amp;'19_Расчет_аналитики'!U560,WeightedRevAge05)-SUMIF(ThresholdAge05,"&lt;"&amp;'19_Расчет_аналитики'!U560,WeightedMinAge05),MAX(CapacityAge05*'01_Вводные'!$B$218*'19_Расчет_аналитики'!U560,MeanMinAge05)))</f>
        <v/>
      </c>
      <c r="V496">
        <f>IF(OR(('19_Расчет_аналитики'!V412-'19_Расчет_аналитики'!V440)=0,5&lt;='01_Вводные'!$B$297),0,('19_Расчет_аналитики'!V412-'19_Расчет_аналитики'!V440)*IF('01_Вводные'!$B$239="Да",MeanMinAge05+'19_Расчет_аналитики'!V560*SUMIF(ThresholdAge05,"&lt;"&amp;'19_Расчет_аналитики'!V560,WeightedRevAge05)-SUMIF(ThresholdAge05,"&lt;"&amp;'19_Расчет_аналитики'!V560,WeightedMinAge05),MAX(CapacityAge05*'01_Вводные'!$B$218*'19_Расчет_аналитики'!V560,MeanMinAge05)))</f>
        <v/>
      </c>
      <c r="W496">
        <f>IF(OR(('19_Расчет_аналитики'!W412-'19_Расчет_аналитики'!W440)=0,5&lt;='01_Вводные'!$B$297),0,('19_Расчет_аналитики'!W412-'19_Расчет_аналитики'!W440)*IF('01_Вводные'!$B$239="Да",MeanMinAge05+'19_Расчет_аналитики'!W560*SUMIF(ThresholdAge05,"&lt;"&amp;'19_Расчет_аналитики'!W560,WeightedRevAge05)-SUMIF(ThresholdAge05,"&lt;"&amp;'19_Расчет_аналитики'!W560,WeightedMinAge05),MAX(CapacityAge05*'01_Вводные'!$B$218*'19_Расчет_аналитики'!W560,MeanMinAge05)))</f>
        <v/>
      </c>
      <c r="X496">
        <f>IF(OR(('19_Расчет_аналитики'!X412-'19_Расчет_аналитики'!X440)=0,5&lt;='01_Вводные'!$B$297),0,('19_Расчет_аналитики'!X412-'19_Расчет_аналитики'!X440)*IF('01_Вводные'!$B$239="Да",MeanMinAge05+'19_Расчет_аналитики'!X560*SUMIF(ThresholdAge05,"&lt;"&amp;'19_Расчет_аналитики'!X560,WeightedRevAge05)-SUMIF(ThresholdAge05,"&lt;"&amp;'19_Расчет_аналитики'!X560,WeightedMinAge05),MAX(CapacityAge05*'01_Вводные'!$B$218*'19_Расчет_аналитики'!X560,MeanMinAge05)))</f>
        <v/>
      </c>
      <c r="Y496">
        <f>IF(OR(('19_Расчет_аналитики'!Y412-'19_Расчет_аналитики'!Y440)=0,5&lt;='01_Вводные'!$B$297),0,('19_Расчет_аналитики'!Y412-'19_Расчет_аналитики'!Y440)*IF('01_Вводные'!$B$239="Да",MeanMinAge05+'19_Расчет_аналитики'!Y560*SUMIF(ThresholdAge05,"&lt;"&amp;'19_Расчет_аналитики'!Y560,WeightedRevAge05)-SUMIF(ThresholdAge05,"&lt;"&amp;'19_Расчет_аналитики'!Y560,WeightedMinAge05),MAX(CapacityAge05*'01_Вводные'!$B$218*'19_Расчет_аналитики'!Y560,MeanMinAge05)))</f>
        <v/>
      </c>
      <c r="Z496">
        <f>IF(OR(('19_Расчет_аналитики'!Z412-'19_Расчет_аналитики'!Z440)=0,5&lt;='01_Вводные'!$B$297),0,('19_Расчет_аналитики'!Z412-'19_Расчет_аналитики'!Z440)*IF('01_Вводные'!$B$239="Да",MeanMinAge05+'19_Расчет_аналитики'!Z560*SUMIF(ThresholdAge05,"&lt;"&amp;'19_Расчет_аналитики'!Z560,WeightedRevAge05)-SUMIF(ThresholdAge05,"&lt;"&amp;'19_Расчет_аналитики'!Z560,WeightedMinAge05),MAX(CapacityAge05*'01_Вводные'!$B$218*'19_Расчет_аналитики'!Z560,MeanMinAge05)))</f>
        <v/>
      </c>
      <c r="AA496">
        <f>IF(OR(('19_Расчет_аналитики'!AA412-'19_Расчет_аналитики'!AA440)=0,5&lt;='01_Вводные'!$B$297),0,('19_Расчет_аналитики'!AA412-'19_Расчет_аналитики'!AA440)*IF('01_Вводные'!$B$239="Да",MeanMinAge05+'19_Расчет_аналитики'!AA560*SUMIF(ThresholdAge05,"&lt;"&amp;'19_Расчет_аналитики'!AA560,WeightedRevAge05)-SUMIF(ThresholdAge05,"&lt;"&amp;'19_Расчет_аналитики'!AA560,WeightedMinAge05),MAX(CapacityAge05*'01_Вводные'!$B$218*'19_Расчет_аналитики'!AA560,MeanMinAge05)))</f>
        <v/>
      </c>
      <c r="AB496">
        <f>IF(OR(('19_Расчет_аналитики'!AB412-'19_Расчет_аналитики'!AB440)=0,5&lt;='01_Вводные'!$B$297),0,('19_Расчет_аналитики'!AB412-'19_Расчет_аналитики'!AB440)*IF('01_Вводные'!$B$239="Да",MeanMinAge05+'19_Расчет_аналитики'!AB560*SUMIF(ThresholdAge05,"&lt;"&amp;'19_Расчет_аналитики'!AB560,WeightedRevAge05)-SUMIF(ThresholdAge05,"&lt;"&amp;'19_Расчет_аналитики'!AB560,WeightedMinAge05),MAX(CapacityAge05*'01_Вводные'!$B$218*'19_Расчет_аналитики'!AB560,MeanMinAge05)))</f>
        <v/>
      </c>
      <c r="AC496">
        <f>IF(OR(('19_Расчет_аналитики'!AC412-'19_Расчет_аналитики'!AC440)=0,5&lt;='01_Вводные'!$B$297),0,('19_Расчет_аналитики'!AC412-'19_Расчет_аналитики'!AC440)*IF('01_Вводные'!$B$239="Да",MeanMinAge05+'19_Расчет_аналитики'!AC560*SUMIF(ThresholdAge05,"&lt;"&amp;'19_Расчет_аналитики'!AC560,WeightedRevAge05)-SUMIF(ThresholdAge05,"&lt;"&amp;'19_Расчет_аналитики'!AC560,WeightedMinAge05),MAX(CapacityAge05*'01_Вводные'!$B$218*'19_Расчет_аналитики'!AC560,MeanMinAge05)))</f>
        <v/>
      </c>
      <c r="AD496">
        <f>IF(OR(('19_Расчет_аналитики'!AD412-'19_Расчет_аналитики'!AD440)=0,5&lt;='01_Вводные'!$B$297),0,('19_Расчет_аналитики'!AD412-'19_Расчет_аналитики'!AD440)*IF('01_Вводные'!$B$239="Да",MeanMinAge05+'19_Расчет_аналитики'!AD560*SUMIF(ThresholdAge05,"&lt;"&amp;'19_Расчет_аналитики'!AD560,WeightedRevAge05)-SUMIF(ThresholdAge05,"&lt;"&amp;'19_Расчет_аналитики'!AD560,WeightedMinAge05),MAX(CapacityAge05*'01_Вводные'!$B$218*'19_Расчет_аналитики'!AD560,MeanMinAge05)))</f>
        <v/>
      </c>
      <c r="AE496">
        <f>IF(OR(('19_Расчет_аналитики'!AE412-'19_Расчет_аналитики'!AE440)=0,5&lt;='01_Вводные'!$B$297),0,('19_Расчет_аналитики'!AE412-'19_Расчет_аналитики'!AE440)*IF('01_Вводные'!$B$239="Да",MeanMinAge05+'19_Расчет_аналитики'!AE560*SUMIF(ThresholdAge05,"&lt;"&amp;'19_Расчет_аналитики'!AE560,WeightedRevAge05)-SUMIF(ThresholdAge05,"&lt;"&amp;'19_Расчет_аналитики'!AE560,WeightedMinAge05),MAX(CapacityAge05*'01_Вводные'!$B$218*'19_Расчет_аналитики'!AE560,MeanMinAge05)))</f>
        <v/>
      </c>
      <c r="AF496">
        <f>IF(OR(('19_Расчет_аналитики'!AF412-'19_Расчет_аналитики'!AF440)=0,5&lt;='01_Вводные'!$B$297),0,('19_Расчет_аналитики'!AF412-'19_Расчет_аналитики'!AF440)*IF('01_Вводные'!$B$239="Да",MeanMinAge05+'19_Расчет_аналитики'!AF560*SUMIF(ThresholdAge05,"&lt;"&amp;'19_Расчет_аналитики'!AF560,WeightedRevAge05)-SUMIF(ThresholdAge05,"&lt;"&amp;'19_Расчет_аналитики'!AF560,WeightedMinAge05),MAX(CapacityAge05*'01_Вводные'!$B$218*'19_Расчет_аналитики'!AF560,MeanMinAge05)))</f>
        <v/>
      </c>
      <c r="AG496">
        <f>IF(OR(('19_Расчет_аналитики'!AG412-'19_Расчет_аналитики'!AG440)=0,5&lt;='01_Вводные'!$B$297),0,('19_Расчет_аналитики'!AG412-'19_Расчет_аналитики'!AG440)*IF('01_Вводные'!$B$239="Да",MeanMinAge05+'19_Расчет_аналитики'!AG560*SUMIF(ThresholdAge05,"&lt;"&amp;'19_Расчет_аналитики'!AG560,WeightedRevAge05)-SUMIF(ThresholdAge05,"&lt;"&amp;'19_Расчет_аналитики'!AG560,WeightedMinAge05),MAX(CapacityAge05*'01_Вводные'!$B$218*'19_Расчет_аналитики'!AG560,MeanMinAge05)))</f>
        <v/>
      </c>
      <c r="AH496">
        <f>IF(OR(('19_Расчет_аналитики'!AH412-'19_Расчет_аналитики'!AH440)=0,5&lt;='01_Вводные'!$B$297),0,('19_Расчет_аналитики'!AH412-'19_Расчет_аналитики'!AH440)*IF('01_Вводные'!$B$239="Да",MeanMinAge05+'19_Расчет_аналитики'!AH560*SUMIF(ThresholdAge05,"&lt;"&amp;'19_Расчет_аналитики'!AH560,WeightedRevAge05)-SUMIF(ThresholdAge05,"&lt;"&amp;'19_Расчет_аналитики'!AH560,WeightedMinAge05),MAX(CapacityAge05*'01_Вводные'!$B$218*'19_Расчет_аналитики'!AH560,MeanMinAge05)))</f>
        <v/>
      </c>
      <c r="AI496">
        <f>IF(OR(('19_Расчет_аналитики'!AI412-'19_Расчет_аналитики'!AI440)=0,5&lt;='01_Вводные'!$B$297),0,('19_Расчет_аналитики'!AI412-'19_Расчет_аналитики'!AI440)*IF('01_Вводные'!$B$239="Да",MeanMinAge05+'19_Расчет_аналитики'!AI560*SUMIF(ThresholdAge05,"&lt;"&amp;'19_Расчет_аналитики'!AI560,WeightedRevAge05)-SUMIF(ThresholdAge05,"&lt;"&amp;'19_Расчет_аналитики'!AI560,WeightedMinAge05),MAX(CapacityAge05*'01_Вводные'!$B$218*'19_Расчет_аналитики'!AI560,MeanMinAge05)))</f>
        <v/>
      </c>
      <c r="AJ496">
        <f>IF(OR(('19_Расчет_аналитики'!AJ412-'19_Расчет_аналитики'!AJ440)=0,5&lt;='01_Вводные'!$B$297),0,('19_Расчет_аналитики'!AJ412-'19_Расчет_аналитики'!AJ440)*IF('01_Вводные'!$B$239="Да",MeanMinAge05+'19_Расчет_аналитики'!AJ560*SUMIF(ThresholdAge05,"&lt;"&amp;'19_Расчет_аналитики'!AJ560,WeightedRevAge05)-SUMIF(ThresholdAge05,"&lt;"&amp;'19_Расчет_аналитики'!AJ560,WeightedMinAge05),MAX(CapacityAge05*'01_Вводные'!$B$218*'19_Расчет_аналитики'!AJ560,MeanMinAge05)))</f>
        <v/>
      </c>
      <c r="AK496">
        <f>IF(OR(('19_Расчет_аналитики'!AK412-'19_Расчет_аналитики'!AK440)=0,5&lt;='01_Вводные'!$B$297),0,('19_Расчет_аналитики'!AK412-'19_Расчет_аналитики'!AK440)*IF('01_Вводные'!$B$239="Да",MeanMinAge05+'19_Расчет_аналитики'!AK560*SUMIF(ThresholdAge05,"&lt;"&amp;'19_Расчет_аналитики'!AK560,WeightedRevAge05)-SUMIF(ThresholdAge05,"&lt;"&amp;'19_Расчет_аналитики'!AK560,WeightedMinAge05),MAX(CapacityAge05*'01_Вводные'!$B$218*'19_Расчет_аналитики'!AK560,MeanMinAge05)))</f>
        <v/>
      </c>
      <c r="AL496">
        <f>IF(OR(('19_Расчет_аналитики'!AL412-'19_Расчет_аналитики'!AL440)=0,5&lt;='01_Вводные'!$B$297),0,('19_Расчет_аналитики'!AL412-'19_Расчет_аналитики'!AL440)*IF('01_Вводные'!$B$239="Да",MeanMinAge05+'19_Расчет_аналитики'!AL560*SUMIF(ThresholdAge05,"&lt;"&amp;'19_Расчет_аналитики'!AL560,WeightedRevAge05)-SUMIF(ThresholdAge05,"&lt;"&amp;'19_Расчет_аналитики'!AL560,WeightedMinAge05),MAX(CapacityAge05*'01_Вводные'!$B$218*'19_Расчет_аналитики'!AL560,MeanMinAge05)))</f>
        <v/>
      </c>
      <c r="AM496">
        <f>IF(OR(('19_Расчет_аналитики'!AM412-'19_Расчет_аналитики'!AM440)=0,5&lt;='01_Вводные'!$B$297),0,('19_Расчет_аналитики'!AM412-'19_Расчет_аналитики'!AM440)*IF('01_Вводные'!$B$239="Да",MeanMinAge05+'19_Расчет_аналитики'!AM560*SUMIF(ThresholdAge05,"&lt;"&amp;'19_Расчет_аналитики'!AM560,WeightedRevAge05)-SUMIF(ThresholdAge05,"&lt;"&amp;'19_Расчет_аналитики'!AM560,WeightedMinAge05),MAX(CapacityAge05*'01_Вводные'!$B$218*'19_Расчет_аналитики'!AM560,MeanMinAge05)))</f>
        <v/>
      </c>
      <c r="AN496">
        <f>IF(OR(('19_Расчет_аналитики'!AN412-'19_Расчет_аналитики'!AN440)=0,5&lt;='01_Вводные'!$B$297),0,('19_Расчет_аналитики'!AN412-'19_Расчет_аналитики'!AN440)*IF('01_Вводные'!$B$239="Да",MeanMinAge05+'19_Расчет_аналитики'!AN560*SUMIF(ThresholdAge05,"&lt;"&amp;'19_Расчет_аналитики'!AN560,WeightedRevAge05)-SUMIF(ThresholdAge05,"&lt;"&amp;'19_Расчет_аналитики'!AN560,WeightedMinAge05),MAX(CapacityAge05*'01_Вводные'!$B$218*'19_Расчет_аналитики'!AN560,MeanMinAge05)))</f>
        <v/>
      </c>
      <c r="AO496">
        <f>IF(OR(('19_Расчет_аналитики'!AO412-'19_Расчет_аналитики'!AO440)=0,5&lt;='01_Вводные'!$B$297),0,('19_Расчет_аналитики'!AO412-'19_Расчет_аналитики'!AO440)*IF('01_Вводные'!$B$239="Да",MeanMinAge05+'19_Расчет_аналитики'!AO560*SUMIF(ThresholdAge05,"&lt;"&amp;'19_Расчет_аналитики'!AO560,WeightedRevAge05)-SUMIF(ThresholdAge05,"&lt;"&amp;'19_Расчет_аналитики'!AO560,WeightedMinAge05),MAX(CapacityAge05*'01_Вводные'!$B$218*'19_Расчет_аналитики'!AO560,MeanMinAge05)))</f>
        <v/>
      </c>
      <c r="AP496">
        <f>IF(OR(('19_Расчет_аналитики'!AP412-'19_Расчет_аналитики'!AP440)=0,5&lt;='01_Вводные'!$B$297),0,('19_Расчет_аналитики'!AP412-'19_Расчет_аналитики'!AP440)*IF('01_Вводные'!$B$239="Да",MeanMinAge05+'19_Расчет_аналитики'!AP560*SUMIF(ThresholdAge05,"&lt;"&amp;'19_Расчет_аналитики'!AP560,WeightedRevAge05)-SUMIF(ThresholdAge05,"&lt;"&amp;'19_Расчет_аналитики'!AP560,WeightedMinAge05),MAX(CapacityAge05*'01_Вводные'!$B$218*'19_Расчет_аналитики'!AP560,MeanMinAge05)))</f>
        <v/>
      </c>
      <c r="AQ496">
        <f>IF(OR(('19_Расчет_аналитики'!AQ412-'19_Расчет_аналитики'!AQ440)=0,5&lt;='01_Вводные'!$B$297),0,('19_Расчет_аналитики'!AQ412-'19_Расчет_аналитики'!AQ440)*IF('01_Вводные'!$B$239="Да",MeanMinAge05+'19_Расчет_аналитики'!AQ560*SUMIF(ThresholdAge05,"&lt;"&amp;'19_Расчет_аналитики'!AQ560,WeightedRevAge05)-SUMIF(ThresholdAge05,"&lt;"&amp;'19_Расчет_аналитики'!AQ560,WeightedMinAge05),MAX(CapacityAge05*'01_Вводные'!$B$218*'19_Расчет_аналитики'!AQ560,MeanMinAge05)))</f>
        <v/>
      </c>
      <c r="AR496">
        <f>IF(OR(('19_Расчет_аналитики'!AR412-'19_Расчет_аналитики'!AR440)=0,5&lt;='01_Вводные'!$B$297),0,('19_Расчет_аналитики'!AR412-'19_Расчет_аналитики'!AR440)*IF('01_Вводные'!$B$239="Да",MeanMinAge05+'19_Расчет_аналитики'!AR560*SUMIF(ThresholdAge05,"&lt;"&amp;'19_Расчет_аналитики'!AR560,WeightedRevAge05)-SUMIF(ThresholdAge05,"&lt;"&amp;'19_Расчет_аналитики'!AR560,WeightedMinAge05),MAX(CapacityAge05*'01_Вводные'!$B$218*'19_Расчет_аналитики'!AR560,MeanMinAge05)))</f>
        <v/>
      </c>
      <c r="AS496">
        <f>IF(OR(('19_Расчет_аналитики'!AS412-'19_Расчет_аналитики'!AS440)=0,5&lt;='01_Вводные'!$B$297),0,('19_Расчет_аналитики'!AS412-'19_Расчет_аналитики'!AS440)*IF('01_Вводные'!$B$239="Да",MeanMinAge05+'19_Расчет_аналитики'!AS560*SUMIF(ThresholdAge05,"&lt;"&amp;'19_Расчет_аналитики'!AS560,WeightedRevAge05)-SUMIF(ThresholdAge05,"&lt;"&amp;'19_Расчет_аналитики'!AS560,WeightedMinAge05),MAX(CapacityAge05*'01_Вводные'!$B$218*'19_Расчет_аналитики'!AS560,MeanMinAge05)))</f>
        <v/>
      </c>
      <c r="AT496">
        <f>IF(OR(('19_Расчет_аналитики'!AT412-'19_Расчет_аналитики'!AT440)=0,5&lt;='01_Вводные'!$B$297),0,('19_Расчет_аналитики'!AT412-'19_Расчет_аналитики'!AT440)*IF('01_Вводные'!$B$239="Да",MeanMinAge05+'19_Расчет_аналитики'!AT560*SUMIF(ThresholdAge05,"&lt;"&amp;'19_Расчет_аналитики'!AT560,WeightedRevAge05)-SUMIF(ThresholdAge05,"&lt;"&amp;'19_Расчет_аналитики'!AT560,WeightedMinAge05),MAX(CapacityAge05*'01_Вводные'!$B$218*'19_Расчет_аналитики'!AT560,MeanMinAge05)))</f>
        <v/>
      </c>
      <c r="AU496">
        <f>IF(OR(('19_Расчет_аналитики'!AU412-'19_Расчет_аналитики'!AU440)=0,5&lt;='01_Вводные'!$B$297),0,('19_Расчет_аналитики'!AU412-'19_Расчет_аналитики'!AU440)*IF('01_Вводные'!$B$239="Да",MeanMinAge05+'19_Расчет_аналитики'!AU560*SUMIF(ThresholdAge05,"&lt;"&amp;'19_Расчет_аналитики'!AU560,WeightedRevAge05)-SUMIF(ThresholdAge05,"&lt;"&amp;'19_Расчет_аналитики'!AU560,WeightedMinAge05),MAX(CapacityAge05*'01_Вводные'!$B$218*'19_Расчет_аналитики'!AU560,MeanMinAge05)))</f>
        <v/>
      </c>
      <c r="AV496">
        <f>IF(OR(('19_Расчет_аналитики'!AV412-'19_Расчет_аналитики'!AV440)=0,5&lt;='01_Вводные'!$B$297),0,('19_Расчет_аналитики'!AV412-'19_Расчет_аналитики'!AV440)*IF('01_Вводные'!$B$239="Да",MeanMinAge05+'19_Расчет_аналитики'!AV560*SUMIF(ThresholdAge05,"&lt;"&amp;'19_Расчет_аналитики'!AV560,WeightedRevAge05)-SUMIF(ThresholdAge05,"&lt;"&amp;'19_Расчет_аналитики'!AV560,WeightedMinAge05),MAX(CapacityAge05*'01_Вводные'!$B$218*'19_Расчет_аналитики'!AV560,MeanMinAge05)))</f>
        <v/>
      </c>
      <c r="AW496">
        <f>IF(OR(('19_Расчет_аналитики'!AW412-'19_Расчет_аналитики'!AW440)=0,5&lt;='01_Вводные'!$B$297),0,('19_Расчет_аналитики'!AW412-'19_Расчет_аналитики'!AW440)*IF('01_Вводные'!$B$239="Да",MeanMinAge05+'19_Расчет_аналитики'!AW560*SUMIF(ThresholdAge05,"&lt;"&amp;'19_Расчет_аналитики'!AW560,WeightedRevAge05)-SUMIF(ThresholdAge05,"&lt;"&amp;'19_Расчет_аналитики'!AW560,WeightedMinAge05),MAX(CapacityAge05*'01_Вводные'!$B$218*'19_Расчет_аналитики'!AW560,MeanMinAge05)))</f>
        <v/>
      </c>
      <c r="AX496">
        <f>IF(OR(('19_Расчет_аналитики'!AX412-'19_Расчет_аналитики'!AX440)=0,5&lt;='01_Вводные'!$B$297),0,('19_Расчет_аналитики'!AX412-'19_Расчет_аналитики'!AX440)*IF('01_Вводные'!$B$239="Да",MeanMinAge05+'19_Расчет_аналитики'!AX560*SUMIF(ThresholdAge05,"&lt;"&amp;'19_Расчет_аналитики'!AX560,WeightedRevAge05)-SUMIF(ThresholdAge05,"&lt;"&amp;'19_Расчет_аналитики'!AX560,WeightedMinAge05),MAX(CapacityAge05*'01_Вводные'!$B$218*'19_Расчет_аналитики'!AX560,MeanMinAge05)))</f>
        <v/>
      </c>
      <c r="AY496">
        <f>IF(OR(('19_Расчет_аналитики'!AY412-'19_Расчет_аналитики'!AY440)=0,5&lt;='01_Вводные'!$B$297),0,('19_Расчет_аналитики'!AY412-'19_Расчет_аналитики'!AY440)*IF('01_Вводные'!$B$239="Да",MeanMinAge05+'19_Расчет_аналитики'!AY560*SUMIF(ThresholdAge05,"&lt;"&amp;'19_Расчет_аналитики'!AY560,WeightedRevAge05)-SUMIF(ThresholdAge05,"&lt;"&amp;'19_Расчет_аналитики'!AY560,WeightedMinAge05),MAX(CapacityAge05*'01_Вводные'!$B$218*'19_Расчет_аналитики'!AY560,MeanMinAge05)))</f>
        <v/>
      </c>
      <c r="AZ496">
        <f>IF(OR(('19_Расчет_аналитики'!AZ412-'19_Расчет_аналитики'!AZ440)=0,5&lt;='01_Вводные'!$B$297),0,('19_Расчет_аналитики'!AZ412-'19_Расчет_аналитики'!AZ440)*IF('01_Вводные'!$B$239="Да",MeanMinAge05+'19_Расчет_аналитики'!AZ560*SUMIF(ThresholdAge05,"&lt;"&amp;'19_Расчет_аналитики'!AZ560,WeightedRevAge05)-SUMIF(ThresholdAge05,"&lt;"&amp;'19_Расчет_аналитики'!AZ560,WeightedMinAge05),MAX(CapacityAge05*'01_Вводные'!$B$218*'19_Расчет_аналитики'!AZ560,MeanMinAge05)))</f>
        <v/>
      </c>
      <c r="BA496">
        <f>IF(OR(('19_Расчет_аналитики'!BA412-'19_Расчет_аналитики'!BA440)=0,5&lt;='01_Вводные'!$B$297),0,('19_Расчет_аналитики'!BA412-'19_Расчет_аналитики'!BA440)*IF('01_Вводные'!$B$239="Да",MeanMinAge05+'19_Расчет_аналитики'!BA560*SUMIF(ThresholdAge05,"&lt;"&amp;'19_Расчет_аналитики'!BA560,WeightedRevAge05)-SUMIF(ThresholdAge05,"&lt;"&amp;'19_Расчет_аналитики'!BA560,WeightedMinAge05),MAX(CapacityAge05*'01_Вводные'!$B$218*'19_Расчет_аналитики'!BA560,MeanMinAge05)))</f>
        <v/>
      </c>
      <c r="BB496">
        <f>IF(OR(('19_Расчет_аналитики'!BB412-'19_Расчет_аналитики'!BB440)=0,5&lt;='01_Вводные'!$B$297),0,('19_Расчет_аналитики'!BB412-'19_Расчет_аналитики'!BB440)*IF('01_Вводные'!$B$239="Да",MeanMinAge05+'19_Расчет_аналитики'!BB560*SUMIF(ThresholdAge05,"&lt;"&amp;'19_Расчет_аналитики'!BB560,WeightedRevAge05)-SUMIF(ThresholdAge05,"&lt;"&amp;'19_Расчет_аналитики'!BB560,WeightedMinAge05),MAX(CapacityAge05*'01_Вводные'!$B$218*'19_Расчет_аналитики'!BB560,MeanMinAge05)))</f>
        <v/>
      </c>
      <c r="BC496">
        <f>IF(OR(('19_Расчет_аналитики'!BC412-'19_Расчет_аналитики'!BC440)=0,5&lt;='01_Вводные'!$B$297),0,('19_Расчет_аналитики'!BC412-'19_Расчет_аналитики'!BC440)*IF('01_Вводные'!$B$239="Да",MeanMinAge05+'19_Расчет_аналитики'!BC560*SUMIF(ThresholdAge05,"&lt;"&amp;'19_Расчет_аналитики'!BC560,WeightedRevAge05)-SUMIF(ThresholdAge05,"&lt;"&amp;'19_Расчет_аналитики'!BC560,WeightedMinAge05),MAX(CapacityAge05*'01_Вводные'!$B$218*'19_Расчет_аналитики'!BC560,MeanMinAge05)))</f>
        <v/>
      </c>
      <c r="BD496">
        <f>IF(OR(('19_Расчет_аналитики'!BD412-'19_Расчет_аналитики'!BD440)=0,5&lt;='01_Вводные'!$B$297),0,('19_Расчет_аналитики'!BD412-'19_Расчет_аналитики'!BD440)*IF('01_Вводные'!$B$239="Да",MeanMinAge05+'19_Расчет_аналитики'!BD560*SUMIF(ThresholdAge05,"&lt;"&amp;'19_Расчет_аналитики'!BD560,WeightedRevAge05)-SUMIF(ThresholdAge05,"&lt;"&amp;'19_Расчет_аналитики'!BD560,WeightedMinAge05),MAX(CapacityAge05*'01_Вводные'!$B$218*'19_Расчет_аналитики'!BD560,MeanMinAge05)))</f>
        <v/>
      </c>
      <c r="BE496">
        <f>IF(OR(('19_Расчет_аналитики'!BE412-'19_Расчет_аналитики'!BE440)=0,5&lt;='01_Вводные'!$B$297),0,('19_Расчет_аналитики'!BE412-'19_Расчет_аналитики'!BE440)*IF('01_Вводные'!$B$239="Да",MeanMinAge05+'19_Расчет_аналитики'!BE560*SUMIF(ThresholdAge05,"&lt;"&amp;'19_Расчет_аналитики'!BE560,WeightedRevAge05)-SUMIF(ThresholdAge05,"&lt;"&amp;'19_Расчет_аналитики'!BE560,WeightedMinAge05),MAX(CapacityAge05*'01_Вводные'!$B$218*'19_Расчет_аналитики'!BE560,MeanMinAge05)))</f>
        <v/>
      </c>
      <c r="BF496">
        <f>IF(OR(('19_Расчет_аналитики'!BF412-'19_Расчет_аналитики'!BF440)=0,5&lt;='01_Вводные'!$B$297),0,('19_Расчет_аналитики'!BF412-'19_Расчет_аналитики'!BF440)*IF('01_Вводные'!$B$239="Да",MeanMinAge05+'19_Расчет_аналитики'!BF560*SUMIF(ThresholdAge05,"&lt;"&amp;'19_Расчет_аналитики'!BF560,WeightedRevAge05)-SUMIF(ThresholdAge05,"&lt;"&amp;'19_Расчет_аналитики'!BF560,WeightedMinAge05),MAX(CapacityAge05*'01_Вводные'!$B$218*'19_Расчет_аналитики'!BF560,MeanMinAge05)))</f>
        <v/>
      </c>
      <c r="BG496">
        <f>IF(OR(('19_Расчет_аналитики'!BG412-'19_Расчет_аналитики'!BG440)=0,5&lt;='01_Вводные'!$B$297),0,('19_Расчет_аналитики'!BG412-'19_Расчет_аналитики'!BG440)*IF('01_Вводные'!$B$239="Да",MeanMinAge05+'19_Расчет_аналитики'!BG560*SUMIF(ThresholdAge05,"&lt;"&amp;'19_Расчет_аналитики'!BG560,WeightedRevAge05)-SUMIF(ThresholdAge05,"&lt;"&amp;'19_Расчет_аналитики'!BG560,WeightedMinAge05),MAX(CapacityAge05*'01_Вводные'!$B$218*'19_Расчет_аналитики'!BG560,MeanMinAge05)))</f>
        <v/>
      </c>
      <c r="BH496">
        <f>IF(OR(('19_Расчет_аналитики'!BH412-'19_Расчет_аналитики'!BH440)=0,5&lt;='01_Вводные'!$B$297),0,('19_Расчет_аналитики'!BH412-'19_Расчет_аналитики'!BH440)*IF('01_Вводные'!$B$239="Да",MeanMinAge05+'19_Расчет_аналитики'!BH560*SUMIF(ThresholdAge05,"&lt;"&amp;'19_Расчет_аналитики'!BH560,WeightedRevAge05)-SUMIF(ThresholdAge05,"&lt;"&amp;'19_Расчет_аналитики'!BH560,WeightedMinAge05),MAX(CapacityAge05*'01_Вводные'!$B$218*'19_Расчет_аналитики'!BH560,MeanMinAge05)))</f>
        <v/>
      </c>
      <c r="BI496">
        <f>IF(OR(('19_Расчет_аналитики'!BI412-'19_Расчет_аналитики'!BI440)=0,5&lt;='01_Вводные'!$B$297),0,('19_Расчет_аналитики'!BI412-'19_Расчет_аналитики'!BI440)*IF('01_Вводные'!$B$239="Да",MeanMinAge05+'19_Расчет_аналитики'!BI560*SUMIF(ThresholdAge05,"&lt;"&amp;'19_Расчет_аналитики'!BI560,WeightedRevAge05)-SUMIF(ThresholdAge05,"&lt;"&amp;'19_Расчет_аналитики'!BI560,WeightedMinAge05),MAX(CapacityAge05*'01_Вводные'!$B$218*'19_Расчет_аналитики'!BI560,MeanMinAge05)))</f>
        <v/>
      </c>
      <c r="BJ496">
        <f>IF(OR(('19_Расчет_аналитики'!BJ412-'19_Расчет_аналитики'!BJ440)=0,5&lt;='01_Вводные'!$B$297),0,('19_Расчет_аналитики'!BJ412-'19_Расчет_аналитики'!BJ440)*IF('01_Вводные'!$B$239="Да",MeanMinAge05+'19_Расчет_аналитики'!BJ560*SUMIF(ThresholdAge05,"&lt;"&amp;'19_Расчет_аналитики'!BJ560,WeightedRevAge05)-SUMIF(ThresholdAge05,"&lt;"&amp;'19_Расчет_аналитики'!BJ560,WeightedMinAge05),MAX(CapacityAge05*'01_Вводные'!$B$218*'19_Расчет_аналитики'!BJ560,MeanMinAge05)))</f>
        <v/>
      </c>
      <c r="BK496">
        <f>IF(OR(('19_Расчет_аналитики'!BK412-'19_Расчет_аналитики'!BK440)=0,5&lt;='01_Вводные'!$B$297),0,('19_Расчет_аналитики'!BK412-'19_Расчет_аналитики'!BK440)*IF('01_Вводные'!$B$239="Да",MeanMinAge05+'19_Расчет_аналитики'!BK560*SUMIF(ThresholdAge05,"&lt;"&amp;'19_Расчет_аналитики'!BK560,WeightedRevAge05)-SUMIF(ThresholdAge05,"&lt;"&amp;'19_Расчет_аналитики'!BK560,WeightedMinAge05),MAX(CapacityAge05*'01_Вводные'!$B$218*'19_Расчет_аналитики'!BK560,MeanMinAge05)))</f>
        <v/>
      </c>
      <c r="BL496">
        <f>IF(OR(('19_Расчет_аналитики'!BL412-'19_Расчет_аналитики'!BL440)=0,5&lt;='01_Вводные'!$B$297),0,('19_Расчет_аналитики'!BL412-'19_Расчет_аналитики'!BL440)*IF('01_Вводные'!$B$239="Да",MeanMinAge05+'19_Расчет_аналитики'!BL560*SUMIF(ThresholdAge05,"&lt;"&amp;'19_Расчет_аналитики'!BL560,WeightedRevAge05)-SUMIF(ThresholdAge05,"&lt;"&amp;'19_Расчет_аналитики'!BL560,WeightedMinAge05),MAX(CapacityAge05*'01_Вводные'!$B$218*'19_Расчет_аналитики'!BL560,MeanMinAge05)))</f>
        <v/>
      </c>
      <c r="BM496">
        <f>IF(OR(('19_Расчет_аналитики'!BM412-'19_Расчет_аналитики'!BM440)=0,5&lt;='01_Вводные'!$B$297),0,('19_Расчет_аналитики'!BM412-'19_Расчет_аналитики'!BM440)*IF('01_Вводные'!$B$239="Да",MeanMinAge05+'19_Расчет_аналитики'!BM560*SUMIF(ThresholdAge05,"&lt;"&amp;'19_Расчет_аналитики'!BM560,WeightedRevAge05)-SUMIF(ThresholdAge05,"&lt;"&amp;'19_Расчет_аналитики'!BM560,WeightedMinAge05),MAX(CapacityAge05*'01_Вводные'!$B$218*'19_Расчет_аналитики'!BM560,MeanMinAge05)))</f>
        <v/>
      </c>
      <c r="BN496">
        <f>IF(OR(('19_Расчет_аналитики'!BN412-'19_Расчет_аналитики'!BN440)=0,5&lt;='01_Вводные'!$B$297),0,('19_Расчет_аналитики'!BN412-'19_Расчет_аналитики'!BN440)*IF('01_Вводные'!$B$239="Да",MeanMinAge05+'19_Расчет_аналитики'!BN560*SUMIF(ThresholdAge05,"&lt;"&amp;'19_Расчет_аналитики'!BN560,WeightedRevAge05)-SUMIF(ThresholdAge05,"&lt;"&amp;'19_Расчет_аналитики'!BN560,WeightedMinAge05),MAX(CapacityAge05*'01_Вводные'!$B$218*'19_Расчет_аналитики'!BN560,MeanMinAge05)))</f>
        <v/>
      </c>
      <c r="BO496">
        <f>IF(OR(('19_Расчет_аналитики'!BO412-'19_Расчет_аналитики'!BO440)=0,5&lt;='01_Вводные'!$B$297),0,('19_Расчет_аналитики'!BO412-'19_Расчет_аналитики'!BO440)*IF('01_Вводные'!$B$239="Да",MeanMinAge05+'19_Расчет_аналитики'!BO560*SUMIF(ThresholdAge05,"&lt;"&amp;'19_Расчет_аналитики'!BO560,WeightedRevAge05)-SUMIF(ThresholdAge05,"&lt;"&amp;'19_Расчет_аналитики'!BO560,WeightedMinAge05),MAX(CapacityAge05*'01_Вводные'!$B$218*'19_Расчет_аналитики'!BO560,MeanMinAge05)))</f>
        <v/>
      </c>
    </row>
    <row r="497">
      <c r="B497">
        <f>IF(OR(('06_Сеть_и_дети'!B58-'06_Сеть_и_дети'!B86)=0,6&lt;='01_Вводные'!$B$297),0,('06_Сеть_и_дети'!B58-'06_Сеть_и_дети'!B86)*IF('01_Вводные'!$B$239="Да",MeanMinAge06+'19_Расчет_аналитики'!B560*SUMIF(ThresholdAge06,"&lt;"&amp;'19_Расчет_аналитики'!B560,WeightedRevAge06)-SUMIF(ThresholdAge06,"&lt;"&amp;'19_Расчет_аналитики'!B560,WeightedMinAge06),MAX(CapacityAge06*'01_Вводные'!$B$218*'19_Расчет_аналитики'!B560,MeanMinAge06)))</f>
        <v/>
      </c>
      <c r="C497">
        <f>IF(OR(('06_Сеть_и_дети'!C58-'06_Сеть_и_дети'!C86)=0,6&lt;='01_Вводные'!$B$297),0,('06_Сеть_и_дети'!C58-'06_Сеть_и_дети'!C86)*IF('01_Вводные'!$B$239="Да",MeanMinAge06+'19_Расчет_аналитики'!C560*SUMIF(ThresholdAge06,"&lt;"&amp;'19_Расчет_аналитики'!C560,WeightedRevAge06)-SUMIF(ThresholdAge06,"&lt;"&amp;'19_Расчет_аналитики'!C560,WeightedMinAge06),MAX(CapacityAge06*'01_Вводные'!$B$218*'19_Расчет_аналитики'!C560,MeanMinAge06)))</f>
        <v/>
      </c>
      <c r="D497">
        <f>IF(OR(('06_Сеть_и_дети'!D58-'06_Сеть_и_дети'!D86)=0,6&lt;='01_Вводные'!$B$297),0,('06_Сеть_и_дети'!D58-'06_Сеть_и_дети'!D86)*IF('01_Вводные'!$B$239="Да",MeanMinAge06+'19_Расчет_аналитики'!D560*SUMIF(ThresholdAge06,"&lt;"&amp;'19_Расчет_аналитики'!D560,WeightedRevAge06)-SUMIF(ThresholdAge06,"&lt;"&amp;'19_Расчет_аналитики'!D560,WeightedMinAge06),MAX(CapacityAge06*'01_Вводные'!$B$218*'19_Расчет_аналитики'!D560,MeanMinAge06)))</f>
        <v/>
      </c>
      <c r="E497">
        <f>IF(OR(('06_Сеть_и_дети'!E58-'06_Сеть_и_дети'!E86)=0,6&lt;='01_Вводные'!$B$297),0,('06_Сеть_и_дети'!E58-'06_Сеть_и_дети'!E86)*IF('01_Вводные'!$B$239="Да",MeanMinAge06+'19_Расчет_аналитики'!E560*SUMIF(ThresholdAge06,"&lt;"&amp;'19_Расчет_аналитики'!E560,WeightedRevAge06)-SUMIF(ThresholdAge06,"&lt;"&amp;'19_Расчет_аналитики'!E560,WeightedMinAge06),MAX(CapacityAge06*'01_Вводные'!$B$218*'19_Расчет_аналитики'!E560,MeanMinAge06)))</f>
        <v/>
      </c>
      <c r="F497">
        <f>IF(OR(('06_Сеть_и_дети'!F58-'06_Сеть_и_дети'!F86)=0,6&lt;='01_Вводные'!$B$297),0,('06_Сеть_и_дети'!F58-'06_Сеть_и_дети'!F86)*IF('01_Вводные'!$B$239="Да",MeanMinAge06+'19_Расчет_аналитики'!F560*SUMIF(ThresholdAge06,"&lt;"&amp;'19_Расчет_аналитики'!F560,WeightedRevAge06)-SUMIF(ThresholdAge06,"&lt;"&amp;'19_Расчет_аналитики'!F560,WeightedMinAge06),MAX(CapacityAge06*'01_Вводные'!$B$218*'19_Расчет_аналитики'!F560,MeanMinAge06)))</f>
        <v/>
      </c>
      <c r="G497">
        <f>IF(OR(('19_Расчет_аналитики'!G413-'19_Расчет_аналитики'!G441)=0,6&lt;='01_Вводные'!$B$297),0,('19_Расчет_аналитики'!G413-'19_Расчет_аналитики'!G441)*IF('01_Вводные'!$B$239="Да",MeanMinAge06+'19_Расчет_аналитики'!G560*SUMIF(ThresholdAge06,"&lt;"&amp;'19_Расчет_аналитики'!G560,WeightedRevAge06)-SUMIF(ThresholdAge06,"&lt;"&amp;'19_Расчет_аналитики'!G560,WeightedMinAge06),MAX(CapacityAge06*'01_Вводные'!$B$218*'19_Расчет_аналитики'!G560,MeanMinAge06)))</f>
        <v/>
      </c>
      <c r="H497">
        <f>IF(OR(('19_Расчет_аналитики'!H413-'19_Расчет_аналитики'!H441)=0,6&lt;='01_Вводные'!$B$297),0,('19_Расчет_аналитики'!H413-'19_Расчет_аналитики'!H441)*IF('01_Вводные'!$B$239="Да",MeanMinAge06+'19_Расчет_аналитики'!H560*SUMIF(ThresholdAge06,"&lt;"&amp;'19_Расчет_аналитики'!H560,WeightedRevAge06)-SUMIF(ThresholdAge06,"&lt;"&amp;'19_Расчет_аналитики'!H560,WeightedMinAge06),MAX(CapacityAge06*'01_Вводные'!$B$218*'19_Расчет_аналитики'!H560,MeanMinAge06)))</f>
        <v/>
      </c>
      <c r="I497">
        <f>IF(OR(('19_Расчет_аналитики'!I413-'19_Расчет_аналитики'!I441)=0,6&lt;='01_Вводные'!$B$297),0,('19_Расчет_аналитики'!I413-'19_Расчет_аналитики'!I441)*IF('01_Вводные'!$B$239="Да",MeanMinAge06+'19_Расчет_аналитики'!I560*SUMIF(ThresholdAge06,"&lt;"&amp;'19_Расчет_аналитики'!I560,WeightedRevAge06)-SUMIF(ThresholdAge06,"&lt;"&amp;'19_Расчет_аналитики'!I560,WeightedMinAge06),MAX(CapacityAge06*'01_Вводные'!$B$218*'19_Расчет_аналитики'!I560,MeanMinAge06)))</f>
        <v/>
      </c>
      <c r="J497">
        <f>IF(OR(('19_Расчет_аналитики'!J413-'19_Расчет_аналитики'!J441)=0,6&lt;='01_Вводные'!$B$297),0,('19_Расчет_аналитики'!J413-'19_Расчет_аналитики'!J441)*IF('01_Вводные'!$B$239="Да",MeanMinAge06+'19_Расчет_аналитики'!J560*SUMIF(ThresholdAge06,"&lt;"&amp;'19_Расчет_аналитики'!J560,WeightedRevAge06)-SUMIF(ThresholdAge06,"&lt;"&amp;'19_Расчет_аналитики'!J560,WeightedMinAge06),MAX(CapacityAge06*'01_Вводные'!$B$218*'19_Расчет_аналитики'!J560,MeanMinAge06)))</f>
        <v/>
      </c>
      <c r="K497">
        <f>IF(OR(('19_Расчет_аналитики'!K413-'19_Расчет_аналитики'!K441)=0,6&lt;='01_Вводные'!$B$297),0,('19_Расчет_аналитики'!K413-'19_Расчет_аналитики'!K441)*IF('01_Вводные'!$B$239="Да",MeanMinAge06+'19_Расчет_аналитики'!K560*SUMIF(ThresholdAge06,"&lt;"&amp;'19_Расчет_аналитики'!K560,WeightedRevAge06)-SUMIF(ThresholdAge06,"&lt;"&amp;'19_Расчет_аналитики'!K560,WeightedMinAge06),MAX(CapacityAge06*'01_Вводные'!$B$218*'19_Расчет_аналитики'!K560,MeanMinAge06)))</f>
        <v/>
      </c>
      <c r="L497">
        <f>IF(OR(('19_Расчет_аналитики'!L413-'19_Расчет_аналитики'!L441)=0,6&lt;='01_Вводные'!$B$297),0,('19_Расчет_аналитики'!L413-'19_Расчет_аналитики'!L441)*IF('01_Вводные'!$B$239="Да",MeanMinAge06+'19_Расчет_аналитики'!L560*SUMIF(ThresholdAge06,"&lt;"&amp;'19_Расчет_аналитики'!L560,WeightedRevAge06)-SUMIF(ThresholdAge06,"&lt;"&amp;'19_Расчет_аналитики'!L560,WeightedMinAge06),MAX(CapacityAge06*'01_Вводные'!$B$218*'19_Расчет_аналитики'!L560,MeanMinAge06)))</f>
        <v/>
      </c>
      <c r="M497">
        <f>IF(OR(('19_Расчет_аналитики'!M413-'19_Расчет_аналитики'!M441)=0,6&lt;='01_Вводные'!$B$297),0,('19_Расчет_аналитики'!M413-'19_Расчет_аналитики'!M441)*IF('01_Вводные'!$B$239="Да",MeanMinAge06+'19_Расчет_аналитики'!M560*SUMIF(ThresholdAge06,"&lt;"&amp;'19_Расчет_аналитики'!M560,WeightedRevAge06)-SUMIF(ThresholdAge06,"&lt;"&amp;'19_Расчет_аналитики'!M560,WeightedMinAge06),MAX(CapacityAge06*'01_Вводные'!$B$218*'19_Расчет_аналитики'!M560,MeanMinAge06)))</f>
        <v/>
      </c>
      <c r="N497">
        <f>IF(OR(('19_Расчет_аналитики'!N413-'19_Расчет_аналитики'!N441)=0,6&lt;='01_Вводные'!$B$297),0,('19_Расчет_аналитики'!N413-'19_Расчет_аналитики'!N441)*IF('01_Вводные'!$B$239="Да",MeanMinAge06+'19_Расчет_аналитики'!N560*SUMIF(ThresholdAge06,"&lt;"&amp;'19_Расчет_аналитики'!N560,WeightedRevAge06)-SUMIF(ThresholdAge06,"&lt;"&amp;'19_Расчет_аналитики'!N560,WeightedMinAge06),MAX(CapacityAge06*'01_Вводные'!$B$218*'19_Расчет_аналитики'!N560,MeanMinAge06)))</f>
        <v/>
      </c>
      <c r="O497">
        <f>IF(OR(('19_Расчет_аналитики'!O413-'19_Расчет_аналитики'!O441)=0,6&lt;='01_Вводные'!$B$297),0,('19_Расчет_аналитики'!O413-'19_Расчет_аналитики'!O441)*IF('01_Вводные'!$B$239="Да",MeanMinAge06+'19_Расчет_аналитики'!O560*SUMIF(ThresholdAge06,"&lt;"&amp;'19_Расчет_аналитики'!O560,WeightedRevAge06)-SUMIF(ThresholdAge06,"&lt;"&amp;'19_Расчет_аналитики'!O560,WeightedMinAge06),MAX(CapacityAge06*'01_Вводные'!$B$218*'19_Расчет_аналитики'!O560,MeanMinAge06)))</f>
        <v/>
      </c>
      <c r="P497">
        <f>IF(OR(('19_Расчет_аналитики'!P413-'19_Расчет_аналитики'!P441)=0,6&lt;='01_Вводные'!$B$297),0,('19_Расчет_аналитики'!P413-'19_Расчет_аналитики'!P441)*IF('01_Вводные'!$B$239="Да",MeanMinAge06+'19_Расчет_аналитики'!P560*SUMIF(ThresholdAge06,"&lt;"&amp;'19_Расчет_аналитики'!P560,WeightedRevAge06)-SUMIF(ThresholdAge06,"&lt;"&amp;'19_Расчет_аналитики'!P560,WeightedMinAge06),MAX(CapacityAge06*'01_Вводные'!$B$218*'19_Расчет_аналитики'!P560,MeanMinAge06)))</f>
        <v/>
      </c>
      <c r="Q497">
        <f>IF(OR(('19_Расчет_аналитики'!Q413-'19_Расчет_аналитики'!Q441)=0,6&lt;='01_Вводные'!$B$297),0,('19_Расчет_аналитики'!Q413-'19_Расчет_аналитики'!Q441)*IF('01_Вводные'!$B$239="Да",MeanMinAge06+'19_Расчет_аналитики'!Q560*SUMIF(ThresholdAge06,"&lt;"&amp;'19_Расчет_аналитики'!Q560,WeightedRevAge06)-SUMIF(ThresholdAge06,"&lt;"&amp;'19_Расчет_аналитики'!Q560,WeightedMinAge06),MAX(CapacityAge06*'01_Вводные'!$B$218*'19_Расчет_аналитики'!Q560,MeanMinAge06)))</f>
        <v/>
      </c>
      <c r="R497">
        <f>IF(OR(('19_Расчет_аналитики'!R413-'19_Расчет_аналитики'!R441)=0,6&lt;='01_Вводные'!$B$297),0,('19_Расчет_аналитики'!R413-'19_Расчет_аналитики'!R441)*IF('01_Вводные'!$B$239="Да",MeanMinAge06+'19_Расчет_аналитики'!R560*SUMIF(ThresholdAge06,"&lt;"&amp;'19_Расчет_аналитики'!R560,WeightedRevAge06)-SUMIF(ThresholdAge06,"&lt;"&amp;'19_Расчет_аналитики'!R560,WeightedMinAge06),MAX(CapacityAge06*'01_Вводные'!$B$218*'19_Расчет_аналитики'!R560,MeanMinAge06)))</f>
        <v/>
      </c>
      <c r="S497">
        <f>IF(OR(('19_Расчет_аналитики'!S413-'19_Расчет_аналитики'!S441)=0,6&lt;='01_Вводные'!$B$297),0,('19_Расчет_аналитики'!S413-'19_Расчет_аналитики'!S441)*IF('01_Вводные'!$B$239="Да",MeanMinAge06+'19_Расчет_аналитики'!S560*SUMIF(ThresholdAge06,"&lt;"&amp;'19_Расчет_аналитики'!S560,WeightedRevAge06)-SUMIF(ThresholdAge06,"&lt;"&amp;'19_Расчет_аналитики'!S560,WeightedMinAge06),MAX(CapacityAge06*'01_Вводные'!$B$218*'19_Расчет_аналитики'!S560,MeanMinAge06)))</f>
        <v/>
      </c>
      <c r="T497">
        <f>IF(OR(('19_Расчет_аналитики'!T413-'19_Расчет_аналитики'!T441)=0,6&lt;='01_Вводные'!$B$297),0,('19_Расчет_аналитики'!T413-'19_Расчет_аналитики'!T441)*IF('01_Вводные'!$B$239="Да",MeanMinAge06+'19_Расчет_аналитики'!T560*SUMIF(ThresholdAge06,"&lt;"&amp;'19_Расчет_аналитики'!T560,WeightedRevAge06)-SUMIF(ThresholdAge06,"&lt;"&amp;'19_Расчет_аналитики'!T560,WeightedMinAge06),MAX(CapacityAge06*'01_Вводные'!$B$218*'19_Расчет_аналитики'!T560,MeanMinAge06)))</f>
        <v/>
      </c>
      <c r="U497">
        <f>IF(OR(('19_Расчет_аналитики'!U413-'19_Расчет_аналитики'!U441)=0,6&lt;='01_Вводные'!$B$297),0,('19_Расчет_аналитики'!U413-'19_Расчет_аналитики'!U441)*IF('01_Вводные'!$B$239="Да",MeanMinAge06+'19_Расчет_аналитики'!U560*SUMIF(ThresholdAge06,"&lt;"&amp;'19_Расчет_аналитики'!U560,WeightedRevAge06)-SUMIF(ThresholdAge06,"&lt;"&amp;'19_Расчет_аналитики'!U560,WeightedMinAge06),MAX(CapacityAge06*'01_Вводные'!$B$218*'19_Расчет_аналитики'!U560,MeanMinAge06)))</f>
        <v/>
      </c>
      <c r="V497">
        <f>IF(OR(('19_Расчет_аналитики'!V413-'19_Расчет_аналитики'!V441)=0,6&lt;='01_Вводные'!$B$297),0,('19_Расчет_аналитики'!V413-'19_Расчет_аналитики'!V441)*IF('01_Вводные'!$B$239="Да",MeanMinAge06+'19_Расчет_аналитики'!V560*SUMIF(ThresholdAge06,"&lt;"&amp;'19_Расчет_аналитики'!V560,WeightedRevAge06)-SUMIF(ThresholdAge06,"&lt;"&amp;'19_Расчет_аналитики'!V560,WeightedMinAge06),MAX(CapacityAge06*'01_Вводные'!$B$218*'19_Расчет_аналитики'!V560,MeanMinAge06)))</f>
        <v/>
      </c>
      <c r="W497">
        <f>IF(OR(('19_Расчет_аналитики'!W413-'19_Расчет_аналитики'!W441)=0,6&lt;='01_Вводные'!$B$297),0,('19_Расчет_аналитики'!W413-'19_Расчет_аналитики'!W441)*IF('01_Вводные'!$B$239="Да",MeanMinAge06+'19_Расчет_аналитики'!W560*SUMIF(ThresholdAge06,"&lt;"&amp;'19_Расчет_аналитики'!W560,WeightedRevAge06)-SUMIF(ThresholdAge06,"&lt;"&amp;'19_Расчет_аналитики'!W560,WeightedMinAge06),MAX(CapacityAge06*'01_Вводные'!$B$218*'19_Расчет_аналитики'!W560,MeanMinAge06)))</f>
        <v/>
      </c>
      <c r="X497">
        <f>IF(OR(('19_Расчет_аналитики'!X413-'19_Расчет_аналитики'!X441)=0,6&lt;='01_Вводные'!$B$297),0,('19_Расчет_аналитики'!X413-'19_Расчет_аналитики'!X441)*IF('01_Вводные'!$B$239="Да",MeanMinAge06+'19_Расчет_аналитики'!X560*SUMIF(ThresholdAge06,"&lt;"&amp;'19_Расчет_аналитики'!X560,WeightedRevAge06)-SUMIF(ThresholdAge06,"&lt;"&amp;'19_Расчет_аналитики'!X560,WeightedMinAge06),MAX(CapacityAge06*'01_Вводные'!$B$218*'19_Расчет_аналитики'!X560,MeanMinAge06)))</f>
        <v/>
      </c>
      <c r="Y497">
        <f>IF(OR(('19_Расчет_аналитики'!Y413-'19_Расчет_аналитики'!Y441)=0,6&lt;='01_Вводные'!$B$297),0,('19_Расчет_аналитики'!Y413-'19_Расчет_аналитики'!Y441)*IF('01_Вводные'!$B$239="Да",MeanMinAge06+'19_Расчет_аналитики'!Y560*SUMIF(ThresholdAge06,"&lt;"&amp;'19_Расчет_аналитики'!Y560,WeightedRevAge06)-SUMIF(ThresholdAge06,"&lt;"&amp;'19_Расчет_аналитики'!Y560,WeightedMinAge06),MAX(CapacityAge06*'01_Вводные'!$B$218*'19_Расчет_аналитики'!Y560,MeanMinAge06)))</f>
        <v/>
      </c>
      <c r="Z497">
        <f>IF(OR(('19_Расчет_аналитики'!Z413-'19_Расчет_аналитики'!Z441)=0,6&lt;='01_Вводные'!$B$297),0,('19_Расчет_аналитики'!Z413-'19_Расчет_аналитики'!Z441)*IF('01_Вводные'!$B$239="Да",MeanMinAge06+'19_Расчет_аналитики'!Z560*SUMIF(ThresholdAge06,"&lt;"&amp;'19_Расчет_аналитики'!Z560,WeightedRevAge06)-SUMIF(ThresholdAge06,"&lt;"&amp;'19_Расчет_аналитики'!Z560,WeightedMinAge06),MAX(CapacityAge06*'01_Вводные'!$B$218*'19_Расчет_аналитики'!Z560,MeanMinAge06)))</f>
        <v/>
      </c>
      <c r="AA497">
        <f>IF(OR(('19_Расчет_аналитики'!AA413-'19_Расчет_аналитики'!AA441)=0,6&lt;='01_Вводные'!$B$297),0,('19_Расчет_аналитики'!AA413-'19_Расчет_аналитики'!AA441)*IF('01_Вводные'!$B$239="Да",MeanMinAge06+'19_Расчет_аналитики'!AA560*SUMIF(ThresholdAge06,"&lt;"&amp;'19_Расчет_аналитики'!AA560,WeightedRevAge06)-SUMIF(ThresholdAge06,"&lt;"&amp;'19_Расчет_аналитики'!AA560,WeightedMinAge06),MAX(CapacityAge06*'01_Вводные'!$B$218*'19_Расчет_аналитики'!AA560,MeanMinAge06)))</f>
        <v/>
      </c>
      <c r="AB497">
        <f>IF(OR(('19_Расчет_аналитики'!AB413-'19_Расчет_аналитики'!AB441)=0,6&lt;='01_Вводные'!$B$297),0,('19_Расчет_аналитики'!AB413-'19_Расчет_аналитики'!AB441)*IF('01_Вводные'!$B$239="Да",MeanMinAge06+'19_Расчет_аналитики'!AB560*SUMIF(ThresholdAge06,"&lt;"&amp;'19_Расчет_аналитики'!AB560,WeightedRevAge06)-SUMIF(ThresholdAge06,"&lt;"&amp;'19_Расчет_аналитики'!AB560,WeightedMinAge06),MAX(CapacityAge06*'01_Вводные'!$B$218*'19_Расчет_аналитики'!AB560,MeanMinAge06)))</f>
        <v/>
      </c>
      <c r="AC497">
        <f>IF(OR(('19_Расчет_аналитики'!AC413-'19_Расчет_аналитики'!AC441)=0,6&lt;='01_Вводные'!$B$297),0,('19_Расчет_аналитики'!AC413-'19_Расчет_аналитики'!AC441)*IF('01_Вводные'!$B$239="Да",MeanMinAge06+'19_Расчет_аналитики'!AC560*SUMIF(ThresholdAge06,"&lt;"&amp;'19_Расчет_аналитики'!AC560,WeightedRevAge06)-SUMIF(ThresholdAge06,"&lt;"&amp;'19_Расчет_аналитики'!AC560,WeightedMinAge06),MAX(CapacityAge06*'01_Вводные'!$B$218*'19_Расчет_аналитики'!AC560,MeanMinAge06)))</f>
        <v/>
      </c>
      <c r="AD497">
        <f>IF(OR(('19_Расчет_аналитики'!AD413-'19_Расчет_аналитики'!AD441)=0,6&lt;='01_Вводные'!$B$297),0,('19_Расчет_аналитики'!AD413-'19_Расчет_аналитики'!AD441)*IF('01_Вводные'!$B$239="Да",MeanMinAge06+'19_Расчет_аналитики'!AD560*SUMIF(ThresholdAge06,"&lt;"&amp;'19_Расчет_аналитики'!AD560,WeightedRevAge06)-SUMIF(ThresholdAge06,"&lt;"&amp;'19_Расчет_аналитики'!AD560,WeightedMinAge06),MAX(CapacityAge06*'01_Вводные'!$B$218*'19_Расчет_аналитики'!AD560,MeanMinAge06)))</f>
        <v/>
      </c>
      <c r="AE497">
        <f>IF(OR(('19_Расчет_аналитики'!AE413-'19_Расчет_аналитики'!AE441)=0,6&lt;='01_Вводные'!$B$297),0,('19_Расчет_аналитики'!AE413-'19_Расчет_аналитики'!AE441)*IF('01_Вводные'!$B$239="Да",MeanMinAge06+'19_Расчет_аналитики'!AE560*SUMIF(ThresholdAge06,"&lt;"&amp;'19_Расчет_аналитики'!AE560,WeightedRevAge06)-SUMIF(ThresholdAge06,"&lt;"&amp;'19_Расчет_аналитики'!AE560,WeightedMinAge06),MAX(CapacityAge06*'01_Вводные'!$B$218*'19_Расчет_аналитики'!AE560,MeanMinAge06)))</f>
        <v/>
      </c>
      <c r="AF497">
        <f>IF(OR(('19_Расчет_аналитики'!AF413-'19_Расчет_аналитики'!AF441)=0,6&lt;='01_Вводные'!$B$297),0,('19_Расчет_аналитики'!AF413-'19_Расчет_аналитики'!AF441)*IF('01_Вводные'!$B$239="Да",MeanMinAge06+'19_Расчет_аналитики'!AF560*SUMIF(ThresholdAge06,"&lt;"&amp;'19_Расчет_аналитики'!AF560,WeightedRevAge06)-SUMIF(ThresholdAge06,"&lt;"&amp;'19_Расчет_аналитики'!AF560,WeightedMinAge06),MAX(CapacityAge06*'01_Вводные'!$B$218*'19_Расчет_аналитики'!AF560,MeanMinAge06)))</f>
        <v/>
      </c>
      <c r="AG497">
        <f>IF(OR(('19_Расчет_аналитики'!AG413-'19_Расчет_аналитики'!AG441)=0,6&lt;='01_Вводные'!$B$297),0,('19_Расчет_аналитики'!AG413-'19_Расчет_аналитики'!AG441)*IF('01_Вводные'!$B$239="Да",MeanMinAge06+'19_Расчет_аналитики'!AG560*SUMIF(ThresholdAge06,"&lt;"&amp;'19_Расчет_аналитики'!AG560,WeightedRevAge06)-SUMIF(ThresholdAge06,"&lt;"&amp;'19_Расчет_аналитики'!AG560,WeightedMinAge06),MAX(CapacityAge06*'01_Вводные'!$B$218*'19_Расчет_аналитики'!AG560,MeanMinAge06)))</f>
        <v/>
      </c>
      <c r="AH497">
        <f>IF(OR(('19_Расчет_аналитики'!AH413-'19_Расчет_аналитики'!AH441)=0,6&lt;='01_Вводные'!$B$297),0,('19_Расчет_аналитики'!AH413-'19_Расчет_аналитики'!AH441)*IF('01_Вводные'!$B$239="Да",MeanMinAge06+'19_Расчет_аналитики'!AH560*SUMIF(ThresholdAge06,"&lt;"&amp;'19_Расчет_аналитики'!AH560,WeightedRevAge06)-SUMIF(ThresholdAge06,"&lt;"&amp;'19_Расчет_аналитики'!AH560,WeightedMinAge06),MAX(CapacityAge06*'01_Вводные'!$B$218*'19_Расчет_аналитики'!AH560,MeanMinAge06)))</f>
        <v/>
      </c>
      <c r="AI497">
        <f>IF(OR(('19_Расчет_аналитики'!AI413-'19_Расчет_аналитики'!AI441)=0,6&lt;='01_Вводные'!$B$297),0,('19_Расчет_аналитики'!AI413-'19_Расчет_аналитики'!AI441)*IF('01_Вводные'!$B$239="Да",MeanMinAge06+'19_Расчет_аналитики'!AI560*SUMIF(ThresholdAge06,"&lt;"&amp;'19_Расчет_аналитики'!AI560,WeightedRevAge06)-SUMIF(ThresholdAge06,"&lt;"&amp;'19_Расчет_аналитики'!AI560,WeightedMinAge06),MAX(CapacityAge06*'01_Вводные'!$B$218*'19_Расчет_аналитики'!AI560,MeanMinAge06)))</f>
        <v/>
      </c>
      <c r="AJ497">
        <f>IF(OR(('19_Расчет_аналитики'!AJ413-'19_Расчет_аналитики'!AJ441)=0,6&lt;='01_Вводные'!$B$297),0,('19_Расчет_аналитики'!AJ413-'19_Расчет_аналитики'!AJ441)*IF('01_Вводные'!$B$239="Да",MeanMinAge06+'19_Расчет_аналитики'!AJ560*SUMIF(ThresholdAge06,"&lt;"&amp;'19_Расчет_аналитики'!AJ560,WeightedRevAge06)-SUMIF(ThresholdAge06,"&lt;"&amp;'19_Расчет_аналитики'!AJ560,WeightedMinAge06),MAX(CapacityAge06*'01_Вводные'!$B$218*'19_Расчет_аналитики'!AJ560,MeanMinAge06)))</f>
        <v/>
      </c>
      <c r="AK497">
        <f>IF(OR(('19_Расчет_аналитики'!AK413-'19_Расчет_аналитики'!AK441)=0,6&lt;='01_Вводные'!$B$297),0,('19_Расчет_аналитики'!AK413-'19_Расчет_аналитики'!AK441)*IF('01_Вводные'!$B$239="Да",MeanMinAge06+'19_Расчет_аналитики'!AK560*SUMIF(ThresholdAge06,"&lt;"&amp;'19_Расчет_аналитики'!AK560,WeightedRevAge06)-SUMIF(ThresholdAge06,"&lt;"&amp;'19_Расчет_аналитики'!AK560,WeightedMinAge06),MAX(CapacityAge06*'01_Вводные'!$B$218*'19_Расчет_аналитики'!AK560,MeanMinAge06)))</f>
        <v/>
      </c>
      <c r="AL497">
        <f>IF(OR(('19_Расчет_аналитики'!AL413-'19_Расчет_аналитики'!AL441)=0,6&lt;='01_Вводные'!$B$297),0,('19_Расчет_аналитики'!AL413-'19_Расчет_аналитики'!AL441)*IF('01_Вводные'!$B$239="Да",MeanMinAge06+'19_Расчет_аналитики'!AL560*SUMIF(ThresholdAge06,"&lt;"&amp;'19_Расчет_аналитики'!AL560,WeightedRevAge06)-SUMIF(ThresholdAge06,"&lt;"&amp;'19_Расчет_аналитики'!AL560,WeightedMinAge06),MAX(CapacityAge06*'01_Вводные'!$B$218*'19_Расчет_аналитики'!AL560,MeanMinAge06)))</f>
        <v/>
      </c>
      <c r="AM497">
        <f>IF(OR(('19_Расчет_аналитики'!AM413-'19_Расчет_аналитики'!AM441)=0,6&lt;='01_Вводные'!$B$297),0,('19_Расчет_аналитики'!AM413-'19_Расчет_аналитики'!AM441)*IF('01_Вводные'!$B$239="Да",MeanMinAge06+'19_Расчет_аналитики'!AM560*SUMIF(ThresholdAge06,"&lt;"&amp;'19_Расчет_аналитики'!AM560,WeightedRevAge06)-SUMIF(ThresholdAge06,"&lt;"&amp;'19_Расчет_аналитики'!AM560,WeightedMinAge06),MAX(CapacityAge06*'01_Вводные'!$B$218*'19_Расчет_аналитики'!AM560,MeanMinAge06)))</f>
        <v/>
      </c>
      <c r="AN497">
        <f>IF(OR(('19_Расчет_аналитики'!AN413-'19_Расчет_аналитики'!AN441)=0,6&lt;='01_Вводные'!$B$297),0,('19_Расчет_аналитики'!AN413-'19_Расчет_аналитики'!AN441)*IF('01_Вводные'!$B$239="Да",MeanMinAge06+'19_Расчет_аналитики'!AN560*SUMIF(ThresholdAge06,"&lt;"&amp;'19_Расчет_аналитики'!AN560,WeightedRevAge06)-SUMIF(ThresholdAge06,"&lt;"&amp;'19_Расчет_аналитики'!AN560,WeightedMinAge06),MAX(CapacityAge06*'01_Вводные'!$B$218*'19_Расчет_аналитики'!AN560,MeanMinAge06)))</f>
        <v/>
      </c>
      <c r="AO497">
        <f>IF(OR(('19_Расчет_аналитики'!AO413-'19_Расчет_аналитики'!AO441)=0,6&lt;='01_Вводные'!$B$297),0,('19_Расчет_аналитики'!AO413-'19_Расчет_аналитики'!AO441)*IF('01_Вводные'!$B$239="Да",MeanMinAge06+'19_Расчет_аналитики'!AO560*SUMIF(ThresholdAge06,"&lt;"&amp;'19_Расчет_аналитики'!AO560,WeightedRevAge06)-SUMIF(ThresholdAge06,"&lt;"&amp;'19_Расчет_аналитики'!AO560,WeightedMinAge06),MAX(CapacityAge06*'01_Вводные'!$B$218*'19_Расчет_аналитики'!AO560,MeanMinAge06)))</f>
        <v/>
      </c>
      <c r="AP497">
        <f>IF(OR(('19_Расчет_аналитики'!AP413-'19_Расчет_аналитики'!AP441)=0,6&lt;='01_Вводные'!$B$297),0,('19_Расчет_аналитики'!AP413-'19_Расчет_аналитики'!AP441)*IF('01_Вводные'!$B$239="Да",MeanMinAge06+'19_Расчет_аналитики'!AP560*SUMIF(ThresholdAge06,"&lt;"&amp;'19_Расчет_аналитики'!AP560,WeightedRevAge06)-SUMIF(ThresholdAge06,"&lt;"&amp;'19_Расчет_аналитики'!AP560,WeightedMinAge06),MAX(CapacityAge06*'01_Вводные'!$B$218*'19_Расчет_аналитики'!AP560,MeanMinAge06)))</f>
        <v/>
      </c>
      <c r="AQ497">
        <f>IF(OR(('19_Расчет_аналитики'!AQ413-'19_Расчет_аналитики'!AQ441)=0,6&lt;='01_Вводные'!$B$297),0,('19_Расчет_аналитики'!AQ413-'19_Расчет_аналитики'!AQ441)*IF('01_Вводные'!$B$239="Да",MeanMinAge06+'19_Расчет_аналитики'!AQ560*SUMIF(ThresholdAge06,"&lt;"&amp;'19_Расчет_аналитики'!AQ560,WeightedRevAge06)-SUMIF(ThresholdAge06,"&lt;"&amp;'19_Расчет_аналитики'!AQ560,WeightedMinAge06),MAX(CapacityAge06*'01_Вводные'!$B$218*'19_Расчет_аналитики'!AQ560,MeanMinAge06)))</f>
        <v/>
      </c>
      <c r="AR497">
        <f>IF(OR(('19_Расчет_аналитики'!AR413-'19_Расчет_аналитики'!AR441)=0,6&lt;='01_Вводные'!$B$297),0,('19_Расчет_аналитики'!AR413-'19_Расчет_аналитики'!AR441)*IF('01_Вводные'!$B$239="Да",MeanMinAge06+'19_Расчет_аналитики'!AR560*SUMIF(ThresholdAge06,"&lt;"&amp;'19_Расчет_аналитики'!AR560,WeightedRevAge06)-SUMIF(ThresholdAge06,"&lt;"&amp;'19_Расчет_аналитики'!AR560,WeightedMinAge06),MAX(CapacityAge06*'01_Вводные'!$B$218*'19_Расчет_аналитики'!AR560,MeanMinAge06)))</f>
        <v/>
      </c>
      <c r="AS497">
        <f>IF(OR(('19_Расчет_аналитики'!AS413-'19_Расчет_аналитики'!AS441)=0,6&lt;='01_Вводные'!$B$297),0,('19_Расчет_аналитики'!AS413-'19_Расчет_аналитики'!AS441)*IF('01_Вводные'!$B$239="Да",MeanMinAge06+'19_Расчет_аналитики'!AS560*SUMIF(ThresholdAge06,"&lt;"&amp;'19_Расчет_аналитики'!AS560,WeightedRevAge06)-SUMIF(ThresholdAge06,"&lt;"&amp;'19_Расчет_аналитики'!AS560,WeightedMinAge06),MAX(CapacityAge06*'01_Вводные'!$B$218*'19_Расчет_аналитики'!AS560,MeanMinAge06)))</f>
        <v/>
      </c>
      <c r="AT497">
        <f>IF(OR(('19_Расчет_аналитики'!AT413-'19_Расчет_аналитики'!AT441)=0,6&lt;='01_Вводные'!$B$297),0,('19_Расчет_аналитики'!AT413-'19_Расчет_аналитики'!AT441)*IF('01_Вводные'!$B$239="Да",MeanMinAge06+'19_Расчет_аналитики'!AT560*SUMIF(ThresholdAge06,"&lt;"&amp;'19_Расчет_аналитики'!AT560,WeightedRevAge06)-SUMIF(ThresholdAge06,"&lt;"&amp;'19_Расчет_аналитики'!AT560,WeightedMinAge06),MAX(CapacityAge06*'01_Вводные'!$B$218*'19_Расчет_аналитики'!AT560,MeanMinAge06)))</f>
        <v/>
      </c>
      <c r="AU497">
        <f>IF(OR(('19_Расчет_аналитики'!AU413-'19_Расчет_аналитики'!AU441)=0,6&lt;='01_Вводные'!$B$297),0,('19_Расчет_аналитики'!AU413-'19_Расчет_аналитики'!AU441)*IF('01_Вводные'!$B$239="Да",MeanMinAge06+'19_Расчет_аналитики'!AU560*SUMIF(ThresholdAge06,"&lt;"&amp;'19_Расчет_аналитики'!AU560,WeightedRevAge06)-SUMIF(ThresholdAge06,"&lt;"&amp;'19_Расчет_аналитики'!AU560,WeightedMinAge06),MAX(CapacityAge06*'01_Вводные'!$B$218*'19_Расчет_аналитики'!AU560,MeanMinAge06)))</f>
        <v/>
      </c>
      <c r="AV497">
        <f>IF(OR(('19_Расчет_аналитики'!AV413-'19_Расчет_аналитики'!AV441)=0,6&lt;='01_Вводные'!$B$297),0,('19_Расчет_аналитики'!AV413-'19_Расчет_аналитики'!AV441)*IF('01_Вводные'!$B$239="Да",MeanMinAge06+'19_Расчет_аналитики'!AV560*SUMIF(ThresholdAge06,"&lt;"&amp;'19_Расчет_аналитики'!AV560,WeightedRevAge06)-SUMIF(ThresholdAge06,"&lt;"&amp;'19_Расчет_аналитики'!AV560,WeightedMinAge06),MAX(CapacityAge06*'01_Вводные'!$B$218*'19_Расчет_аналитики'!AV560,MeanMinAge06)))</f>
        <v/>
      </c>
      <c r="AW497">
        <f>IF(OR(('19_Расчет_аналитики'!AW413-'19_Расчет_аналитики'!AW441)=0,6&lt;='01_Вводные'!$B$297),0,('19_Расчет_аналитики'!AW413-'19_Расчет_аналитики'!AW441)*IF('01_Вводные'!$B$239="Да",MeanMinAge06+'19_Расчет_аналитики'!AW560*SUMIF(ThresholdAge06,"&lt;"&amp;'19_Расчет_аналитики'!AW560,WeightedRevAge06)-SUMIF(ThresholdAge06,"&lt;"&amp;'19_Расчет_аналитики'!AW560,WeightedMinAge06),MAX(CapacityAge06*'01_Вводные'!$B$218*'19_Расчет_аналитики'!AW560,MeanMinAge06)))</f>
        <v/>
      </c>
      <c r="AX497">
        <f>IF(OR(('19_Расчет_аналитики'!AX413-'19_Расчет_аналитики'!AX441)=0,6&lt;='01_Вводные'!$B$297),0,('19_Расчет_аналитики'!AX413-'19_Расчет_аналитики'!AX441)*IF('01_Вводные'!$B$239="Да",MeanMinAge06+'19_Расчет_аналитики'!AX560*SUMIF(ThresholdAge06,"&lt;"&amp;'19_Расчет_аналитики'!AX560,WeightedRevAge06)-SUMIF(ThresholdAge06,"&lt;"&amp;'19_Расчет_аналитики'!AX560,WeightedMinAge06),MAX(CapacityAge06*'01_Вводные'!$B$218*'19_Расчет_аналитики'!AX560,MeanMinAge06)))</f>
        <v/>
      </c>
      <c r="AY497">
        <f>IF(OR(('19_Расчет_аналитики'!AY413-'19_Расчет_аналитики'!AY441)=0,6&lt;='01_Вводные'!$B$297),0,('19_Расчет_аналитики'!AY413-'19_Расчет_аналитики'!AY441)*IF('01_Вводные'!$B$239="Да",MeanMinAge06+'19_Расчет_аналитики'!AY560*SUMIF(ThresholdAge06,"&lt;"&amp;'19_Расчет_аналитики'!AY560,WeightedRevAge06)-SUMIF(ThresholdAge06,"&lt;"&amp;'19_Расчет_аналитики'!AY560,WeightedMinAge06),MAX(CapacityAge06*'01_Вводные'!$B$218*'19_Расчет_аналитики'!AY560,MeanMinAge06)))</f>
        <v/>
      </c>
      <c r="AZ497">
        <f>IF(OR(('19_Расчет_аналитики'!AZ413-'19_Расчет_аналитики'!AZ441)=0,6&lt;='01_Вводные'!$B$297),0,('19_Расчет_аналитики'!AZ413-'19_Расчет_аналитики'!AZ441)*IF('01_Вводные'!$B$239="Да",MeanMinAge06+'19_Расчет_аналитики'!AZ560*SUMIF(ThresholdAge06,"&lt;"&amp;'19_Расчет_аналитики'!AZ560,WeightedRevAge06)-SUMIF(ThresholdAge06,"&lt;"&amp;'19_Расчет_аналитики'!AZ560,WeightedMinAge06),MAX(CapacityAge06*'01_Вводные'!$B$218*'19_Расчет_аналитики'!AZ560,MeanMinAge06)))</f>
        <v/>
      </c>
      <c r="BA497">
        <f>IF(OR(('19_Расчет_аналитики'!BA413-'19_Расчет_аналитики'!BA441)=0,6&lt;='01_Вводные'!$B$297),0,('19_Расчет_аналитики'!BA413-'19_Расчет_аналитики'!BA441)*IF('01_Вводные'!$B$239="Да",MeanMinAge06+'19_Расчет_аналитики'!BA560*SUMIF(ThresholdAge06,"&lt;"&amp;'19_Расчет_аналитики'!BA560,WeightedRevAge06)-SUMIF(ThresholdAge06,"&lt;"&amp;'19_Расчет_аналитики'!BA560,WeightedMinAge06),MAX(CapacityAge06*'01_Вводные'!$B$218*'19_Расчет_аналитики'!BA560,MeanMinAge06)))</f>
        <v/>
      </c>
      <c r="BB497">
        <f>IF(OR(('19_Расчет_аналитики'!BB413-'19_Расчет_аналитики'!BB441)=0,6&lt;='01_Вводные'!$B$297),0,('19_Расчет_аналитики'!BB413-'19_Расчет_аналитики'!BB441)*IF('01_Вводные'!$B$239="Да",MeanMinAge06+'19_Расчет_аналитики'!BB560*SUMIF(ThresholdAge06,"&lt;"&amp;'19_Расчет_аналитики'!BB560,WeightedRevAge06)-SUMIF(ThresholdAge06,"&lt;"&amp;'19_Расчет_аналитики'!BB560,WeightedMinAge06),MAX(CapacityAge06*'01_Вводные'!$B$218*'19_Расчет_аналитики'!BB560,MeanMinAge06)))</f>
        <v/>
      </c>
      <c r="BC497">
        <f>IF(OR(('19_Расчет_аналитики'!BC413-'19_Расчет_аналитики'!BC441)=0,6&lt;='01_Вводные'!$B$297),0,('19_Расчет_аналитики'!BC413-'19_Расчет_аналитики'!BC441)*IF('01_Вводные'!$B$239="Да",MeanMinAge06+'19_Расчет_аналитики'!BC560*SUMIF(ThresholdAge06,"&lt;"&amp;'19_Расчет_аналитики'!BC560,WeightedRevAge06)-SUMIF(ThresholdAge06,"&lt;"&amp;'19_Расчет_аналитики'!BC560,WeightedMinAge06),MAX(CapacityAge06*'01_Вводные'!$B$218*'19_Расчет_аналитики'!BC560,MeanMinAge06)))</f>
        <v/>
      </c>
      <c r="BD497">
        <f>IF(OR(('19_Расчет_аналитики'!BD413-'19_Расчет_аналитики'!BD441)=0,6&lt;='01_Вводные'!$B$297),0,('19_Расчет_аналитики'!BD413-'19_Расчет_аналитики'!BD441)*IF('01_Вводные'!$B$239="Да",MeanMinAge06+'19_Расчет_аналитики'!BD560*SUMIF(ThresholdAge06,"&lt;"&amp;'19_Расчет_аналитики'!BD560,WeightedRevAge06)-SUMIF(ThresholdAge06,"&lt;"&amp;'19_Расчет_аналитики'!BD560,WeightedMinAge06),MAX(CapacityAge06*'01_Вводные'!$B$218*'19_Расчет_аналитики'!BD560,MeanMinAge06)))</f>
        <v/>
      </c>
      <c r="BE497">
        <f>IF(OR(('19_Расчет_аналитики'!BE413-'19_Расчет_аналитики'!BE441)=0,6&lt;='01_Вводные'!$B$297),0,('19_Расчет_аналитики'!BE413-'19_Расчет_аналитики'!BE441)*IF('01_Вводные'!$B$239="Да",MeanMinAge06+'19_Расчет_аналитики'!BE560*SUMIF(ThresholdAge06,"&lt;"&amp;'19_Расчет_аналитики'!BE560,WeightedRevAge06)-SUMIF(ThresholdAge06,"&lt;"&amp;'19_Расчет_аналитики'!BE560,WeightedMinAge06),MAX(CapacityAge06*'01_Вводные'!$B$218*'19_Расчет_аналитики'!BE560,MeanMinAge06)))</f>
        <v/>
      </c>
      <c r="BF497">
        <f>IF(OR(('19_Расчет_аналитики'!BF413-'19_Расчет_аналитики'!BF441)=0,6&lt;='01_Вводные'!$B$297),0,('19_Расчет_аналитики'!BF413-'19_Расчет_аналитики'!BF441)*IF('01_Вводные'!$B$239="Да",MeanMinAge06+'19_Расчет_аналитики'!BF560*SUMIF(ThresholdAge06,"&lt;"&amp;'19_Расчет_аналитики'!BF560,WeightedRevAge06)-SUMIF(ThresholdAge06,"&lt;"&amp;'19_Расчет_аналитики'!BF560,WeightedMinAge06),MAX(CapacityAge06*'01_Вводные'!$B$218*'19_Расчет_аналитики'!BF560,MeanMinAge06)))</f>
        <v/>
      </c>
      <c r="BG497">
        <f>IF(OR(('19_Расчет_аналитики'!BG413-'19_Расчет_аналитики'!BG441)=0,6&lt;='01_Вводные'!$B$297),0,('19_Расчет_аналитики'!BG413-'19_Расчет_аналитики'!BG441)*IF('01_Вводные'!$B$239="Да",MeanMinAge06+'19_Расчет_аналитики'!BG560*SUMIF(ThresholdAge06,"&lt;"&amp;'19_Расчет_аналитики'!BG560,WeightedRevAge06)-SUMIF(ThresholdAge06,"&lt;"&amp;'19_Расчет_аналитики'!BG560,WeightedMinAge06),MAX(CapacityAge06*'01_Вводные'!$B$218*'19_Расчет_аналитики'!BG560,MeanMinAge06)))</f>
        <v/>
      </c>
      <c r="BH497">
        <f>IF(OR(('19_Расчет_аналитики'!BH413-'19_Расчет_аналитики'!BH441)=0,6&lt;='01_Вводные'!$B$297),0,('19_Расчет_аналитики'!BH413-'19_Расчет_аналитики'!BH441)*IF('01_Вводные'!$B$239="Да",MeanMinAge06+'19_Расчет_аналитики'!BH560*SUMIF(ThresholdAge06,"&lt;"&amp;'19_Расчет_аналитики'!BH560,WeightedRevAge06)-SUMIF(ThresholdAge06,"&lt;"&amp;'19_Расчет_аналитики'!BH560,WeightedMinAge06),MAX(CapacityAge06*'01_Вводные'!$B$218*'19_Расчет_аналитики'!BH560,MeanMinAge06)))</f>
        <v/>
      </c>
      <c r="BI497">
        <f>IF(OR(('19_Расчет_аналитики'!BI413-'19_Расчет_аналитики'!BI441)=0,6&lt;='01_Вводные'!$B$297),0,('19_Расчет_аналитики'!BI413-'19_Расчет_аналитики'!BI441)*IF('01_Вводные'!$B$239="Да",MeanMinAge06+'19_Расчет_аналитики'!BI560*SUMIF(ThresholdAge06,"&lt;"&amp;'19_Расчет_аналитики'!BI560,WeightedRevAge06)-SUMIF(ThresholdAge06,"&lt;"&amp;'19_Расчет_аналитики'!BI560,WeightedMinAge06),MAX(CapacityAge06*'01_Вводные'!$B$218*'19_Расчет_аналитики'!BI560,MeanMinAge06)))</f>
        <v/>
      </c>
      <c r="BJ497">
        <f>IF(OR(('19_Расчет_аналитики'!BJ413-'19_Расчет_аналитики'!BJ441)=0,6&lt;='01_Вводные'!$B$297),0,('19_Расчет_аналитики'!BJ413-'19_Расчет_аналитики'!BJ441)*IF('01_Вводные'!$B$239="Да",MeanMinAge06+'19_Расчет_аналитики'!BJ560*SUMIF(ThresholdAge06,"&lt;"&amp;'19_Расчет_аналитики'!BJ560,WeightedRevAge06)-SUMIF(ThresholdAge06,"&lt;"&amp;'19_Расчет_аналитики'!BJ560,WeightedMinAge06),MAX(CapacityAge06*'01_Вводные'!$B$218*'19_Расчет_аналитики'!BJ560,MeanMinAge06)))</f>
        <v/>
      </c>
      <c r="BK497">
        <f>IF(OR(('19_Расчет_аналитики'!BK413-'19_Расчет_аналитики'!BK441)=0,6&lt;='01_Вводные'!$B$297),0,('19_Расчет_аналитики'!BK413-'19_Расчет_аналитики'!BK441)*IF('01_Вводные'!$B$239="Да",MeanMinAge06+'19_Расчет_аналитики'!BK560*SUMIF(ThresholdAge06,"&lt;"&amp;'19_Расчет_аналитики'!BK560,WeightedRevAge06)-SUMIF(ThresholdAge06,"&lt;"&amp;'19_Расчет_аналитики'!BK560,WeightedMinAge06),MAX(CapacityAge06*'01_Вводные'!$B$218*'19_Расчет_аналитики'!BK560,MeanMinAge06)))</f>
        <v/>
      </c>
      <c r="BL497">
        <f>IF(OR(('19_Расчет_аналитики'!BL413-'19_Расчет_аналитики'!BL441)=0,6&lt;='01_Вводные'!$B$297),0,('19_Расчет_аналитики'!BL413-'19_Расчет_аналитики'!BL441)*IF('01_Вводные'!$B$239="Да",MeanMinAge06+'19_Расчет_аналитики'!BL560*SUMIF(ThresholdAge06,"&lt;"&amp;'19_Расчет_аналитики'!BL560,WeightedRevAge06)-SUMIF(ThresholdAge06,"&lt;"&amp;'19_Расчет_аналитики'!BL560,WeightedMinAge06),MAX(CapacityAge06*'01_Вводные'!$B$218*'19_Расчет_аналитики'!BL560,MeanMinAge06)))</f>
        <v/>
      </c>
      <c r="BM497">
        <f>IF(OR(('19_Расчет_аналитики'!BM413-'19_Расчет_аналитики'!BM441)=0,6&lt;='01_Вводные'!$B$297),0,('19_Расчет_аналитики'!BM413-'19_Расчет_аналитики'!BM441)*IF('01_Вводные'!$B$239="Да",MeanMinAge06+'19_Расчет_аналитики'!BM560*SUMIF(ThresholdAge06,"&lt;"&amp;'19_Расчет_аналитики'!BM560,WeightedRevAge06)-SUMIF(ThresholdAge06,"&lt;"&amp;'19_Расчет_аналитики'!BM560,WeightedMinAge06),MAX(CapacityAge06*'01_Вводные'!$B$218*'19_Расчет_аналитики'!BM560,MeanMinAge06)))</f>
        <v/>
      </c>
      <c r="BN497">
        <f>IF(OR(('19_Расчет_аналитики'!BN413-'19_Расчет_аналитики'!BN441)=0,6&lt;='01_Вводные'!$B$297),0,('19_Расчет_аналитики'!BN413-'19_Расчет_аналитики'!BN441)*IF('01_Вводные'!$B$239="Да",MeanMinAge06+'19_Расчет_аналитики'!BN560*SUMIF(ThresholdAge06,"&lt;"&amp;'19_Расчет_аналитики'!BN560,WeightedRevAge06)-SUMIF(ThresholdAge06,"&lt;"&amp;'19_Расчет_аналитики'!BN560,WeightedMinAge06),MAX(CapacityAge06*'01_Вводные'!$B$218*'19_Расчет_аналитики'!BN560,MeanMinAge06)))</f>
        <v/>
      </c>
      <c r="BO497">
        <f>IF(OR(('19_Расчет_аналитики'!BO413-'19_Расчет_аналитики'!BO441)=0,6&lt;='01_Вводные'!$B$297),0,('19_Расчет_аналитики'!BO413-'19_Расчет_аналитики'!BO441)*IF('01_Вводные'!$B$239="Да",MeanMinAge06+'19_Расчет_аналитики'!BO560*SUMIF(ThresholdAge06,"&lt;"&amp;'19_Расчет_аналитики'!BO560,WeightedRevAge06)-SUMIF(ThresholdAge06,"&lt;"&amp;'19_Расчет_аналитики'!BO560,WeightedMinAge06),MAX(CapacityAge06*'01_Вводные'!$B$218*'19_Расчет_аналитики'!BO560,MeanMinAge06)))</f>
        <v/>
      </c>
    </row>
    <row r="498">
      <c r="B498">
        <f>IF(OR(('06_Сеть_и_дети'!B59-'06_Сеть_и_дети'!B87)=0,7&lt;='01_Вводные'!$B$297),0,('06_Сеть_и_дети'!B59-'06_Сеть_и_дети'!B87)*IF('01_Вводные'!$B$239="Да",MeanMinAge07+'19_Расчет_аналитики'!B560*SUMIF(ThresholdAge07,"&lt;"&amp;'19_Расчет_аналитики'!B560,WeightedRevAge07)-SUMIF(ThresholdAge07,"&lt;"&amp;'19_Расчет_аналитики'!B560,WeightedMinAge07),MAX(CapacityAge07*'01_Вводные'!$B$218*'19_Расчет_аналитики'!B560,MeanMinAge07)))</f>
        <v/>
      </c>
      <c r="C498">
        <f>IF(OR(('06_Сеть_и_дети'!C59-'06_Сеть_и_дети'!C87)=0,7&lt;='01_Вводные'!$B$297),0,('06_Сеть_и_дети'!C59-'06_Сеть_и_дети'!C87)*IF('01_Вводные'!$B$239="Да",MeanMinAge07+'19_Расчет_аналитики'!C560*SUMIF(ThresholdAge07,"&lt;"&amp;'19_Расчет_аналитики'!C560,WeightedRevAge07)-SUMIF(ThresholdAge07,"&lt;"&amp;'19_Расчет_аналитики'!C560,WeightedMinAge07),MAX(CapacityAge07*'01_Вводные'!$B$218*'19_Расчет_аналитики'!C560,MeanMinAge07)))</f>
        <v/>
      </c>
      <c r="D498">
        <f>IF(OR(('06_Сеть_и_дети'!D59-'06_Сеть_и_дети'!D87)=0,7&lt;='01_Вводные'!$B$297),0,('06_Сеть_и_дети'!D59-'06_Сеть_и_дети'!D87)*IF('01_Вводные'!$B$239="Да",MeanMinAge07+'19_Расчет_аналитики'!D560*SUMIF(ThresholdAge07,"&lt;"&amp;'19_Расчет_аналитики'!D560,WeightedRevAge07)-SUMIF(ThresholdAge07,"&lt;"&amp;'19_Расчет_аналитики'!D560,WeightedMinAge07),MAX(CapacityAge07*'01_Вводные'!$B$218*'19_Расчет_аналитики'!D560,MeanMinAge07)))</f>
        <v/>
      </c>
      <c r="E498">
        <f>IF(OR(('06_Сеть_и_дети'!E59-'06_Сеть_и_дети'!E87)=0,7&lt;='01_Вводные'!$B$297),0,('06_Сеть_и_дети'!E59-'06_Сеть_и_дети'!E87)*IF('01_Вводные'!$B$239="Да",MeanMinAge07+'19_Расчет_аналитики'!E560*SUMIF(ThresholdAge07,"&lt;"&amp;'19_Расчет_аналитики'!E560,WeightedRevAge07)-SUMIF(ThresholdAge07,"&lt;"&amp;'19_Расчет_аналитики'!E560,WeightedMinAge07),MAX(CapacityAge07*'01_Вводные'!$B$218*'19_Расчет_аналитики'!E560,MeanMinAge07)))</f>
        <v/>
      </c>
      <c r="F498">
        <f>IF(OR(('06_Сеть_и_дети'!F59-'06_Сеть_и_дети'!F87)=0,7&lt;='01_Вводные'!$B$297),0,('06_Сеть_и_дети'!F59-'06_Сеть_и_дети'!F87)*IF('01_Вводные'!$B$239="Да",MeanMinAge07+'19_Расчет_аналитики'!F560*SUMIF(ThresholdAge07,"&lt;"&amp;'19_Расчет_аналитики'!F560,WeightedRevAge07)-SUMIF(ThresholdAge07,"&lt;"&amp;'19_Расчет_аналитики'!F560,WeightedMinAge07),MAX(CapacityAge07*'01_Вводные'!$B$218*'19_Расчет_аналитики'!F560,MeanMinAge07)))</f>
        <v/>
      </c>
      <c r="G498">
        <f>IF(OR(('06_Сеть_и_дети'!G59-'06_Сеть_и_дети'!G87)=0,7&lt;='01_Вводные'!$B$297),0,('06_Сеть_и_дети'!G59-'06_Сеть_и_дети'!G87)*IF('01_Вводные'!$B$239="Да",MeanMinAge07+'19_Расчет_аналитики'!G560*SUMIF(ThresholdAge07,"&lt;"&amp;'19_Расчет_аналитики'!G560,WeightedRevAge07)-SUMIF(ThresholdAge07,"&lt;"&amp;'19_Расчет_аналитики'!G560,WeightedMinAge07),MAX(CapacityAge07*'01_Вводные'!$B$218*'19_Расчет_аналитики'!G560,MeanMinAge07)))</f>
        <v/>
      </c>
      <c r="H498">
        <f>IF(OR(('19_Расчет_аналитики'!H414-'19_Расчет_аналитики'!H442)=0,7&lt;='01_Вводные'!$B$297),0,('19_Расчет_аналитики'!H414-'19_Расчет_аналитики'!H442)*IF('01_Вводные'!$B$239="Да",MeanMinAge07+'19_Расчет_аналитики'!H560*SUMIF(ThresholdAge07,"&lt;"&amp;'19_Расчет_аналитики'!H560,WeightedRevAge07)-SUMIF(ThresholdAge07,"&lt;"&amp;'19_Расчет_аналитики'!H560,WeightedMinAge07),MAX(CapacityAge07*'01_Вводные'!$B$218*'19_Расчет_аналитики'!H560,MeanMinAge07)))</f>
        <v/>
      </c>
      <c r="I498">
        <f>IF(OR(('19_Расчет_аналитики'!I414-'19_Расчет_аналитики'!I442)=0,7&lt;='01_Вводные'!$B$297),0,('19_Расчет_аналитики'!I414-'19_Расчет_аналитики'!I442)*IF('01_Вводные'!$B$239="Да",MeanMinAge07+'19_Расчет_аналитики'!I560*SUMIF(ThresholdAge07,"&lt;"&amp;'19_Расчет_аналитики'!I560,WeightedRevAge07)-SUMIF(ThresholdAge07,"&lt;"&amp;'19_Расчет_аналитики'!I560,WeightedMinAge07),MAX(CapacityAge07*'01_Вводные'!$B$218*'19_Расчет_аналитики'!I560,MeanMinAge07)))</f>
        <v/>
      </c>
      <c r="J498">
        <f>IF(OR(('19_Расчет_аналитики'!J414-'19_Расчет_аналитики'!J442)=0,7&lt;='01_Вводные'!$B$297),0,('19_Расчет_аналитики'!J414-'19_Расчет_аналитики'!J442)*IF('01_Вводные'!$B$239="Да",MeanMinAge07+'19_Расчет_аналитики'!J560*SUMIF(ThresholdAge07,"&lt;"&amp;'19_Расчет_аналитики'!J560,WeightedRevAge07)-SUMIF(ThresholdAge07,"&lt;"&amp;'19_Расчет_аналитики'!J560,WeightedMinAge07),MAX(CapacityAge07*'01_Вводные'!$B$218*'19_Расчет_аналитики'!J560,MeanMinAge07)))</f>
        <v/>
      </c>
      <c r="K498">
        <f>IF(OR(('19_Расчет_аналитики'!K414-'19_Расчет_аналитики'!K442)=0,7&lt;='01_Вводные'!$B$297),0,('19_Расчет_аналитики'!K414-'19_Расчет_аналитики'!K442)*IF('01_Вводные'!$B$239="Да",MeanMinAge07+'19_Расчет_аналитики'!K560*SUMIF(ThresholdAge07,"&lt;"&amp;'19_Расчет_аналитики'!K560,WeightedRevAge07)-SUMIF(ThresholdAge07,"&lt;"&amp;'19_Расчет_аналитики'!K560,WeightedMinAge07),MAX(CapacityAge07*'01_Вводные'!$B$218*'19_Расчет_аналитики'!K560,MeanMinAge07)))</f>
        <v/>
      </c>
      <c r="L498">
        <f>IF(OR(('19_Расчет_аналитики'!L414-'19_Расчет_аналитики'!L442)=0,7&lt;='01_Вводные'!$B$297),0,('19_Расчет_аналитики'!L414-'19_Расчет_аналитики'!L442)*IF('01_Вводные'!$B$239="Да",MeanMinAge07+'19_Расчет_аналитики'!L560*SUMIF(ThresholdAge07,"&lt;"&amp;'19_Расчет_аналитики'!L560,WeightedRevAge07)-SUMIF(ThresholdAge07,"&lt;"&amp;'19_Расчет_аналитики'!L560,WeightedMinAge07),MAX(CapacityAge07*'01_Вводные'!$B$218*'19_Расчет_аналитики'!L560,MeanMinAge07)))</f>
        <v/>
      </c>
      <c r="M498">
        <f>IF(OR(('19_Расчет_аналитики'!M414-'19_Расчет_аналитики'!M442)=0,7&lt;='01_Вводные'!$B$297),0,('19_Расчет_аналитики'!M414-'19_Расчет_аналитики'!M442)*IF('01_Вводные'!$B$239="Да",MeanMinAge07+'19_Расчет_аналитики'!M560*SUMIF(ThresholdAge07,"&lt;"&amp;'19_Расчет_аналитики'!M560,WeightedRevAge07)-SUMIF(ThresholdAge07,"&lt;"&amp;'19_Расчет_аналитики'!M560,WeightedMinAge07),MAX(CapacityAge07*'01_Вводные'!$B$218*'19_Расчет_аналитики'!M560,MeanMinAge07)))</f>
        <v/>
      </c>
      <c r="N498">
        <f>IF(OR(('19_Расчет_аналитики'!N414-'19_Расчет_аналитики'!N442)=0,7&lt;='01_Вводные'!$B$297),0,('19_Расчет_аналитики'!N414-'19_Расчет_аналитики'!N442)*IF('01_Вводные'!$B$239="Да",MeanMinAge07+'19_Расчет_аналитики'!N560*SUMIF(ThresholdAge07,"&lt;"&amp;'19_Расчет_аналитики'!N560,WeightedRevAge07)-SUMIF(ThresholdAge07,"&lt;"&amp;'19_Расчет_аналитики'!N560,WeightedMinAge07),MAX(CapacityAge07*'01_Вводные'!$B$218*'19_Расчет_аналитики'!N560,MeanMinAge07)))</f>
        <v/>
      </c>
      <c r="O498">
        <f>IF(OR(('19_Расчет_аналитики'!O414-'19_Расчет_аналитики'!O442)=0,7&lt;='01_Вводные'!$B$297),0,('19_Расчет_аналитики'!O414-'19_Расчет_аналитики'!O442)*IF('01_Вводные'!$B$239="Да",MeanMinAge07+'19_Расчет_аналитики'!O560*SUMIF(ThresholdAge07,"&lt;"&amp;'19_Расчет_аналитики'!O560,WeightedRevAge07)-SUMIF(ThresholdAge07,"&lt;"&amp;'19_Расчет_аналитики'!O560,WeightedMinAge07),MAX(CapacityAge07*'01_Вводные'!$B$218*'19_Расчет_аналитики'!O560,MeanMinAge07)))</f>
        <v/>
      </c>
      <c r="P498">
        <f>IF(OR(('19_Расчет_аналитики'!P414-'19_Расчет_аналитики'!P442)=0,7&lt;='01_Вводные'!$B$297),0,('19_Расчет_аналитики'!P414-'19_Расчет_аналитики'!P442)*IF('01_Вводные'!$B$239="Да",MeanMinAge07+'19_Расчет_аналитики'!P560*SUMIF(ThresholdAge07,"&lt;"&amp;'19_Расчет_аналитики'!P560,WeightedRevAge07)-SUMIF(ThresholdAge07,"&lt;"&amp;'19_Расчет_аналитики'!P560,WeightedMinAge07),MAX(CapacityAge07*'01_Вводные'!$B$218*'19_Расчет_аналитики'!P560,MeanMinAge07)))</f>
        <v/>
      </c>
      <c r="Q498">
        <f>IF(OR(('19_Расчет_аналитики'!Q414-'19_Расчет_аналитики'!Q442)=0,7&lt;='01_Вводные'!$B$297),0,('19_Расчет_аналитики'!Q414-'19_Расчет_аналитики'!Q442)*IF('01_Вводные'!$B$239="Да",MeanMinAge07+'19_Расчет_аналитики'!Q560*SUMIF(ThresholdAge07,"&lt;"&amp;'19_Расчет_аналитики'!Q560,WeightedRevAge07)-SUMIF(ThresholdAge07,"&lt;"&amp;'19_Расчет_аналитики'!Q560,WeightedMinAge07),MAX(CapacityAge07*'01_Вводные'!$B$218*'19_Расчет_аналитики'!Q560,MeanMinAge07)))</f>
        <v/>
      </c>
      <c r="R498">
        <f>IF(OR(('19_Расчет_аналитики'!R414-'19_Расчет_аналитики'!R442)=0,7&lt;='01_Вводные'!$B$297),0,('19_Расчет_аналитики'!R414-'19_Расчет_аналитики'!R442)*IF('01_Вводные'!$B$239="Да",MeanMinAge07+'19_Расчет_аналитики'!R560*SUMIF(ThresholdAge07,"&lt;"&amp;'19_Расчет_аналитики'!R560,WeightedRevAge07)-SUMIF(ThresholdAge07,"&lt;"&amp;'19_Расчет_аналитики'!R560,WeightedMinAge07),MAX(CapacityAge07*'01_Вводные'!$B$218*'19_Расчет_аналитики'!R560,MeanMinAge07)))</f>
        <v/>
      </c>
      <c r="S498">
        <f>IF(OR(('19_Расчет_аналитики'!S414-'19_Расчет_аналитики'!S442)=0,7&lt;='01_Вводные'!$B$297),0,('19_Расчет_аналитики'!S414-'19_Расчет_аналитики'!S442)*IF('01_Вводные'!$B$239="Да",MeanMinAge07+'19_Расчет_аналитики'!S560*SUMIF(ThresholdAge07,"&lt;"&amp;'19_Расчет_аналитики'!S560,WeightedRevAge07)-SUMIF(ThresholdAge07,"&lt;"&amp;'19_Расчет_аналитики'!S560,WeightedMinAge07),MAX(CapacityAge07*'01_Вводные'!$B$218*'19_Расчет_аналитики'!S560,MeanMinAge07)))</f>
        <v/>
      </c>
      <c r="T498">
        <f>IF(OR(('19_Расчет_аналитики'!T414-'19_Расчет_аналитики'!T442)=0,7&lt;='01_Вводные'!$B$297),0,('19_Расчет_аналитики'!T414-'19_Расчет_аналитики'!T442)*IF('01_Вводные'!$B$239="Да",MeanMinAge07+'19_Расчет_аналитики'!T560*SUMIF(ThresholdAge07,"&lt;"&amp;'19_Расчет_аналитики'!T560,WeightedRevAge07)-SUMIF(ThresholdAge07,"&lt;"&amp;'19_Расчет_аналитики'!T560,WeightedMinAge07),MAX(CapacityAge07*'01_Вводные'!$B$218*'19_Расчет_аналитики'!T560,MeanMinAge07)))</f>
        <v/>
      </c>
      <c r="U498">
        <f>IF(OR(('19_Расчет_аналитики'!U414-'19_Расчет_аналитики'!U442)=0,7&lt;='01_Вводные'!$B$297),0,('19_Расчет_аналитики'!U414-'19_Расчет_аналитики'!U442)*IF('01_Вводные'!$B$239="Да",MeanMinAge07+'19_Расчет_аналитики'!U560*SUMIF(ThresholdAge07,"&lt;"&amp;'19_Расчет_аналитики'!U560,WeightedRevAge07)-SUMIF(ThresholdAge07,"&lt;"&amp;'19_Расчет_аналитики'!U560,WeightedMinAge07),MAX(CapacityAge07*'01_Вводные'!$B$218*'19_Расчет_аналитики'!U560,MeanMinAge07)))</f>
        <v/>
      </c>
      <c r="V498">
        <f>IF(OR(('19_Расчет_аналитики'!V414-'19_Расчет_аналитики'!V442)=0,7&lt;='01_Вводные'!$B$297),0,('19_Расчет_аналитики'!V414-'19_Расчет_аналитики'!V442)*IF('01_Вводные'!$B$239="Да",MeanMinAge07+'19_Расчет_аналитики'!V560*SUMIF(ThresholdAge07,"&lt;"&amp;'19_Расчет_аналитики'!V560,WeightedRevAge07)-SUMIF(ThresholdAge07,"&lt;"&amp;'19_Расчет_аналитики'!V560,WeightedMinAge07),MAX(CapacityAge07*'01_Вводные'!$B$218*'19_Расчет_аналитики'!V560,MeanMinAge07)))</f>
        <v/>
      </c>
      <c r="W498">
        <f>IF(OR(('19_Расчет_аналитики'!W414-'19_Расчет_аналитики'!W442)=0,7&lt;='01_Вводные'!$B$297),0,('19_Расчет_аналитики'!W414-'19_Расчет_аналитики'!W442)*IF('01_Вводные'!$B$239="Да",MeanMinAge07+'19_Расчет_аналитики'!W560*SUMIF(ThresholdAge07,"&lt;"&amp;'19_Расчет_аналитики'!W560,WeightedRevAge07)-SUMIF(ThresholdAge07,"&lt;"&amp;'19_Расчет_аналитики'!W560,WeightedMinAge07),MAX(CapacityAge07*'01_Вводные'!$B$218*'19_Расчет_аналитики'!W560,MeanMinAge07)))</f>
        <v/>
      </c>
      <c r="X498">
        <f>IF(OR(('19_Расчет_аналитики'!X414-'19_Расчет_аналитики'!X442)=0,7&lt;='01_Вводные'!$B$297),0,('19_Расчет_аналитики'!X414-'19_Расчет_аналитики'!X442)*IF('01_Вводные'!$B$239="Да",MeanMinAge07+'19_Расчет_аналитики'!X560*SUMIF(ThresholdAge07,"&lt;"&amp;'19_Расчет_аналитики'!X560,WeightedRevAge07)-SUMIF(ThresholdAge07,"&lt;"&amp;'19_Расчет_аналитики'!X560,WeightedMinAge07),MAX(CapacityAge07*'01_Вводные'!$B$218*'19_Расчет_аналитики'!X560,MeanMinAge07)))</f>
        <v/>
      </c>
      <c r="Y498">
        <f>IF(OR(('19_Расчет_аналитики'!Y414-'19_Расчет_аналитики'!Y442)=0,7&lt;='01_Вводные'!$B$297),0,('19_Расчет_аналитики'!Y414-'19_Расчет_аналитики'!Y442)*IF('01_Вводные'!$B$239="Да",MeanMinAge07+'19_Расчет_аналитики'!Y560*SUMIF(ThresholdAge07,"&lt;"&amp;'19_Расчет_аналитики'!Y560,WeightedRevAge07)-SUMIF(ThresholdAge07,"&lt;"&amp;'19_Расчет_аналитики'!Y560,WeightedMinAge07),MAX(CapacityAge07*'01_Вводные'!$B$218*'19_Расчет_аналитики'!Y560,MeanMinAge07)))</f>
        <v/>
      </c>
      <c r="Z498">
        <f>IF(OR(('19_Расчет_аналитики'!Z414-'19_Расчет_аналитики'!Z442)=0,7&lt;='01_Вводные'!$B$297),0,('19_Расчет_аналитики'!Z414-'19_Расчет_аналитики'!Z442)*IF('01_Вводные'!$B$239="Да",MeanMinAge07+'19_Расчет_аналитики'!Z560*SUMIF(ThresholdAge07,"&lt;"&amp;'19_Расчет_аналитики'!Z560,WeightedRevAge07)-SUMIF(ThresholdAge07,"&lt;"&amp;'19_Расчет_аналитики'!Z560,WeightedMinAge07),MAX(CapacityAge07*'01_Вводные'!$B$218*'19_Расчет_аналитики'!Z560,MeanMinAge07)))</f>
        <v/>
      </c>
      <c r="AA498">
        <f>IF(OR(('19_Расчет_аналитики'!AA414-'19_Расчет_аналитики'!AA442)=0,7&lt;='01_Вводные'!$B$297),0,('19_Расчет_аналитики'!AA414-'19_Расчет_аналитики'!AA442)*IF('01_Вводные'!$B$239="Да",MeanMinAge07+'19_Расчет_аналитики'!AA560*SUMIF(ThresholdAge07,"&lt;"&amp;'19_Расчет_аналитики'!AA560,WeightedRevAge07)-SUMIF(ThresholdAge07,"&lt;"&amp;'19_Расчет_аналитики'!AA560,WeightedMinAge07),MAX(CapacityAge07*'01_Вводные'!$B$218*'19_Расчет_аналитики'!AA560,MeanMinAge07)))</f>
        <v/>
      </c>
      <c r="AB498">
        <f>IF(OR(('19_Расчет_аналитики'!AB414-'19_Расчет_аналитики'!AB442)=0,7&lt;='01_Вводные'!$B$297),0,('19_Расчет_аналитики'!AB414-'19_Расчет_аналитики'!AB442)*IF('01_Вводные'!$B$239="Да",MeanMinAge07+'19_Расчет_аналитики'!AB560*SUMIF(ThresholdAge07,"&lt;"&amp;'19_Расчет_аналитики'!AB560,WeightedRevAge07)-SUMIF(ThresholdAge07,"&lt;"&amp;'19_Расчет_аналитики'!AB560,WeightedMinAge07),MAX(CapacityAge07*'01_Вводные'!$B$218*'19_Расчет_аналитики'!AB560,MeanMinAge07)))</f>
        <v/>
      </c>
      <c r="AC498">
        <f>IF(OR(('19_Расчет_аналитики'!AC414-'19_Расчет_аналитики'!AC442)=0,7&lt;='01_Вводные'!$B$297),0,('19_Расчет_аналитики'!AC414-'19_Расчет_аналитики'!AC442)*IF('01_Вводные'!$B$239="Да",MeanMinAge07+'19_Расчет_аналитики'!AC560*SUMIF(ThresholdAge07,"&lt;"&amp;'19_Расчет_аналитики'!AC560,WeightedRevAge07)-SUMIF(ThresholdAge07,"&lt;"&amp;'19_Расчет_аналитики'!AC560,WeightedMinAge07),MAX(CapacityAge07*'01_Вводные'!$B$218*'19_Расчет_аналитики'!AC560,MeanMinAge07)))</f>
        <v/>
      </c>
      <c r="AD498">
        <f>IF(OR(('19_Расчет_аналитики'!AD414-'19_Расчет_аналитики'!AD442)=0,7&lt;='01_Вводные'!$B$297),0,('19_Расчет_аналитики'!AD414-'19_Расчет_аналитики'!AD442)*IF('01_Вводные'!$B$239="Да",MeanMinAge07+'19_Расчет_аналитики'!AD560*SUMIF(ThresholdAge07,"&lt;"&amp;'19_Расчет_аналитики'!AD560,WeightedRevAge07)-SUMIF(ThresholdAge07,"&lt;"&amp;'19_Расчет_аналитики'!AD560,WeightedMinAge07),MAX(CapacityAge07*'01_Вводные'!$B$218*'19_Расчет_аналитики'!AD560,MeanMinAge07)))</f>
        <v/>
      </c>
      <c r="AE498">
        <f>IF(OR(('19_Расчет_аналитики'!AE414-'19_Расчет_аналитики'!AE442)=0,7&lt;='01_Вводные'!$B$297),0,('19_Расчет_аналитики'!AE414-'19_Расчет_аналитики'!AE442)*IF('01_Вводные'!$B$239="Да",MeanMinAge07+'19_Расчет_аналитики'!AE560*SUMIF(ThresholdAge07,"&lt;"&amp;'19_Расчет_аналитики'!AE560,WeightedRevAge07)-SUMIF(ThresholdAge07,"&lt;"&amp;'19_Расчет_аналитики'!AE560,WeightedMinAge07),MAX(CapacityAge07*'01_Вводные'!$B$218*'19_Расчет_аналитики'!AE560,MeanMinAge07)))</f>
        <v/>
      </c>
      <c r="AF498">
        <f>IF(OR(('19_Расчет_аналитики'!AF414-'19_Расчет_аналитики'!AF442)=0,7&lt;='01_Вводные'!$B$297),0,('19_Расчет_аналитики'!AF414-'19_Расчет_аналитики'!AF442)*IF('01_Вводные'!$B$239="Да",MeanMinAge07+'19_Расчет_аналитики'!AF560*SUMIF(ThresholdAge07,"&lt;"&amp;'19_Расчет_аналитики'!AF560,WeightedRevAge07)-SUMIF(ThresholdAge07,"&lt;"&amp;'19_Расчет_аналитики'!AF560,WeightedMinAge07),MAX(CapacityAge07*'01_Вводные'!$B$218*'19_Расчет_аналитики'!AF560,MeanMinAge07)))</f>
        <v/>
      </c>
      <c r="AG498">
        <f>IF(OR(('19_Расчет_аналитики'!AG414-'19_Расчет_аналитики'!AG442)=0,7&lt;='01_Вводные'!$B$297),0,('19_Расчет_аналитики'!AG414-'19_Расчет_аналитики'!AG442)*IF('01_Вводные'!$B$239="Да",MeanMinAge07+'19_Расчет_аналитики'!AG560*SUMIF(ThresholdAge07,"&lt;"&amp;'19_Расчет_аналитики'!AG560,WeightedRevAge07)-SUMIF(ThresholdAge07,"&lt;"&amp;'19_Расчет_аналитики'!AG560,WeightedMinAge07),MAX(CapacityAge07*'01_Вводные'!$B$218*'19_Расчет_аналитики'!AG560,MeanMinAge07)))</f>
        <v/>
      </c>
      <c r="AH498">
        <f>IF(OR(('19_Расчет_аналитики'!AH414-'19_Расчет_аналитики'!AH442)=0,7&lt;='01_Вводные'!$B$297),0,('19_Расчет_аналитики'!AH414-'19_Расчет_аналитики'!AH442)*IF('01_Вводные'!$B$239="Да",MeanMinAge07+'19_Расчет_аналитики'!AH560*SUMIF(ThresholdAge07,"&lt;"&amp;'19_Расчет_аналитики'!AH560,WeightedRevAge07)-SUMIF(ThresholdAge07,"&lt;"&amp;'19_Расчет_аналитики'!AH560,WeightedMinAge07),MAX(CapacityAge07*'01_Вводные'!$B$218*'19_Расчет_аналитики'!AH560,MeanMinAge07)))</f>
        <v/>
      </c>
      <c r="AI498">
        <f>IF(OR(('19_Расчет_аналитики'!AI414-'19_Расчет_аналитики'!AI442)=0,7&lt;='01_Вводные'!$B$297),0,('19_Расчет_аналитики'!AI414-'19_Расчет_аналитики'!AI442)*IF('01_Вводные'!$B$239="Да",MeanMinAge07+'19_Расчет_аналитики'!AI560*SUMIF(ThresholdAge07,"&lt;"&amp;'19_Расчет_аналитики'!AI560,WeightedRevAge07)-SUMIF(ThresholdAge07,"&lt;"&amp;'19_Расчет_аналитики'!AI560,WeightedMinAge07),MAX(CapacityAge07*'01_Вводные'!$B$218*'19_Расчет_аналитики'!AI560,MeanMinAge07)))</f>
        <v/>
      </c>
      <c r="AJ498">
        <f>IF(OR(('19_Расчет_аналитики'!AJ414-'19_Расчет_аналитики'!AJ442)=0,7&lt;='01_Вводные'!$B$297),0,('19_Расчет_аналитики'!AJ414-'19_Расчет_аналитики'!AJ442)*IF('01_Вводные'!$B$239="Да",MeanMinAge07+'19_Расчет_аналитики'!AJ560*SUMIF(ThresholdAge07,"&lt;"&amp;'19_Расчет_аналитики'!AJ560,WeightedRevAge07)-SUMIF(ThresholdAge07,"&lt;"&amp;'19_Расчет_аналитики'!AJ560,WeightedMinAge07),MAX(CapacityAge07*'01_Вводные'!$B$218*'19_Расчет_аналитики'!AJ560,MeanMinAge07)))</f>
        <v/>
      </c>
      <c r="AK498">
        <f>IF(OR(('19_Расчет_аналитики'!AK414-'19_Расчет_аналитики'!AK442)=0,7&lt;='01_Вводные'!$B$297),0,('19_Расчет_аналитики'!AK414-'19_Расчет_аналитики'!AK442)*IF('01_Вводные'!$B$239="Да",MeanMinAge07+'19_Расчет_аналитики'!AK560*SUMIF(ThresholdAge07,"&lt;"&amp;'19_Расчет_аналитики'!AK560,WeightedRevAge07)-SUMIF(ThresholdAge07,"&lt;"&amp;'19_Расчет_аналитики'!AK560,WeightedMinAge07),MAX(CapacityAge07*'01_Вводные'!$B$218*'19_Расчет_аналитики'!AK560,MeanMinAge07)))</f>
        <v/>
      </c>
      <c r="AL498">
        <f>IF(OR(('19_Расчет_аналитики'!AL414-'19_Расчет_аналитики'!AL442)=0,7&lt;='01_Вводные'!$B$297),0,('19_Расчет_аналитики'!AL414-'19_Расчет_аналитики'!AL442)*IF('01_Вводные'!$B$239="Да",MeanMinAge07+'19_Расчет_аналитики'!AL560*SUMIF(ThresholdAge07,"&lt;"&amp;'19_Расчет_аналитики'!AL560,WeightedRevAge07)-SUMIF(ThresholdAge07,"&lt;"&amp;'19_Расчет_аналитики'!AL560,WeightedMinAge07),MAX(CapacityAge07*'01_Вводные'!$B$218*'19_Расчет_аналитики'!AL560,MeanMinAge07)))</f>
        <v/>
      </c>
      <c r="AM498">
        <f>IF(OR(('19_Расчет_аналитики'!AM414-'19_Расчет_аналитики'!AM442)=0,7&lt;='01_Вводные'!$B$297),0,('19_Расчет_аналитики'!AM414-'19_Расчет_аналитики'!AM442)*IF('01_Вводные'!$B$239="Да",MeanMinAge07+'19_Расчет_аналитики'!AM560*SUMIF(ThresholdAge07,"&lt;"&amp;'19_Расчет_аналитики'!AM560,WeightedRevAge07)-SUMIF(ThresholdAge07,"&lt;"&amp;'19_Расчет_аналитики'!AM560,WeightedMinAge07),MAX(CapacityAge07*'01_Вводные'!$B$218*'19_Расчет_аналитики'!AM560,MeanMinAge07)))</f>
        <v/>
      </c>
      <c r="AN498">
        <f>IF(OR(('19_Расчет_аналитики'!AN414-'19_Расчет_аналитики'!AN442)=0,7&lt;='01_Вводные'!$B$297),0,('19_Расчет_аналитики'!AN414-'19_Расчет_аналитики'!AN442)*IF('01_Вводные'!$B$239="Да",MeanMinAge07+'19_Расчет_аналитики'!AN560*SUMIF(ThresholdAge07,"&lt;"&amp;'19_Расчет_аналитики'!AN560,WeightedRevAge07)-SUMIF(ThresholdAge07,"&lt;"&amp;'19_Расчет_аналитики'!AN560,WeightedMinAge07),MAX(CapacityAge07*'01_Вводные'!$B$218*'19_Расчет_аналитики'!AN560,MeanMinAge07)))</f>
        <v/>
      </c>
      <c r="AO498">
        <f>IF(OR(('19_Расчет_аналитики'!AO414-'19_Расчет_аналитики'!AO442)=0,7&lt;='01_Вводные'!$B$297),0,('19_Расчет_аналитики'!AO414-'19_Расчет_аналитики'!AO442)*IF('01_Вводные'!$B$239="Да",MeanMinAge07+'19_Расчет_аналитики'!AO560*SUMIF(ThresholdAge07,"&lt;"&amp;'19_Расчет_аналитики'!AO560,WeightedRevAge07)-SUMIF(ThresholdAge07,"&lt;"&amp;'19_Расчет_аналитики'!AO560,WeightedMinAge07),MAX(CapacityAge07*'01_Вводные'!$B$218*'19_Расчет_аналитики'!AO560,MeanMinAge07)))</f>
        <v/>
      </c>
      <c r="AP498">
        <f>IF(OR(('19_Расчет_аналитики'!AP414-'19_Расчет_аналитики'!AP442)=0,7&lt;='01_Вводные'!$B$297),0,('19_Расчет_аналитики'!AP414-'19_Расчет_аналитики'!AP442)*IF('01_Вводные'!$B$239="Да",MeanMinAge07+'19_Расчет_аналитики'!AP560*SUMIF(ThresholdAge07,"&lt;"&amp;'19_Расчет_аналитики'!AP560,WeightedRevAge07)-SUMIF(ThresholdAge07,"&lt;"&amp;'19_Расчет_аналитики'!AP560,WeightedMinAge07),MAX(CapacityAge07*'01_Вводные'!$B$218*'19_Расчет_аналитики'!AP560,MeanMinAge07)))</f>
        <v/>
      </c>
      <c r="AQ498">
        <f>IF(OR(('19_Расчет_аналитики'!AQ414-'19_Расчет_аналитики'!AQ442)=0,7&lt;='01_Вводные'!$B$297),0,('19_Расчет_аналитики'!AQ414-'19_Расчет_аналитики'!AQ442)*IF('01_Вводные'!$B$239="Да",MeanMinAge07+'19_Расчет_аналитики'!AQ560*SUMIF(ThresholdAge07,"&lt;"&amp;'19_Расчет_аналитики'!AQ560,WeightedRevAge07)-SUMIF(ThresholdAge07,"&lt;"&amp;'19_Расчет_аналитики'!AQ560,WeightedMinAge07),MAX(CapacityAge07*'01_Вводные'!$B$218*'19_Расчет_аналитики'!AQ560,MeanMinAge07)))</f>
        <v/>
      </c>
      <c r="AR498">
        <f>IF(OR(('19_Расчет_аналитики'!AR414-'19_Расчет_аналитики'!AR442)=0,7&lt;='01_Вводные'!$B$297),0,('19_Расчет_аналитики'!AR414-'19_Расчет_аналитики'!AR442)*IF('01_Вводные'!$B$239="Да",MeanMinAge07+'19_Расчет_аналитики'!AR560*SUMIF(ThresholdAge07,"&lt;"&amp;'19_Расчет_аналитики'!AR560,WeightedRevAge07)-SUMIF(ThresholdAge07,"&lt;"&amp;'19_Расчет_аналитики'!AR560,WeightedMinAge07),MAX(CapacityAge07*'01_Вводные'!$B$218*'19_Расчет_аналитики'!AR560,MeanMinAge07)))</f>
        <v/>
      </c>
      <c r="AS498">
        <f>IF(OR(('19_Расчет_аналитики'!AS414-'19_Расчет_аналитики'!AS442)=0,7&lt;='01_Вводные'!$B$297),0,('19_Расчет_аналитики'!AS414-'19_Расчет_аналитики'!AS442)*IF('01_Вводные'!$B$239="Да",MeanMinAge07+'19_Расчет_аналитики'!AS560*SUMIF(ThresholdAge07,"&lt;"&amp;'19_Расчет_аналитики'!AS560,WeightedRevAge07)-SUMIF(ThresholdAge07,"&lt;"&amp;'19_Расчет_аналитики'!AS560,WeightedMinAge07),MAX(CapacityAge07*'01_Вводные'!$B$218*'19_Расчет_аналитики'!AS560,MeanMinAge07)))</f>
        <v/>
      </c>
      <c r="AT498">
        <f>IF(OR(('19_Расчет_аналитики'!AT414-'19_Расчет_аналитики'!AT442)=0,7&lt;='01_Вводные'!$B$297),0,('19_Расчет_аналитики'!AT414-'19_Расчет_аналитики'!AT442)*IF('01_Вводные'!$B$239="Да",MeanMinAge07+'19_Расчет_аналитики'!AT560*SUMIF(ThresholdAge07,"&lt;"&amp;'19_Расчет_аналитики'!AT560,WeightedRevAge07)-SUMIF(ThresholdAge07,"&lt;"&amp;'19_Расчет_аналитики'!AT560,WeightedMinAge07),MAX(CapacityAge07*'01_Вводные'!$B$218*'19_Расчет_аналитики'!AT560,MeanMinAge07)))</f>
        <v/>
      </c>
      <c r="AU498">
        <f>IF(OR(('19_Расчет_аналитики'!AU414-'19_Расчет_аналитики'!AU442)=0,7&lt;='01_Вводные'!$B$297),0,('19_Расчет_аналитики'!AU414-'19_Расчет_аналитики'!AU442)*IF('01_Вводные'!$B$239="Да",MeanMinAge07+'19_Расчет_аналитики'!AU560*SUMIF(ThresholdAge07,"&lt;"&amp;'19_Расчет_аналитики'!AU560,WeightedRevAge07)-SUMIF(ThresholdAge07,"&lt;"&amp;'19_Расчет_аналитики'!AU560,WeightedMinAge07),MAX(CapacityAge07*'01_Вводные'!$B$218*'19_Расчет_аналитики'!AU560,MeanMinAge07)))</f>
        <v/>
      </c>
      <c r="AV498">
        <f>IF(OR(('19_Расчет_аналитики'!AV414-'19_Расчет_аналитики'!AV442)=0,7&lt;='01_Вводные'!$B$297),0,('19_Расчет_аналитики'!AV414-'19_Расчет_аналитики'!AV442)*IF('01_Вводные'!$B$239="Да",MeanMinAge07+'19_Расчет_аналитики'!AV560*SUMIF(ThresholdAge07,"&lt;"&amp;'19_Расчет_аналитики'!AV560,WeightedRevAge07)-SUMIF(ThresholdAge07,"&lt;"&amp;'19_Расчет_аналитики'!AV560,WeightedMinAge07),MAX(CapacityAge07*'01_Вводные'!$B$218*'19_Расчет_аналитики'!AV560,MeanMinAge07)))</f>
        <v/>
      </c>
      <c r="AW498">
        <f>IF(OR(('19_Расчет_аналитики'!AW414-'19_Расчет_аналитики'!AW442)=0,7&lt;='01_Вводные'!$B$297),0,('19_Расчет_аналитики'!AW414-'19_Расчет_аналитики'!AW442)*IF('01_Вводные'!$B$239="Да",MeanMinAge07+'19_Расчет_аналитики'!AW560*SUMIF(ThresholdAge07,"&lt;"&amp;'19_Расчет_аналитики'!AW560,WeightedRevAge07)-SUMIF(ThresholdAge07,"&lt;"&amp;'19_Расчет_аналитики'!AW560,WeightedMinAge07),MAX(CapacityAge07*'01_Вводные'!$B$218*'19_Расчет_аналитики'!AW560,MeanMinAge07)))</f>
        <v/>
      </c>
      <c r="AX498">
        <f>IF(OR(('19_Расчет_аналитики'!AX414-'19_Расчет_аналитики'!AX442)=0,7&lt;='01_Вводные'!$B$297),0,('19_Расчет_аналитики'!AX414-'19_Расчет_аналитики'!AX442)*IF('01_Вводные'!$B$239="Да",MeanMinAge07+'19_Расчет_аналитики'!AX560*SUMIF(ThresholdAge07,"&lt;"&amp;'19_Расчет_аналитики'!AX560,WeightedRevAge07)-SUMIF(ThresholdAge07,"&lt;"&amp;'19_Расчет_аналитики'!AX560,WeightedMinAge07),MAX(CapacityAge07*'01_Вводные'!$B$218*'19_Расчет_аналитики'!AX560,MeanMinAge07)))</f>
        <v/>
      </c>
      <c r="AY498">
        <f>IF(OR(('19_Расчет_аналитики'!AY414-'19_Расчет_аналитики'!AY442)=0,7&lt;='01_Вводные'!$B$297),0,('19_Расчет_аналитики'!AY414-'19_Расчет_аналитики'!AY442)*IF('01_Вводные'!$B$239="Да",MeanMinAge07+'19_Расчет_аналитики'!AY560*SUMIF(ThresholdAge07,"&lt;"&amp;'19_Расчет_аналитики'!AY560,WeightedRevAge07)-SUMIF(ThresholdAge07,"&lt;"&amp;'19_Расчет_аналитики'!AY560,WeightedMinAge07),MAX(CapacityAge07*'01_Вводные'!$B$218*'19_Расчет_аналитики'!AY560,MeanMinAge07)))</f>
        <v/>
      </c>
      <c r="AZ498">
        <f>IF(OR(('19_Расчет_аналитики'!AZ414-'19_Расчет_аналитики'!AZ442)=0,7&lt;='01_Вводные'!$B$297),0,('19_Расчет_аналитики'!AZ414-'19_Расчет_аналитики'!AZ442)*IF('01_Вводные'!$B$239="Да",MeanMinAge07+'19_Расчет_аналитики'!AZ560*SUMIF(ThresholdAge07,"&lt;"&amp;'19_Расчет_аналитики'!AZ560,WeightedRevAge07)-SUMIF(ThresholdAge07,"&lt;"&amp;'19_Расчет_аналитики'!AZ560,WeightedMinAge07),MAX(CapacityAge07*'01_Вводные'!$B$218*'19_Расчет_аналитики'!AZ560,MeanMinAge07)))</f>
        <v/>
      </c>
      <c r="BA498">
        <f>IF(OR(('19_Расчет_аналитики'!BA414-'19_Расчет_аналитики'!BA442)=0,7&lt;='01_Вводные'!$B$297),0,('19_Расчет_аналитики'!BA414-'19_Расчет_аналитики'!BA442)*IF('01_Вводные'!$B$239="Да",MeanMinAge07+'19_Расчет_аналитики'!BA560*SUMIF(ThresholdAge07,"&lt;"&amp;'19_Расчет_аналитики'!BA560,WeightedRevAge07)-SUMIF(ThresholdAge07,"&lt;"&amp;'19_Расчет_аналитики'!BA560,WeightedMinAge07),MAX(CapacityAge07*'01_Вводные'!$B$218*'19_Расчет_аналитики'!BA560,MeanMinAge07)))</f>
        <v/>
      </c>
      <c r="BB498">
        <f>IF(OR(('19_Расчет_аналитики'!BB414-'19_Расчет_аналитики'!BB442)=0,7&lt;='01_Вводные'!$B$297),0,('19_Расчет_аналитики'!BB414-'19_Расчет_аналитики'!BB442)*IF('01_Вводные'!$B$239="Да",MeanMinAge07+'19_Расчет_аналитики'!BB560*SUMIF(ThresholdAge07,"&lt;"&amp;'19_Расчет_аналитики'!BB560,WeightedRevAge07)-SUMIF(ThresholdAge07,"&lt;"&amp;'19_Расчет_аналитики'!BB560,WeightedMinAge07),MAX(CapacityAge07*'01_Вводные'!$B$218*'19_Расчет_аналитики'!BB560,MeanMinAge07)))</f>
        <v/>
      </c>
      <c r="BC498">
        <f>IF(OR(('19_Расчет_аналитики'!BC414-'19_Расчет_аналитики'!BC442)=0,7&lt;='01_Вводные'!$B$297),0,('19_Расчет_аналитики'!BC414-'19_Расчет_аналитики'!BC442)*IF('01_Вводные'!$B$239="Да",MeanMinAge07+'19_Расчет_аналитики'!BC560*SUMIF(ThresholdAge07,"&lt;"&amp;'19_Расчет_аналитики'!BC560,WeightedRevAge07)-SUMIF(ThresholdAge07,"&lt;"&amp;'19_Расчет_аналитики'!BC560,WeightedMinAge07),MAX(CapacityAge07*'01_Вводные'!$B$218*'19_Расчет_аналитики'!BC560,MeanMinAge07)))</f>
        <v/>
      </c>
      <c r="BD498">
        <f>IF(OR(('19_Расчет_аналитики'!BD414-'19_Расчет_аналитики'!BD442)=0,7&lt;='01_Вводные'!$B$297),0,('19_Расчет_аналитики'!BD414-'19_Расчет_аналитики'!BD442)*IF('01_Вводные'!$B$239="Да",MeanMinAge07+'19_Расчет_аналитики'!BD560*SUMIF(ThresholdAge07,"&lt;"&amp;'19_Расчет_аналитики'!BD560,WeightedRevAge07)-SUMIF(ThresholdAge07,"&lt;"&amp;'19_Расчет_аналитики'!BD560,WeightedMinAge07),MAX(CapacityAge07*'01_Вводные'!$B$218*'19_Расчет_аналитики'!BD560,MeanMinAge07)))</f>
        <v/>
      </c>
      <c r="BE498">
        <f>IF(OR(('19_Расчет_аналитики'!BE414-'19_Расчет_аналитики'!BE442)=0,7&lt;='01_Вводные'!$B$297),0,('19_Расчет_аналитики'!BE414-'19_Расчет_аналитики'!BE442)*IF('01_Вводные'!$B$239="Да",MeanMinAge07+'19_Расчет_аналитики'!BE560*SUMIF(ThresholdAge07,"&lt;"&amp;'19_Расчет_аналитики'!BE560,WeightedRevAge07)-SUMIF(ThresholdAge07,"&lt;"&amp;'19_Расчет_аналитики'!BE560,WeightedMinAge07),MAX(CapacityAge07*'01_Вводные'!$B$218*'19_Расчет_аналитики'!BE560,MeanMinAge07)))</f>
        <v/>
      </c>
      <c r="BF498">
        <f>IF(OR(('19_Расчет_аналитики'!BF414-'19_Расчет_аналитики'!BF442)=0,7&lt;='01_Вводные'!$B$297),0,('19_Расчет_аналитики'!BF414-'19_Расчет_аналитики'!BF442)*IF('01_Вводные'!$B$239="Да",MeanMinAge07+'19_Расчет_аналитики'!BF560*SUMIF(ThresholdAge07,"&lt;"&amp;'19_Расчет_аналитики'!BF560,WeightedRevAge07)-SUMIF(ThresholdAge07,"&lt;"&amp;'19_Расчет_аналитики'!BF560,WeightedMinAge07),MAX(CapacityAge07*'01_Вводные'!$B$218*'19_Расчет_аналитики'!BF560,MeanMinAge07)))</f>
        <v/>
      </c>
      <c r="BG498">
        <f>IF(OR(('19_Расчет_аналитики'!BG414-'19_Расчет_аналитики'!BG442)=0,7&lt;='01_Вводные'!$B$297),0,('19_Расчет_аналитики'!BG414-'19_Расчет_аналитики'!BG442)*IF('01_Вводные'!$B$239="Да",MeanMinAge07+'19_Расчет_аналитики'!BG560*SUMIF(ThresholdAge07,"&lt;"&amp;'19_Расчет_аналитики'!BG560,WeightedRevAge07)-SUMIF(ThresholdAge07,"&lt;"&amp;'19_Расчет_аналитики'!BG560,WeightedMinAge07),MAX(CapacityAge07*'01_Вводные'!$B$218*'19_Расчет_аналитики'!BG560,MeanMinAge07)))</f>
        <v/>
      </c>
      <c r="BH498">
        <f>IF(OR(('19_Расчет_аналитики'!BH414-'19_Расчет_аналитики'!BH442)=0,7&lt;='01_Вводные'!$B$297),0,('19_Расчет_аналитики'!BH414-'19_Расчет_аналитики'!BH442)*IF('01_Вводные'!$B$239="Да",MeanMinAge07+'19_Расчет_аналитики'!BH560*SUMIF(ThresholdAge07,"&lt;"&amp;'19_Расчет_аналитики'!BH560,WeightedRevAge07)-SUMIF(ThresholdAge07,"&lt;"&amp;'19_Расчет_аналитики'!BH560,WeightedMinAge07),MAX(CapacityAge07*'01_Вводные'!$B$218*'19_Расчет_аналитики'!BH560,MeanMinAge07)))</f>
        <v/>
      </c>
      <c r="BI498">
        <f>IF(OR(('19_Расчет_аналитики'!BI414-'19_Расчет_аналитики'!BI442)=0,7&lt;='01_Вводные'!$B$297),0,('19_Расчет_аналитики'!BI414-'19_Расчет_аналитики'!BI442)*IF('01_Вводные'!$B$239="Да",MeanMinAge07+'19_Расчет_аналитики'!BI560*SUMIF(ThresholdAge07,"&lt;"&amp;'19_Расчет_аналитики'!BI560,WeightedRevAge07)-SUMIF(ThresholdAge07,"&lt;"&amp;'19_Расчет_аналитики'!BI560,WeightedMinAge07),MAX(CapacityAge07*'01_Вводные'!$B$218*'19_Расчет_аналитики'!BI560,MeanMinAge07)))</f>
        <v/>
      </c>
      <c r="BJ498">
        <f>IF(OR(('19_Расчет_аналитики'!BJ414-'19_Расчет_аналитики'!BJ442)=0,7&lt;='01_Вводные'!$B$297),0,('19_Расчет_аналитики'!BJ414-'19_Расчет_аналитики'!BJ442)*IF('01_Вводные'!$B$239="Да",MeanMinAge07+'19_Расчет_аналитики'!BJ560*SUMIF(ThresholdAge07,"&lt;"&amp;'19_Расчет_аналитики'!BJ560,WeightedRevAge07)-SUMIF(ThresholdAge07,"&lt;"&amp;'19_Расчет_аналитики'!BJ560,WeightedMinAge07),MAX(CapacityAge07*'01_Вводные'!$B$218*'19_Расчет_аналитики'!BJ560,MeanMinAge07)))</f>
        <v/>
      </c>
      <c r="BK498">
        <f>IF(OR(('19_Расчет_аналитики'!BK414-'19_Расчет_аналитики'!BK442)=0,7&lt;='01_Вводные'!$B$297),0,('19_Расчет_аналитики'!BK414-'19_Расчет_аналитики'!BK442)*IF('01_Вводные'!$B$239="Да",MeanMinAge07+'19_Расчет_аналитики'!BK560*SUMIF(ThresholdAge07,"&lt;"&amp;'19_Расчет_аналитики'!BK560,WeightedRevAge07)-SUMIF(ThresholdAge07,"&lt;"&amp;'19_Расчет_аналитики'!BK560,WeightedMinAge07),MAX(CapacityAge07*'01_Вводные'!$B$218*'19_Расчет_аналитики'!BK560,MeanMinAge07)))</f>
        <v/>
      </c>
      <c r="BL498">
        <f>IF(OR(('19_Расчет_аналитики'!BL414-'19_Расчет_аналитики'!BL442)=0,7&lt;='01_Вводные'!$B$297),0,('19_Расчет_аналитики'!BL414-'19_Расчет_аналитики'!BL442)*IF('01_Вводные'!$B$239="Да",MeanMinAge07+'19_Расчет_аналитики'!BL560*SUMIF(ThresholdAge07,"&lt;"&amp;'19_Расчет_аналитики'!BL560,WeightedRevAge07)-SUMIF(ThresholdAge07,"&lt;"&amp;'19_Расчет_аналитики'!BL560,WeightedMinAge07),MAX(CapacityAge07*'01_Вводные'!$B$218*'19_Расчет_аналитики'!BL560,MeanMinAge07)))</f>
        <v/>
      </c>
      <c r="BM498">
        <f>IF(OR(('19_Расчет_аналитики'!BM414-'19_Расчет_аналитики'!BM442)=0,7&lt;='01_Вводные'!$B$297),0,('19_Расчет_аналитики'!BM414-'19_Расчет_аналитики'!BM442)*IF('01_Вводные'!$B$239="Да",MeanMinAge07+'19_Расчет_аналитики'!BM560*SUMIF(ThresholdAge07,"&lt;"&amp;'19_Расчет_аналитики'!BM560,WeightedRevAge07)-SUMIF(ThresholdAge07,"&lt;"&amp;'19_Расчет_аналитики'!BM560,WeightedMinAge07),MAX(CapacityAge07*'01_Вводные'!$B$218*'19_Расчет_аналитики'!BM560,MeanMinAge07)))</f>
        <v/>
      </c>
      <c r="BN498">
        <f>IF(OR(('19_Расчет_аналитики'!BN414-'19_Расчет_аналитики'!BN442)=0,7&lt;='01_Вводные'!$B$297),0,('19_Расчет_аналитики'!BN414-'19_Расчет_аналитики'!BN442)*IF('01_Вводные'!$B$239="Да",MeanMinAge07+'19_Расчет_аналитики'!BN560*SUMIF(ThresholdAge07,"&lt;"&amp;'19_Расчет_аналитики'!BN560,WeightedRevAge07)-SUMIF(ThresholdAge07,"&lt;"&amp;'19_Расчет_аналитики'!BN560,WeightedMinAge07),MAX(CapacityAge07*'01_Вводные'!$B$218*'19_Расчет_аналитики'!BN560,MeanMinAge07)))</f>
        <v/>
      </c>
      <c r="BO498">
        <f>IF(OR(('19_Расчет_аналитики'!BO414-'19_Расчет_аналитики'!BO442)=0,7&lt;='01_Вводные'!$B$297),0,('19_Расчет_аналитики'!BO414-'19_Расчет_аналитики'!BO442)*IF('01_Вводные'!$B$239="Да",MeanMinAge07+'19_Расчет_аналитики'!BO560*SUMIF(ThresholdAge07,"&lt;"&amp;'19_Расчет_аналитики'!BO560,WeightedRevAge07)-SUMIF(ThresholdAge07,"&lt;"&amp;'19_Расчет_аналитики'!BO560,WeightedMinAge07),MAX(CapacityAge07*'01_Вводные'!$B$218*'19_Расчет_аналитики'!BO560,MeanMinAge07)))</f>
        <v/>
      </c>
    </row>
    <row r="499">
      <c r="B499">
        <f>IF(OR(('06_Сеть_и_дети'!B60-'06_Сеть_и_дети'!B88)=0,8&lt;='01_Вводные'!$B$297),0,('06_Сеть_и_дети'!B60-'06_Сеть_и_дети'!B88)*IF('01_Вводные'!$B$239="Да",MeanMinAge08+'19_Расчет_аналитики'!B560*SUMIF(ThresholdAge08,"&lt;"&amp;'19_Расчет_аналитики'!B560,WeightedRevAge08)-SUMIF(ThresholdAge08,"&lt;"&amp;'19_Расчет_аналитики'!B560,WeightedMinAge08),MAX(CapacityAge08*'01_Вводные'!$B$218*'19_Расчет_аналитики'!B560,MeanMinAge08)))</f>
        <v/>
      </c>
      <c r="C499">
        <f>IF(OR(('06_Сеть_и_дети'!C60-'06_Сеть_и_дети'!C88)=0,8&lt;='01_Вводные'!$B$297),0,('06_Сеть_и_дети'!C60-'06_Сеть_и_дети'!C88)*IF('01_Вводные'!$B$239="Да",MeanMinAge08+'19_Расчет_аналитики'!C560*SUMIF(ThresholdAge08,"&lt;"&amp;'19_Расчет_аналитики'!C560,WeightedRevAge08)-SUMIF(ThresholdAge08,"&lt;"&amp;'19_Расчет_аналитики'!C560,WeightedMinAge08),MAX(CapacityAge08*'01_Вводные'!$B$218*'19_Расчет_аналитики'!C560,MeanMinAge08)))</f>
        <v/>
      </c>
      <c r="D499">
        <f>IF(OR(('06_Сеть_и_дети'!D60-'06_Сеть_и_дети'!D88)=0,8&lt;='01_Вводные'!$B$297),0,('06_Сеть_и_дети'!D60-'06_Сеть_и_дети'!D88)*IF('01_Вводные'!$B$239="Да",MeanMinAge08+'19_Расчет_аналитики'!D560*SUMIF(ThresholdAge08,"&lt;"&amp;'19_Расчет_аналитики'!D560,WeightedRevAge08)-SUMIF(ThresholdAge08,"&lt;"&amp;'19_Расчет_аналитики'!D560,WeightedMinAge08),MAX(CapacityAge08*'01_Вводные'!$B$218*'19_Расчет_аналитики'!D560,MeanMinAge08)))</f>
        <v/>
      </c>
      <c r="E499">
        <f>IF(OR(('06_Сеть_и_дети'!E60-'06_Сеть_и_дети'!E88)=0,8&lt;='01_Вводные'!$B$297),0,('06_Сеть_и_дети'!E60-'06_Сеть_и_дети'!E88)*IF('01_Вводные'!$B$239="Да",MeanMinAge08+'19_Расчет_аналитики'!E560*SUMIF(ThresholdAge08,"&lt;"&amp;'19_Расчет_аналитики'!E560,WeightedRevAge08)-SUMIF(ThresholdAge08,"&lt;"&amp;'19_Расчет_аналитики'!E560,WeightedMinAge08),MAX(CapacityAge08*'01_Вводные'!$B$218*'19_Расчет_аналитики'!E560,MeanMinAge08)))</f>
        <v/>
      </c>
      <c r="F499">
        <f>IF(OR(('06_Сеть_и_дети'!F60-'06_Сеть_и_дети'!F88)=0,8&lt;='01_Вводные'!$B$297),0,('06_Сеть_и_дети'!F60-'06_Сеть_и_дети'!F88)*IF('01_Вводные'!$B$239="Да",MeanMinAge08+'19_Расчет_аналитики'!F560*SUMIF(ThresholdAge08,"&lt;"&amp;'19_Расчет_аналитики'!F560,WeightedRevAge08)-SUMIF(ThresholdAge08,"&lt;"&amp;'19_Расчет_аналитики'!F560,WeightedMinAge08),MAX(CapacityAge08*'01_Вводные'!$B$218*'19_Расчет_аналитики'!F560,MeanMinAge08)))</f>
        <v/>
      </c>
      <c r="G499">
        <f>IF(OR(('06_Сеть_и_дети'!G60-'06_Сеть_и_дети'!G88)=0,8&lt;='01_Вводные'!$B$297),0,('06_Сеть_и_дети'!G60-'06_Сеть_и_дети'!G88)*IF('01_Вводные'!$B$239="Да",MeanMinAge08+'19_Расчет_аналитики'!G560*SUMIF(ThresholdAge08,"&lt;"&amp;'19_Расчет_аналитики'!G560,WeightedRevAge08)-SUMIF(ThresholdAge08,"&lt;"&amp;'19_Расчет_аналитики'!G560,WeightedMinAge08),MAX(CapacityAge08*'01_Вводные'!$B$218*'19_Расчет_аналитики'!G560,MeanMinAge08)))</f>
        <v/>
      </c>
      <c r="H499">
        <f>IF(OR(('06_Сеть_и_дети'!H60-'06_Сеть_и_дети'!H88)=0,8&lt;='01_Вводные'!$B$297),0,('06_Сеть_и_дети'!H60-'06_Сеть_и_дети'!H88)*IF('01_Вводные'!$B$239="Да",MeanMinAge08+'19_Расчет_аналитики'!H560*SUMIF(ThresholdAge08,"&lt;"&amp;'19_Расчет_аналитики'!H560,WeightedRevAge08)-SUMIF(ThresholdAge08,"&lt;"&amp;'19_Расчет_аналитики'!H560,WeightedMinAge08),MAX(CapacityAge08*'01_Вводные'!$B$218*'19_Расчет_аналитики'!H560,MeanMinAge08)))</f>
        <v/>
      </c>
      <c r="I499">
        <f>IF(OR(('19_Расчет_аналитики'!I415-'19_Расчет_аналитики'!I443)=0,8&lt;='01_Вводные'!$B$297),0,('19_Расчет_аналитики'!I415-'19_Расчет_аналитики'!I443)*IF('01_Вводные'!$B$239="Да",MeanMinAge08+'19_Расчет_аналитики'!I560*SUMIF(ThresholdAge08,"&lt;"&amp;'19_Расчет_аналитики'!I560,WeightedRevAge08)-SUMIF(ThresholdAge08,"&lt;"&amp;'19_Расчет_аналитики'!I560,WeightedMinAge08),MAX(CapacityAge08*'01_Вводные'!$B$218*'19_Расчет_аналитики'!I560,MeanMinAge08)))</f>
        <v/>
      </c>
      <c r="J499">
        <f>IF(OR(('19_Расчет_аналитики'!J415-'19_Расчет_аналитики'!J443)=0,8&lt;='01_Вводные'!$B$297),0,('19_Расчет_аналитики'!J415-'19_Расчет_аналитики'!J443)*IF('01_Вводные'!$B$239="Да",MeanMinAge08+'19_Расчет_аналитики'!J560*SUMIF(ThresholdAge08,"&lt;"&amp;'19_Расчет_аналитики'!J560,WeightedRevAge08)-SUMIF(ThresholdAge08,"&lt;"&amp;'19_Расчет_аналитики'!J560,WeightedMinAge08),MAX(CapacityAge08*'01_Вводные'!$B$218*'19_Расчет_аналитики'!J560,MeanMinAge08)))</f>
        <v/>
      </c>
      <c r="K499">
        <f>IF(OR(('19_Расчет_аналитики'!K415-'19_Расчет_аналитики'!K443)=0,8&lt;='01_Вводные'!$B$297),0,('19_Расчет_аналитики'!K415-'19_Расчет_аналитики'!K443)*IF('01_Вводные'!$B$239="Да",MeanMinAge08+'19_Расчет_аналитики'!K560*SUMIF(ThresholdAge08,"&lt;"&amp;'19_Расчет_аналитики'!K560,WeightedRevAge08)-SUMIF(ThresholdAge08,"&lt;"&amp;'19_Расчет_аналитики'!K560,WeightedMinAge08),MAX(CapacityAge08*'01_Вводные'!$B$218*'19_Расчет_аналитики'!K560,MeanMinAge08)))</f>
        <v/>
      </c>
      <c r="L499">
        <f>IF(OR(('19_Расчет_аналитики'!L415-'19_Расчет_аналитики'!L443)=0,8&lt;='01_Вводные'!$B$297),0,('19_Расчет_аналитики'!L415-'19_Расчет_аналитики'!L443)*IF('01_Вводные'!$B$239="Да",MeanMinAge08+'19_Расчет_аналитики'!L560*SUMIF(ThresholdAge08,"&lt;"&amp;'19_Расчет_аналитики'!L560,WeightedRevAge08)-SUMIF(ThresholdAge08,"&lt;"&amp;'19_Расчет_аналитики'!L560,WeightedMinAge08),MAX(CapacityAge08*'01_Вводные'!$B$218*'19_Расчет_аналитики'!L560,MeanMinAge08)))</f>
        <v/>
      </c>
      <c r="M499">
        <f>IF(OR(('19_Расчет_аналитики'!M415-'19_Расчет_аналитики'!M443)=0,8&lt;='01_Вводные'!$B$297),0,('19_Расчет_аналитики'!M415-'19_Расчет_аналитики'!M443)*IF('01_Вводные'!$B$239="Да",MeanMinAge08+'19_Расчет_аналитики'!M560*SUMIF(ThresholdAge08,"&lt;"&amp;'19_Расчет_аналитики'!M560,WeightedRevAge08)-SUMIF(ThresholdAge08,"&lt;"&amp;'19_Расчет_аналитики'!M560,WeightedMinAge08),MAX(CapacityAge08*'01_Вводные'!$B$218*'19_Расчет_аналитики'!M560,MeanMinAge08)))</f>
        <v/>
      </c>
      <c r="N499">
        <f>IF(OR(('19_Расчет_аналитики'!N415-'19_Расчет_аналитики'!N443)=0,8&lt;='01_Вводные'!$B$297),0,('19_Расчет_аналитики'!N415-'19_Расчет_аналитики'!N443)*IF('01_Вводные'!$B$239="Да",MeanMinAge08+'19_Расчет_аналитики'!N560*SUMIF(ThresholdAge08,"&lt;"&amp;'19_Расчет_аналитики'!N560,WeightedRevAge08)-SUMIF(ThresholdAge08,"&lt;"&amp;'19_Расчет_аналитики'!N560,WeightedMinAge08),MAX(CapacityAge08*'01_Вводные'!$B$218*'19_Расчет_аналитики'!N560,MeanMinAge08)))</f>
        <v/>
      </c>
      <c r="O499">
        <f>IF(OR(('19_Расчет_аналитики'!O415-'19_Расчет_аналитики'!O443)=0,8&lt;='01_Вводные'!$B$297),0,('19_Расчет_аналитики'!O415-'19_Расчет_аналитики'!O443)*IF('01_Вводные'!$B$239="Да",MeanMinAge08+'19_Расчет_аналитики'!O560*SUMIF(ThresholdAge08,"&lt;"&amp;'19_Расчет_аналитики'!O560,WeightedRevAge08)-SUMIF(ThresholdAge08,"&lt;"&amp;'19_Расчет_аналитики'!O560,WeightedMinAge08),MAX(CapacityAge08*'01_Вводные'!$B$218*'19_Расчет_аналитики'!O560,MeanMinAge08)))</f>
        <v/>
      </c>
      <c r="P499">
        <f>IF(OR(('19_Расчет_аналитики'!P415-'19_Расчет_аналитики'!P443)=0,8&lt;='01_Вводные'!$B$297),0,('19_Расчет_аналитики'!P415-'19_Расчет_аналитики'!P443)*IF('01_Вводные'!$B$239="Да",MeanMinAge08+'19_Расчет_аналитики'!P560*SUMIF(ThresholdAge08,"&lt;"&amp;'19_Расчет_аналитики'!P560,WeightedRevAge08)-SUMIF(ThresholdAge08,"&lt;"&amp;'19_Расчет_аналитики'!P560,WeightedMinAge08),MAX(CapacityAge08*'01_Вводные'!$B$218*'19_Расчет_аналитики'!P560,MeanMinAge08)))</f>
        <v/>
      </c>
      <c r="Q499">
        <f>IF(OR(('19_Расчет_аналитики'!Q415-'19_Расчет_аналитики'!Q443)=0,8&lt;='01_Вводные'!$B$297),0,('19_Расчет_аналитики'!Q415-'19_Расчет_аналитики'!Q443)*IF('01_Вводные'!$B$239="Да",MeanMinAge08+'19_Расчет_аналитики'!Q560*SUMIF(ThresholdAge08,"&lt;"&amp;'19_Расчет_аналитики'!Q560,WeightedRevAge08)-SUMIF(ThresholdAge08,"&lt;"&amp;'19_Расчет_аналитики'!Q560,WeightedMinAge08),MAX(CapacityAge08*'01_Вводные'!$B$218*'19_Расчет_аналитики'!Q560,MeanMinAge08)))</f>
        <v/>
      </c>
      <c r="R499">
        <f>IF(OR(('19_Расчет_аналитики'!R415-'19_Расчет_аналитики'!R443)=0,8&lt;='01_Вводные'!$B$297),0,('19_Расчет_аналитики'!R415-'19_Расчет_аналитики'!R443)*IF('01_Вводные'!$B$239="Да",MeanMinAge08+'19_Расчет_аналитики'!R560*SUMIF(ThresholdAge08,"&lt;"&amp;'19_Расчет_аналитики'!R560,WeightedRevAge08)-SUMIF(ThresholdAge08,"&lt;"&amp;'19_Расчет_аналитики'!R560,WeightedMinAge08),MAX(CapacityAge08*'01_Вводные'!$B$218*'19_Расчет_аналитики'!R560,MeanMinAge08)))</f>
        <v/>
      </c>
      <c r="S499">
        <f>IF(OR(('19_Расчет_аналитики'!S415-'19_Расчет_аналитики'!S443)=0,8&lt;='01_Вводные'!$B$297),0,('19_Расчет_аналитики'!S415-'19_Расчет_аналитики'!S443)*IF('01_Вводные'!$B$239="Да",MeanMinAge08+'19_Расчет_аналитики'!S560*SUMIF(ThresholdAge08,"&lt;"&amp;'19_Расчет_аналитики'!S560,WeightedRevAge08)-SUMIF(ThresholdAge08,"&lt;"&amp;'19_Расчет_аналитики'!S560,WeightedMinAge08),MAX(CapacityAge08*'01_Вводные'!$B$218*'19_Расчет_аналитики'!S560,MeanMinAge08)))</f>
        <v/>
      </c>
      <c r="T499">
        <f>IF(OR(('19_Расчет_аналитики'!T415-'19_Расчет_аналитики'!T443)=0,8&lt;='01_Вводные'!$B$297),0,('19_Расчет_аналитики'!T415-'19_Расчет_аналитики'!T443)*IF('01_Вводные'!$B$239="Да",MeanMinAge08+'19_Расчет_аналитики'!T560*SUMIF(ThresholdAge08,"&lt;"&amp;'19_Расчет_аналитики'!T560,WeightedRevAge08)-SUMIF(ThresholdAge08,"&lt;"&amp;'19_Расчет_аналитики'!T560,WeightedMinAge08),MAX(CapacityAge08*'01_Вводные'!$B$218*'19_Расчет_аналитики'!T560,MeanMinAge08)))</f>
        <v/>
      </c>
      <c r="U499">
        <f>IF(OR(('19_Расчет_аналитики'!U415-'19_Расчет_аналитики'!U443)=0,8&lt;='01_Вводные'!$B$297),0,('19_Расчет_аналитики'!U415-'19_Расчет_аналитики'!U443)*IF('01_Вводные'!$B$239="Да",MeanMinAge08+'19_Расчет_аналитики'!U560*SUMIF(ThresholdAge08,"&lt;"&amp;'19_Расчет_аналитики'!U560,WeightedRevAge08)-SUMIF(ThresholdAge08,"&lt;"&amp;'19_Расчет_аналитики'!U560,WeightedMinAge08),MAX(CapacityAge08*'01_Вводные'!$B$218*'19_Расчет_аналитики'!U560,MeanMinAge08)))</f>
        <v/>
      </c>
      <c r="V499">
        <f>IF(OR(('19_Расчет_аналитики'!V415-'19_Расчет_аналитики'!V443)=0,8&lt;='01_Вводные'!$B$297),0,('19_Расчет_аналитики'!V415-'19_Расчет_аналитики'!V443)*IF('01_Вводные'!$B$239="Да",MeanMinAge08+'19_Расчет_аналитики'!V560*SUMIF(ThresholdAge08,"&lt;"&amp;'19_Расчет_аналитики'!V560,WeightedRevAge08)-SUMIF(ThresholdAge08,"&lt;"&amp;'19_Расчет_аналитики'!V560,WeightedMinAge08),MAX(CapacityAge08*'01_Вводные'!$B$218*'19_Расчет_аналитики'!V560,MeanMinAge08)))</f>
        <v/>
      </c>
      <c r="W499">
        <f>IF(OR(('19_Расчет_аналитики'!W415-'19_Расчет_аналитики'!W443)=0,8&lt;='01_Вводные'!$B$297),0,('19_Расчет_аналитики'!W415-'19_Расчет_аналитики'!W443)*IF('01_Вводные'!$B$239="Да",MeanMinAge08+'19_Расчет_аналитики'!W560*SUMIF(ThresholdAge08,"&lt;"&amp;'19_Расчет_аналитики'!W560,WeightedRevAge08)-SUMIF(ThresholdAge08,"&lt;"&amp;'19_Расчет_аналитики'!W560,WeightedMinAge08),MAX(CapacityAge08*'01_Вводные'!$B$218*'19_Расчет_аналитики'!W560,MeanMinAge08)))</f>
        <v/>
      </c>
      <c r="X499">
        <f>IF(OR(('19_Расчет_аналитики'!X415-'19_Расчет_аналитики'!X443)=0,8&lt;='01_Вводные'!$B$297),0,('19_Расчет_аналитики'!X415-'19_Расчет_аналитики'!X443)*IF('01_Вводные'!$B$239="Да",MeanMinAge08+'19_Расчет_аналитики'!X560*SUMIF(ThresholdAge08,"&lt;"&amp;'19_Расчет_аналитики'!X560,WeightedRevAge08)-SUMIF(ThresholdAge08,"&lt;"&amp;'19_Расчет_аналитики'!X560,WeightedMinAge08),MAX(CapacityAge08*'01_Вводные'!$B$218*'19_Расчет_аналитики'!X560,MeanMinAge08)))</f>
        <v/>
      </c>
      <c r="Y499">
        <f>IF(OR(('19_Расчет_аналитики'!Y415-'19_Расчет_аналитики'!Y443)=0,8&lt;='01_Вводные'!$B$297),0,('19_Расчет_аналитики'!Y415-'19_Расчет_аналитики'!Y443)*IF('01_Вводные'!$B$239="Да",MeanMinAge08+'19_Расчет_аналитики'!Y560*SUMIF(ThresholdAge08,"&lt;"&amp;'19_Расчет_аналитики'!Y560,WeightedRevAge08)-SUMIF(ThresholdAge08,"&lt;"&amp;'19_Расчет_аналитики'!Y560,WeightedMinAge08),MAX(CapacityAge08*'01_Вводные'!$B$218*'19_Расчет_аналитики'!Y560,MeanMinAge08)))</f>
        <v/>
      </c>
      <c r="Z499">
        <f>IF(OR(('19_Расчет_аналитики'!Z415-'19_Расчет_аналитики'!Z443)=0,8&lt;='01_Вводные'!$B$297),0,('19_Расчет_аналитики'!Z415-'19_Расчет_аналитики'!Z443)*IF('01_Вводные'!$B$239="Да",MeanMinAge08+'19_Расчет_аналитики'!Z560*SUMIF(ThresholdAge08,"&lt;"&amp;'19_Расчет_аналитики'!Z560,WeightedRevAge08)-SUMIF(ThresholdAge08,"&lt;"&amp;'19_Расчет_аналитики'!Z560,WeightedMinAge08),MAX(CapacityAge08*'01_Вводные'!$B$218*'19_Расчет_аналитики'!Z560,MeanMinAge08)))</f>
        <v/>
      </c>
      <c r="AA499">
        <f>IF(OR(('19_Расчет_аналитики'!AA415-'19_Расчет_аналитики'!AA443)=0,8&lt;='01_Вводные'!$B$297),0,('19_Расчет_аналитики'!AA415-'19_Расчет_аналитики'!AA443)*IF('01_Вводные'!$B$239="Да",MeanMinAge08+'19_Расчет_аналитики'!AA560*SUMIF(ThresholdAge08,"&lt;"&amp;'19_Расчет_аналитики'!AA560,WeightedRevAge08)-SUMIF(ThresholdAge08,"&lt;"&amp;'19_Расчет_аналитики'!AA560,WeightedMinAge08),MAX(CapacityAge08*'01_Вводные'!$B$218*'19_Расчет_аналитики'!AA560,MeanMinAge08)))</f>
        <v/>
      </c>
      <c r="AB499">
        <f>IF(OR(('19_Расчет_аналитики'!AB415-'19_Расчет_аналитики'!AB443)=0,8&lt;='01_Вводные'!$B$297),0,('19_Расчет_аналитики'!AB415-'19_Расчет_аналитики'!AB443)*IF('01_Вводные'!$B$239="Да",MeanMinAge08+'19_Расчет_аналитики'!AB560*SUMIF(ThresholdAge08,"&lt;"&amp;'19_Расчет_аналитики'!AB560,WeightedRevAge08)-SUMIF(ThresholdAge08,"&lt;"&amp;'19_Расчет_аналитики'!AB560,WeightedMinAge08),MAX(CapacityAge08*'01_Вводные'!$B$218*'19_Расчет_аналитики'!AB560,MeanMinAge08)))</f>
        <v/>
      </c>
      <c r="AC499">
        <f>IF(OR(('19_Расчет_аналитики'!AC415-'19_Расчет_аналитики'!AC443)=0,8&lt;='01_Вводные'!$B$297),0,('19_Расчет_аналитики'!AC415-'19_Расчет_аналитики'!AC443)*IF('01_Вводные'!$B$239="Да",MeanMinAge08+'19_Расчет_аналитики'!AC560*SUMIF(ThresholdAge08,"&lt;"&amp;'19_Расчет_аналитики'!AC560,WeightedRevAge08)-SUMIF(ThresholdAge08,"&lt;"&amp;'19_Расчет_аналитики'!AC560,WeightedMinAge08),MAX(CapacityAge08*'01_Вводные'!$B$218*'19_Расчет_аналитики'!AC560,MeanMinAge08)))</f>
        <v/>
      </c>
      <c r="AD499">
        <f>IF(OR(('19_Расчет_аналитики'!AD415-'19_Расчет_аналитики'!AD443)=0,8&lt;='01_Вводные'!$B$297),0,('19_Расчет_аналитики'!AD415-'19_Расчет_аналитики'!AD443)*IF('01_Вводные'!$B$239="Да",MeanMinAge08+'19_Расчет_аналитики'!AD560*SUMIF(ThresholdAge08,"&lt;"&amp;'19_Расчет_аналитики'!AD560,WeightedRevAge08)-SUMIF(ThresholdAge08,"&lt;"&amp;'19_Расчет_аналитики'!AD560,WeightedMinAge08),MAX(CapacityAge08*'01_Вводные'!$B$218*'19_Расчет_аналитики'!AD560,MeanMinAge08)))</f>
        <v/>
      </c>
      <c r="AE499">
        <f>IF(OR(('19_Расчет_аналитики'!AE415-'19_Расчет_аналитики'!AE443)=0,8&lt;='01_Вводные'!$B$297),0,('19_Расчет_аналитики'!AE415-'19_Расчет_аналитики'!AE443)*IF('01_Вводные'!$B$239="Да",MeanMinAge08+'19_Расчет_аналитики'!AE560*SUMIF(ThresholdAge08,"&lt;"&amp;'19_Расчет_аналитики'!AE560,WeightedRevAge08)-SUMIF(ThresholdAge08,"&lt;"&amp;'19_Расчет_аналитики'!AE560,WeightedMinAge08),MAX(CapacityAge08*'01_Вводные'!$B$218*'19_Расчет_аналитики'!AE560,MeanMinAge08)))</f>
        <v/>
      </c>
      <c r="AF499">
        <f>IF(OR(('19_Расчет_аналитики'!AF415-'19_Расчет_аналитики'!AF443)=0,8&lt;='01_Вводные'!$B$297),0,('19_Расчет_аналитики'!AF415-'19_Расчет_аналитики'!AF443)*IF('01_Вводные'!$B$239="Да",MeanMinAge08+'19_Расчет_аналитики'!AF560*SUMIF(ThresholdAge08,"&lt;"&amp;'19_Расчет_аналитики'!AF560,WeightedRevAge08)-SUMIF(ThresholdAge08,"&lt;"&amp;'19_Расчет_аналитики'!AF560,WeightedMinAge08),MAX(CapacityAge08*'01_Вводные'!$B$218*'19_Расчет_аналитики'!AF560,MeanMinAge08)))</f>
        <v/>
      </c>
      <c r="AG499">
        <f>IF(OR(('19_Расчет_аналитики'!AG415-'19_Расчет_аналитики'!AG443)=0,8&lt;='01_Вводные'!$B$297),0,('19_Расчет_аналитики'!AG415-'19_Расчет_аналитики'!AG443)*IF('01_Вводные'!$B$239="Да",MeanMinAge08+'19_Расчет_аналитики'!AG560*SUMIF(ThresholdAge08,"&lt;"&amp;'19_Расчет_аналитики'!AG560,WeightedRevAge08)-SUMIF(ThresholdAge08,"&lt;"&amp;'19_Расчет_аналитики'!AG560,WeightedMinAge08),MAX(CapacityAge08*'01_Вводные'!$B$218*'19_Расчет_аналитики'!AG560,MeanMinAge08)))</f>
        <v/>
      </c>
      <c r="AH499">
        <f>IF(OR(('19_Расчет_аналитики'!AH415-'19_Расчет_аналитики'!AH443)=0,8&lt;='01_Вводные'!$B$297),0,('19_Расчет_аналитики'!AH415-'19_Расчет_аналитики'!AH443)*IF('01_Вводные'!$B$239="Да",MeanMinAge08+'19_Расчет_аналитики'!AH560*SUMIF(ThresholdAge08,"&lt;"&amp;'19_Расчет_аналитики'!AH560,WeightedRevAge08)-SUMIF(ThresholdAge08,"&lt;"&amp;'19_Расчет_аналитики'!AH560,WeightedMinAge08),MAX(CapacityAge08*'01_Вводные'!$B$218*'19_Расчет_аналитики'!AH560,MeanMinAge08)))</f>
        <v/>
      </c>
      <c r="AI499">
        <f>IF(OR(('19_Расчет_аналитики'!AI415-'19_Расчет_аналитики'!AI443)=0,8&lt;='01_Вводные'!$B$297),0,('19_Расчет_аналитики'!AI415-'19_Расчет_аналитики'!AI443)*IF('01_Вводные'!$B$239="Да",MeanMinAge08+'19_Расчет_аналитики'!AI560*SUMIF(ThresholdAge08,"&lt;"&amp;'19_Расчет_аналитики'!AI560,WeightedRevAge08)-SUMIF(ThresholdAge08,"&lt;"&amp;'19_Расчет_аналитики'!AI560,WeightedMinAge08),MAX(CapacityAge08*'01_Вводные'!$B$218*'19_Расчет_аналитики'!AI560,MeanMinAge08)))</f>
        <v/>
      </c>
      <c r="AJ499">
        <f>IF(OR(('19_Расчет_аналитики'!AJ415-'19_Расчет_аналитики'!AJ443)=0,8&lt;='01_Вводные'!$B$297),0,('19_Расчет_аналитики'!AJ415-'19_Расчет_аналитики'!AJ443)*IF('01_Вводные'!$B$239="Да",MeanMinAge08+'19_Расчет_аналитики'!AJ560*SUMIF(ThresholdAge08,"&lt;"&amp;'19_Расчет_аналитики'!AJ560,WeightedRevAge08)-SUMIF(ThresholdAge08,"&lt;"&amp;'19_Расчет_аналитики'!AJ560,WeightedMinAge08),MAX(CapacityAge08*'01_Вводные'!$B$218*'19_Расчет_аналитики'!AJ560,MeanMinAge08)))</f>
        <v/>
      </c>
      <c r="AK499">
        <f>IF(OR(('19_Расчет_аналитики'!AK415-'19_Расчет_аналитики'!AK443)=0,8&lt;='01_Вводные'!$B$297),0,('19_Расчет_аналитики'!AK415-'19_Расчет_аналитики'!AK443)*IF('01_Вводные'!$B$239="Да",MeanMinAge08+'19_Расчет_аналитики'!AK560*SUMIF(ThresholdAge08,"&lt;"&amp;'19_Расчет_аналитики'!AK560,WeightedRevAge08)-SUMIF(ThresholdAge08,"&lt;"&amp;'19_Расчет_аналитики'!AK560,WeightedMinAge08),MAX(CapacityAge08*'01_Вводные'!$B$218*'19_Расчет_аналитики'!AK560,MeanMinAge08)))</f>
        <v/>
      </c>
      <c r="AL499">
        <f>IF(OR(('19_Расчет_аналитики'!AL415-'19_Расчет_аналитики'!AL443)=0,8&lt;='01_Вводные'!$B$297),0,('19_Расчет_аналитики'!AL415-'19_Расчет_аналитики'!AL443)*IF('01_Вводные'!$B$239="Да",MeanMinAge08+'19_Расчет_аналитики'!AL560*SUMIF(ThresholdAge08,"&lt;"&amp;'19_Расчет_аналитики'!AL560,WeightedRevAge08)-SUMIF(ThresholdAge08,"&lt;"&amp;'19_Расчет_аналитики'!AL560,WeightedMinAge08),MAX(CapacityAge08*'01_Вводные'!$B$218*'19_Расчет_аналитики'!AL560,MeanMinAge08)))</f>
        <v/>
      </c>
      <c r="AM499">
        <f>IF(OR(('19_Расчет_аналитики'!AM415-'19_Расчет_аналитики'!AM443)=0,8&lt;='01_Вводные'!$B$297),0,('19_Расчет_аналитики'!AM415-'19_Расчет_аналитики'!AM443)*IF('01_Вводные'!$B$239="Да",MeanMinAge08+'19_Расчет_аналитики'!AM560*SUMIF(ThresholdAge08,"&lt;"&amp;'19_Расчет_аналитики'!AM560,WeightedRevAge08)-SUMIF(ThresholdAge08,"&lt;"&amp;'19_Расчет_аналитики'!AM560,WeightedMinAge08),MAX(CapacityAge08*'01_Вводные'!$B$218*'19_Расчет_аналитики'!AM560,MeanMinAge08)))</f>
        <v/>
      </c>
      <c r="AN499">
        <f>IF(OR(('19_Расчет_аналитики'!AN415-'19_Расчет_аналитики'!AN443)=0,8&lt;='01_Вводные'!$B$297),0,('19_Расчет_аналитики'!AN415-'19_Расчет_аналитики'!AN443)*IF('01_Вводные'!$B$239="Да",MeanMinAge08+'19_Расчет_аналитики'!AN560*SUMIF(ThresholdAge08,"&lt;"&amp;'19_Расчет_аналитики'!AN560,WeightedRevAge08)-SUMIF(ThresholdAge08,"&lt;"&amp;'19_Расчет_аналитики'!AN560,WeightedMinAge08),MAX(CapacityAge08*'01_Вводные'!$B$218*'19_Расчет_аналитики'!AN560,MeanMinAge08)))</f>
        <v/>
      </c>
      <c r="AO499">
        <f>IF(OR(('19_Расчет_аналитики'!AO415-'19_Расчет_аналитики'!AO443)=0,8&lt;='01_Вводные'!$B$297),0,('19_Расчет_аналитики'!AO415-'19_Расчет_аналитики'!AO443)*IF('01_Вводные'!$B$239="Да",MeanMinAge08+'19_Расчет_аналитики'!AO560*SUMIF(ThresholdAge08,"&lt;"&amp;'19_Расчет_аналитики'!AO560,WeightedRevAge08)-SUMIF(ThresholdAge08,"&lt;"&amp;'19_Расчет_аналитики'!AO560,WeightedMinAge08),MAX(CapacityAge08*'01_Вводные'!$B$218*'19_Расчет_аналитики'!AO560,MeanMinAge08)))</f>
        <v/>
      </c>
      <c r="AP499">
        <f>IF(OR(('19_Расчет_аналитики'!AP415-'19_Расчет_аналитики'!AP443)=0,8&lt;='01_Вводные'!$B$297),0,('19_Расчет_аналитики'!AP415-'19_Расчет_аналитики'!AP443)*IF('01_Вводные'!$B$239="Да",MeanMinAge08+'19_Расчет_аналитики'!AP560*SUMIF(ThresholdAge08,"&lt;"&amp;'19_Расчет_аналитики'!AP560,WeightedRevAge08)-SUMIF(ThresholdAge08,"&lt;"&amp;'19_Расчет_аналитики'!AP560,WeightedMinAge08),MAX(CapacityAge08*'01_Вводные'!$B$218*'19_Расчет_аналитики'!AP560,MeanMinAge08)))</f>
        <v/>
      </c>
      <c r="AQ499">
        <f>IF(OR(('19_Расчет_аналитики'!AQ415-'19_Расчет_аналитики'!AQ443)=0,8&lt;='01_Вводные'!$B$297),0,('19_Расчет_аналитики'!AQ415-'19_Расчет_аналитики'!AQ443)*IF('01_Вводные'!$B$239="Да",MeanMinAge08+'19_Расчет_аналитики'!AQ560*SUMIF(ThresholdAge08,"&lt;"&amp;'19_Расчет_аналитики'!AQ560,WeightedRevAge08)-SUMIF(ThresholdAge08,"&lt;"&amp;'19_Расчет_аналитики'!AQ560,WeightedMinAge08),MAX(CapacityAge08*'01_Вводные'!$B$218*'19_Расчет_аналитики'!AQ560,MeanMinAge08)))</f>
        <v/>
      </c>
      <c r="AR499">
        <f>IF(OR(('19_Расчет_аналитики'!AR415-'19_Расчет_аналитики'!AR443)=0,8&lt;='01_Вводные'!$B$297),0,('19_Расчет_аналитики'!AR415-'19_Расчет_аналитики'!AR443)*IF('01_Вводные'!$B$239="Да",MeanMinAge08+'19_Расчет_аналитики'!AR560*SUMIF(ThresholdAge08,"&lt;"&amp;'19_Расчет_аналитики'!AR560,WeightedRevAge08)-SUMIF(ThresholdAge08,"&lt;"&amp;'19_Расчет_аналитики'!AR560,WeightedMinAge08),MAX(CapacityAge08*'01_Вводные'!$B$218*'19_Расчет_аналитики'!AR560,MeanMinAge08)))</f>
        <v/>
      </c>
      <c r="AS499">
        <f>IF(OR(('19_Расчет_аналитики'!AS415-'19_Расчет_аналитики'!AS443)=0,8&lt;='01_Вводные'!$B$297),0,('19_Расчет_аналитики'!AS415-'19_Расчет_аналитики'!AS443)*IF('01_Вводные'!$B$239="Да",MeanMinAge08+'19_Расчет_аналитики'!AS560*SUMIF(ThresholdAge08,"&lt;"&amp;'19_Расчет_аналитики'!AS560,WeightedRevAge08)-SUMIF(ThresholdAge08,"&lt;"&amp;'19_Расчет_аналитики'!AS560,WeightedMinAge08),MAX(CapacityAge08*'01_Вводные'!$B$218*'19_Расчет_аналитики'!AS560,MeanMinAge08)))</f>
        <v/>
      </c>
      <c r="AT499">
        <f>IF(OR(('19_Расчет_аналитики'!AT415-'19_Расчет_аналитики'!AT443)=0,8&lt;='01_Вводные'!$B$297),0,('19_Расчет_аналитики'!AT415-'19_Расчет_аналитики'!AT443)*IF('01_Вводные'!$B$239="Да",MeanMinAge08+'19_Расчет_аналитики'!AT560*SUMIF(ThresholdAge08,"&lt;"&amp;'19_Расчет_аналитики'!AT560,WeightedRevAge08)-SUMIF(ThresholdAge08,"&lt;"&amp;'19_Расчет_аналитики'!AT560,WeightedMinAge08),MAX(CapacityAge08*'01_Вводные'!$B$218*'19_Расчет_аналитики'!AT560,MeanMinAge08)))</f>
        <v/>
      </c>
      <c r="AU499">
        <f>IF(OR(('19_Расчет_аналитики'!AU415-'19_Расчет_аналитики'!AU443)=0,8&lt;='01_Вводные'!$B$297),0,('19_Расчет_аналитики'!AU415-'19_Расчет_аналитики'!AU443)*IF('01_Вводные'!$B$239="Да",MeanMinAge08+'19_Расчет_аналитики'!AU560*SUMIF(ThresholdAge08,"&lt;"&amp;'19_Расчет_аналитики'!AU560,WeightedRevAge08)-SUMIF(ThresholdAge08,"&lt;"&amp;'19_Расчет_аналитики'!AU560,WeightedMinAge08),MAX(CapacityAge08*'01_Вводные'!$B$218*'19_Расчет_аналитики'!AU560,MeanMinAge08)))</f>
        <v/>
      </c>
      <c r="AV499">
        <f>IF(OR(('19_Расчет_аналитики'!AV415-'19_Расчет_аналитики'!AV443)=0,8&lt;='01_Вводные'!$B$297),0,('19_Расчет_аналитики'!AV415-'19_Расчет_аналитики'!AV443)*IF('01_Вводные'!$B$239="Да",MeanMinAge08+'19_Расчет_аналитики'!AV560*SUMIF(ThresholdAge08,"&lt;"&amp;'19_Расчет_аналитики'!AV560,WeightedRevAge08)-SUMIF(ThresholdAge08,"&lt;"&amp;'19_Расчет_аналитики'!AV560,WeightedMinAge08),MAX(CapacityAge08*'01_Вводные'!$B$218*'19_Расчет_аналитики'!AV560,MeanMinAge08)))</f>
        <v/>
      </c>
      <c r="AW499">
        <f>IF(OR(('19_Расчет_аналитики'!AW415-'19_Расчет_аналитики'!AW443)=0,8&lt;='01_Вводные'!$B$297),0,('19_Расчет_аналитики'!AW415-'19_Расчет_аналитики'!AW443)*IF('01_Вводные'!$B$239="Да",MeanMinAge08+'19_Расчет_аналитики'!AW560*SUMIF(ThresholdAge08,"&lt;"&amp;'19_Расчет_аналитики'!AW560,WeightedRevAge08)-SUMIF(ThresholdAge08,"&lt;"&amp;'19_Расчет_аналитики'!AW560,WeightedMinAge08),MAX(CapacityAge08*'01_Вводные'!$B$218*'19_Расчет_аналитики'!AW560,MeanMinAge08)))</f>
        <v/>
      </c>
      <c r="AX499">
        <f>IF(OR(('19_Расчет_аналитики'!AX415-'19_Расчет_аналитики'!AX443)=0,8&lt;='01_Вводные'!$B$297),0,('19_Расчет_аналитики'!AX415-'19_Расчет_аналитики'!AX443)*IF('01_Вводные'!$B$239="Да",MeanMinAge08+'19_Расчет_аналитики'!AX560*SUMIF(ThresholdAge08,"&lt;"&amp;'19_Расчет_аналитики'!AX560,WeightedRevAge08)-SUMIF(ThresholdAge08,"&lt;"&amp;'19_Расчет_аналитики'!AX560,WeightedMinAge08),MAX(CapacityAge08*'01_Вводные'!$B$218*'19_Расчет_аналитики'!AX560,MeanMinAge08)))</f>
        <v/>
      </c>
      <c r="AY499">
        <f>IF(OR(('19_Расчет_аналитики'!AY415-'19_Расчет_аналитики'!AY443)=0,8&lt;='01_Вводные'!$B$297),0,('19_Расчет_аналитики'!AY415-'19_Расчет_аналитики'!AY443)*IF('01_Вводные'!$B$239="Да",MeanMinAge08+'19_Расчет_аналитики'!AY560*SUMIF(ThresholdAge08,"&lt;"&amp;'19_Расчет_аналитики'!AY560,WeightedRevAge08)-SUMIF(ThresholdAge08,"&lt;"&amp;'19_Расчет_аналитики'!AY560,WeightedMinAge08),MAX(CapacityAge08*'01_Вводные'!$B$218*'19_Расчет_аналитики'!AY560,MeanMinAge08)))</f>
        <v/>
      </c>
      <c r="AZ499">
        <f>IF(OR(('19_Расчет_аналитики'!AZ415-'19_Расчет_аналитики'!AZ443)=0,8&lt;='01_Вводные'!$B$297),0,('19_Расчет_аналитики'!AZ415-'19_Расчет_аналитики'!AZ443)*IF('01_Вводные'!$B$239="Да",MeanMinAge08+'19_Расчет_аналитики'!AZ560*SUMIF(ThresholdAge08,"&lt;"&amp;'19_Расчет_аналитики'!AZ560,WeightedRevAge08)-SUMIF(ThresholdAge08,"&lt;"&amp;'19_Расчет_аналитики'!AZ560,WeightedMinAge08),MAX(CapacityAge08*'01_Вводные'!$B$218*'19_Расчет_аналитики'!AZ560,MeanMinAge08)))</f>
        <v/>
      </c>
      <c r="BA499">
        <f>IF(OR(('19_Расчет_аналитики'!BA415-'19_Расчет_аналитики'!BA443)=0,8&lt;='01_Вводные'!$B$297),0,('19_Расчет_аналитики'!BA415-'19_Расчет_аналитики'!BA443)*IF('01_Вводные'!$B$239="Да",MeanMinAge08+'19_Расчет_аналитики'!BA560*SUMIF(ThresholdAge08,"&lt;"&amp;'19_Расчет_аналитики'!BA560,WeightedRevAge08)-SUMIF(ThresholdAge08,"&lt;"&amp;'19_Расчет_аналитики'!BA560,WeightedMinAge08),MAX(CapacityAge08*'01_Вводные'!$B$218*'19_Расчет_аналитики'!BA560,MeanMinAge08)))</f>
        <v/>
      </c>
      <c r="BB499">
        <f>IF(OR(('19_Расчет_аналитики'!BB415-'19_Расчет_аналитики'!BB443)=0,8&lt;='01_Вводные'!$B$297),0,('19_Расчет_аналитики'!BB415-'19_Расчет_аналитики'!BB443)*IF('01_Вводные'!$B$239="Да",MeanMinAge08+'19_Расчет_аналитики'!BB560*SUMIF(ThresholdAge08,"&lt;"&amp;'19_Расчет_аналитики'!BB560,WeightedRevAge08)-SUMIF(ThresholdAge08,"&lt;"&amp;'19_Расчет_аналитики'!BB560,WeightedMinAge08),MAX(CapacityAge08*'01_Вводные'!$B$218*'19_Расчет_аналитики'!BB560,MeanMinAge08)))</f>
        <v/>
      </c>
      <c r="BC499">
        <f>IF(OR(('19_Расчет_аналитики'!BC415-'19_Расчет_аналитики'!BC443)=0,8&lt;='01_Вводные'!$B$297),0,('19_Расчет_аналитики'!BC415-'19_Расчет_аналитики'!BC443)*IF('01_Вводные'!$B$239="Да",MeanMinAge08+'19_Расчет_аналитики'!BC560*SUMIF(ThresholdAge08,"&lt;"&amp;'19_Расчет_аналитики'!BC560,WeightedRevAge08)-SUMIF(ThresholdAge08,"&lt;"&amp;'19_Расчет_аналитики'!BC560,WeightedMinAge08),MAX(CapacityAge08*'01_Вводные'!$B$218*'19_Расчет_аналитики'!BC560,MeanMinAge08)))</f>
        <v/>
      </c>
      <c r="BD499">
        <f>IF(OR(('19_Расчет_аналитики'!BD415-'19_Расчет_аналитики'!BD443)=0,8&lt;='01_Вводные'!$B$297),0,('19_Расчет_аналитики'!BD415-'19_Расчет_аналитики'!BD443)*IF('01_Вводные'!$B$239="Да",MeanMinAge08+'19_Расчет_аналитики'!BD560*SUMIF(ThresholdAge08,"&lt;"&amp;'19_Расчет_аналитики'!BD560,WeightedRevAge08)-SUMIF(ThresholdAge08,"&lt;"&amp;'19_Расчет_аналитики'!BD560,WeightedMinAge08),MAX(CapacityAge08*'01_Вводные'!$B$218*'19_Расчет_аналитики'!BD560,MeanMinAge08)))</f>
        <v/>
      </c>
      <c r="BE499">
        <f>IF(OR(('19_Расчет_аналитики'!BE415-'19_Расчет_аналитики'!BE443)=0,8&lt;='01_Вводные'!$B$297),0,('19_Расчет_аналитики'!BE415-'19_Расчет_аналитики'!BE443)*IF('01_Вводные'!$B$239="Да",MeanMinAge08+'19_Расчет_аналитики'!BE560*SUMIF(ThresholdAge08,"&lt;"&amp;'19_Расчет_аналитики'!BE560,WeightedRevAge08)-SUMIF(ThresholdAge08,"&lt;"&amp;'19_Расчет_аналитики'!BE560,WeightedMinAge08),MAX(CapacityAge08*'01_Вводные'!$B$218*'19_Расчет_аналитики'!BE560,MeanMinAge08)))</f>
        <v/>
      </c>
      <c r="BF499">
        <f>IF(OR(('19_Расчет_аналитики'!BF415-'19_Расчет_аналитики'!BF443)=0,8&lt;='01_Вводные'!$B$297),0,('19_Расчет_аналитики'!BF415-'19_Расчет_аналитики'!BF443)*IF('01_Вводные'!$B$239="Да",MeanMinAge08+'19_Расчет_аналитики'!BF560*SUMIF(ThresholdAge08,"&lt;"&amp;'19_Расчет_аналитики'!BF560,WeightedRevAge08)-SUMIF(ThresholdAge08,"&lt;"&amp;'19_Расчет_аналитики'!BF560,WeightedMinAge08),MAX(CapacityAge08*'01_Вводные'!$B$218*'19_Расчет_аналитики'!BF560,MeanMinAge08)))</f>
        <v/>
      </c>
      <c r="BG499">
        <f>IF(OR(('19_Расчет_аналитики'!BG415-'19_Расчет_аналитики'!BG443)=0,8&lt;='01_Вводные'!$B$297),0,('19_Расчет_аналитики'!BG415-'19_Расчет_аналитики'!BG443)*IF('01_Вводные'!$B$239="Да",MeanMinAge08+'19_Расчет_аналитики'!BG560*SUMIF(ThresholdAge08,"&lt;"&amp;'19_Расчет_аналитики'!BG560,WeightedRevAge08)-SUMIF(ThresholdAge08,"&lt;"&amp;'19_Расчет_аналитики'!BG560,WeightedMinAge08),MAX(CapacityAge08*'01_Вводные'!$B$218*'19_Расчет_аналитики'!BG560,MeanMinAge08)))</f>
        <v/>
      </c>
      <c r="BH499">
        <f>IF(OR(('19_Расчет_аналитики'!BH415-'19_Расчет_аналитики'!BH443)=0,8&lt;='01_Вводные'!$B$297),0,('19_Расчет_аналитики'!BH415-'19_Расчет_аналитики'!BH443)*IF('01_Вводные'!$B$239="Да",MeanMinAge08+'19_Расчет_аналитики'!BH560*SUMIF(ThresholdAge08,"&lt;"&amp;'19_Расчет_аналитики'!BH560,WeightedRevAge08)-SUMIF(ThresholdAge08,"&lt;"&amp;'19_Расчет_аналитики'!BH560,WeightedMinAge08),MAX(CapacityAge08*'01_Вводные'!$B$218*'19_Расчет_аналитики'!BH560,MeanMinAge08)))</f>
        <v/>
      </c>
      <c r="BI499">
        <f>IF(OR(('19_Расчет_аналитики'!BI415-'19_Расчет_аналитики'!BI443)=0,8&lt;='01_Вводные'!$B$297),0,('19_Расчет_аналитики'!BI415-'19_Расчет_аналитики'!BI443)*IF('01_Вводные'!$B$239="Да",MeanMinAge08+'19_Расчет_аналитики'!BI560*SUMIF(ThresholdAge08,"&lt;"&amp;'19_Расчет_аналитики'!BI560,WeightedRevAge08)-SUMIF(ThresholdAge08,"&lt;"&amp;'19_Расчет_аналитики'!BI560,WeightedMinAge08),MAX(CapacityAge08*'01_Вводные'!$B$218*'19_Расчет_аналитики'!BI560,MeanMinAge08)))</f>
        <v/>
      </c>
      <c r="BJ499">
        <f>IF(OR(('19_Расчет_аналитики'!BJ415-'19_Расчет_аналитики'!BJ443)=0,8&lt;='01_Вводные'!$B$297),0,('19_Расчет_аналитики'!BJ415-'19_Расчет_аналитики'!BJ443)*IF('01_Вводные'!$B$239="Да",MeanMinAge08+'19_Расчет_аналитики'!BJ560*SUMIF(ThresholdAge08,"&lt;"&amp;'19_Расчет_аналитики'!BJ560,WeightedRevAge08)-SUMIF(ThresholdAge08,"&lt;"&amp;'19_Расчет_аналитики'!BJ560,WeightedMinAge08),MAX(CapacityAge08*'01_Вводные'!$B$218*'19_Расчет_аналитики'!BJ560,MeanMinAge08)))</f>
        <v/>
      </c>
      <c r="BK499">
        <f>IF(OR(('19_Расчет_аналитики'!BK415-'19_Расчет_аналитики'!BK443)=0,8&lt;='01_Вводные'!$B$297),0,('19_Расчет_аналитики'!BK415-'19_Расчет_аналитики'!BK443)*IF('01_Вводные'!$B$239="Да",MeanMinAge08+'19_Расчет_аналитики'!BK560*SUMIF(ThresholdAge08,"&lt;"&amp;'19_Расчет_аналитики'!BK560,WeightedRevAge08)-SUMIF(ThresholdAge08,"&lt;"&amp;'19_Расчет_аналитики'!BK560,WeightedMinAge08),MAX(CapacityAge08*'01_Вводные'!$B$218*'19_Расчет_аналитики'!BK560,MeanMinAge08)))</f>
        <v/>
      </c>
      <c r="BL499">
        <f>IF(OR(('19_Расчет_аналитики'!BL415-'19_Расчет_аналитики'!BL443)=0,8&lt;='01_Вводные'!$B$297),0,('19_Расчет_аналитики'!BL415-'19_Расчет_аналитики'!BL443)*IF('01_Вводные'!$B$239="Да",MeanMinAge08+'19_Расчет_аналитики'!BL560*SUMIF(ThresholdAge08,"&lt;"&amp;'19_Расчет_аналитики'!BL560,WeightedRevAge08)-SUMIF(ThresholdAge08,"&lt;"&amp;'19_Расчет_аналитики'!BL560,WeightedMinAge08),MAX(CapacityAge08*'01_Вводные'!$B$218*'19_Расчет_аналитики'!BL560,MeanMinAge08)))</f>
        <v/>
      </c>
      <c r="BM499">
        <f>IF(OR(('19_Расчет_аналитики'!BM415-'19_Расчет_аналитики'!BM443)=0,8&lt;='01_Вводные'!$B$297),0,('19_Расчет_аналитики'!BM415-'19_Расчет_аналитики'!BM443)*IF('01_Вводные'!$B$239="Да",MeanMinAge08+'19_Расчет_аналитики'!BM560*SUMIF(ThresholdAge08,"&lt;"&amp;'19_Расчет_аналитики'!BM560,WeightedRevAge08)-SUMIF(ThresholdAge08,"&lt;"&amp;'19_Расчет_аналитики'!BM560,WeightedMinAge08),MAX(CapacityAge08*'01_Вводные'!$B$218*'19_Расчет_аналитики'!BM560,MeanMinAge08)))</f>
        <v/>
      </c>
      <c r="BN499">
        <f>IF(OR(('19_Расчет_аналитики'!BN415-'19_Расчет_аналитики'!BN443)=0,8&lt;='01_Вводные'!$B$297),0,('19_Расчет_аналитики'!BN415-'19_Расчет_аналитики'!BN443)*IF('01_Вводные'!$B$239="Да",MeanMinAge08+'19_Расчет_аналитики'!BN560*SUMIF(ThresholdAge08,"&lt;"&amp;'19_Расчет_аналитики'!BN560,WeightedRevAge08)-SUMIF(ThresholdAge08,"&lt;"&amp;'19_Расчет_аналитики'!BN560,WeightedMinAge08),MAX(CapacityAge08*'01_Вводные'!$B$218*'19_Расчет_аналитики'!BN560,MeanMinAge08)))</f>
        <v/>
      </c>
      <c r="BO499">
        <f>IF(OR(('19_Расчет_аналитики'!BO415-'19_Расчет_аналитики'!BO443)=0,8&lt;='01_Вводные'!$B$297),0,('19_Расчет_аналитики'!BO415-'19_Расчет_аналитики'!BO443)*IF('01_Вводные'!$B$239="Да",MeanMinAge08+'19_Расчет_аналитики'!BO560*SUMIF(ThresholdAge08,"&lt;"&amp;'19_Расчет_аналитики'!BO560,WeightedRevAge08)-SUMIF(ThresholdAge08,"&lt;"&amp;'19_Расчет_аналитики'!BO560,WeightedMinAge08),MAX(CapacityAge08*'01_Вводные'!$B$218*'19_Расчет_аналитики'!BO560,MeanMinAge08)))</f>
        <v/>
      </c>
    </row>
    <row r="500">
      <c r="B500">
        <f>IF(OR(('06_Сеть_и_дети'!B61-'06_Сеть_и_дети'!B89)=0,9&lt;='01_Вводные'!$B$297),0,('06_Сеть_и_дети'!B61-'06_Сеть_и_дети'!B89)*IF('01_Вводные'!$B$239="Да",MeanMinAge09+'19_Расчет_аналитики'!B560*SUMIF(ThresholdAge09,"&lt;"&amp;'19_Расчет_аналитики'!B560,WeightedRevAge09)-SUMIF(ThresholdAge09,"&lt;"&amp;'19_Расчет_аналитики'!B560,WeightedMinAge09),MAX(CapacityAge09*'01_Вводные'!$B$218*'19_Расчет_аналитики'!B560,MeanMinAge09)))</f>
        <v/>
      </c>
      <c r="C500">
        <f>IF(OR(('06_Сеть_и_дети'!C61-'06_Сеть_и_дети'!C89)=0,9&lt;='01_Вводные'!$B$297),0,('06_Сеть_и_дети'!C61-'06_Сеть_и_дети'!C89)*IF('01_Вводные'!$B$239="Да",MeanMinAge09+'19_Расчет_аналитики'!C560*SUMIF(ThresholdAge09,"&lt;"&amp;'19_Расчет_аналитики'!C560,WeightedRevAge09)-SUMIF(ThresholdAge09,"&lt;"&amp;'19_Расчет_аналитики'!C560,WeightedMinAge09),MAX(CapacityAge09*'01_Вводные'!$B$218*'19_Расчет_аналитики'!C560,MeanMinAge09)))</f>
        <v/>
      </c>
      <c r="D500">
        <f>IF(OR(('06_Сеть_и_дети'!D61-'06_Сеть_и_дети'!D89)=0,9&lt;='01_Вводные'!$B$297),0,('06_Сеть_и_дети'!D61-'06_Сеть_и_дети'!D89)*IF('01_Вводные'!$B$239="Да",MeanMinAge09+'19_Расчет_аналитики'!D560*SUMIF(ThresholdAge09,"&lt;"&amp;'19_Расчет_аналитики'!D560,WeightedRevAge09)-SUMIF(ThresholdAge09,"&lt;"&amp;'19_Расчет_аналитики'!D560,WeightedMinAge09),MAX(CapacityAge09*'01_Вводные'!$B$218*'19_Расчет_аналитики'!D560,MeanMinAge09)))</f>
        <v/>
      </c>
      <c r="E500">
        <f>IF(OR(('06_Сеть_и_дети'!E61-'06_Сеть_и_дети'!E89)=0,9&lt;='01_Вводные'!$B$297),0,('06_Сеть_и_дети'!E61-'06_Сеть_и_дети'!E89)*IF('01_Вводные'!$B$239="Да",MeanMinAge09+'19_Расчет_аналитики'!E560*SUMIF(ThresholdAge09,"&lt;"&amp;'19_Расчет_аналитики'!E560,WeightedRevAge09)-SUMIF(ThresholdAge09,"&lt;"&amp;'19_Расчет_аналитики'!E560,WeightedMinAge09),MAX(CapacityAge09*'01_Вводные'!$B$218*'19_Расчет_аналитики'!E560,MeanMinAge09)))</f>
        <v/>
      </c>
      <c r="F500">
        <f>IF(OR(('06_Сеть_и_дети'!F61-'06_Сеть_и_дети'!F89)=0,9&lt;='01_Вводные'!$B$297),0,('06_Сеть_и_дети'!F61-'06_Сеть_и_дети'!F89)*IF('01_Вводные'!$B$239="Да",MeanMinAge09+'19_Расчет_аналитики'!F560*SUMIF(ThresholdAge09,"&lt;"&amp;'19_Расчет_аналитики'!F560,WeightedRevAge09)-SUMIF(ThresholdAge09,"&lt;"&amp;'19_Расчет_аналитики'!F560,WeightedMinAge09),MAX(CapacityAge09*'01_Вводные'!$B$218*'19_Расчет_аналитики'!F560,MeanMinAge09)))</f>
        <v/>
      </c>
      <c r="G500">
        <f>IF(OR(('06_Сеть_и_дети'!G61-'06_Сеть_и_дети'!G89)=0,9&lt;='01_Вводные'!$B$297),0,('06_Сеть_и_дети'!G61-'06_Сеть_и_дети'!G89)*IF('01_Вводные'!$B$239="Да",MeanMinAge09+'19_Расчет_аналитики'!G560*SUMIF(ThresholdAge09,"&lt;"&amp;'19_Расчет_аналитики'!G560,WeightedRevAge09)-SUMIF(ThresholdAge09,"&lt;"&amp;'19_Расчет_аналитики'!G560,WeightedMinAge09),MAX(CapacityAge09*'01_Вводные'!$B$218*'19_Расчет_аналитики'!G560,MeanMinAge09)))</f>
        <v/>
      </c>
      <c r="H500">
        <f>IF(OR(('06_Сеть_и_дети'!H61-'06_Сеть_и_дети'!H89)=0,9&lt;='01_Вводные'!$B$297),0,('06_Сеть_и_дети'!H61-'06_Сеть_и_дети'!H89)*IF('01_Вводные'!$B$239="Да",MeanMinAge09+'19_Расчет_аналитики'!H560*SUMIF(ThresholdAge09,"&lt;"&amp;'19_Расчет_аналитики'!H560,WeightedRevAge09)-SUMIF(ThresholdAge09,"&lt;"&amp;'19_Расчет_аналитики'!H560,WeightedMinAge09),MAX(CapacityAge09*'01_Вводные'!$B$218*'19_Расчет_аналитики'!H560,MeanMinAge09)))</f>
        <v/>
      </c>
      <c r="I500">
        <f>IF(OR(('06_Сеть_и_дети'!I61-'06_Сеть_и_дети'!I89)=0,9&lt;='01_Вводные'!$B$297),0,('06_Сеть_и_дети'!I61-'06_Сеть_и_дети'!I89)*IF('01_Вводные'!$B$239="Да",MeanMinAge09+'19_Расчет_аналитики'!I560*SUMIF(ThresholdAge09,"&lt;"&amp;'19_Расчет_аналитики'!I560,WeightedRevAge09)-SUMIF(ThresholdAge09,"&lt;"&amp;'19_Расчет_аналитики'!I560,WeightedMinAge09),MAX(CapacityAge09*'01_Вводные'!$B$218*'19_Расчет_аналитики'!I560,MeanMinAge09)))</f>
        <v/>
      </c>
      <c r="J500">
        <f>IF(OR(('19_Расчет_аналитики'!J416-'19_Расчет_аналитики'!J444)=0,9&lt;='01_Вводные'!$B$297),0,('19_Расчет_аналитики'!J416-'19_Расчет_аналитики'!J444)*IF('01_Вводные'!$B$239="Да",MeanMinAge09+'19_Расчет_аналитики'!J560*SUMIF(ThresholdAge09,"&lt;"&amp;'19_Расчет_аналитики'!J560,WeightedRevAge09)-SUMIF(ThresholdAge09,"&lt;"&amp;'19_Расчет_аналитики'!J560,WeightedMinAge09),MAX(CapacityAge09*'01_Вводные'!$B$218*'19_Расчет_аналитики'!J560,MeanMinAge09)))</f>
        <v/>
      </c>
      <c r="K500">
        <f>IF(OR(('19_Расчет_аналитики'!K416-'19_Расчет_аналитики'!K444)=0,9&lt;='01_Вводные'!$B$297),0,('19_Расчет_аналитики'!K416-'19_Расчет_аналитики'!K444)*IF('01_Вводные'!$B$239="Да",MeanMinAge09+'19_Расчет_аналитики'!K560*SUMIF(ThresholdAge09,"&lt;"&amp;'19_Расчет_аналитики'!K560,WeightedRevAge09)-SUMIF(ThresholdAge09,"&lt;"&amp;'19_Расчет_аналитики'!K560,WeightedMinAge09),MAX(CapacityAge09*'01_Вводные'!$B$218*'19_Расчет_аналитики'!K560,MeanMinAge09)))</f>
        <v/>
      </c>
      <c r="L500">
        <f>IF(OR(('19_Расчет_аналитики'!L416-'19_Расчет_аналитики'!L444)=0,9&lt;='01_Вводные'!$B$297),0,('19_Расчет_аналитики'!L416-'19_Расчет_аналитики'!L444)*IF('01_Вводные'!$B$239="Да",MeanMinAge09+'19_Расчет_аналитики'!L560*SUMIF(ThresholdAge09,"&lt;"&amp;'19_Расчет_аналитики'!L560,WeightedRevAge09)-SUMIF(ThresholdAge09,"&lt;"&amp;'19_Расчет_аналитики'!L560,WeightedMinAge09),MAX(CapacityAge09*'01_Вводные'!$B$218*'19_Расчет_аналитики'!L560,MeanMinAge09)))</f>
        <v/>
      </c>
      <c r="M500">
        <f>IF(OR(('19_Расчет_аналитики'!M416-'19_Расчет_аналитики'!M444)=0,9&lt;='01_Вводные'!$B$297),0,('19_Расчет_аналитики'!M416-'19_Расчет_аналитики'!M444)*IF('01_Вводные'!$B$239="Да",MeanMinAge09+'19_Расчет_аналитики'!M560*SUMIF(ThresholdAge09,"&lt;"&amp;'19_Расчет_аналитики'!M560,WeightedRevAge09)-SUMIF(ThresholdAge09,"&lt;"&amp;'19_Расчет_аналитики'!M560,WeightedMinAge09),MAX(CapacityAge09*'01_Вводные'!$B$218*'19_Расчет_аналитики'!M560,MeanMinAge09)))</f>
        <v/>
      </c>
      <c r="N500">
        <f>IF(OR(('19_Расчет_аналитики'!N416-'19_Расчет_аналитики'!N444)=0,9&lt;='01_Вводные'!$B$297),0,('19_Расчет_аналитики'!N416-'19_Расчет_аналитики'!N444)*IF('01_Вводные'!$B$239="Да",MeanMinAge09+'19_Расчет_аналитики'!N560*SUMIF(ThresholdAge09,"&lt;"&amp;'19_Расчет_аналитики'!N560,WeightedRevAge09)-SUMIF(ThresholdAge09,"&lt;"&amp;'19_Расчет_аналитики'!N560,WeightedMinAge09),MAX(CapacityAge09*'01_Вводные'!$B$218*'19_Расчет_аналитики'!N560,MeanMinAge09)))</f>
        <v/>
      </c>
      <c r="O500">
        <f>IF(OR(('19_Расчет_аналитики'!O416-'19_Расчет_аналитики'!O444)=0,9&lt;='01_Вводные'!$B$297),0,('19_Расчет_аналитики'!O416-'19_Расчет_аналитики'!O444)*IF('01_Вводные'!$B$239="Да",MeanMinAge09+'19_Расчет_аналитики'!O560*SUMIF(ThresholdAge09,"&lt;"&amp;'19_Расчет_аналитики'!O560,WeightedRevAge09)-SUMIF(ThresholdAge09,"&lt;"&amp;'19_Расчет_аналитики'!O560,WeightedMinAge09),MAX(CapacityAge09*'01_Вводные'!$B$218*'19_Расчет_аналитики'!O560,MeanMinAge09)))</f>
        <v/>
      </c>
      <c r="P500">
        <f>IF(OR(('19_Расчет_аналитики'!P416-'19_Расчет_аналитики'!P444)=0,9&lt;='01_Вводные'!$B$297),0,('19_Расчет_аналитики'!P416-'19_Расчет_аналитики'!P444)*IF('01_Вводные'!$B$239="Да",MeanMinAge09+'19_Расчет_аналитики'!P560*SUMIF(ThresholdAge09,"&lt;"&amp;'19_Расчет_аналитики'!P560,WeightedRevAge09)-SUMIF(ThresholdAge09,"&lt;"&amp;'19_Расчет_аналитики'!P560,WeightedMinAge09),MAX(CapacityAge09*'01_Вводные'!$B$218*'19_Расчет_аналитики'!P560,MeanMinAge09)))</f>
        <v/>
      </c>
      <c r="Q500">
        <f>IF(OR(('19_Расчет_аналитики'!Q416-'19_Расчет_аналитики'!Q444)=0,9&lt;='01_Вводные'!$B$297),0,('19_Расчет_аналитики'!Q416-'19_Расчет_аналитики'!Q444)*IF('01_Вводные'!$B$239="Да",MeanMinAge09+'19_Расчет_аналитики'!Q560*SUMIF(ThresholdAge09,"&lt;"&amp;'19_Расчет_аналитики'!Q560,WeightedRevAge09)-SUMIF(ThresholdAge09,"&lt;"&amp;'19_Расчет_аналитики'!Q560,WeightedMinAge09),MAX(CapacityAge09*'01_Вводные'!$B$218*'19_Расчет_аналитики'!Q560,MeanMinAge09)))</f>
        <v/>
      </c>
      <c r="R500">
        <f>IF(OR(('19_Расчет_аналитики'!R416-'19_Расчет_аналитики'!R444)=0,9&lt;='01_Вводные'!$B$297),0,('19_Расчет_аналитики'!R416-'19_Расчет_аналитики'!R444)*IF('01_Вводные'!$B$239="Да",MeanMinAge09+'19_Расчет_аналитики'!R560*SUMIF(ThresholdAge09,"&lt;"&amp;'19_Расчет_аналитики'!R560,WeightedRevAge09)-SUMIF(ThresholdAge09,"&lt;"&amp;'19_Расчет_аналитики'!R560,WeightedMinAge09),MAX(CapacityAge09*'01_Вводные'!$B$218*'19_Расчет_аналитики'!R560,MeanMinAge09)))</f>
        <v/>
      </c>
      <c r="S500">
        <f>IF(OR(('19_Расчет_аналитики'!S416-'19_Расчет_аналитики'!S444)=0,9&lt;='01_Вводные'!$B$297),0,('19_Расчет_аналитики'!S416-'19_Расчет_аналитики'!S444)*IF('01_Вводные'!$B$239="Да",MeanMinAge09+'19_Расчет_аналитики'!S560*SUMIF(ThresholdAge09,"&lt;"&amp;'19_Расчет_аналитики'!S560,WeightedRevAge09)-SUMIF(ThresholdAge09,"&lt;"&amp;'19_Расчет_аналитики'!S560,WeightedMinAge09),MAX(CapacityAge09*'01_Вводные'!$B$218*'19_Расчет_аналитики'!S560,MeanMinAge09)))</f>
        <v/>
      </c>
      <c r="T500">
        <f>IF(OR(('19_Расчет_аналитики'!T416-'19_Расчет_аналитики'!T444)=0,9&lt;='01_Вводные'!$B$297),0,('19_Расчет_аналитики'!T416-'19_Расчет_аналитики'!T444)*IF('01_Вводные'!$B$239="Да",MeanMinAge09+'19_Расчет_аналитики'!T560*SUMIF(ThresholdAge09,"&lt;"&amp;'19_Расчет_аналитики'!T560,WeightedRevAge09)-SUMIF(ThresholdAge09,"&lt;"&amp;'19_Расчет_аналитики'!T560,WeightedMinAge09),MAX(CapacityAge09*'01_Вводные'!$B$218*'19_Расчет_аналитики'!T560,MeanMinAge09)))</f>
        <v/>
      </c>
      <c r="U500">
        <f>IF(OR(('19_Расчет_аналитики'!U416-'19_Расчет_аналитики'!U444)=0,9&lt;='01_Вводные'!$B$297),0,('19_Расчет_аналитики'!U416-'19_Расчет_аналитики'!U444)*IF('01_Вводные'!$B$239="Да",MeanMinAge09+'19_Расчет_аналитики'!U560*SUMIF(ThresholdAge09,"&lt;"&amp;'19_Расчет_аналитики'!U560,WeightedRevAge09)-SUMIF(ThresholdAge09,"&lt;"&amp;'19_Расчет_аналитики'!U560,WeightedMinAge09),MAX(CapacityAge09*'01_Вводные'!$B$218*'19_Расчет_аналитики'!U560,MeanMinAge09)))</f>
        <v/>
      </c>
      <c r="V500">
        <f>IF(OR(('19_Расчет_аналитики'!V416-'19_Расчет_аналитики'!V444)=0,9&lt;='01_Вводные'!$B$297),0,('19_Расчет_аналитики'!V416-'19_Расчет_аналитики'!V444)*IF('01_Вводные'!$B$239="Да",MeanMinAge09+'19_Расчет_аналитики'!V560*SUMIF(ThresholdAge09,"&lt;"&amp;'19_Расчет_аналитики'!V560,WeightedRevAge09)-SUMIF(ThresholdAge09,"&lt;"&amp;'19_Расчет_аналитики'!V560,WeightedMinAge09),MAX(CapacityAge09*'01_Вводные'!$B$218*'19_Расчет_аналитики'!V560,MeanMinAge09)))</f>
        <v/>
      </c>
      <c r="W500">
        <f>IF(OR(('19_Расчет_аналитики'!W416-'19_Расчет_аналитики'!W444)=0,9&lt;='01_Вводные'!$B$297),0,('19_Расчет_аналитики'!W416-'19_Расчет_аналитики'!W444)*IF('01_Вводные'!$B$239="Да",MeanMinAge09+'19_Расчет_аналитики'!W560*SUMIF(ThresholdAge09,"&lt;"&amp;'19_Расчет_аналитики'!W560,WeightedRevAge09)-SUMIF(ThresholdAge09,"&lt;"&amp;'19_Расчет_аналитики'!W560,WeightedMinAge09),MAX(CapacityAge09*'01_Вводные'!$B$218*'19_Расчет_аналитики'!W560,MeanMinAge09)))</f>
        <v/>
      </c>
      <c r="X500">
        <f>IF(OR(('19_Расчет_аналитики'!X416-'19_Расчет_аналитики'!X444)=0,9&lt;='01_Вводные'!$B$297),0,('19_Расчет_аналитики'!X416-'19_Расчет_аналитики'!X444)*IF('01_Вводные'!$B$239="Да",MeanMinAge09+'19_Расчет_аналитики'!X560*SUMIF(ThresholdAge09,"&lt;"&amp;'19_Расчет_аналитики'!X560,WeightedRevAge09)-SUMIF(ThresholdAge09,"&lt;"&amp;'19_Расчет_аналитики'!X560,WeightedMinAge09),MAX(CapacityAge09*'01_Вводные'!$B$218*'19_Расчет_аналитики'!X560,MeanMinAge09)))</f>
        <v/>
      </c>
      <c r="Y500">
        <f>IF(OR(('19_Расчет_аналитики'!Y416-'19_Расчет_аналитики'!Y444)=0,9&lt;='01_Вводные'!$B$297),0,('19_Расчет_аналитики'!Y416-'19_Расчет_аналитики'!Y444)*IF('01_Вводные'!$B$239="Да",MeanMinAge09+'19_Расчет_аналитики'!Y560*SUMIF(ThresholdAge09,"&lt;"&amp;'19_Расчет_аналитики'!Y560,WeightedRevAge09)-SUMIF(ThresholdAge09,"&lt;"&amp;'19_Расчет_аналитики'!Y560,WeightedMinAge09),MAX(CapacityAge09*'01_Вводные'!$B$218*'19_Расчет_аналитики'!Y560,MeanMinAge09)))</f>
        <v/>
      </c>
      <c r="Z500">
        <f>IF(OR(('19_Расчет_аналитики'!Z416-'19_Расчет_аналитики'!Z444)=0,9&lt;='01_Вводные'!$B$297),0,('19_Расчет_аналитики'!Z416-'19_Расчет_аналитики'!Z444)*IF('01_Вводные'!$B$239="Да",MeanMinAge09+'19_Расчет_аналитики'!Z560*SUMIF(ThresholdAge09,"&lt;"&amp;'19_Расчет_аналитики'!Z560,WeightedRevAge09)-SUMIF(ThresholdAge09,"&lt;"&amp;'19_Расчет_аналитики'!Z560,WeightedMinAge09),MAX(CapacityAge09*'01_Вводные'!$B$218*'19_Расчет_аналитики'!Z560,MeanMinAge09)))</f>
        <v/>
      </c>
      <c r="AA500">
        <f>IF(OR(('19_Расчет_аналитики'!AA416-'19_Расчет_аналитики'!AA444)=0,9&lt;='01_Вводные'!$B$297),0,('19_Расчет_аналитики'!AA416-'19_Расчет_аналитики'!AA444)*IF('01_Вводные'!$B$239="Да",MeanMinAge09+'19_Расчет_аналитики'!AA560*SUMIF(ThresholdAge09,"&lt;"&amp;'19_Расчет_аналитики'!AA560,WeightedRevAge09)-SUMIF(ThresholdAge09,"&lt;"&amp;'19_Расчет_аналитики'!AA560,WeightedMinAge09),MAX(CapacityAge09*'01_Вводные'!$B$218*'19_Расчет_аналитики'!AA560,MeanMinAge09)))</f>
        <v/>
      </c>
      <c r="AB500">
        <f>IF(OR(('19_Расчет_аналитики'!AB416-'19_Расчет_аналитики'!AB444)=0,9&lt;='01_Вводные'!$B$297),0,('19_Расчет_аналитики'!AB416-'19_Расчет_аналитики'!AB444)*IF('01_Вводные'!$B$239="Да",MeanMinAge09+'19_Расчет_аналитики'!AB560*SUMIF(ThresholdAge09,"&lt;"&amp;'19_Расчет_аналитики'!AB560,WeightedRevAge09)-SUMIF(ThresholdAge09,"&lt;"&amp;'19_Расчет_аналитики'!AB560,WeightedMinAge09),MAX(CapacityAge09*'01_Вводные'!$B$218*'19_Расчет_аналитики'!AB560,MeanMinAge09)))</f>
        <v/>
      </c>
      <c r="AC500">
        <f>IF(OR(('19_Расчет_аналитики'!AC416-'19_Расчет_аналитики'!AC444)=0,9&lt;='01_Вводные'!$B$297),0,('19_Расчет_аналитики'!AC416-'19_Расчет_аналитики'!AC444)*IF('01_Вводные'!$B$239="Да",MeanMinAge09+'19_Расчет_аналитики'!AC560*SUMIF(ThresholdAge09,"&lt;"&amp;'19_Расчет_аналитики'!AC560,WeightedRevAge09)-SUMIF(ThresholdAge09,"&lt;"&amp;'19_Расчет_аналитики'!AC560,WeightedMinAge09),MAX(CapacityAge09*'01_Вводные'!$B$218*'19_Расчет_аналитики'!AC560,MeanMinAge09)))</f>
        <v/>
      </c>
      <c r="AD500">
        <f>IF(OR(('19_Расчет_аналитики'!AD416-'19_Расчет_аналитики'!AD444)=0,9&lt;='01_Вводные'!$B$297),0,('19_Расчет_аналитики'!AD416-'19_Расчет_аналитики'!AD444)*IF('01_Вводные'!$B$239="Да",MeanMinAge09+'19_Расчет_аналитики'!AD560*SUMIF(ThresholdAge09,"&lt;"&amp;'19_Расчет_аналитики'!AD560,WeightedRevAge09)-SUMIF(ThresholdAge09,"&lt;"&amp;'19_Расчет_аналитики'!AD560,WeightedMinAge09),MAX(CapacityAge09*'01_Вводные'!$B$218*'19_Расчет_аналитики'!AD560,MeanMinAge09)))</f>
        <v/>
      </c>
      <c r="AE500">
        <f>IF(OR(('19_Расчет_аналитики'!AE416-'19_Расчет_аналитики'!AE444)=0,9&lt;='01_Вводные'!$B$297),0,('19_Расчет_аналитики'!AE416-'19_Расчет_аналитики'!AE444)*IF('01_Вводные'!$B$239="Да",MeanMinAge09+'19_Расчет_аналитики'!AE560*SUMIF(ThresholdAge09,"&lt;"&amp;'19_Расчет_аналитики'!AE560,WeightedRevAge09)-SUMIF(ThresholdAge09,"&lt;"&amp;'19_Расчет_аналитики'!AE560,WeightedMinAge09),MAX(CapacityAge09*'01_Вводные'!$B$218*'19_Расчет_аналитики'!AE560,MeanMinAge09)))</f>
        <v/>
      </c>
      <c r="AF500">
        <f>IF(OR(('19_Расчет_аналитики'!AF416-'19_Расчет_аналитики'!AF444)=0,9&lt;='01_Вводные'!$B$297),0,('19_Расчет_аналитики'!AF416-'19_Расчет_аналитики'!AF444)*IF('01_Вводные'!$B$239="Да",MeanMinAge09+'19_Расчет_аналитики'!AF560*SUMIF(ThresholdAge09,"&lt;"&amp;'19_Расчет_аналитики'!AF560,WeightedRevAge09)-SUMIF(ThresholdAge09,"&lt;"&amp;'19_Расчет_аналитики'!AF560,WeightedMinAge09),MAX(CapacityAge09*'01_Вводные'!$B$218*'19_Расчет_аналитики'!AF560,MeanMinAge09)))</f>
        <v/>
      </c>
      <c r="AG500">
        <f>IF(OR(('19_Расчет_аналитики'!AG416-'19_Расчет_аналитики'!AG444)=0,9&lt;='01_Вводные'!$B$297),0,('19_Расчет_аналитики'!AG416-'19_Расчет_аналитики'!AG444)*IF('01_Вводные'!$B$239="Да",MeanMinAge09+'19_Расчет_аналитики'!AG560*SUMIF(ThresholdAge09,"&lt;"&amp;'19_Расчет_аналитики'!AG560,WeightedRevAge09)-SUMIF(ThresholdAge09,"&lt;"&amp;'19_Расчет_аналитики'!AG560,WeightedMinAge09),MAX(CapacityAge09*'01_Вводные'!$B$218*'19_Расчет_аналитики'!AG560,MeanMinAge09)))</f>
        <v/>
      </c>
      <c r="AH500">
        <f>IF(OR(('19_Расчет_аналитики'!AH416-'19_Расчет_аналитики'!AH444)=0,9&lt;='01_Вводные'!$B$297),0,('19_Расчет_аналитики'!AH416-'19_Расчет_аналитики'!AH444)*IF('01_Вводные'!$B$239="Да",MeanMinAge09+'19_Расчет_аналитики'!AH560*SUMIF(ThresholdAge09,"&lt;"&amp;'19_Расчет_аналитики'!AH560,WeightedRevAge09)-SUMIF(ThresholdAge09,"&lt;"&amp;'19_Расчет_аналитики'!AH560,WeightedMinAge09),MAX(CapacityAge09*'01_Вводные'!$B$218*'19_Расчет_аналитики'!AH560,MeanMinAge09)))</f>
        <v/>
      </c>
      <c r="AI500">
        <f>IF(OR(('19_Расчет_аналитики'!AI416-'19_Расчет_аналитики'!AI444)=0,9&lt;='01_Вводные'!$B$297),0,('19_Расчет_аналитики'!AI416-'19_Расчет_аналитики'!AI444)*IF('01_Вводные'!$B$239="Да",MeanMinAge09+'19_Расчет_аналитики'!AI560*SUMIF(ThresholdAge09,"&lt;"&amp;'19_Расчет_аналитики'!AI560,WeightedRevAge09)-SUMIF(ThresholdAge09,"&lt;"&amp;'19_Расчет_аналитики'!AI560,WeightedMinAge09),MAX(CapacityAge09*'01_Вводные'!$B$218*'19_Расчет_аналитики'!AI560,MeanMinAge09)))</f>
        <v/>
      </c>
      <c r="AJ500">
        <f>IF(OR(('19_Расчет_аналитики'!AJ416-'19_Расчет_аналитики'!AJ444)=0,9&lt;='01_Вводные'!$B$297),0,('19_Расчет_аналитики'!AJ416-'19_Расчет_аналитики'!AJ444)*IF('01_Вводные'!$B$239="Да",MeanMinAge09+'19_Расчет_аналитики'!AJ560*SUMIF(ThresholdAge09,"&lt;"&amp;'19_Расчет_аналитики'!AJ560,WeightedRevAge09)-SUMIF(ThresholdAge09,"&lt;"&amp;'19_Расчет_аналитики'!AJ560,WeightedMinAge09),MAX(CapacityAge09*'01_Вводные'!$B$218*'19_Расчет_аналитики'!AJ560,MeanMinAge09)))</f>
        <v/>
      </c>
      <c r="AK500">
        <f>IF(OR(('19_Расчет_аналитики'!AK416-'19_Расчет_аналитики'!AK444)=0,9&lt;='01_Вводные'!$B$297),0,('19_Расчет_аналитики'!AK416-'19_Расчет_аналитики'!AK444)*IF('01_Вводные'!$B$239="Да",MeanMinAge09+'19_Расчет_аналитики'!AK560*SUMIF(ThresholdAge09,"&lt;"&amp;'19_Расчет_аналитики'!AK560,WeightedRevAge09)-SUMIF(ThresholdAge09,"&lt;"&amp;'19_Расчет_аналитики'!AK560,WeightedMinAge09),MAX(CapacityAge09*'01_Вводные'!$B$218*'19_Расчет_аналитики'!AK560,MeanMinAge09)))</f>
        <v/>
      </c>
      <c r="AL500">
        <f>IF(OR(('19_Расчет_аналитики'!AL416-'19_Расчет_аналитики'!AL444)=0,9&lt;='01_Вводные'!$B$297),0,('19_Расчет_аналитики'!AL416-'19_Расчет_аналитики'!AL444)*IF('01_Вводные'!$B$239="Да",MeanMinAge09+'19_Расчет_аналитики'!AL560*SUMIF(ThresholdAge09,"&lt;"&amp;'19_Расчет_аналитики'!AL560,WeightedRevAge09)-SUMIF(ThresholdAge09,"&lt;"&amp;'19_Расчет_аналитики'!AL560,WeightedMinAge09),MAX(CapacityAge09*'01_Вводные'!$B$218*'19_Расчет_аналитики'!AL560,MeanMinAge09)))</f>
        <v/>
      </c>
      <c r="AM500">
        <f>IF(OR(('19_Расчет_аналитики'!AM416-'19_Расчет_аналитики'!AM444)=0,9&lt;='01_Вводные'!$B$297),0,('19_Расчет_аналитики'!AM416-'19_Расчет_аналитики'!AM444)*IF('01_Вводные'!$B$239="Да",MeanMinAge09+'19_Расчет_аналитики'!AM560*SUMIF(ThresholdAge09,"&lt;"&amp;'19_Расчет_аналитики'!AM560,WeightedRevAge09)-SUMIF(ThresholdAge09,"&lt;"&amp;'19_Расчет_аналитики'!AM560,WeightedMinAge09),MAX(CapacityAge09*'01_Вводные'!$B$218*'19_Расчет_аналитики'!AM560,MeanMinAge09)))</f>
        <v/>
      </c>
      <c r="AN500">
        <f>IF(OR(('19_Расчет_аналитики'!AN416-'19_Расчет_аналитики'!AN444)=0,9&lt;='01_Вводные'!$B$297),0,('19_Расчет_аналитики'!AN416-'19_Расчет_аналитики'!AN444)*IF('01_Вводные'!$B$239="Да",MeanMinAge09+'19_Расчет_аналитики'!AN560*SUMIF(ThresholdAge09,"&lt;"&amp;'19_Расчет_аналитики'!AN560,WeightedRevAge09)-SUMIF(ThresholdAge09,"&lt;"&amp;'19_Расчет_аналитики'!AN560,WeightedMinAge09),MAX(CapacityAge09*'01_Вводные'!$B$218*'19_Расчет_аналитики'!AN560,MeanMinAge09)))</f>
        <v/>
      </c>
      <c r="AO500">
        <f>IF(OR(('19_Расчет_аналитики'!AO416-'19_Расчет_аналитики'!AO444)=0,9&lt;='01_Вводные'!$B$297),0,('19_Расчет_аналитики'!AO416-'19_Расчет_аналитики'!AO444)*IF('01_Вводные'!$B$239="Да",MeanMinAge09+'19_Расчет_аналитики'!AO560*SUMIF(ThresholdAge09,"&lt;"&amp;'19_Расчет_аналитики'!AO560,WeightedRevAge09)-SUMIF(ThresholdAge09,"&lt;"&amp;'19_Расчет_аналитики'!AO560,WeightedMinAge09),MAX(CapacityAge09*'01_Вводные'!$B$218*'19_Расчет_аналитики'!AO560,MeanMinAge09)))</f>
        <v/>
      </c>
      <c r="AP500">
        <f>IF(OR(('19_Расчет_аналитики'!AP416-'19_Расчет_аналитики'!AP444)=0,9&lt;='01_Вводные'!$B$297),0,('19_Расчет_аналитики'!AP416-'19_Расчет_аналитики'!AP444)*IF('01_Вводные'!$B$239="Да",MeanMinAge09+'19_Расчет_аналитики'!AP560*SUMIF(ThresholdAge09,"&lt;"&amp;'19_Расчет_аналитики'!AP560,WeightedRevAge09)-SUMIF(ThresholdAge09,"&lt;"&amp;'19_Расчет_аналитики'!AP560,WeightedMinAge09),MAX(CapacityAge09*'01_Вводные'!$B$218*'19_Расчет_аналитики'!AP560,MeanMinAge09)))</f>
        <v/>
      </c>
      <c r="AQ500">
        <f>IF(OR(('19_Расчет_аналитики'!AQ416-'19_Расчет_аналитики'!AQ444)=0,9&lt;='01_Вводные'!$B$297),0,('19_Расчет_аналитики'!AQ416-'19_Расчет_аналитики'!AQ444)*IF('01_Вводные'!$B$239="Да",MeanMinAge09+'19_Расчет_аналитики'!AQ560*SUMIF(ThresholdAge09,"&lt;"&amp;'19_Расчет_аналитики'!AQ560,WeightedRevAge09)-SUMIF(ThresholdAge09,"&lt;"&amp;'19_Расчет_аналитики'!AQ560,WeightedMinAge09),MAX(CapacityAge09*'01_Вводные'!$B$218*'19_Расчет_аналитики'!AQ560,MeanMinAge09)))</f>
        <v/>
      </c>
      <c r="AR500">
        <f>IF(OR(('19_Расчет_аналитики'!AR416-'19_Расчет_аналитики'!AR444)=0,9&lt;='01_Вводные'!$B$297),0,('19_Расчет_аналитики'!AR416-'19_Расчет_аналитики'!AR444)*IF('01_Вводные'!$B$239="Да",MeanMinAge09+'19_Расчет_аналитики'!AR560*SUMIF(ThresholdAge09,"&lt;"&amp;'19_Расчет_аналитики'!AR560,WeightedRevAge09)-SUMIF(ThresholdAge09,"&lt;"&amp;'19_Расчет_аналитики'!AR560,WeightedMinAge09),MAX(CapacityAge09*'01_Вводные'!$B$218*'19_Расчет_аналитики'!AR560,MeanMinAge09)))</f>
        <v/>
      </c>
      <c r="AS500">
        <f>IF(OR(('19_Расчет_аналитики'!AS416-'19_Расчет_аналитики'!AS444)=0,9&lt;='01_Вводные'!$B$297),0,('19_Расчет_аналитики'!AS416-'19_Расчет_аналитики'!AS444)*IF('01_Вводные'!$B$239="Да",MeanMinAge09+'19_Расчет_аналитики'!AS560*SUMIF(ThresholdAge09,"&lt;"&amp;'19_Расчет_аналитики'!AS560,WeightedRevAge09)-SUMIF(ThresholdAge09,"&lt;"&amp;'19_Расчет_аналитики'!AS560,WeightedMinAge09),MAX(CapacityAge09*'01_Вводные'!$B$218*'19_Расчет_аналитики'!AS560,MeanMinAge09)))</f>
        <v/>
      </c>
      <c r="AT500">
        <f>IF(OR(('19_Расчет_аналитики'!AT416-'19_Расчет_аналитики'!AT444)=0,9&lt;='01_Вводные'!$B$297),0,('19_Расчет_аналитики'!AT416-'19_Расчет_аналитики'!AT444)*IF('01_Вводные'!$B$239="Да",MeanMinAge09+'19_Расчет_аналитики'!AT560*SUMIF(ThresholdAge09,"&lt;"&amp;'19_Расчет_аналитики'!AT560,WeightedRevAge09)-SUMIF(ThresholdAge09,"&lt;"&amp;'19_Расчет_аналитики'!AT560,WeightedMinAge09),MAX(CapacityAge09*'01_Вводные'!$B$218*'19_Расчет_аналитики'!AT560,MeanMinAge09)))</f>
        <v/>
      </c>
      <c r="AU500">
        <f>IF(OR(('19_Расчет_аналитики'!AU416-'19_Расчет_аналитики'!AU444)=0,9&lt;='01_Вводные'!$B$297),0,('19_Расчет_аналитики'!AU416-'19_Расчет_аналитики'!AU444)*IF('01_Вводные'!$B$239="Да",MeanMinAge09+'19_Расчет_аналитики'!AU560*SUMIF(ThresholdAge09,"&lt;"&amp;'19_Расчет_аналитики'!AU560,WeightedRevAge09)-SUMIF(ThresholdAge09,"&lt;"&amp;'19_Расчет_аналитики'!AU560,WeightedMinAge09),MAX(CapacityAge09*'01_Вводные'!$B$218*'19_Расчет_аналитики'!AU560,MeanMinAge09)))</f>
        <v/>
      </c>
      <c r="AV500">
        <f>IF(OR(('19_Расчет_аналитики'!AV416-'19_Расчет_аналитики'!AV444)=0,9&lt;='01_Вводные'!$B$297),0,('19_Расчет_аналитики'!AV416-'19_Расчет_аналитики'!AV444)*IF('01_Вводные'!$B$239="Да",MeanMinAge09+'19_Расчет_аналитики'!AV560*SUMIF(ThresholdAge09,"&lt;"&amp;'19_Расчет_аналитики'!AV560,WeightedRevAge09)-SUMIF(ThresholdAge09,"&lt;"&amp;'19_Расчет_аналитики'!AV560,WeightedMinAge09),MAX(CapacityAge09*'01_Вводные'!$B$218*'19_Расчет_аналитики'!AV560,MeanMinAge09)))</f>
        <v/>
      </c>
      <c r="AW500">
        <f>IF(OR(('19_Расчет_аналитики'!AW416-'19_Расчет_аналитики'!AW444)=0,9&lt;='01_Вводные'!$B$297),0,('19_Расчет_аналитики'!AW416-'19_Расчет_аналитики'!AW444)*IF('01_Вводные'!$B$239="Да",MeanMinAge09+'19_Расчет_аналитики'!AW560*SUMIF(ThresholdAge09,"&lt;"&amp;'19_Расчет_аналитики'!AW560,WeightedRevAge09)-SUMIF(ThresholdAge09,"&lt;"&amp;'19_Расчет_аналитики'!AW560,WeightedMinAge09),MAX(CapacityAge09*'01_Вводные'!$B$218*'19_Расчет_аналитики'!AW560,MeanMinAge09)))</f>
        <v/>
      </c>
      <c r="AX500">
        <f>IF(OR(('19_Расчет_аналитики'!AX416-'19_Расчет_аналитики'!AX444)=0,9&lt;='01_Вводные'!$B$297),0,('19_Расчет_аналитики'!AX416-'19_Расчет_аналитики'!AX444)*IF('01_Вводные'!$B$239="Да",MeanMinAge09+'19_Расчет_аналитики'!AX560*SUMIF(ThresholdAge09,"&lt;"&amp;'19_Расчет_аналитики'!AX560,WeightedRevAge09)-SUMIF(ThresholdAge09,"&lt;"&amp;'19_Расчет_аналитики'!AX560,WeightedMinAge09),MAX(CapacityAge09*'01_Вводные'!$B$218*'19_Расчет_аналитики'!AX560,MeanMinAge09)))</f>
        <v/>
      </c>
      <c r="AY500">
        <f>IF(OR(('19_Расчет_аналитики'!AY416-'19_Расчет_аналитики'!AY444)=0,9&lt;='01_Вводные'!$B$297),0,('19_Расчет_аналитики'!AY416-'19_Расчет_аналитики'!AY444)*IF('01_Вводные'!$B$239="Да",MeanMinAge09+'19_Расчет_аналитики'!AY560*SUMIF(ThresholdAge09,"&lt;"&amp;'19_Расчет_аналитики'!AY560,WeightedRevAge09)-SUMIF(ThresholdAge09,"&lt;"&amp;'19_Расчет_аналитики'!AY560,WeightedMinAge09),MAX(CapacityAge09*'01_Вводные'!$B$218*'19_Расчет_аналитики'!AY560,MeanMinAge09)))</f>
        <v/>
      </c>
      <c r="AZ500">
        <f>IF(OR(('19_Расчет_аналитики'!AZ416-'19_Расчет_аналитики'!AZ444)=0,9&lt;='01_Вводные'!$B$297),0,('19_Расчет_аналитики'!AZ416-'19_Расчет_аналитики'!AZ444)*IF('01_Вводные'!$B$239="Да",MeanMinAge09+'19_Расчет_аналитики'!AZ560*SUMIF(ThresholdAge09,"&lt;"&amp;'19_Расчет_аналитики'!AZ560,WeightedRevAge09)-SUMIF(ThresholdAge09,"&lt;"&amp;'19_Расчет_аналитики'!AZ560,WeightedMinAge09),MAX(CapacityAge09*'01_Вводные'!$B$218*'19_Расчет_аналитики'!AZ560,MeanMinAge09)))</f>
        <v/>
      </c>
      <c r="BA500">
        <f>IF(OR(('19_Расчет_аналитики'!BA416-'19_Расчет_аналитики'!BA444)=0,9&lt;='01_Вводные'!$B$297),0,('19_Расчет_аналитики'!BA416-'19_Расчет_аналитики'!BA444)*IF('01_Вводные'!$B$239="Да",MeanMinAge09+'19_Расчет_аналитики'!BA560*SUMIF(ThresholdAge09,"&lt;"&amp;'19_Расчет_аналитики'!BA560,WeightedRevAge09)-SUMIF(ThresholdAge09,"&lt;"&amp;'19_Расчет_аналитики'!BA560,WeightedMinAge09),MAX(CapacityAge09*'01_Вводные'!$B$218*'19_Расчет_аналитики'!BA560,MeanMinAge09)))</f>
        <v/>
      </c>
      <c r="BB500">
        <f>IF(OR(('19_Расчет_аналитики'!BB416-'19_Расчет_аналитики'!BB444)=0,9&lt;='01_Вводные'!$B$297),0,('19_Расчет_аналитики'!BB416-'19_Расчет_аналитики'!BB444)*IF('01_Вводные'!$B$239="Да",MeanMinAge09+'19_Расчет_аналитики'!BB560*SUMIF(ThresholdAge09,"&lt;"&amp;'19_Расчет_аналитики'!BB560,WeightedRevAge09)-SUMIF(ThresholdAge09,"&lt;"&amp;'19_Расчет_аналитики'!BB560,WeightedMinAge09),MAX(CapacityAge09*'01_Вводные'!$B$218*'19_Расчет_аналитики'!BB560,MeanMinAge09)))</f>
        <v/>
      </c>
      <c r="BC500">
        <f>IF(OR(('19_Расчет_аналитики'!BC416-'19_Расчет_аналитики'!BC444)=0,9&lt;='01_Вводные'!$B$297),0,('19_Расчет_аналитики'!BC416-'19_Расчет_аналитики'!BC444)*IF('01_Вводные'!$B$239="Да",MeanMinAge09+'19_Расчет_аналитики'!BC560*SUMIF(ThresholdAge09,"&lt;"&amp;'19_Расчет_аналитики'!BC560,WeightedRevAge09)-SUMIF(ThresholdAge09,"&lt;"&amp;'19_Расчет_аналитики'!BC560,WeightedMinAge09),MAX(CapacityAge09*'01_Вводные'!$B$218*'19_Расчет_аналитики'!BC560,MeanMinAge09)))</f>
        <v/>
      </c>
      <c r="BD500">
        <f>IF(OR(('19_Расчет_аналитики'!BD416-'19_Расчет_аналитики'!BD444)=0,9&lt;='01_Вводные'!$B$297),0,('19_Расчет_аналитики'!BD416-'19_Расчет_аналитики'!BD444)*IF('01_Вводные'!$B$239="Да",MeanMinAge09+'19_Расчет_аналитики'!BD560*SUMIF(ThresholdAge09,"&lt;"&amp;'19_Расчет_аналитики'!BD560,WeightedRevAge09)-SUMIF(ThresholdAge09,"&lt;"&amp;'19_Расчет_аналитики'!BD560,WeightedMinAge09),MAX(CapacityAge09*'01_Вводные'!$B$218*'19_Расчет_аналитики'!BD560,MeanMinAge09)))</f>
        <v/>
      </c>
      <c r="BE500">
        <f>IF(OR(('19_Расчет_аналитики'!BE416-'19_Расчет_аналитики'!BE444)=0,9&lt;='01_Вводные'!$B$297),0,('19_Расчет_аналитики'!BE416-'19_Расчет_аналитики'!BE444)*IF('01_Вводные'!$B$239="Да",MeanMinAge09+'19_Расчет_аналитики'!BE560*SUMIF(ThresholdAge09,"&lt;"&amp;'19_Расчет_аналитики'!BE560,WeightedRevAge09)-SUMIF(ThresholdAge09,"&lt;"&amp;'19_Расчет_аналитики'!BE560,WeightedMinAge09),MAX(CapacityAge09*'01_Вводные'!$B$218*'19_Расчет_аналитики'!BE560,MeanMinAge09)))</f>
        <v/>
      </c>
      <c r="BF500">
        <f>IF(OR(('19_Расчет_аналитики'!BF416-'19_Расчет_аналитики'!BF444)=0,9&lt;='01_Вводные'!$B$297),0,('19_Расчет_аналитики'!BF416-'19_Расчет_аналитики'!BF444)*IF('01_Вводные'!$B$239="Да",MeanMinAge09+'19_Расчет_аналитики'!BF560*SUMIF(ThresholdAge09,"&lt;"&amp;'19_Расчет_аналитики'!BF560,WeightedRevAge09)-SUMIF(ThresholdAge09,"&lt;"&amp;'19_Расчет_аналитики'!BF560,WeightedMinAge09),MAX(CapacityAge09*'01_Вводные'!$B$218*'19_Расчет_аналитики'!BF560,MeanMinAge09)))</f>
        <v/>
      </c>
      <c r="BG500">
        <f>IF(OR(('19_Расчет_аналитики'!BG416-'19_Расчет_аналитики'!BG444)=0,9&lt;='01_Вводные'!$B$297),0,('19_Расчет_аналитики'!BG416-'19_Расчет_аналитики'!BG444)*IF('01_Вводные'!$B$239="Да",MeanMinAge09+'19_Расчет_аналитики'!BG560*SUMIF(ThresholdAge09,"&lt;"&amp;'19_Расчет_аналитики'!BG560,WeightedRevAge09)-SUMIF(ThresholdAge09,"&lt;"&amp;'19_Расчет_аналитики'!BG560,WeightedMinAge09),MAX(CapacityAge09*'01_Вводные'!$B$218*'19_Расчет_аналитики'!BG560,MeanMinAge09)))</f>
        <v/>
      </c>
      <c r="BH500">
        <f>IF(OR(('19_Расчет_аналитики'!BH416-'19_Расчет_аналитики'!BH444)=0,9&lt;='01_Вводные'!$B$297),0,('19_Расчет_аналитики'!BH416-'19_Расчет_аналитики'!BH444)*IF('01_Вводные'!$B$239="Да",MeanMinAge09+'19_Расчет_аналитики'!BH560*SUMIF(ThresholdAge09,"&lt;"&amp;'19_Расчет_аналитики'!BH560,WeightedRevAge09)-SUMIF(ThresholdAge09,"&lt;"&amp;'19_Расчет_аналитики'!BH560,WeightedMinAge09),MAX(CapacityAge09*'01_Вводные'!$B$218*'19_Расчет_аналитики'!BH560,MeanMinAge09)))</f>
        <v/>
      </c>
      <c r="BI500">
        <f>IF(OR(('19_Расчет_аналитики'!BI416-'19_Расчет_аналитики'!BI444)=0,9&lt;='01_Вводные'!$B$297),0,('19_Расчет_аналитики'!BI416-'19_Расчет_аналитики'!BI444)*IF('01_Вводные'!$B$239="Да",MeanMinAge09+'19_Расчет_аналитики'!BI560*SUMIF(ThresholdAge09,"&lt;"&amp;'19_Расчет_аналитики'!BI560,WeightedRevAge09)-SUMIF(ThresholdAge09,"&lt;"&amp;'19_Расчет_аналитики'!BI560,WeightedMinAge09),MAX(CapacityAge09*'01_Вводные'!$B$218*'19_Расчет_аналитики'!BI560,MeanMinAge09)))</f>
        <v/>
      </c>
      <c r="BJ500">
        <f>IF(OR(('19_Расчет_аналитики'!BJ416-'19_Расчет_аналитики'!BJ444)=0,9&lt;='01_Вводные'!$B$297),0,('19_Расчет_аналитики'!BJ416-'19_Расчет_аналитики'!BJ444)*IF('01_Вводные'!$B$239="Да",MeanMinAge09+'19_Расчет_аналитики'!BJ560*SUMIF(ThresholdAge09,"&lt;"&amp;'19_Расчет_аналитики'!BJ560,WeightedRevAge09)-SUMIF(ThresholdAge09,"&lt;"&amp;'19_Расчет_аналитики'!BJ560,WeightedMinAge09),MAX(CapacityAge09*'01_Вводные'!$B$218*'19_Расчет_аналитики'!BJ560,MeanMinAge09)))</f>
        <v/>
      </c>
      <c r="BK500">
        <f>IF(OR(('19_Расчет_аналитики'!BK416-'19_Расчет_аналитики'!BK444)=0,9&lt;='01_Вводные'!$B$297),0,('19_Расчет_аналитики'!BK416-'19_Расчет_аналитики'!BK444)*IF('01_Вводные'!$B$239="Да",MeanMinAge09+'19_Расчет_аналитики'!BK560*SUMIF(ThresholdAge09,"&lt;"&amp;'19_Расчет_аналитики'!BK560,WeightedRevAge09)-SUMIF(ThresholdAge09,"&lt;"&amp;'19_Расчет_аналитики'!BK560,WeightedMinAge09),MAX(CapacityAge09*'01_Вводные'!$B$218*'19_Расчет_аналитики'!BK560,MeanMinAge09)))</f>
        <v/>
      </c>
      <c r="BL500">
        <f>IF(OR(('19_Расчет_аналитики'!BL416-'19_Расчет_аналитики'!BL444)=0,9&lt;='01_Вводные'!$B$297),0,('19_Расчет_аналитики'!BL416-'19_Расчет_аналитики'!BL444)*IF('01_Вводные'!$B$239="Да",MeanMinAge09+'19_Расчет_аналитики'!BL560*SUMIF(ThresholdAge09,"&lt;"&amp;'19_Расчет_аналитики'!BL560,WeightedRevAge09)-SUMIF(ThresholdAge09,"&lt;"&amp;'19_Расчет_аналитики'!BL560,WeightedMinAge09),MAX(CapacityAge09*'01_Вводные'!$B$218*'19_Расчет_аналитики'!BL560,MeanMinAge09)))</f>
        <v/>
      </c>
      <c r="BM500">
        <f>IF(OR(('19_Расчет_аналитики'!BM416-'19_Расчет_аналитики'!BM444)=0,9&lt;='01_Вводные'!$B$297),0,('19_Расчет_аналитики'!BM416-'19_Расчет_аналитики'!BM444)*IF('01_Вводные'!$B$239="Да",MeanMinAge09+'19_Расчет_аналитики'!BM560*SUMIF(ThresholdAge09,"&lt;"&amp;'19_Расчет_аналитики'!BM560,WeightedRevAge09)-SUMIF(ThresholdAge09,"&lt;"&amp;'19_Расчет_аналитики'!BM560,WeightedMinAge09),MAX(CapacityAge09*'01_Вводные'!$B$218*'19_Расчет_аналитики'!BM560,MeanMinAge09)))</f>
        <v/>
      </c>
      <c r="BN500">
        <f>IF(OR(('19_Расчет_аналитики'!BN416-'19_Расчет_аналитики'!BN444)=0,9&lt;='01_Вводные'!$B$297),0,('19_Расчет_аналитики'!BN416-'19_Расчет_аналитики'!BN444)*IF('01_Вводные'!$B$239="Да",MeanMinAge09+'19_Расчет_аналитики'!BN560*SUMIF(ThresholdAge09,"&lt;"&amp;'19_Расчет_аналитики'!BN560,WeightedRevAge09)-SUMIF(ThresholdAge09,"&lt;"&amp;'19_Расчет_аналитики'!BN560,WeightedMinAge09),MAX(CapacityAge09*'01_Вводные'!$B$218*'19_Расчет_аналитики'!BN560,MeanMinAge09)))</f>
        <v/>
      </c>
      <c r="BO500">
        <f>IF(OR(('19_Расчет_аналитики'!BO416-'19_Расчет_аналитики'!BO444)=0,9&lt;='01_Вводные'!$B$297),0,('19_Расчет_аналитики'!BO416-'19_Расчет_аналитики'!BO444)*IF('01_Вводные'!$B$239="Да",MeanMinAge09+'19_Расчет_аналитики'!BO560*SUMIF(ThresholdAge09,"&lt;"&amp;'19_Расчет_аналитики'!BO560,WeightedRevAge09)-SUMIF(ThresholdAge09,"&lt;"&amp;'19_Расчет_аналитики'!BO560,WeightedMinAge09),MAX(CapacityAge09*'01_Вводные'!$B$218*'19_Расчет_аналитики'!BO560,MeanMinAge09)))</f>
        <v/>
      </c>
    </row>
    <row r="501">
      <c r="B501">
        <f>IF(OR(('06_Сеть_и_дети'!B62-'06_Сеть_и_дети'!B90)=0,10&lt;='01_Вводные'!$B$297),0,('06_Сеть_и_дети'!B62-'06_Сеть_и_дети'!B90)*IF('01_Вводные'!$B$239="Да",MeanMinAge10+'19_Расчет_аналитики'!B560*SUMIF(ThresholdAge10,"&lt;"&amp;'19_Расчет_аналитики'!B560,WeightedRevAge10)-SUMIF(ThresholdAge10,"&lt;"&amp;'19_Расчет_аналитики'!B560,WeightedMinAge10),MAX(CapacityAge10*'01_Вводные'!$B$218*'19_Расчет_аналитики'!B560,MeanMinAge10)))</f>
        <v/>
      </c>
      <c r="C501">
        <f>IF(OR(('06_Сеть_и_дети'!C62-'06_Сеть_и_дети'!C90)=0,10&lt;='01_Вводные'!$B$297),0,('06_Сеть_и_дети'!C62-'06_Сеть_и_дети'!C90)*IF('01_Вводные'!$B$239="Да",MeanMinAge10+'19_Расчет_аналитики'!C560*SUMIF(ThresholdAge10,"&lt;"&amp;'19_Расчет_аналитики'!C560,WeightedRevAge10)-SUMIF(ThresholdAge10,"&lt;"&amp;'19_Расчет_аналитики'!C560,WeightedMinAge10),MAX(CapacityAge10*'01_Вводные'!$B$218*'19_Расчет_аналитики'!C560,MeanMinAge10)))</f>
        <v/>
      </c>
      <c r="D501">
        <f>IF(OR(('06_Сеть_и_дети'!D62-'06_Сеть_и_дети'!D90)=0,10&lt;='01_Вводные'!$B$297),0,('06_Сеть_и_дети'!D62-'06_Сеть_и_дети'!D90)*IF('01_Вводные'!$B$239="Да",MeanMinAge10+'19_Расчет_аналитики'!D560*SUMIF(ThresholdAge10,"&lt;"&amp;'19_Расчет_аналитики'!D560,WeightedRevAge10)-SUMIF(ThresholdAge10,"&lt;"&amp;'19_Расчет_аналитики'!D560,WeightedMinAge10),MAX(CapacityAge10*'01_Вводные'!$B$218*'19_Расчет_аналитики'!D560,MeanMinAge10)))</f>
        <v/>
      </c>
      <c r="E501">
        <f>IF(OR(('06_Сеть_и_дети'!E62-'06_Сеть_и_дети'!E90)=0,10&lt;='01_Вводные'!$B$297),0,('06_Сеть_и_дети'!E62-'06_Сеть_и_дети'!E90)*IF('01_Вводные'!$B$239="Да",MeanMinAge10+'19_Расчет_аналитики'!E560*SUMIF(ThresholdAge10,"&lt;"&amp;'19_Расчет_аналитики'!E560,WeightedRevAge10)-SUMIF(ThresholdAge10,"&lt;"&amp;'19_Расчет_аналитики'!E560,WeightedMinAge10),MAX(CapacityAge10*'01_Вводные'!$B$218*'19_Расчет_аналитики'!E560,MeanMinAge10)))</f>
        <v/>
      </c>
      <c r="F501">
        <f>IF(OR(('06_Сеть_и_дети'!F62-'06_Сеть_и_дети'!F90)=0,10&lt;='01_Вводные'!$B$297),0,('06_Сеть_и_дети'!F62-'06_Сеть_и_дети'!F90)*IF('01_Вводные'!$B$239="Да",MeanMinAge10+'19_Расчет_аналитики'!F560*SUMIF(ThresholdAge10,"&lt;"&amp;'19_Расчет_аналитики'!F560,WeightedRevAge10)-SUMIF(ThresholdAge10,"&lt;"&amp;'19_Расчет_аналитики'!F560,WeightedMinAge10),MAX(CapacityAge10*'01_Вводные'!$B$218*'19_Расчет_аналитики'!F560,MeanMinAge10)))</f>
        <v/>
      </c>
      <c r="G501">
        <f>IF(OR(('06_Сеть_и_дети'!G62-'06_Сеть_и_дети'!G90)=0,10&lt;='01_Вводные'!$B$297),0,('06_Сеть_и_дети'!G62-'06_Сеть_и_дети'!G90)*IF('01_Вводные'!$B$239="Да",MeanMinAge10+'19_Расчет_аналитики'!G560*SUMIF(ThresholdAge10,"&lt;"&amp;'19_Расчет_аналитики'!G560,WeightedRevAge10)-SUMIF(ThresholdAge10,"&lt;"&amp;'19_Расчет_аналитики'!G560,WeightedMinAge10),MAX(CapacityAge10*'01_Вводные'!$B$218*'19_Расчет_аналитики'!G560,MeanMinAge10)))</f>
        <v/>
      </c>
      <c r="H501">
        <f>IF(OR(('06_Сеть_и_дети'!H62-'06_Сеть_и_дети'!H90)=0,10&lt;='01_Вводные'!$B$297),0,('06_Сеть_и_дети'!H62-'06_Сеть_и_дети'!H90)*IF('01_Вводные'!$B$239="Да",MeanMinAge10+'19_Расчет_аналитики'!H560*SUMIF(ThresholdAge10,"&lt;"&amp;'19_Расчет_аналитики'!H560,WeightedRevAge10)-SUMIF(ThresholdAge10,"&lt;"&amp;'19_Расчет_аналитики'!H560,WeightedMinAge10),MAX(CapacityAge10*'01_Вводные'!$B$218*'19_Расчет_аналитики'!H560,MeanMinAge10)))</f>
        <v/>
      </c>
      <c r="I501">
        <f>IF(OR(('06_Сеть_и_дети'!I62-'06_Сеть_и_дети'!I90)=0,10&lt;='01_Вводные'!$B$297),0,('06_Сеть_и_дети'!I62-'06_Сеть_и_дети'!I90)*IF('01_Вводные'!$B$239="Да",MeanMinAge10+'19_Расчет_аналитики'!I560*SUMIF(ThresholdAge10,"&lt;"&amp;'19_Расчет_аналитики'!I560,WeightedRevAge10)-SUMIF(ThresholdAge10,"&lt;"&amp;'19_Расчет_аналитики'!I560,WeightedMinAge10),MAX(CapacityAge10*'01_Вводные'!$B$218*'19_Расчет_аналитики'!I560,MeanMinAge10)))</f>
        <v/>
      </c>
      <c r="J501">
        <f>IF(OR(('06_Сеть_и_дети'!J62-'06_Сеть_и_дети'!J90)=0,10&lt;='01_Вводные'!$B$297),0,('06_Сеть_и_дети'!J62-'06_Сеть_и_дети'!J90)*IF('01_Вводные'!$B$239="Да",MeanMinAge10+'19_Расчет_аналитики'!J560*SUMIF(ThresholdAge10,"&lt;"&amp;'19_Расчет_аналитики'!J560,WeightedRevAge10)-SUMIF(ThresholdAge10,"&lt;"&amp;'19_Расчет_аналитики'!J560,WeightedMinAge10),MAX(CapacityAge10*'01_Вводные'!$B$218*'19_Расчет_аналитики'!J560,MeanMinAge10)))</f>
        <v/>
      </c>
      <c r="K501">
        <f>IF(OR(('19_Расчет_аналитики'!K417-'19_Расчет_аналитики'!K445)=0,10&lt;='01_Вводные'!$B$297),0,('19_Расчет_аналитики'!K417-'19_Расчет_аналитики'!K445)*IF('01_Вводные'!$B$239="Да",MeanMinAge10+'19_Расчет_аналитики'!K560*SUMIF(ThresholdAge10,"&lt;"&amp;'19_Расчет_аналитики'!K560,WeightedRevAge10)-SUMIF(ThresholdAge10,"&lt;"&amp;'19_Расчет_аналитики'!K560,WeightedMinAge10),MAX(CapacityAge10*'01_Вводные'!$B$218*'19_Расчет_аналитики'!K560,MeanMinAge10)))</f>
        <v/>
      </c>
      <c r="L501">
        <f>IF(OR(('19_Расчет_аналитики'!L417-'19_Расчет_аналитики'!L445)=0,10&lt;='01_Вводные'!$B$297),0,('19_Расчет_аналитики'!L417-'19_Расчет_аналитики'!L445)*IF('01_Вводные'!$B$239="Да",MeanMinAge10+'19_Расчет_аналитики'!L560*SUMIF(ThresholdAge10,"&lt;"&amp;'19_Расчет_аналитики'!L560,WeightedRevAge10)-SUMIF(ThresholdAge10,"&lt;"&amp;'19_Расчет_аналитики'!L560,WeightedMinAge10),MAX(CapacityAge10*'01_Вводные'!$B$218*'19_Расчет_аналитики'!L560,MeanMinAge10)))</f>
        <v/>
      </c>
      <c r="M501">
        <f>IF(OR(('19_Расчет_аналитики'!M417-'19_Расчет_аналитики'!M445)=0,10&lt;='01_Вводные'!$B$297),0,('19_Расчет_аналитики'!M417-'19_Расчет_аналитики'!M445)*IF('01_Вводные'!$B$239="Да",MeanMinAge10+'19_Расчет_аналитики'!M560*SUMIF(ThresholdAge10,"&lt;"&amp;'19_Расчет_аналитики'!M560,WeightedRevAge10)-SUMIF(ThresholdAge10,"&lt;"&amp;'19_Расчет_аналитики'!M560,WeightedMinAge10),MAX(CapacityAge10*'01_Вводные'!$B$218*'19_Расчет_аналитики'!M560,MeanMinAge10)))</f>
        <v/>
      </c>
      <c r="N501">
        <f>IF(OR(('19_Расчет_аналитики'!N417-'19_Расчет_аналитики'!N445)=0,10&lt;='01_Вводные'!$B$297),0,('19_Расчет_аналитики'!N417-'19_Расчет_аналитики'!N445)*IF('01_Вводные'!$B$239="Да",MeanMinAge10+'19_Расчет_аналитики'!N560*SUMIF(ThresholdAge10,"&lt;"&amp;'19_Расчет_аналитики'!N560,WeightedRevAge10)-SUMIF(ThresholdAge10,"&lt;"&amp;'19_Расчет_аналитики'!N560,WeightedMinAge10),MAX(CapacityAge10*'01_Вводные'!$B$218*'19_Расчет_аналитики'!N560,MeanMinAge10)))</f>
        <v/>
      </c>
      <c r="O501">
        <f>IF(OR(('19_Расчет_аналитики'!O417-'19_Расчет_аналитики'!O445)=0,10&lt;='01_Вводные'!$B$297),0,('19_Расчет_аналитики'!O417-'19_Расчет_аналитики'!O445)*IF('01_Вводные'!$B$239="Да",MeanMinAge10+'19_Расчет_аналитики'!O560*SUMIF(ThresholdAge10,"&lt;"&amp;'19_Расчет_аналитики'!O560,WeightedRevAge10)-SUMIF(ThresholdAge10,"&lt;"&amp;'19_Расчет_аналитики'!O560,WeightedMinAge10),MAX(CapacityAge10*'01_Вводные'!$B$218*'19_Расчет_аналитики'!O560,MeanMinAge10)))</f>
        <v/>
      </c>
      <c r="P501">
        <f>IF(OR(('19_Расчет_аналитики'!P417-'19_Расчет_аналитики'!P445)=0,10&lt;='01_Вводные'!$B$297),0,('19_Расчет_аналитики'!P417-'19_Расчет_аналитики'!P445)*IF('01_Вводные'!$B$239="Да",MeanMinAge10+'19_Расчет_аналитики'!P560*SUMIF(ThresholdAge10,"&lt;"&amp;'19_Расчет_аналитики'!P560,WeightedRevAge10)-SUMIF(ThresholdAge10,"&lt;"&amp;'19_Расчет_аналитики'!P560,WeightedMinAge10),MAX(CapacityAge10*'01_Вводные'!$B$218*'19_Расчет_аналитики'!P560,MeanMinAge10)))</f>
        <v/>
      </c>
      <c r="Q501">
        <f>IF(OR(('19_Расчет_аналитики'!Q417-'19_Расчет_аналитики'!Q445)=0,10&lt;='01_Вводные'!$B$297),0,('19_Расчет_аналитики'!Q417-'19_Расчет_аналитики'!Q445)*IF('01_Вводные'!$B$239="Да",MeanMinAge10+'19_Расчет_аналитики'!Q560*SUMIF(ThresholdAge10,"&lt;"&amp;'19_Расчет_аналитики'!Q560,WeightedRevAge10)-SUMIF(ThresholdAge10,"&lt;"&amp;'19_Расчет_аналитики'!Q560,WeightedMinAge10),MAX(CapacityAge10*'01_Вводные'!$B$218*'19_Расчет_аналитики'!Q560,MeanMinAge10)))</f>
        <v/>
      </c>
      <c r="R501">
        <f>IF(OR(('19_Расчет_аналитики'!R417-'19_Расчет_аналитики'!R445)=0,10&lt;='01_Вводные'!$B$297),0,('19_Расчет_аналитики'!R417-'19_Расчет_аналитики'!R445)*IF('01_Вводные'!$B$239="Да",MeanMinAge10+'19_Расчет_аналитики'!R560*SUMIF(ThresholdAge10,"&lt;"&amp;'19_Расчет_аналитики'!R560,WeightedRevAge10)-SUMIF(ThresholdAge10,"&lt;"&amp;'19_Расчет_аналитики'!R560,WeightedMinAge10),MAX(CapacityAge10*'01_Вводные'!$B$218*'19_Расчет_аналитики'!R560,MeanMinAge10)))</f>
        <v/>
      </c>
      <c r="S501">
        <f>IF(OR(('19_Расчет_аналитики'!S417-'19_Расчет_аналитики'!S445)=0,10&lt;='01_Вводные'!$B$297),0,('19_Расчет_аналитики'!S417-'19_Расчет_аналитики'!S445)*IF('01_Вводные'!$B$239="Да",MeanMinAge10+'19_Расчет_аналитики'!S560*SUMIF(ThresholdAge10,"&lt;"&amp;'19_Расчет_аналитики'!S560,WeightedRevAge10)-SUMIF(ThresholdAge10,"&lt;"&amp;'19_Расчет_аналитики'!S560,WeightedMinAge10),MAX(CapacityAge10*'01_Вводные'!$B$218*'19_Расчет_аналитики'!S560,MeanMinAge10)))</f>
        <v/>
      </c>
      <c r="T501">
        <f>IF(OR(('19_Расчет_аналитики'!T417-'19_Расчет_аналитики'!T445)=0,10&lt;='01_Вводные'!$B$297),0,('19_Расчет_аналитики'!T417-'19_Расчет_аналитики'!T445)*IF('01_Вводные'!$B$239="Да",MeanMinAge10+'19_Расчет_аналитики'!T560*SUMIF(ThresholdAge10,"&lt;"&amp;'19_Расчет_аналитики'!T560,WeightedRevAge10)-SUMIF(ThresholdAge10,"&lt;"&amp;'19_Расчет_аналитики'!T560,WeightedMinAge10),MAX(CapacityAge10*'01_Вводные'!$B$218*'19_Расчет_аналитики'!T560,MeanMinAge10)))</f>
        <v/>
      </c>
      <c r="U501">
        <f>IF(OR(('19_Расчет_аналитики'!U417-'19_Расчет_аналитики'!U445)=0,10&lt;='01_Вводные'!$B$297),0,('19_Расчет_аналитики'!U417-'19_Расчет_аналитики'!U445)*IF('01_Вводные'!$B$239="Да",MeanMinAge10+'19_Расчет_аналитики'!U560*SUMIF(ThresholdAge10,"&lt;"&amp;'19_Расчет_аналитики'!U560,WeightedRevAge10)-SUMIF(ThresholdAge10,"&lt;"&amp;'19_Расчет_аналитики'!U560,WeightedMinAge10),MAX(CapacityAge10*'01_Вводные'!$B$218*'19_Расчет_аналитики'!U560,MeanMinAge10)))</f>
        <v/>
      </c>
      <c r="V501">
        <f>IF(OR(('19_Расчет_аналитики'!V417-'19_Расчет_аналитики'!V445)=0,10&lt;='01_Вводные'!$B$297),0,('19_Расчет_аналитики'!V417-'19_Расчет_аналитики'!V445)*IF('01_Вводные'!$B$239="Да",MeanMinAge10+'19_Расчет_аналитики'!V560*SUMIF(ThresholdAge10,"&lt;"&amp;'19_Расчет_аналитики'!V560,WeightedRevAge10)-SUMIF(ThresholdAge10,"&lt;"&amp;'19_Расчет_аналитики'!V560,WeightedMinAge10),MAX(CapacityAge10*'01_Вводные'!$B$218*'19_Расчет_аналитики'!V560,MeanMinAge10)))</f>
        <v/>
      </c>
      <c r="W501">
        <f>IF(OR(('19_Расчет_аналитики'!W417-'19_Расчет_аналитики'!W445)=0,10&lt;='01_Вводные'!$B$297),0,('19_Расчет_аналитики'!W417-'19_Расчет_аналитики'!W445)*IF('01_Вводные'!$B$239="Да",MeanMinAge10+'19_Расчет_аналитики'!W560*SUMIF(ThresholdAge10,"&lt;"&amp;'19_Расчет_аналитики'!W560,WeightedRevAge10)-SUMIF(ThresholdAge10,"&lt;"&amp;'19_Расчет_аналитики'!W560,WeightedMinAge10),MAX(CapacityAge10*'01_Вводные'!$B$218*'19_Расчет_аналитики'!W560,MeanMinAge10)))</f>
        <v/>
      </c>
      <c r="X501">
        <f>IF(OR(('19_Расчет_аналитики'!X417-'19_Расчет_аналитики'!X445)=0,10&lt;='01_Вводные'!$B$297),0,('19_Расчет_аналитики'!X417-'19_Расчет_аналитики'!X445)*IF('01_Вводные'!$B$239="Да",MeanMinAge10+'19_Расчет_аналитики'!X560*SUMIF(ThresholdAge10,"&lt;"&amp;'19_Расчет_аналитики'!X560,WeightedRevAge10)-SUMIF(ThresholdAge10,"&lt;"&amp;'19_Расчет_аналитики'!X560,WeightedMinAge10),MAX(CapacityAge10*'01_Вводные'!$B$218*'19_Расчет_аналитики'!X560,MeanMinAge10)))</f>
        <v/>
      </c>
      <c r="Y501">
        <f>IF(OR(('19_Расчет_аналитики'!Y417-'19_Расчет_аналитики'!Y445)=0,10&lt;='01_Вводные'!$B$297),0,('19_Расчет_аналитики'!Y417-'19_Расчет_аналитики'!Y445)*IF('01_Вводные'!$B$239="Да",MeanMinAge10+'19_Расчет_аналитики'!Y560*SUMIF(ThresholdAge10,"&lt;"&amp;'19_Расчет_аналитики'!Y560,WeightedRevAge10)-SUMIF(ThresholdAge10,"&lt;"&amp;'19_Расчет_аналитики'!Y560,WeightedMinAge10),MAX(CapacityAge10*'01_Вводные'!$B$218*'19_Расчет_аналитики'!Y560,MeanMinAge10)))</f>
        <v/>
      </c>
      <c r="Z501">
        <f>IF(OR(('19_Расчет_аналитики'!Z417-'19_Расчет_аналитики'!Z445)=0,10&lt;='01_Вводные'!$B$297),0,('19_Расчет_аналитики'!Z417-'19_Расчет_аналитики'!Z445)*IF('01_Вводные'!$B$239="Да",MeanMinAge10+'19_Расчет_аналитики'!Z560*SUMIF(ThresholdAge10,"&lt;"&amp;'19_Расчет_аналитики'!Z560,WeightedRevAge10)-SUMIF(ThresholdAge10,"&lt;"&amp;'19_Расчет_аналитики'!Z560,WeightedMinAge10),MAX(CapacityAge10*'01_Вводные'!$B$218*'19_Расчет_аналитики'!Z560,MeanMinAge10)))</f>
        <v/>
      </c>
      <c r="AA501">
        <f>IF(OR(('19_Расчет_аналитики'!AA417-'19_Расчет_аналитики'!AA445)=0,10&lt;='01_Вводные'!$B$297),0,('19_Расчет_аналитики'!AA417-'19_Расчет_аналитики'!AA445)*IF('01_Вводные'!$B$239="Да",MeanMinAge10+'19_Расчет_аналитики'!AA560*SUMIF(ThresholdAge10,"&lt;"&amp;'19_Расчет_аналитики'!AA560,WeightedRevAge10)-SUMIF(ThresholdAge10,"&lt;"&amp;'19_Расчет_аналитики'!AA560,WeightedMinAge10),MAX(CapacityAge10*'01_Вводные'!$B$218*'19_Расчет_аналитики'!AA560,MeanMinAge10)))</f>
        <v/>
      </c>
      <c r="AB501">
        <f>IF(OR(('19_Расчет_аналитики'!AB417-'19_Расчет_аналитики'!AB445)=0,10&lt;='01_Вводные'!$B$297),0,('19_Расчет_аналитики'!AB417-'19_Расчет_аналитики'!AB445)*IF('01_Вводные'!$B$239="Да",MeanMinAge10+'19_Расчет_аналитики'!AB560*SUMIF(ThresholdAge10,"&lt;"&amp;'19_Расчет_аналитики'!AB560,WeightedRevAge10)-SUMIF(ThresholdAge10,"&lt;"&amp;'19_Расчет_аналитики'!AB560,WeightedMinAge10),MAX(CapacityAge10*'01_Вводные'!$B$218*'19_Расчет_аналитики'!AB560,MeanMinAge10)))</f>
        <v/>
      </c>
      <c r="AC501">
        <f>IF(OR(('19_Расчет_аналитики'!AC417-'19_Расчет_аналитики'!AC445)=0,10&lt;='01_Вводные'!$B$297),0,('19_Расчет_аналитики'!AC417-'19_Расчет_аналитики'!AC445)*IF('01_Вводные'!$B$239="Да",MeanMinAge10+'19_Расчет_аналитики'!AC560*SUMIF(ThresholdAge10,"&lt;"&amp;'19_Расчет_аналитики'!AC560,WeightedRevAge10)-SUMIF(ThresholdAge10,"&lt;"&amp;'19_Расчет_аналитики'!AC560,WeightedMinAge10),MAX(CapacityAge10*'01_Вводные'!$B$218*'19_Расчет_аналитики'!AC560,MeanMinAge10)))</f>
        <v/>
      </c>
      <c r="AD501">
        <f>IF(OR(('19_Расчет_аналитики'!AD417-'19_Расчет_аналитики'!AD445)=0,10&lt;='01_Вводные'!$B$297),0,('19_Расчет_аналитики'!AD417-'19_Расчет_аналитики'!AD445)*IF('01_Вводные'!$B$239="Да",MeanMinAge10+'19_Расчет_аналитики'!AD560*SUMIF(ThresholdAge10,"&lt;"&amp;'19_Расчет_аналитики'!AD560,WeightedRevAge10)-SUMIF(ThresholdAge10,"&lt;"&amp;'19_Расчет_аналитики'!AD560,WeightedMinAge10),MAX(CapacityAge10*'01_Вводные'!$B$218*'19_Расчет_аналитики'!AD560,MeanMinAge10)))</f>
        <v/>
      </c>
      <c r="AE501">
        <f>IF(OR(('19_Расчет_аналитики'!AE417-'19_Расчет_аналитики'!AE445)=0,10&lt;='01_Вводные'!$B$297),0,('19_Расчет_аналитики'!AE417-'19_Расчет_аналитики'!AE445)*IF('01_Вводные'!$B$239="Да",MeanMinAge10+'19_Расчет_аналитики'!AE560*SUMIF(ThresholdAge10,"&lt;"&amp;'19_Расчет_аналитики'!AE560,WeightedRevAge10)-SUMIF(ThresholdAge10,"&lt;"&amp;'19_Расчет_аналитики'!AE560,WeightedMinAge10),MAX(CapacityAge10*'01_Вводные'!$B$218*'19_Расчет_аналитики'!AE560,MeanMinAge10)))</f>
        <v/>
      </c>
      <c r="AF501">
        <f>IF(OR(('19_Расчет_аналитики'!AF417-'19_Расчет_аналитики'!AF445)=0,10&lt;='01_Вводные'!$B$297),0,('19_Расчет_аналитики'!AF417-'19_Расчет_аналитики'!AF445)*IF('01_Вводные'!$B$239="Да",MeanMinAge10+'19_Расчет_аналитики'!AF560*SUMIF(ThresholdAge10,"&lt;"&amp;'19_Расчет_аналитики'!AF560,WeightedRevAge10)-SUMIF(ThresholdAge10,"&lt;"&amp;'19_Расчет_аналитики'!AF560,WeightedMinAge10),MAX(CapacityAge10*'01_Вводные'!$B$218*'19_Расчет_аналитики'!AF560,MeanMinAge10)))</f>
        <v/>
      </c>
      <c r="AG501">
        <f>IF(OR(('19_Расчет_аналитики'!AG417-'19_Расчет_аналитики'!AG445)=0,10&lt;='01_Вводные'!$B$297),0,('19_Расчет_аналитики'!AG417-'19_Расчет_аналитики'!AG445)*IF('01_Вводные'!$B$239="Да",MeanMinAge10+'19_Расчет_аналитики'!AG560*SUMIF(ThresholdAge10,"&lt;"&amp;'19_Расчет_аналитики'!AG560,WeightedRevAge10)-SUMIF(ThresholdAge10,"&lt;"&amp;'19_Расчет_аналитики'!AG560,WeightedMinAge10),MAX(CapacityAge10*'01_Вводные'!$B$218*'19_Расчет_аналитики'!AG560,MeanMinAge10)))</f>
        <v/>
      </c>
      <c r="AH501">
        <f>IF(OR(('19_Расчет_аналитики'!AH417-'19_Расчет_аналитики'!AH445)=0,10&lt;='01_Вводные'!$B$297),0,('19_Расчет_аналитики'!AH417-'19_Расчет_аналитики'!AH445)*IF('01_Вводные'!$B$239="Да",MeanMinAge10+'19_Расчет_аналитики'!AH560*SUMIF(ThresholdAge10,"&lt;"&amp;'19_Расчет_аналитики'!AH560,WeightedRevAge10)-SUMIF(ThresholdAge10,"&lt;"&amp;'19_Расчет_аналитики'!AH560,WeightedMinAge10),MAX(CapacityAge10*'01_Вводные'!$B$218*'19_Расчет_аналитики'!AH560,MeanMinAge10)))</f>
        <v/>
      </c>
      <c r="AI501">
        <f>IF(OR(('19_Расчет_аналитики'!AI417-'19_Расчет_аналитики'!AI445)=0,10&lt;='01_Вводные'!$B$297),0,('19_Расчет_аналитики'!AI417-'19_Расчет_аналитики'!AI445)*IF('01_Вводные'!$B$239="Да",MeanMinAge10+'19_Расчет_аналитики'!AI560*SUMIF(ThresholdAge10,"&lt;"&amp;'19_Расчет_аналитики'!AI560,WeightedRevAge10)-SUMIF(ThresholdAge10,"&lt;"&amp;'19_Расчет_аналитики'!AI560,WeightedMinAge10),MAX(CapacityAge10*'01_Вводные'!$B$218*'19_Расчет_аналитики'!AI560,MeanMinAge10)))</f>
        <v/>
      </c>
      <c r="AJ501">
        <f>IF(OR(('19_Расчет_аналитики'!AJ417-'19_Расчет_аналитики'!AJ445)=0,10&lt;='01_Вводные'!$B$297),0,('19_Расчет_аналитики'!AJ417-'19_Расчет_аналитики'!AJ445)*IF('01_Вводные'!$B$239="Да",MeanMinAge10+'19_Расчет_аналитики'!AJ560*SUMIF(ThresholdAge10,"&lt;"&amp;'19_Расчет_аналитики'!AJ560,WeightedRevAge10)-SUMIF(ThresholdAge10,"&lt;"&amp;'19_Расчет_аналитики'!AJ560,WeightedMinAge10),MAX(CapacityAge10*'01_Вводные'!$B$218*'19_Расчет_аналитики'!AJ560,MeanMinAge10)))</f>
        <v/>
      </c>
      <c r="AK501">
        <f>IF(OR(('19_Расчет_аналитики'!AK417-'19_Расчет_аналитики'!AK445)=0,10&lt;='01_Вводные'!$B$297),0,('19_Расчет_аналитики'!AK417-'19_Расчет_аналитики'!AK445)*IF('01_Вводные'!$B$239="Да",MeanMinAge10+'19_Расчет_аналитики'!AK560*SUMIF(ThresholdAge10,"&lt;"&amp;'19_Расчет_аналитики'!AK560,WeightedRevAge10)-SUMIF(ThresholdAge10,"&lt;"&amp;'19_Расчет_аналитики'!AK560,WeightedMinAge10),MAX(CapacityAge10*'01_Вводные'!$B$218*'19_Расчет_аналитики'!AK560,MeanMinAge10)))</f>
        <v/>
      </c>
      <c r="AL501">
        <f>IF(OR(('19_Расчет_аналитики'!AL417-'19_Расчет_аналитики'!AL445)=0,10&lt;='01_Вводные'!$B$297),0,('19_Расчет_аналитики'!AL417-'19_Расчет_аналитики'!AL445)*IF('01_Вводные'!$B$239="Да",MeanMinAge10+'19_Расчет_аналитики'!AL560*SUMIF(ThresholdAge10,"&lt;"&amp;'19_Расчет_аналитики'!AL560,WeightedRevAge10)-SUMIF(ThresholdAge10,"&lt;"&amp;'19_Расчет_аналитики'!AL560,WeightedMinAge10),MAX(CapacityAge10*'01_Вводные'!$B$218*'19_Расчет_аналитики'!AL560,MeanMinAge10)))</f>
        <v/>
      </c>
      <c r="AM501">
        <f>IF(OR(('19_Расчет_аналитики'!AM417-'19_Расчет_аналитики'!AM445)=0,10&lt;='01_Вводные'!$B$297),0,('19_Расчет_аналитики'!AM417-'19_Расчет_аналитики'!AM445)*IF('01_Вводные'!$B$239="Да",MeanMinAge10+'19_Расчет_аналитики'!AM560*SUMIF(ThresholdAge10,"&lt;"&amp;'19_Расчет_аналитики'!AM560,WeightedRevAge10)-SUMIF(ThresholdAge10,"&lt;"&amp;'19_Расчет_аналитики'!AM560,WeightedMinAge10),MAX(CapacityAge10*'01_Вводные'!$B$218*'19_Расчет_аналитики'!AM560,MeanMinAge10)))</f>
        <v/>
      </c>
      <c r="AN501">
        <f>IF(OR(('19_Расчет_аналитики'!AN417-'19_Расчет_аналитики'!AN445)=0,10&lt;='01_Вводные'!$B$297),0,('19_Расчет_аналитики'!AN417-'19_Расчет_аналитики'!AN445)*IF('01_Вводные'!$B$239="Да",MeanMinAge10+'19_Расчет_аналитики'!AN560*SUMIF(ThresholdAge10,"&lt;"&amp;'19_Расчет_аналитики'!AN560,WeightedRevAge10)-SUMIF(ThresholdAge10,"&lt;"&amp;'19_Расчет_аналитики'!AN560,WeightedMinAge10),MAX(CapacityAge10*'01_Вводные'!$B$218*'19_Расчет_аналитики'!AN560,MeanMinAge10)))</f>
        <v/>
      </c>
      <c r="AO501">
        <f>IF(OR(('19_Расчет_аналитики'!AO417-'19_Расчет_аналитики'!AO445)=0,10&lt;='01_Вводные'!$B$297),0,('19_Расчет_аналитики'!AO417-'19_Расчет_аналитики'!AO445)*IF('01_Вводные'!$B$239="Да",MeanMinAge10+'19_Расчет_аналитики'!AO560*SUMIF(ThresholdAge10,"&lt;"&amp;'19_Расчет_аналитики'!AO560,WeightedRevAge10)-SUMIF(ThresholdAge10,"&lt;"&amp;'19_Расчет_аналитики'!AO560,WeightedMinAge10),MAX(CapacityAge10*'01_Вводные'!$B$218*'19_Расчет_аналитики'!AO560,MeanMinAge10)))</f>
        <v/>
      </c>
      <c r="AP501">
        <f>IF(OR(('19_Расчет_аналитики'!AP417-'19_Расчет_аналитики'!AP445)=0,10&lt;='01_Вводные'!$B$297),0,('19_Расчет_аналитики'!AP417-'19_Расчет_аналитики'!AP445)*IF('01_Вводные'!$B$239="Да",MeanMinAge10+'19_Расчет_аналитики'!AP560*SUMIF(ThresholdAge10,"&lt;"&amp;'19_Расчет_аналитики'!AP560,WeightedRevAge10)-SUMIF(ThresholdAge10,"&lt;"&amp;'19_Расчет_аналитики'!AP560,WeightedMinAge10),MAX(CapacityAge10*'01_Вводные'!$B$218*'19_Расчет_аналитики'!AP560,MeanMinAge10)))</f>
        <v/>
      </c>
      <c r="AQ501">
        <f>IF(OR(('19_Расчет_аналитики'!AQ417-'19_Расчет_аналитики'!AQ445)=0,10&lt;='01_Вводные'!$B$297),0,('19_Расчет_аналитики'!AQ417-'19_Расчет_аналитики'!AQ445)*IF('01_Вводные'!$B$239="Да",MeanMinAge10+'19_Расчет_аналитики'!AQ560*SUMIF(ThresholdAge10,"&lt;"&amp;'19_Расчет_аналитики'!AQ560,WeightedRevAge10)-SUMIF(ThresholdAge10,"&lt;"&amp;'19_Расчет_аналитики'!AQ560,WeightedMinAge10),MAX(CapacityAge10*'01_Вводные'!$B$218*'19_Расчет_аналитики'!AQ560,MeanMinAge10)))</f>
        <v/>
      </c>
      <c r="AR501">
        <f>IF(OR(('19_Расчет_аналитики'!AR417-'19_Расчет_аналитики'!AR445)=0,10&lt;='01_Вводные'!$B$297),0,('19_Расчет_аналитики'!AR417-'19_Расчет_аналитики'!AR445)*IF('01_Вводные'!$B$239="Да",MeanMinAge10+'19_Расчет_аналитики'!AR560*SUMIF(ThresholdAge10,"&lt;"&amp;'19_Расчет_аналитики'!AR560,WeightedRevAge10)-SUMIF(ThresholdAge10,"&lt;"&amp;'19_Расчет_аналитики'!AR560,WeightedMinAge10),MAX(CapacityAge10*'01_Вводные'!$B$218*'19_Расчет_аналитики'!AR560,MeanMinAge10)))</f>
        <v/>
      </c>
      <c r="AS501">
        <f>IF(OR(('19_Расчет_аналитики'!AS417-'19_Расчет_аналитики'!AS445)=0,10&lt;='01_Вводные'!$B$297),0,('19_Расчет_аналитики'!AS417-'19_Расчет_аналитики'!AS445)*IF('01_Вводные'!$B$239="Да",MeanMinAge10+'19_Расчет_аналитики'!AS560*SUMIF(ThresholdAge10,"&lt;"&amp;'19_Расчет_аналитики'!AS560,WeightedRevAge10)-SUMIF(ThresholdAge10,"&lt;"&amp;'19_Расчет_аналитики'!AS560,WeightedMinAge10),MAX(CapacityAge10*'01_Вводные'!$B$218*'19_Расчет_аналитики'!AS560,MeanMinAge10)))</f>
        <v/>
      </c>
      <c r="AT501">
        <f>IF(OR(('19_Расчет_аналитики'!AT417-'19_Расчет_аналитики'!AT445)=0,10&lt;='01_Вводные'!$B$297),0,('19_Расчет_аналитики'!AT417-'19_Расчет_аналитики'!AT445)*IF('01_Вводные'!$B$239="Да",MeanMinAge10+'19_Расчет_аналитики'!AT560*SUMIF(ThresholdAge10,"&lt;"&amp;'19_Расчет_аналитики'!AT560,WeightedRevAge10)-SUMIF(ThresholdAge10,"&lt;"&amp;'19_Расчет_аналитики'!AT560,WeightedMinAge10),MAX(CapacityAge10*'01_Вводные'!$B$218*'19_Расчет_аналитики'!AT560,MeanMinAge10)))</f>
        <v/>
      </c>
      <c r="AU501">
        <f>IF(OR(('19_Расчет_аналитики'!AU417-'19_Расчет_аналитики'!AU445)=0,10&lt;='01_Вводные'!$B$297),0,('19_Расчет_аналитики'!AU417-'19_Расчет_аналитики'!AU445)*IF('01_Вводные'!$B$239="Да",MeanMinAge10+'19_Расчет_аналитики'!AU560*SUMIF(ThresholdAge10,"&lt;"&amp;'19_Расчет_аналитики'!AU560,WeightedRevAge10)-SUMIF(ThresholdAge10,"&lt;"&amp;'19_Расчет_аналитики'!AU560,WeightedMinAge10),MAX(CapacityAge10*'01_Вводные'!$B$218*'19_Расчет_аналитики'!AU560,MeanMinAge10)))</f>
        <v/>
      </c>
      <c r="AV501">
        <f>IF(OR(('19_Расчет_аналитики'!AV417-'19_Расчет_аналитики'!AV445)=0,10&lt;='01_Вводные'!$B$297),0,('19_Расчет_аналитики'!AV417-'19_Расчет_аналитики'!AV445)*IF('01_Вводные'!$B$239="Да",MeanMinAge10+'19_Расчет_аналитики'!AV560*SUMIF(ThresholdAge10,"&lt;"&amp;'19_Расчет_аналитики'!AV560,WeightedRevAge10)-SUMIF(ThresholdAge10,"&lt;"&amp;'19_Расчет_аналитики'!AV560,WeightedMinAge10),MAX(CapacityAge10*'01_Вводные'!$B$218*'19_Расчет_аналитики'!AV560,MeanMinAge10)))</f>
        <v/>
      </c>
      <c r="AW501">
        <f>IF(OR(('19_Расчет_аналитики'!AW417-'19_Расчет_аналитики'!AW445)=0,10&lt;='01_Вводные'!$B$297),0,('19_Расчет_аналитики'!AW417-'19_Расчет_аналитики'!AW445)*IF('01_Вводные'!$B$239="Да",MeanMinAge10+'19_Расчет_аналитики'!AW560*SUMIF(ThresholdAge10,"&lt;"&amp;'19_Расчет_аналитики'!AW560,WeightedRevAge10)-SUMIF(ThresholdAge10,"&lt;"&amp;'19_Расчет_аналитики'!AW560,WeightedMinAge10),MAX(CapacityAge10*'01_Вводные'!$B$218*'19_Расчет_аналитики'!AW560,MeanMinAge10)))</f>
        <v/>
      </c>
      <c r="AX501">
        <f>IF(OR(('19_Расчет_аналитики'!AX417-'19_Расчет_аналитики'!AX445)=0,10&lt;='01_Вводные'!$B$297),0,('19_Расчет_аналитики'!AX417-'19_Расчет_аналитики'!AX445)*IF('01_Вводные'!$B$239="Да",MeanMinAge10+'19_Расчет_аналитики'!AX560*SUMIF(ThresholdAge10,"&lt;"&amp;'19_Расчет_аналитики'!AX560,WeightedRevAge10)-SUMIF(ThresholdAge10,"&lt;"&amp;'19_Расчет_аналитики'!AX560,WeightedMinAge10),MAX(CapacityAge10*'01_Вводные'!$B$218*'19_Расчет_аналитики'!AX560,MeanMinAge10)))</f>
        <v/>
      </c>
      <c r="AY501">
        <f>IF(OR(('19_Расчет_аналитики'!AY417-'19_Расчет_аналитики'!AY445)=0,10&lt;='01_Вводные'!$B$297),0,('19_Расчет_аналитики'!AY417-'19_Расчет_аналитики'!AY445)*IF('01_Вводные'!$B$239="Да",MeanMinAge10+'19_Расчет_аналитики'!AY560*SUMIF(ThresholdAge10,"&lt;"&amp;'19_Расчет_аналитики'!AY560,WeightedRevAge10)-SUMIF(ThresholdAge10,"&lt;"&amp;'19_Расчет_аналитики'!AY560,WeightedMinAge10),MAX(CapacityAge10*'01_Вводные'!$B$218*'19_Расчет_аналитики'!AY560,MeanMinAge10)))</f>
        <v/>
      </c>
      <c r="AZ501">
        <f>IF(OR(('19_Расчет_аналитики'!AZ417-'19_Расчет_аналитики'!AZ445)=0,10&lt;='01_Вводные'!$B$297),0,('19_Расчет_аналитики'!AZ417-'19_Расчет_аналитики'!AZ445)*IF('01_Вводные'!$B$239="Да",MeanMinAge10+'19_Расчет_аналитики'!AZ560*SUMIF(ThresholdAge10,"&lt;"&amp;'19_Расчет_аналитики'!AZ560,WeightedRevAge10)-SUMIF(ThresholdAge10,"&lt;"&amp;'19_Расчет_аналитики'!AZ560,WeightedMinAge10),MAX(CapacityAge10*'01_Вводные'!$B$218*'19_Расчет_аналитики'!AZ560,MeanMinAge10)))</f>
        <v/>
      </c>
      <c r="BA501">
        <f>IF(OR(('19_Расчет_аналитики'!BA417-'19_Расчет_аналитики'!BA445)=0,10&lt;='01_Вводные'!$B$297),0,('19_Расчет_аналитики'!BA417-'19_Расчет_аналитики'!BA445)*IF('01_Вводные'!$B$239="Да",MeanMinAge10+'19_Расчет_аналитики'!BA560*SUMIF(ThresholdAge10,"&lt;"&amp;'19_Расчет_аналитики'!BA560,WeightedRevAge10)-SUMIF(ThresholdAge10,"&lt;"&amp;'19_Расчет_аналитики'!BA560,WeightedMinAge10),MAX(CapacityAge10*'01_Вводные'!$B$218*'19_Расчет_аналитики'!BA560,MeanMinAge10)))</f>
        <v/>
      </c>
      <c r="BB501">
        <f>IF(OR(('19_Расчет_аналитики'!BB417-'19_Расчет_аналитики'!BB445)=0,10&lt;='01_Вводные'!$B$297),0,('19_Расчет_аналитики'!BB417-'19_Расчет_аналитики'!BB445)*IF('01_Вводные'!$B$239="Да",MeanMinAge10+'19_Расчет_аналитики'!BB560*SUMIF(ThresholdAge10,"&lt;"&amp;'19_Расчет_аналитики'!BB560,WeightedRevAge10)-SUMIF(ThresholdAge10,"&lt;"&amp;'19_Расчет_аналитики'!BB560,WeightedMinAge10),MAX(CapacityAge10*'01_Вводные'!$B$218*'19_Расчет_аналитики'!BB560,MeanMinAge10)))</f>
        <v/>
      </c>
      <c r="BC501">
        <f>IF(OR(('19_Расчет_аналитики'!BC417-'19_Расчет_аналитики'!BC445)=0,10&lt;='01_Вводные'!$B$297),0,('19_Расчет_аналитики'!BC417-'19_Расчет_аналитики'!BC445)*IF('01_Вводные'!$B$239="Да",MeanMinAge10+'19_Расчет_аналитики'!BC560*SUMIF(ThresholdAge10,"&lt;"&amp;'19_Расчет_аналитики'!BC560,WeightedRevAge10)-SUMIF(ThresholdAge10,"&lt;"&amp;'19_Расчет_аналитики'!BC560,WeightedMinAge10),MAX(CapacityAge10*'01_Вводные'!$B$218*'19_Расчет_аналитики'!BC560,MeanMinAge10)))</f>
        <v/>
      </c>
      <c r="BD501">
        <f>IF(OR(('19_Расчет_аналитики'!BD417-'19_Расчет_аналитики'!BD445)=0,10&lt;='01_Вводные'!$B$297),0,('19_Расчет_аналитики'!BD417-'19_Расчет_аналитики'!BD445)*IF('01_Вводные'!$B$239="Да",MeanMinAge10+'19_Расчет_аналитики'!BD560*SUMIF(ThresholdAge10,"&lt;"&amp;'19_Расчет_аналитики'!BD560,WeightedRevAge10)-SUMIF(ThresholdAge10,"&lt;"&amp;'19_Расчет_аналитики'!BD560,WeightedMinAge10),MAX(CapacityAge10*'01_Вводные'!$B$218*'19_Расчет_аналитики'!BD560,MeanMinAge10)))</f>
        <v/>
      </c>
      <c r="BE501">
        <f>IF(OR(('19_Расчет_аналитики'!BE417-'19_Расчет_аналитики'!BE445)=0,10&lt;='01_Вводные'!$B$297),0,('19_Расчет_аналитики'!BE417-'19_Расчет_аналитики'!BE445)*IF('01_Вводные'!$B$239="Да",MeanMinAge10+'19_Расчет_аналитики'!BE560*SUMIF(ThresholdAge10,"&lt;"&amp;'19_Расчет_аналитики'!BE560,WeightedRevAge10)-SUMIF(ThresholdAge10,"&lt;"&amp;'19_Расчет_аналитики'!BE560,WeightedMinAge10),MAX(CapacityAge10*'01_Вводные'!$B$218*'19_Расчет_аналитики'!BE560,MeanMinAge10)))</f>
        <v/>
      </c>
      <c r="BF501">
        <f>IF(OR(('19_Расчет_аналитики'!BF417-'19_Расчет_аналитики'!BF445)=0,10&lt;='01_Вводные'!$B$297),0,('19_Расчет_аналитики'!BF417-'19_Расчет_аналитики'!BF445)*IF('01_Вводные'!$B$239="Да",MeanMinAge10+'19_Расчет_аналитики'!BF560*SUMIF(ThresholdAge10,"&lt;"&amp;'19_Расчет_аналитики'!BF560,WeightedRevAge10)-SUMIF(ThresholdAge10,"&lt;"&amp;'19_Расчет_аналитики'!BF560,WeightedMinAge10),MAX(CapacityAge10*'01_Вводные'!$B$218*'19_Расчет_аналитики'!BF560,MeanMinAge10)))</f>
        <v/>
      </c>
      <c r="BG501">
        <f>IF(OR(('19_Расчет_аналитики'!BG417-'19_Расчет_аналитики'!BG445)=0,10&lt;='01_Вводные'!$B$297),0,('19_Расчет_аналитики'!BG417-'19_Расчет_аналитики'!BG445)*IF('01_Вводные'!$B$239="Да",MeanMinAge10+'19_Расчет_аналитики'!BG560*SUMIF(ThresholdAge10,"&lt;"&amp;'19_Расчет_аналитики'!BG560,WeightedRevAge10)-SUMIF(ThresholdAge10,"&lt;"&amp;'19_Расчет_аналитики'!BG560,WeightedMinAge10),MAX(CapacityAge10*'01_Вводные'!$B$218*'19_Расчет_аналитики'!BG560,MeanMinAge10)))</f>
        <v/>
      </c>
      <c r="BH501">
        <f>IF(OR(('19_Расчет_аналитики'!BH417-'19_Расчет_аналитики'!BH445)=0,10&lt;='01_Вводные'!$B$297),0,('19_Расчет_аналитики'!BH417-'19_Расчет_аналитики'!BH445)*IF('01_Вводные'!$B$239="Да",MeanMinAge10+'19_Расчет_аналитики'!BH560*SUMIF(ThresholdAge10,"&lt;"&amp;'19_Расчет_аналитики'!BH560,WeightedRevAge10)-SUMIF(ThresholdAge10,"&lt;"&amp;'19_Расчет_аналитики'!BH560,WeightedMinAge10),MAX(CapacityAge10*'01_Вводные'!$B$218*'19_Расчет_аналитики'!BH560,MeanMinAge10)))</f>
        <v/>
      </c>
      <c r="BI501">
        <f>IF(OR(('19_Расчет_аналитики'!BI417-'19_Расчет_аналитики'!BI445)=0,10&lt;='01_Вводные'!$B$297),0,('19_Расчет_аналитики'!BI417-'19_Расчет_аналитики'!BI445)*IF('01_Вводные'!$B$239="Да",MeanMinAge10+'19_Расчет_аналитики'!BI560*SUMIF(ThresholdAge10,"&lt;"&amp;'19_Расчет_аналитики'!BI560,WeightedRevAge10)-SUMIF(ThresholdAge10,"&lt;"&amp;'19_Расчет_аналитики'!BI560,WeightedMinAge10),MAX(CapacityAge10*'01_Вводные'!$B$218*'19_Расчет_аналитики'!BI560,MeanMinAge10)))</f>
        <v/>
      </c>
      <c r="BJ501">
        <f>IF(OR(('19_Расчет_аналитики'!BJ417-'19_Расчет_аналитики'!BJ445)=0,10&lt;='01_Вводные'!$B$297),0,('19_Расчет_аналитики'!BJ417-'19_Расчет_аналитики'!BJ445)*IF('01_Вводные'!$B$239="Да",MeanMinAge10+'19_Расчет_аналитики'!BJ560*SUMIF(ThresholdAge10,"&lt;"&amp;'19_Расчет_аналитики'!BJ560,WeightedRevAge10)-SUMIF(ThresholdAge10,"&lt;"&amp;'19_Расчет_аналитики'!BJ560,WeightedMinAge10),MAX(CapacityAge10*'01_Вводные'!$B$218*'19_Расчет_аналитики'!BJ560,MeanMinAge10)))</f>
        <v/>
      </c>
      <c r="BK501">
        <f>IF(OR(('19_Расчет_аналитики'!BK417-'19_Расчет_аналитики'!BK445)=0,10&lt;='01_Вводные'!$B$297),0,('19_Расчет_аналитики'!BK417-'19_Расчет_аналитики'!BK445)*IF('01_Вводные'!$B$239="Да",MeanMinAge10+'19_Расчет_аналитики'!BK560*SUMIF(ThresholdAge10,"&lt;"&amp;'19_Расчет_аналитики'!BK560,WeightedRevAge10)-SUMIF(ThresholdAge10,"&lt;"&amp;'19_Расчет_аналитики'!BK560,WeightedMinAge10),MAX(CapacityAge10*'01_Вводные'!$B$218*'19_Расчет_аналитики'!BK560,MeanMinAge10)))</f>
        <v/>
      </c>
      <c r="BL501">
        <f>IF(OR(('19_Расчет_аналитики'!BL417-'19_Расчет_аналитики'!BL445)=0,10&lt;='01_Вводные'!$B$297),0,('19_Расчет_аналитики'!BL417-'19_Расчет_аналитики'!BL445)*IF('01_Вводные'!$B$239="Да",MeanMinAge10+'19_Расчет_аналитики'!BL560*SUMIF(ThresholdAge10,"&lt;"&amp;'19_Расчет_аналитики'!BL560,WeightedRevAge10)-SUMIF(ThresholdAge10,"&lt;"&amp;'19_Расчет_аналитики'!BL560,WeightedMinAge10),MAX(CapacityAge10*'01_Вводные'!$B$218*'19_Расчет_аналитики'!BL560,MeanMinAge10)))</f>
        <v/>
      </c>
      <c r="BM501">
        <f>IF(OR(('19_Расчет_аналитики'!BM417-'19_Расчет_аналитики'!BM445)=0,10&lt;='01_Вводные'!$B$297),0,('19_Расчет_аналитики'!BM417-'19_Расчет_аналитики'!BM445)*IF('01_Вводные'!$B$239="Да",MeanMinAge10+'19_Расчет_аналитики'!BM560*SUMIF(ThresholdAge10,"&lt;"&amp;'19_Расчет_аналитики'!BM560,WeightedRevAge10)-SUMIF(ThresholdAge10,"&lt;"&amp;'19_Расчет_аналитики'!BM560,WeightedMinAge10),MAX(CapacityAge10*'01_Вводные'!$B$218*'19_Расчет_аналитики'!BM560,MeanMinAge10)))</f>
        <v/>
      </c>
      <c r="BN501">
        <f>IF(OR(('19_Расчет_аналитики'!BN417-'19_Расчет_аналитики'!BN445)=0,10&lt;='01_Вводные'!$B$297),0,('19_Расчет_аналитики'!BN417-'19_Расчет_аналитики'!BN445)*IF('01_Вводные'!$B$239="Да",MeanMinAge10+'19_Расчет_аналитики'!BN560*SUMIF(ThresholdAge10,"&lt;"&amp;'19_Расчет_аналитики'!BN560,WeightedRevAge10)-SUMIF(ThresholdAge10,"&lt;"&amp;'19_Расчет_аналитики'!BN560,WeightedMinAge10),MAX(CapacityAge10*'01_Вводные'!$B$218*'19_Расчет_аналитики'!BN560,MeanMinAge10)))</f>
        <v/>
      </c>
      <c r="BO501">
        <f>IF(OR(('19_Расчет_аналитики'!BO417-'19_Расчет_аналитики'!BO445)=0,10&lt;='01_Вводные'!$B$297),0,('19_Расчет_аналитики'!BO417-'19_Расчет_аналитики'!BO445)*IF('01_Вводные'!$B$239="Да",MeanMinAge10+'19_Расчет_аналитики'!BO560*SUMIF(ThresholdAge10,"&lt;"&amp;'19_Расчет_аналитики'!BO560,WeightedRevAge10)-SUMIF(ThresholdAge10,"&lt;"&amp;'19_Расчет_аналитики'!BO560,WeightedMinAge10),MAX(CapacityAge10*'01_Вводные'!$B$218*'19_Расчет_аналитики'!BO560,MeanMinAge10)))</f>
        <v/>
      </c>
    </row>
    <row r="502">
      <c r="B502">
        <f>IF(OR(('06_Сеть_и_дети'!B63-'06_Сеть_и_дети'!B91)=0,11&lt;='01_Вводные'!$B$297),0,('06_Сеть_и_дети'!B63-'06_Сеть_и_дети'!B91)*IF('01_Вводные'!$B$239="Да",MeanMinAge11+'19_Расчет_аналитики'!B560*SUMIF(ThresholdAge11,"&lt;"&amp;'19_Расчет_аналитики'!B560,WeightedRevAge11)-SUMIF(ThresholdAge11,"&lt;"&amp;'19_Расчет_аналитики'!B560,WeightedMinAge11),MAX(CapacityAge11*'01_Вводные'!$B$218*'19_Расчет_аналитики'!B560,MeanMinAge11)))</f>
        <v/>
      </c>
      <c r="C502">
        <f>IF(OR(('06_Сеть_и_дети'!C63-'06_Сеть_и_дети'!C91)=0,11&lt;='01_Вводные'!$B$297),0,('06_Сеть_и_дети'!C63-'06_Сеть_и_дети'!C91)*IF('01_Вводные'!$B$239="Да",MeanMinAge11+'19_Расчет_аналитики'!C560*SUMIF(ThresholdAge11,"&lt;"&amp;'19_Расчет_аналитики'!C560,WeightedRevAge11)-SUMIF(ThresholdAge11,"&lt;"&amp;'19_Расчет_аналитики'!C560,WeightedMinAge11),MAX(CapacityAge11*'01_Вводные'!$B$218*'19_Расчет_аналитики'!C560,MeanMinAge11)))</f>
        <v/>
      </c>
      <c r="D502">
        <f>IF(OR(('06_Сеть_и_дети'!D63-'06_Сеть_и_дети'!D91)=0,11&lt;='01_Вводные'!$B$297),0,('06_Сеть_и_дети'!D63-'06_Сеть_и_дети'!D91)*IF('01_Вводные'!$B$239="Да",MeanMinAge11+'19_Расчет_аналитики'!D560*SUMIF(ThresholdAge11,"&lt;"&amp;'19_Расчет_аналитики'!D560,WeightedRevAge11)-SUMIF(ThresholdAge11,"&lt;"&amp;'19_Расчет_аналитики'!D560,WeightedMinAge11),MAX(CapacityAge11*'01_Вводные'!$B$218*'19_Расчет_аналитики'!D560,MeanMinAge11)))</f>
        <v/>
      </c>
      <c r="E502">
        <f>IF(OR(('06_Сеть_и_дети'!E63-'06_Сеть_и_дети'!E91)=0,11&lt;='01_Вводные'!$B$297),0,('06_Сеть_и_дети'!E63-'06_Сеть_и_дети'!E91)*IF('01_Вводные'!$B$239="Да",MeanMinAge11+'19_Расчет_аналитики'!E560*SUMIF(ThresholdAge11,"&lt;"&amp;'19_Расчет_аналитики'!E560,WeightedRevAge11)-SUMIF(ThresholdAge11,"&lt;"&amp;'19_Расчет_аналитики'!E560,WeightedMinAge11),MAX(CapacityAge11*'01_Вводные'!$B$218*'19_Расчет_аналитики'!E560,MeanMinAge11)))</f>
        <v/>
      </c>
      <c r="F502">
        <f>IF(OR(('06_Сеть_и_дети'!F63-'06_Сеть_и_дети'!F91)=0,11&lt;='01_Вводные'!$B$297),0,('06_Сеть_и_дети'!F63-'06_Сеть_и_дети'!F91)*IF('01_Вводные'!$B$239="Да",MeanMinAge11+'19_Расчет_аналитики'!F560*SUMIF(ThresholdAge11,"&lt;"&amp;'19_Расчет_аналитики'!F560,WeightedRevAge11)-SUMIF(ThresholdAge11,"&lt;"&amp;'19_Расчет_аналитики'!F560,WeightedMinAge11),MAX(CapacityAge11*'01_Вводные'!$B$218*'19_Расчет_аналитики'!F560,MeanMinAge11)))</f>
        <v/>
      </c>
      <c r="G502">
        <f>IF(OR(('06_Сеть_и_дети'!G63-'06_Сеть_и_дети'!G91)=0,11&lt;='01_Вводные'!$B$297),0,('06_Сеть_и_дети'!G63-'06_Сеть_и_дети'!G91)*IF('01_Вводные'!$B$239="Да",MeanMinAge11+'19_Расчет_аналитики'!G560*SUMIF(ThresholdAge11,"&lt;"&amp;'19_Расчет_аналитики'!G560,WeightedRevAge11)-SUMIF(ThresholdAge11,"&lt;"&amp;'19_Расчет_аналитики'!G560,WeightedMinAge11),MAX(CapacityAge11*'01_Вводные'!$B$218*'19_Расчет_аналитики'!G560,MeanMinAge11)))</f>
        <v/>
      </c>
      <c r="H502">
        <f>IF(OR(('06_Сеть_и_дети'!H63-'06_Сеть_и_дети'!H91)=0,11&lt;='01_Вводные'!$B$297),0,('06_Сеть_и_дети'!H63-'06_Сеть_и_дети'!H91)*IF('01_Вводные'!$B$239="Да",MeanMinAge11+'19_Расчет_аналитики'!H560*SUMIF(ThresholdAge11,"&lt;"&amp;'19_Расчет_аналитики'!H560,WeightedRevAge11)-SUMIF(ThresholdAge11,"&lt;"&amp;'19_Расчет_аналитики'!H560,WeightedMinAge11),MAX(CapacityAge11*'01_Вводные'!$B$218*'19_Расчет_аналитики'!H560,MeanMinAge11)))</f>
        <v/>
      </c>
      <c r="I502">
        <f>IF(OR(('06_Сеть_и_дети'!I63-'06_Сеть_и_дети'!I91)=0,11&lt;='01_Вводные'!$B$297),0,('06_Сеть_и_дети'!I63-'06_Сеть_и_дети'!I91)*IF('01_Вводные'!$B$239="Да",MeanMinAge11+'19_Расчет_аналитики'!I560*SUMIF(ThresholdAge11,"&lt;"&amp;'19_Расчет_аналитики'!I560,WeightedRevAge11)-SUMIF(ThresholdAge11,"&lt;"&amp;'19_Расчет_аналитики'!I560,WeightedMinAge11),MAX(CapacityAge11*'01_Вводные'!$B$218*'19_Расчет_аналитики'!I560,MeanMinAge11)))</f>
        <v/>
      </c>
      <c r="J502">
        <f>IF(OR(('06_Сеть_и_дети'!J63-'06_Сеть_и_дети'!J91)=0,11&lt;='01_Вводные'!$B$297),0,('06_Сеть_и_дети'!J63-'06_Сеть_и_дети'!J91)*IF('01_Вводные'!$B$239="Да",MeanMinAge11+'19_Расчет_аналитики'!J560*SUMIF(ThresholdAge11,"&lt;"&amp;'19_Расчет_аналитики'!J560,WeightedRevAge11)-SUMIF(ThresholdAge11,"&lt;"&amp;'19_Расчет_аналитики'!J560,WeightedMinAge11),MAX(CapacityAge11*'01_Вводные'!$B$218*'19_Расчет_аналитики'!J560,MeanMinAge11)))</f>
        <v/>
      </c>
      <c r="K502">
        <f>IF(OR(('06_Сеть_и_дети'!K63-'06_Сеть_и_дети'!K91)=0,11&lt;='01_Вводные'!$B$297),0,('06_Сеть_и_дети'!K63-'06_Сеть_и_дети'!K91)*IF('01_Вводные'!$B$239="Да",MeanMinAge11+'19_Расчет_аналитики'!K560*SUMIF(ThresholdAge11,"&lt;"&amp;'19_Расчет_аналитики'!K560,WeightedRevAge11)-SUMIF(ThresholdAge11,"&lt;"&amp;'19_Расчет_аналитики'!K560,WeightedMinAge11),MAX(CapacityAge11*'01_Вводные'!$B$218*'19_Расчет_аналитики'!K560,MeanMinAge11)))</f>
        <v/>
      </c>
      <c r="L502">
        <f>IF(OR(('19_Расчет_аналитики'!L418-'19_Расчет_аналитики'!L446)=0,11&lt;='01_Вводные'!$B$297),0,('19_Расчет_аналитики'!L418-'19_Расчет_аналитики'!L446)*IF('01_Вводные'!$B$239="Да",MeanMinAge11+'19_Расчет_аналитики'!L560*SUMIF(ThresholdAge11,"&lt;"&amp;'19_Расчет_аналитики'!L560,WeightedRevAge11)-SUMIF(ThresholdAge11,"&lt;"&amp;'19_Расчет_аналитики'!L560,WeightedMinAge11),MAX(CapacityAge11*'01_Вводные'!$B$218*'19_Расчет_аналитики'!L560,MeanMinAge11)))</f>
        <v/>
      </c>
      <c r="M502">
        <f>IF(OR(('19_Расчет_аналитики'!M418-'19_Расчет_аналитики'!M446)=0,11&lt;='01_Вводные'!$B$297),0,('19_Расчет_аналитики'!M418-'19_Расчет_аналитики'!M446)*IF('01_Вводные'!$B$239="Да",MeanMinAge11+'19_Расчет_аналитики'!M560*SUMIF(ThresholdAge11,"&lt;"&amp;'19_Расчет_аналитики'!M560,WeightedRevAge11)-SUMIF(ThresholdAge11,"&lt;"&amp;'19_Расчет_аналитики'!M560,WeightedMinAge11),MAX(CapacityAge11*'01_Вводные'!$B$218*'19_Расчет_аналитики'!M560,MeanMinAge11)))</f>
        <v/>
      </c>
      <c r="N502">
        <f>IF(OR(('19_Расчет_аналитики'!N418-'19_Расчет_аналитики'!N446)=0,11&lt;='01_Вводные'!$B$297),0,('19_Расчет_аналитики'!N418-'19_Расчет_аналитики'!N446)*IF('01_Вводные'!$B$239="Да",MeanMinAge11+'19_Расчет_аналитики'!N560*SUMIF(ThresholdAge11,"&lt;"&amp;'19_Расчет_аналитики'!N560,WeightedRevAge11)-SUMIF(ThresholdAge11,"&lt;"&amp;'19_Расчет_аналитики'!N560,WeightedMinAge11),MAX(CapacityAge11*'01_Вводные'!$B$218*'19_Расчет_аналитики'!N560,MeanMinAge11)))</f>
        <v/>
      </c>
      <c r="O502">
        <f>IF(OR(('19_Расчет_аналитики'!O418-'19_Расчет_аналитики'!O446)=0,11&lt;='01_Вводные'!$B$297),0,('19_Расчет_аналитики'!O418-'19_Расчет_аналитики'!O446)*IF('01_Вводные'!$B$239="Да",MeanMinAge11+'19_Расчет_аналитики'!O560*SUMIF(ThresholdAge11,"&lt;"&amp;'19_Расчет_аналитики'!O560,WeightedRevAge11)-SUMIF(ThresholdAge11,"&lt;"&amp;'19_Расчет_аналитики'!O560,WeightedMinAge11),MAX(CapacityAge11*'01_Вводные'!$B$218*'19_Расчет_аналитики'!O560,MeanMinAge11)))</f>
        <v/>
      </c>
      <c r="P502">
        <f>IF(OR(('19_Расчет_аналитики'!P418-'19_Расчет_аналитики'!P446)=0,11&lt;='01_Вводные'!$B$297),0,('19_Расчет_аналитики'!P418-'19_Расчет_аналитики'!P446)*IF('01_Вводные'!$B$239="Да",MeanMinAge11+'19_Расчет_аналитики'!P560*SUMIF(ThresholdAge11,"&lt;"&amp;'19_Расчет_аналитики'!P560,WeightedRevAge11)-SUMIF(ThresholdAge11,"&lt;"&amp;'19_Расчет_аналитики'!P560,WeightedMinAge11),MAX(CapacityAge11*'01_Вводные'!$B$218*'19_Расчет_аналитики'!P560,MeanMinAge11)))</f>
        <v/>
      </c>
      <c r="Q502">
        <f>IF(OR(('19_Расчет_аналитики'!Q418-'19_Расчет_аналитики'!Q446)=0,11&lt;='01_Вводные'!$B$297),0,('19_Расчет_аналитики'!Q418-'19_Расчет_аналитики'!Q446)*IF('01_Вводные'!$B$239="Да",MeanMinAge11+'19_Расчет_аналитики'!Q560*SUMIF(ThresholdAge11,"&lt;"&amp;'19_Расчет_аналитики'!Q560,WeightedRevAge11)-SUMIF(ThresholdAge11,"&lt;"&amp;'19_Расчет_аналитики'!Q560,WeightedMinAge11),MAX(CapacityAge11*'01_Вводные'!$B$218*'19_Расчет_аналитики'!Q560,MeanMinAge11)))</f>
        <v/>
      </c>
      <c r="R502">
        <f>IF(OR(('19_Расчет_аналитики'!R418-'19_Расчет_аналитики'!R446)=0,11&lt;='01_Вводные'!$B$297),0,('19_Расчет_аналитики'!R418-'19_Расчет_аналитики'!R446)*IF('01_Вводные'!$B$239="Да",MeanMinAge11+'19_Расчет_аналитики'!R560*SUMIF(ThresholdAge11,"&lt;"&amp;'19_Расчет_аналитики'!R560,WeightedRevAge11)-SUMIF(ThresholdAge11,"&lt;"&amp;'19_Расчет_аналитики'!R560,WeightedMinAge11),MAX(CapacityAge11*'01_Вводные'!$B$218*'19_Расчет_аналитики'!R560,MeanMinAge11)))</f>
        <v/>
      </c>
      <c r="S502">
        <f>IF(OR(('19_Расчет_аналитики'!S418-'19_Расчет_аналитики'!S446)=0,11&lt;='01_Вводные'!$B$297),0,('19_Расчет_аналитики'!S418-'19_Расчет_аналитики'!S446)*IF('01_Вводные'!$B$239="Да",MeanMinAge11+'19_Расчет_аналитики'!S560*SUMIF(ThresholdAge11,"&lt;"&amp;'19_Расчет_аналитики'!S560,WeightedRevAge11)-SUMIF(ThresholdAge11,"&lt;"&amp;'19_Расчет_аналитики'!S560,WeightedMinAge11),MAX(CapacityAge11*'01_Вводные'!$B$218*'19_Расчет_аналитики'!S560,MeanMinAge11)))</f>
        <v/>
      </c>
      <c r="T502">
        <f>IF(OR(('19_Расчет_аналитики'!T418-'19_Расчет_аналитики'!T446)=0,11&lt;='01_Вводные'!$B$297),0,('19_Расчет_аналитики'!T418-'19_Расчет_аналитики'!T446)*IF('01_Вводные'!$B$239="Да",MeanMinAge11+'19_Расчет_аналитики'!T560*SUMIF(ThresholdAge11,"&lt;"&amp;'19_Расчет_аналитики'!T560,WeightedRevAge11)-SUMIF(ThresholdAge11,"&lt;"&amp;'19_Расчет_аналитики'!T560,WeightedMinAge11),MAX(CapacityAge11*'01_Вводные'!$B$218*'19_Расчет_аналитики'!T560,MeanMinAge11)))</f>
        <v/>
      </c>
      <c r="U502">
        <f>IF(OR(('19_Расчет_аналитики'!U418-'19_Расчет_аналитики'!U446)=0,11&lt;='01_Вводные'!$B$297),0,('19_Расчет_аналитики'!U418-'19_Расчет_аналитики'!U446)*IF('01_Вводные'!$B$239="Да",MeanMinAge11+'19_Расчет_аналитики'!U560*SUMIF(ThresholdAge11,"&lt;"&amp;'19_Расчет_аналитики'!U560,WeightedRevAge11)-SUMIF(ThresholdAge11,"&lt;"&amp;'19_Расчет_аналитики'!U560,WeightedMinAge11),MAX(CapacityAge11*'01_Вводные'!$B$218*'19_Расчет_аналитики'!U560,MeanMinAge11)))</f>
        <v/>
      </c>
      <c r="V502">
        <f>IF(OR(('19_Расчет_аналитики'!V418-'19_Расчет_аналитики'!V446)=0,11&lt;='01_Вводные'!$B$297),0,('19_Расчет_аналитики'!V418-'19_Расчет_аналитики'!V446)*IF('01_Вводные'!$B$239="Да",MeanMinAge11+'19_Расчет_аналитики'!V560*SUMIF(ThresholdAge11,"&lt;"&amp;'19_Расчет_аналитики'!V560,WeightedRevAge11)-SUMIF(ThresholdAge11,"&lt;"&amp;'19_Расчет_аналитики'!V560,WeightedMinAge11),MAX(CapacityAge11*'01_Вводные'!$B$218*'19_Расчет_аналитики'!V560,MeanMinAge11)))</f>
        <v/>
      </c>
      <c r="W502">
        <f>IF(OR(('19_Расчет_аналитики'!W418-'19_Расчет_аналитики'!W446)=0,11&lt;='01_Вводные'!$B$297),0,('19_Расчет_аналитики'!W418-'19_Расчет_аналитики'!W446)*IF('01_Вводные'!$B$239="Да",MeanMinAge11+'19_Расчет_аналитики'!W560*SUMIF(ThresholdAge11,"&lt;"&amp;'19_Расчет_аналитики'!W560,WeightedRevAge11)-SUMIF(ThresholdAge11,"&lt;"&amp;'19_Расчет_аналитики'!W560,WeightedMinAge11),MAX(CapacityAge11*'01_Вводные'!$B$218*'19_Расчет_аналитики'!W560,MeanMinAge11)))</f>
        <v/>
      </c>
      <c r="X502">
        <f>IF(OR(('19_Расчет_аналитики'!X418-'19_Расчет_аналитики'!X446)=0,11&lt;='01_Вводные'!$B$297),0,('19_Расчет_аналитики'!X418-'19_Расчет_аналитики'!X446)*IF('01_Вводные'!$B$239="Да",MeanMinAge11+'19_Расчет_аналитики'!X560*SUMIF(ThresholdAge11,"&lt;"&amp;'19_Расчет_аналитики'!X560,WeightedRevAge11)-SUMIF(ThresholdAge11,"&lt;"&amp;'19_Расчет_аналитики'!X560,WeightedMinAge11),MAX(CapacityAge11*'01_Вводные'!$B$218*'19_Расчет_аналитики'!X560,MeanMinAge11)))</f>
        <v/>
      </c>
      <c r="Y502">
        <f>IF(OR(('19_Расчет_аналитики'!Y418-'19_Расчет_аналитики'!Y446)=0,11&lt;='01_Вводные'!$B$297),0,('19_Расчет_аналитики'!Y418-'19_Расчет_аналитики'!Y446)*IF('01_Вводные'!$B$239="Да",MeanMinAge11+'19_Расчет_аналитики'!Y560*SUMIF(ThresholdAge11,"&lt;"&amp;'19_Расчет_аналитики'!Y560,WeightedRevAge11)-SUMIF(ThresholdAge11,"&lt;"&amp;'19_Расчет_аналитики'!Y560,WeightedMinAge11),MAX(CapacityAge11*'01_Вводные'!$B$218*'19_Расчет_аналитики'!Y560,MeanMinAge11)))</f>
        <v/>
      </c>
      <c r="Z502">
        <f>IF(OR(('19_Расчет_аналитики'!Z418-'19_Расчет_аналитики'!Z446)=0,11&lt;='01_Вводные'!$B$297),0,('19_Расчет_аналитики'!Z418-'19_Расчет_аналитики'!Z446)*IF('01_Вводные'!$B$239="Да",MeanMinAge11+'19_Расчет_аналитики'!Z560*SUMIF(ThresholdAge11,"&lt;"&amp;'19_Расчет_аналитики'!Z560,WeightedRevAge11)-SUMIF(ThresholdAge11,"&lt;"&amp;'19_Расчет_аналитики'!Z560,WeightedMinAge11),MAX(CapacityAge11*'01_Вводные'!$B$218*'19_Расчет_аналитики'!Z560,MeanMinAge11)))</f>
        <v/>
      </c>
      <c r="AA502">
        <f>IF(OR(('19_Расчет_аналитики'!AA418-'19_Расчет_аналитики'!AA446)=0,11&lt;='01_Вводные'!$B$297),0,('19_Расчет_аналитики'!AA418-'19_Расчет_аналитики'!AA446)*IF('01_Вводные'!$B$239="Да",MeanMinAge11+'19_Расчет_аналитики'!AA560*SUMIF(ThresholdAge11,"&lt;"&amp;'19_Расчет_аналитики'!AA560,WeightedRevAge11)-SUMIF(ThresholdAge11,"&lt;"&amp;'19_Расчет_аналитики'!AA560,WeightedMinAge11),MAX(CapacityAge11*'01_Вводные'!$B$218*'19_Расчет_аналитики'!AA560,MeanMinAge11)))</f>
        <v/>
      </c>
      <c r="AB502">
        <f>IF(OR(('19_Расчет_аналитики'!AB418-'19_Расчет_аналитики'!AB446)=0,11&lt;='01_Вводные'!$B$297),0,('19_Расчет_аналитики'!AB418-'19_Расчет_аналитики'!AB446)*IF('01_Вводные'!$B$239="Да",MeanMinAge11+'19_Расчет_аналитики'!AB560*SUMIF(ThresholdAge11,"&lt;"&amp;'19_Расчет_аналитики'!AB560,WeightedRevAge11)-SUMIF(ThresholdAge11,"&lt;"&amp;'19_Расчет_аналитики'!AB560,WeightedMinAge11),MAX(CapacityAge11*'01_Вводные'!$B$218*'19_Расчет_аналитики'!AB560,MeanMinAge11)))</f>
        <v/>
      </c>
      <c r="AC502">
        <f>IF(OR(('19_Расчет_аналитики'!AC418-'19_Расчет_аналитики'!AC446)=0,11&lt;='01_Вводные'!$B$297),0,('19_Расчет_аналитики'!AC418-'19_Расчет_аналитики'!AC446)*IF('01_Вводные'!$B$239="Да",MeanMinAge11+'19_Расчет_аналитики'!AC560*SUMIF(ThresholdAge11,"&lt;"&amp;'19_Расчет_аналитики'!AC560,WeightedRevAge11)-SUMIF(ThresholdAge11,"&lt;"&amp;'19_Расчет_аналитики'!AC560,WeightedMinAge11),MAX(CapacityAge11*'01_Вводные'!$B$218*'19_Расчет_аналитики'!AC560,MeanMinAge11)))</f>
        <v/>
      </c>
      <c r="AD502">
        <f>IF(OR(('19_Расчет_аналитики'!AD418-'19_Расчет_аналитики'!AD446)=0,11&lt;='01_Вводные'!$B$297),0,('19_Расчет_аналитики'!AD418-'19_Расчет_аналитики'!AD446)*IF('01_Вводные'!$B$239="Да",MeanMinAge11+'19_Расчет_аналитики'!AD560*SUMIF(ThresholdAge11,"&lt;"&amp;'19_Расчет_аналитики'!AD560,WeightedRevAge11)-SUMIF(ThresholdAge11,"&lt;"&amp;'19_Расчет_аналитики'!AD560,WeightedMinAge11),MAX(CapacityAge11*'01_Вводные'!$B$218*'19_Расчет_аналитики'!AD560,MeanMinAge11)))</f>
        <v/>
      </c>
      <c r="AE502">
        <f>IF(OR(('19_Расчет_аналитики'!AE418-'19_Расчет_аналитики'!AE446)=0,11&lt;='01_Вводные'!$B$297),0,('19_Расчет_аналитики'!AE418-'19_Расчет_аналитики'!AE446)*IF('01_Вводные'!$B$239="Да",MeanMinAge11+'19_Расчет_аналитики'!AE560*SUMIF(ThresholdAge11,"&lt;"&amp;'19_Расчет_аналитики'!AE560,WeightedRevAge11)-SUMIF(ThresholdAge11,"&lt;"&amp;'19_Расчет_аналитики'!AE560,WeightedMinAge11),MAX(CapacityAge11*'01_Вводные'!$B$218*'19_Расчет_аналитики'!AE560,MeanMinAge11)))</f>
        <v/>
      </c>
      <c r="AF502">
        <f>IF(OR(('19_Расчет_аналитики'!AF418-'19_Расчет_аналитики'!AF446)=0,11&lt;='01_Вводные'!$B$297),0,('19_Расчет_аналитики'!AF418-'19_Расчет_аналитики'!AF446)*IF('01_Вводные'!$B$239="Да",MeanMinAge11+'19_Расчет_аналитики'!AF560*SUMIF(ThresholdAge11,"&lt;"&amp;'19_Расчет_аналитики'!AF560,WeightedRevAge11)-SUMIF(ThresholdAge11,"&lt;"&amp;'19_Расчет_аналитики'!AF560,WeightedMinAge11),MAX(CapacityAge11*'01_Вводные'!$B$218*'19_Расчет_аналитики'!AF560,MeanMinAge11)))</f>
        <v/>
      </c>
      <c r="AG502">
        <f>IF(OR(('19_Расчет_аналитики'!AG418-'19_Расчет_аналитики'!AG446)=0,11&lt;='01_Вводные'!$B$297),0,('19_Расчет_аналитики'!AG418-'19_Расчет_аналитики'!AG446)*IF('01_Вводные'!$B$239="Да",MeanMinAge11+'19_Расчет_аналитики'!AG560*SUMIF(ThresholdAge11,"&lt;"&amp;'19_Расчет_аналитики'!AG560,WeightedRevAge11)-SUMIF(ThresholdAge11,"&lt;"&amp;'19_Расчет_аналитики'!AG560,WeightedMinAge11),MAX(CapacityAge11*'01_Вводные'!$B$218*'19_Расчет_аналитики'!AG560,MeanMinAge11)))</f>
        <v/>
      </c>
      <c r="AH502">
        <f>IF(OR(('19_Расчет_аналитики'!AH418-'19_Расчет_аналитики'!AH446)=0,11&lt;='01_Вводные'!$B$297),0,('19_Расчет_аналитики'!AH418-'19_Расчет_аналитики'!AH446)*IF('01_Вводные'!$B$239="Да",MeanMinAge11+'19_Расчет_аналитики'!AH560*SUMIF(ThresholdAge11,"&lt;"&amp;'19_Расчет_аналитики'!AH560,WeightedRevAge11)-SUMIF(ThresholdAge11,"&lt;"&amp;'19_Расчет_аналитики'!AH560,WeightedMinAge11),MAX(CapacityAge11*'01_Вводные'!$B$218*'19_Расчет_аналитики'!AH560,MeanMinAge11)))</f>
        <v/>
      </c>
      <c r="AI502">
        <f>IF(OR(('19_Расчет_аналитики'!AI418-'19_Расчет_аналитики'!AI446)=0,11&lt;='01_Вводные'!$B$297),0,('19_Расчет_аналитики'!AI418-'19_Расчет_аналитики'!AI446)*IF('01_Вводные'!$B$239="Да",MeanMinAge11+'19_Расчет_аналитики'!AI560*SUMIF(ThresholdAge11,"&lt;"&amp;'19_Расчет_аналитики'!AI560,WeightedRevAge11)-SUMIF(ThresholdAge11,"&lt;"&amp;'19_Расчет_аналитики'!AI560,WeightedMinAge11),MAX(CapacityAge11*'01_Вводные'!$B$218*'19_Расчет_аналитики'!AI560,MeanMinAge11)))</f>
        <v/>
      </c>
      <c r="AJ502">
        <f>IF(OR(('19_Расчет_аналитики'!AJ418-'19_Расчет_аналитики'!AJ446)=0,11&lt;='01_Вводные'!$B$297),0,('19_Расчет_аналитики'!AJ418-'19_Расчет_аналитики'!AJ446)*IF('01_Вводные'!$B$239="Да",MeanMinAge11+'19_Расчет_аналитики'!AJ560*SUMIF(ThresholdAge11,"&lt;"&amp;'19_Расчет_аналитики'!AJ560,WeightedRevAge11)-SUMIF(ThresholdAge11,"&lt;"&amp;'19_Расчет_аналитики'!AJ560,WeightedMinAge11),MAX(CapacityAge11*'01_Вводные'!$B$218*'19_Расчет_аналитики'!AJ560,MeanMinAge11)))</f>
        <v/>
      </c>
      <c r="AK502">
        <f>IF(OR(('19_Расчет_аналитики'!AK418-'19_Расчет_аналитики'!AK446)=0,11&lt;='01_Вводные'!$B$297),0,('19_Расчет_аналитики'!AK418-'19_Расчет_аналитики'!AK446)*IF('01_Вводные'!$B$239="Да",MeanMinAge11+'19_Расчет_аналитики'!AK560*SUMIF(ThresholdAge11,"&lt;"&amp;'19_Расчет_аналитики'!AK560,WeightedRevAge11)-SUMIF(ThresholdAge11,"&lt;"&amp;'19_Расчет_аналитики'!AK560,WeightedMinAge11),MAX(CapacityAge11*'01_Вводные'!$B$218*'19_Расчет_аналитики'!AK560,MeanMinAge11)))</f>
        <v/>
      </c>
      <c r="AL502">
        <f>IF(OR(('19_Расчет_аналитики'!AL418-'19_Расчет_аналитики'!AL446)=0,11&lt;='01_Вводные'!$B$297),0,('19_Расчет_аналитики'!AL418-'19_Расчет_аналитики'!AL446)*IF('01_Вводные'!$B$239="Да",MeanMinAge11+'19_Расчет_аналитики'!AL560*SUMIF(ThresholdAge11,"&lt;"&amp;'19_Расчет_аналитики'!AL560,WeightedRevAge11)-SUMIF(ThresholdAge11,"&lt;"&amp;'19_Расчет_аналитики'!AL560,WeightedMinAge11),MAX(CapacityAge11*'01_Вводные'!$B$218*'19_Расчет_аналитики'!AL560,MeanMinAge11)))</f>
        <v/>
      </c>
      <c r="AM502">
        <f>IF(OR(('19_Расчет_аналитики'!AM418-'19_Расчет_аналитики'!AM446)=0,11&lt;='01_Вводные'!$B$297),0,('19_Расчет_аналитики'!AM418-'19_Расчет_аналитики'!AM446)*IF('01_Вводные'!$B$239="Да",MeanMinAge11+'19_Расчет_аналитики'!AM560*SUMIF(ThresholdAge11,"&lt;"&amp;'19_Расчет_аналитики'!AM560,WeightedRevAge11)-SUMIF(ThresholdAge11,"&lt;"&amp;'19_Расчет_аналитики'!AM560,WeightedMinAge11),MAX(CapacityAge11*'01_Вводные'!$B$218*'19_Расчет_аналитики'!AM560,MeanMinAge11)))</f>
        <v/>
      </c>
      <c r="AN502">
        <f>IF(OR(('19_Расчет_аналитики'!AN418-'19_Расчет_аналитики'!AN446)=0,11&lt;='01_Вводные'!$B$297),0,('19_Расчет_аналитики'!AN418-'19_Расчет_аналитики'!AN446)*IF('01_Вводные'!$B$239="Да",MeanMinAge11+'19_Расчет_аналитики'!AN560*SUMIF(ThresholdAge11,"&lt;"&amp;'19_Расчет_аналитики'!AN560,WeightedRevAge11)-SUMIF(ThresholdAge11,"&lt;"&amp;'19_Расчет_аналитики'!AN560,WeightedMinAge11),MAX(CapacityAge11*'01_Вводные'!$B$218*'19_Расчет_аналитики'!AN560,MeanMinAge11)))</f>
        <v/>
      </c>
      <c r="AO502">
        <f>IF(OR(('19_Расчет_аналитики'!AO418-'19_Расчет_аналитики'!AO446)=0,11&lt;='01_Вводные'!$B$297),0,('19_Расчет_аналитики'!AO418-'19_Расчет_аналитики'!AO446)*IF('01_Вводные'!$B$239="Да",MeanMinAge11+'19_Расчет_аналитики'!AO560*SUMIF(ThresholdAge11,"&lt;"&amp;'19_Расчет_аналитики'!AO560,WeightedRevAge11)-SUMIF(ThresholdAge11,"&lt;"&amp;'19_Расчет_аналитики'!AO560,WeightedMinAge11),MAX(CapacityAge11*'01_Вводные'!$B$218*'19_Расчет_аналитики'!AO560,MeanMinAge11)))</f>
        <v/>
      </c>
      <c r="AP502">
        <f>IF(OR(('19_Расчет_аналитики'!AP418-'19_Расчет_аналитики'!AP446)=0,11&lt;='01_Вводные'!$B$297),0,('19_Расчет_аналитики'!AP418-'19_Расчет_аналитики'!AP446)*IF('01_Вводные'!$B$239="Да",MeanMinAge11+'19_Расчет_аналитики'!AP560*SUMIF(ThresholdAge11,"&lt;"&amp;'19_Расчет_аналитики'!AP560,WeightedRevAge11)-SUMIF(ThresholdAge11,"&lt;"&amp;'19_Расчет_аналитики'!AP560,WeightedMinAge11),MAX(CapacityAge11*'01_Вводные'!$B$218*'19_Расчет_аналитики'!AP560,MeanMinAge11)))</f>
        <v/>
      </c>
      <c r="AQ502">
        <f>IF(OR(('19_Расчет_аналитики'!AQ418-'19_Расчет_аналитики'!AQ446)=0,11&lt;='01_Вводные'!$B$297),0,('19_Расчет_аналитики'!AQ418-'19_Расчет_аналитики'!AQ446)*IF('01_Вводные'!$B$239="Да",MeanMinAge11+'19_Расчет_аналитики'!AQ560*SUMIF(ThresholdAge11,"&lt;"&amp;'19_Расчет_аналитики'!AQ560,WeightedRevAge11)-SUMIF(ThresholdAge11,"&lt;"&amp;'19_Расчет_аналитики'!AQ560,WeightedMinAge11),MAX(CapacityAge11*'01_Вводные'!$B$218*'19_Расчет_аналитики'!AQ560,MeanMinAge11)))</f>
        <v/>
      </c>
      <c r="AR502">
        <f>IF(OR(('19_Расчет_аналитики'!AR418-'19_Расчет_аналитики'!AR446)=0,11&lt;='01_Вводные'!$B$297),0,('19_Расчет_аналитики'!AR418-'19_Расчет_аналитики'!AR446)*IF('01_Вводные'!$B$239="Да",MeanMinAge11+'19_Расчет_аналитики'!AR560*SUMIF(ThresholdAge11,"&lt;"&amp;'19_Расчет_аналитики'!AR560,WeightedRevAge11)-SUMIF(ThresholdAge11,"&lt;"&amp;'19_Расчет_аналитики'!AR560,WeightedMinAge11),MAX(CapacityAge11*'01_Вводные'!$B$218*'19_Расчет_аналитики'!AR560,MeanMinAge11)))</f>
        <v/>
      </c>
      <c r="AS502">
        <f>IF(OR(('19_Расчет_аналитики'!AS418-'19_Расчет_аналитики'!AS446)=0,11&lt;='01_Вводные'!$B$297),0,('19_Расчет_аналитики'!AS418-'19_Расчет_аналитики'!AS446)*IF('01_Вводные'!$B$239="Да",MeanMinAge11+'19_Расчет_аналитики'!AS560*SUMIF(ThresholdAge11,"&lt;"&amp;'19_Расчет_аналитики'!AS560,WeightedRevAge11)-SUMIF(ThresholdAge11,"&lt;"&amp;'19_Расчет_аналитики'!AS560,WeightedMinAge11),MAX(CapacityAge11*'01_Вводные'!$B$218*'19_Расчет_аналитики'!AS560,MeanMinAge11)))</f>
        <v/>
      </c>
      <c r="AT502">
        <f>IF(OR(('19_Расчет_аналитики'!AT418-'19_Расчет_аналитики'!AT446)=0,11&lt;='01_Вводные'!$B$297),0,('19_Расчет_аналитики'!AT418-'19_Расчет_аналитики'!AT446)*IF('01_Вводные'!$B$239="Да",MeanMinAge11+'19_Расчет_аналитики'!AT560*SUMIF(ThresholdAge11,"&lt;"&amp;'19_Расчет_аналитики'!AT560,WeightedRevAge11)-SUMIF(ThresholdAge11,"&lt;"&amp;'19_Расчет_аналитики'!AT560,WeightedMinAge11),MAX(CapacityAge11*'01_Вводные'!$B$218*'19_Расчет_аналитики'!AT560,MeanMinAge11)))</f>
        <v/>
      </c>
      <c r="AU502">
        <f>IF(OR(('19_Расчет_аналитики'!AU418-'19_Расчет_аналитики'!AU446)=0,11&lt;='01_Вводные'!$B$297),0,('19_Расчет_аналитики'!AU418-'19_Расчет_аналитики'!AU446)*IF('01_Вводные'!$B$239="Да",MeanMinAge11+'19_Расчет_аналитики'!AU560*SUMIF(ThresholdAge11,"&lt;"&amp;'19_Расчет_аналитики'!AU560,WeightedRevAge11)-SUMIF(ThresholdAge11,"&lt;"&amp;'19_Расчет_аналитики'!AU560,WeightedMinAge11),MAX(CapacityAge11*'01_Вводные'!$B$218*'19_Расчет_аналитики'!AU560,MeanMinAge11)))</f>
        <v/>
      </c>
      <c r="AV502">
        <f>IF(OR(('19_Расчет_аналитики'!AV418-'19_Расчет_аналитики'!AV446)=0,11&lt;='01_Вводные'!$B$297),0,('19_Расчет_аналитики'!AV418-'19_Расчет_аналитики'!AV446)*IF('01_Вводные'!$B$239="Да",MeanMinAge11+'19_Расчет_аналитики'!AV560*SUMIF(ThresholdAge11,"&lt;"&amp;'19_Расчет_аналитики'!AV560,WeightedRevAge11)-SUMIF(ThresholdAge11,"&lt;"&amp;'19_Расчет_аналитики'!AV560,WeightedMinAge11),MAX(CapacityAge11*'01_Вводные'!$B$218*'19_Расчет_аналитики'!AV560,MeanMinAge11)))</f>
        <v/>
      </c>
      <c r="AW502">
        <f>IF(OR(('19_Расчет_аналитики'!AW418-'19_Расчет_аналитики'!AW446)=0,11&lt;='01_Вводные'!$B$297),0,('19_Расчет_аналитики'!AW418-'19_Расчет_аналитики'!AW446)*IF('01_Вводные'!$B$239="Да",MeanMinAge11+'19_Расчет_аналитики'!AW560*SUMIF(ThresholdAge11,"&lt;"&amp;'19_Расчет_аналитики'!AW560,WeightedRevAge11)-SUMIF(ThresholdAge11,"&lt;"&amp;'19_Расчет_аналитики'!AW560,WeightedMinAge11),MAX(CapacityAge11*'01_Вводные'!$B$218*'19_Расчет_аналитики'!AW560,MeanMinAge11)))</f>
        <v/>
      </c>
      <c r="AX502">
        <f>IF(OR(('19_Расчет_аналитики'!AX418-'19_Расчет_аналитики'!AX446)=0,11&lt;='01_Вводные'!$B$297),0,('19_Расчет_аналитики'!AX418-'19_Расчет_аналитики'!AX446)*IF('01_Вводные'!$B$239="Да",MeanMinAge11+'19_Расчет_аналитики'!AX560*SUMIF(ThresholdAge11,"&lt;"&amp;'19_Расчет_аналитики'!AX560,WeightedRevAge11)-SUMIF(ThresholdAge11,"&lt;"&amp;'19_Расчет_аналитики'!AX560,WeightedMinAge11),MAX(CapacityAge11*'01_Вводные'!$B$218*'19_Расчет_аналитики'!AX560,MeanMinAge11)))</f>
        <v/>
      </c>
      <c r="AY502">
        <f>IF(OR(('19_Расчет_аналитики'!AY418-'19_Расчет_аналитики'!AY446)=0,11&lt;='01_Вводные'!$B$297),0,('19_Расчет_аналитики'!AY418-'19_Расчет_аналитики'!AY446)*IF('01_Вводные'!$B$239="Да",MeanMinAge11+'19_Расчет_аналитики'!AY560*SUMIF(ThresholdAge11,"&lt;"&amp;'19_Расчет_аналитики'!AY560,WeightedRevAge11)-SUMIF(ThresholdAge11,"&lt;"&amp;'19_Расчет_аналитики'!AY560,WeightedMinAge11),MAX(CapacityAge11*'01_Вводные'!$B$218*'19_Расчет_аналитики'!AY560,MeanMinAge11)))</f>
        <v/>
      </c>
      <c r="AZ502">
        <f>IF(OR(('19_Расчет_аналитики'!AZ418-'19_Расчет_аналитики'!AZ446)=0,11&lt;='01_Вводные'!$B$297),0,('19_Расчет_аналитики'!AZ418-'19_Расчет_аналитики'!AZ446)*IF('01_Вводные'!$B$239="Да",MeanMinAge11+'19_Расчет_аналитики'!AZ560*SUMIF(ThresholdAge11,"&lt;"&amp;'19_Расчет_аналитики'!AZ560,WeightedRevAge11)-SUMIF(ThresholdAge11,"&lt;"&amp;'19_Расчет_аналитики'!AZ560,WeightedMinAge11),MAX(CapacityAge11*'01_Вводные'!$B$218*'19_Расчет_аналитики'!AZ560,MeanMinAge11)))</f>
        <v/>
      </c>
      <c r="BA502">
        <f>IF(OR(('19_Расчет_аналитики'!BA418-'19_Расчет_аналитики'!BA446)=0,11&lt;='01_Вводные'!$B$297),0,('19_Расчет_аналитики'!BA418-'19_Расчет_аналитики'!BA446)*IF('01_Вводные'!$B$239="Да",MeanMinAge11+'19_Расчет_аналитики'!BA560*SUMIF(ThresholdAge11,"&lt;"&amp;'19_Расчет_аналитики'!BA560,WeightedRevAge11)-SUMIF(ThresholdAge11,"&lt;"&amp;'19_Расчет_аналитики'!BA560,WeightedMinAge11),MAX(CapacityAge11*'01_Вводные'!$B$218*'19_Расчет_аналитики'!BA560,MeanMinAge11)))</f>
        <v/>
      </c>
      <c r="BB502">
        <f>IF(OR(('19_Расчет_аналитики'!BB418-'19_Расчет_аналитики'!BB446)=0,11&lt;='01_Вводные'!$B$297),0,('19_Расчет_аналитики'!BB418-'19_Расчет_аналитики'!BB446)*IF('01_Вводные'!$B$239="Да",MeanMinAge11+'19_Расчет_аналитики'!BB560*SUMIF(ThresholdAge11,"&lt;"&amp;'19_Расчет_аналитики'!BB560,WeightedRevAge11)-SUMIF(ThresholdAge11,"&lt;"&amp;'19_Расчет_аналитики'!BB560,WeightedMinAge11),MAX(CapacityAge11*'01_Вводные'!$B$218*'19_Расчет_аналитики'!BB560,MeanMinAge11)))</f>
        <v/>
      </c>
      <c r="BC502">
        <f>IF(OR(('19_Расчет_аналитики'!BC418-'19_Расчет_аналитики'!BC446)=0,11&lt;='01_Вводные'!$B$297),0,('19_Расчет_аналитики'!BC418-'19_Расчет_аналитики'!BC446)*IF('01_Вводные'!$B$239="Да",MeanMinAge11+'19_Расчет_аналитики'!BC560*SUMIF(ThresholdAge11,"&lt;"&amp;'19_Расчет_аналитики'!BC560,WeightedRevAge11)-SUMIF(ThresholdAge11,"&lt;"&amp;'19_Расчет_аналитики'!BC560,WeightedMinAge11),MAX(CapacityAge11*'01_Вводные'!$B$218*'19_Расчет_аналитики'!BC560,MeanMinAge11)))</f>
        <v/>
      </c>
      <c r="BD502">
        <f>IF(OR(('19_Расчет_аналитики'!BD418-'19_Расчет_аналитики'!BD446)=0,11&lt;='01_Вводные'!$B$297),0,('19_Расчет_аналитики'!BD418-'19_Расчет_аналитики'!BD446)*IF('01_Вводные'!$B$239="Да",MeanMinAge11+'19_Расчет_аналитики'!BD560*SUMIF(ThresholdAge11,"&lt;"&amp;'19_Расчет_аналитики'!BD560,WeightedRevAge11)-SUMIF(ThresholdAge11,"&lt;"&amp;'19_Расчет_аналитики'!BD560,WeightedMinAge11),MAX(CapacityAge11*'01_Вводные'!$B$218*'19_Расчет_аналитики'!BD560,MeanMinAge11)))</f>
        <v/>
      </c>
      <c r="BE502">
        <f>IF(OR(('19_Расчет_аналитики'!BE418-'19_Расчет_аналитики'!BE446)=0,11&lt;='01_Вводные'!$B$297),0,('19_Расчет_аналитики'!BE418-'19_Расчет_аналитики'!BE446)*IF('01_Вводные'!$B$239="Да",MeanMinAge11+'19_Расчет_аналитики'!BE560*SUMIF(ThresholdAge11,"&lt;"&amp;'19_Расчет_аналитики'!BE560,WeightedRevAge11)-SUMIF(ThresholdAge11,"&lt;"&amp;'19_Расчет_аналитики'!BE560,WeightedMinAge11),MAX(CapacityAge11*'01_Вводные'!$B$218*'19_Расчет_аналитики'!BE560,MeanMinAge11)))</f>
        <v/>
      </c>
      <c r="BF502">
        <f>IF(OR(('19_Расчет_аналитики'!BF418-'19_Расчет_аналитики'!BF446)=0,11&lt;='01_Вводные'!$B$297),0,('19_Расчет_аналитики'!BF418-'19_Расчет_аналитики'!BF446)*IF('01_Вводные'!$B$239="Да",MeanMinAge11+'19_Расчет_аналитики'!BF560*SUMIF(ThresholdAge11,"&lt;"&amp;'19_Расчет_аналитики'!BF560,WeightedRevAge11)-SUMIF(ThresholdAge11,"&lt;"&amp;'19_Расчет_аналитики'!BF560,WeightedMinAge11),MAX(CapacityAge11*'01_Вводные'!$B$218*'19_Расчет_аналитики'!BF560,MeanMinAge11)))</f>
        <v/>
      </c>
      <c r="BG502">
        <f>IF(OR(('19_Расчет_аналитики'!BG418-'19_Расчет_аналитики'!BG446)=0,11&lt;='01_Вводные'!$B$297),0,('19_Расчет_аналитики'!BG418-'19_Расчет_аналитики'!BG446)*IF('01_Вводные'!$B$239="Да",MeanMinAge11+'19_Расчет_аналитики'!BG560*SUMIF(ThresholdAge11,"&lt;"&amp;'19_Расчет_аналитики'!BG560,WeightedRevAge11)-SUMIF(ThresholdAge11,"&lt;"&amp;'19_Расчет_аналитики'!BG560,WeightedMinAge11),MAX(CapacityAge11*'01_Вводные'!$B$218*'19_Расчет_аналитики'!BG560,MeanMinAge11)))</f>
        <v/>
      </c>
      <c r="BH502">
        <f>IF(OR(('19_Расчет_аналитики'!BH418-'19_Расчет_аналитики'!BH446)=0,11&lt;='01_Вводные'!$B$297),0,('19_Расчет_аналитики'!BH418-'19_Расчет_аналитики'!BH446)*IF('01_Вводные'!$B$239="Да",MeanMinAge11+'19_Расчет_аналитики'!BH560*SUMIF(ThresholdAge11,"&lt;"&amp;'19_Расчет_аналитики'!BH560,WeightedRevAge11)-SUMIF(ThresholdAge11,"&lt;"&amp;'19_Расчет_аналитики'!BH560,WeightedMinAge11),MAX(CapacityAge11*'01_Вводные'!$B$218*'19_Расчет_аналитики'!BH560,MeanMinAge11)))</f>
        <v/>
      </c>
      <c r="BI502">
        <f>IF(OR(('19_Расчет_аналитики'!BI418-'19_Расчет_аналитики'!BI446)=0,11&lt;='01_Вводные'!$B$297),0,('19_Расчет_аналитики'!BI418-'19_Расчет_аналитики'!BI446)*IF('01_Вводные'!$B$239="Да",MeanMinAge11+'19_Расчет_аналитики'!BI560*SUMIF(ThresholdAge11,"&lt;"&amp;'19_Расчет_аналитики'!BI560,WeightedRevAge11)-SUMIF(ThresholdAge11,"&lt;"&amp;'19_Расчет_аналитики'!BI560,WeightedMinAge11),MAX(CapacityAge11*'01_Вводные'!$B$218*'19_Расчет_аналитики'!BI560,MeanMinAge11)))</f>
        <v/>
      </c>
      <c r="BJ502">
        <f>IF(OR(('19_Расчет_аналитики'!BJ418-'19_Расчет_аналитики'!BJ446)=0,11&lt;='01_Вводные'!$B$297),0,('19_Расчет_аналитики'!BJ418-'19_Расчет_аналитики'!BJ446)*IF('01_Вводные'!$B$239="Да",MeanMinAge11+'19_Расчет_аналитики'!BJ560*SUMIF(ThresholdAge11,"&lt;"&amp;'19_Расчет_аналитики'!BJ560,WeightedRevAge11)-SUMIF(ThresholdAge11,"&lt;"&amp;'19_Расчет_аналитики'!BJ560,WeightedMinAge11),MAX(CapacityAge11*'01_Вводные'!$B$218*'19_Расчет_аналитики'!BJ560,MeanMinAge11)))</f>
        <v/>
      </c>
      <c r="BK502">
        <f>IF(OR(('19_Расчет_аналитики'!BK418-'19_Расчет_аналитики'!BK446)=0,11&lt;='01_Вводные'!$B$297),0,('19_Расчет_аналитики'!BK418-'19_Расчет_аналитики'!BK446)*IF('01_Вводные'!$B$239="Да",MeanMinAge11+'19_Расчет_аналитики'!BK560*SUMIF(ThresholdAge11,"&lt;"&amp;'19_Расчет_аналитики'!BK560,WeightedRevAge11)-SUMIF(ThresholdAge11,"&lt;"&amp;'19_Расчет_аналитики'!BK560,WeightedMinAge11),MAX(CapacityAge11*'01_Вводные'!$B$218*'19_Расчет_аналитики'!BK560,MeanMinAge11)))</f>
        <v/>
      </c>
      <c r="BL502">
        <f>IF(OR(('19_Расчет_аналитики'!BL418-'19_Расчет_аналитики'!BL446)=0,11&lt;='01_Вводные'!$B$297),0,('19_Расчет_аналитики'!BL418-'19_Расчет_аналитики'!BL446)*IF('01_Вводные'!$B$239="Да",MeanMinAge11+'19_Расчет_аналитики'!BL560*SUMIF(ThresholdAge11,"&lt;"&amp;'19_Расчет_аналитики'!BL560,WeightedRevAge11)-SUMIF(ThresholdAge11,"&lt;"&amp;'19_Расчет_аналитики'!BL560,WeightedMinAge11),MAX(CapacityAge11*'01_Вводные'!$B$218*'19_Расчет_аналитики'!BL560,MeanMinAge11)))</f>
        <v/>
      </c>
      <c r="BM502">
        <f>IF(OR(('19_Расчет_аналитики'!BM418-'19_Расчет_аналитики'!BM446)=0,11&lt;='01_Вводные'!$B$297),0,('19_Расчет_аналитики'!BM418-'19_Расчет_аналитики'!BM446)*IF('01_Вводные'!$B$239="Да",MeanMinAge11+'19_Расчет_аналитики'!BM560*SUMIF(ThresholdAge11,"&lt;"&amp;'19_Расчет_аналитики'!BM560,WeightedRevAge11)-SUMIF(ThresholdAge11,"&lt;"&amp;'19_Расчет_аналитики'!BM560,WeightedMinAge11),MAX(CapacityAge11*'01_Вводные'!$B$218*'19_Расчет_аналитики'!BM560,MeanMinAge11)))</f>
        <v/>
      </c>
      <c r="BN502">
        <f>IF(OR(('19_Расчет_аналитики'!BN418-'19_Расчет_аналитики'!BN446)=0,11&lt;='01_Вводные'!$B$297),0,('19_Расчет_аналитики'!BN418-'19_Расчет_аналитики'!BN446)*IF('01_Вводные'!$B$239="Да",MeanMinAge11+'19_Расчет_аналитики'!BN560*SUMIF(ThresholdAge11,"&lt;"&amp;'19_Расчет_аналитики'!BN560,WeightedRevAge11)-SUMIF(ThresholdAge11,"&lt;"&amp;'19_Расчет_аналитики'!BN560,WeightedMinAge11),MAX(CapacityAge11*'01_Вводные'!$B$218*'19_Расчет_аналитики'!BN560,MeanMinAge11)))</f>
        <v/>
      </c>
      <c r="BO502">
        <f>IF(OR(('19_Расчет_аналитики'!BO418-'19_Расчет_аналитики'!BO446)=0,11&lt;='01_Вводные'!$B$297),0,('19_Расчет_аналитики'!BO418-'19_Расчет_аналитики'!BO446)*IF('01_Вводные'!$B$239="Да",MeanMinAge11+'19_Расчет_аналитики'!BO560*SUMIF(ThresholdAge11,"&lt;"&amp;'19_Расчет_аналитики'!BO560,WeightedRevAge11)-SUMIF(ThresholdAge11,"&lt;"&amp;'19_Расчет_аналитики'!BO560,WeightedMinAge11),MAX(CapacityAge11*'01_Вводные'!$B$218*'19_Расчет_аналитики'!BO560,MeanMinAge11)))</f>
        <v/>
      </c>
    </row>
    <row r="503">
      <c r="B503">
        <f>IF(OR(('06_Сеть_и_дети'!B64-'06_Сеть_и_дети'!B92)=0,12&lt;='01_Вводные'!$B$297),0,('06_Сеть_и_дети'!B64-'06_Сеть_и_дети'!B92)*IF('01_Вводные'!$B$239="Да",MeanMinAge12+'19_Расчет_аналитики'!B560*SUMIF(ThresholdAge12,"&lt;"&amp;'19_Расчет_аналитики'!B560,WeightedRevAge12)-SUMIF(ThresholdAge12,"&lt;"&amp;'19_Расчет_аналитики'!B560,WeightedMinAge12),MAX(CapacityAge12*'01_Вводные'!$B$218*'19_Расчет_аналитики'!B560,MeanMinAge12)))</f>
        <v/>
      </c>
      <c r="C503">
        <f>IF(OR(('06_Сеть_и_дети'!C64-'06_Сеть_и_дети'!C92)=0,12&lt;='01_Вводные'!$B$297),0,('06_Сеть_и_дети'!C64-'06_Сеть_и_дети'!C92)*IF('01_Вводные'!$B$239="Да",MeanMinAge12+'19_Расчет_аналитики'!C560*SUMIF(ThresholdAge12,"&lt;"&amp;'19_Расчет_аналитики'!C560,WeightedRevAge12)-SUMIF(ThresholdAge12,"&lt;"&amp;'19_Расчет_аналитики'!C560,WeightedMinAge12),MAX(CapacityAge12*'01_Вводные'!$B$218*'19_Расчет_аналитики'!C560,MeanMinAge12)))</f>
        <v/>
      </c>
      <c r="D503">
        <f>IF(OR(('06_Сеть_и_дети'!D64-'06_Сеть_и_дети'!D92)=0,12&lt;='01_Вводные'!$B$297),0,('06_Сеть_и_дети'!D64-'06_Сеть_и_дети'!D92)*IF('01_Вводные'!$B$239="Да",MeanMinAge12+'19_Расчет_аналитики'!D560*SUMIF(ThresholdAge12,"&lt;"&amp;'19_Расчет_аналитики'!D560,WeightedRevAge12)-SUMIF(ThresholdAge12,"&lt;"&amp;'19_Расчет_аналитики'!D560,WeightedMinAge12),MAX(CapacityAge12*'01_Вводные'!$B$218*'19_Расчет_аналитики'!D560,MeanMinAge12)))</f>
        <v/>
      </c>
      <c r="E503">
        <f>IF(OR(('06_Сеть_и_дети'!E64-'06_Сеть_и_дети'!E92)=0,12&lt;='01_Вводные'!$B$297),0,('06_Сеть_и_дети'!E64-'06_Сеть_и_дети'!E92)*IF('01_Вводные'!$B$239="Да",MeanMinAge12+'19_Расчет_аналитики'!E560*SUMIF(ThresholdAge12,"&lt;"&amp;'19_Расчет_аналитики'!E560,WeightedRevAge12)-SUMIF(ThresholdAge12,"&lt;"&amp;'19_Расчет_аналитики'!E560,WeightedMinAge12),MAX(CapacityAge12*'01_Вводные'!$B$218*'19_Расчет_аналитики'!E560,MeanMinAge12)))</f>
        <v/>
      </c>
      <c r="F503">
        <f>IF(OR(('06_Сеть_и_дети'!F64-'06_Сеть_и_дети'!F92)=0,12&lt;='01_Вводные'!$B$297),0,('06_Сеть_и_дети'!F64-'06_Сеть_и_дети'!F92)*IF('01_Вводные'!$B$239="Да",MeanMinAge12+'19_Расчет_аналитики'!F560*SUMIF(ThresholdAge12,"&lt;"&amp;'19_Расчет_аналитики'!F560,WeightedRevAge12)-SUMIF(ThresholdAge12,"&lt;"&amp;'19_Расчет_аналитики'!F560,WeightedMinAge12),MAX(CapacityAge12*'01_Вводные'!$B$218*'19_Расчет_аналитики'!F560,MeanMinAge12)))</f>
        <v/>
      </c>
      <c r="G503">
        <f>IF(OR(('06_Сеть_и_дети'!G64-'06_Сеть_и_дети'!G92)=0,12&lt;='01_Вводные'!$B$297),0,('06_Сеть_и_дети'!G64-'06_Сеть_и_дети'!G92)*IF('01_Вводные'!$B$239="Да",MeanMinAge12+'19_Расчет_аналитики'!G560*SUMIF(ThresholdAge12,"&lt;"&amp;'19_Расчет_аналитики'!G560,WeightedRevAge12)-SUMIF(ThresholdAge12,"&lt;"&amp;'19_Расчет_аналитики'!G560,WeightedMinAge12),MAX(CapacityAge12*'01_Вводные'!$B$218*'19_Расчет_аналитики'!G560,MeanMinAge12)))</f>
        <v/>
      </c>
      <c r="H503">
        <f>IF(OR(('06_Сеть_и_дети'!H64-'06_Сеть_и_дети'!H92)=0,12&lt;='01_Вводные'!$B$297),0,('06_Сеть_и_дети'!H64-'06_Сеть_и_дети'!H92)*IF('01_Вводные'!$B$239="Да",MeanMinAge12+'19_Расчет_аналитики'!H560*SUMIF(ThresholdAge12,"&lt;"&amp;'19_Расчет_аналитики'!H560,WeightedRevAge12)-SUMIF(ThresholdAge12,"&lt;"&amp;'19_Расчет_аналитики'!H560,WeightedMinAge12),MAX(CapacityAge12*'01_Вводные'!$B$218*'19_Расчет_аналитики'!H560,MeanMinAge12)))</f>
        <v/>
      </c>
      <c r="I503">
        <f>IF(OR(('06_Сеть_и_дети'!I64-'06_Сеть_и_дети'!I92)=0,12&lt;='01_Вводные'!$B$297),0,('06_Сеть_и_дети'!I64-'06_Сеть_и_дети'!I92)*IF('01_Вводные'!$B$239="Да",MeanMinAge12+'19_Расчет_аналитики'!I560*SUMIF(ThresholdAge12,"&lt;"&amp;'19_Расчет_аналитики'!I560,WeightedRevAge12)-SUMIF(ThresholdAge12,"&lt;"&amp;'19_Расчет_аналитики'!I560,WeightedMinAge12),MAX(CapacityAge12*'01_Вводные'!$B$218*'19_Расчет_аналитики'!I560,MeanMinAge12)))</f>
        <v/>
      </c>
      <c r="J503">
        <f>IF(OR(('06_Сеть_и_дети'!J64-'06_Сеть_и_дети'!J92)=0,12&lt;='01_Вводные'!$B$297),0,('06_Сеть_и_дети'!J64-'06_Сеть_и_дети'!J92)*IF('01_Вводные'!$B$239="Да",MeanMinAge12+'19_Расчет_аналитики'!J560*SUMIF(ThresholdAge12,"&lt;"&amp;'19_Расчет_аналитики'!J560,WeightedRevAge12)-SUMIF(ThresholdAge12,"&lt;"&amp;'19_Расчет_аналитики'!J560,WeightedMinAge12),MAX(CapacityAge12*'01_Вводные'!$B$218*'19_Расчет_аналитики'!J560,MeanMinAge12)))</f>
        <v/>
      </c>
      <c r="K503">
        <f>IF(OR(('06_Сеть_и_дети'!K64-'06_Сеть_и_дети'!K92)=0,12&lt;='01_Вводные'!$B$297),0,('06_Сеть_и_дети'!K64-'06_Сеть_и_дети'!K92)*IF('01_Вводные'!$B$239="Да",MeanMinAge12+'19_Расчет_аналитики'!K560*SUMIF(ThresholdAge12,"&lt;"&amp;'19_Расчет_аналитики'!K560,WeightedRevAge12)-SUMIF(ThresholdAge12,"&lt;"&amp;'19_Расчет_аналитики'!K560,WeightedMinAge12),MAX(CapacityAge12*'01_Вводные'!$B$218*'19_Расчет_аналитики'!K560,MeanMinAge12)))</f>
        <v/>
      </c>
      <c r="L503">
        <f>IF(OR(('06_Сеть_и_дети'!L64-'06_Сеть_и_дети'!L92)=0,12&lt;='01_Вводные'!$B$297),0,('06_Сеть_и_дети'!L64-'06_Сеть_и_дети'!L92)*IF('01_Вводные'!$B$239="Да",MeanMinAge12+'19_Расчет_аналитики'!L560*SUMIF(ThresholdAge12,"&lt;"&amp;'19_Расчет_аналитики'!L560,WeightedRevAge12)-SUMIF(ThresholdAge12,"&lt;"&amp;'19_Расчет_аналитики'!L560,WeightedMinAge12),MAX(CapacityAge12*'01_Вводные'!$B$218*'19_Расчет_аналитики'!L560,MeanMinAge12)))</f>
        <v/>
      </c>
      <c r="M503">
        <f>IF(OR(('19_Расчет_аналитики'!M419-'19_Расчет_аналитики'!M447)=0,12&lt;='01_Вводные'!$B$297),0,('19_Расчет_аналитики'!M419-'19_Расчет_аналитики'!M447)*IF('01_Вводные'!$B$239="Да",MeanMinAge12+'19_Расчет_аналитики'!M560*SUMIF(ThresholdAge12,"&lt;"&amp;'19_Расчет_аналитики'!M560,WeightedRevAge12)-SUMIF(ThresholdAge12,"&lt;"&amp;'19_Расчет_аналитики'!M560,WeightedMinAge12),MAX(CapacityAge12*'01_Вводные'!$B$218*'19_Расчет_аналитики'!M560,MeanMinAge12)))</f>
        <v/>
      </c>
      <c r="N503">
        <f>IF(OR(('19_Расчет_аналитики'!N419-'19_Расчет_аналитики'!N447)=0,12&lt;='01_Вводные'!$B$297),0,('19_Расчет_аналитики'!N419-'19_Расчет_аналитики'!N447)*IF('01_Вводные'!$B$239="Да",MeanMinAge12+'19_Расчет_аналитики'!N560*SUMIF(ThresholdAge12,"&lt;"&amp;'19_Расчет_аналитики'!N560,WeightedRevAge12)-SUMIF(ThresholdAge12,"&lt;"&amp;'19_Расчет_аналитики'!N560,WeightedMinAge12),MAX(CapacityAge12*'01_Вводные'!$B$218*'19_Расчет_аналитики'!N560,MeanMinAge12)))</f>
        <v/>
      </c>
      <c r="O503">
        <f>IF(OR(('19_Расчет_аналитики'!O419-'19_Расчет_аналитики'!O447)=0,12&lt;='01_Вводные'!$B$297),0,('19_Расчет_аналитики'!O419-'19_Расчет_аналитики'!O447)*IF('01_Вводные'!$B$239="Да",MeanMinAge12+'19_Расчет_аналитики'!O560*SUMIF(ThresholdAge12,"&lt;"&amp;'19_Расчет_аналитики'!O560,WeightedRevAge12)-SUMIF(ThresholdAge12,"&lt;"&amp;'19_Расчет_аналитики'!O560,WeightedMinAge12),MAX(CapacityAge12*'01_Вводные'!$B$218*'19_Расчет_аналитики'!O560,MeanMinAge12)))</f>
        <v/>
      </c>
      <c r="P503">
        <f>IF(OR(('19_Расчет_аналитики'!P419-'19_Расчет_аналитики'!P447)=0,12&lt;='01_Вводные'!$B$297),0,('19_Расчет_аналитики'!P419-'19_Расчет_аналитики'!P447)*IF('01_Вводные'!$B$239="Да",MeanMinAge12+'19_Расчет_аналитики'!P560*SUMIF(ThresholdAge12,"&lt;"&amp;'19_Расчет_аналитики'!P560,WeightedRevAge12)-SUMIF(ThresholdAge12,"&lt;"&amp;'19_Расчет_аналитики'!P560,WeightedMinAge12),MAX(CapacityAge12*'01_Вводные'!$B$218*'19_Расчет_аналитики'!P560,MeanMinAge12)))</f>
        <v/>
      </c>
      <c r="Q503">
        <f>IF(OR(('19_Расчет_аналитики'!Q419-'19_Расчет_аналитики'!Q447)=0,12&lt;='01_Вводные'!$B$297),0,('19_Расчет_аналитики'!Q419-'19_Расчет_аналитики'!Q447)*IF('01_Вводные'!$B$239="Да",MeanMinAge12+'19_Расчет_аналитики'!Q560*SUMIF(ThresholdAge12,"&lt;"&amp;'19_Расчет_аналитики'!Q560,WeightedRevAge12)-SUMIF(ThresholdAge12,"&lt;"&amp;'19_Расчет_аналитики'!Q560,WeightedMinAge12),MAX(CapacityAge12*'01_Вводные'!$B$218*'19_Расчет_аналитики'!Q560,MeanMinAge12)))</f>
        <v/>
      </c>
      <c r="R503">
        <f>IF(OR(('19_Расчет_аналитики'!R419-'19_Расчет_аналитики'!R447)=0,12&lt;='01_Вводные'!$B$297),0,('19_Расчет_аналитики'!R419-'19_Расчет_аналитики'!R447)*IF('01_Вводные'!$B$239="Да",MeanMinAge12+'19_Расчет_аналитики'!R560*SUMIF(ThresholdAge12,"&lt;"&amp;'19_Расчет_аналитики'!R560,WeightedRevAge12)-SUMIF(ThresholdAge12,"&lt;"&amp;'19_Расчет_аналитики'!R560,WeightedMinAge12),MAX(CapacityAge12*'01_Вводные'!$B$218*'19_Расчет_аналитики'!R560,MeanMinAge12)))</f>
        <v/>
      </c>
      <c r="S503">
        <f>IF(OR(('19_Расчет_аналитики'!S419-'19_Расчет_аналитики'!S447)=0,12&lt;='01_Вводные'!$B$297),0,('19_Расчет_аналитики'!S419-'19_Расчет_аналитики'!S447)*IF('01_Вводные'!$B$239="Да",MeanMinAge12+'19_Расчет_аналитики'!S560*SUMIF(ThresholdAge12,"&lt;"&amp;'19_Расчет_аналитики'!S560,WeightedRevAge12)-SUMIF(ThresholdAge12,"&lt;"&amp;'19_Расчет_аналитики'!S560,WeightedMinAge12),MAX(CapacityAge12*'01_Вводные'!$B$218*'19_Расчет_аналитики'!S560,MeanMinAge12)))</f>
        <v/>
      </c>
      <c r="T503">
        <f>IF(OR(('19_Расчет_аналитики'!T419-'19_Расчет_аналитики'!T447)=0,12&lt;='01_Вводные'!$B$297),0,('19_Расчет_аналитики'!T419-'19_Расчет_аналитики'!T447)*IF('01_Вводные'!$B$239="Да",MeanMinAge12+'19_Расчет_аналитики'!T560*SUMIF(ThresholdAge12,"&lt;"&amp;'19_Расчет_аналитики'!T560,WeightedRevAge12)-SUMIF(ThresholdAge12,"&lt;"&amp;'19_Расчет_аналитики'!T560,WeightedMinAge12),MAX(CapacityAge12*'01_Вводные'!$B$218*'19_Расчет_аналитики'!T560,MeanMinAge12)))</f>
        <v/>
      </c>
      <c r="U503">
        <f>IF(OR(('19_Расчет_аналитики'!U419-'19_Расчет_аналитики'!U447)=0,12&lt;='01_Вводные'!$B$297),0,('19_Расчет_аналитики'!U419-'19_Расчет_аналитики'!U447)*IF('01_Вводные'!$B$239="Да",MeanMinAge12+'19_Расчет_аналитики'!U560*SUMIF(ThresholdAge12,"&lt;"&amp;'19_Расчет_аналитики'!U560,WeightedRevAge12)-SUMIF(ThresholdAge12,"&lt;"&amp;'19_Расчет_аналитики'!U560,WeightedMinAge12),MAX(CapacityAge12*'01_Вводные'!$B$218*'19_Расчет_аналитики'!U560,MeanMinAge12)))</f>
        <v/>
      </c>
      <c r="V503">
        <f>IF(OR(('19_Расчет_аналитики'!V419-'19_Расчет_аналитики'!V447)=0,12&lt;='01_Вводные'!$B$297),0,('19_Расчет_аналитики'!V419-'19_Расчет_аналитики'!V447)*IF('01_Вводные'!$B$239="Да",MeanMinAge12+'19_Расчет_аналитики'!V560*SUMIF(ThresholdAge12,"&lt;"&amp;'19_Расчет_аналитики'!V560,WeightedRevAge12)-SUMIF(ThresholdAge12,"&lt;"&amp;'19_Расчет_аналитики'!V560,WeightedMinAge12),MAX(CapacityAge12*'01_Вводные'!$B$218*'19_Расчет_аналитики'!V560,MeanMinAge12)))</f>
        <v/>
      </c>
      <c r="W503">
        <f>IF(OR(('19_Расчет_аналитики'!W419-'19_Расчет_аналитики'!W447)=0,12&lt;='01_Вводные'!$B$297),0,('19_Расчет_аналитики'!W419-'19_Расчет_аналитики'!W447)*IF('01_Вводные'!$B$239="Да",MeanMinAge12+'19_Расчет_аналитики'!W560*SUMIF(ThresholdAge12,"&lt;"&amp;'19_Расчет_аналитики'!W560,WeightedRevAge12)-SUMIF(ThresholdAge12,"&lt;"&amp;'19_Расчет_аналитики'!W560,WeightedMinAge12),MAX(CapacityAge12*'01_Вводные'!$B$218*'19_Расчет_аналитики'!W560,MeanMinAge12)))</f>
        <v/>
      </c>
      <c r="X503">
        <f>IF(OR(('19_Расчет_аналитики'!X419-'19_Расчет_аналитики'!X447)=0,12&lt;='01_Вводные'!$B$297),0,('19_Расчет_аналитики'!X419-'19_Расчет_аналитики'!X447)*IF('01_Вводные'!$B$239="Да",MeanMinAge12+'19_Расчет_аналитики'!X560*SUMIF(ThresholdAge12,"&lt;"&amp;'19_Расчет_аналитики'!X560,WeightedRevAge12)-SUMIF(ThresholdAge12,"&lt;"&amp;'19_Расчет_аналитики'!X560,WeightedMinAge12),MAX(CapacityAge12*'01_Вводные'!$B$218*'19_Расчет_аналитики'!X560,MeanMinAge12)))</f>
        <v/>
      </c>
      <c r="Y503">
        <f>IF(OR(('19_Расчет_аналитики'!Y419-'19_Расчет_аналитики'!Y447)=0,12&lt;='01_Вводные'!$B$297),0,('19_Расчет_аналитики'!Y419-'19_Расчет_аналитики'!Y447)*IF('01_Вводные'!$B$239="Да",MeanMinAge12+'19_Расчет_аналитики'!Y560*SUMIF(ThresholdAge12,"&lt;"&amp;'19_Расчет_аналитики'!Y560,WeightedRevAge12)-SUMIF(ThresholdAge12,"&lt;"&amp;'19_Расчет_аналитики'!Y560,WeightedMinAge12),MAX(CapacityAge12*'01_Вводные'!$B$218*'19_Расчет_аналитики'!Y560,MeanMinAge12)))</f>
        <v/>
      </c>
      <c r="Z503">
        <f>IF(OR(('19_Расчет_аналитики'!Z419-'19_Расчет_аналитики'!Z447)=0,12&lt;='01_Вводные'!$B$297),0,('19_Расчет_аналитики'!Z419-'19_Расчет_аналитики'!Z447)*IF('01_Вводные'!$B$239="Да",MeanMinAge12+'19_Расчет_аналитики'!Z560*SUMIF(ThresholdAge12,"&lt;"&amp;'19_Расчет_аналитики'!Z560,WeightedRevAge12)-SUMIF(ThresholdAge12,"&lt;"&amp;'19_Расчет_аналитики'!Z560,WeightedMinAge12),MAX(CapacityAge12*'01_Вводные'!$B$218*'19_Расчет_аналитики'!Z560,MeanMinAge12)))</f>
        <v/>
      </c>
      <c r="AA503">
        <f>IF(OR(('19_Расчет_аналитики'!AA419-'19_Расчет_аналитики'!AA447)=0,12&lt;='01_Вводные'!$B$297),0,('19_Расчет_аналитики'!AA419-'19_Расчет_аналитики'!AA447)*IF('01_Вводные'!$B$239="Да",MeanMinAge12+'19_Расчет_аналитики'!AA560*SUMIF(ThresholdAge12,"&lt;"&amp;'19_Расчет_аналитики'!AA560,WeightedRevAge12)-SUMIF(ThresholdAge12,"&lt;"&amp;'19_Расчет_аналитики'!AA560,WeightedMinAge12),MAX(CapacityAge12*'01_Вводные'!$B$218*'19_Расчет_аналитики'!AA560,MeanMinAge12)))</f>
        <v/>
      </c>
      <c r="AB503">
        <f>IF(OR(('19_Расчет_аналитики'!AB419-'19_Расчет_аналитики'!AB447)=0,12&lt;='01_Вводные'!$B$297),0,('19_Расчет_аналитики'!AB419-'19_Расчет_аналитики'!AB447)*IF('01_Вводные'!$B$239="Да",MeanMinAge12+'19_Расчет_аналитики'!AB560*SUMIF(ThresholdAge12,"&lt;"&amp;'19_Расчет_аналитики'!AB560,WeightedRevAge12)-SUMIF(ThresholdAge12,"&lt;"&amp;'19_Расчет_аналитики'!AB560,WeightedMinAge12),MAX(CapacityAge12*'01_Вводные'!$B$218*'19_Расчет_аналитики'!AB560,MeanMinAge12)))</f>
        <v/>
      </c>
      <c r="AC503">
        <f>IF(OR(('19_Расчет_аналитики'!AC419-'19_Расчет_аналитики'!AC447)=0,12&lt;='01_Вводные'!$B$297),0,('19_Расчет_аналитики'!AC419-'19_Расчет_аналитики'!AC447)*IF('01_Вводные'!$B$239="Да",MeanMinAge12+'19_Расчет_аналитики'!AC560*SUMIF(ThresholdAge12,"&lt;"&amp;'19_Расчет_аналитики'!AC560,WeightedRevAge12)-SUMIF(ThresholdAge12,"&lt;"&amp;'19_Расчет_аналитики'!AC560,WeightedMinAge12),MAX(CapacityAge12*'01_Вводные'!$B$218*'19_Расчет_аналитики'!AC560,MeanMinAge12)))</f>
        <v/>
      </c>
      <c r="AD503">
        <f>IF(OR(('19_Расчет_аналитики'!AD419-'19_Расчет_аналитики'!AD447)=0,12&lt;='01_Вводные'!$B$297),0,('19_Расчет_аналитики'!AD419-'19_Расчет_аналитики'!AD447)*IF('01_Вводные'!$B$239="Да",MeanMinAge12+'19_Расчет_аналитики'!AD560*SUMIF(ThresholdAge12,"&lt;"&amp;'19_Расчет_аналитики'!AD560,WeightedRevAge12)-SUMIF(ThresholdAge12,"&lt;"&amp;'19_Расчет_аналитики'!AD560,WeightedMinAge12),MAX(CapacityAge12*'01_Вводные'!$B$218*'19_Расчет_аналитики'!AD560,MeanMinAge12)))</f>
        <v/>
      </c>
      <c r="AE503">
        <f>IF(OR(('19_Расчет_аналитики'!AE419-'19_Расчет_аналитики'!AE447)=0,12&lt;='01_Вводные'!$B$297),0,('19_Расчет_аналитики'!AE419-'19_Расчет_аналитики'!AE447)*IF('01_Вводные'!$B$239="Да",MeanMinAge12+'19_Расчет_аналитики'!AE560*SUMIF(ThresholdAge12,"&lt;"&amp;'19_Расчет_аналитики'!AE560,WeightedRevAge12)-SUMIF(ThresholdAge12,"&lt;"&amp;'19_Расчет_аналитики'!AE560,WeightedMinAge12),MAX(CapacityAge12*'01_Вводные'!$B$218*'19_Расчет_аналитики'!AE560,MeanMinAge12)))</f>
        <v/>
      </c>
      <c r="AF503">
        <f>IF(OR(('19_Расчет_аналитики'!AF419-'19_Расчет_аналитики'!AF447)=0,12&lt;='01_Вводные'!$B$297),0,('19_Расчет_аналитики'!AF419-'19_Расчет_аналитики'!AF447)*IF('01_Вводные'!$B$239="Да",MeanMinAge12+'19_Расчет_аналитики'!AF560*SUMIF(ThresholdAge12,"&lt;"&amp;'19_Расчет_аналитики'!AF560,WeightedRevAge12)-SUMIF(ThresholdAge12,"&lt;"&amp;'19_Расчет_аналитики'!AF560,WeightedMinAge12),MAX(CapacityAge12*'01_Вводные'!$B$218*'19_Расчет_аналитики'!AF560,MeanMinAge12)))</f>
        <v/>
      </c>
      <c r="AG503">
        <f>IF(OR(('19_Расчет_аналитики'!AG419-'19_Расчет_аналитики'!AG447)=0,12&lt;='01_Вводные'!$B$297),0,('19_Расчет_аналитики'!AG419-'19_Расчет_аналитики'!AG447)*IF('01_Вводные'!$B$239="Да",MeanMinAge12+'19_Расчет_аналитики'!AG560*SUMIF(ThresholdAge12,"&lt;"&amp;'19_Расчет_аналитики'!AG560,WeightedRevAge12)-SUMIF(ThresholdAge12,"&lt;"&amp;'19_Расчет_аналитики'!AG560,WeightedMinAge12),MAX(CapacityAge12*'01_Вводные'!$B$218*'19_Расчет_аналитики'!AG560,MeanMinAge12)))</f>
        <v/>
      </c>
      <c r="AH503">
        <f>IF(OR(('19_Расчет_аналитики'!AH419-'19_Расчет_аналитики'!AH447)=0,12&lt;='01_Вводные'!$B$297),0,('19_Расчет_аналитики'!AH419-'19_Расчет_аналитики'!AH447)*IF('01_Вводные'!$B$239="Да",MeanMinAge12+'19_Расчет_аналитики'!AH560*SUMIF(ThresholdAge12,"&lt;"&amp;'19_Расчет_аналитики'!AH560,WeightedRevAge12)-SUMIF(ThresholdAge12,"&lt;"&amp;'19_Расчет_аналитики'!AH560,WeightedMinAge12),MAX(CapacityAge12*'01_Вводные'!$B$218*'19_Расчет_аналитики'!AH560,MeanMinAge12)))</f>
        <v/>
      </c>
      <c r="AI503">
        <f>IF(OR(('19_Расчет_аналитики'!AI419-'19_Расчет_аналитики'!AI447)=0,12&lt;='01_Вводные'!$B$297),0,('19_Расчет_аналитики'!AI419-'19_Расчет_аналитики'!AI447)*IF('01_Вводные'!$B$239="Да",MeanMinAge12+'19_Расчет_аналитики'!AI560*SUMIF(ThresholdAge12,"&lt;"&amp;'19_Расчет_аналитики'!AI560,WeightedRevAge12)-SUMIF(ThresholdAge12,"&lt;"&amp;'19_Расчет_аналитики'!AI560,WeightedMinAge12),MAX(CapacityAge12*'01_Вводные'!$B$218*'19_Расчет_аналитики'!AI560,MeanMinAge12)))</f>
        <v/>
      </c>
      <c r="AJ503">
        <f>IF(OR(('19_Расчет_аналитики'!AJ419-'19_Расчет_аналитики'!AJ447)=0,12&lt;='01_Вводные'!$B$297),0,('19_Расчет_аналитики'!AJ419-'19_Расчет_аналитики'!AJ447)*IF('01_Вводные'!$B$239="Да",MeanMinAge12+'19_Расчет_аналитики'!AJ560*SUMIF(ThresholdAge12,"&lt;"&amp;'19_Расчет_аналитики'!AJ560,WeightedRevAge12)-SUMIF(ThresholdAge12,"&lt;"&amp;'19_Расчет_аналитики'!AJ560,WeightedMinAge12),MAX(CapacityAge12*'01_Вводные'!$B$218*'19_Расчет_аналитики'!AJ560,MeanMinAge12)))</f>
        <v/>
      </c>
      <c r="AK503">
        <f>IF(OR(('19_Расчет_аналитики'!AK419-'19_Расчет_аналитики'!AK447)=0,12&lt;='01_Вводные'!$B$297),0,('19_Расчет_аналитики'!AK419-'19_Расчет_аналитики'!AK447)*IF('01_Вводные'!$B$239="Да",MeanMinAge12+'19_Расчет_аналитики'!AK560*SUMIF(ThresholdAge12,"&lt;"&amp;'19_Расчет_аналитики'!AK560,WeightedRevAge12)-SUMIF(ThresholdAge12,"&lt;"&amp;'19_Расчет_аналитики'!AK560,WeightedMinAge12),MAX(CapacityAge12*'01_Вводные'!$B$218*'19_Расчет_аналитики'!AK560,MeanMinAge12)))</f>
        <v/>
      </c>
      <c r="AL503">
        <f>IF(OR(('19_Расчет_аналитики'!AL419-'19_Расчет_аналитики'!AL447)=0,12&lt;='01_Вводные'!$B$297),0,('19_Расчет_аналитики'!AL419-'19_Расчет_аналитики'!AL447)*IF('01_Вводные'!$B$239="Да",MeanMinAge12+'19_Расчет_аналитики'!AL560*SUMIF(ThresholdAge12,"&lt;"&amp;'19_Расчет_аналитики'!AL560,WeightedRevAge12)-SUMIF(ThresholdAge12,"&lt;"&amp;'19_Расчет_аналитики'!AL560,WeightedMinAge12),MAX(CapacityAge12*'01_Вводные'!$B$218*'19_Расчет_аналитики'!AL560,MeanMinAge12)))</f>
        <v/>
      </c>
      <c r="AM503">
        <f>IF(OR(('19_Расчет_аналитики'!AM419-'19_Расчет_аналитики'!AM447)=0,12&lt;='01_Вводные'!$B$297),0,('19_Расчет_аналитики'!AM419-'19_Расчет_аналитики'!AM447)*IF('01_Вводные'!$B$239="Да",MeanMinAge12+'19_Расчет_аналитики'!AM560*SUMIF(ThresholdAge12,"&lt;"&amp;'19_Расчет_аналитики'!AM560,WeightedRevAge12)-SUMIF(ThresholdAge12,"&lt;"&amp;'19_Расчет_аналитики'!AM560,WeightedMinAge12),MAX(CapacityAge12*'01_Вводные'!$B$218*'19_Расчет_аналитики'!AM560,MeanMinAge12)))</f>
        <v/>
      </c>
      <c r="AN503">
        <f>IF(OR(('19_Расчет_аналитики'!AN419-'19_Расчет_аналитики'!AN447)=0,12&lt;='01_Вводные'!$B$297),0,('19_Расчет_аналитики'!AN419-'19_Расчет_аналитики'!AN447)*IF('01_Вводные'!$B$239="Да",MeanMinAge12+'19_Расчет_аналитики'!AN560*SUMIF(ThresholdAge12,"&lt;"&amp;'19_Расчет_аналитики'!AN560,WeightedRevAge12)-SUMIF(ThresholdAge12,"&lt;"&amp;'19_Расчет_аналитики'!AN560,WeightedMinAge12),MAX(CapacityAge12*'01_Вводные'!$B$218*'19_Расчет_аналитики'!AN560,MeanMinAge12)))</f>
        <v/>
      </c>
      <c r="AO503">
        <f>IF(OR(('19_Расчет_аналитики'!AO419-'19_Расчет_аналитики'!AO447)=0,12&lt;='01_Вводные'!$B$297),0,('19_Расчет_аналитики'!AO419-'19_Расчет_аналитики'!AO447)*IF('01_Вводные'!$B$239="Да",MeanMinAge12+'19_Расчет_аналитики'!AO560*SUMIF(ThresholdAge12,"&lt;"&amp;'19_Расчет_аналитики'!AO560,WeightedRevAge12)-SUMIF(ThresholdAge12,"&lt;"&amp;'19_Расчет_аналитики'!AO560,WeightedMinAge12),MAX(CapacityAge12*'01_Вводные'!$B$218*'19_Расчет_аналитики'!AO560,MeanMinAge12)))</f>
        <v/>
      </c>
      <c r="AP503">
        <f>IF(OR(('19_Расчет_аналитики'!AP419-'19_Расчет_аналитики'!AP447)=0,12&lt;='01_Вводные'!$B$297),0,('19_Расчет_аналитики'!AP419-'19_Расчет_аналитики'!AP447)*IF('01_Вводные'!$B$239="Да",MeanMinAge12+'19_Расчет_аналитики'!AP560*SUMIF(ThresholdAge12,"&lt;"&amp;'19_Расчет_аналитики'!AP560,WeightedRevAge12)-SUMIF(ThresholdAge12,"&lt;"&amp;'19_Расчет_аналитики'!AP560,WeightedMinAge12),MAX(CapacityAge12*'01_Вводные'!$B$218*'19_Расчет_аналитики'!AP560,MeanMinAge12)))</f>
        <v/>
      </c>
      <c r="AQ503">
        <f>IF(OR(('19_Расчет_аналитики'!AQ419-'19_Расчет_аналитики'!AQ447)=0,12&lt;='01_Вводные'!$B$297),0,('19_Расчет_аналитики'!AQ419-'19_Расчет_аналитики'!AQ447)*IF('01_Вводные'!$B$239="Да",MeanMinAge12+'19_Расчет_аналитики'!AQ560*SUMIF(ThresholdAge12,"&lt;"&amp;'19_Расчет_аналитики'!AQ560,WeightedRevAge12)-SUMIF(ThresholdAge12,"&lt;"&amp;'19_Расчет_аналитики'!AQ560,WeightedMinAge12),MAX(CapacityAge12*'01_Вводные'!$B$218*'19_Расчет_аналитики'!AQ560,MeanMinAge12)))</f>
        <v/>
      </c>
      <c r="AR503">
        <f>IF(OR(('19_Расчет_аналитики'!AR419-'19_Расчет_аналитики'!AR447)=0,12&lt;='01_Вводные'!$B$297),0,('19_Расчет_аналитики'!AR419-'19_Расчет_аналитики'!AR447)*IF('01_Вводные'!$B$239="Да",MeanMinAge12+'19_Расчет_аналитики'!AR560*SUMIF(ThresholdAge12,"&lt;"&amp;'19_Расчет_аналитики'!AR560,WeightedRevAge12)-SUMIF(ThresholdAge12,"&lt;"&amp;'19_Расчет_аналитики'!AR560,WeightedMinAge12),MAX(CapacityAge12*'01_Вводные'!$B$218*'19_Расчет_аналитики'!AR560,MeanMinAge12)))</f>
        <v/>
      </c>
      <c r="AS503">
        <f>IF(OR(('19_Расчет_аналитики'!AS419-'19_Расчет_аналитики'!AS447)=0,12&lt;='01_Вводные'!$B$297),0,('19_Расчет_аналитики'!AS419-'19_Расчет_аналитики'!AS447)*IF('01_Вводные'!$B$239="Да",MeanMinAge12+'19_Расчет_аналитики'!AS560*SUMIF(ThresholdAge12,"&lt;"&amp;'19_Расчет_аналитики'!AS560,WeightedRevAge12)-SUMIF(ThresholdAge12,"&lt;"&amp;'19_Расчет_аналитики'!AS560,WeightedMinAge12),MAX(CapacityAge12*'01_Вводные'!$B$218*'19_Расчет_аналитики'!AS560,MeanMinAge12)))</f>
        <v/>
      </c>
      <c r="AT503">
        <f>IF(OR(('19_Расчет_аналитики'!AT419-'19_Расчет_аналитики'!AT447)=0,12&lt;='01_Вводные'!$B$297),0,('19_Расчет_аналитики'!AT419-'19_Расчет_аналитики'!AT447)*IF('01_Вводные'!$B$239="Да",MeanMinAge12+'19_Расчет_аналитики'!AT560*SUMIF(ThresholdAge12,"&lt;"&amp;'19_Расчет_аналитики'!AT560,WeightedRevAge12)-SUMIF(ThresholdAge12,"&lt;"&amp;'19_Расчет_аналитики'!AT560,WeightedMinAge12),MAX(CapacityAge12*'01_Вводные'!$B$218*'19_Расчет_аналитики'!AT560,MeanMinAge12)))</f>
        <v/>
      </c>
      <c r="AU503">
        <f>IF(OR(('19_Расчет_аналитики'!AU419-'19_Расчет_аналитики'!AU447)=0,12&lt;='01_Вводные'!$B$297),0,('19_Расчет_аналитики'!AU419-'19_Расчет_аналитики'!AU447)*IF('01_Вводные'!$B$239="Да",MeanMinAge12+'19_Расчет_аналитики'!AU560*SUMIF(ThresholdAge12,"&lt;"&amp;'19_Расчет_аналитики'!AU560,WeightedRevAge12)-SUMIF(ThresholdAge12,"&lt;"&amp;'19_Расчет_аналитики'!AU560,WeightedMinAge12),MAX(CapacityAge12*'01_Вводные'!$B$218*'19_Расчет_аналитики'!AU560,MeanMinAge12)))</f>
        <v/>
      </c>
      <c r="AV503">
        <f>IF(OR(('19_Расчет_аналитики'!AV419-'19_Расчет_аналитики'!AV447)=0,12&lt;='01_Вводные'!$B$297),0,('19_Расчет_аналитики'!AV419-'19_Расчет_аналитики'!AV447)*IF('01_Вводные'!$B$239="Да",MeanMinAge12+'19_Расчет_аналитики'!AV560*SUMIF(ThresholdAge12,"&lt;"&amp;'19_Расчет_аналитики'!AV560,WeightedRevAge12)-SUMIF(ThresholdAge12,"&lt;"&amp;'19_Расчет_аналитики'!AV560,WeightedMinAge12),MAX(CapacityAge12*'01_Вводные'!$B$218*'19_Расчет_аналитики'!AV560,MeanMinAge12)))</f>
        <v/>
      </c>
      <c r="AW503">
        <f>IF(OR(('19_Расчет_аналитики'!AW419-'19_Расчет_аналитики'!AW447)=0,12&lt;='01_Вводные'!$B$297),0,('19_Расчет_аналитики'!AW419-'19_Расчет_аналитики'!AW447)*IF('01_Вводные'!$B$239="Да",MeanMinAge12+'19_Расчет_аналитики'!AW560*SUMIF(ThresholdAge12,"&lt;"&amp;'19_Расчет_аналитики'!AW560,WeightedRevAge12)-SUMIF(ThresholdAge12,"&lt;"&amp;'19_Расчет_аналитики'!AW560,WeightedMinAge12),MAX(CapacityAge12*'01_Вводные'!$B$218*'19_Расчет_аналитики'!AW560,MeanMinAge12)))</f>
        <v/>
      </c>
      <c r="AX503">
        <f>IF(OR(('19_Расчет_аналитики'!AX419-'19_Расчет_аналитики'!AX447)=0,12&lt;='01_Вводные'!$B$297),0,('19_Расчет_аналитики'!AX419-'19_Расчет_аналитики'!AX447)*IF('01_Вводные'!$B$239="Да",MeanMinAge12+'19_Расчет_аналитики'!AX560*SUMIF(ThresholdAge12,"&lt;"&amp;'19_Расчет_аналитики'!AX560,WeightedRevAge12)-SUMIF(ThresholdAge12,"&lt;"&amp;'19_Расчет_аналитики'!AX560,WeightedMinAge12),MAX(CapacityAge12*'01_Вводные'!$B$218*'19_Расчет_аналитики'!AX560,MeanMinAge12)))</f>
        <v/>
      </c>
      <c r="AY503">
        <f>IF(OR(('19_Расчет_аналитики'!AY419-'19_Расчет_аналитики'!AY447)=0,12&lt;='01_Вводные'!$B$297),0,('19_Расчет_аналитики'!AY419-'19_Расчет_аналитики'!AY447)*IF('01_Вводные'!$B$239="Да",MeanMinAge12+'19_Расчет_аналитики'!AY560*SUMIF(ThresholdAge12,"&lt;"&amp;'19_Расчет_аналитики'!AY560,WeightedRevAge12)-SUMIF(ThresholdAge12,"&lt;"&amp;'19_Расчет_аналитики'!AY560,WeightedMinAge12),MAX(CapacityAge12*'01_Вводные'!$B$218*'19_Расчет_аналитики'!AY560,MeanMinAge12)))</f>
        <v/>
      </c>
      <c r="AZ503">
        <f>IF(OR(('19_Расчет_аналитики'!AZ419-'19_Расчет_аналитики'!AZ447)=0,12&lt;='01_Вводные'!$B$297),0,('19_Расчет_аналитики'!AZ419-'19_Расчет_аналитики'!AZ447)*IF('01_Вводные'!$B$239="Да",MeanMinAge12+'19_Расчет_аналитики'!AZ560*SUMIF(ThresholdAge12,"&lt;"&amp;'19_Расчет_аналитики'!AZ560,WeightedRevAge12)-SUMIF(ThresholdAge12,"&lt;"&amp;'19_Расчет_аналитики'!AZ560,WeightedMinAge12),MAX(CapacityAge12*'01_Вводные'!$B$218*'19_Расчет_аналитики'!AZ560,MeanMinAge12)))</f>
        <v/>
      </c>
      <c r="BA503">
        <f>IF(OR(('19_Расчет_аналитики'!BA419-'19_Расчет_аналитики'!BA447)=0,12&lt;='01_Вводные'!$B$297),0,('19_Расчет_аналитики'!BA419-'19_Расчет_аналитики'!BA447)*IF('01_Вводные'!$B$239="Да",MeanMinAge12+'19_Расчет_аналитики'!BA560*SUMIF(ThresholdAge12,"&lt;"&amp;'19_Расчет_аналитики'!BA560,WeightedRevAge12)-SUMIF(ThresholdAge12,"&lt;"&amp;'19_Расчет_аналитики'!BA560,WeightedMinAge12),MAX(CapacityAge12*'01_Вводные'!$B$218*'19_Расчет_аналитики'!BA560,MeanMinAge12)))</f>
        <v/>
      </c>
      <c r="BB503">
        <f>IF(OR(('19_Расчет_аналитики'!BB419-'19_Расчет_аналитики'!BB447)=0,12&lt;='01_Вводные'!$B$297),0,('19_Расчет_аналитики'!BB419-'19_Расчет_аналитики'!BB447)*IF('01_Вводные'!$B$239="Да",MeanMinAge12+'19_Расчет_аналитики'!BB560*SUMIF(ThresholdAge12,"&lt;"&amp;'19_Расчет_аналитики'!BB560,WeightedRevAge12)-SUMIF(ThresholdAge12,"&lt;"&amp;'19_Расчет_аналитики'!BB560,WeightedMinAge12),MAX(CapacityAge12*'01_Вводные'!$B$218*'19_Расчет_аналитики'!BB560,MeanMinAge12)))</f>
        <v/>
      </c>
      <c r="BC503">
        <f>IF(OR(('19_Расчет_аналитики'!BC419-'19_Расчет_аналитики'!BC447)=0,12&lt;='01_Вводные'!$B$297),0,('19_Расчет_аналитики'!BC419-'19_Расчет_аналитики'!BC447)*IF('01_Вводные'!$B$239="Да",MeanMinAge12+'19_Расчет_аналитики'!BC560*SUMIF(ThresholdAge12,"&lt;"&amp;'19_Расчет_аналитики'!BC560,WeightedRevAge12)-SUMIF(ThresholdAge12,"&lt;"&amp;'19_Расчет_аналитики'!BC560,WeightedMinAge12),MAX(CapacityAge12*'01_Вводные'!$B$218*'19_Расчет_аналитики'!BC560,MeanMinAge12)))</f>
        <v/>
      </c>
      <c r="BD503">
        <f>IF(OR(('19_Расчет_аналитики'!BD419-'19_Расчет_аналитики'!BD447)=0,12&lt;='01_Вводные'!$B$297),0,('19_Расчет_аналитики'!BD419-'19_Расчет_аналитики'!BD447)*IF('01_Вводные'!$B$239="Да",MeanMinAge12+'19_Расчет_аналитики'!BD560*SUMIF(ThresholdAge12,"&lt;"&amp;'19_Расчет_аналитики'!BD560,WeightedRevAge12)-SUMIF(ThresholdAge12,"&lt;"&amp;'19_Расчет_аналитики'!BD560,WeightedMinAge12),MAX(CapacityAge12*'01_Вводные'!$B$218*'19_Расчет_аналитики'!BD560,MeanMinAge12)))</f>
        <v/>
      </c>
      <c r="BE503">
        <f>IF(OR(('19_Расчет_аналитики'!BE419-'19_Расчет_аналитики'!BE447)=0,12&lt;='01_Вводные'!$B$297),0,('19_Расчет_аналитики'!BE419-'19_Расчет_аналитики'!BE447)*IF('01_Вводные'!$B$239="Да",MeanMinAge12+'19_Расчет_аналитики'!BE560*SUMIF(ThresholdAge12,"&lt;"&amp;'19_Расчет_аналитики'!BE560,WeightedRevAge12)-SUMIF(ThresholdAge12,"&lt;"&amp;'19_Расчет_аналитики'!BE560,WeightedMinAge12),MAX(CapacityAge12*'01_Вводные'!$B$218*'19_Расчет_аналитики'!BE560,MeanMinAge12)))</f>
        <v/>
      </c>
      <c r="BF503">
        <f>IF(OR(('19_Расчет_аналитики'!BF419-'19_Расчет_аналитики'!BF447)=0,12&lt;='01_Вводные'!$B$297),0,('19_Расчет_аналитики'!BF419-'19_Расчет_аналитики'!BF447)*IF('01_Вводные'!$B$239="Да",MeanMinAge12+'19_Расчет_аналитики'!BF560*SUMIF(ThresholdAge12,"&lt;"&amp;'19_Расчет_аналитики'!BF560,WeightedRevAge12)-SUMIF(ThresholdAge12,"&lt;"&amp;'19_Расчет_аналитики'!BF560,WeightedMinAge12),MAX(CapacityAge12*'01_Вводные'!$B$218*'19_Расчет_аналитики'!BF560,MeanMinAge12)))</f>
        <v/>
      </c>
      <c r="BG503">
        <f>IF(OR(('19_Расчет_аналитики'!BG419-'19_Расчет_аналитики'!BG447)=0,12&lt;='01_Вводные'!$B$297),0,('19_Расчет_аналитики'!BG419-'19_Расчет_аналитики'!BG447)*IF('01_Вводные'!$B$239="Да",MeanMinAge12+'19_Расчет_аналитики'!BG560*SUMIF(ThresholdAge12,"&lt;"&amp;'19_Расчет_аналитики'!BG560,WeightedRevAge12)-SUMIF(ThresholdAge12,"&lt;"&amp;'19_Расчет_аналитики'!BG560,WeightedMinAge12),MAX(CapacityAge12*'01_Вводные'!$B$218*'19_Расчет_аналитики'!BG560,MeanMinAge12)))</f>
        <v/>
      </c>
      <c r="BH503">
        <f>IF(OR(('19_Расчет_аналитики'!BH419-'19_Расчет_аналитики'!BH447)=0,12&lt;='01_Вводные'!$B$297),0,('19_Расчет_аналитики'!BH419-'19_Расчет_аналитики'!BH447)*IF('01_Вводные'!$B$239="Да",MeanMinAge12+'19_Расчет_аналитики'!BH560*SUMIF(ThresholdAge12,"&lt;"&amp;'19_Расчет_аналитики'!BH560,WeightedRevAge12)-SUMIF(ThresholdAge12,"&lt;"&amp;'19_Расчет_аналитики'!BH560,WeightedMinAge12),MAX(CapacityAge12*'01_Вводные'!$B$218*'19_Расчет_аналитики'!BH560,MeanMinAge12)))</f>
        <v/>
      </c>
      <c r="BI503">
        <f>IF(OR(('19_Расчет_аналитики'!BI419-'19_Расчет_аналитики'!BI447)=0,12&lt;='01_Вводные'!$B$297),0,('19_Расчет_аналитики'!BI419-'19_Расчет_аналитики'!BI447)*IF('01_Вводные'!$B$239="Да",MeanMinAge12+'19_Расчет_аналитики'!BI560*SUMIF(ThresholdAge12,"&lt;"&amp;'19_Расчет_аналитики'!BI560,WeightedRevAge12)-SUMIF(ThresholdAge12,"&lt;"&amp;'19_Расчет_аналитики'!BI560,WeightedMinAge12),MAX(CapacityAge12*'01_Вводные'!$B$218*'19_Расчет_аналитики'!BI560,MeanMinAge12)))</f>
        <v/>
      </c>
      <c r="BJ503">
        <f>IF(OR(('19_Расчет_аналитики'!BJ419-'19_Расчет_аналитики'!BJ447)=0,12&lt;='01_Вводные'!$B$297),0,('19_Расчет_аналитики'!BJ419-'19_Расчет_аналитики'!BJ447)*IF('01_Вводные'!$B$239="Да",MeanMinAge12+'19_Расчет_аналитики'!BJ560*SUMIF(ThresholdAge12,"&lt;"&amp;'19_Расчет_аналитики'!BJ560,WeightedRevAge12)-SUMIF(ThresholdAge12,"&lt;"&amp;'19_Расчет_аналитики'!BJ560,WeightedMinAge12),MAX(CapacityAge12*'01_Вводные'!$B$218*'19_Расчет_аналитики'!BJ560,MeanMinAge12)))</f>
        <v/>
      </c>
      <c r="BK503">
        <f>IF(OR(('19_Расчет_аналитики'!BK419-'19_Расчет_аналитики'!BK447)=0,12&lt;='01_Вводные'!$B$297),0,('19_Расчет_аналитики'!BK419-'19_Расчет_аналитики'!BK447)*IF('01_Вводные'!$B$239="Да",MeanMinAge12+'19_Расчет_аналитики'!BK560*SUMIF(ThresholdAge12,"&lt;"&amp;'19_Расчет_аналитики'!BK560,WeightedRevAge12)-SUMIF(ThresholdAge12,"&lt;"&amp;'19_Расчет_аналитики'!BK560,WeightedMinAge12),MAX(CapacityAge12*'01_Вводные'!$B$218*'19_Расчет_аналитики'!BK560,MeanMinAge12)))</f>
        <v/>
      </c>
      <c r="BL503">
        <f>IF(OR(('19_Расчет_аналитики'!BL419-'19_Расчет_аналитики'!BL447)=0,12&lt;='01_Вводные'!$B$297),0,('19_Расчет_аналитики'!BL419-'19_Расчет_аналитики'!BL447)*IF('01_Вводные'!$B$239="Да",MeanMinAge12+'19_Расчет_аналитики'!BL560*SUMIF(ThresholdAge12,"&lt;"&amp;'19_Расчет_аналитики'!BL560,WeightedRevAge12)-SUMIF(ThresholdAge12,"&lt;"&amp;'19_Расчет_аналитики'!BL560,WeightedMinAge12),MAX(CapacityAge12*'01_Вводные'!$B$218*'19_Расчет_аналитики'!BL560,MeanMinAge12)))</f>
        <v/>
      </c>
      <c r="BM503">
        <f>IF(OR(('19_Расчет_аналитики'!BM419-'19_Расчет_аналитики'!BM447)=0,12&lt;='01_Вводные'!$B$297),0,('19_Расчет_аналитики'!BM419-'19_Расчет_аналитики'!BM447)*IF('01_Вводные'!$B$239="Да",MeanMinAge12+'19_Расчет_аналитики'!BM560*SUMIF(ThresholdAge12,"&lt;"&amp;'19_Расчет_аналитики'!BM560,WeightedRevAge12)-SUMIF(ThresholdAge12,"&lt;"&amp;'19_Расчет_аналитики'!BM560,WeightedMinAge12),MAX(CapacityAge12*'01_Вводные'!$B$218*'19_Расчет_аналитики'!BM560,MeanMinAge12)))</f>
        <v/>
      </c>
      <c r="BN503">
        <f>IF(OR(('19_Расчет_аналитики'!BN419-'19_Расчет_аналитики'!BN447)=0,12&lt;='01_Вводные'!$B$297),0,('19_Расчет_аналитики'!BN419-'19_Расчет_аналитики'!BN447)*IF('01_Вводные'!$B$239="Да",MeanMinAge12+'19_Расчет_аналитики'!BN560*SUMIF(ThresholdAge12,"&lt;"&amp;'19_Расчет_аналитики'!BN560,WeightedRevAge12)-SUMIF(ThresholdAge12,"&lt;"&amp;'19_Расчет_аналитики'!BN560,WeightedMinAge12),MAX(CapacityAge12*'01_Вводные'!$B$218*'19_Расчет_аналитики'!BN560,MeanMinAge12)))</f>
        <v/>
      </c>
      <c r="BO503">
        <f>IF(OR(('19_Расчет_аналитики'!BO419-'19_Расчет_аналитики'!BO447)=0,12&lt;='01_Вводные'!$B$297),0,('19_Расчет_аналитики'!BO419-'19_Расчет_аналитики'!BO447)*IF('01_Вводные'!$B$239="Да",MeanMinAge12+'19_Расчет_аналитики'!BO560*SUMIF(ThresholdAge12,"&lt;"&amp;'19_Расчет_аналитики'!BO560,WeightedRevAge12)-SUMIF(ThresholdAge12,"&lt;"&amp;'19_Расчет_аналитики'!BO560,WeightedMinAge12),MAX(CapacityAge12*'01_Вводные'!$B$218*'19_Расчет_аналитики'!BO560,MeanMinAge12)))</f>
        <v/>
      </c>
    </row>
    <row r="504">
      <c r="B504">
        <f>IF(OR(('06_Сеть_и_дети'!B65-'06_Сеть_и_дети'!B93)=0,13&lt;='01_Вводные'!$B$297),0,('06_Сеть_и_дети'!B65-'06_Сеть_и_дети'!B93)*IF('01_Вводные'!$B$239="Да",MeanMinAge13+'19_Расчет_аналитики'!B560*SUMIF(ThresholdAge13,"&lt;"&amp;'19_Расчет_аналитики'!B560,WeightedRevAge13)-SUMIF(ThresholdAge13,"&lt;"&amp;'19_Расчет_аналитики'!B560,WeightedMinAge13),MAX(CapacityAge13*'01_Вводные'!$B$218*'19_Расчет_аналитики'!B560,MeanMinAge13)))</f>
        <v/>
      </c>
      <c r="C504">
        <f>IF(OR(('06_Сеть_и_дети'!C65-'06_Сеть_и_дети'!C93)=0,13&lt;='01_Вводные'!$B$297),0,('06_Сеть_и_дети'!C65-'06_Сеть_и_дети'!C93)*IF('01_Вводные'!$B$239="Да",MeanMinAge13+'19_Расчет_аналитики'!C560*SUMIF(ThresholdAge13,"&lt;"&amp;'19_Расчет_аналитики'!C560,WeightedRevAge13)-SUMIF(ThresholdAge13,"&lt;"&amp;'19_Расчет_аналитики'!C560,WeightedMinAge13),MAX(CapacityAge13*'01_Вводные'!$B$218*'19_Расчет_аналитики'!C560,MeanMinAge13)))</f>
        <v/>
      </c>
      <c r="D504">
        <f>IF(OR(('06_Сеть_и_дети'!D65-'06_Сеть_и_дети'!D93)=0,13&lt;='01_Вводные'!$B$297),0,('06_Сеть_и_дети'!D65-'06_Сеть_и_дети'!D93)*IF('01_Вводные'!$B$239="Да",MeanMinAge13+'19_Расчет_аналитики'!D560*SUMIF(ThresholdAge13,"&lt;"&amp;'19_Расчет_аналитики'!D560,WeightedRevAge13)-SUMIF(ThresholdAge13,"&lt;"&amp;'19_Расчет_аналитики'!D560,WeightedMinAge13),MAX(CapacityAge13*'01_Вводные'!$B$218*'19_Расчет_аналитики'!D560,MeanMinAge13)))</f>
        <v/>
      </c>
      <c r="E504">
        <f>IF(OR(('06_Сеть_и_дети'!E65-'06_Сеть_и_дети'!E93)=0,13&lt;='01_Вводные'!$B$297),0,('06_Сеть_и_дети'!E65-'06_Сеть_и_дети'!E93)*IF('01_Вводные'!$B$239="Да",MeanMinAge13+'19_Расчет_аналитики'!E560*SUMIF(ThresholdAge13,"&lt;"&amp;'19_Расчет_аналитики'!E560,WeightedRevAge13)-SUMIF(ThresholdAge13,"&lt;"&amp;'19_Расчет_аналитики'!E560,WeightedMinAge13),MAX(CapacityAge13*'01_Вводные'!$B$218*'19_Расчет_аналитики'!E560,MeanMinAge13)))</f>
        <v/>
      </c>
      <c r="F504">
        <f>IF(OR(('06_Сеть_и_дети'!F65-'06_Сеть_и_дети'!F93)=0,13&lt;='01_Вводные'!$B$297),0,('06_Сеть_и_дети'!F65-'06_Сеть_и_дети'!F93)*IF('01_Вводные'!$B$239="Да",MeanMinAge13+'19_Расчет_аналитики'!F560*SUMIF(ThresholdAge13,"&lt;"&amp;'19_Расчет_аналитики'!F560,WeightedRevAge13)-SUMIF(ThresholdAge13,"&lt;"&amp;'19_Расчет_аналитики'!F560,WeightedMinAge13),MAX(CapacityAge13*'01_Вводные'!$B$218*'19_Расчет_аналитики'!F560,MeanMinAge13)))</f>
        <v/>
      </c>
      <c r="G504">
        <f>IF(OR(('06_Сеть_и_дети'!G65-'06_Сеть_и_дети'!G93)=0,13&lt;='01_Вводные'!$B$297),0,('06_Сеть_и_дети'!G65-'06_Сеть_и_дети'!G93)*IF('01_Вводные'!$B$239="Да",MeanMinAge13+'19_Расчет_аналитики'!G560*SUMIF(ThresholdAge13,"&lt;"&amp;'19_Расчет_аналитики'!G560,WeightedRevAge13)-SUMIF(ThresholdAge13,"&lt;"&amp;'19_Расчет_аналитики'!G560,WeightedMinAge13),MAX(CapacityAge13*'01_Вводные'!$B$218*'19_Расчет_аналитики'!G560,MeanMinAge13)))</f>
        <v/>
      </c>
      <c r="H504">
        <f>IF(OR(('06_Сеть_и_дети'!H65-'06_Сеть_и_дети'!H93)=0,13&lt;='01_Вводные'!$B$297),0,('06_Сеть_и_дети'!H65-'06_Сеть_и_дети'!H93)*IF('01_Вводные'!$B$239="Да",MeanMinAge13+'19_Расчет_аналитики'!H560*SUMIF(ThresholdAge13,"&lt;"&amp;'19_Расчет_аналитики'!H560,WeightedRevAge13)-SUMIF(ThresholdAge13,"&lt;"&amp;'19_Расчет_аналитики'!H560,WeightedMinAge13),MAX(CapacityAge13*'01_Вводные'!$B$218*'19_Расчет_аналитики'!H560,MeanMinAge13)))</f>
        <v/>
      </c>
      <c r="I504">
        <f>IF(OR(('06_Сеть_и_дети'!I65-'06_Сеть_и_дети'!I93)=0,13&lt;='01_Вводные'!$B$297),0,('06_Сеть_и_дети'!I65-'06_Сеть_и_дети'!I93)*IF('01_Вводные'!$B$239="Да",MeanMinAge13+'19_Расчет_аналитики'!I560*SUMIF(ThresholdAge13,"&lt;"&amp;'19_Расчет_аналитики'!I560,WeightedRevAge13)-SUMIF(ThresholdAge13,"&lt;"&amp;'19_Расчет_аналитики'!I560,WeightedMinAge13),MAX(CapacityAge13*'01_Вводные'!$B$218*'19_Расчет_аналитики'!I560,MeanMinAge13)))</f>
        <v/>
      </c>
      <c r="J504">
        <f>IF(OR(('06_Сеть_и_дети'!J65-'06_Сеть_и_дети'!J93)=0,13&lt;='01_Вводные'!$B$297),0,('06_Сеть_и_дети'!J65-'06_Сеть_и_дети'!J93)*IF('01_Вводные'!$B$239="Да",MeanMinAge13+'19_Расчет_аналитики'!J560*SUMIF(ThresholdAge13,"&lt;"&amp;'19_Расчет_аналитики'!J560,WeightedRevAge13)-SUMIF(ThresholdAge13,"&lt;"&amp;'19_Расчет_аналитики'!J560,WeightedMinAge13),MAX(CapacityAge13*'01_Вводные'!$B$218*'19_Расчет_аналитики'!J560,MeanMinAge13)))</f>
        <v/>
      </c>
      <c r="K504">
        <f>IF(OR(('06_Сеть_и_дети'!K65-'06_Сеть_и_дети'!K93)=0,13&lt;='01_Вводные'!$B$297),0,('06_Сеть_и_дети'!K65-'06_Сеть_и_дети'!K93)*IF('01_Вводные'!$B$239="Да",MeanMinAge13+'19_Расчет_аналитики'!K560*SUMIF(ThresholdAge13,"&lt;"&amp;'19_Расчет_аналитики'!K560,WeightedRevAge13)-SUMIF(ThresholdAge13,"&lt;"&amp;'19_Расчет_аналитики'!K560,WeightedMinAge13),MAX(CapacityAge13*'01_Вводные'!$B$218*'19_Расчет_аналитики'!K560,MeanMinAge13)))</f>
        <v/>
      </c>
      <c r="L504">
        <f>IF(OR(('06_Сеть_и_дети'!L65-'06_Сеть_и_дети'!L93)=0,13&lt;='01_Вводные'!$B$297),0,('06_Сеть_и_дети'!L65-'06_Сеть_и_дети'!L93)*IF('01_Вводные'!$B$239="Да",MeanMinAge13+'19_Расчет_аналитики'!L560*SUMIF(ThresholdAge13,"&lt;"&amp;'19_Расчет_аналитики'!L560,WeightedRevAge13)-SUMIF(ThresholdAge13,"&lt;"&amp;'19_Расчет_аналитики'!L560,WeightedMinAge13),MAX(CapacityAge13*'01_Вводные'!$B$218*'19_Расчет_аналитики'!L560,MeanMinAge13)))</f>
        <v/>
      </c>
      <c r="M504">
        <f>IF(OR(('06_Сеть_и_дети'!M65-'06_Сеть_и_дети'!M93)=0,13&lt;='01_Вводные'!$B$297),0,('06_Сеть_и_дети'!M65-'06_Сеть_и_дети'!M93)*IF('01_Вводные'!$B$239="Да",MeanMinAge13+'19_Расчет_аналитики'!M560*SUMIF(ThresholdAge13,"&lt;"&amp;'19_Расчет_аналитики'!M560,WeightedRevAge13)-SUMIF(ThresholdAge13,"&lt;"&amp;'19_Расчет_аналитики'!M560,WeightedMinAge13),MAX(CapacityAge13*'01_Вводные'!$B$218*'19_Расчет_аналитики'!M560,MeanMinAge13)))</f>
        <v/>
      </c>
      <c r="N504">
        <f>IF(OR(('19_Расчет_аналитики'!N420-'19_Расчет_аналитики'!N448)=0,13&lt;='01_Вводные'!$B$297),0,('19_Расчет_аналитики'!N420-'19_Расчет_аналитики'!N448)*IF('01_Вводные'!$B$239="Да",MeanMinAge13+'19_Расчет_аналитики'!N560*SUMIF(ThresholdAge13,"&lt;"&amp;'19_Расчет_аналитики'!N560,WeightedRevAge13)-SUMIF(ThresholdAge13,"&lt;"&amp;'19_Расчет_аналитики'!N560,WeightedMinAge13),MAX(CapacityAge13*'01_Вводные'!$B$218*'19_Расчет_аналитики'!N560,MeanMinAge13)))</f>
        <v/>
      </c>
      <c r="O504">
        <f>IF(OR(('19_Расчет_аналитики'!O420-'19_Расчет_аналитики'!O448)=0,13&lt;='01_Вводные'!$B$297),0,('19_Расчет_аналитики'!O420-'19_Расчет_аналитики'!O448)*IF('01_Вводные'!$B$239="Да",MeanMinAge13+'19_Расчет_аналитики'!O560*SUMIF(ThresholdAge13,"&lt;"&amp;'19_Расчет_аналитики'!O560,WeightedRevAge13)-SUMIF(ThresholdAge13,"&lt;"&amp;'19_Расчет_аналитики'!O560,WeightedMinAge13),MAX(CapacityAge13*'01_Вводные'!$B$218*'19_Расчет_аналитики'!O560,MeanMinAge13)))</f>
        <v/>
      </c>
      <c r="P504">
        <f>IF(OR(('19_Расчет_аналитики'!P420-'19_Расчет_аналитики'!P448)=0,13&lt;='01_Вводные'!$B$297),0,('19_Расчет_аналитики'!P420-'19_Расчет_аналитики'!P448)*IF('01_Вводные'!$B$239="Да",MeanMinAge13+'19_Расчет_аналитики'!P560*SUMIF(ThresholdAge13,"&lt;"&amp;'19_Расчет_аналитики'!P560,WeightedRevAge13)-SUMIF(ThresholdAge13,"&lt;"&amp;'19_Расчет_аналитики'!P560,WeightedMinAge13),MAX(CapacityAge13*'01_Вводные'!$B$218*'19_Расчет_аналитики'!P560,MeanMinAge13)))</f>
        <v/>
      </c>
      <c r="Q504">
        <f>IF(OR(('19_Расчет_аналитики'!Q420-'19_Расчет_аналитики'!Q448)=0,13&lt;='01_Вводные'!$B$297),0,('19_Расчет_аналитики'!Q420-'19_Расчет_аналитики'!Q448)*IF('01_Вводные'!$B$239="Да",MeanMinAge13+'19_Расчет_аналитики'!Q560*SUMIF(ThresholdAge13,"&lt;"&amp;'19_Расчет_аналитики'!Q560,WeightedRevAge13)-SUMIF(ThresholdAge13,"&lt;"&amp;'19_Расчет_аналитики'!Q560,WeightedMinAge13),MAX(CapacityAge13*'01_Вводные'!$B$218*'19_Расчет_аналитики'!Q560,MeanMinAge13)))</f>
        <v/>
      </c>
      <c r="R504">
        <f>IF(OR(('19_Расчет_аналитики'!R420-'19_Расчет_аналитики'!R448)=0,13&lt;='01_Вводные'!$B$297),0,('19_Расчет_аналитики'!R420-'19_Расчет_аналитики'!R448)*IF('01_Вводные'!$B$239="Да",MeanMinAge13+'19_Расчет_аналитики'!R560*SUMIF(ThresholdAge13,"&lt;"&amp;'19_Расчет_аналитики'!R560,WeightedRevAge13)-SUMIF(ThresholdAge13,"&lt;"&amp;'19_Расчет_аналитики'!R560,WeightedMinAge13),MAX(CapacityAge13*'01_Вводные'!$B$218*'19_Расчет_аналитики'!R560,MeanMinAge13)))</f>
        <v/>
      </c>
      <c r="S504">
        <f>IF(OR(('19_Расчет_аналитики'!S420-'19_Расчет_аналитики'!S448)=0,13&lt;='01_Вводные'!$B$297),0,('19_Расчет_аналитики'!S420-'19_Расчет_аналитики'!S448)*IF('01_Вводные'!$B$239="Да",MeanMinAge13+'19_Расчет_аналитики'!S560*SUMIF(ThresholdAge13,"&lt;"&amp;'19_Расчет_аналитики'!S560,WeightedRevAge13)-SUMIF(ThresholdAge13,"&lt;"&amp;'19_Расчет_аналитики'!S560,WeightedMinAge13),MAX(CapacityAge13*'01_Вводные'!$B$218*'19_Расчет_аналитики'!S560,MeanMinAge13)))</f>
        <v/>
      </c>
      <c r="T504">
        <f>IF(OR(('19_Расчет_аналитики'!T420-'19_Расчет_аналитики'!T448)=0,13&lt;='01_Вводные'!$B$297),0,('19_Расчет_аналитики'!T420-'19_Расчет_аналитики'!T448)*IF('01_Вводные'!$B$239="Да",MeanMinAge13+'19_Расчет_аналитики'!T560*SUMIF(ThresholdAge13,"&lt;"&amp;'19_Расчет_аналитики'!T560,WeightedRevAge13)-SUMIF(ThresholdAge13,"&lt;"&amp;'19_Расчет_аналитики'!T560,WeightedMinAge13),MAX(CapacityAge13*'01_Вводные'!$B$218*'19_Расчет_аналитики'!T560,MeanMinAge13)))</f>
        <v/>
      </c>
      <c r="U504">
        <f>IF(OR(('19_Расчет_аналитики'!U420-'19_Расчет_аналитики'!U448)=0,13&lt;='01_Вводные'!$B$297),0,('19_Расчет_аналитики'!U420-'19_Расчет_аналитики'!U448)*IF('01_Вводные'!$B$239="Да",MeanMinAge13+'19_Расчет_аналитики'!U560*SUMIF(ThresholdAge13,"&lt;"&amp;'19_Расчет_аналитики'!U560,WeightedRevAge13)-SUMIF(ThresholdAge13,"&lt;"&amp;'19_Расчет_аналитики'!U560,WeightedMinAge13),MAX(CapacityAge13*'01_Вводные'!$B$218*'19_Расчет_аналитики'!U560,MeanMinAge13)))</f>
        <v/>
      </c>
      <c r="V504">
        <f>IF(OR(('19_Расчет_аналитики'!V420-'19_Расчет_аналитики'!V448)=0,13&lt;='01_Вводные'!$B$297),0,('19_Расчет_аналитики'!V420-'19_Расчет_аналитики'!V448)*IF('01_Вводные'!$B$239="Да",MeanMinAge13+'19_Расчет_аналитики'!V560*SUMIF(ThresholdAge13,"&lt;"&amp;'19_Расчет_аналитики'!V560,WeightedRevAge13)-SUMIF(ThresholdAge13,"&lt;"&amp;'19_Расчет_аналитики'!V560,WeightedMinAge13),MAX(CapacityAge13*'01_Вводные'!$B$218*'19_Расчет_аналитики'!V560,MeanMinAge13)))</f>
        <v/>
      </c>
      <c r="W504">
        <f>IF(OR(('19_Расчет_аналитики'!W420-'19_Расчет_аналитики'!W448)=0,13&lt;='01_Вводные'!$B$297),0,('19_Расчет_аналитики'!W420-'19_Расчет_аналитики'!W448)*IF('01_Вводные'!$B$239="Да",MeanMinAge13+'19_Расчет_аналитики'!W560*SUMIF(ThresholdAge13,"&lt;"&amp;'19_Расчет_аналитики'!W560,WeightedRevAge13)-SUMIF(ThresholdAge13,"&lt;"&amp;'19_Расчет_аналитики'!W560,WeightedMinAge13),MAX(CapacityAge13*'01_Вводные'!$B$218*'19_Расчет_аналитики'!W560,MeanMinAge13)))</f>
        <v/>
      </c>
      <c r="X504">
        <f>IF(OR(('19_Расчет_аналитики'!X420-'19_Расчет_аналитики'!X448)=0,13&lt;='01_Вводные'!$B$297),0,('19_Расчет_аналитики'!X420-'19_Расчет_аналитики'!X448)*IF('01_Вводные'!$B$239="Да",MeanMinAge13+'19_Расчет_аналитики'!X560*SUMIF(ThresholdAge13,"&lt;"&amp;'19_Расчет_аналитики'!X560,WeightedRevAge13)-SUMIF(ThresholdAge13,"&lt;"&amp;'19_Расчет_аналитики'!X560,WeightedMinAge13),MAX(CapacityAge13*'01_Вводные'!$B$218*'19_Расчет_аналитики'!X560,MeanMinAge13)))</f>
        <v/>
      </c>
      <c r="Y504">
        <f>IF(OR(('19_Расчет_аналитики'!Y420-'19_Расчет_аналитики'!Y448)=0,13&lt;='01_Вводные'!$B$297),0,('19_Расчет_аналитики'!Y420-'19_Расчет_аналитики'!Y448)*IF('01_Вводные'!$B$239="Да",MeanMinAge13+'19_Расчет_аналитики'!Y560*SUMIF(ThresholdAge13,"&lt;"&amp;'19_Расчет_аналитики'!Y560,WeightedRevAge13)-SUMIF(ThresholdAge13,"&lt;"&amp;'19_Расчет_аналитики'!Y560,WeightedMinAge13),MAX(CapacityAge13*'01_Вводные'!$B$218*'19_Расчет_аналитики'!Y560,MeanMinAge13)))</f>
        <v/>
      </c>
      <c r="Z504">
        <f>IF(OR(('19_Расчет_аналитики'!Z420-'19_Расчет_аналитики'!Z448)=0,13&lt;='01_Вводные'!$B$297),0,('19_Расчет_аналитики'!Z420-'19_Расчет_аналитики'!Z448)*IF('01_Вводные'!$B$239="Да",MeanMinAge13+'19_Расчет_аналитики'!Z560*SUMIF(ThresholdAge13,"&lt;"&amp;'19_Расчет_аналитики'!Z560,WeightedRevAge13)-SUMIF(ThresholdAge13,"&lt;"&amp;'19_Расчет_аналитики'!Z560,WeightedMinAge13),MAX(CapacityAge13*'01_Вводные'!$B$218*'19_Расчет_аналитики'!Z560,MeanMinAge13)))</f>
        <v/>
      </c>
      <c r="AA504">
        <f>IF(OR(('19_Расчет_аналитики'!AA420-'19_Расчет_аналитики'!AA448)=0,13&lt;='01_Вводные'!$B$297),0,('19_Расчет_аналитики'!AA420-'19_Расчет_аналитики'!AA448)*IF('01_Вводные'!$B$239="Да",MeanMinAge13+'19_Расчет_аналитики'!AA560*SUMIF(ThresholdAge13,"&lt;"&amp;'19_Расчет_аналитики'!AA560,WeightedRevAge13)-SUMIF(ThresholdAge13,"&lt;"&amp;'19_Расчет_аналитики'!AA560,WeightedMinAge13),MAX(CapacityAge13*'01_Вводные'!$B$218*'19_Расчет_аналитики'!AA560,MeanMinAge13)))</f>
        <v/>
      </c>
      <c r="AB504">
        <f>IF(OR(('19_Расчет_аналитики'!AB420-'19_Расчет_аналитики'!AB448)=0,13&lt;='01_Вводные'!$B$297),0,('19_Расчет_аналитики'!AB420-'19_Расчет_аналитики'!AB448)*IF('01_Вводные'!$B$239="Да",MeanMinAge13+'19_Расчет_аналитики'!AB560*SUMIF(ThresholdAge13,"&lt;"&amp;'19_Расчет_аналитики'!AB560,WeightedRevAge13)-SUMIF(ThresholdAge13,"&lt;"&amp;'19_Расчет_аналитики'!AB560,WeightedMinAge13),MAX(CapacityAge13*'01_Вводные'!$B$218*'19_Расчет_аналитики'!AB560,MeanMinAge13)))</f>
        <v/>
      </c>
      <c r="AC504">
        <f>IF(OR(('19_Расчет_аналитики'!AC420-'19_Расчет_аналитики'!AC448)=0,13&lt;='01_Вводные'!$B$297),0,('19_Расчет_аналитики'!AC420-'19_Расчет_аналитики'!AC448)*IF('01_Вводные'!$B$239="Да",MeanMinAge13+'19_Расчет_аналитики'!AC560*SUMIF(ThresholdAge13,"&lt;"&amp;'19_Расчет_аналитики'!AC560,WeightedRevAge13)-SUMIF(ThresholdAge13,"&lt;"&amp;'19_Расчет_аналитики'!AC560,WeightedMinAge13),MAX(CapacityAge13*'01_Вводные'!$B$218*'19_Расчет_аналитики'!AC560,MeanMinAge13)))</f>
        <v/>
      </c>
      <c r="AD504">
        <f>IF(OR(('19_Расчет_аналитики'!AD420-'19_Расчет_аналитики'!AD448)=0,13&lt;='01_Вводные'!$B$297),0,('19_Расчет_аналитики'!AD420-'19_Расчет_аналитики'!AD448)*IF('01_Вводные'!$B$239="Да",MeanMinAge13+'19_Расчет_аналитики'!AD560*SUMIF(ThresholdAge13,"&lt;"&amp;'19_Расчет_аналитики'!AD560,WeightedRevAge13)-SUMIF(ThresholdAge13,"&lt;"&amp;'19_Расчет_аналитики'!AD560,WeightedMinAge13),MAX(CapacityAge13*'01_Вводные'!$B$218*'19_Расчет_аналитики'!AD560,MeanMinAge13)))</f>
        <v/>
      </c>
      <c r="AE504">
        <f>IF(OR(('19_Расчет_аналитики'!AE420-'19_Расчет_аналитики'!AE448)=0,13&lt;='01_Вводные'!$B$297),0,('19_Расчет_аналитики'!AE420-'19_Расчет_аналитики'!AE448)*IF('01_Вводные'!$B$239="Да",MeanMinAge13+'19_Расчет_аналитики'!AE560*SUMIF(ThresholdAge13,"&lt;"&amp;'19_Расчет_аналитики'!AE560,WeightedRevAge13)-SUMIF(ThresholdAge13,"&lt;"&amp;'19_Расчет_аналитики'!AE560,WeightedMinAge13),MAX(CapacityAge13*'01_Вводные'!$B$218*'19_Расчет_аналитики'!AE560,MeanMinAge13)))</f>
        <v/>
      </c>
      <c r="AF504">
        <f>IF(OR(('19_Расчет_аналитики'!AF420-'19_Расчет_аналитики'!AF448)=0,13&lt;='01_Вводные'!$B$297),0,('19_Расчет_аналитики'!AF420-'19_Расчет_аналитики'!AF448)*IF('01_Вводные'!$B$239="Да",MeanMinAge13+'19_Расчет_аналитики'!AF560*SUMIF(ThresholdAge13,"&lt;"&amp;'19_Расчет_аналитики'!AF560,WeightedRevAge13)-SUMIF(ThresholdAge13,"&lt;"&amp;'19_Расчет_аналитики'!AF560,WeightedMinAge13),MAX(CapacityAge13*'01_Вводные'!$B$218*'19_Расчет_аналитики'!AF560,MeanMinAge13)))</f>
        <v/>
      </c>
      <c r="AG504">
        <f>IF(OR(('19_Расчет_аналитики'!AG420-'19_Расчет_аналитики'!AG448)=0,13&lt;='01_Вводные'!$B$297),0,('19_Расчет_аналитики'!AG420-'19_Расчет_аналитики'!AG448)*IF('01_Вводные'!$B$239="Да",MeanMinAge13+'19_Расчет_аналитики'!AG560*SUMIF(ThresholdAge13,"&lt;"&amp;'19_Расчет_аналитики'!AG560,WeightedRevAge13)-SUMIF(ThresholdAge13,"&lt;"&amp;'19_Расчет_аналитики'!AG560,WeightedMinAge13),MAX(CapacityAge13*'01_Вводные'!$B$218*'19_Расчет_аналитики'!AG560,MeanMinAge13)))</f>
        <v/>
      </c>
      <c r="AH504">
        <f>IF(OR(('19_Расчет_аналитики'!AH420-'19_Расчет_аналитики'!AH448)=0,13&lt;='01_Вводные'!$B$297),0,('19_Расчет_аналитики'!AH420-'19_Расчет_аналитики'!AH448)*IF('01_Вводные'!$B$239="Да",MeanMinAge13+'19_Расчет_аналитики'!AH560*SUMIF(ThresholdAge13,"&lt;"&amp;'19_Расчет_аналитики'!AH560,WeightedRevAge13)-SUMIF(ThresholdAge13,"&lt;"&amp;'19_Расчет_аналитики'!AH560,WeightedMinAge13),MAX(CapacityAge13*'01_Вводные'!$B$218*'19_Расчет_аналитики'!AH560,MeanMinAge13)))</f>
        <v/>
      </c>
      <c r="AI504">
        <f>IF(OR(('19_Расчет_аналитики'!AI420-'19_Расчет_аналитики'!AI448)=0,13&lt;='01_Вводные'!$B$297),0,('19_Расчет_аналитики'!AI420-'19_Расчет_аналитики'!AI448)*IF('01_Вводные'!$B$239="Да",MeanMinAge13+'19_Расчет_аналитики'!AI560*SUMIF(ThresholdAge13,"&lt;"&amp;'19_Расчет_аналитики'!AI560,WeightedRevAge13)-SUMIF(ThresholdAge13,"&lt;"&amp;'19_Расчет_аналитики'!AI560,WeightedMinAge13),MAX(CapacityAge13*'01_Вводные'!$B$218*'19_Расчет_аналитики'!AI560,MeanMinAge13)))</f>
        <v/>
      </c>
      <c r="AJ504">
        <f>IF(OR(('19_Расчет_аналитики'!AJ420-'19_Расчет_аналитики'!AJ448)=0,13&lt;='01_Вводные'!$B$297),0,('19_Расчет_аналитики'!AJ420-'19_Расчет_аналитики'!AJ448)*IF('01_Вводные'!$B$239="Да",MeanMinAge13+'19_Расчет_аналитики'!AJ560*SUMIF(ThresholdAge13,"&lt;"&amp;'19_Расчет_аналитики'!AJ560,WeightedRevAge13)-SUMIF(ThresholdAge13,"&lt;"&amp;'19_Расчет_аналитики'!AJ560,WeightedMinAge13),MAX(CapacityAge13*'01_Вводные'!$B$218*'19_Расчет_аналитики'!AJ560,MeanMinAge13)))</f>
        <v/>
      </c>
      <c r="AK504">
        <f>IF(OR(('19_Расчет_аналитики'!AK420-'19_Расчет_аналитики'!AK448)=0,13&lt;='01_Вводные'!$B$297),0,('19_Расчет_аналитики'!AK420-'19_Расчет_аналитики'!AK448)*IF('01_Вводные'!$B$239="Да",MeanMinAge13+'19_Расчет_аналитики'!AK560*SUMIF(ThresholdAge13,"&lt;"&amp;'19_Расчет_аналитики'!AK560,WeightedRevAge13)-SUMIF(ThresholdAge13,"&lt;"&amp;'19_Расчет_аналитики'!AK560,WeightedMinAge13),MAX(CapacityAge13*'01_Вводные'!$B$218*'19_Расчет_аналитики'!AK560,MeanMinAge13)))</f>
        <v/>
      </c>
      <c r="AL504">
        <f>IF(OR(('19_Расчет_аналитики'!AL420-'19_Расчет_аналитики'!AL448)=0,13&lt;='01_Вводные'!$B$297),0,('19_Расчет_аналитики'!AL420-'19_Расчет_аналитики'!AL448)*IF('01_Вводные'!$B$239="Да",MeanMinAge13+'19_Расчет_аналитики'!AL560*SUMIF(ThresholdAge13,"&lt;"&amp;'19_Расчет_аналитики'!AL560,WeightedRevAge13)-SUMIF(ThresholdAge13,"&lt;"&amp;'19_Расчет_аналитики'!AL560,WeightedMinAge13),MAX(CapacityAge13*'01_Вводные'!$B$218*'19_Расчет_аналитики'!AL560,MeanMinAge13)))</f>
        <v/>
      </c>
      <c r="AM504">
        <f>IF(OR(('19_Расчет_аналитики'!AM420-'19_Расчет_аналитики'!AM448)=0,13&lt;='01_Вводные'!$B$297),0,('19_Расчет_аналитики'!AM420-'19_Расчет_аналитики'!AM448)*IF('01_Вводные'!$B$239="Да",MeanMinAge13+'19_Расчет_аналитики'!AM560*SUMIF(ThresholdAge13,"&lt;"&amp;'19_Расчет_аналитики'!AM560,WeightedRevAge13)-SUMIF(ThresholdAge13,"&lt;"&amp;'19_Расчет_аналитики'!AM560,WeightedMinAge13),MAX(CapacityAge13*'01_Вводные'!$B$218*'19_Расчет_аналитики'!AM560,MeanMinAge13)))</f>
        <v/>
      </c>
      <c r="AN504">
        <f>IF(OR(('19_Расчет_аналитики'!AN420-'19_Расчет_аналитики'!AN448)=0,13&lt;='01_Вводные'!$B$297),0,('19_Расчет_аналитики'!AN420-'19_Расчет_аналитики'!AN448)*IF('01_Вводные'!$B$239="Да",MeanMinAge13+'19_Расчет_аналитики'!AN560*SUMIF(ThresholdAge13,"&lt;"&amp;'19_Расчет_аналитики'!AN560,WeightedRevAge13)-SUMIF(ThresholdAge13,"&lt;"&amp;'19_Расчет_аналитики'!AN560,WeightedMinAge13),MAX(CapacityAge13*'01_Вводные'!$B$218*'19_Расчет_аналитики'!AN560,MeanMinAge13)))</f>
        <v/>
      </c>
      <c r="AO504">
        <f>IF(OR(('19_Расчет_аналитики'!AO420-'19_Расчет_аналитики'!AO448)=0,13&lt;='01_Вводные'!$B$297),0,('19_Расчет_аналитики'!AO420-'19_Расчет_аналитики'!AO448)*IF('01_Вводные'!$B$239="Да",MeanMinAge13+'19_Расчет_аналитики'!AO560*SUMIF(ThresholdAge13,"&lt;"&amp;'19_Расчет_аналитики'!AO560,WeightedRevAge13)-SUMIF(ThresholdAge13,"&lt;"&amp;'19_Расчет_аналитики'!AO560,WeightedMinAge13),MAX(CapacityAge13*'01_Вводные'!$B$218*'19_Расчет_аналитики'!AO560,MeanMinAge13)))</f>
        <v/>
      </c>
      <c r="AP504">
        <f>IF(OR(('19_Расчет_аналитики'!AP420-'19_Расчет_аналитики'!AP448)=0,13&lt;='01_Вводные'!$B$297),0,('19_Расчет_аналитики'!AP420-'19_Расчет_аналитики'!AP448)*IF('01_Вводные'!$B$239="Да",MeanMinAge13+'19_Расчет_аналитики'!AP560*SUMIF(ThresholdAge13,"&lt;"&amp;'19_Расчет_аналитики'!AP560,WeightedRevAge13)-SUMIF(ThresholdAge13,"&lt;"&amp;'19_Расчет_аналитики'!AP560,WeightedMinAge13),MAX(CapacityAge13*'01_Вводные'!$B$218*'19_Расчет_аналитики'!AP560,MeanMinAge13)))</f>
        <v/>
      </c>
      <c r="AQ504">
        <f>IF(OR(('19_Расчет_аналитики'!AQ420-'19_Расчет_аналитики'!AQ448)=0,13&lt;='01_Вводные'!$B$297),0,('19_Расчет_аналитики'!AQ420-'19_Расчет_аналитики'!AQ448)*IF('01_Вводные'!$B$239="Да",MeanMinAge13+'19_Расчет_аналитики'!AQ560*SUMIF(ThresholdAge13,"&lt;"&amp;'19_Расчет_аналитики'!AQ560,WeightedRevAge13)-SUMIF(ThresholdAge13,"&lt;"&amp;'19_Расчет_аналитики'!AQ560,WeightedMinAge13),MAX(CapacityAge13*'01_Вводные'!$B$218*'19_Расчет_аналитики'!AQ560,MeanMinAge13)))</f>
        <v/>
      </c>
      <c r="AR504">
        <f>IF(OR(('19_Расчет_аналитики'!AR420-'19_Расчет_аналитики'!AR448)=0,13&lt;='01_Вводные'!$B$297),0,('19_Расчет_аналитики'!AR420-'19_Расчет_аналитики'!AR448)*IF('01_Вводные'!$B$239="Да",MeanMinAge13+'19_Расчет_аналитики'!AR560*SUMIF(ThresholdAge13,"&lt;"&amp;'19_Расчет_аналитики'!AR560,WeightedRevAge13)-SUMIF(ThresholdAge13,"&lt;"&amp;'19_Расчет_аналитики'!AR560,WeightedMinAge13),MAX(CapacityAge13*'01_Вводные'!$B$218*'19_Расчет_аналитики'!AR560,MeanMinAge13)))</f>
        <v/>
      </c>
      <c r="AS504">
        <f>IF(OR(('19_Расчет_аналитики'!AS420-'19_Расчет_аналитики'!AS448)=0,13&lt;='01_Вводные'!$B$297),0,('19_Расчет_аналитики'!AS420-'19_Расчет_аналитики'!AS448)*IF('01_Вводные'!$B$239="Да",MeanMinAge13+'19_Расчет_аналитики'!AS560*SUMIF(ThresholdAge13,"&lt;"&amp;'19_Расчет_аналитики'!AS560,WeightedRevAge13)-SUMIF(ThresholdAge13,"&lt;"&amp;'19_Расчет_аналитики'!AS560,WeightedMinAge13),MAX(CapacityAge13*'01_Вводные'!$B$218*'19_Расчет_аналитики'!AS560,MeanMinAge13)))</f>
        <v/>
      </c>
      <c r="AT504">
        <f>IF(OR(('19_Расчет_аналитики'!AT420-'19_Расчет_аналитики'!AT448)=0,13&lt;='01_Вводные'!$B$297),0,('19_Расчет_аналитики'!AT420-'19_Расчет_аналитики'!AT448)*IF('01_Вводные'!$B$239="Да",MeanMinAge13+'19_Расчет_аналитики'!AT560*SUMIF(ThresholdAge13,"&lt;"&amp;'19_Расчет_аналитики'!AT560,WeightedRevAge13)-SUMIF(ThresholdAge13,"&lt;"&amp;'19_Расчет_аналитики'!AT560,WeightedMinAge13),MAX(CapacityAge13*'01_Вводные'!$B$218*'19_Расчет_аналитики'!AT560,MeanMinAge13)))</f>
        <v/>
      </c>
      <c r="AU504">
        <f>IF(OR(('19_Расчет_аналитики'!AU420-'19_Расчет_аналитики'!AU448)=0,13&lt;='01_Вводные'!$B$297),0,('19_Расчет_аналитики'!AU420-'19_Расчет_аналитики'!AU448)*IF('01_Вводные'!$B$239="Да",MeanMinAge13+'19_Расчет_аналитики'!AU560*SUMIF(ThresholdAge13,"&lt;"&amp;'19_Расчет_аналитики'!AU560,WeightedRevAge13)-SUMIF(ThresholdAge13,"&lt;"&amp;'19_Расчет_аналитики'!AU560,WeightedMinAge13),MAX(CapacityAge13*'01_Вводные'!$B$218*'19_Расчет_аналитики'!AU560,MeanMinAge13)))</f>
        <v/>
      </c>
      <c r="AV504">
        <f>IF(OR(('19_Расчет_аналитики'!AV420-'19_Расчет_аналитики'!AV448)=0,13&lt;='01_Вводные'!$B$297),0,('19_Расчет_аналитики'!AV420-'19_Расчет_аналитики'!AV448)*IF('01_Вводные'!$B$239="Да",MeanMinAge13+'19_Расчет_аналитики'!AV560*SUMIF(ThresholdAge13,"&lt;"&amp;'19_Расчет_аналитики'!AV560,WeightedRevAge13)-SUMIF(ThresholdAge13,"&lt;"&amp;'19_Расчет_аналитики'!AV560,WeightedMinAge13),MAX(CapacityAge13*'01_Вводные'!$B$218*'19_Расчет_аналитики'!AV560,MeanMinAge13)))</f>
        <v/>
      </c>
      <c r="AW504">
        <f>IF(OR(('19_Расчет_аналитики'!AW420-'19_Расчет_аналитики'!AW448)=0,13&lt;='01_Вводные'!$B$297),0,('19_Расчет_аналитики'!AW420-'19_Расчет_аналитики'!AW448)*IF('01_Вводные'!$B$239="Да",MeanMinAge13+'19_Расчет_аналитики'!AW560*SUMIF(ThresholdAge13,"&lt;"&amp;'19_Расчет_аналитики'!AW560,WeightedRevAge13)-SUMIF(ThresholdAge13,"&lt;"&amp;'19_Расчет_аналитики'!AW560,WeightedMinAge13),MAX(CapacityAge13*'01_Вводные'!$B$218*'19_Расчет_аналитики'!AW560,MeanMinAge13)))</f>
        <v/>
      </c>
      <c r="AX504">
        <f>IF(OR(('19_Расчет_аналитики'!AX420-'19_Расчет_аналитики'!AX448)=0,13&lt;='01_Вводные'!$B$297),0,('19_Расчет_аналитики'!AX420-'19_Расчет_аналитики'!AX448)*IF('01_Вводные'!$B$239="Да",MeanMinAge13+'19_Расчет_аналитики'!AX560*SUMIF(ThresholdAge13,"&lt;"&amp;'19_Расчет_аналитики'!AX560,WeightedRevAge13)-SUMIF(ThresholdAge13,"&lt;"&amp;'19_Расчет_аналитики'!AX560,WeightedMinAge13),MAX(CapacityAge13*'01_Вводные'!$B$218*'19_Расчет_аналитики'!AX560,MeanMinAge13)))</f>
        <v/>
      </c>
      <c r="AY504">
        <f>IF(OR(('19_Расчет_аналитики'!AY420-'19_Расчет_аналитики'!AY448)=0,13&lt;='01_Вводные'!$B$297),0,('19_Расчет_аналитики'!AY420-'19_Расчет_аналитики'!AY448)*IF('01_Вводные'!$B$239="Да",MeanMinAge13+'19_Расчет_аналитики'!AY560*SUMIF(ThresholdAge13,"&lt;"&amp;'19_Расчет_аналитики'!AY560,WeightedRevAge13)-SUMIF(ThresholdAge13,"&lt;"&amp;'19_Расчет_аналитики'!AY560,WeightedMinAge13),MAX(CapacityAge13*'01_Вводные'!$B$218*'19_Расчет_аналитики'!AY560,MeanMinAge13)))</f>
        <v/>
      </c>
      <c r="AZ504">
        <f>IF(OR(('19_Расчет_аналитики'!AZ420-'19_Расчет_аналитики'!AZ448)=0,13&lt;='01_Вводные'!$B$297),0,('19_Расчет_аналитики'!AZ420-'19_Расчет_аналитики'!AZ448)*IF('01_Вводные'!$B$239="Да",MeanMinAge13+'19_Расчет_аналитики'!AZ560*SUMIF(ThresholdAge13,"&lt;"&amp;'19_Расчет_аналитики'!AZ560,WeightedRevAge13)-SUMIF(ThresholdAge13,"&lt;"&amp;'19_Расчет_аналитики'!AZ560,WeightedMinAge13),MAX(CapacityAge13*'01_Вводные'!$B$218*'19_Расчет_аналитики'!AZ560,MeanMinAge13)))</f>
        <v/>
      </c>
      <c r="BA504">
        <f>IF(OR(('19_Расчет_аналитики'!BA420-'19_Расчет_аналитики'!BA448)=0,13&lt;='01_Вводные'!$B$297),0,('19_Расчет_аналитики'!BA420-'19_Расчет_аналитики'!BA448)*IF('01_Вводные'!$B$239="Да",MeanMinAge13+'19_Расчет_аналитики'!BA560*SUMIF(ThresholdAge13,"&lt;"&amp;'19_Расчет_аналитики'!BA560,WeightedRevAge13)-SUMIF(ThresholdAge13,"&lt;"&amp;'19_Расчет_аналитики'!BA560,WeightedMinAge13),MAX(CapacityAge13*'01_Вводные'!$B$218*'19_Расчет_аналитики'!BA560,MeanMinAge13)))</f>
        <v/>
      </c>
      <c r="BB504">
        <f>IF(OR(('19_Расчет_аналитики'!BB420-'19_Расчет_аналитики'!BB448)=0,13&lt;='01_Вводные'!$B$297),0,('19_Расчет_аналитики'!BB420-'19_Расчет_аналитики'!BB448)*IF('01_Вводные'!$B$239="Да",MeanMinAge13+'19_Расчет_аналитики'!BB560*SUMIF(ThresholdAge13,"&lt;"&amp;'19_Расчет_аналитики'!BB560,WeightedRevAge13)-SUMIF(ThresholdAge13,"&lt;"&amp;'19_Расчет_аналитики'!BB560,WeightedMinAge13),MAX(CapacityAge13*'01_Вводные'!$B$218*'19_Расчет_аналитики'!BB560,MeanMinAge13)))</f>
        <v/>
      </c>
      <c r="BC504">
        <f>IF(OR(('19_Расчет_аналитики'!BC420-'19_Расчет_аналитики'!BC448)=0,13&lt;='01_Вводные'!$B$297),0,('19_Расчет_аналитики'!BC420-'19_Расчет_аналитики'!BC448)*IF('01_Вводные'!$B$239="Да",MeanMinAge13+'19_Расчет_аналитики'!BC560*SUMIF(ThresholdAge13,"&lt;"&amp;'19_Расчет_аналитики'!BC560,WeightedRevAge13)-SUMIF(ThresholdAge13,"&lt;"&amp;'19_Расчет_аналитики'!BC560,WeightedMinAge13),MAX(CapacityAge13*'01_Вводные'!$B$218*'19_Расчет_аналитики'!BC560,MeanMinAge13)))</f>
        <v/>
      </c>
      <c r="BD504">
        <f>IF(OR(('19_Расчет_аналитики'!BD420-'19_Расчет_аналитики'!BD448)=0,13&lt;='01_Вводные'!$B$297),0,('19_Расчет_аналитики'!BD420-'19_Расчет_аналитики'!BD448)*IF('01_Вводные'!$B$239="Да",MeanMinAge13+'19_Расчет_аналитики'!BD560*SUMIF(ThresholdAge13,"&lt;"&amp;'19_Расчет_аналитики'!BD560,WeightedRevAge13)-SUMIF(ThresholdAge13,"&lt;"&amp;'19_Расчет_аналитики'!BD560,WeightedMinAge13),MAX(CapacityAge13*'01_Вводные'!$B$218*'19_Расчет_аналитики'!BD560,MeanMinAge13)))</f>
        <v/>
      </c>
      <c r="BE504">
        <f>IF(OR(('19_Расчет_аналитики'!BE420-'19_Расчет_аналитики'!BE448)=0,13&lt;='01_Вводные'!$B$297),0,('19_Расчет_аналитики'!BE420-'19_Расчет_аналитики'!BE448)*IF('01_Вводные'!$B$239="Да",MeanMinAge13+'19_Расчет_аналитики'!BE560*SUMIF(ThresholdAge13,"&lt;"&amp;'19_Расчет_аналитики'!BE560,WeightedRevAge13)-SUMIF(ThresholdAge13,"&lt;"&amp;'19_Расчет_аналитики'!BE560,WeightedMinAge13),MAX(CapacityAge13*'01_Вводные'!$B$218*'19_Расчет_аналитики'!BE560,MeanMinAge13)))</f>
        <v/>
      </c>
      <c r="BF504">
        <f>IF(OR(('19_Расчет_аналитики'!BF420-'19_Расчет_аналитики'!BF448)=0,13&lt;='01_Вводные'!$B$297),0,('19_Расчет_аналитики'!BF420-'19_Расчет_аналитики'!BF448)*IF('01_Вводные'!$B$239="Да",MeanMinAge13+'19_Расчет_аналитики'!BF560*SUMIF(ThresholdAge13,"&lt;"&amp;'19_Расчет_аналитики'!BF560,WeightedRevAge13)-SUMIF(ThresholdAge13,"&lt;"&amp;'19_Расчет_аналитики'!BF560,WeightedMinAge13),MAX(CapacityAge13*'01_Вводные'!$B$218*'19_Расчет_аналитики'!BF560,MeanMinAge13)))</f>
        <v/>
      </c>
      <c r="BG504">
        <f>IF(OR(('19_Расчет_аналитики'!BG420-'19_Расчет_аналитики'!BG448)=0,13&lt;='01_Вводные'!$B$297),0,('19_Расчет_аналитики'!BG420-'19_Расчет_аналитики'!BG448)*IF('01_Вводные'!$B$239="Да",MeanMinAge13+'19_Расчет_аналитики'!BG560*SUMIF(ThresholdAge13,"&lt;"&amp;'19_Расчет_аналитики'!BG560,WeightedRevAge13)-SUMIF(ThresholdAge13,"&lt;"&amp;'19_Расчет_аналитики'!BG560,WeightedMinAge13),MAX(CapacityAge13*'01_Вводные'!$B$218*'19_Расчет_аналитики'!BG560,MeanMinAge13)))</f>
        <v/>
      </c>
      <c r="BH504">
        <f>IF(OR(('19_Расчет_аналитики'!BH420-'19_Расчет_аналитики'!BH448)=0,13&lt;='01_Вводные'!$B$297),0,('19_Расчет_аналитики'!BH420-'19_Расчет_аналитики'!BH448)*IF('01_Вводные'!$B$239="Да",MeanMinAge13+'19_Расчет_аналитики'!BH560*SUMIF(ThresholdAge13,"&lt;"&amp;'19_Расчет_аналитики'!BH560,WeightedRevAge13)-SUMIF(ThresholdAge13,"&lt;"&amp;'19_Расчет_аналитики'!BH560,WeightedMinAge13),MAX(CapacityAge13*'01_Вводные'!$B$218*'19_Расчет_аналитики'!BH560,MeanMinAge13)))</f>
        <v/>
      </c>
      <c r="BI504">
        <f>IF(OR(('19_Расчет_аналитики'!BI420-'19_Расчет_аналитики'!BI448)=0,13&lt;='01_Вводные'!$B$297),0,('19_Расчет_аналитики'!BI420-'19_Расчет_аналитики'!BI448)*IF('01_Вводные'!$B$239="Да",MeanMinAge13+'19_Расчет_аналитики'!BI560*SUMIF(ThresholdAge13,"&lt;"&amp;'19_Расчет_аналитики'!BI560,WeightedRevAge13)-SUMIF(ThresholdAge13,"&lt;"&amp;'19_Расчет_аналитики'!BI560,WeightedMinAge13),MAX(CapacityAge13*'01_Вводные'!$B$218*'19_Расчет_аналитики'!BI560,MeanMinAge13)))</f>
        <v/>
      </c>
      <c r="BJ504">
        <f>IF(OR(('19_Расчет_аналитики'!BJ420-'19_Расчет_аналитики'!BJ448)=0,13&lt;='01_Вводные'!$B$297),0,('19_Расчет_аналитики'!BJ420-'19_Расчет_аналитики'!BJ448)*IF('01_Вводные'!$B$239="Да",MeanMinAge13+'19_Расчет_аналитики'!BJ560*SUMIF(ThresholdAge13,"&lt;"&amp;'19_Расчет_аналитики'!BJ560,WeightedRevAge13)-SUMIF(ThresholdAge13,"&lt;"&amp;'19_Расчет_аналитики'!BJ560,WeightedMinAge13),MAX(CapacityAge13*'01_Вводные'!$B$218*'19_Расчет_аналитики'!BJ560,MeanMinAge13)))</f>
        <v/>
      </c>
      <c r="BK504">
        <f>IF(OR(('19_Расчет_аналитики'!BK420-'19_Расчет_аналитики'!BK448)=0,13&lt;='01_Вводные'!$B$297),0,('19_Расчет_аналитики'!BK420-'19_Расчет_аналитики'!BK448)*IF('01_Вводные'!$B$239="Да",MeanMinAge13+'19_Расчет_аналитики'!BK560*SUMIF(ThresholdAge13,"&lt;"&amp;'19_Расчет_аналитики'!BK560,WeightedRevAge13)-SUMIF(ThresholdAge13,"&lt;"&amp;'19_Расчет_аналитики'!BK560,WeightedMinAge13),MAX(CapacityAge13*'01_Вводные'!$B$218*'19_Расчет_аналитики'!BK560,MeanMinAge13)))</f>
        <v/>
      </c>
      <c r="BL504">
        <f>IF(OR(('19_Расчет_аналитики'!BL420-'19_Расчет_аналитики'!BL448)=0,13&lt;='01_Вводные'!$B$297),0,('19_Расчет_аналитики'!BL420-'19_Расчет_аналитики'!BL448)*IF('01_Вводные'!$B$239="Да",MeanMinAge13+'19_Расчет_аналитики'!BL560*SUMIF(ThresholdAge13,"&lt;"&amp;'19_Расчет_аналитики'!BL560,WeightedRevAge13)-SUMIF(ThresholdAge13,"&lt;"&amp;'19_Расчет_аналитики'!BL560,WeightedMinAge13),MAX(CapacityAge13*'01_Вводные'!$B$218*'19_Расчет_аналитики'!BL560,MeanMinAge13)))</f>
        <v/>
      </c>
      <c r="BM504">
        <f>IF(OR(('19_Расчет_аналитики'!BM420-'19_Расчет_аналитики'!BM448)=0,13&lt;='01_Вводные'!$B$297),0,('19_Расчет_аналитики'!BM420-'19_Расчет_аналитики'!BM448)*IF('01_Вводные'!$B$239="Да",MeanMinAge13+'19_Расчет_аналитики'!BM560*SUMIF(ThresholdAge13,"&lt;"&amp;'19_Расчет_аналитики'!BM560,WeightedRevAge13)-SUMIF(ThresholdAge13,"&lt;"&amp;'19_Расчет_аналитики'!BM560,WeightedMinAge13),MAX(CapacityAge13*'01_Вводные'!$B$218*'19_Расчет_аналитики'!BM560,MeanMinAge13)))</f>
        <v/>
      </c>
      <c r="BN504">
        <f>IF(OR(('19_Расчет_аналитики'!BN420-'19_Расчет_аналитики'!BN448)=0,13&lt;='01_Вводные'!$B$297),0,('19_Расчет_аналитики'!BN420-'19_Расчет_аналитики'!BN448)*IF('01_Вводные'!$B$239="Да",MeanMinAge13+'19_Расчет_аналитики'!BN560*SUMIF(ThresholdAge13,"&lt;"&amp;'19_Расчет_аналитики'!BN560,WeightedRevAge13)-SUMIF(ThresholdAge13,"&lt;"&amp;'19_Расчет_аналитики'!BN560,WeightedMinAge13),MAX(CapacityAge13*'01_Вводные'!$B$218*'19_Расчет_аналитики'!BN560,MeanMinAge13)))</f>
        <v/>
      </c>
      <c r="BO504">
        <f>IF(OR(('19_Расчет_аналитики'!BO420-'19_Расчет_аналитики'!BO448)=0,13&lt;='01_Вводные'!$B$297),0,('19_Расчет_аналитики'!BO420-'19_Расчет_аналитики'!BO448)*IF('01_Вводные'!$B$239="Да",MeanMinAge13+'19_Расчет_аналитики'!BO560*SUMIF(ThresholdAge13,"&lt;"&amp;'19_Расчет_аналитики'!BO560,WeightedRevAge13)-SUMIF(ThresholdAge13,"&lt;"&amp;'19_Расчет_аналитики'!BO560,WeightedMinAge13),MAX(CapacityAge13*'01_Вводные'!$B$218*'19_Расчет_аналитики'!BO560,MeanMinAge13)))</f>
        <v/>
      </c>
    </row>
    <row r="505">
      <c r="B505">
        <f>IF(OR(('06_Сеть_и_дети'!B66-'06_Сеть_и_дети'!B94)=0,14&lt;='01_Вводные'!$B$297),0,('06_Сеть_и_дети'!B66-'06_Сеть_и_дети'!B94)*IF('01_Вводные'!$B$239="Да",MeanMinAge14+'19_Расчет_аналитики'!B560*SUMIF(ThresholdAge14,"&lt;"&amp;'19_Расчет_аналитики'!B560,WeightedRevAge14)-SUMIF(ThresholdAge14,"&lt;"&amp;'19_Расчет_аналитики'!B560,WeightedMinAge14),MAX(CapacityAge14*'01_Вводные'!$B$218*'19_Расчет_аналитики'!B560,MeanMinAge14)))</f>
        <v/>
      </c>
      <c r="C505">
        <f>IF(OR(('06_Сеть_и_дети'!C66-'06_Сеть_и_дети'!C94)=0,14&lt;='01_Вводные'!$B$297),0,('06_Сеть_и_дети'!C66-'06_Сеть_и_дети'!C94)*IF('01_Вводные'!$B$239="Да",MeanMinAge14+'19_Расчет_аналитики'!C560*SUMIF(ThresholdAge14,"&lt;"&amp;'19_Расчет_аналитики'!C560,WeightedRevAge14)-SUMIF(ThresholdAge14,"&lt;"&amp;'19_Расчет_аналитики'!C560,WeightedMinAge14),MAX(CapacityAge14*'01_Вводные'!$B$218*'19_Расчет_аналитики'!C560,MeanMinAge14)))</f>
        <v/>
      </c>
      <c r="D505">
        <f>IF(OR(('06_Сеть_и_дети'!D66-'06_Сеть_и_дети'!D94)=0,14&lt;='01_Вводные'!$B$297),0,('06_Сеть_и_дети'!D66-'06_Сеть_и_дети'!D94)*IF('01_Вводные'!$B$239="Да",MeanMinAge14+'19_Расчет_аналитики'!D560*SUMIF(ThresholdAge14,"&lt;"&amp;'19_Расчет_аналитики'!D560,WeightedRevAge14)-SUMIF(ThresholdAge14,"&lt;"&amp;'19_Расчет_аналитики'!D560,WeightedMinAge14),MAX(CapacityAge14*'01_Вводные'!$B$218*'19_Расчет_аналитики'!D560,MeanMinAge14)))</f>
        <v/>
      </c>
      <c r="E505">
        <f>IF(OR(('06_Сеть_и_дети'!E66-'06_Сеть_и_дети'!E94)=0,14&lt;='01_Вводные'!$B$297),0,('06_Сеть_и_дети'!E66-'06_Сеть_и_дети'!E94)*IF('01_Вводные'!$B$239="Да",MeanMinAge14+'19_Расчет_аналитики'!E560*SUMIF(ThresholdAge14,"&lt;"&amp;'19_Расчет_аналитики'!E560,WeightedRevAge14)-SUMIF(ThresholdAge14,"&lt;"&amp;'19_Расчет_аналитики'!E560,WeightedMinAge14),MAX(CapacityAge14*'01_Вводные'!$B$218*'19_Расчет_аналитики'!E560,MeanMinAge14)))</f>
        <v/>
      </c>
      <c r="F505">
        <f>IF(OR(('06_Сеть_и_дети'!F66-'06_Сеть_и_дети'!F94)=0,14&lt;='01_Вводные'!$B$297),0,('06_Сеть_и_дети'!F66-'06_Сеть_и_дети'!F94)*IF('01_Вводные'!$B$239="Да",MeanMinAge14+'19_Расчет_аналитики'!F560*SUMIF(ThresholdAge14,"&lt;"&amp;'19_Расчет_аналитики'!F560,WeightedRevAge14)-SUMIF(ThresholdAge14,"&lt;"&amp;'19_Расчет_аналитики'!F560,WeightedMinAge14),MAX(CapacityAge14*'01_Вводные'!$B$218*'19_Расчет_аналитики'!F560,MeanMinAge14)))</f>
        <v/>
      </c>
      <c r="G505">
        <f>IF(OR(('06_Сеть_и_дети'!G66-'06_Сеть_и_дети'!G94)=0,14&lt;='01_Вводные'!$B$297),0,('06_Сеть_и_дети'!G66-'06_Сеть_и_дети'!G94)*IF('01_Вводные'!$B$239="Да",MeanMinAge14+'19_Расчет_аналитики'!G560*SUMIF(ThresholdAge14,"&lt;"&amp;'19_Расчет_аналитики'!G560,WeightedRevAge14)-SUMIF(ThresholdAge14,"&lt;"&amp;'19_Расчет_аналитики'!G560,WeightedMinAge14),MAX(CapacityAge14*'01_Вводные'!$B$218*'19_Расчет_аналитики'!G560,MeanMinAge14)))</f>
        <v/>
      </c>
      <c r="H505">
        <f>IF(OR(('06_Сеть_и_дети'!H66-'06_Сеть_и_дети'!H94)=0,14&lt;='01_Вводные'!$B$297),0,('06_Сеть_и_дети'!H66-'06_Сеть_и_дети'!H94)*IF('01_Вводные'!$B$239="Да",MeanMinAge14+'19_Расчет_аналитики'!H560*SUMIF(ThresholdAge14,"&lt;"&amp;'19_Расчет_аналитики'!H560,WeightedRevAge14)-SUMIF(ThresholdAge14,"&lt;"&amp;'19_Расчет_аналитики'!H560,WeightedMinAge14),MAX(CapacityAge14*'01_Вводные'!$B$218*'19_Расчет_аналитики'!H560,MeanMinAge14)))</f>
        <v/>
      </c>
      <c r="I505">
        <f>IF(OR(('06_Сеть_и_дети'!I66-'06_Сеть_и_дети'!I94)=0,14&lt;='01_Вводные'!$B$297),0,('06_Сеть_и_дети'!I66-'06_Сеть_и_дети'!I94)*IF('01_Вводные'!$B$239="Да",MeanMinAge14+'19_Расчет_аналитики'!I560*SUMIF(ThresholdAge14,"&lt;"&amp;'19_Расчет_аналитики'!I560,WeightedRevAge14)-SUMIF(ThresholdAge14,"&lt;"&amp;'19_Расчет_аналитики'!I560,WeightedMinAge14),MAX(CapacityAge14*'01_Вводные'!$B$218*'19_Расчет_аналитики'!I560,MeanMinAge14)))</f>
        <v/>
      </c>
      <c r="J505">
        <f>IF(OR(('06_Сеть_и_дети'!J66-'06_Сеть_и_дети'!J94)=0,14&lt;='01_Вводные'!$B$297),0,('06_Сеть_и_дети'!J66-'06_Сеть_и_дети'!J94)*IF('01_Вводные'!$B$239="Да",MeanMinAge14+'19_Расчет_аналитики'!J560*SUMIF(ThresholdAge14,"&lt;"&amp;'19_Расчет_аналитики'!J560,WeightedRevAge14)-SUMIF(ThresholdAge14,"&lt;"&amp;'19_Расчет_аналитики'!J560,WeightedMinAge14),MAX(CapacityAge14*'01_Вводные'!$B$218*'19_Расчет_аналитики'!J560,MeanMinAge14)))</f>
        <v/>
      </c>
      <c r="K505">
        <f>IF(OR(('06_Сеть_и_дети'!K66-'06_Сеть_и_дети'!K94)=0,14&lt;='01_Вводные'!$B$297),0,('06_Сеть_и_дети'!K66-'06_Сеть_и_дети'!K94)*IF('01_Вводные'!$B$239="Да",MeanMinAge14+'19_Расчет_аналитики'!K560*SUMIF(ThresholdAge14,"&lt;"&amp;'19_Расчет_аналитики'!K560,WeightedRevAge14)-SUMIF(ThresholdAge14,"&lt;"&amp;'19_Расчет_аналитики'!K560,WeightedMinAge14),MAX(CapacityAge14*'01_Вводные'!$B$218*'19_Расчет_аналитики'!K560,MeanMinAge14)))</f>
        <v/>
      </c>
      <c r="L505">
        <f>IF(OR(('06_Сеть_и_дети'!L66-'06_Сеть_и_дети'!L94)=0,14&lt;='01_Вводные'!$B$297),0,('06_Сеть_и_дети'!L66-'06_Сеть_и_дети'!L94)*IF('01_Вводные'!$B$239="Да",MeanMinAge14+'19_Расчет_аналитики'!L560*SUMIF(ThresholdAge14,"&lt;"&amp;'19_Расчет_аналитики'!L560,WeightedRevAge14)-SUMIF(ThresholdAge14,"&lt;"&amp;'19_Расчет_аналитики'!L560,WeightedMinAge14),MAX(CapacityAge14*'01_Вводные'!$B$218*'19_Расчет_аналитики'!L560,MeanMinAge14)))</f>
        <v/>
      </c>
      <c r="M505">
        <f>IF(OR(('06_Сеть_и_дети'!M66-'06_Сеть_и_дети'!M94)=0,14&lt;='01_Вводные'!$B$297),0,('06_Сеть_и_дети'!M66-'06_Сеть_и_дети'!M94)*IF('01_Вводные'!$B$239="Да",MeanMinAge14+'19_Расчет_аналитики'!M560*SUMIF(ThresholdAge14,"&lt;"&amp;'19_Расчет_аналитики'!M560,WeightedRevAge14)-SUMIF(ThresholdAge14,"&lt;"&amp;'19_Расчет_аналитики'!M560,WeightedMinAge14),MAX(CapacityAge14*'01_Вводные'!$B$218*'19_Расчет_аналитики'!M560,MeanMinAge14)))</f>
        <v/>
      </c>
      <c r="N505">
        <f>IF(OR(('06_Сеть_и_дети'!N66-'06_Сеть_и_дети'!N94)=0,14&lt;='01_Вводные'!$B$297),0,('06_Сеть_и_дети'!N66-'06_Сеть_и_дети'!N94)*IF('01_Вводные'!$B$239="Да",MeanMinAge14+'19_Расчет_аналитики'!N560*SUMIF(ThresholdAge14,"&lt;"&amp;'19_Расчет_аналитики'!N560,WeightedRevAge14)-SUMIF(ThresholdAge14,"&lt;"&amp;'19_Расчет_аналитики'!N560,WeightedMinAge14),MAX(CapacityAge14*'01_Вводные'!$B$218*'19_Расчет_аналитики'!N560,MeanMinAge14)))</f>
        <v/>
      </c>
      <c r="O505">
        <f>IF(OR(('19_Расчет_аналитики'!O421-'19_Расчет_аналитики'!O449)=0,14&lt;='01_Вводные'!$B$297),0,('19_Расчет_аналитики'!O421-'19_Расчет_аналитики'!O449)*IF('01_Вводные'!$B$239="Да",MeanMinAge14+'19_Расчет_аналитики'!O560*SUMIF(ThresholdAge14,"&lt;"&amp;'19_Расчет_аналитики'!O560,WeightedRevAge14)-SUMIF(ThresholdAge14,"&lt;"&amp;'19_Расчет_аналитики'!O560,WeightedMinAge14),MAX(CapacityAge14*'01_Вводные'!$B$218*'19_Расчет_аналитики'!O560,MeanMinAge14)))</f>
        <v/>
      </c>
      <c r="P505">
        <f>IF(OR(('19_Расчет_аналитики'!P421-'19_Расчет_аналитики'!P449)=0,14&lt;='01_Вводные'!$B$297),0,('19_Расчет_аналитики'!P421-'19_Расчет_аналитики'!P449)*IF('01_Вводные'!$B$239="Да",MeanMinAge14+'19_Расчет_аналитики'!P560*SUMIF(ThresholdAge14,"&lt;"&amp;'19_Расчет_аналитики'!P560,WeightedRevAge14)-SUMIF(ThresholdAge14,"&lt;"&amp;'19_Расчет_аналитики'!P560,WeightedMinAge14),MAX(CapacityAge14*'01_Вводные'!$B$218*'19_Расчет_аналитики'!P560,MeanMinAge14)))</f>
        <v/>
      </c>
      <c r="Q505">
        <f>IF(OR(('19_Расчет_аналитики'!Q421-'19_Расчет_аналитики'!Q449)=0,14&lt;='01_Вводные'!$B$297),0,('19_Расчет_аналитики'!Q421-'19_Расчет_аналитики'!Q449)*IF('01_Вводные'!$B$239="Да",MeanMinAge14+'19_Расчет_аналитики'!Q560*SUMIF(ThresholdAge14,"&lt;"&amp;'19_Расчет_аналитики'!Q560,WeightedRevAge14)-SUMIF(ThresholdAge14,"&lt;"&amp;'19_Расчет_аналитики'!Q560,WeightedMinAge14),MAX(CapacityAge14*'01_Вводные'!$B$218*'19_Расчет_аналитики'!Q560,MeanMinAge14)))</f>
        <v/>
      </c>
      <c r="R505">
        <f>IF(OR(('19_Расчет_аналитики'!R421-'19_Расчет_аналитики'!R449)=0,14&lt;='01_Вводные'!$B$297),0,('19_Расчет_аналитики'!R421-'19_Расчет_аналитики'!R449)*IF('01_Вводные'!$B$239="Да",MeanMinAge14+'19_Расчет_аналитики'!R560*SUMIF(ThresholdAge14,"&lt;"&amp;'19_Расчет_аналитики'!R560,WeightedRevAge14)-SUMIF(ThresholdAge14,"&lt;"&amp;'19_Расчет_аналитики'!R560,WeightedMinAge14),MAX(CapacityAge14*'01_Вводные'!$B$218*'19_Расчет_аналитики'!R560,MeanMinAge14)))</f>
        <v/>
      </c>
      <c r="S505">
        <f>IF(OR(('19_Расчет_аналитики'!S421-'19_Расчет_аналитики'!S449)=0,14&lt;='01_Вводные'!$B$297),0,('19_Расчет_аналитики'!S421-'19_Расчет_аналитики'!S449)*IF('01_Вводные'!$B$239="Да",MeanMinAge14+'19_Расчет_аналитики'!S560*SUMIF(ThresholdAge14,"&lt;"&amp;'19_Расчет_аналитики'!S560,WeightedRevAge14)-SUMIF(ThresholdAge14,"&lt;"&amp;'19_Расчет_аналитики'!S560,WeightedMinAge14),MAX(CapacityAge14*'01_Вводные'!$B$218*'19_Расчет_аналитики'!S560,MeanMinAge14)))</f>
        <v/>
      </c>
      <c r="T505">
        <f>IF(OR(('19_Расчет_аналитики'!T421-'19_Расчет_аналитики'!T449)=0,14&lt;='01_Вводные'!$B$297),0,('19_Расчет_аналитики'!T421-'19_Расчет_аналитики'!T449)*IF('01_Вводные'!$B$239="Да",MeanMinAge14+'19_Расчет_аналитики'!T560*SUMIF(ThresholdAge14,"&lt;"&amp;'19_Расчет_аналитики'!T560,WeightedRevAge14)-SUMIF(ThresholdAge14,"&lt;"&amp;'19_Расчет_аналитики'!T560,WeightedMinAge14),MAX(CapacityAge14*'01_Вводные'!$B$218*'19_Расчет_аналитики'!T560,MeanMinAge14)))</f>
        <v/>
      </c>
      <c r="U505">
        <f>IF(OR(('19_Расчет_аналитики'!U421-'19_Расчет_аналитики'!U449)=0,14&lt;='01_Вводные'!$B$297),0,('19_Расчет_аналитики'!U421-'19_Расчет_аналитики'!U449)*IF('01_Вводные'!$B$239="Да",MeanMinAge14+'19_Расчет_аналитики'!U560*SUMIF(ThresholdAge14,"&lt;"&amp;'19_Расчет_аналитики'!U560,WeightedRevAge14)-SUMIF(ThresholdAge14,"&lt;"&amp;'19_Расчет_аналитики'!U560,WeightedMinAge14),MAX(CapacityAge14*'01_Вводные'!$B$218*'19_Расчет_аналитики'!U560,MeanMinAge14)))</f>
        <v/>
      </c>
      <c r="V505">
        <f>IF(OR(('19_Расчет_аналитики'!V421-'19_Расчет_аналитики'!V449)=0,14&lt;='01_Вводные'!$B$297),0,('19_Расчет_аналитики'!V421-'19_Расчет_аналитики'!V449)*IF('01_Вводные'!$B$239="Да",MeanMinAge14+'19_Расчет_аналитики'!V560*SUMIF(ThresholdAge14,"&lt;"&amp;'19_Расчет_аналитики'!V560,WeightedRevAge14)-SUMIF(ThresholdAge14,"&lt;"&amp;'19_Расчет_аналитики'!V560,WeightedMinAge14),MAX(CapacityAge14*'01_Вводные'!$B$218*'19_Расчет_аналитики'!V560,MeanMinAge14)))</f>
        <v/>
      </c>
      <c r="W505">
        <f>IF(OR(('19_Расчет_аналитики'!W421-'19_Расчет_аналитики'!W449)=0,14&lt;='01_Вводные'!$B$297),0,('19_Расчет_аналитики'!W421-'19_Расчет_аналитики'!W449)*IF('01_Вводные'!$B$239="Да",MeanMinAge14+'19_Расчет_аналитики'!W560*SUMIF(ThresholdAge14,"&lt;"&amp;'19_Расчет_аналитики'!W560,WeightedRevAge14)-SUMIF(ThresholdAge14,"&lt;"&amp;'19_Расчет_аналитики'!W560,WeightedMinAge14),MAX(CapacityAge14*'01_Вводные'!$B$218*'19_Расчет_аналитики'!W560,MeanMinAge14)))</f>
        <v/>
      </c>
      <c r="X505">
        <f>IF(OR(('19_Расчет_аналитики'!X421-'19_Расчет_аналитики'!X449)=0,14&lt;='01_Вводные'!$B$297),0,('19_Расчет_аналитики'!X421-'19_Расчет_аналитики'!X449)*IF('01_Вводные'!$B$239="Да",MeanMinAge14+'19_Расчет_аналитики'!X560*SUMIF(ThresholdAge14,"&lt;"&amp;'19_Расчет_аналитики'!X560,WeightedRevAge14)-SUMIF(ThresholdAge14,"&lt;"&amp;'19_Расчет_аналитики'!X560,WeightedMinAge14),MAX(CapacityAge14*'01_Вводные'!$B$218*'19_Расчет_аналитики'!X560,MeanMinAge14)))</f>
        <v/>
      </c>
      <c r="Y505">
        <f>IF(OR(('19_Расчет_аналитики'!Y421-'19_Расчет_аналитики'!Y449)=0,14&lt;='01_Вводные'!$B$297),0,('19_Расчет_аналитики'!Y421-'19_Расчет_аналитики'!Y449)*IF('01_Вводные'!$B$239="Да",MeanMinAge14+'19_Расчет_аналитики'!Y560*SUMIF(ThresholdAge14,"&lt;"&amp;'19_Расчет_аналитики'!Y560,WeightedRevAge14)-SUMIF(ThresholdAge14,"&lt;"&amp;'19_Расчет_аналитики'!Y560,WeightedMinAge14),MAX(CapacityAge14*'01_Вводные'!$B$218*'19_Расчет_аналитики'!Y560,MeanMinAge14)))</f>
        <v/>
      </c>
      <c r="Z505">
        <f>IF(OR(('19_Расчет_аналитики'!Z421-'19_Расчет_аналитики'!Z449)=0,14&lt;='01_Вводные'!$B$297),0,('19_Расчет_аналитики'!Z421-'19_Расчет_аналитики'!Z449)*IF('01_Вводные'!$B$239="Да",MeanMinAge14+'19_Расчет_аналитики'!Z560*SUMIF(ThresholdAge14,"&lt;"&amp;'19_Расчет_аналитики'!Z560,WeightedRevAge14)-SUMIF(ThresholdAge14,"&lt;"&amp;'19_Расчет_аналитики'!Z560,WeightedMinAge14),MAX(CapacityAge14*'01_Вводные'!$B$218*'19_Расчет_аналитики'!Z560,MeanMinAge14)))</f>
        <v/>
      </c>
      <c r="AA505">
        <f>IF(OR(('19_Расчет_аналитики'!AA421-'19_Расчет_аналитики'!AA449)=0,14&lt;='01_Вводные'!$B$297),0,('19_Расчет_аналитики'!AA421-'19_Расчет_аналитики'!AA449)*IF('01_Вводные'!$B$239="Да",MeanMinAge14+'19_Расчет_аналитики'!AA560*SUMIF(ThresholdAge14,"&lt;"&amp;'19_Расчет_аналитики'!AA560,WeightedRevAge14)-SUMIF(ThresholdAge14,"&lt;"&amp;'19_Расчет_аналитики'!AA560,WeightedMinAge14),MAX(CapacityAge14*'01_Вводные'!$B$218*'19_Расчет_аналитики'!AA560,MeanMinAge14)))</f>
        <v/>
      </c>
      <c r="AB505">
        <f>IF(OR(('19_Расчет_аналитики'!AB421-'19_Расчет_аналитики'!AB449)=0,14&lt;='01_Вводные'!$B$297),0,('19_Расчет_аналитики'!AB421-'19_Расчет_аналитики'!AB449)*IF('01_Вводные'!$B$239="Да",MeanMinAge14+'19_Расчет_аналитики'!AB560*SUMIF(ThresholdAge14,"&lt;"&amp;'19_Расчет_аналитики'!AB560,WeightedRevAge14)-SUMIF(ThresholdAge14,"&lt;"&amp;'19_Расчет_аналитики'!AB560,WeightedMinAge14),MAX(CapacityAge14*'01_Вводные'!$B$218*'19_Расчет_аналитики'!AB560,MeanMinAge14)))</f>
        <v/>
      </c>
      <c r="AC505">
        <f>IF(OR(('19_Расчет_аналитики'!AC421-'19_Расчет_аналитики'!AC449)=0,14&lt;='01_Вводные'!$B$297),0,('19_Расчет_аналитики'!AC421-'19_Расчет_аналитики'!AC449)*IF('01_Вводные'!$B$239="Да",MeanMinAge14+'19_Расчет_аналитики'!AC560*SUMIF(ThresholdAge14,"&lt;"&amp;'19_Расчет_аналитики'!AC560,WeightedRevAge14)-SUMIF(ThresholdAge14,"&lt;"&amp;'19_Расчет_аналитики'!AC560,WeightedMinAge14),MAX(CapacityAge14*'01_Вводные'!$B$218*'19_Расчет_аналитики'!AC560,MeanMinAge14)))</f>
        <v/>
      </c>
      <c r="AD505">
        <f>IF(OR(('19_Расчет_аналитики'!AD421-'19_Расчет_аналитики'!AD449)=0,14&lt;='01_Вводные'!$B$297),0,('19_Расчет_аналитики'!AD421-'19_Расчет_аналитики'!AD449)*IF('01_Вводные'!$B$239="Да",MeanMinAge14+'19_Расчет_аналитики'!AD560*SUMIF(ThresholdAge14,"&lt;"&amp;'19_Расчет_аналитики'!AD560,WeightedRevAge14)-SUMIF(ThresholdAge14,"&lt;"&amp;'19_Расчет_аналитики'!AD560,WeightedMinAge14),MAX(CapacityAge14*'01_Вводные'!$B$218*'19_Расчет_аналитики'!AD560,MeanMinAge14)))</f>
        <v/>
      </c>
      <c r="AE505">
        <f>IF(OR(('19_Расчет_аналитики'!AE421-'19_Расчет_аналитики'!AE449)=0,14&lt;='01_Вводные'!$B$297),0,('19_Расчет_аналитики'!AE421-'19_Расчет_аналитики'!AE449)*IF('01_Вводные'!$B$239="Да",MeanMinAge14+'19_Расчет_аналитики'!AE560*SUMIF(ThresholdAge14,"&lt;"&amp;'19_Расчет_аналитики'!AE560,WeightedRevAge14)-SUMIF(ThresholdAge14,"&lt;"&amp;'19_Расчет_аналитики'!AE560,WeightedMinAge14),MAX(CapacityAge14*'01_Вводные'!$B$218*'19_Расчет_аналитики'!AE560,MeanMinAge14)))</f>
        <v/>
      </c>
      <c r="AF505">
        <f>IF(OR(('19_Расчет_аналитики'!AF421-'19_Расчет_аналитики'!AF449)=0,14&lt;='01_Вводные'!$B$297),0,('19_Расчет_аналитики'!AF421-'19_Расчет_аналитики'!AF449)*IF('01_Вводные'!$B$239="Да",MeanMinAge14+'19_Расчет_аналитики'!AF560*SUMIF(ThresholdAge14,"&lt;"&amp;'19_Расчет_аналитики'!AF560,WeightedRevAge14)-SUMIF(ThresholdAge14,"&lt;"&amp;'19_Расчет_аналитики'!AF560,WeightedMinAge14),MAX(CapacityAge14*'01_Вводные'!$B$218*'19_Расчет_аналитики'!AF560,MeanMinAge14)))</f>
        <v/>
      </c>
      <c r="AG505">
        <f>IF(OR(('19_Расчет_аналитики'!AG421-'19_Расчет_аналитики'!AG449)=0,14&lt;='01_Вводные'!$B$297),0,('19_Расчет_аналитики'!AG421-'19_Расчет_аналитики'!AG449)*IF('01_Вводные'!$B$239="Да",MeanMinAge14+'19_Расчет_аналитики'!AG560*SUMIF(ThresholdAge14,"&lt;"&amp;'19_Расчет_аналитики'!AG560,WeightedRevAge14)-SUMIF(ThresholdAge14,"&lt;"&amp;'19_Расчет_аналитики'!AG560,WeightedMinAge14),MAX(CapacityAge14*'01_Вводные'!$B$218*'19_Расчет_аналитики'!AG560,MeanMinAge14)))</f>
        <v/>
      </c>
      <c r="AH505">
        <f>IF(OR(('19_Расчет_аналитики'!AH421-'19_Расчет_аналитики'!AH449)=0,14&lt;='01_Вводные'!$B$297),0,('19_Расчет_аналитики'!AH421-'19_Расчет_аналитики'!AH449)*IF('01_Вводные'!$B$239="Да",MeanMinAge14+'19_Расчет_аналитики'!AH560*SUMIF(ThresholdAge14,"&lt;"&amp;'19_Расчет_аналитики'!AH560,WeightedRevAge14)-SUMIF(ThresholdAge14,"&lt;"&amp;'19_Расчет_аналитики'!AH560,WeightedMinAge14),MAX(CapacityAge14*'01_Вводные'!$B$218*'19_Расчет_аналитики'!AH560,MeanMinAge14)))</f>
        <v/>
      </c>
      <c r="AI505">
        <f>IF(OR(('19_Расчет_аналитики'!AI421-'19_Расчет_аналитики'!AI449)=0,14&lt;='01_Вводные'!$B$297),0,('19_Расчет_аналитики'!AI421-'19_Расчет_аналитики'!AI449)*IF('01_Вводные'!$B$239="Да",MeanMinAge14+'19_Расчет_аналитики'!AI560*SUMIF(ThresholdAge14,"&lt;"&amp;'19_Расчет_аналитики'!AI560,WeightedRevAge14)-SUMIF(ThresholdAge14,"&lt;"&amp;'19_Расчет_аналитики'!AI560,WeightedMinAge14),MAX(CapacityAge14*'01_Вводные'!$B$218*'19_Расчет_аналитики'!AI560,MeanMinAge14)))</f>
        <v/>
      </c>
      <c r="AJ505">
        <f>IF(OR(('19_Расчет_аналитики'!AJ421-'19_Расчет_аналитики'!AJ449)=0,14&lt;='01_Вводные'!$B$297),0,('19_Расчет_аналитики'!AJ421-'19_Расчет_аналитики'!AJ449)*IF('01_Вводные'!$B$239="Да",MeanMinAge14+'19_Расчет_аналитики'!AJ560*SUMIF(ThresholdAge14,"&lt;"&amp;'19_Расчет_аналитики'!AJ560,WeightedRevAge14)-SUMIF(ThresholdAge14,"&lt;"&amp;'19_Расчет_аналитики'!AJ560,WeightedMinAge14),MAX(CapacityAge14*'01_Вводные'!$B$218*'19_Расчет_аналитики'!AJ560,MeanMinAge14)))</f>
        <v/>
      </c>
      <c r="AK505">
        <f>IF(OR(('19_Расчет_аналитики'!AK421-'19_Расчет_аналитики'!AK449)=0,14&lt;='01_Вводные'!$B$297),0,('19_Расчет_аналитики'!AK421-'19_Расчет_аналитики'!AK449)*IF('01_Вводные'!$B$239="Да",MeanMinAge14+'19_Расчет_аналитики'!AK560*SUMIF(ThresholdAge14,"&lt;"&amp;'19_Расчет_аналитики'!AK560,WeightedRevAge14)-SUMIF(ThresholdAge14,"&lt;"&amp;'19_Расчет_аналитики'!AK560,WeightedMinAge14),MAX(CapacityAge14*'01_Вводные'!$B$218*'19_Расчет_аналитики'!AK560,MeanMinAge14)))</f>
        <v/>
      </c>
      <c r="AL505">
        <f>IF(OR(('19_Расчет_аналитики'!AL421-'19_Расчет_аналитики'!AL449)=0,14&lt;='01_Вводные'!$B$297),0,('19_Расчет_аналитики'!AL421-'19_Расчет_аналитики'!AL449)*IF('01_Вводные'!$B$239="Да",MeanMinAge14+'19_Расчет_аналитики'!AL560*SUMIF(ThresholdAge14,"&lt;"&amp;'19_Расчет_аналитики'!AL560,WeightedRevAge14)-SUMIF(ThresholdAge14,"&lt;"&amp;'19_Расчет_аналитики'!AL560,WeightedMinAge14),MAX(CapacityAge14*'01_Вводные'!$B$218*'19_Расчет_аналитики'!AL560,MeanMinAge14)))</f>
        <v/>
      </c>
      <c r="AM505">
        <f>IF(OR(('19_Расчет_аналитики'!AM421-'19_Расчет_аналитики'!AM449)=0,14&lt;='01_Вводные'!$B$297),0,('19_Расчет_аналитики'!AM421-'19_Расчет_аналитики'!AM449)*IF('01_Вводные'!$B$239="Да",MeanMinAge14+'19_Расчет_аналитики'!AM560*SUMIF(ThresholdAge14,"&lt;"&amp;'19_Расчет_аналитики'!AM560,WeightedRevAge14)-SUMIF(ThresholdAge14,"&lt;"&amp;'19_Расчет_аналитики'!AM560,WeightedMinAge14),MAX(CapacityAge14*'01_Вводные'!$B$218*'19_Расчет_аналитики'!AM560,MeanMinAge14)))</f>
        <v/>
      </c>
      <c r="AN505">
        <f>IF(OR(('19_Расчет_аналитики'!AN421-'19_Расчет_аналитики'!AN449)=0,14&lt;='01_Вводные'!$B$297),0,('19_Расчет_аналитики'!AN421-'19_Расчет_аналитики'!AN449)*IF('01_Вводные'!$B$239="Да",MeanMinAge14+'19_Расчет_аналитики'!AN560*SUMIF(ThresholdAge14,"&lt;"&amp;'19_Расчет_аналитики'!AN560,WeightedRevAge14)-SUMIF(ThresholdAge14,"&lt;"&amp;'19_Расчет_аналитики'!AN560,WeightedMinAge14),MAX(CapacityAge14*'01_Вводные'!$B$218*'19_Расчет_аналитики'!AN560,MeanMinAge14)))</f>
        <v/>
      </c>
      <c r="AO505">
        <f>IF(OR(('19_Расчет_аналитики'!AO421-'19_Расчет_аналитики'!AO449)=0,14&lt;='01_Вводные'!$B$297),0,('19_Расчет_аналитики'!AO421-'19_Расчет_аналитики'!AO449)*IF('01_Вводные'!$B$239="Да",MeanMinAge14+'19_Расчет_аналитики'!AO560*SUMIF(ThresholdAge14,"&lt;"&amp;'19_Расчет_аналитики'!AO560,WeightedRevAge14)-SUMIF(ThresholdAge14,"&lt;"&amp;'19_Расчет_аналитики'!AO560,WeightedMinAge14),MAX(CapacityAge14*'01_Вводные'!$B$218*'19_Расчет_аналитики'!AO560,MeanMinAge14)))</f>
        <v/>
      </c>
      <c r="AP505">
        <f>IF(OR(('19_Расчет_аналитики'!AP421-'19_Расчет_аналитики'!AP449)=0,14&lt;='01_Вводные'!$B$297),0,('19_Расчет_аналитики'!AP421-'19_Расчет_аналитики'!AP449)*IF('01_Вводные'!$B$239="Да",MeanMinAge14+'19_Расчет_аналитики'!AP560*SUMIF(ThresholdAge14,"&lt;"&amp;'19_Расчет_аналитики'!AP560,WeightedRevAge14)-SUMIF(ThresholdAge14,"&lt;"&amp;'19_Расчет_аналитики'!AP560,WeightedMinAge14),MAX(CapacityAge14*'01_Вводные'!$B$218*'19_Расчет_аналитики'!AP560,MeanMinAge14)))</f>
        <v/>
      </c>
      <c r="AQ505">
        <f>IF(OR(('19_Расчет_аналитики'!AQ421-'19_Расчет_аналитики'!AQ449)=0,14&lt;='01_Вводные'!$B$297),0,('19_Расчет_аналитики'!AQ421-'19_Расчет_аналитики'!AQ449)*IF('01_Вводные'!$B$239="Да",MeanMinAge14+'19_Расчет_аналитики'!AQ560*SUMIF(ThresholdAge14,"&lt;"&amp;'19_Расчет_аналитики'!AQ560,WeightedRevAge14)-SUMIF(ThresholdAge14,"&lt;"&amp;'19_Расчет_аналитики'!AQ560,WeightedMinAge14),MAX(CapacityAge14*'01_Вводные'!$B$218*'19_Расчет_аналитики'!AQ560,MeanMinAge14)))</f>
        <v/>
      </c>
      <c r="AR505">
        <f>IF(OR(('19_Расчет_аналитики'!AR421-'19_Расчет_аналитики'!AR449)=0,14&lt;='01_Вводные'!$B$297),0,('19_Расчет_аналитики'!AR421-'19_Расчет_аналитики'!AR449)*IF('01_Вводные'!$B$239="Да",MeanMinAge14+'19_Расчет_аналитики'!AR560*SUMIF(ThresholdAge14,"&lt;"&amp;'19_Расчет_аналитики'!AR560,WeightedRevAge14)-SUMIF(ThresholdAge14,"&lt;"&amp;'19_Расчет_аналитики'!AR560,WeightedMinAge14),MAX(CapacityAge14*'01_Вводные'!$B$218*'19_Расчет_аналитики'!AR560,MeanMinAge14)))</f>
        <v/>
      </c>
      <c r="AS505">
        <f>IF(OR(('19_Расчет_аналитики'!AS421-'19_Расчет_аналитики'!AS449)=0,14&lt;='01_Вводные'!$B$297),0,('19_Расчет_аналитики'!AS421-'19_Расчет_аналитики'!AS449)*IF('01_Вводные'!$B$239="Да",MeanMinAge14+'19_Расчет_аналитики'!AS560*SUMIF(ThresholdAge14,"&lt;"&amp;'19_Расчет_аналитики'!AS560,WeightedRevAge14)-SUMIF(ThresholdAge14,"&lt;"&amp;'19_Расчет_аналитики'!AS560,WeightedMinAge14),MAX(CapacityAge14*'01_Вводные'!$B$218*'19_Расчет_аналитики'!AS560,MeanMinAge14)))</f>
        <v/>
      </c>
      <c r="AT505">
        <f>IF(OR(('19_Расчет_аналитики'!AT421-'19_Расчет_аналитики'!AT449)=0,14&lt;='01_Вводные'!$B$297),0,('19_Расчет_аналитики'!AT421-'19_Расчет_аналитики'!AT449)*IF('01_Вводные'!$B$239="Да",MeanMinAge14+'19_Расчет_аналитики'!AT560*SUMIF(ThresholdAge14,"&lt;"&amp;'19_Расчет_аналитики'!AT560,WeightedRevAge14)-SUMIF(ThresholdAge14,"&lt;"&amp;'19_Расчет_аналитики'!AT560,WeightedMinAge14),MAX(CapacityAge14*'01_Вводные'!$B$218*'19_Расчет_аналитики'!AT560,MeanMinAge14)))</f>
        <v/>
      </c>
      <c r="AU505">
        <f>IF(OR(('19_Расчет_аналитики'!AU421-'19_Расчет_аналитики'!AU449)=0,14&lt;='01_Вводные'!$B$297),0,('19_Расчет_аналитики'!AU421-'19_Расчет_аналитики'!AU449)*IF('01_Вводные'!$B$239="Да",MeanMinAge14+'19_Расчет_аналитики'!AU560*SUMIF(ThresholdAge14,"&lt;"&amp;'19_Расчет_аналитики'!AU560,WeightedRevAge14)-SUMIF(ThresholdAge14,"&lt;"&amp;'19_Расчет_аналитики'!AU560,WeightedMinAge14),MAX(CapacityAge14*'01_Вводные'!$B$218*'19_Расчет_аналитики'!AU560,MeanMinAge14)))</f>
        <v/>
      </c>
      <c r="AV505">
        <f>IF(OR(('19_Расчет_аналитики'!AV421-'19_Расчет_аналитики'!AV449)=0,14&lt;='01_Вводные'!$B$297),0,('19_Расчет_аналитики'!AV421-'19_Расчет_аналитики'!AV449)*IF('01_Вводные'!$B$239="Да",MeanMinAge14+'19_Расчет_аналитики'!AV560*SUMIF(ThresholdAge14,"&lt;"&amp;'19_Расчет_аналитики'!AV560,WeightedRevAge14)-SUMIF(ThresholdAge14,"&lt;"&amp;'19_Расчет_аналитики'!AV560,WeightedMinAge14),MAX(CapacityAge14*'01_Вводные'!$B$218*'19_Расчет_аналитики'!AV560,MeanMinAge14)))</f>
        <v/>
      </c>
      <c r="AW505">
        <f>IF(OR(('19_Расчет_аналитики'!AW421-'19_Расчет_аналитики'!AW449)=0,14&lt;='01_Вводные'!$B$297),0,('19_Расчет_аналитики'!AW421-'19_Расчет_аналитики'!AW449)*IF('01_Вводные'!$B$239="Да",MeanMinAge14+'19_Расчет_аналитики'!AW560*SUMIF(ThresholdAge14,"&lt;"&amp;'19_Расчет_аналитики'!AW560,WeightedRevAge14)-SUMIF(ThresholdAge14,"&lt;"&amp;'19_Расчет_аналитики'!AW560,WeightedMinAge14),MAX(CapacityAge14*'01_Вводные'!$B$218*'19_Расчет_аналитики'!AW560,MeanMinAge14)))</f>
        <v/>
      </c>
      <c r="AX505">
        <f>IF(OR(('19_Расчет_аналитики'!AX421-'19_Расчет_аналитики'!AX449)=0,14&lt;='01_Вводные'!$B$297),0,('19_Расчет_аналитики'!AX421-'19_Расчет_аналитики'!AX449)*IF('01_Вводные'!$B$239="Да",MeanMinAge14+'19_Расчет_аналитики'!AX560*SUMIF(ThresholdAge14,"&lt;"&amp;'19_Расчет_аналитики'!AX560,WeightedRevAge14)-SUMIF(ThresholdAge14,"&lt;"&amp;'19_Расчет_аналитики'!AX560,WeightedMinAge14),MAX(CapacityAge14*'01_Вводные'!$B$218*'19_Расчет_аналитики'!AX560,MeanMinAge14)))</f>
        <v/>
      </c>
      <c r="AY505">
        <f>IF(OR(('19_Расчет_аналитики'!AY421-'19_Расчет_аналитики'!AY449)=0,14&lt;='01_Вводные'!$B$297),0,('19_Расчет_аналитики'!AY421-'19_Расчет_аналитики'!AY449)*IF('01_Вводные'!$B$239="Да",MeanMinAge14+'19_Расчет_аналитики'!AY560*SUMIF(ThresholdAge14,"&lt;"&amp;'19_Расчет_аналитики'!AY560,WeightedRevAge14)-SUMIF(ThresholdAge14,"&lt;"&amp;'19_Расчет_аналитики'!AY560,WeightedMinAge14),MAX(CapacityAge14*'01_Вводные'!$B$218*'19_Расчет_аналитики'!AY560,MeanMinAge14)))</f>
        <v/>
      </c>
      <c r="AZ505">
        <f>IF(OR(('19_Расчет_аналитики'!AZ421-'19_Расчет_аналитики'!AZ449)=0,14&lt;='01_Вводные'!$B$297),0,('19_Расчет_аналитики'!AZ421-'19_Расчет_аналитики'!AZ449)*IF('01_Вводные'!$B$239="Да",MeanMinAge14+'19_Расчет_аналитики'!AZ560*SUMIF(ThresholdAge14,"&lt;"&amp;'19_Расчет_аналитики'!AZ560,WeightedRevAge14)-SUMIF(ThresholdAge14,"&lt;"&amp;'19_Расчет_аналитики'!AZ560,WeightedMinAge14),MAX(CapacityAge14*'01_Вводные'!$B$218*'19_Расчет_аналитики'!AZ560,MeanMinAge14)))</f>
        <v/>
      </c>
      <c r="BA505">
        <f>IF(OR(('19_Расчет_аналитики'!BA421-'19_Расчет_аналитики'!BA449)=0,14&lt;='01_Вводные'!$B$297),0,('19_Расчет_аналитики'!BA421-'19_Расчет_аналитики'!BA449)*IF('01_Вводные'!$B$239="Да",MeanMinAge14+'19_Расчет_аналитики'!BA560*SUMIF(ThresholdAge14,"&lt;"&amp;'19_Расчет_аналитики'!BA560,WeightedRevAge14)-SUMIF(ThresholdAge14,"&lt;"&amp;'19_Расчет_аналитики'!BA560,WeightedMinAge14),MAX(CapacityAge14*'01_Вводные'!$B$218*'19_Расчет_аналитики'!BA560,MeanMinAge14)))</f>
        <v/>
      </c>
      <c r="BB505">
        <f>IF(OR(('19_Расчет_аналитики'!BB421-'19_Расчет_аналитики'!BB449)=0,14&lt;='01_Вводные'!$B$297),0,('19_Расчет_аналитики'!BB421-'19_Расчет_аналитики'!BB449)*IF('01_Вводные'!$B$239="Да",MeanMinAge14+'19_Расчет_аналитики'!BB560*SUMIF(ThresholdAge14,"&lt;"&amp;'19_Расчет_аналитики'!BB560,WeightedRevAge14)-SUMIF(ThresholdAge14,"&lt;"&amp;'19_Расчет_аналитики'!BB560,WeightedMinAge14),MAX(CapacityAge14*'01_Вводные'!$B$218*'19_Расчет_аналитики'!BB560,MeanMinAge14)))</f>
        <v/>
      </c>
      <c r="BC505">
        <f>IF(OR(('19_Расчет_аналитики'!BC421-'19_Расчет_аналитики'!BC449)=0,14&lt;='01_Вводные'!$B$297),0,('19_Расчет_аналитики'!BC421-'19_Расчет_аналитики'!BC449)*IF('01_Вводные'!$B$239="Да",MeanMinAge14+'19_Расчет_аналитики'!BC560*SUMIF(ThresholdAge14,"&lt;"&amp;'19_Расчет_аналитики'!BC560,WeightedRevAge14)-SUMIF(ThresholdAge14,"&lt;"&amp;'19_Расчет_аналитики'!BC560,WeightedMinAge14),MAX(CapacityAge14*'01_Вводные'!$B$218*'19_Расчет_аналитики'!BC560,MeanMinAge14)))</f>
        <v/>
      </c>
      <c r="BD505">
        <f>IF(OR(('19_Расчет_аналитики'!BD421-'19_Расчет_аналитики'!BD449)=0,14&lt;='01_Вводные'!$B$297),0,('19_Расчет_аналитики'!BD421-'19_Расчет_аналитики'!BD449)*IF('01_Вводные'!$B$239="Да",MeanMinAge14+'19_Расчет_аналитики'!BD560*SUMIF(ThresholdAge14,"&lt;"&amp;'19_Расчет_аналитики'!BD560,WeightedRevAge14)-SUMIF(ThresholdAge14,"&lt;"&amp;'19_Расчет_аналитики'!BD560,WeightedMinAge14),MAX(CapacityAge14*'01_Вводные'!$B$218*'19_Расчет_аналитики'!BD560,MeanMinAge14)))</f>
        <v/>
      </c>
      <c r="BE505">
        <f>IF(OR(('19_Расчет_аналитики'!BE421-'19_Расчет_аналитики'!BE449)=0,14&lt;='01_Вводные'!$B$297),0,('19_Расчет_аналитики'!BE421-'19_Расчет_аналитики'!BE449)*IF('01_Вводные'!$B$239="Да",MeanMinAge14+'19_Расчет_аналитики'!BE560*SUMIF(ThresholdAge14,"&lt;"&amp;'19_Расчет_аналитики'!BE560,WeightedRevAge14)-SUMIF(ThresholdAge14,"&lt;"&amp;'19_Расчет_аналитики'!BE560,WeightedMinAge14),MAX(CapacityAge14*'01_Вводные'!$B$218*'19_Расчет_аналитики'!BE560,MeanMinAge14)))</f>
        <v/>
      </c>
      <c r="BF505">
        <f>IF(OR(('19_Расчет_аналитики'!BF421-'19_Расчет_аналитики'!BF449)=0,14&lt;='01_Вводные'!$B$297),0,('19_Расчет_аналитики'!BF421-'19_Расчет_аналитики'!BF449)*IF('01_Вводные'!$B$239="Да",MeanMinAge14+'19_Расчет_аналитики'!BF560*SUMIF(ThresholdAge14,"&lt;"&amp;'19_Расчет_аналитики'!BF560,WeightedRevAge14)-SUMIF(ThresholdAge14,"&lt;"&amp;'19_Расчет_аналитики'!BF560,WeightedMinAge14),MAX(CapacityAge14*'01_Вводные'!$B$218*'19_Расчет_аналитики'!BF560,MeanMinAge14)))</f>
        <v/>
      </c>
      <c r="BG505">
        <f>IF(OR(('19_Расчет_аналитики'!BG421-'19_Расчет_аналитики'!BG449)=0,14&lt;='01_Вводные'!$B$297),0,('19_Расчет_аналитики'!BG421-'19_Расчет_аналитики'!BG449)*IF('01_Вводные'!$B$239="Да",MeanMinAge14+'19_Расчет_аналитики'!BG560*SUMIF(ThresholdAge14,"&lt;"&amp;'19_Расчет_аналитики'!BG560,WeightedRevAge14)-SUMIF(ThresholdAge14,"&lt;"&amp;'19_Расчет_аналитики'!BG560,WeightedMinAge14),MAX(CapacityAge14*'01_Вводные'!$B$218*'19_Расчет_аналитики'!BG560,MeanMinAge14)))</f>
        <v/>
      </c>
      <c r="BH505">
        <f>IF(OR(('19_Расчет_аналитики'!BH421-'19_Расчет_аналитики'!BH449)=0,14&lt;='01_Вводные'!$B$297),0,('19_Расчет_аналитики'!BH421-'19_Расчет_аналитики'!BH449)*IF('01_Вводные'!$B$239="Да",MeanMinAge14+'19_Расчет_аналитики'!BH560*SUMIF(ThresholdAge14,"&lt;"&amp;'19_Расчет_аналитики'!BH560,WeightedRevAge14)-SUMIF(ThresholdAge14,"&lt;"&amp;'19_Расчет_аналитики'!BH560,WeightedMinAge14),MAX(CapacityAge14*'01_Вводные'!$B$218*'19_Расчет_аналитики'!BH560,MeanMinAge14)))</f>
        <v/>
      </c>
      <c r="BI505">
        <f>IF(OR(('19_Расчет_аналитики'!BI421-'19_Расчет_аналитики'!BI449)=0,14&lt;='01_Вводные'!$B$297),0,('19_Расчет_аналитики'!BI421-'19_Расчет_аналитики'!BI449)*IF('01_Вводные'!$B$239="Да",MeanMinAge14+'19_Расчет_аналитики'!BI560*SUMIF(ThresholdAge14,"&lt;"&amp;'19_Расчет_аналитики'!BI560,WeightedRevAge14)-SUMIF(ThresholdAge14,"&lt;"&amp;'19_Расчет_аналитики'!BI560,WeightedMinAge14),MAX(CapacityAge14*'01_Вводные'!$B$218*'19_Расчет_аналитики'!BI560,MeanMinAge14)))</f>
        <v/>
      </c>
      <c r="BJ505">
        <f>IF(OR(('19_Расчет_аналитики'!BJ421-'19_Расчет_аналитики'!BJ449)=0,14&lt;='01_Вводные'!$B$297),0,('19_Расчет_аналитики'!BJ421-'19_Расчет_аналитики'!BJ449)*IF('01_Вводные'!$B$239="Да",MeanMinAge14+'19_Расчет_аналитики'!BJ560*SUMIF(ThresholdAge14,"&lt;"&amp;'19_Расчет_аналитики'!BJ560,WeightedRevAge14)-SUMIF(ThresholdAge14,"&lt;"&amp;'19_Расчет_аналитики'!BJ560,WeightedMinAge14),MAX(CapacityAge14*'01_Вводные'!$B$218*'19_Расчет_аналитики'!BJ560,MeanMinAge14)))</f>
        <v/>
      </c>
      <c r="BK505">
        <f>IF(OR(('19_Расчет_аналитики'!BK421-'19_Расчет_аналитики'!BK449)=0,14&lt;='01_Вводные'!$B$297),0,('19_Расчет_аналитики'!BK421-'19_Расчет_аналитики'!BK449)*IF('01_Вводные'!$B$239="Да",MeanMinAge14+'19_Расчет_аналитики'!BK560*SUMIF(ThresholdAge14,"&lt;"&amp;'19_Расчет_аналитики'!BK560,WeightedRevAge14)-SUMIF(ThresholdAge14,"&lt;"&amp;'19_Расчет_аналитики'!BK560,WeightedMinAge14),MAX(CapacityAge14*'01_Вводные'!$B$218*'19_Расчет_аналитики'!BK560,MeanMinAge14)))</f>
        <v/>
      </c>
      <c r="BL505">
        <f>IF(OR(('19_Расчет_аналитики'!BL421-'19_Расчет_аналитики'!BL449)=0,14&lt;='01_Вводные'!$B$297),0,('19_Расчет_аналитики'!BL421-'19_Расчет_аналитики'!BL449)*IF('01_Вводные'!$B$239="Да",MeanMinAge14+'19_Расчет_аналитики'!BL560*SUMIF(ThresholdAge14,"&lt;"&amp;'19_Расчет_аналитики'!BL560,WeightedRevAge14)-SUMIF(ThresholdAge14,"&lt;"&amp;'19_Расчет_аналитики'!BL560,WeightedMinAge14),MAX(CapacityAge14*'01_Вводные'!$B$218*'19_Расчет_аналитики'!BL560,MeanMinAge14)))</f>
        <v/>
      </c>
      <c r="BM505">
        <f>IF(OR(('19_Расчет_аналитики'!BM421-'19_Расчет_аналитики'!BM449)=0,14&lt;='01_Вводные'!$B$297),0,('19_Расчет_аналитики'!BM421-'19_Расчет_аналитики'!BM449)*IF('01_Вводные'!$B$239="Да",MeanMinAge14+'19_Расчет_аналитики'!BM560*SUMIF(ThresholdAge14,"&lt;"&amp;'19_Расчет_аналитики'!BM560,WeightedRevAge14)-SUMIF(ThresholdAge14,"&lt;"&amp;'19_Расчет_аналитики'!BM560,WeightedMinAge14),MAX(CapacityAge14*'01_Вводные'!$B$218*'19_Расчет_аналитики'!BM560,MeanMinAge14)))</f>
        <v/>
      </c>
      <c r="BN505">
        <f>IF(OR(('19_Расчет_аналитики'!BN421-'19_Расчет_аналитики'!BN449)=0,14&lt;='01_Вводные'!$B$297),0,('19_Расчет_аналитики'!BN421-'19_Расчет_аналитики'!BN449)*IF('01_Вводные'!$B$239="Да",MeanMinAge14+'19_Расчет_аналитики'!BN560*SUMIF(ThresholdAge14,"&lt;"&amp;'19_Расчет_аналитики'!BN560,WeightedRevAge14)-SUMIF(ThresholdAge14,"&lt;"&amp;'19_Расчет_аналитики'!BN560,WeightedMinAge14),MAX(CapacityAge14*'01_Вводные'!$B$218*'19_Расчет_аналитики'!BN560,MeanMinAge14)))</f>
        <v/>
      </c>
      <c r="BO505">
        <f>IF(OR(('19_Расчет_аналитики'!BO421-'19_Расчет_аналитики'!BO449)=0,14&lt;='01_Вводные'!$B$297),0,('19_Расчет_аналитики'!BO421-'19_Расчет_аналитики'!BO449)*IF('01_Вводные'!$B$239="Да",MeanMinAge14+'19_Расчет_аналитики'!BO560*SUMIF(ThresholdAge14,"&lt;"&amp;'19_Расчет_аналитики'!BO560,WeightedRevAge14)-SUMIF(ThresholdAge14,"&lt;"&amp;'19_Расчет_аналитики'!BO560,WeightedMinAge14),MAX(CapacityAge14*'01_Вводные'!$B$218*'19_Расчет_аналитики'!BO560,MeanMinAge14)))</f>
        <v/>
      </c>
    </row>
    <row r="506">
      <c r="B506">
        <f>IF(OR(('06_Сеть_и_дети'!B67-'06_Сеть_и_дети'!B95)=0,15&lt;='01_Вводные'!$B$297),0,('06_Сеть_и_дети'!B67-'06_Сеть_и_дети'!B95)*IF('01_Вводные'!$B$239="Да",MeanMinAge15+'19_Расчет_аналитики'!B560*SUMIF(ThresholdAge15,"&lt;"&amp;'19_Расчет_аналитики'!B560,WeightedRevAge15)-SUMIF(ThresholdAge15,"&lt;"&amp;'19_Расчет_аналитики'!B560,WeightedMinAge15),MAX(CapacityAge15*'01_Вводные'!$B$218*'19_Расчет_аналитики'!B560,MeanMinAge15)))</f>
        <v/>
      </c>
      <c r="C506">
        <f>IF(OR(('06_Сеть_и_дети'!C67-'06_Сеть_и_дети'!C95)=0,15&lt;='01_Вводные'!$B$297),0,('06_Сеть_и_дети'!C67-'06_Сеть_и_дети'!C95)*IF('01_Вводные'!$B$239="Да",MeanMinAge15+'19_Расчет_аналитики'!C560*SUMIF(ThresholdAge15,"&lt;"&amp;'19_Расчет_аналитики'!C560,WeightedRevAge15)-SUMIF(ThresholdAge15,"&lt;"&amp;'19_Расчет_аналитики'!C560,WeightedMinAge15),MAX(CapacityAge15*'01_Вводные'!$B$218*'19_Расчет_аналитики'!C560,MeanMinAge15)))</f>
        <v/>
      </c>
      <c r="D506">
        <f>IF(OR(('06_Сеть_и_дети'!D67-'06_Сеть_и_дети'!D95)=0,15&lt;='01_Вводные'!$B$297),0,('06_Сеть_и_дети'!D67-'06_Сеть_и_дети'!D95)*IF('01_Вводные'!$B$239="Да",MeanMinAge15+'19_Расчет_аналитики'!D560*SUMIF(ThresholdAge15,"&lt;"&amp;'19_Расчет_аналитики'!D560,WeightedRevAge15)-SUMIF(ThresholdAge15,"&lt;"&amp;'19_Расчет_аналитики'!D560,WeightedMinAge15),MAX(CapacityAge15*'01_Вводные'!$B$218*'19_Расчет_аналитики'!D560,MeanMinAge15)))</f>
        <v/>
      </c>
      <c r="E506">
        <f>IF(OR(('06_Сеть_и_дети'!E67-'06_Сеть_и_дети'!E95)=0,15&lt;='01_Вводные'!$B$297),0,('06_Сеть_и_дети'!E67-'06_Сеть_и_дети'!E95)*IF('01_Вводные'!$B$239="Да",MeanMinAge15+'19_Расчет_аналитики'!E560*SUMIF(ThresholdAge15,"&lt;"&amp;'19_Расчет_аналитики'!E560,WeightedRevAge15)-SUMIF(ThresholdAge15,"&lt;"&amp;'19_Расчет_аналитики'!E560,WeightedMinAge15),MAX(CapacityAge15*'01_Вводные'!$B$218*'19_Расчет_аналитики'!E560,MeanMinAge15)))</f>
        <v/>
      </c>
      <c r="F506">
        <f>IF(OR(('06_Сеть_и_дети'!F67-'06_Сеть_и_дети'!F95)=0,15&lt;='01_Вводные'!$B$297),0,('06_Сеть_и_дети'!F67-'06_Сеть_и_дети'!F95)*IF('01_Вводные'!$B$239="Да",MeanMinAge15+'19_Расчет_аналитики'!F560*SUMIF(ThresholdAge15,"&lt;"&amp;'19_Расчет_аналитики'!F560,WeightedRevAge15)-SUMIF(ThresholdAge15,"&lt;"&amp;'19_Расчет_аналитики'!F560,WeightedMinAge15),MAX(CapacityAge15*'01_Вводные'!$B$218*'19_Расчет_аналитики'!F560,MeanMinAge15)))</f>
        <v/>
      </c>
      <c r="G506">
        <f>IF(OR(('06_Сеть_и_дети'!G67-'06_Сеть_и_дети'!G95)=0,15&lt;='01_Вводные'!$B$297),0,('06_Сеть_и_дети'!G67-'06_Сеть_и_дети'!G95)*IF('01_Вводные'!$B$239="Да",MeanMinAge15+'19_Расчет_аналитики'!G560*SUMIF(ThresholdAge15,"&lt;"&amp;'19_Расчет_аналитики'!G560,WeightedRevAge15)-SUMIF(ThresholdAge15,"&lt;"&amp;'19_Расчет_аналитики'!G560,WeightedMinAge15),MAX(CapacityAge15*'01_Вводные'!$B$218*'19_Расчет_аналитики'!G560,MeanMinAge15)))</f>
        <v/>
      </c>
      <c r="H506">
        <f>IF(OR(('06_Сеть_и_дети'!H67-'06_Сеть_и_дети'!H95)=0,15&lt;='01_Вводные'!$B$297),0,('06_Сеть_и_дети'!H67-'06_Сеть_и_дети'!H95)*IF('01_Вводные'!$B$239="Да",MeanMinAge15+'19_Расчет_аналитики'!H560*SUMIF(ThresholdAge15,"&lt;"&amp;'19_Расчет_аналитики'!H560,WeightedRevAge15)-SUMIF(ThresholdAge15,"&lt;"&amp;'19_Расчет_аналитики'!H560,WeightedMinAge15),MAX(CapacityAge15*'01_Вводные'!$B$218*'19_Расчет_аналитики'!H560,MeanMinAge15)))</f>
        <v/>
      </c>
      <c r="I506">
        <f>IF(OR(('06_Сеть_и_дети'!I67-'06_Сеть_и_дети'!I95)=0,15&lt;='01_Вводные'!$B$297),0,('06_Сеть_и_дети'!I67-'06_Сеть_и_дети'!I95)*IF('01_Вводные'!$B$239="Да",MeanMinAge15+'19_Расчет_аналитики'!I560*SUMIF(ThresholdAge15,"&lt;"&amp;'19_Расчет_аналитики'!I560,WeightedRevAge15)-SUMIF(ThresholdAge15,"&lt;"&amp;'19_Расчет_аналитики'!I560,WeightedMinAge15),MAX(CapacityAge15*'01_Вводные'!$B$218*'19_Расчет_аналитики'!I560,MeanMinAge15)))</f>
        <v/>
      </c>
      <c r="J506">
        <f>IF(OR(('06_Сеть_и_дети'!J67-'06_Сеть_и_дети'!J95)=0,15&lt;='01_Вводные'!$B$297),0,('06_Сеть_и_дети'!J67-'06_Сеть_и_дети'!J95)*IF('01_Вводные'!$B$239="Да",MeanMinAge15+'19_Расчет_аналитики'!J560*SUMIF(ThresholdAge15,"&lt;"&amp;'19_Расчет_аналитики'!J560,WeightedRevAge15)-SUMIF(ThresholdAge15,"&lt;"&amp;'19_Расчет_аналитики'!J560,WeightedMinAge15),MAX(CapacityAge15*'01_Вводные'!$B$218*'19_Расчет_аналитики'!J560,MeanMinAge15)))</f>
        <v/>
      </c>
      <c r="K506">
        <f>IF(OR(('06_Сеть_и_дети'!K67-'06_Сеть_и_дети'!K95)=0,15&lt;='01_Вводные'!$B$297),0,('06_Сеть_и_дети'!K67-'06_Сеть_и_дети'!K95)*IF('01_Вводные'!$B$239="Да",MeanMinAge15+'19_Расчет_аналитики'!K560*SUMIF(ThresholdAge15,"&lt;"&amp;'19_Расчет_аналитики'!K560,WeightedRevAge15)-SUMIF(ThresholdAge15,"&lt;"&amp;'19_Расчет_аналитики'!K560,WeightedMinAge15),MAX(CapacityAge15*'01_Вводные'!$B$218*'19_Расчет_аналитики'!K560,MeanMinAge15)))</f>
        <v/>
      </c>
      <c r="L506">
        <f>IF(OR(('06_Сеть_и_дети'!L67-'06_Сеть_и_дети'!L95)=0,15&lt;='01_Вводные'!$B$297),0,('06_Сеть_и_дети'!L67-'06_Сеть_и_дети'!L95)*IF('01_Вводные'!$B$239="Да",MeanMinAge15+'19_Расчет_аналитики'!L560*SUMIF(ThresholdAge15,"&lt;"&amp;'19_Расчет_аналитики'!L560,WeightedRevAge15)-SUMIF(ThresholdAge15,"&lt;"&amp;'19_Расчет_аналитики'!L560,WeightedMinAge15),MAX(CapacityAge15*'01_Вводные'!$B$218*'19_Расчет_аналитики'!L560,MeanMinAge15)))</f>
        <v/>
      </c>
      <c r="M506">
        <f>IF(OR(('06_Сеть_и_дети'!M67-'06_Сеть_и_дети'!M95)=0,15&lt;='01_Вводные'!$B$297),0,('06_Сеть_и_дети'!M67-'06_Сеть_и_дети'!M95)*IF('01_Вводные'!$B$239="Да",MeanMinAge15+'19_Расчет_аналитики'!M560*SUMIF(ThresholdAge15,"&lt;"&amp;'19_Расчет_аналитики'!M560,WeightedRevAge15)-SUMIF(ThresholdAge15,"&lt;"&amp;'19_Расчет_аналитики'!M560,WeightedMinAge15),MAX(CapacityAge15*'01_Вводные'!$B$218*'19_Расчет_аналитики'!M560,MeanMinAge15)))</f>
        <v/>
      </c>
      <c r="N506">
        <f>IF(OR(('06_Сеть_и_дети'!N67-'06_Сеть_и_дети'!N95)=0,15&lt;='01_Вводные'!$B$297),0,('06_Сеть_и_дети'!N67-'06_Сеть_и_дети'!N95)*IF('01_Вводные'!$B$239="Да",MeanMinAge15+'19_Расчет_аналитики'!N560*SUMIF(ThresholdAge15,"&lt;"&amp;'19_Расчет_аналитики'!N560,WeightedRevAge15)-SUMIF(ThresholdAge15,"&lt;"&amp;'19_Расчет_аналитики'!N560,WeightedMinAge15),MAX(CapacityAge15*'01_Вводные'!$B$218*'19_Расчет_аналитики'!N560,MeanMinAge15)))</f>
        <v/>
      </c>
      <c r="O506">
        <f>IF(OR(('06_Сеть_и_дети'!O67-'06_Сеть_и_дети'!O95)=0,15&lt;='01_Вводные'!$B$297),0,('06_Сеть_и_дети'!O67-'06_Сеть_и_дети'!O95)*IF('01_Вводные'!$B$239="Да",MeanMinAge15+'19_Расчет_аналитики'!O560*SUMIF(ThresholdAge15,"&lt;"&amp;'19_Расчет_аналитики'!O560,WeightedRevAge15)-SUMIF(ThresholdAge15,"&lt;"&amp;'19_Расчет_аналитики'!O560,WeightedMinAge15),MAX(CapacityAge15*'01_Вводные'!$B$218*'19_Расчет_аналитики'!O560,MeanMinAge15)))</f>
        <v/>
      </c>
      <c r="P506">
        <f>IF(OR(('19_Расчет_аналитики'!P422-'19_Расчет_аналитики'!P450)=0,15&lt;='01_Вводные'!$B$297),0,('19_Расчет_аналитики'!P422-'19_Расчет_аналитики'!P450)*IF('01_Вводные'!$B$239="Да",MeanMinAge15+'19_Расчет_аналитики'!P560*SUMIF(ThresholdAge15,"&lt;"&amp;'19_Расчет_аналитики'!P560,WeightedRevAge15)-SUMIF(ThresholdAge15,"&lt;"&amp;'19_Расчет_аналитики'!P560,WeightedMinAge15),MAX(CapacityAge15*'01_Вводные'!$B$218*'19_Расчет_аналитики'!P560,MeanMinAge15)))</f>
        <v/>
      </c>
      <c r="Q506">
        <f>IF(OR(('19_Расчет_аналитики'!Q422-'19_Расчет_аналитики'!Q450)=0,15&lt;='01_Вводные'!$B$297),0,('19_Расчет_аналитики'!Q422-'19_Расчет_аналитики'!Q450)*IF('01_Вводные'!$B$239="Да",MeanMinAge15+'19_Расчет_аналитики'!Q560*SUMIF(ThresholdAge15,"&lt;"&amp;'19_Расчет_аналитики'!Q560,WeightedRevAge15)-SUMIF(ThresholdAge15,"&lt;"&amp;'19_Расчет_аналитики'!Q560,WeightedMinAge15),MAX(CapacityAge15*'01_Вводные'!$B$218*'19_Расчет_аналитики'!Q560,MeanMinAge15)))</f>
        <v/>
      </c>
      <c r="R506">
        <f>IF(OR(('19_Расчет_аналитики'!R422-'19_Расчет_аналитики'!R450)=0,15&lt;='01_Вводные'!$B$297),0,('19_Расчет_аналитики'!R422-'19_Расчет_аналитики'!R450)*IF('01_Вводные'!$B$239="Да",MeanMinAge15+'19_Расчет_аналитики'!R560*SUMIF(ThresholdAge15,"&lt;"&amp;'19_Расчет_аналитики'!R560,WeightedRevAge15)-SUMIF(ThresholdAge15,"&lt;"&amp;'19_Расчет_аналитики'!R560,WeightedMinAge15),MAX(CapacityAge15*'01_Вводные'!$B$218*'19_Расчет_аналитики'!R560,MeanMinAge15)))</f>
        <v/>
      </c>
      <c r="S506">
        <f>IF(OR(('19_Расчет_аналитики'!S422-'19_Расчет_аналитики'!S450)=0,15&lt;='01_Вводные'!$B$297),0,('19_Расчет_аналитики'!S422-'19_Расчет_аналитики'!S450)*IF('01_Вводные'!$B$239="Да",MeanMinAge15+'19_Расчет_аналитики'!S560*SUMIF(ThresholdAge15,"&lt;"&amp;'19_Расчет_аналитики'!S560,WeightedRevAge15)-SUMIF(ThresholdAge15,"&lt;"&amp;'19_Расчет_аналитики'!S560,WeightedMinAge15),MAX(CapacityAge15*'01_Вводные'!$B$218*'19_Расчет_аналитики'!S560,MeanMinAge15)))</f>
        <v/>
      </c>
      <c r="T506">
        <f>IF(OR(('19_Расчет_аналитики'!T422-'19_Расчет_аналитики'!T450)=0,15&lt;='01_Вводные'!$B$297),0,('19_Расчет_аналитики'!T422-'19_Расчет_аналитики'!T450)*IF('01_Вводные'!$B$239="Да",MeanMinAge15+'19_Расчет_аналитики'!T560*SUMIF(ThresholdAge15,"&lt;"&amp;'19_Расчет_аналитики'!T560,WeightedRevAge15)-SUMIF(ThresholdAge15,"&lt;"&amp;'19_Расчет_аналитики'!T560,WeightedMinAge15),MAX(CapacityAge15*'01_Вводные'!$B$218*'19_Расчет_аналитики'!T560,MeanMinAge15)))</f>
        <v/>
      </c>
      <c r="U506">
        <f>IF(OR(('19_Расчет_аналитики'!U422-'19_Расчет_аналитики'!U450)=0,15&lt;='01_Вводные'!$B$297),0,('19_Расчет_аналитики'!U422-'19_Расчет_аналитики'!U450)*IF('01_Вводные'!$B$239="Да",MeanMinAge15+'19_Расчет_аналитики'!U560*SUMIF(ThresholdAge15,"&lt;"&amp;'19_Расчет_аналитики'!U560,WeightedRevAge15)-SUMIF(ThresholdAge15,"&lt;"&amp;'19_Расчет_аналитики'!U560,WeightedMinAge15),MAX(CapacityAge15*'01_Вводные'!$B$218*'19_Расчет_аналитики'!U560,MeanMinAge15)))</f>
        <v/>
      </c>
      <c r="V506">
        <f>IF(OR(('19_Расчет_аналитики'!V422-'19_Расчет_аналитики'!V450)=0,15&lt;='01_Вводные'!$B$297),0,('19_Расчет_аналитики'!V422-'19_Расчет_аналитики'!V450)*IF('01_Вводные'!$B$239="Да",MeanMinAge15+'19_Расчет_аналитики'!V560*SUMIF(ThresholdAge15,"&lt;"&amp;'19_Расчет_аналитики'!V560,WeightedRevAge15)-SUMIF(ThresholdAge15,"&lt;"&amp;'19_Расчет_аналитики'!V560,WeightedMinAge15),MAX(CapacityAge15*'01_Вводные'!$B$218*'19_Расчет_аналитики'!V560,MeanMinAge15)))</f>
        <v/>
      </c>
      <c r="W506">
        <f>IF(OR(('19_Расчет_аналитики'!W422-'19_Расчет_аналитики'!W450)=0,15&lt;='01_Вводные'!$B$297),0,('19_Расчет_аналитики'!W422-'19_Расчет_аналитики'!W450)*IF('01_Вводные'!$B$239="Да",MeanMinAge15+'19_Расчет_аналитики'!W560*SUMIF(ThresholdAge15,"&lt;"&amp;'19_Расчет_аналитики'!W560,WeightedRevAge15)-SUMIF(ThresholdAge15,"&lt;"&amp;'19_Расчет_аналитики'!W560,WeightedMinAge15),MAX(CapacityAge15*'01_Вводные'!$B$218*'19_Расчет_аналитики'!W560,MeanMinAge15)))</f>
        <v/>
      </c>
      <c r="X506">
        <f>IF(OR(('19_Расчет_аналитики'!X422-'19_Расчет_аналитики'!X450)=0,15&lt;='01_Вводные'!$B$297),0,('19_Расчет_аналитики'!X422-'19_Расчет_аналитики'!X450)*IF('01_Вводные'!$B$239="Да",MeanMinAge15+'19_Расчет_аналитики'!X560*SUMIF(ThresholdAge15,"&lt;"&amp;'19_Расчет_аналитики'!X560,WeightedRevAge15)-SUMIF(ThresholdAge15,"&lt;"&amp;'19_Расчет_аналитики'!X560,WeightedMinAge15),MAX(CapacityAge15*'01_Вводные'!$B$218*'19_Расчет_аналитики'!X560,MeanMinAge15)))</f>
        <v/>
      </c>
      <c r="Y506">
        <f>IF(OR(('19_Расчет_аналитики'!Y422-'19_Расчет_аналитики'!Y450)=0,15&lt;='01_Вводные'!$B$297),0,('19_Расчет_аналитики'!Y422-'19_Расчет_аналитики'!Y450)*IF('01_Вводные'!$B$239="Да",MeanMinAge15+'19_Расчет_аналитики'!Y560*SUMIF(ThresholdAge15,"&lt;"&amp;'19_Расчет_аналитики'!Y560,WeightedRevAge15)-SUMIF(ThresholdAge15,"&lt;"&amp;'19_Расчет_аналитики'!Y560,WeightedMinAge15),MAX(CapacityAge15*'01_Вводные'!$B$218*'19_Расчет_аналитики'!Y560,MeanMinAge15)))</f>
        <v/>
      </c>
      <c r="Z506">
        <f>IF(OR(('19_Расчет_аналитики'!Z422-'19_Расчет_аналитики'!Z450)=0,15&lt;='01_Вводные'!$B$297),0,('19_Расчет_аналитики'!Z422-'19_Расчет_аналитики'!Z450)*IF('01_Вводные'!$B$239="Да",MeanMinAge15+'19_Расчет_аналитики'!Z560*SUMIF(ThresholdAge15,"&lt;"&amp;'19_Расчет_аналитики'!Z560,WeightedRevAge15)-SUMIF(ThresholdAge15,"&lt;"&amp;'19_Расчет_аналитики'!Z560,WeightedMinAge15),MAX(CapacityAge15*'01_Вводные'!$B$218*'19_Расчет_аналитики'!Z560,MeanMinAge15)))</f>
        <v/>
      </c>
      <c r="AA506">
        <f>IF(OR(('19_Расчет_аналитики'!AA422-'19_Расчет_аналитики'!AA450)=0,15&lt;='01_Вводные'!$B$297),0,('19_Расчет_аналитики'!AA422-'19_Расчет_аналитики'!AA450)*IF('01_Вводные'!$B$239="Да",MeanMinAge15+'19_Расчет_аналитики'!AA560*SUMIF(ThresholdAge15,"&lt;"&amp;'19_Расчет_аналитики'!AA560,WeightedRevAge15)-SUMIF(ThresholdAge15,"&lt;"&amp;'19_Расчет_аналитики'!AA560,WeightedMinAge15),MAX(CapacityAge15*'01_Вводные'!$B$218*'19_Расчет_аналитики'!AA560,MeanMinAge15)))</f>
        <v/>
      </c>
      <c r="AB506">
        <f>IF(OR(('19_Расчет_аналитики'!AB422-'19_Расчет_аналитики'!AB450)=0,15&lt;='01_Вводные'!$B$297),0,('19_Расчет_аналитики'!AB422-'19_Расчет_аналитики'!AB450)*IF('01_Вводные'!$B$239="Да",MeanMinAge15+'19_Расчет_аналитики'!AB560*SUMIF(ThresholdAge15,"&lt;"&amp;'19_Расчет_аналитики'!AB560,WeightedRevAge15)-SUMIF(ThresholdAge15,"&lt;"&amp;'19_Расчет_аналитики'!AB560,WeightedMinAge15),MAX(CapacityAge15*'01_Вводные'!$B$218*'19_Расчет_аналитики'!AB560,MeanMinAge15)))</f>
        <v/>
      </c>
      <c r="AC506">
        <f>IF(OR(('19_Расчет_аналитики'!AC422-'19_Расчет_аналитики'!AC450)=0,15&lt;='01_Вводные'!$B$297),0,('19_Расчет_аналитики'!AC422-'19_Расчет_аналитики'!AC450)*IF('01_Вводные'!$B$239="Да",MeanMinAge15+'19_Расчет_аналитики'!AC560*SUMIF(ThresholdAge15,"&lt;"&amp;'19_Расчет_аналитики'!AC560,WeightedRevAge15)-SUMIF(ThresholdAge15,"&lt;"&amp;'19_Расчет_аналитики'!AC560,WeightedMinAge15),MAX(CapacityAge15*'01_Вводные'!$B$218*'19_Расчет_аналитики'!AC560,MeanMinAge15)))</f>
        <v/>
      </c>
      <c r="AD506">
        <f>IF(OR(('19_Расчет_аналитики'!AD422-'19_Расчет_аналитики'!AD450)=0,15&lt;='01_Вводные'!$B$297),0,('19_Расчет_аналитики'!AD422-'19_Расчет_аналитики'!AD450)*IF('01_Вводные'!$B$239="Да",MeanMinAge15+'19_Расчет_аналитики'!AD560*SUMIF(ThresholdAge15,"&lt;"&amp;'19_Расчет_аналитики'!AD560,WeightedRevAge15)-SUMIF(ThresholdAge15,"&lt;"&amp;'19_Расчет_аналитики'!AD560,WeightedMinAge15),MAX(CapacityAge15*'01_Вводные'!$B$218*'19_Расчет_аналитики'!AD560,MeanMinAge15)))</f>
        <v/>
      </c>
      <c r="AE506">
        <f>IF(OR(('19_Расчет_аналитики'!AE422-'19_Расчет_аналитики'!AE450)=0,15&lt;='01_Вводные'!$B$297),0,('19_Расчет_аналитики'!AE422-'19_Расчет_аналитики'!AE450)*IF('01_Вводные'!$B$239="Да",MeanMinAge15+'19_Расчет_аналитики'!AE560*SUMIF(ThresholdAge15,"&lt;"&amp;'19_Расчет_аналитики'!AE560,WeightedRevAge15)-SUMIF(ThresholdAge15,"&lt;"&amp;'19_Расчет_аналитики'!AE560,WeightedMinAge15),MAX(CapacityAge15*'01_Вводные'!$B$218*'19_Расчет_аналитики'!AE560,MeanMinAge15)))</f>
        <v/>
      </c>
      <c r="AF506">
        <f>IF(OR(('19_Расчет_аналитики'!AF422-'19_Расчет_аналитики'!AF450)=0,15&lt;='01_Вводные'!$B$297),0,('19_Расчет_аналитики'!AF422-'19_Расчет_аналитики'!AF450)*IF('01_Вводные'!$B$239="Да",MeanMinAge15+'19_Расчет_аналитики'!AF560*SUMIF(ThresholdAge15,"&lt;"&amp;'19_Расчет_аналитики'!AF560,WeightedRevAge15)-SUMIF(ThresholdAge15,"&lt;"&amp;'19_Расчет_аналитики'!AF560,WeightedMinAge15),MAX(CapacityAge15*'01_Вводные'!$B$218*'19_Расчет_аналитики'!AF560,MeanMinAge15)))</f>
        <v/>
      </c>
      <c r="AG506">
        <f>IF(OR(('19_Расчет_аналитики'!AG422-'19_Расчет_аналитики'!AG450)=0,15&lt;='01_Вводные'!$B$297),0,('19_Расчет_аналитики'!AG422-'19_Расчет_аналитики'!AG450)*IF('01_Вводные'!$B$239="Да",MeanMinAge15+'19_Расчет_аналитики'!AG560*SUMIF(ThresholdAge15,"&lt;"&amp;'19_Расчет_аналитики'!AG560,WeightedRevAge15)-SUMIF(ThresholdAge15,"&lt;"&amp;'19_Расчет_аналитики'!AG560,WeightedMinAge15),MAX(CapacityAge15*'01_Вводные'!$B$218*'19_Расчет_аналитики'!AG560,MeanMinAge15)))</f>
        <v/>
      </c>
      <c r="AH506">
        <f>IF(OR(('19_Расчет_аналитики'!AH422-'19_Расчет_аналитики'!AH450)=0,15&lt;='01_Вводные'!$B$297),0,('19_Расчет_аналитики'!AH422-'19_Расчет_аналитики'!AH450)*IF('01_Вводные'!$B$239="Да",MeanMinAge15+'19_Расчет_аналитики'!AH560*SUMIF(ThresholdAge15,"&lt;"&amp;'19_Расчет_аналитики'!AH560,WeightedRevAge15)-SUMIF(ThresholdAge15,"&lt;"&amp;'19_Расчет_аналитики'!AH560,WeightedMinAge15),MAX(CapacityAge15*'01_Вводные'!$B$218*'19_Расчет_аналитики'!AH560,MeanMinAge15)))</f>
        <v/>
      </c>
      <c r="AI506">
        <f>IF(OR(('19_Расчет_аналитики'!AI422-'19_Расчет_аналитики'!AI450)=0,15&lt;='01_Вводные'!$B$297),0,('19_Расчет_аналитики'!AI422-'19_Расчет_аналитики'!AI450)*IF('01_Вводные'!$B$239="Да",MeanMinAge15+'19_Расчет_аналитики'!AI560*SUMIF(ThresholdAge15,"&lt;"&amp;'19_Расчет_аналитики'!AI560,WeightedRevAge15)-SUMIF(ThresholdAge15,"&lt;"&amp;'19_Расчет_аналитики'!AI560,WeightedMinAge15),MAX(CapacityAge15*'01_Вводные'!$B$218*'19_Расчет_аналитики'!AI560,MeanMinAge15)))</f>
        <v/>
      </c>
      <c r="AJ506">
        <f>IF(OR(('19_Расчет_аналитики'!AJ422-'19_Расчет_аналитики'!AJ450)=0,15&lt;='01_Вводные'!$B$297),0,('19_Расчет_аналитики'!AJ422-'19_Расчет_аналитики'!AJ450)*IF('01_Вводные'!$B$239="Да",MeanMinAge15+'19_Расчет_аналитики'!AJ560*SUMIF(ThresholdAge15,"&lt;"&amp;'19_Расчет_аналитики'!AJ560,WeightedRevAge15)-SUMIF(ThresholdAge15,"&lt;"&amp;'19_Расчет_аналитики'!AJ560,WeightedMinAge15),MAX(CapacityAge15*'01_Вводные'!$B$218*'19_Расчет_аналитики'!AJ560,MeanMinAge15)))</f>
        <v/>
      </c>
      <c r="AK506">
        <f>IF(OR(('19_Расчет_аналитики'!AK422-'19_Расчет_аналитики'!AK450)=0,15&lt;='01_Вводные'!$B$297),0,('19_Расчет_аналитики'!AK422-'19_Расчет_аналитики'!AK450)*IF('01_Вводные'!$B$239="Да",MeanMinAge15+'19_Расчет_аналитики'!AK560*SUMIF(ThresholdAge15,"&lt;"&amp;'19_Расчет_аналитики'!AK560,WeightedRevAge15)-SUMIF(ThresholdAge15,"&lt;"&amp;'19_Расчет_аналитики'!AK560,WeightedMinAge15),MAX(CapacityAge15*'01_Вводные'!$B$218*'19_Расчет_аналитики'!AK560,MeanMinAge15)))</f>
        <v/>
      </c>
      <c r="AL506">
        <f>IF(OR(('19_Расчет_аналитики'!AL422-'19_Расчет_аналитики'!AL450)=0,15&lt;='01_Вводные'!$B$297),0,('19_Расчет_аналитики'!AL422-'19_Расчет_аналитики'!AL450)*IF('01_Вводные'!$B$239="Да",MeanMinAge15+'19_Расчет_аналитики'!AL560*SUMIF(ThresholdAge15,"&lt;"&amp;'19_Расчет_аналитики'!AL560,WeightedRevAge15)-SUMIF(ThresholdAge15,"&lt;"&amp;'19_Расчет_аналитики'!AL560,WeightedMinAge15),MAX(CapacityAge15*'01_Вводные'!$B$218*'19_Расчет_аналитики'!AL560,MeanMinAge15)))</f>
        <v/>
      </c>
      <c r="AM506">
        <f>IF(OR(('19_Расчет_аналитики'!AM422-'19_Расчет_аналитики'!AM450)=0,15&lt;='01_Вводные'!$B$297),0,('19_Расчет_аналитики'!AM422-'19_Расчет_аналитики'!AM450)*IF('01_Вводные'!$B$239="Да",MeanMinAge15+'19_Расчет_аналитики'!AM560*SUMIF(ThresholdAge15,"&lt;"&amp;'19_Расчет_аналитики'!AM560,WeightedRevAge15)-SUMIF(ThresholdAge15,"&lt;"&amp;'19_Расчет_аналитики'!AM560,WeightedMinAge15),MAX(CapacityAge15*'01_Вводные'!$B$218*'19_Расчет_аналитики'!AM560,MeanMinAge15)))</f>
        <v/>
      </c>
      <c r="AN506">
        <f>IF(OR(('19_Расчет_аналитики'!AN422-'19_Расчет_аналитики'!AN450)=0,15&lt;='01_Вводные'!$B$297),0,('19_Расчет_аналитики'!AN422-'19_Расчет_аналитики'!AN450)*IF('01_Вводные'!$B$239="Да",MeanMinAge15+'19_Расчет_аналитики'!AN560*SUMIF(ThresholdAge15,"&lt;"&amp;'19_Расчет_аналитики'!AN560,WeightedRevAge15)-SUMIF(ThresholdAge15,"&lt;"&amp;'19_Расчет_аналитики'!AN560,WeightedMinAge15),MAX(CapacityAge15*'01_Вводные'!$B$218*'19_Расчет_аналитики'!AN560,MeanMinAge15)))</f>
        <v/>
      </c>
      <c r="AO506">
        <f>IF(OR(('19_Расчет_аналитики'!AO422-'19_Расчет_аналитики'!AO450)=0,15&lt;='01_Вводные'!$B$297),0,('19_Расчет_аналитики'!AO422-'19_Расчет_аналитики'!AO450)*IF('01_Вводные'!$B$239="Да",MeanMinAge15+'19_Расчет_аналитики'!AO560*SUMIF(ThresholdAge15,"&lt;"&amp;'19_Расчет_аналитики'!AO560,WeightedRevAge15)-SUMIF(ThresholdAge15,"&lt;"&amp;'19_Расчет_аналитики'!AO560,WeightedMinAge15),MAX(CapacityAge15*'01_Вводные'!$B$218*'19_Расчет_аналитики'!AO560,MeanMinAge15)))</f>
        <v/>
      </c>
      <c r="AP506">
        <f>IF(OR(('19_Расчет_аналитики'!AP422-'19_Расчет_аналитики'!AP450)=0,15&lt;='01_Вводные'!$B$297),0,('19_Расчет_аналитики'!AP422-'19_Расчет_аналитики'!AP450)*IF('01_Вводные'!$B$239="Да",MeanMinAge15+'19_Расчет_аналитики'!AP560*SUMIF(ThresholdAge15,"&lt;"&amp;'19_Расчет_аналитики'!AP560,WeightedRevAge15)-SUMIF(ThresholdAge15,"&lt;"&amp;'19_Расчет_аналитики'!AP560,WeightedMinAge15),MAX(CapacityAge15*'01_Вводные'!$B$218*'19_Расчет_аналитики'!AP560,MeanMinAge15)))</f>
        <v/>
      </c>
      <c r="AQ506">
        <f>IF(OR(('19_Расчет_аналитики'!AQ422-'19_Расчет_аналитики'!AQ450)=0,15&lt;='01_Вводные'!$B$297),0,('19_Расчет_аналитики'!AQ422-'19_Расчет_аналитики'!AQ450)*IF('01_Вводные'!$B$239="Да",MeanMinAge15+'19_Расчет_аналитики'!AQ560*SUMIF(ThresholdAge15,"&lt;"&amp;'19_Расчет_аналитики'!AQ560,WeightedRevAge15)-SUMIF(ThresholdAge15,"&lt;"&amp;'19_Расчет_аналитики'!AQ560,WeightedMinAge15),MAX(CapacityAge15*'01_Вводные'!$B$218*'19_Расчет_аналитики'!AQ560,MeanMinAge15)))</f>
        <v/>
      </c>
      <c r="AR506">
        <f>IF(OR(('19_Расчет_аналитики'!AR422-'19_Расчет_аналитики'!AR450)=0,15&lt;='01_Вводные'!$B$297),0,('19_Расчет_аналитики'!AR422-'19_Расчет_аналитики'!AR450)*IF('01_Вводные'!$B$239="Да",MeanMinAge15+'19_Расчет_аналитики'!AR560*SUMIF(ThresholdAge15,"&lt;"&amp;'19_Расчет_аналитики'!AR560,WeightedRevAge15)-SUMIF(ThresholdAge15,"&lt;"&amp;'19_Расчет_аналитики'!AR560,WeightedMinAge15),MAX(CapacityAge15*'01_Вводные'!$B$218*'19_Расчет_аналитики'!AR560,MeanMinAge15)))</f>
        <v/>
      </c>
      <c r="AS506">
        <f>IF(OR(('19_Расчет_аналитики'!AS422-'19_Расчет_аналитики'!AS450)=0,15&lt;='01_Вводные'!$B$297),0,('19_Расчет_аналитики'!AS422-'19_Расчет_аналитики'!AS450)*IF('01_Вводные'!$B$239="Да",MeanMinAge15+'19_Расчет_аналитики'!AS560*SUMIF(ThresholdAge15,"&lt;"&amp;'19_Расчет_аналитики'!AS560,WeightedRevAge15)-SUMIF(ThresholdAge15,"&lt;"&amp;'19_Расчет_аналитики'!AS560,WeightedMinAge15),MAX(CapacityAge15*'01_Вводные'!$B$218*'19_Расчет_аналитики'!AS560,MeanMinAge15)))</f>
        <v/>
      </c>
      <c r="AT506">
        <f>IF(OR(('19_Расчет_аналитики'!AT422-'19_Расчет_аналитики'!AT450)=0,15&lt;='01_Вводные'!$B$297),0,('19_Расчет_аналитики'!AT422-'19_Расчет_аналитики'!AT450)*IF('01_Вводные'!$B$239="Да",MeanMinAge15+'19_Расчет_аналитики'!AT560*SUMIF(ThresholdAge15,"&lt;"&amp;'19_Расчет_аналитики'!AT560,WeightedRevAge15)-SUMIF(ThresholdAge15,"&lt;"&amp;'19_Расчет_аналитики'!AT560,WeightedMinAge15),MAX(CapacityAge15*'01_Вводные'!$B$218*'19_Расчет_аналитики'!AT560,MeanMinAge15)))</f>
        <v/>
      </c>
      <c r="AU506">
        <f>IF(OR(('19_Расчет_аналитики'!AU422-'19_Расчет_аналитики'!AU450)=0,15&lt;='01_Вводные'!$B$297),0,('19_Расчет_аналитики'!AU422-'19_Расчет_аналитики'!AU450)*IF('01_Вводные'!$B$239="Да",MeanMinAge15+'19_Расчет_аналитики'!AU560*SUMIF(ThresholdAge15,"&lt;"&amp;'19_Расчет_аналитики'!AU560,WeightedRevAge15)-SUMIF(ThresholdAge15,"&lt;"&amp;'19_Расчет_аналитики'!AU560,WeightedMinAge15),MAX(CapacityAge15*'01_Вводные'!$B$218*'19_Расчет_аналитики'!AU560,MeanMinAge15)))</f>
        <v/>
      </c>
      <c r="AV506">
        <f>IF(OR(('19_Расчет_аналитики'!AV422-'19_Расчет_аналитики'!AV450)=0,15&lt;='01_Вводные'!$B$297),0,('19_Расчет_аналитики'!AV422-'19_Расчет_аналитики'!AV450)*IF('01_Вводные'!$B$239="Да",MeanMinAge15+'19_Расчет_аналитики'!AV560*SUMIF(ThresholdAge15,"&lt;"&amp;'19_Расчет_аналитики'!AV560,WeightedRevAge15)-SUMIF(ThresholdAge15,"&lt;"&amp;'19_Расчет_аналитики'!AV560,WeightedMinAge15),MAX(CapacityAge15*'01_Вводные'!$B$218*'19_Расчет_аналитики'!AV560,MeanMinAge15)))</f>
        <v/>
      </c>
      <c r="AW506">
        <f>IF(OR(('19_Расчет_аналитики'!AW422-'19_Расчет_аналитики'!AW450)=0,15&lt;='01_Вводные'!$B$297),0,('19_Расчет_аналитики'!AW422-'19_Расчет_аналитики'!AW450)*IF('01_Вводные'!$B$239="Да",MeanMinAge15+'19_Расчет_аналитики'!AW560*SUMIF(ThresholdAge15,"&lt;"&amp;'19_Расчет_аналитики'!AW560,WeightedRevAge15)-SUMIF(ThresholdAge15,"&lt;"&amp;'19_Расчет_аналитики'!AW560,WeightedMinAge15),MAX(CapacityAge15*'01_Вводные'!$B$218*'19_Расчет_аналитики'!AW560,MeanMinAge15)))</f>
        <v/>
      </c>
      <c r="AX506">
        <f>IF(OR(('19_Расчет_аналитики'!AX422-'19_Расчет_аналитики'!AX450)=0,15&lt;='01_Вводные'!$B$297),0,('19_Расчет_аналитики'!AX422-'19_Расчет_аналитики'!AX450)*IF('01_Вводные'!$B$239="Да",MeanMinAge15+'19_Расчет_аналитики'!AX560*SUMIF(ThresholdAge15,"&lt;"&amp;'19_Расчет_аналитики'!AX560,WeightedRevAge15)-SUMIF(ThresholdAge15,"&lt;"&amp;'19_Расчет_аналитики'!AX560,WeightedMinAge15),MAX(CapacityAge15*'01_Вводные'!$B$218*'19_Расчет_аналитики'!AX560,MeanMinAge15)))</f>
        <v/>
      </c>
      <c r="AY506">
        <f>IF(OR(('19_Расчет_аналитики'!AY422-'19_Расчет_аналитики'!AY450)=0,15&lt;='01_Вводные'!$B$297),0,('19_Расчет_аналитики'!AY422-'19_Расчет_аналитики'!AY450)*IF('01_Вводные'!$B$239="Да",MeanMinAge15+'19_Расчет_аналитики'!AY560*SUMIF(ThresholdAge15,"&lt;"&amp;'19_Расчет_аналитики'!AY560,WeightedRevAge15)-SUMIF(ThresholdAge15,"&lt;"&amp;'19_Расчет_аналитики'!AY560,WeightedMinAge15),MAX(CapacityAge15*'01_Вводные'!$B$218*'19_Расчет_аналитики'!AY560,MeanMinAge15)))</f>
        <v/>
      </c>
      <c r="AZ506">
        <f>IF(OR(('19_Расчет_аналитики'!AZ422-'19_Расчет_аналитики'!AZ450)=0,15&lt;='01_Вводные'!$B$297),0,('19_Расчет_аналитики'!AZ422-'19_Расчет_аналитики'!AZ450)*IF('01_Вводные'!$B$239="Да",MeanMinAge15+'19_Расчет_аналитики'!AZ560*SUMIF(ThresholdAge15,"&lt;"&amp;'19_Расчет_аналитики'!AZ560,WeightedRevAge15)-SUMIF(ThresholdAge15,"&lt;"&amp;'19_Расчет_аналитики'!AZ560,WeightedMinAge15),MAX(CapacityAge15*'01_Вводные'!$B$218*'19_Расчет_аналитики'!AZ560,MeanMinAge15)))</f>
        <v/>
      </c>
      <c r="BA506">
        <f>IF(OR(('19_Расчет_аналитики'!BA422-'19_Расчет_аналитики'!BA450)=0,15&lt;='01_Вводные'!$B$297),0,('19_Расчет_аналитики'!BA422-'19_Расчет_аналитики'!BA450)*IF('01_Вводные'!$B$239="Да",MeanMinAge15+'19_Расчет_аналитики'!BA560*SUMIF(ThresholdAge15,"&lt;"&amp;'19_Расчет_аналитики'!BA560,WeightedRevAge15)-SUMIF(ThresholdAge15,"&lt;"&amp;'19_Расчет_аналитики'!BA560,WeightedMinAge15),MAX(CapacityAge15*'01_Вводные'!$B$218*'19_Расчет_аналитики'!BA560,MeanMinAge15)))</f>
        <v/>
      </c>
      <c r="BB506">
        <f>IF(OR(('19_Расчет_аналитики'!BB422-'19_Расчет_аналитики'!BB450)=0,15&lt;='01_Вводные'!$B$297),0,('19_Расчет_аналитики'!BB422-'19_Расчет_аналитики'!BB450)*IF('01_Вводные'!$B$239="Да",MeanMinAge15+'19_Расчет_аналитики'!BB560*SUMIF(ThresholdAge15,"&lt;"&amp;'19_Расчет_аналитики'!BB560,WeightedRevAge15)-SUMIF(ThresholdAge15,"&lt;"&amp;'19_Расчет_аналитики'!BB560,WeightedMinAge15),MAX(CapacityAge15*'01_Вводные'!$B$218*'19_Расчет_аналитики'!BB560,MeanMinAge15)))</f>
        <v/>
      </c>
      <c r="BC506">
        <f>IF(OR(('19_Расчет_аналитики'!BC422-'19_Расчет_аналитики'!BC450)=0,15&lt;='01_Вводные'!$B$297),0,('19_Расчет_аналитики'!BC422-'19_Расчет_аналитики'!BC450)*IF('01_Вводные'!$B$239="Да",MeanMinAge15+'19_Расчет_аналитики'!BC560*SUMIF(ThresholdAge15,"&lt;"&amp;'19_Расчет_аналитики'!BC560,WeightedRevAge15)-SUMIF(ThresholdAge15,"&lt;"&amp;'19_Расчет_аналитики'!BC560,WeightedMinAge15),MAX(CapacityAge15*'01_Вводные'!$B$218*'19_Расчет_аналитики'!BC560,MeanMinAge15)))</f>
        <v/>
      </c>
      <c r="BD506">
        <f>IF(OR(('19_Расчет_аналитики'!BD422-'19_Расчет_аналитики'!BD450)=0,15&lt;='01_Вводные'!$B$297),0,('19_Расчет_аналитики'!BD422-'19_Расчет_аналитики'!BD450)*IF('01_Вводные'!$B$239="Да",MeanMinAge15+'19_Расчет_аналитики'!BD560*SUMIF(ThresholdAge15,"&lt;"&amp;'19_Расчет_аналитики'!BD560,WeightedRevAge15)-SUMIF(ThresholdAge15,"&lt;"&amp;'19_Расчет_аналитики'!BD560,WeightedMinAge15),MAX(CapacityAge15*'01_Вводные'!$B$218*'19_Расчет_аналитики'!BD560,MeanMinAge15)))</f>
        <v/>
      </c>
      <c r="BE506">
        <f>IF(OR(('19_Расчет_аналитики'!BE422-'19_Расчет_аналитики'!BE450)=0,15&lt;='01_Вводные'!$B$297),0,('19_Расчет_аналитики'!BE422-'19_Расчет_аналитики'!BE450)*IF('01_Вводные'!$B$239="Да",MeanMinAge15+'19_Расчет_аналитики'!BE560*SUMIF(ThresholdAge15,"&lt;"&amp;'19_Расчет_аналитики'!BE560,WeightedRevAge15)-SUMIF(ThresholdAge15,"&lt;"&amp;'19_Расчет_аналитики'!BE560,WeightedMinAge15),MAX(CapacityAge15*'01_Вводные'!$B$218*'19_Расчет_аналитики'!BE560,MeanMinAge15)))</f>
        <v/>
      </c>
      <c r="BF506">
        <f>IF(OR(('19_Расчет_аналитики'!BF422-'19_Расчет_аналитики'!BF450)=0,15&lt;='01_Вводные'!$B$297),0,('19_Расчет_аналитики'!BF422-'19_Расчет_аналитики'!BF450)*IF('01_Вводные'!$B$239="Да",MeanMinAge15+'19_Расчет_аналитики'!BF560*SUMIF(ThresholdAge15,"&lt;"&amp;'19_Расчет_аналитики'!BF560,WeightedRevAge15)-SUMIF(ThresholdAge15,"&lt;"&amp;'19_Расчет_аналитики'!BF560,WeightedMinAge15),MAX(CapacityAge15*'01_Вводные'!$B$218*'19_Расчет_аналитики'!BF560,MeanMinAge15)))</f>
        <v/>
      </c>
      <c r="BG506">
        <f>IF(OR(('19_Расчет_аналитики'!BG422-'19_Расчет_аналитики'!BG450)=0,15&lt;='01_Вводные'!$B$297),0,('19_Расчет_аналитики'!BG422-'19_Расчет_аналитики'!BG450)*IF('01_Вводные'!$B$239="Да",MeanMinAge15+'19_Расчет_аналитики'!BG560*SUMIF(ThresholdAge15,"&lt;"&amp;'19_Расчет_аналитики'!BG560,WeightedRevAge15)-SUMIF(ThresholdAge15,"&lt;"&amp;'19_Расчет_аналитики'!BG560,WeightedMinAge15),MAX(CapacityAge15*'01_Вводные'!$B$218*'19_Расчет_аналитики'!BG560,MeanMinAge15)))</f>
        <v/>
      </c>
      <c r="BH506">
        <f>IF(OR(('19_Расчет_аналитики'!BH422-'19_Расчет_аналитики'!BH450)=0,15&lt;='01_Вводные'!$B$297),0,('19_Расчет_аналитики'!BH422-'19_Расчет_аналитики'!BH450)*IF('01_Вводные'!$B$239="Да",MeanMinAge15+'19_Расчет_аналитики'!BH560*SUMIF(ThresholdAge15,"&lt;"&amp;'19_Расчет_аналитики'!BH560,WeightedRevAge15)-SUMIF(ThresholdAge15,"&lt;"&amp;'19_Расчет_аналитики'!BH560,WeightedMinAge15),MAX(CapacityAge15*'01_Вводные'!$B$218*'19_Расчет_аналитики'!BH560,MeanMinAge15)))</f>
        <v/>
      </c>
      <c r="BI506">
        <f>IF(OR(('19_Расчет_аналитики'!BI422-'19_Расчет_аналитики'!BI450)=0,15&lt;='01_Вводные'!$B$297),0,('19_Расчет_аналитики'!BI422-'19_Расчет_аналитики'!BI450)*IF('01_Вводные'!$B$239="Да",MeanMinAge15+'19_Расчет_аналитики'!BI560*SUMIF(ThresholdAge15,"&lt;"&amp;'19_Расчет_аналитики'!BI560,WeightedRevAge15)-SUMIF(ThresholdAge15,"&lt;"&amp;'19_Расчет_аналитики'!BI560,WeightedMinAge15),MAX(CapacityAge15*'01_Вводные'!$B$218*'19_Расчет_аналитики'!BI560,MeanMinAge15)))</f>
        <v/>
      </c>
      <c r="BJ506">
        <f>IF(OR(('19_Расчет_аналитики'!BJ422-'19_Расчет_аналитики'!BJ450)=0,15&lt;='01_Вводные'!$B$297),0,('19_Расчет_аналитики'!BJ422-'19_Расчет_аналитики'!BJ450)*IF('01_Вводные'!$B$239="Да",MeanMinAge15+'19_Расчет_аналитики'!BJ560*SUMIF(ThresholdAge15,"&lt;"&amp;'19_Расчет_аналитики'!BJ560,WeightedRevAge15)-SUMIF(ThresholdAge15,"&lt;"&amp;'19_Расчет_аналитики'!BJ560,WeightedMinAge15),MAX(CapacityAge15*'01_Вводные'!$B$218*'19_Расчет_аналитики'!BJ560,MeanMinAge15)))</f>
        <v/>
      </c>
      <c r="BK506">
        <f>IF(OR(('19_Расчет_аналитики'!BK422-'19_Расчет_аналитики'!BK450)=0,15&lt;='01_Вводные'!$B$297),0,('19_Расчет_аналитики'!BK422-'19_Расчет_аналитики'!BK450)*IF('01_Вводные'!$B$239="Да",MeanMinAge15+'19_Расчет_аналитики'!BK560*SUMIF(ThresholdAge15,"&lt;"&amp;'19_Расчет_аналитики'!BK560,WeightedRevAge15)-SUMIF(ThresholdAge15,"&lt;"&amp;'19_Расчет_аналитики'!BK560,WeightedMinAge15),MAX(CapacityAge15*'01_Вводные'!$B$218*'19_Расчет_аналитики'!BK560,MeanMinAge15)))</f>
        <v/>
      </c>
      <c r="BL506">
        <f>IF(OR(('19_Расчет_аналитики'!BL422-'19_Расчет_аналитики'!BL450)=0,15&lt;='01_Вводные'!$B$297),0,('19_Расчет_аналитики'!BL422-'19_Расчет_аналитики'!BL450)*IF('01_Вводные'!$B$239="Да",MeanMinAge15+'19_Расчет_аналитики'!BL560*SUMIF(ThresholdAge15,"&lt;"&amp;'19_Расчет_аналитики'!BL560,WeightedRevAge15)-SUMIF(ThresholdAge15,"&lt;"&amp;'19_Расчет_аналитики'!BL560,WeightedMinAge15),MAX(CapacityAge15*'01_Вводные'!$B$218*'19_Расчет_аналитики'!BL560,MeanMinAge15)))</f>
        <v/>
      </c>
      <c r="BM506">
        <f>IF(OR(('19_Расчет_аналитики'!BM422-'19_Расчет_аналитики'!BM450)=0,15&lt;='01_Вводные'!$B$297),0,('19_Расчет_аналитики'!BM422-'19_Расчет_аналитики'!BM450)*IF('01_Вводные'!$B$239="Да",MeanMinAge15+'19_Расчет_аналитики'!BM560*SUMIF(ThresholdAge15,"&lt;"&amp;'19_Расчет_аналитики'!BM560,WeightedRevAge15)-SUMIF(ThresholdAge15,"&lt;"&amp;'19_Расчет_аналитики'!BM560,WeightedMinAge15),MAX(CapacityAge15*'01_Вводные'!$B$218*'19_Расчет_аналитики'!BM560,MeanMinAge15)))</f>
        <v/>
      </c>
      <c r="BN506">
        <f>IF(OR(('19_Расчет_аналитики'!BN422-'19_Расчет_аналитики'!BN450)=0,15&lt;='01_Вводные'!$B$297),0,('19_Расчет_аналитики'!BN422-'19_Расчет_аналитики'!BN450)*IF('01_Вводные'!$B$239="Да",MeanMinAge15+'19_Расчет_аналитики'!BN560*SUMIF(ThresholdAge15,"&lt;"&amp;'19_Расчет_аналитики'!BN560,WeightedRevAge15)-SUMIF(ThresholdAge15,"&lt;"&amp;'19_Расчет_аналитики'!BN560,WeightedMinAge15),MAX(CapacityAge15*'01_Вводные'!$B$218*'19_Расчет_аналитики'!BN560,MeanMinAge15)))</f>
        <v/>
      </c>
      <c r="BO506">
        <f>IF(OR(('19_Расчет_аналитики'!BO422-'19_Расчет_аналитики'!BO450)=0,15&lt;='01_Вводные'!$B$297),0,('19_Расчет_аналитики'!BO422-'19_Расчет_аналитики'!BO450)*IF('01_Вводные'!$B$239="Да",MeanMinAge15+'19_Расчет_аналитики'!BO560*SUMIF(ThresholdAge15,"&lt;"&amp;'19_Расчет_аналитики'!BO560,WeightedRevAge15)-SUMIF(ThresholdAge15,"&lt;"&amp;'19_Расчет_аналитики'!BO560,WeightedMinAge15),MAX(CapacityAge15*'01_Вводные'!$B$218*'19_Расчет_аналитики'!BO560,MeanMinAge15)))</f>
        <v/>
      </c>
    </row>
    <row r="507">
      <c r="B507">
        <f>IF(OR(('06_Сеть_и_дети'!B68-'06_Сеть_и_дети'!B96)=0,16&lt;='01_Вводные'!$B$297),0,('06_Сеть_и_дети'!B68-'06_Сеть_и_дети'!B96)*IF('01_Вводные'!$B$239="Да",MeanMinAge16+'19_Расчет_аналитики'!B560*SUMIF(ThresholdAge16,"&lt;"&amp;'19_Расчет_аналитики'!B560,WeightedRevAge16)-SUMIF(ThresholdAge16,"&lt;"&amp;'19_Расчет_аналитики'!B560,WeightedMinAge16),MAX(CapacityAge16*'01_Вводные'!$B$218*'19_Расчет_аналитики'!B560,MeanMinAge16)))</f>
        <v/>
      </c>
      <c r="C507">
        <f>IF(OR(('06_Сеть_и_дети'!C68-'06_Сеть_и_дети'!C96)=0,16&lt;='01_Вводные'!$B$297),0,('06_Сеть_и_дети'!C68-'06_Сеть_и_дети'!C96)*IF('01_Вводные'!$B$239="Да",MeanMinAge16+'19_Расчет_аналитики'!C560*SUMIF(ThresholdAge16,"&lt;"&amp;'19_Расчет_аналитики'!C560,WeightedRevAge16)-SUMIF(ThresholdAge16,"&lt;"&amp;'19_Расчет_аналитики'!C560,WeightedMinAge16),MAX(CapacityAge16*'01_Вводные'!$B$218*'19_Расчет_аналитики'!C560,MeanMinAge16)))</f>
        <v/>
      </c>
      <c r="D507">
        <f>IF(OR(('06_Сеть_и_дети'!D68-'06_Сеть_и_дети'!D96)=0,16&lt;='01_Вводные'!$B$297),0,('06_Сеть_и_дети'!D68-'06_Сеть_и_дети'!D96)*IF('01_Вводные'!$B$239="Да",MeanMinAge16+'19_Расчет_аналитики'!D560*SUMIF(ThresholdAge16,"&lt;"&amp;'19_Расчет_аналитики'!D560,WeightedRevAge16)-SUMIF(ThresholdAge16,"&lt;"&amp;'19_Расчет_аналитики'!D560,WeightedMinAge16),MAX(CapacityAge16*'01_Вводные'!$B$218*'19_Расчет_аналитики'!D560,MeanMinAge16)))</f>
        <v/>
      </c>
      <c r="E507">
        <f>IF(OR(('06_Сеть_и_дети'!E68-'06_Сеть_и_дети'!E96)=0,16&lt;='01_Вводные'!$B$297),0,('06_Сеть_и_дети'!E68-'06_Сеть_и_дети'!E96)*IF('01_Вводные'!$B$239="Да",MeanMinAge16+'19_Расчет_аналитики'!E560*SUMIF(ThresholdAge16,"&lt;"&amp;'19_Расчет_аналитики'!E560,WeightedRevAge16)-SUMIF(ThresholdAge16,"&lt;"&amp;'19_Расчет_аналитики'!E560,WeightedMinAge16),MAX(CapacityAge16*'01_Вводные'!$B$218*'19_Расчет_аналитики'!E560,MeanMinAge16)))</f>
        <v/>
      </c>
      <c r="F507">
        <f>IF(OR(('06_Сеть_и_дети'!F68-'06_Сеть_и_дети'!F96)=0,16&lt;='01_Вводные'!$B$297),0,('06_Сеть_и_дети'!F68-'06_Сеть_и_дети'!F96)*IF('01_Вводные'!$B$239="Да",MeanMinAge16+'19_Расчет_аналитики'!F560*SUMIF(ThresholdAge16,"&lt;"&amp;'19_Расчет_аналитики'!F560,WeightedRevAge16)-SUMIF(ThresholdAge16,"&lt;"&amp;'19_Расчет_аналитики'!F560,WeightedMinAge16),MAX(CapacityAge16*'01_Вводные'!$B$218*'19_Расчет_аналитики'!F560,MeanMinAge16)))</f>
        <v/>
      </c>
      <c r="G507">
        <f>IF(OR(('06_Сеть_и_дети'!G68-'06_Сеть_и_дети'!G96)=0,16&lt;='01_Вводные'!$B$297),0,('06_Сеть_и_дети'!G68-'06_Сеть_и_дети'!G96)*IF('01_Вводные'!$B$239="Да",MeanMinAge16+'19_Расчет_аналитики'!G560*SUMIF(ThresholdAge16,"&lt;"&amp;'19_Расчет_аналитики'!G560,WeightedRevAge16)-SUMIF(ThresholdAge16,"&lt;"&amp;'19_Расчет_аналитики'!G560,WeightedMinAge16),MAX(CapacityAge16*'01_Вводные'!$B$218*'19_Расчет_аналитики'!G560,MeanMinAge16)))</f>
        <v/>
      </c>
      <c r="H507">
        <f>IF(OR(('06_Сеть_и_дети'!H68-'06_Сеть_и_дети'!H96)=0,16&lt;='01_Вводные'!$B$297),0,('06_Сеть_и_дети'!H68-'06_Сеть_и_дети'!H96)*IF('01_Вводные'!$B$239="Да",MeanMinAge16+'19_Расчет_аналитики'!H560*SUMIF(ThresholdAge16,"&lt;"&amp;'19_Расчет_аналитики'!H560,WeightedRevAge16)-SUMIF(ThresholdAge16,"&lt;"&amp;'19_Расчет_аналитики'!H560,WeightedMinAge16),MAX(CapacityAge16*'01_Вводные'!$B$218*'19_Расчет_аналитики'!H560,MeanMinAge16)))</f>
        <v/>
      </c>
      <c r="I507">
        <f>IF(OR(('06_Сеть_и_дети'!I68-'06_Сеть_и_дети'!I96)=0,16&lt;='01_Вводные'!$B$297),0,('06_Сеть_и_дети'!I68-'06_Сеть_и_дети'!I96)*IF('01_Вводные'!$B$239="Да",MeanMinAge16+'19_Расчет_аналитики'!I560*SUMIF(ThresholdAge16,"&lt;"&amp;'19_Расчет_аналитики'!I560,WeightedRevAge16)-SUMIF(ThresholdAge16,"&lt;"&amp;'19_Расчет_аналитики'!I560,WeightedMinAge16),MAX(CapacityAge16*'01_Вводные'!$B$218*'19_Расчет_аналитики'!I560,MeanMinAge16)))</f>
        <v/>
      </c>
      <c r="J507">
        <f>IF(OR(('06_Сеть_и_дети'!J68-'06_Сеть_и_дети'!J96)=0,16&lt;='01_Вводные'!$B$297),0,('06_Сеть_и_дети'!J68-'06_Сеть_и_дети'!J96)*IF('01_Вводные'!$B$239="Да",MeanMinAge16+'19_Расчет_аналитики'!J560*SUMIF(ThresholdAge16,"&lt;"&amp;'19_Расчет_аналитики'!J560,WeightedRevAge16)-SUMIF(ThresholdAge16,"&lt;"&amp;'19_Расчет_аналитики'!J560,WeightedMinAge16),MAX(CapacityAge16*'01_Вводные'!$B$218*'19_Расчет_аналитики'!J560,MeanMinAge16)))</f>
        <v/>
      </c>
      <c r="K507">
        <f>IF(OR(('06_Сеть_и_дети'!K68-'06_Сеть_и_дети'!K96)=0,16&lt;='01_Вводные'!$B$297),0,('06_Сеть_и_дети'!K68-'06_Сеть_и_дети'!K96)*IF('01_Вводные'!$B$239="Да",MeanMinAge16+'19_Расчет_аналитики'!K560*SUMIF(ThresholdAge16,"&lt;"&amp;'19_Расчет_аналитики'!K560,WeightedRevAge16)-SUMIF(ThresholdAge16,"&lt;"&amp;'19_Расчет_аналитики'!K560,WeightedMinAge16),MAX(CapacityAge16*'01_Вводные'!$B$218*'19_Расчет_аналитики'!K560,MeanMinAge16)))</f>
        <v/>
      </c>
      <c r="L507">
        <f>IF(OR(('06_Сеть_и_дети'!L68-'06_Сеть_и_дети'!L96)=0,16&lt;='01_Вводные'!$B$297),0,('06_Сеть_и_дети'!L68-'06_Сеть_и_дети'!L96)*IF('01_Вводные'!$B$239="Да",MeanMinAge16+'19_Расчет_аналитики'!L560*SUMIF(ThresholdAge16,"&lt;"&amp;'19_Расчет_аналитики'!L560,WeightedRevAge16)-SUMIF(ThresholdAge16,"&lt;"&amp;'19_Расчет_аналитики'!L560,WeightedMinAge16),MAX(CapacityAge16*'01_Вводные'!$B$218*'19_Расчет_аналитики'!L560,MeanMinAge16)))</f>
        <v/>
      </c>
      <c r="M507">
        <f>IF(OR(('06_Сеть_и_дети'!M68-'06_Сеть_и_дети'!M96)=0,16&lt;='01_Вводные'!$B$297),0,('06_Сеть_и_дети'!M68-'06_Сеть_и_дети'!M96)*IF('01_Вводные'!$B$239="Да",MeanMinAge16+'19_Расчет_аналитики'!M560*SUMIF(ThresholdAge16,"&lt;"&amp;'19_Расчет_аналитики'!M560,WeightedRevAge16)-SUMIF(ThresholdAge16,"&lt;"&amp;'19_Расчет_аналитики'!M560,WeightedMinAge16),MAX(CapacityAge16*'01_Вводные'!$B$218*'19_Расчет_аналитики'!M560,MeanMinAge16)))</f>
        <v/>
      </c>
      <c r="N507">
        <f>IF(OR(('06_Сеть_и_дети'!N68-'06_Сеть_и_дети'!N96)=0,16&lt;='01_Вводные'!$B$297),0,('06_Сеть_и_дети'!N68-'06_Сеть_и_дети'!N96)*IF('01_Вводные'!$B$239="Да",MeanMinAge16+'19_Расчет_аналитики'!N560*SUMIF(ThresholdAge16,"&lt;"&amp;'19_Расчет_аналитики'!N560,WeightedRevAge16)-SUMIF(ThresholdAge16,"&lt;"&amp;'19_Расчет_аналитики'!N560,WeightedMinAge16),MAX(CapacityAge16*'01_Вводные'!$B$218*'19_Расчет_аналитики'!N560,MeanMinAge16)))</f>
        <v/>
      </c>
      <c r="O507">
        <f>IF(OR(('06_Сеть_и_дети'!O68-'06_Сеть_и_дети'!O96)=0,16&lt;='01_Вводные'!$B$297),0,('06_Сеть_и_дети'!O68-'06_Сеть_и_дети'!O96)*IF('01_Вводные'!$B$239="Да",MeanMinAge16+'19_Расчет_аналитики'!O560*SUMIF(ThresholdAge16,"&lt;"&amp;'19_Расчет_аналитики'!O560,WeightedRevAge16)-SUMIF(ThresholdAge16,"&lt;"&amp;'19_Расчет_аналитики'!O560,WeightedMinAge16),MAX(CapacityAge16*'01_Вводные'!$B$218*'19_Расчет_аналитики'!O560,MeanMinAge16)))</f>
        <v/>
      </c>
      <c r="P507">
        <f>IF(OR(('06_Сеть_и_дети'!P68-'06_Сеть_и_дети'!P96)=0,16&lt;='01_Вводные'!$B$297),0,('06_Сеть_и_дети'!P68-'06_Сеть_и_дети'!P96)*IF('01_Вводные'!$B$239="Да",MeanMinAge16+'19_Расчет_аналитики'!P560*SUMIF(ThresholdAge16,"&lt;"&amp;'19_Расчет_аналитики'!P560,WeightedRevAge16)-SUMIF(ThresholdAge16,"&lt;"&amp;'19_Расчет_аналитики'!P560,WeightedMinAge16),MAX(CapacityAge16*'01_Вводные'!$B$218*'19_Расчет_аналитики'!P560,MeanMinAge16)))</f>
        <v/>
      </c>
      <c r="Q507">
        <f>IF(OR(('19_Расчет_аналитики'!Q423-'19_Расчет_аналитики'!Q451)=0,16&lt;='01_Вводные'!$B$297),0,('19_Расчет_аналитики'!Q423-'19_Расчет_аналитики'!Q451)*IF('01_Вводные'!$B$239="Да",MeanMinAge16+'19_Расчет_аналитики'!Q560*SUMIF(ThresholdAge16,"&lt;"&amp;'19_Расчет_аналитики'!Q560,WeightedRevAge16)-SUMIF(ThresholdAge16,"&lt;"&amp;'19_Расчет_аналитики'!Q560,WeightedMinAge16),MAX(CapacityAge16*'01_Вводные'!$B$218*'19_Расчет_аналитики'!Q560,MeanMinAge16)))</f>
        <v/>
      </c>
      <c r="R507">
        <f>IF(OR(('19_Расчет_аналитики'!R423-'19_Расчет_аналитики'!R451)=0,16&lt;='01_Вводные'!$B$297),0,('19_Расчет_аналитики'!R423-'19_Расчет_аналитики'!R451)*IF('01_Вводные'!$B$239="Да",MeanMinAge16+'19_Расчет_аналитики'!R560*SUMIF(ThresholdAge16,"&lt;"&amp;'19_Расчет_аналитики'!R560,WeightedRevAge16)-SUMIF(ThresholdAge16,"&lt;"&amp;'19_Расчет_аналитики'!R560,WeightedMinAge16),MAX(CapacityAge16*'01_Вводные'!$B$218*'19_Расчет_аналитики'!R560,MeanMinAge16)))</f>
        <v/>
      </c>
      <c r="S507">
        <f>IF(OR(('19_Расчет_аналитики'!S423-'19_Расчет_аналитики'!S451)=0,16&lt;='01_Вводные'!$B$297),0,('19_Расчет_аналитики'!S423-'19_Расчет_аналитики'!S451)*IF('01_Вводные'!$B$239="Да",MeanMinAge16+'19_Расчет_аналитики'!S560*SUMIF(ThresholdAge16,"&lt;"&amp;'19_Расчет_аналитики'!S560,WeightedRevAge16)-SUMIF(ThresholdAge16,"&lt;"&amp;'19_Расчет_аналитики'!S560,WeightedMinAge16),MAX(CapacityAge16*'01_Вводные'!$B$218*'19_Расчет_аналитики'!S560,MeanMinAge16)))</f>
        <v/>
      </c>
      <c r="T507">
        <f>IF(OR(('19_Расчет_аналитики'!T423-'19_Расчет_аналитики'!T451)=0,16&lt;='01_Вводные'!$B$297),0,('19_Расчет_аналитики'!T423-'19_Расчет_аналитики'!T451)*IF('01_Вводные'!$B$239="Да",MeanMinAge16+'19_Расчет_аналитики'!T560*SUMIF(ThresholdAge16,"&lt;"&amp;'19_Расчет_аналитики'!T560,WeightedRevAge16)-SUMIF(ThresholdAge16,"&lt;"&amp;'19_Расчет_аналитики'!T560,WeightedMinAge16),MAX(CapacityAge16*'01_Вводные'!$B$218*'19_Расчет_аналитики'!T560,MeanMinAge16)))</f>
        <v/>
      </c>
      <c r="U507">
        <f>IF(OR(('19_Расчет_аналитики'!U423-'19_Расчет_аналитики'!U451)=0,16&lt;='01_Вводные'!$B$297),0,('19_Расчет_аналитики'!U423-'19_Расчет_аналитики'!U451)*IF('01_Вводные'!$B$239="Да",MeanMinAge16+'19_Расчет_аналитики'!U560*SUMIF(ThresholdAge16,"&lt;"&amp;'19_Расчет_аналитики'!U560,WeightedRevAge16)-SUMIF(ThresholdAge16,"&lt;"&amp;'19_Расчет_аналитики'!U560,WeightedMinAge16),MAX(CapacityAge16*'01_Вводные'!$B$218*'19_Расчет_аналитики'!U560,MeanMinAge16)))</f>
        <v/>
      </c>
      <c r="V507">
        <f>IF(OR(('19_Расчет_аналитики'!V423-'19_Расчет_аналитики'!V451)=0,16&lt;='01_Вводные'!$B$297),0,('19_Расчет_аналитики'!V423-'19_Расчет_аналитики'!V451)*IF('01_Вводные'!$B$239="Да",MeanMinAge16+'19_Расчет_аналитики'!V560*SUMIF(ThresholdAge16,"&lt;"&amp;'19_Расчет_аналитики'!V560,WeightedRevAge16)-SUMIF(ThresholdAge16,"&lt;"&amp;'19_Расчет_аналитики'!V560,WeightedMinAge16),MAX(CapacityAge16*'01_Вводные'!$B$218*'19_Расчет_аналитики'!V560,MeanMinAge16)))</f>
        <v/>
      </c>
      <c r="W507">
        <f>IF(OR(('19_Расчет_аналитики'!W423-'19_Расчет_аналитики'!W451)=0,16&lt;='01_Вводные'!$B$297),0,('19_Расчет_аналитики'!W423-'19_Расчет_аналитики'!W451)*IF('01_Вводные'!$B$239="Да",MeanMinAge16+'19_Расчет_аналитики'!W560*SUMIF(ThresholdAge16,"&lt;"&amp;'19_Расчет_аналитики'!W560,WeightedRevAge16)-SUMIF(ThresholdAge16,"&lt;"&amp;'19_Расчет_аналитики'!W560,WeightedMinAge16),MAX(CapacityAge16*'01_Вводные'!$B$218*'19_Расчет_аналитики'!W560,MeanMinAge16)))</f>
        <v/>
      </c>
      <c r="X507">
        <f>IF(OR(('19_Расчет_аналитики'!X423-'19_Расчет_аналитики'!X451)=0,16&lt;='01_Вводные'!$B$297),0,('19_Расчет_аналитики'!X423-'19_Расчет_аналитики'!X451)*IF('01_Вводные'!$B$239="Да",MeanMinAge16+'19_Расчет_аналитики'!X560*SUMIF(ThresholdAge16,"&lt;"&amp;'19_Расчет_аналитики'!X560,WeightedRevAge16)-SUMIF(ThresholdAge16,"&lt;"&amp;'19_Расчет_аналитики'!X560,WeightedMinAge16),MAX(CapacityAge16*'01_Вводные'!$B$218*'19_Расчет_аналитики'!X560,MeanMinAge16)))</f>
        <v/>
      </c>
      <c r="Y507">
        <f>IF(OR(('19_Расчет_аналитики'!Y423-'19_Расчет_аналитики'!Y451)=0,16&lt;='01_Вводные'!$B$297),0,('19_Расчет_аналитики'!Y423-'19_Расчет_аналитики'!Y451)*IF('01_Вводные'!$B$239="Да",MeanMinAge16+'19_Расчет_аналитики'!Y560*SUMIF(ThresholdAge16,"&lt;"&amp;'19_Расчет_аналитики'!Y560,WeightedRevAge16)-SUMIF(ThresholdAge16,"&lt;"&amp;'19_Расчет_аналитики'!Y560,WeightedMinAge16),MAX(CapacityAge16*'01_Вводные'!$B$218*'19_Расчет_аналитики'!Y560,MeanMinAge16)))</f>
        <v/>
      </c>
      <c r="Z507">
        <f>IF(OR(('19_Расчет_аналитики'!Z423-'19_Расчет_аналитики'!Z451)=0,16&lt;='01_Вводные'!$B$297),0,('19_Расчет_аналитики'!Z423-'19_Расчет_аналитики'!Z451)*IF('01_Вводные'!$B$239="Да",MeanMinAge16+'19_Расчет_аналитики'!Z560*SUMIF(ThresholdAge16,"&lt;"&amp;'19_Расчет_аналитики'!Z560,WeightedRevAge16)-SUMIF(ThresholdAge16,"&lt;"&amp;'19_Расчет_аналитики'!Z560,WeightedMinAge16),MAX(CapacityAge16*'01_Вводные'!$B$218*'19_Расчет_аналитики'!Z560,MeanMinAge16)))</f>
        <v/>
      </c>
      <c r="AA507">
        <f>IF(OR(('19_Расчет_аналитики'!AA423-'19_Расчет_аналитики'!AA451)=0,16&lt;='01_Вводные'!$B$297),0,('19_Расчет_аналитики'!AA423-'19_Расчет_аналитики'!AA451)*IF('01_Вводные'!$B$239="Да",MeanMinAge16+'19_Расчет_аналитики'!AA560*SUMIF(ThresholdAge16,"&lt;"&amp;'19_Расчет_аналитики'!AA560,WeightedRevAge16)-SUMIF(ThresholdAge16,"&lt;"&amp;'19_Расчет_аналитики'!AA560,WeightedMinAge16),MAX(CapacityAge16*'01_Вводные'!$B$218*'19_Расчет_аналитики'!AA560,MeanMinAge16)))</f>
        <v/>
      </c>
      <c r="AB507">
        <f>IF(OR(('19_Расчет_аналитики'!AB423-'19_Расчет_аналитики'!AB451)=0,16&lt;='01_Вводные'!$B$297),0,('19_Расчет_аналитики'!AB423-'19_Расчет_аналитики'!AB451)*IF('01_Вводные'!$B$239="Да",MeanMinAge16+'19_Расчет_аналитики'!AB560*SUMIF(ThresholdAge16,"&lt;"&amp;'19_Расчет_аналитики'!AB560,WeightedRevAge16)-SUMIF(ThresholdAge16,"&lt;"&amp;'19_Расчет_аналитики'!AB560,WeightedMinAge16),MAX(CapacityAge16*'01_Вводные'!$B$218*'19_Расчет_аналитики'!AB560,MeanMinAge16)))</f>
        <v/>
      </c>
      <c r="AC507">
        <f>IF(OR(('19_Расчет_аналитики'!AC423-'19_Расчет_аналитики'!AC451)=0,16&lt;='01_Вводные'!$B$297),0,('19_Расчет_аналитики'!AC423-'19_Расчет_аналитики'!AC451)*IF('01_Вводные'!$B$239="Да",MeanMinAge16+'19_Расчет_аналитики'!AC560*SUMIF(ThresholdAge16,"&lt;"&amp;'19_Расчет_аналитики'!AC560,WeightedRevAge16)-SUMIF(ThresholdAge16,"&lt;"&amp;'19_Расчет_аналитики'!AC560,WeightedMinAge16),MAX(CapacityAge16*'01_Вводные'!$B$218*'19_Расчет_аналитики'!AC560,MeanMinAge16)))</f>
        <v/>
      </c>
      <c r="AD507">
        <f>IF(OR(('19_Расчет_аналитики'!AD423-'19_Расчет_аналитики'!AD451)=0,16&lt;='01_Вводные'!$B$297),0,('19_Расчет_аналитики'!AD423-'19_Расчет_аналитики'!AD451)*IF('01_Вводные'!$B$239="Да",MeanMinAge16+'19_Расчет_аналитики'!AD560*SUMIF(ThresholdAge16,"&lt;"&amp;'19_Расчет_аналитики'!AD560,WeightedRevAge16)-SUMIF(ThresholdAge16,"&lt;"&amp;'19_Расчет_аналитики'!AD560,WeightedMinAge16),MAX(CapacityAge16*'01_Вводные'!$B$218*'19_Расчет_аналитики'!AD560,MeanMinAge16)))</f>
        <v/>
      </c>
      <c r="AE507">
        <f>IF(OR(('19_Расчет_аналитики'!AE423-'19_Расчет_аналитики'!AE451)=0,16&lt;='01_Вводные'!$B$297),0,('19_Расчет_аналитики'!AE423-'19_Расчет_аналитики'!AE451)*IF('01_Вводные'!$B$239="Да",MeanMinAge16+'19_Расчет_аналитики'!AE560*SUMIF(ThresholdAge16,"&lt;"&amp;'19_Расчет_аналитики'!AE560,WeightedRevAge16)-SUMIF(ThresholdAge16,"&lt;"&amp;'19_Расчет_аналитики'!AE560,WeightedMinAge16),MAX(CapacityAge16*'01_Вводные'!$B$218*'19_Расчет_аналитики'!AE560,MeanMinAge16)))</f>
        <v/>
      </c>
      <c r="AF507">
        <f>IF(OR(('19_Расчет_аналитики'!AF423-'19_Расчет_аналитики'!AF451)=0,16&lt;='01_Вводные'!$B$297),0,('19_Расчет_аналитики'!AF423-'19_Расчет_аналитики'!AF451)*IF('01_Вводные'!$B$239="Да",MeanMinAge16+'19_Расчет_аналитики'!AF560*SUMIF(ThresholdAge16,"&lt;"&amp;'19_Расчет_аналитики'!AF560,WeightedRevAge16)-SUMIF(ThresholdAge16,"&lt;"&amp;'19_Расчет_аналитики'!AF560,WeightedMinAge16),MAX(CapacityAge16*'01_Вводные'!$B$218*'19_Расчет_аналитики'!AF560,MeanMinAge16)))</f>
        <v/>
      </c>
      <c r="AG507">
        <f>IF(OR(('19_Расчет_аналитики'!AG423-'19_Расчет_аналитики'!AG451)=0,16&lt;='01_Вводные'!$B$297),0,('19_Расчет_аналитики'!AG423-'19_Расчет_аналитики'!AG451)*IF('01_Вводные'!$B$239="Да",MeanMinAge16+'19_Расчет_аналитики'!AG560*SUMIF(ThresholdAge16,"&lt;"&amp;'19_Расчет_аналитики'!AG560,WeightedRevAge16)-SUMIF(ThresholdAge16,"&lt;"&amp;'19_Расчет_аналитики'!AG560,WeightedMinAge16),MAX(CapacityAge16*'01_Вводные'!$B$218*'19_Расчет_аналитики'!AG560,MeanMinAge16)))</f>
        <v/>
      </c>
      <c r="AH507">
        <f>IF(OR(('19_Расчет_аналитики'!AH423-'19_Расчет_аналитики'!AH451)=0,16&lt;='01_Вводные'!$B$297),0,('19_Расчет_аналитики'!AH423-'19_Расчет_аналитики'!AH451)*IF('01_Вводные'!$B$239="Да",MeanMinAge16+'19_Расчет_аналитики'!AH560*SUMIF(ThresholdAge16,"&lt;"&amp;'19_Расчет_аналитики'!AH560,WeightedRevAge16)-SUMIF(ThresholdAge16,"&lt;"&amp;'19_Расчет_аналитики'!AH560,WeightedMinAge16),MAX(CapacityAge16*'01_Вводные'!$B$218*'19_Расчет_аналитики'!AH560,MeanMinAge16)))</f>
        <v/>
      </c>
      <c r="AI507">
        <f>IF(OR(('19_Расчет_аналитики'!AI423-'19_Расчет_аналитики'!AI451)=0,16&lt;='01_Вводные'!$B$297),0,('19_Расчет_аналитики'!AI423-'19_Расчет_аналитики'!AI451)*IF('01_Вводные'!$B$239="Да",MeanMinAge16+'19_Расчет_аналитики'!AI560*SUMIF(ThresholdAge16,"&lt;"&amp;'19_Расчет_аналитики'!AI560,WeightedRevAge16)-SUMIF(ThresholdAge16,"&lt;"&amp;'19_Расчет_аналитики'!AI560,WeightedMinAge16),MAX(CapacityAge16*'01_Вводные'!$B$218*'19_Расчет_аналитики'!AI560,MeanMinAge16)))</f>
        <v/>
      </c>
      <c r="AJ507">
        <f>IF(OR(('19_Расчет_аналитики'!AJ423-'19_Расчет_аналитики'!AJ451)=0,16&lt;='01_Вводные'!$B$297),0,('19_Расчет_аналитики'!AJ423-'19_Расчет_аналитики'!AJ451)*IF('01_Вводные'!$B$239="Да",MeanMinAge16+'19_Расчет_аналитики'!AJ560*SUMIF(ThresholdAge16,"&lt;"&amp;'19_Расчет_аналитики'!AJ560,WeightedRevAge16)-SUMIF(ThresholdAge16,"&lt;"&amp;'19_Расчет_аналитики'!AJ560,WeightedMinAge16),MAX(CapacityAge16*'01_Вводные'!$B$218*'19_Расчет_аналитики'!AJ560,MeanMinAge16)))</f>
        <v/>
      </c>
      <c r="AK507">
        <f>IF(OR(('19_Расчет_аналитики'!AK423-'19_Расчет_аналитики'!AK451)=0,16&lt;='01_Вводные'!$B$297),0,('19_Расчет_аналитики'!AK423-'19_Расчет_аналитики'!AK451)*IF('01_Вводные'!$B$239="Да",MeanMinAge16+'19_Расчет_аналитики'!AK560*SUMIF(ThresholdAge16,"&lt;"&amp;'19_Расчет_аналитики'!AK560,WeightedRevAge16)-SUMIF(ThresholdAge16,"&lt;"&amp;'19_Расчет_аналитики'!AK560,WeightedMinAge16),MAX(CapacityAge16*'01_Вводные'!$B$218*'19_Расчет_аналитики'!AK560,MeanMinAge16)))</f>
        <v/>
      </c>
      <c r="AL507">
        <f>IF(OR(('19_Расчет_аналитики'!AL423-'19_Расчет_аналитики'!AL451)=0,16&lt;='01_Вводные'!$B$297),0,('19_Расчет_аналитики'!AL423-'19_Расчет_аналитики'!AL451)*IF('01_Вводные'!$B$239="Да",MeanMinAge16+'19_Расчет_аналитики'!AL560*SUMIF(ThresholdAge16,"&lt;"&amp;'19_Расчет_аналитики'!AL560,WeightedRevAge16)-SUMIF(ThresholdAge16,"&lt;"&amp;'19_Расчет_аналитики'!AL560,WeightedMinAge16),MAX(CapacityAge16*'01_Вводные'!$B$218*'19_Расчет_аналитики'!AL560,MeanMinAge16)))</f>
        <v/>
      </c>
      <c r="AM507">
        <f>IF(OR(('19_Расчет_аналитики'!AM423-'19_Расчет_аналитики'!AM451)=0,16&lt;='01_Вводные'!$B$297),0,('19_Расчет_аналитики'!AM423-'19_Расчет_аналитики'!AM451)*IF('01_Вводные'!$B$239="Да",MeanMinAge16+'19_Расчет_аналитики'!AM560*SUMIF(ThresholdAge16,"&lt;"&amp;'19_Расчет_аналитики'!AM560,WeightedRevAge16)-SUMIF(ThresholdAge16,"&lt;"&amp;'19_Расчет_аналитики'!AM560,WeightedMinAge16),MAX(CapacityAge16*'01_Вводные'!$B$218*'19_Расчет_аналитики'!AM560,MeanMinAge16)))</f>
        <v/>
      </c>
      <c r="AN507">
        <f>IF(OR(('19_Расчет_аналитики'!AN423-'19_Расчет_аналитики'!AN451)=0,16&lt;='01_Вводные'!$B$297),0,('19_Расчет_аналитики'!AN423-'19_Расчет_аналитики'!AN451)*IF('01_Вводные'!$B$239="Да",MeanMinAge16+'19_Расчет_аналитики'!AN560*SUMIF(ThresholdAge16,"&lt;"&amp;'19_Расчет_аналитики'!AN560,WeightedRevAge16)-SUMIF(ThresholdAge16,"&lt;"&amp;'19_Расчет_аналитики'!AN560,WeightedMinAge16),MAX(CapacityAge16*'01_Вводные'!$B$218*'19_Расчет_аналитики'!AN560,MeanMinAge16)))</f>
        <v/>
      </c>
      <c r="AO507">
        <f>IF(OR(('19_Расчет_аналитики'!AO423-'19_Расчет_аналитики'!AO451)=0,16&lt;='01_Вводные'!$B$297),0,('19_Расчет_аналитики'!AO423-'19_Расчет_аналитики'!AO451)*IF('01_Вводные'!$B$239="Да",MeanMinAge16+'19_Расчет_аналитики'!AO560*SUMIF(ThresholdAge16,"&lt;"&amp;'19_Расчет_аналитики'!AO560,WeightedRevAge16)-SUMIF(ThresholdAge16,"&lt;"&amp;'19_Расчет_аналитики'!AO560,WeightedMinAge16),MAX(CapacityAge16*'01_Вводные'!$B$218*'19_Расчет_аналитики'!AO560,MeanMinAge16)))</f>
        <v/>
      </c>
      <c r="AP507">
        <f>IF(OR(('19_Расчет_аналитики'!AP423-'19_Расчет_аналитики'!AP451)=0,16&lt;='01_Вводные'!$B$297),0,('19_Расчет_аналитики'!AP423-'19_Расчет_аналитики'!AP451)*IF('01_Вводные'!$B$239="Да",MeanMinAge16+'19_Расчет_аналитики'!AP560*SUMIF(ThresholdAge16,"&lt;"&amp;'19_Расчет_аналитики'!AP560,WeightedRevAge16)-SUMIF(ThresholdAge16,"&lt;"&amp;'19_Расчет_аналитики'!AP560,WeightedMinAge16),MAX(CapacityAge16*'01_Вводные'!$B$218*'19_Расчет_аналитики'!AP560,MeanMinAge16)))</f>
        <v/>
      </c>
      <c r="AQ507">
        <f>IF(OR(('19_Расчет_аналитики'!AQ423-'19_Расчет_аналитики'!AQ451)=0,16&lt;='01_Вводные'!$B$297),0,('19_Расчет_аналитики'!AQ423-'19_Расчет_аналитики'!AQ451)*IF('01_Вводные'!$B$239="Да",MeanMinAge16+'19_Расчет_аналитики'!AQ560*SUMIF(ThresholdAge16,"&lt;"&amp;'19_Расчет_аналитики'!AQ560,WeightedRevAge16)-SUMIF(ThresholdAge16,"&lt;"&amp;'19_Расчет_аналитики'!AQ560,WeightedMinAge16),MAX(CapacityAge16*'01_Вводные'!$B$218*'19_Расчет_аналитики'!AQ560,MeanMinAge16)))</f>
        <v/>
      </c>
      <c r="AR507">
        <f>IF(OR(('19_Расчет_аналитики'!AR423-'19_Расчет_аналитики'!AR451)=0,16&lt;='01_Вводные'!$B$297),0,('19_Расчет_аналитики'!AR423-'19_Расчет_аналитики'!AR451)*IF('01_Вводные'!$B$239="Да",MeanMinAge16+'19_Расчет_аналитики'!AR560*SUMIF(ThresholdAge16,"&lt;"&amp;'19_Расчет_аналитики'!AR560,WeightedRevAge16)-SUMIF(ThresholdAge16,"&lt;"&amp;'19_Расчет_аналитики'!AR560,WeightedMinAge16),MAX(CapacityAge16*'01_Вводные'!$B$218*'19_Расчет_аналитики'!AR560,MeanMinAge16)))</f>
        <v/>
      </c>
      <c r="AS507">
        <f>IF(OR(('19_Расчет_аналитики'!AS423-'19_Расчет_аналитики'!AS451)=0,16&lt;='01_Вводные'!$B$297),0,('19_Расчет_аналитики'!AS423-'19_Расчет_аналитики'!AS451)*IF('01_Вводные'!$B$239="Да",MeanMinAge16+'19_Расчет_аналитики'!AS560*SUMIF(ThresholdAge16,"&lt;"&amp;'19_Расчет_аналитики'!AS560,WeightedRevAge16)-SUMIF(ThresholdAge16,"&lt;"&amp;'19_Расчет_аналитики'!AS560,WeightedMinAge16),MAX(CapacityAge16*'01_Вводные'!$B$218*'19_Расчет_аналитики'!AS560,MeanMinAge16)))</f>
        <v/>
      </c>
      <c r="AT507">
        <f>IF(OR(('19_Расчет_аналитики'!AT423-'19_Расчет_аналитики'!AT451)=0,16&lt;='01_Вводные'!$B$297),0,('19_Расчет_аналитики'!AT423-'19_Расчет_аналитики'!AT451)*IF('01_Вводные'!$B$239="Да",MeanMinAge16+'19_Расчет_аналитики'!AT560*SUMIF(ThresholdAge16,"&lt;"&amp;'19_Расчет_аналитики'!AT560,WeightedRevAge16)-SUMIF(ThresholdAge16,"&lt;"&amp;'19_Расчет_аналитики'!AT560,WeightedMinAge16),MAX(CapacityAge16*'01_Вводные'!$B$218*'19_Расчет_аналитики'!AT560,MeanMinAge16)))</f>
        <v/>
      </c>
      <c r="AU507">
        <f>IF(OR(('19_Расчет_аналитики'!AU423-'19_Расчет_аналитики'!AU451)=0,16&lt;='01_Вводные'!$B$297),0,('19_Расчет_аналитики'!AU423-'19_Расчет_аналитики'!AU451)*IF('01_Вводные'!$B$239="Да",MeanMinAge16+'19_Расчет_аналитики'!AU560*SUMIF(ThresholdAge16,"&lt;"&amp;'19_Расчет_аналитики'!AU560,WeightedRevAge16)-SUMIF(ThresholdAge16,"&lt;"&amp;'19_Расчет_аналитики'!AU560,WeightedMinAge16),MAX(CapacityAge16*'01_Вводные'!$B$218*'19_Расчет_аналитики'!AU560,MeanMinAge16)))</f>
        <v/>
      </c>
      <c r="AV507">
        <f>IF(OR(('19_Расчет_аналитики'!AV423-'19_Расчет_аналитики'!AV451)=0,16&lt;='01_Вводные'!$B$297),0,('19_Расчет_аналитики'!AV423-'19_Расчет_аналитики'!AV451)*IF('01_Вводные'!$B$239="Да",MeanMinAge16+'19_Расчет_аналитики'!AV560*SUMIF(ThresholdAge16,"&lt;"&amp;'19_Расчет_аналитики'!AV560,WeightedRevAge16)-SUMIF(ThresholdAge16,"&lt;"&amp;'19_Расчет_аналитики'!AV560,WeightedMinAge16),MAX(CapacityAge16*'01_Вводные'!$B$218*'19_Расчет_аналитики'!AV560,MeanMinAge16)))</f>
        <v/>
      </c>
      <c r="AW507">
        <f>IF(OR(('19_Расчет_аналитики'!AW423-'19_Расчет_аналитики'!AW451)=0,16&lt;='01_Вводные'!$B$297),0,('19_Расчет_аналитики'!AW423-'19_Расчет_аналитики'!AW451)*IF('01_Вводные'!$B$239="Да",MeanMinAge16+'19_Расчет_аналитики'!AW560*SUMIF(ThresholdAge16,"&lt;"&amp;'19_Расчет_аналитики'!AW560,WeightedRevAge16)-SUMIF(ThresholdAge16,"&lt;"&amp;'19_Расчет_аналитики'!AW560,WeightedMinAge16),MAX(CapacityAge16*'01_Вводные'!$B$218*'19_Расчет_аналитики'!AW560,MeanMinAge16)))</f>
        <v/>
      </c>
      <c r="AX507">
        <f>IF(OR(('19_Расчет_аналитики'!AX423-'19_Расчет_аналитики'!AX451)=0,16&lt;='01_Вводные'!$B$297),0,('19_Расчет_аналитики'!AX423-'19_Расчет_аналитики'!AX451)*IF('01_Вводные'!$B$239="Да",MeanMinAge16+'19_Расчет_аналитики'!AX560*SUMIF(ThresholdAge16,"&lt;"&amp;'19_Расчет_аналитики'!AX560,WeightedRevAge16)-SUMIF(ThresholdAge16,"&lt;"&amp;'19_Расчет_аналитики'!AX560,WeightedMinAge16),MAX(CapacityAge16*'01_Вводные'!$B$218*'19_Расчет_аналитики'!AX560,MeanMinAge16)))</f>
        <v/>
      </c>
      <c r="AY507">
        <f>IF(OR(('19_Расчет_аналитики'!AY423-'19_Расчет_аналитики'!AY451)=0,16&lt;='01_Вводные'!$B$297),0,('19_Расчет_аналитики'!AY423-'19_Расчет_аналитики'!AY451)*IF('01_Вводные'!$B$239="Да",MeanMinAge16+'19_Расчет_аналитики'!AY560*SUMIF(ThresholdAge16,"&lt;"&amp;'19_Расчет_аналитики'!AY560,WeightedRevAge16)-SUMIF(ThresholdAge16,"&lt;"&amp;'19_Расчет_аналитики'!AY560,WeightedMinAge16),MAX(CapacityAge16*'01_Вводные'!$B$218*'19_Расчет_аналитики'!AY560,MeanMinAge16)))</f>
        <v/>
      </c>
      <c r="AZ507">
        <f>IF(OR(('19_Расчет_аналитики'!AZ423-'19_Расчет_аналитики'!AZ451)=0,16&lt;='01_Вводные'!$B$297),0,('19_Расчет_аналитики'!AZ423-'19_Расчет_аналитики'!AZ451)*IF('01_Вводные'!$B$239="Да",MeanMinAge16+'19_Расчет_аналитики'!AZ560*SUMIF(ThresholdAge16,"&lt;"&amp;'19_Расчет_аналитики'!AZ560,WeightedRevAge16)-SUMIF(ThresholdAge16,"&lt;"&amp;'19_Расчет_аналитики'!AZ560,WeightedMinAge16),MAX(CapacityAge16*'01_Вводные'!$B$218*'19_Расчет_аналитики'!AZ560,MeanMinAge16)))</f>
        <v/>
      </c>
      <c r="BA507">
        <f>IF(OR(('19_Расчет_аналитики'!BA423-'19_Расчет_аналитики'!BA451)=0,16&lt;='01_Вводные'!$B$297),0,('19_Расчет_аналитики'!BA423-'19_Расчет_аналитики'!BA451)*IF('01_Вводные'!$B$239="Да",MeanMinAge16+'19_Расчет_аналитики'!BA560*SUMIF(ThresholdAge16,"&lt;"&amp;'19_Расчет_аналитики'!BA560,WeightedRevAge16)-SUMIF(ThresholdAge16,"&lt;"&amp;'19_Расчет_аналитики'!BA560,WeightedMinAge16),MAX(CapacityAge16*'01_Вводные'!$B$218*'19_Расчет_аналитики'!BA560,MeanMinAge16)))</f>
        <v/>
      </c>
      <c r="BB507">
        <f>IF(OR(('19_Расчет_аналитики'!BB423-'19_Расчет_аналитики'!BB451)=0,16&lt;='01_Вводные'!$B$297),0,('19_Расчет_аналитики'!BB423-'19_Расчет_аналитики'!BB451)*IF('01_Вводные'!$B$239="Да",MeanMinAge16+'19_Расчет_аналитики'!BB560*SUMIF(ThresholdAge16,"&lt;"&amp;'19_Расчет_аналитики'!BB560,WeightedRevAge16)-SUMIF(ThresholdAge16,"&lt;"&amp;'19_Расчет_аналитики'!BB560,WeightedMinAge16),MAX(CapacityAge16*'01_Вводные'!$B$218*'19_Расчет_аналитики'!BB560,MeanMinAge16)))</f>
        <v/>
      </c>
      <c r="BC507">
        <f>IF(OR(('19_Расчет_аналитики'!BC423-'19_Расчет_аналитики'!BC451)=0,16&lt;='01_Вводные'!$B$297),0,('19_Расчет_аналитики'!BC423-'19_Расчет_аналитики'!BC451)*IF('01_Вводные'!$B$239="Да",MeanMinAge16+'19_Расчет_аналитики'!BC560*SUMIF(ThresholdAge16,"&lt;"&amp;'19_Расчет_аналитики'!BC560,WeightedRevAge16)-SUMIF(ThresholdAge16,"&lt;"&amp;'19_Расчет_аналитики'!BC560,WeightedMinAge16),MAX(CapacityAge16*'01_Вводные'!$B$218*'19_Расчет_аналитики'!BC560,MeanMinAge16)))</f>
        <v/>
      </c>
      <c r="BD507">
        <f>IF(OR(('19_Расчет_аналитики'!BD423-'19_Расчет_аналитики'!BD451)=0,16&lt;='01_Вводные'!$B$297),0,('19_Расчет_аналитики'!BD423-'19_Расчет_аналитики'!BD451)*IF('01_Вводные'!$B$239="Да",MeanMinAge16+'19_Расчет_аналитики'!BD560*SUMIF(ThresholdAge16,"&lt;"&amp;'19_Расчет_аналитики'!BD560,WeightedRevAge16)-SUMIF(ThresholdAge16,"&lt;"&amp;'19_Расчет_аналитики'!BD560,WeightedMinAge16),MAX(CapacityAge16*'01_Вводные'!$B$218*'19_Расчет_аналитики'!BD560,MeanMinAge16)))</f>
        <v/>
      </c>
      <c r="BE507">
        <f>IF(OR(('19_Расчет_аналитики'!BE423-'19_Расчет_аналитики'!BE451)=0,16&lt;='01_Вводные'!$B$297),0,('19_Расчет_аналитики'!BE423-'19_Расчет_аналитики'!BE451)*IF('01_Вводные'!$B$239="Да",MeanMinAge16+'19_Расчет_аналитики'!BE560*SUMIF(ThresholdAge16,"&lt;"&amp;'19_Расчет_аналитики'!BE560,WeightedRevAge16)-SUMIF(ThresholdAge16,"&lt;"&amp;'19_Расчет_аналитики'!BE560,WeightedMinAge16),MAX(CapacityAge16*'01_Вводные'!$B$218*'19_Расчет_аналитики'!BE560,MeanMinAge16)))</f>
        <v/>
      </c>
      <c r="BF507">
        <f>IF(OR(('19_Расчет_аналитики'!BF423-'19_Расчет_аналитики'!BF451)=0,16&lt;='01_Вводные'!$B$297),0,('19_Расчет_аналитики'!BF423-'19_Расчет_аналитики'!BF451)*IF('01_Вводные'!$B$239="Да",MeanMinAge16+'19_Расчет_аналитики'!BF560*SUMIF(ThresholdAge16,"&lt;"&amp;'19_Расчет_аналитики'!BF560,WeightedRevAge16)-SUMIF(ThresholdAge16,"&lt;"&amp;'19_Расчет_аналитики'!BF560,WeightedMinAge16),MAX(CapacityAge16*'01_Вводные'!$B$218*'19_Расчет_аналитики'!BF560,MeanMinAge16)))</f>
        <v/>
      </c>
      <c r="BG507">
        <f>IF(OR(('19_Расчет_аналитики'!BG423-'19_Расчет_аналитики'!BG451)=0,16&lt;='01_Вводные'!$B$297),0,('19_Расчет_аналитики'!BG423-'19_Расчет_аналитики'!BG451)*IF('01_Вводные'!$B$239="Да",MeanMinAge16+'19_Расчет_аналитики'!BG560*SUMIF(ThresholdAge16,"&lt;"&amp;'19_Расчет_аналитики'!BG560,WeightedRevAge16)-SUMIF(ThresholdAge16,"&lt;"&amp;'19_Расчет_аналитики'!BG560,WeightedMinAge16),MAX(CapacityAge16*'01_Вводные'!$B$218*'19_Расчет_аналитики'!BG560,MeanMinAge16)))</f>
        <v/>
      </c>
      <c r="BH507">
        <f>IF(OR(('19_Расчет_аналитики'!BH423-'19_Расчет_аналитики'!BH451)=0,16&lt;='01_Вводные'!$B$297),0,('19_Расчет_аналитики'!BH423-'19_Расчет_аналитики'!BH451)*IF('01_Вводные'!$B$239="Да",MeanMinAge16+'19_Расчет_аналитики'!BH560*SUMIF(ThresholdAge16,"&lt;"&amp;'19_Расчет_аналитики'!BH560,WeightedRevAge16)-SUMIF(ThresholdAge16,"&lt;"&amp;'19_Расчет_аналитики'!BH560,WeightedMinAge16),MAX(CapacityAge16*'01_Вводные'!$B$218*'19_Расчет_аналитики'!BH560,MeanMinAge16)))</f>
        <v/>
      </c>
      <c r="BI507">
        <f>IF(OR(('19_Расчет_аналитики'!BI423-'19_Расчет_аналитики'!BI451)=0,16&lt;='01_Вводные'!$B$297),0,('19_Расчет_аналитики'!BI423-'19_Расчет_аналитики'!BI451)*IF('01_Вводные'!$B$239="Да",MeanMinAge16+'19_Расчет_аналитики'!BI560*SUMIF(ThresholdAge16,"&lt;"&amp;'19_Расчет_аналитики'!BI560,WeightedRevAge16)-SUMIF(ThresholdAge16,"&lt;"&amp;'19_Расчет_аналитики'!BI560,WeightedMinAge16),MAX(CapacityAge16*'01_Вводные'!$B$218*'19_Расчет_аналитики'!BI560,MeanMinAge16)))</f>
        <v/>
      </c>
      <c r="BJ507">
        <f>IF(OR(('19_Расчет_аналитики'!BJ423-'19_Расчет_аналитики'!BJ451)=0,16&lt;='01_Вводные'!$B$297),0,('19_Расчет_аналитики'!BJ423-'19_Расчет_аналитики'!BJ451)*IF('01_Вводные'!$B$239="Да",MeanMinAge16+'19_Расчет_аналитики'!BJ560*SUMIF(ThresholdAge16,"&lt;"&amp;'19_Расчет_аналитики'!BJ560,WeightedRevAge16)-SUMIF(ThresholdAge16,"&lt;"&amp;'19_Расчет_аналитики'!BJ560,WeightedMinAge16),MAX(CapacityAge16*'01_Вводные'!$B$218*'19_Расчет_аналитики'!BJ560,MeanMinAge16)))</f>
        <v/>
      </c>
      <c r="BK507">
        <f>IF(OR(('19_Расчет_аналитики'!BK423-'19_Расчет_аналитики'!BK451)=0,16&lt;='01_Вводные'!$B$297),0,('19_Расчет_аналитики'!BK423-'19_Расчет_аналитики'!BK451)*IF('01_Вводные'!$B$239="Да",MeanMinAge16+'19_Расчет_аналитики'!BK560*SUMIF(ThresholdAge16,"&lt;"&amp;'19_Расчет_аналитики'!BK560,WeightedRevAge16)-SUMIF(ThresholdAge16,"&lt;"&amp;'19_Расчет_аналитики'!BK560,WeightedMinAge16),MAX(CapacityAge16*'01_Вводные'!$B$218*'19_Расчет_аналитики'!BK560,MeanMinAge16)))</f>
        <v/>
      </c>
      <c r="BL507">
        <f>IF(OR(('19_Расчет_аналитики'!BL423-'19_Расчет_аналитики'!BL451)=0,16&lt;='01_Вводные'!$B$297),0,('19_Расчет_аналитики'!BL423-'19_Расчет_аналитики'!BL451)*IF('01_Вводные'!$B$239="Да",MeanMinAge16+'19_Расчет_аналитики'!BL560*SUMIF(ThresholdAge16,"&lt;"&amp;'19_Расчет_аналитики'!BL560,WeightedRevAge16)-SUMIF(ThresholdAge16,"&lt;"&amp;'19_Расчет_аналитики'!BL560,WeightedMinAge16),MAX(CapacityAge16*'01_Вводные'!$B$218*'19_Расчет_аналитики'!BL560,MeanMinAge16)))</f>
        <v/>
      </c>
      <c r="BM507">
        <f>IF(OR(('19_Расчет_аналитики'!BM423-'19_Расчет_аналитики'!BM451)=0,16&lt;='01_Вводные'!$B$297),0,('19_Расчет_аналитики'!BM423-'19_Расчет_аналитики'!BM451)*IF('01_Вводные'!$B$239="Да",MeanMinAge16+'19_Расчет_аналитики'!BM560*SUMIF(ThresholdAge16,"&lt;"&amp;'19_Расчет_аналитики'!BM560,WeightedRevAge16)-SUMIF(ThresholdAge16,"&lt;"&amp;'19_Расчет_аналитики'!BM560,WeightedMinAge16),MAX(CapacityAge16*'01_Вводные'!$B$218*'19_Расчет_аналитики'!BM560,MeanMinAge16)))</f>
        <v/>
      </c>
      <c r="BN507">
        <f>IF(OR(('19_Расчет_аналитики'!BN423-'19_Расчет_аналитики'!BN451)=0,16&lt;='01_Вводные'!$B$297),0,('19_Расчет_аналитики'!BN423-'19_Расчет_аналитики'!BN451)*IF('01_Вводные'!$B$239="Да",MeanMinAge16+'19_Расчет_аналитики'!BN560*SUMIF(ThresholdAge16,"&lt;"&amp;'19_Расчет_аналитики'!BN560,WeightedRevAge16)-SUMIF(ThresholdAge16,"&lt;"&amp;'19_Расчет_аналитики'!BN560,WeightedMinAge16),MAX(CapacityAge16*'01_Вводные'!$B$218*'19_Расчет_аналитики'!BN560,MeanMinAge16)))</f>
        <v/>
      </c>
      <c r="BO507">
        <f>IF(OR(('19_Расчет_аналитики'!BO423-'19_Расчет_аналитики'!BO451)=0,16&lt;='01_Вводные'!$B$297),0,('19_Расчет_аналитики'!BO423-'19_Расчет_аналитики'!BO451)*IF('01_Вводные'!$B$239="Да",MeanMinAge16+'19_Расчет_аналитики'!BO560*SUMIF(ThresholdAge16,"&lt;"&amp;'19_Расчет_аналитики'!BO560,WeightedRevAge16)-SUMIF(ThresholdAge16,"&lt;"&amp;'19_Расчет_аналитики'!BO560,WeightedMinAge16),MAX(CapacityAge16*'01_Вводные'!$B$218*'19_Расчет_аналитики'!BO560,MeanMinAge16)))</f>
        <v/>
      </c>
    </row>
    <row r="508">
      <c r="B508">
        <f>IF(OR(('06_Сеть_и_дети'!B69-'06_Сеть_и_дети'!B97)=0,17&lt;='01_Вводные'!$B$297),0,('06_Сеть_и_дети'!B69-'06_Сеть_и_дети'!B97)*IF('01_Вводные'!$B$239="Да",MeanMinAge17+'19_Расчет_аналитики'!B560*SUMIF(ThresholdAge17,"&lt;"&amp;'19_Расчет_аналитики'!B560,WeightedRevAge17)-SUMIF(ThresholdAge17,"&lt;"&amp;'19_Расчет_аналитики'!B560,WeightedMinAge17),MAX(CapacityAge17*'01_Вводные'!$B$218*'19_Расчет_аналитики'!B560,MeanMinAge17)))</f>
        <v/>
      </c>
      <c r="C508">
        <f>IF(OR(('06_Сеть_и_дети'!C69-'06_Сеть_и_дети'!C97)=0,17&lt;='01_Вводные'!$B$297),0,('06_Сеть_и_дети'!C69-'06_Сеть_и_дети'!C97)*IF('01_Вводные'!$B$239="Да",MeanMinAge17+'19_Расчет_аналитики'!C560*SUMIF(ThresholdAge17,"&lt;"&amp;'19_Расчет_аналитики'!C560,WeightedRevAge17)-SUMIF(ThresholdAge17,"&lt;"&amp;'19_Расчет_аналитики'!C560,WeightedMinAge17),MAX(CapacityAge17*'01_Вводные'!$B$218*'19_Расчет_аналитики'!C560,MeanMinAge17)))</f>
        <v/>
      </c>
      <c r="D508">
        <f>IF(OR(('06_Сеть_и_дети'!D69-'06_Сеть_и_дети'!D97)=0,17&lt;='01_Вводные'!$B$297),0,('06_Сеть_и_дети'!D69-'06_Сеть_и_дети'!D97)*IF('01_Вводные'!$B$239="Да",MeanMinAge17+'19_Расчет_аналитики'!D560*SUMIF(ThresholdAge17,"&lt;"&amp;'19_Расчет_аналитики'!D560,WeightedRevAge17)-SUMIF(ThresholdAge17,"&lt;"&amp;'19_Расчет_аналитики'!D560,WeightedMinAge17),MAX(CapacityAge17*'01_Вводные'!$B$218*'19_Расчет_аналитики'!D560,MeanMinAge17)))</f>
        <v/>
      </c>
      <c r="E508">
        <f>IF(OR(('06_Сеть_и_дети'!E69-'06_Сеть_и_дети'!E97)=0,17&lt;='01_Вводные'!$B$297),0,('06_Сеть_и_дети'!E69-'06_Сеть_и_дети'!E97)*IF('01_Вводные'!$B$239="Да",MeanMinAge17+'19_Расчет_аналитики'!E560*SUMIF(ThresholdAge17,"&lt;"&amp;'19_Расчет_аналитики'!E560,WeightedRevAge17)-SUMIF(ThresholdAge17,"&lt;"&amp;'19_Расчет_аналитики'!E560,WeightedMinAge17),MAX(CapacityAge17*'01_Вводные'!$B$218*'19_Расчет_аналитики'!E560,MeanMinAge17)))</f>
        <v/>
      </c>
      <c r="F508">
        <f>IF(OR(('06_Сеть_и_дети'!F69-'06_Сеть_и_дети'!F97)=0,17&lt;='01_Вводные'!$B$297),0,('06_Сеть_и_дети'!F69-'06_Сеть_и_дети'!F97)*IF('01_Вводные'!$B$239="Да",MeanMinAge17+'19_Расчет_аналитики'!F560*SUMIF(ThresholdAge17,"&lt;"&amp;'19_Расчет_аналитики'!F560,WeightedRevAge17)-SUMIF(ThresholdAge17,"&lt;"&amp;'19_Расчет_аналитики'!F560,WeightedMinAge17),MAX(CapacityAge17*'01_Вводные'!$B$218*'19_Расчет_аналитики'!F560,MeanMinAge17)))</f>
        <v/>
      </c>
      <c r="G508">
        <f>IF(OR(('06_Сеть_и_дети'!G69-'06_Сеть_и_дети'!G97)=0,17&lt;='01_Вводные'!$B$297),0,('06_Сеть_и_дети'!G69-'06_Сеть_и_дети'!G97)*IF('01_Вводные'!$B$239="Да",MeanMinAge17+'19_Расчет_аналитики'!G560*SUMIF(ThresholdAge17,"&lt;"&amp;'19_Расчет_аналитики'!G560,WeightedRevAge17)-SUMIF(ThresholdAge17,"&lt;"&amp;'19_Расчет_аналитики'!G560,WeightedMinAge17),MAX(CapacityAge17*'01_Вводные'!$B$218*'19_Расчет_аналитики'!G560,MeanMinAge17)))</f>
        <v/>
      </c>
      <c r="H508">
        <f>IF(OR(('06_Сеть_и_дети'!H69-'06_Сеть_и_дети'!H97)=0,17&lt;='01_Вводные'!$B$297),0,('06_Сеть_и_дети'!H69-'06_Сеть_и_дети'!H97)*IF('01_Вводные'!$B$239="Да",MeanMinAge17+'19_Расчет_аналитики'!H560*SUMIF(ThresholdAge17,"&lt;"&amp;'19_Расчет_аналитики'!H560,WeightedRevAge17)-SUMIF(ThresholdAge17,"&lt;"&amp;'19_Расчет_аналитики'!H560,WeightedMinAge17),MAX(CapacityAge17*'01_Вводные'!$B$218*'19_Расчет_аналитики'!H560,MeanMinAge17)))</f>
        <v/>
      </c>
      <c r="I508">
        <f>IF(OR(('06_Сеть_и_дети'!I69-'06_Сеть_и_дети'!I97)=0,17&lt;='01_Вводные'!$B$297),0,('06_Сеть_и_дети'!I69-'06_Сеть_и_дети'!I97)*IF('01_Вводные'!$B$239="Да",MeanMinAge17+'19_Расчет_аналитики'!I560*SUMIF(ThresholdAge17,"&lt;"&amp;'19_Расчет_аналитики'!I560,WeightedRevAge17)-SUMIF(ThresholdAge17,"&lt;"&amp;'19_Расчет_аналитики'!I560,WeightedMinAge17),MAX(CapacityAge17*'01_Вводные'!$B$218*'19_Расчет_аналитики'!I560,MeanMinAge17)))</f>
        <v/>
      </c>
      <c r="J508">
        <f>IF(OR(('06_Сеть_и_дети'!J69-'06_Сеть_и_дети'!J97)=0,17&lt;='01_Вводные'!$B$297),0,('06_Сеть_и_дети'!J69-'06_Сеть_и_дети'!J97)*IF('01_Вводные'!$B$239="Да",MeanMinAge17+'19_Расчет_аналитики'!J560*SUMIF(ThresholdAge17,"&lt;"&amp;'19_Расчет_аналитики'!J560,WeightedRevAge17)-SUMIF(ThresholdAge17,"&lt;"&amp;'19_Расчет_аналитики'!J560,WeightedMinAge17),MAX(CapacityAge17*'01_Вводные'!$B$218*'19_Расчет_аналитики'!J560,MeanMinAge17)))</f>
        <v/>
      </c>
      <c r="K508">
        <f>IF(OR(('06_Сеть_и_дети'!K69-'06_Сеть_и_дети'!K97)=0,17&lt;='01_Вводные'!$B$297),0,('06_Сеть_и_дети'!K69-'06_Сеть_и_дети'!K97)*IF('01_Вводные'!$B$239="Да",MeanMinAge17+'19_Расчет_аналитики'!K560*SUMIF(ThresholdAge17,"&lt;"&amp;'19_Расчет_аналитики'!K560,WeightedRevAge17)-SUMIF(ThresholdAge17,"&lt;"&amp;'19_Расчет_аналитики'!K560,WeightedMinAge17),MAX(CapacityAge17*'01_Вводные'!$B$218*'19_Расчет_аналитики'!K560,MeanMinAge17)))</f>
        <v/>
      </c>
      <c r="L508">
        <f>IF(OR(('06_Сеть_и_дети'!L69-'06_Сеть_и_дети'!L97)=0,17&lt;='01_Вводные'!$B$297),0,('06_Сеть_и_дети'!L69-'06_Сеть_и_дети'!L97)*IF('01_Вводные'!$B$239="Да",MeanMinAge17+'19_Расчет_аналитики'!L560*SUMIF(ThresholdAge17,"&lt;"&amp;'19_Расчет_аналитики'!L560,WeightedRevAge17)-SUMIF(ThresholdAge17,"&lt;"&amp;'19_Расчет_аналитики'!L560,WeightedMinAge17),MAX(CapacityAge17*'01_Вводные'!$B$218*'19_Расчет_аналитики'!L560,MeanMinAge17)))</f>
        <v/>
      </c>
      <c r="M508">
        <f>IF(OR(('06_Сеть_и_дети'!M69-'06_Сеть_и_дети'!M97)=0,17&lt;='01_Вводные'!$B$297),0,('06_Сеть_и_дети'!M69-'06_Сеть_и_дети'!M97)*IF('01_Вводные'!$B$239="Да",MeanMinAge17+'19_Расчет_аналитики'!M560*SUMIF(ThresholdAge17,"&lt;"&amp;'19_Расчет_аналитики'!M560,WeightedRevAge17)-SUMIF(ThresholdAge17,"&lt;"&amp;'19_Расчет_аналитики'!M560,WeightedMinAge17),MAX(CapacityAge17*'01_Вводные'!$B$218*'19_Расчет_аналитики'!M560,MeanMinAge17)))</f>
        <v/>
      </c>
      <c r="N508">
        <f>IF(OR(('06_Сеть_и_дети'!N69-'06_Сеть_и_дети'!N97)=0,17&lt;='01_Вводные'!$B$297),0,('06_Сеть_и_дети'!N69-'06_Сеть_и_дети'!N97)*IF('01_Вводные'!$B$239="Да",MeanMinAge17+'19_Расчет_аналитики'!N560*SUMIF(ThresholdAge17,"&lt;"&amp;'19_Расчет_аналитики'!N560,WeightedRevAge17)-SUMIF(ThresholdAge17,"&lt;"&amp;'19_Расчет_аналитики'!N560,WeightedMinAge17),MAX(CapacityAge17*'01_Вводные'!$B$218*'19_Расчет_аналитики'!N560,MeanMinAge17)))</f>
        <v/>
      </c>
      <c r="O508">
        <f>IF(OR(('06_Сеть_и_дети'!O69-'06_Сеть_и_дети'!O97)=0,17&lt;='01_Вводные'!$B$297),0,('06_Сеть_и_дети'!O69-'06_Сеть_и_дети'!O97)*IF('01_Вводные'!$B$239="Да",MeanMinAge17+'19_Расчет_аналитики'!O560*SUMIF(ThresholdAge17,"&lt;"&amp;'19_Расчет_аналитики'!O560,WeightedRevAge17)-SUMIF(ThresholdAge17,"&lt;"&amp;'19_Расчет_аналитики'!O560,WeightedMinAge17),MAX(CapacityAge17*'01_Вводные'!$B$218*'19_Расчет_аналитики'!O560,MeanMinAge17)))</f>
        <v/>
      </c>
      <c r="P508">
        <f>IF(OR(('06_Сеть_и_дети'!P69-'06_Сеть_и_дети'!P97)=0,17&lt;='01_Вводные'!$B$297),0,('06_Сеть_и_дети'!P69-'06_Сеть_и_дети'!P97)*IF('01_Вводные'!$B$239="Да",MeanMinAge17+'19_Расчет_аналитики'!P560*SUMIF(ThresholdAge17,"&lt;"&amp;'19_Расчет_аналитики'!P560,WeightedRevAge17)-SUMIF(ThresholdAge17,"&lt;"&amp;'19_Расчет_аналитики'!P560,WeightedMinAge17),MAX(CapacityAge17*'01_Вводные'!$B$218*'19_Расчет_аналитики'!P560,MeanMinAge17)))</f>
        <v/>
      </c>
      <c r="Q508">
        <f>IF(OR(('06_Сеть_и_дети'!Q69-'06_Сеть_и_дети'!Q97)=0,17&lt;='01_Вводные'!$B$297),0,('06_Сеть_и_дети'!Q69-'06_Сеть_и_дети'!Q97)*IF('01_Вводные'!$B$239="Да",MeanMinAge17+'19_Расчет_аналитики'!Q560*SUMIF(ThresholdAge17,"&lt;"&amp;'19_Расчет_аналитики'!Q560,WeightedRevAge17)-SUMIF(ThresholdAge17,"&lt;"&amp;'19_Расчет_аналитики'!Q560,WeightedMinAge17),MAX(CapacityAge17*'01_Вводные'!$B$218*'19_Расчет_аналитики'!Q560,MeanMinAge17)))</f>
        <v/>
      </c>
      <c r="R508">
        <f>IF(OR(('19_Расчет_аналитики'!R424-'19_Расчет_аналитики'!R452)=0,17&lt;='01_Вводные'!$B$297),0,('19_Расчет_аналитики'!R424-'19_Расчет_аналитики'!R452)*IF('01_Вводные'!$B$239="Да",MeanMinAge17+'19_Расчет_аналитики'!R560*SUMIF(ThresholdAge17,"&lt;"&amp;'19_Расчет_аналитики'!R560,WeightedRevAge17)-SUMIF(ThresholdAge17,"&lt;"&amp;'19_Расчет_аналитики'!R560,WeightedMinAge17),MAX(CapacityAge17*'01_Вводные'!$B$218*'19_Расчет_аналитики'!R560,MeanMinAge17)))</f>
        <v/>
      </c>
      <c r="S508">
        <f>IF(OR(('19_Расчет_аналитики'!S424-'19_Расчет_аналитики'!S452)=0,17&lt;='01_Вводные'!$B$297),0,('19_Расчет_аналитики'!S424-'19_Расчет_аналитики'!S452)*IF('01_Вводные'!$B$239="Да",MeanMinAge17+'19_Расчет_аналитики'!S560*SUMIF(ThresholdAge17,"&lt;"&amp;'19_Расчет_аналитики'!S560,WeightedRevAge17)-SUMIF(ThresholdAge17,"&lt;"&amp;'19_Расчет_аналитики'!S560,WeightedMinAge17),MAX(CapacityAge17*'01_Вводные'!$B$218*'19_Расчет_аналитики'!S560,MeanMinAge17)))</f>
        <v/>
      </c>
      <c r="T508">
        <f>IF(OR(('19_Расчет_аналитики'!T424-'19_Расчет_аналитики'!T452)=0,17&lt;='01_Вводные'!$B$297),0,('19_Расчет_аналитики'!T424-'19_Расчет_аналитики'!T452)*IF('01_Вводные'!$B$239="Да",MeanMinAge17+'19_Расчет_аналитики'!T560*SUMIF(ThresholdAge17,"&lt;"&amp;'19_Расчет_аналитики'!T560,WeightedRevAge17)-SUMIF(ThresholdAge17,"&lt;"&amp;'19_Расчет_аналитики'!T560,WeightedMinAge17),MAX(CapacityAge17*'01_Вводные'!$B$218*'19_Расчет_аналитики'!T560,MeanMinAge17)))</f>
        <v/>
      </c>
      <c r="U508">
        <f>IF(OR(('19_Расчет_аналитики'!U424-'19_Расчет_аналитики'!U452)=0,17&lt;='01_Вводные'!$B$297),0,('19_Расчет_аналитики'!U424-'19_Расчет_аналитики'!U452)*IF('01_Вводные'!$B$239="Да",MeanMinAge17+'19_Расчет_аналитики'!U560*SUMIF(ThresholdAge17,"&lt;"&amp;'19_Расчет_аналитики'!U560,WeightedRevAge17)-SUMIF(ThresholdAge17,"&lt;"&amp;'19_Расчет_аналитики'!U560,WeightedMinAge17),MAX(CapacityAge17*'01_Вводные'!$B$218*'19_Расчет_аналитики'!U560,MeanMinAge17)))</f>
        <v/>
      </c>
      <c r="V508">
        <f>IF(OR(('19_Расчет_аналитики'!V424-'19_Расчет_аналитики'!V452)=0,17&lt;='01_Вводные'!$B$297),0,('19_Расчет_аналитики'!V424-'19_Расчет_аналитики'!V452)*IF('01_Вводные'!$B$239="Да",MeanMinAge17+'19_Расчет_аналитики'!V560*SUMIF(ThresholdAge17,"&lt;"&amp;'19_Расчет_аналитики'!V560,WeightedRevAge17)-SUMIF(ThresholdAge17,"&lt;"&amp;'19_Расчет_аналитики'!V560,WeightedMinAge17),MAX(CapacityAge17*'01_Вводные'!$B$218*'19_Расчет_аналитики'!V560,MeanMinAge17)))</f>
        <v/>
      </c>
      <c r="W508">
        <f>IF(OR(('19_Расчет_аналитики'!W424-'19_Расчет_аналитики'!W452)=0,17&lt;='01_Вводные'!$B$297),0,('19_Расчет_аналитики'!W424-'19_Расчет_аналитики'!W452)*IF('01_Вводные'!$B$239="Да",MeanMinAge17+'19_Расчет_аналитики'!W560*SUMIF(ThresholdAge17,"&lt;"&amp;'19_Расчет_аналитики'!W560,WeightedRevAge17)-SUMIF(ThresholdAge17,"&lt;"&amp;'19_Расчет_аналитики'!W560,WeightedMinAge17),MAX(CapacityAge17*'01_Вводные'!$B$218*'19_Расчет_аналитики'!W560,MeanMinAge17)))</f>
        <v/>
      </c>
      <c r="X508">
        <f>IF(OR(('19_Расчет_аналитики'!X424-'19_Расчет_аналитики'!X452)=0,17&lt;='01_Вводные'!$B$297),0,('19_Расчет_аналитики'!X424-'19_Расчет_аналитики'!X452)*IF('01_Вводные'!$B$239="Да",MeanMinAge17+'19_Расчет_аналитики'!X560*SUMIF(ThresholdAge17,"&lt;"&amp;'19_Расчет_аналитики'!X560,WeightedRevAge17)-SUMIF(ThresholdAge17,"&lt;"&amp;'19_Расчет_аналитики'!X560,WeightedMinAge17),MAX(CapacityAge17*'01_Вводные'!$B$218*'19_Расчет_аналитики'!X560,MeanMinAge17)))</f>
        <v/>
      </c>
      <c r="Y508">
        <f>IF(OR(('19_Расчет_аналитики'!Y424-'19_Расчет_аналитики'!Y452)=0,17&lt;='01_Вводные'!$B$297),0,('19_Расчет_аналитики'!Y424-'19_Расчет_аналитики'!Y452)*IF('01_Вводные'!$B$239="Да",MeanMinAge17+'19_Расчет_аналитики'!Y560*SUMIF(ThresholdAge17,"&lt;"&amp;'19_Расчет_аналитики'!Y560,WeightedRevAge17)-SUMIF(ThresholdAge17,"&lt;"&amp;'19_Расчет_аналитики'!Y560,WeightedMinAge17),MAX(CapacityAge17*'01_Вводные'!$B$218*'19_Расчет_аналитики'!Y560,MeanMinAge17)))</f>
        <v/>
      </c>
      <c r="Z508">
        <f>IF(OR(('19_Расчет_аналитики'!Z424-'19_Расчет_аналитики'!Z452)=0,17&lt;='01_Вводные'!$B$297),0,('19_Расчет_аналитики'!Z424-'19_Расчет_аналитики'!Z452)*IF('01_Вводные'!$B$239="Да",MeanMinAge17+'19_Расчет_аналитики'!Z560*SUMIF(ThresholdAge17,"&lt;"&amp;'19_Расчет_аналитики'!Z560,WeightedRevAge17)-SUMIF(ThresholdAge17,"&lt;"&amp;'19_Расчет_аналитики'!Z560,WeightedMinAge17),MAX(CapacityAge17*'01_Вводные'!$B$218*'19_Расчет_аналитики'!Z560,MeanMinAge17)))</f>
        <v/>
      </c>
      <c r="AA508">
        <f>IF(OR(('19_Расчет_аналитики'!AA424-'19_Расчет_аналитики'!AA452)=0,17&lt;='01_Вводные'!$B$297),0,('19_Расчет_аналитики'!AA424-'19_Расчет_аналитики'!AA452)*IF('01_Вводные'!$B$239="Да",MeanMinAge17+'19_Расчет_аналитики'!AA560*SUMIF(ThresholdAge17,"&lt;"&amp;'19_Расчет_аналитики'!AA560,WeightedRevAge17)-SUMIF(ThresholdAge17,"&lt;"&amp;'19_Расчет_аналитики'!AA560,WeightedMinAge17),MAX(CapacityAge17*'01_Вводные'!$B$218*'19_Расчет_аналитики'!AA560,MeanMinAge17)))</f>
        <v/>
      </c>
      <c r="AB508">
        <f>IF(OR(('19_Расчет_аналитики'!AB424-'19_Расчет_аналитики'!AB452)=0,17&lt;='01_Вводные'!$B$297),0,('19_Расчет_аналитики'!AB424-'19_Расчет_аналитики'!AB452)*IF('01_Вводные'!$B$239="Да",MeanMinAge17+'19_Расчет_аналитики'!AB560*SUMIF(ThresholdAge17,"&lt;"&amp;'19_Расчет_аналитики'!AB560,WeightedRevAge17)-SUMIF(ThresholdAge17,"&lt;"&amp;'19_Расчет_аналитики'!AB560,WeightedMinAge17),MAX(CapacityAge17*'01_Вводные'!$B$218*'19_Расчет_аналитики'!AB560,MeanMinAge17)))</f>
        <v/>
      </c>
      <c r="AC508">
        <f>IF(OR(('19_Расчет_аналитики'!AC424-'19_Расчет_аналитики'!AC452)=0,17&lt;='01_Вводные'!$B$297),0,('19_Расчет_аналитики'!AC424-'19_Расчет_аналитики'!AC452)*IF('01_Вводные'!$B$239="Да",MeanMinAge17+'19_Расчет_аналитики'!AC560*SUMIF(ThresholdAge17,"&lt;"&amp;'19_Расчет_аналитики'!AC560,WeightedRevAge17)-SUMIF(ThresholdAge17,"&lt;"&amp;'19_Расчет_аналитики'!AC560,WeightedMinAge17),MAX(CapacityAge17*'01_Вводные'!$B$218*'19_Расчет_аналитики'!AC560,MeanMinAge17)))</f>
        <v/>
      </c>
      <c r="AD508">
        <f>IF(OR(('19_Расчет_аналитики'!AD424-'19_Расчет_аналитики'!AD452)=0,17&lt;='01_Вводные'!$B$297),0,('19_Расчет_аналитики'!AD424-'19_Расчет_аналитики'!AD452)*IF('01_Вводные'!$B$239="Да",MeanMinAge17+'19_Расчет_аналитики'!AD560*SUMIF(ThresholdAge17,"&lt;"&amp;'19_Расчет_аналитики'!AD560,WeightedRevAge17)-SUMIF(ThresholdAge17,"&lt;"&amp;'19_Расчет_аналитики'!AD560,WeightedMinAge17),MAX(CapacityAge17*'01_Вводные'!$B$218*'19_Расчет_аналитики'!AD560,MeanMinAge17)))</f>
        <v/>
      </c>
      <c r="AE508">
        <f>IF(OR(('19_Расчет_аналитики'!AE424-'19_Расчет_аналитики'!AE452)=0,17&lt;='01_Вводные'!$B$297),0,('19_Расчет_аналитики'!AE424-'19_Расчет_аналитики'!AE452)*IF('01_Вводные'!$B$239="Да",MeanMinAge17+'19_Расчет_аналитики'!AE560*SUMIF(ThresholdAge17,"&lt;"&amp;'19_Расчет_аналитики'!AE560,WeightedRevAge17)-SUMIF(ThresholdAge17,"&lt;"&amp;'19_Расчет_аналитики'!AE560,WeightedMinAge17),MAX(CapacityAge17*'01_Вводные'!$B$218*'19_Расчет_аналитики'!AE560,MeanMinAge17)))</f>
        <v/>
      </c>
      <c r="AF508">
        <f>IF(OR(('19_Расчет_аналитики'!AF424-'19_Расчет_аналитики'!AF452)=0,17&lt;='01_Вводные'!$B$297),0,('19_Расчет_аналитики'!AF424-'19_Расчет_аналитики'!AF452)*IF('01_Вводные'!$B$239="Да",MeanMinAge17+'19_Расчет_аналитики'!AF560*SUMIF(ThresholdAge17,"&lt;"&amp;'19_Расчет_аналитики'!AF560,WeightedRevAge17)-SUMIF(ThresholdAge17,"&lt;"&amp;'19_Расчет_аналитики'!AF560,WeightedMinAge17),MAX(CapacityAge17*'01_Вводные'!$B$218*'19_Расчет_аналитики'!AF560,MeanMinAge17)))</f>
        <v/>
      </c>
      <c r="AG508">
        <f>IF(OR(('19_Расчет_аналитики'!AG424-'19_Расчет_аналитики'!AG452)=0,17&lt;='01_Вводные'!$B$297),0,('19_Расчет_аналитики'!AG424-'19_Расчет_аналитики'!AG452)*IF('01_Вводные'!$B$239="Да",MeanMinAge17+'19_Расчет_аналитики'!AG560*SUMIF(ThresholdAge17,"&lt;"&amp;'19_Расчет_аналитики'!AG560,WeightedRevAge17)-SUMIF(ThresholdAge17,"&lt;"&amp;'19_Расчет_аналитики'!AG560,WeightedMinAge17),MAX(CapacityAge17*'01_Вводные'!$B$218*'19_Расчет_аналитики'!AG560,MeanMinAge17)))</f>
        <v/>
      </c>
      <c r="AH508">
        <f>IF(OR(('19_Расчет_аналитики'!AH424-'19_Расчет_аналитики'!AH452)=0,17&lt;='01_Вводные'!$B$297),0,('19_Расчет_аналитики'!AH424-'19_Расчет_аналитики'!AH452)*IF('01_Вводные'!$B$239="Да",MeanMinAge17+'19_Расчет_аналитики'!AH560*SUMIF(ThresholdAge17,"&lt;"&amp;'19_Расчет_аналитики'!AH560,WeightedRevAge17)-SUMIF(ThresholdAge17,"&lt;"&amp;'19_Расчет_аналитики'!AH560,WeightedMinAge17),MAX(CapacityAge17*'01_Вводные'!$B$218*'19_Расчет_аналитики'!AH560,MeanMinAge17)))</f>
        <v/>
      </c>
      <c r="AI508">
        <f>IF(OR(('19_Расчет_аналитики'!AI424-'19_Расчет_аналитики'!AI452)=0,17&lt;='01_Вводные'!$B$297),0,('19_Расчет_аналитики'!AI424-'19_Расчет_аналитики'!AI452)*IF('01_Вводные'!$B$239="Да",MeanMinAge17+'19_Расчет_аналитики'!AI560*SUMIF(ThresholdAge17,"&lt;"&amp;'19_Расчет_аналитики'!AI560,WeightedRevAge17)-SUMIF(ThresholdAge17,"&lt;"&amp;'19_Расчет_аналитики'!AI560,WeightedMinAge17),MAX(CapacityAge17*'01_Вводные'!$B$218*'19_Расчет_аналитики'!AI560,MeanMinAge17)))</f>
        <v/>
      </c>
      <c r="AJ508">
        <f>IF(OR(('19_Расчет_аналитики'!AJ424-'19_Расчет_аналитики'!AJ452)=0,17&lt;='01_Вводные'!$B$297),0,('19_Расчет_аналитики'!AJ424-'19_Расчет_аналитики'!AJ452)*IF('01_Вводные'!$B$239="Да",MeanMinAge17+'19_Расчет_аналитики'!AJ560*SUMIF(ThresholdAge17,"&lt;"&amp;'19_Расчет_аналитики'!AJ560,WeightedRevAge17)-SUMIF(ThresholdAge17,"&lt;"&amp;'19_Расчет_аналитики'!AJ560,WeightedMinAge17),MAX(CapacityAge17*'01_Вводные'!$B$218*'19_Расчет_аналитики'!AJ560,MeanMinAge17)))</f>
        <v/>
      </c>
      <c r="AK508">
        <f>IF(OR(('19_Расчет_аналитики'!AK424-'19_Расчет_аналитики'!AK452)=0,17&lt;='01_Вводные'!$B$297),0,('19_Расчет_аналитики'!AK424-'19_Расчет_аналитики'!AK452)*IF('01_Вводные'!$B$239="Да",MeanMinAge17+'19_Расчет_аналитики'!AK560*SUMIF(ThresholdAge17,"&lt;"&amp;'19_Расчет_аналитики'!AK560,WeightedRevAge17)-SUMIF(ThresholdAge17,"&lt;"&amp;'19_Расчет_аналитики'!AK560,WeightedMinAge17),MAX(CapacityAge17*'01_Вводные'!$B$218*'19_Расчет_аналитики'!AK560,MeanMinAge17)))</f>
        <v/>
      </c>
      <c r="AL508">
        <f>IF(OR(('19_Расчет_аналитики'!AL424-'19_Расчет_аналитики'!AL452)=0,17&lt;='01_Вводные'!$B$297),0,('19_Расчет_аналитики'!AL424-'19_Расчет_аналитики'!AL452)*IF('01_Вводные'!$B$239="Да",MeanMinAge17+'19_Расчет_аналитики'!AL560*SUMIF(ThresholdAge17,"&lt;"&amp;'19_Расчет_аналитики'!AL560,WeightedRevAge17)-SUMIF(ThresholdAge17,"&lt;"&amp;'19_Расчет_аналитики'!AL560,WeightedMinAge17),MAX(CapacityAge17*'01_Вводные'!$B$218*'19_Расчет_аналитики'!AL560,MeanMinAge17)))</f>
        <v/>
      </c>
      <c r="AM508">
        <f>IF(OR(('19_Расчет_аналитики'!AM424-'19_Расчет_аналитики'!AM452)=0,17&lt;='01_Вводные'!$B$297),0,('19_Расчет_аналитики'!AM424-'19_Расчет_аналитики'!AM452)*IF('01_Вводные'!$B$239="Да",MeanMinAge17+'19_Расчет_аналитики'!AM560*SUMIF(ThresholdAge17,"&lt;"&amp;'19_Расчет_аналитики'!AM560,WeightedRevAge17)-SUMIF(ThresholdAge17,"&lt;"&amp;'19_Расчет_аналитики'!AM560,WeightedMinAge17),MAX(CapacityAge17*'01_Вводные'!$B$218*'19_Расчет_аналитики'!AM560,MeanMinAge17)))</f>
        <v/>
      </c>
      <c r="AN508">
        <f>IF(OR(('19_Расчет_аналитики'!AN424-'19_Расчет_аналитики'!AN452)=0,17&lt;='01_Вводные'!$B$297),0,('19_Расчет_аналитики'!AN424-'19_Расчет_аналитики'!AN452)*IF('01_Вводные'!$B$239="Да",MeanMinAge17+'19_Расчет_аналитики'!AN560*SUMIF(ThresholdAge17,"&lt;"&amp;'19_Расчет_аналитики'!AN560,WeightedRevAge17)-SUMIF(ThresholdAge17,"&lt;"&amp;'19_Расчет_аналитики'!AN560,WeightedMinAge17),MAX(CapacityAge17*'01_Вводные'!$B$218*'19_Расчет_аналитики'!AN560,MeanMinAge17)))</f>
        <v/>
      </c>
      <c r="AO508">
        <f>IF(OR(('19_Расчет_аналитики'!AO424-'19_Расчет_аналитики'!AO452)=0,17&lt;='01_Вводные'!$B$297),0,('19_Расчет_аналитики'!AO424-'19_Расчет_аналитики'!AO452)*IF('01_Вводные'!$B$239="Да",MeanMinAge17+'19_Расчет_аналитики'!AO560*SUMIF(ThresholdAge17,"&lt;"&amp;'19_Расчет_аналитики'!AO560,WeightedRevAge17)-SUMIF(ThresholdAge17,"&lt;"&amp;'19_Расчет_аналитики'!AO560,WeightedMinAge17),MAX(CapacityAge17*'01_Вводные'!$B$218*'19_Расчет_аналитики'!AO560,MeanMinAge17)))</f>
        <v/>
      </c>
      <c r="AP508">
        <f>IF(OR(('19_Расчет_аналитики'!AP424-'19_Расчет_аналитики'!AP452)=0,17&lt;='01_Вводные'!$B$297),0,('19_Расчет_аналитики'!AP424-'19_Расчет_аналитики'!AP452)*IF('01_Вводные'!$B$239="Да",MeanMinAge17+'19_Расчет_аналитики'!AP560*SUMIF(ThresholdAge17,"&lt;"&amp;'19_Расчет_аналитики'!AP560,WeightedRevAge17)-SUMIF(ThresholdAge17,"&lt;"&amp;'19_Расчет_аналитики'!AP560,WeightedMinAge17),MAX(CapacityAge17*'01_Вводные'!$B$218*'19_Расчет_аналитики'!AP560,MeanMinAge17)))</f>
        <v/>
      </c>
      <c r="AQ508">
        <f>IF(OR(('19_Расчет_аналитики'!AQ424-'19_Расчет_аналитики'!AQ452)=0,17&lt;='01_Вводные'!$B$297),0,('19_Расчет_аналитики'!AQ424-'19_Расчет_аналитики'!AQ452)*IF('01_Вводные'!$B$239="Да",MeanMinAge17+'19_Расчет_аналитики'!AQ560*SUMIF(ThresholdAge17,"&lt;"&amp;'19_Расчет_аналитики'!AQ560,WeightedRevAge17)-SUMIF(ThresholdAge17,"&lt;"&amp;'19_Расчет_аналитики'!AQ560,WeightedMinAge17),MAX(CapacityAge17*'01_Вводные'!$B$218*'19_Расчет_аналитики'!AQ560,MeanMinAge17)))</f>
        <v/>
      </c>
      <c r="AR508">
        <f>IF(OR(('19_Расчет_аналитики'!AR424-'19_Расчет_аналитики'!AR452)=0,17&lt;='01_Вводные'!$B$297),0,('19_Расчет_аналитики'!AR424-'19_Расчет_аналитики'!AR452)*IF('01_Вводные'!$B$239="Да",MeanMinAge17+'19_Расчет_аналитики'!AR560*SUMIF(ThresholdAge17,"&lt;"&amp;'19_Расчет_аналитики'!AR560,WeightedRevAge17)-SUMIF(ThresholdAge17,"&lt;"&amp;'19_Расчет_аналитики'!AR560,WeightedMinAge17),MAX(CapacityAge17*'01_Вводные'!$B$218*'19_Расчет_аналитики'!AR560,MeanMinAge17)))</f>
        <v/>
      </c>
      <c r="AS508">
        <f>IF(OR(('19_Расчет_аналитики'!AS424-'19_Расчет_аналитики'!AS452)=0,17&lt;='01_Вводные'!$B$297),0,('19_Расчет_аналитики'!AS424-'19_Расчет_аналитики'!AS452)*IF('01_Вводные'!$B$239="Да",MeanMinAge17+'19_Расчет_аналитики'!AS560*SUMIF(ThresholdAge17,"&lt;"&amp;'19_Расчет_аналитики'!AS560,WeightedRevAge17)-SUMIF(ThresholdAge17,"&lt;"&amp;'19_Расчет_аналитики'!AS560,WeightedMinAge17),MAX(CapacityAge17*'01_Вводные'!$B$218*'19_Расчет_аналитики'!AS560,MeanMinAge17)))</f>
        <v/>
      </c>
      <c r="AT508">
        <f>IF(OR(('19_Расчет_аналитики'!AT424-'19_Расчет_аналитики'!AT452)=0,17&lt;='01_Вводные'!$B$297),0,('19_Расчет_аналитики'!AT424-'19_Расчет_аналитики'!AT452)*IF('01_Вводные'!$B$239="Да",MeanMinAge17+'19_Расчет_аналитики'!AT560*SUMIF(ThresholdAge17,"&lt;"&amp;'19_Расчет_аналитики'!AT560,WeightedRevAge17)-SUMIF(ThresholdAge17,"&lt;"&amp;'19_Расчет_аналитики'!AT560,WeightedMinAge17),MAX(CapacityAge17*'01_Вводные'!$B$218*'19_Расчет_аналитики'!AT560,MeanMinAge17)))</f>
        <v/>
      </c>
      <c r="AU508">
        <f>IF(OR(('19_Расчет_аналитики'!AU424-'19_Расчет_аналитики'!AU452)=0,17&lt;='01_Вводные'!$B$297),0,('19_Расчет_аналитики'!AU424-'19_Расчет_аналитики'!AU452)*IF('01_Вводные'!$B$239="Да",MeanMinAge17+'19_Расчет_аналитики'!AU560*SUMIF(ThresholdAge17,"&lt;"&amp;'19_Расчет_аналитики'!AU560,WeightedRevAge17)-SUMIF(ThresholdAge17,"&lt;"&amp;'19_Расчет_аналитики'!AU560,WeightedMinAge17),MAX(CapacityAge17*'01_Вводные'!$B$218*'19_Расчет_аналитики'!AU560,MeanMinAge17)))</f>
        <v/>
      </c>
      <c r="AV508">
        <f>IF(OR(('19_Расчет_аналитики'!AV424-'19_Расчет_аналитики'!AV452)=0,17&lt;='01_Вводные'!$B$297),0,('19_Расчет_аналитики'!AV424-'19_Расчет_аналитики'!AV452)*IF('01_Вводные'!$B$239="Да",MeanMinAge17+'19_Расчет_аналитики'!AV560*SUMIF(ThresholdAge17,"&lt;"&amp;'19_Расчет_аналитики'!AV560,WeightedRevAge17)-SUMIF(ThresholdAge17,"&lt;"&amp;'19_Расчет_аналитики'!AV560,WeightedMinAge17),MAX(CapacityAge17*'01_Вводные'!$B$218*'19_Расчет_аналитики'!AV560,MeanMinAge17)))</f>
        <v/>
      </c>
      <c r="AW508">
        <f>IF(OR(('19_Расчет_аналитики'!AW424-'19_Расчет_аналитики'!AW452)=0,17&lt;='01_Вводные'!$B$297),0,('19_Расчет_аналитики'!AW424-'19_Расчет_аналитики'!AW452)*IF('01_Вводные'!$B$239="Да",MeanMinAge17+'19_Расчет_аналитики'!AW560*SUMIF(ThresholdAge17,"&lt;"&amp;'19_Расчет_аналитики'!AW560,WeightedRevAge17)-SUMIF(ThresholdAge17,"&lt;"&amp;'19_Расчет_аналитики'!AW560,WeightedMinAge17),MAX(CapacityAge17*'01_Вводные'!$B$218*'19_Расчет_аналитики'!AW560,MeanMinAge17)))</f>
        <v/>
      </c>
      <c r="AX508">
        <f>IF(OR(('19_Расчет_аналитики'!AX424-'19_Расчет_аналитики'!AX452)=0,17&lt;='01_Вводные'!$B$297),0,('19_Расчет_аналитики'!AX424-'19_Расчет_аналитики'!AX452)*IF('01_Вводные'!$B$239="Да",MeanMinAge17+'19_Расчет_аналитики'!AX560*SUMIF(ThresholdAge17,"&lt;"&amp;'19_Расчет_аналитики'!AX560,WeightedRevAge17)-SUMIF(ThresholdAge17,"&lt;"&amp;'19_Расчет_аналитики'!AX560,WeightedMinAge17),MAX(CapacityAge17*'01_Вводные'!$B$218*'19_Расчет_аналитики'!AX560,MeanMinAge17)))</f>
        <v/>
      </c>
      <c r="AY508">
        <f>IF(OR(('19_Расчет_аналитики'!AY424-'19_Расчет_аналитики'!AY452)=0,17&lt;='01_Вводные'!$B$297),0,('19_Расчет_аналитики'!AY424-'19_Расчет_аналитики'!AY452)*IF('01_Вводные'!$B$239="Да",MeanMinAge17+'19_Расчет_аналитики'!AY560*SUMIF(ThresholdAge17,"&lt;"&amp;'19_Расчет_аналитики'!AY560,WeightedRevAge17)-SUMIF(ThresholdAge17,"&lt;"&amp;'19_Расчет_аналитики'!AY560,WeightedMinAge17),MAX(CapacityAge17*'01_Вводные'!$B$218*'19_Расчет_аналитики'!AY560,MeanMinAge17)))</f>
        <v/>
      </c>
      <c r="AZ508">
        <f>IF(OR(('19_Расчет_аналитики'!AZ424-'19_Расчет_аналитики'!AZ452)=0,17&lt;='01_Вводные'!$B$297),0,('19_Расчет_аналитики'!AZ424-'19_Расчет_аналитики'!AZ452)*IF('01_Вводные'!$B$239="Да",MeanMinAge17+'19_Расчет_аналитики'!AZ560*SUMIF(ThresholdAge17,"&lt;"&amp;'19_Расчет_аналитики'!AZ560,WeightedRevAge17)-SUMIF(ThresholdAge17,"&lt;"&amp;'19_Расчет_аналитики'!AZ560,WeightedMinAge17),MAX(CapacityAge17*'01_Вводные'!$B$218*'19_Расчет_аналитики'!AZ560,MeanMinAge17)))</f>
        <v/>
      </c>
      <c r="BA508">
        <f>IF(OR(('19_Расчет_аналитики'!BA424-'19_Расчет_аналитики'!BA452)=0,17&lt;='01_Вводные'!$B$297),0,('19_Расчет_аналитики'!BA424-'19_Расчет_аналитики'!BA452)*IF('01_Вводные'!$B$239="Да",MeanMinAge17+'19_Расчет_аналитики'!BA560*SUMIF(ThresholdAge17,"&lt;"&amp;'19_Расчет_аналитики'!BA560,WeightedRevAge17)-SUMIF(ThresholdAge17,"&lt;"&amp;'19_Расчет_аналитики'!BA560,WeightedMinAge17),MAX(CapacityAge17*'01_Вводные'!$B$218*'19_Расчет_аналитики'!BA560,MeanMinAge17)))</f>
        <v/>
      </c>
      <c r="BB508">
        <f>IF(OR(('19_Расчет_аналитики'!BB424-'19_Расчет_аналитики'!BB452)=0,17&lt;='01_Вводные'!$B$297),0,('19_Расчет_аналитики'!BB424-'19_Расчет_аналитики'!BB452)*IF('01_Вводные'!$B$239="Да",MeanMinAge17+'19_Расчет_аналитики'!BB560*SUMIF(ThresholdAge17,"&lt;"&amp;'19_Расчет_аналитики'!BB560,WeightedRevAge17)-SUMIF(ThresholdAge17,"&lt;"&amp;'19_Расчет_аналитики'!BB560,WeightedMinAge17),MAX(CapacityAge17*'01_Вводные'!$B$218*'19_Расчет_аналитики'!BB560,MeanMinAge17)))</f>
        <v/>
      </c>
      <c r="BC508">
        <f>IF(OR(('19_Расчет_аналитики'!BC424-'19_Расчет_аналитики'!BC452)=0,17&lt;='01_Вводные'!$B$297),0,('19_Расчет_аналитики'!BC424-'19_Расчет_аналитики'!BC452)*IF('01_Вводные'!$B$239="Да",MeanMinAge17+'19_Расчет_аналитики'!BC560*SUMIF(ThresholdAge17,"&lt;"&amp;'19_Расчет_аналитики'!BC560,WeightedRevAge17)-SUMIF(ThresholdAge17,"&lt;"&amp;'19_Расчет_аналитики'!BC560,WeightedMinAge17),MAX(CapacityAge17*'01_Вводные'!$B$218*'19_Расчет_аналитики'!BC560,MeanMinAge17)))</f>
        <v/>
      </c>
      <c r="BD508">
        <f>IF(OR(('19_Расчет_аналитики'!BD424-'19_Расчет_аналитики'!BD452)=0,17&lt;='01_Вводные'!$B$297),0,('19_Расчет_аналитики'!BD424-'19_Расчет_аналитики'!BD452)*IF('01_Вводные'!$B$239="Да",MeanMinAge17+'19_Расчет_аналитики'!BD560*SUMIF(ThresholdAge17,"&lt;"&amp;'19_Расчет_аналитики'!BD560,WeightedRevAge17)-SUMIF(ThresholdAge17,"&lt;"&amp;'19_Расчет_аналитики'!BD560,WeightedMinAge17),MAX(CapacityAge17*'01_Вводные'!$B$218*'19_Расчет_аналитики'!BD560,MeanMinAge17)))</f>
        <v/>
      </c>
      <c r="BE508">
        <f>IF(OR(('19_Расчет_аналитики'!BE424-'19_Расчет_аналитики'!BE452)=0,17&lt;='01_Вводные'!$B$297),0,('19_Расчет_аналитики'!BE424-'19_Расчет_аналитики'!BE452)*IF('01_Вводные'!$B$239="Да",MeanMinAge17+'19_Расчет_аналитики'!BE560*SUMIF(ThresholdAge17,"&lt;"&amp;'19_Расчет_аналитики'!BE560,WeightedRevAge17)-SUMIF(ThresholdAge17,"&lt;"&amp;'19_Расчет_аналитики'!BE560,WeightedMinAge17),MAX(CapacityAge17*'01_Вводные'!$B$218*'19_Расчет_аналитики'!BE560,MeanMinAge17)))</f>
        <v/>
      </c>
      <c r="BF508">
        <f>IF(OR(('19_Расчет_аналитики'!BF424-'19_Расчет_аналитики'!BF452)=0,17&lt;='01_Вводные'!$B$297),0,('19_Расчет_аналитики'!BF424-'19_Расчет_аналитики'!BF452)*IF('01_Вводные'!$B$239="Да",MeanMinAge17+'19_Расчет_аналитики'!BF560*SUMIF(ThresholdAge17,"&lt;"&amp;'19_Расчет_аналитики'!BF560,WeightedRevAge17)-SUMIF(ThresholdAge17,"&lt;"&amp;'19_Расчет_аналитики'!BF560,WeightedMinAge17),MAX(CapacityAge17*'01_Вводные'!$B$218*'19_Расчет_аналитики'!BF560,MeanMinAge17)))</f>
        <v/>
      </c>
      <c r="BG508">
        <f>IF(OR(('19_Расчет_аналитики'!BG424-'19_Расчет_аналитики'!BG452)=0,17&lt;='01_Вводные'!$B$297),0,('19_Расчет_аналитики'!BG424-'19_Расчет_аналитики'!BG452)*IF('01_Вводные'!$B$239="Да",MeanMinAge17+'19_Расчет_аналитики'!BG560*SUMIF(ThresholdAge17,"&lt;"&amp;'19_Расчет_аналитики'!BG560,WeightedRevAge17)-SUMIF(ThresholdAge17,"&lt;"&amp;'19_Расчет_аналитики'!BG560,WeightedMinAge17),MAX(CapacityAge17*'01_Вводные'!$B$218*'19_Расчет_аналитики'!BG560,MeanMinAge17)))</f>
        <v/>
      </c>
      <c r="BH508">
        <f>IF(OR(('19_Расчет_аналитики'!BH424-'19_Расчет_аналитики'!BH452)=0,17&lt;='01_Вводные'!$B$297),0,('19_Расчет_аналитики'!BH424-'19_Расчет_аналитики'!BH452)*IF('01_Вводные'!$B$239="Да",MeanMinAge17+'19_Расчет_аналитики'!BH560*SUMIF(ThresholdAge17,"&lt;"&amp;'19_Расчет_аналитики'!BH560,WeightedRevAge17)-SUMIF(ThresholdAge17,"&lt;"&amp;'19_Расчет_аналитики'!BH560,WeightedMinAge17),MAX(CapacityAge17*'01_Вводные'!$B$218*'19_Расчет_аналитики'!BH560,MeanMinAge17)))</f>
        <v/>
      </c>
      <c r="BI508">
        <f>IF(OR(('19_Расчет_аналитики'!BI424-'19_Расчет_аналитики'!BI452)=0,17&lt;='01_Вводные'!$B$297),0,('19_Расчет_аналитики'!BI424-'19_Расчет_аналитики'!BI452)*IF('01_Вводные'!$B$239="Да",MeanMinAge17+'19_Расчет_аналитики'!BI560*SUMIF(ThresholdAge17,"&lt;"&amp;'19_Расчет_аналитики'!BI560,WeightedRevAge17)-SUMIF(ThresholdAge17,"&lt;"&amp;'19_Расчет_аналитики'!BI560,WeightedMinAge17),MAX(CapacityAge17*'01_Вводные'!$B$218*'19_Расчет_аналитики'!BI560,MeanMinAge17)))</f>
        <v/>
      </c>
      <c r="BJ508">
        <f>IF(OR(('19_Расчет_аналитики'!BJ424-'19_Расчет_аналитики'!BJ452)=0,17&lt;='01_Вводные'!$B$297),0,('19_Расчет_аналитики'!BJ424-'19_Расчет_аналитики'!BJ452)*IF('01_Вводные'!$B$239="Да",MeanMinAge17+'19_Расчет_аналитики'!BJ560*SUMIF(ThresholdAge17,"&lt;"&amp;'19_Расчет_аналитики'!BJ560,WeightedRevAge17)-SUMIF(ThresholdAge17,"&lt;"&amp;'19_Расчет_аналитики'!BJ560,WeightedMinAge17),MAX(CapacityAge17*'01_Вводные'!$B$218*'19_Расчет_аналитики'!BJ560,MeanMinAge17)))</f>
        <v/>
      </c>
      <c r="BK508">
        <f>IF(OR(('19_Расчет_аналитики'!BK424-'19_Расчет_аналитики'!BK452)=0,17&lt;='01_Вводные'!$B$297),0,('19_Расчет_аналитики'!BK424-'19_Расчет_аналитики'!BK452)*IF('01_Вводные'!$B$239="Да",MeanMinAge17+'19_Расчет_аналитики'!BK560*SUMIF(ThresholdAge17,"&lt;"&amp;'19_Расчет_аналитики'!BK560,WeightedRevAge17)-SUMIF(ThresholdAge17,"&lt;"&amp;'19_Расчет_аналитики'!BK560,WeightedMinAge17),MAX(CapacityAge17*'01_Вводные'!$B$218*'19_Расчет_аналитики'!BK560,MeanMinAge17)))</f>
        <v/>
      </c>
      <c r="BL508">
        <f>IF(OR(('19_Расчет_аналитики'!BL424-'19_Расчет_аналитики'!BL452)=0,17&lt;='01_Вводные'!$B$297),0,('19_Расчет_аналитики'!BL424-'19_Расчет_аналитики'!BL452)*IF('01_Вводные'!$B$239="Да",MeanMinAge17+'19_Расчет_аналитики'!BL560*SUMIF(ThresholdAge17,"&lt;"&amp;'19_Расчет_аналитики'!BL560,WeightedRevAge17)-SUMIF(ThresholdAge17,"&lt;"&amp;'19_Расчет_аналитики'!BL560,WeightedMinAge17),MAX(CapacityAge17*'01_Вводные'!$B$218*'19_Расчет_аналитики'!BL560,MeanMinAge17)))</f>
        <v/>
      </c>
      <c r="BM508">
        <f>IF(OR(('19_Расчет_аналитики'!BM424-'19_Расчет_аналитики'!BM452)=0,17&lt;='01_Вводные'!$B$297),0,('19_Расчет_аналитики'!BM424-'19_Расчет_аналитики'!BM452)*IF('01_Вводные'!$B$239="Да",MeanMinAge17+'19_Расчет_аналитики'!BM560*SUMIF(ThresholdAge17,"&lt;"&amp;'19_Расчет_аналитики'!BM560,WeightedRevAge17)-SUMIF(ThresholdAge17,"&lt;"&amp;'19_Расчет_аналитики'!BM560,WeightedMinAge17),MAX(CapacityAge17*'01_Вводные'!$B$218*'19_Расчет_аналитики'!BM560,MeanMinAge17)))</f>
        <v/>
      </c>
      <c r="BN508">
        <f>IF(OR(('19_Расчет_аналитики'!BN424-'19_Расчет_аналитики'!BN452)=0,17&lt;='01_Вводные'!$B$297),0,('19_Расчет_аналитики'!BN424-'19_Расчет_аналитики'!BN452)*IF('01_Вводные'!$B$239="Да",MeanMinAge17+'19_Расчет_аналитики'!BN560*SUMIF(ThresholdAge17,"&lt;"&amp;'19_Расчет_аналитики'!BN560,WeightedRevAge17)-SUMIF(ThresholdAge17,"&lt;"&amp;'19_Расчет_аналитики'!BN560,WeightedMinAge17),MAX(CapacityAge17*'01_Вводные'!$B$218*'19_Расчет_аналитики'!BN560,MeanMinAge17)))</f>
        <v/>
      </c>
      <c r="BO508">
        <f>IF(OR(('19_Расчет_аналитики'!BO424-'19_Расчет_аналитики'!BO452)=0,17&lt;='01_Вводные'!$B$297),0,('19_Расчет_аналитики'!BO424-'19_Расчет_аналитики'!BO452)*IF('01_Вводные'!$B$239="Да",MeanMinAge17+'19_Расчет_аналитики'!BO560*SUMIF(ThresholdAge17,"&lt;"&amp;'19_Расчет_аналитики'!BO560,WeightedRevAge17)-SUMIF(ThresholdAge17,"&lt;"&amp;'19_Расчет_аналитики'!BO560,WeightedMinAge17),MAX(CapacityAge17*'01_Вводные'!$B$218*'19_Расчет_аналитики'!BO560,MeanMinAge17)))</f>
        <v/>
      </c>
    </row>
    <row r="509">
      <c r="B509">
        <f>IF(OR(('06_Сеть_и_дети'!B70-'06_Сеть_и_дети'!B98)=0,18&lt;='01_Вводные'!$B$297),0,('06_Сеть_и_дети'!B70-'06_Сеть_и_дети'!B98)*IF('01_Вводные'!$B$239="Да",MeanMinAge18+'19_Расчет_аналитики'!B560*SUMIF(ThresholdAge18,"&lt;"&amp;'19_Расчет_аналитики'!B560,WeightedRevAge18)-SUMIF(ThresholdAge18,"&lt;"&amp;'19_Расчет_аналитики'!B560,WeightedMinAge18),MAX(CapacityAge18*'01_Вводные'!$B$218*'19_Расчет_аналитики'!B560,MeanMinAge18)))</f>
        <v/>
      </c>
      <c r="C509">
        <f>IF(OR(('06_Сеть_и_дети'!C70-'06_Сеть_и_дети'!C98)=0,18&lt;='01_Вводные'!$B$297),0,('06_Сеть_и_дети'!C70-'06_Сеть_и_дети'!C98)*IF('01_Вводные'!$B$239="Да",MeanMinAge18+'19_Расчет_аналитики'!C560*SUMIF(ThresholdAge18,"&lt;"&amp;'19_Расчет_аналитики'!C560,WeightedRevAge18)-SUMIF(ThresholdAge18,"&lt;"&amp;'19_Расчет_аналитики'!C560,WeightedMinAge18),MAX(CapacityAge18*'01_Вводные'!$B$218*'19_Расчет_аналитики'!C560,MeanMinAge18)))</f>
        <v/>
      </c>
      <c r="D509">
        <f>IF(OR(('06_Сеть_и_дети'!D70-'06_Сеть_и_дети'!D98)=0,18&lt;='01_Вводные'!$B$297),0,('06_Сеть_и_дети'!D70-'06_Сеть_и_дети'!D98)*IF('01_Вводные'!$B$239="Да",MeanMinAge18+'19_Расчет_аналитики'!D560*SUMIF(ThresholdAge18,"&lt;"&amp;'19_Расчет_аналитики'!D560,WeightedRevAge18)-SUMIF(ThresholdAge18,"&lt;"&amp;'19_Расчет_аналитики'!D560,WeightedMinAge18),MAX(CapacityAge18*'01_Вводные'!$B$218*'19_Расчет_аналитики'!D560,MeanMinAge18)))</f>
        <v/>
      </c>
      <c r="E509">
        <f>IF(OR(('06_Сеть_и_дети'!E70-'06_Сеть_и_дети'!E98)=0,18&lt;='01_Вводные'!$B$297),0,('06_Сеть_и_дети'!E70-'06_Сеть_и_дети'!E98)*IF('01_Вводные'!$B$239="Да",MeanMinAge18+'19_Расчет_аналитики'!E560*SUMIF(ThresholdAge18,"&lt;"&amp;'19_Расчет_аналитики'!E560,WeightedRevAge18)-SUMIF(ThresholdAge18,"&lt;"&amp;'19_Расчет_аналитики'!E560,WeightedMinAge18),MAX(CapacityAge18*'01_Вводные'!$B$218*'19_Расчет_аналитики'!E560,MeanMinAge18)))</f>
        <v/>
      </c>
      <c r="F509">
        <f>IF(OR(('06_Сеть_и_дети'!F70-'06_Сеть_и_дети'!F98)=0,18&lt;='01_Вводные'!$B$297),0,('06_Сеть_и_дети'!F70-'06_Сеть_и_дети'!F98)*IF('01_Вводные'!$B$239="Да",MeanMinAge18+'19_Расчет_аналитики'!F560*SUMIF(ThresholdAge18,"&lt;"&amp;'19_Расчет_аналитики'!F560,WeightedRevAge18)-SUMIF(ThresholdAge18,"&lt;"&amp;'19_Расчет_аналитики'!F560,WeightedMinAge18),MAX(CapacityAge18*'01_Вводные'!$B$218*'19_Расчет_аналитики'!F560,MeanMinAge18)))</f>
        <v/>
      </c>
      <c r="G509">
        <f>IF(OR(('06_Сеть_и_дети'!G70-'06_Сеть_и_дети'!G98)=0,18&lt;='01_Вводные'!$B$297),0,('06_Сеть_и_дети'!G70-'06_Сеть_и_дети'!G98)*IF('01_Вводные'!$B$239="Да",MeanMinAge18+'19_Расчет_аналитики'!G560*SUMIF(ThresholdAge18,"&lt;"&amp;'19_Расчет_аналитики'!G560,WeightedRevAge18)-SUMIF(ThresholdAge18,"&lt;"&amp;'19_Расчет_аналитики'!G560,WeightedMinAge18),MAX(CapacityAge18*'01_Вводные'!$B$218*'19_Расчет_аналитики'!G560,MeanMinAge18)))</f>
        <v/>
      </c>
      <c r="H509">
        <f>IF(OR(('06_Сеть_и_дети'!H70-'06_Сеть_и_дети'!H98)=0,18&lt;='01_Вводные'!$B$297),0,('06_Сеть_и_дети'!H70-'06_Сеть_и_дети'!H98)*IF('01_Вводные'!$B$239="Да",MeanMinAge18+'19_Расчет_аналитики'!H560*SUMIF(ThresholdAge18,"&lt;"&amp;'19_Расчет_аналитики'!H560,WeightedRevAge18)-SUMIF(ThresholdAge18,"&lt;"&amp;'19_Расчет_аналитики'!H560,WeightedMinAge18),MAX(CapacityAge18*'01_Вводные'!$B$218*'19_Расчет_аналитики'!H560,MeanMinAge18)))</f>
        <v/>
      </c>
      <c r="I509">
        <f>IF(OR(('06_Сеть_и_дети'!I70-'06_Сеть_и_дети'!I98)=0,18&lt;='01_Вводные'!$B$297),0,('06_Сеть_и_дети'!I70-'06_Сеть_и_дети'!I98)*IF('01_Вводные'!$B$239="Да",MeanMinAge18+'19_Расчет_аналитики'!I560*SUMIF(ThresholdAge18,"&lt;"&amp;'19_Расчет_аналитики'!I560,WeightedRevAge18)-SUMIF(ThresholdAge18,"&lt;"&amp;'19_Расчет_аналитики'!I560,WeightedMinAge18),MAX(CapacityAge18*'01_Вводные'!$B$218*'19_Расчет_аналитики'!I560,MeanMinAge18)))</f>
        <v/>
      </c>
      <c r="J509">
        <f>IF(OR(('06_Сеть_и_дети'!J70-'06_Сеть_и_дети'!J98)=0,18&lt;='01_Вводные'!$B$297),0,('06_Сеть_и_дети'!J70-'06_Сеть_и_дети'!J98)*IF('01_Вводные'!$B$239="Да",MeanMinAge18+'19_Расчет_аналитики'!J560*SUMIF(ThresholdAge18,"&lt;"&amp;'19_Расчет_аналитики'!J560,WeightedRevAge18)-SUMIF(ThresholdAge18,"&lt;"&amp;'19_Расчет_аналитики'!J560,WeightedMinAge18),MAX(CapacityAge18*'01_Вводные'!$B$218*'19_Расчет_аналитики'!J560,MeanMinAge18)))</f>
        <v/>
      </c>
      <c r="K509">
        <f>IF(OR(('06_Сеть_и_дети'!K70-'06_Сеть_и_дети'!K98)=0,18&lt;='01_Вводные'!$B$297),0,('06_Сеть_и_дети'!K70-'06_Сеть_и_дети'!K98)*IF('01_Вводные'!$B$239="Да",MeanMinAge18+'19_Расчет_аналитики'!K560*SUMIF(ThresholdAge18,"&lt;"&amp;'19_Расчет_аналитики'!K560,WeightedRevAge18)-SUMIF(ThresholdAge18,"&lt;"&amp;'19_Расчет_аналитики'!K560,WeightedMinAge18),MAX(CapacityAge18*'01_Вводные'!$B$218*'19_Расчет_аналитики'!K560,MeanMinAge18)))</f>
        <v/>
      </c>
      <c r="L509">
        <f>IF(OR(('06_Сеть_и_дети'!L70-'06_Сеть_и_дети'!L98)=0,18&lt;='01_Вводные'!$B$297),0,('06_Сеть_и_дети'!L70-'06_Сеть_и_дети'!L98)*IF('01_Вводные'!$B$239="Да",MeanMinAge18+'19_Расчет_аналитики'!L560*SUMIF(ThresholdAge18,"&lt;"&amp;'19_Расчет_аналитики'!L560,WeightedRevAge18)-SUMIF(ThresholdAge18,"&lt;"&amp;'19_Расчет_аналитики'!L560,WeightedMinAge18),MAX(CapacityAge18*'01_Вводные'!$B$218*'19_Расчет_аналитики'!L560,MeanMinAge18)))</f>
        <v/>
      </c>
      <c r="M509">
        <f>IF(OR(('06_Сеть_и_дети'!M70-'06_Сеть_и_дети'!M98)=0,18&lt;='01_Вводные'!$B$297),0,('06_Сеть_и_дети'!M70-'06_Сеть_и_дети'!M98)*IF('01_Вводные'!$B$239="Да",MeanMinAge18+'19_Расчет_аналитики'!M560*SUMIF(ThresholdAge18,"&lt;"&amp;'19_Расчет_аналитики'!M560,WeightedRevAge18)-SUMIF(ThresholdAge18,"&lt;"&amp;'19_Расчет_аналитики'!M560,WeightedMinAge18),MAX(CapacityAge18*'01_Вводные'!$B$218*'19_Расчет_аналитики'!M560,MeanMinAge18)))</f>
        <v/>
      </c>
      <c r="N509">
        <f>IF(OR(('06_Сеть_и_дети'!N70-'06_Сеть_и_дети'!N98)=0,18&lt;='01_Вводные'!$B$297),0,('06_Сеть_и_дети'!N70-'06_Сеть_и_дети'!N98)*IF('01_Вводные'!$B$239="Да",MeanMinAge18+'19_Расчет_аналитики'!N560*SUMIF(ThresholdAge18,"&lt;"&amp;'19_Расчет_аналитики'!N560,WeightedRevAge18)-SUMIF(ThresholdAge18,"&lt;"&amp;'19_Расчет_аналитики'!N560,WeightedMinAge18),MAX(CapacityAge18*'01_Вводные'!$B$218*'19_Расчет_аналитики'!N560,MeanMinAge18)))</f>
        <v/>
      </c>
      <c r="O509">
        <f>IF(OR(('06_Сеть_и_дети'!O70-'06_Сеть_и_дети'!O98)=0,18&lt;='01_Вводные'!$B$297),0,('06_Сеть_и_дети'!O70-'06_Сеть_и_дети'!O98)*IF('01_Вводные'!$B$239="Да",MeanMinAge18+'19_Расчет_аналитики'!O560*SUMIF(ThresholdAge18,"&lt;"&amp;'19_Расчет_аналитики'!O560,WeightedRevAge18)-SUMIF(ThresholdAge18,"&lt;"&amp;'19_Расчет_аналитики'!O560,WeightedMinAge18),MAX(CapacityAge18*'01_Вводные'!$B$218*'19_Расчет_аналитики'!O560,MeanMinAge18)))</f>
        <v/>
      </c>
      <c r="P509">
        <f>IF(OR(('06_Сеть_и_дети'!P70-'06_Сеть_и_дети'!P98)=0,18&lt;='01_Вводные'!$B$297),0,('06_Сеть_и_дети'!P70-'06_Сеть_и_дети'!P98)*IF('01_Вводные'!$B$239="Да",MeanMinAge18+'19_Расчет_аналитики'!P560*SUMIF(ThresholdAge18,"&lt;"&amp;'19_Расчет_аналитики'!P560,WeightedRevAge18)-SUMIF(ThresholdAge18,"&lt;"&amp;'19_Расчет_аналитики'!P560,WeightedMinAge18),MAX(CapacityAge18*'01_Вводные'!$B$218*'19_Расчет_аналитики'!P560,MeanMinAge18)))</f>
        <v/>
      </c>
      <c r="Q509">
        <f>IF(OR(('06_Сеть_и_дети'!Q70-'06_Сеть_и_дети'!Q98)=0,18&lt;='01_Вводные'!$B$297),0,('06_Сеть_и_дети'!Q70-'06_Сеть_и_дети'!Q98)*IF('01_Вводные'!$B$239="Да",MeanMinAge18+'19_Расчет_аналитики'!Q560*SUMIF(ThresholdAge18,"&lt;"&amp;'19_Расчет_аналитики'!Q560,WeightedRevAge18)-SUMIF(ThresholdAge18,"&lt;"&amp;'19_Расчет_аналитики'!Q560,WeightedMinAge18),MAX(CapacityAge18*'01_Вводные'!$B$218*'19_Расчет_аналитики'!Q560,MeanMinAge18)))</f>
        <v/>
      </c>
      <c r="R509">
        <f>IF(OR(('06_Сеть_и_дети'!R70-'06_Сеть_и_дети'!R98)=0,18&lt;='01_Вводные'!$B$297),0,('06_Сеть_и_дети'!R70-'06_Сеть_и_дети'!R98)*IF('01_Вводные'!$B$239="Да",MeanMinAge18+'19_Расчет_аналитики'!R560*SUMIF(ThresholdAge18,"&lt;"&amp;'19_Расчет_аналитики'!R560,WeightedRevAge18)-SUMIF(ThresholdAge18,"&lt;"&amp;'19_Расчет_аналитики'!R560,WeightedMinAge18),MAX(CapacityAge18*'01_Вводные'!$B$218*'19_Расчет_аналитики'!R560,MeanMinAge18)))</f>
        <v/>
      </c>
      <c r="S509">
        <f>IF(OR(('19_Расчет_аналитики'!S425-'19_Расчет_аналитики'!S453)=0,18&lt;='01_Вводные'!$B$297),0,('19_Расчет_аналитики'!S425-'19_Расчет_аналитики'!S453)*IF('01_Вводные'!$B$239="Да",MeanMinAge18+'19_Расчет_аналитики'!S560*SUMIF(ThresholdAge18,"&lt;"&amp;'19_Расчет_аналитики'!S560,WeightedRevAge18)-SUMIF(ThresholdAge18,"&lt;"&amp;'19_Расчет_аналитики'!S560,WeightedMinAge18),MAX(CapacityAge18*'01_Вводные'!$B$218*'19_Расчет_аналитики'!S560,MeanMinAge18)))</f>
        <v/>
      </c>
      <c r="T509">
        <f>IF(OR(('19_Расчет_аналитики'!T425-'19_Расчет_аналитики'!T453)=0,18&lt;='01_Вводные'!$B$297),0,('19_Расчет_аналитики'!T425-'19_Расчет_аналитики'!T453)*IF('01_Вводные'!$B$239="Да",MeanMinAge18+'19_Расчет_аналитики'!T560*SUMIF(ThresholdAge18,"&lt;"&amp;'19_Расчет_аналитики'!T560,WeightedRevAge18)-SUMIF(ThresholdAge18,"&lt;"&amp;'19_Расчет_аналитики'!T560,WeightedMinAge18),MAX(CapacityAge18*'01_Вводные'!$B$218*'19_Расчет_аналитики'!T560,MeanMinAge18)))</f>
        <v/>
      </c>
      <c r="U509">
        <f>IF(OR(('19_Расчет_аналитики'!U425-'19_Расчет_аналитики'!U453)=0,18&lt;='01_Вводные'!$B$297),0,('19_Расчет_аналитики'!U425-'19_Расчет_аналитики'!U453)*IF('01_Вводные'!$B$239="Да",MeanMinAge18+'19_Расчет_аналитики'!U560*SUMIF(ThresholdAge18,"&lt;"&amp;'19_Расчет_аналитики'!U560,WeightedRevAge18)-SUMIF(ThresholdAge18,"&lt;"&amp;'19_Расчет_аналитики'!U560,WeightedMinAge18),MAX(CapacityAge18*'01_Вводные'!$B$218*'19_Расчет_аналитики'!U560,MeanMinAge18)))</f>
        <v/>
      </c>
      <c r="V509">
        <f>IF(OR(('19_Расчет_аналитики'!V425-'19_Расчет_аналитики'!V453)=0,18&lt;='01_Вводные'!$B$297),0,('19_Расчет_аналитики'!V425-'19_Расчет_аналитики'!V453)*IF('01_Вводные'!$B$239="Да",MeanMinAge18+'19_Расчет_аналитики'!V560*SUMIF(ThresholdAge18,"&lt;"&amp;'19_Расчет_аналитики'!V560,WeightedRevAge18)-SUMIF(ThresholdAge18,"&lt;"&amp;'19_Расчет_аналитики'!V560,WeightedMinAge18),MAX(CapacityAge18*'01_Вводные'!$B$218*'19_Расчет_аналитики'!V560,MeanMinAge18)))</f>
        <v/>
      </c>
      <c r="W509">
        <f>IF(OR(('19_Расчет_аналитики'!W425-'19_Расчет_аналитики'!W453)=0,18&lt;='01_Вводные'!$B$297),0,('19_Расчет_аналитики'!W425-'19_Расчет_аналитики'!W453)*IF('01_Вводные'!$B$239="Да",MeanMinAge18+'19_Расчет_аналитики'!W560*SUMIF(ThresholdAge18,"&lt;"&amp;'19_Расчет_аналитики'!W560,WeightedRevAge18)-SUMIF(ThresholdAge18,"&lt;"&amp;'19_Расчет_аналитики'!W560,WeightedMinAge18),MAX(CapacityAge18*'01_Вводные'!$B$218*'19_Расчет_аналитики'!W560,MeanMinAge18)))</f>
        <v/>
      </c>
      <c r="X509">
        <f>IF(OR(('19_Расчет_аналитики'!X425-'19_Расчет_аналитики'!X453)=0,18&lt;='01_Вводные'!$B$297),0,('19_Расчет_аналитики'!X425-'19_Расчет_аналитики'!X453)*IF('01_Вводные'!$B$239="Да",MeanMinAge18+'19_Расчет_аналитики'!X560*SUMIF(ThresholdAge18,"&lt;"&amp;'19_Расчет_аналитики'!X560,WeightedRevAge18)-SUMIF(ThresholdAge18,"&lt;"&amp;'19_Расчет_аналитики'!X560,WeightedMinAge18),MAX(CapacityAge18*'01_Вводные'!$B$218*'19_Расчет_аналитики'!X560,MeanMinAge18)))</f>
        <v/>
      </c>
      <c r="Y509">
        <f>IF(OR(('19_Расчет_аналитики'!Y425-'19_Расчет_аналитики'!Y453)=0,18&lt;='01_Вводные'!$B$297),0,('19_Расчет_аналитики'!Y425-'19_Расчет_аналитики'!Y453)*IF('01_Вводные'!$B$239="Да",MeanMinAge18+'19_Расчет_аналитики'!Y560*SUMIF(ThresholdAge18,"&lt;"&amp;'19_Расчет_аналитики'!Y560,WeightedRevAge18)-SUMIF(ThresholdAge18,"&lt;"&amp;'19_Расчет_аналитики'!Y560,WeightedMinAge18),MAX(CapacityAge18*'01_Вводные'!$B$218*'19_Расчет_аналитики'!Y560,MeanMinAge18)))</f>
        <v/>
      </c>
      <c r="Z509">
        <f>IF(OR(('19_Расчет_аналитики'!Z425-'19_Расчет_аналитики'!Z453)=0,18&lt;='01_Вводные'!$B$297),0,('19_Расчет_аналитики'!Z425-'19_Расчет_аналитики'!Z453)*IF('01_Вводные'!$B$239="Да",MeanMinAge18+'19_Расчет_аналитики'!Z560*SUMIF(ThresholdAge18,"&lt;"&amp;'19_Расчет_аналитики'!Z560,WeightedRevAge18)-SUMIF(ThresholdAge18,"&lt;"&amp;'19_Расчет_аналитики'!Z560,WeightedMinAge18),MAX(CapacityAge18*'01_Вводные'!$B$218*'19_Расчет_аналитики'!Z560,MeanMinAge18)))</f>
        <v/>
      </c>
      <c r="AA509">
        <f>IF(OR(('19_Расчет_аналитики'!AA425-'19_Расчет_аналитики'!AA453)=0,18&lt;='01_Вводные'!$B$297),0,('19_Расчет_аналитики'!AA425-'19_Расчет_аналитики'!AA453)*IF('01_Вводные'!$B$239="Да",MeanMinAge18+'19_Расчет_аналитики'!AA560*SUMIF(ThresholdAge18,"&lt;"&amp;'19_Расчет_аналитики'!AA560,WeightedRevAge18)-SUMIF(ThresholdAge18,"&lt;"&amp;'19_Расчет_аналитики'!AA560,WeightedMinAge18),MAX(CapacityAge18*'01_Вводные'!$B$218*'19_Расчет_аналитики'!AA560,MeanMinAge18)))</f>
        <v/>
      </c>
      <c r="AB509">
        <f>IF(OR(('19_Расчет_аналитики'!AB425-'19_Расчет_аналитики'!AB453)=0,18&lt;='01_Вводные'!$B$297),0,('19_Расчет_аналитики'!AB425-'19_Расчет_аналитики'!AB453)*IF('01_Вводные'!$B$239="Да",MeanMinAge18+'19_Расчет_аналитики'!AB560*SUMIF(ThresholdAge18,"&lt;"&amp;'19_Расчет_аналитики'!AB560,WeightedRevAge18)-SUMIF(ThresholdAge18,"&lt;"&amp;'19_Расчет_аналитики'!AB560,WeightedMinAge18),MAX(CapacityAge18*'01_Вводные'!$B$218*'19_Расчет_аналитики'!AB560,MeanMinAge18)))</f>
        <v/>
      </c>
      <c r="AC509">
        <f>IF(OR(('19_Расчет_аналитики'!AC425-'19_Расчет_аналитики'!AC453)=0,18&lt;='01_Вводные'!$B$297),0,('19_Расчет_аналитики'!AC425-'19_Расчет_аналитики'!AC453)*IF('01_Вводные'!$B$239="Да",MeanMinAge18+'19_Расчет_аналитики'!AC560*SUMIF(ThresholdAge18,"&lt;"&amp;'19_Расчет_аналитики'!AC560,WeightedRevAge18)-SUMIF(ThresholdAge18,"&lt;"&amp;'19_Расчет_аналитики'!AC560,WeightedMinAge18),MAX(CapacityAge18*'01_Вводные'!$B$218*'19_Расчет_аналитики'!AC560,MeanMinAge18)))</f>
        <v/>
      </c>
      <c r="AD509">
        <f>IF(OR(('19_Расчет_аналитики'!AD425-'19_Расчет_аналитики'!AD453)=0,18&lt;='01_Вводные'!$B$297),0,('19_Расчет_аналитики'!AD425-'19_Расчет_аналитики'!AD453)*IF('01_Вводные'!$B$239="Да",MeanMinAge18+'19_Расчет_аналитики'!AD560*SUMIF(ThresholdAge18,"&lt;"&amp;'19_Расчет_аналитики'!AD560,WeightedRevAge18)-SUMIF(ThresholdAge18,"&lt;"&amp;'19_Расчет_аналитики'!AD560,WeightedMinAge18),MAX(CapacityAge18*'01_Вводные'!$B$218*'19_Расчет_аналитики'!AD560,MeanMinAge18)))</f>
        <v/>
      </c>
      <c r="AE509">
        <f>IF(OR(('19_Расчет_аналитики'!AE425-'19_Расчет_аналитики'!AE453)=0,18&lt;='01_Вводные'!$B$297),0,('19_Расчет_аналитики'!AE425-'19_Расчет_аналитики'!AE453)*IF('01_Вводные'!$B$239="Да",MeanMinAge18+'19_Расчет_аналитики'!AE560*SUMIF(ThresholdAge18,"&lt;"&amp;'19_Расчет_аналитики'!AE560,WeightedRevAge18)-SUMIF(ThresholdAge18,"&lt;"&amp;'19_Расчет_аналитики'!AE560,WeightedMinAge18),MAX(CapacityAge18*'01_Вводные'!$B$218*'19_Расчет_аналитики'!AE560,MeanMinAge18)))</f>
        <v/>
      </c>
      <c r="AF509">
        <f>IF(OR(('19_Расчет_аналитики'!AF425-'19_Расчет_аналитики'!AF453)=0,18&lt;='01_Вводные'!$B$297),0,('19_Расчет_аналитики'!AF425-'19_Расчет_аналитики'!AF453)*IF('01_Вводные'!$B$239="Да",MeanMinAge18+'19_Расчет_аналитики'!AF560*SUMIF(ThresholdAge18,"&lt;"&amp;'19_Расчет_аналитики'!AF560,WeightedRevAge18)-SUMIF(ThresholdAge18,"&lt;"&amp;'19_Расчет_аналитики'!AF560,WeightedMinAge18),MAX(CapacityAge18*'01_Вводные'!$B$218*'19_Расчет_аналитики'!AF560,MeanMinAge18)))</f>
        <v/>
      </c>
      <c r="AG509">
        <f>IF(OR(('19_Расчет_аналитики'!AG425-'19_Расчет_аналитики'!AG453)=0,18&lt;='01_Вводные'!$B$297),0,('19_Расчет_аналитики'!AG425-'19_Расчет_аналитики'!AG453)*IF('01_Вводные'!$B$239="Да",MeanMinAge18+'19_Расчет_аналитики'!AG560*SUMIF(ThresholdAge18,"&lt;"&amp;'19_Расчет_аналитики'!AG560,WeightedRevAge18)-SUMIF(ThresholdAge18,"&lt;"&amp;'19_Расчет_аналитики'!AG560,WeightedMinAge18),MAX(CapacityAge18*'01_Вводные'!$B$218*'19_Расчет_аналитики'!AG560,MeanMinAge18)))</f>
        <v/>
      </c>
      <c r="AH509">
        <f>IF(OR(('19_Расчет_аналитики'!AH425-'19_Расчет_аналитики'!AH453)=0,18&lt;='01_Вводные'!$B$297),0,('19_Расчет_аналитики'!AH425-'19_Расчет_аналитики'!AH453)*IF('01_Вводные'!$B$239="Да",MeanMinAge18+'19_Расчет_аналитики'!AH560*SUMIF(ThresholdAge18,"&lt;"&amp;'19_Расчет_аналитики'!AH560,WeightedRevAge18)-SUMIF(ThresholdAge18,"&lt;"&amp;'19_Расчет_аналитики'!AH560,WeightedMinAge18),MAX(CapacityAge18*'01_Вводные'!$B$218*'19_Расчет_аналитики'!AH560,MeanMinAge18)))</f>
        <v/>
      </c>
      <c r="AI509">
        <f>IF(OR(('19_Расчет_аналитики'!AI425-'19_Расчет_аналитики'!AI453)=0,18&lt;='01_Вводные'!$B$297),0,('19_Расчет_аналитики'!AI425-'19_Расчет_аналитики'!AI453)*IF('01_Вводные'!$B$239="Да",MeanMinAge18+'19_Расчет_аналитики'!AI560*SUMIF(ThresholdAge18,"&lt;"&amp;'19_Расчет_аналитики'!AI560,WeightedRevAge18)-SUMIF(ThresholdAge18,"&lt;"&amp;'19_Расчет_аналитики'!AI560,WeightedMinAge18),MAX(CapacityAge18*'01_Вводные'!$B$218*'19_Расчет_аналитики'!AI560,MeanMinAge18)))</f>
        <v/>
      </c>
      <c r="AJ509">
        <f>IF(OR(('19_Расчет_аналитики'!AJ425-'19_Расчет_аналитики'!AJ453)=0,18&lt;='01_Вводные'!$B$297),0,('19_Расчет_аналитики'!AJ425-'19_Расчет_аналитики'!AJ453)*IF('01_Вводные'!$B$239="Да",MeanMinAge18+'19_Расчет_аналитики'!AJ560*SUMIF(ThresholdAge18,"&lt;"&amp;'19_Расчет_аналитики'!AJ560,WeightedRevAge18)-SUMIF(ThresholdAge18,"&lt;"&amp;'19_Расчет_аналитики'!AJ560,WeightedMinAge18),MAX(CapacityAge18*'01_Вводные'!$B$218*'19_Расчет_аналитики'!AJ560,MeanMinAge18)))</f>
        <v/>
      </c>
      <c r="AK509">
        <f>IF(OR(('19_Расчет_аналитики'!AK425-'19_Расчет_аналитики'!AK453)=0,18&lt;='01_Вводные'!$B$297),0,('19_Расчет_аналитики'!AK425-'19_Расчет_аналитики'!AK453)*IF('01_Вводные'!$B$239="Да",MeanMinAge18+'19_Расчет_аналитики'!AK560*SUMIF(ThresholdAge18,"&lt;"&amp;'19_Расчет_аналитики'!AK560,WeightedRevAge18)-SUMIF(ThresholdAge18,"&lt;"&amp;'19_Расчет_аналитики'!AK560,WeightedMinAge18),MAX(CapacityAge18*'01_Вводные'!$B$218*'19_Расчет_аналитики'!AK560,MeanMinAge18)))</f>
        <v/>
      </c>
      <c r="AL509">
        <f>IF(OR(('19_Расчет_аналитики'!AL425-'19_Расчет_аналитики'!AL453)=0,18&lt;='01_Вводные'!$B$297),0,('19_Расчет_аналитики'!AL425-'19_Расчет_аналитики'!AL453)*IF('01_Вводные'!$B$239="Да",MeanMinAge18+'19_Расчет_аналитики'!AL560*SUMIF(ThresholdAge18,"&lt;"&amp;'19_Расчет_аналитики'!AL560,WeightedRevAge18)-SUMIF(ThresholdAge18,"&lt;"&amp;'19_Расчет_аналитики'!AL560,WeightedMinAge18),MAX(CapacityAge18*'01_Вводные'!$B$218*'19_Расчет_аналитики'!AL560,MeanMinAge18)))</f>
        <v/>
      </c>
      <c r="AM509">
        <f>IF(OR(('19_Расчет_аналитики'!AM425-'19_Расчет_аналитики'!AM453)=0,18&lt;='01_Вводные'!$B$297),0,('19_Расчет_аналитики'!AM425-'19_Расчет_аналитики'!AM453)*IF('01_Вводные'!$B$239="Да",MeanMinAge18+'19_Расчет_аналитики'!AM560*SUMIF(ThresholdAge18,"&lt;"&amp;'19_Расчет_аналитики'!AM560,WeightedRevAge18)-SUMIF(ThresholdAge18,"&lt;"&amp;'19_Расчет_аналитики'!AM560,WeightedMinAge18),MAX(CapacityAge18*'01_Вводные'!$B$218*'19_Расчет_аналитики'!AM560,MeanMinAge18)))</f>
        <v/>
      </c>
      <c r="AN509">
        <f>IF(OR(('19_Расчет_аналитики'!AN425-'19_Расчет_аналитики'!AN453)=0,18&lt;='01_Вводные'!$B$297),0,('19_Расчет_аналитики'!AN425-'19_Расчет_аналитики'!AN453)*IF('01_Вводные'!$B$239="Да",MeanMinAge18+'19_Расчет_аналитики'!AN560*SUMIF(ThresholdAge18,"&lt;"&amp;'19_Расчет_аналитики'!AN560,WeightedRevAge18)-SUMIF(ThresholdAge18,"&lt;"&amp;'19_Расчет_аналитики'!AN560,WeightedMinAge18),MAX(CapacityAge18*'01_Вводные'!$B$218*'19_Расчет_аналитики'!AN560,MeanMinAge18)))</f>
        <v/>
      </c>
      <c r="AO509">
        <f>IF(OR(('19_Расчет_аналитики'!AO425-'19_Расчет_аналитики'!AO453)=0,18&lt;='01_Вводные'!$B$297),0,('19_Расчет_аналитики'!AO425-'19_Расчет_аналитики'!AO453)*IF('01_Вводные'!$B$239="Да",MeanMinAge18+'19_Расчет_аналитики'!AO560*SUMIF(ThresholdAge18,"&lt;"&amp;'19_Расчет_аналитики'!AO560,WeightedRevAge18)-SUMIF(ThresholdAge18,"&lt;"&amp;'19_Расчет_аналитики'!AO560,WeightedMinAge18),MAX(CapacityAge18*'01_Вводные'!$B$218*'19_Расчет_аналитики'!AO560,MeanMinAge18)))</f>
        <v/>
      </c>
      <c r="AP509">
        <f>IF(OR(('19_Расчет_аналитики'!AP425-'19_Расчет_аналитики'!AP453)=0,18&lt;='01_Вводные'!$B$297),0,('19_Расчет_аналитики'!AP425-'19_Расчет_аналитики'!AP453)*IF('01_Вводные'!$B$239="Да",MeanMinAge18+'19_Расчет_аналитики'!AP560*SUMIF(ThresholdAge18,"&lt;"&amp;'19_Расчет_аналитики'!AP560,WeightedRevAge18)-SUMIF(ThresholdAge18,"&lt;"&amp;'19_Расчет_аналитики'!AP560,WeightedMinAge18),MAX(CapacityAge18*'01_Вводные'!$B$218*'19_Расчет_аналитики'!AP560,MeanMinAge18)))</f>
        <v/>
      </c>
      <c r="AQ509">
        <f>IF(OR(('19_Расчет_аналитики'!AQ425-'19_Расчет_аналитики'!AQ453)=0,18&lt;='01_Вводные'!$B$297),0,('19_Расчет_аналитики'!AQ425-'19_Расчет_аналитики'!AQ453)*IF('01_Вводные'!$B$239="Да",MeanMinAge18+'19_Расчет_аналитики'!AQ560*SUMIF(ThresholdAge18,"&lt;"&amp;'19_Расчет_аналитики'!AQ560,WeightedRevAge18)-SUMIF(ThresholdAge18,"&lt;"&amp;'19_Расчет_аналитики'!AQ560,WeightedMinAge18),MAX(CapacityAge18*'01_Вводные'!$B$218*'19_Расчет_аналитики'!AQ560,MeanMinAge18)))</f>
        <v/>
      </c>
      <c r="AR509">
        <f>IF(OR(('19_Расчет_аналитики'!AR425-'19_Расчет_аналитики'!AR453)=0,18&lt;='01_Вводные'!$B$297),0,('19_Расчет_аналитики'!AR425-'19_Расчет_аналитики'!AR453)*IF('01_Вводные'!$B$239="Да",MeanMinAge18+'19_Расчет_аналитики'!AR560*SUMIF(ThresholdAge18,"&lt;"&amp;'19_Расчет_аналитики'!AR560,WeightedRevAge18)-SUMIF(ThresholdAge18,"&lt;"&amp;'19_Расчет_аналитики'!AR560,WeightedMinAge18),MAX(CapacityAge18*'01_Вводные'!$B$218*'19_Расчет_аналитики'!AR560,MeanMinAge18)))</f>
        <v/>
      </c>
      <c r="AS509">
        <f>IF(OR(('19_Расчет_аналитики'!AS425-'19_Расчет_аналитики'!AS453)=0,18&lt;='01_Вводные'!$B$297),0,('19_Расчет_аналитики'!AS425-'19_Расчет_аналитики'!AS453)*IF('01_Вводные'!$B$239="Да",MeanMinAge18+'19_Расчет_аналитики'!AS560*SUMIF(ThresholdAge18,"&lt;"&amp;'19_Расчет_аналитики'!AS560,WeightedRevAge18)-SUMIF(ThresholdAge18,"&lt;"&amp;'19_Расчет_аналитики'!AS560,WeightedMinAge18),MAX(CapacityAge18*'01_Вводные'!$B$218*'19_Расчет_аналитики'!AS560,MeanMinAge18)))</f>
        <v/>
      </c>
      <c r="AT509">
        <f>IF(OR(('19_Расчет_аналитики'!AT425-'19_Расчет_аналитики'!AT453)=0,18&lt;='01_Вводные'!$B$297),0,('19_Расчет_аналитики'!AT425-'19_Расчет_аналитики'!AT453)*IF('01_Вводные'!$B$239="Да",MeanMinAge18+'19_Расчет_аналитики'!AT560*SUMIF(ThresholdAge18,"&lt;"&amp;'19_Расчет_аналитики'!AT560,WeightedRevAge18)-SUMIF(ThresholdAge18,"&lt;"&amp;'19_Расчет_аналитики'!AT560,WeightedMinAge18),MAX(CapacityAge18*'01_Вводные'!$B$218*'19_Расчет_аналитики'!AT560,MeanMinAge18)))</f>
        <v/>
      </c>
      <c r="AU509">
        <f>IF(OR(('19_Расчет_аналитики'!AU425-'19_Расчет_аналитики'!AU453)=0,18&lt;='01_Вводные'!$B$297),0,('19_Расчет_аналитики'!AU425-'19_Расчет_аналитики'!AU453)*IF('01_Вводные'!$B$239="Да",MeanMinAge18+'19_Расчет_аналитики'!AU560*SUMIF(ThresholdAge18,"&lt;"&amp;'19_Расчет_аналитики'!AU560,WeightedRevAge18)-SUMIF(ThresholdAge18,"&lt;"&amp;'19_Расчет_аналитики'!AU560,WeightedMinAge18),MAX(CapacityAge18*'01_Вводные'!$B$218*'19_Расчет_аналитики'!AU560,MeanMinAge18)))</f>
        <v/>
      </c>
      <c r="AV509">
        <f>IF(OR(('19_Расчет_аналитики'!AV425-'19_Расчет_аналитики'!AV453)=0,18&lt;='01_Вводные'!$B$297),0,('19_Расчет_аналитики'!AV425-'19_Расчет_аналитики'!AV453)*IF('01_Вводные'!$B$239="Да",MeanMinAge18+'19_Расчет_аналитики'!AV560*SUMIF(ThresholdAge18,"&lt;"&amp;'19_Расчет_аналитики'!AV560,WeightedRevAge18)-SUMIF(ThresholdAge18,"&lt;"&amp;'19_Расчет_аналитики'!AV560,WeightedMinAge18),MAX(CapacityAge18*'01_Вводные'!$B$218*'19_Расчет_аналитики'!AV560,MeanMinAge18)))</f>
        <v/>
      </c>
      <c r="AW509">
        <f>IF(OR(('19_Расчет_аналитики'!AW425-'19_Расчет_аналитики'!AW453)=0,18&lt;='01_Вводные'!$B$297),0,('19_Расчет_аналитики'!AW425-'19_Расчет_аналитики'!AW453)*IF('01_Вводные'!$B$239="Да",MeanMinAge18+'19_Расчет_аналитики'!AW560*SUMIF(ThresholdAge18,"&lt;"&amp;'19_Расчет_аналитики'!AW560,WeightedRevAge18)-SUMIF(ThresholdAge18,"&lt;"&amp;'19_Расчет_аналитики'!AW560,WeightedMinAge18),MAX(CapacityAge18*'01_Вводные'!$B$218*'19_Расчет_аналитики'!AW560,MeanMinAge18)))</f>
        <v/>
      </c>
      <c r="AX509">
        <f>IF(OR(('19_Расчет_аналитики'!AX425-'19_Расчет_аналитики'!AX453)=0,18&lt;='01_Вводные'!$B$297),0,('19_Расчет_аналитики'!AX425-'19_Расчет_аналитики'!AX453)*IF('01_Вводные'!$B$239="Да",MeanMinAge18+'19_Расчет_аналитики'!AX560*SUMIF(ThresholdAge18,"&lt;"&amp;'19_Расчет_аналитики'!AX560,WeightedRevAge18)-SUMIF(ThresholdAge18,"&lt;"&amp;'19_Расчет_аналитики'!AX560,WeightedMinAge18),MAX(CapacityAge18*'01_Вводные'!$B$218*'19_Расчет_аналитики'!AX560,MeanMinAge18)))</f>
        <v/>
      </c>
      <c r="AY509">
        <f>IF(OR(('19_Расчет_аналитики'!AY425-'19_Расчет_аналитики'!AY453)=0,18&lt;='01_Вводные'!$B$297),0,('19_Расчет_аналитики'!AY425-'19_Расчет_аналитики'!AY453)*IF('01_Вводные'!$B$239="Да",MeanMinAge18+'19_Расчет_аналитики'!AY560*SUMIF(ThresholdAge18,"&lt;"&amp;'19_Расчет_аналитики'!AY560,WeightedRevAge18)-SUMIF(ThresholdAge18,"&lt;"&amp;'19_Расчет_аналитики'!AY560,WeightedMinAge18),MAX(CapacityAge18*'01_Вводные'!$B$218*'19_Расчет_аналитики'!AY560,MeanMinAge18)))</f>
        <v/>
      </c>
      <c r="AZ509">
        <f>IF(OR(('19_Расчет_аналитики'!AZ425-'19_Расчет_аналитики'!AZ453)=0,18&lt;='01_Вводные'!$B$297),0,('19_Расчет_аналитики'!AZ425-'19_Расчет_аналитики'!AZ453)*IF('01_Вводные'!$B$239="Да",MeanMinAge18+'19_Расчет_аналитики'!AZ560*SUMIF(ThresholdAge18,"&lt;"&amp;'19_Расчет_аналитики'!AZ560,WeightedRevAge18)-SUMIF(ThresholdAge18,"&lt;"&amp;'19_Расчет_аналитики'!AZ560,WeightedMinAge18),MAX(CapacityAge18*'01_Вводные'!$B$218*'19_Расчет_аналитики'!AZ560,MeanMinAge18)))</f>
        <v/>
      </c>
      <c r="BA509">
        <f>IF(OR(('19_Расчет_аналитики'!BA425-'19_Расчет_аналитики'!BA453)=0,18&lt;='01_Вводные'!$B$297),0,('19_Расчет_аналитики'!BA425-'19_Расчет_аналитики'!BA453)*IF('01_Вводные'!$B$239="Да",MeanMinAge18+'19_Расчет_аналитики'!BA560*SUMIF(ThresholdAge18,"&lt;"&amp;'19_Расчет_аналитики'!BA560,WeightedRevAge18)-SUMIF(ThresholdAge18,"&lt;"&amp;'19_Расчет_аналитики'!BA560,WeightedMinAge18),MAX(CapacityAge18*'01_Вводные'!$B$218*'19_Расчет_аналитики'!BA560,MeanMinAge18)))</f>
        <v/>
      </c>
      <c r="BB509">
        <f>IF(OR(('19_Расчет_аналитики'!BB425-'19_Расчет_аналитики'!BB453)=0,18&lt;='01_Вводные'!$B$297),0,('19_Расчет_аналитики'!BB425-'19_Расчет_аналитики'!BB453)*IF('01_Вводные'!$B$239="Да",MeanMinAge18+'19_Расчет_аналитики'!BB560*SUMIF(ThresholdAge18,"&lt;"&amp;'19_Расчет_аналитики'!BB560,WeightedRevAge18)-SUMIF(ThresholdAge18,"&lt;"&amp;'19_Расчет_аналитики'!BB560,WeightedMinAge18),MAX(CapacityAge18*'01_Вводные'!$B$218*'19_Расчет_аналитики'!BB560,MeanMinAge18)))</f>
        <v/>
      </c>
      <c r="BC509">
        <f>IF(OR(('19_Расчет_аналитики'!BC425-'19_Расчет_аналитики'!BC453)=0,18&lt;='01_Вводные'!$B$297),0,('19_Расчет_аналитики'!BC425-'19_Расчет_аналитики'!BC453)*IF('01_Вводные'!$B$239="Да",MeanMinAge18+'19_Расчет_аналитики'!BC560*SUMIF(ThresholdAge18,"&lt;"&amp;'19_Расчет_аналитики'!BC560,WeightedRevAge18)-SUMIF(ThresholdAge18,"&lt;"&amp;'19_Расчет_аналитики'!BC560,WeightedMinAge18),MAX(CapacityAge18*'01_Вводные'!$B$218*'19_Расчет_аналитики'!BC560,MeanMinAge18)))</f>
        <v/>
      </c>
      <c r="BD509">
        <f>IF(OR(('19_Расчет_аналитики'!BD425-'19_Расчет_аналитики'!BD453)=0,18&lt;='01_Вводные'!$B$297),0,('19_Расчет_аналитики'!BD425-'19_Расчет_аналитики'!BD453)*IF('01_Вводные'!$B$239="Да",MeanMinAge18+'19_Расчет_аналитики'!BD560*SUMIF(ThresholdAge18,"&lt;"&amp;'19_Расчет_аналитики'!BD560,WeightedRevAge18)-SUMIF(ThresholdAge18,"&lt;"&amp;'19_Расчет_аналитики'!BD560,WeightedMinAge18),MAX(CapacityAge18*'01_Вводные'!$B$218*'19_Расчет_аналитики'!BD560,MeanMinAge18)))</f>
        <v/>
      </c>
      <c r="BE509">
        <f>IF(OR(('19_Расчет_аналитики'!BE425-'19_Расчет_аналитики'!BE453)=0,18&lt;='01_Вводные'!$B$297),0,('19_Расчет_аналитики'!BE425-'19_Расчет_аналитики'!BE453)*IF('01_Вводные'!$B$239="Да",MeanMinAge18+'19_Расчет_аналитики'!BE560*SUMIF(ThresholdAge18,"&lt;"&amp;'19_Расчет_аналитики'!BE560,WeightedRevAge18)-SUMIF(ThresholdAge18,"&lt;"&amp;'19_Расчет_аналитики'!BE560,WeightedMinAge18),MAX(CapacityAge18*'01_Вводные'!$B$218*'19_Расчет_аналитики'!BE560,MeanMinAge18)))</f>
        <v/>
      </c>
      <c r="BF509">
        <f>IF(OR(('19_Расчет_аналитики'!BF425-'19_Расчет_аналитики'!BF453)=0,18&lt;='01_Вводные'!$B$297),0,('19_Расчет_аналитики'!BF425-'19_Расчет_аналитики'!BF453)*IF('01_Вводные'!$B$239="Да",MeanMinAge18+'19_Расчет_аналитики'!BF560*SUMIF(ThresholdAge18,"&lt;"&amp;'19_Расчет_аналитики'!BF560,WeightedRevAge18)-SUMIF(ThresholdAge18,"&lt;"&amp;'19_Расчет_аналитики'!BF560,WeightedMinAge18),MAX(CapacityAge18*'01_Вводные'!$B$218*'19_Расчет_аналитики'!BF560,MeanMinAge18)))</f>
        <v/>
      </c>
      <c r="BG509">
        <f>IF(OR(('19_Расчет_аналитики'!BG425-'19_Расчет_аналитики'!BG453)=0,18&lt;='01_Вводные'!$B$297),0,('19_Расчет_аналитики'!BG425-'19_Расчет_аналитики'!BG453)*IF('01_Вводные'!$B$239="Да",MeanMinAge18+'19_Расчет_аналитики'!BG560*SUMIF(ThresholdAge18,"&lt;"&amp;'19_Расчет_аналитики'!BG560,WeightedRevAge18)-SUMIF(ThresholdAge18,"&lt;"&amp;'19_Расчет_аналитики'!BG560,WeightedMinAge18),MAX(CapacityAge18*'01_Вводные'!$B$218*'19_Расчет_аналитики'!BG560,MeanMinAge18)))</f>
        <v/>
      </c>
      <c r="BH509">
        <f>IF(OR(('19_Расчет_аналитики'!BH425-'19_Расчет_аналитики'!BH453)=0,18&lt;='01_Вводные'!$B$297),0,('19_Расчет_аналитики'!BH425-'19_Расчет_аналитики'!BH453)*IF('01_Вводные'!$B$239="Да",MeanMinAge18+'19_Расчет_аналитики'!BH560*SUMIF(ThresholdAge18,"&lt;"&amp;'19_Расчет_аналитики'!BH560,WeightedRevAge18)-SUMIF(ThresholdAge18,"&lt;"&amp;'19_Расчет_аналитики'!BH560,WeightedMinAge18),MAX(CapacityAge18*'01_Вводные'!$B$218*'19_Расчет_аналитики'!BH560,MeanMinAge18)))</f>
        <v/>
      </c>
      <c r="BI509">
        <f>IF(OR(('19_Расчет_аналитики'!BI425-'19_Расчет_аналитики'!BI453)=0,18&lt;='01_Вводные'!$B$297),0,('19_Расчет_аналитики'!BI425-'19_Расчет_аналитики'!BI453)*IF('01_Вводные'!$B$239="Да",MeanMinAge18+'19_Расчет_аналитики'!BI560*SUMIF(ThresholdAge18,"&lt;"&amp;'19_Расчет_аналитики'!BI560,WeightedRevAge18)-SUMIF(ThresholdAge18,"&lt;"&amp;'19_Расчет_аналитики'!BI560,WeightedMinAge18),MAX(CapacityAge18*'01_Вводные'!$B$218*'19_Расчет_аналитики'!BI560,MeanMinAge18)))</f>
        <v/>
      </c>
      <c r="BJ509">
        <f>IF(OR(('19_Расчет_аналитики'!BJ425-'19_Расчет_аналитики'!BJ453)=0,18&lt;='01_Вводные'!$B$297),0,('19_Расчет_аналитики'!BJ425-'19_Расчет_аналитики'!BJ453)*IF('01_Вводные'!$B$239="Да",MeanMinAge18+'19_Расчет_аналитики'!BJ560*SUMIF(ThresholdAge18,"&lt;"&amp;'19_Расчет_аналитики'!BJ560,WeightedRevAge18)-SUMIF(ThresholdAge18,"&lt;"&amp;'19_Расчет_аналитики'!BJ560,WeightedMinAge18),MAX(CapacityAge18*'01_Вводные'!$B$218*'19_Расчет_аналитики'!BJ560,MeanMinAge18)))</f>
        <v/>
      </c>
      <c r="BK509">
        <f>IF(OR(('19_Расчет_аналитики'!BK425-'19_Расчет_аналитики'!BK453)=0,18&lt;='01_Вводные'!$B$297),0,('19_Расчет_аналитики'!BK425-'19_Расчет_аналитики'!BK453)*IF('01_Вводные'!$B$239="Да",MeanMinAge18+'19_Расчет_аналитики'!BK560*SUMIF(ThresholdAge18,"&lt;"&amp;'19_Расчет_аналитики'!BK560,WeightedRevAge18)-SUMIF(ThresholdAge18,"&lt;"&amp;'19_Расчет_аналитики'!BK560,WeightedMinAge18),MAX(CapacityAge18*'01_Вводные'!$B$218*'19_Расчет_аналитики'!BK560,MeanMinAge18)))</f>
        <v/>
      </c>
      <c r="BL509">
        <f>IF(OR(('19_Расчет_аналитики'!BL425-'19_Расчет_аналитики'!BL453)=0,18&lt;='01_Вводные'!$B$297),0,('19_Расчет_аналитики'!BL425-'19_Расчет_аналитики'!BL453)*IF('01_Вводные'!$B$239="Да",MeanMinAge18+'19_Расчет_аналитики'!BL560*SUMIF(ThresholdAge18,"&lt;"&amp;'19_Расчет_аналитики'!BL560,WeightedRevAge18)-SUMIF(ThresholdAge18,"&lt;"&amp;'19_Расчет_аналитики'!BL560,WeightedMinAge18),MAX(CapacityAge18*'01_Вводные'!$B$218*'19_Расчет_аналитики'!BL560,MeanMinAge18)))</f>
        <v/>
      </c>
      <c r="BM509">
        <f>IF(OR(('19_Расчет_аналитики'!BM425-'19_Расчет_аналитики'!BM453)=0,18&lt;='01_Вводные'!$B$297),0,('19_Расчет_аналитики'!BM425-'19_Расчет_аналитики'!BM453)*IF('01_Вводные'!$B$239="Да",MeanMinAge18+'19_Расчет_аналитики'!BM560*SUMIF(ThresholdAge18,"&lt;"&amp;'19_Расчет_аналитики'!BM560,WeightedRevAge18)-SUMIF(ThresholdAge18,"&lt;"&amp;'19_Расчет_аналитики'!BM560,WeightedMinAge18),MAX(CapacityAge18*'01_Вводные'!$B$218*'19_Расчет_аналитики'!BM560,MeanMinAge18)))</f>
        <v/>
      </c>
      <c r="BN509">
        <f>IF(OR(('19_Расчет_аналитики'!BN425-'19_Расчет_аналитики'!BN453)=0,18&lt;='01_Вводные'!$B$297),0,('19_Расчет_аналитики'!BN425-'19_Расчет_аналитики'!BN453)*IF('01_Вводные'!$B$239="Да",MeanMinAge18+'19_Расчет_аналитики'!BN560*SUMIF(ThresholdAge18,"&lt;"&amp;'19_Расчет_аналитики'!BN560,WeightedRevAge18)-SUMIF(ThresholdAge18,"&lt;"&amp;'19_Расчет_аналитики'!BN560,WeightedMinAge18),MAX(CapacityAge18*'01_Вводные'!$B$218*'19_Расчет_аналитики'!BN560,MeanMinAge18)))</f>
        <v/>
      </c>
      <c r="BO509">
        <f>IF(OR(('19_Расчет_аналитики'!BO425-'19_Расчет_аналитики'!BO453)=0,18&lt;='01_Вводные'!$B$297),0,('19_Расчет_аналитики'!BO425-'19_Расчет_аналитики'!BO453)*IF('01_Вводные'!$B$239="Да",MeanMinAge18+'19_Расчет_аналитики'!BO560*SUMIF(ThresholdAge18,"&lt;"&amp;'19_Расчет_аналитики'!BO560,WeightedRevAge18)-SUMIF(ThresholdAge18,"&lt;"&amp;'19_Расчет_аналитики'!BO560,WeightedMinAge18),MAX(CapacityAge18*'01_Вводные'!$B$218*'19_Расчет_аналитики'!BO560,MeanMinAge18)))</f>
        <v/>
      </c>
    </row>
    <row r="510">
      <c r="B510">
        <f>IF(OR(('06_Сеть_и_дети'!B71-'06_Сеть_и_дети'!B99)=0,19&lt;='01_Вводные'!$B$297),0,('06_Сеть_и_дети'!B71-'06_Сеть_и_дети'!B99)*IF('01_Вводные'!$B$239="Да",MeanMinAge19+'19_Расчет_аналитики'!B560*SUMIF(ThresholdAge19,"&lt;"&amp;'19_Расчет_аналитики'!B560,WeightedRevAge19)-SUMIF(ThresholdAge19,"&lt;"&amp;'19_Расчет_аналитики'!B560,WeightedMinAge19),MAX(CapacityAge19*'01_Вводные'!$B$218*'19_Расчет_аналитики'!B560,MeanMinAge19)))</f>
        <v/>
      </c>
      <c r="C510">
        <f>IF(OR(('06_Сеть_и_дети'!C71-'06_Сеть_и_дети'!C99)=0,19&lt;='01_Вводные'!$B$297),0,('06_Сеть_и_дети'!C71-'06_Сеть_и_дети'!C99)*IF('01_Вводные'!$B$239="Да",MeanMinAge19+'19_Расчет_аналитики'!C560*SUMIF(ThresholdAge19,"&lt;"&amp;'19_Расчет_аналитики'!C560,WeightedRevAge19)-SUMIF(ThresholdAge19,"&lt;"&amp;'19_Расчет_аналитики'!C560,WeightedMinAge19),MAX(CapacityAge19*'01_Вводные'!$B$218*'19_Расчет_аналитики'!C560,MeanMinAge19)))</f>
        <v/>
      </c>
      <c r="D510">
        <f>IF(OR(('06_Сеть_и_дети'!D71-'06_Сеть_и_дети'!D99)=0,19&lt;='01_Вводные'!$B$297),0,('06_Сеть_и_дети'!D71-'06_Сеть_и_дети'!D99)*IF('01_Вводные'!$B$239="Да",MeanMinAge19+'19_Расчет_аналитики'!D560*SUMIF(ThresholdAge19,"&lt;"&amp;'19_Расчет_аналитики'!D560,WeightedRevAge19)-SUMIF(ThresholdAge19,"&lt;"&amp;'19_Расчет_аналитики'!D560,WeightedMinAge19),MAX(CapacityAge19*'01_Вводные'!$B$218*'19_Расчет_аналитики'!D560,MeanMinAge19)))</f>
        <v/>
      </c>
      <c r="E510">
        <f>IF(OR(('06_Сеть_и_дети'!E71-'06_Сеть_и_дети'!E99)=0,19&lt;='01_Вводные'!$B$297),0,('06_Сеть_и_дети'!E71-'06_Сеть_и_дети'!E99)*IF('01_Вводные'!$B$239="Да",MeanMinAge19+'19_Расчет_аналитики'!E560*SUMIF(ThresholdAge19,"&lt;"&amp;'19_Расчет_аналитики'!E560,WeightedRevAge19)-SUMIF(ThresholdAge19,"&lt;"&amp;'19_Расчет_аналитики'!E560,WeightedMinAge19),MAX(CapacityAge19*'01_Вводные'!$B$218*'19_Расчет_аналитики'!E560,MeanMinAge19)))</f>
        <v/>
      </c>
      <c r="F510">
        <f>IF(OR(('06_Сеть_и_дети'!F71-'06_Сеть_и_дети'!F99)=0,19&lt;='01_Вводные'!$B$297),0,('06_Сеть_и_дети'!F71-'06_Сеть_и_дети'!F99)*IF('01_Вводные'!$B$239="Да",MeanMinAge19+'19_Расчет_аналитики'!F560*SUMIF(ThresholdAge19,"&lt;"&amp;'19_Расчет_аналитики'!F560,WeightedRevAge19)-SUMIF(ThresholdAge19,"&lt;"&amp;'19_Расчет_аналитики'!F560,WeightedMinAge19),MAX(CapacityAge19*'01_Вводные'!$B$218*'19_Расчет_аналитики'!F560,MeanMinAge19)))</f>
        <v/>
      </c>
      <c r="G510">
        <f>IF(OR(('06_Сеть_и_дети'!G71-'06_Сеть_и_дети'!G99)=0,19&lt;='01_Вводные'!$B$297),0,('06_Сеть_и_дети'!G71-'06_Сеть_и_дети'!G99)*IF('01_Вводные'!$B$239="Да",MeanMinAge19+'19_Расчет_аналитики'!G560*SUMIF(ThresholdAge19,"&lt;"&amp;'19_Расчет_аналитики'!G560,WeightedRevAge19)-SUMIF(ThresholdAge19,"&lt;"&amp;'19_Расчет_аналитики'!G560,WeightedMinAge19),MAX(CapacityAge19*'01_Вводные'!$B$218*'19_Расчет_аналитики'!G560,MeanMinAge19)))</f>
        <v/>
      </c>
      <c r="H510">
        <f>IF(OR(('06_Сеть_и_дети'!H71-'06_Сеть_и_дети'!H99)=0,19&lt;='01_Вводные'!$B$297),0,('06_Сеть_и_дети'!H71-'06_Сеть_и_дети'!H99)*IF('01_Вводные'!$B$239="Да",MeanMinAge19+'19_Расчет_аналитики'!H560*SUMIF(ThresholdAge19,"&lt;"&amp;'19_Расчет_аналитики'!H560,WeightedRevAge19)-SUMIF(ThresholdAge19,"&lt;"&amp;'19_Расчет_аналитики'!H560,WeightedMinAge19),MAX(CapacityAge19*'01_Вводные'!$B$218*'19_Расчет_аналитики'!H560,MeanMinAge19)))</f>
        <v/>
      </c>
      <c r="I510">
        <f>IF(OR(('06_Сеть_и_дети'!I71-'06_Сеть_и_дети'!I99)=0,19&lt;='01_Вводные'!$B$297),0,('06_Сеть_и_дети'!I71-'06_Сеть_и_дети'!I99)*IF('01_Вводные'!$B$239="Да",MeanMinAge19+'19_Расчет_аналитики'!I560*SUMIF(ThresholdAge19,"&lt;"&amp;'19_Расчет_аналитики'!I560,WeightedRevAge19)-SUMIF(ThresholdAge19,"&lt;"&amp;'19_Расчет_аналитики'!I560,WeightedMinAge19),MAX(CapacityAge19*'01_Вводные'!$B$218*'19_Расчет_аналитики'!I560,MeanMinAge19)))</f>
        <v/>
      </c>
      <c r="J510">
        <f>IF(OR(('06_Сеть_и_дети'!J71-'06_Сеть_и_дети'!J99)=0,19&lt;='01_Вводные'!$B$297),0,('06_Сеть_и_дети'!J71-'06_Сеть_и_дети'!J99)*IF('01_Вводные'!$B$239="Да",MeanMinAge19+'19_Расчет_аналитики'!J560*SUMIF(ThresholdAge19,"&lt;"&amp;'19_Расчет_аналитики'!J560,WeightedRevAge19)-SUMIF(ThresholdAge19,"&lt;"&amp;'19_Расчет_аналитики'!J560,WeightedMinAge19),MAX(CapacityAge19*'01_Вводные'!$B$218*'19_Расчет_аналитики'!J560,MeanMinAge19)))</f>
        <v/>
      </c>
      <c r="K510">
        <f>IF(OR(('06_Сеть_и_дети'!K71-'06_Сеть_и_дети'!K99)=0,19&lt;='01_Вводные'!$B$297),0,('06_Сеть_и_дети'!K71-'06_Сеть_и_дети'!K99)*IF('01_Вводные'!$B$239="Да",MeanMinAge19+'19_Расчет_аналитики'!K560*SUMIF(ThresholdAge19,"&lt;"&amp;'19_Расчет_аналитики'!K560,WeightedRevAge19)-SUMIF(ThresholdAge19,"&lt;"&amp;'19_Расчет_аналитики'!K560,WeightedMinAge19),MAX(CapacityAge19*'01_Вводные'!$B$218*'19_Расчет_аналитики'!K560,MeanMinAge19)))</f>
        <v/>
      </c>
      <c r="L510">
        <f>IF(OR(('06_Сеть_и_дети'!L71-'06_Сеть_и_дети'!L99)=0,19&lt;='01_Вводные'!$B$297),0,('06_Сеть_и_дети'!L71-'06_Сеть_и_дети'!L99)*IF('01_Вводные'!$B$239="Да",MeanMinAge19+'19_Расчет_аналитики'!L560*SUMIF(ThresholdAge19,"&lt;"&amp;'19_Расчет_аналитики'!L560,WeightedRevAge19)-SUMIF(ThresholdAge19,"&lt;"&amp;'19_Расчет_аналитики'!L560,WeightedMinAge19),MAX(CapacityAge19*'01_Вводные'!$B$218*'19_Расчет_аналитики'!L560,MeanMinAge19)))</f>
        <v/>
      </c>
      <c r="M510">
        <f>IF(OR(('06_Сеть_и_дети'!M71-'06_Сеть_и_дети'!M99)=0,19&lt;='01_Вводные'!$B$297),0,('06_Сеть_и_дети'!M71-'06_Сеть_и_дети'!M99)*IF('01_Вводные'!$B$239="Да",MeanMinAge19+'19_Расчет_аналитики'!M560*SUMIF(ThresholdAge19,"&lt;"&amp;'19_Расчет_аналитики'!M560,WeightedRevAge19)-SUMIF(ThresholdAge19,"&lt;"&amp;'19_Расчет_аналитики'!M560,WeightedMinAge19),MAX(CapacityAge19*'01_Вводные'!$B$218*'19_Расчет_аналитики'!M560,MeanMinAge19)))</f>
        <v/>
      </c>
      <c r="N510">
        <f>IF(OR(('06_Сеть_и_дети'!N71-'06_Сеть_и_дети'!N99)=0,19&lt;='01_Вводные'!$B$297),0,('06_Сеть_и_дети'!N71-'06_Сеть_и_дети'!N99)*IF('01_Вводные'!$B$239="Да",MeanMinAge19+'19_Расчет_аналитики'!N560*SUMIF(ThresholdAge19,"&lt;"&amp;'19_Расчет_аналитики'!N560,WeightedRevAge19)-SUMIF(ThresholdAge19,"&lt;"&amp;'19_Расчет_аналитики'!N560,WeightedMinAge19),MAX(CapacityAge19*'01_Вводные'!$B$218*'19_Расчет_аналитики'!N560,MeanMinAge19)))</f>
        <v/>
      </c>
      <c r="O510">
        <f>IF(OR(('06_Сеть_и_дети'!O71-'06_Сеть_и_дети'!O99)=0,19&lt;='01_Вводные'!$B$297),0,('06_Сеть_и_дети'!O71-'06_Сеть_и_дети'!O99)*IF('01_Вводные'!$B$239="Да",MeanMinAge19+'19_Расчет_аналитики'!O560*SUMIF(ThresholdAge19,"&lt;"&amp;'19_Расчет_аналитики'!O560,WeightedRevAge19)-SUMIF(ThresholdAge19,"&lt;"&amp;'19_Расчет_аналитики'!O560,WeightedMinAge19),MAX(CapacityAge19*'01_Вводные'!$B$218*'19_Расчет_аналитики'!O560,MeanMinAge19)))</f>
        <v/>
      </c>
      <c r="P510">
        <f>IF(OR(('06_Сеть_и_дети'!P71-'06_Сеть_и_дети'!P99)=0,19&lt;='01_Вводные'!$B$297),0,('06_Сеть_и_дети'!P71-'06_Сеть_и_дети'!P99)*IF('01_Вводные'!$B$239="Да",MeanMinAge19+'19_Расчет_аналитики'!P560*SUMIF(ThresholdAge19,"&lt;"&amp;'19_Расчет_аналитики'!P560,WeightedRevAge19)-SUMIF(ThresholdAge19,"&lt;"&amp;'19_Расчет_аналитики'!P560,WeightedMinAge19),MAX(CapacityAge19*'01_Вводные'!$B$218*'19_Расчет_аналитики'!P560,MeanMinAge19)))</f>
        <v/>
      </c>
      <c r="Q510">
        <f>IF(OR(('06_Сеть_и_дети'!Q71-'06_Сеть_и_дети'!Q99)=0,19&lt;='01_Вводные'!$B$297),0,('06_Сеть_и_дети'!Q71-'06_Сеть_и_дети'!Q99)*IF('01_Вводные'!$B$239="Да",MeanMinAge19+'19_Расчет_аналитики'!Q560*SUMIF(ThresholdAge19,"&lt;"&amp;'19_Расчет_аналитики'!Q560,WeightedRevAge19)-SUMIF(ThresholdAge19,"&lt;"&amp;'19_Расчет_аналитики'!Q560,WeightedMinAge19),MAX(CapacityAge19*'01_Вводные'!$B$218*'19_Расчет_аналитики'!Q560,MeanMinAge19)))</f>
        <v/>
      </c>
      <c r="R510">
        <f>IF(OR(('06_Сеть_и_дети'!R71-'06_Сеть_и_дети'!R99)=0,19&lt;='01_Вводные'!$B$297),0,('06_Сеть_и_дети'!R71-'06_Сеть_и_дети'!R99)*IF('01_Вводные'!$B$239="Да",MeanMinAge19+'19_Расчет_аналитики'!R560*SUMIF(ThresholdAge19,"&lt;"&amp;'19_Расчет_аналитики'!R560,WeightedRevAge19)-SUMIF(ThresholdAge19,"&lt;"&amp;'19_Расчет_аналитики'!R560,WeightedMinAge19),MAX(CapacityAge19*'01_Вводные'!$B$218*'19_Расчет_аналитики'!R560,MeanMinAge19)))</f>
        <v/>
      </c>
      <c r="S510">
        <f>IF(OR(('06_Сеть_и_дети'!S71-'06_Сеть_и_дети'!S99)=0,19&lt;='01_Вводные'!$B$297),0,('06_Сеть_и_дети'!S71-'06_Сеть_и_дети'!S99)*IF('01_Вводные'!$B$239="Да",MeanMinAge19+'19_Расчет_аналитики'!S560*SUMIF(ThresholdAge19,"&lt;"&amp;'19_Расчет_аналитики'!S560,WeightedRevAge19)-SUMIF(ThresholdAge19,"&lt;"&amp;'19_Расчет_аналитики'!S560,WeightedMinAge19),MAX(CapacityAge19*'01_Вводные'!$B$218*'19_Расчет_аналитики'!S560,MeanMinAge19)))</f>
        <v/>
      </c>
      <c r="T510">
        <f>IF(OR(('19_Расчет_аналитики'!T426-'19_Расчет_аналитики'!T454)=0,19&lt;='01_Вводные'!$B$297),0,('19_Расчет_аналитики'!T426-'19_Расчет_аналитики'!T454)*IF('01_Вводные'!$B$239="Да",MeanMinAge19+'19_Расчет_аналитики'!T560*SUMIF(ThresholdAge19,"&lt;"&amp;'19_Расчет_аналитики'!T560,WeightedRevAge19)-SUMIF(ThresholdAge19,"&lt;"&amp;'19_Расчет_аналитики'!T560,WeightedMinAge19),MAX(CapacityAge19*'01_Вводные'!$B$218*'19_Расчет_аналитики'!T560,MeanMinAge19)))</f>
        <v/>
      </c>
      <c r="U510">
        <f>IF(OR(('19_Расчет_аналитики'!U426-'19_Расчет_аналитики'!U454)=0,19&lt;='01_Вводные'!$B$297),0,('19_Расчет_аналитики'!U426-'19_Расчет_аналитики'!U454)*IF('01_Вводные'!$B$239="Да",MeanMinAge19+'19_Расчет_аналитики'!U560*SUMIF(ThresholdAge19,"&lt;"&amp;'19_Расчет_аналитики'!U560,WeightedRevAge19)-SUMIF(ThresholdAge19,"&lt;"&amp;'19_Расчет_аналитики'!U560,WeightedMinAge19),MAX(CapacityAge19*'01_Вводные'!$B$218*'19_Расчет_аналитики'!U560,MeanMinAge19)))</f>
        <v/>
      </c>
      <c r="V510">
        <f>IF(OR(('19_Расчет_аналитики'!V426-'19_Расчет_аналитики'!V454)=0,19&lt;='01_Вводные'!$B$297),0,('19_Расчет_аналитики'!V426-'19_Расчет_аналитики'!V454)*IF('01_Вводные'!$B$239="Да",MeanMinAge19+'19_Расчет_аналитики'!V560*SUMIF(ThresholdAge19,"&lt;"&amp;'19_Расчет_аналитики'!V560,WeightedRevAge19)-SUMIF(ThresholdAge19,"&lt;"&amp;'19_Расчет_аналитики'!V560,WeightedMinAge19),MAX(CapacityAge19*'01_Вводные'!$B$218*'19_Расчет_аналитики'!V560,MeanMinAge19)))</f>
        <v/>
      </c>
      <c r="W510">
        <f>IF(OR(('19_Расчет_аналитики'!W426-'19_Расчет_аналитики'!W454)=0,19&lt;='01_Вводные'!$B$297),0,('19_Расчет_аналитики'!W426-'19_Расчет_аналитики'!W454)*IF('01_Вводные'!$B$239="Да",MeanMinAge19+'19_Расчет_аналитики'!W560*SUMIF(ThresholdAge19,"&lt;"&amp;'19_Расчет_аналитики'!W560,WeightedRevAge19)-SUMIF(ThresholdAge19,"&lt;"&amp;'19_Расчет_аналитики'!W560,WeightedMinAge19),MAX(CapacityAge19*'01_Вводные'!$B$218*'19_Расчет_аналитики'!W560,MeanMinAge19)))</f>
        <v/>
      </c>
      <c r="X510">
        <f>IF(OR(('19_Расчет_аналитики'!X426-'19_Расчет_аналитики'!X454)=0,19&lt;='01_Вводные'!$B$297),0,('19_Расчет_аналитики'!X426-'19_Расчет_аналитики'!X454)*IF('01_Вводные'!$B$239="Да",MeanMinAge19+'19_Расчет_аналитики'!X560*SUMIF(ThresholdAge19,"&lt;"&amp;'19_Расчет_аналитики'!X560,WeightedRevAge19)-SUMIF(ThresholdAge19,"&lt;"&amp;'19_Расчет_аналитики'!X560,WeightedMinAge19),MAX(CapacityAge19*'01_Вводные'!$B$218*'19_Расчет_аналитики'!X560,MeanMinAge19)))</f>
        <v/>
      </c>
      <c r="Y510">
        <f>IF(OR(('19_Расчет_аналитики'!Y426-'19_Расчет_аналитики'!Y454)=0,19&lt;='01_Вводные'!$B$297),0,('19_Расчет_аналитики'!Y426-'19_Расчет_аналитики'!Y454)*IF('01_Вводные'!$B$239="Да",MeanMinAge19+'19_Расчет_аналитики'!Y560*SUMIF(ThresholdAge19,"&lt;"&amp;'19_Расчет_аналитики'!Y560,WeightedRevAge19)-SUMIF(ThresholdAge19,"&lt;"&amp;'19_Расчет_аналитики'!Y560,WeightedMinAge19),MAX(CapacityAge19*'01_Вводные'!$B$218*'19_Расчет_аналитики'!Y560,MeanMinAge19)))</f>
        <v/>
      </c>
      <c r="Z510">
        <f>IF(OR(('19_Расчет_аналитики'!Z426-'19_Расчет_аналитики'!Z454)=0,19&lt;='01_Вводные'!$B$297),0,('19_Расчет_аналитики'!Z426-'19_Расчет_аналитики'!Z454)*IF('01_Вводные'!$B$239="Да",MeanMinAge19+'19_Расчет_аналитики'!Z560*SUMIF(ThresholdAge19,"&lt;"&amp;'19_Расчет_аналитики'!Z560,WeightedRevAge19)-SUMIF(ThresholdAge19,"&lt;"&amp;'19_Расчет_аналитики'!Z560,WeightedMinAge19),MAX(CapacityAge19*'01_Вводные'!$B$218*'19_Расчет_аналитики'!Z560,MeanMinAge19)))</f>
        <v/>
      </c>
      <c r="AA510">
        <f>IF(OR(('19_Расчет_аналитики'!AA426-'19_Расчет_аналитики'!AA454)=0,19&lt;='01_Вводные'!$B$297),0,('19_Расчет_аналитики'!AA426-'19_Расчет_аналитики'!AA454)*IF('01_Вводные'!$B$239="Да",MeanMinAge19+'19_Расчет_аналитики'!AA560*SUMIF(ThresholdAge19,"&lt;"&amp;'19_Расчет_аналитики'!AA560,WeightedRevAge19)-SUMIF(ThresholdAge19,"&lt;"&amp;'19_Расчет_аналитики'!AA560,WeightedMinAge19),MAX(CapacityAge19*'01_Вводные'!$B$218*'19_Расчет_аналитики'!AA560,MeanMinAge19)))</f>
        <v/>
      </c>
      <c r="AB510">
        <f>IF(OR(('19_Расчет_аналитики'!AB426-'19_Расчет_аналитики'!AB454)=0,19&lt;='01_Вводные'!$B$297),0,('19_Расчет_аналитики'!AB426-'19_Расчет_аналитики'!AB454)*IF('01_Вводные'!$B$239="Да",MeanMinAge19+'19_Расчет_аналитики'!AB560*SUMIF(ThresholdAge19,"&lt;"&amp;'19_Расчет_аналитики'!AB560,WeightedRevAge19)-SUMIF(ThresholdAge19,"&lt;"&amp;'19_Расчет_аналитики'!AB560,WeightedMinAge19),MAX(CapacityAge19*'01_Вводные'!$B$218*'19_Расчет_аналитики'!AB560,MeanMinAge19)))</f>
        <v/>
      </c>
      <c r="AC510">
        <f>IF(OR(('19_Расчет_аналитики'!AC426-'19_Расчет_аналитики'!AC454)=0,19&lt;='01_Вводные'!$B$297),0,('19_Расчет_аналитики'!AC426-'19_Расчет_аналитики'!AC454)*IF('01_Вводные'!$B$239="Да",MeanMinAge19+'19_Расчет_аналитики'!AC560*SUMIF(ThresholdAge19,"&lt;"&amp;'19_Расчет_аналитики'!AC560,WeightedRevAge19)-SUMIF(ThresholdAge19,"&lt;"&amp;'19_Расчет_аналитики'!AC560,WeightedMinAge19),MAX(CapacityAge19*'01_Вводные'!$B$218*'19_Расчет_аналитики'!AC560,MeanMinAge19)))</f>
        <v/>
      </c>
      <c r="AD510">
        <f>IF(OR(('19_Расчет_аналитики'!AD426-'19_Расчет_аналитики'!AD454)=0,19&lt;='01_Вводные'!$B$297),0,('19_Расчет_аналитики'!AD426-'19_Расчет_аналитики'!AD454)*IF('01_Вводные'!$B$239="Да",MeanMinAge19+'19_Расчет_аналитики'!AD560*SUMIF(ThresholdAge19,"&lt;"&amp;'19_Расчет_аналитики'!AD560,WeightedRevAge19)-SUMIF(ThresholdAge19,"&lt;"&amp;'19_Расчет_аналитики'!AD560,WeightedMinAge19),MAX(CapacityAge19*'01_Вводные'!$B$218*'19_Расчет_аналитики'!AD560,MeanMinAge19)))</f>
        <v/>
      </c>
      <c r="AE510">
        <f>IF(OR(('19_Расчет_аналитики'!AE426-'19_Расчет_аналитики'!AE454)=0,19&lt;='01_Вводные'!$B$297),0,('19_Расчет_аналитики'!AE426-'19_Расчет_аналитики'!AE454)*IF('01_Вводные'!$B$239="Да",MeanMinAge19+'19_Расчет_аналитики'!AE560*SUMIF(ThresholdAge19,"&lt;"&amp;'19_Расчет_аналитики'!AE560,WeightedRevAge19)-SUMIF(ThresholdAge19,"&lt;"&amp;'19_Расчет_аналитики'!AE560,WeightedMinAge19),MAX(CapacityAge19*'01_Вводные'!$B$218*'19_Расчет_аналитики'!AE560,MeanMinAge19)))</f>
        <v/>
      </c>
      <c r="AF510">
        <f>IF(OR(('19_Расчет_аналитики'!AF426-'19_Расчет_аналитики'!AF454)=0,19&lt;='01_Вводные'!$B$297),0,('19_Расчет_аналитики'!AF426-'19_Расчет_аналитики'!AF454)*IF('01_Вводные'!$B$239="Да",MeanMinAge19+'19_Расчет_аналитики'!AF560*SUMIF(ThresholdAge19,"&lt;"&amp;'19_Расчет_аналитики'!AF560,WeightedRevAge19)-SUMIF(ThresholdAge19,"&lt;"&amp;'19_Расчет_аналитики'!AF560,WeightedMinAge19),MAX(CapacityAge19*'01_Вводные'!$B$218*'19_Расчет_аналитики'!AF560,MeanMinAge19)))</f>
        <v/>
      </c>
      <c r="AG510">
        <f>IF(OR(('19_Расчет_аналитики'!AG426-'19_Расчет_аналитики'!AG454)=0,19&lt;='01_Вводные'!$B$297),0,('19_Расчет_аналитики'!AG426-'19_Расчет_аналитики'!AG454)*IF('01_Вводные'!$B$239="Да",MeanMinAge19+'19_Расчет_аналитики'!AG560*SUMIF(ThresholdAge19,"&lt;"&amp;'19_Расчет_аналитики'!AG560,WeightedRevAge19)-SUMIF(ThresholdAge19,"&lt;"&amp;'19_Расчет_аналитики'!AG560,WeightedMinAge19),MAX(CapacityAge19*'01_Вводные'!$B$218*'19_Расчет_аналитики'!AG560,MeanMinAge19)))</f>
        <v/>
      </c>
      <c r="AH510">
        <f>IF(OR(('19_Расчет_аналитики'!AH426-'19_Расчет_аналитики'!AH454)=0,19&lt;='01_Вводные'!$B$297),0,('19_Расчет_аналитики'!AH426-'19_Расчет_аналитики'!AH454)*IF('01_Вводные'!$B$239="Да",MeanMinAge19+'19_Расчет_аналитики'!AH560*SUMIF(ThresholdAge19,"&lt;"&amp;'19_Расчет_аналитики'!AH560,WeightedRevAge19)-SUMIF(ThresholdAge19,"&lt;"&amp;'19_Расчет_аналитики'!AH560,WeightedMinAge19),MAX(CapacityAge19*'01_Вводные'!$B$218*'19_Расчет_аналитики'!AH560,MeanMinAge19)))</f>
        <v/>
      </c>
      <c r="AI510">
        <f>IF(OR(('19_Расчет_аналитики'!AI426-'19_Расчет_аналитики'!AI454)=0,19&lt;='01_Вводные'!$B$297),0,('19_Расчет_аналитики'!AI426-'19_Расчет_аналитики'!AI454)*IF('01_Вводные'!$B$239="Да",MeanMinAge19+'19_Расчет_аналитики'!AI560*SUMIF(ThresholdAge19,"&lt;"&amp;'19_Расчет_аналитики'!AI560,WeightedRevAge19)-SUMIF(ThresholdAge19,"&lt;"&amp;'19_Расчет_аналитики'!AI560,WeightedMinAge19),MAX(CapacityAge19*'01_Вводные'!$B$218*'19_Расчет_аналитики'!AI560,MeanMinAge19)))</f>
        <v/>
      </c>
      <c r="AJ510">
        <f>IF(OR(('19_Расчет_аналитики'!AJ426-'19_Расчет_аналитики'!AJ454)=0,19&lt;='01_Вводные'!$B$297),0,('19_Расчет_аналитики'!AJ426-'19_Расчет_аналитики'!AJ454)*IF('01_Вводные'!$B$239="Да",MeanMinAge19+'19_Расчет_аналитики'!AJ560*SUMIF(ThresholdAge19,"&lt;"&amp;'19_Расчет_аналитики'!AJ560,WeightedRevAge19)-SUMIF(ThresholdAge19,"&lt;"&amp;'19_Расчет_аналитики'!AJ560,WeightedMinAge19),MAX(CapacityAge19*'01_Вводные'!$B$218*'19_Расчет_аналитики'!AJ560,MeanMinAge19)))</f>
        <v/>
      </c>
      <c r="AK510">
        <f>IF(OR(('19_Расчет_аналитики'!AK426-'19_Расчет_аналитики'!AK454)=0,19&lt;='01_Вводные'!$B$297),0,('19_Расчет_аналитики'!AK426-'19_Расчет_аналитики'!AK454)*IF('01_Вводные'!$B$239="Да",MeanMinAge19+'19_Расчет_аналитики'!AK560*SUMIF(ThresholdAge19,"&lt;"&amp;'19_Расчет_аналитики'!AK560,WeightedRevAge19)-SUMIF(ThresholdAge19,"&lt;"&amp;'19_Расчет_аналитики'!AK560,WeightedMinAge19),MAX(CapacityAge19*'01_Вводные'!$B$218*'19_Расчет_аналитики'!AK560,MeanMinAge19)))</f>
        <v/>
      </c>
      <c r="AL510">
        <f>IF(OR(('19_Расчет_аналитики'!AL426-'19_Расчет_аналитики'!AL454)=0,19&lt;='01_Вводные'!$B$297),0,('19_Расчет_аналитики'!AL426-'19_Расчет_аналитики'!AL454)*IF('01_Вводные'!$B$239="Да",MeanMinAge19+'19_Расчет_аналитики'!AL560*SUMIF(ThresholdAge19,"&lt;"&amp;'19_Расчет_аналитики'!AL560,WeightedRevAge19)-SUMIF(ThresholdAge19,"&lt;"&amp;'19_Расчет_аналитики'!AL560,WeightedMinAge19),MAX(CapacityAge19*'01_Вводные'!$B$218*'19_Расчет_аналитики'!AL560,MeanMinAge19)))</f>
        <v/>
      </c>
      <c r="AM510">
        <f>IF(OR(('19_Расчет_аналитики'!AM426-'19_Расчет_аналитики'!AM454)=0,19&lt;='01_Вводные'!$B$297),0,('19_Расчет_аналитики'!AM426-'19_Расчет_аналитики'!AM454)*IF('01_Вводные'!$B$239="Да",MeanMinAge19+'19_Расчет_аналитики'!AM560*SUMIF(ThresholdAge19,"&lt;"&amp;'19_Расчет_аналитики'!AM560,WeightedRevAge19)-SUMIF(ThresholdAge19,"&lt;"&amp;'19_Расчет_аналитики'!AM560,WeightedMinAge19),MAX(CapacityAge19*'01_Вводные'!$B$218*'19_Расчет_аналитики'!AM560,MeanMinAge19)))</f>
        <v/>
      </c>
      <c r="AN510">
        <f>IF(OR(('19_Расчет_аналитики'!AN426-'19_Расчет_аналитики'!AN454)=0,19&lt;='01_Вводные'!$B$297),0,('19_Расчет_аналитики'!AN426-'19_Расчет_аналитики'!AN454)*IF('01_Вводные'!$B$239="Да",MeanMinAge19+'19_Расчет_аналитики'!AN560*SUMIF(ThresholdAge19,"&lt;"&amp;'19_Расчет_аналитики'!AN560,WeightedRevAge19)-SUMIF(ThresholdAge19,"&lt;"&amp;'19_Расчет_аналитики'!AN560,WeightedMinAge19),MAX(CapacityAge19*'01_Вводные'!$B$218*'19_Расчет_аналитики'!AN560,MeanMinAge19)))</f>
        <v/>
      </c>
      <c r="AO510">
        <f>IF(OR(('19_Расчет_аналитики'!AO426-'19_Расчет_аналитики'!AO454)=0,19&lt;='01_Вводные'!$B$297),0,('19_Расчет_аналитики'!AO426-'19_Расчет_аналитики'!AO454)*IF('01_Вводные'!$B$239="Да",MeanMinAge19+'19_Расчет_аналитики'!AO560*SUMIF(ThresholdAge19,"&lt;"&amp;'19_Расчет_аналитики'!AO560,WeightedRevAge19)-SUMIF(ThresholdAge19,"&lt;"&amp;'19_Расчет_аналитики'!AO560,WeightedMinAge19),MAX(CapacityAge19*'01_Вводные'!$B$218*'19_Расчет_аналитики'!AO560,MeanMinAge19)))</f>
        <v/>
      </c>
      <c r="AP510">
        <f>IF(OR(('19_Расчет_аналитики'!AP426-'19_Расчет_аналитики'!AP454)=0,19&lt;='01_Вводные'!$B$297),0,('19_Расчет_аналитики'!AP426-'19_Расчет_аналитики'!AP454)*IF('01_Вводные'!$B$239="Да",MeanMinAge19+'19_Расчет_аналитики'!AP560*SUMIF(ThresholdAge19,"&lt;"&amp;'19_Расчет_аналитики'!AP560,WeightedRevAge19)-SUMIF(ThresholdAge19,"&lt;"&amp;'19_Расчет_аналитики'!AP560,WeightedMinAge19),MAX(CapacityAge19*'01_Вводные'!$B$218*'19_Расчет_аналитики'!AP560,MeanMinAge19)))</f>
        <v/>
      </c>
      <c r="AQ510">
        <f>IF(OR(('19_Расчет_аналитики'!AQ426-'19_Расчет_аналитики'!AQ454)=0,19&lt;='01_Вводные'!$B$297),0,('19_Расчет_аналитики'!AQ426-'19_Расчет_аналитики'!AQ454)*IF('01_Вводные'!$B$239="Да",MeanMinAge19+'19_Расчет_аналитики'!AQ560*SUMIF(ThresholdAge19,"&lt;"&amp;'19_Расчет_аналитики'!AQ560,WeightedRevAge19)-SUMIF(ThresholdAge19,"&lt;"&amp;'19_Расчет_аналитики'!AQ560,WeightedMinAge19),MAX(CapacityAge19*'01_Вводные'!$B$218*'19_Расчет_аналитики'!AQ560,MeanMinAge19)))</f>
        <v/>
      </c>
      <c r="AR510">
        <f>IF(OR(('19_Расчет_аналитики'!AR426-'19_Расчет_аналитики'!AR454)=0,19&lt;='01_Вводные'!$B$297),0,('19_Расчет_аналитики'!AR426-'19_Расчет_аналитики'!AR454)*IF('01_Вводные'!$B$239="Да",MeanMinAge19+'19_Расчет_аналитики'!AR560*SUMIF(ThresholdAge19,"&lt;"&amp;'19_Расчет_аналитики'!AR560,WeightedRevAge19)-SUMIF(ThresholdAge19,"&lt;"&amp;'19_Расчет_аналитики'!AR560,WeightedMinAge19),MAX(CapacityAge19*'01_Вводные'!$B$218*'19_Расчет_аналитики'!AR560,MeanMinAge19)))</f>
        <v/>
      </c>
      <c r="AS510">
        <f>IF(OR(('19_Расчет_аналитики'!AS426-'19_Расчет_аналитики'!AS454)=0,19&lt;='01_Вводные'!$B$297),0,('19_Расчет_аналитики'!AS426-'19_Расчет_аналитики'!AS454)*IF('01_Вводные'!$B$239="Да",MeanMinAge19+'19_Расчет_аналитики'!AS560*SUMIF(ThresholdAge19,"&lt;"&amp;'19_Расчет_аналитики'!AS560,WeightedRevAge19)-SUMIF(ThresholdAge19,"&lt;"&amp;'19_Расчет_аналитики'!AS560,WeightedMinAge19),MAX(CapacityAge19*'01_Вводные'!$B$218*'19_Расчет_аналитики'!AS560,MeanMinAge19)))</f>
        <v/>
      </c>
      <c r="AT510">
        <f>IF(OR(('19_Расчет_аналитики'!AT426-'19_Расчет_аналитики'!AT454)=0,19&lt;='01_Вводные'!$B$297),0,('19_Расчет_аналитики'!AT426-'19_Расчет_аналитики'!AT454)*IF('01_Вводные'!$B$239="Да",MeanMinAge19+'19_Расчет_аналитики'!AT560*SUMIF(ThresholdAge19,"&lt;"&amp;'19_Расчет_аналитики'!AT560,WeightedRevAge19)-SUMIF(ThresholdAge19,"&lt;"&amp;'19_Расчет_аналитики'!AT560,WeightedMinAge19),MAX(CapacityAge19*'01_Вводные'!$B$218*'19_Расчет_аналитики'!AT560,MeanMinAge19)))</f>
        <v/>
      </c>
      <c r="AU510">
        <f>IF(OR(('19_Расчет_аналитики'!AU426-'19_Расчет_аналитики'!AU454)=0,19&lt;='01_Вводные'!$B$297),0,('19_Расчет_аналитики'!AU426-'19_Расчет_аналитики'!AU454)*IF('01_Вводные'!$B$239="Да",MeanMinAge19+'19_Расчет_аналитики'!AU560*SUMIF(ThresholdAge19,"&lt;"&amp;'19_Расчет_аналитики'!AU560,WeightedRevAge19)-SUMIF(ThresholdAge19,"&lt;"&amp;'19_Расчет_аналитики'!AU560,WeightedMinAge19),MAX(CapacityAge19*'01_Вводные'!$B$218*'19_Расчет_аналитики'!AU560,MeanMinAge19)))</f>
        <v/>
      </c>
      <c r="AV510">
        <f>IF(OR(('19_Расчет_аналитики'!AV426-'19_Расчет_аналитики'!AV454)=0,19&lt;='01_Вводные'!$B$297),0,('19_Расчет_аналитики'!AV426-'19_Расчет_аналитики'!AV454)*IF('01_Вводные'!$B$239="Да",MeanMinAge19+'19_Расчет_аналитики'!AV560*SUMIF(ThresholdAge19,"&lt;"&amp;'19_Расчет_аналитики'!AV560,WeightedRevAge19)-SUMIF(ThresholdAge19,"&lt;"&amp;'19_Расчет_аналитики'!AV560,WeightedMinAge19),MAX(CapacityAge19*'01_Вводные'!$B$218*'19_Расчет_аналитики'!AV560,MeanMinAge19)))</f>
        <v/>
      </c>
      <c r="AW510">
        <f>IF(OR(('19_Расчет_аналитики'!AW426-'19_Расчет_аналитики'!AW454)=0,19&lt;='01_Вводные'!$B$297),0,('19_Расчет_аналитики'!AW426-'19_Расчет_аналитики'!AW454)*IF('01_Вводные'!$B$239="Да",MeanMinAge19+'19_Расчет_аналитики'!AW560*SUMIF(ThresholdAge19,"&lt;"&amp;'19_Расчет_аналитики'!AW560,WeightedRevAge19)-SUMIF(ThresholdAge19,"&lt;"&amp;'19_Расчет_аналитики'!AW560,WeightedMinAge19),MAX(CapacityAge19*'01_Вводные'!$B$218*'19_Расчет_аналитики'!AW560,MeanMinAge19)))</f>
        <v/>
      </c>
      <c r="AX510">
        <f>IF(OR(('19_Расчет_аналитики'!AX426-'19_Расчет_аналитики'!AX454)=0,19&lt;='01_Вводные'!$B$297),0,('19_Расчет_аналитики'!AX426-'19_Расчет_аналитики'!AX454)*IF('01_Вводные'!$B$239="Да",MeanMinAge19+'19_Расчет_аналитики'!AX560*SUMIF(ThresholdAge19,"&lt;"&amp;'19_Расчет_аналитики'!AX560,WeightedRevAge19)-SUMIF(ThresholdAge19,"&lt;"&amp;'19_Расчет_аналитики'!AX560,WeightedMinAge19),MAX(CapacityAge19*'01_Вводные'!$B$218*'19_Расчет_аналитики'!AX560,MeanMinAge19)))</f>
        <v/>
      </c>
      <c r="AY510">
        <f>IF(OR(('19_Расчет_аналитики'!AY426-'19_Расчет_аналитики'!AY454)=0,19&lt;='01_Вводные'!$B$297),0,('19_Расчет_аналитики'!AY426-'19_Расчет_аналитики'!AY454)*IF('01_Вводные'!$B$239="Да",MeanMinAge19+'19_Расчет_аналитики'!AY560*SUMIF(ThresholdAge19,"&lt;"&amp;'19_Расчет_аналитики'!AY560,WeightedRevAge19)-SUMIF(ThresholdAge19,"&lt;"&amp;'19_Расчет_аналитики'!AY560,WeightedMinAge19),MAX(CapacityAge19*'01_Вводные'!$B$218*'19_Расчет_аналитики'!AY560,MeanMinAge19)))</f>
        <v/>
      </c>
      <c r="AZ510">
        <f>IF(OR(('19_Расчет_аналитики'!AZ426-'19_Расчет_аналитики'!AZ454)=0,19&lt;='01_Вводные'!$B$297),0,('19_Расчет_аналитики'!AZ426-'19_Расчет_аналитики'!AZ454)*IF('01_Вводные'!$B$239="Да",MeanMinAge19+'19_Расчет_аналитики'!AZ560*SUMIF(ThresholdAge19,"&lt;"&amp;'19_Расчет_аналитики'!AZ560,WeightedRevAge19)-SUMIF(ThresholdAge19,"&lt;"&amp;'19_Расчет_аналитики'!AZ560,WeightedMinAge19),MAX(CapacityAge19*'01_Вводные'!$B$218*'19_Расчет_аналитики'!AZ560,MeanMinAge19)))</f>
        <v/>
      </c>
      <c r="BA510">
        <f>IF(OR(('19_Расчет_аналитики'!BA426-'19_Расчет_аналитики'!BA454)=0,19&lt;='01_Вводные'!$B$297),0,('19_Расчет_аналитики'!BA426-'19_Расчет_аналитики'!BA454)*IF('01_Вводные'!$B$239="Да",MeanMinAge19+'19_Расчет_аналитики'!BA560*SUMIF(ThresholdAge19,"&lt;"&amp;'19_Расчет_аналитики'!BA560,WeightedRevAge19)-SUMIF(ThresholdAge19,"&lt;"&amp;'19_Расчет_аналитики'!BA560,WeightedMinAge19),MAX(CapacityAge19*'01_Вводные'!$B$218*'19_Расчет_аналитики'!BA560,MeanMinAge19)))</f>
        <v/>
      </c>
      <c r="BB510">
        <f>IF(OR(('19_Расчет_аналитики'!BB426-'19_Расчет_аналитики'!BB454)=0,19&lt;='01_Вводные'!$B$297),0,('19_Расчет_аналитики'!BB426-'19_Расчет_аналитики'!BB454)*IF('01_Вводные'!$B$239="Да",MeanMinAge19+'19_Расчет_аналитики'!BB560*SUMIF(ThresholdAge19,"&lt;"&amp;'19_Расчет_аналитики'!BB560,WeightedRevAge19)-SUMIF(ThresholdAge19,"&lt;"&amp;'19_Расчет_аналитики'!BB560,WeightedMinAge19),MAX(CapacityAge19*'01_Вводные'!$B$218*'19_Расчет_аналитики'!BB560,MeanMinAge19)))</f>
        <v/>
      </c>
      <c r="BC510">
        <f>IF(OR(('19_Расчет_аналитики'!BC426-'19_Расчет_аналитики'!BC454)=0,19&lt;='01_Вводные'!$B$297),0,('19_Расчет_аналитики'!BC426-'19_Расчет_аналитики'!BC454)*IF('01_Вводные'!$B$239="Да",MeanMinAge19+'19_Расчет_аналитики'!BC560*SUMIF(ThresholdAge19,"&lt;"&amp;'19_Расчет_аналитики'!BC560,WeightedRevAge19)-SUMIF(ThresholdAge19,"&lt;"&amp;'19_Расчет_аналитики'!BC560,WeightedMinAge19),MAX(CapacityAge19*'01_Вводные'!$B$218*'19_Расчет_аналитики'!BC560,MeanMinAge19)))</f>
        <v/>
      </c>
      <c r="BD510">
        <f>IF(OR(('19_Расчет_аналитики'!BD426-'19_Расчет_аналитики'!BD454)=0,19&lt;='01_Вводные'!$B$297),0,('19_Расчет_аналитики'!BD426-'19_Расчет_аналитики'!BD454)*IF('01_Вводные'!$B$239="Да",MeanMinAge19+'19_Расчет_аналитики'!BD560*SUMIF(ThresholdAge19,"&lt;"&amp;'19_Расчет_аналитики'!BD560,WeightedRevAge19)-SUMIF(ThresholdAge19,"&lt;"&amp;'19_Расчет_аналитики'!BD560,WeightedMinAge19),MAX(CapacityAge19*'01_Вводные'!$B$218*'19_Расчет_аналитики'!BD560,MeanMinAge19)))</f>
        <v/>
      </c>
      <c r="BE510">
        <f>IF(OR(('19_Расчет_аналитики'!BE426-'19_Расчет_аналитики'!BE454)=0,19&lt;='01_Вводные'!$B$297),0,('19_Расчет_аналитики'!BE426-'19_Расчет_аналитики'!BE454)*IF('01_Вводные'!$B$239="Да",MeanMinAge19+'19_Расчет_аналитики'!BE560*SUMIF(ThresholdAge19,"&lt;"&amp;'19_Расчет_аналитики'!BE560,WeightedRevAge19)-SUMIF(ThresholdAge19,"&lt;"&amp;'19_Расчет_аналитики'!BE560,WeightedMinAge19),MAX(CapacityAge19*'01_Вводные'!$B$218*'19_Расчет_аналитики'!BE560,MeanMinAge19)))</f>
        <v/>
      </c>
      <c r="BF510">
        <f>IF(OR(('19_Расчет_аналитики'!BF426-'19_Расчет_аналитики'!BF454)=0,19&lt;='01_Вводные'!$B$297),0,('19_Расчет_аналитики'!BF426-'19_Расчет_аналитики'!BF454)*IF('01_Вводные'!$B$239="Да",MeanMinAge19+'19_Расчет_аналитики'!BF560*SUMIF(ThresholdAge19,"&lt;"&amp;'19_Расчет_аналитики'!BF560,WeightedRevAge19)-SUMIF(ThresholdAge19,"&lt;"&amp;'19_Расчет_аналитики'!BF560,WeightedMinAge19),MAX(CapacityAge19*'01_Вводные'!$B$218*'19_Расчет_аналитики'!BF560,MeanMinAge19)))</f>
        <v/>
      </c>
      <c r="BG510">
        <f>IF(OR(('19_Расчет_аналитики'!BG426-'19_Расчет_аналитики'!BG454)=0,19&lt;='01_Вводные'!$B$297),0,('19_Расчет_аналитики'!BG426-'19_Расчет_аналитики'!BG454)*IF('01_Вводные'!$B$239="Да",MeanMinAge19+'19_Расчет_аналитики'!BG560*SUMIF(ThresholdAge19,"&lt;"&amp;'19_Расчет_аналитики'!BG560,WeightedRevAge19)-SUMIF(ThresholdAge19,"&lt;"&amp;'19_Расчет_аналитики'!BG560,WeightedMinAge19),MAX(CapacityAge19*'01_Вводные'!$B$218*'19_Расчет_аналитики'!BG560,MeanMinAge19)))</f>
        <v/>
      </c>
      <c r="BH510">
        <f>IF(OR(('19_Расчет_аналитики'!BH426-'19_Расчет_аналитики'!BH454)=0,19&lt;='01_Вводные'!$B$297),0,('19_Расчет_аналитики'!BH426-'19_Расчет_аналитики'!BH454)*IF('01_Вводные'!$B$239="Да",MeanMinAge19+'19_Расчет_аналитики'!BH560*SUMIF(ThresholdAge19,"&lt;"&amp;'19_Расчет_аналитики'!BH560,WeightedRevAge19)-SUMIF(ThresholdAge19,"&lt;"&amp;'19_Расчет_аналитики'!BH560,WeightedMinAge19),MAX(CapacityAge19*'01_Вводные'!$B$218*'19_Расчет_аналитики'!BH560,MeanMinAge19)))</f>
        <v/>
      </c>
      <c r="BI510">
        <f>IF(OR(('19_Расчет_аналитики'!BI426-'19_Расчет_аналитики'!BI454)=0,19&lt;='01_Вводные'!$B$297),0,('19_Расчет_аналитики'!BI426-'19_Расчет_аналитики'!BI454)*IF('01_Вводные'!$B$239="Да",MeanMinAge19+'19_Расчет_аналитики'!BI560*SUMIF(ThresholdAge19,"&lt;"&amp;'19_Расчет_аналитики'!BI560,WeightedRevAge19)-SUMIF(ThresholdAge19,"&lt;"&amp;'19_Расчет_аналитики'!BI560,WeightedMinAge19),MAX(CapacityAge19*'01_Вводные'!$B$218*'19_Расчет_аналитики'!BI560,MeanMinAge19)))</f>
        <v/>
      </c>
      <c r="BJ510">
        <f>IF(OR(('19_Расчет_аналитики'!BJ426-'19_Расчет_аналитики'!BJ454)=0,19&lt;='01_Вводные'!$B$297),0,('19_Расчет_аналитики'!BJ426-'19_Расчет_аналитики'!BJ454)*IF('01_Вводные'!$B$239="Да",MeanMinAge19+'19_Расчет_аналитики'!BJ560*SUMIF(ThresholdAge19,"&lt;"&amp;'19_Расчет_аналитики'!BJ560,WeightedRevAge19)-SUMIF(ThresholdAge19,"&lt;"&amp;'19_Расчет_аналитики'!BJ560,WeightedMinAge19),MAX(CapacityAge19*'01_Вводные'!$B$218*'19_Расчет_аналитики'!BJ560,MeanMinAge19)))</f>
        <v/>
      </c>
      <c r="BK510">
        <f>IF(OR(('19_Расчет_аналитики'!BK426-'19_Расчет_аналитики'!BK454)=0,19&lt;='01_Вводные'!$B$297),0,('19_Расчет_аналитики'!BK426-'19_Расчет_аналитики'!BK454)*IF('01_Вводные'!$B$239="Да",MeanMinAge19+'19_Расчет_аналитики'!BK560*SUMIF(ThresholdAge19,"&lt;"&amp;'19_Расчет_аналитики'!BK560,WeightedRevAge19)-SUMIF(ThresholdAge19,"&lt;"&amp;'19_Расчет_аналитики'!BK560,WeightedMinAge19),MAX(CapacityAge19*'01_Вводные'!$B$218*'19_Расчет_аналитики'!BK560,MeanMinAge19)))</f>
        <v/>
      </c>
      <c r="BL510">
        <f>IF(OR(('19_Расчет_аналитики'!BL426-'19_Расчет_аналитики'!BL454)=0,19&lt;='01_Вводные'!$B$297),0,('19_Расчет_аналитики'!BL426-'19_Расчет_аналитики'!BL454)*IF('01_Вводные'!$B$239="Да",MeanMinAge19+'19_Расчет_аналитики'!BL560*SUMIF(ThresholdAge19,"&lt;"&amp;'19_Расчет_аналитики'!BL560,WeightedRevAge19)-SUMIF(ThresholdAge19,"&lt;"&amp;'19_Расчет_аналитики'!BL560,WeightedMinAge19),MAX(CapacityAge19*'01_Вводные'!$B$218*'19_Расчет_аналитики'!BL560,MeanMinAge19)))</f>
        <v/>
      </c>
      <c r="BM510">
        <f>IF(OR(('19_Расчет_аналитики'!BM426-'19_Расчет_аналитики'!BM454)=0,19&lt;='01_Вводные'!$B$297),0,('19_Расчет_аналитики'!BM426-'19_Расчет_аналитики'!BM454)*IF('01_Вводные'!$B$239="Да",MeanMinAge19+'19_Расчет_аналитики'!BM560*SUMIF(ThresholdAge19,"&lt;"&amp;'19_Расчет_аналитики'!BM560,WeightedRevAge19)-SUMIF(ThresholdAge19,"&lt;"&amp;'19_Расчет_аналитики'!BM560,WeightedMinAge19),MAX(CapacityAge19*'01_Вводные'!$B$218*'19_Расчет_аналитики'!BM560,MeanMinAge19)))</f>
        <v/>
      </c>
      <c r="BN510">
        <f>IF(OR(('19_Расчет_аналитики'!BN426-'19_Расчет_аналитики'!BN454)=0,19&lt;='01_Вводные'!$B$297),0,('19_Расчет_аналитики'!BN426-'19_Расчет_аналитики'!BN454)*IF('01_Вводные'!$B$239="Да",MeanMinAge19+'19_Расчет_аналитики'!BN560*SUMIF(ThresholdAge19,"&lt;"&amp;'19_Расчет_аналитики'!BN560,WeightedRevAge19)-SUMIF(ThresholdAge19,"&lt;"&amp;'19_Расчет_аналитики'!BN560,WeightedMinAge19),MAX(CapacityAge19*'01_Вводные'!$B$218*'19_Расчет_аналитики'!BN560,MeanMinAge19)))</f>
        <v/>
      </c>
      <c r="BO510">
        <f>IF(OR(('19_Расчет_аналитики'!BO426-'19_Расчет_аналитики'!BO454)=0,19&lt;='01_Вводные'!$B$297),0,('19_Расчет_аналитики'!BO426-'19_Расчет_аналитики'!BO454)*IF('01_Вводные'!$B$239="Да",MeanMinAge19+'19_Расчет_аналитики'!BO560*SUMIF(ThresholdAge19,"&lt;"&amp;'19_Расчет_аналитики'!BO560,WeightedRevAge19)-SUMIF(ThresholdAge19,"&lt;"&amp;'19_Расчет_аналитики'!BO560,WeightedMinAge19),MAX(CapacityAge19*'01_Вводные'!$B$218*'19_Расчет_аналитики'!BO560,MeanMinAge19)))</f>
        <v/>
      </c>
    </row>
    <row r="511">
      <c r="B511">
        <f>IF(OR(('06_Сеть_и_дети'!B72-'06_Сеть_и_дети'!B100)=0,20&lt;='01_Вводные'!$B$297),0,('06_Сеть_и_дети'!B72-'06_Сеть_и_дети'!B100)*IF('01_Вводные'!$B$239="Да",MeanMinAge20+'19_Расчет_аналитики'!B560*SUMIF(ThresholdAge20,"&lt;"&amp;'19_Расчет_аналитики'!B560,WeightedRevAge20)-SUMIF(ThresholdAge20,"&lt;"&amp;'19_Расчет_аналитики'!B560,WeightedMinAge20),MAX(CapacityAge20*'01_Вводные'!$B$218*'19_Расчет_аналитики'!B560,MeanMinAge20)))</f>
        <v/>
      </c>
      <c r="C511">
        <f>IF(OR(('06_Сеть_и_дети'!C72-'06_Сеть_и_дети'!C100)=0,20&lt;='01_Вводные'!$B$297),0,('06_Сеть_и_дети'!C72-'06_Сеть_и_дети'!C100)*IF('01_Вводные'!$B$239="Да",MeanMinAge20+'19_Расчет_аналитики'!C560*SUMIF(ThresholdAge20,"&lt;"&amp;'19_Расчет_аналитики'!C560,WeightedRevAge20)-SUMIF(ThresholdAge20,"&lt;"&amp;'19_Расчет_аналитики'!C560,WeightedMinAge20),MAX(CapacityAge20*'01_Вводные'!$B$218*'19_Расчет_аналитики'!C560,MeanMinAge20)))</f>
        <v/>
      </c>
      <c r="D511">
        <f>IF(OR(('06_Сеть_и_дети'!D72-'06_Сеть_и_дети'!D100)=0,20&lt;='01_Вводные'!$B$297),0,('06_Сеть_и_дети'!D72-'06_Сеть_и_дети'!D100)*IF('01_Вводные'!$B$239="Да",MeanMinAge20+'19_Расчет_аналитики'!D560*SUMIF(ThresholdAge20,"&lt;"&amp;'19_Расчет_аналитики'!D560,WeightedRevAge20)-SUMIF(ThresholdAge20,"&lt;"&amp;'19_Расчет_аналитики'!D560,WeightedMinAge20),MAX(CapacityAge20*'01_Вводные'!$B$218*'19_Расчет_аналитики'!D560,MeanMinAge20)))</f>
        <v/>
      </c>
      <c r="E511">
        <f>IF(OR(('06_Сеть_и_дети'!E72-'06_Сеть_и_дети'!E100)=0,20&lt;='01_Вводные'!$B$297),0,('06_Сеть_и_дети'!E72-'06_Сеть_и_дети'!E100)*IF('01_Вводные'!$B$239="Да",MeanMinAge20+'19_Расчет_аналитики'!E560*SUMIF(ThresholdAge20,"&lt;"&amp;'19_Расчет_аналитики'!E560,WeightedRevAge20)-SUMIF(ThresholdAge20,"&lt;"&amp;'19_Расчет_аналитики'!E560,WeightedMinAge20),MAX(CapacityAge20*'01_Вводные'!$B$218*'19_Расчет_аналитики'!E560,MeanMinAge20)))</f>
        <v/>
      </c>
      <c r="F511">
        <f>IF(OR(('06_Сеть_и_дети'!F72-'06_Сеть_и_дети'!F100)=0,20&lt;='01_Вводные'!$B$297),0,('06_Сеть_и_дети'!F72-'06_Сеть_и_дети'!F100)*IF('01_Вводные'!$B$239="Да",MeanMinAge20+'19_Расчет_аналитики'!F560*SUMIF(ThresholdAge20,"&lt;"&amp;'19_Расчет_аналитики'!F560,WeightedRevAge20)-SUMIF(ThresholdAge20,"&lt;"&amp;'19_Расчет_аналитики'!F560,WeightedMinAge20),MAX(CapacityAge20*'01_Вводные'!$B$218*'19_Расчет_аналитики'!F560,MeanMinAge20)))</f>
        <v/>
      </c>
      <c r="G511">
        <f>IF(OR(('06_Сеть_и_дети'!G72-'06_Сеть_и_дети'!G100)=0,20&lt;='01_Вводные'!$B$297),0,('06_Сеть_и_дети'!G72-'06_Сеть_и_дети'!G100)*IF('01_Вводные'!$B$239="Да",MeanMinAge20+'19_Расчет_аналитики'!G560*SUMIF(ThresholdAge20,"&lt;"&amp;'19_Расчет_аналитики'!G560,WeightedRevAge20)-SUMIF(ThresholdAge20,"&lt;"&amp;'19_Расчет_аналитики'!G560,WeightedMinAge20),MAX(CapacityAge20*'01_Вводные'!$B$218*'19_Расчет_аналитики'!G560,MeanMinAge20)))</f>
        <v/>
      </c>
      <c r="H511">
        <f>IF(OR(('06_Сеть_и_дети'!H72-'06_Сеть_и_дети'!H100)=0,20&lt;='01_Вводные'!$B$297),0,('06_Сеть_и_дети'!H72-'06_Сеть_и_дети'!H100)*IF('01_Вводные'!$B$239="Да",MeanMinAge20+'19_Расчет_аналитики'!H560*SUMIF(ThresholdAge20,"&lt;"&amp;'19_Расчет_аналитики'!H560,WeightedRevAge20)-SUMIF(ThresholdAge20,"&lt;"&amp;'19_Расчет_аналитики'!H560,WeightedMinAge20),MAX(CapacityAge20*'01_Вводные'!$B$218*'19_Расчет_аналитики'!H560,MeanMinAge20)))</f>
        <v/>
      </c>
      <c r="I511">
        <f>IF(OR(('06_Сеть_и_дети'!I72-'06_Сеть_и_дети'!I100)=0,20&lt;='01_Вводные'!$B$297),0,('06_Сеть_и_дети'!I72-'06_Сеть_и_дети'!I100)*IF('01_Вводные'!$B$239="Да",MeanMinAge20+'19_Расчет_аналитики'!I560*SUMIF(ThresholdAge20,"&lt;"&amp;'19_Расчет_аналитики'!I560,WeightedRevAge20)-SUMIF(ThresholdAge20,"&lt;"&amp;'19_Расчет_аналитики'!I560,WeightedMinAge20),MAX(CapacityAge20*'01_Вводные'!$B$218*'19_Расчет_аналитики'!I560,MeanMinAge20)))</f>
        <v/>
      </c>
      <c r="J511">
        <f>IF(OR(('06_Сеть_и_дети'!J72-'06_Сеть_и_дети'!J100)=0,20&lt;='01_Вводные'!$B$297),0,('06_Сеть_и_дети'!J72-'06_Сеть_и_дети'!J100)*IF('01_Вводные'!$B$239="Да",MeanMinAge20+'19_Расчет_аналитики'!J560*SUMIF(ThresholdAge20,"&lt;"&amp;'19_Расчет_аналитики'!J560,WeightedRevAge20)-SUMIF(ThresholdAge20,"&lt;"&amp;'19_Расчет_аналитики'!J560,WeightedMinAge20),MAX(CapacityAge20*'01_Вводные'!$B$218*'19_Расчет_аналитики'!J560,MeanMinAge20)))</f>
        <v/>
      </c>
      <c r="K511">
        <f>IF(OR(('06_Сеть_и_дети'!K72-'06_Сеть_и_дети'!K100)=0,20&lt;='01_Вводные'!$B$297),0,('06_Сеть_и_дети'!K72-'06_Сеть_и_дети'!K100)*IF('01_Вводные'!$B$239="Да",MeanMinAge20+'19_Расчет_аналитики'!K560*SUMIF(ThresholdAge20,"&lt;"&amp;'19_Расчет_аналитики'!K560,WeightedRevAge20)-SUMIF(ThresholdAge20,"&lt;"&amp;'19_Расчет_аналитики'!K560,WeightedMinAge20),MAX(CapacityAge20*'01_Вводные'!$B$218*'19_Расчет_аналитики'!K560,MeanMinAge20)))</f>
        <v/>
      </c>
      <c r="L511">
        <f>IF(OR(('06_Сеть_и_дети'!L72-'06_Сеть_и_дети'!L100)=0,20&lt;='01_Вводные'!$B$297),0,('06_Сеть_и_дети'!L72-'06_Сеть_и_дети'!L100)*IF('01_Вводные'!$B$239="Да",MeanMinAge20+'19_Расчет_аналитики'!L560*SUMIF(ThresholdAge20,"&lt;"&amp;'19_Расчет_аналитики'!L560,WeightedRevAge20)-SUMIF(ThresholdAge20,"&lt;"&amp;'19_Расчет_аналитики'!L560,WeightedMinAge20),MAX(CapacityAge20*'01_Вводные'!$B$218*'19_Расчет_аналитики'!L560,MeanMinAge20)))</f>
        <v/>
      </c>
      <c r="M511">
        <f>IF(OR(('06_Сеть_и_дети'!M72-'06_Сеть_и_дети'!M100)=0,20&lt;='01_Вводные'!$B$297),0,('06_Сеть_и_дети'!M72-'06_Сеть_и_дети'!M100)*IF('01_Вводные'!$B$239="Да",MeanMinAge20+'19_Расчет_аналитики'!M560*SUMIF(ThresholdAge20,"&lt;"&amp;'19_Расчет_аналитики'!M560,WeightedRevAge20)-SUMIF(ThresholdAge20,"&lt;"&amp;'19_Расчет_аналитики'!M560,WeightedMinAge20),MAX(CapacityAge20*'01_Вводные'!$B$218*'19_Расчет_аналитики'!M560,MeanMinAge20)))</f>
        <v/>
      </c>
      <c r="N511">
        <f>IF(OR(('06_Сеть_и_дети'!N72-'06_Сеть_и_дети'!N100)=0,20&lt;='01_Вводные'!$B$297),0,('06_Сеть_и_дети'!N72-'06_Сеть_и_дети'!N100)*IF('01_Вводные'!$B$239="Да",MeanMinAge20+'19_Расчет_аналитики'!N560*SUMIF(ThresholdAge20,"&lt;"&amp;'19_Расчет_аналитики'!N560,WeightedRevAge20)-SUMIF(ThresholdAge20,"&lt;"&amp;'19_Расчет_аналитики'!N560,WeightedMinAge20),MAX(CapacityAge20*'01_Вводные'!$B$218*'19_Расчет_аналитики'!N560,MeanMinAge20)))</f>
        <v/>
      </c>
      <c r="O511">
        <f>IF(OR(('06_Сеть_и_дети'!O72-'06_Сеть_и_дети'!O100)=0,20&lt;='01_Вводные'!$B$297),0,('06_Сеть_и_дети'!O72-'06_Сеть_и_дети'!O100)*IF('01_Вводные'!$B$239="Да",MeanMinAge20+'19_Расчет_аналитики'!O560*SUMIF(ThresholdAge20,"&lt;"&amp;'19_Расчет_аналитики'!O560,WeightedRevAge20)-SUMIF(ThresholdAge20,"&lt;"&amp;'19_Расчет_аналитики'!O560,WeightedMinAge20),MAX(CapacityAge20*'01_Вводные'!$B$218*'19_Расчет_аналитики'!O560,MeanMinAge20)))</f>
        <v/>
      </c>
      <c r="P511">
        <f>IF(OR(('06_Сеть_и_дети'!P72-'06_Сеть_и_дети'!P100)=0,20&lt;='01_Вводные'!$B$297),0,('06_Сеть_и_дети'!P72-'06_Сеть_и_дети'!P100)*IF('01_Вводные'!$B$239="Да",MeanMinAge20+'19_Расчет_аналитики'!P560*SUMIF(ThresholdAge20,"&lt;"&amp;'19_Расчет_аналитики'!P560,WeightedRevAge20)-SUMIF(ThresholdAge20,"&lt;"&amp;'19_Расчет_аналитики'!P560,WeightedMinAge20),MAX(CapacityAge20*'01_Вводные'!$B$218*'19_Расчет_аналитики'!P560,MeanMinAge20)))</f>
        <v/>
      </c>
      <c r="Q511">
        <f>IF(OR(('06_Сеть_и_дети'!Q72-'06_Сеть_и_дети'!Q100)=0,20&lt;='01_Вводные'!$B$297),0,('06_Сеть_и_дети'!Q72-'06_Сеть_и_дети'!Q100)*IF('01_Вводные'!$B$239="Да",MeanMinAge20+'19_Расчет_аналитики'!Q560*SUMIF(ThresholdAge20,"&lt;"&amp;'19_Расчет_аналитики'!Q560,WeightedRevAge20)-SUMIF(ThresholdAge20,"&lt;"&amp;'19_Расчет_аналитики'!Q560,WeightedMinAge20),MAX(CapacityAge20*'01_Вводные'!$B$218*'19_Расчет_аналитики'!Q560,MeanMinAge20)))</f>
        <v/>
      </c>
      <c r="R511">
        <f>IF(OR(('06_Сеть_и_дети'!R72-'06_Сеть_и_дети'!R100)=0,20&lt;='01_Вводные'!$B$297),0,('06_Сеть_и_дети'!R72-'06_Сеть_и_дети'!R100)*IF('01_Вводные'!$B$239="Да",MeanMinAge20+'19_Расчет_аналитики'!R560*SUMIF(ThresholdAge20,"&lt;"&amp;'19_Расчет_аналитики'!R560,WeightedRevAge20)-SUMIF(ThresholdAge20,"&lt;"&amp;'19_Расчет_аналитики'!R560,WeightedMinAge20),MAX(CapacityAge20*'01_Вводные'!$B$218*'19_Расчет_аналитики'!R560,MeanMinAge20)))</f>
        <v/>
      </c>
      <c r="S511">
        <f>IF(OR(('06_Сеть_и_дети'!S72-'06_Сеть_и_дети'!S100)=0,20&lt;='01_Вводные'!$B$297),0,('06_Сеть_и_дети'!S72-'06_Сеть_и_дети'!S100)*IF('01_Вводные'!$B$239="Да",MeanMinAge20+'19_Расчет_аналитики'!S560*SUMIF(ThresholdAge20,"&lt;"&amp;'19_Расчет_аналитики'!S560,WeightedRevAge20)-SUMIF(ThresholdAge20,"&lt;"&amp;'19_Расчет_аналитики'!S560,WeightedMinAge20),MAX(CapacityAge20*'01_Вводные'!$B$218*'19_Расчет_аналитики'!S560,MeanMinAge20)))</f>
        <v/>
      </c>
      <c r="T511">
        <f>IF(OR(('06_Сеть_и_дети'!T72-'06_Сеть_и_дети'!T100)=0,20&lt;='01_Вводные'!$B$297),0,('06_Сеть_и_дети'!T72-'06_Сеть_и_дети'!T100)*IF('01_Вводные'!$B$239="Да",MeanMinAge20+'19_Расчет_аналитики'!T560*SUMIF(ThresholdAge20,"&lt;"&amp;'19_Расчет_аналитики'!T560,WeightedRevAge20)-SUMIF(ThresholdAge20,"&lt;"&amp;'19_Расчет_аналитики'!T560,WeightedMinAge20),MAX(CapacityAge20*'01_Вводные'!$B$218*'19_Расчет_аналитики'!T560,MeanMinAge20)))</f>
        <v/>
      </c>
      <c r="U511">
        <f>IF(OR(('19_Расчет_аналитики'!U427-'19_Расчет_аналитики'!U455)=0,20&lt;='01_Вводные'!$B$297),0,('19_Расчет_аналитики'!U427-'19_Расчет_аналитики'!U455)*IF('01_Вводные'!$B$239="Да",MeanMinAge20+'19_Расчет_аналитики'!U560*SUMIF(ThresholdAge20,"&lt;"&amp;'19_Расчет_аналитики'!U560,WeightedRevAge20)-SUMIF(ThresholdAge20,"&lt;"&amp;'19_Расчет_аналитики'!U560,WeightedMinAge20),MAX(CapacityAge20*'01_Вводные'!$B$218*'19_Расчет_аналитики'!U560,MeanMinAge20)))</f>
        <v/>
      </c>
      <c r="V511">
        <f>IF(OR(('19_Расчет_аналитики'!V427-'19_Расчет_аналитики'!V455)=0,20&lt;='01_Вводные'!$B$297),0,('19_Расчет_аналитики'!V427-'19_Расчет_аналитики'!V455)*IF('01_Вводные'!$B$239="Да",MeanMinAge20+'19_Расчет_аналитики'!V560*SUMIF(ThresholdAge20,"&lt;"&amp;'19_Расчет_аналитики'!V560,WeightedRevAge20)-SUMIF(ThresholdAge20,"&lt;"&amp;'19_Расчет_аналитики'!V560,WeightedMinAge20),MAX(CapacityAge20*'01_Вводные'!$B$218*'19_Расчет_аналитики'!V560,MeanMinAge20)))</f>
        <v/>
      </c>
      <c r="W511">
        <f>IF(OR(('19_Расчет_аналитики'!W427-'19_Расчет_аналитики'!W455)=0,20&lt;='01_Вводные'!$B$297),0,('19_Расчет_аналитики'!W427-'19_Расчет_аналитики'!W455)*IF('01_Вводные'!$B$239="Да",MeanMinAge20+'19_Расчет_аналитики'!W560*SUMIF(ThresholdAge20,"&lt;"&amp;'19_Расчет_аналитики'!W560,WeightedRevAge20)-SUMIF(ThresholdAge20,"&lt;"&amp;'19_Расчет_аналитики'!W560,WeightedMinAge20),MAX(CapacityAge20*'01_Вводные'!$B$218*'19_Расчет_аналитики'!W560,MeanMinAge20)))</f>
        <v/>
      </c>
      <c r="X511">
        <f>IF(OR(('19_Расчет_аналитики'!X427-'19_Расчет_аналитики'!X455)=0,20&lt;='01_Вводные'!$B$297),0,('19_Расчет_аналитики'!X427-'19_Расчет_аналитики'!X455)*IF('01_Вводные'!$B$239="Да",MeanMinAge20+'19_Расчет_аналитики'!X560*SUMIF(ThresholdAge20,"&lt;"&amp;'19_Расчет_аналитики'!X560,WeightedRevAge20)-SUMIF(ThresholdAge20,"&lt;"&amp;'19_Расчет_аналитики'!X560,WeightedMinAge20),MAX(CapacityAge20*'01_Вводные'!$B$218*'19_Расчет_аналитики'!X560,MeanMinAge20)))</f>
        <v/>
      </c>
      <c r="Y511">
        <f>IF(OR(('19_Расчет_аналитики'!Y427-'19_Расчет_аналитики'!Y455)=0,20&lt;='01_Вводные'!$B$297),0,('19_Расчет_аналитики'!Y427-'19_Расчет_аналитики'!Y455)*IF('01_Вводные'!$B$239="Да",MeanMinAge20+'19_Расчет_аналитики'!Y560*SUMIF(ThresholdAge20,"&lt;"&amp;'19_Расчет_аналитики'!Y560,WeightedRevAge20)-SUMIF(ThresholdAge20,"&lt;"&amp;'19_Расчет_аналитики'!Y560,WeightedMinAge20),MAX(CapacityAge20*'01_Вводные'!$B$218*'19_Расчет_аналитики'!Y560,MeanMinAge20)))</f>
        <v/>
      </c>
      <c r="Z511">
        <f>IF(OR(('19_Расчет_аналитики'!Z427-'19_Расчет_аналитики'!Z455)=0,20&lt;='01_Вводные'!$B$297),0,('19_Расчет_аналитики'!Z427-'19_Расчет_аналитики'!Z455)*IF('01_Вводные'!$B$239="Да",MeanMinAge20+'19_Расчет_аналитики'!Z560*SUMIF(ThresholdAge20,"&lt;"&amp;'19_Расчет_аналитики'!Z560,WeightedRevAge20)-SUMIF(ThresholdAge20,"&lt;"&amp;'19_Расчет_аналитики'!Z560,WeightedMinAge20),MAX(CapacityAge20*'01_Вводные'!$B$218*'19_Расчет_аналитики'!Z560,MeanMinAge20)))</f>
        <v/>
      </c>
      <c r="AA511">
        <f>IF(OR(('19_Расчет_аналитики'!AA427-'19_Расчет_аналитики'!AA455)=0,20&lt;='01_Вводные'!$B$297),0,('19_Расчет_аналитики'!AA427-'19_Расчет_аналитики'!AA455)*IF('01_Вводные'!$B$239="Да",MeanMinAge20+'19_Расчет_аналитики'!AA560*SUMIF(ThresholdAge20,"&lt;"&amp;'19_Расчет_аналитики'!AA560,WeightedRevAge20)-SUMIF(ThresholdAge20,"&lt;"&amp;'19_Расчет_аналитики'!AA560,WeightedMinAge20),MAX(CapacityAge20*'01_Вводные'!$B$218*'19_Расчет_аналитики'!AA560,MeanMinAge20)))</f>
        <v/>
      </c>
      <c r="AB511">
        <f>IF(OR(('19_Расчет_аналитики'!AB427-'19_Расчет_аналитики'!AB455)=0,20&lt;='01_Вводные'!$B$297),0,('19_Расчет_аналитики'!AB427-'19_Расчет_аналитики'!AB455)*IF('01_Вводные'!$B$239="Да",MeanMinAge20+'19_Расчет_аналитики'!AB560*SUMIF(ThresholdAge20,"&lt;"&amp;'19_Расчет_аналитики'!AB560,WeightedRevAge20)-SUMIF(ThresholdAge20,"&lt;"&amp;'19_Расчет_аналитики'!AB560,WeightedMinAge20),MAX(CapacityAge20*'01_Вводные'!$B$218*'19_Расчет_аналитики'!AB560,MeanMinAge20)))</f>
        <v/>
      </c>
      <c r="AC511">
        <f>IF(OR(('19_Расчет_аналитики'!AC427-'19_Расчет_аналитики'!AC455)=0,20&lt;='01_Вводные'!$B$297),0,('19_Расчет_аналитики'!AC427-'19_Расчет_аналитики'!AC455)*IF('01_Вводные'!$B$239="Да",MeanMinAge20+'19_Расчет_аналитики'!AC560*SUMIF(ThresholdAge20,"&lt;"&amp;'19_Расчет_аналитики'!AC560,WeightedRevAge20)-SUMIF(ThresholdAge20,"&lt;"&amp;'19_Расчет_аналитики'!AC560,WeightedMinAge20),MAX(CapacityAge20*'01_Вводные'!$B$218*'19_Расчет_аналитики'!AC560,MeanMinAge20)))</f>
        <v/>
      </c>
      <c r="AD511">
        <f>IF(OR(('19_Расчет_аналитики'!AD427-'19_Расчет_аналитики'!AD455)=0,20&lt;='01_Вводные'!$B$297),0,('19_Расчет_аналитики'!AD427-'19_Расчет_аналитики'!AD455)*IF('01_Вводные'!$B$239="Да",MeanMinAge20+'19_Расчет_аналитики'!AD560*SUMIF(ThresholdAge20,"&lt;"&amp;'19_Расчет_аналитики'!AD560,WeightedRevAge20)-SUMIF(ThresholdAge20,"&lt;"&amp;'19_Расчет_аналитики'!AD560,WeightedMinAge20),MAX(CapacityAge20*'01_Вводные'!$B$218*'19_Расчет_аналитики'!AD560,MeanMinAge20)))</f>
        <v/>
      </c>
      <c r="AE511">
        <f>IF(OR(('19_Расчет_аналитики'!AE427-'19_Расчет_аналитики'!AE455)=0,20&lt;='01_Вводные'!$B$297),0,('19_Расчет_аналитики'!AE427-'19_Расчет_аналитики'!AE455)*IF('01_Вводные'!$B$239="Да",MeanMinAge20+'19_Расчет_аналитики'!AE560*SUMIF(ThresholdAge20,"&lt;"&amp;'19_Расчет_аналитики'!AE560,WeightedRevAge20)-SUMIF(ThresholdAge20,"&lt;"&amp;'19_Расчет_аналитики'!AE560,WeightedMinAge20),MAX(CapacityAge20*'01_Вводные'!$B$218*'19_Расчет_аналитики'!AE560,MeanMinAge20)))</f>
        <v/>
      </c>
      <c r="AF511">
        <f>IF(OR(('19_Расчет_аналитики'!AF427-'19_Расчет_аналитики'!AF455)=0,20&lt;='01_Вводные'!$B$297),0,('19_Расчет_аналитики'!AF427-'19_Расчет_аналитики'!AF455)*IF('01_Вводные'!$B$239="Да",MeanMinAge20+'19_Расчет_аналитики'!AF560*SUMIF(ThresholdAge20,"&lt;"&amp;'19_Расчет_аналитики'!AF560,WeightedRevAge20)-SUMIF(ThresholdAge20,"&lt;"&amp;'19_Расчет_аналитики'!AF560,WeightedMinAge20),MAX(CapacityAge20*'01_Вводные'!$B$218*'19_Расчет_аналитики'!AF560,MeanMinAge20)))</f>
        <v/>
      </c>
      <c r="AG511">
        <f>IF(OR(('19_Расчет_аналитики'!AG427-'19_Расчет_аналитики'!AG455)=0,20&lt;='01_Вводные'!$B$297),0,('19_Расчет_аналитики'!AG427-'19_Расчет_аналитики'!AG455)*IF('01_Вводные'!$B$239="Да",MeanMinAge20+'19_Расчет_аналитики'!AG560*SUMIF(ThresholdAge20,"&lt;"&amp;'19_Расчет_аналитики'!AG560,WeightedRevAge20)-SUMIF(ThresholdAge20,"&lt;"&amp;'19_Расчет_аналитики'!AG560,WeightedMinAge20),MAX(CapacityAge20*'01_Вводные'!$B$218*'19_Расчет_аналитики'!AG560,MeanMinAge20)))</f>
        <v/>
      </c>
      <c r="AH511">
        <f>IF(OR(('19_Расчет_аналитики'!AH427-'19_Расчет_аналитики'!AH455)=0,20&lt;='01_Вводные'!$B$297),0,('19_Расчет_аналитики'!AH427-'19_Расчет_аналитики'!AH455)*IF('01_Вводные'!$B$239="Да",MeanMinAge20+'19_Расчет_аналитики'!AH560*SUMIF(ThresholdAge20,"&lt;"&amp;'19_Расчет_аналитики'!AH560,WeightedRevAge20)-SUMIF(ThresholdAge20,"&lt;"&amp;'19_Расчет_аналитики'!AH560,WeightedMinAge20),MAX(CapacityAge20*'01_Вводные'!$B$218*'19_Расчет_аналитики'!AH560,MeanMinAge20)))</f>
        <v/>
      </c>
      <c r="AI511">
        <f>IF(OR(('19_Расчет_аналитики'!AI427-'19_Расчет_аналитики'!AI455)=0,20&lt;='01_Вводные'!$B$297),0,('19_Расчет_аналитики'!AI427-'19_Расчет_аналитики'!AI455)*IF('01_Вводные'!$B$239="Да",MeanMinAge20+'19_Расчет_аналитики'!AI560*SUMIF(ThresholdAge20,"&lt;"&amp;'19_Расчет_аналитики'!AI560,WeightedRevAge20)-SUMIF(ThresholdAge20,"&lt;"&amp;'19_Расчет_аналитики'!AI560,WeightedMinAge20),MAX(CapacityAge20*'01_Вводные'!$B$218*'19_Расчет_аналитики'!AI560,MeanMinAge20)))</f>
        <v/>
      </c>
      <c r="AJ511">
        <f>IF(OR(('19_Расчет_аналитики'!AJ427-'19_Расчет_аналитики'!AJ455)=0,20&lt;='01_Вводные'!$B$297),0,('19_Расчет_аналитики'!AJ427-'19_Расчет_аналитики'!AJ455)*IF('01_Вводные'!$B$239="Да",MeanMinAge20+'19_Расчет_аналитики'!AJ560*SUMIF(ThresholdAge20,"&lt;"&amp;'19_Расчет_аналитики'!AJ560,WeightedRevAge20)-SUMIF(ThresholdAge20,"&lt;"&amp;'19_Расчет_аналитики'!AJ560,WeightedMinAge20),MAX(CapacityAge20*'01_Вводные'!$B$218*'19_Расчет_аналитики'!AJ560,MeanMinAge20)))</f>
        <v/>
      </c>
      <c r="AK511">
        <f>IF(OR(('19_Расчет_аналитики'!AK427-'19_Расчет_аналитики'!AK455)=0,20&lt;='01_Вводные'!$B$297),0,('19_Расчет_аналитики'!AK427-'19_Расчет_аналитики'!AK455)*IF('01_Вводные'!$B$239="Да",MeanMinAge20+'19_Расчет_аналитики'!AK560*SUMIF(ThresholdAge20,"&lt;"&amp;'19_Расчет_аналитики'!AK560,WeightedRevAge20)-SUMIF(ThresholdAge20,"&lt;"&amp;'19_Расчет_аналитики'!AK560,WeightedMinAge20),MAX(CapacityAge20*'01_Вводные'!$B$218*'19_Расчет_аналитики'!AK560,MeanMinAge20)))</f>
        <v/>
      </c>
      <c r="AL511">
        <f>IF(OR(('19_Расчет_аналитики'!AL427-'19_Расчет_аналитики'!AL455)=0,20&lt;='01_Вводные'!$B$297),0,('19_Расчет_аналитики'!AL427-'19_Расчет_аналитики'!AL455)*IF('01_Вводные'!$B$239="Да",MeanMinAge20+'19_Расчет_аналитики'!AL560*SUMIF(ThresholdAge20,"&lt;"&amp;'19_Расчет_аналитики'!AL560,WeightedRevAge20)-SUMIF(ThresholdAge20,"&lt;"&amp;'19_Расчет_аналитики'!AL560,WeightedMinAge20),MAX(CapacityAge20*'01_Вводные'!$B$218*'19_Расчет_аналитики'!AL560,MeanMinAge20)))</f>
        <v/>
      </c>
      <c r="AM511">
        <f>IF(OR(('19_Расчет_аналитики'!AM427-'19_Расчет_аналитики'!AM455)=0,20&lt;='01_Вводные'!$B$297),0,('19_Расчет_аналитики'!AM427-'19_Расчет_аналитики'!AM455)*IF('01_Вводные'!$B$239="Да",MeanMinAge20+'19_Расчет_аналитики'!AM560*SUMIF(ThresholdAge20,"&lt;"&amp;'19_Расчет_аналитики'!AM560,WeightedRevAge20)-SUMIF(ThresholdAge20,"&lt;"&amp;'19_Расчет_аналитики'!AM560,WeightedMinAge20),MAX(CapacityAge20*'01_Вводные'!$B$218*'19_Расчет_аналитики'!AM560,MeanMinAge20)))</f>
        <v/>
      </c>
      <c r="AN511">
        <f>IF(OR(('19_Расчет_аналитики'!AN427-'19_Расчет_аналитики'!AN455)=0,20&lt;='01_Вводные'!$B$297),0,('19_Расчет_аналитики'!AN427-'19_Расчет_аналитики'!AN455)*IF('01_Вводные'!$B$239="Да",MeanMinAge20+'19_Расчет_аналитики'!AN560*SUMIF(ThresholdAge20,"&lt;"&amp;'19_Расчет_аналитики'!AN560,WeightedRevAge20)-SUMIF(ThresholdAge20,"&lt;"&amp;'19_Расчет_аналитики'!AN560,WeightedMinAge20),MAX(CapacityAge20*'01_Вводные'!$B$218*'19_Расчет_аналитики'!AN560,MeanMinAge20)))</f>
        <v/>
      </c>
      <c r="AO511">
        <f>IF(OR(('19_Расчет_аналитики'!AO427-'19_Расчет_аналитики'!AO455)=0,20&lt;='01_Вводные'!$B$297),0,('19_Расчет_аналитики'!AO427-'19_Расчет_аналитики'!AO455)*IF('01_Вводные'!$B$239="Да",MeanMinAge20+'19_Расчет_аналитики'!AO560*SUMIF(ThresholdAge20,"&lt;"&amp;'19_Расчет_аналитики'!AO560,WeightedRevAge20)-SUMIF(ThresholdAge20,"&lt;"&amp;'19_Расчет_аналитики'!AO560,WeightedMinAge20),MAX(CapacityAge20*'01_Вводные'!$B$218*'19_Расчет_аналитики'!AO560,MeanMinAge20)))</f>
        <v/>
      </c>
      <c r="AP511">
        <f>IF(OR(('19_Расчет_аналитики'!AP427-'19_Расчет_аналитики'!AP455)=0,20&lt;='01_Вводные'!$B$297),0,('19_Расчет_аналитики'!AP427-'19_Расчет_аналитики'!AP455)*IF('01_Вводные'!$B$239="Да",MeanMinAge20+'19_Расчет_аналитики'!AP560*SUMIF(ThresholdAge20,"&lt;"&amp;'19_Расчет_аналитики'!AP560,WeightedRevAge20)-SUMIF(ThresholdAge20,"&lt;"&amp;'19_Расчет_аналитики'!AP560,WeightedMinAge20),MAX(CapacityAge20*'01_Вводные'!$B$218*'19_Расчет_аналитики'!AP560,MeanMinAge20)))</f>
        <v/>
      </c>
      <c r="AQ511">
        <f>IF(OR(('19_Расчет_аналитики'!AQ427-'19_Расчет_аналитики'!AQ455)=0,20&lt;='01_Вводные'!$B$297),0,('19_Расчет_аналитики'!AQ427-'19_Расчет_аналитики'!AQ455)*IF('01_Вводные'!$B$239="Да",MeanMinAge20+'19_Расчет_аналитики'!AQ560*SUMIF(ThresholdAge20,"&lt;"&amp;'19_Расчет_аналитики'!AQ560,WeightedRevAge20)-SUMIF(ThresholdAge20,"&lt;"&amp;'19_Расчет_аналитики'!AQ560,WeightedMinAge20),MAX(CapacityAge20*'01_Вводные'!$B$218*'19_Расчет_аналитики'!AQ560,MeanMinAge20)))</f>
        <v/>
      </c>
      <c r="AR511">
        <f>IF(OR(('19_Расчет_аналитики'!AR427-'19_Расчет_аналитики'!AR455)=0,20&lt;='01_Вводные'!$B$297),0,('19_Расчет_аналитики'!AR427-'19_Расчет_аналитики'!AR455)*IF('01_Вводные'!$B$239="Да",MeanMinAge20+'19_Расчет_аналитики'!AR560*SUMIF(ThresholdAge20,"&lt;"&amp;'19_Расчет_аналитики'!AR560,WeightedRevAge20)-SUMIF(ThresholdAge20,"&lt;"&amp;'19_Расчет_аналитики'!AR560,WeightedMinAge20),MAX(CapacityAge20*'01_Вводные'!$B$218*'19_Расчет_аналитики'!AR560,MeanMinAge20)))</f>
        <v/>
      </c>
      <c r="AS511">
        <f>IF(OR(('19_Расчет_аналитики'!AS427-'19_Расчет_аналитики'!AS455)=0,20&lt;='01_Вводные'!$B$297),0,('19_Расчет_аналитики'!AS427-'19_Расчет_аналитики'!AS455)*IF('01_Вводные'!$B$239="Да",MeanMinAge20+'19_Расчет_аналитики'!AS560*SUMIF(ThresholdAge20,"&lt;"&amp;'19_Расчет_аналитики'!AS560,WeightedRevAge20)-SUMIF(ThresholdAge20,"&lt;"&amp;'19_Расчет_аналитики'!AS560,WeightedMinAge20),MAX(CapacityAge20*'01_Вводные'!$B$218*'19_Расчет_аналитики'!AS560,MeanMinAge20)))</f>
        <v/>
      </c>
      <c r="AT511">
        <f>IF(OR(('19_Расчет_аналитики'!AT427-'19_Расчет_аналитики'!AT455)=0,20&lt;='01_Вводные'!$B$297),0,('19_Расчет_аналитики'!AT427-'19_Расчет_аналитики'!AT455)*IF('01_Вводные'!$B$239="Да",MeanMinAge20+'19_Расчет_аналитики'!AT560*SUMIF(ThresholdAge20,"&lt;"&amp;'19_Расчет_аналитики'!AT560,WeightedRevAge20)-SUMIF(ThresholdAge20,"&lt;"&amp;'19_Расчет_аналитики'!AT560,WeightedMinAge20),MAX(CapacityAge20*'01_Вводные'!$B$218*'19_Расчет_аналитики'!AT560,MeanMinAge20)))</f>
        <v/>
      </c>
      <c r="AU511">
        <f>IF(OR(('19_Расчет_аналитики'!AU427-'19_Расчет_аналитики'!AU455)=0,20&lt;='01_Вводные'!$B$297),0,('19_Расчет_аналитики'!AU427-'19_Расчет_аналитики'!AU455)*IF('01_Вводные'!$B$239="Да",MeanMinAge20+'19_Расчет_аналитики'!AU560*SUMIF(ThresholdAge20,"&lt;"&amp;'19_Расчет_аналитики'!AU560,WeightedRevAge20)-SUMIF(ThresholdAge20,"&lt;"&amp;'19_Расчет_аналитики'!AU560,WeightedMinAge20),MAX(CapacityAge20*'01_Вводные'!$B$218*'19_Расчет_аналитики'!AU560,MeanMinAge20)))</f>
        <v/>
      </c>
      <c r="AV511">
        <f>IF(OR(('19_Расчет_аналитики'!AV427-'19_Расчет_аналитики'!AV455)=0,20&lt;='01_Вводные'!$B$297),0,('19_Расчет_аналитики'!AV427-'19_Расчет_аналитики'!AV455)*IF('01_Вводные'!$B$239="Да",MeanMinAge20+'19_Расчет_аналитики'!AV560*SUMIF(ThresholdAge20,"&lt;"&amp;'19_Расчет_аналитики'!AV560,WeightedRevAge20)-SUMIF(ThresholdAge20,"&lt;"&amp;'19_Расчет_аналитики'!AV560,WeightedMinAge20),MAX(CapacityAge20*'01_Вводные'!$B$218*'19_Расчет_аналитики'!AV560,MeanMinAge20)))</f>
        <v/>
      </c>
      <c r="AW511">
        <f>IF(OR(('19_Расчет_аналитики'!AW427-'19_Расчет_аналитики'!AW455)=0,20&lt;='01_Вводные'!$B$297),0,('19_Расчет_аналитики'!AW427-'19_Расчет_аналитики'!AW455)*IF('01_Вводные'!$B$239="Да",MeanMinAge20+'19_Расчет_аналитики'!AW560*SUMIF(ThresholdAge20,"&lt;"&amp;'19_Расчет_аналитики'!AW560,WeightedRevAge20)-SUMIF(ThresholdAge20,"&lt;"&amp;'19_Расчет_аналитики'!AW560,WeightedMinAge20),MAX(CapacityAge20*'01_Вводные'!$B$218*'19_Расчет_аналитики'!AW560,MeanMinAge20)))</f>
        <v/>
      </c>
      <c r="AX511">
        <f>IF(OR(('19_Расчет_аналитики'!AX427-'19_Расчет_аналитики'!AX455)=0,20&lt;='01_Вводные'!$B$297),0,('19_Расчет_аналитики'!AX427-'19_Расчет_аналитики'!AX455)*IF('01_Вводные'!$B$239="Да",MeanMinAge20+'19_Расчет_аналитики'!AX560*SUMIF(ThresholdAge20,"&lt;"&amp;'19_Расчет_аналитики'!AX560,WeightedRevAge20)-SUMIF(ThresholdAge20,"&lt;"&amp;'19_Расчет_аналитики'!AX560,WeightedMinAge20),MAX(CapacityAge20*'01_Вводные'!$B$218*'19_Расчет_аналитики'!AX560,MeanMinAge20)))</f>
        <v/>
      </c>
      <c r="AY511">
        <f>IF(OR(('19_Расчет_аналитики'!AY427-'19_Расчет_аналитики'!AY455)=0,20&lt;='01_Вводные'!$B$297),0,('19_Расчет_аналитики'!AY427-'19_Расчет_аналитики'!AY455)*IF('01_Вводные'!$B$239="Да",MeanMinAge20+'19_Расчет_аналитики'!AY560*SUMIF(ThresholdAge20,"&lt;"&amp;'19_Расчет_аналитики'!AY560,WeightedRevAge20)-SUMIF(ThresholdAge20,"&lt;"&amp;'19_Расчет_аналитики'!AY560,WeightedMinAge20),MAX(CapacityAge20*'01_Вводные'!$B$218*'19_Расчет_аналитики'!AY560,MeanMinAge20)))</f>
        <v/>
      </c>
      <c r="AZ511">
        <f>IF(OR(('19_Расчет_аналитики'!AZ427-'19_Расчет_аналитики'!AZ455)=0,20&lt;='01_Вводные'!$B$297),0,('19_Расчет_аналитики'!AZ427-'19_Расчет_аналитики'!AZ455)*IF('01_Вводные'!$B$239="Да",MeanMinAge20+'19_Расчет_аналитики'!AZ560*SUMIF(ThresholdAge20,"&lt;"&amp;'19_Расчет_аналитики'!AZ560,WeightedRevAge20)-SUMIF(ThresholdAge20,"&lt;"&amp;'19_Расчет_аналитики'!AZ560,WeightedMinAge20),MAX(CapacityAge20*'01_Вводные'!$B$218*'19_Расчет_аналитики'!AZ560,MeanMinAge20)))</f>
        <v/>
      </c>
      <c r="BA511">
        <f>IF(OR(('19_Расчет_аналитики'!BA427-'19_Расчет_аналитики'!BA455)=0,20&lt;='01_Вводные'!$B$297),0,('19_Расчет_аналитики'!BA427-'19_Расчет_аналитики'!BA455)*IF('01_Вводные'!$B$239="Да",MeanMinAge20+'19_Расчет_аналитики'!BA560*SUMIF(ThresholdAge20,"&lt;"&amp;'19_Расчет_аналитики'!BA560,WeightedRevAge20)-SUMIF(ThresholdAge20,"&lt;"&amp;'19_Расчет_аналитики'!BA560,WeightedMinAge20),MAX(CapacityAge20*'01_Вводные'!$B$218*'19_Расчет_аналитики'!BA560,MeanMinAge20)))</f>
        <v/>
      </c>
      <c r="BB511">
        <f>IF(OR(('19_Расчет_аналитики'!BB427-'19_Расчет_аналитики'!BB455)=0,20&lt;='01_Вводные'!$B$297),0,('19_Расчет_аналитики'!BB427-'19_Расчет_аналитики'!BB455)*IF('01_Вводные'!$B$239="Да",MeanMinAge20+'19_Расчет_аналитики'!BB560*SUMIF(ThresholdAge20,"&lt;"&amp;'19_Расчет_аналитики'!BB560,WeightedRevAge20)-SUMIF(ThresholdAge20,"&lt;"&amp;'19_Расчет_аналитики'!BB560,WeightedMinAge20),MAX(CapacityAge20*'01_Вводные'!$B$218*'19_Расчет_аналитики'!BB560,MeanMinAge20)))</f>
        <v/>
      </c>
      <c r="BC511">
        <f>IF(OR(('19_Расчет_аналитики'!BC427-'19_Расчет_аналитики'!BC455)=0,20&lt;='01_Вводные'!$B$297),0,('19_Расчет_аналитики'!BC427-'19_Расчет_аналитики'!BC455)*IF('01_Вводные'!$B$239="Да",MeanMinAge20+'19_Расчет_аналитики'!BC560*SUMIF(ThresholdAge20,"&lt;"&amp;'19_Расчет_аналитики'!BC560,WeightedRevAge20)-SUMIF(ThresholdAge20,"&lt;"&amp;'19_Расчет_аналитики'!BC560,WeightedMinAge20),MAX(CapacityAge20*'01_Вводные'!$B$218*'19_Расчет_аналитики'!BC560,MeanMinAge20)))</f>
        <v/>
      </c>
      <c r="BD511">
        <f>IF(OR(('19_Расчет_аналитики'!BD427-'19_Расчет_аналитики'!BD455)=0,20&lt;='01_Вводные'!$B$297),0,('19_Расчет_аналитики'!BD427-'19_Расчет_аналитики'!BD455)*IF('01_Вводные'!$B$239="Да",MeanMinAge20+'19_Расчет_аналитики'!BD560*SUMIF(ThresholdAge20,"&lt;"&amp;'19_Расчет_аналитики'!BD560,WeightedRevAge20)-SUMIF(ThresholdAge20,"&lt;"&amp;'19_Расчет_аналитики'!BD560,WeightedMinAge20),MAX(CapacityAge20*'01_Вводные'!$B$218*'19_Расчет_аналитики'!BD560,MeanMinAge20)))</f>
        <v/>
      </c>
      <c r="BE511">
        <f>IF(OR(('19_Расчет_аналитики'!BE427-'19_Расчет_аналитики'!BE455)=0,20&lt;='01_Вводные'!$B$297),0,('19_Расчет_аналитики'!BE427-'19_Расчет_аналитики'!BE455)*IF('01_Вводные'!$B$239="Да",MeanMinAge20+'19_Расчет_аналитики'!BE560*SUMIF(ThresholdAge20,"&lt;"&amp;'19_Расчет_аналитики'!BE560,WeightedRevAge20)-SUMIF(ThresholdAge20,"&lt;"&amp;'19_Расчет_аналитики'!BE560,WeightedMinAge20),MAX(CapacityAge20*'01_Вводные'!$B$218*'19_Расчет_аналитики'!BE560,MeanMinAge20)))</f>
        <v/>
      </c>
      <c r="BF511">
        <f>IF(OR(('19_Расчет_аналитики'!BF427-'19_Расчет_аналитики'!BF455)=0,20&lt;='01_Вводные'!$B$297),0,('19_Расчет_аналитики'!BF427-'19_Расчет_аналитики'!BF455)*IF('01_Вводные'!$B$239="Да",MeanMinAge20+'19_Расчет_аналитики'!BF560*SUMIF(ThresholdAge20,"&lt;"&amp;'19_Расчет_аналитики'!BF560,WeightedRevAge20)-SUMIF(ThresholdAge20,"&lt;"&amp;'19_Расчет_аналитики'!BF560,WeightedMinAge20),MAX(CapacityAge20*'01_Вводные'!$B$218*'19_Расчет_аналитики'!BF560,MeanMinAge20)))</f>
        <v/>
      </c>
      <c r="BG511">
        <f>IF(OR(('19_Расчет_аналитики'!BG427-'19_Расчет_аналитики'!BG455)=0,20&lt;='01_Вводные'!$B$297),0,('19_Расчет_аналитики'!BG427-'19_Расчет_аналитики'!BG455)*IF('01_Вводные'!$B$239="Да",MeanMinAge20+'19_Расчет_аналитики'!BG560*SUMIF(ThresholdAge20,"&lt;"&amp;'19_Расчет_аналитики'!BG560,WeightedRevAge20)-SUMIF(ThresholdAge20,"&lt;"&amp;'19_Расчет_аналитики'!BG560,WeightedMinAge20),MAX(CapacityAge20*'01_Вводные'!$B$218*'19_Расчет_аналитики'!BG560,MeanMinAge20)))</f>
        <v/>
      </c>
      <c r="BH511">
        <f>IF(OR(('19_Расчет_аналитики'!BH427-'19_Расчет_аналитики'!BH455)=0,20&lt;='01_Вводные'!$B$297),0,('19_Расчет_аналитики'!BH427-'19_Расчет_аналитики'!BH455)*IF('01_Вводные'!$B$239="Да",MeanMinAge20+'19_Расчет_аналитики'!BH560*SUMIF(ThresholdAge20,"&lt;"&amp;'19_Расчет_аналитики'!BH560,WeightedRevAge20)-SUMIF(ThresholdAge20,"&lt;"&amp;'19_Расчет_аналитики'!BH560,WeightedMinAge20),MAX(CapacityAge20*'01_Вводные'!$B$218*'19_Расчет_аналитики'!BH560,MeanMinAge20)))</f>
        <v/>
      </c>
      <c r="BI511">
        <f>IF(OR(('19_Расчет_аналитики'!BI427-'19_Расчет_аналитики'!BI455)=0,20&lt;='01_Вводные'!$B$297),0,('19_Расчет_аналитики'!BI427-'19_Расчет_аналитики'!BI455)*IF('01_Вводные'!$B$239="Да",MeanMinAge20+'19_Расчет_аналитики'!BI560*SUMIF(ThresholdAge20,"&lt;"&amp;'19_Расчет_аналитики'!BI560,WeightedRevAge20)-SUMIF(ThresholdAge20,"&lt;"&amp;'19_Расчет_аналитики'!BI560,WeightedMinAge20),MAX(CapacityAge20*'01_Вводные'!$B$218*'19_Расчет_аналитики'!BI560,MeanMinAge20)))</f>
        <v/>
      </c>
      <c r="BJ511">
        <f>IF(OR(('19_Расчет_аналитики'!BJ427-'19_Расчет_аналитики'!BJ455)=0,20&lt;='01_Вводные'!$B$297),0,('19_Расчет_аналитики'!BJ427-'19_Расчет_аналитики'!BJ455)*IF('01_Вводные'!$B$239="Да",MeanMinAge20+'19_Расчет_аналитики'!BJ560*SUMIF(ThresholdAge20,"&lt;"&amp;'19_Расчет_аналитики'!BJ560,WeightedRevAge20)-SUMIF(ThresholdAge20,"&lt;"&amp;'19_Расчет_аналитики'!BJ560,WeightedMinAge20),MAX(CapacityAge20*'01_Вводные'!$B$218*'19_Расчет_аналитики'!BJ560,MeanMinAge20)))</f>
        <v/>
      </c>
      <c r="BK511">
        <f>IF(OR(('19_Расчет_аналитики'!BK427-'19_Расчет_аналитики'!BK455)=0,20&lt;='01_Вводные'!$B$297),0,('19_Расчет_аналитики'!BK427-'19_Расчет_аналитики'!BK455)*IF('01_Вводные'!$B$239="Да",MeanMinAge20+'19_Расчет_аналитики'!BK560*SUMIF(ThresholdAge20,"&lt;"&amp;'19_Расчет_аналитики'!BK560,WeightedRevAge20)-SUMIF(ThresholdAge20,"&lt;"&amp;'19_Расчет_аналитики'!BK560,WeightedMinAge20),MAX(CapacityAge20*'01_Вводные'!$B$218*'19_Расчет_аналитики'!BK560,MeanMinAge20)))</f>
        <v/>
      </c>
      <c r="BL511">
        <f>IF(OR(('19_Расчет_аналитики'!BL427-'19_Расчет_аналитики'!BL455)=0,20&lt;='01_Вводные'!$B$297),0,('19_Расчет_аналитики'!BL427-'19_Расчет_аналитики'!BL455)*IF('01_Вводные'!$B$239="Да",MeanMinAge20+'19_Расчет_аналитики'!BL560*SUMIF(ThresholdAge20,"&lt;"&amp;'19_Расчет_аналитики'!BL560,WeightedRevAge20)-SUMIF(ThresholdAge20,"&lt;"&amp;'19_Расчет_аналитики'!BL560,WeightedMinAge20),MAX(CapacityAge20*'01_Вводные'!$B$218*'19_Расчет_аналитики'!BL560,MeanMinAge20)))</f>
        <v/>
      </c>
      <c r="BM511">
        <f>IF(OR(('19_Расчет_аналитики'!BM427-'19_Расчет_аналитики'!BM455)=0,20&lt;='01_Вводные'!$B$297),0,('19_Расчет_аналитики'!BM427-'19_Расчет_аналитики'!BM455)*IF('01_Вводные'!$B$239="Да",MeanMinAge20+'19_Расчет_аналитики'!BM560*SUMIF(ThresholdAge20,"&lt;"&amp;'19_Расчет_аналитики'!BM560,WeightedRevAge20)-SUMIF(ThresholdAge20,"&lt;"&amp;'19_Расчет_аналитики'!BM560,WeightedMinAge20),MAX(CapacityAge20*'01_Вводные'!$B$218*'19_Расчет_аналитики'!BM560,MeanMinAge20)))</f>
        <v/>
      </c>
      <c r="BN511">
        <f>IF(OR(('19_Расчет_аналитики'!BN427-'19_Расчет_аналитики'!BN455)=0,20&lt;='01_Вводные'!$B$297),0,('19_Расчет_аналитики'!BN427-'19_Расчет_аналитики'!BN455)*IF('01_Вводные'!$B$239="Да",MeanMinAge20+'19_Расчет_аналитики'!BN560*SUMIF(ThresholdAge20,"&lt;"&amp;'19_Расчет_аналитики'!BN560,WeightedRevAge20)-SUMIF(ThresholdAge20,"&lt;"&amp;'19_Расчет_аналитики'!BN560,WeightedMinAge20),MAX(CapacityAge20*'01_Вводные'!$B$218*'19_Расчет_аналитики'!BN560,MeanMinAge20)))</f>
        <v/>
      </c>
      <c r="BO511">
        <f>IF(OR(('19_Расчет_аналитики'!BO427-'19_Расчет_аналитики'!BO455)=0,20&lt;='01_Вводные'!$B$297),0,('19_Расчет_аналитики'!BO427-'19_Расчет_аналитики'!BO455)*IF('01_Вводные'!$B$239="Да",MeanMinAge20+'19_Расчет_аналитики'!BO560*SUMIF(ThresholdAge20,"&lt;"&amp;'19_Расчет_аналитики'!BO560,WeightedRevAge20)-SUMIF(ThresholdAge20,"&lt;"&amp;'19_Расчет_аналитики'!BO560,WeightedMinAge20),MAX(CapacityAge20*'01_Вводные'!$B$218*'19_Расчет_аналитики'!BO560,MeanMinAge20)))</f>
        <v/>
      </c>
    </row>
    <row r="512">
      <c r="B512">
        <f>IF(OR(('06_Сеть_и_дети'!B73-'06_Сеть_и_дети'!B101)=0,21&lt;='01_Вводные'!$B$297),0,('06_Сеть_и_дети'!B73-'06_Сеть_и_дети'!B101)*IF('01_Вводные'!$B$239="Да",MeanMinAge21+'19_Расчет_аналитики'!B560*SUMIF(ThresholdAge21,"&lt;"&amp;'19_Расчет_аналитики'!B560,WeightedRevAge21)-SUMIF(ThresholdAge21,"&lt;"&amp;'19_Расчет_аналитики'!B560,WeightedMinAge21),MAX(CapacityAge21*'01_Вводные'!$B$218*'19_Расчет_аналитики'!B560,MeanMinAge21)))</f>
        <v/>
      </c>
      <c r="C512">
        <f>IF(OR(('06_Сеть_и_дети'!C73-'06_Сеть_и_дети'!C101)=0,21&lt;='01_Вводные'!$B$297),0,('06_Сеть_и_дети'!C73-'06_Сеть_и_дети'!C101)*IF('01_Вводные'!$B$239="Да",MeanMinAge21+'19_Расчет_аналитики'!C560*SUMIF(ThresholdAge21,"&lt;"&amp;'19_Расчет_аналитики'!C560,WeightedRevAge21)-SUMIF(ThresholdAge21,"&lt;"&amp;'19_Расчет_аналитики'!C560,WeightedMinAge21),MAX(CapacityAge21*'01_Вводные'!$B$218*'19_Расчет_аналитики'!C560,MeanMinAge21)))</f>
        <v/>
      </c>
      <c r="D512">
        <f>IF(OR(('06_Сеть_и_дети'!D73-'06_Сеть_и_дети'!D101)=0,21&lt;='01_Вводные'!$B$297),0,('06_Сеть_и_дети'!D73-'06_Сеть_и_дети'!D101)*IF('01_Вводные'!$B$239="Да",MeanMinAge21+'19_Расчет_аналитики'!D560*SUMIF(ThresholdAge21,"&lt;"&amp;'19_Расчет_аналитики'!D560,WeightedRevAge21)-SUMIF(ThresholdAge21,"&lt;"&amp;'19_Расчет_аналитики'!D560,WeightedMinAge21),MAX(CapacityAge21*'01_Вводные'!$B$218*'19_Расчет_аналитики'!D560,MeanMinAge21)))</f>
        <v/>
      </c>
      <c r="E512">
        <f>IF(OR(('06_Сеть_и_дети'!E73-'06_Сеть_и_дети'!E101)=0,21&lt;='01_Вводные'!$B$297),0,('06_Сеть_и_дети'!E73-'06_Сеть_и_дети'!E101)*IF('01_Вводные'!$B$239="Да",MeanMinAge21+'19_Расчет_аналитики'!E560*SUMIF(ThresholdAge21,"&lt;"&amp;'19_Расчет_аналитики'!E560,WeightedRevAge21)-SUMIF(ThresholdAge21,"&lt;"&amp;'19_Расчет_аналитики'!E560,WeightedMinAge21),MAX(CapacityAge21*'01_Вводные'!$B$218*'19_Расчет_аналитики'!E560,MeanMinAge21)))</f>
        <v/>
      </c>
      <c r="F512">
        <f>IF(OR(('06_Сеть_и_дети'!F73-'06_Сеть_и_дети'!F101)=0,21&lt;='01_Вводные'!$B$297),0,('06_Сеть_и_дети'!F73-'06_Сеть_и_дети'!F101)*IF('01_Вводные'!$B$239="Да",MeanMinAge21+'19_Расчет_аналитики'!F560*SUMIF(ThresholdAge21,"&lt;"&amp;'19_Расчет_аналитики'!F560,WeightedRevAge21)-SUMIF(ThresholdAge21,"&lt;"&amp;'19_Расчет_аналитики'!F560,WeightedMinAge21),MAX(CapacityAge21*'01_Вводные'!$B$218*'19_Расчет_аналитики'!F560,MeanMinAge21)))</f>
        <v/>
      </c>
      <c r="G512">
        <f>IF(OR(('06_Сеть_и_дети'!G73-'06_Сеть_и_дети'!G101)=0,21&lt;='01_Вводные'!$B$297),0,('06_Сеть_и_дети'!G73-'06_Сеть_и_дети'!G101)*IF('01_Вводные'!$B$239="Да",MeanMinAge21+'19_Расчет_аналитики'!G560*SUMIF(ThresholdAge21,"&lt;"&amp;'19_Расчет_аналитики'!G560,WeightedRevAge21)-SUMIF(ThresholdAge21,"&lt;"&amp;'19_Расчет_аналитики'!G560,WeightedMinAge21),MAX(CapacityAge21*'01_Вводные'!$B$218*'19_Расчет_аналитики'!G560,MeanMinAge21)))</f>
        <v/>
      </c>
      <c r="H512">
        <f>IF(OR(('06_Сеть_и_дети'!H73-'06_Сеть_и_дети'!H101)=0,21&lt;='01_Вводные'!$B$297),0,('06_Сеть_и_дети'!H73-'06_Сеть_и_дети'!H101)*IF('01_Вводные'!$B$239="Да",MeanMinAge21+'19_Расчет_аналитики'!H560*SUMIF(ThresholdAge21,"&lt;"&amp;'19_Расчет_аналитики'!H560,WeightedRevAge21)-SUMIF(ThresholdAge21,"&lt;"&amp;'19_Расчет_аналитики'!H560,WeightedMinAge21),MAX(CapacityAge21*'01_Вводные'!$B$218*'19_Расчет_аналитики'!H560,MeanMinAge21)))</f>
        <v/>
      </c>
      <c r="I512">
        <f>IF(OR(('06_Сеть_и_дети'!I73-'06_Сеть_и_дети'!I101)=0,21&lt;='01_Вводные'!$B$297),0,('06_Сеть_и_дети'!I73-'06_Сеть_и_дети'!I101)*IF('01_Вводные'!$B$239="Да",MeanMinAge21+'19_Расчет_аналитики'!I560*SUMIF(ThresholdAge21,"&lt;"&amp;'19_Расчет_аналитики'!I560,WeightedRevAge21)-SUMIF(ThresholdAge21,"&lt;"&amp;'19_Расчет_аналитики'!I560,WeightedMinAge21),MAX(CapacityAge21*'01_Вводные'!$B$218*'19_Расчет_аналитики'!I560,MeanMinAge21)))</f>
        <v/>
      </c>
      <c r="J512">
        <f>IF(OR(('06_Сеть_и_дети'!J73-'06_Сеть_и_дети'!J101)=0,21&lt;='01_Вводные'!$B$297),0,('06_Сеть_и_дети'!J73-'06_Сеть_и_дети'!J101)*IF('01_Вводные'!$B$239="Да",MeanMinAge21+'19_Расчет_аналитики'!J560*SUMIF(ThresholdAge21,"&lt;"&amp;'19_Расчет_аналитики'!J560,WeightedRevAge21)-SUMIF(ThresholdAge21,"&lt;"&amp;'19_Расчет_аналитики'!J560,WeightedMinAge21),MAX(CapacityAge21*'01_Вводные'!$B$218*'19_Расчет_аналитики'!J560,MeanMinAge21)))</f>
        <v/>
      </c>
      <c r="K512">
        <f>IF(OR(('06_Сеть_и_дети'!K73-'06_Сеть_и_дети'!K101)=0,21&lt;='01_Вводные'!$B$297),0,('06_Сеть_и_дети'!K73-'06_Сеть_и_дети'!K101)*IF('01_Вводные'!$B$239="Да",MeanMinAge21+'19_Расчет_аналитики'!K560*SUMIF(ThresholdAge21,"&lt;"&amp;'19_Расчет_аналитики'!K560,WeightedRevAge21)-SUMIF(ThresholdAge21,"&lt;"&amp;'19_Расчет_аналитики'!K560,WeightedMinAge21),MAX(CapacityAge21*'01_Вводные'!$B$218*'19_Расчет_аналитики'!K560,MeanMinAge21)))</f>
        <v/>
      </c>
      <c r="L512">
        <f>IF(OR(('06_Сеть_и_дети'!L73-'06_Сеть_и_дети'!L101)=0,21&lt;='01_Вводные'!$B$297),0,('06_Сеть_и_дети'!L73-'06_Сеть_и_дети'!L101)*IF('01_Вводные'!$B$239="Да",MeanMinAge21+'19_Расчет_аналитики'!L560*SUMIF(ThresholdAge21,"&lt;"&amp;'19_Расчет_аналитики'!L560,WeightedRevAge21)-SUMIF(ThresholdAge21,"&lt;"&amp;'19_Расчет_аналитики'!L560,WeightedMinAge21),MAX(CapacityAge21*'01_Вводные'!$B$218*'19_Расчет_аналитики'!L560,MeanMinAge21)))</f>
        <v/>
      </c>
      <c r="M512">
        <f>IF(OR(('06_Сеть_и_дети'!M73-'06_Сеть_и_дети'!M101)=0,21&lt;='01_Вводные'!$B$297),0,('06_Сеть_и_дети'!M73-'06_Сеть_и_дети'!M101)*IF('01_Вводные'!$B$239="Да",MeanMinAge21+'19_Расчет_аналитики'!M560*SUMIF(ThresholdAge21,"&lt;"&amp;'19_Расчет_аналитики'!M560,WeightedRevAge21)-SUMIF(ThresholdAge21,"&lt;"&amp;'19_Расчет_аналитики'!M560,WeightedMinAge21),MAX(CapacityAge21*'01_Вводные'!$B$218*'19_Расчет_аналитики'!M560,MeanMinAge21)))</f>
        <v/>
      </c>
      <c r="N512">
        <f>IF(OR(('06_Сеть_и_дети'!N73-'06_Сеть_и_дети'!N101)=0,21&lt;='01_Вводные'!$B$297),0,('06_Сеть_и_дети'!N73-'06_Сеть_и_дети'!N101)*IF('01_Вводные'!$B$239="Да",MeanMinAge21+'19_Расчет_аналитики'!N560*SUMIF(ThresholdAge21,"&lt;"&amp;'19_Расчет_аналитики'!N560,WeightedRevAge21)-SUMIF(ThresholdAge21,"&lt;"&amp;'19_Расчет_аналитики'!N560,WeightedMinAge21),MAX(CapacityAge21*'01_Вводные'!$B$218*'19_Расчет_аналитики'!N560,MeanMinAge21)))</f>
        <v/>
      </c>
      <c r="O512">
        <f>IF(OR(('06_Сеть_и_дети'!O73-'06_Сеть_и_дети'!O101)=0,21&lt;='01_Вводные'!$B$297),0,('06_Сеть_и_дети'!O73-'06_Сеть_и_дети'!O101)*IF('01_Вводные'!$B$239="Да",MeanMinAge21+'19_Расчет_аналитики'!O560*SUMIF(ThresholdAge21,"&lt;"&amp;'19_Расчет_аналитики'!O560,WeightedRevAge21)-SUMIF(ThresholdAge21,"&lt;"&amp;'19_Расчет_аналитики'!O560,WeightedMinAge21),MAX(CapacityAge21*'01_Вводные'!$B$218*'19_Расчет_аналитики'!O560,MeanMinAge21)))</f>
        <v/>
      </c>
      <c r="P512">
        <f>IF(OR(('06_Сеть_и_дети'!P73-'06_Сеть_и_дети'!P101)=0,21&lt;='01_Вводные'!$B$297),0,('06_Сеть_и_дети'!P73-'06_Сеть_и_дети'!P101)*IF('01_Вводные'!$B$239="Да",MeanMinAge21+'19_Расчет_аналитики'!P560*SUMIF(ThresholdAge21,"&lt;"&amp;'19_Расчет_аналитики'!P560,WeightedRevAge21)-SUMIF(ThresholdAge21,"&lt;"&amp;'19_Расчет_аналитики'!P560,WeightedMinAge21),MAX(CapacityAge21*'01_Вводные'!$B$218*'19_Расчет_аналитики'!P560,MeanMinAge21)))</f>
        <v/>
      </c>
      <c r="Q512">
        <f>IF(OR(('06_Сеть_и_дети'!Q73-'06_Сеть_и_дети'!Q101)=0,21&lt;='01_Вводные'!$B$297),0,('06_Сеть_и_дети'!Q73-'06_Сеть_и_дети'!Q101)*IF('01_Вводные'!$B$239="Да",MeanMinAge21+'19_Расчет_аналитики'!Q560*SUMIF(ThresholdAge21,"&lt;"&amp;'19_Расчет_аналитики'!Q560,WeightedRevAge21)-SUMIF(ThresholdAge21,"&lt;"&amp;'19_Расчет_аналитики'!Q560,WeightedMinAge21),MAX(CapacityAge21*'01_Вводные'!$B$218*'19_Расчет_аналитики'!Q560,MeanMinAge21)))</f>
        <v/>
      </c>
      <c r="R512">
        <f>IF(OR(('06_Сеть_и_дети'!R73-'06_Сеть_и_дети'!R101)=0,21&lt;='01_Вводные'!$B$297),0,('06_Сеть_и_дети'!R73-'06_Сеть_и_дети'!R101)*IF('01_Вводные'!$B$239="Да",MeanMinAge21+'19_Расчет_аналитики'!R560*SUMIF(ThresholdAge21,"&lt;"&amp;'19_Расчет_аналитики'!R560,WeightedRevAge21)-SUMIF(ThresholdAge21,"&lt;"&amp;'19_Расчет_аналитики'!R560,WeightedMinAge21),MAX(CapacityAge21*'01_Вводные'!$B$218*'19_Расчет_аналитики'!R560,MeanMinAge21)))</f>
        <v/>
      </c>
      <c r="S512">
        <f>IF(OR(('06_Сеть_и_дети'!S73-'06_Сеть_и_дети'!S101)=0,21&lt;='01_Вводные'!$B$297),0,('06_Сеть_и_дети'!S73-'06_Сеть_и_дети'!S101)*IF('01_Вводные'!$B$239="Да",MeanMinAge21+'19_Расчет_аналитики'!S560*SUMIF(ThresholdAge21,"&lt;"&amp;'19_Расчет_аналитики'!S560,WeightedRevAge21)-SUMIF(ThresholdAge21,"&lt;"&amp;'19_Расчет_аналитики'!S560,WeightedMinAge21),MAX(CapacityAge21*'01_Вводные'!$B$218*'19_Расчет_аналитики'!S560,MeanMinAge21)))</f>
        <v/>
      </c>
      <c r="T512">
        <f>IF(OR(('06_Сеть_и_дети'!T73-'06_Сеть_и_дети'!T101)=0,21&lt;='01_Вводные'!$B$297),0,('06_Сеть_и_дети'!T73-'06_Сеть_и_дети'!T101)*IF('01_Вводные'!$B$239="Да",MeanMinAge21+'19_Расчет_аналитики'!T560*SUMIF(ThresholdAge21,"&lt;"&amp;'19_Расчет_аналитики'!T560,WeightedRevAge21)-SUMIF(ThresholdAge21,"&lt;"&amp;'19_Расчет_аналитики'!T560,WeightedMinAge21),MAX(CapacityAge21*'01_Вводные'!$B$218*'19_Расчет_аналитики'!T560,MeanMinAge21)))</f>
        <v/>
      </c>
      <c r="U512">
        <f>IF(OR(('06_Сеть_и_дети'!U73-'06_Сеть_и_дети'!U101)=0,21&lt;='01_Вводные'!$B$297),0,('06_Сеть_и_дети'!U73-'06_Сеть_и_дети'!U101)*IF('01_Вводные'!$B$239="Да",MeanMinAge21+'19_Расчет_аналитики'!U560*SUMIF(ThresholdAge21,"&lt;"&amp;'19_Расчет_аналитики'!U560,WeightedRevAge21)-SUMIF(ThresholdAge21,"&lt;"&amp;'19_Расчет_аналитики'!U560,WeightedMinAge21),MAX(CapacityAge21*'01_Вводные'!$B$218*'19_Расчет_аналитики'!U560,MeanMinAge21)))</f>
        <v/>
      </c>
      <c r="V512">
        <f>IF(OR(('19_Расчет_аналитики'!V428-'19_Расчет_аналитики'!V456)=0,21&lt;='01_Вводные'!$B$297),0,('19_Расчет_аналитики'!V428-'19_Расчет_аналитики'!V456)*IF('01_Вводные'!$B$239="Да",MeanMinAge21+'19_Расчет_аналитики'!V560*SUMIF(ThresholdAge21,"&lt;"&amp;'19_Расчет_аналитики'!V560,WeightedRevAge21)-SUMIF(ThresholdAge21,"&lt;"&amp;'19_Расчет_аналитики'!V560,WeightedMinAge21),MAX(CapacityAge21*'01_Вводные'!$B$218*'19_Расчет_аналитики'!V560,MeanMinAge21)))</f>
        <v/>
      </c>
      <c r="W512">
        <f>IF(OR(('19_Расчет_аналитики'!W428-'19_Расчет_аналитики'!W456)=0,21&lt;='01_Вводные'!$B$297),0,('19_Расчет_аналитики'!W428-'19_Расчет_аналитики'!W456)*IF('01_Вводные'!$B$239="Да",MeanMinAge21+'19_Расчет_аналитики'!W560*SUMIF(ThresholdAge21,"&lt;"&amp;'19_Расчет_аналитики'!W560,WeightedRevAge21)-SUMIF(ThresholdAge21,"&lt;"&amp;'19_Расчет_аналитики'!W560,WeightedMinAge21),MAX(CapacityAge21*'01_Вводные'!$B$218*'19_Расчет_аналитики'!W560,MeanMinAge21)))</f>
        <v/>
      </c>
      <c r="X512">
        <f>IF(OR(('19_Расчет_аналитики'!X428-'19_Расчет_аналитики'!X456)=0,21&lt;='01_Вводные'!$B$297),0,('19_Расчет_аналитики'!X428-'19_Расчет_аналитики'!X456)*IF('01_Вводные'!$B$239="Да",MeanMinAge21+'19_Расчет_аналитики'!X560*SUMIF(ThresholdAge21,"&lt;"&amp;'19_Расчет_аналитики'!X560,WeightedRevAge21)-SUMIF(ThresholdAge21,"&lt;"&amp;'19_Расчет_аналитики'!X560,WeightedMinAge21),MAX(CapacityAge21*'01_Вводные'!$B$218*'19_Расчет_аналитики'!X560,MeanMinAge21)))</f>
        <v/>
      </c>
      <c r="Y512">
        <f>IF(OR(('19_Расчет_аналитики'!Y428-'19_Расчет_аналитики'!Y456)=0,21&lt;='01_Вводные'!$B$297),0,('19_Расчет_аналитики'!Y428-'19_Расчет_аналитики'!Y456)*IF('01_Вводные'!$B$239="Да",MeanMinAge21+'19_Расчет_аналитики'!Y560*SUMIF(ThresholdAge21,"&lt;"&amp;'19_Расчет_аналитики'!Y560,WeightedRevAge21)-SUMIF(ThresholdAge21,"&lt;"&amp;'19_Расчет_аналитики'!Y560,WeightedMinAge21),MAX(CapacityAge21*'01_Вводные'!$B$218*'19_Расчет_аналитики'!Y560,MeanMinAge21)))</f>
        <v/>
      </c>
      <c r="Z512">
        <f>IF(OR(('19_Расчет_аналитики'!Z428-'19_Расчет_аналитики'!Z456)=0,21&lt;='01_Вводные'!$B$297),0,('19_Расчет_аналитики'!Z428-'19_Расчет_аналитики'!Z456)*IF('01_Вводные'!$B$239="Да",MeanMinAge21+'19_Расчет_аналитики'!Z560*SUMIF(ThresholdAge21,"&lt;"&amp;'19_Расчет_аналитики'!Z560,WeightedRevAge21)-SUMIF(ThresholdAge21,"&lt;"&amp;'19_Расчет_аналитики'!Z560,WeightedMinAge21),MAX(CapacityAge21*'01_Вводные'!$B$218*'19_Расчет_аналитики'!Z560,MeanMinAge21)))</f>
        <v/>
      </c>
      <c r="AA512">
        <f>IF(OR(('19_Расчет_аналитики'!AA428-'19_Расчет_аналитики'!AA456)=0,21&lt;='01_Вводные'!$B$297),0,('19_Расчет_аналитики'!AA428-'19_Расчет_аналитики'!AA456)*IF('01_Вводные'!$B$239="Да",MeanMinAge21+'19_Расчет_аналитики'!AA560*SUMIF(ThresholdAge21,"&lt;"&amp;'19_Расчет_аналитики'!AA560,WeightedRevAge21)-SUMIF(ThresholdAge21,"&lt;"&amp;'19_Расчет_аналитики'!AA560,WeightedMinAge21),MAX(CapacityAge21*'01_Вводные'!$B$218*'19_Расчет_аналитики'!AA560,MeanMinAge21)))</f>
        <v/>
      </c>
      <c r="AB512">
        <f>IF(OR(('19_Расчет_аналитики'!AB428-'19_Расчет_аналитики'!AB456)=0,21&lt;='01_Вводные'!$B$297),0,('19_Расчет_аналитики'!AB428-'19_Расчет_аналитики'!AB456)*IF('01_Вводные'!$B$239="Да",MeanMinAge21+'19_Расчет_аналитики'!AB560*SUMIF(ThresholdAge21,"&lt;"&amp;'19_Расчет_аналитики'!AB560,WeightedRevAge21)-SUMIF(ThresholdAge21,"&lt;"&amp;'19_Расчет_аналитики'!AB560,WeightedMinAge21),MAX(CapacityAge21*'01_Вводные'!$B$218*'19_Расчет_аналитики'!AB560,MeanMinAge21)))</f>
        <v/>
      </c>
      <c r="AC512">
        <f>IF(OR(('19_Расчет_аналитики'!AC428-'19_Расчет_аналитики'!AC456)=0,21&lt;='01_Вводные'!$B$297),0,('19_Расчет_аналитики'!AC428-'19_Расчет_аналитики'!AC456)*IF('01_Вводные'!$B$239="Да",MeanMinAge21+'19_Расчет_аналитики'!AC560*SUMIF(ThresholdAge21,"&lt;"&amp;'19_Расчет_аналитики'!AC560,WeightedRevAge21)-SUMIF(ThresholdAge21,"&lt;"&amp;'19_Расчет_аналитики'!AC560,WeightedMinAge21),MAX(CapacityAge21*'01_Вводные'!$B$218*'19_Расчет_аналитики'!AC560,MeanMinAge21)))</f>
        <v/>
      </c>
      <c r="AD512">
        <f>IF(OR(('19_Расчет_аналитики'!AD428-'19_Расчет_аналитики'!AD456)=0,21&lt;='01_Вводные'!$B$297),0,('19_Расчет_аналитики'!AD428-'19_Расчет_аналитики'!AD456)*IF('01_Вводные'!$B$239="Да",MeanMinAge21+'19_Расчет_аналитики'!AD560*SUMIF(ThresholdAge21,"&lt;"&amp;'19_Расчет_аналитики'!AD560,WeightedRevAge21)-SUMIF(ThresholdAge21,"&lt;"&amp;'19_Расчет_аналитики'!AD560,WeightedMinAge21),MAX(CapacityAge21*'01_Вводные'!$B$218*'19_Расчет_аналитики'!AD560,MeanMinAge21)))</f>
        <v/>
      </c>
      <c r="AE512">
        <f>IF(OR(('19_Расчет_аналитики'!AE428-'19_Расчет_аналитики'!AE456)=0,21&lt;='01_Вводные'!$B$297),0,('19_Расчет_аналитики'!AE428-'19_Расчет_аналитики'!AE456)*IF('01_Вводные'!$B$239="Да",MeanMinAge21+'19_Расчет_аналитики'!AE560*SUMIF(ThresholdAge21,"&lt;"&amp;'19_Расчет_аналитики'!AE560,WeightedRevAge21)-SUMIF(ThresholdAge21,"&lt;"&amp;'19_Расчет_аналитики'!AE560,WeightedMinAge21),MAX(CapacityAge21*'01_Вводные'!$B$218*'19_Расчет_аналитики'!AE560,MeanMinAge21)))</f>
        <v/>
      </c>
      <c r="AF512">
        <f>IF(OR(('19_Расчет_аналитики'!AF428-'19_Расчет_аналитики'!AF456)=0,21&lt;='01_Вводные'!$B$297),0,('19_Расчет_аналитики'!AF428-'19_Расчет_аналитики'!AF456)*IF('01_Вводные'!$B$239="Да",MeanMinAge21+'19_Расчет_аналитики'!AF560*SUMIF(ThresholdAge21,"&lt;"&amp;'19_Расчет_аналитики'!AF560,WeightedRevAge21)-SUMIF(ThresholdAge21,"&lt;"&amp;'19_Расчет_аналитики'!AF560,WeightedMinAge21),MAX(CapacityAge21*'01_Вводные'!$B$218*'19_Расчет_аналитики'!AF560,MeanMinAge21)))</f>
        <v/>
      </c>
      <c r="AG512">
        <f>IF(OR(('19_Расчет_аналитики'!AG428-'19_Расчет_аналитики'!AG456)=0,21&lt;='01_Вводные'!$B$297),0,('19_Расчет_аналитики'!AG428-'19_Расчет_аналитики'!AG456)*IF('01_Вводные'!$B$239="Да",MeanMinAge21+'19_Расчет_аналитики'!AG560*SUMIF(ThresholdAge21,"&lt;"&amp;'19_Расчет_аналитики'!AG560,WeightedRevAge21)-SUMIF(ThresholdAge21,"&lt;"&amp;'19_Расчет_аналитики'!AG560,WeightedMinAge21),MAX(CapacityAge21*'01_Вводные'!$B$218*'19_Расчет_аналитики'!AG560,MeanMinAge21)))</f>
        <v/>
      </c>
      <c r="AH512">
        <f>IF(OR(('19_Расчет_аналитики'!AH428-'19_Расчет_аналитики'!AH456)=0,21&lt;='01_Вводные'!$B$297),0,('19_Расчет_аналитики'!AH428-'19_Расчет_аналитики'!AH456)*IF('01_Вводные'!$B$239="Да",MeanMinAge21+'19_Расчет_аналитики'!AH560*SUMIF(ThresholdAge21,"&lt;"&amp;'19_Расчет_аналитики'!AH560,WeightedRevAge21)-SUMIF(ThresholdAge21,"&lt;"&amp;'19_Расчет_аналитики'!AH560,WeightedMinAge21),MAX(CapacityAge21*'01_Вводные'!$B$218*'19_Расчет_аналитики'!AH560,MeanMinAge21)))</f>
        <v/>
      </c>
      <c r="AI512">
        <f>IF(OR(('19_Расчет_аналитики'!AI428-'19_Расчет_аналитики'!AI456)=0,21&lt;='01_Вводные'!$B$297),0,('19_Расчет_аналитики'!AI428-'19_Расчет_аналитики'!AI456)*IF('01_Вводные'!$B$239="Да",MeanMinAge21+'19_Расчет_аналитики'!AI560*SUMIF(ThresholdAge21,"&lt;"&amp;'19_Расчет_аналитики'!AI560,WeightedRevAge21)-SUMIF(ThresholdAge21,"&lt;"&amp;'19_Расчет_аналитики'!AI560,WeightedMinAge21),MAX(CapacityAge21*'01_Вводные'!$B$218*'19_Расчет_аналитики'!AI560,MeanMinAge21)))</f>
        <v/>
      </c>
      <c r="AJ512">
        <f>IF(OR(('19_Расчет_аналитики'!AJ428-'19_Расчет_аналитики'!AJ456)=0,21&lt;='01_Вводные'!$B$297),0,('19_Расчет_аналитики'!AJ428-'19_Расчет_аналитики'!AJ456)*IF('01_Вводные'!$B$239="Да",MeanMinAge21+'19_Расчет_аналитики'!AJ560*SUMIF(ThresholdAge21,"&lt;"&amp;'19_Расчет_аналитики'!AJ560,WeightedRevAge21)-SUMIF(ThresholdAge21,"&lt;"&amp;'19_Расчет_аналитики'!AJ560,WeightedMinAge21),MAX(CapacityAge21*'01_Вводные'!$B$218*'19_Расчет_аналитики'!AJ560,MeanMinAge21)))</f>
        <v/>
      </c>
      <c r="AK512">
        <f>IF(OR(('19_Расчет_аналитики'!AK428-'19_Расчет_аналитики'!AK456)=0,21&lt;='01_Вводные'!$B$297),0,('19_Расчет_аналитики'!AK428-'19_Расчет_аналитики'!AK456)*IF('01_Вводные'!$B$239="Да",MeanMinAge21+'19_Расчет_аналитики'!AK560*SUMIF(ThresholdAge21,"&lt;"&amp;'19_Расчет_аналитики'!AK560,WeightedRevAge21)-SUMIF(ThresholdAge21,"&lt;"&amp;'19_Расчет_аналитики'!AK560,WeightedMinAge21),MAX(CapacityAge21*'01_Вводные'!$B$218*'19_Расчет_аналитики'!AK560,MeanMinAge21)))</f>
        <v/>
      </c>
      <c r="AL512">
        <f>IF(OR(('19_Расчет_аналитики'!AL428-'19_Расчет_аналитики'!AL456)=0,21&lt;='01_Вводные'!$B$297),0,('19_Расчет_аналитики'!AL428-'19_Расчет_аналитики'!AL456)*IF('01_Вводные'!$B$239="Да",MeanMinAge21+'19_Расчет_аналитики'!AL560*SUMIF(ThresholdAge21,"&lt;"&amp;'19_Расчет_аналитики'!AL560,WeightedRevAge21)-SUMIF(ThresholdAge21,"&lt;"&amp;'19_Расчет_аналитики'!AL560,WeightedMinAge21),MAX(CapacityAge21*'01_Вводные'!$B$218*'19_Расчет_аналитики'!AL560,MeanMinAge21)))</f>
        <v/>
      </c>
      <c r="AM512">
        <f>IF(OR(('19_Расчет_аналитики'!AM428-'19_Расчет_аналитики'!AM456)=0,21&lt;='01_Вводные'!$B$297),0,('19_Расчет_аналитики'!AM428-'19_Расчет_аналитики'!AM456)*IF('01_Вводные'!$B$239="Да",MeanMinAge21+'19_Расчет_аналитики'!AM560*SUMIF(ThresholdAge21,"&lt;"&amp;'19_Расчет_аналитики'!AM560,WeightedRevAge21)-SUMIF(ThresholdAge21,"&lt;"&amp;'19_Расчет_аналитики'!AM560,WeightedMinAge21),MAX(CapacityAge21*'01_Вводные'!$B$218*'19_Расчет_аналитики'!AM560,MeanMinAge21)))</f>
        <v/>
      </c>
      <c r="AN512">
        <f>IF(OR(('19_Расчет_аналитики'!AN428-'19_Расчет_аналитики'!AN456)=0,21&lt;='01_Вводные'!$B$297),0,('19_Расчет_аналитики'!AN428-'19_Расчет_аналитики'!AN456)*IF('01_Вводные'!$B$239="Да",MeanMinAge21+'19_Расчет_аналитики'!AN560*SUMIF(ThresholdAge21,"&lt;"&amp;'19_Расчет_аналитики'!AN560,WeightedRevAge21)-SUMIF(ThresholdAge21,"&lt;"&amp;'19_Расчет_аналитики'!AN560,WeightedMinAge21),MAX(CapacityAge21*'01_Вводные'!$B$218*'19_Расчет_аналитики'!AN560,MeanMinAge21)))</f>
        <v/>
      </c>
      <c r="AO512">
        <f>IF(OR(('19_Расчет_аналитики'!AO428-'19_Расчет_аналитики'!AO456)=0,21&lt;='01_Вводные'!$B$297),0,('19_Расчет_аналитики'!AO428-'19_Расчет_аналитики'!AO456)*IF('01_Вводные'!$B$239="Да",MeanMinAge21+'19_Расчет_аналитики'!AO560*SUMIF(ThresholdAge21,"&lt;"&amp;'19_Расчет_аналитики'!AO560,WeightedRevAge21)-SUMIF(ThresholdAge21,"&lt;"&amp;'19_Расчет_аналитики'!AO560,WeightedMinAge21),MAX(CapacityAge21*'01_Вводные'!$B$218*'19_Расчет_аналитики'!AO560,MeanMinAge21)))</f>
        <v/>
      </c>
      <c r="AP512">
        <f>IF(OR(('19_Расчет_аналитики'!AP428-'19_Расчет_аналитики'!AP456)=0,21&lt;='01_Вводные'!$B$297),0,('19_Расчет_аналитики'!AP428-'19_Расчет_аналитики'!AP456)*IF('01_Вводные'!$B$239="Да",MeanMinAge21+'19_Расчет_аналитики'!AP560*SUMIF(ThresholdAge21,"&lt;"&amp;'19_Расчет_аналитики'!AP560,WeightedRevAge21)-SUMIF(ThresholdAge21,"&lt;"&amp;'19_Расчет_аналитики'!AP560,WeightedMinAge21),MAX(CapacityAge21*'01_Вводные'!$B$218*'19_Расчет_аналитики'!AP560,MeanMinAge21)))</f>
        <v/>
      </c>
      <c r="AQ512">
        <f>IF(OR(('19_Расчет_аналитики'!AQ428-'19_Расчет_аналитики'!AQ456)=0,21&lt;='01_Вводные'!$B$297),0,('19_Расчет_аналитики'!AQ428-'19_Расчет_аналитики'!AQ456)*IF('01_Вводные'!$B$239="Да",MeanMinAge21+'19_Расчет_аналитики'!AQ560*SUMIF(ThresholdAge21,"&lt;"&amp;'19_Расчет_аналитики'!AQ560,WeightedRevAge21)-SUMIF(ThresholdAge21,"&lt;"&amp;'19_Расчет_аналитики'!AQ560,WeightedMinAge21),MAX(CapacityAge21*'01_Вводные'!$B$218*'19_Расчет_аналитики'!AQ560,MeanMinAge21)))</f>
        <v/>
      </c>
      <c r="AR512">
        <f>IF(OR(('19_Расчет_аналитики'!AR428-'19_Расчет_аналитики'!AR456)=0,21&lt;='01_Вводные'!$B$297),0,('19_Расчет_аналитики'!AR428-'19_Расчет_аналитики'!AR456)*IF('01_Вводные'!$B$239="Да",MeanMinAge21+'19_Расчет_аналитики'!AR560*SUMIF(ThresholdAge21,"&lt;"&amp;'19_Расчет_аналитики'!AR560,WeightedRevAge21)-SUMIF(ThresholdAge21,"&lt;"&amp;'19_Расчет_аналитики'!AR560,WeightedMinAge21),MAX(CapacityAge21*'01_Вводные'!$B$218*'19_Расчет_аналитики'!AR560,MeanMinAge21)))</f>
        <v/>
      </c>
      <c r="AS512">
        <f>IF(OR(('19_Расчет_аналитики'!AS428-'19_Расчет_аналитики'!AS456)=0,21&lt;='01_Вводные'!$B$297),0,('19_Расчет_аналитики'!AS428-'19_Расчет_аналитики'!AS456)*IF('01_Вводные'!$B$239="Да",MeanMinAge21+'19_Расчет_аналитики'!AS560*SUMIF(ThresholdAge21,"&lt;"&amp;'19_Расчет_аналитики'!AS560,WeightedRevAge21)-SUMIF(ThresholdAge21,"&lt;"&amp;'19_Расчет_аналитики'!AS560,WeightedMinAge21),MAX(CapacityAge21*'01_Вводные'!$B$218*'19_Расчет_аналитики'!AS560,MeanMinAge21)))</f>
        <v/>
      </c>
      <c r="AT512">
        <f>IF(OR(('19_Расчет_аналитики'!AT428-'19_Расчет_аналитики'!AT456)=0,21&lt;='01_Вводные'!$B$297),0,('19_Расчет_аналитики'!AT428-'19_Расчет_аналитики'!AT456)*IF('01_Вводные'!$B$239="Да",MeanMinAge21+'19_Расчет_аналитики'!AT560*SUMIF(ThresholdAge21,"&lt;"&amp;'19_Расчет_аналитики'!AT560,WeightedRevAge21)-SUMIF(ThresholdAge21,"&lt;"&amp;'19_Расчет_аналитики'!AT560,WeightedMinAge21),MAX(CapacityAge21*'01_Вводные'!$B$218*'19_Расчет_аналитики'!AT560,MeanMinAge21)))</f>
        <v/>
      </c>
      <c r="AU512">
        <f>IF(OR(('19_Расчет_аналитики'!AU428-'19_Расчет_аналитики'!AU456)=0,21&lt;='01_Вводные'!$B$297),0,('19_Расчет_аналитики'!AU428-'19_Расчет_аналитики'!AU456)*IF('01_Вводные'!$B$239="Да",MeanMinAge21+'19_Расчет_аналитики'!AU560*SUMIF(ThresholdAge21,"&lt;"&amp;'19_Расчет_аналитики'!AU560,WeightedRevAge21)-SUMIF(ThresholdAge21,"&lt;"&amp;'19_Расчет_аналитики'!AU560,WeightedMinAge21),MAX(CapacityAge21*'01_Вводные'!$B$218*'19_Расчет_аналитики'!AU560,MeanMinAge21)))</f>
        <v/>
      </c>
      <c r="AV512">
        <f>IF(OR(('19_Расчет_аналитики'!AV428-'19_Расчет_аналитики'!AV456)=0,21&lt;='01_Вводные'!$B$297),0,('19_Расчет_аналитики'!AV428-'19_Расчет_аналитики'!AV456)*IF('01_Вводные'!$B$239="Да",MeanMinAge21+'19_Расчет_аналитики'!AV560*SUMIF(ThresholdAge21,"&lt;"&amp;'19_Расчет_аналитики'!AV560,WeightedRevAge21)-SUMIF(ThresholdAge21,"&lt;"&amp;'19_Расчет_аналитики'!AV560,WeightedMinAge21),MAX(CapacityAge21*'01_Вводные'!$B$218*'19_Расчет_аналитики'!AV560,MeanMinAge21)))</f>
        <v/>
      </c>
      <c r="AW512">
        <f>IF(OR(('19_Расчет_аналитики'!AW428-'19_Расчет_аналитики'!AW456)=0,21&lt;='01_Вводные'!$B$297),0,('19_Расчет_аналитики'!AW428-'19_Расчет_аналитики'!AW456)*IF('01_Вводные'!$B$239="Да",MeanMinAge21+'19_Расчет_аналитики'!AW560*SUMIF(ThresholdAge21,"&lt;"&amp;'19_Расчет_аналитики'!AW560,WeightedRevAge21)-SUMIF(ThresholdAge21,"&lt;"&amp;'19_Расчет_аналитики'!AW560,WeightedMinAge21),MAX(CapacityAge21*'01_Вводные'!$B$218*'19_Расчет_аналитики'!AW560,MeanMinAge21)))</f>
        <v/>
      </c>
      <c r="AX512">
        <f>IF(OR(('19_Расчет_аналитики'!AX428-'19_Расчет_аналитики'!AX456)=0,21&lt;='01_Вводные'!$B$297),0,('19_Расчет_аналитики'!AX428-'19_Расчет_аналитики'!AX456)*IF('01_Вводные'!$B$239="Да",MeanMinAge21+'19_Расчет_аналитики'!AX560*SUMIF(ThresholdAge21,"&lt;"&amp;'19_Расчет_аналитики'!AX560,WeightedRevAge21)-SUMIF(ThresholdAge21,"&lt;"&amp;'19_Расчет_аналитики'!AX560,WeightedMinAge21),MAX(CapacityAge21*'01_Вводные'!$B$218*'19_Расчет_аналитики'!AX560,MeanMinAge21)))</f>
        <v/>
      </c>
      <c r="AY512">
        <f>IF(OR(('19_Расчет_аналитики'!AY428-'19_Расчет_аналитики'!AY456)=0,21&lt;='01_Вводные'!$B$297),0,('19_Расчет_аналитики'!AY428-'19_Расчет_аналитики'!AY456)*IF('01_Вводные'!$B$239="Да",MeanMinAge21+'19_Расчет_аналитики'!AY560*SUMIF(ThresholdAge21,"&lt;"&amp;'19_Расчет_аналитики'!AY560,WeightedRevAge21)-SUMIF(ThresholdAge21,"&lt;"&amp;'19_Расчет_аналитики'!AY560,WeightedMinAge21),MAX(CapacityAge21*'01_Вводные'!$B$218*'19_Расчет_аналитики'!AY560,MeanMinAge21)))</f>
        <v/>
      </c>
      <c r="AZ512">
        <f>IF(OR(('19_Расчет_аналитики'!AZ428-'19_Расчет_аналитики'!AZ456)=0,21&lt;='01_Вводные'!$B$297),0,('19_Расчет_аналитики'!AZ428-'19_Расчет_аналитики'!AZ456)*IF('01_Вводные'!$B$239="Да",MeanMinAge21+'19_Расчет_аналитики'!AZ560*SUMIF(ThresholdAge21,"&lt;"&amp;'19_Расчет_аналитики'!AZ560,WeightedRevAge21)-SUMIF(ThresholdAge21,"&lt;"&amp;'19_Расчет_аналитики'!AZ560,WeightedMinAge21),MAX(CapacityAge21*'01_Вводные'!$B$218*'19_Расчет_аналитики'!AZ560,MeanMinAge21)))</f>
        <v/>
      </c>
      <c r="BA512">
        <f>IF(OR(('19_Расчет_аналитики'!BA428-'19_Расчет_аналитики'!BA456)=0,21&lt;='01_Вводные'!$B$297),0,('19_Расчет_аналитики'!BA428-'19_Расчет_аналитики'!BA456)*IF('01_Вводные'!$B$239="Да",MeanMinAge21+'19_Расчет_аналитики'!BA560*SUMIF(ThresholdAge21,"&lt;"&amp;'19_Расчет_аналитики'!BA560,WeightedRevAge21)-SUMIF(ThresholdAge21,"&lt;"&amp;'19_Расчет_аналитики'!BA560,WeightedMinAge21),MAX(CapacityAge21*'01_Вводные'!$B$218*'19_Расчет_аналитики'!BA560,MeanMinAge21)))</f>
        <v/>
      </c>
      <c r="BB512">
        <f>IF(OR(('19_Расчет_аналитики'!BB428-'19_Расчет_аналитики'!BB456)=0,21&lt;='01_Вводные'!$B$297),0,('19_Расчет_аналитики'!BB428-'19_Расчет_аналитики'!BB456)*IF('01_Вводные'!$B$239="Да",MeanMinAge21+'19_Расчет_аналитики'!BB560*SUMIF(ThresholdAge21,"&lt;"&amp;'19_Расчет_аналитики'!BB560,WeightedRevAge21)-SUMIF(ThresholdAge21,"&lt;"&amp;'19_Расчет_аналитики'!BB560,WeightedMinAge21),MAX(CapacityAge21*'01_Вводные'!$B$218*'19_Расчет_аналитики'!BB560,MeanMinAge21)))</f>
        <v/>
      </c>
      <c r="BC512">
        <f>IF(OR(('19_Расчет_аналитики'!BC428-'19_Расчет_аналитики'!BC456)=0,21&lt;='01_Вводные'!$B$297),0,('19_Расчет_аналитики'!BC428-'19_Расчет_аналитики'!BC456)*IF('01_Вводные'!$B$239="Да",MeanMinAge21+'19_Расчет_аналитики'!BC560*SUMIF(ThresholdAge21,"&lt;"&amp;'19_Расчет_аналитики'!BC560,WeightedRevAge21)-SUMIF(ThresholdAge21,"&lt;"&amp;'19_Расчет_аналитики'!BC560,WeightedMinAge21),MAX(CapacityAge21*'01_Вводные'!$B$218*'19_Расчет_аналитики'!BC560,MeanMinAge21)))</f>
        <v/>
      </c>
      <c r="BD512">
        <f>IF(OR(('19_Расчет_аналитики'!BD428-'19_Расчет_аналитики'!BD456)=0,21&lt;='01_Вводные'!$B$297),0,('19_Расчет_аналитики'!BD428-'19_Расчет_аналитики'!BD456)*IF('01_Вводные'!$B$239="Да",MeanMinAge21+'19_Расчет_аналитики'!BD560*SUMIF(ThresholdAge21,"&lt;"&amp;'19_Расчет_аналитики'!BD560,WeightedRevAge21)-SUMIF(ThresholdAge21,"&lt;"&amp;'19_Расчет_аналитики'!BD560,WeightedMinAge21),MAX(CapacityAge21*'01_Вводные'!$B$218*'19_Расчет_аналитики'!BD560,MeanMinAge21)))</f>
        <v/>
      </c>
      <c r="BE512">
        <f>IF(OR(('19_Расчет_аналитики'!BE428-'19_Расчет_аналитики'!BE456)=0,21&lt;='01_Вводные'!$B$297),0,('19_Расчет_аналитики'!BE428-'19_Расчет_аналитики'!BE456)*IF('01_Вводные'!$B$239="Да",MeanMinAge21+'19_Расчет_аналитики'!BE560*SUMIF(ThresholdAge21,"&lt;"&amp;'19_Расчет_аналитики'!BE560,WeightedRevAge21)-SUMIF(ThresholdAge21,"&lt;"&amp;'19_Расчет_аналитики'!BE560,WeightedMinAge21),MAX(CapacityAge21*'01_Вводные'!$B$218*'19_Расчет_аналитики'!BE560,MeanMinAge21)))</f>
        <v/>
      </c>
      <c r="BF512">
        <f>IF(OR(('19_Расчет_аналитики'!BF428-'19_Расчет_аналитики'!BF456)=0,21&lt;='01_Вводные'!$B$297),0,('19_Расчет_аналитики'!BF428-'19_Расчет_аналитики'!BF456)*IF('01_Вводные'!$B$239="Да",MeanMinAge21+'19_Расчет_аналитики'!BF560*SUMIF(ThresholdAge21,"&lt;"&amp;'19_Расчет_аналитики'!BF560,WeightedRevAge21)-SUMIF(ThresholdAge21,"&lt;"&amp;'19_Расчет_аналитики'!BF560,WeightedMinAge21),MAX(CapacityAge21*'01_Вводные'!$B$218*'19_Расчет_аналитики'!BF560,MeanMinAge21)))</f>
        <v/>
      </c>
      <c r="BG512">
        <f>IF(OR(('19_Расчет_аналитики'!BG428-'19_Расчет_аналитики'!BG456)=0,21&lt;='01_Вводные'!$B$297),0,('19_Расчет_аналитики'!BG428-'19_Расчет_аналитики'!BG456)*IF('01_Вводные'!$B$239="Да",MeanMinAge21+'19_Расчет_аналитики'!BG560*SUMIF(ThresholdAge21,"&lt;"&amp;'19_Расчет_аналитики'!BG560,WeightedRevAge21)-SUMIF(ThresholdAge21,"&lt;"&amp;'19_Расчет_аналитики'!BG560,WeightedMinAge21),MAX(CapacityAge21*'01_Вводные'!$B$218*'19_Расчет_аналитики'!BG560,MeanMinAge21)))</f>
        <v/>
      </c>
      <c r="BH512">
        <f>IF(OR(('19_Расчет_аналитики'!BH428-'19_Расчет_аналитики'!BH456)=0,21&lt;='01_Вводные'!$B$297),0,('19_Расчет_аналитики'!BH428-'19_Расчет_аналитики'!BH456)*IF('01_Вводные'!$B$239="Да",MeanMinAge21+'19_Расчет_аналитики'!BH560*SUMIF(ThresholdAge21,"&lt;"&amp;'19_Расчет_аналитики'!BH560,WeightedRevAge21)-SUMIF(ThresholdAge21,"&lt;"&amp;'19_Расчет_аналитики'!BH560,WeightedMinAge21),MAX(CapacityAge21*'01_Вводные'!$B$218*'19_Расчет_аналитики'!BH560,MeanMinAge21)))</f>
        <v/>
      </c>
      <c r="BI512">
        <f>IF(OR(('19_Расчет_аналитики'!BI428-'19_Расчет_аналитики'!BI456)=0,21&lt;='01_Вводные'!$B$297),0,('19_Расчет_аналитики'!BI428-'19_Расчет_аналитики'!BI456)*IF('01_Вводные'!$B$239="Да",MeanMinAge21+'19_Расчет_аналитики'!BI560*SUMIF(ThresholdAge21,"&lt;"&amp;'19_Расчет_аналитики'!BI560,WeightedRevAge21)-SUMIF(ThresholdAge21,"&lt;"&amp;'19_Расчет_аналитики'!BI560,WeightedMinAge21),MAX(CapacityAge21*'01_Вводные'!$B$218*'19_Расчет_аналитики'!BI560,MeanMinAge21)))</f>
        <v/>
      </c>
      <c r="BJ512">
        <f>IF(OR(('19_Расчет_аналитики'!BJ428-'19_Расчет_аналитики'!BJ456)=0,21&lt;='01_Вводные'!$B$297),0,('19_Расчет_аналитики'!BJ428-'19_Расчет_аналитики'!BJ456)*IF('01_Вводные'!$B$239="Да",MeanMinAge21+'19_Расчет_аналитики'!BJ560*SUMIF(ThresholdAge21,"&lt;"&amp;'19_Расчет_аналитики'!BJ560,WeightedRevAge21)-SUMIF(ThresholdAge21,"&lt;"&amp;'19_Расчет_аналитики'!BJ560,WeightedMinAge21),MAX(CapacityAge21*'01_Вводные'!$B$218*'19_Расчет_аналитики'!BJ560,MeanMinAge21)))</f>
        <v/>
      </c>
      <c r="BK512">
        <f>IF(OR(('19_Расчет_аналитики'!BK428-'19_Расчет_аналитики'!BK456)=0,21&lt;='01_Вводные'!$B$297),0,('19_Расчет_аналитики'!BK428-'19_Расчет_аналитики'!BK456)*IF('01_Вводные'!$B$239="Да",MeanMinAge21+'19_Расчет_аналитики'!BK560*SUMIF(ThresholdAge21,"&lt;"&amp;'19_Расчет_аналитики'!BK560,WeightedRevAge21)-SUMIF(ThresholdAge21,"&lt;"&amp;'19_Расчет_аналитики'!BK560,WeightedMinAge21),MAX(CapacityAge21*'01_Вводные'!$B$218*'19_Расчет_аналитики'!BK560,MeanMinAge21)))</f>
        <v/>
      </c>
      <c r="BL512">
        <f>IF(OR(('19_Расчет_аналитики'!BL428-'19_Расчет_аналитики'!BL456)=0,21&lt;='01_Вводные'!$B$297),0,('19_Расчет_аналитики'!BL428-'19_Расчет_аналитики'!BL456)*IF('01_Вводные'!$B$239="Да",MeanMinAge21+'19_Расчет_аналитики'!BL560*SUMIF(ThresholdAge21,"&lt;"&amp;'19_Расчет_аналитики'!BL560,WeightedRevAge21)-SUMIF(ThresholdAge21,"&lt;"&amp;'19_Расчет_аналитики'!BL560,WeightedMinAge21),MAX(CapacityAge21*'01_Вводные'!$B$218*'19_Расчет_аналитики'!BL560,MeanMinAge21)))</f>
        <v/>
      </c>
      <c r="BM512">
        <f>IF(OR(('19_Расчет_аналитики'!BM428-'19_Расчет_аналитики'!BM456)=0,21&lt;='01_Вводные'!$B$297),0,('19_Расчет_аналитики'!BM428-'19_Расчет_аналитики'!BM456)*IF('01_Вводные'!$B$239="Да",MeanMinAge21+'19_Расчет_аналитики'!BM560*SUMIF(ThresholdAge21,"&lt;"&amp;'19_Расчет_аналитики'!BM560,WeightedRevAge21)-SUMIF(ThresholdAge21,"&lt;"&amp;'19_Расчет_аналитики'!BM560,WeightedMinAge21),MAX(CapacityAge21*'01_Вводные'!$B$218*'19_Расчет_аналитики'!BM560,MeanMinAge21)))</f>
        <v/>
      </c>
      <c r="BN512">
        <f>IF(OR(('19_Расчет_аналитики'!BN428-'19_Расчет_аналитики'!BN456)=0,21&lt;='01_Вводные'!$B$297),0,('19_Расчет_аналитики'!BN428-'19_Расчет_аналитики'!BN456)*IF('01_Вводные'!$B$239="Да",MeanMinAge21+'19_Расчет_аналитики'!BN560*SUMIF(ThresholdAge21,"&lt;"&amp;'19_Расчет_аналитики'!BN560,WeightedRevAge21)-SUMIF(ThresholdAge21,"&lt;"&amp;'19_Расчет_аналитики'!BN560,WeightedMinAge21),MAX(CapacityAge21*'01_Вводные'!$B$218*'19_Расчет_аналитики'!BN560,MeanMinAge21)))</f>
        <v/>
      </c>
      <c r="BO512">
        <f>IF(OR(('19_Расчет_аналитики'!BO428-'19_Расчет_аналитики'!BO456)=0,21&lt;='01_Вводные'!$B$297),0,('19_Расчет_аналитики'!BO428-'19_Расчет_аналитики'!BO456)*IF('01_Вводные'!$B$239="Да",MeanMinAge21+'19_Расчет_аналитики'!BO560*SUMIF(ThresholdAge21,"&lt;"&amp;'19_Расчет_аналитики'!BO560,WeightedRevAge21)-SUMIF(ThresholdAge21,"&lt;"&amp;'19_Расчет_аналитики'!BO560,WeightedMinAge21),MAX(CapacityAge21*'01_Вводные'!$B$218*'19_Расчет_аналитики'!BO560,MeanMinAge21)))</f>
        <v/>
      </c>
    </row>
    <row r="513">
      <c r="B513">
        <f>IF(OR(('06_Сеть_и_дети'!B74-'06_Сеть_и_дети'!B102)=0,22&lt;='01_Вводные'!$B$297),0,('06_Сеть_и_дети'!B74-'06_Сеть_и_дети'!B102)*IF('01_Вводные'!$B$239="Да",MeanMinAge22+'19_Расчет_аналитики'!B560*SUMIF(ThresholdAge22,"&lt;"&amp;'19_Расчет_аналитики'!B560,WeightedRevAge22)-SUMIF(ThresholdAge22,"&lt;"&amp;'19_Расчет_аналитики'!B560,WeightedMinAge22),MAX(CapacityAge22*'01_Вводные'!$B$218*'19_Расчет_аналитики'!B560,MeanMinAge22)))</f>
        <v/>
      </c>
      <c r="C513">
        <f>IF(OR(('06_Сеть_и_дети'!C74-'06_Сеть_и_дети'!C102)=0,22&lt;='01_Вводные'!$B$297),0,('06_Сеть_и_дети'!C74-'06_Сеть_и_дети'!C102)*IF('01_Вводные'!$B$239="Да",MeanMinAge22+'19_Расчет_аналитики'!C560*SUMIF(ThresholdAge22,"&lt;"&amp;'19_Расчет_аналитики'!C560,WeightedRevAge22)-SUMIF(ThresholdAge22,"&lt;"&amp;'19_Расчет_аналитики'!C560,WeightedMinAge22),MAX(CapacityAge22*'01_Вводные'!$B$218*'19_Расчет_аналитики'!C560,MeanMinAge22)))</f>
        <v/>
      </c>
      <c r="D513">
        <f>IF(OR(('06_Сеть_и_дети'!D74-'06_Сеть_и_дети'!D102)=0,22&lt;='01_Вводные'!$B$297),0,('06_Сеть_и_дети'!D74-'06_Сеть_и_дети'!D102)*IF('01_Вводные'!$B$239="Да",MeanMinAge22+'19_Расчет_аналитики'!D560*SUMIF(ThresholdAge22,"&lt;"&amp;'19_Расчет_аналитики'!D560,WeightedRevAge22)-SUMIF(ThresholdAge22,"&lt;"&amp;'19_Расчет_аналитики'!D560,WeightedMinAge22),MAX(CapacityAge22*'01_Вводные'!$B$218*'19_Расчет_аналитики'!D560,MeanMinAge22)))</f>
        <v/>
      </c>
      <c r="E513">
        <f>IF(OR(('06_Сеть_и_дети'!E74-'06_Сеть_и_дети'!E102)=0,22&lt;='01_Вводные'!$B$297),0,('06_Сеть_и_дети'!E74-'06_Сеть_и_дети'!E102)*IF('01_Вводные'!$B$239="Да",MeanMinAge22+'19_Расчет_аналитики'!E560*SUMIF(ThresholdAge22,"&lt;"&amp;'19_Расчет_аналитики'!E560,WeightedRevAge22)-SUMIF(ThresholdAge22,"&lt;"&amp;'19_Расчет_аналитики'!E560,WeightedMinAge22),MAX(CapacityAge22*'01_Вводные'!$B$218*'19_Расчет_аналитики'!E560,MeanMinAge22)))</f>
        <v/>
      </c>
      <c r="F513">
        <f>IF(OR(('06_Сеть_и_дети'!F74-'06_Сеть_и_дети'!F102)=0,22&lt;='01_Вводные'!$B$297),0,('06_Сеть_и_дети'!F74-'06_Сеть_и_дети'!F102)*IF('01_Вводные'!$B$239="Да",MeanMinAge22+'19_Расчет_аналитики'!F560*SUMIF(ThresholdAge22,"&lt;"&amp;'19_Расчет_аналитики'!F560,WeightedRevAge22)-SUMIF(ThresholdAge22,"&lt;"&amp;'19_Расчет_аналитики'!F560,WeightedMinAge22),MAX(CapacityAge22*'01_Вводные'!$B$218*'19_Расчет_аналитики'!F560,MeanMinAge22)))</f>
        <v/>
      </c>
      <c r="G513">
        <f>IF(OR(('06_Сеть_и_дети'!G74-'06_Сеть_и_дети'!G102)=0,22&lt;='01_Вводные'!$B$297),0,('06_Сеть_и_дети'!G74-'06_Сеть_и_дети'!G102)*IF('01_Вводные'!$B$239="Да",MeanMinAge22+'19_Расчет_аналитики'!G560*SUMIF(ThresholdAge22,"&lt;"&amp;'19_Расчет_аналитики'!G560,WeightedRevAge22)-SUMIF(ThresholdAge22,"&lt;"&amp;'19_Расчет_аналитики'!G560,WeightedMinAge22),MAX(CapacityAge22*'01_Вводные'!$B$218*'19_Расчет_аналитики'!G560,MeanMinAge22)))</f>
        <v/>
      </c>
      <c r="H513">
        <f>IF(OR(('06_Сеть_и_дети'!H74-'06_Сеть_и_дети'!H102)=0,22&lt;='01_Вводные'!$B$297),0,('06_Сеть_и_дети'!H74-'06_Сеть_и_дети'!H102)*IF('01_Вводные'!$B$239="Да",MeanMinAge22+'19_Расчет_аналитики'!H560*SUMIF(ThresholdAge22,"&lt;"&amp;'19_Расчет_аналитики'!H560,WeightedRevAge22)-SUMIF(ThresholdAge22,"&lt;"&amp;'19_Расчет_аналитики'!H560,WeightedMinAge22),MAX(CapacityAge22*'01_Вводные'!$B$218*'19_Расчет_аналитики'!H560,MeanMinAge22)))</f>
        <v/>
      </c>
      <c r="I513">
        <f>IF(OR(('06_Сеть_и_дети'!I74-'06_Сеть_и_дети'!I102)=0,22&lt;='01_Вводные'!$B$297),0,('06_Сеть_и_дети'!I74-'06_Сеть_и_дети'!I102)*IF('01_Вводные'!$B$239="Да",MeanMinAge22+'19_Расчет_аналитики'!I560*SUMIF(ThresholdAge22,"&lt;"&amp;'19_Расчет_аналитики'!I560,WeightedRevAge22)-SUMIF(ThresholdAge22,"&lt;"&amp;'19_Расчет_аналитики'!I560,WeightedMinAge22),MAX(CapacityAge22*'01_Вводные'!$B$218*'19_Расчет_аналитики'!I560,MeanMinAge22)))</f>
        <v/>
      </c>
      <c r="J513">
        <f>IF(OR(('06_Сеть_и_дети'!J74-'06_Сеть_и_дети'!J102)=0,22&lt;='01_Вводные'!$B$297),0,('06_Сеть_и_дети'!J74-'06_Сеть_и_дети'!J102)*IF('01_Вводные'!$B$239="Да",MeanMinAge22+'19_Расчет_аналитики'!J560*SUMIF(ThresholdAge22,"&lt;"&amp;'19_Расчет_аналитики'!J560,WeightedRevAge22)-SUMIF(ThresholdAge22,"&lt;"&amp;'19_Расчет_аналитики'!J560,WeightedMinAge22),MAX(CapacityAge22*'01_Вводные'!$B$218*'19_Расчет_аналитики'!J560,MeanMinAge22)))</f>
        <v/>
      </c>
      <c r="K513">
        <f>IF(OR(('06_Сеть_и_дети'!K74-'06_Сеть_и_дети'!K102)=0,22&lt;='01_Вводные'!$B$297),0,('06_Сеть_и_дети'!K74-'06_Сеть_и_дети'!K102)*IF('01_Вводные'!$B$239="Да",MeanMinAge22+'19_Расчет_аналитики'!K560*SUMIF(ThresholdAge22,"&lt;"&amp;'19_Расчет_аналитики'!K560,WeightedRevAge22)-SUMIF(ThresholdAge22,"&lt;"&amp;'19_Расчет_аналитики'!K560,WeightedMinAge22),MAX(CapacityAge22*'01_Вводные'!$B$218*'19_Расчет_аналитики'!K560,MeanMinAge22)))</f>
        <v/>
      </c>
      <c r="L513">
        <f>IF(OR(('06_Сеть_и_дети'!L74-'06_Сеть_и_дети'!L102)=0,22&lt;='01_Вводные'!$B$297),0,('06_Сеть_и_дети'!L74-'06_Сеть_и_дети'!L102)*IF('01_Вводные'!$B$239="Да",MeanMinAge22+'19_Расчет_аналитики'!L560*SUMIF(ThresholdAge22,"&lt;"&amp;'19_Расчет_аналитики'!L560,WeightedRevAge22)-SUMIF(ThresholdAge22,"&lt;"&amp;'19_Расчет_аналитики'!L560,WeightedMinAge22),MAX(CapacityAge22*'01_Вводные'!$B$218*'19_Расчет_аналитики'!L560,MeanMinAge22)))</f>
        <v/>
      </c>
      <c r="M513">
        <f>IF(OR(('06_Сеть_и_дети'!M74-'06_Сеть_и_дети'!M102)=0,22&lt;='01_Вводные'!$B$297),0,('06_Сеть_и_дети'!M74-'06_Сеть_и_дети'!M102)*IF('01_Вводные'!$B$239="Да",MeanMinAge22+'19_Расчет_аналитики'!M560*SUMIF(ThresholdAge22,"&lt;"&amp;'19_Расчет_аналитики'!M560,WeightedRevAge22)-SUMIF(ThresholdAge22,"&lt;"&amp;'19_Расчет_аналитики'!M560,WeightedMinAge22),MAX(CapacityAge22*'01_Вводные'!$B$218*'19_Расчет_аналитики'!M560,MeanMinAge22)))</f>
        <v/>
      </c>
      <c r="N513">
        <f>IF(OR(('06_Сеть_и_дети'!N74-'06_Сеть_и_дети'!N102)=0,22&lt;='01_Вводные'!$B$297),0,('06_Сеть_и_дети'!N74-'06_Сеть_и_дети'!N102)*IF('01_Вводные'!$B$239="Да",MeanMinAge22+'19_Расчет_аналитики'!N560*SUMIF(ThresholdAge22,"&lt;"&amp;'19_Расчет_аналитики'!N560,WeightedRevAge22)-SUMIF(ThresholdAge22,"&lt;"&amp;'19_Расчет_аналитики'!N560,WeightedMinAge22),MAX(CapacityAge22*'01_Вводные'!$B$218*'19_Расчет_аналитики'!N560,MeanMinAge22)))</f>
        <v/>
      </c>
      <c r="O513">
        <f>IF(OR(('06_Сеть_и_дети'!O74-'06_Сеть_и_дети'!O102)=0,22&lt;='01_Вводные'!$B$297),0,('06_Сеть_и_дети'!O74-'06_Сеть_и_дети'!O102)*IF('01_Вводные'!$B$239="Да",MeanMinAge22+'19_Расчет_аналитики'!O560*SUMIF(ThresholdAge22,"&lt;"&amp;'19_Расчет_аналитики'!O560,WeightedRevAge22)-SUMIF(ThresholdAge22,"&lt;"&amp;'19_Расчет_аналитики'!O560,WeightedMinAge22),MAX(CapacityAge22*'01_Вводные'!$B$218*'19_Расчет_аналитики'!O560,MeanMinAge22)))</f>
        <v/>
      </c>
      <c r="P513">
        <f>IF(OR(('06_Сеть_и_дети'!P74-'06_Сеть_и_дети'!P102)=0,22&lt;='01_Вводные'!$B$297),0,('06_Сеть_и_дети'!P74-'06_Сеть_и_дети'!P102)*IF('01_Вводные'!$B$239="Да",MeanMinAge22+'19_Расчет_аналитики'!P560*SUMIF(ThresholdAge22,"&lt;"&amp;'19_Расчет_аналитики'!P560,WeightedRevAge22)-SUMIF(ThresholdAge22,"&lt;"&amp;'19_Расчет_аналитики'!P560,WeightedMinAge22),MAX(CapacityAge22*'01_Вводные'!$B$218*'19_Расчет_аналитики'!P560,MeanMinAge22)))</f>
        <v/>
      </c>
      <c r="Q513">
        <f>IF(OR(('06_Сеть_и_дети'!Q74-'06_Сеть_и_дети'!Q102)=0,22&lt;='01_Вводные'!$B$297),0,('06_Сеть_и_дети'!Q74-'06_Сеть_и_дети'!Q102)*IF('01_Вводные'!$B$239="Да",MeanMinAge22+'19_Расчет_аналитики'!Q560*SUMIF(ThresholdAge22,"&lt;"&amp;'19_Расчет_аналитики'!Q560,WeightedRevAge22)-SUMIF(ThresholdAge22,"&lt;"&amp;'19_Расчет_аналитики'!Q560,WeightedMinAge22),MAX(CapacityAge22*'01_Вводные'!$B$218*'19_Расчет_аналитики'!Q560,MeanMinAge22)))</f>
        <v/>
      </c>
      <c r="R513">
        <f>IF(OR(('06_Сеть_и_дети'!R74-'06_Сеть_и_дети'!R102)=0,22&lt;='01_Вводные'!$B$297),0,('06_Сеть_и_дети'!R74-'06_Сеть_и_дети'!R102)*IF('01_Вводные'!$B$239="Да",MeanMinAge22+'19_Расчет_аналитики'!R560*SUMIF(ThresholdAge22,"&lt;"&amp;'19_Расчет_аналитики'!R560,WeightedRevAge22)-SUMIF(ThresholdAge22,"&lt;"&amp;'19_Расчет_аналитики'!R560,WeightedMinAge22),MAX(CapacityAge22*'01_Вводные'!$B$218*'19_Расчет_аналитики'!R560,MeanMinAge22)))</f>
        <v/>
      </c>
      <c r="S513">
        <f>IF(OR(('06_Сеть_и_дети'!S74-'06_Сеть_и_дети'!S102)=0,22&lt;='01_Вводные'!$B$297),0,('06_Сеть_и_дети'!S74-'06_Сеть_и_дети'!S102)*IF('01_Вводные'!$B$239="Да",MeanMinAge22+'19_Расчет_аналитики'!S560*SUMIF(ThresholdAge22,"&lt;"&amp;'19_Расчет_аналитики'!S560,WeightedRevAge22)-SUMIF(ThresholdAge22,"&lt;"&amp;'19_Расчет_аналитики'!S560,WeightedMinAge22),MAX(CapacityAge22*'01_Вводные'!$B$218*'19_Расчет_аналитики'!S560,MeanMinAge22)))</f>
        <v/>
      </c>
      <c r="T513">
        <f>IF(OR(('06_Сеть_и_дети'!T74-'06_Сеть_и_дети'!T102)=0,22&lt;='01_Вводные'!$B$297),0,('06_Сеть_и_дети'!T74-'06_Сеть_и_дети'!T102)*IF('01_Вводные'!$B$239="Да",MeanMinAge22+'19_Расчет_аналитики'!T560*SUMIF(ThresholdAge22,"&lt;"&amp;'19_Расчет_аналитики'!T560,WeightedRevAge22)-SUMIF(ThresholdAge22,"&lt;"&amp;'19_Расчет_аналитики'!T560,WeightedMinAge22),MAX(CapacityAge22*'01_Вводные'!$B$218*'19_Расчет_аналитики'!T560,MeanMinAge22)))</f>
        <v/>
      </c>
      <c r="U513">
        <f>IF(OR(('06_Сеть_и_дети'!U74-'06_Сеть_и_дети'!U102)=0,22&lt;='01_Вводные'!$B$297),0,('06_Сеть_и_дети'!U74-'06_Сеть_и_дети'!U102)*IF('01_Вводные'!$B$239="Да",MeanMinAge22+'19_Расчет_аналитики'!U560*SUMIF(ThresholdAge22,"&lt;"&amp;'19_Расчет_аналитики'!U560,WeightedRevAge22)-SUMIF(ThresholdAge22,"&lt;"&amp;'19_Расчет_аналитики'!U560,WeightedMinAge22),MAX(CapacityAge22*'01_Вводные'!$B$218*'19_Расчет_аналитики'!U560,MeanMinAge22)))</f>
        <v/>
      </c>
      <c r="V513">
        <f>IF(OR(('06_Сеть_и_дети'!V74-'06_Сеть_и_дети'!V102)=0,22&lt;='01_Вводные'!$B$297),0,('06_Сеть_и_дети'!V74-'06_Сеть_и_дети'!V102)*IF('01_Вводные'!$B$239="Да",MeanMinAge22+'19_Расчет_аналитики'!V560*SUMIF(ThresholdAge22,"&lt;"&amp;'19_Расчет_аналитики'!V560,WeightedRevAge22)-SUMIF(ThresholdAge22,"&lt;"&amp;'19_Расчет_аналитики'!V560,WeightedMinAge22),MAX(CapacityAge22*'01_Вводные'!$B$218*'19_Расчет_аналитики'!V560,MeanMinAge22)))</f>
        <v/>
      </c>
      <c r="W513">
        <f>IF(OR(('19_Расчет_аналитики'!W429-'19_Расчет_аналитики'!W457)=0,22&lt;='01_Вводные'!$B$297),0,('19_Расчет_аналитики'!W429-'19_Расчет_аналитики'!W457)*IF('01_Вводные'!$B$239="Да",MeanMinAge22+'19_Расчет_аналитики'!W560*SUMIF(ThresholdAge22,"&lt;"&amp;'19_Расчет_аналитики'!W560,WeightedRevAge22)-SUMIF(ThresholdAge22,"&lt;"&amp;'19_Расчет_аналитики'!W560,WeightedMinAge22),MAX(CapacityAge22*'01_Вводные'!$B$218*'19_Расчет_аналитики'!W560,MeanMinAge22)))</f>
        <v/>
      </c>
      <c r="X513">
        <f>IF(OR(('19_Расчет_аналитики'!X429-'19_Расчет_аналитики'!X457)=0,22&lt;='01_Вводные'!$B$297),0,('19_Расчет_аналитики'!X429-'19_Расчет_аналитики'!X457)*IF('01_Вводные'!$B$239="Да",MeanMinAge22+'19_Расчет_аналитики'!X560*SUMIF(ThresholdAge22,"&lt;"&amp;'19_Расчет_аналитики'!X560,WeightedRevAge22)-SUMIF(ThresholdAge22,"&lt;"&amp;'19_Расчет_аналитики'!X560,WeightedMinAge22),MAX(CapacityAge22*'01_Вводные'!$B$218*'19_Расчет_аналитики'!X560,MeanMinAge22)))</f>
        <v/>
      </c>
      <c r="Y513">
        <f>IF(OR(('19_Расчет_аналитики'!Y429-'19_Расчет_аналитики'!Y457)=0,22&lt;='01_Вводные'!$B$297),0,('19_Расчет_аналитики'!Y429-'19_Расчет_аналитики'!Y457)*IF('01_Вводные'!$B$239="Да",MeanMinAge22+'19_Расчет_аналитики'!Y560*SUMIF(ThresholdAge22,"&lt;"&amp;'19_Расчет_аналитики'!Y560,WeightedRevAge22)-SUMIF(ThresholdAge22,"&lt;"&amp;'19_Расчет_аналитики'!Y560,WeightedMinAge22),MAX(CapacityAge22*'01_Вводные'!$B$218*'19_Расчет_аналитики'!Y560,MeanMinAge22)))</f>
        <v/>
      </c>
      <c r="Z513">
        <f>IF(OR(('19_Расчет_аналитики'!Z429-'19_Расчет_аналитики'!Z457)=0,22&lt;='01_Вводные'!$B$297),0,('19_Расчет_аналитики'!Z429-'19_Расчет_аналитики'!Z457)*IF('01_Вводные'!$B$239="Да",MeanMinAge22+'19_Расчет_аналитики'!Z560*SUMIF(ThresholdAge22,"&lt;"&amp;'19_Расчет_аналитики'!Z560,WeightedRevAge22)-SUMIF(ThresholdAge22,"&lt;"&amp;'19_Расчет_аналитики'!Z560,WeightedMinAge22),MAX(CapacityAge22*'01_Вводные'!$B$218*'19_Расчет_аналитики'!Z560,MeanMinAge22)))</f>
        <v/>
      </c>
      <c r="AA513">
        <f>IF(OR(('19_Расчет_аналитики'!AA429-'19_Расчет_аналитики'!AA457)=0,22&lt;='01_Вводные'!$B$297),0,('19_Расчет_аналитики'!AA429-'19_Расчет_аналитики'!AA457)*IF('01_Вводные'!$B$239="Да",MeanMinAge22+'19_Расчет_аналитики'!AA560*SUMIF(ThresholdAge22,"&lt;"&amp;'19_Расчет_аналитики'!AA560,WeightedRevAge22)-SUMIF(ThresholdAge22,"&lt;"&amp;'19_Расчет_аналитики'!AA560,WeightedMinAge22),MAX(CapacityAge22*'01_Вводные'!$B$218*'19_Расчет_аналитики'!AA560,MeanMinAge22)))</f>
        <v/>
      </c>
      <c r="AB513">
        <f>IF(OR(('19_Расчет_аналитики'!AB429-'19_Расчет_аналитики'!AB457)=0,22&lt;='01_Вводные'!$B$297),0,('19_Расчет_аналитики'!AB429-'19_Расчет_аналитики'!AB457)*IF('01_Вводные'!$B$239="Да",MeanMinAge22+'19_Расчет_аналитики'!AB560*SUMIF(ThresholdAge22,"&lt;"&amp;'19_Расчет_аналитики'!AB560,WeightedRevAge22)-SUMIF(ThresholdAge22,"&lt;"&amp;'19_Расчет_аналитики'!AB560,WeightedMinAge22),MAX(CapacityAge22*'01_Вводные'!$B$218*'19_Расчет_аналитики'!AB560,MeanMinAge22)))</f>
        <v/>
      </c>
      <c r="AC513">
        <f>IF(OR(('19_Расчет_аналитики'!AC429-'19_Расчет_аналитики'!AC457)=0,22&lt;='01_Вводные'!$B$297),0,('19_Расчет_аналитики'!AC429-'19_Расчет_аналитики'!AC457)*IF('01_Вводные'!$B$239="Да",MeanMinAge22+'19_Расчет_аналитики'!AC560*SUMIF(ThresholdAge22,"&lt;"&amp;'19_Расчет_аналитики'!AC560,WeightedRevAge22)-SUMIF(ThresholdAge22,"&lt;"&amp;'19_Расчет_аналитики'!AC560,WeightedMinAge22),MAX(CapacityAge22*'01_Вводные'!$B$218*'19_Расчет_аналитики'!AC560,MeanMinAge22)))</f>
        <v/>
      </c>
      <c r="AD513">
        <f>IF(OR(('19_Расчет_аналитики'!AD429-'19_Расчет_аналитики'!AD457)=0,22&lt;='01_Вводные'!$B$297),0,('19_Расчет_аналитики'!AD429-'19_Расчет_аналитики'!AD457)*IF('01_Вводные'!$B$239="Да",MeanMinAge22+'19_Расчет_аналитики'!AD560*SUMIF(ThresholdAge22,"&lt;"&amp;'19_Расчет_аналитики'!AD560,WeightedRevAge22)-SUMIF(ThresholdAge22,"&lt;"&amp;'19_Расчет_аналитики'!AD560,WeightedMinAge22),MAX(CapacityAge22*'01_Вводные'!$B$218*'19_Расчет_аналитики'!AD560,MeanMinAge22)))</f>
        <v/>
      </c>
      <c r="AE513">
        <f>IF(OR(('19_Расчет_аналитики'!AE429-'19_Расчет_аналитики'!AE457)=0,22&lt;='01_Вводные'!$B$297),0,('19_Расчет_аналитики'!AE429-'19_Расчет_аналитики'!AE457)*IF('01_Вводные'!$B$239="Да",MeanMinAge22+'19_Расчет_аналитики'!AE560*SUMIF(ThresholdAge22,"&lt;"&amp;'19_Расчет_аналитики'!AE560,WeightedRevAge22)-SUMIF(ThresholdAge22,"&lt;"&amp;'19_Расчет_аналитики'!AE560,WeightedMinAge22),MAX(CapacityAge22*'01_Вводные'!$B$218*'19_Расчет_аналитики'!AE560,MeanMinAge22)))</f>
        <v/>
      </c>
      <c r="AF513">
        <f>IF(OR(('19_Расчет_аналитики'!AF429-'19_Расчет_аналитики'!AF457)=0,22&lt;='01_Вводные'!$B$297),0,('19_Расчет_аналитики'!AF429-'19_Расчет_аналитики'!AF457)*IF('01_Вводные'!$B$239="Да",MeanMinAge22+'19_Расчет_аналитики'!AF560*SUMIF(ThresholdAge22,"&lt;"&amp;'19_Расчет_аналитики'!AF560,WeightedRevAge22)-SUMIF(ThresholdAge22,"&lt;"&amp;'19_Расчет_аналитики'!AF560,WeightedMinAge22),MAX(CapacityAge22*'01_Вводные'!$B$218*'19_Расчет_аналитики'!AF560,MeanMinAge22)))</f>
        <v/>
      </c>
      <c r="AG513">
        <f>IF(OR(('19_Расчет_аналитики'!AG429-'19_Расчет_аналитики'!AG457)=0,22&lt;='01_Вводные'!$B$297),0,('19_Расчет_аналитики'!AG429-'19_Расчет_аналитики'!AG457)*IF('01_Вводные'!$B$239="Да",MeanMinAge22+'19_Расчет_аналитики'!AG560*SUMIF(ThresholdAge22,"&lt;"&amp;'19_Расчет_аналитики'!AG560,WeightedRevAge22)-SUMIF(ThresholdAge22,"&lt;"&amp;'19_Расчет_аналитики'!AG560,WeightedMinAge22),MAX(CapacityAge22*'01_Вводные'!$B$218*'19_Расчет_аналитики'!AG560,MeanMinAge22)))</f>
        <v/>
      </c>
      <c r="AH513">
        <f>IF(OR(('19_Расчет_аналитики'!AH429-'19_Расчет_аналитики'!AH457)=0,22&lt;='01_Вводные'!$B$297),0,('19_Расчет_аналитики'!AH429-'19_Расчет_аналитики'!AH457)*IF('01_Вводные'!$B$239="Да",MeanMinAge22+'19_Расчет_аналитики'!AH560*SUMIF(ThresholdAge22,"&lt;"&amp;'19_Расчет_аналитики'!AH560,WeightedRevAge22)-SUMIF(ThresholdAge22,"&lt;"&amp;'19_Расчет_аналитики'!AH560,WeightedMinAge22),MAX(CapacityAge22*'01_Вводные'!$B$218*'19_Расчет_аналитики'!AH560,MeanMinAge22)))</f>
        <v/>
      </c>
      <c r="AI513">
        <f>IF(OR(('19_Расчет_аналитики'!AI429-'19_Расчет_аналитики'!AI457)=0,22&lt;='01_Вводные'!$B$297),0,('19_Расчет_аналитики'!AI429-'19_Расчет_аналитики'!AI457)*IF('01_Вводные'!$B$239="Да",MeanMinAge22+'19_Расчет_аналитики'!AI560*SUMIF(ThresholdAge22,"&lt;"&amp;'19_Расчет_аналитики'!AI560,WeightedRevAge22)-SUMIF(ThresholdAge22,"&lt;"&amp;'19_Расчет_аналитики'!AI560,WeightedMinAge22),MAX(CapacityAge22*'01_Вводные'!$B$218*'19_Расчет_аналитики'!AI560,MeanMinAge22)))</f>
        <v/>
      </c>
      <c r="AJ513">
        <f>IF(OR(('19_Расчет_аналитики'!AJ429-'19_Расчет_аналитики'!AJ457)=0,22&lt;='01_Вводные'!$B$297),0,('19_Расчет_аналитики'!AJ429-'19_Расчет_аналитики'!AJ457)*IF('01_Вводные'!$B$239="Да",MeanMinAge22+'19_Расчет_аналитики'!AJ560*SUMIF(ThresholdAge22,"&lt;"&amp;'19_Расчет_аналитики'!AJ560,WeightedRevAge22)-SUMIF(ThresholdAge22,"&lt;"&amp;'19_Расчет_аналитики'!AJ560,WeightedMinAge22),MAX(CapacityAge22*'01_Вводные'!$B$218*'19_Расчет_аналитики'!AJ560,MeanMinAge22)))</f>
        <v/>
      </c>
      <c r="AK513">
        <f>IF(OR(('19_Расчет_аналитики'!AK429-'19_Расчет_аналитики'!AK457)=0,22&lt;='01_Вводные'!$B$297),0,('19_Расчет_аналитики'!AK429-'19_Расчет_аналитики'!AK457)*IF('01_Вводные'!$B$239="Да",MeanMinAge22+'19_Расчет_аналитики'!AK560*SUMIF(ThresholdAge22,"&lt;"&amp;'19_Расчет_аналитики'!AK560,WeightedRevAge22)-SUMIF(ThresholdAge22,"&lt;"&amp;'19_Расчет_аналитики'!AK560,WeightedMinAge22),MAX(CapacityAge22*'01_Вводные'!$B$218*'19_Расчет_аналитики'!AK560,MeanMinAge22)))</f>
        <v/>
      </c>
      <c r="AL513">
        <f>IF(OR(('19_Расчет_аналитики'!AL429-'19_Расчет_аналитики'!AL457)=0,22&lt;='01_Вводные'!$B$297),0,('19_Расчет_аналитики'!AL429-'19_Расчет_аналитики'!AL457)*IF('01_Вводные'!$B$239="Да",MeanMinAge22+'19_Расчет_аналитики'!AL560*SUMIF(ThresholdAge22,"&lt;"&amp;'19_Расчет_аналитики'!AL560,WeightedRevAge22)-SUMIF(ThresholdAge22,"&lt;"&amp;'19_Расчет_аналитики'!AL560,WeightedMinAge22),MAX(CapacityAge22*'01_Вводные'!$B$218*'19_Расчет_аналитики'!AL560,MeanMinAge22)))</f>
        <v/>
      </c>
      <c r="AM513">
        <f>IF(OR(('19_Расчет_аналитики'!AM429-'19_Расчет_аналитики'!AM457)=0,22&lt;='01_Вводные'!$B$297),0,('19_Расчет_аналитики'!AM429-'19_Расчет_аналитики'!AM457)*IF('01_Вводные'!$B$239="Да",MeanMinAge22+'19_Расчет_аналитики'!AM560*SUMIF(ThresholdAge22,"&lt;"&amp;'19_Расчет_аналитики'!AM560,WeightedRevAge22)-SUMIF(ThresholdAge22,"&lt;"&amp;'19_Расчет_аналитики'!AM560,WeightedMinAge22),MAX(CapacityAge22*'01_Вводные'!$B$218*'19_Расчет_аналитики'!AM560,MeanMinAge22)))</f>
        <v/>
      </c>
      <c r="AN513">
        <f>IF(OR(('19_Расчет_аналитики'!AN429-'19_Расчет_аналитики'!AN457)=0,22&lt;='01_Вводные'!$B$297),0,('19_Расчет_аналитики'!AN429-'19_Расчет_аналитики'!AN457)*IF('01_Вводные'!$B$239="Да",MeanMinAge22+'19_Расчет_аналитики'!AN560*SUMIF(ThresholdAge22,"&lt;"&amp;'19_Расчет_аналитики'!AN560,WeightedRevAge22)-SUMIF(ThresholdAge22,"&lt;"&amp;'19_Расчет_аналитики'!AN560,WeightedMinAge22),MAX(CapacityAge22*'01_Вводные'!$B$218*'19_Расчет_аналитики'!AN560,MeanMinAge22)))</f>
        <v/>
      </c>
      <c r="AO513">
        <f>IF(OR(('19_Расчет_аналитики'!AO429-'19_Расчет_аналитики'!AO457)=0,22&lt;='01_Вводные'!$B$297),0,('19_Расчет_аналитики'!AO429-'19_Расчет_аналитики'!AO457)*IF('01_Вводные'!$B$239="Да",MeanMinAge22+'19_Расчет_аналитики'!AO560*SUMIF(ThresholdAge22,"&lt;"&amp;'19_Расчет_аналитики'!AO560,WeightedRevAge22)-SUMIF(ThresholdAge22,"&lt;"&amp;'19_Расчет_аналитики'!AO560,WeightedMinAge22),MAX(CapacityAge22*'01_Вводные'!$B$218*'19_Расчет_аналитики'!AO560,MeanMinAge22)))</f>
        <v/>
      </c>
      <c r="AP513">
        <f>IF(OR(('19_Расчет_аналитики'!AP429-'19_Расчет_аналитики'!AP457)=0,22&lt;='01_Вводные'!$B$297),0,('19_Расчет_аналитики'!AP429-'19_Расчет_аналитики'!AP457)*IF('01_Вводные'!$B$239="Да",MeanMinAge22+'19_Расчет_аналитики'!AP560*SUMIF(ThresholdAge22,"&lt;"&amp;'19_Расчет_аналитики'!AP560,WeightedRevAge22)-SUMIF(ThresholdAge22,"&lt;"&amp;'19_Расчет_аналитики'!AP560,WeightedMinAge22),MAX(CapacityAge22*'01_Вводные'!$B$218*'19_Расчет_аналитики'!AP560,MeanMinAge22)))</f>
        <v/>
      </c>
      <c r="AQ513">
        <f>IF(OR(('19_Расчет_аналитики'!AQ429-'19_Расчет_аналитики'!AQ457)=0,22&lt;='01_Вводные'!$B$297),0,('19_Расчет_аналитики'!AQ429-'19_Расчет_аналитики'!AQ457)*IF('01_Вводные'!$B$239="Да",MeanMinAge22+'19_Расчет_аналитики'!AQ560*SUMIF(ThresholdAge22,"&lt;"&amp;'19_Расчет_аналитики'!AQ560,WeightedRevAge22)-SUMIF(ThresholdAge22,"&lt;"&amp;'19_Расчет_аналитики'!AQ560,WeightedMinAge22),MAX(CapacityAge22*'01_Вводные'!$B$218*'19_Расчет_аналитики'!AQ560,MeanMinAge22)))</f>
        <v/>
      </c>
      <c r="AR513">
        <f>IF(OR(('19_Расчет_аналитики'!AR429-'19_Расчет_аналитики'!AR457)=0,22&lt;='01_Вводные'!$B$297),0,('19_Расчет_аналитики'!AR429-'19_Расчет_аналитики'!AR457)*IF('01_Вводные'!$B$239="Да",MeanMinAge22+'19_Расчет_аналитики'!AR560*SUMIF(ThresholdAge22,"&lt;"&amp;'19_Расчет_аналитики'!AR560,WeightedRevAge22)-SUMIF(ThresholdAge22,"&lt;"&amp;'19_Расчет_аналитики'!AR560,WeightedMinAge22),MAX(CapacityAge22*'01_Вводные'!$B$218*'19_Расчет_аналитики'!AR560,MeanMinAge22)))</f>
        <v/>
      </c>
      <c r="AS513">
        <f>IF(OR(('19_Расчет_аналитики'!AS429-'19_Расчет_аналитики'!AS457)=0,22&lt;='01_Вводные'!$B$297),0,('19_Расчет_аналитики'!AS429-'19_Расчет_аналитики'!AS457)*IF('01_Вводные'!$B$239="Да",MeanMinAge22+'19_Расчет_аналитики'!AS560*SUMIF(ThresholdAge22,"&lt;"&amp;'19_Расчет_аналитики'!AS560,WeightedRevAge22)-SUMIF(ThresholdAge22,"&lt;"&amp;'19_Расчет_аналитики'!AS560,WeightedMinAge22),MAX(CapacityAge22*'01_Вводные'!$B$218*'19_Расчет_аналитики'!AS560,MeanMinAge22)))</f>
        <v/>
      </c>
      <c r="AT513">
        <f>IF(OR(('19_Расчет_аналитики'!AT429-'19_Расчет_аналитики'!AT457)=0,22&lt;='01_Вводные'!$B$297),0,('19_Расчет_аналитики'!AT429-'19_Расчет_аналитики'!AT457)*IF('01_Вводные'!$B$239="Да",MeanMinAge22+'19_Расчет_аналитики'!AT560*SUMIF(ThresholdAge22,"&lt;"&amp;'19_Расчет_аналитики'!AT560,WeightedRevAge22)-SUMIF(ThresholdAge22,"&lt;"&amp;'19_Расчет_аналитики'!AT560,WeightedMinAge22),MAX(CapacityAge22*'01_Вводные'!$B$218*'19_Расчет_аналитики'!AT560,MeanMinAge22)))</f>
        <v/>
      </c>
      <c r="AU513">
        <f>IF(OR(('19_Расчет_аналитики'!AU429-'19_Расчет_аналитики'!AU457)=0,22&lt;='01_Вводные'!$B$297),0,('19_Расчет_аналитики'!AU429-'19_Расчет_аналитики'!AU457)*IF('01_Вводные'!$B$239="Да",MeanMinAge22+'19_Расчет_аналитики'!AU560*SUMIF(ThresholdAge22,"&lt;"&amp;'19_Расчет_аналитики'!AU560,WeightedRevAge22)-SUMIF(ThresholdAge22,"&lt;"&amp;'19_Расчет_аналитики'!AU560,WeightedMinAge22),MAX(CapacityAge22*'01_Вводные'!$B$218*'19_Расчет_аналитики'!AU560,MeanMinAge22)))</f>
        <v/>
      </c>
      <c r="AV513">
        <f>IF(OR(('19_Расчет_аналитики'!AV429-'19_Расчет_аналитики'!AV457)=0,22&lt;='01_Вводные'!$B$297),0,('19_Расчет_аналитики'!AV429-'19_Расчет_аналитики'!AV457)*IF('01_Вводные'!$B$239="Да",MeanMinAge22+'19_Расчет_аналитики'!AV560*SUMIF(ThresholdAge22,"&lt;"&amp;'19_Расчет_аналитики'!AV560,WeightedRevAge22)-SUMIF(ThresholdAge22,"&lt;"&amp;'19_Расчет_аналитики'!AV560,WeightedMinAge22),MAX(CapacityAge22*'01_Вводные'!$B$218*'19_Расчет_аналитики'!AV560,MeanMinAge22)))</f>
        <v/>
      </c>
      <c r="AW513">
        <f>IF(OR(('19_Расчет_аналитики'!AW429-'19_Расчет_аналитики'!AW457)=0,22&lt;='01_Вводные'!$B$297),0,('19_Расчет_аналитики'!AW429-'19_Расчет_аналитики'!AW457)*IF('01_Вводные'!$B$239="Да",MeanMinAge22+'19_Расчет_аналитики'!AW560*SUMIF(ThresholdAge22,"&lt;"&amp;'19_Расчет_аналитики'!AW560,WeightedRevAge22)-SUMIF(ThresholdAge22,"&lt;"&amp;'19_Расчет_аналитики'!AW560,WeightedMinAge22),MAX(CapacityAge22*'01_Вводные'!$B$218*'19_Расчет_аналитики'!AW560,MeanMinAge22)))</f>
        <v/>
      </c>
      <c r="AX513">
        <f>IF(OR(('19_Расчет_аналитики'!AX429-'19_Расчет_аналитики'!AX457)=0,22&lt;='01_Вводные'!$B$297),0,('19_Расчет_аналитики'!AX429-'19_Расчет_аналитики'!AX457)*IF('01_Вводные'!$B$239="Да",MeanMinAge22+'19_Расчет_аналитики'!AX560*SUMIF(ThresholdAge22,"&lt;"&amp;'19_Расчет_аналитики'!AX560,WeightedRevAge22)-SUMIF(ThresholdAge22,"&lt;"&amp;'19_Расчет_аналитики'!AX560,WeightedMinAge22),MAX(CapacityAge22*'01_Вводные'!$B$218*'19_Расчет_аналитики'!AX560,MeanMinAge22)))</f>
        <v/>
      </c>
      <c r="AY513">
        <f>IF(OR(('19_Расчет_аналитики'!AY429-'19_Расчет_аналитики'!AY457)=0,22&lt;='01_Вводные'!$B$297),0,('19_Расчет_аналитики'!AY429-'19_Расчет_аналитики'!AY457)*IF('01_Вводные'!$B$239="Да",MeanMinAge22+'19_Расчет_аналитики'!AY560*SUMIF(ThresholdAge22,"&lt;"&amp;'19_Расчет_аналитики'!AY560,WeightedRevAge22)-SUMIF(ThresholdAge22,"&lt;"&amp;'19_Расчет_аналитики'!AY560,WeightedMinAge22),MAX(CapacityAge22*'01_Вводные'!$B$218*'19_Расчет_аналитики'!AY560,MeanMinAge22)))</f>
        <v/>
      </c>
      <c r="AZ513">
        <f>IF(OR(('19_Расчет_аналитики'!AZ429-'19_Расчет_аналитики'!AZ457)=0,22&lt;='01_Вводные'!$B$297),0,('19_Расчет_аналитики'!AZ429-'19_Расчет_аналитики'!AZ457)*IF('01_Вводные'!$B$239="Да",MeanMinAge22+'19_Расчет_аналитики'!AZ560*SUMIF(ThresholdAge22,"&lt;"&amp;'19_Расчет_аналитики'!AZ560,WeightedRevAge22)-SUMIF(ThresholdAge22,"&lt;"&amp;'19_Расчет_аналитики'!AZ560,WeightedMinAge22),MAX(CapacityAge22*'01_Вводные'!$B$218*'19_Расчет_аналитики'!AZ560,MeanMinAge22)))</f>
        <v/>
      </c>
      <c r="BA513">
        <f>IF(OR(('19_Расчет_аналитики'!BA429-'19_Расчет_аналитики'!BA457)=0,22&lt;='01_Вводные'!$B$297),0,('19_Расчет_аналитики'!BA429-'19_Расчет_аналитики'!BA457)*IF('01_Вводные'!$B$239="Да",MeanMinAge22+'19_Расчет_аналитики'!BA560*SUMIF(ThresholdAge22,"&lt;"&amp;'19_Расчет_аналитики'!BA560,WeightedRevAge22)-SUMIF(ThresholdAge22,"&lt;"&amp;'19_Расчет_аналитики'!BA560,WeightedMinAge22),MAX(CapacityAge22*'01_Вводные'!$B$218*'19_Расчет_аналитики'!BA560,MeanMinAge22)))</f>
        <v/>
      </c>
      <c r="BB513">
        <f>IF(OR(('19_Расчет_аналитики'!BB429-'19_Расчет_аналитики'!BB457)=0,22&lt;='01_Вводные'!$B$297),0,('19_Расчет_аналитики'!BB429-'19_Расчет_аналитики'!BB457)*IF('01_Вводные'!$B$239="Да",MeanMinAge22+'19_Расчет_аналитики'!BB560*SUMIF(ThresholdAge22,"&lt;"&amp;'19_Расчет_аналитики'!BB560,WeightedRevAge22)-SUMIF(ThresholdAge22,"&lt;"&amp;'19_Расчет_аналитики'!BB560,WeightedMinAge22),MAX(CapacityAge22*'01_Вводные'!$B$218*'19_Расчет_аналитики'!BB560,MeanMinAge22)))</f>
        <v/>
      </c>
      <c r="BC513">
        <f>IF(OR(('19_Расчет_аналитики'!BC429-'19_Расчет_аналитики'!BC457)=0,22&lt;='01_Вводные'!$B$297),0,('19_Расчет_аналитики'!BC429-'19_Расчет_аналитики'!BC457)*IF('01_Вводные'!$B$239="Да",MeanMinAge22+'19_Расчет_аналитики'!BC560*SUMIF(ThresholdAge22,"&lt;"&amp;'19_Расчет_аналитики'!BC560,WeightedRevAge22)-SUMIF(ThresholdAge22,"&lt;"&amp;'19_Расчет_аналитики'!BC560,WeightedMinAge22),MAX(CapacityAge22*'01_Вводные'!$B$218*'19_Расчет_аналитики'!BC560,MeanMinAge22)))</f>
        <v/>
      </c>
      <c r="BD513">
        <f>IF(OR(('19_Расчет_аналитики'!BD429-'19_Расчет_аналитики'!BD457)=0,22&lt;='01_Вводные'!$B$297),0,('19_Расчет_аналитики'!BD429-'19_Расчет_аналитики'!BD457)*IF('01_Вводные'!$B$239="Да",MeanMinAge22+'19_Расчет_аналитики'!BD560*SUMIF(ThresholdAge22,"&lt;"&amp;'19_Расчет_аналитики'!BD560,WeightedRevAge22)-SUMIF(ThresholdAge22,"&lt;"&amp;'19_Расчет_аналитики'!BD560,WeightedMinAge22),MAX(CapacityAge22*'01_Вводные'!$B$218*'19_Расчет_аналитики'!BD560,MeanMinAge22)))</f>
        <v/>
      </c>
      <c r="BE513">
        <f>IF(OR(('19_Расчет_аналитики'!BE429-'19_Расчет_аналитики'!BE457)=0,22&lt;='01_Вводные'!$B$297),0,('19_Расчет_аналитики'!BE429-'19_Расчет_аналитики'!BE457)*IF('01_Вводные'!$B$239="Да",MeanMinAge22+'19_Расчет_аналитики'!BE560*SUMIF(ThresholdAge22,"&lt;"&amp;'19_Расчет_аналитики'!BE560,WeightedRevAge22)-SUMIF(ThresholdAge22,"&lt;"&amp;'19_Расчет_аналитики'!BE560,WeightedMinAge22),MAX(CapacityAge22*'01_Вводные'!$B$218*'19_Расчет_аналитики'!BE560,MeanMinAge22)))</f>
        <v/>
      </c>
      <c r="BF513">
        <f>IF(OR(('19_Расчет_аналитики'!BF429-'19_Расчет_аналитики'!BF457)=0,22&lt;='01_Вводные'!$B$297),0,('19_Расчет_аналитики'!BF429-'19_Расчет_аналитики'!BF457)*IF('01_Вводные'!$B$239="Да",MeanMinAge22+'19_Расчет_аналитики'!BF560*SUMIF(ThresholdAge22,"&lt;"&amp;'19_Расчет_аналитики'!BF560,WeightedRevAge22)-SUMIF(ThresholdAge22,"&lt;"&amp;'19_Расчет_аналитики'!BF560,WeightedMinAge22),MAX(CapacityAge22*'01_Вводные'!$B$218*'19_Расчет_аналитики'!BF560,MeanMinAge22)))</f>
        <v/>
      </c>
      <c r="BG513">
        <f>IF(OR(('19_Расчет_аналитики'!BG429-'19_Расчет_аналитики'!BG457)=0,22&lt;='01_Вводные'!$B$297),0,('19_Расчет_аналитики'!BG429-'19_Расчет_аналитики'!BG457)*IF('01_Вводные'!$B$239="Да",MeanMinAge22+'19_Расчет_аналитики'!BG560*SUMIF(ThresholdAge22,"&lt;"&amp;'19_Расчет_аналитики'!BG560,WeightedRevAge22)-SUMIF(ThresholdAge22,"&lt;"&amp;'19_Расчет_аналитики'!BG560,WeightedMinAge22),MAX(CapacityAge22*'01_Вводные'!$B$218*'19_Расчет_аналитики'!BG560,MeanMinAge22)))</f>
        <v/>
      </c>
      <c r="BH513">
        <f>IF(OR(('19_Расчет_аналитики'!BH429-'19_Расчет_аналитики'!BH457)=0,22&lt;='01_Вводные'!$B$297),0,('19_Расчет_аналитики'!BH429-'19_Расчет_аналитики'!BH457)*IF('01_Вводные'!$B$239="Да",MeanMinAge22+'19_Расчет_аналитики'!BH560*SUMIF(ThresholdAge22,"&lt;"&amp;'19_Расчет_аналитики'!BH560,WeightedRevAge22)-SUMIF(ThresholdAge22,"&lt;"&amp;'19_Расчет_аналитики'!BH560,WeightedMinAge22),MAX(CapacityAge22*'01_Вводные'!$B$218*'19_Расчет_аналитики'!BH560,MeanMinAge22)))</f>
        <v/>
      </c>
      <c r="BI513">
        <f>IF(OR(('19_Расчет_аналитики'!BI429-'19_Расчет_аналитики'!BI457)=0,22&lt;='01_Вводные'!$B$297),0,('19_Расчет_аналитики'!BI429-'19_Расчет_аналитики'!BI457)*IF('01_Вводные'!$B$239="Да",MeanMinAge22+'19_Расчет_аналитики'!BI560*SUMIF(ThresholdAge22,"&lt;"&amp;'19_Расчет_аналитики'!BI560,WeightedRevAge22)-SUMIF(ThresholdAge22,"&lt;"&amp;'19_Расчет_аналитики'!BI560,WeightedMinAge22),MAX(CapacityAge22*'01_Вводные'!$B$218*'19_Расчет_аналитики'!BI560,MeanMinAge22)))</f>
        <v/>
      </c>
      <c r="BJ513">
        <f>IF(OR(('19_Расчет_аналитики'!BJ429-'19_Расчет_аналитики'!BJ457)=0,22&lt;='01_Вводные'!$B$297),0,('19_Расчет_аналитики'!BJ429-'19_Расчет_аналитики'!BJ457)*IF('01_Вводные'!$B$239="Да",MeanMinAge22+'19_Расчет_аналитики'!BJ560*SUMIF(ThresholdAge22,"&lt;"&amp;'19_Расчет_аналитики'!BJ560,WeightedRevAge22)-SUMIF(ThresholdAge22,"&lt;"&amp;'19_Расчет_аналитики'!BJ560,WeightedMinAge22),MAX(CapacityAge22*'01_Вводные'!$B$218*'19_Расчет_аналитики'!BJ560,MeanMinAge22)))</f>
        <v/>
      </c>
      <c r="BK513">
        <f>IF(OR(('19_Расчет_аналитики'!BK429-'19_Расчет_аналитики'!BK457)=0,22&lt;='01_Вводные'!$B$297),0,('19_Расчет_аналитики'!BK429-'19_Расчет_аналитики'!BK457)*IF('01_Вводные'!$B$239="Да",MeanMinAge22+'19_Расчет_аналитики'!BK560*SUMIF(ThresholdAge22,"&lt;"&amp;'19_Расчет_аналитики'!BK560,WeightedRevAge22)-SUMIF(ThresholdAge22,"&lt;"&amp;'19_Расчет_аналитики'!BK560,WeightedMinAge22),MAX(CapacityAge22*'01_Вводные'!$B$218*'19_Расчет_аналитики'!BK560,MeanMinAge22)))</f>
        <v/>
      </c>
      <c r="BL513">
        <f>IF(OR(('19_Расчет_аналитики'!BL429-'19_Расчет_аналитики'!BL457)=0,22&lt;='01_Вводные'!$B$297),0,('19_Расчет_аналитики'!BL429-'19_Расчет_аналитики'!BL457)*IF('01_Вводные'!$B$239="Да",MeanMinAge22+'19_Расчет_аналитики'!BL560*SUMIF(ThresholdAge22,"&lt;"&amp;'19_Расчет_аналитики'!BL560,WeightedRevAge22)-SUMIF(ThresholdAge22,"&lt;"&amp;'19_Расчет_аналитики'!BL560,WeightedMinAge22),MAX(CapacityAge22*'01_Вводные'!$B$218*'19_Расчет_аналитики'!BL560,MeanMinAge22)))</f>
        <v/>
      </c>
      <c r="BM513">
        <f>IF(OR(('19_Расчет_аналитики'!BM429-'19_Расчет_аналитики'!BM457)=0,22&lt;='01_Вводные'!$B$297),0,('19_Расчет_аналитики'!BM429-'19_Расчет_аналитики'!BM457)*IF('01_Вводные'!$B$239="Да",MeanMinAge22+'19_Расчет_аналитики'!BM560*SUMIF(ThresholdAge22,"&lt;"&amp;'19_Расчет_аналитики'!BM560,WeightedRevAge22)-SUMIF(ThresholdAge22,"&lt;"&amp;'19_Расчет_аналитики'!BM560,WeightedMinAge22),MAX(CapacityAge22*'01_Вводные'!$B$218*'19_Расчет_аналитики'!BM560,MeanMinAge22)))</f>
        <v/>
      </c>
      <c r="BN513">
        <f>IF(OR(('19_Расчет_аналитики'!BN429-'19_Расчет_аналитики'!BN457)=0,22&lt;='01_Вводные'!$B$297),0,('19_Расчет_аналитики'!BN429-'19_Расчет_аналитики'!BN457)*IF('01_Вводные'!$B$239="Да",MeanMinAge22+'19_Расчет_аналитики'!BN560*SUMIF(ThresholdAge22,"&lt;"&amp;'19_Расчет_аналитики'!BN560,WeightedRevAge22)-SUMIF(ThresholdAge22,"&lt;"&amp;'19_Расчет_аналитики'!BN560,WeightedMinAge22),MAX(CapacityAge22*'01_Вводные'!$B$218*'19_Расчет_аналитики'!BN560,MeanMinAge22)))</f>
        <v/>
      </c>
      <c r="BO513">
        <f>IF(OR(('19_Расчет_аналитики'!BO429-'19_Расчет_аналитики'!BO457)=0,22&lt;='01_Вводные'!$B$297),0,('19_Расчет_аналитики'!BO429-'19_Расчет_аналитики'!BO457)*IF('01_Вводные'!$B$239="Да",MeanMinAge22+'19_Расчет_аналитики'!BO560*SUMIF(ThresholdAge22,"&lt;"&amp;'19_Расчет_аналитики'!BO560,WeightedRevAge22)-SUMIF(ThresholdAge22,"&lt;"&amp;'19_Расчет_аналитики'!BO560,WeightedMinAge22),MAX(CapacityAge22*'01_Вводные'!$B$218*'19_Расчет_аналитики'!BO560,MeanMinAge22)))</f>
        <v/>
      </c>
    </row>
    <row r="514">
      <c r="B514">
        <f>IF(OR(('06_Сеть_и_дети'!B75-'06_Сеть_и_дети'!B103)=0,23&lt;='01_Вводные'!$B$297),0,('06_Сеть_и_дети'!B75-'06_Сеть_и_дети'!B103)*IF('01_Вводные'!$B$239="Да",MeanMinAge23+'19_Расчет_аналитики'!B560*SUMIF(ThresholdAge23,"&lt;"&amp;'19_Расчет_аналитики'!B560,WeightedRevAge23)-SUMIF(ThresholdAge23,"&lt;"&amp;'19_Расчет_аналитики'!B560,WeightedMinAge23),MAX(CapacityAge23*'01_Вводные'!$B$218*'19_Расчет_аналитики'!B560,MeanMinAge23)))</f>
        <v/>
      </c>
      <c r="C514">
        <f>IF(OR(('06_Сеть_и_дети'!C75-'06_Сеть_и_дети'!C103)=0,23&lt;='01_Вводные'!$B$297),0,('06_Сеть_и_дети'!C75-'06_Сеть_и_дети'!C103)*IF('01_Вводные'!$B$239="Да",MeanMinAge23+'19_Расчет_аналитики'!C560*SUMIF(ThresholdAge23,"&lt;"&amp;'19_Расчет_аналитики'!C560,WeightedRevAge23)-SUMIF(ThresholdAge23,"&lt;"&amp;'19_Расчет_аналитики'!C560,WeightedMinAge23),MAX(CapacityAge23*'01_Вводные'!$B$218*'19_Расчет_аналитики'!C560,MeanMinAge23)))</f>
        <v/>
      </c>
      <c r="D514">
        <f>IF(OR(('06_Сеть_и_дети'!D75-'06_Сеть_и_дети'!D103)=0,23&lt;='01_Вводные'!$B$297),0,('06_Сеть_и_дети'!D75-'06_Сеть_и_дети'!D103)*IF('01_Вводные'!$B$239="Да",MeanMinAge23+'19_Расчет_аналитики'!D560*SUMIF(ThresholdAge23,"&lt;"&amp;'19_Расчет_аналитики'!D560,WeightedRevAge23)-SUMIF(ThresholdAge23,"&lt;"&amp;'19_Расчет_аналитики'!D560,WeightedMinAge23),MAX(CapacityAge23*'01_Вводные'!$B$218*'19_Расчет_аналитики'!D560,MeanMinAge23)))</f>
        <v/>
      </c>
      <c r="E514">
        <f>IF(OR(('06_Сеть_и_дети'!E75-'06_Сеть_и_дети'!E103)=0,23&lt;='01_Вводные'!$B$297),0,('06_Сеть_и_дети'!E75-'06_Сеть_и_дети'!E103)*IF('01_Вводные'!$B$239="Да",MeanMinAge23+'19_Расчет_аналитики'!E560*SUMIF(ThresholdAge23,"&lt;"&amp;'19_Расчет_аналитики'!E560,WeightedRevAge23)-SUMIF(ThresholdAge23,"&lt;"&amp;'19_Расчет_аналитики'!E560,WeightedMinAge23),MAX(CapacityAge23*'01_Вводные'!$B$218*'19_Расчет_аналитики'!E560,MeanMinAge23)))</f>
        <v/>
      </c>
      <c r="F514">
        <f>IF(OR(('06_Сеть_и_дети'!F75-'06_Сеть_и_дети'!F103)=0,23&lt;='01_Вводные'!$B$297),0,('06_Сеть_и_дети'!F75-'06_Сеть_и_дети'!F103)*IF('01_Вводные'!$B$239="Да",MeanMinAge23+'19_Расчет_аналитики'!F560*SUMIF(ThresholdAge23,"&lt;"&amp;'19_Расчет_аналитики'!F560,WeightedRevAge23)-SUMIF(ThresholdAge23,"&lt;"&amp;'19_Расчет_аналитики'!F560,WeightedMinAge23),MAX(CapacityAge23*'01_Вводные'!$B$218*'19_Расчет_аналитики'!F560,MeanMinAge23)))</f>
        <v/>
      </c>
      <c r="G514">
        <f>IF(OR(('06_Сеть_и_дети'!G75-'06_Сеть_и_дети'!G103)=0,23&lt;='01_Вводные'!$B$297),0,('06_Сеть_и_дети'!G75-'06_Сеть_и_дети'!G103)*IF('01_Вводные'!$B$239="Да",MeanMinAge23+'19_Расчет_аналитики'!G560*SUMIF(ThresholdAge23,"&lt;"&amp;'19_Расчет_аналитики'!G560,WeightedRevAge23)-SUMIF(ThresholdAge23,"&lt;"&amp;'19_Расчет_аналитики'!G560,WeightedMinAge23),MAX(CapacityAge23*'01_Вводные'!$B$218*'19_Расчет_аналитики'!G560,MeanMinAge23)))</f>
        <v/>
      </c>
      <c r="H514">
        <f>IF(OR(('06_Сеть_и_дети'!H75-'06_Сеть_и_дети'!H103)=0,23&lt;='01_Вводные'!$B$297),0,('06_Сеть_и_дети'!H75-'06_Сеть_и_дети'!H103)*IF('01_Вводные'!$B$239="Да",MeanMinAge23+'19_Расчет_аналитики'!H560*SUMIF(ThresholdAge23,"&lt;"&amp;'19_Расчет_аналитики'!H560,WeightedRevAge23)-SUMIF(ThresholdAge23,"&lt;"&amp;'19_Расчет_аналитики'!H560,WeightedMinAge23),MAX(CapacityAge23*'01_Вводные'!$B$218*'19_Расчет_аналитики'!H560,MeanMinAge23)))</f>
        <v/>
      </c>
      <c r="I514">
        <f>IF(OR(('06_Сеть_и_дети'!I75-'06_Сеть_и_дети'!I103)=0,23&lt;='01_Вводные'!$B$297),0,('06_Сеть_и_дети'!I75-'06_Сеть_и_дети'!I103)*IF('01_Вводные'!$B$239="Да",MeanMinAge23+'19_Расчет_аналитики'!I560*SUMIF(ThresholdAge23,"&lt;"&amp;'19_Расчет_аналитики'!I560,WeightedRevAge23)-SUMIF(ThresholdAge23,"&lt;"&amp;'19_Расчет_аналитики'!I560,WeightedMinAge23),MAX(CapacityAge23*'01_Вводные'!$B$218*'19_Расчет_аналитики'!I560,MeanMinAge23)))</f>
        <v/>
      </c>
      <c r="J514">
        <f>IF(OR(('06_Сеть_и_дети'!J75-'06_Сеть_и_дети'!J103)=0,23&lt;='01_Вводные'!$B$297),0,('06_Сеть_и_дети'!J75-'06_Сеть_и_дети'!J103)*IF('01_Вводные'!$B$239="Да",MeanMinAge23+'19_Расчет_аналитики'!J560*SUMIF(ThresholdAge23,"&lt;"&amp;'19_Расчет_аналитики'!J560,WeightedRevAge23)-SUMIF(ThresholdAge23,"&lt;"&amp;'19_Расчет_аналитики'!J560,WeightedMinAge23),MAX(CapacityAge23*'01_Вводные'!$B$218*'19_Расчет_аналитики'!J560,MeanMinAge23)))</f>
        <v/>
      </c>
      <c r="K514">
        <f>IF(OR(('06_Сеть_и_дети'!K75-'06_Сеть_и_дети'!K103)=0,23&lt;='01_Вводные'!$B$297),0,('06_Сеть_и_дети'!K75-'06_Сеть_и_дети'!K103)*IF('01_Вводные'!$B$239="Да",MeanMinAge23+'19_Расчет_аналитики'!K560*SUMIF(ThresholdAge23,"&lt;"&amp;'19_Расчет_аналитики'!K560,WeightedRevAge23)-SUMIF(ThresholdAge23,"&lt;"&amp;'19_Расчет_аналитики'!K560,WeightedMinAge23),MAX(CapacityAge23*'01_Вводные'!$B$218*'19_Расчет_аналитики'!K560,MeanMinAge23)))</f>
        <v/>
      </c>
      <c r="L514">
        <f>IF(OR(('06_Сеть_и_дети'!L75-'06_Сеть_и_дети'!L103)=0,23&lt;='01_Вводные'!$B$297),0,('06_Сеть_и_дети'!L75-'06_Сеть_и_дети'!L103)*IF('01_Вводные'!$B$239="Да",MeanMinAge23+'19_Расчет_аналитики'!L560*SUMIF(ThresholdAge23,"&lt;"&amp;'19_Расчет_аналитики'!L560,WeightedRevAge23)-SUMIF(ThresholdAge23,"&lt;"&amp;'19_Расчет_аналитики'!L560,WeightedMinAge23),MAX(CapacityAge23*'01_Вводные'!$B$218*'19_Расчет_аналитики'!L560,MeanMinAge23)))</f>
        <v/>
      </c>
      <c r="M514">
        <f>IF(OR(('06_Сеть_и_дети'!M75-'06_Сеть_и_дети'!M103)=0,23&lt;='01_Вводные'!$B$297),0,('06_Сеть_и_дети'!M75-'06_Сеть_и_дети'!M103)*IF('01_Вводные'!$B$239="Да",MeanMinAge23+'19_Расчет_аналитики'!M560*SUMIF(ThresholdAge23,"&lt;"&amp;'19_Расчет_аналитики'!M560,WeightedRevAge23)-SUMIF(ThresholdAge23,"&lt;"&amp;'19_Расчет_аналитики'!M560,WeightedMinAge23),MAX(CapacityAge23*'01_Вводные'!$B$218*'19_Расчет_аналитики'!M560,MeanMinAge23)))</f>
        <v/>
      </c>
      <c r="N514">
        <f>IF(OR(('06_Сеть_и_дети'!N75-'06_Сеть_и_дети'!N103)=0,23&lt;='01_Вводные'!$B$297),0,('06_Сеть_и_дети'!N75-'06_Сеть_и_дети'!N103)*IF('01_Вводные'!$B$239="Да",MeanMinAge23+'19_Расчет_аналитики'!N560*SUMIF(ThresholdAge23,"&lt;"&amp;'19_Расчет_аналитики'!N560,WeightedRevAge23)-SUMIF(ThresholdAge23,"&lt;"&amp;'19_Расчет_аналитики'!N560,WeightedMinAge23),MAX(CapacityAge23*'01_Вводные'!$B$218*'19_Расчет_аналитики'!N560,MeanMinAge23)))</f>
        <v/>
      </c>
      <c r="O514">
        <f>IF(OR(('06_Сеть_и_дети'!O75-'06_Сеть_и_дети'!O103)=0,23&lt;='01_Вводные'!$B$297),0,('06_Сеть_и_дети'!O75-'06_Сеть_и_дети'!O103)*IF('01_Вводные'!$B$239="Да",MeanMinAge23+'19_Расчет_аналитики'!O560*SUMIF(ThresholdAge23,"&lt;"&amp;'19_Расчет_аналитики'!O560,WeightedRevAge23)-SUMIF(ThresholdAge23,"&lt;"&amp;'19_Расчет_аналитики'!O560,WeightedMinAge23),MAX(CapacityAge23*'01_Вводные'!$B$218*'19_Расчет_аналитики'!O560,MeanMinAge23)))</f>
        <v/>
      </c>
      <c r="P514">
        <f>IF(OR(('06_Сеть_и_дети'!P75-'06_Сеть_и_дети'!P103)=0,23&lt;='01_Вводные'!$B$297),0,('06_Сеть_и_дети'!P75-'06_Сеть_и_дети'!P103)*IF('01_Вводные'!$B$239="Да",MeanMinAge23+'19_Расчет_аналитики'!P560*SUMIF(ThresholdAge23,"&lt;"&amp;'19_Расчет_аналитики'!P560,WeightedRevAge23)-SUMIF(ThresholdAge23,"&lt;"&amp;'19_Расчет_аналитики'!P560,WeightedMinAge23),MAX(CapacityAge23*'01_Вводные'!$B$218*'19_Расчет_аналитики'!P560,MeanMinAge23)))</f>
        <v/>
      </c>
      <c r="Q514">
        <f>IF(OR(('06_Сеть_и_дети'!Q75-'06_Сеть_и_дети'!Q103)=0,23&lt;='01_Вводные'!$B$297),0,('06_Сеть_и_дети'!Q75-'06_Сеть_и_дети'!Q103)*IF('01_Вводные'!$B$239="Да",MeanMinAge23+'19_Расчет_аналитики'!Q560*SUMIF(ThresholdAge23,"&lt;"&amp;'19_Расчет_аналитики'!Q560,WeightedRevAge23)-SUMIF(ThresholdAge23,"&lt;"&amp;'19_Расчет_аналитики'!Q560,WeightedMinAge23),MAX(CapacityAge23*'01_Вводные'!$B$218*'19_Расчет_аналитики'!Q560,MeanMinAge23)))</f>
        <v/>
      </c>
      <c r="R514">
        <f>IF(OR(('06_Сеть_и_дети'!R75-'06_Сеть_и_дети'!R103)=0,23&lt;='01_Вводные'!$B$297),0,('06_Сеть_и_дети'!R75-'06_Сеть_и_дети'!R103)*IF('01_Вводные'!$B$239="Да",MeanMinAge23+'19_Расчет_аналитики'!R560*SUMIF(ThresholdAge23,"&lt;"&amp;'19_Расчет_аналитики'!R560,WeightedRevAge23)-SUMIF(ThresholdAge23,"&lt;"&amp;'19_Расчет_аналитики'!R560,WeightedMinAge23),MAX(CapacityAge23*'01_Вводные'!$B$218*'19_Расчет_аналитики'!R560,MeanMinAge23)))</f>
        <v/>
      </c>
      <c r="S514">
        <f>IF(OR(('06_Сеть_и_дети'!S75-'06_Сеть_и_дети'!S103)=0,23&lt;='01_Вводные'!$B$297),0,('06_Сеть_и_дети'!S75-'06_Сеть_и_дети'!S103)*IF('01_Вводные'!$B$239="Да",MeanMinAge23+'19_Расчет_аналитики'!S560*SUMIF(ThresholdAge23,"&lt;"&amp;'19_Расчет_аналитики'!S560,WeightedRevAge23)-SUMIF(ThresholdAge23,"&lt;"&amp;'19_Расчет_аналитики'!S560,WeightedMinAge23),MAX(CapacityAge23*'01_Вводные'!$B$218*'19_Расчет_аналитики'!S560,MeanMinAge23)))</f>
        <v/>
      </c>
      <c r="T514">
        <f>IF(OR(('06_Сеть_и_дети'!T75-'06_Сеть_и_дети'!T103)=0,23&lt;='01_Вводные'!$B$297),0,('06_Сеть_и_дети'!T75-'06_Сеть_и_дети'!T103)*IF('01_Вводные'!$B$239="Да",MeanMinAge23+'19_Расчет_аналитики'!T560*SUMIF(ThresholdAge23,"&lt;"&amp;'19_Расчет_аналитики'!T560,WeightedRevAge23)-SUMIF(ThresholdAge23,"&lt;"&amp;'19_Расчет_аналитики'!T560,WeightedMinAge23),MAX(CapacityAge23*'01_Вводные'!$B$218*'19_Расчет_аналитики'!T560,MeanMinAge23)))</f>
        <v/>
      </c>
      <c r="U514">
        <f>IF(OR(('06_Сеть_и_дети'!U75-'06_Сеть_и_дети'!U103)=0,23&lt;='01_Вводные'!$B$297),0,('06_Сеть_и_дети'!U75-'06_Сеть_и_дети'!U103)*IF('01_Вводные'!$B$239="Да",MeanMinAge23+'19_Расчет_аналитики'!U560*SUMIF(ThresholdAge23,"&lt;"&amp;'19_Расчет_аналитики'!U560,WeightedRevAge23)-SUMIF(ThresholdAge23,"&lt;"&amp;'19_Расчет_аналитики'!U560,WeightedMinAge23),MAX(CapacityAge23*'01_Вводные'!$B$218*'19_Расчет_аналитики'!U560,MeanMinAge23)))</f>
        <v/>
      </c>
      <c r="V514">
        <f>IF(OR(('06_Сеть_и_дети'!V75-'06_Сеть_и_дети'!V103)=0,23&lt;='01_Вводные'!$B$297),0,('06_Сеть_и_дети'!V75-'06_Сеть_и_дети'!V103)*IF('01_Вводные'!$B$239="Да",MeanMinAge23+'19_Расчет_аналитики'!V560*SUMIF(ThresholdAge23,"&lt;"&amp;'19_Расчет_аналитики'!V560,WeightedRevAge23)-SUMIF(ThresholdAge23,"&lt;"&amp;'19_Расчет_аналитики'!V560,WeightedMinAge23),MAX(CapacityAge23*'01_Вводные'!$B$218*'19_Расчет_аналитики'!V560,MeanMinAge23)))</f>
        <v/>
      </c>
      <c r="W514">
        <f>IF(OR(('06_Сеть_и_дети'!W75-'06_Сеть_и_дети'!W103)=0,23&lt;='01_Вводные'!$B$297),0,('06_Сеть_и_дети'!W75-'06_Сеть_и_дети'!W103)*IF('01_Вводные'!$B$239="Да",MeanMinAge23+'19_Расчет_аналитики'!W560*SUMIF(ThresholdAge23,"&lt;"&amp;'19_Расчет_аналитики'!W560,WeightedRevAge23)-SUMIF(ThresholdAge23,"&lt;"&amp;'19_Расчет_аналитики'!W560,WeightedMinAge23),MAX(CapacityAge23*'01_Вводные'!$B$218*'19_Расчет_аналитики'!W560,MeanMinAge23)))</f>
        <v/>
      </c>
      <c r="X514">
        <f>IF(OR(('19_Расчет_аналитики'!X430-'19_Расчет_аналитики'!X458)=0,23&lt;='01_Вводные'!$B$297),0,('19_Расчет_аналитики'!X430-'19_Расчет_аналитики'!X458)*IF('01_Вводные'!$B$239="Да",MeanMinAge23+'19_Расчет_аналитики'!X560*SUMIF(ThresholdAge23,"&lt;"&amp;'19_Расчет_аналитики'!X560,WeightedRevAge23)-SUMIF(ThresholdAge23,"&lt;"&amp;'19_Расчет_аналитики'!X560,WeightedMinAge23),MAX(CapacityAge23*'01_Вводные'!$B$218*'19_Расчет_аналитики'!X560,MeanMinAge23)))</f>
        <v/>
      </c>
      <c r="Y514">
        <f>IF(OR(('19_Расчет_аналитики'!Y430-'19_Расчет_аналитики'!Y458)=0,23&lt;='01_Вводные'!$B$297),0,('19_Расчет_аналитики'!Y430-'19_Расчет_аналитики'!Y458)*IF('01_Вводные'!$B$239="Да",MeanMinAge23+'19_Расчет_аналитики'!Y560*SUMIF(ThresholdAge23,"&lt;"&amp;'19_Расчет_аналитики'!Y560,WeightedRevAge23)-SUMIF(ThresholdAge23,"&lt;"&amp;'19_Расчет_аналитики'!Y560,WeightedMinAge23),MAX(CapacityAge23*'01_Вводные'!$B$218*'19_Расчет_аналитики'!Y560,MeanMinAge23)))</f>
        <v/>
      </c>
      <c r="Z514">
        <f>IF(OR(('19_Расчет_аналитики'!Z430-'19_Расчет_аналитики'!Z458)=0,23&lt;='01_Вводные'!$B$297),0,('19_Расчет_аналитики'!Z430-'19_Расчет_аналитики'!Z458)*IF('01_Вводные'!$B$239="Да",MeanMinAge23+'19_Расчет_аналитики'!Z560*SUMIF(ThresholdAge23,"&lt;"&amp;'19_Расчет_аналитики'!Z560,WeightedRevAge23)-SUMIF(ThresholdAge23,"&lt;"&amp;'19_Расчет_аналитики'!Z560,WeightedMinAge23),MAX(CapacityAge23*'01_Вводные'!$B$218*'19_Расчет_аналитики'!Z560,MeanMinAge23)))</f>
        <v/>
      </c>
      <c r="AA514">
        <f>IF(OR(('19_Расчет_аналитики'!AA430-'19_Расчет_аналитики'!AA458)=0,23&lt;='01_Вводные'!$B$297),0,('19_Расчет_аналитики'!AA430-'19_Расчет_аналитики'!AA458)*IF('01_Вводные'!$B$239="Да",MeanMinAge23+'19_Расчет_аналитики'!AA560*SUMIF(ThresholdAge23,"&lt;"&amp;'19_Расчет_аналитики'!AA560,WeightedRevAge23)-SUMIF(ThresholdAge23,"&lt;"&amp;'19_Расчет_аналитики'!AA560,WeightedMinAge23),MAX(CapacityAge23*'01_Вводные'!$B$218*'19_Расчет_аналитики'!AA560,MeanMinAge23)))</f>
        <v/>
      </c>
      <c r="AB514">
        <f>IF(OR(('19_Расчет_аналитики'!AB430-'19_Расчет_аналитики'!AB458)=0,23&lt;='01_Вводные'!$B$297),0,('19_Расчет_аналитики'!AB430-'19_Расчет_аналитики'!AB458)*IF('01_Вводные'!$B$239="Да",MeanMinAge23+'19_Расчет_аналитики'!AB560*SUMIF(ThresholdAge23,"&lt;"&amp;'19_Расчет_аналитики'!AB560,WeightedRevAge23)-SUMIF(ThresholdAge23,"&lt;"&amp;'19_Расчет_аналитики'!AB560,WeightedMinAge23),MAX(CapacityAge23*'01_Вводные'!$B$218*'19_Расчет_аналитики'!AB560,MeanMinAge23)))</f>
        <v/>
      </c>
      <c r="AC514">
        <f>IF(OR(('19_Расчет_аналитики'!AC430-'19_Расчет_аналитики'!AC458)=0,23&lt;='01_Вводные'!$B$297),0,('19_Расчет_аналитики'!AC430-'19_Расчет_аналитики'!AC458)*IF('01_Вводные'!$B$239="Да",MeanMinAge23+'19_Расчет_аналитики'!AC560*SUMIF(ThresholdAge23,"&lt;"&amp;'19_Расчет_аналитики'!AC560,WeightedRevAge23)-SUMIF(ThresholdAge23,"&lt;"&amp;'19_Расчет_аналитики'!AC560,WeightedMinAge23),MAX(CapacityAge23*'01_Вводные'!$B$218*'19_Расчет_аналитики'!AC560,MeanMinAge23)))</f>
        <v/>
      </c>
      <c r="AD514">
        <f>IF(OR(('19_Расчет_аналитики'!AD430-'19_Расчет_аналитики'!AD458)=0,23&lt;='01_Вводные'!$B$297),0,('19_Расчет_аналитики'!AD430-'19_Расчет_аналитики'!AD458)*IF('01_Вводные'!$B$239="Да",MeanMinAge23+'19_Расчет_аналитики'!AD560*SUMIF(ThresholdAge23,"&lt;"&amp;'19_Расчет_аналитики'!AD560,WeightedRevAge23)-SUMIF(ThresholdAge23,"&lt;"&amp;'19_Расчет_аналитики'!AD560,WeightedMinAge23),MAX(CapacityAge23*'01_Вводные'!$B$218*'19_Расчет_аналитики'!AD560,MeanMinAge23)))</f>
        <v/>
      </c>
      <c r="AE514">
        <f>IF(OR(('19_Расчет_аналитики'!AE430-'19_Расчет_аналитики'!AE458)=0,23&lt;='01_Вводные'!$B$297),0,('19_Расчет_аналитики'!AE430-'19_Расчет_аналитики'!AE458)*IF('01_Вводные'!$B$239="Да",MeanMinAge23+'19_Расчет_аналитики'!AE560*SUMIF(ThresholdAge23,"&lt;"&amp;'19_Расчет_аналитики'!AE560,WeightedRevAge23)-SUMIF(ThresholdAge23,"&lt;"&amp;'19_Расчет_аналитики'!AE560,WeightedMinAge23),MAX(CapacityAge23*'01_Вводные'!$B$218*'19_Расчет_аналитики'!AE560,MeanMinAge23)))</f>
        <v/>
      </c>
      <c r="AF514">
        <f>IF(OR(('19_Расчет_аналитики'!AF430-'19_Расчет_аналитики'!AF458)=0,23&lt;='01_Вводные'!$B$297),0,('19_Расчет_аналитики'!AF430-'19_Расчет_аналитики'!AF458)*IF('01_Вводные'!$B$239="Да",MeanMinAge23+'19_Расчет_аналитики'!AF560*SUMIF(ThresholdAge23,"&lt;"&amp;'19_Расчет_аналитики'!AF560,WeightedRevAge23)-SUMIF(ThresholdAge23,"&lt;"&amp;'19_Расчет_аналитики'!AF560,WeightedMinAge23),MAX(CapacityAge23*'01_Вводные'!$B$218*'19_Расчет_аналитики'!AF560,MeanMinAge23)))</f>
        <v/>
      </c>
      <c r="AG514">
        <f>IF(OR(('19_Расчет_аналитики'!AG430-'19_Расчет_аналитики'!AG458)=0,23&lt;='01_Вводные'!$B$297),0,('19_Расчет_аналитики'!AG430-'19_Расчет_аналитики'!AG458)*IF('01_Вводные'!$B$239="Да",MeanMinAge23+'19_Расчет_аналитики'!AG560*SUMIF(ThresholdAge23,"&lt;"&amp;'19_Расчет_аналитики'!AG560,WeightedRevAge23)-SUMIF(ThresholdAge23,"&lt;"&amp;'19_Расчет_аналитики'!AG560,WeightedMinAge23),MAX(CapacityAge23*'01_Вводные'!$B$218*'19_Расчет_аналитики'!AG560,MeanMinAge23)))</f>
        <v/>
      </c>
      <c r="AH514">
        <f>IF(OR(('19_Расчет_аналитики'!AH430-'19_Расчет_аналитики'!AH458)=0,23&lt;='01_Вводные'!$B$297),0,('19_Расчет_аналитики'!AH430-'19_Расчет_аналитики'!AH458)*IF('01_Вводные'!$B$239="Да",MeanMinAge23+'19_Расчет_аналитики'!AH560*SUMIF(ThresholdAge23,"&lt;"&amp;'19_Расчет_аналитики'!AH560,WeightedRevAge23)-SUMIF(ThresholdAge23,"&lt;"&amp;'19_Расчет_аналитики'!AH560,WeightedMinAge23),MAX(CapacityAge23*'01_Вводные'!$B$218*'19_Расчет_аналитики'!AH560,MeanMinAge23)))</f>
        <v/>
      </c>
      <c r="AI514">
        <f>IF(OR(('19_Расчет_аналитики'!AI430-'19_Расчет_аналитики'!AI458)=0,23&lt;='01_Вводные'!$B$297),0,('19_Расчет_аналитики'!AI430-'19_Расчет_аналитики'!AI458)*IF('01_Вводные'!$B$239="Да",MeanMinAge23+'19_Расчет_аналитики'!AI560*SUMIF(ThresholdAge23,"&lt;"&amp;'19_Расчет_аналитики'!AI560,WeightedRevAge23)-SUMIF(ThresholdAge23,"&lt;"&amp;'19_Расчет_аналитики'!AI560,WeightedMinAge23),MAX(CapacityAge23*'01_Вводные'!$B$218*'19_Расчет_аналитики'!AI560,MeanMinAge23)))</f>
        <v/>
      </c>
      <c r="AJ514">
        <f>IF(OR(('19_Расчет_аналитики'!AJ430-'19_Расчет_аналитики'!AJ458)=0,23&lt;='01_Вводные'!$B$297),0,('19_Расчет_аналитики'!AJ430-'19_Расчет_аналитики'!AJ458)*IF('01_Вводные'!$B$239="Да",MeanMinAge23+'19_Расчет_аналитики'!AJ560*SUMIF(ThresholdAge23,"&lt;"&amp;'19_Расчет_аналитики'!AJ560,WeightedRevAge23)-SUMIF(ThresholdAge23,"&lt;"&amp;'19_Расчет_аналитики'!AJ560,WeightedMinAge23),MAX(CapacityAge23*'01_Вводные'!$B$218*'19_Расчет_аналитики'!AJ560,MeanMinAge23)))</f>
        <v/>
      </c>
      <c r="AK514">
        <f>IF(OR(('19_Расчет_аналитики'!AK430-'19_Расчет_аналитики'!AK458)=0,23&lt;='01_Вводные'!$B$297),0,('19_Расчет_аналитики'!AK430-'19_Расчет_аналитики'!AK458)*IF('01_Вводные'!$B$239="Да",MeanMinAge23+'19_Расчет_аналитики'!AK560*SUMIF(ThresholdAge23,"&lt;"&amp;'19_Расчет_аналитики'!AK560,WeightedRevAge23)-SUMIF(ThresholdAge23,"&lt;"&amp;'19_Расчет_аналитики'!AK560,WeightedMinAge23),MAX(CapacityAge23*'01_Вводные'!$B$218*'19_Расчет_аналитики'!AK560,MeanMinAge23)))</f>
        <v/>
      </c>
      <c r="AL514">
        <f>IF(OR(('19_Расчет_аналитики'!AL430-'19_Расчет_аналитики'!AL458)=0,23&lt;='01_Вводные'!$B$297),0,('19_Расчет_аналитики'!AL430-'19_Расчет_аналитики'!AL458)*IF('01_Вводные'!$B$239="Да",MeanMinAge23+'19_Расчет_аналитики'!AL560*SUMIF(ThresholdAge23,"&lt;"&amp;'19_Расчет_аналитики'!AL560,WeightedRevAge23)-SUMIF(ThresholdAge23,"&lt;"&amp;'19_Расчет_аналитики'!AL560,WeightedMinAge23),MAX(CapacityAge23*'01_Вводные'!$B$218*'19_Расчет_аналитики'!AL560,MeanMinAge23)))</f>
        <v/>
      </c>
      <c r="AM514">
        <f>IF(OR(('19_Расчет_аналитики'!AM430-'19_Расчет_аналитики'!AM458)=0,23&lt;='01_Вводные'!$B$297),0,('19_Расчет_аналитики'!AM430-'19_Расчет_аналитики'!AM458)*IF('01_Вводные'!$B$239="Да",MeanMinAge23+'19_Расчет_аналитики'!AM560*SUMIF(ThresholdAge23,"&lt;"&amp;'19_Расчет_аналитики'!AM560,WeightedRevAge23)-SUMIF(ThresholdAge23,"&lt;"&amp;'19_Расчет_аналитики'!AM560,WeightedMinAge23),MAX(CapacityAge23*'01_Вводные'!$B$218*'19_Расчет_аналитики'!AM560,MeanMinAge23)))</f>
        <v/>
      </c>
      <c r="AN514">
        <f>IF(OR(('19_Расчет_аналитики'!AN430-'19_Расчет_аналитики'!AN458)=0,23&lt;='01_Вводные'!$B$297),0,('19_Расчет_аналитики'!AN430-'19_Расчет_аналитики'!AN458)*IF('01_Вводные'!$B$239="Да",MeanMinAge23+'19_Расчет_аналитики'!AN560*SUMIF(ThresholdAge23,"&lt;"&amp;'19_Расчет_аналитики'!AN560,WeightedRevAge23)-SUMIF(ThresholdAge23,"&lt;"&amp;'19_Расчет_аналитики'!AN560,WeightedMinAge23),MAX(CapacityAge23*'01_Вводные'!$B$218*'19_Расчет_аналитики'!AN560,MeanMinAge23)))</f>
        <v/>
      </c>
      <c r="AO514">
        <f>IF(OR(('19_Расчет_аналитики'!AO430-'19_Расчет_аналитики'!AO458)=0,23&lt;='01_Вводные'!$B$297),0,('19_Расчет_аналитики'!AO430-'19_Расчет_аналитики'!AO458)*IF('01_Вводные'!$B$239="Да",MeanMinAge23+'19_Расчет_аналитики'!AO560*SUMIF(ThresholdAge23,"&lt;"&amp;'19_Расчет_аналитики'!AO560,WeightedRevAge23)-SUMIF(ThresholdAge23,"&lt;"&amp;'19_Расчет_аналитики'!AO560,WeightedMinAge23),MAX(CapacityAge23*'01_Вводные'!$B$218*'19_Расчет_аналитики'!AO560,MeanMinAge23)))</f>
        <v/>
      </c>
      <c r="AP514">
        <f>IF(OR(('19_Расчет_аналитики'!AP430-'19_Расчет_аналитики'!AP458)=0,23&lt;='01_Вводные'!$B$297),0,('19_Расчет_аналитики'!AP430-'19_Расчет_аналитики'!AP458)*IF('01_Вводные'!$B$239="Да",MeanMinAge23+'19_Расчет_аналитики'!AP560*SUMIF(ThresholdAge23,"&lt;"&amp;'19_Расчет_аналитики'!AP560,WeightedRevAge23)-SUMIF(ThresholdAge23,"&lt;"&amp;'19_Расчет_аналитики'!AP560,WeightedMinAge23),MAX(CapacityAge23*'01_Вводные'!$B$218*'19_Расчет_аналитики'!AP560,MeanMinAge23)))</f>
        <v/>
      </c>
      <c r="AQ514">
        <f>IF(OR(('19_Расчет_аналитики'!AQ430-'19_Расчет_аналитики'!AQ458)=0,23&lt;='01_Вводные'!$B$297),0,('19_Расчет_аналитики'!AQ430-'19_Расчет_аналитики'!AQ458)*IF('01_Вводные'!$B$239="Да",MeanMinAge23+'19_Расчет_аналитики'!AQ560*SUMIF(ThresholdAge23,"&lt;"&amp;'19_Расчет_аналитики'!AQ560,WeightedRevAge23)-SUMIF(ThresholdAge23,"&lt;"&amp;'19_Расчет_аналитики'!AQ560,WeightedMinAge23),MAX(CapacityAge23*'01_Вводные'!$B$218*'19_Расчет_аналитики'!AQ560,MeanMinAge23)))</f>
        <v/>
      </c>
      <c r="AR514">
        <f>IF(OR(('19_Расчет_аналитики'!AR430-'19_Расчет_аналитики'!AR458)=0,23&lt;='01_Вводные'!$B$297),0,('19_Расчет_аналитики'!AR430-'19_Расчет_аналитики'!AR458)*IF('01_Вводные'!$B$239="Да",MeanMinAge23+'19_Расчет_аналитики'!AR560*SUMIF(ThresholdAge23,"&lt;"&amp;'19_Расчет_аналитики'!AR560,WeightedRevAge23)-SUMIF(ThresholdAge23,"&lt;"&amp;'19_Расчет_аналитики'!AR560,WeightedMinAge23),MAX(CapacityAge23*'01_Вводные'!$B$218*'19_Расчет_аналитики'!AR560,MeanMinAge23)))</f>
        <v/>
      </c>
      <c r="AS514">
        <f>IF(OR(('19_Расчет_аналитики'!AS430-'19_Расчет_аналитики'!AS458)=0,23&lt;='01_Вводные'!$B$297),0,('19_Расчет_аналитики'!AS430-'19_Расчет_аналитики'!AS458)*IF('01_Вводные'!$B$239="Да",MeanMinAge23+'19_Расчет_аналитики'!AS560*SUMIF(ThresholdAge23,"&lt;"&amp;'19_Расчет_аналитики'!AS560,WeightedRevAge23)-SUMIF(ThresholdAge23,"&lt;"&amp;'19_Расчет_аналитики'!AS560,WeightedMinAge23),MAX(CapacityAge23*'01_Вводные'!$B$218*'19_Расчет_аналитики'!AS560,MeanMinAge23)))</f>
        <v/>
      </c>
      <c r="AT514">
        <f>IF(OR(('19_Расчет_аналитики'!AT430-'19_Расчет_аналитики'!AT458)=0,23&lt;='01_Вводные'!$B$297),0,('19_Расчет_аналитики'!AT430-'19_Расчет_аналитики'!AT458)*IF('01_Вводные'!$B$239="Да",MeanMinAge23+'19_Расчет_аналитики'!AT560*SUMIF(ThresholdAge23,"&lt;"&amp;'19_Расчет_аналитики'!AT560,WeightedRevAge23)-SUMIF(ThresholdAge23,"&lt;"&amp;'19_Расчет_аналитики'!AT560,WeightedMinAge23),MAX(CapacityAge23*'01_Вводные'!$B$218*'19_Расчет_аналитики'!AT560,MeanMinAge23)))</f>
        <v/>
      </c>
      <c r="AU514">
        <f>IF(OR(('19_Расчет_аналитики'!AU430-'19_Расчет_аналитики'!AU458)=0,23&lt;='01_Вводные'!$B$297),0,('19_Расчет_аналитики'!AU430-'19_Расчет_аналитики'!AU458)*IF('01_Вводные'!$B$239="Да",MeanMinAge23+'19_Расчет_аналитики'!AU560*SUMIF(ThresholdAge23,"&lt;"&amp;'19_Расчет_аналитики'!AU560,WeightedRevAge23)-SUMIF(ThresholdAge23,"&lt;"&amp;'19_Расчет_аналитики'!AU560,WeightedMinAge23),MAX(CapacityAge23*'01_Вводные'!$B$218*'19_Расчет_аналитики'!AU560,MeanMinAge23)))</f>
        <v/>
      </c>
      <c r="AV514">
        <f>IF(OR(('19_Расчет_аналитики'!AV430-'19_Расчет_аналитики'!AV458)=0,23&lt;='01_Вводные'!$B$297),0,('19_Расчет_аналитики'!AV430-'19_Расчет_аналитики'!AV458)*IF('01_Вводные'!$B$239="Да",MeanMinAge23+'19_Расчет_аналитики'!AV560*SUMIF(ThresholdAge23,"&lt;"&amp;'19_Расчет_аналитики'!AV560,WeightedRevAge23)-SUMIF(ThresholdAge23,"&lt;"&amp;'19_Расчет_аналитики'!AV560,WeightedMinAge23),MAX(CapacityAge23*'01_Вводные'!$B$218*'19_Расчет_аналитики'!AV560,MeanMinAge23)))</f>
        <v/>
      </c>
      <c r="AW514">
        <f>IF(OR(('19_Расчет_аналитики'!AW430-'19_Расчет_аналитики'!AW458)=0,23&lt;='01_Вводные'!$B$297),0,('19_Расчет_аналитики'!AW430-'19_Расчет_аналитики'!AW458)*IF('01_Вводные'!$B$239="Да",MeanMinAge23+'19_Расчет_аналитики'!AW560*SUMIF(ThresholdAge23,"&lt;"&amp;'19_Расчет_аналитики'!AW560,WeightedRevAge23)-SUMIF(ThresholdAge23,"&lt;"&amp;'19_Расчет_аналитики'!AW560,WeightedMinAge23),MAX(CapacityAge23*'01_Вводные'!$B$218*'19_Расчет_аналитики'!AW560,MeanMinAge23)))</f>
        <v/>
      </c>
      <c r="AX514">
        <f>IF(OR(('19_Расчет_аналитики'!AX430-'19_Расчет_аналитики'!AX458)=0,23&lt;='01_Вводные'!$B$297),0,('19_Расчет_аналитики'!AX430-'19_Расчет_аналитики'!AX458)*IF('01_Вводные'!$B$239="Да",MeanMinAge23+'19_Расчет_аналитики'!AX560*SUMIF(ThresholdAge23,"&lt;"&amp;'19_Расчет_аналитики'!AX560,WeightedRevAge23)-SUMIF(ThresholdAge23,"&lt;"&amp;'19_Расчет_аналитики'!AX560,WeightedMinAge23),MAX(CapacityAge23*'01_Вводные'!$B$218*'19_Расчет_аналитики'!AX560,MeanMinAge23)))</f>
        <v/>
      </c>
      <c r="AY514">
        <f>IF(OR(('19_Расчет_аналитики'!AY430-'19_Расчет_аналитики'!AY458)=0,23&lt;='01_Вводные'!$B$297),0,('19_Расчет_аналитики'!AY430-'19_Расчет_аналитики'!AY458)*IF('01_Вводные'!$B$239="Да",MeanMinAge23+'19_Расчет_аналитики'!AY560*SUMIF(ThresholdAge23,"&lt;"&amp;'19_Расчет_аналитики'!AY560,WeightedRevAge23)-SUMIF(ThresholdAge23,"&lt;"&amp;'19_Расчет_аналитики'!AY560,WeightedMinAge23),MAX(CapacityAge23*'01_Вводные'!$B$218*'19_Расчет_аналитики'!AY560,MeanMinAge23)))</f>
        <v/>
      </c>
      <c r="AZ514">
        <f>IF(OR(('19_Расчет_аналитики'!AZ430-'19_Расчет_аналитики'!AZ458)=0,23&lt;='01_Вводные'!$B$297),0,('19_Расчет_аналитики'!AZ430-'19_Расчет_аналитики'!AZ458)*IF('01_Вводные'!$B$239="Да",MeanMinAge23+'19_Расчет_аналитики'!AZ560*SUMIF(ThresholdAge23,"&lt;"&amp;'19_Расчет_аналитики'!AZ560,WeightedRevAge23)-SUMIF(ThresholdAge23,"&lt;"&amp;'19_Расчет_аналитики'!AZ560,WeightedMinAge23),MAX(CapacityAge23*'01_Вводные'!$B$218*'19_Расчет_аналитики'!AZ560,MeanMinAge23)))</f>
        <v/>
      </c>
      <c r="BA514">
        <f>IF(OR(('19_Расчет_аналитики'!BA430-'19_Расчет_аналитики'!BA458)=0,23&lt;='01_Вводные'!$B$297),0,('19_Расчет_аналитики'!BA430-'19_Расчет_аналитики'!BA458)*IF('01_Вводные'!$B$239="Да",MeanMinAge23+'19_Расчет_аналитики'!BA560*SUMIF(ThresholdAge23,"&lt;"&amp;'19_Расчет_аналитики'!BA560,WeightedRevAge23)-SUMIF(ThresholdAge23,"&lt;"&amp;'19_Расчет_аналитики'!BA560,WeightedMinAge23),MAX(CapacityAge23*'01_Вводные'!$B$218*'19_Расчет_аналитики'!BA560,MeanMinAge23)))</f>
        <v/>
      </c>
      <c r="BB514">
        <f>IF(OR(('19_Расчет_аналитики'!BB430-'19_Расчет_аналитики'!BB458)=0,23&lt;='01_Вводные'!$B$297),0,('19_Расчет_аналитики'!BB430-'19_Расчет_аналитики'!BB458)*IF('01_Вводные'!$B$239="Да",MeanMinAge23+'19_Расчет_аналитики'!BB560*SUMIF(ThresholdAge23,"&lt;"&amp;'19_Расчет_аналитики'!BB560,WeightedRevAge23)-SUMIF(ThresholdAge23,"&lt;"&amp;'19_Расчет_аналитики'!BB560,WeightedMinAge23),MAX(CapacityAge23*'01_Вводные'!$B$218*'19_Расчет_аналитики'!BB560,MeanMinAge23)))</f>
        <v/>
      </c>
      <c r="BC514">
        <f>IF(OR(('19_Расчет_аналитики'!BC430-'19_Расчет_аналитики'!BC458)=0,23&lt;='01_Вводные'!$B$297),0,('19_Расчет_аналитики'!BC430-'19_Расчет_аналитики'!BC458)*IF('01_Вводные'!$B$239="Да",MeanMinAge23+'19_Расчет_аналитики'!BC560*SUMIF(ThresholdAge23,"&lt;"&amp;'19_Расчет_аналитики'!BC560,WeightedRevAge23)-SUMIF(ThresholdAge23,"&lt;"&amp;'19_Расчет_аналитики'!BC560,WeightedMinAge23),MAX(CapacityAge23*'01_Вводные'!$B$218*'19_Расчет_аналитики'!BC560,MeanMinAge23)))</f>
        <v/>
      </c>
      <c r="BD514">
        <f>IF(OR(('19_Расчет_аналитики'!BD430-'19_Расчет_аналитики'!BD458)=0,23&lt;='01_Вводные'!$B$297),0,('19_Расчет_аналитики'!BD430-'19_Расчет_аналитики'!BD458)*IF('01_Вводные'!$B$239="Да",MeanMinAge23+'19_Расчет_аналитики'!BD560*SUMIF(ThresholdAge23,"&lt;"&amp;'19_Расчет_аналитики'!BD560,WeightedRevAge23)-SUMIF(ThresholdAge23,"&lt;"&amp;'19_Расчет_аналитики'!BD560,WeightedMinAge23),MAX(CapacityAge23*'01_Вводные'!$B$218*'19_Расчет_аналитики'!BD560,MeanMinAge23)))</f>
        <v/>
      </c>
      <c r="BE514">
        <f>IF(OR(('19_Расчет_аналитики'!BE430-'19_Расчет_аналитики'!BE458)=0,23&lt;='01_Вводные'!$B$297),0,('19_Расчет_аналитики'!BE430-'19_Расчет_аналитики'!BE458)*IF('01_Вводные'!$B$239="Да",MeanMinAge23+'19_Расчет_аналитики'!BE560*SUMIF(ThresholdAge23,"&lt;"&amp;'19_Расчет_аналитики'!BE560,WeightedRevAge23)-SUMIF(ThresholdAge23,"&lt;"&amp;'19_Расчет_аналитики'!BE560,WeightedMinAge23),MAX(CapacityAge23*'01_Вводные'!$B$218*'19_Расчет_аналитики'!BE560,MeanMinAge23)))</f>
        <v/>
      </c>
      <c r="BF514">
        <f>IF(OR(('19_Расчет_аналитики'!BF430-'19_Расчет_аналитики'!BF458)=0,23&lt;='01_Вводные'!$B$297),0,('19_Расчет_аналитики'!BF430-'19_Расчет_аналитики'!BF458)*IF('01_Вводные'!$B$239="Да",MeanMinAge23+'19_Расчет_аналитики'!BF560*SUMIF(ThresholdAge23,"&lt;"&amp;'19_Расчет_аналитики'!BF560,WeightedRevAge23)-SUMIF(ThresholdAge23,"&lt;"&amp;'19_Расчет_аналитики'!BF560,WeightedMinAge23),MAX(CapacityAge23*'01_Вводные'!$B$218*'19_Расчет_аналитики'!BF560,MeanMinAge23)))</f>
        <v/>
      </c>
      <c r="BG514">
        <f>IF(OR(('19_Расчет_аналитики'!BG430-'19_Расчет_аналитики'!BG458)=0,23&lt;='01_Вводные'!$B$297),0,('19_Расчет_аналитики'!BG430-'19_Расчет_аналитики'!BG458)*IF('01_Вводные'!$B$239="Да",MeanMinAge23+'19_Расчет_аналитики'!BG560*SUMIF(ThresholdAge23,"&lt;"&amp;'19_Расчет_аналитики'!BG560,WeightedRevAge23)-SUMIF(ThresholdAge23,"&lt;"&amp;'19_Расчет_аналитики'!BG560,WeightedMinAge23),MAX(CapacityAge23*'01_Вводные'!$B$218*'19_Расчет_аналитики'!BG560,MeanMinAge23)))</f>
        <v/>
      </c>
      <c r="BH514">
        <f>IF(OR(('19_Расчет_аналитики'!BH430-'19_Расчет_аналитики'!BH458)=0,23&lt;='01_Вводные'!$B$297),0,('19_Расчет_аналитики'!BH430-'19_Расчет_аналитики'!BH458)*IF('01_Вводные'!$B$239="Да",MeanMinAge23+'19_Расчет_аналитики'!BH560*SUMIF(ThresholdAge23,"&lt;"&amp;'19_Расчет_аналитики'!BH560,WeightedRevAge23)-SUMIF(ThresholdAge23,"&lt;"&amp;'19_Расчет_аналитики'!BH560,WeightedMinAge23),MAX(CapacityAge23*'01_Вводные'!$B$218*'19_Расчет_аналитики'!BH560,MeanMinAge23)))</f>
        <v/>
      </c>
      <c r="BI514">
        <f>IF(OR(('19_Расчет_аналитики'!BI430-'19_Расчет_аналитики'!BI458)=0,23&lt;='01_Вводные'!$B$297),0,('19_Расчет_аналитики'!BI430-'19_Расчет_аналитики'!BI458)*IF('01_Вводные'!$B$239="Да",MeanMinAge23+'19_Расчет_аналитики'!BI560*SUMIF(ThresholdAge23,"&lt;"&amp;'19_Расчет_аналитики'!BI560,WeightedRevAge23)-SUMIF(ThresholdAge23,"&lt;"&amp;'19_Расчет_аналитики'!BI560,WeightedMinAge23),MAX(CapacityAge23*'01_Вводные'!$B$218*'19_Расчет_аналитики'!BI560,MeanMinAge23)))</f>
        <v/>
      </c>
      <c r="BJ514">
        <f>IF(OR(('19_Расчет_аналитики'!BJ430-'19_Расчет_аналитики'!BJ458)=0,23&lt;='01_Вводные'!$B$297),0,('19_Расчет_аналитики'!BJ430-'19_Расчет_аналитики'!BJ458)*IF('01_Вводные'!$B$239="Да",MeanMinAge23+'19_Расчет_аналитики'!BJ560*SUMIF(ThresholdAge23,"&lt;"&amp;'19_Расчет_аналитики'!BJ560,WeightedRevAge23)-SUMIF(ThresholdAge23,"&lt;"&amp;'19_Расчет_аналитики'!BJ560,WeightedMinAge23),MAX(CapacityAge23*'01_Вводные'!$B$218*'19_Расчет_аналитики'!BJ560,MeanMinAge23)))</f>
        <v/>
      </c>
      <c r="BK514">
        <f>IF(OR(('19_Расчет_аналитики'!BK430-'19_Расчет_аналитики'!BK458)=0,23&lt;='01_Вводные'!$B$297),0,('19_Расчет_аналитики'!BK430-'19_Расчет_аналитики'!BK458)*IF('01_Вводные'!$B$239="Да",MeanMinAge23+'19_Расчет_аналитики'!BK560*SUMIF(ThresholdAge23,"&lt;"&amp;'19_Расчет_аналитики'!BK560,WeightedRevAge23)-SUMIF(ThresholdAge23,"&lt;"&amp;'19_Расчет_аналитики'!BK560,WeightedMinAge23),MAX(CapacityAge23*'01_Вводные'!$B$218*'19_Расчет_аналитики'!BK560,MeanMinAge23)))</f>
        <v/>
      </c>
      <c r="BL514">
        <f>IF(OR(('19_Расчет_аналитики'!BL430-'19_Расчет_аналитики'!BL458)=0,23&lt;='01_Вводные'!$B$297),0,('19_Расчет_аналитики'!BL430-'19_Расчет_аналитики'!BL458)*IF('01_Вводные'!$B$239="Да",MeanMinAge23+'19_Расчет_аналитики'!BL560*SUMIF(ThresholdAge23,"&lt;"&amp;'19_Расчет_аналитики'!BL560,WeightedRevAge23)-SUMIF(ThresholdAge23,"&lt;"&amp;'19_Расчет_аналитики'!BL560,WeightedMinAge23),MAX(CapacityAge23*'01_Вводные'!$B$218*'19_Расчет_аналитики'!BL560,MeanMinAge23)))</f>
        <v/>
      </c>
      <c r="BM514">
        <f>IF(OR(('19_Расчет_аналитики'!BM430-'19_Расчет_аналитики'!BM458)=0,23&lt;='01_Вводные'!$B$297),0,('19_Расчет_аналитики'!BM430-'19_Расчет_аналитики'!BM458)*IF('01_Вводные'!$B$239="Да",MeanMinAge23+'19_Расчет_аналитики'!BM560*SUMIF(ThresholdAge23,"&lt;"&amp;'19_Расчет_аналитики'!BM560,WeightedRevAge23)-SUMIF(ThresholdAge23,"&lt;"&amp;'19_Расчет_аналитики'!BM560,WeightedMinAge23),MAX(CapacityAge23*'01_Вводные'!$B$218*'19_Расчет_аналитики'!BM560,MeanMinAge23)))</f>
        <v/>
      </c>
      <c r="BN514">
        <f>IF(OR(('19_Расчет_аналитики'!BN430-'19_Расчет_аналитики'!BN458)=0,23&lt;='01_Вводные'!$B$297),0,('19_Расчет_аналитики'!BN430-'19_Расчет_аналитики'!BN458)*IF('01_Вводные'!$B$239="Да",MeanMinAge23+'19_Расчет_аналитики'!BN560*SUMIF(ThresholdAge23,"&lt;"&amp;'19_Расчет_аналитики'!BN560,WeightedRevAge23)-SUMIF(ThresholdAge23,"&lt;"&amp;'19_Расчет_аналитики'!BN560,WeightedMinAge23),MAX(CapacityAge23*'01_Вводные'!$B$218*'19_Расчет_аналитики'!BN560,MeanMinAge23)))</f>
        <v/>
      </c>
      <c r="BO514">
        <f>IF(OR(('19_Расчет_аналитики'!BO430-'19_Расчет_аналитики'!BO458)=0,23&lt;='01_Вводные'!$B$297),0,('19_Расчет_аналитики'!BO430-'19_Расчет_аналитики'!BO458)*IF('01_Вводные'!$B$239="Да",MeanMinAge23+'19_Расчет_аналитики'!BO560*SUMIF(ThresholdAge23,"&lt;"&amp;'19_Расчет_аналитики'!BO560,WeightedRevAge23)-SUMIF(ThresholdAge23,"&lt;"&amp;'19_Расчет_аналитики'!BO560,WeightedMinAge23),MAX(CapacityAge23*'01_Вводные'!$B$218*'19_Расчет_аналитики'!BO560,MeanMinAge23)))</f>
        <v/>
      </c>
    </row>
    <row r="515">
      <c r="B515">
        <f>IF(OR(('06_Сеть_и_дети'!B76-'06_Сеть_и_дети'!B104)=0,24&lt;='01_Вводные'!$B$297),0,('06_Сеть_и_дети'!B76-'06_Сеть_и_дети'!B104)*IF('01_Вводные'!$B$239="Да",MeanMinAge24+'19_Расчет_аналитики'!B560*SUMIF(ThresholdAge24,"&lt;"&amp;'19_Расчет_аналитики'!B560,WeightedRevAge24)-SUMIF(ThresholdAge24,"&lt;"&amp;'19_Расчет_аналитики'!B560,WeightedMinAge24),MAX(CapacityAge24*'01_Вводные'!$B$218*'19_Расчет_аналитики'!B560,MeanMinAge24)))</f>
        <v/>
      </c>
      <c r="C515">
        <f>IF(OR(('06_Сеть_и_дети'!C76-'06_Сеть_и_дети'!C104)=0,24&lt;='01_Вводные'!$B$297),0,('06_Сеть_и_дети'!C76-'06_Сеть_и_дети'!C104)*IF('01_Вводные'!$B$239="Да",MeanMinAge24+'19_Расчет_аналитики'!C560*SUMIF(ThresholdAge24,"&lt;"&amp;'19_Расчет_аналитики'!C560,WeightedRevAge24)-SUMIF(ThresholdAge24,"&lt;"&amp;'19_Расчет_аналитики'!C560,WeightedMinAge24),MAX(CapacityAge24*'01_Вводные'!$B$218*'19_Расчет_аналитики'!C560,MeanMinAge24)))</f>
        <v/>
      </c>
      <c r="D515">
        <f>IF(OR(('06_Сеть_и_дети'!D76-'06_Сеть_и_дети'!D104)=0,24&lt;='01_Вводные'!$B$297),0,('06_Сеть_и_дети'!D76-'06_Сеть_и_дети'!D104)*IF('01_Вводные'!$B$239="Да",MeanMinAge24+'19_Расчет_аналитики'!D560*SUMIF(ThresholdAge24,"&lt;"&amp;'19_Расчет_аналитики'!D560,WeightedRevAge24)-SUMIF(ThresholdAge24,"&lt;"&amp;'19_Расчет_аналитики'!D560,WeightedMinAge24),MAX(CapacityAge24*'01_Вводные'!$B$218*'19_Расчет_аналитики'!D560,MeanMinAge24)))</f>
        <v/>
      </c>
      <c r="E515">
        <f>IF(OR(('06_Сеть_и_дети'!E76-'06_Сеть_и_дети'!E104)=0,24&lt;='01_Вводные'!$B$297),0,('06_Сеть_и_дети'!E76-'06_Сеть_и_дети'!E104)*IF('01_Вводные'!$B$239="Да",MeanMinAge24+'19_Расчет_аналитики'!E560*SUMIF(ThresholdAge24,"&lt;"&amp;'19_Расчет_аналитики'!E560,WeightedRevAge24)-SUMIF(ThresholdAge24,"&lt;"&amp;'19_Расчет_аналитики'!E560,WeightedMinAge24),MAX(CapacityAge24*'01_Вводные'!$B$218*'19_Расчет_аналитики'!E560,MeanMinAge24)))</f>
        <v/>
      </c>
      <c r="F515">
        <f>IF(OR(('06_Сеть_и_дети'!F76-'06_Сеть_и_дети'!F104)=0,24&lt;='01_Вводные'!$B$297),0,('06_Сеть_и_дети'!F76-'06_Сеть_и_дети'!F104)*IF('01_Вводные'!$B$239="Да",MeanMinAge24+'19_Расчет_аналитики'!F560*SUMIF(ThresholdAge24,"&lt;"&amp;'19_Расчет_аналитики'!F560,WeightedRevAge24)-SUMIF(ThresholdAge24,"&lt;"&amp;'19_Расчет_аналитики'!F560,WeightedMinAge24),MAX(CapacityAge24*'01_Вводные'!$B$218*'19_Расчет_аналитики'!F560,MeanMinAge24)))</f>
        <v/>
      </c>
      <c r="G515">
        <f>IF(OR(('06_Сеть_и_дети'!G76-'06_Сеть_и_дети'!G104)=0,24&lt;='01_Вводные'!$B$297),0,('06_Сеть_и_дети'!G76-'06_Сеть_и_дети'!G104)*IF('01_Вводные'!$B$239="Да",MeanMinAge24+'19_Расчет_аналитики'!G560*SUMIF(ThresholdAge24,"&lt;"&amp;'19_Расчет_аналитики'!G560,WeightedRevAge24)-SUMIF(ThresholdAge24,"&lt;"&amp;'19_Расчет_аналитики'!G560,WeightedMinAge24),MAX(CapacityAge24*'01_Вводные'!$B$218*'19_Расчет_аналитики'!G560,MeanMinAge24)))</f>
        <v/>
      </c>
      <c r="H515">
        <f>IF(OR(('06_Сеть_и_дети'!H76-'06_Сеть_и_дети'!H104)=0,24&lt;='01_Вводные'!$B$297),0,('06_Сеть_и_дети'!H76-'06_Сеть_и_дети'!H104)*IF('01_Вводные'!$B$239="Да",MeanMinAge24+'19_Расчет_аналитики'!H560*SUMIF(ThresholdAge24,"&lt;"&amp;'19_Расчет_аналитики'!H560,WeightedRevAge24)-SUMIF(ThresholdAge24,"&lt;"&amp;'19_Расчет_аналитики'!H560,WeightedMinAge24),MAX(CapacityAge24*'01_Вводные'!$B$218*'19_Расчет_аналитики'!H560,MeanMinAge24)))</f>
        <v/>
      </c>
      <c r="I515">
        <f>IF(OR(('06_Сеть_и_дети'!I76-'06_Сеть_и_дети'!I104)=0,24&lt;='01_Вводные'!$B$297),0,('06_Сеть_и_дети'!I76-'06_Сеть_и_дети'!I104)*IF('01_Вводные'!$B$239="Да",MeanMinAge24+'19_Расчет_аналитики'!I560*SUMIF(ThresholdAge24,"&lt;"&amp;'19_Расчет_аналитики'!I560,WeightedRevAge24)-SUMIF(ThresholdAge24,"&lt;"&amp;'19_Расчет_аналитики'!I560,WeightedMinAge24),MAX(CapacityAge24*'01_Вводные'!$B$218*'19_Расчет_аналитики'!I560,MeanMinAge24)))</f>
        <v/>
      </c>
      <c r="J515">
        <f>IF(OR(('06_Сеть_и_дети'!J76-'06_Сеть_и_дети'!J104)=0,24&lt;='01_Вводные'!$B$297),0,('06_Сеть_и_дети'!J76-'06_Сеть_и_дети'!J104)*IF('01_Вводные'!$B$239="Да",MeanMinAge24+'19_Расчет_аналитики'!J560*SUMIF(ThresholdAge24,"&lt;"&amp;'19_Расчет_аналитики'!J560,WeightedRevAge24)-SUMIF(ThresholdAge24,"&lt;"&amp;'19_Расчет_аналитики'!J560,WeightedMinAge24),MAX(CapacityAge24*'01_Вводные'!$B$218*'19_Расчет_аналитики'!J560,MeanMinAge24)))</f>
        <v/>
      </c>
      <c r="K515">
        <f>IF(OR(('06_Сеть_и_дети'!K76-'06_Сеть_и_дети'!K104)=0,24&lt;='01_Вводные'!$B$297),0,('06_Сеть_и_дети'!K76-'06_Сеть_и_дети'!K104)*IF('01_Вводные'!$B$239="Да",MeanMinAge24+'19_Расчет_аналитики'!K560*SUMIF(ThresholdAge24,"&lt;"&amp;'19_Расчет_аналитики'!K560,WeightedRevAge24)-SUMIF(ThresholdAge24,"&lt;"&amp;'19_Расчет_аналитики'!K560,WeightedMinAge24),MAX(CapacityAge24*'01_Вводные'!$B$218*'19_Расчет_аналитики'!K560,MeanMinAge24)))</f>
        <v/>
      </c>
      <c r="L515">
        <f>IF(OR(('06_Сеть_и_дети'!L76-'06_Сеть_и_дети'!L104)=0,24&lt;='01_Вводные'!$B$297),0,('06_Сеть_и_дети'!L76-'06_Сеть_и_дети'!L104)*IF('01_Вводные'!$B$239="Да",MeanMinAge24+'19_Расчет_аналитики'!L560*SUMIF(ThresholdAge24,"&lt;"&amp;'19_Расчет_аналитики'!L560,WeightedRevAge24)-SUMIF(ThresholdAge24,"&lt;"&amp;'19_Расчет_аналитики'!L560,WeightedMinAge24),MAX(CapacityAge24*'01_Вводные'!$B$218*'19_Расчет_аналитики'!L560,MeanMinAge24)))</f>
        <v/>
      </c>
      <c r="M515">
        <f>IF(OR(('06_Сеть_и_дети'!M76-'06_Сеть_и_дети'!M104)=0,24&lt;='01_Вводные'!$B$297),0,('06_Сеть_и_дети'!M76-'06_Сеть_и_дети'!M104)*IF('01_Вводные'!$B$239="Да",MeanMinAge24+'19_Расчет_аналитики'!M560*SUMIF(ThresholdAge24,"&lt;"&amp;'19_Расчет_аналитики'!M560,WeightedRevAge24)-SUMIF(ThresholdAge24,"&lt;"&amp;'19_Расчет_аналитики'!M560,WeightedMinAge24),MAX(CapacityAge24*'01_Вводные'!$B$218*'19_Расчет_аналитики'!M560,MeanMinAge24)))</f>
        <v/>
      </c>
      <c r="N515">
        <f>IF(OR(('06_Сеть_и_дети'!N76-'06_Сеть_и_дети'!N104)=0,24&lt;='01_Вводные'!$B$297),0,('06_Сеть_и_дети'!N76-'06_Сеть_и_дети'!N104)*IF('01_Вводные'!$B$239="Да",MeanMinAge24+'19_Расчет_аналитики'!N560*SUMIF(ThresholdAge24,"&lt;"&amp;'19_Расчет_аналитики'!N560,WeightedRevAge24)-SUMIF(ThresholdAge24,"&lt;"&amp;'19_Расчет_аналитики'!N560,WeightedMinAge24),MAX(CapacityAge24*'01_Вводные'!$B$218*'19_Расчет_аналитики'!N560,MeanMinAge24)))</f>
        <v/>
      </c>
      <c r="O515">
        <f>IF(OR(('06_Сеть_и_дети'!O76-'06_Сеть_и_дети'!O104)=0,24&lt;='01_Вводные'!$B$297),0,('06_Сеть_и_дети'!O76-'06_Сеть_и_дети'!O104)*IF('01_Вводные'!$B$239="Да",MeanMinAge24+'19_Расчет_аналитики'!O560*SUMIF(ThresholdAge24,"&lt;"&amp;'19_Расчет_аналитики'!O560,WeightedRevAge24)-SUMIF(ThresholdAge24,"&lt;"&amp;'19_Расчет_аналитики'!O560,WeightedMinAge24),MAX(CapacityAge24*'01_Вводные'!$B$218*'19_Расчет_аналитики'!O560,MeanMinAge24)))</f>
        <v/>
      </c>
      <c r="P515">
        <f>IF(OR(('06_Сеть_и_дети'!P76-'06_Сеть_и_дети'!P104)=0,24&lt;='01_Вводные'!$B$297),0,('06_Сеть_и_дети'!P76-'06_Сеть_и_дети'!P104)*IF('01_Вводные'!$B$239="Да",MeanMinAge24+'19_Расчет_аналитики'!P560*SUMIF(ThresholdAge24,"&lt;"&amp;'19_Расчет_аналитики'!P560,WeightedRevAge24)-SUMIF(ThresholdAge24,"&lt;"&amp;'19_Расчет_аналитики'!P560,WeightedMinAge24),MAX(CapacityAge24*'01_Вводные'!$B$218*'19_Расчет_аналитики'!P560,MeanMinAge24)))</f>
        <v/>
      </c>
      <c r="Q515">
        <f>IF(OR(('06_Сеть_и_дети'!Q76-'06_Сеть_и_дети'!Q104)=0,24&lt;='01_Вводные'!$B$297),0,('06_Сеть_и_дети'!Q76-'06_Сеть_и_дети'!Q104)*IF('01_Вводные'!$B$239="Да",MeanMinAge24+'19_Расчет_аналитики'!Q560*SUMIF(ThresholdAge24,"&lt;"&amp;'19_Расчет_аналитики'!Q560,WeightedRevAge24)-SUMIF(ThresholdAge24,"&lt;"&amp;'19_Расчет_аналитики'!Q560,WeightedMinAge24),MAX(CapacityAge24*'01_Вводные'!$B$218*'19_Расчет_аналитики'!Q560,MeanMinAge24)))</f>
        <v/>
      </c>
      <c r="R515">
        <f>IF(OR(('06_Сеть_и_дети'!R76-'06_Сеть_и_дети'!R104)=0,24&lt;='01_Вводные'!$B$297),0,('06_Сеть_и_дети'!R76-'06_Сеть_и_дети'!R104)*IF('01_Вводные'!$B$239="Да",MeanMinAge24+'19_Расчет_аналитики'!R560*SUMIF(ThresholdAge24,"&lt;"&amp;'19_Расчет_аналитики'!R560,WeightedRevAge24)-SUMIF(ThresholdAge24,"&lt;"&amp;'19_Расчет_аналитики'!R560,WeightedMinAge24),MAX(CapacityAge24*'01_Вводные'!$B$218*'19_Расчет_аналитики'!R560,MeanMinAge24)))</f>
        <v/>
      </c>
      <c r="S515">
        <f>IF(OR(('06_Сеть_и_дети'!S76-'06_Сеть_и_дети'!S104)=0,24&lt;='01_Вводные'!$B$297),0,('06_Сеть_и_дети'!S76-'06_Сеть_и_дети'!S104)*IF('01_Вводные'!$B$239="Да",MeanMinAge24+'19_Расчет_аналитики'!S560*SUMIF(ThresholdAge24,"&lt;"&amp;'19_Расчет_аналитики'!S560,WeightedRevAge24)-SUMIF(ThresholdAge24,"&lt;"&amp;'19_Расчет_аналитики'!S560,WeightedMinAge24),MAX(CapacityAge24*'01_Вводные'!$B$218*'19_Расчет_аналитики'!S560,MeanMinAge24)))</f>
        <v/>
      </c>
      <c r="T515">
        <f>IF(OR(('06_Сеть_и_дети'!T76-'06_Сеть_и_дети'!T104)=0,24&lt;='01_Вводные'!$B$297),0,('06_Сеть_и_дети'!T76-'06_Сеть_и_дети'!T104)*IF('01_Вводные'!$B$239="Да",MeanMinAge24+'19_Расчет_аналитики'!T560*SUMIF(ThresholdAge24,"&lt;"&amp;'19_Расчет_аналитики'!T560,WeightedRevAge24)-SUMIF(ThresholdAge24,"&lt;"&amp;'19_Расчет_аналитики'!T560,WeightedMinAge24),MAX(CapacityAge24*'01_Вводные'!$B$218*'19_Расчет_аналитики'!T560,MeanMinAge24)))</f>
        <v/>
      </c>
      <c r="U515">
        <f>IF(OR(('06_Сеть_и_дети'!U76-'06_Сеть_и_дети'!U104)=0,24&lt;='01_Вводные'!$B$297),0,('06_Сеть_и_дети'!U76-'06_Сеть_и_дети'!U104)*IF('01_Вводные'!$B$239="Да",MeanMinAge24+'19_Расчет_аналитики'!U560*SUMIF(ThresholdAge24,"&lt;"&amp;'19_Расчет_аналитики'!U560,WeightedRevAge24)-SUMIF(ThresholdAge24,"&lt;"&amp;'19_Расчет_аналитики'!U560,WeightedMinAge24),MAX(CapacityAge24*'01_Вводные'!$B$218*'19_Расчет_аналитики'!U560,MeanMinAge24)))</f>
        <v/>
      </c>
      <c r="V515">
        <f>IF(OR(('06_Сеть_и_дети'!V76-'06_Сеть_и_дети'!V104)=0,24&lt;='01_Вводные'!$B$297),0,('06_Сеть_и_дети'!V76-'06_Сеть_и_дети'!V104)*IF('01_Вводные'!$B$239="Да",MeanMinAge24+'19_Расчет_аналитики'!V560*SUMIF(ThresholdAge24,"&lt;"&amp;'19_Расчет_аналитики'!V560,WeightedRevAge24)-SUMIF(ThresholdAge24,"&lt;"&amp;'19_Расчет_аналитики'!V560,WeightedMinAge24),MAX(CapacityAge24*'01_Вводные'!$B$218*'19_Расчет_аналитики'!V560,MeanMinAge24)))</f>
        <v/>
      </c>
      <c r="W515">
        <f>IF(OR(('06_Сеть_и_дети'!W76-'06_Сеть_и_дети'!W104)=0,24&lt;='01_Вводные'!$B$297),0,('06_Сеть_и_дети'!W76-'06_Сеть_и_дети'!W104)*IF('01_Вводные'!$B$239="Да",MeanMinAge24+'19_Расчет_аналитики'!W560*SUMIF(ThresholdAge24,"&lt;"&amp;'19_Расчет_аналитики'!W560,WeightedRevAge24)-SUMIF(ThresholdAge24,"&lt;"&amp;'19_Расчет_аналитики'!W560,WeightedMinAge24),MAX(CapacityAge24*'01_Вводные'!$B$218*'19_Расчет_аналитики'!W560,MeanMinAge24)))</f>
        <v/>
      </c>
      <c r="X515">
        <f>IF(OR(('06_Сеть_и_дети'!X76-'06_Сеть_и_дети'!X104)=0,24&lt;='01_Вводные'!$B$297),0,('06_Сеть_и_дети'!X76-'06_Сеть_и_дети'!X104)*IF('01_Вводные'!$B$239="Да",MeanMinAge24+'19_Расчет_аналитики'!X560*SUMIF(ThresholdAge24,"&lt;"&amp;'19_Расчет_аналитики'!X560,WeightedRevAge24)-SUMIF(ThresholdAge24,"&lt;"&amp;'19_Расчет_аналитики'!X560,WeightedMinAge24),MAX(CapacityAge24*'01_Вводные'!$B$218*'19_Расчет_аналитики'!X560,MeanMinAge24)))</f>
        <v/>
      </c>
      <c r="Y515">
        <f>IF(OR(('19_Расчет_аналитики'!Y431-'19_Расчет_аналитики'!Y459)=0,24&lt;='01_Вводные'!$B$297),0,('19_Расчет_аналитики'!Y431-'19_Расчет_аналитики'!Y459)*IF('01_Вводные'!$B$239="Да",MeanMinAge24+'19_Расчет_аналитики'!Y560*SUMIF(ThresholdAge24,"&lt;"&amp;'19_Расчет_аналитики'!Y560,WeightedRevAge24)-SUMIF(ThresholdAge24,"&lt;"&amp;'19_Расчет_аналитики'!Y560,WeightedMinAge24),MAX(CapacityAge24*'01_Вводные'!$B$218*'19_Расчет_аналитики'!Y560,MeanMinAge24)))</f>
        <v/>
      </c>
      <c r="Z515">
        <f>IF(OR(('19_Расчет_аналитики'!Z431-'19_Расчет_аналитики'!Z459)=0,24&lt;='01_Вводные'!$B$297),0,('19_Расчет_аналитики'!Z431-'19_Расчет_аналитики'!Z459)*IF('01_Вводные'!$B$239="Да",MeanMinAge24+'19_Расчет_аналитики'!Z560*SUMIF(ThresholdAge24,"&lt;"&amp;'19_Расчет_аналитики'!Z560,WeightedRevAge24)-SUMIF(ThresholdAge24,"&lt;"&amp;'19_Расчет_аналитики'!Z560,WeightedMinAge24),MAX(CapacityAge24*'01_Вводные'!$B$218*'19_Расчет_аналитики'!Z560,MeanMinAge24)))</f>
        <v/>
      </c>
      <c r="AA515">
        <f>IF(OR(('19_Расчет_аналитики'!AA431-'19_Расчет_аналитики'!AA459)=0,24&lt;='01_Вводные'!$B$297),0,('19_Расчет_аналитики'!AA431-'19_Расчет_аналитики'!AA459)*IF('01_Вводные'!$B$239="Да",MeanMinAge24+'19_Расчет_аналитики'!AA560*SUMIF(ThresholdAge24,"&lt;"&amp;'19_Расчет_аналитики'!AA560,WeightedRevAge24)-SUMIF(ThresholdAge24,"&lt;"&amp;'19_Расчет_аналитики'!AA560,WeightedMinAge24),MAX(CapacityAge24*'01_Вводные'!$B$218*'19_Расчет_аналитики'!AA560,MeanMinAge24)))</f>
        <v/>
      </c>
      <c r="AB515">
        <f>IF(OR(('19_Расчет_аналитики'!AB431-'19_Расчет_аналитики'!AB459)=0,24&lt;='01_Вводные'!$B$297),0,('19_Расчет_аналитики'!AB431-'19_Расчет_аналитики'!AB459)*IF('01_Вводные'!$B$239="Да",MeanMinAge24+'19_Расчет_аналитики'!AB560*SUMIF(ThresholdAge24,"&lt;"&amp;'19_Расчет_аналитики'!AB560,WeightedRevAge24)-SUMIF(ThresholdAge24,"&lt;"&amp;'19_Расчет_аналитики'!AB560,WeightedMinAge24),MAX(CapacityAge24*'01_Вводные'!$B$218*'19_Расчет_аналитики'!AB560,MeanMinAge24)))</f>
        <v/>
      </c>
      <c r="AC515">
        <f>IF(OR(('19_Расчет_аналитики'!AC431-'19_Расчет_аналитики'!AC459)=0,24&lt;='01_Вводные'!$B$297),0,('19_Расчет_аналитики'!AC431-'19_Расчет_аналитики'!AC459)*IF('01_Вводные'!$B$239="Да",MeanMinAge24+'19_Расчет_аналитики'!AC560*SUMIF(ThresholdAge24,"&lt;"&amp;'19_Расчет_аналитики'!AC560,WeightedRevAge24)-SUMIF(ThresholdAge24,"&lt;"&amp;'19_Расчет_аналитики'!AC560,WeightedMinAge24),MAX(CapacityAge24*'01_Вводные'!$B$218*'19_Расчет_аналитики'!AC560,MeanMinAge24)))</f>
        <v/>
      </c>
      <c r="AD515">
        <f>IF(OR(('19_Расчет_аналитики'!AD431-'19_Расчет_аналитики'!AD459)=0,24&lt;='01_Вводные'!$B$297),0,('19_Расчет_аналитики'!AD431-'19_Расчет_аналитики'!AD459)*IF('01_Вводные'!$B$239="Да",MeanMinAge24+'19_Расчет_аналитики'!AD560*SUMIF(ThresholdAge24,"&lt;"&amp;'19_Расчет_аналитики'!AD560,WeightedRevAge24)-SUMIF(ThresholdAge24,"&lt;"&amp;'19_Расчет_аналитики'!AD560,WeightedMinAge24),MAX(CapacityAge24*'01_Вводные'!$B$218*'19_Расчет_аналитики'!AD560,MeanMinAge24)))</f>
        <v/>
      </c>
      <c r="AE515">
        <f>IF(OR(('19_Расчет_аналитики'!AE431-'19_Расчет_аналитики'!AE459)=0,24&lt;='01_Вводные'!$B$297),0,('19_Расчет_аналитики'!AE431-'19_Расчет_аналитики'!AE459)*IF('01_Вводные'!$B$239="Да",MeanMinAge24+'19_Расчет_аналитики'!AE560*SUMIF(ThresholdAge24,"&lt;"&amp;'19_Расчет_аналитики'!AE560,WeightedRevAge24)-SUMIF(ThresholdAge24,"&lt;"&amp;'19_Расчет_аналитики'!AE560,WeightedMinAge24),MAX(CapacityAge24*'01_Вводные'!$B$218*'19_Расчет_аналитики'!AE560,MeanMinAge24)))</f>
        <v/>
      </c>
      <c r="AF515">
        <f>IF(OR(('19_Расчет_аналитики'!AF431-'19_Расчет_аналитики'!AF459)=0,24&lt;='01_Вводные'!$B$297),0,('19_Расчет_аналитики'!AF431-'19_Расчет_аналитики'!AF459)*IF('01_Вводные'!$B$239="Да",MeanMinAge24+'19_Расчет_аналитики'!AF560*SUMIF(ThresholdAge24,"&lt;"&amp;'19_Расчет_аналитики'!AF560,WeightedRevAge24)-SUMIF(ThresholdAge24,"&lt;"&amp;'19_Расчет_аналитики'!AF560,WeightedMinAge24),MAX(CapacityAge24*'01_Вводные'!$B$218*'19_Расчет_аналитики'!AF560,MeanMinAge24)))</f>
        <v/>
      </c>
      <c r="AG515">
        <f>IF(OR(('19_Расчет_аналитики'!AG431-'19_Расчет_аналитики'!AG459)=0,24&lt;='01_Вводные'!$B$297),0,('19_Расчет_аналитики'!AG431-'19_Расчет_аналитики'!AG459)*IF('01_Вводные'!$B$239="Да",MeanMinAge24+'19_Расчет_аналитики'!AG560*SUMIF(ThresholdAge24,"&lt;"&amp;'19_Расчет_аналитики'!AG560,WeightedRevAge24)-SUMIF(ThresholdAge24,"&lt;"&amp;'19_Расчет_аналитики'!AG560,WeightedMinAge24),MAX(CapacityAge24*'01_Вводные'!$B$218*'19_Расчет_аналитики'!AG560,MeanMinAge24)))</f>
        <v/>
      </c>
      <c r="AH515">
        <f>IF(OR(('19_Расчет_аналитики'!AH431-'19_Расчет_аналитики'!AH459)=0,24&lt;='01_Вводные'!$B$297),0,('19_Расчет_аналитики'!AH431-'19_Расчет_аналитики'!AH459)*IF('01_Вводные'!$B$239="Да",MeanMinAge24+'19_Расчет_аналитики'!AH560*SUMIF(ThresholdAge24,"&lt;"&amp;'19_Расчет_аналитики'!AH560,WeightedRevAge24)-SUMIF(ThresholdAge24,"&lt;"&amp;'19_Расчет_аналитики'!AH560,WeightedMinAge24),MAX(CapacityAge24*'01_Вводные'!$B$218*'19_Расчет_аналитики'!AH560,MeanMinAge24)))</f>
        <v/>
      </c>
      <c r="AI515">
        <f>IF(OR(('19_Расчет_аналитики'!AI431-'19_Расчет_аналитики'!AI459)=0,24&lt;='01_Вводные'!$B$297),0,('19_Расчет_аналитики'!AI431-'19_Расчет_аналитики'!AI459)*IF('01_Вводные'!$B$239="Да",MeanMinAge24+'19_Расчет_аналитики'!AI560*SUMIF(ThresholdAge24,"&lt;"&amp;'19_Расчет_аналитики'!AI560,WeightedRevAge24)-SUMIF(ThresholdAge24,"&lt;"&amp;'19_Расчет_аналитики'!AI560,WeightedMinAge24),MAX(CapacityAge24*'01_Вводные'!$B$218*'19_Расчет_аналитики'!AI560,MeanMinAge24)))</f>
        <v/>
      </c>
      <c r="AJ515">
        <f>IF(OR(('19_Расчет_аналитики'!AJ431-'19_Расчет_аналитики'!AJ459)=0,24&lt;='01_Вводные'!$B$297),0,('19_Расчет_аналитики'!AJ431-'19_Расчет_аналитики'!AJ459)*IF('01_Вводные'!$B$239="Да",MeanMinAge24+'19_Расчет_аналитики'!AJ560*SUMIF(ThresholdAge24,"&lt;"&amp;'19_Расчет_аналитики'!AJ560,WeightedRevAge24)-SUMIF(ThresholdAge24,"&lt;"&amp;'19_Расчет_аналитики'!AJ560,WeightedMinAge24),MAX(CapacityAge24*'01_Вводные'!$B$218*'19_Расчет_аналитики'!AJ560,MeanMinAge24)))</f>
        <v/>
      </c>
      <c r="AK515">
        <f>IF(OR(('19_Расчет_аналитики'!AK431-'19_Расчет_аналитики'!AK459)=0,24&lt;='01_Вводные'!$B$297),0,('19_Расчет_аналитики'!AK431-'19_Расчет_аналитики'!AK459)*IF('01_Вводные'!$B$239="Да",MeanMinAge24+'19_Расчет_аналитики'!AK560*SUMIF(ThresholdAge24,"&lt;"&amp;'19_Расчет_аналитики'!AK560,WeightedRevAge24)-SUMIF(ThresholdAge24,"&lt;"&amp;'19_Расчет_аналитики'!AK560,WeightedMinAge24),MAX(CapacityAge24*'01_Вводные'!$B$218*'19_Расчет_аналитики'!AK560,MeanMinAge24)))</f>
        <v/>
      </c>
      <c r="AL515">
        <f>IF(OR(('19_Расчет_аналитики'!AL431-'19_Расчет_аналитики'!AL459)=0,24&lt;='01_Вводные'!$B$297),0,('19_Расчет_аналитики'!AL431-'19_Расчет_аналитики'!AL459)*IF('01_Вводные'!$B$239="Да",MeanMinAge24+'19_Расчет_аналитики'!AL560*SUMIF(ThresholdAge24,"&lt;"&amp;'19_Расчет_аналитики'!AL560,WeightedRevAge24)-SUMIF(ThresholdAge24,"&lt;"&amp;'19_Расчет_аналитики'!AL560,WeightedMinAge24),MAX(CapacityAge24*'01_Вводные'!$B$218*'19_Расчет_аналитики'!AL560,MeanMinAge24)))</f>
        <v/>
      </c>
      <c r="AM515">
        <f>IF(OR(('19_Расчет_аналитики'!AM431-'19_Расчет_аналитики'!AM459)=0,24&lt;='01_Вводные'!$B$297),0,('19_Расчет_аналитики'!AM431-'19_Расчет_аналитики'!AM459)*IF('01_Вводные'!$B$239="Да",MeanMinAge24+'19_Расчет_аналитики'!AM560*SUMIF(ThresholdAge24,"&lt;"&amp;'19_Расчет_аналитики'!AM560,WeightedRevAge24)-SUMIF(ThresholdAge24,"&lt;"&amp;'19_Расчет_аналитики'!AM560,WeightedMinAge24),MAX(CapacityAge24*'01_Вводные'!$B$218*'19_Расчет_аналитики'!AM560,MeanMinAge24)))</f>
        <v/>
      </c>
      <c r="AN515">
        <f>IF(OR(('19_Расчет_аналитики'!AN431-'19_Расчет_аналитики'!AN459)=0,24&lt;='01_Вводные'!$B$297),0,('19_Расчет_аналитики'!AN431-'19_Расчет_аналитики'!AN459)*IF('01_Вводные'!$B$239="Да",MeanMinAge24+'19_Расчет_аналитики'!AN560*SUMIF(ThresholdAge24,"&lt;"&amp;'19_Расчет_аналитики'!AN560,WeightedRevAge24)-SUMIF(ThresholdAge24,"&lt;"&amp;'19_Расчет_аналитики'!AN560,WeightedMinAge24),MAX(CapacityAge24*'01_Вводные'!$B$218*'19_Расчет_аналитики'!AN560,MeanMinAge24)))</f>
        <v/>
      </c>
      <c r="AO515">
        <f>IF(OR(('19_Расчет_аналитики'!AO431-'19_Расчет_аналитики'!AO459)=0,24&lt;='01_Вводные'!$B$297),0,('19_Расчет_аналитики'!AO431-'19_Расчет_аналитики'!AO459)*IF('01_Вводные'!$B$239="Да",MeanMinAge24+'19_Расчет_аналитики'!AO560*SUMIF(ThresholdAge24,"&lt;"&amp;'19_Расчет_аналитики'!AO560,WeightedRevAge24)-SUMIF(ThresholdAge24,"&lt;"&amp;'19_Расчет_аналитики'!AO560,WeightedMinAge24),MAX(CapacityAge24*'01_Вводные'!$B$218*'19_Расчет_аналитики'!AO560,MeanMinAge24)))</f>
        <v/>
      </c>
      <c r="AP515">
        <f>IF(OR(('19_Расчет_аналитики'!AP431-'19_Расчет_аналитики'!AP459)=0,24&lt;='01_Вводные'!$B$297),0,('19_Расчет_аналитики'!AP431-'19_Расчет_аналитики'!AP459)*IF('01_Вводные'!$B$239="Да",MeanMinAge24+'19_Расчет_аналитики'!AP560*SUMIF(ThresholdAge24,"&lt;"&amp;'19_Расчет_аналитики'!AP560,WeightedRevAge24)-SUMIF(ThresholdAge24,"&lt;"&amp;'19_Расчет_аналитики'!AP560,WeightedMinAge24),MAX(CapacityAge24*'01_Вводные'!$B$218*'19_Расчет_аналитики'!AP560,MeanMinAge24)))</f>
        <v/>
      </c>
      <c r="AQ515">
        <f>IF(OR(('19_Расчет_аналитики'!AQ431-'19_Расчет_аналитики'!AQ459)=0,24&lt;='01_Вводные'!$B$297),0,('19_Расчет_аналитики'!AQ431-'19_Расчет_аналитики'!AQ459)*IF('01_Вводные'!$B$239="Да",MeanMinAge24+'19_Расчет_аналитики'!AQ560*SUMIF(ThresholdAge24,"&lt;"&amp;'19_Расчет_аналитики'!AQ560,WeightedRevAge24)-SUMIF(ThresholdAge24,"&lt;"&amp;'19_Расчет_аналитики'!AQ560,WeightedMinAge24),MAX(CapacityAge24*'01_Вводные'!$B$218*'19_Расчет_аналитики'!AQ560,MeanMinAge24)))</f>
        <v/>
      </c>
      <c r="AR515">
        <f>IF(OR(('19_Расчет_аналитики'!AR431-'19_Расчет_аналитики'!AR459)=0,24&lt;='01_Вводные'!$B$297),0,('19_Расчет_аналитики'!AR431-'19_Расчет_аналитики'!AR459)*IF('01_Вводные'!$B$239="Да",MeanMinAge24+'19_Расчет_аналитики'!AR560*SUMIF(ThresholdAge24,"&lt;"&amp;'19_Расчет_аналитики'!AR560,WeightedRevAge24)-SUMIF(ThresholdAge24,"&lt;"&amp;'19_Расчет_аналитики'!AR560,WeightedMinAge24),MAX(CapacityAge24*'01_Вводные'!$B$218*'19_Расчет_аналитики'!AR560,MeanMinAge24)))</f>
        <v/>
      </c>
      <c r="AS515">
        <f>IF(OR(('19_Расчет_аналитики'!AS431-'19_Расчет_аналитики'!AS459)=0,24&lt;='01_Вводные'!$B$297),0,('19_Расчет_аналитики'!AS431-'19_Расчет_аналитики'!AS459)*IF('01_Вводные'!$B$239="Да",MeanMinAge24+'19_Расчет_аналитики'!AS560*SUMIF(ThresholdAge24,"&lt;"&amp;'19_Расчет_аналитики'!AS560,WeightedRevAge24)-SUMIF(ThresholdAge24,"&lt;"&amp;'19_Расчет_аналитики'!AS560,WeightedMinAge24),MAX(CapacityAge24*'01_Вводные'!$B$218*'19_Расчет_аналитики'!AS560,MeanMinAge24)))</f>
        <v/>
      </c>
      <c r="AT515">
        <f>IF(OR(('19_Расчет_аналитики'!AT431-'19_Расчет_аналитики'!AT459)=0,24&lt;='01_Вводные'!$B$297),0,('19_Расчет_аналитики'!AT431-'19_Расчет_аналитики'!AT459)*IF('01_Вводные'!$B$239="Да",MeanMinAge24+'19_Расчет_аналитики'!AT560*SUMIF(ThresholdAge24,"&lt;"&amp;'19_Расчет_аналитики'!AT560,WeightedRevAge24)-SUMIF(ThresholdAge24,"&lt;"&amp;'19_Расчет_аналитики'!AT560,WeightedMinAge24),MAX(CapacityAge24*'01_Вводные'!$B$218*'19_Расчет_аналитики'!AT560,MeanMinAge24)))</f>
        <v/>
      </c>
      <c r="AU515">
        <f>IF(OR(('19_Расчет_аналитики'!AU431-'19_Расчет_аналитики'!AU459)=0,24&lt;='01_Вводные'!$B$297),0,('19_Расчет_аналитики'!AU431-'19_Расчет_аналитики'!AU459)*IF('01_Вводные'!$B$239="Да",MeanMinAge24+'19_Расчет_аналитики'!AU560*SUMIF(ThresholdAge24,"&lt;"&amp;'19_Расчет_аналитики'!AU560,WeightedRevAge24)-SUMIF(ThresholdAge24,"&lt;"&amp;'19_Расчет_аналитики'!AU560,WeightedMinAge24),MAX(CapacityAge24*'01_Вводные'!$B$218*'19_Расчет_аналитики'!AU560,MeanMinAge24)))</f>
        <v/>
      </c>
      <c r="AV515">
        <f>IF(OR(('19_Расчет_аналитики'!AV431-'19_Расчет_аналитики'!AV459)=0,24&lt;='01_Вводные'!$B$297),0,('19_Расчет_аналитики'!AV431-'19_Расчет_аналитики'!AV459)*IF('01_Вводные'!$B$239="Да",MeanMinAge24+'19_Расчет_аналитики'!AV560*SUMIF(ThresholdAge24,"&lt;"&amp;'19_Расчет_аналитики'!AV560,WeightedRevAge24)-SUMIF(ThresholdAge24,"&lt;"&amp;'19_Расчет_аналитики'!AV560,WeightedMinAge24),MAX(CapacityAge24*'01_Вводные'!$B$218*'19_Расчет_аналитики'!AV560,MeanMinAge24)))</f>
        <v/>
      </c>
      <c r="AW515">
        <f>IF(OR(('19_Расчет_аналитики'!AW431-'19_Расчет_аналитики'!AW459)=0,24&lt;='01_Вводные'!$B$297),0,('19_Расчет_аналитики'!AW431-'19_Расчет_аналитики'!AW459)*IF('01_Вводные'!$B$239="Да",MeanMinAge24+'19_Расчет_аналитики'!AW560*SUMIF(ThresholdAge24,"&lt;"&amp;'19_Расчет_аналитики'!AW560,WeightedRevAge24)-SUMIF(ThresholdAge24,"&lt;"&amp;'19_Расчет_аналитики'!AW560,WeightedMinAge24),MAX(CapacityAge24*'01_Вводные'!$B$218*'19_Расчет_аналитики'!AW560,MeanMinAge24)))</f>
        <v/>
      </c>
      <c r="AX515">
        <f>IF(OR(('19_Расчет_аналитики'!AX431-'19_Расчет_аналитики'!AX459)=0,24&lt;='01_Вводные'!$B$297),0,('19_Расчет_аналитики'!AX431-'19_Расчет_аналитики'!AX459)*IF('01_Вводные'!$B$239="Да",MeanMinAge24+'19_Расчет_аналитики'!AX560*SUMIF(ThresholdAge24,"&lt;"&amp;'19_Расчет_аналитики'!AX560,WeightedRevAge24)-SUMIF(ThresholdAge24,"&lt;"&amp;'19_Расчет_аналитики'!AX560,WeightedMinAge24),MAX(CapacityAge24*'01_Вводные'!$B$218*'19_Расчет_аналитики'!AX560,MeanMinAge24)))</f>
        <v/>
      </c>
      <c r="AY515">
        <f>IF(OR(('19_Расчет_аналитики'!AY431-'19_Расчет_аналитики'!AY459)=0,24&lt;='01_Вводные'!$B$297),0,('19_Расчет_аналитики'!AY431-'19_Расчет_аналитики'!AY459)*IF('01_Вводные'!$B$239="Да",MeanMinAge24+'19_Расчет_аналитики'!AY560*SUMIF(ThresholdAge24,"&lt;"&amp;'19_Расчет_аналитики'!AY560,WeightedRevAge24)-SUMIF(ThresholdAge24,"&lt;"&amp;'19_Расчет_аналитики'!AY560,WeightedMinAge24),MAX(CapacityAge24*'01_Вводные'!$B$218*'19_Расчет_аналитики'!AY560,MeanMinAge24)))</f>
        <v/>
      </c>
      <c r="AZ515">
        <f>IF(OR(('19_Расчет_аналитики'!AZ431-'19_Расчет_аналитики'!AZ459)=0,24&lt;='01_Вводные'!$B$297),0,('19_Расчет_аналитики'!AZ431-'19_Расчет_аналитики'!AZ459)*IF('01_Вводные'!$B$239="Да",MeanMinAge24+'19_Расчет_аналитики'!AZ560*SUMIF(ThresholdAge24,"&lt;"&amp;'19_Расчет_аналитики'!AZ560,WeightedRevAge24)-SUMIF(ThresholdAge24,"&lt;"&amp;'19_Расчет_аналитики'!AZ560,WeightedMinAge24),MAX(CapacityAge24*'01_Вводные'!$B$218*'19_Расчет_аналитики'!AZ560,MeanMinAge24)))</f>
        <v/>
      </c>
      <c r="BA515">
        <f>IF(OR(('19_Расчет_аналитики'!BA431-'19_Расчет_аналитики'!BA459)=0,24&lt;='01_Вводные'!$B$297),0,('19_Расчет_аналитики'!BA431-'19_Расчет_аналитики'!BA459)*IF('01_Вводные'!$B$239="Да",MeanMinAge24+'19_Расчет_аналитики'!BA560*SUMIF(ThresholdAge24,"&lt;"&amp;'19_Расчет_аналитики'!BA560,WeightedRevAge24)-SUMIF(ThresholdAge24,"&lt;"&amp;'19_Расчет_аналитики'!BA560,WeightedMinAge24),MAX(CapacityAge24*'01_Вводные'!$B$218*'19_Расчет_аналитики'!BA560,MeanMinAge24)))</f>
        <v/>
      </c>
      <c r="BB515">
        <f>IF(OR(('19_Расчет_аналитики'!BB431-'19_Расчет_аналитики'!BB459)=0,24&lt;='01_Вводные'!$B$297),0,('19_Расчет_аналитики'!BB431-'19_Расчет_аналитики'!BB459)*IF('01_Вводные'!$B$239="Да",MeanMinAge24+'19_Расчет_аналитики'!BB560*SUMIF(ThresholdAge24,"&lt;"&amp;'19_Расчет_аналитики'!BB560,WeightedRevAge24)-SUMIF(ThresholdAge24,"&lt;"&amp;'19_Расчет_аналитики'!BB560,WeightedMinAge24),MAX(CapacityAge24*'01_Вводные'!$B$218*'19_Расчет_аналитики'!BB560,MeanMinAge24)))</f>
        <v/>
      </c>
      <c r="BC515">
        <f>IF(OR(('19_Расчет_аналитики'!BC431-'19_Расчет_аналитики'!BC459)=0,24&lt;='01_Вводные'!$B$297),0,('19_Расчет_аналитики'!BC431-'19_Расчет_аналитики'!BC459)*IF('01_Вводные'!$B$239="Да",MeanMinAge24+'19_Расчет_аналитики'!BC560*SUMIF(ThresholdAge24,"&lt;"&amp;'19_Расчет_аналитики'!BC560,WeightedRevAge24)-SUMIF(ThresholdAge24,"&lt;"&amp;'19_Расчет_аналитики'!BC560,WeightedMinAge24),MAX(CapacityAge24*'01_Вводные'!$B$218*'19_Расчет_аналитики'!BC560,MeanMinAge24)))</f>
        <v/>
      </c>
      <c r="BD515">
        <f>IF(OR(('19_Расчет_аналитики'!BD431-'19_Расчет_аналитики'!BD459)=0,24&lt;='01_Вводные'!$B$297),0,('19_Расчет_аналитики'!BD431-'19_Расчет_аналитики'!BD459)*IF('01_Вводные'!$B$239="Да",MeanMinAge24+'19_Расчет_аналитики'!BD560*SUMIF(ThresholdAge24,"&lt;"&amp;'19_Расчет_аналитики'!BD560,WeightedRevAge24)-SUMIF(ThresholdAge24,"&lt;"&amp;'19_Расчет_аналитики'!BD560,WeightedMinAge24),MAX(CapacityAge24*'01_Вводные'!$B$218*'19_Расчет_аналитики'!BD560,MeanMinAge24)))</f>
        <v/>
      </c>
      <c r="BE515">
        <f>IF(OR(('19_Расчет_аналитики'!BE431-'19_Расчет_аналитики'!BE459)=0,24&lt;='01_Вводные'!$B$297),0,('19_Расчет_аналитики'!BE431-'19_Расчет_аналитики'!BE459)*IF('01_Вводные'!$B$239="Да",MeanMinAge24+'19_Расчет_аналитики'!BE560*SUMIF(ThresholdAge24,"&lt;"&amp;'19_Расчет_аналитики'!BE560,WeightedRevAge24)-SUMIF(ThresholdAge24,"&lt;"&amp;'19_Расчет_аналитики'!BE560,WeightedMinAge24),MAX(CapacityAge24*'01_Вводные'!$B$218*'19_Расчет_аналитики'!BE560,MeanMinAge24)))</f>
        <v/>
      </c>
      <c r="BF515">
        <f>IF(OR(('19_Расчет_аналитики'!BF431-'19_Расчет_аналитики'!BF459)=0,24&lt;='01_Вводные'!$B$297),0,('19_Расчет_аналитики'!BF431-'19_Расчет_аналитики'!BF459)*IF('01_Вводные'!$B$239="Да",MeanMinAge24+'19_Расчет_аналитики'!BF560*SUMIF(ThresholdAge24,"&lt;"&amp;'19_Расчет_аналитики'!BF560,WeightedRevAge24)-SUMIF(ThresholdAge24,"&lt;"&amp;'19_Расчет_аналитики'!BF560,WeightedMinAge24),MAX(CapacityAge24*'01_Вводные'!$B$218*'19_Расчет_аналитики'!BF560,MeanMinAge24)))</f>
        <v/>
      </c>
      <c r="BG515">
        <f>IF(OR(('19_Расчет_аналитики'!BG431-'19_Расчет_аналитики'!BG459)=0,24&lt;='01_Вводные'!$B$297),0,('19_Расчет_аналитики'!BG431-'19_Расчет_аналитики'!BG459)*IF('01_Вводные'!$B$239="Да",MeanMinAge24+'19_Расчет_аналитики'!BG560*SUMIF(ThresholdAge24,"&lt;"&amp;'19_Расчет_аналитики'!BG560,WeightedRevAge24)-SUMIF(ThresholdAge24,"&lt;"&amp;'19_Расчет_аналитики'!BG560,WeightedMinAge24),MAX(CapacityAge24*'01_Вводные'!$B$218*'19_Расчет_аналитики'!BG560,MeanMinAge24)))</f>
        <v/>
      </c>
      <c r="BH515">
        <f>IF(OR(('19_Расчет_аналитики'!BH431-'19_Расчет_аналитики'!BH459)=0,24&lt;='01_Вводные'!$B$297),0,('19_Расчет_аналитики'!BH431-'19_Расчет_аналитики'!BH459)*IF('01_Вводные'!$B$239="Да",MeanMinAge24+'19_Расчет_аналитики'!BH560*SUMIF(ThresholdAge24,"&lt;"&amp;'19_Расчет_аналитики'!BH560,WeightedRevAge24)-SUMIF(ThresholdAge24,"&lt;"&amp;'19_Расчет_аналитики'!BH560,WeightedMinAge24),MAX(CapacityAge24*'01_Вводные'!$B$218*'19_Расчет_аналитики'!BH560,MeanMinAge24)))</f>
        <v/>
      </c>
      <c r="BI515">
        <f>IF(OR(('19_Расчет_аналитики'!BI431-'19_Расчет_аналитики'!BI459)=0,24&lt;='01_Вводные'!$B$297),0,('19_Расчет_аналитики'!BI431-'19_Расчет_аналитики'!BI459)*IF('01_Вводные'!$B$239="Да",MeanMinAge24+'19_Расчет_аналитики'!BI560*SUMIF(ThresholdAge24,"&lt;"&amp;'19_Расчет_аналитики'!BI560,WeightedRevAge24)-SUMIF(ThresholdAge24,"&lt;"&amp;'19_Расчет_аналитики'!BI560,WeightedMinAge24),MAX(CapacityAge24*'01_Вводные'!$B$218*'19_Расчет_аналитики'!BI560,MeanMinAge24)))</f>
        <v/>
      </c>
      <c r="BJ515">
        <f>IF(OR(('19_Расчет_аналитики'!BJ431-'19_Расчет_аналитики'!BJ459)=0,24&lt;='01_Вводные'!$B$297),0,('19_Расчет_аналитики'!BJ431-'19_Расчет_аналитики'!BJ459)*IF('01_Вводные'!$B$239="Да",MeanMinAge24+'19_Расчет_аналитики'!BJ560*SUMIF(ThresholdAge24,"&lt;"&amp;'19_Расчет_аналитики'!BJ560,WeightedRevAge24)-SUMIF(ThresholdAge24,"&lt;"&amp;'19_Расчет_аналитики'!BJ560,WeightedMinAge24),MAX(CapacityAge24*'01_Вводные'!$B$218*'19_Расчет_аналитики'!BJ560,MeanMinAge24)))</f>
        <v/>
      </c>
      <c r="BK515">
        <f>IF(OR(('19_Расчет_аналитики'!BK431-'19_Расчет_аналитики'!BK459)=0,24&lt;='01_Вводные'!$B$297),0,('19_Расчет_аналитики'!BK431-'19_Расчет_аналитики'!BK459)*IF('01_Вводные'!$B$239="Да",MeanMinAge24+'19_Расчет_аналитики'!BK560*SUMIF(ThresholdAge24,"&lt;"&amp;'19_Расчет_аналитики'!BK560,WeightedRevAge24)-SUMIF(ThresholdAge24,"&lt;"&amp;'19_Расчет_аналитики'!BK560,WeightedMinAge24),MAX(CapacityAge24*'01_Вводные'!$B$218*'19_Расчет_аналитики'!BK560,MeanMinAge24)))</f>
        <v/>
      </c>
      <c r="BL515">
        <f>IF(OR(('19_Расчет_аналитики'!BL431-'19_Расчет_аналитики'!BL459)=0,24&lt;='01_Вводные'!$B$297),0,('19_Расчет_аналитики'!BL431-'19_Расчет_аналитики'!BL459)*IF('01_Вводные'!$B$239="Да",MeanMinAge24+'19_Расчет_аналитики'!BL560*SUMIF(ThresholdAge24,"&lt;"&amp;'19_Расчет_аналитики'!BL560,WeightedRevAge24)-SUMIF(ThresholdAge24,"&lt;"&amp;'19_Расчет_аналитики'!BL560,WeightedMinAge24),MAX(CapacityAge24*'01_Вводные'!$B$218*'19_Расчет_аналитики'!BL560,MeanMinAge24)))</f>
        <v/>
      </c>
      <c r="BM515">
        <f>IF(OR(('19_Расчет_аналитики'!BM431-'19_Расчет_аналитики'!BM459)=0,24&lt;='01_Вводные'!$B$297),0,('19_Расчет_аналитики'!BM431-'19_Расчет_аналитики'!BM459)*IF('01_Вводные'!$B$239="Да",MeanMinAge24+'19_Расчет_аналитики'!BM560*SUMIF(ThresholdAge24,"&lt;"&amp;'19_Расчет_аналитики'!BM560,WeightedRevAge24)-SUMIF(ThresholdAge24,"&lt;"&amp;'19_Расчет_аналитики'!BM560,WeightedMinAge24),MAX(CapacityAge24*'01_Вводные'!$B$218*'19_Расчет_аналитики'!BM560,MeanMinAge24)))</f>
        <v/>
      </c>
      <c r="BN515">
        <f>IF(OR(('19_Расчет_аналитики'!BN431-'19_Расчет_аналитики'!BN459)=0,24&lt;='01_Вводные'!$B$297),0,('19_Расчет_аналитики'!BN431-'19_Расчет_аналитики'!BN459)*IF('01_Вводные'!$B$239="Да",MeanMinAge24+'19_Расчет_аналитики'!BN560*SUMIF(ThresholdAge24,"&lt;"&amp;'19_Расчет_аналитики'!BN560,WeightedRevAge24)-SUMIF(ThresholdAge24,"&lt;"&amp;'19_Расчет_аналитики'!BN560,WeightedMinAge24),MAX(CapacityAge24*'01_Вводные'!$B$218*'19_Расчет_аналитики'!BN560,MeanMinAge24)))</f>
        <v/>
      </c>
      <c r="BO515">
        <f>IF(OR(('19_Расчет_аналитики'!BO431-'19_Расчет_аналитики'!BO459)=0,24&lt;='01_Вводные'!$B$297),0,('19_Расчет_аналитики'!BO431-'19_Расчет_аналитики'!BO459)*IF('01_Вводные'!$B$239="Да",MeanMinAge24+'19_Расчет_аналитики'!BO560*SUMIF(ThresholdAge24,"&lt;"&amp;'19_Расчет_аналитики'!BO560,WeightedRevAge24)-SUMIF(ThresholdAge24,"&lt;"&amp;'19_Расчет_аналитики'!BO560,WeightedMinAge24),MAX(CapacityAge24*'01_Вводные'!$B$218*'19_Расчет_аналитики'!BO560,MeanMinAge24)))</f>
        <v/>
      </c>
    </row>
    <row r="516">
      <c r="B516">
        <f>IF(OR(('06_Сеть_и_дети'!B77-'06_Сеть_и_дети'!B105)=0,25&lt;='01_Вводные'!$B$297),0,('06_Сеть_и_дети'!B77-'06_Сеть_и_дети'!B105)*IF('01_Вводные'!$B$239="Да",MeanMinAge25+'19_Расчет_аналитики'!B560*SUMIF(ThresholdAge25,"&lt;"&amp;'19_Расчет_аналитики'!B560,WeightedRevAge25)-SUMIF(ThresholdAge25,"&lt;"&amp;'19_Расчет_аналитики'!B560,WeightedMinAge25),MAX(CapacityAge25*'01_Вводные'!$B$218*'19_Расчет_аналитики'!B560,MeanMinAge25)))</f>
        <v/>
      </c>
      <c r="C516">
        <f>IF(OR(('06_Сеть_и_дети'!C77-'06_Сеть_и_дети'!C105)=0,25&lt;='01_Вводные'!$B$297),0,('06_Сеть_и_дети'!C77-'06_Сеть_и_дети'!C105)*IF('01_Вводные'!$B$239="Да",MeanMinAge25+'19_Расчет_аналитики'!C560*SUMIF(ThresholdAge25,"&lt;"&amp;'19_Расчет_аналитики'!C560,WeightedRevAge25)-SUMIF(ThresholdAge25,"&lt;"&amp;'19_Расчет_аналитики'!C560,WeightedMinAge25),MAX(CapacityAge25*'01_Вводные'!$B$218*'19_Расчет_аналитики'!C560,MeanMinAge25)))</f>
        <v/>
      </c>
      <c r="D516">
        <f>IF(OR(('06_Сеть_и_дети'!D77-'06_Сеть_и_дети'!D105)=0,25&lt;='01_Вводные'!$B$297),0,('06_Сеть_и_дети'!D77-'06_Сеть_и_дети'!D105)*IF('01_Вводные'!$B$239="Да",MeanMinAge25+'19_Расчет_аналитики'!D560*SUMIF(ThresholdAge25,"&lt;"&amp;'19_Расчет_аналитики'!D560,WeightedRevAge25)-SUMIF(ThresholdAge25,"&lt;"&amp;'19_Расчет_аналитики'!D560,WeightedMinAge25),MAX(CapacityAge25*'01_Вводные'!$B$218*'19_Расчет_аналитики'!D560,MeanMinAge25)))</f>
        <v/>
      </c>
      <c r="E516">
        <f>IF(OR(('06_Сеть_и_дети'!E77-'06_Сеть_и_дети'!E105)=0,25&lt;='01_Вводные'!$B$297),0,('06_Сеть_и_дети'!E77-'06_Сеть_и_дети'!E105)*IF('01_Вводные'!$B$239="Да",MeanMinAge25+'19_Расчет_аналитики'!E560*SUMIF(ThresholdAge25,"&lt;"&amp;'19_Расчет_аналитики'!E560,WeightedRevAge25)-SUMIF(ThresholdAge25,"&lt;"&amp;'19_Расчет_аналитики'!E560,WeightedMinAge25),MAX(CapacityAge25*'01_Вводные'!$B$218*'19_Расчет_аналитики'!E560,MeanMinAge25)))</f>
        <v/>
      </c>
      <c r="F516">
        <f>IF(OR(('06_Сеть_и_дети'!F77-'06_Сеть_и_дети'!F105)=0,25&lt;='01_Вводные'!$B$297),0,('06_Сеть_и_дети'!F77-'06_Сеть_и_дети'!F105)*IF('01_Вводные'!$B$239="Да",MeanMinAge25+'19_Расчет_аналитики'!F560*SUMIF(ThresholdAge25,"&lt;"&amp;'19_Расчет_аналитики'!F560,WeightedRevAge25)-SUMIF(ThresholdAge25,"&lt;"&amp;'19_Расчет_аналитики'!F560,WeightedMinAge25),MAX(CapacityAge25*'01_Вводные'!$B$218*'19_Расчет_аналитики'!F560,MeanMinAge25)))</f>
        <v/>
      </c>
      <c r="G516">
        <f>IF(OR(('06_Сеть_и_дети'!G77-'06_Сеть_и_дети'!G105)=0,25&lt;='01_Вводные'!$B$297),0,('06_Сеть_и_дети'!G77-'06_Сеть_и_дети'!G105)*IF('01_Вводные'!$B$239="Да",MeanMinAge25+'19_Расчет_аналитики'!G560*SUMIF(ThresholdAge25,"&lt;"&amp;'19_Расчет_аналитики'!G560,WeightedRevAge25)-SUMIF(ThresholdAge25,"&lt;"&amp;'19_Расчет_аналитики'!G560,WeightedMinAge25),MAX(CapacityAge25*'01_Вводные'!$B$218*'19_Расчет_аналитики'!G560,MeanMinAge25)))</f>
        <v/>
      </c>
      <c r="H516">
        <f>IF(OR(('06_Сеть_и_дети'!H77-'06_Сеть_и_дети'!H105)=0,25&lt;='01_Вводные'!$B$297),0,('06_Сеть_и_дети'!H77-'06_Сеть_и_дети'!H105)*IF('01_Вводные'!$B$239="Да",MeanMinAge25+'19_Расчет_аналитики'!H560*SUMIF(ThresholdAge25,"&lt;"&amp;'19_Расчет_аналитики'!H560,WeightedRevAge25)-SUMIF(ThresholdAge25,"&lt;"&amp;'19_Расчет_аналитики'!H560,WeightedMinAge25),MAX(CapacityAge25*'01_Вводные'!$B$218*'19_Расчет_аналитики'!H560,MeanMinAge25)))</f>
        <v/>
      </c>
      <c r="I516">
        <f>IF(OR(('06_Сеть_и_дети'!I77-'06_Сеть_и_дети'!I105)=0,25&lt;='01_Вводные'!$B$297),0,('06_Сеть_и_дети'!I77-'06_Сеть_и_дети'!I105)*IF('01_Вводные'!$B$239="Да",MeanMinAge25+'19_Расчет_аналитики'!I560*SUMIF(ThresholdAge25,"&lt;"&amp;'19_Расчет_аналитики'!I560,WeightedRevAge25)-SUMIF(ThresholdAge25,"&lt;"&amp;'19_Расчет_аналитики'!I560,WeightedMinAge25),MAX(CapacityAge25*'01_Вводные'!$B$218*'19_Расчет_аналитики'!I560,MeanMinAge25)))</f>
        <v/>
      </c>
      <c r="J516">
        <f>IF(OR(('06_Сеть_и_дети'!J77-'06_Сеть_и_дети'!J105)=0,25&lt;='01_Вводные'!$B$297),0,('06_Сеть_и_дети'!J77-'06_Сеть_и_дети'!J105)*IF('01_Вводные'!$B$239="Да",MeanMinAge25+'19_Расчет_аналитики'!J560*SUMIF(ThresholdAge25,"&lt;"&amp;'19_Расчет_аналитики'!J560,WeightedRevAge25)-SUMIF(ThresholdAge25,"&lt;"&amp;'19_Расчет_аналитики'!J560,WeightedMinAge25),MAX(CapacityAge25*'01_Вводные'!$B$218*'19_Расчет_аналитики'!J560,MeanMinAge25)))</f>
        <v/>
      </c>
      <c r="K516">
        <f>IF(OR(('06_Сеть_и_дети'!K77-'06_Сеть_и_дети'!K105)=0,25&lt;='01_Вводные'!$B$297),0,('06_Сеть_и_дети'!K77-'06_Сеть_и_дети'!K105)*IF('01_Вводные'!$B$239="Да",MeanMinAge25+'19_Расчет_аналитики'!K560*SUMIF(ThresholdAge25,"&lt;"&amp;'19_Расчет_аналитики'!K560,WeightedRevAge25)-SUMIF(ThresholdAge25,"&lt;"&amp;'19_Расчет_аналитики'!K560,WeightedMinAge25),MAX(CapacityAge25*'01_Вводные'!$B$218*'19_Расчет_аналитики'!K560,MeanMinAge25)))</f>
        <v/>
      </c>
      <c r="L516">
        <f>IF(OR(('06_Сеть_и_дети'!L77-'06_Сеть_и_дети'!L105)=0,25&lt;='01_Вводные'!$B$297),0,('06_Сеть_и_дети'!L77-'06_Сеть_и_дети'!L105)*IF('01_Вводные'!$B$239="Да",MeanMinAge25+'19_Расчет_аналитики'!L560*SUMIF(ThresholdAge25,"&lt;"&amp;'19_Расчет_аналитики'!L560,WeightedRevAge25)-SUMIF(ThresholdAge25,"&lt;"&amp;'19_Расчет_аналитики'!L560,WeightedMinAge25),MAX(CapacityAge25*'01_Вводные'!$B$218*'19_Расчет_аналитики'!L560,MeanMinAge25)))</f>
        <v/>
      </c>
      <c r="M516">
        <f>IF(OR(('06_Сеть_и_дети'!M77-'06_Сеть_и_дети'!M105)=0,25&lt;='01_Вводные'!$B$297),0,('06_Сеть_и_дети'!M77-'06_Сеть_и_дети'!M105)*IF('01_Вводные'!$B$239="Да",MeanMinAge25+'19_Расчет_аналитики'!M560*SUMIF(ThresholdAge25,"&lt;"&amp;'19_Расчет_аналитики'!M560,WeightedRevAge25)-SUMIF(ThresholdAge25,"&lt;"&amp;'19_Расчет_аналитики'!M560,WeightedMinAge25),MAX(CapacityAge25*'01_Вводные'!$B$218*'19_Расчет_аналитики'!M560,MeanMinAge25)))</f>
        <v/>
      </c>
      <c r="N516">
        <f>IF(OR(('06_Сеть_и_дети'!N77-'06_Сеть_и_дети'!N105)=0,25&lt;='01_Вводные'!$B$297),0,('06_Сеть_и_дети'!N77-'06_Сеть_и_дети'!N105)*IF('01_Вводные'!$B$239="Да",MeanMinAge25+'19_Расчет_аналитики'!N560*SUMIF(ThresholdAge25,"&lt;"&amp;'19_Расчет_аналитики'!N560,WeightedRevAge25)-SUMIF(ThresholdAge25,"&lt;"&amp;'19_Расчет_аналитики'!N560,WeightedMinAge25),MAX(CapacityAge25*'01_Вводные'!$B$218*'19_Расчет_аналитики'!N560,MeanMinAge25)))</f>
        <v/>
      </c>
      <c r="O516">
        <f>IF(OR(('06_Сеть_и_дети'!O77-'06_Сеть_и_дети'!O105)=0,25&lt;='01_Вводные'!$B$297),0,('06_Сеть_и_дети'!O77-'06_Сеть_и_дети'!O105)*IF('01_Вводные'!$B$239="Да",MeanMinAge25+'19_Расчет_аналитики'!O560*SUMIF(ThresholdAge25,"&lt;"&amp;'19_Расчет_аналитики'!O560,WeightedRevAge25)-SUMIF(ThresholdAge25,"&lt;"&amp;'19_Расчет_аналитики'!O560,WeightedMinAge25),MAX(CapacityAge25*'01_Вводные'!$B$218*'19_Расчет_аналитики'!O560,MeanMinAge25)))</f>
        <v/>
      </c>
      <c r="P516">
        <f>IF(OR(('06_Сеть_и_дети'!P77-'06_Сеть_и_дети'!P105)=0,25&lt;='01_Вводные'!$B$297),0,('06_Сеть_и_дети'!P77-'06_Сеть_и_дети'!P105)*IF('01_Вводные'!$B$239="Да",MeanMinAge25+'19_Расчет_аналитики'!P560*SUMIF(ThresholdAge25,"&lt;"&amp;'19_Расчет_аналитики'!P560,WeightedRevAge25)-SUMIF(ThresholdAge25,"&lt;"&amp;'19_Расчет_аналитики'!P560,WeightedMinAge25),MAX(CapacityAge25*'01_Вводные'!$B$218*'19_Расчет_аналитики'!P560,MeanMinAge25)))</f>
        <v/>
      </c>
      <c r="Q516">
        <f>IF(OR(('06_Сеть_и_дети'!Q77-'06_Сеть_и_дети'!Q105)=0,25&lt;='01_Вводные'!$B$297),0,('06_Сеть_и_дети'!Q77-'06_Сеть_и_дети'!Q105)*IF('01_Вводные'!$B$239="Да",MeanMinAge25+'19_Расчет_аналитики'!Q560*SUMIF(ThresholdAge25,"&lt;"&amp;'19_Расчет_аналитики'!Q560,WeightedRevAge25)-SUMIF(ThresholdAge25,"&lt;"&amp;'19_Расчет_аналитики'!Q560,WeightedMinAge25),MAX(CapacityAge25*'01_Вводные'!$B$218*'19_Расчет_аналитики'!Q560,MeanMinAge25)))</f>
        <v/>
      </c>
      <c r="R516">
        <f>IF(OR(('06_Сеть_и_дети'!R77-'06_Сеть_и_дети'!R105)=0,25&lt;='01_Вводные'!$B$297),0,('06_Сеть_и_дети'!R77-'06_Сеть_и_дети'!R105)*IF('01_Вводные'!$B$239="Да",MeanMinAge25+'19_Расчет_аналитики'!R560*SUMIF(ThresholdAge25,"&lt;"&amp;'19_Расчет_аналитики'!R560,WeightedRevAge25)-SUMIF(ThresholdAge25,"&lt;"&amp;'19_Расчет_аналитики'!R560,WeightedMinAge25),MAX(CapacityAge25*'01_Вводные'!$B$218*'19_Расчет_аналитики'!R560,MeanMinAge25)))</f>
        <v/>
      </c>
      <c r="S516">
        <f>IF(OR(('06_Сеть_и_дети'!S77-'06_Сеть_и_дети'!S105)=0,25&lt;='01_Вводные'!$B$297),0,('06_Сеть_и_дети'!S77-'06_Сеть_и_дети'!S105)*IF('01_Вводные'!$B$239="Да",MeanMinAge25+'19_Расчет_аналитики'!S560*SUMIF(ThresholdAge25,"&lt;"&amp;'19_Расчет_аналитики'!S560,WeightedRevAge25)-SUMIF(ThresholdAge25,"&lt;"&amp;'19_Расчет_аналитики'!S560,WeightedMinAge25),MAX(CapacityAge25*'01_Вводные'!$B$218*'19_Расчет_аналитики'!S560,MeanMinAge25)))</f>
        <v/>
      </c>
      <c r="T516">
        <f>IF(OR(('06_Сеть_и_дети'!T77-'06_Сеть_и_дети'!T105)=0,25&lt;='01_Вводные'!$B$297),0,('06_Сеть_и_дети'!T77-'06_Сеть_и_дети'!T105)*IF('01_Вводные'!$B$239="Да",MeanMinAge25+'19_Расчет_аналитики'!T560*SUMIF(ThresholdAge25,"&lt;"&amp;'19_Расчет_аналитики'!T560,WeightedRevAge25)-SUMIF(ThresholdAge25,"&lt;"&amp;'19_Расчет_аналитики'!T560,WeightedMinAge25),MAX(CapacityAge25*'01_Вводные'!$B$218*'19_Расчет_аналитики'!T560,MeanMinAge25)))</f>
        <v/>
      </c>
      <c r="U516">
        <f>IF(OR(('06_Сеть_и_дети'!U77-'06_Сеть_и_дети'!U105)=0,25&lt;='01_Вводные'!$B$297),0,('06_Сеть_и_дети'!U77-'06_Сеть_и_дети'!U105)*IF('01_Вводные'!$B$239="Да",MeanMinAge25+'19_Расчет_аналитики'!U560*SUMIF(ThresholdAge25,"&lt;"&amp;'19_Расчет_аналитики'!U560,WeightedRevAge25)-SUMIF(ThresholdAge25,"&lt;"&amp;'19_Расчет_аналитики'!U560,WeightedMinAge25),MAX(CapacityAge25*'01_Вводные'!$B$218*'19_Расчет_аналитики'!U560,MeanMinAge25)))</f>
        <v/>
      </c>
      <c r="V516">
        <f>IF(OR(('06_Сеть_и_дети'!V77-'06_Сеть_и_дети'!V105)=0,25&lt;='01_Вводные'!$B$297),0,('06_Сеть_и_дети'!V77-'06_Сеть_и_дети'!V105)*IF('01_Вводные'!$B$239="Да",MeanMinAge25+'19_Расчет_аналитики'!V560*SUMIF(ThresholdAge25,"&lt;"&amp;'19_Расчет_аналитики'!V560,WeightedRevAge25)-SUMIF(ThresholdAge25,"&lt;"&amp;'19_Расчет_аналитики'!V560,WeightedMinAge25),MAX(CapacityAge25*'01_Вводные'!$B$218*'19_Расчет_аналитики'!V560,MeanMinAge25)))</f>
        <v/>
      </c>
      <c r="W516">
        <f>IF(OR(('06_Сеть_и_дети'!W77-'06_Сеть_и_дети'!W105)=0,25&lt;='01_Вводные'!$B$297),0,('06_Сеть_и_дети'!W77-'06_Сеть_и_дети'!W105)*IF('01_Вводные'!$B$239="Да",MeanMinAge25+'19_Расчет_аналитики'!W560*SUMIF(ThresholdAge25,"&lt;"&amp;'19_Расчет_аналитики'!W560,WeightedRevAge25)-SUMIF(ThresholdAge25,"&lt;"&amp;'19_Расчет_аналитики'!W560,WeightedMinAge25),MAX(CapacityAge25*'01_Вводные'!$B$218*'19_Расчет_аналитики'!W560,MeanMinAge25)))</f>
        <v/>
      </c>
      <c r="X516">
        <f>IF(OR(('06_Сеть_и_дети'!X77-'06_Сеть_и_дети'!X105)=0,25&lt;='01_Вводные'!$B$297),0,('06_Сеть_и_дети'!X77-'06_Сеть_и_дети'!X105)*IF('01_Вводные'!$B$239="Да",MeanMinAge25+'19_Расчет_аналитики'!X560*SUMIF(ThresholdAge25,"&lt;"&amp;'19_Расчет_аналитики'!X560,WeightedRevAge25)-SUMIF(ThresholdAge25,"&lt;"&amp;'19_Расчет_аналитики'!X560,WeightedMinAge25),MAX(CapacityAge25*'01_Вводные'!$B$218*'19_Расчет_аналитики'!X560,MeanMinAge25)))</f>
        <v/>
      </c>
      <c r="Y516">
        <f>IF(OR(('06_Сеть_и_дети'!Y77-'06_Сеть_и_дети'!Y105)=0,25&lt;='01_Вводные'!$B$297),0,('06_Сеть_и_дети'!Y77-'06_Сеть_и_дети'!Y105)*IF('01_Вводные'!$B$239="Да",MeanMinAge25+'19_Расчет_аналитики'!Y560*SUMIF(ThresholdAge25,"&lt;"&amp;'19_Расчет_аналитики'!Y560,WeightedRevAge25)-SUMIF(ThresholdAge25,"&lt;"&amp;'19_Расчет_аналитики'!Y560,WeightedMinAge25),MAX(CapacityAge25*'01_Вводные'!$B$218*'19_Расчет_аналитики'!Y560,MeanMinAge25)))</f>
        <v/>
      </c>
      <c r="Z516">
        <f>IF(OR(('19_Расчет_аналитики'!Z432-'19_Расчет_аналитики'!Z460)=0,25&lt;='01_Вводные'!$B$297),0,('19_Расчет_аналитики'!Z432-'19_Расчет_аналитики'!Z460)*IF('01_Вводные'!$B$239="Да",MeanMinAge25+'19_Расчет_аналитики'!Z560*SUMIF(ThresholdAge25,"&lt;"&amp;'19_Расчет_аналитики'!Z560,WeightedRevAge25)-SUMIF(ThresholdAge25,"&lt;"&amp;'19_Расчет_аналитики'!Z560,WeightedMinAge25),MAX(CapacityAge25*'01_Вводные'!$B$218*'19_Расчет_аналитики'!Z560,MeanMinAge25)))</f>
        <v/>
      </c>
      <c r="AA516">
        <f>IF(OR(('19_Расчет_аналитики'!AA432-'19_Расчет_аналитики'!AA460)=0,25&lt;='01_Вводные'!$B$297),0,('19_Расчет_аналитики'!AA432-'19_Расчет_аналитики'!AA460)*IF('01_Вводные'!$B$239="Да",MeanMinAge25+'19_Расчет_аналитики'!AA560*SUMIF(ThresholdAge25,"&lt;"&amp;'19_Расчет_аналитики'!AA560,WeightedRevAge25)-SUMIF(ThresholdAge25,"&lt;"&amp;'19_Расчет_аналитики'!AA560,WeightedMinAge25),MAX(CapacityAge25*'01_Вводные'!$B$218*'19_Расчет_аналитики'!AA560,MeanMinAge25)))</f>
        <v/>
      </c>
      <c r="AB516">
        <f>IF(OR(('19_Расчет_аналитики'!AB432-'19_Расчет_аналитики'!AB460)=0,25&lt;='01_Вводные'!$B$297),0,('19_Расчет_аналитики'!AB432-'19_Расчет_аналитики'!AB460)*IF('01_Вводные'!$B$239="Да",MeanMinAge25+'19_Расчет_аналитики'!AB560*SUMIF(ThresholdAge25,"&lt;"&amp;'19_Расчет_аналитики'!AB560,WeightedRevAge25)-SUMIF(ThresholdAge25,"&lt;"&amp;'19_Расчет_аналитики'!AB560,WeightedMinAge25),MAX(CapacityAge25*'01_Вводные'!$B$218*'19_Расчет_аналитики'!AB560,MeanMinAge25)))</f>
        <v/>
      </c>
      <c r="AC516">
        <f>IF(OR(('19_Расчет_аналитики'!AC432-'19_Расчет_аналитики'!AC460)=0,25&lt;='01_Вводные'!$B$297),0,('19_Расчет_аналитики'!AC432-'19_Расчет_аналитики'!AC460)*IF('01_Вводные'!$B$239="Да",MeanMinAge25+'19_Расчет_аналитики'!AC560*SUMIF(ThresholdAge25,"&lt;"&amp;'19_Расчет_аналитики'!AC560,WeightedRevAge25)-SUMIF(ThresholdAge25,"&lt;"&amp;'19_Расчет_аналитики'!AC560,WeightedMinAge25),MAX(CapacityAge25*'01_Вводные'!$B$218*'19_Расчет_аналитики'!AC560,MeanMinAge25)))</f>
        <v/>
      </c>
      <c r="AD516">
        <f>IF(OR(('19_Расчет_аналитики'!AD432-'19_Расчет_аналитики'!AD460)=0,25&lt;='01_Вводные'!$B$297),0,('19_Расчет_аналитики'!AD432-'19_Расчет_аналитики'!AD460)*IF('01_Вводные'!$B$239="Да",MeanMinAge25+'19_Расчет_аналитики'!AD560*SUMIF(ThresholdAge25,"&lt;"&amp;'19_Расчет_аналитики'!AD560,WeightedRevAge25)-SUMIF(ThresholdAge25,"&lt;"&amp;'19_Расчет_аналитики'!AD560,WeightedMinAge25),MAX(CapacityAge25*'01_Вводные'!$B$218*'19_Расчет_аналитики'!AD560,MeanMinAge25)))</f>
        <v/>
      </c>
      <c r="AE516">
        <f>IF(OR(('19_Расчет_аналитики'!AE432-'19_Расчет_аналитики'!AE460)=0,25&lt;='01_Вводные'!$B$297),0,('19_Расчет_аналитики'!AE432-'19_Расчет_аналитики'!AE460)*IF('01_Вводные'!$B$239="Да",MeanMinAge25+'19_Расчет_аналитики'!AE560*SUMIF(ThresholdAge25,"&lt;"&amp;'19_Расчет_аналитики'!AE560,WeightedRevAge25)-SUMIF(ThresholdAge25,"&lt;"&amp;'19_Расчет_аналитики'!AE560,WeightedMinAge25),MAX(CapacityAge25*'01_Вводные'!$B$218*'19_Расчет_аналитики'!AE560,MeanMinAge25)))</f>
        <v/>
      </c>
      <c r="AF516">
        <f>IF(OR(('19_Расчет_аналитики'!AF432-'19_Расчет_аналитики'!AF460)=0,25&lt;='01_Вводные'!$B$297),0,('19_Расчет_аналитики'!AF432-'19_Расчет_аналитики'!AF460)*IF('01_Вводные'!$B$239="Да",MeanMinAge25+'19_Расчет_аналитики'!AF560*SUMIF(ThresholdAge25,"&lt;"&amp;'19_Расчет_аналитики'!AF560,WeightedRevAge25)-SUMIF(ThresholdAge25,"&lt;"&amp;'19_Расчет_аналитики'!AF560,WeightedMinAge25),MAX(CapacityAge25*'01_Вводные'!$B$218*'19_Расчет_аналитики'!AF560,MeanMinAge25)))</f>
        <v/>
      </c>
      <c r="AG516">
        <f>IF(OR(('19_Расчет_аналитики'!AG432-'19_Расчет_аналитики'!AG460)=0,25&lt;='01_Вводные'!$B$297),0,('19_Расчет_аналитики'!AG432-'19_Расчет_аналитики'!AG460)*IF('01_Вводные'!$B$239="Да",MeanMinAge25+'19_Расчет_аналитики'!AG560*SUMIF(ThresholdAge25,"&lt;"&amp;'19_Расчет_аналитики'!AG560,WeightedRevAge25)-SUMIF(ThresholdAge25,"&lt;"&amp;'19_Расчет_аналитики'!AG560,WeightedMinAge25),MAX(CapacityAge25*'01_Вводные'!$B$218*'19_Расчет_аналитики'!AG560,MeanMinAge25)))</f>
        <v/>
      </c>
      <c r="AH516">
        <f>IF(OR(('19_Расчет_аналитики'!AH432-'19_Расчет_аналитики'!AH460)=0,25&lt;='01_Вводные'!$B$297),0,('19_Расчет_аналитики'!AH432-'19_Расчет_аналитики'!AH460)*IF('01_Вводные'!$B$239="Да",MeanMinAge25+'19_Расчет_аналитики'!AH560*SUMIF(ThresholdAge25,"&lt;"&amp;'19_Расчет_аналитики'!AH560,WeightedRevAge25)-SUMIF(ThresholdAge25,"&lt;"&amp;'19_Расчет_аналитики'!AH560,WeightedMinAge25),MAX(CapacityAge25*'01_Вводные'!$B$218*'19_Расчет_аналитики'!AH560,MeanMinAge25)))</f>
        <v/>
      </c>
      <c r="AI516">
        <f>IF(OR(('19_Расчет_аналитики'!AI432-'19_Расчет_аналитики'!AI460)=0,25&lt;='01_Вводные'!$B$297),0,('19_Расчет_аналитики'!AI432-'19_Расчет_аналитики'!AI460)*IF('01_Вводные'!$B$239="Да",MeanMinAge25+'19_Расчет_аналитики'!AI560*SUMIF(ThresholdAge25,"&lt;"&amp;'19_Расчет_аналитики'!AI560,WeightedRevAge25)-SUMIF(ThresholdAge25,"&lt;"&amp;'19_Расчет_аналитики'!AI560,WeightedMinAge25),MAX(CapacityAge25*'01_Вводные'!$B$218*'19_Расчет_аналитики'!AI560,MeanMinAge25)))</f>
        <v/>
      </c>
      <c r="AJ516">
        <f>IF(OR(('19_Расчет_аналитики'!AJ432-'19_Расчет_аналитики'!AJ460)=0,25&lt;='01_Вводные'!$B$297),0,('19_Расчет_аналитики'!AJ432-'19_Расчет_аналитики'!AJ460)*IF('01_Вводные'!$B$239="Да",MeanMinAge25+'19_Расчет_аналитики'!AJ560*SUMIF(ThresholdAge25,"&lt;"&amp;'19_Расчет_аналитики'!AJ560,WeightedRevAge25)-SUMIF(ThresholdAge25,"&lt;"&amp;'19_Расчет_аналитики'!AJ560,WeightedMinAge25),MAX(CapacityAge25*'01_Вводные'!$B$218*'19_Расчет_аналитики'!AJ560,MeanMinAge25)))</f>
        <v/>
      </c>
      <c r="AK516">
        <f>IF(OR(('19_Расчет_аналитики'!AK432-'19_Расчет_аналитики'!AK460)=0,25&lt;='01_Вводные'!$B$297),0,('19_Расчет_аналитики'!AK432-'19_Расчет_аналитики'!AK460)*IF('01_Вводные'!$B$239="Да",MeanMinAge25+'19_Расчет_аналитики'!AK560*SUMIF(ThresholdAge25,"&lt;"&amp;'19_Расчет_аналитики'!AK560,WeightedRevAge25)-SUMIF(ThresholdAge25,"&lt;"&amp;'19_Расчет_аналитики'!AK560,WeightedMinAge25),MAX(CapacityAge25*'01_Вводные'!$B$218*'19_Расчет_аналитики'!AK560,MeanMinAge25)))</f>
        <v/>
      </c>
      <c r="AL516">
        <f>IF(OR(('19_Расчет_аналитики'!AL432-'19_Расчет_аналитики'!AL460)=0,25&lt;='01_Вводные'!$B$297),0,('19_Расчет_аналитики'!AL432-'19_Расчет_аналитики'!AL460)*IF('01_Вводные'!$B$239="Да",MeanMinAge25+'19_Расчет_аналитики'!AL560*SUMIF(ThresholdAge25,"&lt;"&amp;'19_Расчет_аналитики'!AL560,WeightedRevAge25)-SUMIF(ThresholdAge25,"&lt;"&amp;'19_Расчет_аналитики'!AL560,WeightedMinAge25),MAX(CapacityAge25*'01_Вводные'!$B$218*'19_Расчет_аналитики'!AL560,MeanMinAge25)))</f>
        <v/>
      </c>
      <c r="AM516">
        <f>IF(OR(('19_Расчет_аналитики'!AM432-'19_Расчет_аналитики'!AM460)=0,25&lt;='01_Вводные'!$B$297),0,('19_Расчет_аналитики'!AM432-'19_Расчет_аналитики'!AM460)*IF('01_Вводные'!$B$239="Да",MeanMinAge25+'19_Расчет_аналитики'!AM560*SUMIF(ThresholdAge25,"&lt;"&amp;'19_Расчет_аналитики'!AM560,WeightedRevAge25)-SUMIF(ThresholdAge25,"&lt;"&amp;'19_Расчет_аналитики'!AM560,WeightedMinAge25),MAX(CapacityAge25*'01_Вводные'!$B$218*'19_Расчет_аналитики'!AM560,MeanMinAge25)))</f>
        <v/>
      </c>
      <c r="AN516">
        <f>IF(OR(('19_Расчет_аналитики'!AN432-'19_Расчет_аналитики'!AN460)=0,25&lt;='01_Вводные'!$B$297),0,('19_Расчет_аналитики'!AN432-'19_Расчет_аналитики'!AN460)*IF('01_Вводные'!$B$239="Да",MeanMinAge25+'19_Расчет_аналитики'!AN560*SUMIF(ThresholdAge25,"&lt;"&amp;'19_Расчет_аналитики'!AN560,WeightedRevAge25)-SUMIF(ThresholdAge25,"&lt;"&amp;'19_Расчет_аналитики'!AN560,WeightedMinAge25),MAX(CapacityAge25*'01_Вводные'!$B$218*'19_Расчет_аналитики'!AN560,MeanMinAge25)))</f>
        <v/>
      </c>
      <c r="AO516">
        <f>IF(OR(('19_Расчет_аналитики'!AO432-'19_Расчет_аналитики'!AO460)=0,25&lt;='01_Вводные'!$B$297),0,('19_Расчет_аналитики'!AO432-'19_Расчет_аналитики'!AO460)*IF('01_Вводные'!$B$239="Да",MeanMinAge25+'19_Расчет_аналитики'!AO560*SUMIF(ThresholdAge25,"&lt;"&amp;'19_Расчет_аналитики'!AO560,WeightedRevAge25)-SUMIF(ThresholdAge25,"&lt;"&amp;'19_Расчет_аналитики'!AO560,WeightedMinAge25),MAX(CapacityAge25*'01_Вводные'!$B$218*'19_Расчет_аналитики'!AO560,MeanMinAge25)))</f>
        <v/>
      </c>
      <c r="AP516">
        <f>IF(OR(('19_Расчет_аналитики'!AP432-'19_Расчет_аналитики'!AP460)=0,25&lt;='01_Вводные'!$B$297),0,('19_Расчет_аналитики'!AP432-'19_Расчет_аналитики'!AP460)*IF('01_Вводные'!$B$239="Да",MeanMinAge25+'19_Расчет_аналитики'!AP560*SUMIF(ThresholdAge25,"&lt;"&amp;'19_Расчет_аналитики'!AP560,WeightedRevAge25)-SUMIF(ThresholdAge25,"&lt;"&amp;'19_Расчет_аналитики'!AP560,WeightedMinAge25),MAX(CapacityAge25*'01_Вводные'!$B$218*'19_Расчет_аналитики'!AP560,MeanMinAge25)))</f>
        <v/>
      </c>
      <c r="AQ516">
        <f>IF(OR(('19_Расчет_аналитики'!AQ432-'19_Расчет_аналитики'!AQ460)=0,25&lt;='01_Вводные'!$B$297),0,('19_Расчет_аналитики'!AQ432-'19_Расчет_аналитики'!AQ460)*IF('01_Вводные'!$B$239="Да",MeanMinAge25+'19_Расчет_аналитики'!AQ560*SUMIF(ThresholdAge25,"&lt;"&amp;'19_Расчет_аналитики'!AQ560,WeightedRevAge25)-SUMIF(ThresholdAge25,"&lt;"&amp;'19_Расчет_аналитики'!AQ560,WeightedMinAge25),MAX(CapacityAge25*'01_Вводные'!$B$218*'19_Расчет_аналитики'!AQ560,MeanMinAge25)))</f>
        <v/>
      </c>
      <c r="AR516">
        <f>IF(OR(('19_Расчет_аналитики'!AR432-'19_Расчет_аналитики'!AR460)=0,25&lt;='01_Вводные'!$B$297),0,('19_Расчет_аналитики'!AR432-'19_Расчет_аналитики'!AR460)*IF('01_Вводные'!$B$239="Да",MeanMinAge25+'19_Расчет_аналитики'!AR560*SUMIF(ThresholdAge25,"&lt;"&amp;'19_Расчет_аналитики'!AR560,WeightedRevAge25)-SUMIF(ThresholdAge25,"&lt;"&amp;'19_Расчет_аналитики'!AR560,WeightedMinAge25),MAX(CapacityAge25*'01_Вводные'!$B$218*'19_Расчет_аналитики'!AR560,MeanMinAge25)))</f>
        <v/>
      </c>
      <c r="AS516">
        <f>IF(OR(('19_Расчет_аналитики'!AS432-'19_Расчет_аналитики'!AS460)=0,25&lt;='01_Вводные'!$B$297),0,('19_Расчет_аналитики'!AS432-'19_Расчет_аналитики'!AS460)*IF('01_Вводные'!$B$239="Да",MeanMinAge25+'19_Расчет_аналитики'!AS560*SUMIF(ThresholdAge25,"&lt;"&amp;'19_Расчет_аналитики'!AS560,WeightedRevAge25)-SUMIF(ThresholdAge25,"&lt;"&amp;'19_Расчет_аналитики'!AS560,WeightedMinAge25),MAX(CapacityAge25*'01_Вводные'!$B$218*'19_Расчет_аналитики'!AS560,MeanMinAge25)))</f>
        <v/>
      </c>
      <c r="AT516">
        <f>IF(OR(('19_Расчет_аналитики'!AT432-'19_Расчет_аналитики'!AT460)=0,25&lt;='01_Вводные'!$B$297),0,('19_Расчет_аналитики'!AT432-'19_Расчет_аналитики'!AT460)*IF('01_Вводные'!$B$239="Да",MeanMinAge25+'19_Расчет_аналитики'!AT560*SUMIF(ThresholdAge25,"&lt;"&amp;'19_Расчет_аналитики'!AT560,WeightedRevAge25)-SUMIF(ThresholdAge25,"&lt;"&amp;'19_Расчет_аналитики'!AT560,WeightedMinAge25),MAX(CapacityAge25*'01_Вводные'!$B$218*'19_Расчет_аналитики'!AT560,MeanMinAge25)))</f>
        <v/>
      </c>
      <c r="AU516">
        <f>IF(OR(('19_Расчет_аналитики'!AU432-'19_Расчет_аналитики'!AU460)=0,25&lt;='01_Вводные'!$B$297),0,('19_Расчет_аналитики'!AU432-'19_Расчет_аналитики'!AU460)*IF('01_Вводные'!$B$239="Да",MeanMinAge25+'19_Расчет_аналитики'!AU560*SUMIF(ThresholdAge25,"&lt;"&amp;'19_Расчет_аналитики'!AU560,WeightedRevAge25)-SUMIF(ThresholdAge25,"&lt;"&amp;'19_Расчет_аналитики'!AU560,WeightedMinAge25),MAX(CapacityAge25*'01_Вводные'!$B$218*'19_Расчет_аналитики'!AU560,MeanMinAge25)))</f>
        <v/>
      </c>
      <c r="AV516">
        <f>IF(OR(('19_Расчет_аналитики'!AV432-'19_Расчет_аналитики'!AV460)=0,25&lt;='01_Вводные'!$B$297),0,('19_Расчет_аналитики'!AV432-'19_Расчет_аналитики'!AV460)*IF('01_Вводные'!$B$239="Да",MeanMinAge25+'19_Расчет_аналитики'!AV560*SUMIF(ThresholdAge25,"&lt;"&amp;'19_Расчет_аналитики'!AV560,WeightedRevAge25)-SUMIF(ThresholdAge25,"&lt;"&amp;'19_Расчет_аналитики'!AV560,WeightedMinAge25),MAX(CapacityAge25*'01_Вводные'!$B$218*'19_Расчет_аналитики'!AV560,MeanMinAge25)))</f>
        <v/>
      </c>
      <c r="AW516">
        <f>IF(OR(('19_Расчет_аналитики'!AW432-'19_Расчет_аналитики'!AW460)=0,25&lt;='01_Вводные'!$B$297),0,('19_Расчет_аналитики'!AW432-'19_Расчет_аналитики'!AW460)*IF('01_Вводные'!$B$239="Да",MeanMinAge25+'19_Расчет_аналитики'!AW560*SUMIF(ThresholdAge25,"&lt;"&amp;'19_Расчет_аналитики'!AW560,WeightedRevAge25)-SUMIF(ThresholdAge25,"&lt;"&amp;'19_Расчет_аналитики'!AW560,WeightedMinAge25),MAX(CapacityAge25*'01_Вводные'!$B$218*'19_Расчет_аналитики'!AW560,MeanMinAge25)))</f>
        <v/>
      </c>
      <c r="AX516">
        <f>IF(OR(('19_Расчет_аналитики'!AX432-'19_Расчет_аналитики'!AX460)=0,25&lt;='01_Вводные'!$B$297),0,('19_Расчет_аналитики'!AX432-'19_Расчет_аналитики'!AX460)*IF('01_Вводные'!$B$239="Да",MeanMinAge25+'19_Расчет_аналитики'!AX560*SUMIF(ThresholdAge25,"&lt;"&amp;'19_Расчет_аналитики'!AX560,WeightedRevAge25)-SUMIF(ThresholdAge25,"&lt;"&amp;'19_Расчет_аналитики'!AX560,WeightedMinAge25),MAX(CapacityAge25*'01_Вводные'!$B$218*'19_Расчет_аналитики'!AX560,MeanMinAge25)))</f>
        <v/>
      </c>
      <c r="AY516">
        <f>IF(OR(('19_Расчет_аналитики'!AY432-'19_Расчет_аналитики'!AY460)=0,25&lt;='01_Вводные'!$B$297),0,('19_Расчет_аналитики'!AY432-'19_Расчет_аналитики'!AY460)*IF('01_Вводные'!$B$239="Да",MeanMinAge25+'19_Расчет_аналитики'!AY560*SUMIF(ThresholdAge25,"&lt;"&amp;'19_Расчет_аналитики'!AY560,WeightedRevAge25)-SUMIF(ThresholdAge25,"&lt;"&amp;'19_Расчет_аналитики'!AY560,WeightedMinAge25),MAX(CapacityAge25*'01_Вводные'!$B$218*'19_Расчет_аналитики'!AY560,MeanMinAge25)))</f>
        <v/>
      </c>
      <c r="AZ516">
        <f>IF(OR(('19_Расчет_аналитики'!AZ432-'19_Расчет_аналитики'!AZ460)=0,25&lt;='01_Вводные'!$B$297),0,('19_Расчет_аналитики'!AZ432-'19_Расчет_аналитики'!AZ460)*IF('01_Вводные'!$B$239="Да",MeanMinAge25+'19_Расчет_аналитики'!AZ560*SUMIF(ThresholdAge25,"&lt;"&amp;'19_Расчет_аналитики'!AZ560,WeightedRevAge25)-SUMIF(ThresholdAge25,"&lt;"&amp;'19_Расчет_аналитики'!AZ560,WeightedMinAge25),MAX(CapacityAge25*'01_Вводные'!$B$218*'19_Расчет_аналитики'!AZ560,MeanMinAge25)))</f>
        <v/>
      </c>
      <c r="BA516">
        <f>IF(OR(('19_Расчет_аналитики'!BA432-'19_Расчет_аналитики'!BA460)=0,25&lt;='01_Вводные'!$B$297),0,('19_Расчет_аналитики'!BA432-'19_Расчет_аналитики'!BA460)*IF('01_Вводные'!$B$239="Да",MeanMinAge25+'19_Расчет_аналитики'!BA560*SUMIF(ThresholdAge25,"&lt;"&amp;'19_Расчет_аналитики'!BA560,WeightedRevAge25)-SUMIF(ThresholdAge25,"&lt;"&amp;'19_Расчет_аналитики'!BA560,WeightedMinAge25),MAX(CapacityAge25*'01_Вводные'!$B$218*'19_Расчет_аналитики'!BA560,MeanMinAge25)))</f>
        <v/>
      </c>
      <c r="BB516">
        <f>IF(OR(('19_Расчет_аналитики'!BB432-'19_Расчет_аналитики'!BB460)=0,25&lt;='01_Вводные'!$B$297),0,('19_Расчет_аналитики'!BB432-'19_Расчет_аналитики'!BB460)*IF('01_Вводные'!$B$239="Да",MeanMinAge25+'19_Расчет_аналитики'!BB560*SUMIF(ThresholdAge25,"&lt;"&amp;'19_Расчет_аналитики'!BB560,WeightedRevAge25)-SUMIF(ThresholdAge25,"&lt;"&amp;'19_Расчет_аналитики'!BB560,WeightedMinAge25),MAX(CapacityAge25*'01_Вводные'!$B$218*'19_Расчет_аналитики'!BB560,MeanMinAge25)))</f>
        <v/>
      </c>
      <c r="BC516">
        <f>IF(OR(('19_Расчет_аналитики'!BC432-'19_Расчет_аналитики'!BC460)=0,25&lt;='01_Вводные'!$B$297),0,('19_Расчет_аналитики'!BC432-'19_Расчет_аналитики'!BC460)*IF('01_Вводные'!$B$239="Да",MeanMinAge25+'19_Расчет_аналитики'!BC560*SUMIF(ThresholdAge25,"&lt;"&amp;'19_Расчет_аналитики'!BC560,WeightedRevAge25)-SUMIF(ThresholdAge25,"&lt;"&amp;'19_Расчет_аналитики'!BC560,WeightedMinAge25),MAX(CapacityAge25*'01_Вводные'!$B$218*'19_Расчет_аналитики'!BC560,MeanMinAge25)))</f>
        <v/>
      </c>
      <c r="BD516">
        <f>IF(OR(('19_Расчет_аналитики'!BD432-'19_Расчет_аналитики'!BD460)=0,25&lt;='01_Вводные'!$B$297),0,('19_Расчет_аналитики'!BD432-'19_Расчет_аналитики'!BD460)*IF('01_Вводные'!$B$239="Да",MeanMinAge25+'19_Расчет_аналитики'!BD560*SUMIF(ThresholdAge25,"&lt;"&amp;'19_Расчет_аналитики'!BD560,WeightedRevAge25)-SUMIF(ThresholdAge25,"&lt;"&amp;'19_Расчет_аналитики'!BD560,WeightedMinAge25),MAX(CapacityAge25*'01_Вводные'!$B$218*'19_Расчет_аналитики'!BD560,MeanMinAge25)))</f>
        <v/>
      </c>
      <c r="BE516">
        <f>IF(OR(('19_Расчет_аналитики'!BE432-'19_Расчет_аналитики'!BE460)=0,25&lt;='01_Вводные'!$B$297),0,('19_Расчет_аналитики'!BE432-'19_Расчет_аналитики'!BE460)*IF('01_Вводные'!$B$239="Да",MeanMinAge25+'19_Расчет_аналитики'!BE560*SUMIF(ThresholdAge25,"&lt;"&amp;'19_Расчет_аналитики'!BE560,WeightedRevAge25)-SUMIF(ThresholdAge25,"&lt;"&amp;'19_Расчет_аналитики'!BE560,WeightedMinAge25),MAX(CapacityAge25*'01_Вводные'!$B$218*'19_Расчет_аналитики'!BE560,MeanMinAge25)))</f>
        <v/>
      </c>
      <c r="BF516">
        <f>IF(OR(('19_Расчет_аналитики'!BF432-'19_Расчет_аналитики'!BF460)=0,25&lt;='01_Вводные'!$B$297),0,('19_Расчет_аналитики'!BF432-'19_Расчет_аналитики'!BF460)*IF('01_Вводные'!$B$239="Да",MeanMinAge25+'19_Расчет_аналитики'!BF560*SUMIF(ThresholdAge25,"&lt;"&amp;'19_Расчет_аналитики'!BF560,WeightedRevAge25)-SUMIF(ThresholdAge25,"&lt;"&amp;'19_Расчет_аналитики'!BF560,WeightedMinAge25),MAX(CapacityAge25*'01_Вводные'!$B$218*'19_Расчет_аналитики'!BF560,MeanMinAge25)))</f>
        <v/>
      </c>
      <c r="BG516">
        <f>IF(OR(('19_Расчет_аналитики'!BG432-'19_Расчет_аналитики'!BG460)=0,25&lt;='01_Вводные'!$B$297),0,('19_Расчет_аналитики'!BG432-'19_Расчет_аналитики'!BG460)*IF('01_Вводные'!$B$239="Да",MeanMinAge25+'19_Расчет_аналитики'!BG560*SUMIF(ThresholdAge25,"&lt;"&amp;'19_Расчет_аналитики'!BG560,WeightedRevAge25)-SUMIF(ThresholdAge25,"&lt;"&amp;'19_Расчет_аналитики'!BG560,WeightedMinAge25),MAX(CapacityAge25*'01_Вводные'!$B$218*'19_Расчет_аналитики'!BG560,MeanMinAge25)))</f>
        <v/>
      </c>
      <c r="BH516">
        <f>IF(OR(('19_Расчет_аналитики'!BH432-'19_Расчет_аналитики'!BH460)=0,25&lt;='01_Вводные'!$B$297),0,('19_Расчет_аналитики'!BH432-'19_Расчет_аналитики'!BH460)*IF('01_Вводные'!$B$239="Да",MeanMinAge25+'19_Расчет_аналитики'!BH560*SUMIF(ThresholdAge25,"&lt;"&amp;'19_Расчет_аналитики'!BH560,WeightedRevAge25)-SUMIF(ThresholdAge25,"&lt;"&amp;'19_Расчет_аналитики'!BH560,WeightedMinAge25),MAX(CapacityAge25*'01_Вводные'!$B$218*'19_Расчет_аналитики'!BH560,MeanMinAge25)))</f>
        <v/>
      </c>
      <c r="BI516">
        <f>IF(OR(('19_Расчет_аналитики'!BI432-'19_Расчет_аналитики'!BI460)=0,25&lt;='01_Вводные'!$B$297),0,('19_Расчет_аналитики'!BI432-'19_Расчет_аналитики'!BI460)*IF('01_Вводные'!$B$239="Да",MeanMinAge25+'19_Расчет_аналитики'!BI560*SUMIF(ThresholdAge25,"&lt;"&amp;'19_Расчет_аналитики'!BI560,WeightedRevAge25)-SUMIF(ThresholdAge25,"&lt;"&amp;'19_Расчет_аналитики'!BI560,WeightedMinAge25),MAX(CapacityAge25*'01_Вводные'!$B$218*'19_Расчет_аналитики'!BI560,MeanMinAge25)))</f>
        <v/>
      </c>
      <c r="BJ516">
        <f>IF(OR(('19_Расчет_аналитики'!BJ432-'19_Расчет_аналитики'!BJ460)=0,25&lt;='01_Вводные'!$B$297),0,('19_Расчет_аналитики'!BJ432-'19_Расчет_аналитики'!BJ460)*IF('01_Вводные'!$B$239="Да",MeanMinAge25+'19_Расчет_аналитики'!BJ560*SUMIF(ThresholdAge25,"&lt;"&amp;'19_Расчет_аналитики'!BJ560,WeightedRevAge25)-SUMIF(ThresholdAge25,"&lt;"&amp;'19_Расчет_аналитики'!BJ560,WeightedMinAge25),MAX(CapacityAge25*'01_Вводные'!$B$218*'19_Расчет_аналитики'!BJ560,MeanMinAge25)))</f>
        <v/>
      </c>
      <c r="BK516">
        <f>IF(OR(('19_Расчет_аналитики'!BK432-'19_Расчет_аналитики'!BK460)=0,25&lt;='01_Вводные'!$B$297),0,('19_Расчет_аналитики'!BK432-'19_Расчет_аналитики'!BK460)*IF('01_Вводные'!$B$239="Да",MeanMinAge25+'19_Расчет_аналитики'!BK560*SUMIF(ThresholdAge25,"&lt;"&amp;'19_Расчет_аналитики'!BK560,WeightedRevAge25)-SUMIF(ThresholdAge25,"&lt;"&amp;'19_Расчет_аналитики'!BK560,WeightedMinAge25),MAX(CapacityAge25*'01_Вводные'!$B$218*'19_Расчет_аналитики'!BK560,MeanMinAge25)))</f>
        <v/>
      </c>
      <c r="BL516">
        <f>IF(OR(('19_Расчет_аналитики'!BL432-'19_Расчет_аналитики'!BL460)=0,25&lt;='01_Вводные'!$B$297),0,('19_Расчет_аналитики'!BL432-'19_Расчет_аналитики'!BL460)*IF('01_Вводные'!$B$239="Да",MeanMinAge25+'19_Расчет_аналитики'!BL560*SUMIF(ThresholdAge25,"&lt;"&amp;'19_Расчет_аналитики'!BL560,WeightedRevAge25)-SUMIF(ThresholdAge25,"&lt;"&amp;'19_Расчет_аналитики'!BL560,WeightedMinAge25),MAX(CapacityAge25*'01_Вводные'!$B$218*'19_Расчет_аналитики'!BL560,MeanMinAge25)))</f>
        <v/>
      </c>
      <c r="BM516">
        <f>IF(OR(('19_Расчет_аналитики'!BM432-'19_Расчет_аналитики'!BM460)=0,25&lt;='01_Вводные'!$B$297),0,('19_Расчет_аналитики'!BM432-'19_Расчет_аналитики'!BM460)*IF('01_Вводные'!$B$239="Да",MeanMinAge25+'19_Расчет_аналитики'!BM560*SUMIF(ThresholdAge25,"&lt;"&amp;'19_Расчет_аналитики'!BM560,WeightedRevAge25)-SUMIF(ThresholdAge25,"&lt;"&amp;'19_Расчет_аналитики'!BM560,WeightedMinAge25),MAX(CapacityAge25*'01_Вводные'!$B$218*'19_Расчет_аналитики'!BM560,MeanMinAge25)))</f>
        <v/>
      </c>
      <c r="BN516">
        <f>IF(OR(('19_Расчет_аналитики'!BN432-'19_Расчет_аналитики'!BN460)=0,25&lt;='01_Вводные'!$B$297),0,('19_Расчет_аналитики'!BN432-'19_Расчет_аналитики'!BN460)*IF('01_Вводные'!$B$239="Да",MeanMinAge25+'19_Расчет_аналитики'!BN560*SUMIF(ThresholdAge25,"&lt;"&amp;'19_Расчет_аналитики'!BN560,WeightedRevAge25)-SUMIF(ThresholdAge25,"&lt;"&amp;'19_Расчет_аналитики'!BN560,WeightedMinAge25),MAX(CapacityAge25*'01_Вводные'!$B$218*'19_Расчет_аналитики'!BN560,MeanMinAge25)))</f>
        <v/>
      </c>
      <c r="BO516">
        <f>IF(OR(('19_Расчет_аналитики'!BO432-'19_Расчет_аналитики'!BO460)=0,25&lt;='01_Вводные'!$B$297),0,('19_Расчет_аналитики'!BO432-'19_Расчет_аналитики'!BO460)*IF('01_Вводные'!$B$239="Да",MeanMinAge25+'19_Расчет_аналитики'!BO560*SUMIF(ThresholdAge25,"&lt;"&amp;'19_Расчет_аналитики'!BO560,WeightedRevAge25)-SUMIF(ThresholdAge25,"&lt;"&amp;'19_Расчет_аналитики'!BO560,WeightedMinAge25),MAX(CapacityAge25*'01_Вводные'!$B$218*'19_Расчет_аналитики'!BO560,MeanMinAge25)))</f>
        <v/>
      </c>
    </row>
    <row r="517"/>
    <row r="518"/>
    <row r="519"/>
    <row r="520">
      <c r="B520">
        <f>IF(IF('01_Вводные'!$B$296="Новый сезон",FALSE,FALSE),'19_Расчет_аналитики'!B408*CapacityAge01*'19_Расчет_аналитики'!$F$211,0)</f>
        <v/>
      </c>
      <c r="C520">
        <f>IF(IF('01_Вводные'!$B$296="Новый сезон",FALSE,FALSE),'19_Расчет_аналитики'!C408*CapacityAge01*'19_Расчет_аналитики'!$F$211,0)</f>
        <v/>
      </c>
      <c r="D520">
        <f>IF(IF('01_Вводные'!$B$296="Новый сезон",FALSE,FALSE),'19_Расчет_аналитики'!D408*CapacityAge01*'19_Расчет_аналитики'!$F$211,0)</f>
        <v/>
      </c>
      <c r="E520">
        <f>IF(IF('01_Вводные'!$B$296="Новый сезон",FALSE,FALSE),'19_Расчет_аналитики'!E408*CapacityAge01*'19_Расчет_аналитики'!$F$211,0)</f>
        <v/>
      </c>
      <c r="F520">
        <f>IF(IF('01_Вводные'!$B$296="Новый сезон",FALSE,FALSE),'19_Расчет_аналитики'!F408*CapacityAge01*'19_Расчет_аналитики'!$F$211,0)</f>
        <v/>
      </c>
      <c r="G520">
        <f>IF(IF('01_Вводные'!$B$296="Новый сезон",FALSE,FALSE),'19_Расчет_аналитики'!G408*CapacityAge01*'19_Расчет_аналитики'!$F$211,0)</f>
        <v/>
      </c>
      <c r="H520">
        <f>IF(IF('01_Вводные'!$B$296="Новый сезон",FALSE,FALSE),'19_Расчет_аналитики'!H408*CapacityAge01*'19_Расчет_аналитики'!$F$211,0)</f>
        <v/>
      </c>
      <c r="I520">
        <f>IF(IF('01_Вводные'!$B$296="Новый сезон",FALSE,FALSE),'19_Расчет_аналитики'!I408*CapacityAge01*'19_Расчет_аналитики'!$F$211,0)</f>
        <v/>
      </c>
      <c r="J520">
        <f>IF(IF('01_Вводные'!$B$296="Новый сезон",FALSE,FALSE),'19_Расчет_аналитики'!J408*CapacityAge01*'19_Расчет_аналитики'!$F$211,0)</f>
        <v/>
      </c>
      <c r="K520">
        <f>IF(IF('01_Вводные'!$B$296="Новый сезон",FALSE,FALSE),'19_Расчет_аналитики'!K408*CapacityAge01*'19_Расчет_аналитики'!$F$211,0)</f>
        <v/>
      </c>
      <c r="L520">
        <f>IF(IF('01_Вводные'!$B$296="Новый сезон",FALSE,FALSE),'19_Расчет_аналитики'!L408*CapacityAge01*'19_Расчет_аналитики'!$F$211,0)</f>
        <v/>
      </c>
      <c r="M520">
        <f>IF(IF('01_Вводные'!$B$296="Новый сезон",FALSE,FALSE),'19_Расчет_аналитики'!M408*CapacityAge01*'19_Расчет_аналитики'!$F$211,0)</f>
        <v/>
      </c>
      <c r="N520">
        <f>IF(IF('01_Вводные'!$B$296="Новый сезон",FALSE,FALSE),'19_Расчет_аналитики'!N408*CapacityAge01*'19_Расчет_аналитики'!$F$211,0)</f>
        <v/>
      </c>
      <c r="O520">
        <f>IF(IF('01_Вводные'!$B$296="Новый сезон",FALSE,FALSE),'19_Расчет_аналитики'!O408*CapacityAge01*'19_Расчет_аналитики'!$F$211,0)</f>
        <v/>
      </c>
      <c r="P520">
        <f>IF(IF('01_Вводные'!$B$296="Новый сезон",FALSE,FALSE),'19_Расчет_аналитики'!P408*CapacityAge01*'19_Расчет_аналитики'!$F$211,0)</f>
        <v/>
      </c>
      <c r="Q520">
        <f>IF(IF('01_Вводные'!$B$296="Новый сезон",FALSE,FALSE),'19_Расчет_аналитики'!Q408*CapacityAge01*'19_Расчет_аналитики'!$F$211,0)</f>
        <v/>
      </c>
      <c r="R520">
        <f>IF(IF('01_Вводные'!$B$296="Новый сезон",FALSE,FALSE),'19_Расчет_аналитики'!R408*CapacityAge01*'19_Расчет_аналитики'!$F$211,0)</f>
        <v/>
      </c>
      <c r="S520">
        <f>IF(IF('01_Вводные'!$B$296="Новый сезон",FALSE,FALSE),'19_Расчет_аналитики'!S408*CapacityAge01*'19_Расчет_аналитики'!$F$211,0)</f>
        <v/>
      </c>
      <c r="T520">
        <f>IF(IF('01_Вводные'!$B$296="Новый сезон",FALSE,FALSE),'19_Расчет_аналитики'!T408*CapacityAge01*'19_Расчет_аналитики'!$F$211,0)</f>
        <v/>
      </c>
      <c r="U520">
        <f>IF(IF('01_Вводные'!$B$296="Новый сезон",FALSE,FALSE),'19_Расчет_аналитики'!U408*CapacityAge01*'19_Расчет_аналитики'!$F$211,0)</f>
        <v/>
      </c>
      <c r="V520">
        <f>IF(IF('01_Вводные'!$B$296="Новый сезон",FALSE,FALSE),'19_Расчет_аналитики'!V408*CapacityAge01*'19_Расчет_аналитики'!$F$211,0)</f>
        <v/>
      </c>
      <c r="W520">
        <f>IF(IF('01_Вводные'!$B$296="Новый сезон",FALSE,FALSE),'19_Расчет_аналитики'!W408*CapacityAge01*'19_Расчет_аналитики'!$F$211,0)</f>
        <v/>
      </c>
      <c r="X520">
        <f>IF(IF('01_Вводные'!$B$296="Новый сезон",FALSE,FALSE),'19_Расчет_аналитики'!X408*CapacityAge01*'19_Расчет_аналитики'!$F$211,0)</f>
        <v/>
      </c>
      <c r="Y520">
        <f>IF(IF('01_Вводные'!$B$296="Новый сезон",FALSE,FALSE),'19_Расчет_аналитики'!Y408*CapacityAge01*'19_Расчет_аналитики'!$F$211,0)</f>
        <v/>
      </c>
      <c r="Z520">
        <f>IF(IF('01_Вводные'!$B$296="Новый сезон",FALSE,FALSE),'19_Расчет_аналитики'!Z408*CapacityAge01*'19_Расчет_аналитики'!$F$211,0)</f>
        <v/>
      </c>
      <c r="AA520">
        <f>IF(IF('01_Вводные'!$B$296="Новый сезон",FALSE,FALSE),'19_Расчет_аналитики'!AA408*CapacityAge01*'19_Расчет_аналитики'!$F$211,0)</f>
        <v/>
      </c>
      <c r="AB520">
        <f>IF(IF('01_Вводные'!$B$296="Новый сезон",FALSE,FALSE),'19_Расчет_аналитики'!AB408*CapacityAge01*'19_Расчет_аналитики'!$F$211,0)</f>
        <v/>
      </c>
      <c r="AC520">
        <f>IF(IF('01_Вводные'!$B$296="Новый сезон",FALSE,FALSE),'19_Расчет_аналитики'!AC408*CapacityAge01*'19_Расчет_аналитики'!$F$211,0)</f>
        <v/>
      </c>
      <c r="AD520">
        <f>IF(IF('01_Вводные'!$B$296="Новый сезон",FALSE,FALSE),'19_Расчет_аналитики'!AD408*CapacityAge01*'19_Расчет_аналитики'!$F$211,0)</f>
        <v/>
      </c>
      <c r="AE520">
        <f>IF(IF('01_Вводные'!$B$296="Новый сезон",FALSE,FALSE),'19_Расчет_аналитики'!AE408*CapacityAge01*'19_Расчет_аналитики'!$F$211,0)</f>
        <v/>
      </c>
      <c r="AF520">
        <f>IF(IF('01_Вводные'!$B$296="Новый сезон",FALSE,FALSE),'19_Расчет_аналитики'!AF408*CapacityAge01*'19_Расчет_аналитики'!$F$211,0)</f>
        <v/>
      </c>
      <c r="AG520">
        <f>IF(IF('01_Вводные'!$B$296="Новый сезон",FALSE,FALSE),'19_Расчет_аналитики'!AG408*CapacityAge01*'19_Расчет_аналитики'!$F$211,0)</f>
        <v/>
      </c>
      <c r="AH520">
        <f>IF(IF('01_Вводные'!$B$296="Новый сезон",FALSE,FALSE),'19_Расчет_аналитики'!AH408*CapacityAge01*'19_Расчет_аналитики'!$F$211,0)</f>
        <v/>
      </c>
      <c r="AI520">
        <f>IF(IF('01_Вводные'!$B$296="Новый сезон",FALSE,FALSE),'19_Расчет_аналитики'!AI408*CapacityAge01*'19_Расчет_аналитики'!$F$211,0)</f>
        <v/>
      </c>
      <c r="AJ520">
        <f>IF(IF('01_Вводные'!$B$296="Новый сезон",FALSE,FALSE),'19_Расчет_аналитики'!AJ408*CapacityAge01*'19_Расчет_аналитики'!$F$211,0)</f>
        <v/>
      </c>
      <c r="AK520">
        <f>IF(IF('01_Вводные'!$B$296="Новый сезон",FALSE,FALSE),'19_Расчет_аналитики'!AK408*CapacityAge01*'19_Расчет_аналитики'!$F$211,0)</f>
        <v/>
      </c>
      <c r="AL520">
        <f>IF(IF('01_Вводные'!$B$296="Новый сезон",FALSE,FALSE),'19_Расчет_аналитики'!AL408*CapacityAge01*'19_Расчет_аналитики'!$F$211,0)</f>
        <v/>
      </c>
      <c r="AM520">
        <f>IF(IF('01_Вводные'!$B$296="Новый сезон",FALSE,FALSE),'19_Расчет_аналитики'!AM408*CapacityAge01*'19_Расчет_аналитики'!$F$211,0)</f>
        <v/>
      </c>
      <c r="AN520">
        <f>IF(IF('01_Вводные'!$B$296="Новый сезон",FALSE,FALSE),'19_Расчет_аналитики'!AN408*CapacityAge01*'19_Расчет_аналитики'!$F$211,0)</f>
        <v/>
      </c>
      <c r="AO520">
        <f>IF(IF('01_Вводные'!$B$296="Новый сезон",FALSE,FALSE),'19_Расчет_аналитики'!AO408*CapacityAge01*'19_Расчет_аналитики'!$F$211,0)</f>
        <v/>
      </c>
      <c r="AP520">
        <f>IF(IF('01_Вводные'!$B$296="Новый сезон",FALSE,FALSE),'19_Расчет_аналитики'!AP408*CapacityAge01*'19_Расчет_аналитики'!$F$211,0)</f>
        <v/>
      </c>
      <c r="AQ520">
        <f>IF(IF('01_Вводные'!$B$296="Новый сезон",FALSE,FALSE),'19_Расчет_аналитики'!AQ408*CapacityAge01*'19_Расчет_аналитики'!$F$211,0)</f>
        <v/>
      </c>
      <c r="AR520">
        <f>IF(IF('01_Вводные'!$B$296="Новый сезон",FALSE,FALSE),'19_Расчет_аналитики'!AR408*CapacityAge01*'19_Расчет_аналитики'!$F$211,0)</f>
        <v/>
      </c>
      <c r="AS520">
        <f>IF(IF('01_Вводные'!$B$296="Новый сезон",FALSE,FALSE),'19_Расчет_аналитики'!AS408*CapacityAge01*'19_Расчет_аналитики'!$F$211,0)</f>
        <v/>
      </c>
      <c r="AT520">
        <f>IF(IF('01_Вводные'!$B$296="Новый сезон",FALSE,FALSE),'19_Расчет_аналитики'!AT408*CapacityAge01*'19_Расчет_аналитики'!$F$211,0)</f>
        <v/>
      </c>
      <c r="AU520">
        <f>IF(IF('01_Вводные'!$B$296="Новый сезон",FALSE,FALSE),'19_Расчет_аналитики'!AU408*CapacityAge01*'19_Расчет_аналитики'!$F$211,0)</f>
        <v/>
      </c>
      <c r="AV520">
        <f>IF(IF('01_Вводные'!$B$296="Новый сезон",FALSE,FALSE),'19_Расчет_аналитики'!AV408*CapacityAge01*'19_Расчет_аналитики'!$F$211,0)</f>
        <v/>
      </c>
      <c r="AW520">
        <f>IF(IF('01_Вводные'!$B$296="Новый сезон",FALSE,FALSE),'19_Расчет_аналитики'!AW408*CapacityAge01*'19_Расчет_аналитики'!$F$211,0)</f>
        <v/>
      </c>
      <c r="AX520">
        <f>IF(IF('01_Вводные'!$B$296="Новый сезон",FALSE,FALSE),'19_Расчет_аналитики'!AX408*CapacityAge01*'19_Расчет_аналитики'!$F$211,0)</f>
        <v/>
      </c>
      <c r="AY520">
        <f>IF(IF('01_Вводные'!$B$296="Новый сезон",FALSE,FALSE),'19_Расчет_аналитики'!AY408*CapacityAge01*'19_Расчет_аналитики'!$F$211,0)</f>
        <v/>
      </c>
      <c r="AZ520">
        <f>IF(IF('01_Вводные'!$B$296="Новый сезон",FALSE,FALSE),'19_Расчет_аналитики'!AZ408*CapacityAge01*'19_Расчет_аналитики'!$F$211,0)</f>
        <v/>
      </c>
      <c r="BA520">
        <f>IF(IF('01_Вводные'!$B$296="Новый сезон",FALSE,FALSE),'19_Расчет_аналитики'!BA408*CapacityAge01*'19_Расчет_аналитики'!$F$211,0)</f>
        <v/>
      </c>
      <c r="BB520">
        <f>IF(IF('01_Вводные'!$B$296="Новый сезон",FALSE,FALSE),'19_Расчет_аналитики'!BB408*CapacityAge01*'19_Расчет_аналитики'!$F$211,0)</f>
        <v/>
      </c>
      <c r="BC520">
        <f>IF(IF('01_Вводные'!$B$296="Новый сезон",FALSE,FALSE),'19_Расчет_аналитики'!BC408*CapacityAge01*'19_Расчет_аналитики'!$F$211,0)</f>
        <v/>
      </c>
      <c r="BD520">
        <f>IF(IF('01_Вводные'!$B$296="Новый сезон",FALSE,FALSE),'19_Расчет_аналитики'!BD408*CapacityAge01*'19_Расчет_аналитики'!$F$211,0)</f>
        <v/>
      </c>
      <c r="BE520">
        <f>IF(IF('01_Вводные'!$B$296="Новый сезон",FALSE,FALSE),'19_Расчет_аналитики'!BE408*CapacityAge01*'19_Расчет_аналитики'!$F$211,0)</f>
        <v/>
      </c>
      <c r="BF520">
        <f>IF(IF('01_Вводные'!$B$296="Новый сезон",FALSE,FALSE),'19_Расчет_аналитики'!BF408*CapacityAge01*'19_Расчет_аналитики'!$F$211,0)</f>
        <v/>
      </c>
      <c r="BG520">
        <f>IF(IF('01_Вводные'!$B$296="Новый сезон",FALSE,FALSE),'19_Расчет_аналитики'!BG408*CapacityAge01*'19_Расчет_аналитики'!$F$211,0)</f>
        <v/>
      </c>
      <c r="BH520">
        <f>IF(IF('01_Вводные'!$B$296="Новый сезон",FALSE,FALSE),'19_Расчет_аналитики'!BH408*CapacityAge01*'19_Расчет_аналитики'!$F$211,0)</f>
        <v/>
      </c>
      <c r="BI520">
        <f>IF(IF('01_Вводные'!$B$296="Новый сезон",FALSE,FALSE),'19_Расчет_аналитики'!BI408*CapacityAge01*'19_Расчет_аналитики'!$F$211,0)</f>
        <v/>
      </c>
      <c r="BJ520">
        <f>IF(IF('01_Вводные'!$B$296="Новый сезон",FALSE,FALSE),'19_Расчет_аналитики'!BJ408*CapacityAge01*'19_Расчет_аналитики'!$F$211,0)</f>
        <v/>
      </c>
      <c r="BK520">
        <f>IF(IF('01_Вводные'!$B$296="Новый сезон",FALSE,FALSE),'19_Расчет_аналитики'!BK408*CapacityAge01*'19_Расчет_аналитики'!$F$211,0)</f>
        <v/>
      </c>
      <c r="BL520">
        <f>IF(IF('01_Вводные'!$B$296="Новый сезон",FALSE,FALSE),'19_Расчет_аналитики'!BL408*CapacityAge01*'19_Расчет_аналитики'!$F$211,0)</f>
        <v/>
      </c>
      <c r="BM520">
        <f>IF(IF('01_Вводные'!$B$296="Новый сезон",FALSE,FALSE),'19_Расчет_аналитики'!BM408*CapacityAge01*'19_Расчет_аналитики'!$F$211,0)</f>
        <v/>
      </c>
      <c r="BN520">
        <f>IF(IF('01_Вводные'!$B$296="Новый сезон",FALSE,FALSE),'19_Расчет_аналитики'!BN408*CapacityAge01*'19_Расчет_аналитики'!$F$211,0)</f>
        <v/>
      </c>
      <c r="BO520">
        <f>IF(IF('01_Вводные'!$B$296="Новый сезон",FALSE,FALSE),'19_Расчет_аналитики'!BO408*CapacityAge01*'19_Расчет_аналитики'!$F$211,0)</f>
        <v/>
      </c>
    </row>
    <row r="521">
      <c r="B521">
        <f>IF(IF('01_Вводные'!$B$296="Новый сезон",FALSE,FALSE),'06_Сеть_и_дети'!B54*CapacityAge02*'19_Расчет_аналитики'!$F$211,0)</f>
        <v/>
      </c>
      <c r="C521">
        <f>IF(IF('01_Вводные'!$B$296="Новый сезон",FALSE,FALSE),'19_Расчет_аналитики'!C409*CapacityAge02*'19_Расчет_аналитики'!$F$211,0)</f>
        <v/>
      </c>
      <c r="D521">
        <f>IF(IF('01_Вводные'!$B$296="Новый сезон",FALSE,FALSE),'19_Расчет_аналитики'!D409*CapacityAge02*'19_Расчет_аналитики'!$F$211,0)</f>
        <v/>
      </c>
      <c r="E521">
        <f>IF(IF('01_Вводные'!$B$296="Новый сезон",FALSE,FALSE),'19_Расчет_аналитики'!E409*CapacityAge02*'19_Расчет_аналитики'!$F$211,0)</f>
        <v/>
      </c>
      <c r="F521">
        <f>IF(IF('01_Вводные'!$B$296="Новый сезон",FALSE,FALSE),'19_Расчет_аналитики'!F409*CapacityAge02*'19_Расчет_аналитики'!$F$211,0)</f>
        <v/>
      </c>
      <c r="G521">
        <f>IF(IF('01_Вводные'!$B$296="Новый сезон",FALSE,FALSE),'19_Расчет_аналитики'!G409*CapacityAge02*'19_Расчет_аналитики'!$F$211,0)</f>
        <v/>
      </c>
      <c r="H521">
        <f>IF(IF('01_Вводные'!$B$296="Новый сезон",FALSE,FALSE),'19_Расчет_аналитики'!H409*CapacityAge02*'19_Расчет_аналитики'!$F$211,0)</f>
        <v/>
      </c>
      <c r="I521">
        <f>IF(IF('01_Вводные'!$B$296="Новый сезон",FALSE,FALSE),'19_Расчет_аналитики'!I409*CapacityAge02*'19_Расчет_аналитики'!$F$211,0)</f>
        <v/>
      </c>
      <c r="J521">
        <f>IF(IF('01_Вводные'!$B$296="Новый сезон",FALSE,FALSE),'19_Расчет_аналитики'!J409*CapacityAge02*'19_Расчет_аналитики'!$F$211,0)</f>
        <v/>
      </c>
      <c r="K521">
        <f>IF(IF('01_Вводные'!$B$296="Новый сезон",FALSE,FALSE),'19_Расчет_аналитики'!K409*CapacityAge02*'19_Расчет_аналитики'!$F$211,0)</f>
        <v/>
      </c>
      <c r="L521">
        <f>IF(IF('01_Вводные'!$B$296="Новый сезон",FALSE,FALSE),'19_Расчет_аналитики'!L409*CapacityAge02*'19_Расчет_аналитики'!$F$211,0)</f>
        <v/>
      </c>
      <c r="M521">
        <f>IF(IF('01_Вводные'!$B$296="Новый сезон",FALSE,FALSE),'19_Расчет_аналитики'!M409*CapacityAge02*'19_Расчет_аналитики'!$F$211,0)</f>
        <v/>
      </c>
      <c r="N521">
        <f>IF(IF('01_Вводные'!$B$296="Новый сезон",FALSE,FALSE),'19_Расчет_аналитики'!N409*CapacityAge02*'19_Расчет_аналитики'!$F$211,0)</f>
        <v/>
      </c>
      <c r="O521">
        <f>IF(IF('01_Вводные'!$B$296="Новый сезон",FALSE,FALSE),'19_Расчет_аналитики'!O409*CapacityAge02*'19_Расчет_аналитики'!$F$211,0)</f>
        <v/>
      </c>
      <c r="P521">
        <f>IF(IF('01_Вводные'!$B$296="Новый сезон",FALSE,FALSE),'19_Расчет_аналитики'!P409*CapacityAge02*'19_Расчет_аналитики'!$F$211,0)</f>
        <v/>
      </c>
      <c r="Q521">
        <f>IF(IF('01_Вводные'!$B$296="Новый сезон",FALSE,FALSE),'19_Расчет_аналитики'!Q409*CapacityAge02*'19_Расчет_аналитики'!$F$211,0)</f>
        <v/>
      </c>
      <c r="R521">
        <f>IF(IF('01_Вводные'!$B$296="Новый сезон",FALSE,FALSE),'19_Расчет_аналитики'!R409*CapacityAge02*'19_Расчет_аналитики'!$F$211,0)</f>
        <v/>
      </c>
      <c r="S521">
        <f>IF(IF('01_Вводные'!$B$296="Новый сезон",FALSE,FALSE),'19_Расчет_аналитики'!S409*CapacityAge02*'19_Расчет_аналитики'!$F$211,0)</f>
        <v/>
      </c>
      <c r="T521">
        <f>IF(IF('01_Вводные'!$B$296="Новый сезон",FALSE,FALSE),'19_Расчет_аналитики'!T409*CapacityAge02*'19_Расчет_аналитики'!$F$211,0)</f>
        <v/>
      </c>
      <c r="U521">
        <f>IF(IF('01_Вводные'!$B$296="Новый сезон",FALSE,FALSE),'19_Расчет_аналитики'!U409*CapacityAge02*'19_Расчет_аналитики'!$F$211,0)</f>
        <v/>
      </c>
      <c r="V521">
        <f>IF(IF('01_Вводные'!$B$296="Новый сезон",FALSE,FALSE),'19_Расчет_аналитики'!V409*CapacityAge02*'19_Расчет_аналитики'!$F$211,0)</f>
        <v/>
      </c>
      <c r="W521">
        <f>IF(IF('01_Вводные'!$B$296="Новый сезон",FALSE,FALSE),'19_Расчет_аналитики'!W409*CapacityAge02*'19_Расчет_аналитики'!$F$211,0)</f>
        <v/>
      </c>
      <c r="X521">
        <f>IF(IF('01_Вводные'!$B$296="Новый сезон",FALSE,FALSE),'19_Расчет_аналитики'!X409*CapacityAge02*'19_Расчет_аналитики'!$F$211,0)</f>
        <v/>
      </c>
      <c r="Y521">
        <f>IF(IF('01_Вводные'!$B$296="Новый сезон",FALSE,FALSE),'19_Расчет_аналитики'!Y409*CapacityAge02*'19_Расчет_аналитики'!$F$211,0)</f>
        <v/>
      </c>
      <c r="Z521">
        <f>IF(IF('01_Вводные'!$B$296="Новый сезон",FALSE,FALSE),'19_Расчет_аналитики'!Z409*CapacityAge02*'19_Расчет_аналитики'!$F$211,0)</f>
        <v/>
      </c>
      <c r="AA521">
        <f>IF(IF('01_Вводные'!$B$296="Новый сезон",FALSE,FALSE),'19_Расчет_аналитики'!AA409*CapacityAge02*'19_Расчет_аналитики'!$F$211,0)</f>
        <v/>
      </c>
      <c r="AB521">
        <f>IF(IF('01_Вводные'!$B$296="Новый сезон",FALSE,FALSE),'19_Расчет_аналитики'!AB409*CapacityAge02*'19_Расчет_аналитики'!$F$211,0)</f>
        <v/>
      </c>
      <c r="AC521">
        <f>IF(IF('01_Вводные'!$B$296="Новый сезон",FALSE,FALSE),'19_Расчет_аналитики'!AC409*CapacityAge02*'19_Расчет_аналитики'!$F$211,0)</f>
        <v/>
      </c>
      <c r="AD521">
        <f>IF(IF('01_Вводные'!$B$296="Новый сезон",FALSE,FALSE),'19_Расчет_аналитики'!AD409*CapacityAge02*'19_Расчет_аналитики'!$F$211,0)</f>
        <v/>
      </c>
      <c r="AE521">
        <f>IF(IF('01_Вводные'!$B$296="Новый сезон",FALSE,FALSE),'19_Расчет_аналитики'!AE409*CapacityAge02*'19_Расчет_аналитики'!$F$211,0)</f>
        <v/>
      </c>
      <c r="AF521">
        <f>IF(IF('01_Вводные'!$B$296="Новый сезон",FALSE,FALSE),'19_Расчет_аналитики'!AF409*CapacityAge02*'19_Расчет_аналитики'!$F$211,0)</f>
        <v/>
      </c>
      <c r="AG521">
        <f>IF(IF('01_Вводные'!$B$296="Новый сезон",FALSE,FALSE),'19_Расчет_аналитики'!AG409*CapacityAge02*'19_Расчет_аналитики'!$F$211,0)</f>
        <v/>
      </c>
      <c r="AH521">
        <f>IF(IF('01_Вводные'!$B$296="Новый сезон",FALSE,FALSE),'19_Расчет_аналитики'!AH409*CapacityAge02*'19_Расчет_аналитики'!$F$211,0)</f>
        <v/>
      </c>
      <c r="AI521">
        <f>IF(IF('01_Вводные'!$B$296="Новый сезон",FALSE,FALSE),'19_Расчет_аналитики'!AI409*CapacityAge02*'19_Расчет_аналитики'!$F$211,0)</f>
        <v/>
      </c>
      <c r="AJ521">
        <f>IF(IF('01_Вводные'!$B$296="Новый сезон",FALSE,FALSE),'19_Расчет_аналитики'!AJ409*CapacityAge02*'19_Расчет_аналитики'!$F$211,0)</f>
        <v/>
      </c>
      <c r="AK521">
        <f>IF(IF('01_Вводные'!$B$296="Новый сезон",FALSE,FALSE),'19_Расчет_аналитики'!AK409*CapacityAge02*'19_Расчет_аналитики'!$F$211,0)</f>
        <v/>
      </c>
      <c r="AL521">
        <f>IF(IF('01_Вводные'!$B$296="Новый сезон",FALSE,FALSE),'19_Расчет_аналитики'!AL409*CapacityAge02*'19_Расчет_аналитики'!$F$211,0)</f>
        <v/>
      </c>
      <c r="AM521">
        <f>IF(IF('01_Вводные'!$B$296="Новый сезон",FALSE,FALSE),'19_Расчет_аналитики'!AM409*CapacityAge02*'19_Расчет_аналитики'!$F$211,0)</f>
        <v/>
      </c>
      <c r="AN521">
        <f>IF(IF('01_Вводные'!$B$296="Новый сезон",FALSE,FALSE),'19_Расчет_аналитики'!AN409*CapacityAge02*'19_Расчет_аналитики'!$F$211,0)</f>
        <v/>
      </c>
      <c r="AO521">
        <f>IF(IF('01_Вводные'!$B$296="Новый сезон",FALSE,FALSE),'19_Расчет_аналитики'!AO409*CapacityAge02*'19_Расчет_аналитики'!$F$211,0)</f>
        <v/>
      </c>
      <c r="AP521">
        <f>IF(IF('01_Вводные'!$B$296="Новый сезон",FALSE,FALSE),'19_Расчет_аналитики'!AP409*CapacityAge02*'19_Расчет_аналитики'!$F$211,0)</f>
        <v/>
      </c>
      <c r="AQ521">
        <f>IF(IF('01_Вводные'!$B$296="Новый сезон",FALSE,FALSE),'19_Расчет_аналитики'!AQ409*CapacityAge02*'19_Расчет_аналитики'!$F$211,0)</f>
        <v/>
      </c>
      <c r="AR521">
        <f>IF(IF('01_Вводные'!$B$296="Новый сезон",FALSE,FALSE),'19_Расчет_аналитики'!AR409*CapacityAge02*'19_Расчет_аналитики'!$F$211,0)</f>
        <v/>
      </c>
      <c r="AS521">
        <f>IF(IF('01_Вводные'!$B$296="Новый сезон",FALSE,FALSE),'19_Расчет_аналитики'!AS409*CapacityAge02*'19_Расчет_аналитики'!$F$211,0)</f>
        <v/>
      </c>
      <c r="AT521">
        <f>IF(IF('01_Вводные'!$B$296="Новый сезон",FALSE,FALSE),'19_Расчет_аналитики'!AT409*CapacityAge02*'19_Расчет_аналитики'!$F$211,0)</f>
        <v/>
      </c>
      <c r="AU521">
        <f>IF(IF('01_Вводные'!$B$296="Новый сезон",FALSE,FALSE),'19_Расчет_аналитики'!AU409*CapacityAge02*'19_Расчет_аналитики'!$F$211,0)</f>
        <v/>
      </c>
      <c r="AV521">
        <f>IF(IF('01_Вводные'!$B$296="Новый сезон",FALSE,FALSE),'19_Расчет_аналитики'!AV409*CapacityAge02*'19_Расчет_аналитики'!$F$211,0)</f>
        <v/>
      </c>
      <c r="AW521">
        <f>IF(IF('01_Вводные'!$B$296="Новый сезон",FALSE,FALSE),'19_Расчет_аналитики'!AW409*CapacityAge02*'19_Расчет_аналитики'!$F$211,0)</f>
        <v/>
      </c>
      <c r="AX521">
        <f>IF(IF('01_Вводные'!$B$296="Новый сезон",FALSE,FALSE),'19_Расчет_аналитики'!AX409*CapacityAge02*'19_Расчет_аналитики'!$F$211,0)</f>
        <v/>
      </c>
      <c r="AY521">
        <f>IF(IF('01_Вводные'!$B$296="Новый сезон",FALSE,FALSE),'19_Расчет_аналитики'!AY409*CapacityAge02*'19_Расчет_аналитики'!$F$211,0)</f>
        <v/>
      </c>
      <c r="AZ521">
        <f>IF(IF('01_Вводные'!$B$296="Новый сезон",FALSE,FALSE),'19_Расчет_аналитики'!AZ409*CapacityAge02*'19_Расчет_аналитики'!$F$211,0)</f>
        <v/>
      </c>
      <c r="BA521">
        <f>IF(IF('01_Вводные'!$B$296="Новый сезон",FALSE,FALSE),'19_Расчет_аналитики'!BA409*CapacityAge02*'19_Расчет_аналитики'!$F$211,0)</f>
        <v/>
      </c>
      <c r="BB521">
        <f>IF(IF('01_Вводные'!$B$296="Новый сезон",FALSE,FALSE),'19_Расчет_аналитики'!BB409*CapacityAge02*'19_Расчет_аналитики'!$F$211,0)</f>
        <v/>
      </c>
      <c r="BC521">
        <f>IF(IF('01_Вводные'!$B$296="Новый сезон",FALSE,FALSE),'19_Расчет_аналитики'!BC409*CapacityAge02*'19_Расчет_аналитики'!$F$211,0)</f>
        <v/>
      </c>
      <c r="BD521">
        <f>IF(IF('01_Вводные'!$B$296="Новый сезон",FALSE,FALSE),'19_Расчет_аналитики'!BD409*CapacityAge02*'19_Расчет_аналитики'!$F$211,0)</f>
        <v/>
      </c>
      <c r="BE521">
        <f>IF(IF('01_Вводные'!$B$296="Новый сезон",FALSE,FALSE),'19_Расчет_аналитики'!BE409*CapacityAge02*'19_Расчет_аналитики'!$F$211,0)</f>
        <v/>
      </c>
      <c r="BF521">
        <f>IF(IF('01_Вводные'!$B$296="Новый сезон",FALSE,FALSE),'19_Расчет_аналитики'!BF409*CapacityAge02*'19_Расчет_аналитики'!$F$211,0)</f>
        <v/>
      </c>
      <c r="BG521">
        <f>IF(IF('01_Вводные'!$B$296="Новый сезон",FALSE,FALSE),'19_Расчет_аналитики'!BG409*CapacityAge02*'19_Расчет_аналитики'!$F$211,0)</f>
        <v/>
      </c>
      <c r="BH521">
        <f>IF(IF('01_Вводные'!$B$296="Новый сезон",FALSE,FALSE),'19_Расчет_аналитики'!BH409*CapacityAge02*'19_Расчет_аналитики'!$F$211,0)</f>
        <v/>
      </c>
      <c r="BI521">
        <f>IF(IF('01_Вводные'!$B$296="Новый сезон",FALSE,FALSE),'19_Расчет_аналитики'!BI409*CapacityAge02*'19_Расчет_аналитики'!$F$211,0)</f>
        <v/>
      </c>
      <c r="BJ521">
        <f>IF(IF('01_Вводные'!$B$296="Новый сезон",FALSE,FALSE),'19_Расчет_аналитики'!BJ409*CapacityAge02*'19_Расчет_аналитики'!$F$211,0)</f>
        <v/>
      </c>
      <c r="BK521">
        <f>IF(IF('01_Вводные'!$B$296="Новый сезон",FALSE,FALSE),'19_Расчет_аналитики'!BK409*CapacityAge02*'19_Расчет_аналитики'!$F$211,0)</f>
        <v/>
      </c>
      <c r="BL521">
        <f>IF(IF('01_Вводные'!$B$296="Новый сезон",FALSE,FALSE),'19_Расчет_аналитики'!BL409*CapacityAge02*'19_Расчет_аналитики'!$F$211,0)</f>
        <v/>
      </c>
      <c r="BM521">
        <f>IF(IF('01_Вводные'!$B$296="Новый сезон",FALSE,FALSE),'19_Расчет_аналитики'!BM409*CapacityAge02*'19_Расчет_аналитики'!$F$211,0)</f>
        <v/>
      </c>
      <c r="BN521">
        <f>IF(IF('01_Вводные'!$B$296="Новый сезон",FALSE,FALSE),'19_Расчет_аналитики'!BN409*CapacityAge02*'19_Расчет_аналитики'!$F$211,0)</f>
        <v/>
      </c>
      <c r="BO521">
        <f>IF(IF('01_Вводные'!$B$296="Новый сезон",FALSE,FALSE),'19_Расчет_аналитики'!BO409*CapacityAge02*'19_Расчет_аналитики'!$F$211,0)</f>
        <v/>
      </c>
    </row>
    <row r="522">
      <c r="B522">
        <f>IF(IF('01_Вводные'!$B$296="Новый сезон",FALSE,FALSE),'06_Сеть_и_дети'!B55*CapacityAge03*'19_Расчет_аналитики'!$F$211,0)</f>
        <v/>
      </c>
      <c r="C522">
        <f>IF(IF('01_Вводные'!$B$296="Новый сезон",FALSE,FALSE),'06_Сеть_и_дети'!C55*CapacityAge03*'19_Расчет_аналитики'!$F$211,0)</f>
        <v/>
      </c>
      <c r="D522">
        <f>IF(IF('01_Вводные'!$B$296="Новый сезон",FALSE,FALSE),'19_Расчет_аналитики'!D410*CapacityAge03*'19_Расчет_аналитики'!$F$211,0)</f>
        <v/>
      </c>
      <c r="E522">
        <f>IF(IF('01_Вводные'!$B$296="Новый сезон",FALSE,FALSE),'19_Расчет_аналитики'!E410*CapacityAge03*'19_Расчет_аналитики'!$F$211,0)</f>
        <v/>
      </c>
      <c r="F522">
        <f>IF(IF('01_Вводные'!$B$296="Новый сезон",FALSE,FALSE),'19_Расчет_аналитики'!F410*CapacityAge03*'19_Расчет_аналитики'!$F$211,0)</f>
        <v/>
      </c>
      <c r="G522">
        <f>IF(IF('01_Вводные'!$B$296="Новый сезон",FALSE,FALSE),'19_Расчет_аналитики'!G410*CapacityAge03*'19_Расчет_аналитики'!$F$211,0)</f>
        <v/>
      </c>
      <c r="H522">
        <f>IF(IF('01_Вводные'!$B$296="Новый сезон",FALSE,FALSE),'19_Расчет_аналитики'!H410*CapacityAge03*'19_Расчет_аналитики'!$F$211,0)</f>
        <v/>
      </c>
      <c r="I522">
        <f>IF(IF('01_Вводные'!$B$296="Новый сезон",FALSE,FALSE),'19_Расчет_аналитики'!I410*CapacityAge03*'19_Расчет_аналитики'!$F$211,0)</f>
        <v/>
      </c>
      <c r="J522">
        <f>IF(IF('01_Вводные'!$B$296="Новый сезон",FALSE,FALSE),'19_Расчет_аналитики'!J410*CapacityAge03*'19_Расчет_аналитики'!$F$211,0)</f>
        <v/>
      </c>
      <c r="K522">
        <f>IF(IF('01_Вводные'!$B$296="Новый сезон",FALSE,FALSE),'19_Расчет_аналитики'!K410*CapacityAge03*'19_Расчет_аналитики'!$F$211,0)</f>
        <v/>
      </c>
      <c r="L522">
        <f>IF(IF('01_Вводные'!$B$296="Новый сезон",FALSE,FALSE),'19_Расчет_аналитики'!L410*CapacityAge03*'19_Расчет_аналитики'!$F$211,0)</f>
        <v/>
      </c>
      <c r="M522">
        <f>IF(IF('01_Вводные'!$B$296="Новый сезон",FALSE,FALSE),'19_Расчет_аналитики'!M410*CapacityAge03*'19_Расчет_аналитики'!$F$211,0)</f>
        <v/>
      </c>
      <c r="N522">
        <f>IF(IF('01_Вводные'!$B$296="Новый сезон",FALSE,FALSE),'19_Расчет_аналитики'!N410*CapacityAge03*'19_Расчет_аналитики'!$F$211,0)</f>
        <v/>
      </c>
      <c r="O522">
        <f>IF(IF('01_Вводные'!$B$296="Новый сезон",FALSE,FALSE),'19_Расчет_аналитики'!O410*CapacityAge03*'19_Расчет_аналитики'!$F$211,0)</f>
        <v/>
      </c>
      <c r="P522">
        <f>IF(IF('01_Вводные'!$B$296="Новый сезон",FALSE,FALSE),'19_Расчет_аналитики'!P410*CapacityAge03*'19_Расчет_аналитики'!$F$211,0)</f>
        <v/>
      </c>
      <c r="Q522">
        <f>IF(IF('01_Вводные'!$B$296="Новый сезон",FALSE,FALSE),'19_Расчет_аналитики'!Q410*CapacityAge03*'19_Расчет_аналитики'!$F$211,0)</f>
        <v/>
      </c>
      <c r="R522">
        <f>IF(IF('01_Вводные'!$B$296="Новый сезон",FALSE,FALSE),'19_Расчет_аналитики'!R410*CapacityAge03*'19_Расчет_аналитики'!$F$211,0)</f>
        <v/>
      </c>
      <c r="S522">
        <f>IF(IF('01_Вводные'!$B$296="Новый сезон",FALSE,FALSE),'19_Расчет_аналитики'!S410*CapacityAge03*'19_Расчет_аналитики'!$F$211,0)</f>
        <v/>
      </c>
      <c r="T522">
        <f>IF(IF('01_Вводные'!$B$296="Новый сезон",FALSE,FALSE),'19_Расчет_аналитики'!T410*CapacityAge03*'19_Расчет_аналитики'!$F$211,0)</f>
        <v/>
      </c>
      <c r="U522">
        <f>IF(IF('01_Вводные'!$B$296="Новый сезон",FALSE,FALSE),'19_Расчет_аналитики'!U410*CapacityAge03*'19_Расчет_аналитики'!$F$211,0)</f>
        <v/>
      </c>
      <c r="V522">
        <f>IF(IF('01_Вводные'!$B$296="Новый сезон",FALSE,FALSE),'19_Расчет_аналитики'!V410*CapacityAge03*'19_Расчет_аналитики'!$F$211,0)</f>
        <v/>
      </c>
      <c r="W522">
        <f>IF(IF('01_Вводные'!$B$296="Новый сезон",FALSE,FALSE),'19_Расчет_аналитики'!W410*CapacityAge03*'19_Расчет_аналитики'!$F$211,0)</f>
        <v/>
      </c>
      <c r="X522">
        <f>IF(IF('01_Вводные'!$B$296="Новый сезон",FALSE,FALSE),'19_Расчет_аналитики'!X410*CapacityAge03*'19_Расчет_аналитики'!$F$211,0)</f>
        <v/>
      </c>
      <c r="Y522">
        <f>IF(IF('01_Вводные'!$B$296="Новый сезон",FALSE,FALSE),'19_Расчет_аналитики'!Y410*CapacityAge03*'19_Расчет_аналитики'!$F$211,0)</f>
        <v/>
      </c>
      <c r="Z522">
        <f>IF(IF('01_Вводные'!$B$296="Новый сезон",FALSE,FALSE),'19_Расчет_аналитики'!Z410*CapacityAge03*'19_Расчет_аналитики'!$F$211,0)</f>
        <v/>
      </c>
      <c r="AA522">
        <f>IF(IF('01_Вводные'!$B$296="Новый сезон",FALSE,FALSE),'19_Расчет_аналитики'!AA410*CapacityAge03*'19_Расчет_аналитики'!$F$211,0)</f>
        <v/>
      </c>
      <c r="AB522">
        <f>IF(IF('01_Вводные'!$B$296="Новый сезон",FALSE,FALSE),'19_Расчет_аналитики'!AB410*CapacityAge03*'19_Расчет_аналитики'!$F$211,0)</f>
        <v/>
      </c>
      <c r="AC522">
        <f>IF(IF('01_Вводные'!$B$296="Новый сезон",FALSE,FALSE),'19_Расчет_аналитики'!AC410*CapacityAge03*'19_Расчет_аналитики'!$F$211,0)</f>
        <v/>
      </c>
      <c r="AD522">
        <f>IF(IF('01_Вводные'!$B$296="Новый сезон",FALSE,FALSE),'19_Расчет_аналитики'!AD410*CapacityAge03*'19_Расчет_аналитики'!$F$211,0)</f>
        <v/>
      </c>
      <c r="AE522">
        <f>IF(IF('01_Вводные'!$B$296="Новый сезон",FALSE,FALSE),'19_Расчет_аналитики'!AE410*CapacityAge03*'19_Расчет_аналитики'!$F$211,0)</f>
        <v/>
      </c>
      <c r="AF522">
        <f>IF(IF('01_Вводные'!$B$296="Новый сезон",FALSE,FALSE),'19_Расчет_аналитики'!AF410*CapacityAge03*'19_Расчет_аналитики'!$F$211,0)</f>
        <v/>
      </c>
      <c r="AG522">
        <f>IF(IF('01_Вводные'!$B$296="Новый сезон",FALSE,FALSE),'19_Расчет_аналитики'!AG410*CapacityAge03*'19_Расчет_аналитики'!$F$211,0)</f>
        <v/>
      </c>
      <c r="AH522">
        <f>IF(IF('01_Вводные'!$B$296="Новый сезон",FALSE,FALSE),'19_Расчет_аналитики'!AH410*CapacityAge03*'19_Расчет_аналитики'!$F$211,0)</f>
        <v/>
      </c>
      <c r="AI522">
        <f>IF(IF('01_Вводные'!$B$296="Новый сезон",FALSE,FALSE),'19_Расчет_аналитики'!AI410*CapacityAge03*'19_Расчет_аналитики'!$F$211,0)</f>
        <v/>
      </c>
      <c r="AJ522">
        <f>IF(IF('01_Вводные'!$B$296="Новый сезон",FALSE,FALSE),'19_Расчет_аналитики'!AJ410*CapacityAge03*'19_Расчет_аналитики'!$F$211,0)</f>
        <v/>
      </c>
      <c r="AK522">
        <f>IF(IF('01_Вводные'!$B$296="Новый сезон",FALSE,FALSE),'19_Расчет_аналитики'!AK410*CapacityAge03*'19_Расчет_аналитики'!$F$211,0)</f>
        <v/>
      </c>
      <c r="AL522">
        <f>IF(IF('01_Вводные'!$B$296="Новый сезон",FALSE,FALSE),'19_Расчет_аналитики'!AL410*CapacityAge03*'19_Расчет_аналитики'!$F$211,0)</f>
        <v/>
      </c>
      <c r="AM522">
        <f>IF(IF('01_Вводные'!$B$296="Новый сезон",FALSE,FALSE),'19_Расчет_аналитики'!AM410*CapacityAge03*'19_Расчет_аналитики'!$F$211,0)</f>
        <v/>
      </c>
      <c r="AN522">
        <f>IF(IF('01_Вводные'!$B$296="Новый сезон",FALSE,FALSE),'19_Расчет_аналитики'!AN410*CapacityAge03*'19_Расчет_аналитики'!$F$211,0)</f>
        <v/>
      </c>
      <c r="AO522">
        <f>IF(IF('01_Вводные'!$B$296="Новый сезон",FALSE,FALSE),'19_Расчет_аналитики'!AO410*CapacityAge03*'19_Расчет_аналитики'!$F$211,0)</f>
        <v/>
      </c>
      <c r="AP522">
        <f>IF(IF('01_Вводные'!$B$296="Новый сезон",FALSE,FALSE),'19_Расчет_аналитики'!AP410*CapacityAge03*'19_Расчет_аналитики'!$F$211,0)</f>
        <v/>
      </c>
      <c r="AQ522">
        <f>IF(IF('01_Вводные'!$B$296="Новый сезон",FALSE,FALSE),'19_Расчет_аналитики'!AQ410*CapacityAge03*'19_Расчет_аналитики'!$F$211,0)</f>
        <v/>
      </c>
      <c r="AR522">
        <f>IF(IF('01_Вводные'!$B$296="Новый сезон",FALSE,FALSE),'19_Расчет_аналитики'!AR410*CapacityAge03*'19_Расчет_аналитики'!$F$211,0)</f>
        <v/>
      </c>
      <c r="AS522">
        <f>IF(IF('01_Вводные'!$B$296="Новый сезон",FALSE,FALSE),'19_Расчет_аналитики'!AS410*CapacityAge03*'19_Расчет_аналитики'!$F$211,0)</f>
        <v/>
      </c>
      <c r="AT522">
        <f>IF(IF('01_Вводные'!$B$296="Новый сезон",FALSE,FALSE),'19_Расчет_аналитики'!AT410*CapacityAge03*'19_Расчет_аналитики'!$F$211,0)</f>
        <v/>
      </c>
      <c r="AU522">
        <f>IF(IF('01_Вводные'!$B$296="Новый сезон",FALSE,FALSE),'19_Расчет_аналитики'!AU410*CapacityAge03*'19_Расчет_аналитики'!$F$211,0)</f>
        <v/>
      </c>
      <c r="AV522">
        <f>IF(IF('01_Вводные'!$B$296="Новый сезон",FALSE,FALSE),'19_Расчет_аналитики'!AV410*CapacityAge03*'19_Расчет_аналитики'!$F$211,0)</f>
        <v/>
      </c>
      <c r="AW522">
        <f>IF(IF('01_Вводные'!$B$296="Новый сезон",FALSE,FALSE),'19_Расчет_аналитики'!AW410*CapacityAge03*'19_Расчет_аналитики'!$F$211,0)</f>
        <v/>
      </c>
      <c r="AX522">
        <f>IF(IF('01_Вводные'!$B$296="Новый сезон",FALSE,FALSE),'19_Расчет_аналитики'!AX410*CapacityAge03*'19_Расчет_аналитики'!$F$211,0)</f>
        <v/>
      </c>
      <c r="AY522">
        <f>IF(IF('01_Вводные'!$B$296="Новый сезон",FALSE,FALSE),'19_Расчет_аналитики'!AY410*CapacityAge03*'19_Расчет_аналитики'!$F$211,0)</f>
        <v/>
      </c>
      <c r="AZ522">
        <f>IF(IF('01_Вводные'!$B$296="Новый сезон",FALSE,FALSE),'19_Расчет_аналитики'!AZ410*CapacityAge03*'19_Расчет_аналитики'!$F$211,0)</f>
        <v/>
      </c>
      <c r="BA522">
        <f>IF(IF('01_Вводные'!$B$296="Новый сезон",FALSE,FALSE),'19_Расчет_аналитики'!BA410*CapacityAge03*'19_Расчет_аналитики'!$F$211,0)</f>
        <v/>
      </c>
      <c r="BB522">
        <f>IF(IF('01_Вводные'!$B$296="Новый сезон",FALSE,FALSE),'19_Расчет_аналитики'!BB410*CapacityAge03*'19_Расчет_аналитики'!$F$211,0)</f>
        <v/>
      </c>
      <c r="BC522">
        <f>IF(IF('01_Вводные'!$B$296="Новый сезон",FALSE,FALSE),'19_Расчет_аналитики'!BC410*CapacityAge03*'19_Расчет_аналитики'!$F$211,0)</f>
        <v/>
      </c>
      <c r="BD522">
        <f>IF(IF('01_Вводные'!$B$296="Новый сезон",FALSE,FALSE),'19_Расчет_аналитики'!BD410*CapacityAge03*'19_Расчет_аналитики'!$F$211,0)</f>
        <v/>
      </c>
      <c r="BE522">
        <f>IF(IF('01_Вводные'!$B$296="Новый сезон",FALSE,FALSE),'19_Расчет_аналитики'!BE410*CapacityAge03*'19_Расчет_аналитики'!$F$211,0)</f>
        <v/>
      </c>
      <c r="BF522">
        <f>IF(IF('01_Вводные'!$B$296="Новый сезон",FALSE,FALSE),'19_Расчет_аналитики'!BF410*CapacityAge03*'19_Расчет_аналитики'!$F$211,0)</f>
        <v/>
      </c>
      <c r="BG522">
        <f>IF(IF('01_Вводные'!$B$296="Новый сезон",FALSE,FALSE),'19_Расчет_аналитики'!BG410*CapacityAge03*'19_Расчет_аналитики'!$F$211,0)</f>
        <v/>
      </c>
      <c r="BH522">
        <f>IF(IF('01_Вводные'!$B$296="Новый сезон",FALSE,FALSE),'19_Расчет_аналитики'!BH410*CapacityAge03*'19_Расчет_аналитики'!$F$211,0)</f>
        <v/>
      </c>
      <c r="BI522">
        <f>IF(IF('01_Вводные'!$B$296="Новый сезон",FALSE,FALSE),'19_Расчет_аналитики'!BI410*CapacityAge03*'19_Расчет_аналитики'!$F$211,0)</f>
        <v/>
      </c>
      <c r="BJ522">
        <f>IF(IF('01_Вводные'!$B$296="Новый сезон",FALSE,FALSE),'19_Расчет_аналитики'!BJ410*CapacityAge03*'19_Расчет_аналитики'!$F$211,0)</f>
        <v/>
      </c>
      <c r="BK522">
        <f>IF(IF('01_Вводные'!$B$296="Новый сезон",FALSE,FALSE),'19_Расчет_аналитики'!BK410*CapacityAge03*'19_Расчет_аналитики'!$F$211,0)</f>
        <v/>
      </c>
      <c r="BL522">
        <f>IF(IF('01_Вводные'!$B$296="Новый сезон",FALSE,FALSE),'19_Расчет_аналитики'!BL410*CapacityAge03*'19_Расчет_аналитики'!$F$211,0)</f>
        <v/>
      </c>
      <c r="BM522">
        <f>IF(IF('01_Вводные'!$B$296="Новый сезон",FALSE,FALSE),'19_Расчет_аналитики'!BM410*CapacityAge03*'19_Расчет_аналитики'!$F$211,0)</f>
        <v/>
      </c>
      <c r="BN522">
        <f>IF(IF('01_Вводные'!$B$296="Новый сезон",FALSE,FALSE),'19_Расчет_аналитики'!BN410*CapacityAge03*'19_Расчет_аналитики'!$F$211,0)</f>
        <v/>
      </c>
      <c r="BO522">
        <f>IF(IF('01_Вводные'!$B$296="Новый сезон",FALSE,FALSE),'19_Расчет_аналитики'!BO410*CapacityAge03*'19_Расчет_аналитики'!$F$211,0)</f>
        <v/>
      </c>
    </row>
    <row r="523">
      <c r="B523">
        <f>IF(IF('01_Вводные'!$B$296="Новый сезон",FALSE,FALSE),'06_Сеть_и_дети'!B56*CapacityAge04*'19_Расчет_аналитики'!$F$211,0)</f>
        <v/>
      </c>
      <c r="C523">
        <f>IF(IF('01_Вводные'!$B$296="Новый сезон",FALSE,FALSE),'06_Сеть_и_дети'!C56*CapacityAge04*'19_Расчет_аналитики'!$F$211,0)</f>
        <v/>
      </c>
      <c r="D523">
        <f>IF(IF('01_Вводные'!$B$296="Новый сезон",FALSE,FALSE),'06_Сеть_и_дети'!D56*CapacityAge04*'19_Расчет_аналитики'!$F$211,0)</f>
        <v/>
      </c>
      <c r="E523">
        <f>IF(IF('01_Вводные'!$B$296="Новый сезон",FALSE,FALSE),'19_Расчет_аналитики'!E411*CapacityAge04*'19_Расчет_аналитики'!$F$211,0)</f>
        <v/>
      </c>
      <c r="F523">
        <f>IF(IF('01_Вводные'!$B$296="Новый сезон",FALSE,FALSE),'19_Расчет_аналитики'!F411*CapacityAge04*'19_Расчет_аналитики'!$F$211,0)</f>
        <v/>
      </c>
      <c r="G523">
        <f>IF(IF('01_Вводные'!$B$296="Новый сезон",FALSE,FALSE),'19_Расчет_аналитики'!G411*CapacityAge04*'19_Расчет_аналитики'!$F$211,0)</f>
        <v/>
      </c>
      <c r="H523">
        <f>IF(IF('01_Вводные'!$B$296="Новый сезон",FALSE,FALSE),'19_Расчет_аналитики'!H411*CapacityAge04*'19_Расчет_аналитики'!$F$211,0)</f>
        <v/>
      </c>
      <c r="I523">
        <f>IF(IF('01_Вводные'!$B$296="Новый сезон",FALSE,FALSE),'19_Расчет_аналитики'!I411*CapacityAge04*'19_Расчет_аналитики'!$F$211,0)</f>
        <v/>
      </c>
      <c r="J523">
        <f>IF(IF('01_Вводные'!$B$296="Новый сезон",FALSE,FALSE),'19_Расчет_аналитики'!J411*CapacityAge04*'19_Расчет_аналитики'!$F$211,0)</f>
        <v/>
      </c>
      <c r="K523">
        <f>IF(IF('01_Вводные'!$B$296="Новый сезон",FALSE,FALSE),'19_Расчет_аналитики'!K411*CapacityAge04*'19_Расчет_аналитики'!$F$211,0)</f>
        <v/>
      </c>
      <c r="L523">
        <f>IF(IF('01_Вводные'!$B$296="Новый сезон",FALSE,FALSE),'19_Расчет_аналитики'!L411*CapacityAge04*'19_Расчет_аналитики'!$F$211,0)</f>
        <v/>
      </c>
      <c r="M523">
        <f>IF(IF('01_Вводные'!$B$296="Новый сезон",FALSE,FALSE),'19_Расчет_аналитики'!M411*CapacityAge04*'19_Расчет_аналитики'!$F$211,0)</f>
        <v/>
      </c>
      <c r="N523">
        <f>IF(IF('01_Вводные'!$B$296="Новый сезон",FALSE,FALSE),'19_Расчет_аналитики'!N411*CapacityAge04*'19_Расчет_аналитики'!$F$211,0)</f>
        <v/>
      </c>
      <c r="O523">
        <f>IF(IF('01_Вводные'!$B$296="Новый сезон",FALSE,FALSE),'19_Расчет_аналитики'!O411*CapacityAge04*'19_Расчет_аналитики'!$F$211,0)</f>
        <v/>
      </c>
      <c r="P523">
        <f>IF(IF('01_Вводные'!$B$296="Новый сезон",FALSE,FALSE),'19_Расчет_аналитики'!P411*CapacityAge04*'19_Расчет_аналитики'!$F$211,0)</f>
        <v/>
      </c>
      <c r="Q523">
        <f>IF(IF('01_Вводные'!$B$296="Новый сезон",FALSE,FALSE),'19_Расчет_аналитики'!Q411*CapacityAge04*'19_Расчет_аналитики'!$F$211,0)</f>
        <v/>
      </c>
      <c r="R523">
        <f>IF(IF('01_Вводные'!$B$296="Новый сезон",FALSE,FALSE),'19_Расчет_аналитики'!R411*CapacityAge04*'19_Расчет_аналитики'!$F$211,0)</f>
        <v/>
      </c>
      <c r="S523">
        <f>IF(IF('01_Вводные'!$B$296="Новый сезон",FALSE,FALSE),'19_Расчет_аналитики'!S411*CapacityAge04*'19_Расчет_аналитики'!$F$211,0)</f>
        <v/>
      </c>
      <c r="T523">
        <f>IF(IF('01_Вводные'!$B$296="Новый сезон",FALSE,FALSE),'19_Расчет_аналитики'!T411*CapacityAge04*'19_Расчет_аналитики'!$F$211,0)</f>
        <v/>
      </c>
      <c r="U523">
        <f>IF(IF('01_Вводные'!$B$296="Новый сезон",FALSE,FALSE),'19_Расчет_аналитики'!U411*CapacityAge04*'19_Расчет_аналитики'!$F$211,0)</f>
        <v/>
      </c>
      <c r="V523">
        <f>IF(IF('01_Вводные'!$B$296="Новый сезон",FALSE,FALSE),'19_Расчет_аналитики'!V411*CapacityAge04*'19_Расчет_аналитики'!$F$211,0)</f>
        <v/>
      </c>
      <c r="W523">
        <f>IF(IF('01_Вводные'!$B$296="Новый сезон",FALSE,FALSE),'19_Расчет_аналитики'!W411*CapacityAge04*'19_Расчет_аналитики'!$F$211,0)</f>
        <v/>
      </c>
      <c r="X523">
        <f>IF(IF('01_Вводные'!$B$296="Новый сезон",FALSE,FALSE),'19_Расчет_аналитики'!X411*CapacityAge04*'19_Расчет_аналитики'!$F$211,0)</f>
        <v/>
      </c>
      <c r="Y523">
        <f>IF(IF('01_Вводные'!$B$296="Новый сезон",FALSE,FALSE),'19_Расчет_аналитики'!Y411*CapacityAge04*'19_Расчет_аналитики'!$F$211,0)</f>
        <v/>
      </c>
      <c r="Z523">
        <f>IF(IF('01_Вводные'!$B$296="Новый сезон",FALSE,FALSE),'19_Расчет_аналитики'!Z411*CapacityAge04*'19_Расчет_аналитики'!$F$211,0)</f>
        <v/>
      </c>
      <c r="AA523">
        <f>IF(IF('01_Вводные'!$B$296="Новый сезон",FALSE,FALSE),'19_Расчет_аналитики'!AA411*CapacityAge04*'19_Расчет_аналитики'!$F$211,0)</f>
        <v/>
      </c>
      <c r="AB523">
        <f>IF(IF('01_Вводные'!$B$296="Новый сезон",FALSE,FALSE),'19_Расчет_аналитики'!AB411*CapacityAge04*'19_Расчет_аналитики'!$F$211,0)</f>
        <v/>
      </c>
      <c r="AC523">
        <f>IF(IF('01_Вводные'!$B$296="Новый сезон",FALSE,FALSE),'19_Расчет_аналитики'!AC411*CapacityAge04*'19_Расчет_аналитики'!$F$211,0)</f>
        <v/>
      </c>
      <c r="AD523">
        <f>IF(IF('01_Вводные'!$B$296="Новый сезон",FALSE,FALSE),'19_Расчет_аналитики'!AD411*CapacityAge04*'19_Расчет_аналитики'!$F$211,0)</f>
        <v/>
      </c>
      <c r="AE523">
        <f>IF(IF('01_Вводные'!$B$296="Новый сезон",FALSE,FALSE),'19_Расчет_аналитики'!AE411*CapacityAge04*'19_Расчет_аналитики'!$F$211,0)</f>
        <v/>
      </c>
      <c r="AF523">
        <f>IF(IF('01_Вводные'!$B$296="Новый сезон",FALSE,FALSE),'19_Расчет_аналитики'!AF411*CapacityAge04*'19_Расчет_аналитики'!$F$211,0)</f>
        <v/>
      </c>
      <c r="AG523">
        <f>IF(IF('01_Вводные'!$B$296="Новый сезон",FALSE,FALSE),'19_Расчет_аналитики'!AG411*CapacityAge04*'19_Расчет_аналитики'!$F$211,0)</f>
        <v/>
      </c>
      <c r="AH523">
        <f>IF(IF('01_Вводные'!$B$296="Новый сезон",FALSE,FALSE),'19_Расчет_аналитики'!AH411*CapacityAge04*'19_Расчет_аналитики'!$F$211,0)</f>
        <v/>
      </c>
      <c r="AI523">
        <f>IF(IF('01_Вводные'!$B$296="Новый сезон",FALSE,FALSE),'19_Расчет_аналитики'!AI411*CapacityAge04*'19_Расчет_аналитики'!$F$211,0)</f>
        <v/>
      </c>
      <c r="AJ523">
        <f>IF(IF('01_Вводные'!$B$296="Новый сезон",FALSE,FALSE),'19_Расчет_аналитики'!AJ411*CapacityAge04*'19_Расчет_аналитики'!$F$211,0)</f>
        <v/>
      </c>
      <c r="AK523">
        <f>IF(IF('01_Вводные'!$B$296="Новый сезон",FALSE,FALSE),'19_Расчет_аналитики'!AK411*CapacityAge04*'19_Расчет_аналитики'!$F$211,0)</f>
        <v/>
      </c>
      <c r="AL523">
        <f>IF(IF('01_Вводные'!$B$296="Новый сезон",FALSE,FALSE),'19_Расчет_аналитики'!AL411*CapacityAge04*'19_Расчет_аналитики'!$F$211,0)</f>
        <v/>
      </c>
      <c r="AM523">
        <f>IF(IF('01_Вводные'!$B$296="Новый сезон",FALSE,FALSE),'19_Расчет_аналитики'!AM411*CapacityAge04*'19_Расчет_аналитики'!$F$211,0)</f>
        <v/>
      </c>
      <c r="AN523">
        <f>IF(IF('01_Вводные'!$B$296="Новый сезон",FALSE,FALSE),'19_Расчет_аналитики'!AN411*CapacityAge04*'19_Расчет_аналитики'!$F$211,0)</f>
        <v/>
      </c>
      <c r="AO523">
        <f>IF(IF('01_Вводные'!$B$296="Новый сезон",FALSE,FALSE),'19_Расчет_аналитики'!AO411*CapacityAge04*'19_Расчет_аналитики'!$F$211,0)</f>
        <v/>
      </c>
      <c r="AP523">
        <f>IF(IF('01_Вводные'!$B$296="Новый сезон",FALSE,FALSE),'19_Расчет_аналитики'!AP411*CapacityAge04*'19_Расчет_аналитики'!$F$211,0)</f>
        <v/>
      </c>
      <c r="AQ523">
        <f>IF(IF('01_Вводные'!$B$296="Новый сезон",FALSE,FALSE),'19_Расчет_аналитики'!AQ411*CapacityAge04*'19_Расчет_аналитики'!$F$211,0)</f>
        <v/>
      </c>
      <c r="AR523">
        <f>IF(IF('01_Вводные'!$B$296="Новый сезон",FALSE,FALSE),'19_Расчет_аналитики'!AR411*CapacityAge04*'19_Расчет_аналитики'!$F$211,0)</f>
        <v/>
      </c>
      <c r="AS523">
        <f>IF(IF('01_Вводные'!$B$296="Новый сезон",FALSE,FALSE),'19_Расчет_аналитики'!AS411*CapacityAge04*'19_Расчет_аналитики'!$F$211,0)</f>
        <v/>
      </c>
      <c r="AT523">
        <f>IF(IF('01_Вводные'!$B$296="Новый сезон",FALSE,FALSE),'19_Расчет_аналитики'!AT411*CapacityAge04*'19_Расчет_аналитики'!$F$211,0)</f>
        <v/>
      </c>
      <c r="AU523">
        <f>IF(IF('01_Вводные'!$B$296="Новый сезон",FALSE,FALSE),'19_Расчет_аналитики'!AU411*CapacityAge04*'19_Расчет_аналитики'!$F$211,0)</f>
        <v/>
      </c>
      <c r="AV523">
        <f>IF(IF('01_Вводные'!$B$296="Новый сезон",FALSE,FALSE),'19_Расчет_аналитики'!AV411*CapacityAge04*'19_Расчет_аналитики'!$F$211,0)</f>
        <v/>
      </c>
      <c r="AW523">
        <f>IF(IF('01_Вводные'!$B$296="Новый сезон",FALSE,FALSE),'19_Расчет_аналитики'!AW411*CapacityAge04*'19_Расчет_аналитики'!$F$211,0)</f>
        <v/>
      </c>
      <c r="AX523">
        <f>IF(IF('01_Вводные'!$B$296="Новый сезон",FALSE,FALSE),'19_Расчет_аналитики'!AX411*CapacityAge04*'19_Расчет_аналитики'!$F$211,0)</f>
        <v/>
      </c>
      <c r="AY523">
        <f>IF(IF('01_Вводные'!$B$296="Новый сезон",FALSE,FALSE),'19_Расчет_аналитики'!AY411*CapacityAge04*'19_Расчет_аналитики'!$F$211,0)</f>
        <v/>
      </c>
      <c r="AZ523">
        <f>IF(IF('01_Вводные'!$B$296="Новый сезон",FALSE,FALSE),'19_Расчет_аналитики'!AZ411*CapacityAge04*'19_Расчет_аналитики'!$F$211,0)</f>
        <v/>
      </c>
      <c r="BA523">
        <f>IF(IF('01_Вводные'!$B$296="Новый сезон",FALSE,FALSE),'19_Расчет_аналитики'!BA411*CapacityAge04*'19_Расчет_аналитики'!$F$211,0)</f>
        <v/>
      </c>
      <c r="BB523">
        <f>IF(IF('01_Вводные'!$B$296="Новый сезон",FALSE,FALSE),'19_Расчет_аналитики'!BB411*CapacityAge04*'19_Расчет_аналитики'!$F$211,0)</f>
        <v/>
      </c>
      <c r="BC523">
        <f>IF(IF('01_Вводные'!$B$296="Новый сезон",FALSE,FALSE),'19_Расчет_аналитики'!BC411*CapacityAge04*'19_Расчет_аналитики'!$F$211,0)</f>
        <v/>
      </c>
      <c r="BD523">
        <f>IF(IF('01_Вводные'!$B$296="Новый сезон",FALSE,FALSE),'19_Расчет_аналитики'!BD411*CapacityAge04*'19_Расчет_аналитики'!$F$211,0)</f>
        <v/>
      </c>
      <c r="BE523">
        <f>IF(IF('01_Вводные'!$B$296="Новый сезон",FALSE,FALSE),'19_Расчет_аналитики'!BE411*CapacityAge04*'19_Расчет_аналитики'!$F$211,0)</f>
        <v/>
      </c>
      <c r="BF523">
        <f>IF(IF('01_Вводные'!$B$296="Новый сезон",FALSE,FALSE),'19_Расчет_аналитики'!BF411*CapacityAge04*'19_Расчет_аналитики'!$F$211,0)</f>
        <v/>
      </c>
      <c r="BG523">
        <f>IF(IF('01_Вводные'!$B$296="Новый сезон",FALSE,FALSE),'19_Расчет_аналитики'!BG411*CapacityAge04*'19_Расчет_аналитики'!$F$211,0)</f>
        <v/>
      </c>
      <c r="BH523">
        <f>IF(IF('01_Вводные'!$B$296="Новый сезон",FALSE,FALSE),'19_Расчет_аналитики'!BH411*CapacityAge04*'19_Расчет_аналитики'!$F$211,0)</f>
        <v/>
      </c>
      <c r="BI523">
        <f>IF(IF('01_Вводные'!$B$296="Новый сезон",FALSE,FALSE),'19_Расчет_аналитики'!BI411*CapacityAge04*'19_Расчет_аналитики'!$F$211,0)</f>
        <v/>
      </c>
      <c r="BJ523">
        <f>IF(IF('01_Вводные'!$B$296="Новый сезон",FALSE,FALSE),'19_Расчет_аналитики'!BJ411*CapacityAge04*'19_Расчет_аналитики'!$F$211,0)</f>
        <v/>
      </c>
      <c r="BK523">
        <f>IF(IF('01_Вводные'!$B$296="Новый сезон",FALSE,FALSE),'19_Расчет_аналитики'!BK411*CapacityAge04*'19_Расчет_аналитики'!$F$211,0)</f>
        <v/>
      </c>
      <c r="BL523">
        <f>IF(IF('01_Вводные'!$B$296="Новый сезон",FALSE,FALSE),'19_Расчет_аналитики'!BL411*CapacityAge04*'19_Расчет_аналитики'!$F$211,0)</f>
        <v/>
      </c>
      <c r="BM523">
        <f>IF(IF('01_Вводные'!$B$296="Новый сезон",FALSE,FALSE),'19_Расчет_аналитики'!BM411*CapacityAge04*'19_Расчет_аналитики'!$F$211,0)</f>
        <v/>
      </c>
      <c r="BN523">
        <f>IF(IF('01_Вводные'!$B$296="Новый сезон",FALSE,FALSE),'19_Расчет_аналитики'!BN411*CapacityAge04*'19_Расчет_аналитики'!$F$211,0)</f>
        <v/>
      </c>
      <c r="BO523">
        <f>IF(IF('01_Вводные'!$B$296="Новый сезон",FALSE,FALSE),'19_Расчет_аналитики'!BO411*CapacityAge04*'19_Расчет_аналитики'!$F$211,0)</f>
        <v/>
      </c>
    </row>
    <row r="524">
      <c r="B524">
        <f>IF(IF('01_Вводные'!$B$296="Новый сезон",5-1&gt;MOD(MONTH('06_Сеть_и_дети'!B$3)-9,12),FALSE),'06_Сеть_и_дети'!B57*CapacityAge05*'19_Расчет_аналитики'!$F$211,0)</f>
        <v/>
      </c>
      <c r="C524">
        <f>IF(IF('01_Вводные'!$B$296="Новый сезон",5-1&gt;MOD(MONTH('06_Сеть_и_дети'!C$3)-9,12),FALSE),'06_Сеть_и_дети'!C57*CapacityAge05*'19_Расчет_аналитики'!$F$211,0)</f>
        <v/>
      </c>
      <c r="D524">
        <f>IF(IF('01_Вводные'!$B$296="Новый сезон",5-1&gt;MOD(MONTH('06_Сеть_и_дети'!D$3)-9,12),FALSE),'06_Сеть_и_дети'!D57*CapacityAge05*'19_Расчет_аналитики'!$F$211,0)</f>
        <v/>
      </c>
      <c r="E524">
        <f>IF(IF('01_Вводные'!$B$296="Новый сезон",5-1&gt;MOD(MONTH('06_Сеть_и_дети'!E$3)-9,12),FALSE),'06_Сеть_и_дети'!E57*CapacityAge05*'19_Расчет_аналитики'!$F$211,0)</f>
        <v/>
      </c>
      <c r="F524">
        <f>IF(IF('01_Вводные'!$B$296="Новый сезон",5-1&gt;MOD(MONTH('06_Сеть_и_дети'!F$3)-9,12),FALSE),'19_Расчет_аналитики'!F412*CapacityAge05*'19_Расчет_аналитики'!$F$211,0)</f>
        <v/>
      </c>
      <c r="G524">
        <f>IF(IF('01_Вводные'!$B$296="Новый сезон",5-1&gt;MOD(MONTH('06_Сеть_и_дети'!G$3)-9,12),FALSE),'19_Расчет_аналитики'!G412*CapacityAge05*'19_Расчет_аналитики'!$F$211,0)</f>
        <v/>
      </c>
      <c r="H524">
        <f>IF(IF('01_Вводные'!$B$296="Новый сезон",5-1&gt;MOD(MONTH('06_Сеть_и_дети'!H$3)-9,12),FALSE),'19_Расчет_аналитики'!H412*CapacityAge05*'19_Расчет_аналитики'!$F$211,0)</f>
        <v/>
      </c>
      <c r="I524">
        <f>IF(IF('01_Вводные'!$B$296="Новый сезон",5-1&gt;MOD(MONTH('06_Сеть_и_дети'!I$3)-9,12),FALSE),'19_Расчет_аналитики'!I412*CapacityAge05*'19_Расчет_аналитики'!$F$211,0)</f>
        <v/>
      </c>
      <c r="J524">
        <f>IF(IF('01_Вводные'!$B$296="Новый сезон",5-1&gt;MOD(MONTH('06_Сеть_и_дети'!J$3)-9,12),FALSE),'19_Расчет_аналитики'!J412*CapacityAge05*'19_Расчет_аналитики'!$F$211,0)</f>
        <v/>
      </c>
      <c r="K524">
        <f>IF(IF('01_Вводные'!$B$296="Новый сезон",5-1&gt;MOD(MONTH('06_Сеть_и_дети'!K$3)-9,12),FALSE),'19_Расчет_аналитики'!K412*CapacityAge05*'19_Расчет_аналитики'!$F$211,0)</f>
        <v/>
      </c>
      <c r="L524">
        <f>IF(IF('01_Вводные'!$B$296="Новый сезон",5-1&gt;MOD(MONTH('06_Сеть_и_дети'!L$3)-9,12),FALSE),'19_Расчет_аналитики'!L412*CapacityAge05*'19_Расчет_аналитики'!$F$211,0)</f>
        <v/>
      </c>
      <c r="M524">
        <f>IF(IF('01_Вводные'!$B$296="Новый сезон",5-1&gt;MOD(MONTH('06_Сеть_и_дети'!M$3)-9,12),FALSE),'19_Расчет_аналитики'!M412*CapacityAge05*'19_Расчет_аналитики'!$F$211,0)</f>
        <v/>
      </c>
      <c r="N524">
        <f>IF(IF('01_Вводные'!$B$296="Новый сезон",5-1&gt;MOD(MONTH('06_Сеть_и_дети'!N$3)-9,12),FALSE),'19_Расчет_аналитики'!N412*CapacityAge05*'19_Расчет_аналитики'!$F$211,0)</f>
        <v/>
      </c>
      <c r="O524">
        <f>IF(IF('01_Вводные'!$B$296="Новый сезон",5-1&gt;MOD(MONTH('06_Сеть_и_дети'!O$3)-9,12),FALSE),'19_Расчет_аналитики'!O412*CapacityAge05*'19_Расчет_аналитики'!$F$211,0)</f>
        <v/>
      </c>
      <c r="P524">
        <f>IF(IF('01_Вводные'!$B$296="Новый сезон",5-1&gt;MOD(MONTH('06_Сеть_и_дети'!P$3)-9,12),FALSE),'19_Расчет_аналитики'!P412*CapacityAge05*'19_Расчет_аналитики'!$F$211,0)</f>
        <v/>
      </c>
      <c r="Q524">
        <f>IF(IF('01_Вводные'!$B$296="Новый сезон",5-1&gt;MOD(MONTH('06_Сеть_и_дети'!Q$3)-9,12),FALSE),'19_Расчет_аналитики'!Q412*CapacityAge05*'19_Расчет_аналитики'!$F$211,0)</f>
        <v/>
      </c>
      <c r="R524">
        <f>IF(IF('01_Вводные'!$B$296="Новый сезон",5-1&gt;MOD(MONTH('06_Сеть_и_дети'!R$3)-9,12),FALSE),'19_Расчет_аналитики'!R412*CapacityAge05*'19_Расчет_аналитики'!$F$211,0)</f>
        <v/>
      </c>
      <c r="S524">
        <f>IF(IF('01_Вводные'!$B$296="Новый сезон",5-1&gt;MOD(MONTH('06_Сеть_и_дети'!S$3)-9,12),FALSE),'19_Расчет_аналитики'!S412*CapacityAge05*'19_Расчет_аналитики'!$F$211,0)</f>
        <v/>
      </c>
      <c r="T524">
        <f>IF(IF('01_Вводные'!$B$296="Новый сезон",5-1&gt;MOD(MONTH('06_Сеть_и_дети'!T$3)-9,12),FALSE),'19_Расчет_аналитики'!T412*CapacityAge05*'19_Расчет_аналитики'!$F$211,0)</f>
        <v/>
      </c>
      <c r="U524">
        <f>IF(IF('01_Вводные'!$B$296="Новый сезон",5-1&gt;MOD(MONTH('06_Сеть_и_дети'!U$3)-9,12),FALSE),'19_Расчет_аналитики'!U412*CapacityAge05*'19_Расчет_аналитики'!$F$211,0)</f>
        <v/>
      </c>
      <c r="V524">
        <f>IF(IF('01_Вводные'!$B$296="Новый сезон",5-1&gt;MOD(MONTH('06_Сеть_и_дети'!V$3)-9,12),FALSE),'19_Расчет_аналитики'!V412*CapacityAge05*'19_Расчет_аналитики'!$F$211,0)</f>
        <v/>
      </c>
      <c r="W524">
        <f>IF(IF('01_Вводные'!$B$296="Новый сезон",5-1&gt;MOD(MONTH('06_Сеть_и_дети'!W$3)-9,12),FALSE),'19_Расчет_аналитики'!W412*CapacityAge05*'19_Расчет_аналитики'!$F$211,0)</f>
        <v/>
      </c>
      <c r="X524">
        <f>IF(IF('01_Вводные'!$B$296="Новый сезон",5-1&gt;MOD(MONTH('06_Сеть_и_дети'!X$3)-9,12),FALSE),'19_Расчет_аналитики'!X412*CapacityAge05*'19_Расчет_аналитики'!$F$211,0)</f>
        <v/>
      </c>
      <c r="Y524">
        <f>IF(IF('01_Вводные'!$B$296="Новый сезон",5-1&gt;MOD(MONTH('06_Сеть_и_дети'!Y$3)-9,12),FALSE),'19_Расчет_аналитики'!Y412*CapacityAge05*'19_Расчет_аналитики'!$F$211,0)</f>
        <v/>
      </c>
      <c r="Z524">
        <f>IF(IF('01_Вводные'!$B$296="Новый сезон",5-1&gt;MOD(MONTH('06_Сеть_и_дети'!Z$3)-9,12),FALSE),'19_Расчет_аналитики'!Z412*CapacityAge05*'19_Расчет_аналитики'!$F$211,0)</f>
        <v/>
      </c>
      <c r="AA524">
        <f>IF(IF('01_Вводные'!$B$296="Новый сезон",5-1&gt;MOD(MONTH('06_Сеть_и_дети'!AA$3)-9,12),FALSE),'19_Расчет_аналитики'!AA412*CapacityAge05*'19_Расчет_аналитики'!$F$211,0)</f>
        <v/>
      </c>
      <c r="AB524">
        <f>IF(IF('01_Вводные'!$B$296="Новый сезон",5-1&gt;MOD(MONTH('06_Сеть_и_дети'!AB$3)-9,12),FALSE),'19_Расчет_аналитики'!AB412*CapacityAge05*'19_Расчет_аналитики'!$F$211,0)</f>
        <v/>
      </c>
      <c r="AC524">
        <f>IF(IF('01_Вводные'!$B$296="Новый сезон",5-1&gt;MOD(MONTH('06_Сеть_и_дети'!AC$3)-9,12),FALSE),'19_Расчет_аналитики'!AC412*CapacityAge05*'19_Расчет_аналитики'!$F$211,0)</f>
        <v/>
      </c>
      <c r="AD524">
        <f>IF(IF('01_Вводные'!$B$296="Новый сезон",5-1&gt;MOD(MONTH('06_Сеть_и_дети'!AD$3)-9,12),FALSE),'19_Расчет_аналитики'!AD412*CapacityAge05*'19_Расчет_аналитики'!$F$211,0)</f>
        <v/>
      </c>
      <c r="AE524">
        <f>IF(IF('01_Вводные'!$B$296="Новый сезон",5-1&gt;MOD(MONTH('06_Сеть_и_дети'!AE$3)-9,12),FALSE),'19_Расчет_аналитики'!AE412*CapacityAge05*'19_Расчет_аналитики'!$F$211,0)</f>
        <v/>
      </c>
      <c r="AF524">
        <f>IF(IF('01_Вводные'!$B$296="Новый сезон",5-1&gt;MOD(MONTH('06_Сеть_и_дети'!AF$3)-9,12),FALSE),'19_Расчет_аналитики'!AF412*CapacityAge05*'19_Расчет_аналитики'!$F$211,0)</f>
        <v/>
      </c>
      <c r="AG524">
        <f>IF(IF('01_Вводные'!$B$296="Новый сезон",5-1&gt;MOD(MONTH('06_Сеть_и_дети'!AG$3)-9,12),FALSE),'19_Расчет_аналитики'!AG412*CapacityAge05*'19_Расчет_аналитики'!$F$211,0)</f>
        <v/>
      </c>
      <c r="AH524">
        <f>IF(IF('01_Вводные'!$B$296="Новый сезон",5-1&gt;MOD(MONTH('06_Сеть_и_дети'!AH$3)-9,12),FALSE),'19_Расчет_аналитики'!AH412*CapacityAge05*'19_Расчет_аналитики'!$F$211,0)</f>
        <v/>
      </c>
      <c r="AI524">
        <f>IF(IF('01_Вводные'!$B$296="Новый сезон",5-1&gt;MOD(MONTH('06_Сеть_и_дети'!AI$3)-9,12),FALSE),'19_Расчет_аналитики'!AI412*CapacityAge05*'19_Расчет_аналитики'!$F$211,0)</f>
        <v/>
      </c>
      <c r="AJ524">
        <f>IF(IF('01_Вводные'!$B$296="Новый сезон",5-1&gt;MOD(MONTH('06_Сеть_и_дети'!AJ$3)-9,12),FALSE),'19_Расчет_аналитики'!AJ412*CapacityAge05*'19_Расчет_аналитики'!$F$211,0)</f>
        <v/>
      </c>
      <c r="AK524">
        <f>IF(IF('01_Вводные'!$B$296="Новый сезон",5-1&gt;MOD(MONTH('06_Сеть_и_дети'!AK$3)-9,12),FALSE),'19_Расчет_аналитики'!AK412*CapacityAge05*'19_Расчет_аналитики'!$F$211,0)</f>
        <v/>
      </c>
      <c r="AL524">
        <f>IF(IF('01_Вводные'!$B$296="Новый сезон",5-1&gt;MOD(MONTH('06_Сеть_и_дети'!AL$3)-9,12),FALSE),'19_Расчет_аналитики'!AL412*CapacityAge05*'19_Расчет_аналитики'!$F$211,0)</f>
        <v/>
      </c>
      <c r="AM524">
        <f>IF(IF('01_Вводные'!$B$296="Новый сезон",5-1&gt;MOD(MONTH('06_Сеть_и_дети'!AM$3)-9,12),FALSE),'19_Расчет_аналитики'!AM412*CapacityAge05*'19_Расчет_аналитики'!$F$211,0)</f>
        <v/>
      </c>
      <c r="AN524">
        <f>IF(IF('01_Вводные'!$B$296="Новый сезон",5-1&gt;MOD(MONTH('06_Сеть_и_дети'!AN$3)-9,12),FALSE),'19_Расчет_аналитики'!AN412*CapacityAge05*'19_Расчет_аналитики'!$F$211,0)</f>
        <v/>
      </c>
      <c r="AO524">
        <f>IF(IF('01_Вводные'!$B$296="Новый сезон",5-1&gt;MOD(MONTH('06_Сеть_и_дети'!AO$3)-9,12),FALSE),'19_Расчет_аналитики'!AO412*CapacityAge05*'19_Расчет_аналитики'!$F$211,0)</f>
        <v/>
      </c>
      <c r="AP524">
        <f>IF(IF('01_Вводные'!$B$296="Новый сезон",5-1&gt;MOD(MONTH('06_Сеть_и_дети'!AP$3)-9,12),FALSE),'19_Расчет_аналитики'!AP412*CapacityAge05*'19_Расчет_аналитики'!$F$211,0)</f>
        <v/>
      </c>
      <c r="AQ524">
        <f>IF(IF('01_Вводные'!$B$296="Новый сезон",5-1&gt;MOD(MONTH('06_Сеть_и_дети'!AQ$3)-9,12),FALSE),'19_Расчет_аналитики'!AQ412*CapacityAge05*'19_Расчет_аналитики'!$F$211,0)</f>
        <v/>
      </c>
      <c r="AR524">
        <f>IF(IF('01_Вводные'!$B$296="Новый сезон",5-1&gt;MOD(MONTH('06_Сеть_и_дети'!AR$3)-9,12),FALSE),'19_Расчет_аналитики'!AR412*CapacityAge05*'19_Расчет_аналитики'!$F$211,0)</f>
        <v/>
      </c>
      <c r="AS524">
        <f>IF(IF('01_Вводные'!$B$296="Новый сезон",5-1&gt;MOD(MONTH('06_Сеть_и_дети'!AS$3)-9,12),FALSE),'19_Расчет_аналитики'!AS412*CapacityAge05*'19_Расчет_аналитики'!$F$211,0)</f>
        <v/>
      </c>
      <c r="AT524">
        <f>IF(IF('01_Вводные'!$B$296="Новый сезон",5-1&gt;MOD(MONTH('06_Сеть_и_дети'!AT$3)-9,12),FALSE),'19_Расчет_аналитики'!AT412*CapacityAge05*'19_Расчет_аналитики'!$F$211,0)</f>
        <v/>
      </c>
      <c r="AU524">
        <f>IF(IF('01_Вводные'!$B$296="Новый сезон",5-1&gt;MOD(MONTH('06_Сеть_и_дети'!AU$3)-9,12),FALSE),'19_Расчет_аналитики'!AU412*CapacityAge05*'19_Расчет_аналитики'!$F$211,0)</f>
        <v/>
      </c>
      <c r="AV524">
        <f>IF(IF('01_Вводные'!$B$296="Новый сезон",5-1&gt;MOD(MONTH('06_Сеть_и_дети'!AV$3)-9,12),FALSE),'19_Расчет_аналитики'!AV412*CapacityAge05*'19_Расчет_аналитики'!$F$211,0)</f>
        <v/>
      </c>
      <c r="AW524">
        <f>IF(IF('01_Вводные'!$B$296="Новый сезон",5-1&gt;MOD(MONTH('06_Сеть_и_дети'!AW$3)-9,12),FALSE),'19_Расчет_аналитики'!AW412*CapacityAge05*'19_Расчет_аналитики'!$F$211,0)</f>
        <v/>
      </c>
      <c r="AX524">
        <f>IF(IF('01_Вводные'!$B$296="Новый сезон",5-1&gt;MOD(MONTH('06_Сеть_и_дети'!AX$3)-9,12),FALSE),'19_Расчет_аналитики'!AX412*CapacityAge05*'19_Расчет_аналитики'!$F$211,0)</f>
        <v/>
      </c>
      <c r="AY524">
        <f>IF(IF('01_Вводные'!$B$296="Новый сезон",5-1&gt;MOD(MONTH('06_Сеть_и_дети'!AY$3)-9,12),FALSE),'19_Расчет_аналитики'!AY412*CapacityAge05*'19_Расчет_аналитики'!$F$211,0)</f>
        <v/>
      </c>
      <c r="AZ524">
        <f>IF(IF('01_Вводные'!$B$296="Новый сезон",5-1&gt;MOD(MONTH('06_Сеть_и_дети'!AZ$3)-9,12),FALSE),'19_Расчет_аналитики'!AZ412*CapacityAge05*'19_Расчет_аналитики'!$F$211,0)</f>
        <v/>
      </c>
      <c r="BA524">
        <f>IF(IF('01_Вводные'!$B$296="Новый сезон",5-1&gt;MOD(MONTH('06_Сеть_и_дети'!BA$3)-9,12),FALSE),'19_Расчет_аналитики'!BA412*CapacityAge05*'19_Расчет_аналитики'!$F$211,0)</f>
        <v/>
      </c>
      <c r="BB524">
        <f>IF(IF('01_Вводные'!$B$296="Новый сезон",5-1&gt;MOD(MONTH('06_Сеть_и_дети'!BB$3)-9,12),FALSE),'19_Расчет_аналитики'!BB412*CapacityAge05*'19_Расчет_аналитики'!$F$211,0)</f>
        <v/>
      </c>
      <c r="BC524">
        <f>IF(IF('01_Вводные'!$B$296="Новый сезон",5-1&gt;MOD(MONTH('06_Сеть_и_дети'!BC$3)-9,12),FALSE),'19_Расчет_аналитики'!BC412*CapacityAge05*'19_Расчет_аналитики'!$F$211,0)</f>
        <v/>
      </c>
      <c r="BD524">
        <f>IF(IF('01_Вводные'!$B$296="Новый сезон",5-1&gt;MOD(MONTH('06_Сеть_и_дети'!BD$3)-9,12),FALSE),'19_Расчет_аналитики'!BD412*CapacityAge05*'19_Расчет_аналитики'!$F$211,0)</f>
        <v/>
      </c>
      <c r="BE524">
        <f>IF(IF('01_Вводные'!$B$296="Новый сезон",5-1&gt;MOD(MONTH('06_Сеть_и_дети'!BE$3)-9,12),FALSE),'19_Расчет_аналитики'!BE412*CapacityAge05*'19_Расчет_аналитики'!$F$211,0)</f>
        <v/>
      </c>
      <c r="BF524">
        <f>IF(IF('01_Вводные'!$B$296="Новый сезон",5-1&gt;MOD(MONTH('06_Сеть_и_дети'!BF$3)-9,12),FALSE),'19_Расчет_аналитики'!BF412*CapacityAge05*'19_Расчет_аналитики'!$F$211,0)</f>
        <v/>
      </c>
      <c r="BG524">
        <f>IF(IF('01_Вводные'!$B$296="Новый сезон",5-1&gt;MOD(MONTH('06_Сеть_и_дети'!BG$3)-9,12),FALSE),'19_Расчет_аналитики'!BG412*CapacityAge05*'19_Расчет_аналитики'!$F$211,0)</f>
        <v/>
      </c>
      <c r="BH524">
        <f>IF(IF('01_Вводные'!$B$296="Новый сезон",5-1&gt;MOD(MONTH('06_Сеть_и_дети'!BH$3)-9,12),FALSE),'19_Расчет_аналитики'!BH412*CapacityAge05*'19_Расчет_аналитики'!$F$211,0)</f>
        <v/>
      </c>
      <c r="BI524">
        <f>IF(IF('01_Вводные'!$B$296="Новый сезон",5-1&gt;MOD(MONTH('06_Сеть_и_дети'!BI$3)-9,12),FALSE),'19_Расчет_аналитики'!BI412*CapacityAge05*'19_Расчет_аналитики'!$F$211,0)</f>
        <v/>
      </c>
      <c r="BJ524">
        <f>IF(IF('01_Вводные'!$B$296="Новый сезон",5-1&gt;MOD(MONTH('06_Сеть_и_дети'!BJ$3)-9,12),FALSE),'19_Расчет_аналитики'!BJ412*CapacityAge05*'19_Расчет_аналитики'!$F$211,0)</f>
        <v/>
      </c>
      <c r="BK524">
        <f>IF(IF('01_Вводные'!$B$296="Новый сезон",5-1&gt;MOD(MONTH('06_Сеть_и_дети'!BK$3)-9,12),FALSE),'19_Расчет_аналитики'!BK412*CapacityAge05*'19_Расчет_аналитики'!$F$211,0)</f>
        <v/>
      </c>
      <c r="BL524">
        <f>IF(IF('01_Вводные'!$B$296="Новый сезон",5-1&gt;MOD(MONTH('06_Сеть_и_дети'!BL$3)-9,12),FALSE),'19_Расчет_аналитики'!BL412*CapacityAge05*'19_Расчет_аналитики'!$F$211,0)</f>
        <v/>
      </c>
      <c r="BM524">
        <f>IF(IF('01_Вводные'!$B$296="Новый сезон",5-1&gt;MOD(MONTH('06_Сеть_и_дети'!BM$3)-9,12),FALSE),'19_Расчет_аналитики'!BM412*CapacityAge05*'19_Расчет_аналитики'!$F$211,0)</f>
        <v/>
      </c>
      <c r="BN524">
        <f>IF(IF('01_Вводные'!$B$296="Новый сезон",5-1&gt;MOD(MONTH('06_Сеть_и_дети'!BN$3)-9,12),FALSE),'19_Расчет_аналитики'!BN412*CapacityAge05*'19_Расчет_аналитики'!$F$211,0)</f>
        <v/>
      </c>
      <c r="BO524">
        <f>IF(IF('01_Вводные'!$B$296="Новый сезон",5-1&gt;MOD(MONTH('06_Сеть_и_дети'!BO$3)-9,12),FALSE),'19_Расчет_аналитики'!BO412*CapacityAge05*'19_Расчет_аналитики'!$F$211,0)</f>
        <v/>
      </c>
    </row>
    <row r="525">
      <c r="B525">
        <f>IF(IF('01_Вводные'!$B$296="Новый сезон",6-1&gt;MOD(MONTH('06_Сеть_и_дети'!B$3)-9,12),FALSE),'06_Сеть_и_дети'!B58*CapacityAge06*'19_Расчет_аналитики'!$F$211,0)</f>
        <v/>
      </c>
      <c r="C525">
        <f>IF(IF('01_Вводные'!$B$296="Новый сезон",6-1&gt;MOD(MONTH('06_Сеть_и_дети'!C$3)-9,12),FALSE),'06_Сеть_и_дети'!C58*CapacityAge06*'19_Расчет_аналитики'!$F$211,0)</f>
        <v/>
      </c>
      <c r="D525">
        <f>IF(IF('01_Вводные'!$B$296="Новый сезон",6-1&gt;MOD(MONTH('06_Сеть_и_дети'!D$3)-9,12),FALSE),'06_Сеть_и_дети'!D58*CapacityAge06*'19_Расчет_аналитики'!$F$211,0)</f>
        <v/>
      </c>
      <c r="E525">
        <f>IF(IF('01_Вводные'!$B$296="Новый сезон",6-1&gt;MOD(MONTH('06_Сеть_и_дети'!E$3)-9,12),FALSE),'06_Сеть_и_дети'!E58*CapacityAge06*'19_Расчет_аналитики'!$F$211,0)</f>
        <v/>
      </c>
      <c r="F525">
        <f>IF(IF('01_Вводные'!$B$296="Новый сезон",6-1&gt;MOD(MONTH('06_Сеть_и_дети'!F$3)-9,12),FALSE),'06_Сеть_и_дети'!F58*CapacityAge06*'19_Расчет_аналитики'!$F$211,0)</f>
        <v/>
      </c>
      <c r="G525">
        <f>IF(IF('01_Вводные'!$B$296="Новый сезон",6-1&gt;MOD(MONTH('06_Сеть_и_дети'!G$3)-9,12),FALSE),'19_Расчет_аналитики'!G413*CapacityAge06*'19_Расчет_аналитики'!$F$211,0)</f>
        <v/>
      </c>
      <c r="H525">
        <f>IF(IF('01_Вводные'!$B$296="Новый сезон",6-1&gt;MOD(MONTH('06_Сеть_и_дети'!H$3)-9,12),FALSE),'19_Расчет_аналитики'!H413*CapacityAge06*'19_Расчет_аналитики'!$F$211,0)</f>
        <v/>
      </c>
      <c r="I525">
        <f>IF(IF('01_Вводные'!$B$296="Новый сезон",6-1&gt;MOD(MONTH('06_Сеть_и_дети'!I$3)-9,12),FALSE),'19_Расчет_аналитики'!I413*CapacityAge06*'19_Расчет_аналитики'!$F$211,0)</f>
        <v/>
      </c>
      <c r="J525">
        <f>IF(IF('01_Вводные'!$B$296="Новый сезон",6-1&gt;MOD(MONTH('06_Сеть_и_дети'!J$3)-9,12),FALSE),'19_Расчет_аналитики'!J413*CapacityAge06*'19_Расчет_аналитики'!$F$211,0)</f>
        <v/>
      </c>
      <c r="K525">
        <f>IF(IF('01_Вводные'!$B$296="Новый сезон",6-1&gt;MOD(MONTH('06_Сеть_и_дети'!K$3)-9,12),FALSE),'19_Расчет_аналитики'!K413*CapacityAge06*'19_Расчет_аналитики'!$F$211,0)</f>
        <v/>
      </c>
      <c r="L525">
        <f>IF(IF('01_Вводные'!$B$296="Новый сезон",6-1&gt;MOD(MONTH('06_Сеть_и_дети'!L$3)-9,12),FALSE),'19_Расчет_аналитики'!L413*CapacityAge06*'19_Расчет_аналитики'!$F$211,0)</f>
        <v/>
      </c>
      <c r="M525">
        <f>IF(IF('01_Вводные'!$B$296="Новый сезон",6-1&gt;MOD(MONTH('06_Сеть_и_дети'!M$3)-9,12),FALSE),'19_Расчет_аналитики'!M413*CapacityAge06*'19_Расчет_аналитики'!$F$211,0)</f>
        <v/>
      </c>
      <c r="N525">
        <f>IF(IF('01_Вводные'!$B$296="Новый сезон",6-1&gt;MOD(MONTH('06_Сеть_и_дети'!N$3)-9,12),FALSE),'19_Расчет_аналитики'!N413*CapacityAge06*'19_Расчет_аналитики'!$F$211,0)</f>
        <v/>
      </c>
      <c r="O525">
        <f>IF(IF('01_Вводные'!$B$296="Новый сезон",6-1&gt;MOD(MONTH('06_Сеть_и_дети'!O$3)-9,12),FALSE),'19_Расчет_аналитики'!O413*CapacityAge06*'19_Расчет_аналитики'!$F$211,0)</f>
        <v/>
      </c>
      <c r="P525">
        <f>IF(IF('01_Вводные'!$B$296="Новый сезон",6-1&gt;MOD(MONTH('06_Сеть_и_дети'!P$3)-9,12),FALSE),'19_Расчет_аналитики'!P413*CapacityAge06*'19_Расчет_аналитики'!$F$211,0)</f>
        <v/>
      </c>
      <c r="Q525">
        <f>IF(IF('01_Вводные'!$B$296="Новый сезон",6-1&gt;MOD(MONTH('06_Сеть_и_дети'!Q$3)-9,12),FALSE),'19_Расчет_аналитики'!Q413*CapacityAge06*'19_Расчет_аналитики'!$F$211,0)</f>
        <v/>
      </c>
      <c r="R525">
        <f>IF(IF('01_Вводные'!$B$296="Новый сезон",6-1&gt;MOD(MONTH('06_Сеть_и_дети'!R$3)-9,12),FALSE),'19_Расчет_аналитики'!R413*CapacityAge06*'19_Расчет_аналитики'!$F$211,0)</f>
        <v/>
      </c>
      <c r="S525">
        <f>IF(IF('01_Вводные'!$B$296="Новый сезон",6-1&gt;MOD(MONTH('06_Сеть_и_дети'!S$3)-9,12),FALSE),'19_Расчет_аналитики'!S413*CapacityAge06*'19_Расчет_аналитики'!$F$211,0)</f>
        <v/>
      </c>
      <c r="T525">
        <f>IF(IF('01_Вводные'!$B$296="Новый сезон",6-1&gt;MOD(MONTH('06_Сеть_и_дети'!T$3)-9,12),FALSE),'19_Расчет_аналитики'!T413*CapacityAge06*'19_Расчет_аналитики'!$F$211,0)</f>
        <v/>
      </c>
      <c r="U525">
        <f>IF(IF('01_Вводные'!$B$296="Новый сезон",6-1&gt;MOD(MONTH('06_Сеть_и_дети'!U$3)-9,12),FALSE),'19_Расчет_аналитики'!U413*CapacityAge06*'19_Расчет_аналитики'!$F$211,0)</f>
        <v/>
      </c>
      <c r="V525">
        <f>IF(IF('01_Вводные'!$B$296="Новый сезон",6-1&gt;MOD(MONTH('06_Сеть_и_дети'!V$3)-9,12),FALSE),'19_Расчет_аналитики'!V413*CapacityAge06*'19_Расчет_аналитики'!$F$211,0)</f>
        <v/>
      </c>
      <c r="W525">
        <f>IF(IF('01_Вводные'!$B$296="Новый сезон",6-1&gt;MOD(MONTH('06_Сеть_и_дети'!W$3)-9,12),FALSE),'19_Расчет_аналитики'!W413*CapacityAge06*'19_Расчет_аналитики'!$F$211,0)</f>
        <v/>
      </c>
      <c r="X525">
        <f>IF(IF('01_Вводные'!$B$296="Новый сезон",6-1&gt;MOD(MONTH('06_Сеть_и_дети'!X$3)-9,12),FALSE),'19_Расчет_аналитики'!X413*CapacityAge06*'19_Расчет_аналитики'!$F$211,0)</f>
        <v/>
      </c>
      <c r="Y525">
        <f>IF(IF('01_Вводные'!$B$296="Новый сезон",6-1&gt;MOD(MONTH('06_Сеть_и_дети'!Y$3)-9,12),FALSE),'19_Расчет_аналитики'!Y413*CapacityAge06*'19_Расчет_аналитики'!$F$211,0)</f>
        <v/>
      </c>
      <c r="Z525">
        <f>IF(IF('01_Вводные'!$B$296="Новый сезон",6-1&gt;MOD(MONTH('06_Сеть_и_дети'!Z$3)-9,12),FALSE),'19_Расчет_аналитики'!Z413*CapacityAge06*'19_Расчет_аналитики'!$F$211,0)</f>
        <v/>
      </c>
      <c r="AA525">
        <f>IF(IF('01_Вводные'!$B$296="Новый сезон",6-1&gt;MOD(MONTH('06_Сеть_и_дети'!AA$3)-9,12),FALSE),'19_Расчет_аналитики'!AA413*CapacityAge06*'19_Расчет_аналитики'!$F$211,0)</f>
        <v/>
      </c>
      <c r="AB525">
        <f>IF(IF('01_Вводные'!$B$296="Новый сезон",6-1&gt;MOD(MONTH('06_Сеть_и_дети'!AB$3)-9,12),FALSE),'19_Расчет_аналитики'!AB413*CapacityAge06*'19_Расчет_аналитики'!$F$211,0)</f>
        <v/>
      </c>
      <c r="AC525">
        <f>IF(IF('01_Вводные'!$B$296="Новый сезон",6-1&gt;MOD(MONTH('06_Сеть_и_дети'!AC$3)-9,12),FALSE),'19_Расчет_аналитики'!AC413*CapacityAge06*'19_Расчет_аналитики'!$F$211,0)</f>
        <v/>
      </c>
      <c r="AD525">
        <f>IF(IF('01_Вводные'!$B$296="Новый сезон",6-1&gt;MOD(MONTH('06_Сеть_и_дети'!AD$3)-9,12),FALSE),'19_Расчет_аналитики'!AD413*CapacityAge06*'19_Расчет_аналитики'!$F$211,0)</f>
        <v/>
      </c>
      <c r="AE525">
        <f>IF(IF('01_Вводные'!$B$296="Новый сезон",6-1&gt;MOD(MONTH('06_Сеть_и_дети'!AE$3)-9,12),FALSE),'19_Расчет_аналитики'!AE413*CapacityAge06*'19_Расчет_аналитики'!$F$211,0)</f>
        <v/>
      </c>
      <c r="AF525">
        <f>IF(IF('01_Вводные'!$B$296="Новый сезон",6-1&gt;MOD(MONTH('06_Сеть_и_дети'!AF$3)-9,12),FALSE),'19_Расчет_аналитики'!AF413*CapacityAge06*'19_Расчет_аналитики'!$F$211,0)</f>
        <v/>
      </c>
      <c r="AG525">
        <f>IF(IF('01_Вводные'!$B$296="Новый сезон",6-1&gt;MOD(MONTH('06_Сеть_и_дети'!AG$3)-9,12),FALSE),'19_Расчет_аналитики'!AG413*CapacityAge06*'19_Расчет_аналитики'!$F$211,0)</f>
        <v/>
      </c>
      <c r="AH525">
        <f>IF(IF('01_Вводные'!$B$296="Новый сезон",6-1&gt;MOD(MONTH('06_Сеть_и_дети'!AH$3)-9,12),FALSE),'19_Расчет_аналитики'!AH413*CapacityAge06*'19_Расчет_аналитики'!$F$211,0)</f>
        <v/>
      </c>
      <c r="AI525">
        <f>IF(IF('01_Вводные'!$B$296="Новый сезон",6-1&gt;MOD(MONTH('06_Сеть_и_дети'!AI$3)-9,12),FALSE),'19_Расчет_аналитики'!AI413*CapacityAge06*'19_Расчет_аналитики'!$F$211,0)</f>
        <v/>
      </c>
      <c r="AJ525">
        <f>IF(IF('01_Вводные'!$B$296="Новый сезон",6-1&gt;MOD(MONTH('06_Сеть_и_дети'!AJ$3)-9,12),FALSE),'19_Расчет_аналитики'!AJ413*CapacityAge06*'19_Расчет_аналитики'!$F$211,0)</f>
        <v/>
      </c>
      <c r="AK525">
        <f>IF(IF('01_Вводные'!$B$296="Новый сезон",6-1&gt;MOD(MONTH('06_Сеть_и_дети'!AK$3)-9,12),FALSE),'19_Расчет_аналитики'!AK413*CapacityAge06*'19_Расчет_аналитики'!$F$211,0)</f>
        <v/>
      </c>
      <c r="AL525">
        <f>IF(IF('01_Вводные'!$B$296="Новый сезон",6-1&gt;MOD(MONTH('06_Сеть_и_дети'!AL$3)-9,12),FALSE),'19_Расчет_аналитики'!AL413*CapacityAge06*'19_Расчет_аналитики'!$F$211,0)</f>
        <v/>
      </c>
      <c r="AM525">
        <f>IF(IF('01_Вводные'!$B$296="Новый сезон",6-1&gt;MOD(MONTH('06_Сеть_и_дети'!AM$3)-9,12),FALSE),'19_Расчет_аналитики'!AM413*CapacityAge06*'19_Расчет_аналитики'!$F$211,0)</f>
        <v/>
      </c>
      <c r="AN525">
        <f>IF(IF('01_Вводные'!$B$296="Новый сезон",6-1&gt;MOD(MONTH('06_Сеть_и_дети'!AN$3)-9,12),FALSE),'19_Расчет_аналитики'!AN413*CapacityAge06*'19_Расчет_аналитики'!$F$211,0)</f>
        <v/>
      </c>
      <c r="AO525">
        <f>IF(IF('01_Вводные'!$B$296="Новый сезон",6-1&gt;MOD(MONTH('06_Сеть_и_дети'!AO$3)-9,12),FALSE),'19_Расчет_аналитики'!AO413*CapacityAge06*'19_Расчет_аналитики'!$F$211,0)</f>
        <v/>
      </c>
      <c r="AP525">
        <f>IF(IF('01_Вводные'!$B$296="Новый сезон",6-1&gt;MOD(MONTH('06_Сеть_и_дети'!AP$3)-9,12),FALSE),'19_Расчет_аналитики'!AP413*CapacityAge06*'19_Расчет_аналитики'!$F$211,0)</f>
        <v/>
      </c>
      <c r="AQ525">
        <f>IF(IF('01_Вводные'!$B$296="Новый сезон",6-1&gt;MOD(MONTH('06_Сеть_и_дети'!AQ$3)-9,12),FALSE),'19_Расчет_аналитики'!AQ413*CapacityAge06*'19_Расчет_аналитики'!$F$211,0)</f>
        <v/>
      </c>
      <c r="AR525">
        <f>IF(IF('01_Вводные'!$B$296="Новый сезон",6-1&gt;MOD(MONTH('06_Сеть_и_дети'!AR$3)-9,12),FALSE),'19_Расчет_аналитики'!AR413*CapacityAge06*'19_Расчет_аналитики'!$F$211,0)</f>
        <v/>
      </c>
      <c r="AS525">
        <f>IF(IF('01_Вводные'!$B$296="Новый сезон",6-1&gt;MOD(MONTH('06_Сеть_и_дети'!AS$3)-9,12),FALSE),'19_Расчет_аналитики'!AS413*CapacityAge06*'19_Расчет_аналитики'!$F$211,0)</f>
        <v/>
      </c>
      <c r="AT525">
        <f>IF(IF('01_Вводные'!$B$296="Новый сезон",6-1&gt;MOD(MONTH('06_Сеть_и_дети'!AT$3)-9,12),FALSE),'19_Расчет_аналитики'!AT413*CapacityAge06*'19_Расчет_аналитики'!$F$211,0)</f>
        <v/>
      </c>
      <c r="AU525">
        <f>IF(IF('01_Вводные'!$B$296="Новый сезон",6-1&gt;MOD(MONTH('06_Сеть_и_дети'!AU$3)-9,12),FALSE),'19_Расчет_аналитики'!AU413*CapacityAge06*'19_Расчет_аналитики'!$F$211,0)</f>
        <v/>
      </c>
      <c r="AV525">
        <f>IF(IF('01_Вводные'!$B$296="Новый сезон",6-1&gt;MOD(MONTH('06_Сеть_и_дети'!AV$3)-9,12),FALSE),'19_Расчет_аналитики'!AV413*CapacityAge06*'19_Расчет_аналитики'!$F$211,0)</f>
        <v/>
      </c>
      <c r="AW525">
        <f>IF(IF('01_Вводные'!$B$296="Новый сезон",6-1&gt;MOD(MONTH('06_Сеть_и_дети'!AW$3)-9,12),FALSE),'19_Расчет_аналитики'!AW413*CapacityAge06*'19_Расчет_аналитики'!$F$211,0)</f>
        <v/>
      </c>
      <c r="AX525">
        <f>IF(IF('01_Вводные'!$B$296="Новый сезон",6-1&gt;MOD(MONTH('06_Сеть_и_дети'!AX$3)-9,12),FALSE),'19_Расчет_аналитики'!AX413*CapacityAge06*'19_Расчет_аналитики'!$F$211,0)</f>
        <v/>
      </c>
      <c r="AY525">
        <f>IF(IF('01_Вводные'!$B$296="Новый сезон",6-1&gt;MOD(MONTH('06_Сеть_и_дети'!AY$3)-9,12),FALSE),'19_Расчет_аналитики'!AY413*CapacityAge06*'19_Расчет_аналитики'!$F$211,0)</f>
        <v/>
      </c>
      <c r="AZ525">
        <f>IF(IF('01_Вводные'!$B$296="Новый сезон",6-1&gt;MOD(MONTH('06_Сеть_и_дети'!AZ$3)-9,12),FALSE),'19_Расчет_аналитики'!AZ413*CapacityAge06*'19_Расчет_аналитики'!$F$211,0)</f>
        <v/>
      </c>
      <c r="BA525">
        <f>IF(IF('01_Вводные'!$B$296="Новый сезон",6-1&gt;MOD(MONTH('06_Сеть_и_дети'!BA$3)-9,12),FALSE),'19_Расчет_аналитики'!BA413*CapacityAge06*'19_Расчет_аналитики'!$F$211,0)</f>
        <v/>
      </c>
      <c r="BB525">
        <f>IF(IF('01_Вводные'!$B$296="Новый сезон",6-1&gt;MOD(MONTH('06_Сеть_и_дети'!BB$3)-9,12),FALSE),'19_Расчет_аналитики'!BB413*CapacityAge06*'19_Расчет_аналитики'!$F$211,0)</f>
        <v/>
      </c>
      <c r="BC525">
        <f>IF(IF('01_Вводные'!$B$296="Новый сезон",6-1&gt;MOD(MONTH('06_Сеть_и_дети'!BC$3)-9,12),FALSE),'19_Расчет_аналитики'!BC413*CapacityAge06*'19_Расчет_аналитики'!$F$211,0)</f>
        <v/>
      </c>
      <c r="BD525">
        <f>IF(IF('01_Вводные'!$B$296="Новый сезон",6-1&gt;MOD(MONTH('06_Сеть_и_дети'!BD$3)-9,12),FALSE),'19_Расчет_аналитики'!BD413*CapacityAge06*'19_Расчет_аналитики'!$F$211,0)</f>
        <v/>
      </c>
      <c r="BE525">
        <f>IF(IF('01_Вводные'!$B$296="Новый сезон",6-1&gt;MOD(MONTH('06_Сеть_и_дети'!BE$3)-9,12),FALSE),'19_Расчет_аналитики'!BE413*CapacityAge06*'19_Расчет_аналитики'!$F$211,0)</f>
        <v/>
      </c>
      <c r="BF525">
        <f>IF(IF('01_Вводные'!$B$296="Новый сезон",6-1&gt;MOD(MONTH('06_Сеть_и_дети'!BF$3)-9,12),FALSE),'19_Расчет_аналитики'!BF413*CapacityAge06*'19_Расчет_аналитики'!$F$211,0)</f>
        <v/>
      </c>
      <c r="BG525">
        <f>IF(IF('01_Вводные'!$B$296="Новый сезон",6-1&gt;MOD(MONTH('06_Сеть_и_дети'!BG$3)-9,12),FALSE),'19_Расчет_аналитики'!BG413*CapacityAge06*'19_Расчет_аналитики'!$F$211,0)</f>
        <v/>
      </c>
      <c r="BH525">
        <f>IF(IF('01_Вводные'!$B$296="Новый сезон",6-1&gt;MOD(MONTH('06_Сеть_и_дети'!BH$3)-9,12),FALSE),'19_Расчет_аналитики'!BH413*CapacityAge06*'19_Расчет_аналитики'!$F$211,0)</f>
        <v/>
      </c>
      <c r="BI525">
        <f>IF(IF('01_Вводные'!$B$296="Новый сезон",6-1&gt;MOD(MONTH('06_Сеть_и_дети'!BI$3)-9,12),FALSE),'19_Расчет_аналитики'!BI413*CapacityAge06*'19_Расчет_аналитики'!$F$211,0)</f>
        <v/>
      </c>
      <c r="BJ525">
        <f>IF(IF('01_Вводные'!$B$296="Новый сезон",6-1&gt;MOD(MONTH('06_Сеть_и_дети'!BJ$3)-9,12),FALSE),'19_Расчет_аналитики'!BJ413*CapacityAge06*'19_Расчет_аналитики'!$F$211,0)</f>
        <v/>
      </c>
      <c r="BK525">
        <f>IF(IF('01_Вводные'!$B$296="Новый сезон",6-1&gt;MOD(MONTH('06_Сеть_и_дети'!BK$3)-9,12),FALSE),'19_Расчет_аналитики'!BK413*CapacityAge06*'19_Расчет_аналитики'!$F$211,0)</f>
        <v/>
      </c>
      <c r="BL525">
        <f>IF(IF('01_Вводные'!$B$296="Новый сезон",6-1&gt;MOD(MONTH('06_Сеть_и_дети'!BL$3)-9,12),FALSE),'19_Расчет_аналитики'!BL413*CapacityAge06*'19_Расчет_аналитики'!$F$211,0)</f>
        <v/>
      </c>
      <c r="BM525">
        <f>IF(IF('01_Вводные'!$B$296="Новый сезон",6-1&gt;MOD(MONTH('06_Сеть_и_дети'!BM$3)-9,12),FALSE),'19_Расчет_аналитики'!BM413*CapacityAge06*'19_Расчет_аналитики'!$F$211,0)</f>
        <v/>
      </c>
      <c r="BN525">
        <f>IF(IF('01_Вводные'!$B$296="Новый сезон",6-1&gt;MOD(MONTH('06_Сеть_и_дети'!BN$3)-9,12),FALSE),'19_Расчет_аналитики'!BN413*CapacityAge06*'19_Расчет_аналитики'!$F$211,0)</f>
        <v/>
      </c>
      <c r="BO525">
        <f>IF(IF('01_Вводные'!$B$296="Новый сезон",6-1&gt;MOD(MONTH('06_Сеть_и_дети'!BO$3)-9,12),FALSE),'19_Расчет_аналитики'!BO413*CapacityAge06*'19_Расчет_аналитики'!$F$211,0)</f>
        <v/>
      </c>
    </row>
    <row r="526">
      <c r="B526">
        <f>IF(IF('01_Вводные'!$B$296="Новый сезон",7-1&gt;MOD(MONTH('06_Сеть_и_дети'!B$3)-9,12),FALSE),'06_Сеть_и_дети'!B59*CapacityAge07*'19_Расчет_аналитики'!$F$211,0)</f>
        <v/>
      </c>
      <c r="C526">
        <f>IF(IF('01_Вводные'!$B$296="Новый сезон",7-1&gt;MOD(MONTH('06_Сеть_и_дети'!C$3)-9,12),FALSE),'06_Сеть_и_дети'!C59*CapacityAge07*'19_Расчет_аналитики'!$F$211,0)</f>
        <v/>
      </c>
      <c r="D526">
        <f>IF(IF('01_Вводные'!$B$296="Новый сезон",7-1&gt;MOD(MONTH('06_Сеть_и_дети'!D$3)-9,12),FALSE),'06_Сеть_и_дети'!D59*CapacityAge07*'19_Расчет_аналитики'!$F$211,0)</f>
        <v/>
      </c>
      <c r="E526">
        <f>IF(IF('01_Вводные'!$B$296="Новый сезон",7-1&gt;MOD(MONTH('06_Сеть_и_дети'!E$3)-9,12),FALSE),'06_Сеть_и_дети'!E59*CapacityAge07*'19_Расчет_аналитики'!$F$211,0)</f>
        <v/>
      </c>
      <c r="F526">
        <f>IF(IF('01_Вводные'!$B$296="Новый сезон",7-1&gt;MOD(MONTH('06_Сеть_и_дети'!F$3)-9,12),FALSE),'06_Сеть_и_дети'!F59*CapacityAge07*'19_Расчет_аналитики'!$F$211,0)</f>
        <v/>
      </c>
      <c r="G526">
        <f>IF(IF('01_Вводные'!$B$296="Новый сезон",7-1&gt;MOD(MONTH('06_Сеть_и_дети'!G$3)-9,12),FALSE),'06_Сеть_и_дети'!G59*CapacityAge07*'19_Расчет_аналитики'!$F$211,0)</f>
        <v/>
      </c>
      <c r="H526">
        <f>IF(IF('01_Вводные'!$B$296="Новый сезон",7-1&gt;MOD(MONTH('06_Сеть_и_дети'!H$3)-9,12),FALSE),'19_Расчет_аналитики'!H414*CapacityAge07*'19_Расчет_аналитики'!$F$211,0)</f>
        <v/>
      </c>
      <c r="I526">
        <f>IF(IF('01_Вводные'!$B$296="Новый сезон",7-1&gt;MOD(MONTH('06_Сеть_и_дети'!I$3)-9,12),FALSE),'19_Расчет_аналитики'!I414*CapacityAge07*'19_Расчет_аналитики'!$F$211,0)</f>
        <v/>
      </c>
      <c r="J526">
        <f>IF(IF('01_Вводные'!$B$296="Новый сезон",7-1&gt;MOD(MONTH('06_Сеть_и_дети'!J$3)-9,12),FALSE),'19_Расчет_аналитики'!J414*CapacityAge07*'19_Расчет_аналитики'!$F$211,0)</f>
        <v/>
      </c>
      <c r="K526">
        <f>IF(IF('01_Вводные'!$B$296="Новый сезон",7-1&gt;MOD(MONTH('06_Сеть_и_дети'!K$3)-9,12),FALSE),'19_Расчет_аналитики'!K414*CapacityAge07*'19_Расчет_аналитики'!$F$211,0)</f>
        <v/>
      </c>
      <c r="L526">
        <f>IF(IF('01_Вводные'!$B$296="Новый сезон",7-1&gt;MOD(MONTH('06_Сеть_и_дети'!L$3)-9,12),FALSE),'19_Расчет_аналитики'!L414*CapacityAge07*'19_Расчет_аналитики'!$F$211,0)</f>
        <v/>
      </c>
      <c r="M526">
        <f>IF(IF('01_Вводные'!$B$296="Новый сезон",7-1&gt;MOD(MONTH('06_Сеть_и_дети'!M$3)-9,12),FALSE),'19_Расчет_аналитики'!M414*CapacityAge07*'19_Расчет_аналитики'!$F$211,0)</f>
        <v/>
      </c>
      <c r="N526">
        <f>IF(IF('01_Вводные'!$B$296="Новый сезон",7-1&gt;MOD(MONTH('06_Сеть_и_дети'!N$3)-9,12),FALSE),'19_Расчет_аналитики'!N414*CapacityAge07*'19_Расчет_аналитики'!$F$211,0)</f>
        <v/>
      </c>
      <c r="O526">
        <f>IF(IF('01_Вводные'!$B$296="Новый сезон",7-1&gt;MOD(MONTH('06_Сеть_и_дети'!O$3)-9,12),FALSE),'19_Расчет_аналитики'!O414*CapacityAge07*'19_Расчет_аналитики'!$F$211,0)</f>
        <v/>
      </c>
      <c r="P526">
        <f>IF(IF('01_Вводные'!$B$296="Новый сезон",7-1&gt;MOD(MONTH('06_Сеть_и_дети'!P$3)-9,12),FALSE),'19_Расчет_аналитики'!P414*CapacityAge07*'19_Расчет_аналитики'!$F$211,0)</f>
        <v/>
      </c>
      <c r="Q526">
        <f>IF(IF('01_Вводные'!$B$296="Новый сезон",7-1&gt;MOD(MONTH('06_Сеть_и_дети'!Q$3)-9,12),FALSE),'19_Расчет_аналитики'!Q414*CapacityAge07*'19_Расчет_аналитики'!$F$211,0)</f>
        <v/>
      </c>
      <c r="R526">
        <f>IF(IF('01_Вводные'!$B$296="Новый сезон",7-1&gt;MOD(MONTH('06_Сеть_и_дети'!R$3)-9,12),FALSE),'19_Расчет_аналитики'!R414*CapacityAge07*'19_Расчет_аналитики'!$F$211,0)</f>
        <v/>
      </c>
      <c r="S526">
        <f>IF(IF('01_Вводные'!$B$296="Новый сезон",7-1&gt;MOD(MONTH('06_Сеть_и_дети'!S$3)-9,12),FALSE),'19_Расчет_аналитики'!S414*CapacityAge07*'19_Расчет_аналитики'!$F$211,0)</f>
        <v/>
      </c>
      <c r="T526">
        <f>IF(IF('01_Вводные'!$B$296="Новый сезон",7-1&gt;MOD(MONTH('06_Сеть_и_дети'!T$3)-9,12),FALSE),'19_Расчет_аналитики'!T414*CapacityAge07*'19_Расчет_аналитики'!$F$211,0)</f>
        <v/>
      </c>
      <c r="U526">
        <f>IF(IF('01_Вводные'!$B$296="Новый сезон",7-1&gt;MOD(MONTH('06_Сеть_и_дети'!U$3)-9,12),FALSE),'19_Расчет_аналитики'!U414*CapacityAge07*'19_Расчет_аналитики'!$F$211,0)</f>
        <v/>
      </c>
      <c r="V526">
        <f>IF(IF('01_Вводные'!$B$296="Новый сезон",7-1&gt;MOD(MONTH('06_Сеть_и_дети'!V$3)-9,12),FALSE),'19_Расчет_аналитики'!V414*CapacityAge07*'19_Расчет_аналитики'!$F$211,0)</f>
        <v/>
      </c>
      <c r="W526">
        <f>IF(IF('01_Вводные'!$B$296="Новый сезон",7-1&gt;MOD(MONTH('06_Сеть_и_дети'!W$3)-9,12),FALSE),'19_Расчет_аналитики'!W414*CapacityAge07*'19_Расчет_аналитики'!$F$211,0)</f>
        <v/>
      </c>
      <c r="X526">
        <f>IF(IF('01_Вводные'!$B$296="Новый сезон",7-1&gt;MOD(MONTH('06_Сеть_и_дети'!X$3)-9,12),FALSE),'19_Расчет_аналитики'!X414*CapacityAge07*'19_Расчет_аналитики'!$F$211,0)</f>
        <v/>
      </c>
      <c r="Y526">
        <f>IF(IF('01_Вводные'!$B$296="Новый сезон",7-1&gt;MOD(MONTH('06_Сеть_и_дети'!Y$3)-9,12),FALSE),'19_Расчет_аналитики'!Y414*CapacityAge07*'19_Расчет_аналитики'!$F$211,0)</f>
        <v/>
      </c>
      <c r="Z526">
        <f>IF(IF('01_Вводные'!$B$296="Новый сезон",7-1&gt;MOD(MONTH('06_Сеть_и_дети'!Z$3)-9,12),FALSE),'19_Расчет_аналитики'!Z414*CapacityAge07*'19_Расчет_аналитики'!$F$211,0)</f>
        <v/>
      </c>
      <c r="AA526">
        <f>IF(IF('01_Вводные'!$B$296="Новый сезон",7-1&gt;MOD(MONTH('06_Сеть_и_дети'!AA$3)-9,12),FALSE),'19_Расчет_аналитики'!AA414*CapacityAge07*'19_Расчет_аналитики'!$F$211,0)</f>
        <v/>
      </c>
      <c r="AB526">
        <f>IF(IF('01_Вводные'!$B$296="Новый сезон",7-1&gt;MOD(MONTH('06_Сеть_и_дети'!AB$3)-9,12),FALSE),'19_Расчет_аналитики'!AB414*CapacityAge07*'19_Расчет_аналитики'!$F$211,0)</f>
        <v/>
      </c>
      <c r="AC526">
        <f>IF(IF('01_Вводные'!$B$296="Новый сезон",7-1&gt;MOD(MONTH('06_Сеть_и_дети'!AC$3)-9,12),FALSE),'19_Расчет_аналитики'!AC414*CapacityAge07*'19_Расчет_аналитики'!$F$211,0)</f>
        <v/>
      </c>
      <c r="AD526">
        <f>IF(IF('01_Вводные'!$B$296="Новый сезон",7-1&gt;MOD(MONTH('06_Сеть_и_дети'!AD$3)-9,12),FALSE),'19_Расчет_аналитики'!AD414*CapacityAge07*'19_Расчет_аналитики'!$F$211,0)</f>
        <v/>
      </c>
      <c r="AE526">
        <f>IF(IF('01_Вводные'!$B$296="Новый сезон",7-1&gt;MOD(MONTH('06_Сеть_и_дети'!AE$3)-9,12),FALSE),'19_Расчет_аналитики'!AE414*CapacityAge07*'19_Расчет_аналитики'!$F$211,0)</f>
        <v/>
      </c>
      <c r="AF526">
        <f>IF(IF('01_Вводные'!$B$296="Новый сезон",7-1&gt;MOD(MONTH('06_Сеть_и_дети'!AF$3)-9,12),FALSE),'19_Расчет_аналитики'!AF414*CapacityAge07*'19_Расчет_аналитики'!$F$211,0)</f>
        <v/>
      </c>
      <c r="AG526">
        <f>IF(IF('01_Вводные'!$B$296="Новый сезон",7-1&gt;MOD(MONTH('06_Сеть_и_дети'!AG$3)-9,12),FALSE),'19_Расчет_аналитики'!AG414*CapacityAge07*'19_Расчет_аналитики'!$F$211,0)</f>
        <v/>
      </c>
      <c r="AH526">
        <f>IF(IF('01_Вводные'!$B$296="Новый сезон",7-1&gt;MOD(MONTH('06_Сеть_и_дети'!AH$3)-9,12),FALSE),'19_Расчет_аналитики'!AH414*CapacityAge07*'19_Расчет_аналитики'!$F$211,0)</f>
        <v/>
      </c>
      <c r="AI526">
        <f>IF(IF('01_Вводные'!$B$296="Новый сезон",7-1&gt;MOD(MONTH('06_Сеть_и_дети'!AI$3)-9,12),FALSE),'19_Расчет_аналитики'!AI414*CapacityAge07*'19_Расчет_аналитики'!$F$211,0)</f>
        <v/>
      </c>
      <c r="AJ526">
        <f>IF(IF('01_Вводные'!$B$296="Новый сезон",7-1&gt;MOD(MONTH('06_Сеть_и_дети'!AJ$3)-9,12),FALSE),'19_Расчет_аналитики'!AJ414*CapacityAge07*'19_Расчет_аналитики'!$F$211,0)</f>
        <v/>
      </c>
      <c r="AK526">
        <f>IF(IF('01_Вводные'!$B$296="Новый сезон",7-1&gt;MOD(MONTH('06_Сеть_и_дети'!AK$3)-9,12),FALSE),'19_Расчет_аналитики'!AK414*CapacityAge07*'19_Расчет_аналитики'!$F$211,0)</f>
        <v/>
      </c>
      <c r="AL526">
        <f>IF(IF('01_Вводные'!$B$296="Новый сезон",7-1&gt;MOD(MONTH('06_Сеть_и_дети'!AL$3)-9,12),FALSE),'19_Расчет_аналитики'!AL414*CapacityAge07*'19_Расчет_аналитики'!$F$211,0)</f>
        <v/>
      </c>
      <c r="AM526">
        <f>IF(IF('01_Вводные'!$B$296="Новый сезон",7-1&gt;MOD(MONTH('06_Сеть_и_дети'!AM$3)-9,12),FALSE),'19_Расчет_аналитики'!AM414*CapacityAge07*'19_Расчет_аналитики'!$F$211,0)</f>
        <v/>
      </c>
      <c r="AN526">
        <f>IF(IF('01_Вводные'!$B$296="Новый сезон",7-1&gt;MOD(MONTH('06_Сеть_и_дети'!AN$3)-9,12),FALSE),'19_Расчет_аналитики'!AN414*CapacityAge07*'19_Расчет_аналитики'!$F$211,0)</f>
        <v/>
      </c>
      <c r="AO526">
        <f>IF(IF('01_Вводные'!$B$296="Новый сезон",7-1&gt;MOD(MONTH('06_Сеть_и_дети'!AO$3)-9,12),FALSE),'19_Расчет_аналитики'!AO414*CapacityAge07*'19_Расчет_аналитики'!$F$211,0)</f>
        <v/>
      </c>
      <c r="AP526">
        <f>IF(IF('01_Вводные'!$B$296="Новый сезон",7-1&gt;MOD(MONTH('06_Сеть_и_дети'!AP$3)-9,12),FALSE),'19_Расчет_аналитики'!AP414*CapacityAge07*'19_Расчет_аналитики'!$F$211,0)</f>
        <v/>
      </c>
      <c r="AQ526">
        <f>IF(IF('01_Вводные'!$B$296="Новый сезон",7-1&gt;MOD(MONTH('06_Сеть_и_дети'!AQ$3)-9,12),FALSE),'19_Расчет_аналитики'!AQ414*CapacityAge07*'19_Расчет_аналитики'!$F$211,0)</f>
        <v/>
      </c>
      <c r="AR526">
        <f>IF(IF('01_Вводные'!$B$296="Новый сезон",7-1&gt;MOD(MONTH('06_Сеть_и_дети'!AR$3)-9,12),FALSE),'19_Расчет_аналитики'!AR414*CapacityAge07*'19_Расчет_аналитики'!$F$211,0)</f>
        <v/>
      </c>
      <c r="AS526">
        <f>IF(IF('01_Вводные'!$B$296="Новый сезон",7-1&gt;MOD(MONTH('06_Сеть_и_дети'!AS$3)-9,12),FALSE),'19_Расчет_аналитики'!AS414*CapacityAge07*'19_Расчет_аналитики'!$F$211,0)</f>
        <v/>
      </c>
      <c r="AT526">
        <f>IF(IF('01_Вводные'!$B$296="Новый сезон",7-1&gt;MOD(MONTH('06_Сеть_и_дети'!AT$3)-9,12),FALSE),'19_Расчет_аналитики'!AT414*CapacityAge07*'19_Расчет_аналитики'!$F$211,0)</f>
        <v/>
      </c>
      <c r="AU526">
        <f>IF(IF('01_Вводные'!$B$296="Новый сезон",7-1&gt;MOD(MONTH('06_Сеть_и_дети'!AU$3)-9,12),FALSE),'19_Расчет_аналитики'!AU414*CapacityAge07*'19_Расчет_аналитики'!$F$211,0)</f>
        <v/>
      </c>
      <c r="AV526">
        <f>IF(IF('01_Вводные'!$B$296="Новый сезон",7-1&gt;MOD(MONTH('06_Сеть_и_дети'!AV$3)-9,12),FALSE),'19_Расчет_аналитики'!AV414*CapacityAge07*'19_Расчет_аналитики'!$F$211,0)</f>
        <v/>
      </c>
      <c r="AW526">
        <f>IF(IF('01_Вводные'!$B$296="Новый сезон",7-1&gt;MOD(MONTH('06_Сеть_и_дети'!AW$3)-9,12),FALSE),'19_Расчет_аналитики'!AW414*CapacityAge07*'19_Расчет_аналитики'!$F$211,0)</f>
        <v/>
      </c>
      <c r="AX526">
        <f>IF(IF('01_Вводные'!$B$296="Новый сезон",7-1&gt;MOD(MONTH('06_Сеть_и_дети'!AX$3)-9,12),FALSE),'19_Расчет_аналитики'!AX414*CapacityAge07*'19_Расчет_аналитики'!$F$211,0)</f>
        <v/>
      </c>
      <c r="AY526">
        <f>IF(IF('01_Вводные'!$B$296="Новый сезон",7-1&gt;MOD(MONTH('06_Сеть_и_дети'!AY$3)-9,12),FALSE),'19_Расчет_аналитики'!AY414*CapacityAge07*'19_Расчет_аналитики'!$F$211,0)</f>
        <v/>
      </c>
      <c r="AZ526">
        <f>IF(IF('01_Вводные'!$B$296="Новый сезон",7-1&gt;MOD(MONTH('06_Сеть_и_дети'!AZ$3)-9,12),FALSE),'19_Расчет_аналитики'!AZ414*CapacityAge07*'19_Расчет_аналитики'!$F$211,0)</f>
        <v/>
      </c>
      <c r="BA526">
        <f>IF(IF('01_Вводные'!$B$296="Новый сезон",7-1&gt;MOD(MONTH('06_Сеть_и_дети'!BA$3)-9,12),FALSE),'19_Расчет_аналитики'!BA414*CapacityAge07*'19_Расчет_аналитики'!$F$211,0)</f>
        <v/>
      </c>
      <c r="BB526">
        <f>IF(IF('01_Вводные'!$B$296="Новый сезон",7-1&gt;MOD(MONTH('06_Сеть_и_дети'!BB$3)-9,12),FALSE),'19_Расчет_аналитики'!BB414*CapacityAge07*'19_Расчет_аналитики'!$F$211,0)</f>
        <v/>
      </c>
      <c r="BC526">
        <f>IF(IF('01_Вводные'!$B$296="Новый сезон",7-1&gt;MOD(MONTH('06_Сеть_и_дети'!BC$3)-9,12),FALSE),'19_Расчет_аналитики'!BC414*CapacityAge07*'19_Расчет_аналитики'!$F$211,0)</f>
        <v/>
      </c>
      <c r="BD526">
        <f>IF(IF('01_Вводные'!$B$296="Новый сезон",7-1&gt;MOD(MONTH('06_Сеть_и_дети'!BD$3)-9,12),FALSE),'19_Расчет_аналитики'!BD414*CapacityAge07*'19_Расчет_аналитики'!$F$211,0)</f>
        <v/>
      </c>
      <c r="BE526">
        <f>IF(IF('01_Вводные'!$B$296="Новый сезон",7-1&gt;MOD(MONTH('06_Сеть_и_дети'!BE$3)-9,12),FALSE),'19_Расчет_аналитики'!BE414*CapacityAge07*'19_Расчет_аналитики'!$F$211,0)</f>
        <v/>
      </c>
      <c r="BF526">
        <f>IF(IF('01_Вводные'!$B$296="Новый сезон",7-1&gt;MOD(MONTH('06_Сеть_и_дети'!BF$3)-9,12),FALSE),'19_Расчет_аналитики'!BF414*CapacityAge07*'19_Расчет_аналитики'!$F$211,0)</f>
        <v/>
      </c>
      <c r="BG526">
        <f>IF(IF('01_Вводные'!$B$296="Новый сезон",7-1&gt;MOD(MONTH('06_Сеть_и_дети'!BG$3)-9,12),FALSE),'19_Расчет_аналитики'!BG414*CapacityAge07*'19_Расчет_аналитики'!$F$211,0)</f>
        <v/>
      </c>
      <c r="BH526">
        <f>IF(IF('01_Вводные'!$B$296="Новый сезон",7-1&gt;MOD(MONTH('06_Сеть_и_дети'!BH$3)-9,12),FALSE),'19_Расчет_аналитики'!BH414*CapacityAge07*'19_Расчет_аналитики'!$F$211,0)</f>
        <v/>
      </c>
      <c r="BI526">
        <f>IF(IF('01_Вводные'!$B$296="Новый сезон",7-1&gt;MOD(MONTH('06_Сеть_и_дети'!BI$3)-9,12),FALSE),'19_Расчет_аналитики'!BI414*CapacityAge07*'19_Расчет_аналитики'!$F$211,0)</f>
        <v/>
      </c>
      <c r="BJ526">
        <f>IF(IF('01_Вводные'!$B$296="Новый сезон",7-1&gt;MOD(MONTH('06_Сеть_и_дети'!BJ$3)-9,12),FALSE),'19_Расчет_аналитики'!BJ414*CapacityAge07*'19_Расчет_аналитики'!$F$211,0)</f>
        <v/>
      </c>
      <c r="BK526">
        <f>IF(IF('01_Вводные'!$B$296="Новый сезон",7-1&gt;MOD(MONTH('06_Сеть_и_дети'!BK$3)-9,12),FALSE),'19_Расчет_аналитики'!BK414*CapacityAge07*'19_Расчет_аналитики'!$F$211,0)</f>
        <v/>
      </c>
      <c r="BL526">
        <f>IF(IF('01_Вводные'!$B$296="Новый сезон",7-1&gt;MOD(MONTH('06_Сеть_и_дети'!BL$3)-9,12),FALSE),'19_Расчет_аналитики'!BL414*CapacityAge07*'19_Расчет_аналитики'!$F$211,0)</f>
        <v/>
      </c>
      <c r="BM526">
        <f>IF(IF('01_Вводные'!$B$296="Новый сезон",7-1&gt;MOD(MONTH('06_Сеть_и_дети'!BM$3)-9,12),FALSE),'19_Расчет_аналитики'!BM414*CapacityAge07*'19_Расчет_аналитики'!$F$211,0)</f>
        <v/>
      </c>
      <c r="BN526">
        <f>IF(IF('01_Вводные'!$B$296="Новый сезон",7-1&gt;MOD(MONTH('06_Сеть_и_дети'!BN$3)-9,12),FALSE),'19_Расчет_аналитики'!BN414*CapacityAge07*'19_Расчет_аналитики'!$F$211,0)</f>
        <v/>
      </c>
      <c r="BO526">
        <f>IF(IF('01_Вводные'!$B$296="Новый сезон",7-1&gt;MOD(MONTH('06_Сеть_и_дети'!BO$3)-9,12),FALSE),'19_Расчет_аналитики'!BO414*CapacityAge07*'19_Расчет_аналитики'!$F$211,0)</f>
        <v/>
      </c>
    </row>
    <row r="527">
      <c r="B527">
        <f>IF(IF('01_Вводные'!$B$296="Новый сезон",8-1&gt;MOD(MONTH('06_Сеть_и_дети'!B$3)-9,12),FALSE),'06_Сеть_и_дети'!B60*CapacityAge08*'19_Расчет_аналитики'!$F$211,0)</f>
        <v/>
      </c>
      <c r="C527">
        <f>IF(IF('01_Вводные'!$B$296="Новый сезон",8-1&gt;MOD(MONTH('06_Сеть_и_дети'!C$3)-9,12),FALSE),'06_Сеть_и_дети'!C60*CapacityAge08*'19_Расчет_аналитики'!$F$211,0)</f>
        <v/>
      </c>
      <c r="D527">
        <f>IF(IF('01_Вводные'!$B$296="Новый сезон",8-1&gt;MOD(MONTH('06_Сеть_и_дети'!D$3)-9,12),FALSE),'06_Сеть_и_дети'!D60*CapacityAge08*'19_Расчет_аналитики'!$F$211,0)</f>
        <v/>
      </c>
      <c r="E527">
        <f>IF(IF('01_Вводные'!$B$296="Новый сезон",8-1&gt;MOD(MONTH('06_Сеть_и_дети'!E$3)-9,12),FALSE),'06_Сеть_и_дети'!E60*CapacityAge08*'19_Расчет_аналитики'!$F$211,0)</f>
        <v/>
      </c>
      <c r="F527">
        <f>IF(IF('01_Вводные'!$B$296="Новый сезон",8-1&gt;MOD(MONTH('06_Сеть_и_дети'!F$3)-9,12),FALSE),'06_Сеть_и_дети'!F60*CapacityAge08*'19_Расчет_аналитики'!$F$211,0)</f>
        <v/>
      </c>
      <c r="G527">
        <f>IF(IF('01_Вводные'!$B$296="Новый сезон",8-1&gt;MOD(MONTH('06_Сеть_и_дети'!G$3)-9,12),FALSE),'06_Сеть_и_дети'!G60*CapacityAge08*'19_Расчет_аналитики'!$F$211,0)</f>
        <v/>
      </c>
      <c r="H527">
        <f>IF(IF('01_Вводные'!$B$296="Новый сезон",8-1&gt;MOD(MONTH('06_Сеть_и_дети'!H$3)-9,12),FALSE),'06_Сеть_и_дети'!H60*CapacityAge08*'19_Расчет_аналитики'!$F$211,0)</f>
        <v/>
      </c>
      <c r="I527">
        <f>IF(IF('01_Вводные'!$B$296="Новый сезон",8-1&gt;MOD(MONTH('06_Сеть_и_дети'!I$3)-9,12),FALSE),'19_Расчет_аналитики'!I415*CapacityAge08*'19_Расчет_аналитики'!$F$211,0)</f>
        <v/>
      </c>
      <c r="J527">
        <f>IF(IF('01_Вводные'!$B$296="Новый сезон",8-1&gt;MOD(MONTH('06_Сеть_и_дети'!J$3)-9,12),FALSE),'19_Расчет_аналитики'!J415*CapacityAge08*'19_Расчет_аналитики'!$F$211,0)</f>
        <v/>
      </c>
      <c r="K527">
        <f>IF(IF('01_Вводные'!$B$296="Новый сезон",8-1&gt;MOD(MONTH('06_Сеть_и_дети'!K$3)-9,12),FALSE),'19_Расчет_аналитики'!K415*CapacityAge08*'19_Расчет_аналитики'!$F$211,0)</f>
        <v/>
      </c>
      <c r="L527">
        <f>IF(IF('01_Вводные'!$B$296="Новый сезон",8-1&gt;MOD(MONTH('06_Сеть_и_дети'!L$3)-9,12),FALSE),'19_Расчет_аналитики'!L415*CapacityAge08*'19_Расчет_аналитики'!$F$211,0)</f>
        <v/>
      </c>
      <c r="M527">
        <f>IF(IF('01_Вводные'!$B$296="Новый сезон",8-1&gt;MOD(MONTH('06_Сеть_и_дети'!M$3)-9,12),FALSE),'19_Расчет_аналитики'!M415*CapacityAge08*'19_Расчет_аналитики'!$F$211,0)</f>
        <v/>
      </c>
      <c r="N527">
        <f>IF(IF('01_Вводные'!$B$296="Новый сезон",8-1&gt;MOD(MONTH('06_Сеть_и_дети'!N$3)-9,12),FALSE),'19_Расчет_аналитики'!N415*CapacityAge08*'19_Расчет_аналитики'!$F$211,0)</f>
        <v/>
      </c>
      <c r="O527">
        <f>IF(IF('01_Вводные'!$B$296="Новый сезон",8-1&gt;MOD(MONTH('06_Сеть_и_дети'!O$3)-9,12),FALSE),'19_Расчет_аналитики'!O415*CapacityAge08*'19_Расчет_аналитики'!$F$211,0)</f>
        <v/>
      </c>
      <c r="P527">
        <f>IF(IF('01_Вводные'!$B$296="Новый сезон",8-1&gt;MOD(MONTH('06_Сеть_и_дети'!P$3)-9,12),FALSE),'19_Расчет_аналитики'!P415*CapacityAge08*'19_Расчет_аналитики'!$F$211,0)</f>
        <v/>
      </c>
      <c r="Q527">
        <f>IF(IF('01_Вводные'!$B$296="Новый сезон",8-1&gt;MOD(MONTH('06_Сеть_и_дети'!Q$3)-9,12),FALSE),'19_Расчет_аналитики'!Q415*CapacityAge08*'19_Расчет_аналитики'!$F$211,0)</f>
        <v/>
      </c>
      <c r="R527">
        <f>IF(IF('01_Вводные'!$B$296="Новый сезон",8-1&gt;MOD(MONTH('06_Сеть_и_дети'!R$3)-9,12),FALSE),'19_Расчет_аналитики'!R415*CapacityAge08*'19_Расчет_аналитики'!$F$211,0)</f>
        <v/>
      </c>
      <c r="S527">
        <f>IF(IF('01_Вводные'!$B$296="Новый сезон",8-1&gt;MOD(MONTH('06_Сеть_и_дети'!S$3)-9,12),FALSE),'19_Расчет_аналитики'!S415*CapacityAge08*'19_Расчет_аналитики'!$F$211,0)</f>
        <v/>
      </c>
      <c r="T527">
        <f>IF(IF('01_Вводные'!$B$296="Новый сезон",8-1&gt;MOD(MONTH('06_Сеть_и_дети'!T$3)-9,12),FALSE),'19_Расчет_аналитики'!T415*CapacityAge08*'19_Расчет_аналитики'!$F$211,0)</f>
        <v/>
      </c>
      <c r="U527">
        <f>IF(IF('01_Вводные'!$B$296="Новый сезон",8-1&gt;MOD(MONTH('06_Сеть_и_дети'!U$3)-9,12),FALSE),'19_Расчет_аналитики'!U415*CapacityAge08*'19_Расчет_аналитики'!$F$211,0)</f>
        <v/>
      </c>
      <c r="V527">
        <f>IF(IF('01_Вводные'!$B$296="Новый сезон",8-1&gt;MOD(MONTH('06_Сеть_и_дети'!V$3)-9,12),FALSE),'19_Расчет_аналитики'!V415*CapacityAge08*'19_Расчет_аналитики'!$F$211,0)</f>
        <v/>
      </c>
      <c r="W527">
        <f>IF(IF('01_Вводные'!$B$296="Новый сезон",8-1&gt;MOD(MONTH('06_Сеть_и_дети'!W$3)-9,12),FALSE),'19_Расчет_аналитики'!W415*CapacityAge08*'19_Расчет_аналитики'!$F$211,0)</f>
        <v/>
      </c>
      <c r="X527">
        <f>IF(IF('01_Вводные'!$B$296="Новый сезон",8-1&gt;MOD(MONTH('06_Сеть_и_дети'!X$3)-9,12),FALSE),'19_Расчет_аналитики'!X415*CapacityAge08*'19_Расчет_аналитики'!$F$211,0)</f>
        <v/>
      </c>
      <c r="Y527">
        <f>IF(IF('01_Вводные'!$B$296="Новый сезон",8-1&gt;MOD(MONTH('06_Сеть_и_дети'!Y$3)-9,12),FALSE),'19_Расчет_аналитики'!Y415*CapacityAge08*'19_Расчет_аналитики'!$F$211,0)</f>
        <v/>
      </c>
      <c r="Z527">
        <f>IF(IF('01_Вводные'!$B$296="Новый сезон",8-1&gt;MOD(MONTH('06_Сеть_и_дети'!Z$3)-9,12),FALSE),'19_Расчет_аналитики'!Z415*CapacityAge08*'19_Расчет_аналитики'!$F$211,0)</f>
        <v/>
      </c>
      <c r="AA527">
        <f>IF(IF('01_Вводные'!$B$296="Новый сезон",8-1&gt;MOD(MONTH('06_Сеть_и_дети'!AA$3)-9,12),FALSE),'19_Расчет_аналитики'!AA415*CapacityAge08*'19_Расчет_аналитики'!$F$211,0)</f>
        <v/>
      </c>
      <c r="AB527">
        <f>IF(IF('01_Вводные'!$B$296="Новый сезон",8-1&gt;MOD(MONTH('06_Сеть_и_дети'!AB$3)-9,12),FALSE),'19_Расчет_аналитики'!AB415*CapacityAge08*'19_Расчет_аналитики'!$F$211,0)</f>
        <v/>
      </c>
      <c r="AC527">
        <f>IF(IF('01_Вводные'!$B$296="Новый сезон",8-1&gt;MOD(MONTH('06_Сеть_и_дети'!AC$3)-9,12),FALSE),'19_Расчет_аналитики'!AC415*CapacityAge08*'19_Расчет_аналитики'!$F$211,0)</f>
        <v/>
      </c>
      <c r="AD527">
        <f>IF(IF('01_Вводные'!$B$296="Новый сезон",8-1&gt;MOD(MONTH('06_Сеть_и_дети'!AD$3)-9,12),FALSE),'19_Расчет_аналитики'!AD415*CapacityAge08*'19_Расчет_аналитики'!$F$211,0)</f>
        <v/>
      </c>
      <c r="AE527">
        <f>IF(IF('01_Вводные'!$B$296="Новый сезон",8-1&gt;MOD(MONTH('06_Сеть_и_дети'!AE$3)-9,12),FALSE),'19_Расчет_аналитики'!AE415*CapacityAge08*'19_Расчет_аналитики'!$F$211,0)</f>
        <v/>
      </c>
      <c r="AF527">
        <f>IF(IF('01_Вводные'!$B$296="Новый сезон",8-1&gt;MOD(MONTH('06_Сеть_и_дети'!AF$3)-9,12),FALSE),'19_Расчет_аналитики'!AF415*CapacityAge08*'19_Расчет_аналитики'!$F$211,0)</f>
        <v/>
      </c>
      <c r="AG527">
        <f>IF(IF('01_Вводные'!$B$296="Новый сезон",8-1&gt;MOD(MONTH('06_Сеть_и_дети'!AG$3)-9,12),FALSE),'19_Расчет_аналитики'!AG415*CapacityAge08*'19_Расчет_аналитики'!$F$211,0)</f>
        <v/>
      </c>
      <c r="AH527">
        <f>IF(IF('01_Вводные'!$B$296="Новый сезон",8-1&gt;MOD(MONTH('06_Сеть_и_дети'!AH$3)-9,12),FALSE),'19_Расчет_аналитики'!AH415*CapacityAge08*'19_Расчет_аналитики'!$F$211,0)</f>
        <v/>
      </c>
      <c r="AI527">
        <f>IF(IF('01_Вводные'!$B$296="Новый сезон",8-1&gt;MOD(MONTH('06_Сеть_и_дети'!AI$3)-9,12),FALSE),'19_Расчет_аналитики'!AI415*CapacityAge08*'19_Расчет_аналитики'!$F$211,0)</f>
        <v/>
      </c>
      <c r="AJ527">
        <f>IF(IF('01_Вводные'!$B$296="Новый сезон",8-1&gt;MOD(MONTH('06_Сеть_и_дети'!AJ$3)-9,12),FALSE),'19_Расчет_аналитики'!AJ415*CapacityAge08*'19_Расчет_аналитики'!$F$211,0)</f>
        <v/>
      </c>
      <c r="AK527">
        <f>IF(IF('01_Вводные'!$B$296="Новый сезон",8-1&gt;MOD(MONTH('06_Сеть_и_дети'!AK$3)-9,12),FALSE),'19_Расчет_аналитики'!AK415*CapacityAge08*'19_Расчет_аналитики'!$F$211,0)</f>
        <v/>
      </c>
      <c r="AL527">
        <f>IF(IF('01_Вводные'!$B$296="Новый сезон",8-1&gt;MOD(MONTH('06_Сеть_и_дети'!AL$3)-9,12),FALSE),'19_Расчет_аналитики'!AL415*CapacityAge08*'19_Расчет_аналитики'!$F$211,0)</f>
        <v/>
      </c>
      <c r="AM527">
        <f>IF(IF('01_Вводные'!$B$296="Новый сезон",8-1&gt;MOD(MONTH('06_Сеть_и_дети'!AM$3)-9,12),FALSE),'19_Расчет_аналитики'!AM415*CapacityAge08*'19_Расчет_аналитики'!$F$211,0)</f>
        <v/>
      </c>
      <c r="AN527">
        <f>IF(IF('01_Вводные'!$B$296="Новый сезон",8-1&gt;MOD(MONTH('06_Сеть_и_дети'!AN$3)-9,12),FALSE),'19_Расчет_аналитики'!AN415*CapacityAge08*'19_Расчет_аналитики'!$F$211,0)</f>
        <v/>
      </c>
      <c r="AO527">
        <f>IF(IF('01_Вводные'!$B$296="Новый сезон",8-1&gt;MOD(MONTH('06_Сеть_и_дети'!AO$3)-9,12),FALSE),'19_Расчет_аналитики'!AO415*CapacityAge08*'19_Расчет_аналитики'!$F$211,0)</f>
        <v/>
      </c>
      <c r="AP527">
        <f>IF(IF('01_Вводные'!$B$296="Новый сезон",8-1&gt;MOD(MONTH('06_Сеть_и_дети'!AP$3)-9,12),FALSE),'19_Расчет_аналитики'!AP415*CapacityAge08*'19_Расчет_аналитики'!$F$211,0)</f>
        <v/>
      </c>
      <c r="AQ527">
        <f>IF(IF('01_Вводные'!$B$296="Новый сезон",8-1&gt;MOD(MONTH('06_Сеть_и_дети'!AQ$3)-9,12),FALSE),'19_Расчет_аналитики'!AQ415*CapacityAge08*'19_Расчет_аналитики'!$F$211,0)</f>
        <v/>
      </c>
      <c r="AR527">
        <f>IF(IF('01_Вводные'!$B$296="Новый сезон",8-1&gt;MOD(MONTH('06_Сеть_и_дети'!AR$3)-9,12),FALSE),'19_Расчет_аналитики'!AR415*CapacityAge08*'19_Расчет_аналитики'!$F$211,0)</f>
        <v/>
      </c>
      <c r="AS527">
        <f>IF(IF('01_Вводные'!$B$296="Новый сезон",8-1&gt;MOD(MONTH('06_Сеть_и_дети'!AS$3)-9,12),FALSE),'19_Расчет_аналитики'!AS415*CapacityAge08*'19_Расчет_аналитики'!$F$211,0)</f>
        <v/>
      </c>
      <c r="AT527">
        <f>IF(IF('01_Вводные'!$B$296="Новый сезон",8-1&gt;MOD(MONTH('06_Сеть_и_дети'!AT$3)-9,12),FALSE),'19_Расчет_аналитики'!AT415*CapacityAge08*'19_Расчет_аналитики'!$F$211,0)</f>
        <v/>
      </c>
      <c r="AU527">
        <f>IF(IF('01_Вводные'!$B$296="Новый сезон",8-1&gt;MOD(MONTH('06_Сеть_и_дети'!AU$3)-9,12),FALSE),'19_Расчет_аналитики'!AU415*CapacityAge08*'19_Расчет_аналитики'!$F$211,0)</f>
        <v/>
      </c>
      <c r="AV527">
        <f>IF(IF('01_Вводные'!$B$296="Новый сезон",8-1&gt;MOD(MONTH('06_Сеть_и_дети'!AV$3)-9,12),FALSE),'19_Расчет_аналитики'!AV415*CapacityAge08*'19_Расчет_аналитики'!$F$211,0)</f>
        <v/>
      </c>
      <c r="AW527">
        <f>IF(IF('01_Вводные'!$B$296="Новый сезон",8-1&gt;MOD(MONTH('06_Сеть_и_дети'!AW$3)-9,12),FALSE),'19_Расчет_аналитики'!AW415*CapacityAge08*'19_Расчет_аналитики'!$F$211,0)</f>
        <v/>
      </c>
      <c r="AX527">
        <f>IF(IF('01_Вводные'!$B$296="Новый сезон",8-1&gt;MOD(MONTH('06_Сеть_и_дети'!AX$3)-9,12),FALSE),'19_Расчет_аналитики'!AX415*CapacityAge08*'19_Расчет_аналитики'!$F$211,0)</f>
        <v/>
      </c>
      <c r="AY527">
        <f>IF(IF('01_Вводные'!$B$296="Новый сезон",8-1&gt;MOD(MONTH('06_Сеть_и_дети'!AY$3)-9,12),FALSE),'19_Расчет_аналитики'!AY415*CapacityAge08*'19_Расчет_аналитики'!$F$211,0)</f>
        <v/>
      </c>
      <c r="AZ527">
        <f>IF(IF('01_Вводные'!$B$296="Новый сезон",8-1&gt;MOD(MONTH('06_Сеть_и_дети'!AZ$3)-9,12),FALSE),'19_Расчет_аналитики'!AZ415*CapacityAge08*'19_Расчет_аналитики'!$F$211,0)</f>
        <v/>
      </c>
      <c r="BA527">
        <f>IF(IF('01_Вводные'!$B$296="Новый сезон",8-1&gt;MOD(MONTH('06_Сеть_и_дети'!BA$3)-9,12),FALSE),'19_Расчет_аналитики'!BA415*CapacityAge08*'19_Расчет_аналитики'!$F$211,0)</f>
        <v/>
      </c>
      <c r="BB527">
        <f>IF(IF('01_Вводные'!$B$296="Новый сезон",8-1&gt;MOD(MONTH('06_Сеть_и_дети'!BB$3)-9,12),FALSE),'19_Расчет_аналитики'!BB415*CapacityAge08*'19_Расчет_аналитики'!$F$211,0)</f>
        <v/>
      </c>
      <c r="BC527">
        <f>IF(IF('01_Вводные'!$B$296="Новый сезон",8-1&gt;MOD(MONTH('06_Сеть_и_дети'!BC$3)-9,12),FALSE),'19_Расчет_аналитики'!BC415*CapacityAge08*'19_Расчет_аналитики'!$F$211,0)</f>
        <v/>
      </c>
      <c r="BD527">
        <f>IF(IF('01_Вводные'!$B$296="Новый сезон",8-1&gt;MOD(MONTH('06_Сеть_и_дети'!BD$3)-9,12),FALSE),'19_Расчет_аналитики'!BD415*CapacityAge08*'19_Расчет_аналитики'!$F$211,0)</f>
        <v/>
      </c>
      <c r="BE527">
        <f>IF(IF('01_Вводные'!$B$296="Новый сезон",8-1&gt;MOD(MONTH('06_Сеть_и_дети'!BE$3)-9,12),FALSE),'19_Расчет_аналитики'!BE415*CapacityAge08*'19_Расчет_аналитики'!$F$211,0)</f>
        <v/>
      </c>
      <c r="BF527">
        <f>IF(IF('01_Вводные'!$B$296="Новый сезон",8-1&gt;MOD(MONTH('06_Сеть_и_дети'!BF$3)-9,12),FALSE),'19_Расчет_аналитики'!BF415*CapacityAge08*'19_Расчет_аналитики'!$F$211,0)</f>
        <v/>
      </c>
      <c r="BG527">
        <f>IF(IF('01_Вводные'!$B$296="Новый сезон",8-1&gt;MOD(MONTH('06_Сеть_и_дети'!BG$3)-9,12),FALSE),'19_Расчет_аналитики'!BG415*CapacityAge08*'19_Расчет_аналитики'!$F$211,0)</f>
        <v/>
      </c>
      <c r="BH527">
        <f>IF(IF('01_Вводные'!$B$296="Новый сезон",8-1&gt;MOD(MONTH('06_Сеть_и_дети'!BH$3)-9,12),FALSE),'19_Расчет_аналитики'!BH415*CapacityAge08*'19_Расчет_аналитики'!$F$211,0)</f>
        <v/>
      </c>
      <c r="BI527">
        <f>IF(IF('01_Вводные'!$B$296="Новый сезон",8-1&gt;MOD(MONTH('06_Сеть_и_дети'!BI$3)-9,12),FALSE),'19_Расчет_аналитики'!BI415*CapacityAge08*'19_Расчет_аналитики'!$F$211,0)</f>
        <v/>
      </c>
      <c r="BJ527">
        <f>IF(IF('01_Вводные'!$B$296="Новый сезон",8-1&gt;MOD(MONTH('06_Сеть_и_дети'!BJ$3)-9,12),FALSE),'19_Расчет_аналитики'!BJ415*CapacityAge08*'19_Расчет_аналитики'!$F$211,0)</f>
        <v/>
      </c>
      <c r="BK527">
        <f>IF(IF('01_Вводные'!$B$296="Новый сезон",8-1&gt;MOD(MONTH('06_Сеть_и_дети'!BK$3)-9,12),FALSE),'19_Расчет_аналитики'!BK415*CapacityAge08*'19_Расчет_аналитики'!$F$211,0)</f>
        <v/>
      </c>
      <c r="BL527">
        <f>IF(IF('01_Вводные'!$B$296="Новый сезон",8-1&gt;MOD(MONTH('06_Сеть_и_дети'!BL$3)-9,12),FALSE),'19_Расчет_аналитики'!BL415*CapacityAge08*'19_Расчет_аналитики'!$F$211,0)</f>
        <v/>
      </c>
      <c r="BM527">
        <f>IF(IF('01_Вводные'!$B$296="Новый сезон",8-1&gt;MOD(MONTH('06_Сеть_и_дети'!BM$3)-9,12),FALSE),'19_Расчет_аналитики'!BM415*CapacityAge08*'19_Расчет_аналитики'!$F$211,0)</f>
        <v/>
      </c>
      <c r="BN527">
        <f>IF(IF('01_Вводные'!$B$296="Новый сезон",8-1&gt;MOD(MONTH('06_Сеть_и_дети'!BN$3)-9,12),FALSE),'19_Расчет_аналитики'!BN415*CapacityAge08*'19_Расчет_аналитики'!$F$211,0)</f>
        <v/>
      </c>
      <c r="BO527">
        <f>IF(IF('01_Вводные'!$B$296="Новый сезон",8-1&gt;MOD(MONTH('06_Сеть_и_дети'!BO$3)-9,12),FALSE),'19_Расчет_аналитики'!BO415*CapacityAge08*'19_Расчет_аналитики'!$F$211,0)</f>
        <v/>
      </c>
    </row>
    <row r="528">
      <c r="B528">
        <f>IF(IF('01_Вводные'!$B$296="Новый сезон",9-1&gt;MOD(MONTH('06_Сеть_и_дети'!B$3)-9,12),FALSE),'06_Сеть_и_дети'!B61*CapacityAge09*'19_Расчет_аналитики'!$F$211,0)</f>
        <v/>
      </c>
      <c r="C528">
        <f>IF(IF('01_Вводные'!$B$296="Новый сезон",9-1&gt;MOD(MONTH('06_Сеть_и_дети'!C$3)-9,12),FALSE),'06_Сеть_и_дети'!C61*CapacityAge09*'19_Расчет_аналитики'!$F$211,0)</f>
        <v/>
      </c>
      <c r="D528">
        <f>IF(IF('01_Вводные'!$B$296="Новый сезон",9-1&gt;MOD(MONTH('06_Сеть_и_дети'!D$3)-9,12),FALSE),'06_Сеть_и_дети'!D61*CapacityAge09*'19_Расчет_аналитики'!$F$211,0)</f>
        <v/>
      </c>
      <c r="E528">
        <f>IF(IF('01_Вводные'!$B$296="Новый сезон",9-1&gt;MOD(MONTH('06_Сеть_и_дети'!E$3)-9,12),FALSE),'06_Сеть_и_дети'!E61*CapacityAge09*'19_Расчет_аналитики'!$F$211,0)</f>
        <v/>
      </c>
      <c r="F528">
        <f>IF(IF('01_Вводные'!$B$296="Новый сезон",9-1&gt;MOD(MONTH('06_Сеть_и_дети'!F$3)-9,12),FALSE),'06_Сеть_и_дети'!F61*CapacityAge09*'19_Расчет_аналитики'!$F$211,0)</f>
        <v/>
      </c>
      <c r="G528">
        <f>IF(IF('01_Вводные'!$B$296="Новый сезон",9-1&gt;MOD(MONTH('06_Сеть_и_дети'!G$3)-9,12),FALSE),'06_Сеть_и_дети'!G61*CapacityAge09*'19_Расчет_аналитики'!$F$211,0)</f>
        <v/>
      </c>
      <c r="H528">
        <f>IF(IF('01_Вводные'!$B$296="Новый сезон",9-1&gt;MOD(MONTH('06_Сеть_и_дети'!H$3)-9,12),FALSE),'06_Сеть_и_дети'!H61*CapacityAge09*'19_Расчет_аналитики'!$F$211,0)</f>
        <v/>
      </c>
      <c r="I528">
        <f>IF(IF('01_Вводные'!$B$296="Новый сезон",9-1&gt;MOD(MONTH('06_Сеть_и_дети'!I$3)-9,12),FALSE),'06_Сеть_и_дети'!I61*CapacityAge09*'19_Расчет_аналитики'!$F$211,0)</f>
        <v/>
      </c>
      <c r="J528">
        <f>IF(IF('01_Вводные'!$B$296="Новый сезон",9-1&gt;MOD(MONTH('06_Сеть_и_дети'!J$3)-9,12),FALSE),'19_Расчет_аналитики'!J416*CapacityAge09*'19_Расчет_аналитики'!$F$211,0)</f>
        <v/>
      </c>
      <c r="K528">
        <f>IF(IF('01_Вводные'!$B$296="Новый сезон",9-1&gt;MOD(MONTH('06_Сеть_и_дети'!K$3)-9,12),FALSE),'19_Расчет_аналитики'!K416*CapacityAge09*'19_Расчет_аналитики'!$F$211,0)</f>
        <v/>
      </c>
      <c r="L528">
        <f>IF(IF('01_Вводные'!$B$296="Новый сезон",9-1&gt;MOD(MONTH('06_Сеть_и_дети'!L$3)-9,12),FALSE),'19_Расчет_аналитики'!L416*CapacityAge09*'19_Расчет_аналитики'!$F$211,0)</f>
        <v/>
      </c>
      <c r="M528">
        <f>IF(IF('01_Вводные'!$B$296="Новый сезон",9-1&gt;MOD(MONTH('06_Сеть_и_дети'!M$3)-9,12),FALSE),'19_Расчет_аналитики'!M416*CapacityAge09*'19_Расчет_аналитики'!$F$211,0)</f>
        <v/>
      </c>
      <c r="N528">
        <f>IF(IF('01_Вводные'!$B$296="Новый сезон",9-1&gt;MOD(MONTH('06_Сеть_и_дети'!N$3)-9,12),FALSE),'19_Расчет_аналитики'!N416*CapacityAge09*'19_Расчет_аналитики'!$F$211,0)</f>
        <v/>
      </c>
      <c r="O528">
        <f>IF(IF('01_Вводные'!$B$296="Новый сезон",9-1&gt;MOD(MONTH('06_Сеть_и_дети'!O$3)-9,12),FALSE),'19_Расчет_аналитики'!O416*CapacityAge09*'19_Расчет_аналитики'!$F$211,0)</f>
        <v/>
      </c>
      <c r="P528">
        <f>IF(IF('01_Вводные'!$B$296="Новый сезон",9-1&gt;MOD(MONTH('06_Сеть_и_дети'!P$3)-9,12),FALSE),'19_Расчет_аналитики'!P416*CapacityAge09*'19_Расчет_аналитики'!$F$211,0)</f>
        <v/>
      </c>
      <c r="Q528">
        <f>IF(IF('01_Вводные'!$B$296="Новый сезон",9-1&gt;MOD(MONTH('06_Сеть_и_дети'!Q$3)-9,12),FALSE),'19_Расчет_аналитики'!Q416*CapacityAge09*'19_Расчет_аналитики'!$F$211,0)</f>
        <v/>
      </c>
      <c r="R528">
        <f>IF(IF('01_Вводные'!$B$296="Новый сезон",9-1&gt;MOD(MONTH('06_Сеть_и_дети'!R$3)-9,12),FALSE),'19_Расчет_аналитики'!R416*CapacityAge09*'19_Расчет_аналитики'!$F$211,0)</f>
        <v/>
      </c>
      <c r="S528">
        <f>IF(IF('01_Вводные'!$B$296="Новый сезон",9-1&gt;MOD(MONTH('06_Сеть_и_дети'!S$3)-9,12),FALSE),'19_Расчет_аналитики'!S416*CapacityAge09*'19_Расчет_аналитики'!$F$211,0)</f>
        <v/>
      </c>
      <c r="T528">
        <f>IF(IF('01_Вводные'!$B$296="Новый сезон",9-1&gt;MOD(MONTH('06_Сеть_и_дети'!T$3)-9,12),FALSE),'19_Расчет_аналитики'!T416*CapacityAge09*'19_Расчет_аналитики'!$F$211,0)</f>
        <v/>
      </c>
      <c r="U528">
        <f>IF(IF('01_Вводные'!$B$296="Новый сезон",9-1&gt;MOD(MONTH('06_Сеть_и_дети'!U$3)-9,12),FALSE),'19_Расчет_аналитики'!U416*CapacityAge09*'19_Расчет_аналитики'!$F$211,0)</f>
        <v/>
      </c>
      <c r="V528">
        <f>IF(IF('01_Вводные'!$B$296="Новый сезон",9-1&gt;MOD(MONTH('06_Сеть_и_дети'!V$3)-9,12),FALSE),'19_Расчет_аналитики'!V416*CapacityAge09*'19_Расчет_аналитики'!$F$211,0)</f>
        <v/>
      </c>
      <c r="W528">
        <f>IF(IF('01_Вводные'!$B$296="Новый сезон",9-1&gt;MOD(MONTH('06_Сеть_и_дети'!W$3)-9,12),FALSE),'19_Расчет_аналитики'!W416*CapacityAge09*'19_Расчет_аналитики'!$F$211,0)</f>
        <v/>
      </c>
      <c r="X528">
        <f>IF(IF('01_Вводные'!$B$296="Новый сезон",9-1&gt;MOD(MONTH('06_Сеть_и_дети'!X$3)-9,12),FALSE),'19_Расчет_аналитики'!X416*CapacityAge09*'19_Расчет_аналитики'!$F$211,0)</f>
        <v/>
      </c>
      <c r="Y528">
        <f>IF(IF('01_Вводные'!$B$296="Новый сезон",9-1&gt;MOD(MONTH('06_Сеть_и_дети'!Y$3)-9,12),FALSE),'19_Расчет_аналитики'!Y416*CapacityAge09*'19_Расчет_аналитики'!$F$211,0)</f>
        <v/>
      </c>
      <c r="Z528">
        <f>IF(IF('01_Вводные'!$B$296="Новый сезон",9-1&gt;MOD(MONTH('06_Сеть_и_дети'!Z$3)-9,12),FALSE),'19_Расчет_аналитики'!Z416*CapacityAge09*'19_Расчет_аналитики'!$F$211,0)</f>
        <v/>
      </c>
      <c r="AA528">
        <f>IF(IF('01_Вводные'!$B$296="Новый сезон",9-1&gt;MOD(MONTH('06_Сеть_и_дети'!AA$3)-9,12),FALSE),'19_Расчет_аналитики'!AA416*CapacityAge09*'19_Расчет_аналитики'!$F$211,0)</f>
        <v/>
      </c>
      <c r="AB528">
        <f>IF(IF('01_Вводные'!$B$296="Новый сезон",9-1&gt;MOD(MONTH('06_Сеть_и_дети'!AB$3)-9,12),FALSE),'19_Расчет_аналитики'!AB416*CapacityAge09*'19_Расчет_аналитики'!$F$211,0)</f>
        <v/>
      </c>
      <c r="AC528">
        <f>IF(IF('01_Вводные'!$B$296="Новый сезон",9-1&gt;MOD(MONTH('06_Сеть_и_дети'!AC$3)-9,12),FALSE),'19_Расчет_аналитики'!AC416*CapacityAge09*'19_Расчет_аналитики'!$F$211,0)</f>
        <v/>
      </c>
      <c r="AD528">
        <f>IF(IF('01_Вводные'!$B$296="Новый сезон",9-1&gt;MOD(MONTH('06_Сеть_и_дети'!AD$3)-9,12),FALSE),'19_Расчет_аналитики'!AD416*CapacityAge09*'19_Расчет_аналитики'!$F$211,0)</f>
        <v/>
      </c>
      <c r="AE528">
        <f>IF(IF('01_Вводные'!$B$296="Новый сезон",9-1&gt;MOD(MONTH('06_Сеть_и_дети'!AE$3)-9,12),FALSE),'19_Расчет_аналитики'!AE416*CapacityAge09*'19_Расчет_аналитики'!$F$211,0)</f>
        <v/>
      </c>
      <c r="AF528">
        <f>IF(IF('01_Вводные'!$B$296="Новый сезон",9-1&gt;MOD(MONTH('06_Сеть_и_дети'!AF$3)-9,12),FALSE),'19_Расчет_аналитики'!AF416*CapacityAge09*'19_Расчет_аналитики'!$F$211,0)</f>
        <v/>
      </c>
      <c r="AG528">
        <f>IF(IF('01_Вводные'!$B$296="Новый сезон",9-1&gt;MOD(MONTH('06_Сеть_и_дети'!AG$3)-9,12),FALSE),'19_Расчет_аналитики'!AG416*CapacityAge09*'19_Расчет_аналитики'!$F$211,0)</f>
        <v/>
      </c>
      <c r="AH528">
        <f>IF(IF('01_Вводные'!$B$296="Новый сезон",9-1&gt;MOD(MONTH('06_Сеть_и_дети'!AH$3)-9,12),FALSE),'19_Расчет_аналитики'!AH416*CapacityAge09*'19_Расчет_аналитики'!$F$211,0)</f>
        <v/>
      </c>
      <c r="AI528">
        <f>IF(IF('01_Вводные'!$B$296="Новый сезон",9-1&gt;MOD(MONTH('06_Сеть_и_дети'!AI$3)-9,12),FALSE),'19_Расчет_аналитики'!AI416*CapacityAge09*'19_Расчет_аналитики'!$F$211,0)</f>
        <v/>
      </c>
      <c r="AJ528">
        <f>IF(IF('01_Вводные'!$B$296="Новый сезон",9-1&gt;MOD(MONTH('06_Сеть_и_дети'!AJ$3)-9,12),FALSE),'19_Расчет_аналитики'!AJ416*CapacityAge09*'19_Расчет_аналитики'!$F$211,0)</f>
        <v/>
      </c>
      <c r="AK528">
        <f>IF(IF('01_Вводные'!$B$296="Новый сезон",9-1&gt;MOD(MONTH('06_Сеть_и_дети'!AK$3)-9,12),FALSE),'19_Расчет_аналитики'!AK416*CapacityAge09*'19_Расчет_аналитики'!$F$211,0)</f>
        <v/>
      </c>
      <c r="AL528">
        <f>IF(IF('01_Вводные'!$B$296="Новый сезон",9-1&gt;MOD(MONTH('06_Сеть_и_дети'!AL$3)-9,12),FALSE),'19_Расчет_аналитики'!AL416*CapacityAge09*'19_Расчет_аналитики'!$F$211,0)</f>
        <v/>
      </c>
      <c r="AM528">
        <f>IF(IF('01_Вводные'!$B$296="Новый сезон",9-1&gt;MOD(MONTH('06_Сеть_и_дети'!AM$3)-9,12),FALSE),'19_Расчет_аналитики'!AM416*CapacityAge09*'19_Расчет_аналитики'!$F$211,0)</f>
        <v/>
      </c>
      <c r="AN528">
        <f>IF(IF('01_Вводные'!$B$296="Новый сезон",9-1&gt;MOD(MONTH('06_Сеть_и_дети'!AN$3)-9,12),FALSE),'19_Расчет_аналитики'!AN416*CapacityAge09*'19_Расчет_аналитики'!$F$211,0)</f>
        <v/>
      </c>
      <c r="AO528">
        <f>IF(IF('01_Вводные'!$B$296="Новый сезон",9-1&gt;MOD(MONTH('06_Сеть_и_дети'!AO$3)-9,12),FALSE),'19_Расчет_аналитики'!AO416*CapacityAge09*'19_Расчет_аналитики'!$F$211,0)</f>
        <v/>
      </c>
      <c r="AP528">
        <f>IF(IF('01_Вводные'!$B$296="Новый сезон",9-1&gt;MOD(MONTH('06_Сеть_и_дети'!AP$3)-9,12),FALSE),'19_Расчет_аналитики'!AP416*CapacityAge09*'19_Расчет_аналитики'!$F$211,0)</f>
        <v/>
      </c>
      <c r="AQ528">
        <f>IF(IF('01_Вводные'!$B$296="Новый сезон",9-1&gt;MOD(MONTH('06_Сеть_и_дети'!AQ$3)-9,12),FALSE),'19_Расчет_аналитики'!AQ416*CapacityAge09*'19_Расчет_аналитики'!$F$211,0)</f>
        <v/>
      </c>
      <c r="AR528">
        <f>IF(IF('01_Вводные'!$B$296="Новый сезон",9-1&gt;MOD(MONTH('06_Сеть_и_дети'!AR$3)-9,12),FALSE),'19_Расчет_аналитики'!AR416*CapacityAge09*'19_Расчет_аналитики'!$F$211,0)</f>
        <v/>
      </c>
      <c r="AS528">
        <f>IF(IF('01_Вводные'!$B$296="Новый сезон",9-1&gt;MOD(MONTH('06_Сеть_и_дети'!AS$3)-9,12),FALSE),'19_Расчет_аналитики'!AS416*CapacityAge09*'19_Расчет_аналитики'!$F$211,0)</f>
        <v/>
      </c>
      <c r="AT528">
        <f>IF(IF('01_Вводные'!$B$296="Новый сезон",9-1&gt;MOD(MONTH('06_Сеть_и_дети'!AT$3)-9,12),FALSE),'19_Расчет_аналитики'!AT416*CapacityAge09*'19_Расчет_аналитики'!$F$211,0)</f>
        <v/>
      </c>
      <c r="AU528">
        <f>IF(IF('01_Вводные'!$B$296="Новый сезон",9-1&gt;MOD(MONTH('06_Сеть_и_дети'!AU$3)-9,12),FALSE),'19_Расчет_аналитики'!AU416*CapacityAge09*'19_Расчет_аналитики'!$F$211,0)</f>
        <v/>
      </c>
      <c r="AV528">
        <f>IF(IF('01_Вводные'!$B$296="Новый сезон",9-1&gt;MOD(MONTH('06_Сеть_и_дети'!AV$3)-9,12),FALSE),'19_Расчет_аналитики'!AV416*CapacityAge09*'19_Расчет_аналитики'!$F$211,0)</f>
        <v/>
      </c>
      <c r="AW528">
        <f>IF(IF('01_Вводные'!$B$296="Новый сезон",9-1&gt;MOD(MONTH('06_Сеть_и_дети'!AW$3)-9,12),FALSE),'19_Расчет_аналитики'!AW416*CapacityAge09*'19_Расчет_аналитики'!$F$211,0)</f>
        <v/>
      </c>
      <c r="AX528">
        <f>IF(IF('01_Вводные'!$B$296="Новый сезон",9-1&gt;MOD(MONTH('06_Сеть_и_дети'!AX$3)-9,12),FALSE),'19_Расчет_аналитики'!AX416*CapacityAge09*'19_Расчет_аналитики'!$F$211,0)</f>
        <v/>
      </c>
      <c r="AY528">
        <f>IF(IF('01_Вводные'!$B$296="Новый сезон",9-1&gt;MOD(MONTH('06_Сеть_и_дети'!AY$3)-9,12),FALSE),'19_Расчет_аналитики'!AY416*CapacityAge09*'19_Расчет_аналитики'!$F$211,0)</f>
        <v/>
      </c>
      <c r="AZ528">
        <f>IF(IF('01_Вводные'!$B$296="Новый сезон",9-1&gt;MOD(MONTH('06_Сеть_и_дети'!AZ$3)-9,12),FALSE),'19_Расчет_аналитики'!AZ416*CapacityAge09*'19_Расчет_аналитики'!$F$211,0)</f>
        <v/>
      </c>
      <c r="BA528">
        <f>IF(IF('01_Вводные'!$B$296="Новый сезон",9-1&gt;MOD(MONTH('06_Сеть_и_дети'!BA$3)-9,12),FALSE),'19_Расчет_аналитики'!BA416*CapacityAge09*'19_Расчет_аналитики'!$F$211,0)</f>
        <v/>
      </c>
      <c r="BB528">
        <f>IF(IF('01_Вводные'!$B$296="Новый сезон",9-1&gt;MOD(MONTH('06_Сеть_и_дети'!BB$3)-9,12),FALSE),'19_Расчет_аналитики'!BB416*CapacityAge09*'19_Расчет_аналитики'!$F$211,0)</f>
        <v/>
      </c>
      <c r="BC528">
        <f>IF(IF('01_Вводные'!$B$296="Новый сезон",9-1&gt;MOD(MONTH('06_Сеть_и_дети'!BC$3)-9,12),FALSE),'19_Расчет_аналитики'!BC416*CapacityAge09*'19_Расчет_аналитики'!$F$211,0)</f>
        <v/>
      </c>
      <c r="BD528">
        <f>IF(IF('01_Вводные'!$B$296="Новый сезон",9-1&gt;MOD(MONTH('06_Сеть_и_дети'!BD$3)-9,12),FALSE),'19_Расчет_аналитики'!BD416*CapacityAge09*'19_Расчет_аналитики'!$F$211,0)</f>
        <v/>
      </c>
      <c r="BE528">
        <f>IF(IF('01_Вводные'!$B$296="Новый сезон",9-1&gt;MOD(MONTH('06_Сеть_и_дети'!BE$3)-9,12),FALSE),'19_Расчет_аналитики'!BE416*CapacityAge09*'19_Расчет_аналитики'!$F$211,0)</f>
        <v/>
      </c>
      <c r="BF528">
        <f>IF(IF('01_Вводные'!$B$296="Новый сезон",9-1&gt;MOD(MONTH('06_Сеть_и_дети'!BF$3)-9,12),FALSE),'19_Расчет_аналитики'!BF416*CapacityAge09*'19_Расчет_аналитики'!$F$211,0)</f>
        <v/>
      </c>
      <c r="BG528">
        <f>IF(IF('01_Вводные'!$B$296="Новый сезон",9-1&gt;MOD(MONTH('06_Сеть_и_дети'!BG$3)-9,12),FALSE),'19_Расчет_аналитики'!BG416*CapacityAge09*'19_Расчет_аналитики'!$F$211,0)</f>
        <v/>
      </c>
      <c r="BH528">
        <f>IF(IF('01_Вводные'!$B$296="Новый сезон",9-1&gt;MOD(MONTH('06_Сеть_и_дети'!BH$3)-9,12),FALSE),'19_Расчет_аналитики'!BH416*CapacityAge09*'19_Расчет_аналитики'!$F$211,0)</f>
        <v/>
      </c>
      <c r="BI528">
        <f>IF(IF('01_Вводные'!$B$296="Новый сезон",9-1&gt;MOD(MONTH('06_Сеть_и_дети'!BI$3)-9,12),FALSE),'19_Расчет_аналитики'!BI416*CapacityAge09*'19_Расчет_аналитики'!$F$211,0)</f>
        <v/>
      </c>
      <c r="BJ528">
        <f>IF(IF('01_Вводные'!$B$296="Новый сезон",9-1&gt;MOD(MONTH('06_Сеть_и_дети'!BJ$3)-9,12),FALSE),'19_Расчет_аналитики'!BJ416*CapacityAge09*'19_Расчет_аналитики'!$F$211,0)</f>
        <v/>
      </c>
      <c r="BK528">
        <f>IF(IF('01_Вводные'!$B$296="Новый сезон",9-1&gt;MOD(MONTH('06_Сеть_и_дети'!BK$3)-9,12),FALSE),'19_Расчет_аналитики'!BK416*CapacityAge09*'19_Расчет_аналитики'!$F$211,0)</f>
        <v/>
      </c>
      <c r="BL528">
        <f>IF(IF('01_Вводные'!$B$296="Новый сезон",9-1&gt;MOD(MONTH('06_Сеть_и_дети'!BL$3)-9,12),FALSE),'19_Расчет_аналитики'!BL416*CapacityAge09*'19_Расчет_аналитики'!$F$211,0)</f>
        <v/>
      </c>
      <c r="BM528">
        <f>IF(IF('01_Вводные'!$B$296="Новый сезон",9-1&gt;MOD(MONTH('06_Сеть_и_дети'!BM$3)-9,12),FALSE),'19_Расчет_аналитики'!BM416*CapacityAge09*'19_Расчет_аналитики'!$F$211,0)</f>
        <v/>
      </c>
      <c r="BN528">
        <f>IF(IF('01_Вводные'!$B$296="Новый сезон",9-1&gt;MOD(MONTH('06_Сеть_и_дети'!BN$3)-9,12),FALSE),'19_Расчет_аналитики'!BN416*CapacityAge09*'19_Расчет_аналитики'!$F$211,0)</f>
        <v/>
      </c>
      <c r="BO528">
        <f>IF(IF('01_Вводные'!$B$296="Новый сезон",9-1&gt;MOD(MONTH('06_Сеть_и_дети'!BO$3)-9,12),FALSE),'19_Расчет_аналитики'!BO416*CapacityAge09*'19_Расчет_аналитики'!$F$211,0)</f>
        <v/>
      </c>
    </row>
    <row r="529">
      <c r="B529">
        <f>IF(IF('01_Вводные'!$B$296="Новый сезон",10-1&gt;MOD(MONTH('06_Сеть_и_дети'!B$3)-9,12),FALSE),'06_Сеть_и_дети'!B62*CapacityAge10*'19_Расчет_аналитики'!$F$211,0)</f>
        <v/>
      </c>
      <c r="C529">
        <f>IF(IF('01_Вводные'!$B$296="Новый сезон",10-1&gt;MOD(MONTH('06_Сеть_и_дети'!C$3)-9,12),FALSE),'06_Сеть_и_дети'!C62*CapacityAge10*'19_Расчет_аналитики'!$F$211,0)</f>
        <v/>
      </c>
      <c r="D529">
        <f>IF(IF('01_Вводные'!$B$296="Новый сезон",10-1&gt;MOD(MONTH('06_Сеть_и_дети'!D$3)-9,12),FALSE),'06_Сеть_и_дети'!D62*CapacityAge10*'19_Расчет_аналитики'!$F$211,0)</f>
        <v/>
      </c>
      <c r="E529">
        <f>IF(IF('01_Вводные'!$B$296="Новый сезон",10-1&gt;MOD(MONTH('06_Сеть_и_дети'!E$3)-9,12),FALSE),'06_Сеть_и_дети'!E62*CapacityAge10*'19_Расчет_аналитики'!$F$211,0)</f>
        <v/>
      </c>
      <c r="F529">
        <f>IF(IF('01_Вводные'!$B$296="Новый сезон",10-1&gt;MOD(MONTH('06_Сеть_и_дети'!F$3)-9,12),FALSE),'06_Сеть_и_дети'!F62*CapacityAge10*'19_Расчет_аналитики'!$F$211,0)</f>
        <v/>
      </c>
      <c r="G529">
        <f>IF(IF('01_Вводные'!$B$296="Новый сезон",10-1&gt;MOD(MONTH('06_Сеть_и_дети'!G$3)-9,12),FALSE),'06_Сеть_и_дети'!G62*CapacityAge10*'19_Расчет_аналитики'!$F$211,0)</f>
        <v/>
      </c>
      <c r="H529">
        <f>IF(IF('01_Вводные'!$B$296="Новый сезон",10-1&gt;MOD(MONTH('06_Сеть_и_дети'!H$3)-9,12),FALSE),'06_Сеть_и_дети'!H62*CapacityAge10*'19_Расчет_аналитики'!$F$211,0)</f>
        <v/>
      </c>
      <c r="I529">
        <f>IF(IF('01_Вводные'!$B$296="Новый сезон",10-1&gt;MOD(MONTH('06_Сеть_и_дети'!I$3)-9,12),FALSE),'06_Сеть_и_дети'!I62*CapacityAge10*'19_Расчет_аналитики'!$F$211,0)</f>
        <v/>
      </c>
      <c r="J529">
        <f>IF(IF('01_Вводные'!$B$296="Новый сезон",10-1&gt;MOD(MONTH('06_Сеть_и_дети'!J$3)-9,12),FALSE),'06_Сеть_и_дети'!J62*CapacityAge10*'19_Расчет_аналитики'!$F$211,0)</f>
        <v/>
      </c>
      <c r="K529">
        <f>IF(IF('01_Вводные'!$B$296="Новый сезон",10-1&gt;MOD(MONTH('06_Сеть_и_дети'!K$3)-9,12),FALSE),'19_Расчет_аналитики'!K417*CapacityAge10*'19_Расчет_аналитики'!$F$211,0)</f>
        <v/>
      </c>
      <c r="L529">
        <f>IF(IF('01_Вводные'!$B$296="Новый сезон",10-1&gt;MOD(MONTH('06_Сеть_и_дети'!L$3)-9,12),FALSE),'19_Расчет_аналитики'!L417*CapacityAge10*'19_Расчет_аналитики'!$F$211,0)</f>
        <v/>
      </c>
      <c r="M529">
        <f>IF(IF('01_Вводные'!$B$296="Новый сезон",10-1&gt;MOD(MONTH('06_Сеть_и_дети'!M$3)-9,12),FALSE),'19_Расчет_аналитики'!M417*CapacityAge10*'19_Расчет_аналитики'!$F$211,0)</f>
        <v/>
      </c>
      <c r="N529">
        <f>IF(IF('01_Вводные'!$B$296="Новый сезон",10-1&gt;MOD(MONTH('06_Сеть_и_дети'!N$3)-9,12),FALSE),'19_Расчет_аналитики'!N417*CapacityAge10*'19_Расчет_аналитики'!$F$211,0)</f>
        <v/>
      </c>
      <c r="O529">
        <f>IF(IF('01_Вводные'!$B$296="Новый сезон",10-1&gt;MOD(MONTH('06_Сеть_и_дети'!O$3)-9,12),FALSE),'19_Расчет_аналитики'!O417*CapacityAge10*'19_Расчет_аналитики'!$F$211,0)</f>
        <v/>
      </c>
      <c r="P529">
        <f>IF(IF('01_Вводные'!$B$296="Новый сезон",10-1&gt;MOD(MONTH('06_Сеть_и_дети'!P$3)-9,12),FALSE),'19_Расчет_аналитики'!P417*CapacityAge10*'19_Расчет_аналитики'!$F$211,0)</f>
        <v/>
      </c>
      <c r="Q529">
        <f>IF(IF('01_Вводные'!$B$296="Новый сезон",10-1&gt;MOD(MONTH('06_Сеть_и_дети'!Q$3)-9,12),FALSE),'19_Расчет_аналитики'!Q417*CapacityAge10*'19_Расчет_аналитики'!$F$211,0)</f>
        <v/>
      </c>
      <c r="R529">
        <f>IF(IF('01_Вводные'!$B$296="Новый сезон",10-1&gt;MOD(MONTH('06_Сеть_и_дети'!R$3)-9,12),FALSE),'19_Расчет_аналитики'!R417*CapacityAge10*'19_Расчет_аналитики'!$F$211,0)</f>
        <v/>
      </c>
      <c r="S529">
        <f>IF(IF('01_Вводные'!$B$296="Новый сезон",10-1&gt;MOD(MONTH('06_Сеть_и_дети'!S$3)-9,12),FALSE),'19_Расчет_аналитики'!S417*CapacityAge10*'19_Расчет_аналитики'!$F$211,0)</f>
        <v/>
      </c>
      <c r="T529">
        <f>IF(IF('01_Вводные'!$B$296="Новый сезон",10-1&gt;MOD(MONTH('06_Сеть_и_дети'!T$3)-9,12),FALSE),'19_Расчет_аналитики'!T417*CapacityAge10*'19_Расчет_аналитики'!$F$211,0)</f>
        <v/>
      </c>
      <c r="U529">
        <f>IF(IF('01_Вводные'!$B$296="Новый сезон",10-1&gt;MOD(MONTH('06_Сеть_и_дети'!U$3)-9,12),FALSE),'19_Расчет_аналитики'!U417*CapacityAge10*'19_Расчет_аналитики'!$F$211,0)</f>
        <v/>
      </c>
      <c r="V529">
        <f>IF(IF('01_Вводные'!$B$296="Новый сезон",10-1&gt;MOD(MONTH('06_Сеть_и_дети'!V$3)-9,12),FALSE),'19_Расчет_аналитики'!V417*CapacityAge10*'19_Расчет_аналитики'!$F$211,0)</f>
        <v/>
      </c>
      <c r="W529">
        <f>IF(IF('01_Вводные'!$B$296="Новый сезон",10-1&gt;MOD(MONTH('06_Сеть_и_дети'!W$3)-9,12),FALSE),'19_Расчет_аналитики'!W417*CapacityAge10*'19_Расчет_аналитики'!$F$211,0)</f>
        <v/>
      </c>
      <c r="X529">
        <f>IF(IF('01_Вводные'!$B$296="Новый сезон",10-1&gt;MOD(MONTH('06_Сеть_и_дети'!X$3)-9,12),FALSE),'19_Расчет_аналитики'!X417*CapacityAge10*'19_Расчет_аналитики'!$F$211,0)</f>
        <v/>
      </c>
      <c r="Y529">
        <f>IF(IF('01_Вводные'!$B$296="Новый сезон",10-1&gt;MOD(MONTH('06_Сеть_и_дети'!Y$3)-9,12),FALSE),'19_Расчет_аналитики'!Y417*CapacityAge10*'19_Расчет_аналитики'!$F$211,0)</f>
        <v/>
      </c>
      <c r="Z529">
        <f>IF(IF('01_Вводные'!$B$296="Новый сезон",10-1&gt;MOD(MONTH('06_Сеть_и_дети'!Z$3)-9,12),FALSE),'19_Расчет_аналитики'!Z417*CapacityAge10*'19_Расчет_аналитики'!$F$211,0)</f>
        <v/>
      </c>
      <c r="AA529">
        <f>IF(IF('01_Вводные'!$B$296="Новый сезон",10-1&gt;MOD(MONTH('06_Сеть_и_дети'!AA$3)-9,12),FALSE),'19_Расчет_аналитики'!AA417*CapacityAge10*'19_Расчет_аналитики'!$F$211,0)</f>
        <v/>
      </c>
      <c r="AB529">
        <f>IF(IF('01_Вводные'!$B$296="Новый сезон",10-1&gt;MOD(MONTH('06_Сеть_и_дети'!AB$3)-9,12),FALSE),'19_Расчет_аналитики'!AB417*CapacityAge10*'19_Расчет_аналитики'!$F$211,0)</f>
        <v/>
      </c>
      <c r="AC529">
        <f>IF(IF('01_Вводные'!$B$296="Новый сезон",10-1&gt;MOD(MONTH('06_Сеть_и_дети'!AC$3)-9,12),FALSE),'19_Расчет_аналитики'!AC417*CapacityAge10*'19_Расчет_аналитики'!$F$211,0)</f>
        <v/>
      </c>
      <c r="AD529">
        <f>IF(IF('01_Вводные'!$B$296="Новый сезон",10-1&gt;MOD(MONTH('06_Сеть_и_дети'!AD$3)-9,12),FALSE),'19_Расчет_аналитики'!AD417*CapacityAge10*'19_Расчет_аналитики'!$F$211,0)</f>
        <v/>
      </c>
      <c r="AE529">
        <f>IF(IF('01_Вводные'!$B$296="Новый сезон",10-1&gt;MOD(MONTH('06_Сеть_и_дети'!AE$3)-9,12),FALSE),'19_Расчет_аналитики'!AE417*CapacityAge10*'19_Расчет_аналитики'!$F$211,0)</f>
        <v/>
      </c>
      <c r="AF529">
        <f>IF(IF('01_Вводные'!$B$296="Новый сезон",10-1&gt;MOD(MONTH('06_Сеть_и_дети'!AF$3)-9,12),FALSE),'19_Расчет_аналитики'!AF417*CapacityAge10*'19_Расчет_аналитики'!$F$211,0)</f>
        <v/>
      </c>
      <c r="AG529">
        <f>IF(IF('01_Вводные'!$B$296="Новый сезон",10-1&gt;MOD(MONTH('06_Сеть_и_дети'!AG$3)-9,12),FALSE),'19_Расчет_аналитики'!AG417*CapacityAge10*'19_Расчет_аналитики'!$F$211,0)</f>
        <v/>
      </c>
      <c r="AH529">
        <f>IF(IF('01_Вводные'!$B$296="Новый сезон",10-1&gt;MOD(MONTH('06_Сеть_и_дети'!AH$3)-9,12),FALSE),'19_Расчет_аналитики'!AH417*CapacityAge10*'19_Расчет_аналитики'!$F$211,0)</f>
        <v/>
      </c>
      <c r="AI529">
        <f>IF(IF('01_Вводные'!$B$296="Новый сезон",10-1&gt;MOD(MONTH('06_Сеть_и_дети'!AI$3)-9,12),FALSE),'19_Расчет_аналитики'!AI417*CapacityAge10*'19_Расчет_аналитики'!$F$211,0)</f>
        <v/>
      </c>
      <c r="AJ529">
        <f>IF(IF('01_Вводные'!$B$296="Новый сезон",10-1&gt;MOD(MONTH('06_Сеть_и_дети'!AJ$3)-9,12),FALSE),'19_Расчет_аналитики'!AJ417*CapacityAge10*'19_Расчет_аналитики'!$F$211,0)</f>
        <v/>
      </c>
      <c r="AK529">
        <f>IF(IF('01_Вводные'!$B$296="Новый сезон",10-1&gt;MOD(MONTH('06_Сеть_и_дети'!AK$3)-9,12),FALSE),'19_Расчет_аналитики'!AK417*CapacityAge10*'19_Расчет_аналитики'!$F$211,0)</f>
        <v/>
      </c>
      <c r="AL529">
        <f>IF(IF('01_Вводные'!$B$296="Новый сезон",10-1&gt;MOD(MONTH('06_Сеть_и_дети'!AL$3)-9,12),FALSE),'19_Расчет_аналитики'!AL417*CapacityAge10*'19_Расчет_аналитики'!$F$211,0)</f>
        <v/>
      </c>
      <c r="AM529">
        <f>IF(IF('01_Вводные'!$B$296="Новый сезон",10-1&gt;MOD(MONTH('06_Сеть_и_дети'!AM$3)-9,12),FALSE),'19_Расчет_аналитики'!AM417*CapacityAge10*'19_Расчет_аналитики'!$F$211,0)</f>
        <v/>
      </c>
      <c r="AN529">
        <f>IF(IF('01_Вводные'!$B$296="Новый сезон",10-1&gt;MOD(MONTH('06_Сеть_и_дети'!AN$3)-9,12),FALSE),'19_Расчет_аналитики'!AN417*CapacityAge10*'19_Расчет_аналитики'!$F$211,0)</f>
        <v/>
      </c>
      <c r="AO529">
        <f>IF(IF('01_Вводные'!$B$296="Новый сезон",10-1&gt;MOD(MONTH('06_Сеть_и_дети'!AO$3)-9,12),FALSE),'19_Расчет_аналитики'!AO417*CapacityAge10*'19_Расчет_аналитики'!$F$211,0)</f>
        <v/>
      </c>
      <c r="AP529">
        <f>IF(IF('01_Вводные'!$B$296="Новый сезон",10-1&gt;MOD(MONTH('06_Сеть_и_дети'!AP$3)-9,12),FALSE),'19_Расчет_аналитики'!AP417*CapacityAge10*'19_Расчет_аналитики'!$F$211,0)</f>
        <v/>
      </c>
      <c r="AQ529">
        <f>IF(IF('01_Вводные'!$B$296="Новый сезон",10-1&gt;MOD(MONTH('06_Сеть_и_дети'!AQ$3)-9,12),FALSE),'19_Расчет_аналитики'!AQ417*CapacityAge10*'19_Расчет_аналитики'!$F$211,0)</f>
        <v/>
      </c>
      <c r="AR529">
        <f>IF(IF('01_Вводные'!$B$296="Новый сезон",10-1&gt;MOD(MONTH('06_Сеть_и_дети'!AR$3)-9,12),FALSE),'19_Расчет_аналитики'!AR417*CapacityAge10*'19_Расчет_аналитики'!$F$211,0)</f>
        <v/>
      </c>
      <c r="AS529">
        <f>IF(IF('01_Вводные'!$B$296="Новый сезон",10-1&gt;MOD(MONTH('06_Сеть_и_дети'!AS$3)-9,12),FALSE),'19_Расчет_аналитики'!AS417*CapacityAge10*'19_Расчет_аналитики'!$F$211,0)</f>
        <v/>
      </c>
      <c r="AT529">
        <f>IF(IF('01_Вводные'!$B$296="Новый сезон",10-1&gt;MOD(MONTH('06_Сеть_и_дети'!AT$3)-9,12),FALSE),'19_Расчет_аналитики'!AT417*CapacityAge10*'19_Расчет_аналитики'!$F$211,0)</f>
        <v/>
      </c>
      <c r="AU529">
        <f>IF(IF('01_Вводные'!$B$296="Новый сезон",10-1&gt;MOD(MONTH('06_Сеть_и_дети'!AU$3)-9,12),FALSE),'19_Расчет_аналитики'!AU417*CapacityAge10*'19_Расчет_аналитики'!$F$211,0)</f>
        <v/>
      </c>
      <c r="AV529">
        <f>IF(IF('01_Вводные'!$B$296="Новый сезон",10-1&gt;MOD(MONTH('06_Сеть_и_дети'!AV$3)-9,12),FALSE),'19_Расчет_аналитики'!AV417*CapacityAge10*'19_Расчет_аналитики'!$F$211,0)</f>
        <v/>
      </c>
      <c r="AW529">
        <f>IF(IF('01_Вводные'!$B$296="Новый сезон",10-1&gt;MOD(MONTH('06_Сеть_и_дети'!AW$3)-9,12),FALSE),'19_Расчет_аналитики'!AW417*CapacityAge10*'19_Расчет_аналитики'!$F$211,0)</f>
        <v/>
      </c>
      <c r="AX529">
        <f>IF(IF('01_Вводные'!$B$296="Новый сезон",10-1&gt;MOD(MONTH('06_Сеть_и_дети'!AX$3)-9,12),FALSE),'19_Расчет_аналитики'!AX417*CapacityAge10*'19_Расчет_аналитики'!$F$211,0)</f>
        <v/>
      </c>
      <c r="AY529">
        <f>IF(IF('01_Вводные'!$B$296="Новый сезон",10-1&gt;MOD(MONTH('06_Сеть_и_дети'!AY$3)-9,12),FALSE),'19_Расчет_аналитики'!AY417*CapacityAge10*'19_Расчет_аналитики'!$F$211,0)</f>
        <v/>
      </c>
      <c r="AZ529">
        <f>IF(IF('01_Вводные'!$B$296="Новый сезон",10-1&gt;MOD(MONTH('06_Сеть_и_дети'!AZ$3)-9,12),FALSE),'19_Расчет_аналитики'!AZ417*CapacityAge10*'19_Расчет_аналитики'!$F$211,0)</f>
        <v/>
      </c>
      <c r="BA529">
        <f>IF(IF('01_Вводные'!$B$296="Новый сезон",10-1&gt;MOD(MONTH('06_Сеть_и_дети'!BA$3)-9,12),FALSE),'19_Расчет_аналитики'!BA417*CapacityAge10*'19_Расчет_аналитики'!$F$211,0)</f>
        <v/>
      </c>
      <c r="BB529">
        <f>IF(IF('01_Вводные'!$B$296="Новый сезон",10-1&gt;MOD(MONTH('06_Сеть_и_дети'!BB$3)-9,12),FALSE),'19_Расчет_аналитики'!BB417*CapacityAge10*'19_Расчет_аналитики'!$F$211,0)</f>
        <v/>
      </c>
      <c r="BC529">
        <f>IF(IF('01_Вводные'!$B$296="Новый сезон",10-1&gt;MOD(MONTH('06_Сеть_и_дети'!BC$3)-9,12),FALSE),'19_Расчет_аналитики'!BC417*CapacityAge10*'19_Расчет_аналитики'!$F$211,0)</f>
        <v/>
      </c>
      <c r="BD529">
        <f>IF(IF('01_Вводные'!$B$296="Новый сезон",10-1&gt;MOD(MONTH('06_Сеть_и_дети'!BD$3)-9,12),FALSE),'19_Расчет_аналитики'!BD417*CapacityAge10*'19_Расчет_аналитики'!$F$211,0)</f>
        <v/>
      </c>
      <c r="BE529">
        <f>IF(IF('01_Вводные'!$B$296="Новый сезон",10-1&gt;MOD(MONTH('06_Сеть_и_дети'!BE$3)-9,12),FALSE),'19_Расчет_аналитики'!BE417*CapacityAge10*'19_Расчет_аналитики'!$F$211,0)</f>
        <v/>
      </c>
      <c r="BF529">
        <f>IF(IF('01_Вводные'!$B$296="Новый сезон",10-1&gt;MOD(MONTH('06_Сеть_и_дети'!BF$3)-9,12),FALSE),'19_Расчет_аналитики'!BF417*CapacityAge10*'19_Расчет_аналитики'!$F$211,0)</f>
        <v/>
      </c>
      <c r="BG529">
        <f>IF(IF('01_Вводные'!$B$296="Новый сезон",10-1&gt;MOD(MONTH('06_Сеть_и_дети'!BG$3)-9,12),FALSE),'19_Расчет_аналитики'!BG417*CapacityAge10*'19_Расчет_аналитики'!$F$211,0)</f>
        <v/>
      </c>
      <c r="BH529">
        <f>IF(IF('01_Вводные'!$B$296="Новый сезон",10-1&gt;MOD(MONTH('06_Сеть_и_дети'!BH$3)-9,12),FALSE),'19_Расчет_аналитики'!BH417*CapacityAge10*'19_Расчет_аналитики'!$F$211,0)</f>
        <v/>
      </c>
      <c r="BI529">
        <f>IF(IF('01_Вводные'!$B$296="Новый сезон",10-1&gt;MOD(MONTH('06_Сеть_и_дети'!BI$3)-9,12),FALSE),'19_Расчет_аналитики'!BI417*CapacityAge10*'19_Расчет_аналитики'!$F$211,0)</f>
        <v/>
      </c>
      <c r="BJ529">
        <f>IF(IF('01_Вводные'!$B$296="Новый сезон",10-1&gt;MOD(MONTH('06_Сеть_и_дети'!BJ$3)-9,12),FALSE),'19_Расчет_аналитики'!BJ417*CapacityAge10*'19_Расчет_аналитики'!$F$211,0)</f>
        <v/>
      </c>
      <c r="BK529">
        <f>IF(IF('01_Вводные'!$B$296="Новый сезон",10-1&gt;MOD(MONTH('06_Сеть_и_дети'!BK$3)-9,12),FALSE),'19_Расчет_аналитики'!BK417*CapacityAge10*'19_Расчет_аналитики'!$F$211,0)</f>
        <v/>
      </c>
      <c r="BL529">
        <f>IF(IF('01_Вводные'!$B$296="Новый сезон",10-1&gt;MOD(MONTH('06_Сеть_и_дети'!BL$3)-9,12),FALSE),'19_Расчет_аналитики'!BL417*CapacityAge10*'19_Расчет_аналитики'!$F$211,0)</f>
        <v/>
      </c>
      <c r="BM529">
        <f>IF(IF('01_Вводные'!$B$296="Новый сезон",10-1&gt;MOD(MONTH('06_Сеть_и_дети'!BM$3)-9,12),FALSE),'19_Расчет_аналитики'!BM417*CapacityAge10*'19_Расчет_аналитики'!$F$211,0)</f>
        <v/>
      </c>
      <c r="BN529">
        <f>IF(IF('01_Вводные'!$B$296="Новый сезон",10-1&gt;MOD(MONTH('06_Сеть_и_дети'!BN$3)-9,12),FALSE),'19_Расчет_аналитики'!BN417*CapacityAge10*'19_Расчет_аналитики'!$F$211,0)</f>
        <v/>
      </c>
      <c r="BO529">
        <f>IF(IF('01_Вводные'!$B$296="Новый сезон",10-1&gt;MOD(MONTH('06_Сеть_и_дети'!BO$3)-9,12),FALSE),'19_Расчет_аналитики'!BO417*CapacityAge10*'19_Расчет_аналитики'!$F$211,0)</f>
        <v/>
      </c>
    </row>
    <row r="530">
      <c r="B530">
        <f>IF(IF('01_Вводные'!$B$296="Новый сезон",11-1&gt;MOD(MONTH('06_Сеть_и_дети'!B$3)-9,12),FALSE),'06_Сеть_и_дети'!B63*CapacityAge11*'19_Расчет_аналитики'!$F$211,0)</f>
        <v/>
      </c>
      <c r="C530">
        <f>IF(IF('01_Вводные'!$B$296="Новый сезон",11-1&gt;MOD(MONTH('06_Сеть_и_дети'!C$3)-9,12),FALSE),'06_Сеть_и_дети'!C63*CapacityAge11*'19_Расчет_аналитики'!$F$211,0)</f>
        <v/>
      </c>
      <c r="D530">
        <f>IF(IF('01_Вводные'!$B$296="Новый сезон",11-1&gt;MOD(MONTH('06_Сеть_и_дети'!D$3)-9,12),FALSE),'06_Сеть_и_дети'!D63*CapacityAge11*'19_Расчет_аналитики'!$F$211,0)</f>
        <v/>
      </c>
      <c r="E530">
        <f>IF(IF('01_Вводные'!$B$296="Новый сезон",11-1&gt;MOD(MONTH('06_Сеть_и_дети'!E$3)-9,12),FALSE),'06_Сеть_и_дети'!E63*CapacityAge11*'19_Расчет_аналитики'!$F$211,0)</f>
        <v/>
      </c>
      <c r="F530">
        <f>IF(IF('01_Вводные'!$B$296="Новый сезон",11-1&gt;MOD(MONTH('06_Сеть_и_дети'!F$3)-9,12),FALSE),'06_Сеть_и_дети'!F63*CapacityAge11*'19_Расчет_аналитики'!$F$211,0)</f>
        <v/>
      </c>
      <c r="G530">
        <f>IF(IF('01_Вводные'!$B$296="Новый сезон",11-1&gt;MOD(MONTH('06_Сеть_и_дети'!G$3)-9,12),FALSE),'06_Сеть_и_дети'!G63*CapacityAge11*'19_Расчет_аналитики'!$F$211,0)</f>
        <v/>
      </c>
      <c r="H530">
        <f>IF(IF('01_Вводные'!$B$296="Новый сезон",11-1&gt;MOD(MONTH('06_Сеть_и_дети'!H$3)-9,12),FALSE),'06_Сеть_и_дети'!H63*CapacityAge11*'19_Расчет_аналитики'!$F$211,0)</f>
        <v/>
      </c>
      <c r="I530">
        <f>IF(IF('01_Вводные'!$B$296="Новый сезон",11-1&gt;MOD(MONTH('06_Сеть_и_дети'!I$3)-9,12),FALSE),'06_Сеть_и_дети'!I63*CapacityAge11*'19_Расчет_аналитики'!$F$211,0)</f>
        <v/>
      </c>
      <c r="J530">
        <f>IF(IF('01_Вводные'!$B$296="Новый сезон",11-1&gt;MOD(MONTH('06_Сеть_и_дети'!J$3)-9,12),FALSE),'06_Сеть_и_дети'!J63*CapacityAge11*'19_Расчет_аналитики'!$F$211,0)</f>
        <v/>
      </c>
      <c r="K530">
        <f>IF(IF('01_Вводные'!$B$296="Новый сезон",11-1&gt;MOD(MONTH('06_Сеть_и_дети'!K$3)-9,12),FALSE),'06_Сеть_и_дети'!K63*CapacityAge11*'19_Расчет_аналитики'!$F$211,0)</f>
        <v/>
      </c>
      <c r="L530">
        <f>IF(IF('01_Вводные'!$B$296="Новый сезон",11-1&gt;MOD(MONTH('06_Сеть_и_дети'!L$3)-9,12),FALSE),'19_Расчет_аналитики'!L418*CapacityAge11*'19_Расчет_аналитики'!$F$211,0)</f>
        <v/>
      </c>
      <c r="M530">
        <f>IF(IF('01_Вводные'!$B$296="Новый сезон",11-1&gt;MOD(MONTH('06_Сеть_и_дети'!M$3)-9,12),FALSE),'19_Расчет_аналитики'!M418*CapacityAge11*'19_Расчет_аналитики'!$F$211,0)</f>
        <v/>
      </c>
      <c r="N530">
        <f>IF(IF('01_Вводные'!$B$296="Новый сезон",11-1&gt;MOD(MONTH('06_Сеть_и_дети'!N$3)-9,12),FALSE),'19_Расчет_аналитики'!N418*CapacityAge11*'19_Расчет_аналитики'!$F$211,0)</f>
        <v/>
      </c>
      <c r="O530">
        <f>IF(IF('01_Вводные'!$B$296="Новый сезон",11-1&gt;MOD(MONTH('06_Сеть_и_дети'!O$3)-9,12),FALSE),'19_Расчет_аналитики'!O418*CapacityAge11*'19_Расчет_аналитики'!$F$211,0)</f>
        <v/>
      </c>
      <c r="P530">
        <f>IF(IF('01_Вводные'!$B$296="Новый сезон",11-1&gt;MOD(MONTH('06_Сеть_и_дети'!P$3)-9,12),FALSE),'19_Расчет_аналитики'!P418*CapacityAge11*'19_Расчет_аналитики'!$F$211,0)</f>
        <v/>
      </c>
      <c r="Q530">
        <f>IF(IF('01_Вводные'!$B$296="Новый сезон",11-1&gt;MOD(MONTH('06_Сеть_и_дети'!Q$3)-9,12),FALSE),'19_Расчет_аналитики'!Q418*CapacityAge11*'19_Расчет_аналитики'!$F$211,0)</f>
        <v/>
      </c>
      <c r="R530">
        <f>IF(IF('01_Вводные'!$B$296="Новый сезон",11-1&gt;MOD(MONTH('06_Сеть_и_дети'!R$3)-9,12),FALSE),'19_Расчет_аналитики'!R418*CapacityAge11*'19_Расчет_аналитики'!$F$211,0)</f>
        <v/>
      </c>
      <c r="S530">
        <f>IF(IF('01_Вводные'!$B$296="Новый сезон",11-1&gt;MOD(MONTH('06_Сеть_и_дети'!S$3)-9,12),FALSE),'19_Расчет_аналитики'!S418*CapacityAge11*'19_Расчет_аналитики'!$F$211,0)</f>
        <v/>
      </c>
      <c r="T530">
        <f>IF(IF('01_Вводные'!$B$296="Новый сезон",11-1&gt;MOD(MONTH('06_Сеть_и_дети'!T$3)-9,12),FALSE),'19_Расчет_аналитики'!T418*CapacityAge11*'19_Расчет_аналитики'!$F$211,0)</f>
        <v/>
      </c>
      <c r="U530">
        <f>IF(IF('01_Вводные'!$B$296="Новый сезон",11-1&gt;MOD(MONTH('06_Сеть_и_дети'!U$3)-9,12),FALSE),'19_Расчет_аналитики'!U418*CapacityAge11*'19_Расчет_аналитики'!$F$211,0)</f>
        <v/>
      </c>
      <c r="V530">
        <f>IF(IF('01_Вводные'!$B$296="Новый сезон",11-1&gt;MOD(MONTH('06_Сеть_и_дети'!V$3)-9,12),FALSE),'19_Расчет_аналитики'!V418*CapacityAge11*'19_Расчет_аналитики'!$F$211,0)</f>
        <v/>
      </c>
      <c r="W530">
        <f>IF(IF('01_Вводные'!$B$296="Новый сезон",11-1&gt;MOD(MONTH('06_Сеть_и_дети'!W$3)-9,12),FALSE),'19_Расчет_аналитики'!W418*CapacityAge11*'19_Расчет_аналитики'!$F$211,0)</f>
        <v/>
      </c>
      <c r="X530">
        <f>IF(IF('01_Вводные'!$B$296="Новый сезон",11-1&gt;MOD(MONTH('06_Сеть_и_дети'!X$3)-9,12),FALSE),'19_Расчет_аналитики'!X418*CapacityAge11*'19_Расчет_аналитики'!$F$211,0)</f>
        <v/>
      </c>
      <c r="Y530">
        <f>IF(IF('01_Вводные'!$B$296="Новый сезон",11-1&gt;MOD(MONTH('06_Сеть_и_дети'!Y$3)-9,12),FALSE),'19_Расчет_аналитики'!Y418*CapacityAge11*'19_Расчет_аналитики'!$F$211,0)</f>
        <v/>
      </c>
      <c r="Z530">
        <f>IF(IF('01_Вводные'!$B$296="Новый сезон",11-1&gt;MOD(MONTH('06_Сеть_и_дети'!Z$3)-9,12),FALSE),'19_Расчет_аналитики'!Z418*CapacityAge11*'19_Расчет_аналитики'!$F$211,0)</f>
        <v/>
      </c>
      <c r="AA530">
        <f>IF(IF('01_Вводные'!$B$296="Новый сезон",11-1&gt;MOD(MONTH('06_Сеть_и_дети'!AA$3)-9,12),FALSE),'19_Расчет_аналитики'!AA418*CapacityAge11*'19_Расчет_аналитики'!$F$211,0)</f>
        <v/>
      </c>
      <c r="AB530">
        <f>IF(IF('01_Вводные'!$B$296="Новый сезон",11-1&gt;MOD(MONTH('06_Сеть_и_дети'!AB$3)-9,12),FALSE),'19_Расчет_аналитики'!AB418*CapacityAge11*'19_Расчет_аналитики'!$F$211,0)</f>
        <v/>
      </c>
      <c r="AC530">
        <f>IF(IF('01_Вводные'!$B$296="Новый сезон",11-1&gt;MOD(MONTH('06_Сеть_и_дети'!AC$3)-9,12),FALSE),'19_Расчет_аналитики'!AC418*CapacityAge11*'19_Расчет_аналитики'!$F$211,0)</f>
        <v/>
      </c>
      <c r="AD530">
        <f>IF(IF('01_Вводные'!$B$296="Новый сезон",11-1&gt;MOD(MONTH('06_Сеть_и_дети'!AD$3)-9,12),FALSE),'19_Расчет_аналитики'!AD418*CapacityAge11*'19_Расчет_аналитики'!$F$211,0)</f>
        <v/>
      </c>
      <c r="AE530">
        <f>IF(IF('01_Вводные'!$B$296="Новый сезон",11-1&gt;MOD(MONTH('06_Сеть_и_дети'!AE$3)-9,12),FALSE),'19_Расчет_аналитики'!AE418*CapacityAge11*'19_Расчет_аналитики'!$F$211,0)</f>
        <v/>
      </c>
      <c r="AF530">
        <f>IF(IF('01_Вводные'!$B$296="Новый сезон",11-1&gt;MOD(MONTH('06_Сеть_и_дети'!AF$3)-9,12),FALSE),'19_Расчет_аналитики'!AF418*CapacityAge11*'19_Расчет_аналитики'!$F$211,0)</f>
        <v/>
      </c>
      <c r="AG530">
        <f>IF(IF('01_Вводные'!$B$296="Новый сезон",11-1&gt;MOD(MONTH('06_Сеть_и_дети'!AG$3)-9,12),FALSE),'19_Расчет_аналитики'!AG418*CapacityAge11*'19_Расчет_аналитики'!$F$211,0)</f>
        <v/>
      </c>
      <c r="AH530">
        <f>IF(IF('01_Вводные'!$B$296="Новый сезон",11-1&gt;MOD(MONTH('06_Сеть_и_дети'!AH$3)-9,12),FALSE),'19_Расчет_аналитики'!AH418*CapacityAge11*'19_Расчет_аналитики'!$F$211,0)</f>
        <v/>
      </c>
      <c r="AI530">
        <f>IF(IF('01_Вводные'!$B$296="Новый сезон",11-1&gt;MOD(MONTH('06_Сеть_и_дети'!AI$3)-9,12),FALSE),'19_Расчет_аналитики'!AI418*CapacityAge11*'19_Расчет_аналитики'!$F$211,0)</f>
        <v/>
      </c>
      <c r="AJ530">
        <f>IF(IF('01_Вводные'!$B$296="Новый сезон",11-1&gt;MOD(MONTH('06_Сеть_и_дети'!AJ$3)-9,12),FALSE),'19_Расчет_аналитики'!AJ418*CapacityAge11*'19_Расчет_аналитики'!$F$211,0)</f>
        <v/>
      </c>
      <c r="AK530">
        <f>IF(IF('01_Вводные'!$B$296="Новый сезон",11-1&gt;MOD(MONTH('06_Сеть_и_дети'!AK$3)-9,12),FALSE),'19_Расчет_аналитики'!AK418*CapacityAge11*'19_Расчет_аналитики'!$F$211,0)</f>
        <v/>
      </c>
      <c r="AL530">
        <f>IF(IF('01_Вводные'!$B$296="Новый сезон",11-1&gt;MOD(MONTH('06_Сеть_и_дети'!AL$3)-9,12),FALSE),'19_Расчет_аналитики'!AL418*CapacityAge11*'19_Расчет_аналитики'!$F$211,0)</f>
        <v/>
      </c>
      <c r="AM530">
        <f>IF(IF('01_Вводные'!$B$296="Новый сезон",11-1&gt;MOD(MONTH('06_Сеть_и_дети'!AM$3)-9,12),FALSE),'19_Расчет_аналитики'!AM418*CapacityAge11*'19_Расчет_аналитики'!$F$211,0)</f>
        <v/>
      </c>
      <c r="AN530">
        <f>IF(IF('01_Вводные'!$B$296="Новый сезон",11-1&gt;MOD(MONTH('06_Сеть_и_дети'!AN$3)-9,12),FALSE),'19_Расчет_аналитики'!AN418*CapacityAge11*'19_Расчет_аналитики'!$F$211,0)</f>
        <v/>
      </c>
      <c r="AO530">
        <f>IF(IF('01_Вводные'!$B$296="Новый сезон",11-1&gt;MOD(MONTH('06_Сеть_и_дети'!AO$3)-9,12),FALSE),'19_Расчет_аналитики'!AO418*CapacityAge11*'19_Расчет_аналитики'!$F$211,0)</f>
        <v/>
      </c>
      <c r="AP530">
        <f>IF(IF('01_Вводные'!$B$296="Новый сезон",11-1&gt;MOD(MONTH('06_Сеть_и_дети'!AP$3)-9,12),FALSE),'19_Расчет_аналитики'!AP418*CapacityAge11*'19_Расчет_аналитики'!$F$211,0)</f>
        <v/>
      </c>
      <c r="AQ530">
        <f>IF(IF('01_Вводные'!$B$296="Новый сезон",11-1&gt;MOD(MONTH('06_Сеть_и_дети'!AQ$3)-9,12),FALSE),'19_Расчет_аналитики'!AQ418*CapacityAge11*'19_Расчет_аналитики'!$F$211,0)</f>
        <v/>
      </c>
      <c r="AR530">
        <f>IF(IF('01_Вводные'!$B$296="Новый сезон",11-1&gt;MOD(MONTH('06_Сеть_и_дети'!AR$3)-9,12),FALSE),'19_Расчет_аналитики'!AR418*CapacityAge11*'19_Расчет_аналитики'!$F$211,0)</f>
        <v/>
      </c>
      <c r="AS530">
        <f>IF(IF('01_Вводные'!$B$296="Новый сезон",11-1&gt;MOD(MONTH('06_Сеть_и_дети'!AS$3)-9,12),FALSE),'19_Расчет_аналитики'!AS418*CapacityAge11*'19_Расчет_аналитики'!$F$211,0)</f>
        <v/>
      </c>
      <c r="AT530">
        <f>IF(IF('01_Вводные'!$B$296="Новый сезон",11-1&gt;MOD(MONTH('06_Сеть_и_дети'!AT$3)-9,12),FALSE),'19_Расчет_аналитики'!AT418*CapacityAge11*'19_Расчет_аналитики'!$F$211,0)</f>
        <v/>
      </c>
      <c r="AU530">
        <f>IF(IF('01_Вводные'!$B$296="Новый сезон",11-1&gt;MOD(MONTH('06_Сеть_и_дети'!AU$3)-9,12),FALSE),'19_Расчет_аналитики'!AU418*CapacityAge11*'19_Расчет_аналитики'!$F$211,0)</f>
        <v/>
      </c>
      <c r="AV530">
        <f>IF(IF('01_Вводные'!$B$296="Новый сезон",11-1&gt;MOD(MONTH('06_Сеть_и_дети'!AV$3)-9,12),FALSE),'19_Расчет_аналитики'!AV418*CapacityAge11*'19_Расчет_аналитики'!$F$211,0)</f>
        <v/>
      </c>
      <c r="AW530">
        <f>IF(IF('01_Вводные'!$B$296="Новый сезон",11-1&gt;MOD(MONTH('06_Сеть_и_дети'!AW$3)-9,12),FALSE),'19_Расчет_аналитики'!AW418*CapacityAge11*'19_Расчет_аналитики'!$F$211,0)</f>
        <v/>
      </c>
      <c r="AX530">
        <f>IF(IF('01_Вводные'!$B$296="Новый сезон",11-1&gt;MOD(MONTH('06_Сеть_и_дети'!AX$3)-9,12),FALSE),'19_Расчет_аналитики'!AX418*CapacityAge11*'19_Расчет_аналитики'!$F$211,0)</f>
        <v/>
      </c>
      <c r="AY530">
        <f>IF(IF('01_Вводные'!$B$296="Новый сезон",11-1&gt;MOD(MONTH('06_Сеть_и_дети'!AY$3)-9,12),FALSE),'19_Расчет_аналитики'!AY418*CapacityAge11*'19_Расчет_аналитики'!$F$211,0)</f>
        <v/>
      </c>
      <c r="AZ530">
        <f>IF(IF('01_Вводные'!$B$296="Новый сезон",11-1&gt;MOD(MONTH('06_Сеть_и_дети'!AZ$3)-9,12),FALSE),'19_Расчет_аналитики'!AZ418*CapacityAge11*'19_Расчет_аналитики'!$F$211,0)</f>
        <v/>
      </c>
      <c r="BA530">
        <f>IF(IF('01_Вводные'!$B$296="Новый сезон",11-1&gt;MOD(MONTH('06_Сеть_и_дети'!BA$3)-9,12),FALSE),'19_Расчет_аналитики'!BA418*CapacityAge11*'19_Расчет_аналитики'!$F$211,0)</f>
        <v/>
      </c>
      <c r="BB530">
        <f>IF(IF('01_Вводные'!$B$296="Новый сезон",11-1&gt;MOD(MONTH('06_Сеть_и_дети'!BB$3)-9,12),FALSE),'19_Расчет_аналитики'!BB418*CapacityAge11*'19_Расчет_аналитики'!$F$211,0)</f>
        <v/>
      </c>
      <c r="BC530">
        <f>IF(IF('01_Вводные'!$B$296="Новый сезон",11-1&gt;MOD(MONTH('06_Сеть_и_дети'!BC$3)-9,12),FALSE),'19_Расчет_аналитики'!BC418*CapacityAge11*'19_Расчет_аналитики'!$F$211,0)</f>
        <v/>
      </c>
      <c r="BD530">
        <f>IF(IF('01_Вводные'!$B$296="Новый сезон",11-1&gt;MOD(MONTH('06_Сеть_и_дети'!BD$3)-9,12),FALSE),'19_Расчет_аналитики'!BD418*CapacityAge11*'19_Расчет_аналитики'!$F$211,0)</f>
        <v/>
      </c>
      <c r="BE530">
        <f>IF(IF('01_Вводные'!$B$296="Новый сезон",11-1&gt;MOD(MONTH('06_Сеть_и_дети'!BE$3)-9,12),FALSE),'19_Расчет_аналитики'!BE418*CapacityAge11*'19_Расчет_аналитики'!$F$211,0)</f>
        <v/>
      </c>
      <c r="BF530">
        <f>IF(IF('01_Вводные'!$B$296="Новый сезон",11-1&gt;MOD(MONTH('06_Сеть_и_дети'!BF$3)-9,12),FALSE),'19_Расчет_аналитики'!BF418*CapacityAge11*'19_Расчет_аналитики'!$F$211,0)</f>
        <v/>
      </c>
      <c r="BG530">
        <f>IF(IF('01_Вводные'!$B$296="Новый сезон",11-1&gt;MOD(MONTH('06_Сеть_и_дети'!BG$3)-9,12),FALSE),'19_Расчет_аналитики'!BG418*CapacityAge11*'19_Расчет_аналитики'!$F$211,0)</f>
        <v/>
      </c>
      <c r="BH530">
        <f>IF(IF('01_Вводные'!$B$296="Новый сезон",11-1&gt;MOD(MONTH('06_Сеть_и_дети'!BH$3)-9,12),FALSE),'19_Расчет_аналитики'!BH418*CapacityAge11*'19_Расчет_аналитики'!$F$211,0)</f>
        <v/>
      </c>
      <c r="BI530">
        <f>IF(IF('01_Вводные'!$B$296="Новый сезон",11-1&gt;MOD(MONTH('06_Сеть_и_дети'!BI$3)-9,12),FALSE),'19_Расчет_аналитики'!BI418*CapacityAge11*'19_Расчет_аналитики'!$F$211,0)</f>
        <v/>
      </c>
      <c r="BJ530">
        <f>IF(IF('01_Вводные'!$B$296="Новый сезон",11-1&gt;MOD(MONTH('06_Сеть_и_дети'!BJ$3)-9,12),FALSE),'19_Расчет_аналитики'!BJ418*CapacityAge11*'19_Расчет_аналитики'!$F$211,0)</f>
        <v/>
      </c>
      <c r="BK530">
        <f>IF(IF('01_Вводные'!$B$296="Новый сезон",11-1&gt;MOD(MONTH('06_Сеть_и_дети'!BK$3)-9,12),FALSE),'19_Расчет_аналитики'!BK418*CapacityAge11*'19_Расчет_аналитики'!$F$211,0)</f>
        <v/>
      </c>
      <c r="BL530">
        <f>IF(IF('01_Вводные'!$B$296="Новый сезон",11-1&gt;MOD(MONTH('06_Сеть_и_дети'!BL$3)-9,12),FALSE),'19_Расчет_аналитики'!BL418*CapacityAge11*'19_Расчет_аналитики'!$F$211,0)</f>
        <v/>
      </c>
      <c r="BM530">
        <f>IF(IF('01_Вводные'!$B$296="Новый сезон",11-1&gt;MOD(MONTH('06_Сеть_и_дети'!BM$3)-9,12),FALSE),'19_Расчет_аналитики'!BM418*CapacityAge11*'19_Расчет_аналитики'!$F$211,0)</f>
        <v/>
      </c>
      <c r="BN530">
        <f>IF(IF('01_Вводные'!$B$296="Новый сезон",11-1&gt;MOD(MONTH('06_Сеть_и_дети'!BN$3)-9,12),FALSE),'19_Расчет_аналитики'!BN418*CapacityAge11*'19_Расчет_аналитики'!$F$211,0)</f>
        <v/>
      </c>
      <c r="BO530">
        <f>IF(IF('01_Вводные'!$B$296="Новый сезон",11-1&gt;MOD(MONTH('06_Сеть_и_дети'!BO$3)-9,12),FALSE),'19_Расчет_аналитики'!BO418*CapacityAge11*'19_Расчет_аналитики'!$F$211,0)</f>
        <v/>
      </c>
    </row>
    <row r="531">
      <c r="B531">
        <f>IF(IF('01_Вводные'!$B$296="Новый сезон",12-1&gt;MOD(MONTH('06_Сеть_и_дети'!B$3)-9,12),FALSE),'06_Сеть_и_дети'!B64*CapacityAge12*'19_Расчет_аналитики'!$F$211,0)</f>
        <v/>
      </c>
      <c r="C531">
        <f>IF(IF('01_Вводные'!$B$296="Новый сезон",12-1&gt;MOD(MONTH('06_Сеть_и_дети'!C$3)-9,12),FALSE),'06_Сеть_и_дети'!C64*CapacityAge12*'19_Расчет_аналитики'!$F$211,0)</f>
        <v/>
      </c>
      <c r="D531">
        <f>IF(IF('01_Вводные'!$B$296="Новый сезон",12-1&gt;MOD(MONTH('06_Сеть_и_дети'!D$3)-9,12),FALSE),'06_Сеть_и_дети'!D64*CapacityAge12*'19_Расчет_аналитики'!$F$211,0)</f>
        <v/>
      </c>
      <c r="E531">
        <f>IF(IF('01_Вводные'!$B$296="Новый сезон",12-1&gt;MOD(MONTH('06_Сеть_и_дети'!E$3)-9,12),FALSE),'06_Сеть_и_дети'!E64*CapacityAge12*'19_Расчет_аналитики'!$F$211,0)</f>
        <v/>
      </c>
      <c r="F531">
        <f>IF(IF('01_Вводные'!$B$296="Новый сезон",12-1&gt;MOD(MONTH('06_Сеть_и_дети'!F$3)-9,12),FALSE),'06_Сеть_и_дети'!F64*CapacityAge12*'19_Расчет_аналитики'!$F$211,0)</f>
        <v/>
      </c>
      <c r="G531">
        <f>IF(IF('01_Вводные'!$B$296="Новый сезон",12-1&gt;MOD(MONTH('06_Сеть_и_дети'!G$3)-9,12),FALSE),'06_Сеть_и_дети'!G64*CapacityAge12*'19_Расчет_аналитики'!$F$211,0)</f>
        <v/>
      </c>
      <c r="H531">
        <f>IF(IF('01_Вводные'!$B$296="Новый сезон",12-1&gt;MOD(MONTH('06_Сеть_и_дети'!H$3)-9,12),FALSE),'06_Сеть_и_дети'!H64*CapacityAge12*'19_Расчет_аналитики'!$F$211,0)</f>
        <v/>
      </c>
      <c r="I531">
        <f>IF(IF('01_Вводные'!$B$296="Новый сезон",12-1&gt;MOD(MONTH('06_Сеть_и_дети'!I$3)-9,12),FALSE),'06_Сеть_и_дети'!I64*CapacityAge12*'19_Расчет_аналитики'!$F$211,0)</f>
        <v/>
      </c>
      <c r="J531">
        <f>IF(IF('01_Вводные'!$B$296="Новый сезон",12-1&gt;MOD(MONTH('06_Сеть_и_дети'!J$3)-9,12),FALSE),'06_Сеть_и_дети'!J64*CapacityAge12*'19_Расчет_аналитики'!$F$211,0)</f>
        <v/>
      </c>
      <c r="K531">
        <f>IF(IF('01_Вводные'!$B$296="Новый сезон",12-1&gt;MOD(MONTH('06_Сеть_и_дети'!K$3)-9,12),FALSE),'06_Сеть_и_дети'!K64*CapacityAge12*'19_Расчет_аналитики'!$F$211,0)</f>
        <v/>
      </c>
      <c r="L531">
        <f>IF(IF('01_Вводные'!$B$296="Новый сезон",12-1&gt;MOD(MONTH('06_Сеть_и_дети'!L$3)-9,12),FALSE),'06_Сеть_и_дети'!L64*CapacityAge12*'19_Расчет_аналитики'!$F$211,0)</f>
        <v/>
      </c>
      <c r="M531">
        <f>IF(IF('01_Вводные'!$B$296="Новый сезон",12-1&gt;MOD(MONTH('06_Сеть_и_дети'!M$3)-9,12),FALSE),'19_Расчет_аналитики'!M419*CapacityAge12*'19_Расчет_аналитики'!$F$211,0)</f>
        <v/>
      </c>
      <c r="N531">
        <f>IF(IF('01_Вводные'!$B$296="Новый сезон",12-1&gt;MOD(MONTH('06_Сеть_и_дети'!N$3)-9,12),FALSE),'19_Расчет_аналитики'!N419*CapacityAge12*'19_Расчет_аналитики'!$F$211,0)</f>
        <v/>
      </c>
      <c r="O531">
        <f>IF(IF('01_Вводные'!$B$296="Новый сезон",12-1&gt;MOD(MONTH('06_Сеть_и_дети'!O$3)-9,12),FALSE),'19_Расчет_аналитики'!O419*CapacityAge12*'19_Расчет_аналитики'!$F$211,0)</f>
        <v/>
      </c>
      <c r="P531">
        <f>IF(IF('01_Вводные'!$B$296="Новый сезон",12-1&gt;MOD(MONTH('06_Сеть_и_дети'!P$3)-9,12),FALSE),'19_Расчет_аналитики'!P419*CapacityAge12*'19_Расчет_аналитики'!$F$211,0)</f>
        <v/>
      </c>
      <c r="Q531">
        <f>IF(IF('01_Вводные'!$B$296="Новый сезон",12-1&gt;MOD(MONTH('06_Сеть_и_дети'!Q$3)-9,12),FALSE),'19_Расчет_аналитики'!Q419*CapacityAge12*'19_Расчет_аналитики'!$F$211,0)</f>
        <v/>
      </c>
      <c r="R531">
        <f>IF(IF('01_Вводные'!$B$296="Новый сезон",12-1&gt;MOD(MONTH('06_Сеть_и_дети'!R$3)-9,12),FALSE),'19_Расчет_аналитики'!R419*CapacityAge12*'19_Расчет_аналитики'!$F$211,0)</f>
        <v/>
      </c>
      <c r="S531">
        <f>IF(IF('01_Вводные'!$B$296="Новый сезон",12-1&gt;MOD(MONTH('06_Сеть_и_дети'!S$3)-9,12),FALSE),'19_Расчет_аналитики'!S419*CapacityAge12*'19_Расчет_аналитики'!$F$211,0)</f>
        <v/>
      </c>
      <c r="T531">
        <f>IF(IF('01_Вводные'!$B$296="Новый сезон",12-1&gt;MOD(MONTH('06_Сеть_и_дети'!T$3)-9,12),FALSE),'19_Расчет_аналитики'!T419*CapacityAge12*'19_Расчет_аналитики'!$F$211,0)</f>
        <v/>
      </c>
      <c r="U531">
        <f>IF(IF('01_Вводные'!$B$296="Новый сезон",12-1&gt;MOD(MONTH('06_Сеть_и_дети'!U$3)-9,12),FALSE),'19_Расчет_аналитики'!U419*CapacityAge12*'19_Расчет_аналитики'!$F$211,0)</f>
        <v/>
      </c>
      <c r="V531">
        <f>IF(IF('01_Вводные'!$B$296="Новый сезон",12-1&gt;MOD(MONTH('06_Сеть_и_дети'!V$3)-9,12),FALSE),'19_Расчет_аналитики'!V419*CapacityAge12*'19_Расчет_аналитики'!$F$211,0)</f>
        <v/>
      </c>
      <c r="W531">
        <f>IF(IF('01_Вводные'!$B$296="Новый сезон",12-1&gt;MOD(MONTH('06_Сеть_и_дети'!W$3)-9,12),FALSE),'19_Расчет_аналитики'!W419*CapacityAge12*'19_Расчет_аналитики'!$F$211,0)</f>
        <v/>
      </c>
      <c r="X531">
        <f>IF(IF('01_Вводные'!$B$296="Новый сезон",12-1&gt;MOD(MONTH('06_Сеть_и_дети'!X$3)-9,12),FALSE),'19_Расчет_аналитики'!X419*CapacityAge12*'19_Расчет_аналитики'!$F$211,0)</f>
        <v/>
      </c>
      <c r="Y531">
        <f>IF(IF('01_Вводные'!$B$296="Новый сезон",12-1&gt;MOD(MONTH('06_Сеть_и_дети'!Y$3)-9,12),FALSE),'19_Расчет_аналитики'!Y419*CapacityAge12*'19_Расчет_аналитики'!$F$211,0)</f>
        <v/>
      </c>
      <c r="Z531">
        <f>IF(IF('01_Вводные'!$B$296="Новый сезон",12-1&gt;MOD(MONTH('06_Сеть_и_дети'!Z$3)-9,12),FALSE),'19_Расчет_аналитики'!Z419*CapacityAge12*'19_Расчет_аналитики'!$F$211,0)</f>
        <v/>
      </c>
      <c r="AA531">
        <f>IF(IF('01_Вводные'!$B$296="Новый сезон",12-1&gt;MOD(MONTH('06_Сеть_и_дети'!AA$3)-9,12),FALSE),'19_Расчет_аналитики'!AA419*CapacityAge12*'19_Расчет_аналитики'!$F$211,0)</f>
        <v/>
      </c>
      <c r="AB531">
        <f>IF(IF('01_Вводные'!$B$296="Новый сезон",12-1&gt;MOD(MONTH('06_Сеть_и_дети'!AB$3)-9,12),FALSE),'19_Расчет_аналитики'!AB419*CapacityAge12*'19_Расчет_аналитики'!$F$211,0)</f>
        <v/>
      </c>
      <c r="AC531">
        <f>IF(IF('01_Вводные'!$B$296="Новый сезон",12-1&gt;MOD(MONTH('06_Сеть_и_дети'!AC$3)-9,12),FALSE),'19_Расчет_аналитики'!AC419*CapacityAge12*'19_Расчет_аналитики'!$F$211,0)</f>
        <v/>
      </c>
      <c r="AD531">
        <f>IF(IF('01_Вводные'!$B$296="Новый сезон",12-1&gt;MOD(MONTH('06_Сеть_и_дети'!AD$3)-9,12),FALSE),'19_Расчет_аналитики'!AD419*CapacityAge12*'19_Расчет_аналитики'!$F$211,0)</f>
        <v/>
      </c>
      <c r="AE531">
        <f>IF(IF('01_Вводные'!$B$296="Новый сезон",12-1&gt;MOD(MONTH('06_Сеть_и_дети'!AE$3)-9,12),FALSE),'19_Расчет_аналитики'!AE419*CapacityAge12*'19_Расчет_аналитики'!$F$211,0)</f>
        <v/>
      </c>
      <c r="AF531">
        <f>IF(IF('01_Вводные'!$B$296="Новый сезон",12-1&gt;MOD(MONTH('06_Сеть_и_дети'!AF$3)-9,12),FALSE),'19_Расчет_аналитики'!AF419*CapacityAge12*'19_Расчет_аналитики'!$F$211,0)</f>
        <v/>
      </c>
      <c r="AG531">
        <f>IF(IF('01_Вводные'!$B$296="Новый сезон",12-1&gt;MOD(MONTH('06_Сеть_и_дети'!AG$3)-9,12),FALSE),'19_Расчет_аналитики'!AG419*CapacityAge12*'19_Расчет_аналитики'!$F$211,0)</f>
        <v/>
      </c>
      <c r="AH531">
        <f>IF(IF('01_Вводные'!$B$296="Новый сезон",12-1&gt;MOD(MONTH('06_Сеть_и_дети'!AH$3)-9,12),FALSE),'19_Расчет_аналитики'!AH419*CapacityAge12*'19_Расчет_аналитики'!$F$211,0)</f>
        <v/>
      </c>
      <c r="AI531">
        <f>IF(IF('01_Вводные'!$B$296="Новый сезон",12-1&gt;MOD(MONTH('06_Сеть_и_дети'!AI$3)-9,12),FALSE),'19_Расчет_аналитики'!AI419*CapacityAge12*'19_Расчет_аналитики'!$F$211,0)</f>
        <v/>
      </c>
      <c r="AJ531">
        <f>IF(IF('01_Вводные'!$B$296="Новый сезон",12-1&gt;MOD(MONTH('06_Сеть_и_дети'!AJ$3)-9,12),FALSE),'19_Расчет_аналитики'!AJ419*CapacityAge12*'19_Расчет_аналитики'!$F$211,0)</f>
        <v/>
      </c>
      <c r="AK531">
        <f>IF(IF('01_Вводные'!$B$296="Новый сезон",12-1&gt;MOD(MONTH('06_Сеть_и_дети'!AK$3)-9,12),FALSE),'19_Расчет_аналитики'!AK419*CapacityAge12*'19_Расчет_аналитики'!$F$211,0)</f>
        <v/>
      </c>
      <c r="AL531">
        <f>IF(IF('01_Вводные'!$B$296="Новый сезон",12-1&gt;MOD(MONTH('06_Сеть_и_дети'!AL$3)-9,12),FALSE),'19_Расчет_аналитики'!AL419*CapacityAge12*'19_Расчет_аналитики'!$F$211,0)</f>
        <v/>
      </c>
      <c r="AM531">
        <f>IF(IF('01_Вводные'!$B$296="Новый сезон",12-1&gt;MOD(MONTH('06_Сеть_и_дети'!AM$3)-9,12),FALSE),'19_Расчет_аналитики'!AM419*CapacityAge12*'19_Расчет_аналитики'!$F$211,0)</f>
        <v/>
      </c>
      <c r="AN531">
        <f>IF(IF('01_Вводные'!$B$296="Новый сезон",12-1&gt;MOD(MONTH('06_Сеть_и_дети'!AN$3)-9,12),FALSE),'19_Расчет_аналитики'!AN419*CapacityAge12*'19_Расчет_аналитики'!$F$211,0)</f>
        <v/>
      </c>
      <c r="AO531">
        <f>IF(IF('01_Вводные'!$B$296="Новый сезон",12-1&gt;MOD(MONTH('06_Сеть_и_дети'!AO$3)-9,12),FALSE),'19_Расчет_аналитики'!AO419*CapacityAge12*'19_Расчет_аналитики'!$F$211,0)</f>
        <v/>
      </c>
      <c r="AP531">
        <f>IF(IF('01_Вводные'!$B$296="Новый сезон",12-1&gt;MOD(MONTH('06_Сеть_и_дети'!AP$3)-9,12),FALSE),'19_Расчет_аналитики'!AP419*CapacityAge12*'19_Расчет_аналитики'!$F$211,0)</f>
        <v/>
      </c>
      <c r="AQ531">
        <f>IF(IF('01_Вводные'!$B$296="Новый сезон",12-1&gt;MOD(MONTH('06_Сеть_и_дети'!AQ$3)-9,12),FALSE),'19_Расчет_аналитики'!AQ419*CapacityAge12*'19_Расчет_аналитики'!$F$211,0)</f>
        <v/>
      </c>
      <c r="AR531">
        <f>IF(IF('01_Вводные'!$B$296="Новый сезон",12-1&gt;MOD(MONTH('06_Сеть_и_дети'!AR$3)-9,12),FALSE),'19_Расчет_аналитики'!AR419*CapacityAge12*'19_Расчет_аналитики'!$F$211,0)</f>
        <v/>
      </c>
      <c r="AS531">
        <f>IF(IF('01_Вводные'!$B$296="Новый сезон",12-1&gt;MOD(MONTH('06_Сеть_и_дети'!AS$3)-9,12),FALSE),'19_Расчет_аналитики'!AS419*CapacityAge12*'19_Расчет_аналитики'!$F$211,0)</f>
        <v/>
      </c>
      <c r="AT531">
        <f>IF(IF('01_Вводные'!$B$296="Новый сезон",12-1&gt;MOD(MONTH('06_Сеть_и_дети'!AT$3)-9,12),FALSE),'19_Расчет_аналитики'!AT419*CapacityAge12*'19_Расчет_аналитики'!$F$211,0)</f>
        <v/>
      </c>
      <c r="AU531">
        <f>IF(IF('01_Вводные'!$B$296="Новый сезон",12-1&gt;MOD(MONTH('06_Сеть_и_дети'!AU$3)-9,12),FALSE),'19_Расчет_аналитики'!AU419*CapacityAge12*'19_Расчет_аналитики'!$F$211,0)</f>
        <v/>
      </c>
      <c r="AV531">
        <f>IF(IF('01_Вводные'!$B$296="Новый сезон",12-1&gt;MOD(MONTH('06_Сеть_и_дети'!AV$3)-9,12),FALSE),'19_Расчет_аналитики'!AV419*CapacityAge12*'19_Расчет_аналитики'!$F$211,0)</f>
        <v/>
      </c>
      <c r="AW531">
        <f>IF(IF('01_Вводные'!$B$296="Новый сезон",12-1&gt;MOD(MONTH('06_Сеть_и_дети'!AW$3)-9,12),FALSE),'19_Расчет_аналитики'!AW419*CapacityAge12*'19_Расчет_аналитики'!$F$211,0)</f>
        <v/>
      </c>
      <c r="AX531">
        <f>IF(IF('01_Вводные'!$B$296="Новый сезон",12-1&gt;MOD(MONTH('06_Сеть_и_дети'!AX$3)-9,12),FALSE),'19_Расчет_аналитики'!AX419*CapacityAge12*'19_Расчет_аналитики'!$F$211,0)</f>
        <v/>
      </c>
      <c r="AY531">
        <f>IF(IF('01_Вводные'!$B$296="Новый сезон",12-1&gt;MOD(MONTH('06_Сеть_и_дети'!AY$3)-9,12),FALSE),'19_Расчет_аналитики'!AY419*CapacityAge12*'19_Расчет_аналитики'!$F$211,0)</f>
        <v/>
      </c>
      <c r="AZ531">
        <f>IF(IF('01_Вводные'!$B$296="Новый сезон",12-1&gt;MOD(MONTH('06_Сеть_и_дети'!AZ$3)-9,12),FALSE),'19_Расчет_аналитики'!AZ419*CapacityAge12*'19_Расчет_аналитики'!$F$211,0)</f>
        <v/>
      </c>
      <c r="BA531">
        <f>IF(IF('01_Вводные'!$B$296="Новый сезон",12-1&gt;MOD(MONTH('06_Сеть_и_дети'!BA$3)-9,12),FALSE),'19_Расчет_аналитики'!BA419*CapacityAge12*'19_Расчет_аналитики'!$F$211,0)</f>
        <v/>
      </c>
      <c r="BB531">
        <f>IF(IF('01_Вводные'!$B$296="Новый сезон",12-1&gt;MOD(MONTH('06_Сеть_и_дети'!BB$3)-9,12),FALSE),'19_Расчет_аналитики'!BB419*CapacityAge12*'19_Расчет_аналитики'!$F$211,0)</f>
        <v/>
      </c>
      <c r="BC531">
        <f>IF(IF('01_Вводные'!$B$296="Новый сезон",12-1&gt;MOD(MONTH('06_Сеть_и_дети'!BC$3)-9,12),FALSE),'19_Расчет_аналитики'!BC419*CapacityAge12*'19_Расчет_аналитики'!$F$211,0)</f>
        <v/>
      </c>
      <c r="BD531">
        <f>IF(IF('01_Вводные'!$B$296="Новый сезон",12-1&gt;MOD(MONTH('06_Сеть_и_дети'!BD$3)-9,12),FALSE),'19_Расчет_аналитики'!BD419*CapacityAge12*'19_Расчет_аналитики'!$F$211,0)</f>
        <v/>
      </c>
      <c r="BE531">
        <f>IF(IF('01_Вводные'!$B$296="Новый сезон",12-1&gt;MOD(MONTH('06_Сеть_и_дети'!BE$3)-9,12),FALSE),'19_Расчет_аналитики'!BE419*CapacityAge12*'19_Расчет_аналитики'!$F$211,0)</f>
        <v/>
      </c>
      <c r="BF531">
        <f>IF(IF('01_Вводные'!$B$296="Новый сезон",12-1&gt;MOD(MONTH('06_Сеть_и_дети'!BF$3)-9,12),FALSE),'19_Расчет_аналитики'!BF419*CapacityAge12*'19_Расчет_аналитики'!$F$211,0)</f>
        <v/>
      </c>
      <c r="BG531">
        <f>IF(IF('01_Вводные'!$B$296="Новый сезон",12-1&gt;MOD(MONTH('06_Сеть_и_дети'!BG$3)-9,12),FALSE),'19_Расчет_аналитики'!BG419*CapacityAge12*'19_Расчет_аналитики'!$F$211,0)</f>
        <v/>
      </c>
      <c r="BH531">
        <f>IF(IF('01_Вводные'!$B$296="Новый сезон",12-1&gt;MOD(MONTH('06_Сеть_и_дети'!BH$3)-9,12),FALSE),'19_Расчет_аналитики'!BH419*CapacityAge12*'19_Расчет_аналитики'!$F$211,0)</f>
        <v/>
      </c>
      <c r="BI531">
        <f>IF(IF('01_Вводные'!$B$296="Новый сезон",12-1&gt;MOD(MONTH('06_Сеть_и_дети'!BI$3)-9,12),FALSE),'19_Расчет_аналитики'!BI419*CapacityAge12*'19_Расчет_аналитики'!$F$211,0)</f>
        <v/>
      </c>
      <c r="BJ531">
        <f>IF(IF('01_Вводные'!$B$296="Новый сезон",12-1&gt;MOD(MONTH('06_Сеть_и_дети'!BJ$3)-9,12),FALSE),'19_Расчет_аналитики'!BJ419*CapacityAge12*'19_Расчет_аналитики'!$F$211,0)</f>
        <v/>
      </c>
      <c r="BK531">
        <f>IF(IF('01_Вводные'!$B$296="Новый сезон",12-1&gt;MOD(MONTH('06_Сеть_и_дети'!BK$3)-9,12),FALSE),'19_Расчет_аналитики'!BK419*CapacityAge12*'19_Расчет_аналитики'!$F$211,0)</f>
        <v/>
      </c>
      <c r="BL531">
        <f>IF(IF('01_Вводные'!$B$296="Новый сезон",12-1&gt;MOD(MONTH('06_Сеть_и_дети'!BL$3)-9,12),FALSE),'19_Расчет_аналитики'!BL419*CapacityAge12*'19_Расчет_аналитики'!$F$211,0)</f>
        <v/>
      </c>
      <c r="BM531">
        <f>IF(IF('01_Вводные'!$B$296="Новый сезон",12-1&gt;MOD(MONTH('06_Сеть_и_дети'!BM$3)-9,12),FALSE),'19_Расчет_аналитики'!BM419*CapacityAge12*'19_Расчет_аналитики'!$F$211,0)</f>
        <v/>
      </c>
      <c r="BN531">
        <f>IF(IF('01_Вводные'!$B$296="Новый сезон",12-1&gt;MOD(MONTH('06_Сеть_и_дети'!BN$3)-9,12),FALSE),'19_Расчет_аналитики'!BN419*CapacityAge12*'19_Расчет_аналитики'!$F$211,0)</f>
        <v/>
      </c>
      <c r="BO531">
        <f>IF(IF('01_Вводные'!$B$296="Новый сезон",12-1&gt;MOD(MONTH('06_Сеть_и_дети'!BO$3)-9,12),FALSE),'19_Расчет_аналитики'!BO419*CapacityAge12*'19_Расчет_аналитики'!$F$211,0)</f>
        <v/>
      </c>
    </row>
    <row r="532">
      <c r="B532">
        <f>IF(IF('01_Вводные'!$B$296="Новый сезон",TRUE,TRUE),'06_Сеть_и_дети'!B65*CapacityAge13*'19_Расчет_аналитики'!$F$211,0)</f>
        <v/>
      </c>
      <c r="C532">
        <f>IF(IF('01_Вводные'!$B$296="Новый сезон",TRUE,TRUE),'06_Сеть_и_дети'!C65*CapacityAge13*'19_Расчет_аналитики'!$F$211,0)</f>
        <v/>
      </c>
      <c r="D532">
        <f>IF(IF('01_Вводные'!$B$296="Новый сезон",TRUE,TRUE),'06_Сеть_и_дети'!D65*CapacityAge13*'19_Расчет_аналитики'!$F$211,0)</f>
        <v/>
      </c>
      <c r="E532">
        <f>IF(IF('01_Вводные'!$B$296="Новый сезон",TRUE,TRUE),'06_Сеть_и_дети'!E65*CapacityAge13*'19_Расчет_аналитики'!$F$211,0)</f>
        <v/>
      </c>
      <c r="F532">
        <f>IF(IF('01_Вводные'!$B$296="Новый сезон",TRUE,TRUE),'06_Сеть_и_дети'!F65*CapacityAge13*'19_Расчет_аналитики'!$F$211,0)</f>
        <v/>
      </c>
      <c r="G532">
        <f>IF(IF('01_Вводные'!$B$296="Новый сезон",TRUE,TRUE),'06_Сеть_и_дети'!G65*CapacityAge13*'19_Расчет_аналитики'!$F$211,0)</f>
        <v/>
      </c>
      <c r="H532">
        <f>IF(IF('01_Вводные'!$B$296="Новый сезон",TRUE,TRUE),'06_Сеть_и_дети'!H65*CapacityAge13*'19_Расчет_аналитики'!$F$211,0)</f>
        <v/>
      </c>
      <c r="I532">
        <f>IF(IF('01_Вводные'!$B$296="Новый сезон",TRUE,TRUE),'06_Сеть_и_дети'!I65*CapacityAge13*'19_Расчет_аналитики'!$F$211,0)</f>
        <v/>
      </c>
      <c r="J532">
        <f>IF(IF('01_Вводные'!$B$296="Новый сезон",TRUE,TRUE),'06_Сеть_и_дети'!J65*CapacityAge13*'19_Расчет_аналитики'!$F$211,0)</f>
        <v/>
      </c>
      <c r="K532">
        <f>IF(IF('01_Вводные'!$B$296="Новый сезон",TRUE,TRUE),'06_Сеть_и_дети'!K65*CapacityAge13*'19_Расчет_аналитики'!$F$211,0)</f>
        <v/>
      </c>
      <c r="L532">
        <f>IF(IF('01_Вводные'!$B$296="Новый сезон",TRUE,TRUE),'06_Сеть_и_дети'!L65*CapacityAge13*'19_Расчет_аналитики'!$F$211,0)</f>
        <v/>
      </c>
      <c r="M532">
        <f>IF(IF('01_Вводные'!$B$296="Новый сезон",TRUE,TRUE),'06_Сеть_и_дети'!M65*CapacityAge13*'19_Расчет_аналитики'!$F$211,0)</f>
        <v/>
      </c>
      <c r="N532">
        <f>IF(IF('01_Вводные'!$B$296="Новый сезон",TRUE,TRUE),'19_Расчет_аналитики'!N420*CapacityAge13*'19_Расчет_аналитики'!$F$211,0)</f>
        <v/>
      </c>
      <c r="O532">
        <f>IF(IF('01_Вводные'!$B$296="Новый сезон",TRUE,TRUE),'19_Расчет_аналитики'!O420*CapacityAge13*'19_Расчет_аналитики'!$F$211,0)</f>
        <v/>
      </c>
      <c r="P532">
        <f>IF(IF('01_Вводные'!$B$296="Новый сезон",TRUE,TRUE),'19_Расчет_аналитики'!P420*CapacityAge13*'19_Расчет_аналитики'!$F$211,0)</f>
        <v/>
      </c>
      <c r="Q532">
        <f>IF(IF('01_Вводные'!$B$296="Новый сезон",TRUE,TRUE),'19_Расчет_аналитики'!Q420*CapacityAge13*'19_Расчет_аналитики'!$F$211,0)</f>
        <v/>
      </c>
      <c r="R532">
        <f>IF(IF('01_Вводные'!$B$296="Новый сезон",TRUE,TRUE),'19_Расчет_аналитики'!R420*CapacityAge13*'19_Расчет_аналитики'!$F$211,0)</f>
        <v/>
      </c>
      <c r="S532">
        <f>IF(IF('01_Вводные'!$B$296="Новый сезон",TRUE,TRUE),'19_Расчет_аналитики'!S420*CapacityAge13*'19_Расчет_аналитики'!$F$211,0)</f>
        <v/>
      </c>
      <c r="T532">
        <f>IF(IF('01_Вводные'!$B$296="Новый сезон",TRUE,TRUE),'19_Расчет_аналитики'!T420*CapacityAge13*'19_Расчет_аналитики'!$F$211,0)</f>
        <v/>
      </c>
      <c r="U532">
        <f>IF(IF('01_Вводные'!$B$296="Новый сезон",TRUE,TRUE),'19_Расчет_аналитики'!U420*CapacityAge13*'19_Расчет_аналитики'!$F$211,0)</f>
        <v/>
      </c>
      <c r="V532">
        <f>IF(IF('01_Вводные'!$B$296="Новый сезон",TRUE,TRUE),'19_Расчет_аналитики'!V420*CapacityAge13*'19_Расчет_аналитики'!$F$211,0)</f>
        <v/>
      </c>
      <c r="W532">
        <f>IF(IF('01_Вводные'!$B$296="Новый сезон",TRUE,TRUE),'19_Расчет_аналитики'!W420*CapacityAge13*'19_Расчет_аналитики'!$F$211,0)</f>
        <v/>
      </c>
      <c r="X532">
        <f>IF(IF('01_Вводные'!$B$296="Новый сезон",TRUE,TRUE),'19_Расчет_аналитики'!X420*CapacityAge13*'19_Расчет_аналитики'!$F$211,0)</f>
        <v/>
      </c>
      <c r="Y532">
        <f>IF(IF('01_Вводные'!$B$296="Новый сезон",TRUE,TRUE),'19_Расчет_аналитики'!Y420*CapacityAge13*'19_Расчет_аналитики'!$F$211,0)</f>
        <v/>
      </c>
      <c r="Z532">
        <f>IF(IF('01_Вводные'!$B$296="Новый сезон",TRUE,TRUE),'19_Расчет_аналитики'!Z420*CapacityAge13*'19_Расчет_аналитики'!$F$211,0)</f>
        <v/>
      </c>
      <c r="AA532">
        <f>IF(IF('01_Вводные'!$B$296="Новый сезон",TRUE,TRUE),'19_Расчет_аналитики'!AA420*CapacityAge13*'19_Расчет_аналитики'!$F$211,0)</f>
        <v/>
      </c>
      <c r="AB532">
        <f>IF(IF('01_Вводные'!$B$296="Новый сезон",TRUE,TRUE),'19_Расчет_аналитики'!AB420*CapacityAge13*'19_Расчет_аналитики'!$F$211,0)</f>
        <v/>
      </c>
      <c r="AC532">
        <f>IF(IF('01_Вводные'!$B$296="Новый сезон",TRUE,TRUE),'19_Расчет_аналитики'!AC420*CapacityAge13*'19_Расчет_аналитики'!$F$211,0)</f>
        <v/>
      </c>
      <c r="AD532">
        <f>IF(IF('01_Вводные'!$B$296="Новый сезон",TRUE,TRUE),'19_Расчет_аналитики'!AD420*CapacityAge13*'19_Расчет_аналитики'!$F$211,0)</f>
        <v/>
      </c>
      <c r="AE532">
        <f>IF(IF('01_Вводные'!$B$296="Новый сезон",TRUE,TRUE),'19_Расчет_аналитики'!AE420*CapacityAge13*'19_Расчет_аналитики'!$F$211,0)</f>
        <v/>
      </c>
      <c r="AF532">
        <f>IF(IF('01_Вводные'!$B$296="Новый сезон",TRUE,TRUE),'19_Расчет_аналитики'!AF420*CapacityAge13*'19_Расчет_аналитики'!$F$211,0)</f>
        <v/>
      </c>
      <c r="AG532">
        <f>IF(IF('01_Вводные'!$B$296="Новый сезон",TRUE,TRUE),'19_Расчет_аналитики'!AG420*CapacityAge13*'19_Расчет_аналитики'!$F$211,0)</f>
        <v/>
      </c>
      <c r="AH532">
        <f>IF(IF('01_Вводные'!$B$296="Новый сезон",TRUE,TRUE),'19_Расчет_аналитики'!AH420*CapacityAge13*'19_Расчет_аналитики'!$F$211,0)</f>
        <v/>
      </c>
      <c r="AI532">
        <f>IF(IF('01_Вводные'!$B$296="Новый сезон",TRUE,TRUE),'19_Расчет_аналитики'!AI420*CapacityAge13*'19_Расчет_аналитики'!$F$211,0)</f>
        <v/>
      </c>
      <c r="AJ532">
        <f>IF(IF('01_Вводные'!$B$296="Новый сезон",TRUE,TRUE),'19_Расчет_аналитики'!AJ420*CapacityAge13*'19_Расчет_аналитики'!$F$211,0)</f>
        <v/>
      </c>
      <c r="AK532">
        <f>IF(IF('01_Вводные'!$B$296="Новый сезон",TRUE,TRUE),'19_Расчет_аналитики'!AK420*CapacityAge13*'19_Расчет_аналитики'!$F$211,0)</f>
        <v/>
      </c>
      <c r="AL532">
        <f>IF(IF('01_Вводные'!$B$296="Новый сезон",TRUE,TRUE),'19_Расчет_аналитики'!AL420*CapacityAge13*'19_Расчет_аналитики'!$F$211,0)</f>
        <v/>
      </c>
      <c r="AM532">
        <f>IF(IF('01_Вводные'!$B$296="Новый сезон",TRUE,TRUE),'19_Расчет_аналитики'!AM420*CapacityAge13*'19_Расчет_аналитики'!$F$211,0)</f>
        <v/>
      </c>
      <c r="AN532">
        <f>IF(IF('01_Вводные'!$B$296="Новый сезон",TRUE,TRUE),'19_Расчет_аналитики'!AN420*CapacityAge13*'19_Расчет_аналитики'!$F$211,0)</f>
        <v/>
      </c>
      <c r="AO532">
        <f>IF(IF('01_Вводные'!$B$296="Новый сезон",TRUE,TRUE),'19_Расчет_аналитики'!AO420*CapacityAge13*'19_Расчет_аналитики'!$F$211,0)</f>
        <v/>
      </c>
      <c r="AP532">
        <f>IF(IF('01_Вводные'!$B$296="Новый сезон",TRUE,TRUE),'19_Расчет_аналитики'!AP420*CapacityAge13*'19_Расчет_аналитики'!$F$211,0)</f>
        <v/>
      </c>
      <c r="AQ532">
        <f>IF(IF('01_Вводные'!$B$296="Новый сезон",TRUE,TRUE),'19_Расчет_аналитики'!AQ420*CapacityAge13*'19_Расчет_аналитики'!$F$211,0)</f>
        <v/>
      </c>
      <c r="AR532">
        <f>IF(IF('01_Вводные'!$B$296="Новый сезон",TRUE,TRUE),'19_Расчет_аналитики'!AR420*CapacityAge13*'19_Расчет_аналитики'!$F$211,0)</f>
        <v/>
      </c>
      <c r="AS532">
        <f>IF(IF('01_Вводные'!$B$296="Новый сезон",TRUE,TRUE),'19_Расчет_аналитики'!AS420*CapacityAge13*'19_Расчет_аналитики'!$F$211,0)</f>
        <v/>
      </c>
      <c r="AT532">
        <f>IF(IF('01_Вводные'!$B$296="Новый сезон",TRUE,TRUE),'19_Расчет_аналитики'!AT420*CapacityAge13*'19_Расчет_аналитики'!$F$211,0)</f>
        <v/>
      </c>
      <c r="AU532">
        <f>IF(IF('01_Вводные'!$B$296="Новый сезон",TRUE,TRUE),'19_Расчет_аналитики'!AU420*CapacityAge13*'19_Расчет_аналитики'!$F$211,0)</f>
        <v/>
      </c>
      <c r="AV532">
        <f>IF(IF('01_Вводные'!$B$296="Новый сезон",TRUE,TRUE),'19_Расчет_аналитики'!AV420*CapacityAge13*'19_Расчет_аналитики'!$F$211,0)</f>
        <v/>
      </c>
      <c r="AW532">
        <f>IF(IF('01_Вводные'!$B$296="Новый сезон",TRUE,TRUE),'19_Расчет_аналитики'!AW420*CapacityAge13*'19_Расчет_аналитики'!$F$211,0)</f>
        <v/>
      </c>
      <c r="AX532">
        <f>IF(IF('01_Вводные'!$B$296="Новый сезон",TRUE,TRUE),'19_Расчет_аналитики'!AX420*CapacityAge13*'19_Расчет_аналитики'!$F$211,0)</f>
        <v/>
      </c>
      <c r="AY532">
        <f>IF(IF('01_Вводные'!$B$296="Новый сезон",TRUE,TRUE),'19_Расчет_аналитики'!AY420*CapacityAge13*'19_Расчет_аналитики'!$F$211,0)</f>
        <v/>
      </c>
      <c r="AZ532">
        <f>IF(IF('01_Вводные'!$B$296="Новый сезон",TRUE,TRUE),'19_Расчет_аналитики'!AZ420*CapacityAge13*'19_Расчет_аналитики'!$F$211,0)</f>
        <v/>
      </c>
      <c r="BA532">
        <f>IF(IF('01_Вводные'!$B$296="Новый сезон",TRUE,TRUE),'19_Расчет_аналитики'!BA420*CapacityAge13*'19_Расчет_аналитики'!$F$211,0)</f>
        <v/>
      </c>
      <c r="BB532">
        <f>IF(IF('01_Вводные'!$B$296="Новый сезон",TRUE,TRUE),'19_Расчет_аналитики'!BB420*CapacityAge13*'19_Расчет_аналитики'!$F$211,0)</f>
        <v/>
      </c>
      <c r="BC532">
        <f>IF(IF('01_Вводные'!$B$296="Новый сезон",TRUE,TRUE),'19_Расчет_аналитики'!BC420*CapacityAge13*'19_Расчет_аналитики'!$F$211,0)</f>
        <v/>
      </c>
      <c r="BD532">
        <f>IF(IF('01_Вводные'!$B$296="Новый сезон",TRUE,TRUE),'19_Расчет_аналитики'!BD420*CapacityAge13*'19_Расчет_аналитики'!$F$211,0)</f>
        <v/>
      </c>
      <c r="BE532">
        <f>IF(IF('01_Вводные'!$B$296="Новый сезон",TRUE,TRUE),'19_Расчет_аналитики'!BE420*CapacityAge13*'19_Расчет_аналитики'!$F$211,0)</f>
        <v/>
      </c>
      <c r="BF532">
        <f>IF(IF('01_Вводные'!$B$296="Новый сезон",TRUE,TRUE),'19_Расчет_аналитики'!BF420*CapacityAge13*'19_Расчет_аналитики'!$F$211,0)</f>
        <v/>
      </c>
      <c r="BG532">
        <f>IF(IF('01_Вводные'!$B$296="Новый сезон",TRUE,TRUE),'19_Расчет_аналитики'!BG420*CapacityAge13*'19_Расчет_аналитики'!$F$211,0)</f>
        <v/>
      </c>
      <c r="BH532">
        <f>IF(IF('01_Вводные'!$B$296="Новый сезон",TRUE,TRUE),'19_Расчет_аналитики'!BH420*CapacityAge13*'19_Расчет_аналитики'!$F$211,0)</f>
        <v/>
      </c>
      <c r="BI532">
        <f>IF(IF('01_Вводные'!$B$296="Новый сезон",TRUE,TRUE),'19_Расчет_аналитики'!BI420*CapacityAge13*'19_Расчет_аналитики'!$F$211,0)</f>
        <v/>
      </c>
      <c r="BJ532">
        <f>IF(IF('01_Вводные'!$B$296="Новый сезон",TRUE,TRUE),'19_Расчет_аналитики'!BJ420*CapacityAge13*'19_Расчет_аналитики'!$F$211,0)</f>
        <v/>
      </c>
      <c r="BK532">
        <f>IF(IF('01_Вводные'!$B$296="Новый сезон",TRUE,TRUE),'19_Расчет_аналитики'!BK420*CapacityAge13*'19_Расчет_аналитики'!$F$211,0)</f>
        <v/>
      </c>
      <c r="BL532">
        <f>IF(IF('01_Вводные'!$B$296="Новый сезон",TRUE,TRUE),'19_Расчет_аналитики'!BL420*CapacityAge13*'19_Расчет_аналитики'!$F$211,0)</f>
        <v/>
      </c>
      <c r="BM532">
        <f>IF(IF('01_Вводные'!$B$296="Новый сезон",TRUE,TRUE),'19_Расчет_аналитики'!BM420*CapacityAge13*'19_Расчет_аналитики'!$F$211,0)</f>
        <v/>
      </c>
      <c r="BN532">
        <f>IF(IF('01_Вводные'!$B$296="Новый сезон",TRUE,TRUE),'19_Расчет_аналитики'!BN420*CapacityAge13*'19_Расчет_аналитики'!$F$211,0)</f>
        <v/>
      </c>
      <c r="BO532">
        <f>IF(IF('01_Вводные'!$B$296="Новый сезон",TRUE,TRUE),'19_Расчет_аналитики'!BO420*CapacityAge13*'19_Расчет_аналитики'!$F$211,0)</f>
        <v/>
      </c>
    </row>
    <row r="533">
      <c r="B533">
        <f>IF(IF('01_Вводные'!$B$296="Новый сезон",TRUE,TRUE),'06_Сеть_и_дети'!B66*CapacityAge14*'19_Расчет_аналитики'!$F$211,0)</f>
        <v/>
      </c>
      <c r="C533">
        <f>IF(IF('01_Вводные'!$B$296="Новый сезон",TRUE,TRUE),'06_Сеть_и_дети'!C66*CapacityAge14*'19_Расчет_аналитики'!$F$211,0)</f>
        <v/>
      </c>
      <c r="D533">
        <f>IF(IF('01_Вводные'!$B$296="Новый сезон",TRUE,TRUE),'06_Сеть_и_дети'!D66*CapacityAge14*'19_Расчет_аналитики'!$F$211,0)</f>
        <v/>
      </c>
      <c r="E533">
        <f>IF(IF('01_Вводные'!$B$296="Новый сезон",TRUE,TRUE),'06_Сеть_и_дети'!E66*CapacityAge14*'19_Расчет_аналитики'!$F$211,0)</f>
        <v/>
      </c>
      <c r="F533">
        <f>IF(IF('01_Вводные'!$B$296="Новый сезон",TRUE,TRUE),'06_Сеть_и_дети'!F66*CapacityAge14*'19_Расчет_аналитики'!$F$211,0)</f>
        <v/>
      </c>
      <c r="G533">
        <f>IF(IF('01_Вводные'!$B$296="Новый сезон",TRUE,TRUE),'06_Сеть_и_дети'!G66*CapacityAge14*'19_Расчет_аналитики'!$F$211,0)</f>
        <v/>
      </c>
      <c r="H533">
        <f>IF(IF('01_Вводные'!$B$296="Новый сезон",TRUE,TRUE),'06_Сеть_и_дети'!H66*CapacityAge14*'19_Расчет_аналитики'!$F$211,0)</f>
        <v/>
      </c>
      <c r="I533">
        <f>IF(IF('01_Вводные'!$B$296="Новый сезон",TRUE,TRUE),'06_Сеть_и_дети'!I66*CapacityAge14*'19_Расчет_аналитики'!$F$211,0)</f>
        <v/>
      </c>
      <c r="J533">
        <f>IF(IF('01_Вводные'!$B$296="Новый сезон",TRUE,TRUE),'06_Сеть_и_дети'!J66*CapacityAge14*'19_Расчет_аналитики'!$F$211,0)</f>
        <v/>
      </c>
      <c r="K533">
        <f>IF(IF('01_Вводные'!$B$296="Новый сезон",TRUE,TRUE),'06_Сеть_и_дети'!K66*CapacityAge14*'19_Расчет_аналитики'!$F$211,0)</f>
        <v/>
      </c>
      <c r="L533">
        <f>IF(IF('01_Вводные'!$B$296="Новый сезон",TRUE,TRUE),'06_Сеть_и_дети'!L66*CapacityAge14*'19_Расчет_аналитики'!$F$211,0)</f>
        <v/>
      </c>
      <c r="M533">
        <f>IF(IF('01_Вводные'!$B$296="Новый сезон",TRUE,TRUE),'06_Сеть_и_дети'!M66*CapacityAge14*'19_Расчет_аналитики'!$F$211,0)</f>
        <v/>
      </c>
      <c r="N533">
        <f>IF(IF('01_Вводные'!$B$296="Новый сезон",TRUE,TRUE),'06_Сеть_и_дети'!N66*CapacityAge14*'19_Расчет_аналитики'!$F$211,0)</f>
        <v/>
      </c>
      <c r="O533">
        <f>IF(IF('01_Вводные'!$B$296="Новый сезон",TRUE,TRUE),'19_Расчет_аналитики'!O421*CapacityAge14*'19_Расчет_аналитики'!$F$211,0)</f>
        <v/>
      </c>
      <c r="P533">
        <f>IF(IF('01_Вводные'!$B$296="Новый сезон",TRUE,TRUE),'19_Расчет_аналитики'!P421*CapacityAge14*'19_Расчет_аналитики'!$F$211,0)</f>
        <v/>
      </c>
      <c r="Q533">
        <f>IF(IF('01_Вводные'!$B$296="Новый сезон",TRUE,TRUE),'19_Расчет_аналитики'!Q421*CapacityAge14*'19_Расчет_аналитики'!$F$211,0)</f>
        <v/>
      </c>
      <c r="R533">
        <f>IF(IF('01_Вводные'!$B$296="Новый сезон",TRUE,TRUE),'19_Расчет_аналитики'!R421*CapacityAge14*'19_Расчет_аналитики'!$F$211,0)</f>
        <v/>
      </c>
      <c r="S533">
        <f>IF(IF('01_Вводные'!$B$296="Новый сезон",TRUE,TRUE),'19_Расчет_аналитики'!S421*CapacityAge14*'19_Расчет_аналитики'!$F$211,0)</f>
        <v/>
      </c>
      <c r="T533">
        <f>IF(IF('01_Вводные'!$B$296="Новый сезон",TRUE,TRUE),'19_Расчет_аналитики'!T421*CapacityAge14*'19_Расчет_аналитики'!$F$211,0)</f>
        <v/>
      </c>
      <c r="U533">
        <f>IF(IF('01_Вводные'!$B$296="Новый сезон",TRUE,TRUE),'19_Расчет_аналитики'!U421*CapacityAge14*'19_Расчет_аналитики'!$F$211,0)</f>
        <v/>
      </c>
      <c r="V533">
        <f>IF(IF('01_Вводные'!$B$296="Новый сезон",TRUE,TRUE),'19_Расчет_аналитики'!V421*CapacityAge14*'19_Расчет_аналитики'!$F$211,0)</f>
        <v/>
      </c>
      <c r="W533">
        <f>IF(IF('01_Вводные'!$B$296="Новый сезон",TRUE,TRUE),'19_Расчет_аналитики'!W421*CapacityAge14*'19_Расчет_аналитики'!$F$211,0)</f>
        <v/>
      </c>
      <c r="X533">
        <f>IF(IF('01_Вводные'!$B$296="Новый сезон",TRUE,TRUE),'19_Расчет_аналитики'!X421*CapacityAge14*'19_Расчет_аналитики'!$F$211,0)</f>
        <v/>
      </c>
      <c r="Y533">
        <f>IF(IF('01_Вводные'!$B$296="Новый сезон",TRUE,TRUE),'19_Расчет_аналитики'!Y421*CapacityAge14*'19_Расчет_аналитики'!$F$211,0)</f>
        <v/>
      </c>
      <c r="Z533">
        <f>IF(IF('01_Вводные'!$B$296="Новый сезон",TRUE,TRUE),'19_Расчет_аналитики'!Z421*CapacityAge14*'19_Расчет_аналитики'!$F$211,0)</f>
        <v/>
      </c>
      <c r="AA533">
        <f>IF(IF('01_Вводные'!$B$296="Новый сезон",TRUE,TRUE),'19_Расчет_аналитики'!AA421*CapacityAge14*'19_Расчет_аналитики'!$F$211,0)</f>
        <v/>
      </c>
      <c r="AB533">
        <f>IF(IF('01_Вводные'!$B$296="Новый сезон",TRUE,TRUE),'19_Расчет_аналитики'!AB421*CapacityAge14*'19_Расчет_аналитики'!$F$211,0)</f>
        <v/>
      </c>
      <c r="AC533">
        <f>IF(IF('01_Вводные'!$B$296="Новый сезон",TRUE,TRUE),'19_Расчет_аналитики'!AC421*CapacityAge14*'19_Расчет_аналитики'!$F$211,0)</f>
        <v/>
      </c>
      <c r="AD533">
        <f>IF(IF('01_Вводные'!$B$296="Новый сезон",TRUE,TRUE),'19_Расчет_аналитики'!AD421*CapacityAge14*'19_Расчет_аналитики'!$F$211,0)</f>
        <v/>
      </c>
      <c r="AE533">
        <f>IF(IF('01_Вводные'!$B$296="Новый сезон",TRUE,TRUE),'19_Расчет_аналитики'!AE421*CapacityAge14*'19_Расчет_аналитики'!$F$211,0)</f>
        <v/>
      </c>
      <c r="AF533">
        <f>IF(IF('01_Вводные'!$B$296="Новый сезон",TRUE,TRUE),'19_Расчет_аналитики'!AF421*CapacityAge14*'19_Расчет_аналитики'!$F$211,0)</f>
        <v/>
      </c>
      <c r="AG533">
        <f>IF(IF('01_Вводные'!$B$296="Новый сезон",TRUE,TRUE),'19_Расчет_аналитики'!AG421*CapacityAge14*'19_Расчет_аналитики'!$F$211,0)</f>
        <v/>
      </c>
      <c r="AH533">
        <f>IF(IF('01_Вводные'!$B$296="Новый сезон",TRUE,TRUE),'19_Расчет_аналитики'!AH421*CapacityAge14*'19_Расчет_аналитики'!$F$211,0)</f>
        <v/>
      </c>
      <c r="AI533">
        <f>IF(IF('01_Вводные'!$B$296="Новый сезон",TRUE,TRUE),'19_Расчет_аналитики'!AI421*CapacityAge14*'19_Расчет_аналитики'!$F$211,0)</f>
        <v/>
      </c>
      <c r="AJ533">
        <f>IF(IF('01_Вводные'!$B$296="Новый сезон",TRUE,TRUE),'19_Расчет_аналитики'!AJ421*CapacityAge14*'19_Расчет_аналитики'!$F$211,0)</f>
        <v/>
      </c>
      <c r="AK533">
        <f>IF(IF('01_Вводные'!$B$296="Новый сезон",TRUE,TRUE),'19_Расчет_аналитики'!AK421*CapacityAge14*'19_Расчет_аналитики'!$F$211,0)</f>
        <v/>
      </c>
      <c r="AL533">
        <f>IF(IF('01_Вводные'!$B$296="Новый сезон",TRUE,TRUE),'19_Расчет_аналитики'!AL421*CapacityAge14*'19_Расчет_аналитики'!$F$211,0)</f>
        <v/>
      </c>
      <c r="AM533">
        <f>IF(IF('01_Вводные'!$B$296="Новый сезон",TRUE,TRUE),'19_Расчет_аналитики'!AM421*CapacityAge14*'19_Расчет_аналитики'!$F$211,0)</f>
        <v/>
      </c>
      <c r="AN533">
        <f>IF(IF('01_Вводные'!$B$296="Новый сезон",TRUE,TRUE),'19_Расчет_аналитики'!AN421*CapacityAge14*'19_Расчет_аналитики'!$F$211,0)</f>
        <v/>
      </c>
      <c r="AO533">
        <f>IF(IF('01_Вводные'!$B$296="Новый сезон",TRUE,TRUE),'19_Расчет_аналитики'!AO421*CapacityAge14*'19_Расчет_аналитики'!$F$211,0)</f>
        <v/>
      </c>
      <c r="AP533">
        <f>IF(IF('01_Вводные'!$B$296="Новый сезон",TRUE,TRUE),'19_Расчет_аналитики'!AP421*CapacityAge14*'19_Расчет_аналитики'!$F$211,0)</f>
        <v/>
      </c>
      <c r="AQ533">
        <f>IF(IF('01_Вводные'!$B$296="Новый сезон",TRUE,TRUE),'19_Расчет_аналитики'!AQ421*CapacityAge14*'19_Расчет_аналитики'!$F$211,0)</f>
        <v/>
      </c>
      <c r="AR533">
        <f>IF(IF('01_Вводные'!$B$296="Новый сезон",TRUE,TRUE),'19_Расчет_аналитики'!AR421*CapacityAge14*'19_Расчет_аналитики'!$F$211,0)</f>
        <v/>
      </c>
      <c r="AS533">
        <f>IF(IF('01_Вводные'!$B$296="Новый сезон",TRUE,TRUE),'19_Расчет_аналитики'!AS421*CapacityAge14*'19_Расчет_аналитики'!$F$211,0)</f>
        <v/>
      </c>
      <c r="AT533">
        <f>IF(IF('01_Вводные'!$B$296="Новый сезон",TRUE,TRUE),'19_Расчет_аналитики'!AT421*CapacityAge14*'19_Расчет_аналитики'!$F$211,0)</f>
        <v/>
      </c>
      <c r="AU533">
        <f>IF(IF('01_Вводные'!$B$296="Новый сезон",TRUE,TRUE),'19_Расчет_аналитики'!AU421*CapacityAge14*'19_Расчет_аналитики'!$F$211,0)</f>
        <v/>
      </c>
      <c r="AV533">
        <f>IF(IF('01_Вводные'!$B$296="Новый сезон",TRUE,TRUE),'19_Расчет_аналитики'!AV421*CapacityAge14*'19_Расчет_аналитики'!$F$211,0)</f>
        <v/>
      </c>
      <c r="AW533">
        <f>IF(IF('01_Вводные'!$B$296="Новый сезон",TRUE,TRUE),'19_Расчет_аналитики'!AW421*CapacityAge14*'19_Расчет_аналитики'!$F$211,0)</f>
        <v/>
      </c>
      <c r="AX533">
        <f>IF(IF('01_Вводные'!$B$296="Новый сезон",TRUE,TRUE),'19_Расчет_аналитики'!AX421*CapacityAge14*'19_Расчет_аналитики'!$F$211,0)</f>
        <v/>
      </c>
      <c r="AY533">
        <f>IF(IF('01_Вводные'!$B$296="Новый сезон",TRUE,TRUE),'19_Расчет_аналитики'!AY421*CapacityAge14*'19_Расчет_аналитики'!$F$211,0)</f>
        <v/>
      </c>
      <c r="AZ533">
        <f>IF(IF('01_Вводные'!$B$296="Новый сезон",TRUE,TRUE),'19_Расчет_аналитики'!AZ421*CapacityAge14*'19_Расчет_аналитики'!$F$211,0)</f>
        <v/>
      </c>
      <c r="BA533">
        <f>IF(IF('01_Вводные'!$B$296="Новый сезон",TRUE,TRUE),'19_Расчет_аналитики'!BA421*CapacityAge14*'19_Расчет_аналитики'!$F$211,0)</f>
        <v/>
      </c>
      <c r="BB533">
        <f>IF(IF('01_Вводные'!$B$296="Новый сезон",TRUE,TRUE),'19_Расчет_аналитики'!BB421*CapacityAge14*'19_Расчет_аналитики'!$F$211,0)</f>
        <v/>
      </c>
      <c r="BC533">
        <f>IF(IF('01_Вводные'!$B$296="Новый сезон",TRUE,TRUE),'19_Расчет_аналитики'!BC421*CapacityAge14*'19_Расчет_аналитики'!$F$211,0)</f>
        <v/>
      </c>
      <c r="BD533">
        <f>IF(IF('01_Вводные'!$B$296="Новый сезон",TRUE,TRUE),'19_Расчет_аналитики'!BD421*CapacityAge14*'19_Расчет_аналитики'!$F$211,0)</f>
        <v/>
      </c>
      <c r="BE533">
        <f>IF(IF('01_Вводные'!$B$296="Новый сезон",TRUE,TRUE),'19_Расчет_аналитики'!BE421*CapacityAge14*'19_Расчет_аналитики'!$F$211,0)</f>
        <v/>
      </c>
      <c r="BF533">
        <f>IF(IF('01_Вводные'!$B$296="Новый сезон",TRUE,TRUE),'19_Расчет_аналитики'!BF421*CapacityAge14*'19_Расчет_аналитики'!$F$211,0)</f>
        <v/>
      </c>
      <c r="BG533">
        <f>IF(IF('01_Вводные'!$B$296="Новый сезон",TRUE,TRUE),'19_Расчет_аналитики'!BG421*CapacityAge14*'19_Расчет_аналитики'!$F$211,0)</f>
        <v/>
      </c>
      <c r="BH533">
        <f>IF(IF('01_Вводные'!$B$296="Новый сезон",TRUE,TRUE),'19_Расчет_аналитики'!BH421*CapacityAge14*'19_Расчет_аналитики'!$F$211,0)</f>
        <v/>
      </c>
      <c r="BI533">
        <f>IF(IF('01_Вводные'!$B$296="Новый сезон",TRUE,TRUE),'19_Расчет_аналитики'!BI421*CapacityAge14*'19_Расчет_аналитики'!$F$211,0)</f>
        <v/>
      </c>
      <c r="BJ533">
        <f>IF(IF('01_Вводные'!$B$296="Новый сезон",TRUE,TRUE),'19_Расчет_аналитики'!BJ421*CapacityAge14*'19_Расчет_аналитики'!$F$211,0)</f>
        <v/>
      </c>
      <c r="BK533">
        <f>IF(IF('01_Вводные'!$B$296="Новый сезон",TRUE,TRUE),'19_Расчет_аналитики'!BK421*CapacityAge14*'19_Расчет_аналитики'!$F$211,0)</f>
        <v/>
      </c>
      <c r="BL533">
        <f>IF(IF('01_Вводные'!$B$296="Новый сезон",TRUE,TRUE),'19_Расчет_аналитики'!BL421*CapacityAge14*'19_Расчет_аналитики'!$F$211,0)</f>
        <v/>
      </c>
      <c r="BM533">
        <f>IF(IF('01_Вводные'!$B$296="Новый сезон",TRUE,TRUE),'19_Расчет_аналитики'!BM421*CapacityAge14*'19_Расчет_аналитики'!$F$211,0)</f>
        <v/>
      </c>
      <c r="BN533">
        <f>IF(IF('01_Вводные'!$B$296="Новый сезон",TRUE,TRUE),'19_Расчет_аналитики'!BN421*CapacityAge14*'19_Расчет_аналитики'!$F$211,0)</f>
        <v/>
      </c>
      <c r="BO533">
        <f>IF(IF('01_Вводные'!$B$296="Новый сезон",TRUE,TRUE),'19_Расчет_аналитики'!BO421*CapacityAge14*'19_Расчет_аналитики'!$F$211,0)</f>
        <v/>
      </c>
    </row>
    <row r="534">
      <c r="B534">
        <f>IF(IF('01_Вводные'!$B$296="Новый сезон",TRUE,TRUE),'06_Сеть_и_дети'!B67*CapacityAge15*'19_Расчет_аналитики'!$F$211,0)</f>
        <v/>
      </c>
      <c r="C534">
        <f>IF(IF('01_Вводные'!$B$296="Новый сезон",TRUE,TRUE),'06_Сеть_и_дети'!C67*CapacityAge15*'19_Расчет_аналитики'!$F$211,0)</f>
        <v/>
      </c>
      <c r="D534">
        <f>IF(IF('01_Вводные'!$B$296="Новый сезон",TRUE,TRUE),'06_Сеть_и_дети'!D67*CapacityAge15*'19_Расчет_аналитики'!$F$211,0)</f>
        <v/>
      </c>
      <c r="E534">
        <f>IF(IF('01_Вводные'!$B$296="Новый сезон",TRUE,TRUE),'06_Сеть_и_дети'!E67*CapacityAge15*'19_Расчет_аналитики'!$F$211,0)</f>
        <v/>
      </c>
      <c r="F534">
        <f>IF(IF('01_Вводные'!$B$296="Новый сезон",TRUE,TRUE),'06_Сеть_и_дети'!F67*CapacityAge15*'19_Расчет_аналитики'!$F$211,0)</f>
        <v/>
      </c>
      <c r="G534">
        <f>IF(IF('01_Вводные'!$B$296="Новый сезон",TRUE,TRUE),'06_Сеть_и_дети'!G67*CapacityAge15*'19_Расчет_аналитики'!$F$211,0)</f>
        <v/>
      </c>
      <c r="H534">
        <f>IF(IF('01_Вводные'!$B$296="Новый сезон",TRUE,TRUE),'06_Сеть_и_дети'!H67*CapacityAge15*'19_Расчет_аналитики'!$F$211,0)</f>
        <v/>
      </c>
      <c r="I534">
        <f>IF(IF('01_Вводные'!$B$296="Новый сезон",TRUE,TRUE),'06_Сеть_и_дети'!I67*CapacityAge15*'19_Расчет_аналитики'!$F$211,0)</f>
        <v/>
      </c>
      <c r="J534">
        <f>IF(IF('01_Вводные'!$B$296="Новый сезон",TRUE,TRUE),'06_Сеть_и_дети'!J67*CapacityAge15*'19_Расчет_аналитики'!$F$211,0)</f>
        <v/>
      </c>
      <c r="K534">
        <f>IF(IF('01_Вводные'!$B$296="Новый сезон",TRUE,TRUE),'06_Сеть_и_дети'!K67*CapacityAge15*'19_Расчет_аналитики'!$F$211,0)</f>
        <v/>
      </c>
      <c r="L534">
        <f>IF(IF('01_Вводные'!$B$296="Новый сезон",TRUE,TRUE),'06_Сеть_и_дети'!L67*CapacityAge15*'19_Расчет_аналитики'!$F$211,0)</f>
        <v/>
      </c>
      <c r="M534">
        <f>IF(IF('01_Вводные'!$B$296="Новый сезон",TRUE,TRUE),'06_Сеть_и_дети'!M67*CapacityAge15*'19_Расчет_аналитики'!$F$211,0)</f>
        <v/>
      </c>
      <c r="N534">
        <f>IF(IF('01_Вводные'!$B$296="Новый сезон",TRUE,TRUE),'06_Сеть_и_дети'!N67*CapacityAge15*'19_Расчет_аналитики'!$F$211,0)</f>
        <v/>
      </c>
      <c r="O534">
        <f>IF(IF('01_Вводные'!$B$296="Новый сезон",TRUE,TRUE),'06_Сеть_и_дети'!O67*CapacityAge15*'19_Расчет_аналитики'!$F$211,0)</f>
        <v/>
      </c>
      <c r="P534">
        <f>IF(IF('01_Вводные'!$B$296="Новый сезон",TRUE,TRUE),'19_Расчет_аналитики'!P422*CapacityAge15*'19_Расчет_аналитики'!$F$211,0)</f>
        <v/>
      </c>
      <c r="Q534">
        <f>IF(IF('01_Вводные'!$B$296="Новый сезон",TRUE,TRUE),'19_Расчет_аналитики'!Q422*CapacityAge15*'19_Расчет_аналитики'!$F$211,0)</f>
        <v/>
      </c>
      <c r="R534">
        <f>IF(IF('01_Вводные'!$B$296="Новый сезон",TRUE,TRUE),'19_Расчет_аналитики'!R422*CapacityAge15*'19_Расчет_аналитики'!$F$211,0)</f>
        <v/>
      </c>
      <c r="S534">
        <f>IF(IF('01_Вводные'!$B$296="Новый сезон",TRUE,TRUE),'19_Расчет_аналитики'!S422*CapacityAge15*'19_Расчет_аналитики'!$F$211,0)</f>
        <v/>
      </c>
      <c r="T534">
        <f>IF(IF('01_Вводные'!$B$296="Новый сезон",TRUE,TRUE),'19_Расчет_аналитики'!T422*CapacityAge15*'19_Расчет_аналитики'!$F$211,0)</f>
        <v/>
      </c>
      <c r="U534">
        <f>IF(IF('01_Вводные'!$B$296="Новый сезон",TRUE,TRUE),'19_Расчет_аналитики'!U422*CapacityAge15*'19_Расчет_аналитики'!$F$211,0)</f>
        <v/>
      </c>
      <c r="V534">
        <f>IF(IF('01_Вводные'!$B$296="Новый сезон",TRUE,TRUE),'19_Расчет_аналитики'!V422*CapacityAge15*'19_Расчет_аналитики'!$F$211,0)</f>
        <v/>
      </c>
      <c r="W534">
        <f>IF(IF('01_Вводные'!$B$296="Новый сезон",TRUE,TRUE),'19_Расчет_аналитики'!W422*CapacityAge15*'19_Расчет_аналитики'!$F$211,0)</f>
        <v/>
      </c>
      <c r="X534">
        <f>IF(IF('01_Вводные'!$B$296="Новый сезон",TRUE,TRUE),'19_Расчет_аналитики'!X422*CapacityAge15*'19_Расчет_аналитики'!$F$211,0)</f>
        <v/>
      </c>
      <c r="Y534">
        <f>IF(IF('01_Вводные'!$B$296="Новый сезон",TRUE,TRUE),'19_Расчет_аналитики'!Y422*CapacityAge15*'19_Расчет_аналитики'!$F$211,0)</f>
        <v/>
      </c>
      <c r="Z534">
        <f>IF(IF('01_Вводные'!$B$296="Новый сезон",TRUE,TRUE),'19_Расчет_аналитики'!Z422*CapacityAge15*'19_Расчет_аналитики'!$F$211,0)</f>
        <v/>
      </c>
      <c r="AA534">
        <f>IF(IF('01_Вводные'!$B$296="Новый сезон",TRUE,TRUE),'19_Расчет_аналитики'!AA422*CapacityAge15*'19_Расчет_аналитики'!$F$211,0)</f>
        <v/>
      </c>
      <c r="AB534">
        <f>IF(IF('01_Вводные'!$B$296="Новый сезон",TRUE,TRUE),'19_Расчет_аналитики'!AB422*CapacityAge15*'19_Расчет_аналитики'!$F$211,0)</f>
        <v/>
      </c>
      <c r="AC534">
        <f>IF(IF('01_Вводные'!$B$296="Новый сезон",TRUE,TRUE),'19_Расчет_аналитики'!AC422*CapacityAge15*'19_Расчет_аналитики'!$F$211,0)</f>
        <v/>
      </c>
      <c r="AD534">
        <f>IF(IF('01_Вводные'!$B$296="Новый сезон",TRUE,TRUE),'19_Расчет_аналитики'!AD422*CapacityAge15*'19_Расчет_аналитики'!$F$211,0)</f>
        <v/>
      </c>
      <c r="AE534">
        <f>IF(IF('01_Вводные'!$B$296="Новый сезон",TRUE,TRUE),'19_Расчет_аналитики'!AE422*CapacityAge15*'19_Расчет_аналитики'!$F$211,0)</f>
        <v/>
      </c>
      <c r="AF534">
        <f>IF(IF('01_Вводные'!$B$296="Новый сезон",TRUE,TRUE),'19_Расчет_аналитики'!AF422*CapacityAge15*'19_Расчет_аналитики'!$F$211,0)</f>
        <v/>
      </c>
      <c r="AG534">
        <f>IF(IF('01_Вводные'!$B$296="Новый сезон",TRUE,TRUE),'19_Расчет_аналитики'!AG422*CapacityAge15*'19_Расчет_аналитики'!$F$211,0)</f>
        <v/>
      </c>
      <c r="AH534">
        <f>IF(IF('01_Вводные'!$B$296="Новый сезон",TRUE,TRUE),'19_Расчет_аналитики'!AH422*CapacityAge15*'19_Расчет_аналитики'!$F$211,0)</f>
        <v/>
      </c>
      <c r="AI534">
        <f>IF(IF('01_Вводные'!$B$296="Новый сезон",TRUE,TRUE),'19_Расчет_аналитики'!AI422*CapacityAge15*'19_Расчет_аналитики'!$F$211,0)</f>
        <v/>
      </c>
      <c r="AJ534">
        <f>IF(IF('01_Вводные'!$B$296="Новый сезон",TRUE,TRUE),'19_Расчет_аналитики'!AJ422*CapacityAge15*'19_Расчет_аналитики'!$F$211,0)</f>
        <v/>
      </c>
      <c r="AK534">
        <f>IF(IF('01_Вводные'!$B$296="Новый сезон",TRUE,TRUE),'19_Расчет_аналитики'!AK422*CapacityAge15*'19_Расчет_аналитики'!$F$211,0)</f>
        <v/>
      </c>
      <c r="AL534">
        <f>IF(IF('01_Вводные'!$B$296="Новый сезон",TRUE,TRUE),'19_Расчет_аналитики'!AL422*CapacityAge15*'19_Расчет_аналитики'!$F$211,0)</f>
        <v/>
      </c>
      <c r="AM534">
        <f>IF(IF('01_Вводные'!$B$296="Новый сезон",TRUE,TRUE),'19_Расчет_аналитики'!AM422*CapacityAge15*'19_Расчет_аналитики'!$F$211,0)</f>
        <v/>
      </c>
      <c r="AN534">
        <f>IF(IF('01_Вводные'!$B$296="Новый сезон",TRUE,TRUE),'19_Расчет_аналитики'!AN422*CapacityAge15*'19_Расчет_аналитики'!$F$211,0)</f>
        <v/>
      </c>
      <c r="AO534">
        <f>IF(IF('01_Вводные'!$B$296="Новый сезон",TRUE,TRUE),'19_Расчет_аналитики'!AO422*CapacityAge15*'19_Расчет_аналитики'!$F$211,0)</f>
        <v/>
      </c>
      <c r="AP534">
        <f>IF(IF('01_Вводные'!$B$296="Новый сезон",TRUE,TRUE),'19_Расчет_аналитики'!AP422*CapacityAge15*'19_Расчет_аналитики'!$F$211,0)</f>
        <v/>
      </c>
      <c r="AQ534">
        <f>IF(IF('01_Вводные'!$B$296="Новый сезон",TRUE,TRUE),'19_Расчет_аналитики'!AQ422*CapacityAge15*'19_Расчет_аналитики'!$F$211,0)</f>
        <v/>
      </c>
      <c r="AR534">
        <f>IF(IF('01_Вводные'!$B$296="Новый сезон",TRUE,TRUE),'19_Расчет_аналитики'!AR422*CapacityAge15*'19_Расчет_аналитики'!$F$211,0)</f>
        <v/>
      </c>
      <c r="AS534">
        <f>IF(IF('01_Вводные'!$B$296="Новый сезон",TRUE,TRUE),'19_Расчет_аналитики'!AS422*CapacityAge15*'19_Расчет_аналитики'!$F$211,0)</f>
        <v/>
      </c>
      <c r="AT534">
        <f>IF(IF('01_Вводные'!$B$296="Новый сезон",TRUE,TRUE),'19_Расчет_аналитики'!AT422*CapacityAge15*'19_Расчет_аналитики'!$F$211,0)</f>
        <v/>
      </c>
      <c r="AU534">
        <f>IF(IF('01_Вводные'!$B$296="Новый сезон",TRUE,TRUE),'19_Расчет_аналитики'!AU422*CapacityAge15*'19_Расчет_аналитики'!$F$211,0)</f>
        <v/>
      </c>
      <c r="AV534">
        <f>IF(IF('01_Вводные'!$B$296="Новый сезон",TRUE,TRUE),'19_Расчет_аналитики'!AV422*CapacityAge15*'19_Расчет_аналитики'!$F$211,0)</f>
        <v/>
      </c>
      <c r="AW534">
        <f>IF(IF('01_Вводные'!$B$296="Новый сезон",TRUE,TRUE),'19_Расчет_аналитики'!AW422*CapacityAge15*'19_Расчет_аналитики'!$F$211,0)</f>
        <v/>
      </c>
      <c r="AX534">
        <f>IF(IF('01_Вводные'!$B$296="Новый сезон",TRUE,TRUE),'19_Расчет_аналитики'!AX422*CapacityAge15*'19_Расчет_аналитики'!$F$211,0)</f>
        <v/>
      </c>
      <c r="AY534">
        <f>IF(IF('01_Вводные'!$B$296="Новый сезон",TRUE,TRUE),'19_Расчет_аналитики'!AY422*CapacityAge15*'19_Расчет_аналитики'!$F$211,0)</f>
        <v/>
      </c>
      <c r="AZ534">
        <f>IF(IF('01_Вводные'!$B$296="Новый сезон",TRUE,TRUE),'19_Расчет_аналитики'!AZ422*CapacityAge15*'19_Расчет_аналитики'!$F$211,0)</f>
        <v/>
      </c>
      <c r="BA534">
        <f>IF(IF('01_Вводные'!$B$296="Новый сезон",TRUE,TRUE),'19_Расчет_аналитики'!BA422*CapacityAge15*'19_Расчет_аналитики'!$F$211,0)</f>
        <v/>
      </c>
      <c r="BB534">
        <f>IF(IF('01_Вводные'!$B$296="Новый сезон",TRUE,TRUE),'19_Расчет_аналитики'!BB422*CapacityAge15*'19_Расчет_аналитики'!$F$211,0)</f>
        <v/>
      </c>
      <c r="BC534">
        <f>IF(IF('01_Вводные'!$B$296="Новый сезон",TRUE,TRUE),'19_Расчет_аналитики'!BC422*CapacityAge15*'19_Расчет_аналитики'!$F$211,0)</f>
        <v/>
      </c>
      <c r="BD534">
        <f>IF(IF('01_Вводные'!$B$296="Новый сезон",TRUE,TRUE),'19_Расчет_аналитики'!BD422*CapacityAge15*'19_Расчет_аналитики'!$F$211,0)</f>
        <v/>
      </c>
      <c r="BE534">
        <f>IF(IF('01_Вводные'!$B$296="Новый сезон",TRUE,TRUE),'19_Расчет_аналитики'!BE422*CapacityAge15*'19_Расчет_аналитики'!$F$211,0)</f>
        <v/>
      </c>
      <c r="BF534">
        <f>IF(IF('01_Вводные'!$B$296="Новый сезон",TRUE,TRUE),'19_Расчет_аналитики'!BF422*CapacityAge15*'19_Расчет_аналитики'!$F$211,0)</f>
        <v/>
      </c>
      <c r="BG534">
        <f>IF(IF('01_Вводные'!$B$296="Новый сезон",TRUE,TRUE),'19_Расчет_аналитики'!BG422*CapacityAge15*'19_Расчет_аналитики'!$F$211,0)</f>
        <v/>
      </c>
      <c r="BH534">
        <f>IF(IF('01_Вводные'!$B$296="Новый сезон",TRUE,TRUE),'19_Расчет_аналитики'!BH422*CapacityAge15*'19_Расчет_аналитики'!$F$211,0)</f>
        <v/>
      </c>
      <c r="BI534">
        <f>IF(IF('01_Вводные'!$B$296="Новый сезон",TRUE,TRUE),'19_Расчет_аналитики'!BI422*CapacityAge15*'19_Расчет_аналитики'!$F$211,0)</f>
        <v/>
      </c>
      <c r="BJ534">
        <f>IF(IF('01_Вводные'!$B$296="Новый сезон",TRUE,TRUE),'19_Расчет_аналитики'!BJ422*CapacityAge15*'19_Расчет_аналитики'!$F$211,0)</f>
        <v/>
      </c>
      <c r="BK534">
        <f>IF(IF('01_Вводные'!$B$296="Новый сезон",TRUE,TRUE),'19_Расчет_аналитики'!BK422*CapacityAge15*'19_Расчет_аналитики'!$F$211,0)</f>
        <v/>
      </c>
      <c r="BL534">
        <f>IF(IF('01_Вводные'!$B$296="Новый сезон",TRUE,TRUE),'19_Расчет_аналитики'!BL422*CapacityAge15*'19_Расчет_аналитики'!$F$211,0)</f>
        <v/>
      </c>
      <c r="BM534">
        <f>IF(IF('01_Вводные'!$B$296="Новый сезон",TRUE,TRUE),'19_Расчет_аналитики'!BM422*CapacityAge15*'19_Расчет_аналитики'!$F$211,0)</f>
        <v/>
      </c>
      <c r="BN534">
        <f>IF(IF('01_Вводные'!$B$296="Новый сезон",TRUE,TRUE),'19_Расчет_аналитики'!BN422*CapacityAge15*'19_Расчет_аналитики'!$F$211,0)</f>
        <v/>
      </c>
      <c r="BO534">
        <f>IF(IF('01_Вводные'!$B$296="Новый сезон",TRUE,TRUE),'19_Расчет_аналитики'!BO422*CapacityAge15*'19_Расчет_аналитики'!$F$211,0)</f>
        <v/>
      </c>
    </row>
    <row r="535">
      <c r="B535">
        <f>IF(IF('01_Вводные'!$B$296="Новый сезон",TRUE,TRUE),'06_Сеть_и_дети'!B68*CapacityAge16*'19_Расчет_аналитики'!$F$211,0)</f>
        <v/>
      </c>
      <c r="C535">
        <f>IF(IF('01_Вводные'!$B$296="Новый сезон",TRUE,TRUE),'06_Сеть_и_дети'!C68*CapacityAge16*'19_Расчет_аналитики'!$F$211,0)</f>
        <v/>
      </c>
      <c r="D535">
        <f>IF(IF('01_Вводные'!$B$296="Новый сезон",TRUE,TRUE),'06_Сеть_и_дети'!D68*CapacityAge16*'19_Расчет_аналитики'!$F$211,0)</f>
        <v/>
      </c>
      <c r="E535">
        <f>IF(IF('01_Вводные'!$B$296="Новый сезон",TRUE,TRUE),'06_Сеть_и_дети'!E68*CapacityAge16*'19_Расчет_аналитики'!$F$211,0)</f>
        <v/>
      </c>
      <c r="F535">
        <f>IF(IF('01_Вводные'!$B$296="Новый сезон",TRUE,TRUE),'06_Сеть_и_дети'!F68*CapacityAge16*'19_Расчет_аналитики'!$F$211,0)</f>
        <v/>
      </c>
      <c r="G535">
        <f>IF(IF('01_Вводные'!$B$296="Новый сезон",TRUE,TRUE),'06_Сеть_и_дети'!G68*CapacityAge16*'19_Расчет_аналитики'!$F$211,0)</f>
        <v/>
      </c>
      <c r="H535">
        <f>IF(IF('01_Вводные'!$B$296="Новый сезон",TRUE,TRUE),'06_Сеть_и_дети'!H68*CapacityAge16*'19_Расчет_аналитики'!$F$211,0)</f>
        <v/>
      </c>
      <c r="I535">
        <f>IF(IF('01_Вводные'!$B$296="Новый сезон",TRUE,TRUE),'06_Сеть_и_дети'!I68*CapacityAge16*'19_Расчет_аналитики'!$F$211,0)</f>
        <v/>
      </c>
      <c r="J535">
        <f>IF(IF('01_Вводные'!$B$296="Новый сезон",TRUE,TRUE),'06_Сеть_и_дети'!J68*CapacityAge16*'19_Расчет_аналитики'!$F$211,0)</f>
        <v/>
      </c>
      <c r="K535">
        <f>IF(IF('01_Вводные'!$B$296="Новый сезон",TRUE,TRUE),'06_Сеть_и_дети'!K68*CapacityAge16*'19_Расчет_аналитики'!$F$211,0)</f>
        <v/>
      </c>
      <c r="L535">
        <f>IF(IF('01_Вводные'!$B$296="Новый сезон",TRUE,TRUE),'06_Сеть_и_дети'!L68*CapacityAge16*'19_Расчет_аналитики'!$F$211,0)</f>
        <v/>
      </c>
      <c r="M535">
        <f>IF(IF('01_Вводные'!$B$296="Новый сезон",TRUE,TRUE),'06_Сеть_и_дети'!M68*CapacityAge16*'19_Расчет_аналитики'!$F$211,0)</f>
        <v/>
      </c>
      <c r="N535">
        <f>IF(IF('01_Вводные'!$B$296="Новый сезон",TRUE,TRUE),'06_Сеть_и_дети'!N68*CapacityAge16*'19_Расчет_аналитики'!$F$211,0)</f>
        <v/>
      </c>
      <c r="O535">
        <f>IF(IF('01_Вводные'!$B$296="Новый сезон",TRUE,TRUE),'06_Сеть_и_дети'!O68*CapacityAge16*'19_Расчет_аналитики'!$F$211,0)</f>
        <v/>
      </c>
      <c r="P535">
        <f>IF(IF('01_Вводные'!$B$296="Новый сезон",TRUE,TRUE),'06_Сеть_и_дети'!P68*CapacityAge16*'19_Расчет_аналитики'!$F$211,0)</f>
        <v/>
      </c>
      <c r="Q535">
        <f>IF(IF('01_Вводные'!$B$296="Новый сезон",TRUE,TRUE),'19_Расчет_аналитики'!Q423*CapacityAge16*'19_Расчет_аналитики'!$F$211,0)</f>
        <v/>
      </c>
      <c r="R535">
        <f>IF(IF('01_Вводные'!$B$296="Новый сезон",TRUE,TRUE),'19_Расчет_аналитики'!R423*CapacityAge16*'19_Расчет_аналитики'!$F$211,0)</f>
        <v/>
      </c>
      <c r="S535">
        <f>IF(IF('01_Вводные'!$B$296="Новый сезон",TRUE,TRUE),'19_Расчет_аналитики'!S423*CapacityAge16*'19_Расчет_аналитики'!$F$211,0)</f>
        <v/>
      </c>
      <c r="T535">
        <f>IF(IF('01_Вводные'!$B$296="Новый сезон",TRUE,TRUE),'19_Расчет_аналитики'!T423*CapacityAge16*'19_Расчет_аналитики'!$F$211,0)</f>
        <v/>
      </c>
      <c r="U535">
        <f>IF(IF('01_Вводные'!$B$296="Новый сезон",TRUE,TRUE),'19_Расчет_аналитики'!U423*CapacityAge16*'19_Расчет_аналитики'!$F$211,0)</f>
        <v/>
      </c>
      <c r="V535">
        <f>IF(IF('01_Вводные'!$B$296="Новый сезон",TRUE,TRUE),'19_Расчет_аналитики'!V423*CapacityAge16*'19_Расчет_аналитики'!$F$211,0)</f>
        <v/>
      </c>
      <c r="W535">
        <f>IF(IF('01_Вводные'!$B$296="Новый сезон",TRUE,TRUE),'19_Расчет_аналитики'!W423*CapacityAge16*'19_Расчет_аналитики'!$F$211,0)</f>
        <v/>
      </c>
      <c r="X535">
        <f>IF(IF('01_Вводные'!$B$296="Новый сезон",TRUE,TRUE),'19_Расчет_аналитики'!X423*CapacityAge16*'19_Расчет_аналитики'!$F$211,0)</f>
        <v/>
      </c>
      <c r="Y535">
        <f>IF(IF('01_Вводные'!$B$296="Новый сезон",TRUE,TRUE),'19_Расчет_аналитики'!Y423*CapacityAge16*'19_Расчет_аналитики'!$F$211,0)</f>
        <v/>
      </c>
      <c r="Z535">
        <f>IF(IF('01_Вводные'!$B$296="Новый сезон",TRUE,TRUE),'19_Расчет_аналитики'!Z423*CapacityAge16*'19_Расчет_аналитики'!$F$211,0)</f>
        <v/>
      </c>
      <c r="AA535">
        <f>IF(IF('01_Вводные'!$B$296="Новый сезон",TRUE,TRUE),'19_Расчет_аналитики'!AA423*CapacityAge16*'19_Расчет_аналитики'!$F$211,0)</f>
        <v/>
      </c>
      <c r="AB535">
        <f>IF(IF('01_Вводные'!$B$296="Новый сезон",TRUE,TRUE),'19_Расчет_аналитики'!AB423*CapacityAge16*'19_Расчет_аналитики'!$F$211,0)</f>
        <v/>
      </c>
      <c r="AC535">
        <f>IF(IF('01_Вводные'!$B$296="Новый сезон",TRUE,TRUE),'19_Расчет_аналитики'!AC423*CapacityAge16*'19_Расчет_аналитики'!$F$211,0)</f>
        <v/>
      </c>
      <c r="AD535">
        <f>IF(IF('01_Вводные'!$B$296="Новый сезон",TRUE,TRUE),'19_Расчет_аналитики'!AD423*CapacityAge16*'19_Расчет_аналитики'!$F$211,0)</f>
        <v/>
      </c>
      <c r="AE535">
        <f>IF(IF('01_Вводные'!$B$296="Новый сезон",TRUE,TRUE),'19_Расчет_аналитики'!AE423*CapacityAge16*'19_Расчет_аналитики'!$F$211,0)</f>
        <v/>
      </c>
      <c r="AF535">
        <f>IF(IF('01_Вводные'!$B$296="Новый сезон",TRUE,TRUE),'19_Расчет_аналитики'!AF423*CapacityAge16*'19_Расчет_аналитики'!$F$211,0)</f>
        <v/>
      </c>
      <c r="AG535">
        <f>IF(IF('01_Вводные'!$B$296="Новый сезон",TRUE,TRUE),'19_Расчет_аналитики'!AG423*CapacityAge16*'19_Расчет_аналитики'!$F$211,0)</f>
        <v/>
      </c>
      <c r="AH535">
        <f>IF(IF('01_Вводные'!$B$296="Новый сезон",TRUE,TRUE),'19_Расчет_аналитики'!AH423*CapacityAge16*'19_Расчет_аналитики'!$F$211,0)</f>
        <v/>
      </c>
      <c r="AI535">
        <f>IF(IF('01_Вводные'!$B$296="Новый сезон",TRUE,TRUE),'19_Расчет_аналитики'!AI423*CapacityAge16*'19_Расчет_аналитики'!$F$211,0)</f>
        <v/>
      </c>
      <c r="AJ535">
        <f>IF(IF('01_Вводные'!$B$296="Новый сезон",TRUE,TRUE),'19_Расчет_аналитики'!AJ423*CapacityAge16*'19_Расчет_аналитики'!$F$211,0)</f>
        <v/>
      </c>
      <c r="AK535">
        <f>IF(IF('01_Вводные'!$B$296="Новый сезон",TRUE,TRUE),'19_Расчет_аналитики'!AK423*CapacityAge16*'19_Расчет_аналитики'!$F$211,0)</f>
        <v/>
      </c>
      <c r="AL535">
        <f>IF(IF('01_Вводные'!$B$296="Новый сезон",TRUE,TRUE),'19_Расчет_аналитики'!AL423*CapacityAge16*'19_Расчет_аналитики'!$F$211,0)</f>
        <v/>
      </c>
      <c r="AM535">
        <f>IF(IF('01_Вводные'!$B$296="Новый сезон",TRUE,TRUE),'19_Расчет_аналитики'!AM423*CapacityAge16*'19_Расчет_аналитики'!$F$211,0)</f>
        <v/>
      </c>
      <c r="AN535">
        <f>IF(IF('01_Вводные'!$B$296="Новый сезон",TRUE,TRUE),'19_Расчет_аналитики'!AN423*CapacityAge16*'19_Расчет_аналитики'!$F$211,0)</f>
        <v/>
      </c>
      <c r="AO535">
        <f>IF(IF('01_Вводные'!$B$296="Новый сезон",TRUE,TRUE),'19_Расчет_аналитики'!AO423*CapacityAge16*'19_Расчет_аналитики'!$F$211,0)</f>
        <v/>
      </c>
      <c r="AP535">
        <f>IF(IF('01_Вводные'!$B$296="Новый сезон",TRUE,TRUE),'19_Расчет_аналитики'!AP423*CapacityAge16*'19_Расчет_аналитики'!$F$211,0)</f>
        <v/>
      </c>
      <c r="AQ535">
        <f>IF(IF('01_Вводные'!$B$296="Новый сезон",TRUE,TRUE),'19_Расчет_аналитики'!AQ423*CapacityAge16*'19_Расчет_аналитики'!$F$211,0)</f>
        <v/>
      </c>
      <c r="AR535">
        <f>IF(IF('01_Вводные'!$B$296="Новый сезон",TRUE,TRUE),'19_Расчет_аналитики'!AR423*CapacityAge16*'19_Расчет_аналитики'!$F$211,0)</f>
        <v/>
      </c>
      <c r="AS535">
        <f>IF(IF('01_Вводные'!$B$296="Новый сезон",TRUE,TRUE),'19_Расчет_аналитики'!AS423*CapacityAge16*'19_Расчет_аналитики'!$F$211,0)</f>
        <v/>
      </c>
      <c r="AT535">
        <f>IF(IF('01_Вводные'!$B$296="Новый сезон",TRUE,TRUE),'19_Расчет_аналитики'!AT423*CapacityAge16*'19_Расчет_аналитики'!$F$211,0)</f>
        <v/>
      </c>
      <c r="AU535">
        <f>IF(IF('01_Вводные'!$B$296="Новый сезон",TRUE,TRUE),'19_Расчет_аналитики'!AU423*CapacityAge16*'19_Расчет_аналитики'!$F$211,0)</f>
        <v/>
      </c>
      <c r="AV535">
        <f>IF(IF('01_Вводные'!$B$296="Новый сезон",TRUE,TRUE),'19_Расчет_аналитики'!AV423*CapacityAge16*'19_Расчет_аналитики'!$F$211,0)</f>
        <v/>
      </c>
      <c r="AW535">
        <f>IF(IF('01_Вводные'!$B$296="Новый сезон",TRUE,TRUE),'19_Расчет_аналитики'!AW423*CapacityAge16*'19_Расчет_аналитики'!$F$211,0)</f>
        <v/>
      </c>
      <c r="AX535">
        <f>IF(IF('01_Вводные'!$B$296="Новый сезон",TRUE,TRUE),'19_Расчет_аналитики'!AX423*CapacityAge16*'19_Расчет_аналитики'!$F$211,0)</f>
        <v/>
      </c>
      <c r="AY535">
        <f>IF(IF('01_Вводные'!$B$296="Новый сезон",TRUE,TRUE),'19_Расчет_аналитики'!AY423*CapacityAge16*'19_Расчет_аналитики'!$F$211,0)</f>
        <v/>
      </c>
      <c r="AZ535">
        <f>IF(IF('01_Вводные'!$B$296="Новый сезон",TRUE,TRUE),'19_Расчет_аналитики'!AZ423*CapacityAge16*'19_Расчет_аналитики'!$F$211,0)</f>
        <v/>
      </c>
      <c r="BA535">
        <f>IF(IF('01_Вводные'!$B$296="Новый сезон",TRUE,TRUE),'19_Расчет_аналитики'!BA423*CapacityAge16*'19_Расчет_аналитики'!$F$211,0)</f>
        <v/>
      </c>
      <c r="BB535">
        <f>IF(IF('01_Вводные'!$B$296="Новый сезон",TRUE,TRUE),'19_Расчет_аналитики'!BB423*CapacityAge16*'19_Расчет_аналитики'!$F$211,0)</f>
        <v/>
      </c>
      <c r="BC535">
        <f>IF(IF('01_Вводные'!$B$296="Новый сезон",TRUE,TRUE),'19_Расчет_аналитики'!BC423*CapacityAge16*'19_Расчет_аналитики'!$F$211,0)</f>
        <v/>
      </c>
      <c r="BD535">
        <f>IF(IF('01_Вводные'!$B$296="Новый сезон",TRUE,TRUE),'19_Расчет_аналитики'!BD423*CapacityAge16*'19_Расчет_аналитики'!$F$211,0)</f>
        <v/>
      </c>
      <c r="BE535">
        <f>IF(IF('01_Вводные'!$B$296="Новый сезон",TRUE,TRUE),'19_Расчет_аналитики'!BE423*CapacityAge16*'19_Расчет_аналитики'!$F$211,0)</f>
        <v/>
      </c>
      <c r="BF535">
        <f>IF(IF('01_Вводные'!$B$296="Новый сезон",TRUE,TRUE),'19_Расчет_аналитики'!BF423*CapacityAge16*'19_Расчет_аналитики'!$F$211,0)</f>
        <v/>
      </c>
      <c r="BG535">
        <f>IF(IF('01_Вводные'!$B$296="Новый сезон",TRUE,TRUE),'19_Расчет_аналитики'!BG423*CapacityAge16*'19_Расчет_аналитики'!$F$211,0)</f>
        <v/>
      </c>
      <c r="BH535">
        <f>IF(IF('01_Вводные'!$B$296="Новый сезон",TRUE,TRUE),'19_Расчет_аналитики'!BH423*CapacityAge16*'19_Расчет_аналитики'!$F$211,0)</f>
        <v/>
      </c>
      <c r="BI535">
        <f>IF(IF('01_Вводные'!$B$296="Новый сезон",TRUE,TRUE),'19_Расчет_аналитики'!BI423*CapacityAge16*'19_Расчет_аналитики'!$F$211,0)</f>
        <v/>
      </c>
      <c r="BJ535">
        <f>IF(IF('01_Вводные'!$B$296="Новый сезон",TRUE,TRUE),'19_Расчет_аналитики'!BJ423*CapacityAge16*'19_Расчет_аналитики'!$F$211,0)</f>
        <v/>
      </c>
      <c r="BK535">
        <f>IF(IF('01_Вводные'!$B$296="Новый сезон",TRUE,TRUE),'19_Расчет_аналитики'!BK423*CapacityAge16*'19_Расчет_аналитики'!$F$211,0)</f>
        <v/>
      </c>
      <c r="BL535">
        <f>IF(IF('01_Вводные'!$B$296="Новый сезон",TRUE,TRUE),'19_Расчет_аналитики'!BL423*CapacityAge16*'19_Расчет_аналитики'!$F$211,0)</f>
        <v/>
      </c>
      <c r="BM535">
        <f>IF(IF('01_Вводные'!$B$296="Новый сезон",TRUE,TRUE),'19_Расчет_аналитики'!BM423*CapacityAge16*'19_Расчет_аналитики'!$F$211,0)</f>
        <v/>
      </c>
      <c r="BN535">
        <f>IF(IF('01_Вводные'!$B$296="Новый сезон",TRUE,TRUE),'19_Расчет_аналитики'!BN423*CapacityAge16*'19_Расчет_аналитики'!$F$211,0)</f>
        <v/>
      </c>
      <c r="BO535">
        <f>IF(IF('01_Вводные'!$B$296="Новый сезон",TRUE,TRUE),'19_Расчет_аналитики'!BO423*CapacityAge16*'19_Расчет_аналитики'!$F$211,0)</f>
        <v/>
      </c>
    </row>
    <row r="536">
      <c r="B536">
        <f>IF(IF('01_Вводные'!$B$296="Новый сезон",TRUE,TRUE),'06_Сеть_и_дети'!B69*CapacityAge17*'19_Расчет_аналитики'!$F$211,0)</f>
        <v/>
      </c>
      <c r="C536">
        <f>IF(IF('01_Вводные'!$B$296="Новый сезон",TRUE,TRUE),'06_Сеть_и_дети'!C69*CapacityAge17*'19_Расчет_аналитики'!$F$211,0)</f>
        <v/>
      </c>
      <c r="D536">
        <f>IF(IF('01_Вводные'!$B$296="Новый сезон",TRUE,TRUE),'06_Сеть_и_дети'!D69*CapacityAge17*'19_Расчет_аналитики'!$F$211,0)</f>
        <v/>
      </c>
      <c r="E536">
        <f>IF(IF('01_Вводные'!$B$296="Новый сезон",TRUE,TRUE),'06_Сеть_и_дети'!E69*CapacityAge17*'19_Расчет_аналитики'!$F$211,0)</f>
        <v/>
      </c>
      <c r="F536">
        <f>IF(IF('01_Вводные'!$B$296="Новый сезон",TRUE,TRUE),'06_Сеть_и_дети'!F69*CapacityAge17*'19_Расчет_аналитики'!$F$211,0)</f>
        <v/>
      </c>
      <c r="G536">
        <f>IF(IF('01_Вводные'!$B$296="Новый сезон",TRUE,TRUE),'06_Сеть_и_дети'!G69*CapacityAge17*'19_Расчет_аналитики'!$F$211,0)</f>
        <v/>
      </c>
      <c r="H536">
        <f>IF(IF('01_Вводные'!$B$296="Новый сезон",TRUE,TRUE),'06_Сеть_и_дети'!H69*CapacityAge17*'19_Расчет_аналитики'!$F$211,0)</f>
        <v/>
      </c>
      <c r="I536">
        <f>IF(IF('01_Вводные'!$B$296="Новый сезон",TRUE,TRUE),'06_Сеть_и_дети'!I69*CapacityAge17*'19_Расчет_аналитики'!$F$211,0)</f>
        <v/>
      </c>
      <c r="J536">
        <f>IF(IF('01_Вводные'!$B$296="Новый сезон",TRUE,TRUE),'06_Сеть_и_дети'!J69*CapacityAge17*'19_Расчет_аналитики'!$F$211,0)</f>
        <v/>
      </c>
      <c r="K536">
        <f>IF(IF('01_Вводные'!$B$296="Новый сезон",TRUE,TRUE),'06_Сеть_и_дети'!K69*CapacityAge17*'19_Расчет_аналитики'!$F$211,0)</f>
        <v/>
      </c>
      <c r="L536">
        <f>IF(IF('01_Вводные'!$B$296="Новый сезон",TRUE,TRUE),'06_Сеть_и_дети'!L69*CapacityAge17*'19_Расчет_аналитики'!$F$211,0)</f>
        <v/>
      </c>
      <c r="M536">
        <f>IF(IF('01_Вводные'!$B$296="Новый сезон",TRUE,TRUE),'06_Сеть_и_дети'!M69*CapacityAge17*'19_Расчет_аналитики'!$F$211,0)</f>
        <v/>
      </c>
      <c r="N536">
        <f>IF(IF('01_Вводные'!$B$296="Новый сезон",TRUE,TRUE),'06_Сеть_и_дети'!N69*CapacityAge17*'19_Расчет_аналитики'!$F$211,0)</f>
        <v/>
      </c>
      <c r="O536">
        <f>IF(IF('01_Вводные'!$B$296="Новый сезон",TRUE,TRUE),'06_Сеть_и_дети'!O69*CapacityAge17*'19_Расчет_аналитики'!$F$211,0)</f>
        <v/>
      </c>
      <c r="P536">
        <f>IF(IF('01_Вводные'!$B$296="Новый сезон",TRUE,TRUE),'06_Сеть_и_дети'!P69*CapacityAge17*'19_Расчет_аналитики'!$F$211,0)</f>
        <v/>
      </c>
      <c r="Q536">
        <f>IF(IF('01_Вводные'!$B$296="Новый сезон",TRUE,TRUE),'06_Сеть_и_дети'!Q69*CapacityAge17*'19_Расчет_аналитики'!$F$211,0)</f>
        <v/>
      </c>
      <c r="R536">
        <f>IF(IF('01_Вводные'!$B$296="Новый сезон",TRUE,TRUE),'19_Расчет_аналитики'!R424*CapacityAge17*'19_Расчет_аналитики'!$F$211,0)</f>
        <v/>
      </c>
      <c r="S536">
        <f>IF(IF('01_Вводные'!$B$296="Новый сезон",TRUE,TRUE),'19_Расчет_аналитики'!S424*CapacityAge17*'19_Расчет_аналитики'!$F$211,0)</f>
        <v/>
      </c>
      <c r="T536">
        <f>IF(IF('01_Вводные'!$B$296="Новый сезон",TRUE,TRUE),'19_Расчет_аналитики'!T424*CapacityAge17*'19_Расчет_аналитики'!$F$211,0)</f>
        <v/>
      </c>
      <c r="U536">
        <f>IF(IF('01_Вводные'!$B$296="Новый сезон",TRUE,TRUE),'19_Расчет_аналитики'!U424*CapacityAge17*'19_Расчет_аналитики'!$F$211,0)</f>
        <v/>
      </c>
      <c r="V536">
        <f>IF(IF('01_Вводные'!$B$296="Новый сезон",TRUE,TRUE),'19_Расчет_аналитики'!V424*CapacityAge17*'19_Расчет_аналитики'!$F$211,0)</f>
        <v/>
      </c>
      <c r="W536">
        <f>IF(IF('01_Вводные'!$B$296="Новый сезон",TRUE,TRUE),'19_Расчет_аналитики'!W424*CapacityAge17*'19_Расчет_аналитики'!$F$211,0)</f>
        <v/>
      </c>
      <c r="X536">
        <f>IF(IF('01_Вводные'!$B$296="Новый сезон",TRUE,TRUE),'19_Расчет_аналитики'!X424*CapacityAge17*'19_Расчет_аналитики'!$F$211,0)</f>
        <v/>
      </c>
      <c r="Y536">
        <f>IF(IF('01_Вводные'!$B$296="Новый сезон",TRUE,TRUE),'19_Расчет_аналитики'!Y424*CapacityAge17*'19_Расчет_аналитики'!$F$211,0)</f>
        <v/>
      </c>
      <c r="Z536">
        <f>IF(IF('01_Вводные'!$B$296="Новый сезон",TRUE,TRUE),'19_Расчет_аналитики'!Z424*CapacityAge17*'19_Расчет_аналитики'!$F$211,0)</f>
        <v/>
      </c>
      <c r="AA536">
        <f>IF(IF('01_Вводные'!$B$296="Новый сезон",TRUE,TRUE),'19_Расчет_аналитики'!AA424*CapacityAge17*'19_Расчет_аналитики'!$F$211,0)</f>
        <v/>
      </c>
      <c r="AB536">
        <f>IF(IF('01_Вводные'!$B$296="Новый сезон",TRUE,TRUE),'19_Расчет_аналитики'!AB424*CapacityAge17*'19_Расчет_аналитики'!$F$211,0)</f>
        <v/>
      </c>
      <c r="AC536">
        <f>IF(IF('01_Вводные'!$B$296="Новый сезон",TRUE,TRUE),'19_Расчет_аналитики'!AC424*CapacityAge17*'19_Расчет_аналитики'!$F$211,0)</f>
        <v/>
      </c>
      <c r="AD536">
        <f>IF(IF('01_Вводные'!$B$296="Новый сезон",TRUE,TRUE),'19_Расчет_аналитики'!AD424*CapacityAge17*'19_Расчет_аналитики'!$F$211,0)</f>
        <v/>
      </c>
      <c r="AE536">
        <f>IF(IF('01_Вводные'!$B$296="Новый сезон",TRUE,TRUE),'19_Расчет_аналитики'!AE424*CapacityAge17*'19_Расчет_аналитики'!$F$211,0)</f>
        <v/>
      </c>
      <c r="AF536">
        <f>IF(IF('01_Вводные'!$B$296="Новый сезон",TRUE,TRUE),'19_Расчет_аналитики'!AF424*CapacityAge17*'19_Расчет_аналитики'!$F$211,0)</f>
        <v/>
      </c>
      <c r="AG536">
        <f>IF(IF('01_Вводные'!$B$296="Новый сезон",TRUE,TRUE),'19_Расчет_аналитики'!AG424*CapacityAge17*'19_Расчет_аналитики'!$F$211,0)</f>
        <v/>
      </c>
      <c r="AH536">
        <f>IF(IF('01_Вводные'!$B$296="Новый сезон",TRUE,TRUE),'19_Расчет_аналитики'!AH424*CapacityAge17*'19_Расчет_аналитики'!$F$211,0)</f>
        <v/>
      </c>
      <c r="AI536">
        <f>IF(IF('01_Вводные'!$B$296="Новый сезон",TRUE,TRUE),'19_Расчет_аналитики'!AI424*CapacityAge17*'19_Расчет_аналитики'!$F$211,0)</f>
        <v/>
      </c>
      <c r="AJ536">
        <f>IF(IF('01_Вводные'!$B$296="Новый сезон",TRUE,TRUE),'19_Расчет_аналитики'!AJ424*CapacityAge17*'19_Расчет_аналитики'!$F$211,0)</f>
        <v/>
      </c>
      <c r="AK536">
        <f>IF(IF('01_Вводные'!$B$296="Новый сезон",TRUE,TRUE),'19_Расчет_аналитики'!AK424*CapacityAge17*'19_Расчет_аналитики'!$F$211,0)</f>
        <v/>
      </c>
      <c r="AL536">
        <f>IF(IF('01_Вводные'!$B$296="Новый сезон",TRUE,TRUE),'19_Расчет_аналитики'!AL424*CapacityAge17*'19_Расчет_аналитики'!$F$211,0)</f>
        <v/>
      </c>
      <c r="AM536">
        <f>IF(IF('01_Вводные'!$B$296="Новый сезон",TRUE,TRUE),'19_Расчет_аналитики'!AM424*CapacityAge17*'19_Расчет_аналитики'!$F$211,0)</f>
        <v/>
      </c>
      <c r="AN536">
        <f>IF(IF('01_Вводные'!$B$296="Новый сезон",TRUE,TRUE),'19_Расчет_аналитики'!AN424*CapacityAge17*'19_Расчет_аналитики'!$F$211,0)</f>
        <v/>
      </c>
      <c r="AO536">
        <f>IF(IF('01_Вводные'!$B$296="Новый сезон",TRUE,TRUE),'19_Расчет_аналитики'!AO424*CapacityAge17*'19_Расчет_аналитики'!$F$211,0)</f>
        <v/>
      </c>
      <c r="AP536">
        <f>IF(IF('01_Вводные'!$B$296="Новый сезон",TRUE,TRUE),'19_Расчет_аналитики'!AP424*CapacityAge17*'19_Расчет_аналитики'!$F$211,0)</f>
        <v/>
      </c>
      <c r="AQ536">
        <f>IF(IF('01_Вводные'!$B$296="Новый сезон",TRUE,TRUE),'19_Расчет_аналитики'!AQ424*CapacityAge17*'19_Расчет_аналитики'!$F$211,0)</f>
        <v/>
      </c>
      <c r="AR536">
        <f>IF(IF('01_Вводные'!$B$296="Новый сезон",TRUE,TRUE),'19_Расчет_аналитики'!AR424*CapacityAge17*'19_Расчет_аналитики'!$F$211,0)</f>
        <v/>
      </c>
      <c r="AS536">
        <f>IF(IF('01_Вводные'!$B$296="Новый сезон",TRUE,TRUE),'19_Расчет_аналитики'!AS424*CapacityAge17*'19_Расчет_аналитики'!$F$211,0)</f>
        <v/>
      </c>
      <c r="AT536">
        <f>IF(IF('01_Вводные'!$B$296="Новый сезон",TRUE,TRUE),'19_Расчет_аналитики'!AT424*CapacityAge17*'19_Расчет_аналитики'!$F$211,0)</f>
        <v/>
      </c>
      <c r="AU536">
        <f>IF(IF('01_Вводные'!$B$296="Новый сезон",TRUE,TRUE),'19_Расчет_аналитики'!AU424*CapacityAge17*'19_Расчет_аналитики'!$F$211,0)</f>
        <v/>
      </c>
      <c r="AV536">
        <f>IF(IF('01_Вводные'!$B$296="Новый сезон",TRUE,TRUE),'19_Расчет_аналитики'!AV424*CapacityAge17*'19_Расчет_аналитики'!$F$211,0)</f>
        <v/>
      </c>
      <c r="AW536">
        <f>IF(IF('01_Вводные'!$B$296="Новый сезон",TRUE,TRUE),'19_Расчет_аналитики'!AW424*CapacityAge17*'19_Расчет_аналитики'!$F$211,0)</f>
        <v/>
      </c>
      <c r="AX536">
        <f>IF(IF('01_Вводные'!$B$296="Новый сезон",TRUE,TRUE),'19_Расчет_аналитики'!AX424*CapacityAge17*'19_Расчет_аналитики'!$F$211,0)</f>
        <v/>
      </c>
      <c r="AY536">
        <f>IF(IF('01_Вводные'!$B$296="Новый сезон",TRUE,TRUE),'19_Расчет_аналитики'!AY424*CapacityAge17*'19_Расчет_аналитики'!$F$211,0)</f>
        <v/>
      </c>
      <c r="AZ536">
        <f>IF(IF('01_Вводные'!$B$296="Новый сезон",TRUE,TRUE),'19_Расчет_аналитики'!AZ424*CapacityAge17*'19_Расчет_аналитики'!$F$211,0)</f>
        <v/>
      </c>
      <c r="BA536">
        <f>IF(IF('01_Вводные'!$B$296="Новый сезон",TRUE,TRUE),'19_Расчет_аналитики'!BA424*CapacityAge17*'19_Расчет_аналитики'!$F$211,0)</f>
        <v/>
      </c>
      <c r="BB536">
        <f>IF(IF('01_Вводные'!$B$296="Новый сезон",TRUE,TRUE),'19_Расчет_аналитики'!BB424*CapacityAge17*'19_Расчет_аналитики'!$F$211,0)</f>
        <v/>
      </c>
      <c r="BC536">
        <f>IF(IF('01_Вводные'!$B$296="Новый сезон",TRUE,TRUE),'19_Расчет_аналитики'!BC424*CapacityAge17*'19_Расчет_аналитики'!$F$211,0)</f>
        <v/>
      </c>
      <c r="BD536">
        <f>IF(IF('01_Вводные'!$B$296="Новый сезон",TRUE,TRUE),'19_Расчет_аналитики'!BD424*CapacityAge17*'19_Расчет_аналитики'!$F$211,0)</f>
        <v/>
      </c>
      <c r="BE536">
        <f>IF(IF('01_Вводные'!$B$296="Новый сезон",TRUE,TRUE),'19_Расчет_аналитики'!BE424*CapacityAge17*'19_Расчет_аналитики'!$F$211,0)</f>
        <v/>
      </c>
      <c r="BF536">
        <f>IF(IF('01_Вводные'!$B$296="Новый сезон",TRUE,TRUE),'19_Расчет_аналитики'!BF424*CapacityAge17*'19_Расчет_аналитики'!$F$211,0)</f>
        <v/>
      </c>
      <c r="BG536">
        <f>IF(IF('01_Вводные'!$B$296="Новый сезон",TRUE,TRUE),'19_Расчет_аналитики'!BG424*CapacityAge17*'19_Расчет_аналитики'!$F$211,0)</f>
        <v/>
      </c>
      <c r="BH536">
        <f>IF(IF('01_Вводные'!$B$296="Новый сезон",TRUE,TRUE),'19_Расчет_аналитики'!BH424*CapacityAge17*'19_Расчет_аналитики'!$F$211,0)</f>
        <v/>
      </c>
      <c r="BI536">
        <f>IF(IF('01_Вводные'!$B$296="Новый сезон",TRUE,TRUE),'19_Расчет_аналитики'!BI424*CapacityAge17*'19_Расчет_аналитики'!$F$211,0)</f>
        <v/>
      </c>
      <c r="BJ536">
        <f>IF(IF('01_Вводные'!$B$296="Новый сезон",TRUE,TRUE),'19_Расчет_аналитики'!BJ424*CapacityAge17*'19_Расчет_аналитики'!$F$211,0)</f>
        <v/>
      </c>
      <c r="BK536">
        <f>IF(IF('01_Вводные'!$B$296="Новый сезон",TRUE,TRUE),'19_Расчет_аналитики'!BK424*CapacityAge17*'19_Расчет_аналитики'!$F$211,0)</f>
        <v/>
      </c>
      <c r="BL536">
        <f>IF(IF('01_Вводные'!$B$296="Новый сезон",TRUE,TRUE),'19_Расчет_аналитики'!BL424*CapacityAge17*'19_Расчет_аналитики'!$F$211,0)</f>
        <v/>
      </c>
      <c r="BM536">
        <f>IF(IF('01_Вводные'!$B$296="Новый сезон",TRUE,TRUE),'19_Расчет_аналитики'!BM424*CapacityAge17*'19_Расчет_аналитики'!$F$211,0)</f>
        <v/>
      </c>
      <c r="BN536">
        <f>IF(IF('01_Вводные'!$B$296="Новый сезон",TRUE,TRUE),'19_Расчет_аналитики'!BN424*CapacityAge17*'19_Расчет_аналитики'!$F$211,0)</f>
        <v/>
      </c>
      <c r="BO536">
        <f>IF(IF('01_Вводные'!$B$296="Новый сезон",TRUE,TRUE),'19_Расчет_аналитики'!BO424*CapacityAge17*'19_Расчет_аналитики'!$F$211,0)</f>
        <v/>
      </c>
    </row>
    <row r="537">
      <c r="B537">
        <f>IF(IF('01_Вводные'!$B$296="Новый сезон",TRUE,TRUE),'06_Сеть_и_дети'!B70*CapacityAge18*'19_Расчет_аналитики'!$F$211,0)</f>
        <v/>
      </c>
      <c r="C537">
        <f>IF(IF('01_Вводные'!$B$296="Новый сезон",TRUE,TRUE),'06_Сеть_и_дети'!C70*CapacityAge18*'19_Расчет_аналитики'!$F$211,0)</f>
        <v/>
      </c>
      <c r="D537">
        <f>IF(IF('01_Вводные'!$B$296="Новый сезон",TRUE,TRUE),'06_Сеть_и_дети'!D70*CapacityAge18*'19_Расчет_аналитики'!$F$211,0)</f>
        <v/>
      </c>
      <c r="E537">
        <f>IF(IF('01_Вводные'!$B$296="Новый сезон",TRUE,TRUE),'06_Сеть_и_дети'!E70*CapacityAge18*'19_Расчет_аналитики'!$F$211,0)</f>
        <v/>
      </c>
      <c r="F537">
        <f>IF(IF('01_Вводные'!$B$296="Новый сезон",TRUE,TRUE),'06_Сеть_и_дети'!F70*CapacityAge18*'19_Расчет_аналитики'!$F$211,0)</f>
        <v/>
      </c>
      <c r="G537">
        <f>IF(IF('01_Вводные'!$B$296="Новый сезон",TRUE,TRUE),'06_Сеть_и_дети'!G70*CapacityAge18*'19_Расчет_аналитики'!$F$211,0)</f>
        <v/>
      </c>
      <c r="H537">
        <f>IF(IF('01_Вводные'!$B$296="Новый сезон",TRUE,TRUE),'06_Сеть_и_дети'!H70*CapacityAge18*'19_Расчет_аналитики'!$F$211,0)</f>
        <v/>
      </c>
      <c r="I537">
        <f>IF(IF('01_Вводные'!$B$296="Новый сезон",TRUE,TRUE),'06_Сеть_и_дети'!I70*CapacityAge18*'19_Расчет_аналитики'!$F$211,0)</f>
        <v/>
      </c>
      <c r="J537">
        <f>IF(IF('01_Вводные'!$B$296="Новый сезон",TRUE,TRUE),'06_Сеть_и_дети'!J70*CapacityAge18*'19_Расчет_аналитики'!$F$211,0)</f>
        <v/>
      </c>
      <c r="K537">
        <f>IF(IF('01_Вводные'!$B$296="Новый сезон",TRUE,TRUE),'06_Сеть_и_дети'!K70*CapacityAge18*'19_Расчет_аналитики'!$F$211,0)</f>
        <v/>
      </c>
      <c r="L537">
        <f>IF(IF('01_Вводные'!$B$296="Новый сезон",TRUE,TRUE),'06_Сеть_и_дети'!L70*CapacityAge18*'19_Расчет_аналитики'!$F$211,0)</f>
        <v/>
      </c>
      <c r="M537">
        <f>IF(IF('01_Вводные'!$B$296="Новый сезон",TRUE,TRUE),'06_Сеть_и_дети'!M70*CapacityAge18*'19_Расчет_аналитики'!$F$211,0)</f>
        <v/>
      </c>
      <c r="N537">
        <f>IF(IF('01_Вводные'!$B$296="Новый сезон",TRUE,TRUE),'06_Сеть_и_дети'!N70*CapacityAge18*'19_Расчет_аналитики'!$F$211,0)</f>
        <v/>
      </c>
      <c r="O537">
        <f>IF(IF('01_Вводные'!$B$296="Новый сезон",TRUE,TRUE),'06_Сеть_и_дети'!O70*CapacityAge18*'19_Расчет_аналитики'!$F$211,0)</f>
        <v/>
      </c>
      <c r="P537">
        <f>IF(IF('01_Вводные'!$B$296="Новый сезон",TRUE,TRUE),'06_Сеть_и_дети'!P70*CapacityAge18*'19_Расчет_аналитики'!$F$211,0)</f>
        <v/>
      </c>
      <c r="Q537">
        <f>IF(IF('01_Вводные'!$B$296="Новый сезон",TRUE,TRUE),'06_Сеть_и_дети'!Q70*CapacityAge18*'19_Расчет_аналитики'!$F$211,0)</f>
        <v/>
      </c>
      <c r="R537">
        <f>IF(IF('01_Вводные'!$B$296="Новый сезон",TRUE,TRUE),'06_Сеть_и_дети'!R70*CapacityAge18*'19_Расчет_аналитики'!$F$211,0)</f>
        <v/>
      </c>
      <c r="S537">
        <f>IF(IF('01_Вводные'!$B$296="Новый сезон",TRUE,TRUE),'19_Расчет_аналитики'!S425*CapacityAge18*'19_Расчет_аналитики'!$F$211,0)</f>
        <v/>
      </c>
      <c r="T537">
        <f>IF(IF('01_Вводные'!$B$296="Новый сезон",TRUE,TRUE),'19_Расчет_аналитики'!T425*CapacityAge18*'19_Расчет_аналитики'!$F$211,0)</f>
        <v/>
      </c>
      <c r="U537">
        <f>IF(IF('01_Вводные'!$B$296="Новый сезон",TRUE,TRUE),'19_Расчет_аналитики'!U425*CapacityAge18*'19_Расчет_аналитики'!$F$211,0)</f>
        <v/>
      </c>
      <c r="V537">
        <f>IF(IF('01_Вводные'!$B$296="Новый сезон",TRUE,TRUE),'19_Расчет_аналитики'!V425*CapacityAge18*'19_Расчет_аналитики'!$F$211,0)</f>
        <v/>
      </c>
      <c r="W537">
        <f>IF(IF('01_Вводные'!$B$296="Новый сезон",TRUE,TRUE),'19_Расчет_аналитики'!W425*CapacityAge18*'19_Расчет_аналитики'!$F$211,0)</f>
        <v/>
      </c>
      <c r="X537">
        <f>IF(IF('01_Вводные'!$B$296="Новый сезон",TRUE,TRUE),'19_Расчет_аналитики'!X425*CapacityAge18*'19_Расчет_аналитики'!$F$211,0)</f>
        <v/>
      </c>
      <c r="Y537">
        <f>IF(IF('01_Вводные'!$B$296="Новый сезон",TRUE,TRUE),'19_Расчет_аналитики'!Y425*CapacityAge18*'19_Расчет_аналитики'!$F$211,0)</f>
        <v/>
      </c>
      <c r="Z537">
        <f>IF(IF('01_Вводные'!$B$296="Новый сезон",TRUE,TRUE),'19_Расчет_аналитики'!Z425*CapacityAge18*'19_Расчет_аналитики'!$F$211,0)</f>
        <v/>
      </c>
      <c r="AA537">
        <f>IF(IF('01_Вводные'!$B$296="Новый сезон",TRUE,TRUE),'19_Расчет_аналитики'!AA425*CapacityAge18*'19_Расчет_аналитики'!$F$211,0)</f>
        <v/>
      </c>
      <c r="AB537">
        <f>IF(IF('01_Вводные'!$B$296="Новый сезон",TRUE,TRUE),'19_Расчет_аналитики'!AB425*CapacityAge18*'19_Расчет_аналитики'!$F$211,0)</f>
        <v/>
      </c>
      <c r="AC537">
        <f>IF(IF('01_Вводные'!$B$296="Новый сезон",TRUE,TRUE),'19_Расчет_аналитики'!AC425*CapacityAge18*'19_Расчет_аналитики'!$F$211,0)</f>
        <v/>
      </c>
      <c r="AD537">
        <f>IF(IF('01_Вводные'!$B$296="Новый сезон",TRUE,TRUE),'19_Расчет_аналитики'!AD425*CapacityAge18*'19_Расчет_аналитики'!$F$211,0)</f>
        <v/>
      </c>
      <c r="AE537">
        <f>IF(IF('01_Вводные'!$B$296="Новый сезон",TRUE,TRUE),'19_Расчет_аналитики'!AE425*CapacityAge18*'19_Расчет_аналитики'!$F$211,0)</f>
        <v/>
      </c>
      <c r="AF537">
        <f>IF(IF('01_Вводные'!$B$296="Новый сезон",TRUE,TRUE),'19_Расчет_аналитики'!AF425*CapacityAge18*'19_Расчет_аналитики'!$F$211,0)</f>
        <v/>
      </c>
      <c r="AG537">
        <f>IF(IF('01_Вводные'!$B$296="Новый сезон",TRUE,TRUE),'19_Расчет_аналитики'!AG425*CapacityAge18*'19_Расчет_аналитики'!$F$211,0)</f>
        <v/>
      </c>
      <c r="AH537">
        <f>IF(IF('01_Вводные'!$B$296="Новый сезон",TRUE,TRUE),'19_Расчет_аналитики'!AH425*CapacityAge18*'19_Расчет_аналитики'!$F$211,0)</f>
        <v/>
      </c>
      <c r="AI537">
        <f>IF(IF('01_Вводные'!$B$296="Новый сезон",TRUE,TRUE),'19_Расчет_аналитики'!AI425*CapacityAge18*'19_Расчет_аналитики'!$F$211,0)</f>
        <v/>
      </c>
      <c r="AJ537">
        <f>IF(IF('01_Вводные'!$B$296="Новый сезон",TRUE,TRUE),'19_Расчет_аналитики'!AJ425*CapacityAge18*'19_Расчет_аналитики'!$F$211,0)</f>
        <v/>
      </c>
      <c r="AK537">
        <f>IF(IF('01_Вводные'!$B$296="Новый сезон",TRUE,TRUE),'19_Расчет_аналитики'!AK425*CapacityAge18*'19_Расчет_аналитики'!$F$211,0)</f>
        <v/>
      </c>
      <c r="AL537">
        <f>IF(IF('01_Вводные'!$B$296="Новый сезон",TRUE,TRUE),'19_Расчет_аналитики'!AL425*CapacityAge18*'19_Расчет_аналитики'!$F$211,0)</f>
        <v/>
      </c>
      <c r="AM537">
        <f>IF(IF('01_Вводные'!$B$296="Новый сезон",TRUE,TRUE),'19_Расчет_аналитики'!AM425*CapacityAge18*'19_Расчет_аналитики'!$F$211,0)</f>
        <v/>
      </c>
      <c r="AN537">
        <f>IF(IF('01_Вводные'!$B$296="Новый сезон",TRUE,TRUE),'19_Расчет_аналитики'!AN425*CapacityAge18*'19_Расчет_аналитики'!$F$211,0)</f>
        <v/>
      </c>
      <c r="AO537">
        <f>IF(IF('01_Вводные'!$B$296="Новый сезон",TRUE,TRUE),'19_Расчет_аналитики'!AO425*CapacityAge18*'19_Расчет_аналитики'!$F$211,0)</f>
        <v/>
      </c>
      <c r="AP537">
        <f>IF(IF('01_Вводные'!$B$296="Новый сезон",TRUE,TRUE),'19_Расчет_аналитики'!AP425*CapacityAge18*'19_Расчет_аналитики'!$F$211,0)</f>
        <v/>
      </c>
      <c r="AQ537">
        <f>IF(IF('01_Вводные'!$B$296="Новый сезон",TRUE,TRUE),'19_Расчет_аналитики'!AQ425*CapacityAge18*'19_Расчет_аналитики'!$F$211,0)</f>
        <v/>
      </c>
      <c r="AR537">
        <f>IF(IF('01_Вводные'!$B$296="Новый сезон",TRUE,TRUE),'19_Расчет_аналитики'!AR425*CapacityAge18*'19_Расчет_аналитики'!$F$211,0)</f>
        <v/>
      </c>
      <c r="AS537">
        <f>IF(IF('01_Вводные'!$B$296="Новый сезон",TRUE,TRUE),'19_Расчет_аналитики'!AS425*CapacityAge18*'19_Расчет_аналитики'!$F$211,0)</f>
        <v/>
      </c>
      <c r="AT537">
        <f>IF(IF('01_Вводные'!$B$296="Новый сезон",TRUE,TRUE),'19_Расчет_аналитики'!AT425*CapacityAge18*'19_Расчет_аналитики'!$F$211,0)</f>
        <v/>
      </c>
      <c r="AU537">
        <f>IF(IF('01_Вводные'!$B$296="Новый сезон",TRUE,TRUE),'19_Расчет_аналитики'!AU425*CapacityAge18*'19_Расчет_аналитики'!$F$211,0)</f>
        <v/>
      </c>
      <c r="AV537">
        <f>IF(IF('01_Вводные'!$B$296="Новый сезон",TRUE,TRUE),'19_Расчет_аналитики'!AV425*CapacityAge18*'19_Расчет_аналитики'!$F$211,0)</f>
        <v/>
      </c>
      <c r="AW537">
        <f>IF(IF('01_Вводные'!$B$296="Новый сезон",TRUE,TRUE),'19_Расчет_аналитики'!AW425*CapacityAge18*'19_Расчет_аналитики'!$F$211,0)</f>
        <v/>
      </c>
      <c r="AX537">
        <f>IF(IF('01_Вводные'!$B$296="Новый сезон",TRUE,TRUE),'19_Расчет_аналитики'!AX425*CapacityAge18*'19_Расчет_аналитики'!$F$211,0)</f>
        <v/>
      </c>
      <c r="AY537">
        <f>IF(IF('01_Вводные'!$B$296="Новый сезон",TRUE,TRUE),'19_Расчет_аналитики'!AY425*CapacityAge18*'19_Расчет_аналитики'!$F$211,0)</f>
        <v/>
      </c>
      <c r="AZ537">
        <f>IF(IF('01_Вводные'!$B$296="Новый сезон",TRUE,TRUE),'19_Расчет_аналитики'!AZ425*CapacityAge18*'19_Расчет_аналитики'!$F$211,0)</f>
        <v/>
      </c>
      <c r="BA537">
        <f>IF(IF('01_Вводные'!$B$296="Новый сезон",TRUE,TRUE),'19_Расчет_аналитики'!BA425*CapacityAge18*'19_Расчет_аналитики'!$F$211,0)</f>
        <v/>
      </c>
      <c r="BB537">
        <f>IF(IF('01_Вводные'!$B$296="Новый сезон",TRUE,TRUE),'19_Расчет_аналитики'!BB425*CapacityAge18*'19_Расчет_аналитики'!$F$211,0)</f>
        <v/>
      </c>
      <c r="BC537">
        <f>IF(IF('01_Вводные'!$B$296="Новый сезон",TRUE,TRUE),'19_Расчет_аналитики'!BC425*CapacityAge18*'19_Расчет_аналитики'!$F$211,0)</f>
        <v/>
      </c>
      <c r="BD537">
        <f>IF(IF('01_Вводные'!$B$296="Новый сезон",TRUE,TRUE),'19_Расчет_аналитики'!BD425*CapacityAge18*'19_Расчет_аналитики'!$F$211,0)</f>
        <v/>
      </c>
      <c r="BE537">
        <f>IF(IF('01_Вводные'!$B$296="Новый сезон",TRUE,TRUE),'19_Расчет_аналитики'!BE425*CapacityAge18*'19_Расчет_аналитики'!$F$211,0)</f>
        <v/>
      </c>
      <c r="BF537">
        <f>IF(IF('01_Вводные'!$B$296="Новый сезон",TRUE,TRUE),'19_Расчет_аналитики'!BF425*CapacityAge18*'19_Расчет_аналитики'!$F$211,0)</f>
        <v/>
      </c>
      <c r="BG537">
        <f>IF(IF('01_Вводные'!$B$296="Новый сезон",TRUE,TRUE),'19_Расчет_аналитики'!BG425*CapacityAge18*'19_Расчет_аналитики'!$F$211,0)</f>
        <v/>
      </c>
      <c r="BH537">
        <f>IF(IF('01_Вводные'!$B$296="Новый сезон",TRUE,TRUE),'19_Расчет_аналитики'!BH425*CapacityAge18*'19_Расчет_аналитики'!$F$211,0)</f>
        <v/>
      </c>
      <c r="BI537">
        <f>IF(IF('01_Вводные'!$B$296="Новый сезон",TRUE,TRUE),'19_Расчет_аналитики'!BI425*CapacityAge18*'19_Расчет_аналитики'!$F$211,0)</f>
        <v/>
      </c>
      <c r="BJ537">
        <f>IF(IF('01_Вводные'!$B$296="Новый сезон",TRUE,TRUE),'19_Расчет_аналитики'!BJ425*CapacityAge18*'19_Расчет_аналитики'!$F$211,0)</f>
        <v/>
      </c>
      <c r="BK537">
        <f>IF(IF('01_Вводные'!$B$296="Новый сезон",TRUE,TRUE),'19_Расчет_аналитики'!BK425*CapacityAge18*'19_Расчет_аналитики'!$F$211,0)</f>
        <v/>
      </c>
      <c r="BL537">
        <f>IF(IF('01_Вводные'!$B$296="Новый сезон",TRUE,TRUE),'19_Расчет_аналитики'!BL425*CapacityAge18*'19_Расчет_аналитики'!$F$211,0)</f>
        <v/>
      </c>
      <c r="BM537">
        <f>IF(IF('01_Вводные'!$B$296="Новый сезон",TRUE,TRUE),'19_Расчет_аналитики'!BM425*CapacityAge18*'19_Расчет_аналитики'!$F$211,0)</f>
        <v/>
      </c>
      <c r="BN537">
        <f>IF(IF('01_Вводные'!$B$296="Новый сезон",TRUE,TRUE),'19_Расчет_аналитики'!BN425*CapacityAge18*'19_Расчет_аналитики'!$F$211,0)</f>
        <v/>
      </c>
      <c r="BO537">
        <f>IF(IF('01_Вводные'!$B$296="Новый сезон",TRUE,TRUE),'19_Расчет_аналитики'!BO425*CapacityAge18*'19_Расчет_аналитики'!$F$211,0)</f>
        <v/>
      </c>
    </row>
    <row r="538">
      <c r="B538">
        <f>IF(IF('01_Вводные'!$B$296="Новый сезон",TRUE,TRUE),'06_Сеть_и_дети'!B71*CapacityAge19*'19_Расчет_аналитики'!$F$211,0)</f>
        <v/>
      </c>
      <c r="C538">
        <f>IF(IF('01_Вводные'!$B$296="Новый сезон",TRUE,TRUE),'06_Сеть_и_дети'!C71*CapacityAge19*'19_Расчет_аналитики'!$F$211,0)</f>
        <v/>
      </c>
      <c r="D538">
        <f>IF(IF('01_Вводные'!$B$296="Новый сезон",TRUE,TRUE),'06_Сеть_и_дети'!D71*CapacityAge19*'19_Расчет_аналитики'!$F$211,0)</f>
        <v/>
      </c>
      <c r="E538">
        <f>IF(IF('01_Вводные'!$B$296="Новый сезон",TRUE,TRUE),'06_Сеть_и_дети'!E71*CapacityAge19*'19_Расчет_аналитики'!$F$211,0)</f>
        <v/>
      </c>
      <c r="F538">
        <f>IF(IF('01_Вводные'!$B$296="Новый сезон",TRUE,TRUE),'06_Сеть_и_дети'!F71*CapacityAge19*'19_Расчет_аналитики'!$F$211,0)</f>
        <v/>
      </c>
      <c r="G538">
        <f>IF(IF('01_Вводные'!$B$296="Новый сезон",TRUE,TRUE),'06_Сеть_и_дети'!G71*CapacityAge19*'19_Расчет_аналитики'!$F$211,0)</f>
        <v/>
      </c>
      <c r="H538">
        <f>IF(IF('01_Вводные'!$B$296="Новый сезон",TRUE,TRUE),'06_Сеть_и_дети'!H71*CapacityAge19*'19_Расчет_аналитики'!$F$211,0)</f>
        <v/>
      </c>
      <c r="I538">
        <f>IF(IF('01_Вводные'!$B$296="Новый сезон",TRUE,TRUE),'06_Сеть_и_дети'!I71*CapacityAge19*'19_Расчет_аналитики'!$F$211,0)</f>
        <v/>
      </c>
      <c r="J538">
        <f>IF(IF('01_Вводные'!$B$296="Новый сезон",TRUE,TRUE),'06_Сеть_и_дети'!J71*CapacityAge19*'19_Расчет_аналитики'!$F$211,0)</f>
        <v/>
      </c>
      <c r="K538">
        <f>IF(IF('01_Вводные'!$B$296="Новый сезон",TRUE,TRUE),'06_Сеть_и_дети'!K71*CapacityAge19*'19_Расчет_аналитики'!$F$211,0)</f>
        <v/>
      </c>
      <c r="L538">
        <f>IF(IF('01_Вводные'!$B$296="Новый сезон",TRUE,TRUE),'06_Сеть_и_дети'!L71*CapacityAge19*'19_Расчет_аналитики'!$F$211,0)</f>
        <v/>
      </c>
      <c r="M538">
        <f>IF(IF('01_Вводные'!$B$296="Новый сезон",TRUE,TRUE),'06_Сеть_и_дети'!M71*CapacityAge19*'19_Расчет_аналитики'!$F$211,0)</f>
        <v/>
      </c>
      <c r="N538">
        <f>IF(IF('01_Вводные'!$B$296="Новый сезон",TRUE,TRUE),'06_Сеть_и_дети'!N71*CapacityAge19*'19_Расчет_аналитики'!$F$211,0)</f>
        <v/>
      </c>
      <c r="O538">
        <f>IF(IF('01_Вводные'!$B$296="Новый сезон",TRUE,TRUE),'06_Сеть_и_дети'!O71*CapacityAge19*'19_Расчет_аналитики'!$F$211,0)</f>
        <v/>
      </c>
      <c r="P538">
        <f>IF(IF('01_Вводные'!$B$296="Новый сезон",TRUE,TRUE),'06_Сеть_и_дети'!P71*CapacityAge19*'19_Расчет_аналитики'!$F$211,0)</f>
        <v/>
      </c>
      <c r="Q538">
        <f>IF(IF('01_Вводные'!$B$296="Новый сезон",TRUE,TRUE),'06_Сеть_и_дети'!Q71*CapacityAge19*'19_Расчет_аналитики'!$F$211,0)</f>
        <v/>
      </c>
      <c r="R538">
        <f>IF(IF('01_Вводные'!$B$296="Новый сезон",TRUE,TRUE),'06_Сеть_и_дети'!R71*CapacityAge19*'19_Расчет_аналитики'!$F$211,0)</f>
        <v/>
      </c>
      <c r="S538">
        <f>IF(IF('01_Вводные'!$B$296="Новый сезон",TRUE,TRUE),'06_Сеть_и_дети'!S71*CapacityAge19*'19_Расчет_аналитики'!$F$211,0)</f>
        <v/>
      </c>
      <c r="T538">
        <f>IF(IF('01_Вводные'!$B$296="Новый сезон",TRUE,TRUE),'19_Расчет_аналитики'!T426*CapacityAge19*'19_Расчет_аналитики'!$F$211,0)</f>
        <v/>
      </c>
      <c r="U538">
        <f>IF(IF('01_Вводные'!$B$296="Новый сезон",TRUE,TRUE),'19_Расчет_аналитики'!U426*CapacityAge19*'19_Расчет_аналитики'!$F$211,0)</f>
        <v/>
      </c>
      <c r="V538">
        <f>IF(IF('01_Вводные'!$B$296="Новый сезон",TRUE,TRUE),'19_Расчет_аналитики'!V426*CapacityAge19*'19_Расчет_аналитики'!$F$211,0)</f>
        <v/>
      </c>
      <c r="W538">
        <f>IF(IF('01_Вводные'!$B$296="Новый сезон",TRUE,TRUE),'19_Расчет_аналитики'!W426*CapacityAge19*'19_Расчет_аналитики'!$F$211,0)</f>
        <v/>
      </c>
      <c r="X538">
        <f>IF(IF('01_Вводные'!$B$296="Новый сезон",TRUE,TRUE),'19_Расчет_аналитики'!X426*CapacityAge19*'19_Расчет_аналитики'!$F$211,0)</f>
        <v/>
      </c>
      <c r="Y538">
        <f>IF(IF('01_Вводные'!$B$296="Новый сезон",TRUE,TRUE),'19_Расчет_аналитики'!Y426*CapacityAge19*'19_Расчет_аналитики'!$F$211,0)</f>
        <v/>
      </c>
      <c r="Z538">
        <f>IF(IF('01_Вводные'!$B$296="Новый сезон",TRUE,TRUE),'19_Расчет_аналитики'!Z426*CapacityAge19*'19_Расчет_аналитики'!$F$211,0)</f>
        <v/>
      </c>
      <c r="AA538">
        <f>IF(IF('01_Вводные'!$B$296="Новый сезон",TRUE,TRUE),'19_Расчет_аналитики'!AA426*CapacityAge19*'19_Расчет_аналитики'!$F$211,0)</f>
        <v/>
      </c>
      <c r="AB538">
        <f>IF(IF('01_Вводные'!$B$296="Новый сезон",TRUE,TRUE),'19_Расчет_аналитики'!AB426*CapacityAge19*'19_Расчет_аналитики'!$F$211,0)</f>
        <v/>
      </c>
      <c r="AC538">
        <f>IF(IF('01_Вводные'!$B$296="Новый сезон",TRUE,TRUE),'19_Расчет_аналитики'!AC426*CapacityAge19*'19_Расчет_аналитики'!$F$211,0)</f>
        <v/>
      </c>
      <c r="AD538">
        <f>IF(IF('01_Вводные'!$B$296="Новый сезон",TRUE,TRUE),'19_Расчет_аналитики'!AD426*CapacityAge19*'19_Расчет_аналитики'!$F$211,0)</f>
        <v/>
      </c>
      <c r="AE538">
        <f>IF(IF('01_Вводные'!$B$296="Новый сезон",TRUE,TRUE),'19_Расчет_аналитики'!AE426*CapacityAge19*'19_Расчет_аналитики'!$F$211,0)</f>
        <v/>
      </c>
      <c r="AF538">
        <f>IF(IF('01_Вводные'!$B$296="Новый сезон",TRUE,TRUE),'19_Расчет_аналитики'!AF426*CapacityAge19*'19_Расчет_аналитики'!$F$211,0)</f>
        <v/>
      </c>
      <c r="AG538">
        <f>IF(IF('01_Вводные'!$B$296="Новый сезон",TRUE,TRUE),'19_Расчет_аналитики'!AG426*CapacityAge19*'19_Расчет_аналитики'!$F$211,0)</f>
        <v/>
      </c>
      <c r="AH538">
        <f>IF(IF('01_Вводные'!$B$296="Новый сезон",TRUE,TRUE),'19_Расчет_аналитики'!AH426*CapacityAge19*'19_Расчет_аналитики'!$F$211,0)</f>
        <v/>
      </c>
      <c r="AI538">
        <f>IF(IF('01_Вводные'!$B$296="Новый сезон",TRUE,TRUE),'19_Расчет_аналитики'!AI426*CapacityAge19*'19_Расчет_аналитики'!$F$211,0)</f>
        <v/>
      </c>
      <c r="AJ538">
        <f>IF(IF('01_Вводные'!$B$296="Новый сезон",TRUE,TRUE),'19_Расчет_аналитики'!AJ426*CapacityAge19*'19_Расчет_аналитики'!$F$211,0)</f>
        <v/>
      </c>
      <c r="AK538">
        <f>IF(IF('01_Вводные'!$B$296="Новый сезон",TRUE,TRUE),'19_Расчет_аналитики'!AK426*CapacityAge19*'19_Расчет_аналитики'!$F$211,0)</f>
        <v/>
      </c>
      <c r="AL538">
        <f>IF(IF('01_Вводные'!$B$296="Новый сезон",TRUE,TRUE),'19_Расчет_аналитики'!AL426*CapacityAge19*'19_Расчет_аналитики'!$F$211,0)</f>
        <v/>
      </c>
      <c r="AM538">
        <f>IF(IF('01_Вводные'!$B$296="Новый сезон",TRUE,TRUE),'19_Расчет_аналитики'!AM426*CapacityAge19*'19_Расчет_аналитики'!$F$211,0)</f>
        <v/>
      </c>
      <c r="AN538">
        <f>IF(IF('01_Вводные'!$B$296="Новый сезон",TRUE,TRUE),'19_Расчет_аналитики'!AN426*CapacityAge19*'19_Расчет_аналитики'!$F$211,0)</f>
        <v/>
      </c>
      <c r="AO538">
        <f>IF(IF('01_Вводные'!$B$296="Новый сезон",TRUE,TRUE),'19_Расчет_аналитики'!AO426*CapacityAge19*'19_Расчет_аналитики'!$F$211,0)</f>
        <v/>
      </c>
      <c r="AP538">
        <f>IF(IF('01_Вводные'!$B$296="Новый сезон",TRUE,TRUE),'19_Расчет_аналитики'!AP426*CapacityAge19*'19_Расчет_аналитики'!$F$211,0)</f>
        <v/>
      </c>
      <c r="AQ538">
        <f>IF(IF('01_Вводные'!$B$296="Новый сезон",TRUE,TRUE),'19_Расчет_аналитики'!AQ426*CapacityAge19*'19_Расчет_аналитики'!$F$211,0)</f>
        <v/>
      </c>
      <c r="AR538">
        <f>IF(IF('01_Вводные'!$B$296="Новый сезон",TRUE,TRUE),'19_Расчет_аналитики'!AR426*CapacityAge19*'19_Расчет_аналитики'!$F$211,0)</f>
        <v/>
      </c>
      <c r="AS538">
        <f>IF(IF('01_Вводные'!$B$296="Новый сезон",TRUE,TRUE),'19_Расчет_аналитики'!AS426*CapacityAge19*'19_Расчет_аналитики'!$F$211,0)</f>
        <v/>
      </c>
      <c r="AT538">
        <f>IF(IF('01_Вводные'!$B$296="Новый сезон",TRUE,TRUE),'19_Расчет_аналитики'!AT426*CapacityAge19*'19_Расчет_аналитики'!$F$211,0)</f>
        <v/>
      </c>
      <c r="AU538">
        <f>IF(IF('01_Вводные'!$B$296="Новый сезон",TRUE,TRUE),'19_Расчет_аналитики'!AU426*CapacityAge19*'19_Расчет_аналитики'!$F$211,0)</f>
        <v/>
      </c>
      <c r="AV538">
        <f>IF(IF('01_Вводные'!$B$296="Новый сезон",TRUE,TRUE),'19_Расчет_аналитики'!AV426*CapacityAge19*'19_Расчет_аналитики'!$F$211,0)</f>
        <v/>
      </c>
      <c r="AW538">
        <f>IF(IF('01_Вводные'!$B$296="Новый сезон",TRUE,TRUE),'19_Расчет_аналитики'!AW426*CapacityAge19*'19_Расчет_аналитики'!$F$211,0)</f>
        <v/>
      </c>
      <c r="AX538">
        <f>IF(IF('01_Вводные'!$B$296="Новый сезон",TRUE,TRUE),'19_Расчет_аналитики'!AX426*CapacityAge19*'19_Расчет_аналитики'!$F$211,0)</f>
        <v/>
      </c>
      <c r="AY538">
        <f>IF(IF('01_Вводные'!$B$296="Новый сезон",TRUE,TRUE),'19_Расчет_аналитики'!AY426*CapacityAge19*'19_Расчет_аналитики'!$F$211,0)</f>
        <v/>
      </c>
      <c r="AZ538">
        <f>IF(IF('01_Вводные'!$B$296="Новый сезон",TRUE,TRUE),'19_Расчет_аналитики'!AZ426*CapacityAge19*'19_Расчет_аналитики'!$F$211,0)</f>
        <v/>
      </c>
      <c r="BA538">
        <f>IF(IF('01_Вводные'!$B$296="Новый сезон",TRUE,TRUE),'19_Расчет_аналитики'!BA426*CapacityAge19*'19_Расчет_аналитики'!$F$211,0)</f>
        <v/>
      </c>
      <c r="BB538">
        <f>IF(IF('01_Вводные'!$B$296="Новый сезон",TRUE,TRUE),'19_Расчет_аналитики'!BB426*CapacityAge19*'19_Расчет_аналитики'!$F$211,0)</f>
        <v/>
      </c>
      <c r="BC538">
        <f>IF(IF('01_Вводные'!$B$296="Новый сезон",TRUE,TRUE),'19_Расчет_аналитики'!BC426*CapacityAge19*'19_Расчет_аналитики'!$F$211,0)</f>
        <v/>
      </c>
      <c r="BD538">
        <f>IF(IF('01_Вводные'!$B$296="Новый сезон",TRUE,TRUE),'19_Расчет_аналитики'!BD426*CapacityAge19*'19_Расчет_аналитики'!$F$211,0)</f>
        <v/>
      </c>
      <c r="BE538">
        <f>IF(IF('01_Вводные'!$B$296="Новый сезон",TRUE,TRUE),'19_Расчет_аналитики'!BE426*CapacityAge19*'19_Расчет_аналитики'!$F$211,0)</f>
        <v/>
      </c>
      <c r="BF538">
        <f>IF(IF('01_Вводные'!$B$296="Новый сезон",TRUE,TRUE),'19_Расчет_аналитики'!BF426*CapacityAge19*'19_Расчет_аналитики'!$F$211,0)</f>
        <v/>
      </c>
      <c r="BG538">
        <f>IF(IF('01_Вводные'!$B$296="Новый сезон",TRUE,TRUE),'19_Расчет_аналитики'!BG426*CapacityAge19*'19_Расчет_аналитики'!$F$211,0)</f>
        <v/>
      </c>
      <c r="BH538">
        <f>IF(IF('01_Вводные'!$B$296="Новый сезон",TRUE,TRUE),'19_Расчет_аналитики'!BH426*CapacityAge19*'19_Расчет_аналитики'!$F$211,0)</f>
        <v/>
      </c>
      <c r="BI538">
        <f>IF(IF('01_Вводные'!$B$296="Новый сезон",TRUE,TRUE),'19_Расчет_аналитики'!BI426*CapacityAge19*'19_Расчет_аналитики'!$F$211,0)</f>
        <v/>
      </c>
      <c r="BJ538">
        <f>IF(IF('01_Вводные'!$B$296="Новый сезон",TRUE,TRUE),'19_Расчет_аналитики'!BJ426*CapacityAge19*'19_Расчет_аналитики'!$F$211,0)</f>
        <v/>
      </c>
      <c r="BK538">
        <f>IF(IF('01_Вводные'!$B$296="Новый сезон",TRUE,TRUE),'19_Расчет_аналитики'!BK426*CapacityAge19*'19_Расчет_аналитики'!$F$211,0)</f>
        <v/>
      </c>
      <c r="BL538">
        <f>IF(IF('01_Вводные'!$B$296="Новый сезон",TRUE,TRUE),'19_Расчет_аналитики'!BL426*CapacityAge19*'19_Расчет_аналитики'!$F$211,0)</f>
        <v/>
      </c>
      <c r="BM538">
        <f>IF(IF('01_Вводные'!$B$296="Новый сезон",TRUE,TRUE),'19_Расчет_аналитики'!BM426*CapacityAge19*'19_Расчет_аналитики'!$F$211,0)</f>
        <v/>
      </c>
      <c r="BN538">
        <f>IF(IF('01_Вводные'!$B$296="Новый сезон",TRUE,TRUE),'19_Расчет_аналитики'!BN426*CapacityAge19*'19_Расчет_аналитики'!$F$211,0)</f>
        <v/>
      </c>
      <c r="BO538">
        <f>IF(IF('01_Вводные'!$B$296="Новый сезон",TRUE,TRUE),'19_Расчет_аналитики'!BO426*CapacityAge19*'19_Расчет_аналитики'!$F$211,0)</f>
        <v/>
      </c>
    </row>
    <row r="539">
      <c r="B539">
        <f>IF(IF('01_Вводные'!$B$296="Новый сезон",TRUE,TRUE),'06_Сеть_и_дети'!B72*CapacityAge20*'19_Расчет_аналитики'!$F$211,0)</f>
        <v/>
      </c>
      <c r="C539">
        <f>IF(IF('01_Вводные'!$B$296="Новый сезон",TRUE,TRUE),'06_Сеть_и_дети'!C72*CapacityAge20*'19_Расчет_аналитики'!$F$211,0)</f>
        <v/>
      </c>
      <c r="D539">
        <f>IF(IF('01_Вводные'!$B$296="Новый сезон",TRUE,TRUE),'06_Сеть_и_дети'!D72*CapacityAge20*'19_Расчет_аналитики'!$F$211,0)</f>
        <v/>
      </c>
      <c r="E539">
        <f>IF(IF('01_Вводные'!$B$296="Новый сезон",TRUE,TRUE),'06_Сеть_и_дети'!E72*CapacityAge20*'19_Расчет_аналитики'!$F$211,0)</f>
        <v/>
      </c>
      <c r="F539">
        <f>IF(IF('01_Вводные'!$B$296="Новый сезон",TRUE,TRUE),'06_Сеть_и_дети'!F72*CapacityAge20*'19_Расчет_аналитики'!$F$211,0)</f>
        <v/>
      </c>
      <c r="G539">
        <f>IF(IF('01_Вводные'!$B$296="Новый сезон",TRUE,TRUE),'06_Сеть_и_дети'!G72*CapacityAge20*'19_Расчет_аналитики'!$F$211,0)</f>
        <v/>
      </c>
      <c r="H539">
        <f>IF(IF('01_Вводные'!$B$296="Новый сезон",TRUE,TRUE),'06_Сеть_и_дети'!H72*CapacityAge20*'19_Расчет_аналитики'!$F$211,0)</f>
        <v/>
      </c>
      <c r="I539">
        <f>IF(IF('01_Вводные'!$B$296="Новый сезон",TRUE,TRUE),'06_Сеть_и_дети'!I72*CapacityAge20*'19_Расчет_аналитики'!$F$211,0)</f>
        <v/>
      </c>
      <c r="J539">
        <f>IF(IF('01_Вводные'!$B$296="Новый сезон",TRUE,TRUE),'06_Сеть_и_дети'!J72*CapacityAge20*'19_Расчет_аналитики'!$F$211,0)</f>
        <v/>
      </c>
      <c r="K539">
        <f>IF(IF('01_Вводные'!$B$296="Новый сезон",TRUE,TRUE),'06_Сеть_и_дети'!K72*CapacityAge20*'19_Расчет_аналитики'!$F$211,0)</f>
        <v/>
      </c>
      <c r="L539">
        <f>IF(IF('01_Вводные'!$B$296="Новый сезон",TRUE,TRUE),'06_Сеть_и_дети'!L72*CapacityAge20*'19_Расчет_аналитики'!$F$211,0)</f>
        <v/>
      </c>
      <c r="M539">
        <f>IF(IF('01_Вводные'!$B$296="Новый сезон",TRUE,TRUE),'06_Сеть_и_дети'!M72*CapacityAge20*'19_Расчет_аналитики'!$F$211,0)</f>
        <v/>
      </c>
      <c r="N539">
        <f>IF(IF('01_Вводные'!$B$296="Новый сезон",TRUE,TRUE),'06_Сеть_и_дети'!N72*CapacityAge20*'19_Расчет_аналитики'!$F$211,0)</f>
        <v/>
      </c>
      <c r="O539">
        <f>IF(IF('01_Вводные'!$B$296="Новый сезон",TRUE,TRUE),'06_Сеть_и_дети'!O72*CapacityAge20*'19_Расчет_аналитики'!$F$211,0)</f>
        <v/>
      </c>
      <c r="P539">
        <f>IF(IF('01_Вводные'!$B$296="Новый сезон",TRUE,TRUE),'06_Сеть_и_дети'!P72*CapacityAge20*'19_Расчет_аналитики'!$F$211,0)</f>
        <v/>
      </c>
      <c r="Q539">
        <f>IF(IF('01_Вводные'!$B$296="Новый сезон",TRUE,TRUE),'06_Сеть_и_дети'!Q72*CapacityAge20*'19_Расчет_аналитики'!$F$211,0)</f>
        <v/>
      </c>
      <c r="R539">
        <f>IF(IF('01_Вводные'!$B$296="Новый сезон",TRUE,TRUE),'06_Сеть_и_дети'!R72*CapacityAge20*'19_Расчет_аналитики'!$F$211,0)</f>
        <v/>
      </c>
      <c r="S539">
        <f>IF(IF('01_Вводные'!$B$296="Новый сезон",TRUE,TRUE),'06_Сеть_и_дети'!S72*CapacityAge20*'19_Расчет_аналитики'!$F$211,0)</f>
        <v/>
      </c>
      <c r="T539">
        <f>IF(IF('01_Вводные'!$B$296="Новый сезон",TRUE,TRUE),'06_Сеть_и_дети'!T72*CapacityAge20*'19_Расчет_аналитики'!$F$211,0)</f>
        <v/>
      </c>
      <c r="U539">
        <f>IF(IF('01_Вводные'!$B$296="Новый сезон",TRUE,TRUE),'19_Расчет_аналитики'!U427*CapacityAge20*'19_Расчет_аналитики'!$F$211,0)</f>
        <v/>
      </c>
      <c r="V539">
        <f>IF(IF('01_Вводные'!$B$296="Новый сезон",TRUE,TRUE),'19_Расчет_аналитики'!V427*CapacityAge20*'19_Расчет_аналитики'!$F$211,0)</f>
        <v/>
      </c>
      <c r="W539">
        <f>IF(IF('01_Вводные'!$B$296="Новый сезон",TRUE,TRUE),'19_Расчет_аналитики'!W427*CapacityAge20*'19_Расчет_аналитики'!$F$211,0)</f>
        <v/>
      </c>
      <c r="X539">
        <f>IF(IF('01_Вводные'!$B$296="Новый сезон",TRUE,TRUE),'19_Расчет_аналитики'!X427*CapacityAge20*'19_Расчет_аналитики'!$F$211,0)</f>
        <v/>
      </c>
      <c r="Y539">
        <f>IF(IF('01_Вводные'!$B$296="Новый сезон",TRUE,TRUE),'19_Расчет_аналитики'!Y427*CapacityAge20*'19_Расчет_аналитики'!$F$211,0)</f>
        <v/>
      </c>
      <c r="Z539">
        <f>IF(IF('01_Вводные'!$B$296="Новый сезон",TRUE,TRUE),'19_Расчет_аналитики'!Z427*CapacityAge20*'19_Расчет_аналитики'!$F$211,0)</f>
        <v/>
      </c>
      <c r="AA539">
        <f>IF(IF('01_Вводные'!$B$296="Новый сезон",TRUE,TRUE),'19_Расчет_аналитики'!AA427*CapacityAge20*'19_Расчет_аналитики'!$F$211,0)</f>
        <v/>
      </c>
      <c r="AB539">
        <f>IF(IF('01_Вводные'!$B$296="Новый сезон",TRUE,TRUE),'19_Расчет_аналитики'!AB427*CapacityAge20*'19_Расчет_аналитики'!$F$211,0)</f>
        <v/>
      </c>
      <c r="AC539">
        <f>IF(IF('01_Вводные'!$B$296="Новый сезон",TRUE,TRUE),'19_Расчет_аналитики'!AC427*CapacityAge20*'19_Расчет_аналитики'!$F$211,0)</f>
        <v/>
      </c>
      <c r="AD539">
        <f>IF(IF('01_Вводные'!$B$296="Новый сезон",TRUE,TRUE),'19_Расчет_аналитики'!AD427*CapacityAge20*'19_Расчет_аналитики'!$F$211,0)</f>
        <v/>
      </c>
      <c r="AE539">
        <f>IF(IF('01_Вводные'!$B$296="Новый сезон",TRUE,TRUE),'19_Расчет_аналитики'!AE427*CapacityAge20*'19_Расчет_аналитики'!$F$211,0)</f>
        <v/>
      </c>
      <c r="AF539">
        <f>IF(IF('01_Вводные'!$B$296="Новый сезон",TRUE,TRUE),'19_Расчет_аналитики'!AF427*CapacityAge20*'19_Расчет_аналитики'!$F$211,0)</f>
        <v/>
      </c>
      <c r="AG539">
        <f>IF(IF('01_Вводные'!$B$296="Новый сезон",TRUE,TRUE),'19_Расчет_аналитики'!AG427*CapacityAge20*'19_Расчет_аналитики'!$F$211,0)</f>
        <v/>
      </c>
      <c r="AH539">
        <f>IF(IF('01_Вводные'!$B$296="Новый сезон",TRUE,TRUE),'19_Расчет_аналитики'!AH427*CapacityAge20*'19_Расчет_аналитики'!$F$211,0)</f>
        <v/>
      </c>
      <c r="AI539">
        <f>IF(IF('01_Вводные'!$B$296="Новый сезон",TRUE,TRUE),'19_Расчет_аналитики'!AI427*CapacityAge20*'19_Расчет_аналитики'!$F$211,0)</f>
        <v/>
      </c>
      <c r="AJ539">
        <f>IF(IF('01_Вводные'!$B$296="Новый сезон",TRUE,TRUE),'19_Расчет_аналитики'!AJ427*CapacityAge20*'19_Расчет_аналитики'!$F$211,0)</f>
        <v/>
      </c>
      <c r="AK539">
        <f>IF(IF('01_Вводные'!$B$296="Новый сезон",TRUE,TRUE),'19_Расчет_аналитики'!AK427*CapacityAge20*'19_Расчет_аналитики'!$F$211,0)</f>
        <v/>
      </c>
      <c r="AL539">
        <f>IF(IF('01_Вводные'!$B$296="Новый сезон",TRUE,TRUE),'19_Расчет_аналитики'!AL427*CapacityAge20*'19_Расчет_аналитики'!$F$211,0)</f>
        <v/>
      </c>
      <c r="AM539">
        <f>IF(IF('01_Вводные'!$B$296="Новый сезон",TRUE,TRUE),'19_Расчет_аналитики'!AM427*CapacityAge20*'19_Расчет_аналитики'!$F$211,0)</f>
        <v/>
      </c>
      <c r="AN539">
        <f>IF(IF('01_Вводные'!$B$296="Новый сезон",TRUE,TRUE),'19_Расчет_аналитики'!AN427*CapacityAge20*'19_Расчет_аналитики'!$F$211,0)</f>
        <v/>
      </c>
      <c r="AO539">
        <f>IF(IF('01_Вводные'!$B$296="Новый сезон",TRUE,TRUE),'19_Расчет_аналитики'!AO427*CapacityAge20*'19_Расчет_аналитики'!$F$211,0)</f>
        <v/>
      </c>
      <c r="AP539">
        <f>IF(IF('01_Вводные'!$B$296="Новый сезон",TRUE,TRUE),'19_Расчет_аналитики'!AP427*CapacityAge20*'19_Расчет_аналитики'!$F$211,0)</f>
        <v/>
      </c>
      <c r="AQ539">
        <f>IF(IF('01_Вводные'!$B$296="Новый сезон",TRUE,TRUE),'19_Расчет_аналитики'!AQ427*CapacityAge20*'19_Расчет_аналитики'!$F$211,0)</f>
        <v/>
      </c>
      <c r="AR539">
        <f>IF(IF('01_Вводные'!$B$296="Новый сезон",TRUE,TRUE),'19_Расчет_аналитики'!AR427*CapacityAge20*'19_Расчет_аналитики'!$F$211,0)</f>
        <v/>
      </c>
      <c r="AS539">
        <f>IF(IF('01_Вводные'!$B$296="Новый сезон",TRUE,TRUE),'19_Расчет_аналитики'!AS427*CapacityAge20*'19_Расчет_аналитики'!$F$211,0)</f>
        <v/>
      </c>
      <c r="AT539">
        <f>IF(IF('01_Вводные'!$B$296="Новый сезон",TRUE,TRUE),'19_Расчет_аналитики'!AT427*CapacityAge20*'19_Расчет_аналитики'!$F$211,0)</f>
        <v/>
      </c>
      <c r="AU539">
        <f>IF(IF('01_Вводные'!$B$296="Новый сезон",TRUE,TRUE),'19_Расчет_аналитики'!AU427*CapacityAge20*'19_Расчет_аналитики'!$F$211,0)</f>
        <v/>
      </c>
      <c r="AV539">
        <f>IF(IF('01_Вводные'!$B$296="Новый сезон",TRUE,TRUE),'19_Расчет_аналитики'!AV427*CapacityAge20*'19_Расчет_аналитики'!$F$211,0)</f>
        <v/>
      </c>
      <c r="AW539">
        <f>IF(IF('01_Вводные'!$B$296="Новый сезон",TRUE,TRUE),'19_Расчет_аналитики'!AW427*CapacityAge20*'19_Расчет_аналитики'!$F$211,0)</f>
        <v/>
      </c>
      <c r="AX539">
        <f>IF(IF('01_Вводные'!$B$296="Новый сезон",TRUE,TRUE),'19_Расчет_аналитики'!AX427*CapacityAge20*'19_Расчет_аналитики'!$F$211,0)</f>
        <v/>
      </c>
      <c r="AY539">
        <f>IF(IF('01_Вводные'!$B$296="Новый сезон",TRUE,TRUE),'19_Расчет_аналитики'!AY427*CapacityAge20*'19_Расчет_аналитики'!$F$211,0)</f>
        <v/>
      </c>
      <c r="AZ539">
        <f>IF(IF('01_Вводные'!$B$296="Новый сезон",TRUE,TRUE),'19_Расчет_аналитики'!AZ427*CapacityAge20*'19_Расчет_аналитики'!$F$211,0)</f>
        <v/>
      </c>
      <c r="BA539">
        <f>IF(IF('01_Вводные'!$B$296="Новый сезон",TRUE,TRUE),'19_Расчет_аналитики'!BA427*CapacityAge20*'19_Расчет_аналитики'!$F$211,0)</f>
        <v/>
      </c>
      <c r="BB539">
        <f>IF(IF('01_Вводные'!$B$296="Новый сезон",TRUE,TRUE),'19_Расчет_аналитики'!BB427*CapacityAge20*'19_Расчет_аналитики'!$F$211,0)</f>
        <v/>
      </c>
      <c r="BC539">
        <f>IF(IF('01_Вводные'!$B$296="Новый сезон",TRUE,TRUE),'19_Расчет_аналитики'!BC427*CapacityAge20*'19_Расчет_аналитики'!$F$211,0)</f>
        <v/>
      </c>
      <c r="BD539">
        <f>IF(IF('01_Вводные'!$B$296="Новый сезон",TRUE,TRUE),'19_Расчет_аналитики'!BD427*CapacityAge20*'19_Расчет_аналитики'!$F$211,0)</f>
        <v/>
      </c>
      <c r="BE539">
        <f>IF(IF('01_Вводные'!$B$296="Новый сезон",TRUE,TRUE),'19_Расчет_аналитики'!BE427*CapacityAge20*'19_Расчет_аналитики'!$F$211,0)</f>
        <v/>
      </c>
      <c r="BF539">
        <f>IF(IF('01_Вводные'!$B$296="Новый сезон",TRUE,TRUE),'19_Расчет_аналитики'!BF427*CapacityAge20*'19_Расчет_аналитики'!$F$211,0)</f>
        <v/>
      </c>
      <c r="BG539">
        <f>IF(IF('01_Вводные'!$B$296="Новый сезон",TRUE,TRUE),'19_Расчет_аналитики'!BG427*CapacityAge20*'19_Расчет_аналитики'!$F$211,0)</f>
        <v/>
      </c>
      <c r="BH539">
        <f>IF(IF('01_Вводные'!$B$296="Новый сезон",TRUE,TRUE),'19_Расчет_аналитики'!BH427*CapacityAge20*'19_Расчет_аналитики'!$F$211,0)</f>
        <v/>
      </c>
      <c r="BI539">
        <f>IF(IF('01_Вводные'!$B$296="Новый сезон",TRUE,TRUE),'19_Расчет_аналитики'!BI427*CapacityAge20*'19_Расчет_аналитики'!$F$211,0)</f>
        <v/>
      </c>
      <c r="BJ539">
        <f>IF(IF('01_Вводные'!$B$296="Новый сезон",TRUE,TRUE),'19_Расчет_аналитики'!BJ427*CapacityAge20*'19_Расчет_аналитики'!$F$211,0)</f>
        <v/>
      </c>
      <c r="BK539">
        <f>IF(IF('01_Вводные'!$B$296="Новый сезон",TRUE,TRUE),'19_Расчет_аналитики'!BK427*CapacityAge20*'19_Расчет_аналитики'!$F$211,0)</f>
        <v/>
      </c>
      <c r="BL539">
        <f>IF(IF('01_Вводные'!$B$296="Новый сезон",TRUE,TRUE),'19_Расчет_аналитики'!BL427*CapacityAge20*'19_Расчет_аналитики'!$F$211,0)</f>
        <v/>
      </c>
      <c r="BM539">
        <f>IF(IF('01_Вводные'!$B$296="Новый сезон",TRUE,TRUE),'19_Расчет_аналитики'!BM427*CapacityAge20*'19_Расчет_аналитики'!$F$211,0)</f>
        <v/>
      </c>
      <c r="BN539">
        <f>IF(IF('01_Вводные'!$B$296="Новый сезон",TRUE,TRUE),'19_Расчет_аналитики'!BN427*CapacityAge20*'19_Расчет_аналитики'!$F$211,0)</f>
        <v/>
      </c>
      <c r="BO539">
        <f>IF(IF('01_Вводные'!$B$296="Новый сезон",TRUE,TRUE),'19_Расчет_аналитики'!BO427*CapacityAge20*'19_Расчет_аналитики'!$F$211,0)</f>
        <v/>
      </c>
    </row>
    <row r="540">
      <c r="B540">
        <f>IF(IF('01_Вводные'!$B$296="Новый сезон",TRUE,TRUE),'06_Сеть_и_дети'!B73*CapacityAge21*'19_Расчет_аналитики'!$F$211,0)</f>
        <v/>
      </c>
      <c r="C540">
        <f>IF(IF('01_Вводные'!$B$296="Новый сезон",TRUE,TRUE),'06_Сеть_и_дети'!C73*CapacityAge21*'19_Расчет_аналитики'!$F$211,0)</f>
        <v/>
      </c>
      <c r="D540">
        <f>IF(IF('01_Вводные'!$B$296="Новый сезон",TRUE,TRUE),'06_Сеть_и_дети'!D73*CapacityAge21*'19_Расчет_аналитики'!$F$211,0)</f>
        <v/>
      </c>
      <c r="E540">
        <f>IF(IF('01_Вводные'!$B$296="Новый сезон",TRUE,TRUE),'06_Сеть_и_дети'!E73*CapacityAge21*'19_Расчет_аналитики'!$F$211,0)</f>
        <v/>
      </c>
      <c r="F540">
        <f>IF(IF('01_Вводные'!$B$296="Новый сезон",TRUE,TRUE),'06_Сеть_и_дети'!F73*CapacityAge21*'19_Расчет_аналитики'!$F$211,0)</f>
        <v/>
      </c>
      <c r="G540">
        <f>IF(IF('01_Вводные'!$B$296="Новый сезон",TRUE,TRUE),'06_Сеть_и_дети'!G73*CapacityAge21*'19_Расчет_аналитики'!$F$211,0)</f>
        <v/>
      </c>
      <c r="H540">
        <f>IF(IF('01_Вводные'!$B$296="Новый сезон",TRUE,TRUE),'06_Сеть_и_дети'!H73*CapacityAge21*'19_Расчет_аналитики'!$F$211,0)</f>
        <v/>
      </c>
      <c r="I540">
        <f>IF(IF('01_Вводные'!$B$296="Новый сезон",TRUE,TRUE),'06_Сеть_и_дети'!I73*CapacityAge21*'19_Расчет_аналитики'!$F$211,0)</f>
        <v/>
      </c>
      <c r="J540">
        <f>IF(IF('01_Вводные'!$B$296="Новый сезон",TRUE,TRUE),'06_Сеть_и_дети'!J73*CapacityAge21*'19_Расчет_аналитики'!$F$211,0)</f>
        <v/>
      </c>
      <c r="K540">
        <f>IF(IF('01_Вводные'!$B$296="Новый сезон",TRUE,TRUE),'06_Сеть_и_дети'!K73*CapacityAge21*'19_Расчет_аналитики'!$F$211,0)</f>
        <v/>
      </c>
      <c r="L540">
        <f>IF(IF('01_Вводные'!$B$296="Новый сезон",TRUE,TRUE),'06_Сеть_и_дети'!L73*CapacityAge21*'19_Расчет_аналитики'!$F$211,0)</f>
        <v/>
      </c>
      <c r="M540">
        <f>IF(IF('01_Вводные'!$B$296="Новый сезон",TRUE,TRUE),'06_Сеть_и_дети'!M73*CapacityAge21*'19_Расчет_аналитики'!$F$211,0)</f>
        <v/>
      </c>
      <c r="N540">
        <f>IF(IF('01_Вводные'!$B$296="Новый сезон",TRUE,TRUE),'06_Сеть_и_дети'!N73*CapacityAge21*'19_Расчет_аналитики'!$F$211,0)</f>
        <v/>
      </c>
      <c r="O540">
        <f>IF(IF('01_Вводные'!$B$296="Новый сезон",TRUE,TRUE),'06_Сеть_и_дети'!O73*CapacityAge21*'19_Расчет_аналитики'!$F$211,0)</f>
        <v/>
      </c>
      <c r="P540">
        <f>IF(IF('01_Вводные'!$B$296="Новый сезон",TRUE,TRUE),'06_Сеть_и_дети'!P73*CapacityAge21*'19_Расчет_аналитики'!$F$211,0)</f>
        <v/>
      </c>
      <c r="Q540">
        <f>IF(IF('01_Вводные'!$B$296="Новый сезон",TRUE,TRUE),'06_Сеть_и_дети'!Q73*CapacityAge21*'19_Расчет_аналитики'!$F$211,0)</f>
        <v/>
      </c>
      <c r="R540">
        <f>IF(IF('01_Вводные'!$B$296="Новый сезон",TRUE,TRUE),'06_Сеть_и_дети'!R73*CapacityAge21*'19_Расчет_аналитики'!$F$211,0)</f>
        <v/>
      </c>
      <c r="S540">
        <f>IF(IF('01_Вводные'!$B$296="Новый сезон",TRUE,TRUE),'06_Сеть_и_дети'!S73*CapacityAge21*'19_Расчет_аналитики'!$F$211,0)</f>
        <v/>
      </c>
      <c r="T540">
        <f>IF(IF('01_Вводные'!$B$296="Новый сезон",TRUE,TRUE),'06_Сеть_и_дети'!T73*CapacityAge21*'19_Расчет_аналитики'!$F$211,0)</f>
        <v/>
      </c>
      <c r="U540">
        <f>IF(IF('01_Вводные'!$B$296="Новый сезон",TRUE,TRUE),'06_Сеть_и_дети'!U73*CapacityAge21*'19_Расчет_аналитики'!$F$211,0)</f>
        <v/>
      </c>
      <c r="V540">
        <f>IF(IF('01_Вводные'!$B$296="Новый сезон",TRUE,TRUE),'19_Расчет_аналитики'!V428*CapacityAge21*'19_Расчет_аналитики'!$F$211,0)</f>
        <v/>
      </c>
      <c r="W540">
        <f>IF(IF('01_Вводные'!$B$296="Новый сезон",TRUE,TRUE),'19_Расчет_аналитики'!W428*CapacityAge21*'19_Расчет_аналитики'!$F$211,0)</f>
        <v/>
      </c>
      <c r="X540">
        <f>IF(IF('01_Вводные'!$B$296="Новый сезон",TRUE,TRUE),'19_Расчет_аналитики'!X428*CapacityAge21*'19_Расчет_аналитики'!$F$211,0)</f>
        <v/>
      </c>
      <c r="Y540">
        <f>IF(IF('01_Вводные'!$B$296="Новый сезон",TRUE,TRUE),'19_Расчет_аналитики'!Y428*CapacityAge21*'19_Расчет_аналитики'!$F$211,0)</f>
        <v/>
      </c>
      <c r="Z540">
        <f>IF(IF('01_Вводные'!$B$296="Новый сезон",TRUE,TRUE),'19_Расчет_аналитики'!Z428*CapacityAge21*'19_Расчет_аналитики'!$F$211,0)</f>
        <v/>
      </c>
      <c r="AA540">
        <f>IF(IF('01_Вводные'!$B$296="Новый сезон",TRUE,TRUE),'19_Расчет_аналитики'!AA428*CapacityAge21*'19_Расчет_аналитики'!$F$211,0)</f>
        <v/>
      </c>
      <c r="AB540">
        <f>IF(IF('01_Вводные'!$B$296="Новый сезон",TRUE,TRUE),'19_Расчет_аналитики'!AB428*CapacityAge21*'19_Расчет_аналитики'!$F$211,0)</f>
        <v/>
      </c>
      <c r="AC540">
        <f>IF(IF('01_Вводные'!$B$296="Новый сезон",TRUE,TRUE),'19_Расчет_аналитики'!AC428*CapacityAge21*'19_Расчет_аналитики'!$F$211,0)</f>
        <v/>
      </c>
      <c r="AD540">
        <f>IF(IF('01_Вводные'!$B$296="Новый сезон",TRUE,TRUE),'19_Расчет_аналитики'!AD428*CapacityAge21*'19_Расчет_аналитики'!$F$211,0)</f>
        <v/>
      </c>
      <c r="AE540">
        <f>IF(IF('01_Вводные'!$B$296="Новый сезон",TRUE,TRUE),'19_Расчет_аналитики'!AE428*CapacityAge21*'19_Расчет_аналитики'!$F$211,0)</f>
        <v/>
      </c>
      <c r="AF540">
        <f>IF(IF('01_Вводные'!$B$296="Новый сезон",TRUE,TRUE),'19_Расчет_аналитики'!AF428*CapacityAge21*'19_Расчет_аналитики'!$F$211,0)</f>
        <v/>
      </c>
      <c r="AG540">
        <f>IF(IF('01_Вводные'!$B$296="Новый сезон",TRUE,TRUE),'19_Расчет_аналитики'!AG428*CapacityAge21*'19_Расчет_аналитики'!$F$211,0)</f>
        <v/>
      </c>
      <c r="AH540">
        <f>IF(IF('01_Вводные'!$B$296="Новый сезон",TRUE,TRUE),'19_Расчет_аналитики'!AH428*CapacityAge21*'19_Расчет_аналитики'!$F$211,0)</f>
        <v/>
      </c>
      <c r="AI540">
        <f>IF(IF('01_Вводные'!$B$296="Новый сезон",TRUE,TRUE),'19_Расчет_аналитики'!AI428*CapacityAge21*'19_Расчет_аналитики'!$F$211,0)</f>
        <v/>
      </c>
      <c r="AJ540">
        <f>IF(IF('01_Вводные'!$B$296="Новый сезон",TRUE,TRUE),'19_Расчет_аналитики'!AJ428*CapacityAge21*'19_Расчет_аналитики'!$F$211,0)</f>
        <v/>
      </c>
      <c r="AK540">
        <f>IF(IF('01_Вводные'!$B$296="Новый сезон",TRUE,TRUE),'19_Расчет_аналитики'!AK428*CapacityAge21*'19_Расчет_аналитики'!$F$211,0)</f>
        <v/>
      </c>
      <c r="AL540">
        <f>IF(IF('01_Вводные'!$B$296="Новый сезон",TRUE,TRUE),'19_Расчет_аналитики'!AL428*CapacityAge21*'19_Расчет_аналитики'!$F$211,0)</f>
        <v/>
      </c>
      <c r="AM540">
        <f>IF(IF('01_Вводные'!$B$296="Новый сезон",TRUE,TRUE),'19_Расчет_аналитики'!AM428*CapacityAge21*'19_Расчет_аналитики'!$F$211,0)</f>
        <v/>
      </c>
      <c r="AN540">
        <f>IF(IF('01_Вводные'!$B$296="Новый сезон",TRUE,TRUE),'19_Расчет_аналитики'!AN428*CapacityAge21*'19_Расчет_аналитики'!$F$211,0)</f>
        <v/>
      </c>
      <c r="AO540">
        <f>IF(IF('01_Вводные'!$B$296="Новый сезон",TRUE,TRUE),'19_Расчет_аналитики'!AO428*CapacityAge21*'19_Расчет_аналитики'!$F$211,0)</f>
        <v/>
      </c>
      <c r="AP540">
        <f>IF(IF('01_Вводные'!$B$296="Новый сезон",TRUE,TRUE),'19_Расчет_аналитики'!AP428*CapacityAge21*'19_Расчет_аналитики'!$F$211,0)</f>
        <v/>
      </c>
      <c r="AQ540">
        <f>IF(IF('01_Вводные'!$B$296="Новый сезон",TRUE,TRUE),'19_Расчет_аналитики'!AQ428*CapacityAge21*'19_Расчет_аналитики'!$F$211,0)</f>
        <v/>
      </c>
      <c r="AR540">
        <f>IF(IF('01_Вводные'!$B$296="Новый сезон",TRUE,TRUE),'19_Расчет_аналитики'!AR428*CapacityAge21*'19_Расчет_аналитики'!$F$211,0)</f>
        <v/>
      </c>
      <c r="AS540">
        <f>IF(IF('01_Вводные'!$B$296="Новый сезон",TRUE,TRUE),'19_Расчет_аналитики'!AS428*CapacityAge21*'19_Расчет_аналитики'!$F$211,0)</f>
        <v/>
      </c>
      <c r="AT540">
        <f>IF(IF('01_Вводные'!$B$296="Новый сезон",TRUE,TRUE),'19_Расчет_аналитики'!AT428*CapacityAge21*'19_Расчет_аналитики'!$F$211,0)</f>
        <v/>
      </c>
      <c r="AU540">
        <f>IF(IF('01_Вводные'!$B$296="Новый сезон",TRUE,TRUE),'19_Расчет_аналитики'!AU428*CapacityAge21*'19_Расчет_аналитики'!$F$211,0)</f>
        <v/>
      </c>
      <c r="AV540">
        <f>IF(IF('01_Вводные'!$B$296="Новый сезон",TRUE,TRUE),'19_Расчет_аналитики'!AV428*CapacityAge21*'19_Расчет_аналитики'!$F$211,0)</f>
        <v/>
      </c>
      <c r="AW540">
        <f>IF(IF('01_Вводные'!$B$296="Новый сезон",TRUE,TRUE),'19_Расчет_аналитики'!AW428*CapacityAge21*'19_Расчет_аналитики'!$F$211,0)</f>
        <v/>
      </c>
      <c r="AX540">
        <f>IF(IF('01_Вводные'!$B$296="Новый сезон",TRUE,TRUE),'19_Расчет_аналитики'!AX428*CapacityAge21*'19_Расчет_аналитики'!$F$211,0)</f>
        <v/>
      </c>
      <c r="AY540">
        <f>IF(IF('01_Вводные'!$B$296="Новый сезон",TRUE,TRUE),'19_Расчет_аналитики'!AY428*CapacityAge21*'19_Расчет_аналитики'!$F$211,0)</f>
        <v/>
      </c>
      <c r="AZ540">
        <f>IF(IF('01_Вводные'!$B$296="Новый сезон",TRUE,TRUE),'19_Расчет_аналитики'!AZ428*CapacityAge21*'19_Расчет_аналитики'!$F$211,0)</f>
        <v/>
      </c>
      <c r="BA540">
        <f>IF(IF('01_Вводные'!$B$296="Новый сезон",TRUE,TRUE),'19_Расчет_аналитики'!BA428*CapacityAge21*'19_Расчет_аналитики'!$F$211,0)</f>
        <v/>
      </c>
      <c r="BB540">
        <f>IF(IF('01_Вводные'!$B$296="Новый сезон",TRUE,TRUE),'19_Расчет_аналитики'!BB428*CapacityAge21*'19_Расчет_аналитики'!$F$211,0)</f>
        <v/>
      </c>
      <c r="BC540">
        <f>IF(IF('01_Вводные'!$B$296="Новый сезон",TRUE,TRUE),'19_Расчет_аналитики'!BC428*CapacityAge21*'19_Расчет_аналитики'!$F$211,0)</f>
        <v/>
      </c>
      <c r="BD540">
        <f>IF(IF('01_Вводные'!$B$296="Новый сезон",TRUE,TRUE),'19_Расчет_аналитики'!BD428*CapacityAge21*'19_Расчет_аналитики'!$F$211,0)</f>
        <v/>
      </c>
      <c r="BE540">
        <f>IF(IF('01_Вводные'!$B$296="Новый сезон",TRUE,TRUE),'19_Расчет_аналитики'!BE428*CapacityAge21*'19_Расчет_аналитики'!$F$211,0)</f>
        <v/>
      </c>
      <c r="BF540">
        <f>IF(IF('01_Вводные'!$B$296="Новый сезон",TRUE,TRUE),'19_Расчет_аналитики'!BF428*CapacityAge21*'19_Расчет_аналитики'!$F$211,0)</f>
        <v/>
      </c>
      <c r="BG540">
        <f>IF(IF('01_Вводные'!$B$296="Новый сезон",TRUE,TRUE),'19_Расчет_аналитики'!BG428*CapacityAge21*'19_Расчет_аналитики'!$F$211,0)</f>
        <v/>
      </c>
      <c r="BH540">
        <f>IF(IF('01_Вводные'!$B$296="Новый сезон",TRUE,TRUE),'19_Расчет_аналитики'!BH428*CapacityAge21*'19_Расчет_аналитики'!$F$211,0)</f>
        <v/>
      </c>
      <c r="BI540">
        <f>IF(IF('01_Вводные'!$B$296="Новый сезон",TRUE,TRUE),'19_Расчет_аналитики'!BI428*CapacityAge21*'19_Расчет_аналитики'!$F$211,0)</f>
        <v/>
      </c>
      <c r="BJ540">
        <f>IF(IF('01_Вводные'!$B$296="Новый сезон",TRUE,TRUE),'19_Расчет_аналитики'!BJ428*CapacityAge21*'19_Расчет_аналитики'!$F$211,0)</f>
        <v/>
      </c>
      <c r="BK540">
        <f>IF(IF('01_Вводные'!$B$296="Новый сезон",TRUE,TRUE),'19_Расчет_аналитики'!BK428*CapacityAge21*'19_Расчет_аналитики'!$F$211,0)</f>
        <v/>
      </c>
      <c r="BL540">
        <f>IF(IF('01_Вводные'!$B$296="Новый сезон",TRUE,TRUE),'19_Расчет_аналитики'!BL428*CapacityAge21*'19_Расчет_аналитики'!$F$211,0)</f>
        <v/>
      </c>
      <c r="BM540">
        <f>IF(IF('01_Вводные'!$B$296="Новый сезон",TRUE,TRUE),'19_Расчет_аналитики'!BM428*CapacityAge21*'19_Расчет_аналитики'!$F$211,0)</f>
        <v/>
      </c>
      <c r="BN540">
        <f>IF(IF('01_Вводные'!$B$296="Новый сезон",TRUE,TRUE),'19_Расчет_аналитики'!BN428*CapacityAge21*'19_Расчет_аналитики'!$F$211,0)</f>
        <v/>
      </c>
      <c r="BO540">
        <f>IF(IF('01_Вводные'!$B$296="Новый сезон",TRUE,TRUE),'19_Расчет_аналитики'!BO428*CapacityAge21*'19_Расчет_аналитики'!$F$211,0)</f>
        <v/>
      </c>
    </row>
    <row r="541">
      <c r="B541">
        <f>IF(IF('01_Вводные'!$B$296="Новый сезон",TRUE,TRUE),'06_Сеть_и_дети'!B74*CapacityAge22*'19_Расчет_аналитики'!$F$211,0)</f>
        <v/>
      </c>
      <c r="C541">
        <f>IF(IF('01_Вводные'!$B$296="Новый сезон",TRUE,TRUE),'06_Сеть_и_дети'!C74*CapacityAge22*'19_Расчет_аналитики'!$F$211,0)</f>
        <v/>
      </c>
      <c r="D541">
        <f>IF(IF('01_Вводные'!$B$296="Новый сезон",TRUE,TRUE),'06_Сеть_и_дети'!D74*CapacityAge22*'19_Расчет_аналитики'!$F$211,0)</f>
        <v/>
      </c>
      <c r="E541">
        <f>IF(IF('01_Вводные'!$B$296="Новый сезон",TRUE,TRUE),'06_Сеть_и_дети'!E74*CapacityAge22*'19_Расчет_аналитики'!$F$211,0)</f>
        <v/>
      </c>
      <c r="F541">
        <f>IF(IF('01_Вводные'!$B$296="Новый сезон",TRUE,TRUE),'06_Сеть_и_дети'!F74*CapacityAge22*'19_Расчет_аналитики'!$F$211,0)</f>
        <v/>
      </c>
      <c r="G541">
        <f>IF(IF('01_Вводные'!$B$296="Новый сезон",TRUE,TRUE),'06_Сеть_и_дети'!G74*CapacityAge22*'19_Расчет_аналитики'!$F$211,0)</f>
        <v/>
      </c>
      <c r="H541">
        <f>IF(IF('01_Вводные'!$B$296="Новый сезон",TRUE,TRUE),'06_Сеть_и_дети'!H74*CapacityAge22*'19_Расчет_аналитики'!$F$211,0)</f>
        <v/>
      </c>
      <c r="I541">
        <f>IF(IF('01_Вводные'!$B$296="Новый сезон",TRUE,TRUE),'06_Сеть_и_дети'!I74*CapacityAge22*'19_Расчет_аналитики'!$F$211,0)</f>
        <v/>
      </c>
      <c r="J541">
        <f>IF(IF('01_Вводные'!$B$296="Новый сезон",TRUE,TRUE),'06_Сеть_и_дети'!J74*CapacityAge22*'19_Расчет_аналитики'!$F$211,0)</f>
        <v/>
      </c>
      <c r="K541">
        <f>IF(IF('01_Вводные'!$B$296="Новый сезон",TRUE,TRUE),'06_Сеть_и_дети'!K74*CapacityAge22*'19_Расчет_аналитики'!$F$211,0)</f>
        <v/>
      </c>
      <c r="L541">
        <f>IF(IF('01_Вводные'!$B$296="Новый сезон",TRUE,TRUE),'06_Сеть_и_дети'!L74*CapacityAge22*'19_Расчет_аналитики'!$F$211,0)</f>
        <v/>
      </c>
      <c r="M541">
        <f>IF(IF('01_Вводные'!$B$296="Новый сезон",TRUE,TRUE),'06_Сеть_и_дети'!M74*CapacityAge22*'19_Расчет_аналитики'!$F$211,0)</f>
        <v/>
      </c>
      <c r="N541">
        <f>IF(IF('01_Вводные'!$B$296="Новый сезон",TRUE,TRUE),'06_Сеть_и_дети'!N74*CapacityAge22*'19_Расчет_аналитики'!$F$211,0)</f>
        <v/>
      </c>
      <c r="O541">
        <f>IF(IF('01_Вводные'!$B$296="Новый сезон",TRUE,TRUE),'06_Сеть_и_дети'!O74*CapacityAge22*'19_Расчет_аналитики'!$F$211,0)</f>
        <v/>
      </c>
      <c r="P541">
        <f>IF(IF('01_Вводные'!$B$296="Новый сезон",TRUE,TRUE),'06_Сеть_и_дети'!P74*CapacityAge22*'19_Расчет_аналитики'!$F$211,0)</f>
        <v/>
      </c>
      <c r="Q541">
        <f>IF(IF('01_Вводные'!$B$296="Новый сезон",TRUE,TRUE),'06_Сеть_и_дети'!Q74*CapacityAge22*'19_Расчет_аналитики'!$F$211,0)</f>
        <v/>
      </c>
      <c r="R541">
        <f>IF(IF('01_Вводные'!$B$296="Новый сезон",TRUE,TRUE),'06_Сеть_и_дети'!R74*CapacityAge22*'19_Расчет_аналитики'!$F$211,0)</f>
        <v/>
      </c>
      <c r="S541">
        <f>IF(IF('01_Вводные'!$B$296="Новый сезон",TRUE,TRUE),'06_Сеть_и_дети'!S74*CapacityAge22*'19_Расчет_аналитики'!$F$211,0)</f>
        <v/>
      </c>
      <c r="T541">
        <f>IF(IF('01_Вводные'!$B$296="Новый сезон",TRUE,TRUE),'06_Сеть_и_дети'!T74*CapacityAge22*'19_Расчет_аналитики'!$F$211,0)</f>
        <v/>
      </c>
      <c r="U541">
        <f>IF(IF('01_Вводные'!$B$296="Новый сезон",TRUE,TRUE),'06_Сеть_и_дети'!U74*CapacityAge22*'19_Расчет_аналитики'!$F$211,0)</f>
        <v/>
      </c>
      <c r="V541">
        <f>IF(IF('01_Вводные'!$B$296="Новый сезон",TRUE,TRUE),'06_Сеть_и_дети'!V74*CapacityAge22*'19_Расчет_аналитики'!$F$211,0)</f>
        <v/>
      </c>
      <c r="W541">
        <f>IF(IF('01_Вводные'!$B$296="Новый сезон",TRUE,TRUE),'19_Расчет_аналитики'!W429*CapacityAge22*'19_Расчет_аналитики'!$F$211,0)</f>
        <v/>
      </c>
      <c r="X541">
        <f>IF(IF('01_Вводные'!$B$296="Новый сезон",TRUE,TRUE),'19_Расчет_аналитики'!X429*CapacityAge22*'19_Расчет_аналитики'!$F$211,0)</f>
        <v/>
      </c>
      <c r="Y541">
        <f>IF(IF('01_Вводные'!$B$296="Новый сезон",TRUE,TRUE),'19_Расчет_аналитики'!Y429*CapacityAge22*'19_Расчет_аналитики'!$F$211,0)</f>
        <v/>
      </c>
      <c r="Z541">
        <f>IF(IF('01_Вводные'!$B$296="Новый сезон",TRUE,TRUE),'19_Расчет_аналитики'!Z429*CapacityAge22*'19_Расчет_аналитики'!$F$211,0)</f>
        <v/>
      </c>
      <c r="AA541">
        <f>IF(IF('01_Вводные'!$B$296="Новый сезон",TRUE,TRUE),'19_Расчет_аналитики'!AA429*CapacityAge22*'19_Расчет_аналитики'!$F$211,0)</f>
        <v/>
      </c>
      <c r="AB541">
        <f>IF(IF('01_Вводные'!$B$296="Новый сезон",TRUE,TRUE),'19_Расчет_аналитики'!AB429*CapacityAge22*'19_Расчет_аналитики'!$F$211,0)</f>
        <v/>
      </c>
      <c r="AC541">
        <f>IF(IF('01_Вводные'!$B$296="Новый сезон",TRUE,TRUE),'19_Расчет_аналитики'!AC429*CapacityAge22*'19_Расчет_аналитики'!$F$211,0)</f>
        <v/>
      </c>
      <c r="AD541">
        <f>IF(IF('01_Вводные'!$B$296="Новый сезон",TRUE,TRUE),'19_Расчет_аналитики'!AD429*CapacityAge22*'19_Расчет_аналитики'!$F$211,0)</f>
        <v/>
      </c>
      <c r="AE541">
        <f>IF(IF('01_Вводные'!$B$296="Новый сезон",TRUE,TRUE),'19_Расчет_аналитики'!AE429*CapacityAge22*'19_Расчет_аналитики'!$F$211,0)</f>
        <v/>
      </c>
      <c r="AF541">
        <f>IF(IF('01_Вводные'!$B$296="Новый сезон",TRUE,TRUE),'19_Расчет_аналитики'!AF429*CapacityAge22*'19_Расчет_аналитики'!$F$211,0)</f>
        <v/>
      </c>
      <c r="AG541">
        <f>IF(IF('01_Вводные'!$B$296="Новый сезон",TRUE,TRUE),'19_Расчет_аналитики'!AG429*CapacityAge22*'19_Расчет_аналитики'!$F$211,0)</f>
        <v/>
      </c>
      <c r="AH541">
        <f>IF(IF('01_Вводные'!$B$296="Новый сезон",TRUE,TRUE),'19_Расчет_аналитики'!AH429*CapacityAge22*'19_Расчет_аналитики'!$F$211,0)</f>
        <v/>
      </c>
      <c r="AI541">
        <f>IF(IF('01_Вводные'!$B$296="Новый сезон",TRUE,TRUE),'19_Расчет_аналитики'!AI429*CapacityAge22*'19_Расчет_аналитики'!$F$211,0)</f>
        <v/>
      </c>
      <c r="AJ541">
        <f>IF(IF('01_Вводные'!$B$296="Новый сезон",TRUE,TRUE),'19_Расчет_аналитики'!AJ429*CapacityAge22*'19_Расчет_аналитики'!$F$211,0)</f>
        <v/>
      </c>
      <c r="AK541">
        <f>IF(IF('01_Вводные'!$B$296="Новый сезон",TRUE,TRUE),'19_Расчет_аналитики'!AK429*CapacityAge22*'19_Расчет_аналитики'!$F$211,0)</f>
        <v/>
      </c>
      <c r="AL541">
        <f>IF(IF('01_Вводные'!$B$296="Новый сезон",TRUE,TRUE),'19_Расчет_аналитики'!AL429*CapacityAge22*'19_Расчет_аналитики'!$F$211,0)</f>
        <v/>
      </c>
      <c r="AM541">
        <f>IF(IF('01_Вводные'!$B$296="Новый сезон",TRUE,TRUE),'19_Расчет_аналитики'!AM429*CapacityAge22*'19_Расчет_аналитики'!$F$211,0)</f>
        <v/>
      </c>
      <c r="AN541">
        <f>IF(IF('01_Вводные'!$B$296="Новый сезон",TRUE,TRUE),'19_Расчет_аналитики'!AN429*CapacityAge22*'19_Расчет_аналитики'!$F$211,0)</f>
        <v/>
      </c>
      <c r="AO541">
        <f>IF(IF('01_Вводные'!$B$296="Новый сезон",TRUE,TRUE),'19_Расчет_аналитики'!AO429*CapacityAge22*'19_Расчет_аналитики'!$F$211,0)</f>
        <v/>
      </c>
      <c r="AP541">
        <f>IF(IF('01_Вводные'!$B$296="Новый сезон",TRUE,TRUE),'19_Расчет_аналитики'!AP429*CapacityAge22*'19_Расчет_аналитики'!$F$211,0)</f>
        <v/>
      </c>
      <c r="AQ541">
        <f>IF(IF('01_Вводные'!$B$296="Новый сезон",TRUE,TRUE),'19_Расчет_аналитики'!AQ429*CapacityAge22*'19_Расчет_аналитики'!$F$211,0)</f>
        <v/>
      </c>
      <c r="AR541">
        <f>IF(IF('01_Вводные'!$B$296="Новый сезон",TRUE,TRUE),'19_Расчет_аналитики'!AR429*CapacityAge22*'19_Расчет_аналитики'!$F$211,0)</f>
        <v/>
      </c>
      <c r="AS541">
        <f>IF(IF('01_Вводные'!$B$296="Новый сезон",TRUE,TRUE),'19_Расчет_аналитики'!AS429*CapacityAge22*'19_Расчет_аналитики'!$F$211,0)</f>
        <v/>
      </c>
      <c r="AT541">
        <f>IF(IF('01_Вводные'!$B$296="Новый сезон",TRUE,TRUE),'19_Расчет_аналитики'!AT429*CapacityAge22*'19_Расчет_аналитики'!$F$211,0)</f>
        <v/>
      </c>
      <c r="AU541">
        <f>IF(IF('01_Вводные'!$B$296="Новый сезон",TRUE,TRUE),'19_Расчет_аналитики'!AU429*CapacityAge22*'19_Расчет_аналитики'!$F$211,0)</f>
        <v/>
      </c>
      <c r="AV541">
        <f>IF(IF('01_Вводные'!$B$296="Новый сезон",TRUE,TRUE),'19_Расчет_аналитики'!AV429*CapacityAge22*'19_Расчет_аналитики'!$F$211,0)</f>
        <v/>
      </c>
      <c r="AW541">
        <f>IF(IF('01_Вводные'!$B$296="Новый сезон",TRUE,TRUE),'19_Расчет_аналитики'!AW429*CapacityAge22*'19_Расчет_аналитики'!$F$211,0)</f>
        <v/>
      </c>
      <c r="AX541">
        <f>IF(IF('01_Вводные'!$B$296="Новый сезон",TRUE,TRUE),'19_Расчет_аналитики'!AX429*CapacityAge22*'19_Расчет_аналитики'!$F$211,0)</f>
        <v/>
      </c>
      <c r="AY541">
        <f>IF(IF('01_Вводные'!$B$296="Новый сезон",TRUE,TRUE),'19_Расчет_аналитики'!AY429*CapacityAge22*'19_Расчет_аналитики'!$F$211,0)</f>
        <v/>
      </c>
      <c r="AZ541">
        <f>IF(IF('01_Вводные'!$B$296="Новый сезон",TRUE,TRUE),'19_Расчет_аналитики'!AZ429*CapacityAge22*'19_Расчет_аналитики'!$F$211,0)</f>
        <v/>
      </c>
      <c r="BA541">
        <f>IF(IF('01_Вводные'!$B$296="Новый сезон",TRUE,TRUE),'19_Расчет_аналитики'!BA429*CapacityAge22*'19_Расчет_аналитики'!$F$211,0)</f>
        <v/>
      </c>
      <c r="BB541">
        <f>IF(IF('01_Вводные'!$B$296="Новый сезон",TRUE,TRUE),'19_Расчет_аналитики'!BB429*CapacityAge22*'19_Расчет_аналитики'!$F$211,0)</f>
        <v/>
      </c>
      <c r="BC541">
        <f>IF(IF('01_Вводные'!$B$296="Новый сезон",TRUE,TRUE),'19_Расчет_аналитики'!BC429*CapacityAge22*'19_Расчет_аналитики'!$F$211,0)</f>
        <v/>
      </c>
      <c r="BD541">
        <f>IF(IF('01_Вводные'!$B$296="Новый сезон",TRUE,TRUE),'19_Расчет_аналитики'!BD429*CapacityAge22*'19_Расчет_аналитики'!$F$211,0)</f>
        <v/>
      </c>
      <c r="BE541">
        <f>IF(IF('01_Вводные'!$B$296="Новый сезон",TRUE,TRUE),'19_Расчет_аналитики'!BE429*CapacityAge22*'19_Расчет_аналитики'!$F$211,0)</f>
        <v/>
      </c>
      <c r="BF541">
        <f>IF(IF('01_Вводные'!$B$296="Новый сезон",TRUE,TRUE),'19_Расчет_аналитики'!BF429*CapacityAge22*'19_Расчет_аналитики'!$F$211,0)</f>
        <v/>
      </c>
      <c r="BG541">
        <f>IF(IF('01_Вводные'!$B$296="Новый сезон",TRUE,TRUE),'19_Расчет_аналитики'!BG429*CapacityAge22*'19_Расчет_аналитики'!$F$211,0)</f>
        <v/>
      </c>
      <c r="BH541">
        <f>IF(IF('01_Вводные'!$B$296="Новый сезон",TRUE,TRUE),'19_Расчет_аналитики'!BH429*CapacityAge22*'19_Расчет_аналитики'!$F$211,0)</f>
        <v/>
      </c>
      <c r="BI541">
        <f>IF(IF('01_Вводные'!$B$296="Новый сезон",TRUE,TRUE),'19_Расчет_аналитики'!BI429*CapacityAge22*'19_Расчет_аналитики'!$F$211,0)</f>
        <v/>
      </c>
      <c r="BJ541">
        <f>IF(IF('01_Вводные'!$B$296="Новый сезон",TRUE,TRUE),'19_Расчет_аналитики'!BJ429*CapacityAge22*'19_Расчет_аналитики'!$F$211,0)</f>
        <v/>
      </c>
      <c r="BK541">
        <f>IF(IF('01_Вводные'!$B$296="Новый сезон",TRUE,TRUE),'19_Расчет_аналитики'!BK429*CapacityAge22*'19_Расчет_аналитики'!$F$211,0)</f>
        <v/>
      </c>
      <c r="BL541">
        <f>IF(IF('01_Вводные'!$B$296="Новый сезон",TRUE,TRUE),'19_Расчет_аналитики'!BL429*CapacityAge22*'19_Расчет_аналитики'!$F$211,0)</f>
        <v/>
      </c>
      <c r="BM541">
        <f>IF(IF('01_Вводные'!$B$296="Новый сезон",TRUE,TRUE),'19_Расчет_аналитики'!BM429*CapacityAge22*'19_Расчет_аналитики'!$F$211,0)</f>
        <v/>
      </c>
      <c r="BN541">
        <f>IF(IF('01_Вводные'!$B$296="Новый сезон",TRUE,TRUE),'19_Расчет_аналитики'!BN429*CapacityAge22*'19_Расчет_аналитики'!$F$211,0)</f>
        <v/>
      </c>
      <c r="BO541">
        <f>IF(IF('01_Вводные'!$B$296="Новый сезон",TRUE,TRUE),'19_Расчет_аналитики'!BO429*CapacityAge22*'19_Расчет_аналитики'!$F$211,0)</f>
        <v/>
      </c>
    </row>
    <row r="542">
      <c r="B542">
        <f>IF(IF('01_Вводные'!$B$296="Новый сезон",TRUE,TRUE),'06_Сеть_и_дети'!B75*CapacityAge23*'19_Расчет_аналитики'!$F$211,0)</f>
        <v/>
      </c>
      <c r="C542">
        <f>IF(IF('01_Вводные'!$B$296="Новый сезон",TRUE,TRUE),'06_Сеть_и_дети'!C75*CapacityAge23*'19_Расчет_аналитики'!$F$211,0)</f>
        <v/>
      </c>
      <c r="D542">
        <f>IF(IF('01_Вводные'!$B$296="Новый сезон",TRUE,TRUE),'06_Сеть_и_дети'!D75*CapacityAge23*'19_Расчет_аналитики'!$F$211,0)</f>
        <v/>
      </c>
      <c r="E542">
        <f>IF(IF('01_Вводные'!$B$296="Новый сезон",TRUE,TRUE),'06_Сеть_и_дети'!E75*CapacityAge23*'19_Расчет_аналитики'!$F$211,0)</f>
        <v/>
      </c>
      <c r="F542">
        <f>IF(IF('01_Вводные'!$B$296="Новый сезон",TRUE,TRUE),'06_Сеть_и_дети'!F75*CapacityAge23*'19_Расчет_аналитики'!$F$211,0)</f>
        <v/>
      </c>
      <c r="G542">
        <f>IF(IF('01_Вводные'!$B$296="Новый сезон",TRUE,TRUE),'06_Сеть_и_дети'!G75*CapacityAge23*'19_Расчет_аналитики'!$F$211,0)</f>
        <v/>
      </c>
      <c r="H542">
        <f>IF(IF('01_Вводные'!$B$296="Новый сезон",TRUE,TRUE),'06_Сеть_и_дети'!H75*CapacityAge23*'19_Расчет_аналитики'!$F$211,0)</f>
        <v/>
      </c>
      <c r="I542">
        <f>IF(IF('01_Вводные'!$B$296="Новый сезон",TRUE,TRUE),'06_Сеть_и_дети'!I75*CapacityAge23*'19_Расчет_аналитики'!$F$211,0)</f>
        <v/>
      </c>
      <c r="J542">
        <f>IF(IF('01_Вводные'!$B$296="Новый сезон",TRUE,TRUE),'06_Сеть_и_дети'!J75*CapacityAge23*'19_Расчет_аналитики'!$F$211,0)</f>
        <v/>
      </c>
      <c r="K542">
        <f>IF(IF('01_Вводные'!$B$296="Новый сезон",TRUE,TRUE),'06_Сеть_и_дети'!K75*CapacityAge23*'19_Расчет_аналитики'!$F$211,0)</f>
        <v/>
      </c>
      <c r="L542">
        <f>IF(IF('01_Вводные'!$B$296="Новый сезон",TRUE,TRUE),'06_Сеть_и_дети'!L75*CapacityAge23*'19_Расчет_аналитики'!$F$211,0)</f>
        <v/>
      </c>
      <c r="M542">
        <f>IF(IF('01_Вводные'!$B$296="Новый сезон",TRUE,TRUE),'06_Сеть_и_дети'!M75*CapacityAge23*'19_Расчет_аналитики'!$F$211,0)</f>
        <v/>
      </c>
      <c r="N542">
        <f>IF(IF('01_Вводные'!$B$296="Новый сезон",TRUE,TRUE),'06_Сеть_и_дети'!N75*CapacityAge23*'19_Расчет_аналитики'!$F$211,0)</f>
        <v/>
      </c>
      <c r="O542">
        <f>IF(IF('01_Вводные'!$B$296="Новый сезон",TRUE,TRUE),'06_Сеть_и_дети'!O75*CapacityAge23*'19_Расчет_аналитики'!$F$211,0)</f>
        <v/>
      </c>
      <c r="P542">
        <f>IF(IF('01_Вводные'!$B$296="Новый сезон",TRUE,TRUE),'06_Сеть_и_дети'!P75*CapacityAge23*'19_Расчет_аналитики'!$F$211,0)</f>
        <v/>
      </c>
      <c r="Q542">
        <f>IF(IF('01_Вводные'!$B$296="Новый сезон",TRUE,TRUE),'06_Сеть_и_дети'!Q75*CapacityAge23*'19_Расчет_аналитики'!$F$211,0)</f>
        <v/>
      </c>
      <c r="R542">
        <f>IF(IF('01_Вводные'!$B$296="Новый сезон",TRUE,TRUE),'06_Сеть_и_дети'!R75*CapacityAge23*'19_Расчет_аналитики'!$F$211,0)</f>
        <v/>
      </c>
      <c r="S542">
        <f>IF(IF('01_Вводные'!$B$296="Новый сезон",TRUE,TRUE),'06_Сеть_и_дети'!S75*CapacityAge23*'19_Расчет_аналитики'!$F$211,0)</f>
        <v/>
      </c>
      <c r="T542">
        <f>IF(IF('01_Вводные'!$B$296="Новый сезон",TRUE,TRUE),'06_Сеть_и_дети'!T75*CapacityAge23*'19_Расчет_аналитики'!$F$211,0)</f>
        <v/>
      </c>
      <c r="U542">
        <f>IF(IF('01_Вводные'!$B$296="Новый сезон",TRUE,TRUE),'06_Сеть_и_дети'!U75*CapacityAge23*'19_Расчет_аналитики'!$F$211,0)</f>
        <v/>
      </c>
      <c r="V542">
        <f>IF(IF('01_Вводные'!$B$296="Новый сезон",TRUE,TRUE),'06_Сеть_и_дети'!V75*CapacityAge23*'19_Расчет_аналитики'!$F$211,0)</f>
        <v/>
      </c>
      <c r="W542">
        <f>IF(IF('01_Вводные'!$B$296="Новый сезон",TRUE,TRUE),'06_Сеть_и_дети'!W75*CapacityAge23*'19_Расчет_аналитики'!$F$211,0)</f>
        <v/>
      </c>
      <c r="X542">
        <f>IF(IF('01_Вводные'!$B$296="Новый сезон",TRUE,TRUE),'19_Расчет_аналитики'!X430*CapacityAge23*'19_Расчет_аналитики'!$F$211,0)</f>
        <v/>
      </c>
      <c r="Y542">
        <f>IF(IF('01_Вводные'!$B$296="Новый сезон",TRUE,TRUE),'19_Расчет_аналитики'!Y430*CapacityAge23*'19_Расчет_аналитики'!$F$211,0)</f>
        <v/>
      </c>
      <c r="Z542">
        <f>IF(IF('01_Вводные'!$B$296="Новый сезон",TRUE,TRUE),'19_Расчет_аналитики'!Z430*CapacityAge23*'19_Расчет_аналитики'!$F$211,0)</f>
        <v/>
      </c>
      <c r="AA542">
        <f>IF(IF('01_Вводные'!$B$296="Новый сезон",TRUE,TRUE),'19_Расчет_аналитики'!AA430*CapacityAge23*'19_Расчет_аналитики'!$F$211,0)</f>
        <v/>
      </c>
      <c r="AB542">
        <f>IF(IF('01_Вводные'!$B$296="Новый сезон",TRUE,TRUE),'19_Расчет_аналитики'!AB430*CapacityAge23*'19_Расчет_аналитики'!$F$211,0)</f>
        <v/>
      </c>
      <c r="AC542">
        <f>IF(IF('01_Вводные'!$B$296="Новый сезон",TRUE,TRUE),'19_Расчет_аналитики'!AC430*CapacityAge23*'19_Расчет_аналитики'!$F$211,0)</f>
        <v/>
      </c>
      <c r="AD542">
        <f>IF(IF('01_Вводные'!$B$296="Новый сезон",TRUE,TRUE),'19_Расчет_аналитики'!AD430*CapacityAge23*'19_Расчет_аналитики'!$F$211,0)</f>
        <v/>
      </c>
      <c r="AE542">
        <f>IF(IF('01_Вводные'!$B$296="Новый сезон",TRUE,TRUE),'19_Расчет_аналитики'!AE430*CapacityAge23*'19_Расчет_аналитики'!$F$211,0)</f>
        <v/>
      </c>
      <c r="AF542">
        <f>IF(IF('01_Вводные'!$B$296="Новый сезон",TRUE,TRUE),'19_Расчет_аналитики'!AF430*CapacityAge23*'19_Расчет_аналитики'!$F$211,0)</f>
        <v/>
      </c>
      <c r="AG542">
        <f>IF(IF('01_Вводные'!$B$296="Новый сезон",TRUE,TRUE),'19_Расчет_аналитики'!AG430*CapacityAge23*'19_Расчет_аналитики'!$F$211,0)</f>
        <v/>
      </c>
      <c r="AH542">
        <f>IF(IF('01_Вводные'!$B$296="Новый сезон",TRUE,TRUE),'19_Расчет_аналитики'!AH430*CapacityAge23*'19_Расчет_аналитики'!$F$211,0)</f>
        <v/>
      </c>
      <c r="AI542">
        <f>IF(IF('01_Вводные'!$B$296="Новый сезон",TRUE,TRUE),'19_Расчет_аналитики'!AI430*CapacityAge23*'19_Расчет_аналитики'!$F$211,0)</f>
        <v/>
      </c>
      <c r="AJ542">
        <f>IF(IF('01_Вводные'!$B$296="Новый сезон",TRUE,TRUE),'19_Расчет_аналитики'!AJ430*CapacityAge23*'19_Расчет_аналитики'!$F$211,0)</f>
        <v/>
      </c>
      <c r="AK542">
        <f>IF(IF('01_Вводные'!$B$296="Новый сезон",TRUE,TRUE),'19_Расчет_аналитики'!AK430*CapacityAge23*'19_Расчет_аналитики'!$F$211,0)</f>
        <v/>
      </c>
      <c r="AL542">
        <f>IF(IF('01_Вводные'!$B$296="Новый сезон",TRUE,TRUE),'19_Расчет_аналитики'!AL430*CapacityAge23*'19_Расчет_аналитики'!$F$211,0)</f>
        <v/>
      </c>
      <c r="AM542">
        <f>IF(IF('01_Вводные'!$B$296="Новый сезон",TRUE,TRUE),'19_Расчет_аналитики'!AM430*CapacityAge23*'19_Расчет_аналитики'!$F$211,0)</f>
        <v/>
      </c>
      <c r="AN542">
        <f>IF(IF('01_Вводные'!$B$296="Новый сезон",TRUE,TRUE),'19_Расчет_аналитики'!AN430*CapacityAge23*'19_Расчет_аналитики'!$F$211,0)</f>
        <v/>
      </c>
      <c r="AO542">
        <f>IF(IF('01_Вводные'!$B$296="Новый сезон",TRUE,TRUE),'19_Расчет_аналитики'!AO430*CapacityAge23*'19_Расчет_аналитики'!$F$211,0)</f>
        <v/>
      </c>
      <c r="AP542">
        <f>IF(IF('01_Вводные'!$B$296="Новый сезон",TRUE,TRUE),'19_Расчет_аналитики'!AP430*CapacityAge23*'19_Расчет_аналитики'!$F$211,0)</f>
        <v/>
      </c>
      <c r="AQ542">
        <f>IF(IF('01_Вводные'!$B$296="Новый сезон",TRUE,TRUE),'19_Расчет_аналитики'!AQ430*CapacityAge23*'19_Расчет_аналитики'!$F$211,0)</f>
        <v/>
      </c>
      <c r="AR542">
        <f>IF(IF('01_Вводные'!$B$296="Новый сезон",TRUE,TRUE),'19_Расчет_аналитики'!AR430*CapacityAge23*'19_Расчет_аналитики'!$F$211,0)</f>
        <v/>
      </c>
      <c r="AS542">
        <f>IF(IF('01_Вводные'!$B$296="Новый сезон",TRUE,TRUE),'19_Расчет_аналитики'!AS430*CapacityAge23*'19_Расчет_аналитики'!$F$211,0)</f>
        <v/>
      </c>
      <c r="AT542">
        <f>IF(IF('01_Вводные'!$B$296="Новый сезон",TRUE,TRUE),'19_Расчет_аналитики'!AT430*CapacityAge23*'19_Расчет_аналитики'!$F$211,0)</f>
        <v/>
      </c>
      <c r="AU542">
        <f>IF(IF('01_Вводные'!$B$296="Новый сезон",TRUE,TRUE),'19_Расчет_аналитики'!AU430*CapacityAge23*'19_Расчет_аналитики'!$F$211,0)</f>
        <v/>
      </c>
      <c r="AV542">
        <f>IF(IF('01_Вводные'!$B$296="Новый сезон",TRUE,TRUE),'19_Расчет_аналитики'!AV430*CapacityAge23*'19_Расчет_аналитики'!$F$211,0)</f>
        <v/>
      </c>
      <c r="AW542">
        <f>IF(IF('01_Вводные'!$B$296="Новый сезон",TRUE,TRUE),'19_Расчет_аналитики'!AW430*CapacityAge23*'19_Расчет_аналитики'!$F$211,0)</f>
        <v/>
      </c>
      <c r="AX542">
        <f>IF(IF('01_Вводные'!$B$296="Новый сезон",TRUE,TRUE),'19_Расчет_аналитики'!AX430*CapacityAge23*'19_Расчет_аналитики'!$F$211,0)</f>
        <v/>
      </c>
      <c r="AY542">
        <f>IF(IF('01_Вводные'!$B$296="Новый сезон",TRUE,TRUE),'19_Расчет_аналитики'!AY430*CapacityAge23*'19_Расчет_аналитики'!$F$211,0)</f>
        <v/>
      </c>
      <c r="AZ542">
        <f>IF(IF('01_Вводные'!$B$296="Новый сезон",TRUE,TRUE),'19_Расчет_аналитики'!AZ430*CapacityAge23*'19_Расчет_аналитики'!$F$211,0)</f>
        <v/>
      </c>
      <c r="BA542">
        <f>IF(IF('01_Вводные'!$B$296="Новый сезон",TRUE,TRUE),'19_Расчет_аналитики'!BA430*CapacityAge23*'19_Расчет_аналитики'!$F$211,0)</f>
        <v/>
      </c>
      <c r="BB542">
        <f>IF(IF('01_Вводные'!$B$296="Новый сезон",TRUE,TRUE),'19_Расчет_аналитики'!BB430*CapacityAge23*'19_Расчет_аналитики'!$F$211,0)</f>
        <v/>
      </c>
      <c r="BC542">
        <f>IF(IF('01_Вводные'!$B$296="Новый сезон",TRUE,TRUE),'19_Расчет_аналитики'!BC430*CapacityAge23*'19_Расчет_аналитики'!$F$211,0)</f>
        <v/>
      </c>
      <c r="BD542">
        <f>IF(IF('01_Вводные'!$B$296="Новый сезон",TRUE,TRUE),'19_Расчет_аналитики'!BD430*CapacityAge23*'19_Расчет_аналитики'!$F$211,0)</f>
        <v/>
      </c>
      <c r="BE542">
        <f>IF(IF('01_Вводные'!$B$296="Новый сезон",TRUE,TRUE),'19_Расчет_аналитики'!BE430*CapacityAge23*'19_Расчет_аналитики'!$F$211,0)</f>
        <v/>
      </c>
      <c r="BF542">
        <f>IF(IF('01_Вводные'!$B$296="Новый сезон",TRUE,TRUE),'19_Расчет_аналитики'!BF430*CapacityAge23*'19_Расчет_аналитики'!$F$211,0)</f>
        <v/>
      </c>
      <c r="BG542">
        <f>IF(IF('01_Вводные'!$B$296="Новый сезон",TRUE,TRUE),'19_Расчет_аналитики'!BG430*CapacityAge23*'19_Расчет_аналитики'!$F$211,0)</f>
        <v/>
      </c>
      <c r="BH542">
        <f>IF(IF('01_Вводные'!$B$296="Новый сезон",TRUE,TRUE),'19_Расчет_аналитики'!BH430*CapacityAge23*'19_Расчет_аналитики'!$F$211,0)</f>
        <v/>
      </c>
      <c r="BI542">
        <f>IF(IF('01_Вводные'!$B$296="Новый сезон",TRUE,TRUE),'19_Расчет_аналитики'!BI430*CapacityAge23*'19_Расчет_аналитики'!$F$211,0)</f>
        <v/>
      </c>
      <c r="BJ542">
        <f>IF(IF('01_Вводные'!$B$296="Новый сезон",TRUE,TRUE),'19_Расчет_аналитики'!BJ430*CapacityAge23*'19_Расчет_аналитики'!$F$211,0)</f>
        <v/>
      </c>
      <c r="BK542">
        <f>IF(IF('01_Вводные'!$B$296="Новый сезон",TRUE,TRUE),'19_Расчет_аналитики'!BK430*CapacityAge23*'19_Расчет_аналитики'!$F$211,0)</f>
        <v/>
      </c>
      <c r="BL542">
        <f>IF(IF('01_Вводные'!$B$296="Новый сезон",TRUE,TRUE),'19_Расчет_аналитики'!BL430*CapacityAge23*'19_Расчет_аналитики'!$F$211,0)</f>
        <v/>
      </c>
      <c r="BM542">
        <f>IF(IF('01_Вводные'!$B$296="Новый сезон",TRUE,TRUE),'19_Расчет_аналитики'!BM430*CapacityAge23*'19_Расчет_аналитики'!$F$211,0)</f>
        <v/>
      </c>
      <c r="BN542">
        <f>IF(IF('01_Вводные'!$B$296="Новый сезон",TRUE,TRUE),'19_Расчет_аналитики'!BN430*CapacityAge23*'19_Расчет_аналитики'!$F$211,0)</f>
        <v/>
      </c>
      <c r="BO542">
        <f>IF(IF('01_Вводные'!$B$296="Новый сезон",TRUE,TRUE),'19_Расчет_аналитики'!BO430*CapacityAge23*'19_Расчет_аналитики'!$F$211,0)</f>
        <v/>
      </c>
    </row>
    <row r="543">
      <c r="B543">
        <f>IF(IF('01_Вводные'!$B$296="Новый сезон",TRUE,TRUE),'06_Сеть_и_дети'!B76*CapacityAge24*'19_Расчет_аналитики'!$F$211,0)</f>
        <v/>
      </c>
      <c r="C543">
        <f>IF(IF('01_Вводные'!$B$296="Новый сезон",TRUE,TRUE),'06_Сеть_и_дети'!C76*CapacityAge24*'19_Расчет_аналитики'!$F$211,0)</f>
        <v/>
      </c>
      <c r="D543">
        <f>IF(IF('01_Вводные'!$B$296="Новый сезон",TRUE,TRUE),'06_Сеть_и_дети'!D76*CapacityAge24*'19_Расчет_аналитики'!$F$211,0)</f>
        <v/>
      </c>
      <c r="E543">
        <f>IF(IF('01_Вводные'!$B$296="Новый сезон",TRUE,TRUE),'06_Сеть_и_дети'!E76*CapacityAge24*'19_Расчет_аналитики'!$F$211,0)</f>
        <v/>
      </c>
      <c r="F543">
        <f>IF(IF('01_Вводные'!$B$296="Новый сезон",TRUE,TRUE),'06_Сеть_и_дети'!F76*CapacityAge24*'19_Расчет_аналитики'!$F$211,0)</f>
        <v/>
      </c>
      <c r="G543">
        <f>IF(IF('01_Вводные'!$B$296="Новый сезон",TRUE,TRUE),'06_Сеть_и_дети'!G76*CapacityAge24*'19_Расчет_аналитики'!$F$211,0)</f>
        <v/>
      </c>
      <c r="H543">
        <f>IF(IF('01_Вводные'!$B$296="Новый сезон",TRUE,TRUE),'06_Сеть_и_дети'!H76*CapacityAge24*'19_Расчет_аналитики'!$F$211,0)</f>
        <v/>
      </c>
      <c r="I543">
        <f>IF(IF('01_Вводные'!$B$296="Новый сезон",TRUE,TRUE),'06_Сеть_и_дети'!I76*CapacityAge24*'19_Расчет_аналитики'!$F$211,0)</f>
        <v/>
      </c>
      <c r="J543">
        <f>IF(IF('01_Вводные'!$B$296="Новый сезон",TRUE,TRUE),'06_Сеть_и_дети'!J76*CapacityAge24*'19_Расчет_аналитики'!$F$211,0)</f>
        <v/>
      </c>
      <c r="K543">
        <f>IF(IF('01_Вводные'!$B$296="Новый сезон",TRUE,TRUE),'06_Сеть_и_дети'!K76*CapacityAge24*'19_Расчет_аналитики'!$F$211,0)</f>
        <v/>
      </c>
      <c r="L543">
        <f>IF(IF('01_Вводные'!$B$296="Новый сезон",TRUE,TRUE),'06_Сеть_и_дети'!L76*CapacityAge24*'19_Расчет_аналитики'!$F$211,0)</f>
        <v/>
      </c>
      <c r="M543">
        <f>IF(IF('01_Вводные'!$B$296="Новый сезон",TRUE,TRUE),'06_Сеть_и_дети'!M76*CapacityAge24*'19_Расчет_аналитики'!$F$211,0)</f>
        <v/>
      </c>
      <c r="N543">
        <f>IF(IF('01_Вводные'!$B$296="Новый сезон",TRUE,TRUE),'06_Сеть_и_дети'!N76*CapacityAge24*'19_Расчет_аналитики'!$F$211,0)</f>
        <v/>
      </c>
      <c r="O543">
        <f>IF(IF('01_Вводные'!$B$296="Новый сезон",TRUE,TRUE),'06_Сеть_и_дети'!O76*CapacityAge24*'19_Расчет_аналитики'!$F$211,0)</f>
        <v/>
      </c>
      <c r="P543">
        <f>IF(IF('01_Вводные'!$B$296="Новый сезон",TRUE,TRUE),'06_Сеть_и_дети'!P76*CapacityAge24*'19_Расчет_аналитики'!$F$211,0)</f>
        <v/>
      </c>
      <c r="Q543">
        <f>IF(IF('01_Вводные'!$B$296="Новый сезон",TRUE,TRUE),'06_Сеть_и_дети'!Q76*CapacityAge24*'19_Расчет_аналитики'!$F$211,0)</f>
        <v/>
      </c>
      <c r="R543">
        <f>IF(IF('01_Вводные'!$B$296="Новый сезон",TRUE,TRUE),'06_Сеть_и_дети'!R76*CapacityAge24*'19_Расчет_аналитики'!$F$211,0)</f>
        <v/>
      </c>
      <c r="S543">
        <f>IF(IF('01_Вводные'!$B$296="Новый сезон",TRUE,TRUE),'06_Сеть_и_дети'!S76*CapacityAge24*'19_Расчет_аналитики'!$F$211,0)</f>
        <v/>
      </c>
      <c r="T543">
        <f>IF(IF('01_Вводные'!$B$296="Новый сезон",TRUE,TRUE),'06_Сеть_и_дети'!T76*CapacityAge24*'19_Расчет_аналитики'!$F$211,0)</f>
        <v/>
      </c>
      <c r="U543">
        <f>IF(IF('01_Вводные'!$B$296="Новый сезон",TRUE,TRUE),'06_Сеть_и_дети'!U76*CapacityAge24*'19_Расчет_аналитики'!$F$211,0)</f>
        <v/>
      </c>
      <c r="V543">
        <f>IF(IF('01_Вводные'!$B$296="Новый сезон",TRUE,TRUE),'06_Сеть_и_дети'!V76*CapacityAge24*'19_Расчет_аналитики'!$F$211,0)</f>
        <v/>
      </c>
      <c r="W543">
        <f>IF(IF('01_Вводные'!$B$296="Новый сезон",TRUE,TRUE),'06_Сеть_и_дети'!W76*CapacityAge24*'19_Расчет_аналитики'!$F$211,0)</f>
        <v/>
      </c>
      <c r="X543">
        <f>IF(IF('01_Вводные'!$B$296="Новый сезон",TRUE,TRUE),'06_Сеть_и_дети'!X76*CapacityAge24*'19_Расчет_аналитики'!$F$211,0)</f>
        <v/>
      </c>
      <c r="Y543">
        <f>IF(IF('01_Вводные'!$B$296="Новый сезон",TRUE,TRUE),'19_Расчет_аналитики'!Y431*CapacityAge24*'19_Расчет_аналитики'!$F$211,0)</f>
        <v/>
      </c>
      <c r="Z543">
        <f>IF(IF('01_Вводные'!$B$296="Новый сезон",TRUE,TRUE),'19_Расчет_аналитики'!Z431*CapacityAge24*'19_Расчет_аналитики'!$F$211,0)</f>
        <v/>
      </c>
      <c r="AA543">
        <f>IF(IF('01_Вводные'!$B$296="Новый сезон",TRUE,TRUE),'19_Расчет_аналитики'!AA431*CapacityAge24*'19_Расчет_аналитики'!$F$211,0)</f>
        <v/>
      </c>
      <c r="AB543">
        <f>IF(IF('01_Вводные'!$B$296="Новый сезон",TRUE,TRUE),'19_Расчет_аналитики'!AB431*CapacityAge24*'19_Расчет_аналитики'!$F$211,0)</f>
        <v/>
      </c>
      <c r="AC543">
        <f>IF(IF('01_Вводные'!$B$296="Новый сезон",TRUE,TRUE),'19_Расчет_аналитики'!AC431*CapacityAge24*'19_Расчет_аналитики'!$F$211,0)</f>
        <v/>
      </c>
      <c r="AD543">
        <f>IF(IF('01_Вводные'!$B$296="Новый сезон",TRUE,TRUE),'19_Расчет_аналитики'!AD431*CapacityAge24*'19_Расчет_аналитики'!$F$211,0)</f>
        <v/>
      </c>
      <c r="AE543">
        <f>IF(IF('01_Вводные'!$B$296="Новый сезон",TRUE,TRUE),'19_Расчет_аналитики'!AE431*CapacityAge24*'19_Расчет_аналитики'!$F$211,0)</f>
        <v/>
      </c>
      <c r="AF543">
        <f>IF(IF('01_Вводные'!$B$296="Новый сезон",TRUE,TRUE),'19_Расчет_аналитики'!AF431*CapacityAge24*'19_Расчет_аналитики'!$F$211,0)</f>
        <v/>
      </c>
      <c r="AG543">
        <f>IF(IF('01_Вводные'!$B$296="Новый сезон",TRUE,TRUE),'19_Расчет_аналитики'!AG431*CapacityAge24*'19_Расчет_аналитики'!$F$211,0)</f>
        <v/>
      </c>
      <c r="AH543">
        <f>IF(IF('01_Вводные'!$B$296="Новый сезон",TRUE,TRUE),'19_Расчет_аналитики'!AH431*CapacityAge24*'19_Расчет_аналитики'!$F$211,0)</f>
        <v/>
      </c>
      <c r="AI543">
        <f>IF(IF('01_Вводные'!$B$296="Новый сезон",TRUE,TRUE),'19_Расчет_аналитики'!AI431*CapacityAge24*'19_Расчет_аналитики'!$F$211,0)</f>
        <v/>
      </c>
      <c r="AJ543">
        <f>IF(IF('01_Вводные'!$B$296="Новый сезон",TRUE,TRUE),'19_Расчет_аналитики'!AJ431*CapacityAge24*'19_Расчет_аналитики'!$F$211,0)</f>
        <v/>
      </c>
      <c r="AK543">
        <f>IF(IF('01_Вводные'!$B$296="Новый сезон",TRUE,TRUE),'19_Расчет_аналитики'!AK431*CapacityAge24*'19_Расчет_аналитики'!$F$211,0)</f>
        <v/>
      </c>
      <c r="AL543">
        <f>IF(IF('01_Вводные'!$B$296="Новый сезон",TRUE,TRUE),'19_Расчет_аналитики'!AL431*CapacityAge24*'19_Расчет_аналитики'!$F$211,0)</f>
        <v/>
      </c>
      <c r="AM543">
        <f>IF(IF('01_Вводные'!$B$296="Новый сезон",TRUE,TRUE),'19_Расчет_аналитики'!AM431*CapacityAge24*'19_Расчет_аналитики'!$F$211,0)</f>
        <v/>
      </c>
      <c r="AN543">
        <f>IF(IF('01_Вводные'!$B$296="Новый сезон",TRUE,TRUE),'19_Расчет_аналитики'!AN431*CapacityAge24*'19_Расчет_аналитики'!$F$211,0)</f>
        <v/>
      </c>
      <c r="AO543">
        <f>IF(IF('01_Вводные'!$B$296="Новый сезон",TRUE,TRUE),'19_Расчет_аналитики'!AO431*CapacityAge24*'19_Расчет_аналитики'!$F$211,0)</f>
        <v/>
      </c>
      <c r="AP543">
        <f>IF(IF('01_Вводные'!$B$296="Новый сезон",TRUE,TRUE),'19_Расчет_аналитики'!AP431*CapacityAge24*'19_Расчет_аналитики'!$F$211,0)</f>
        <v/>
      </c>
      <c r="AQ543">
        <f>IF(IF('01_Вводные'!$B$296="Новый сезон",TRUE,TRUE),'19_Расчет_аналитики'!AQ431*CapacityAge24*'19_Расчет_аналитики'!$F$211,0)</f>
        <v/>
      </c>
      <c r="AR543">
        <f>IF(IF('01_Вводные'!$B$296="Новый сезон",TRUE,TRUE),'19_Расчет_аналитики'!AR431*CapacityAge24*'19_Расчет_аналитики'!$F$211,0)</f>
        <v/>
      </c>
      <c r="AS543">
        <f>IF(IF('01_Вводные'!$B$296="Новый сезон",TRUE,TRUE),'19_Расчет_аналитики'!AS431*CapacityAge24*'19_Расчет_аналитики'!$F$211,0)</f>
        <v/>
      </c>
      <c r="AT543">
        <f>IF(IF('01_Вводные'!$B$296="Новый сезон",TRUE,TRUE),'19_Расчет_аналитики'!AT431*CapacityAge24*'19_Расчет_аналитики'!$F$211,0)</f>
        <v/>
      </c>
      <c r="AU543">
        <f>IF(IF('01_Вводные'!$B$296="Новый сезон",TRUE,TRUE),'19_Расчет_аналитики'!AU431*CapacityAge24*'19_Расчет_аналитики'!$F$211,0)</f>
        <v/>
      </c>
      <c r="AV543">
        <f>IF(IF('01_Вводные'!$B$296="Новый сезон",TRUE,TRUE),'19_Расчет_аналитики'!AV431*CapacityAge24*'19_Расчет_аналитики'!$F$211,0)</f>
        <v/>
      </c>
      <c r="AW543">
        <f>IF(IF('01_Вводные'!$B$296="Новый сезон",TRUE,TRUE),'19_Расчет_аналитики'!AW431*CapacityAge24*'19_Расчет_аналитики'!$F$211,0)</f>
        <v/>
      </c>
      <c r="AX543">
        <f>IF(IF('01_Вводные'!$B$296="Новый сезон",TRUE,TRUE),'19_Расчет_аналитики'!AX431*CapacityAge24*'19_Расчет_аналитики'!$F$211,0)</f>
        <v/>
      </c>
      <c r="AY543">
        <f>IF(IF('01_Вводные'!$B$296="Новый сезон",TRUE,TRUE),'19_Расчет_аналитики'!AY431*CapacityAge24*'19_Расчет_аналитики'!$F$211,0)</f>
        <v/>
      </c>
      <c r="AZ543">
        <f>IF(IF('01_Вводные'!$B$296="Новый сезон",TRUE,TRUE),'19_Расчет_аналитики'!AZ431*CapacityAge24*'19_Расчет_аналитики'!$F$211,0)</f>
        <v/>
      </c>
      <c r="BA543">
        <f>IF(IF('01_Вводные'!$B$296="Новый сезон",TRUE,TRUE),'19_Расчет_аналитики'!BA431*CapacityAge24*'19_Расчет_аналитики'!$F$211,0)</f>
        <v/>
      </c>
      <c r="BB543">
        <f>IF(IF('01_Вводные'!$B$296="Новый сезон",TRUE,TRUE),'19_Расчет_аналитики'!BB431*CapacityAge24*'19_Расчет_аналитики'!$F$211,0)</f>
        <v/>
      </c>
      <c r="BC543">
        <f>IF(IF('01_Вводные'!$B$296="Новый сезон",TRUE,TRUE),'19_Расчет_аналитики'!BC431*CapacityAge24*'19_Расчет_аналитики'!$F$211,0)</f>
        <v/>
      </c>
      <c r="BD543">
        <f>IF(IF('01_Вводные'!$B$296="Новый сезон",TRUE,TRUE),'19_Расчет_аналитики'!BD431*CapacityAge24*'19_Расчет_аналитики'!$F$211,0)</f>
        <v/>
      </c>
      <c r="BE543">
        <f>IF(IF('01_Вводные'!$B$296="Новый сезон",TRUE,TRUE),'19_Расчет_аналитики'!BE431*CapacityAge24*'19_Расчет_аналитики'!$F$211,0)</f>
        <v/>
      </c>
      <c r="BF543">
        <f>IF(IF('01_Вводные'!$B$296="Новый сезон",TRUE,TRUE),'19_Расчет_аналитики'!BF431*CapacityAge24*'19_Расчет_аналитики'!$F$211,0)</f>
        <v/>
      </c>
      <c r="BG543">
        <f>IF(IF('01_Вводные'!$B$296="Новый сезон",TRUE,TRUE),'19_Расчет_аналитики'!BG431*CapacityAge24*'19_Расчет_аналитики'!$F$211,0)</f>
        <v/>
      </c>
      <c r="BH543">
        <f>IF(IF('01_Вводные'!$B$296="Новый сезон",TRUE,TRUE),'19_Расчет_аналитики'!BH431*CapacityAge24*'19_Расчет_аналитики'!$F$211,0)</f>
        <v/>
      </c>
      <c r="BI543">
        <f>IF(IF('01_Вводные'!$B$296="Новый сезон",TRUE,TRUE),'19_Расчет_аналитики'!BI431*CapacityAge24*'19_Расчет_аналитики'!$F$211,0)</f>
        <v/>
      </c>
      <c r="BJ543">
        <f>IF(IF('01_Вводные'!$B$296="Новый сезон",TRUE,TRUE),'19_Расчет_аналитики'!BJ431*CapacityAge24*'19_Расчет_аналитики'!$F$211,0)</f>
        <v/>
      </c>
      <c r="BK543">
        <f>IF(IF('01_Вводные'!$B$296="Новый сезон",TRUE,TRUE),'19_Расчет_аналитики'!BK431*CapacityAge24*'19_Расчет_аналитики'!$F$211,0)</f>
        <v/>
      </c>
      <c r="BL543">
        <f>IF(IF('01_Вводные'!$B$296="Новый сезон",TRUE,TRUE),'19_Расчет_аналитики'!BL431*CapacityAge24*'19_Расчет_аналитики'!$F$211,0)</f>
        <v/>
      </c>
      <c r="BM543">
        <f>IF(IF('01_Вводные'!$B$296="Новый сезон",TRUE,TRUE),'19_Расчет_аналитики'!BM431*CapacityAge24*'19_Расчет_аналитики'!$F$211,0)</f>
        <v/>
      </c>
      <c r="BN543">
        <f>IF(IF('01_Вводные'!$B$296="Новый сезон",TRUE,TRUE),'19_Расчет_аналитики'!BN431*CapacityAge24*'19_Расчет_аналитики'!$F$211,0)</f>
        <v/>
      </c>
      <c r="BO543">
        <f>IF(IF('01_Вводные'!$B$296="Новый сезон",TRUE,TRUE),'19_Расчет_аналитики'!BO431*CapacityAge24*'19_Расчет_аналитики'!$F$211,0)</f>
        <v/>
      </c>
    </row>
    <row r="544">
      <c r="B544">
        <f>IF(IF('01_Вводные'!$B$296="Новый сезон",TRUE,TRUE),'06_Сеть_и_дети'!B77*CapacityAge25*'19_Расчет_аналитики'!$F$211,0)</f>
        <v/>
      </c>
      <c r="C544">
        <f>IF(IF('01_Вводные'!$B$296="Новый сезон",TRUE,TRUE),'06_Сеть_и_дети'!C77*CapacityAge25*'19_Расчет_аналитики'!$F$211,0)</f>
        <v/>
      </c>
      <c r="D544">
        <f>IF(IF('01_Вводные'!$B$296="Новый сезон",TRUE,TRUE),'06_Сеть_и_дети'!D77*CapacityAge25*'19_Расчет_аналитики'!$F$211,0)</f>
        <v/>
      </c>
      <c r="E544">
        <f>IF(IF('01_Вводные'!$B$296="Новый сезон",TRUE,TRUE),'06_Сеть_и_дети'!E77*CapacityAge25*'19_Расчет_аналитики'!$F$211,0)</f>
        <v/>
      </c>
      <c r="F544">
        <f>IF(IF('01_Вводные'!$B$296="Новый сезон",TRUE,TRUE),'06_Сеть_и_дети'!F77*CapacityAge25*'19_Расчет_аналитики'!$F$211,0)</f>
        <v/>
      </c>
      <c r="G544">
        <f>IF(IF('01_Вводные'!$B$296="Новый сезон",TRUE,TRUE),'06_Сеть_и_дети'!G77*CapacityAge25*'19_Расчет_аналитики'!$F$211,0)</f>
        <v/>
      </c>
      <c r="H544">
        <f>IF(IF('01_Вводные'!$B$296="Новый сезон",TRUE,TRUE),'06_Сеть_и_дети'!H77*CapacityAge25*'19_Расчет_аналитики'!$F$211,0)</f>
        <v/>
      </c>
      <c r="I544">
        <f>IF(IF('01_Вводные'!$B$296="Новый сезон",TRUE,TRUE),'06_Сеть_и_дети'!I77*CapacityAge25*'19_Расчет_аналитики'!$F$211,0)</f>
        <v/>
      </c>
      <c r="J544">
        <f>IF(IF('01_Вводные'!$B$296="Новый сезон",TRUE,TRUE),'06_Сеть_и_дети'!J77*CapacityAge25*'19_Расчет_аналитики'!$F$211,0)</f>
        <v/>
      </c>
      <c r="K544">
        <f>IF(IF('01_Вводные'!$B$296="Новый сезон",TRUE,TRUE),'06_Сеть_и_дети'!K77*CapacityAge25*'19_Расчет_аналитики'!$F$211,0)</f>
        <v/>
      </c>
      <c r="L544">
        <f>IF(IF('01_Вводные'!$B$296="Новый сезон",TRUE,TRUE),'06_Сеть_и_дети'!L77*CapacityAge25*'19_Расчет_аналитики'!$F$211,0)</f>
        <v/>
      </c>
      <c r="M544">
        <f>IF(IF('01_Вводные'!$B$296="Новый сезон",TRUE,TRUE),'06_Сеть_и_дети'!M77*CapacityAge25*'19_Расчет_аналитики'!$F$211,0)</f>
        <v/>
      </c>
      <c r="N544">
        <f>IF(IF('01_Вводные'!$B$296="Новый сезон",TRUE,TRUE),'06_Сеть_и_дети'!N77*CapacityAge25*'19_Расчет_аналитики'!$F$211,0)</f>
        <v/>
      </c>
      <c r="O544">
        <f>IF(IF('01_Вводные'!$B$296="Новый сезон",TRUE,TRUE),'06_Сеть_и_дети'!O77*CapacityAge25*'19_Расчет_аналитики'!$F$211,0)</f>
        <v/>
      </c>
      <c r="P544">
        <f>IF(IF('01_Вводные'!$B$296="Новый сезон",TRUE,TRUE),'06_Сеть_и_дети'!P77*CapacityAge25*'19_Расчет_аналитики'!$F$211,0)</f>
        <v/>
      </c>
      <c r="Q544">
        <f>IF(IF('01_Вводные'!$B$296="Новый сезон",TRUE,TRUE),'06_Сеть_и_дети'!Q77*CapacityAge25*'19_Расчет_аналитики'!$F$211,0)</f>
        <v/>
      </c>
      <c r="R544">
        <f>IF(IF('01_Вводные'!$B$296="Новый сезон",TRUE,TRUE),'06_Сеть_и_дети'!R77*CapacityAge25*'19_Расчет_аналитики'!$F$211,0)</f>
        <v/>
      </c>
      <c r="S544">
        <f>IF(IF('01_Вводные'!$B$296="Новый сезон",TRUE,TRUE),'06_Сеть_и_дети'!S77*CapacityAge25*'19_Расчет_аналитики'!$F$211,0)</f>
        <v/>
      </c>
      <c r="T544">
        <f>IF(IF('01_Вводные'!$B$296="Новый сезон",TRUE,TRUE),'06_Сеть_и_дети'!T77*CapacityAge25*'19_Расчет_аналитики'!$F$211,0)</f>
        <v/>
      </c>
      <c r="U544">
        <f>IF(IF('01_Вводные'!$B$296="Новый сезон",TRUE,TRUE),'06_Сеть_и_дети'!U77*CapacityAge25*'19_Расчет_аналитики'!$F$211,0)</f>
        <v/>
      </c>
      <c r="V544">
        <f>IF(IF('01_Вводные'!$B$296="Новый сезон",TRUE,TRUE),'06_Сеть_и_дети'!V77*CapacityAge25*'19_Расчет_аналитики'!$F$211,0)</f>
        <v/>
      </c>
      <c r="W544">
        <f>IF(IF('01_Вводные'!$B$296="Новый сезон",TRUE,TRUE),'06_Сеть_и_дети'!W77*CapacityAge25*'19_Расчет_аналитики'!$F$211,0)</f>
        <v/>
      </c>
      <c r="X544">
        <f>IF(IF('01_Вводные'!$B$296="Новый сезон",TRUE,TRUE),'06_Сеть_и_дети'!X77*CapacityAge25*'19_Расчет_аналитики'!$F$211,0)</f>
        <v/>
      </c>
      <c r="Y544">
        <f>IF(IF('01_Вводные'!$B$296="Новый сезон",TRUE,TRUE),'06_Сеть_и_дети'!Y77*CapacityAge25*'19_Расчет_аналитики'!$F$211,0)</f>
        <v/>
      </c>
      <c r="Z544">
        <f>IF(IF('01_Вводные'!$B$296="Новый сезон",TRUE,TRUE),'19_Расчет_аналитики'!Z432*CapacityAge25*'19_Расчет_аналитики'!$F$211,0)</f>
        <v/>
      </c>
      <c r="AA544">
        <f>IF(IF('01_Вводные'!$B$296="Новый сезон",TRUE,TRUE),'19_Расчет_аналитики'!AA432*CapacityAge25*'19_Расчет_аналитики'!$F$211,0)</f>
        <v/>
      </c>
      <c r="AB544">
        <f>IF(IF('01_Вводные'!$B$296="Новый сезон",TRUE,TRUE),'19_Расчет_аналитики'!AB432*CapacityAge25*'19_Расчет_аналитики'!$F$211,0)</f>
        <v/>
      </c>
      <c r="AC544">
        <f>IF(IF('01_Вводные'!$B$296="Новый сезон",TRUE,TRUE),'19_Расчет_аналитики'!AC432*CapacityAge25*'19_Расчет_аналитики'!$F$211,0)</f>
        <v/>
      </c>
      <c r="AD544">
        <f>IF(IF('01_Вводные'!$B$296="Новый сезон",TRUE,TRUE),'19_Расчет_аналитики'!AD432*CapacityAge25*'19_Расчет_аналитики'!$F$211,0)</f>
        <v/>
      </c>
      <c r="AE544">
        <f>IF(IF('01_Вводные'!$B$296="Новый сезон",TRUE,TRUE),'19_Расчет_аналитики'!AE432*CapacityAge25*'19_Расчет_аналитики'!$F$211,0)</f>
        <v/>
      </c>
      <c r="AF544">
        <f>IF(IF('01_Вводные'!$B$296="Новый сезон",TRUE,TRUE),'19_Расчет_аналитики'!AF432*CapacityAge25*'19_Расчет_аналитики'!$F$211,0)</f>
        <v/>
      </c>
      <c r="AG544">
        <f>IF(IF('01_Вводные'!$B$296="Новый сезон",TRUE,TRUE),'19_Расчет_аналитики'!AG432*CapacityAge25*'19_Расчет_аналитики'!$F$211,0)</f>
        <v/>
      </c>
      <c r="AH544">
        <f>IF(IF('01_Вводные'!$B$296="Новый сезон",TRUE,TRUE),'19_Расчет_аналитики'!AH432*CapacityAge25*'19_Расчет_аналитики'!$F$211,0)</f>
        <v/>
      </c>
      <c r="AI544">
        <f>IF(IF('01_Вводные'!$B$296="Новый сезон",TRUE,TRUE),'19_Расчет_аналитики'!AI432*CapacityAge25*'19_Расчет_аналитики'!$F$211,0)</f>
        <v/>
      </c>
      <c r="AJ544">
        <f>IF(IF('01_Вводные'!$B$296="Новый сезон",TRUE,TRUE),'19_Расчет_аналитики'!AJ432*CapacityAge25*'19_Расчет_аналитики'!$F$211,0)</f>
        <v/>
      </c>
      <c r="AK544">
        <f>IF(IF('01_Вводные'!$B$296="Новый сезон",TRUE,TRUE),'19_Расчет_аналитики'!AK432*CapacityAge25*'19_Расчет_аналитики'!$F$211,0)</f>
        <v/>
      </c>
      <c r="AL544">
        <f>IF(IF('01_Вводные'!$B$296="Новый сезон",TRUE,TRUE),'19_Расчет_аналитики'!AL432*CapacityAge25*'19_Расчет_аналитики'!$F$211,0)</f>
        <v/>
      </c>
      <c r="AM544">
        <f>IF(IF('01_Вводные'!$B$296="Новый сезон",TRUE,TRUE),'19_Расчет_аналитики'!AM432*CapacityAge25*'19_Расчет_аналитики'!$F$211,0)</f>
        <v/>
      </c>
      <c r="AN544">
        <f>IF(IF('01_Вводные'!$B$296="Новый сезон",TRUE,TRUE),'19_Расчет_аналитики'!AN432*CapacityAge25*'19_Расчет_аналитики'!$F$211,0)</f>
        <v/>
      </c>
      <c r="AO544">
        <f>IF(IF('01_Вводные'!$B$296="Новый сезон",TRUE,TRUE),'19_Расчет_аналитики'!AO432*CapacityAge25*'19_Расчет_аналитики'!$F$211,0)</f>
        <v/>
      </c>
      <c r="AP544">
        <f>IF(IF('01_Вводные'!$B$296="Новый сезон",TRUE,TRUE),'19_Расчет_аналитики'!AP432*CapacityAge25*'19_Расчет_аналитики'!$F$211,0)</f>
        <v/>
      </c>
      <c r="AQ544">
        <f>IF(IF('01_Вводные'!$B$296="Новый сезон",TRUE,TRUE),'19_Расчет_аналитики'!AQ432*CapacityAge25*'19_Расчет_аналитики'!$F$211,0)</f>
        <v/>
      </c>
      <c r="AR544">
        <f>IF(IF('01_Вводные'!$B$296="Новый сезон",TRUE,TRUE),'19_Расчет_аналитики'!AR432*CapacityAge25*'19_Расчет_аналитики'!$F$211,0)</f>
        <v/>
      </c>
      <c r="AS544">
        <f>IF(IF('01_Вводные'!$B$296="Новый сезон",TRUE,TRUE),'19_Расчет_аналитики'!AS432*CapacityAge25*'19_Расчет_аналитики'!$F$211,0)</f>
        <v/>
      </c>
      <c r="AT544">
        <f>IF(IF('01_Вводные'!$B$296="Новый сезон",TRUE,TRUE),'19_Расчет_аналитики'!AT432*CapacityAge25*'19_Расчет_аналитики'!$F$211,0)</f>
        <v/>
      </c>
      <c r="AU544">
        <f>IF(IF('01_Вводные'!$B$296="Новый сезон",TRUE,TRUE),'19_Расчет_аналитики'!AU432*CapacityAge25*'19_Расчет_аналитики'!$F$211,0)</f>
        <v/>
      </c>
      <c r="AV544">
        <f>IF(IF('01_Вводные'!$B$296="Новый сезон",TRUE,TRUE),'19_Расчет_аналитики'!AV432*CapacityAge25*'19_Расчет_аналитики'!$F$211,0)</f>
        <v/>
      </c>
      <c r="AW544">
        <f>IF(IF('01_Вводные'!$B$296="Новый сезон",TRUE,TRUE),'19_Расчет_аналитики'!AW432*CapacityAge25*'19_Расчет_аналитики'!$F$211,0)</f>
        <v/>
      </c>
      <c r="AX544">
        <f>IF(IF('01_Вводные'!$B$296="Новый сезон",TRUE,TRUE),'19_Расчет_аналитики'!AX432*CapacityAge25*'19_Расчет_аналитики'!$F$211,0)</f>
        <v/>
      </c>
      <c r="AY544">
        <f>IF(IF('01_Вводные'!$B$296="Новый сезон",TRUE,TRUE),'19_Расчет_аналитики'!AY432*CapacityAge25*'19_Расчет_аналитики'!$F$211,0)</f>
        <v/>
      </c>
      <c r="AZ544">
        <f>IF(IF('01_Вводные'!$B$296="Новый сезон",TRUE,TRUE),'19_Расчет_аналитики'!AZ432*CapacityAge25*'19_Расчет_аналитики'!$F$211,0)</f>
        <v/>
      </c>
      <c r="BA544">
        <f>IF(IF('01_Вводные'!$B$296="Новый сезон",TRUE,TRUE),'19_Расчет_аналитики'!BA432*CapacityAge25*'19_Расчет_аналитики'!$F$211,0)</f>
        <v/>
      </c>
      <c r="BB544">
        <f>IF(IF('01_Вводные'!$B$296="Новый сезон",TRUE,TRUE),'19_Расчет_аналитики'!BB432*CapacityAge25*'19_Расчет_аналитики'!$F$211,0)</f>
        <v/>
      </c>
      <c r="BC544">
        <f>IF(IF('01_Вводные'!$B$296="Новый сезон",TRUE,TRUE),'19_Расчет_аналитики'!BC432*CapacityAge25*'19_Расчет_аналитики'!$F$211,0)</f>
        <v/>
      </c>
      <c r="BD544">
        <f>IF(IF('01_Вводные'!$B$296="Новый сезон",TRUE,TRUE),'19_Расчет_аналитики'!BD432*CapacityAge25*'19_Расчет_аналитики'!$F$211,0)</f>
        <v/>
      </c>
      <c r="BE544">
        <f>IF(IF('01_Вводные'!$B$296="Новый сезон",TRUE,TRUE),'19_Расчет_аналитики'!BE432*CapacityAge25*'19_Расчет_аналитики'!$F$211,0)</f>
        <v/>
      </c>
      <c r="BF544">
        <f>IF(IF('01_Вводные'!$B$296="Новый сезон",TRUE,TRUE),'19_Расчет_аналитики'!BF432*CapacityAge25*'19_Расчет_аналитики'!$F$211,0)</f>
        <v/>
      </c>
      <c r="BG544">
        <f>IF(IF('01_Вводные'!$B$296="Новый сезон",TRUE,TRUE),'19_Расчет_аналитики'!BG432*CapacityAge25*'19_Расчет_аналитики'!$F$211,0)</f>
        <v/>
      </c>
      <c r="BH544">
        <f>IF(IF('01_Вводные'!$B$296="Новый сезон",TRUE,TRUE),'19_Расчет_аналитики'!BH432*CapacityAge25*'19_Расчет_аналитики'!$F$211,0)</f>
        <v/>
      </c>
      <c r="BI544">
        <f>IF(IF('01_Вводные'!$B$296="Новый сезон",TRUE,TRUE),'19_Расчет_аналитики'!BI432*CapacityAge25*'19_Расчет_аналитики'!$F$211,0)</f>
        <v/>
      </c>
      <c r="BJ544">
        <f>IF(IF('01_Вводные'!$B$296="Новый сезон",TRUE,TRUE),'19_Расчет_аналитики'!BJ432*CapacityAge25*'19_Расчет_аналитики'!$F$211,0)</f>
        <v/>
      </c>
      <c r="BK544">
        <f>IF(IF('01_Вводные'!$B$296="Новый сезон",TRUE,TRUE),'19_Расчет_аналитики'!BK432*CapacityAge25*'19_Расчет_аналитики'!$F$211,0)</f>
        <v/>
      </c>
      <c r="BL544">
        <f>IF(IF('01_Вводные'!$B$296="Новый сезон",TRUE,TRUE),'19_Расчет_аналитики'!BL432*CapacityAge25*'19_Расчет_аналитики'!$F$211,0)</f>
        <v/>
      </c>
      <c r="BM544">
        <f>IF(IF('01_Вводные'!$B$296="Новый сезон",TRUE,TRUE),'19_Расчет_аналитики'!BM432*CapacityAge25*'19_Расчет_аналитики'!$F$211,0)</f>
        <v/>
      </c>
      <c r="BN544">
        <f>IF(IF('01_Вводные'!$B$296="Новый сезон",TRUE,TRUE),'19_Расчет_аналитики'!BN432*CapacityAge25*'19_Расчет_аналитики'!$F$211,0)</f>
        <v/>
      </c>
      <c r="BO544">
        <f>IF(IF('01_Вводные'!$B$296="Новый сезон",TRUE,TRUE),'19_Расчет_аналитики'!BO432*CapacityAge25*'19_Расчет_аналитики'!$F$211,0)</f>
        <v/>
      </c>
    </row>
    <row r="545"/>
    <row r="546">
      <c r="B546">
        <f>SUM('19_Расчет_аналитики'!B520:B544)</f>
        <v/>
      </c>
      <c r="C546">
        <f>SUM('19_Расчет_аналитики'!C520:C544)</f>
        <v/>
      </c>
      <c r="D546">
        <f>SUM('19_Расчет_аналитики'!D520:D544)</f>
        <v/>
      </c>
      <c r="E546">
        <f>SUM('19_Расчет_аналитики'!E520:E544)</f>
        <v/>
      </c>
      <c r="F546">
        <f>SUM('19_Расчет_аналитики'!F520:F544)</f>
        <v/>
      </c>
      <c r="G546">
        <f>SUM('19_Расчет_аналитики'!G520:G544)</f>
        <v/>
      </c>
      <c r="H546">
        <f>SUM('19_Расчет_аналитики'!H520:H544)</f>
        <v/>
      </c>
      <c r="I546">
        <f>SUM('19_Расчет_аналитики'!I520:I544)</f>
        <v/>
      </c>
      <c r="J546">
        <f>SUM('19_Расчет_аналитики'!J520:J544)</f>
        <v/>
      </c>
      <c r="K546">
        <f>SUM('19_Расчет_аналитики'!K520:K544)</f>
        <v/>
      </c>
      <c r="L546">
        <f>SUM('19_Расчет_аналитики'!L520:L544)</f>
        <v/>
      </c>
      <c r="M546">
        <f>SUM('19_Расчет_аналитики'!M520:M544)</f>
        <v/>
      </c>
      <c r="N546">
        <f>SUM('19_Расчет_аналитики'!N520:N544)</f>
        <v/>
      </c>
      <c r="O546">
        <f>SUM('19_Расчет_аналитики'!O520:O544)</f>
        <v/>
      </c>
      <c r="P546">
        <f>SUM('19_Расчет_аналитики'!P520:P544)</f>
        <v/>
      </c>
      <c r="Q546">
        <f>SUM('19_Расчет_аналитики'!Q520:Q544)</f>
        <v/>
      </c>
      <c r="R546">
        <f>SUM('19_Расчет_аналитики'!R520:R544)</f>
        <v/>
      </c>
      <c r="S546">
        <f>SUM('19_Расчет_аналитики'!S520:S544)</f>
        <v/>
      </c>
      <c r="T546">
        <f>SUM('19_Расчет_аналитики'!T520:T544)</f>
        <v/>
      </c>
      <c r="U546">
        <f>SUM('19_Расчет_аналитики'!U520:U544)</f>
        <v/>
      </c>
      <c r="V546">
        <f>SUM('19_Расчет_аналитики'!V520:V544)</f>
        <v/>
      </c>
      <c r="W546">
        <f>SUM('19_Расчет_аналитики'!W520:W544)</f>
        <v/>
      </c>
      <c r="X546">
        <f>SUM('19_Расчет_аналитики'!X520:X544)</f>
        <v/>
      </c>
      <c r="Y546">
        <f>SUM('19_Расчет_аналитики'!Y520:Y544)</f>
        <v/>
      </c>
      <c r="Z546">
        <f>SUM('19_Расчет_аналитики'!Z520:Z544)</f>
        <v/>
      </c>
      <c r="AA546">
        <f>SUM('19_Расчет_аналитики'!AA520:AA544)</f>
        <v/>
      </c>
      <c r="AB546">
        <f>SUM('19_Расчет_аналитики'!AB520:AB544)</f>
        <v/>
      </c>
      <c r="AC546">
        <f>SUM('19_Расчет_аналитики'!AC520:AC544)</f>
        <v/>
      </c>
      <c r="AD546">
        <f>SUM('19_Расчет_аналитики'!AD520:AD544)</f>
        <v/>
      </c>
      <c r="AE546">
        <f>SUM('19_Расчет_аналитики'!AE520:AE544)</f>
        <v/>
      </c>
      <c r="AF546">
        <f>SUM('19_Расчет_аналитики'!AF520:AF544)</f>
        <v/>
      </c>
      <c r="AG546">
        <f>SUM('19_Расчет_аналитики'!AG520:AG544)</f>
        <v/>
      </c>
      <c r="AH546">
        <f>SUM('19_Расчет_аналитики'!AH520:AH544)</f>
        <v/>
      </c>
      <c r="AI546">
        <f>SUM('19_Расчет_аналитики'!AI520:AI544)</f>
        <v/>
      </c>
      <c r="AJ546">
        <f>SUM('19_Расчет_аналитики'!AJ520:AJ544)</f>
        <v/>
      </c>
      <c r="AK546">
        <f>SUM('19_Расчет_аналитики'!AK520:AK544)</f>
        <v/>
      </c>
      <c r="AL546">
        <f>SUM('19_Расчет_аналитики'!AL520:AL544)</f>
        <v/>
      </c>
      <c r="AM546">
        <f>SUM('19_Расчет_аналитики'!AM520:AM544)</f>
        <v/>
      </c>
      <c r="AN546">
        <f>SUM('19_Расчет_аналитики'!AN520:AN544)</f>
        <v/>
      </c>
      <c r="AO546">
        <f>SUM('19_Расчет_аналитики'!AO520:AO544)</f>
        <v/>
      </c>
      <c r="AP546">
        <f>SUM('19_Расчет_аналитики'!AP520:AP544)</f>
        <v/>
      </c>
      <c r="AQ546">
        <f>SUM('19_Расчет_аналитики'!AQ520:AQ544)</f>
        <v/>
      </c>
      <c r="AR546">
        <f>SUM('19_Расчет_аналитики'!AR520:AR544)</f>
        <v/>
      </c>
      <c r="AS546">
        <f>SUM('19_Расчет_аналитики'!AS520:AS544)</f>
        <v/>
      </c>
      <c r="AT546">
        <f>SUM('19_Расчет_аналитики'!AT520:AT544)</f>
        <v/>
      </c>
      <c r="AU546">
        <f>SUM('19_Расчет_аналитики'!AU520:AU544)</f>
        <v/>
      </c>
      <c r="AV546">
        <f>SUM('19_Расчет_аналитики'!AV520:AV544)</f>
        <v/>
      </c>
      <c r="AW546">
        <f>SUM('19_Расчет_аналитики'!AW520:AW544)</f>
        <v/>
      </c>
      <c r="AX546">
        <f>SUM('19_Расчет_аналитики'!AX520:AX544)</f>
        <v/>
      </c>
      <c r="AY546">
        <f>SUM('19_Расчет_аналитики'!AY520:AY544)</f>
        <v/>
      </c>
      <c r="AZ546">
        <f>SUM('19_Расчет_аналитики'!AZ520:AZ544)</f>
        <v/>
      </c>
      <c r="BA546">
        <f>SUM('19_Расчет_аналитики'!BA520:BA544)</f>
        <v/>
      </c>
      <c r="BB546">
        <f>SUM('19_Расчет_аналитики'!BB520:BB544)</f>
        <v/>
      </c>
      <c r="BC546">
        <f>SUM('19_Расчет_аналитики'!BC520:BC544)</f>
        <v/>
      </c>
      <c r="BD546">
        <f>SUM('19_Расчет_аналитики'!BD520:BD544)</f>
        <v/>
      </c>
      <c r="BE546">
        <f>SUM('19_Расчет_аналитики'!BE520:BE544)</f>
        <v/>
      </c>
      <c r="BF546">
        <f>SUM('19_Расчет_аналитики'!BF520:BF544)</f>
        <v/>
      </c>
      <c r="BG546">
        <f>SUM('19_Расчет_аналитики'!BG520:BG544)</f>
        <v/>
      </c>
      <c r="BH546">
        <f>SUM('19_Расчет_аналитики'!BH520:BH544)</f>
        <v/>
      </c>
      <c r="BI546">
        <f>SUM('19_Расчет_аналитики'!BI520:BI544)</f>
        <v/>
      </c>
      <c r="BJ546">
        <f>SUM('19_Расчет_аналитики'!BJ520:BJ544)</f>
        <v/>
      </c>
      <c r="BK546">
        <f>SUM('19_Расчет_аналитики'!BK520:BK544)</f>
        <v/>
      </c>
      <c r="BL546">
        <f>SUM('19_Расчет_аналитики'!BL520:BL544)</f>
        <v/>
      </c>
      <c r="BM546">
        <f>SUM('19_Расчет_аналитики'!BM520:BM544)</f>
        <v/>
      </c>
      <c r="BN546">
        <f>SUM('19_Расчет_аналитики'!BN520:BN544)</f>
        <v/>
      </c>
      <c r="BO546">
        <f>SUM('19_Расчет_аналитики'!BO520:BO544)</f>
        <v/>
      </c>
    </row>
    <row r="547"/>
    <row r="548"/>
    <row r="549"/>
    <row r="550"/>
    <row r="551"/>
    <row r="552"/>
    <row r="553"/>
    <row r="554"/>
    <row r="555"/>
    <row r="556"/>
    <row r="557">
      <c r="B557">
        <f>'06_Сеть_и_дети'!B5*'19_Расчет_аналитики'!$F$211*'19_Расчет_аналитики'!$F$212*'18_Календарь_тарифы'!B4</f>
        <v/>
      </c>
      <c r="C557">
        <f>'06_Сеть_и_дети'!C5*'19_Расчет_аналитики'!$F$211*'19_Расчет_аналитики'!$F$212*'18_Календарь_тарифы'!C4</f>
        <v/>
      </c>
      <c r="D557">
        <f>'06_Сеть_и_дети'!D5*'19_Расчет_аналитики'!$F$211*'19_Расчет_аналитики'!$F$212*'18_Календарь_тарифы'!D4</f>
        <v/>
      </c>
      <c r="E557">
        <f>'06_Сеть_и_дети'!E5*'19_Расчет_аналитики'!$F$211*'19_Расчет_аналитики'!$F$212*'18_Календарь_тарифы'!E4</f>
        <v/>
      </c>
      <c r="F557">
        <f>'06_Сеть_и_дети'!F5*'19_Расчет_аналитики'!$F$211*'19_Расчет_аналитики'!$F$212*'18_Календарь_тарифы'!F4</f>
        <v/>
      </c>
      <c r="G557">
        <f>'06_Сеть_и_дети'!G5*'19_Расчет_аналитики'!$F$211*'19_Расчет_аналитики'!$F$212*'18_Календарь_тарифы'!G4</f>
        <v/>
      </c>
      <c r="H557">
        <f>'06_Сеть_и_дети'!H5*'19_Расчет_аналитики'!$F$211*'19_Расчет_аналитики'!$F$212*'18_Календарь_тарифы'!H4</f>
        <v/>
      </c>
      <c r="I557">
        <f>'06_Сеть_и_дети'!I5*'19_Расчет_аналитики'!$F$211*'19_Расчет_аналитики'!$F$212*'18_Календарь_тарифы'!I4</f>
        <v/>
      </c>
      <c r="J557">
        <f>'06_Сеть_и_дети'!J5*'19_Расчет_аналитики'!$F$211*'19_Расчет_аналитики'!$F$212*'18_Календарь_тарифы'!J4</f>
        <v/>
      </c>
      <c r="K557">
        <f>'06_Сеть_и_дети'!K5*'19_Расчет_аналитики'!$F$211*'19_Расчет_аналитики'!$F$212*'18_Календарь_тарифы'!K4</f>
        <v/>
      </c>
      <c r="L557">
        <f>'06_Сеть_и_дети'!L5*'19_Расчет_аналитики'!$F$211*'19_Расчет_аналитики'!$F$212*'18_Календарь_тарифы'!L4</f>
        <v/>
      </c>
      <c r="M557">
        <f>'06_Сеть_и_дети'!M5*'19_Расчет_аналитики'!$F$211*'19_Расчет_аналитики'!$F$212*'18_Календарь_тарифы'!M4</f>
        <v/>
      </c>
      <c r="N557">
        <f>'06_Сеть_и_дети'!N5*'19_Расчет_аналитики'!$F$211*'19_Расчет_аналитики'!$F$212*'18_Календарь_тарифы'!N4</f>
        <v/>
      </c>
      <c r="O557">
        <f>'06_Сеть_и_дети'!O5*'19_Расчет_аналитики'!$F$211*'19_Расчет_аналитики'!$F$212*'18_Календарь_тарифы'!O4</f>
        <v/>
      </c>
      <c r="P557">
        <f>'06_Сеть_и_дети'!P5*'19_Расчет_аналитики'!$F$211*'19_Расчет_аналитики'!$F$212*'18_Календарь_тарифы'!P4</f>
        <v/>
      </c>
      <c r="Q557">
        <f>'06_Сеть_и_дети'!Q5*'19_Расчет_аналитики'!$F$211*'19_Расчет_аналитики'!$F$212*'18_Календарь_тарифы'!Q4</f>
        <v/>
      </c>
      <c r="R557">
        <f>'06_Сеть_и_дети'!R5*'19_Расчет_аналитики'!$F$211*'19_Расчет_аналитики'!$F$212*'18_Календарь_тарифы'!R4</f>
        <v/>
      </c>
      <c r="S557">
        <f>'06_Сеть_и_дети'!S5*'19_Расчет_аналитики'!$F$211*'19_Расчет_аналитики'!$F$212*'18_Календарь_тарифы'!S4</f>
        <v/>
      </c>
      <c r="T557">
        <f>'06_Сеть_и_дети'!T5*'19_Расчет_аналитики'!$F$211*'19_Расчет_аналитики'!$F$212*'18_Календарь_тарифы'!T4</f>
        <v/>
      </c>
      <c r="U557">
        <f>'06_Сеть_и_дети'!U5*'19_Расчет_аналитики'!$F$211*'19_Расчет_аналитики'!$F$212*'18_Календарь_тарифы'!U4</f>
        <v/>
      </c>
      <c r="V557">
        <f>'06_Сеть_и_дети'!V5*'19_Расчет_аналитики'!$F$211*'19_Расчет_аналитики'!$F$212*'18_Календарь_тарифы'!V4</f>
        <v/>
      </c>
      <c r="W557">
        <f>'06_Сеть_и_дети'!W5*'19_Расчет_аналитики'!$F$211*'19_Расчет_аналитики'!$F$212*'18_Календарь_тарифы'!W4</f>
        <v/>
      </c>
      <c r="X557">
        <f>'06_Сеть_и_дети'!X5*'19_Расчет_аналитики'!$F$211*'19_Расчет_аналитики'!$F$212*'18_Календарь_тарифы'!X4</f>
        <v/>
      </c>
      <c r="Y557">
        <f>'06_Сеть_и_дети'!Y5*'19_Расчет_аналитики'!$F$211*'19_Расчет_аналитики'!$F$212*'18_Календарь_тарифы'!Y4</f>
        <v/>
      </c>
      <c r="Z557">
        <f>'06_Сеть_и_дети'!Z5*'19_Расчет_аналитики'!$F$211*'19_Расчет_аналитики'!$F$212*'18_Календарь_тарифы'!Z4</f>
        <v/>
      </c>
      <c r="AA557">
        <f>'06_Сеть_и_дети'!AA5*'19_Расчет_аналитики'!$F$211*'19_Расчет_аналитики'!$F$212*'18_Календарь_тарифы'!AA4</f>
        <v/>
      </c>
      <c r="AB557">
        <f>'06_Сеть_и_дети'!AB5*'19_Расчет_аналитики'!$F$211*'19_Расчет_аналитики'!$F$212*'18_Календарь_тарифы'!AB4</f>
        <v/>
      </c>
      <c r="AC557">
        <f>'06_Сеть_и_дети'!AC5*'19_Расчет_аналитики'!$F$211*'19_Расчет_аналитики'!$F$212*'18_Календарь_тарифы'!AC4</f>
        <v/>
      </c>
      <c r="AD557">
        <f>'06_Сеть_и_дети'!AD5*'19_Расчет_аналитики'!$F$211*'19_Расчет_аналитики'!$F$212*'18_Календарь_тарифы'!AD4</f>
        <v/>
      </c>
      <c r="AE557">
        <f>'06_Сеть_и_дети'!AE5*'19_Расчет_аналитики'!$F$211*'19_Расчет_аналитики'!$F$212*'18_Календарь_тарифы'!AE4</f>
        <v/>
      </c>
      <c r="AF557">
        <f>'06_Сеть_и_дети'!AF5*'19_Расчет_аналитики'!$F$211*'19_Расчет_аналитики'!$F$212*'18_Календарь_тарифы'!AF4</f>
        <v/>
      </c>
      <c r="AG557">
        <f>'06_Сеть_и_дети'!AG5*'19_Расчет_аналитики'!$F$211*'19_Расчет_аналитики'!$F$212*'18_Календарь_тарифы'!AG4</f>
        <v/>
      </c>
      <c r="AH557">
        <f>'06_Сеть_и_дети'!AH5*'19_Расчет_аналитики'!$F$211*'19_Расчет_аналитики'!$F$212*'18_Календарь_тарифы'!AH4</f>
        <v/>
      </c>
      <c r="AI557">
        <f>'06_Сеть_и_дети'!AI5*'19_Расчет_аналитики'!$F$211*'19_Расчет_аналитики'!$F$212*'18_Календарь_тарифы'!AI4</f>
        <v/>
      </c>
      <c r="AJ557">
        <f>'06_Сеть_и_дети'!AJ5*'19_Расчет_аналитики'!$F$211*'19_Расчет_аналитики'!$F$212*'18_Календарь_тарифы'!AJ4</f>
        <v/>
      </c>
      <c r="AK557">
        <f>'06_Сеть_и_дети'!AK5*'19_Расчет_аналитики'!$F$211*'19_Расчет_аналитики'!$F$212*'18_Календарь_тарифы'!AK4</f>
        <v/>
      </c>
      <c r="AL557">
        <f>'06_Сеть_и_дети'!AL5*'19_Расчет_аналитики'!$F$211*'19_Расчет_аналитики'!$F$212*'18_Календарь_тарифы'!AL4</f>
        <v/>
      </c>
      <c r="AM557">
        <f>'06_Сеть_и_дети'!AM5*'19_Расчет_аналитики'!$F$211*'19_Расчет_аналитики'!$F$212*'18_Календарь_тарифы'!AM4</f>
        <v/>
      </c>
      <c r="AN557">
        <f>'06_Сеть_и_дети'!AN5*'19_Расчет_аналитики'!$F$211*'19_Расчет_аналитики'!$F$212*'18_Календарь_тарифы'!AN4</f>
        <v/>
      </c>
      <c r="AO557">
        <f>'06_Сеть_и_дети'!AO5*'19_Расчет_аналитики'!$F$211*'19_Расчет_аналитики'!$F$212*'18_Календарь_тарифы'!AO4</f>
        <v/>
      </c>
      <c r="AP557">
        <f>'06_Сеть_и_дети'!AP5*'19_Расчет_аналитики'!$F$211*'19_Расчет_аналитики'!$F$212*'18_Календарь_тарифы'!AP4</f>
        <v/>
      </c>
      <c r="AQ557">
        <f>'06_Сеть_и_дети'!AQ5*'19_Расчет_аналитики'!$F$211*'19_Расчет_аналитики'!$F$212*'18_Календарь_тарифы'!AQ4</f>
        <v/>
      </c>
      <c r="AR557">
        <f>'06_Сеть_и_дети'!AR5*'19_Расчет_аналитики'!$F$211*'19_Расчет_аналитики'!$F$212*'18_Календарь_тарифы'!AR4</f>
        <v/>
      </c>
      <c r="AS557">
        <f>'06_Сеть_и_дети'!AS5*'19_Расчет_аналитики'!$F$211*'19_Расчет_аналитики'!$F$212*'18_Календарь_тарифы'!AS4</f>
        <v/>
      </c>
      <c r="AT557">
        <f>'06_Сеть_и_дети'!AT5*'19_Расчет_аналитики'!$F$211*'19_Расчет_аналитики'!$F$212*'18_Календарь_тарифы'!AT4</f>
        <v/>
      </c>
      <c r="AU557">
        <f>'06_Сеть_и_дети'!AU5*'19_Расчет_аналитики'!$F$211*'19_Расчет_аналитики'!$F$212*'18_Календарь_тарифы'!AU4</f>
        <v/>
      </c>
      <c r="AV557">
        <f>'06_Сеть_и_дети'!AV5*'19_Расчет_аналитики'!$F$211*'19_Расчет_аналитики'!$F$212*'18_Календарь_тарифы'!AV4</f>
        <v/>
      </c>
      <c r="AW557">
        <f>'06_Сеть_и_дети'!AW5*'19_Расчет_аналитики'!$F$211*'19_Расчет_аналитики'!$F$212*'18_Календарь_тарифы'!AW4</f>
        <v/>
      </c>
      <c r="AX557">
        <f>'06_Сеть_и_дети'!AX5*'19_Расчет_аналитики'!$F$211*'19_Расчет_аналитики'!$F$212*'18_Календарь_тарифы'!AX4</f>
        <v/>
      </c>
      <c r="AY557">
        <f>'06_Сеть_и_дети'!AY5*'19_Расчет_аналитики'!$F$211*'19_Расчет_аналитики'!$F$212*'18_Календарь_тарифы'!AY4</f>
        <v/>
      </c>
      <c r="AZ557">
        <f>'06_Сеть_и_дети'!AZ5*'19_Расчет_аналитики'!$F$211*'19_Расчет_аналитики'!$F$212*'18_Календарь_тарифы'!AZ4</f>
        <v/>
      </c>
      <c r="BA557">
        <f>'06_Сеть_и_дети'!BA5*'19_Расчет_аналитики'!$F$211*'19_Расчет_аналитики'!$F$212*'18_Календарь_тарифы'!BA4</f>
        <v/>
      </c>
      <c r="BB557">
        <f>'06_Сеть_и_дети'!BB5*'19_Расчет_аналитики'!$F$211*'19_Расчет_аналитики'!$F$212*'18_Календарь_тарифы'!BB4</f>
        <v/>
      </c>
      <c r="BC557">
        <f>'06_Сеть_и_дети'!BC5*'19_Расчет_аналитики'!$F$211*'19_Расчет_аналитики'!$F$212*'18_Календарь_тарифы'!BC4</f>
        <v/>
      </c>
      <c r="BD557">
        <f>'06_Сеть_и_дети'!BD5*'19_Расчет_аналитики'!$F$211*'19_Расчет_аналитики'!$F$212*'18_Календарь_тарифы'!BD4</f>
        <v/>
      </c>
      <c r="BE557">
        <f>'06_Сеть_и_дети'!BE5*'19_Расчет_аналитики'!$F$211*'19_Расчет_аналитики'!$F$212*'18_Календарь_тарифы'!BE4</f>
        <v/>
      </c>
      <c r="BF557">
        <f>'06_Сеть_и_дети'!BF5*'19_Расчет_аналитики'!$F$211*'19_Расчет_аналитики'!$F$212*'18_Календарь_тарифы'!BF4</f>
        <v/>
      </c>
      <c r="BG557">
        <f>'06_Сеть_и_дети'!BG5*'19_Расчет_аналитики'!$F$211*'19_Расчет_аналитики'!$F$212*'18_Календарь_тарифы'!BG4</f>
        <v/>
      </c>
      <c r="BH557">
        <f>'06_Сеть_и_дети'!BH5*'19_Расчет_аналитики'!$F$211*'19_Расчет_аналитики'!$F$212*'18_Календарь_тарифы'!BH4</f>
        <v/>
      </c>
      <c r="BI557">
        <f>'06_Сеть_и_дети'!BI5*'19_Расчет_аналитики'!$F$211*'19_Расчет_аналитики'!$F$212*'18_Календарь_тарифы'!BI4</f>
        <v/>
      </c>
      <c r="BJ557">
        <f>'06_Сеть_и_дети'!BJ5*'19_Расчет_аналитики'!$F$211*'19_Расчет_аналитики'!$F$212*'18_Календарь_тарифы'!BJ4</f>
        <v/>
      </c>
      <c r="BK557">
        <f>'06_Сеть_и_дети'!BK5*'19_Расчет_аналитики'!$F$211*'19_Расчет_аналитики'!$F$212*'18_Календарь_тарифы'!BK4</f>
        <v/>
      </c>
      <c r="BL557">
        <f>'06_Сеть_и_дети'!BL5*'19_Расчет_аналитики'!$F$211*'19_Расчет_аналитики'!$F$212*'18_Календарь_тарифы'!BL4</f>
        <v/>
      </c>
      <c r="BM557">
        <f>'06_Сеть_и_дети'!BM5*'19_Расчет_аналитики'!$F$211*'19_Расчет_аналитики'!$F$212*'18_Календарь_тарифы'!BM4</f>
        <v/>
      </c>
      <c r="BN557">
        <f>'06_Сеть_и_дети'!BN5*'19_Расчет_аналитики'!$F$211*'19_Расчет_аналитики'!$F$212*'18_Календарь_тарифы'!BN4</f>
        <v/>
      </c>
      <c r="BO557">
        <f>'06_Сеть_и_дети'!BO5*'19_Расчет_аналитики'!$F$211*'19_Расчет_аналитики'!$F$212*'18_Календарь_тарифы'!BO4</f>
        <v/>
      </c>
    </row>
    <row r="558"/>
    <row r="559">
      <c r="B559">
        <f>'19_Расчет_аналитики'!B557*IF('06_Сеть_и_дети'!B$3&gt;='01_Вводные'!$B$245,'01_Вводные'!$B$57,'01_Вводные'!$B$55)</f>
        <v/>
      </c>
      <c r="C559">
        <f>'19_Расчет_аналитики'!C557*IF('06_Сеть_и_дети'!C$3&gt;='01_Вводные'!$B$245,'01_Вводные'!$B$57,'01_Вводные'!$B$55)</f>
        <v/>
      </c>
      <c r="D559">
        <f>'19_Расчет_аналитики'!D557*IF('06_Сеть_и_дети'!D$3&gt;='01_Вводные'!$B$245,'01_Вводные'!$B$57,'01_Вводные'!$B$55)</f>
        <v/>
      </c>
      <c r="E559">
        <f>'19_Расчет_аналитики'!E557*IF('06_Сеть_и_дети'!E$3&gt;='01_Вводные'!$B$245,'01_Вводные'!$B$57,'01_Вводные'!$B$55)</f>
        <v/>
      </c>
      <c r="F559">
        <f>'19_Расчет_аналитики'!F557*IF('06_Сеть_и_дети'!F$3&gt;='01_Вводные'!$B$245,'01_Вводные'!$B$57,'01_Вводные'!$B$55)</f>
        <v/>
      </c>
      <c r="G559">
        <f>'19_Расчет_аналитики'!G557*IF('06_Сеть_и_дети'!G$3&gt;='01_Вводные'!$B$245,'01_Вводные'!$B$57,'01_Вводные'!$B$55)</f>
        <v/>
      </c>
      <c r="H559">
        <f>'19_Расчет_аналитики'!H557*IF('06_Сеть_и_дети'!H$3&gt;='01_Вводные'!$B$245,'01_Вводные'!$B$57,'01_Вводные'!$B$55)</f>
        <v/>
      </c>
      <c r="I559">
        <f>'19_Расчет_аналитики'!I557*IF('06_Сеть_и_дети'!I$3&gt;='01_Вводные'!$B$245,'01_Вводные'!$B$57,'01_Вводные'!$B$55)</f>
        <v/>
      </c>
      <c r="J559">
        <f>'19_Расчет_аналитики'!J557*IF('06_Сеть_и_дети'!J$3&gt;='01_Вводные'!$B$245,'01_Вводные'!$B$57,'01_Вводные'!$B$55)</f>
        <v/>
      </c>
      <c r="K559">
        <f>'19_Расчет_аналитики'!K557*IF('06_Сеть_и_дети'!K$3&gt;='01_Вводные'!$B$245,'01_Вводные'!$B$57,'01_Вводные'!$B$55)</f>
        <v/>
      </c>
      <c r="L559">
        <f>'19_Расчет_аналитики'!L557*IF('06_Сеть_и_дети'!L$3&gt;='01_Вводные'!$B$245,'01_Вводные'!$B$57,'01_Вводные'!$B$55)</f>
        <v/>
      </c>
      <c r="M559">
        <f>'19_Расчет_аналитики'!M557*IF('06_Сеть_и_дети'!M$3&gt;='01_Вводные'!$B$245,'01_Вводные'!$B$57,'01_Вводные'!$B$55)</f>
        <v/>
      </c>
      <c r="N559">
        <f>'19_Расчет_аналитики'!N557*IF('06_Сеть_и_дети'!N$3&gt;='01_Вводные'!$B$245,'01_Вводные'!$B$57,'01_Вводные'!$B$55)</f>
        <v/>
      </c>
      <c r="O559">
        <f>'19_Расчет_аналитики'!O557*IF('06_Сеть_и_дети'!O$3&gt;='01_Вводные'!$B$245,'01_Вводные'!$B$57,'01_Вводные'!$B$55)</f>
        <v/>
      </c>
      <c r="P559">
        <f>'19_Расчет_аналитики'!P557*IF('06_Сеть_и_дети'!P$3&gt;='01_Вводные'!$B$245,'01_Вводные'!$B$57,'01_Вводные'!$B$55)</f>
        <v/>
      </c>
      <c r="Q559">
        <f>'19_Расчет_аналитики'!Q557*IF('06_Сеть_и_дети'!Q$3&gt;='01_Вводные'!$B$245,'01_Вводные'!$B$57,'01_Вводные'!$B$55)</f>
        <v/>
      </c>
      <c r="R559">
        <f>'19_Расчет_аналитики'!R557*IF('06_Сеть_и_дети'!R$3&gt;='01_Вводные'!$B$245,'01_Вводные'!$B$57,'01_Вводные'!$B$55)</f>
        <v/>
      </c>
      <c r="S559">
        <f>'19_Расчет_аналитики'!S557*IF('06_Сеть_и_дети'!S$3&gt;='01_Вводные'!$B$245,'01_Вводные'!$B$57,'01_Вводные'!$B$55)</f>
        <v/>
      </c>
      <c r="T559">
        <f>'19_Расчет_аналитики'!T557*IF('06_Сеть_и_дети'!T$3&gt;='01_Вводные'!$B$245,'01_Вводные'!$B$57,'01_Вводные'!$B$55)</f>
        <v/>
      </c>
      <c r="U559">
        <f>'19_Расчет_аналитики'!U557*IF('06_Сеть_и_дети'!U$3&gt;='01_Вводные'!$B$245,'01_Вводные'!$B$57,'01_Вводные'!$B$55)</f>
        <v/>
      </c>
      <c r="V559">
        <f>'19_Расчет_аналитики'!V557*IF('06_Сеть_и_дети'!V$3&gt;='01_Вводные'!$B$245,'01_Вводные'!$B$57,'01_Вводные'!$B$55)</f>
        <v/>
      </c>
      <c r="W559">
        <f>'19_Расчет_аналитики'!W557*IF('06_Сеть_и_дети'!W$3&gt;='01_Вводные'!$B$245,'01_Вводные'!$B$57,'01_Вводные'!$B$55)</f>
        <v/>
      </c>
      <c r="X559">
        <f>'19_Расчет_аналитики'!X557*IF('06_Сеть_и_дети'!X$3&gt;='01_Вводные'!$B$245,'01_Вводные'!$B$57,'01_Вводные'!$B$55)</f>
        <v/>
      </c>
      <c r="Y559">
        <f>'19_Расчет_аналитики'!Y557*IF('06_Сеть_и_дети'!Y$3&gt;='01_Вводные'!$B$245,'01_Вводные'!$B$57,'01_Вводные'!$B$55)</f>
        <v/>
      </c>
      <c r="Z559">
        <f>'19_Расчет_аналитики'!Z557*IF('06_Сеть_и_дети'!Z$3&gt;='01_Вводные'!$B$245,'01_Вводные'!$B$57,'01_Вводные'!$B$55)</f>
        <v/>
      </c>
      <c r="AA559">
        <f>'19_Расчет_аналитики'!AA557*IF('06_Сеть_и_дети'!AA$3&gt;='01_Вводные'!$B$245,'01_Вводные'!$B$57,'01_Вводные'!$B$55)</f>
        <v/>
      </c>
      <c r="AB559">
        <f>'19_Расчет_аналитики'!AB557*IF('06_Сеть_и_дети'!AB$3&gt;='01_Вводные'!$B$245,'01_Вводные'!$B$57,'01_Вводные'!$B$55)</f>
        <v/>
      </c>
      <c r="AC559">
        <f>'19_Расчет_аналитики'!AC557*IF('06_Сеть_и_дети'!AC$3&gt;='01_Вводные'!$B$245,'01_Вводные'!$B$57,'01_Вводные'!$B$55)</f>
        <v/>
      </c>
      <c r="AD559">
        <f>'19_Расчет_аналитики'!AD557*IF('06_Сеть_и_дети'!AD$3&gt;='01_Вводные'!$B$245,'01_Вводные'!$B$57,'01_Вводные'!$B$55)</f>
        <v/>
      </c>
      <c r="AE559">
        <f>'19_Расчет_аналитики'!AE557*IF('06_Сеть_и_дети'!AE$3&gt;='01_Вводные'!$B$245,'01_Вводные'!$B$57,'01_Вводные'!$B$55)</f>
        <v/>
      </c>
      <c r="AF559">
        <f>'19_Расчет_аналитики'!AF557*IF('06_Сеть_и_дети'!AF$3&gt;='01_Вводные'!$B$245,'01_Вводные'!$B$57,'01_Вводные'!$B$55)</f>
        <v/>
      </c>
      <c r="AG559">
        <f>'19_Расчет_аналитики'!AG557*IF('06_Сеть_и_дети'!AG$3&gt;='01_Вводные'!$B$245,'01_Вводные'!$B$57,'01_Вводные'!$B$55)</f>
        <v/>
      </c>
      <c r="AH559">
        <f>'19_Расчет_аналитики'!AH557*IF('06_Сеть_и_дети'!AH$3&gt;='01_Вводные'!$B$245,'01_Вводные'!$B$57,'01_Вводные'!$B$55)</f>
        <v/>
      </c>
      <c r="AI559">
        <f>'19_Расчет_аналитики'!AI557*IF('06_Сеть_и_дети'!AI$3&gt;='01_Вводные'!$B$245,'01_Вводные'!$B$57,'01_Вводные'!$B$55)</f>
        <v/>
      </c>
      <c r="AJ559">
        <f>'19_Расчет_аналитики'!AJ557*IF('06_Сеть_и_дети'!AJ$3&gt;='01_Вводные'!$B$245,'01_Вводные'!$B$57,'01_Вводные'!$B$55)</f>
        <v/>
      </c>
      <c r="AK559">
        <f>'19_Расчет_аналитики'!AK557*IF('06_Сеть_и_дети'!AK$3&gt;='01_Вводные'!$B$245,'01_Вводные'!$B$57,'01_Вводные'!$B$55)</f>
        <v/>
      </c>
      <c r="AL559">
        <f>'19_Расчет_аналитики'!AL557*IF('06_Сеть_и_дети'!AL$3&gt;='01_Вводные'!$B$245,'01_Вводные'!$B$57,'01_Вводные'!$B$55)</f>
        <v/>
      </c>
      <c r="AM559">
        <f>'19_Расчет_аналитики'!AM557*IF('06_Сеть_и_дети'!AM$3&gt;='01_Вводные'!$B$245,'01_Вводные'!$B$57,'01_Вводные'!$B$55)</f>
        <v/>
      </c>
      <c r="AN559">
        <f>'19_Расчет_аналитики'!AN557*IF('06_Сеть_и_дети'!AN$3&gt;='01_Вводные'!$B$245,'01_Вводные'!$B$57,'01_Вводные'!$B$55)</f>
        <v/>
      </c>
      <c r="AO559">
        <f>'19_Расчет_аналитики'!AO557*IF('06_Сеть_и_дети'!AO$3&gt;='01_Вводные'!$B$245,'01_Вводные'!$B$57,'01_Вводные'!$B$55)</f>
        <v/>
      </c>
      <c r="AP559">
        <f>'19_Расчет_аналитики'!AP557*IF('06_Сеть_и_дети'!AP$3&gt;='01_Вводные'!$B$245,'01_Вводные'!$B$57,'01_Вводные'!$B$55)</f>
        <v/>
      </c>
      <c r="AQ559">
        <f>'19_Расчет_аналитики'!AQ557*IF('06_Сеть_и_дети'!AQ$3&gt;='01_Вводные'!$B$245,'01_Вводные'!$B$57,'01_Вводные'!$B$55)</f>
        <v/>
      </c>
      <c r="AR559">
        <f>'19_Расчет_аналитики'!AR557*IF('06_Сеть_и_дети'!AR$3&gt;='01_Вводные'!$B$245,'01_Вводные'!$B$57,'01_Вводные'!$B$55)</f>
        <v/>
      </c>
      <c r="AS559">
        <f>'19_Расчет_аналитики'!AS557*IF('06_Сеть_и_дети'!AS$3&gt;='01_Вводные'!$B$245,'01_Вводные'!$B$57,'01_Вводные'!$B$55)</f>
        <v/>
      </c>
      <c r="AT559">
        <f>'19_Расчет_аналитики'!AT557*IF('06_Сеть_и_дети'!AT$3&gt;='01_Вводные'!$B$245,'01_Вводные'!$B$57,'01_Вводные'!$B$55)</f>
        <v/>
      </c>
      <c r="AU559">
        <f>'19_Расчет_аналитики'!AU557*IF('06_Сеть_и_дети'!AU$3&gt;='01_Вводные'!$B$245,'01_Вводные'!$B$57,'01_Вводные'!$B$55)</f>
        <v/>
      </c>
      <c r="AV559">
        <f>'19_Расчет_аналитики'!AV557*IF('06_Сеть_и_дети'!AV$3&gt;='01_Вводные'!$B$245,'01_Вводные'!$B$57,'01_Вводные'!$B$55)</f>
        <v/>
      </c>
      <c r="AW559">
        <f>'19_Расчет_аналитики'!AW557*IF('06_Сеть_и_дети'!AW$3&gt;='01_Вводные'!$B$245,'01_Вводные'!$B$57,'01_Вводные'!$B$55)</f>
        <v/>
      </c>
      <c r="AX559">
        <f>'19_Расчет_аналитики'!AX557*IF('06_Сеть_и_дети'!AX$3&gt;='01_Вводные'!$B$245,'01_Вводные'!$B$57,'01_Вводные'!$B$55)</f>
        <v/>
      </c>
      <c r="AY559">
        <f>'19_Расчет_аналитики'!AY557*IF('06_Сеть_и_дети'!AY$3&gt;='01_Вводные'!$B$245,'01_Вводные'!$B$57,'01_Вводные'!$B$55)</f>
        <v/>
      </c>
      <c r="AZ559">
        <f>'19_Расчет_аналитики'!AZ557*IF('06_Сеть_и_дети'!AZ$3&gt;='01_Вводные'!$B$245,'01_Вводные'!$B$57,'01_Вводные'!$B$55)</f>
        <v/>
      </c>
      <c r="BA559">
        <f>'19_Расчет_аналитики'!BA557*IF('06_Сеть_и_дети'!BA$3&gt;='01_Вводные'!$B$245,'01_Вводные'!$B$57,'01_Вводные'!$B$55)</f>
        <v/>
      </c>
      <c r="BB559">
        <f>'19_Расчет_аналитики'!BB557*IF('06_Сеть_и_дети'!BB$3&gt;='01_Вводные'!$B$245,'01_Вводные'!$B$57,'01_Вводные'!$B$55)</f>
        <v/>
      </c>
      <c r="BC559">
        <f>'19_Расчет_аналитики'!BC557*IF('06_Сеть_и_дети'!BC$3&gt;='01_Вводные'!$B$245,'01_Вводные'!$B$57,'01_Вводные'!$B$55)</f>
        <v/>
      </c>
      <c r="BD559">
        <f>'19_Расчет_аналитики'!BD557*IF('06_Сеть_и_дети'!BD$3&gt;='01_Вводные'!$B$245,'01_Вводные'!$B$57,'01_Вводные'!$B$55)</f>
        <v/>
      </c>
      <c r="BE559">
        <f>'19_Расчет_аналитики'!BE557*IF('06_Сеть_и_дети'!BE$3&gt;='01_Вводные'!$B$245,'01_Вводные'!$B$57,'01_Вводные'!$B$55)</f>
        <v/>
      </c>
      <c r="BF559">
        <f>'19_Расчет_аналитики'!BF557*IF('06_Сеть_и_дети'!BF$3&gt;='01_Вводные'!$B$245,'01_Вводные'!$B$57,'01_Вводные'!$B$55)</f>
        <v/>
      </c>
      <c r="BG559">
        <f>'19_Расчет_аналитики'!BG557*IF('06_Сеть_и_дети'!BG$3&gt;='01_Вводные'!$B$245,'01_Вводные'!$B$57,'01_Вводные'!$B$55)</f>
        <v/>
      </c>
      <c r="BH559">
        <f>'19_Расчет_аналитики'!BH557*IF('06_Сеть_и_дети'!BH$3&gt;='01_Вводные'!$B$245,'01_Вводные'!$B$57,'01_Вводные'!$B$55)</f>
        <v/>
      </c>
      <c r="BI559">
        <f>'19_Расчет_аналитики'!BI557*IF('06_Сеть_и_дети'!BI$3&gt;='01_Вводные'!$B$245,'01_Вводные'!$B$57,'01_Вводные'!$B$55)</f>
        <v/>
      </c>
      <c r="BJ559">
        <f>'19_Расчет_аналитики'!BJ557*IF('06_Сеть_и_дети'!BJ$3&gt;='01_Вводные'!$B$245,'01_Вводные'!$B$57,'01_Вводные'!$B$55)</f>
        <v/>
      </c>
      <c r="BK559">
        <f>'19_Расчет_аналитики'!BK557*IF('06_Сеть_и_дети'!BK$3&gt;='01_Вводные'!$B$245,'01_Вводные'!$B$57,'01_Вводные'!$B$55)</f>
        <v/>
      </c>
      <c r="BL559">
        <f>'19_Расчет_аналитики'!BL557*IF('06_Сеть_и_дети'!BL$3&gt;='01_Вводные'!$B$245,'01_Вводные'!$B$57,'01_Вводные'!$B$55)</f>
        <v/>
      </c>
      <c r="BM559">
        <f>'19_Расчет_аналитики'!BM557*IF('06_Сеть_и_дети'!BM$3&gt;='01_Вводные'!$B$245,'01_Вводные'!$B$57,'01_Вводные'!$B$55)</f>
        <v/>
      </c>
      <c r="BN559">
        <f>'19_Расчет_аналитики'!BN557*IF('06_Сеть_и_дети'!BN$3&gt;='01_Вводные'!$B$245,'01_Вводные'!$B$57,'01_Вводные'!$B$55)</f>
        <v/>
      </c>
      <c r="BO559">
        <f>'19_Расчет_аналитики'!BO557*IF('06_Сеть_и_дети'!BO$3&gt;='01_Вводные'!$B$245,'01_Вводные'!$B$57,'01_Вводные'!$B$55)</f>
        <v/>
      </c>
    </row>
    <row r="560">
      <c r="B560">
        <f>'19_Расчет_аналитики'!B557*IF('06_Сеть_и_дети'!B$3&gt;='01_Вводные'!$B$245,'01_Вводные'!$B$57,'01_Вводные'!$B$56)</f>
        <v/>
      </c>
      <c r="C560">
        <f>'19_Расчет_аналитики'!C557*IF('06_Сеть_и_дети'!C$3&gt;='01_Вводные'!$B$245,'01_Вводные'!$B$57,'01_Вводные'!$B$56)</f>
        <v/>
      </c>
      <c r="D560">
        <f>'19_Расчет_аналитики'!D557*IF('06_Сеть_и_дети'!D$3&gt;='01_Вводные'!$B$245,'01_Вводные'!$B$57,'01_Вводные'!$B$56)</f>
        <v/>
      </c>
      <c r="E560">
        <f>'19_Расчет_аналитики'!E557*IF('06_Сеть_и_дети'!E$3&gt;='01_Вводные'!$B$245,'01_Вводные'!$B$57,'01_Вводные'!$B$56)</f>
        <v/>
      </c>
      <c r="F560">
        <f>'19_Расчет_аналитики'!F557*IF('06_Сеть_и_дети'!F$3&gt;='01_Вводные'!$B$245,'01_Вводные'!$B$57,'01_Вводные'!$B$56)</f>
        <v/>
      </c>
      <c r="G560">
        <f>'19_Расчет_аналитики'!G557*IF('06_Сеть_и_дети'!G$3&gt;='01_Вводные'!$B$245,'01_Вводные'!$B$57,'01_Вводные'!$B$56)</f>
        <v/>
      </c>
      <c r="H560">
        <f>'19_Расчет_аналитики'!H557*IF('06_Сеть_и_дети'!H$3&gt;='01_Вводные'!$B$245,'01_Вводные'!$B$57,'01_Вводные'!$B$56)</f>
        <v/>
      </c>
      <c r="I560">
        <f>'19_Расчет_аналитики'!I557*IF('06_Сеть_и_дети'!I$3&gt;='01_Вводные'!$B$245,'01_Вводные'!$B$57,'01_Вводные'!$B$56)</f>
        <v/>
      </c>
      <c r="J560">
        <f>'19_Расчет_аналитики'!J557*IF('06_Сеть_и_дети'!J$3&gt;='01_Вводные'!$B$245,'01_Вводные'!$B$57,'01_Вводные'!$B$56)</f>
        <v/>
      </c>
      <c r="K560">
        <f>'19_Расчет_аналитики'!K557*IF('06_Сеть_и_дети'!K$3&gt;='01_Вводные'!$B$245,'01_Вводные'!$B$57,'01_Вводные'!$B$56)</f>
        <v/>
      </c>
      <c r="L560">
        <f>'19_Расчет_аналитики'!L557*IF('06_Сеть_и_дети'!L$3&gt;='01_Вводные'!$B$245,'01_Вводные'!$B$57,'01_Вводные'!$B$56)</f>
        <v/>
      </c>
      <c r="M560">
        <f>'19_Расчет_аналитики'!M557*IF('06_Сеть_и_дети'!M$3&gt;='01_Вводные'!$B$245,'01_Вводные'!$B$57,'01_Вводные'!$B$56)</f>
        <v/>
      </c>
      <c r="N560">
        <f>'19_Расчет_аналитики'!N557*IF('06_Сеть_и_дети'!N$3&gt;='01_Вводные'!$B$245,'01_Вводные'!$B$57,'01_Вводные'!$B$56)</f>
        <v/>
      </c>
      <c r="O560">
        <f>'19_Расчет_аналитики'!O557*IF('06_Сеть_и_дети'!O$3&gt;='01_Вводные'!$B$245,'01_Вводные'!$B$57,'01_Вводные'!$B$56)</f>
        <v/>
      </c>
      <c r="P560">
        <f>'19_Расчет_аналитики'!P557*IF('06_Сеть_и_дети'!P$3&gt;='01_Вводные'!$B$245,'01_Вводные'!$B$57,'01_Вводные'!$B$56)</f>
        <v/>
      </c>
      <c r="Q560">
        <f>'19_Расчет_аналитики'!Q557*IF('06_Сеть_и_дети'!Q$3&gt;='01_Вводные'!$B$245,'01_Вводные'!$B$57,'01_Вводные'!$B$56)</f>
        <v/>
      </c>
      <c r="R560">
        <f>'19_Расчет_аналитики'!R557*IF('06_Сеть_и_дети'!R$3&gt;='01_Вводные'!$B$245,'01_Вводные'!$B$57,'01_Вводные'!$B$56)</f>
        <v/>
      </c>
      <c r="S560">
        <f>'19_Расчет_аналитики'!S557*IF('06_Сеть_и_дети'!S$3&gt;='01_Вводные'!$B$245,'01_Вводные'!$B$57,'01_Вводные'!$B$56)</f>
        <v/>
      </c>
      <c r="T560">
        <f>'19_Расчет_аналитики'!T557*IF('06_Сеть_и_дети'!T$3&gt;='01_Вводные'!$B$245,'01_Вводные'!$B$57,'01_Вводные'!$B$56)</f>
        <v/>
      </c>
      <c r="U560">
        <f>'19_Расчет_аналитики'!U557*IF('06_Сеть_и_дети'!U$3&gt;='01_Вводные'!$B$245,'01_Вводные'!$B$57,'01_Вводные'!$B$56)</f>
        <v/>
      </c>
      <c r="V560">
        <f>'19_Расчет_аналитики'!V557*IF('06_Сеть_и_дети'!V$3&gt;='01_Вводные'!$B$245,'01_Вводные'!$B$57,'01_Вводные'!$B$56)</f>
        <v/>
      </c>
      <c r="W560">
        <f>'19_Расчет_аналитики'!W557*IF('06_Сеть_и_дети'!W$3&gt;='01_Вводные'!$B$245,'01_Вводные'!$B$57,'01_Вводные'!$B$56)</f>
        <v/>
      </c>
      <c r="X560">
        <f>'19_Расчет_аналитики'!X557*IF('06_Сеть_и_дети'!X$3&gt;='01_Вводные'!$B$245,'01_Вводные'!$B$57,'01_Вводные'!$B$56)</f>
        <v/>
      </c>
      <c r="Y560">
        <f>'19_Расчет_аналитики'!Y557*IF('06_Сеть_и_дети'!Y$3&gt;='01_Вводные'!$B$245,'01_Вводные'!$B$57,'01_Вводные'!$B$56)</f>
        <v/>
      </c>
      <c r="Z560">
        <f>'19_Расчет_аналитики'!Z557*IF('06_Сеть_и_дети'!Z$3&gt;='01_Вводные'!$B$245,'01_Вводные'!$B$57,'01_Вводные'!$B$56)</f>
        <v/>
      </c>
      <c r="AA560">
        <f>'19_Расчет_аналитики'!AA557*IF('06_Сеть_и_дети'!AA$3&gt;='01_Вводные'!$B$245,'01_Вводные'!$B$57,'01_Вводные'!$B$56)</f>
        <v/>
      </c>
      <c r="AB560">
        <f>'19_Расчет_аналитики'!AB557*IF('06_Сеть_и_дети'!AB$3&gt;='01_Вводные'!$B$245,'01_Вводные'!$B$57,'01_Вводные'!$B$56)</f>
        <v/>
      </c>
      <c r="AC560">
        <f>'19_Расчет_аналитики'!AC557*IF('06_Сеть_и_дети'!AC$3&gt;='01_Вводные'!$B$245,'01_Вводные'!$B$57,'01_Вводные'!$B$56)</f>
        <v/>
      </c>
      <c r="AD560">
        <f>'19_Расчет_аналитики'!AD557*IF('06_Сеть_и_дети'!AD$3&gt;='01_Вводные'!$B$245,'01_Вводные'!$B$57,'01_Вводные'!$B$56)</f>
        <v/>
      </c>
      <c r="AE560">
        <f>'19_Расчет_аналитики'!AE557*IF('06_Сеть_и_дети'!AE$3&gt;='01_Вводные'!$B$245,'01_Вводные'!$B$57,'01_Вводные'!$B$56)</f>
        <v/>
      </c>
      <c r="AF560">
        <f>'19_Расчет_аналитики'!AF557*IF('06_Сеть_и_дети'!AF$3&gt;='01_Вводные'!$B$245,'01_Вводные'!$B$57,'01_Вводные'!$B$56)</f>
        <v/>
      </c>
      <c r="AG560">
        <f>'19_Расчет_аналитики'!AG557*IF('06_Сеть_и_дети'!AG$3&gt;='01_Вводные'!$B$245,'01_Вводные'!$B$57,'01_Вводные'!$B$56)</f>
        <v/>
      </c>
      <c r="AH560">
        <f>'19_Расчет_аналитики'!AH557*IF('06_Сеть_и_дети'!AH$3&gt;='01_Вводные'!$B$245,'01_Вводные'!$B$57,'01_Вводные'!$B$56)</f>
        <v/>
      </c>
      <c r="AI560">
        <f>'19_Расчет_аналитики'!AI557*IF('06_Сеть_и_дети'!AI$3&gt;='01_Вводные'!$B$245,'01_Вводные'!$B$57,'01_Вводные'!$B$56)</f>
        <v/>
      </c>
      <c r="AJ560">
        <f>'19_Расчет_аналитики'!AJ557*IF('06_Сеть_и_дети'!AJ$3&gt;='01_Вводные'!$B$245,'01_Вводные'!$B$57,'01_Вводные'!$B$56)</f>
        <v/>
      </c>
      <c r="AK560">
        <f>'19_Расчет_аналитики'!AK557*IF('06_Сеть_и_дети'!AK$3&gt;='01_Вводные'!$B$245,'01_Вводные'!$B$57,'01_Вводные'!$B$56)</f>
        <v/>
      </c>
      <c r="AL560">
        <f>'19_Расчет_аналитики'!AL557*IF('06_Сеть_и_дети'!AL$3&gt;='01_Вводные'!$B$245,'01_Вводные'!$B$57,'01_Вводные'!$B$56)</f>
        <v/>
      </c>
      <c r="AM560">
        <f>'19_Расчет_аналитики'!AM557*IF('06_Сеть_и_дети'!AM$3&gt;='01_Вводные'!$B$245,'01_Вводные'!$B$57,'01_Вводные'!$B$56)</f>
        <v/>
      </c>
      <c r="AN560">
        <f>'19_Расчет_аналитики'!AN557*IF('06_Сеть_и_дети'!AN$3&gt;='01_Вводные'!$B$245,'01_Вводные'!$B$57,'01_Вводные'!$B$56)</f>
        <v/>
      </c>
      <c r="AO560">
        <f>'19_Расчет_аналитики'!AO557*IF('06_Сеть_и_дети'!AO$3&gt;='01_Вводные'!$B$245,'01_Вводные'!$B$57,'01_Вводные'!$B$56)</f>
        <v/>
      </c>
      <c r="AP560">
        <f>'19_Расчет_аналитики'!AP557*IF('06_Сеть_и_дети'!AP$3&gt;='01_Вводные'!$B$245,'01_Вводные'!$B$57,'01_Вводные'!$B$56)</f>
        <v/>
      </c>
      <c r="AQ560">
        <f>'19_Расчет_аналитики'!AQ557*IF('06_Сеть_и_дети'!AQ$3&gt;='01_Вводные'!$B$245,'01_Вводные'!$B$57,'01_Вводные'!$B$56)</f>
        <v/>
      </c>
      <c r="AR560">
        <f>'19_Расчет_аналитики'!AR557*IF('06_Сеть_и_дети'!AR$3&gt;='01_Вводные'!$B$245,'01_Вводные'!$B$57,'01_Вводные'!$B$56)</f>
        <v/>
      </c>
      <c r="AS560">
        <f>'19_Расчет_аналитики'!AS557*IF('06_Сеть_и_дети'!AS$3&gt;='01_Вводные'!$B$245,'01_Вводные'!$B$57,'01_Вводные'!$B$56)</f>
        <v/>
      </c>
      <c r="AT560">
        <f>'19_Расчет_аналитики'!AT557*IF('06_Сеть_и_дети'!AT$3&gt;='01_Вводные'!$B$245,'01_Вводные'!$B$57,'01_Вводные'!$B$56)</f>
        <v/>
      </c>
      <c r="AU560">
        <f>'19_Расчет_аналитики'!AU557*IF('06_Сеть_и_дети'!AU$3&gt;='01_Вводные'!$B$245,'01_Вводные'!$B$57,'01_Вводные'!$B$56)</f>
        <v/>
      </c>
      <c r="AV560">
        <f>'19_Расчет_аналитики'!AV557*IF('06_Сеть_и_дети'!AV$3&gt;='01_Вводные'!$B$245,'01_Вводные'!$B$57,'01_Вводные'!$B$56)</f>
        <v/>
      </c>
      <c r="AW560">
        <f>'19_Расчет_аналитики'!AW557*IF('06_Сеть_и_дети'!AW$3&gt;='01_Вводные'!$B$245,'01_Вводные'!$B$57,'01_Вводные'!$B$56)</f>
        <v/>
      </c>
      <c r="AX560">
        <f>'19_Расчет_аналитики'!AX557*IF('06_Сеть_и_дети'!AX$3&gt;='01_Вводные'!$B$245,'01_Вводные'!$B$57,'01_Вводные'!$B$56)</f>
        <v/>
      </c>
      <c r="AY560">
        <f>'19_Расчет_аналитики'!AY557*IF('06_Сеть_и_дети'!AY$3&gt;='01_Вводные'!$B$245,'01_Вводные'!$B$57,'01_Вводные'!$B$56)</f>
        <v/>
      </c>
      <c r="AZ560">
        <f>'19_Расчет_аналитики'!AZ557*IF('06_Сеть_и_дети'!AZ$3&gt;='01_Вводные'!$B$245,'01_Вводные'!$B$57,'01_Вводные'!$B$56)</f>
        <v/>
      </c>
      <c r="BA560">
        <f>'19_Расчет_аналитики'!BA557*IF('06_Сеть_и_дети'!BA$3&gt;='01_Вводные'!$B$245,'01_Вводные'!$B$57,'01_Вводные'!$B$56)</f>
        <v/>
      </c>
      <c r="BB560">
        <f>'19_Расчет_аналитики'!BB557*IF('06_Сеть_и_дети'!BB$3&gt;='01_Вводные'!$B$245,'01_Вводные'!$B$57,'01_Вводные'!$B$56)</f>
        <v/>
      </c>
      <c r="BC560">
        <f>'19_Расчет_аналитики'!BC557*IF('06_Сеть_и_дети'!BC$3&gt;='01_Вводные'!$B$245,'01_Вводные'!$B$57,'01_Вводные'!$B$56)</f>
        <v/>
      </c>
      <c r="BD560">
        <f>'19_Расчет_аналитики'!BD557*IF('06_Сеть_и_дети'!BD$3&gt;='01_Вводные'!$B$245,'01_Вводные'!$B$57,'01_Вводные'!$B$56)</f>
        <v/>
      </c>
      <c r="BE560">
        <f>'19_Расчет_аналитики'!BE557*IF('06_Сеть_и_дети'!BE$3&gt;='01_Вводные'!$B$245,'01_Вводные'!$B$57,'01_Вводные'!$B$56)</f>
        <v/>
      </c>
      <c r="BF560">
        <f>'19_Расчет_аналитики'!BF557*IF('06_Сеть_и_дети'!BF$3&gt;='01_Вводные'!$B$245,'01_Вводные'!$B$57,'01_Вводные'!$B$56)</f>
        <v/>
      </c>
      <c r="BG560">
        <f>'19_Расчет_аналитики'!BG557*IF('06_Сеть_и_дети'!BG$3&gt;='01_Вводные'!$B$245,'01_Вводные'!$B$57,'01_Вводные'!$B$56)</f>
        <v/>
      </c>
      <c r="BH560">
        <f>'19_Расчет_аналитики'!BH557*IF('06_Сеть_и_дети'!BH$3&gt;='01_Вводные'!$B$245,'01_Вводные'!$B$57,'01_Вводные'!$B$56)</f>
        <v/>
      </c>
      <c r="BI560">
        <f>'19_Расчет_аналитики'!BI557*IF('06_Сеть_и_дети'!BI$3&gt;='01_Вводные'!$B$245,'01_Вводные'!$B$57,'01_Вводные'!$B$56)</f>
        <v/>
      </c>
      <c r="BJ560">
        <f>'19_Расчет_аналитики'!BJ557*IF('06_Сеть_и_дети'!BJ$3&gt;='01_Вводные'!$B$245,'01_Вводные'!$B$57,'01_Вводные'!$B$56)</f>
        <v/>
      </c>
      <c r="BK560">
        <f>'19_Расчет_аналитики'!BK557*IF('06_Сеть_и_дети'!BK$3&gt;='01_Вводные'!$B$245,'01_Вводные'!$B$57,'01_Вводные'!$B$56)</f>
        <v/>
      </c>
      <c r="BL560">
        <f>'19_Расчет_аналитики'!BL557*IF('06_Сеть_и_дети'!BL$3&gt;='01_Вводные'!$B$245,'01_Вводные'!$B$57,'01_Вводные'!$B$56)</f>
        <v/>
      </c>
      <c r="BM560">
        <f>'19_Расчет_аналитики'!BM557*IF('06_Сеть_и_дети'!BM$3&gt;='01_Вводные'!$B$245,'01_Вводные'!$B$57,'01_Вводные'!$B$56)</f>
        <v/>
      </c>
      <c r="BN560">
        <f>'19_Расчет_аналитики'!BN557*IF('06_Сеть_и_дети'!BN$3&gt;='01_Вводные'!$B$245,'01_Вводные'!$B$57,'01_Вводные'!$B$56)</f>
        <v/>
      </c>
      <c r="BO560">
        <f>'19_Расчет_аналитики'!BO557*IF('06_Сеть_и_дети'!BO$3&gt;='01_Вводные'!$B$245,'01_Вводные'!$B$57,'01_Вводные'!$B$56)</f>
        <v/>
      </c>
    </row>
    <row r="561">
      <c r="B561">
        <f>SUM('19_Расчет_аналитики'!B408:B432)-'19_Расчет_аналитики'!B371</f>
        <v/>
      </c>
      <c r="C561">
        <f>SUM('19_Расчет_аналитики'!C408:C432)-'19_Расчет_аналитики'!C371</f>
        <v/>
      </c>
      <c r="D561">
        <f>SUM('19_Расчет_аналитики'!D408:D432)-'19_Расчет_аналитики'!D371</f>
        <v/>
      </c>
      <c r="E561">
        <f>SUM('19_Расчет_аналитики'!E408:E432)-'19_Расчет_аналитики'!E371</f>
        <v/>
      </c>
      <c r="F561">
        <f>SUM('19_Расчет_аналитики'!F408:F432)-'19_Расчет_аналитики'!F371</f>
        <v/>
      </c>
      <c r="G561">
        <f>SUM('19_Расчет_аналитики'!G408:G432)-'19_Расчет_аналитики'!G371</f>
        <v/>
      </c>
      <c r="H561">
        <f>SUM('19_Расчет_аналитики'!H408:H432)-'19_Расчет_аналитики'!H371</f>
        <v/>
      </c>
      <c r="I561">
        <f>SUM('19_Расчет_аналитики'!I408:I432)-'19_Расчет_аналитики'!I371</f>
        <v/>
      </c>
      <c r="J561">
        <f>SUM('19_Расчет_аналитики'!J408:J432)-'19_Расчет_аналитики'!J371</f>
        <v/>
      </c>
      <c r="K561">
        <f>SUM('19_Расчет_аналитики'!K408:K432)-'19_Расчет_аналитики'!K371</f>
        <v/>
      </c>
      <c r="L561">
        <f>SUM('19_Расчет_аналитики'!L408:L432)-'19_Расчет_аналитики'!L371</f>
        <v/>
      </c>
      <c r="M561">
        <f>SUM('19_Расчет_аналитики'!M408:M432)-'19_Расчет_аналитики'!M371</f>
        <v/>
      </c>
      <c r="N561">
        <f>SUM('19_Расчет_аналитики'!N408:N432)-'19_Расчет_аналитики'!N371</f>
        <v/>
      </c>
      <c r="O561">
        <f>SUM('19_Расчет_аналитики'!O408:O432)-'19_Расчет_аналитики'!O371</f>
        <v/>
      </c>
      <c r="P561">
        <f>SUM('19_Расчет_аналитики'!P408:P432)-'19_Расчет_аналитики'!P371</f>
        <v/>
      </c>
      <c r="Q561">
        <f>SUM('19_Расчет_аналитики'!Q408:Q432)-'19_Расчет_аналитики'!Q371</f>
        <v/>
      </c>
      <c r="R561">
        <f>SUM('19_Расчет_аналитики'!R408:R432)-'19_Расчет_аналитики'!R371</f>
        <v/>
      </c>
      <c r="S561">
        <f>SUM('19_Расчет_аналитики'!S408:S432)-'19_Расчет_аналитики'!S371</f>
        <v/>
      </c>
      <c r="T561">
        <f>SUM('19_Расчет_аналитики'!T408:T432)-'19_Расчет_аналитики'!T371</f>
        <v/>
      </c>
      <c r="U561">
        <f>SUM('19_Расчет_аналитики'!U408:U432)-'19_Расчет_аналитики'!U371</f>
        <v/>
      </c>
      <c r="V561">
        <f>SUM('19_Расчет_аналитики'!V408:V432)-'19_Расчет_аналитики'!V371</f>
        <v/>
      </c>
      <c r="W561">
        <f>SUM('19_Расчет_аналитики'!W408:W432)-'19_Расчет_аналитики'!W371</f>
        <v/>
      </c>
      <c r="X561">
        <f>SUM('19_Расчет_аналитики'!X408:X432)-'19_Расчет_аналитики'!X371</f>
        <v/>
      </c>
      <c r="Y561">
        <f>SUM('19_Расчет_аналитики'!Y408:Y432)-'19_Расчет_аналитики'!Y371</f>
        <v/>
      </c>
      <c r="Z561">
        <f>SUM('19_Расчет_аналитики'!Z408:Z432)-'19_Расчет_аналитики'!Z371</f>
        <v/>
      </c>
      <c r="AA561">
        <f>SUM('19_Расчет_аналитики'!AA408:AA432)-'19_Расчет_аналитики'!AA371</f>
        <v/>
      </c>
      <c r="AB561">
        <f>SUM('19_Расчет_аналитики'!AB408:AB432)-'19_Расчет_аналитики'!AB371</f>
        <v/>
      </c>
      <c r="AC561">
        <f>SUM('19_Расчет_аналитики'!AC408:AC432)-'19_Расчет_аналитики'!AC371</f>
        <v/>
      </c>
      <c r="AD561">
        <f>SUM('19_Расчет_аналитики'!AD408:AD432)-'19_Расчет_аналитики'!AD371</f>
        <v/>
      </c>
      <c r="AE561">
        <f>SUM('19_Расчет_аналитики'!AE408:AE432)-'19_Расчет_аналитики'!AE371</f>
        <v/>
      </c>
      <c r="AF561">
        <f>SUM('19_Расчет_аналитики'!AF408:AF432)-'19_Расчет_аналитики'!AF371</f>
        <v/>
      </c>
      <c r="AG561">
        <f>SUM('19_Расчет_аналитики'!AG408:AG432)-'19_Расчет_аналитики'!AG371</f>
        <v/>
      </c>
      <c r="AH561">
        <f>SUM('19_Расчет_аналитики'!AH408:AH432)-'19_Расчет_аналитики'!AH371</f>
        <v/>
      </c>
      <c r="AI561">
        <f>SUM('19_Расчет_аналитики'!AI408:AI432)-'19_Расчет_аналитики'!AI371</f>
        <v/>
      </c>
      <c r="AJ561">
        <f>SUM('19_Расчет_аналитики'!AJ408:AJ432)-'19_Расчет_аналитики'!AJ371</f>
        <v/>
      </c>
      <c r="AK561">
        <f>SUM('19_Расчет_аналитики'!AK408:AK432)-'19_Расчет_аналитики'!AK371</f>
        <v/>
      </c>
      <c r="AL561">
        <f>SUM('19_Расчет_аналитики'!AL408:AL432)-'19_Расчет_аналитики'!AL371</f>
        <v/>
      </c>
      <c r="AM561">
        <f>SUM('19_Расчет_аналитики'!AM408:AM432)-'19_Расчет_аналитики'!AM371</f>
        <v/>
      </c>
      <c r="AN561">
        <f>SUM('19_Расчет_аналитики'!AN408:AN432)-'19_Расчет_аналитики'!AN371</f>
        <v/>
      </c>
      <c r="AO561">
        <f>SUM('19_Расчет_аналитики'!AO408:AO432)-'19_Расчет_аналитики'!AO371</f>
        <v/>
      </c>
      <c r="AP561">
        <f>SUM('19_Расчет_аналитики'!AP408:AP432)-'19_Расчет_аналитики'!AP371</f>
        <v/>
      </c>
      <c r="AQ561">
        <f>SUM('19_Расчет_аналитики'!AQ408:AQ432)-'19_Расчет_аналитики'!AQ371</f>
        <v/>
      </c>
      <c r="AR561">
        <f>SUM('19_Расчет_аналитики'!AR408:AR432)-'19_Расчет_аналитики'!AR371</f>
        <v/>
      </c>
      <c r="AS561">
        <f>SUM('19_Расчет_аналитики'!AS408:AS432)-'19_Расчет_аналитики'!AS371</f>
        <v/>
      </c>
      <c r="AT561">
        <f>SUM('19_Расчет_аналитики'!AT408:AT432)-'19_Расчет_аналитики'!AT371</f>
        <v/>
      </c>
      <c r="AU561">
        <f>SUM('19_Расчет_аналитики'!AU408:AU432)-'19_Расчет_аналитики'!AU371</f>
        <v/>
      </c>
      <c r="AV561">
        <f>SUM('19_Расчет_аналитики'!AV408:AV432)-'19_Расчет_аналитики'!AV371</f>
        <v/>
      </c>
      <c r="AW561">
        <f>SUM('19_Расчет_аналитики'!AW408:AW432)-'19_Расчет_аналитики'!AW371</f>
        <v/>
      </c>
      <c r="AX561">
        <f>SUM('19_Расчет_аналитики'!AX408:AX432)-'19_Расчет_аналитики'!AX371</f>
        <v/>
      </c>
      <c r="AY561">
        <f>SUM('19_Расчет_аналитики'!AY408:AY432)-'19_Расчет_аналитики'!AY371</f>
        <v/>
      </c>
      <c r="AZ561">
        <f>SUM('19_Расчет_аналитики'!AZ408:AZ432)-'19_Расчет_аналитики'!AZ371</f>
        <v/>
      </c>
      <c r="BA561">
        <f>SUM('19_Расчет_аналитики'!BA408:BA432)-'19_Расчет_аналитики'!BA371</f>
        <v/>
      </c>
      <c r="BB561">
        <f>SUM('19_Расчет_аналитики'!BB408:BB432)-'19_Расчет_аналитики'!BB371</f>
        <v/>
      </c>
      <c r="BC561">
        <f>SUM('19_Расчет_аналитики'!BC408:BC432)-'19_Расчет_аналитики'!BC371</f>
        <v/>
      </c>
      <c r="BD561">
        <f>SUM('19_Расчет_аналитики'!BD408:BD432)-'19_Расчет_аналитики'!BD371</f>
        <v/>
      </c>
      <c r="BE561">
        <f>SUM('19_Расчет_аналитики'!BE408:BE432)-'19_Расчет_аналитики'!BE371</f>
        <v/>
      </c>
      <c r="BF561">
        <f>SUM('19_Расчет_аналитики'!BF408:BF432)-'19_Расчет_аналитики'!BF371</f>
        <v/>
      </c>
      <c r="BG561">
        <f>SUM('19_Расчет_аналитики'!BG408:BG432)-'19_Расчет_аналитики'!BG371</f>
        <v/>
      </c>
      <c r="BH561">
        <f>SUM('19_Расчет_аналитики'!BH408:BH432)-'19_Расчет_аналитики'!BH371</f>
        <v/>
      </c>
      <c r="BI561">
        <f>SUM('19_Расчет_аналитики'!BI408:BI432)-'19_Расчет_аналитики'!BI371</f>
        <v/>
      </c>
      <c r="BJ561">
        <f>SUM('19_Расчет_аналитики'!BJ408:BJ432)-'19_Расчет_аналитики'!BJ371</f>
        <v/>
      </c>
      <c r="BK561">
        <f>SUM('19_Расчет_аналитики'!BK408:BK432)-'19_Расчет_аналитики'!BK371</f>
        <v/>
      </c>
      <c r="BL561">
        <f>SUM('19_Расчет_аналитики'!BL408:BL432)-'19_Расчет_аналитики'!BL371</f>
        <v/>
      </c>
      <c r="BM561">
        <f>SUM('19_Расчет_аналитики'!BM408:BM432)-'19_Расчет_аналитики'!BM371</f>
        <v/>
      </c>
      <c r="BN561">
        <f>SUM('19_Расчет_аналитики'!BN408:BN432)-'19_Расчет_аналитики'!BN371</f>
        <v/>
      </c>
      <c r="BO561">
        <f>SUM('19_Расчет_аналитики'!BO408:BO432)-'19_Расчет_аналитики'!BO371</f>
        <v/>
      </c>
    </row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>
      <c r="F606">
        <f>'06_Сеть_и_дети'!F19*'19_Расчет_аналитики'!$B$86*'07_Мерч'!F4</f>
        <v/>
      </c>
      <c r="G606">
        <f>'06_Сеть_и_дети'!G19*'19_Расчет_аналитики'!$B$86*'07_Мерч'!G4</f>
        <v/>
      </c>
      <c r="H606">
        <f>'06_Сеть_и_дети'!H19*'19_Расчет_аналитики'!$B$86*'07_Мерч'!H4</f>
        <v/>
      </c>
      <c r="I606">
        <f>'06_Сеть_и_дети'!I19*'19_Расчет_аналитики'!$B$86*'07_Мерч'!I4</f>
        <v/>
      </c>
      <c r="J606">
        <f>'06_Сеть_и_дети'!J19*'19_Расчет_аналитики'!$B$86*'07_Мерч'!J4</f>
        <v/>
      </c>
      <c r="K606">
        <f>'06_Сеть_и_дети'!K19*'19_Расчет_аналитики'!$B$86*'07_Мерч'!K4</f>
        <v/>
      </c>
      <c r="L606">
        <f>'06_Сеть_и_дети'!L19*'19_Расчет_аналитики'!$B$86*'07_Мерч'!L4</f>
        <v/>
      </c>
      <c r="M606">
        <f>'06_Сеть_и_дети'!M19*'19_Расчет_аналитики'!$B$86*'07_Мерч'!M4</f>
        <v/>
      </c>
      <c r="N606">
        <f>'06_Сеть_и_дети'!N19*'19_Расчет_аналитики'!$B$86*'07_Мерч'!N4</f>
        <v/>
      </c>
      <c r="O606">
        <f>'06_Сеть_и_дети'!O19*'19_Расчет_аналитики'!$B$86*'07_Мерч'!O4</f>
        <v/>
      </c>
      <c r="P606">
        <f>'06_Сеть_и_дети'!P19*'19_Расчет_аналитики'!$B$86*'07_Мерч'!P4</f>
        <v/>
      </c>
      <c r="Q606">
        <f>'06_Сеть_и_дети'!Q19*'19_Расчет_аналитики'!$B$86*'07_Мерч'!Q4</f>
        <v/>
      </c>
      <c r="R606">
        <f>'06_Сеть_и_дети'!R19*'19_Расчет_аналитики'!$B$86*'07_Мерч'!R4</f>
        <v/>
      </c>
      <c r="S606">
        <f>'06_Сеть_и_дети'!S19*'19_Расчет_аналитики'!$B$86*'07_Мерч'!S4</f>
        <v/>
      </c>
      <c r="T606">
        <f>'06_Сеть_и_дети'!T19*'19_Расчет_аналитики'!$B$86*'07_Мерч'!T4</f>
        <v/>
      </c>
      <c r="U606">
        <f>'06_Сеть_и_дети'!U19*'19_Расчет_аналитики'!$B$86*'07_Мерч'!U4</f>
        <v/>
      </c>
      <c r="V606">
        <f>'06_Сеть_и_дети'!V19*'19_Расчет_аналитики'!$B$86*'07_Мерч'!V4</f>
        <v/>
      </c>
      <c r="W606">
        <f>'06_Сеть_и_дети'!W19*'19_Расчет_аналитики'!$B$86*'07_Мерч'!W4</f>
        <v/>
      </c>
      <c r="X606">
        <f>'06_Сеть_и_дети'!X19*'19_Расчет_аналитики'!$B$86*'07_Мерч'!X4</f>
        <v/>
      </c>
      <c r="Y606">
        <f>'06_Сеть_и_дети'!Y19*'19_Расчет_аналитики'!$B$86*'07_Мерч'!Y4</f>
        <v/>
      </c>
      <c r="Z606">
        <f>'06_Сеть_и_дети'!Z19*'19_Расчет_аналитики'!$B$86*'07_Мерч'!Z4</f>
        <v/>
      </c>
      <c r="AA606">
        <f>'06_Сеть_и_дети'!AA19*'19_Расчет_аналитики'!$B$86*'07_Мерч'!AA4</f>
        <v/>
      </c>
      <c r="AB606">
        <f>'06_Сеть_и_дети'!AB19*'19_Расчет_аналитики'!$B$86*'07_Мерч'!AB4</f>
        <v/>
      </c>
      <c r="AC606">
        <f>'06_Сеть_и_дети'!AC19*'19_Расчет_аналитики'!$B$86*'07_Мерч'!AC4</f>
        <v/>
      </c>
      <c r="AD606">
        <f>'06_Сеть_и_дети'!AD19*'19_Расчет_аналитики'!$B$86*'07_Мерч'!AD4</f>
        <v/>
      </c>
      <c r="AE606">
        <f>'06_Сеть_и_дети'!AE19*'19_Расчет_аналитики'!$B$86*'07_Мерч'!AE4</f>
        <v/>
      </c>
      <c r="AF606">
        <f>'06_Сеть_и_дети'!AF19*'19_Расчет_аналитики'!$B$86*'07_Мерч'!AF4</f>
        <v/>
      </c>
      <c r="AG606">
        <f>'06_Сеть_и_дети'!AG19*'19_Расчет_аналитики'!$B$86*'07_Мерч'!AG4</f>
        <v/>
      </c>
      <c r="AH606">
        <f>'06_Сеть_и_дети'!AH19*'19_Расчет_аналитики'!$B$86*'07_Мерч'!AH4</f>
        <v/>
      </c>
      <c r="AI606">
        <f>'06_Сеть_и_дети'!AI19*'19_Расчет_аналитики'!$B$86*'07_Мерч'!AI4</f>
        <v/>
      </c>
      <c r="AJ606">
        <f>'06_Сеть_и_дети'!AJ19*'19_Расчет_аналитики'!$B$86*'07_Мерч'!AJ4</f>
        <v/>
      </c>
      <c r="AK606">
        <f>'06_Сеть_и_дети'!AK19*'19_Расчет_аналитики'!$B$86*'07_Мерч'!AK4</f>
        <v/>
      </c>
      <c r="AL606">
        <f>'06_Сеть_и_дети'!AL19*'19_Расчет_аналитики'!$B$86*'07_Мерч'!AL4</f>
        <v/>
      </c>
      <c r="AM606">
        <f>'06_Сеть_и_дети'!AM19*'19_Расчет_аналитики'!$B$86*'07_Мерч'!AM4</f>
        <v/>
      </c>
      <c r="AN606">
        <f>'06_Сеть_и_дети'!AN19*'19_Расчет_аналитики'!$B$86*'07_Мерч'!AN4</f>
        <v/>
      </c>
      <c r="AO606">
        <f>'06_Сеть_и_дети'!AO19*'19_Расчет_аналитики'!$B$86*'07_Мерч'!AO4</f>
        <v/>
      </c>
      <c r="AP606">
        <f>'06_Сеть_и_дети'!AP19*'19_Расчет_аналитики'!$B$86*'07_Мерч'!AP4</f>
        <v/>
      </c>
      <c r="AQ606">
        <f>'06_Сеть_и_дети'!AQ19*'19_Расчет_аналитики'!$B$86*'07_Мерч'!AQ4</f>
        <v/>
      </c>
      <c r="AR606">
        <f>'06_Сеть_и_дети'!AR19*'19_Расчет_аналитики'!$B$86*'07_Мерч'!AR4</f>
        <v/>
      </c>
      <c r="AS606">
        <f>'06_Сеть_и_дети'!AS19*'19_Расчет_аналитики'!$B$86*'07_Мерч'!AS4</f>
        <v/>
      </c>
      <c r="AT606">
        <f>'06_Сеть_и_дети'!AT19*'19_Расчет_аналитики'!$B$86*'07_Мерч'!AT4</f>
        <v/>
      </c>
      <c r="AU606">
        <f>'06_Сеть_и_дети'!AU19*'19_Расчет_аналитики'!$B$86*'07_Мерч'!AU4</f>
        <v/>
      </c>
      <c r="AV606">
        <f>'06_Сеть_и_дети'!AV19*'19_Расчет_аналитики'!$B$86*'07_Мерч'!AV4</f>
        <v/>
      </c>
      <c r="AW606">
        <f>'06_Сеть_и_дети'!AW19*'19_Расчет_аналитики'!$B$86*'07_Мерч'!AW4</f>
        <v/>
      </c>
      <c r="AX606">
        <f>'06_Сеть_и_дети'!AX19*'19_Расчет_аналитики'!$B$86*'07_Мерч'!AX4</f>
        <v/>
      </c>
      <c r="AY606">
        <f>'06_Сеть_и_дети'!AY19*'19_Расчет_аналитики'!$B$86*'07_Мерч'!AY4</f>
        <v/>
      </c>
      <c r="AZ606">
        <f>'06_Сеть_и_дети'!AZ19*'19_Расчет_аналитики'!$B$86*'07_Мерч'!AZ4</f>
        <v/>
      </c>
      <c r="BA606">
        <f>'06_Сеть_и_дети'!BA19*'19_Расчет_аналитики'!$B$86*'07_Мерч'!BA4</f>
        <v/>
      </c>
      <c r="BB606">
        <f>'06_Сеть_и_дети'!BB19*'19_Расчет_аналитики'!$B$86*'07_Мерч'!BB4</f>
        <v/>
      </c>
      <c r="BC606">
        <f>'06_Сеть_и_дети'!BC19*'19_Расчет_аналитики'!$B$86*'07_Мерч'!BC4</f>
        <v/>
      </c>
      <c r="BD606">
        <f>'06_Сеть_и_дети'!BD19*'19_Расчет_аналитики'!$B$86*'07_Мерч'!BD4</f>
        <v/>
      </c>
      <c r="BE606">
        <f>'06_Сеть_и_дети'!BE19*'19_Расчет_аналитики'!$B$86*'07_Мерч'!BE4</f>
        <v/>
      </c>
      <c r="BF606">
        <f>'06_Сеть_и_дети'!BF19*'19_Расчет_аналитики'!$B$86*'07_Мерч'!BF4</f>
        <v/>
      </c>
      <c r="BG606">
        <f>'06_Сеть_и_дети'!BG19*'19_Расчет_аналитики'!$B$86*'07_Мерч'!BG4</f>
        <v/>
      </c>
      <c r="BH606">
        <f>'06_Сеть_и_дети'!BH19*'19_Расчет_аналитики'!$B$86*'07_Мерч'!BH4</f>
        <v/>
      </c>
      <c r="BI606">
        <f>'06_Сеть_и_дети'!BI19*'19_Расчет_аналитики'!$B$86*'07_Мерч'!BI4</f>
        <v/>
      </c>
      <c r="BJ606">
        <f>'06_Сеть_и_дети'!BJ19*'19_Расчет_аналитики'!$B$86*'07_Мерч'!BJ4</f>
        <v/>
      </c>
      <c r="BK606">
        <f>'06_Сеть_и_дети'!BK19*'19_Расчет_аналитики'!$B$86*'07_Мерч'!BK4</f>
        <v/>
      </c>
      <c r="BL606">
        <f>'06_Сеть_и_дети'!BL19*'19_Расчет_аналитики'!$B$86*'07_Мерч'!BL4</f>
        <v/>
      </c>
      <c r="BM606">
        <f>'06_Сеть_и_дети'!BM19*'19_Расчет_аналитики'!$B$86*'07_Мерч'!BM4</f>
        <v/>
      </c>
      <c r="BN606">
        <f>'06_Сеть_и_дети'!BN19*'19_Расчет_аналитики'!$B$86*'07_Мерч'!BN4</f>
        <v/>
      </c>
      <c r="BO606">
        <f>'06_Сеть_и_дети'!BO19*'19_Расчет_аналитики'!$B$86*'07_Мерч'!BO4</f>
        <v/>
      </c>
    </row>
    <row r="607">
      <c r="F607">
        <f>'19_Расчет_аналитики'!F606*'18_Календарь_тарифы'!F10</f>
        <v/>
      </c>
      <c r="G607">
        <f>'19_Расчет_аналитики'!G606*'18_Календарь_тарифы'!G10</f>
        <v/>
      </c>
      <c r="H607">
        <f>'19_Расчет_аналитики'!H606*'18_Календарь_тарифы'!H10</f>
        <v/>
      </c>
      <c r="I607">
        <f>'19_Расчет_аналитики'!I606*'18_Календарь_тарифы'!I10</f>
        <v/>
      </c>
      <c r="J607">
        <f>'19_Расчет_аналитики'!J606*'18_Календарь_тарифы'!J10</f>
        <v/>
      </c>
      <c r="K607">
        <f>'19_Расчет_аналитики'!K606*'18_Календарь_тарифы'!K10</f>
        <v/>
      </c>
      <c r="L607">
        <f>'19_Расчет_аналитики'!L606*'18_Календарь_тарифы'!L10</f>
        <v/>
      </c>
      <c r="M607">
        <f>'19_Расчет_аналитики'!M606*'18_Календарь_тарифы'!M10</f>
        <v/>
      </c>
      <c r="N607">
        <f>'19_Расчет_аналитики'!N606*'18_Календарь_тарифы'!N10</f>
        <v/>
      </c>
      <c r="O607">
        <f>'19_Расчет_аналитики'!O606*'18_Календарь_тарифы'!O10</f>
        <v/>
      </c>
      <c r="P607">
        <f>'19_Расчет_аналитики'!P606*'18_Календарь_тарифы'!P10</f>
        <v/>
      </c>
      <c r="Q607">
        <f>'19_Расчет_аналитики'!Q606*'18_Календарь_тарифы'!Q10</f>
        <v/>
      </c>
      <c r="R607">
        <f>'19_Расчет_аналитики'!R606*'18_Календарь_тарифы'!R10</f>
        <v/>
      </c>
      <c r="S607">
        <f>'19_Расчет_аналитики'!S606*'18_Календарь_тарифы'!S10</f>
        <v/>
      </c>
      <c r="T607">
        <f>'19_Расчет_аналитики'!T606*'18_Календарь_тарифы'!T10</f>
        <v/>
      </c>
      <c r="U607">
        <f>'19_Расчет_аналитики'!U606*'18_Календарь_тарифы'!U10</f>
        <v/>
      </c>
      <c r="V607">
        <f>'19_Расчет_аналитики'!V606*'18_Календарь_тарифы'!V10</f>
        <v/>
      </c>
      <c r="W607">
        <f>'19_Расчет_аналитики'!W606*'18_Календарь_тарифы'!W10</f>
        <v/>
      </c>
      <c r="X607">
        <f>'19_Расчет_аналитики'!X606*'18_Календарь_тарифы'!X10</f>
        <v/>
      </c>
      <c r="Y607">
        <f>'19_Расчет_аналитики'!Y606*'18_Календарь_тарифы'!Y10</f>
        <v/>
      </c>
      <c r="Z607">
        <f>'19_Расчет_аналитики'!Z606*'18_Календарь_тарифы'!Z10</f>
        <v/>
      </c>
      <c r="AA607">
        <f>'19_Расчет_аналитики'!AA606*'18_Календарь_тарифы'!AA10</f>
        <v/>
      </c>
      <c r="AB607">
        <f>'19_Расчет_аналитики'!AB606*'18_Календарь_тарифы'!AB10</f>
        <v/>
      </c>
      <c r="AC607">
        <f>'19_Расчет_аналитики'!AC606*'18_Календарь_тарифы'!AC10</f>
        <v/>
      </c>
      <c r="AD607">
        <f>'19_Расчет_аналитики'!AD606*'18_Календарь_тарифы'!AD10</f>
        <v/>
      </c>
      <c r="AE607">
        <f>'19_Расчет_аналитики'!AE606*'18_Календарь_тарифы'!AE10</f>
        <v/>
      </c>
      <c r="AF607">
        <f>'19_Расчет_аналитики'!AF606*'18_Календарь_тарифы'!AF10</f>
        <v/>
      </c>
      <c r="AG607">
        <f>'19_Расчет_аналитики'!AG606*'18_Календарь_тарифы'!AG10</f>
        <v/>
      </c>
      <c r="AH607">
        <f>'19_Расчет_аналитики'!AH606*'18_Календарь_тарифы'!AH10</f>
        <v/>
      </c>
      <c r="AI607">
        <f>'19_Расчет_аналитики'!AI606*'18_Календарь_тарифы'!AI10</f>
        <v/>
      </c>
      <c r="AJ607">
        <f>'19_Расчет_аналитики'!AJ606*'18_Календарь_тарифы'!AJ10</f>
        <v/>
      </c>
      <c r="AK607">
        <f>'19_Расчет_аналитики'!AK606*'18_Календарь_тарифы'!AK10</f>
        <v/>
      </c>
      <c r="AL607">
        <f>'19_Расчет_аналитики'!AL606*'18_Календарь_тарифы'!AL10</f>
        <v/>
      </c>
      <c r="AM607">
        <f>'19_Расчет_аналитики'!AM606*'18_Календарь_тарифы'!AM10</f>
        <v/>
      </c>
      <c r="AN607">
        <f>'19_Расчет_аналитики'!AN606*'18_Календарь_тарифы'!AN10</f>
        <v/>
      </c>
      <c r="AO607">
        <f>'19_Расчет_аналитики'!AO606*'18_Календарь_тарифы'!AO10</f>
        <v/>
      </c>
      <c r="AP607">
        <f>'19_Расчет_аналитики'!AP606*'18_Календарь_тарифы'!AP10</f>
        <v/>
      </c>
      <c r="AQ607">
        <f>'19_Расчет_аналитики'!AQ606*'18_Календарь_тарифы'!AQ10</f>
        <v/>
      </c>
      <c r="AR607">
        <f>'19_Расчет_аналитики'!AR606*'18_Календарь_тарифы'!AR10</f>
        <v/>
      </c>
      <c r="AS607">
        <f>'19_Расчет_аналитики'!AS606*'18_Календарь_тарифы'!AS10</f>
        <v/>
      </c>
      <c r="AT607">
        <f>'19_Расчет_аналитики'!AT606*'18_Календарь_тарифы'!AT10</f>
        <v/>
      </c>
      <c r="AU607">
        <f>'19_Расчет_аналитики'!AU606*'18_Календарь_тарифы'!AU10</f>
        <v/>
      </c>
      <c r="AV607">
        <f>'19_Расчет_аналитики'!AV606*'18_Календарь_тарифы'!AV10</f>
        <v/>
      </c>
      <c r="AW607">
        <f>'19_Расчет_аналитики'!AW606*'18_Календарь_тарифы'!AW10</f>
        <v/>
      </c>
      <c r="AX607">
        <f>'19_Расчет_аналитики'!AX606*'18_Календарь_тарифы'!AX10</f>
        <v/>
      </c>
      <c r="AY607">
        <f>'19_Расчет_аналитики'!AY606*'18_Календарь_тарифы'!AY10</f>
        <v/>
      </c>
      <c r="AZ607">
        <f>'19_Расчет_аналитики'!AZ606*'18_Календарь_тарифы'!AZ10</f>
        <v/>
      </c>
      <c r="BA607">
        <f>'19_Расчет_аналитики'!BA606*'18_Календарь_тарифы'!BA10</f>
        <v/>
      </c>
      <c r="BB607">
        <f>'19_Расчет_аналитики'!BB606*'18_Календарь_тарифы'!BB10</f>
        <v/>
      </c>
      <c r="BC607">
        <f>'19_Расчет_аналитики'!BC606*'18_Календарь_тарифы'!BC10</f>
        <v/>
      </c>
      <c r="BD607">
        <f>'19_Расчет_аналитики'!BD606*'18_Календарь_тарифы'!BD10</f>
        <v/>
      </c>
      <c r="BE607">
        <f>'19_Расчет_аналитики'!BE606*'18_Календарь_тарифы'!BE10</f>
        <v/>
      </c>
      <c r="BF607">
        <f>'19_Расчет_аналитики'!BF606*'18_Календарь_тарифы'!BF10</f>
        <v/>
      </c>
      <c r="BG607">
        <f>'19_Расчет_аналитики'!BG606*'18_Календарь_тарифы'!BG10</f>
        <v/>
      </c>
      <c r="BH607">
        <f>'19_Расчет_аналитики'!BH606*'18_Календарь_тарифы'!BH10</f>
        <v/>
      </c>
      <c r="BI607">
        <f>'19_Расчет_аналитики'!BI606*'18_Календарь_тарифы'!BI10</f>
        <v/>
      </c>
      <c r="BJ607">
        <f>'19_Расчет_аналитики'!BJ606*'18_Календарь_тарифы'!BJ10</f>
        <v/>
      </c>
      <c r="BK607">
        <f>'19_Расчет_аналитики'!BK606*'18_Календарь_тарифы'!BK10</f>
        <v/>
      </c>
      <c r="BL607">
        <f>'19_Расчет_аналитики'!BL606*'18_Календарь_тарифы'!BL10</f>
        <v/>
      </c>
      <c r="BM607">
        <f>'19_Расчет_аналитики'!BM606*'18_Календарь_тарифы'!BM10</f>
        <v/>
      </c>
      <c r="BN607">
        <f>'19_Расчет_аналитики'!BN606*'18_Календарь_тарифы'!BN10</f>
        <v/>
      </c>
      <c r="BO607">
        <f>'19_Расчет_аналитики'!BO606*'18_Календарь_тарифы'!BO10</f>
        <v/>
      </c>
    </row>
    <row r="608">
      <c r="F608">
        <f>'19_Расчет_аналитики'!F606*'18_Календарь_тарифы'!F9</f>
        <v/>
      </c>
      <c r="G608">
        <f>'19_Расчет_аналитики'!G606*'18_Календарь_тарифы'!G9</f>
        <v/>
      </c>
      <c r="H608">
        <f>'19_Расчет_аналитики'!H606*'18_Календарь_тарифы'!H9</f>
        <v/>
      </c>
      <c r="I608">
        <f>'19_Расчет_аналитики'!I606*'18_Календарь_тарифы'!I9</f>
        <v/>
      </c>
      <c r="J608">
        <f>'19_Расчет_аналитики'!J606*'18_Календарь_тарифы'!J9</f>
        <v/>
      </c>
      <c r="K608">
        <f>'19_Расчет_аналитики'!K606*'18_Календарь_тарифы'!K9</f>
        <v/>
      </c>
      <c r="L608">
        <f>'19_Расчет_аналитики'!L606*'18_Календарь_тарифы'!L9</f>
        <v/>
      </c>
      <c r="M608">
        <f>'19_Расчет_аналитики'!M606*'18_Календарь_тарифы'!M9</f>
        <v/>
      </c>
      <c r="N608">
        <f>'19_Расчет_аналитики'!N606*'18_Календарь_тарифы'!N9</f>
        <v/>
      </c>
      <c r="O608">
        <f>'19_Расчет_аналитики'!O606*'18_Календарь_тарифы'!O9</f>
        <v/>
      </c>
      <c r="P608">
        <f>'19_Расчет_аналитики'!P606*'18_Календарь_тарифы'!P9</f>
        <v/>
      </c>
      <c r="Q608">
        <f>'19_Расчет_аналитики'!Q606*'18_Календарь_тарифы'!Q9</f>
        <v/>
      </c>
      <c r="R608">
        <f>'19_Расчет_аналитики'!R606*'18_Календарь_тарифы'!R9</f>
        <v/>
      </c>
      <c r="S608">
        <f>'19_Расчет_аналитики'!S606*'18_Календарь_тарифы'!S9</f>
        <v/>
      </c>
      <c r="T608">
        <f>'19_Расчет_аналитики'!T606*'18_Календарь_тарифы'!T9</f>
        <v/>
      </c>
      <c r="U608">
        <f>'19_Расчет_аналитики'!U606*'18_Календарь_тарифы'!U9</f>
        <v/>
      </c>
      <c r="V608">
        <f>'19_Расчет_аналитики'!V606*'18_Календарь_тарифы'!V9</f>
        <v/>
      </c>
      <c r="W608">
        <f>'19_Расчет_аналитики'!W606*'18_Календарь_тарифы'!W9</f>
        <v/>
      </c>
      <c r="X608">
        <f>'19_Расчет_аналитики'!X606*'18_Календарь_тарифы'!X9</f>
        <v/>
      </c>
      <c r="Y608">
        <f>'19_Расчет_аналитики'!Y606*'18_Календарь_тарифы'!Y9</f>
        <v/>
      </c>
      <c r="Z608">
        <f>'19_Расчет_аналитики'!Z606*'18_Календарь_тарифы'!Z9</f>
        <v/>
      </c>
      <c r="AA608">
        <f>'19_Расчет_аналитики'!AA606*'18_Календарь_тарифы'!AA9</f>
        <v/>
      </c>
      <c r="AB608">
        <f>'19_Расчет_аналитики'!AB606*'18_Календарь_тарифы'!AB9</f>
        <v/>
      </c>
      <c r="AC608">
        <f>'19_Расчет_аналитики'!AC606*'18_Календарь_тарифы'!AC9</f>
        <v/>
      </c>
      <c r="AD608">
        <f>'19_Расчет_аналитики'!AD606*'18_Календарь_тарифы'!AD9</f>
        <v/>
      </c>
      <c r="AE608">
        <f>'19_Расчет_аналитики'!AE606*'18_Календарь_тарифы'!AE9</f>
        <v/>
      </c>
      <c r="AF608">
        <f>'19_Расчет_аналитики'!AF606*'18_Календарь_тарифы'!AF9</f>
        <v/>
      </c>
      <c r="AG608">
        <f>'19_Расчет_аналитики'!AG606*'18_Календарь_тарифы'!AG9</f>
        <v/>
      </c>
      <c r="AH608">
        <f>'19_Расчет_аналитики'!AH606*'18_Календарь_тарифы'!AH9</f>
        <v/>
      </c>
      <c r="AI608">
        <f>'19_Расчет_аналитики'!AI606*'18_Календарь_тарифы'!AI9</f>
        <v/>
      </c>
      <c r="AJ608">
        <f>'19_Расчет_аналитики'!AJ606*'18_Календарь_тарифы'!AJ9</f>
        <v/>
      </c>
      <c r="AK608">
        <f>'19_Расчет_аналитики'!AK606*'18_Календарь_тарифы'!AK9</f>
        <v/>
      </c>
      <c r="AL608">
        <f>'19_Расчет_аналитики'!AL606*'18_Календарь_тарифы'!AL9</f>
        <v/>
      </c>
      <c r="AM608">
        <f>'19_Расчет_аналитики'!AM606*'18_Календарь_тарифы'!AM9</f>
        <v/>
      </c>
      <c r="AN608">
        <f>'19_Расчет_аналитики'!AN606*'18_Календарь_тарифы'!AN9</f>
        <v/>
      </c>
      <c r="AO608">
        <f>'19_Расчет_аналитики'!AO606*'18_Календарь_тарифы'!AO9</f>
        <v/>
      </c>
      <c r="AP608">
        <f>'19_Расчет_аналитики'!AP606*'18_Календарь_тарифы'!AP9</f>
        <v/>
      </c>
      <c r="AQ608">
        <f>'19_Расчет_аналитики'!AQ606*'18_Календарь_тарифы'!AQ9</f>
        <v/>
      </c>
      <c r="AR608">
        <f>'19_Расчет_аналитики'!AR606*'18_Календарь_тарифы'!AR9</f>
        <v/>
      </c>
      <c r="AS608">
        <f>'19_Расчет_аналитики'!AS606*'18_Календарь_тарифы'!AS9</f>
        <v/>
      </c>
      <c r="AT608">
        <f>'19_Расчет_аналитики'!AT606*'18_Календарь_тарифы'!AT9</f>
        <v/>
      </c>
      <c r="AU608">
        <f>'19_Расчет_аналитики'!AU606*'18_Календарь_тарифы'!AU9</f>
        <v/>
      </c>
      <c r="AV608">
        <f>'19_Расчет_аналитики'!AV606*'18_Календарь_тарифы'!AV9</f>
        <v/>
      </c>
      <c r="AW608">
        <f>'19_Расчет_аналитики'!AW606*'18_Календарь_тарифы'!AW9</f>
        <v/>
      </c>
      <c r="AX608">
        <f>'19_Расчет_аналитики'!AX606*'18_Календарь_тарифы'!AX9</f>
        <v/>
      </c>
      <c r="AY608">
        <f>'19_Расчет_аналитики'!AY606*'18_Календарь_тарифы'!AY9</f>
        <v/>
      </c>
      <c r="AZ608">
        <f>'19_Расчет_аналитики'!AZ606*'18_Календарь_тарифы'!AZ9</f>
        <v/>
      </c>
      <c r="BA608">
        <f>'19_Расчет_аналитики'!BA606*'18_Календарь_тарифы'!BA9</f>
        <v/>
      </c>
      <c r="BB608">
        <f>'19_Расчет_аналитики'!BB606*'18_Календарь_тарифы'!BB9</f>
        <v/>
      </c>
      <c r="BC608">
        <f>'19_Расчет_аналитики'!BC606*'18_Календарь_тарифы'!BC9</f>
        <v/>
      </c>
      <c r="BD608">
        <f>'19_Расчет_аналитики'!BD606*'18_Календарь_тарифы'!BD9</f>
        <v/>
      </c>
      <c r="BE608">
        <f>'19_Расчет_аналитики'!BE606*'18_Календарь_тарифы'!BE9</f>
        <v/>
      </c>
      <c r="BF608">
        <f>'19_Расчет_аналитики'!BF606*'18_Календарь_тарифы'!BF9</f>
        <v/>
      </c>
      <c r="BG608">
        <f>'19_Расчет_аналитики'!BG606*'18_Календарь_тарифы'!BG9</f>
        <v/>
      </c>
      <c r="BH608">
        <f>'19_Расчет_аналитики'!BH606*'18_Календарь_тарифы'!BH9</f>
        <v/>
      </c>
      <c r="BI608">
        <f>'19_Расчет_аналитики'!BI606*'18_Календарь_тарифы'!BI9</f>
        <v/>
      </c>
      <c r="BJ608">
        <f>'19_Расчет_аналитики'!BJ606*'18_Календарь_тарифы'!BJ9</f>
        <v/>
      </c>
      <c r="BK608">
        <f>'19_Расчет_аналитики'!BK606*'18_Календарь_тарифы'!BK9</f>
        <v/>
      </c>
      <c r="BL608">
        <f>'19_Расчет_аналитики'!BL606*'18_Календарь_тарифы'!BL9</f>
        <v/>
      </c>
      <c r="BM608">
        <f>'19_Расчет_аналитики'!BM606*'18_Календарь_тарифы'!BM9</f>
        <v/>
      </c>
      <c r="BN608">
        <f>'19_Расчет_аналитики'!BN606*'18_Календарь_тарифы'!BN9</f>
        <v/>
      </c>
      <c r="BO608">
        <f>'19_Расчет_аналитики'!BO606*'18_Календарь_тарифы'!BO9</f>
        <v/>
      </c>
    </row>
    <row r="609"/>
    <row r="610">
      <c r="B610">
        <f>'07_Мерч'!B9</f>
        <v/>
      </c>
      <c r="C610">
        <f>('19_Расчет_аналитики'!B363*'01_Вводные'!$B$87*'01_Вводные'!$B$14^1)*'19_Расчет_аналитики'!$B$58*'19_Расчет_аналитики'!$B$86</f>
        <v/>
      </c>
      <c r="D610">
        <f>('19_Расчет_аналитики'!C363*'01_Вводные'!$B$87*'01_Вводные'!$B$14^1+'19_Расчет_аналитики'!B363*'01_Вводные'!$B$88*'01_Вводные'!$B$14^2)*'19_Расчет_аналитики'!$B$58*'19_Расчет_аналитики'!$B$86</f>
        <v/>
      </c>
      <c r="E610">
        <f>('19_Расчет_аналитики'!D363*'01_Вводные'!$B$87*'01_Вводные'!$B$14^1+'19_Расчет_аналитики'!C363*'01_Вводные'!$B$88*'01_Вводные'!$B$14^2+'19_Расчет_аналитики'!B363*'01_Вводные'!$B$89*'01_Вводные'!$B$14^3)*'19_Расчет_аналитики'!$B$58*'19_Расчет_аналитики'!$B$86</f>
        <v/>
      </c>
      <c r="F610">
        <f>('19_Расчет_аналитики'!E363*'01_Вводные'!$B$87*'01_Вводные'!$B$14^1+'19_Расчет_аналитики'!D363*'01_Вводные'!$B$88*'01_Вводные'!$B$14^2+'19_Расчет_аналитики'!C363*'01_Вводные'!$B$89*'01_Вводные'!$B$14^3)*'19_Расчет_аналитики'!$B$58*'19_Расчет_аналитики'!$B$86</f>
        <v/>
      </c>
      <c r="G610">
        <f>('19_Расчет_аналитики'!F363*'01_Вводные'!$B$87*'01_Вводные'!$B$14^1+'19_Расчет_аналитики'!E363*'01_Вводные'!$B$88*'01_Вводные'!$B$14^2+'19_Расчет_аналитики'!D363*'01_Вводные'!$B$89*'01_Вводные'!$B$14^3)*'19_Расчет_аналитики'!$B$58*'19_Расчет_аналитики'!$B$86</f>
        <v/>
      </c>
      <c r="H610">
        <f>('19_Расчет_аналитики'!G363*'01_Вводные'!$B$87*'01_Вводные'!$B$14^1+'19_Расчет_аналитики'!F363*'01_Вводные'!$B$88*'01_Вводные'!$B$14^2+'19_Расчет_аналитики'!E363*'01_Вводные'!$B$89*'01_Вводные'!$B$14^3)*'19_Расчет_аналитики'!$B$58*'19_Расчет_аналитики'!$B$86</f>
        <v/>
      </c>
      <c r="I610">
        <f>('19_Расчет_аналитики'!H363*'01_Вводные'!$B$87*'01_Вводные'!$B$14^1+'19_Расчет_аналитики'!G363*'01_Вводные'!$B$88*'01_Вводные'!$B$14^2+'19_Расчет_аналитики'!F363*'01_Вводные'!$B$89*'01_Вводные'!$B$14^3)*'19_Расчет_аналитики'!$B$58*'19_Расчет_аналитики'!$B$86</f>
        <v/>
      </c>
      <c r="J610">
        <f>('19_Расчет_аналитики'!I363*'01_Вводные'!$B$87*'01_Вводные'!$B$14^1+'19_Расчет_аналитики'!H363*'01_Вводные'!$B$88*'01_Вводные'!$B$14^2+'19_Расчет_аналитики'!G363*'01_Вводные'!$B$89*'01_Вводные'!$B$14^3)*'19_Расчет_аналитики'!$B$58*'19_Расчет_аналитики'!$B$86</f>
        <v/>
      </c>
      <c r="K610">
        <f>('19_Расчет_аналитики'!J363*'01_Вводные'!$B$87*'01_Вводные'!$B$14^1+'19_Расчет_аналитики'!I363*'01_Вводные'!$B$88*'01_Вводные'!$B$14^2+'19_Расчет_аналитики'!H363*'01_Вводные'!$B$89*'01_Вводные'!$B$14^3)*'19_Расчет_аналитики'!$B$58*'19_Расчет_аналитики'!$B$86</f>
        <v/>
      </c>
      <c r="L610">
        <f>('19_Расчет_аналитики'!K363*'01_Вводные'!$B$87*'01_Вводные'!$B$14^1+'19_Расчет_аналитики'!J363*'01_Вводные'!$B$88*'01_Вводные'!$B$14^2+'19_Расчет_аналитики'!I363*'01_Вводные'!$B$89*'01_Вводные'!$B$14^3)*'19_Расчет_аналитики'!$B$58*'19_Расчет_аналитики'!$B$86</f>
        <v/>
      </c>
      <c r="M610">
        <f>('19_Расчет_аналитики'!L363*'01_Вводные'!$B$87*'01_Вводные'!$B$14^1+'19_Расчет_аналитики'!K363*'01_Вводные'!$B$88*'01_Вводные'!$B$14^2+'19_Расчет_аналитики'!J363*'01_Вводные'!$B$89*'01_Вводные'!$B$14^3)*'19_Расчет_аналитики'!$B$58*'19_Расчет_аналитики'!$B$86</f>
        <v/>
      </c>
      <c r="N610">
        <f>('19_Расчет_аналитики'!M363*'01_Вводные'!$B$87*'01_Вводные'!$B$14^1+'19_Расчет_аналитики'!L363*'01_Вводные'!$B$88*'01_Вводные'!$B$14^2+'19_Расчет_аналитики'!K363*'01_Вводные'!$B$89*'01_Вводные'!$B$14^3)*'19_Расчет_аналитики'!$B$58*'19_Расчет_аналитики'!$B$86</f>
        <v/>
      </c>
      <c r="O610">
        <f>('19_Расчет_аналитики'!N363*'01_Вводные'!$B$87*'01_Вводные'!$B$14^1+'19_Расчет_аналитики'!M363*'01_Вводные'!$B$88*'01_Вводные'!$B$14^2+'19_Расчет_аналитики'!L363*'01_Вводные'!$B$89*'01_Вводные'!$B$14^3)*'19_Расчет_аналитики'!$B$58*'19_Расчет_аналитики'!$B$86</f>
        <v/>
      </c>
      <c r="P610">
        <f>('19_Расчет_аналитики'!O363*'01_Вводные'!$B$87*'01_Вводные'!$B$14^1+'19_Расчет_аналитики'!N363*'01_Вводные'!$B$88*'01_Вводные'!$B$14^2+'19_Расчет_аналитики'!M363*'01_Вводные'!$B$89*'01_Вводные'!$B$14^3)*'19_Расчет_аналитики'!$B$58*'19_Расчет_аналитики'!$B$86</f>
        <v/>
      </c>
      <c r="Q610">
        <f>('19_Расчет_аналитики'!P363*'01_Вводные'!$B$87*'01_Вводные'!$B$14^1+'19_Расчет_аналитики'!O363*'01_Вводные'!$B$88*'01_Вводные'!$B$14^2+'19_Расчет_аналитики'!N363*'01_Вводные'!$B$89*'01_Вводные'!$B$14^3)*'19_Расчет_аналитики'!$B$58*'19_Расчет_аналитики'!$B$86</f>
        <v/>
      </c>
      <c r="R610">
        <f>('19_Расчет_аналитики'!Q363*'01_Вводные'!$B$87*'01_Вводные'!$B$14^1+'19_Расчет_аналитики'!P363*'01_Вводные'!$B$88*'01_Вводные'!$B$14^2+'19_Расчет_аналитики'!O363*'01_Вводные'!$B$89*'01_Вводные'!$B$14^3)*'19_Расчет_аналитики'!$B$58*'19_Расчет_аналитики'!$B$86</f>
        <v/>
      </c>
      <c r="S610">
        <f>('19_Расчет_аналитики'!R363*'01_Вводные'!$B$87*'01_Вводные'!$B$14^1+'19_Расчет_аналитики'!Q363*'01_Вводные'!$B$88*'01_Вводные'!$B$14^2+'19_Расчет_аналитики'!P363*'01_Вводные'!$B$89*'01_Вводные'!$B$14^3)*'19_Расчет_аналитики'!$B$58*'19_Расчет_аналитики'!$B$86</f>
        <v/>
      </c>
      <c r="T610">
        <f>('19_Расчет_аналитики'!S363*'01_Вводные'!$B$87*'01_Вводные'!$B$14^1+'19_Расчет_аналитики'!R363*'01_Вводные'!$B$88*'01_Вводные'!$B$14^2+'19_Расчет_аналитики'!Q363*'01_Вводные'!$B$89*'01_Вводные'!$B$14^3)*'19_Расчет_аналитики'!$B$58*'19_Расчет_аналитики'!$B$86</f>
        <v/>
      </c>
      <c r="U610">
        <f>('19_Расчет_аналитики'!T363*'01_Вводные'!$B$87*'01_Вводные'!$B$14^1+'19_Расчет_аналитики'!S363*'01_Вводные'!$B$88*'01_Вводные'!$B$14^2+'19_Расчет_аналитики'!R363*'01_Вводные'!$B$89*'01_Вводные'!$B$14^3)*'19_Расчет_аналитики'!$B$58*'19_Расчет_аналитики'!$B$86</f>
        <v/>
      </c>
      <c r="V610">
        <f>('19_Расчет_аналитики'!U363*'01_Вводные'!$B$87*'01_Вводные'!$B$14^1+'19_Расчет_аналитики'!T363*'01_Вводные'!$B$88*'01_Вводные'!$B$14^2+'19_Расчет_аналитики'!S363*'01_Вводные'!$B$89*'01_Вводные'!$B$14^3)*'19_Расчет_аналитики'!$B$58*'19_Расчет_аналитики'!$B$86</f>
        <v/>
      </c>
      <c r="W610">
        <f>('19_Расчет_аналитики'!V363*'01_Вводные'!$B$87*'01_Вводные'!$B$14^1+'19_Расчет_аналитики'!U363*'01_Вводные'!$B$88*'01_Вводные'!$B$14^2+'19_Расчет_аналитики'!T363*'01_Вводные'!$B$89*'01_Вводные'!$B$14^3)*'19_Расчет_аналитики'!$B$58*'19_Расчет_аналитики'!$B$86</f>
        <v/>
      </c>
      <c r="X610">
        <f>('19_Расчет_аналитики'!W363*'01_Вводные'!$B$87*'01_Вводные'!$B$14^1+'19_Расчет_аналитики'!V363*'01_Вводные'!$B$88*'01_Вводные'!$B$14^2+'19_Расчет_аналитики'!U363*'01_Вводные'!$B$89*'01_Вводные'!$B$14^3)*'19_Расчет_аналитики'!$B$58*'19_Расчет_аналитики'!$B$86</f>
        <v/>
      </c>
      <c r="Y610">
        <f>('19_Расчет_аналитики'!X363*'01_Вводные'!$B$87*'01_Вводные'!$B$14^1+'19_Расчет_аналитики'!W363*'01_Вводные'!$B$88*'01_Вводные'!$B$14^2+'19_Расчет_аналитики'!V363*'01_Вводные'!$B$89*'01_Вводные'!$B$14^3)*'19_Расчет_аналитики'!$B$58*'19_Расчет_аналитики'!$B$86</f>
        <v/>
      </c>
      <c r="Z610">
        <f>('19_Расчет_аналитики'!Y363*'01_Вводные'!$B$87*'01_Вводные'!$B$14^1+'19_Расчет_аналитики'!X363*'01_Вводные'!$B$88*'01_Вводные'!$B$14^2+'19_Расчет_аналитики'!W363*'01_Вводные'!$B$89*'01_Вводные'!$B$14^3)*'19_Расчет_аналитики'!$B$58*'19_Расчет_аналитики'!$B$86</f>
        <v/>
      </c>
      <c r="AA610">
        <f>('19_Расчет_аналитики'!Z363*'01_Вводные'!$B$87*'01_Вводные'!$B$14^1+'19_Расчет_аналитики'!Y363*'01_Вводные'!$B$88*'01_Вводные'!$B$14^2+'19_Расчет_аналитики'!X363*'01_Вводные'!$B$89*'01_Вводные'!$B$14^3)*'19_Расчет_аналитики'!$B$58*'19_Расчет_аналитики'!$B$86</f>
        <v/>
      </c>
      <c r="AB610">
        <f>('19_Расчет_аналитики'!AA363*'01_Вводные'!$B$87*'01_Вводные'!$B$14^1+'19_Расчет_аналитики'!Z363*'01_Вводные'!$B$88*'01_Вводные'!$B$14^2+'19_Расчет_аналитики'!Y363*'01_Вводные'!$B$89*'01_Вводные'!$B$14^3)*'19_Расчет_аналитики'!$B$58*'19_Расчет_аналитики'!$B$86</f>
        <v/>
      </c>
      <c r="AC610">
        <f>('19_Расчет_аналитики'!AB363*'01_Вводные'!$B$87*'01_Вводные'!$B$14^1+'19_Расчет_аналитики'!AA363*'01_Вводные'!$B$88*'01_Вводные'!$B$14^2+'19_Расчет_аналитики'!Z363*'01_Вводные'!$B$89*'01_Вводные'!$B$14^3)*'19_Расчет_аналитики'!$B$58*'19_Расчет_аналитики'!$B$86</f>
        <v/>
      </c>
      <c r="AD610">
        <f>('19_Расчет_аналитики'!AC363*'01_Вводные'!$B$87*'01_Вводные'!$B$14^1+'19_Расчет_аналитики'!AB363*'01_Вводные'!$B$88*'01_Вводные'!$B$14^2+'19_Расчет_аналитики'!AA363*'01_Вводные'!$B$89*'01_Вводные'!$B$14^3)*'19_Расчет_аналитики'!$B$58*'19_Расчет_аналитики'!$B$86</f>
        <v/>
      </c>
      <c r="AE610">
        <f>('19_Расчет_аналитики'!AD363*'01_Вводные'!$B$87*'01_Вводные'!$B$14^1+'19_Расчет_аналитики'!AC363*'01_Вводные'!$B$88*'01_Вводные'!$B$14^2+'19_Расчет_аналитики'!AB363*'01_Вводные'!$B$89*'01_Вводные'!$B$14^3)*'19_Расчет_аналитики'!$B$58*'19_Расчет_аналитики'!$B$86</f>
        <v/>
      </c>
      <c r="AF610">
        <f>('19_Расчет_аналитики'!AE363*'01_Вводные'!$B$87*'01_Вводные'!$B$14^1+'19_Расчет_аналитики'!AD363*'01_Вводные'!$B$88*'01_Вводные'!$B$14^2+'19_Расчет_аналитики'!AC363*'01_Вводные'!$B$89*'01_Вводные'!$B$14^3)*'19_Расчет_аналитики'!$B$58*'19_Расчет_аналитики'!$B$86</f>
        <v/>
      </c>
      <c r="AG610">
        <f>('19_Расчет_аналитики'!AF363*'01_Вводные'!$B$87*'01_Вводные'!$B$14^1+'19_Расчет_аналитики'!AE363*'01_Вводные'!$B$88*'01_Вводные'!$B$14^2+'19_Расчет_аналитики'!AD363*'01_Вводные'!$B$89*'01_Вводные'!$B$14^3)*'19_Расчет_аналитики'!$B$58*'19_Расчет_аналитики'!$B$86</f>
        <v/>
      </c>
      <c r="AH610">
        <f>('19_Расчет_аналитики'!AG363*'01_Вводные'!$B$87*'01_Вводные'!$B$14^1+'19_Расчет_аналитики'!AF363*'01_Вводные'!$B$88*'01_Вводные'!$B$14^2+'19_Расчет_аналитики'!AE363*'01_Вводные'!$B$89*'01_Вводные'!$B$14^3)*'19_Расчет_аналитики'!$B$58*'19_Расчет_аналитики'!$B$86</f>
        <v/>
      </c>
      <c r="AI610">
        <f>('19_Расчет_аналитики'!AH363*'01_Вводные'!$B$87*'01_Вводные'!$B$14^1+'19_Расчет_аналитики'!AG363*'01_Вводные'!$B$88*'01_Вводные'!$B$14^2+'19_Расчет_аналитики'!AF363*'01_Вводные'!$B$89*'01_Вводные'!$B$14^3)*'19_Расчет_аналитики'!$B$58*'19_Расчет_аналитики'!$B$86</f>
        <v/>
      </c>
      <c r="AJ610">
        <f>('19_Расчет_аналитики'!AI363*'01_Вводные'!$B$87*'01_Вводные'!$B$14^1+'19_Расчет_аналитики'!AH363*'01_Вводные'!$B$88*'01_Вводные'!$B$14^2+'19_Расчет_аналитики'!AG363*'01_Вводные'!$B$89*'01_Вводные'!$B$14^3)*'19_Расчет_аналитики'!$B$58*'19_Расчет_аналитики'!$B$86</f>
        <v/>
      </c>
      <c r="AK610">
        <f>('19_Расчет_аналитики'!AJ363*'01_Вводные'!$B$87*'01_Вводные'!$B$14^1+'19_Расчет_аналитики'!AI363*'01_Вводные'!$B$88*'01_Вводные'!$B$14^2+'19_Расчет_аналитики'!AH363*'01_Вводные'!$B$89*'01_Вводные'!$B$14^3)*'19_Расчет_аналитики'!$B$58*'19_Расчет_аналитики'!$B$86</f>
        <v/>
      </c>
      <c r="AL610">
        <f>('19_Расчет_аналитики'!AK363*'01_Вводные'!$B$87*'01_Вводные'!$B$14^1+'19_Расчет_аналитики'!AJ363*'01_Вводные'!$B$88*'01_Вводные'!$B$14^2+'19_Расчет_аналитики'!AI363*'01_Вводные'!$B$89*'01_Вводные'!$B$14^3)*'19_Расчет_аналитики'!$B$58*'19_Расчет_аналитики'!$B$86</f>
        <v/>
      </c>
      <c r="AM610">
        <f>('19_Расчет_аналитики'!AL363*'01_Вводные'!$B$87*'01_Вводные'!$B$14^1+'19_Расчет_аналитики'!AK363*'01_Вводные'!$B$88*'01_Вводные'!$B$14^2+'19_Расчет_аналитики'!AJ363*'01_Вводные'!$B$89*'01_Вводные'!$B$14^3)*'19_Расчет_аналитики'!$B$58*'19_Расчет_аналитики'!$B$86</f>
        <v/>
      </c>
      <c r="AN610">
        <f>('19_Расчет_аналитики'!AM363*'01_Вводные'!$B$87*'01_Вводные'!$B$14^1+'19_Расчет_аналитики'!AL363*'01_Вводные'!$B$88*'01_Вводные'!$B$14^2+'19_Расчет_аналитики'!AK363*'01_Вводные'!$B$89*'01_Вводные'!$B$14^3)*'19_Расчет_аналитики'!$B$58*'19_Расчет_аналитики'!$B$86</f>
        <v/>
      </c>
      <c r="AO610">
        <f>('19_Расчет_аналитики'!AN363*'01_Вводные'!$B$87*'01_Вводные'!$B$14^1+'19_Расчет_аналитики'!AM363*'01_Вводные'!$B$88*'01_Вводные'!$B$14^2+'19_Расчет_аналитики'!AL363*'01_Вводные'!$B$89*'01_Вводные'!$B$14^3)*'19_Расчет_аналитики'!$B$58*'19_Расчет_аналитики'!$B$86</f>
        <v/>
      </c>
      <c r="AP610">
        <f>('19_Расчет_аналитики'!AO363*'01_Вводные'!$B$87*'01_Вводные'!$B$14^1+'19_Расчет_аналитики'!AN363*'01_Вводные'!$B$88*'01_Вводные'!$B$14^2+'19_Расчет_аналитики'!AM363*'01_Вводные'!$B$89*'01_Вводные'!$B$14^3)*'19_Расчет_аналитики'!$B$58*'19_Расчет_аналитики'!$B$86</f>
        <v/>
      </c>
      <c r="AQ610">
        <f>('19_Расчет_аналитики'!AP363*'01_Вводные'!$B$87*'01_Вводные'!$B$14^1+'19_Расчет_аналитики'!AO363*'01_Вводные'!$B$88*'01_Вводные'!$B$14^2+'19_Расчет_аналитики'!AN363*'01_Вводные'!$B$89*'01_Вводные'!$B$14^3)*'19_Расчет_аналитики'!$B$58*'19_Расчет_аналитики'!$B$86</f>
        <v/>
      </c>
      <c r="AR610">
        <f>('19_Расчет_аналитики'!AQ363*'01_Вводные'!$B$87*'01_Вводные'!$B$14^1+'19_Расчет_аналитики'!AP363*'01_Вводные'!$B$88*'01_Вводные'!$B$14^2+'19_Расчет_аналитики'!AO363*'01_Вводные'!$B$89*'01_Вводные'!$B$14^3)*'19_Расчет_аналитики'!$B$58*'19_Расчет_аналитики'!$B$86</f>
        <v/>
      </c>
      <c r="AS610">
        <f>('19_Расчет_аналитики'!AR363*'01_Вводные'!$B$87*'01_Вводные'!$B$14^1+'19_Расчет_аналитики'!AQ363*'01_Вводные'!$B$88*'01_Вводные'!$B$14^2+'19_Расчет_аналитики'!AP363*'01_Вводные'!$B$89*'01_Вводные'!$B$14^3)*'19_Расчет_аналитики'!$B$58*'19_Расчет_аналитики'!$B$86</f>
        <v/>
      </c>
      <c r="AT610">
        <f>('19_Расчет_аналитики'!AS363*'01_Вводные'!$B$87*'01_Вводные'!$B$14^1+'19_Расчет_аналитики'!AR363*'01_Вводные'!$B$88*'01_Вводные'!$B$14^2+'19_Расчет_аналитики'!AQ363*'01_Вводные'!$B$89*'01_Вводные'!$B$14^3)*'19_Расчет_аналитики'!$B$58*'19_Расчет_аналитики'!$B$86</f>
        <v/>
      </c>
      <c r="AU610">
        <f>('19_Расчет_аналитики'!AT363*'01_Вводные'!$B$87*'01_Вводные'!$B$14^1+'19_Расчет_аналитики'!AS363*'01_Вводные'!$B$88*'01_Вводные'!$B$14^2+'19_Расчет_аналитики'!AR363*'01_Вводные'!$B$89*'01_Вводные'!$B$14^3)*'19_Расчет_аналитики'!$B$58*'19_Расчет_аналитики'!$B$86</f>
        <v/>
      </c>
      <c r="AV610">
        <f>('19_Расчет_аналитики'!AU363*'01_Вводные'!$B$87*'01_Вводные'!$B$14^1+'19_Расчет_аналитики'!AT363*'01_Вводные'!$B$88*'01_Вводные'!$B$14^2+'19_Расчет_аналитики'!AS363*'01_Вводные'!$B$89*'01_Вводные'!$B$14^3)*'19_Расчет_аналитики'!$B$58*'19_Расчет_аналитики'!$B$86</f>
        <v/>
      </c>
      <c r="AW610">
        <f>('19_Расчет_аналитики'!AV363*'01_Вводные'!$B$87*'01_Вводные'!$B$14^1+'19_Расчет_аналитики'!AU363*'01_Вводные'!$B$88*'01_Вводные'!$B$14^2+'19_Расчет_аналитики'!AT363*'01_Вводные'!$B$89*'01_Вводные'!$B$14^3)*'19_Расчет_аналитики'!$B$58*'19_Расчет_аналитики'!$B$86</f>
        <v/>
      </c>
      <c r="AX610">
        <f>('19_Расчет_аналитики'!AW363*'01_Вводные'!$B$87*'01_Вводные'!$B$14^1+'19_Расчет_аналитики'!AV363*'01_Вводные'!$B$88*'01_Вводные'!$B$14^2+'19_Расчет_аналитики'!AU363*'01_Вводные'!$B$89*'01_Вводные'!$B$14^3)*'19_Расчет_аналитики'!$B$58*'19_Расчет_аналитики'!$B$86</f>
        <v/>
      </c>
      <c r="AY610">
        <f>('19_Расчет_аналитики'!AX363*'01_Вводные'!$B$87*'01_Вводные'!$B$14^1+'19_Расчет_аналитики'!AW363*'01_Вводные'!$B$88*'01_Вводные'!$B$14^2+'19_Расчет_аналитики'!AV363*'01_Вводные'!$B$89*'01_Вводные'!$B$14^3)*'19_Расчет_аналитики'!$B$58*'19_Расчет_аналитики'!$B$86</f>
        <v/>
      </c>
      <c r="AZ610">
        <f>('19_Расчет_аналитики'!AY363*'01_Вводные'!$B$87*'01_Вводные'!$B$14^1+'19_Расчет_аналитики'!AX363*'01_Вводные'!$B$88*'01_Вводные'!$B$14^2+'19_Расчет_аналитики'!AW363*'01_Вводные'!$B$89*'01_Вводные'!$B$14^3)*'19_Расчет_аналитики'!$B$58*'19_Расчет_аналитики'!$B$86</f>
        <v/>
      </c>
      <c r="BA610">
        <f>('19_Расчет_аналитики'!AZ363*'01_Вводные'!$B$87*'01_Вводные'!$B$14^1+'19_Расчет_аналитики'!AY363*'01_Вводные'!$B$88*'01_Вводные'!$B$14^2+'19_Расчет_аналитики'!AX363*'01_Вводные'!$B$89*'01_Вводные'!$B$14^3)*'19_Расчет_аналитики'!$B$58*'19_Расчет_аналитики'!$B$86</f>
        <v/>
      </c>
      <c r="BB610">
        <f>('19_Расчет_аналитики'!BA363*'01_Вводные'!$B$87*'01_Вводные'!$B$14^1+'19_Расчет_аналитики'!AZ363*'01_Вводные'!$B$88*'01_Вводные'!$B$14^2+'19_Расчет_аналитики'!AY363*'01_Вводные'!$B$89*'01_Вводные'!$B$14^3)*'19_Расчет_аналитики'!$B$58*'19_Расчет_аналитики'!$B$86</f>
        <v/>
      </c>
      <c r="BC610">
        <f>('19_Расчет_аналитики'!BB363*'01_Вводные'!$B$87*'01_Вводные'!$B$14^1+'19_Расчет_аналитики'!BA363*'01_Вводные'!$B$88*'01_Вводные'!$B$14^2+'19_Расчет_аналитики'!AZ363*'01_Вводные'!$B$89*'01_Вводные'!$B$14^3)*'19_Расчет_аналитики'!$B$58*'19_Расчет_аналитики'!$B$86</f>
        <v/>
      </c>
      <c r="BD610">
        <f>('19_Расчет_аналитики'!BC363*'01_Вводные'!$B$87*'01_Вводные'!$B$14^1+'19_Расчет_аналитики'!BB363*'01_Вводные'!$B$88*'01_Вводные'!$B$14^2+'19_Расчет_аналитики'!BA363*'01_Вводные'!$B$89*'01_Вводные'!$B$14^3)*'19_Расчет_аналитики'!$B$58*'19_Расчет_аналитики'!$B$86</f>
        <v/>
      </c>
      <c r="BE610">
        <f>('19_Расчет_аналитики'!BD363*'01_Вводные'!$B$87*'01_Вводные'!$B$14^1+'19_Расчет_аналитики'!BC363*'01_Вводные'!$B$88*'01_Вводные'!$B$14^2+'19_Расчет_аналитики'!BB363*'01_Вводные'!$B$89*'01_Вводные'!$B$14^3)*'19_Расчет_аналитики'!$B$58*'19_Расчет_аналитики'!$B$86</f>
        <v/>
      </c>
      <c r="BF610">
        <f>('19_Расчет_аналитики'!BE363*'01_Вводные'!$B$87*'01_Вводные'!$B$14^1+'19_Расчет_аналитики'!BD363*'01_Вводные'!$B$88*'01_Вводные'!$B$14^2+'19_Расчет_аналитики'!BC363*'01_Вводные'!$B$89*'01_Вводные'!$B$14^3)*'19_Расчет_аналитики'!$B$58*'19_Расчет_аналитики'!$B$86</f>
        <v/>
      </c>
      <c r="BG610">
        <f>('19_Расчет_аналитики'!BF363*'01_Вводные'!$B$87*'01_Вводные'!$B$14^1+'19_Расчет_аналитики'!BE363*'01_Вводные'!$B$88*'01_Вводные'!$B$14^2+'19_Расчет_аналитики'!BD363*'01_Вводные'!$B$89*'01_Вводные'!$B$14^3)*'19_Расчет_аналитики'!$B$58*'19_Расчет_аналитики'!$B$86</f>
        <v/>
      </c>
      <c r="BH610">
        <f>('19_Расчет_аналитики'!BG363*'01_Вводные'!$B$87*'01_Вводные'!$B$14^1+'19_Расчет_аналитики'!BF363*'01_Вводные'!$B$88*'01_Вводные'!$B$14^2+'19_Расчет_аналитики'!BE363*'01_Вводные'!$B$89*'01_Вводные'!$B$14^3)*'19_Расчет_аналитики'!$B$58*'19_Расчет_аналитики'!$B$86</f>
        <v/>
      </c>
      <c r="BI610">
        <f>('19_Расчет_аналитики'!BH363*'01_Вводные'!$B$87*'01_Вводные'!$B$14^1+'19_Расчет_аналитики'!BG363*'01_Вводные'!$B$88*'01_Вводные'!$B$14^2+'19_Расчет_аналитики'!BF363*'01_Вводные'!$B$89*'01_Вводные'!$B$14^3)*'19_Расчет_аналитики'!$B$58*'19_Расчет_аналитики'!$B$86</f>
        <v/>
      </c>
      <c r="BJ610">
        <f>('19_Расчет_аналитики'!BI363*'01_Вводные'!$B$87*'01_Вводные'!$B$14^1+'19_Расчет_аналитики'!BH363*'01_Вводные'!$B$88*'01_Вводные'!$B$14^2+'19_Расчет_аналитики'!BG363*'01_Вводные'!$B$89*'01_Вводные'!$B$14^3)*'19_Расчет_аналитики'!$B$58*'19_Расчет_аналитики'!$B$86</f>
        <v/>
      </c>
      <c r="BK610">
        <f>('19_Расчет_аналитики'!BJ363*'01_Вводные'!$B$87*'01_Вводные'!$B$14^1+'19_Расчет_аналитики'!BI363*'01_Вводные'!$B$88*'01_Вводные'!$B$14^2+'19_Расчет_аналитики'!BH363*'01_Вводные'!$B$89*'01_Вводные'!$B$14^3)*'19_Расчет_аналитики'!$B$58*'19_Расчет_аналитики'!$B$86</f>
        <v/>
      </c>
      <c r="BL610">
        <f>('19_Расчет_аналитики'!BK363*'01_Вводные'!$B$87*'01_Вводные'!$B$14^1+'19_Расчет_аналитики'!BJ363*'01_Вводные'!$B$88*'01_Вводные'!$B$14^2+'19_Расчет_аналитики'!BI363*'01_Вводные'!$B$89*'01_Вводные'!$B$14^3)*'19_Расчет_аналитики'!$B$58*'19_Расчет_аналитики'!$B$86</f>
        <v/>
      </c>
      <c r="BM610">
        <f>('19_Расчет_аналитики'!BL363*'01_Вводные'!$B$87*'01_Вводные'!$B$14^1+'19_Расчет_аналитики'!BK363*'01_Вводные'!$B$88*'01_Вводные'!$B$14^2+'19_Расчет_аналитики'!BJ363*'01_Вводные'!$B$89*'01_Вводные'!$B$14^3)*'19_Расчет_аналитики'!$B$58*'19_Расчет_аналитики'!$B$86</f>
        <v/>
      </c>
      <c r="BN610">
        <f>('19_Расчет_аналитики'!BM363*'01_Вводные'!$B$87*'01_Вводные'!$B$14^1+'19_Расчет_аналитики'!BL363*'01_Вводные'!$B$88*'01_Вводные'!$B$14^2+'19_Расчет_аналитики'!BK363*'01_Вводные'!$B$89*'01_Вводные'!$B$14^3)*'19_Расчет_аналитики'!$B$58*'19_Расчет_аналитики'!$B$86</f>
        <v/>
      </c>
      <c r="BO610">
        <f>('19_Расчет_аналитики'!BN363*'01_Вводные'!$B$87*'01_Вводные'!$B$14^1+'19_Расчет_аналитики'!BM363*'01_Вводные'!$B$88*'01_Вводные'!$B$14^2+'19_Расчет_аналитики'!BL363*'01_Вводные'!$B$89*'01_Вводные'!$B$14^3)*'19_Расчет_аналитики'!$B$58*'19_Расчет_аналитики'!$B$86</f>
        <v/>
      </c>
    </row>
    <row r="611">
      <c r="B611">
        <f>'19_Расчет_аналитики'!B546*'19_Расчет_аналитики'!$B$86*'07_Мерч'!B4</f>
        <v/>
      </c>
      <c r="C611">
        <f>'19_Расчет_аналитики'!C546*'19_Расчет_аналитики'!$B$86*'07_Мерч'!C4</f>
        <v/>
      </c>
      <c r="D611">
        <f>'19_Расчет_аналитики'!D546*'19_Расчет_аналитики'!$B$86*'07_Мерч'!D4</f>
        <v/>
      </c>
      <c r="E611">
        <f>'19_Расчет_аналитики'!E546*'19_Расчет_аналитики'!$B$86*'07_Мерч'!E4</f>
        <v/>
      </c>
      <c r="F611">
        <f>'19_Расчет_аналитики'!F546*'19_Расчет_аналитики'!$B$86*'07_Мерч'!F4</f>
        <v/>
      </c>
      <c r="G611">
        <f>'19_Расчет_аналитики'!G546*'19_Расчет_аналитики'!$B$86*'07_Мерч'!G4</f>
        <v/>
      </c>
      <c r="H611">
        <f>'19_Расчет_аналитики'!H546*'19_Расчет_аналитики'!$B$86*'07_Мерч'!H4</f>
        <v/>
      </c>
      <c r="I611">
        <f>'19_Расчет_аналитики'!I546*'19_Расчет_аналитики'!$B$86*'07_Мерч'!I4</f>
        <v/>
      </c>
      <c r="J611">
        <f>'19_Расчет_аналитики'!J546*'19_Расчет_аналитики'!$B$86*'07_Мерч'!J4</f>
        <v/>
      </c>
      <c r="K611">
        <f>'19_Расчет_аналитики'!K546*'19_Расчет_аналитики'!$B$86*'07_Мерч'!K4</f>
        <v/>
      </c>
      <c r="L611">
        <f>'19_Расчет_аналитики'!L546*'19_Расчет_аналитики'!$B$86*'07_Мерч'!L4</f>
        <v/>
      </c>
      <c r="M611">
        <f>'19_Расчет_аналитики'!M546*'19_Расчет_аналитики'!$B$86*'07_Мерч'!M4</f>
        <v/>
      </c>
      <c r="N611">
        <f>'19_Расчет_аналитики'!N546*'19_Расчет_аналитики'!$B$86*'07_Мерч'!N4</f>
        <v/>
      </c>
      <c r="O611">
        <f>'19_Расчет_аналитики'!O546*'19_Расчет_аналитики'!$B$86*'07_Мерч'!O4</f>
        <v/>
      </c>
      <c r="P611">
        <f>'19_Расчет_аналитики'!P546*'19_Расчет_аналитики'!$B$86*'07_Мерч'!P4</f>
        <v/>
      </c>
      <c r="Q611">
        <f>'19_Расчет_аналитики'!Q546*'19_Расчет_аналитики'!$B$86*'07_Мерч'!Q4</f>
        <v/>
      </c>
      <c r="R611">
        <f>'19_Расчет_аналитики'!R546*'19_Расчет_аналитики'!$B$86*'07_Мерч'!R4</f>
        <v/>
      </c>
      <c r="S611">
        <f>'19_Расчет_аналитики'!S546*'19_Расчет_аналитики'!$B$86*'07_Мерч'!S4</f>
        <v/>
      </c>
      <c r="T611">
        <f>'19_Расчет_аналитики'!T546*'19_Расчет_аналитики'!$B$86*'07_Мерч'!T4</f>
        <v/>
      </c>
      <c r="U611">
        <f>'19_Расчет_аналитики'!U546*'19_Расчет_аналитики'!$B$86*'07_Мерч'!U4</f>
        <v/>
      </c>
      <c r="V611">
        <f>'19_Расчет_аналитики'!V546*'19_Расчет_аналитики'!$B$86*'07_Мерч'!V4</f>
        <v/>
      </c>
      <c r="W611">
        <f>'19_Расчет_аналитики'!W546*'19_Расчет_аналитики'!$B$86*'07_Мерч'!W4</f>
        <v/>
      </c>
      <c r="X611">
        <f>'19_Расчет_аналитики'!X546*'19_Расчет_аналитики'!$B$86*'07_Мерч'!X4</f>
        <v/>
      </c>
      <c r="Y611">
        <f>'19_Расчет_аналитики'!Y546*'19_Расчет_аналитики'!$B$86*'07_Мерч'!Y4</f>
        <v/>
      </c>
      <c r="Z611">
        <f>'19_Расчет_аналитики'!Z546*'19_Расчет_аналитики'!$B$86*'07_Мерч'!Z4</f>
        <v/>
      </c>
      <c r="AA611">
        <f>'19_Расчет_аналитики'!AA546*'19_Расчет_аналитики'!$B$86*'07_Мерч'!AA4</f>
        <v/>
      </c>
      <c r="AB611">
        <f>'19_Расчет_аналитики'!AB546*'19_Расчет_аналитики'!$B$86*'07_Мерч'!AB4</f>
        <v/>
      </c>
      <c r="AC611">
        <f>'19_Расчет_аналитики'!AC546*'19_Расчет_аналитики'!$B$86*'07_Мерч'!AC4</f>
        <v/>
      </c>
      <c r="AD611">
        <f>'19_Расчет_аналитики'!AD546*'19_Расчет_аналитики'!$B$86*'07_Мерч'!AD4</f>
        <v/>
      </c>
      <c r="AE611">
        <f>'19_Расчет_аналитики'!AE546*'19_Расчет_аналитики'!$B$86*'07_Мерч'!AE4</f>
        <v/>
      </c>
      <c r="AF611">
        <f>'19_Расчет_аналитики'!AF546*'19_Расчет_аналитики'!$B$86*'07_Мерч'!AF4</f>
        <v/>
      </c>
      <c r="AG611">
        <f>'19_Расчет_аналитики'!AG546*'19_Расчет_аналитики'!$B$86*'07_Мерч'!AG4</f>
        <v/>
      </c>
      <c r="AH611">
        <f>'19_Расчет_аналитики'!AH546*'19_Расчет_аналитики'!$B$86*'07_Мерч'!AH4</f>
        <v/>
      </c>
      <c r="AI611">
        <f>'19_Расчет_аналитики'!AI546*'19_Расчет_аналитики'!$B$86*'07_Мерч'!AI4</f>
        <v/>
      </c>
      <c r="AJ611">
        <f>'19_Расчет_аналитики'!AJ546*'19_Расчет_аналитики'!$B$86*'07_Мерч'!AJ4</f>
        <v/>
      </c>
      <c r="AK611">
        <f>'19_Расчет_аналитики'!AK546*'19_Расчет_аналитики'!$B$86*'07_Мерч'!AK4</f>
        <v/>
      </c>
      <c r="AL611">
        <f>'19_Расчет_аналитики'!AL546*'19_Расчет_аналитики'!$B$86*'07_Мерч'!AL4</f>
        <v/>
      </c>
      <c r="AM611">
        <f>'19_Расчет_аналитики'!AM546*'19_Расчет_аналитики'!$B$86*'07_Мерч'!AM4</f>
        <v/>
      </c>
      <c r="AN611">
        <f>'19_Расчет_аналитики'!AN546*'19_Расчет_аналитики'!$B$86*'07_Мерч'!AN4</f>
        <v/>
      </c>
      <c r="AO611">
        <f>'19_Расчет_аналитики'!AO546*'19_Расчет_аналитики'!$B$86*'07_Мерч'!AO4</f>
        <v/>
      </c>
      <c r="AP611">
        <f>'19_Расчет_аналитики'!AP546*'19_Расчет_аналитики'!$B$86*'07_Мерч'!AP4</f>
        <v/>
      </c>
      <c r="AQ611">
        <f>'19_Расчет_аналитики'!AQ546*'19_Расчет_аналитики'!$B$86*'07_Мерч'!AQ4</f>
        <v/>
      </c>
      <c r="AR611">
        <f>'19_Расчет_аналитики'!AR546*'19_Расчет_аналитики'!$B$86*'07_Мерч'!AR4</f>
        <v/>
      </c>
      <c r="AS611">
        <f>'19_Расчет_аналитики'!AS546*'19_Расчет_аналитики'!$B$86*'07_Мерч'!AS4</f>
        <v/>
      </c>
      <c r="AT611">
        <f>'19_Расчет_аналитики'!AT546*'19_Расчет_аналитики'!$B$86*'07_Мерч'!AT4</f>
        <v/>
      </c>
      <c r="AU611">
        <f>'19_Расчет_аналитики'!AU546*'19_Расчет_аналитики'!$B$86*'07_Мерч'!AU4</f>
        <v/>
      </c>
      <c r="AV611">
        <f>'19_Расчет_аналитики'!AV546*'19_Расчет_аналитики'!$B$86*'07_Мерч'!AV4</f>
        <v/>
      </c>
      <c r="AW611">
        <f>'19_Расчет_аналитики'!AW546*'19_Расчет_аналитики'!$B$86*'07_Мерч'!AW4</f>
        <v/>
      </c>
      <c r="AX611">
        <f>'19_Расчет_аналитики'!AX546*'19_Расчет_аналитики'!$B$86*'07_Мерч'!AX4</f>
        <v/>
      </c>
      <c r="AY611">
        <f>'19_Расчет_аналитики'!AY546*'19_Расчет_аналитики'!$B$86*'07_Мерч'!AY4</f>
        <v/>
      </c>
      <c r="AZ611">
        <f>'19_Расчет_аналитики'!AZ546*'19_Расчет_аналитики'!$B$86*'07_Мерч'!AZ4</f>
        <v/>
      </c>
      <c r="BA611">
        <f>'19_Расчет_аналитики'!BA546*'19_Расчет_аналитики'!$B$86*'07_Мерч'!BA4</f>
        <v/>
      </c>
      <c r="BB611">
        <f>'19_Расчет_аналитики'!BB546*'19_Расчет_аналитики'!$B$86*'07_Мерч'!BB4</f>
        <v/>
      </c>
      <c r="BC611">
        <f>'19_Расчет_аналитики'!BC546*'19_Расчет_аналитики'!$B$86*'07_Мерч'!BC4</f>
        <v/>
      </c>
      <c r="BD611">
        <f>'19_Расчет_аналитики'!BD546*'19_Расчет_аналитики'!$B$86*'07_Мерч'!BD4</f>
        <v/>
      </c>
      <c r="BE611">
        <f>'19_Расчет_аналитики'!BE546*'19_Расчет_аналитики'!$B$86*'07_Мерч'!BE4</f>
        <v/>
      </c>
      <c r="BF611">
        <f>'19_Расчет_аналитики'!BF546*'19_Расчет_аналитики'!$B$86*'07_Мерч'!BF4</f>
        <v/>
      </c>
      <c r="BG611">
        <f>'19_Расчет_аналитики'!BG546*'19_Расчет_аналитики'!$B$86*'07_Мерч'!BG4</f>
        <v/>
      </c>
      <c r="BH611">
        <f>'19_Расчет_аналитики'!BH546*'19_Расчет_аналитики'!$B$86*'07_Мерч'!BH4</f>
        <v/>
      </c>
      <c r="BI611">
        <f>'19_Расчет_аналитики'!BI546*'19_Расчет_аналитики'!$B$86*'07_Мерч'!BI4</f>
        <v/>
      </c>
      <c r="BJ611">
        <f>'19_Расчет_аналитики'!BJ546*'19_Расчет_аналитики'!$B$86*'07_Мерч'!BJ4</f>
        <v/>
      </c>
      <c r="BK611">
        <f>'19_Расчет_аналитики'!BK546*'19_Расчет_аналитики'!$B$86*'07_Мерч'!BK4</f>
        <v/>
      </c>
      <c r="BL611">
        <f>'19_Расчет_аналитики'!BL546*'19_Расчет_аналитики'!$B$86*'07_Мерч'!BL4</f>
        <v/>
      </c>
      <c r="BM611">
        <f>'19_Расчет_аналитики'!BM546*'19_Расчет_аналитики'!$B$86*'07_Мерч'!BM4</f>
        <v/>
      </c>
      <c r="BN611">
        <f>'19_Расчет_аналитики'!BN546*'19_Расчет_аналитики'!$B$86*'07_Мерч'!BN4</f>
        <v/>
      </c>
      <c r="BO611">
        <f>'19_Расчет_аналитики'!BO546*'19_Расчет_аналитики'!$B$86*'07_Мерч'!BO4</f>
        <v/>
      </c>
    </row>
    <row r="612">
      <c r="B612">
        <f>SUM('19_Расчет_аналитики'!B610:B611)*'18_Календарь_тарифы'!B10</f>
        <v/>
      </c>
      <c r="C612">
        <f>SUM('19_Расчет_аналитики'!C610:C611)*'18_Календарь_тарифы'!C10</f>
        <v/>
      </c>
      <c r="D612">
        <f>SUM('19_Расчет_аналитики'!D610:D611)*'18_Календарь_тарифы'!D10</f>
        <v/>
      </c>
      <c r="E612">
        <f>SUM('19_Расчет_аналитики'!E610:E611)*'18_Календарь_тарифы'!E10</f>
        <v/>
      </c>
      <c r="F612">
        <f>SUM('19_Расчет_аналитики'!F610:F611)*'18_Календарь_тарифы'!F10</f>
        <v/>
      </c>
      <c r="G612">
        <f>SUM('19_Расчет_аналитики'!G610:G611)*'18_Календарь_тарифы'!G10</f>
        <v/>
      </c>
      <c r="H612">
        <f>SUM('19_Расчет_аналитики'!H610:H611)*'18_Календарь_тарифы'!H10</f>
        <v/>
      </c>
      <c r="I612">
        <f>SUM('19_Расчет_аналитики'!I610:I611)*'18_Календарь_тарифы'!I10</f>
        <v/>
      </c>
      <c r="J612">
        <f>SUM('19_Расчет_аналитики'!J610:J611)*'18_Календарь_тарифы'!J10</f>
        <v/>
      </c>
      <c r="K612">
        <f>SUM('19_Расчет_аналитики'!K610:K611)*'18_Календарь_тарифы'!K10</f>
        <v/>
      </c>
      <c r="L612">
        <f>SUM('19_Расчет_аналитики'!L610:L611)*'18_Календарь_тарифы'!L10</f>
        <v/>
      </c>
      <c r="M612">
        <f>SUM('19_Расчет_аналитики'!M610:M611)*'18_Календарь_тарифы'!M10</f>
        <v/>
      </c>
      <c r="N612">
        <f>SUM('19_Расчет_аналитики'!N610:N611)*'18_Календарь_тарифы'!N10</f>
        <v/>
      </c>
      <c r="O612">
        <f>SUM('19_Расчет_аналитики'!O610:O611)*'18_Календарь_тарифы'!O10</f>
        <v/>
      </c>
      <c r="P612">
        <f>SUM('19_Расчет_аналитики'!P610:P611)*'18_Календарь_тарифы'!P10</f>
        <v/>
      </c>
      <c r="Q612">
        <f>SUM('19_Расчет_аналитики'!Q610:Q611)*'18_Календарь_тарифы'!Q10</f>
        <v/>
      </c>
      <c r="R612">
        <f>SUM('19_Расчет_аналитики'!R610:R611)*'18_Календарь_тарифы'!R10</f>
        <v/>
      </c>
      <c r="S612">
        <f>SUM('19_Расчет_аналитики'!S610:S611)*'18_Календарь_тарифы'!S10</f>
        <v/>
      </c>
      <c r="T612">
        <f>SUM('19_Расчет_аналитики'!T610:T611)*'18_Календарь_тарифы'!T10</f>
        <v/>
      </c>
      <c r="U612">
        <f>SUM('19_Расчет_аналитики'!U610:U611)*'18_Календарь_тарифы'!U10</f>
        <v/>
      </c>
      <c r="V612">
        <f>SUM('19_Расчет_аналитики'!V610:V611)*'18_Календарь_тарифы'!V10</f>
        <v/>
      </c>
      <c r="W612">
        <f>SUM('19_Расчет_аналитики'!W610:W611)*'18_Календарь_тарифы'!W10</f>
        <v/>
      </c>
      <c r="X612">
        <f>SUM('19_Расчет_аналитики'!X610:X611)*'18_Календарь_тарифы'!X10</f>
        <v/>
      </c>
      <c r="Y612">
        <f>SUM('19_Расчет_аналитики'!Y610:Y611)*'18_Календарь_тарифы'!Y10</f>
        <v/>
      </c>
      <c r="Z612">
        <f>SUM('19_Расчет_аналитики'!Z610:Z611)*'18_Календарь_тарифы'!Z10</f>
        <v/>
      </c>
      <c r="AA612">
        <f>SUM('19_Расчет_аналитики'!AA610:AA611)*'18_Календарь_тарифы'!AA10</f>
        <v/>
      </c>
      <c r="AB612">
        <f>SUM('19_Расчет_аналитики'!AB610:AB611)*'18_Календарь_тарифы'!AB10</f>
        <v/>
      </c>
      <c r="AC612">
        <f>SUM('19_Расчет_аналитики'!AC610:AC611)*'18_Календарь_тарифы'!AC10</f>
        <v/>
      </c>
      <c r="AD612">
        <f>SUM('19_Расчет_аналитики'!AD610:AD611)*'18_Календарь_тарифы'!AD10</f>
        <v/>
      </c>
      <c r="AE612">
        <f>SUM('19_Расчет_аналитики'!AE610:AE611)*'18_Календарь_тарифы'!AE10</f>
        <v/>
      </c>
      <c r="AF612">
        <f>SUM('19_Расчет_аналитики'!AF610:AF611)*'18_Календарь_тарифы'!AF10</f>
        <v/>
      </c>
      <c r="AG612">
        <f>SUM('19_Расчет_аналитики'!AG610:AG611)*'18_Календарь_тарифы'!AG10</f>
        <v/>
      </c>
      <c r="AH612">
        <f>SUM('19_Расчет_аналитики'!AH610:AH611)*'18_Календарь_тарифы'!AH10</f>
        <v/>
      </c>
      <c r="AI612">
        <f>SUM('19_Расчет_аналитики'!AI610:AI611)*'18_Календарь_тарифы'!AI10</f>
        <v/>
      </c>
      <c r="AJ612">
        <f>SUM('19_Расчет_аналитики'!AJ610:AJ611)*'18_Календарь_тарифы'!AJ10</f>
        <v/>
      </c>
      <c r="AK612">
        <f>SUM('19_Расчет_аналитики'!AK610:AK611)*'18_Календарь_тарифы'!AK10</f>
        <v/>
      </c>
      <c r="AL612">
        <f>SUM('19_Расчет_аналитики'!AL610:AL611)*'18_Календарь_тарифы'!AL10</f>
        <v/>
      </c>
      <c r="AM612">
        <f>SUM('19_Расчет_аналитики'!AM610:AM611)*'18_Календарь_тарифы'!AM10</f>
        <v/>
      </c>
      <c r="AN612">
        <f>SUM('19_Расчет_аналитики'!AN610:AN611)*'18_Календарь_тарифы'!AN10</f>
        <v/>
      </c>
      <c r="AO612">
        <f>SUM('19_Расчет_аналитики'!AO610:AO611)*'18_Календарь_тарифы'!AO10</f>
        <v/>
      </c>
      <c r="AP612">
        <f>SUM('19_Расчет_аналитики'!AP610:AP611)*'18_Календарь_тарифы'!AP10</f>
        <v/>
      </c>
      <c r="AQ612">
        <f>SUM('19_Расчет_аналитики'!AQ610:AQ611)*'18_Календарь_тарифы'!AQ10</f>
        <v/>
      </c>
      <c r="AR612">
        <f>SUM('19_Расчет_аналитики'!AR610:AR611)*'18_Календарь_тарифы'!AR10</f>
        <v/>
      </c>
      <c r="AS612">
        <f>SUM('19_Расчет_аналитики'!AS610:AS611)*'18_Календарь_тарифы'!AS10</f>
        <v/>
      </c>
      <c r="AT612">
        <f>SUM('19_Расчет_аналитики'!AT610:AT611)*'18_Календарь_тарифы'!AT10</f>
        <v/>
      </c>
      <c r="AU612">
        <f>SUM('19_Расчет_аналитики'!AU610:AU611)*'18_Календарь_тарифы'!AU10</f>
        <v/>
      </c>
      <c r="AV612">
        <f>SUM('19_Расчет_аналитики'!AV610:AV611)*'18_Календарь_тарифы'!AV10</f>
        <v/>
      </c>
      <c r="AW612">
        <f>SUM('19_Расчет_аналитики'!AW610:AW611)*'18_Календарь_тарифы'!AW10</f>
        <v/>
      </c>
      <c r="AX612">
        <f>SUM('19_Расчет_аналитики'!AX610:AX611)*'18_Календарь_тарифы'!AX10</f>
        <v/>
      </c>
      <c r="AY612">
        <f>SUM('19_Расчет_аналитики'!AY610:AY611)*'18_Календарь_тарифы'!AY10</f>
        <v/>
      </c>
      <c r="AZ612">
        <f>SUM('19_Расчет_аналитики'!AZ610:AZ611)*'18_Календарь_тарифы'!AZ10</f>
        <v/>
      </c>
      <c r="BA612">
        <f>SUM('19_Расчет_аналитики'!BA610:BA611)*'18_Календарь_тарифы'!BA10</f>
        <v/>
      </c>
      <c r="BB612">
        <f>SUM('19_Расчет_аналитики'!BB610:BB611)*'18_Календарь_тарифы'!BB10</f>
        <v/>
      </c>
      <c r="BC612">
        <f>SUM('19_Расчет_аналитики'!BC610:BC611)*'18_Календарь_тарифы'!BC10</f>
        <v/>
      </c>
      <c r="BD612">
        <f>SUM('19_Расчет_аналитики'!BD610:BD611)*'18_Календарь_тарифы'!BD10</f>
        <v/>
      </c>
      <c r="BE612">
        <f>SUM('19_Расчет_аналитики'!BE610:BE611)*'18_Календарь_тарифы'!BE10</f>
        <v/>
      </c>
      <c r="BF612">
        <f>SUM('19_Расчет_аналитики'!BF610:BF611)*'18_Календарь_тарифы'!BF10</f>
        <v/>
      </c>
      <c r="BG612">
        <f>SUM('19_Расчет_аналитики'!BG610:BG611)*'18_Календарь_тарифы'!BG10</f>
        <v/>
      </c>
      <c r="BH612">
        <f>SUM('19_Расчет_аналитики'!BH610:BH611)*'18_Календарь_тарифы'!BH10</f>
        <v/>
      </c>
      <c r="BI612">
        <f>SUM('19_Расчет_аналитики'!BI610:BI611)*'18_Календарь_тарифы'!BI10</f>
        <v/>
      </c>
      <c r="BJ612">
        <f>SUM('19_Расчет_аналитики'!BJ610:BJ611)*'18_Календарь_тарифы'!BJ10</f>
        <v/>
      </c>
      <c r="BK612">
        <f>SUM('19_Расчет_аналитики'!BK610:BK611)*'18_Календарь_тарифы'!BK10</f>
        <v/>
      </c>
      <c r="BL612">
        <f>SUM('19_Расчет_аналитики'!BL610:BL611)*'18_Календарь_тарифы'!BL10</f>
        <v/>
      </c>
      <c r="BM612">
        <f>SUM('19_Расчет_аналитики'!BM610:BM611)*'18_Календарь_тарифы'!BM10</f>
        <v/>
      </c>
      <c r="BN612">
        <f>SUM('19_Расчет_аналитики'!BN610:BN611)*'18_Календарь_тарифы'!BN10</f>
        <v/>
      </c>
      <c r="BO612">
        <f>SUM('19_Расчет_аналитики'!BO610:BO611)*'18_Календарь_тарифы'!BO10</f>
        <v/>
      </c>
    </row>
    <row r="613">
      <c r="B613">
        <f>SUM('19_Расчет_аналитики'!B610:B611)*'18_Календарь_тарифы'!B9</f>
        <v/>
      </c>
      <c r="C613">
        <f>SUM('19_Расчет_аналитики'!C610:C611)*'18_Календарь_тарифы'!C9</f>
        <v/>
      </c>
      <c r="D613">
        <f>SUM('19_Расчет_аналитики'!D610:D611)*'18_Календарь_тарифы'!D9</f>
        <v/>
      </c>
      <c r="E613">
        <f>SUM('19_Расчет_аналитики'!E610:E611)*'18_Календарь_тарифы'!E9</f>
        <v/>
      </c>
      <c r="F613">
        <f>SUM('19_Расчет_аналитики'!F610:F611)*'18_Календарь_тарифы'!F9</f>
        <v/>
      </c>
      <c r="G613">
        <f>SUM('19_Расчет_аналитики'!G610:G611)*'18_Календарь_тарифы'!G9</f>
        <v/>
      </c>
      <c r="H613">
        <f>SUM('19_Расчет_аналитики'!H610:H611)*'18_Календарь_тарифы'!H9</f>
        <v/>
      </c>
      <c r="I613">
        <f>SUM('19_Расчет_аналитики'!I610:I611)*'18_Календарь_тарифы'!I9</f>
        <v/>
      </c>
      <c r="J613">
        <f>SUM('19_Расчет_аналитики'!J610:J611)*'18_Календарь_тарифы'!J9</f>
        <v/>
      </c>
      <c r="K613">
        <f>SUM('19_Расчет_аналитики'!K610:K611)*'18_Календарь_тарифы'!K9</f>
        <v/>
      </c>
      <c r="L613">
        <f>SUM('19_Расчет_аналитики'!L610:L611)*'18_Календарь_тарифы'!L9</f>
        <v/>
      </c>
      <c r="M613">
        <f>SUM('19_Расчет_аналитики'!M610:M611)*'18_Календарь_тарифы'!M9</f>
        <v/>
      </c>
      <c r="N613">
        <f>SUM('19_Расчет_аналитики'!N610:N611)*'18_Календарь_тарифы'!N9</f>
        <v/>
      </c>
      <c r="O613">
        <f>SUM('19_Расчет_аналитики'!O610:O611)*'18_Календарь_тарифы'!O9</f>
        <v/>
      </c>
      <c r="P613">
        <f>SUM('19_Расчет_аналитики'!P610:P611)*'18_Календарь_тарифы'!P9</f>
        <v/>
      </c>
      <c r="Q613">
        <f>SUM('19_Расчет_аналитики'!Q610:Q611)*'18_Календарь_тарифы'!Q9</f>
        <v/>
      </c>
      <c r="R613">
        <f>SUM('19_Расчет_аналитики'!R610:R611)*'18_Календарь_тарифы'!R9</f>
        <v/>
      </c>
      <c r="S613">
        <f>SUM('19_Расчет_аналитики'!S610:S611)*'18_Календарь_тарифы'!S9</f>
        <v/>
      </c>
      <c r="T613">
        <f>SUM('19_Расчет_аналитики'!T610:T611)*'18_Календарь_тарифы'!T9</f>
        <v/>
      </c>
      <c r="U613">
        <f>SUM('19_Расчет_аналитики'!U610:U611)*'18_Календарь_тарифы'!U9</f>
        <v/>
      </c>
      <c r="V613">
        <f>SUM('19_Расчет_аналитики'!V610:V611)*'18_Календарь_тарифы'!V9</f>
        <v/>
      </c>
      <c r="W613">
        <f>SUM('19_Расчет_аналитики'!W610:W611)*'18_Календарь_тарифы'!W9</f>
        <v/>
      </c>
      <c r="X613">
        <f>SUM('19_Расчет_аналитики'!X610:X611)*'18_Календарь_тарифы'!X9</f>
        <v/>
      </c>
      <c r="Y613">
        <f>SUM('19_Расчет_аналитики'!Y610:Y611)*'18_Календарь_тарифы'!Y9</f>
        <v/>
      </c>
      <c r="Z613">
        <f>SUM('19_Расчет_аналитики'!Z610:Z611)*'18_Календарь_тарифы'!Z9</f>
        <v/>
      </c>
      <c r="AA613">
        <f>SUM('19_Расчет_аналитики'!AA610:AA611)*'18_Календарь_тарифы'!AA9</f>
        <v/>
      </c>
      <c r="AB613">
        <f>SUM('19_Расчет_аналитики'!AB610:AB611)*'18_Календарь_тарифы'!AB9</f>
        <v/>
      </c>
      <c r="AC613">
        <f>SUM('19_Расчет_аналитики'!AC610:AC611)*'18_Календарь_тарифы'!AC9</f>
        <v/>
      </c>
      <c r="AD613">
        <f>SUM('19_Расчет_аналитики'!AD610:AD611)*'18_Календарь_тарифы'!AD9</f>
        <v/>
      </c>
      <c r="AE613">
        <f>SUM('19_Расчет_аналитики'!AE610:AE611)*'18_Календарь_тарифы'!AE9</f>
        <v/>
      </c>
      <c r="AF613">
        <f>SUM('19_Расчет_аналитики'!AF610:AF611)*'18_Календарь_тарифы'!AF9</f>
        <v/>
      </c>
      <c r="AG613">
        <f>SUM('19_Расчет_аналитики'!AG610:AG611)*'18_Календарь_тарифы'!AG9</f>
        <v/>
      </c>
      <c r="AH613">
        <f>SUM('19_Расчет_аналитики'!AH610:AH611)*'18_Календарь_тарифы'!AH9</f>
        <v/>
      </c>
      <c r="AI613">
        <f>SUM('19_Расчет_аналитики'!AI610:AI611)*'18_Календарь_тарифы'!AI9</f>
        <v/>
      </c>
      <c r="AJ613">
        <f>SUM('19_Расчет_аналитики'!AJ610:AJ611)*'18_Календарь_тарифы'!AJ9</f>
        <v/>
      </c>
      <c r="AK613">
        <f>SUM('19_Расчет_аналитики'!AK610:AK611)*'18_Календарь_тарифы'!AK9</f>
        <v/>
      </c>
      <c r="AL613">
        <f>SUM('19_Расчет_аналитики'!AL610:AL611)*'18_Календарь_тарифы'!AL9</f>
        <v/>
      </c>
      <c r="AM613">
        <f>SUM('19_Расчет_аналитики'!AM610:AM611)*'18_Календарь_тарифы'!AM9</f>
        <v/>
      </c>
      <c r="AN613">
        <f>SUM('19_Расчет_аналитики'!AN610:AN611)*'18_Календарь_тарифы'!AN9</f>
        <v/>
      </c>
      <c r="AO613">
        <f>SUM('19_Расчет_аналитики'!AO610:AO611)*'18_Календарь_тарифы'!AO9</f>
        <v/>
      </c>
      <c r="AP613">
        <f>SUM('19_Расчет_аналитики'!AP610:AP611)*'18_Календарь_тарифы'!AP9</f>
        <v/>
      </c>
      <c r="AQ613">
        <f>SUM('19_Расчет_аналитики'!AQ610:AQ611)*'18_Календарь_тарифы'!AQ9</f>
        <v/>
      </c>
      <c r="AR613">
        <f>SUM('19_Расчет_аналитики'!AR610:AR611)*'18_Календарь_тарифы'!AR9</f>
        <v/>
      </c>
      <c r="AS613">
        <f>SUM('19_Расчет_аналитики'!AS610:AS611)*'18_Календарь_тарифы'!AS9</f>
        <v/>
      </c>
      <c r="AT613">
        <f>SUM('19_Расчет_аналитики'!AT610:AT611)*'18_Календарь_тарифы'!AT9</f>
        <v/>
      </c>
      <c r="AU613">
        <f>SUM('19_Расчет_аналитики'!AU610:AU611)*'18_Календарь_тарифы'!AU9</f>
        <v/>
      </c>
      <c r="AV613">
        <f>SUM('19_Расчет_аналитики'!AV610:AV611)*'18_Календарь_тарифы'!AV9</f>
        <v/>
      </c>
      <c r="AW613">
        <f>SUM('19_Расчет_аналитики'!AW610:AW611)*'18_Календарь_тарифы'!AW9</f>
        <v/>
      </c>
      <c r="AX613">
        <f>SUM('19_Расчет_аналитики'!AX610:AX611)*'18_Календарь_тарифы'!AX9</f>
        <v/>
      </c>
      <c r="AY613">
        <f>SUM('19_Расчет_аналитики'!AY610:AY611)*'18_Календарь_тарифы'!AY9</f>
        <v/>
      </c>
      <c r="AZ613">
        <f>SUM('19_Расчет_аналитики'!AZ610:AZ611)*'18_Календарь_тарифы'!AZ9</f>
        <v/>
      </c>
      <c r="BA613">
        <f>SUM('19_Расчет_аналитики'!BA610:BA611)*'18_Календарь_тарифы'!BA9</f>
        <v/>
      </c>
      <c r="BB613">
        <f>SUM('19_Расчет_аналитики'!BB610:BB611)*'18_Календарь_тарифы'!BB9</f>
        <v/>
      </c>
      <c r="BC613">
        <f>SUM('19_Расчет_аналитики'!BC610:BC611)*'18_Календарь_тарифы'!BC9</f>
        <v/>
      </c>
      <c r="BD613">
        <f>SUM('19_Расчет_аналитики'!BD610:BD611)*'18_Календарь_тарифы'!BD9</f>
        <v/>
      </c>
      <c r="BE613">
        <f>SUM('19_Расчет_аналитики'!BE610:BE611)*'18_Календарь_тарифы'!BE9</f>
        <v/>
      </c>
      <c r="BF613">
        <f>SUM('19_Расчет_аналитики'!BF610:BF611)*'18_Календарь_тарифы'!BF9</f>
        <v/>
      </c>
      <c r="BG613">
        <f>SUM('19_Расчет_аналитики'!BG610:BG611)*'18_Календарь_тарифы'!BG9</f>
        <v/>
      </c>
      <c r="BH613">
        <f>SUM('19_Расчет_аналитики'!BH610:BH611)*'18_Календарь_тарифы'!BH9</f>
        <v/>
      </c>
      <c r="BI613">
        <f>SUM('19_Расчет_аналитики'!BI610:BI611)*'18_Календарь_тарифы'!BI9</f>
        <v/>
      </c>
      <c r="BJ613">
        <f>SUM('19_Расчет_аналитики'!BJ610:BJ611)*'18_Календарь_тарифы'!BJ9</f>
        <v/>
      </c>
      <c r="BK613">
        <f>SUM('19_Расчет_аналитики'!BK610:BK611)*'18_Календарь_тарифы'!BK9</f>
        <v/>
      </c>
      <c r="BL613">
        <f>SUM('19_Расчет_аналитики'!BL610:BL611)*'18_Календарь_тарифы'!BL9</f>
        <v/>
      </c>
      <c r="BM613">
        <f>SUM('19_Расчет_аналитики'!BM610:BM611)*'18_Календарь_тарифы'!BM9</f>
        <v/>
      </c>
      <c r="BN613">
        <f>SUM('19_Расчет_аналитики'!BN610:BN611)*'18_Календарь_тарифы'!BN9</f>
        <v/>
      </c>
      <c r="BO613">
        <f>SUM('19_Расчет_аналитики'!BO610:BO611)*'18_Календарь_тарифы'!BO9</f>
        <v/>
      </c>
    </row>
    <row r="614"/>
    <row r="615">
      <c r="B615">
        <f>'07_Мерч'!B6+'19_Расчет_аналитики'!B612</f>
        <v/>
      </c>
      <c r="C615">
        <f>'07_Мерч'!C6+'19_Расчет_аналитики'!C612</f>
        <v/>
      </c>
      <c r="D615">
        <f>'07_Мерч'!D6+'19_Расчет_аналитики'!D612</f>
        <v/>
      </c>
      <c r="E615">
        <f>'07_Мерч'!E6+'19_Расчет_аналитики'!E612</f>
        <v/>
      </c>
      <c r="F615">
        <f>'19_Расчет_аналитики'!F607+'19_Расчет_аналитики'!F612</f>
        <v/>
      </c>
      <c r="G615">
        <f>'19_Расчет_аналитики'!G607+'19_Расчет_аналитики'!G612</f>
        <v/>
      </c>
      <c r="H615">
        <f>'19_Расчет_аналитики'!H607+'19_Расчет_аналитики'!H612</f>
        <v/>
      </c>
      <c r="I615">
        <f>'19_Расчет_аналитики'!I607+'19_Расчет_аналитики'!I612</f>
        <v/>
      </c>
      <c r="J615">
        <f>'19_Расчет_аналитики'!J607+'19_Расчет_аналитики'!J612</f>
        <v/>
      </c>
      <c r="K615">
        <f>'19_Расчет_аналитики'!K607+'19_Расчет_аналитики'!K612</f>
        <v/>
      </c>
      <c r="L615">
        <f>'19_Расчет_аналитики'!L607+'19_Расчет_аналитики'!L612</f>
        <v/>
      </c>
      <c r="M615">
        <f>'19_Расчет_аналитики'!M607+'19_Расчет_аналитики'!M612</f>
        <v/>
      </c>
      <c r="N615">
        <f>'19_Расчет_аналитики'!N607+'19_Расчет_аналитики'!N612</f>
        <v/>
      </c>
      <c r="O615">
        <f>'19_Расчет_аналитики'!O607+'19_Расчет_аналитики'!O612</f>
        <v/>
      </c>
      <c r="P615">
        <f>'19_Расчет_аналитики'!P607+'19_Расчет_аналитики'!P612</f>
        <v/>
      </c>
      <c r="Q615">
        <f>'19_Расчет_аналитики'!Q607+'19_Расчет_аналитики'!Q612</f>
        <v/>
      </c>
      <c r="R615">
        <f>'19_Расчет_аналитики'!R607+'19_Расчет_аналитики'!R612</f>
        <v/>
      </c>
      <c r="S615">
        <f>'19_Расчет_аналитики'!S607+'19_Расчет_аналитики'!S612</f>
        <v/>
      </c>
      <c r="T615">
        <f>'19_Расчет_аналитики'!T607+'19_Расчет_аналитики'!T612</f>
        <v/>
      </c>
      <c r="U615">
        <f>'19_Расчет_аналитики'!U607+'19_Расчет_аналитики'!U612</f>
        <v/>
      </c>
      <c r="V615">
        <f>'19_Расчет_аналитики'!V607+'19_Расчет_аналитики'!V612</f>
        <v/>
      </c>
      <c r="W615">
        <f>'19_Расчет_аналитики'!W607+'19_Расчет_аналитики'!W612</f>
        <v/>
      </c>
      <c r="X615">
        <f>'19_Расчет_аналитики'!X607+'19_Расчет_аналитики'!X612</f>
        <v/>
      </c>
      <c r="Y615">
        <f>'19_Расчет_аналитики'!Y607+'19_Расчет_аналитики'!Y612</f>
        <v/>
      </c>
      <c r="Z615">
        <f>'19_Расчет_аналитики'!Z607+'19_Расчет_аналитики'!Z612</f>
        <v/>
      </c>
      <c r="AA615">
        <f>'19_Расчет_аналитики'!AA607+'19_Расчет_аналитики'!AA612</f>
        <v/>
      </c>
      <c r="AB615">
        <f>'19_Расчет_аналитики'!AB607+'19_Расчет_аналитики'!AB612</f>
        <v/>
      </c>
      <c r="AC615">
        <f>'19_Расчет_аналитики'!AC607+'19_Расчет_аналитики'!AC612</f>
        <v/>
      </c>
      <c r="AD615">
        <f>'19_Расчет_аналитики'!AD607+'19_Расчет_аналитики'!AD612</f>
        <v/>
      </c>
      <c r="AE615">
        <f>'19_Расчет_аналитики'!AE607+'19_Расчет_аналитики'!AE612</f>
        <v/>
      </c>
      <c r="AF615">
        <f>'19_Расчет_аналитики'!AF607+'19_Расчет_аналитики'!AF612</f>
        <v/>
      </c>
      <c r="AG615">
        <f>'19_Расчет_аналитики'!AG607+'19_Расчет_аналитики'!AG612</f>
        <v/>
      </c>
      <c r="AH615">
        <f>'19_Расчет_аналитики'!AH607+'19_Расчет_аналитики'!AH612</f>
        <v/>
      </c>
      <c r="AI615">
        <f>'19_Расчет_аналитики'!AI607+'19_Расчет_аналитики'!AI612</f>
        <v/>
      </c>
      <c r="AJ615">
        <f>'19_Расчет_аналитики'!AJ607+'19_Расчет_аналитики'!AJ612</f>
        <v/>
      </c>
      <c r="AK615">
        <f>'19_Расчет_аналитики'!AK607+'19_Расчет_аналитики'!AK612</f>
        <v/>
      </c>
      <c r="AL615">
        <f>'19_Расчет_аналитики'!AL607+'19_Расчет_аналитики'!AL612</f>
        <v/>
      </c>
      <c r="AM615">
        <f>'19_Расчет_аналитики'!AM607+'19_Расчет_аналитики'!AM612</f>
        <v/>
      </c>
      <c r="AN615">
        <f>'19_Расчет_аналитики'!AN607+'19_Расчет_аналитики'!AN612</f>
        <v/>
      </c>
      <c r="AO615">
        <f>'19_Расчет_аналитики'!AO607+'19_Расчет_аналитики'!AO612</f>
        <v/>
      </c>
      <c r="AP615">
        <f>'19_Расчет_аналитики'!AP607+'19_Расчет_аналитики'!AP612</f>
        <v/>
      </c>
      <c r="AQ615">
        <f>'19_Расчет_аналитики'!AQ607+'19_Расчет_аналитики'!AQ612</f>
        <v/>
      </c>
      <c r="AR615">
        <f>'19_Расчет_аналитики'!AR607+'19_Расчет_аналитики'!AR612</f>
        <v/>
      </c>
      <c r="AS615">
        <f>'19_Расчет_аналитики'!AS607+'19_Расчет_аналитики'!AS612</f>
        <v/>
      </c>
      <c r="AT615">
        <f>'19_Расчет_аналитики'!AT607+'19_Расчет_аналитики'!AT612</f>
        <v/>
      </c>
      <c r="AU615">
        <f>'19_Расчет_аналитики'!AU607+'19_Расчет_аналитики'!AU612</f>
        <v/>
      </c>
      <c r="AV615">
        <f>'19_Расчет_аналитики'!AV607+'19_Расчет_аналитики'!AV612</f>
        <v/>
      </c>
      <c r="AW615">
        <f>'19_Расчет_аналитики'!AW607+'19_Расчет_аналитики'!AW612</f>
        <v/>
      </c>
      <c r="AX615">
        <f>'19_Расчет_аналитики'!AX607+'19_Расчет_аналитики'!AX612</f>
        <v/>
      </c>
      <c r="AY615">
        <f>'19_Расчет_аналитики'!AY607+'19_Расчет_аналитики'!AY612</f>
        <v/>
      </c>
      <c r="AZ615">
        <f>'19_Расчет_аналитики'!AZ607+'19_Расчет_аналитики'!AZ612</f>
        <v/>
      </c>
      <c r="BA615">
        <f>'19_Расчет_аналитики'!BA607+'19_Расчет_аналитики'!BA612</f>
        <v/>
      </c>
      <c r="BB615">
        <f>'19_Расчет_аналитики'!BB607+'19_Расчет_аналитики'!BB612</f>
        <v/>
      </c>
      <c r="BC615">
        <f>'19_Расчет_аналитики'!BC607+'19_Расчет_аналитики'!BC612</f>
        <v/>
      </c>
      <c r="BD615">
        <f>'19_Расчет_аналитики'!BD607+'19_Расчет_аналитики'!BD612</f>
        <v/>
      </c>
      <c r="BE615">
        <f>'19_Расчет_аналитики'!BE607+'19_Расчет_аналитики'!BE612</f>
        <v/>
      </c>
      <c r="BF615">
        <f>'19_Расчет_аналитики'!BF607+'19_Расчет_аналитики'!BF612</f>
        <v/>
      </c>
      <c r="BG615">
        <f>'19_Расчет_аналитики'!BG607+'19_Расчет_аналитики'!BG612</f>
        <v/>
      </c>
      <c r="BH615">
        <f>'19_Расчет_аналитики'!BH607+'19_Расчет_аналитики'!BH612</f>
        <v/>
      </c>
      <c r="BI615">
        <f>'19_Расчет_аналитики'!BI607+'19_Расчет_аналитики'!BI612</f>
        <v/>
      </c>
      <c r="BJ615">
        <f>'19_Расчет_аналитики'!BJ607+'19_Расчет_аналитики'!BJ612</f>
        <v/>
      </c>
      <c r="BK615">
        <f>'19_Расчет_аналитики'!BK607+'19_Расчет_аналитики'!BK612</f>
        <v/>
      </c>
      <c r="BL615">
        <f>'19_Расчет_аналитики'!BL607+'19_Расчет_аналитики'!BL612</f>
        <v/>
      </c>
      <c r="BM615">
        <f>'19_Расчет_аналитики'!BM607+'19_Расчет_аналитики'!BM612</f>
        <v/>
      </c>
      <c r="BN615">
        <f>'19_Расчет_аналитики'!BN607+'19_Расчет_аналитики'!BN612</f>
        <v/>
      </c>
      <c r="BO615">
        <f>'19_Расчет_аналитики'!BO607+'19_Расчет_аналитики'!BO612</f>
        <v/>
      </c>
    </row>
    <row r="616">
      <c r="B616">
        <f>'19_Расчет_аналитики'!B615/(1+'01_Вводные'!$B$58)</f>
        <v/>
      </c>
      <c r="C616">
        <f>'19_Расчет_аналитики'!C615/(1+'01_Вводные'!$B$58)</f>
        <v/>
      </c>
      <c r="D616">
        <f>'19_Расчет_аналитики'!D615/(1+'01_Вводные'!$B$58)</f>
        <v/>
      </c>
      <c r="E616">
        <f>'19_Расчет_аналитики'!E615/(1+'01_Вводные'!$B$58)</f>
        <v/>
      </c>
      <c r="F616">
        <f>'19_Расчет_аналитики'!F615/(1+'01_Вводные'!$B$58)</f>
        <v/>
      </c>
      <c r="G616">
        <f>'19_Расчет_аналитики'!G615/(1+'01_Вводные'!$B$58)</f>
        <v/>
      </c>
      <c r="H616">
        <f>'19_Расчет_аналитики'!H615/(1+'01_Вводные'!$B$58)</f>
        <v/>
      </c>
      <c r="I616">
        <f>'19_Расчет_аналитики'!I615/(1+'01_Вводные'!$B$58)</f>
        <v/>
      </c>
      <c r="J616">
        <f>'19_Расчет_аналитики'!J615/(1+'01_Вводные'!$B$58)</f>
        <v/>
      </c>
      <c r="K616">
        <f>'19_Расчет_аналитики'!K615/(1+'01_Вводные'!$B$58)</f>
        <v/>
      </c>
      <c r="L616">
        <f>'19_Расчет_аналитики'!L615/(1+'01_Вводные'!$B$58)</f>
        <v/>
      </c>
      <c r="M616">
        <f>'19_Расчет_аналитики'!M615/(1+'01_Вводные'!$B$58)</f>
        <v/>
      </c>
      <c r="N616">
        <f>'19_Расчет_аналитики'!N615/(1+'01_Вводные'!$B$58)</f>
        <v/>
      </c>
      <c r="O616">
        <f>'19_Расчет_аналитики'!O615/(1+'01_Вводные'!$B$58)</f>
        <v/>
      </c>
      <c r="P616">
        <f>'19_Расчет_аналитики'!P615/(1+'01_Вводные'!$B$58)</f>
        <v/>
      </c>
      <c r="Q616">
        <f>'19_Расчет_аналитики'!Q615/(1+'01_Вводные'!$B$58)</f>
        <v/>
      </c>
      <c r="R616">
        <f>'19_Расчет_аналитики'!R615/(1+'01_Вводные'!$B$58)</f>
        <v/>
      </c>
      <c r="S616">
        <f>'19_Расчет_аналитики'!S615/(1+'01_Вводные'!$B$58)</f>
        <v/>
      </c>
      <c r="T616">
        <f>'19_Расчет_аналитики'!T615/(1+'01_Вводные'!$B$58)</f>
        <v/>
      </c>
      <c r="U616">
        <f>'19_Расчет_аналитики'!U615/(1+'01_Вводные'!$B$58)</f>
        <v/>
      </c>
      <c r="V616">
        <f>'19_Расчет_аналитики'!V615/(1+'01_Вводные'!$B$58)</f>
        <v/>
      </c>
      <c r="W616">
        <f>'19_Расчет_аналитики'!W615/(1+'01_Вводные'!$B$58)</f>
        <v/>
      </c>
      <c r="X616">
        <f>'19_Расчет_аналитики'!X615/(1+'01_Вводные'!$B$58)</f>
        <v/>
      </c>
      <c r="Y616">
        <f>'19_Расчет_аналитики'!Y615/(1+'01_Вводные'!$B$58)</f>
        <v/>
      </c>
      <c r="Z616">
        <f>'19_Расчет_аналитики'!Z615/(1+'01_Вводные'!$B$58)</f>
        <v/>
      </c>
      <c r="AA616">
        <f>'19_Расчет_аналитики'!AA615/(1+'01_Вводные'!$B$58)</f>
        <v/>
      </c>
      <c r="AB616">
        <f>'19_Расчет_аналитики'!AB615/(1+'01_Вводные'!$B$58)</f>
        <v/>
      </c>
      <c r="AC616">
        <f>'19_Расчет_аналитики'!AC615/(1+'01_Вводные'!$B$58)</f>
        <v/>
      </c>
      <c r="AD616">
        <f>'19_Расчет_аналитики'!AD615/(1+'01_Вводные'!$B$58)</f>
        <v/>
      </c>
      <c r="AE616">
        <f>'19_Расчет_аналитики'!AE615/(1+'01_Вводные'!$B$58)</f>
        <v/>
      </c>
      <c r="AF616">
        <f>'19_Расчет_аналитики'!AF615/(1+'01_Вводные'!$B$58)</f>
        <v/>
      </c>
      <c r="AG616">
        <f>'19_Расчет_аналитики'!AG615/(1+'01_Вводные'!$B$58)</f>
        <v/>
      </c>
      <c r="AH616">
        <f>'19_Расчет_аналитики'!AH615/(1+'01_Вводные'!$B$58)</f>
        <v/>
      </c>
      <c r="AI616">
        <f>'19_Расчет_аналитики'!AI615/(1+'01_Вводные'!$B$58)</f>
        <v/>
      </c>
      <c r="AJ616">
        <f>'19_Расчет_аналитики'!AJ615/(1+'01_Вводные'!$B$58)</f>
        <v/>
      </c>
      <c r="AK616">
        <f>'19_Расчет_аналитики'!AK615/(1+'01_Вводные'!$B$58)</f>
        <v/>
      </c>
      <c r="AL616">
        <f>'19_Расчет_аналитики'!AL615/(1+'01_Вводные'!$B$58)</f>
        <v/>
      </c>
      <c r="AM616">
        <f>'19_Расчет_аналитики'!AM615/(1+'01_Вводные'!$B$58)</f>
        <v/>
      </c>
      <c r="AN616">
        <f>'19_Расчет_аналитики'!AN615/(1+'01_Вводные'!$B$58)</f>
        <v/>
      </c>
      <c r="AO616">
        <f>'19_Расчет_аналитики'!AO615/(1+'01_Вводные'!$B$58)</f>
        <v/>
      </c>
      <c r="AP616">
        <f>'19_Расчет_аналитики'!AP615/(1+'01_Вводные'!$B$58)</f>
        <v/>
      </c>
      <c r="AQ616">
        <f>'19_Расчет_аналитики'!AQ615/(1+'01_Вводные'!$B$58)</f>
        <v/>
      </c>
      <c r="AR616">
        <f>'19_Расчет_аналитики'!AR615/(1+'01_Вводные'!$B$58)</f>
        <v/>
      </c>
      <c r="AS616">
        <f>'19_Расчет_аналитики'!AS615/(1+'01_Вводные'!$B$58)</f>
        <v/>
      </c>
      <c r="AT616">
        <f>'19_Расчет_аналитики'!AT615/(1+'01_Вводные'!$B$58)</f>
        <v/>
      </c>
      <c r="AU616">
        <f>'19_Расчет_аналитики'!AU615/(1+'01_Вводные'!$B$58)</f>
        <v/>
      </c>
      <c r="AV616">
        <f>'19_Расчет_аналитики'!AV615/(1+'01_Вводные'!$B$58)</f>
        <v/>
      </c>
      <c r="AW616">
        <f>'19_Расчет_аналитики'!AW615/(1+'01_Вводные'!$B$58)</f>
        <v/>
      </c>
      <c r="AX616">
        <f>'19_Расчет_аналитики'!AX615/(1+'01_Вводные'!$B$58)</f>
        <v/>
      </c>
      <c r="AY616">
        <f>'19_Расчет_аналитики'!AY615/(1+'01_Вводные'!$B$58)</f>
        <v/>
      </c>
      <c r="AZ616">
        <f>'19_Расчет_аналитики'!AZ615/(1+'01_Вводные'!$B$58)</f>
        <v/>
      </c>
      <c r="BA616">
        <f>'19_Расчет_аналитики'!BA615/(1+'01_Вводные'!$B$58)</f>
        <v/>
      </c>
      <c r="BB616">
        <f>'19_Расчет_аналитики'!BB615/(1+'01_Вводные'!$B$58)</f>
        <v/>
      </c>
      <c r="BC616">
        <f>'19_Расчет_аналитики'!BC615/(1+'01_Вводные'!$B$58)</f>
        <v/>
      </c>
      <c r="BD616">
        <f>'19_Расчет_аналитики'!BD615/(1+'01_Вводные'!$B$58)</f>
        <v/>
      </c>
      <c r="BE616">
        <f>'19_Расчет_аналитики'!BE615/(1+'01_Вводные'!$B$58)</f>
        <v/>
      </c>
      <c r="BF616">
        <f>'19_Расчет_аналитики'!BF615/(1+'01_Вводные'!$B$58)</f>
        <v/>
      </c>
      <c r="BG616">
        <f>'19_Расчет_аналитики'!BG615/(1+'01_Вводные'!$B$58)</f>
        <v/>
      </c>
      <c r="BH616">
        <f>'19_Расчет_аналитики'!BH615/(1+'01_Вводные'!$B$58)</f>
        <v/>
      </c>
      <c r="BI616">
        <f>'19_Расчет_аналитики'!BI615/(1+'01_Вводные'!$B$58)</f>
        <v/>
      </c>
      <c r="BJ616">
        <f>'19_Расчет_аналитики'!BJ615/(1+'01_Вводные'!$B$58)</f>
        <v/>
      </c>
      <c r="BK616">
        <f>'19_Расчет_аналитики'!BK615/(1+'01_Вводные'!$B$58)</f>
        <v/>
      </c>
      <c r="BL616">
        <f>'19_Расчет_аналитики'!BL615/(1+'01_Вводные'!$B$58)</f>
        <v/>
      </c>
      <c r="BM616">
        <f>'19_Расчет_аналитики'!BM615/(1+'01_Вводные'!$B$58)</f>
        <v/>
      </c>
      <c r="BN616">
        <f>'19_Расчет_аналитики'!BN615/(1+'01_Вводные'!$B$58)</f>
        <v/>
      </c>
      <c r="BO616">
        <f>'19_Расчет_аналитики'!BO615/(1+'01_Вводные'!$B$58)</f>
        <v/>
      </c>
    </row>
    <row r="617">
      <c r="B617">
        <f>'07_Мерч'!B7+'19_Расчет_аналитики'!B613</f>
        <v/>
      </c>
      <c r="C617">
        <f>'07_Мерч'!C7+'19_Расчет_аналитики'!C613</f>
        <v/>
      </c>
      <c r="D617">
        <f>'07_Мерч'!D7+'19_Расчет_аналитики'!D613</f>
        <v/>
      </c>
      <c r="E617">
        <f>'07_Мерч'!E7+'19_Расчет_аналитики'!E613</f>
        <v/>
      </c>
      <c r="F617">
        <f>'19_Расчет_аналитики'!F608+'19_Расчет_аналитики'!F613</f>
        <v/>
      </c>
      <c r="G617">
        <f>'19_Расчет_аналитики'!G608+'19_Расчет_аналитики'!G613</f>
        <v/>
      </c>
      <c r="H617">
        <f>'19_Расчет_аналитики'!H608+'19_Расчет_аналитики'!H613</f>
        <v/>
      </c>
      <c r="I617">
        <f>'19_Расчет_аналитики'!I608+'19_Расчет_аналитики'!I613</f>
        <v/>
      </c>
      <c r="J617">
        <f>'19_Расчет_аналитики'!J608+'19_Расчет_аналитики'!J613</f>
        <v/>
      </c>
      <c r="K617">
        <f>'19_Расчет_аналитики'!K608+'19_Расчет_аналитики'!K613</f>
        <v/>
      </c>
      <c r="L617">
        <f>'19_Расчет_аналитики'!L608+'19_Расчет_аналитики'!L613</f>
        <v/>
      </c>
      <c r="M617">
        <f>'19_Расчет_аналитики'!M608+'19_Расчет_аналитики'!M613</f>
        <v/>
      </c>
      <c r="N617">
        <f>'19_Расчет_аналитики'!N608+'19_Расчет_аналитики'!N613</f>
        <v/>
      </c>
      <c r="O617">
        <f>'19_Расчет_аналитики'!O608+'19_Расчет_аналитики'!O613</f>
        <v/>
      </c>
      <c r="P617">
        <f>'19_Расчет_аналитики'!P608+'19_Расчет_аналитики'!P613</f>
        <v/>
      </c>
      <c r="Q617">
        <f>'19_Расчет_аналитики'!Q608+'19_Расчет_аналитики'!Q613</f>
        <v/>
      </c>
      <c r="R617">
        <f>'19_Расчет_аналитики'!R608+'19_Расчет_аналитики'!R613</f>
        <v/>
      </c>
      <c r="S617">
        <f>'19_Расчет_аналитики'!S608+'19_Расчет_аналитики'!S613</f>
        <v/>
      </c>
      <c r="T617">
        <f>'19_Расчет_аналитики'!T608+'19_Расчет_аналитики'!T613</f>
        <v/>
      </c>
      <c r="U617">
        <f>'19_Расчет_аналитики'!U608+'19_Расчет_аналитики'!U613</f>
        <v/>
      </c>
      <c r="V617">
        <f>'19_Расчет_аналитики'!V608+'19_Расчет_аналитики'!V613</f>
        <v/>
      </c>
      <c r="W617">
        <f>'19_Расчет_аналитики'!W608+'19_Расчет_аналитики'!W613</f>
        <v/>
      </c>
      <c r="X617">
        <f>'19_Расчет_аналитики'!X608+'19_Расчет_аналитики'!X613</f>
        <v/>
      </c>
      <c r="Y617">
        <f>'19_Расчет_аналитики'!Y608+'19_Расчет_аналитики'!Y613</f>
        <v/>
      </c>
      <c r="Z617">
        <f>'19_Расчет_аналитики'!Z608+'19_Расчет_аналитики'!Z613</f>
        <v/>
      </c>
      <c r="AA617">
        <f>'19_Расчет_аналитики'!AA608+'19_Расчет_аналитики'!AA613</f>
        <v/>
      </c>
      <c r="AB617">
        <f>'19_Расчет_аналитики'!AB608+'19_Расчет_аналитики'!AB613</f>
        <v/>
      </c>
      <c r="AC617">
        <f>'19_Расчет_аналитики'!AC608+'19_Расчет_аналитики'!AC613</f>
        <v/>
      </c>
      <c r="AD617">
        <f>'19_Расчет_аналитики'!AD608+'19_Расчет_аналитики'!AD613</f>
        <v/>
      </c>
      <c r="AE617">
        <f>'19_Расчет_аналитики'!AE608+'19_Расчет_аналитики'!AE613</f>
        <v/>
      </c>
      <c r="AF617">
        <f>'19_Расчет_аналитики'!AF608+'19_Расчет_аналитики'!AF613</f>
        <v/>
      </c>
      <c r="AG617">
        <f>'19_Расчет_аналитики'!AG608+'19_Расчет_аналитики'!AG613</f>
        <v/>
      </c>
      <c r="AH617">
        <f>'19_Расчет_аналитики'!AH608+'19_Расчет_аналитики'!AH613</f>
        <v/>
      </c>
      <c r="AI617">
        <f>'19_Расчет_аналитики'!AI608+'19_Расчет_аналитики'!AI613</f>
        <v/>
      </c>
      <c r="AJ617">
        <f>'19_Расчет_аналитики'!AJ608+'19_Расчет_аналитики'!AJ613</f>
        <v/>
      </c>
      <c r="AK617">
        <f>'19_Расчет_аналитики'!AK608+'19_Расчет_аналитики'!AK613</f>
        <v/>
      </c>
      <c r="AL617">
        <f>'19_Расчет_аналитики'!AL608+'19_Расчет_аналитики'!AL613</f>
        <v/>
      </c>
      <c r="AM617">
        <f>'19_Расчет_аналитики'!AM608+'19_Расчет_аналитики'!AM613</f>
        <v/>
      </c>
      <c r="AN617">
        <f>'19_Расчет_аналитики'!AN608+'19_Расчет_аналитики'!AN613</f>
        <v/>
      </c>
      <c r="AO617">
        <f>'19_Расчет_аналитики'!AO608+'19_Расчет_аналитики'!AO613</f>
        <v/>
      </c>
      <c r="AP617">
        <f>'19_Расчет_аналитики'!AP608+'19_Расчет_аналитики'!AP613</f>
        <v/>
      </c>
      <c r="AQ617">
        <f>'19_Расчет_аналитики'!AQ608+'19_Расчет_аналитики'!AQ613</f>
        <v/>
      </c>
      <c r="AR617">
        <f>'19_Расчет_аналитики'!AR608+'19_Расчет_аналитики'!AR613</f>
        <v/>
      </c>
      <c r="AS617">
        <f>'19_Расчет_аналитики'!AS608+'19_Расчет_аналитики'!AS613</f>
        <v/>
      </c>
      <c r="AT617">
        <f>'19_Расчет_аналитики'!AT608+'19_Расчет_аналитики'!AT613</f>
        <v/>
      </c>
      <c r="AU617">
        <f>'19_Расчет_аналитики'!AU608+'19_Расчет_аналитики'!AU613</f>
        <v/>
      </c>
      <c r="AV617">
        <f>'19_Расчет_аналитики'!AV608+'19_Расчет_аналитики'!AV613</f>
        <v/>
      </c>
      <c r="AW617">
        <f>'19_Расчет_аналитики'!AW608+'19_Расчет_аналитики'!AW613</f>
        <v/>
      </c>
      <c r="AX617">
        <f>'19_Расчет_аналитики'!AX608+'19_Расчет_аналитики'!AX613</f>
        <v/>
      </c>
      <c r="AY617">
        <f>'19_Расчет_аналитики'!AY608+'19_Расчет_аналитики'!AY613</f>
        <v/>
      </c>
      <c r="AZ617">
        <f>'19_Расчет_аналитики'!AZ608+'19_Расчет_аналитики'!AZ613</f>
        <v/>
      </c>
      <c r="BA617">
        <f>'19_Расчет_аналитики'!BA608+'19_Расчет_аналитики'!BA613</f>
        <v/>
      </c>
      <c r="BB617">
        <f>'19_Расчет_аналитики'!BB608+'19_Расчет_аналитики'!BB613</f>
        <v/>
      </c>
      <c r="BC617">
        <f>'19_Расчет_аналитики'!BC608+'19_Расчет_аналитики'!BC613</f>
        <v/>
      </c>
      <c r="BD617">
        <f>'19_Расчет_аналитики'!BD608+'19_Расчет_аналитики'!BD613</f>
        <v/>
      </c>
      <c r="BE617">
        <f>'19_Расчет_аналитики'!BE608+'19_Расчет_аналитики'!BE613</f>
        <v/>
      </c>
      <c r="BF617">
        <f>'19_Расчет_аналитики'!BF608+'19_Расчет_аналитики'!BF613</f>
        <v/>
      </c>
      <c r="BG617">
        <f>'19_Расчет_аналитики'!BG608+'19_Расчет_аналитики'!BG613</f>
        <v/>
      </c>
      <c r="BH617">
        <f>'19_Расчет_аналитики'!BH608+'19_Расчет_аналитики'!BH613</f>
        <v/>
      </c>
      <c r="BI617">
        <f>'19_Расчет_аналитики'!BI608+'19_Расчет_аналитики'!BI613</f>
        <v/>
      </c>
      <c r="BJ617">
        <f>'19_Расчет_аналитики'!BJ608+'19_Расчет_аналитики'!BJ613</f>
        <v/>
      </c>
      <c r="BK617">
        <f>'19_Расчет_аналитики'!BK608+'19_Расчет_аналитики'!BK613</f>
        <v/>
      </c>
      <c r="BL617">
        <f>'19_Расчет_аналитики'!BL608+'19_Расчет_аналитики'!BL613</f>
        <v/>
      </c>
      <c r="BM617">
        <f>'19_Расчет_аналитики'!BM608+'19_Расчет_аналитики'!BM613</f>
        <v/>
      </c>
      <c r="BN617">
        <f>'19_Расчет_аналитики'!BN608+'19_Расчет_аналитики'!BN613</f>
        <v/>
      </c>
      <c r="BO617">
        <f>'19_Расчет_аналитики'!BO608+'19_Расчет_аналитики'!BO613</f>
        <v/>
      </c>
    </row>
    <row r="618">
      <c r="B618">
        <f>'19_Расчет_аналитики'!B616*'01_Вводные'!$B$75</f>
        <v/>
      </c>
      <c r="C618">
        <f>'19_Расчет_аналитики'!C616*'01_Вводные'!$B$75</f>
        <v/>
      </c>
      <c r="D618">
        <f>'19_Расчет_аналитики'!D616*'01_Вводные'!$B$75</f>
        <v/>
      </c>
      <c r="E618">
        <f>'19_Расчет_аналитики'!E616*'01_Вводные'!$B$75</f>
        <v/>
      </c>
      <c r="F618">
        <f>'19_Расчет_аналитики'!F616*'01_Вводные'!$B$75</f>
        <v/>
      </c>
      <c r="G618">
        <f>'19_Расчет_аналитики'!G616*'01_Вводные'!$B$75</f>
        <v/>
      </c>
      <c r="H618">
        <f>'19_Расчет_аналитики'!H616*'01_Вводные'!$B$75</f>
        <v/>
      </c>
      <c r="I618">
        <f>'19_Расчет_аналитики'!I616*'01_Вводные'!$B$75</f>
        <v/>
      </c>
      <c r="J618">
        <f>'19_Расчет_аналитики'!J616*'01_Вводные'!$B$75</f>
        <v/>
      </c>
      <c r="K618">
        <f>'19_Расчет_аналитики'!K616*'01_Вводные'!$B$75</f>
        <v/>
      </c>
      <c r="L618">
        <f>'19_Расчет_аналитики'!L616*'01_Вводные'!$B$75</f>
        <v/>
      </c>
      <c r="M618">
        <f>'19_Расчет_аналитики'!M616*'01_Вводные'!$B$75</f>
        <v/>
      </c>
      <c r="N618">
        <f>'19_Расчет_аналитики'!N616*'01_Вводные'!$B$75</f>
        <v/>
      </c>
      <c r="O618">
        <f>'19_Расчет_аналитики'!O616*'01_Вводные'!$B$75</f>
        <v/>
      </c>
      <c r="P618">
        <f>'19_Расчет_аналитики'!P616*'01_Вводные'!$B$75</f>
        <v/>
      </c>
      <c r="Q618">
        <f>'19_Расчет_аналитики'!Q616*'01_Вводные'!$B$75</f>
        <v/>
      </c>
      <c r="R618">
        <f>'19_Расчет_аналитики'!R616*'01_Вводные'!$B$75</f>
        <v/>
      </c>
      <c r="S618">
        <f>'19_Расчет_аналитики'!S616*'01_Вводные'!$B$75</f>
        <v/>
      </c>
      <c r="T618">
        <f>'19_Расчет_аналитики'!T616*'01_Вводные'!$B$75</f>
        <v/>
      </c>
      <c r="U618">
        <f>'19_Расчет_аналитики'!U616*'01_Вводные'!$B$75</f>
        <v/>
      </c>
      <c r="V618">
        <f>'19_Расчет_аналитики'!V616*'01_Вводные'!$B$75</f>
        <v/>
      </c>
      <c r="W618">
        <f>'19_Расчет_аналитики'!W616*'01_Вводные'!$B$75</f>
        <v/>
      </c>
      <c r="X618">
        <f>'19_Расчет_аналитики'!X616*'01_Вводные'!$B$75</f>
        <v/>
      </c>
      <c r="Y618">
        <f>'19_Расчет_аналитики'!Y616*'01_Вводные'!$B$75</f>
        <v/>
      </c>
      <c r="Z618">
        <f>'19_Расчет_аналитики'!Z616*'01_Вводные'!$B$75</f>
        <v/>
      </c>
      <c r="AA618">
        <f>'19_Расчет_аналитики'!AA616*'01_Вводные'!$B$75</f>
        <v/>
      </c>
      <c r="AB618">
        <f>'19_Расчет_аналитики'!AB616*'01_Вводные'!$B$75</f>
        <v/>
      </c>
      <c r="AC618">
        <f>'19_Расчет_аналитики'!AC616*'01_Вводные'!$B$75</f>
        <v/>
      </c>
      <c r="AD618">
        <f>'19_Расчет_аналитики'!AD616*'01_Вводные'!$B$75</f>
        <v/>
      </c>
      <c r="AE618">
        <f>'19_Расчет_аналитики'!AE616*'01_Вводные'!$B$75</f>
        <v/>
      </c>
      <c r="AF618">
        <f>'19_Расчет_аналитики'!AF616*'01_Вводные'!$B$75</f>
        <v/>
      </c>
      <c r="AG618">
        <f>'19_Расчет_аналитики'!AG616*'01_Вводные'!$B$75</f>
        <v/>
      </c>
      <c r="AH618">
        <f>'19_Расчет_аналитики'!AH616*'01_Вводные'!$B$75</f>
        <v/>
      </c>
      <c r="AI618">
        <f>'19_Расчет_аналитики'!AI616*'01_Вводные'!$B$75</f>
        <v/>
      </c>
      <c r="AJ618">
        <f>'19_Расчет_аналитики'!AJ616*'01_Вводные'!$B$75</f>
        <v/>
      </c>
      <c r="AK618">
        <f>'19_Расчет_аналитики'!AK616*'01_Вводные'!$B$75</f>
        <v/>
      </c>
      <c r="AL618">
        <f>'19_Расчет_аналитики'!AL616*'01_Вводные'!$B$75</f>
        <v/>
      </c>
      <c r="AM618">
        <f>'19_Расчет_аналитики'!AM616*'01_Вводные'!$B$75</f>
        <v/>
      </c>
      <c r="AN618">
        <f>'19_Расчет_аналитики'!AN616*'01_Вводные'!$B$75</f>
        <v/>
      </c>
      <c r="AO618">
        <f>'19_Расчет_аналитики'!AO616*'01_Вводные'!$B$75</f>
        <v/>
      </c>
      <c r="AP618">
        <f>'19_Расчет_аналитики'!AP616*'01_Вводные'!$B$75</f>
        <v/>
      </c>
      <c r="AQ618">
        <f>'19_Расчет_аналитики'!AQ616*'01_Вводные'!$B$75</f>
        <v/>
      </c>
      <c r="AR618">
        <f>'19_Расчет_аналитики'!AR616*'01_Вводные'!$B$75</f>
        <v/>
      </c>
      <c r="AS618">
        <f>'19_Расчет_аналитики'!AS616*'01_Вводные'!$B$75</f>
        <v/>
      </c>
      <c r="AT618">
        <f>'19_Расчет_аналитики'!AT616*'01_Вводные'!$B$75</f>
        <v/>
      </c>
      <c r="AU618">
        <f>'19_Расчет_аналитики'!AU616*'01_Вводные'!$B$75</f>
        <v/>
      </c>
      <c r="AV618">
        <f>'19_Расчет_аналитики'!AV616*'01_Вводные'!$B$75</f>
        <v/>
      </c>
      <c r="AW618">
        <f>'19_Расчет_аналитики'!AW616*'01_Вводные'!$B$75</f>
        <v/>
      </c>
      <c r="AX618">
        <f>'19_Расчет_аналитики'!AX616*'01_Вводные'!$B$75</f>
        <v/>
      </c>
      <c r="AY618">
        <f>'19_Расчет_аналитики'!AY616*'01_Вводные'!$B$75</f>
        <v/>
      </c>
      <c r="AZ618">
        <f>'19_Расчет_аналитики'!AZ616*'01_Вводные'!$B$75</f>
        <v/>
      </c>
      <c r="BA618">
        <f>'19_Расчет_аналитики'!BA616*'01_Вводные'!$B$75</f>
        <v/>
      </c>
      <c r="BB618">
        <f>'19_Расчет_аналитики'!BB616*'01_Вводные'!$B$75</f>
        <v/>
      </c>
      <c r="BC618">
        <f>'19_Расчет_аналитики'!BC616*'01_Вводные'!$B$75</f>
        <v/>
      </c>
      <c r="BD618">
        <f>'19_Расчет_аналитики'!BD616*'01_Вводные'!$B$75</f>
        <v/>
      </c>
      <c r="BE618">
        <f>'19_Расчет_аналитики'!BE616*'01_Вводные'!$B$75</f>
        <v/>
      </c>
      <c r="BF618">
        <f>'19_Расчет_аналитики'!BF616*'01_Вводные'!$B$75</f>
        <v/>
      </c>
      <c r="BG618">
        <f>'19_Расчет_аналитики'!BG616*'01_Вводные'!$B$75</f>
        <v/>
      </c>
      <c r="BH618">
        <f>'19_Расчет_аналитики'!BH616*'01_Вводные'!$B$75</f>
        <v/>
      </c>
      <c r="BI618">
        <f>'19_Расчет_аналитики'!BI616*'01_Вводные'!$B$75</f>
        <v/>
      </c>
      <c r="BJ618">
        <f>'19_Расчет_аналитики'!BJ616*'01_Вводные'!$B$75</f>
        <v/>
      </c>
      <c r="BK618">
        <f>'19_Расчет_аналитики'!BK616*'01_Вводные'!$B$75</f>
        <v/>
      </c>
      <c r="BL618">
        <f>'19_Расчет_аналитики'!BL616*'01_Вводные'!$B$75</f>
        <v/>
      </c>
      <c r="BM618">
        <f>'19_Расчет_аналитики'!BM616*'01_Вводные'!$B$75</f>
        <v/>
      </c>
      <c r="BN618">
        <f>'19_Расчет_аналитики'!BN616*'01_Вводные'!$B$75</f>
        <v/>
      </c>
      <c r="BO618">
        <f>'19_Расчет_аналитики'!BO616*'01_Вводные'!$B$75</f>
        <v/>
      </c>
    </row>
    <row r="619">
      <c r="B619">
        <f>MAX(0,'19_Расчет_аналитики'!B616-'19_Расчет_аналитики'!B617-'19_Расчет_аналитики'!B618)</f>
        <v/>
      </c>
      <c r="C619">
        <f>MAX(0,'19_Расчет_аналитики'!C616-'19_Расчет_аналитики'!C617-'19_Расчет_аналитики'!C618)</f>
        <v/>
      </c>
      <c r="D619">
        <f>MAX(0,'19_Расчет_аналитики'!D616-'19_Расчет_аналитики'!D617-'19_Расчет_аналитики'!D618)</f>
        <v/>
      </c>
      <c r="E619">
        <f>MAX(0,'19_Расчет_аналитики'!E616-'19_Расчет_аналитики'!E617-'19_Расчет_аналитики'!E618)</f>
        <v/>
      </c>
      <c r="F619">
        <f>MAX(0,'19_Расчет_аналитики'!F616-'19_Расчет_аналитики'!F617-'19_Расчет_аналитики'!F618)</f>
        <v/>
      </c>
      <c r="G619">
        <f>MAX(0,'19_Расчет_аналитики'!G616-'19_Расчет_аналитики'!G617-'19_Расчет_аналитики'!G618)</f>
        <v/>
      </c>
      <c r="H619">
        <f>MAX(0,'19_Расчет_аналитики'!H616-'19_Расчет_аналитики'!H617-'19_Расчет_аналитики'!H618)</f>
        <v/>
      </c>
      <c r="I619">
        <f>MAX(0,'19_Расчет_аналитики'!I616-'19_Расчет_аналитики'!I617-'19_Расчет_аналитики'!I618)</f>
        <v/>
      </c>
      <c r="J619">
        <f>MAX(0,'19_Расчет_аналитики'!J616-'19_Расчет_аналитики'!J617-'19_Расчет_аналитики'!J618)</f>
        <v/>
      </c>
      <c r="K619">
        <f>MAX(0,'19_Расчет_аналитики'!K616-'19_Расчет_аналитики'!K617-'19_Расчет_аналитики'!K618)</f>
        <v/>
      </c>
      <c r="L619">
        <f>MAX(0,'19_Расчет_аналитики'!L616-'19_Расчет_аналитики'!L617-'19_Расчет_аналитики'!L618)</f>
        <v/>
      </c>
      <c r="M619">
        <f>MAX(0,'19_Расчет_аналитики'!M616-'19_Расчет_аналитики'!M617-'19_Расчет_аналитики'!M618)</f>
        <v/>
      </c>
      <c r="N619">
        <f>MAX(0,'19_Расчет_аналитики'!N616-'19_Расчет_аналитики'!N617-'19_Расчет_аналитики'!N618)</f>
        <v/>
      </c>
      <c r="O619">
        <f>MAX(0,'19_Расчет_аналитики'!O616-'19_Расчет_аналитики'!O617-'19_Расчет_аналитики'!O618)</f>
        <v/>
      </c>
      <c r="P619">
        <f>MAX(0,'19_Расчет_аналитики'!P616-'19_Расчет_аналитики'!P617-'19_Расчет_аналитики'!P618)</f>
        <v/>
      </c>
      <c r="Q619">
        <f>MAX(0,'19_Расчет_аналитики'!Q616-'19_Расчет_аналитики'!Q617-'19_Расчет_аналитики'!Q618)</f>
        <v/>
      </c>
      <c r="R619">
        <f>MAX(0,'19_Расчет_аналитики'!R616-'19_Расчет_аналитики'!R617-'19_Расчет_аналитики'!R618)</f>
        <v/>
      </c>
      <c r="S619">
        <f>MAX(0,'19_Расчет_аналитики'!S616-'19_Расчет_аналитики'!S617-'19_Расчет_аналитики'!S618)</f>
        <v/>
      </c>
      <c r="T619">
        <f>MAX(0,'19_Расчет_аналитики'!T616-'19_Расчет_аналитики'!T617-'19_Расчет_аналитики'!T618)</f>
        <v/>
      </c>
      <c r="U619">
        <f>MAX(0,'19_Расчет_аналитики'!U616-'19_Расчет_аналитики'!U617-'19_Расчет_аналитики'!U618)</f>
        <v/>
      </c>
      <c r="V619">
        <f>MAX(0,'19_Расчет_аналитики'!V616-'19_Расчет_аналитики'!V617-'19_Расчет_аналитики'!V618)</f>
        <v/>
      </c>
      <c r="W619">
        <f>MAX(0,'19_Расчет_аналитики'!W616-'19_Расчет_аналитики'!W617-'19_Расчет_аналитики'!W618)</f>
        <v/>
      </c>
      <c r="X619">
        <f>MAX(0,'19_Расчет_аналитики'!X616-'19_Расчет_аналитики'!X617-'19_Расчет_аналитики'!X618)</f>
        <v/>
      </c>
      <c r="Y619">
        <f>MAX(0,'19_Расчет_аналитики'!Y616-'19_Расчет_аналитики'!Y617-'19_Расчет_аналитики'!Y618)</f>
        <v/>
      </c>
      <c r="Z619">
        <f>MAX(0,'19_Расчет_аналитики'!Z616-'19_Расчет_аналитики'!Z617-'19_Расчет_аналитики'!Z618)</f>
        <v/>
      </c>
      <c r="AA619">
        <f>MAX(0,'19_Расчет_аналитики'!AA616-'19_Расчет_аналитики'!AA617-'19_Расчет_аналитики'!AA618)</f>
        <v/>
      </c>
      <c r="AB619">
        <f>MAX(0,'19_Расчет_аналитики'!AB616-'19_Расчет_аналитики'!AB617-'19_Расчет_аналитики'!AB618)</f>
        <v/>
      </c>
      <c r="AC619">
        <f>MAX(0,'19_Расчет_аналитики'!AC616-'19_Расчет_аналитики'!AC617-'19_Расчет_аналитики'!AC618)</f>
        <v/>
      </c>
      <c r="AD619">
        <f>MAX(0,'19_Расчет_аналитики'!AD616-'19_Расчет_аналитики'!AD617-'19_Расчет_аналитики'!AD618)</f>
        <v/>
      </c>
      <c r="AE619">
        <f>MAX(0,'19_Расчет_аналитики'!AE616-'19_Расчет_аналитики'!AE617-'19_Расчет_аналитики'!AE618)</f>
        <v/>
      </c>
      <c r="AF619">
        <f>MAX(0,'19_Расчет_аналитики'!AF616-'19_Расчет_аналитики'!AF617-'19_Расчет_аналитики'!AF618)</f>
        <v/>
      </c>
      <c r="AG619">
        <f>MAX(0,'19_Расчет_аналитики'!AG616-'19_Расчет_аналитики'!AG617-'19_Расчет_аналитики'!AG618)</f>
        <v/>
      </c>
      <c r="AH619">
        <f>MAX(0,'19_Расчет_аналитики'!AH616-'19_Расчет_аналитики'!AH617-'19_Расчет_аналитики'!AH618)</f>
        <v/>
      </c>
      <c r="AI619">
        <f>MAX(0,'19_Расчет_аналитики'!AI616-'19_Расчет_аналитики'!AI617-'19_Расчет_аналитики'!AI618)</f>
        <v/>
      </c>
      <c r="AJ619">
        <f>MAX(0,'19_Расчет_аналитики'!AJ616-'19_Расчет_аналитики'!AJ617-'19_Расчет_аналитики'!AJ618)</f>
        <v/>
      </c>
      <c r="AK619">
        <f>MAX(0,'19_Расчет_аналитики'!AK616-'19_Расчет_аналитики'!AK617-'19_Расчет_аналитики'!AK618)</f>
        <v/>
      </c>
      <c r="AL619">
        <f>MAX(0,'19_Расчет_аналитики'!AL616-'19_Расчет_аналитики'!AL617-'19_Расчет_аналитики'!AL618)</f>
        <v/>
      </c>
      <c r="AM619">
        <f>MAX(0,'19_Расчет_аналитики'!AM616-'19_Расчет_аналитики'!AM617-'19_Расчет_аналитики'!AM618)</f>
        <v/>
      </c>
      <c r="AN619">
        <f>MAX(0,'19_Расчет_аналитики'!AN616-'19_Расчет_аналитики'!AN617-'19_Расчет_аналитики'!AN618)</f>
        <v/>
      </c>
      <c r="AO619">
        <f>MAX(0,'19_Расчет_аналитики'!AO616-'19_Расчет_аналитики'!AO617-'19_Расчет_аналитики'!AO618)</f>
        <v/>
      </c>
      <c r="AP619">
        <f>MAX(0,'19_Расчет_аналитики'!AP616-'19_Расчет_аналитики'!AP617-'19_Расчет_аналитики'!AP618)</f>
        <v/>
      </c>
      <c r="AQ619">
        <f>MAX(0,'19_Расчет_аналитики'!AQ616-'19_Расчет_аналитики'!AQ617-'19_Расчет_аналитики'!AQ618)</f>
        <v/>
      </c>
      <c r="AR619">
        <f>MAX(0,'19_Расчет_аналитики'!AR616-'19_Расчет_аналитики'!AR617-'19_Расчет_аналитики'!AR618)</f>
        <v/>
      </c>
      <c r="AS619">
        <f>MAX(0,'19_Расчет_аналитики'!AS616-'19_Расчет_аналитики'!AS617-'19_Расчет_аналитики'!AS618)</f>
        <v/>
      </c>
      <c r="AT619">
        <f>MAX(0,'19_Расчет_аналитики'!AT616-'19_Расчет_аналитики'!AT617-'19_Расчет_аналитики'!AT618)</f>
        <v/>
      </c>
      <c r="AU619">
        <f>MAX(0,'19_Расчет_аналитики'!AU616-'19_Расчет_аналитики'!AU617-'19_Расчет_аналитики'!AU618)</f>
        <v/>
      </c>
      <c r="AV619">
        <f>MAX(0,'19_Расчет_аналитики'!AV616-'19_Расчет_аналитики'!AV617-'19_Расчет_аналитики'!AV618)</f>
        <v/>
      </c>
      <c r="AW619">
        <f>MAX(0,'19_Расчет_аналитики'!AW616-'19_Расчет_аналитики'!AW617-'19_Расчет_аналитики'!AW618)</f>
        <v/>
      </c>
      <c r="AX619">
        <f>MAX(0,'19_Расчет_аналитики'!AX616-'19_Расчет_аналитики'!AX617-'19_Расчет_аналитики'!AX618)</f>
        <v/>
      </c>
      <c r="AY619">
        <f>MAX(0,'19_Расчет_аналитики'!AY616-'19_Расчет_аналитики'!AY617-'19_Расчет_аналитики'!AY618)</f>
        <v/>
      </c>
      <c r="AZ619">
        <f>MAX(0,'19_Расчет_аналитики'!AZ616-'19_Расчет_аналитики'!AZ617-'19_Расчет_аналитики'!AZ618)</f>
        <v/>
      </c>
      <c r="BA619">
        <f>MAX(0,'19_Расчет_аналитики'!BA616-'19_Расчет_аналитики'!BA617-'19_Расчет_аналитики'!BA618)</f>
        <v/>
      </c>
      <c r="BB619">
        <f>MAX(0,'19_Расчет_аналитики'!BB616-'19_Расчет_аналитики'!BB617-'19_Расчет_аналитики'!BB618)</f>
        <v/>
      </c>
      <c r="BC619">
        <f>MAX(0,'19_Расчет_аналитики'!BC616-'19_Расчет_аналитики'!BC617-'19_Расчет_аналитики'!BC618)</f>
        <v/>
      </c>
      <c r="BD619">
        <f>MAX(0,'19_Расчет_аналитики'!BD616-'19_Расчет_аналитики'!BD617-'19_Расчет_аналитики'!BD618)</f>
        <v/>
      </c>
      <c r="BE619">
        <f>MAX(0,'19_Расчет_аналитики'!BE616-'19_Расчет_аналитики'!BE617-'19_Расчет_аналитики'!BE618)</f>
        <v/>
      </c>
      <c r="BF619">
        <f>MAX(0,'19_Расчет_аналитики'!BF616-'19_Расчет_аналитики'!BF617-'19_Расчет_аналитики'!BF618)</f>
        <v/>
      </c>
      <c r="BG619">
        <f>MAX(0,'19_Расчет_аналитики'!BG616-'19_Расчет_аналитики'!BG617-'19_Расчет_аналитики'!BG618)</f>
        <v/>
      </c>
      <c r="BH619">
        <f>MAX(0,'19_Расчет_аналитики'!BH616-'19_Расчет_аналитики'!BH617-'19_Расчет_аналитики'!BH618)</f>
        <v/>
      </c>
      <c r="BI619">
        <f>MAX(0,'19_Расчет_аналитики'!BI616-'19_Расчет_аналитики'!BI617-'19_Расчет_аналитики'!BI618)</f>
        <v/>
      </c>
      <c r="BJ619">
        <f>MAX(0,'19_Расчет_аналитики'!BJ616-'19_Расчет_аналитики'!BJ617-'19_Расчет_аналитики'!BJ618)</f>
        <v/>
      </c>
      <c r="BK619">
        <f>MAX(0,'19_Расчет_аналитики'!BK616-'19_Расчет_аналитики'!BK617-'19_Расчет_аналитики'!BK618)</f>
        <v/>
      </c>
      <c r="BL619">
        <f>MAX(0,'19_Расчет_аналитики'!BL616-'19_Расчет_аналитики'!BL617-'19_Расчет_аналитики'!BL618)</f>
        <v/>
      </c>
      <c r="BM619">
        <f>MAX(0,'19_Расчет_аналитики'!BM616-'19_Расчет_аналитики'!BM617-'19_Расчет_аналитики'!BM618)</f>
        <v/>
      </c>
      <c r="BN619">
        <f>MAX(0,'19_Расчет_аналитики'!BN616-'19_Расчет_аналитики'!BN617-'19_Расчет_аналитики'!BN618)</f>
        <v/>
      </c>
      <c r="BO619">
        <f>MAX(0,'19_Расчет_аналитики'!BO616-'19_Расчет_аналитики'!BO617-'19_Расчет_аналитики'!BO618)</f>
        <v/>
      </c>
    </row>
    <row r="620">
      <c r="B620">
        <f>'19_Расчет_аналитики'!B619*'01_Вводные'!$B$76</f>
        <v/>
      </c>
      <c r="C620">
        <f>'19_Расчет_аналитики'!C619*'01_Вводные'!$B$76</f>
        <v/>
      </c>
      <c r="D620">
        <f>'19_Расчет_аналитики'!D619*'01_Вводные'!$B$76</f>
        <v/>
      </c>
      <c r="E620">
        <f>'19_Расчет_аналитики'!E619*'01_Вводные'!$B$76</f>
        <v/>
      </c>
      <c r="F620">
        <f>'19_Расчет_аналитики'!F619*'01_Вводные'!$B$76</f>
        <v/>
      </c>
      <c r="G620">
        <f>'19_Расчет_аналитики'!G619*'01_Вводные'!$B$76</f>
        <v/>
      </c>
      <c r="H620">
        <f>'19_Расчет_аналитики'!H619*'01_Вводные'!$B$76</f>
        <v/>
      </c>
      <c r="I620">
        <f>'19_Расчет_аналитики'!I619*'01_Вводные'!$B$76</f>
        <v/>
      </c>
      <c r="J620">
        <f>'19_Расчет_аналитики'!J619*'01_Вводные'!$B$76</f>
        <v/>
      </c>
      <c r="K620">
        <f>'19_Расчет_аналитики'!K619*'01_Вводные'!$B$76</f>
        <v/>
      </c>
      <c r="L620">
        <f>'19_Расчет_аналитики'!L619*'01_Вводные'!$B$76</f>
        <v/>
      </c>
      <c r="M620">
        <f>'19_Расчет_аналитики'!M619*'01_Вводные'!$B$76</f>
        <v/>
      </c>
      <c r="N620">
        <f>'19_Расчет_аналитики'!N619*'01_Вводные'!$B$76</f>
        <v/>
      </c>
      <c r="O620">
        <f>'19_Расчет_аналитики'!O619*'01_Вводные'!$B$76</f>
        <v/>
      </c>
      <c r="P620">
        <f>'19_Расчет_аналитики'!P619*'01_Вводные'!$B$76</f>
        <v/>
      </c>
      <c r="Q620">
        <f>'19_Расчет_аналитики'!Q619*'01_Вводные'!$B$76</f>
        <v/>
      </c>
      <c r="R620">
        <f>'19_Расчет_аналитики'!R619*'01_Вводные'!$B$76</f>
        <v/>
      </c>
      <c r="S620">
        <f>'19_Расчет_аналитики'!S619*'01_Вводные'!$B$76</f>
        <v/>
      </c>
      <c r="T620">
        <f>'19_Расчет_аналитики'!T619*'01_Вводные'!$B$76</f>
        <v/>
      </c>
      <c r="U620">
        <f>'19_Расчет_аналитики'!U619*'01_Вводные'!$B$76</f>
        <v/>
      </c>
      <c r="V620">
        <f>'19_Расчет_аналитики'!V619*'01_Вводные'!$B$76</f>
        <v/>
      </c>
      <c r="W620">
        <f>'19_Расчет_аналитики'!W619*'01_Вводные'!$B$76</f>
        <v/>
      </c>
      <c r="X620">
        <f>'19_Расчет_аналитики'!X619*'01_Вводные'!$B$76</f>
        <v/>
      </c>
      <c r="Y620">
        <f>'19_Расчет_аналитики'!Y619*'01_Вводные'!$B$76</f>
        <v/>
      </c>
      <c r="Z620">
        <f>'19_Расчет_аналитики'!Z619*'01_Вводные'!$B$76</f>
        <v/>
      </c>
      <c r="AA620">
        <f>'19_Расчет_аналитики'!AA619*'01_Вводные'!$B$76</f>
        <v/>
      </c>
      <c r="AB620">
        <f>'19_Расчет_аналитики'!AB619*'01_Вводные'!$B$76</f>
        <v/>
      </c>
      <c r="AC620">
        <f>'19_Расчет_аналитики'!AC619*'01_Вводные'!$B$76</f>
        <v/>
      </c>
      <c r="AD620">
        <f>'19_Расчет_аналитики'!AD619*'01_Вводные'!$B$76</f>
        <v/>
      </c>
      <c r="AE620">
        <f>'19_Расчет_аналитики'!AE619*'01_Вводные'!$B$76</f>
        <v/>
      </c>
      <c r="AF620">
        <f>'19_Расчет_аналитики'!AF619*'01_Вводные'!$B$76</f>
        <v/>
      </c>
      <c r="AG620">
        <f>'19_Расчет_аналитики'!AG619*'01_Вводные'!$B$76</f>
        <v/>
      </c>
      <c r="AH620">
        <f>'19_Расчет_аналитики'!AH619*'01_Вводные'!$B$76</f>
        <v/>
      </c>
      <c r="AI620">
        <f>'19_Расчет_аналитики'!AI619*'01_Вводные'!$B$76</f>
        <v/>
      </c>
      <c r="AJ620">
        <f>'19_Расчет_аналитики'!AJ619*'01_Вводные'!$B$76</f>
        <v/>
      </c>
      <c r="AK620">
        <f>'19_Расчет_аналитики'!AK619*'01_Вводные'!$B$76</f>
        <v/>
      </c>
      <c r="AL620">
        <f>'19_Расчет_аналитики'!AL619*'01_Вводные'!$B$76</f>
        <v/>
      </c>
      <c r="AM620">
        <f>'19_Расчет_аналитики'!AM619*'01_Вводные'!$B$76</f>
        <v/>
      </c>
      <c r="AN620">
        <f>'19_Расчет_аналитики'!AN619*'01_Вводные'!$B$76</f>
        <v/>
      </c>
      <c r="AO620">
        <f>'19_Расчет_аналитики'!AO619*'01_Вводные'!$B$76</f>
        <v/>
      </c>
      <c r="AP620">
        <f>'19_Расчет_аналитики'!AP619*'01_Вводные'!$B$76</f>
        <v/>
      </c>
      <c r="AQ620">
        <f>'19_Расчет_аналитики'!AQ619*'01_Вводные'!$B$76</f>
        <v/>
      </c>
      <c r="AR620">
        <f>'19_Расчет_аналитики'!AR619*'01_Вводные'!$B$76</f>
        <v/>
      </c>
      <c r="AS620">
        <f>'19_Расчет_аналитики'!AS619*'01_Вводные'!$B$76</f>
        <v/>
      </c>
      <c r="AT620">
        <f>'19_Расчет_аналитики'!AT619*'01_Вводные'!$B$76</f>
        <v/>
      </c>
      <c r="AU620">
        <f>'19_Расчет_аналитики'!AU619*'01_Вводные'!$B$76</f>
        <v/>
      </c>
      <c r="AV620">
        <f>'19_Расчет_аналитики'!AV619*'01_Вводные'!$B$76</f>
        <v/>
      </c>
      <c r="AW620">
        <f>'19_Расчет_аналитики'!AW619*'01_Вводные'!$B$76</f>
        <v/>
      </c>
      <c r="AX620">
        <f>'19_Расчет_аналитики'!AX619*'01_Вводные'!$B$76</f>
        <v/>
      </c>
      <c r="AY620">
        <f>'19_Расчет_аналитики'!AY619*'01_Вводные'!$B$76</f>
        <v/>
      </c>
      <c r="AZ620">
        <f>'19_Расчет_аналитики'!AZ619*'01_Вводные'!$B$76</f>
        <v/>
      </c>
      <c r="BA620">
        <f>'19_Расчет_аналитики'!BA619*'01_Вводные'!$B$76</f>
        <v/>
      </c>
      <c r="BB620">
        <f>'19_Расчет_аналитики'!BB619*'01_Вводные'!$B$76</f>
        <v/>
      </c>
      <c r="BC620">
        <f>'19_Расчет_аналитики'!BC619*'01_Вводные'!$B$76</f>
        <v/>
      </c>
      <c r="BD620">
        <f>'19_Расчет_аналитики'!BD619*'01_Вводные'!$B$76</f>
        <v/>
      </c>
      <c r="BE620">
        <f>'19_Расчет_аналитики'!BE619*'01_Вводные'!$B$76</f>
        <v/>
      </c>
      <c r="BF620">
        <f>'19_Расчет_аналитики'!BF619*'01_Вводные'!$B$76</f>
        <v/>
      </c>
      <c r="BG620">
        <f>'19_Расчет_аналитики'!BG619*'01_Вводные'!$B$76</f>
        <v/>
      </c>
      <c r="BH620">
        <f>'19_Расчет_аналитики'!BH619*'01_Вводные'!$B$76</f>
        <v/>
      </c>
      <c r="BI620">
        <f>'19_Расчет_аналитики'!BI619*'01_Вводные'!$B$76</f>
        <v/>
      </c>
      <c r="BJ620">
        <f>'19_Расчет_аналитики'!BJ619*'01_Вводные'!$B$76</f>
        <v/>
      </c>
      <c r="BK620">
        <f>'19_Расчет_аналитики'!BK619*'01_Вводные'!$B$76</f>
        <v/>
      </c>
      <c r="BL620">
        <f>'19_Расчет_аналитики'!BL619*'01_Вводные'!$B$76</f>
        <v/>
      </c>
      <c r="BM620">
        <f>'19_Расчет_аналитики'!BM619*'01_Вводные'!$B$76</f>
        <v/>
      </c>
      <c r="BN620">
        <f>'19_Расчет_аналитики'!BN619*'01_Вводные'!$B$76</f>
        <v/>
      </c>
      <c r="BO620">
        <f>'19_Расчет_аналитики'!BO619*'01_Вводные'!$B$76</f>
        <v/>
      </c>
    </row>
    <row r="621"/>
    <row r="622"/>
    <row r="623">
      <c r="C623">
        <f>'19_Расчет_аналитики'!B627</f>
        <v/>
      </c>
      <c r="D623">
        <f>'19_Расчет_аналитики'!C627</f>
        <v/>
      </c>
      <c r="E623">
        <f>'19_Расчет_аналитики'!D627</f>
        <v/>
      </c>
      <c r="F623">
        <f>'19_Расчет_аналитики'!E627</f>
        <v/>
      </c>
      <c r="G623">
        <f>'19_Расчет_аналитики'!F627</f>
        <v/>
      </c>
      <c r="H623">
        <f>'19_Расчет_аналитики'!G627</f>
        <v/>
      </c>
      <c r="I623">
        <f>'19_Расчет_аналитики'!H627</f>
        <v/>
      </c>
      <c r="J623">
        <f>'19_Расчет_аналитики'!I627</f>
        <v/>
      </c>
      <c r="K623">
        <f>'19_Расчет_аналитики'!J627</f>
        <v/>
      </c>
      <c r="L623">
        <f>'19_Расчет_аналитики'!K627</f>
        <v/>
      </c>
      <c r="M623">
        <f>'19_Расчет_аналитики'!L627</f>
        <v/>
      </c>
      <c r="N623">
        <f>'19_Расчет_аналитики'!M627</f>
        <v/>
      </c>
      <c r="O623">
        <f>'19_Расчет_аналитики'!N627</f>
        <v/>
      </c>
      <c r="P623">
        <f>'19_Расчет_аналитики'!O627</f>
        <v/>
      </c>
      <c r="Q623">
        <f>'19_Расчет_аналитики'!P627</f>
        <v/>
      </c>
      <c r="R623">
        <f>'19_Расчет_аналитики'!Q627</f>
        <v/>
      </c>
      <c r="S623">
        <f>'19_Расчет_аналитики'!R627</f>
        <v/>
      </c>
      <c r="T623">
        <f>'19_Расчет_аналитики'!S627</f>
        <v/>
      </c>
      <c r="U623">
        <f>'19_Расчет_аналитики'!T627</f>
        <v/>
      </c>
      <c r="V623">
        <f>'19_Расчет_аналитики'!U627</f>
        <v/>
      </c>
      <c r="W623">
        <f>'19_Расчет_аналитики'!V627</f>
        <v/>
      </c>
      <c r="X623">
        <f>'19_Расчет_аналитики'!W627</f>
        <v/>
      </c>
      <c r="Y623">
        <f>'19_Расчет_аналитики'!X627</f>
        <v/>
      </c>
      <c r="Z623">
        <f>'19_Расчет_аналитики'!Y627</f>
        <v/>
      </c>
      <c r="AA623">
        <f>'19_Расчет_аналитики'!Z627</f>
        <v/>
      </c>
      <c r="AB623">
        <f>'19_Расчет_аналитики'!AA627</f>
        <v/>
      </c>
      <c r="AC623">
        <f>'19_Расчет_аналитики'!AB627</f>
        <v/>
      </c>
      <c r="AD623">
        <f>'19_Расчет_аналитики'!AC627</f>
        <v/>
      </c>
      <c r="AE623">
        <f>'19_Расчет_аналитики'!AD627</f>
        <v/>
      </c>
      <c r="AF623">
        <f>'19_Расчет_аналитики'!AE627</f>
        <v/>
      </c>
      <c r="AG623">
        <f>'19_Расчет_аналитики'!AF627</f>
        <v/>
      </c>
      <c r="AH623">
        <f>'19_Расчет_аналитики'!AG627</f>
        <v/>
      </c>
      <c r="AI623">
        <f>'19_Расчет_аналитики'!AH627</f>
        <v/>
      </c>
      <c r="AJ623">
        <f>'19_Расчет_аналитики'!AI627</f>
        <v/>
      </c>
      <c r="AK623">
        <f>'19_Расчет_аналитики'!AJ627</f>
        <v/>
      </c>
      <c r="AL623">
        <f>'19_Расчет_аналитики'!AK627</f>
        <v/>
      </c>
      <c r="AM623">
        <f>'19_Расчет_аналитики'!AL627</f>
        <v/>
      </c>
      <c r="AN623">
        <f>'19_Расчет_аналитики'!AM627</f>
        <v/>
      </c>
      <c r="AO623">
        <f>'19_Расчет_аналитики'!AN627</f>
        <v/>
      </c>
      <c r="AP623">
        <f>'19_Расчет_аналитики'!AO627</f>
        <v/>
      </c>
      <c r="AQ623">
        <f>'19_Расчет_аналитики'!AP627</f>
        <v/>
      </c>
      <c r="AR623">
        <f>'19_Расчет_аналитики'!AQ627</f>
        <v/>
      </c>
      <c r="AS623">
        <f>'19_Расчет_аналитики'!AR627</f>
        <v/>
      </c>
      <c r="AT623">
        <f>'19_Расчет_аналитики'!AS627</f>
        <v/>
      </c>
      <c r="AU623">
        <f>'19_Расчет_аналитики'!AT627</f>
        <v/>
      </c>
      <c r="AV623">
        <f>'19_Расчет_аналитики'!AU627</f>
        <v/>
      </c>
      <c r="AW623">
        <f>'19_Расчет_аналитики'!AV627</f>
        <v/>
      </c>
      <c r="AX623">
        <f>'19_Расчет_аналитики'!AW627</f>
        <v/>
      </c>
      <c r="AY623">
        <f>'19_Расчет_аналитики'!AX627</f>
        <v/>
      </c>
      <c r="AZ623">
        <f>'19_Расчет_аналитики'!AY627</f>
        <v/>
      </c>
      <c r="BA623">
        <f>'19_Расчет_аналитики'!AZ627</f>
        <v/>
      </c>
      <c r="BB623">
        <f>'19_Расчет_аналитики'!BA627</f>
        <v/>
      </c>
      <c r="BC623">
        <f>'19_Расчет_аналитики'!BB627</f>
        <v/>
      </c>
      <c r="BD623">
        <f>'19_Расчет_аналитики'!BC627</f>
        <v/>
      </c>
      <c r="BE623">
        <f>'19_Расчет_аналитики'!BD627</f>
        <v/>
      </c>
      <c r="BF623">
        <f>'19_Расчет_аналитики'!BE627</f>
        <v/>
      </c>
      <c r="BG623">
        <f>'19_Расчет_аналитики'!BF627</f>
        <v/>
      </c>
      <c r="BH623">
        <f>'19_Расчет_аналитики'!BG627</f>
        <v/>
      </c>
      <c r="BI623">
        <f>'19_Расчет_аналитики'!BH627</f>
        <v/>
      </c>
      <c r="BJ623">
        <f>'19_Расчет_аналитики'!BI627</f>
        <v/>
      </c>
      <c r="BK623">
        <f>'19_Расчет_аналитики'!BJ627</f>
        <v/>
      </c>
      <c r="BL623">
        <f>'19_Расчет_аналитики'!BK627</f>
        <v/>
      </c>
      <c r="BM623">
        <f>'19_Расчет_аналитики'!BL627</f>
        <v/>
      </c>
      <c r="BN623">
        <f>'19_Расчет_аналитики'!BM627</f>
        <v/>
      </c>
      <c r="BO623">
        <f>'19_Расчет_аналитики'!BN627</f>
        <v/>
      </c>
    </row>
    <row r="624">
      <c r="B624">
        <f>'19_Расчет_аналитики'!B617</f>
        <v/>
      </c>
      <c r="C624">
        <f>'19_Расчет_аналитики'!C617</f>
        <v/>
      </c>
      <c r="D624">
        <f>'19_Расчет_аналитики'!D617</f>
        <v/>
      </c>
      <c r="E624">
        <f>'19_Расчет_аналитики'!E617</f>
        <v/>
      </c>
      <c r="F624">
        <f>'19_Расчет_аналитики'!F617</f>
        <v/>
      </c>
      <c r="G624">
        <f>'19_Расчет_аналитики'!G617</f>
        <v/>
      </c>
      <c r="H624">
        <f>'19_Расчет_аналитики'!H617</f>
        <v/>
      </c>
      <c r="I624">
        <f>'19_Расчет_аналитики'!I617</f>
        <v/>
      </c>
      <c r="J624">
        <f>'19_Расчет_аналитики'!J617</f>
        <v/>
      </c>
      <c r="K624">
        <f>'19_Расчет_аналитики'!K617</f>
        <v/>
      </c>
      <c r="L624">
        <f>'19_Расчет_аналитики'!L617</f>
        <v/>
      </c>
      <c r="M624">
        <f>'19_Расчет_аналитики'!M617</f>
        <v/>
      </c>
      <c r="N624">
        <f>'19_Расчет_аналитики'!N617</f>
        <v/>
      </c>
      <c r="O624">
        <f>'19_Расчет_аналитики'!O617</f>
        <v/>
      </c>
      <c r="P624">
        <f>'19_Расчет_аналитики'!P617</f>
        <v/>
      </c>
      <c r="Q624">
        <f>'19_Расчет_аналитики'!Q617</f>
        <v/>
      </c>
      <c r="R624">
        <f>'19_Расчет_аналитики'!R617</f>
        <v/>
      </c>
      <c r="S624">
        <f>'19_Расчет_аналитики'!S617</f>
        <v/>
      </c>
      <c r="T624">
        <f>'19_Расчет_аналитики'!T617</f>
        <v/>
      </c>
      <c r="U624">
        <f>'19_Расчет_аналитики'!U617</f>
        <v/>
      </c>
      <c r="V624">
        <f>'19_Расчет_аналитики'!V617</f>
        <v/>
      </c>
      <c r="W624">
        <f>'19_Расчет_аналитики'!W617</f>
        <v/>
      </c>
      <c r="X624">
        <f>'19_Расчет_аналитики'!X617</f>
        <v/>
      </c>
      <c r="Y624">
        <f>'19_Расчет_аналитики'!Y617</f>
        <v/>
      </c>
      <c r="Z624">
        <f>'19_Расчет_аналитики'!Z617</f>
        <v/>
      </c>
      <c r="AA624">
        <f>'19_Расчет_аналитики'!AA617</f>
        <v/>
      </c>
      <c r="AB624">
        <f>'19_Расчет_аналитики'!AB617</f>
        <v/>
      </c>
      <c r="AC624">
        <f>'19_Расчет_аналитики'!AC617</f>
        <v/>
      </c>
      <c r="AD624">
        <f>'19_Расчет_аналитики'!AD617</f>
        <v/>
      </c>
      <c r="AE624">
        <f>'19_Расчет_аналитики'!AE617</f>
        <v/>
      </c>
      <c r="AF624">
        <f>'19_Расчет_аналитики'!AF617</f>
        <v/>
      </c>
      <c r="AG624">
        <f>'19_Расчет_аналитики'!AG617</f>
        <v/>
      </c>
      <c r="AH624">
        <f>'19_Расчет_аналитики'!AH617</f>
        <v/>
      </c>
      <c r="AI624">
        <f>'19_Расчет_аналитики'!AI617</f>
        <v/>
      </c>
      <c r="AJ624">
        <f>'19_Расчет_аналитики'!AJ617</f>
        <v/>
      </c>
      <c r="AK624">
        <f>'19_Расчет_аналитики'!AK617</f>
        <v/>
      </c>
      <c r="AL624">
        <f>'19_Расчет_аналитики'!AL617</f>
        <v/>
      </c>
      <c r="AM624">
        <f>'19_Расчет_аналитики'!AM617</f>
        <v/>
      </c>
      <c r="AN624">
        <f>'19_Расчет_аналитики'!AN617</f>
        <v/>
      </c>
      <c r="AO624">
        <f>'19_Расчет_аналитики'!AO617</f>
        <v/>
      </c>
      <c r="AP624">
        <f>'19_Расчет_аналитики'!AP617</f>
        <v/>
      </c>
      <c r="AQ624">
        <f>'19_Расчет_аналитики'!AQ617</f>
        <v/>
      </c>
      <c r="AR624">
        <f>'19_Расчет_аналитики'!AR617</f>
        <v/>
      </c>
      <c r="AS624">
        <f>'19_Расчет_аналитики'!AS617</f>
        <v/>
      </c>
      <c r="AT624">
        <f>'19_Расчет_аналитики'!AT617</f>
        <v/>
      </c>
      <c r="AU624">
        <f>'19_Расчет_аналитики'!AU617</f>
        <v/>
      </c>
      <c r="AV624">
        <f>'19_Расчет_аналитики'!AV617</f>
        <v/>
      </c>
      <c r="AW624">
        <f>'19_Расчет_аналитики'!AW617</f>
        <v/>
      </c>
      <c r="AX624">
        <f>'19_Расчет_аналитики'!AX617</f>
        <v/>
      </c>
      <c r="AY624">
        <f>'19_Расчет_аналитики'!AY617</f>
        <v/>
      </c>
      <c r="AZ624">
        <f>'19_Расчет_аналитики'!AZ617</f>
        <v/>
      </c>
      <c r="BA624">
        <f>'19_Расчет_аналитики'!BA617</f>
        <v/>
      </c>
      <c r="BB624">
        <f>'19_Расчет_аналитики'!BB617</f>
        <v/>
      </c>
      <c r="BC624">
        <f>'19_Расчет_аналитики'!BC617</f>
        <v/>
      </c>
      <c r="BD624">
        <f>'19_Расчет_аналитики'!BD617</f>
        <v/>
      </c>
      <c r="BE624">
        <f>'19_Расчет_аналитики'!BE617</f>
        <v/>
      </c>
      <c r="BF624">
        <f>'19_Расчет_аналитики'!BF617</f>
        <v/>
      </c>
      <c r="BG624">
        <f>'19_Расчет_аналитики'!BG617</f>
        <v/>
      </c>
      <c r="BH624">
        <f>'19_Расчет_аналитики'!BH617</f>
        <v/>
      </c>
      <c r="BI624">
        <f>'19_Расчет_аналитики'!BI617</f>
        <v/>
      </c>
      <c r="BJ624">
        <f>'19_Расчет_аналитики'!BJ617</f>
        <v/>
      </c>
      <c r="BK624">
        <f>'19_Расчет_аналитики'!BK617</f>
        <v/>
      </c>
      <c r="BL624">
        <f>'19_Расчет_аналитики'!BL617</f>
        <v/>
      </c>
      <c r="BM624">
        <f>'19_Расчет_аналитики'!BM617</f>
        <v/>
      </c>
      <c r="BN624">
        <f>'19_Расчет_аналитики'!BN617</f>
        <v/>
      </c>
      <c r="BO624">
        <f>'19_Расчет_аналитики'!BO617</f>
        <v/>
      </c>
    </row>
    <row r="625">
      <c r="B625">
        <f>SUM(IF('01_Вводные'!$B$80&gt;=1,'19_Расчет_аналитики'!C617,0),IF('01_Вводные'!$B$80&gt;=2,'19_Расчет_аналитики'!D617,0),IF('01_Вводные'!$B$80&gt;=3,'19_Расчет_аналитики'!E617,0),IF('01_Вводные'!$B$80&gt;=4,'19_Расчет_аналитики'!F617,0),IF('01_Вводные'!$B$80&gt;=5,'19_Расчет_аналитики'!G617,0),IF('01_Вводные'!$B$80&gt;=6,'19_Расчет_аналитики'!H617,0))</f>
        <v/>
      </c>
      <c r="C625">
        <f>SUM(IF('01_Вводные'!$B$80&gt;=1,'19_Расчет_аналитики'!D617,0),IF('01_Вводные'!$B$80&gt;=2,'19_Расчет_аналитики'!E617,0),IF('01_Вводные'!$B$80&gt;=3,'19_Расчет_аналитики'!F617,0),IF('01_Вводные'!$B$80&gt;=4,'19_Расчет_аналитики'!G617,0),IF('01_Вводные'!$B$80&gt;=5,'19_Расчет_аналитики'!H617,0),IF('01_Вводные'!$B$80&gt;=6,'19_Расчет_аналитики'!I617,0))</f>
        <v/>
      </c>
      <c r="D625">
        <f>SUM(IF('01_Вводные'!$B$80&gt;=1,'19_Расчет_аналитики'!E617,0),IF('01_Вводные'!$B$80&gt;=2,'19_Расчет_аналитики'!F617,0),IF('01_Вводные'!$B$80&gt;=3,'19_Расчет_аналитики'!G617,0),IF('01_Вводные'!$B$80&gt;=4,'19_Расчет_аналитики'!H617,0),IF('01_Вводные'!$B$80&gt;=5,'19_Расчет_аналитики'!I617,0),IF('01_Вводные'!$B$80&gt;=6,'19_Расчет_аналитики'!J617,0))</f>
        <v/>
      </c>
      <c r="E625">
        <f>SUM(IF('01_Вводные'!$B$80&gt;=1,'19_Расчет_аналитики'!F617,0),IF('01_Вводные'!$B$80&gt;=2,'19_Расчет_аналитики'!G617,0),IF('01_Вводные'!$B$80&gt;=3,'19_Расчет_аналитики'!H617,0),IF('01_Вводные'!$B$80&gt;=4,'19_Расчет_аналитики'!I617,0),IF('01_Вводные'!$B$80&gt;=5,'19_Расчет_аналитики'!J617,0),IF('01_Вводные'!$B$80&gt;=6,'19_Расчет_аналитики'!K617,0))</f>
        <v/>
      </c>
      <c r="F625">
        <f>SUM(IF('01_Вводные'!$B$80&gt;=1,'19_Расчет_аналитики'!G617,0),IF('01_Вводные'!$B$80&gt;=2,'19_Расчет_аналитики'!H617,0),IF('01_Вводные'!$B$80&gt;=3,'19_Расчет_аналитики'!I617,0),IF('01_Вводные'!$B$80&gt;=4,'19_Расчет_аналитики'!J617,0),IF('01_Вводные'!$B$80&gt;=5,'19_Расчет_аналитики'!K617,0),IF('01_Вводные'!$B$80&gt;=6,'19_Расчет_аналитики'!L617,0))</f>
        <v/>
      </c>
      <c r="G625">
        <f>SUM(IF('01_Вводные'!$B$80&gt;=1,'19_Расчет_аналитики'!H617,0),IF('01_Вводные'!$B$80&gt;=2,'19_Расчет_аналитики'!I617,0),IF('01_Вводные'!$B$80&gt;=3,'19_Расчет_аналитики'!J617,0),IF('01_Вводные'!$B$80&gt;=4,'19_Расчет_аналитики'!K617,0),IF('01_Вводные'!$B$80&gt;=5,'19_Расчет_аналитики'!L617,0),IF('01_Вводные'!$B$80&gt;=6,'19_Расчет_аналитики'!M617,0))</f>
        <v/>
      </c>
      <c r="H625">
        <f>SUM(IF('01_Вводные'!$B$80&gt;=1,'19_Расчет_аналитики'!I617,0),IF('01_Вводные'!$B$80&gt;=2,'19_Расчет_аналитики'!J617,0),IF('01_Вводные'!$B$80&gt;=3,'19_Расчет_аналитики'!K617,0),IF('01_Вводные'!$B$80&gt;=4,'19_Расчет_аналитики'!L617,0),IF('01_Вводные'!$B$80&gt;=5,'19_Расчет_аналитики'!M617,0),IF('01_Вводные'!$B$80&gt;=6,'19_Расчет_аналитики'!N617,0))</f>
        <v/>
      </c>
      <c r="I625">
        <f>SUM(IF('01_Вводные'!$B$80&gt;=1,'19_Расчет_аналитики'!J617,0),IF('01_Вводные'!$B$80&gt;=2,'19_Расчет_аналитики'!K617,0),IF('01_Вводные'!$B$80&gt;=3,'19_Расчет_аналитики'!L617,0),IF('01_Вводные'!$B$80&gt;=4,'19_Расчет_аналитики'!M617,0),IF('01_Вводные'!$B$80&gt;=5,'19_Расчет_аналитики'!N617,0),IF('01_Вводные'!$B$80&gt;=6,'19_Расчет_аналитики'!O617,0))</f>
        <v/>
      </c>
      <c r="J625">
        <f>SUM(IF('01_Вводные'!$B$80&gt;=1,'19_Расчет_аналитики'!K617,0),IF('01_Вводные'!$B$80&gt;=2,'19_Расчет_аналитики'!L617,0),IF('01_Вводные'!$B$80&gt;=3,'19_Расчет_аналитики'!M617,0),IF('01_Вводные'!$B$80&gt;=4,'19_Расчет_аналитики'!N617,0),IF('01_Вводные'!$B$80&gt;=5,'19_Расчет_аналитики'!O617,0),IF('01_Вводные'!$B$80&gt;=6,'19_Расчет_аналитики'!P617,0))</f>
        <v/>
      </c>
      <c r="K625">
        <f>SUM(IF('01_Вводные'!$B$80&gt;=1,'19_Расчет_аналитики'!L617,0),IF('01_Вводные'!$B$80&gt;=2,'19_Расчет_аналитики'!M617,0),IF('01_Вводные'!$B$80&gt;=3,'19_Расчет_аналитики'!N617,0),IF('01_Вводные'!$B$80&gt;=4,'19_Расчет_аналитики'!O617,0),IF('01_Вводные'!$B$80&gt;=5,'19_Расчет_аналитики'!P617,0),IF('01_Вводные'!$B$80&gt;=6,'19_Расчет_аналитики'!Q617,0))</f>
        <v/>
      </c>
      <c r="L625">
        <f>SUM(IF('01_Вводные'!$B$80&gt;=1,'19_Расчет_аналитики'!M617,0),IF('01_Вводные'!$B$80&gt;=2,'19_Расчет_аналитики'!N617,0),IF('01_Вводные'!$B$80&gt;=3,'19_Расчет_аналитики'!O617,0),IF('01_Вводные'!$B$80&gt;=4,'19_Расчет_аналитики'!P617,0),IF('01_Вводные'!$B$80&gt;=5,'19_Расчет_аналитики'!Q617,0),IF('01_Вводные'!$B$80&gt;=6,'19_Расчет_аналитики'!R617,0))</f>
        <v/>
      </c>
      <c r="M625">
        <f>SUM(IF('01_Вводные'!$B$80&gt;=1,'19_Расчет_аналитики'!N617,0),IF('01_Вводные'!$B$80&gt;=2,'19_Расчет_аналитики'!O617,0),IF('01_Вводные'!$B$80&gt;=3,'19_Расчет_аналитики'!P617,0),IF('01_Вводные'!$B$80&gt;=4,'19_Расчет_аналитики'!Q617,0),IF('01_Вводные'!$B$80&gt;=5,'19_Расчет_аналитики'!R617,0),IF('01_Вводные'!$B$80&gt;=6,'19_Расчет_аналитики'!S617,0))</f>
        <v/>
      </c>
      <c r="N625">
        <f>SUM(IF('01_Вводные'!$B$80&gt;=1,'19_Расчет_аналитики'!O617,0),IF('01_Вводные'!$B$80&gt;=2,'19_Расчет_аналитики'!P617,0),IF('01_Вводные'!$B$80&gt;=3,'19_Расчет_аналитики'!Q617,0),IF('01_Вводные'!$B$80&gt;=4,'19_Расчет_аналитики'!R617,0),IF('01_Вводные'!$B$80&gt;=5,'19_Расчет_аналитики'!S617,0),IF('01_Вводные'!$B$80&gt;=6,'19_Расчет_аналитики'!T617,0))</f>
        <v/>
      </c>
      <c r="O625">
        <f>SUM(IF('01_Вводные'!$B$80&gt;=1,'19_Расчет_аналитики'!P617,0),IF('01_Вводные'!$B$80&gt;=2,'19_Расчет_аналитики'!Q617,0),IF('01_Вводные'!$B$80&gt;=3,'19_Расчет_аналитики'!R617,0),IF('01_Вводные'!$B$80&gt;=4,'19_Расчет_аналитики'!S617,0),IF('01_Вводные'!$B$80&gt;=5,'19_Расчет_аналитики'!T617,0),IF('01_Вводные'!$B$80&gt;=6,'19_Расчет_аналитики'!U617,0))</f>
        <v/>
      </c>
      <c r="P625">
        <f>SUM(IF('01_Вводные'!$B$80&gt;=1,'19_Расчет_аналитики'!Q617,0),IF('01_Вводные'!$B$80&gt;=2,'19_Расчет_аналитики'!R617,0),IF('01_Вводные'!$B$80&gt;=3,'19_Расчет_аналитики'!S617,0),IF('01_Вводные'!$B$80&gt;=4,'19_Расчет_аналитики'!T617,0),IF('01_Вводные'!$B$80&gt;=5,'19_Расчет_аналитики'!U617,0),IF('01_Вводные'!$B$80&gt;=6,'19_Расчет_аналитики'!V617,0))</f>
        <v/>
      </c>
      <c r="Q625">
        <f>SUM(IF('01_Вводные'!$B$80&gt;=1,'19_Расчет_аналитики'!R617,0),IF('01_Вводные'!$B$80&gt;=2,'19_Расчет_аналитики'!S617,0),IF('01_Вводные'!$B$80&gt;=3,'19_Расчет_аналитики'!T617,0),IF('01_Вводные'!$B$80&gt;=4,'19_Расчет_аналитики'!U617,0),IF('01_Вводные'!$B$80&gt;=5,'19_Расчет_аналитики'!V617,0),IF('01_Вводные'!$B$80&gt;=6,'19_Расчет_аналитики'!W617,0))</f>
        <v/>
      </c>
      <c r="R625">
        <f>SUM(IF('01_Вводные'!$B$80&gt;=1,'19_Расчет_аналитики'!S617,0),IF('01_Вводные'!$B$80&gt;=2,'19_Расчет_аналитики'!T617,0),IF('01_Вводные'!$B$80&gt;=3,'19_Расчет_аналитики'!U617,0),IF('01_Вводные'!$B$80&gt;=4,'19_Расчет_аналитики'!V617,0),IF('01_Вводные'!$B$80&gt;=5,'19_Расчет_аналитики'!W617,0),IF('01_Вводные'!$B$80&gt;=6,'19_Расчет_аналитики'!X617,0))</f>
        <v/>
      </c>
      <c r="S625">
        <f>SUM(IF('01_Вводные'!$B$80&gt;=1,'19_Расчет_аналитики'!T617,0),IF('01_Вводные'!$B$80&gt;=2,'19_Расчет_аналитики'!U617,0),IF('01_Вводные'!$B$80&gt;=3,'19_Расчет_аналитики'!V617,0),IF('01_Вводные'!$B$80&gt;=4,'19_Расчет_аналитики'!W617,0),IF('01_Вводные'!$B$80&gt;=5,'19_Расчет_аналитики'!X617,0),IF('01_Вводные'!$B$80&gt;=6,'19_Расчет_аналитики'!Y617,0))</f>
        <v/>
      </c>
      <c r="T625">
        <f>SUM(IF('01_Вводные'!$B$80&gt;=1,'19_Расчет_аналитики'!U617,0),IF('01_Вводные'!$B$80&gt;=2,'19_Расчет_аналитики'!V617,0),IF('01_Вводные'!$B$80&gt;=3,'19_Расчет_аналитики'!W617,0),IF('01_Вводные'!$B$80&gt;=4,'19_Расчет_аналитики'!X617,0),IF('01_Вводные'!$B$80&gt;=5,'19_Расчет_аналитики'!Y617,0),IF('01_Вводные'!$B$80&gt;=6,'19_Расчет_аналитики'!Z617,0))</f>
        <v/>
      </c>
      <c r="U625">
        <f>SUM(IF('01_Вводные'!$B$80&gt;=1,'19_Расчет_аналитики'!V617,0),IF('01_Вводные'!$B$80&gt;=2,'19_Расчет_аналитики'!W617,0),IF('01_Вводные'!$B$80&gt;=3,'19_Расчет_аналитики'!X617,0),IF('01_Вводные'!$B$80&gt;=4,'19_Расчет_аналитики'!Y617,0),IF('01_Вводные'!$B$80&gt;=5,'19_Расчет_аналитики'!Z617,0),IF('01_Вводные'!$B$80&gt;=6,'19_Расчет_аналитики'!AA617,0))</f>
        <v/>
      </c>
      <c r="V625">
        <f>SUM(IF('01_Вводные'!$B$80&gt;=1,'19_Расчет_аналитики'!W617,0),IF('01_Вводные'!$B$80&gt;=2,'19_Расчет_аналитики'!X617,0),IF('01_Вводные'!$B$80&gt;=3,'19_Расчет_аналитики'!Y617,0),IF('01_Вводные'!$B$80&gt;=4,'19_Расчет_аналитики'!Z617,0),IF('01_Вводные'!$B$80&gt;=5,'19_Расчет_аналитики'!AA617,0),IF('01_Вводные'!$B$80&gt;=6,'19_Расчет_аналитики'!AB617,0))</f>
        <v/>
      </c>
      <c r="W625">
        <f>SUM(IF('01_Вводные'!$B$80&gt;=1,'19_Расчет_аналитики'!X617,0),IF('01_Вводные'!$B$80&gt;=2,'19_Расчет_аналитики'!Y617,0),IF('01_Вводные'!$B$80&gt;=3,'19_Расчет_аналитики'!Z617,0),IF('01_Вводные'!$B$80&gt;=4,'19_Расчет_аналитики'!AA617,0),IF('01_Вводные'!$B$80&gt;=5,'19_Расчет_аналитики'!AB617,0),IF('01_Вводные'!$B$80&gt;=6,'19_Расчет_аналитики'!AC617,0))</f>
        <v/>
      </c>
      <c r="X625">
        <f>SUM(IF('01_Вводные'!$B$80&gt;=1,'19_Расчет_аналитики'!Y617,0),IF('01_Вводные'!$B$80&gt;=2,'19_Расчет_аналитики'!Z617,0),IF('01_Вводные'!$B$80&gt;=3,'19_Расчет_аналитики'!AA617,0),IF('01_Вводные'!$B$80&gt;=4,'19_Расчет_аналитики'!AB617,0),IF('01_Вводные'!$B$80&gt;=5,'19_Расчет_аналитики'!AC617,0),IF('01_Вводные'!$B$80&gt;=6,'19_Расчет_аналитики'!AD617,0))</f>
        <v/>
      </c>
      <c r="Y625">
        <f>SUM(IF('01_Вводные'!$B$80&gt;=1,'19_Расчет_аналитики'!Z617,0),IF('01_Вводные'!$B$80&gt;=2,'19_Расчет_аналитики'!AA617,0),IF('01_Вводные'!$B$80&gt;=3,'19_Расчет_аналитики'!AB617,0),IF('01_Вводные'!$B$80&gt;=4,'19_Расчет_аналитики'!AC617,0),IF('01_Вводные'!$B$80&gt;=5,'19_Расчет_аналитики'!AD617,0),IF('01_Вводные'!$B$80&gt;=6,'19_Расчет_аналитики'!AE617,0))</f>
        <v/>
      </c>
      <c r="Z625">
        <f>SUM(IF('01_Вводные'!$B$80&gt;=1,'19_Расчет_аналитики'!AA617,0),IF('01_Вводные'!$B$80&gt;=2,'19_Расчет_аналитики'!AB617,0),IF('01_Вводные'!$B$80&gt;=3,'19_Расчет_аналитики'!AC617,0),IF('01_Вводные'!$B$80&gt;=4,'19_Расчет_аналитики'!AD617,0),IF('01_Вводные'!$B$80&gt;=5,'19_Расчет_аналитики'!AE617,0),IF('01_Вводные'!$B$80&gt;=6,'19_Расчет_аналитики'!AF617,0))</f>
        <v/>
      </c>
      <c r="AA625">
        <f>SUM(IF('01_Вводные'!$B$80&gt;=1,'19_Расчет_аналитики'!AB617,0),IF('01_Вводные'!$B$80&gt;=2,'19_Расчет_аналитики'!AC617,0),IF('01_Вводные'!$B$80&gt;=3,'19_Расчет_аналитики'!AD617,0),IF('01_Вводные'!$B$80&gt;=4,'19_Расчет_аналитики'!AE617,0),IF('01_Вводные'!$B$80&gt;=5,'19_Расчет_аналитики'!AF617,0),IF('01_Вводные'!$B$80&gt;=6,'19_Расчет_аналитики'!AG617,0))</f>
        <v/>
      </c>
      <c r="AB625">
        <f>SUM(IF('01_Вводные'!$B$80&gt;=1,'19_Расчет_аналитики'!AC617,0),IF('01_Вводные'!$B$80&gt;=2,'19_Расчет_аналитики'!AD617,0),IF('01_Вводные'!$B$80&gt;=3,'19_Расчет_аналитики'!AE617,0),IF('01_Вводные'!$B$80&gt;=4,'19_Расчет_аналитики'!AF617,0),IF('01_Вводные'!$B$80&gt;=5,'19_Расчет_аналитики'!AG617,0),IF('01_Вводные'!$B$80&gt;=6,'19_Расчет_аналитики'!AH617,0))</f>
        <v/>
      </c>
      <c r="AC625">
        <f>SUM(IF('01_Вводные'!$B$80&gt;=1,'19_Расчет_аналитики'!AD617,0),IF('01_Вводные'!$B$80&gt;=2,'19_Расчет_аналитики'!AE617,0),IF('01_Вводные'!$B$80&gt;=3,'19_Расчет_аналитики'!AF617,0),IF('01_Вводные'!$B$80&gt;=4,'19_Расчет_аналитики'!AG617,0),IF('01_Вводные'!$B$80&gt;=5,'19_Расчет_аналитики'!AH617,0),IF('01_Вводные'!$B$80&gt;=6,'19_Расчет_аналитики'!AI617,0))</f>
        <v/>
      </c>
      <c r="AD625">
        <f>SUM(IF('01_Вводные'!$B$80&gt;=1,'19_Расчет_аналитики'!AE617,0),IF('01_Вводные'!$B$80&gt;=2,'19_Расчет_аналитики'!AF617,0),IF('01_Вводные'!$B$80&gt;=3,'19_Расчет_аналитики'!AG617,0),IF('01_Вводные'!$B$80&gt;=4,'19_Расчет_аналитики'!AH617,0),IF('01_Вводные'!$B$80&gt;=5,'19_Расчет_аналитики'!AI617,0),IF('01_Вводные'!$B$80&gt;=6,'19_Расчет_аналитики'!AJ617,0))</f>
        <v/>
      </c>
      <c r="AE625">
        <f>SUM(IF('01_Вводные'!$B$80&gt;=1,'19_Расчет_аналитики'!AF617,0),IF('01_Вводные'!$B$80&gt;=2,'19_Расчет_аналитики'!AG617,0),IF('01_Вводные'!$B$80&gt;=3,'19_Расчет_аналитики'!AH617,0),IF('01_Вводные'!$B$80&gt;=4,'19_Расчет_аналитики'!AI617,0),IF('01_Вводные'!$B$80&gt;=5,'19_Расчет_аналитики'!AJ617,0),IF('01_Вводные'!$B$80&gt;=6,'19_Расчет_аналитики'!AK617,0))</f>
        <v/>
      </c>
      <c r="AF625">
        <f>SUM(IF('01_Вводные'!$B$80&gt;=1,'19_Расчет_аналитики'!AG617,0),IF('01_Вводные'!$B$80&gt;=2,'19_Расчет_аналитики'!AH617,0),IF('01_Вводные'!$B$80&gt;=3,'19_Расчет_аналитики'!AI617,0),IF('01_Вводные'!$B$80&gt;=4,'19_Расчет_аналитики'!AJ617,0),IF('01_Вводные'!$B$80&gt;=5,'19_Расчет_аналитики'!AK617,0),IF('01_Вводные'!$B$80&gt;=6,'19_Расчет_аналитики'!AL617,0))</f>
        <v/>
      </c>
      <c r="AG625">
        <f>SUM(IF('01_Вводные'!$B$80&gt;=1,'19_Расчет_аналитики'!AH617,0),IF('01_Вводные'!$B$80&gt;=2,'19_Расчет_аналитики'!AI617,0),IF('01_Вводные'!$B$80&gt;=3,'19_Расчет_аналитики'!AJ617,0),IF('01_Вводные'!$B$80&gt;=4,'19_Расчет_аналитики'!AK617,0),IF('01_Вводные'!$B$80&gt;=5,'19_Расчет_аналитики'!AL617,0),IF('01_Вводные'!$B$80&gt;=6,'19_Расчет_аналитики'!AM617,0))</f>
        <v/>
      </c>
      <c r="AH625">
        <f>SUM(IF('01_Вводные'!$B$80&gt;=1,'19_Расчет_аналитики'!AI617,0),IF('01_Вводные'!$B$80&gt;=2,'19_Расчет_аналитики'!AJ617,0),IF('01_Вводные'!$B$80&gt;=3,'19_Расчет_аналитики'!AK617,0),IF('01_Вводные'!$B$80&gt;=4,'19_Расчет_аналитики'!AL617,0),IF('01_Вводные'!$B$80&gt;=5,'19_Расчет_аналитики'!AM617,0),IF('01_Вводные'!$B$80&gt;=6,'19_Расчет_аналитики'!AN617,0))</f>
        <v/>
      </c>
      <c r="AI625">
        <f>SUM(IF('01_Вводные'!$B$80&gt;=1,'19_Расчет_аналитики'!AJ617,0),IF('01_Вводные'!$B$80&gt;=2,'19_Расчет_аналитики'!AK617,0),IF('01_Вводные'!$B$80&gt;=3,'19_Расчет_аналитики'!AL617,0),IF('01_Вводные'!$B$80&gt;=4,'19_Расчет_аналитики'!AM617,0),IF('01_Вводные'!$B$80&gt;=5,'19_Расчет_аналитики'!AN617,0),IF('01_Вводные'!$B$80&gt;=6,'19_Расчет_аналитики'!AO617,0))</f>
        <v/>
      </c>
      <c r="AJ625">
        <f>SUM(IF('01_Вводные'!$B$80&gt;=1,'19_Расчет_аналитики'!AK617,0),IF('01_Вводные'!$B$80&gt;=2,'19_Расчет_аналитики'!AL617,0),IF('01_Вводные'!$B$80&gt;=3,'19_Расчет_аналитики'!AM617,0),IF('01_Вводные'!$B$80&gt;=4,'19_Расчет_аналитики'!AN617,0),IF('01_Вводные'!$B$80&gt;=5,'19_Расчет_аналитики'!AO617,0),IF('01_Вводные'!$B$80&gt;=6,'19_Расчет_аналитики'!AP617,0))</f>
        <v/>
      </c>
      <c r="AK625">
        <f>SUM(IF('01_Вводные'!$B$80&gt;=1,'19_Расчет_аналитики'!AL617,0),IF('01_Вводные'!$B$80&gt;=2,'19_Расчет_аналитики'!AM617,0),IF('01_Вводные'!$B$80&gt;=3,'19_Расчет_аналитики'!AN617,0),IF('01_Вводные'!$B$80&gt;=4,'19_Расчет_аналитики'!AO617,0),IF('01_Вводные'!$B$80&gt;=5,'19_Расчет_аналитики'!AP617,0),IF('01_Вводные'!$B$80&gt;=6,'19_Расчет_аналитики'!AQ617,0))</f>
        <v/>
      </c>
      <c r="AL625">
        <f>SUM(IF('01_Вводные'!$B$80&gt;=1,'19_Расчет_аналитики'!AM617,0),IF('01_Вводные'!$B$80&gt;=2,'19_Расчет_аналитики'!AN617,0),IF('01_Вводные'!$B$80&gt;=3,'19_Расчет_аналитики'!AO617,0),IF('01_Вводные'!$B$80&gt;=4,'19_Расчет_аналитики'!AP617,0),IF('01_Вводные'!$B$80&gt;=5,'19_Расчет_аналитики'!AQ617,0),IF('01_Вводные'!$B$80&gt;=6,'19_Расчет_аналитики'!AR617,0))</f>
        <v/>
      </c>
      <c r="AM625">
        <f>SUM(IF('01_Вводные'!$B$80&gt;=1,'19_Расчет_аналитики'!AN617,0),IF('01_Вводные'!$B$80&gt;=2,'19_Расчет_аналитики'!AO617,0),IF('01_Вводные'!$B$80&gt;=3,'19_Расчет_аналитики'!AP617,0),IF('01_Вводные'!$B$80&gt;=4,'19_Расчет_аналитики'!AQ617,0),IF('01_Вводные'!$B$80&gt;=5,'19_Расчет_аналитики'!AR617,0),IF('01_Вводные'!$B$80&gt;=6,'19_Расчет_аналитики'!AS617,0))</f>
        <v/>
      </c>
      <c r="AN625">
        <f>SUM(IF('01_Вводные'!$B$80&gt;=1,'19_Расчет_аналитики'!AO617,0),IF('01_Вводные'!$B$80&gt;=2,'19_Расчет_аналитики'!AP617,0),IF('01_Вводные'!$B$80&gt;=3,'19_Расчет_аналитики'!AQ617,0),IF('01_Вводные'!$B$80&gt;=4,'19_Расчет_аналитики'!AR617,0),IF('01_Вводные'!$B$80&gt;=5,'19_Расчет_аналитики'!AS617,0),IF('01_Вводные'!$B$80&gt;=6,'19_Расчет_аналитики'!AT617,0))</f>
        <v/>
      </c>
      <c r="AO625">
        <f>SUM(IF('01_Вводные'!$B$80&gt;=1,'19_Расчет_аналитики'!AP617,0),IF('01_Вводные'!$B$80&gt;=2,'19_Расчет_аналитики'!AQ617,0),IF('01_Вводные'!$B$80&gt;=3,'19_Расчет_аналитики'!AR617,0),IF('01_Вводные'!$B$80&gt;=4,'19_Расчет_аналитики'!AS617,0),IF('01_Вводные'!$B$80&gt;=5,'19_Расчет_аналитики'!AT617,0),IF('01_Вводные'!$B$80&gt;=6,'19_Расчет_аналитики'!AU617,0))</f>
        <v/>
      </c>
      <c r="AP625">
        <f>SUM(IF('01_Вводные'!$B$80&gt;=1,'19_Расчет_аналитики'!AQ617,0),IF('01_Вводные'!$B$80&gt;=2,'19_Расчет_аналитики'!AR617,0),IF('01_Вводные'!$B$80&gt;=3,'19_Расчет_аналитики'!AS617,0),IF('01_Вводные'!$B$80&gt;=4,'19_Расчет_аналитики'!AT617,0),IF('01_Вводные'!$B$80&gt;=5,'19_Расчет_аналитики'!AU617,0),IF('01_Вводные'!$B$80&gt;=6,'19_Расчет_аналитики'!AV617,0))</f>
        <v/>
      </c>
      <c r="AQ625">
        <f>SUM(IF('01_Вводные'!$B$80&gt;=1,'19_Расчет_аналитики'!AR617,0),IF('01_Вводные'!$B$80&gt;=2,'19_Расчет_аналитики'!AS617,0),IF('01_Вводные'!$B$80&gt;=3,'19_Расчет_аналитики'!AT617,0),IF('01_Вводные'!$B$80&gt;=4,'19_Расчет_аналитики'!AU617,0),IF('01_Вводные'!$B$80&gt;=5,'19_Расчет_аналитики'!AV617,0),IF('01_Вводные'!$B$80&gt;=6,'19_Расчет_аналитики'!AW617,0))</f>
        <v/>
      </c>
      <c r="AR625">
        <f>SUM(IF('01_Вводные'!$B$80&gt;=1,'19_Расчет_аналитики'!AS617,0),IF('01_Вводные'!$B$80&gt;=2,'19_Расчет_аналитики'!AT617,0),IF('01_Вводные'!$B$80&gt;=3,'19_Расчет_аналитики'!AU617,0),IF('01_Вводные'!$B$80&gt;=4,'19_Расчет_аналитики'!AV617,0),IF('01_Вводные'!$B$80&gt;=5,'19_Расчет_аналитики'!AW617,0),IF('01_Вводные'!$B$80&gt;=6,'19_Расчет_аналитики'!AX617,0))</f>
        <v/>
      </c>
      <c r="AS625">
        <f>SUM(IF('01_Вводные'!$B$80&gt;=1,'19_Расчет_аналитики'!AT617,0),IF('01_Вводные'!$B$80&gt;=2,'19_Расчет_аналитики'!AU617,0),IF('01_Вводные'!$B$80&gt;=3,'19_Расчет_аналитики'!AV617,0),IF('01_Вводные'!$B$80&gt;=4,'19_Расчет_аналитики'!AW617,0),IF('01_Вводные'!$B$80&gt;=5,'19_Расчет_аналитики'!AX617,0),IF('01_Вводные'!$B$80&gt;=6,'19_Расчет_аналитики'!AY617,0))</f>
        <v/>
      </c>
      <c r="AT625">
        <f>SUM(IF('01_Вводные'!$B$80&gt;=1,'19_Расчет_аналитики'!AU617,0),IF('01_Вводные'!$B$80&gt;=2,'19_Расчет_аналитики'!AV617,0),IF('01_Вводные'!$B$80&gt;=3,'19_Расчет_аналитики'!AW617,0),IF('01_Вводные'!$B$80&gt;=4,'19_Расчет_аналитики'!AX617,0),IF('01_Вводные'!$B$80&gt;=5,'19_Расчет_аналитики'!AY617,0),IF('01_Вводные'!$B$80&gt;=6,'19_Расчет_аналитики'!AZ617,0))</f>
        <v/>
      </c>
      <c r="AU625">
        <f>SUM(IF('01_Вводные'!$B$80&gt;=1,'19_Расчет_аналитики'!AV617,0),IF('01_Вводные'!$B$80&gt;=2,'19_Расчет_аналитики'!AW617,0),IF('01_Вводные'!$B$80&gt;=3,'19_Расчет_аналитики'!AX617,0),IF('01_Вводные'!$B$80&gt;=4,'19_Расчет_аналитики'!AY617,0),IF('01_Вводные'!$B$80&gt;=5,'19_Расчет_аналитики'!AZ617,0),IF('01_Вводные'!$B$80&gt;=6,'19_Расчет_аналитики'!BA617,0))</f>
        <v/>
      </c>
      <c r="AV625">
        <f>SUM(IF('01_Вводные'!$B$80&gt;=1,'19_Расчет_аналитики'!AW617,0),IF('01_Вводные'!$B$80&gt;=2,'19_Расчет_аналитики'!AX617,0),IF('01_Вводные'!$B$80&gt;=3,'19_Расчет_аналитики'!AY617,0),IF('01_Вводные'!$B$80&gt;=4,'19_Расчет_аналитики'!AZ617,0),IF('01_Вводные'!$B$80&gt;=5,'19_Расчет_аналитики'!BA617,0),IF('01_Вводные'!$B$80&gt;=6,'19_Расчет_аналитики'!BB617,0))</f>
        <v/>
      </c>
      <c r="AW625">
        <f>SUM(IF('01_Вводные'!$B$80&gt;=1,'19_Расчет_аналитики'!AX617,0),IF('01_Вводные'!$B$80&gt;=2,'19_Расчет_аналитики'!AY617,0),IF('01_Вводные'!$B$80&gt;=3,'19_Расчет_аналитики'!AZ617,0),IF('01_Вводные'!$B$80&gt;=4,'19_Расчет_аналитики'!BA617,0),IF('01_Вводные'!$B$80&gt;=5,'19_Расчет_аналитики'!BB617,0),IF('01_Вводные'!$B$80&gt;=6,'19_Расчет_аналитики'!BC617,0))</f>
        <v/>
      </c>
      <c r="AX625">
        <f>SUM(IF('01_Вводные'!$B$80&gt;=1,'19_Расчет_аналитики'!AY617,0),IF('01_Вводные'!$B$80&gt;=2,'19_Расчет_аналитики'!AZ617,0),IF('01_Вводные'!$B$80&gt;=3,'19_Расчет_аналитики'!BA617,0),IF('01_Вводные'!$B$80&gt;=4,'19_Расчет_аналитики'!BB617,0),IF('01_Вводные'!$B$80&gt;=5,'19_Расчет_аналитики'!BC617,0),IF('01_Вводные'!$B$80&gt;=6,'19_Расчет_аналитики'!BD617,0))</f>
        <v/>
      </c>
      <c r="AY625">
        <f>SUM(IF('01_Вводные'!$B$80&gt;=1,'19_Расчет_аналитики'!AZ617,0),IF('01_Вводные'!$B$80&gt;=2,'19_Расчет_аналитики'!BA617,0),IF('01_Вводные'!$B$80&gt;=3,'19_Расчет_аналитики'!BB617,0),IF('01_Вводные'!$B$80&gt;=4,'19_Расчет_аналитики'!BC617,0),IF('01_Вводные'!$B$80&gt;=5,'19_Расчет_аналитики'!BD617,0),IF('01_Вводные'!$B$80&gt;=6,'19_Расчет_аналитики'!BE617,0))</f>
        <v/>
      </c>
      <c r="AZ625">
        <f>SUM(IF('01_Вводные'!$B$80&gt;=1,'19_Расчет_аналитики'!BA617,0),IF('01_Вводные'!$B$80&gt;=2,'19_Расчет_аналитики'!BB617,0),IF('01_Вводные'!$B$80&gt;=3,'19_Расчет_аналитики'!BC617,0),IF('01_Вводные'!$B$80&gt;=4,'19_Расчет_аналитики'!BD617,0),IF('01_Вводные'!$B$80&gt;=5,'19_Расчет_аналитики'!BE617,0),IF('01_Вводные'!$B$80&gt;=6,'19_Расчет_аналитики'!BF617,0))</f>
        <v/>
      </c>
      <c r="BA625">
        <f>SUM(IF('01_Вводные'!$B$80&gt;=1,'19_Расчет_аналитики'!BB617,0),IF('01_Вводные'!$B$80&gt;=2,'19_Расчет_аналитики'!BC617,0),IF('01_Вводные'!$B$80&gt;=3,'19_Расчет_аналитики'!BD617,0),IF('01_Вводные'!$B$80&gt;=4,'19_Расчет_аналитики'!BE617,0),IF('01_Вводные'!$B$80&gt;=5,'19_Расчет_аналитики'!BF617,0),IF('01_Вводные'!$B$80&gt;=6,'19_Расчет_аналитики'!BG617,0))</f>
        <v/>
      </c>
      <c r="BB625">
        <f>SUM(IF('01_Вводные'!$B$80&gt;=1,'19_Расчет_аналитики'!BC617,0),IF('01_Вводные'!$B$80&gt;=2,'19_Расчет_аналитики'!BD617,0),IF('01_Вводные'!$B$80&gt;=3,'19_Расчет_аналитики'!BE617,0),IF('01_Вводные'!$B$80&gt;=4,'19_Расчет_аналитики'!BF617,0),IF('01_Вводные'!$B$80&gt;=5,'19_Расчет_аналитики'!BG617,0),IF('01_Вводные'!$B$80&gt;=6,'19_Расчет_аналитики'!BH617,0))</f>
        <v/>
      </c>
      <c r="BC625">
        <f>SUM(IF('01_Вводные'!$B$80&gt;=1,'19_Расчет_аналитики'!BD617,0),IF('01_Вводные'!$B$80&gt;=2,'19_Расчет_аналитики'!BE617,0),IF('01_Вводные'!$B$80&gt;=3,'19_Расчет_аналитики'!BF617,0),IF('01_Вводные'!$B$80&gt;=4,'19_Расчет_аналитики'!BG617,0),IF('01_Вводные'!$B$80&gt;=5,'19_Расчет_аналитики'!BH617,0),IF('01_Вводные'!$B$80&gt;=6,'19_Расчет_аналитики'!BI617,0))</f>
        <v/>
      </c>
      <c r="BD625">
        <f>SUM(IF('01_Вводные'!$B$80&gt;=1,'19_Расчет_аналитики'!BE617,0),IF('01_Вводные'!$B$80&gt;=2,'19_Расчет_аналитики'!BF617,0),IF('01_Вводные'!$B$80&gt;=3,'19_Расчет_аналитики'!BG617,0),IF('01_Вводные'!$B$80&gt;=4,'19_Расчет_аналитики'!BH617,0),IF('01_Вводные'!$B$80&gt;=5,'19_Расчет_аналитики'!BI617,0),IF('01_Вводные'!$B$80&gt;=6,'19_Расчет_аналитики'!BJ617,0))</f>
        <v/>
      </c>
      <c r="BE625">
        <f>SUM(IF('01_Вводные'!$B$80&gt;=1,'19_Расчет_аналитики'!BF617,0),IF('01_Вводные'!$B$80&gt;=2,'19_Расчет_аналитики'!BG617,0),IF('01_Вводные'!$B$80&gt;=3,'19_Расчет_аналитики'!BH617,0),IF('01_Вводные'!$B$80&gt;=4,'19_Расчет_аналитики'!BI617,0),IF('01_Вводные'!$B$80&gt;=5,'19_Расчет_аналитики'!BJ617,0),IF('01_Вводные'!$B$80&gt;=6,'19_Расчет_аналитики'!BK617,0))</f>
        <v/>
      </c>
      <c r="BF625">
        <f>SUM(IF('01_Вводные'!$B$80&gt;=1,'19_Расчет_аналитики'!BG617,0),IF('01_Вводные'!$B$80&gt;=2,'19_Расчет_аналитики'!BH617,0),IF('01_Вводные'!$B$80&gt;=3,'19_Расчет_аналитики'!BI617,0),IF('01_Вводные'!$B$80&gt;=4,'19_Расчет_аналитики'!BJ617,0),IF('01_Вводные'!$B$80&gt;=5,'19_Расчет_аналитики'!BK617,0),IF('01_Вводные'!$B$80&gt;=6,'19_Расчет_аналитики'!BL617,0))</f>
        <v/>
      </c>
      <c r="BG625">
        <f>SUM(IF('01_Вводные'!$B$80&gt;=1,'19_Расчет_аналитики'!BH617,0),IF('01_Вводные'!$B$80&gt;=2,'19_Расчет_аналитики'!BI617,0),IF('01_Вводные'!$B$80&gt;=3,'19_Расчет_аналитики'!BJ617,0),IF('01_Вводные'!$B$80&gt;=4,'19_Расчет_аналитики'!BK617,0),IF('01_Вводные'!$B$80&gt;=5,'19_Расчет_аналитики'!BL617,0),IF('01_Вводные'!$B$80&gt;=6,'19_Расчет_аналитики'!BM617,0))</f>
        <v/>
      </c>
      <c r="BH625">
        <f>SUM(IF('01_Вводные'!$B$80&gt;=1,'19_Расчет_аналитики'!BI617,0),IF('01_Вводные'!$B$80&gt;=2,'19_Расчет_аналитики'!BJ617,0),IF('01_Вводные'!$B$80&gt;=3,'19_Расчет_аналитики'!BK617,0),IF('01_Вводные'!$B$80&gt;=4,'19_Расчет_аналитики'!BL617,0),IF('01_Вводные'!$B$80&gt;=5,'19_Расчет_аналитики'!BM617,0),IF('01_Вводные'!$B$80&gt;=6,'19_Расчет_аналитики'!BN617,0))</f>
        <v/>
      </c>
      <c r="BI625">
        <f>SUM(IF('01_Вводные'!$B$80&gt;=1,'19_Расчет_аналитики'!BJ617,0),IF('01_Вводные'!$B$80&gt;=2,'19_Расчет_аналитики'!BK617,0),IF('01_Вводные'!$B$80&gt;=3,'19_Расчет_аналитики'!BL617,0),IF('01_Вводные'!$B$80&gt;=4,'19_Расчет_аналитики'!BM617,0),IF('01_Вводные'!$B$80&gt;=5,'19_Расчет_аналитики'!BN617,0),IF('01_Вводные'!$B$80&gt;=6,'19_Расчет_аналитики'!BO617,0))</f>
        <v/>
      </c>
    </row>
    <row r="626">
      <c r="B626">
        <f>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625-('07_Мерч'!B22-'19_Расчет_аналитики'!B624)),0)</f>
        <v/>
      </c>
      <c r="C626">
        <f>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625-('19_Расчет_аналитики'!C623-'19_Расчет_аналитики'!C624)),0)</f>
        <v/>
      </c>
      <c r="D626">
        <f>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625-('19_Расчет_аналитики'!D623-'19_Расчет_аналитики'!D624)),0)</f>
        <v/>
      </c>
      <c r="E626">
        <f>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625-('19_Расчет_аналитики'!E623-'19_Расчет_аналитики'!E624)),0)</f>
        <v/>
      </c>
      <c r="F626">
        <f>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625-('19_Расчет_аналитики'!F623-'19_Расчет_аналитики'!F624)),0)</f>
        <v/>
      </c>
      <c r="G626">
        <f>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625-('19_Расчет_аналитики'!G623-'19_Расчет_аналитики'!G624)),0)</f>
        <v/>
      </c>
      <c r="H626">
        <f>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625-('19_Расчет_аналитики'!H623-'19_Расчет_аналитики'!H624)),0)</f>
        <v/>
      </c>
      <c r="I626">
        <f>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625-('19_Расчет_аналитики'!I623-'19_Расчет_аналитики'!I624)),0)</f>
        <v/>
      </c>
      <c r="J626">
        <f>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625-('19_Расчет_аналитики'!J623-'19_Расчет_аналитики'!J624)),0)</f>
        <v/>
      </c>
      <c r="K626">
        <f>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625-('19_Расчет_аналитики'!K623-'19_Расчет_аналитики'!K624)),0)</f>
        <v/>
      </c>
      <c r="L626">
        <f>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625-('19_Расчет_аналитики'!L623-'19_Расчет_аналитики'!L624)),0)</f>
        <v/>
      </c>
      <c r="M626">
        <f>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625-('19_Расчет_аналитики'!M623-'19_Расчет_аналитики'!M624)),0)</f>
        <v/>
      </c>
      <c r="N626">
        <f>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625-('19_Расчет_аналитики'!N623-'19_Расчет_аналитики'!N624)),0)</f>
        <v/>
      </c>
      <c r="O626">
        <f>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625-('19_Расчет_аналитики'!O623-'19_Расчет_аналитики'!O624)),0)</f>
        <v/>
      </c>
      <c r="P626">
        <f>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625-('19_Расчет_аналитики'!P623-'19_Расчет_аналитики'!P624)),0)</f>
        <v/>
      </c>
      <c r="Q626">
        <f>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625-('19_Расчет_аналитики'!Q623-'19_Расчет_аналитики'!Q624)),0)</f>
        <v/>
      </c>
      <c r="R626">
        <f>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625-('19_Расчет_аналитики'!R623-'19_Расчет_аналитики'!R624)),0)</f>
        <v/>
      </c>
      <c r="S626">
        <f>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625-('19_Расчет_аналитики'!S623-'19_Расчет_аналитики'!S624)),0)</f>
        <v/>
      </c>
      <c r="T626">
        <f>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625-('19_Расчет_аналитики'!T623-'19_Расчет_аналитики'!T624)),0)</f>
        <v/>
      </c>
      <c r="U626">
        <f>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625-('19_Расчет_аналитики'!U623-'19_Расчет_аналитики'!U624)),0)</f>
        <v/>
      </c>
      <c r="V626">
        <f>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625-('19_Расчет_аналитики'!V623-'19_Расчет_аналитики'!V624)),0)</f>
        <v/>
      </c>
      <c r="W626">
        <f>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625-('19_Расчет_аналитики'!W623-'19_Расчет_аналитики'!W624)),0)</f>
        <v/>
      </c>
      <c r="X626">
        <f>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625-('19_Расчет_аналитики'!X623-'19_Расчет_аналитики'!X624)),0)</f>
        <v/>
      </c>
      <c r="Y626">
        <f>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625-('19_Расчет_аналитики'!Y623-'19_Расчет_аналитики'!Y624)),0)</f>
        <v/>
      </c>
      <c r="Z626">
        <f>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625-('19_Расчет_аналитики'!Z623-'19_Расчет_аналитики'!Z624)),0)</f>
        <v/>
      </c>
      <c r="AA626">
        <f>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625-('19_Расчет_аналитики'!AA623-'19_Расчет_аналитики'!AA624)),0)</f>
        <v/>
      </c>
      <c r="AB626">
        <f>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625-('19_Расчет_аналитики'!AB623-'19_Расчет_аналитики'!AB624)),0)</f>
        <v/>
      </c>
      <c r="AC626">
        <f>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625-('19_Расчет_аналитики'!AC623-'19_Расчет_аналитики'!AC624)),0)</f>
        <v/>
      </c>
      <c r="AD626">
        <f>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625-('19_Расчет_аналитики'!AD623-'19_Расчет_аналитики'!AD624)),0)</f>
        <v/>
      </c>
      <c r="AE626">
        <f>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625-('19_Расчет_аналитики'!AE623-'19_Расчет_аналитики'!AE624)),0)</f>
        <v/>
      </c>
      <c r="AF626">
        <f>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625-('19_Расчет_аналитики'!AF623-'19_Расчет_аналитики'!AF624)),0)</f>
        <v/>
      </c>
      <c r="AG626">
        <f>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625-('19_Расчет_аналитики'!AG623-'19_Расчет_аналитики'!AG624)),0)</f>
        <v/>
      </c>
      <c r="AH626">
        <f>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625-('19_Расчет_аналитики'!AH623-'19_Расчет_аналитики'!AH624)),0)</f>
        <v/>
      </c>
      <c r="AI626">
        <f>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625-('19_Расчет_аналитики'!AI623-'19_Расчет_аналитики'!AI624)),0)</f>
        <v/>
      </c>
      <c r="AJ626">
        <f>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625-('19_Расчет_аналитики'!AJ623-'19_Расчет_аналитики'!AJ624)),0)</f>
        <v/>
      </c>
      <c r="AK626">
        <f>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625-('19_Расчет_аналитики'!AK623-'19_Расчет_аналитики'!AK624)),0)</f>
        <v/>
      </c>
      <c r="AL626">
        <f>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625-('19_Расчет_аналитики'!AL623-'19_Расчет_аналитики'!AL624)),0)</f>
        <v/>
      </c>
      <c r="AM626">
        <f>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625-('19_Расчет_аналитики'!AM623-'19_Расчет_аналитики'!AM624)),0)</f>
        <v/>
      </c>
      <c r="AN626">
        <f>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625-('19_Расчет_аналитики'!AN623-'19_Расчет_аналитики'!AN624)),0)</f>
        <v/>
      </c>
      <c r="AO626">
        <f>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625-('19_Расчет_аналитики'!AO623-'19_Расчет_аналитики'!AO624)),0)</f>
        <v/>
      </c>
      <c r="AP626">
        <f>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625-('19_Расчет_аналитики'!AP623-'19_Расчет_аналитики'!AP624)),0)</f>
        <v/>
      </c>
      <c r="AQ626">
        <f>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625-('19_Расчет_аналитики'!AQ623-'19_Расчет_аналитики'!AQ624)),0)</f>
        <v/>
      </c>
      <c r="AR626">
        <f>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625-('19_Расчет_аналитики'!AR623-'19_Расчет_аналитики'!AR624)),0)</f>
        <v/>
      </c>
      <c r="AS626">
        <f>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625-('19_Расчет_аналитики'!AS623-'19_Расчет_аналитики'!AS624)),0)</f>
        <v/>
      </c>
      <c r="AT626">
        <f>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625-('19_Расчет_аналитики'!AT623-'19_Расчет_аналитики'!AT624)),0)</f>
        <v/>
      </c>
      <c r="AU626">
        <f>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625-('19_Расчет_аналитики'!AU623-'19_Расчет_аналитики'!AU624)),0)</f>
        <v/>
      </c>
      <c r="AV626">
        <f>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625-('19_Расчет_аналитики'!AV623-'19_Расчет_аналитики'!AV624)),0)</f>
        <v/>
      </c>
      <c r="AW626">
        <f>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625-('19_Расчет_аналитики'!AW623-'19_Расчет_аналитики'!AW624)),0)</f>
        <v/>
      </c>
      <c r="AX626">
        <f>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625-('19_Расчет_аналитики'!AX623-'19_Расчет_аналитики'!AX624)),0)</f>
        <v/>
      </c>
      <c r="AY626">
        <f>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625-('19_Расчет_аналитики'!AY623-'19_Расчет_аналитики'!AY624)),0)</f>
        <v/>
      </c>
      <c r="AZ626">
        <f>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625-('19_Расчет_аналитики'!AZ623-'19_Расчет_аналитики'!AZ624)),0)</f>
        <v/>
      </c>
      <c r="BA626">
        <f>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625-('19_Расчет_аналитики'!BA623-'19_Расчет_аналитики'!BA624)),0)</f>
        <v/>
      </c>
      <c r="BB626">
        <f>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625-('19_Расчет_аналитики'!BB623-'19_Расчет_аналитики'!BB624)),0)</f>
        <v/>
      </c>
      <c r="BC626">
        <f>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625-('19_Расчет_аналитики'!BC623-'19_Расчет_аналитики'!BC624)),0)</f>
        <v/>
      </c>
      <c r="BD626">
        <f>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625-('19_Расчет_аналитики'!BD623-'19_Расчет_аналитики'!BD624)),0)</f>
        <v/>
      </c>
      <c r="BE626">
        <f>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625-('19_Расчет_аналитики'!BE623-'19_Расчет_аналитики'!BE624)),0)</f>
        <v/>
      </c>
      <c r="BF626">
        <f>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625-('19_Расчет_аналитики'!BF623-'19_Расчет_аналитики'!BF624)),0)</f>
        <v/>
      </c>
      <c r="BG626">
        <f>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625-('19_Расчет_аналитики'!BG623-'19_Расчет_аналитики'!BG624)),0)</f>
        <v/>
      </c>
      <c r="BH626">
        <f>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625-('19_Расчет_аналитики'!BH623-'19_Расчет_аналитики'!BH624)),0)</f>
        <v/>
      </c>
      <c r="BI626">
        <f>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625-('19_Расчет_аналитики'!BI623-'19_Расчет_аналитики'!BI624)),0)</f>
        <v/>
      </c>
      <c r="BJ626">
        <f>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623-'19_Расчет_аналитики'!BJ624)),0)</f>
        <v/>
      </c>
      <c r="BK626">
        <f>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623-'19_Расчет_аналитики'!BK624)),0)</f>
        <v/>
      </c>
      <c r="BL626">
        <f>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623-'19_Расчет_аналитики'!BL624)),0)</f>
        <v/>
      </c>
      <c r="BM626">
        <f>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623-'19_Расчет_аналитики'!BM624)),0)</f>
        <v/>
      </c>
      <c r="BN626">
        <f>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623-'19_Расчет_аналитики'!BN624)),0)</f>
        <v/>
      </c>
      <c r="BO626">
        <f>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623-'19_Расчет_аналитики'!BO624)),0)</f>
        <v/>
      </c>
    </row>
    <row r="627">
      <c r="B627">
        <f>'07_Мерч'!B22+'19_Расчет_аналитики'!B626-'19_Расчет_аналитики'!B624</f>
        <v/>
      </c>
      <c r="C627">
        <f>'19_Расчет_аналитики'!C623+'19_Расчет_аналитики'!C626-'19_Расчет_аналитики'!C624</f>
        <v/>
      </c>
      <c r="D627">
        <f>'19_Расчет_аналитики'!D623+'19_Расчет_аналитики'!D626-'19_Расчет_аналитики'!D624</f>
        <v/>
      </c>
      <c r="E627">
        <f>'19_Расчет_аналитики'!E623+'19_Расчет_аналитики'!E626-'19_Расчет_аналитики'!E624</f>
        <v/>
      </c>
      <c r="F627">
        <f>'19_Расчет_аналитики'!F623+'19_Расчет_аналитики'!F626-'19_Расчет_аналитики'!F624</f>
        <v/>
      </c>
      <c r="G627">
        <f>'19_Расчет_аналитики'!G623+'19_Расчет_аналитики'!G626-'19_Расчет_аналитики'!G624</f>
        <v/>
      </c>
      <c r="H627">
        <f>'19_Расчет_аналитики'!H623+'19_Расчет_аналитики'!H626-'19_Расчет_аналитики'!H624</f>
        <v/>
      </c>
      <c r="I627">
        <f>'19_Расчет_аналитики'!I623+'19_Расчет_аналитики'!I626-'19_Расчет_аналитики'!I624</f>
        <v/>
      </c>
      <c r="J627">
        <f>'19_Расчет_аналитики'!J623+'19_Расчет_аналитики'!J626-'19_Расчет_аналитики'!J624</f>
        <v/>
      </c>
      <c r="K627">
        <f>'19_Расчет_аналитики'!K623+'19_Расчет_аналитики'!K626-'19_Расчет_аналитики'!K624</f>
        <v/>
      </c>
      <c r="L627">
        <f>'19_Расчет_аналитики'!L623+'19_Расчет_аналитики'!L626-'19_Расчет_аналитики'!L624</f>
        <v/>
      </c>
      <c r="M627">
        <f>'19_Расчет_аналитики'!M623+'19_Расчет_аналитики'!M626-'19_Расчет_аналитики'!M624</f>
        <v/>
      </c>
      <c r="N627">
        <f>'19_Расчет_аналитики'!N623+'19_Расчет_аналитики'!N626-'19_Расчет_аналитики'!N624</f>
        <v/>
      </c>
      <c r="O627">
        <f>'19_Расчет_аналитики'!O623+'19_Расчет_аналитики'!O626-'19_Расчет_аналитики'!O624</f>
        <v/>
      </c>
      <c r="P627">
        <f>'19_Расчет_аналитики'!P623+'19_Расчет_аналитики'!P626-'19_Расчет_аналитики'!P624</f>
        <v/>
      </c>
      <c r="Q627">
        <f>'19_Расчет_аналитики'!Q623+'19_Расчет_аналитики'!Q626-'19_Расчет_аналитики'!Q624</f>
        <v/>
      </c>
      <c r="R627">
        <f>'19_Расчет_аналитики'!R623+'19_Расчет_аналитики'!R626-'19_Расчет_аналитики'!R624</f>
        <v/>
      </c>
      <c r="S627">
        <f>'19_Расчет_аналитики'!S623+'19_Расчет_аналитики'!S626-'19_Расчет_аналитики'!S624</f>
        <v/>
      </c>
      <c r="T627">
        <f>'19_Расчет_аналитики'!T623+'19_Расчет_аналитики'!T626-'19_Расчет_аналитики'!T624</f>
        <v/>
      </c>
      <c r="U627">
        <f>'19_Расчет_аналитики'!U623+'19_Расчет_аналитики'!U626-'19_Расчет_аналитики'!U624</f>
        <v/>
      </c>
      <c r="V627">
        <f>'19_Расчет_аналитики'!V623+'19_Расчет_аналитики'!V626-'19_Расчет_аналитики'!V624</f>
        <v/>
      </c>
      <c r="W627">
        <f>'19_Расчет_аналитики'!W623+'19_Расчет_аналитики'!W626-'19_Расчет_аналитики'!W624</f>
        <v/>
      </c>
      <c r="X627">
        <f>'19_Расчет_аналитики'!X623+'19_Расчет_аналитики'!X626-'19_Расчет_аналитики'!X624</f>
        <v/>
      </c>
      <c r="Y627">
        <f>'19_Расчет_аналитики'!Y623+'19_Расчет_аналитики'!Y626-'19_Расчет_аналитики'!Y624</f>
        <v/>
      </c>
      <c r="Z627">
        <f>'19_Расчет_аналитики'!Z623+'19_Расчет_аналитики'!Z626-'19_Расчет_аналитики'!Z624</f>
        <v/>
      </c>
      <c r="AA627">
        <f>'19_Расчет_аналитики'!AA623+'19_Расчет_аналитики'!AA626-'19_Расчет_аналитики'!AA624</f>
        <v/>
      </c>
      <c r="AB627">
        <f>'19_Расчет_аналитики'!AB623+'19_Расчет_аналитики'!AB626-'19_Расчет_аналитики'!AB624</f>
        <v/>
      </c>
      <c r="AC627">
        <f>'19_Расчет_аналитики'!AC623+'19_Расчет_аналитики'!AC626-'19_Расчет_аналитики'!AC624</f>
        <v/>
      </c>
      <c r="AD627">
        <f>'19_Расчет_аналитики'!AD623+'19_Расчет_аналитики'!AD626-'19_Расчет_аналитики'!AD624</f>
        <v/>
      </c>
      <c r="AE627">
        <f>'19_Расчет_аналитики'!AE623+'19_Расчет_аналитики'!AE626-'19_Расчет_аналитики'!AE624</f>
        <v/>
      </c>
      <c r="AF627">
        <f>'19_Расчет_аналитики'!AF623+'19_Расчет_аналитики'!AF626-'19_Расчет_аналитики'!AF624</f>
        <v/>
      </c>
      <c r="AG627">
        <f>'19_Расчет_аналитики'!AG623+'19_Расчет_аналитики'!AG626-'19_Расчет_аналитики'!AG624</f>
        <v/>
      </c>
      <c r="AH627">
        <f>'19_Расчет_аналитики'!AH623+'19_Расчет_аналитики'!AH626-'19_Расчет_аналитики'!AH624</f>
        <v/>
      </c>
      <c r="AI627">
        <f>'19_Расчет_аналитики'!AI623+'19_Расчет_аналитики'!AI626-'19_Расчет_аналитики'!AI624</f>
        <v/>
      </c>
      <c r="AJ627">
        <f>'19_Расчет_аналитики'!AJ623+'19_Расчет_аналитики'!AJ626-'19_Расчет_аналитики'!AJ624</f>
        <v/>
      </c>
      <c r="AK627">
        <f>'19_Расчет_аналитики'!AK623+'19_Расчет_аналитики'!AK626-'19_Расчет_аналитики'!AK624</f>
        <v/>
      </c>
      <c r="AL627">
        <f>'19_Расчет_аналитики'!AL623+'19_Расчет_аналитики'!AL626-'19_Расчет_аналитики'!AL624</f>
        <v/>
      </c>
      <c r="AM627">
        <f>'19_Расчет_аналитики'!AM623+'19_Расчет_аналитики'!AM626-'19_Расчет_аналитики'!AM624</f>
        <v/>
      </c>
      <c r="AN627">
        <f>'19_Расчет_аналитики'!AN623+'19_Расчет_аналитики'!AN626-'19_Расчет_аналитики'!AN624</f>
        <v/>
      </c>
      <c r="AO627">
        <f>'19_Расчет_аналитики'!AO623+'19_Расчет_аналитики'!AO626-'19_Расчет_аналитики'!AO624</f>
        <v/>
      </c>
      <c r="AP627">
        <f>'19_Расчет_аналитики'!AP623+'19_Расчет_аналитики'!AP626-'19_Расчет_аналитики'!AP624</f>
        <v/>
      </c>
      <c r="AQ627">
        <f>'19_Расчет_аналитики'!AQ623+'19_Расчет_аналитики'!AQ626-'19_Расчет_аналитики'!AQ624</f>
        <v/>
      </c>
      <c r="AR627">
        <f>'19_Расчет_аналитики'!AR623+'19_Расчет_аналитики'!AR626-'19_Расчет_аналитики'!AR624</f>
        <v/>
      </c>
      <c r="AS627">
        <f>'19_Расчет_аналитики'!AS623+'19_Расчет_аналитики'!AS626-'19_Расчет_аналитики'!AS624</f>
        <v/>
      </c>
      <c r="AT627">
        <f>'19_Расчет_аналитики'!AT623+'19_Расчет_аналитики'!AT626-'19_Расчет_аналитики'!AT624</f>
        <v/>
      </c>
      <c r="AU627">
        <f>'19_Расчет_аналитики'!AU623+'19_Расчет_аналитики'!AU626-'19_Расчет_аналитики'!AU624</f>
        <v/>
      </c>
      <c r="AV627">
        <f>'19_Расчет_аналитики'!AV623+'19_Расчет_аналитики'!AV626-'19_Расчет_аналитики'!AV624</f>
        <v/>
      </c>
      <c r="AW627">
        <f>'19_Расчет_аналитики'!AW623+'19_Расчет_аналитики'!AW626-'19_Расчет_аналитики'!AW624</f>
        <v/>
      </c>
      <c r="AX627">
        <f>'19_Расчет_аналитики'!AX623+'19_Расчет_аналитики'!AX626-'19_Расчет_аналитики'!AX624</f>
        <v/>
      </c>
      <c r="AY627">
        <f>'19_Расчет_аналитики'!AY623+'19_Расчет_аналитики'!AY626-'19_Расчет_аналитики'!AY624</f>
        <v/>
      </c>
      <c r="AZ627">
        <f>'19_Расчет_аналитики'!AZ623+'19_Расчет_аналитики'!AZ626-'19_Расчет_аналитики'!AZ624</f>
        <v/>
      </c>
      <c r="BA627">
        <f>'19_Расчет_аналитики'!BA623+'19_Расчет_аналитики'!BA626-'19_Расчет_аналитики'!BA624</f>
        <v/>
      </c>
      <c r="BB627">
        <f>'19_Расчет_аналитики'!BB623+'19_Расчет_аналитики'!BB626-'19_Расчет_аналитики'!BB624</f>
        <v/>
      </c>
      <c r="BC627">
        <f>'19_Расчет_аналитики'!BC623+'19_Расчет_аналитики'!BC626-'19_Расчет_аналитики'!BC624</f>
        <v/>
      </c>
      <c r="BD627">
        <f>'19_Расчет_аналитики'!BD623+'19_Расчет_аналитики'!BD626-'19_Расчет_аналитики'!BD624</f>
        <v/>
      </c>
      <c r="BE627">
        <f>'19_Расчет_аналитики'!BE623+'19_Расчет_аналитики'!BE626-'19_Расчет_аналитики'!BE624</f>
        <v/>
      </c>
      <c r="BF627">
        <f>'19_Расчет_аналитики'!BF623+'19_Расчет_аналитики'!BF626-'19_Расчет_аналитики'!BF624</f>
        <v/>
      </c>
      <c r="BG627">
        <f>'19_Расчет_аналитики'!BG623+'19_Расчет_аналитики'!BG626-'19_Расчет_аналитики'!BG624</f>
        <v/>
      </c>
      <c r="BH627">
        <f>'19_Расчет_аналитики'!BH623+'19_Расчет_аналитики'!BH626-'19_Расчет_аналитики'!BH624</f>
        <v/>
      </c>
      <c r="BI627">
        <f>'19_Расчет_аналитики'!BI623+'19_Расчет_аналитики'!BI626-'19_Расчет_аналитики'!BI624</f>
        <v/>
      </c>
      <c r="BJ627">
        <f>'19_Расчет_аналитики'!BJ623+'19_Расчет_аналитики'!BJ626-'19_Расчет_аналитики'!BJ624</f>
        <v/>
      </c>
      <c r="BK627">
        <f>'19_Расчет_аналитики'!BK623+'19_Расчет_аналитики'!BK626-'19_Расчет_аналитики'!BK624</f>
        <v/>
      </c>
      <c r="BL627">
        <f>'19_Расчет_аналитики'!BL623+'19_Расчет_аналитики'!BL626-'19_Расчет_аналитики'!BL624</f>
        <v/>
      </c>
      <c r="BM627">
        <f>'19_Расчет_аналитики'!BM623+'19_Расчет_аналитики'!BM626-'19_Расчет_аналитики'!BM624</f>
        <v/>
      </c>
      <c r="BN627">
        <f>'19_Расчет_аналитики'!BN623+'19_Расчет_аналитики'!BN626-'19_Расчет_аналитики'!BN624</f>
        <v/>
      </c>
      <c r="BO627">
        <f>'19_Расчет_аналитики'!BO623+'19_Расчет_аналитики'!BO626-'19_Расчет_аналитики'!BO624</f>
        <v/>
      </c>
    </row>
    <row r="628">
      <c r="B628">
        <f>MAX(0,-'19_Расчет_аналитики'!B627)</f>
        <v/>
      </c>
      <c r="C628">
        <f>MAX(0,-'19_Расчет_аналитики'!C627)</f>
        <v/>
      </c>
      <c r="D628">
        <f>MAX(0,-'19_Расчет_аналитики'!D627)</f>
        <v/>
      </c>
      <c r="E628">
        <f>MAX(0,-'19_Расчет_аналитики'!E627)</f>
        <v/>
      </c>
      <c r="F628">
        <f>MAX(0,-'19_Расчет_аналитики'!F627)</f>
        <v/>
      </c>
      <c r="G628">
        <f>MAX(0,-'19_Расчет_аналитики'!G627)</f>
        <v/>
      </c>
      <c r="H628">
        <f>MAX(0,-'19_Расчет_аналитики'!H627)</f>
        <v/>
      </c>
      <c r="I628">
        <f>MAX(0,-'19_Расчет_аналитики'!I627)</f>
        <v/>
      </c>
      <c r="J628">
        <f>MAX(0,-'19_Расчет_аналитики'!J627)</f>
        <v/>
      </c>
      <c r="K628">
        <f>MAX(0,-'19_Расчет_аналитики'!K627)</f>
        <v/>
      </c>
      <c r="L628">
        <f>MAX(0,-'19_Расчет_аналитики'!L627)</f>
        <v/>
      </c>
      <c r="M628">
        <f>MAX(0,-'19_Расчет_аналитики'!M627)</f>
        <v/>
      </c>
      <c r="N628">
        <f>MAX(0,-'19_Расчет_аналитики'!N627)</f>
        <v/>
      </c>
      <c r="O628">
        <f>MAX(0,-'19_Расчет_аналитики'!O627)</f>
        <v/>
      </c>
      <c r="P628">
        <f>MAX(0,-'19_Расчет_аналитики'!P627)</f>
        <v/>
      </c>
      <c r="Q628">
        <f>MAX(0,-'19_Расчет_аналитики'!Q627)</f>
        <v/>
      </c>
      <c r="R628">
        <f>MAX(0,-'19_Расчет_аналитики'!R627)</f>
        <v/>
      </c>
      <c r="S628">
        <f>MAX(0,-'19_Расчет_аналитики'!S627)</f>
        <v/>
      </c>
      <c r="T628">
        <f>MAX(0,-'19_Расчет_аналитики'!T627)</f>
        <v/>
      </c>
      <c r="U628">
        <f>MAX(0,-'19_Расчет_аналитики'!U627)</f>
        <v/>
      </c>
      <c r="V628">
        <f>MAX(0,-'19_Расчет_аналитики'!V627)</f>
        <v/>
      </c>
      <c r="W628">
        <f>MAX(0,-'19_Расчет_аналитики'!W627)</f>
        <v/>
      </c>
      <c r="X628">
        <f>MAX(0,-'19_Расчет_аналитики'!X627)</f>
        <v/>
      </c>
      <c r="Y628">
        <f>MAX(0,-'19_Расчет_аналитики'!Y627)</f>
        <v/>
      </c>
      <c r="Z628">
        <f>MAX(0,-'19_Расчет_аналитики'!Z627)</f>
        <v/>
      </c>
      <c r="AA628">
        <f>MAX(0,-'19_Расчет_аналитики'!AA627)</f>
        <v/>
      </c>
      <c r="AB628">
        <f>MAX(0,-'19_Расчет_аналитики'!AB627)</f>
        <v/>
      </c>
      <c r="AC628">
        <f>MAX(0,-'19_Расчет_аналитики'!AC627)</f>
        <v/>
      </c>
      <c r="AD628">
        <f>MAX(0,-'19_Расчет_аналитики'!AD627)</f>
        <v/>
      </c>
      <c r="AE628">
        <f>MAX(0,-'19_Расчет_аналитики'!AE627)</f>
        <v/>
      </c>
      <c r="AF628">
        <f>MAX(0,-'19_Расчет_аналитики'!AF627)</f>
        <v/>
      </c>
      <c r="AG628">
        <f>MAX(0,-'19_Расчет_аналитики'!AG627)</f>
        <v/>
      </c>
      <c r="AH628">
        <f>MAX(0,-'19_Расчет_аналитики'!AH627)</f>
        <v/>
      </c>
      <c r="AI628">
        <f>MAX(0,-'19_Расчет_аналитики'!AI627)</f>
        <v/>
      </c>
      <c r="AJ628">
        <f>MAX(0,-'19_Расчет_аналитики'!AJ627)</f>
        <v/>
      </c>
      <c r="AK628">
        <f>MAX(0,-'19_Расчет_аналитики'!AK627)</f>
        <v/>
      </c>
      <c r="AL628">
        <f>MAX(0,-'19_Расчет_аналитики'!AL627)</f>
        <v/>
      </c>
      <c r="AM628">
        <f>MAX(0,-'19_Расчет_аналитики'!AM627)</f>
        <v/>
      </c>
      <c r="AN628">
        <f>MAX(0,-'19_Расчет_аналитики'!AN627)</f>
        <v/>
      </c>
      <c r="AO628">
        <f>MAX(0,-'19_Расчет_аналитики'!AO627)</f>
        <v/>
      </c>
      <c r="AP628">
        <f>MAX(0,-'19_Расчет_аналитики'!AP627)</f>
        <v/>
      </c>
      <c r="AQ628">
        <f>MAX(0,-'19_Расчет_аналитики'!AQ627)</f>
        <v/>
      </c>
      <c r="AR628">
        <f>MAX(0,-'19_Расчет_аналитики'!AR627)</f>
        <v/>
      </c>
      <c r="AS628">
        <f>MAX(0,-'19_Расчет_аналитики'!AS627)</f>
        <v/>
      </c>
      <c r="AT628">
        <f>MAX(0,-'19_Расчет_аналитики'!AT627)</f>
        <v/>
      </c>
      <c r="AU628">
        <f>MAX(0,-'19_Расчет_аналитики'!AU627)</f>
        <v/>
      </c>
      <c r="AV628">
        <f>MAX(0,-'19_Расчет_аналитики'!AV627)</f>
        <v/>
      </c>
      <c r="AW628">
        <f>MAX(0,-'19_Расчет_аналитики'!AW627)</f>
        <v/>
      </c>
      <c r="AX628">
        <f>MAX(0,-'19_Расчет_аналитики'!AX627)</f>
        <v/>
      </c>
      <c r="AY628">
        <f>MAX(0,-'19_Расчет_аналитики'!AY627)</f>
        <v/>
      </c>
      <c r="AZ628">
        <f>MAX(0,-'19_Расчет_аналитики'!AZ627)</f>
        <v/>
      </c>
      <c r="BA628">
        <f>MAX(0,-'19_Расчет_аналитики'!BA627)</f>
        <v/>
      </c>
      <c r="BB628">
        <f>MAX(0,-'19_Расчет_аналитики'!BB627)</f>
        <v/>
      </c>
      <c r="BC628">
        <f>MAX(0,-'19_Расчет_аналитики'!BC627)</f>
        <v/>
      </c>
      <c r="BD628">
        <f>MAX(0,-'19_Расчет_аналитики'!BD627)</f>
        <v/>
      </c>
      <c r="BE628">
        <f>MAX(0,-'19_Расчет_аналитики'!BE627)</f>
        <v/>
      </c>
      <c r="BF628">
        <f>MAX(0,-'19_Расчет_аналитики'!BF627)</f>
        <v/>
      </c>
      <c r="BG628">
        <f>MAX(0,-'19_Расчет_аналитики'!BG627)</f>
        <v/>
      </c>
      <c r="BH628">
        <f>MAX(0,-'19_Расчет_аналитики'!BH627)</f>
        <v/>
      </c>
      <c r="BI628">
        <f>MAX(0,-'19_Расчет_аналитики'!BI627)</f>
        <v/>
      </c>
      <c r="BJ628">
        <f>MAX(0,-'19_Расчет_аналитики'!BJ627)</f>
        <v/>
      </c>
      <c r="BK628">
        <f>MAX(0,-'19_Расчет_аналитики'!BK627)</f>
        <v/>
      </c>
      <c r="BL628">
        <f>MAX(0,-'19_Расчет_аналитики'!BL627)</f>
        <v/>
      </c>
      <c r="BM628">
        <f>MAX(0,-'19_Расчет_аналитики'!BM627)</f>
        <v/>
      </c>
      <c r="BN628">
        <f>MAX(0,-'19_Расчет_аналитики'!BN627)</f>
        <v/>
      </c>
      <c r="BO628">
        <f>MAX(0,-'19_Расчет_аналитики'!BO627)</f>
        <v/>
      </c>
    </row>
    <row r="629"/>
    <row r="630">
      <c r="C630">
        <f>'19_Расчет_аналитики'!B633</f>
        <v/>
      </c>
      <c r="D630">
        <f>'19_Расчет_аналитики'!C633</f>
        <v/>
      </c>
      <c r="E630">
        <f>'19_Расчет_аналитики'!D633</f>
        <v/>
      </c>
      <c r="F630">
        <f>'19_Расчет_аналитики'!E633</f>
        <v/>
      </c>
      <c r="G630">
        <f>'19_Расчет_аналитики'!F633</f>
        <v/>
      </c>
      <c r="H630">
        <f>'19_Расчет_аналитики'!G633</f>
        <v/>
      </c>
      <c r="I630">
        <f>'19_Расчет_аналитики'!H633</f>
        <v/>
      </c>
      <c r="J630">
        <f>'19_Расчет_аналитики'!I633</f>
        <v/>
      </c>
      <c r="K630">
        <f>'19_Расчет_аналитики'!J633</f>
        <v/>
      </c>
      <c r="L630">
        <f>'19_Расчет_аналитики'!K633</f>
        <v/>
      </c>
      <c r="M630">
        <f>'19_Расчет_аналитики'!L633</f>
        <v/>
      </c>
      <c r="N630">
        <f>'19_Расчет_аналитики'!M633</f>
        <v/>
      </c>
      <c r="O630">
        <f>'19_Расчет_аналитики'!N633</f>
        <v/>
      </c>
      <c r="P630">
        <f>'19_Расчет_аналитики'!O633</f>
        <v/>
      </c>
      <c r="Q630">
        <f>'19_Расчет_аналитики'!P633</f>
        <v/>
      </c>
      <c r="R630">
        <f>'19_Расчет_аналитики'!Q633</f>
        <v/>
      </c>
      <c r="S630">
        <f>'19_Расчет_аналитики'!R633</f>
        <v/>
      </c>
      <c r="T630">
        <f>'19_Расчет_аналитики'!S633</f>
        <v/>
      </c>
      <c r="U630">
        <f>'19_Расчет_аналитики'!T633</f>
        <v/>
      </c>
      <c r="V630">
        <f>'19_Расчет_аналитики'!U633</f>
        <v/>
      </c>
      <c r="W630">
        <f>'19_Расчет_аналитики'!V633</f>
        <v/>
      </c>
      <c r="X630">
        <f>'19_Расчет_аналитики'!W633</f>
        <v/>
      </c>
      <c r="Y630">
        <f>'19_Расчет_аналитики'!X633</f>
        <v/>
      </c>
      <c r="Z630">
        <f>'19_Расчет_аналитики'!Y633</f>
        <v/>
      </c>
      <c r="AA630">
        <f>'19_Расчет_аналитики'!Z633</f>
        <v/>
      </c>
      <c r="AB630">
        <f>'19_Расчет_аналитики'!AA633</f>
        <v/>
      </c>
      <c r="AC630">
        <f>'19_Расчет_аналитики'!AB633</f>
        <v/>
      </c>
      <c r="AD630">
        <f>'19_Расчет_аналитики'!AC633</f>
        <v/>
      </c>
      <c r="AE630">
        <f>'19_Расчет_аналитики'!AD633</f>
        <v/>
      </c>
      <c r="AF630">
        <f>'19_Расчет_аналитики'!AE633</f>
        <v/>
      </c>
      <c r="AG630">
        <f>'19_Расчет_аналитики'!AF633</f>
        <v/>
      </c>
      <c r="AH630">
        <f>'19_Расчет_аналитики'!AG633</f>
        <v/>
      </c>
      <c r="AI630">
        <f>'19_Расчет_аналитики'!AH633</f>
        <v/>
      </c>
      <c r="AJ630">
        <f>'19_Расчет_аналитики'!AI633</f>
        <v/>
      </c>
      <c r="AK630">
        <f>'19_Расчет_аналитики'!AJ633</f>
        <v/>
      </c>
      <c r="AL630">
        <f>'19_Расчет_аналитики'!AK633</f>
        <v/>
      </c>
      <c r="AM630">
        <f>'19_Расчет_аналитики'!AL633</f>
        <v/>
      </c>
      <c r="AN630">
        <f>'19_Расчет_аналитики'!AM633</f>
        <v/>
      </c>
      <c r="AO630">
        <f>'19_Расчет_аналитики'!AN633</f>
        <v/>
      </c>
      <c r="AP630">
        <f>'19_Расчет_аналитики'!AO633</f>
        <v/>
      </c>
      <c r="AQ630">
        <f>'19_Расчет_аналитики'!AP633</f>
        <v/>
      </c>
      <c r="AR630">
        <f>'19_Расчет_аналитики'!AQ633</f>
        <v/>
      </c>
      <c r="AS630">
        <f>'19_Расчет_аналитики'!AR633</f>
        <v/>
      </c>
      <c r="AT630">
        <f>'19_Расчет_аналитики'!AS633</f>
        <v/>
      </c>
      <c r="AU630">
        <f>'19_Расчет_аналитики'!AT633</f>
        <v/>
      </c>
      <c r="AV630">
        <f>'19_Расчет_аналитики'!AU633</f>
        <v/>
      </c>
      <c r="AW630">
        <f>'19_Расчет_аналитики'!AV633</f>
        <v/>
      </c>
      <c r="AX630">
        <f>'19_Расчет_аналитики'!AW633</f>
        <v/>
      </c>
      <c r="AY630">
        <f>'19_Расчет_аналитики'!AX633</f>
        <v/>
      </c>
      <c r="AZ630">
        <f>'19_Расчет_аналитики'!AY633</f>
        <v/>
      </c>
      <c r="BA630">
        <f>'19_Расчет_аналитики'!AZ633</f>
        <v/>
      </c>
      <c r="BB630">
        <f>'19_Расчет_аналитики'!BA633</f>
        <v/>
      </c>
      <c r="BC630">
        <f>'19_Расчет_аналитики'!BB633</f>
        <v/>
      </c>
      <c r="BD630">
        <f>'19_Расчет_аналитики'!BC633</f>
        <v/>
      </c>
      <c r="BE630">
        <f>'19_Расчет_аналитики'!BD633</f>
        <v/>
      </c>
      <c r="BF630">
        <f>'19_Расчет_аналитики'!BE633</f>
        <v/>
      </c>
      <c r="BG630">
        <f>'19_Расчет_аналитики'!BF633</f>
        <v/>
      </c>
      <c r="BH630">
        <f>'19_Расчет_аналитики'!BG633</f>
        <v/>
      </c>
      <c r="BI630">
        <f>'19_Расчет_аналитики'!BH633</f>
        <v/>
      </c>
      <c r="BJ630">
        <f>'19_Расчет_аналитики'!BI633</f>
        <v/>
      </c>
      <c r="BK630">
        <f>'19_Расчет_аналитики'!BJ633</f>
        <v/>
      </c>
      <c r="BL630">
        <f>'19_Расчет_аналитики'!BK633</f>
        <v/>
      </c>
      <c r="BM630">
        <f>'19_Расчет_аналитики'!BL633</f>
        <v/>
      </c>
      <c r="BN630">
        <f>'19_Расчет_аналитики'!BM633</f>
        <v/>
      </c>
      <c r="BO630">
        <f>'19_Расчет_аналитики'!BN633</f>
        <v/>
      </c>
    </row>
    <row r="631">
      <c r="B631">
        <f>MIN('07_Мерч'!B29,'19_Расчет_аналитики'!B617*'01_Вводные'!$B$79)</f>
        <v/>
      </c>
      <c r="C631">
        <f>MIN('19_Расчет_аналитики'!C630,'19_Расчет_аналитики'!C617*'01_Вводные'!$B$79)</f>
        <v/>
      </c>
      <c r="D631">
        <f>MIN('19_Расчет_аналитики'!D630,'19_Расчет_аналитики'!D617*'01_Вводные'!$B$79)</f>
        <v/>
      </c>
      <c r="E631">
        <f>MIN('19_Расчет_аналитики'!E630,'19_Расчет_аналитики'!E617*'01_Вводные'!$B$79)</f>
        <v/>
      </c>
      <c r="F631">
        <f>MIN('19_Расчет_аналитики'!F630,'19_Расчет_аналитики'!F617*'01_Вводные'!$B$79)</f>
        <v/>
      </c>
      <c r="G631">
        <f>MIN('19_Расчет_аналитики'!G630,'19_Расчет_аналитики'!G617*'01_Вводные'!$B$79)</f>
        <v/>
      </c>
      <c r="H631">
        <f>MIN('19_Расчет_аналитики'!H630,'19_Расчет_аналитики'!H617*'01_Вводные'!$B$79)</f>
        <v/>
      </c>
      <c r="I631">
        <f>MIN('19_Расчет_аналитики'!I630,'19_Расчет_аналитики'!I617*'01_Вводные'!$B$79)</f>
        <v/>
      </c>
      <c r="J631">
        <f>MIN('19_Расчет_аналитики'!J630,'19_Расчет_аналитики'!J617*'01_Вводные'!$B$79)</f>
        <v/>
      </c>
      <c r="K631">
        <f>MIN('19_Расчет_аналитики'!K630,'19_Расчет_аналитики'!K617*'01_Вводные'!$B$79)</f>
        <v/>
      </c>
      <c r="L631">
        <f>MIN('19_Расчет_аналитики'!L630,'19_Расчет_аналитики'!L617*'01_Вводные'!$B$79)</f>
        <v/>
      </c>
      <c r="M631">
        <f>MIN('19_Расчет_аналитики'!M630,'19_Расчет_аналитики'!M617*'01_Вводные'!$B$79)</f>
        <v/>
      </c>
      <c r="N631">
        <f>MIN('19_Расчет_аналитики'!N630,'19_Расчет_аналитики'!N617*'01_Вводные'!$B$79)</f>
        <v/>
      </c>
      <c r="O631">
        <f>MIN('19_Расчет_аналитики'!O630,'19_Расчет_аналитики'!O617*'01_Вводные'!$B$79)</f>
        <v/>
      </c>
      <c r="P631">
        <f>MIN('19_Расчет_аналитики'!P630,'19_Расчет_аналитики'!P617*'01_Вводные'!$B$79)</f>
        <v/>
      </c>
      <c r="Q631">
        <f>MIN('19_Расчет_аналитики'!Q630,'19_Расчет_аналитики'!Q617*'01_Вводные'!$B$79)</f>
        <v/>
      </c>
      <c r="R631">
        <f>MIN('19_Расчет_аналитики'!R630,'19_Расчет_аналитики'!R617*'01_Вводные'!$B$79)</f>
        <v/>
      </c>
      <c r="S631">
        <f>MIN('19_Расчет_аналитики'!S630,'19_Расчет_аналитики'!S617*'01_Вводные'!$B$79)</f>
        <v/>
      </c>
      <c r="T631">
        <f>MIN('19_Расчет_аналитики'!T630,'19_Расчет_аналитики'!T617*'01_Вводные'!$B$79)</f>
        <v/>
      </c>
      <c r="U631">
        <f>MIN('19_Расчет_аналитики'!U630,'19_Расчет_аналитики'!U617*'01_Вводные'!$B$79)</f>
        <v/>
      </c>
      <c r="V631">
        <f>MIN('19_Расчет_аналитики'!V630,'19_Расчет_аналитики'!V617*'01_Вводные'!$B$79)</f>
        <v/>
      </c>
      <c r="W631">
        <f>MIN('19_Расчет_аналитики'!W630,'19_Расчет_аналитики'!W617*'01_Вводные'!$B$79)</f>
        <v/>
      </c>
      <c r="X631">
        <f>MIN('19_Расчет_аналитики'!X630,'19_Расчет_аналитики'!X617*'01_Вводные'!$B$79)</f>
        <v/>
      </c>
      <c r="Y631">
        <f>MIN('19_Расчет_аналитики'!Y630,'19_Расчет_аналитики'!Y617*'01_Вводные'!$B$79)</f>
        <v/>
      </c>
      <c r="Z631">
        <f>MIN('19_Расчет_аналитики'!Z630,'19_Расчет_аналитики'!Z617*'01_Вводные'!$B$79)</f>
        <v/>
      </c>
      <c r="AA631">
        <f>MIN('19_Расчет_аналитики'!AA630,'19_Расчет_аналитики'!AA617*'01_Вводные'!$B$79)</f>
        <v/>
      </c>
      <c r="AB631">
        <f>MIN('19_Расчет_аналитики'!AB630,'19_Расчет_аналитики'!AB617*'01_Вводные'!$B$79)</f>
        <v/>
      </c>
      <c r="AC631">
        <f>MIN('19_Расчет_аналитики'!AC630,'19_Расчет_аналитики'!AC617*'01_Вводные'!$B$79)</f>
        <v/>
      </c>
      <c r="AD631">
        <f>MIN('19_Расчет_аналитики'!AD630,'19_Расчет_аналитики'!AD617*'01_Вводные'!$B$79)</f>
        <v/>
      </c>
      <c r="AE631">
        <f>MIN('19_Расчет_аналитики'!AE630,'19_Расчет_аналитики'!AE617*'01_Вводные'!$B$79)</f>
        <v/>
      </c>
      <c r="AF631">
        <f>MIN('19_Расчет_аналитики'!AF630,'19_Расчет_аналитики'!AF617*'01_Вводные'!$B$79)</f>
        <v/>
      </c>
      <c r="AG631">
        <f>MIN('19_Расчет_аналитики'!AG630,'19_Расчет_аналитики'!AG617*'01_Вводные'!$B$79)</f>
        <v/>
      </c>
      <c r="AH631">
        <f>MIN('19_Расчет_аналитики'!AH630,'19_Расчет_аналитики'!AH617*'01_Вводные'!$B$79)</f>
        <v/>
      </c>
      <c r="AI631">
        <f>MIN('19_Расчет_аналитики'!AI630,'19_Расчет_аналитики'!AI617*'01_Вводные'!$B$79)</f>
        <v/>
      </c>
      <c r="AJ631">
        <f>MIN('19_Расчет_аналитики'!AJ630,'19_Расчет_аналитики'!AJ617*'01_Вводные'!$B$79)</f>
        <v/>
      </c>
      <c r="AK631">
        <f>MIN('19_Расчет_аналитики'!AK630,'19_Расчет_аналитики'!AK617*'01_Вводные'!$B$79)</f>
        <v/>
      </c>
      <c r="AL631">
        <f>MIN('19_Расчет_аналитики'!AL630,'19_Расчет_аналитики'!AL617*'01_Вводные'!$B$79)</f>
        <v/>
      </c>
      <c r="AM631">
        <f>MIN('19_Расчет_аналитики'!AM630,'19_Расчет_аналитики'!AM617*'01_Вводные'!$B$79)</f>
        <v/>
      </c>
      <c r="AN631">
        <f>MIN('19_Расчет_аналитики'!AN630,'19_Расчет_аналитики'!AN617*'01_Вводные'!$B$79)</f>
        <v/>
      </c>
      <c r="AO631">
        <f>MIN('19_Расчет_аналитики'!AO630,'19_Расчет_аналитики'!AO617*'01_Вводные'!$B$79)</f>
        <v/>
      </c>
      <c r="AP631">
        <f>MIN('19_Расчет_аналитики'!AP630,'19_Расчет_аналитики'!AP617*'01_Вводные'!$B$79)</f>
        <v/>
      </c>
      <c r="AQ631">
        <f>MIN('19_Расчет_аналитики'!AQ630,'19_Расчет_аналитики'!AQ617*'01_Вводные'!$B$79)</f>
        <v/>
      </c>
      <c r="AR631">
        <f>MIN('19_Расчет_аналитики'!AR630,'19_Расчет_аналитики'!AR617*'01_Вводные'!$B$79)</f>
        <v/>
      </c>
      <c r="AS631">
        <f>MIN('19_Расчет_аналитики'!AS630,'19_Расчет_аналитики'!AS617*'01_Вводные'!$B$79)</f>
        <v/>
      </c>
      <c r="AT631">
        <f>MIN('19_Расчет_аналитики'!AT630,'19_Расчет_аналитики'!AT617*'01_Вводные'!$B$79)</f>
        <v/>
      </c>
      <c r="AU631">
        <f>MIN('19_Расчет_аналитики'!AU630,'19_Расчет_аналитики'!AU617*'01_Вводные'!$B$79)</f>
        <v/>
      </c>
      <c r="AV631">
        <f>MIN('19_Расчет_аналитики'!AV630,'19_Расчет_аналитики'!AV617*'01_Вводные'!$B$79)</f>
        <v/>
      </c>
      <c r="AW631">
        <f>MIN('19_Расчет_аналитики'!AW630,'19_Расчет_аналитики'!AW617*'01_Вводные'!$B$79)</f>
        <v/>
      </c>
      <c r="AX631">
        <f>MIN('19_Расчет_аналитики'!AX630,'19_Расчет_аналитики'!AX617*'01_Вводные'!$B$79)</f>
        <v/>
      </c>
      <c r="AY631">
        <f>MIN('19_Расчет_аналитики'!AY630,'19_Расчет_аналитики'!AY617*'01_Вводные'!$B$79)</f>
        <v/>
      </c>
      <c r="AZ631">
        <f>MIN('19_Расчет_аналитики'!AZ630,'19_Расчет_аналитики'!AZ617*'01_Вводные'!$B$79)</f>
        <v/>
      </c>
      <c r="BA631">
        <f>MIN('19_Расчет_аналитики'!BA630,'19_Расчет_аналитики'!BA617*'01_Вводные'!$B$79)</f>
        <v/>
      </c>
      <c r="BB631">
        <f>MIN('19_Расчет_аналитики'!BB630,'19_Расчет_аналитики'!BB617*'01_Вводные'!$B$79)</f>
        <v/>
      </c>
      <c r="BC631">
        <f>MIN('19_Расчет_аналитики'!BC630,'19_Расчет_аналитики'!BC617*'01_Вводные'!$B$79)</f>
        <v/>
      </c>
      <c r="BD631">
        <f>MIN('19_Расчет_аналитики'!BD630,'19_Расчет_аналитики'!BD617*'01_Вводные'!$B$79)</f>
        <v/>
      </c>
      <c r="BE631">
        <f>MIN('19_Расчет_аналитики'!BE630,'19_Расчет_аналитики'!BE617*'01_Вводные'!$B$79)</f>
        <v/>
      </c>
      <c r="BF631">
        <f>MIN('19_Расчет_аналитики'!BF630,'19_Расчет_аналитики'!BF617*'01_Вводные'!$B$79)</f>
        <v/>
      </c>
      <c r="BG631">
        <f>MIN('19_Расчет_аналитики'!BG630,'19_Расчет_аналитики'!BG617*'01_Вводные'!$B$79)</f>
        <v/>
      </c>
      <c r="BH631">
        <f>MIN('19_Расчет_аналитики'!BH630,'19_Расчет_аналитики'!BH617*'01_Вводные'!$B$79)</f>
        <v/>
      </c>
      <c r="BI631">
        <f>MIN('19_Расчет_аналитики'!BI630,'19_Расчет_аналитики'!BI617*'01_Вводные'!$B$79)</f>
        <v/>
      </c>
      <c r="BJ631">
        <f>MIN('19_Расчет_аналитики'!BJ630,'19_Расчет_аналитики'!BJ617*'01_Вводные'!$B$79)</f>
        <v/>
      </c>
      <c r="BK631">
        <f>MIN('19_Расчет_аналитики'!BK630,'19_Расчет_аналитики'!BK617*'01_Вводные'!$B$79)</f>
        <v/>
      </c>
      <c r="BL631">
        <f>MIN('19_Расчет_аналитики'!BL630,'19_Расчет_аналитики'!BL617*'01_Вводные'!$B$79)</f>
        <v/>
      </c>
      <c r="BM631">
        <f>MIN('19_Расчет_аналитики'!BM630,'19_Расчет_аналитики'!BM617*'01_Вводные'!$B$79)</f>
        <v/>
      </c>
      <c r="BN631">
        <f>MIN('19_Расчет_аналитики'!BN630,'19_Расчет_аналитики'!BN617*'01_Вводные'!$B$79)</f>
        <v/>
      </c>
      <c r="BO631">
        <f>MIN('19_Расчет_аналитики'!BO630,'19_Расчет_аналитики'!BO617*'01_Вводные'!$B$79)</f>
        <v/>
      </c>
    </row>
    <row r="632">
      <c r="B632">
        <f>IF(OR('01_Вводные'!$B$238="Нет",'19_Расчет_аналитики'!B627&gt;='19_Расчет_аналитики'!B339-0.01),MIN('19_Расчет_аналитики'!B631,MAX(0,'19_Расчет_аналитики'!B787)),0)</f>
        <v/>
      </c>
      <c r="C632">
        <f>IF(OR('01_Вводные'!$B$238="Нет",'19_Расчет_аналитики'!C627&gt;='19_Расчет_аналитики'!C339-0.01),MIN('19_Расчет_аналитики'!C631,MAX(0,'19_Расчет_аналитики'!C787)),0)</f>
        <v/>
      </c>
      <c r="D632">
        <f>IF(OR('01_Вводные'!$B$238="Нет",'19_Расчет_аналитики'!D627&gt;='19_Расчет_аналитики'!D339-0.01),MIN('19_Расчет_аналитики'!D631,MAX(0,'19_Расчет_аналитики'!D787)),0)</f>
        <v/>
      </c>
      <c r="E632">
        <f>IF(OR('01_Вводные'!$B$238="Нет",'19_Расчет_аналитики'!E627&gt;='19_Расчет_аналитики'!E339-0.01),MIN('19_Расчет_аналитики'!E631,MAX(0,'19_Расчет_аналитики'!E787)),0)</f>
        <v/>
      </c>
      <c r="F632">
        <f>IF(OR('01_Вводные'!$B$238="Нет",'19_Расчет_аналитики'!F627&gt;='19_Расчет_аналитики'!F339-0.01),MIN('19_Расчет_аналитики'!F631,MAX(0,'19_Расчет_аналитики'!F787)),0)</f>
        <v/>
      </c>
      <c r="G632">
        <f>IF(OR('01_Вводные'!$B$238="Нет",'19_Расчет_аналитики'!G627&gt;='19_Расчет_аналитики'!G339-0.01),MIN('19_Расчет_аналитики'!G631,MAX(0,'19_Расчет_аналитики'!G787)),0)</f>
        <v/>
      </c>
      <c r="H632">
        <f>IF(OR('01_Вводные'!$B$238="Нет",'19_Расчет_аналитики'!H627&gt;='19_Расчет_аналитики'!H339-0.01),MIN('19_Расчет_аналитики'!H631,MAX(0,'19_Расчет_аналитики'!H787)),0)</f>
        <v/>
      </c>
      <c r="I632">
        <f>IF(OR('01_Вводные'!$B$238="Нет",'19_Расчет_аналитики'!I627&gt;='19_Расчет_аналитики'!I339-0.01),MIN('19_Расчет_аналитики'!I631,MAX(0,'19_Расчет_аналитики'!I787)),0)</f>
        <v/>
      </c>
      <c r="J632">
        <f>IF(OR('01_Вводные'!$B$238="Нет",'19_Расчет_аналитики'!J627&gt;='19_Расчет_аналитики'!J339-0.01),MIN('19_Расчет_аналитики'!J631,MAX(0,'19_Расчет_аналитики'!J787)),0)</f>
        <v/>
      </c>
      <c r="K632">
        <f>IF(OR('01_Вводные'!$B$238="Нет",'19_Расчет_аналитики'!K627&gt;='19_Расчет_аналитики'!K339-0.01),MIN('19_Расчет_аналитики'!K631,MAX(0,'19_Расчет_аналитики'!K787)),0)</f>
        <v/>
      </c>
      <c r="L632">
        <f>IF(OR('01_Вводные'!$B$238="Нет",'19_Расчет_аналитики'!L627&gt;='19_Расчет_аналитики'!L339-0.01),MIN('19_Расчет_аналитики'!L631,MAX(0,'19_Расчет_аналитики'!L787)),0)</f>
        <v/>
      </c>
      <c r="M632">
        <f>IF(OR('01_Вводные'!$B$238="Нет",'19_Расчет_аналитики'!M627&gt;='19_Расчет_аналитики'!M339-0.01),MIN('19_Расчет_аналитики'!M631,MAX(0,'19_Расчет_аналитики'!M787)),0)</f>
        <v/>
      </c>
      <c r="N632">
        <f>IF(OR('01_Вводные'!$B$238="Нет",'19_Расчет_аналитики'!N627&gt;='19_Расчет_аналитики'!N339-0.01),MIN('19_Расчет_аналитики'!N631,MAX(0,'19_Расчет_аналитики'!N787)),0)</f>
        <v/>
      </c>
      <c r="O632">
        <f>IF(OR('01_Вводные'!$B$238="Нет",'19_Расчет_аналитики'!O627&gt;='19_Расчет_аналитики'!O339-0.01),MIN('19_Расчет_аналитики'!O631,MAX(0,'19_Расчет_аналитики'!O787)),0)</f>
        <v/>
      </c>
      <c r="P632">
        <f>IF(OR('01_Вводные'!$B$238="Нет",'19_Расчет_аналитики'!P627&gt;='19_Расчет_аналитики'!P339-0.01),MIN('19_Расчет_аналитики'!P631,MAX(0,'19_Расчет_аналитики'!P787)),0)</f>
        <v/>
      </c>
      <c r="Q632">
        <f>IF(OR('01_Вводные'!$B$238="Нет",'19_Расчет_аналитики'!Q627&gt;='19_Расчет_аналитики'!Q339-0.01),MIN('19_Расчет_аналитики'!Q631,MAX(0,'19_Расчет_аналитики'!Q787)),0)</f>
        <v/>
      </c>
      <c r="R632">
        <f>IF(OR('01_Вводные'!$B$238="Нет",'19_Расчет_аналитики'!R627&gt;='19_Расчет_аналитики'!R339-0.01),MIN('19_Расчет_аналитики'!R631,MAX(0,'19_Расчет_аналитики'!R787)),0)</f>
        <v/>
      </c>
      <c r="S632">
        <f>IF(OR('01_Вводные'!$B$238="Нет",'19_Расчет_аналитики'!S627&gt;='19_Расчет_аналитики'!S339-0.01),MIN('19_Расчет_аналитики'!S631,MAX(0,'19_Расчет_аналитики'!S787)),0)</f>
        <v/>
      </c>
      <c r="T632">
        <f>IF(OR('01_Вводные'!$B$238="Нет",'19_Расчет_аналитики'!T627&gt;='19_Расчет_аналитики'!T339-0.01),MIN('19_Расчет_аналитики'!T631,MAX(0,'19_Расчет_аналитики'!T787)),0)</f>
        <v/>
      </c>
      <c r="U632">
        <f>IF(OR('01_Вводные'!$B$238="Нет",'19_Расчет_аналитики'!U627&gt;='19_Расчет_аналитики'!U339-0.01),MIN('19_Расчет_аналитики'!U631,MAX(0,'19_Расчет_аналитики'!U787)),0)</f>
        <v/>
      </c>
      <c r="V632">
        <f>IF(OR('01_Вводные'!$B$238="Нет",'19_Расчет_аналитики'!V627&gt;='19_Расчет_аналитики'!V339-0.01),MIN('19_Расчет_аналитики'!V631,MAX(0,'19_Расчет_аналитики'!V787)),0)</f>
        <v/>
      </c>
      <c r="W632">
        <f>IF(OR('01_Вводные'!$B$238="Нет",'19_Расчет_аналитики'!W627&gt;='19_Расчет_аналитики'!W339-0.01),MIN('19_Расчет_аналитики'!W631,MAX(0,'19_Расчет_аналитики'!W787)),0)</f>
        <v/>
      </c>
      <c r="X632">
        <f>IF(OR('01_Вводные'!$B$238="Нет",'19_Расчет_аналитики'!X627&gt;='19_Расчет_аналитики'!X339-0.01),MIN('19_Расчет_аналитики'!X631,MAX(0,'19_Расчет_аналитики'!X787)),0)</f>
        <v/>
      </c>
      <c r="Y632">
        <f>IF(OR('01_Вводные'!$B$238="Нет",'19_Расчет_аналитики'!Y627&gt;='19_Расчет_аналитики'!Y339-0.01),MIN('19_Расчет_аналитики'!Y631,MAX(0,'19_Расчет_аналитики'!Y787)),0)</f>
        <v/>
      </c>
      <c r="Z632">
        <f>IF(OR('01_Вводные'!$B$238="Нет",'19_Расчет_аналитики'!Z627&gt;='19_Расчет_аналитики'!Z339-0.01),MIN('19_Расчет_аналитики'!Z631,MAX(0,'19_Расчет_аналитики'!Z787)),0)</f>
        <v/>
      </c>
      <c r="AA632">
        <f>IF(OR('01_Вводные'!$B$238="Нет",'19_Расчет_аналитики'!AA627&gt;='19_Расчет_аналитики'!AA339-0.01),MIN('19_Расчет_аналитики'!AA631,MAX(0,'19_Расчет_аналитики'!AA787)),0)</f>
        <v/>
      </c>
      <c r="AB632">
        <f>IF(OR('01_Вводные'!$B$238="Нет",'19_Расчет_аналитики'!AB627&gt;='19_Расчет_аналитики'!AB339-0.01),MIN('19_Расчет_аналитики'!AB631,MAX(0,'19_Расчет_аналитики'!AB787)),0)</f>
        <v/>
      </c>
      <c r="AC632">
        <f>IF(OR('01_Вводные'!$B$238="Нет",'19_Расчет_аналитики'!AC627&gt;='19_Расчет_аналитики'!AC339-0.01),MIN('19_Расчет_аналитики'!AC631,MAX(0,'19_Расчет_аналитики'!AC787)),0)</f>
        <v/>
      </c>
      <c r="AD632">
        <f>IF(OR('01_Вводные'!$B$238="Нет",'19_Расчет_аналитики'!AD627&gt;='19_Расчет_аналитики'!AD339-0.01),MIN('19_Расчет_аналитики'!AD631,MAX(0,'19_Расчет_аналитики'!AD787)),0)</f>
        <v/>
      </c>
      <c r="AE632">
        <f>IF(OR('01_Вводные'!$B$238="Нет",'19_Расчет_аналитики'!AE627&gt;='19_Расчет_аналитики'!AE339-0.01),MIN('19_Расчет_аналитики'!AE631,MAX(0,'19_Расчет_аналитики'!AE787)),0)</f>
        <v/>
      </c>
      <c r="AF632">
        <f>IF(OR('01_Вводные'!$B$238="Нет",'19_Расчет_аналитики'!AF627&gt;='19_Расчет_аналитики'!AF339-0.01),MIN('19_Расчет_аналитики'!AF631,MAX(0,'19_Расчет_аналитики'!AF787)),0)</f>
        <v/>
      </c>
      <c r="AG632">
        <f>IF(OR('01_Вводные'!$B$238="Нет",'19_Расчет_аналитики'!AG627&gt;='19_Расчет_аналитики'!AG339-0.01),MIN('19_Расчет_аналитики'!AG631,MAX(0,'19_Расчет_аналитики'!AG787)),0)</f>
        <v/>
      </c>
      <c r="AH632">
        <f>IF(OR('01_Вводные'!$B$238="Нет",'19_Расчет_аналитики'!AH627&gt;='19_Расчет_аналитики'!AH339-0.01),MIN('19_Расчет_аналитики'!AH631,MAX(0,'19_Расчет_аналитики'!AH787)),0)</f>
        <v/>
      </c>
      <c r="AI632">
        <f>IF(OR('01_Вводные'!$B$238="Нет",'19_Расчет_аналитики'!AI627&gt;='19_Расчет_аналитики'!AI339-0.01),MIN('19_Расчет_аналитики'!AI631,MAX(0,'19_Расчет_аналитики'!AI787)),0)</f>
        <v/>
      </c>
      <c r="AJ632">
        <f>IF(OR('01_Вводные'!$B$238="Нет",'19_Расчет_аналитики'!AJ627&gt;='19_Расчет_аналитики'!AJ339-0.01),MIN('19_Расчет_аналитики'!AJ631,MAX(0,'19_Расчет_аналитики'!AJ787)),0)</f>
        <v/>
      </c>
      <c r="AK632">
        <f>IF(OR('01_Вводные'!$B$238="Нет",'19_Расчет_аналитики'!AK627&gt;='19_Расчет_аналитики'!AK339-0.01),MIN('19_Расчет_аналитики'!AK631,MAX(0,'19_Расчет_аналитики'!AK787)),0)</f>
        <v/>
      </c>
      <c r="AL632">
        <f>IF(OR('01_Вводные'!$B$238="Нет",'19_Расчет_аналитики'!AL627&gt;='19_Расчет_аналитики'!AL339-0.01),MIN('19_Расчет_аналитики'!AL631,MAX(0,'19_Расчет_аналитики'!AL787)),0)</f>
        <v/>
      </c>
      <c r="AM632">
        <f>IF(OR('01_Вводные'!$B$238="Нет",'19_Расчет_аналитики'!AM627&gt;='19_Расчет_аналитики'!AM339-0.01),MIN('19_Расчет_аналитики'!AM631,MAX(0,'19_Расчет_аналитики'!AM787)),0)</f>
        <v/>
      </c>
      <c r="AN632">
        <f>IF(OR('01_Вводные'!$B$238="Нет",'19_Расчет_аналитики'!AN627&gt;='19_Расчет_аналитики'!AN339-0.01),MIN('19_Расчет_аналитики'!AN631,MAX(0,'19_Расчет_аналитики'!AN787)),0)</f>
        <v/>
      </c>
      <c r="AO632">
        <f>IF(OR('01_Вводные'!$B$238="Нет",'19_Расчет_аналитики'!AO627&gt;='19_Расчет_аналитики'!AO339-0.01),MIN('19_Расчет_аналитики'!AO631,MAX(0,'19_Расчет_аналитики'!AO787)),0)</f>
        <v/>
      </c>
      <c r="AP632">
        <f>IF(OR('01_Вводные'!$B$238="Нет",'19_Расчет_аналитики'!AP627&gt;='19_Расчет_аналитики'!AP339-0.01),MIN('19_Расчет_аналитики'!AP631,MAX(0,'19_Расчет_аналитики'!AP787)),0)</f>
        <v/>
      </c>
      <c r="AQ632">
        <f>IF(OR('01_Вводные'!$B$238="Нет",'19_Расчет_аналитики'!AQ627&gt;='19_Расчет_аналитики'!AQ339-0.01),MIN('19_Расчет_аналитики'!AQ631,MAX(0,'19_Расчет_аналитики'!AQ787)),0)</f>
        <v/>
      </c>
      <c r="AR632">
        <f>IF(OR('01_Вводные'!$B$238="Нет",'19_Расчет_аналитики'!AR627&gt;='19_Расчет_аналитики'!AR339-0.01),MIN('19_Расчет_аналитики'!AR631,MAX(0,'19_Расчет_аналитики'!AR787)),0)</f>
        <v/>
      </c>
      <c r="AS632">
        <f>IF(OR('01_Вводные'!$B$238="Нет",'19_Расчет_аналитики'!AS627&gt;='19_Расчет_аналитики'!AS339-0.01),MIN('19_Расчет_аналитики'!AS631,MAX(0,'19_Расчет_аналитики'!AS787)),0)</f>
        <v/>
      </c>
      <c r="AT632">
        <f>IF(OR('01_Вводные'!$B$238="Нет",'19_Расчет_аналитики'!AT627&gt;='19_Расчет_аналитики'!AT339-0.01),MIN('19_Расчет_аналитики'!AT631,MAX(0,'19_Расчет_аналитики'!AT787)),0)</f>
        <v/>
      </c>
      <c r="AU632">
        <f>IF(OR('01_Вводные'!$B$238="Нет",'19_Расчет_аналитики'!AU627&gt;='19_Расчет_аналитики'!AU339-0.01),MIN('19_Расчет_аналитики'!AU631,MAX(0,'19_Расчет_аналитики'!AU787)),0)</f>
        <v/>
      </c>
      <c r="AV632">
        <f>IF(OR('01_Вводные'!$B$238="Нет",'19_Расчет_аналитики'!AV627&gt;='19_Расчет_аналитики'!AV339-0.01),MIN('19_Расчет_аналитики'!AV631,MAX(0,'19_Расчет_аналитики'!AV787)),0)</f>
        <v/>
      </c>
      <c r="AW632">
        <f>IF(OR('01_Вводные'!$B$238="Нет",'19_Расчет_аналитики'!AW627&gt;='19_Расчет_аналитики'!AW339-0.01),MIN('19_Расчет_аналитики'!AW631,MAX(0,'19_Расчет_аналитики'!AW787)),0)</f>
        <v/>
      </c>
      <c r="AX632">
        <f>IF(OR('01_Вводные'!$B$238="Нет",'19_Расчет_аналитики'!AX627&gt;='19_Расчет_аналитики'!AX339-0.01),MIN('19_Расчет_аналитики'!AX631,MAX(0,'19_Расчет_аналитики'!AX787)),0)</f>
        <v/>
      </c>
      <c r="AY632">
        <f>IF(OR('01_Вводные'!$B$238="Нет",'19_Расчет_аналитики'!AY627&gt;='19_Расчет_аналитики'!AY339-0.01),MIN('19_Расчет_аналитики'!AY631,MAX(0,'19_Расчет_аналитики'!AY787)),0)</f>
        <v/>
      </c>
      <c r="AZ632">
        <f>IF(OR('01_Вводные'!$B$238="Нет",'19_Расчет_аналитики'!AZ627&gt;='19_Расчет_аналитики'!AZ339-0.01),MIN('19_Расчет_аналитики'!AZ631,MAX(0,'19_Расчет_аналитики'!AZ787)),0)</f>
        <v/>
      </c>
      <c r="BA632">
        <f>IF(OR('01_Вводные'!$B$238="Нет",'19_Расчет_аналитики'!BA627&gt;='19_Расчет_аналитики'!BA339-0.01),MIN('19_Расчет_аналитики'!BA631,MAX(0,'19_Расчет_аналитики'!BA787)),0)</f>
        <v/>
      </c>
      <c r="BB632">
        <f>IF(OR('01_Вводные'!$B$238="Нет",'19_Расчет_аналитики'!BB627&gt;='19_Расчет_аналитики'!BB339-0.01),MIN('19_Расчет_аналитики'!BB631,MAX(0,'19_Расчет_аналитики'!BB787)),0)</f>
        <v/>
      </c>
      <c r="BC632">
        <f>IF(OR('01_Вводные'!$B$238="Нет",'19_Расчет_аналитики'!BC627&gt;='19_Расчет_аналитики'!BC339-0.01),MIN('19_Расчет_аналитики'!BC631,MAX(0,'19_Расчет_аналитики'!BC787)),0)</f>
        <v/>
      </c>
      <c r="BD632">
        <f>IF(OR('01_Вводные'!$B$238="Нет",'19_Расчет_аналитики'!BD627&gt;='19_Расчет_аналитики'!BD339-0.01),MIN('19_Расчет_аналитики'!BD631,MAX(0,'19_Расчет_аналитики'!BD787)),0)</f>
        <v/>
      </c>
      <c r="BE632">
        <f>IF(OR('01_Вводные'!$B$238="Нет",'19_Расчет_аналитики'!BE627&gt;='19_Расчет_аналитики'!BE339-0.01),MIN('19_Расчет_аналитики'!BE631,MAX(0,'19_Расчет_аналитики'!BE787)),0)</f>
        <v/>
      </c>
      <c r="BF632">
        <f>IF(OR('01_Вводные'!$B$238="Нет",'19_Расчет_аналитики'!BF627&gt;='19_Расчет_аналитики'!BF339-0.01),MIN('19_Расчет_аналитики'!BF631,MAX(0,'19_Расчет_аналитики'!BF787)),0)</f>
        <v/>
      </c>
      <c r="BG632">
        <f>IF(OR('01_Вводные'!$B$238="Нет",'19_Расчет_аналитики'!BG627&gt;='19_Расчет_аналитики'!BG339-0.01),MIN('19_Расчет_аналитики'!BG631,MAX(0,'19_Расчет_аналитики'!BG787)),0)</f>
        <v/>
      </c>
      <c r="BH632">
        <f>IF(OR('01_Вводные'!$B$238="Нет",'19_Расчет_аналитики'!BH627&gt;='19_Расчет_аналитики'!BH339-0.01),MIN('19_Расчет_аналитики'!BH631,MAX(0,'19_Расчет_аналитики'!BH787)),0)</f>
        <v/>
      </c>
      <c r="BI632">
        <f>IF(OR('01_Вводные'!$B$238="Нет",'19_Расчет_аналитики'!BI627&gt;='19_Расчет_аналитики'!BI339-0.01),MIN('19_Расчет_аналитики'!BI631,MAX(0,'19_Расчет_аналитики'!BI787)),0)</f>
        <v/>
      </c>
    </row>
    <row r="633">
      <c r="B633">
        <f>MAX(0,'07_Мерч'!B29-'19_Расчет_аналитики'!B632)</f>
        <v/>
      </c>
      <c r="C633">
        <f>MAX(0,'19_Расчет_аналитики'!C630-'19_Расчет_аналитики'!C632)</f>
        <v/>
      </c>
      <c r="D633">
        <f>MAX(0,'19_Расчет_аналитики'!D630-'19_Расчет_аналитики'!D632)</f>
        <v/>
      </c>
      <c r="E633">
        <f>MAX(0,'19_Расчет_аналитики'!E630-'19_Расчет_аналитики'!E632)</f>
        <v/>
      </c>
      <c r="F633">
        <f>MAX(0,'19_Расчет_аналитики'!F630-'19_Расчет_аналитики'!F632)</f>
        <v/>
      </c>
      <c r="G633">
        <f>MAX(0,'19_Расчет_аналитики'!G630-'19_Расчет_аналитики'!G632)</f>
        <v/>
      </c>
      <c r="H633">
        <f>MAX(0,'19_Расчет_аналитики'!H630-'19_Расчет_аналитики'!H632)</f>
        <v/>
      </c>
      <c r="I633">
        <f>MAX(0,'19_Расчет_аналитики'!I630-'19_Расчет_аналитики'!I632)</f>
        <v/>
      </c>
      <c r="J633">
        <f>MAX(0,'19_Расчет_аналитики'!J630-'19_Расчет_аналитики'!J632)</f>
        <v/>
      </c>
      <c r="K633">
        <f>MAX(0,'19_Расчет_аналитики'!K630-'19_Расчет_аналитики'!K632)</f>
        <v/>
      </c>
      <c r="L633">
        <f>MAX(0,'19_Расчет_аналитики'!L630-'19_Расчет_аналитики'!L632)</f>
        <v/>
      </c>
      <c r="M633">
        <f>MAX(0,'19_Расчет_аналитики'!M630-'19_Расчет_аналитики'!M632)</f>
        <v/>
      </c>
      <c r="N633">
        <f>MAX(0,'19_Расчет_аналитики'!N630-'19_Расчет_аналитики'!N632)</f>
        <v/>
      </c>
      <c r="O633">
        <f>MAX(0,'19_Расчет_аналитики'!O630-'19_Расчет_аналитики'!O632)</f>
        <v/>
      </c>
      <c r="P633">
        <f>MAX(0,'19_Расчет_аналитики'!P630-'19_Расчет_аналитики'!P632)</f>
        <v/>
      </c>
      <c r="Q633">
        <f>MAX(0,'19_Расчет_аналитики'!Q630-'19_Расчет_аналитики'!Q632)</f>
        <v/>
      </c>
      <c r="R633">
        <f>MAX(0,'19_Расчет_аналитики'!R630-'19_Расчет_аналитики'!R632)</f>
        <v/>
      </c>
      <c r="S633">
        <f>MAX(0,'19_Расчет_аналитики'!S630-'19_Расчет_аналитики'!S632)</f>
        <v/>
      </c>
      <c r="T633">
        <f>MAX(0,'19_Расчет_аналитики'!T630-'19_Расчет_аналитики'!T632)</f>
        <v/>
      </c>
      <c r="U633">
        <f>MAX(0,'19_Расчет_аналитики'!U630-'19_Расчет_аналитики'!U632)</f>
        <v/>
      </c>
      <c r="V633">
        <f>MAX(0,'19_Расчет_аналитики'!V630-'19_Расчет_аналитики'!V632)</f>
        <v/>
      </c>
      <c r="W633">
        <f>MAX(0,'19_Расчет_аналитики'!W630-'19_Расчет_аналитики'!W632)</f>
        <v/>
      </c>
      <c r="X633">
        <f>MAX(0,'19_Расчет_аналитики'!X630-'19_Расчет_аналитики'!X632)</f>
        <v/>
      </c>
      <c r="Y633">
        <f>MAX(0,'19_Расчет_аналитики'!Y630-'19_Расчет_аналитики'!Y632)</f>
        <v/>
      </c>
      <c r="Z633">
        <f>MAX(0,'19_Расчет_аналитики'!Z630-'19_Расчет_аналитики'!Z632)</f>
        <v/>
      </c>
      <c r="AA633">
        <f>MAX(0,'19_Расчет_аналитики'!AA630-'19_Расчет_аналитики'!AA632)</f>
        <v/>
      </c>
      <c r="AB633">
        <f>MAX(0,'19_Расчет_аналитики'!AB630-'19_Расчет_аналитики'!AB632)</f>
        <v/>
      </c>
      <c r="AC633">
        <f>MAX(0,'19_Расчет_аналитики'!AC630-'19_Расчет_аналитики'!AC632)</f>
        <v/>
      </c>
      <c r="AD633">
        <f>MAX(0,'19_Расчет_аналитики'!AD630-'19_Расчет_аналитики'!AD632)</f>
        <v/>
      </c>
      <c r="AE633">
        <f>MAX(0,'19_Расчет_аналитики'!AE630-'19_Расчет_аналитики'!AE632)</f>
        <v/>
      </c>
      <c r="AF633">
        <f>MAX(0,'19_Расчет_аналитики'!AF630-'19_Расчет_аналитики'!AF632)</f>
        <v/>
      </c>
      <c r="AG633">
        <f>MAX(0,'19_Расчет_аналитики'!AG630-'19_Расчет_аналитики'!AG632)</f>
        <v/>
      </c>
      <c r="AH633">
        <f>MAX(0,'19_Расчет_аналитики'!AH630-'19_Расчет_аналитики'!AH632)</f>
        <v/>
      </c>
      <c r="AI633">
        <f>MAX(0,'19_Расчет_аналитики'!AI630-'19_Расчет_аналитики'!AI632)</f>
        <v/>
      </c>
      <c r="AJ633">
        <f>MAX(0,'19_Расчет_аналитики'!AJ630-'19_Расчет_аналитики'!AJ632)</f>
        <v/>
      </c>
      <c r="AK633">
        <f>MAX(0,'19_Расчет_аналитики'!AK630-'19_Расчет_аналитики'!AK632)</f>
        <v/>
      </c>
      <c r="AL633">
        <f>MAX(0,'19_Расчет_аналитики'!AL630-'19_Расчет_аналитики'!AL632)</f>
        <v/>
      </c>
      <c r="AM633">
        <f>MAX(0,'19_Расчет_аналитики'!AM630-'19_Расчет_аналитики'!AM632)</f>
        <v/>
      </c>
      <c r="AN633">
        <f>MAX(0,'19_Расчет_аналитики'!AN630-'19_Расчет_аналитики'!AN632)</f>
        <v/>
      </c>
      <c r="AO633">
        <f>MAX(0,'19_Расчет_аналитики'!AO630-'19_Расчет_аналитики'!AO632)</f>
        <v/>
      </c>
      <c r="AP633">
        <f>MAX(0,'19_Расчет_аналитики'!AP630-'19_Расчет_аналитики'!AP632)</f>
        <v/>
      </c>
      <c r="AQ633">
        <f>MAX(0,'19_Расчет_аналитики'!AQ630-'19_Расчет_аналитики'!AQ632)</f>
        <v/>
      </c>
      <c r="AR633">
        <f>MAX(0,'19_Расчет_аналитики'!AR630-'19_Расчет_аналитики'!AR632)</f>
        <v/>
      </c>
      <c r="AS633">
        <f>MAX(0,'19_Расчет_аналитики'!AS630-'19_Расчет_аналитики'!AS632)</f>
        <v/>
      </c>
      <c r="AT633">
        <f>MAX(0,'19_Расчет_аналитики'!AT630-'19_Расчет_аналитики'!AT632)</f>
        <v/>
      </c>
      <c r="AU633">
        <f>MAX(0,'19_Расчет_аналитики'!AU630-'19_Расчет_аналитики'!AU632)</f>
        <v/>
      </c>
      <c r="AV633">
        <f>MAX(0,'19_Расчет_аналитики'!AV630-'19_Расчет_аналитики'!AV632)</f>
        <v/>
      </c>
      <c r="AW633">
        <f>MAX(0,'19_Расчет_аналитики'!AW630-'19_Расчет_аналитики'!AW632)</f>
        <v/>
      </c>
      <c r="AX633">
        <f>MAX(0,'19_Расчет_аналитики'!AX630-'19_Расчет_аналитики'!AX632)</f>
        <v/>
      </c>
      <c r="AY633">
        <f>MAX(0,'19_Расчет_аналитики'!AY630-'19_Расчет_аналитики'!AY632)</f>
        <v/>
      </c>
      <c r="AZ633">
        <f>MAX(0,'19_Расчет_аналитики'!AZ630-'19_Расчет_аналитики'!AZ632)</f>
        <v/>
      </c>
      <c r="BA633">
        <f>MAX(0,'19_Расчет_аналитики'!BA630-'19_Расчет_аналитики'!BA632)</f>
        <v/>
      </c>
      <c r="BB633">
        <f>MAX(0,'19_Расчет_аналитики'!BB630-'19_Расчет_аналитики'!BB632)</f>
        <v/>
      </c>
      <c r="BC633">
        <f>MAX(0,'19_Расчет_аналитики'!BC630-'19_Расчет_аналитики'!BC632)</f>
        <v/>
      </c>
      <c r="BD633">
        <f>MAX(0,'19_Расчет_аналитики'!BD630-'19_Расчет_аналитики'!BD632)</f>
        <v/>
      </c>
      <c r="BE633">
        <f>MAX(0,'19_Расчет_аналитики'!BE630-'19_Расчет_аналитики'!BE632)</f>
        <v/>
      </c>
      <c r="BF633">
        <f>MAX(0,'19_Расчет_аналитики'!BF630-'19_Расчет_аналитики'!BF632)</f>
        <v/>
      </c>
      <c r="BG633">
        <f>MAX(0,'19_Расчет_аналитики'!BG630-'19_Расчет_аналитики'!BG632)</f>
        <v/>
      </c>
      <c r="BH633">
        <f>MAX(0,'19_Расчет_аналитики'!BH630-'19_Расчет_аналитики'!BH632)</f>
        <v/>
      </c>
      <c r="BI633">
        <f>MAX(0,'19_Расчет_аналитики'!BI630-'19_Расчет_аналитики'!BI632)</f>
        <v/>
      </c>
      <c r="BJ633">
        <f>MAX(0,'19_Расчет_аналитики'!BJ630-'07_Мерч'!BJ31)</f>
        <v/>
      </c>
      <c r="BK633">
        <f>MAX(0,'19_Расчет_аналитики'!BK630-'07_Мерч'!BK31)</f>
        <v/>
      </c>
      <c r="BL633">
        <f>MAX(0,'19_Расчет_аналитики'!BL630-'07_Мерч'!BL31)</f>
        <v/>
      </c>
      <c r="BM633">
        <f>MAX(0,'19_Расчет_аналитики'!BM630-'07_Мерч'!BM31)</f>
        <v/>
      </c>
      <c r="BN633">
        <f>MAX(0,'19_Расчет_аналитики'!BN630-'07_Мерч'!BN31)</f>
        <v/>
      </c>
      <c r="BO633">
        <f>MAX(0,'19_Расчет_аналитики'!BO630-'07_Мерч'!BO31)</f>
        <v/>
      </c>
    </row>
    <row r="634"/>
    <row r="635"/>
    <row r="636"/>
    <row r="637"/>
    <row r="638"/>
    <row r="639"/>
    <row r="640"/>
    <row r="641"/>
    <row r="642"/>
    <row r="643"/>
    <row r="644"/>
    <row r="645"/>
    <row r="646"/>
    <row r="647">
      <c r="C647">
        <f>MAX(0,MAX('01_Вводные'!$B$118,INT('19_Расчет_аналитики'!C707/'01_Вводные'!$B$117)+1)-'01_Вводные'!$B$118)</f>
        <v/>
      </c>
      <c r="D647">
        <f>MAX(0,MAX('01_Вводные'!$B$118,INT('19_Расчет_аналитики'!D707/'01_Вводные'!$B$117)+1)-'01_Вводные'!$B$118)</f>
        <v/>
      </c>
      <c r="E647">
        <f>MAX(0,MAX('01_Вводные'!$B$118,INT('19_Расчет_аналитики'!E707/'01_Вводные'!$B$117)+1)-'01_Вводные'!$B$118)</f>
        <v/>
      </c>
      <c r="F647">
        <f>MAX(0,MAX('01_Вводные'!$B$118,INT('19_Расчет_аналитики'!F707/'01_Вводные'!$B$117)+1)-'01_Вводные'!$B$118)</f>
        <v/>
      </c>
      <c r="G647">
        <f>MAX(0,MAX('01_Вводные'!$B$118,INT('19_Расчет_аналитики'!G707/'01_Вводные'!$B$117)+1)-'01_Вводные'!$B$118)</f>
        <v/>
      </c>
      <c r="H647">
        <f>MAX(0,MAX('01_Вводные'!$B$118,INT('19_Расчет_аналитики'!H707/'01_Вводные'!$B$117)+1)-'01_Вводные'!$B$118)</f>
        <v/>
      </c>
      <c r="I647">
        <f>MAX(0,MAX('01_Вводные'!$B$118,INT('19_Расчет_аналитики'!I707/'01_Вводные'!$B$117)+1)-'01_Вводные'!$B$118)</f>
        <v/>
      </c>
      <c r="J647">
        <f>MAX(0,MAX('01_Вводные'!$B$118,INT('19_Расчет_аналитики'!J707/'01_Вводные'!$B$117)+1)-'01_Вводные'!$B$118)</f>
        <v/>
      </c>
      <c r="K647">
        <f>MAX(0,MAX('01_Вводные'!$B$118,INT('19_Расчет_аналитики'!K707/'01_Вводные'!$B$117)+1)-'01_Вводные'!$B$118)</f>
        <v/>
      </c>
      <c r="L647">
        <f>MAX(0,MAX('01_Вводные'!$B$118,INT('19_Расчет_аналитики'!L707/'01_Вводные'!$B$117)+1)-'01_Вводные'!$B$118)</f>
        <v/>
      </c>
      <c r="M647">
        <f>MAX(0,MAX('01_Вводные'!$B$118,INT('19_Расчет_аналитики'!M707/'01_Вводные'!$B$117)+1)-'01_Вводные'!$B$118)</f>
        <v/>
      </c>
      <c r="N647">
        <f>MAX(0,MAX('01_Вводные'!$B$118,INT('19_Расчет_аналитики'!N707/'01_Вводные'!$B$117)+1)-'01_Вводные'!$B$118)</f>
        <v/>
      </c>
      <c r="O647">
        <f>MAX(0,MAX('01_Вводные'!$B$118,INT('19_Расчет_аналитики'!O707/'01_Вводные'!$B$117)+1)-'01_Вводные'!$B$118)</f>
        <v/>
      </c>
      <c r="P647">
        <f>MAX(0,MAX('01_Вводные'!$B$118,INT('19_Расчет_аналитики'!P707/'01_Вводные'!$B$117)+1)-'01_Вводные'!$B$118)</f>
        <v/>
      </c>
      <c r="Q647">
        <f>MAX(0,MAX('01_Вводные'!$B$118,INT('19_Расчет_аналитики'!Q707/'01_Вводные'!$B$117)+1)-'01_Вводные'!$B$118)</f>
        <v/>
      </c>
      <c r="R647">
        <f>MAX(0,MAX('01_Вводные'!$B$118,INT('19_Расчет_аналитики'!R707/'01_Вводные'!$B$117)+1)-'01_Вводные'!$B$118)</f>
        <v/>
      </c>
      <c r="S647">
        <f>MAX(0,MAX('01_Вводные'!$B$118,INT('19_Расчет_аналитики'!S707/'01_Вводные'!$B$117)+1)-'01_Вводные'!$B$118)</f>
        <v/>
      </c>
      <c r="T647">
        <f>MAX(0,MAX('01_Вводные'!$B$118,INT('19_Расчет_аналитики'!T707/'01_Вводные'!$B$117)+1)-'01_Вводные'!$B$118)</f>
        <v/>
      </c>
      <c r="U647">
        <f>MAX(0,MAX('01_Вводные'!$B$118,INT('19_Расчет_аналитики'!U707/'01_Вводные'!$B$117)+1)-'01_Вводные'!$B$118)</f>
        <v/>
      </c>
      <c r="V647">
        <f>MAX(0,MAX('01_Вводные'!$B$118,INT('19_Расчет_аналитики'!V707/'01_Вводные'!$B$117)+1)-'01_Вводные'!$B$118)</f>
        <v/>
      </c>
      <c r="W647">
        <f>MAX(0,MAX('01_Вводные'!$B$118,INT('19_Расчет_аналитики'!W707/'01_Вводные'!$B$117)+1)-'01_Вводные'!$B$118)</f>
        <v/>
      </c>
      <c r="X647">
        <f>MAX(0,MAX('01_Вводные'!$B$118,INT('19_Расчет_аналитики'!X707/'01_Вводные'!$B$117)+1)-'01_Вводные'!$B$118)</f>
        <v/>
      </c>
      <c r="Y647">
        <f>MAX(0,MAX('01_Вводные'!$B$118,INT('19_Расчет_аналитики'!Y707/'01_Вводные'!$B$117)+1)-'01_Вводные'!$B$118)</f>
        <v/>
      </c>
      <c r="Z647">
        <f>MAX(0,MAX('01_Вводные'!$B$118,INT('19_Расчет_аналитики'!Z707/'01_Вводные'!$B$117)+1)-'01_Вводные'!$B$118)</f>
        <v/>
      </c>
      <c r="AA647">
        <f>MAX(0,MAX('01_Вводные'!$B$118,INT('19_Расчет_аналитики'!AA707/'01_Вводные'!$B$117)+1)-'01_Вводные'!$B$118)</f>
        <v/>
      </c>
      <c r="AB647">
        <f>MAX(0,MAX('01_Вводные'!$B$118,INT('19_Расчет_аналитики'!AB707/'01_Вводные'!$B$117)+1)-'01_Вводные'!$B$118)</f>
        <v/>
      </c>
      <c r="AC647">
        <f>MAX(0,MAX('01_Вводные'!$B$118,INT('19_Расчет_аналитики'!AC707/'01_Вводные'!$B$117)+1)-'01_Вводные'!$B$118)</f>
        <v/>
      </c>
      <c r="AD647">
        <f>MAX(0,MAX('01_Вводные'!$B$118,INT('19_Расчет_аналитики'!AD707/'01_Вводные'!$B$117)+1)-'01_Вводные'!$B$118)</f>
        <v/>
      </c>
      <c r="AE647">
        <f>MAX(0,MAX('01_Вводные'!$B$118,INT('19_Расчет_аналитики'!AE707/'01_Вводные'!$B$117)+1)-'01_Вводные'!$B$118)</f>
        <v/>
      </c>
      <c r="AF647">
        <f>MAX(0,MAX('01_Вводные'!$B$118,INT('19_Расчет_аналитики'!AF707/'01_Вводные'!$B$117)+1)-'01_Вводные'!$B$118)</f>
        <v/>
      </c>
      <c r="AG647">
        <f>MAX(0,MAX('01_Вводные'!$B$118,INT('19_Расчет_аналитики'!AG707/'01_Вводные'!$B$117)+1)-'01_Вводные'!$B$118)</f>
        <v/>
      </c>
      <c r="AH647">
        <f>MAX(0,MAX('01_Вводные'!$B$118,INT('19_Расчет_аналитики'!AH707/'01_Вводные'!$B$117)+1)-'01_Вводные'!$B$118)</f>
        <v/>
      </c>
      <c r="AI647">
        <f>MAX(0,MAX('01_Вводные'!$B$118,INT('19_Расчет_аналитики'!AI707/'01_Вводные'!$B$117)+1)-'01_Вводные'!$B$118)</f>
        <v/>
      </c>
      <c r="AJ647">
        <f>MAX(0,MAX('01_Вводные'!$B$118,INT('19_Расчет_аналитики'!AJ707/'01_Вводные'!$B$117)+1)-'01_Вводные'!$B$118)</f>
        <v/>
      </c>
      <c r="AK647">
        <f>MAX(0,MAX('01_Вводные'!$B$118,INT('19_Расчет_аналитики'!AK707/'01_Вводные'!$B$117)+1)-'01_Вводные'!$B$118)</f>
        <v/>
      </c>
      <c r="AL647">
        <f>MAX(0,MAX('01_Вводные'!$B$118,INT('19_Расчет_аналитики'!AL707/'01_Вводные'!$B$117)+1)-'01_Вводные'!$B$118)</f>
        <v/>
      </c>
      <c r="AM647">
        <f>MAX(0,MAX('01_Вводные'!$B$118,INT('19_Расчет_аналитики'!AM707/'01_Вводные'!$B$117)+1)-'01_Вводные'!$B$118)</f>
        <v/>
      </c>
      <c r="AN647">
        <f>MAX(0,MAX('01_Вводные'!$B$118,INT('19_Расчет_аналитики'!AN707/'01_Вводные'!$B$117)+1)-'01_Вводные'!$B$118)</f>
        <v/>
      </c>
      <c r="AO647">
        <f>MAX(0,MAX('01_Вводные'!$B$118,INT('19_Расчет_аналитики'!AO707/'01_Вводные'!$B$117)+1)-'01_Вводные'!$B$118)</f>
        <v/>
      </c>
      <c r="AP647">
        <f>MAX(0,MAX('01_Вводные'!$B$118,INT('19_Расчет_аналитики'!AP707/'01_Вводные'!$B$117)+1)-'01_Вводные'!$B$118)</f>
        <v/>
      </c>
      <c r="AQ647">
        <f>MAX(0,MAX('01_Вводные'!$B$118,INT('19_Расчет_аналитики'!AQ707/'01_Вводные'!$B$117)+1)-'01_Вводные'!$B$118)</f>
        <v/>
      </c>
      <c r="AR647">
        <f>MAX(0,MAX('01_Вводные'!$B$118,INT('19_Расчет_аналитики'!AR707/'01_Вводные'!$B$117)+1)-'01_Вводные'!$B$118)</f>
        <v/>
      </c>
      <c r="AS647">
        <f>MAX(0,MAX('01_Вводные'!$B$118,INT('19_Расчет_аналитики'!AS707/'01_Вводные'!$B$117)+1)-'01_Вводные'!$B$118)</f>
        <v/>
      </c>
      <c r="AT647">
        <f>MAX(0,MAX('01_Вводные'!$B$118,INT('19_Расчет_аналитики'!AT707/'01_Вводные'!$B$117)+1)-'01_Вводные'!$B$118)</f>
        <v/>
      </c>
      <c r="AU647">
        <f>MAX(0,MAX('01_Вводные'!$B$118,INT('19_Расчет_аналитики'!AU707/'01_Вводные'!$B$117)+1)-'01_Вводные'!$B$118)</f>
        <v/>
      </c>
      <c r="AV647">
        <f>MAX(0,MAX('01_Вводные'!$B$118,INT('19_Расчет_аналитики'!AV707/'01_Вводные'!$B$117)+1)-'01_Вводные'!$B$118)</f>
        <v/>
      </c>
      <c r="AW647">
        <f>MAX(0,MAX('01_Вводные'!$B$118,INT('19_Расчет_аналитики'!AW707/'01_Вводные'!$B$117)+1)-'01_Вводные'!$B$118)</f>
        <v/>
      </c>
      <c r="AX647">
        <f>MAX(0,MAX('01_Вводные'!$B$118,INT('19_Расчет_аналитики'!AX707/'01_Вводные'!$B$117)+1)-'01_Вводные'!$B$118)</f>
        <v/>
      </c>
      <c r="AY647">
        <f>MAX(0,MAX('01_Вводные'!$B$118,INT('19_Расчет_аналитики'!AY707/'01_Вводные'!$B$117)+1)-'01_Вводные'!$B$118)</f>
        <v/>
      </c>
      <c r="AZ647">
        <f>MAX(0,MAX('01_Вводные'!$B$118,INT('19_Расчет_аналитики'!AZ707/'01_Вводные'!$B$117)+1)-'01_Вводные'!$B$118)</f>
        <v/>
      </c>
      <c r="BA647">
        <f>MAX(0,MAX('01_Вводные'!$B$118,INT('19_Расчет_аналитики'!BA707/'01_Вводные'!$B$117)+1)-'01_Вводные'!$B$118)</f>
        <v/>
      </c>
      <c r="BB647">
        <f>MAX(0,MAX('01_Вводные'!$B$118,INT('19_Расчет_аналитики'!BB707/'01_Вводные'!$B$117)+1)-'01_Вводные'!$B$118)</f>
        <v/>
      </c>
      <c r="BC647">
        <f>MAX(0,MAX('01_Вводные'!$B$118,INT('19_Расчет_аналитики'!BC707/'01_Вводные'!$B$117)+1)-'01_Вводные'!$B$118)</f>
        <v/>
      </c>
      <c r="BD647">
        <f>MAX(0,MAX('01_Вводные'!$B$118,INT('19_Расчет_аналитики'!BD707/'01_Вводные'!$B$117)+1)-'01_Вводные'!$B$118)</f>
        <v/>
      </c>
      <c r="BE647">
        <f>MAX(0,MAX('01_Вводные'!$B$118,INT('19_Расчет_аналитики'!BE707/'01_Вводные'!$B$117)+1)-'01_Вводные'!$B$118)</f>
        <v/>
      </c>
      <c r="BF647">
        <f>MAX(0,MAX('01_Вводные'!$B$118,INT('19_Расчет_аналитики'!BF707/'01_Вводные'!$B$117)+1)-'01_Вводные'!$B$118)</f>
        <v/>
      </c>
      <c r="BG647">
        <f>MAX(0,MAX('01_Вводные'!$B$118,INT('19_Расчет_аналитики'!BG707/'01_Вводные'!$B$117)+1)-'01_Вводные'!$B$118)</f>
        <v/>
      </c>
      <c r="BH647">
        <f>MAX(0,MAX('01_Вводные'!$B$118,INT('19_Расчет_аналитики'!BH707/'01_Вводные'!$B$117)+1)-'01_Вводные'!$B$118)</f>
        <v/>
      </c>
      <c r="BI647">
        <f>MAX(0,MAX('01_Вводные'!$B$118,INT('19_Расчет_аналитики'!BI707/'01_Вводные'!$B$117)+1)-'01_Вводные'!$B$118)</f>
        <v/>
      </c>
    </row>
    <row r="648">
      <c r="C648">
        <f>'19_Расчет_аналитики'!C647*'01_Вводные'!$B$119*'08_ФОТ'!C5</f>
        <v/>
      </c>
      <c r="D648">
        <f>'19_Расчет_аналитики'!D647*'01_Вводные'!$B$119*'08_ФОТ'!D5</f>
        <v/>
      </c>
      <c r="E648">
        <f>'19_Расчет_аналитики'!E647*'01_Вводные'!$B$119*'08_ФОТ'!E5</f>
        <v/>
      </c>
      <c r="F648">
        <f>'19_Расчет_аналитики'!F647*'01_Вводные'!$B$119*'08_ФОТ'!F5</f>
        <v/>
      </c>
      <c r="G648">
        <f>'19_Расчет_аналитики'!G647*'01_Вводные'!$B$119*'08_ФОТ'!G5</f>
        <v/>
      </c>
      <c r="H648">
        <f>'19_Расчет_аналитики'!H647*'01_Вводные'!$B$119*'08_ФОТ'!H5</f>
        <v/>
      </c>
      <c r="I648">
        <f>'19_Расчет_аналитики'!I647*'01_Вводные'!$B$119*'08_ФОТ'!I5</f>
        <v/>
      </c>
      <c r="J648">
        <f>'19_Расчет_аналитики'!J647*'01_Вводные'!$B$119*'08_ФОТ'!J5</f>
        <v/>
      </c>
      <c r="K648">
        <f>'19_Расчет_аналитики'!K647*'01_Вводные'!$B$119*'08_ФОТ'!K5</f>
        <v/>
      </c>
      <c r="L648">
        <f>'19_Расчет_аналитики'!L647*'01_Вводные'!$B$119*'08_ФОТ'!L5</f>
        <v/>
      </c>
      <c r="M648">
        <f>'19_Расчет_аналитики'!M647*'01_Вводные'!$B$119*'08_ФОТ'!M5</f>
        <v/>
      </c>
      <c r="N648">
        <f>'19_Расчет_аналитики'!N647*'01_Вводные'!$B$119*'08_ФОТ'!N5</f>
        <v/>
      </c>
      <c r="O648">
        <f>'19_Расчет_аналитики'!O647*'01_Вводные'!$B$119*'08_ФОТ'!O5</f>
        <v/>
      </c>
      <c r="P648">
        <f>'19_Расчет_аналитики'!P647*'01_Вводные'!$B$119*'08_ФОТ'!P5</f>
        <v/>
      </c>
      <c r="Q648">
        <f>'19_Расчет_аналитики'!Q647*'01_Вводные'!$B$119*'08_ФОТ'!Q5</f>
        <v/>
      </c>
      <c r="R648">
        <f>'19_Расчет_аналитики'!R647*'01_Вводные'!$B$119*'08_ФОТ'!R5</f>
        <v/>
      </c>
      <c r="S648">
        <f>'19_Расчет_аналитики'!S647*'01_Вводные'!$B$119*'08_ФОТ'!S5</f>
        <v/>
      </c>
      <c r="T648">
        <f>'19_Расчет_аналитики'!T647*'01_Вводные'!$B$119*'08_ФОТ'!T5</f>
        <v/>
      </c>
      <c r="U648">
        <f>'19_Расчет_аналитики'!U647*'01_Вводные'!$B$119*'08_ФОТ'!U5</f>
        <v/>
      </c>
      <c r="V648">
        <f>'19_Расчет_аналитики'!V647*'01_Вводные'!$B$119*'08_ФОТ'!V5</f>
        <v/>
      </c>
      <c r="W648">
        <f>'19_Расчет_аналитики'!W647*'01_Вводные'!$B$119*'08_ФОТ'!W5</f>
        <v/>
      </c>
      <c r="X648">
        <f>'19_Расчет_аналитики'!X647*'01_Вводные'!$B$119*'08_ФОТ'!X5</f>
        <v/>
      </c>
      <c r="Y648">
        <f>'19_Расчет_аналитики'!Y647*'01_Вводные'!$B$119*'08_ФОТ'!Y5</f>
        <v/>
      </c>
      <c r="Z648">
        <f>'19_Расчет_аналитики'!Z647*'01_Вводные'!$B$119*'08_ФОТ'!Z5</f>
        <v/>
      </c>
      <c r="AA648">
        <f>'19_Расчет_аналитики'!AA647*'01_Вводные'!$B$119*'08_ФОТ'!AA5</f>
        <v/>
      </c>
      <c r="AB648">
        <f>'19_Расчет_аналитики'!AB647*'01_Вводные'!$B$119*'08_ФОТ'!AB5</f>
        <v/>
      </c>
      <c r="AC648">
        <f>'19_Расчет_аналитики'!AC647*'01_Вводные'!$B$119*'08_ФОТ'!AC5</f>
        <v/>
      </c>
      <c r="AD648">
        <f>'19_Расчет_аналитики'!AD647*'01_Вводные'!$B$119*'08_ФОТ'!AD5</f>
        <v/>
      </c>
      <c r="AE648">
        <f>'19_Расчет_аналитики'!AE647*'01_Вводные'!$B$119*'08_ФОТ'!AE5</f>
        <v/>
      </c>
      <c r="AF648">
        <f>'19_Расчет_аналитики'!AF647*'01_Вводные'!$B$119*'08_ФОТ'!AF5</f>
        <v/>
      </c>
      <c r="AG648">
        <f>'19_Расчет_аналитики'!AG647*'01_Вводные'!$B$119*'08_ФОТ'!AG5</f>
        <v/>
      </c>
      <c r="AH648">
        <f>'19_Расчет_аналитики'!AH647*'01_Вводные'!$B$119*'08_ФОТ'!AH5</f>
        <v/>
      </c>
      <c r="AI648">
        <f>'19_Расчет_аналитики'!AI647*'01_Вводные'!$B$119*'08_ФОТ'!AI5</f>
        <v/>
      </c>
      <c r="AJ648">
        <f>'19_Расчет_аналитики'!AJ647*'01_Вводные'!$B$119*'08_ФОТ'!AJ5</f>
        <v/>
      </c>
      <c r="AK648">
        <f>'19_Расчет_аналитики'!AK647*'01_Вводные'!$B$119*'08_ФОТ'!AK5</f>
        <v/>
      </c>
      <c r="AL648">
        <f>'19_Расчет_аналитики'!AL647*'01_Вводные'!$B$119*'08_ФОТ'!AL5</f>
        <v/>
      </c>
      <c r="AM648">
        <f>'19_Расчет_аналитики'!AM647*'01_Вводные'!$B$119*'08_ФОТ'!AM5</f>
        <v/>
      </c>
      <c r="AN648">
        <f>'19_Расчет_аналитики'!AN647*'01_Вводные'!$B$119*'08_ФОТ'!AN5</f>
        <v/>
      </c>
      <c r="AO648">
        <f>'19_Расчет_аналитики'!AO647*'01_Вводные'!$B$119*'08_ФОТ'!AO5</f>
        <v/>
      </c>
      <c r="AP648">
        <f>'19_Расчет_аналитики'!AP647*'01_Вводные'!$B$119*'08_ФОТ'!AP5</f>
        <v/>
      </c>
      <c r="AQ648">
        <f>'19_Расчет_аналитики'!AQ647*'01_Вводные'!$B$119*'08_ФОТ'!AQ5</f>
        <v/>
      </c>
      <c r="AR648">
        <f>'19_Расчет_аналитики'!AR647*'01_Вводные'!$B$119*'08_ФОТ'!AR5</f>
        <v/>
      </c>
      <c r="AS648">
        <f>'19_Расчет_аналитики'!AS647*'01_Вводные'!$B$119*'08_ФОТ'!AS5</f>
        <v/>
      </c>
      <c r="AT648">
        <f>'19_Расчет_аналитики'!AT647*'01_Вводные'!$B$119*'08_ФОТ'!AT5</f>
        <v/>
      </c>
      <c r="AU648">
        <f>'19_Расчет_аналитики'!AU647*'01_Вводные'!$B$119*'08_ФОТ'!AU5</f>
        <v/>
      </c>
      <c r="AV648">
        <f>'19_Расчет_аналитики'!AV647*'01_Вводные'!$B$119*'08_ФОТ'!AV5</f>
        <v/>
      </c>
      <c r="AW648">
        <f>'19_Расчет_аналитики'!AW647*'01_Вводные'!$B$119*'08_ФОТ'!AW5</f>
        <v/>
      </c>
      <c r="AX648">
        <f>'19_Расчет_аналитики'!AX647*'01_Вводные'!$B$119*'08_ФОТ'!AX5</f>
        <v/>
      </c>
      <c r="AY648">
        <f>'19_Расчет_аналитики'!AY647*'01_Вводные'!$B$119*'08_ФОТ'!AY5</f>
        <v/>
      </c>
      <c r="AZ648">
        <f>'19_Расчет_аналитики'!AZ647*'01_Вводные'!$B$119*'08_ФОТ'!AZ5</f>
        <v/>
      </c>
      <c r="BA648">
        <f>'19_Расчет_аналитики'!BA647*'01_Вводные'!$B$119*'08_ФОТ'!BA5</f>
        <v/>
      </c>
      <c r="BB648">
        <f>'19_Расчет_аналитики'!BB647*'01_Вводные'!$B$119*'08_ФОТ'!BB5</f>
        <v/>
      </c>
      <c r="BC648">
        <f>'19_Расчет_аналитики'!BC647*'01_Вводные'!$B$119*'08_ФОТ'!BC5</f>
        <v/>
      </c>
      <c r="BD648">
        <f>'19_Расчет_аналитики'!BD647*'01_Вводные'!$B$119*'08_ФОТ'!BD5</f>
        <v/>
      </c>
      <c r="BE648">
        <f>'19_Расчет_аналитики'!BE647*'01_Вводные'!$B$119*'08_ФОТ'!BE5</f>
        <v/>
      </c>
      <c r="BF648">
        <f>'19_Расчет_аналитики'!BF647*'01_Вводные'!$B$119*'08_ФОТ'!BF5</f>
        <v/>
      </c>
      <c r="BG648">
        <f>'19_Расчет_аналитики'!BG647*'01_Вводные'!$B$119*'08_ФОТ'!BG5</f>
        <v/>
      </c>
      <c r="BH648">
        <f>'19_Расчет_аналитики'!BH647*'01_Вводные'!$B$119*'08_ФОТ'!BH5</f>
        <v/>
      </c>
      <c r="BI648">
        <f>'19_Расчет_аналитики'!BI647*'01_Вводные'!$B$119*'08_ФОТ'!BI5</f>
        <v/>
      </c>
    </row>
    <row r="649">
      <c r="C649">
        <f>SUM('08_ФОТ'!C7:C9,'19_Расчет_аналитики'!C648)</f>
        <v/>
      </c>
      <c r="D649">
        <f>SUM('08_ФОТ'!D7:D9,'19_Расчет_аналитики'!D648)</f>
        <v/>
      </c>
      <c r="E649">
        <f>SUM('08_ФОТ'!E7:E9,'19_Расчет_аналитики'!E648)</f>
        <v/>
      </c>
      <c r="F649">
        <f>SUM('08_ФОТ'!F7:F9,'19_Расчет_аналитики'!F648)</f>
        <v/>
      </c>
      <c r="G649">
        <f>SUM('08_ФОТ'!G7:G9,'19_Расчет_аналитики'!G648)</f>
        <v/>
      </c>
      <c r="H649">
        <f>SUM('08_ФОТ'!H7:H9,'19_Расчет_аналитики'!H648)</f>
        <v/>
      </c>
      <c r="I649">
        <f>SUM('08_ФОТ'!I7:I9,'19_Расчет_аналитики'!I648)</f>
        <v/>
      </c>
      <c r="J649">
        <f>SUM('08_ФОТ'!J7:J9,'19_Расчет_аналитики'!J648)</f>
        <v/>
      </c>
      <c r="K649">
        <f>SUM('08_ФОТ'!K7:K9,'19_Расчет_аналитики'!K648)</f>
        <v/>
      </c>
      <c r="L649">
        <f>SUM('08_ФОТ'!L7:L9,'19_Расчет_аналитики'!L648)</f>
        <v/>
      </c>
      <c r="M649">
        <f>SUM('08_ФОТ'!M7:M9,'19_Расчет_аналитики'!M648)</f>
        <v/>
      </c>
      <c r="N649">
        <f>SUM('08_ФОТ'!N7:N9,'19_Расчет_аналитики'!N648)</f>
        <v/>
      </c>
      <c r="O649">
        <f>SUM('08_ФОТ'!O7:O9,'19_Расчет_аналитики'!O648)</f>
        <v/>
      </c>
      <c r="P649">
        <f>SUM('08_ФОТ'!P7:P9,'19_Расчет_аналитики'!P648)</f>
        <v/>
      </c>
      <c r="Q649">
        <f>SUM('08_ФОТ'!Q7:Q9,'19_Расчет_аналитики'!Q648)</f>
        <v/>
      </c>
      <c r="R649">
        <f>SUM('08_ФОТ'!R7:R9,'19_Расчет_аналитики'!R648)</f>
        <v/>
      </c>
      <c r="S649">
        <f>SUM('08_ФОТ'!S7:S9,'19_Расчет_аналитики'!S648)</f>
        <v/>
      </c>
      <c r="T649">
        <f>SUM('08_ФОТ'!T7:T9,'19_Расчет_аналитики'!T648)</f>
        <v/>
      </c>
      <c r="U649">
        <f>SUM('08_ФОТ'!U7:U9,'19_Расчет_аналитики'!U648)</f>
        <v/>
      </c>
      <c r="V649">
        <f>SUM('08_ФОТ'!V7:V9,'19_Расчет_аналитики'!V648)</f>
        <v/>
      </c>
      <c r="W649">
        <f>SUM('08_ФОТ'!W7:W9,'19_Расчет_аналитики'!W648)</f>
        <v/>
      </c>
      <c r="X649">
        <f>SUM('08_ФОТ'!X7:X9,'19_Расчет_аналитики'!X648)</f>
        <v/>
      </c>
      <c r="Y649">
        <f>SUM('08_ФОТ'!Y7:Y9,'19_Расчет_аналитики'!Y648)</f>
        <v/>
      </c>
      <c r="Z649">
        <f>SUM('08_ФОТ'!Z7:Z9,'19_Расчет_аналитики'!Z648)</f>
        <v/>
      </c>
      <c r="AA649">
        <f>SUM('08_ФОТ'!AA7:AA9,'19_Расчет_аналитики'!AA648)</f>
        <v/>
      </c>
      <c r="AB649">
        <f>SUM('08_ФОТ'!AB7:AB9,'19_Расчет_аналитики'!AB648)</f>
        <v/>
      </c>
      <c r="AC649">
        <f>SUM('08_ФОТ'!AC7:AC9,'19_Расчет_аналитики'!AC648)</f>
        <v/>
      </c>
      <c r="AD649">
        <f>SUM('08_ФОТ'!AD7:AD9,'19_Расчет_аналитики'!AD648)</f>
        <v/>
      </c>
      <c r="AE649">
        <f>SUM('08_ФОТ'!AE7:AE9,'19_Расчет_аналитики'!AE648)</f>
        <v/>
      </c>
      <c r="AF649">
        <f>SUM('08_ФОТ'!AF7:AF9,'19_Расчет_аналитики'!AF648)</f>
        <v/>
      </c>
      <c r="AG649">
        <f>SUM('08_ФОТ'!AG7:AG9,'19_Расчет_аналитики'!AG648)</f>
        <v/>
      </c>
      <c r="AH649">
        <f>SUM('08_ФОТ'!AH7:AH9,'19_Расчет_аналитики'!AH648)</f>
        <v/>
      </c>
      <c r="AI649">
        <f>SUM('08_ФОТ'!AI7:AI9,'19_Расчет_аналитики'!AI648)</f>
        <v/>
      </c>
      <c r="AJ649">
        <f>SUM('08_ФОТ'!AJ7:AJ9,'19_Расчет_аналитики'!AJ648)</f>
        <v/>
      </c>
      <c r="AK649">
        <f>SUM('08_ФОТ'!AK7:AK9,'19_Расчет_аналитики'!AK648)</f>
        <v/>
      </c>
      <c r="AL649">
        <f>SUM('08_ФОТ'!AL7:AL9,'19_Расчет_аналитики'!AL648)</f>
        <v/>
      </c>
      <c r="AM649">
        <f>SUM('08_ФОТ'!AM7:AM9,'19_Расчет_аналитики'!AM648)</f>
        <v/>
      </c>
      <c r="AN649">
        <f>SUM('08_ФОТ'!AN7:AN9,'19_Расчет_аналитики'!AN648)</f>
        <v/>
      </c>
      <c r="AO649">
        <f>SUM('08_ФОТ'!AO7:AO9,'19_Расчет_аналитики'!AO648)</f>
        <v/>
      </c>
      <c r="AP649">
        <f>SUM('08_ФОТ'!AP7:AP9,'19_Расчет_аналитики'!AP648)</f>
        <v/>
      </c>
      <c r="AQ649">
        <f>SUM('08_ФОТ'!AQ7:AQ9,'19_Расчет_аналитики'!AQ648)</f>
        <v/>
      </c>
      <c r="AR649">
        <f>SUM('08_ФОТ'!AR7:AR9,'19_Расчет_аналитики'!AR648)</f>
        <v/>
      </c>
      <c r="AS649">
        <f>SUM('08_ФОТ'!AS7:AS9,'19_Расчет_аналитики'!AS648)</f>
        <v/>
      </c>
      <c r="AT649">
        <f>SUM('08_ФОТ'!AT7:AT9,'19_Расчет_аналитики'!AT648)</f>
        <v/>
      </c>
      <c r="AU649">
        <f>SUM('08_ФОТ'!AU7:AU9,'19_Расчет_аналитики'!AU648)</f>
        <v/>
      </c>
      <c r="AV649">
        <f>SUM('08_ФОТ'!AV7:AV9,'19_Расчет_аналитики'!AV648)</f>
        <v/>
      </c>
      <c r="AW649">
        <f>SUM('08_ФОТ'!AW7:AW9,'19_Расчет_аналитики'!AW648)</f>
        <v/>
      </c>
      <c r="AX649">
        <f>SUM('08_ФОТ'!AX7:AX9,'19_Расчет_аналитики'!AX648)</f>
        <v/>
      </c>
      <c r="AY649">
        <f>SUM('08_ФОТ'!AY7:AY9,'19_Расчет_аналитики'!AY648)</f>
        <v/>
      </c>
      <c r="AZ649">
        <f>SUM('08_ФОТ'!AZ7:AZ9,'19_Расчет_аналитики'!AZ648)</f>
        <v/>
      </c>
      <c r="BA649">
        <f>SUM('08_ФОТ'!BA7:BA9,'19_Расчет_аналитики'!BA648)</f>
        <v/>
      </c>
      <c r="BB649">
        <f>SUM('08_ФОТ'!BB7:BB9,'19_Расчет_аналитики'!BB648)</f>
        <v/>
      </c>
      <c r="BC649">
        <f>SUM('08_ФОТ'!BC7:BC9,'19_Расчет_аналитики'!BC648)</f>
        <v/>
      </c>
      <c r="BD649">
        <f>SUM('08_ФОТ'!BD7:BD9,'19_Расчет_аналитики'!BD648)</f>
        <v/>
      </c>
      <c r="BE649">
        <f>SUM('08_ФОТ'!BE7:BE9,'19_Расчет_аналитики'!BE648)</f>
        <v/>
      </c>
      <c r="BF649">
        <f>SUM('08_ФОТ'!BF7:BF9,'19_Расчет_аналитики'!BF648)</f>
        <v/>
      </c>
      <c r="BG649">
        <f>SUM('08_ФОТ'!BG7:BG9,'19_Расчет_аналитики'!BG648)</f>
        <v/>
      </c>
      <c r="BH649">
        <f>SUM('08_ФОТ'!BH7:BH9,'19_Расчет_аналитики'!BH648)</f>
        <v/>
      </c>
      <c r="BI649">
        <f>SUM('08_ФОТ'!BI7:BI9,'19_Расчет_аналитики'!BI648)</f>
        <v/>
      </c>
    </row>
    <row r="650">
      <c r="C650">
        <f>'19_Расчет_аналитики'!C649*'01_Вводные'!$B$131</f>
        <v/>
      </c>
      <c r="D650">
        <f>'19_Расчет_аналитики'!D649*'01_Вводные'!$B$131</f>
        <v/>
      </c>
      <c r="E650">
        <f>'19_Расчет_аналитики'!E649*'01_Вводные'!$B$131</f>
        <v/>
      </c>
      <c r="F650">
        <f>'19_Расчет_аналитики'!F649*'01_Вводные'!$B$131</f>
        <v/>
      </c>
      <c r="G650">
        <f>'19_Расчет_аналитики'!G649*'01_Вводные'!$B$131</f>
        <v/>
      </c>
      <c r="H650">
        <f>'19_Расчет_аналитики'!H649*'01_Вводные'!$B$131</f>
        <v/>
      </c>
      <c r="I650">
        <f>'19_Расчет_аналитики'!I649*'01_Вводные'!$B$131</f>
        <v/>
      </c>
      <c r="J650">
        <f>'19_Расчет_аналитики'!J649*'01_Вводные'!$B$131</f>
        <v/>
      </c>
      <c r="K650">
        <f>'19_Расчет_аналитики'!K649*'01_Вводные'!$B$131</f>
        <v/>
      </c>
      <c r="L650">
        <f>'19_Расчет_аналитики'!L649*'01_Вводные'!$B$131</f>
        <v/>
      </c>
      <c r="M650">
        <f>'19_Расчет_аналитики'!M649*'01_Вводные'!$B$131</f>
        <v/>
      </c>
      <c r="N650">
        <f>'19_Расчет_аналитики'!N649*'01_Вводные'!$B$131</f>
        <v/>
      </c>
      <c r="O650">
        <f>'19_Расчет_аналитики'!O649*'01_Вводные'!$B$131</f>
        <v/>
      </c>
      <c r="P650">
        <f>'19_Расчет_аналитики'!P649*'01_Вводные'!$B$131</f>
        <v/>
      </c>
      <c r="Q650">
        <f>'19_Расчет_аналитики'!Q649*'01_Вводные'!$B$131</f>
        <v/>
      </c>
      <c r="R650">
        <f>'19_Расчет_аналитики'!R649*'01_Вводные'!$B$131</f>
        <v/>
      </c>
      <c r="S650">
        <f>'19_Расчет_аналитики'!S649*'01_Вводные'!$B$131</f>
        <v/>
      </c>
      <c r="T650">
        <f>'19_Расчет_аналитики'!T649*'01_Вводные'!$B$131</f>
        <v/>
      </c>
      <c r="U650">
        <f>'19_Расчет_аналитики'!U649*'01_Вводные'!$B$131</f>
        <v/>
      </c>
      <c r="V650">
        <f>'19_Расчет_аналитики'!V649*'01_Вводные'!$B$131</f>
        <v/>
      </c>
      <c r="W650">
        <f>'19_Расчет_аналитики'!W649*'01_Вводные'!$B$131</f>
        <v/>
      </c>
      <c r="X650">
        <f>'19_Расчет_аналитики'!X649*'01_Вводные'!$B$131</f>
        <v/>
      </c>
      <c r="Y650">
        <f>'19_Расчет_аналитики'!Y649*'01_Вводные'!$B$131</f>
        <v/>
      </c>
      <c r="Z650">
        <f>'19_Расчет_аналитики'!Z649*'01_Вводные'!$B$131</f>
        <v/>
      </c>
      <c r="AA650">
        <f>'19_Расчет_аналитики'!AA649*'01_Вводные'!$B$131</f>
        <v/>
      </c>
      <c r="AB650">
        <f>'19_Расчет_аналитики'!AB649*'01_Вводные'!$B$131</f>
        <v/>
      </c>
      <c r="AC650">
        <f>'19_Расчет_аналитики'!AC649*'01_Вводные'!$B$131</f>
        <v/>
      </c>
      <c r="AD650">
        <f>'19_Расчет_аналитики'!AD649*'01_Вводные'!$B$131</f>
        <v/>
      </c>
      <c r="AE650">
        <f>'19_Расчет_аналитики'!AE649*'01_Вводные'!$B$131</f>
        <v/>
      </c>
      <c r="AF650">
        <f>'19_Расчет_аналитики'!AF649*'01_Вводные'!$B$131</f>
        <v/>
      </c>
      <c r="AG650">
        <f>'19_Расчет_аналитики'!AG649*'01_Вводные'!$B$131</f>
        <v/>
      </c>
      <c r="AH650">
        <f>'19_Расчет_аналитики'!AH649*'01_Вводные'!$B$131</f>
        <v/>
      </c>
      <c r="AI650">
        <f>'19_Расчет_аналитики'!AI649*'01_Вводные'!$B$131</f>
        <v/>
      </c>
      <c r="AJ650">
        <f>'19_Расчет_аналитики'!AJ649*'01_Вводные'!$B$131</f>
        <v/>
      </c>
      <c r="AK650">
        <f>'19_Расчет_аналитики'!AK649*'01_Вводные'!$B$131</f>
        <v/>
      </c>
      <c r="AL650">
        <f>'19_Расчет_аналитики'!AL649*'01_Вводные'!$B$131</f>
        <v/>
      </c>
      <c r="AM650">
        <f>'19_Расчет_аналитики'!AM649*'01_Вводные'!$B$131</f>
        <v/>
      </c>
      <c r="AN650">
        <f>'19_Расчет_аналитики'!AN649*'01_Вводные'!$B$131</f>
        <v/>
      </c>
      <c r="AO650">
        <f>'19_Расчет_аналитики'!AO649*'01_Вводные'!$B$131</f>
        <v/>
      </c>
      <c r="AP650">
        <f>'19_Расчет_аналитики'!AP649*'01_Вводные'!$B$131</f>
        <v/>
      </c>
      <c r="AQ650">
        <f>'19_Расчет_аналитики'!AQ649*'01_Вводные'!$B$131</f>
        <v/>
      </c>
      <c r="AR650">
        <f>'19_Расчет_аналитики'!AR649*'01_Вводные'!$B$131</f>
        <v/>
      </c>
      <c r="AS650">
        <f>'19_Расчет_аналитики'!AS649*'01_Вводные'!$B$131</f>
        <v/>
      </c>
      <c r="AT650">
        <f>'19_Расчет_аналитики'!AT649*'01_Вводные'!$B$131</f>
        <v/>
      </c>
      <c r="AU650">
        <f>'19_Расчет_аналитики'!AU649*'01_Вводные'!$B$131</f>
        <v/>
      </c>
      <c r="AV650">
        <f>'19_Расчет_аналитики'!AV649*'01_Вводные'!$B$131</f>
        <v/>
      </c>
      <c r="AW650">
        <f>'19_Расчет_аналитики'!AW649*'01_Вводные'!$B$131</f>
        <v/>
      </c>
      <c r="AX650">
        <f>'19_Расчет_аналитики'!AX649*'01_Вводные'!$B$131</f>
        <v/>
      </c>
      <c r="AY650">
        <f>'19_Расчет_аналитики'!AY649*'01_Вводные'!$B$131</f>
        <v/>
      </c>
      <c r="AZ650">
        <f>'19_Расчет_аналитики'!AZ649*'01_Вводные'!$B$131</f>
        <v/>
      </c>
      <c r="BA650">
        <f>'19_Расчет_аналитики'!BA649*'01_Вводные'!$B$131</f>
        <v/>
      </c>
      <c r="BB650">
        <f>'19_Расчет_аналитики'!BB649*'01_Вводные'!$B$131</f>
        <v/>
      </c>
      <c r="BC650">
        <f>'19_Расчет_аналитики'!BC649*'01_Вводные'!$B$131</f>
        <v/>
      </c>
      <c r="BD650">
        <f>'19_Расчет_аналитики'!BD649*'01_Вводные'!$B$131</f>
        <v/>
      </c>
      <c r="BE650">
        <f>'19_Расчет_аналитики'!BE649*'01_Вводные'!$B$131</f>
        <v/>
      </c>
      <c r="BF650">
        <f>'19_Расчет_аналитики'!BF649*'01_Вводные'!$B$131</f>
        <v/>
      </c>
      <c r="BG650">
        <f>'19_Расчет_аналитики'!BG649*'01_Вводные'!$B$131</f>
        <v/>
      </c>
      <c r="BH650">
        <f>'19_Расчет_аналитики'!BH649*'01_Вводные'!$B$131</f>
        <v/>
      </c>
      <c r="BI650">
        <f>'19_Расчет_аналитики'!BI649*'01_Вводные'!$B$131</f>
        <v/>
      </c>
    </row>
    <row r="651"/>
    <row r="652">
      <c r="C652">
        <f>('01_Вводные'!$B$118+'19_Расчет_аналитики'!C647+1)*IF('08_ФОТ'!C$3&lt;'01_Вводные'!$B$250,'01_Вводные'!$B$123,'01_Вводные'!$B$124)/'01_Вводные'!$B$132</f>
        <v/>
      </c>
      <c r="D652">
        <f>('01_Вводные'!$B$118+'19_Расчет_аналитики'!D647+1)*IF('08_ФОТ'!D$3&lt;'01_Вводные'!$B$250,'01_Вводные'!$B$123,'01_Вводные'!$B$124)/'01_Вводные'!$B$132</f>
        <v/>
      </c>
      <c r="E652">
        <f>('01_Вводные'!$B$118+'19_Расчет_аналитики'!E647+1)*IF('08_ФОТ'!E$3&lt;'01_Вводные'!$B$250,'01_Вводные'!$B$123,'01_Вводные'!$B$124)/'01_Вводные'!$B$132</f>
        <v/>
      </c>
      <c r="F652">
        <f>('01_Вводные'!$B$118+'19_Расчет_аналитики'!F647+1)*IF('08_ФОТ'!F$3&lt;'01_Вводные'!$B$250,'01_Вводные'!$B$123,'01_Вводные'!$B$124)/'01_Вводные'!$B$132</f>
        <v/>
      </c>
      <c r="G652">
        <f>('01_Вводные'!$B$118+'19_Расчет_аналитики'!G647+1)*IF('08_ФОТ'!G$3&lt;'01_Вводные'!$B$250,'01_Вводные'!$B$123,'01_Вводные'!$B$124)/'01_Вводные'!$B$132</f>
        <v/>
      </c>
      <c r="H652">
        <f>('01_Вводные'!$B$118+'19_Расчет_аналитики'!H647+1)*IF('08_ФОТ'!H$3&lt;'01_Вводные'!$B$250,'01_Вводные'!$B$123,'01_Вводные'!$B$124)/'01_Вводные'!$B$132</f>
        <v/>
      </c>
      <c r="I652">
        <f>('01_Вводные'!$B$118+'19_Расчет_аналитики'!I647+1)*IF('08_ФОТ'!I$3&lt;'01_Вводные'!$B$250,'01_Вводные'!$B$123,'01_Вводные'!$B$124)/'01_Вводные'!$B$132</f>
        <v/>
      </c>
      <c r="J652">
        <f>('01_Вводные'!$B$118+'19_Расчет_аналитики'!J647+1)*IF('08_ФОТ'!J$3&lt;'01_Вводные'!$B$250,'01_Вводные'!$B$123,'01_Вводные'!$B$124)/'01_Вводные'!$B$132</f>
        <v/>
      </c>
      <c r="K652">
        <f>('01_Вводные'!$B$118+'19_Расчет_аналитики'!K647+1)*IF('08_ФОТ'!K$3&lt;'01_Вводные'!$B$250,'01_Вводные'!$B$123,'01_Вводные'!$B$124)/'01_Вводные'!$B$132</f>
        <v/>
      </c>
      <c r="L652">
        <f>('01_Вводные'!$B$118+'19_Расчет_аналитики'!L647+1)*IF('08_ФОТ'!L$3&lt;'01_Вводные'!$B$250,'01_Вводные'!$B$123,'01_Вводные'!$B$124)/'01_Вводные'!$B$132</f>
        <v/>
      </c>
      <c r="M652">
        <f>('01_Вводные'!$B$118+'19_Расчет_аналитики'!M647+1)*IF('08_ФОТ'!M$3&lt;'01_Вводные'!$B$250,'01_Вводные'!$B$123,'01_Вводные'!$B$124)/'01_Вводные'!$B$132</f>
        <v/>
      </c>
      <c r="N652">
        <f>('01_Вводные'!$B$118+'19_Расчет_аналитики'!N647+1)*IF('08_ФОТ'!N$3&lt;'01_Вводные'!$B$250,'01_Вводные'!$B$123,'01_Вводные'!$B$124)/'01_Вводные'!$B$132</f>
        <v/>
      </c>
      <c r="O652">
        <f>('01_Вводные'!$B$118+'19_Расчет_аналитики'!O647+1)*IF('08_ФОТ'!O$3&lt;'01_Вводные'!$B$250,'01_Вводные'!$B$123,'01_Вводные'!$B$124)/'01_Вводные'!$B$132</f>
        <v/>
      </c>
      <c r="P652">
        <f>('01_Вводные'!$B$118+'19_Расчет_аналитики'!P647+1)*IF('08_ФОТ'!P$3&lt;'01_Вводные'!$B$250,'01_Вводные'!$B$123,'01_Вводные'!$B$124)/'01_Вводные'!$B$132</f>
        <v/>
      </c>
      <c r="Q652">
        <f>('01_Вводные'!$B$118+'19_Расчет_аналитики'!Q647+1)*IF('08_ФОТ'!Q$3&lt;'01_Вводные'!$B$250,'01_Вводные'!$B$123,'01_Вводные'!$B$124)/'01_Вводные'!$B$132</f>
        <v/>
      </c>
      <c r="R652">
        <f>('01_Вводные'!$B$118+'19_Расчет_аналитики'!R647+1)*IF('08_ФОТ'!R$3&lt;'01_Вводные'!$B$250,'01_Вводные'!$B$123,'01_Вводные'!$B$124)/'01_Вводные'!$B$132</f>
        <v/>
      </c>
      <c r="S652">
        <f>('01_Вводные'!$B$118+'19_Расчет_аналитики'!S647+1)*IF('08_ФОТ'!S$3&lt;'01_Вводные'!$B$250,'01_Вводные'!$B$123,'01_Вводные'!$B$124)/'01_Вводные'!$B$132</f>
        <v/>
      </c>
      <c r="T652">
        <f>('01_Вводные'!$B$118+'19_Расчет_аналитики'!T647+1)*IF('08_ФОТ'!T$3&lt;'01_Вводные'!$B$250,'01_Вводные'!$B$123,'01_Вводные'!$B$124)/'01_Вводные'!$B$132</f>
        <v/>
      </c>
      <c r="U652">
        <f>('01_Вводные'!$B$118+'19_Расчет_аналитики'!U647+1)*IF('08_ФОТ'!U$3&lt;'01_Вводные'!$B$250,'01_Вводные'!$B$123,'01_Вводные'!$B$124)/'01_Вводные'!$B$132</f>
        <v/>
      </c>
      <c r="V652">
        <f>('01_Вводные'!$B$118+'19_Расчет_аналитики'!V647+1)*IF('08_ФОТ'!V$3&lt;'01_Вводные'!$B$250,'01_Вводные'!$B$123,'01_Вводные'!$B$124)/'01_Вводные'!$B$132</f>
        <v/>
      </c>
      <c r="W652">
        <f>('01_Вводные'!$B$118+'19_Расчет_аналитики'!W647+1)*IF('08_ФОТ'!W$3&lt;'01_Вводные'!$B$250,'01_Вводные'!$B$123,'01_Вводные'!$B$124)/'01_Вводные'!$B$132</f>
        <v/>
      </c>
      <c r="X652">
        <f>('01_Вводные'!$B$118+'19_Расчет_аналитики'!X647+1)*IF('08_ФОТ'!X$3&lt;'01_Вводные'!$B$250,'01_Вводные'!$B$123,'01_Вводные'!$B$124)/'01_Вводные'!$B$132</f>
        <v/>
      </c>
      <c r="Y652">
        <f>('01_Вводные'!$B$118+'19_Расчет_аналитики'!Y647+1)*IF('08_ФОТ'!Y$3&lt;'01_Вводные'!$B$250,'01_Вводные'!$B$123,'01_Вводные'!$B$124)/'01_Вводные'!$B$132</f>
        <v/>
      </c>
      <c r="Z652">
        <f>('01_Вводные'!$B$118+'19_Расчет_аналитики'!Z647+1)*IF('08_ФОТ'!Z$3&lt;'01_Вводные'!$B$250,'01_Вводные'!$B$123,'01_Вводные'!$B$124)/'01_Вводные'!$B$132</f>
        <v/>
      </c>
      <c r="AA652">
        <f>('01_Вводные'!$B$118+'19_Расчет_аналитики'!AA647+1)*IF('08_ФОТ'!AA$3&lt;'01_Вводные'!$B$250,'01_Вводные'!$B$123,'01_Вводные'!$B$124)/'01_Вводные'!$B$132</f>
        <v/>
      </c>
      <c r="AB652">
        <f>('01_Вводные'!$B$118+'19_Расчет_аналитики'!AB647+1)*IF('08_ФОТ'!AB$3&lt;'01_Вводные'!$B$250,'01_Вводные'!$B$123,'01_Вводные'!$B$124)/'01_Вводные'!$B$132</f>
        <v/>
      </c>
      <c r="AC652">
        <f>('01_Вводные'!$B$118+'19_Расчет_аналитики'!AC647+1)*IF('08_ФОТ'!AC$3&lt;'01_Вводные'!$B$250,'01_Вводные'!$B$123,'01_Вводные'!$B$124)/'01_Вводные'!$B$132</f>
        <v/>
      </c>
      <c r="AD652">
        <f>('01_Вводные'!$B$118+'19_Расчет_аналитики'!AD647+1)*IF('08_ФОТ'!AD$3&lt;'01_Вводные'!$B$250,'01_Вводные'!$B$123,'01_Вводные'!$B$124)/'01_Вводные'!$B$132</f>
        <v/>
      </c>
      <c r="AE652">
        <f>('01_Вводные'!$B$118+'19_Расчет_аналитики'!AE647+1)*IF('08_ФОТ'!AE$3&lt;'01_Вводные'!$B$250,'01_Вводные'!$B$123,'01_Вводные'!$B$124)/'01_Вводные'!$B$132</f>
        <v/>
      </c>
      <c r="AF652">
        <f>('01_Вводные'!$B$118+'19_Расчет_аналитики'!AF647+1)*IF('08_ФОТ'!AF$3&lt;'01_Вводные'!$B$250,'01_Вводные'!$B$123,'01_Вводные'!$B$124)/'01_Вводные'!$B$132</f>
        <v/>
      </c>
      <c r="AG652">
        <f>('01_Вводные'!$B$118+'19_Расчет_аналитики'!AG647+1)*IF('08_ФОТ'!AG$3&lt;'01_Вводные'!$B$250,'01_Вводные'!$B$123,'01_Вводные'!$B$124)/'01_Вводные'!$B$132</f>
        <v/>
      </c>
      <c r="AH652">
        <f>('01_Вводные'!$B$118+'19_Расчет_аналитики'!AH647+1)*IF('08_ФОТ'!AH$3&lt;'01_Вводные'!$B$250,'01_Вводные'!$B$123,'01_Вводные'!$B$124)/'01_Вводные'!$B$132</f>
        <v/>
      </c>
      <c r="AI652">
        <f>('01_Вводные'!$B$118+'19_Расчет_аналитики'!AI647+1)*IF('08_ФОТ'!AI$3&lt;'01_Вводные'!$B$250,'01_Вводные'!$B$123,'01_Вводные'!$B$124)/'01_Вводные'!$B$132</f>
        <v/>
      </c>
      <c r="AJ652">
        <f>('01_Вводные'!$B$118+'19_Расчет_аналитики'!AJ647+1)*IF('08_ФОТ'!AJ$3&lt;'01_Вводные'!$B$250,'01_Вводные'!$B$123,'01_Вводные'!$B$124)/'01_Вводные'!$B$132</f>
        <v/>
      </c>
      <c r="AK652">
        <f>('01_Вводные'!$B$118+'19_Расчет_аналитики'!AK647+1)*IF('08_ФОТ'!AK$3&lt;'01_Вводные'!$B$250,'01_Вводные'!$B$123,'01_Вводные'!$B$124)/'01_Вводные'!$B$132</f>
        <v/>
      </c>
      <c r="AL652">
        <f>('01_Вводные'!$B$118+'19_Расчет_аналитики'!AL647+1)*IF('08_ФОТ'!AL$3&lt;'01_Вводные'!$B$250,'01_Вводные'!$B$123,'01_Вводные'!$B$124)/'01_Вводные'!$B$132</f>
        <v/>
      </c>
      <c r="AM652">
        <f>('01_Вводные'!$B$118+'19_Расчет_аналитики'!AM647+1)*IF('08_ФОТ'!AM$3&lt;'01_Вводные'!$B$250,'01_Вводные'!$B$123,'01_Вводные'!$B$124)/'01_Вводные'!$B$132</f>
        <v/>
      </c>
      <c r="AN652">
        <f>('01_Вводные'!$B$118+'19_Расчет_аналитики'!AN647+1)*IF('08_ФОТ'!AN$3&lt;'01_Вводные'!$B$250,'01_Вводные'!$B$123,'01_Вводные'!$B$124)/'01_Вводные'!$B$132</f>
        <v/>
      </c>
      <c r="AO652">
        <f>('01_Вводные'!$B$118+'19_Расчет_аналитики'!AO647+1)*IF('08_ФОТ'!AO$3&lt;'01_Вводные'!$B$250,'01_Вводные'!$B$123,'01_Вводные'!$B$124)/'01_Вводные'!$B$132</f>
        <v/>
      </c>
      <c r="AP652">
        <f>('01_Вводные'!$B$118+'19_Расчет_аналитики'!AP647+1)*IF('08_ФОТ'!AP$3&lt;'01_Вводные'!$B$250,'01_Вводные'!$B$123,'01_Вводные'!$B$124)/'01_Вводные'!$B$132</f>
        <v/>
      </c>
      <c r="AQ652">
        <f>('01_Вводные'!$B$118+'19_Расчет_аналитики'!AQ647+1)*IF('08_ФОТ'!AQ$3&lt;'01_Вводные'!$B$250,'01_Вводные'!$B$123,'01_Вводные'!$B$124)/'01_Вводные'!$B$132</f>
        <v/>
      </c>
      <c r="AR652">
        <f>('01_Вводные'!$B$118+'19_Расчет_аналитики'!AR647+1)*IF('08_ФОТ'!AR$3&lt;'01_Вводные'!$B$250,'01_Вводные'!$B$123,'01_Вводные'!$B$124)/'01_Вводные'!$B$132</f>
        <v/>
      </c>
      <c r="AS652">
        <f>('01_Вводные'!$B$118+'19_Расчет_аналитики'!AS647+1)*IF('08_ФОТ'!AS$3&lt;'01_Вводные'!$B$250,'01_Вводные'!$B$123,'01_Вводные'!$B$124)/'01_Вводные'!$B$132</f>
        <v/>
      </c>
      <c r="AT652">
        <f>('01_Вводные'!$B$118+'19_Расчет_аналитики'!AT647+1)*IF('08_ФОТ'!AT$3&lt;'01_Вводные'!$B$250,'01_Вводные'!$B$123,'01_Вводные'!$B$124)/'01_Вводные'!$B$132</f>
        <v/>
      </c>
      <c r="AU652">
        <f>('01_Вводные'!$B$118+'19_Расчет_аналитики'!AU647+1)*IF('08_ФОТ'!AU$3&lt;'01_Вводные'!$B$250,'01_Вводные'!$B$123,'01_Вводные'!$B$124)/'01_Вводные'!$B$132</f>
        <v/>
      </c>
      <c r="AV652">
        <f>('01_Вводные'!$B$118+'19_Расчет_аналитики'!AV647+1)*IF('08_ФОТ'!AV$3&lt;'01_Вводные'!$B$250,'01_Вводные'!$B$123,'01_Вводные'!$B$124)/'01_Вводные'!$B$132</f>
        <v/>
      </c>
      <c r="AW652">
        <f>('01_Вводные'!$B$118+'19_Расчет_аналитики'!AW647+1)*IF('08_ФОТ'!AW$3&lt;'01_Вводные'!$B$250,'01_Вводные'!$B$123,'01_Вводные'!$B$124)/'01_Вводные'!$B$132</f>
        <v/>
      </c>
      <c r="AX652">
        <f>('01_Вводные'!$B$118+'19_Расчет_аналитики'!AX647+1)*IF('08_ФОТ'!AX$3&lt;'01_Вводные'!$B$250,'01_Вводные'!$B$123,'01_Вводные'!$B$124)/'01_Вводные'!$B$132</f>
        <v/>
      </c>
      <c r="AY652">
        <f>('01_Вводные'!$B$118+'19_Расчет_аналитики'!AY647+1)*IF('08_ФОТ'!AY$3&lt;'01_Вводные'!$B$250,'01_Вводные'!$B$123,'01_Вводные'!$B$124)/'01_Вводные'!$B$132</f>
        <v/>
      </c>
      <c r="AZ652">
        <f>('01_Вводные'!$B$118+'19_Расчет_аналитики'!AZ647+1)*IF('08_ФОТ'!AZ$3&lt;'01_Вводные'!$B$250,'01_Вводные'!$B$123,'01_Вводные'!$B$124)/'01_Вводные'!$B$132</f>
        <v/>
      </c>
      <c r="BA652">
        <f>('01_Вводные'!$B$118+'19_Расчет_аналитики'!BA647+1)*IF('08_ФОТ'!BA$3&lt;'01_Вводные'!$B$250,'01_Вводные'!$B$123,'01_Вводные'!$B$124)/'01_Вводные'!$B$132</f>
        <v/>
      </c>
      <c r="BB652">
        <f>('01_Вводные'!$B$118+'19_Расчет_аналитики'!BB647+1)*IF('08_ФОТ'!BB$3&lt;'01_Вводные'!$B$250,'01_Вводные'!$B$123,'01_Вводные'!$B$124)/'01_Вводные'!$B$132</f>
        <v/>
      </c>
      <c r="BC652">
        <f>('01_Вводные'!$B$118+'19_Расчет_аналитики'!BC647+1)*IF('08_ФОТ'!BC$3&lt;'01_Вводные'!$B$250,'01_Вводные'!$B$123,'01_Вводные'!$B$124)/'01_Вводные'!$B$132</f>
        <v/>
      </c>
      <c r="BD652">
        <f>('01_Вводные'!$B$118+'19_Расчет_аналитики'!BD647+1)*IF('08_ФОТ'!BD$3&lt;'01_Вводные'!$B$250,'01_Вводные'!$B$123,'01_Вводные'!$B$124)/'01_Вводные'!$B$132</f>
        <v/>
      </c>
      <c r="BE652">
        <f>('01_Вводные'!$B$118+'19_Расчет_аналитики'!BE647+1)*IF('08_ФОТ'!BE$3&lt;'01_Вводные'!$B$250,'01_Вводные'!$B$123,'01_Вводные'!$B$124)/'01_Вводные'!$B$132</f>
        <v/>
      </c>
      <c r="BF652">
        <f>('01_Вводные'!$B$118+'19_Расчет_аналитики'!BF647+1)*IF('08_ФОТ'!BF$3&lt;'01_Вводные'!$B$250,'01_Вводные'!$B$123,'01_Вводные'!$B$124)/'01_Вводные'!$B$132</f>
        <v/>
      </c>
      <c r="BG652">
        <f>('01_Вводные'!$B$118+'19_Расчет_аналитики'!BG647+1)*IF('08_ФОТ'!BG$3&lt;'01_Вводные'!$B$250,'01_Вводные'!$B$123,'01_Вводные'!$B$124)/'01_Вводные'!$B$132</f>
        <v/>
      </c>
      <c r="BH652">
        <f>('01_Вводные'!$B$118+'19_Расчет_аналитики'!BH647+1)*IF('08_ФОТ'!BH$3&lt;'01_Вводные'!$B$250,'01_Вводные'!$B$123,'01_Вводные'!$B$124)/'01_Вводные'!$B$132</f>
        <v/>
      </c>
      <c r="BI652">
        <f>('01_Вводные'!$B$118+'19_Расчет_аналитики'!BI647+1)*IF('08_ФОТ'!BI$3&lt;'01_Вводные'!$B$250,'01_Вводные'!$B$123,'01_Вводные'!$B$124)/'01_Вводные'!$B$132</f>
        <v/>
      </c>
    </row>
    <row r="653">
      <c r="C653">
        <f>'19_Расчет_аналитики'!C652*'01_Вводные'!$B$131</f>
        <v/>
      </c>
      <c r="D653">
        <f>'19_Расчет_аналитики'!D652*'01_Вводные'!$B$131</f>
        <v/>
      </c>
      <c r="E653">
        <f>'19_Расчет_аналитики'!E652*'01_Вводные'!$B$131</f>
        <v/>
      </c>
      <c r="F653">
        <f>'19_Расчет_аналитики'!F652*'01_Вводные'!$B$131</f>
        <v/>
      </c>
      <c r="G653">
        <f>'19_Расчет_аналитики'!G652*'01_Вводные'!$B$131</f>
        <v/>
      </c>
      <c r="H653">
        <f>'19_Расчет_аналитики'!H652*'01_Вводные'!$B$131</f>
        <v/>
      </c>
      <c r="I653">
        <f>'19_Расчет_аналитики'!I652*'01_Вводные'!$B$131</f>
        <v/>
      </c>
      <c r="J653">
        <f>'19_Расчет_аналитики'!J652*'01_Вводные'!$B$131</f>
        <v/>
      </c>
      <c r="K653">
        <f>'19_Расчет_аналитики'!K652*'01_Вводные'!$B$131</f>
        <v/>
      </c>
      <c r="L653">
        <f>'19_Расчет_аналитики'!L652*'01_Вводные'!$B$131</f>
        <v/>
      </c>
      <c r="M653">
        <f>'19_Расчет_аналитики'!M652*'01_Вводные'!$B$131</f>
        <v/>
      </c>
      <c r="N653">
        <f>'19_Расчет_аналитики'!N652*'01_Вводные'!$B$131</f>
        <v/>
      </c>
      <c r="O653">
        <f>'19_Расчет_аналитики'!O652*'01_Вводные'!$B$131</f>
        <v/>
      </c>
      <c r="P653">
        <f>'19_Расчет_аналитики'!P652*'01_Вводные'!$B$131</f>
        <v/>
      </c>
      <c r="Q653">
        <f>'19_Расчет_аналитики'!Q652*'01_Вводные'!$B$131</f>
        <v/>
      </c>
      <c r="R653">
        <f>'19_Расчет_аналитики'!R652*'01_Вводные'!$B$131</f>
        <v/>
      </c>
      <c r="S653">
        <f>'19_Расчет_аналитики'!S652*'01_Вводные'!$B$131</f>
        <v/>
      </c>
      <c r="T653">
        <f>'19_Расчет_аналитики'!T652*'01_Вводные'!$B$131</f>
        <v/>
      </c>
      <c r="U653">
        <f>'19_Расчет_аналитики'!U652*'01_Вводные'!$B$131</f>
        <v/>
      </c>
      <c r="V653">
        <f>'19_Расчет_аналитики'!V652*'01_Вводные'!$B$131</f>
        <v/>
      </c>
      <c r="W653">
        <f>'19_Расчет_аналитики'!W652*'01_Вводные'!$B$131</f>
        <v/>
      </c>
      <c r="X653">
        <f>'19_Расчет_аналитики'!X652*'01_Вводные'!$B$131</f>
        <v/>
      </c>
      <c r="Y653">
        <f>'19_Расчет_аналитики'!Y652*'01_Вводные'!$B$131</f>
        <v/>
      </c>
      <c r="Z653">
        <f>'19_Расчет_аналитики'!Z652*'01_Вводные'!$B$131</f>
        <v/>
      </c>
      <c r="AA653">
        <f>'19_Расчет_аналитики'!AA652*'01_Вводные'!$B$131</f>
        <v/>
      </c>
      <c r="AB653">
        <f>'19_Расчет_аналитики'!AB652*'01_Вводные'!$B$131</f>
        <v/>
      </c>
      <c r="AC653">
        <f>'19_Расчет_аналитики'!AC652*'01_Вводные'!$B$131</f>
        <v/>
      </c>
      <c r="AD653">
        <f>'19_Расчет_аналитики'!AD652*'01_Вводные'!$B$131</f>
        <v/>
      </c>
      <c r="AE653">
        <f>'19_Расчет_аналитики'!AE652*'01_Вводные'!$B$131</f>
        <v/>
      </c>
      <c r="AF653">
        <f>'19_Расчет_аналитики'!AF652*'01_Вводные'!$B$131</f>
        <v/>
      </c>
      <c r="AG653">
        <f>'19_Расчет_аналитики'!AG652*'01_Вводные'!$B$131</f>
        <v/>
      </c>
      <c r="AH653">
        <f>'19_Расчет_аналитики'!AH652*'01_Вводные'!$B$131</f>
        <v/>
      </c>
      <c r="AI653">
        <f>'19_Расчет_аналитики'!AI652*'01_Вводные'!$B$131</f>
        <v/>
      </c>
      <c r="AJ653">
        <f>'19_Расчет_аналитики'!AJ652*'01_Вводные'!$B$131</f>
        <v/>
      </c>
      <c r="AK653">
        <f>'19_Расчет_аналитики'!AK652*'01_Вводные'!$B$131</f>
        <v/>
      </c>
      <c r="AL653">
        <f>'19_Расчет_аналитики'!AL652*'01_Вводные'!$B$131</f>
        <v/>
      </c>
      <c r="AM653">
        <f>'19_Расчет_аналитики'!AM652*'01_Вводные'!$B$131</f>
        <v/>
      </c>
      <c r="AN653">
        <f>'19_Расчет_аналитики'!AN652*'01_Вводные'!$B$131</f>
        <v/>
      </c>
      <c r="AO653">
        <f>'19_Расчет_аналитики'!AO652*'01_Вводные'!$B$131</f>
        <v/>
      </c>
      <c r="AP653">
        <f>'19_Расчет_аналитики'!AP652*'01_Вводные'!$B$131</f>
        <v/>
      </c>
      <c r="AQ653">
        <f>'19_Расчет_аналитики'!AQ652*'01_Вводные'!$B$131</f>
        <v/>
      </c>
      <c r="AR653">
        <f>'19_Расчет_аналитики'!AR652*'01_Вводные'!$B$131</f>
        <v/>
      </c>
      <c r="AS653">
        <f>'19_Расчет_аналитики'!AS652*'01_Вводные'!$B$131</f>
        <v/>
      </c>
      <c r="AT653">
        <f>'19_Расчет_аналитики'!AT652*'01_Вводные'!$B$131</f>
        <v/>
      </c>
      <c r="AU653">
        <f>'19_Расчет_аналитики'!AU652*'01_Вводные'!$B$131</f>
        <v/>
      </c>
      <c r="AV653">
        <f>'19_Расчет_аналитики'!AV652*'01_Вводные'!$B$131</f>
        <v/>
      </c>
      <c r="AW653">
        <f>'19_Расчет_аналитики'!AW652*'01_Вводные'!$B$131</f>
        <v/>
      </c>
      <c r="AX653">
        <f>'19_Расчет_аналитики'!AX652*'01_Вводные'!$B$131</f>
        <v/>
      </c>
      <c r="AY653">
        <f>'19_Расчет_аналитики'!AY652*'01_Вводные'!$B$131</f>
        <v/>
      </c>
      <c r="AZ653">
        <f>'19_Расчет_аналитики'!AZ652*'01_Вводные'!$B$131</f>
        <v/>
      </c>
      <c r="BA653">
        <f>'19_Расчет_аналитики'!BA652*'01_Вводные'!$B$131</f>
        <v/>
      </c>
      <c r="BB653">
        <f>'19_Расчет_аналитики'!BB652*'01_Вводные'!$B$131</f>
        <v/>
      </c>
      <c r="BC653">
        <f>'19_Расчет_аналитики'!BC652*'01_Вводные'!$B$131</f>
        <v/>
      </c>
      <c r="BD653">
        <f>'19_Расчет_аналитики'!BD652*'01_Вводные'!$B$131</f>
        <v/>
      </c>
      <c r="BE653">
        <f>'19_Расчет_аналитики'!BE652*'01_Вводные'!$B$131</f>
        <v/>
      </c>
      <c r="BF653">
        <f>'19_Расчет_аналитики'!BF652*'01_Вводные'!$B$131</f>
        <v/>
      </c>
      <c r="BG653">
        <f>'19_Расчет_аналитики'!BG652*'01_Вводные'!$B$131</f>
        <v/>
      </c>
      <c r="BH653">
        <f>'19_Расчет_аналитики'!BH652*'01_Вводные'!$B$131</f>
        <v/>
      </c>
      <c r="BI653">
        <f>'19_Расчет_аналитики'!BI652*'01_Вводные'!$B$131</f>
        <v/>
      </c>
    </row>
    <row r="654">
      <c r="C654">
        <f>IF('19_Расчет_аналитики'!C338&gt;=2,'19_Расчет_аналитики'!C349*'01_Вводные'!$B$125/(1+'01_Вводные'!$B$131),0)</f>
        <v/>
      </c>
      <c r="D654">
        <f>IF('19_Расчет_аналитики'!D338&gt;=2,'19_Расчет_аналитики'!D349*'01_Вводные'!$B$125/(1+'01_Вводные'!$B$131),0)</f>
        <v/>
      </c>
      <c r="E654">
        <f>IF('19_Расчет_аналитики'!E338&gt;=2,'19_Расчет_аналитики'!E349*'01_Вводные'!$B$125/(1+'01_Вводные'!$B$131),0)</f>
        <v/>
      </c>
      <c r="F654">
        <f>IF('19_Расчет_аналитики'!F338&gt;=2,'19_Расчет_аналитики'!F349*'01_Вводные'!$B$125/(1+'01_Вводные'!$B$131),0)</f>
        <v/>
      </c>
      <c r="G654">
        <f>IF('19_Расчет_аналитики'!G338&gt;=2,'19_Расчет_аналитики'!G349*'01_Вводные'!$B$125/(1+'01_Вводные'!$B$131),0)</f>
        <v/>
      </c>
      <c r="H654">
        <f>IF('19_Расчет_аналитики'!H338&gt;=2,'19_Расчет_аналитики'!H349*'01_Вводные'!$B$125/(1+'01_Вводные'!$B$131),0)</f>
        <v/>
      </c>
      <c r="I654">
        <f>IF('19_Расчет_аналитики'!I338&gt;=2,'19_Расчет_аналитики'!I349*'01_Вводные'!$B$125/(1+'01_Вводные'!$B$131),0)</f>
        <v/>
      </c>
      <c r="J654">
        <f>IF('19_Расчет_аналитики'!J338&gt;=2,'19_Расчет_аналитики'!J349*'01_Вводные'!$B$125/(1+'01_Вводные'!$B$131),0)</f>
        <v/>
      </c>
      <c r="K654">
        <f>IF('19_Расчет_аналитики'!K338&gt;=2,'19_Расчет_аналитики'!K349*'01_Вводные'!$B$125/(1+'01_Вводные'!$B$131),0)</f>
        <v/>
      </c>
      <c r="L654">
        <f>IF('19_Расчет_аналитики'!L338&gt;=2,'19_Расчет_аналитики'!L349*'01_Вводные'!$B$125/(1+'01_Вводные'!$B$131),0)</f>
        <v/>
      </c>
      <c r="M654">
        <f>IF('19_Расчет_аналитики'!M338&gt;=2,'19_Расчет_аналитики'!M349*'01_Вводные'!$B$125/(1+'01_Вводные'!$B$131),0)</f>
        <v/>
      </c>
      <c r="N654">
        <f>IF('19_Расчет_аналитики'!N338&gt;=2,'19_Расчет_аналитики'!N349*'01_Вводные'!$B$125/(1+'01_Вводные'!$B$131),0)</f>
        <v/>
      </c>
      <c r="O654">
        <f>IF('19_Расчет_аналитики'!O338&gt;=2,'19_Расчет_аналитики'!O349*'01_Вводные'!$B$125/(1+'01_Вводные'!$B$131),0)</f>
        <v/>
      </c>
      <c r="P654">
        <f>IF('19_Расчет_аналитики'!P338&gt;=2,'19_Расчет_аналитики'!P349*'01_Вводные'!$B$125/(1+'01_Вводные'!$B$131),0)</f>
        <v/>
      </c>
      <c r="Q654">
        <f>IF('19_Расчет_аналитики'!Q338&gt;=2,'19_Расчет_аналитики'!Q349*'01_Вводные'!$B$125/(1+'01_Вводные'!$B$131),0)</f>
        <v/>
      </c>
      <c r="R654">
        <f>IF('19_Расчет_аналитики'!R338&gt;=2,'19_Расчет_аналитики'!R349*'01_Вводные'!$B$125/(1+'01_Вводные'!$B$131),0)</f>
        <v/>
      </c>
      <c r="S654">
        <f>IF('19_Расчет_аналитики'!S338&gt;=2,'19_Расчет_аналитики'!S349*'01_Вводные'!$B$125/(1+'01_Вводные'!$B$131),0)</f>
        <v/>
      </c>
      <c r="T654">
        <f>IF('19_Расчет_аналитики'!T338&gt;=2,'19_Расчет_аналитики'!T349*'01_Вводные'!$B$125/(1+'01_Вводные'!$B$131),0)</f>
        <v/>
      </c>
      <c r="U654">
        <f>IF('19_Расчет_аналитики'!U338&gt;=2,'19_Расчет_аналитики'!U349*'01_Вводные'!$B$125/(1+'01_Вводные'!$B$131),0)</f>
        <v/>
      </c>
      <c r="V654">
        <f>IF('19_Расчет_аналитики'!V338&gt;=2,'19_Расчет_аналитики'!V349*'01_Вводные'!$B$125/(1+'01_Вводные'!$B$131),0)</f>
        <v/>
      </c>
      <c r="W654">
        <f>IF('19_Расчет_аналитики'!W338&gt;=2,'19_Расчет_аналитики'!W349*'01_Вводные'!$B$125/(1+'01_Вводные'!$B$131),0)</f>
        <v/>
      </c>
      <c r="X654">
        <f>IF('19_Расчет_аналитики'!X338&gt;=2,'19_Расчет_аналитики'!X349*'01_Вводные'!$B$125/(1+'01_Вводные'!$B$131),0)</f>
        <v/>
      </c>
      <c r="Y654">
        <f>IF('19_Расчет_аналитики'!Y338&gt;=2,'19_Расчет_аналитики'!Y349*'01_Вводные'!$B$125/(1+'01_Вводные'!$B$131),0)</f>
        <v/>
      </c>
      <c r="Z654">
        <f>IF('19_Расчет_аналитики'!Z338&gt;=2,'19_Расчет_аналитики'!Z349*'01_Вводные'!$B$125/(1+'01_Вводные'!$B$131),0)</f>
        <v/>
      </c>
      <c r="AA654">
        <f>IF('19_Расчет_аналитики'!AA338&gt;=2,'19_Расчет_аналитики'!AA349*'01_Вводные'!$B$125/(1+'01_Вводные'!$B$131),0)</f>
        <v/>
      </c>
      <c r="AB654">
        <f>IF('19_Расчет_аналитики'!AB338&gt;=2,'19_Расчет_аналитики'!AB349*'01_Вводные'!$B$125/(1+'01_Вводные'!$B$131),0)</f>
        <v/>
      </c>
      <c r="AC654">
        <f>IF('19_Расчет_аналитики'!AC338&gt;=2,'19_Расчет_аналитики'!AC349*'01_Вводные'!$B$125/(1+'01_Вводные'!$B$131),0)</f>
        <v/>
      </c>
      <c r="AD654">
        <f>IF('19_Расчет_аналитики'!AD338&gt;=2,'19_Расчет_аналитики'!AD349*'01_Вводные'!$B$125/(1+'01_Вводные'!$B$131),0)</f>
        <v/>
      </c>
      <c r="AE654">
        <f>IF('19_Расчет_аналитики'!AE338&gt;=2,'19_Расчет_аналитики'!AE349*'01_Вводные'!$B$125/(1+'01_Вводные'!$B$131),0)</f>
        <v/>
      </c>
      <c r="AF654">
        <f>IF('19_Расчет_аналитики'!AF338&gt;=2,'19_Расчет_аналитики'!AF349*'01_Вводные'!$B$125/(1+'01_Вводные'!$B$131),0)</f>
        <v/>
      </c>
      <c r="AG654">
        <f>IF('19_Расчет_аналитики'!AG338&gt;=2,'19_Расчет_аналитики'!AG349*'01_Вводные'!$B$125/(1+'01_Вводные'!$B$131),0)</f>
        <v/>
      </c>
      <c r="AH654">
        <f>IF('19_Расчет_аналитики'!AH338&gt;=2,'19_Расчет_аналитики'!AH349*'01_Вводные'!$B$125/(1+'01_Вводные'!$B$131),0)</f>
        <v/>
      </c>
      <c r="AI654">
        <f>IF('19_Расчет_аналитики'!AI338&gt;=2,'19_Расчет_аналитики'!AI349*'01_Вводные'!$B$125/(1+'01_Вводные'!$B$131),0)</f>
        <v/>
      </c>
      <c r="AJ654">
        <f>IF('19_Расчет_аналитики'!AJ338&gt;=2,'19_Расчет_аналитики'!AJ349*'01_Вводные'!$B$125/(1+'01_Вводные'!$B$131),0)</f>
        <v/>
      </c>
      <c r="AK654">
        <f>IF('19_Расчет_аналитики'!AK338&gt;=2,'19_Расчет_аналитики'!AK349*'01_Вводные'!$B$125/(1+'01_Вводные'!$B$131),0)</f>
        <v/>
      </c>
      <c r="AL654">
        <f>IF('19_Расчет_аналитики'!AL338&gt;=2,'19_Расчет_аналитики'!AL349*'01_Вводные'!$B$125/(1+'01_Вводные'!$B$131),0)</f>
        <v/>
      </c>
      <c r="AM654">
        <f>IF('19_Расчет_аналитики'!AM338&gt;=2,'19_Расчет_аналитики'!AM349*'01_Вводные'!$B$125/(1+'01_Вводные'!$B$131),0)</f>
        <v/>
      </c>
      <c r="AN654">
        <f>IF('19_Расчет_аналитики'!AN338&gt;=2,'19_Расчет_аналитики'!AN349*'01_Вводные'!$B$125/(1+'01_Вводные'!$B$131),0)</f>
        <v/>
      </c>
      <c r="AO654">
        <f>IF('19_Расчет_аналитики'!AO338&gt;=2,'19_Расчет_аналитики'!AO349*'01_Вводные'!$B$125/(1+'01_Вводные'!$B$131),0)</f>
        <v/>
      </c>
      <c r="AP654">
        <f>IF('19_Расчет_аналитики'!AP338&gt;=2,'19_Расчет_аналитики'!AP349*'01_Вводные'!$B$125/(1+'01_Вводные'!$B$131),0)</f>
        <v/>
      </c>
      <c r="AQ654">
        <f>IF('19_Расчет_аналитики'!AQ338&gt;=2,'19_Расчет_аналитики'!AQ349*'01_Вводные'!$B$125/(1+'01_Вводные'!$B$131),0)</f>
        <v/>
      </c>
      <c r="AR654">
        <f>IF('19_Расчет_аналитики'!AR338&gt;=2,'19_Расчет_аналитики'!AR349*'01_Вводные'!$B$125/(1+'01_Вводные'!$B$131),0)</f>
        <v/>
      </c>
      <c r="AS654">
        <f>IF('19_Расчет_аналитики'!AS338&gt;=2,'19_Расчет_аналитики'!AS349*'01_Вводные'!$B$125/(1+'01_Вводные'!$B$131),0)</f>
        <v/>
      </c>
      <c r="AT654">
        <f>IF('19_Расчет_аналитики'!AT338&gt;=2,'19_Расчет_аналитики'!AT349*'01_Вводные'!$B$125/(1+'01_Вводные'!$B$131),0)</f>
        <v/>
      </c>
      <c r="AU654">
        <f>IF('19_Расчет_аналитики'!AU338&gt;=2,'19_Расчет_аналитики'!AU349*'01_Вводные'!$B$125/(1+'01_Вводные'!$B$131),0)</f>
        <v/>
      </c>
      <c r="AV654">
        <f>IF('19_Расчет_аналитики'!AV338&gt;=2,'19_Расчет_аналитики'!AV349*'01_Вводные'!$B$125/(1+'01_Вводные'!$B$131),0)</f>
        <v/>
      </c>
      <c r="AW654">
        <f>IF('19_Расчет_аналитики'!AW338&gt;=2,'19_Расчет_аналитики'!AW349*'01_Вводные'!$B$125/(1+'01_Вводные'!$B$131),0)</f>
        <v/>
      </c>
      <c r="AX654">
        <f>IF('19_Расчет_аналитики'!AX338&gt;=2,'19_Расчет_аналитики'!AX349*'01_Вводные'!$B$125/(1+'01_Вводные'!$B$131),0)</f>
        <v/>
      </c>
      <c r="AY654">
        <f>IF('19_Расчет_аналитики'!AY338&gt;=2,'19_Расчет_аналитики'!AY349*'01_Вводные'!$B$125/(1+'01_Вводные'!$B$131),0)</f>
        <v/>
      </c>
      <c r="AZ654">
        <f>IF('19_Расчет_аналитики'!AZ338&gt;=2,'19_Расчет_аналитики'!AZ349*'01_Вводные'!$B$125/(1+'01_Вводные'!$B$131),0)</f>
        <v/>
      </c>
      <c r="BA654">
        <f>IF('19_Расчет_аналитики'!BA338&gt;=2,'19_Расчет_аналитики'!BA349*'01_Вводные'!$B$125/(1+'01_Вводные'!$B$131),0)</f>
        <v/>
      </c>
      <c r="BB654">
        <f>IF('19_Расчет_аналитики'!BB338&gt;=2,'19_Расчет_аналитики'!BB349*'01_Вводные'!$B$125/(1+'01_Вводные'!$B$131),0)</f>
        <v/>
      </c>
      <c r="BC654">
        <f>IF('19_Расчет_аналитики'!BC338&gt;=2,'19_Расчет_аналитики'!BC349*'01_Вводные'!$B$125/(1+'01_Вводные'!$B$131),0)</f>
        <v/>
      </c>
      <c r="BD654">
        <f>IF('19_Расчет_аналитики'!BD338&gt;=2,'19_Расчет_аналитики'!BD349*'01_Вводные'!$B$125/(1+'01_Вводные'!$B$131),0)</f>
        <v/>
      </c>
      <c r="BE654">
        <f>IF('19_Расчет_аналитики'!BE338&gt;=2,'19_Расчет_аналитики'!BE349*'01_Вводные'!$B$125/(1+'01_Вводные'!$B$131),0)</f>
        <v/>
      </c>
      <c r="BF654">
        <f>IF('19_Расчет_аналитики'!BF338&gt;=2,'19_Расчет_аналитики'!BF349*'01_Вводные'!$B$125/(1+'01_Вводные'!$B$131),0)</f>
        <v/>
      </c>
      <c r="BG654">
        <f>IF('19_Расчет_аналитики'!BG338&gt;=2,'19_Расчет_аналитики'!BG349*'01_Вводные'!$B$125/(1+'01_Вводные'!$B$131),0)</f>
        <v/>
      </c>
      <c r="BH654">
        <f>IF('19_Расчет_аналитики'!BH338&gt;=2,'19_Расчет_аналитики'!BH349*'01_Вводные'!$B$125/(1+'01_Вводные'!$B$131),0)</f>
        <v/>
      </c>
      <c r="BI654">
        <f>IF('19_Расчет_аналитики'!BI338&gt;=2,'19_Расчет_аналитики'!BI349*'01_Вводные'!$B$125/(1+'01_Вводные'!$B$131),0)</f>
        <v/>
      </c>
    </row>
    <row r="655">
      <c r="C655">
        <f>'19_Расчет_аналитики'!C654*'01_Вводные'!$B$131</f>
        <v/>
      </c>
      <c r="D655">
        <f>'19_Расчет_аналитики'!D654*'01_Вводные'!$B$131</f>
        <v/>
      </c>
      <c r="E655">
        <f>'19_Расчет_аналитики'!E654*'01_Вводные'!$B$131</f>
        <v/>
      </c>
      <c r="F655">
        <f>'19_Расчет_аналитики'!F654*'01_Вводные'!$B$131</f>
        <v/>
      </c>
      <c r="G655">
        <f>'19_Расчет_аналитики'!G654*'01_Вводные'!$B$131</f>
        <v/>
      </c>
      <c r="H655">
        <f>'19_Расчет_аналитики'!H654*'01_Вводные'!$B$131</f>
        <v/>
      </c>
      <c r="I655">
        <f>'19_Расчет_аналитики'!I654*'01_Вводные'!$B$131</f>
        <v/>
      </c>
      <c r="J655">
        <f>'19_Расчет_аналитики'!J654*'01_Вводные'!$B$131</f>
        <v/>
      </c>
      <c r="K655">
        <f>'19_Расчет_аналитики'!K654*'01_Вводные'!$B$131</f>
        <v/>
      </c>
      <c r="L655">
        <f>'19_Расчет_аналитики'!L654*'01_Вводные'!$B$131</f>
        <v/>
      </c>
      <c r="M655">
        <f>'19_Расчет_аналитики'!M654*'01_Вводные'!$B$131</f>
        <v/>
      </c>
      <c r="N655">
        <f>'19_Расчет_аналитики'!N654*'01_Вводные'!$B$131</f>
        <v/>
      </c>
      <c r="O655">
        <f>'19_Расчет_аналитики'!O654*'01_Вводные'!$B$131</f>
        <v/>
      </c>
      <c r="P655">
        <f>'19_Расчет_аналитики'!P654*'01_Вводные'!$B$131</f>
        <v/>
      </c>
      <c r="Q655">
        <f>'19_Расчет_аналитики'!Q654*'01_Вводные'!$B$131</f>
        <v/>
      </c>
      <c r="R655">
        <f>'19_Расчет_аналитики'!R654*'01_Вводные'!$B$131</f>
        <v/>
      </c>
      <c r="S655">
        <f>'19_Расчет_аналитики'!S654*'01_Вводные'!$B$131</f>
        <v/>
      </c>
      <c r="T655">
        <f>'19_Расчет_аналитики'!T654*'01_Вводные'!$B$131</f>
        <v/>
      </c>
      <c r="U655">
        <f>'19_Расчет_аналитики'!U654*'01_Вводные'!$B$131</f>
        <v/>
      </c>
      <c r="V655">
        <f>'19_Расчет_аналитики'!V654*'01_Вводные'!$B$131</f>
        <v/>
      </c>
      <c r="W655">
        <f>'19_Расчет_аналитики'!W654*'01_Вводные'!$B$131</f>
        <v/>
      </c>
      <c r="X655">
        <f>'19_Расчет_аналитики'!X654*'01_Вводные'!$B$131</f>
        <v/>
      </c>
      <c r="Y655">
        <f>'19_Расчет_аналитики'!Y654*'01_Вводные'!$B$131</f>
        <v/>
      </c>
      <c r="Z655">
        <f>'19_Расчет_аналитики'!Z654*'01_Вводные'!$B$131</f>
        <v/>
      </c>
      <c r="AA655">
        <f>'19_Расчет_аналитики'!AA654*'01_Вводные'!$B$131</f>
        <v/>
      </c>
      <c r="AB655">
        <f>'19_Расчет_аналитики'!AB654*'01_Вводные'!$B$131</f>
        <v/>
      </c>
      <c r="AC655">
        <f>'19_Расчет_аналитики'!AC654*'01_Вводные'!$B$131</f>
        <v/>
      </c>
      <c r="AD655">
        <f>'19_Расчет_аналитики'!AD654*'01_Вводные'!$B$131</f>
        <v/>
      </c>
      <c r="AE655">
        <f>'19_Расчет_аналитики'!AE654*'01_Вводные'!$B$131</f>
        <v/>
      </c>
      <c r="AF655">
        <f>'19_Расчет_аналитики'!AF654*'01_Вводные'!$B$131</f>
        <v/>
      </c>
      <c r="AG655">
        <f>'19_Расчет_аналитики'!AG654*'01_Вводные'!$B$131</f>
        <v/>
      </c>
      <c r="AH655">
        <f>'19_Расчет_аналитики'!AH654*'01_Вводные'!$B$131</f>
        <v/>
      </c>
      <c r="AI655">
        <f>'19_Расчет_аналитики'!AI654*'01_Вводные'!$B$131</f>
        <v/>
      </c>
      <c r="AJ655">
        <f>'19_Расчет_аналитики'!AJ654*'01_Вводные'!$B$131</f>
        <v/>
      </c>
      <c r="AK655">
        <f>'19_Расчет_аналитики'!AK654*'01_Вводные'!$B$131</f>
        <v/>
      </c>
      <c r="AL655">
        <f>'19_Расчет_аналитики'!AL654*'01_Вводные'!$B$131</f>
        <v/>
      </c>
      <c r="AM655">
        <f>'19_Расчет_аналитики'!AM654*'01_Вводные'!$B$131</f>
        <v/>
      </c>
      <c r="AN655">
        <f>'19_Расчет_аналитики'!AN654*'01_Вводные'!$B$131</f>
        <v/>
      </c>
      <c r="AO655">
        <f>'19_Расчет_аналитики'!AO654*'01_Вводные'!$B$131</f>
        <v/>
      </c>
      <c r="AP655">
        <f>'19_Расчет_аналитики'!AP654*'01_Вводные'!$B$131</f>
        <v/>
      </c>
      <c r="AQ655">
        <f>'19_Расчет_аналитики'!AQ654*'01_Вводные'!$B$131</f>
        <v/>
      </c>
      <c r="AR655">
        <f>'19_Расчет_аналитики'!AR654*'01_Вводные'!$B$131</f>
        <v/>
      </c>
      <c r="AS655">
        <f>'19_Расчет_аналитики'!AS654*'01_Вводные'!$B$131</f>
        <v/>
      </c>
      <c r="AT655">
        <f>'19_Расчет_аналитики'!AT654*'01_Вводные'!$B$131</f>
        <v/>
      </c>
      <c r="AU655">
        <f>'19_Расчет_аналитики'!AU654*'01_Вводные'!$B$131</f>
        <v/>
      </c>
      <c r="AV655">
        <f>'19_Расчет_аналитики'!AV654*'01_Вводные'!$B$131</f>
        <v/>
      </c>
      <c r="AW655">
        <f>'19_Расчет_аналитики'!AW654*'01_Вводные'!$B$131</f>
        <v/>
      </c>
      <c r="AX655">
        <f>'19_Расчет_аналитики'!AX654*'01_Вводные'!$B$131</f>
        <v/>
      </c>
      <c r="AY655">
        <f>'19_Расчет_аналитики'!AY654*'01_Вводные'!$B$131</f>
        <v/>
      </c>
      <c r="AZ655">
        <f>'19_Расчет_аналитики'!AZ654*'01_Вводные'!$B$131</f>
        <v/>
      </c>
      <c r="BA655">
        <f>'19_Расчет_аналитики'!BA654*'01_Вводные'!$B$131</f>
        <v/>
      </c>
      <c r="BB655">
        <f>'19_Расчет_аналитики'!BB654*'01_Вводные'!$B$131</f>
        <v/>
      </c>
      <c r="BC655">
        <f>'19_Расчет_аналитики'!BC654*'01_Вводные'!$B$131</f>
        <v/>
      </c>
      <c r="BD655">
        <f>'19_Расчет_аналитики'!BD654*'01_Вводные'!$B$131</f>
        <v/>
      </c>
      <c r="BE655">
        <f>'19_Расчет_аналитики'!BE654*'01_Вводные'!$B$131</f>
        <v/>
      </c>
      <c r="BF655">
        <f>'19_Расчет_аналитики'!BF654*'01_Вводные'!$B$131</f>
        <v/>
      </c>
      <c r="BG655">
        <f>'19_Расчет_аналитики'!BG654*'01_Вводные'!$B$131</f>
        <v/>
      </c>
      <c r="BH655">
        <f>'19_Расчет_аналитики'!BH654*'01_Вводные'!$B$131</f>
        <v/>
      </c>
      <c r="BI655">
        <f>'19_Расчет_аналитики'!BI654*'01_Вводные'!$B$131</f>
        <v/>
      </c>
    </row>
    <row r="656">
      <c r="C656">
        <f>IF('19_Расчет_аналитики'!C338&gt;='01_Вводные'!$B$126,IF('01_Вводные'!$B$129="ИП",'01_Вводные'!$B$127+'19_Расчет_аналитики'!C349*'01_Вводные'!$B$128,('01_Вводные'!$B$127/'01_Вводные'!$B$132+'19_Расчет_аналитики'!C349*'01_Вводные'!$B$128)*(1+'01_Вводные'!$B$131)),0)</f>
        <v/>
      </c>
      <c r="D656">
        <f>IF('19_Расчет_аналитики'!D338&gt;='01_Вводные'!$B$126,IF('01_Вводные'!$B$129="ИП",'01_Вводные'!$B$127+'19_Расчет_аналитики'!D349*'01_Вводные'!$B$128,('01_Вводные'!$B$127/'01_Вводные'!$B$132+'19_Расчет_аналитики'!D349*'01_Вводные'!$B$128)*(1+'01_Вводные'!$B$131)),0)</f>
        <v/>
      </c>
      <c r="E656">
        <f>IF('19_Расчет_аналитики'!E338&gt;='01_Вводные'!$B$126,IF('01_Вводные'!$B$129="ИП",'01_Вводные'!$B$127+'19_Расчет_аналитики'!E349*'01_Вводные'!$B$128,('01_Вводные'!$B$127/'01_Вводные'!$B$132+'19_Расчет_аналитики'!E349*'01_Вводные'!$B$128)*(1+'01_Вводные'!$B$131)),0)</f>
        <v/>
      </c>
      <c r="F656">
        <f>IF('19_Расчет_аналитики'!F338&gt;='01_Вводные'!$B$126,IF('01_Вводные'!$B$129="ИП",'01_Вводные'!$B$127+'19_Расчет_аналитики'!F349*'01_Вводные'!$B$128,('01_Вводные'!$B$127/'01_Вводные'!$B$132+'19_Расчет_аналитики'!F349*'01_Вводные'!$B$128)*(1+'01_Вводные'!$B$131)),0)</f>
        <v/>
      </c>
      <c r="G656">
        <f>IF('19_Расчет_аналитики'!G338&gt;='01_Вводные'!$B$126,IF('01_Вводные'!$B$129="ИП",'01_Вводные'!$B$127+'19_Расчет_аналитики'!G349*'01_Вводные'!$B$128,('01_Вводные'!$B$127/'01_Вводные'!$B$132+'19_Расчет_аналитики'!G349*'01_Вводные'!$B$128)*(1+'01_Вводные'!$B$131)),0)</f>
        <v/>
      </c>
      <c r="H656">
        <f>IF('19_Расчет_аналитики'!H338&gt;='01_Вводные'!$B$126,IF('01_Вводные'!$B$129="ИП",'01_Вводные'!$B$127+'19_Расчет_аналитики'!H349*'01_Вводные'!$B$128,('01_Вводные'!$B$127/'01_Вводные'!$B$132+'19_Расчет_аналитики'!H349*'01_Вводные'!$B$128)*(1+'01_Вводные'!$B$131)),0)</f>
        <v/>
      </c>
      <c r="I656">
        <f>IF('19_Расчет_аналитики'!I338&gt;='01_Вводные'!$B$126,IF('01_Вводные'!$B$129="ИП",'01_Вводные'!$B$127+'19_Расчет_аналитики'!I349*'01_Вводные'!$B$128,('01_Вводные'!$B$127/'01_Вводные'!$B$132+'19_Расчет_аналитики'!I349*'01_Вводные'!$B$128)*(1+'01_Вводные'!$B$131)),0)</f>
        <v/>
      </c>
      <c r="J656">
        <f>IF('19_Расчет_аналитики'!J338&gt;='01_Вводные'!$B$126,IF('01_Вводные'!$B$129="ИП",'01_Вводные'!$B$127+'19_Расчет_аналитики'!J349*'01_Вводные'!$B$128,('01_Вводные'!$B$127/'01_Вводные'!$B$132+'19_Расчет_аналитики'!J349*'01_Вводные'!$B$128)*(1+'01_Вводные'!$B$131)),0)</f>
        <v/>
      </c>
      <c r="K656">
        <f>IF('19_Расчет_аналитики'!K338&gt;='01_Вводные'!$B$126,IF('01_Вводные'!$B$129="ИП",'01_Вводные'!$B$127+'19_Расчет_аналитики'!K349*'01_Вводные'!$B$128,('01_Вводные'!$B$127/'01_Вводные'!$B$132+'19_Расчет_аналитики'!K349*'01_Вводные'!$B$128)*(1+'01_Вводные'!$B$131)),0)</f>
        <v/>
      </c>
      <c r="L656">
        <f>IF('19_Расчет_аналитики'!L338&gt;='01_Вводные'!$B$126,IF('01_Вводные'!$B$129="ИП",'01_Вводные'!$B$127+'19_Расчет_аналитики'!L349*'01_Вводные'!$B$128,('01_Вводные'!$B$127/'01_Вводные'!$B$132+'19_Расчет_аналитики'!L349*'01_Вводные'!$B$128)*(1+'01_Вводные'!$B$131)),0)</f>
        <v/>
      </c>
      <c r="M656">
        <f>IF('19_Расчет_аналитики'!M338&gt;='01_Вводные'!$B$126,IF('01_Вводные'!$B$129="ИП",'01_Вводные'!$B$127+'19_Расчет_аналитики'!M349*'01_Вводные'!$B$128,('01_Вводные'!$B$127/'01_Вводные'!$B$132+'19_Расчет_аналитики'!M349*'01_Вводные'!$B$128)*(1+'01_Вводные'!$B$131)),0)</f>
        <v/>
      </c>
      <c r="N656">
        <f>IF('19_Расчет_аналитики'!N338&gt;='01_Вводные'!$B$126,IF('01_Вводные'!$B$129="ИП",'01_Вводные'!$B$127+'19_Расчет_аналитики'!N349*'01_Вводные'!$B$128,('01_Вводные'!$B$127/'01_Вводные'!$B$132+'19_Расчет_аналитики'!N349*'01_Вводные'!$B$128)*(1+'01_Вводные'!$B$131)),0)</f>
        <v/>
      </c>
      <c r="O656">
        <f>IF('19_Расчет_аналитики'!O338&gt;='01_Вводные'!$B$126,IF('01_Вводные'!$B$129="ИП",'01_Вводные'!$B$127+'19_Расчет_аналитики'!O349*'01_Вводные'!$B$128,('01_Вводные'!$B$127/'01_Вводные'!$B$132+'19_Расчет_аналитики'!O349*'01_Вводные'!$B$128)*(1+'01_Вводные'!$B$131)),0)</f>
        <v/>
      </c>
      <c r="P656">
        <f>IF('19_Расчет_аналитики'!P338&gt;='01_Вводные'!$B$126,IF('01_Вводные'!$B$129="ИП",'01_Вводные'!$B$127+'19_Расчет_аналитики'!P349*'01_Вводные'!$B$128,('01_Вводные'!$B$127/'01_Вводные'!$B$132+'19_Расчет_аналитики'!P349*'01_Вводные'!$B$128)*(1+'01_Вводные'!$B$131)),0)</f>
        <v/>
      </c>
      <c r="Q656">
        <f>IF('19_Расчет_аналитики'!Q338&gt;='01_Вводные'!$B$126,IF('01_Вводные'!$B$129="ИП",'01_Вводные'!$B$127+'19_Расчет_аналитики'!Q349*'01_Вводные'!$B$128,('01_Вводные'!$B$127/'01_Вводные'!$B$132+'19_Расчет_аналитики'!Q349*'01_Вводные'!$B$128)*(1+'01_Вводные'!$B$131)),0)</f>
        <v/>
      </c>
      <c r="R656">
        <f>IF('19_Расчет_аналитики'!R338&gt;='01_Вводные'!$B$126,IF('01_Вводные'!$B$129="ИП",'01_Вводные'!$B$127+'19_Расчет_аналитики'!R349*'01_Вводные'!$B$128,('01_Вводные'!$B$127/'01_Вводные'!$B$132+'19_Расчет_аналитики'!R349*'01_Вводные'!$B$128)*(1+'01_Вводные'!$B$131)),0)</f>
        <v/>
      </c>
      <c r="S656">
        <f>IF('19_Расчет_аналитики'!S338&gt;='01_Вводные'!$B$126,IF('01_Вводные'!$B$129="ИП",'01_Вводные'!$B$127+'19_Расчет_аналитики'!S349*'01_Вводные'!$B$128,('01_Вводные'!$B$127/'01_Вводные'!$B$132+'19_Расчет_аналитики'!S349*'01_Вводные'!$B$128)*(1+'01_Вводные'!$B$131)),0)</f>
        <v/>
      </c>
      <c r="T656">
        <f>IF('19_Расчет_аналитики'!T338&gt;='01_Вводные'!$B$126,IF('01_Вводные'!$B$129="ИП",'01_Вводные'!$B$127+'19_Расчет_аналитики'!T349*'01_Вводные'!$B$128,('01_Вводные'!$B$127/'01_Вводные'!$B$132+'19_Расчет_аналитики'!T349*'01_Вводные'!$B$128)*(1+'01_Вводные'!$B$131)),0)</f>
        <v/>
      </c>
      <c r="U656">
        <f>IF('19_Расчет_аналитики'!U338&gt;='01_Вводные'!$B$126,IF('01_Вводные'!$B$129="ИП",'01_Вводные'!$B$127+'19_Расчет_аналитики'!U349*'01_Вводные'!$B$128,('01_Вводные'!$B$127/'01_Вводные'!$B$132+'19_Расчет_аналитики'!U349*'01_Вводные'!$B$128)*(1+'01_Вводные'!$B$131)),0)</f>
        <v/>
      </c>
      <c r="V656">
        <f>IF('19_Расчет_аналитики'!V338&gt;='01_Вводные'!$B$126,IF('01_Вводные'!$B$129="ИП",'01_Вводные'!$B$127+'19_Расчет_аналитики'!V349*'01_Вводные'!$B$128,('01_Вводные'!$B$127/'01_Вводные'!$B$132+'19_Расчет_аналитики'!V349*'01_Вводные'!$B$128)*(1+'01_Вводные'!$B$131)),0)</f>
        <v/>
      </c>
      <c r="W656">
        <f>IF('19_Расчет_аналитики'!W338&gt;='01_Вводные'!$B$126,IF('01_Вводные'!$B$129="ИП",'01_Вводные'!$B$127+'19_Расчет_аналитики'!W349*'01_Вводные'!$B$128,('01_Вводные'!$B$127/'01_Вводные'!$B$132+'19_Расчет_аналитики'!W349*'01_Вводные'!$B$128)*(1+'01_Вводные'!$B$131)),0)</f>
        <v/>
      </c>
      <c r="X656">
        <f>IF('19_Расчет_аналитики'!X338&gt;='01_Вводные'!$B$126,IF('01_Вводные'!$B$129="ИП",'01_Вводные'!$B$127+'19_Расчет_аналитики'!X349*'01_Вводные'!$B$128,('01_Вводные'!$B$127/'01_Вводные'!$B$132+'19_Расчет_аналитики'!X349*'01_Вводные'!$B$128)*(1+'01_Вводные'!$B$131)),0)</f>
        <v/>
      </c>
      <c r="Y656">
        <f>IF('19_Расчет_аналитики'!Y338&gt;='01_Вводные'!$B$126,IF('01_Вводные'!$B$129="ИП",'01_Вводные'!$B$127+'19_Расчет_аналитики'!Y349*'01_Вводные'!$B$128,('01_Вводные'!$B$127/'01_Вводные'!$B$132+'19_Расчет_аналитики'!Y349*'01_Вводные'!$B$128)*(1+'01_Вводные'!$B$131)),0)</f>
        <v/>
      </c>
      <c r="Z656">
        <f>IF('19_Расчет_аналитики'!Z338&gt;='01_Вводные'!$B$126,IF('01_Вводные'!$B$129="ИП",'01_Вводные'!$B$127+'19_Расчет_аналитики'!Z349*'01_Вводные'!$B$128,('01_Вводные'!$B$127/'01_Вводные'!$B$132+'19_Расчет_аналитики'!Z349*'01_Вводные'!$B$128)*(1+'01_Вводные'!$B$131)),0)</f>
        <v/>
      </c>
      <c r="AA656">
        <f>IF('19_Расчет_аналитики'!AA338&gt;='01_Вводные'!$B$126,IF('01_Вводные'!$B$129="ИП",'01_Вводные'!$B$127+'19_Расчет_аналитики'!AA349*'01_Вводные'!$B$128,('01_Вводные'!$B$127/'01_Вводные'!$B$132+'19_Расчет_аналитики'!AA349*'01_Вводные'!$B$128)*(1+'01_Вводные'!$B$131)),0)</f>
        <v/>
      </c>
      <c r="AB656">
        <f>IF('19_Расчет_аналитики'!AB338&gt;='01_Вводные'!$B$126,IF('01_Вводные'!$B$129="ИП",'01_Вводные'!$B$127+'19_Расчет_аналитики'!AB349*'01_Вводные'!$B$128,('01_Вводные'!$B$127/'01_Вводные'!$B$132+'19_Расчет_аналитики'!AB349*'01_Вводные'!$B$128)*(1+'01_Вводные'!$B$131)),0)</f>
        <v/>
      </c>
      <c r="AC656">
        <f>IF('19_Расчет_аналитики'!AC338&gt;='01_Вводные'!$B$126,IF('01_Вводные'!$B$129="ИП",'01_Вводные'!$B$127+'19_Расчет_аналитики'!AC349*'01_Вводные'!$B$128,('01_Вводные'!$B$127/'01_Вводные'!$B$132+'19_Расчет_аналитики'!AC349*'01_Вводные'!$B$128)*(1+'01_Вводные'!$B$131)),0)</f>
        <v/>
      </c>
      <c r="AD656">
        <f>IF('19_Расчет_аналитики'!AD338&gt;='01_Вводные'!$B$126,IF('01_Вводные'!$B$129="ИП",'01_Вводные'!$B$127+'19_Расчет_аналитики'!AD349*'01_Вводные'!$B$128,('01_Вводные'!$B$127/'01_Вводные'!$B$132+'19_Расчет_аналитики'!AD349*'01_Вводные'!$B$128)*(1+'01_Вводные'!$B$131)),0)</f>
        <v/>
      </c>
      <c r="AE656">
        <f>IF('19_Расчет_аналитики'!AE338&gt;='01_Вводные'!$B$126,IF('01_Вводные'!$B$129="ИП",'01_Вводные'!$B$127+'19_Расчет_аналитики'!AE349*'01_Вводные'!$B$128,('01_Вводные'!$B$127/'01_Вводные'!$B$132+'19_Расчет_аналитики'!AE349*'01_Вводные'!$B$128)*(1+'01_Вводные'!$B$131)),0)</f>
        <v/>
      </c>
      <c r="AF656">
        <f>IF('19_Расчет_аналитики'!AF338&gt;='01_Вводные'!$B$126,IF('01_Вводные'!$B$129="ИП",'01_Вводные'!$B$127+'19_Расчет_аналитики'!AF349*'01_Вводные'!$B$128,('01_Вводные'!$B$127/'01_Вводные'!$B$132+'19_Расчет_аналитики'!AF349*'01_Вводные'!$B$128)*(1+'01_Вводные'!$B$131)),0)</f>
        <v/>
      </c>
      <c r="AG656">
        <f>IF('19_Расчет_аналитики'!AG338&gt;='01_Вводные'!$B$126,IF('01_Вводные'!$B$129="ИП",'01_Вводные'!$B$127+'19_Расчет_аналитики'!AG349*'01_Вводные'!$B$128,('01_Вводные'!$B$127/'01_Вводные'!$B$132+'19_Расчет_аналитики'!AG349*'01_Вводные'!$B$128)*(1+'01_Вводные'!$B$131)),0)</f>
        <v/>
      </c>
      <c r="AH656">
        <f>IF('19_Расчет_аналитики'!AH338&gt;='01_Вводные'!$B$126,IF('01_Вводные'!$B$129="ИП",'01_Вводные'!$B$127+'19_Расчет_аналитики'!AH349*'01_Вводные'!$B$128,('01_Вводные'!$B$127/'01_Вводные'!$B$132+'19_Расчет_аналитики'!AH349*'01_Вводные'!$B$128)*(1+'01_Вводные'!$B$131)),0)</f>
        <v/>
      </c>
      <c r="AI656">
        <f>IF('19_Расчет_аналитики'!AI338&gt;='01_Вводные'!$B$126,IF('01_Вводные'!$B$129="ИП",'01_Вводные'!$B$127+'19_Расчет_аналитики'!AI349*'01_Вводные'!$B$128,('01_Вводные'!$B$127/'01_Вводные'!$B$132+'19_Расчет_аналитики'!AI349*'01_Вводные'!$B$128)*(1+'01_Вводные'!$B$131)),0)</f>
        <v/>
      </c>
      <c r="AJ656">
        <f>IF('19_Расчет_аналитики'!AJ338&gt;='01_Вводные'!$B$126,IF('01_Вводные'!$B$129="ИП",'01_Вводные'!$B$127+'19_Расчет_аналитики'!AJ349*'01_Вводные'!$B$128,('01_Вводные'!$B$127/'01_Вводные'!$B$132+'19_Расчет_аналитики'!AJ349*'01_Вводные'!$B$128)*(1+'01_Вводные'!$B$131)),0)</f>
        <v/>
      </c>
      <c r="AK656">
        <f>IF('19_Расчет_аналитики'!AK338&gt;='01_Вводные'!$B$126,IF('01_Вводные'!$B$129="ИП",'01_Вводные'!$B$127+'19_Расчет_аналитики'!AK349*'01_Вводные'!$B$128,('01_Вводные'!$B$127/'01_Вводные'!$B$132+'19_Расчет_аналитики'!AK349*'01_Вводные'!$B$128)*(1+'01_Вводные'!$B$131)),0)</f>
        <v/>
      </c>
      <c r="AL656">
        <f>IF('19_Расчет_аналитики'!AL338&gt;='01_Вводные'!$B$126,IF('01_Вводные'!$B$129="ИП",'01_Вводные'!$B$127+'19_Расчет_аналитики'!AL349*'01_Вводные'!$B$128,('01_Вводные'!$B$127/'01_Вводные'!$B$132+'19_Расчет_аналитики'!AL349*'01_Вводные'!$B$128)*(1+'01_Вводные'!$B$131)),0)</f>
        <v/>
      </c>
      <c r="AM656">
        <f>IF('19_Расчет_аналитики'!AM338&gt;='01_Вводные'!$B$126,IF('01_Вводные'!$B$129="ИП",'01_Вводные'!$B$127+'19_Расчет_аналитики'!AM349*'01_Вводные'!$B$128,('01_Вводные'!$B$127/'01_Вводные'!$B$132+'19_Расчет_аналитики'!AM349*'01_Вводные'!$B$128)*(1+'01_Вводные'!$B$131)),0)</f>
        <v/>
      </c>
      <c r="AN656">
        <f>IF('19_Расчет_аналитики'!AN338&gt;='01_Вводные'!$B$126,IF('01_Вводные'!$B$129="ИП",'01_Вводные'!$B$127+'19_Расчет_аналитики'!AN349*'01_Вводные'!$B$128,('01_Вводные'!$B$127/'01_Вводные'!$B$132+'19_Расчет_аналитики'!AN349*'01_Вводные'!$B$128)*(1+'01_Вводные'!$B$131)),0)</f>
        <v/>
      </c>
      <c r="AO656">
        <f>IF('19_Расчет_аналитики'!AO338&gt;='01_Вводные'!$B$126,IF('01_Вводные'!$B$129="ИП",'01_Вводные'!$B$127+'19_Расчет_аналитики'!AO349*'01_Вводные'!$B$128,('01_Вводные'!$B$127/'01_Вводные'!$B$132+'19_Расчет_аналитики'!AO349*'01_Вводные'!$B$128)*(1+'01_Вводные'!$B$131)),0)</f>
        <v/>
      </c>
      <c r="AP656">
        <f>IF('19_Расчет_аналитики'!AP338&gt;='01_Вводные'!$B$126,IF('01_Вводные'!$B$129="ИП",'01_Вводные'!$B$127+'19_Расчет_аналитики'!AP349*'01_Вводные'!$B$128,('01_Вводные'!$B$127/'01_Вводные'!$B$132+'19_Расчет_аналитики'!AP349*'01_Вводные'!$B$128)*(1+'01_Вводные'!$B$131)),0)</f>
        <v/>
      </c>
      <c r="AQ656">
        <f>IF('19_Расчет_аналитики'!AQ338&gt;='01_Вводные'!$B$126,IF('01_Вводные'!$B$129="ИП",'01_Вводные'!$B$127+'19_Расчет_аналитики'!AQ349*'01_Вводные'!$B$128,('01_Вводные'!$B$127/'01_Вводные'!$B$132+'19_Расчет_аналитики'!AQ349*'01_Вводные'!$B$128)*(1+'01_Вводные'!$B$131)),0)</f>
        <v/>
      </c>
      <c r="AR656">
        <f>IF('19_Расчет_аналитики'!AR338&gt;='01_Вводные'!$B$126,IF('01_Вводные'!$B$129="ИП",'01_Вводные'!$B$127+'19_Расчет_аналитики'!AR349*'01_Вводные'!$B$128,('01_Вводные'!$B$127/'01_Вводные'!$B$132+'19_Расчет_аналитики'!AR349*'01_Вводные'!$B$128)*(1+'01_Вводные'!$B$131)),0)</f>
        <v/>
      </c>
      <c r="AS656">
        <f>IF('19_Расчет_аналитики'!AS338&gt;='01_Вводные'!$B$126,IF('01_Вводные'!$B$129="ИП",'01_Вводные'!$B$127+'19_Расчет_аналитики'!AS349*'01_Вводные'!$B$128,('01_Вводные'!$B$127/'01_Вводные'!$B$132+'19_Расчет_аналитики'!AS349*'01_Вводные'!$B$128)*(1+'01_Вводные'!$B$131)),0)</f>
        <v/>
      </c>
      <c r="AT656">
        <f>IF('19_Расчет_аналитики'!AT338&gt;='01_Вводные'!$B$126,IF('01_Вводные'!$B$129="ИП",'01_Вводные'!$B$127+'19_Расчет_аналитики'!AT349*'01_Вводные'!$B$128,('01_Вводные'!$B$127/'01_Вводные'!$B$132+'19_Расчет_аналитики'!AT349*'01_Вводные'!$B$128)*(1+'01_Вводные'!$B$131)),0)</f>
        <v/>
      </c>
      <c r="AU656">
        <f>IF('19_Расчет_аналитики'!AU338&gt;='01_Вводные'!$B$126,IF('01_Вводные'!$B$129="ИП",'01_Вводные'!$B$127+'19_Расчет_аналитики'!AU349*'01_Вводные'!$B$128,('01_Вводные'!$B$127/'01_Вводные'!$B$132+'19_Расчет_аналитики'!AU349*'01_Вводные'!$B$128)*(1+'01_Вводные'!$B$131)),0)</f>
        <v/>
      </c>
      <c r="AV656">
        <f>IF('19_Расчет_аналитики'!AV338&gt;='01_Вводные'!$B$126,IF('01_Вводные'!$B$129="ИП",'01_Вводные'!$B$127+'19_Расчет_аналитики'!AV349*'01_Вводные'!$B$128,('01_Вводные'!$B$127/'01_Вводные'!$B$132+'19_Расчет_аналитики'!AV349*'01_Вводные'!$B$128)*(1+'01_Вводные'!$B$131)),0)</f>
        <v/>
      </c>
      <c r="AW656">
        <f>IF('19_Расчет_аналитики'!AW338&gt;='01_Вводные'!$B$126,IF('01_Вводные'!$B$129="ИП",'01_Вводные'!$B$127+'19_Расчет_аналитики'!AW349*'01_Вводные'!$B$128,('01_Вводные'!$B$127/'01_Вводные'!$B$132+'19_Расчет_аналитики'!AW349*'01_Вводные'!$B$128)*(1+'01_Вводные'!$B$131)),0)</f>
        <v/>
      </c>
      <c r="AX656">
        <f>IF('19_Расчет_аналитики'!AX338&gt;='01_Вводные'!$B$126,IF('01_Вводные'!$B$129="ИП",'01_Вводные'!$B$127+'19_Расчет_аналитики'!AX349*'01_Вводные'!$B$128,('01_Вводные'!$B$127/'01_Вводные'!$B$132+'19_Расчет_аналитики'!AX349*'01_Вводные'!$B$128)*(1+'01_Вводные'!$B$131)),0)</f>
        <v/>
      </c>
      <c r="AY656">
        <f>IF('19_Расчет_аналитики'!AY338&gt;='01_Вводные'!$B$126,IF('01_Вводные'!$B$129="ИП",'01_Вводные'!$B$127+'19_Расчет_аналитики'!AY349*'01_Вводные'!$B$128,('01_Вводные'!$B$127/'01_Вводные'!$B$132+'19_Расчет_аналитики'!AY349*'01_Вводные'!$B$128)*(1+'01_Вводные'!$B$131)),0)</f>
        <v/>
      </c>
      <c r="AZ656">
        <f>IF('19_Расчет_аналитики'!AZ338&gt;='01_Вводные'!$B$126,IF('01_Вводные'!$B$129="ИП",'01_Вводные'!$B$127+'19_Расчет_аналитики'!AZ349*'01_Вводные'!$B$128,('01_Вводные'!$B$127/'01_Вводные'!$B$132+'19_Расчет_аналитики'!AZ349*'01_Вводные'!$B$128)*(1+'01_Вводные'!$B$131)),0)</f>
        <v/>
      </c>
      <c r="BA656">
        <f>IF('19_Расчет_аналитики'!BA338&gt;='01_Вводные'!$B$126,IF('01_Вводные'!$B$129="ИП",'01_Вводные'!$B$127+'19_Расчет_аналитики'!BA349*'01_Вводные'!$B$128,('01_Вводные'!$B$127/'01_Вводные'!$B$132+'19_Расчет_аналитики'!BA349*'01_Вводные'!$B$128)*(1+'01_Вводные'!$B$131)),0)</f>
        <v/>
      </c>
      <c r="BB656">
        <f>IF('19_Расчет_аналитики'!BB338&gt;='01_Вводные'!$B$126,IF('01_Вводные'!$B$129="ИП",'01_Вводные'!$B$127+'19_Расчет_аналитики'!BB349*'01_Вводные'!$B$128,('01_Вводные'!$B$127/'01_Вводные'!$B$132+'19_Расчет_аналитики'!BB349*'01_Вводные'!$B$128)*(1+'01_Вводные'!$B$131)),0)</f>
        <v/>
      </c>
      <c r="BC656">
        <f>IF('19_Расчет_аналитики'!BC338&gt;='01_Вводные'!$B$126,IF('01_Вводные'!$B$129="ИП",'01_Вводные'!$B$127+'19_Расчет_аналитики'!BC349*'01_Вводные'!$B$128,('01_Вводные'!$B$127/'01_Вводные'!$B$132+'19_Расчет_аналитики'!BC349*'01_Вводные'!$B$128)*(1+'01_Вводные'!$B$131)),0)</f>
        <v/>
      </c>
      <c r="BD656">
        <f>IF('19_Расчет_аналитики'!BD338&gt;='01_Вводные'!$B$126,IF('01_Вводные'!$B$129="ИП",'01_Вводные'!$B$127+'19_Расчет_аналитики'!BD349*'01_Вводные'!$B$128,('01_Вводные'!$B$127/'01_Вводные'!$B$132+'19_Расчет_аналитики'!BD349*'01_Вводные'!$B$128)*(1+'01_Вводные'!$B$131)),0)</f>
        <v/>
      </c>
      <c r="BE656">
        <f>IF('19_Расчет_аналитики'!BE338&gt;='01_Вводные'!$B$126,IF('01_Вводные'!$B$129="ИП",'01_Вводные'!$B$127+'19_Расчет_аналитики'!BE349*'01_Вводные'!$B$128,('01_Вводные'!$B$127/'01_Вводные'!$B$132+'19_Расчет_аналитики'!BE349*'01_Вводные'!$B$128)*(1+'01_Вводные'!$B$131)),0)</f>
        <v/>
      </c>
      <c r="BF656">
        <f>IF('19_Расчет_аналитики'!BF338&gt;='01_Вводные'!$B$126,IF('01_Вводные'!$B$129="ИП",'01_Вводные'!$B$127+'19_Расчет_аналитики'!BF349*'01_Вводные'!$B$128,('01_Вводные'!$B$127/'01_Вводные'!$B$132+'19_Расчет_аналитики'!BF349*'01_Вводные'!$B$128)*(1+'01_Вводные'!$B$131)),0)</f>
        <v/>
      </c>
      <c r="BG656">
        <f>IF('19_Расчет_аналитики'!BG338&gt;='01_Вводные'!$B$126,IF('01_Вводные'!$B$129="ИП",'01_Вводные'!$B$127+'19_Расчет_аналитики'!BG349*'01_Вводные'!$B$128,('01_Вводные'!$B$127/'01_Вводные'!$B$132+'19_Расчет_аналитики'!BG349*'01_Вводные'!$B$128)*(1+'01_Вводные'!$B$131)),0)</f>
        <v/>
      </c>
      <c r="BH656">
        <f>IF('19_Расчет_аналитики'!BH338&gt;='01_Вводные'!$B$126,IF('01_Вводные'!$B$129="ИП",'01_Вводные'!$B$127+'19_Расчет_аналитики'!BH349*'01_Вводные'!$B$128,('01_Вводные'!$B$127/'01_Вводные'!$B$132+'19_Расчет_аналитики'!BH349*'01_Вводные'!$B$128)*(1+'01_Вводные'!$B$131)),0)</f>
        <v/>
      </c>
      <c r="BI656">
        <f>IF('19_Расчет_аналитики'!BI338&gt;='01_Вводные'!$B$126,IF('01_Вводные'!$B$129="ИП",'01_Вводные'!$B$127+'19_Расчет_аналитики'!BI349*'01_Вводные'!$B$128,('01_Вводные'!$B$127/'01_Вводные'!$B$132+'19_Расчет_аналитики'!BI349*'01_Вводные'!$B$128)*(1+'01_Вводные'!$B$131)),0)</f>
        <v/>
      </c>
    </row>
    <row r="657"/>
    <row r="658"/>
    <row r="659"/>
    <row r="660"/>
    <row r="661">
      <c r="C661">
        <f>(MAX(0,'19_Расчет_аналитики'!C647-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</f>
        <v/>
      </c>
      <c r="D661">
        <f>(MAX(0,'19_Расчет_аналитики'!D647-'19_Расчет_аналитики'!C647)*'01_Вводные'!$B$119*'08_ФОТ'!D5+IF('08_ФОТ'!D$3='01_Вводные'!$B$247,'01_Вводные'!$B$133/'01_Вводные'!$B$132,0)+IF('08_ФОТ'!D$3='01_Вводные'!$B$248,'01_Вводные'!$B$134/'01_Вводные'!$B$132,0))*'01_Вводные'!$B$120</f>
        <v/>
      </c>
      <c r="E661">
        <f>(MAX(0,'19_Расчет_аналитики'!E647-'19_Расчет_аналитики'!D647)*'01_Вводные'!$B$119*'08_ФОТ'!E5+IF('08_ФОТ'!E$3='01_Вводные'!$B$247,'01_Вводные'!$B$133/'01_Вводные'!$B$132,0)+IF('08_ФОТ'!E$3='01_Вводные'!$B$248,'01_Вводные'!$B$134/'01_Вводные'!$B$132,0))*'01_Вводные'!$B$120</f>
        <v/>
      </c>
      <c r="F661">
        <f>(MAX(0,'19_Расчет_аналитики'!F647-'19_Расчет_аналитики'!E647)*'01_Вводные'!$B$119*'08_ФОТ'!F5+IF('08_ФОТ'!F$3='01_Вводные'!$B$247,'01_Вводные'!$B$133/'01_Вводные'!$B$132,0)+IF('08_ФОТ'!F$3='01_Вводные'!$B$248,'01_Вводные'!$B$134/'01_Вводные'!$B$132,0))*'01_Вводные'!$B$120</f>
        <v/>
      </c>
      <c r="G661">
        <f>(MAX(0,'19_Расчет_аналитики'!G647-'19_Расчет_аналитики'!F647)*'01_Вводные'!$B$119*'08_ФОТ'!G5+IF('08_ФОТ'!G$3='01_Вводные'!$B$247,'01_Вводные'!$B$133/'01_Вводные'!$B$132,0)+IF('08_ФОТ'!G$3='01_Вводные'!$B$248,'01_Вводные'!$B$134/'01_Вводные'!$B$132,0))*'01_Вводные'!$B$120</f>
        <v/>
      </c>
      <c r="H661">
        <f>(MAX(0,'19_Расчет_аналитики'!H647-'19_Расчет_аналитики'!G647)*'01_Вводные'!$B$119*'08_ФОТ'!H5+IF('08_ФОТ'!H$3='01_Вводные'!$B$247,'01_Вводные'!$B$133/'01_Вводные'!$B$132,0)+IF('08_ФОТ'!H$3='01_Вводные'!$B$248,'01_Вводные'!$B$134/'01_Вводные'!$B$132,0))*'01_Вводные'!$B$120</f>
        <v/>
      </c>
      <c r="I661">
        <f>(MAX(0,'19_Расчет_аналитики'!I647-'19_Расчет_аналитики'!H647)*'01_Вводные'!$B$119*'08_ФОТ'!I5+IF('08_ФОТ'!I$3='01_Вводные'!$B$247,'01_Вводные'!$B$133/'01_Вводные'!$B$132,0)+IF('08_ФОТ'!I$3='01_Вводные'!$B$248,'01_Вводные'!$B$134/'01_Вводные'!$B$132,0))*'01_Вводные'!$B$120</f>
        <v/>
      </c>
      <c r="J661">
        <f>(MAX(0,'19_Расчет_аналитики'!J647-'19_Расчет_аналитики'!I647)*'01_Вводные'!$B$119*'08_ФОТ'!J5+IF('08_ФОТ'!J$3='01_Вводные'!$B$247,'01_Вводные'!$B$133/'01_Вводные'!$B$132,0)+IF('08_ФОТ'!J$3='01_Вводные'!$B$248,'01_Вводные'!$B$134/'01_Вводные'!$B$132,0))*'01_Вводные'!$B$120</f>
        <v/>
      </c>
      <c r="K661">
        <f>(MAX(0,'19_Расчет_аналитики'!K647-'19_Расчет_аналитики'!J647)*'01_Вводные'!$B$119*'08_ФОТ'!K5+IF('08_ФОТ'!K$3='01_Вводные'!$B$247,'01_Вводные'!$B$133/'01_Вводные'!$B$132,0)+IF('08_ФОТ'!K$3='01_Вводные'!$B$248,'01_Вводные'!$B$134/'01_Вводные'!$B$132,0))*'01_Вводные'!$B$120</f>
        <v/>
      </c>
      <c r="L661">
        <f>(MAX(0,'19_Расчет_аналитики'!L647-'19_Расчет_аналитики'!K647)*'01_Вводные'!$B$119*'08_ФОТ'!L5+IF('08_ФОТ'!L$3='01_Вводные'!$B$247,'01_Вводные'!$B$133/'01_Вводные'!$B$132,0)+IF('08_ФОТ'!L$3='01_Вводные'!$B$248,'01_Вводные'!$B$134/'01_Вводные'!$B$132,0))*'01_Вводные'!$B$120</f>
        <v/>
      </c>
      <c r="M661">
        <f>(MAX(0,'19_Расчет_аналитики'!M647-'19_Расчет_аналитики'!L647)*'01_Вводные'!$B$119*'08_ФОТ'!M5+IF('08_ФОТ'!M$3='01_Вводные'!$B$247,'01_Вводные'!$B$133/'01_Вводные'!$B$132,0)+IF('08_ФОТ'!M$3='01_Вводные'!$B$248,'01_Вводные'!$B$134/'01_Вводные'!$B$132,0))*'01_Вводные'!$B$120</f>
        <v/>
      </c>
      <c r="N661">
        <f>(MAX(0,'19_Расчет_аналитики'!N647-'19_Расчет_аналитики'!M647)*'01_Вводные'!$B$119*'08_ФОТ'!N5+IF('08_ФОТ'!N$3='01_Вводные'!$B$247,'01_Вводные'!$B$133/'01_Вводные'!$B$132,0)+IF('08_ФОТ'!N$3='01_Вводные'!$B$248,'01_Вводные'!$B$134/'01_Вводные'!$B$132,0))*'01_Вводные'!$B$120</f>
        <v/>
      </c>
      <c r="O661">
        <f>(MAX(0,'19_Расчет_аналитики'!O647-'19_Расчет_аналитики'!N647)*'01_Вводные'!$B$119*'08_ФОТ'!O5+IF('08_ФОТ'!O$3='01_Вводные'!$B$247,'01_Вводные'!$B$133/'01_Вводные'!$B$132,0)+IF('08_ФОТ'!O$3='01_Вводные'!$B$248,'01_Вводные'!$B$134/'01_Вводные'!$B$132,0))*'01_Вводные'!$B$120</f>
        <v/>
      </c>
      <c r="P661">
        <f>(MAX(0,'19_Расчет_аналитики'!P647-'19_Расчет_аналитики'!O647)*'01_Вводные'!$B$119*'08_ФОТ'!P5+IF('08_ФОТ'!P$3='01_Вводные'!$B$247,'01_Вводные'!$B$133/'01_Вводные'!$B$132,0)+IF('08_ФОТ'!P$3='01_Вводные'!$B$248,'01_Вводные'!$B$134/'01_Вводные'!$B$132,0))*'01_Вводные'!$B$120</f>
        <v/>
      </c>
      <c r="Q661">
        <f>(MAX(0,'19_Расчет_аналитики'!Q647-'19_Расчет_аналитики'!P647)*'01_Вводные'!$B$119*'08_ФОТ'!Q5+IF('08_ФОТ'!Q$3='01_Вводные'!$B$247,'01_Вводные'!$B$133/'01_Вводные'!$B$132,0)+IF('08_ФОТ'!Q$3='01_Вводные'!$B$248,'01_Вводные'!$B$134/'01_Вводные'!$B$132,0))*'01_Вводные'!$B$120</f>
        <v/>
      </c>
      <c r="R661">
        <f>(MAX(0,'19_Расчет_аналитики'!R647-'19_Расчет_аналитики'!Q647)*'01_Вводные'!$B$119*'08_ФОТ'!R5+IF('08_ФОТ'!R$3='01_Вводные'!$B$247,'01_Вводные'!$B$133/'01_Вводные'!$B$132,0)+IF('08_ФОТ'!R$3='01_Вводные'!$B$248,'01_Вводные'!$B$134/'01_Вводные'!$B$132,0))*'01_Вводные'!$B$120</f>
        <v/>
      </c>
      <c r="S661">
        <f>(MAX(0,'19_Расчет_аналитики'!S647-'19_Расчет_аналитики'!R647)*'01_Вводные'!$B$119*'08_ФОТ'!S5+IF('08_ФОТ'!S$3='01_Вводные'!$B$247,'01_Вводные'!$B$133/'01_Вводные'!$B$132,0)+IF('08_ФОТ'!S$3='01_Вводные'!$B$248,'01_Вводные'!$B$134/'01_Вводные'!$B$132,0))*'01_Вводные'!$B$120</f>
        <v/>
      </c>
      <c r="T661">
        <f>(MAX(0,'19_Расчет_аналитики'!T647-'19_Расчет_аналитики'!S647)*'01_Вводные'!$B$119*'08_ФОТ'!T5+IF('08_ФОТ'!T$3='01_Вводные'!$B$247,'01_Вводные'!$B$133/'01_Вводные'!$B$132,0)+IF('08_ФОТ'!T$3='01_Вводные'!$B$248,'01_Вводные'!$B$134/'01_Вводные'!$B$132,0))*'01_Вводные'!$B$120</f>
        <v/>
      </c>
      <c r="U661">
        <f>(MAX(0,'19_Расчет_аналитики'!U647-'19_Расчет_аналитики'!T647)*'01_Вводные'!$B$119*'08_ФОТ'!U5+IF('08_ФОТ'!U$3='01_Вводные'!$B$247,'01_Вводные'!$B$133/'01_Вводные'!$B$132,0)+IF('08_ФОТ'!U$3='01_Вводные'!$B$248,'01_Вводные'!$B$134/'01_Вводные'!$B$132,0))*'01_Вводные'!$B$120</f>
        <v/>
      </c>
      <c r="V661">
        <f>(MAX(0,'19_Расчет_аналитики'!V647-'19_Расчет_аналитики'!U647)*'01_Вводные'!$B$119*'08_ФОТ'!V5+IF('08_ФОТ'!V$3='01_Вводные'!$B$247,'01_Вводные'!$B$133/'01_Вводные'!$B$132,0)+IF('08_ФОТ'!V$3='01_Вводные'!$B$248,'01_Вводные'!$B$134/'01_Вводные'!$B$132,0))*'01_Вводные'!$B$120</f>
        <v/>
      </c>
      <c r="W661">
        <f>(MAX(0,'19_Расчет_аналитики'!W647-'19_Расчет_аналитики'!V647)*'01_Вводные'!$B$119*'08_ФОТ'!W5+IF('08_ФОТ'!W$3='01_Вводные'!$B$247,'01_Вводные'!$B$133/'01_Вводные'!$B$132,0)+IF('08_ФОТ'!W$3='01_Вводные'!$B$248,'01_Вводные'!$B$134/'01_Вводные'!$B$132,0))*'01_Вводные'!$B$120</f>
        <v/>
      </c>
      <c r="X661">
        <f>(MAX(0,'19_Расчет_аналитики'!X647-'19_Расчет_аналитики'!W647)*'01_Вводные'!$B$119*'08_ФОТ'!X5+IF('08_ФОТ'!X$3='01_Вводные'!$B$247,'01_Вводные'!$B$133/'01_Вводные'!$B$132,0)+IF('08_ФОТ'!X$3='01_Вводные'!$B$248,'01_Вводные'!$B$134/'01_Вводные'!$B$132,0))*'01_Вводные'!$B$120</f>
        <v/>
      </c>
      <c r="Y661">
        <f>(MAX(0,'19_Расчет_аналитики'!Y647-'19_Расчет_аналитики'!X647)*'01_Вводные'!$B$119*'08_ФОТ'!Y5+IF('08_ФОТ'!Y$3='01_Вводные'!$B$247,'01_Вводные'!$B$133/'01_Вводные'!$B$132,0)+IF('08_ФОТ'!Y$3='01_Вводные'!$B$248,'01_Вводные'!$B$134/'01_Вводные'!$B$132,0))*'01_Вводные'!$B$120</f>
        <v/>
      </c>
      <c r="Z661">
        <f>(MAX(0,'19_Расчет_аналитики'!Z647-'19_Расчет_аналитики'!Y647)*'01_Вводные'!$B$119*'08_ФОТ'!Z5+IF('08_ФОТ'!Z$3='01_Вводные'!$B$247,'01_Вводные'!$B$133/'01_Вводные'!$B$132,0)+IF('08_ФОТ'!Z$3='01_Вводные'!$B$248,'01_Вводные'!$B$134/'01_Вводные'!$B$132,0))*'01_Вводные'!$B$120</f>
        <v/>
      </c>
      <c r="AA661">
        <f>(MAX(0,'19_Расчет_аналитики'!AA647-'19_Расчет_аналитики'!Z647)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</f>
        <v/>
      </c>
      <c r="AB661">
        <f>(MAX(0,'19_Расчет_аналитики'!AB647-'19_Расчет_аналитики'!AA647)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</f>
        <v/>
      </c>
      <c r="AC661">
        <f>(MAX(0,'19_Расчет_аналитики'!AC647-'19_Расчет_аналитики'!AB647)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</f>
        <v/>
      </c>
      <c r="AD661">
        <f>(MAX(0,'19_Расчет_аналитики'!AD647-'19_Расчет_аналитики'!AC647)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</f>
        <v/>
      </c>
      <c r="AE661">
        <f>(MAX(0,'19_Расчет_аналитики'!AE647-'19_Расчет_аналитики'!AD647)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</f>
        <v/>
      </c>
      <c r="AF661">
        <f>(MAX(0,'19_Расчет_аналитики'!AF647-'19_Расчет_аналитики'!AE647)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</f>
        <v/>
      </c>
      <c r="AG661">
        <f>(MAX(0,'19_Расчет_аналитики'!AG647-'19_Расчет_аналитики'!AF647)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</f>
        <v/>
      </c>
      <c r="AH661">
        <f>(MAX(0,'19_Расчет_аналитики'!AH647-'19_Расчет_аналитики'!AG647)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</f>
        <v/>
      </c>
      <c r="AI661">
        <f>(MAX(0,'19_Расчет_аналитики'!AI647-'19_Расчет_аналитики'!AH647)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</f>
        <v/>
      </c>
      <c r="AJ661">
        <f>(MAX(0,'19_Расчет_аналитики'!AJ647-'19_Расчет_аналитики'!AI647)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</f>
        <v/>
      </c>
      <c r="AK661">
        <f>(MAX(0,'19_Расчет_аналитики'!AK647-'19_Расчет_аналитики'!AJ647)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</f>
        <v/>
      </c>
      <c r="AL661">
        <f>(MAX(0,'19_Расчет_аналитики'!AL647-'19_Расчет_аналитики'!AK647)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</f>
        <v/>
      </c>
      <c r="AM661">
        <f>(MAX(0,'19_Расчет_аналитики'!AM647-'19_Расчет_аналитики'!AL647)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</f>
        <v/>
      </c>
      <c r="AN661">
        <f>(MAX(0,'19_Расчет_аналитики'!AN647-'19_Расчет_аналитики'!AM647)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</f>
        <v/>
      </c>
      <c r="AO661">
        <f>(MAX(0,'19_Расчет_аналитики'!AO647-'19_Расчет_аналитики'!AN647)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</f>
        <v/>
      </c>
      <c r="AP661">
        <f>(MAX(0,'19_Расчет_аналитики'!AP647-'19_Расчет_аналитики'!AO647)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</f>
        <v/>
      </c>
      <c r="AQ661">
        <f>(MAX(0,'19_Расчет_аналитики'!AQ647-'19_Расчет_аналитики'!AP647)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</f>
        <v/>
      </c>
      <c r="AR661">
        <f>(MAX(0,'19_Расчет_аналитики'!AR647-'19_Расчет_аналитики'!AQ647)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</f>
        <v/>
      </c>
      <c r="AS661">
        <f>(MAX(0,'19_Расчет_аналитики'!AS647-'19_Расчет_аналитики'!AR647)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</f>
        <v/>
      </c>
      <c r="AT661">
        <f>(MAX(0,'19_Расчет_аналитики'!AT647-'19_Расчет_аналитики'!AS647)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</f>
        <v/>
      </c>
      <c r="AU661">
        <f>(MAX(0,'19_Расчет_аналитики'!AU647-'19_Расчет_аналитики'!AT647)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</f>
        <v/>
      </c>
      <c r="AV661">
        <f>(MAX(0,'19_Расчет_аналитики'!AV647-'19_Расчет_аналитики'!AU647)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</f>
        <v/>
      </c>
      <c r="AW661">
        <f>(MAX(0,'19_Расчет_аналитики'!AW647-'19_Расчет_аналитики'!AV647)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</f>
        <v/>
      </c>
      <c r="AX661">
        <f>(MAX(0,'19_Расчет_аналитики'!AX647-'19_Расчет_аналитики'!AW647)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</f>
        <v/>
      </c>
      <c r="AY661">
        <f>(MAX(0,'19_Расчет_аналитики'!AY647-'19_Расчет_аналитики'!AX647)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</f>
        <v/>
      </c>
      <c r="AZ661">
        <f>(MAX(0,'19_Расчет_аналитики'!AZ647-'19_Расчет_аналитики'!AY647)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</f>
        <v/>
      </c>
      <c r="BA661">
        <f>(MAX(0,'19_Расчет_аналитики'!BA647-'19_Расчет_аналитики'!AZ647)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</f>
        <v/>
      </c>
      <c r="BB661">
        <f>(MAX(0,'19_Расчет_аналитики'!BB647-'19_Расчет_аналитики'!BA647)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</f>
        <v/>
      </c>
      <c r="BC661">
        <f>(MAX(0,'19_Расчет_аналитики'!BC647-'19_Расчет_аналитики'!BB647)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</f>
        <v/>
      </c>
      <c r="BD661">
        <f>(MAX(0,'19_Расчет_аналитики'!BD647-'19_Расчет_аналитики'!BC647)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</f>
        <v/>
      </c>
      <c r="BE661">
        <f>(MAX(0,'19_Расчет_аналитики'!BE647-'19_Расчет_аналитики'!BD647)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</f>
        <v/>
      </c>
      <c r="BF661">
        <f>(MAX(0,'19_Расчет_аналитики'!BF647-'19_Расчет_аналитики'!BE647)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</f>
        <v/>
      </c>
      <c r="BG661">
        <f>(MAX(0,'19_Расчет_аналитики'!BG647-'19_Расчет_аналитики'!BF647)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</f>
        <v/>
      </c>
      <c r="BH661">
        <f>(MAX(0,'19_Расчет_аналитики'!BH647-'19_Расчет_аналитики'!BG647)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</f>
        <v/>
      </c>
      <c r="BI661">
        <f>(MAX(0,'19_Расчет_аналитики'!BI647-'19_Расчет_аналитики'!BH647)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</f>
        <v/>
      </c>
    </row>
    <row r="662">
      <c r="C662">
        <f>'08_ФОТ'!C25</f>
        <v/>
      </c>
      <c r="D662">
        <f>'08_ФОТ'!D25</f>
        <v/>
      </c>
      <c r="E662">
        <f>'08_ФОТ'!E25</f>
        <v/>
      </c>
      <c r="F662">
        <f>'08_ФОТ'!F25</f>
        <v/>
      </c>
      <c r="G662">
        <f>'08_ФОТ'!G25</f>
        <v/>
      </c>
      <c r="H662">
        <f>'08_ФОТ'!H25</f>
        <v/>
      </c>
      <c r="I662">
        <f>'08_ФОТ'!I25</f>
        <v/>
      </c>
      <c r="J662">
        <f>'08_ФОТ'!J25</f>
        <v/>
      </c>
      <c r="K662">
        <f>'08_ФОТ'!K25</f>
        <v/>
      </c>
      <c r="L662">
        <f>'08_ФОТ'!L25</f>
        <v/>
      </c>
      <c r="M662">
        <f>'08_ФОТ'!M25</f>
        <v/>
      </c>
      <c r="N662">
        <f>'08_ФОТ'!N25</f>
        <v/>
      </c>
      <c r="O662">
        <f>'08_ФОТ'!O25</f>
        <v/>
      </c>
      <c r="P662">
        <f>'08_ФОТ'!P25</f>
        <v/>
      </c>
      <c r="Q662">
        <f>'08_ФОТ'!Q25</f>
        <v/>
      </c>
      <c r="R662">
        <f>'08_ФОТ'!R25</f>
        <v/>
      </c>
      <c r="S662">
        <f>'08_ФОТ'!S25</f>
        <v/>
      </c>
      <c r="T662">
        <f>'08_ФОТ'!T25</f>
        <v/>
      </c>
      <c r="U662">
        <f>'08_ФОТ'!U25</f>
        <v/>
      </c>
      <c r="V662">
        <f>'08_ФОТ'!V25</f>
        <v/>
      </c>
      <c r="W662">
        <f>'08_ФОТ'!W25</f>
        <v/>
      </c>
      <c r="X662">
        <f>'08_ФОТ'!X25</f>
        <v/>
      </c>
      <c r="Y662">
        <f>'08_ФОТ'!Y25</f>
        <v/>
      </c>
      <c r="Z662">
        <f>'08_ФОТ'!Z25</f>
        <v/>
      </c>
      <c r="AA662">
        <f>'08_ФОТ'!AA25</f>
        <v/>
      </c>
      <c r="AB662">
        <f>'08_ФОТ'!AB25</f>
        <v/>
      </c>
      <c r="AC662">
        <f>'08_ФОТ'!AC25</f>
        <v/>
      </c>
      <c r="AD662">
        <f>'08_ФОТ'!AD25</f>
        <v/>
      </c>
      <c r="AE662">
        <f>'08_ФОТ'!AE25</f>
        <v/>
      </c>
      <c r="AF662">
        <f>'08_ФОТ'!AF25</f>
        <v/>
      </c>
      <c r="AG662">
        <f>'08_ФОТ'!AG25</f>
        <v/>
      </c>
      <c r="AH662">
        <f>'08_ФОТ'!AH25</f>
        <v/>
      </c>
      <c r="AI662">
        <f>'08_ФОТ'!AI25</f>
        <v/>
      </c>
      <c r="AJ662">
        <f>'08_ФОТ'!AJ25</f>
        <v/>
      </c>
      <c r="AK662">
        <f>'08_ФОТ'!AK25</f>
        <v/>
      </c>
      <c r="AL662">
        <f>'08_ФОТ'!AL25</f>
        <v/>
      </c>
      <c r="AM662">
        <f>'08_ФОТ'!AM25</f>
        <v/>
      </c>
      <c r="AN662">
        <f>'08_ФОТ'!AN25</f>
        <v/>
      </c>
      <c r="AO662">
        <f>'08_ФОТ'!AO25</f>
        <v/>
      </c>
      <c r="AP662">
        <f>'08_ФОТ'!AP25</f>
        <v/>
      </c>
      <c r="AQ662">
        <f>'08_ФОТ'!AQ25</f>
        <v/>
      </c>
      <c r="AR662">
        <f>'08_ФОТ'!AR25</f>
        <v/>
      </c>
      <c r="AS662">
        <f>'08_ФОТ'!AS25</f>
        <v/>
      </c>
      <c r="AT662">
        <f>'08_ФОТ'!AT25</f>
        <v/>
      </c>
      <c r="AU662">
        <f>'08_ФОТ'!AU25</f>
        <v/>
      </c>
      <c r="AV662">
        <f>'08_ФОТ'!AV25</f>
        <v/>
      </c>
      <c r="AW662">
        <f>'08_ФОТ'!AW25</f>
        <v/>
      </c>
      <c r="AX662">
        <f>'08_ФОТ'!AX25</f>
        <v/>
      </c>
      <c r="AY662">
        <f>'08_ФОТ'!AY25</f>
        <v/>
      </c>
      <c r="AZ662">
        <f>'08_ФОТ'!AZ25</f>
        <v/>
      </c>
      <c r="BA662">
        <f>'08_ФОТ'!BA25</f>
        <v/>
      </c>
      <c r="BB662">
        <f>'08_ФОТ'!BB25</f>
        <v/>
      </c>
      <c r="BC662">
        <f>'08_ФОТ'!BC25</f>
        <v/>
      </c>
      <c r="BD662">
        <f>'08_ФОТ'!BD25</f>
        <v/>
      </c>
      <c r="BE662">
        <f>'08_ФОТ'!BE25</f>
        <v/>
      </c>
      <c r="BF662">
        <f>'08_ФОТ'!BF25</f>
        <v/>
      </c>
      <c r="BG662">
        <f>'08_ФОТ'!BG25</f>
        <v/>
      </c>
      <c r="BH662">
        <f>'08_ФОТ'!BH25</f>
        <v/>
      </c>
      <c r="BI662">
        <f>'08_ФОТ'!BI25</f>
        <v/>
      </c>
    </row>
    <row r="663">
      <c r="C663">
        <f>'08_ФОТ'!C26</f>
        <v/>
      </c>
      <c r="D663">
        <f>'08_ФОТ'!D26</f>
        <v/>
      </c>
      <c r="E663">
        <f>'08_ФОТ'!E26</f>
        <v/>
      </c>
      <c r="F663">
        <f>'08_ФОТ'!F26</f>
        <v/>
      </c>
      <c r="G663">
        <f>'08_ФОТ'!G26</f>
        <v/>
      </c>
      <c r="H663">
        <f>'08_ФОТ'!H26</f>
        <v/>
      </c>
      <c r="I663">
        <f>'08_ФОТ'!I26</f>
        <v/>
      </c>
      <c r="J663">
        <f>'08_ФОТ'!J26</f>
        <v/>
      </c>
      <c r="K663">
        <f>'08_ФОТ'!K26</f>
        <v/>
      </c>
      <c r="L663">
        <f>'08_ФОТ'!L26</f>
        <v/>
      </c>
      <c r="M663">
        <f>'08_ФОТ'!M26</f>
        <v/>
      </c>
      <c r="N663">
        <f>'08_ФОТ'!N26</f>
        <v/>
      </c>
      <c r="O663">
        <f>'08_ФОТ'!O26</f>
        <v/>
      </c>
      <c r="P663">
        <f>'08_ФОТ'!P26</f>
        <v/>
      </c>
      <c r="Q663">
        <f>'08_ФОТ'!Q26</f>
        <v/>
      </c>
      <c r="R663">
        <f>'08_ФОТ'!R26</f>
        <v/>
      </c>
      <c r="S663">
        <f>'08_ФОТ'!S26</f>
        <v/>
      </c>
      <c r="T663">
        <f>'08_ФОТ'!T26</f>
        <v/>
      </c>
      <c r="U663">
        <f>'08_ФОТ'!U26</f>
        <v/>
      </c>
      <c r="V663">
        <f>'08_ФОТ'!V26</f>
        <v/>
      </c>
      <c r="W663">
        <f>'08_ФОТ'!W26</f>
        <v/>
      </c>
      <c r="X663">
        <f>'08_ФОТ'!X26</f>
        <v/>
      </c>
      <c r="Y663">
        <f>'08_ФОТ'!Y26</f>
        <v/>
      </c>
      <c r="Z663">
        <f>'08_ФОТ'!Z26</f>
        <v/>
      </c>
      <c r="AA663">
        <f>'08_ФОТ'!AA26</f>
        <v/>
      </c>
      <c r="AB663">
        <f>'08_ФОТ'!AB26</f>
        <v/>
      </c>
      <c r="AC663">
        <f>'08_ФОТ'!AC26</f>
        <v/>
      </c>
      <c r="AD663">
        <f>'08_ФОТ'!AD26</f>
        <v/>
      </c>
      <c r="AE663">
        <f>'08_ФОТ'!AE26</f>
        <v/>
      </c>
      <c r="AF663">
        <f>'08_ФОТ'!AF26</f>
        <v/>
      </c>
      <c r="AG663">
        <f>'08_ФОТ'!AG26</f>
        <v/>
      </c>
      <c r="AH663">
        <f>'08_ФОТ'!AH26</f>
        <v/>
      </c>
      <c r="AI663">
        <f>'08_ФОТ'!AI26</f>
        <v/>
      </c>
      <c r="AJ663">
        <f>'08_ФОТ'!AJ26</f>
        <v/>
      </c>
      <c r="AK663">
        <f>'08_ФОТ'!AK26</f>
        <v/>
      </c>
      <c r="AL663">
        <f>'08_ФОТ'!AL26</f>
        <v/>
      </c>
      <c r="AM663">
        <f>'08_ФОТ'!AM26</f>
        <v/>
      </c>
      <c r="AN663">
        <f>'08_ФОТ'!AN26</f>
        <v/>
      </c>
      <c r="AO663">
        <f>'08_ФОТ'!AO26</f>
        <v/>
      </c>
      <c r="AP663">
        <f>'08_ФОТ'!AP26</f>
        <v/>
      </c>
      <c r="AQ663">
        <f>'08_ФОТ'!AQ26</f>
        <v/>
      </c>
      <c r="AR663">
        <f>'08_ФОТ'!AR26</f>
        <v/>
      </c>
      <c r="AS663">
        <f>'08_ФОТ'!AS26</f>
        <v/>
      </c>
      <c r="AT663">
        <f>'08_ФОТ'!AT26</f>
        <v/>
      </c>
      <c r="AU663">
        <f>'08_ФОТ'!AU26</f>
        <v/>
      </c>
      <c r="AV663">
        <f>'08_ФОТ'!AV26</f>
        <v/>
      </c>
      <c r="AW663">
        <f>'08_ФОТ'!AW26</f>
        <v/>
      </c>
      <c r="AX663">
        <f>'08_ФОТ'!AX26</f>
        <v/>
      </c>
      <c r="AY663">
        <f>'08_ФОТ'!AY26</f>
        <v/>
      </c>
      <c r="AZ663">
        <f>'08_ФОТ'!AZ26</f>
        <v/>
      </c>
      <c r="BA663">
        <f>'08_ФОТ'!BA26</f>
        <v/>
      </c>
      <c r="BB663">
        <f>'08_ФОТ'!BB26</f>
        <v/>
      </c>
      <c r="BC663">
        <f>'08_ФОТ'!BC26</f>
        <v/>
      </c>
      <c r="BD663">
        <f>'08_ФОТ'!BD26</f>
        <v/>
      </c>
      <c r="BE663">
        <f>'08_ФОТ'!BE26</f>
        <v/>
      </c>
      <c r="BF663">
        <f>'08_ФОТ'!BF26</f>
        <v/>
      </c>
      <c r="BG663">
        <f>'08_ФОТ'!BG26</f>
        <v/>
      </c>
      <c r="BH663">
        <f>'08_ФОТ'!BH26</f>
        <v/>
      </c>
      <c r="BI663">
        <f>'08_ФОТ'!BI26</f>
        <v/>
      </c>
    </row>
    <row r="664"/>
    <row r="665">
      <c r="C665">
        <f>SUM('19_Расчет_аналитики'!C649:C650,'19_Расчет_аналитики'!C652:C656,'08_ФОТ'!C21:C22,'19_Расчет_аналитики'!C661:C663)</f>
        <v/>
      </c>
      <c r="D665">
        <f>SUM('19_Расчет_аналитики'!D649:D650,'19_Расчет_аналитики'!D652:D656,'08_ФОТ'!D21:D22,'19_Расчет_аналитики'!D661:D663)</f>
        <v/>
      </c>
      <c r="E665">
        <f>SUM('19_Расчет_аналитики'!E649:E650,'19_Расчет_аналитики'!E652:E656,'08_ФОТ'!E21:E22,'19_Расчет_аналитики'!E661:E663)</f>
        <v/>
      </c>
      <c r="F665">
        <f>SUM('19_Расчет_аналитики'!F649:F650,'19_Расчет_аналитики'!F652:F656,'08_ФОТ'!F21:F22,'19_Расчет_аналитики'!F661:F663)</f>
        <v/>
      </c>
      <c r="G665">
        <f>SUM('19_Расчет_аналитики'!G649:G650,'19_Расчет_аналитики'!G652:G656,'08_ФОТ'!G21:G22,'19_Расчет_аналитики'!G661:G663)</f>
        <v/>
      </c>
      <c r="H665">
        <f>SUM('19_Расчет_аналитики'!H649:H650,'19_Расчет_аналитики'!H652:H656,'08_ФОТ'!H21:H22,'19_Расчет_аналитики'!H661:H663)</f>
        <v/>
      </c>
      <c r="I665">
        <f>SUM('19_Расчет_аналитики'!I649:I650,'19_Расчет_аналитики'!I652:I656,'08_ФОТ'!I21:I22,'19_Расчет_аналитики'!I661:I663)</f>
        <v/>
      </c>
      <c r="J665">
        <f>SUM('19_Расчет_аналитики'!J649:J650,'19_Расчет_аналитики'!J652:J656,'08_ФОТ'!J21:J22,'19_Расчет_аналитики'!J661:J663)</f>
        <v/>
      </c>
      <c r="K665">
        <f>SUM('19_Расчет_аналитики'!K649:K650,'19_Расчет_аналитики'!K652:K656,'08_ФОТ'!K21:K22,'19_Расчет_аналитики'!K661:K663)</f>
        <v/>
      </c>
      <c r="L665">
        <f>SUM('19_Расчет_аналитики'!L649:L650,'19_Расчет_аналитики'!L652:L656,'08_ФОТ'!L21:L22,'19_Расчет_аналитики'!L661:L663)</f>
        <v/>
      </c>
      <c r="M665">
        <f>SUM('19_Расчет_аналитики'!M649:M650,'19_Расчет_аналитики'!M652:M656,'08_ФОТ'!M21:M22,'19_Расчет_аналитики'!M661:M663)</f>
        <v/>
      </c>
      <c r="N665">
        <f>SUM('19_Расчет_аналитики'!N649:N650,'19_Расчет_аналитики'!N652:N656,'08_ФОТ'!N21:N22,'19_Расчет_аналитики'!N661:N663)</f>
        <v/>
      </c>
      <c r="O665">
        <f>SUM('19_Расчет_аналитики'!O649:O650,'19_Расчет_аналитики'!O652:O656,'08_ФОТ'!O21:O22,'19_Расчет_аналитики'!O661:O663)</f>
        <v/>
      </c>
      <c r="P665">
        <f>SUM('19_Расчет_аналитики'!P649:P650,'19_Расчет_аналитики'!P652:P656,'08_ФОТ'!P21:P22,'19_Расчет_аналитики'!P661:P663)</f>
        <v/>
      </c>
      <c r="Q665">
        <f>SUM('19_Расчет_аналитики'!Q649:Q650,'19_Расчет_аналитики'!Q652:Q656,'08_ФОТ'!Q21:Q22,'19_Расчет_аналитики'!Q661:Q663)</f>
        <v/>
      </c>
      <c r="R665">
        <f>SUM('19_Расчет_аналитики'!R649:R650,'19_Расчет_аналитики'!R652:R656,'08_ФОТ'!R21:R22,'19_Расчет_аналитики'!R661:R663)</f>
        <v/>
      </c>
      <c r="S665">
        <f>SUM('19_Расчет_аналитики'!S649:S650,'19_Расчет_аналитики'!S652:S656,'08_ФОТ'!S21:S22,'19_Расчет_аналитики'!S661:S663)</f>
        <v/>
      </c>
      <c r="T665">
        <f>SUM('19_Расчет_аналитики'!T649:T650,'19_Расчет_аналитики'!T652:T656,'08_ФОТ'!T21:T22,'19_Расчет_аналитики'!T661:T663)</f>
        <v/>
      </c>
      <c r="U665">
        <f>SUM('19_Расчет_аналитики'!U649:U650,'19_Расчет_аналитики'!U652:U656,'08_ФОТ'!U21:U22,'19_Расчет_аналитики'!U661:U663)</f>
        <v/>
      </c>
      <c r="V665">
        <f>SUM('19_Расчет_аналитики'!V649:V650,'19_Расчет_аналитики'!V652:V656,'08_ФОТ'!V21:V22,'19_Расчет_аналитики'!V661:V663)</f>
        <v/>
      </c>
      <c r="W665">
        <f>SUM('19_Расчет_аналитики'!W649:W650,'19_Расчет_аналитики'!W652:W656,'08_ФОТ'!W21:W22,'19_Расчет_аналитики'!W661:W663)</f>
        <v/>
      </c>
      <c r="X665">
        <f>SUM('19_Расчет_аналитики'!X649:X650,'19_Расчет_аналитики'!X652:X656,'08_ФОТ'!X21:X22,'19_Расчет_аналитики'!X661:X663)</f>
        <v/>
      </c>
      <c r="Y665">
        <f>SUM('19_Расчет_аналитики'!Y649:Y650,'19_Расчет_аналитики'!Y652:Y656,'08_ФОТ'!Y21:Y22,'19_Расчет_аналитики'!Y661:Y663)</f>
        <v/>
      </c>
      <c r="Z665">
        <f>SUM('19_Расчет_аналитики'!Z649:Z650,'19_Расчет_аналитики'!Z652:Z656,'08_ФОТ'!Z21:Z22,'19_Расчет_аналитики'!Z661:Z663)</f>
        <v/>
      </c>
      <c r="AA665">
        <f>SUM('19_Расчет_аналитики'!AA649:AA650,'19_Расчет_аналитики'!AA652:AA656,'08_ФОТ'!AA21:AA22,'19_Расчет_аналитики'!AA661:AA663)</f>
        <v/>
      </c>
      <c r="AB665">
        <f>SUM('19_Расчет_аналитики'!AB649:AB650,'19_Расчет_аналитики'!AB652:AB656,'08_ФОТ'!AB21:AB22,'19_Расчет_аналитики'!AB661:AB663)</f>
        <v/>
      </c>
      <c r="AC665">
        <f>SUM('19_Расчет_аналитики'!AC649:AC650,'19_Расчет_аналитики'!AC652:AC656,'08_ФОТ'!AC21:AC22,'19_Расчет_аналитики'!AC661:AC663)</f>
        <v/>
      </c>
      <c r="AD665">
        <f>SUM('19_Расчет_аналитики'!AD649:AD650,'19_Расчет_аналитики'!AD652:AD656,'08_ФОТ'!AD21:AD22,'19_Расчет_аналитики'!AD661:AD663)</f>
        <v/>
      </c>
      <c r="AE665">
        <f>SUM('19_Расчет_аналитики'!AE649:AE650,'19_Расчет_аналитики'!AE652:AE656,'08_ФОТ'!AE21:AE22,'19_Расчет_аналитики'!AE661:AE663)</f>
        <v/>
      </c>
      <c r="AF665">
        <f>SUM('19_Расчет_аналитики'!AF649:AF650,'19_Расчет_аналитики'!AF652:AF656,'08_ФОТ'!AF21:AF22,'19_Расчет_аналитики'!AF661:AF663)</f>
        <v/>
      </c>
      <c r="AG665">
        <f>SUM('19_Расчет_аналитики'!AG649:AG650,'19_Расчет_аналитики'!AG652:AG656,'08_ФОТ'!AG21:AG22,'19_Расчет_аналитики'!AG661:AG663)</f>
        <v/>
      </c>
      <c r="AH665">
        <f>SUM('19_Расчет_аналитики'!AH649:AH650,'19_Расчет_аналитики'!AH652:AH656,'08_ФОТ'!AH21:AH22,'19_Расчет_аналитики'!AH661:AH663)</f>
        <v/>
      </c>
      <c r="AI665">
        <f>SUM('19_Расчет_аналитики'!AI649:AI650,'19_Расчет_аналитики'!AI652:AI656,'08_ФОТ'!AI21:AI22,'19_Расчет_аналитики'!AI661:AI663)</f>
        <v/>
      </c>
      <c r="AJ665">
        <f>SUM('19_Расчет_аналитики'!AJ649:AJ650,'19_Расчет_аналитики'!AJ652:AJ656,'08_ФОТ'!AJ21:AJ22,'19_Расчет_аналитики'!AJ661:AJ663)</f>
        <v/>
      </c>
      <c r="AK665">
        <f>SUM('19_Расчет_аналитики'!AK649:AK650,'19_Расчет_аналитики'!AK652:AK656,'08_ФОТ'!AK21:AK22,'19_Расчет_аналитики'!AK661:AK663)</f>
        <v/>
      </c>
      <c r="AL665">
        <f>SUM('19_Расчет_аналитики'!AL649:AL650,'19_Расчет_аналитики'!AL652:AL656,'08_ФОТ'!AL21:AL22,'19_Расчет_аналитики'!AL661:AL663)</f>
        <v/>
      </c>
      <c r="AM665">
        <f>SUM('19_Расчет_аналитики'!AM649:AM650,'19_Расчет_аналитики'!AM652:AM656,'08_ФОТ'!AM21:AM22,'19_Расчет_аналитики'!AM661:AM663)</f>
        <v/>
      </c>
      <c r="AN665">
        <f>SUM('19_Расчет_аналитики'!AN649:AN650,'19_Расчет_аналитики'!AN652:AN656,'08_ФОТ'!AN21:AN22,'19_Расчет_аналитики'!AN661:AN663)</f>
        <v/>
      </c>
      <c r="AO665">
        <f>SUM('19_Расчет_аналитики'!AO649:AO650,'19_Расчет_аналитики'!AO652:AO656,'08_ФОТ'!AO21:AO22,'19_Расчет_аналитики'!AO661:AO663)</f>
        <v/>
      </c>
      <c r="AP665">
        <f>SUM('19_Расчет_аналитики'!AP649:AP650,'19_Расчет_аналитики'!AP652:AP656,'08_ФОТ'!AP21:AP22,'19_Расчет_аналитики'!AP661:AP663)</f>
        <v/>
      </c>
      <c r="AQ665">
        <f>SUM('19_Расчет_аналитики'!AQ649:AQ650,'19_Расчет_аналитики'!AQ652:AQ656,'08_ФОТ'!AQ21:AQ22,'19_Расчет_аналитики'!AQ661:AQ663)</f>
        <v/>
      </c>
      <c r="AR665">
        <f>SUM('19_Расчет_аналитики'!AR649:AR650,'19_Расчет_аналитики'!AR652:AR656,'08_ФОТ'!AR21:AR22,'19_Расчет_аналитики'!AR661:AR663)</f>
        <v/>
      </c>
      <c r="AS665">
        <f>SUM('19_Расчет_аналитики'!AS649:AS650,'19_Расчет_аналитики'!AS652:AS656,'08_ФОТ'!AS21:AS22,'19_Расчет_аналитики'!AS661:AS663)</f>
        <v/>
      </c>
      <c r="AT665">
        <f>SUM('19_Расчет_аналитики'!AT649:AT650,'19_Расчет_аналитики'!AT652:AT656,'08_ФОТ'!AT21:AT22,'19_Расчет_аналитики'!AT661:AT663)</f>
        <v/>
      </c>
      <c r="AU665">
        <f>SUM('19_Расчет_аналитики'!AU649:AU650,'19_Расчет_аналитики'!AU652:AU656,'08_ФОТ'!AU21:AU22,'19_Расчет_аналитики'!AU661:AU663)</f>
        <v/>
      </c>
      <c r="AV665">
        <f>SUM('19_Расчет_аналитики'!AV649:AV650,'19_Расчет_аналитики'!AV652:AV656,'08_ФОТ'!AV21:AV22,'19_Расчет_аналитики'!AV661:AV663)</f>
        <v/>
      </c>
      <c r="AW665">
        <f>SUM('19_Расчет_аналитики'!AW649:AW650,'19_Расчет_аналитики'!AW652:AW656,'08_ФОТ'!AW21:AW22,'19_Расчет_аналитики'!AW661:AW663)</f>
        <v/>
      </c>
      <c r="AX665">
        <f>SUM('19_Расчет_аналитики'!AX649:AX650,'19_Расчет_аналитики'!AX652:AX656,'08_ФОТ'!AX21:AX22,'19_Расчет_аналитики'!AX661:AX663)</f>
        <v/>
      </c>
      <c r="AY665">
        <f>SUM('19_Расчет_аналитики'!AY649:AY650,'19_Расчет_аналитики'!AY652:AY656,'08_ФОТ'!AY21:AY22,'19_Расчет_аналитики'!AY661:AY663)</f>
        <v/>
      </c>
      <c r="AZ665">
        <f>SUM('19_Расчет_аналитики'!AZ649:AZ650,'19_Расчет_аналитики'!AZ652:AZ656,'08_ФОТ'!AZ21:AZ22,'19_Расчет_аналитики'!AZ661:AZ663)</f>
        <v/>
      </c>
      <c r="BA665">
        <f>SUM('19_Расчет_аналитики'!BA649:BA650,'19_Расчет_аналитики'!BA652:BA656,'08_ФОТ'!BA21:BA22,'19_Расчет_аналитики'!BA661:BA663)</f>
        <v/>
      </c>
      <c r="BB665">
        <f>SUM('19_Расчет_аналитики'!BB649:BB650,'19_Расчет_аналитики'!BB652:BB656,'08_ФОТ'!BB21:BB22,'19_Расчет_аналитики'!BB661:BB663)</f>
        <v/>
      </c>
      <c r="BC665">
        <f>SUM('19_Расчет_аналитики'!BC649:BC650,'19_Расчет_аналитики'!BC652:BC656,'08_ФОТ'!BC21:BC22,'19_Расчет_аналитики'!BC661:BC663)</f>
        <v/>
      </c>
      <c r="BD665">
        <f>SUM('19_Расчет_аналитики'!BD649:BD650,'19_Расчет_аналитики'!BD652:BD656,'08_ФОТ'!BD21:BD22,'19_Расчет_аналитики'!BD661:BD663)</f>
        <v/>
      </c>
      <c r="BE665">
        <f>SUM('19_Расчет_аналитики'!BE649:BE650,'19_Расчет_аналитики'!BE652:BE656,'08_ФОТ'!BE21:BE22,'19_Расчет_аналитики'!BE661:BE663)</f>
        <v/>
      </c>
      <c r="BF665">
        <f>SUM('19_Расчет_аналитики'!BF649:BF650,'19_Расчет_аналитики'!BF652:BF656,'08_ФОТ'!BF21:BF22,'19_Расчет_аналитики'!BF661:BF663)</f>
        <v/>
      </c>
      <c r="BG665">
        <f>SUM('19_Расчет_аналитики'!BG649:BG650,'19_Расчет_аналитики'!BG652:BG656,'08_ФОТ'!BG21:BG22,'19_Расчет_аналитики'!BG661:BG663)</f>
        <v/>
      </c>
      <c r="BH665">
        <f>SUM('19_Расчет_аналитики'!BH649:BH650,'19_Расчет_аналитики'!BH652:BH656,'08_ФОТ'!BH21:BH22,'19_Расчет_аналитики'!BH661:BH663)</f>
        <v/>
      </c>
      <c r="BI665">
        <f>SUM('19_Расчет_аналитики'!BI649:BI650,'19_Расчет_аналитики'!BI652:BI656,'08_ФОТ'!BI21:BI22,'19_Расчет_аналитики'!BI661:BI663)</f>
        <v/>
      </c>
    </row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>
      <c r="C707">
        <f>'19_Расчет_аналитики'!C365</f>
        <v/>
      </c>
      <c r="D707">
        <f>'19_Расчет_аналитики'!D365</f>
        <v/>
      </c>
      <c r="E707">
        <f>'19_Расчет_аналитики'!E365</f>
        <v/>
      </c>
      <c r="F707">
        <f>'19_Расчет_аналитики'!F365</f>
        <v/>
      </c>
      <c r="G707">
        <f>'19_Расчет_аналитики'!G365</f>
        <v/>
      </c>
      <c r="H707">
        <f>'19_Расчет_аналитики'!H365</f>
        <v/>
      </c>
      <c r="I707">
        <f>'19_Расчет_аналитики'!I365</f>
        <v/>
      </c>
      <c r="J707">
        <f>'19_Расчет_аналитики'!J365</f>
        <v/>
      </c>
      <c r="K707">
        <f>'19_Расчет_аналитики'!K365</f>
        <v/>
      </c>
      <c r="L707">
        <f>'19_Расчет_аналитики'!L365</f>
        <v/>
      </c>
      <c r="M707">
        <f>'19_Расчет_аналитики'!M365</f>
        <v/>
      </c>
      <c r="N707">
        <f>'19_Расчет_аналитики'!N365</f>
        <v/>
      </c>
      <c r="O707">
        <f>'19_Расчет_аналитики'!O365</f>
        <v/>
      </c>
      <c r="P707">
        <f>'19_Расчет_аналитики'!P365</f>
        <v/>
      </c>
      <c r="Q707">
        <f>'19_Расчет_аналитики'!Q365</f>
        <v/>
      </c>
      <c r="R707">
        <f>'19_Расчет_аналитики'!R365</f>
        <v/>
      </c>
      <c r="S707">
        <f>'19_Расчет_аналитики'!S365</f>
        <v/>
      </c>
      <c r="T707">
        <f>'19_Расчет_аналитики'!T365</f>
        <v/>
      </c>
      <c r="U707">
        <f>'19_Расчет_аналитики'!U365</f>
        <v/>
      </c>
      <c r="V707">
        <f>'19_Расчет_аналитики'!V365</f>
        <v/>
      </c>
      <c r="W707">
        <f>'19_Расчет_аналитики'!W365</f>
        <v/>
      </c>
      <c r="X707">
        <f>'19_Расчет_аналитики'!X365</f>
        <v/>
      </c>
      <c r="Y707">
        <f>'19_Расчет_аналитики'!Y365</f>
        <v/>
      </c>
      <c r="Z707">
        <f>'19_Расчет_аналитики'!Z365</f>
        <v/>
      </c>
      <c r="AA707">
        <f>'19_Расчет_аналитики'!AA365</f>
        <v/>
      </c>
      <c r="AB707">
        <f>'19_Расчет_аналитики'!AB365</f>
        <v/>
      </c>
      <c r="AC707">
        <f>'19_Расчет_аналитики'!AC365</f>
        <v/>
      </c>
      <c r="AD707">
        <f>'19_Расчет_аналитики'!AD365</f>
        <v/>
      </c>
      <c r="AE707">
        <f>'19_Расчет_аналитики'!AE365</f>
        <v/>
      </c>
      <c r="AF707">
        <f>'19_Расчет_аналитики'!AF365</f>
        <v/>
      </c>
      <c r="AG707">
        <f>'19_Расчет_аналитики'!AG365</f>
        <v/>
      </c>
      <c r="AH707">
        <f>'19_Расчет_аналитики'!AH365</f>
        <v/>
      </c>
      <c r="AI707">
        <f>'19_Расчет_аналитики'!AI365</f>
        <v/>
      </c>
      <c r="AJ707">
        <f>'19_Расчет_аналитики'!AJ365</f>
        <v/>
      </c>
      <c r="AK707">
        <f>'19_Расчет_аналитики'!AK365</f>
        <v/>
      </c>
      <c r="AL707">
        <f>'19_Расчет_аналитики'!AL365</f>
        <v/>
      </c>
      <c r="AM707">
        <f>'19_Расчет_аналитики'!AM365</f>
        <v/>
      </c>
      <c r="AN707">
        <f>'19_Расчет_аналитики'!AN365</f>
        <v/>
      </c>
      <c r="AO707">
        <f>'19_Расчет_аналитики'!AO365</f>
        <v/>
      </c>
      <c r="AP707">
        <f>'19_Расчет_аналитики'!AP365</f>
        <v/>
      </c>
      <c r="AQ707">
        <f>'19_Расчет_аналитики'!AQ365</f>
        <v/>
      </c>
      <c r="AR707">
        <f>'19_Расчет_аналитики'!AR365</f>
        <v/>
      </c>
      <c r="AS707">
        <f>'19_Расчет_аналитики'!AS365</f>
        <v/>
      </c>
      <c r="AT707">
        <f>'19_Расчет_аналитики'!AT365</f>
        <v/>
      </c>
      <c r="AU707">
        <f>'19_Расчет_аналитики'!AU365</f>
        <v/>
      </c>
      <c r="AV707">
        <f>'19_Расчет_аналитики'!AV365</f>
        <v/>
      </c>
      <c r="AW707">
        <f>'19_Расчет_аналитики'!AW365</f>
        <v/>
      </c>
      <c r="AX707">
        <f>'19_Расчет_аналитики'!AX365</f>
        <v/>
      </c>
      <c r="AY707">
        <f>'19_Расчет_аналитики'!AY365</f>
        <v/>
      </c>
      <c r="AZ707">
        <f>'19_Расчет_аналитики'!AZ365</f>
        <v/>
      </c>
      <c r="BA707">
        <f>'19_Расчет_аналитики'!BA365</f>
        <v/>
      </c>
      <c r="BB707">
        <f>'19_Расчет_аналитики'!BB365</f>
        <v/>
      </c>
      <c r="BC707">
        <f>'19_Расчет_аналитики'!BC365</f>
        <v/>
      </c>
      <c r="BD707">
        <f>'19_Расчет_аналитики'!BD365</f>
        <v/>
      </c>
      <c r="BE707">
        <f>'19_Расчет_аналитики'!BE365</f>
        <v/>
      </c>
      <c r="BF707">
        <f>'19_Расчет_аналитики'!BF365</f>
        <v/>
      </c>
      <c r="BG707">
        <f>'19_Расчет_аналитики'!BG365</f>
        <v/>
      </c>
      <c r="BH707">
        <f>'19_Расчет_аналитики'!BH365</f>
        <v/>
      </c>
      <c r="BI707">
        <f>'19_Расчет_аналитики'!BI365</f>
        <v/>
      </c>
    </row>
    <row r="708">
      <c r="B708">
        <f>'19_Расчет_аналитики'!B379</f>
        <v/>
      </c>
      <c r="C708">
        <f>'19_Расчет_аналитики'!C379</f>
        <v/>
      </c>
      <c r="D708">
        <f>'19_Расчет_аналитики'!D379</f>
        <v/>
      </c>
      <c r="E708">
        <f>'19_Расчет_аналитики'!E379</f>
        <v/>
      </c>
      <c r="F708">
        <f>'19_Расчет_аналитики'!F379</f>
        <v/>
      </c>
      <c r="G708">
        <f>'19_Расчет_аналитики'!G379</f>
        <v/>
      </c>
      <c r="H708">
        <f>'19_Расчет_аналитики'!H379</f>
        <v/>
      </c>
      <c r="I708">
        <f>'19_Расчет_аналитики'!I379</f>
        <v/>
      </c>
      <c r="J708">
        <f>'19_Расчет_аналитики'!J379</f>
        <v/>
      </c>
      <c r="K708">
        <f>'19_Расчет_аналитики'!K379</f>
        <v/>
      </c>
      <c r="L708">
        <f>'19_Расчет_аналитики'!L379</f>
        <v/>
      </c>
      <c r="M708">
        <f>'19_Расчет_аналитики'!M379</f>
        <v/>
      </c>
      <c r="N708">
        <f>'19_Расчет_аналитики'!N379</f>
        <v/>
      </c>
      <c r="O708">
        <f>'19_Расчет_аналитики'!O379</f>
        <v/>
      </c>
      <c r="P708">
        <f>'19_Расчет_аналитики'!P379</f>
        <v/>
      </c>
      <c r="Q708">
        <f>'19_Расчет_аналитики'!Q379</f>
        <v/>
      </c>
      <c r="R708">
        <f>'19_Расчет_аналитики'!R379</f>
        <v/>
      </c>
      <c r="S708">
        <f>'19_Расчет_аналитики'!S379</f>
        <v/>
      </c>
      <c r="T708">
        <f>'19_Расчет_аналитики'!T379</f>
        <v/>
      </c>
      <c r="U708">
        <f>'19_Расчет_аналитики'!U379</f>
        <v/>
      </c>
      <c r="V708">
        <f>'19_Расчет_аналитики'!V379</f>
        <v/>
      </c>
      <c r="W708">
        <f>'19_Расчет_аналитики'!W379</f>
        <v/>
      </c>
      <c r="X708">
        <f>'19_Расчет_аналитики'!X379</f>
        <v/>
      </c>
      <c r="Y708">
        <f>'19_Расчет_аналитики'!Y379</f>
        <v/>
      </c>
      <c r="Z708">
        <f>'19_Расчет_аналитики'!Z379</f>
        <v/>
      </c>
      <c r="AA708">
        <f>'19_Расчет_аналитики'!AA379</f>
        <v/>
      </c>
      <c r="AB708">
        <f>'19_Расчет_аналитики'!AB379</f>
        <v/>
      </c>
      <c r="AC708">
        <f>'19_Расчет_аналитики'!AC379</f>
        <v/>
      </c>
      <c r="AD708">
        <f>'19_Расчет_аналитики'!AD379</f>
        <v/>
      </c>
      <c r="AE708">
        <f>'19_Расчет_аналитики'!AE379</f>
        <v/>
      </c>
      <c r="AF708">
        <f>'19_Расчет_аналитики'!AF379</f>
        <v/>
      </c>
      <c r="AG708">
        <f>'19_Расчет_аналитики'!AG379</f>
        <v/>
      </c>
      <c r="AH708">
        <f>'19_Расчет_аналитики'!AH379</f>
        <v/>
      </c>
      <c r="AI708">
        <f>'19_Расчет_аналитики'!AI379</f>
        <v/>
      </c>
      <c r="AJ708">
        <f>'19_Расчет_аналитики'!AJ379</f>
        <v/>
      </c>
      <c r="AK708">
        <f>'19_Расчет_аналитики'!AK379</f>
        <v/>
      </c>
      <c r="AL708">
        <f>'19_Расчет_аналитики'!AL379</f>
        <v/>
      </c>
      <c r="AM708">
        <f>'19_Расчет_аналитики'!AM379</f>
        <v/>
      </c>
      <c r="AN708">
        <f>'19_Расчет_аналитики'!AN379</f>
        <v/>
      </c>
      <c r="AO708">
        <f>'19_Расчет_аналитики'!AO379</f>
        <v/>
      </c>
      <c r="AP708">
        <f>'19_Расчет_аналитики'!AP379</f>
        <v/>
      </c>
      <c r="AQ708">
        <f>'19_Расчет_аналитики'!AQ379</f>
        <v/>
      </c>
      <c r="AR708">
        <f>'19_Расчет_аналитики'!AR379</f>
        <v/>
      </c>
      <c r="AS708">
        <f>'19_Расчет_аналитики'!AS379</f>
        <v/>
      </c>
      <c r="AT708">
        <f>'19_Расчет_аналитики'!AT379</f>
        <v/>
      </c>
      <c r="AU708">
        <f>'19_Расчет_аналитики'!AU379</f>
        <v/>
      </c>
      <c r="AV708">
        <f>'19_Расчет_аналитики'!AV379</f>
        <v/>
      </c>
      <c r="AW708">
        <f>'19_Расчет_аналитики'!AW379</f>
        <v/>
      </c>
      <c r="AX708">
        <f>'19_Расчет_аналитики'!AX379</f>
        <v/>
      </c>
      <c r="AY708">
        <f>'19_Расчет_аналитики'!AY379</f>
        <v/>
      </c>
      <c r="AZ708">
        <f>'19_Расчет_аналитики'!AZ379</f>
        <v/>
      </c>
      <c r="BA708">
        <f>'19_Расчет_аналитики'!BA379</f>
        <v/>
      </c>
      <c r="BB708">
        <f>'19_Расчет_аналитики'!BB379</f>
        <v/>
      </c>
      <c r="BC708">
        <f>'19_Расчет_аналитики'!BC379</f>
        <v/>
      </c>
      <c r="BD708">
        <f>'19_Расчет_аналитики'!BD379</f>
        <v/>
      </c>
      <c r="BE708">
        <f>'19_Расчет_аналитики'!BE379</f>
        <v/>
      </c>
      <c r="BF708">
        <f>'19_Расчет_аналитики'!BF379</f>
        <v/>
      </c>
      <c r="BG708">
        <f>'19_Расчет_аналитики'!BG379</f>
        <v/>
      </c>
      <c r="BH708">
        <f>'19_Расчет_аналитики'!BH379</f>
        <v/>
      </c>
      <c r="BI708">
        <f>'19_Расчет_аналитики'!BI379</f>
        <v/>
      </c>
    </row>
    <row r="709">
      <c r="B709">
        <f>'19_Расчет_аналитики'!B380</f>
        <v/>
      </c>
      <c r="C709">
        <f>'19_Расчет_аналитики'!C380</f>
        <v/>
      </c>
      <c r="D709">
        <f>'19_Расчет_аналитики'!D380</f>
        <v/>
      </c>
      <c r="E709">
        <f>'19_Расчет_аналитики'!E380</f>
        <v/>
      </c>
      <c r="F709">
        <f>'19_Расчет_аналитики'!F380</f>
        <v/>
      </c>
      <c r="G709">
        <f>'19_Расчет_аналитики'!G380</f>
        <v/>
      </c>
      <c r="H709">
        <f>'19_Расчет_аналитики'!H380</f>
        <v/>
      </c>
      <c r="I709">
        <f>'19_Расчет_аналитики'!I380</f>
        <v/>
      </c>
      <c r="J709">
        <f>'19_Расчет_аналитики'!J380</f>
        <v/>
      </c>
      <c r="K709">
        <f>'19_Расчет_аналитики'!K380</f>
        <v/>
      </c>
      <c r="L709">
        <f>'19_Расчет_аналитики'!L380</f>
        <v/>
      </c>
      <c r="M709">
        <f>'19_Расчет_аналитики'!M380</f>
        <v/>
      </c>
      <c r="N709">
        <f>'19_Расчет_аналитики'!N380</f>
        <v/>
      </c>
      <c r="O709">
        <f>'19_Расчет_аналитики'!O380</f>
        <v/>
      </c>
      <c r="P709">
        <f>'19_Расчет_аналитики'!P380</f>
        <v/>
      </c>
      <c r="Q709">
        <f>'19_Расчет_аналитики'!Q380</f>
        <v/>
      </c>
      <c r="R709">
        <f>'19_Расчет_аналитики'!R380</f>
        <v/>
      </c>
      <c r="S709">
        <f>'19_Расчет_аналитики'!S380</f>
        <v/>
      </c>
      <c r="T709">
        <f>'19_Расчет_аналитики'!T380</f>
        <v/>
      </c>
      <c r="U709">
        <f>'19_Расчет_аналитики'!U380</f>
        <v/>
      </c>
      <c r="V709">
        <f>'19_Расчет_аналитики'!V380</f>
        <v/>
      </c>
      <c r="W709">
        <f>'19_Расчет_аналитики'!W380</f>
        <v/>
      </c>
      <c r="X709">
        <f>'19_Расчет_аналитики'!X380</f>
        <v/>
      </c>
      <c r="Y709">
        <f>'19_Расчет_аналитики'!Y380</f>
        <v/>
      </c>
      <c r="Z709">
        <f>'19_Расчет_аналитики'!Z380</f>
        <v/>
      </c>
      <c r="AA709">
        <f>'19_Расчет_аналитики'!AA380</f>
        <v/>
      </c>
      <c r="AB709">
        <f>'19_Расчет_аналитики'!AB380</f>
        <v/>
      </c>
      <c r="AC709">
        <f>'19_Расчет_аналитики'!AC380</f>
        <v/>
      </c>
      <c r="AD709">
        <f>'19_Расчет_аналитики'!AD380</f>
        <v/>
      </c>
      <c r="AE709">
        <f>'19_Расчет_аналитики'!AE380</f>
        <v/>
      </c>
      <c r="AF709">
        <f>'19_Расчет_аналитики'!AF380</f>
        <v/>
      </c>
      <c r="AG709">
        <f>'19_Расчет_аналитики'!AG380</f>
        <v/>
      </c>
      <c r="AH709">
        <f>'19_Расчет_аналитики'!AH380</f>
        <v/>
      </c>
      <c r="AI709">
        <f>'19_Расчет_аналитики'!AI380</f>
        <v/>
      </c>
      <c r="AJ709">
        <f>'19_Расчет_аналитики'!AJ380</f>
        <v/>
      </c>
      <c r="AK709">
        <f>'19_Расчет_аналитики'!AK380</f>
        <v/>
      </c>
      <c r="AL709">
        <f>'19_Расчет_аналитики'!AL380</f>
        <v/>
      </c>
      <c r="AM709">
        <f>'19_Расчет_аналитики'!AM380</f>
        <v/>
      </c>
      <c r="AN709">
        <f>'19_Расчет_аналитики'!AN380</f>
        <v/>
      </c>
      <c r="AO709">
        <f>'19_Расчет_аналитики'!AO380</f>
        <v/>
      </c>
      <c r="AP709">
        <f>'19_Расчет_аналитики'!AP380</f>
        <v/>
      </c>
      <c r="AQ709">
        <f>'19_Расчет_аналитики'!AQ380</f>
        <v/>
      </c>
      <c r="AR709">
        <f>'19_Расчет_аналитики'!AR380</f>
        <v/>
      </c>
      <c r="AS709">
        <f>'19_Расчет_аналитики'!AS380</f>
        <v/>
      </c>
      <c r="AT709">
        <f>'19_Расчет_аналитики'!AT380</f>
        <v/>
      </c>
      <c r="AU709">
        <f>'19_Расчет_аналитики'!AU380</f>
        <v/>
      </c>
      <c r="AV709">
        <f>'19_Расчет_аналитики'!AV380</f>
        <v/>
      </c>
      <c r="AW709">
        <f>'19_Расчет_аналитики'!AW380</f>
        <v/>
      </c>
      <c r="AX709">
        <f>'19_Расчет_аналитики'!AX380</f>
        <v/>
      </c>
      <c r="AY709">
        <f>'19_Расчет_аналитики'!AY380</f>
        <v/>
      </c>
      <c r="AZ709">
        <f>'19_Расчет_аналитики'!AZ380</f>
        <v/>
      </c>
      <c r="BA709">
        <f>'19_Расчет_аналитики'!BA380</f>
        <v/>
      </c>
      <c r="BB709">
        <f>'19_Расчет_аналитики'!BB380</f>
        <v/>
      </c>
      <c r="BC709">
        <f>'19_Расчет_аналитики'!BC380</f>
        <v/>
      </c>
      <c r="BD709">
        <f>'19_Расчет_аналитики'!BD380</f>
        <v/>
      </c>
      <c r="BE709">
        <f>'19_Расчет_аналитики'!BE380</f>
        <v/>
      </c>
      <c r="BF709">
        <f>'19_Расчет_аналитики'!BF380</f>
        <v/>
      </c>
      <c r="BG709">
        <f>'19_Расчет_аналитики'!BG380</f>
        <v/>
      </c>
      <c r="BH709">
        <f>'19_Расчет_аналитики'!BH380</f>
        <v/>
      </c>
      <c r="BI709">
        <f>'19_Расчет_аналитики'!BI380</f>
        <v/>
      </c>
    </row>
    <row r="710"/>
    <row r="711"/>
    <row r="712">
      <c r="B712">
        <f>'02_Модель'!B18</f>
        <v/>
      </c>
      <c r="C712">
        <f>'19_Расчет_аналитики'!C349</f>
        <v/>
      </c>
      <c r="D712">
        <f>'19_Расчет_аналитики'!D349</f>
        <v/>
      </c>
      <c r="E712">
        <f>'19_Расчет_аналитики'!E349</f>
        <v/>
      </c>
      <c r="F712">
        <f>'19_Расчет_аналитики'!F349</f>
        <v/>
      </c>
      <c r="G712">
        <f>'19_Расчет_аналитики'!G349</f>
        <v/>
      </c>
      <c r="H712">
        <f>'19_Расчет_аналитики'!H349</f>
        <v/>
      </c>
      <c r="I712">
        <f>'19_Расчет_аналитики'!I349</f>
        <v/>
      </c>
      <c r="J712">
        <f>'19_Расчет_аналитики'!J349</f>
        <v/>
      </c>
      <c r="K712">
        <f>'19_Расчет_аналитики'!K349</f>
        <v/>
      </c>
      <c r="L712">
        <f>'19_Расчет_аналитики'!L349</f>
        <v/>
      </c>
      <c r="M712">
        <f>'19_Расчет_аналитики'!M349</f>
        <v/>
      </c>
      <c r="N712">
        <f>'19_Расчет_аналитики'!N349</f>
        <v/>
      </c>
      <c r="O712">
        <f>'19_Расчет_аналитики'!O349</f>
        <v/>
      </c>
      <c r="P712">
        <f>'19_Расчет_аналитики'!P349</f>
        <v/>
      </c>
      <c r="Q712">
        <f>'19_Расчет_аналитики'!Q349</f>
        <v/>
      </c>
      <c r="R712">
        <f>'19_Расчет_аналитики'!R349</f>
        <v/>
      </c>
      <c r="S712">
        <f>'19_Расчет_аналитики'!S349</f>
        <v/>
      </c>
      <c r="T712">
        <f>'19_Расчет_аналитики'!T349</f>
        <v/>
      </c>
      <c r="U712">
        <f>'19_Расчет_аналитики'!U349</f>
        <v/>
      </c>
      <c r="V712">
        <f>'19_Расчет_аналитики'!V349</f>
        <v/>
      </c>
      <c r="W712">
        <f>'19_Расчет_аналитики'!W349</f>
        <v/>
      </c>
      <c r="X712">
        <f>'19_Расчет_аналитики'!X349</f>
        <v/>
      </c>
      <c r="Y712">
        <f>'19_Расчет_аналитики'!Y349</f>
        <v/>
      </c>
      <c r="Z712">
        <f>'19_Расчет_аналитики'!Z349</f>
        <v/>
      </c>
      <c r="AA712">
        <f>'19_Расчет_аналитики'!AA349</f>
        <v/>
      </c>
      <c r="AB712">
        <f>'19_Расчет_аналитики'!AB349</f>
        <v/>
      </c>
      <c r="AC712">
        <f>'19_Расчет_аналитики'!AC349</f>
        <v/>
      </c>
      <c r="AD712">
        <f>'19_Расчет_аналитики'!AD349</f>
        <v/>
      </c>
      <c r="AE712">
        <f>'19_Расчет_аналитики'!AE349</f>
        <v/>
      </c>
      <c r="AF712">
        <f>'19_Расчет_аналитики'!AF349</f>
        <v/>
      </c>
      <c r="AG712">
        <f>'19_Расчет_аналитики'!AG349</f>
        <v/>
      </c>
      <c r="AH712">
        <f>'19_Расчет_аналитики'!AH349</f>
        <v/>
      </c>
      <c r="AI712">
        <f>'19_Расчет_аналитики'!AI349</f>
        <v/>
      </c>
      <c r="AJ712">
        <f>'19_Расчет_аналитики'!AJ349</f>
        <v/>
      </c>
      <c r="AK712">
        <f>'19_Расчет_аналитики'!AK349</f>
        <v/>
      </c>
      <c r="AL712">
        <f>'19_Расчет_аналитики'!AL349</f>
        <v/>
      </c>
      <c r="AM712">
        <f>'19_Расчет_аналитики'!AM349</f>
        <v/>
      </c>
      <c r="AN712">
        <f>'19_Расчет_аналитики'!AN349</f>
        <v/>
      </c>
      <c r="AO712">
        <f>'19_Расчет_аналитики'!AO349</f>
        <v/>
      </c>
      <c r="AP712">
        <f>'19_Расчет_аналитики'!AP349</f>
        <v/>
      </c>
      <c r="AQ712">
        <f>'19_Расчет_аналитики'!AQ349</f>
        <v/>
      </c>
      <c r="AR712">
        <f>'19_Расчет_аналитики'!AR349</f>
        <v/>
      </c>
      <c r="AS712">
        <f>'19_Расчет_аналитики'!AS349</f>
        <v/>
      </c>
      <c r="AT712">
        <f>'19_Расчет_аналитики'!AT349</f>
        <v/>
      </c>
      <c r="AU712">
        <f>'19_Расчет_аналитики'!AU349</f>
        <v/>
      </c>
      <c r="AV712">
        <f>'19_Расчет_аналитики'!AV349</f>
        <v/>
      </c>
      <c r="AW712">
        <f>'19_Расчет_аналитики'!AW349</f>
        <v/>
      </c>
      <c r="AX712">
        <f>'19_Расчет_аналитики'!AX349</f>
        <v/>
      </c>
      <c r="AY712">
        <f>'19_Расчет_аналитики'!AY349</f>
        <v/>
      </c>
      <c r="AZ712">
        <f>'19_Расчет_аналитики'!AZ349</f>
        <v/>
      </c>
      <c r="BA712">
        <f>'19_Расчет_аналитики'!BA349</f>
        <v/>
      </c>
      <c r="BB712">
        <f>'19_Расчет_аналитики'!BB349</f>
        <v/>
      </c>
      <c r="BC712">
        <f>'19_Расчет_аналитики'!BC349</f>
        <v/>
      </c>
      <c r="BD712">
        <f>'19_Расчет_аналитики'!BD349</f>
        <v/>
      </c>
      <c r="BE712">
        <f>'19_Расчет_аналитики'!BE349</f>
        <v/>
      </c>
      <c r="BF712">
        <f>'19_Расчет_аналитики'!BF349</f>
        <v/>
      </c>
      <c r="BG712">
        <f>'19_Расчет_аналитики'!BG349</f>
        <v/>
      </c>
      <c r="BH712">
        <f>'19_Расчет_аналитики'!BH349</f>
        <v/>
      </c>
      <c r="BI712">
        <f>'19_Расчет_аналитики'!BI349</f>
        <v/>
      </c>
    </row>
    <row r="713">
      <c r="B713">
        <f>'19_Расчет_аналитики'!B383/(1+'01_Вводные'!$B$58)</f>
        <v/>
      </c>
      <c r="C713">
        <f>'19_Расчет_аналитики'!C383/(1+'01_Вводные'!$B$58)</f>
        <v/>
      </c>
      <c r="D713">
        <f>'19_Расчет_аналитики'!D383/(1+'01_Вводные'!$B$58)</f>
        <v/>
      </c>
      <c r="E713">
        <f>'19_Расчет_аналитики'!E383/(1+'01_Вводные'!$B$58)</f>
        <v/>
      </c>
      <c r="F713">
        <f>'19_Расчет_аналитики'!F383/(1+'01_Вводные'!$B$58)</f>
        <v/>
      </c>
      <c r="G713">
        <f>'19_Расчет_аналитики'!G383/(1+'01_Вводные'!$B$58)</f>
        <v/>
      </c>
      <c r="H713">
        <f>'19_Расчет_аналитики'!H383/(1+'01_Вводные'!$B$58)</f>
        <v/>
      </c>
      <c r="I713">
        <f>'19_Расчет_аналитики'!I383/(1+'01_Вводные'!$B$58)</f>
        <v/>
      </c>
      <c r="J713">
        <f>'19_Расчет_аналитики'!J383/(1+'01_Вводные'!$B$58)</f>
        <v/>
      </c>
      <c r="K713">
        <f>'19_Расчет_аналитики'!K383/(1+'01_Вводные'!$B$58)</f>
        <v/>
      </c>
      <c r="L713">
        <f>'19_Расчет_аналитики'!L383/(1+'01_Вводные'!$B$58)</f>
        <v/>
      </c>
      <c r="M713">
        <f>'19_Расчет_аналитики'!M383/(1+'01_Вводные'!$B$58)</f>
        <v/>
      </c>
      <c r="N713">
        <f>'19_Расчет_аналитики'!N383/(1+'01_Вводные'!$B$58)</f>
        <v/>
      </c>
      <c r="O713">
        <f>'19_Расчет_аналитики'!O383/(1+'01_Вводные'!$B$58)</f>
        <v/>
      </c>
      <c r="P713">
        <f>'19_Расчет_аналитики'!P383/(1+'01_Вводные'!$B$58)</f>
        <v/>
      </c>
      <c r="Q713">
        <f>'19_Расчет_аналитики'!Q383/(1+'01_Вводные'!$B$58)</f>
        <v/>
      </c>
      <c r="R713">
        <f>'19_Расчет_аналитики'!R383/(1+'01_Вводные'!$B$58)</f>
        <v/>
      </c>
      <c r="S713">
        <f>'19_Расчет_аналитики'!S383/(1+'01_Вводные'!$B$58)</f>
        <v/>
      </c>
      <c r="T713">
        <f>'19_Расчет_аналитики'!T383/(1+'01_Вводные'!$B$58)</f>
        <v/>
      </c>
      <c r="U713">
        <f>'19_Расчет_аналитики'!U383/(1+'01_Вводные'!$B$58)</f>
        <v/>
      </c>
      <c r="V713">
        <f>'19_Расчет_аналитики'!V383/(1+'01_Вводные'!$B$58)</f>
        <v/>
      </c>
      <c r="W713">
        <f>'19_Расчет_аналитики'!W383/(1+'01_Вводные'!$B$58)</f>
        <v/>
      </c>
      <c r="X713">
        <f>'19_Расчет_аналитики'!X383/(1+'01_Вводные'!$B$58)</f>
        <v/>
      </c>
      <c r="Y713">
        <f>'19_Расчет_аналитики'!Y383/(1+'01_Вводные'!$B$58)</f>
        <v/>
      </c>
      <c r="Z713">
        <f>'19_Расчет_аналитики'!Z383/(1+'01_Вводные'!$B$58)</f>
        <v/>
      </c>
      <c r="AA713">
        <f>'19_Расчет_аналитики'!AA383/(1+'01_Вводные'!$B$58)</f>
        <v/>
      </c>
      <c r="AB713">
        <f>'19_Расчет_аналитики'!AB383/(1+'01_Вводные'!$B$58)</f>
        <v/>
      </c>
      <c r="AC713">
        <f>'19_Расчет_аналитики'!AC383/(1+'01_Вводные'!$B$58)</f>
        <v/>
      </c>
      <c r="AD713">
        <f>'19_Расчет_аналитики'!AD383/(1+'01_Вводные'!$B$58)</f>
        <v/>
      </c>
      <c r="AE713">
        <f>'19_Расчет_аналитики'!AE383/(1+'01_Вводные'!$B$58)</f>
        <v/>
      </c>
      <c r="AF713">
        <f>'19_Расчет_аналитики'!AF383/(1+'01_Вводные'!$B$58)</f>
        <v/>
      </c>
      <c r="AG713">
        <f>'19_Расчет_аналитики'!AG383/(1+'01_Вводные'!$B$58)</f>
        <v/>
      </c>
      <c r="AH713">
        <f>'19_Расчет_аналитики'!AH383/(1+'01_Вводные'!$B$58)</f>
        <v/>
      </c>
      <c r="AI713">
        <f>'19_Расчет_аналитики'!AI383/(1+'01_Вводные'!$B$58)</f>
        <v/>
      </c>
      <c r="AJ713">
        <f>'19_Расчет_аналитики'!AJ383/(1+'01_Вводные'!$B$58)</f>
        <v/>
      </c>
      <c r="AK713">
        <f>'19_Расчет_аналитики'!AK383/(1+'01_Вводные'!$B$58)</f>
        <v/>
      </c>
      <c r="AL713">
        <f>'19_Расчет_аналитики'!AL383/(1+'01_Вводные'!$B$58)</f>
        <v/>
      </c>
      <c r="AM713">
        <f>'19_Расчет_аналитики'!AM383/(1+'01_Вводные'!$B$58)</f>
        <v/>
      </c>
      <c r="AN713">
        <f>'19_Расчет_аналитики'!AN383/(1+'01_Вводные'!$B$58)</f>
        <v/>
      </c>
      <c r="AO713">
        <f>'19_Расчет_аналитики'!AO383/(1+'01_Вводные'!$B$58)</f>
        <v/>
      </c>
      <c r="AP713">
        <f>'19_Расчет_аналитики'!AP383/(1+'01_Вводные'!$B$58)</f>
        <v/>
      </c>
      <c r="AQ713">
        <f>'19_Расчет_аналитики'!AQ383/(1+'01_Вводные'!$B$58)</f>
        <v/>
      </c>
      <c r="AR713">
        <f>'19_Расчет_аналитики'!AR383/(1+'01_Вводные'!$B$58)</f>
        <v/>
      </c>
      <c r="AS713">
        <f>'19_Расчет_аналитики'!AS383/(1+'01_Вводные'!$B$58)</f>
        <v/>
      </c>
      <c r="AT713">
        <f>'19_Расчет_аналитики'!AT383/(1+'01_Вводные'!$B$58)</f>
        <v/>
      </c>
      <c r="AU713">
        <f>'19_Расчет_аналитики'!AU383/(1+'01_Вводные'!$B$58)</f>
        <v/>
      </c>
      <c r="AV713">
        <f>'19_Расчет_аналитики'!AV383/(1+'01_Вводные'!$B$58)</f>
        <v/>
      </c>
      <c r="AW713">
        <f>'19_Расчет_аналитики'!AW383/(1+'01_Вводные'!$B$58)</f>
        <v/>
      </c>
      <c r="AX713">
        <f>'19_Расчет_аналитики'!AX383/(1+'01_Вводные'!$B$58)</f>
        <v/>
      </c>
      <c r="AY713">
        <f>'19_Расчет_аналитики'!AY383/(1+'01_Вводные'!$B$58)</f>
        <v/>
      </c>
      <c r="AZ713">
        <f>'19_Расчет_аналитики'!AZ383/(1+'01_Вводные'!$B$58)</f>
        <v/>
      </c>
      <c r="BA713">
        <f>'19_Расчет_аналитики'!BA383/(1+'01_Вводные'!$B$58)</f>
        <v/>
      </c>
      <c r="BB713">
        <f>'19_Расчет_аналитики'!BB383/(1+'01_Вводные'!$B$58)</f>
        <v/>
      </c>
      <c r="BC713">
        <f>'19_Расчет_аналитики'!BC383/(1+'01_Вводные'!$B$58)</f>
        <v/>
      </c>
      <c r="BD713">
        <f>'19_Расчет_аналитики'!BD383/(1+'01_Вводные'!$B$58)</f>
        <v/>
      </c>
      <c r="BE713">
        <f>'19_Расчет_аналитики'!BE383/(1+'01_Вводные'!$B$58)</f>
        <v/>
      </c>
      <c r="BF713">
        <f>'19_Расчет_аналитики'!BF383/(1+'01_Вводные'!$B$58)</f>
        <v/>
      </c>
      <c r="BG713">
        <f>'19_Расчет_аналитики'!BG383/(1+'01_Вводные'!$B$58)</f>
        <v/>
      </c>
      <c r="BH713">
        <f>'19_Расчет_аналитики'!BH383/(1+'01_Вводные'!$B$58)</f>
        <v/>
      </c>
      <c r="BI713">
        <f>'19_Расчет_аналитики'!BI383/(1+'01_Вводные'!$B$58)</f>
        <v/>
      </c>
    </row>
    <row r="714">
      <c r="B714">
        <f>'19_Расчет_аналитики'!B384/(1+'01_Вводные'!$B$58)</f>
        <v/>
      </c>
      <c r="C714">
        <f>'19_Расчет_аналитики'!C384/(1+'01_Вводные'!$B$58)</f>
        <v/>
      </c>
      <c r="D714">
        <f>'19_Расчет_аналитики'!D384/(1+'01_Вводные'!$B$58)</f>
        <v/>
      </c>
      <c r="E714">
        <f>'19_Расчет_аналитики'!E384/(1+'01_Вводные'!$B$58)</f>
        <v/>
      </c>
      <c r="F714">
        <f>'19_Расчет_аналитики'!F384/(1+'01_Вводные'!$B$58)</f>
        <v/>
      </c>
      <c r="G714">
        <f>'19_Расчет_аналитики'!G384/(1+'01_Вводные'!$B$58)</f>
        <v/>
      </c>
      <c r="H714">
        <f>'19_Расчет_аналитики'!H384/(1+'01_Вводные'!$B$58)</f>
        <v/>
      </c>
      <c r="I714">
        <f>'19_Расчет_аналитики'!I384/(1+'01_Вводные'!$B$58)</f>
        <v/>
      </c>
      <c r="J714">
        <f>'19_Расчет_аналитики'!J384/(1+'01_Вводные'!$B$58)</f>
        <v/>
      </c>
      <c r="K714">
        <f>'19_Расчет_аналитики'!K384/(1+'01_Вводные'!$B$58)</f>
        <v/>
      </c>
      <c r="L714">
        <f>'19_Расчет_аналитики'!L384/(1+'01_Вводные'!$B$58)</f>
        <v/>
      </c>
      <c r="M714">
        <f>'19_Расчет_аналитики'!M384/(1+'01_Вводные'!$B$58)</f>
        <v/>
      </c>
      <c r="N714">
        <f>'19_Расчет_аналитики'!N384/(1+'01_Вводные'!$B$58)</f>
        <v/>
      </c>
      <c r="O714">
        <f>'19_Расчет_аналитики'!O384/(1+'01_Вводные'!$B$58)</f>
        <v/>
      </c>
      <c r="P714">
        <f>'19_Расчет_аналитики'!P384/(1+'01_Вводные'!$B$58)</f>
        <v/>
      </c>
      <c r="Q714">
        <f>'19_Расчет_аналитики'!Q384/(1+'01_Вводные'!$B$58)</f>
        <v/>
      </c>
      <c r="R714">
        <f>'19_Расчет_аналитики'!R384/(1+'01_Вводные'!$B$58)</f>
        <v/>
      </c>
      <c r="S714">
        <f>'19_Расчет_аналитики'!S384/(1+'01_Вводные'!$B$58)</f>
        <v/>
      </c>
      <c r="T714">
        <f>'19_Расчет_аналитики'!T384/(1+'01_Вводные'!$B$58)</f>
        <v/>
      </c>
      <c r="U714">
        <f>'19_Расчет_аналитики'!U384/(1+'01_Вводные'!$B$58)</f>
        <v/>
      </c>
      <c r="V714">
        <f>'19_Расчет_аналитики'!V384/(1+'01_Вводные'!$B$58)</f>
        <v/>
      </c>
      <c r="W714">
        <f>'19_Расчет_аналитики'!W384/(1+'01_Вводные'!$B$58)</f>
        <v/>
      </c>
      <c r="X714">
        <f>'19_Расчет_аналитики'!X384/(1+'01_Вводные'!$B$58)</f>
        <v/>
      </c>
      <c r="Y714">
        <f>'19_Расчет_аналитики'!Y384/(1+'01_Вводные'!$B$58)</f>
        <v/>
      </c>
      <c r="Z714">
        <f>'19_Расчет_аналитики'!Z384/(1+'01_Вводные'!$B$58)</f>
        <v/>
      </c>
      <c r="AA714">
        <f>'19_Расчет_аналитики'!AA384/(1+'01_Вводные'!$B$58)</f>
        <v/>
      </c>
      <c r="AB714">
        <f>'19_Расчет_аналитики'!AB384/(1+'01_Вводные'!$B$58)</f>
        <v/>
      </c>
      <c r="AC714">
        <f>'19_Расчет_аналитики'!AC384/(1+'01_Вводные'!$B$58)</f>
        <v/>
      </c>
      <c r="AD714">
        <f>'19_Расчет_аналитики'!AD384/(1+'01_Вводные'!$B$58)</f>
        <v/>
      </c>
      <c r="AE714">
        <f>'19_Расчет_аналитики'!AE384/(1+'01_Вводные'!$B$58)</f>
        <v/>
      </c>
      <c r="AF714">
        <f>'19_Расчет_аналитики'!AF384/(1+'01_Вводные'!$B$58)</f>
        <v/>
      </c>
      <c r="AG714">
        <f>'19_Расчет_аналитики'!AG384/(1+'01_Вводные'!$B$58)</f>
        <v/>
      </c>
      <c r="AH714">
        <f>'19_Расчет_аналитики'!AH384/(1+'01_Вводные'!$B$58)</f>
        <v/>
      </c>
      <c r="AI714">
        <f>'19_Расчет_аналитики'!AI384/(1+'01_Вводные'!$B$58)</f>
        <v/>
      </c>
      <c r="AJ714">
        <f>'19_Расчет_аналитики'!AJ384/(1+'01_Вводные'!$B$58)</f>
        <v/>
      </c>
      <c r="AK714">
        <f>'19_Расчет_аналитики'!AK384/(1+'01_Вводные'!$B$58)</f>
        <v/>
      </c>
      <c r="AL714">
        <f>'19_Расчет_аналитики'!AL384/(1+'01_Вводные'!$B$58)</f>
        <v/>
      </c>
      <c r="AM714">
        <f>'19_Расчет_аналитики'!AM384/(1+'01_Вводные'!$B$58)</f>
        <v/>
      </c>
      <c r="AN714">
        <f>'19_Расчет_аналитики'!AN384/(1+'01_Вводные'!$B$58)</f>
        <v/>
      </c>
      <c r="AO714">
        <f>'19_Расчет_аналитики'!AO384/(1+'01_Вводные'!$B$58)</f>
        <v/>
      </c>
      <c r="AP714">
        <f>'19_Расчет_аналитики'!AP384/(1+'01_Вводные'!$B$58)</f>
        <v/>
      </c>
      <c r="AQ714">
        <f>'19_Расчет_аналитики'!AQ384/(1+'01_Вводные'!$B$58)</f>
        <v/>
      </c>
      <c r="AR714">
        <f>'19_Расчет_аналитики'!AR384/(1+'01_Вводные'!$B$58)</f>
        <v/>
      </c>
      <c r="AS714">
        <f>'19_Расчет_аналитики'!AS384/(1+'01_Вводные'!$B$58)</f>
        <v/>
      </c>
      <c r="AT714">
        <f>'19_Расчет_аналитики'!AT384/(1+'01_Вводные'!$B$58)</f>
        <v/>
      </c>
      <c r="AU714">
        <f>'19_Расчет_аналитики'!AU384/(1+'01_Вводные'!$B$58)</f>
        <v/>
      </c>
      <c r="AV714">
        <f>'19_Расчет_аналитики'!AV384/(1+'01_Вводные'!$B$58)</f>
        <v/>
      </c>
      <c r="AW714">
        <f>'19_Расчет_аналитики'!AW384/(1+'01_Вводные'!$B$58)</f>
        <v/>
      </c>
      <c r="AX714">
        <f>'19_Расчет_аналитики'!AX384/(1+'01_Вводные'!$B$58)</f>
        <v/>
      </c>
      <c r="AY714">
        <f>'19_Расчет_аналитики'!AY384/(1+'01_Вводные'!$B$58)</f>
        <v/>
      </c>
      <c r="AZ714">
        <f>'19_Расчет_аналитики'!AZ384/(1+'01_Вводные'!$B$58)</f>
        <v/>
      </c>
      <c r="BA714">
        <f>'19_Расчет_аналитики'!BA384/(1+'01_Вводные'!$B$58)</f>
        <v/>
      </c>
      <c r="BB714">
        <f>'19_Расчет_аналитики'!BB384/(1+'01_Вводные'!$B$58)</f>
        <v/>
      </c>
      <c r="BC714">
        <f>'19_Расчет_аналитики'!BC384/(1+'01_Вводные'!$B$58)</f>
        <v/>
      </c>
      <c r="BD714">
        <f>'19_Расчет_аналитики'!BD384/(1+'01_Вводные'!$B$58)</f>
        <v/>
      </c>
      <c r="BE714">
        <f>'19_Расчет_аналитики'!BE384/(1+'01_Вводные'!$B$58)</f>
        <v/>
      </c>
      <c r="BF714">
        <f>'19_Расчет_аналитики'!BF384/(1+'01_Вводные'!$B$58)</f>
        <v/>
      </c>
      <c r="BG714">
        <f>'19_Расчет_аналитики'!BG384/(1+'01_Вводные'!$B$58)</f>
        <v/>
      </c>
      <c r="BH714">
        <f>'19_Расчет_аналитики'!BH384/(1+'01_Вводные'!$B$58)</f>
        <v/>
      </c>
      <c r="BI714">
        <f>'19_Расчет_аналитики'!BI384/(1+'01_Вводные'!$B$58)</f>
        <v/>
      </c>
    </row>
    <row r="715">
      <c r="B715">
        <f>'19_Расчет_аналитики'!B616</f>
        <v/>
      </c>
      <c r="C715">
        <f>'19_Расчет_аналитики'!C616</f>
        <v/>
      </c>
      <c r="D715">
        <f>'19_Расчет_аналитики'!D616</f>
        <v/>
      </c>
      <c r="E715">
        <f>'19_Расчет_аналитики'!E616</f>
        <v/>
      </c>
      <c r="F715">
        <f>'19_Расчет_аналитики'!F616</f>
        <v/>
      </c>
      <c r="G715">
        <f>'19_Расчет_аналитики'!G616</f>
        <v/>
      </c>
      <c r="H715">
        <f>'19_Расчет_аналитики'!H616</f>
        <v/>
      </c>
      <c r="I715">
        <f>'19_Расчет_аналитики'!I616</f>
        <v/>
      </c>
      <c r="J715">
        <f>'19_Расчет_аналитики'!J616</f>
        <v/>
      </c>
      <c r="K715">
        <f>'19_Расчет_аналитики'!K616</f>
        <v/>
      </c>
      <c r="L715">
        <f>'19_Расчет_аналитики'!L616</f>
        <v/>
      </c>
      <c r="M715">
        <f>'19_Расчет_аналитики'!M616</f>
        <v/>
      </c>
      <c r="N715">
        <f>'19_Расчет_аналитики'!N616</f>
        <v/>
      </c>
      <c r="O715">
        <f>'19_Расчет_аналитики'!O616</f>
        <v/>
      </c>
      <c r="P715">
        <f>'19_Расчет_аналитики'!P616</f>
        <v/>
      </c>
      <c r="Q715">
        <f>'19_Расчет_аналитики'!Q616</f>
        <v/>
      </c>
      <c r="R715">
        <f>'19_Расчет_аналитики'!R616</f>
        <v/>
      </c>
      <c r="S715">
        <f>'19_Расчет_аналитики'!S616</f>
        <v/>
      </c>
      <c r="T715">
        <f>'19_Расчет_аналитики'!T616</f>
        <v/>
      </c>
      <c r="U715">
        <f>'19_Расчет_аналитики'!U616</f>
        <v/>
      </c>
      <c r="V715">
        <f>'19_Расчет_аналитики'!V616</f>
        <v/>
      </c>
      <c r="W715">
        <f>'19_Расчет_аналитики'!W616</f>
        <v/>
      </c>
      <c r="X715">
        <f>'19_Расчет_аналитики'!X616</f>
        <v/>
      </c>
      <c r="Y715">
        <f>'19_Расчет_аналитики'!Y616</f>
        <v/>
      </c>
      <c r="Z715">
        <f>'19_Расчет_аналитики'!Z616</f>
        <v/>
      </c>
      <c r="AA715">
        <f>'19_Расчет_аналитики'!AA616</f>
        <v/>
      </c>
      <c r="AB715">
        <f>'19_Расчет_аналитики'!AB616</f>
        <v/>
      </c>
      <c r="AC715">
        <f>'19_Расчет_аналитики'!AC616</f>
        <v/>
      </c>
      <c r="AD715">
        <f>'19_Расчет_аналитики'!AD616</f>
        <v/>
      </c>
      <c r="AE715">
        <f>'19_Расчет_аналитики'!AE616</f>
        <v/>
      </c>
      <c r="AF715">
        <f>'19_Расчет_аналитики'!AF616</f>
        <v/>
      </c>
      <c r="AG715">
        <f>'19_Расчет_аналитики'!AG616</f>
        <v/>
      </c>
      <c r="AH715">
        <f>'19_Расчет_аналитики'!AH616</f>
        <v/>
      </c>
      <c r="AI715">
        <f>'19_Расчет_аналитики'!AI616</f>
        <v/>
      </c>
      <c r="AJ715">
        <f>'19_Расчет_аналитики'!AJ616</f>
        <v/>
      </c>
      <c r="AK715">
        <f>'19_Расчет_аналитики'!AK616</f>
        <v/>
      </c>
      <c r="AL715">
        <f>'19_Расчет_аналитики'!AL616</f>
        <v/>
      </c>
      <c r="AM715">
        <f>'19_Расчет_аналитики'!AM616</f>
        <v/>
      </c>
      <c r="AN715">
        <f>'19_Расчет_аналитики'!AN616</f>
        <v/>
      </c>
      <c r="AO715">
        <f>'19_Расчет_аналитики'!AO616</f>
        <v/>
      </c>
      <c r="AP715">
        <f>'19_Расчет_аналитики'!AP616</f>
        <v/>
      </c>
      <c r="AQ715">
        <f>'19_Расчет_аналитики'!AQ616</f>
        <v/>
      </c>
      <c r="AR715">
        <f>'19_Расчет_аналитики'!AR616</f>
        <v/>
      </c>
      <c r="AS715">
        <f>'19_Расчет_аналитики'!AS616</f>
        <v/>
      </c>
      <c r="AT715">
        <f>'19_Расчет_аналитики'!AT616</f>
        <v/>
      </c>
      <c r="AU715">
        <f>'19_Расчет_аналитики'!AU616</f>
        <v/>
      </c>
      <c r="AV715">
        <f>'19_Расчет_аналитики'!AV616</f>
        <v/>
      </c>
      <c r="AW715">
        <f>'19_Расчет_аналитики'!AW616</f>
        <v/>
      </c>
      <c r="AX715">
        <f>'19_Расчет_аналитики'!AX616</f>
        <v/>
      </c>
      <c r="AY715">
        <f>'19_Расчет_аналитики'!AY616</f>
        <v/>
      </c>
      <c r="AZ715">
        <f>'19_Расчет_аналитики'!AZ616</f>
        <v/>
      </c>
      <c r="BA715">
        <f>'19_Расчет_аналитики'!BA616</f>
        <v/>
      </c>
      <c r="BB715">
        <f>'19_Расчет_аналитики'!BB616</f>
        <v/>
      </c>
      <c r="BC715">
        <f>'19_Расчет_аналитики'!BC616</f>
        <v/>
      </c>
      <c r="BD715">
        <f>'19_Расчет_аналитики'!BD616</f>
        <v/>
      </c>
      <c r="BE715">
        <f>'19_Расчет_аналитики'!BE616</f>
        <v/>
      </c>
      <c r="BF715">
        <f>'19_Расчет_аналитики'!BF616</f>
        <v/>
      </c>
      <c r="BG715">
        <f>'19_Расчет_аналитики'!BG616</f>
        <v/>
      </c>
      <c r="BH715">
        <f>'19_Расчет_аналитики'!BH616</f>
        <v/>
      </c>
      <c r="BI715">
        <f>'19_Расчет_аналитики'!BI616</f>
        <v/>
      </c>
    </row>
    <row r="716">
      <c r="B716">
        <f>'02_Модель'!B22</f>
        <v/>
      </c>
      <c r="C716">
        <f>'02_Модель'!C22</f>
        <v/>
      </c>
      <c r="D716">
        <f>'02_Модель'!D22</f>
        <v/>
      </c>
      <c r="E716">
        <f>'02_Модель'!E22</f>
        <v/>
      </c>
      <c r="F716">
        <f>'02_Модель'!F22</f>
        <v/>
      </c>
      <c r="G716">
        <f>'02_Модель'!G22</f>
        <v/>
      </c>
      <c r="H716">
        <f>'02_Модель'!H22</f>
        <v/>
      </c>
      <c r="I716">
        <f>'02_Модель'!I22</f>
        <v/>
      </c>
      <c r="J716">
        <f>'02_Модель'!J22</f>
        <v/>
      </c>
      <c r="K716">
        <f>'02_Модель'!K22</f>
        <v/>
      </c>
      <c r="L716">
        <f>'02_Модель'!L22</f>
        <v/>
      </c>
      <c r="M716">
        <f>'02_Модель'!M22</f>
        <v/>
      </c>
      <c r="N716">
        <f>'02_Модель'!N22</f>
        <v/>
      </c>
      <c r="O716">
        <f>'02_Модель'!O22</f>
        <v/>
      </c>
      <c r="P716">
        <f>'02_Модель'!P22</f>
        <v/>
      </c>
      <c r="Q716">
        <f>'02_Модель'!Q22</f>
        <v/>
      </c>
      <c r="R716">
        <f>'02_Модель'!R22</f>
        <v/>
      </c>
      <c r="S716">
        <f>'02_Модель'!S22</f>
        <v/>
      </c>
      <c r="T716">
        <f>'02_Модель'!T22</f>
        <v/>
      </c>
      <c r="U716">
        <f>'02_Модель'!U22</f>
        <v/>
      </c>
      <c r="V716">
        <f>'02_Модель'!V22</f>
        <v/>
      </c>
      <c r="W716">
        <f>'02_Модель'!W22</f>
        <v/>
      </c>
      <c r="X716">
        <f>'02_Модель'!X22</f>
        <v/>
      </c>
      <c r="Y716">
        <f>'02_Модель'!Y22</f>
        <v/>
      </c>
      <c r="Z716">
        <f>'02_Модель'!Z22</f>
        <v/>
      </c>
      <c r="AA716">
        <f>'02_Модель'!AA22</f>
        <v/>
      </c>
      <c r="AB716">
        <f>'02_Модель'!AB22</f>
        <v/>
      </c>
      <c r="AC716">
        <f>'02_Модель'!AC22</f>
        <v/>
      </c>
      <c r="AD716">
        <f>'02_Модель'!AD22</f>
        <v/>
      </c>
      <c r="AE716">
        <f>'02_Модель'!AE22</f>
        <v/>
      </c>
      <c r="AF716">
        <f>'02_Модель'!AF22</f>
        <v/>
      </c>
      <c r="AG716">
        <f>'02_Модель'!AG22</f>
        <v/>
      </c>
      <c r="AH716">
        <f>'02_Модель'!AH22</f>
        <v/>
      </c>
      <c r="AI716">
        <f>'02_Модель'!AI22</f>
        <v/>
      </c>
      <c r="AJ716">
        <f>'02_Модель'!AJ22</f>
        <v/>
      </c>
      <c r="AK716">
        <f>'02_Модель'!AK22</f>
        <v/>
      </c>
      <c r="AL716">
        <f>'02_Модель'!AL22</f>
        <v/>
      </c>
      <c r="AM716">
        <f>'02_Модель'!AM22</f>
        <v/>
      </c>
      <c r="AN716">
        <f>'02_Модель'!AN22</f>
        <v/>
      </c>
      <c r="AO716">
        <f>'02_Модель'!AO22</f>
        <v/>
      </c>
      <c r="AP716">
        <f>'02_Модель'!AP22</f>
        <v/>
      </c>
      <c r="AQ716">
        <f>'02_Модель'!AQ22</f>
        <v/>
      </c>
      <c r="AR716">
        <f>'02_Модель'!AR22</f>
        <v/>
      </c>
      <c r="AS716">
        <f>'02_Модель'!AS22</f>
        <v/>
      </c>
      <c r="AT716">
        <f>'02_Модель'!AT22</f>
        <v/>
      </c>
      <c r="AU716">
        <f>'02_Модель'!AU22</f>
        <v/>
      </c>
      <c r="AV716">
        <f>'02_Модель'!AV22</f>
        <v/>
      </c>
      <c r="AW716">
        <f>'02_Модель'!AW22</f>
        <v/>
      </c>
      <c r="AX716">
        <f>'02_Модель'!AX22</f>
        <v/>
      </c>
      <c r="AY716">
        <f>'02_Модель'!AY22</f>
        <v/>
      </c>
      <c r="AZ716">
        <f>'02_Модель'!AZ22</f>
        <v/>
      </c>
      <c r="BA716">
        <f>'02_Модель'!BA22</f>
        <v/>
      </c>
      <c r="BB716">
        <f>'02_Модель'!BB22</f>
        <v/>
      </c>
      <c r="BC716">
        <f>'02_Модель'!BC22</f>
        <v/>
      </c>
      <c r="BD716">
        <f>'02_Модель'!BD22</f>
        <v/>
      </c>
      <c r="BE716">
        <f>'02_Модель'!BE22</f>
        <v/>
      </c>
      <c r="BF716">
        <f>'02_Модель'!BF22</f>
        <v/>
      </c>
      <c r="BG716">
        <f>'02_Модель'!BG22</f>
        <v/>
      </c>
      <c r="BH716">
        <f>'02_Модель'!BH22</f>
        <v/>
      </c>
      <c r="BI716">
        <f>'02_Модель'!BI22</f>
        <v/>
      </c>
    </row>
    <row r="717">
      <c r="B717">
        <f>SUM('19_Расчет_аналитики'!B712:B716)</f>
        <v/>
      </c>
      <c r="C717">
        <f>SUM('19_Расчет_аналитики'!C712:C716)</f>
        <v/>
      </c>
      <c r="D717">
        <f>SUM('19_Расчет_аналитики'!D712:D716)</f>
        <v/>
      </c>
      <c r="E717">
        <f>SUM('19_Расчет_аналитики'!E712:E716)</f>
        <v/>
      </c>
      <c r="F717">
        <f>SUM('19_Расчет_аналитики'!F712:F716)</f>
        <v/>
      </c>
      <c r="G717">
        <f>SUM('19_Расчет_аналитики'!G712:G716)</f>
        <v/>
      </c>
      <c r="H717">
        <f>SUM('19_Расчет_аналитики'!H712:H716)</f>
        <v/>
      </c>
      <c r="I717">
        <f>SUM('19_Расчет_аналитики'!I712:I716)</f>
        <v/>
      </c>
      <c r="J717">
        <f>SUM('19_Расчет_аналитики'!J712:J716)</f>
        <v/>
      </c>
      <c r="K717">
        <f>SUM('19_Расчет_аналитики'!K712:K716)</f>
        <v/>
      </c>
      <c r="L717">
        <f>SUM('19_Расчет_аналитики'!L712:L716)</f>
        <v/>
      </c>
      <c r="M717">
        <f>SUM('19_Расчет_аналитики'!M712:M716)</f>
        <v/>
      </c>
      <c r="N717">
        <f>SUM('19_Расчет_аналитики'!N712:N716)</f>
        <v/>
      </c>
      <c r="O717">
        <f>SUM('19_Расчет_аналитики'!O712:O716)</f>
        <v/>
      </c>
      <c r="P717">
        <f>SUM('19_Расчет_аналитики'!P712:P716)</f>
        <v/>
      </c>
      <c r="Q717">
        <f>SUM('19_Расчет_аналитики'!Q712:Q716)</f>
        <v/>
      </c>
      <c r="R717">
        <f>SUM('19_Расчет_аналитики'!R712:R716)</f>
        <v/>
      </c>
      <c r="S717">
        <f>SUM('19_Расчет_аналитики'!S712:S716)</f>
        <v/>
      </c>
      <c r="T717">
        <f>SUM('19_Расчет_аналитики'!T712:T716)</f>
        <v/>
      </c>
      <c r="U717">
        <f>SUM('19_Расчет_аналитики'!U712:U716)</f>
        <v/>
      </c>
      <c r="V717">
        <f>SUM('19_Расчет_аналитики'!V712:V716)</f>
        <v/>
      </c>
      <c r="W717">
        <f>SUM('19_Расчет_аналитики'!W712:W716)</f>
        <v/>
      </c>
      <c r="X717">
        <f>SUM('19_Расчет_аналитики'!X712:X716)</f>
        <v/>
      </c>
      <c r="Y717">
        <f>SUM('19_Расчет_аналитики'!Y712:Y716)</f>
        <v/>
      </c>
      <c r="Z717">
        <f>SUM('19_Расчет_аналитики'!Z712:Z716)</f>
        <v/>
      </c>
      <c r="AA717">
        <f>SUM('19_Расчет_аналитики'!AA712:AA716)</f>
        <v/>
      </c>
      <c r="AB717">
        <f>SUM('19_Расчет_аналитики'!AB712:AB716)</f>
        <v/>
      </c>
      <c r="AC717">
        <f>SUM('19_Расчет_аналитики'!AC712:AC716)</f>
        <v/>
      </c>
      <c r="AD717">
        <f>SUM('19_Расчет_аналитики'!AD712:AD716)</f>
        <v/>
      </c>
      <c r="AE717">
        <f>SUM('19_Расчет_аналитики'!AE712:AE716)</f>
        <v/>
      </c>
      <c r="AF717">
        <f>SUM('19_Расчет_аналитики'!AF712:AF716)</f>
        <v/>
      </c>
      <c r="AG717">
        <f>SUM('19_Расчет_аналитики'!AG712:AG716)</f>
        <v/>
      </c>
      <c r="AH717">
        <f>SUM('19_Расчет_аналитики'!AH712:AH716)</f>
        <v/>
      </c>
      <c r="AI717">
        <f>SUM('19_Расчет_аналитики'!AI712:AI716)</f>
        <v/>
      </c>
      <c r="AJ717">
        <f>SUM('19_Расчет_аналитики'!AJ712:AJ716)</f>
        <v/>
      </c>
      <c r="AK717">
        <f>SUM('19_Расчет_аналитики'!AK712:AK716)</f>
        <v/>
      </c>
      <c r="AL717">
        <f>SUM('19_Расчет_аналитики'!AL712:AL716)</f>
        <v/>
      </c>
      <c r="AM717">
        <f>SUM('19_Расчет_аналитики'!AM712:AM716)</f>
        <v/>
      </c>
      <c r="AN717">
        <f>SUM('19_Расчет_аналитики'!AN712:AN716)</f>
        <v/>
      </c>
      <c r="AO717">
        <f>SUM('19_Расчет_аналитики'!AO712:AO716)</f>
        <v/>
      </c>
      <c r="AP717">
        <f>SUM('19_Расчет_аналитики'!AP712:AP716)</f>
        <v/>
      </c>
      <c r="AQ717">
        <f>SUM('19_Расчет_аналитики'!AQ712:AQ716)</f>
        <v/>
      </c>
      <c r="AR717">
        <f>SUM('19_Расчет_аналитики'!AR712:AR716)</f>
        <v/>
      </c>
      <c r="AS717">
        <f>SUM('19_Расчет_аналитики'!AS712:AS716)</f>
        <v/>
      </c>
      <c r="AT717">
        <f>SUM('19_Расчет_аналитики'!AT712:AT716)</f>
        <v/>
      </c>
      <c r="AU717">
        <f>SUM('19_Расчет_аналитики'!AU712:AU716)</f>
        <v/>
      </c>
      <c r="AV717">
        <f>SUM('19_Расчет_аналитики'!AV712:AV716)</f>
        <v/>
      </c>
      <c r="AW717">
        <f>SUM('19_Расчет_аналитики'!AW712:AW716)</f>
        <v/>
      </c>
      <c r="AX717">
        <f>SUM('19_Расчет_аналитики'!AX712:AX716)</f>
        <v/>
      </c>
      <c r="AY717">
        <f>SUM('19_Расчет_аналитики'!AY712:AY716)</f>
        <v/>
      </c>
      <c r="AZ717">
        <f>SUM('19_Расчет_аналитики'!AZ712:AZ716)</f>
        <v/>
      </c>
      <c r="BA717">
        <f>SUM('19_Расчет_аналитики'!BA712:BA716)</f>
        <v/>
      </c>
      <c r="BB717">
        <f>SUM('19_Расчет_аналитики'!BB712:BB716)</f>
        <v/>
      </c>
      <c r="BC717">
        <f>SUM('19_Расчет_аналитики'!BC712:BC716)</f>
        <v/>
      </c>
      <c r="BD717">
        <f>SUM('19_Расчет_аналитики'!BD712:BD716)</f>
        <v/>
      </c>
      <c r="BE717">
        <f>SUM('19_Расчет_аналитики'!BE712:BE716)</f>
        <v/>
      </c>
      <c r="BF717">
        <f>SUM('19_Расчет_аналитики'!BF712:BF716)</f>
        <v/>
      </c>
      <c r="BG717">
        <f>SUM('19_Расчет_аналитики'!BG712:BG716)</f>
        <v/>
      </c>
      <c r="BH717">
        <f>SUM('19_Расчет_аналитики'!BH712:BH716)</f>
        <v/>
      </c>
      <c r="BI717">
        <f>SUM('19_Расчет_аналитики'!BI712:BI716)</f>
        <v/>
      </c>
    </row>
    <row r="718"/>
    <row r="719"/>
    <row r="720">
      <c r="B720">
        <f>'19_Расчет_аналитики'!B617</f>
        <v/>
      </c>
      <c r="C720">
        <f>'19_Расчет_аналитики'!C617</f>
        <v/>
      </c>
      <c r="D720">
        <f>'19_Расчет_аналитики'!D617</f>
        <v/>
      </c>
      <c r="E720">
        <f>'19_Расчет_аналитики'!E617</f>
        <v/>
      </c>
      <c r="F720">
        <f>'19_Расчет_аналитики'!F617</f>
        <v/>
      </c>
      <c r="G720">
        <f>'19_Расчет_аналитики'!G617</f>
        <v/>
      </c>
      <c r="H720">
        <f>'19_Расчет_аналитики'!H617</f>
        <v/>
      </c>
      <c r="I720">
        <f>'19_Расчет_аналитики'!I617</f>
        <v/>
      </c>
      <c r="J720">
        <f>'19_Расчет_аналитики'!J617</f>
        <v/>
      </c>
      <c r="K720">
        <f>'19_Расчет_аналитики'!K617</f>
        <v/>
      </c>
      <c r="L720">
        <f>'19_Расчет_аналитики'!L617</f>
        <v/>
      </c>
      <c r="M720">
        <f>'19_Расчет_аналитики'!M617</f>
        <v/>
      </c>
      <c r="N720">
        <f>'19_Расчет_аналитики'!N617</f>
        <v/>
      </c>
      <c r="O720">
        <f>'19_Расчет_аналитики'!O617</f>
        <v/>
      </c>
      <c r="P720">
        <f>'19_Расчет_аналитики'!P617</f>
        <v/>
      </c>
      <c r="Q720">
        <f>'19_Расчет_аналитики'!Q617</f>
        <v/>
      </c>
      <c r="R720">
        <f>'19_Расчет_аналитики'!R617</f>
        <v/>
      </c>
      <c r="S720">
        <f>'19_Расчет_аналитики'!S617</f>
        <v/>
      </c>
      <c r="T720">
        <f>'19_Расчет_аналитики'!T617</f>
        <v/>
      </c>
      <c r="U720">
        <f>'19_Расчет_аналитики'!U617</f>
        <v/>
      </c>
      <c r="V720">
        <f>'19_Расчет_аналитики'!V617</f>
        <v/>
      </c>
      <c r="W720">
        <f>'19_Расчет_аналитики'!W617</f>
        <v/>
      </c>
      <c r="X720">
        <f>'19_Расчет_аналитики'!X617</f>
        <v/>
      </c>
      <c r="Y720">
        <f>'19_Расчет_аналитики'!Y617</f>
        <v/>
      </c>
      <c r="Z720">
        <f>'19_Расчет_аналитики'!Z617</f>
        <v/>
      </c>
      <c r="AA720">
        <f>'19_Расчет_аналитики'!AA617</f>
        <v/>
      </c>
      <c r="AB720">
        <f>'19_Расчет_аналитики'!AB617</f>
        <v/>
      </c>
      <c r="AC720">
        <f>'19_Расчет_аналитики'!AC617</f>
        <v/>
      </c>
      <c r="AD720">
        <f>'19_Расчет_аналитики'!AD617</f>
        <v/>
      </c>
      <c r="AE720">
        <f>'19_Расчет_аналитики'!AE617</f>
        <v/>
      </c>
      <c r="AF720">
        <f>'19_Расчет_аналитики'!AF617</f>
        <v/>
      </c>
      <c r="AG720">
        <f>'19_Расчет_аналитики'!AG617</f>
        <v/>
      </c>
      <c r="AH720">
        <f>'19_Расчет_аналитики'!AH617</f>
        <v/>
      </c>
      <c r="AI720">
        <f>'19_Расчет_аналитики'!AI617</f>
        <v/>
      </c>
      <c r="AJ720">
        <f>'19_Расчет_аналитики'!AJ617</f>
        <v/>
      </c>
      <c r="AK720">
        <f>'19_Расчет_аналитики'!AK617</f>
        <v/>
      </c>
      <c r="AL720">
        <f>'19_Расчет_аналитики'!AL617</f>
        <v/>
      </c>
      <c r="AM720">
        <f>'19_Расчет_аналитики'!AM617</f>
        <v/>
      </c>
      <c r="AN720">
        <f>'19_Расчет_аналитики'!AN617</f>
        <v/>
      </c>
      <c r="AO720">
        <f>'19_Расчет_аналитики'!AO617</f>
        <v/>
      </c>
      <c r="AP720">
        <f>'19_Расчет_аналитики'!AP617</f>
        <v/>
      </c>
      <c r="AQ720">
        <f>'19_Расчет_аналитики'!AQ617</f>
        <v/>
      </c>
      <c r="AR720">
        <f>'19_Расчет_аналитики'!AR617</f>
        <v/>
      </c>
      <c r="AS720">
        <f>'19_Расчет_аналитики'!AS617</f>
        <v/>
      </c>
      <c r="AT720">
        <f>'19_Расчет_аналитики'!AT617</f>
        <v/>
      </c>
      <c r="AU720">
        <f>'19_Расчет_аналитики'!AU617</f>
        <v/>
      </c>
      <c r="AV720">
        <f>'19_Расчет_аналитики'!AV617</f>
        <v/>
      </c>
      <c r="AW720">
        <f>'19_Расчет_аналитики'!AW617</f>
        <v/>
      </c>
      <c r="AX720">
        <f>'19_Расчет_аналитики'!AX617</f>
        <v/>
      </c>
      <c r="AY720">
        <f>'19_Расчет_аналитики'!AY617</f>
        <v/>
      </c>
      <c r="AZ720">
        <f>'19_Расчет_аналитики'!AZ617</f>
        <v/>
      </c>
      <c r="BA720">
        <f>'19_Расчет_аналитики'!BA617</f>
        <v/>
      </c>
      <c r="BB720">
        <f>'19_Расчет_аналитики'!BB617</f>
        <v/>
      </c>
      <c r="BC720">
        <f>'19_Расчет_аналитики'!BC617</f>
        <v/>
      </c>
      <c r="BD720">
        <f>'19_Расчет_аналитики'!BD617</f>
        <v/>
      </c>
      <c r="BE720">
        <f>'19_Расчет_аналитики'!BE617</f>
        <v/>
      </c>
      <c r="BF720">
        <f>'19_Расчет_аналитики'!BF617</f>
        <v/>
      </c>
      <c r="BG720">
        <f>'19_Расчет_аналитики'!BG617</f>
        <v/>
      </c>
      <c r="BH720">
        <f>'19_Расчет_аналитики'!BH617</f>
        <v/>
      </c>
      <c r="BI720">
        <f>'19_Расчет_аналитики'!BI617</f>
        <v/>
      </c>
    </row>
    <row r="721">
      <c r="B721">
        <f>'19_Расчет_аналитики'!B618</f>
        <v/>
      </c>
      <c r="C721">
        <f>'19_Расчет_аналитики'!C618</f>
        <v/>
      </c>
      <c r="D721">
        <f>'19_Расчет_аналитики'!D618</f>
        <v/>
      </c>
      <c r="E721">
        <f>'19_Расчет_аналитики'!E618</f>
        <v/>
      </c>
      <c r="F721">
        <f>'19_Расчет_аналитики'!F618</f>
        <v/>
      </c>
      <c r="G721">
        <f>'19_Расчет_аналитики'!G618</f>
        <v/>
      </c>
      <c r="H721">
        <f>'19_Расчет_аналитики'!H618</f>
        <v/>
      </c>
      <c r="I721">
        <f>'19_Расчет_аналитики'!I618</f>
        <v/>
      </c>
      <c r="J721">
        <f>'19_Расчет_аналитики'!J618</f>
        <v/>
      </c>
      <c r="K721">
        <f>'19_Расчет_аналитики'!K618</f>
        <v/>
      </c>
      <c r="L721">
        <f>'19_Расчет_аналитики'!L618</f>
        <v/>
      </c>
      <c r="M721">
        <f>'19_Расчет_аналитики'!M618</f>
        <v/>
      </c>
      <c r="N721">
        <f>'19_Расчет_аналитики'!N618</f>
        <v/>
      </c>
      <c r="O721">
        <f>'19_Расчет_аналитики'!O618</f>
        <v/>
      </c>
      <c r="P721">
        <f>'19_Расчет_аналитики'!P618</f>
        <v/>
      </c>
      <c r="Q721">
        <f>'19_Расчет_аналитики'!Q618</f>
        <v/>
      </c>
      <c r="R721">
        <f>'19_Расчет_аналитики'!R618</f>
        <v/>
      </c>
      <c r="S721">
        <f>'19_Расчет_аналитики'!S618</f>
        <v/>
      </c>
      <c r="T721">
        <f>'19_Расчет_аналитики'!T618</f>
        <v/>
      </c>
      <c r="U721">
        <f>'19_Расчет_аналитики'!U618</f>
        <v/>
      </c>
      <c r="V721">
        <f>'19_Расчет_аналитики'!V618</f>
        <v/>
      </c>
      <c r="W721">
        <f>'19_Расчет_аналитики'!W618</f>
        <v/>
      </c>
      <c r="X721">
        <f>'19_Расчет_аналитики'!X618</f>
        <v/>
      </c>
      <c r="Y721">
        <f>'19_Расчет_аналитики'!Y618</f>
        <v/>
      </c>
      <c r="Z721">
        <f>'19_Расчет_аналитики'!Z618</f>
        <v/>
      </c>
      <c r="AA721">
        <f>'19_Расчет_аналитики'!AA618</f>
        <v/>
      </c>
      <c r="AB721">
        <f>'19_Расчет_аналитики'!AB618</f>
        <v/>
      </c>
      <c r="AC721">
        <f>'19_Расчет_аналитики'!AC618</f>
        <v/>
      </c>
      <c r="AD721">
        <f>'19_Расчет_аналитики'!AD618</f>
        <v/>
      </c>
      <c r="AE721">
        <f>'19_Расчет_аналитики'!AE618</f>
        <v/>
      </c>
      <c r="AF721">
        <f>'19_Расчет_аналитики'!AF618</f>
        <v/>
      </c>
      <c r="AG721">
        <f>'19_Расчет_аналитики'!AG618</f>
        <v/>
      </c>
      <c r="AH721">
        <f>'19_Расчет_аналитики'!AH618</f>
        <v/>
      </c>
      <c r="AI721">
        <f>'19_Расчет_аналитики'!AI618</f>
        <v/>
      </c>
      <c r="AJ721">
        <f>'19_Расчет_аналитики'!AJ618</f>
        <v/>
      </c>
      <c r="AK721">
        <f>'19_Расчет_аналитики'!AK618</f>
        <v/>
      </c>
      <c r="AL721">
        <f>'19_Расчет_аналитики'!AL618</f>
        <v/>
      </c>
      <c r="AM721">
        <f>'19_Расчет_аналитики'!AM618</f>
        <v/>
      </c>
      <c r="AN721">
        <f>'19_Расчет_аналитики'!AN618</f>
        <v/>
      </c>
      <c r="AO721">
        <f>'19_Расчет_аналитики'!AO618</f>
        <v/>
      </c>
      <c r="AP721">
        <f>'19_Расчет_аналитики'!AP618</f>
        <v/>
      </c>
      <c r="AQ721">
        <f>'19_Расчет_аналитики'!AQ618</f>
        <v/>
      </c>
      <c r="AR721">
        <f>'19_Расчет_аналитики'!AR618</f>
        <v/>
      </c>
      <c r="AS721">
        <f>'19_Расчет_аналитики'!AS618</f>
        <v/>
      </c>
      <c r="AT721">
        <f>'19_Расчет_аналитики'!AT618</f>
        <v/>
      </c>
      <c r="AU721">
        <f>'19_Расчет_аналитики'!AU618</f>
        <v/>
      </c>
      <c r="AV721">
        <f>'19_Расчет_аналитики'!AV618</f>
        <v/>
      </c>
      <c r="AW721">
        <f>'19_Расчет_аналитики'!AW618</f>
        <v/>
      </c>
      <c r="AX721">
        <f>'19_Расчет_аналитики'!AX618</f>
        <v/>
      </c>
      <c r="AY721">
        <f>'19_Расчет_аналитики'!AY618</f>
        <v/>
      </c>
      <c r="AZ721">
        <f>'19_Расчет_аналитики'!AZ618</f>
        <v/>
      </c>
      <c r="BA721">
        <f>'19_Расчет_аналитики'!BA618</f>
        <v/>
      </c>
      <c r="BB721">
        <f>'19_Расчет_аналитики'!BB618</f>
        <v/>
      </c>
      <c r="BC721">
        <f>'19_Расчет_аналитики'!BC618</f>
        <v/>
      </c>
      <c r="BD721">
        <f>'19_Расчет_аналитики'!BD618</f>
        <v/>
      </c>
      <c r="BE721">
        <f>'19_Расчет_аналитики'!BE618</f>
        <v/>
      </c>
      <c r="BF721">
        <f>'19_Расчет_аналитики'!BF618</f>
        <v/>
      </c>
      <c r="BG721">
        <f>'19_Расчет_аналитики'!BG618</f>
        <v/>
      </c>
      <c r="BH721">
        <f>'19_Расчет_аналитики'!BH618</f>
        <v/>
      </c>
      <c r="BI721">
        <f>'19_Расчет_аналитики'!BI618</f>
        <v/>
      </c>
    </row>
    <row r="722">
      <c r="B722">
        <f>'19_Расчет_аналитики'!B620</f>
        <v/>
      </c>
      <c r="C722">
        <f>'19_Расчет_аналитики'!C620</f>
        <v/>
      </c>
      <c r="D722">
        <f>'19_Расчет_аналитики'!D620</f>
        <v/>
      </c>
      <c r="E722">
        <f>'19_Расчет_аналитики'!E620</f>
        <v/>
      </c>
      <c r="F722">
        <f>'19_Расчет_аналитики'!F620</f>
        <v/>
      </c>
      <c r="G722">
        <f>'19_Расчет_аналитики'!G620</f>
        <v/>
      </c>
      <c r="H722">
        <f>'19_Расчет_аналитики'!H620</f>
        <v/>
      </c>
      <c r="I722">
        <f>'19_Расчет_аналитики'!I620</f>
        <v/>
      </c>
      <c r="J722">
        <f>'19_Расчет_аналитики'!J620</f>
        <v/>
      </c>
      <c r="K722">
        <f>'19_Расчет_аналитики'!K620</f>
        <v/>
      </c>
      <c r="L722">
        <f>'19_Расчет_аналитики'!L620</f>
        <v/>
      </c>
      <c r="M722">
        <f>'19_Расчет_аналитики'!M620</f>
        <v/>
      </c>
      <c r="N722">
        <f>'19_Расчет_аналитики'!N620</f>
        <v/>
      </c>
      <c r="O722">
        <f>'19_Расчет_аналитики'!O620</f>
        <v/>
      </c>
      <c r="P722">
        <f>'19_Расчет_аналитики'!P620</f>
        <v/>
      </c>
      <c r="Q722">
        <f>'19_Расчет_аналитики'!Q620</f>
        <v/>
      </c>
      <c r="R722">
        <f>'19_Расчет_аналитики'!R620</f>
        <v/>
      </c>
      <c r="S722">
        <f>'19_Расчет_аналитики'!S620</f>
        <v/>
      </c>
      <c r="T722">
        <f>'19_Расчет_аналитики'!T620</f>
        <v/>
      </c>
      <c r="U722">
        <f>'19_Расчет_аналитики'!U620</f>
        <v/>
      </c>
      <c r="V722">
        <f>'19_Расчет_аналитики'!V620</f>
        <v/>
      </c>
      <c r="W722">
        <f>'19_Расчет_аналитики'!W620</f>
        <v/>
      </c>
      <c r="X722">
        <f>'19_Расчет_аналитики'!X620</f>
        <v/>
      </c>
      <c r="Y722">
        <f>'19_Расчет_аналитики'!Y620</f>
        <v/>
      </c>
      <c r="Z722">
        <f>'19_Расчет_аналитики'!Z620</f>
        <v/>
      </c>
      <c r="AA722">
        <f>'19_Расчет_аналитики'!AA620</f>
        <v/>
      </c>
      <c r="AB722">
        <f>'19_Расчет_аналитики'!AB620</f>
        <v/>
      </c>
      <c r="AC722">
        <f>'19_Расчет_аналитики'!AC620</f>
        <v/>
      </c>
      <c r="AD722">
        <f>'19_Расчет_аналитики'!AD620</f>
        <v/>
      </c>
      <c r="AE722">
        <f>'19_Расчет_аналитики'!AE620</f>
        <v/>
      </c>
      <c r="AF722">
        <f>'19_Расчет_аналитики'!AF620</f>
        <v/>
      </c>
      <c r="AG722">
        <f>'19_Расчет_аналитики'!AG620</f>
        <v/>
      </c>
      <c r="AH722">
        <f>'19_Расчет_аналитики'!AH620</f>
        <v/>
      </c>
      <c r="AI722">
        <f>'19_Расчет_аналитики'!AI620</f>
        <v/>
      </c>
      <c r="AJ722">
        <f>'19_Расчет_аналитики'!AJ620</f>
        <v/>
      </c>
      <c r="AK722">
        <f>'19_Расчет_аналитики'!AK620</f>
        <v/>
      </c>
      <c r="AL722">
        <f>'19_Расчет_аналитики'!AL620</f>
        <v/>
      </c>
      <c r="AM722">
        <f>'19_Расчет_аналитики'!AM620</f>
        <v/>
      </c>
      <c r="AN722">
        <f>'19_Расчет_аналитики'!AN620</f>
        <v/>
      </c>
      <c r="AO722">
        <f>'19_Расчет_аналитики'!AO620</f>
        <v/>
      </c>
      <c r="AP722">
        <f>'19_Расчет_аналитики'!AP620</f>
        <v/>
      </c>
      <c r="AQ722">
        <f>'19_Расчет_аналитики'!AQ620</f>
        <v/>
      </c>
      <c r="AR722">
        <f>'19_Расчет_аналитики'!AR620</f>
        <v/>
      </c>
      <c r="AS722">
        <f>'19_Расчет_аналитики'!AS620</f>
        <v/>
      </c>
      <c r="AT722">
        <f>'19_Расчет_аналитики'!AT620</f>
        <v/>
      </c>
      <c r="AU722">
        <f>'19_Расчет_аналитики'!AU620</f>
        <v/>
      </c>
      <c r="AV722">
        <f>'19_Расчет_аналитики'!AV620</f>
        <v/>
      </c>
      <c r="AW722">
        <f>'19_Расчет_аналитики'!AW620</f>
        <v/>
      </c>
      <c r="AX722">
        <f>'19_Расчет_аналитики'!AX620</f>
        <v/>
      </c>
      <c r="AY722">
        <f>'19_Расчет_аналитики'!AY620</f>
        <v/>
      </c>
      <c r="AZ722">
        <f>'19_Расчет_аналитики'!AZ620</f>
        <v/>
      </c>
      <c r="BA722">
        <f>'19_Расчет_аналитики'!BA620</f>
        <v/>
      </c>
      <c r="BB722">
        <f>'19_Расчет_аналитики'!BB620</f>
        <v/>
      </c>
      <c r="BC722">
        <f>'19_Расчет_аналитики'!BC620</f>
        <v/>
      </c>
      <c r="BD722">
        <f>'19_Расчет_аналитики'!BD620</f>
        <v/>
      </c>
      <c r="BE722">
        <f>'19_Расчет_аналитики'!BE620</f>
        <v/>
      </c>
      <c r="BF722">
        <f>'19_Расчет_аналитики'!BF620</f>
        <v/>
      </c>
      <c r="BG722">
        <f>'19_Расчет_аналитики'!BG620</f>
        <v/>
      </c>
      <c r="BH722">
        <f>'19_Расчет_аналитики'!BH620</f>
        <v/>
      </c>
      <c r="BI722">
        <f>'19_Расчет_аналитики'!BI620</f>
        <v/>
      </c>
    </row>
    <row r="723">
      <c r="B723">
        <f>'02_Модель'!B29</f>
        <v/>
      </c>
      <c r="C723">
        <f>'19_Расчет_аналитики'!C712*'01_Вводные'!$B$59</f>
        <v/>
      </c>
      <c r="D723">
        <f>'19_Расчет_аналитики'!D712*'01_Вводные'!$B$59</f>
        <v/>
      </c>
      <c r="E723">
        <f>'19_Расчет_аналитики'!E712*'01_Вводные'!$B$59</f>
        <v/>
      </c>
      <c r="F723">
        <f>'19_Расчет_аналитики'!F712*'01_Вводные'!$B$59</f>
        <v/>
      </c>
      <c r="G723">
        <f>'19_Расчет_аналитики'!G712*'01_Вводные'!$B$59</f>
        <v/>
      </c>
      <c r="H723">
        <f>'19_Расчет_аналитики'!H712*'01_Вводные'!$B$59</f>
        <v/>
      </c>
      <c r="I723">
        <f>'19_Расчет_аналитики'!I712*'01_Вводные'!$B$59</f>
        <v/>
      </c>
      <c r="J723">
        <f>'19_Расчет_аналитики'!J712*'01_Вводные'!$B$59</f>
        <v/>
      </c>
      <c r="K723">
        <f>'19_Расчет_аналитики'!K712*'01_Вводные'!$B$59</f>
        <v/>
      </c>
      <c r="L723">
        <f>'19_Расчет_аналитики'!L712*'01_Вводные'!$B$59</f>
        <v/>
      </c>
      <c r="M723">
        <f>'19_Расчет_аналитики'!M712*'01_Вводные'!$B$59</f>
        <v/>
      </c>
      <c r="N723">
        <f>'19_Расчет_аналитики'!N712*'01_Вводные'!$B$59</f>
        <v/>
      </c>
      <c r="O723">
        <f>'19_Расчет_аналитики'!O712*'01_Вводные'!$B$59</f>
        <v/>
      </c>
      <c r="P723">
        <f>'19_Расчет_аналитики'!P712*'01_Вводные'!$B$59</f>
        <v/>
      </c>
      <c r="Q723">
        <f>'19_Расчет_аналитики'!Q712*'01_Вводные'!$B$59</f>
        <v/>
      </c>
      <c r="R723">
        <f>'19_Расчет_аналитики'!R712*'01_Вводные'!$B$59</f>
        <v/>
      </c>
      <c r="S723">
        <f>'19_Расчет_аналитики'!S712*'01_Вводные'!$B$59</f>
        <v/>
      </c>
      <c r="T723">
        <f>'19_Расчет_аналитики'!T712*'01_Вводные'!$B$59</f>
        <v/>
      </c>
      <c r="U723">
        <f>'19_Расчет_аналитики'!U712*'01_Вводные'!$B$59</f>
        <v/>
      </c>
      <c r="V723">
        <f>'19_Расчет_аналитики'!V712*'01_Вводные'!$B$59</f>
        <v/>
      </c>
      <c r="W723">
        <f>'19_Расчет_аналитики'!W712*'01_Вводные'!$B$59</f>
        <v/>
      </c>
      <c r="X723">
        <f>'19_Расчет_аналитики'!X712*'01_Вводные'!$B$59</f>
        <v/>
      </c>
      <c r="Y723">
        <f>'19_Расчет_аналитики'!Y712*'01_Вводные'!$B$59</f>
        <v/>
      </c>
      <c r="Z723">
        <f>'19_Расчет_аналитики'!Z712*'01_Вводные'!$B$59</f>
        <v/>
      </c>
      <c r="AA723">
        <f>'19_Расчет_аналитики'!AA712*'01_Вводные'!$B$59</f>
        <v/>
      </c>
      <c r="AB723">
        <f>'19_Расчет_аналитики'!AB712*'01_Вводные'!$B$59</f>
        <v/>
      </c>
      <c r="AC723">
        <f>'19_Расчет_аналитики'!AC712*'01_Вводные'!$B$59</f>
        <v/>
      </c>
      <c r="AD723">
        <f>'19_Расчет_аналитики'!AD712*'01_Вводные'!$B$59</f>
        <v/>
      </c>
      <c r="AE723">
        <f>'19_Расчет_аналитики'!AE712*'01_Вводные'!$B$59</f>
        <v/>
      </c>
      <c r="AF723">
        <f>'19_Расчет_аналитики'!AF712*'01_Вводные'!$B$59</f>
        <v/>
      </c>
      <c r="AG723">
        <f>'19_Расчет_аналитики'!AG712*'01_Вводные'!$B$59</f>
        <v/>
      </c>
      <c r="AH723">
        <f>'19_Расчет_аналитики'!AH712*'01_Вводные'!$B$59</f>
        <v/>
      </c>
      <c r="AI723">
        <f>'19_Расчет_аналитики'!AI712*'01_Вводные'!$B$59</f>
        <v/>
      </c>
      <c r="AJ723">
        <f>'19_Расчет_аналитики'!AJ712*'01_Вводные'!$B$59</f>
        <v/>
      </c>
      <c r="AK723">
        <f>'19_Расчет_аналитики'!AK712*'01_Вводные'!$B$59</f>
        <v/>
      </c>
      <c r="AL723">
        <f>'19_Расчет_аналитики'!AL712*'01_Вводные'!$B$59</f>
        <v/>
      </c>
      <c r="AM723">
        <f>'19_Расчет_аналитики'!AM712*'01_Вводные'!$B$59</f>
        <v/>
      </c>
      <c r="AN723">
        <f>'19_Расчет_аналитики'!AN712*'01_Вводные'!$B$59</f>
        <v/>
      </c>
      <c r="AO723">
        <f>'19_Расчет_аналитики'!AO712*'01_Вводные'!$B$59</f>
        <v/>
      </c>
      <c r="AP723">
        <f>'19_Расчет_аналитики'!AP712*'01_Вводные'!$B$59</f>
        <v/>
      </c>
      <c r="AQ723">
        <f>'19_Расчет_аналитики'!AQ712*'01_Вводные'!$B$59</f>
        <v/>
      </c>
      <c r="AR723">
        <f>'19_Расчет_аналитики'!AR712*'01_Вводные'!$B$59</f>
        <v/>
      </c>
      <c r="AS723">
        <f>'19_Расчет_аналитики'!AS712*'01_Вводные'!$B$59</f>
        <v/>
      </c>
      <c r="AT723">
        <f>'19_Расчет_аналитики'!AT712*'01_Вводные'!$B$59</f>
        <v/>
      </c>
      <c r="AU723">
        <f>'19_Расчет_аналитики'!AU712*'01_Вводные'!$B$59</f>
        <v/>
      </c>
      <c r="AV723">
        <f>'19_Расчет_аналитики'!AV712*'01_Вводные'!$B$59</f>
        <v/>
      </c>
      <c r="AW723">
        <f>'19_Расчет_аналитики'!AW712*'01_Вводные'!$B$59</f>
        <v/>
      </c>
      <c r="AX723">
        <f>'19_Расчет_аналитики'!AX712*'01_Вводные'!$B$59</f>
        <v/>
      </c>
      <c r="AY723">
        <f>'19_Расчет_аналитики'!AY712*'01_Вводные'!$B$59</f>
        <v/>
      </c>
      <c r="AZ723">
        <f>'19_Расчет_аналитики'!AZ712*'01_Вводные'!$B$59</f>
        <v/>
      </c>
      <c r="BA723">
        <f>'19_Расчет_аналитики'!BA712*'01_Вводные'!$B$59</f>
        <v/>
      </c>
      <c r="BB723">
        <f>'19_Расчет_аналитики'!BB712*'01_Вводные'!$B$59</f>
        <v/>
      </c>
      <c r="BC723">
        <f>'19_Расчет_аналитики'!BC712*'01_Вводные'!$B$59</f>
        <v/>
      </c>
      <c r="BD723">
        <f>'19_Расчет_аналитики'!BD712*'01_Вводные'!$B$59</f>
        <v/>
      </c>
      <c r="BE723">
        <f>'19_Расчет_аналитики'!BE712*'01_Вводные'!$B$59</f>
        <v/>
      </c>
      <c r="BF723">
        <f>'19_Расчет_аналитики'!BF712*'01_Вводные'!$B$59</f>
        <v/>
      </c>
      <c r="BG723">
        <f>'19_Расчет_аналитики'!BG712*'01_Вводные'!$B$59</f>
        <v/>
      </c>
      <c r="BH723">
        <f>'19_Расчет_аналитики'!BH712*'01_Вводные'!$B$59</f>
        <v/>
      </c>
      <c r="BI723">
        <f>'19_Расчет_аналитики'!BI712*'01_Вводные'!$B$59</f>
        <v/>
      </c>
    </row>
    <row r="724">
      <c r="B724">
        <f>('19_Расчет_аналитики'!B713+'19_Расчет_аналитики'!B714)*'01_Вводные'!$B$60</f>
        <v/>
      </c>
      <c r="C724">
        <f>('19_Расчет_аналитики'!C713+'19_Расчет_аналитики'!C714)*'01_Вводные'!$B$60</f>
        <v/>
      </c>
      <c r="D724">
        <f>('19_Расчет_аналитики'!D713+'19_Расчет_аналитики'!D714)*'01_Вводные'!$B$60</f>
        <v/>
      </c>
      <c r="E724">
        <f>('19_Расчет_аналитики'!E713+'19_Расчет_аналитики'!E714)*'01_Вводные'!$B$60</f>
        <v/>
      </c>
      <c r="F724">
        <f>('19_Расчет_аналитики'!F713+'19_Расчет_аналитики'!F714)*'01_Вводные'!$B$60</f>
        <v/>
      </c>
      <c r="G724">
        <f>('19_Расчет_аналитики'!G713+'19_Расчет_аналитики'!G714)*'01_Вводные'!$B$60</f>
        <v/>
      </c>
      <c r="H724">
        <f>('19_Расчет_аналитики'!H713+'19_Расчет_аналитики'!H714)*'01_Вводные'!$B$60</f>
        <v/>
      </c>
      <c r="I724">
        <f>('19_Расчет_аналитики'!I713+'19_Расчет_аналитики'!I714)*'01_Вводные'!$B$60</f>
        <v/>
      </c>
      <c r="J724">
        <f>('19_Расчет_аналитики'!J713+'19_Расчет_аналитики'!J714)*'01_Вводные'!$B$60</f>
        <v/>
      </c>
      <c r="K724">
        <f>('19_Расчет_аналитики'!K713+'19_Расчет_аналитики'!K714)*'01_Вводные'!$B$60</f>
        <v/>
      </c>
      <c r="L724">
        <f>('19_Расчет_аналитики'!L713+'19_Расчет_аналитики'!L714)*'01_Вводные'!$B$60</f>
        <v/>
      </c>
      <c r="M724">
        <f>('19_Расчет_аналитики'!M713+'19_Расчет_аналитики'!M714)*'01_Вводные'!$B$60</f>
        <v/>
      </c>
      <c r="N724">
        <f>('19_Расчет_аналитики'!N713+'19_Расчет_аналитики'!N714)*'01_Вводные'!$B$60</f>
        <v/>
      </c>
      <c r="O724">
        <f>('19_Расчет_аналитики'!O713+'19_Расчет_аналитики'!O714)*'01_Вводные'!$B$60</f>
        <v/>
      </c>
      <c r="P724">
        <f>('19_Расчет_аналитики'!P713+'19_Расчет_аналитики'!P714)*'01_Вводные'!$B$60</f>
        <v/>
      </c>
      <c r="Q724">
        <f>('19_Расчет_аналитики'!Q713+'19_Расчет_аналитики'!Q714)*'01_Вводные'!$B$60</f>
        <v/>
      </c>
      <c r="R724">
        <f>('19_Расчет_аналитики'!R713+'19_Расчет_аналитики'!R714)*'01_Вводные'!$B$60</f>
        <v/>
      </c>
      <c r="S724">
        <f>('19_Расчет_аналитики'!S713+'19_Расчет_аналитики'!S714)*'01_Вводные'!$B$60</f>
        <v/>
      </c>
      <c r="T724">
        <f>('19_Расчет_аналитики'!T713+'19_Расчет_аналитики'!T714)*'01_Вводные'!$B$60</f>
        <v/>
      </c>
      <c r="U724">
        <f>('19_Расчет_аналитики'!U713+'19_Расчет_аналитики'!U714)*'01_Вводные'!$B$60</f>
        <v/>
      </c>
      <c r="V724">
        <f>('19_Расчет_аналитики'!V713+'19_Расчет_аналитики'!V714)*'01_Вводные'!$B$60</f>
        <v/>
      </c>
      <c r="W724">
        <f>('19_Расчет_аналитики'!W713+'19_Расчет_аналитики'!W714)*'01_Вводные'!$B$60</f>
        <v/>
      </c>
      <c r="X724">
        <f>('19_Расчет_аналитики'!X713+'19_Расчет_аналитики'!X714)*'01_Вводные'!$B$60</f>
        <v/>
      </c>
      <c r="Y724">
        <f>('19_Расчет_аналитики'!Y713+'19_Расчет_аналитики'!Y714)*'01_Вводные'!$B$60</f>
        <v/>
      </c>
      <c r="Z724">
        <f>('19_Расчет_аналитики'!Z713+'19_Расчет_аналитики'!Z714)*'01_Вводные'!$B$60</f>
        <v/>
      </c>
      <c r="AA724">
        <f>('19_Расчет_аналитики'!AA713+'19_Расчет_аналитики'!AA714)*'01_Вводные'!$B$60</f>
        <v/>
      </c>
      <c r="AB724">
        <f>('19_Расчет_аналитики'!AB713+'19_Расчет_аналитики'!AB714)*'01_Вводные'!$B$60</f>
        <v/>
      </c>
      <c r="AC724">
        <f>('19_Расчет_аналитики'!AC713+'19_Расчет_аналитики'!AC714)*'01_Вводные'!$B$60</f>
        <v/>
      </c>
      <c r="AD724">
        <f>('19_Расчет_аналитики'!AD713+'19_Расчет_аналитики'!AD714)*'01_Вводные'!$B$60</f>
        <v/>
      </c>
      <c r="AE724">
        <f>('19_Расчет_аналитики'!AE713+'19_Расчет_аналитики'!AE714)*'01_Вводные'!$B$60</f>
        <v/>
      </c>
      <c r="AF724">
        <f>('19_Расчет_аналитики'!AF713+'19_Расчет_аналитики'!AF714)*'01_Вводные'!$B$60</f>
        <v/>
      </c>
      <c r="AG724">
        <f>('19_Расчет_аналитики'!AG713+'19_Расчет_аналитики'!AG714)*'01_Вводные'!$B$60</f>
        <v/>
      </c>
      <c r="AH724">
        <f>('19_Расчет_аналитики'!AH713+'19_Расчет_аналитики'!AH714)*'01_Вводные'!$B$60</f>
        <v/>
      </c>
      <c r="AI724">
        <f>('19_Расчет_аналитики'!AI713+'19_Расчет_аналитики'!AI714)*'01_Вводные'!$B$60</f>
        <v/>
      </c>
      <c r="AJ724">
        <f>('19_Расчет_аналитики'!AJ713+'19_Расчет_аналитики'!AJ714)*'01_Вводные'!$B$60</f>
        <v/>
      </c>
      <c r="AK724">
        <f>('19_Расчет_аналитики'!AK713+'19_Расчет_аналитики'!AK714)*'01_Вводные'!$B$60</f>
        <v/>
      </c>
      <c r="AL724">
        <f>('19_Расчет_аналитики'!AL713+'19_Расчет_аналитики'!AL714)*'01_Вводные'!$B$60</f>
        <v/>
      </c>
      <c r="AM724">
        <f>('19_Расчет_аналитики'!AM713+'19_Расчет_аналитики'!AM714)*'01_Вводные'!$B$60</f>
        <v/>
      </c>
      <c r="AN724">
        <f>('19_Расчет_аналитики'!AN713+'19_Расчет_аналитики'!AN714)*'01_Вводные'!$B$60</f>
        <v/>
      </c>
      <c r="AO724">
        <f>('19_Расчет_аналитики'!AO713+'19_Расчет_аналитики'!AO714)*'01_Вводные'!$B$60</f>
        <v/>
      </c>
      <c r="AP724">
        <f>('19_Расчет_аналитики'!AP713+'19_Расчет_аналитики'!AP714)*'01_Вводные'!$B$60</f>
        <v/>
      </c>
      <c r="AQ724">
        <f>('19_Расчет_аналитики'!AQ713+'19_Расчет_аналитики'!AQ714)*'01_Вводные'!$B$60</f>
        <v/>
      </c>
      <c r="AR724">
        <f>('19_Расчет_аналитики'!AR713+'19_Расчет_аналитики'!AR714)*'01_Вводные'!$B$60</f>
        <v/>
      </c>
      <c r="AS724">
        <f>('19_Расчет_аналитики'!AS713+'19_Расчет_аналитики'!AS714)*'01_Вводные'!$B$60</f>
        <v/>
      </c>
      <c r="AT724">
        <f>('19_Расчет_аналитики'!AT713+'19_Расчет_аналитики'!AT714)*'01_Вводные'!$B$60</f>
        <v/>
      </c>
      <c r="AU724">
        <f>('19_Расчет_аналитики'!AU713+'19_Расчет_аналитики'!AU714)*'01_Вводные'!$B$60</f>
        <v/>
      </c>
      <c r="AV724">
        <f>('19_Расчет_аналитики'!AV713+'19_Расчет_аналитики'!AV714)*'01_Вводные'!$B$60</f>
        <v/>
      </c>
      <c r="AW724">
        <f>('19_Расчет_аналитики'!AW713+'19_Расчет_аналитики'!AW714)*'01_Вводные'!$B$60</f>
        <v/>
      </c>
      <c r="AX724">
        <f>('19_Расчет_аналитики'!AX713+'19_Расчет_аналитики'!AX714)*'01_Вводные'!$B$60</f>
        <v/>
      </c>
      <c r="AY724">
        <f>('19_Расчет_аналитики'!AY713+'19_Расчет_аналитики'!AY714)*'01_Вводные'!$B$60</f>
        <v/>
      </c>
      <c r="AZ724">
        <f>('19_Расчет_аналитики'!AZ713+'19_Расчет_аналитики'!AZ714)*'01_Вводные'!$B$60</f>
        <v/>
      </c>
      <c r="BA724">
        <f>('19_Расчет_аналитики'!BA713+'19_Расчет_аналитики'!BA714)*'01_Вводные'!$B$60</f>
        <v/>
      </c>
      <c r="BB724">
        <f>('19_Расчет_аналитики'!BB713+'19_Расчет_аналитики'!BB714)*'01_Вводные'!$B$60</f>
        <v/>
      </c>
      <c r="BC724">
        <f>('19_Расчет_аналитики'!BC713+'19_Расчет_аналитики'!BC714)*'01_Вводные'!$B$60</f>
        <v/>
      </c>
      <c r="BD724">
        <f>('19_Расчет_аналитики'!BD713+'19_Расчет_аналитики'!BD714)*'01_Вводные'!$B$60</f>
        <v/>
      </c>
      <c r="BE724">
        <f>('19_Расчет_аналитики'!BE713+'19_Расчет_аналитики'!BE714)*'01_Вводные'!$B$60</f>
        <v/>
      </c>
      <c r="BF724">
        <f>('19_Расчет_аналитики'!BF713+'19_Расчет_аналитики'!BF714)*'01_Вводные'!$B$60</f>
        <v/>
      </c>
      <c r="BG724">
        <f>('19_Расчет_аналитики'!BG713+'19_Расчет_аналитики'!BG714)*'01_Вводные'!$B$60</f>
        <v/>
      </c>
      <c r="BH724">
        <f>('19_Расчет_аналитики'!BH713+'19_Расчет_аналитики'!BH714)*'01_Вводные'!$B$60</f>
        <v/>
      </c>
      <c r="BI724">
        <f>('19_Расчет_аналитики'!BI713+'19_Расчет_аналитики'!BI714)*'01_Вводные'!$B$60</f>
        <v/>
      </c>
    </row>
    <row r="725">
      <c r="B725">
        <f>'02_Модель'!B31</f>
        <v/>
      </c>
      <c r="C725">
        <f>'02_Модель'!C31</f>
        <v/>
      </c>
      <c r="D725">
        <f>'02_Модель'!D31</f>
        <v/>
      </c>
      <c r="E725">
        <f>'02_Модель'!E31</f>
        <v/>
      </c>
      <c r="F725">
        <f>'02_Модель'!F31</f>
        <v/>
      </c>
      <c r="G725">
        <f>'02_Модель'!G31</f>
        <v/>
      </c>
      <c r="H725">
        <f>'02_Модель'!H31</f>
        <v/>
      </c>
      <c r="I725">
        <f>'02_Модель'!I31</f>
        <v/>
      </c>
      <c r="J725">
        <f>'02_Модель'!J31</f>
        <v/>
      </c>
      <c r="K725">
        <f>'02_Модель'!K31</f>
        <v/>
      </c>
      <c r="L725">
        <f>'02_Модель'!L31</f>
        <v/>
      </c>
      <c r="M725">
        <f>'02_Модель'!M31</f>
        <v/>
      </c>
      <c r="N725">
        <f>'02_Модель'!N31</f>
        <v/>
      </c>
      <c r="O725">
        <f>'02_Модель'!O31</f>
        <v/>
      </c>
      <c r="P725">
        <f>'02_Модель'!P31</f>
        <v/>
      </c>
      <c r="Q725">
        <f>'02_Модель'!Q31</f>
        <v/>
      </c>
      <c r="R725">
        <f>'02_Модель'!R31</f>
        <v/>
      </c>
      <c r="S725">
        <f>'02_Модель'!S31</f>
        <v/>
      </c>
      <c r="T725">
        <f>'02_Модель'!T31</f>
        <v/>
      </c>
      <c r="U725">
        <f>'02_Модель'!U31</f>
        <v/>
      </c>
      <c r="V725">
        <f>'02_Модель'!V31</f>
        <v/>
      </c>
      <c r="W725">
        <f>'02_Модель'!W31</f>
        <v/>
      </c>
      <c r="X725">
        <f>'02_Модель'!X31</f>
        <v/>
      </c>
      <c r="Y725">
        <f>'02_Модель'!Y31</f>
        <v/>
      </c>
      <c r="Z725">
        <f>'02_Модель'!Z31</f>
        <v/>
      </c>
      <c r="AA725">
        <f>'02_Модель'!AA31</f>
        <v/>
      </c>
      <c r="AB725">
        <f>'02_Модель'!AB31</f>
        <v/>
      </c>
      <c r="AC725">
        <f>'02_Модель'!AC31</f>
        <v/>
      </c>
      <c r="AD725">
        <f>'02_Модель'!AD31</f>
        <v/>
      </c>
      <c r="AE725">
        <f>'02_Модель'!AE31</f>
        <v/>
      </c>
      <c r="AF725">
        <f>'02_Модель'!AF31</f>
        <v/>
      </c>
      <c r="AG725">
        <f>'02_Модель'!AG31</f>
        <v/>
      </c>
      <c r="AH725">
        <f>'02_Модель'!AH31</f>
        <v/>
      </c>
      <c r="AI725">
        <f>'02_Модель'!AI31</f>
        <v/>
      </c>
      <c r="AJ725">
        <f>'02_Модель'!AJ31</f>
        <v/>
      </c>
      <c r="AK725">
        <f>'02_Модель'!AK31</f>
        <v/>
      </c>
      <c r="AL725">
        <f>'02_Модель'!AL31</f>
        <v/>
      </c>
      <c r="AM725">
        <f>'02_Модель'!AM31</f>
        <v/>
      </c>
      <c r="AN725">
        <f>'02_Модель'!AN31</f>
        <v/>
      </c>
      <c r="AO725">
        <f>'02_Модель'!AO31</f>
        <v/>
      </c>
      <c r="AP725">
        <f>'02_Модель'!AP31</f>
        <v/>
      </c>
      <c r="AQ725">
        <f>'02_Модель'!AQ31</f>
        <v/>
      </c>
      <c r="AR725">
        <f>'02_Модель'!AR31</f>
        <v/>
      </c>
      <c r="AS725">
        <f>'02_Модель'!AS31</f>
        <v/>
      </c>
      <c r="AT725">
        <f>'02_Модель'!AT31</f>
        <v/>
      </c>
      <c r="AU725">
        <f>'02_Модель'!AU31</f>
        <v/>
      </c>
      <c r="AV725">
        <f>'02_Модель'!AV31</f>
        <v/>
      </c>
      <c r="AW725">
        <f>'02_Модель'!AW31</f>
        <v/>
      </c>
      <c r="AX725">
        <f>'02_Модель'!AX31</f>
        <v/>
      </c>
      <c r="AY725">
        <f>'02_Модель'!AY31</f>
        <v/>
      </c>
      <c r="AZ725">
        <f>'02_Модель'!AZ31</f>
        <v/>
      </c>
      <c r="BA725">
        <f>'02_Модель'!BA31</f>
        <v/>
      </c>
      <c r="BB725">
        <f>'02_Модель'!BB31</f>
        <v/>
      </c>
      <c r="BC725">
        <f>'02_Модель'!BC31</f>
        <v/>
      </c>
      <c r="BD725">
        <f>'02_Модель'!BD31</f>
        <v/>
      </c>
      <c r="BE725">
        <f>'02_Модель'!BE31</f>
        <v/>
      </c>
      <c r="BF725">
        <f>'02_Модель'!BF31</f>
        <v/>
      </c>
      <c r="BG725">
        <f>'02_Модель'!BG31</f>
        <v/>
      </c>
      <c r="BH725">
        <f>'02_Модель'!BH31</f>
        <v/>
      </c>
      <c r="BI725">
        <f>'02_Модель'!BI31</f>
        <v/>
      </c>
    </row>
    <row r="726">
      <c r="B726">
        <f>SUM('19_Расчет_аналитики'!B720:B725)</f>
        <v/>
      </c>
      <c r="C726">
        <f>SUM('19_Расчет_аналитики'!C720:C725)</f>
        <v/>
      </c>
      <c r="D726">
        <f>SUM('19_Расчет_аналитики'!D720:D725)</f>
        <v/>
      </c>
      <c r="E726">
        <f>SUM('19_Расчет_аналитики'!E720:E725)</f>
        <v/>
      </c>
      <c r="F726">
        <f>SUM('19_Расчет_аналитики'!F720:F725)</f>
        <v/>
      </c>
      <c r="G726">
        <f>SUM('19_Расчет_аналитики'!G720:G725)</f>
        <v/>
      </c>
      <c r="H726">
        <f>SUM('19_Расчет_аналитики'!H720:H725)</f>
        <v/>
      </c>
      <c r="I726">
        <f>SUM('19_Расчет_аналитики'!I720:I725)</f>
        <v/>
      </c>
      <c r="J726">
        <f>SUM('19_Расчет_аналитики'!J720:J725)</f>
        <v/>
      </c>
      <c r="K726">
        <f>SUM('19_Расчет_аналитики'!K720:K725)</f>
        <v/>
      </c>
      <c r="L726">
        <f>SUM('19_Расчет_аналитики'!L720:L725)</f>
        <v/>
      </c>
      <c r="M726">
        <f>SUM('19_Расчет_аналитики'!M720:M725)</f>
        <v/>
      </c>
      <c r="N726">
        <f>SUM('19_Расчет_аналитики'!N720:N725)</f>
        <v/>
      </c>
      <c r="O726">
        <f>SUM('19_Расчет_аналитики'!O720:O725)</f>
        <v/>
      </c>
      <c r="P726">
        <f>SUM('19_Расчет_аналитики'!P720:P725)</f>
        <v/>
      </c>
      <c r="Q726">
        <f>SUM('19_Расчет_аналитики'!Q720:Q725)</f>
        <v/>
      </c>
      <c r="R726">
        <f>SUM('19_Расчет_аналитики'!R720:R725)</f>
        <v/>
      </c>
      <c r="S726">
        <f>SUM('19_Расчет_аналитики'!S720:S725)</f>
        <v/>
      </c>
      <c r="T726">
        <f>SUM('19_Расчет_аналитики'!T720:T725)</f>
        <v/>
      </c>
      <c r="U726">
        <f>SUM('19_Расчет_аналитики'!U720:U725)</f>
        <v/>
      </c>
      <c r="V726">
        <f>SUM('19_Расчет_аналитики'!V720:V725)</f>
        <v/>
      </c>
      <c r="W726">
        <f>SUM('19_Расчет_аналитики'!W720:W725)</f>
        <v/>
      </c>
      <c r="X726">
        <f>SUM('19_Расчет_аналитики'!X720:X725)</f>
        <v/>
      </c>
      <c r="Y726">
        <f>SUM('19_Расчет_аналитики'!Y720:Y725)</f>
        <v/>
      </c>
      <c r="Z726">
        <f>SUM('19_Расчет_аналитики'!Z720:Z725)</f>
        <v/>
      </c>
      <c r="AA726">
        <f>SUM('19_Расчет_аналитики'!AA720:AA725)</f>
        <v/>
      </c>
      <c r="AB726">
        <f>SUM('19_Расчет_аналитики'!AB720:AB725)</f>
        <v/>
      </c>
      <c r="AC726">
        <f>SUM('19_Расчет_аналитики'!AC720:AC725)</f>
        <v/>
      </c>
      <c r="AD726">
        <f>SUM('19_Расчет_аналитики'!AD720:AD725)</f>
        <v/>
      </c>
      <c r="AE726">
        <f>SUM('19_Расчет_аналитики'!AE720:AE725)</f>
        <v/>
      </c>
      <c r="AF726">
        <f>SUM('19_Расчет_аналитики'!AF720:AF725)</f>
        <v/>
      </c>
      <c r="AG726">
        <f>SUM('19_Расчет_аналитики'!AG720:AG725)</f>
        <v/>
      </c>
      <c r="AH726">
        <f>SUM('19_Расчет_аналитики'!AH720:AH725)</f>
        <v/>
      </c>
      <c r="AI726">
        <f>SUM('19_Расчет_аналитики'!AI720:AI725)</f>
        <v/>
      </c>
      <c r="AJ726">
        <f>SUM('19_Расчет_аналитики'!AJ720:AJ725)</f>
        <v/>
      </c>
      <c r="AK726">
        <f>SUM('19_Расчет_аналитики'!AK720:AK725)</f>
        <v/>
      </c>
      <c r="AL726">
        <f>SUM('19_Расчет_аналитики'!AL720:AL725)</f>
        <v/>
      </c>
      <c r="AM726">
        <f>SUM('19_Расчет_аналитики'!AM720:AM725)</f>
        <v/>
      </c>
      <c r="AN726">
        <f>SUM('19_Расчет_аналитики'!AN720:AN725)</f>
        <v/>
      </c>
      <c r="AO726">
        <f>SUM('19_Расчет_аналитики'!AO720:AO725)</f>
        <v/>
      </c>
      <c r="AP726">
        <f>SUM('19_Расчет_аналитики'!AP720:AP725)</f>
        <v/>
      </c>
      <c r="AQ726">
        <f>SUM('19_Расчет_аналитики'!AQ720:AQ725)</f>
        <v/>
      </c>
      <c r="AR726">
        <f>SUM('19_Расчет_аналитики'!AR720:AR725)</f>
        <v/>
      </c>
      <c r="AS726">
        <f>SUM('19_Расчет_аналитики'!AS720:AS725)</f>
        <v/>
      </c>
      <c r="AT726">
        <f>SUM('19_Расчет_аналитики'!AT720:AT725)</f>
        <v/>
      </c>
      <c r="AU726">
        <f>SUM('19_Расчет_аналитики'!AU720:AU725)</f>
        <v/>
      </c>
      <c r="AV726">
        <f>SUM('19_Расчет_аналитики'!AV720:AV725)</f>
        <v/>
      </c>
      <c r="AW726">
        <f>SUM('19_Расчет_аналитики'!AW720:AW725)</f>
        <v/>
      </c>
      <c r="AX726">
        <f>SUM('19_Расчет_аналитики'!AX720:AX725)</f>
        <v/>
      </c>
      <c r="AY726">
        <f>SUM('19_Расчет_аналитики'!AY720:AY725)</f>
        <v/>
      </c>
      <c r="AZ726">
        <f>SUM('19_Расчет_аналитики'!AZ720:AZ725)</f>
        <v/>
      </c>
      <c r="BA726">
        <f>SUM('19_Расчет_аналитики'!BA720:BA725)</f>
        <v/>
      </c>
      <c r="BB726">
        <f>SUM('19_Расчет_аналитики'!BB720:BB725)</f>
        <v/>
      </c>
      <c r="BC726">
        <f>SUM('19_Расчет_аналитики'!BC720:BC725)</f>
        <v/>
      </c>
      <c r="BD726">
        <f>SUM('19_Расчет_аналитики'!BD720:BD725)</f>
        <v/>
      </c>
      <c r="BE726">
        <f>SUM('19_Расчет_аналитики'!BE720:BE725)</f>
        <v/>
      </c>
      <c r="BF726">
        <f>SUM('19_Расчет_аналитики'!BF720:BF725)</f>
        <v/>
      </c>
      <c r="BG726">
        <f>SUM('19_Расчет_аналитики'!BG720:BG725)</f>
        <v/>
      </c>
      <c r="BH726">
        <f>SUM('19_Расчет_аналитики'!BH720:BH725)</f>
        <v/>
      </c>
      <c r="BI726">
        <f>SUM('19_Расчет_аналитики'!BI720:BI725)</f>
        <v/>
      </c>
    </row>
    <row r="727">
      <c r="B727">
        <f>'19_Расчет_аналитики'!B717-'19_Расчет_аналитики'!B726</f>
        <v/>
      </c>
      <c r="C727">
        <f>'19_Расчет_аналитики'!C717-'19_Расчет_аналитики'!C726</f>
        <v/>
      </c>
      <c r="D727">
        <f>'19_Расчет_аналитики'!D717-'19_Расчет_аналитики'!D726</f>
        <v/>
      </c>
      <c r="E727">
        <f>'19_Расчет_аналитики'!E717-'19_Расчет_аналитики'!E726</f>
        <v/>
      </c>
      <c r="F727">
        <f>'19_Расчет_аналитики'!F717-'19_Расчет_аналитики'!F726</f>
        <v/>
      </c>
      <c r="G727">
        <f>'19_Расчет_аналитики'!G717-'19_Расчет_аналитики'!G726</f>
        <v/>
      </c>
      <c r="H727">
        <f>'19_Расчет_аналитики'!H717-'19_Расчет_аналитики'!H726</f>
        <v/>
      </c>
      <c r="I727">
        <f>'19_Расчет_аналитики'!I717-'19_Расчет_аналитики'!I726</f>
        <v/>
      </c>
      <c r="J727">
        <f>'19_Расчет_аналитики'!J717-'19_Расчет_аналитики'!J726</f>
        <v/>
      </c>
      <c r="K727">
        <f>'19_Расчет_аналитики'!K717-'19_Расчет_аналитики'!K726</f>
        <v/>
      </c>
      <c r="L727">
        <f>'19_Расчет_аналитики'!L717-'19_Расчет_аналитики'!L726</f>
        <v/>
      </c>
      <c r="M727">
        <f>'19_Расчет_аналитики'!M717-'19_Расчет_аналитики'!M726</f>
        <v/>
      </c>
      <c r="N727">
        <f>'19_Расчет_аналитики'!N717-'19_Расчет_аналитики'!N726</f>
        <v/>
      </c>
      <c r="O727">
        <f>'19_Расчет_аналитики'!O717-'19_Расчет_аналитики'!O726</f>
        <v/>
      </c>
      <c r="P727">
        <f>'19_Расчет_аналитики'!P717-'19_Расчет_аналитики'!P726</f>
        <v/>
      </c>
      <c r="Q727">
        <f>'19_Расчет_аналитики'!Q717-'19_Расчет_аналитики'!Q726</f>
        <v/>
      </c>
      <c r="R727">
        <f>'19_Расчет_аналитики'!R717-'19_Расчет_аналитики'!R726</f>
        <v/>
      </c>
      <c r="S727">
        <f>'19_Расчет_аналитики'!S717-'19_Расчет_аналитики'!S726</f>
        <v/>
      </c>
      <c r="T727">
        <f>'19_Расчет_аналитики'!T717-'19_Расчет_аналитики'!T726</f>
        <v/>
      </c>
      <c r="U727">
        <f>'19_Расчет_аналитики'!U717-'19_Расчет_аналитики'!U726</f>
        <v/>
      </c>
      <c r="V727">
        <f>'19_Расчет_аналитики'!V717-'19_Расчет_аналитики'!V726</f>
        <v/>
      </c>
      <c r="W727">
        <f>'19_Расчет_аналитики'!W717-'19_Расчет_аналитики'!W726</f>
        <v/>
      </c>
      <c r="X727">
        <f>'19_Расчет_аналитики'!X717-'19_Расчет_аналитики'!X726</f>
        <v/>
      </c>
      <c r="Y727">
        <f>'19_Расчет_аналитики'!Y717-'19_Расчет_аналитики'!Y726</f>
        <v/>
      </c>
      <c r="Z727">
        <f>'19_Расчет_аналитики'!Z717-'19_Расчет_аналитики'!Z726</f>
        <v/>
      </c>
      <c r="AA727">
        <f>'19_Расчет_аналитики'!AA717-'19_Расчет_аналитики'!AA726</f>
        <v/>
      </c>
      <c r="AB727">
        <f>'19_Расчет_аналитики'!AB717-'19_Расчет_аналитики'!AB726</f>
        <v/>
      </c>
      <c r="AC727">
        <f>'19_Расчет_аналитики'!AC717-'19_Расчет_аналитики'!AC726</f>
        <v/>
      </c>
      <c r="AD727">
        <f>'19_Расчет_аналитики'!AD717-'19_Расчет_аналитики'!AD726</f>
        <v/>
      </c>
      <c r="AE727">
        <f>'19_Расчет_аналитики'!AE717-'19_Расчет_аналитики'!AE726</f>
        <v/>
      </c>
      <c r="AF727">
        <f>'19_Расчет_аналитики'!AF717-'19_Расчет_аналитики'!AF726</f>
        <v/>
      </c>
      <c r="AG727">
        <f>'19_Расчет_аналитики'!AG717-'19_Расчет_аналитики'!AG726</f>
        <v/>
      </c>
      <c r="AH727">
        <f>'19_Расчет_аналитики'!AH717-'19_Расчет_аналитики'!AH726</f>
        <v/>
      </c>
      <c r="AI727">
        <f>'19_Расчет_аналитики'!AI717-'19_Расчет_аналитики'!AI726</f>
        <v/>
      </c>
      <c r="AJ727">
        <f>'19_Расчет_аналитики'!AJ717-'19_Расчет_аналитики'!AJ726</f>
        <v/>
      </c>
      <c r="AK727">
        <f>'19_Расчет_аналитики'!AK717-'19_Расчет_аналитики'!AK726</f>
        <v/>
      </c>
      <c r="AL727">
        <f>'19_Расчет_аналитики'!AL717-'19_Расчет_аналитики'!AL726</f>
        <v/>
      </c>
      <c r="AM727">
        <f>'19_Расчет_аналитики'!AM717-'19_Расчет_аналитики'!AM726</f>
        <v/>
      </c>
      <c r="AN727">
        <f>'19_Расчет_аналитики'!AN717-'19_Расчет_аналитики'!AN726</f>
        <v/>
      </c>
      <c r="AO727">
        <f>'19_Расчет_аналитики'!AO717-'19_Расчет_аналитики'!AO726</f>
        <v/>
      </c>
      <c r="AP727">
        <f>'19_Расчет_аналитики'!AP717-'19_Расчет_аналитики'!AP726</f>
        <v/>
      </c>
      <c r="AQ727">
        <f>'19_Расчет_аналитики'!AQ717-'19_Расчет_аналитики'!AQ726</f>
        <v/>
      </c>
      <c r="AR727">
        <f>'19_Расчет_аналитики'!AR717-'19_Расчет_аналитики'!AR726</f>
        <v/>
      </c>
      <c r="AS727">
        <f>'19_Расчет_аналитики'!AS717-'19_Расчет_аналитики'!AS726</f>
        <v/>
      </c>
      <c r="AT727">
        <f>'19_Расчет_аналитики'!AT717-'19_Расчет_аналитики'!AT726</f>
        <v/>
      </c>
      <c r="AU727">
        <f>'19_Расчет_аналитики'!AU717-'19_Расчет_аналитики'!AU726</f>
        <v/>
      </c>
      <c r="AV727">
        <f>'19_Расчет_аналитики'!AV717-'19_Расчет_аналитики'!AV726</f>
        <v/>
      </c>
      <c r="AW727">
        <f>'19_Расчет_аналитики'!AW717-'19_Расчет_аналитики'!AW726</f>
        <v/>
      </c>
      <c r="AX727">
        <f>'19_Расчет_аналитики'!AX717-'19_Расчет_аналитики'!AX726</f>
        <v/>
      </c>
      <c r="AY727">
        <f>'19_Расчет_аналитики'!AY717-'19_Расчет_аналитики'!AY726</f>
        <v/>
      </c>
      <c r="AZ727">
        <f>'19_Расчет_аналитики'!AZ717-'19_Расчет_аналитики'!AZ726</f>
        <v/>
      </c>
      <c r="BA727">
        <f>'19_Расчет_аналитики'!BA717-'19_Расчет_аналитики'!BA726</f>
        <v/>
      </c>
      <c r="BB727">
        <f>'19_Расчет_аналитики'!BB717-'19_Расчет_аналитики'!BB726</f>
        <v/>
      </c>
      <c r="BC727">
        <f>'19_Расчет_аналитики'!BC717-'19_Расчет_аналитики'!BC726</f>
        <v/>
      </c>
      <c r="BD727">
        <f>'19_Расчет_аналитики'!BD717-'19_Расчет_аналитики'!BD726</f>
        <v/>
      </c>
      <c r="BE727">
        <f>'19_Расчет_аналитики'!BE717-'19_Расчет_аналитики'!BE726</f>
        <v/>
      </c>
      <c r="BF727">
        <f>'19_Расчет_аналитики'!BF717-'19_Расчет_аналитики'!BF726</f>
        <v/>
      </c>
      <c r="BG727">
        <f>'19_Расчет_аналитики'!BG717-'19_Расчет_аналитики'!BG726</f>
        <v/>
      </c>
      <c r="BH727">
        <f>'19_Расчет_аналитики'!BH717-'19_Расчет_аналитики'!BH726</f>
        <v/>
      </c>
      <c r="BI727">
        <f>'19_Расчет_аналитики'!BI717-'19_Расчет_аналитики'!BI726</f>
        <v/>
      </c>
    </row>
    <row r="728"/>
    <row r="729"/>
    <row r="730">
      <c r="B730">
        <f>'02_Модель'!B36</f>
        <v/>
      </c>
      <c r="C730">
        <f>'19_Расчет_аналитики'!C665</f>
        <v/>
      </c>
      <c r="D730">
        <f>'19_Расчет_аналитики'!D665</f>
        <v/>
      </c>
      <c r="E730">
        <f>'19_Расчет_аналитики'!E665</f>
        <v/>
      </c>
      <c r="F730">
        <f>'19_Расчет_аналитики'!F665</f>
        <v/>
      </c>
      <c r="G730">
        <f>'19_Расчет_аналитики'!G665</f>
        <v/>
      </c>
      <c r="H730">
        <f>'19_Расчет_аналитики'!H665</f>
        <v/>
      </c>
      <c r="I730">
        <f>'19_Расчет_аналитики'!I665</f>
        <v/>
      </c>
      <c r="J730">
        <f>'19_Расчет_аналитики'!J665</f>
        <v/>
      </c>
      <c r="K730">
        <f>'19_Расчет_аналитики'!K665</f>
        <v/>
      </c>
      <c r="L730">
        <f>'19_Расчет_аналитики'!L665</f>
        <v/>
      </c>
      <c r="M730">
        <f>'19_Расчет_аналитики'!M665</f>
        <v/>
      </c>
      <c r="N730">
        <f>'19_Расчет_аналитики'!N665</f>
        <v/>
      </c>
      <c r="O730">
        <f>'19_Расчет_аналитики'!O665</f>
        <v/>
      </c>
      <c r="P730">
        <f>'19_Расчет_аналитики'!P665</f>
        <v/>
      </c>
      <c r="Q730">
        <f>'19_Расчет_аналитики'!Q665</f>
        <v/>
      </c>
      <c r="R730">
        <f>'19_Расчет_аналитики'!R665</f>
        <v/>
      </c>
      <c r="S730">
        <f>'19_Расчет_аналитики'!S665</f>
        <v/>
      </c>
      <c r="T730">
        <f>'19_Расчет_аналитики'!T665</f>
        <v/>
      </c>
      <c r="U730">
        <f>'19_Расчет_аналитики'!U665</f>
        <v/>
      </c>
      <c r="V730">
        <f>'19_Расчет_аналитики'!V665</f>
        <v/>
      </c>
      <c r="W730">
        <f>'19_Расчет_аналитики'!W665</f>
        <v/>
      </c>
      <c r="X730">
        <f>'19_Расчет_аналитики'!X665</f>
        <v/>
      </c>
      <c r="Y730">
        <f>'19_Расчет_аналитики'!Y665</f>
        <v/>
      </c>
      <c r="Z730">
        <f>'19_Расчет_аналитики'!Z665</f>
        <v/>
      </c>
      <c r="AA730">
        <f>'19_Расчет_аналитики'!AA665</f>
        <v/>
      </c>
      <c r="AB730">
        <f>'19_Расчет_аналитики'!AB665</f>
        <v/>
      </c>
      <c r="AC730">
        <f>'19_Расчет_аналитики'!AC665</f>
        <v/>
      </c>
      <c r="AD730">
        <f>'19_Расчет_аналитики'!AD665</f>
        <v/>
      </c>
      <c r="AE730">
        <f>'19_Расчет_аналитики'!AE665</f>
        <v/>
      </c>
      <c r="AF730">
        <f>'19_Расчет_аналитики'!AF665</f>
        <v/>
      </c>
      <c r="AG730">
        <f>'19_Расчет_аналитики'!AG665</f>
        <v/>
      </c>
      <c r="AH730">
        <f>'19_Расчет_аналитики'!AH665</f>
        <v/>
      </c>
      <c r="AI730">
        <f>'19_Расчет_аналитики'!AI665</f>
        <v/>
      </c>
      <c r="AJ730">
        <f>'19_Расчет_аналитики'!AJ665</f>
        <v/>
      </c>
      <c r="AK730">
        <f>'19_Расчет_аналитики'!AK665</f>
        <v/>
      </c>
      <c r="AL730">
        <f>'19_Расчет_аналитики'!AL665</f>
        <v/>
      </c>
      <c r="AM730">
        <f>'19_Расчет_аналитики'!AM665</f>
        <v/>
      </c>
      <c r="AN730">
        <f>'19_Расчет_аналитики'!AN665</f>
        <v/>
      </c>
      <c r="AO730">
        <f>'19_Расчет_аналитики'!AO665</f>
        <v/>
      </c>
      <c r="AP730">
        <f>'19_Расчет_аналитики'!AP665</f>
        <v/>
      </c>
      <c r="AQ730">
        <f>'19_Расчет_аналитики'!AQ665</f>
        <v/>
      </c>
      <c r="AR730">
        <f>'19_Расчет_аналитики'!AR665</f>
        <v/>
      </c>
      <c r="AS730">
        <f>'19_Расчет_аналитики'!AS665</f>
        <v/>
      </c>
      <c r="AT730">
        <f>'19_Расчет_аналитики'!AT665</f>
        <v/>
      </c>
      <c r="AU730">
        <f>'19_Расчет_аналитики'!AU665</f>
        <v/>
      </c>
      <c r="AV730">
        <f>'19_Расчет_аналитики'!AV665</f>
        <v/>
      </c>
      <c r="AW730">
        <f>'19_Расчет_аналитики'!AW665</f>
        <v/>
      </c>
      <c r="AX730">
        <f>'19_Расчет_аналитики'!AX665</f>
        <v/>
      </c>
      <c r="AY730">
        <f>'19_Расчет_аналитики'!AY665</f>
        <v/>
      </c>
      <c r="AZ730">
        <f>'19_Расчет_аналитики'!AZ665</f>
        <v/>
      </c>
      <c r="BA730">
        <f>'19_Расчет_аналитики'!BA665</f>
        <v/>
      </c>
      <c r="BB730">
        <f>'19_Расчет_аналитики'!BB665</f>
        <v/>
      </c>
      <c r="BC730">
        <f>'19_Расчет_аналитики'!BC665</f>
        <v/>
      </c>
      <c r="BD730">
        <f>'19_Расчет_аналитики'!BD665</f>
        <v/>
      </c>
      <c r="BE730">
        <f>'19_Расчет_аналитики'!BE665</f>
        <v/>
      </c>
      <c r="BF730">
        <f>'19_Расчет_аналитики'!BF665</f>
        <v/>
      </c>
      <c r="BG730">
        <f>'19_Расчет_аналитики'!BG665</f>
        <v/>
      </c>
      <c r="BH730">
        <f>'19_Расчет_аналитики'!BH665</f>
        <v/>
      </c>
      <c r="BI730">
        <f>'19_Расчет_аналитики'!BI665</f>
        <v/>
      </c>
    </row>
    <row r="731">
      <c r="B731">
        <f>('01_Вводные'!$B$105+(MAX(0,'06_Сеть_и_дети'!B11-'01_Вводные'!$B$106)+'19_Расчет_аналитики'!B399)*'01_Вводные'!$B$107)*'18_Календарь_тарифы'!B4</f>
        <v/>
      </c>
      <c r="C731">
        <f>('01_Вводные'!$B$105+(MAX(0,'06_Сеть_и_дети'!C11-'01_Вводные'!$B$106)+'19_Расчет_аналитики'!C399)*'01_Вводные'!$B$107)*'18_Календарь_тарифы'!C4</f>
        <v/>
      </c>
      <c r="D731">
        <f>('01_Вводные'!$B$105+(MAX(0,'06_Сеть_и_дети'!D11-'01_Вводные'!$B$106)+'19_Расчет_аналитики'!D399)*'01_Вводные'!$B$107)*'18_Календарь_тарифы'!D4</f>
        <v/>
      </c>
      <c r="E731">
        <f>('01_Вводные'!$B$105+(MAX(0,'06_Сеть_и_дети'!E11-'01_Вводные'!$B$106)+'19_Расчет_аналитики'!E399)*'01_Вводные'!$B$107)*'18_Календарь_тарифы'!E4</f>
        <v/>
      </c>
      <c r="F731">
        <f>('01_Вводные'!$B$105+(MAX(0,'06_Сеть_и_дети'!F11-'01_Вводные'!$B$106)+'19_Расчет_аналитики'!F399)*'01_Вводные'!$B$107)*'18_Календарь_тарифы'!F4</f>
        <v/>
      </c>
      <c r="G731">
        <f>('01_Вводные'!$B$105+(MAX(0,'06_Сеть_и_дети'!G11-'01_Вводные'!$B$106)+'19_Расчет_аналитики'!G399)*'01_Вводные'!$B$107)*'18_Календарь_тарифы'!G4</f>
        <v/>
      </c>
      <c r="H731">
        <f>('01_Вводные'!$B$105+(MAX(0,'06_Сеть_и_дети'!H11-'01_Вводные'!$B$106)+'19_Расчет_аналитики'!H399)*'01_Вводные'!$B$107)*'18_Календарь_тарифы'!H4</f>
        <v/>
      </c>
      <c r="I731">
        <f>('01_Вводные'!$B$105+(MAX(0,'06_Сеть_и_дети'!I11-'01_Вводные'!$B$106)+'19_Расчет_аналитики'!I399)*'01_Вводные'!$B$107)*'18_Календарь_тарифы'!I4</f>
        <v/>
      </c>
      <c r="J731">
        <f>('01_Вводные'!$B$105+(MAX(0,'06_Сеть_и_дети'!J11-'01_Вводные'!$B$106)+'19_Расчет_аналитики'!J399)*'01_Вводные'!$B$107)*'18_Календарь_тарифы'!J4</f>
        <v/>
      </c>
      <c r="K731">
        <f>('01_Вводные'!$B$105+(MAX(0,'06_Сеть_и_дети'!K11-'01_Вводные'!$B$106)+'19_Расчет_аналитики'!K399)*'01_Вводные'!$B$107)*'18_Календарь_тарифы'!K4</f>
        <v/>
      </c>
      <c r="L731">
        <f>('01_Вводные'!$B$105+(MAX(0,'06_Сеть_и_дети'!L11-'01_Вводные'!$B$106)+'19_Расчет_аналитики'!L399)*'01_Вводные'!$B$107)*'18_Календарь_тарифы'!L4</f>
        <v/>
      </c>
      <c r="M731">
        <f>('01_Вводные'!$B$105+(MAX(0,'06_Сеть_и_дети'!M11-'01_Вводные'!$B$106)+'19_Расчет_аналитики'!M399)*'01_Вводные'!$B$107)*'18_Календарь_тарифы'!M4</f>
        <v/>
      </c>
      <c r="N731">
        <f>('01_Вводные'!$B$105+(MAX(0,'06_Сеть_и_дети'!N11-'01_Вводные'!$B$106)+'19_Расчет_аналитики'!N399)*'01_Вводные'!$B$107)*'18_Календарь_тарифы'!N4</f>
        <v/>
      </c>
      <c r="O731">
        <f>('01_Вводные'!$B$105+(MAX(0,'06_Сеть_и_дети'!O11-'01_Вводные'!$B$106)+'19_Расчет_аналитики'!O399)*'01_Вводные'!$B$107)*'18_Календарь_тарифы'!O4</f>
        <v/>
      </c>
      <c r="P731">
        <f>('01_Вводные'!$B$105+(MAX(0,'06_Сеть_и_дети'!P11-'01_Вводные'!$B$106)+'19_Расчет_аналитики'!P399)*'01_Вводные'!$B$107)*'18_Календарь_тарифы'!P4</f>
        <v/>
      </c>
      <c r="Q731">
        <f>('01_Вводные'!$B$105+(MAX(0,'06_Сеть_и_дети'!Q11-'01_Вводные'!$B$106)+'19_Расчет_аналитики'!Q399)*'01_Вводные'!$B$107)*'18_Календарь_тарифы'!Q4</f>
        <v/>
      </c>
      <c r="R731">
        <f>('01_Вводные'!$B$105+(MAX(0,'06_Сеть_и_дети'!R11-'01_Вводные'!$B$106)+'19_Расчет_аналитики'!R399)*'01_Вводные'!$B$107)*'18_Календарь_тарифы'!R4</f>
        <v/>
      </c>
      <c r="S731">
        <f>('01_Вводные'!$B$105+(MAX(0,'06_Сеть_и_дети'!S11-'01_Вводные'!$B$106)+'19_Расчет_аналитики'!S399)*'01_Вводные'!$B$107)*'18_Календарь_тарифы'!S4</f>
        <v/>
      </c>
      <c r="T731">
        <f>('01_Вводные'!$B$105+(MAX(0,'06_Сеть_и_дети'!T11-'01_Вводные'!$B$106)+'19_Расчет_аналитики'!T399)*'01_Вводные'!$B$107)*'18_Календарь_тарифы'!T4</f>
        <v/>
      </c>
      <c r="U731">
        <f>('01_Вводные'!$B$105+(MAX(0,'06_Сеть_и_дети'!U11-'01_Вводные'!$B$106)+'19_Расчет_аналитики'!U399)*'01_Вводные'!$B$107)*'18_Календарь_тарифы'!U4</f>
        <v/>
      </c>
      <c r="V731">
        <f>('01_Вводные'!$B$105+(MAX(0,'06_Сеть_и_дети'!V11-'01_Вводные'!$B$106)+'19_Расчет_аналитики'!V399)*'01_Вводные'!$B$107)*'18_Календарь_тарифы'!V4</f>
        <v/>
      </c>
      <c r="W731">
        <f>('01_Вводные'!$B$105+(MAX(0,'06_Сеть_и_дети'!W11-'01_Вводные'!$B$106)+'19_Расчет_аналитики'!W399)*'01_Вводные'!$B$107)*'18_Календарь_тарифы'!W4</f>
        <v/>
      </c>
      <c r="X731">
        <f>('01_Вводные'!$B$105+(MAX(0,'06_Сеть_и_дети'!X11-'01_Вводные'!$B$106)+'19_Расчет_аналитики'!X399)*'01_Вводные'!$B$107)*'18_Календарь_тарифы'!X4</f>
        <v/>
      </c>
      <c r="Y731">
        <f>('01_Вводные'!$B$105+(MAX(0,'06_Сеть_и_дети'!Y11-'01_Вводные'!$B$106)+'19_Расчет_аналитики'!Y399)*'01_Вводные'!$B$107)*'18_Календарь_тарифы'!Y4</f>
        <v/>
      </c>
      <c r="Z731">
        <f>('01_Вводные'!$B$105+(MAX(0,'06_Сеть_и_дети'!Z11-'01_Вводные'!$B$106)+'19_Расчет_аналитики'!Z399)*'01_Вводные'!$B$107)*'18_Календарь_тарифы'!Z4</f>
        <v/>
      </c>
      <c r="AA731">
        <f>('01_Вводные'!$B$105+(MAX(0,'06_Сеть_и_дети'!AA11-'01_Вводные'!$B$106)+'19_Расчет_аналитики'!AA399)*'01_Вводные'!$B$107)*'18_Календарь_тарифы'!AA4</f>
        <v/>
      </c>
      <c r="AB731">
        <f>('01_Вводные'!$B$105+(MAX(0,'06_Сеть_и_дети'!AB11-'01_Вводные'!$B$106)+'19_Расчет_аналитики'!AB399)*'01_Вводные'!$B$107)*'18_Календарь_тарифы'!AB4</f>
        <v/>
      </c>
      <c r="AC731">
        <f>('01_Вводные'!$B$105+(MAX(0,'06_Сеть_и_дети'!AC11-'01_Вводные'!$B$106)+'19_Расчет_аналитики'!AC399)*'01_Вводные'!$B$107)*'18_Календарь_тарифы'!AC4</f>
        <v/>
      </c>
      <c r="AD731">
        <f>('01_Вводные'!$B$105+(MAX(0,'06_Сеть_и_дети'!AD11-'01_Вводные'!$B$106)+'19_Расчет_аналитики'!AD399)*'01_Вводные'!$B$107)*'18_Календарь_тарифы'!AD4</f>
        <v/>
      </c>
      <c r="AE731">
        <f>('01_Вводные'!$B$105+(MAX(0,'06_Сеть_и_дети'!AE11-'01_Вводные'!$B$106)+'19_Расчет_аналитики'!AE399)*'01_Вводные'!$B$107)*'18_Календарь_тарифы'!AE4</f>
        <v/>
      </c>
      <c r="AF731">
        <f>('01_Вводные'!$B$105+(MAX(0,'06_Сеть_и_дети'!AF11-'01_Вводные'!$B$106)+'19_Расчет_аналитики'!AF399)*'01_Вводные'!$B$107)*'18_Календарь_тарифы'!AF4</f>
        <v/>
      </c>
      <c r="AG731">
        <f>('01_Вводные'!$B$105+(MAX(0,'06_Сеть_и_дети'!AG11-'01_Вводные'!$B$106)+'19_Расчет_аналитики'!AG399)*'01_Вводные'!$B$107)*'18_Календарь_тарифы'!AG4</f>
        <v/>
      </c>
      <c r="AH731">
        <f>('01_Вводные'!$B$105+(MAX(0,'06_Сеть_и_дети'!AH11-'01_Вводные'!$B$106)+'19_Расчет_аналитики'!AH399)*'01_Вводные'!$B$107)*'18_Календарь_тарифы'!AH4</f>
        <v/>
      </c>
      <c r="AI731">
        <f>('01_Вводные'!$B$105+(MAX(0,'06_Сеть_и_дети'!AI11-'01_Вводные'!$B$106)+'19_Расчет_аналитики'!AI399)*'01_Вводные'!$B$107)*'18_Календарь_тарифы'!AI4</f>
        <v/>
      </c>
      <c r="AJ731">
        <f>('01_Вводные'!$B$105+(MAX(0,'06_Сеть_и_дети'!AJ11-'01_Вводные'!$B$106)+'19_Расчет_аналитики'!AJ399)*'01_Вводные'!$B$107)*'18_Календарь_тарифы'!AJ4</f>
        <v/>
      </c>
      <c r="AK731">
        <f>('01_Вводные'!$B$105+(MAX(0,'06_Сеть_и_дети'!AK11-'01_Вводные'!$B$106)+'19_Расчет_аналитики'!AK399)*'01_Вводные'!$B$107)*'18_Календарь_тарифы'!AK4</f>
        <v/>
      </c>
      <c r="AL731">
        <f>('01_Вводные'!$B$105+(MAX(0,'06_Сеть_и_дети'!AL11-'01_Вводные'!$B$106)+'19_Расчет_аналитики'!AL399)*'01_Вводные'!$B$107)*'18_Календарь_тарифы'!AL4</f>
        <v/>
      </c>
      <c r="AM731">
        <f>('01_Вводные'!$B$105+(MAX(0,'06_Сеть_и_дети'!AM11-'01_Вводные'!$B$106)+'19_Расчет_аналитики'!AM399)*'01_Вводные'!$B$107)*'18_Календарь_тарифы'!AM4</f>
        <v/>
      </c>
      <c r="AN731">
        <f>('01_Вводные'!$B$105+(MAX(0,'06_Сеть_и_дети'!AN11-'01_Вводные'!$B$106)+'19_Расчет_аналитики'!AN399)*'01_Вводные'!$B$107)*'18_Календарь_тарифы'!AN4</f>
        <v/>
      </c>
      <c r="AO731">
        <f>('01_Вводные'!$B$105+(MAX(0,'06_Сеть_и_дети'!AO11-'01_Вводные'!$B$106)+'19_Расчет_аналитики'!AO399)*'01_Вводные'!$B$107)*'18_Календарь_тарифы'!AO4</f>
        <v/>
      </c>
      <c r="AP731">
        <f>('01_Вводные'!$B$105+(MAX(0,'06_Сеть_и_дети'!AP11-'01_Вводные'!$B$106)+'19_Расчет_аналитики'!AP399)*'01_Вводные'!$B$107)*'18_Календарь_тарифы'!AP4</f>
        <v/>
      </c>
      <c r="AQ731">
        <f>('01_Вводные'!$B$105+(MAX(0,'06_Сеть_и_дети'!AQ11-'01_Вводные'!$B$106)+'19_Расчет_аналитики'!AQ399)*'01_Вводные'!$B$107)*'18_Календарь_тарифы'!AQ4</f>
        <v/>
      </c>
      <c r="AR731">
        <f>('01_Вводные'!$B$105+(MAX(0,'06_Сеть_и_дети'!AR11-'01_Вводные'!$B$106)+'19_Расчет_аналитики'!AR399)*'01_Вводные'!$B$107)*'18_Календарь_тарифы'!AR4</f>
        <v/>
      </c>
      <c r="AS731">
        <f>('01_Вводные'!$B$105+(MAX(0,'06_Сеть_и_дети'!AS11-'01_Вводные'!$B$106)+'19_Расчет_аналитики'!AS399)*'01_Вводные'!$B$107)*'18_Календарь_тарифы'!AS4</f>
        <v/>
      </c>
      <c r="AT731">
        <f>('01_Вводные'!$B$105+(MAX(0,'06_Сеть_и_дети'!AT11-'01_Вводные'!$B$106)+'19_Расчет_аналитики'!AT399)*'01_Вводные'!$B$107)*'18_Календарь_тарифы'!AT4</f>
        <v/>
      </c>
      <c r="AU731">
        <f>('01_Вводные'!$B$105+(MAX(0,'06_Сеть_и_дети'!AU11-'01_Вводные'!$B$106)+'19_Расчет_аналитики'!AU399)*'01_Вводные'!$B$107)*'18_Календарь_тарифы'!AU4</f>
        <v/>
      </c>
      <c r="AV731">
        <f>('01_Вводные'!$B$105+(MAX(0,'06_Сеть_и_дети'!AV11-'01_Вводные'!$B$106)+'19_Расчет_аналитики'!AV399)*'01_Вводные'!$B$107)*'18_Календарь_тарифы'!AV4</f>
        <v/>
      </c>
      <c r="AW731">
        <f>('01_Вводные'!$B$105+(MAX(0,'06_Сеть_и_дети'!AW11-'01_Вводные'!$B$106)+'19_Расчет_аналитики'!AW399)*'01_Вводные'!$B$107)*'18_Календарь_тарифы'!AW4</f>
        <v/>
      </c>
      <c r="AX731">
        <f>('01_Вводные'!$B$105+(MAX(0,'06_Сеть_и_дети'!AX11-'01_Вводные'!$B$106)+'19_Расчет_аналитики'!AX399)*'01_Вводные'!$B$107)*'18_Календарь_тарифы'!AX4</f>
        <v/>
      </c>
      <c r="AY731">
        <f>('01_Вводные'!$B$105+(MAX(0,'06_Сеть_и_дети'!AY11-'01_Вводные'!$B$106)+'19_Расчет_аналитики'!AY399)*'01_Вводные'!$B$107)*'18_Календарь_тарифы'!AY4</f>
        <v/>
      </c>
      <c r="AZ731">
        <f>('01_Вводные'!$B$105+(MAX(0,'06_Сеть_и_дети'!AZ11-'01_Вводные'!$B$106)+'19_Расчет_аналитики'!AZ399)*'01_Вводные'!$B$107)*'18_Календарь_тарифы'!AZ4</f>
        <v/>
      </c>
      <c r="BA731">
        <f>('01_Вводные'!$B$105+(MAX(0,'06_Сеть_и_дети'!BA11-'01_Вводные'!$B$106)+'19_Расчет_аналитики'!BA399)*'01_Вводные'!$B$107)*'18_Календарь_тарифы'!BA4</f>
        <v/>
      </c>
      <c r="BB731">
        <f>('01_Вводные'!$B$105+(MAX(0,'06_Сеть_и_дети'!BB11-'01_Вводные'!$B$106)+'19_Расчет_аналитики'!BB399)*'01_Вводные'!$B$107)*'18_Календарь_тарифы'!BB4</f>
        <v/>
      </c>
      <c r="BC731">
        <f>('01_Вводные'!$B$105+(MAX(0,'06_Сеть_и_дети'!BC11-'01_Вводные'!$B$106)+'19_Расчет_аналитики'!BC399)*'01_Вводные'!$B$107)*'18_Календарь_тарифы'!BC4</f>
        <v/>
      </c>
      <c r="BD731">
        <f>('01_Вводные'!$B$105+(MAX(0,'06_Сеть_и_дети'!BD11-'01_Вводные'!$B$106)+'19_Расчет_аналитики'!BD399)*'01_Вводные'!$B$107)*'18_Календарь_тарифы'!BD4</f>
        <v/>
      </c>
      <c r="BE731">
        <f>('01_Вводные'!$B$105+(MAX(0,'06_Сеть_и_дети'!BE11-'01_Вводные'!$B$106)+'19_Расчет_аналитики'!BE399)*'01_Вводные'!$B$107)*'18_Календарь_тарифы'!BE4</f>
        <v/>
      </c>
      <c r="BF731">
        <f>('01_Вводные'!$B$105+(MAX(0,'06_Сеть_и_дети'!BF11-'01_Вводные'!$B$106)+'19_Расчет_аналитики'!BF399)*'01_Вводные'!$B$107)*'18_Календарь_тарифы'!BF4</f>
        <v/>
      </c>
      <c r="BG731">
        <f>('01_Вводные'!$B$105+(MAX(0,'06_Сеть_и_дети'!BG11-'01_Вводные'!$B$106)+'19_Расчет_аналитики'!BG399)*'01_Вводные'!$B$107)*'18_Календарь_тарифы'!BG4</f>
        <v/>
      </c>
      <c r="BH731">
        <f>('01_Вводные'!$B$105+(MAX(0,'06_Сеть_и_дети'!BH11-'01_Вводные'!$B$106)+'19_Расчет_аналитики'!BH399)*'01_Вводные'!$B$107)*'18_Календарь_тарифы'!BH4</f>
        <v/>
      </c>
      <c r="BI731">
        <f>('01_Вводные'!$B$105+(MAX(0,'06_Сеть_и_дети'!BI11-'01_Вводные'!$B$106)+'19_Расчет_аналитики'!BI399)*'01_Вводные'!$B$107)*'18_Календарь_тарифы'!BI4</f>
        <v/>
      </c>
    </row>
    <row r="732">
      <c r="B732">
        <f>'02_Модель'!B38</f>
        <v/>
      </c>
      <c r="C732">
        <f>'02_Модель'!C38</f>
        <v/>
      </c>
      <c r="D732">
        <f>'02_Модель'!D38</f>
        <v/>
      </c>
      <c r="E732">
        <f>'02_Модель'!E38</f>
        <v/>
      </c>
      <c r="F732">
        <f>'02_Модель'!F38</f>
        <v/>
      </c>
      <c r="G732">
        <f>'02_Модель'!G38</f>
        <v/>
      </c>
      <c r="H732">
        <f>'02_Модель'!H38</f>
        <v/>
      </c>
      <c r="I732">
        <f>'02_Модель'!I38</f>
        <v/>
      </c>
      <c r="J732">
        <f>'02_Модель'!J38</f>
        <v/>
      </c>
      <c r="K732">
        <f>'02_Модель'!K38</f>
        <v/>
      </c>
      <c r="L732">
        <f>'02_Модель'!L38</f>
        <v/>
      </c>
      <c r="M732">
        <f>'02_Модель'!M38</f>
        <v/>
      </c>
      <c r="N732">
        <f>'02_Модель'!N38</f>
        <v/>
      </c>
      <c r="O732">
        <f>'02_Модель'!O38</f>
        <v/>
      </c>
      <c r="P732">
        <f>'02_Модель'!P38</f>
        <v/>
      </c>
      <c r="Q732">
        <f>'02_Модель'!Q38</f>
        <v/>
      </c>
      <c r="R732">
        <f>'02_Модель'!R38</f>
        <v/>
      </c>
      <c r="S732">
        <f>'02_Модель'!S38</f>
        <v/>
      </c>
      <c r="T732">
        <f>'02_Модель'!T38</f>
        <v/>
      </c>
      <c r="U732">
        <f>'02_Модель'!U38</f>
        <v/>
      </c>
      <c r="V732">
        <f>'02_Модель'!V38</f>
        <v/>
      </c>
      <c r="W732">
        <f>'02_Модель'!W38</f>
        <v/>
      </c>
      <c r="X732">
        <f>'02_Модель'!X38</f>
        <v/>
      </c>
      <c r="Y732">
        <f>'02_Модель'!Y38</f>
        <v/>
      </c>
      <c r="Z732">
        <f>'02_Модель'!Z38</f>
        <v/>
      </c>
      <c r="AA732">
        <f>'02_Модель'!AA38</f>
        <v/>
      </c>
      <c r="AB732">
        <f>'02_Модель'!AB38</f>
        <v/>
      </c>
      <c r="AC732">
        <f>'02_Модель'!AC38</f>
        <v/>
      </c>
      <c r="AD732">
        <f>'02_Модель'!AD38</f>
        <v/>
      </c>
      <c r="AE732">
        <f>'02_Модель'!AE38</f>
        <v/>
      </c>
      <c r="AF732">
        <f>'02_Модель'!AF38</f>
        <v/>
      </c>
      <c r="AG732">
        <f>'02_Модель'!AG38</f>
        <v/>
      </c>
      <c r="AH732">
        <f>'02_Модель'!AH38</f>
        <v/>
      </c>
      <c r="AI732">
        <f>'02_Модель'!AI38</f>
        <v/>
      </c>
      <c r="AJ732">
        <f>'02_Модель'!AJ38</f>
        <v/>
      </c>
      <c r="AK732">
        <f>'02_Модель'!AK38</f>
        <v/>
      </c>
      <c r="AL732">
        <f>'02_Модель'!AL38</f>
        <v/>
      </c>
      <c r="AM732">
        <f>'02_Модель'!AM38</f>
        <v/>
      </c>
      <c r="AN732">
        <f>'02_Модель'!AN38</f>
        <v/>
      </c>
      <c r="AO732">
        <f>'02_Модель'!AO38</f>
        <v/>
      </c>
      <c r="AP732">
        <f>'02_Модель'!AP38</f>
        <v/>
      </c>
      <c r="AQ732">
        <f>'02_Модель'!AQ38</f>
        <v/>
      </c>
      <c r="AR732">
        <f>'02_Модель'!AR38</f>
        <v/>
      </c>
      <c r="AS732">
        <f>'02_Модель'!AS38</f>
        <v/>
      </c>
      <c r="AT732">
        <f>'02_Модель'!AT38</f>
        <v/>
      </c>
      <c r="AU732">
        <f>'02_Модель'!AU38</f>
        <v/>
      </c>
      <c r="AV732">
        <f>'02_Модель'!AV38</f>
        <v/>
      </c>
      <c r="AW732">
        <f>'02_Модель'!AW38</f>
        <v/>
      </c>
      <c r="AX732">
        <f>'02_Модель'!AX38</f>
        <v/>
      </c>
      <c r="AY732">
        <f>'02_Модель'!AY38</f>
        <v/>
      </c>
      <c r="AZ732">
        <f>'02_Модель'!AZ38</f>
        <v/>
      </c>
      <c r="BA732">
        <f>'02_Модель'!BA38</f>
        <v/>
      </c>
      <c r="BB732">
        <f>'02_Модель'!BB38</f>
        <v/>
      </c>
      <c r="BC732">
        <f>'02_Модель'!BC38</f>
        <v/>
      </c>
      <c r="BD732">
        <f>'02_Модель'!BD38</f>
        <v/>
      </c>
      <c r="BE732">
        <f>'02_Модель'!BE38</f>
        <v/>
      </c>
      <c r="BF732">
        <f>'02_Модель'!BF38</f>
        <v/>
      </c>
      <c r="BG732">
        <f>'02_Модель'!BG38</f>
        <v/>
      </c>
      <c r="BH732">
        <f>'02_Модель'!BH38</f>
        <v/>
      </c>
      <c r="BI732">
        <f>'02_Модель'!BI38</f>
        <v/>
      </c>
    </row>
    <row r="733">
      <c r="B733">
        <f>'02_Модель'!B39</f>
        <v/>
      </c>
      <c r="C733">
        <f>'02_Модель'!C39</f>
        <v/>
      </c>
      <c r="D733">
        <f>'02_Модель'!D39</f>
        <v/>
      </c>
      <c r="E733">
        <f>'02_Модель'!E39</f>
        <v/>
      </c>
      <c r="F733">
        <f>'02_Модель'!F39</f>
        <v/>
      </c>
      <c r="G733">
        <f>'02_Модель'!G39</f>
        <v/>
      </c>
      <c r="H733">
        <f>'02_Модель'!H39</f>
        <v/>
      </c>
      <c r="I733">
        <f>'02_Модель'!I39</f>
        <v/>
      </c>
      <c r="J733">
        <f>'02_Модель'!J39</f>
        <v/>
      </c>
      <c r="K733">
        <f>'02_Модель'!K39</f>
        <v/>
      </c>
      <c r="L733">
        <f>'02_Модель'!L39</f>
        <v/>
      </c>
      <c r="M733">
        <f>'02_Модель'!M39</f>
        <v/>
      </c>
      <c r="N733">
        <f>'02_Модель'!N39</f>
        <v/>
      </c>
      <c r="O733">
        <f>'02_Модель'!O39</f>
        <v/>
      </c>
      <c r="P733">
        <f>'02_Модель'!P39</f>
        <v/>
      </c>
      <c r="Q733">
        <f>'02_Модель'!Q39</f>
        <v/>
      </c>
      <c r="R733">
        <f>'02_Модель'!R39</f>
        <v/>
      </c>
      <c r="S733">
        <f>'02_Модель'!S39</f>
        <v/>
      </c>
      <c r="T733">
        <f>'02_Модель'!T39</f>
        <v/>
      </c>
      <c r="U733">
        <f>'02_Модель'!U39</f>
        <v/>
      </c>
      <c r="V733">
        <f>'02_Модель'!V39</f>
        <v/>
      </c>
      <c r="W733">
        <f>'02_Модель'!W39</f>
        <v/>
      </c>
      <c r="X733">
        <f>'02_Модель'!X39</f>
        <v/>
      </c>
      <c r="Y733">
        <f>'02_Модель'!Y39</f>
        <v/>
      </c>
      <c r="Z733">
        <f>'02_Модель'!Z39</f>
        <v/>
      </c>
      <c r="AA733">
        <f>'02_Модель'!AA39</f>
        <v/>
      </c>
      <c r="AB733">
        <f>'02_Модель'!AB39</f>
        <v/>
      </c>
      <c r="AC733">
        <f>'02_Модель'!AC39</f>
        <v/>
      </c>
      <c r="AD733">
        <f>'02_Модель'!AD39</f>
        <v/>
      </c>
      <c r="AE733">
        <f>'02_Модель'!AE39</f>
        <v/>
      </c>
      <c r="AF733">
        <f>'02_Модель'!AF39</f>
        <v/>
      </c>
      <c r="AG733">
        <f>'02_Модель'!AG39</f>
        <v/>
      </c>
      <c r="AH733">
        <f>'02_Модель'!AH39</f>
        <v/>
      </c>
      <c r="AI733">
        <f>'02_Модель'!AI39</f>
        <v/>
      </c>
      <c r="AJ733">
        <f>'02_Модель'!AJ39</f>
        <v/>
      </c>
      <c r="AK733">
        <f>'02_Модель'!AK39</f>
        <v/>
      </c>
      <c r="AL733">
        <f>'02_Модель'!AL39</f>
        <v/>
      </c>
      <c r="AM733">
        <f>'02_Модель'!AM39</f>
        <v/>
      </c>
      <c r="AN733">
        <f>'02_Модель'!AN39</f>
        <v/>
      </c>
      <c r="AO733">
        <f>'02_Модель'!AO39</f>
        <v/>
      </c>
      <c r="AP733">
        <f>'02_Модель'!AP39</f>
        <v/>
      </c>
      <c r="AQ733">
        <f>'02_Модель'!AQ39</f>
        <v/>
      </c>
      <c r="AR733">
        <f>'02_Модель'!AR39</f>
        <v/>
      </c>
      <c r="AS733">
        <f>'02_Модель'!AS39</f>
        <v/>
      </c>
      <c r="AT733">
        <f>'02_Модель'!AT39</f>
        <v/>
      </c>
      <c r="AU733">
        <f>'02_Модель'!AU39</f>
        <v/>
      </c>
      <c r="AV733">
        <f>'02_Модель'!AV39</f>
        <v/>
      </c>
      <c r="AW733">
        <f>'02_Модель'!AW39</f>
        <v/>
      </c>
      <c r="AX733">
        <f>'02_Модель'!AX39</f>
        <v/>
      </c>
      <c r="AY733">
        <f>'02_Модель'!AY39</f>
        <v/>
      </c>
      <c r="AZ733">
        <f>'02_Модель'!AZ39</f>
        <v/>
      </c>
      <c r="BA733">
        <f>'02_Модель'!BA39</f>
        <v/>
      </c>
      <c r="BB733">
        <f>'02_Модель'!BB39</f>
        <v/>
      </c>
      <c r="BC733">
        <f>'02_Модель'!BC39</f>
        <v/>
      </c>
      <c r="BD733">
        <f>'02_Модель'!BD39</f>
        <v/>
      </c>
      <c r="BE733">
        <f>'02_Модель'!BE39</f>
        <v/>
      </c>
      <c r="BF733">
        <f>'02_Модель'!BF39</f>
        <v/>
      </c>
      <c r="BG733">
        <f>'02_Модель'!BG39</f>
        <v/>
      </c>
      <c r="BH733">
        <f>'02_Модель'!BH39</f>
        <v/>
      </c>
      <c r="BI733">
        <f>'02_Модель'!BI39</f>
        <v/>
      </c>
    </row>
    <row r="734">
      <c r="B734">
        <f>'02_Модель'!B40</f>
        <v/>
      </c>
      <c r="C734">
        <f>'02_Модель'!C40</f>
        <v/>
      </c>
      <c r="D734">
        <f>'02_Модель'!D40</f>
        <v/>
      </c>
      <c r="E734">
        <f>'02_Модель'!E40</f>
        <v/>
      </c>
      <c r="F734">
        <f>'02_Модель'!F40</f>
        <v/>
      </c>
      <c r="G734">
        <f>'02_Модель'!G40</f>
        <v/>
      </c>
      <c r="H734">
        <f>'02_Модель'!H40</f>
        <v/>
      </c>
      <c r="I734">
        <f>'02_Модель'!I40</f>
        <v/>
      </c>
      <c r="J734">
        <f>'02_Модель'!J40</f>
        <v/>
      </c>
      <c r="K734">
        <f>'02_Модель'!K40</f>
        <v/>
      </c>
      <c r="L734">
        <f>'02_Модель'!L40</f>
        <v/>
      </c>
      <c r="M734">
        <f>'02_Модель'!M40</f>
        <v/>
      </c>
      <c r="N734">
        <f>'02_Модель'!N40</f>
        <v/>
      </c>
      <c r="O734">
        <f>'02_Модель'!O40</f>
        <v/>
      </c>
      <c r="P734">
        <f>'02_Модель'!P40</f>
        <v/>
      </c>
      <c r="Q734">
        <f>'02_Модель'!Q40</f>
        <v/>
      </c>
      <c r="R734">
        <f>'02_Модель'!R40</f>
        <v/>
      </c>
      <c r="S734">
        <f>'02_Модель'!S40</f>
        <v/>
      </c>
      <c r="T734">
        <f>'02_Модель'!T40</f>
        <v/>
      </c>
      <c r="U734">
        <f>'02_Модель'!U40</f>
        <v/>
      </c>
      <c r="V734">
        <f>'02_Модель'!V40</f>
        <v/>
      </c>
      <c r="W734">
        <f>'02_Модель'!W40</f>
        <v/>
      </c>
      <c r="X734">
        <f>'02_Модель'!X40</f>
        <v/>
      </c>
      <c r="Y734">
        <f>'02_Модель'!Y40</f>
        <v/>
      </c>
      <c r="Z734">
        <f>'02_Модель'!Z40</f>
        <v/>
      </c>
      <c r="AA734">
        <f>'02_Модель'!AA40</f>
        <v/>
      </c>
      <c r="AB734">
        <f>'02_Модель'!AB40</f>
        <v/>
      </c>
      <c r="AC734">
        <f>'02_Модель'!AC40</f>
        <v/>
      </c>
      <c r="AD734">
        <f>'02_Модель'!AD40</f>
        <v/>
      </c>
      <c r="AE734">
        <f>'02_Модель'!AE40</f>
        <v/>
      </c>
      <c r="AF734">
        <f>'02_Модель'!AF40</f>
        <v/>
      </c>
      <c r="AG734">
        <f>'02_Модель'!AG40</f>
        <v/>
      </c>
      <c r="AH734">
        <f>'02_Модель'!AH40</f>
        <v/>
      </c>
      <c r="AI734">
        <f>'02_Модель'!AI40</f>
        <v/>
      </c>
      <c r="AJ734">
        <f>'02_Модель'!AJ40</f>
        <v/>
      </c>
      <c r="AK734">
        <f>'02_Модель'!AK40</f>
        <v/>
      </c>
      <c r="AL734">
        <f>'02_Модель'!AL40</f>
        <v/>
      </c>
      <c r="AM734">
        <f>'02_Модель'!AM40</f>
        <v/>
      </c>
      <c r="AN734">
        <f>'02_Модель'!AN40</f>
        <v/>
      </c>
      <c r="AO734">
        <f>'02_Модель'!AO40</f>
        <v/>
      </c>
      <c r="AP734">
        <f>'02_Модель'!AP40</f>
        <v/>
      </c>
      <c r="AQ734">
        <f>'02_Модель'!AQ40</f>
        <v/>
      </c>
      <c r="AR734">
        <f>'02_Модель'!AR40</f>
        <v/>
      </c>
      <c r="AS734">
        <f>'02_Модель'!AS40</f>
        <v/>
      </c>
      <c r="AT734">
        <f>'02_Модель'!AT40</f>
        <v/>
      </c>
      <c r="AU734">
        <f>'02_Модель'!AU40</f>
        <v/>
      </c>
      <c r="AV734">
        <f>'02_Модель'!AV40</f>
        <v/>
      </c>
      <c r="AW734">
        <f>'02_Модель'!AW40</f>
        <v/>
      </c>
      <c r="AX734">
        <f>'02_Модель'!AX40</f>
        <v/>
      </c>
      <c r="AY734">
        <f>'02_Модель'!AY40</f>
        <v/>
      </c>
      <c r="AZ734">
        <f>'02_Модель'!AZ40</f>
        <v/>
      </c>
      <c r="BA734">
        <f>'02_Модель'!BA40</f>
        <v/>
      </c>
      <c r="BB734">
        <f>'02_Модель'!BB40</f>
        <v/>
      </c>
      <c r="BC734">
        <f>'02_Модель'!BC40</f>
        <v/>
      </c>
      <c r="BD734">
        <f>'02_Модель'!BD40</f>
        <v/>
      </c>
      <c r="BE734">
        <f>'02_Модель'!BE40</f>
        <v/>
      </c>
      <c r="BF734">
        <f>'02_Модель'!BF40</f>
        <v/>
      </c>
      <c r="BG734">
        <f>'02_Модель'!BG40</f>
        <v/>
      </c>
      <c r="BH734">
        <f>'02_Модель'!BH40</f>
        <v/>
      </c>
      <c r="BI734">
        <f>'02_Модель'!BI40</f>
        <v/>
      </c>
    </row>
    <row r="735">
      <c r="B735">
        <f>'02_Модель'!B41</f>
        <v/>
      </c>
      <c r="C735">
        <f>'02_Модель'!C41</f>
        <v/>
      </c>
      <c r="D735">
        <f>'02_Модель'!D41</f>
        <v/>
      </c>
      <c r="E735">
        <f>'02_Модель'!E41</f>
        <v/>
      </c>
      <c r="F735">
        <f>'02_Модель'!F41</f>
        <v/>
      </c>
      <c r="G735">
        <f>'02_Модель'!G41</f>
        <v/>
      </c>
      <c r="H735">
        <f>'02_Модель'!H41</f>
        <v/>
      </c>
      <c r="I735">
        <f>'02_Модель'!I41</f>
        <v/>
      </c>
      <c r="J735">
        <f>'02_Модель'!J41</f>
        <v/>
      </c>
      <c r="K735">
        <f>'02_Модель'!K41</f>
        <v/>
      </c>
      <c r="L735">
        <f>'02_Модель'!L41</f>
        <v/>
      </c>
      <c r="M735">
        <f>'02_Модель'!M41</f>
        <v/>
      </c>
      <c r="N735">
        <f>'02_Модель'!N41</f>
        <v/>
      </c>
      <c r="O735">
        <f>'02_Модель'!O41</f>
        <v/>
      </c>
      <c r="P735">
        <f>'02_Модель'!P41</f>
        <v/>
      </c>
      <c r="Q735">
        <f>'02_Модель'!Q41</f>
        <v/>
      </c>
      <c r="R735">
        <f>'02_Модель'!R41</f>
        <v/>
      </c>
      <c r="S735">
        <f>'02_Модель'!S41</f>
        <v/>
      </c>
      <c r="T735">
        <f>'02_Модель'!T41</f>
        <v/>
      </c>
      <c r="U735">
        <f>'02_Модель'!U41</f>
        <v/>
      </c>
      <c r="V735">
        <f>'02_Модель'!V41</f>
        <v/>
      </c>
      <c r="W735">
        <f>'02_Модель'!W41</f>
        <v/>
      </c>
      <c r="X735">
        <f>'02_Модель'!X41</f>
        <v/>
      </c>
      <c r="Y735">
        <f>'02_Модель'!Y41</f>
        <v/>
      </c>
      <c r="Z735">
        <f>'02_Модель'!Z41</f>
        <v/>
      </c>
      <c r="AA735">
        <f>'02_Модель'!AA41</f>
        <v/>
      </c>
      <c r="AB735">
        <f>'02_Модель'!AB41</f>
        <v/>
      </c>
      <c r="AC735">
        <f>'02_Модель'!AC41</f>
        <v/>
      </c>
      <c r="AD735">
        <f>'02_Модель'!AD41</f>
        <v/>
      </c>
      <c r="AE735">
        <f>'02_Модель'!AE41</f>
        <v/>
      </c>
      <c r="AF735">
        <f>'02_Модель'!AF41</f>
        <v/>
      </c>
      <c r="AG735">
        <f>'02_Модель'!AG41</f>
        <v/>
      </c>
      <c r="AH735">
        <f>'02_Модель'!AH41</f>
        <v/>
      </c>
      <c r="AI735">
        <f>'02_Модель'!AI41</f>
        <v/>
      </c>
      <c r="AJ735">
        <f>'02_Модель'!AJ41</f>
        <v/>
      </c>
      <c r="AK735">
        <f>'02_Модель'!AK41</f>
        <v/>
      </c>
      <c r="AL735">
        <f>'02_Модель'!AL41</f>
        <v/>
      </c>
      <c r="AM735">
        <f>'02_Модель'!AM41</f>
        <v/>
      </c>
      <c r="AN735">
        <f>'02_Модель'!AN41</f>
        <v/>
      </c>
      <c r="AO735">
        <f>'02_Модель'!AO41</f>
        <v/>
      </c>
      <c r="AP735">
        <f>'02_Модель'!AP41</f>
        <v/>
      </c>
      <c r="AQ735">
        <f>'02_Модель'!AQ41</f>
        <v/>
      </c>
      <c r="AR735">
        <f>'02_Модель'!AR41</f>
        <v/>
      </c>
      <c r="AS735">
        <f>'02_Модель'!AS41</f>
        <v/>
      </c>
      <c r="AT735">
        <f>'02_Модель'!AT41</f>
        <v/>
      </c>
      <c r="AU735">
        <f>'02_Модель'!AU41</f>
        <v/>
      </c>
      <c r="AV735">
        <f>'02_Модель'!AV41</f>
        <v/>
      </c>
      <c r="AW735">
        <f>'02_Модель'!AW41</f>
        <v/>
      </c>
      <c r="AX735">
        <f>'02_Модель'!AX41</f>
        <v/>
      </c>
      <c r="AY735">
        <f>'02_Модель'!AY41</f>
        <v/>
      </c>
      <c r="AZ735">
        <f>'02_Модель'!AZ41</f>
        <v/>
      </c>
      <c r="BA735">
        <f>'02_Модель'!BA41</f>
        <v/>
      </c>
      <c r="BB735">
        <f>'02_Модель'!BB41</f>
        <v/>
      </c>
      <c r="BC735">
        <f>'02_Модель'!BC41</f>
        <v/>
      </c>
      <c r="BD735">
        <f>'02_Модель'!BD41</f>
        <v/>
      </c>
      <c r="BE735">
        <f>'02_Модель'!BE41</f>
        <v/>
      </c>
      <c r="BF735">
        <f>'02_Модель'!BF41</f>
        <v/>
      </c>
      <c r="BG735">
        <f>'02_Модель'!BG41</f>
        <v/>
      </c>
      <c r="BH735">
        <f>'02_Модель'!BH41</f>
        <v/>
      </c>
      <c r="BI735">
        <f>'02_Модель'!BI41</f>
        <v/>
      </c>
    </row>
    <row r="736">
      <c r="B736">
        <f>'19_Расчет_аналитики'!B346</f>
        <v/>
      </c>
      <c r="C736">
        <f>'19_Расчет_аналитики'!C346</f>
        <v/>
      </c>
      <c r="D736">
        <f>'19_Расчет_аналитики'!D346</f>
        <v/>
      </c>
      <c r="E736">
        <f>'19_Расчет_аналитики'!E346</f>
        <v/>
      </c>
      <c r="F736">
        <f>'19_Расчет_аналитики'!F346</f>
        <v/>
      </c>
      <c r="G736">
        <f>'19_Расчет_аналитики'!G346</f>
        <v/>
      </c>
      <c r="H736">
        <f>'19_Расчет_аналитики'!H346</f>
        <v/>
      </c>
      <c r="I736">
        <f>'19_Расчет_аналитики'!I346</f>
        <v/>
      </c>
      <c r="J736">
        <f>'19_Расчет_аналитики'!J346</f>
        <v/>
      </c>
      <c r="K736">
        <f>'19_Расчет_аналитики'!K346</f>
        <v/>
      </c>
      <c r="L736">
        <f>'19_Расчет_аналитики'!L346</f>
        <v/>
      </c>
      <c r="M736">
        <f>'19_Расчет_аналитики'!M346</f>
        <v/>
      </c>
      <c r="N736">
        <f>'19_Расчет_аналитики'!N346</f>
        <v/>
      </c>
      <c r="O736">
        <f>'19_Расчет_аналитики'!O346</f>
        <v/>
      </c>
      <c r="P736">
        <f>'19_Расчет_аналитики'!P346</f>
        <v/>
      </c>
      <c r="Q736">
        <f>'19_Расчет_аналитики'!Q346</f>
        <v/>
      </c>
      <c r="R736">
        <f>'19_Расчет_аналитики'!R346</f>
        <v/>
      </c>
      <c r="S736">
        <f>'19_Расчет_аналитики'!S346</f>
        <v/>
      </c>
      <c r="T736">
        <f>'19_Расчет_аналитики'!T346</f>
        <v/>
      </c>
      <c r="U736">
        <f>'19_Расчет_аналитики'!U346</f>
        <v/>
      </c>
      <c r="V736">
        <f>'19_Расчет_аналитики'!V346</f>
        <v/>
      </c>
      <c r="W736">
        <f>'19_Расчет_аналитики'!W346</f>
        <v/>
      </c>
      <c r="X736">
        <f>'19_Расчет_аналитики'!X346</f>
        <v/>
      </c>
      <c r="Y736">
        <f>'19_Расчет_аналитики'!Y346</f>
        <v/>
      </c>
      <c r="Z736">
        <f>'19_Расчет_аналитики'!Z346</f>
        <v/>
      </c>
      <c r="AA736">
        <f>'19_Расчет_аналитики'!AA346</f>
        <v/>
      </c>
      <c r="AB736">
        <f>'19_Расчет_аналитики'!AB346</f>
        <v/>
      </c>
      <c r="AC736">
        <f>'19_Расчет_аналитики'!AC346</f>
        <v/>
      </c>
      <c r="AD736">
        <f>'19_Расчет_аналитики'!AD346</f>
        <v/>
      </c>
      <c r="AE736">
        <f>'19_Расчет_аналитики'!AE346</f>
        <v/>
      </c>
      <c r="AF736">
        <f>'19_Расчет_аналитики'!AF346</f>
        <v/>
      </c>
      <c r="AG736">
        <f>'19_Расчет_аналитики'!AG346</f>
        <v/>
      </c>
      <c r="AH736">
        <f>'19_Расчет_аналитики'!AH346</f>
        <v/>
      </c>
      <c r="AI736">
        <f>'19_Расчет_аналитики'!AI346</f>
        <v/>
      </c>
      <c r="AJ736">
        <f>'19_Расчет_аналитики'!AJ346</f>
        <v/>
      </c>
      <c r="AK736">
        <f>'19_Расчет_аналитики'!AK346</f>
        <v/>
      </c>
      <c r="AL736">
        <f>'19_Расчет_аналитики'!AL346</f>
        <v/>
      </c>
      <c r="AM736">
        <f>'19_Расчет_аналитики'!AM346</f>
        <v/>
      </c>
      <c r="AN736">
        <f>'19_Расчет_аналитики'!AN346</f>
        <v/>
      </c>
      <c r="AO736">
        <f>'19_Расчет_аналитики'!AO346</f>
        <v/>
      </c>
      <c r="AP736">
        <f>'19_Расчет_аналитики'!AP346</f>
        <v/>
      </c>
      <c r="AQ736">
        <f>'19_Расчет_аналитики'!AQ346</f>
        <v/>
      </c>
      <c r="AR736">
        <f>'19_Расчет_аналитики'!AR346</f>
        <v/>
      </c>
      <c r="AS736">
        <f>'19_Расчет_аналитики'!AS346</f>
        <v/>
      </c>
      <c r="AT736">
        <f>'19_Расчет_аналитики'!AT346</f>
        <v/>
      </c>
      <c r="AU736">
        <f>'19_Расчет_аналитики'!AU346</f>
        <v/>
      </c>
      <c r="AV736">
        <f>'19_Расчет_аналитики'!AV346</f>
        <v/>
      </c>
      <c r="AW736">
        <f>'19_Расчет_аналитики'!AW346</f>
        <v/>
      </c>
      <c r="AX736">
        <f>'19_Расчет_аналитики'!AX346</f>
        <v/>
      </c>
      <c r="AY736">
        <f>'19_Расчет_аналитики'!AY346</f>
        <v/>
      </c>
      <c r="AZ736">
        <f>'19_Расчет_аналитики'!AZ346</f>
        <v/>
      </c>
      <c r="BA736">
        <f>'19_Расчет_аналитики'!BA346</f>
        <v/>
      </c>
      <c r="BB736">
        <f>'19_Расчет_аналитики'!BB346</f>
        <v/>
      </c>
      <c r="BC736">
        <f>'19_Расчет_аналитики'!BC346</f>
        <v/>
      </c>
      <c r="BD736">
        <f>'19_Расчет_аналитики'!BD346</f>
        <v/>
      </c>
      <c r="BE736">
        <f>'19_Расчет_аналитики'!BE346</f>
        <v/>
      </c>
      <c r="BF736">
        <f>'19_Расчет_аналитики'!BF346</f>
        <v/>
      </c>
      <c r="BG736">
        <f>'19_Расчет_аналитики'!BG346</f>
        <v/>
      </c>
      <c r="BH736">
        <f>'19_Расчет_аналитики'!BH346</f>
        <v/>
      </c>
      <c r="BI736">
        <f>'19_Расчет_аналитики'!BI346</f>
        <v/>
      </c>
    </row>
    <row r="737">
      <c r="B737">
        <f>SUM('19_Расчет_аналитики'!B730:B736)</f>
        <v/>
      </c>
      <c r="C737">
        <f>SUM('19_Расчет_аналитики'!C730:C736)</f>
        <v/>
      </c>
      <c r="D737">
        <f>SUM('19_Расчет_аналитики'!D730:D736)</f>
        <v/>
      </c>
      <c r="E737">
        <f>SUM('19_Расчет_аналитики'!E730:E736)</f>
        <v/>
      </c>
      <c r="F737">
        <f>SUM('19_Расчет_аналитики'!F730:F736)</f>
        <v/>
      </c>
      <c r="G737">
        <f>SUM('19_Расчет_аналитики'!G730:G736)</f>
        <v/>
      </c>
      <c r="H737">
        <f>SUM('19_Расчет_аналитики'!H730:H736)</f>
        <v/>
      </c>
      <c r="I737">
        <f>SUM('19_Расчет_аналитики'!I730:I736)</f>
        <v/>
      </c>
      <c r="J737">
        <f>SUM('19_Расчет_аналитики'!J730:J736)</f>
        <v/>
      </c>
      <c r="K737">
        <f>SUM('19_Расчет_аналитики'!K730:K736)</f>
        <v/>
      </c>
      <c r="L737">
        <f>SUM('19_Расчет_аналитики'!L730:L736)</f>
        <v/>
      </c>
      <c r="M737">
        <f>SUM('19_Расчет_аналитики'!M730:M736)</f>
        <v/>
      </c>
      <c r="N737">
        <f>SUM('19_Расчет_аналитики'!N730:N736)</f>
        <v/>
      </c>
      <c r="O737">
        <f>SUM('19_Расчет_аналитики'!O730:O736)</f>
        <v/>
      </c>
      <c r="P737">
        <f>SUM('19_Расчет_аналитики'!P730:P736)</f>
        <v/>
      </c>
      <c r="Q737">
        <f>SUM('19_Расчет_аналитики'!Q730:Q736)</f>
        <v/>
      </c>
      <c r="R737">
        <f>SUM('19_Расчет_аналитики'!R730:R736)</f>
        <v/>
      </c>
      <c r="S737">
        <f>SUM('19_Расчет_аналитики'!S730:S736)</f>
        <v/>
      </c>
      <c r="T737">
        <f>SUM('19_Расчет_аналитики'!T730:T736)</f>
        <v/>
      </c>
      <c r="U737">
        <f>SUM('19_Расчет_аналитики'!U730:U736)</f>
        <v/>
      </c>
      <c r="V737">
        <f>SUM('19_Расчет_аналитики'!V730:V736)</f>
        <v/>
      </c>
      <c r="W737">
        <f>SUM('19_Расчет_аналитики'!W730:W736)</f>
        <v/>
      </c>
      <c r="X737">
        <f>SUM('19_Расчет_аналитики'!X730:X736)</f>
        <v/>
      </c>
      <c r="Y737">
        <f>SUM('19_Расчет_аналитики'!Y730:Y736)</f>
        <v/>
      </c>
      <c r="Z737">
        <f>SUM('19_Расчет_аналитики'!Z730:Z736)</f>
        <v/>
      </c>
      <c r="AA737">
        <f>SUM('19_Расчет_аналитики'!AA730:AA736)</f>
        <v/>
      </c>
      <c r="AB737">
        <f>SUM('19_Расчет_аналитики'!AB730:AB736)</f>
        <v/>
      </c>
      <c r="AC737">
        <f>SUM('19_Расчет_аналитики'!AC730:AC736)</f>
        <v/>
      </c>
      <c r="AD737">
        <f>SUM('19_Расчет_аналитики'!AD730:AD736)</f>
        <v/>
      </c>
      <c r="AE737">
        <f>SUM('19_Расчет_аналитики'!AE730:AE736)</f>
        <v/>
      </c>
      <c r="AF737">
        <f>SUM('19_Расчет_аналитики'!AF730:AF736)</f>
        <v/>
      </c>
      <c r="AG737">
        <f>SUM('19_Расчет_аналитики'!AG730:AG736)</f>
        <v/>
      </c>
      <c r="AH737">
        <f>SUM('19_Расчет_аналитики'!AH730:AH736)</f>
        <v/>
      </c>
      <c r="AI737">
        <f>SUM('19_Расчет_аналитики'!AI730:AI736)</f>
        <v/>
      </c>
      <c r="AJ737">
        <f>SUM('19_Расчет_аналитики'!AJ730:AJ736)</f>
        <v/>
      </c>
      <c r="AK737">
        <f>SUM('19_Расчет_аналитики'!AK730:AK736)</f>
        <v/>
      </c>
      <c r="AL737">
        <f>SUM('19_Расчет_аналитики'!AL730:AL736)</f>
        <v/>
      </c>
      <c r="AM737">
        <f>SUM('19_Расчет_аналитики'!AM730:AM736)</f>
        <v/>
      </c>
      <c r="AN737">
        <f>SUM('19_Расчет_аналитики'!AN730:AN736)</f>
        <v/>
      </c>
      <c r="AO737">
        <f>SUM('19_Расчет_аналитики'!AO730:AO736)</f>
        <v/>
      </c>
      <c r="AP737">
        <f>SUM('19_Расчет_аналитики'!AP730:AP736)</f>
        <v/>
      </c>
      <c r="AQ737">
        <f>SUM('19_Расчет_аналитики'!AQ730:AQ736)</f>
        <v/>
      </c>
      <c r="AR737">
        <f>SUM('19_Расчет_аналитики'!AR730:AR736)</f>
        <v/>
      </c>
      <c r="AS737">
        <f>SUM('19_Расчет_аналитики'!AS730:AS736)</f>
        <v/>
      </c>
      <c r="AT737">
        <f>SUM('19_Расчет_аналитики'!AT730:AT736)</f>
        <v/>
      </c>
      <c r="AU737">
        <f>SUM('19_Расчет_аналитики'!AU730:AU736)</f>
        <v/>
      </c>
      <c r="AV737">
        <f>SUM('19_Расчет_аналитики'!AV730:AV736)</f>
        <v/>
      </c>
      <c r="AW737">
        <f>SUM('19_Расчет_аналитики'!AW730:AW736)</f>
        <v/>
      </c>
      <c r="AX737">
        <f>SUM('19_Расчет_аналитики'!AX730:AX736)</f>
        <v/>
      </c>
      <c r="AY737">
        <f>SUM('19_Расчет_аналитики'!AY730:AY736)</f>
        <v/>
      </c>
      <c r="AZ737">
        <f>SUM('19_Расчет_аналитики'!AZ730:AZ736)</f>
        <v/>
      </c>
      <c r="BA737">
        <f>SUM('19_Расчет_аналитики'!BA730:BA736)</f>
        <v/>
      </c>
      <c r="BB737">
        <f>SUM('19_Расчет_аналитики'!BB730:BB736)</f>
        <v/>
      </c>
      <c r="BC737">
        <f>SUM('19_Расчет_аналитики'!BC730:BC736)</f>
        <v/>
      </c>
      <c r="BD737">
        <f>SUM('19_Расчет_аналитики'!BD730:BD736)</f>
        <v/>
      </c>
      <c r="BE737">
        <f>SUM('19_Расчет_аналитики'!BE730:BE736)</f>
        <v/>
      </c>
      <c r="BF737">
        <f>SUM('19_Расчет_аналитики'!BF730:BF736)</f>
        <v/>
      </c>
      <c r="BG737">
        <f>SUM('19_Расчет_аналитики'!BG730:BG736)</f>
        <v/>
      </c>
      <c r="BH737">
        <f>SUM('19_Расчет_аналитики'!BH730:BH736)</f>
        <v/>
      </c>
      <c r="BI737">
        <f>SUM('19_Расчет_аналитики'!BI730:BI736)</f>
        <v/>
      </c>
    </row>
    <row r="738">
      <c r="B738">
        <f>'19_Расчет_аналитики'!B727-'19_Расчет_аналитики'!B737</f>
        <v/>
      </c>
      <c r="C738">
        <f>'19_Расчет_аналитики'!C727-'19_Расчет_аналитики'!C737</f>
        <v/>
      </c>
      <c r="D738">
        <f>'19_Расчет_аналитики'!D727-'19_Расчет_аналитики'!D737</f>
        <v/>
      </c>
      <c r="E738">
        <f>'19_Расчет_аналитики'!E727-'19_Расчет_аналитики'!E737</f>
        <v/>
      </c>
      <c r="F738">
        <f>'19_Расчет_аналитики'!F727-'19_Расчет_аналитики'!F737</f>
        <v/>
      </c>
      <c r="G738">
        <f>'19_Расчет_аналитики'!G727-'19_Расчет_аналитики'!G737</f>
        <v/>
      </c>
      <c r="H738">
        <f>'19_Расчет_аналитики'!H727-'19_Расчет_аналитики'!H737</f>
        <v/>
      </c>
      <c r="I738">
        <f>'19_Расчет_аналитики'!I727-'19_Расчет_аналитики'!I737</f>
        <v/>
      </c>
      <c r="J738">
        <f>'19_Расчет_аналитики'!J727-'19_Расчет_аналитики'!J737</f>
        <v/>
      </c>
      <c r="K738">
        <f>'19_Расчет_аналитики'!K727-'19_Расчет_аналитики'!K737</f>
        <v/>
      </c>
      <c r="L738">
        <f>'19_Расчет_аналитики'!L727-'19_Расчет_аналитики'!L737</f>
        <v/>
      </c>
      <c r="M738">
        <f>'19_Расчет_аналитики'!M727-'19_Расчет_аналитики'!M737</f>
        <v/>
      </c>
      <c r="N738">
        <f>'19_Расчет_аналитики'!N727-'19_Расчет_аналитики'!N737</f>
        <v/>
      </c>
      <c r="O738">
        <f>'19_Расчет_аналитики'!O727-'19_Расчет_аналитики'!O737</f>
        <v/>
      </c>
      <c r="P738">
        <f>'19_Расчет_аналитики'!P727-'19_Расчет_аналитики'!P737</f>
        <v/>
      </c>
      <c r="Q738">
        <f>'19_Расчет_аналитики'!Q727-'19_Расчет_аналитики'!Q737</f>
        <v/>
      </c>
      <c r="R738">
        <f>'19_Расчет_аналитики'!R727-'19_Расчет_аналитики'!R737</f>
        <v/>
      </c>
      <c r="S738">
        <f>'19_Расчет_аналитики'!S727-'19_Расчет_аналитики'!S737</f>
        <v/>
      </c>
      <c r="T738">
        <f>'19_Расчет_аналитики'!T727-'19_Расчет_аналитики'!T737</f>
        <v/>
      </c>
      <c r="U738">
        <f>'19_Расчет_аналитики'!U727-'19_Расчет_аналитики'!U737</f>
        <v/>
      </c>
      <c r="V738">
        <f>'19_Расчет_аналитики'!V727-'19_Расчет_аналитики'!V737</f>
        <v/>
      </c>
      <c r="W738">
        <f>'19_Расчет_аналитики'!W727-'19_Расчет_аналитики'!W737</f>
        <v/>
      </c>
      <c r="X738">
        <f>'19_Расчет_аналитики'!X727-'19_Расчет_аналитики'!X737</f>
        <v/>
      </c>
      <c r="Y738">
        <f>'19_Расчет_аналитики'!Y727-'19_Расчет_аналитики'!Y737</f>
        <v/>
      </c>
      <c r="Z738">
        <f>'19_Расчет_аналитики'!Z727-'19_Расчет_аналитики'!Z737</f>
        <v/>
      </c>
      <c r="AA738">
        <f>'19_Расчет_аналитики'!AA727-'19_Расчет_аналитики'!AA737</f>
        <v/>
      </c>
      <c r="AB738">
        <f>'19_Расчет_аналитики'!AB727-'19_Расчет_аналитики'!AB737</f>
        <v/>
      </c>
      <c r="AC738">
        <f>'19_Расчет_аналитики'!AC727-'19_Расчет_аналитики'!AC737</f>
        <v/>
      </c>
      <c r="AD738">
        <f>'19_Расчет_аналитики'!AD727-'19_Расчет_аналитики'!AD737</f>
        <v/>
      </c>
      <c r="AE738">
        <f>'19_Расчет_аналитики'!AE727-'19_Расчет_аналитики'!AE737</f>
        <v/>
      </c>
      <c r="AF738">
        <f>'19_Расчет_аналитики'!AF727-'19_Расчет_аналитики'!AF737</f>
        <v/>
      </c>
      <c r="AG738">
        <f>'19_Расчет_аналитики'!AG727-'19_Расчет_аналитики'!AG737</f>
        <v/>
      </c>
      <c r="AH738">
        <f>'19_Расчет_аналитики'!AH727-'19_Расчет_аналитики'!AH737</f>
        <v/>
      </c>
      <c r="AI738">
        <f>'19_Расчет_аналитики'!AI727-'19_Расчет_аналитики'!AI737</f>
        <v/>
      </c>
      <c r="AJ738">
        <f>'19_Расчет_аналитики'!AJ727-'19_Расчет_аналитики'!AJ737</f>
        <v/>
      </c>
      <c r="AK738">
        <f>'19_Расчет_аналитики'!AK727-'19_Расчет_аналитики'!AK737</f>
        <v/>
      </c>
      <c r="AL738">
        <f>'19_Расчет_аналитики'!AL727-'19_Расчет_аналитики'!AL737</f>
        <v/>
      </c>
      <c r="AM738">
        <f>'19_Расчет_аналитики'!AM727-'19_Расчет_аналитики'!AM737</f>
        <v/>
      </c>
      <c r="AN738">
        <f>'19_Расчет_аналитики'!AN727-'19_Расчет_аналитики'!AN737</f>
        <v/>
      </c>
      <c r="AO738">
        <f>'19_Расчет_аналитики'!AO727-'19_Расчет_аналитики'!AO737</f>
        <v/>
      </c>
      <c r="AP738">
        <f>'19_Расчет_аналитики'!AP727-'19_Расчет_аналитики'!AP737</f>
        <v/>
      </c>
      <c r="AQ738">
        <f>'19_Расчет_аналитики'!AQ727-'19_Расчет_аналитики'!AQ737</f>
        <v/>
      </c>
      <c r="AR738">
        <f>'19_Расчет_аналитики'!AR727-'19_Расчет_аналитики'!AR737</f>
        <v/>
      </c>
      <c r="AS738">
        <f>'19_Расчет_аналитики'!AS727-'19_Расчет_аналитики'!AS737</f>
        <v/>
      </c>
      <c r="AT738">
        <f>'19_Расчет_аналитики'!AT727-'19_Расчет_аналитики'!AT737</f>
        <v/>
      </c>
      <c r="AU738">
        <f>'19_Расчет_аналитики'!AU727-'19_Расчет_аналитики'!AU737</f>
        <v/>
      </c>
      <c r="AV738">
        <f>'19_Расчет_аналитики'!AV727-'19_Расчет_аналитики'!AV737</f>
        <v/>
      </c>
      <c r="AW738">
        <f>'19_Расчет_аналитики'!AW727-'19_Расчет_аналитики'!AW737</f>
        <v/>
      </c>
      <c r="AX738">
        <f>'19_Расчет_аналитики'!AX727-'19_Расчет_аналитики'!AX737</f>
        <v/>
      </c>
      <c r="AY738">
        <f>'19_Расчет_аналитики'!AY727-'19_Расчет_аналитики'!AY737</f>
        <v/>
      </c>
      <c r="AZ738">
        <f>'19_Расчет_аналитики'!AZ727-'19_Расчет_аналитики'!AZ737</f>
        <v/>
      </c>
      <c r="BA738">
        <f>'19_Расчет_аналитики'!BA727-'19_Расчет_аналитики'!BA737</f>
        <v/>
      </c>
      <c r="BB738">
        <f>'19_Расчет_аналитики'!BB727-'19_Расчет_аналитики'!BB737</f>
        <v/>
      </c>
      <c r="BC738">
        <f>'19_Расчет_аналитики'!BC727-'19_Расчет_аналитики'!BC737</f>
        <v/>
      </c>
      <c r="BD738">
        <f>'19_Расчет_аналитики'!BD727-'19_Расчет_аналитики'!BD737</f>
        <v/>
      </c>
      <c r="BE738">
        <f>'19_Расчет_аналитики'!BE727-'19_Расчет_аналитики'!BE737</f>
        <v/>
      </c>
      <c r="BF738">
        <f>'19_Расчет_аналитики'!BF727-'19_Расчет_аналитики'!BF737</f>
        <v/>
      </c>
      <c r="BG738">
        <f>'19_Расчет_аналитики'!BG727-'19_Расчет_аналитики'!BG737</f>
        <v/>
      </c>
      <c r="BH738">
        <f>'19_Расчет_аналитики'!BH727-'19_Расчет_аналитики'!BH737</f>
        <v/>
      </c>
      <c r="BI738">
        <f>'19_Расчет_аналитики'!BI727-'19_Расчет_аналитики'!BI737</f>
        <v/>
      </c>
    </row>
    <row r="739">
      <c r="B739">
        <f>IF('19_Расчет_аналитики'!B717=0,0,'19_Расчет_аналитики'!B738/'19_Расчет_аналитики'!B717)</f>
        <v/>
      </c>
      <c r="C739">
        <f>IF('19_Расчет_аналитики'!C717=0,0,'19_Расчет_аналитики'!C738/'19_Расчет_аналитики'!C717)</f>
        <v/>
      </c>
      <c r="D739">
        <f>IF('19_Расчет_аналитики'!D717=0,0,'19_Расчет_аналитики'!D738/'19_Расчет_аналитики'!D717)</f>
        <v/>
      </c>
      <c r="E739">
        <f>IF('19_Расчет_аналитики'!E717=0,0,'19_Расчет_аналитики'!E738/'19_Расчет_аналитики'!E717)</f>
        <v/>
      </c>
      <c r="F739">
        <f>IF('19_Расчет_аналитики'!F717=0,0,'19_Расчет_аналитики'!F738/'19_Расчет_аналитики'!F717)</f>
        <v/>
      </c>
      <c r="G739">
        <f>IF('19_Расчет_аналитики'!G717=0,0,'19_Расчет_аналитики'!G738/'19_Расчет_аналитики'!G717)</f>
        <v/>
      </c>
      <c r="H739">
        <f>IF('19_Расчет_аналитики'!H717=0,0,'19_Расчет_аналитики'!H738/'19_Расчет_аналитики'!H717)</f>
        <v/>
      </c>
      <c r="I739">
        <f>IF('19_Расчет_аналитики'!I717=0,0,'19_Расчет_аналитики'!I738/'19_Расчет_аналитики'!I717)</f>
        <v/>
      </c>
      <c r="J739">
        <f>IF('19_Расчет_аналитики'!J717=0,0,'19_Расчет_аналитики'!J738/'19_Расчет_аналитики'!J717)</f>
        <v/>
      </c>
      <c r="K739">
        <f>IF('19_Расчет_аналитики'!K717=0,0,'19_Расчет_аналитики'!K738/'19_Расчет_аналитики'!K717)</f>
        <v/>
      </c>
      <c r="L739">
        <f>IF('19_Расчет_аналитики'!L717=0,0,'19_Расчет_аналитики'!L738/'19_Расчет_аналитики'!L717)</f>
        <v/>
      </c>
      <c r="M739">
        <f>IF('19_Расчет_аналитики'!M717=0,0,'19_Расчет_аналитики'!M738/'19_Расчет_аналитики'!M717)</f>
        <v/>
      </c>
      <c r="N739">
        <f>IF('19_Расчет_аналитики'!N717=0,0,'19_Расчет_аналитики'!N738/'19_Расчет_аналитики'!N717)</f>
        <v/>
      </c>
      <c r="O739">
        <f>IF('19_Расчет_аналитики'!O717=0,0,'19_Расчет_аналитики'!O738/'19_Расчет_аналитики'!O717)</f>
        <v/>
      </c>
      <c r="P739">
        <f>IF('19_Расчет_аналитики'!P717=0,0,'19_Расчет_аналитики'!P738/'19_Расчет_аналитики'!P717)</f>
        <v/>
      </c>
      <c r="Q739">
        <f>IF('19_Расчет_аналитики'!Q717=0,0,'19_Расчет_аналитики'!Q738/'19_Расчет_аналитики'!Q717)</f>
        <v/>
      </c>
      <c r="R739">
        <f>IF('19_Расчет_аналитики'!R717=0,0,'19_Расчет_аналитики'!R738/'19_Расчет_аналитики'!R717)</f>
        <v/>
      </c>
      <c r="S739">
        <f>IF('19_Расчет_аналитики'!S717=0,0,'19_Расчет_аналитики'!S738/'19_Расчет_аналитики'!S717)</f>
        <v/>
      </c>
      <c r="T739">
        <f>IF('19_Расчет_аналитики'!T717=0,0,'19_Расчет_аналитики'!T738/'19_Расчет_аналитики'!T717)</f>
        <v/>
      </c>
      <c r="U739">
        <f>IF('19_Расчет_аналитики'!U717=0,0,'19_Расчет_аналитики'!U738/'19_Расчет_аналитики'!U717)</f>
        <v/>
      </c>
      <c r="V739">
        <f>IF('19_Расчет_аналитики'!V717=0,0,'19_Расчет_аналитики'!V738/'19_Расчет_аналитики'!V717)</f>
        <v/>
      </c>
      <c r="W739">
        <f>IF('19_Расчет_аналитики'!W717=0,0,'19_Расчет_аналитики'!W738/'19_Расчет_аналитики'!W717)</f>
        <v/>
      </c>
      <c r="X739">
        <f>IF('19_Расчет_аналитики'!X717=0,0,'19_Расчет_аналитики'!X738/'19_Расчет_аналитики'!X717)</f>
        <v/>
      </c>
      <c r="Y739">
        <f>IF('19_Расчет_аналитики'!Y717=0,0,'19_Расчет_аналитики'!Y738/'19_Расчет_аналитики'!Y717)</f>
        <v/>
      </c>
      <c r="Z739">
        <f>IF('19_Расчет_аналитики'!Z717=0,0,'19_Расчет_аналитики'!Z738/'19_Расчет_аналитики'!Z717)</f>
        <v/>
      </c>
      <c r="AA739">
        <f>IF('19_Расчет_аналитики'!AA717=0,0,'19_Расчет_аналитики'!AA738/'19_Расчет_аналитики'!AA717)</f>
        <v/>
      </c>
      <c r="AB739">
        <f>IF('19_Расчет_аналитики'!AB717=0,0,'19_Расчет_аналитики'!AB738/'19_Расчет_аналитики'!AB717)</f>
        <v/>
      </c>
      <c r="AC739">
        <f>IF('19_Расчет_аналитики'!AC717=0,0,'19_Расчет_аналитики'!AC738/'19_Расчет_аналитики'!AC717)</f>
        <v/>
      </c>
      <c r="AD739">
        <f>IF('19_Расчет_аналитики'!AD717=0,0,'19_Расчет_аналитики'!AD738/'19_Расчет_аналитики'!AD717)</f>
        <v/>
      </c>
      <c r="AE739">
        <f>IF('19_Расчет_аналитики'!AE717=0,0,'19_Расчет_аналитики'!AE738/'19_Расчет_аналитики'!AE717)</f>
        <v/>
      </c>
      <c r="AF739">
        <f>IF('19_Расчет_аналитики'!AF717=0,0,'19_Расчет_аналитики'!AF738/'19_Расчет_аналитики'!AF717)</f>
        <v/>
      </c>
      <c r="AG739">
        <f>IF('19_Расчет_аналитики'!AG717=0,0,'19_Расчет_аналитики'!AG738/'19_Расчет_аналитики'!AG717)</f>
        <v/>
      </c>
      <c r="AH739">
        <f>IF('19_Расчет_аналитики'!AH717=0,0,'19_Расчет_аналитики'!AH738/'19_Расчет_аналитики'!AH717)</f>
        <v/>
      </c>
      <c r="AI739">
        <f>IF('19_Расчет_аналитики'!AI717=0,0,'19_Расчет_аналитики'!AI738/'19_Расчет_аналитики'!AI717)</f>
        <v/>
      </c>
      <c r="AJ739">
        <f>IF('19_Расчет_аналитики'!AJ717=0,0,'19_Расчет_аналитики'!AJ738/'19_Расчет_аналитики'!AJ717)</f>
        <v/>
      </c>
      <c r="AK739">
        <f>IF('19_Расчет_аналитики'!AK717=0,0,'19_Расчет_аналитики'!AK738/'19_Расчет_аналитики'!AK717)</f>
        <v/>
      </c>
      <c r="AL739">
        <f>IF('19_Расчет_аналитики'!AL717=0,0,'19_Расчет_аналитики'!AL738/'19_Расчет_аналитики'!AL717)</f>
        <v/>
      </c>
      <c r="AM739">
        <f>IF('19_Расчет_аналитики'!AM717=0,0,'19_Расчет_аналитики'!AM738/'19_Расчет_аналитики'!AM717)</f>
        <v/>
      </c>
      <c r="AN739">
        <f>IF('19_Расчет_аналитики'!AN717=0,0,'19_Расчет_аналитики'!AN738/'19_Расчет_аналитики'!AN717)</f>
        <v/>
      </c>
      <c r="AO739">
        <f>IF('19_Расчет_аналитики'!AO717=0,0,'19_Расчет_аналитики'!AO738/'19_Расчет_аналитики'!AO717)</f>
        <v/>
      </c>
      <c r="AP739">
        <f>IF('19_Расчет_аналитики'!AP717=0,0,'19_Расчет_аналитики'!AP738/'19_Расчет_аналитики'!AP717)</f>
        <v/>
      </c>
      <c r="AQ739">
        <f>IF('19_Расчет_аналитики'!AQ717=0,0,'19_Расчет_аналитики'!AQ738/'19_Расчет_аналитики'!AQ717)</f>
        <v/>
      </c>
      <c r="AR739">
        <f>IF('19_Расчет_аналитики'!AR717=0,0,'19_Расчет_аналитики'!AR738/'19_Расчет_аналитики'!AR717)</f>
        <v/>
      </c>
      <c r="AS739">
        <f>IF('19_Расчет_аналитики'!AS717=0,0,'19_Расчет_аналитики'!AS738/'19_Расчет_аналитики'!AS717)</f>
        <v/>
      </c>
      <c r="AT739">
        <f>IF('19_Расчет_аналитики'!AT717=0,0,'19_Расчет_аналитики'!AT738/'19_Расчет_аналитики'!AT717)</f>
        <v/>
      </c>
      <c r="AU739">
        <f>IF('19_Расчет_аналитики'!AU717=0,0,'19_Расчет_аналитики'!AU738/'19_Расчет_аналитики'!AU717)</f>
        <v/>
      </c>
      <c r="AV739">
        <f>IF('19_Расчет_аналитики'!AV717=0,0,'19_Расчет_аналитики'!AV738/'19_Расчет_аналитики'!AV717)</f>
        <v/>
      </c>
      <c r="AW739">
        <f>IF('19_Расчет_аналитики'!AW717=0,0,'19_Расчет_аналитики'!AW738/'19_Расчет_аналитики'!AW717)</f>
        <v/>
      </c>
      <c r="AX739">
        <f>IF('19_Расчет_аналитики'!AX717=0,0,'19_Расчет_аналитики'!AX738/'19_Расчет_аналитики'!AX717)</f>
        <v/>
      </c>
      <c r="AY739">
        <f>IF('19_Расчет_аналитики'!AY717=0,0,'19_Расчет_аналитики'!AY738/'19_Расчет_аналитики'!AY717)</f>
        <v/>
      </c>
      <c r="AZ739">
        <f>IF('19_Расчет_аналитики'!AZ717=0,0,'19_Расчет_аналитики'!AZ738/'19_Расчет_аналитики'!AZ717)</f>
        <v/>
      </c>
      <c r="BA739">
        <f>IF('19_Расчет_аналитики'!BA717=0,0,'19_Расчет_аналитики'!BA738/'19_Расчет_аналитики'!BA717)</f>
        <v/>
      </c>
      <c r="BB739">
        <f>IF('19_Расчет_аналитики'!BB717=0,0,'19_Расчет_аналитики'!BB738/'19_Расчет_аналитики'!BB717)</f>
        <v/>
      </c>
      <c r="BC739">
        <f>IF('19_Расчет_аналитики'!BC717=0,0,'19_Расчет_аналитики'!BC738/'19_Расчет_аналитики'!BC717)</f>
        <v/>
      </c>
      <c r="BD739">
        <f>IF('19_Расчет_аналитики'!BD717=0,0,'19_Расчет_аналитики'!BD738/'19_Расчет_аналитики'!BD717)</f>
        <v/>
      </c>
      <c r="BE739">
        <f>IF('19_Расчет_аналитики'!BE717=0,0,'19_Расчет_аналитики'!BE738/'19_Расчет_аналитики'!BE717)</f>
        <v/>
      </c>
      <c r="BF739">
        <f>IF('19_Расчет_аналитики'!BF717=0,0,'19_Расчет_аналитики'!BF738/'19_Расчет_аналитики'!BF717)</f>
        <v/>
      </c>
      <c r="BG739">
        <f>IF('19_Расчет_аналитики'!BG717=0,0,'19_Расчет_аналитики'!BG738/'19_Расчет_аналитики'!BG717)</f>
        <v/>
      </c>
      <c r="BH739">
        <f>IF('19_Расчет_аналитики'!BH717=0,0,'19_Расчет_аналитики'!BH738/'19_Расчет_аналитики'!BH717)</f>
        <v/>
      </c>
      <c r="BI739">
        <f>IF('19_Расчет_аналитики'!BI717=0,0,'19_Расчет_аналитики'!BI738/'19_Расчет_аналитики'!BI717)</f>
        <v/>
      </c>
    </row>
    <row r="740">
      <c r="B740">
        <f>MAX('01_Вводные'!$B$157*'19_Расчет_аналитики'!B717,'01_Вводные'!$B$156*MAX(0,'19_Расчет_аналитики'!B738))</f>
        <v/>
      </c>
      <c r="C740">
        <f>MAX('01_Вводные'!$B$157*'19_Расчет_аналитики'!C717,'01_Вводные'!$B$156*MAX(0,'19_Расчет_аналитики'!C738))</f>
        <v/>
      </c>
      <c r="D740">
        <f>MAX('01_Вводные'!$B$157*'19_Расчет_аналитики'!D717,'01_Вводные'!$B$156*MAX(0,'19_Расчет_аналитики'!D738))</f>
        <v/>
      </c>
      <c r="E740">
        <f>MAX('01_Вводные'!$B$157*'19_Расчет_аналитики'!E717,'01_Вводные'!$B$156*MAX(0,'19_Расчет_аналитики'!E738))</f>
        <v/>
      </c>
      <c r="F740">
        <f>MAX('01_Вводные'!$B$157*'19_Расчет_аналитики'!F717,'01_Вводные'!$B$156*MAX(0,'19_Расчет_аналитики'!F738))</f>
        <v/>
      </c>
      <c r="G740">
        <f>MAX('01_Вводные'!$B$157*'19_Расчет_аналитики'!G717,'01_Вводные'!$B$156*MAX(0,'19_Расчет_аналитики'!G738))</f>
        <v/>
      </c>
      <c r="H740">
        <f>MAX('01_Вводные'!$B$157*'19_Расчет_аналитики'!H717,'01_Вводные'!$B$156*MAX(0,'19_Расчет_аналитики'!H738))</f>
        <v/>
      </c>
      <c r="I740">
        <f>MAX('01_Вводные'!$B$157*'19_Расчет_аналитики'!I717,'01_Вводные'!$B$156*MAX(0,'19_Расчет_аналитики'!I738))</f>
        <v/>
      </c>
      <c r="J740">
        <f>MAX('01_Вводные'!$B$157*'19_Расчет_аналитики'!J717,'01_Вводные'!$B$156*MAX(0,'19_Расчет_аналитики'!J738))</f>
        <v/>
      </c>
      <c r="K740">
        <f>MAX('01_Вводные'!$B$157*'19_Расчет_аналитики'!K717,'01_Вводные'!$B$156*MAX(0,'19_Расчет_аналитики'!K738))</f>
        <v/>
      </c>
      <c r="L740">
        <f>MAX('01_Вводные'!$B$157*'19_Расчет_аналитики'!L717,'01_Вводные'!$B$156*MAX(0,'19_Расчет_аналитики'!L738))</f>
        <v/>
      </c>
      <c r="M740">
        <f>MAX('01_Вводные'!$B$157*'19_Расчет_аналитики'!M717,'01_Вводные'!$B$156*MAX(0,'19_Расчет_аналитики'!M738))</f>
        <v/>
      </c>
      <c r="N740">
        <f>MAX('01_Вводные'!$B$157*'19_Расчет_аналитики'!N717,'01_Вводные'!$B$156*MAX(0,'19_Расчет_аналитики'!N738))</f>
        <v/>
      </c>
      <c r="O740">
        <f>MAX('01_Вводные'!$B$157*'19_Расчет_аналитики'!O717,'01_Вводные'!$B$156*MAX(0,'19_Расчет_аналитики'!O738))</f>
        <v/>
      </c>
      <c r="P740">
        <f>MAX('01_Вводные'!$B$157*'19_Расчет_аналитики'!P717,'01_Вводные'!$B$156*MAX(0,'19_Расчет_аналитики'!P738))</f>
        <v/>
      </c>
      <c r="Q740">
        <f>MAX('01_Вводные'!$B$157*'19_Расчет_аналитики'!Q717,'01_Вводные'!$B$156*MAX(0,'19_Расчет_аналитики'!Q738))</f>
        <v/>
      </c>
      <c r="R740">
        <f>MAX('01_Вводные'!$B$157*'19_Расчет_аналитики'!R717,'01_Вводные'!$B$156*MAX(0,'19_Расчет_аналитики'!R738))</f>
        <v/>
      </c>
      <c r="S740">
        <f>MAX('01_Вводные'!$B$157*'19_Расчет_аналитики'!S717,'01_Вводные'!$B$156*MAX(0,'19_Расчет_аналитики'!S738))</f>
        <v/>
      </c>
      <c r="T740">
        <f>MAX('01_Вводные'!$B$157*'19_Расчет_аналитики'!T717,'01_Вводные'!$B$156*MAX(0,'19_Расчет_аналитики'!T738))</f>
        <v/>
      </c>
      <c r="U740">
        <f>MAX('01_Вводные'!$B$157*'19_Расчет_аналитики'!U717,'01_Вводные'!$B$156*MAX(0,'19_Расчет_аналитики'!U738))</f>
        <v/>
      </c>
      <c r="V740">
        <f>MAX('01_Вводные'!$B$157*'19_Расчет_аналитики'!V717,'01_Вводные'!$B$156*MAX(0,'19_Расчет_аналитики'!V738))</f>
        <v/>
      </c>
      <c r="W740">
        <f>MAX('01_Вводные'!$B$157*'19_Расчет_аналитики'!W717,'01_Вводные'!$B$156*MAX(0,'19_Расчет_аналитики'!W738))</f>
        <v/>
      </c>
      <c r="X740">
        <f>MAX('01_Вводные'!$B$157*'19_Расчет_аналитики'!X717,'01_Вводные'!$B$156*MAX(0,'19_Расчет_аналитики'!X738))</f>
        <v/>
      </c>
      <c r="Y740">
        <f>MAX('01_Вводные'!$B$157*'19_Расчет_аналитики'!Y717,'01_Вводные'!$B$156*MAX(0,'19_Расчет_аналитики'!Y738))</f>
        <v/>
      </c>
      <c r="Z740">
        <f>MAX('01_Вводные'!$B$157*'19_Расчет_аналитики'!Z717,'01_Вводные'!$B$156*MAX(0,'19_Расчет_аналитики'!Z738))</f>
        <v/>
      </c>
      <c r="AA740">
        <f>MAX('01_Вводные'!$B$157*'19_Расчет_аналитики'!AA717,'01_Вводные'!$B$156*MAX(0,'19_Расчет_аналитики'!AA738))</f>
        <v/>
      </c>
      <c r="AB740">
        <f>MAX('01_Вводные'!$B$157*'19_Расчет_аналитики'!AB717,'01_Вводные'!$B$156*MAX(0,'19_Расчет_аналитики'!AB738))</f>
        <v/>
      </c>
      <c r="AC740">
        <f>MAX('01_Вводные'!$B$157*'19_Расчет_аналитики'!AC717,'01_Вводные'!$B$156*MAX(0,'19_Расчет_аналитики'!AC738))</f>
        <v/>
      </c>
      <c r="AD740">
        <f>MAX('01_Вводные'!$B$157*'19_Расчет_аналитики'!AD717,'01_Вводные'!$B$156*MAX(0,'19_Расчет_аналитики'!AD738))</f>
        <v/>
      </c>
      <c r="AE740">
        <f>MAX('01_Вводные'!$B$157*'19_Расчет_аналитики'!AE717,'01_Вводные'!$B$156*MAX(0,'19_Расчет_аналитики'!AE738))</f>
        <v/>
      </c>
      <c r="AF740">
        <f>MAX('01_Вводные'!$B$157*'19_Расчет_аналитики'!AF717,'01_Вводные'!$B$156*MAX(0,'19_Расчет_аналитики'!AF738))</f>
        <v/>
      </c>
      <c r="AG740">
        <f>MAX('01_Вводные'!$B$157*'19_Расчет_аналитики'!AG717,'01_Вводные'!$B$156*MAX(0,'19_Расчет_аналитики'!AG738))</f>
        <v/>
      </c>
      <c r="AH740">
        <f>MAX('01_Вводные'!$B$157*'19_Расчет_аналитики'!AH717,'01_Вводные'!$B$156*MAX(0,'19_Расчет_аналитики'!AH738))</f>
        <v/>
      </c>
      <c r="AI740">
        <f>MAX('01_Вводные'!$B$157*'19_Расчет_аналитики'!AI717,'01_Вводные'!$B$156*MAX(0,'19_Расчет_аналитики'!AI738))</f>
        <v/>
      </c>
      <c r="AJ740">
        <f>MAX('01_Вводные'!$B$157*'19_Расчет_аналитики'!AJ717,'01_Вводные'!$B$156*MAX(0,'19_Расчет_аналитики'!AJ738))</f>
        <v/>
      </c>
      <c r="AK740">
        <f>MAX('01_Вводные'!$B$157*'19_Расчет_аналитики'!AK717,'01_Вводные'!$B$156*MAX(0,'19_Расчет_аналитики'!AK738))</f>
        <v/>
      </c>
      <c r="AL740">
        <f>MAX('01_Вводные'!$B$157*'19_Расчет_аналитики'!AL717,'01_Вводные'!$B$156*MAX(0,'19_Расчет_аналитики'!AL738))</f>
        <v/>
      </c>
      <c r="AM740">
        <f>MAX('01_Вводные'!$B$157*'19_Расчет_аналитики'!AM717,'01_Вводные'!$B$156*MAX(0,'19_Расчет_аналитики'!AM738))</f>
        <v/>
      </c>
      <c r="AN740">
        <f>MAX('01_Вводные'!$B$157*'19_Расчет_аналитики'!AN717,'01_Вводные'!$B$156*MAX(0,'19_Расчет_аналитики'!AN738))</f>
        <v/>
      </c>
      <c r="AO740">
        <f>MAX('01_Вводные'!$B$157*'19_Расчет_аналитики'!AO717,'01_Вводные'!$B$156*MAX(0,'19_Расчет_аналитики'!AO738))</f>
        <v/>
      </c>
      <c r="AP740">
        <f>MAX('01_Вводные'!$B$157*'19_Расчет_аналитики'!AP717,'01_Вводные'!$B$156*MAX(0,'19_Расчет_аналитики'!AP738))</f>
        <v/>
      </c>
      <c r="AQ740">
        <f>MAX('01_Вводные'!$B$157*'19_Расчет_аналитики'!AQ717,'01_Вводные'!$B$156*MAX(0,'19_Расчет_аналитики'!AQ738))</f>
        <v/>
      </c>
      <c r="AR740">
        <f>MAX('01_Вводные'!$B$157*'19_Расчет_аналитики'!AR717,'01_Вводные'!$B$156*MAX(0,'19_Расчет_аналитики'!AR738))</f>
        <v/>
      </c>
      <c r="AS740">
        <f>MAX('01_Вводные'!$B$157*'19_Расчет_аналитики'!AS717,'01_Вводные'!$B$156*MAX(0,'19_Расчет_аналитики'!AS738))</f>
        <v/>
      </c>
      <c r="AT740">
        <f>MAX('01_Вводные'!$B$157*'19_Расчет_аналитики'!AT717,'01_Вводные'!$B$156*MAX(0,'19_Расчет_аналитики'!AT738))</f>
        <v/>
      </c>
      <c r="AU740">
        <f>MAX('01_Вводные'!$B$157*'19_Расчет_аналитики'!AU717,'01_Вводные'!$B$156*MAX(0,'19_Расчет_аналитики'!AU738))</f>
        <v/>
      </c>
      <c r="AV740">
        <f>MAX('01_Вводные'!$B$157*'19_Расчет_аналитики'!AV717,'01_Вводные'!$B$156*MAX(0,'19_Расчет_аналитики'!AV738))</f>
        <v/>
      </c>
      <c r="AW740">
        <f>MAX('01_Вводные'!$B$157*'19_Расчет_аналитики'!AW717,'01_Вводные'!$B$156*MAX(0,'19_Расчет_аналитики'!AW738))</f>
        <v/>
      </c>
      <c r="AX740">
        <f>MAX('01_Вводные'!$B$157*'19_Расчет_аналитики'!AX717,'01_Вводные'!$B$156*MAX(0,'19_Расчет_аналитики'!AX738))</f>
        <v/>
      </c>
      <c r="AY740">
        <f>MAX('01_Вводные'!$B$157*'19_Расчет_аналитики'!AY717,'01_Вводные'!$B$156*MAX(0,'19_Расчет_аналитики'!AY738))</f>
        <v/>
      </c>
      <c r="AZ740">
        <f>MAX('01_Вводные'!$B$157*'19_Расчет_аналитики'!AZ717,'01_Вводные'!$B$156*MAX(0,'19_Расчет_аналитики'!AZ738))</f>
        <v/>
      </c>
      <c r="BA740">
        <f>MAX('01_Вводные'!$B$157*'19_Расчет_аналитики'!BA717,'01_Вводные'!$B$156*MAX(0,'19_Расчет_аналитики'!BA738))</f>
        <v/>
      </c>
      <c r="BB740">
        <f>MAX('01_Вводные'!$B$157*'19_Расчет_аналитики'!BB717,'01_Вводные'!$B$156*MAX(0,'19_Расчет_аналитики'!BB738))</f>
        <v/>
      </c>
      <c r="BC740">
        <f>MAX('01_Вводные'!$B$157*'19_Расчет_аналитики'!BC717,'01_Вводные'!$B$156*MAX(0,'19_Расчет_аналитики'!BC738))</f>
        <v/>
      </c>
      <c r="BD740">
        <f>MAX('01_Вводные'!$B$157*'19_Расчет_аналитики'!BD717,'01_Вводные'!$B$156*MAX(0,'19_Расчет_аналитики'!BD738))</f>
        <v/>
      </c>
      <c r="BE740">
        <f>MAX('01_Вводные'!$B$157*'19_Расчет_аналитики'!BE717,'01_Вводные'!$B$156*MAX(0,'19_Расчет_аналитики'!BE738))</f>
        <v/>
      </c>
      <c r="BF740">
        <f>MAX('01_Вводные'!$B$157*'19_Расчет_аналитики'!BF717,'01_Вводные'!$B$156*MAX(0,'19_Расчет_аналитики'!BF738))</f>
        <v/>
      </c>
      <c r="BG740">
        <f>MAX('01_Вводные'!$B$157*'19_Расчет_аналитики'!BG717,'01_Вводные'!$B$156*MAX(0,'19_Расчет_аналитики'!BG738))</f>
        <v/>
      </c>
      <c r="BH740">
        <f>MAX('01_Вводные'!$B$157*'19_Расчет_аналитики'!BH717,'01_Вводные'!$B$156*MAX(0,'19_Расчет_аналитики'!BH738))</f>
        <v/>
      </c>
      <c r="BI740">
        <f>MAX('01_Вводные'!$B$157*'19_Расчет_аналитики'!BI717,'01_Вводные'!$B$156*MAX(0,'19_Расчет_аналитики'!BI738))</f>
        <v/>
      </c>
    </row>
    <row r="741">
      <c r="B741">
        <f>'19_Расчет_аналитики'!B738-'19_Расчет_аналитики'!B740</f>
        <v/>
      </c>
      <c r="C741">
        <f>'19_Расчет_аналитики'!C738-'19_Расчет_аналитики'!C740</f>
        <v/>
      </c>
      <c r="D741">
        <f>'19_Расчет_аналитики'!D738-'19_Расчет_аналитики'!D740</f>
        <v/>
      </c>
      <c r="E741">
        <f>'19_Расчет_аналитики'!E738-'19_Расчет_аналитики'!E740</f>
        <v/>
      </c>
      <c r="F741">
        <f>'19_Расчет_аналитики'!F738-'19_Расчет_аналитики'!F740</f>
        <v/>
      </c>
      <c r="G741">
        <f>'19_Расчет_аналитики'!G738-'19_Расчет_аналитики'!G740</f>
        <v/>
      </c>
      <c r="H741">
        <f>'19_Расчет_аналитики'!H738-'19_Расчет_аналитики'!H740</f>
        <v/>
      </c>
      <c r="I741">
        <f>'19_Расчет_аналитики'!I738-'19_Расчет_аналитики'!I740</f>
        <v/>
      </c>
      <c r="J741">
        <f>'19_Расчет_аналитики'!J738-'19_Расчет_аналитики'!J740</f>
        <v/>
      </c>
      <c r="K741">
        <f>'19_Расчет_аналитики'!K738-'19_Расчет_аналитики'!K740</f>
        <v/>
      </c>
      <c r="L741">
        <f>'19_Расчет_аналитики'!L738-'19_Расчет_аналитики'!L740</f>
        <v/>
      </c>
      <c r="M741">
        <f>'19_Расчет_аналитики'!M738-'19_Расчет_аналитики'!M740</f>
        <v/>
      </c>
      <c r="N741">
        <f>'19_Расчет_аналитики'!N738-'19_Расчет_аналитики'!N740</f>
        <v/>
      </c>
      <c r="O741">
        <f>'19_Расчет_аналитики'!O738-'19_Расчет_аналитики'!O740</f>
        <v/>
      </c>
      <c r="P741">
        <f>'19_Расчет_аналитики'!P738-'19_Расчет_аналитики'!P740</f>
        <v/>
      </c>
      <c r="Q741">
        <f>'19_Расчет_аналитики'!Q738-'19_Расчет_аналитики'!Q740</f>
        <v/>
      </c>
      <c r="R741">
        <f>'19_Расчет_аналитики'!R738-'19_Расчет_аналитики'!R740</f>
        <v/>
      </c>
      <c r="S741">
        <f>'19_Расчет_аналитики'!S738-'19_Расчет_аналитики'!S740</f>
        <v/>
      </c>
      <c r="T741">
        <f>'19_Расчет_аналитики'!T738-'19_Расчет_аналитики'!T740</f>
        <v/>
      </c>
      <c r="U741">
        <f>'19_Расчет_аналитики'!U738-'19_Расчет_аналитики'!U740</f>
        <v/>
      </c>
      <c r="V741">
        <f>'19_Расчет_аналитики'!V738-'19_Расчет_аналитики'!V740</f>
        <v/>
      </c>
      <c r="W741">
        <f>'19_Расчет_аналитики'!W738-'19_Расчет_аналитики'!W740</f>
        <v/>
      </c>
      <c r="X741">
        <f>'19_Расчет_аналитики'!X738-'19_Расчет_аналитики'!X740</f>
        <v/>
      </c>
      <c r="Y741">
        <f>'19_Расчет_аналитики'!Y738-'19_Расчет_аналитики'!Y740</f>
        <v/>
      </c>
      <c r="Z741">
        <f>'19_Расчет_аналитики'!Z738-'19_Расчет_аналитики'!Z740</f>
        <v/>
      </c>
      <c r="AA741">
        <f>'19_Расчет_аналитики'!AA738-'19_Расчет_аналитики'!AA740</f>
        <v/>
      </c>
      <c r="AB741">
        <f>'19_Расчет_аналитики'!AB738-'19_Расчет_аналитики'!AB740</f>
        <v/>
      </c>
      <c r="AC741">
        <f>'19_Расчет_аналитики'!AC738-'19_Расчет_аналитики'!AC740</f>
        <v/>
      </c>
      <c r="AD741">
        <f>'19_Расчет_аналитики'!AD738-'19_Расчет_аналитики'!AD740</f>
        <v/>
      </c>
      <c r="AE741">
        <f>'19_Расчет_аналитики'!AE738-'19_Расчет_аналитики'!AE740</f>
        <v/>
      </c>
      <c r="AF741">
        <f>'19_Расчет_аналитики'!AF738-'19_Расчет_аналитики'!AF740</f>
        <v/>
      </c>
      <c r="AG741">
        <f>'19_Расчет_аналитики'!AG738-'19_Расчет_аналитики'!AG740</f>
        <v/>
      </c>
      <c r="AH741">
        <f>'19_Расчет_аналитики'!AH738-'19_Расчет_аналитики'!AH740</f>
        <v/>
      </c>
      <c r="AI741">
        <f>'19_Расчет_аналитики'!AI738-'19_Расчет_аналитики'!AI740</f>
        <v/>
      </c>
      <c r="AJ741">
        <f>'19_Расчет_аналитики'!AJ738-'19_Расчет_аналитики'!AJ740</f>
        <v/>
      </c>
      <c r="AK741">
        <f>'19_Расчет_аналитики'!AK738-'19_Расчет_аналитики'!AK740</f>
        <v/>
      </c>
      <c r="AL741">
        <f>'19_Расчет_аналитики'!AL738-'19_Расчет_аналитики'!AL740</f>
        <v/>
      </c>
      <c r="AM741">
        <f>'19_Расчет_аналитики'!AM738-'19_Расчет_аналитики'!AM740</f>
        <v/>
      </c>
      <c r="AN741">
        <f>'19_Расчет_аналитики'!AN738-'19_Расчет_аналитики'!AN740</f>
        <v/>
      </c>
      <c r="AO741">
        <f>'19_Расчет_аналитики'!AO738-'19_Расчет_аналитики'!AO740</f>
        <v/>
      </c>
      <c r="AP741">
        <f>'19_Расчет_аналитики'!AP738-'19_Расчет_аналитики'!AP740</f>
        <v/>
      </c>
      <c r="AQ741">
        <f>'19_Расчет_аналитики'!AQ738-'19_Расчет_аналитики'!AQ740</f>
        <v/>
      </c>
      <c r="AR741">
        <f>'19_Расчет_аналитики'!AR738-'19_Расчет_аналитики'!AR740</f>
        <v/>
      </c>
      <c r="AS741">
        <f>'19_Расчет_аналитики'!AS738-'19_Расчет_аналитики'!AS740</f>
        <v/>
      </c>
      <c r="AT741">
        <f>'19_Расчет_аналитики'!AT738-'19_Расчет_аналитики'!AT740</f>
        <v/>
      </c>
      <c r="AU741">
        <f>'19_Расчет_аналитики'!AU738-'19_Расчет_аналитики'!AU740</f>
        <v/>
      </c>
      <c r="AV741">
        <f>'19_Расчет_аналитики'!AV738-'19_Расчет_аналитики'!AV740</f>
        <v/>
      </c>
      <c r="AW741">
        <f>'19_Расчет_аналитики'!AW738-'19_Расчет_аналитики'!AW740</f>
        <v/>
      </c>
      <c r="AX741">
        <f>'19_Расчет_аналитики'!AX738-'19_Расчет_аналитики'!AX740</f>
        <v/>
      </c>
      <c r="AY741">
        <f>'19_Расчет_аналитики'!AY738-'19_Расчет_аналитики'!AY740</f>
        <v/>
      </c>
      <c r="AZ741">
        <f>'19_Расчет_аналитики'!AZ738-'19_Расчет_аналитики'!AZ740</f>
        <v/>
      </c>
      <c r="BA741">
        <f>'19_Расчет_аналитики'!BA738-'19_Расчет_аналитики'!BA740</f>
        <v/>
      </c>
      <c r="BB741">
        <f>'19_Расчет_аналитики'!BB738-'19_Расчет_аналитики'!BB740</f>
        <v/>
      </c>
      <c r="BC741">
        <f>'19_Расчет_аналитики'!BC738-'19_Расчет_аналитики'!BC740</f>
        <v/>
      </c>
      <c r="BD741">
        <f>'19_Расчет_аналитики'!BD738-'19_Расчет_аналитики'!BD740</f>
        <v/>
      </c>
      <c r="BE741">
        <f>'19_Расчет_аналитики'!BE738-'19_Расчет_аналитики'!BE740</f>
        <v/>
      </c>
      <c r="BF741">
        <f>'19_Расчет_аналитики'!BF738-'19_Расчет_аналитики'!BF740</f>
        <v/>
      </c>
      <c r="BG741">
        <f>'19_Расчет_аналитики'!BG738-'19_Расчет_аналитики'!BG740</f>
        <v/>
      </c>
      <c r="BH741">
        <f>'19_Расчет_аналитики'!BH738-'19_Расчет_аналитики'!BH740</f>
        <v/>
      </c>
      <c r="BI741">
        <f>'19_Расчет_аналитики'!BI738-'19_Расчет_аналитики'!BI740</f>
        <v/>
      </c>
    </row>
    <row r="742"/>
    <row r="743"/>
    <row r="744"/>
    <row r="745">
      <c r="C745">
        <f>'19_Расчет_аналитики'!B766</f>
        <v/>
      </c>
      <c r="D745">
        <f>'19_Расчет_аналитики'!C766</f>
        <v/>
      </c>
      <c r="E745">
        <f>'19_Расчет_аналитики'!D766</f>
        <v/>
      </c>
      <c r="F745">
        <f>'19_Расчет_аналитики'!E766</f>
        <v/>
      </c>
      <c r="G745">
        <f>'19_Расчет_аналитики'!F766</f>
        <v/>
      </c>
      <c r="H745">
        <f>'19_Расчет_аналитики'!G766</f>
        <v/>
      </c>
      <c r="I745">
        <f>'19_Расчет_аналитики'!H766</f>
        <v/>
      </c>
      <c r="J745">
        <f>'19_Расчет_аналитики'!I766</f>
        <v/>
      </c>
      <c r="K745">
        <f>'19_Расчет_аналитики'!J766</f>
        <v/>
      </c>
      <c r="L745">
        <f>'19_Расчет_аналитики'!K766</f>
        <v/>
      </c>
      <c r="M745">
        <f>'19_Расчет_аналитики'!L766</f>
        <v/>
      </c>
      <c r="N745">
        <f>'19_Расчет_аналитики'!M766</f>
        <v/>
      </c>
      <c r="O745">
        <f>'19_Расчет_аналитики'!N766</f>
        <v/>
      </c>
      <c r="P745">
        <f>'19_Расчет_аналитики'!O766</f>
        <v/>
      </c>
      <c r="Q745">
        <f>'19_Расчет_аналитики'!P766</f>
        <v/>
      </c>
      <c r="R745">
        <f>'19_Расчет_аналитики'!Q766</f>
        <v/>
      </c>
      <c r="S745">
        <f>'19_Расчет_аналитики'!R766</f>
        <v/>
      </c>
      <c r="T745">
        <f>'19_Расчет_аналитики'!S766</f>
        <v/>
      </c>
      <c r="U745">
        <f>'19_Расчет_аналитики'!T766</f>
        <v/>
      </c>
      <c r="V745">
        <f>'19_Расчет_аналитики'!U766</f>
        <v/>
      </c>
      <c r="W745">
        <f>'19_Расчет_аналитики'!V766</f>
        <v/>
      </c>
      <c r="X745">
        <f>'19_Расчет_аналитики'!W766</f>
        <v/>
      </c>
      <c r="Y745">
        <f>'19_Расчет_аналитики'!X766</f>
        <v/>
      </c>
      <c r="Z745">
        <f>'19_Расчет_аналитики'!Y766</f>
        <v/>
      </c>
      <c r="AA745">
        <f>'19_Расчет_аналитики'!Z766</f>
        <v/>
      </c>
      <c r="AB745">
        <f>'19_Расчет_аналитики'!AA766</f>
        <v/>
      </c>
      <c r="AC745">
        <f>'19_Расчет_аналитики'!AB766</f>
        <v/>
      </c>
      <c r="AD745">
        <f>'19_Расчет_аналитики'!AC766</f>
        <v/>
      </c>
      <c r="AE745">
        <f>'19_Расчет_аналитики'!AD766</f>
        <v/>
      </c>
      <c r="AF745">
        <f>'19_Расчет_аналитики'!AE766</f>
        <v/>
      </c>
      <c r="AG745">
        <f>'19_Расчет_аналитики'!AF766</f>
        <v/>
      </c>
      <c r="AH745">
        <f>'19_Расчет_аналитики'!AG766</f>
        <v/>
      </c>
      <c r="AI745">
        <f>'19_Расчет_аналитики'!AH766</f>
        <v/>
      </c>
      <c r="AJ745">
        <f>'19_Расчет_аналитики'!AI766</f>
        <v/>
      </c>
      <c r="AK745">
        <f>'19_Расчет_аналитики'!AJ766</f>
        <v/>
      </c>
      <c r="AL745">
        <f>'19_Расчет_аналитики'!AK766</f>
        <v/>
      </c>
      <c r="AM745">
        <f>'19_Расчет_аналитики'!AL766</f>
        <v/>
      </c>
      <c r="AN745">
        <f>'19_Расчет_аналитики'!AM766</f>
        <v/>
      </c>
      <c r="AO745">
        <f>'19_Расчет_аналитики'!AN766</f>
        <v/>
      </c>
      <c r="AP745">
        <f>'19_Расчет_аналитики'!AO766</f>
        <v/>
      </c>
      <c r="AQ745">
        <f>'19_Расчет_аналитики'!AP766</f>
        <v/>
      </c>
      <c r="AR745">
        <f>'19_Расчет_аналитики'!AQ766</f>
        <v/>
      </c>
      <c r="AS745">
        <f>'19_Расчет_аналитики'!AR766</f>
        <v/>
      </c>
      <c r="AT745">
        <f>'19_Расчет_аналитики'!AS766</f>
        <v/>
      </c>
      <c r="AU745">
        <f>'19_Расчет_аналитики'!AT766</f>
        <v/>
      </c>
      <c r="AV745">
        <f>'19_Расчет_аналитики'!AU766</f>
        <v/>
      </c>
      <c r="AW745">
        <f>'19_Расчет_аналитики'!AV766</f>
        <v/>
      </c>
      <c r="AX745">
        <f>'19_Расчет_аналитики'!AW766</f>
        <v/>
      </c>
      <c r="AY745">
        <f>'19_Расчет_аналитики'!AX766</f>
        <v/>
      </c>
      <c r="AZ745">
        <f>'19_Расчет_аналитики'!AY766</f>
        <v/>
      </c>
      <c r="BA745">
        <f>'19_Расчет_аналитики'!AZ766</f>
        <v/>
      </c>
      <c r="BB745">
        <f>'19_Расчет_аналитики'!BA766</f>
        <v/>
      </c>
      <c r="BC745">
        <f>'19_Расчет_аналитики'!BB766</f>
        <v/>
      </c>
      <c r="BD745">
        <f>'19_Расчет_аналитики'!BC766</f>
        <v/>
      </c>
      <c r="BE745">
        <f>'19_Расчет_аналитики'!BD766</f>
        <v/>
      </c>
      <c r="BF745">
        <f>'19_Расчет_аналитики'!BE766</f>
        <v/>
      </c>
      <c r="BG745">
        <f>'19_Расчет_аналитики'!BF766</f>
        <v/>
      </c>
      <c r="BH745">
        <f>'19_Расчет_аналитики'!BG766</f>
        <v/>
      </c>
      <c r="BI745">
        <f>'19_Расчет_аналитики'!BH766</f>
        <v/>
      </c>
    </row>
    <row r="746">
      <c r="B746">
        <f>'02_Модель'!B52</f>
        <v/>
      </c>
      <c r="C746">
        <f>'19_Расчет_аналитики'!C348</f>
        <v/>
      </c>
      <c r="D746">
        <f>'19_Расчет_аналитики'!D348</f>
        <v/>
      </c>
      <c r="E746">
        <f>'19_Расчет_аналитики'!E348</f>
        <v/>
      </c>
      <c r="F746">
        <f>'19_Расчет_аналитики'!F348</f>
        <v/>
      </c>
      <c r="G746">
        <f>'19_Расчет_аналитики'!G348</f>
        <v/>
      </c>
      <c r="H746">
        <f>'19_Расчет_аналитики'!H348</f>
        <v/>
      </c>
      <c r="I746">
        <f>'19_Расчет_аналитики'!I348</f>
        <v/>
      </c>
      <c r="J746">
        <f>'19_Расчет_аналитики'!J348</f>
        <v/>
      </c>
      <c r="K746">
        <f>'19_Расчет_аналитики'!K348</f>
        <v/>
      </c>
      <c r="L746">
        <f>'19_Расчет_аналитики'!L348</f>
        <v/>
      </c>
      <c r="M746">
        <f>'19_Расчет_аналитики'!M348</f>
        <v/>
      </c>
      <c r="N746">
        <f>'19_Расчет_аналитики'!N348</f>
        <v/>
      </c>
      <c r="O746">
        <f>'19_Расчет_аналитики'!O348</f>
        <v/>
      </c>
      <c r="P746">
        <f>'19_Расчет_аналитики'!P348</f>
        <v/>
      </c>
      <c r="Q746">
        <f>'19_Расчет_аналитики'!Q348</f>
        <v/>
      </c>
      <c r="R746">
        <f>'19_Расчет_аналитики'!R348</f>
        <v/>
      </c>
      <c r="S746">
        <f>'19_Расчет_аналитики'!S348</f>
        <v/>
      </c>
      <c r="T746">
        <f>'19_Расчет_аналитики'!T348</f>
        <v/>
      </c>
      <c r="U746">
        <f>'19_Расчет_аналитики'!U348</f>
        <v/>
      </c>
      <c r="V746">
        <f>'19_Расчет_аналитики'!V348</f>
        <v/>
      </c>
      <c r="W746">
        <f>'19_Расчет_аналитики'!W348</f>
        <v/>
      </c>
      <c r="X746">
        <f>'19_Расчет_аналитики'!X348</f>
        <v/>
      </c>
      <c r="Y746">
        <f>'19_Расчет_аналитики'!Y348</f>
        <v/>
      </c>
      <c r="Z746">
        <f>'19_Расчет_аналитики'!Z348</f>
        <v/>
      </c>
      <c r="AA746">
        <f>'19_Расчет_аналитики'!AA348</f>
        <v/>
      </c>
      <c r="AB746">
        <f>'19_Расчет_аналитики'!AB348</f>
        <v/>
      </c>
      <c r="AC746">
        <f>'19_Расчет_аналитики'!AC348</f>
        <v/>
      </c>
      <c r="AD746">
        <f>'19_Расчет_аналитики'!AD348</f>
        <v/>
      </c>
      <c r="AE746">
        <f>'19_Расчет_аналитики'!AE348</f>
        <v/>
      </c>
      <c r="AF746">
        <f>'19_Расчет_аналитики'!AF348</f>
        <v/>
      </c>
      <c r="AG746">
        <f>'19_Расчет_аналитики'!AG348</f>
        <v/>
      </c>
      <c r="AH746">
        <f>'19_Расчет_аналитики'!AH348</f>
        <v/>
      </c>
      <c r="AI746">
        <f>'19_Расчет_аналитики'!AI348</f>
        <v/>
      </c>
      <c r="AJ746">
        <f>'19_Расчет_аналитики'!AJ348</f>
        <v/>
      </c>
      <c r="AK746">
        <f>'19_Расчет_аналитики'!AK348</f>
        <v/>
      </c>
      <c r="AL746">
        <f>'19_Расчет_аналитики'!AL348</f>
        <v/>
      </c>
      <c r="AM746">
        <f>'19_Расчет_аналитики'!AM348</f>
        <v/>
      </c>
      <c r="AN746">
        <f>'19_Расчет_аналитики'!AN348</f>
        <v/>
      </c>
      <c r="AO746">
        <f>'19_Расчет_аналитики'!AO348</f>
        <v/>
      </c>
      <c r="AP746">
        <f>'19_Расчет_аналитики'!AP348</f>
        <v/>
      </c>
      <c r="AQ746">
        <f>'19_Расчет_аналитики'!AQ348</f>
        <v/>
      </c>
      <c r="AR746">
        <f>'19_Расчет_аналитики'!AR348</f>
        <v/>
      </c>
      <c r="AS746">
        <f>'19_Расчет_аналитики'!AS348</f>
        <v/>
      </c>
      <c r="AT746">
        <f>'19_Расчет_аналитики'!AT348</f>
        <v/>
      </c>
      <c r="AU746">
        <f>'19_Расчет_аналитики'!AU348</f>
        <v/>
      </c>
      <c r="AV746">
        <f>'19_Расчет_аналитики'!AV348</f>
        <v/>
      </c>
      <c r="AW746">
        <f>'19_Расчет_аналитики'!AW348</f>
        <v/>
      </c>
      <c r="AX746">
        <f>'19_Расчет_аналитики'!AX348</f>
        <v/>
      </c>
      <c r="AY746">
        <f>'19_Расчет_аналитики'!AY348</f>
        <v/>
      </c>
      <c r="AZ746">
        <f>'19_Расчет_аналитики'!AZ348</f>
        <v/>
      </c>
      <c r="BA746">
        <f>'19_Расчет_аналитики'!BA348</f>
        <v/>
      </c>
      <c r="BB746">
        <f>'19_Расчет_аналитики'!BB348</f>
        <v/>
      </c>
      <c r="BC746">
        <f>'19_Расчет_аналитики'!BC348</f>
        <v/>
      </c>
      <c r="BD746">
        <f>'19_Расчет_аналитики'!BD348</f>
        <v/>
      </c>
      <c r="BE746">
        <f>'19_Расчет_аналитики'!BE348</f>
        <v/>
      </c>
      <c r="BF746">
        <f>'19_Расчет_аналитики'!BF348</f>
        <v/>
      </c>
      <c r="BG746">
        <f>'19_Расчет_аналитики'!BG348</f>
        <v/>
      </c>
      <c r="BH746">
        <f>'19_Расчет_аналитики'!BH348</f>
        <v/>
      </c>
      <c r="BI746">
        <f>'19_Расчет_аналитики'!BI348</f>
        <v/>
      </c>
    </row>
    <row r="747">
      <c r="B747">
        <f>'19_Расчет_аналитики'!$B$32*('19_Расчет_аналитики'!B713+'19_Расчет_аналитики'!B714)*(1+'01_Вводные'!$B$58)+(1-'19_Расчет_аналитики'!$B$32)*0</f>
        <v/>
      </c>
      <c r="C747">
        <f>'19_Расчет_аналитики'!$B$32*('19_Расчет_аналитики'!C713+'19_Расчет_аналитики'!C714)*(1+'01_Вводные'!$B$58)+(1-'19_Расчет_аналитики'!$B$32)*('19_Расчет_аналитики'!B713+'19_Расчет_аналитики'!B714)*(1+'01_Вводные'!$B$58)</f>
        <v/>
      </c>
      <c r="D747">
        <f>'19_Расчет_аналитики'!$B$32*('19_Расчет_аналитики'!D713+'19_Расчет_аналитики'!D714)*(1+'01_Вводные'!$B$58)+(1-'19_Расчет_аналитики'!$B$32)*('19_Расчет_аналитики'!C713+'19_Расчет_аналитики'!C714)*(1+'01_Вводные'!$B$58)</f>
        <v/>
      </c>
      <c r="E747">
        <f>'19_Расчет_аналитики'!$B$32*('19_Расчет_аналитики'!E713+'19_Расчет_аналитики'!E714)*(1+'01_Вводные'!$B$58)+(1-'19_Расчет_аналитики'!$B$32)*('19_Расчет_аналитики'!D713+'19_Расчет_аналитики'!D714)*(1+'01_Вводные'!$B$58)</f>
        <v/>
      </c>
      <c r="F747">
        <f>'19_Расчет_аналитики'!$B$32*('19_Расчет_аналитики'!F713+'19_Расчет_аналитики'!F714)*(1+'01_Вводные'!$B$58)+(1-'19_Расчет_аналитики'!$B$32)*('19_Расчет_аналитики'!E713+'19_Расчет_аналитики'!E714)*(1+'01_Вводные'!$B$58)</f>
        <v/>
      </c>
      <c r="G747">
        <f>'19_Расчет_аналитики'!$B$32*('19_Расчет_аналитики'!G713+'19_Расчет_аналитики'!G714)*(1+'01_Вводные'!$B$58)+(1-'19_Расчет_аналитики'!$B$32)*('19_Расчет_аналитики'!F713+'19_Расчет_аналитики'!F714)*(1+'01_Вводные'!$B$58)</f>
        <v/>
      </c>
      <c r="H747">
        <f>'19_Расчет_аналитики'!$B$32*('19_Расчет_аналитики'!H713+'19_Расчет_аналитики'!H714)*(1+'01_Вводные'!$B$58)+(1-'19_Расчет_аналитики'!$B$32)*('19_Расчет_аналитики'!G713+'19_Расчет_аналитики'!G714)*(1+'01_Вводные'!$B$58)</f>
        <v/>
      </c>
      <c r="I747">
        <f>'19_Расчет_аналитики'!$B$32*('19_Расчет_аналитики'!I713+'19_Расчет_аналитики'!I714)*(1+'01_Вводные'!$B$58)+(1-'19_Расчет_аналитики'!$B$32)*('19_Расчет_аналитики'!H713+'19_Расчет_аналитики'!H714)*(1+'01_Вводные'!$B$58)</f>
        <v/>
      </c>
      <c r="J747">
        <f>'19_Расчет_аналитики'!$B$32*('19_Расчет_аналитики'!J713+'19_Расчет_аналитики'!J714)*(1+'01_Вводные'!$B$58)+(1-'19_Расчет_аналитики'!$B$32)*('19_Расчет_аналитики'!I713+'19_Расчет_аналитики'!I714)*(1+'01_Вводные'!$B$58)</f>
        <v/>
      </c>
      <c r="K747">
        <f>'19_Расчет_аналитики'!$B$32*('19_Расчет_аналитики'!K713+'19_Расчет_аналитики'!K714)*(1+'01_Вводные'!$B$58)+(1-'19_Расчет_аналитики'!$B$32)*('19_Расчет_аналитики'!J713+'19_Расчет_аналитики'!J714)*(1+'01_Вводные'!$B$58)</f>
        <v/>
      </c>
      <c r="L747">
        <f>'19_Расчет_аналитики'!$B$32*('19_Расчет_аналитики'!L713+'19_Расчет_аналитики'!L714)*(1+'01_Вводные'!$B$58)+(1-'19_Расчет_аналитики'!$B$32)*('19_Расчет_аналитики'!K713+'19_Расчет_аналитики'!K714)*(1+'01_Вводные'!$B$58)</f>
        <v/>
      </c>
      <c r="M747">
        <f>'19_Расчет_аналитики'!$B$32*('19_Расчет_аналитики'!M713+'19_Расчет_аналитики'!M714)*(1+'01_Вводные'!$B$58)+(1-'19_Расчет_аналитики'!$B$32)*('19_Расчет_аналитики'!L713+'19_Расчет_аналитики'!L714)*(1+'01_Вводные'!$B$58)</f>
        <v/>
      </c>
      <c r="N747">
        <f>'19_Расчет_аналитики'!$B$32*('19_Расчет_аналитики'!N713+'19_Расчет_аналитики'!N714)*(1+'01_Вводные'!$B$58)+(1-'19_Расчет_аналитики'!$B$32)*('19_Расчет_аналитики'!M713+'19_Расчет_аналитики'!M714)*(1+'01_Вводные'!$B$58)</f>
        <v/>
      </c>
      <c r="O747">
        <f>'19_Расчет_аналитики'!$B$32*('19_Расчет_аналитики'!O713+'19_Расчет_аналитики'!O714)*(1+'01_Вводные'!$B$58)+(1-'19_Расчет_аналитики'!$B$32)*('19_Расчет_аналитики'!N713+'19_Расчет_аналитики'!N714)*(1+'01_Вводные'!$B$58)</f>
        <v/>
      </c>
      <c r="P747">
        <f>'19_Расчет_аналитики'!$B$32*('19_Расчет_аналитики'!P713+'19_Расчет_аналитики'!P714)*(1+'01_Вводные'!$B$58)+(1-'19_Расчет_аналитики'!$B$32)*('19_Расчет_аналитики'!O713+'19_Расчет_аналитики'!O714)*(1+'01_Вводные'!$B$58)</f>
        <v/>
      </c>
      <c r="Q747">
        <f>'19_Расчет_аналитики'!$B$32*('19_Расчет_аналитики'!Q713+'19_Расчет_аналитики'!Q714)*(1+'01_Вводные'!$B$58)+(1-'19_Расчет_аналитики'!$B$32)*('19_Расчет_аналитики'!P713+'19_Расчет_аналитики'!P714)*(1+'01_Вводные'!$B$58)</f>
        <v/>
      </c>
      <c r="R747">
        <f>'19_Расчет_аналитики'!$B$32*('19_Расчет_аналитики'!R713+'19_Расчет_аналитики'!R714)*(1+'01_Вводные'!$B$58)+(1-'19_Расчет_аналитики'!$B$32)*('19_Расчет_аналитики'!Q713+'19_Расчет_аналитики'!Q714)*(1+'01_Вводные'!$B$58)</f>
        <v/>
      </c>
      <c r="S747">
        <f>'19_Расчет_аналитики'!$B$32*('19_Расчет_аналитики'!S713+'19_Расчет_аналитики'!S714)*(1+'01_Вводные'!$B$58)+(1-'19_Расчет_аналитики'!$B$32)*('19_Расчет_аналитики'!R713+'19_Расчет_аналитики'!R714)*(1+'01_Вводные'!$B$58)</f>
        <v/>
      </c>
      <c r="T747">
        <f>'19_Расчет_аналитики'!$B$32*('19_Расчет_аналитики'!T713+'19_Расчет_аналитики'!T714)*(1+'01_Вводные'!$B$58)+(1-'19_Расчет_аналитики'!$B$32)*('19_Расчет_аналитики'!S713+'19_Расчет_аналитики'!S714)*(1+'01_Вводные'!$B$58)</f>
        <v/>
      </c>
      <c r="U747">
        <f>'19_Расчет_аналитики'!$B$32*('19_Расчет_аналитики'!U713+'19_Расчет_аналитики'!U714)*(1+'01_Вводные'!$B$58)+(1-'19_Расчет_аналитики'!$B$32)*('19_Расчет_аналитики'!T713+'19_Расчет_аналитики'!T714)*(1+'01_Вводные'!$B$58)</f>
        <v/>
      </c>
      <c r="V747">
        <f>'19_Расчет_аналитики'!$B$32*('19_Расчет_аналитики'!V713+'19_Расчет_аналитики'!V714)*(1+'01_Вводные'!$B$58)+(1-'19_Расчет_аналитики'!$B$32)*('19_Расчет_аналитики'!U713+'19_Расчет_аналитики'!U714)*(1+'01_Вводные'!$B$58)</f>
        <v/>
      </c>
      <c r="W747">
        <f>'19_Расчет_аналитики'!$B$32*('19_Расчет_аналитики'!W713+'19_Расчет_аналитики'!W714)*(1+'01_Вводные'!$B$58)+(1-'19_Расчет_аналитики'!$B$32)*('19_Расчет_аналитики'!V713+'19_Расчет_аналитики'!V714)*(1+'01_Вводные'!$B$58)</f>
        <v/>
      </c>
      <c r="X747">
        <f>'19_Расчет_аналитики'!$B$32*('19_Расчет_аналитики'!X713+'19_Расчет_аналитики'!X714)*(1+'01_Вводные'!$B$58)+(1-'19_Расчет_аналитики'!$B$32)*('19_Расчет_аналитики'!W713+'19_Расчет_аналитики'!W714)*(1+'01_Вводные'!$B$58)</f>
        <v/>
      </c>
      <c r="Y747">
        <f>'19_Расчет_аналитики'!$B$32*('19_Расчет_аналитики'!Y713+'19_Расчет_аналитики'!Y714)*(1+'01_Вводные'!$B$58)+(1-'19_Расчет_аналитики'!$B$32)*('19_Расчет_аналитики'!X713+'19_Расчет_аналитики'!X714)*(1+'01_Вводные'!$B$58)</f>
        <v/>
      </c>
      <c r="Z747">
        <f>'19_Расчет_аналитики'!$B$32*('19_Расчет_аналитики'!Z713+'19_Расчет_аналитики'!Z714)*(1+'01_Вводные'!$B$58)+(1-'19_Расчет_аналитики'!$B$32)*('19_Расчет_аналитики'!Y713+'19_Расчет_аналитики'!Y714)*(1+'01_Вводные'!$B$58)</f>
        <v/>
      </c>
      <c r="AA747">
        <f>'19_Расчет_аналитики'!$B$32*('19_Расчет_аналитики'!AA713+'19_Расчет_аналитики'!AA714)*(1+'01_Вводные'!$B$58)+(1-'19_Расчет_аналитики'!$B$32)*('19_Расчет_аналитики'!Z713+'19_Расчет_аналитики'!Z714)*(1+'01_Вводные'!$B$58)</f>
        <v/>
      </c>
      <c r="AB747">
        <f>'19_Расчет_аналитики'!$B$32*('19_Расчет_аналитики'!AB713+'19_Расчет_аналитики'!AB714)*(1+'01_Вводные'!$B$58)+(1-'19_Расчет_аналитики'!$B$32)*('19_Расчет_аналитики'!AA713+'19_Расчет_аналитики'!AA714)*(1+'01_Вводные'!$B$58)</f>
        <v/>
      </c>
      <c r="AC747">
        <f>'19_Расчет_аналитики'!$B$32*('19_Расчет_аналитики'!AC713+'19_Расчет_аналитики'!AC714)*(1+'01_Вводные'!$B$58)+(1-'19_Расчет_аналитики'!$B$32)*('19_Расчет_аналитики'!AB713+'19_Расчет_аналитики'!AB714)*(1+'01_Вводные'!$B$58)</f>
        <v/>
      </c>
      <c r="AD747">
        <f>'19_Расчет_аналитики'!$B$32*('19_Расчет_аналитики'!AD713+'19_Расчет_аналитики'!AD714)*(1+'01_Вводные'!$B$58)+(1-'19_Расчет_аналитики'!$B$32)*('19_Расчет_аналитики'!AC713+'19_Расчет_аналитики'!AC714)*(1+'01_Вводные'!$B$58)</f>
        <v/>
      </c>
      <c r="AE747">
        <f>'19_Расчет_аналитики'!$B$32*('19_Расчет_аналитики'!AE713+'19_Расчет_аналитики'!AE714)*(1+'01_Вводные'!$B$58)+(1-'19_Расчет_аналитики'!$B$32)*('19_Расчет_аналитики'!AD713+'19_Расчет_аналитики'!AD714)*(1+'01_Вводные'!$B$58)</f>
        <v/>
      </c>
      <c r="AF747">
        <f>'19_Расчет_аналитики'!$B$32*('19_Расчет_аналитики'!AF713+'19_Расчет_аналитики'!AF714)*(1+'01_Вводные'!$B$58)+(1-'19_Расчет_аналитики'!$B$32)*('19_Расчет_аналитики'!AE713+'19_Расчет_аналитики'!AE714)*(1+'01_Вводные'!$B$58)</f>
        <v/>
      </c>
      <c r="AG747">
        <f>'19_Расчет_аналитики'!$B$32*('19_Расчет_аналитики'!AG713+'19_Расчет_аналитики'!AG714)*(1+'01_Вводные'!$B$58)+(1-'19_Расчет_аналитики'!$B$32)*('19_Расчет_аналитики'!AF713+'19_Расчет_аналитики'!AF714)*(1+'01_Вводные'!$B$58)</f>
        <v/>
      </c>
      <c r="AH747">
        <f>'19_Расчет_аналитики'!$B$32*('19_Расчет_аналитики'!AH713+'19_Расчет_аналитики'!AH714)*(1+'01_Вводные'!$B$58)+(1-'19_Расчет_аналитики'!$B$32)*('19_Расчет_аналитики'!AG713+'19_Расчет_аналитики'!AG714)*(1+'01_Вводные'!$B$58)</f>
        <v/>
      </c>
      <c r="AI747">
        <f>'19_Расчет_аналитики'!$B$32*('19_Расчет_аналитики'!AI713+'19_Расчет_аналитики'!AI714)*(1+'01_Вводные'!$B$58)+(1-'19_Расчет_аналитики'!$B$32)*('19_Расчет_аналитики'!AH713+'19_Расчет_аналитики'!AH714)*(1+'01_Вводные'!$B$58)</f>
        <v/>
      </c>
      <c r="AJ747">
        <f>'19_Расчет_аналитики'!$B$32*('19_Расчет_аналитики'!AJ713+'19_Расчет_аналитики'!AJ714)*(1+'01_Вводные'!$B$58)+(1-'19_Расчет_аналитики'!$B$32)*('19_Расчет_аналитики'!AI713+'19_Расчет_аналитики'!AI714)*(1+'01_Вводные'!$B$58)</f>
        <v/>
      </c>
      <c r="AK747">
        <f>'19_Расчет_аналитики'!$B$32*('19_Расчет_аналитики'!AK713+'19_Расчет_аналитики'!AK714)*(1+'01_Вводные'!$B$58)+(1-'19_Расчет_аналитики'!$B$32)*('19_Расчет_аналитики'!AJ713+'19_Расчет_аналитики'!AJ714)*(1+'01_Вводные'!$B$58)</f>
        <v/>
      </c>
      <c r="AL747">
        <f>'19_Расчет_аналитики'!$B$32*('19_Расчет_аналитики'!AL713+'19_Расчет_аналитики'!AL714)*(1+'01_Вводные'!$B$58)+(1-'19_Расчет_аналитики'!$B$32)*('19_Расчет_аналитики'!AK713+'19_Расчет_аналитики'!AK714)*(1+'01_Вводные'!$B$58)</f>
        <v/>
      </c>
      <c r="AM747">
        <f>'19_Расчет_аналитики'!$B$32*('19_Расчет_аналитики'!AM713+'19_Расчет_аналитики'!AM714)*(1+'01_Вводные'!$B$58)+(1-'19_Расчет_аналитики'!$B$32)*('19_Расчет_аналитики'!AL713+'19_Расчет_аналитики'!AL714)*(1+'01_Вводные'!$B$58)</f>
        <v/>
      </c>
      <c r="AN747">
        <f>'19_Расчет_аналитики'!$B$32*('19_Расчет_аналитики'!AN713+'19_Расчет_аналитики'!AN714)*(1+'01_Вводные'!$B$58)+(1-'19_Расчет_аналитики'!$B$32)*('19_Расчет_аналитики'!AM713+'19_Расчет_аналитики'!AM714)*(1+'01_Вводные'!$B$58)</f>
        <v/>
      </c>
      <c r="AO747">
        <f>'19_Расчет_аналитики'!$B$32*('19_Расчет_аналитики'!AO713+'19_Расчет_аналитики'!AO714)*(1+'01_Вводные'!$B$58)+(1-'19_Расчет_аналитики'!$B$32)*('19_Расчет_аналитики'!AN713+'19_Расчет_аналитики'!AN714)*(1+'01_Вводные'!$B$58)</f>
        <v/>
      </c>
      <c r="AP747">
        <f>'19_Расчет_аналитики'!$B$32*('19_Расчет_аналитики'!AP713+'19_Расчет_аналитики'!AP714)*(1+'01_Вводные'!$B$58)+(1-'19_Расчет_аналитики'!$B$32)*('19_Расчет_аналитики'!AO713+'19_Расчет_аналитики'!AO714)*(1+'01_Вводные'!$B$58)</f>
        <v/>
      </c>
      <c r="AQ747">
        <f>'19_Расчет_аналитики'!$B$32*('19_Расчет_аналитики'!AQ713+'19_Расчет_аналитики'!AQ714)*(1+'01_Вводные'!$B$58)+(1-'19_Расчет_аналитики'!$B$32)*('19_Расчет_аналитики'!AP713+'19_Расчет_аналитики'!AP714)*(1+'01_Вводные'!$B$58)</f>
        <v/>
      </c>
      <c r="AR747">
        <f>'19_Расчет_аналитики'!$B$32*('19_Расчет_аналитики'!AR713+'19_Расчет_аналитики'!AR714)*(1+'01_Вводные'!$B$58)+(1-'19_Расчет_аналитики'!$B$32)*('19_Расчет_аналитики'!AQ713+'19_Расчет_аналитики'!AQ714)*(1+'01_Вводные'!$B$58)</f>
        <v/>
      </c>
      <c r="AS747">
        <f>'19_Расчет_аналитики'!$B$32*('19_Расчет_аналитики'!AS713+'19_Расчет_аналитики'!AS714)*(1+'01_Вводные'!$B$58)+(1-'19_Расчет_аналитики'!$B$32)*('19_Расчет_аналитики'!AR713+'19_Расчет_аналитики'!AR714)*(1+'01_Вводные'!$B$58)</f>
        <v/>
      </c>
      <c r="AT747">
        <f>'19_Расчет_аналитики'!$B$32*('19_Расчет_аналитики'!AT713+'19_Расчет_аналитики'!AT714)*(1+'01_Вводные'!$B$58)+(1-'19_Расчет_аналитики'!$B$32)*('19_Расчет_аналитики'!AS713+'19_Расчет_аналитики'!AS714)*(1+'01_Вводные'!$B$58)</f>
        <v/>
      </c>
      <c r="AU747">
        <f>'19_Расчет_аналитики'!$B$32*('19_Расчет_аналитики'!AU713+'19_Расчет_аналитики'!AU714)*(1+'01_Вводные'!$B$58)+(1-'19_Расчет_аналитики'!$B$32)*('19_Расчет_аналитики'!AT713+'19_Расчет_аналитики'!AT714)*(1+'01_Вводные'!$B$58)</f>
        <v/>
      </c>
      <c r="AV747">
        <f>'19_Расчет_аналитики'!$B$32*('19_Расчет_аналитики'!AV713+'19_Расчет_аналитики'!AV714)*(1+'01_Вводные'!$B$58)+(1-'19_Расчет_аналитики'!$B$32)*('19_Расчет_аналитики'!AU713+'19_Расчет_аналитики'!AU714)*(1+'01_Вводные'!$B$58)</f>
        <v/>
      </c>
      <c r="AW747">
        <f>'19_Расчет_аналитики'!$B$32*('19_Расчет_аналитики'!AW713+'19_Расчет_аналитики'!AW714)*(1+'01_Вводные'!$B$58)+(1-'19_Расчет_аналитики'!$B$32)*('19_Расчет_аналитики'!AV713+'19_Расчет_аналитики'!AV714)*(1+'01_Вводные'!$B$58)</f>
        <v/>
      </c>
      <c r="AX747">
        <f>'19_Расчет_аналитики'!$B$32*('19_Расчет_аналитики'!AX713+'19_Расчет_аналитики'!AX714)*(1+'01_Вводные'!$B$58)+(1-'19_Расчет_аналитики'!$B$32)*('19_Расчет_аналитики'!AW713+'19_Расчет_аналитики'!AW714)*(1+'01_Вводные'!$B$58)</f>
        <v/>
      </c>
      <c r="AY747">
        <f>'19_Расчет_аналитики'!$B$32*('19_Расчет_аналитики'!AY713+'19_Расчет_аналитики'!AY714)*(1+'01_Вводные'!$B$58)+(1-'19_Расчет_аналитики'!$B$32)*('19_Расчет_аналитики'!AX713+'19_Расчет_аналитики'!AX714)*(1+'01_Вводные'!$B$58)</f>
        <v/>
      </c>
      <c r="AZ747">
        <f>'19_Расчет_аналитики'!$B$32*('19_Расчет_аналитики'!AZ713+'19_Расчет_аналитики'!AZ714)*(1+'01_Вводные'!$B$58)+(1-'19_Расчет_аналитики'!$B$32)*('19_Расчет_аналитики'!AY713+'19_Расчет_аналитики'!AY714)*(1+'01_Вводные'!$B$58)</f>
        <v/>
      </c>
      <c r="BA747">
        <f>'19_Расчет_аналитики'!$B$32*('19_Расчет_аналитики'!BA713+'19_Расчет_аналитики'!BA714)*(1+'01_Вводные'!$B$58)+(1-'19_Расчет_аналитики'!$B$32)*('19_Расчет_аналитики'!AZ713+'19_Расчет_аналитики'!AZ714)*(1+'01_Вводные'!$B$58)</f>
        <v/>
      </c>
      <c r="BB747">
        <f>'19_Расчет_аналитики'!$B$32*('19_Расчет_аналитики'!BB713+'19_Расчет_аналитики'!BB714)*(1+'01_Вводные'!$B$58)+(1-'19_Расчет_аналитики'!$B$32)*('19_Расчет_аналитики'!BA713+'19_Расчет_аналитики'!BA714)*(1+'01_Вводные'!$B$58)</f>
        <v/>
      </c>
      <c r="BC747">
        <f>'19_Расчет_аналитики'!$B$32*('19_Расчет_аналитики'!BC713+'19_Расчет_аналитики'!BC714)*(1+'01_Вводные'!$B$58)+(1-'19_Расчет_аналитики'!$B$32)*('19_Расчет_аналитики'!BB713+'19_Расчет_аналитики'!BB714)*(1+'01_Вводные'!$B$58)</f>
        <v/>
      </c>
      <c r="BD747">
        <f>'19_Расчет_аналитики'!$B$32*('19_Расчет_аналитики'!BD713+'19_Расчет_аналитики'!BD714)*(1+'01_Вводные'!$B$58)+(1-'19_Расчет_аналитики'!$B$32)*('19_Расчет_аналитики'!BC713+'19_Расчет_аналитики'!BC714)*(1+'01_Вводные'!$B$58)</f>
        <v/>
      </c>
      <c r="BE747">
        <f>'19_Расчет_аналитики'!$B$32*('19_Расчет_аналитики'!BE713+'19_Расчет_аналитики'!BE714)*(1+'01_Вводные'!$B$58)+(1-'19_Расчет_аналитики'!$B$32)*('19_Расчет_аналитики'!BD713+'19_Расчет_аналитики'!BD714)*(1+'01_Вводные'!$B$58)</f>
        <v/>
      </c>
      <c r="BF747">
        <f>'19_Расчет_аналитики'!$B$32*('19_Расчет_аналитики'!BF713+'19_Расчет_аналитики'!BF714)*(1+'01_Вводные'!$B$58)+(1-'19_Расчет_аналитики'!$B$32)*('19_Расчет_аналитики'!BE713+'19_Расчет_аналитики'!BE714)*(1+'01_Вводные'!$B$58)</f>
        <v/>
      </c>
      <c r="BG747">
        <f>'19_Расчет_аналитики'!$B$32*('19_Расчет_аналитики'!BG713+'19_Расчет_аналитики'!BG714)*(1+'01_Вводные'!$B$58)+(1-'19_Расчет_аналитики'!$B$32)*('19_Расчет_аналитики'!BF713+'19_Расчет_аналитики'!BF714)*(1+'01_Вводные'!$B$58)</f>
        <v/>
      </c>
      <c r="BH747">
        <f>'19_Расчет_аналитики'!$B$32*('19_Расчет_аналитики'!BH713+'19_Расчет_аналитики'!BH714)*(1+'01_Вводные'!$B$58)+(1-'19_Расчет_аналитики'!$B$32)*('19_Расчет_аналитики'!BG713+'19_Расчет_аналитики'!BG714)*(1+'01_Вводные'!$B$58)</f>
        <v/>
      </c>
      <c r="BI747">
        <f>'19_Расчет_аналитики'!$B$32*('19_Расчет_аналитики'!BI713+'19_Расчет_аналитики'!BI714)*(1+'01_Вводные'!$B$58)+(1-'19_Расчет_аналитики'!$B$32)*('19_Расчет_аналитики'!BH713+'19_Расчет_аналитики'!BH714)*(1+'01_Вводные'!$B$58)</f>
        <v/>
      </c>
    </row>
    <row r="748">
      <c r="B748">
        <f>'19_Расчет_аналитики'!B615</f>
        <v/>
      </c>
      <c r="C748">
        <f>'19_Расчет_аналитики'!C615</f>
        <v/>
      </c>
      <c r="D748">
        <f>'19_Расчет_аналитики'!D615</f>
        <v/>
      </c>
      <c r="E748">
        <f>'19_Расчет_аналитики'!E615</f>
        <v/>
      </c>
      <c r="F748">
        <f>'19_Расчет_аналитики'!F615</f>
        <v/>
      </c>
      <c r="G748">
        <f>'19_Расчет_аналитики'!G615</f>
        <v/>
      </c>
      <c r="H748">
        <f>'19_Расчет_аналитики'!H615</f>
        <v/>
      </c>
      <c r="I748">
        <f>'19_Расчет_аналитики'!I615</f>
        <v/>
      </c>
      <c r="J748">
        <f>'19_Расчет_аналитики'!J615</f>
        <v/>
      </c>
      <c r="K748">
        <f>'19_Расчет_аналитики'!K615</f>
        <v/>
      </c>
      <c r="L748">
        <f>'19_Расчет_аналитики'!L615</f>
        <v/>
      </c>
      <c r="M748">
        <f>'19_Расчет_аналитики'!M615</f>
        <v/>
      </c>
      <c r="N748">
        <f>'19_Расчет_аналитики'!N615</f>
        <v/>
      </c>
      <c r="O748">
        <f>'19_Расчет_аналитики'!O615</f>
        <v/>
      </c>
      <c r="P748">
        <f>'19_Расчет_аналитики'!P615</f>
        <v/>
      </c>
      <c r="Q748">
        <f>'19_Расчет_аналитики'!Q615</f>
        <v/>
      </c>
      <c r="R748">
        <f>'19_Расчет_аналитики'!R615</f>
        <v/>
      </c>
      <c r="S748">
        <f>'19_Расчет_аналитики'!S615</f>
        <v/>
      </c>
      <c r="T748">
        <f>'19_Расчет_аналитики'!T615</f>
        <v/>
      </c>
      <c r="U748">
        <f>'19_Расчет_аналитики'!U615</f>
        <v/>
      </c>
      <c r="V748">
        <f>'19_Расчет_аналитики'!V615</f>
        <v/>
      </c>
      <c r="W748">
        <f>'19_Расчет_аналитики'!W615</f>
        <v/>
      </c>
      <c r="X748">
        <f>'19_Расчет_аналитики'!X615</f>
        <v/>
      </c>
      <c r="Y748">
        <f>'19_Расчет_аналитики'!Y615</f>
        <v/>
      </c>
      <c r="Z748">
        <f>'19_Расчет_аналитики'!Z615</f>
        <v/>
      </c>
      <c r="AA748">
        <f>'19_Расчет_аналитики'!AA615</f>
        <v/>
      </c>
      <c r="AB748">
        <f>'19_Расчет_аналитики'!AB615</f>
        <v/>
      </c>
      <c r="AC748">
        <f>'19_Расчет_аналитики'!AC615</f>
        <v/>
      </c>
      <c r="AD748">
        <f>'19_Расчет_аналитики'!AD615</f>
        <v/>
      </c>
      <c r="AE748">
        <f>'19_Расчет_аналитики'!AE615</f>
        <v/>
      </c>
      <c r="AF748">
        <f>'19_Расчет_аналитики'!AF615</f>
        <v/>
      </c>
      <c r="AG748">
        <f>'19_Расчет_аналитики'!AG615</f>
        <v/>
      </c>
      <c r="AH748">
        <f>'19_Расчет_аналитики'!AH615</f>
        <v/>
      </c>
      <c r="AI748">
        <f>'19_Расчет_аналитики'!AI615</f>
        <v/>
      </c>
      <c r="AJ748">
        <f>'19_Расчет_аналитики'!AJ615</f>
        <v/>
      </c>
      <c r="AK748">
        <f>'19_Расчет_аналитики'!AK615</f>
        <v/>
      </c>
      <c r="AL748">
        <f>'19_Расчет_аналитики'!AL615</f>
        <v/>
      </c>
      <c r="AM748">
        <f>'19_Расчет_аналитики'!AM615</f>
        <v/>
      </c>
      <c r="AN748">
        <f>'19_Расчет_аналитики'!AN615</f>
        <v/>
      </c>
      <c r="AO748">
        <f>'19_Расчет_аналитики'!AO615</f>
        <v/>
      </c>
      <c r="AP748">
        <f>'19_Расчет_аналитики'!AP615</f>
        <v/>
      </c>
      <c r="AQ748">
        <f>'19_Расчет_аналитики'!AQ615</f>
        <v/>
      </c>
      <c r="AR748">
        <f>'19_Расчет_аналитики'!AR615</f>
        <v/>
      </c>
      <c r="AS748">
        <f>'19_Расчет_аналитики'!AS615</f>
        <v/>
      </c>
      <c r="AT748">
        <f>'19_Расчет_аналитики'!AT615</f>
        <v/>
      </c>
      <c r="AU748">
        <f>'19_Расчет_аналитики'!AU615</f>
        <v/>
      </c>
      <c r="AV748">
        <f>'19_Расчет_аналитики'!AV615</f>
        <v/>
      </c>
      <c r="AW748">
        <f>'19_Расчет_аналитики'!AW615</f>
        <v/>
      </c>
      <c r="AX748">
        <f>'19_Расчет_аналитики'!AX615</f>
        <v/>
      </c>
      <c r="AY748">
        <f>'19_Расчет_аналитики'!AY615</f>
        <v/>
      </c>
      <c r="AZ748">
        <f>'19_Расчет_аналитики'!AZ615</f>
        <v/>
      </c>
      <c r="BA748">
        <f>'19_Расчет_аналитики'!BA615</f>
        <v/>
      </c>
      <c r="BB748">
        <f>'19_Расчет_аналитики'!BB615</f>
        <v/>
      </c>
      <c r="BC748">
        <f>'19_Расчет_аналитики'!BC615</f>
        <v/>
      </c>
      <c r="BD748">
        <f>'19_Расчет_аналитики'!BD615</f>
        <v/>
      </c>
      <c r="BE748">
        <f>'19_Расчет_аналитики'!BE615</f>
        <v/>
      </c>
      <c r="BF748">
        <f>'19_Расчет_аналитики'!BF615</f>
        <v/>
      </c>
      <c r="BG748">
        <f>'19_Расчет_аналитики'!BG615</f>
        <v/>
      </c>
      <c r="BH748">
        <f>'19_Расчет_аналитики'!BH615</f>
        <v/>
      </c>
      <c r="BI748">
        <f>'19_Расчет_аналитики'!BI615</f>
        <v/>
      </c>
    </row>
    <row r="749">
      <c r="B749">
        <f>'02_Модель'!B55</f>
        <v/>
      </c>
      <c r="C749">
        <f>'02_Модель'!C55</f>
        <v/>
      </c>
      <c r="D749">
        <f>'02_Модель'!D55</f>
        <v/>
      </c>
      <c r="E749">
        <f>'02_Модель'!E55</f>
        <v/>
      </c>
      <c r="F749">
        <f>'02_Модель'!F55</f>
        <v/>
      </c>
      <c r="G749">
        <f>'02_Модель'!G55</f>
        <v/>
      </c>
      <c r="H749">
        <f>'02_Модель'!H55</f>
        <v/>
      </c>
      <c r="I749">
        <f>'02_Модель'!I55</f>
        <v/>
      </c>
      <c r="J749">
        <f>'02_Модель'!J55</f>
        <v/>
      </c>
      <c r="K749">
        <f>'02_Модель'!K55</f>
        <v/>
      </c>
      <c r="L749">
        <f>'02_Модель'!L55</f>
        <v/>
      </c>
      <c r="M749">
        <f>'02_Модель'!M55</f>
        <v/>
      </c>
      <c r="N749">
        <f>'02_Модель'!N55</f>
        <v/>
      </c>
      <c r="O749">
        <f>'02_Модель'!O55</f>
        <v/>
      </c>
      <c r="P749">
        <f>'02_Модель'!P55</f>
        <v/>
      </c>
      <c r="Q749">
        <f>'02_Модель'!Q55</f>
        <v/>
      </c>
      <c r="R749">
        <f>'02_Модель'!R55</f>
        <v/>
      </c>
      <c r="S749">
        <f>'02_Модель'!S55</f>
        <v/>
      </c>
      <c r="T749">
        <f>'02_Модель'!T55</f>
        <v/>
      </c>
      <c r="U749">
        <f>'02_Модель'!U55</f>
        <v/>
      </c>
      <c r="V749">
        <f>'02_Модель'!V55</f>
        <v/>
      </c>
      <c r="W749">
        <f>'02_Модель'!W55</f>
        <v/>
      </c>
      <c r="X749">
        <f>'02_Модель'!X55</f>
        <v/>
      </c>
      <c r="Y749">
        <f>'02_Модель'!Y55</f>
        <v/>
      </c>
      <c r="Z749">
        <f>'02_Модель'!Z55</f>
        <v/>
      </c>
      <c r="AA749">
        <f>'02_Модель'!AA55</f>
        <v/>
      </c>
      <c r="AB749">
        <f>'02_Модель'!AB55</f>
        <v/>
      </c>
      <c r="AC749">
        <f>'02_Модель'!AC55</f>
        <v/>
      </c>
      <c r="AD749">
        <f>'02_Модель'!AD55</f>
        <v/>
      </c>
      <c r="AE749">
        <f>'02_Модель'!AE55</f>
        <v/>
      </c>
      <c r="AF749">
        <f>'02_Модель'!AF55</f>
        <v/>
      </c>
      <c r="AG749">
        <f>'02_Модель'!AG55</f>
        <v/>
      </c>
      <c r="AH749">
        <f>'02_Модель'!AH55</f>
        <v/>
      </c>
      <c r="AI749">
        <f>'02_Модель'!AI55</f>
        <v/>
      </c>
      <c r="AJ749">
        <f>'02_Модель'!AJ55</f>
        <v/>
      </c>
      <c r="AK749">
        <f>'02_Модель'!AK55</f>
        <v/>
      </c>
      <c r="AL749">
        <f>'02_Модель'!AL55</f>
        <v/>
      </c>
      <c r="AM749">
        <f>'02_Модель'!AM55</f>
        <v/>
      </c>
      <c r="AN749">
        <f>'02_Модель'!AN55</f>
        <v/>
      </c>
      <c r="AO749">
        <f>'02_Модель'!AO55</f>
        <v/>
      </c>
      <c r="AP749">
        <f>'02_Модель'!AP55</f>
        <v/>
      </c>
      <c r="AQ749">
        <f>'02_Модель'!AQ55</f>
        <v/>
      </c>
      <c r="AR749">
        <f>'02_Модель'!AR55</f>
        <v/>
      </c>
      <c r="AS749">
        <f>'02_Модель'!AS55</f>
        <v/>
      </c>
      <c r="AT749">
        <f>'02_Модель'!AT55</f>
        <v/>
      </c>
      <c r="AU749">
        <f>'02_Модель'!AU55</f>
        <v/>
      </c>
      <c r="AV749">
        <f>'02_Модель'!AV55</f>
        <v/>
      </c>
      <c r="AW749">
        <f>'02_Модель'!AW55</f>
        <v/>
      </c>
      <c r="AX749">
        <f>'02_Модель'!AX55</f>
        <v/>
      </c>
      <c r="AY749">
        <f>'02_Модель'!AY55</f>
        <v/>
      </c>
      <c r="AZ749">
        <f>'02_Модель'!AZ55</f>
        <v/>
      </c>
      <c r="BA749">
        <f>'02_Модель'!BA55</f>
        <v/>
      </c>
      <c r="BB749">
        <f>'02_Модель'!BB55</f>
        <v/>
      </c>
      <c r="BC749">
        <f>'02_Модель'!BC55</f>
        <v/>
      </c>
      <c r="BD749">
        <f>'02_Модель'!BD55</f>
        <v/>
      </c>
      <c r="BE749">
        <f>'02_Модель'!BE55</f>
        <v/>
      </c>
      <c r="BF749">
        <f>'02_Модель'!BF55</f>
        <v/>
      </c>
      <c r="BG749">
        <f>'02_Модель'!BG55</f>
        <v/>
      </c>
      <c r="BH749">
        <f>'02_Модель'!BH55</f>
        <v/>
      </c>
      <c r="BI749">
        <f>'02_Модель'!BI55</f>
        <v/>
      </c>
    </row>
    <row r="750">
      <c r="B750">
        <f>SUM('19_Расчет_аналитики'!B746:B749)</f>
        <v/>
      </c>
      <c r="C750">
        <f>SUM('19_Расчет_аналитики'!C746:C749)</f>
        <v/>
      </c>
      <c r="D750">
        <f>SUM('19_Расчет_аналитики'!D746:D749)</f>
        <v/>
      </c>
      <c r="E750">
        <f>SUM('19_Расчет_аналитики'!E746:E749)</f>
        <v/>
      </c>
      <c r="F750">
        <f>SUM('19_Расчет_аналитики'!F746:F749)</f>
        <v/>
      </c>
      <c r="G750">
        <f>SUM('19_Расчет_аналитики'!G746:G749)</f>
        <v/>
      </c>
      <c r="H750">
        <f>SUM('19_Расчет_аналитики'!H746:H749)</f>
        <v/>
      </c>
      <c r="I750">
        <f>SUM('19_Расчет_аналитики'!I746:I749)</f>
        <v/>
      </c>
      <c r="J750">
        <f>SUM('19_Расчет_аналитики'!J746:J749)</f>
        <v/>
      </c>
      <c r="K750">
        <f>SUM('19_Расчет_аналитики'!K746:K749)</f>
        <v/>
      </c>
      <c r="L750">
        <f>SUM('19_Расчет_аналитики'!L746:L749)</f>
        <v/>
      </c>
      <c r="M750">
        <f>SUM('19_Расчет_аналитики'!M746:M749)</f>
        <v/>
      </c>
      <c r="N750">
        <f>SUM('19_Расчет_аналитики'!N746:N749)</f>
        <v/>
      </c>
      <c r="O750">
        <f>SUM('19_Расчет_аналитики'!O746:O749)</f>
        <v/>
      </c>
      <c r="P750">
        <f>SUM('19_Расчет_аналитики'!P746:P749)</f>
        <v/>
      </c>
      <c r="Q750">
        <f>SUM('19_Расчет_аналитики'!Q746:Q749)</f>
        <v/>
      </c>
      <c r="R750">
        <f>SUM('19_Расчет_аналитики'!R746:R749)</f>
        <v/>
      </c>
      <c r="S750">
        <f>SUM('19_Расчет_аналитики'!S746:S749)</f>
        <v/>
      </c>
      <c r="T750">
        <f>SUM('19_Расчет_аналитики'!T746:T749)</f>
        <v/>
      </c>
      <c r="U750">
        <f>SUM('19_Расчет_аналитики'!U746:U749)</f>
        <v/>
      </c>
      <c r="V750">
        <f>SUM('19_Расчет_аналитики'!V746:V749)</f>
        <v/>
      </c>
      <c r="W750">
        <f>SUM('19_Расчет_аналитики'!W746:W749)</f>
        <v/>
      </c>
      <c r="X750">
        <f>SUM('19_Расчет_аналитики'!X746:X749)</f>
        <v/>
      </c>
      <c r="Y750">
        <f>SUM('19_Расчет_аналитики'!Y746:Y749)</f>
        <v/>
      </c>
      <c r="Z750">
        <f>SUM('19_Расчет_аналитики'!Z746:Z749)</f>
        <v/>
      </c>
      <c r="AA750">
        <f>SUM('19_Расчет_аналитики'!AA746:AA749)</f>
        <v/>
      </c>
      <c r="AB750">
        <f>SUM('19_Расчет_аналитики'!AB746:AB749)</f>
        <v/>
      </c>
      <c r="AC750">
        <f>SUM('19_Расчет_аналитики'!AC746:AC749)</f>
        <v/>
      </c>
      <c r="AD750">
        <f>SUM('19_Расчет_аналитики'!AD746:AD749)</f>
        <v/>
      </c>
      <c r="AE750">
        <f>SUM('19_Расчет_аналитики'!AE746:AE749)</f>
        <v/>
      </c>
      <c r="AF750">
        <f>SUM('19_Расчет_аналитики'!AF746:AF749)</f>
        <v/>
      </c>
      <c r="AG750">
        <f>SUM('19_Расчет_аналитики'!AG746:AG749)</f>
        <v/>
      </c>
      <c r="AH750">
        <f>SUM('19_Расчет_аналитики'!AH746:AH749)</f>
        <v/>
      </c>
      <c r="AI750">
        <f>SUM('19_Расчет_аналитики'!AI746:AI749)</f>
        <v/>
      </c>
      <c r="AJ750">
        <f>SUM('19_Расчет_аналитики'!AJ746:AJ749)</f>
        <v/>
      </c>
      <c r="AK750">
        <f>SUM('19_Расчет_аналитики'!AK746:AK749)</f>
        <v/>
      </c>
      <c r="AL750">
        <f>SUM('19_Расчет_аналитики'!AL746:AL749)</f>
        <v/>
      </c>
      <c r="AM750">
        <f>SUM('19_Расчет_аналитики'!AM746:AM749)</f>
        <v/>
      </c>
      <c r="AN750">
        <f>SUM('19_Расчет_аналитики'!AN746:AN749)</f>
        <v/>
      </c>
      <c r="AO750">
        <f>SUM('19_Расчет_аналитики'!AO746:AO749)</f>
        <v/>
      </c>
      <c r="AP750">
        <f>SUM('19_Расчет_аналитики'!AP746:AP749)</f>
        <v/>
      </c>
      <c r="AQ750">
        <f>SUM('19_Расчет_аналитики'!AQ746:AQ749)</f>
        <v/>
      </c>
      <c r="AR750">
        <f>SUM('19_Расчет_аналитики'!AR746:AR749)</f>
        <v/>
      </c>
      <c r="AS750">
        <f>SUM('19_Расчет_аналитики'!AS746:AS749)</f>
        <v/>
      </c>
      <c r="AT750">
        <f>SUM('19_Расчет_аналитики'!AT746:AT749)</f>
        <v/>
      </c>
      <c r="AU750">
        <f>SUM('19_Расчет_аналитики'!AU746:AU749)</f>
        <v/>
      </c>
      <c r="AV750">
        <f>SUM('19_Расчет_аналитики'!AV746:AV749)</f>
        <v/>
      </c>
      <c r="AW750">
        <f>SUM('19_Расчет_аналитики'!AW746:AW749)</f>
        <v/>
      </c>
      <c r="AX750">
        <f>SUM('19_Расчет_аналитики'!AX746:AX749)</f>
        <v/>
      </c>
      <c r="AY750">
        <f>SUM('19_Расчет_аналитики'!AY746:AY749)</f>
        <v/>
      </c>
      <c r="AZ750">
        <f>SUM('19_Расчет_аналитики'!AZ746:AZ749)</f>
        <v/>
      </c>
      <c r="BA750">
        <f>SUM('19_Расчет_аналитики'!BA746:BA749)</f>
        <v/>
      </c>
      <c r="BB750">
        <f>SUM('19_Расчет_аналитики'!BB746:BB749)</f>
        <v/>
      </c>
      <c r="BC750">
        <f>SUM('19_Расчет_аналитики'!BC746:BC749)</f>
        <v/>
      </c>
      <c r="BD750">
        <f>SUM('19_Расчет_аналитики'!BD746:BD749)</f>
        <v/>
      </c>
      <c r="BE750">
        <f>SUM('19_Расчет_аналитики'!BE746:BE749)</f>
        <v/>
      </c>
      <c r="BF750">
        <f>SUM('19_Расчет_аналитики'!BF746:BF749)</f>
        <v/>
      </c>
      <c r="BG750">
        <f>SUM('19_Расчет_аналитики'!BG746:BG749)</f>
        <v/>
      </c>
      <c r="BH750">
        <f>SUM('19_Расчет_аналитики'!BH746:BH749)</f>
        <v/>
      </c>
      <c r="BI750">
        <f>SUM('19_Расчет_аналитики'!BI746:BI749)</f>
        <v/>
      </c>
    </row>
    <row r="751">
      <c r="B751">
        <f>'19_Расчет_аналитики'!B793</f>
        <v/>
      </c>
      <c r="C751">
        <f>'19_Расчет_аналитики'!C793</f>
        <v/>
      </c>
      <c r="D751">
        <f>'19_Расчет_аналитики'!D793</f>
        <v/>
      </c>
      <c r="E751">
        <f>'19_Расчет_аналитики'!E793</f>
        <v/>
      </c>
      <c r="F751">
        <f>'19_Расчет_аналитики'!F793</f>
        <v/>
      </c>
      <c r="G751">
        <f>'19_Расчет_аналитики'!G793</f>
        <v/>
      </c>
      <c r="H751">
        <f>'19_Расчет_аналитики'!H793</f>
        <v/>
      </c>
      <c r="I751">
        <f>'19_Расчет_аналитики'!I793</f>
        <v/>
      </c>
      <c r="J751">
        <f>'19_Расчет_аналитики'!J793</f>
        <v/>
      </c>
      <c r="K751">
        <f>'19_Расчет_аналитики'!K793</f>
        <v/>
      </c>
      <c r="L751">
        <f>'19_Расчет_аналитики'!L793</f>
        <v/>
      </c>
      <c r="M751">
        <f>'19_Расчет_аналитики'!M793</f>
        <v/>
      </c>
      <c r="N751">
        <f>'19_Расчет_аналитики'!N793</f>
        <v/>
      </c>
      <c r="O751">
        <f>'19_Расчет_аналитики'!O793</f>
        <v/>
      </c>
      <c r="P751">
        <f>'19_Расчет_аналитики'!P793</f>
        <v/>
      </c>
      <c r="Q751">
        <f>'19_Расчет_аналитики'!Q793</f>
        <v/>
      </c>
      <c r="R751">
        <f>'19_Расчет_аналитики'!R793</f>
        <v/>
      </c>
      <c r="S751">
        <f>'19_Расчет_аналитики'!S793</f>
        <v/>
      </c>
      <c r="T751">
        <f>'19_Расчет_аналитики'!T793</f>
        <v/>
      </c>
      <c r="U751">
        <f>'19_Расчет_аналитики'!U793</f>
        <v/>
      </c>
      <c r="V751">
        <f>'19_Расчет_аналитики'!V793</f>
        <v/>
      </c>
      <c r="W751">
        <f>'19_Расчет_аналитики'!W793</f>
        <v/>
      </c>
      <c r="X751">
        <f>'19_Расчет_аналитики'!X793</f>
        <v/>
      </c>
      <c r="Y751">
        <f>'19_Расчет_аналитики'!Y793</f>
        <v/>
      </c>
      <c r="Z751">
        <f>'19_Расчет_аналитики'!Z793</f>
        <v/>
      </c>
      <c r="AA751">
        <f>'19_Расчет_аналитики'!AA793</f>
        <v/>
      </c>
      <c r="AB751">
        <f>'19_Расчет_аналитики'!AB793</f>
        <v/>
      </c>
      <c r="AC751">
        <f>'19_Расчет_аналитики'!AC793</f>
        <v/>
      </c>
      <c r="AD751">
        <f>'19_Расчет_аналитики'!AD793</f>
        <v/>
      </c>
      <c r="AE751">
        <f>'19_Расчет_аналитики'!AE793</f>
        <v/>
      </c>
      <c r="AF751">
        <f>'19_Расчет_аналитики'!AF793</f>
        <v/>
      </c>
      <c r="AG751">
        <f>'19_Расчет_аналитики'!AG793</f>
        <v/>
      </c>
      <c r="AH751">
        <f>'19_Расчет_аналитики'!AH793</f>
        <v/>
      </c>
      <c r="AI751">
        <f>'19_Расчет_аналитики'!AI793</f>
        <v/>
      </c>
      <c r="AJ751">
        <f>'19_Расчет_аналитики'!AJ793</f>
        <v/>
      </c>
      <c r="AK751">
        <f>'19_Расчет_аналитики'!AK793</f>
        <v/>
      </c>
      <c r="AL751">
        <f>'19_Расчет_аналитики'!AL793</f>
        <v/>
      </c>
      <c r="AM751">
        <f>'19_Расчет_аналитики'!AM793</f>
        <v/>
      </c>
      <c r="AN751">
        <f>'19_Расчет_аналитики'!AN793</f>
        <v/>
      </c>
      <c r="AO751">
        <f>'19_Расчет_аналитики'!AO793</f>
        <v/>
      </c>
      <c r="AP751">
        <f>'19_Расчет_аналитики'!AP793</f>
        <v/>
      </c>
      <c r="AQ751">
        <f>'19_Расчет_аналитики'!AQ793</f>
        <v/>
      </c>
      <c r="AR751">
        <f>'19_Расчет_аналитики'!AR793</f>
        <v/>
      </c>
      <c r="AS751">
        <f>'19_Расчет_аналитики'!AS793</f>
        <v/>
      </c>
      <c r="AT751">
        <f>'19_Расчет_аналитики'!AT793</f>
        <v/>
      </c>
      <c r="AU751">
        <f>'19_Расчет_аналитики'!AU793</f>
        <v/>
      </c>
      <c r="AV751">
        <f>'19_Расчет_аналитики'!AV793</f>
        <v/>
      </c>
      <c r="AW751">
        <f>'19_Расчет_аналитики'!AW793</f>
        <v/>
      </c>
      <c r="AX751">
        <f>'19_Расчет_аналитики'!AX793</f>
        <v/>
      </c>
      <c r="AY751">
        <f>'19_Расчет_аналитики'!AY793</f>
        <v/>
      </c>
      <c r="AZ751">
        <f>'19_Расчет_аналитики'!AZ793</f>
        <v/>
      </c>
      <c r="BA751">
        <f>'19_Расчет_аналитики'!BA793</f>
        <v/>
      </c>
      <c r="BB751">
        <f>'19_Расчет_аналитики'!BB793</f>
        <v/>
      </c>
      <c r="BC751">
        <f>'19_Расчет_аналитики'!BC793</f>
        <v/>
      </c>
      <c r="BD751">
        <f>'19_Расчет_аналитики'!BD793</f>
        <v/>
      </c>
      <c r="BE751">
        <f>'19_Расчет_аналитики'!BE793</f>
        <v/>
      </c>
      <c r="BF751">
        <f>'19_Расчет_аналитики'!BF793</f>
        <v/>
      </c>
      <c r="BG751">
        <f>'19_Расчет_аналитики'!BG793</f>
        <v/>
      </c>
      <c r="BH751">
        <f>'19_Расчет_аналитики'!BH793</f>
        <v/>
      </c>
      <c r="BI751">
        <f>'19_Расчет_аналитики'!BI793</f>
        <v/>
      </c>
    </row>
    <row r="752">
      <c r="B752">
        <f>'19_Расчет_аналитики'!B721</f>
        <v/>
      </c>
      <c r="C752">
        <f>'19_Расчет_аналитики'!C721</f>
        <v/>
      </c>
      <c r="D752">
        <f>'19_Расчет_аналитики'!D721</f>
        <v/>
      </c>
      <c r="E752">
        <f>'19_Расчет_аналитики'!E721</f>
        <v/>
      </c>
      <c r="F752">
        <f>'19_Расчет_аналитики'!F721</f>
        <v/>
      </c>
      <c r="G752">
        <f>'19_Расчет_аналитики'!G721</f>
        <v/>
      </c>
      <c r="H752">
        <f>'19_Расчет_аналитики'!H721</f>
        <v/>
      </c>
      <c r="I752">
        <f>'19_Расчет_аналитики'!I721</f>
        <v/>
      </c>
      <c r="J752">
        <f>'19_Расчет_аналитики'!J721</f>
        <v/>
      </c>
      <c r="K752">
        <f>'19_Расчет_аналитики'!K721</f>
        <v/>
      </c>
      <c r="L752">
        <f>'19_Расчет_аналитики'!L721</f>
        <v/>
      </c>
      <c r="M752">
        <f>'19_Расчет_аналитики'!M721</f>
        <v/>
      </c>
      <c r="N752">
        <f>'19_Расчет_аналитики'!N721</f>
        <v/>
      </c>
      <c r="O752">
        <f>'19_Расчет_аналитики'!O721</f>
        <v/>
      </c>
      <c r="P752">
        <f>'19_Расчет_аналитики'!P721</f>
        <v/>
      </c>
      <c r="Q752">
        <f>'19_Расчет_аналитики'!Q721</f>
        <v/>
      </c>
      <c r="R752">
        <f>'19_Расчет_аналитики'!R721</f>
        <v/>
      </c>
      <c r="S752">
        <f>'19_Расчет_аналитики'!S721</f>
        <v/>
      </c>
      <c r="T752">
        <f>'19_Расчет_аналитики'!T721</f>
        <v/>
      </c>
      <c r="U752">
        <f>'19_Расчет_аналитики'!U721</f>
        <v/>
      </c>
      <c r="V752">
        <f>'19_Расчет_аналитики'!V721</f>
        <v/>
      </c>
      <c r="W752">
        <f>'19_Расчет_аналитики'!W721</f>
        <v/>
      </c>
      <c r="X752">
        <f>'19_Расчет_аналитики'!X721</f>
        <v/>
      </c>
      <c r="Y752">
        <f>'19_Расчет_аналитики'!Y721</f>
        <v/>
      </c>
      <c r="Z752">
        <f>'19_Расчет_аналитики'!Z721</f>
        <v/>
      </c>
      <c r="AA752">
        <f>'19_Расчет_аналитики'!AA721</f>
        <v/>
      </c>
      <c r="AB752">
        <f>'19_Расчет_аналитики'!AB721</f>
        <v/>
      </c>
      <c r="AC752">
        <f>'19_Расчет_аналитики'!AC721</f>
        <v/>
      </c>
      <c r="AD752">
        <f>'19_Расчет_аналитики'!AD721</f>
        <v/>
      </c>
      <c r="AE752">
        <f>'19_Расчет_аналитики'!AE721</f>
        <v/>
      </c>
      <c r="AF752">
        <f>'19_Расчет_аналитики'!AF721</f>
        <v/>
      </c>
      <c r="AG752">
        <f>'19_Расчет_аналитики'!AG721</f>
        <v/>
      </c>
      <c r="AH752">
        <f>'19_Расчет_аналитики'!AH721</f>
        <v/>
      </c>
      <c r="AI752">
        <f>'19_Расчет_аналитики'!AI721</f>
        <v/>
      </c>
      <c r="AJ752">
        <f>'19_Расчет_аналитики'!AJ721</f>
        <v/>
      </c>
      <c r="AK752">
        <f>'19_Расчет_аналитики'!AK721</f>
        <v/>
      </c>
      <c r="AL752">
        <f>'19_Расчет_аналитики'!AL721</f>
        <v/>
      </c>
      <c r="AM752">
        <f>'19_Расчет_аналитики'!AM721</f>
        <v/>
      </c>
      <c r="AN752">
        <f>'19_Расчет_аналитики'!AN721</f>
        <v/>
      </c>
      <c r="AO752">
        <f>'19_Расчет_аналитики'!AO721</f>
        <v/>
      </c>
      <c r="AP752">
        <f>'19_Расчет_аналитики'!AP721</f>
        <v/>
      </c>
      <c r="AQ752">
        <f>'19_Расчет_аналитики'!AQ721</f>
        <v/>
      </c>
      <c r="AR752">
        <f>'19_Расчет_аналитики'!AR721</f>
        <v/>
      </c>
      <c r="AS752">
        <f>'19_Расчет_аналитики'!AS721</f>
        <v/>
      </c>
      <c r="AT752">
        <f>'19_Расчет_аналитики'!AT721</f>
        <v/>
      </c>
      <c r="AU752">
        <f>'19_Расчет_аналитики'!AU721</f>
        <v/>
      </c>
      <c r="AV752">
        <f>'19_Расчет_аналитики'!AV721</f>
        <v/>
      </c>
      <c r="AW752">
        <f>'19_Расчет_аналитики'!AW721</f>
        <v/>
      </c>
      <c r="AX752">
        <f>'19_Расчет_аналитики'!AX721</f>
        <v/>
      </c>
      <c r="AY752">
        <f>'19_Расчет_аналитики'!AY721</f>
        <v/>
      </c>
      <c r="AZ752">
        <f>'19_Расчет_аналитики'!AZ721</f>
        <v/>
      </c>
      <c r="BA752">
        <f>'19_Расчет_аналитики'!BA721</f>
        <v/>
      </c>
      <c r="BB752">
        <f>'19_Расчет_аналитики'!BB721</f>
        <v/>
      </c>
      <c r="BC752">
        <f>'19_Расчет_аналитики'!BC721</f>
        <v/>
      </c>
      <c r="BD752">
        <f>'19_Расчет_аналитики'!BD721</f>
        <v/>
      </c>
      <c r="BE752">
        <f>'19_Расчет_аналитики'!BE721</f>
        <v/>
      </c>
      <c r="BF752">
        <f>'19_Расчет_аналитики'!BF721</f>
        <v/>
      </c>
      <c r="BG752">
        <f>'19_Расчет_аналитики'!BG721</f>
        <v/>
      </c>
      <c r="BH752">
        <f>'19_Расчет_аналитики'!BH721</f>
        <v/>
      </c>
      <c r="BI752">
        <f>'19_Расчет_аналитики'!BI721</f>
        <v/>
      </c>
    </row>
    <row r="753">
      <c r="B753">
        <f>'01_Вводные'!$B$21*('19_Расчет_аналитики'!B731+'02_Модель'!B38+'02_Модель'!B39+'02_Модель'!B40+'02_Модель'!B41+'19_Расчет_аналитики'!B736+'19_Расчет_аналитики'!B626)+(1-'01_Вводные'!$B$21)*0</f>
        <v/>
      </c>
      <c r="C753">
        <f>'01_Вводные'!$B$21*('19_Расчет_аналитики'!C731+'02_Модель'!C38+'02_Модель'!C39+'02_Модель'!C40+'02_Модель'!C41+'19_Расчет_аналитики'!C736+'19_Расчет_аналитики'!C626)+(1-'01_Вводные'!$B$21)*('19_Расчет_аналитики'!B731+'02_Модель'!B38+'02_Модель'!B39+'02_Модель'!B40+'02_Модель'!B41+'19_Расчет_аналитики'!B736+'19_Расчет_аналитики'!B626)</f>
        <v/>
      </c>
      <c r="D753">
        <f>'01_Вводные'!$B$21*('19_Расчет_аналитики'!D731+'02_Модель'!D38+'02_Модель'!D39+'02_Модель'!D40+'02_Модель'!D41+'19_Расчет_аналитики'!D736+'19_Расчет_аналитики'!D626)+(1-'01_Вводные'!$B$21)*('19_Расчет_аналитики'!C731+'02_Модель'!C38+'02_Модель'!C39+'02_Модель'!C40+'02_Модель'!C41+'19_Расчет_аналитики'!C736+'19_Расчет_аналитики'!C626)</f>
        <v/>
      </c>
      <c r="E753">
        <f>'01_Вводные'!$B$21*('19_Расчет_аналитики'!E731+'02_Модель'!E38+'02_Модель'!E39+'02_Модель'!E40+'02_Модель'!E41+'19_Расчет_аналитики'!E736+'19_Расчет_аналитики'!E626)+(1-'01_Вводные'!$B$21)*('19_Расчет_аналитики'!D731+'02_Модель'!D38+'02_Модель'!D39+'02_Модель'!D40+'02_Модель'!D41+'19_Расчет_аналитики'!D736+'19_Расчет_аналитики'!D626)</f>
        <v/>
      </c>
      <c r="F753">
        <f>'01_Вводные'!$B$21*('19_Расчет_аналитики'!F731+'02_Модель'!F38+'02_Модель'!F39+'02_Модель'!F40+'02_Модель'!F41+'19_Расчет_аналитики'!F736+'19_Расчет_аналитики'!F626)+(1-'01_Вводные'!$B$21)*('19_Расчет_аналитики'!E731+'02_Модель'!E38+'02_Модель'!E39+'02_Модель'!E40+'02_Модель'!E41+'19_Расчет_аналитики'!E736+'19_Расчет_аналитики'!E626)</f>
        <v/>
      </c>
      <c r="G753">
        <f>'01_Вводные'!$B$21*('19_Расчет_аналитики'!G731+'02_Модель'!G38+'02_Модель'!G39+'02_Модель'!G40+'02_Модель'!G41+'19_Расчет_аналитики'!G736+'19_Расчет_аналитики'!G626)+(1-'01_Вводные'!$B$21)*('19_Расчет_аналитики'!F731+'02_Модель'!F38+'02_Модель'!F39+'02_Модель'!F40+'02_Модель'!F41+'19_Расчет_аналитики'!F736+'19_Расчет_аналитики'!F626)</f>
        <v/>
      </c>
      <c r="H753">
        <f>'01_Вводные'!$B$21*('19_Расчет_аналитики'!H731+'02_Модель'!H38+'02_Модель'!H39+'02_Модель'!H40+'02_Модель'!H41+'19_Расчет_аналитики'!H736+'19_Расчет_аналитики'!H626)+(1-'01_Вводные'!$B$21)*('19_Расчет_аналитики'!G731+'02_Модель'!G38+'02_Модель'!G39+'02_Модель'!G40+'02_Модель'!G41+'19_Расчет_аналитики'!G736+'19_Расчет_аналитики'!G626)</f>
        <v/>
      </c>
      <c r="I753">
        <f>'01_Вводные'!$B$21*('19_Расчет_аналитики'!I731+'02_Модель'!I38+'02_Модель'!I39+'02_Модель'!I40+'02_Модель'!I41+'19_Расчет_аналитики'!I736+'19_Расчет_аналитики'!I626)+(1-'01_Вводные'!$B$21)*('19_Расчет_аналитики'!H731+'02_Модель'!H38+'02_Модель'!H39+'02_Модель'!H40+'02_Модель'!H41+'19_Расчет_аналитики'!H736+'19_Расчет_аналитики'!H626)</f>
        <v/>
      </c>
      <c r="J753">
        <f>'01_Вводные'!$B$21*('19_Расчет_аналитики'!J731+'02_Модель'!J38+'02_Модель'!J39+'02_Модель'!J40+'02_Модель'!J41+'19_Расчет_аналитики'!J736+'19_Расчет_аналитики'!J626)+(1-'01_Вводные'!$B$21)*('19_Расчет_аналитики'!I731+'02_Модель'!I38+'02_Модель'!I39+'02_Модель'!I40+'02_Модель'!I41+'19_Расчет_аналитики'!I736+'19_Расчет_аналитики'!I626)</f>
        <v/>
      </c>
      <c r="K753">
        <f>'01_Вводные'!$B$21*('19_Расчет_аналитики'!K731+'02_Модель'!K38+'02_Модель'!K39+'02_Модель'!K40+'02_Модель'!K41+'19_Расчет_аналитики'!K736+'19_Расчет_аналитики'!K626)+(1-'01_Вводные'!$B$21)*('19_Расчет_аналитики'!J731+'02_Модель'!J38+'02_Модель'!J39+'02_Модель'!J40+'02_Модель'!J41+'19_Расчет_аналитики'!J736+'19_Расчет_аналитики'!J626)</f>
        <v/>
      </c>
      <c r="L753">
        <f>'01_Вводные'!$B$21*('19_Расчет_аналитики'!L731+'02_Модель'!L38+'02_Модель'!L39+'02_Модель'!L40+'02_Модель'!L41+'19_Расчет_аналитики'!L736+'19_Расчет_аналитики'!L626)+(1-'01_Вводные'!$B$21)*('19_Расчет_аналитики'!K731+'02_Модель'!K38+'02_Модель'!K39+'02_Модель'!K40+'02_Модель'!K41+'19_Расчет_аналитики'!K736+'19_Расчет_аналитики'!K626)</f>
        <v/>
      </c>
      <c r="M753">
        <f>'01_Вводные'!$B$21*('19_Расчет_аналитики'!M731+'02_Модель'!M38+'02_Модель'!M39+'02_Модель'!M40+'02_Модель'!M41+'19_Расчет_аналитики'!M736+'19_Расчет_аналитики'!M626)+(1-'01_Вводные'!$B$21)*('19_Расчет_аналитики'!L731+'02_Модель'!L38+'02_Модель'!L39+'02_Модель'!L40+'02_Модель'!L41+'19_Расчет_аналитики'!L736+'19_Расчет_аналитики'!L626)</f>
        <v/>
      </c>
      <c r="N753">
        <f>'01_Вводные'!$B$21*('19_Расчет_аналитики'!N731+'02_Модель'!N38+'02_Модель'!N39+'02_Модель'!N40+'02_Модель'!N41+'19_Расчет_аналитики'!N736+'19_Расчет_аналитики'!N626)+(1-'01_Вводные'!$B$21)*('19_Расчет_аналитики'!M731+'02_Модель'!M38+'02_Модель'!M39+'02_Модель'!M40+'02_Модель'!M41+'19_Расчет_аналитики'!M736+'19_Расчет_аналитики'!M626)</f>
        <v/>
      </c>
      <c r="O753">
        <f>'01_Вводные'!$B$21*('19_Расчет_аналитики'!O731+'02_Модель'!O38+'02_Модель'!O39+'02_Модель'!O40+'02_Модель'!O41+'19_Расчет_аналитики'!O736+'19_Расчет_аналитики'!O626)+(1-'01_Вводные'!$B$21)*('19_Расчет_аналитики'!N731+'02_Модель'!N38+'02_Модель'!N39+'02_Модель'!N40+'02_Модель'!N41+'19_Расчет_аналитики'!N736+'19_Расчет_аналитики'!N626)</f>
        <v/>
      </c>
      <c r="P753">
        <f>'01_Вводные'!$B$21*('19_Расчет_аналитики'!P731+'02_Модель'!P38+'02_Модель'!P39+'02_Модель'!P40+'02_Модель'!P41+'19_Расчет_аналитики'!P736+'19_Расчет_аналитики'!P626)+(1-'01_Вводные'!$B$21)*('19_Расчет_аналитики'!O731+'02_Модель'!O38+'02_Модель'!O39+'02_Модель'!O40+'02_Модель'!O41+'19_Расчет_аналитики'!O736+'19_Расчет_аналитики'!O626)</f>
        <v/>
      </c>
      <c r="Q753">
        <f>'01_Вводные'!$B$21*('19_Расчет_аналитики'!Q731+'02_Модель'!Q38+'02_Модель'!Q39+'02_Модель'!Q40+'02_Модель'!Q41+'19_Расчет_аналитики'!Q736+'19_Расчет_аналитики'!Q626)+(1-'01_Вводные'!$B$21)*('19_Расчет_аналитики'!P731+'02_Модель'!P38+'02_Модель'!P39+'02_Модель'!P40+'02_Модель'!P41+'19_Расчет_аналитики'!P736+'19_Расчет_аналитики'!P626)</f>
        <v/>
      </c>
      <c r="R753">
        <f>'01_Вводные'!$B$21*('19_Расчет_аналитики'!R731+'02_Модель'!R38+'02_Модель'!R39+'02_Модель'!R40+'02_Модель'!R41+'19_Расчет_аналитики'!R736+'19_Расчет_аналитики'!R626)+(1-'01_Вводные'!$B$21)*('19_Расчет_аналитики'!Q731+'02_Модель'!Q38+'02_Модель'!Q39+'02_Модель'!Q40+'02_Модель'!Q41+'19_Расчет_аналитики'!Q736+'19_Расчет_аналитики'!Q626)</f>
        <v/>
      </c>
      <c r="S753">
        <f>'01_Вводные'!$B$21*('19_Расчет_аналитики'!S731+'02_Модель'!S38+'02_Модель'!S39+'02_Модель'!S40+'02_Модель'!S41+'19_Расчет_аналитики'!S736+'19_Расчет_аналитики'!S626)+(1-'01_Вводные'!$B$21)*('19_Расчет_аналитики'!R731+'02_Модель'!R38+'02_Модель'!R39+'02_Модель'!R40+'02_Модель'!R41+'19_Расчет_аналитики'!R736+'19_Расчет_аналитики'!R626)</f>
        <v/>
      </c>
      <c r="T753">
        <f>'01_Вводные'!$B$21*('19_Расчет_аналитики'!T731+'02_Модель'!T38+'02_Модель'!T39+'02_Модель'!T40+'02_Модель'!T41+'19_Расчет_аналитики'!T736+'19_Расчет_аналитики'!T626)+(1-'01_Вводные'!$B$21)*('19_Расчет_аналитики'!S731+'02_Модель'!S38+'02_Модель'!S39+'02_Модель'!S40+'02_Модель'!S41+'19_Расчет_аналитики'!S736+'19_Расчет_аналитики'!S626)</f>
        <v/>
      </c>
      <c r="U753">
        <f>'01_Вводные'!$B$21*('19_Расчет_аналитики'!U731+'02_Модель'!U38+'02_Модель'!U39+'02_Модель'!U40+'02_Модель'!U41+'19_Расчет_аналитики'!U736+'19_Расчет_аналитики'!U626)+(1-'01_Вводные'!$B$21)*('19_Расчет_аналитики'!T731+'02_Модель'!T38+'02_Модель'!T39+'02_Модель'!T40+'02_Модель'!T41+'19_Расчет_аналитики'!T736+'19_Расчет_аналитики'!T626)</f>
        <v/>
      </c>
      <c r="V753">
        <f>'01_Вводные'!$B$21*('19_Расчет_аналитики'!V731+'02_Модель'!V38+'02_Модель'!V39+'02_Модель'!V40+'02_Модель'!V41+'19_Расчет_аналитики'!V736+'19_Расчет_аналитики'!V626)+(1-'01_Вводные'!$B$21)*('19_Расчет_аналитики'!U731+'02_Модель'!U38+'02_Модель'!U39+'02_Модель'!U40+'02_Модель'!U41+'19_Расчет_аналитики'!U736+'19_Расчет_аналитики'!U626)</f>
        <v/>
      </c>
      <c r="W753">
        <f>'01_Вводные'!$B$21*('19_Расчет_аналитики'!W731+'02_Модель'!W38+'02_Модель'!W39+'02_Модель'!W40+'02_Модель'!W41+'19_Расчет_аналитики'!W736+'19_Расчет_аналитики'!W626)+(1-'01_Вводные'!$B$21)*('19_Расчет_аналитики'!V731+'02_Модель'!V38+'02_Модель'!V39+'02_Модель'!V40+'02_Модель'!V41+'19_Расчет_аналитики'!V736+'19_Расчет_аналитики'!V626)</f>
        <v/>
      </c>
      <c r="X753">
        <f>'01_Вводные'!$B$21*('19_Расчет_аналитики'!X731+'02_Модель'!X38+'02_Модель'!X39+'02_Модель'!X40+'02_Модель'!X41+'19_Расчет_аналитики'!X736+'19_Расчет_аналитики'!X626)+(1-'01_Вводные'!$B$21)*('19_Расчет_аналитики'!W731+'02_Модель'!W38+'02_Модель'!W39+'02_Модель'!W40+'02_Модель'!W41+'19_Расчет_аналитики'!W736+'19_Расчет_аналитики'!W626)</f>
        <v/>
      </c>
      <c r="Y753">
        <f>'01_Вводные'!$B$21*('19_Расчет_аналитики'!Y731+'02_Модель'!Y38+'02_Модель'!Y39+'02_Модель'!Y40+'02_Модель'!Y41+'19_Расчет_аналитики'!Y736+'19_Расчет_аналитики'!Y626)+(1-'01_Вводные'!$B$21)*('19_Расчет_аналитики'!X731+'02_Модель'!X38+'02_Модель'!X39+'02_Модель'!X40+'02_Модель'!X41+'19_Расчет_аналитики'!X736+'19_Расчет_аналитики'!X626)</f>
        <v/>
      </c>
      <c r="Z753">
        <f>'01_Вводные'!$B$21*('19_Расчет_аналитики'!Z731+'02_Модель'!Z38+'02_Модель'!Z39+'02_Модель'!Z40+'02_Модель'!Z41+'19_Расчет_аналитики'!Z736+'19_Расчет_аналитики'!Z626)+(1-'01_Вводные'!$B$21)*('19_Расчет_аналитики'!Y731+'02_Модель'!Y38+'02_Модель'!Y39+'02_Модель'!Y40+'02_Модель'!Y41+'19_Расчет_аналитики'!Y736+'19_Расчет_аналитики'!Y626)</f>
        <v/>
      </c>
      <c r="AA753">
        <f>'01_Вводные'!$B$21*('19_Расчет_аналитики'!AA731+'02_Модель'!AA38+'02_Модель'!AA39+'02_Модель'!AA40+'02_Модель'!AA41+'19_Расчет_аналитики'!AA736+'19_Расчет_аналитики'!AA626)+(1-'01_Вводные'!$B$21)*('19_Расчет_аналитики'!Z731+'02_Модель'!Z38+'02_Модель'!Z39+'02_Модель'!Z40+'02_Модель'!Z41+'19_Расчет_аналитики'!Z736+'19_Расчет_аналитики'!Z626)</f>
        <v/>
      </c>
      <c r="AB753">
        <f>'01_Вводные'!$B$21*('19_Расчет_аналитики'!AB731+'02_Модель'!AB38+'02_Модель'!AB39+'02_Модель'!AB40+'02_Модель'!AB41+'19_Расчет_аналитики'!AB736+'19_Расчет_аналитики'!AB626)+(1-'01_Вводные'!$B$21)*('19_Расчет_аналитики'!AA731+'02_Модель'!AA38+'02_Модель'!AA39+'02_Модель'!AA40+'02_Модель'!AA41+'19_Расчет_аналитики'!AA736+'19_Расчет_аналитики'!AA626)</f>
        <v/>
      </c>
      <c r="AC753">
        <f>'01_Вводные'!$B$21*('19_Расчет_аналитики'!AC731+'02_Модель'!AC38+'02_Модель'!AC39+'02_Модель'!AC40+'02_Модель'!AC41+'19_Расчет_аналитики'!AC736+'19_Расчет_аналитики'!AC626)+(1-'01_Вводные'!$B$21)*('19_Расчет_аналитики'!AB731+'02_Модель'!AB38+'02_Модель'!AB39+'02_Модель'!AB40+'02_Модель'!AB41+'19_Расчет_аналитики'!AB736+'19_Расчет_аналитики'!AB626)</f>
        <v/>
      </c>
      <c r="AD753">
        <f>'01_Вводные'!$B$21*('19_Расчет_аналитики'!AD731+'02_Модель'!AD38+'02_Модель'!AD39+'02_Модель'!AD40+'02_Модель'!AD41+'19_Расчет_аналитики'!AD736+'19_Расчет_аналитики'!AD626)+(1-'01_Вводные'!$B$21)*('19_Расчет_аналитики'!AC731+'02_Модель'!AC38+'02_Модель'!AC39+'02_Модель'!AC40+'02_Модель'!AC41+'19_Расчет_аналитики'!AC736+'19_Расчет_аналитики'!AC626)</f>
        <v/>
      </c>
      <c r="AE753">
        <f>'01_Вводные'!$B$21*('19_Расчет_аналитики'!AE731+'02_Модель'!AE38+'02_Модель'!AE39+'02_Модель'!AE40+'02_Модель'!AE41+'19_Расчет_аналитики'!AE736+'19_Расчет_аналитики'!AE626)+(1-'01_Вводные'!$B$21)*('19_Расчет_аналитики'!AD731+'02_Модель'!AD38+'02_Модель'!AD39+'02_Модель'!AD40+'02_Модель'!AD41+'19_Расчет_аналитики'!AD736+'19_Расчет_аналитики'!AD626)</f>
        <v/>
      </c>
      <c r="AF753">
        <f>'01_Вводные'!$B$21*('19_Расчет_аналитики'!AF731+'02_Модель'!AF38+'02_Модель'!AF39+'02_Модель'!AF40+'02_Модель'!AF41+'19_Расчет_аналитики'!AF736+'19_Расчет_аналитики'!AF626)+(1-'01_Вводные'!$B$21)*('19_Расчет_аналитики'!AE731+'02_Модель'!AE38+'02_Модель'!AE39+'02_Модель'!AE40+'02_Модель'!AE41+'19_Расчет_аналитики'!AE736+'19_Расчет_аналитики'!AE626)</f>
        <v/>
      </c>
      <c r="AG753">
        <f>'01_Вводные'!$B$21*('19_Расчет_аналитики'!AG731+'02_Модель'!AG38+'02_Модель'!AG39+'02_Модель'!AG40+'02_Модель'!AG41+'19_Расчет_аналитики'!AG736+'19_Расчет_аналитики'!AG626)+(1-'01_Вводные'!$B$21)*('19_Расчет_аналитики'!AF731+'02_Модель'!AF38+'02_Модель'!AF39+'02_Модель'!AF40+'02_Модель'!AF41+'19_Расчет_аналитики'!AF736+'19_Расчет_аналитики'!AF626)</f>
        <v/>
      </c>
      <c r="AH753">
        <f>'01_Вводные'!$B$21*('19_Расчет_аналитики'!AH731+'02_Модель'!AH38+'02_Модель'!AH39+'02_Модель'!AH40+'02_Модель'!AH41+'19_Расчет_аналитики'!AH736+'19_Расчет_аналитики'!AH626)+(1-'01_Вводные'!$B$21)*('19_Расчет_аналитики'!AG731+'02_Модель'!AG38+'02_Модель'!AG39+'02_Модель'!AG40+'02_Модель'!AG41+'19_Расчет_аналитики'!AG736+'19_Расчет_аналитики'!AG626)</f>
        <v/>
      </c>
      <c r="AI753">
        <f>'01_Вводные'!$B$21*('19_Расчет_аналитики'!AI731+'02_Модель'!AI38+'02_Модель'!AI39+'02_Модель'!AI40+'02_Модель'!AI41+'19_Расчет_аналитики'!AI736+'19_Расчет_аналитики'!AI626)+(1-'01_Вводные'!$B$21)*('19_Расчет_аналитики'!AH731+'02_Модель'!AH38+'02_Модель'!AH39+'02_Модель'!AH40+'02_Модель'!AH41+'19_Расчет_аналитики'!AH736+'19_Расчет_аналитики'!AH626)</f>
        <v/>
      </c>
      <c r="AJ753">
        <f>'01_Вводные'!$B$21*('19_Расчет_аналитики'!AJ731+'02_Модель'!AJ38+'02_Модель'!AJ39+'02_Модель'!AJ40+'02_Модель'!AJ41+'19_Расчет_аналитики'!AJ736+'19_Расчет_аналитики'!AJ626)+(1-'01_Вводные'!$B$21)*('19_Расчет_аналитики'!AI731+'02_Модель'!AI38+'02_Модель'!AI39+'02_Модель'!AI40+'02_Модель'!AI41+'19_Расчет_аналитики'!AI736+'19_Расчет_аналитики'!AI626)</f>
        <v/>
      </c>
      <c r="AK753">
        <f>'01_Вводные'!$B$21*('19_Расчет_аналитики'!AK731+'02_Модель'!AK38+'02_Модель'!AK39+'02_Модель'!AK40+'02_Модель'!AK41+'19_Расчет_аналитики'!AK736+'19_Расчет_аналитики'!AK626)+(1-'01_Вводные'!$B$21)*('19_Расчет_аналитики'!AJ731+'02_Модель'!AJ38+'02_Модель'!AJ39+'02_Модель'!AJ40+'02_Модель'!AJ41+'19_Расчет_аналитики'!AJ736+'19_Расчет_аналитики'!AJ626)</f>
        <v/>
      </c>
      <c r="AL753">
        <f>'01_Вводные'!$B$21*('19_Расчет_аналитики'!AL731+'02_Модель'!AL38+'02_Модель'!AL39+'02_Модель'!AL40+'02_Модель'!AL41+'19_Расчет_аналитики'!AL736+'19_Расчет_аналитики'!AL626)+(1-'01_Вводные'!$B$21)*('19_Расчет_аналитики'!AK731+'02_Модель'!AK38+'02_Модель'!AK39+'02_Модель'!AK40+'02_Модель'!AK41+'19_Расчет_аналитики'!AK736+'19_Расчет_аналитики'!AK626)</f>
        <v/>
      </c>
      <c r="AM753">
        <f>'01_Вводные'!$B$21*('19_Расчет_аналитики'!AM731+'02_Модель'!AM38+'02_Модель'!AM39+'02_Модель'!AM40+'02_Модель'!AM41+'19_Расчет_аналитики'!AM736+'19_Расчет_аналитики'!AM626)+(1-'01_Вводные'!$B$21)*('19_Расчет_аналитики'!AL731+'02_Модель'!AL38+'02_Модель'!AL39+'02_Модель'!AL40+'02_Модель'!AL41+'19_Расчет_аналитики'!AL736+'19_Расчет_аналитики'!AL626)</f>
        <v/>
      </c>
      <c r="AN753">
        <f>'01_Вводные'!$B$21*('19_Расчет_аналитики'!AN731+'02_Модель'!AN38+'02_Модель'!AN39+'02_Модель'!AN40+'02_Модель'!AN41+'19_Расчет_аналитики'!AN736+'19_Расчет_аналитики'!AN626)+(1-'01_Вводные'!$B$21)*('19_Расчет_аналитики'!AM731+'02_Модель'!AM38+'02_Модель'!AM39+'02_Модель'!AM40+'02_Модель'!AM41+'19_Расчет_аналитики'!AM736+'19_Расчет_аналитики'!AM626)</f>
        <v/>
      </c>
      <c r="AO753">
        <f>'01_Вводные'!$B$21*('19_Расчет_аналитики'!AO731+'02_Модель'!AO38+'02_Модель'!AO39+'02_Модель'!AO40+'02_Модель'!AO41+'19_Расчет_аналитики'!AO736+'19_Расчет_аналитики'!AO626)+(1-'01_Вводные'!$B$21)*('19_Расчет_аналитики'!AN731+'02_Модель'!AN38+'02_Модель'!AN39+'02_Модель'!AN40+'02_Модель'!AN41+'19_Расчет_аналитики'!AN736+'19_Расчет_аналитики'!AN626)</f>
        <v/>
      </c>
      <c r="AP753">
        <f>'01_Вводные'!$B$21*('19_Расчет_аналитики'!AP731+'02_Модель'!AP38+'02_Модель'!AP39+'02_Модель'!AP40+'02_Модель'!AP41+'19_Расчет_аналитики'!AP736+'19_Расчет_аналитики'!AP626)+(1-'01_Вводные'!$B$21)*('19_Расчет_аналитики'!AO731+'02_Модель'!AO38+'02_Модель'!AO39+'02_Модель'!AO40+'02_Модель'!AO41+'19_Расчет_аналитики'!AO736+'19_Расчет_аналитики'!AO626)</f>
        <v/>
      </c>
      <c r="AQ753">
        <f>'01_Вводные'!$B$21*('19_Расчет_аналитики'!AQ731+'02_Модель'!AQ38+'02_Модель'!AQ39+'02_Модель'!AQ40+'02_Модель'!AQ41+'19_Расчет_аналитики'!AQ736+'19_Расчет_аналитики'!AQ626)+(1-'01_Вводные'!$B$21)*('19_Расчет_аналитики'!AP731+'02_Модель'!AP38+'02_Модель'!AP39+'02_Модель'!AP40+'02_Модель'!AP41+'19_Расчет_аналитики'!AP736+'19_Расчет_аналитики'!AP626)</f>
        <v/>
      </c>
      <c r="AR753">
        <f>'01_Вводные'!$B$21*('19_Расчет_аналитики'!AR731+'02_Модель'!AR38+'02_Модель'!AR39+'02_Модель'!AR40+'02_Модель'!AR41+'19_Расчет_аналитики'!AR736+'19_Расчет_аналитики'!AR626)+(1-'01_Вводные'!$B$21)*('19_Расчет_аналитики'!AQ731+'02_Модель'!AQ38+'02_Модель'!AQ39+'02_Модель'!AQ40+'02_Модель'!AQ41+'19_Расчет_аналитики'!AQ736+'19_Расчет_аналитики'!AQ626)</f>
        <v/>
      </c>
      <c r="AS753">
        <f>'01_Вводные'!$B$21*('19_Расчет_аналитики'!AS731+'02_Модель'!AS38+'02_Модель'!AS39+'02_Модель'!AS40+'02_Модель'!AS41+'19_Расчет_аналитики'!AS736+'19_Расчет_аналитики'!AS626)+(1-'01_Вводные'!$B$21)*('19_Расчет_аналитики'!AR731+'02_Модель'!AR38+'02_Модель'!AR39+'02_Модель'!AR40+'02_Модель'!AR41+'19_Расчет_аналитики'!AR736+'19_Расчет_аналитики'!AR626)</f>
        <v/>
      </c>
      <c r="AT753">
        <f>'01_Вводные'!$B$21*('19_Расчет_аналитики'!AT731+'02_Модель'!AT38+'02_Модель'!AT39+'02_Модель'!AT40+'02_Модель'!AT41+'19_Расчет_аналитики'!AT736+'19_Расчет_аналитики'!AT626)+(1-'01_Вводные'!$B$21)*('19_Расчет_аналитики'!AS731+'02_Модель'!AS38+'02_Модель'!AS39+'02_Модель'!AS40+'02_Модель'!AS41+'19_Расчет_аналитики'!AS736+'19_Расчет_аналитики'!AS626)</f>
        <v/>
      </c>
      <c r="AU753">
        <f>'01_Вводные'!$B$21*('19_Расчет_аналитики'!AU731+'02_Модель'!AU38+'02_Модель'!AU39+'02_Модель'!AU40+'02_Модель'!AU41+'19_Расчет_аналитики'!AU736+'19_Расчет_аналитики'!AU626)+(1-'01_Вводные'!$B$21)*('19_Расчет_аналитики'!AT731+'02_Модель'!AT38+'02_Модель'!AT39+'02_Модель'!AT40+'02_Модель'!AT41+'19_Расчет_аналитики'!AT736+'19_Расчет_аналитики'!AT626)</f>
        <v/>
      </c>
      <c r="AV753">
        <f>'01_Вводные'!$B$21*('19_Расчет_аналитики'!AV731+'02_Модель'!AV38+'02_Модель'!AV39+'02_Модель'!AV40+'02_Модель'!AV41+'19_Расчет_аналитики'!AV736+'19_Расчет_аналитики'!AV626)+(1-'01_Вводные'!$B$21)*('19_Расчет_аналитики'!AU731+'02_Модель'!AU38+'02_Модель'!AU39+'02_Модель'!AU40+'02_Модель'!AU41+'19_Расчет_аналитики'!AU736+'19_Расчет_аналитики'!AU626)</f>
        <v/>
      </c>
      <c r="AW753">
        <f>'01_Вводные'!$B$21*('19_Расчет_аналитики'!AW731+'02_Модель'!AW38+'02_Модель'!AW39+'02_Модель'!AW40+'02_Модель'!AW41+'19_Расчет_аналитики'!AW736+'19_Расчет_аналитики'!AW626)+(1-'01_Вводные'!$B$21)*('19_Расчет_аналитики'!AV731+'02_Модель'!AV38+'02_Модель'!AV39+'02_Модель'!AV40+'02_Модель'!AV41+'19_Расчет_аналитики'!AV736+'19_Расчет_аналитики'!AV626)</f>
        <v/>
      </c>
      <c r="AX753">
        <f>'01_Вводные'!$B$21*('19_Расчет_аналитики'!AX731+'02_Модель'!AX38+'02_Модель'!AX39+'02_Модель'!AX40+'02_Модель'!AX41+'19_Расчет_аналитики'!AX736+'19_Расчет_аналитики'!AX626)+(1-'01_Вводные'!$B$21)*('19_Расчет_аналитики'!AW731+'02_Модель'!AW38+'02_Модель'!AW39+'02_Модель'!AW40+'02_Модель'!AW41+'19_Расчет_аналитики'!AW736+'19_Расчет_аналитики'!AW626)</f>
        <v/>
      </c>
      <c r="AY753">
        <f>'01_Вводные'!$B$21*('19_Расчет_аналитики'!AY731+'02_Модель'!AY38+'02_Модель'!AY39+'02_Модель'!AY40+'02_Модель'!AY41+'19_Расчет_аналитики'!AY736+'19_Расчет_аналитики'!AY626)+(1-'01_Вводные'!$B$21)*('19_Расчет_аналитики'!AX731+'02_Модель'!AX38+'02_Модель'!AX39+'02_Модель'!AX40+'02_Модель'!AX41+'19_Расчет_аналитики'!AX736+'19_Расчет_аналитики'!AX626)</f>
        <v/>
      </c>
      <c r="AZ753">
        <f>'01_Вводные'!$B$21*('19_Расчет_аналитики'!AZ731+'02_Модель'!AZ38+'02_Модель'!AZ39+'02_Модель'!AZ40+'02_Модель'!AZ41+'19_Расчет_аналитики'!AZ736+'19_Расчет_аналитики'!AZ626)+(1-'01_Вводные'!$B$21)*('19_Расчет_аналитики'!AY731+'02_Модель'!AY38+'02_Модель'!AY39+'02_Модель'!AY40+'02_Модель'!AY41+'19_Расчет_аналитики'!AY736+'19_Расчет_аналитики'!AY626)</f>
        <v/>
      </c>
      <c r="BA753">
        <f>'01_Вводные'!$B$21*('19_Расчет_аналитики'!BA731+'02_Модель'!BA38+'02_Модель'!BA39+'02_Модель'!BA40+'02_Модель'!BA41+'19_Расчет_аналитики'!BA736+'19_Расчет_аналитики'!BA626)+(1-'01_Вводные'!$B$21)*('19_Расчет_аналитики'!AZ731+'02_Модель'!AZ38+'02_Модель'!AZ39+'02_Модель'!AZ40+'02_Модель'!AZ41+'19_Расчет_аналитики'!AZ736+'19_Расчет_аналитики'!AZ626)</f>
        <v/>
      </c>
      <c r="BB753">
        <f>'01_Вводные'!$B$21*('19_Расчет_аналитики'!BB731+'02_Модель'!BB38+'02_Модель'!BB39+'02_Модель'!BB40+'02_Модель'!BB41+'19_Расчет_аналитики'!BB736+'19_Расчет_аналитики'!BB626)+(1-'01_Вводные'!$B$21)*('19_Расчет_аналитики'!BA731+'02_Модель'!BA38+'02_Модель'!BA39+'02_Модель'!BA40+'02_Модель'!BA41+'19_Расчет_аналитики'!BA736+'19_Расчет_аналитики'!BA626)</f>
        <v/>
      </c>
      <c r="BC753">
        <f>'01_Вводные'!$B$21*('19_Расчет_аналитики'!BC731+'02_Модель'!BC38+'02_Модель'!BC39+'02_Модель'!BC40+'02_Модель'!BC41+'19_Расчет_аналитики'!BC736+'19_Расчет_аналитики'!BC626)+(1-'01_Вводные'!$B$21)*('19_Расчет_аналитики'!BB731+'02_Модель'!BB38+'02_Модель'!BB39+'02_Модель'!BB40+'02_Модель'!BB41+'19_Расчет_аналитики'!BB736+'19_Расчет_аналитики'!BB626)</f>
        <v/>
      </c>
      <c r="BD753">
        <f>'01_Вводные'!$B$21*('19_Расчет_аналитики'!BD731+'02_Модель'!BD38+'02_Модель'!BD39+'02_Модель'!BD40+'02_Модель'!BD41+'19_Расчет_аналитики'!BD736+'19_Расчет_аналитики'!BD626)+(1-'01_Вводные'!$B$21)*('19_Расчет_аналитики'!BC731+'02_Модель'!BC38+'02_Модель'!BC39+'02_Модель'!BC40+'02_Модель'!BC41+'19_Расчет_аналитики'!BC736+'19_Расчет_аналитики'!BC626)</f>
        <v/>
      </c>
      <c r="BE753">
        <f>'01_Вводные'!$B$21*('19_Расчет_аналитики'!BE731+'02_Модель'!BE38+'02_Модель'!BE39+'02_Модель'!BE40+'02_Модель'!BE41+'19_Расчет_аналитики'!BE736+'19_Расчет_аналитики'!BE626)+(1-'01_Вводные'!$B$21)*('19_Расчет_аналитики'!BD731+'02_Модель'!BD38+'02_Модель'!BD39+'02_Модель'!BD40+'02_Модель'!BD41+'19_Расчет_аналитики'!BD736+'19_Расчет_аналитики'!BD626)</f>
        <v/>
      </c>
      <c r="BF753">
        <f>'01_Вводные'!$B$21*('19_Расчет_аналитики'!BF731+'02_Модель'!BF38+'02_Модель'!BF39+'02_Модель'!BF40+'02_Модель'!BF41+'19_Расчет_аналитики'!BF736+'19_Расчет_аналитики'!BF626)+(1-'01_Вводные'!$B$21)*('19_Расчет_аналитики'!BE731+'02_Модель'!BE38+'02_Модель'!BE39+'02_Модель'!BE40+'02_Модель'!BE41+'19_Расчет_аналитики'!BE736+'19_Расчет_аналитики'!BE626)</f>
        <v/>
      </c>
      <c r="BG753">
        <f>'01_Вводные'!$B$21*('19_Расчет_аналитики'!BG731+'02_Модель'!BG38+'02_Модель'!BG39+'02_Модель'!BG40+'02_Модель'!BG41+'19_Расчет_аналитики'!BG736+'19_Расчет_аналитики'!BG626)+(1-'01_Вводные'!$B$21)*('19_Расчет_аналитики'!BF731+'02_Модель'!BF38+'02_Модель'!BF39+'02_Модель'!BF40+'02_Модель'!BF41+'19_Расчет_аналитики'!BF736+'19_Расчет_аналитики'!BF626)</f>
        <v/>
      </c>
      <c r="BH753">
        <f>'01_Вводные'!$B$21*('19_Расчет_аналитики'!BH731+'02_Модель'!BH38+'02_Модель'!BH39+'02_Модель'!BH40+'02_Модель'!BH41+'19_Расчет_аналитики'!BH736+'19_Расчет_аналитики'!BH626)+(1-'01_Вводные'!$B$21)*('19_Расчет_аналитики'!BG731+'02_Модель'!BG38+'02_Модель'!BG39+'02_Модель'!BG40+'02_Модель'!BG41+'19_Расчет_аналитики'!BG736+'19_Расчет_аналитики'!BG626)</f>
        <v/>
      </c>
      <c r="BI753">
        <f>'01_Вводные'!$B$21*('19_Расчет_аналитики'!BI731+'02_Модель'!BI38+'02_Модель'!BI39+'02_Модель'!BI40+'02_Модель'!BI41+'19_Расчет_аналитики'!BI736+'19_Расчет_аналитики'!BI626)+(1-'01_Вводные'!$B$21)*('19_Расчет_аналитики'!BH731+'02_Модель'!BH38+'02_Модель'!BH39+'02_Модель'!BH40+'02_Модель'!BH41+'19_Расчет_аналитики'!BH736+'19_Расчет_аналитики'!BH626)</f>
        <v/>
      </c>
    </row>
    <row r="754">
      <c r="B754">
        <f>'02_Модель'!B60</f>
        <v/>
      </c>
      <c r="C754">
        <f>'19_Расчет_аналитики'!C730</f>
        <v/>
      </c>
      <c r="D754">
        <f>'19_Расчет_аналитики'!D730</f>
        <v/>
      </c>
      <c r="E754">
        <f>'19_Расчет_аналитики'!E730</f>
        <v/>
      </c>
      <c r="F754">
        <f>'19_Расчет_аналитики'!F730</f>
        <v/>
      </c>
      <c r="G754">
        <f>'19_Расчет_аналитики'!G730</f>
        <v/>
      </c>
      <c r="H754">
        <f>'19_Расчет_аналитики'!H730</f>
        <v/>
      </c>
      <c r="I754">
        <f>'19_Расчет_аналитики'!I730</f>
        <v/>
      </c>
      <c r="J754">
        <f>'19_Расчет_аналитики'!J730</f>
        <v/>
      </c>
      <c r="K754">
        <f>'19_Расчет_аналитики'!K730</f>
        <v/>
      </c>
      <c r="L754">
        <f>'19_Расчет_аналитики'!L730</f>
        <v/>
      </c>
      <c r="M754">
        <f>'19_Расчет_аналитики'!M730</f>
        <v/>
      </c>
      <c r="N754">
        <f>'19_Расчет_аналитики'!N730</f>
        <v/>
      </c>
      <c r="O754">
        <f>'19_Расчет_аналитики'!O730</f>
        <v/>
      </c>
      <c r="P754">
        <f>'19_Расчет_аналитики'!P730</f>
        <v/>
      </c>
      <c r="Q754">
        <f>'19_Расчет_аналитики'!Q730</f>
        <v/>
      </c>
      <c r="R754">
        <f>'19_Расчет_аналитики'!R730</f>
        <v/>
      </c>
      <c r="S754">
        <f>'19_Расчет_аналитики'!S730</f>
        <v/>
      </c>
      <c r="T754">
        <f>'19_Расчет_аналитики'!T730</f>
        <v/>
      </c>
      <c r="U754">
        <f>'19_Расчет_аналитики'!U730</f>
        <v/>
      </c>
      <c r="V754">
        <f>'19_Расчет_аналитики'!V730</f>
        <v/>
      </c>
      <c r="W754">
        <f>'19_Расчет_аналитики'!W730</f>
        <v/>
      </c>
      <c r="X754">
        <f>'19_Расчет_аналитики'!X730</f>
        <v/>
      </c>
      <c r="Y754">
        <f>'19_Расчет_аналитики'!Y730</f>
        <v/>
      </c>
      <c r="Z754">
        <f>'19_Расчет_аналитики'!Z730</f>
        <v/>
      </c>
      <c r="AA754">
        <f>'19_Расчет_аналитики'!AA730</f>
        <v/>
      </c>
      <c r="AB754">
        <f>'19_Расчет_аналитики'!AB730</f>
        <v/>
      </c>
      <c r="AC754">
        <f>'19_Расчет_аналитики'!AC730</f>
        <v/>
      </c>
      <c r="AD754">
        <f>'19_Расчет_аналитики'!AD730</f>
        <v/>
      </c>
      <c r="AE754">
        <f>'19_Расчет_аналитики'!AE730</f>
        <v/>
      </c>
      <c r="AF754">
        <f>'19_Расчет_аналитики'!AF730</f>
        <v/>
      </c>
      <c r="AG754">
        <f>'19_Расчет_аналитики'!AG730</f>
        <v/>
      </c>
      <c r="AH754">
        <f>'19_Расчет_аналитики'!AH730</f>
        <v/>
      </c>
      <c r="AI754">
        <f>'19_Расчет_аналитики'!AI730</f>
        <v/>
      </c>
      <c r="AJ754">
        <f>'19_Расчет_аналитики'!AJ730</f>
        <v/>
      </c>
      <c r="AK754">
        <f>'19_Расчет_аналитики'!AK730</f>
        <v/>
      </c>
      <c r="AL754">
        <f>'19_Расчет_аналитики'!AL730</f>
        <v/>
      </c>
      <c r="AM754">
        <f>'19_Расчет_аналитики'!AM730</f>
        <v/>
      </c>
      <c r="AN754">
        <f>'19_Расчет_аналитики'!AN730</f>
        <v/>
      </c>
      <c r="AO754">
        <f>'19_Расчет_аналитики'!AO730</f>
        <v/>
      </c>
      <c r="AP754">
        <f>'19_Расчет_аналитики'!AP730</f>
        <v/>
      </c>
      <c r="AQ754">
        <f>'19_Расчет_аналитики'!AQ730</f>
        <v/>
      </c>
      <c r="AR754">
        <f>'19_Расчет_аналитики'!AR730</f>
        <v/>
      </c>
      <c r="AS754">
        <f>'19_Расчет_аналитики'!AS730</f>
        <v/>
      </c>
      <c r="AT754">
        <f>'19_Расчет_аналитики'!AT730</f>
        <v/>
      </c>
      <c r="AU754">
        <f>'19_Расчет_аналитики'!AU730</f>
        <v/>
      </c>
      <c r="AV754">
        <f>'19_Расчет_аналитики'!AV730</f>
        <v/>
      </c>
      <c r="AW754">
        <f>'19_Расчет_аналитики'!AW730</f>
        <v/>
      </c>
      <c r="AX754">
        <f>'19_Расчет_аналитики'!AX730</f>
        <v/>
      </c>
      <c r="AY754">
        <f>'19_Расчет_аналитики'!AY730</f>
        <v/>
      </c>
      <c r="AZ754">
        <f>'19_Расчет_аналитики'!AZ730</f>
        <v/>
      </c>
      <c r="BA754">
        <f>'19_Расчет_аналитики'!BA730</f>
        <v/>
      </c>
      <c r="BB754">
        <f>'19_Расчет_аналитики'!BB730</f>
        <v/>
      </c>
      <c r="BC754">
        <f>'19_Расчет_аналитики'!BC730</f>
        <v/>
      </c>
      <c r="BD754">
        <f>'19_Расчет_аналитики'!BD730</f>
        <v/>
      </c>
      <c r="BE754">
        <f>'19_Расчет_аналитики'!BE730</f>
        <v/>
      </c>
      <c r="BF754">
        <f>'19_Расчет_аналитики'!BF730</f>
        <v/>
      </c>
      <c r="BG754">
        <f>'19_Расчет_аналитики'!BG730</f>
        <v/>
      </c>
      <c r="BH754">
        <f>'19_Расчет_аналитики'!BH730</f>
        <v/>
      </c>
      <c r="BI754">
        <f>'19_Расчет_аналитики'!BI730</f>
        <v/>
      </c>
    </row>
    <row r="755">
      <c r="B755">
        <f>'02_Модель'!B29+('19_Расчет_аналитики'!B747/(1+'01_Вводные'!$B$58))*'01_Вводные'!$B$60+'19_Расчет_аналитики'!B722</f>
        <v/>
      </c>
      <c r="C755">
        <f>'19_Расчет_аналитики'!C723+('19_Расчет_аналитики'!C747/(1+'01_Вводные'!$B$58))*'01_Вводные'!$B$60+'19_Расчет_аналитики'!C722</f>
        <v/>
      </c>
      <c r="D755">
        <f>'19_Расчет_аналитики'!D723+('19_Расчет_аналитики'!D747/(1+'01_Вводные'!$B$58))*'01_Вводные'!$B$60+'19_Расчет_аналитики'!D722</f>
        <v/>
      </c>
      <c r="E755">
        <f>'19_Расчет_аналитики'!E723+('19_Расчет_аналитики'!E747/(1+'01_Вводные'!$B$58))*'01_Вводные'!$B$60+'19_Расчет_аналитики'!E722</f>
        <v/>
      </c>
      <c r="F755">
        <f>'19_Расчет_аналитики'!F723+('19_Расчет_аналитики'!F747/(1+'01_Вводные'!$B$58))*'01_Вводные'!$B$60+'19_Расчет_аналитики'!F722</f>
        <v/>
      </c>
      <c r="G755">
        <f>'19_Расчет_аналитики'!G723+('19_Расчет_аналитики'!G747/(1+'01_Вводные'!$B$58))*'01_Вводные'!$B$60+'19_Расчет_аналитики'!G722</f>
        <v/>
      </c>
      <c r="H755">
        <f>'19_Расчет_аналитики'!H723+('19_Расчет_аналитики'!H747/(1+'01_Вводные'!$B$58))*'01_Вводные'!$B$60+'19_Расчет_аналитики'!H722</f>
        <v/>
      </c>
      <c r="I755">
        <f>'19_Расчет_аналитики'!I723+('19_Расчет_аналитики'!I747/(1+'01_Вводные'!$B$58))*'01_Вводные'!$B$60+'19_Расчет_аналитики'!I722</f>
        <v/>
      </c>
      <c r="J755">
        <f>'19_Расчет_аналитики'!J723+('19_Расчет_аналитики'!J747/(1+'01_Вводные'!$B$58))*'01_Вводные'!$B$60+'19_Расчет_аналитики'!J722</f>
        <v/>
      </c>
      <c r="K755">
        <f>'19_Расчет_аналитики'!K723+('19_Расчет_аналитики'!K747/(1+'01_Вводные'!$B$58))*'01_Вводные'!$B$60+'19_Расчет_аналитики'!K722</f>
        <v/>
      </c>
      <c r="L755">
        <f>'19_Расчет_аналитики'!L723+('19_Расчет_аналитики'!L747/(1+'01_Вводные'!$B$58))*'01_Вводные'!$B$60+'19_Расчет_аналитики'!L722</f>
        <v/>
      </c>
      <c r="M755">
        <f>'19_Расчет_аналитики'!M723+('19_Расчет_аналитики'!M747/(1+'01_Вводные'!$B$58))*'01_Вводные'!$B$60+'19_Расчет_аналитики'!M722</f>
        <v/>
      </c>
      <c r="N755">
        <f>'19_Расчет_аналитики'!N723+('19_Расчет_аналитики'!N747/(1+'01_Вводные'!$B$58))*'01_Вводные'!$B$60+'19_Расчет_аналитики'!N722</f>
        <v/>
      </c>
      <c r="O755">
        <f>'19_Расчет_аналитики'!O723+('19_Расчет_аналитики'!O747/(1+'01_Вводные'!$B$58))*'01_Вводные'!$B$60+'19_Расчет_аналитики'!O722</f>
        <v/>
      </c>
      <c r="P755">
        <f>'19_Расчет_аналитики'!P723+('19_Расчет_аналитики'!P747/(1+'01_Вводные'!$B$58))*'01_Вводные'!$B$60+'19_Расчет_аналитики'!P722</f>
        <v/>
      </c>
      <c r="Q755">
        <f>'19_Расчет_аналитики'!Q723+('19_Расчет_аналитики'!Q747/(1+'01_Вводные'!$B$58))*'01_Вводные'!$B$60+'19_Расчет_аналитики'!Q722</f>
        <v/>
      </c>
      <c r="R755">
        <f>'19_Расчет_аналитики'!R723+('19_Расчет_аналитики'!R747/(1+'01_Вводные'!$B$58))*'01_Вводные'!$B$60+'19_Расчет_аналитики'!R722</f>
        <v/>
      </c>
      <c r="S755">
        <f>'19_Расчет_аналитики'!S723+('19_Расчет_аналитики'!S747/(1+'01_Вводные'!$B$58))*'01_Вводные'!$B$60+'19_Расчет_аналитики'!S722</f>
        <v/>
      </c>
      <c r="T755">
        <f>'19_Расчет_аналитики'!T723+('19_Расчет_аналитики'!T747/(1+'01_Вводные'!$B$58))*'01_Вводные'!$B$60+'19_Расчет_аналитики'!T722</f>
        <v/>
      </c>
      <c r="U755">
        <f>'19_Расчет_аналитики'!U723+('19_Расчет_аналитики'!U747/(1+'01_Вводные'!$B$58))*'01_Вводные'!$B$60+'19_Расчет_аналитики'!U722</f>
        <v/>
      </c>
      <c r="V755">
        <f>'19_Расчет_аналитики'!V723+('19_Расчет_аналитики'!V747/(1+'01_Вводные'!$B$58))*'01_Вводные'!$B$60+'19_Расчет_аналитики'!V722</f>
        <v/>
      </c>
      <c r="W755">
        <f>'19_Расчет_аналитики'!W723+('19_Расчет_аналитики'!W747/(1+'01_Вводные'!$B$58))*'01_Вводные'!$B$60+'19_Расчет_аналитики'!W722</f>
        <v/>
      </c>
      <c r="X755">
        <f>'19_Расчет_аналитики'!X723+('19_Расчет_аналитики'!X747/(1+'01_Вводные'!$B$58))*'01_Вводные'!$B$60+'19_Расчет_аналитики'!X722</f>
        <v/>
      </c>
      <c r="Y755">
        <f>'19_Расчет_аналитики'!Y723+('19_Расчет_аналитики'!Y747/(1+'01_Вводные'!$B$58))*'01_Вводные'!$B$60+'19_Расчет_аналитики'!Y722</f>
        <v/>
      </c>
      <c r="Z755">
        <f>'19_Расчет_аналитики'!Z723+('19_Расчет_аналитики'!Z747/(1+'01_Вводные'!$B$58))*'01_Вводные'!$B$60+'19_Расчет_аналитики'!Z722</f>
        <v/>
      </c>
      <c r="AA755">
        <f>'19_Расчет_аналитики'!AA723+('19_Расчет_аналитики'!AA747/(1+'01_Вводные'!$B$58))*'01_Вводные'!$B$60+'19_Расчет_аналитики'!AA722</f>
        <v/>
      </c>
      <c r="AB755">
        <f>'19_Расчет_аналитики'!AB723+('19_Расчет_аналитики'!AB747/(1+'01_Вводные'!$B$58))*'01_Вводные'!$B$60+'19_Расчет_аналитики'!AB722</f>
        <v/>
      </c>
      <c r="AC755">
        <f>'19_Расчет_аналитики'!AC723+('19_Расчет_аналитики'!AC747/(1+'01_Вводные'!$B$58))*'01_Вводные'!$B$60+'19_Расчет_аналитики'!AC722</f>
        <v/>
      </c>
      <c r="AD755">
        <f>'19_Расчет_аналитики'!AD723+('19_Расчет_аналитики'!AD747/(1+'01_Вводные'!$B$58))*'01_Вводные'!$B$60+'19_Расчет_аналитики'!AD722</f>
        <v/>
      </c>
      <c r="AE755">
        <f>'19_Расчет_аналитики'!AE723+('19_Расчет_аналитики'!AE747/(1+'01_Вводные'!$B$58))*'01_Вводные'!$B$60+'19_Расчет_аналитики'!AE722</f>
        <v/>
      </c>
      <c r="AF755">
        <f>'19_Расчет_аналитики'!AF723+('19_Расчет_аналитики'!AF747/(1+'01_Вводные'!$B$58))*'01_Вводные'!$B$60+'19_Расчет_аналитики'!AF722</f>
        <v/>
      </c>
      <c r="AG755">
        <f>'19_Расчет_аналитики'!AG723+('19_Расчет_аналитики'!AG747/(1+'01_Вводные'!$B$58))*'01_Вводные'!$B$60+'19_Расчет_аналитики'!AG722</f>
        <v/>
      </c>
      <c r="AH755">
        <f>'19_Расчет_аналитики'!AH723+('19_Расчет_аналитики'!AH747/(1+'01_Вводные'!$B$58))*'01_Вводные'!$B$60+'19_Расчет_аналитики'!AH722</f>
        <v/>
      </c>
      <c r="AI755">
        <f>'19_Расчет_аналитики'!AI723+('19_Расчет_аналитики'!AI747/(1+'01_Вводные'!$B$58))*'01_Вводные'!$B$60+'19_Расчет_аналитики'!AI722</f>
        <v/>
      </c>
      <c r="AJ755">
        <f>'19_Расчет_аналитики'!AJ723+('19_Расчет_аналитики'!AJ747/(1+'01_Вводные'!$B$58))*'01_Вводные'!$B$60+'19_Расчет_аналитики'!AJ722</f>
        <v/>
      </c>
      <c r="AK755">
        <f>'19_Расчет_аналитики'!AK723+('19_Расчет_аналитики'!AK747/(1+'01_Вводные'!$B$58))*'01_Вводные'!$B$60+'19_Расчет_аналитики'!AK722</f>
        <v/>
      </c>
      <c r="AL755">
        <f>'19_Расчет_аналитики'!AL723+('19_Расчет_аналитики'!AL747/(1+'01_Вводные'!$B$58))*'01_Вводные'!$B$60+'19_Расчет_аналитики'!AL722</f>
        <v/>
      </c>
      <c r="AM755">
        <f>'19_Расчет_аналитики'!AM723+('19_Расчет_аналитики'!AM747/(1+'01_Вводные'!$B$58))*'01_Вводные'!$B$60+'19_Расчет_аналитики'!AM722</f>
        <v/>
      </c>
      <c r="AN755">
        <f>'19_Расчет_аналитики'!AN723+('19_Расчет_аналитики'!AN747/(1+'01_Вводные'!$B$58))*'01_Вводные'!$B$60+'19_Расчет_аналитики'!AN722</f>
        <v/>
      </c>
      <c r="AO755">
        <f>'19_Расчет_аналитики'!AO723+('19_Расчет_аналитики'!AO747/(1+'01_Вводные'!$B$58))*'01_Вводные'!$B$60+'19_Расчет_аналитики'!AO722</f>
        <v/>
      </c>
      <c r="AP755">
        <f>'19_Расчет_аналитики'!AP723+('19_Расчет_аналитики'!AP747/(1+'01_Вводные'!$B$58))*'01_Вводные'!$B$60+'19_Расчет_аналитики'!AP722</f>
        <v/>
      </c>
      <c r="AQ755">
        <f>'19_Расчет_аналитики'!AQ723+('19_Расчет_аналитики'!AQ747/(1+'01_Вводные'!$B$58))*'01_Вводные'!$B$60+'19_Расчет_аналитики'!AQ722</f>
        <v/>
      </c>
      <c r="AR755">
        <f>'19_Расчет_аналитики'!AR723+('19_Расчет_аналитики'!AR747/(1+'01_Вводные'!$B$58))*'01_Вводные'!$B$60+'19_Расчет_аналитики'!AR722</f>
        <v/>
      </c>
      <c r="AS755">
        <f>'19_Расчет_аналитики'!AS723+('19_Расчет_аналитики'!AS747/(1+'01_Вводные'!$B$58))*'01_Вводные'!$B$60+'19_Расчет_аналитики'!AS722</f>
        <v/>
      </c>
      <c r="AT755">
        <f>'19_Расчет_аналитики'!AT723+('19_Расчет_аналитики'!AT747/(1+'01_Вводные'!$B$58))*'01_Вводные'!$B$60+'19_Расчет_аналитики'!AT722</f>
        <v/>
      </c>
      <c r="AU755">
        <f>'19_Расчет_аналитики'!AU723+('19_Расчет_аналитики'!AU747/(1+'01_Вводные'!$B$58))*'01_Вводные'!$B$60+'19_Расчет_аналитики'!AU722</f>
        <v/>
      </c>
      <c r="AV755">
        <f>'19_Расчет_аналитики'!AV723+('19_Расчет_аналитики'!AV747/(1+'01_Вводные'!$B$58))*'01_Вводные'!$B$60+'19_Расчет_аналитики'!AV722</f>
        <v/>
      </c>
      <c r="AW755">
        <f>'19_Расчет_аналитики'!AW723+('19_Расчет_аналитики'!AW747/(1+'01_Вводные'!$B$58))*'01_Вводные'!$B$60+'19_Расчет_аналитики'!AW722</f>
        <v/>
      </c>
      <c r="AX755">
        <f>'19_Расчет_аналитики'!AX723+('19_Расчет_аналитики'!AX747/(1+'01_Вводные'!$B$58))*'01_Вводные'!$B$60+'19_Расчет_аналитики'!AX722</f>
        <v/>
      </c>
      <c r="AY755">
        <f>'19_Расчет_аналитики'!AY723+('19_Расчет_аналитики'!AY747/(1+'01_Вводные'!$B$58))*'01_Вводные'!$B$60+'19_Расчет_аналитики'!AY722</f>
        <v/>
      </c>
      <c r="AZ755">
        <f>'19_Расчет_аналитики'!AZ723+('19_Расчет_аналитики'!AZ747/(1+'01_Вводные'!$B$58))*'01_Вводные'!$B$60+'19_Расчет_аналитики'!AZ722</f>
        <v/>
      </c>
      <c r="BA755">
        <f>'19_Расчет_аналитики'!BA723+('19_Расчет_аналитики'!BA747/(1+'01_Вводные'!$B$58))*'01_Вводные'!$B$60+'19_Расчет_аналитики'!BA722</f>
        <v/>
      </c>
      <c r="BB755">
        <f>'19_Расчет_аналитики'!BB723+('19_Расчет_аналитики'!BB747/(1+'01_Вводные'!$B$58))*'01_Вводные'!$B$60+'19_Расчет_аналитики'!BB722</f>
        <v/>
      </c>
      <c r="BC755">
        <f>'19_Расчет_аналитики'!BC723+('19_Расчет_аналитики'!BC747/(1+'01_Вводные'!$B$58))*'01_Вводные'!$B$60+'19_Расчет_аналитики'!BC722</f>
        <v/>
      </c>
      <c r="BD755">
        <f>'19_Расчет_аналитики'!BD723+('19_Расчет_аналитики'!BD747/(1+'01_Вводные'!$B$58))*'01_Вводные'!$B$60+'19_Расчет_аналитики'!BD722</f>
        <v/>
      </c>
      <c r="BE755">
        <f>'19_Расчет_аналитики'!BE723+('19_Расчет_аналитики'!BE747/(1+'01_Вводные'!$B$58))*'01_Вводные'!$B$60+'19_Расчет_аналитики'!BE722</f>
        <v/>
      </c>
      <c r="BF755">
        <f>'19_Расчет_аналитики'!BF723+('19_Расчет_аналитики'!BF747/(1+'01_Вводные'!$B$58))*'01_Вводные'!$B$60+'19_Расчет_аналитики'!BF722</f>
        <v/>
      </c>
      <c r="BG755">
        <f>'19_Расчет_аналитики'!BG723+('19_Расчет_аналитики'!BG747/(1+'01_Вводные'!$B$58))*'01_Вводные'!$B$60+'19_Расчет_аналитики'!BG722</f>
        <v/>
      </c>
      <c r="BH755">
        <f>'19_Расчет_аналитики'!BH723+('19_Расчет_аналитики'!BH747/(1+'01_Вводные'!$B$58))*'01_Вводные'!$B$60+'19_Расчет_аналитики'!BH722</f>
        <v/>
      </c>
      <c r="BI755">
        <f>'19_Расчет_аналитики'!BI723+('19_Расчет_аналитики'!BI747/(1+'01_Вводные'!$B$58))*'01_Вводные'!$B$60+'19_Расчет_аналитики'!BI722</f>
        <v/>
      </c>
    </row>
    <row r="756">
      <c r="B756">
        <f>('02_Модель'!B52+'19_Расчет_аналитики'!B747+'19_Расчет_аналитики'!B748)-('02_Модель'!B52+'19_Расчет_аналитики'!B747+'19_Расчет_аналитики'!B748)/(1+'01_Вводные'!$B$58)</f>
        <v/>
      </c>
      <c r="C756">
        <f>('19_Расчет_аналитики'!C746+'19_Расчет_аналитики'!C747+'19_Расчет_аналитики'!C748)-('19_Расчет_аналитики'!C746+'19_Расчет_аналитики'!C747+'19_Расчет_аналитики'!C748)/(1+'01_Вводные'!$B$58)</f>
        <v/>
      </c>
      <c r="D756">
        <f>('19_Расчет_аналитики'!D746+'19_Расчет_аналитики'!D747+'19_Расчет_аналитики'!D748)-('19_Расчет_аналитики'!D746+'19_Расчет_аналитики'!D747+'19_Расчет_аналитики'!D748)/(1+'01_Вводные'!$B$58)</f>
        <v/>
      </c>
      <c r="E756">
        <f>('19_Расчет_аналитики'!E746+'19_Расчет_аналитики'!E747+'19_Расчет_аналитики'!E748)-('19_Расчет_аналитики'!E746+'19_Расчет_аналитики'!E747+'19_Расчет_аналитики'!E748)/(1+'01_Вводные'!$B$58)</f>
        <v/>
      </c>
      <c r="F756">
        <f>('19_Расчет_аналитики'!F746+'19_Расчет_аналитики'!F747+'19_Расчет_аналитики'!F748)-('19_Расчет_аналитики'!F746+'19_Расчет_аналитики'!F747+'19_Расчет_аналитики'!F748)/(1+'01_Вводные'!$B$58)</f>
        <v/>
      </c>
      <c r="G756">
        <f>('19_Расчет_аналитики'!G746+'19_Расчет_аналитики'!G747+'19_Расчет_аналитики'!G748)-('19_Расчет_аналитики'!G746+'19_Расчет_аналитики'!G747+'19_Расчет_аналитики'!G748)/(1+'01_Вводные'!$B$58)</f>
        <v/>
      </c>
      <c r="H756">
        <f>('19_Расчет_аналитики'!H746+'19_Расчет_аналитики'!H747+'19_Расчет_аналитики'!H748)-('19_Расчет_аналитики'!H746+'19_Расчет_аналитики'!H747+'19_Расчет_аналитики'!H748)/(1+'01_Вводные'!$B$58)</f>
        <v/>
      </c>
      <c r="I756">
        <f>('19_Расчет_аналитики'!I746+'19_Расчет_аналитики'!I747+'19_Расчет_аналитики'!I748)-('19_Расчет_аналитики'!I746+'19_Расчет_аналитики'!I747+'19_Расчет_аналитики'!I748)/(1+'01_Вводные'!$B$58)</f>
        <v/>
      </c>
      <c r="J756">
        <f>('19_Расчет_аналитики'!J746+'19_Расчет_аналитики'!J747+'19_Расчет_аналитики'!J748)-('19_Расчет_аналитики'!J746+'19_Расчет_аналитики'!J747+'19_Расчет_аналитики'!J748)/(1+'01_Вводные'!$B$58)</f>
        <v/>
      </c>
      <c r="K756">
        <f>('19_Расчет_аналитики'!K746+'19_Расчет_аналитики'!K747+'19_Расчет_аналитики'!K748)-('19_Расчет_аналитики'!K746+'19_Расчет_аналитики'!K747+'19_Расчет_аналитики'!K748)/(1+'01_Вводные'!$B$58)</f>
        <v/>
      </c>
      <c r="L756">
        <f>('19_Расчет_аналитики'!L746+'19_Расчет_аналитики'!L747+'19_Расчет_аналитики'!L748)-('19_Расчет_аналитики'!L746+'19_Расчет_аналитики'!L747+'19_Расчет_аналитики'!L748)/(1+'01_Вводные'!$B$58)</f>
        <v/>
      </c>
      <c r="M756">
        <f>('19_Расчет_аналитики'!M746+'19_Расчет_аналитики'!M747+'19_Расчет_аналитики'!M748)-('19_Расчет_аналитики'!M746+'19_Расчет_аналитики'!M747+'19_Расчет_аналитики'!M748)/(1+'01_Вводные'!$B$58)</f>
        <v/>
      </c>
      <c r="N756">
        <f>('19_Расчет_аналитики'!N746+'19_Расчет_аналитики'!N747+'19_Расчет_аналитики'!N748)-('19_Расчет_аналитики'!N746+'19_Расчет_аналитики'!N747+'19_Расчет_аналитики'!N748)/(1+'01_Вводные'!$B$58)</f>
        <v/>
      </c>
      <c r="O756">
        <f>('19_Расчет_аналитики'!O746+'19_Расчет_аналитики'!O747+'19_Расчет_аналитики'!O748)-('19_Расчет_аналитики'!O746+'19_Расчет_аналитики'!O747+'19_Расчет_аналитики'!O748)/(1+'01_Вводные'!$B$58)</f>
        <v/>
      </c>
      <c r="P756">
        <f>('19_Расчет_аналитики'!P746+'19_Расчет_аналитики'!P747+'19_Расчет_аналитики'!P748)-('19_Расчет_аналитики'!P746+'19_Расчет_аналитики'!P747+'19_Расчет_аналитики'!P748)/(1+'01_Вводные'!$B$58)</f>
        <v/>
      </c>
      <c r="Q756">
        <f>('19_Расчет_аналитики'!Q746+'19_Расчет_аналитики'!Q747+'19_Расчет_аналитики'!Q748)-('19_Расчет_аналитики'!Q746+'19_Расчет_аналитики'!Q747+'19_Расчет_аналитики'!Q748)/(1+'01_Вводные'!$B$58)</f>
        <v/>
      </c>
      <c r="R756">
        <f>('19_Расчет_аналитики'!R746+'19_Расчет_аналитики'!R747+'19_Расчет_аналитики'!R748)-('19_Расчет_аналитики'!R746+'19_Расчет_аналитики'!R747+'19_Расчет_аналитики'!R748)/(1+'01_Вводные'!$B$58)</f>
        <v/>
      </c>
      <c r="S756">
        <f>('19_Расчет_аналитики'!S746+'19_Расчет_аналитики'!S747+'19_Расчет_аналитики'!S748)-('19_Расчет_аналитики'!S746+'19_Расчет_аналитики'!S747+'19_Расчет_аналитики'!S748)/(1+'01_Вводные'!$B$58)</f>
        <v/>
      </c>
      <c r="T756">
        <f>('19_Расчет_аналитики'!T746+'19_Расчет_аналитики'!T747+'19_Расчет_аналитики'!T748)-('19_Расчет_аналитики'!T746+'19_Расчет_аналитики'!T747+'19_Расчет_аналитики'!T748)/(1+'01_Вводные'!$B$58)</f>
        <v/>
      </c>
      <c r="U756">
        <f>('19_Расчет_аналитики'!U746+'19_Расчет_аналитики'!U747+'19_Расчет_аналитики'!U748)-('19_Расчет_аналитики'!U746+'19_Расчет_аналитики'!U747+'19_Расчет_аналитики'!U748)/(1+'01_Вводные'!$B$58)</f>
        <v/>
      </c>
      <c r="V756">
        <f>('19_Расчет_аналитики'!V746+'19_Расчет_аналитики'!V747+'19_Расчет_аналитики'!V748)-('19_Расчет_аналитики'!V746+'19_Расчет_аналитики'!V747+'19_Расчет_аналитики'!V748)/(1+'01_Вводные'!$B$58)</f>
        <v/>
      </c>
      <c r="W756">
        <f>('19_Расчет_аналитики'!W746+'19_Расчет_аналитики'!W747+'19_Расчет_аналитики'!W748)-('19_Расчет_аналитики'!W746+'19_Расчет_аналитики'!W747+'19_Расчет_аналитики'!W748)/(1+'01_Вводные'!$B$58)</f>
        <v/>
      </c>
      <c r="X756">
        <f>('19_Расчет_аналитики'!X746+'19_Расчет_аналитики'!X747+'19_Расчет_аналитики'!X748)-('19_Расчет_аналитики'!X746+'19_Расчет_аналитики'!X747+'19_Расчет_аналитики'!X748)/(1+'01_Вводные'!$B$58)</f>
        <v/>
      </c>
      <c r="Y756">
        <f>('19_Расчет_аналитики'!Y746+'19_Расчет_аналитики'!Y747+'19_Расчет_аналитики'!Y748)-('19_Расчет_аналитики'!Y746+'19_Расчет_аналитики'!Y747+'19_Расчет_аналитики'!Y748)/(1+'01_Вводные'!$B$58)</f>
        <v/>
      </c>
      <c r="Z756">
        <f>('19_Расчет_аналитики'!Z746+'19_Расчет_аналитики'!Z747+'19_Расчет_аналитики'!Z748)-('19_Расчет_аналитики'!Z746+'19_Расчет_аналитики'!Z747+'19_Расчет_аналитики'!Z748)/(1+'01_Вводные'!$B$58)</f>
        <v/>
      </c>
      <c r="AA756">
        <f>('19_Расчет_аналитики'!AA746+'19_Расчет_аналитики'!AA747+'19_Расчет_аналитики'!AA748)-('19_Расчет_аналитики'!AA746+'19_Расчет_аналитики'!AA747+'19_Расчет_аналитики'!AA748)/(1+'01_Вводные'!$B$58)</f>
        <v/>
      </c>
      <c r="AB756">
        <f>('19_Расчет_аналитики'!AB746+'19_Расчет_аналитики'!AB747+'19_Расчет_аналитики'!AB748)-('19_Расчет_аналитики'!AB746+'19_Расчет_аналитики'!AB747+'19_Расчет_аналитики'!AB748)/(1+'01_Вводные'!$B$58)</f>
        <v/>
      </c>
      <c r="AC756">
        <f>('19_Расчет_аналитики'!AC746+'19_Расчет_аналитики'!AC747+'19_Расчет_аналитики'!AC748)-('19_Расчет_аналитики'!AC746+'19_Расчет_аналитики'!AC747+'19_Расчет_аналитики'!AC748)/(1+'01_Вводные'!$B$58)</f>
        <v/>
      </c>
      <c r="AD756">
        <f>('19_Расчет_аналитики'!AD746+'19_Расчет_аналитики'!AD747+'19_Расчет_аналитики'!AD748)-('19_Расчет_аналитики'!AD746+'19_Расчет_аналитики'!AD747+'19_Расчет_аналитики'!AD748)/(1+'01_Вводные'!$B$58)</f>
        <v/>
      </c>
      <c r="AE756">
        <f>('19_Расчет_аналитики'!AE746+'19_Расчет_аналитики'!AE747+'19_Расчет_аналитики'!AE748)-('19_Расчет_аналитики'!AE746+'19_Расчет_аналитики'!AE747+'19_Расчет_аналитики'!AE748)/(1+'01_Вводные'!$B$58)</f>
        <v/>
      </c>
      <c r="AF756">
        <f>('19_Расчет_аналитики'!AF746+'19_Расчет_аналитики'!AF747+'19_Расчет_аналитики'!AF748)-('19_Расчет_аналитики'!AF746+'19_Расчет_аналитики'!AF747+'19_Расчет_аналитики'!AF748)/(1+'01_Вводные'!$B$58)</f>
        <v/>
      </c>
      <c r="AG756">
        <f>('19_Расчет_аналитики'!AG746+'19_Расчет_аналитики'!AG747+'19_Расчет_аналитики'!AG748)-('19_Расчет_аналитики'!AG746+'19_Расчет_аналитики'!AG747+'19_Расчет_аналитики'!AG748)/(1+'01_Вводные'!$B$58)</f>
        <v/>
      </c>
      <c r="AH756">
        <f>('19_Расчет_аналитики'!AH746+'19_Расчет_аналитики'!AH747+'19_Расчет_аналитики'!AH748)-('19_Расчет_аналитики'!AH746+'19_Расчет_аналитики'!AH747+'19_Расчет_аналитики'!AH748)/(1+'01_Вводные'!$B$58)</f>
        <v/>
      </c>
      <c r="AI756">
        <f>('19_Расчет_аналитики'!AI746+'19_Расчет_аналитики'!AI747+'19_Расчет_аналитики'!AI748)-('19_Расчет_аналитики'!AI746+'19_Расчет_аналитики'!AI747+'19_Расчет_аналитики'!AI748)/(1+'01_Вводные'!$B$58)</f>
        <v/>
      </c>
      <c r="AJ756">
        <f>('19_Расчет_аналитики'!AJ746+'19_Расчет_аналитики'!AJ747+'19_Расчет_аналитики'!AJ748)-('19_Расчет_аналитики'!AJ746+'19_Расчет_аналитики'!AJ747+'19_Расчет_аналитики'!AJ748)/(1+'01_Вводные'!$B$58)</f>
        <v/>
      </c>
      <c r="AK756">
        <f>('19_Расчет_аналитики'!AK746+'19_Расчет_аналитики'!AK747+'19_Расчет_аналитики'!AK748)-('19_Расчет_аналитики'!AK746+'19_Расчет_аналитики'!AK747+'19_Расчет_аналитики'!AK748)/(1+'01_Вводные'!$B$58)</f>
        <v/>
      </c>
      <c r="AL756">
        <f>('19_Расчет_аналитики'!AL746+'19_Расчет_аналитики'!AL747+'19_Расчет_аналитики'!AL748)-('19_Расчет_аналитики'!AL746+'19_Расчет_аналитики'!AL747+'19_Расчет_аналитики'!AL748)/(1+'01_Вводные'!$B$58)</f>
        <v/>
      </c>
      <c r="AM756">
        <f>('19_Расчет_аналитики'!AM746+'19_Расчет_аналитики'!AM747+'19_Расчет_аналитики'!AM748)-('19_Расчет_аналитики'!AM746+'19_Расчет_аналитики'!AM747+'19_Расчет_аналитики'!AM748)/(1+'01_Вводные'!$B$58)</f>
        <v/>
      </c>
      <c r="AN756">
        <f>('19_Расчет_аналитики'!AN746+'19_Расчет_аналитики'!AN747+'19_Расчет_аналитики'!AN748)-('19_Расчет_аналитики'!AN746+'19_Расчет_аналитики'!AN747+'19_Расчет_аналитики'!AN748)/(1+'01_Вводные'!$B$58)</f>
        <v/>
      </c>
      <c r="AO756">
        <f>('19_Расчет_аналитики'!AO746+'19_Расчет_аналитики'!AO747+'19_Расчет_аналитики'!AO748)-('19_Расчет_аналитики'!AO746+'19_Расчет_аналитики'!AO747+'19_Расчет_аналитики'!AO748)/(1+'01_Вводные'!$B$58)</f>
        <v/>
      </c>
      <c r="AP756">
        <f>('19_Расчет_аналитики'!AP746+'19_Расчет_аналитики'!AP747+'19_Расчет_аналитики'!AP748)-('19_Расчет_аналитики'!AP746+'19_Расчет_аналитики'!AP747+'19_Расчет_аналитики'!AP748)/(1+'01_Вводные'!$B$58)</f>
        <v/>
      </c>
      <c r="AQ756">
        <f>('19_Расчет_аналитики'!AQ746+'19_Расчет_аналитики'!AQ747+'19_Расчет_аналитики'!AQ748)-('19_Расчет_аналитики'!AQ746+'19_Расчет_аналитики'!AQ747+'19_Расчет_аналитики'!AQ748)/(1+'01_Вводные'!$B$58)</f>
        <v/>
      </c>
      <c r="AR756">
        <f>('19_Расчет_аналитики'!AR746+'19_Расчет_аналитики'!AR747+'19_Расчет_аналитики'!AR748)-('19_Расчет_аналитики'!AR746+'19_Расчет_аналитики'!AR747+'19_Расчет_аналитики'!AR748)/(1+'01_Вводные'!$B$58)</f>
        <v/>
      </c>
      <c r="AS756">
        <f>('19_Расчет_аналитики'!AS746+'19_Расчет_аналитики'!AS747+'19_Расчет_аналитики'!AS748)-('19_Расчет_аналитики'!AS746+'19_Расчет_аналитики'!AS747+'19_Расчет_аналитики'!AS748)/(1+'01_Вводные'!$B$58)</f>
        <v/>
      </c>
      <c r="AT756">
        <f>('19_Расчет_аналитики'!AT746+'19_Расчет_аналитики'!AT747+'19_Расчет_аналитики'!AT748)-('19_Расчет_аналитики'!AT746+'19_Расчет_аналитики'!AT747+'19_Расчет_аналитики'!AT748)/(1+'01_Вводные'!$B$58)</f>
        <v/>
      </c>
      <c r="AU756">
        <f>('19_Расчет_аналитики'!AU746+'19_Расчет_аналитики'!AU747+'19_Расчет_аналитики'!AU748)-('19_Расчет_аналитики'!AU746+'19_Расчет_аналитики'!AU747+'19_Расчет_аналитики'!AU748)/(1+'01_Вводные'!$B$58)</f>
        <v/>
      </c>
      <c r="AV756">
        <f>('19_Расчет_аналитики'!AV746+'19_Расчет_аналитики'!AV747+'19_Расчет_аналитики'!AV748)-('19_Расчет_аналитики'!AV746+'19_Расчет_аналитики'!AV747+'19_Расчет_аналитики'!AV748)/(1+'01_Вводные'!$B$58)</f>
        <v/>
      </c>
      <c r="AW756">
        <f>('19_Расчет_аналитики'!AW746+'19_Расчет_аналитики'!AW747+'19_Расчет_аналитики'!AW748)-('19_Расчет_аналитики'!AW746+'19_Расчет_аналитики'!AW747+'19_Расчет_аналитики'!AW748)/(1+'01_Вводные'!$B$58)</f>
        <v/>
      </c>
      <c r="AX756">
        <f>('19_Расчет_аналитики'!AX746+'19_Расчет_аналитики'!AX747+'19_Расчет_аналитики'!AX748)-('19_Расчет_аналитики'!AX746+'19_Расчет_аналитики'!AX747+'19_Расчет_аналитики'!AX748)/(1+'01_Вводные'!$B$58)</f>
        <v/>
      </c>
      <c r="AY756">
        <f>('19_Расчет_аналитики'!AY746+'19_Расчет_аналитики'!AY747+'19_Расчет_аналитики'!AY748)-('19_Расчет_аналитики'!AY746+'19_Расчет_аналитики'!AY747+'19_Расчет_аналитики'!AY748)/(1+'01_Вводные'!$B$58)</f>
        <v/>
      </c>
      <c r="AZ756">
        <f>('19_Расчет_аналитики'!AZ746+'19_Расчет_аналитики'!AZ747+'19_Расчет_аналитики'!AZ748)-('19_Расчет_аналитики'!AZ746+'19_Расчет_аналитики'!AZ747+'19_Расчет_аналитики'!AZ748)/(1+'01_Вводные'!$B$58)</f>
        <v/>
      </c>
      <c r="BA756">
        <f>('19_Расчет_аналитики'!BA746+'19_Расчет_аналитики'!BA747+'19_Расчет_аналитики'!BA748)-('19_Расчет_аналитики'!BA746+'19_Расчет_аналитики'!BA747+'19_Расчет_аналитики'!BA748)/(1+'01_Вводные'!$B$58)</f>
        <v/>
      </c>
      <c r="BB756">
        <f>('19_Расчет_аналитики'!BB746+'19_Расчет_аналитики'!BB747+'19_Расчет_аналитики'!BB748)-('19_Расчет_аналитики'!BB746+'19_Расчет_аналитики'!BB747+'19_Расчет_аналитики'!BB748)/(1+'01_Вводные'!$B$58)</f>
        <v/>
      </c>
      <c r="BC756">
        <f>('19_Расчет_аналитики'!BC746+'19_Расчет_аналитики'!BC747+'19_Расчет_аналитики'!BC748)-('19_Расчет_аналитики'!BC746+'19_Расчет_аналитики'!BC747+'19_Расчет_аналитики'!BC748)/(1+'01_Вводные'!$B$58)</f>
        <v/>
      </c>
      <c r="BD756">
        <f>('19_Расчет_аналитики'!BD746+'19_Расчет_аналитики'!BD747+'19_Расчет_аналитики'!BD748)-('19_Расчет_аналитики'!BD746+'19_Расчет_аналитики'!BD747+'19_Расчет_аналитики'!BD748)/(1+'01_Вводные'!$B$58)</f>
        <v/>
      </c>
      <c r="BE756">
        <f>('19_Расчет_аналитики'!BE746+'19_Расчет_аналитики'!BE747+'19_Расчет_аналитики'!BE748)-('19_Расчет_аналитики'!BE746+'19_Расчет_аналитики'!BE747+'19_Расчет_аналитики'!BE748)/(1+'01_Вводные'!$B$58)</f>
        <v/>
      </c>
      <c r="BF756">
        <f>('19_Расчет_аналитики'!BF746+'19_Расчет_аналитики'!BF747+'19_Расчет_аналитики'!BF748)-('19_Расчет_аналитики'!BF746+'19_Расчет_аналитики'!BF747+'19_Расчет_аналитики'!BF748)/(1+'01_Вводные'!$B$58)</f>
        <v/>
      </c>
      <c r="BG756">
        <f>('19_Расчет_аналитики'!BG746+'19_Расчет_аналитики'!BG747+'19_Расчет_аналитики'!BG748)-('19_Расчет_аналитики'!BG746+'19_Расчет_аналитики'!BG747+'19_Расчет_аналитики'!BG748)/(1+'01_Вводные'!$B$58)</f>
        <v/>
      </c>
      <c r="BH756">
        <f>('19_Расчет_аналитики'!BH746+'19_Расчет_аналитики'!BH747+'19_Расчет_аналитики'!BH748)-('19_Расчет_аналитики'!BH746+'19_Расчет_аналитики'!BH747+'19_Расчет_аналитики'!BH748)/(1+'01_Вводные'!$B$58)</f>
        <v/>
      </c>
      <c r="BI756">
        <f>('19_Расчет_аналитики'!BI746+'19_Расчет_аналитики'!BI747+'19_Расчет_аналитики'!BI748)-('19_Расчет_аналитики'!BI746+'19_Расчет_аналитики'!BI747+'19_Расчет_аналитики'!BI748)/(1+'01_Вводные'!$B$58)</f>
        <v/>
      </c>
    </row>
    <row r="757">
      <c r="B757">
        <f>'02_Модель'!B63</f>
        <v/>
      </c>
      <c r="C757">
        <f>'02_Модель'!C63</f>
        <v/>
      </c>
      <c r="D757">
        <f>'02_Модель'!D63</f>
        <v/>
      </c>
      <c r="E757">
        <f>'02_Модель'!E63</f>
        <v/>
      </c>
      <c r="F757">
        <f>'02_Модель'!F63</f>
        <v/>
      </c>
      <c r="G757">
        <f>'02_Модель'!G63</f>
        <v/>
      </c>
      <c r="H757">
        <f>'02_Модель'!H63</f>
        <v/>
      </c>
      <c r="I757">
        <f>'02_Модель'!I63</f>
        <v/>
      </c>
      <c r="J757">
        <f>'02_Модель'!J63</f>
        <v/>
      </c>
      <c r="K757">
        <f>'02_Модель'!K63</f>
        <v/>
      </c>
      <c r="L757">
        <f>'02_Модель'!L63</f>
        <v/>
      </c>
      <c r="M757">
        <f>'02_Модель'!M63</f>
        <v/>
      </c>
      <c r="N757">
        <f>'02_Модель'!N63</f>
        <v/>
      </c>
      <c r="O757">
        <f>'02_Модель'!O63</f>
        <v/>
      </c>
      <c r="P757">
        <f>'02_Модель'!P63</f>
        <v/>
      </c>
      <c r="Q757">
        <f>'02_Модель'!Q63</f>
        <v/>
      </c>
      <c r="R757">
        <f>'02_Модель'!R63</f>
        <v/>
      </c>
      <c r="S757">
        <f>'02_Модель'!S63</f>
        <v/>
      </c>
      <c r="T757">
        <f>'02_Модель'!T63</f>
        <v/>
      </c>
      <c r="U757">
        <f>'02_Модель'!U63</f>
        <v/>
      </c>
      <c r="V757">
        <f>'02_Модель'!V63</f>
        <v/>
      </c>
      <c r="W757">
        <f>'02_Модель'!W63</f>
        <v/>
      </c>
      <c r="X757">
        <f>'02_Модель'!X63</f>
        <v/>
      </c>
      <c r="Y757">
        <f>'02_Модель'!Y63</f>
        <v/>
      </c>
      <c r="Z757">
        <f>'02_Модель'!Z63</f>
        <v/>
      </c>
      <c r="AA757">
        <f>'02_Модель'!AA63</f>
        <v/>
      </c>
      <c r="AB757">
        <f>'02_Модель'!AB63</f>
        <v/>
      </c>
      <c r="AC757">
        <f>'02_Модель'!AC63</f>
        <v/>
      </c>
      <c r="AD757">
        <f>'02_Модель'!AD63</f>
        <v/>
      </c>
      <c r="AE757">
        <f>'02_Модель'!AE63</f>
        <v/>
      </c>
      <c r="AF757">
        <f>'02_Модель'!AF63</f>
        <v/>
      </c>
      <c r="AG757">
        <f>'02_Модель'!AG63</f>
        <v/>
      </c>
      <c r="AH757">
        <f>'02_Модель'!AH63</f>
        <v/>
      </c>
      <c r="AI757">
        <f>'02_Модель'!AI63</f>
        <v/>
      </c>
      <c r="AJ757">
        <f>'02_Модель'!AJ63</f>
        <v/>
      </c>
      <c r="AK757">
        <f>'02_Модель'!AK63</f>
        <v/>
      </c>
      <c r="AL757">
        <f>'02_Модель'!AL63</f>
        <v/>
      </c>
      <c r="AM757">
        <f>'02_Модель'!AM63</f>
        <v/>
      </c>
      <c r="AN757">
        <f>'02_Модель'!AN63</f>
        <v/>
      </c>
      <c r="AO757">
        <f>'02_Модель'!AO63</f>
        <v/>
      </c>
      <c r="AP757">
        <f>'02_Модель'!AP63</f>
        <v/>
      </c>
      <c r="AQ757">
        <f>'02_Модель'!AQ63</f>
        <v/>
      </c>
      <c r="AR757">
        <f>'02_Модель'!AR63</f>
        <v/>
      </c>
      <c r="AS757">
        <f>'02_Модель'!AS63</f>
        <v/>
      </c>
      <c r="AT757">
        <f>'02_Модель'!AT63</f>
        <v/>
      </c>
      <c r="AU757">
        <f>'02_Модель'!AU63</f>
        <v/>
      </c>
      <c r="AV757">
        <f>'02_Модель'!AV63</f>
        <v/>
      </c>
      <c r="AW757">
        <f>'02_Модель'!AW63</f>
        <v/>
      </c>
      <c r="AX757">
        <f>'02_Модель'!AX63</f>
        <v/>
      </c>
      <c r="AY757">
        <f>'02_Модель'!AY63</f>
        <v/>
      </c>
      <c r="AZ757">
        <f>'02_Модель'!AZ63</f>
        <v/>
      </c>
      <c r="BA757">
        <f>'02_Модель'!BA63</f>
        <v/>
      </c>
      <c r="BB757">
        <f>'02_Модель'!BB63</f>
        <v/>
      </c>
      <c r="BC757">
        <f>'02_Модель'!BC63</f>
        <v/>
      </c>
      <c r="BD757">
        <f>'02_Модель'!BD63</f>
        <v/>
      </c>
      <c r="BE757">
        <f>'02_Модель'!BE63</f>
        <v/>
      </c>
      <c r="BF757">
        <f>'02_Модель'!BF63</f>
        <v/>
      </c>
      <c r="BG757">
        <f>'02_Модель'!BG63</f>
        <v/>
      </c>
      <c r="BH757">
        <f>'02_Модель'!BH63</f>
        <v/>
      </c>
      <c r="BI757">
        <f>'02_Модель'!BI63</f>
        <v/>
      </c>
    </row>
    <row r="758">
      <c r="B758">
        <f>'19_Расчет_аналитики'!B740</f>
        <v/>
      </c>
      <c r="C758">
        <f>'19_Расчет_аналитики'!C740</f>
        <v/>
      </c>
      <c r="D758">
        <f>'19_Расчет_аналитики'!D740</f>
        <v/>
      </c>
      <c r="E758">
        <f>'19_Расчет_аналитики'!E740</f>
        <v/>
      </c>
      <c r="F758">
        <f>'19_Расчет_аналитики'!F740</f>
        <v/>
      </c>
      <c r="G758">
        <f>'19_Расчет_аналитики'!G740</f>
        <v/>
      </c>
      <c r="H758">
        <f>'19_Расчет_аналитики'!H740</f>
        <v/>
      </c>
      <c r="I758">
        <f>'19_Расчет_аналитики'!I740</f>
        <v/>
      </c>
      <c r="J758">
        <f>'19_Расчет_аналитики'!J740</f>
        <v/>
      </c>
      <c r="K758">
        <f>'19_Расчет_аналитики'!K740</f>
        <v/>
      </c>
      <c r="L758">
        <f>'19_Расчет_аналитики'!L740</f>
        <v/>
      </c>
      <c r="M758">
        <f>'19_Расчет_аналитики'!M740</f>
        <v/>
      </c>
      <c r="N758">
        <f>'19_Расчет_аналитики'!N740</f>
        <v/>
      </c>
      <c r="O758">
        <f>'19_Расчет_аналитики'!O740</f>
        <v/>
      </c>
      <c r="P758">
        <f>'19_Расчет_аналитики'!P740</f>
        <v/>
      </c>
      <c r="Q758">
        <f>'19_Расчет_аналитики'!Q740</f>
        <v/>
      </c>
      <c r="R758">
        <f>'19_Расчет_аналитики'!R740</f>
        <v/>
      </c>
      <c r="S758">
        <f>'19_Расчет_аналитики'!S740</f>
        <v/>
      </c>
      <c r="T758">
        <f>'19_Расчет_аналитики'!T740</f>
        <v/>
      </c>
      <c r="U758">
        <f>'19_Расчет_аналитики'!U740</f>
        <v/>
      </c>
      <c r="V758">
        <f>'19_Расчет_аналитики'!V740</f>
        <v/>
      </c>
      <c r="W758">
        <f>'19_Расчет_аналитики'!W740</f>
        <v/>
      </c>
      <c r="X758">
        <f>'19_Расчет_аналитики'!X740</f>
        <v/>
      </c>
      <c r="Y758">
        <f>'19_Расчет_аналитики'!Y740</f>
        <v/>
      </c>
      <c r="Z758">
        <f>'19_Расчет_аналитики'!Z740</f>
        <v/>
      </c>
      <c r="AA758">
        <f>'19_Расчет_аналитики'!AA740</f>
        <v/>
      </c>
      <c r="AB758">
        <f>'19_Расчет_аналитики'!AB740</f>
        <v/>
      </c>
      <c r="AC758">
        <f>'19_Расчет_аналитики'!AC740</f>
        <v/>
      </c>
      <c r="AD758">
        <f>'19_Расчет_аналитики'!AD740</f>
        <v/>
      </c>
      <c r="AE758">
        <f>'19_Расчет_аналитики'!AE740</f>
        <v/>
      </c>
      <c r="AF758">
        <f>'19_Расчет_аналитики'!AF740</f>
        <v/>
      </c>
      <c r="AG758">
        <f>'19_Расчет_аналитики'!AG740</f>
        <v/>
      </c>
      <c r="AH758">
        <f>'19_Расчет_аналитики'!AH740</f>
        <v/>
      </c>
      <c r="AI758">
        <f>'19_Расчет_аналитики'!AI740</f>
        <v/>
      </c>
      <c r="AJ758">
        <f>'19_Расчет_аналитики'!AJ740</f>
        <v/>
      </c>
      <c r="AK758">
        <f>'19_Расчет_аналитики'!AK740</f>
        <v/>
      </c>
      <c r="AL758">
        <f>'19_Расчет_аналитики'!AL740</f>
        <v/>
      </c>
      <c r="AM758">
        <f>'19_Расчет_аналитики'!AM740</f>
        <v/>
      </c>
      <c r="AN758">
        <f>'19_Расчет_аналитики'!AN740</f>
        <v/>
      </c>
      <c r="AO758">
        <f>'19_Расчет_аналитики'!AO740</f>
        <v/>
      </c>
      <c r="AP758">
        <f>'19_Расчет_аналитики'!AP740</f>
        <v/>
      </c>
      <c r="AQ758">
        <f>'19_Расчет_аналитики'!AQ740</f>
        <v/>
      </c>
      <c r="AR758">
        <f>'19_Расчет_аналитики'!AR740</f>
        <v/>
      </c>
      <c r="AS758">
        <f>'19_Расчет_аналитики'!AS740</f>
        <v/>
      </c>
      <c r="AT758">
        <f>'19_Расчет_аналитики'!AT740</f>
        <v/>
      </c>
      <c r="AU758">
        <f>'19_Расчет_аналитики'!AU740</f>
        <v/>
      </c>
      <c r="AV758">
        <f>'19_Расчет_аналитики'!AV740</f>
        <v/>
      </c>
      <c r="AW758">
        <f>'19_Расчет_аналитики'!AW740</f>
        <v/>
      </c>
      <c r="AX758">
        <f>'19_Расчет_аналитики'!AX740</f>
        <v/>
      </c>
      <c r="AY758">
        <f>'19_Расчет_аналитики'!AY740</f>
        <v/>
      </c>
      <c r="AZ758">
        <f>'19_Расчет_аналитики'!AZ740</f>
        <v/>
      </c>
      <c r="BA758">
        <f>'19_Расчет_аналитики'!BA740</f>
        <v/>
      </c>
      <c r="BB758">
        <f>'19_Расчет_аналитики'!BB740</f>
        <v/>
      </c>
      <c r="BC758">
        <f>'19_Расчет_аналитики'!BC740</f>
        <v/>
      </c>
      <c r="BD758">
        <f>'19_Расчет_аналитики'!BD740</f>
        <v/>
      </c>
      <c r="BE758">
        <f>'19_Расчет_аналитики'!BE740</f>
        <v/>
      </c>
      <c r="BF758">
        <f>'19_Расчет_аналитики'!BF740</f>
        <v/>
      </c>
      <c r="BG758">
        <f>'19_Расчет_аналитики'!BG740</f>
        <v/>
      </c>
      <c r="BH758">
        <f>'19_Расчет_аналитики'!BH740</f>
        <v/>
      </c>
      <c r="BI758">
        <f>'19_Расчет_аналитики'!BI740</f>
        <v/>
      </c>
    </row>
    <row r="759">
      <c r="B759">
        <f>'19_Расчет_аналитики'!B626</f>
        <v/>
      </c>
      <c r="C759">
        <f>'19_Расчет_аналитики'!C626</f>
        <v/>
      </c>
      <c r="D759">
        <f>'19_Расчет_аналитики'!D626</f>
        <v/>
      </c>
      <c r="E759">
        <f>'19_Расчет_аналитики'!E626</f>
        <v/>
      </c>
      <c r="F759">
        <f>'19_Расчет_аналитики'!F626</f>
        <v/>
      </c>
      <c r="G759">
        <f>'19_Расчет_аналитики'!G626</f>
        <v/>
      </c>
      <c r="H759">
        <f>'19_Расчет_аналитики'!H626</f>
        <v/>
      </c>
      <c r="I759">
        <f>'19_Расчет_аналитики'!I626</f>
        <v/>
      </c>
      <c r="J759">
        <f>'19_Расчет_аналитики'!J626</f>
        <v/>
      </c>
      <c r="K759">
        <f>'19_Расчет_аналитики'!K626</f>
        <v/>
      </c>
      <c r="L759">
        <f>'19_Расчет_аналитики'!L626</f>
        <v/>
      </c>
      <c r="M759">
        <f>'19_Расчет_аналитики'!M626</f>
        <v/>
      </c>
      <c r="N759">
        <f>'19_Расчет_аналитики'!N626</f>
        <v/>
      </c>
      <c r="O759">
        <f>'19_Расчет_аналитики'!O626</f>
        <v/>
      </c>
      <c r="P759">
        <f>'19_Расчет_аналитики'!P626</f>
        <v/>
      </c>
      <c r="Q759">
        <f>'19_Расчет_аналитики'!Q626</f>
        <v/>
      </c>
      <c r="R759">
        <f>'19_Расчет_аналитики'!R626</f>
        <v/>
      </c>
      <c r="S759">
        <f>'19_Расчет_аналитики'!S626</f>
        <v/>
      </c>
      <c r="T759">
        <f>'19_Расчет_аналитики'!T626</f>
        <v/>
      </c>
      <c r="U759">
        <f>'19_Расчет_аналитики'!U626</f>
        <v/>
      </c>
      <c r="V759">
        <f>'19_Расчет_аналитики'!V626</f>
        <v/>
      </c>
      <c r="W759">
        <f>'19_Расчет_аналитики'!W626</f>
        <v/>
      </c>
      <c r="X759">
        <f>'19_Расчет_аналитики'!X626</f>
        <v/>
      </c>
      <c r="Y759">
        <f>'19_Расчет_аналитики'!Y626</f>
        <v/>
      </c>
      <c r="Z759">
        <f>'19_Расчет_аналитики'!Z626</f>
        <v/>
      </c>
      <c r="AA759">
        <f>'19_Расчет_аналитики'!AA626</f>
        <v/>
      </c>
      <c r="AB759">
        <f>'19_Расчет_аналитики'!AB626</f>
        <v/>
      </c>
      <c r="AC759">
        <f>'19_Расчет_аналитики'!AC626</f>
        <v/>
      </c>
      <c r="AD759">
        <f>'19_Расчет_аналитики'!AD626</f>
        <v/>
      </c>
      <c r="AE759">
        <f>'19_Расчет_аналитики'!AE626</f>
        <v/>
      </c>
      <c r="AF759">
        <f>'19_Расчет_аналитики'!AF626</f>
        <v/>
      </c>
      <c r="AG759">
        <f>'19_Расчет_аналитики'!AG626</f>
        <v/>
      </c>
      <c r="AH759">
        <f>'19_Расчет_аналитики'!AH626</f>
        <v/>
      </c>
      <c r="AI759">
        <f>'19_Расчет_аналитики'!AI626</f>
        <v/>
      </c>
      <c r="AJ759">
        <f>'19_Расчет_аналитики'!AJ626</f>
        <v/>
      </c>
      <c r="AK759">
        <f>'19_Расчет_аналитики'!AK626</f>
        <v/>
      </c>
      <c r="AL759">
        <f>'19_Расчет_аналитики'!AL626</f>
        <v/>
      </c>
      <c r="AM759">
        <f>'19_Расчет_аналитики'!AM626</f>
        <v/>
      </c>
      <c r="AN759">
        <f>'19_Расчет_аналитики'!AN626</f>
        <v/>
      </c>
      <c r="AO759">
        <f>'19_Расчет_аналитики'!AO626</f>
        <v/>
      </c>
      <c r="AP759">
        <f>'19_Расчет_аналитики'!AP626</f>
        <v/>
      </c>
      <c r="AQ759">
        <f>'19_Расчет_аналитики'!AQ626</f>
        <v/>
      </c>
      <c r="AR759">
        <f>'19_Расчет_аналитики'!AR626</f>
        <v/>
      </c>
      <c r="AS759">
        <f>'19_Расчет_аналитики'!AS626</f>
        <v/>
      </c>
      <c r="AT759">
        <f>'19_Расчет_аналитики'!AT626</f>
        <v/>
      </c>
      <c r="AU759">
        <f>'19_Расчет_аналитики'!AU626</f>
        <v/>
      </c>
      <c r="AV759">
        <f>'19_Расчет_аналитики'!AV626</f>
        <v/>
      </c>
      <c r="AW759">
        <f>'19_Расчет_аналитики'!AW626</f>
        <v/>
      </c>
      <c r="AX759">
        <f>'19_Расчет_аналитики'!AX626</f>
        <v/>
      </c>
      <c r="AY759">
        <f>'19_Расчет_аналитики'!AY626</f>
        <v/>
      </c>
      <c r="AZ759">
        <f>'19_Расчет_аналитики'!AZ626</f>
        <v/>
      </c>
      <c r="BA759">
        <f>'19_Расчет_аналитики'!BA626</f>
        <v/>
      </c>
      <c r="BB759">
        <f>'19_Расчет_аналитики'!BB626</f>
        <v/>
      </c>
      <c r="BC759">
        <f>'19_Расчет_аналитики'!BC626</f>
        <v/>
      </c>
      <c r="BD759">
        <f>'19_Расчет_аналитики'!BD626</f>
        <v/>
      </c>
      <c r="BE759">
        <f>'19_Расчет_аналитики'!BE626</f>
        <v/>
      </c>
      <c r="BF759">
        <f>'19_Расчет_аналитики'!BF626</f>
        <v/>
      </c>
      <c r="BG759">
        <f>'19_Расчет_аналитики'!BG626</f>
        <v/>
      </c>
      <c r="BH759">
        <f>'19_Расчет_аналитики'!BH626</f>
        <v/>
      </c>
      <c r="BI759">
        <f>'19_Расчет_аналитики'!BI626</f>
        <v/>
      </c>
    </row>
    <row r="760"/>
    <row r="761">
      <c r="B761">
        <f>SUM('19_Расчет_аналитики'!B751:B758)+'02_Модель'!B66</f>
        <v/>
      </c>
      <c r="C761">
        <f>SUM('19_Расчет_аналитики'!C751:C758)+'02_Модель'!C66</f>
        <v/>
      </c>
      <c r="D761">
        <f>SUM('19_Расчет_аналитики'!D751:D758)+'02_Модель'!D66</f>
        <v/>
      </c>
      <c r="E761">
        <f>SUM('19_Расчет_аналитики'!E751:E758)+'02_Модель'!E66</f>
        <v/>
      </c>
      <c r="F761">
        <f>SUM('19_Расчет_аналитики'!F751:F758)+'02_Модель'!F66</f>
        <v/>
      </c>
      <c r="G761">
        <f>SUM('19_Расчет_аналитики'!G751:G758)+'02_Модель'!G66</f>
        <v/>
      </c>
      <c r="H761">
        <f>SUM('19_Расчет_аналитики'!H751:H758)+'02_Модель'!H66</f>
        <v/>
      </c>
      <c r="I761">
        <f>SUM('19_Расчет_аналитики'!I751:I758)+'02_Модель'!I66</f>
        <v/>
      </c>
      <c r="J761">
        <f>SUM('19_Расчет_аналитики'!J751:J758)+'02_Модель'!J66</f>
        <v/>
      </c>
      <c r="K761">
        <f>SUM('19_Расчет_аналитики'!K751:K758)+'02_Модель'!K66</f>
        <v/>
      </c>
      <c r="L761">
        <f>SUM('19_Расчет_аналитики'!L751:L758)+'02_Модель'!L66</f>
        <v/>
      </c>
      <c r="M761">
        <f>SUM('19_Расчет_аналитики'!M751:M758)+'02_Модель'!M66</f>
        <v/>
      </c>
      <c r="N761">
        <f>SUM('19_Расчет_аналитики'!N751:N758)+'02_Модель'!N66</f>
        <v/>
      </c>
      <c r="O761">
        <f>SUM('19_Расчет_аналитики'!O751:O758)+'02_Модель'!O66</f>
        <v/>
      </c>
      <c r="P761">
        <f>SUM('19_Расчет_аналитики'!P751:P758)+'02_Модель'!P66</f>
        <v/>
      </c>
      <c r="Q761">
        <f>SUM('19_Расчет_аналитики'!Q751:Q758)+'02_Модель'!Q66</f>
        <v/>
      </c>
      <c r="R761">
        <f>SUM('19_Расчет_аналитики'!R751:R758)+'02_Модель'!R66</f>
        <v/>
      </c>
      <c r="S761">
        <f>SUM('19_Расчет_аналитики'!S751:S758)+'02_Модель'!S66</f>
        <v/>
      </c>
      <c r="T761">
        <f>SUM('19_Расчет_аналитики'!T751:T758)+'02_Модель'!T66</f>
        <v/>
      </c>
      <c r="U761">
        <f>SUM('19_Расчет_аналитики'!U751:U758)+'02_Модель'!U66</f>
        <v/>
      </c>
      <c r="V761">
        <f>SUM('19_Расчет_аналитики'!V751:V758)+'02_Модель'!V66</f>
        <v/>
      </c>
      <c r="W761">
        <f>SUM('19_Расчет_аналитики'!W751:W758)+'02_Модель'!W66</f>
        <v/>
      </c>
      <c r="X761">
        <f>SUM('19_Расчет_аналитики'!X751:X758)+'02_Модель'!X66</f>
        <v/>
      </c>
      <c r="Y761">
        <f>SUM('19_Расчет_аналитики'!Y751:Y758)+'02_Модель'!Y66</f>
        <v/>
      </c>
      <c r="Z761">
        <f>SUM('19_Расчет_аналитики'!Z751:Z758)+'02_Модель'!Z66</f>
        <v/>
      </c>
      <c r="AA761">
        <f>SUM('19_Расчет_аналитики'!AA751:AA758)+'02_Модель'!AA66</f>
        <v/>
      </c>
      <c r="AB761">
        <f>SUM('19_Расчет_аналитики'!AB751:AB758)+'02_Модель'!AB66</f>
        <v/>
      </c>
      <c r="AC761">
        <f>SUM('19_Расчет_аналитики'!AC751:AC758)+'02_Модель'!AC66</f>
        <v/>
      </c>
      <c r="AD761">
        <f>SUM('19_Расчет_аналитики'!AD751:AD758)+'02_Модель'!AD66</f>
        <v/>
      </c>
      <c r="AE761">
        <f>SUM('19_Расчет_аналитики'!AE751:AE758)+'02_Модель'!AE66</f>
        <v/>
      </c>
      <c r="AF761">
        <f>SUM('19_Расчет_аналитики'!AF751:AF758)+'02_Модель'!AF66</f>
        <v/>
      </c>
      <c r="AG761">
        <f>SUM('19_Расчет_аналитики'!AG751:AG758)+'02_Модель'!AG66</f>
        <v/>
      </c>
      <c r="AH761">
        <f>SUM('19_Расчет_аналитики'!AH751:AH758)+'02_Модель'!AH66</f>
        <v/>
      </c>
      <c r="AI761">
        <f>SUM('19_Расчет_аналитики'!AI751:AI758)+'02_Модель'!AI66</f>
        <v/>
      </c>
      <c r="AJ761">
        <f>SUM('19_Расчет_аналитики'!AJ751:AJ758)+'02_Модель'!AJ66</f>
        <v/>
      </c>
      <c r="AK761">
        <f>SUM('19_Расчет_аналитики'!AK751:AK758)+'02_Модель'!AK66</f>
        <v/>
      </c>
      <c r="AL761">
        <f>SUM('19_Расчет_аналитики'!AL751:AL758)+'02_Модель'!AL66</f>
        <v/>
      </c>
      <c r="AM761">
        <f>SUM('19_Расчет_аналитики'!AM751:AM758)+'02_Модель'!AM66</f>
        <v/>
      </c>
      <c r="AN761">
        <f>SUM('19_Расчет_аналитики'!AN751:AN758)+'02_Модель'!AN66</f>
        <v/>
      </c>
      <c r="AO761">
        <f>SUM('19_Расчет_аналитики'!AO751:AO758)+'02_Модель'!AO66</f>
        <v/>
      </c>
      <c r="AP761">
        <f>SUM('19_Расчет_аналитики'!AP751:AP758)+'02_Модель'!AP66</f>
        <v/>
      </c>
      <c r="AQ761">
        <f>SUM('19_Расчет_аналитики'!AQ751:AQ758)+'02_Модель'!AQ66</f>
        <v/>
      </c>
      <c r="AR761">
        <f>SUM('19_Расчет_аналитики'!AR751:AR758)+'02_Модель'!AR66</f>
        <v/>
      </c>
      <c r="AS761">
        <f>SUM('19_Расчет_аналитики'!AS751:AS758)+'02_Модель'!AS66</f>
        <v/>
      </c>
      <c r="AT761">
        <f>SUM('19_Расчет_аналитики'!AT751:AT758)+'02_Модель'!AT66</f>
        <v/>
      </c>
      <c r="AU761">
        <f>SUM('19_Расчет_аналитики'!AU751:AU758)+'02_Модель'!AU66</f>
        <v/>
      </c>
      <c r="AV761">
        <f>SUM('19_Расчет_аналитики'!AV751:AV758)+'02_Модель'!AV66</f>
        <v/>
      </c>
      <c r="AW761">
        <f>SUM('19_Расчет_аналитики'!AW751:AW758)+'02_Модель'!AW66</f>
        <v/>
      </c>
      <c r="AX761">
        <f>SUM('19_Расчет_аналитики'!AX751:AX758)+'02_Модель'!AX66</f>
        <v/>
      </c>
      <c r="AY761">
        <f>SUM('19_Расчет_аналитики'!AY751:AY758)+'02_Модель'!AY66</f>
        <v/>
      </c>
      <c r="AZ761">
        <f>SUM('19_Расчет_аналитики'!AZ751:AZ758)+'02_Модель'!AZ66</f>
        <v/>
      </c>
      <c r="BA761">
        <f>SUM('19_Расчет_аналитики'!BA751:BA758)+'02_Модель'!BA66</f>
        <v/>
      </c>
      <c r="BB761">
        <f>SUM('19_Расчет_аналитики'!BB751:BB758)+'02_Модель'!BB66</f>
        <v/>
      </c>
      <c r="BC761">
        <f>SUM('19_Расчет_аналитики'!BC751:BC758)+'02_Модель'!BC66</f>
        <v/>
      </c>
      <c r="BD761">
        <f>SUM('19_Расчет_аналитики'!BD751:BD758)+'02_Модель'!BD66</f>
        <v/>
      </c>
      <c r="BE761">
        <f>SUM('19_Расчет_аналитики'!BE751:BE758)+'02_Модель'!BE66</f>
        <v/>
      </c>
      <c r="BF761">
        <f>SUM('19_Расчет_аналитики'!BF751:BF758)+'02_Модель'!BF66</f>
        <v/>
      </c>
      <c r="BG761">
        <f>SUM('19_Расчет_аналитики'!BG751:BG758)+'02_Модель'!BG66</f>
        <v/>
      </c>
      <c r="BH761">
        <f>SUM('19_Расчет_аналитики'!BH751:BH758)+'02_Модель'!BH66</f>
        <v/>
      </c>
      <c r="BI761">
        <f>SUM('19_Расчет_аналитики'!BI751:BI758)+'02_Модель'!BI66</f>
        <v/>
      </c>
    </row>
    <row r="762">
      <c r="B762">
        <f>'19_Расчет_аналитики'!B750-'19_Расчет_аналитики'!B761</f>
        <v/>
      </c>
      <c r="C762">
        <f>'19_Расчет_аналитики'!C750-'19_Расчет_аналитики'!C761</f>
        <v/>
      </c>
      <c r="D762">
        <f>'19_Расчет_аналитики'!D750-'19_Расчет_аналитики'!D761</f>
        <v/>
      </c>
      <c r="E762">
        <f>'19_Расчет_аналитики'!E750-'19_Расчет_аналитики'!E761</f>
        <v/>
      </c>
      <c r="F762">
        <f>'19_Расчет_аналитики'!F750-'19_Расчет_аналитики'!F761</f>
        <v/>
      </c>
      <c r="G762">
        <f>'19_Расчет_аналитики'!G750-'19_Расчет_аналитики'!G761</f>
        <v/>
      </c>
      <c r="H762">
        <f>'19_Расчет_аналитики'!H750-'19_Расчет_аналитики'!H761</f>
        <v/>
      </c>
      <c r="I762">
        <f>'19_Расчет_аналитики'!I750-'19_Расчет_аналитики'!I761</f>
        <v/>
      </c>
      <c r="J762">
        <f>'19_Расчет_аналитики'!J750-'19_Расчет_аналитики'!J761</f>
        <v/>
      </c>
      <c r="K762">
        <f>'19_Расчет_аналитики'!K750-'19_Расчет_аналитики'!K761</f>
        <v/>
      </c>
      <c r="L762">
        <f>'19_Расчет_аналитики'!L750-'19_Расчет_аналитики'!L761</f>
        <v/>
      </c>
      <c r="M762">
        <f>'19_Расчет_аналитики'!M750-'19_Расчет_аналитики'!M761</f>
        <v/>
      </c>
      <c r="N762">
        <f>'19_Расчет_аналитики'!N750-'19_Расчет_аналитики'!N761</f>
        <v/>
      </c>
      <c r="O762">
        <f>'19_Расчет_аналитики'!O750-'19_Расчет_аналитики'!O761</f>
        <v/>
      </c>
      <c r="P762">
        <f>'19_Расчет_аналитики'!P750-'19_Расчет_аналитики'!P761</f>
        <v/>
      </c>
      <c r="Q762">
        <f>'19_Расчет_аналитики'!Q750-'19_Расчет_аналитики'!Q761</f>
        <v/>
      </c>
      <c r="R762">
        <f>'19_Расчет_аналитики'!R750-'19_Расчет_аналитики'!R761</f>
        <v/>
      </c>
      <c r="S762">
        <f>'19_Расчет_аналитики'!S750-'19_Расчет_аналитики'!S761</f>
        <v/>
      </c>
      <c r="T762">
        <f>'19_Расчет_аналитики'!T750-'19_Расчет_аналитики'!T761</f>
        <v/>
      </c>
      <c r="U762">
        <f>'19_Расчет_аналитики'!U750-'19_Расчет_аналитики'!U761</f>
        <v/>
      </c>
      <c r="V762">
        <f>'19_Расчет_аналитики'!V750-'19_Расчет_аналитики'!V761</f>
        <v/>
      </c>
      <c r="W762">
        <f>'19_Расчет_аналитики'!W750-'19_Расчет_аналитики'!W761</f>
        <v/>
      </c>
      <c r="X762">
        <f>'19_Расчет_аналитики'!X750-'19_Расчет_аналитики'!X761</f>
        <v/>
      </c>
      <c r="Y762">
        <f>'19_Расчет_аналитики'!Y750-'19_Расчет_аналитики'!Y761</f>
        <v/>
      </c>
      <c r="Z762">
        <f>'19_Расчет_аналитики'!Z750-'19_Расчет_аналитики'!Z761</f>
        <v/>
      </c>
      <c r="AA762">
        <f>'19_Расчет_аналитики'!AA750-'19_Расчет_аналитики'!AA761</f>
        <v/>
      </c>
      <c r="AB762">
        <f>'19_Расчет_аналитики'!AB750-'19_Расчет_аналитики'!AB761</f>
        <v/>
      </c>
      <c r="AC762">
        <f>'19_Расчет_аналитики'!AC750-'19_Расчет_аналитики'!AC761</f>
        <v/>
      </c>
      <c r="AD762">
        <f>'19_Расчет_аналитики'!AD750-'19_Расчет_аналитики'!AD761</f>
        <v/>
      </c>
      <c r="AE762">
        <f>'19_Расчет_аналитики'!AE750-'19_Расчет_аналитики'!AE761</f>
        <v/>
      </c>
      <c r="AF762">
        <f>'19_Расчет_аналитики'!AF750-'19_Расчет_аналитики'!AF761</f>
        <v/>
      </c>
      <c r="AG762">
        <f>'19_Расчет_аналитики'!AG750-'19_Расчет_аналитики'!AG761</f>
        <v/>
      </c>
      <c r="AH762">
        <f>'19_Расчет_аналитики'!AH750-'19_Расчет_аналитики'!AH761</f>
        <v/>
      </c>
      <c r="AI762">
        <f>'19_Расчет_аналитики'!AI750-'19_Расчет_аналитики'!AI761</f>
        <v/>
      </c>
      <c r="AJ762">
        <f>'19_Расчет_аналитики'!AJ750-'19_Расчет_аналитики'!AJ761</f>
        <v/>
      </c>
      <c r="AK762">
        <f>'19_Расчет_аналитики'!AK750-'19_Расчет_аналитики'!AK761</f>
        <v/>
      </c>
      <c r="AL762">
        <f>'19_Расчет_аналитики'!AL750-'19_Расчет_аналитики'!AL761</f>
        <v/>
      </c>
      <c r="AM762">
        <f>'19_Расчет_аналитики'!AM750-'19_Расчет_аналитики'!AM761</f>
        <v/>
      </c>
      <c r="AN762">
        <f>'19_Расчет_аналитики'!AN750-'19_Расчет_аналитики'!AN761</f>
        <v/>
      </c>
      <c r="AO762">
        <f>'19_Расчет_аналитики'!AO750-'19_Расчет_аналитики'!AO761</f>
        <v/>
      </c>
      <c r="AP762">
        <f>'19_Расчет_аналитики'!AP750-'19_Расчет_аналитики'!AP761</f>
        <v/>
      </c>
      <c r="AQ762">
        <f>'19_Расчет_аналитики'!AQ750-'19_Расчет_аналитики'!AQ761</f>
        <v/>
      </c>
      <c r="AR762">
        <f>'19_Расчет_аналитики'!AR750-'19_Расчет_аналитики'!AR761</f>
        <v/>
      </c>
      <c r="AS762">
        <f>'19_Расчет_аналитики'!AS750-'19_Расчет_аналитики'!AS761</f>
        <v/>
      </c>
      <c r="AT762">
        <f>'19_Расчет_аналитики'!AT750-'19_Расчет_аналитики'!AT761</f>
        <v/>
      </c>
      <c r="AU762">
        <f>'19_Расчет_аналитики'!AU750-'19_Расчет_аналитики'!AU761</f>
        <v/>
      </c>
      <c r="AV762">
        <f>'19_Расчет_аналитики'!AV750-'19_Расчет_аналитики'!AV761</f>
        <v/>
      </c>
      <c r="AW762">
        <f>'19_Расчет_аналитики'!AW750-'19_Расчет_аналитики'!AW761</f>
        <v/>
      </c>
      <c r="AX762">
        <f>'19_Расчет_аналитики'!AX750-'19_Расчет_аналитики'!AX761</f>
        <v/>
      </c>
      <c r="AY762">
        <f>'19_Расчет_аналитики'!AY750-'19_Расчет_аналитики'!AY761</f>
        <v/>
      </c>
      <c r="AZ762">
        <f>'19_Расчет_аналитики'!AZ750-'19_Расчет_аналитики'!AZ761</f>
        <v/>
      </c>
      <c r="BA762">
        <f>'19_Расчет_аналитики'!BA750-'19_Расчет_аналитики'!BA761</f>
        <v/>
      </c>
      <c r="BB762">
        <f>'19_Расчет_аналитики'!BB750-'19_Расчет_аналитики'!BB761</f>
        <v/>
      </c>
      <c r="BC762">
        <f>'19_Расчет_аналитики'!BC750-'19_Расчет_аналитики'!BC761</f>
        <v/>
      </c>
      <c r="BD762">
        <f>'19_Расчет_аналитики'!BD750-'19_Расчет_аналитики'!BD761</f>
        <v/>
      </c>
      <c r="BE762">
        <f>'19_Расчет_аналитики'!BE750-'19_Расчет_аналитики'!BE761</f>
        <v/>
      </c>
      <c r="BF762">
        <f>'19_Расчет_аналитики'!BF750-'19_Расчет_аналитики'!BF761</f>
        <v/>
      </c>
      <c r="BG762">
        <f>'19_Расчет_аналитики'!BG750-'19_Расчет_аналитики'!BG761</f>
        <v/>
      </c>
      <c r="BH762">
        <f>'19_Расчет_аналитики'!BH750-'19_Расчет_аналитики'!BH761</f>
        <v/>
      </c>
      <c r="BI762">
        <f>'19_Расчет_аналитики'!BI750-'19_Расчет_аналитики'!BI761</f>
        <v/>
      </c>
    </row>
    <row r="763">
      <c r="B763">
        <f>'02_Модель'!B51+'19_Расчет_аналитики'!B762</f>
        <v/>
      </c>
      <c r="C763">
        <f>'19_Расчет_аналитики'!C745+'19_Расчет_аналитики'!C762</f>
        <v/>
      </c>
      <c r="D763">
        <f>'19_Расчет_аналитики'!D745+'19_Расчет_аналитики'!D762</f>
        <v/>
      </c>
      <c r="E763">
        <f>'19_Расчет_аналитики'!E745+'19_Расчет_аналитики'!E762</f>
        <v/>
      </c>
      <c r="F763">
        <f>'19_Расчет_аналитики'!F745+'19_Расчет_аналитики'!F762</f>
        <v/>
      </c>
      <c r="G763">
        <f>'19_Расчет_аналитики'!G745+'19_Расчет_аналитики'!G762</f>
        <v/>
      </c>
      <c r="H763">
        <f>'19_Расчет_аналитики'!H745+'19_Расчет_аналитики'!H762</f>
        <v/>
      </c>
      <c r="I763">
        <f>'19_Расчет_аналитики'!I745+'19_Расчет_аналитики'!I762</f>
        <v/>
      </c>
      <c r="J763">
        <f>'19_Расчет_аналитики'!J745+'19_Расчет_аналитики'!J762</f>
        <v/>
      </c>
      <c r="K763">
        <f>'19_Расчет_аналитики'!K745+'19_Расчет_аналитики'!K762</f>
        <v/>
      </c>
      <c r="L763">
        <f>'19_Расчет_аналитики'!L745+'19_Расчет_аналитики'!L762</f>
        <v/>
      </c>
      <c r="M763">
        <f>'19_Расчет_аналитики'!M745+'19_Расчет_аналитики'!M762</f>
        <v/>
      </c>
      <c r="N763">
        <f>'19_Расчет_аналитики'!N745+'19_Расчет_аналитики'!N762</f>
        <v/>
      </c>
      <c r="O763">
        <f>'19_Расчет_аналитики'!O745+'19_Расчет_аналитики'!O762</f>
        <v/>
      </c>
      <c r="P763">
        <f>'19_Расчет_аналитики'!P745+'19_Расчет_аналитики'!P762</f>
        <v/>
      </c>
      <c r="Q763">
        <f>'19_Расчет_аналитики'!Q745+'19_Расчет_аналитики'!Q762</f>
        <v/>
      </c>
      <c r="R763">
        <f>'19_Расчет_аналитики'!R745+'19_Расчет_аналитики'!R762</f>
        <v/>
      </c>
      <c r="S763">
        <f>'19_Расчет_аналитики'!S745+'19_Расчет_аналитики'!S762</f>
        <v/>
      </c>
      <c r="T763">
        <f>'19_Расчет_аналитики'!T745+'19_Расчет_аналитики'!T762</f>
        <v/>
      </c>
      <c r="U763">
        <f>'19_Расчет_аналитики'!U745+'19_Расчет_аналитики'!U762</f>
        <v/>
      </c>
      <c r="V763">
        <f>'19_Расчет_аналитики'!V745+'19_Расчет_аналитики'!V762</f>
        <v/>
      </c>
      <c r="W763">
        <f>'19_Расчет_аналитики'!W745+'19_Расчет_аналитики'!W762</f>
        <v/>
      </c>
      <c r="X763">
        <f>'19_Расчет_аналитики'!X745+'19_Расчет_аналитики'!X762</f>
        <v/>
      </c>
      <c r="Y763">
        <f>'19_Расчет_аналитики'!Y745+'19_Расчет_аналитики'!Y762</f>
        <v/>
      </c>
      <c r="Z763">
        <f>'19_Расчет_аналитики'!Z745+'19_Расчет_аналитики'!Z762</f>
        <v/>
      </c>
      <c r="AA763">
        <f>'19_Расчет_аналитики'!AA745+'19_Расчет_аналитики'!AA762</f>
        <v/>
      </c>
      <c r="AB763">
        <f>'19_Расчет_аналитики'!AB745+'19_Расчет_аналитики'!AB762</f>
        <v/>
      </c>
      <c r="AC763">
        <f>'19_Расчет_аналитики'!AC745+'19_Расчет_аналитики'!AC762</f>
        <v/>
      </c>
      <c r="AD763">
        <f>'19_Расчет_аналитики'!AD745+'19_Расчет_аналитики'!AD762</f>
        <v/>
      </c>
      <c r="AE763">
        <f>'19_Расчет_аналитики'!AE745+'19_Расчет_аналитики'!AE762</f>
        <v/>
      </c>
      <c r="AF763">
        <f>'19_Расчет_аналитики'!AF745+'19_Расчет_аналитики'!AF762</f>
        <v/>
      </c>
      <c r="AG763">
        <f>'19_Расчет_аналитики'!AG745+'19_Расчет_аналитики'!AG762</f>
        <v/>
      </c>
      <c r="AH763">
        <f>'19_Расчет_аналитики'!AH745+'19_Расчет_аналитики'!AH762</f>
        <v/>
      </c>
      <c r="AI763">
        <f>'19_Расчет_аналитики'!AI745+'19_Расчет_аналитики'!AI762</f>
        <v/>
      </c>
      <c r="AJ763">
        <f>'19_Расчет_аналитики'!AJ745+'19_Расчет_аналитики'!AJ762</f>
        <v/>
      </c>
      <c r="AK763">
        <f>'19_Расчет_аналитики'!AK745+'19_Расчет_аналитики'!AK762</f>
        <v/>
      </c>
      <c r="AL763">
        <f>'19_Расчет_аналитики'!AL745+'19_Расчет_аналитики'!AL762</f>
        <v/>
      </c>
      <c r="AM763">
        <f>'19_Расчет_аналитики'!AM745+'19_Расчет_аналитики'!AM762</f>
        <v/>
      </c>
      <c r="AN763">
        <f>'19_Расчет_аналитики'!AN745+'19_Расчет_аналитики'!AN762</f>
        <v/>
      </c>
      <c r="AO763">
        <f>'19_Расчет_аналитики'!AO745+'19_Расчет_аналитики'!AO762</f>
        <v/>
      </c>
      <c r="AP763">
        <f>'19_Расчет_аналитики'!AP745+'19_Расчет_аналитики'!AP762</f>
        <v/>
      </c>
      <c r="AQ763">
        <f>'19_Расчет_аналитики'!AQ745+'19_Расчет_аналитики'!AQ762</f>
        <v/>
      </c>
      <c r="AR763">
        <f>'19_Расчет_аналитики'!AR745+'19_Расчет_аналитики'!AR762</f>
        <v/>
      </c>
      <c r="AS763">
        <f>'19_Расчет_аналитики'!AS745+'19_Расчет_аналитики'!AS762</f>
        <v/>
      </c>
      <c r="AT763">
        <f>'19_Расчет_аналитики'!AT745+'19_Расчет_аналитики'!AT762</f>
        <v/>
      </c>
      <c r="AU763">
        <f>'19_Расчет_аналитики'!AU745+'19_Расчет_аналитики'!AU762</f>
        <v/>
      </c>
      <c r="AV763">
        <f>'19_Расчет_аналитики'!AV745+'19_Расчет_аналитики'!AV762</f>
        <v/>
      </c>
      <c r="AW763">
        <f>'19_Расчет_аналитики'!AW745+'19_Расчет_аналитики'!AW762</f>
        <v/>
      </c>
      <c r="AX763">
        <f>'19_Расчет_аналитики'!AX745+'19_Расчет_аналитики'!AX762</f>
        <v/>
      </c>
      <c r="AY763">
        <f>'19_Расчет_аналитики'!AY745+'19_Расчет_аналитики'!AY762</f>
        <v/>
      </c>
      <c r="AZ763">
        <f>'19_Расчет_аналитики'!AZ745+'19_Расчет_аналитики'!AZ762</f>
        <v/>
      </c>
      <c r="BA763">
        <f>'19_Расчет_аналитики'!BA745+'19_Расчет_аналитики'!BA762</f>
        <v/>
      </c>
      <c r="BB763">
        <f>'19_Расчет_аналитики'!BB745+'19_Расчет_аналитики'!BB762</f>
        <v/>
      </c>
      <c r="BC763">
        <f>'19_Расчет_аналитики'!BC745+'19_Расчет_аналитики'!BC762</f>
        <v/>
      </c>
      <c r="BD763">
        <f>'19_Расчет_аналитики'!BD745+'19_Расчет_аналитики'!BD762</f>
        <v/>
      </c>
      <c r="BE763">
        <f>'19_Расчет_аналитики'!BE745+'19_Расчет_аналитики'!BE762</f>
        <v/>
      </c>
      <c r="BF763">
        <f>'19_Расчет_аналитики'!BF745+'19_Расчет_аналитики'!BF762</f>
        <v/>
      </c>
      <c r="BG763">
        <f>'19_Расчет_аналитики'!BG745+'19_Расчет_аналитики'!BG762</f>
        <v/>
      </c>
      <c r="BH763">
        <f>'19_Расчет_аналитики'!BH745+'19_Расчет_аналитики'!BH762</f>
        <v/>
      </c>
      <c r="BI763">
        <f>'19_Расчет_аналитики'!BI745+'19_Расчет_аналитики'!BI762</f>
        <v/>
      </c>
    </row>
    <row r="764">
      <c r="B764">
        <f>'19_Расчет_аналитики'!B632</f>
        <v/>
      </c>
      <c r="C764">
        <f>'19_Расчет_аналитики'!C632</f>
        <v/>
      </c>
      <c r="D764">
        <f>'19_Расчет_аналитики'!D632</f>
        <v/>
      </c>
      <c r="E764">
        <f>'19_Расчет_аналитики'!E632</f>
        <v/>
      </c>
      <c r="F764">
        <f>'19_Расчет_аналитики'!F632</f>
        <v/>
      </c>
      <c r="G764">
        <f>'19_Расчет_аналитики'!G632</f>
        <v/>
      </c>
      <c r="H764">
        <f>'19_Расчет_аналитики'!H632</f>
        <v/>
      </c>
      <c r="I764">
        <f>'19_Расчет_аналитики'!I632</f>
        <v/>
      </c>
      <c r="J764">
        <f>'19_Расчет_аналитики'!J632</f>
        <v/>
      </c>
      <c r="K764">
        <f>'19_Расчет_аналитики'!K632</f>
        <v/>
      </c>
      <c r="L764">
        <f>'19_Расчет_аналитики'!L632</f>
        <v/>
      </c>
      <c r="M764">
        <f>'19_Расчет_аналитики'!M632</f>
        <v/>
      </c>
      <c r="N764">
        <f>'19_Расчет_аналитики'!N632</f>
        <v/>
      </c>
      <c r="O764">
        <f>'19_Расчет_аналитики'!O632</f>
        <v/>
      </c>
      <c r="P764">
        <f>'19_Расчет_аналитики'!P632</f>
        <v/>
      </c>
      <c r="Q764">
        <f>'19_Расчет_аналитики'!Q632</f>
        <v/>
      </c>
      <c r="R764">
        <f>'19_Расчет_аналитики'!R632</f>
        <v/>
      </c>
      <c r="S764">
        <f>'19_Расчет_аналитики'!S632</f>
        <v/>
      </c>
      <c r="T764">
        <f>'19_Расчет_аналитики'!T632</f>
        <v/>
      </c>
      <c r="U764">
        <f>'19_Расчет_аналитики'!U632</f>
        <v/>
      </c>
      <c r="V764">
        <f>'19_Расчет_аналитики'!V632</f>
        <v/>
      </c>
      <c r="W764">
        <f>'19_Расчет_аналитики'!W632</f>
        <v/>
      </c>
      <c r="X764">
        <f>'19_Расчет_аналитики'!X632</f>
        <v/>
      </c>
      <c r="Y764">
        <f>'19_Расчет_аналитики'!Y632</f>
        <v/>
      </c>
      <c r="Z764">
        <f>'19_Расчет_аналитики'!Z632</f>
        <v/>
      </c>
      <c r="AA764">
        <f>'19_Расчет_аналитики'!AA632</f>
        <v/>
      </c>
      <c r="AB764">
        <f>'19_Расчет_аналитики'!AB632</f>
        <v/>
      </c>
      <c r="AC764">
        <f>'19_Расчет_аналитики'!AC632</f>
        <v/>
      </c>
      <c r="AD764">
        <f>'19_Расчет_аналитики'!AD632</f>
        <v/>
      </c>
      <c r="AE764">
        <f>'19_Расчет_аналитики'!AE632</f>
        <v/>
      </c>
      <c r="AF764">
        <f>'19_Расчет_аналитики'!AF632</f>
        <v/>
      </c>
      <c r="AG764">
        <f>'19_Расчет_аналитики'!AG632</f>
        <v/>
      </c>
      <c r="AH764">
        <f>'19_Расчет_аналитики'!AH632</f>
        <v/>
      </c>
      <c r="AI764">
        <f>'19_Расчет_аналитики'!AI632</f>
        <v/>
      </c>
      <c r="AJ764">
        <f>'19_Расчет_аналитики'!AJ632</f>
        <v/>
      </c>
      <c r="AK764">
        <f>'19_Расчет_аналитики'!AK632</f>
        <v/>
      </c>
      <c r="AL764">
        <f>'19_Расчет_аналитики'!AL632</f>
        <v/>
      </c>
      <c r="AM764">
        <f>'19_Расчет_аналитики'!AM632</f>
        <v/>
      </c>
      <c r="AN764">
        <f>'19_Расчет_аналитики'!AN632</f>
        <v/>
      </c>
      <c r="AO764">
        <f>'19_Расчет_аналитики'!AO632</f>
        <v/>
      </c>
      <c r="AP764">
        <f>'19_Расчет_аналитики'!AP632</f>
        <v/>
      </c>
      <c r="AQ764">
        <f>'19_Расчет_аналитики'!AQ632</f>
        <v/>
      </c>
      <c r="AR764">
        <f>'19_Расчет_аналитики'!AR632</f>
        <v/>
      </c>
      <c r="AS764">
        <f>'19_Расчет_аналитики'!AS632</f>
        <v/>
      </c>
      <c r="AT764">
        <f>'19_Расчет_аналитики'!AT632</f>
        <v/>
      </c>
      <c r="AU764">
        <f>'19_Расчет_аналитики'!AU632</f>
        <v/>
      </c>
      <c r="AV764">
        <f>'19_Расчет_аналитики'!AV632</f>
        <v/>
      </c>
      <c r="AW764">
        <f>'19_Расчет_аналитики'!AW632</f>
        <v/>
      </c>
      <c r="AX764">
        <f>'19_Расчет_аналитики'!AX632</f>
        <v/>
      </c>
      <c r="AY764">
        <f>'19_Расчет_аналитики'!AY632</f>
        <v/>
      </c>
      <c r="AZ764">
        <f>'19_Расчет_аналитики'!AZ632</f>
        <v/>
      </c>
      <c r="BA764">
        <f>'19_Расчет_аналитики'!BA632</f>
        <v/>
      </c>
      <c r="BB764">
        <f>'19_Расчет_аналитики'!BB632</f>
        <v/>
      </c>
      <c r="BC764">
        <f>'19_Расчет_аналитики'!BC632</f>
        <v/>
      </c>
      <c r="BD764">
        <f>'19_Расчет_аналитики'!BD632</f>
        <v/>
      </c>
      <c r="BE764">
        <f>'19_Расчет_аналитики'!BE632</f>
        <v/>
      </c>
      <c r="BF764">
        <f>'19_Расчет_аналитики'!BF632</f>
        <v/>
      </c>
      <c r="BG764">
        <f>'19_Расчет_аналитики'!BG632</f>
        <v/>
      </c>
      <c r="BH764">
        <f>'19_Расчет_аналитики'!BH632</f>
        <v/>
      </c>
      <c r="BI764">
        <f>'19_Расчет_аналитики'!BI632</f>
        <v/>
      </c>
    </row>
    <row r="765">
      <c r="B765">
        <f>'19_Расчет_аналитики'!B762-'19_Расчет_аналитики'!B764</f>
        <v/>
      </c>
      <c r="C765">
        <f>'19_Расчет_аналитики'!C762-'19_Расчет_аналитики'!C764</f>
        <v/>
      </c>
      <c r="D765">
        <f>'19_Расчет_аналитики'!D762-'19_Расчет_аналитики'!D764</f>
        <v/>
      </c>
      <c r="E765">
        <f>'19_Расчет_аналитики'!E762-'19_Расчет_аналитики'!E764</f>
        <v/>
      </c>
      <c r="F765">
        <f>'19_Расчет_аналитики'!F762-'19_Расчет_аналитики'!F764</f>
        <v/>
      </c>
      <c r="G765">
        <f>'19_Расчет_аналитики'!G762-'19_Расчет_аналитики'!G764</f>
        <v/>
      </c>
      <c r="H765">
        <f>'19_Расчет_аналитики'!H762-'19_Расчет_аналитики'!H764</f>
        <v/>
      </c>
      <c r="I765">
        <f>'19_Расчет_аналитики'!I762-'19_Расчет_аналитики'!I764</f>
        <v/>
      </c>
      <c r="J765">
        <f>'19_Расчет_аналитики'!J762-'19_Расчет_аналитики'!J764</f>
        <v/>
      </c>
      <c r="K765">
        <f>'19_Расчет_аналитики'!K762-'19_Расчет_аналитики'!K764</f>
        <v/>
      </c>
      <c r="L765">
        <f>'19_Расчет_аналитики'!L762-'19_Расчет_аналитики'!L764</f>
        <v/>
      </c>
      <c r="M765">
        <f>'19_Расчет_аналитики'!M762-'19_Расчет_аналитики'!M764</f>
        <v/>
      </c>
      <c r="N765">
        <f>'19_Расчет_аналитики'!N762-'19_Расчет_аналитики'!N764</f>
        <v/>
      </c>
      <c r="O765">
        <f>'19_Расчет_аналитики'!O762-'19_Расчет_аналитики'!O764</f>
        <v/>
      </c>
      <c r="P765">
        <f>'19_Расчет_аналитики'!P762-'19_Расчет_аналитики'!P764</f>
        <v/>
      </c>
      <c r="Q765">
        <f>'19_Расчет_аналитики'!Q762-'19_Расчет_аналитики'!Q764</f>
        <v/>
      </c>
      <c r="R765">
        <f>'19_Расчет_аналитики'!R762-'19_Расчет_аналитики'!R764</f>
        <v/>
      </c>
      <c r="S765">
        <f>'19_Расчет_аналитики'!S762-'19_Расчет_аналитики'!S764</f>
        <v/>
      </c>
      <c r="T765">
        <f>'19_Расчет_аналитики'!T762-'19_Расчет_аналитики'!T764</f>
        <v/>
      </c>
      <c r="U765">
        <f>'19_Расчет_аналитики'!U762-'19_Расчет_аналитики'!U764</f>
        <v/>
      </c>
      <c r="V765">
        <f>'19_Расчет_аналитики'!V762-'19_Расчет_аналитики'!V764</f>
        <v/>
      </c>
      <c r="W765">
        <f>'19_Расчет_аналитики'!W762-'19_Расчет_аналитики'!W764</f>
        <v/>
      </c>
      <c r="X765">
        <f>'19_Расчет_аналитики'!X762-'19_Расчет_аналитики'!X764</f>
        <v/>
      </c>
      <c r="Y765">
        <f>'19_Расчет_аналитики'!Y762-'19_Расчет_аналитики'!Y764</f>
        <v/>
      </c>
      <c r="Z765">
        <f>'19_Расчет_аналитики'!Z762-'19_Расчет_аналитики'!Z764</f>
        <v/>
      </c>
      <c r="AA765">
        <f>'19_Расчет_аналитики'!AA762-'19_Расчет_аналитики'!AA764</f>
        <v/>
      </c>
      <c r="AB765">
        <f>'19_Расчет_аналитики'!AB762-'19_Расчет_аналитики'!AB764</f>
        <v/>
      </c>
      <c r="AC765">
        <f>'19_Расчет_аналитики'!AC762-'19_Расчет_аналитики'!AC764</f>
        <v/>
      </c>
      <c r="AD765">
        <f>'19_Расчет_аналитики'!AD762-'19_Расчет_аналитики'!AD764</f>
        <v/>
      </c>
      <c r="AE765">
        <f>'19_Расчет_аналитики'!AE762-'19_Расчет_аналитики'!AE764</f>
        <v/>
      </c>
      <c r="AF765">
        <f>'19_Расчет_аналитики'!AF762-'19_Расчет_аналитики'!AF764</f>
        <v/>
      </c>
      <c r="AG765">
        <f>'19_Расчет_аналитики'!AG762-'19_Расчет_аналитики'!AG764</f>
        <v/>
      </c>
      <c r="AH765">
        <f>'19_Расчет_аналитики'!AH762-'19_Расчет_аналитики'!AH764</f>
        <v/>
      </c>
      <c r="AI765">
        <f>'19_Расчет_аналитики'!AI762-'19_Расчет_аналитики'!AI764</f>
        <v/>
      </c>
      <c r="AJ765">
        <f>'19_Расчет_аналитики'!AJ762-'19_Расчет_аналитики'!AJ764</f>
        <v/>
      </c>
      <c r="AK765">
        <f>'19_Расчет_аналитики'!AK762-'19_Расчет_аналитики'!AK764</f>
        <v/>
      </c>
      <c r="AL765">
        <f>'19_Расчет_аналитики'!AL762-'19_Расчет_аналитики'!AL764</f>
        <v/>
      </c>
      <c r="AM765">
        <f>'19_Расчет_аналитики'!AM762-'19_Расчет_аналитики'!AM764</f>
        <v/>
      </c>
      <c r="AN765">
        <f>'19_Расчет_аналитики'!AN762-'19_Расчет_аналитики'!AN764</f>
        <v/>
      </c>
      <c r="AO765">
        <f>'19_Расчет_аналитики'!AO762-'19_Расчет_аналитики'!AO764</f>
        <v/>
      </c>
      <c r="AP765">
        <f>'19_Расчет_аналитики'!AP762-'19_Расчет_аналитики'!AP764</f>
        <v/>
      </c>
      <c r="AQ765">
        <f>'19_Расчет_аналитики'!AQ762-'19_Расчет_аналитики'!AQ764</f>
        <v/>
      </c>
      <c r="AR765">
        <f>'19_Расчет_аналитики'!AR762-'19_Расчет_аналитики'!AR764</f>
        <v/>
      </c>
      <c r="AS765">
        <f>'19_Расчет_аналитики'!AS762-'19_Расчет_аналитики'!AS764</f>
        <v/>
      </c>
      <c r="AT765">
        <f>'19_Расчет_аналитики'!AT762-'19_Расчет_аналитики'!AT764</f>
        <v/>
      </c>
      <c r="AU765">
        <f>'19_Расчет_аналитики'!AU762-'19_Расчет_аналитики'!AU764</f>
        <v/>
      </c>
      <c r="AV765">
        <f>'19_Расчет_аналитики'!AV762-'19_Расчет_аналитики'!AV764</f>
        <v/>
      </c>
      <c r="AW765">
        <f>'19_Расчет_аналитики'!AW762-'19_Расчет_аналитики'!AW764</f>
        <v/>
      </c>
      <c r="AX765">
        <f>'19_Расчет_аналитики'!AX762-'19_Расчет_аналитики'!AX764</f>
        <v/>
      </c>
      <c r="AY765">
        <f>'19_Расчет_аналитики'!AY762-'19_Расчет_аналитики'!AY764</f>
        <v/>
      </c>
      <c r="AZ765">
        <f>'19_Расчет_аналитики'!AZ762-'19_Расчет_аналитики'!AZ764</f>
        <v/>
      </c>
      <c r="BA765">
        <f>'19_Расчет_аналитики'!BA762-'19_Расчет_аналитики'!BA764</f>
        <v/>
      </c>
      <c r="BB765">
        <f>'19_Расчет_аналитики'!BB762-'19_Расчет_аналитики'!BB764</f>
        <v/>
      </c>
      <c r="BC765">
        <f>'19_Расчет_аналитики'!BC762-'19_Расчет_аналитики'!BC764</f>
        <v/>
      </c>
      <c r="BD765">
        <f>'19_Расчет_аналитики'!BD762-'19_Расчет_аналитики'!BD764</f>
        <v/>
      </c>
      <c r="BE765">
        <f>'19_Расчет_аналитики'!BE762-'19_Расчет_аналитики'!BE764</f>
        <v/>
      </c>
      <c r="BF765">
        <f>'19_Расчет_аналитики'!BF762-'19_Расчет_аналитики'!BF764</f>
        <v/>
      </c>
      <c r="BG765">
        <f>'19_Расчет_аналитики'!BG762-'19_Расчет_аналитики'!BG764</f>
        <v/>
      </c>
      <c r="BH765">
        <f>'19_Расчет_аналитики'!BH762-'19_Расчет_аналитики'!BH764</f>
        <v/>
      </c>
      <c r="BI765">
        <f>'19_Расчет_аналитики'!BI762-'19_Расчет_аналитики'!BI764</f>
        <v/>
      </c>
    </row>
    <row r="766">
      <c r="B766">
        <f>'02_Модель'!B51+'19_Расчет_аналитики'!B765</f>
        <v/>
      </c>
      <c r="C766">
        <f>'19_Расчет_аналитики'!C745+'19_Расчет_аналитики'!C765</f>
        <v/>
      </c>
      <c r="D766">
        <f>'19_Расчет_аналитики'!D745+'19_Расчет_аналитики'!D765</f>
        <v/>
      </c>
      <c r="E766">
        <f>'19_Расчет_аналитики'!E745+'19_Расчет_аналитики'!E765</f>
        <v/>
      </c>
      <c r="F766">
        <f>'19_Расчет_аналитики'!F745+'19_Расчет_аналитики'!F765</f>
        <v/>
      </c>
      <c r="G766">
        <f>'19_Расчет_аналитики'!G745+'19_Расчет_аналитики'!G765</f>
        <v/>
      </c>
      <c r="H766">
        <f>'19_Расчет_аналитики'!H745+'19_Расчет_аналитики'!H765</f>
        <v/>
      </c>
      <c r="I766">
        <f>'19_Расчет_аналитики'!I745+'19_Расчет_аналитики'!I765</f>
        <v/>
      </c>
      <c r="J766">
        <f>'19_Расчет_аналитики'!J745+'19_Расчет_аналитики'!J765</f>
        <v/>
      </c>
      <c r="K766">
        <f>'19_Расчет_аналитики'!K745+'19_Расчет_аналитики'!K765</f>
        <v/>
      </c>
      <c r="L766">
        <f>'19_Расчет_аналитики'!L745+'19_Расчет_аналитики'!L765</f>
        <v/>
      </c>
      <c r="M766">
        <f>'19_Расчет_аналитики'!M745+'19_Расчет_аналитики'!M765</f>
        <v/>
      </c>
      <c r="N766">
        <f>'19_Расчет_аналитики'!N745+'19_Расчет_аналитики'!N765</f>
        <v/>
      </c>
      <c r="O766">
        <f>'19_Расчет_аналитики'!O745+'19_Расчет_аналитики'!O765</f>
        <v/>
      </c>
      <c r="P766">
        <f>'19_Расчет_аналитики'!P745+'19_Расчет_аналитики'!P765</f>
        <v/>
      </c>
      <c r="Q766">
        <f>'19_Расчет_аналитики'!Q745+'19_Расчет_аналитики'!Q765</f>
        <v/>
      </c>
      <c r="R766">
        <f>'19_Расчет_аналитики'!R745+'19_Расчет_аналитики'!R765</f>
        <v/>
      </c>
      <c r="S766">
        <f>'19_Расчет_аналитики'!S745+'19_Расчет_аналитики'!S765</f>
        <v/>
      </c>
      <c r="T766">
        <f>'19_Расчет_аналитики'!T745+'19_Расчет_аналитики'!T765</f>
        <v/>
      </c>
      <c r="U766">
        <f>'19_Расчет_аналитики'!U745+'19_Расчет_аналитики'!U765</f>
        <v/>
      </c>
      <c r="V766">
        <f>'19_Расчет_аналитики'!V745+'19_Расчет_аналитики'!V765</f>
        <v/>
      </c>
      <c r="W766">
        <f>'19_Расчет_аналитики'!W745+'19_Расчет_аналитики'!W765</f>
        <v/>
      </c>
      <c r="X766">
        <f>'19_Расчет_аналитики'!X745+'19_Расчет_аналитики'!X765</f>
        <v/>
      </c>
      <c r="Y766">
        <f>'19_Расчет_аналитики'!Y745+'19_Расчет_аналитики'!Y765</f>
        <v/>
      </c>
      <c r="Z766">
        <f>'19_Расчет_аналитики'!Z745+'19_Расчет_аналитики'!Z765</f>
        <v/>
      </c>
      <c r="AA766">
        <f>'19_Расчет_аналитики'!AA745+'19_Расчет_аналитики'!AA765</f>
        <v/>
      </c>
      <c r="AB766">
        <f>'19_Расчет_аналитики'!AB745+'19_Расчет_аналитики'!AB765</f>
        <v/>
      </c>
      <c r="AC766">
        <f>'19_Расчет_аналитики'!AC745+'19_Расчет_аналитики'!AC765</f>
        <v/>
      </c>
      <c r="AD766">
        <f>'19_Расчет_аналитики'!AD745+'19_Расчет_аналитики'!AD765</f>
        <v/>
      </c>
      <c r="AE766">
        <f>'19_Расчет_аналитики'!AE745+'19_Расчет_аналитики'!AE765</f>
        <v/>
      </c>
      <c r="AF766">
        <f>'19_Расчет_аналитики'!AF745+'19_Расчет_аналитики'!AF765</f>
        <v/>
      </c>
      <c r="AG766">
        <f>'19_Расчет_аналитики'!AG745+'19_Расчет_аналитики'!AG765</f>
        <v/>
      </c>
      <c r="AH766">
        <f>'19_Расчет_аналитики'!AH745+'19_Расчет_аналитики'!AH765</f>
        <v/>
      </c>
      <c r="AI766">
        <f>'19_Расчет_аналитики'!AI745+'19_Расчет_аналитики'!AI765</f>
        <v/>
      </c>
      <c r="AJ766">
        <f>'19_Расчет_аналитики'!AJ745+'19_Расчет_аналитики'!AJ765</f>
        <v/>
      </c>
      <c r="AK766">
        <f>'19_Расчет_аналитики'!AK745+'19_Расчет_аналитики'!AK765</f>
        <v/>
      </c>
      <c r="AL766">
        <f>'19_Расчет_аналитики'!AL745+'19_Расчет_аналитики'!AL765</f>
        <v/>
      </c>
      <c r="AM766">
        <f>'19_Расчет_аналитики'!AM745+'19_Расчет_аналитики'!AM765</f>
        <v/>
      </c>
      <c r="AN766">
        <f>'19_Расчет_аналитики'!AN745+'19_Расчет_аналитики'!AN765</f>
        <v/>
      </c>
      <c r="AO766">
        <f>'19_Расчет_аналитики'!AO745+'19_Расчет_аналитики'!AO765</f>
        <v/>
      </c>
      <c r="AP766">
        <f>'19_Расчет_аналитики'!AP745+'19_Расчет_аналитики'!AP765</f>
        <v/>
      </c>
      <c r="AQ766">
        <f>'19_Расчет_аналитики'!AQ745+'19_Расчет_аналитики'!AQ765</f>
        <v/>
      </c>
      <c r="AR766">
        <f>'19_Расчет_аналитики'!AR745+'19_Расчет_аналитики'!AR765</f>
        <v/>
      </c>
      <c r="AS766">
        <f>'19_Расчет_аналитики'!AS745+'19_Расчет_аналитики'!AS765</f>
        <v/>
      </c>
      <c r="AT766">
        <f>'19_Расчет_аналитики'!AT745+'19_Расчет_аналитики'!AT765</f>
        <v/>
      </c>
      <c r="AU766">
        <f>'19_Расчет_аналитики'!AU745+'19_Расчет_аналитики'!AU765</f>
        <v/>
      </c>
      <c r="AV766">
        <f>'19_Расчет_аналитики'!AV745+'19_Расчет_аналитики'!AV765</f>
        <v/>
      </c>
      <c r="AW766">
        <f>'19_Расчет_аналитики'!AW745+'19_Расчет_аналитики'!AW765</f>
        <v/>
      </c>
      <c r="AX766">
        <f>'19_Расчет_аналитики'!AX745+'19_Расчет_аналитики'!AX765</f>
        <v/>
      </c>
      <c r="AY766">
        <f>'19_Расчет_аналитики'!AY745+'19_Расчет_аналитики'!AY765</f>
        <v/>
      </c>
      <c r="AZ766">
        <f>'19_Расчет_аналитики'!AZ745+'19_Расчет_аналитики'!AZ765</f>
        <v/>
      </c>
      <c r="BA766">
        <f>'19_Расчет_аналитики'!BA745+'19_Расчет_аналитики'!BA765</f>
        <v/>
      </c>
      <c r="BB766">
        <f>'19_Расчет_аналитики'!BB745+'19_Расчет_аналитики'!BB765</f>
        <v/>
      </c>
      <c r="BC766">
        <f>'19_Расчет_аналитики'!BC745+'19_Расчет_аналитики'!BC765</f>
        <v/>
      </c>
      <c r="BD766">
        <f>'19_Расчет_аналитики'!BD745+'19_Расчет_аналитики'!BD765</f>
        <v/>
      </c>
      <c r="BE766">
        <f>'19_Расчет_аналитики'!BE745+'19_Расчет_аналитики'!BE765</f>
        <v/>
      </c>
      <c r="BF766">
        <f>'19_Расчет_аналитики'!BF745+'19_Расчет_аналитики'!BF765</f>
        <v/>
      </c>
      <c r="BG766">
        <f>'19_Расчет_аналитики'!BG745+'19_Расчет_аналитики'!BG765</f>
        <v/>
      </c>
      <c r="BH766">
        <f>'19_Расчет_аналитики'!BH745+'19_Расчет_аналитики'!BH765</f>
        <v/>
      </c>
      <c r="BI766">
        <f>'19_Расчет_аналитики'!BI745+'19_Расчет_аналитики'!BI765</f>
        <v/>
      </c>
    </row>
    <row r="767"/>
    <row r="768"/>
    <row r="769">
      <c r="B769">
        <f>'19_Расчет_аналитики'!B633</f>
        <v/>
      </c>
      <c r="C769">
        <f>'19_Расчет_аналитики'!C633</f>
        <v/>
      </c>
      <c r="D769">
        <f>'19_Расчет_аналитики'!D633</f>
        <v/>
      </c>
      <c r="E769">
        <f>'19_Расчет_аналитики'!E633</f>
        <v/>
      </c>
      <c r="F769">
        <f>'19_Расчет_аналитики'!F633</f>
        <v/>
      </c>
      <c r="G769">
        <f>'19_Расчет_аналитики'!G633</f>
        <v/>
      </c>
      <c r="H769">
        <f>'19_Расчет_аналитики'!H633</f>
        <v/>
      </c>
      <c r="I769">
        <f>'19_Расчет_аналитики'!I633</f>
        <v/>
      </c>
      <c r="J769">
        <f>'19_Расчет_аналитики'!J633</f>
        <v/>
      </c>
      <c r="K769">
        <f>'19_Расчет_аналитики'!K633</f>
        <v/>
      </c>
      <c r="L769">
        <f>'19_Расчет_аналитики'!L633</f>
        <v/>
      </c>
      <c r="M769">
        <f>'19_Расчет_аналитики'!M633</f>
        <v/>
      </c>
      <c r="N769">
        <f>'19_Расчет_аналитики'!N633</f>
        <v/>
      </c>
      <c r="O769">
        <f>'19_Расчет_аналитики'!O633</f>
        <v/>
      </c>
      <c r="P769">
        <f>'19_Расчет_аналитики'!P633</f>
        <v/>
      </c>
      <c r="Q769">
        <f>'19_Расчет_аналитики'!Q633</f>
        <v/>
      </c>
      <c r="R769">
        <f>'19_Расчет_аналитики'!R633</f>
        <v/>
      </c>
      <c r="S769">
        <f>'19_Расчет_аналитики'!S633</f>
        <v/>
      </c>
      <c r="T769">
        <f>'19_Расчет_аналитики'!T633</f>
        <v/>
      </c>
      <c r="U769">
        <f>'19_Расчет_аналитики'!U633</f>
        <v/>
      </c>
      <c r="V769">
        <f>'19_Расчет_аналитики'!V633</f>
        <v/>
      </c>
      <c r="W769">
        <f>'19_Расчет_аналитики'!W633</f>
        <v/>
      </c>
      <c r="X769">
        <f>'19_Расчет_аналитики'!X633</f>
        <v/>
      </c>
      <c r="Y769">
        <f>'19_Расчет_аналитики'!Y633</f>
        <v/>
      </c>
      <c r="Z769">
        <f>'19_Расчет_аналитики'!Z633</f>
        <v/>
      </c>
      <c r="AA769">
        <f>'19_Расчет_аналитики'!AA633</f>
        <v/>
      </c>
      <c r="AB769">
        <f>'19_Расчет_аналитики'!AB633</f>
        <v/>
      </c>
      <c r="AC769">
        <f>'19_Расчет_аналитики'!AC633</f>
        <v/>
      </c>
      <c r="AD769">
        <f>'19_Расчет_аналитики'!AD633</f>
        <v/>
      </c>
      <c r="AE769">
        <f>'19_Расчет_аналитики'!AE633</f>
        <v/>
      </c>
      <c r="AF769">
        <f>'19_Расчет_аналитики'!AF633</f>
        <v/>
      </c>
      <c r="AG769">
        <f>'19_Расчет_аналитики'!AG633</f>
        <v/>
      </c>
      <c r="AH769">
        <f>'19_Расчет_аналитики'!AH633</f>
        <v/>
      </c>
      <c r="AI769">
        <f>'19_Расчет_аналитики'!AI633</f>
        <v/>
      </c>
      <c r="AJ769">
        <f>'19_Расчет_аналитики'!AJ633</f>
        <v/>
      </c>
      <c r="AK769">
        <f>'19_Расчет_аналитики'!AK633</f>
        <v/>
      </c>
      <c r="AL769">
        <f>'19_Расчет_аналитики'!AL633</f>
        <v/>
      </c>
      <c r="AM769">
        <f>'19_Расчет_аналитики'!AM633</f>
        <v/>
      </c>
      <c r="AN769">
        <f>'19_Расчет_аналитики'!AN633</f>
        <v/>
      </c>
      <c r="AO769">
        <f>'19_Расчет_аналитики'!AO633</f>
        <v/>
      </c>
      <c r="AP769">
        <f>'19_Расчет_аналитики'!AP633</f>
        <v/>
      </c>
      <c r="AQ769">
        <f>'19_Расчет_аналитики'!AQ633</f>
        <v/>
      </c>
      <c r="AR769">
        <f>'19_Расчет_аналитики'!AR633</f>
        <v/>
      </c>
      <c r="AS769">
        <f>'19_Расчет_аналитики'!AS633</f>
        <v/>
      </c>
      <c r="AT769">
        <f>'19_Расчет_аналитики'!AT633</f>
        <v/>
      </c>
      <c r="AU769">
        <f>'19_Расчет_аналитики'!AU633</f>
        <v/>
      </c>
      <c r="AV769">
        <f>'19_Расчет_аналитики'!AV633</f>
        <v/>
      </c>
      <c r="AW769">
        <f>'19_Расчет_аналитики'!AW633</f>
        <v/>
      </c>
      <c r="AX769">
        <f>'19_Расчет_аналитики'!AX633</f>
        <v/>
      </c>
      <c r="AY769">
        <f>'19_Расчет_аналитики'!AY633</f>
        <v/>
      </c>
      <c r="AZ769">
        <f>'19_Расчет_аналитики'!AZ633</f>
        <v/>
      </c>
      <c r="BA769">
        <f>'19_Расчет_аналитики'!BA633</f>
        <v/>
      </c>
      <c r="BB769">
        <f>'19_Расчет_аналитики'!BB633</f>
        <v/>
      </c>
      <c r="BC769">
        <f>'19_Расчет_аналитики'!BC633</f>
        <v/>
      </c>
      <c r="BD769">
        <f>'19_Расчет_аналитики'!BD633</f>
        <v/>
      </c>
      <c r="BE769">
        <f>'19_Расчет_аналитики'!BE633</f>
        <v/>
      </c>
      <c r="BF769">
        <f>'19_Расчет_аналитики'!BF633</f>
        <v/>
      </c>
      <c r="BG769">
        <f>'19_Расчет_аналитики'!BG633</f>
        <v/>
      </c>
      <c r="BH769">
        <f>'19_Расчет_аналитики'!BH633</f>
        <v/>
      </c>
      <c r="BI769">
        <f>'19_Расчет_аналитики'!BI633</f>
        <v/>
      </c>
    </row>
    <row r="770">
      <c r="B770">
        <f>'19_Расчет_аналитики'!B627</f>
        <v/>
      </c>
      <c r="C770">
        <f>'19_Расчет_аналитики'!C627</f>
        <v/>
      </c>
      <c r="D770">
        <f>'19_Расчет_аналитики'!D627</f>
        <v/>
      </c>
      <c r="E770">
        <f>'19_Расчет_аналитики'!E627</f>
        <v/>
      </c>
      <c r="F770">
        <f>'19_Расчет_аналитики'!F627</f>
        <v/>
      </c>
      <c r="G770">
        <f>'19_Расчет_аналитики'!G627</f>
        <v/>
      </c>
      <c r="H770">
        <f>'19_Расчет_аналитики'!H627</f>
        <v/>
      </c>
      <c r="I770">
        <f>'19_Расчет_аналитики'!I627</f>
        <v/>
      </c>
      <c r="J770">
        <f>'19_Расчет_аналитики'!J627</f>
        <v/>
      </c>
      <c r="K770">
        <f>'19_Расчет_аналитики'!K627</f>
        <v/>
      </c>
      <c r="L770">
        <f>'19_Расчет_аналитики'!L627</f>
        <v/>
      </c>
      <c r="M770">
        <f>'19_Расчет_аналитики'!M627</f>
        <v/>
      </c>
      <c r="N770">
        <f>'19_Расчет_аналитики'!N627</f>
        <v/>
      </c>
      <c r="O770">
        <f>'19_Расчет_аналитики'!O627</f>
        <v/>
      </c>
      <c r="P770">
        <f>'19_Расчет_аналитики'!P627</f>
        <v/>
      </c>
      <c r="Q770">
        <f>'19_Расчет_аналитики'!Q627</f>
        <v/>
      </c>
      <c r="R770">
        <f>'19_Расчет_аналитики'!R627</f>
        <v/>
      </c>
      <c r="S770">
        <f>'19_Расчет_аналитики'!S627</f>
        <v/>
      </c>
      <c r="T770">
        <f>'19_Расчет_аналитики'!T627</f>
        <v/>
      </c>
      <c r="U770">
        <f>'19_Расчет_аналитики'!U627</f>
        <v/>
      </c>
      <c r="V770">
        <f>'19_Расчет_аналитики'!V627</f>
        <v/>
      </c>
      <c r="W770">
        <f>'19_Расчет_аналитики'!W627</f>
        <v/>
      </c>
      <c r="X770">
        <f>'19_Расчет_аналитики'!X627</f>
        <v/>
      </c>
      <c r="Y770">
        <f>'19_Расчет_аналитики'!Y627</f>
        <v/>
      </c>
      <c r="Z770">
        <f>'19_Расчет_аналитики'!Z627</f>
        <v/>
      </c>
      <c r="AA770">
        <f>'19_Расчет_аналитики'!AA627</f>
        <v/>
      </c>
      <c r="AB770">
        <f>'19_Расчет_аналитики'!AB627</f>
        <v/>
      </c>
      <c r="AC770">
        <f>'19_Расчет_аналитики'!AC627</f>
        <v/>
      </c>
      <c r="AD770">
        <f>'19_Расчет_аналитики'!AD627</f>
        <v/>
      </c>
      <c r="AE770">
        <f>'19_Расчет_аналитики'!AE627</f>
        <v/>
      </c>
      <c r="AF770">
        <f>'19_Расчет_аналитики'!AF627</f>
        <v/>
      </c>
      <c r="AG770">
        <f>'19_Расчет_аналитики'!AG627</f>
        <v/>
      </c>
      <c r="AH770">
        <f>'19_Расчет_аналитики'!AH627</f>
        <v/>
      </c>
      <c r="AI770">
        <f>'19_Расчет_аналитики'!AI627</f>
        <v/>
      </c>
      <c r="AJ770">
        <f>'19_Расчет_аналитики'!AJ627</f>
        <v/>
      </c>
      <c r="AK770">
        <f>'19_Расчет_аналитики'!AK627</f>
        <v/>
      </c>
      <c r="AL770">
        <f>'19_Расчет_аналитики'!AL627</f>
        <v/>
      </c>
      <c r="AM770">
        <f>'19_Расчет_аналитики'!AM627</f>
        <v/>
      </c>
      <c r="AN770">
        <f>'19_Расчет_аналитики'!AN627</f>
        <v/>
      </c>
      <c r="AO770">
        <f>'19_Расчет_аналитики'!AO627</f>
        <v/>
      </c>
      <c r="AP770">
        <f>'19_Расчет_аналитики'!AP627</f>
        <v/>
      </c>
      <c r="AQ770">
        <f>'19_Расчет_аналитики'!AQ627</f>
        <v/>
      </c>
      <c r="AR770">
        <f>'19_Расчет_аналитики'!AR627</f>
        <v/>
      </c>
      <c r="AS770">
        <f>'19_Расчет_аналитики'!AS627</f>
        <v/>
      </c>
      <c r="AT770">
        <f>'19_Расчет_аналитики'!AT627</f>
        <v/>
      </c>
      <c r="AU770">
        <f>'19_Расчет_аналитики'!AU627</f>
        <v/>
      </c>
      <c r="AV770">
        <f>'19_Расчет_аналитики'!AV627</f>
        <v/>
      </c>
      <c r="AW770">
        <f>'19_Расчет_аналитики'!AW627</f>
        <v/>
      </c>
      <c r="AX770">
        <f>'19_Расчет_аналитики'!AX627</f>
        <v/>
      </c>
      <c r="AY770">
        <f>'19_Расчет_аналитики'!AY627</f>
        <v/>
      </c>
      <c r="AZ770">
        <f>'19_Расчет_аналитики'!AZ627</f>
        <v/>
      </c>
      <c r="BA770">
        <f>'19_Расчет_аналитики'!BA627</f>
        <v/>
      </c>
      <c r="BB770">
        <f>'19_Расчет_аналитики'!BB627</f>
        <v/>
      </c>
      <c r="BC770">
        <f>'19_Расчет_аналитики'!BC627</f>
        <v/>
      </c>
      <c r="BD770">
        <f>'19_Расчет_аналитики'!BD627</f>
        <v/>
      </c>
      <c r="BE770">
        <f>'19_Расчет_аналитики'!BE627</f>
        <v/>
      </c>
      <c r="BF770">
        <f>'19_Расчет_аналитики'!BF627</f>
        <v/>
      </c>
      <c r="BG770">
        <f>'19_Расчет_аналитики'!BG627</f>
        <v/>
      </c>
      <c r="BH770">
        <f>'19_Расчет_аналитики'!BH627</f>
        <v/>
      </c>
      <c r="BI770">
        <f>'19_Расчет_аналитики'!BI627</f>
        <v/>
      </c>
    </row>
    <row r="771">
      <c r="B771">
        <f>'19_Расчет_аналитики'!B625</f>
        <v/>
      </c>
      <c r="C771">
        <f>'19_Расчет_аналитики'!C625</f>
        <v/>
      </c>
      <c r="D771">
        <f>'19_Расчет_аналитики'!D625</f>
        <v/>
      </c>
      <c r="E771">
        <f>'19_Расчет_аналитики'!E625</f>
        <v/>
      </c>
      <c r="F771">
        <f>'19_Расчет_аналитики'!F625</f>
        <v/>
      </c>
      <c r="G771">
        <f>'19_Расчет_аналитики'!G625</f>
        <v/>
      </c>
      <c r="H771">
        <f>'19_Расчет_аналитики'!H625</f>
        <v/>
      </c>
      <c r="I771">
        <f>'19_Расчет_аналитики'!I625</f>
        <v/>
      </c>
      <c r="J771">
        <f>'19_Расчет_аналитики'!J625</f>
        <v/>
      </c>
      <c r="K771">
        <f>'19_Расчет_аналитики'!K625</f>
        <v/>
      </c>
      <c r="L771">
        <f>'19_Расчет_аналитики'!L625</f>
        <v/>
      </c>
      <c r="M771">
        <f>'19_Расчет_аналитики'!M625</f>
        <v/>
      </c>
      <c r="N771">
        <f>'19_Расчет_аналитики'!N625</f>
        <v/>
      </c>
      <c r="O771">
        <f>'19_Расчет_аналитики'!O625</f>
        <v/>
      </c>
      <c r="P771">
        <f>'19_Расчет_аналитики'!P625</f>
        <v/>
      </c>
      <c r="Q771">
        <f>'19_Расчет_аналитики'!Q625</f>
        <v/>
      </c>
      <c r="R771">
        <f>'19_Расчет_аналитики'!R625</f>
        <v/>
      </c>
      <c r="S771">
        <f>'19_Расчет_аналитики'!S625</f>
        <v/>
      </c>
      <c r="T771">
        <f>'19_Расчет_аналитики'!T625</f>
        <v/>
      </c>
      <c r="U771">
        <f>'19_Расчет_аналитики'!U625</f>
        <v/>
      </c>
      <c r="V771">
        <f>'19_Расчет_аналитики'!V625</f>
        <v/>
      </c>
      <c r="W771">
        <f>'19_Расчет_аналитики'!W625</f>
        <v/>
      </c>
      <c r="X771">
        <f>'19_Расчет_аналитики'!X625</f>
        <v/>
      </c>
      <c r="Y771">
        <f>'19_Расчет_аналитики'!Y625</f>
        <v/>
      </c>
      <c r="Z771">
        <f>'19_Расчет_аналитики'!Z625</f>
        <v/>
      </c>
      <c r="AA771">
        <f>'19_Расчет_аналитики'!AA625</f>
        <v/>
      </c>
      <c r="AB771">
        <f>'19_Расчет_аналитики'!AB625</f>
        <v/>
      </c>
      <c r="AC771">
        <f>'19_Расчет_аналитики'!AC625</f>
        <v/>
      </c>
      <c r="AD771">
        <f>'19_Расчет_аналитики'!AD625</f>
        <v/>
      </c>
      <c r="AE771">
        <f>'19_Расчет_аналитики'!AE625</f>
        <v/>
      </c>
      <c r="AF771">
        <f>'19_Расчет_аналитики'!AF625</f>
        <v/>
      </c>
      <c r="AG771">
        <f>'19_Расчет_аналитики'!AG625</f>
        <v/>
      </c>
      <c r="AH771">
        <f>'19_Расчет_аналитики'!AH625</f>
        <v/>
      </c>
      <c r="AI771">
        <f>'19_Расчет_аналитики'!AI625</f>
        <v/>
      </c>
      <c r="AJ771">
        <f>'19_Расчет_аналитики'!AJ625</f>
        <v/>
      </c>
      <c r="AK771">
        <f>'19_Расчет_аналитики'!AK625</f>
        <v/>
      </c>
      <c r="AL771">
        <f>'19_Расчет_аналитики'!AL625</f>
        <v/>
      </c>
      <c r="AM771">
        <f>'19_Расчет_аналитики'!AM625</f>
        <v/>
      </c>
      <c r="AN771">
        <f>'19_Расчет_аналитики'!AN625</f>
        <v/>
      </c>
      <c r="AO771">
        <f>'19_Расчет_аналитики'!AO625</f>
        <v/>
      </c>
      <c r="AP771">
        <f>'19_Расчет_аналитики'!AP625</f>
        <v/>
      </c>
      <c r="AQ771">
        <f>'19_Расчет_аналитики'!AQ625</f>
        <v/>
      </c>
      <c r="AR771">
        <f>'19_Расчет_аналитики'!AR625</f>
        <v/>
      </c>
      <c r="AS771">
        <f>'19_Расчет_аналитики'!AS625</f>
        <v/>
      </c>
      <c r="AT771">
        <f>'19_Расчет_аналитики'!AT625</f>
        <v/>
      </c>
      <c r="AU771">
        <f>'19_Расчет_аналитики'!AU625</f>
        <v/>
      </c>
      <c r="AV771">
        <f>'19_Расчет_аналитики'!AV625</f>
        <v/>
      </c>
      <c r="AW771">
        <f>'19_Расчет_аналитики'!AW625</f>
        <v/>
      </c>
      <c r="AX771">
        <f>'19_Расчет_аналитики'!AX625</f>
        <v/>
      </c>
      <c r="AY771">
        <f>'19_Расчет_аналитики'!AY625</f>
        <v/>
      </c>
      <c r="AZ771">
        <f>'19_Расчет_аналитики'!AZ625</f>
        <v/>
      </c>
      <c r="BA771">
        <f>'19_Расчет_аналитики'!BA625</f>
        <v/>
      </c>
      <c r="BB771">
        <f>'19_Расчет_аналитики'!BB625</f>
        <v/>
      </c>
      <c r="BC771">
        <f>'19_Расчет_аналитики'!BC625</f>
        <v/>
      </c>
      <c r="BD771">
        <f>'19_Расчет_аналитики'!BD625</f>
        <v/>
      </c>
      <c r="BE771">
        <f>'19_Расчет_аналитики'!BE625</f>
        <v/>
      </c>
      <c r="BF771">
        <f>'19_Расчет_аналитики'!BF625</f>
        <v/>
      </c>
      <c r="BG771">
        <f>'19_Расчет_аналитики'!BG625</f>
        <v/>
      </c>
      <c r="BH771">
        <f>'19_Расчет_аналитики'!BH625</f>
        <v/>
      </c>
      <c r="BI771">
        <f>'19_Расчет_аналитики'!BI625</f>
        <v/>
      </c>
    </row>
    <row r="772">
      <c r="B772">
        <f>'19_Расчет_аналитики'!B628</f>
        <v/>
      </c>
      <c r="C772">
        <f>'19_Расчет_аналитики'!C628</f>
        <v/>
      </c>
      <c r="D772">
        <f>'19_Расчет_аналитики'!D628</f>
        <v/>
      </c>
      <c r="E772">
        <f>'19_Расчет_аналитики'!E628</f>
        <v/>
      </c>
      <c r="F772">
        <f>'19_Расчет_аналитики'!F628</f>
        <v/>
      </c>
      <c r="G772">
        <f>'19_Расчет_аналитики'!G628</f>
        <v/>
      </c>
      <c r="H772">
        <f>'19_Расчет_аналитики'!H628</f>
        <v/>
      </c>
      <c r="I772">
        <f>'19_Расчет_аналитики'!I628</f>
        <v/>
      </c>
      <c r="J772">
        <f>'19_Расчет_аналитики'!J628</f>
        <v/>
      </c>
      <c r="K772">
        <f>'19_Расчет_аналитики'!K628</f>
        <v/>
      </c>
      <c r="L772">
        <f>'19_Расчет_аналитики'!L628</f>
        <v/>
      </c>
      <c r="M772">
        <f>'19_Расчет_аналитики'!M628</f>
        <v/>
      </c>
      <c r="N772">
        <f>'19_Расчет_аналитики'!N628</f>
        <v/>
      </c>
      <c r="O772">
        <f>'19_Расчет_аналитики'!O628</f>
        <v/>
      </c>
      <c r="P772">
        <f>'19_Расчет_аналитики'!P628</f>
        <v/>
      </c>
      <c r="Q772">
        <f>'19_Расчет_аналитики'!Q628</f>
        <v/>
      </c>
      <c r="R772">
        <f>'19_Расчет_аналитики'!R628</f>
        <v/>
      </c>
      <c r="S772">
        <f>'19_Расчет_аналитики'!S628</f>
        <v/>
      </c>
      <c r="T772">
        <f>'19_Расчет_аналитики'!T628</f>
        <v/>
      </c>
      <c r="U772">
        <f>'19_Расчет_аналитики'!U628</f>
        <v/>
      </c>
      <c r="V772">
        <f>'19_Расчет_аналитики'!V628</f>
        <v/>
      </c>
      <c r="W772">
        <f>'19_Расчет_аналитики'!W628</f>
        <v/>
      </c>
      <c r="X772">
        <f>'19_Расчет_аналитики'!X628</f>
        <v/>
      </c>
      <c r="Y772">
        <f>'19_Расчет_аналитики'!Y628</f>
        <v/>
      </c>
      <c r="Z772">
        <f>'19_Расчет_аналитики'!Z628</f>
        <v/>
      </c>
      <c r="AA772">
        <f>'19_Расчет_аналитики'!AA628</f>
        <v/>
      </c>
      <c r="AB772">
        <f>'19_Расчет_аналитики'!AB628</f>
        <v/>
      </c>
      <c r="AC772">
        <f>'19_Расчет_аналитики'!AC628</f>
        <v/>
      </c>
      <c r="AD772">
        <f>'19_Расчет_аналитики'!AD628</f>
        <v/>
      </c>
      <c r="AE772">
        <f>'19_Расчет_аналитики'!AE628</f>
        <v/>
      </c>
      <c r="AF772">
        <f>'19_Расчет_аналитики'!AF628</f>
        <v/>
      </c>
      <c r="AG772">
        <f>'19_Расчет_аналитики'!AG628</f>
        <v/>
      </c>
      <c r="AH772">
        <f>'19_Расчет_аналитики'!AH628</f>
        <v/>
      </c>
      <c r="AI772">
        <f>'19_Расчет_аналитики'!AI628</f>
        <v/>
      </c>
      <c r="AJ772">
        <f>'19_Расчет_аналитики'!AJ628</f>
        <v/>
      </c>
      <c r="AK772">
        <f>'19_Расчет_аналитики'!AK628</f>
        <v/>
      </c>
      <c r="AL772">
        <f>'19_Расчет_аналитики'!AL628</f>
        <v/>
      </c>
      <c r="AM772">
        <f>'19_Расчет_аналитики'!AM628</f>
        <v/>
      </c>
      <c r="AN772">
        <f>'19_Расчет_аналитики'!AN628</f>
        <v/>
      </c>
      <c r="AO772">
        <f>'19_Расчет_аналитики'!AO628</f>
        <v/>
      </c>
      <c r="AP772">
        <f>'19_Расчет_аналитики'!AP628</f>
        <v/>
      </c>
      <c r="AQ772">
        <f>'19_Расчет_аналитики'!AQ628</f>
        <v/>
      </c>
      <c r="AR772">
        <f>'19_Расчет_аналитики'!AR628</f>
        <v/>
      </c>
      <c r="AS772">
        <f>'19_Расчет_аналитики'!AS628</f>
        <v/>
      </c>
      <c r="AT772">
        <f>'19_Расчет_аналитики'!AT628</f>
        <v/>
      </c>
      <c r="AU772">
        <f>'19_Расчет_аналитики'!AU628</f>
        <v/>
      </c>
      <c r="AV772">
        <f>'19_Расчет_аналитики'!AV628</f>
        <v/>
      </c>
      <c r="AW772">
        <f>'19_Расчет_аналитики'!AW628</f>
        <v/>
      </c>
      <c r="AX772">
        <f>'19_Расчет_аналитики'!AX628</f>
        <v/>
      </c>
      <c r="AY772">
        <f>'19_Расчет_аналитики'!AY628</f>
        <v/>
      </c>
      <c r="AZ772">
        <f>'19_Расчет_аналитики'!AZ628</f>
        <v/>
      </c>
      <c r="BA772">
        <f>'19_Расчет_аналитики'!BA628</f>
        <v/>
      </c>
      <c r="BB772">
        <f>'19_Расчет_аналитики'!BB628</f>
        <v/>
      </c>
      <c r="BC772">
        <f>'19_Расчет_аналитики'!BC628</f>
        <v/>
      </c>
      <c r="BD772">
        <f>'19_Расчет_аналитики'!BD628</f>
        <v/>
      </c>
      <c r="BE772">
        <f>'19_Расчет_аналитики'!BE628</f>
        <v/>
      </c>
      <c r="BF772">
        <f>'19_Расчет_аналитики'!BF628</f>
        <v/>
      </c>
      <c r="BG772">
        <f>'19_Расчет_аналитики'!BG628</f>
        <v/>
      </c>
      <c r="BH772">
        <f>'19_Расчет_аналитики'!BH628</f>
        <v/>
      </c>
      <c r="BI772">
        <f>'19_Расчет_аналитики'!BI628</f>
        <v/>
      </c>
    </row>
    <row r="773"/>
    <row r="774">
      <c r="B774">
        <f>0+'19_Расчет_аналитики'!B713+'19_Расчет_аналитики'!B714-'19_Расчет_аналитики'!B747/(1+'01_Вводные'!$B$58)</f>
        <v/>
      </c>
      <c r="C774">
        <f>'19_Расчет_аналитики'!B774+'19_Расчет_аналитики'!C713+'19_Расчет_аналитики'!C714-'19_Расчет_аналитики'!C747/(1+'01_Вводные'!$B$58)</f>
        <v/>
      </c>
      <c r="D774">
        <f>'19_Расчет_аналитики'!C774+'19_Расчет_аналитики'!D713+'19_Расчет_аналитики'!D714-'19_Расчет_аналитики'!D747/(1+'01_Вводные'!$B$58)</f>
        <v/>
      </c>
      <c r="E774">
        <f>'19_Расчет_аналитики'!D774+'19_Расчет_аналитики'!E713+'19_Расчет_аналитики'!E714-'19_Расчет_аналитики'!E747/(1+'01_Вводные'!$B$58)</f>
        <v/>
      </c>
      <c r="F774">
        <f>'19_Расчет_аналитики'!E774+'19_Расчет_аналитики'!F713+'19_Расчет_аналитики'!F714-'19_Расчет_аналитики'!F747/(1+'01_Вводные'!$B$58)</f>
        <v/>
      </c>
      <c r="G774">
        <f>'19_Расчет_аналитики'!F774+'19_Расчет_аналитики'!G713+'19_Расчет_аналитики'!G714-'19_Расчет_аналитики'!G747/(1+'01_Вводные'!$B$58)</f>
        <v/>
      </c>
      <c r="H774">
        <f>'19_Расчет_аналитики'!G774+'19_Расчет_аналитики'!H713+'19_Расчет_аналитики'!H714-'19_Расчет_аналитики'!H747/(1+'01_Вводные'!$B$58)</f>
        <v/>
      </c>
      <c r="I774">
        <f>'19_Расчет_аналитики'!H774+'19_Расчет_аналитики'!I713+'19_Расчет_аналитики'!I714-'19_Расчет_аналитики'!I747/(1+'01_Вводные'!$B$58)</f>
        <v/>
      </c>
      <c r="J774">
        <f>'19_Расчет_аналитики'!I774+'19_Расчет_аналитики'!J713+'19_Расчет_аналитики'!J714-'19_Расчет_аналитики'!J747/(1+'01_Вводные'!$B$58)</f>
        <v/>
      </c>
      <c r="K774">
        <f>'19_Расчет_аналитики'!J774+'19_Расчет_аналитики'!K713+'19_Расчет_аналитики'!K714-'19_Расчет_аналитики'!K747/(1+'01_Вводные'!$B$58)</f>
        <v/>
      </c>
      <c r="L774">
        <f>'19_Расчет_аналитики'!K774+'19_Расчет_аналитики'!L713+'19_Расчет_аналитики'!L714-'19_Расчет_аналитики'!L747/(1+'01_Вводные'!$B$58)</f>
        <v/>
      </c>
      <c r="M774">
        <f>'19_Расчет_аналитики'!L774+'19_Расчет_аналитики'!M713+'19_Расчет_аналитики'!M714-'19_Расчет_аналитики'!M747/(1+'01_Вводные'!$B$58)</f>
        <v/>
      </c>
      <c r="N774">
        <f>'19_Расчет_аналитики'!M774+'19_Расчет_аналитики'!N713+'19_Расчет_аналитики'!N714-'19_Расчет_аналитики'!N747/(1+'01_Вводные'!$B$58)</f>
        <v/>
      </c>
      <c r="O774">
        <f>'19_Расчет_аналитики'!N774+'19_Расчет_аналитики'!O713+'19_Расчет_аналитики'!O714-'19_Расчет_аналитики'!O747/(1+'01_Вводные'!$B$58)</f>
        <v/>
      </c>
      <c r="P774">
        <f>'19_Расчет_аналитики'!O774+'19_Расчет_аналитики'!P713+'19_Расчет_аналитики'!P714-'19_Расчет_аналитики'!P747/(1+'01_Вводные'!$B$58)</f>
        <v/>
      </c>
      <c r="Q774">
        <f>'19_Расчет_аналитики'!P774+'19_Расчет_аналитики'!Q713+'19_Расчет_аналитики'!Q714-'19_Расчет_аналитики'!Q747/(1+'01_Вводные'!$B$58)</f>
        <v/>
      </c>
      <c r="R774">
        <f>'19_Расчет_аналитики'!Q774+'19_Расчет_аналитики'!R713+'19_Расчет_аналитики'!R714-'19_Расчет_аналитики'!R747/(1+'01_Вводные'!$B$58)</f>
        <v/>
      </c>
      <c r="S774">
        <f>'19_Расчет_аналитики'!R774+'19_Расчет_аналитики'!S713+'19_Расчет_аналитики'!S714-'19_Расчет_аналитики'!S747/(1+'01_Вводные'!$B$58)</f>
        <v/>
      </c>
      <c r="T774">
        <f>'19_Расчет_аналитики'!S774+'19_Расчет_аналитики'!T713+'19_Расчет_аналитики'!T714-'19_Расчет_аналитики'!T747/(1+'01_Вводные'!$B$58)</f>
        <v/>
      </c>
      <c r="U774">
        <f>'19_Расчет_аналитики'!T774+'19_Расчет_аналитики'!U713+'19_Расчет_аналитики'!U714-'19_Расчет_аналитики'!U747/(1+'01_Вводные'!$B$58)</f>
        <v/>
      </c>
      <c r="V774">
        <f>'19_Расчет_аналитики'!U774+'19_Расчет_аналитики'!V713+'19_Расчет_аналитики'!V714-'19_Расчет_аналитики'!V747/(1+'01_Вводные'!$B$58)</f>
        <v/>
      </c>
      <c r="W774">
        <f>'19_Расчет_аналитики'!V774+'19_Расчет_аналитики'!W713+'19_Расчет_аналитики'!W714-'19_Расчет_аналитики'!W747/(1+'01_Вводные'!$B$58)</f>
        <v/>
      </c>
      <c r="X774">
        <f>'19_Расчет_аналитики'!W774+'19_Расчет_аналитики'!X713+'19_Расчет_аналитики'!X714-'19_Расчет_аналитики'!X747/(1+'01_Вводные'!$B$58)</f>
        <v/>
      </c>
      <c r="Y774">
        <f>'19_Расчет_аналитики'!X774+'19_Расчет_аналитики'!Y713+'19_Расчет_аналитики'!Y714-'19_Расчет_аналитики'!Y747/(1+'01_Вводные'!$B$58)</f>
        <v/>
      </c>
      <c r="Z774">
        <f>'19_Расчет_аналитики'!Y774+'19_Расчет_аналитики'!Z713+'19_Расчет_аналитики'!Z714-'19_Расчет_аналитики'!Z747/(1+'01_Вводные'!$B$58)</f>
        <v/>
      </c>
      <c r="AA774">
        <f>'19_Расчет_аналитики'!Z774+'19_Расчет_аналитики'!AA713+'19_Расчет_аналитики'!AA714-'19_Расчет_аналитики'!AA747/(1+'01_Вводные'!$B$58)</f>
        <v/>
      </c>
      <c r="AB774">
        <f>'19_Расчет_аналитики'!AA774+'19_Расчет_аналитики'!AB713+'19_Расчет_аналитики'!AB714-'19_Расчет_аналитики'!AB747/(1+'01_Вводные'!$B$58)</f>
        <v/>
      </c>
      <c r="AC774">
        <f>'19_Расчет_аналитики'!AB774+'19_Расчет_аналитики'!AC713+'19_Расчет_аналитики'!AC714-'19_Расчет_аналитики'!AC747/(1+'01_Вводные'!$B$58)</f>
        <v/>
      </c>
      <c r="AD774">
        <f>'19_Расчет_аналитики'!AC774+'19_Расчет_аналитики'!AD713+'19_Расчет_аналитики'!AD714-'19_Расчет_аналитики'!AD747/(1+'01_Вводные'!$B$58)</f>
        <v/>
      </c>
      <c r="AE774">
        <f>'19_Расчет_аналитики'!AD774+'19_Расчет_аналитики'!AE713+'19_Расчет_аналитики'!AE714-'19_Расчет_аналитики'!AE747/(1+'01_Вводные'!$B$58)</f>
        <v/>
      </c>
      <c r="AF774">
        <f>'19_Расчет_аналитики'!AE774+'19_Расчет_аналитики'!AF713+'19_Расчет_аналитики'!AF714-'19_Расчет_аналитики'!AF747/(1+'01_Вводные'!$B$58)</f>
        <v/>
      </c>
      <c r="AG774">
        <f>'19_Расчет_аналитики'!AF774+'19_Расчет_аналитики'!AG713+'19_Расчет_аналитики'!AG714-'19_Расчет_аналитики'!AG747/(1+'01_Вводные'!$B$58)</f>
        <v/>
      </c>
      <c r="AH774">
        <f>'19_Расчет_аналитики'!AG774+'19_Расчет_аналитики'!AH713+'19_Расчет_аналитики'!AH714-'19_Расчет_аналитики'!AH747/(1+'01_Вводные'!$B$58)</f>
        <v/>
      </c>
      <c r="AI774">
        <f>'19_Расчет_аналитики'!AH774+'19_Расчет_аналитики'!AI713+'19_Расчет_аналитики'!AI714-'19_Расчет_аналитики'!AI747/(1+'01_Вводные'!$B$58)</f>
        <v/>
      </c>
      <c r="AJ774">
        <f>'19_Расчет_аналитики'!AI774+'19_Расчет_аналитики'!AJ713+'19_Расчет_аналитики'!AJ714-'19_Расчет_аналитики'!AJ747/(1+'01_Вводные'!$B$58)</f>
        <v/>
      </c>
      <c r="AK774">
        <f>'19_Расчет_аналитики'!AJ774+'19_Расчет_аналитики'!AK713+'19_Расчет_аналитики'!AK714-'19_Расчет_аналитики'!AK747/(1+'01_Вводные'!$B$58)</f>
        <v/>
      </c>
      <c r="AL774">
        <f>'19_Расчет_аналитики'!AK774+'19_Расчет_аналитики'!AL713+'19_Расчет_аналитики'!AL714-'19_Расчет_аналитики'!AL747/(1+'01_Вводные'!$B$58)</f>
        <v/>
      </c>
      <c r="AM774">
        <f>'19_Расчет_аналитики'!AL774+'19_Расчет_аналитики'!AM713+'19_Расчет_аналитики'!AM714-'19_Расчет_аналитики'!AM747/(1+'01_Вводные'!$B$58)</f>
        <v/>
      </c>
      <c r="AN774">
        <f>'19_Расчет_аналитики'!AM774+'19_Расчет_аналитики'!AN713+'19_Расчет_аналитики'!AN714-'19_Расчет_аналитики'!AN747/(1+'01_Вводные'!$B$58)</f>
        <v/>
      </c>
      <c r="AO774">
        <f>'19_Расчет_аналитики'!AN774+'19_Расчет_аналитики'!AO713+'19_Расчет_аналитики'!AO714-'19_Расчет_аналитики'!AO747/(1+'01_Вводные'!$B$58)</f>
        <v/>
      </c>
      <c r="AP774">
        <f>'19_Расчет_аналитики'!AO774+'19_Расчет_аналитики'!AP713+'19_Расчет_аналитики'!AP714-'19_Расчет_аналитики'!AP747/(1+'01_Вводные'!$B$58)</f>
        <v/>
      </c>
      <c r="AQ774">
        <f>'19_Расчет_аналитики'!AP774+'19_Расчет_аналитики'!AQ713+'19_Расчет_аналитики'!AQ714-'19_Расчет_аналитики'!AQ747/(1+'01_Вводные'!$B$58)</f>
        <v/>
      </c>
      <c r="AR774">
        <f>'19_Расчет_аналитики'!AQ774+'19_Расчет_аналитики'!AR713+'19_Расчет_аналитики'!AR714-'19_Расчет_аналитики'!AR747/(1+'01_Вводные'!$B$58)</f>
        <v/>
      </c>
      <c r="AS774">
        <f>'19_Расчет_аналитики'!AR774+'19_Расчет_аналитики'!AS713+'19_Расчет_аналитики'!AS714-'19_Расчет_аналитики'!AS747/(1+'01_Вводные'!$B$58)</f>
        <v/>
      </c>
      <c r="AT774">
        <f>'19_Расчет_аналитики'!AS774+'19_Расчет_аналитики'!AT713+'19_Расчет_аналитики'!AT714-'19_Расчет_аналитики'!AT747/(1+'01_Вводные'!$B$58)</f>
        <v/>
      </c>
      <c r="AU774">
        <f>'19_Расчет_аналитики'!AT774+'19_Расчет_аналитики'!AU713+'19_Расчет_аналитики'!AU714-'19_Расчет_аналитики'!AU747/(1+'01_Вводные'!$B$58)</f>
        <v/>
      </c>
      <c r="AV774">
        <f>'19_Расчет_аналитики'!AU774+'19_Расчет_аналитики'!AV713+'19_Расчет_аналитики'!AV714-'19_Расчет_аналитики'!AV747/(1+'01_Вводные'!$B$58)</f>
        <v/>
      </c>
      <c r="AW774">
        <f>'19_Расчет_аналитики'!AV774+'19_Расчет_аналитики'!AW713+'19_Расчет_аналитики'!AW714-'19_Расчет_аналитики'!AW747/(1+'01_Вводные'!$B$58)</f>
        <v/>
      </c>
      <c r="AX774">
        <f>'19_Расчет_аналитики'!AW774+'19_Расчет_аналитики'!AX713+'19_Расчет_аналитики'!AX714-'19_Расчет_аналитики'!AX747/(1+'01_Вводные'!$B$58)</f>
        <v/>
      </c>
      <c r="AY774">
        <f>'19_Расчет_аналитики'!AX774+'19_Расчет_аналитики'!AY713+'19_Расчет_аналитики'!AY714-'19_Расчет_аналитики'!AY747/(1+'01_Вводные'!$B$58)</f>
        <v/>
      </c>
      <c r="AZ774">
        <f>'19_Расчет_аналитики'!AY774+'19_Расчет_аналитики'!AZ713+'19_Расчет_аналитики'!AZ714-'19_Расчет_аналитики'!AZ747/(1+'01_Вводные'!$B$58)</f>
        <v/>
      </c>
      <c r="BA774">
        <f>'19_Расчет_аналитики'!AZ774+'19_Расчет_аналитики'!BA713+'19_Расчет_аналитики'!BA714-'19_Расчет_аналитики'!BA747/(1+'01_Вводные'!$B$58)</f>
        <v/>
      </c>
      <c r="BB774">
        <f>'19_Расчет_аналитики'!BA774+'19_Расчет_аналитики'!BB713+'19_Расчет_аналитики'!BB714-'19_Расчет_аналитики'!BB747/(1+'01_Вводные'!$B$58)</f>
        <v/>
      </c>
      <c r="BC774">
        <f>'19_Расчет_аналитики'!BB774+'19_Расчет_аналитики'!BC713+'19_Расчет_аналитики'!BC714-'19_Расчет_аналитики'!BC747/(1+'01_Вводные'!$B$58)</f>
        <v/>
      </c>
      <c r="BD774">
        <f>'19_Расчет_аналитики'!BC774+'19_Расчет_аналитики'!BD713+'19_Расчет_аналитики'!BD714-'19_Расчет_аналитики'!BD747/(1+'01_Вводные'!$B$58)</f>
        <v/>
      </c>
      <c r="BE774">
        <f>'19_Расчет_аналитики'!BD774+'19_Расчет_аналитики'!BE713+'19_Расчет_аналитики'!BE714-'19_Расчет_аналитики'!BE747/(1+'01_Вводные'!$B$58)</f>
        <v/>
      </c>
      <c r="BF774">
        <f>'19_Расчет_аналитики'!BE774+'19_Расчет_аналитики'!BF713+'19_Расчет_аналитики'!BF714-'19_Расчет_аналитики'!BF747/(1+'01_Вводные'!$B$58)</f>
        <v/>
      </c>
      <c r="BG774">
        <f>'19_Расчет_аналитики'!BF774+'19_Расчет_аналитики'!BG713+'19_Расчет_аналитики'!BG714-'19_Расчет_аналитики'!BG747/(1+'01_Вводные'!$B$58)</f>
        <v/>
      </c>
      <c r="BH774">
        <f>'19_Расчет_аналитики'!BG774+'19_Расчет_аналитики'!BH713+'19_Расчет_аналитики'!BH714-'19_Расчет_аналитики'!BH747/(1+'01_Вводные'!$B$58)</f>
        <v/>
      </c>
      <c r="BI774">
        <f>'19_Расчет_аналитики'!BH774+'19_Расчет_аналитики'!BI713+'19_Расчет_аналитики'!BI714-'19_Расчет_аналитики'!BI747/(1+'01_Вводные'!$B$58)</f>
        <v/>
      </c>
    </row>
    <row r="775">
      <c r="B775">
        <f>0+SUM('19_Расчет_аналитики'!B731:B736)+'19_Расчет_аналитики'!B626-'19_Расчет_аналитики'!B753</f>
        <v/>
      </c>
      <c r="C775">
        <f>'19_Расчет_аналитики'!B775+SUM('19_Расчет_аналитики'!C731:C736)+'19_Расчет_аналитики'!C626-'19_Расчет_аналитики'!C753</f>
        <v/>
      </c>
      <c r="D775">
        <f>'19_Расчет_аналитики'!C775+SUM('19_Расчет_аналитики'!D731:D736)+'19_Расчет_аналитики'!D626-'19_Расчет_аналитики'!D753</f>
        <v/>
      </c>
      <c r="E775">
        <f>'19_Расчет_аналитики'!D775+SUM('19_Расчет_аналитики'!E731:E736)+'19_Расчет_аналитики'!E626-'19_Расчет_аналитики'!E753</f>
        <v/>
      </c>
      <c r="F775">
        <f>'19_Расчет_аналитики'!E775+SUM('19_Расчет_аналитики'!F731:F736)+'19_Расчет_аналитики'!F626-'19_Расчет_аналитики'!F753</f>
        <v/>
      </c>
      <c r="G775">
        <f>'19_Расчет_аналитики'!F775+SUM('19_Расчет_аналитики'!G731:G736)+'19_Расчет_аналитики'!G626-'19_Расчет_аналитики'!G753</f>
        <v/>
      </c>
      <c r="H775">
        <f>'19_Расчет_аналитики'!G775+SUM('19_Расчет_аналитики'!H731:H736)+'19_Расчет_аналитики'!H626-'19_Расчет_аналитики'!H753</f>
        <v/>
      </c>
      <c r="I775">
        <f>'19_Расчет_аналитики'!H775+SUM('19_Расчет_аналитики'!I731:I736)+'19_Расчет_аналитики'!I626-'19_Расчет_аналитики'!I753</f>
        <v/>
      </c>
      <c r="J775">
        <f>'19_Расчет_аналитики'!I775+SUM('19_Расчет_аналитики'!J731:J736)+'19_Расчет_аналитики'!J626-'19_Расчет_аналитики'!J753</f>
        <v/>
      </c>
      <c r="K775">
        <f>'19_Расчет_аналитики'!J775+SUM('19_Расчет_аналитики'!K731:K736)+'19_Расчет_аналитики'!K626-'19_Расчет_аналитики'!K753</f>
        <v/>
      </c>
      <c r="L775">
        <f>'19_Расчет_аналитики'!K775+SUM('19_Расчет_аналитики'!L731:L736)+'19_Расчет_аналитики'!L626-'19_Расчет_аналитики'!L753</f>
        <v/>
      </c>
      <c r="M775">
        <f>'19_Расчет_аналитики'!L775+SUM('19_Расчет_аналитики'!M731:M736)+'19_Расчет_аналитики'!M626-'19_Расчет_аналитики'!M753</f>
        <v/>
      </c>
      <c r="N775">
        <f>'19_Расчет_аналитики'!M775+SUM('19_Расчет_аналитики'!N731:N736)+'19_Расчет_аналитики'!N626-'19_Расчет_аналитики'!N753</f>
        <v/>
      </c>
      <c r="O775">
        <f>'19_Расчет_аналитики'!N775+SUM('19_Расчет_аналитики'!O731:O736)+'19_Расчет_аналитики'!O626-'19_Расчет_аналитики'!O753</f>
        <v/>
      </c>
      <c r="P775">
        <f>'19_Расчет_аналитики'!O775+SUM('19_Расчет_аналитики'!P731:P736)+'19_Расчет_аналитики'!P626-'19_Расчет_аналитики'!P753</f>
        <v/>
      </c>
      <c r="Q775">
        <f>'19_Расчет_аналитики'!P775+SUM('19_Расчет_аналитики'!Q731:Q736)+'19_Расчет_аналитики'!Q626-'19_Расчет_аналитики'!Q753</f>
        <v/>
      </c>
      <c r="R775">
        <f>'19_Расчет_аналитики'!Q775+SUM('19_Расчет_аналитики'!R731:R736)+'19_Расчет_аналитики'!R626-'19_Расчет_аналитики'!R753</f>
        <v/>
      </c>
      <c r="S775">
        <f>'19_Расчет_аналитики'!R775+SUM('19_Расчет_аналитики'!S731:S736)+'19_Расчет_аналитики'!S626-'19_Расчет_аналитики'!S753</f>
        <v/>
      </c>
      <c r="T775">
        <f>'19_Расчет_аналитики'!S775+SUM('19_Расчет_аналитики'!T731:T736)+'19_Расчет_аналитики'!T626-'19_Расчет_аналитики'!T753</f>
        <v/>
      </c>
      <c r="U775">
        <f>'19_Расчет_аналитики'!T775+SUM('19_Расчет_аналитики'!U731:U736)+'19_Расчет_аналитики'!U626-'19_Расчет_аналитики'!U753</f>
        <v/>
      </c>
      <c r="V775">
        <f>'19_Расчет_аналитики'!U775+SUM('19_Расчет_аналитики'!V731:V736)+'19_Расчет_аналитики'!V626-'19_Расчет_аналитики'!V753</f>
        <v/>
      </c>
      <c r="W775">
        <f>'19_Расчет_аналитики'!V775+SUM('19_Расчет_аналитики'!W731:W736)+'19_Расчет_аналитики'!W626-'19_Расчет_аналитики'!W753</f>
        <v/>
      </c>
      <c r="X775">
        <f>'19_Расчет_аналитики'!W775+SUM('19_Расчет_аналитики'!X731:X736)+'19_Расчет_аналитики'!X626-'19_Расчет_аналитики'!X753</f>
        <v/>
      </c>
      <c r="Y775">
        <f>'19_Расчет_аналитики'!X775+SUM('19_Расчет_аналитики'!Y731:Y736)+'19_Расчет_аналитики'!Y626-'19_Расчет_аналитики'!Y753</f>
        <v/>
      </c>
      <c r="Z775">
        <f>'19_Расчет_аналитики'!Y775+SUM('19_Расчет_аналитики'!Z731:Z736)+'19_Расчет_аналитики'!Z626-'19_Расчет_аналитики'!Z753</f>
        <v/>
      </c>
      <c r="AA775">
        <f>'19_Расчет_аналитики'!Z775+SUM('19_Расчет_аналитики'!AA731:AA736)+'19_Расчет_аналитики'!AA626-'19_Расчет_аналитики'!AA753</f>
        <v/>
      </c>
      <c r="AB775">
        <f>'19_Расчет_аналитики'!AA775+SUM('19_Расчет_аналитики'!AB731:AB736)+'19_Расчет_аналитики'!AB626-'19_Расчет_аналитики'!AB753</f>
        <v/>
      </c>
      <c r="AC775">
        <f>'19_Расчет_аналитики'!AB775+SUM('19_Расчет_аналитики'!AC731:AC736)+'19_Расчет_аналитики'!AC626-'19_Расчет_аналитики'!AC753</f>
        <v/>
      </c>
      <c r="AD775">
        <f>'19_Расчет_аналитики'!AC775+SUM('19_Расчет_аналитики'!AD731:AD736)+'19_Расчет_аналитики'!AD626-'19_Расчет_аналитики'!AD753</f>
        <v/>
      </c>
      <c r="AE775">
        <f>'19_Расчет_аналитики'!AD775+SUM('19_Расчет_аналитики'!AE731:AE736)+'19_Расчет_аналитики'!AE626-'19_Расчет_аналитики'!AE753</f>
        <v/>
      </c>
      <c r="AF775">
        <f>'19_Расчет_аналитики'!AE775+SUM('19_Расчет_аналитики'!AF731:AF736)+'19_Расчет_аналитики'!AF626-'19_Расчет_аналитики'!AF753</f>
        <v/>
      </c>
      <c r="AG775">
        <f>'19_Расчет_аналитики'!AF775+SUM('19_Расчет_аналитики'!AG731:AG736)+'19_Расчет_аналитики'!AG626-'19_Расчет_аналитики'!AG753</f>
        <v/>
      </c>
      <c r="AH775">
        <f>'19_Расчет_аналитики'!AG775+SUM('19_Расчет_аналитики'!AH731:AH736)+'19_Расчет_аналитики'!AH626-'19_Расчет_аналитики'!AH753</f>
        <v/>
      </c>
      <c r="AI775">
        <f>'19_Расчет_аналитики'!AH775+SUM('19_Расчет_аналитики'!AI731:AI736)+'19_Расчет_аналитики'!AI626-'19_Расчет_аналитики'!AI753</f>
        <v/>
      </c>
      <c r="AJ775">
        <f>'19_Расчет_аналитики'!AI775+SUM('19_Расчет_аналитики'!AJ731:AJ736)+'19_Расчет_аналитики'!AJ626-'19_Расчет_аналитики'!AJ753</f>
        <v/>
      </c>
      <c r="AK775">
        <f>'19_Расчет_аналитики'!AJ775+SUM('19_Расчет_аналитики'!AK731:AK736)+'19_Расчет_аналитики'!AK626-'19_Расчет_аналитики'!AK753</f>
        <v/>
      </c>
      <c r="AL775">
        <f>'19_Расчет_аналитики'!AK775+SUM('19_Расчет_аналитики'!AL731:AL736)+'19_Расчет_аналитики'!AL626-'19_Расчет_аналитики'!AL753</f>
        <v/>
      </c>
      <c r="AM775">
        <f>'19_Расчет_аналитики'!AL775+SUM('19_Расчет_аналитики'!AM731:AM736)+'19_Расчет_аналитики'!AM626-'19_Расчет_аналитики'!AM753</f>
        <v/>
      </c>
      <c r="AN775">
        <f>'19_Расчет_аналитики'!AM775+SUM('19_Расчет_аналитики'!AN731:AN736)+'19_Расчет_аналитики'!AN626-'19_Расчет_аналитики'!AN753</f>
        <v/>
      </c>
      <c r="AO775">
        <f>'19_Расчет_аналитики'!AN775+SUM('19_Расчет_аналитики'!AO731:AO736)+'19_Расчет_аналитики'!AO626-'19_Расчет_аналитики'!AO753</f>
        <v/>
      </c>
      <c r="AP775">
        <f>'19_Расчет_аналитики'!AO775+SUM('19_Расчет_аналитики'!AP731:AP736)+'19_Расчет_аналитики'!AP626-'19_Расчет_аналитики'!AP753</f>
        <v/>
      </c>
      <c r="AQ775">
        <f>'19_Расчет_аналитики'!AP775+SUM('19_Расчет_аналитики'!AQ731:AQ736)+'19_Расчет_аналитики'!AQ626-'19_Расчет_аналитики'!AQ753</f>
        <v/>
      </c>
      <c r="AR775">
        <f>'19_Расчет_аналитики'!AQ775+SUM('19_Расчет_аналитики'!AR731:AR736)+'19_Расчет_аналитики'!AR626-'19_Расчет_аналитики'!AR753</f>
        <v/>
      </c>
      <c r="AS775">
        <f>'19_Расчет_аналитики'!AR775+SUM('19_Расчет_аналитики'!AS731:AS736)+'19_Расчет_аналитики'!AS626-'19_Расчет_аналитики'!AS753</f>
        <v/>
      </c>
      <c r="AT775">
        <f>'19_Расчет_аналитики'!AS775+SUM('19_Расчет_аналитики'!AT731:AT736)+'19_Расчет_аналитики'!AT626-'19_Расчет_аналитики'!AT753</f>
        <v/>
      </c>
      <c r="AU775">
        <f>'19_Расчет_аналитики'!AT775+SUM('19_Расчет_аналитики'!AU731:AU736)+'19_Расчет_аналитики'!AU626-'19_Расчет_аналитики'!AU753</f>
        <v/>
      </c>
      <c r="AV775">
        <f>'19_Расчет_аналитики'!AU775+SUM('19_Расчет_аналитики'!AV731:AV736)+'19_Расчет_аналитики'!AV626-'19_Расчет_аналитики'!AV753</f>
        <v/>
      </c>
      <c r="AW775">
        <f>'19_Расчет_аналитики'!AV775+SUM('19_Расчет_аналитики'!AW731:AW736)+'19_Расчет_аналитики'!AW626-'19_Расчет_аналитики'!AW753</f>
        <v/>
      </c>
      <c r="AX775">
        <f>'19_Расчет_аналитики'!AW775+SUM('19_Расчет_аналитики'!AX731:AX736)+'19_Расчет_аналитики'!AX626-'19_Расчет_аналитики'!AX753</f>
        <v/>
      </c>
      <c r="AY775">
        <f>'19_Расчет_аналитики'!AX775+SUM('19_Расчет_аналитики'!AY731:AY736)+'19_Расчет_аналитики'!AY626-'19_Расчет_аналитики'!AY753</f>
        <v/>
      </c>
      <c r="AZ775">
        <f>'19_Расчет_аналитики'!AY775+SUM('19_Расчет_аналитики'!AZ731:AZ736)+'19_Расчет_аналитики'!AZ626-'19_Расчет_аналитики'!AZ753</f>
        <v/>
      </c>
      <c r="BA775">
        <f>'19_Расчет_аналитики'!AZ775+SUM('19_Расчет_аналитики'!BA731:BA736)+'19_Расчет_аналитики'!BA626-'19_Расчет_аналитики'!BA753</f>
        <v/>
      </c>
      <c r="BB775">
        <f>'19_Расчет_аналитики'!BA775+SUM('19_Расчет_аналитики'!BB731:BB736)+'19_Расчет_аналитики'!BB626-'19_Расчет_аналитики'!BB753</f>
        <v/>
      </c>
      <c r="BC775">
        <f>'19_Расчет_аналитики'!BB775+SUM('19_Расчет_аналитики'!BC731:BC736)+'19_Расчет_аналитики'!BC626-'19_Расчет_аналитики'!BC753</f>
        <v/>
      </c>
      <c r="BD775">
        <f>'19_Расчет_аналитики'!BC775+SUM('19_Расчет_аналитики'!BD731:BD736)+'19_Расчет_аналитики'!BD626-'19_Расчет_аналитики'!BD753</f>
        <v/>
      </c>
      <c r="BE775">
        <f>'19_Расчет_аналитики'!BD775+SUM('19_Расчет_аналитики'!BE731:BE736)+'19_Расчет_аналитики'!BE626-'19_Расчет_аналитики'!BE753</f>
        <v/>
      </c>
      <c r="BF775">
        <f>'19_Расчет_аналитики'!BE775+SUM('19_Расчет_аналитики'!BF731:BF736)+'19_Расчет_аналитики'!BF626-'19_Расчет_аналитики'!BF753</f>
        <v/>
      </c>
      <c r="BG775">
        <f>'19_Расчет_аналитики'!BF775+SUM('19_Расчет_аналитики'!BG731:BG736)+'19_Расчет_аналитики'!BG626-'19_Расчет_аналитики'!BG753</f>
        <v/>
      </c>
      <c r="BH775">
        <f>'19_Расчет_аналитики'!BG775+SUM('19_Расчет_аналитики'!BH731:BH736)+'19_Расчет_аналитики'!BH626-'19_Расчет_аналитики'!BH753</f>
        <v/>
      </c>
      <c r="BI775">
        <f>'19_Расчет_аналитики'!BH775+SUM('19_Расчет_аналитики'!BI731:BI736)+'19_Расчет_аналитики'!BI626-'19_Расчет_аналитики'!BI753</f>
        <v/>
      </c>
    </row>
    <row r="776"/>
    <row r="777"/>
    <row r="778">
      <c r="B778">
        <f>'19_Расчет_аналитики'!B627-'07_Мерч'!B22</f>
        <v/>
      </c>
      <c r="C778">
        <f>'19_Расчет_аналитики'!C627-'19_Расчет_аналитики'!C623</f>
        <v/>
      </c>
      <c r="D778">
        <f>'19_Расчет_аналитики'!D627-'19_Расчет_аналитики'!D623</f>
        <v/>
      </c>
      <c r="E778">
        <f>'19_Расчет_аналитики'!E627-'19_Расчет_аналитики'!E623</f>
        <v/>
      </c>
      <c r="F778">
        <f>'19_Расчет_аналитики'!F627-'19_Расчет_аналитики'!F623</f>
        <v/>
      </c>
      <c r="G778">
        <f>'19_Расчет_аналитики'!G627-'19_Расчет_аналитики'!G623</f>
        <v/>
      </c>
      <c r="H778">
        <f>'19_Расчет_аналитики'!H627-'19_Расчет_аналитики'!H623</f>
        <v/>
      </c>
      <c r="I778">
        <f>'19_Расчет_аналитики'!I627-'19_Расчет_аналитики'!I623</f>
        <v/>
      </c>
      <c r="J778">
        <f>'19_Расчет_аналитики'!J627-'19_Расчет_аналитики'!J623</f>
        <v/>
      </c>
      <c r="K778">
        <f>'19_Расчет_аналитики'!K627-'19_Расчет_аналитики'!K623</f>
        <v/>
      </c>
      <c r="L778">
        <f>'19_Расчет_аналитики'!L627-'19_Расчет_аналитики'!L623</f>
        <v/>
      </c>
      <c r="M778">
        <f>'19_Расчет_аналитики'!M627-'19_Расчет_аналитики'!M623</f>
        <v/>
      </c>
      <c r="N778">
        <f>'19_Расчет_аналитики'!N627-'19_Расчет_аналитики'!N623</f>
        <v/>
      </c>
      <c r="O778">
        <f>'19_Расчет_аналитики'!O627-'19_Расчет_аналитики'!O623</f>
        <v/>
      </c>
      <c r="P778">
        <f>'19_Расчет_аналитики'!P627-'19_Расчет_аналитики'!P623</f>
        <v/>
      </c>
      <c r="Q778">
        <f>'19_Расчет_аналитики'!Q627-'19_Расчет_аналитики'!Q623</f>
        <v/>
      </c>
      <c r="R778">
        <f>'19_Расчет_аналитики'!R627-'19_Расчет_аналитики'!R623</f>
        <v/>
      </c>
      <c r="S778">
        <f>'19_Расчет_аналитики'!S627-'19_Расчет_аналитики'!S623</f>
        <v/>
      </c>
      <c r="T778">
        <f>'19_Расчет_аналитики'!T627-'19_Расчет_аналитики'!T623</f>
        <v/>
      </c>
      <c r="U778">
        <f>'19_Расчет_аналитики'!U627-'19_Расчет_аналитики'!U623</f>
        <v/>
      </c>
      <c r="V778">
        <f>'19_Расчет_аналитики'!V627-'19_Расчет_аналитики'!V623</f>
        <v/>
      </c>
      <c r="W778">
        <f>'19_Расчет_аналитики'!W627-'19_Расчет_аналитики'!W623</f>
        <v/>
      </c>
      <c r="X778">
        <f>'19_Расчет_аналитики'!X627-'19_Расчет_аналитики'!X623</f>
        <v/>
      </c>
      <c r="Y778">
        <f>'19_Расчет_аналитики'!Y627-'19_Расчет_аналитики'!Y623</f>
        <v/>
      </c>
      <c r="Z778">
        <f>'19_Расчет_аналитики'!Z627-'19_Расчет_аналитики'!Z623</f>
        <v/>
      </c>
      <c r="AA778">
        <f>'19_Расчет_аналитики'!AA627-'19_Расчет_аналитики'!AA623</f>
        <v/>
      </c>
      <c r="AB778">
        <f>'19_Расчет_аналитики'!AB627-'19_Расчет_аналитики'!AB623</f>
        <v/>
      </c>
      <c r="AC778">
        <f>'19_Расчет_аналитики'!AC627-'19_Расчет_аналитики'!AC623</f>
        <v/>
      </c>
      <c r="AD778">
        <f>'19_Расчет_аналитики'!AD627-'19_Расчет_аналитики'!AD623</f>
        <v/>
      </c>
      <c r="AE778">
        <f>'19_Расчет_аналитики'!AE627-'19_Расчет_аналитики'!AE623</f>
        <v/>
      </c>
      <c r="AF778">
        <f>'19_Расчет_аналитики'!AF627-'19_Расчет_аналитики'!AF623</f>
        <v/>
      </c>
      <c r="AG778">
        <f>'19_Расчет_аналитики'!AG627-'19_Расчет_аналитики'!AG623</f>
        <v/>
      </c>
      <c r="AH778">
        <f>'19_Расчет_аналитики'!AH627-'19_Расчет_аналитики'!AH623</f>
        <v/>
      </c>
      <c r="AI778">
        <f>'19_Расчет_аналитики'!AI627-'19_Расчет_аналитики'!AI623</f>
        <v/>
      </c>
      <c r="AJ778">
        <f>'19_Расчет_аналитики'!AJ627-'19_Расчет_аналитики'!AJ623</f>
        <v/>
      </c>
      <c r="AK778">
        <f>'19_Расчет_аналитики'!AK627-'19_Расчет_аналитики'!AK623</f>
        <v/>
      </c>
      <c r="AL778">
        <f>'19_Расчет_аналитики'!AL627-'19_Расчет_аналитики'!AL623</f>
        <v/>
      </c>
      <c r="AM778">
        <f>'19_Расчет_аналитики'!AM627-'19_Расчет_аналитики'!AM623</f>
        <v/>
      </c>
      <c r="AN778">
        <f>'19_Расчет_аналитики'!AN627-'19_Расчет_аналитики'!AN623</f>
        <v/>
      </c>
      <c r="AO778">
        <f>'19_Расчет_аналитики'!AO627-'19_Расчет_аналитики'!AO623</f>
        <v/>
      </c>
      <c r="AP778">
        <f>'19_Расчет_аналитики'!AP627-'19_Расчет_аналитики'!AP623</f>
        <v/>
      </c>
      <c r="AQ778">
        <f>'19_Расчет_аналитики'!AQ627-'19_Расчет_аналитики'!AQ623</f>
        <v/>
      </c>
      <c r="AR778">
        <f>'19_Расчет_аналитики'!AR627-'19_Расчет_аналитики'!AR623</f>
        <v/>
      </c>
      <c r="AS778">
        <f>'19_Расчет_аналитики'!AS627-'19_Расчет_аналитики'!AS623</f>
        <v/>
      </c>
      <c r="AT778">
        <f>'19_Расчет_аналитики'!AT627-'19_Расчет_аналитики'!AT623</f>
        <v/>
      </c>
      <c r="AU778">
        <f>'19_Расчет_аналитики'!AU627-'19_Расчет_аналитики'!AU623</f>
        <v/>
      </c>
      <c r="AV778">
        <f>'19_Расчет_аналитики'!AV627-'19_Расчет_аналитики'!AV623</f>
        <v/>
      </c>
      <c r="AW778">
        <f>'19_Расчет_аналитики'!AW627-'19_Расчет_аналитики'!AW623</f>
        <v/>
      </c>
      <c r="AX778">
        <f>'19_Расчет_аналитики'!AX627-'19_Расчет_аналитики'!AX623</f>
        <v/>
      </c>
      <c r="AY778">
        <f>'19_Расчет_аналитики'!AY627-'19_Расчет_аналитики'!AY623</f>
        <v/>
      </c>
      <c r="AZ778">
        <f>'19_Расчет_аналитики'!AZ627-'19_Расчет_аналитики'!AZ623</f>
        <v/>
      </c>
      <c r="BA778">
        <f>'19_Расчет_аналитики'!BA627-'19_Расчет_аналитики'!BA623</f>
        <v/>
      </c>
      <c r="BB778">
        <f>'19_Расчет_аналитики'!BB627-'19_Расчет_аналитики'!BB623</f>
        <v/>
      </c>
      <c r="BC778">
        <f>'19_Расчет_аналитики'!BC627-'19_Расчет_аналитики'!BC623</f>
        <v/>
      </c>
      <c r="BD778">
        <f>'19_Расчет_аналитики'!BD627-'19_Расчет_аналитики'!BD623</f>
        <v/>
      </c>
      <c r="BE778">
        <f>'19_Расчет_аналитики'!BE627-'19_Расчет_аналитики'!BE623</f>
        <v/>
      </c>
      <c r="BF778">
        <f>'19_Расчет_аналитики'!BF627-'19_Расчет_аналитики'!BF623</f>
        <v/>
      </c>
      <c r="BG778">
        <f>'19_Расчет_аналитики'!BG627-'19_Расчет_аналитики'!BG623</f>
        <v/>
      </c>
      <c r="BH778">
        <f>'19_Расчет_аналитики'!BH627-'19_Расчет_аналитики'!BH623</f>
        <v/>
      </c>
      <c r="BI778">
        <f>'19_Расчет_аналитики'!BI627-'19_Расчет_аналитики'!BI623</f>
        <v/>
      </c>
    </row>
    <row r="779">
      <c r="B779">
        <f>'19_Расчет_аналитики'!B738-'19_Расчет_аналитики'!B740-('19_Расчет_аналитики'!B774-0)+('19_Расчет_аналитики'!B775-0)+('02_Модель'!B82-0)-('02_Модель'!B83-0)-'19_Расчет_аналитики'!B778-'19_Расчет_аналитики'!B764+('19_Расчет_аналитики'!B782-0)-'19_Расчет_аналитики'!B751</f>
        <v/>
      </c>
      <c r="C779">
        <f>'19_Расчет_аналитики'!C738-'19_Расчет_аналитики'!C740-('19_Расчет_аналитики'!C774-'19_Расчет_аналитики'!B774)+('19_Расчет_аналитики'!C775-'19_Расчет_аналитики'!B775)+('02_Модель'!C82-'02_Модель'!B82)-('02_Модель'!C83-'02_Модель'!B83)-'19_Расчет_аналитики'!C778-'19_Расчет_аналитики'!C764+('19_Расчет_аналитики'!C782-'19_Расчет_аналитики'!B782)-'19_Расчет_аналитики'!C751</f>
        <v/>
      </c>
      <c r="D779">
        <f>'19_Расчет_аналитики'!D738-'19_Расчет_аналитики'!D740-('19_Расчет_аналитики'!D774-'19_Расчет_аналитики'!C774)+('19_Расчет_аналитики'!D775-'19_Расчет_аналитики'!C775)+('02_Модель'!D82-'02_Модель'!C82)-('02_Модель'!D83-'02_Модель'!C83)-'19_Расчет_аналитики'!D778-'19_Расчет_аналитики'!D764+('19_Расчет_аналитики'!D782-'19_Расчет_аналитики'!C782)-'19_Расчет_аналитики'!D751</f>
        <v/>
      </c>
      <c r="E779">
        <f>'19_Расчет_аналитики'!E738-'19_Расчет_аналитики'!E740-('19_Расчет_аналитики'!E774-'19_Расчет_аналитики'!D774)+('19_Расчет_аналитики'!E775-'19_Расчет_аналитики'!D775)+('02_Модель'!E82-'02_Модель'!D82)-('02_Модель'!E83-'02_Модель'!D83)-'19_Расчет_аналитики'!E778-'19_Расчет_аналитики'!E764+('19_Расчет_аналитики'!E782-'19_Расчет_аналитики'!D782)-'19_Расчет_аналитики'!E751</f>
        <v/>
      </c>
      <c r="F779">
        <f>'19_Расчет_аналитики'!F738-'19_Расчет_аналитики'!F740-('19_Расчет_аналитики'!F774-'19_Расчет_аналитики'!E774)+('19_Расчет_аналитики'!F775-'19_Расчет_аналитики'!E775)+('02_Модель'!F82-'02_Модель'!E82)-('02_Модель'!F83-'02_Модель'!E83)-'19_Расчет_аналитики'!F778-'19_Расчет_аналитики'!F764+('19_Расчет_аналитики'!F782-'19_Расчет_аналитики'!E782)-'19_Расчет_аналитики'!F751</f>
        <v/>
      </c>
      <c r="G779">
        <f>'19_Расчет_аналитики'!G738-'19_Расчет_аналитики'!G740-('19_Расчет_аналитики'!G774-'19_Расчет_аналитики'!F774)+('19_Расчет_аналитики'!G775-'19_Расчет_аналитики'!F775)+('02_Модель'!G82-'02_Модель'!F82)-('02_Модель'!G83-'02_Модель'!F83)-'19_Расчет_аналитики'!G778-'19_Расчет_аналитики'!G764+('19_Расчет_аналитики'!G782-'19_Расчет_аналитики'!F782)-'19_Расчет_аналитики'!G751</f>
        <v/>
      </c>
      <c r="H779">
        <f>'19_Расчет_аналитики'!H738-'19_Расчет_аналитики'!H740-('19_Расчет_аналитики'!H774-'19_Расчет_аналитики'!G774)+('19_Расчет_аналитики'!H775-'19_Расчет_аналитики'!G775)+('02_Модель'!H82-'02_Модель'!G82)-('02_Модель'!H83-'02_Модель'!G83)-'19_Расчет_аналитики'!H778-'19_Расчет_аналитики'!H764+('19_Расчет_аналитики'!H782-'19_Расчет_аналитики'!G782)-'19_Расчет_аналитики'!H751</f>
        <v/>
      </c>
      <c r="I779">
        <f>'19_Расчет_аналитики'!I738-'19_Расчет_аналитики'!I740-('19_Расчет_аналитики'!I774-'19_Расчет_аналитики'!H774)+('19_Расчет_аналитики'!I775-'19_Расчет_аналитики'!H775)+('02_Модель'!I82-'02_Модель'!H82)-('02_Модель'!I83-'02_Модель'!H83)-'19_Расчет_аналитики'!I778-'19_Расчет_аналитики'!I764+('19_Расчет_аналитики'!I782-'19_Расчет_аналитики'!H782)-'19_Расчет_аналитики'!I751</f>
        <v/>
      </c>
      <c r="J779">
        <f>'19_Расчет_аналитики'!J738-'19_Расчет_аналитики'!J740-('19_Расчет_аналитики'!J774-'19_Расчет_аналитики'!I774)+('19_Расчет_аналитики'!J775-'19_Расчет_аналитики'!I775)+('02_Модель'!J82-'02_Модель'!I82)-('02_Модель'!J83-'02_Модель'!I83)-'19_Расчет_аналитики'!J778-'19_Расчет_аналитики'!J764+('19_Расчет_аналитики'!J782-'19_Расчет_аналитики'!I782)-'19_Расчет_аналитики'!J751</f>
        <v/>
      </c>
      <c r="K779">
        <f>'19_Расчет_аналитики'!K738-'19_Расчет_аналитики'!K740-('19_Расчет_аналитики'!K774-'19_Расчет_аналитики'!J774)+('19_Расчет_аналитики'!K775-'19_Расчет_аналитики'!J775)+('02_Модель'!K82-'02_Модель'!J82)-('02_Модель'!K83-'02_Модель'!J83)-'19_Расчет_аналитики'!K778-'19_Расчет_аналитики'!K764+('19_Расчет_аналитики'!K782-'19_Расчет_аналитики'!J782)-'19_Расчет_аналитики'!K751</f>
        <v/>
      </c>
      <c r="L779">
        <f>'19_Расчет_аналитики'!L738-'19_Расчет_аналитики'!L740-('19_Расчет_аналитики'!L774-'19_Расчет_аналитики'!K774)+('19_Расчет_аналитики'!L775-'19_Расчет_аналитики'!K775)+('02_Модель'!L82-'02_Модель'!K82)-('02_Модель'!L83-'02_Модель'!K83)-'19_Расчет_аналитики'!L778-'19_Расчет_аналитики'!L764+('19_Расчет_аналитики'!L782-'19_Расчет_аналитики'!K782)-'19_Расчет_аналитики'!L751</f>
        <v/>
      </c>
      <c r="M779">
        <f>'19_Расчет_аналитики'!M738-'19_Расчет_аналитики'!M740-('19_Расчет_аналитики'!M774-'19_Расчет_аналитики'!L774)+('19_Расчет_аналитики'!M775-'19_Расчет_аналитики'!L775)+('02_Модель'!M82-'02_Модель'!L82)-('02_Модель'!M83-'02_Модель'!L83)-'19_Расчет_аналитики'!M778-'19_Расчет_аналитики'!M764+('19_Расчет_аналитики'!M782-'19_Расчет_аналитики'!L782)-'19_Расчет_аналитики'!M751</f>
        <v/>
      </c>
      <c r="N779">
        <f>'19_Расчет_аналитики'!N738-'19_Расчет_аналитики'!N740-('19_Расчет_аналитики'!N774-'19_Расчет_аналитики'!M774)+('19_Расчет_аналитики'!N775-'19_Расчет_аналитики'!M775)+('02_Модель'!N82-'02_Модель'!M82)-('02_Модель'!N83-'02_Модель'!M83)-'19_Расчет_аналитики'!N778-'19_Расчет_аналитики'!N764+('19_Расчет_аналитики'!N782-'19_Расчет_аналитики'!M782)-'19_Расчет_аналитики'!N751</f>
        <v/>
      </c>
      <c r="O779">
        <f>'19_Расчет_аналитики'!O738-'19_Расчет_аналитики'!O740-('19_Расчет_аналитики'!O774-'19_Расчет_аналитики'!N774)+('19_Расчет_аналитики'!O775-'19_Расчет_аналитики'!N775)+('02_Модель'!O82-'02_Модель'!N82)-('02_Модель'!O83-'02_Модель'!N83)-'19_Расчет_аналитики'!O778-'19_Расчет_аналитики'!O764+('19_Расчет_аналитики'!O782-'19_Расчет_аналитики'!N782)-'19_Расчет_аналитики'!O751</f>
        <v/>
      </c>
      <c r="P779">
        <f>'19_Расчет_аналитики'!P738-'19_Расчет_аналитики'!P740-('19_Расчет_аналитики'!P774-'19_Расчет_аналитики'!O774)+('19_Расчет_аналитики'!P775-'19_Расчет_аналитики'!O775)+('02_Модель'!P82-'02_Модель'!O82)-('02_Модель'!P83-'02_Модель'!O83)-'19_Расчет_аналитики'!P778-'19_Расчет_аналитики'!P764+('19_Расчет_аналитики'!P782-'19_Расчет_аналитики'!O782)-'19_Расчет_аналитики'!P751</f>
        <v/>
      </c>
      <c r="Q779">
        <f>'19_Расчет_аналитики'!Q738-'19_Расчет_аналитики'!Q740-('19_Расчет_аналитики'!Q774-'19_Расчет_аналитики'!P774)+('19_Расчет_аналитики'!Q775-'19_Расчет_аналитики'!P775)+('02_Модель'!Q82-'02_Модель'!P82)-('02_Модель'!Q83-'02_Модель'!P83)-'19_Расчет_аналитики'!Q778-'19_Расчет_аналитики'!Q764+('19_Расчет_аналитики'!Q782-'19_Расчет_аналитики'!P782)-'19_Расчет_аналитики'!Q751</f>
        <v/>
      </c>
      <c r="R779">
        <f>'19_Расчет_аналитики'!R738-'19_Расчет_аналитики'!R740-('19_Расчет_аналитики'!R774-'19_Расчет_аналитики'!Q774)+('19_Расчет_аналитики'!R775-'19_Расчет_аналитики'!Q775)+('02_Модель'!R82-'02_Модель'!Q82)-('02_Модель'!R83-'02_Модель'!Q83)-'19_Расчет_аналитики'!R778-'19_Расчет_аналитики'!R764+('19_Расчет_аналитики'!R782-'19_Расчет_аналитики'!Q782)-'19_Расчет_аналитики'!R751</f>
        <v/>
      </c>
      <c r="S779">
        <f>'19_Расчет_аналитики'!S738-'19_Расчет_аналитики'!S740-('19_Расчет_аналитики'!S774-'19_Расчет_аналитики'!R774)+('19_Расчет_аналитики'!S775-'19_Расчет_аналитики'!R775)+('02_Модель'!S82-'02_Модель'!R82)-('02_Модель'!S83-'02_Модель'!R83)-'19_Расчет_аналитики'!S778-'19_Расчет_аналитики'!S764+('19_Расчет_аналитики'!S782-'19_Расчет_аналитики'!R782)-'19_Расчет_аналитики'!S751</f>
        <v/>
      </c>
      <c r="T779">
        <f>'19_Расчет_аналитики'!T738-'19_Расчет_аналитики'!T740-('19_Расчет_аналитики'!T774-'19_Расчет_аналитики'!S774)+('19_Расчет_аналитики'!T775-'19_Расчет_аналитики'!S775)+('02_Модель'!T82-'02_Модель'!S82)-('02_Модель'!T83-'02_Модель'!S83)-'19_Расчет_аналитики'!T778-'19_Расчет_аналитики'!T764+('19_Расчет_аналитики'!T782-'19_Расчет_аналитики'!S782)-'19_Расчет_аналитики'!T751</f>
        <v/>
      </c>
      <c r="U779">
        <f>'19_Расчет_аналитики'!U738-'19_Расчет_аналитики'!U740-('19_Расчет_аналитики'!U774-'19_Расчет_аналитики'!T774)+('19_Расчет_аналитики'!U775-'19_Расчет_аналитики'!T775)+('02_Модель'!U82-'02_Модель'!T82)-('02_Модель'!U83-'02_Модель'!T83)-'19_Расчет_аналитики'!U778-'19_Расчет_аналитики'!U764+('19_Расчет_аналитики'!U782-'19_Расчет_аналитики'!T782)-'19_Расчет_аналитики'!U751</f>
        <v/>
      </c>
      <c r="V779">
        <f>'19_Расчет_аналитики'!V738-'19_Расчет_аналитики'!V740-('19_Расчет_аналитики'!V774-'19_Расчет_аналитики'!U774)+('19_Расчет_аналитики'!V775-'19_Расчет_аналитики'!U775)+('02_Модель'!V82-'02_Модель'!U82)-('02_Модель'!V83-'02_Модель'!U83)-'19_Расчет_аналитики'!V778-'19_Расчет_аналитики'!V764+('19_Расчет_аналитики'!V782-'19_Расчет_аналитики'!U782)-'19_Расчет_аналитики'!V751</f>
        <v/>
      </c>
      <c r="W779">
        <f>'19_Расчет_аналитики'!W738-'19_Расчет_аналитики'!W740-('19_Расчет_аналитики'!W774-'19_Расчет_аналитики'!V774)+('19_Расчет_аналитики'!W775-'19_Расчет_аналитики'!V775)+('02_Модель'!W82-'02_Модель'!V82)-('02_Модель'!W83-'02_Модель'!V83)-'19_Расчет_аналитики'!W778-'19_Расчет_аналитики'!W764+('19_Расчет_аналитики'!W782-'19_Расчет_аналитики'!V782)-'19_Расчет_аналитики'!W751</f>
        <v/>
      </c>
      <c r="X779">
        <f>'19_Расчет_аналитики'!X738-'19_Расчет_аналитики'!X740-('19_Расчет_аналитики'!X774-'19_Расчет_аналитики'!W774)+('19_Расчет_аналитики'!X775-'19_Расчет_аналитики'!W775)+('02_Модель'!X82-'02_Модель'!W82)-('02_Модель'!X83-'02_Модель'!W83)-'19_Расчет_аналитики'!X778-'19_Расчет_аналитики'!X764+('19_Расчет_аналитики'!X782-'19_Расчет_аналитики'!W782)-'19_Расчет_аналитики'!X751</f>
        <v/>
      </c>
      <c r="Y779">
        <f>'19_Расчет_аналитики'!Y738-'19_Расчет_аналитики'!Y740-('19_Расчет_аналитики'!Y774-'19_Расчет_аналитики'!X774)+('19_Расчет_аналитики'!Y775-'19_Расчет_аналитики'!X775)+('02_Модель'!Y82-'02_Модель'!X82)-('02_Модель'!Y83-'02_Модель'!X83)-'19_Расчет_аналитики'!Y778-'19_Расчет_аналитики'!Y764+('19_Расчет_аналитики'!Y782-'19_Расчет_аналитики'!X782)-'19_Расчет_аналитики'!Y751</f>
        <v/>
      </c>
      <c r="Z779">
        <f>'19_Расчет_аналитики'!Z738-'19_Расчет_аналитики'!Z740-('19_Расчет_аналитики'!Z774-'19_Расчет_аналитики'!Y774)+('19_Расчет_аналитики'!Z775-'19_Расчет_аналитики'!Y775)+('02_Модель'!Z82-'02_Модель'!Y82)-('02_Модель'!Z83-'02_Модель'!Y83)-'19_Расчет_аналитики'!Z778-'19_Расчет_аналитики'!Z764+('19_Расчет_аналитики'!Z782-'19_Расчет_аналитики'!Y782)-'19_Расчет_аналитики'!Z751</f>
        <v/>
      </c>
      <c r="AA779">
        <f>'19_Расчет_аналитики'!AA738-'19_Расчет_аналитики'!AA740-('19_Расчет_аналитики'!AA774-'19_Расчет_аналитики'!Z774)+('19_Расчет_аналитики'!AA775-'19_Расчет_аналитики'!Z775)+('02_Модель'!AA82-'02_Модель'!Z82)-('02_Модель'!AA83-'02_Модель'!Z83)-'19_Расчет_аналитики'!AA778-'19_Расчет_аналитики'!AA764+('19_Расчет_аналитики'!AA782-'19_Расчет_аналитики'!Z782)-'19_Расчет_аналитики'!AA751</f>
        <v/>
      </c>
      <c r="AB779">
        <f>'19_Расчет_аналитики'!AB738-'19_Расчет_аналитики'!AB740-('19_Расчет_аналитики'!AB774-'19_Расчет_аналитики'!AA774)+('19_Расчет_аналитики'!AB775-'19_Расчет_аналитики'!AA775)+('02_Модель'!AB82-'02_Модель'!AA82)-('02_Модель'!AB83-'02_Модель'!AA83)-'19_Расчет_аналитики'!AB778-'19_Расчет_аналитики'!AB764+('19_Расчет_аналитики'!AB782-'19_Расчет_аналитики'!AA782)-'19_Расчет_аналитики'!AB751</f>
        <v/>
      </c>
      <c r="AC779">
        <f>'19_Расчет_аналитики'!AC738-'19_Расчет_аналитики'!AC740-('19_Расчет_аналитики'!AC774-'19_Расчет_аналитики'!AB774)+('19_Расчет_аналитики'!AC775-'19_Расчет_аналитики'!AB775)+('02_Модель'!AC82-'02_Модель'!AB82)-('02_Модель'!AC83-'02_Модель'!AB83)-'19_Расчет_аналитики'!AC778-'19_Расчет_аналитики'!AC764+('19_Расчет_аналитики'!AC782-'19_Расчет_аналитики'!AB782)-'19_Расчет_аналитики'!AC751</f>
        <v/>
      </c>
      <c r="AD779">
        <f>'19_Расчет_аналитики'!AD738-'19_Расчет_аналитики'!AD740-('19_Расчет_аналитики'!AD774-'19_Расчет_аналитики'!AC774)+('19_Расчет_аналитики'!AD775-'19_Расчет_аналитики'!AC775)+('02_Модель'!AD82-'02_Модель'!AC82)-('02_Модель'!AD83-'02_Модель'!AC83)-'19_Расчет_аналитики'!AD778-'19_Расчет_аналитики'!AD764+('19_Расчет_аналитики'!AD782-'19_Расчет_аналитики'!AC782)-'19_Расчет_аналитики'!AD751</f>
        <v/>
      </c>
      <c r="AE779">
        <f>'19_Расчет_аналитики'!AE738-'19_Расчет_аналитики'!AE740-('19_Расчет_аналитики'!AE774-'19_Расчет_аналитики'!AD774)+('19_Расчет_аналитики'!AE775-'19_Расчет_аналитики'!AD775)+('02_Модель'!AE82-'02_Модель'!AD82)-('02_Модель'!AE83-'02_Модель'!AD83)-'19_Расчет_аналитики'!AE778-'19_Расчет_аналитики'!AE764+('19_Расчет_аналитики'!AE782-'19_Расчет_аналитики'!AD782)-'19_Расчет_аналитики'!AE751</f>
        <v/>
      </c>
      <c r="AF779">
        <f>'19_Расчет_аналитики'!AF738-'19_Расчет_аналитики'!AF740-('19_Расчет_аналитики'!AF774-'19_Расчет_аналитики'!AE774)+('19_Расчет_аналитики'!AF775-'19_Расчет_аналитики'!AE775)+('02_Модель'!AF82-'02_Модель'!AE82)-('02_Модель'!AF83-'02_Модель'!AE83)-'19_Расчет_аналитики'!AF778-'19_Расчет_аналитики'!AF764+('19_Расчет_аналитики'!AF782-'19_Расчет_аналитики'!AE782)-'19_Расчет_аналитики'!AF751</f>
        <v/>
      </c>
      <c r="AG779">
        <f>'19_Расчет_аналитики'!AG738-'19_Расчет_аналитики'!AG740-('19_Расчет_аналитики'!AG774-'19_Расчет_аналитики'!AF774)+('19_Расчет_аналитики'!AG775-'19_Расчет_аналитики'!AF775)+('02_Модель'!AG82-'02_Модель'!AF82)-('02_Модель'!AG83-'02_Модель'!AF83)-'19_Расчет_аналитики'!AG778-'19_Расчет_аналитики'!AG764+('19_Расчет_аналитики'!AG782-'19_Расчет_аналитики'!AF782)-'19_Расчет_аналитики'!AG751</f>
        <v/>
      </c>
      <c r="AH779">
        <f>'19_Расчет_аналитики'!AH738-'19_Расчет_аналитики'!AH740-('19_Расчет_аналитики'!AH774-'19_Расчет_аналитики'!AG774)+('19_Расчет_аналитики'!AH775-'19_Расчет_аналитики'!AG775)+('02_Модель'!AH82-'02_Модель'!AG82)-('02_Модель'!AH83-'02_Модель'!AG83)-'19_Расчет_аналитики'!AH778-'19_Расчет_аналитики'!AH764+('19_Расчет_аналитики'!AH782-'19_Расчет_аналитики'!AG782)-'19_Расчет_аналитики'!AH751</f>
        <v/>
      </c>
      <c r="AI779">
        <f>'19_Расчет_аналитики'!AI738-'19_Расчет_аналитики'!AI740-('19_Расчет_аналитики'!AI774-'19_Расчет_аналитики'!AH774)+('19_Расчет_аналитики'!AI775-'19_Расчет_аналитики'!AH775)+('02_Модель'!AI82-'02_Модель'!AH82)-('02_Модель'!AI83-'02_Модель'!AH83)-'19_Расчет_аналитики'!AI778-'19_Расчет_аналитики'!AI764+('19_Расчет_аналитики'!AI782-'19_Расчет_аналитики'!AH782)-'19_Расчет_аналитики'!AI751</f>
        <v/>
      </c>
      <c r="AJ779">
        <f>'19_Расчет_аналитики'!AJ738-'19_Расчет_аналитики'!AJ740-('19_Расчет_аналитики'!AJ774-'19_Расчет_аналитики'!AI774)+('19_Расчет_аналитики'!AJ775-'19_Расчет_аналитики'!AI775)+('02_Модель'!AJ82-'02_Модель'!AI82)-('02_Модель'!AJ83-'02_Модель'!AI83)-'19_Расчет_аналитики'!AJ778-'19_Расчет_аналитики'!AJ764+('19_Расчет_аналитики'!AJ782-'19_Расчет_аналитики'!AI782)-'19_Расчет_аналитики'!AJ751</f>
        <v/>
      </c>
      <c r="AK779">
        <f>'19_Расчет_аналитики'!AK738-'19_Расчет_аналитики'!AK740-('19_Расчет_аналитики'!AK774-'19_Расчет_аналитики'!AJ774)+('19_Расчет_аналитики'!AK775-'19_Расчет_аналитики'!AJ775)+('02_Модель'!AK82-'02_Модель'!AJ82)-('02_Модель'!AK83-'02_Модель'!AJ83)-'19_Расчет_аналитики'!AK778-'19_Расчет_аналитики'!AK764+('19_Расчет_аналитики'!AK782-'19_Расчет_аналитики'!AJ782)-'19_Расчет_аналитики'!AK751</f>
        <v/>
      </c>
      <c r="AL779">
        <f>'19_Расчет_аналитики'!AL738-'19_Расчет_аналитики'!AL740-('19_Расчет_аналитики'!AL774-'19_Расчет_аналитики'!AK774)+('19_Расчет_аналитики'!AL775-'19_Расчет_аналитики'!AK775)+('02_Модель'!AL82-'02_Модель'!AK82)-('02_Модель'!AL83-'02_Модель'!AK83)-'19_Расчет_аналитики'!AL778-'19_Расчет_аналитики'!AL764+('19_Расчет_аналитики'!AL782-'19_Расчет_аналитики'!AK782)-'19_Расчет_аналитики'!AL751</f>
        <v/>
      </c>
      <c r="AM779">
        <f>'19_Расчет_аналитики'!AM738-'19_Расчет_аналитики'!AM740-('19_Расчет_аналитики'!AM774-'19_Расчет_аналитики'!AL774)+('19_Расчет_аналитики'!AM775-'19_Расчет_аналитики'!AL775)+('02_Модель'!AM82-'02_Модель'!AL82)-('02_Модель'!AM83-'02_Модель'!AL83)-'19_Расчет_аналитики'!AM778-'19_Расчет_аналитики'!AM764+('19_Расчет_аналитики'!AM782-'19_Расчет_аналитики'!AL782)-'19_Расчет_аналитики'!AM751</f>
        <v/>
      </c>
      <c r="AN779">
        <f>'19_Расчет_аналитики'!AN738-'19_Расчет_аналитики'!AN740-('19_Расчет_аналитики'!AN774-'19_Расчет_аналитики'!AM774)+('19_Расчет_аналитики'!AN775-'19_Расчет_аналитики'!AM775)+('02_Модель'!AN82-'02_Модель'!AM82)-('02_Модель'!AN83-'02_Модель'!AM83)-'19_Расчет_аналитики'!AN778-'19_Расчет_аналитики'!AN764+('19_Расчет_аналитики'!AN782-'19_Расчет_аналитики'!AM782)-'19_Расчет_аналитики'!AN751</f>
        <v/>
      </c>
      <c r="AO779">
        <f>'19_Расчет_аналитики'!AO738-'19_Расчет_аналитики'!AO740-('19_Расчет_аналитики'!AO774-'19_Расчет_аналитики'!AN774)+('19_Расчет_аналитики'!AO775-'19_Расчет_аналитики'!AN775)+('02_Модель'!AO82-'02_Модель'!AN82)-('02_Модель'!AO83-'02_Модель'!AN83)-'19_Расчет_аналитики'!AO778-'19_Расчет_аналитики'!AO764+('19_Расчет_аналитики'!AO782-'19_Расчет_аналитики'!AN782)-'19_Расчет_аналитики'!AO751</f>
        <v/>
      </c>
      <c r="AP779">
        <f>'19_Расчет_аналитики'!AP738-'19_Расчет_аналитики'!AP740-('19_Расчет_аналитики'!AP774-'19_Расчет_аналитики'!AO774)+('19_Расчет_аналитики'!AP775-'19_Расчет_аналитики'!AO775)+('02_Модель'!AP82-'02_Модель'!AO82)-('02_Модель'!AP83-'02_Модель'!AO83)-'19_Расчет_аналитики'!AP778-'19_Расчет_аналитики'!AP764+('19_Расчет_аналитики'!AP782-'19_Расчет_аналитики'!AO782)-'19_Расчет_аналитики'!AP751</f>
        <v/>
      </c>
      <c r="AQ779">
        <f>'19_Расчет_аналитики'!AQ738-'19_Расчет_аналитики'!AQ740-('19_Расчет_аналитики'!AQ774-'19_Расчет_аналитики'!AP774)+('19_Расчет_аналитики'!AQ775-'19_Расчет_аналитики'!AP775)+('02_Модель'!AQ82-'02_Модель'!AP82)-('02_Модель'!AQ83-'02_Модель'!AP83)-'19_Расчет_аналитики'!AQ778-'19_Расчет_аналитики'!AQ764+('19_Расчет_аналитики'!AQ782-'19_Расчет_аналитики'!AP782)-'19_Расчет_аналитики'!AQ751</f>
        <v/>
      </c>
      <c r="AR779">
        <f>'19_Расчет_аналитики'!AR738-'19_Расчет_аналитики'!AR740-('19_Расчет_аналитики'!AR774-'19_Расчет_аналитики'!AQ774)+('19_Расчет_аналитики'!AR775-'19_Расчет_аналитики'!AQ775)+('02_Модель'!AR82-'02_Модель'!AQ82)-('02_Модель'!AR83-'02_Модель'!AQ83)-'19_Расчет_аналитики'!AR778-'19_Расчет_аналитики'!AR764+('19_Расчет_аналитики'!AR782-'19_Расчет_аналитики'!AQ782)-'19_Расчет_аналитики'!AR751</f>
        <v/>
      </c>
      <c r="AS779">
        <f>'19_Расчет_аналитики'!AS738-'19_Расчет_аналитики'!AS740-('19_Расчет_аналитики'!AS774-'19_Расчет_аналитики'!AR774)+('19_Расчет_аналитики'!AS775-'19_Расчет_аналитики'!AR775)+('02_Модель'!AS82-'02_Модель'!AR82)-('02_Модель'!AS83-'02_Модель'!AR83)-'19_Расчет_аналитики'!AS778-'19_Расчет_аналитики'!AS764+('19_Расчет_аналитики'!AS782-'19_Расчет_аналитики'!AR782)-'19_Расчет_аналитики'!AS751</f>
        <v/>
      </c>
      <c r="AT779">
        <f>'19_Расчет_аналитики'!AT738-'19_Расчет_аналитики'!AT740-('19_Расчет_аналитики'!AT774-'19_Расчет_аналитики'!AS774)+('19_Расчет_аналитики'!AT775-'19_Расчет_аналитики'!AS775)+('02_Модель'!AT82-'02_Модель'!AS82)-('02_Модель'!AT83-'02_Модель'!AS83)-'19_Расчет_аналитики'!AT778-'19_Расчет_аналитики'!AT764+('19_Расчет_аналитики'!AT782-'19_Расчет_аналитики'!AS782)-'19_Расчет_аналитики'!AT751</f>
        <v/>
      </c>
      <c r="AU779">
        <f>'19_Расчет_аналитики'!AU738-'19_Расчет_аналитики'!AU740-('19_Расчет_аналитики'!AU774-'19_Расчет_аналитики'!AT774)+('19_Расчет_аналитики'!AU775-'19_Расчет_аналитики'!AT775)+('02_Модель'!AU82-'02_Модель'!AT82)-('02_Модель'!AU83-'02_Модель'!AT83)-'19_Расчет_аналитики'!AU778-'19_Расчет_аналитики'!AU764+('19_Расчет_аналитики'!AU782-'19_Расчет_аналитики'!AT782)-'19_Расчет_аналитики'!AU751</f>
        <v/>
      </c>
      <c r="AV779">
        <f>'19_Расчет_аналитики'!AV738-'19_Расчет_аналитики'!AV740-('19_Расчет_аналитики'!AV774-'19_Расчет_аналитики'!AU774)+('19_Расчет_аналитики'!AV775-'19_Расчет_аналитики'!AU775)+('02_Модель'!AV82-'02_Модель'!AU82)-('02_Модель'!AV83-'02_Модель'!AU83)-'19_Расчет_аналитики'!AV778-'19_Расчет_аналитики'!AV764+('19_Расчет_аналитики'!AV782-'19_Расчет_аналитики'!AU782)-'19_Расчет_аналитики'!AV751</f>
        <v/>
      </c>
      <c r="AW779">
        <f>'19_Расчет_аналитики'!AW738-'19_Расчет_аналитики'!AW740-('19_Расчет_аналитики'!AW774-'19_Расчет_аналитики'!AV774)+('19_Расчет_аналитики'!AW775-'19_Расчет_аналитики'!AV775)+('02_Модель'!AW82-'02_Модель'!AV82)-('02_Модель'!AW83-'02_Модель'!AV83)-'19_Расчет_аналитики'!AW778-'19_Расчет_аналитики'!AW764+('19_Расчет_аналитики'!AW782-'19_Расчет_аналитики'!AV782)-'19_Расчет_аналитики'!AW751</f>
        <v/>
      </c>
      <c r="AX779">
        <f>'19_Расчет_аналитики'!AX738-'19_Расчет_аналитики'!AX740-('19_Расчет_аналитики'!AX774-'19_Расчет_аналитики'!AW774)+('19_Расчет_аналитики'!AX775-'19_Расчет_аналитики'!AW775)+('02_Модель'!AX82-'02_Модель'!AW82)-('02_Модель'!AX83-'02_Модель'!AW83)-'19_Расчет_аналитики'!AX778-'19_Расчет_аналитики'!AX764+('19_Расчет_аналитики'!AX782-'19_Расчет_аналитики'!AW782)-'19_Расчет_аналитики'!AX751</f>
        <v/>
      </c>
      <c r="AY779">
        <f>'19_Расчет_аналитики'!AY738-'19_Расчет_аналитики'!AY740-('19_Расчет_аналитики'!AY774-'19_Расчет_аналитики'!AX774)+('19_Расчет_аналитики'!AY775-'19_Расчет_аналитики'!AX775)+('02_Модель'!AY82-'02_Модель'!AX82)-('02_Модель'!AY83-'02_Модель'!AX83)-'19_Расчет_аналитики'!AY778-'19_Расчет_аналитики'!AY764+('19_Расчет_аналитики'!AY782-'19_Расчет_аналитики'!AX782)-'19_Расчет_аналитики'!AY751</f>
        <v/>
      </c>
      <c r="AZ779">
        <f>'19_Расчет_аналитики'!AZ738-'19_Расчет_аналитики'!AZ740-('19_Расчет_аналитики'!AZ774-'19_Расчет_аналитики'!AY774)+('19_Расчет_аналитики'!AZ775-'19_Расчет_аналитики'!AY775)+('02_Модель'!AZ82-'02_Модель'!AY82)-('02_Модель'!AZ83-'02_Модель'!AY83)-'19_Расчет_аналитики'!AZ778-'19_Расчет_аналитики'!AZ764+('19_Расчет_аналитики'!AZ782-'19_Расчет_аналитики'!AY782)-'19_Расчет_аналитики'!AZ751</f>
        <v/>
      </c>
      <c r="BA779">
        <f>'19_Расчет_аналитики'!BA738-'19_Расчет_аналитики'!BA740-('19_Расчет_аналитики'!BA774-'19_Расчет_аналитики'!AZ774)+('19_Расчет_аналитики'!BA775-'19_Расчет_аналитики'!AZ775)+('02_Модель'!BA82-'02_Модель'!AZ82)-('02_Модель'!BA83-'02_Модель'!AZ83)-'19_Расчет_аналитики'!BA778-'19_Расчет_аналитики'!BA764+('19_Расчет_аналитики'!BA782-'19_Расчет_аналитики'!AZ782)-'19_Расчет_аналитики'!BA751</f>
        <v/>
      </c>
      <c r="BB779">
        <f>'19_Расчет_аналитики'!BB738-'19_Расчет_аналитики'!BB740-('19_Расчет_аналитики'!BB774-'19_Расчет_аналитики'!BA774)+('19_Расчет_аналитики'!BB775-'19_Расчет_аналитики'!BA775)+('02_Модель'!BB82-'02_Модель'!BA82)-('02_Модель'!BB83-'02_Модель'!BA83)-'19_Расчет_аналитики'!BB778-'19_Расчет_аналитики'!BB764+('19_Расчет_аналитики'!BB782-'19_Расчет_аналитики'!BA782)-'19_Расчет_аналитики'!BB751</f>
        <v/>
      </c>
      <c r="BC779">
        <f>'19_Расчет_аналитики'!BC738-'19_Расчет_аналитики'!BC740-('19_Расчет_аналитики'!BC774-'19_Расчет_аналитики'!BB774)+('19_Расчет_аналитики'!BC775-'19_Расчет_аналитики'!BB775)+('02_Модель'!BC82-'02_Модель'!BB82)-('02_Модель'!BC83-'02_Модель'!BB83)-'19_Расчет_аналитики'!BC778-'19_Расчет_аналитики'!BC764+('19_Расчет_аналитики'!BC782-'19_Расчет_аналитики'!BB782)-'19_Расчет_аналитики'!BC751</f>
        <v/>
      </c>
      <c r="BD779">
        <f>'19_Расчет_аналитики'!BD738-'19_Расчет_аналитики'!BD740-('19_Расчет_аналитики'!BD774-'19_Расчет_аналитики'!BC774)+('19_Расчет_аналитики'!BD775-'19_Расчет_аналитики'!BC775)+('02_Модель'!BD82-'02_Модель'!BC82)-('02_Модель'!BD83-'02_Модель'!BC83)-'19_Расчет_аналитики'!BD778-'19_Расчет_аналитики'!BD764+('19_Расчет_аналитики'!BD782-'19_Расчет_аналитики'!BC782)-'19_Расчет_аналитики'!BD751</f>
        <v/>
      </c>
      <c r="BE779">
        <f>'19_Расчет_аналитики'!BE738-'19_Расчет_аналитики'!BE740-('19_Расчет_аналитики'!BE774-'19_Расчет_аналитики'!BD774)+('19_Расчет_аналитики'!BE775-'19_Расчет_аналитики'!BD775)+('02_Модель'!BE82-'02_Модель'!BD82)-('02_Модель'!BE83-'02_Модель'!BD83)-'19_Расчет_аналитики'!BE778-'19_Расчет_аналитики'!BE764+('19_Расчет_аналитики'!BE782-'19_Расчет_аналитики'!BD782)-'19_Расчет_аналитики'!BE751</f>
        <v/>
      </c>
      <c r="BF779">
        <f>'19_Расчет_аналитики'!BF738-'19_Расчет_аналитики'!BF740-('19_Расчет_аналитики'!BF774-'19_Расчет_аналитики'!BE774)+('19_Расчет_аналитики'!BF775-'19_Расчет_аналитики'!BE775)+('02_Модель'!BF82-'02_Модель'!BE82)-('02_Модель'!BF83-'02_Модель'!BE83)-'19_Расчет_аналитики'!BF778-'19_Расчет_аналитики'!BF764+('19_Расчет_аналитики'!BF782-'19_Расчет_аналитики'!BE782)-'19_Расчет_аналитики'!BF751</f>
        <v/>
      </c>
      <c r="BG779">
        <f>'19_Расчет_аналитики'!BG738-'19_Расчет_аналитики'!BG740-('19_Расчет_аналитики'!BG774-'19_Расчет_аналитики'!BF774)+('19_Расчет_аналитики'!BG775-'19_Расчет_аналитики'!BF775)+('02_Модель'!BG82-'02_Модель'!BF82)-('02_Модель'!BG83-'02_Модель'!BF83)-'19_Расчет_аналитики'!BG778-'19_Расчет_аналитики'!BG764+('19_Расчет_аналитики'!BG782-'19_Расчет_аналитики'!BF782)-'19_Расчет_аналитики'!BG751</f>
        <v/>
      </c>
      <c r="BH779">
        <f>'19_Расчет_аналитики'!BH738-'19_Расчет_аналитики'!BH740-('19_Расчет_аналитики'!BH774-'19_Расчет_аналитики'!BG774)+('19_Расчет_аналитики'!BH775-'19_Расчет_аналитики'!BG775)+('02_Модель'!BH82-'02_Модель'!BG82)-('02_Модель'!BH83-'02_Модель'!BG83)-'19_Расчет_аналитики'!BH778-'19_Расчет_аналитики'!BH764+('19_Расчет_аналитики'!BH782-'19_Расчет_аналитики'!BG782)-'19_Расчет_аналитики'!BH751</f>
        <v/>
      </c>
      <c r="BI779">
        <f>'19_Расчет_аналитики'!BI738-'19_Расчет_аналитики'!BI740-('19_Расчет_аналитики'!BI774-'19_Расчет_аналитики'!BH774)+('19_Расчет_аналитики'!BI775-'19_Расчет_аналитики'!BH775)+('02_Модель'!BI82-'02_Модель'!BH82)-('02_Модель'!BI83-'02_Модель'!BH83)-'19_Расчет_аналитики'!BI778-'19_Расчет_аналитики'!BI764+('19_Расчет_аналитики'!BI782-'19_Расчет_аналитики'!BH782)-'19_Расчет_аналитики'!BI751</f>
        <v/>
      </c>
    </row>
    <row r="780">
      <c r="B780">
        <f>'19_Расчет_аналитики'!B779-'19_Расчет_аналитики'!B765</f>
        <v/>
      </c>
      <c r="C780">
        <f>'19_Расчет_аналитики'!C779-'19_Расчет_аналитики'!C765</f>
        <v/>
      </c>
      <c r="D780">
        <f>'19_Расчет_аналитики'!D779-'19_Расчет_аналитики'!D765</f>
        <v/>
      </c>
      <c r="E780">
        <f>'19_Расчет_аналитики'!E779-'19_Расчет_аналитики'!E765</f>
        <v/>
      </c>
      <c r="F780">
        <f>'19_Расчет_аналитики'!F779-'19_Расчет_аналитики'!F765</f>
        <v/>
      </c>
      <c r="G780">
        <f>'19_Расчет_аналитики'!G779-'19_Расчет_аналитики'!G765</f>
        <v/>
      </c>
      <c r="H780">
        <f>'19_Расчет_аналитики'!H779-'19_Расчет_аналитики'!H765</f>
        <v/>
      </c>
      <c r="I780">
        <f>'19_Расчет_аналитики'!I779-'19_Расчет_аналитики'!I765</f>
        <v/>
      </c>
      <c r="J780">
        <f>'19_Расчет_аналитики'!J779-'19_Расчет_аналитики'!J765</f>
        <v/>
      </c>
      <c r="K780">
        <f>'19_Расчет_аналитики'!K779-'19_Расчет_аналитики'!K765</f>
        <v/>
      </c>
      <c r="L780">
        <f>'19_Расчет_аналитики'!L779-'19_Расчет_аналитики'!L765</f>
        <v/>
      </c>
      <c r="M780">
        <f>'19_Расчет_аналитики'!M779-'19_Расчет_аналитики'!M765</f>
        <v/>
      </c>
      <c r="N780">
        <f>'19_Расчет_аналитики'!N779-'19_Расчет_аналитики'!N765</f>
        <v/>
      </c>
      <c r="O780">
        <f>'19_Расчет_аналитики'!O779-'19_Расчет_аналитики'!O765</f>
        <v/>
      </c>
      <c r="P780">
        <f>'19_Расчет_аналитики'!P779-'19_Расчет_аналитики'!P765</f>
        <v/>
      </c>
      <c r="Q780">
        <f>'19_Расчет_аналитики'!Q779-'19_Расчет_аналитики'!Q765</f>
        <v/>
      </c>
      <c r="R780">
        <f>'19_Расчет_аналитики'!R779-'19_Расчет_аналитики'!R765</f>
        <v/>
      </c>
      <c r="S780">
        <f>'19_Расчет_аналитики'!S779-'19_Расчет_аналитики'!S765</f>
        <v/>
      </c>
      <c r="T780">
        <f>'19_Расчет_аналитики'!T779-'19_Расчет_аналитики'!T765</f>
        <v/>
      </c>
      <c r="U780">
        <f>'19_Расчет_аналитики'!U779-'19_Расчет_аналитики'!U765</f>
        <v/>
      </c>
      <c r="V780">
        <f>'19_Расчет_аналитики'!V779-'19_Расчет_аналитики'!V765</f>
        <v/>
      </c>
      <c r="W780">
        <f>'19_Расчет_аналитики'!W779-'19_Расчет_аналитики'!W765</f>
        <v/>
      </c>
      <c r="X780">
        <f>'19_Расчет_аналитики'!X779-'19_Расчет_аналитики'!X765</f>
        <v/>
      </c>
      <c r="Y780">
        <f>'19_Расчет_аналитики'!Y779-'19_Расчет_аналитики'!Y765</f>
        <v/>
      </c>
      <c r="Z780">
        <f>'19_Расчет_аналитики'!Z779-'19_Расчет_аналитики'!Z765</f>
        <v/>
      </c>
      <c r="AA780">
        <f>'19_Расчет_аналитики'!AA779-'19_Расчет_аналитики'!AA765</f>
        <v/>
      </c>
      <c r="AB780">
        <f>'19_Расчет_аналитики'!AB779-'19_Расчет_аналитики'!AB765</f>
        <v/>
      </c>
      <c r="AC780">
        <f>'19_Расчет_аналитики'!AC779-'19_Расчет_аналитики'!AC765</f>
        <v/>
      </c>
      <c r="AD780">
        <f>'19_Расчет_аналитики'!AD779-'19_Расчет_аналитики'!AD765</f>
        <v/>
      </c>
      <c r="AE780">
        <f>'19_Расчет_аналитики'!AE779-'19_Расчет_аналитики'!AE765</f>
        <v/>
      </c>
      <c r="AF780">
        <f>'19_Расчет_аналитики'!AF779-'19_Расчет_аналитики'!AF765</f>
        <v/>
      </c>
      <c r="AG780">
        <f>'19_Расчет_аналитики'!AG779-'19_Расчет_аналитики'!AG765</f>
        <v/>
      </c>
      <c r="AH780">
        <f>'19_Расчет_аналитики'!AH779-'19_Расчет_аналитики'!AH765</f>
        <v/>
      </c>
      <c r="AI780">
        <f>'19_Расчет_аналитики'!AI779-'19_Расчет_аналитики'!AI765</f>
        <v/>
      </c>
      <c r="AJ780">
        <f>'19_Расчет_аналитики'!AJ779-'19_Расчет_аналитики'!AJ765</f>
        <v/>
      </c>
      <c r="AK780">
        <f>'19_Расчет_аналитики'!AK779-'19_Расчет_аналитики'!AK765</f>
        <v/>
      </c>
      <c r="AL780">
        <f>'19_Расчет_аналитики'!AL779-'19_Расчет_аналитики'!AL765</f>
        <v/>
      </c>
      <c r="AM780">
        <f>'19_Расчет_аналитики'!AM779-'19_Расчет_аналитики'!AM765</f>
        <v/>
      </c>
      <c r="AN780">
        <f>'19_Расчет_аналитики'!AN779-'19_Расчет_аналитики'!AN765</f>
        <v/>
      </c>
      <c r="AO780">
        <f>'19_Расчет_аналитики'!AO779-'19_Расчет_аналитики'!AO765</f>
        <v/>
      </c>
      <c r="AP780">
        <f>'19_Расчет_аналитики'!AP779-'19_Расчет_аналитики'!AP765</f>
        <v/>
      </c>
      <c r="AQ780">
        <f>'19_Расчет_аналитики'!AQ779-'19_Расчет_аналитики'!AQ765</f>
        <v/>
      </c>
      <c r="AR780">
        <f>'19_Расчет_аналитики'!AR779-'19_Расчет_аналитики'!AR765</f>
        <v/>
      </c>
      <c r="AS780">
        <f>'19_Расчет_аналитики'!AS779-'19_Расчет_аналитики'!AS765</f>
        <v/>
      </c>
      <c r="AT780">
        <f>'19_Расчет_аналитики'!AT779-'19_Расчет_аналитики'!AT765</f>
        <v/>
      </c>
      <c r="AU780">
        <f>'19_Расчет_аналитики'!AU779-'19_Расчет_аналитики'!AU765</f>
        <v/>
      </c>
      <c r="AV780">
        <f>'19_Расчет_аналитики'!AV779-'19_Расчет_аналитики'!AV765</f>
        <v/>
      </c>
      <c r="AW780">
        <f>'19_Расчет_аналитики'!AW779-'19_Расчет_аналитики'!AW765</f>
        <v/>
      </c>
      <c r="AX780">
        <f>'19_Расчет_аналитики'!AX779-'19_Расчет_аналитики'!AX765</f>
        <v/>
      </c>
      <c r="AY780">
        <f>'19_Расчет_аналитики'!AY779-'19_Расчет_аналитики'!AY765</f>
        <v/>
      </c>
      <c r="AZ780">
        <f>'19_Расчет_аналитики'!AZ779-'19_Расчет_аналитики'!AZ765</f>
        <v/>
      </c>
      <c r="BA780">
        <f>'19_Расчет_аналитики'!BA779-'19_Расчет_аналитики'!BA765</f>
        <v/>
      </c>
      <c r="BB780">
        <f>'19_Расчет_аналитики'!BB779-'19_Расчет_аналитики'!BB765</f>
        <v/>
      </c>
      <c r="BC780">
        <f>'19_Расчет_аналитики'!BC779-'19_Расчет_аналитики'!BC765</f>
        <v/>
      </c>
      <c r="BD780">
        <f>'19_Расчет_аналитики'!BD779-'19_Расчет_аналитики'!BD765</f>
        <v/>
      </c>
      <c r="BE780">
        <f>'19_Расчет_аналитики'!BE779-'19_Расчет_аналитики'!BE765</f>
        <v/>
      </c>
      <c r="BF780">
        <f>'19_Расчет_аналитики'!BF779-'19_Расчет_аналитики'!BF765</f>
        <v/>
      </c>
      <c r="BG780">
        <f>'19_Расчет_аналитики'!BG779-'19_Расчет_аналитики'!BG765</f>
        <v/>
      </c>
      <c r="BH780">
        <f>'19_Расчет_аналитики'!BH779-'19_Расчет_аналитики'!BH765</f>
        <v/>
      </c>
      <c r="BI780">
        <f>'19_Расчет_аналитики'!BI779-'19_Расчет_аналитики'!BI765</f>
        <v/>
      </c>
    </row>
    <row r="781">
      <c r="B781">
        <f>'07_Мерч'!B22+'19_Расчет_аналитики'!B626-'19_Расчет_аналитики'!B624-'19_Расчет_аналитики'!B627</f>
        <v/>
      </c>
      <c r="C781">
        <f>'19_Расчет_аналитики'!C623+'19_Расчет_аналитики'!C626-'19_Расчет_аналитики'!C624-'19_Расчет_аналитики'!C627</f>
        <v/>
      </c>
      <c r="D781">
        <f>'19_Расчет_аналитики'!D623+'19_Расчет_аналитики'!D626-'19_Расчет_аналитики'!D624-'19_Расчет_аналитики'!D627</f>
        <v/>
      </c>
      <c r="E781">
        <f>'19_Расчет_аналитики'!E623+'19_Расчет_аналитики'!E626-'19_Расчет_аналитики'!E624-'19_Расчет_аналитики'!E627</f>
        <v/>
      </c>
      <c r="F781">
        <f>'19_Расчет_аналитики'!F623+'19_Расчет_аналитики'!F626-'19_Расчет_аналитики'!F624-'19_Расчет_аналитики'!F627</f>
        <v/>
      </c>
      <c r="G781">
        <f>'19_Расчет_аналитики'!G623+'19_Расчет_аналитики'!G626-'19_Расчет_аналитики'!G624-'19_Расчет_аналитики'!G627</f>
        <v/>
      </c>
      <c r="H781">
        <f>'19_Расчет_аналитики'!H623+'19_Расчет_аналитики'!H626-'19_Расчет_аналитики'!H624-'19_Расчет_аналитики'!H627</f>
        <v/>
      </c>
      <c r="I781">
        <f>'19_Расчет_аналитики'!I623+'19_Расчет_аналитики'!I626-'19_Расчет_аналитики'!I624-'19_Расчет_аналитики'!I627</f>
        <v/>
      </c>
      <c r="J781">
        <f>'19_Расчет_аналитики'!J623+'19_Расчет_аналитики'!J626-'19_Расчет_аналитики'!J624-'19_Расчет_аналитики'!J627</f>
        <v/>
      </c>
      <c r="K781">
        <f>'19_Расчет_аналитики'!K623+'19_Расчет_аналитики'!K626-'19_Расчет_аналитики'!K624-'19_Расчет_аналитики'!K627</f>
        <v/>
      </c>
      <c r="L781">
        <f>'19_Расчет_аналитики'!L623+'19_Расчет_аналитики'!L626-'19_Расчет_аналитики'!L624-'19_Расчет_аналитики'!L627</f>
        <v/>
      </c>
      <c r="M781">
        <f>'19_Расчет_аналитики'!M623+'19_Расчет_аналитики'!M626-'19_Расчет_аналитики'!M624-'19_Расчет_аналитики'!M627</f>
        <v/>
      </c>
      <c r="N781">
        <f>'19_Расчет_аналитики'!N623+'19_Расчет_аналитики'!N626-'19_Расчет_аналитики'!N624-'19_Расчет_аналитики'!N627</f>
        <v/>
      </c>
      <c r="O781">
        <f>'19_Расчет_аналитики'!O623+'19_Расчет_аналитики'!O626-'19_Расчет_аналитики'!O624-'19_Расчет_аналитики'!O627</f>
        <v/>
      </c>
      <c r="P781">
        <f>'19_Расчет_аналитики'!P623+'19_Расчет_аналитики'!P626-'19_Расчет_аналитики'!P624-'19_Расчет_аналитики'!P627</f>
        <v/>
      </c>
      <c r="Q781">
        <f>'19_Расчет_аналитики'!Q623+'19_Расчет_аналитики'!Q626-'19_Расчет_аналитики'!Q624-'19_Расчет_аналитики'!Q627</f>
        <v/>
      </c>
      <c r="R781">
        <f>'19_Расчет_аналитики'!R623+'19_Расчет_аналитики'!R626-'19_Расчет_аналитики'!R624-'19_Расчет_аналитики'!R627</f>
        <v/>
      </c>
      <c r="S781">
        <f>'19_Расчет_аналитики'!S623+'19_Расчет_аналитики'!S626-'19_Расчет_аналитики'!S624-'19_Расчет_аналитики'!S627</f>
        <v/>
      </c>
      <c r="T781">
        <f>'19_Расчет_аналитики'!T623+'19_Расчет_аналитики'!T626-'19_Расчет_аналитики'!T624-'19_Расчет_аналитики'!T627</f>
        <v/>
      </c>
      <c r="U781">
        <f>'19_Расчет_аналитики'!U623+'19_Расчет_аналитики'!U626-'19_Расчет_аналитики'!U624-'19_Расчет_аналитики'!U627</f>
        <v/>
      </c>
      <c r="V781">
        <f>'19_Расчет_аналитики'!V623+'19_Расчет_аналитики'!V626-'19_Расчет_аналитики'!V624-'19_Расчет_аналитики'!V627</f>
        <v/>
      </c>
      <c r="W781">
        <f>'19_Расчет_аналитики'!W623+'19_Расчет_аналитики'!W626-'19_Расчет_аналитики'!W624-'19_Расчет_аналитики'!W627</f>
        <v/>
      </c>
      <c r="X781">
        <f>'19_Расчет_аналитики'!X623+'19_Расчет_аналитики'!X626-'19_Расчет_аналитики'!X624-'19_Расчет_аналитики'!X627</f>
        <v/>
      </c>
      <c r="Y781">
        <f>'19_Расчет_аналитики'!Y623+'19_Расчет_аналитики'!Y626-'19_Расчет_аналитики'!Y624-'19_Расчет_аналитики'!Y627</f>
        <v/>
      </c>
      <c r="Z781">
        <f>'19_Расчет_аналитики'!Z623+'19_Расчет_аналитики'!Z626-'19_Расчет_аналитики'!Z624-'19_Расчет_аналитики'!Z627</f>
        <v/>
      </c>
      <c r="AA781">
        <f>'19_Расчет_аналитики'!AA623+'19_Расчет_аналитики'!AA626-'19_Расчет_аналитики'!AA624-'19_Расчет_аналитики'!AA627</f>
        <v/>
      </c>
      <c r="AB781">
        <f>'19_Расчет_аналитики'!AB623+'19_Расчет_аналитики'!AB626-'19_Расчет_аналитики'!AB624-'19_Расчет_аналитики'!AB627</f>
        <v/>
      </c>
      <c r="AC781">
        <f>'19_Расчет_аналитики'!AC623+'19_Расчет_аналитики'!AC626-'19_Расчет_аналитики'!AC624-'19_Расчет_аналитики'!AC627</f>
        <v/>
      </c>
      <c r="AD781">
        <f>'19_Расчет_аналитики'!AD623+'19_Расчет_аналитики'!AD626-'19_Расчет_аналитики'!AD624-'19_Расчет_аналитики'!AD627</f>
        <v/>
      </c>
      <c r="AE781">
        <f>'19_Расчет_аналитики'!AE623+'19_Расчет_аналитики'!AE626-'19_Расчет_аналитики'!AE624-'19_Расчет_аналитики'!AE627</f>
        <v/>
      </c>
      <c r="AF781">
        <f>'19_Расчет_аналитики'!AF623+'19_Расчет_аналитики'!AF626-'19_Расчет_аналитики'!AF624-'19_Расчет_аналитики'!AF627</f>
        <v/>
      </c>
      <c r="AG781">
        <f>'19_Расчет_аналитики'!AG623+'19_Расчет_аналитики'!AG626-'19_Расчет_аналитики'!AG624-'19_Расчет_аналитики'!AG627</f>
        <v/>
      </c>
      <c r="AH781">
        <f>'19_Расчет_аналитики'!AH623+'19_Расчет_аналитики'!AH626-'19_Расчет_аналитики'!AH624-'19_Расчет_аналитики'!AH627</f>
        <v/>
      </c>
      <c r="AI781">
        <f>'19_Расчет_аналитики'!AI623+'19_Расчет_аналитики'!AI626-'19_Расчет_аналитики'!AI624-'19_Расчет_аналитики'!AI627</f>
        <v/>
      </c>
      <c r="AJ781">
        <f>'19_Расчет_аналитики'!AJ623+'19_Расчет_аналитики'!AJ626-'19_Расчет_аналитики'!AJ624-'19_Расчет_аналитики'!AJ627</f>
        <v/>
      </c>
      <c r="AK781">
        <f>'19_Расчет_аналитики'!AK623+'19_Расчет_аналитики'!AK626-'19_Расчет_аналитики'!AK624-'19_Расчет_аналитики'!AK627</f>
        <v/>
      </c>
      <c r="AL781">
        <f>'19_Расчет_аналитики'!AL623+'19_Расчет_аналитики'!AL626-'19_Расчет_аналитики'!AL624-'19_Расчет_аналитики'!AL627</f>
        <v/>
      </c>
      <c r="AM781">
        <f>'19_Расчет_аналитики'!AM623+'19_Расчет_аналитики'!AM626-'19_Расчет_аналитики'!AM624-'19_Расчет_аналитики'!AM627</f>
        <v/>
      </c>
      <c r="AN781">
        <f>'19_Расчет_аналитики'!AN623+'19_Расчет_аналитики'!AN626-'19_Расчет_аналитики'!AN624-'19_Расчет_аналитики'!AN627</f>
        <v/>
      </c>
      <c r="AO781">
        <f>'19_Расчет_аналитики'!AO623+'19_Расчет_аналитики'!AO626-'19_Расчет_аналитики'!AO624-'19_Расчет_аналитики'!AO627</f>
        <v/>
      </c>
      <c r="AP781">
        <f>'19_Расчет_аналитики'!AP623+'19_Расчет_аналитики'!AP626-'19_Расчет_аналитики'!AP624-'19_Расчет_аналитики'!AP627</f>
        <v/>
      </c>
      <c r="AQ781">
        <f>'19_Расчет_аналитики'!AQ623+'19_Расчет_аналитики'!AQ626-'19_Расчет_аналитики'!AQ624-'19_Расчет_аналитики'!AQ627</f>
        <v/>
      </c>
      <c r="AR781">
        <f>'19_Расчет_аналитики'!AR623+'19_Расчет_аналитики'!AR626-'19_Расчет_аналитики'!AR624-'19_Расчет_аналитики'!AR627</f>
        <v/>
      </c>
      <c r="AS781">
        <f>'19_Расчет_аналитики'!AS623+'19_Расчет_аналитики'!AS626-'19_Расчет_аналитики'!AS624-'19_Расчет_аналитики'!AS627</f>
        <v/>
      </c>
      <c r="AT781">
        <f>'19_Расчет_аналитики'!AT623+'19_Расчет_аналитики'!AT626-'19_Расчет_аналитики'!AT624-'19_Расчет_аналитики'!AT627</f>
        <v/>
      </c>
      <c r="AU781">
        <f>'19_Расчет_аналитики'!AU623+'19_Расчет_аналитики'!AU626-'19_Расчет_аналитики'!AU624-'19_Расчет_аналитики'!AU627</f>
        <v/>
      </c>
      <c r="AV781">
        <f>'19_Расчет_аналитики'!AV623+'19_Расчет_аналитики'!AV626-'19_Расчет_аналитики'!AV624-'19_Расчет_аналитики'!AV627</f>
        <v/>
      </c>
      <c r="AW781">
        <f>'19_Расчет_аналитики'!AW623+'19_Расчет_аналитики'!AW626-'19_Расчет_аналитики'!AW624-'19_Расчет_аналитики'!AW627</f>
        <v/>
      </c>
      <c r="AX781">
        <f>'19_Расчет_аналитики'!AX623+'19_Расчет_аналитики'!AX626-'19_Расчет_аналитики'!AX624-'19_Расчет_аналитики'!AX627</f>
        <v/>
      </c>
      <c r="AY781">
        <f>'19_Расчет_аналитики'!AY623+'19_Расчет_аналитики'!AY626-'19_Расчет_аналитики'!AY624-'19_Расчет_аналитики'!AY627</f>
        <v/>
      </c>
      <c r="AZ781">
        <f>'19_Расчет_аналитики'!AZ623+'19_Расчет_аналитики'!AZ626-'19_Расчет_аналитики'!AZ624-'19_Расчет_аналитики'!AZ627</f>
        <v/>
      </c>
      <c r="BA781">
        <f>'19_Расчет_аналитики'!BA623+'19_Расчет_аналитики'!BA626-'19_Расчет_аналитики'!BA624-'19_Расчет_аналитики'!BA627</f>
        <v/>
      </c>
      <c r="BB781">
        <f>'19_Расчет_аналитики'!BB623+'19_Расчет_аналитики'!BB626-'19_Расчет_аналитики'!BB624-'19_Расчет_аналитики'!BB627</f>
        <v/>
      </c>
      <c r="BC781">
        <f>'19_Расчет_аналитики'!BC623+'19_Расчет_аналитики'!BC626-'19_Расчет_аналитики'!BC624-'19_Расчет_аналитики'!BC627</f>
        <v/>
      </c>
      <c r="BD781">
        <f>'19_Расчет_аналитики'!BD623+'19_Расчет_аналитики'!BD626-'19_Расчет_аналитики'!BD624-'19_Расчет_аналитики'!BD627</f>
        <v/>
      </c>
      <c r="BE781">
        <f>'19_Расчет_аналитики'!BE623+'19_Расчет_аналитики'!BE626-'19_Расчет_аналитики'!BE624-'19_Расчет_аналитики'!BE627</f>
        <v/>
      </c>
      <c r="BF781">
        <f>'19_Расчет_аналитики'!BF623+'19_Расчет_аналитики'!BF626-'19_Расчет_аналитики'!BF624-'19_Расчет_аналитики'!BF627</f>
        <v/>
      </c>
      <c r="BG781">
        <f>'19_Расчет_аналитики'!BG623+'19_Расчет_аналитики'!BG626-'19_Расчет_аналитики'!BG624-'19_Расчет_аналитики'!BG627</f>
        <v/>
      </c>
      <c r="BH781">
        <f>'19_Расчет_аналитики'!BH623+'19_Расчет_аналитики'!BH626-'19_Расчет_аналитики'!BH624-'19_Расчет_аналитики'!BH627</f>
        <v/>
      </c>
      <c r="BI781">
        <f>'19_Расчет_аналитики'!BI623+'19_Расчет_аналитики'!BI626-'19_Расчет_аналитики'!BI624-'19_Расчет_аналитики'!BI627</f>
        <v/>
      </c>
    </row>
    <row r="782">
      <c r="B782">
        <f>0+SUM('19_Расчет_аналитики'!B722:B724)-'19_Расчет_аналитики'!B755</f>
        <v/>
      </c>
      <c r="C782">
        <f>'19_Расчет_аналитики'!B782+SUM('19_Расчет_аналитики'!C722:C724)-'19_Расчет_аналитики'!C755</f>
        <v/>
      </c>
      <c r="D782">
        <f>'19_Расчет_аналитики'!C782+SUM('19_Расчет_аналитики'!D722:D724)-'19_Расчет_аналитики'!D755</f>
        <v/>
      </c>
      <c r="E782">
        <f>'19_Расчет_аналитики'!D782+SUM('19_Расчет_аналитики'!E722:E724)-'19_Расчет_аналитики'!E755</f>
        <v/>
      </c>
      <c r="F782">
        <f>'19_Расчет_аналитики'!E782+SUM('19_Расчет_аналитики'!F722:F724)-'19_Расчет_аналитики'!F755</f>
        <v/>
      </c>
      <c r="G782">
        <f>'19_Расчет_аналитики'!F782+SUM('19_Расчет_аналитики'!G722:G724)-'19_Расчет_аналитики'!G755</f>
        <v/>
      </c>
      <c r="H782">
        <f>'19_Расчет_аналитики'!G782+SUM('19_Расчет_аналитики'!H722:H724)-'19_Расчет_аналитики'!H755</f>
        <v/>
      </c>
      <c r="I782">
        <f>'19_Расчет_аналитики'!H782+SUM('19_Расчет_аналитики'!I722:I724)-'19_Расчет_аналитики'!I755</f>
        <v/>
      </c>
      <c r="J782">
        <f>'19_Расчет_аналитики'!I782+SUM('19_Расчет_аналитики'!J722:J724)-'19_Расчет_аналитики'!J755</f>
        <v/>
      </c>
      <c r="K782">
        <f>'19_Расчет_аналитики'!J782+SUM('19_Расчет_аналитики'!K722:K724)-'19_Расчет_аналитики'!K755</f>
        <v/>
      </c>
      <c r="L782">
        <f>'19_Расчет_аналитики'!K782+SUM('19_Расчет_аналитики'!L722:L724)-'19_Расчет_аналитики'!L755</f>
        <v/>
      </c>
      <c r="M782">
        <f>'19_Расчет_аналитики'!L782+SUM('19_Расчет_аналитики'!M722:M724)-'19_Расчет_аналитики'!M755</f>
        <v/>
      </c>
      <c r="N782">
        <f>'19_Расчет_аналитики'!M782+SUM('19_Расчет_аналитики'!N722:N724)-'19_Расчет_аналитики'!N755</f>
        <v/>
      </c>
      <c r="O782">
        <f>'19_Расчет_аналитики'!N782+SUM('19_Расчет_аналитики'!O722:O724)-'19_Расчет_аналитики'!O755</f>
        <v/>
      </c>
      <c r="P782">
        <f>'19_Расчет_аналитики'!O782+SUM('19_Расчет_аналитики'!P722:P724)-'19_Расчет_аналитики'!P755</f>
        <v/>
      </c>
      <c r="Q782">
        <f>'19_Расчет_аналитики'!P782+SUM('19_Расчет_аналитики'!Q722:Q724)-'19_Расчет_аналитики'!Q755</f>
        <v/>
      </c>
      <c r="R782">
        <f>'19_Расчет_аналитики'!Q782+SUM('19_Расчет_аналитики'!R722:R724)-'19_Расчет_аналитики'!R755</f>
        <v/>
      </c>
      <c r="S782">
        <f>'19_Расчет_аналитики'!R782+SUM('19_Расчет_аналитики'!S722:S724)-'19_Расчет_аналитики'!S755</f>
        <v/>
      </c>
      <c r="T782">
        <f>'19_Расчет_аналитики'!S782+SUM('19_Расчет_аналитики'!T722:T724)-'19_Расчет_аналитики'!T755</f>
        <v/>
      </c>
      <c r="U782">
        <f>'19_Расчет_аналитики'!T782+SUM('19_Расчет_аналитики'!U722:U724)-'19_Расчет_аналитики'!U755</f>
        <v/>
      </c>
      <c r="V782">
        <f>'19_Расчет_аналитики'!U782+SUM('19_Расчет_аналитики'!V722:V724)-'19_Расчет_аналитики'!V755</f>
        <v/>
      </c>
      <c r="W782">
        <f>'19_Расчет_аналитики'!V782+SUM('19_Расчет_аналитики'!W722:W724)-'19_Расчет_аналитики'!W755</f>
        <v/>
      </c>
      <c r="X782">
        <f>'19_Расчет_аналитики'!W782+SUM('19_Расчет_аналитики'!X722:X724)-'19_Расчет_аналитики'!X755</f>
        <v/>
      </c>
      <c r="Y782">
        <f>'19_Расчет_аналитики'!X782+SUM('19_Расчет_аналитики'!Y722:Y724)-'19_Расчет_аналитики'!Y755</f>
        <v/>
      </c>
      <c r="Z782">
        <f>'19_Расчет_аналитики'!Y782+SUM('19_Расчет_аналитики'!Z722:Z724)-'19_Расчет_аналитики'!Z755</f>
        <v/>
      </c>
      <c r="AA782">
        <f>'19_Расчет_аналитики'!Z782+SUM('19_Расчет_аналитики'!AA722:AA724)-'19_Расчет_аналитики'!AA755</f>
        <v/>
      </c>
      <c r="AB782">
        <f>'19_Расчет_аналитики'!AA782+SUM('19_Расчет_аналитики'!AB722:AB724)-'19_Расчет_аналитики'!AB755</f>
        <v/>
      </c>
      <c r="AC782">
        <f>'19_Расчет_аналитики'!AB782+SUM('19_Расчет_аналитики'!AC722:AC724)-'19_Расчет_аналитики'!AC755</f>
        <v/>
      </c>
      <c r="AD782">
        <f>'19_Расчет_аналитики'!AC782+SUM('19_Расчет_аналитики'!AD722:AD724)-'19_Расчет_аналитики'!AD755</f>
        <v/>
      </c>
      <c r="AE782">
        <f>'19_Расчет_аналитики'!AD782+SUM('19_Расчет_аналитики'!AE722:AE724)-'19_Расчет_аналитики'!AE755</f>
        <v/>
      </c>
      <c r="AF782">
        <f>'19_Расчет_аналитики'!AE782+SUM('19_Расчет_аналитики'!AF722:AF724)-'19_Расчет_аналитики'!AF755</f>
        <v/>
      </c>
      <c r="AG782">
        <f>'19_Расчет_аналитики'!AF782+SUM('19_Расчет_аналитики'!AG722:AG724)-'19_Расчет_аналитики'!AG755</f>
        <v/>
      </c>
      <c r="AH782">
        <f>'19_Расчет_аналитики'!AG782+SUM('19_Расчет_аналитики'!AH722:AH724)-'19_Расчет_аналитики'!AH755</f>
        <v/>
      </c>
      <c r="AI782">
        <f>'19_Расчет_аналитики'!AH782+SUM('19_Расчет_аналитики'!AI722:AI724)-'19_Расчет_аналитики'!AI755</f>
        <v/>
      </c>
      <c r="AJ782">
        <f>'19_Расчет_аналитики'!AI782+SUM('19_Расчет_аналитики'!AJ722:AJ724)-'19_Расчет_аналитики'!AJ755</f>
        <v/>
      </c>
      <c r="AK782">
        <f>'19_Расчет_аналитики'!AJ782+SUM('19_Расчет_аналитики'!AK722:AK724)-'19_Расчет_аналитики'!AK755</f>
        <v/>
      </c>
      <c r="AL782">
        <f>'19_Расчет_аналитики'!AK782+SUM('19_Расчет_аналитики'!AL722:AL724)-'19_Расчет_аналитики'!AL755</f>
        <v/>
      </c>
      <c r="AM782">
        <f>'19_Расчет_аналитики'!AL782+SUM('19_Расчет_аналитики'!AM722:AM724)-'19_Расчет_аналитики'!AM755</f>
        <v/>
      </c>
      <c r="AN782">
        <f>'19_Расчет_аналитики'!AM782+SUM('19_Расчет_аналитики'!AN722:AN724)-'19_Расчет_аналитики'!AN755</f>
        <v/>
      </c>
      <c r="AO782">
        <f>'19_Расчет_аналитики'!AN782+SUM('19_Расчет_аналитики'!AO722:AO724)-'19_Расчет_аналитики'!AO755</f>
        <v/>
      </c>
      <c r="AP782">
        <f>'19_Расчет_аналитики'!AO782+SUM('19_Расчет_аналитики'!AP722:AP724)-'19_Расчет_аналитики'!AP755</f>
        <v/>
      </c>
      <c r="AQ782">
        <f>'19_Расчет_аналитики'!AP782+SUM('19_Расчет_аналитики'!AQ722:AQ724)-'19_Расчет_аналитики'!AQ755</f>
        <v/>
      </c>
      <c r="AR782">
        <f>'19_Расчет_аналитики'!AQ782+SUM('19_Расчет_аналитики'!AR722:AR724)-'19_Расчет_аналитики'!AR755</f>
        <v/>
      </c>
      <c r="AS782">
        <f>'19_Расчет_аналитики'!AR782+SUM('19_Расчет_аналитики'!AS722:AS724)-'19_Расчет_аналитики'!AS755</f>
        <v/>
      </c>
      <c r="AT782">
        <f>'19_Расчет_аналитики'!AS782+SUM('19_Расчет_аналитики'!AT722:AT724)-'19_Расчет_аналитики'!AT755</f>
        <v/>
      </c>
      <c r="AU782">
        <f>'19_Расчет_аналитики'!AT782+SUM('19_Расчет_аналитики'!AU722:AU724)-'19_Расчет_аналитики'!AU755</f>
        <v/>
      </c>
      <c r="AV782">
        <f>'19_Расчет_аналитики'!AU782+SUM('19_Расчет_аналитики'!AV722:AV724)-'19_Расчет_аналитики'!AV755</f>
        <v/>
      </c>
      <c r="AW782">
        <f>'19_Расчет_аналитики'!AV782+SUM('19_Расчет_аналитики'!AW722:AW724)-'19_Расчет_аналитики'!AW755</f>
        <v/>
      </c>
      <c r="AX782">
        <f>'19_Расчет_аналитики'!AW782+SUM('19_Расчет_аналитики'!AX722:AX724)-'19_Расчет_аналитики'!AX755</f>
        <v/>
      </c>
      <c r="AY782">
        <f>'19_Расчет_аналитики'!AX782+SUM('19_Расчет_аналитики'!AY722:AY724)-'19_Расчет_аналитики'!AY755</f>
        <v/>
      </c>
      <c r="AZ782">
        <f>'19_Расчет_аналитики'!AY782+SUM('19_Расчет_аналитики'!AZ722:AZ724)-'19_Расчет_аналитики'!AZ755</f>
        <v/>
      </c>
      <c r="BA782">
        <f>'19_Расчет_аналитики'!AZ782+SUM('19_Расчет_аналитики'!BA722:BA724)-'19_Расчет_аналитики'!BA755</f>
        <v/>
      </c>
      <c r="BB782">
        <f>'19_Расчет_аналитики'!BA782+SUM('19_Расчет_аналитики'!BB722:BB724)-'19_Расчет_аналитики'!BB755</f>
        <v/>
      </c>
      <c r="BC782">
        <f>'19_Расчет_аналитики'!BB782+SUM('19_Расчет_аналитики'!BC722:BC724)-'19_Расчет_аналитики'!BC755</f>
        <v/>
      </c>
      <c r="BD782">
        <f>'19_Расчет_аналитики'!BC782+SUM('19_Расчет_аналитики'!BD722:BD724)-'19_Расчет_аналитики'!BD755</f>
        <v/>
      </c>
      <c r="BE782">
        <f>'19_Расчет_аналитики'!BD782+SUM('19_Расчет_аналитики'!BE722:BE724)-'19_Расчет_аналитики'!BE755</f>
        <v/>
      </c>
      <c r="BF782">
        <f>'19_Расчет_аналитики'!BE782+SUM('19_Расчет_аналитики'!BF722:BF724)-'19_Расчет_аналитики'!BF755</f>
        <v/>
      </c>
      <c r="BG782">
        <f>'19_Расчет_аналитики'!BF782+SUM('19_Расчет_аналитики'!BG722:BG724)-'19_Расчет_аналитики'!BG755</f>
        <v/>
      </c>
      <c r="BH782">
        <f>'19_Расчет_аналитики'!BG782+SUM('19_Расчет_аналитики'!BH722:BH724)-'19_Расчет_аналитики'!BH755</f>
        <v/>
      </c>
      <c r="BI782">
        <f>'19_Расчет_аналитики'!BH782+SUM('19_Расчет_аналитики'!BI722:BI724)-'19_Расчет_аналитики'!BI755</f>
        <v/>
      </c>
    </row>
    <row r="783"/>
    <row r="784"/>
    <row r="785"/>
    <row r="786"/>
    <row r="787">
      <c r="B787">
        <f>MAX(0,'19_Расчет_аналитики'!B763-'01_Вводные'!$B$237-'19_Расчет_аналитики'!B788)</f>
        <v/>
      </c>
      <c r="C787">
        <f>MAX(0,'19_Расчет_аналитики'!C763-'01_Вводные'!$B$237-'19_Расчет_аналитики'!C788)</f>
        <v/>
      </c>
      <c r="D787">
        <f>MAX(0,'19_Расчет_аналитики'!D763-'01_Вводные'!$B$237-'19_Расчет_аналитики'!D788)</f>
        <v/>
      </c>
      <c r="E787">
        <f>MAX(0,'19_Расчет_аналитики'!E763-'01_Вводные'!$B$237-'19_Расчет_аналитики'!E788)</f>
        <v/>
      </c>
      <c r="F787">
        <f>MAX(0,'19_Расчет_аналитики'!F763-'01_Вводные'!$B$237-'19_Расчет_аналитики'!F788)</f>
        <v/>
      </c>
      <c r="G787">
        <f>MAX(0,'19_Расчет_аналитики'!G763-'01_Вводные'!$B$237-'19_Расчет_аналитики'!G788)</f>
        <v/>
      </c>
      <c r="H787">
        <f>MAX(0,'19_Расчет_аналитики'!H763-'01_Вводные'!$B$237-'19_Расчет_аналитики'!H788)</f>
        <v/>
      </c>
      <c r="I787">
        <f>MAX(0,'19_Расчет_аналитики'!I763-'01_Вводные'!$B$237-'19_Расчет_аналитики'!I788)</f>
        <v/>
      </c>
      <c r="J787">
        <f>MAX(0,'19_Расчет_аналитики'!J763-'01_Вводные'!$B$237-'19_Расчет_аналитики'!J788)</f>
        <v/>
      </c>
      <c r="K787">
        <f>MAX(0,'19_Расчет_аналитики'!K763-'01_Вводные'!$B$237-'19_Расчет_аналитики'!K788)</f>
        <v/>
      </c>
      <c r="L787">
        <f>MAX(0,'19_Расчет_аналитики'!L763-'01_Вводные'!$B$237-'19_Расчет_аналитики'!L788)</f>
        <v/>
      </c>
      <c r="M787">
        <f>MAX(0,'19_Расчет_аналитики'!M763-'01_Вводные'!$B$237-'19_Расчет_аналитики'!M788)</f>
        <v/>
      </c>
      <c r="N787">
        <f>MAX(0,'19_Расчет_аналитики'!N763-'01_Вводные'!$B$237-'19_Расчет_аналитики'!N788)</f>
        <v/>
      </c>
      <c r="O787">
        <f>MAX(0,'19_Расчет_аналитики'!O763-'01_Вводные'!$B$237-'19_Расчет_аналитики'!O788)</f>
        <v/>
      </c>
      <c r="P787">
        <f>MAX(0,'19_Расчет_аналитики'!P763-'01_Вводные'!$B$237-'19_Расчет_аналитики'!P788)</f>
        <v/>
      </c>
      <c r="Q787">
        <f>MAX(0,'19_Расчет_аналитики'!Q763-'01_Вводные'!$B$237-'19_Расчет_аналитики'!Q788)</f>
        <v/>
      </c>
      <c r="R787">
        <f>MAX(0,'19_Расчет_аналитики'!R763-'01_Вводные'!$B$237-'19_Расчет_аналитики'!R788)</f>
        <v/>
      </c>
      <c r="S787">
        <f>MAX(0,'19_Расчет_аналитики'!S763-'01_Вводные'!$B$237-'19_Расчет_аналитики'!S788)</f>
        <v/>
      </c>
      <c r="T787">
        <f>MAX(0,'19_Расчет_аналитики'!T763-'01_Вводные'!$B$237-'19_Расчет_аналитики'!T788)</f>
        <v/>
      </c>
      <c r="U787">
        <f>MAX(0,'19_Расчет_аналитики'!U763-'01_Вводные'!$B$237-'19_Расчет_аналитики'!U788)</f>
        <v/>
      </c>
      <c r="V787">
        <f>MAX(0,'19_Расчет_аналитики'!V763-'01_Вводные'!$B$237-'19_Расчет_аналитики'!V788)</f>
        <v/>
      </c>
      <c r="W787">
        <f>MAX(0,'19_Расчет_аналитики'!W763-'01_Вводные'!$B$237-'19_Расчет_аналитики'!W788)</f>
        <v/>
      </c>
      <c r="X787">
        <f>MAX(0,'19_Расчет_аналитики'!X763-'01_Вводные'!$B$237-'19_Расчет_аналитики'!X788)</f>
        <v/>
      </c>
      <c r="Y787">
        <f>MAX(0,'19_Расчет_аналитики'!Y763-'01_Вводные'!$B$237-'19_Расчет_аналитики'!Y788)</f>
        <v/>
      </c>
      <c r="Z787">
        <f>MAX(0,'19_Расчет_аналитики'!Z763-'01_Вводные'!$B$237-'19_Расчет_аналитики'!Z788)</f>
        <v/>
      </c>
      <c r="AA787">
        <f>MAX(0,'19_Расчет_аналитики'!AA763-'01_Вводные'!$B$237-'19_Расчет_аналитики'!AA788)</f>
        <v/>
      </c>
      <c r="AB787">
        <f>MAX(0,'19_Расчет_аналитики'!AB763-'01_Вводные'!$B$237-'19_Расчет_аналитики'!AB788)</f>
        <v/>
      </c>
      <c r="AC787">
        <f>MAX(0,'19_Расчет_аналитики'!AC763-'01_Вводные'!$B$237-'19_Расчет_аналитики'!AC788)</f>
        <v/>
      </c>
      <c r="AD787">
        <f>MAX(0,'19_Расчет_аналитики'!AD763-'01_Вводные'!$B$237-'19_Расчет_аналитики'!AD788)</f>
        <v/>
      </c>
      <c r="AE787">
        <f>MAX(0,'19_Расчет_аналитики'!AE763-'01_Вводные'!$B$237-'19_Расчет_аналитики'!AE788)</f>
        <v/>
      </c>
      <c r="AF787">
        <f>MAX(0,'19_Расчет_аналитики'!AF763-'01_Вводные'!$B$237-'19_Расчет_аналитики'!AF788)</f>
        <v/>
      </c>
      <c r="AG787">
        <f>MAX(0,'19_Расчет_аналитики'!AG763-'01_Вводные'!$B$237-'19_Расчет_аналитики'!AG788)</f>
        <v/>
      </c>
      <c r="AH787">
        <f>MAX(0,'19_Расчет_аналитики'!AH763-'01_Вводные'!$B$237-'19_Расчет_аналитики'!AH788)</f>
        <v/>
      </c>
      <c r="AI787">
        <f>MAX(0,'19_Расчет_аналитики'!AI763-'01_Вводные'!$B$237-'19_Расчет_аналитики'!AI788)</f>
        <v/>
      </c>
      <c r="AJ787">
        <f>MAX(0,'19_Расчет_аналитики'!AJ763-'01_Вводные'!$B$237-'19_Расчет_аналитики'!AJ788)</f>
        <v/>
      </c>
      <c r="AK787">
        <f>MAX(0,'19_Расчет_аналитики'!AK763-'01_Вводные'!$B$237-'19_Расчет_аналитики'!AK788)</f>
        <v/>
      </c>
      <c r="AL787">
        <f>MAX(0,'19_Расчет_аналитики'!AL763-'01_Вводные'!$B$237-'19_Расчет_аналитики'!AL788)</f>
        <v/>
      </c>
      <c r="AM787">
        <f>MAX(0,'19_Расчет_аналитики'!AM763-'01_Вводные'!$B$237-'19_Расчет_аналитики'!AM788)</f>
        <v/>
      </c>
      <c r="AN787">
        <f>MAX(0,'19_Расчет_аналитики'!AN763-'01_Вводные'!$B$237-'19_Расчет_аналитики'!AN788)</f>
        <v/>
      </c>
      <c r="AO787">
        <f>MAX(0,'19_Расчет_аналитики'!AO763-'01_Вводные'!$B$237-'19_Расчет_аналитики'!AO788)</f>
        <v/>
      </c>
      <c r="AP787">
        <f>MAX(0,'19_Расчет_аналитики'!AP763-'01_Вводные'!$B$237-'19_Расчет_аналитики'!AP788)</f>
        <v/>
      </c>
      <c r="AQ787">
        <f>MAX(0,'19_Расчет_аналитики'!AQ763-'01_Вводные'!$B$237-'19_Расчет_аналитики'!AQ788)</f>
        <v/>
      </c>
      <c r="AR787">
        <f>MAX(0,'19_Расчет_аналитики'!AR763-'01_Вводные'!$B$237-'19_Расчет_аналитики'!AR788)</f>
        <v/>
      </c>
      <c r="AS787">
        <f>MAX(0,'19_Расчет_аналитики'!AS763-'01_Вводные'!$B$237-'19_Расчет_аналитики'!AS788)</f>
        <v/>
      </c>
      <c r="AT787">
        <f>MAX(0,'19_Расчет_аналитики'!AT763-'01_Вводные'!$B$237-'19_Расчет_аналитики'!AT788)</f>
        <v/>
      </c>
      <c r="AU787">
        <f>MAX(0,'19_Расчет_аналитики'!AU763-'01_Вводные'!$B$237-'19_Расчет_аналитики'!AU788)</f>
        <v/>
      </c>
      <c r="AV787">
        <f>MAX(0,'19_Расчет_аналитики'!AV763-'01_Вводные'!$B$237-'19_Расчет_аналитики'!AV788)</f>
        <v/>
      </c>
      <c r="AW787">
        <f>MAX(0,'19_Расчет_аналитики'!AW763-'01_Вводные'!$B$237-'19_Расчет_аналитики'!AW788)</f>
        <v/>
      </c>
      <c r="AX787">
        <f>MAX(0,'19_Расчет_аналитики'!AX763-'01_Вводные'!$B$237-'19_Расчет_аналитики'!AX788)</f>
        <v/>
      </c>
      <c r="AY787">
        <f>MAX(0,'19_Расчет_аналитики'!AY763-'01_Вводные'!$B$237-'19_Расчет_аналитики'!AY788)</f>
        <v/>
      </c>
      <c r="AZ787">
        <f>MAX(0,'19_Расчет_аналитики'!AZ763-'01_Вводные'!$B$237-'19_Расчет_аналитики'!AZ788)</f>
        <v/>
      </c>
      <c r="BA787">
        <f>MAX(0,'19_Расчет_аналитики'!BA763-'01_Вводные'!$B$237-'19_Расчет_аналитики'!BA788)</f>
        <v/>
      </c>
      <c r="BB787">
        <f>MAX(0,'19_Расчет_аналитики'!BB763-'01_Вводные'!$B$237-'19_Расчет_аналитики'!BB788)</f>
        <v/>
      </c>
      <c r="BC787">
        <f>MAX(0,'19_Расчет_аналитики'!BC763-'01_Вводные'!$B$237-'19_Расчет_аналитики'!BC788)</f>
        <v/>
      </c>
      <c r="BD787">
        <f>MAX(0,'19_Расчет_аналитики'!BD763-'01_Вводные'!$B$237-'19_Расчет_аналитики'!BD788)</f>
        <v/>
      </c>
      <c r="BE787">
        <f>MAX(0,'19_Расчет_аналитики'!BE763-'01_Вводные'!$B$237-'19_Расчет_аналитики'!BE788)</f>
        <v/>
      </c>
      <c r="BF787">
        <f>MAX(0,'19_Расчет_аналитики'!BF763-'01_Вводные'!$B$237-'19_Расчет_аналитики'!BF788)</f>
        <v/>
      </c>
      <c r="BG787">
        <f>MAX(0,'19_Расчет_аналитики'!BG763-'01_Вводные'!$B$237-'19_Расчет_аналитики'!BG788)</f>
        <v/>
      </c>
      <c r="BH787">
        <f>MAX(0,'19_Расчет_аналитики'!BH763-'01_Вводные'!$B$237-'19_Расчет_аналитики'!BH788)</f>
        <v/>
      </c>
      <c r="BI787">
        <f>MAX(0,'19_Расчет_аналитики'!BI763-'01_Вводные'!$B$237-'19_Расчет_аналитики'!BI788)</f>
        <v/>
      </c>
    </row>
    <row r="788">
      <c r="B788">
        <f>MAX(0,'19_Расчет_аналитики'!C788-'19_Расчет_аналитики'!C762)</f>
        <v/>
      </c>
      <c r="C788">
        <f>MAX(0,'19_Расчет_аналитики'!D788-'19_Расчет_аналитики'!D762)</f>
        <v/>
      </c>
      <c r="D788">
        <f>MAX(0,'19_Расчет_аналитики'!E788-'19_Расчет_аналитики'!E762)</f>
        <v/>
      </c>
      <c r="E788">
        <f>MAX(0,'19_Расчет_аналитики'!F788-'19_Расчет_аналитики'!F762)</f>
        <v/>
      </c>
      <c r="F788">
        <f>MAX(0,'19_Расчет_аналитики'!G788-'19_Расчет_аналитики'!G762)</f>
        <v/>
      </c>
      <c r="G788">
        <f>MAX(0,'19_Расчет_аналитики'!H788-'19_Расчет_аналитики'!H762)</f>
        <v/>
      </c>
      <c r="H788">
        <f>MAX(0,'19_Расчет_аналитики'!I788-'19_Расчет_аналитики'!I762)</f>
        <v/>
      </c>
      <c r="I788">
        <f>MAX(0,'19_Расчет_аналитики'!J788-'19_Расчет_аналитики'!J762)</f>
        <v/>
      </c>
      <c r="J788">
        <f>MAX(0,'19_Расчет_аналитики'!K788-'19_Расчет_аналитики'!K762)</f>
        <v/>
      </c>
      <c r="K788">
        <f>MAX(0,'19_Расчет_аналитики'!L788-'19_Расчет_аналитики'!L762)</f>
        <v/>
      </c>
      <c r="L788">
        <f>MAX(0,'19_Расчет_аналитики'!M788-'19_Расчет_аналитики'!M762)</f>
        <v/>
      </c>
      <c r="M788">
        <f>MAX(0,'19_Расчет_аналитики'!N788-'19_Расчет_аналитики'!N762)</f>
        <v/>
      </c>
      <c r="N788">
        <f>MAX(0,'19_Расчет_аналитики'!O788-'19_Расчет_аналитики'!O762)</f>
        <v/>
      </c>
      <c r="O788">
        <f>MAX(0,'19_Расчет_аналитики'!P788-'19_Расчет_аналитики'!P762)</f>
        <v/>
      </c>
      <c r="P788">
        <f>MAX(0,'19_Расчет_аналитики'!Q788-'19_Расчет_аналитики'!Q762)</f>
        <v/>
      </c>
      <c r="Q788">
        <f>MAX(0,'19_Расчет_аналитики'!R788-'19_Расчет_аналитики'!R762)</f>
        <v/>
      </c>
      <c r="R788">
        <f>MAX(0,'19_Расчет_аналитики'!S788-'19_Расчет_аналитики'!S762)</f>
        <v/>
      </c>
      <c r="S788">
        <f>MAX(0,'19_Расчет_аналитики'!T788-'19_Расчет_аналитики'!T762)</f>
        <v/>
      </c>
      <c r="T788">
        <f>MAX(0,'19_Расчет_аналитики'!U788-'19_Расчет_аналитики'!U762)</f>
        <v/>
      </c>
      <c r="U788">
        <f>MAX(0,'19_Расчет_аналитики'!V788-'19_Расчет_аналитики'!V762)</f>
        <v/>
      </c>
      <c r="V788">
        <f>MAX(0,'19_Расчет_аналитики'!W788-'19_Расчет_аналитики'!W762)</f>
        <v/>
      </c>
      <c r="W788">
        <f>MAX(0,'19_Расчет_аналитики'!X788-'19_Расчет_аналитики'!X762)</f>
        <v/>
      </c>
      <c r="X788">
        <f>MAX(0,'19_Расчет_аналитики'!Y788-'19_Расчет_аналитики'!Y762)</f>
        <v/>
      </c>
      <c r="Y788">
        <f>MAX(0,'19_Расчет_аналитики'!Z788-'19_Расчет_аналитики'!Z762)</f>
        <v/>
      </c>
      <c r="Z788">
        <f>MAX(0,'19_Расчет_аналитики'!AA788-'19_Расчет_аналитики'!AA762)</f>
        <v/>
      </c>
      <c r="AA788">
        <f>MAX(0,'19_Расчет_аналитики'!AB788-'19_Расчет_аналитики'!AB762)</f>
        <v/>
      </c>
      <c r="AB788">
        <f>MAX(0,'19_Расчет_аналитики'!AC788-'19_Расчет_аналитики'!AC762)</f>
        <v/>
      </c>
      <c r="AC788">
        <f>MAX(0,'19_Расчет_аналитики'!AD788-'19_Расчет_аналитики'!AD762)</f>
        <v/>
      </c>
      <c r="AD788">
        <f>MAX(0,'19_Расчет_аналитики'!AE788-'19_Расчет_аналитики'!AE762)</f>
        <v/>
      </c>
      <c r="AE788">
        <f>MAX(0,'19_Расчет_аналитики'!AF788-'19_Расчет_аналитики'!AF762)</f>
        <v/>
      </c>
      <c r="AF788">
        <f>MAX(0,'19_Расчет_аналитики'!AG788-'19_Расчет_аналитики'!AG762)</f>
        <v/>
      </c>
      <c r="AG788">
        <f>MAX(0,'19_Расчет_аналитики'!AH788-'19_Расчет_аналитики'!AH762)</f>
        <v/>
      </c>
      <c r="AH788">
        <f>MAX(0,'19_Расчет_аналитики'!AI788-'19_Расчет_аналитики'!AI762)</f>
        <v/>
      </c>
      <c r="AI788">
        <f>MAX(0,'19_Расчет_аналитики'!AJ788-'19_Расчет_аналитики'!AJ762)</f>
        <v/>
      </c>
      <c r="AJ788">
        <f>MAX(0,'19_Расчет_аналитики'!AK788-'19_Расчет_аналитики'!AK762)</f>
        <v/>
      </c>
      <c r="AK788">
        <f>MAX(0,'19_Расчет_аналитики'!AL788-'19_Расчет_аналитики'!AL762)</f>
        <v/>
      </c>
      <c r="AL788">
        <f>MAX(0,'19_Расчет_аналитики'!AM788-'19_Расчет_аналитики'!AM762)</f>
        <v/>
      </c>
      <c r="AM788">
        <f>MAX(0,'19_Расчет_аналитики'!AN788-'19_Расчет_аналитики'!AN762)</f>
        <v/>
      </c>
      <c r="AN788">
        <f>MAX(0,'19_Расчет_аналитики'!AO788-'19_Расчет_аналитики'!AO762)</f>
        <v/>
      </c>
      <c r="AO788">
        <f>MAX(0,'19_Расчет_аналитики'!AP788-'19_Расчет_аналитики'!AP762)</f>
        <v/>
      </c>
      <c r="AP788">
        <f>MAX(0,'19_Расчет_аналитики'!AQ788-'19_Расчет_аналитики'!AQ762)</f>
        <v/>
      </c>
      <c r="AQ788">
        <f>MAX(0,'19_Расчет_аналитики'!AR788-'19_Расчет_аналитики'!AR762)</f>
        <v/>
      </c>
      <c r="AR788">
        <f>MAX(0,'19_Расчет_аналитики'!AS788-'19_Расчет_аналитики'!AS762)</f>
        <v/>
      </c>
      <c r="AS788">
        <f>MAX(0,'19_Расчет_аналитики'!AT788-'19_Расчет_аналитики'!AT762)</f>
        <v/>
      </c>
      <c r="AT788">
        <f>MAX(0,'19_Расчет_аналитики'!AU788-'19_Расчет_аналитики'!AU762)</f>
        <v/>
      </c>
      <c r="AU788">
        <f>MAX(0,'19_Расчет_аналитики'!AV788-'19_Расчет_аналитики'!AV762)</f>
        <v/>
      </c>
      <c r="AV788">
        <f>MAX(0,'19_Расчет_аналитики'!AW788-'19_Расчет_аналитики'!AW762)</f>
        <v/>
      </c>
      <c r="AW788">
        <f>MAX(0,'19_Расчет_аналитики'!AX788-'19_Расчет_аналитики'!AX762)</f>
        <v/>
      </c>
      <c r="AX788">
        <f>MAX(0,'19_Расчет_аналитики'!AY788-'19_Расчет_аналитики'!AY762)</f>
        <v/>
      </c>
      <c r="AY788">
        <f>MAX(0,'19_Расчет_аналитики'!AZ788-'19_Расчет_аналитики'!AZ762)</f>
        <v/>
      </c>
      <c r="AZ788">
        <f>MAX(0,'19_Расчет_аналитики'!BA788-'19_Расчет_аналитики'!BA762)</f>
        <v/>
      </c>
      <c r="BA788">
        <f>MAX(0,'19_Расчет_аналитики'!BB788-'19_Расчет_аналитики'!BB762)</f>
        <v/>
      </c>
      <c r="BB788">
        <f>MAX(0,'19_Расчет_аналитики'!BC788-'19_Расчет_аналитики'!BC762)</f>
        <v/>
      </c>
      <c r="BC788">
        <f>MAX(0,'19_Расчет_аналитики'!BD788-'19_Расчет_аналитики'!BD762)</f>
        <v/>
      </c>
      <c r="BD788">
        <f>MAX(0,'19_Расчет_аналитики'!BE788-'19_Расчет_аналитики'!BE762)</f>
        <v/>
      </c>
      <c r="BE788">
        <f>MAX(0,'19_Расчет_аналитики'!BF788-'19_Расчет_аналитики'!BF762)</f>
        <v/>
      </c>
      <c r="BF788">
        <f>MAX(0,'19_Расчет_аналитики'!BG788-'19_Расчет_аналитики'!BG762)</f>
        <v/>
      </c>
      <c r="BG788">
        <f>MAX(0,'19_Расчет_аналитики'!BH788-'19_Расчет_аналитики'!BH762)</f>
        <v/>
      </c>
      <c r="BH788">
        <f>MAX(0,'19_Расчет_аналитики'!BI788-'19_Расчет_аналитики'!BI762)</f>
        <v/>
      </c>
      <c r="BI788" t="n">
        <v>0</v>
      </c>
    </row>
    <row r="789"/>
    <row r="790">
      <c r="B790">
        <f>IF('01_Вводные'!$B$288="С НДС",SUM('19_Расчет_аналитики'!B712:B715)*(1+'01_Вводные'!$B$58)+'09_Лагеря'!B10,'19_Расчет_аналитики'!B717)</f>
        <v/>
      </c>
      <c r="C790">
        <f>IF('01_Вводные'!$B$288="С НДС",SUM('19_Расчет_аналитики'!C712:C715)*(1+'01_Вводные'!$B$58)+'09_Лагеря'!C10,'19_Расчет_аналитики'!C717)</f>
        <v/>
      </c>
      <c r="D790">
        <f>IF('01_Вводные'!$B$288="С НДС",SUM('19_Расчет_аналитики'!D712:D715)*(1+'01_Вводные'!$B$58)+'09_Лагеря'!D10,'19_Расчет_аналитики'!D717)</f>
        <v/>
      </c>
      <c r="E790">
        <f>IF('01_Вводные'!$B$288="С НДС",SUM('19_Расчет_аналитики'!E712:E715)*(1+'01_Вводные'!$B$58)+'09_Лагеря'!E10,'19_Расчет_аналитики'!E717)</f>
        <v/>
      </c>
      <c r="F790">
        <f>IF('01_Вводные'!$B$288="С НДС",SUM('19_Расчет_аналитики'!F712:F715)*(1+'01_Вводные'!$B$58)+'09_Лагеря'!F10,'19_Расчет_аналитики'!F717)</f>
        <v/>
      </c>
      <c r="G790">
        <f>IF('01_Вводные'!$B$288="С НДС",SUM('19_Расчет_аналитики'!G712:G715)*(1+'01_Вводные'!$B$58)+'09_Лагеря'!G10,'19_Расчет_аналитики'!G717)</f>
        <v/>
      </c>
      <c r="H790">
        <f>IF('01_Вводные'!$B$288="С НДС",SUM('19_Расчет_аналитики'!H712:H715)*(1+'01_Вводные'!$B$58)+'09_Лагеря'!H10,'19_Расчет_аналитики'!H717)</f>
        <v/>
      </c>
      <c r="I790">
        <f>IF('01_Вводные'!$B$288="С НДС",SUM('19_Расчет_аналитики'!I712:I715)*(1+'01_Вводные'!$B$58)+'09_Лагеря'!I10,'19_Расчет_аналитики'!I717)</f>
        <v/>
      </c>
      <c r="J790">
        <f>IF('01_Вводные'!$B$288="С НДС",SUM('19_Расчет_аналитики'!J712:J715)*(1+'01_Вводные'!$B$58)+'09_Лагеря'!J10,'19_Расчет_аналитики'!J717)</f>
        <v/>
      </c>
      <c r="K790">
        <f>IF('01_Вводные'!$B$288="С НДС",SUM('19_Расчет_аналитики'!K712:K715)*(1+'01_Вводные'!$B$58)+'09_Лагеря'!K10,'19_Расчет_аналитики'!K717)</f>
        <v/>
      </c>
      <c r="L790">
        <f>IF('01_Вводные'!$B$288="С НДС",SUM('19_Расчет_аналитики'!L712:L715)*(1+'01_Вводные'!$B$58)+'09_Лагеря'!L10,'19_Расчет_аналитики'!L717)</f>
        <v/>
      </c>
      <c r="M790">
        <f>IF('01_Вводные'!$B$288="С НДС",SUM('19_Расчет_аналитики'!M712:M715)*(1+'01_Вводные'!$B$58)+'09_Лагеря'!M10,'19_Расчет_аналитики'!M717)</f>
        <v/>
      </c>
      <c r="N790">
        <f>IF('01_Вводные'!$B$288="С НДС",SUM('19_Расчет_аналитики'!N712:N715)*(1+'01_Вводные'!$B$58)+'09_Лагеря'!N10,'19_Расчет_аналитики'!N717)</f>
        <v/>
      </c>
      <c r="O790">
        <f>IF('01_Вводные'!$B$288="С НДС",SUM('19_Расчет_аналитики'!O712:O715)*(1+'01_Вводные'!$B$58)+'09_Лагеря'!O10,'19_Расчет_аналитики'!O717)</f>
        <v/>
      </c>
      <c r="P790">
        <f>IF('01_Вводные'!$B$288="С НДС",SUM('19_Расчет_аналитики'!P712:P715)*(1+'01_Вводные'!$B$58)+'09_Лагеря'!P10,'19_Расчет_аналитики'!P717)</f>
        <v/>
      </c>
      <c r="Q790">
        <f>IF('01_Вводные'!$B$288="С НДС",SUM('19_Расчет_аналитики'!Q712:Q715)*(1+'01_Вводные'!$B$58)+'09_Лагеря'!Q10,'19_Расчет_аналитики'!Q717)</f>
        <v/>
      </c>
      <c r="R790">
        <f>IF('01_Вводные'!$B$288="С НДС",SUM('19_Расчет_аналитики'!R712:R715)*(1+'01_Вводные'!$B$58)+'09_Лагеря'!R10,'19_Расчет_аналитики'!R717)</f>
        <v/>
      </c>
      <c r="S790">
        <f>IF('01_Вводные'!$B$288="С НДС",SUM('19_Расчет_аналитики'!S712:S715)*(1+'01_Вводные'!$B$58)+'09_Лагеря'!S10,'19_Расчет_аналитики'!S717)</f>
        <v/>
      </c>
      <c r="T790">
        <f>IF('01_Вводные'!$B$288="С НДС",SUM('19_Расчет_аналитики'!T712:T715)*(1+'01_Вводные'!$B$58)+'09_Лагеря'!T10,'19_Расчет_аналитики'!T717)</f>
        <v/>
      </c>
      <c r="U790">
        <f>IF('01_Вводные'!$B$288="С НДС",SUM('19_Расчет_аналитики'!U712:U715)*(1+'01_Вводные'!$B$58)+'09_Лагеря'!U10,'19_Расчет_аналитики'!U717)</f>
        <v/>
      </c>
      <c r="V790">
        <f>IF('01_Вводные'!$B$288="С НДС",SUM('19_Расчет_аналитики'!V712:V715)*(1+'01_Вводные'!$B$58)+'09_Лагеря'!V10,'19_Расчет_аналитики'!V717)</f>
        <v/>
      </c>
      <c r="W790">
        <f>IF('01_Вводные'!$B$288="С НДС",SUM('19_Расчет_аналитики'!W712:W715)*(1+'01_Вводные'!$B$58)+'09_Лагеря'!W10,'19_Расчет_аналитики'!W717)</f>
        <v/>
      </c>
      <c r="X790">
        <f>IF('01_Вводные'!$B$288="С НДС",SUM('19_Расчет_аналитики'!X712:X715)*(1+'01_Вводные'!$B$58)+'09_Лагеря'!X10,'19_Расчет_аналитики'!X717)</f>
        <v/>
      </c>
      <c r="Y790">
        <f>IF('01_Вводные'!$B$288="С НДС",SUM('19_Расчет_аналитики'!Y712:Y715)*(1+'01_Вводные'!$B$58)+'09_Лагеря'!Y10,'19_Расчет_аналитики'!Y717)</f>
        <v/>
      </c>
      <c r="Z790">
        <f>IF('01_Вводные'!$B$288="С НДС",SUM('19_Расчет_аналитики'!Z712:Z715)*(1+'01_Вводные'!$B$58)+'09_Лагеря'!Z10,'19_Расчет_аналитики'!Z717)</f>
        <v/>
      </c>
      <c r="AA790">
        <f>IF('01_Вводные'!$B$288="С НДС",SUM('19_Расчет_аналитики'!AA712:AA715)*(1+'01_Вводные'!$B$58)+'09_Лагеря'!AA10,'19_Расчет_аналитики'!AA717)</f>
        <v/>
      </c>
      <c r="AB790">
        <f>IF('01_Вводные'!$B$288="С НДС",SUM('19_Расчет_аналитики'!AB712:AB715)*(1+'01_Вводные'!$B$58)+'09_Лагеря'!AB10,'19_Расчет_аналитики'!AB717)</f>
        <v/>
      </c>
      <c r="AC790">
        <f>IF('01_Вводные'!$B$288="С НДС",SUM('19_Расчет_аналитики'!AC712:AC715)*(1+'01_Вводные'!$B$58)+'09_Лагеря'!AC10,'19_Расчет_аналитики'!AC717)</f>
        <v/>
      </c>
      <c r="AD790">
        <f>IF('01_Вводные'!$B$288="С НДС",SUM('19_Расчет_аналитики'!AD712:AD715)*(1+'01_Вводные'!$B$58)+'09_Лагеря'!AD10,'19_Расчет_аналитики'!AD717)</f>
        <v/>
      </c>
      <c r="AE790">
        <f>IF('01_Вводные'!$B$288="С НДС",SUM('19_Расчет_аналитики'!AE712:AE715)*(1+'01_Вводные'!$B$58)+'09_Лагеря'!AE10,'19_Расчет_аналитики'!AE717)</f>
        <v/>
      </c>
      <c r="AF790">
        <f>IF('01_Вводные'!$B$288="С НДС",SUM('19_Расчет_аналитики'!AF712:AF715)*(1+'01_Вводные'!$B$58)+'09_Лагеря'!AF10,'19_Расчет_аналитики'!AF717)</f>
        <v/>
      </c>
      <c r="AG790">
        <f>IF('01_Вводные'!$B$288="С НДС",SUM('19_Расчет_аналитики'!AG712:AG715)*(1+'01_Вводные'!$B$58)+'09_Лагеря'!AG10,'19_Расчет_аналитики'!AG717)</f>
        <v/>
      </c>
      <c r="AH790">
        <f>IF('01_Вводные'!$B$288="С НДС",SUM('19_Расчет_аналитики'!AH712:AH715)*(1+'01_Вводные'!$B$58)+'09_Лагеря'!AH10,'19_Расчет_аналитики'!AH717)</f>
        <v/>
      </c>
      <c r="AI790">
        <f>IF('01_Вводные'!$B$288="С НДС",SUM('19_Расчет_аналитики'!AI712:AI715)*(1+'01_Вводные'!$B$58)+'09_Лагеря'!AI10,'19_Расчет_аналитики'!AI717)</f>
        <v/>
      </c>
      <c r="AJ790">
        <f>IF('01_Вводные'!$B$288="С НДС",SUM('19_Расчет_аналитики'!AJ712:AJ715)*(1+'01_Вводные'!$B$58)+'09_Лагеря'!AJ10,'19_Расчет_аналитики'!AJ717)</f>
        <v/>
      </c>
      <c r="AK790">
        <f>IF('01_Вводные'!$B$288="С НДС",SUM('19_Расчет_аналитики'!AK712:AK715)*(1+'01_Вводные'!$B$58)+'09_Лагеря'!AK10,'19_Расчет_аналитики'!AK717)</f>
        <v/>
      </c>
      <c r="AL790">
        <f>IF('01_Вводные'!$B$288="С НДС",SUM('19_Расчет_аналитики'!AL712:AL715)*(1+'01_Вводные'!$B$58)+'09_Лагеря'!AL10,'19_Расчет_аналитики'!AL717)</f>
        <v/>
      </c>
      <c r="AM790">
        <f>IF('01_Вводные'!$B$288="С НДС",SUM('19_Расчет_аналитики'!AM712:AM715)*(1+'01_Вводные'!$B$58)+'09_Лагеря'!AM10,'19_Расчет_аналитики'!AM717)</f>
        <v/>
      </c>
      <c r="AN790">
        <f>IF('01_Вводные'!$B$288="С НДС",SUM('19_Расчет_аналитики'!AN712:AN715)*(1+'01_Вводные'!$B$58)+'09_Лагеря'!AN10,'19_Расчет_аналитики'!AN717)</f>
        <v/>
      </c>
      <c r="AO790">
        <f>IF('01_Вводные'!$B$288="С НДС",SUM('19_Расчет_аналитики'!AO712:AO715)*(1+'01_Вводные'!$B$58)+'09_Лагеря'!AO10,'19_Расчет_аналитики'!AO717)</f>
        <v/>
      </c>
      <c r="AP790">
        <f>IF('01_Вводные'!$B$288="С НДС",SUM('19_Расчет_аналитики'!AP712:AP715)*(1+'01_Вводные'!$B$58)+'09_Лагеря'!AP10,'19_Расчет_аналитики'!AP717)</f>
        <v/>
      </c>
      <c r="AQ790">
        <f>IF('01_Вводные'!$B$288="С НДС",SUM('19_Расчет_аналитики'!AQ712:AQ715)*(1+'01_Вводные'!$B$58)+'09_Лагеря'!AQ10,'19_Расчет_аналитики'!AQ717)</f>
        <v/>
      </c>
      <c r="AR790">
        <f>IF('01_Вводные'!$B$288="С НДС",SUM('19_Расчет_аналитики'!AR712:AR715)*(1+'01_Вводные'!$B$58)+'09_Лагеря'!AR10,'19_Расчет_аналитики'!AR717)</f>
        <v/>
      </c>
      <c r="AS790">
        <f>IF('01_Вводные'!$B$288="С НДС",SUM('19_Расчет_аналитики'!AS712:AS715)*(1+'01_Вводные'!$B$58)+'09_Лагеря'!AS10,'19_Расчет_аналитики'!AS717)</f>
        <v/>
      </c>
      <c r="AT790">
        <f>IF('01_Вводные'!$B$288="С НДС",SUM('19_Расчет_аналитики'!AT712:AT715)*(1+'01_Вводные'!$B$58)+'09_Лагеря'!AT10,'19_Расчет_аналитики'!AT717)</f>
        <v/>
      </c>
      <c r="AU790">
        <f>IF('01_Вводные'!$B$288="С НДС",SUM('19_Расчет_аналитики'!AU712:AU715)*(1+'01_Вводные'!$B$58)+'09_Лагеря'!AU10,'19_Расчет_аналитики'!AU717)</f>
        <v/>
      </c>
      <c r="AV790">
        <f>IF('01_Вводные'!$B$288="С НДС",SUM('19_Расчет_аналитики'!AV712:AV715)*(1+'01_Вводные'!$B$58)+'09_Лагеря'!AV10,'19_Расчет_аналитики'!AV717)</f>
        <v/>
      </c>
      <c r="AW790">
        <f>IF('01_Вводные'!$B$288="С НДС",SUM('19_Расчет_аналитики'!AW712:AW715)*(1+'01_Вводные'!$B$58)+'09_Лагеря'!AW10,'19_Расчет_аналитики'!AW717)</f>
        <v/>
      </c>
      <c r="AX790">
        <f>IF('01_Вводные'!$B$288="С НДС",SUM('19_Расчет_аналитики'!AX712:AX715)*(1+'01_Вводные'!$B$58)+'09_Лагеря'!AX10,'19_Расчет_аналитики'!AX717)</f>
        <v/>
      </c>
      <c r="AY790">
        <f>IF('01_Вводные'!$B$288="С НДС",SUM('19_Расчет_аналитики'!AY712:AY715)*(1+'01_Вводные'!$B$58)+'09_Лагеря'!AY10,'19_Расчет_аналитики'!AY717)</f>
        <v/>
      </c>
      <c r="AZ790">
        <f>IF('01_Вводные'!$B$288="С НДС",SUM('19_Расчет_аналитики'!AZ712:AZ715)*(1+'01_Вводные'!$B$58)+'09_Лагеря'!AZ10,'19_Расчет_аналитики'!AZ717)</f>
        <v/>
      </c>
      <c r="BA790">
        <f>IF('01_Вводные'!$B$288="С НДС",SUM('19_Расчет_аналитики'!BA712:BA715)*(1+'01_Вводные'!$B$58)+'09_Лагеря'!BA10,'19_Расчет_аналитики'!BA717)</f>
        <v/>
      </c>
      <c r="BB790">
        <f>IF('01_Вводные'!$B$288="С НДС",SUM('19_Расчет_аналитики'!BB712:BB715)*(1+'01_Вводные'!$B$58)+'09_Лагеря'!BB10,'19_Расчет_аналитики'!BB717)</f>
        <v/>
      </c>
      <c r="BC790">
        <f>IF('01_Вводные'!$B$288="С НДС",SUM('19_Расчет_аналитики'!BC712:BC715)*(1+'01_Вводные'!$B$58)+'09_Лагеря'!BC10,'19_Расчет_аналитики'!BC717)</f>
        <v/>
      </c>
      <c r="BD790">
        <f>IF('01_Вводные'!$B$288="С НДС",SUM('19_Расчет_аналитики'!BD712:BD715)*(1+'01_Вводные'!$B$58)+'09_Лагеря'!BD10,'19_Расчет_аналитики'!BD717)</f>
        <v/>
      </c>
      <c r="BE790">
        <f>IF('01_Вводные'!$B$288="С НДС",SUM('19_Расчет_аналитики'!BE712:BE715)*(1+'01_Вводные'!$B$58)+'09_Лагеря'!BE10,'19_Расчет_аналитики'!BE717)</f>
        <v/>
      </c>
      <c r="BF790">
        <f>IF('01_Вводные'!$B$288="С НДС",SUM('19_Расчет_аналитики'!BF712:BF715)*(1+'01_Вводные'!$B$58)+'09_Лагеря'!BF10,'19_Расчет_аналитики'!BF717)</f>
        <v/>
      </c>
      <c r="BG790">
        <f>IF('01_Вводные'!$B$288="С НДС",SUM('19_Расчет_аналитики'!BG712:BG715)*(1+'01_Вводные'!$B$58)+'09_Лагеря'!BG10,'19_Расчет_аналитики'!BG717)</f>
        <v/>
      </c>
      <c r="BH790">
        <f>IF('01_Вводные'!$B$288="С НДС",SUM('19_Расчет_аналитики'!BH712:BH715)*(1+'01_Вводные'!$B$58)+'09_Лагеря'!BH10,'19_Расчет_аналитики'!BH717)</f>
        <v/>
      </c>
      <c r="BI790">
        <f>IF('01_Вводные'!$B$288="С НДС",SUM('19_Расчет_аналитики'!BI712:BI715)*(1+'01_Вводные'!$B$58)+'09_Лагеря'!BI10,'19_Расчет_аналитики'!BI717)</f>
        <v/>
      </c>
    </row>
    <row r="791">
      <c r="B791">
        <f>IF('01_Вводные'!$B$290="Да",'19_Расчет_аналитики'!B790*'01_Вводные'!$B$286,0)</f>
        <v/>
      </c>
      <c r="C791">
        <f>IF('01_Вводные'!$B$290="Да",'19_Расчет_аналитики'!C790*'01_Вводные'!$B$286,0)</f>
        <v/>
      </c>
      <c r="D791">
        <f>IF('01_Вводные'!$B$290="Да",'19_Расчет_аналитики'!D790*'01_Вводные'!$B$286,0)</f>
        <v/>
      </c>
      <c r="E791">
        <f>IF('01_Вводные'!$B$290="Да",'19_Расчет_аналитики'!E790*'01_Вводные'!$B$286,0)</f>
        <v/>
      </c>
      <c r="F791">
        <f>IF('01_Вводные'!$B$290="Да",'19_Расчет_аналитики'!F790*'01_Вводные'!$B$286,0)</f>
        <v/>
      </c>
      <c r="G791">
        <f>IF('01_Вводные'!$B$290="Да",'19_Расчет_аналитики'!G790*'01_Вводные'!$B$286,0)</f>
        <v/>
      </c>
      <c r="H791">
        <f>IF('01_Вводные'!$B$290="Да",'19_Расчет_аналитики'!H790*'01_Вводные'!$B$286,0)</f>
        <v/>
      </c>
      <c r="I791">
        <f>IF('01_Вводные'!$B$290="Да",'19_Расчет_аналитики'!I790*'01_Вводные'!$B$286,0)</f>
        <v/>
      </c>
      <c r="J791">
        <f>IF('01_Вводные'!$B$290="Да",'19_Расчет_аналитики'!J790*'01_Вводные'!$B$286,0)</f>
        <v/>
      </c>
      <c r="K791">
        <f>IF('01_Вводные'!$B$290="Да",'19_Расчет_аналитики'!K790*'01_Вводные'!$B$286,0)</f>
        <v/>
      </c>
      <c r="L791">
        <f>IF('01_Вводные'!$B$290="Да",'19_Расчет_аналитики'!L790*'01_Вводные'!$B$286,0)</f>
        <v/>
      </c>
      <c r="M791">
        <f>IF('01_Вводные'!$B$290="Да",'19_Расчет_аналитики'!M790*'01_Вводные'!$B$286,0)</f>
        <v/>
      </c>
      <c r="N791">
        <f>IF('01_Вводные'!$B$290="Да",'19_Расчет_аналитики'!N790*'01_Вводные'!$B$286,0)</f>
        <v/>
      </c>
      <c r="O791">
        <f>IF('01_Вводные'!$B$290="Да",'19_Расчет_аналитики'!O790*'01_Вводные'!$B$286,0)</f>
        <v/>
      </c>
      <c r="P791">
        <f>IF('01_Вводные'!$B$290="Да",'19_Расчет_аналитики'!P790*'01_Вводные'!$B$286,0)</f>
        <v/>
      </c>
      <c r="Q791">
        <f>IF('01_Вводные'!$B$290="Да",'19_Расчет_аналитики'!Q790*'01_Вводные'!$B$286,0)</f>
        <v/>
      </c>
      <c r="R791">
        <f>IF('01_Вводные'!$B$290="Да",'19_Расчет_аналитики'!R790*'01_Вводные'!$B$286,0)</f>
        <v/>
      </c>
      <c r="S791">
        <f>IF('01_Вводные'!$B$290="Да",'19_Расчет_аналитики'!S790*'01_Вводные'!$B$286,0)</f>
        <v/>
      </c>
      <c r="T791">
        <f>IF('01_Вводные'!$B$290="Да",'19_Расчет_аналитики'!T790*'01_Вводные'!$B$286,0)</f>
        <v/>
      </c>
      <c r="U791">
        <f>IF('01_Вводные'!$B$290="Да",'19_Расчет_аналитики'!U790*'01_Вводные'!$B$286,0)</f>
        <v/>
      </c>
      <c r="V791">
        <f>IF('01_Вводные'!$B$290="Да",'19_Расчет_аналитики'!V790*'01_Вводные'!$B$286,0)</f>
        <v/>
      </c>
      <c r="W791">
        <f>IF('01_Вводные'!$B$290="Да",'19_Расчет_аналитики'!W790*'01_Вводные'!$B$286,0)</f>
        <v/>
      </c>
      <c r="X791">
        <f>IF('01_Вводные'!$B$290="Да",'19_Расчет_аналитики'!X790*'01_Вводные'!$B$286,0)</f>
        <v/>
      </c>
      <c r="Y791">
        <f>IF('01_Вводные'!$B$290="Да",'19_Расчет_аналитики'!Y790*'01_Вводные'!$B$286,0)</f>
        <v/>
      </c>
      <c r="Z791">
        <f>IF('01_Вводные'!$B$290="Да",'19_Расчет_аналитики'!Z790*'01_Вводные'!$B$286,0)</f>
        <v/>
      </c>
      <c r="AA791">
        <f>IF('01_Вводные'!$B$290="Да",'19_Расчет_аналитики'!AA790*'01_Вводные'!$B$286,0)</f>
        <v/>
      </c>
      <c r="AB791">
        <f>IF('01_Вводные'!$B$290="Да",'19_Расчет_аналитики'!AB790*'01_Вводные'!$B$286,0)</f>
        <v/>
      </c>
      <c r="AC791">
        <f>IF('01_Вводные'!$B$290="Да",'19_Расчет_аналитики'!AC790*'01_Вводные'!$B$286,0)</f>
        <v/>
      </c>
      <c r="AD791">
        <f>IF('01_Вводные'!$B$290="Да",'19_Расчет_аналитики'!AD790*'01_Вводные'!$B$286,0)</f>
        <v/>
      </c>
      <c r="AE791">
        <f>IF('01_Вводные'!$B$290="Да",'19_Расчет_аналитики'!AE790*'01_Вводные'!$B$286,0)</f>
        <v/>
      </c>
      <c r="AF791">
        <f>IF('01_Вводные'!$B$290="Да",'19_Расчет_аналитики'!AF790*'01_Вводные'!$B$286,0)</f>
        <v/>
      </c>
      <c r="AG791">
        <f>IF('01_Вводные'!$B$290="Да",'19_Расчет_аналитики'!AG790*'01_Вводные'!$B$286,0)</f>
        <v/>
      </c>
      <c r="AH791">
        <f>IF('01_Вводные'!$B$290="Да",'19_Расчет_аналитики'!AH790*'01_Вводные'!$B$286,0)</f>
        <v/>
      </c>
      <c r="AI791">
        <f>IF('01_Вводные'!$B$290="Да",'19_Расчет_аналитики'!AI790*'01_Вводные'!$B$286,0)</f>
        <v/>
      </c>
      <c r="AJ791">
        <f>IF('01_Вводные'!$B$290="Да",'19_Расчет_аналитики'!AJ790*'01_Вводные'!$B$286,0)</f>
        <v/>
      </c>
      <c r="AK791">
        <f>IF('01_Вводные'!$B$290="Да",'19_Расчет_аналитики'!AK790*'01_Вводные'!$B$286,0)</f>
        <v/>
      </c>
      <c r="AL791">
        <f>IF('01_Вводные'!$B$290="Да",'19_Расчет_аналитики'!AL790*'01_Вводные'!$B$286,0)</f>
        <v/>
      </c>
      <c r="AM791">
        <f>IF('01_Вводные'!$B$290="Да",'19_Расчет_аналитики'!AM790*'01_Вводные'!$B$286,0)</f>
        <v/>
      </c>
      <c r="AN791">
        <f>IF('01_Вводные'!$B$290="Да",'19_Расчет_аналитики'!AN790*'01_Вводные'!$B$286,0)</f>
        <v/>
      </c>
      <c r="AO791">
        <f>IF('01_Вводные'!$B$290="Да",'19_Расчет_аналитики'!AO790*'01_Вводные'!$B$286,0)</f>
        <v/>
      </c>
      <c r="AP791">
        <f>IF('01_Вводные'!$B$290="Да",'19_Расчет_аналитики'!AP790*'01_Вводные'!$B$286,0)</f>
        <v/>
      </c>
      <c r="AQ791">
        <f>IF('01_Вводные'!$B$290="Да",'19_Расчет_аналитики'!AQ790*'01_Вводные'!$B$286,0)</f>
        <v/>
      </c>
      <c r="AR791">
        <f>IF('01_Вводные'!$B$290="Да",'19_Расчет_аналитики'!AR790*'01_Вводные'!$B$286,0)</f>
        <v/>
      </c>
      <c r="AS791">
        <f>IF('01_Вводные'!$B$290="Да",'19_Расчет_аналитики'!AS790*'01_Вводные'!$B$286,0)</f>
        <v/>
      </c>
      <c r="AT791">
        <f>IF('01_Вводные'!$B$290="Да",'19_Расчет_аналитики'!AT790*'01_Вводные'!$B$286,0)</f>
        <v/>
      </c>
      <c r="AU791">
        <f>IF('01_Вводные'!$B$290="Да",'19_Расчет_аналитики'!AU790*'01_Вводные'!$B$286,0)</f>
        <v/>
      </c>
      <c r="AV791">
        <f>IF('01_Вводные'!$B$290="Да",'19_Расчет_аналитики'!AV790*'01_Вводные'!$B$286,0)</f>
        <v/>
      </c>
      <c r="AW791">
        <f>IF('01_Вводные'!$B$290="Да",'19_Расчет_аналитики'!AW790*'01_Вводные'!$B$286,0)</f>
        <v/>
      </c>
      <c r="AX791">
        <f>IF('01_Вводные'!$B$290="Да",'19_Расчет_аналитики'!AX790*'01_Вводные'!$B$286,0)</f>
        <v/>
      </c>
      <c r="AY791">
        <f>IF('01_Вводные'!$B$290="Да",'19_Расчет_аналитики'!AY790*'01_Вводные'!$B$286,0)</f>
        <v/>
      </c>
      <c r="AZ791">
        <f>IF('01_Вводные'!$B$290="Да",'19_Расчет_аналитики'!AZ790*'01_Вводные'!$B$286,0)</f>
        <v/>
      </c>
      <c r="BA791">
        <f>IF('01_Вводные'!$B$290="Да",'19_Расчет_аналитики'!BA790*'01_Вводные'!$B$286,0)</f>
        <v/>
      </c>
      <c r="BB791">
        <f>IF('01_Вводные'!$B$290="Да",'19_Расчет_аналитики'!BB790*'01_Вводные'!$B$286,0)</f>
        <v/>
      </c>
      <c r="BC791">
        <f>IF('01_Вводные'!$B$290="Да",'19_Расчет_аналитики'!BC790*'01_Вводные'!$B$286,0)</f>
        <v/>
      </c>
      <c r="BD791">
        <f>IF('01_Вводные'!$B$290="Да",'19_Расчет_аналитики'!BD790*'01_Вводные'!$B$286,0)</f>
        <v/>
      </c>
      <c r="BE791">
        <f>IF('01_Вводные'!$B$290="Да",'19_Расчет_аналитики'!BE790*'01_Вводные'!$B$286,0)</f>
        <v/>
      </c>
      <c r="BF791">
        <f>IF('01_Вводные'!$B$290="Да",'19_Расчет_аналитики'!BF790*'01_Вводные'!$B$286,0)</f>
        <v/>
      </c>
      <c r="BG791">
        <f>IF('01_Вводные'!$B$290="Да",'19_Расчет_аналитики'!BG790*'01_Вводные'!$B$286,0)</f>
        <v/>
      </c>
      <c r="BH791">
        <f>IF('01_Вводные'!$B$290="Да",'19_Расчет_аналитики'!BH790*'01_Вводные'!$B$286,0)</f>
        <v/>
      </c>
      <c r="BI791">
        <f>IF('01_Вводные'!$B$290="Да",'19_Расчет_аналитики'!BI790*'01_Вводные'!$B$286,0)</f>
        <v/>
      </c>
    </row>
    <row r="792">
      <c r="B792">
        <f>'02_Модель'!B98</f>
        <v/>
      </c>
      <c r="C792">
        <f>'02_Модель'!C98</f>
        <v/>
      </c>
      <c r="D792">
        <f>'02_Модель'!D98</f>
        <v/>
      </c>
      <c r="E792">
        <f>'02_Модель'!E98</f>
        <v/>
      </c>
      <c r="F792">
        <f>'02_Модель'!F98</f>
        <v/>
      </c>
      <c r="G792">
        <f>'02_Модель'!G98</f>
        <v/>
      </c>
      <c r="H792">
        <f>'02_Модель'!H98</f>
        <v/>
      </c>
      <c r="I792">
        <f>'02_Модель'!I98</f>
        <v/>
      </c>
      <c r="J792">
        <f>'02_Модель'!J98</f>
        <v/>
      </c>
      <c r="K792">
        <f>'02_Модель'!K98</f>
        <v/>
      </c>
      <c r="L792">
        <f>'02_Модель'!L98</f>
        <v/>
      </c>
      <c r="M792">
        <f>'02_Модель'!M98</f>
        <v/>
      </c>
      <c r="N792">
        <f>'02_Модель'!N98</f>
        <v/>
      </c>
      <c r="O792">
        <f>'02_Модель'!O98</f>
        <v/>
      </c>
      <c r="P792">
        <f>'02_Модель'!P98</f>
        <v/>
      </c>
      <c r="Q792">
        <f>'02_Модель'!Q98</f>
        <v/>
      </c>
      <c r="R792">
        <f>'02_Модель'!R98</f>
        <v/>
      </c>
      <c r="S792">
        <f>'02_Модель'!S98</f>
        <v/>
      </c>
      <c r="T792">
        <f>'02_Модель'!T98</f>
        <v/>
      </c>
      <c r="U792">
        <f>'02_Модель'!U98</f>
        <v/>
      </c>
      <c r="V792">
        <f>'02_Модель'!V98</f>
        <v/>
      </c>
      <c r="W792">
        <f>'02_Модель'!W98</f>
        <v/>
      </c>
      <c r="X792">
        <f>'02_Модель'!X98</f>
        <v/>
      </c>
      <c r="Y792">
        <f>'02_Модель'!Y98</f>
        <v/>
      </c>
      <c r="Z792">
        <f>'02_Модель'!Z98</f>
        <v/>
      </c>
      <c r="AA792">
        <f>'02_Модель'!AA98</f>
        <v/>
      </c>
      <c r="AB792">
        <f>'02_Модель'!AB98</f>
        <v/>
      </c>
      <c r="AC792">
        <f>'02_Модель'!AC98</f>
        <v/>
      </c>
      <c r="AD792">
        <f>'02_Модель'!AD98</f>
        <v/>
      </c>
      <c r="AE792">
        <f>'02_Модель'!AE98</f>
        <v/>
      </c>
      <c r="AF792">
        <f>'02_Модель'!AF98</f>
        <v/>
      </c>
      <c r="AG792">
        <f>'02_Модель'!AG98</f>
        <v/>
      </c>
      <c r="AH792">
        <f>'02_Модель'!AH98</f>
        <v/>
      </c>
      <c r="AI792">
        <f>'02_Модель'!AI98</f>
        <v/>
      </c>
      <c r="AJ792">
        <f>'02_Модель'!AJ98</f>
        <v/>
      </c>
      <c r="AK792">
        <f>'02_Модель'!AK98</f>
        <v/>
      </c>
      <c r="AL792">
        <f>'02_Модель'!AL98</f>
        <v/>
      </c>
      <c r="AM792">
        <f>'02_Модель'!AM98</f>
        <v/>
      </c>
      <c r="AN792">
        <f>'02_Модель'!AN98</f>
        <v/>
      </c>
      <c r="AO792">
        <f>'02_Модель'!AO98</f>
        <v/>
      </c>
      <c r="AP792">
        <f>'02_Модель'!AP98</f>
        <v/>
      </c>
      <c r="AQ792">
        <f>'02_Модель'!AQ98</f>
        <v/>
      </c>
      <c r="AR792">
        <f>'02_Модель'!AR98</f>
        <v/>
      </c>
      <c r="AS792">
        <f>'02_Модель'!AS98</f>
        <v/>
      </c>
      <c r="AT792">
        <f>'02_Модель'!AT98</f>
        <v/>
      </c>
      <c r="AU792">
        <f>'02_Модель'!AU98</f>
        <v/>
      </c>
      <c r="AV792">
        <f>'02_Модель'!AV98</f>
        <v/>
      </c>
      <c r="AW792">
        <f>'02_Модель'!AW98</f>
        <v/>
      </c>
      <c r="AX792">
        <f>'02_Модель'!AX98</f>
        <v/>
      </c>
      <c r="AY792">
        <f>'02_Модель'!AY98</f>
        <v/>
      </c>
      <c r="AZ792">
        <f>'02_Модель'!AZ98</f>
        <v/>
      </c>
      <c r="BA792">
        <f>'02_Модель'!BA98</f>
        <v/>
      </c>
      <c r="BB792">
        <f>'02_Модель'!BB98</f>
        <v/>
      </c>
      <c r="BC792">
        <f>'02_Модель'!BC98</f>
        <v/>
      </c>
      <c r="BD792">
        <f>'02_Модель'!BD98</f>
        <v/>
      </c>
      <c r="BE792">
        <f>'02_Модель'!BE98</f>
        <v/>
      </c>
      <c r="BF792">
        <f>'02_Модель'!BF98</f>
        <v/>
      </c>
      <c r="BG792">
        <f>'02_Модель'!BG98</f>
        <v/>
      </c>
      <c r="BH792">
        <f>'02_Модель'!BH98</f>
        <v/>
      </c>
      <c r="BI792">
        <f>'02_Модель'!BI98</f>
        <v/>
      </c>
    </row>
    <row r="793">
      <c r="B793">
        <f>SUM('19_Расчет_аналитики'!B791:B792)</f>
        <v/>
      </c>
      <c r="C793">
        <f>SUM('19_Расчет_аналитики'!C791:C792)</f>
        <v/>
      </c>
      <c r="D793">
        <f>SUM('19_Расчет_аналитики'!D791:D792)</f>
        <v/>
      </c>
      <c r="E793">
        <f>SUM('19_Расчет_аналитики'!E791:E792)</f>
        <v/>
      </c>
      <c r="F793">
        <f>SUM('19_Расчет_аналитики'!F791:F792)</f>
        <v/>
      </c>
      <c r="G793">
        <f>SUM('19_Расчет_аналитики'!G791:G792)</f>
        <v/>
      </c>
      <c r="H793">
        <f>SUM('19_Расчет_аналитики'!H791:H792)</f>
        <v/>
      </c>
      <c r="I793">
        <f>SUM('19_Расчет_аналитики'!I791:I792)</f>
        <v/>
      </c>
      <c r="J793">
        <f>SUM('19_Расчет_аналитики'!J791:J792)</f>
        <v/>
      </c>
      <c r="K793">
        <f>SUM('19_Расчет_аналитики'!K791:K792)</f>
        <v/>
      </c>
      <c r="L793">
        <f>SUM('19_Расчет_аналитики'!L791:L792)</f>
        <v/>
      </c>
      <c r="M793">
        <f>SUM('19_Расчет_аналитики'!M791:M792)</f>
        <v/>
      </c>
      <c r="N793">
        <f>SUM('19_Расчет_аналитики'!N791:N792)</f>
        <v/>
      </c>
      <c r="O793">
        <f>SUM('19_Расчет_аналитики'!O791:O792)</f>
        <v/>
      </c>
      <c r="P793">
        <f>SUM('19_Расчет_аналитики'!P791:P792)</f>
        <v/>
      </c>
      <c r="Q793">
        <f>SUM('19_Расчет_аналитики'!Q791:Q792)</f>
        <v/>
      </c>
      <c r="R793">
        <f>SUM('19_Расчет_аналитики'!R791:R792)</f>
        <v/>
      </c>
      <c r="S793">
        <f>SUM('19_Расчет_аналитики'!S791:S792)</f>
        <v/>
      </c>
      <c r="T793">
        <f>SUM('19_Расчет_аналитики'!T791:T792)</f>
        <v/>
      </c>
      <c r="U793">
        <f>SUM('19_Расчет_аналитики'!U791:U792)</f>
        <v/>
      </c>
      <c r="V793">
        <f>SUM('19_Расчет_аналитики'!V791:V792)</f>
        <v/>
      </c>
      <c r="W793">
        <f>SUM('19_Расчет_аналитики'!W791:W792)</f>
        <v/>
      </c>
      <c r="X793">
        <f>SUM('19_Расчет_аналитики'!X791:X792)</f>
        <v/>
      </c>
      <c r="Y793">
        <f>SUM('19_Расчет_аналитики'!Y791:Y792)</f>
        <v/>
      </c>
      <c r="Z793">
        <f>SUM('19_Расчет_аналитики'!Z791:Z792)</f>
        <v/>
      </c>
      <c r="AA793">
        <f>SUM('19_Расчет_аналитики'!AA791:AA792)</f>
        <v/>
      </c>
      <c r="AB793">
        <f>SUM('19_Расчет_аналитики'!AB791:AB792)</f>
        <v/>
      </c>
      <c r="AC793">
        <f>SUM('19_Расчет_аналитики'!AC791:AC792)</f>
        <v/>
      </c>
      <c r="AD793">
        <f>SUM('19_Расчет_аналитики'!AD791:AD792)</f>
        <v/>
      </c>
      <c r="AE793">
        <f>SUM('19_Расчет_аналитики'!AE791:AE792)</f>
        <v/>
      </c>
      <c r="AF793">
        <f>SUM('19_Расчет_аналитики'!AF791:AF792)</f>
        <v/>
      </c>
      <c r="AG793">
        <f>SUM('19_Расчет_аналитики'!AG791:AG792)</f>
        <v/>
      </c>
      <c r="AH793">
        <f>SUM('19_Расчет_аналитики'!AH791:AH792)</f>
        <v/>
      </c>
      <c r="AI793">
        <f>SUM('19_Расчет_аналитики'!AI791:AI792)</f>
        <v/>
      </c>
      <c r="AJ793">
        <f>SUM('19_Расчет_аналитики'!AJ791:AJ792)</f>
        <v/>
      </c>
      <c r="AK793">
        <f>SUM('19_Расчет_аналитики'!AK791:AK792)</f>
        <v/>
      </c>
      <c r="AL793">
        <f>SUM('19_Расчет_аналитики'!AL791:AL792)</f>
        <v/>
      </c>
      <c r="AM793">
        <f>SUM('19_Расчет_аналитики'!AM791:AM792)</f>
        <v/>
      </c>
      <c r="AN793">
        <f>SUM('19_Расчет_аналитики'!AN791:AN792)</f>
        <v/>
      </c>
      <c r="AO793">
        <f>SUM('19_Расчет_аналитики'!AO791:AO792)</f>
        <v/>
      </c>
      <c r="AP793">
        <f>SUM('19_Расчет_аналитики'!AP791:AP792)</f>
        <v/>
      </c>
      <c r="AQ793">
        <f>SUM('19_Расчет_аналитики'!AQ791:AQ792)</f>
        <v/>
      </c>
      <c r="AR793">
        <f>SUM('19_Расчет_аналитики'!AR791:AR792)</f>
        <v/>
      </c>
      <c r="AS793">
        <f>SUM('19_Расчет_аналитики'!AS791:AS792)</f>
        <v/>
      </c>
      <c r="AT793">
        <f>SUM('19_Расчет_аналитики'!AT791:AT792)</f>
        <v/>
      </c>
      <c r="AU793">
        <f>SUM('19_Расчет_аналитики'!AU791:AU792)</f>
        <v/>
      </c>
      <c r="AV793">
        <f>SUM('19_Расчет_аналитики'!AV791:AV792)</f>
        <v/>
      </c>
      <c r="AW793">
        <f>SUM('19_Расчет_аналитики'!AW791:AW792)</f>
        <v/>
      </c>
      <c r="AX793">
        <f>SUM('19_Расчет_аналитики'!AX791:AX792)</f>
        <v/>
      </c>
      <c r="AY793">
        <f>SUM('19_Расчет_аналитики'!AY791:AY792)</f>
        <v/>
      </c>
      <c r="AZ793">
        <f>SUM('19_Расчет_аналитики'!AZ791:AZ792)</f>
        <v/>
      </c>
      <c r="BA793">
        <f>SUM('19_Расчет_аналитики'!BA791:BA792)</f>
        <v/>
      </c>
      <c r="BB793">
        <f>SUM('19_Расчет_аналитики'!BB791:BB792)</f>
        <v/>
      </c>
      <c r="BC793">
        <f>SUM('19_Расчет_аналитики'!BC791:BC792)</f>
        <v/>
      </c>
      <c r="BD793">
        <f>SUM('19_Расчет_аналитики'!BD791:BD792)</f>
        <v/>
      </c>
      <c r="BE793">
        <f>SUM('19_Расчет_аналитики'!BE791:BE792)</f>
        <v/>
      </c>
      <c r="BF793">
        <f>SUM('19_Расчет_аналитики'!BF791:BF792)</f>
        <v/>
      </c>
      <c r="BG793">
        <f>SUM('19_Расчет_аналитики'!BG791:BG792)</f>
        <v/>
      </c>
      <c r="BH793">
        <f>SUM('19_Расчет_аналитики'!BH791:BH792)</f>
        <v/>
      </c>
      <c r="BI793">
        <f>SUM('19_Расчет_аналитики'!BI791:BI792)</f>
        <v/>
      </c>
    </row>
    <row r="794">
      <c r="B794">
        <f>SUM('19_Расчет_аналитики'!$B793:B793)</f>
        <v/>
      </c>
      <c r="C794">
        <f>SUM('19_Расчет_аналитики'!$B793:C793)</f>
        <v/>
      </c>
      <c r="D794">
        <f>SUM('19_Расчет_аналитики'!$B793:D793)</f>
        <v/>
      </c>
      <c r="E794">
        <f>SUM('19_Расчет_аналитики'!$B793:E793)</f>
        <v/>
      </c>
      <c r="F794">
        <f>SUM('19_Расчет_аналитики'!$B793:F793)</f>
        <v/>
      </c>
      <c r="G794">
        <f>SUM('19_Расчет_аналитики'!$B793:G793)</f>
        <v/>
      </c>
      <c r="H794">
        <f>SUM('19_Расчет_аналитики'!$B793:H793)</f>
        <v/>
      </c>
      <c r="I794">
        <f>SUM('19_Расчет_аналитики'!$B793:I793)</f>
        <v/>
      </c>
      <c r="J794">
        <f>SUM('19_Расчет_аналитики'!$B793:J793)</f>
        <v/>
      </c>
      <c r="K794">
        <f>SUM('19_Расчет_аналитики'!$B793:K793)</f>
        <v/>
      </c>
      <c r="L794">
        <f>SUM('19_Расчет_аналитики'!$B793:L793)</f>
        <v/>
      </c>
      <c r="M794">
        <f>SUM('19_Расчет_аналитики'!$B793:M793)</f>
        <v/>
      </c>
      <c r="N794">
        <f>SUM('19_Расчет_аналитики'!$B793:N793)</f>
        <v/>
      </c>
      <c r="O794">
        <f>SUM('19_Расчет_аналитики'!$B793:O793)</f>
        <v/>
      </c>
      <c r="P794">
        <f>SUM('19_Расчет_аналитики'!$B793:P793)</f>
        <v/>
      </c>
      <c r="Q794">
        <f>SUM('19_Расчет_аналитики'!$B793:Q793)</f>
        <v/>
      </c>
      <c r="R794">
        <f>SUM('19_Расчет_аналитики'!$B793:R793)</f>
        <v/>
      </c>
      <c r="S794">
        <f>SUM('19_Расчет_аналитики'!$B793:S793)</f>
        <v/>
      </c>
      <c r="T794">
        <f>SUM('19_Расчет_аналитики'!$B793:T793)</f>
        <v/>
      </c>
      <c r="U794">
        <f>SUM('19_Расчет_аналитики'!$B793:U793)</f>
        <v/>
      </c>
      <c r="V794">
        <f>SUM('19_Расчет_аналитики'!$B793:V793)</f>
        <v/>
      </c>
      <c r="W794">
        <f>SUM('19_Расчет_аналитики'!$B793:W793)</f>
        <v/>
      </c>
      <c r="X794">
        <f>SUM('19_Расчет_аналитики'!$B793:X793)</f>
        <v/>
      </c>
      <c r="Y794">
        <f>SUM('19_Расчет_аналитики'!$B793:Y793)</f>
        <v/>
      </c>
      <c r="Z794">
        <f>SUM('19_Расчет_аналитики'!$B793:Z793)</f>
        <v/>
      </c>
      <c r="AA794">
        <f>SUM('19_Расчет_аналитики'!$B793:AA793)</f>
        <v/>
      </c>
      <c r="AB794">
        <f>SUM('19_Расчет_аналитики'!$B793:AB793)</f>
        <v/>
      </c>
      <c r="AC794">
        <f>SUM('19_Расчет_аналитики'!$B793:AC793)</f>
        <v/>
      </c>
      <c r="AD794">
        <f>SUM('19_Расчет_аналитики'!$B793:AD793)</f>
        <v/>
      </c>
      <c r="AE794">
        <f>SUM('19_Расчет_аналитики'!$B793:AE793)</f>
        <v/>
      </c>
      <c r="AF794">
        <f>SUM('19_Расчет_аналитики'!$B793:AF793)</f>
        <v/>
      </c>
      <c r="AG794">
        <f>SUM('19_Расчет_аналитики'!$B793:AG793)</f>
        <v/>
      </c>
      <c r="AH794">
        <f>SUM('19_Расчет_аналитики'!$B793:AH793)</f>
        <v/>
      </c>
      <c r="AI794">
        <f>SUM('19_Расчет_аналитики'!$B793:AI793)</f>
        <v/>
      </c>
      <c r="AJ794">
        <f>SUM('19_Расчет_аналитики'!$B793:AJ793)</f>
        <v/>
      </c>
      <c r="AK794">
        <f>SUM('19_Расчет_аналитики'!$B793:AK793)</f>
        <v/>
      </c>
      <c r="AL794">
        <f>SUM('19_Расчет_аналитики'!$B793:AL793)</f>
        <v/>
      </c>
      <c r="AM794">
        <f>SUM('19_Расчет_аналитики'!$B793:AM793)</f>
        <v/>
      </c>
      <c r="AN794">
        <f>SUM('19_Расчет_аналитики'!$B793:AN793)</f>
        <v/>
      </c>
      <c r="AO794">
        <f>SUM('19_Расчет_аналитики'!$B793:AO793)</f>
        <v/>
      </c>
      <c r="AP794">
        <f>SUM('19_Расчет_аналитики'!$B793:AP793)</f>
        <v/>
      </c>
      <c r="AQ794">
        <f>SUM('19_Расчет_аналитики'!$B793:AQ793)</f>
        <v/>
      </c>
      <c r="AR794">
        <f>SUM('19_Расчет_аналитики'!$B793:AR793)</f>
        <v/>
      </c>
      <c r="AS794">
        <f>SUM('19_Расчет_аналитики'!$B793:AS793)</f>
        <v/>
      </c>
      <c r="AT794">
        <f>SUM('19_Расчет_аналитики'!$B793:AT793)</f>
        <v/>
      </c>
      <c r="AU794">
        <f>SUM('19_Расчет_аналитики'!$B793:AU793)</f>
        <v/>
      </c>
      <c r="AV794">
        <f>SUM('19_Расчет_аналитики'!$B793:AV793)</f>
        <v/>
      </c>
      <c r="AW794">
        <f>SUM('19_Расчет_аналитики'!$B793:AW793)</f>
        <v/>
      </c>
      <c r="AX794">
        <f>SUM('19_Расчет_аналитики'!$B793:AX793)</f>
        <v/>
      </c>
      <c r="AY794">
        <f>SUM('19_Расчет_аналитики'!$B793:AY793)</f>
        <v/>
      </c>
      <c r="AZ794">
        <f>SUM('19_Расчет_аналитики'!$B793:AZ793)</f>
        <v/>
      </c>
      <c r="BA794">
        <f>SUM('19_Расчет_аналитики'!$B793:BA793)</f>
        <v/>
      </c>
      <c r="BB794">
        <f>SUM('19_Расчет_аналитики'!$B793:BB793)</f>
        <v/>
      </c>
      <c r="BC794">
        <f>SUM('19_Расчет_аналитики'!$B793:BC793)</f>
        <v/>
      </c>
      <c r="BD794">
        <f>SUM('19_Расчет_аналитики'!$B793:BD793)</f>
        <v/>
      </c>
      <c r="BE794">
        <f>SUM('19_Расчет_аналитики'!$B793:BE793)</f>
        <v/>
      </c>
      <c r="BF794">
        <f>SUM('19_Расчет_аналитики'!$B793:BF793)</f>
        <v/>
      </c>
      <c r="BG794">
        <f>SUM('19_Расчет_аналитики'!$B793:BG793)</f>
        <v/>
      </c>
      <c r="BH794">
        <f>SUM('19_Расчет_аналитики'!$B793:BH793)</f>
        <v/>
      </c>
      <c r="BI794">
        <f>SUM('19_Расчет_аналитики'!$B793:BI793)</f>
        <v/>
      </c>
    </row>
    <row r="795"/>
    <row r="796"/>
    <row r="797"/>
    <row r="798"/>
    <row r="799"/>
    <row r="800"/>
    <row r="801"/>
    <row r="802"/>
    <row r="803"/>
    <row r="804"/>
    <row r="805">
      <c r="B805">
        <f>INDEX('19_Расчет_аналитики'!$C$75:$C$79,MIN(5,INT(0/12)+1),1)*'18_Календарь_тарифы'!B4</f>
        <v/>
      </c>
      <c r="C805">
        <f>INDEX('19_Расчет_аналитики'!$C$75:$C$79,MIN(5,INT(1/12)+1),1)*'18_Календарь_тарифы'!C4</f>
        <v/>
      </c>
      <c r="D805">
        <f>INDEX('19_Расчет_аналитики'!$C$75:$C$79,MIN(5,INT(2/12)+1),1)*'18_Календарь_тарифы'!D4</f>
        <v/>
      </c>
      <c r="E805">
        <f>INDEX('19_Расчет_аналитики'!$C$75:$C$79,MIN(5,INT(3/12)+1),1)*'18_Календарь_тарифы'!E4</f>
        <v/>
      </c>
      <c r="F805">
        <f>INDEX('19_Расчет_аналитики'!$C$75:$C$79,MIN(5,INT(4/12)+1),1)*'18_Календарь_тарифы'!F4</f>
        <v/>
      </c>
      <c r="G805">
        <f>INDEX('19_Расчет_аналитики'!$C$75:$C$79,MIN(5,INT(5/12)+1),1)*'18_Календарь_тарифы'!G4</f>
        <v/>
      </c>
      <c r="H805">
        <f>INDEX('19_Расчет_аналитики'!$C$75:$C$79,MIN(5,INT(6/12)+1),1)*'18_Календарь_тарифы'!H4</f>
        <v/>
      </c>
      <c r="I805">
        <f>INDEX('19_Расчет_аналитики'!$C$75:$C$79,MIN(5,INT(7/12)+1),1)*'18_Календарь_тарифы'!I4</f>
        <v/>
      </c>
      <c r="J805">
        <f>INDEX('19_Расчет_аналитики'!$C$75:$C$79,MIN(5,INT(8/12)+1),1)*'18_Календарь_тарифы'!J4</f>
        <v/>
      </c>
      <c r="K805">
        <f>INDEX('19_Расчет_аналитики'!$C$75:$C$79,MIN(5,INT(9/12)+1),1)*'18_Календарь_тарифы'!K4</f>
        <v/>
      </c>
      <c r="L805">
        <f>INDEX('19_Расчет_аналитики'!$C$75:$C$79,MIN(5,INT(10/12)+1),1)*'18_Календарь_тарифы'!L4</f>
        <v/>
      </c>
      <c r="M805">
        <f>INDEX('19_Расчет_аналитики'!$C$75:$C$79,MIN(5,INT(11/12)+1),1)*'18_Календарь_тарифы'!M4</f>
        <v/>
      </c>
      <c r="N805">
        <f>INDEX('19_Расчет_аналитики'!$C$75:$C$79,MIN(5,INT(12/12)+1),1)*'18_Календарь_тарифы'!N4</f>
        <v/>
      </c>
      <c r="O805">
        <f>INDEX('19_Расчет_аналитики'!$C$75:$C$79,MIN(5,INT(13/12)+1),1)*'18_Календарь_тарифы'!O4</f>
        <v/>
      </c>
      <c r="P805">
        <f>INDEX('19_Расчет_аналитики'!$C$75:$C$79,MIN(5,INT(14/12)+1),1)*'18_Календарь_тарифы'!P4</f>
        <v/>
      </c>
      <c r="Q805">
        <f>INDEX('19_Расчет_аналитики'!$C$75:$C$79,MIN(5,INT(15/12)+1),1)*'18_Календарь_тарифы'!Q4</f>
        <v/>
      </c>
      <c r="R805">
        <f>INDEX('19_Расчет_аналитики'!$C$75:$C$79,MIN(5,INT(16/12)+1),1)*'18_Календарь_тарифы'!R4</f>
        <v/>
      </c>
      <c r="S805">
        <f>INDEX('19_Расчет_аналитики'!$C$75:$C$79,MIN(5,INT(17/12)+1),1)*'18_Календарь_тарифы'!S4</f>
        <v/>
      </c>
      <c r="T805">
        <f>INDEX('19_Расчет_аналитики'!$C$75:$C$79,MIN(5,INT(18/12)+1),1)*'18_Календарь_тарифы'!T4</f>
        <v/>
      </c>
      <c r="U805">
        <f>INDEX('19_Расчет_аналитики'!$C$75:$C$79,MIN(5,INT(19/12)+1),1)*'18_Календарь_тарифы'!U4</f>
        <v/>
      </c>
      <c r="V805">
        <f>INDEX('19_Расчет_аналитики'!$C$75:$C$79,MIN(5,INT(20/12)+1),1)*'18_Календарь_тарифы'!V4</f>
        <v/>
      </c>
      <c r="W805">
        <f>INDEX('19_Расчет_аналитики'!$C$75:$C$79,MIN(5,INT(21/12)+1),1)*'18_Календарь_тарифы'!W4</f>
        <v/>
      </c>
      <c r="X805">
        <f>INDEX('19_Расчет_аналитики'!$C$75:$C$79,MIN(5,INT(22/12)+1),1)*'18_Календарь_тарифы'!X4</f>
        <v/>
      </c>
      <c r="Y805">
        <f>INDEX('19_Расчет_аналитики'!$C$75:$C$79,MIN(5,INT(23/12)+1),1)*'18_Календарь_тарифы'!Y4</f>
        <v/>
      </c>
      <c r="Z805">
        <f>INDEX('19_Расчет_аналитики'!$C$75:$C$79,MIN(5,INT(24/12)+1),1)*'18_Календарь_тарифы'!Z4</f>
        <v/>
      </c>
      <c r="AA805">
        <f>INDEX('19_Расчет_аналитики'!$C$75:$C$79,MIN(5,INT(25/12)+1),1)*'18_Календарь_тарифы'!AA4</f>
        <v/>
      </c>
      <c r="AB805">
        <f>INDEX('19_Расчет_аналитики'!$C$75:$C$79,MIN(5,INT(26/12)+1),1)*'18_Календарь_тарифы'!AB4</f>
        <v/>
      </c>
      <c r="AC805">
        <f>INDEX('19_Расчет_аналитики'!$C$75:$C$79,MIN(5,INT(27/12)+1),1)*'18_Календарь_тарифы'!AC4</f>
        <v/>
      </c>
      <c r="AD805">
        <f>INDEX('19_Расчет_аналитики'!$C$75:$C$79,MIN(5,INT(28/12)+1),1)*'18_Календарь_тарифы'!AD4</f>
        <v/>
      </c>
      <c r="AE805">
        <f>INDEX('19_Расчет_аналитики'!$C$75:$C$79,MIN(5,INT(29/12)+1),1)*'18_Календарь_тарифы'!AE4</f>
        <v/>
      </c>
      <c r="AF805">
        <f>INDEX('19_Расчет_аналитики'!$C$75:$C$79,MIN(5,INT(30/12)+1),1)*'18_Календарь_тарифы'!AF4</f>
        <v/>
      </c>
      <c r="AG805">
        <f>INDEX('19_Расчет_аналитики'!$C$75:$C$79,MIN(5,INT(31/12)+1),1)*'18_Календарь_тарифы'!AG4</f>
        <v/>
      </c>
      <c r="AH805">
        <f>INDEX('19_Расчет_аналитики'!$C$75:$C$79,MIN(5,INT(32/12)+1),1)*'18_Календарь_тарифы'!AH4</f>
        <v/>
      </c>
      <c r="AI805">
        <f>INDEX('19_Расчет_аналитики'!$C$75:$C$79,MIN(5,INT(33/12)+1),1)*'18_Календарь_тарифы'!AI4</f>
        <v/>
      </c>
      <c r="AJ805">
        <f>INDEX('19_Расчет_аналитики'!$C$75:$C$79,MIN(5,INT(34/12)+1),1)*'18_Календарь_тарифы'!AJ4</f>
        <v/>
      </c>
      <c r="AK805">
        <f>INDEX('19_Расчет_аналитики'!$C$75:$C$79,MIN(5,INT(35/12)+1),1)*'18_Календарь_тарифы'!AK4</f>
        <v/>
      </c>
      <c r="AL805">
        <f>INDEX('19_Расчет_аналитики'!$C$75:$C$79,MIN(5,INT(36/12)+1),1)*'18_Календарь_тарифы'!AL4</f>
        <v/>
      </c>
      <c r="AM805">
        <f>INDEX('19_Расчет_аналитики'!$C$75:$C$79,MIN(5,INT(37/12)+1),1)*'18_Календарь_тарифы'!AM4</f>
        <v/>
      </c>
      <c r="AN805">
        <f>INDEX('19_Расчет_аналитики'!$C$75:$C$79,MIN(5,INT(38/12)+1),1)*'18_Календарь_тарифы'!AN4</f>
        <v/>
      </c>
      <c r="AO805">
        <f>INDEX('19_Расчет_аналитики'!$C$75:$C$79,MIN(5,INT(39/12)+1),1)*'18_Календарь_тарифы'!AO4</f>
        <v/>
      </c>
      <c r="AP805">
        <f>INDEX('19_Расчет_аналитики'!$C$75:$C$79,MIN(5,INT(40/12)+1),1)*'18_Календарь_тарифы'!AP4</f>
        <v/>
      </c>
      <c r="AQ805">
        <f>INDEX('19_Расчет_аналитики'!$C$75:$C$79,MIN(5,INT(41/12)+1),1)*'18_Календарь_тарифы'!AQ4</f>
        <v/>
      </c>
      <c r="AR805">
        <f>INDEX('19_Расчет_аналитики'!$C$75:$C$79,MIN(5,INT(42/12)+1),1)*'18_Календарь_тарифы'!AR4</f>
        <v/>
      </c>
      <c r="AS805">
        <f>INDEX('19_Расчет_аналитики'!$C$75:$C$79,MIN(5,INT(43/12)+1),1)*'18_Календарь_тарифы'!AS4</f>
        <v/>
      </c>
      <c r="AT805">
        <f>INDEX('19_Расчет_аналитики'!$C$75:$C$79,MIN(5,INT(44/12)+1),1)*'18_Календарь_тарифы'!AT4</f>
        <v/>
      </c>
      <c r="AU805">
        <f>INDEX('19_Расчет_аналитики'!$C$75:$C$79,MIN(5,INT(45/12)+1),1)*'18_Календарь_тарифы'!AU4</f>
        <v/>
      </c>
      <c r="AV805">
        <f>INDEX('19_Расчет_аналитики'!$C$75:$C$79,MIN(5,INT(46/12)+1),1)*'18_Календарь_тарифы'!AV4</f>
        <v/>
      </c>
      <c r="AW805">
        <f>INDEX('19_Расчет_аналитики'!$C$75:$C$79,MIN(5,INT(47/12)+1),1)*'18_Календарь_тарифы'!AW4</f>
        <v/>
      </c>
      <c r="AX805">
        <f>INDEX('19_Расчет_аналитики'!$C$75:$C$79,MIN(5,INT(48/12)+1),1)*'18_Календарь_тарифы'!AX4</f>
        <v/>
      </c>
      <c r="AY805">
        <f>INDEX('19_Расчет_аналитики'!$C$75:$C$79,MIN(5,INT(49/12)+1),1)*'18_Календарь_тарифы'!AY4</f>
        <v/>
      </c>
      <c r="AZ805">
        <f>INDEX('19_Расчет_аналитики'!$C$75:$C$79,MIN(5,INT(50/12)+1),1)*'18_Календарь_тарифы'!AZ4</f>
        <v/>
      </c>
      <c r="BA805">
        <f>INDEX('19_Расчет_аналитики'!$C$75:$C$79,MIN(5,INT(51/12)+1),1)*'18_Календарь_тарифы'!BA4</f>
        <v/>
      </c>
      <c r="BB805">
        <f>INDEX('19_Расчет_аналитики'!$C$75:$C$79,MIN(5,INT(52/12)+1),1)*'18_Календарь_тарифы'!BB4</f>
        <v/>
      </c>
      <c r="BC805">
        <f>INDEX('19_Расчет_аналитики'!$C$75:$C$79,MIN(5,INT(53/12)+1),1)*'18_Календарь_тарифы'!BC4</f>
        <v/>
      </c>
      <c r="BD805">
        <f>INDEX('19_Расчет_аналитики'!$C$75:$C$79,MIN(5,INT(54/12)+1),1)*'18_Календарь_тарифы'!BD4</f>
        <v/>
      </c>
      <c r="BE805">
        <f>INDEX('19_Расчет_аналитики'!$C$75:$C$79,MIN(5,INT(55/12)+1),1)*'18_Календарь_тарифы'!BE4</f>
        <v/>
      </c>
      <c r="BF805">
        <f>INDEX('19_Расчет_аналитики'!$C$75:$C$79,MIN(5,INT(56/12)+1),1)*'18_Календарь_тарифы'!BF4</f>
        <v/>
      </c>
      <c r="BG805">
        <f>INDEX('19_Расчет_аналитики'!$C$75:$C$79,MIN(5,INT(57/12)+1),1)*'18_Календарь_тарифы'!BG4</f>
        <v/>
      </c>
      <c r="BH805">
        <f>INDEX('19_Расчет_аналитики'!$C$75:$C$79,MIN(5,INT(58/12)+1),1)*'18_Календарь_тарифы'!BH4</f>
        <v/>
      </c>
      <c r="BI805">
        <f>INDEX('19_Расчет_аналитики'!$C$75:$C$79,MIN(5,INT(59/12)+1),1)*'18_Календарь_тарифы'!BI4</f>
        <v/>
      </c>
      <c r="BJ805">
        <f>INDEX('19_Расчет_аналитики'!$C$75:$C$79,MIN(5,INT(60/12)+1),1)*'18_Календарь_тарифы'!BJ4</f>
        <v/>
      </c>
      <c r="BK805">
        <f>INDEX('19_Расчет_аналитики'!$C$75:$C$79,MIN(5,INT(61/12)+1),1)*'18_Календарь_тарифы'!BK4</f>
        <v/>
      </c>
      <c r="BL805">
        <f>INDEX('19_Расчет_аналитики'!$C$75:$C$79,MIN(5,INT(62/12)+1),1)*'18_Календарь_тарифы'!BL4</f>
        <v/>
      </c>
      <c r="BM805">
        <f>INDEX('19_Расчет_аналитики'!$C$75:$C$79,MIN(5,INT(63/12)+1),1)*'18_Календарь_тарифы'!BM4</f>
        <v/>
      </c>
      <c r="BN805">
        <f>INDEX('19_Расчет_аналитики'!$C$75:$C$79,MIN(5,INT(64/12)+1),1)*'18_Календарь_тарифы'!BN4</f>
        <v/>
      </c>
      <c r="BO805">
        <f>INDEX('19_Расчет_аналитики'!$C$75:$C$79,MIN(5,INT(65/12)+1),1)*'18_Календарь_тарифы'!BO4</f>
        <v/>
      </c>
    </row>
    <row r="806">
      <c r="B806">
        <f>'19_Расчет_аналитики'!$B$63*'18_Календарь_тарифы'!B4</f>
        <v/>
      </c>
      <c r="C806">
        <f>'19_Расчет_аналитики'!$B$63*'18_Календарь_тарифы'!C4</f>
        <v/>
      </c>
      <c r="D806">
        <f>'19_Расчет_аналитики'!$B$63*'18_Календарь_тарифы'!D4</f>
        <v/>
      </c>
      <c r="E806">
        <f>'19_Расчет_аналитики'!$B$63*'18_Календарь_тарифы'!E4</f>
        <v/>
      </c>
      <c r="F806">
        <f>'19_Расчет_аналитики'!$B$63*'18_Календарь_тарифы'!F4</f>
        <v/>
      </c>
      <c r="G806">
        <f>'19_Расчет_аналитики'!$B$63*'18_Календарь_тарифы'!G4</f>
        <v/>
      </c>
      <c r="H806">
        <f>'19_Расчет_аналитики'!$B$63*'18_Календарь_тарифы'!H4</f>
        <v/>
      </c>
      <c r="I806">
        <f>'19_Расчет_аналитики'!$B$63*'18_Календарь_тарифы'!I4</f>
        <v/>
      </c>
      <c r="J806">
        <f>'19_Расчет_аналитики'!$B$63*'18_Календарь_тарифы'!J4</f>
        <v/>
      </c>
      <c r="K806">
        <f>'19_Расчет_аналитики'!$B$63*'18_Календарь_тарифы'!K4</f>
        <v/>
      </c>
      <c r="L806">
        <f>'19_Расчет_аналитики'!$B$63*'18_Календарь_тарифы'!L4</f>
        <v/>
      </c>
      <c r="M806">
        <f>'19_Расчет_аналитики'!$B$63*'18_Календарь_тарифы'!M4</f>
        <v/>
      </c>
      <c r="N806">
        <f>'19_Расчет_аналитики'!$B$63*'18_Календарь_тарифы'!N4</f>
        <v/>
      </c>
      <c r="O806">
        <f>'19_Расчет_аналитики'!$B$63*'18_Календарь_тарифы'!O4</f>
        <v/>
      </c>
      <c r="P806">
        <f>'19_Расчет_аналитики'!$B$63*'18_Календарь_тарифы'!P4</f>
        <v/>
      </c>
      <c r="Q806">
        <f>'19_Расчет_аналитики'!$B$63*'18_Календарь_тарифы'!Q4</f>
        <v/>
      </c>
      <c r="R806">
        <f>'19_Расчет_аналитики'!$B$63*'18_Календарь_тарифы'!R4</f>
        <v/>
      </c>
      <c r="S806">
        <f>'19_Расчет_аналитики'!$B$63*'18_Календарь_тарифы'!S4</f>
        <v/>
      </c>
      <c r="T806">
        <f>'19_Расчет_аналитики'!$B$63*'18_Календарь_тарифы'!T4</f>
        <v/>
      </c>
      <c r="U806">
        <f>'19_Расчет_аналитики'!$B$63*'18_Календарь_тарифы'!U4</f>
        <v/>
      </c>
      <c r="V806">
        <f>'19_Расчет_аналитики'!$B$63*'18_Календарь_тарифы'!V4</f>
        <v/>
      </c>
      <c r="W806">
        <f>'19_Расчет_аналитики'!$B$63*'18_Календарь_тарифы'!W4</f>
        <v/>
      </c>
      <c r="X806">
        <f>'19_Расчет_аналитики'!$B$63*'18_Календарь_тарифы'!X4</f>
        <v/>
      </c>
      <c r="Y806">
        <f>'19_Расчет_аналитики'!$B$63*'18_Календарь_тарифы'!Y4</f>
        <v/>
      </c>
      <c r="Z806">
        <f>'19_Расчет_аналитики'!$B$63*'18_Календарь_тарифы'!Z4</f>
        <v/>
      </c>
      <c r="AA806">
        <f>'19_Расчет_аналитики'!$B$63*'18_Календарь_тарифы'!AA4</f>
        <v/>
      </c>
      <c r="AB806">
        <f>'19_Расчет_аналитики'!$B$63*'18_Календарь_тарифы'!AB4</f>
        <v/>
      </c>
      <c r="AC806">
        <f>'19_Расчет_аналитики'!$B$63*'18_Календарь_тарифы'!AC4</f>
        <v/>
      </c>
      <c r="AD806">
        <f>'19_Расчет_аналитики'!$B$63*'18_Календарь_тарифы'!AD4</f>
        <v/>
      </c>
      <c r="AE806">
        <f>'19_Расчет_аналитики'!$B$63*'18_Календарь_тарифы'!AE4</f>
        <v/>
      </c>
      <c r="AF806">
        <f>'19_Расчет_аналитики'!$B$63*'18_Календарь_тарифы'!AF4</f>
        <v/>
      </c>
      <c r="AG806">
        <f>'19_Расчет_аналитики'!$B$63*'18_Календарь_тарифы'!AG4</f>
        <v/>
      </c>
      <c r="AH806">
        <f>'19_Расчет_аналитики'!$B$63*'18_Календарь_тарифы'!AH4</f>
        <v/>
      </c>
      <c r="AI806">
        <f>'19_Расчет_аналитики'!$B$63*'18_Календарь_тарифы'!AI4</f>
        <v/>
      </c>
      <c r="AJ806">
        <f>'19_Расчет_аналитики'!$B$63*'18_Календарь_тарифы'!AJ4</f>
        <v/>
      </c>
      <c r="AK806">
        <f>'19_Расчет_аналитики'!$B$63*'18_Календарь_тарифы'!AK4</f>
        <v/>
      </c>
      <c r="AL806">
        <f>'19_Расчет_аналитики'!$B$63*'18_Календарь_тарифы'!AL4</f>
        <v/>
      </c>
      <c r="AM806">
        <f>'19_Расчет_аналитики'!$B$63*'18_Календарь_тарифы'!AM4</f>
        <v/>
      </c>
      <c r="AN806">
        <f>'19_Расчет_аналитики'!$B$63*'18_Календарь_тарифы'!AN4</f>
        <v/>
      </c>
      <c r="AO806">
        <f>'19_Расчет_аналитики'!$B$63*'18_Календарь_тарифы'!AO4</f>
        <v/>
      </c>
      <c r="AP806">
        <f>'19_Расчет_аналитики'!$B$63*'18_Календарь_тарифы'!AP4</f>
        <v/>
      </c>
      <c r="AQ806">
        <f>'19_Расчет_аналитики'!$B$63*'18_Календарь_тарифы'!AQ4</f>
        <v/>
      </c>
      <c r="AR806">
        <f>'19_Расчет_аналитики'!$B$63*'18_Календарь_тарифы'!AR4</f>
        <v/>
      </c>
      <c r="AS806">
        <f>'19_Расчет_аналитики'!$B$63*'18_Календарь_тарифы'!AS4</f>
        <v/>
      </c>
      <c r="AT806">
        <f>'19_Расчет_аналитики'!$B$63*'18_Календарь_тарифы'!AT4</f>
        <v/>
      </c>
      <c r="AU806">
        <f>'19_Расчет_аналитики'!$B$63*'18_Календарь_тарифы'!AU4</f>
        <v/>
      </c>
      <c r="AV806">
        <f>'19_Расчет_аналитики'!$B$63*'18_Календарь_тарифы'!AV4</f>
        <v/>
      </c>
      <c r="AW806">
        <f>'19_Расчет_аналитики'!$B$63*'18_Календарь_тарифы'!AW4</f>
        <v/>
      </c>
      <c r="AX806">
        <f>'19_Расчет_аналитики'!$B$63*'18_Календарь_тарифы'!AX4</f>
        <v/>
      </c>
      <c r="AY806">
        <f>'19_Расчет_аналитики'!$B$63*'18_Календарь_тарифы'!AY4</f>
        <v/>
      </c>
      <c r="AZ806">
        <f>'19_Расчет_аналитики'!$B$63*'18_Календарь_тарифы'!AZ4</f>
        <v/>
      </c>
      <c r="BA806">
        <f>'19_Расчет_аналитики'!$B$63*'18_Календарь_тарифы'!BA4</f>
        <v/>
      </c>
      <c r="BB806">
        <f>'19_Расчет_аналитики'!$B$63*'18_Календарь_тарифы'!BB4</f>
        <v/>
      </c>
      <c r="BC806">
        <f>'19_Расчет_аналитики'!$B$63*'18_Календарь_тарифы'!BC4</f>
        <v/>
      </c>
      <c r="BD806">
        <f>'19_Расчет_аналитики'!$B$63*'18_Календарь_тарифы'!BD4</f>
        <v/>
      </c>
      <c r="BE806">
        <f>'19_Расчет_аналитики'!$B$63*'18_Календарь_тарифы'!BE4</f>
        <v/>
      </c>
      <c r="BF806">
        <f>'19_Расчет_аналитики'!$B$63*'18_Календарь_тарифы'!BF4</f>
        <v/>
      </c>
      <c r="BG806">
        <f>'19_Расчет_аналитики'!$B$63*'18_Календарь_тарифы'!BG4</f>
        <v/>
      </c>
      <c r="BH806">
        <f>'19_Расчет_аналитики'!$B$63*'18_Календарь_тарифы'!BH4</f>
        <v/>
      </c>
      <c r="BI806">
        <f>'19_Расчет_аналитики'!$B$63*'18_Календарь_тарифы'!BI4</f>
        <v/>
      </c>
      <c r="BJ806">
        <f>'19_Расчет_аналитики'!$B$63*'18_Календарь_тарифы'!BJ4</f>
        <v/>
      </c>
      <c r="BK806">
        <f>'19_Расчет_аналитики'!$B$63*'18_Календарь_тарифы'!BK4</f>
        <v/>
      </c>
      <c r="BL806">
        <f>'19_Расчет_аналитики'!$B$63*'18_Календарь_тарифы'!BL4</f>
        <v/>
      </c>
      <c r="BM806">
        <f>'19_Расчет_аналитики'!$B$63*'18_Календарь_тарифы'!BM4</f>
        <v/>
      </c>
      <c r="BN806">
        <f>'19_Расчет_аналитики'!$B$63*'18_Календарь_тарифы'!BN4</f>
        <v/>
      </c>
      <c r="BO806">
        <f>'19_Расчет_аналитики'!$B$63*'18_Календарь_тарифы'!BO4</f>
        <v/>
      </c>
    </row>
    <row r="807"/>
    <row r="808"/>
    <row r="809">
      <c r="B809">
        <f>'19_Расчет_аналитики'!$B$38*'18_Календарь_тарифы'!B4</f>
        <v/>
      </c>
      <c r="C809">
        <f>'19_Расчет_аналитики'!$B$38*'18_Календарь_тарифы'!C4</f>
        <v/>
      </c>
      <c r="D809">
        <f>'19_Расчет_аналитики'!$B$38*'18_Календарь_тарифы'!D4</f>
        <v/>
      </c>
      <c r="E809">
        <f>'19_Расчет_аналитики'!$B$38*'18_Календарь_тарифы'!E4</f>
        <v/>
      </c>
      <c r="F809">
        <f>'19_Расчет_аналитики'!$B$38*'18_Календарь_тарифы'!F4</f>
        <v/>
      </c>
      <c r="G809">
        <f>'19_Расчет_аналитики'!$B$38*'18_Календарь_тарифы'!G4</f>
        <v/>
      </c>
      <c r="H809">
        <f>'19_Расчет_аналитики'!$B$38*'18_Календарь_тарифы'!H4</f>
        <v/>
      </c>
      <c r="I809">
        <f>'19_Расчет_аналитики'!$B$38*'18_Календарь_тарифы'!I4</f>
        <v/>
      </c>
      <c r="J809">
        <f>'19_Расчет_аналитики'!$B$38*'18_Календарь_тарифы'!J4</f>
        <v/>
      </c>
      <c r="K809">
        <f>'19_Расчет_аналитики'!$B$38*'18_Календарь_тарифы'!K4</f>
        <v/>
      </c>
      <c r="L809">
        <f>'19_Расчет_аналитики'!$B$38*'18_Календарь_тарифы'!L4</f>
        <v/>
      </c>
      <c r="M809">
        <f>'19_Расчет_аналитики'!$B$38*'18_Календарь_тарифы'!M4</f>
        <v/>
      </c>
      <c r="N809">
        <f>'19_Расчет_аналитики'!$B$38*'18_Календарь_тарифы'!N4</f>
        <v/>
      </c>
      <c r="O809">
        <f>'19_Расчет_аналитики'!$B$38*'18_Календарь_тарифы'!O4</f>
        <v/>
      </c>
      <c r="P809">
        <f>'19_Расчет_аналитики'!$B$38*'18_Календарь_тарифы'!P4</f>
        <v/>
      </c>
      <c r="Q809">
        <f>'19_Расчет_аналитики'!$B$38*'18_Календарь_тарифы'!Q4</f>
        <v/>
      </c>
      <c r="R809">
        <f>'19_Расчет_аналитики'!$B$38*'18_Календарь_тарифы'!R4</f>
        <v/>
      </c>
      <c r="S809">
        <f>'19_Расчет_аналитики'!$B$38*'18_Календарь_тарифы'!S4</f>
        <v/>
      </c>
      <c r="T809">
        <f>'19_Расчет_аналитики'!$B$38*'18_Календарь_тарифы'!T4</f>
        <v/>
      </c>
      <c r="U809">
        <f>'19_Расчет_аналитики'!$B$38*'18_Календарь_тарифы'!U4</f>
        <v/>
      </c>
      <c r="V809">
        <f>'19_Расчет_аналитики'!$B$38*'18_Календарь_тарифы'!V4</f>
        <v/>
      </c>
      <c r="W809">
        <f>'19_Расчет_аналитики'!$B$38*'18_Календарь_тарифы'!W4</f>
        <v/>
      </c>
      <c r="X809">
        <f>'19_Расчет_аналитики'!$B$38*'18_Календарь_тарифы'!X4</f>
        <v/>
      </c>
      <c r="Y809">
        <f>'19_Расчет_аналитики'!$B$38*'18_Календарь_тарифы'!Y4</f>
        <v/>
      </c>
      <c r="Z809">
        <f>'19_Расчет_аналитики'!$B$38*'18_Календарь_тарифы'!Z4</f>
        <v/>
      </c>
      <c r="AA809">
        <f>'19_Расчет_аналитики'!$B$38*'18_Календарь_тарифы'!AA4</f>
        <v/>
      </c>
      <c r="AB809">
        <f>'19_Расчет_аналитики'!$B$38*'18_Календарь_тарифы'!AB4</f>
        <v/>
      </c>
      <c r="AC809">
        <f>'19_Расчет_аналитики'!$B$38*'18_Календарь_тарифы'!AC4</f>
        <v/>
      </c>
      <c r="AD809">
        <f>'19_Расчет_аналитики'!$B$38*'18_Календарь_тарифы'!AD4</f>
        <v/>
      </c>
      <c r="AE809">
        <f>'19_Расчет_аналитики'!$B$38*'18_Календарь_тарифы'!AE4</f>
        <v/>
      </c>
      <c r="AF809">
        <f>'19_Расчет_аналитики'!$B$38*'18_Календарь_тарифы'!AF4</f>
        <v/>
      </c>
      <c r="AG809">
        <f>'19_Расчет_аналитики'!$B$38*'18_Календарь_тарифы'!AG4</f>
        <v/>
      </c>
      <c r="AH809">
        <f>'19_Расчет_аналитики'!$B$38*'18_Календарь_тарифы'!AH4</f>
        <v/>
      </c>
      <c r="AI809">
        <f>'19_Расчет_аналитики'!$B$38*'18_Календарь_тарифы'!AI4</f>
        <v/>
      </c>
      <c r="AJ809">
        <f>'19_Расчет_аналитики'!$B$38*'18_Календарь_тарифы'!AJ4</f>
        <v/>
      </c>
      <c r="AK809">
        <f>'19_Расчет_аналитики'!$B$38*'18_Календарь_тарифы'!AK4</f>
        <v/>
      </c>
      <c r="AL809">
        <f>'19_Расчет_аналитики'!$B$38*'18_Календарь_тарифы'!AL4</f>
        <v/>
      </c>
      <c r="AM809">
        <f>'19_Расчет_аналитики'!$B$38*'18_Календарь_тарифы'!AM4</f>
        <v/>
      </c>
      <c r="AN809">
        <f>'19_Расчет_аналитики'!$B$38*'18_Календарь_тарифы'!AN4</f>
        <v/>
      </c>
      <c r="AO809">
        <f>'19_Расчет_аналитики'!$B$38*'18_Календарь_тарифы'!AO4</f>
        <v/>
      </c>
      <c r="AP809">
        <f>'19_Расчет_аналитики'!$B$38*'18_Календарь_тарифы'!AP4</f>
        <v/>
      </c>
      <c r="AQ809">
        <f>'19_Расчет_аналитики'!$B$38*'18_Календарь_тарифы'!AQ4</f>
        <v/>
      </c>
      <c r="AR809">
        <f>'19_Расчет_аналитики'!$B$38*'18_Календарь_тарифы'!AR4</f>
        <v/>
      </c>
      <c r="AS809">
        <f>'19_Расчет_аналитики'!$B$38*'18_Календарь_тарифы'!AS4</f>
        <v/>
      </c>
      <c r="AT809">
        <f>'19_Расчет_аналитики'!$B$38*'18_Календарь_тарифы'!AT4</f>
        <v/>
      </c>
      <c r="AU809">
        <f>'19_Расчет_аналитики'!$B$38*'18_Календарь_тарифы'!AU4</f>
        <v/>
      </c>
      <c r="AV809">
        <f>'19_Расчет_аналитики'!$B$38*'18_Календарь_тарифы'!AV4</f>
        <v/>
      </c>
      <c r="AW809">
        <f>'19_Расчет_аналитики'!$B$38*'18_Календарь_тарифы'!AW4</f>
        <v/>
      </c>
      <c r="AX809">
        <f>'19_Расчет_аналитики'!$B$38*'18_Календарь_тарифы'!AX4</f>
        <v/>
      </c>
      <c r="AY809">
        <f>'19_Расчет_аналитики'!$B$38*'18_Календарь_тарифы'!AY4</f>
        <v/>
      </c>
      <c r="AZ809">
        <f>'19_Расчет_аналитики'!$B$38*'18_Календарь_тарифы'!AZ4</f>
        <v/>
      </c>
      <c r="BA809">
        <f>'19_Расчет_аналитики'!$B$38*'18_Календарь_тарифы'!BA4</f>
        <v/>
      </c>
      <c r="BB809">
        <f>'19_Расчет_аналитики'!$B$38*'18_Календарь_тарифы'!BB4</f>
        <v/>
      </c>
      <c r="BC809">
        <f>'19_Расчет_аналитики'!$B$38*'18_Календарь_тарифы'!BC4</f>
        <v/>
      </c>
      <c r="BD809">
        <f>'19_Расчет_аналитики'!$B$38*'18_Календарь_тарифы'!BD4</f>
        <v/>
      </c>
      <c r="BE809">
        <f>'19_Расчет_аналитики'!$B$38*'18_Календарь_тарифы'!BE4</f>
        <v/>
      </c>
      <c r="BF809">
        <f>'19_Расчет_аналитики'!$B$38*'18_Календарь_тарифы'!BF4</f>
        <v/>
      </c>
      <c r="BG809">
        <f>'19_Расчет_аналитики'!$B$38*'18_Календарь_тарифы'!BG4</f>
        <v/>
      </c>
      <c r="BH809">
        <f>'19_Расчет_аналитики'!$B$38*'18_Календарь_тарифы'!BH4</f>
        <v/>
      </c>
      <c r="BI809">
        <f>'19_Расчет_аналитики'!$B$38*'18_Календарь_тарифы'!BI4</f>
        <v/>
      </c>
      <c r="BJ809">
        <f>'19_Расчет_аналитики'!$B$38*'18_Календарь_тарифы'!BJ4</f>
        <v/>
      </c>
      <c r="BK809">
        <f>'19_Расчет_аналитики'!$B$38*'18_Календарь_тарифы'!BK4</f>
        <v/>
      </c>
      <c r="BL809">
        <f>'19_Расчет_аналитики'!$B$38*'18_Календарь_тарифы'!BL4</f>
        <v/>
      </c>
      <c r="BM809">
        <f>'19_Расчет_аналитики'!$B$38*'18_Календарь_тарифы'!BM4</f>
        <v/>
      </c>
      <c r="BN809">
        <f>'19_Расчет_аналитики'!$B$38*'18_Календарь_тарифы'!BN4</f>
        <v/>
      </c>
      <c r="BO809">
        <f>'19_Расчет_аналитики'!$B$38*'18_Календарь_тарифы'!BO4</f>
        <v/>
      </c>
    </row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>
      <c r="A1015" t="inlineStr">
        <is>
          <t>Base</t>
        </is>
      </c>
    </row>
    <row r="1016"/>
    <row r="1017">
      <c r="B1017">
        <f>'01_Вводные'!D198</f>
        <v/>
      </c>
      <c r="C1017">
        <f>'01_Вводные'!D199</f>
        <v/>
      </c>
      <c r="D1017">
        <f>'01_Вводные'!D200</f>
        <v/>
      </c>
      <c r="E1017">
        <f>'01_Вводные'!D201</f>
        <v/>
      </c>
      <c r="F1017">
        <f>'01_Вводные'!D202</f>
        <v/>
      </c>
      <c r="G1017">
        <f>'01_Вводные'!D203</f>
        <v/>
      </c>
    </row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>
      <c r="B1042">
        <f>'01_Вводные'!$B$225*'19_Расчет_аналитики'!$F$1227</f>
        <v/>
      </c>
    </row>
    <row r="1043"/>
    <row r="1044">
      <c r="B1044">
        <f>MAX(0,MIN(1,(30-'19_Расчет_аналитики'!B1042)/30))</f>
        <v/>
      </c>
    </row>
    <row r="1045"/>
    <row r="1046"/>
    <row r="1047"/>
    <row r="1048"/>
    <row r="1049"/>
    <row r="1050">
      <c r="B1050">
        <f>'01_Вводные'!$B$224*'19_Расчет_аналитики'!$F$1226</f>
        <v/>
      </c>
    </row>
    <row r="1051"/>
    <row r="1052"/>
    <row r="1053"/>
    <row r="1054"/>
    <row r="1055"/>
    <row r="1056"/>
    <row r="1057"/>
    <row r="1058"/>
    <row r="1059"/>
    <row r="1060">
      <c r="B1060">
        <f>'01_Вводные'!$B$210*'19_Расчет_аналитики'!$F$1222</f>
        <v/>
      </c>
    </row>
    <row r="1061">
      <c r="B1061">
        <f>'01_Вводные'!$B$211*'19_Расчет_аналитики'!$F$1222</f>
        <v/>
      </c>
    </row>
    <row r="1062">
      <c r="B1062">
        <f>'01_Вводные'!$B$212*'19_Расчет_аналитики'!$F$1222</f>
        <v/>
      </c>
    </row>
    <row r="1063">
      <c r="B1063">
        <f>'01_Вводные'!$B$213*'19_Расчет_аналитики'!$F$1222</f>
        <v/>
      </c>
    </row>
    <row r="1064">
      <c r="B1064">
        <f>'01_Вводные'!$B$214*'19_Расчет_аналитики'!$F$1222</f>
        <v/>
      </c>
    </row>
    <row r="1065"/>
    <row r="1066"/>
    <row r="1067"/>
    <row r="1068"/>
    <row r="1069"/>
    <row r="1070">
      <c r="B1070">
        <f>'01_Вводные'!$B$215*'19_Расчет_аналитики'!$F$1223</f>
        <v/>
      </c>
    </row>
    <row r="1071">
      <c r="B1071">
        <f>'01_Вводные'!$B$216*'19_Расчет_аналитики'!$F$1223</f>
        <v/>
      </c>
    </row>
    <row r="1072"/>
    <row r="1073"/>
    <row r="1074"/>
    <row r="1075">
      <c r="B1075">
        <f>'01_Вводные'!$B$217*'19_Расчет_аналитики'!$F$1224</f>
        <v/>
      </c>
    </row>
    <row r="1076"/>
    <row r="1077"/>
    <row r="1078"/>
    <row r="1079"/>
    <row r="1080"/>
    <row r="1081"/>
    <row r="1082"/>
    <row r="1083"/>
    <row r="1084"/>
    <row r="1085"/>
    <row r="1086"/>
    <row r="1087">
      <c r="C1087">
        <f>'01_Вводные'!$B$218*'19_Расчет_аналитики'!$F$1224</f>
        <v/>
      </c>
    </row>
    <row r="1088">
      <c r="C1088">
        <f>'01_Вводные'!$B$219*'19_Расчет_аналитики'!$F$1224</f>
        <v/>
      </c>
    </row>
    <row r="1089">
      <c r="C1089">
        <f>'01_Вводные'!$B$220*'19_Расчет_аналитики'!$F$1224</f>
        <v/>
      </c>
    </row>
    <row r="1090">
      <c r="C1090">
        <f>'01_Вводные'!$B$221*'19_Расчет_аналитики'!$F$1224</f>
        <v/>
      </c>
    </row>
    <row r="1091">
      <c r="C1091">
        <f>'01_Вводные'!$B$222*'19_Расчет_аналитики'!$F$1224</f>
        <v/>
      </c>
    </row>
    <row r="1092"/>
    <row r="1093"/>
    <row r="1094"/>
    <row r="1095"/>
    <row r="1096"/>
    <row r="1097"/>
    <row r="1098">
      <c r="B1098">
        <f>'01_Вводные'!$B$223*'19_Расчет_аналитики'!$F$1225</f>
        <v/>
      </c>
    </row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>
      <c r="F1222">
        <f>'19_Расчет_аналитики'!$B$1017</f>
        <v/>
      </c>
    </row>
    <row r="1223">
      <c r="F1223">
        <f>'19_Расчет_аналитики'!$C$1017</f>
        <v/>
      </c>
    </row>
    <row r="1224">
      <c r="F1224">
        <f>'19_Расчет_аналитики'!$D$1017</f>
        <v/>
      </c>
    </row>
    <row r="1225">
      <c r="F1225">
        <f>'19_Расчет_аналитики'!$E$1017</f>
        <v/>
      </c>
    </row>
    <row r="1226">
      <c r="F1226">
        <f>'19_Расчет_аналитики'!$F$1017</f>
        <v/>
      </c>
    </row>
    <row r="1227">
      <c r="F1227">
        <f>'19_Расчет_аналитики'!$G$1017</f>
        <v/>
      </c>
    </row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>
      <c r="B1340">
        <f>'19_Расчет_аналитики'!B1060</f>
        <v/>
      </c>
      <c r="D1340">
        <f>SUM('19_Расчет_аналитики'!B1350:M1350)</f>
        <v/>
      </c>
      <c r="E1340">
        <f>ROUND('19_Расчет_аналитики'!D1340-'19_Расчет_аналитики'!B1340,8)</f>
        <v/>
      </c>
    </row>
    <row r="1341">
      <c r="B1341">
        <f>'19_Расчет_аналитики'!B1061</f>
        <v/>
      </c>
      <c r="D1341">
        <f>SUM('19_Расчет_аналитики'!N1350:Y1350)</f>
        <v/>
      </c>
      <c r="E1341">
        <f>ROUND('19_Расчет_аналитики'!D1341-'19_Расчет_аналитики'!B1341,8)</f>
        <v/>
      </c>
    </row>
    <row r="1342">
      <c r="B1342">
        <f>'19_Расчет_аналитики'!B1062</f>
        <v/>
      </c>
      <c r="D1342">
        <f>SUM('19_Расчет_аналитики'!Z1350:AK1350)</f>
        <v/>
      </c>
      <c r="E1342">
        <f>ROUND('19_Расчет_аналитики'!D1342-'19_Расчет_аналитики'!B1342,8)</f>
        <v/>
      </c>
    </row>
    <row r="1343">
      <c r="B1343">
        <f>'19_Расчет_аналитики'!B1063</f>
        <v/>
      </c>
      <c r="D1343">
        <f>SUM('19_Расчет_аналитики'!AL1350:AW1350)</f>
        <v/>
      </c>
      <c r="E1343">
        <f>ROUND('19_Расчет_аналитики'!D1343-'19_Расчет_аналитики'!B1343,8)</f>
        <v/>
      </c>
    </row>
    <row r="1344">
      <c r="B1344">
        <f>'19_Расчет_аналитики'!B1064</f>
        <v/>
      </c>
      <c r="D1344">
        <f>SUM('19_Расчет_аналитики'!AX1350:BI1350)</f>
        <v/>
      </c>
      <c r="E1344">
        <f>ROUND('19_Расчет_аналитики'!D1344-'19_Расчет_аналитики'!B1344,8)</f>
        <v/>
      </c>
    </row>
    <row r="1345"/>
    <row r="1346"/>
    <row r="1347"/>
    <row r="1348"/>
    <row r="1349"/>
    <row r="1350">
      <c r="B1350">
        <f>0</f>
        <v/>
      </c>
      <c r="C1350">
        <f>'19_Расчет_аналитики'!$B$1060*INDEX('01_Вводные'!$C$36:$N$36,1,MOD(MONTH('06_Сеть_и_дети'!C$3)-9,12)+1)/(SUM('01_Вводные'!$C$36:$N$36)-INDEX('01_Вводные'!$C$36:$N$36,1,MOD(MONTH('01_Вводные'!$B$7)-9,12)+1))</f>
        <v/>
      </c>
      <c r="D1350">
        <f>'19_Расчет_аналитики'!$B$1060*INDEX('01_Вводные'!$C$36:$N$36,1,MOD(MONTH('06_Сеть_и_дети'!D$3)-9,12)+1)/(SUM('01_Вводные'!$C$36:$N$36)-INDEX('01_Вводные'!$C$36:$N$36,1,MOD(MONTH('01_Вводные'!$B$7)-9,12)+1))</f>
        <v/>
      </c>
      <c r="E1350">
        <f>'19_Расчет_аналитики'!$B$1060*INDEX('01_Вводные'!$C$36:$N$36,1,MOD(MONTH('06_Сеть_и_дети'!E$3)-9,12)+1)/(SUM('01_Вводные'!$C$36:$N$36)-INDEX('01_Вводные'!$C$36:$N$36,1,MOD(MONTH('01_Вводные'!$B$7)-9,12)+1))</f>
        <v/>
      </c>
      <c r="F1350">
        <f>'19_Расчет_аналитики'!$B$1060*INDEX('01_Вводные'!$C$36:$N$36,1,MOD(MONTH('06_Сеть_и_дети'!F$3)-9,12)+1)/(SUM('01_Вводные'!$C$36:$N$36)-INDEX('01_Вводные'!$C$36:$N$36,1,MOD(MONTH('01_Вводные'!$B$7)-9,12)+1))</f>
        <v/>
      </c>
      <c r="G1350">
        <f>'19_Расчет_аналитики'!$B$1060*INDEX('01_Вводные'!$C$36:$N$36,1,MOD(MONTH('06_Сеть_и_дети'!G$3)-9,12)+1)/(SUM('01_Вводные'!$C$36:$N$36)-INDEX('01_Вводные'!$C$36:$N$36,1,MOD(MONTH('01_Вводные'!$B$7)-9,12)+1))</f>
        <v/>
      </c>
      <c r="H1350">
        <f>'19_Расчет_аналитики'!$B$1060*INDEX('01_Вводные'!$C$36:$N$36,1,MOD(MONTH('06_Сеть_и_дети'!H$3)-9,12)+1)/(SUM('01_Вводные'!$C$36:$N$36)-INDEX('01_Вводные'!$C$36:$N$36,1,MOD(MONTH('01_Вводные'!$B$7)-9,12)+1))</f>
        <v/>
      </c>
      <c r="I1350">
        <f>'19_Расчет_аналитики'!$B$1060*INDEX('01_Вводные'!$C$36:$N$36,1,MOD(MONTH('06_Сеть_и_дети'!I$3)-9,12)+1)/(SUM('01_Вводные'!$C$36:$N$36)-INDEX('01_Вводные'!$C$36:$N$36,1,MOD(MONTH('01_Вводные'!$B$7)-9,12)+1))</f>
        <v/>
      </c>
      <c r="J1350">
        <f>'19_Расчет_аналитики'!$B$1060*INDEX('01_Вводные'!$C$36:$N$36,1,MOD(MONTH('06_Сеть_и_дети'!J$3)-9,12)+1)/(SUM('01_Вводные'!$C$36:$N$36)-INDEX('01_Вводные'!$C$36:$N$36,1,MOD(MONTH('01_Вводные'!$B$7)-9,12)+1))</f>
        <v/>
      </c>
      <c r="K1350">
        <f>'19_Расчет_аналитики'!$B$1060*INDEX('01_Вводные'!$C$36:$N$36,1,MOD(MONTH('06_Сеть_и_дети'!K$3)-9,12)+1)/(SUM('01_Вводные'!$C$36:$N$36)-INDEX('01_Вводные'!$C$36:$N$36,1,MOD(MONTH('01_Вводные'!$B$7)-9,12)+1))</f>
        <v/>
      </c>
      <c r="L1350">
        <f>'19_Расчет_аналитики'!$B$1060*INDEX('01_Вводные'!$C$36:$N$36,1,MOD(MONTH('06_Сеть_и_дети'!L$3)-9,12)+1)/(SUM('01_Вводные'!$C$36:$N$36)-INDEX('01_Вводные'!$C$36:$N$36,1,MOD(MONTH('01_Вводные'!$B$7)-9,12)+1))</f>
        <v/>
      </c>
      <c r="M1350">
        <f>'19_Расчет_аналитики'!$B$1060*INDEX('01_Вводные'!$C$36:$N$36,1,MOD(MONTH('06_Сеть_и_дети'!M$3)-9,12)+1)/(SUM('01_Вводные'!$C$36:$N$36)-INDEX('01_Вводные'!$C$36:$N$36,1,MOD(MONTH('01_Вводные'!$B$7)-9,12)+1))</f>
        <v/>
      </c>
      <c r="N1350">
        <f>'19_Расчет_аналитики'!$B$1061*INDEX('01_Вводные'!$C$37:$N$37,1,MOD(MONTH('06_Сеть_и_дети'!N$3)-9,12)+1)/SUM('01_Вводные'!$C$37:$N$37)</f>
        <v/>
      </c>
      <c r="O1350">
        <f>'19_Расчет_аналитики'!$B$1061*INDEX('01_Вводные'!$C$37:$N$37,1,MOD(MONTH('06_Сеть_и_дети'!O$3)-9,12)+1)/SUM('01_Вводные'!$C$37:$N$37)</f>
        <v/>
      </c>
      <c r="P1350">
        <f>'19_Расчет_аналитики'!$B$1061*INDEX('01_Вводные'!$C$37:$N$37,1,MOD(MONTH('06_Сеть_и_дети'!P$3)-9,12)+1)/SUM('01_Вводные'!$C$37:$N$37)</f>
        <v/>
      </c>
      <c r="Q1350">
        <f>'19_Расчет_аналитики'!$B$1061*INDEX('01_Вводные'!$C$37:$N$37,1,MOD(MONTH('06_Сеть_и_дети'!Q$3)-9,12)+1)/SUM('01_Вводные'!$C$37:$N$37)</f>
        <v/>
      </c>
      <c r="R1350">
        <f>'19_Расчет_аналитики'!$B$1061*INDEX('01_Вводные'!$C$37:$N$37,1,MOD(MONTH('06_Сеть_и_дети'!R$3)-9,12)+1)/SUM('01_Вводные'!$C$37:$N$37)</f>
        <v/>
      </c>
      <c r="S1350">
        <f>'19_Расчет_аналитики'!$B$1061*INDEX('01_Вводные'!$C$37:$N$37,1,MOD(MONTH('06_Сеть_и_дети'!S$3)-9,12)+1)/SUM('01_Вводные'!$C$37:$N$37)</f>
        <v/>
      </c>
      <c r="T1350">
        <f>'19_Расчет_аналитики'!$B$1061*INDEX('01_Вводные'!$C$37:$N$37,1,MOD(MONTH('06_Сеть_и_дети'!T$3)-9,12)+1)/SUM('01_Вводные'!$C$37:$N$37)</f>
        <v/>
      </c>
      <c r="U1350">
        <f>'19_Расчет_аналитики'!$B$1061*INDEX('01_Вводные'!$C$37:$N$37,1,MOD(MONTH('06_Сеть_и_дети'!U$3)-9,12)+1)/SUM('01_Вводные'!$C$37:$N$37)</f>
        <v/>
      </c>
      <c r="V1350">
        <f>'19_Расчет_аналитики'!$B$1061*INDEX('01_Вводные'!$C$37:$N$37,1,MOD(MONTH('06_Сеть_и_дети'!V$3)-9,12)+1)/SUM('01_Вводные'!$C$37:$N$37)</f>
        <v/>
      </c>
      <c r="W1350">
        <f>'19_Расчет_аналитики'!$B$1061*INDEX('01_Вводные'!$C$37:$N$37,1,MOD(MONTH('06_Сеть_и_дети'!W$3)-9,12)+1)/SUM('01_Вводные'!$C$37:$N$37)</f>
        <v/>
      </c>
      <c r="X1350">
        <f>'19_Расчет_аналитики'!$B$1061*INDEX('01_Вводные'!$C$37:$N$37,1,MOD(MONTH('06_Сеть_и_дети'!X$3)-9,12)+1)/SUM('01_Вводные'!$C$37:$N$37)</f>
        <v/>
      </c>
      <c r="Y1350">
        <f>'19_Расчет_аналитики'!$B$1061*INDEX('01_Вводные'!$C$37:$N$37,1,MOD(MONTH('06_Сеть_и_дети'!Y$3)-9,12)+1)/SUM('01_Вводные'!$C$37:$N$37)</f>
        <v/>
      </c>
      <c r="Z1350">
        <f>'19_Расчет_аналитики'!$B$1062*INDEX('01_Вводные'!$C$38:$N$38,1,MOD(MONTH('06_Сеть_и_дети'!Z$3)-9,12)+1)/SUM('01_Вводные'!$C$38:$N$38)</f>
        <v/>
      </c>
      <c r="AA1350">
        <f>'19_Расчет_аналитики'!$B$1062*INDEX('01_Вводные'!$C$38:$N$38,1,MOD(MONTH('06_Сеть_и_дети'!AA$3)-9,12)+1)/SUM('01_Вводные'!$C$38:$N$38)</f>
        <v/>
      </c>
      <c r="AB1350">
        <f>'19_Расчет_аналитики'!$B$1062*INDEX('01_Вводные'!$C$38:$N$38,1,MOD(MONTH('06_Сеть_и_дети'!AB$3)-9,12)+1)/SUM('01_Вводные'!$C$38:$N$38)</f>
        <v/>
      </c>
      <c r="AC1350">
        <f>'19_Расчет_аналитики'!$B$1062*INDEX('01_Вводные'!$C$38:$N$38,1,MOD(MONTH('06_Сеть_и_дети'!AC$3)-9,12)+1)/SUM('01_Вводные'!$C$38:$N$38)</f>
        <v/>
      </c>
      <c r="AD1350">
        <f>'19_Расчет_аналитики'!$B$1062*INDEX('01_Вводные'!$C$38:$N$38,1,MOD(MONTH('06_Сеть_и_дети'!AD$3)-9,12)+1)/SUM('01_Вводные'!$C$38:$N$38)</f>
        <v/>
      </c>
      <c r="AE1350">
        <f>'19_Расчет_аналитики'!$B$1062*INDEX('01_Вводные'!$C$38:$N$38,1,MOD(MONTH('06_Сеть_и_дети'!AE$3)-9,12)+1)/SUM('01_Вводные'!$C$38:$N$38)</f>
        <v/>
      </c>
      <c r="AF1350">
        <f>'19_Расчет_аналитики'!$B$1062*INDEX('01_Вводные'!$C$38:$N$38,1,MOD(MONTH('06_Сеть_и_дети'!AF$3)-9,12)+1)/SUM('01_Вводные'!$C$38:$N$38)</f>
        <v/>
      </c>
      <c r="AG1350">
        <f>'19_Расчет_аналитики'!$B$1062*INDEX('01_Вводные'!$C$38:$N$38,1,MOD(MONTH('06_Сеть_и_дети'!AG$3)-9,12)+1)/SUM('01_Вводные'!$C$38:$N$38)</f>
        <v/>
      </c>
      <c r="AH1350">
        <f>'19_Расчет_аналитики'!$B$1062*INDEX('01_Вводные'!$C$38:$N$38,1,MOD(MONTH('06_Сеть_и_дети'!AH$3)-9,12)+1)/SUM('01_Вводные'!$C$38:$N$38)</f>
        <v/>
      </c>
      <c r="AI1350">
        <f>'19_Расчет_аналитики'!$B$1062*INDEX('01_Вводные'!$C$38:$N$38,1,MOD(MONTH('06_Сеть_и_дети'!AI$3)-9,12)+1)/SUM('01_Вводные'!$C$38:$N$38)</f>
        <v/>
      </c>
      <c r="AJ1350">
        <f>'19_Расчет_аналитики'!$B$1062*INDEX('01_Вводные'!$C$38:$N$38,1,MOD(MONTH('06_Сеть_и_дети'!AJ$3)-9,12)+1)/SUM('01_Вводные'!$C$38:$N$38)</f>
        <v/>
      </c>
      <c r="AK1350">
        <f>'19_Расчет_аналитики'!$B$1062*INDEX('01_Вводные'!$C$38:$N$38,1,MOD(MONTH('06_Сеть_и_дети'!AK$3)-9,12)+1)/SUM('01_Вводные'!$C$38:$N$38)</f>
        <v/>
      </c>
      <c r="AL1350">
        <f>'19_Расчет_аналитики'!$B$1063*INDEX('01_Вводные'!$C$39:$N$39,1,MOD(MONTH('06_Сеть_и_дети'!AL$3)-9,12)+1)/SUM('01_Вводные'!$C$39:$N$39)</f>
        <v/>
      </c>
      <c r="AM1350">
        <f>'19_Расчет_аналитики'!$B$1063*INDEX('01_Вводные'!$C$39:$N$39,1,MOD(MONTH('06_Сеть_и_дети'!AM$3)-9,12)+1)/SUM('01_Вводные'!$C$39:$N$39)</f>
        <v/>
      </c>
      <c r="AN1350">
        <f>'19_Расчет_аналитики'!$B$1063*INDEX('01_Вводные'!$C$39:$N$39,1,MOD(MONTH('06_Сеть_и_дети'!AN$3)-9,12)+1)/SUM('01_Вводные'!$C$39:$N$39)</f>
        <v/>
      </c>
      <c r="AO1350">
        <f>'19_Расчет_аналитики'!$B$1063*INDEX('01_Вводные'!$C$39:$N$39,1,MOD(MONTH('06_Сеть_и_дети'!AO$3)-9,12)+1)/SUM('01_Вводные'!$C$39:$N$39)</f>
        <v/>
      </c>
      <c r="AP1350">
        <f>'19_Расчет_аналитики'!$B$1063*INDEX('01_Вводные'!$C$39:$N$39,1,MOD(MONTH('06_Сеть_и_дети'!AP$3)-9,12)+1)/SUM('01_Вводные'!$C$39:$N$39)</f>
        <v/>
      </c>
      <c r="AQ1350">
        <f>'19_Расчет_аналитики'!$B$1063*INDEX('01_Вводные'!$C$39:$N$39,1,MOD(MONTH('06_Сеть_и_дети'!AQ$3)-9,12)+1)/SUM('01_Вводные'!$C$39:$N$39)</f>
        <v/>
      </c>
      <c r="AR1350">
        <f>'19_Расчет_аналитики'!$B$1063*INDEX('01_Вводные'!$C$39:$N$39,1,MOD(MONTH('06_Сеть_и_дети'!AR$3)-9,12)+1)/SUM('01_Вводные'!$C$39:$N$39)</f>
        <v/>
      </c>
      <c r="AS1350">
        <f>'19_Расчет_аналитики'!$B$1063*INDEX('01_Вводные'!$C$39:$N$39,1,MOD(MONTH('06_Сеть_и_дети'!AS$3)-9,12)+1)/SUM('01_Вводные'!$C$39:$N$39)</f>
        <v/>
      </c>
      <c r="AT1350">
        <f>'19_Расчет_аналитики'!$B$1063*INDEX('01_Вводные'!$C$39:$N$39,1,MOD(MONTH('06_Сеть_и_дети'!AT$3)-9,12)+1)/SUM('01_Вводные'!$C$39:$N$39)</f>
        <v/>
      </c>
      <c r="AU1350">
        <f>'19_Расчет_аналитики'!$B$1063*INDEX('01_Вводные'!$C$39:$N$39,1,MOD(MONTH('06_Сеть_и_дети'!AU$3)-9,12)+1)/SUM('01_Вводные'!$C$39:$N$39)</f>
        <v/>
      </c>
      <c r="AV1350">
        <f>'19_Расчет_аналитики'!$B$1063*INDEX('01_Вводные'!$C$39:$N$39,1,MOD(MONTH('06_Сеть_и_дети'!AV$3)-9,12)+1)/SUM('01_Вводные'!$C$39:$N$39)</f>
        <v/>
      </c>
      <c r="AW1350">
        <f>'19_Расчет_аналитики'!$B$1063*INDEX('01_Вводные'!$C$39:$N$39,1,MOD(MONTH('06_Сеть_и_дети'!AW$3)-9,12)+1)/SUM('01_Вводные'!$C$39:$N$39)</f>
        <v/>
      </c>
      <c r="AX1350">
        <f>'19_Расчет_аналитики'!$B$1064*INDEX('01_Вводные'!$C$40:$N$40,1,MOD(MONTH('06_Сеть_и_дети'!AX$3)-9,12)+1)/SUM('01_Вводные'!$C$40:$N$40)</f>
        <v/>
      </c>
      <c r="AY1350">
        <f>'19_Расчет_аналитики'!$B$1064*INDEX('01_Вводные'!$C$40:$N$40,1,MOD(MONTH('06_Сеть_и_дети'!AY$3)-9,12)+1)/SUM('01_Вводные'!$C$40:$N$40)</f>
        <v/>
      </c>
      <c r="AZ1350">
        <f>'19_Расчет_аналитики'!$B$1064*INDEX('01_Вводные'!$C$40:$N$40,1,MOD(MONTH('06_Сеть_и_дети'!AZ$3)-9,12)+1)/SUM('01_Вводные'!$C$40:$N$40)</f>
        <v/>
      </c>
      <c r="BA1350">
        <f>'19_Расчет_аналитики'!$B$1064*INDEX('01_Вводные'!$C$40:$N$40,1,MOD(MONTH('06_Сеть_и_дети'!BA$3)-9,12)+1)/SUM('01_Вводные'!$C$40:$N$40)</f>
        <v/>
      </c>
      <c r="BB1350">
        <f>'19_Расчет_аналитики'!$B$1064*INDEX('01_Вводные'!$C$40:$N$40,1,MOD(MONTH('06_Сеть_и_дети'!BB$3)-9,12)+1)/SUM('01_Вводные'!$C$40:$N$40)</f>
        <v/>
      </c>
      <c r="BC1350">
        <f>'19_Расчет_аналитики'!$B$1064*INDEX('01_Вводные'!$C$40:$N$40,1,MOD(MONTH('06_Сеть_и_дети'!BC$3)-9,12)+1)/SUM('01_Вводные'!$C$40:$N$40)</f>
        <v/>
      </c>
      <c r="BD1350">
        <f>'19_Расчет_аналитики'!$B$1064*INDEX('01_Вводные'!$C$40:$N$40,1,MOD(MONTH('06_Сеть_и_дети'!BD$3)-9,12)+1)/SUM('01_Вводные'!$C$40:$N$40)</f>
        <v/>
      </c>
      <c r="BE1350">
        <f>'19_Расчет_аналитики'!$B$1064*INDEX('01_Вводные'!$C$40:$N$40,1,MOD(MONTH('06_Сеть_и_дети'!BE$3)-9,12)+1)/SUM('01_Вводные'!$C$40:$N$40)</f>
        <v/>
      </c>
      <c r="BF1350">
        <f>'19_Расчет_аналитики'!$B$1064*INDEX('01_Вводные'!$C$40:$N$40,1,MOD(MONTH('06_Сеть_и_дети'!BF$3)-9,12)+1)/SUM('01_Вводные'!$C$40:$N$40)</f>
        <v/>
      </c>
      <c r="BG1350">
        <f>'19_Расчет_аналитики'!$B$1064*INDEX('01_Вводные'!$C$40:$N$40,1,MOD(MONTH('06_Сеть_и_дети'!BG$3)-9,12)+1)/SUM('01_Вводные'!$C$40:$N$40)</f>
        <v/>
      </c>
      <c r="BH1350">
        <f>'19_Расчет_аналитики'!$B$1064*INDEX('01_Вводные'!$C$40:$N$40,1,MOD(MONTH('06_Сеть_и_дети'!BH$3)-9,12)+1)/SUM('01_Вводные'!$C$40:$N$40)</f>
        <v/>
      </c>
      <c r="BI1350">
        <f>'19_Расчет_аналитики'!$B$1064*INDEX('01_Вводные'!$C$40:$N$40,1,MOD(MONTH('06_Сеть_и_дети'!BI$3)-9,12)+1)/SUM('01_Вводные'!$C$40:$N$40)</f>
        <v/>
      </c>
    </row>
    <row r="1351">
      <c r="A1351" t="inlineStr">
        <is>
          <t>Минимальный запас для возврата займа</t>
        </is>
      </c>
      <c r="B1351">
        <f>SUM(IF('01_Вводные'!$B$310&gt;=1,'19_Расчет_аналитики'!C1629,0),IF('01_Вводные'!$B$310&gt;=2,'19_Расчет_аналитики'!D1629,0),IF('01_Вводные'!$B$310&gt;=3,'19_Расчет_аналитики'!E1629,0),IF('01_Вводные'!$B$310&gt;=4,'19_Расчет_аналитики'!F1629,0),IF('01_Вводные'!$B$310&gt;=5,'19_Расчет_аналитики'!G1629,0),IF('01_Вводные'!$B$310&gt;=6,'19_Расчет_аналитики'!H1629,0))</f>
        <v/>
      </c>
      <c r="C1351">
        <f>SUM(IF('01_Вводные'!$B$310&gt;=1,'19_Расчет_аналитики'!D1629,0),IF('01_Вводные'!$B$310&gt;=2,'19_Расчет_аналитики'!E1629,0),IF('01_Вводные'!$B$310&gt;=3,'19_Расчет_аналитики'!F1629,0),IF('01_Вводные'!$B$310&gt;=4,'19_Расчет_аналитики'!G1629,0),IF('01_Вводные'!$B$310&gt;=5,'19_Расчет_аналитики'!H1629,0),IF('01_Вводные'!$B$310&gt;=6,'19_Расчет_аналитики'!I1629,0))</f>
        <v/>
      </c>
      <c r="D1351">
        <f>SUM(IF('01_Вводные'!$B$310&gt;=1,'19_Расчет_аналитики'!E1629,0),IF('01_Вводные'!$B$310&gt;=2,'19_Расчет_аналитики'!F1629,0),IF('01_Вводные'!$B$310&gt;=3,'19_Расчет_аналитики'!G1629,0),IF('01_Вводные'!$B$310&gt;=4,'19_Расчет_аналитики'!H1629,0),IF('01_Вводные'!$B$310&gt;=5,'19_Расчет_аналитики'!I1629,0),IF('01_Вводные'!$B$310&gt;=6,'19_Расчет_аналитики'!J1629,0))</f>
        <v/>
      </c>
      <c r="E1351">
        <f>SUM(IF('01_Вводные'!$B$310&gt;=1,'19_Расчет_аналитики'!F1629,0),IF('01_Вводные'!$B$310&gt;=2,'19_Расчет_аналитики'!G1629,0),IF('01_Вводные'!$B$310&gt;=3,'19_Расчет_аналитики'!H1629,0),IF('01_Вводные'!$B$310&gt;=4,'19_Расчет_аналитики'!I1629,0),IF('01_Вводные'!$B$310&gt;=5,'19_Расчет_аналитики'!J1629,0),IF('01_Вводные'!$B$310&gt;=6,'19_Расчет_аналитики'!K1629,0))</f>
        <v/>
      </c>
      <c r="F1351">
        <f>SUM(IF('01_Вводные'!$B$310&gt;=1,'19_Расчет_аналитики'!G1629,0),IF('01_Вводные'!$B$310&gt;=2,'19_Расчет_аналитики'!H1629,0),IF('01_Вводные'!$B$310&gt;=3,'19_Расчет_аналитики'!I1629,0),IF('01_Вводные'!$B$310&gt;=4,'19_Расчет_аналитики'!J1629,0),IF('01_Вводные'!$B$310&gt;=5,'19_Расчет_аналитики'!K1629,0),IF('01_Вводные'!$B$310&gt;=6,'19_Расчет_аналитики'!L1629,0))</f>
        <v/>
      </c>
      <c r="G1351">
        <f>SUM(IF('01_Вводные'!$B$310&gt;=1,'19_Расчет_аналитики'!H1629,0),IF('01_Вводные'!$B$310&gt;=2,'19_Расчет_аналитики'!I1629,0),IF('01_Вводные'!$B$310&gt;=3,'19_Расчет_аналитики'!J1629,0),IF('01_Вводные'!$B$310&gt;=4,'19_Расчет_аналитики'!K1629,0),IF('01_Вводные'!$B$310&gt;=5,'19_Расчет_аналитики'!L1629,0),IF('01_Вводные'!$B$310&gt;=6,'19_Расчет_аналитики'!M1629,0))</f>
        <v/>
      </c>
      <c r="H1351">
        <f>SUM(IF('01_Вводные'!$B$310&gt;=1,'19_Расчет_аналитики'!I1629,0),IF('01_Вводные'!$B$310&gt;=2,'19_Расчет_аналитики'!J1629,0),IF('01_Вводные'!$B$310&gt;=3,'19_Расчет_аналитики'!K1629,0),IF('01_Вводные'!$B$310&gt;=4,'19_Расчет_аналитики'!L1629,0),IF('01_Вводные'!$B$310&gt;=5,'19_Расчет_аналитики'!M1629,0),IF('01_Вводные'!$B$310&gt;=6,'19_Расчет_аналитики'!N1629,0))</f>
        <v/>
      </c>
      <c r="I1351">
        <f>SUM(IF('01_Вводные'!$B$310&gt;=1,'19_Расчет_аналитики'!J1629,0),IF('01_Вводные'!$B$310&gt;=2,'19_Расчет_аналитики'!K1629,0),IF('01_Вводные'!$B$310&gt;=3,'19_Расчет_аналитики'!L1629,0),IF('01_Вводные'!$B$310&gt;=4,'19_Расчет_аналитики'!M1629,0),IF('01_Вводные'!$B$310&gt;=5,'19_Расчет_аналитики'!N1629,0),IF('01_Вводные'!$B$310&gt;=6,'19_Расчет_аналитики'!O1629,0))</f>
        <v/>
      </c>
      <c r="J1351">
        <f>SUM(IF('01_Вводные'!$B$310&gt;=1,'19_Расчет_аналитики'!K1629,0),IF('01_Вводные'!$B$310&gt;=2,'19_Расчет_аналитики'!L1629,0),IF('01_Вводные'!$B$310&gt;=3,'19_Расчет_аналитики'!M1629,0),IF('01_Вводные'!$B$310&gt;=4,'19_Расчет_аналитики'!N1629,0),IF('01_Вводные'!$B$310&gt;=5,'19_Расчет_аналитики'!O1629,0),IF('01_Вводные'!$B$310&gt;=6,'19_Расчет_аналитики'!P1629,0))</f>
        <v/>
      </c>
      <c r="K1351">
        <f>SUM(IF('01_Вводные'!$B$310&gt;=1,'19_Расчет_аналитики'!L1629,0),IF('01_Вводные'!$B$310&gt;=2,'19_Расчет_аналитики'!M1629,0),IF('01_Вводные'!$B$310&gt;=3,'19_Расчет_аналитики'!N1629,0),IF('01_Вводные'!$B$310&gt;=4,'19_Расчет_аналитики'!O1629,0),IF('01_Вводные'!$B$310&gt;=5,'19_Расчет_аналитики'!P1629,0),IF('01_Вводные'!$B$310&gt;=6,'19_Расчет_аналитики'!Q1629,0))</f>
        <v/>
      </c>
      <c r="L1351">
        <f>SUM(IF('01_Вводные'!$B$310&gt;=1,'19_Расчет_аналитики'!M1629,0),IF('01_Вводные'!$B$310&gt;=2,'19_Расчет_аналитики'!N1629,0),IF('01_Вводные'!$B$310&gt;=3,'19_Расчет_аналитики'!O1629,0),IF('01_Вводные'!$B$310&gt;=4,'19_Расчет_аналитики'!P1629,0),IF('01_Вводные'!$B$310&gt;=5,'19_Расчет_аналитики'!Q1629,0),IF('01_Вводные'!$B$310&gt;=6,'19_Расчет_аналитики'!R1629,0))</f>
        <v/>
      </c>
      <c r="M1351">
        <f>SUM(IF('01_Вводные'!$B$310&gt;=1,'19_Расчет_аналитики'!N1629,0),IF('01_Вводные'!$B$310&gt;=2,'19_Расчет_аналитики'!O1629,0),IF('01_Вводные'!$B$310&gt;=3,'19_Расчет_аналитики'!P1629,0),IF('01_Вводные'!$B$310&gt;=4,'19_Расчет_аналитики'!Q1629,0),IF('01_Вводные'!$B$310&gt;=5,'19_Расчет_аналитики'!R1629,0),IF('01_Вводные'!$B$310&gt;=6,'19_Расчет_аналитики'!S1629,0))</f>
        <v/>
      </c>
      <c r="N1351">
        <f>SUM(IF('01_Вводные'!$B$310&gt;=1,'19_Расчет_аналитики'!O1629,0),IF('01_Вводные'!$B$310&gt;=2,'19_Расчет_аналитики'!P1629,0),IF('01_Вводные'!$B$310&gt;=3,'19_Расчет_аналитики'!Q1629,0),IF('01_Вводные'!$B$310&gt;=4,'19_Расчет_аналитики'!R1629,0),IF('01_Вводные'!$B$310&gt;=5,'19_Расчет_аналитики'!S1629,0),IF('01_Вводные'!$B$310&gt;=6,'19_Расчет_аналитики'!T1629,0))</f>
        <v/>
      </c>
      <c r="O1351">
        <f>SUM(IF('01_Вводные'!$B$310&gt;=1,'19_Расчет_аналитики'!P1629,0),IF('01_Вводные'!$B$310&gt;=2,'19_Расчет_аналитики'!Q1629,0),IF('01_Вводные'!$B$310&gt;=3,'19_Расчет_аналитики'!R1629,0),IF('01_Вводные'!$B$310&gt;=4,'19_Расчет_аналитики'!S1629,0),IF('01_Вводные'!$B$310&gt;=5,'19_Расчет_аналитики'!T1629,0),IF('01_Вводные'!$B$310&gt;=6,'19_Расчет_аналитики'!U1629,0))</f>
        <v/>
      </c>
      <c r="P1351">
        <f>SUM(IF('01_Вводные'!$B$310&gt;=1,'19_Расчет_аналитики'!Q1629,0),IF('01_Вводные'!$B$310&gt;=2,'19_Расчет_аналитики'!R1629,0),IF('01_Вводные'!$B$310&gt;=3,'19_Расчет_аналитики'!S1629,0),IF('01_Вводные'!$B$310&gt;=4,'19_Расчет_аналитики'!T1629,0),IF('01_Вводные'!$B$310&gt;=5,'19_Расчет_аналитики'!U1629,0),IF('01_Вводные'!$B$310&gt;=6,'19_Расчет_аналитики'!V1629,0))</f>
        <v/>
      </c>
      <c r="Q1351">
        <f>SUM(IF('01_Вводные'!$B$310&gt;=1,'19_Расчет_аналитики'!R1629,0),IF('01_Вводные'!$B$310&gt;=2,'19_Расчет_аналитики'!S1629,0),IF('01_Вводные'!$B$310&gt;=3,'19_Расчет_аналитики'!T1629,0),IF('01_Вводные'!$B$310&gt;=4,'19_Расчет_аналитики'!U1629,0),IF('01_Вводные'!$B$310&gt;=5,'19_Расчет_аналитики'!V1629,0),IF('01_Вводные'!$B$310&gt;=6,'19_Расчет_аналитики'!W1629,0))</f>
        <v/>
      </c>
      <c r="R1351">
        <f>SUM(IF('01_Вводные'!$B$310&gt;=1,'19_Расчет_аналитики'!S1629,0),IF('01_Вводные'!$B$310&gt;=2,'19_Расчет_аналитики'!T1629,0),IF('01_Вводные'!$B$310&gt;=3,'19_Расчет_аналитики'!U1629,0),IF('01_Вводные'!$B$310&gt;=4,'19_Расчет_аналитики'!V1629,0),IF('01_Вводные'!$B$310&gt;=5,'19_Расчет_аналитики'!W1629,0),IF('01_Вводные'!$B$310&gt;=6,'19_Расчет_аналитики'!X1629,0))</f>
        <v/>
      </c>
      <c r="S1351">
        <f>SUM(IF('01_Вводные'!$B$310&gt;=1,'19_Расчет_аналитики'!T1629,0),IF('01_Вводные'!$B$310&gt;=2,'19_Расчет_аналитики'!U1629,0),IF('01_Вводные'!$B$310&gt;=3,'19_Расчет_аналитики'!V1629,0),IF('01_Вводные'!$B$310&gt;=4,'19_Расчет_аналитики'!W1629,0),IF('01_Вводные'!$B$310&gt;=5,'19_Расчет_аналитики'!X1629,0),IF('01_Вводные'!$B$310&gt;=6,'19_Расчет_аналитики'!Y1629,0))</f>
        <v/>
      </c>
      <c r="T1351">
        <f>SUM(IF('01_Вводные'!$B$310&gt;=1,'19_Расчет_аналитики'!U1629,0),IF('01_Вводные'!$B$310&gt;=2,'19_Расчет_аналитики'!V1629,0),IF('01_Вводные'!$B$310&gt;=3,'19_Расчет_аналитики'!W1629,0),IF('01_Вводные'!$B$310&gt;=4,'19_Расчет_аналитики'!X1629,0),IF('01_Вводные'!$B$310&gt;=5,'19_Расчет_аналитики'!Y1629,0),IF('01_Вводные'!$B$310&gt;=6,'19_Расчет_аналитики'!Z1629,0))</f>
        <v/>
      </c>
      <c r="U1351">
        <f>SUM(IF('01_Вводные'!$B$310&gt;=1,'19_Расчет_аналитики'!V1629,0),IF('01_Вводные'!$B$310&gt;=2,'19_Расчет_аналитики'!W1629,0),IF('01_Вводные'!$B$310&gt;=3,'19_Расчет_аналитики'!X1629,0),IF('01_Вводные'!$B$310&gt;=4,'19_Расчет_аналитики'!Y1629,0),IF('01_Вводные'!$B$310&gt;=5,'19_Расчет_аналитики'!Z1629,0),IF('01_Вводные'!$B$310&gt;=6,'19_Расчет_аналитики'!AA1629,0))</f>
        <v/>
      </c>
      <c r="V1351">
        <f>SUM(IF('01_Вводные'!$B$310&gt;=1,'19_Расчет_аналитики'!W1629,0),IF('01_Вводные'!$B$310&gt;=2,'19_Расчет_аналитики'!X1629,0),IF('01_Вводные'!$B$310&gt;=3,'19_Расчет_аналитики'!Y1629,0),IF('01_Вводные'!$B$310&gt;=4,'19_Расчет_аналитики'!Z1629,0),IF('01_Вводные'!$B$310&gt;=5,'19_Расчет_аналитики'!AA1629,0),IF('01_Вводные'!$B$310&gt;=6,'19_Расчет_аналитики'!AB1629,0))</f>
        <v/>
      </c>
      <c r="W1351">
        <f>SUM(IF('01_Вводные'!$B$310&gt;=1,'19_Расчет_аналитики'!X1629,0),IF('01_Вводные'!$B$310&gt;=2,'19_Расчет_аналитики'!Y1629,0),IF('01_Вводные'!$B$310&gt;=3,'19_Расчет_аналитики'!Z1629,0),IF('01_Вводные'!$B$310&gt;=4,'19_Расчет_аналитики'!AA1629,0),IF('01_Вводные'!$B$310&gt;=5,'19_Расчет_аналитики'!AB1629,0),IF('01_Вводные'!$B$310&gt;=6,'19_Расчет_аналитики'!AC1629,0))</f>
        <v/>
      </c>
      <c r="X1351">
        <f>SUM(IF('01_Вводные'!$B$310&gt;=1,'19_Расчет_аналитики'!Y1629,0),IF('01_Вводные'!$B$310&gt;=2,'19_Расчет_аналитики'!Z1629,0),IF('01_Вводные'!$B$310&gt;=3,'19_Расчет_аналитики'!AA1629,0),IF('01_Вводные'!$B$310&gt;=4,'19_Расчет_аналитики'!AB1629,0),IF('01_Вводные'!$B$310&gt;=5,'19_Расчет_аналитики'!AC1629,0),IF('01_Вводные'!$B$310&gt;=6,'19_Расчет_аналитики'!AD1629,0))</f>
        <v/>
      </c>
      <c r="Y1351">
        <f>SUM(IF('01_Вводные'!$B$310&gt;=1,'19_Расчет_аналитики'!Z1629,0),IF('01_Вводные'!$B$310&gt;=2,'19_Расчет_аналитики'!AA1629,0),IF('01_Вводные'!$B$310&gt;=3,'19_Расчет_аналитики'!AB1629,0),IF('01_Вводные'!$B$310&gt;=4,'19_Расчет_аналитики'!AC1629,0),IF('01_Вводные'!$B$310&gt;=5,'19_Расчет_аналитики'!AD1629,0),IF('01_Вводные'!$B$310&gt;=6,'19_Расчет_аналитики'!AE1629,0))</f>
        <v/>
      </c>
      <c r="Z1351">
        <f>SUM(IF('01_Вводные'!$B$310&gt;=1,'19_Расчет_аналитики'!AA1629,0),IF('01_Вводные'!$B$310&gt;=2,'19_Расчет_аналитики'!AB1629,0),IF('01_Вводные'!$B$310&gt;=3,'19_Расчет_аналитики'!AC1629,0),IF('01_Вводные'!$B$310&gt;=4,'19_Расчет_аналитики'!AD1629,0),IF('01_Вводные'!$B$310&gt;=5,'19_Расчет_аналитики'!AE1629,0),IF('01_Вводные'!$B$310&gt;=6,'19_Расчет_аналитики'!AF1629,0))</f>
        <v/>
      </c>
      <c r="AA1351">
        <f>SUM(IF('01_Вводные'!$B$310&gt;=1,'19_Расчет_аналитики'!AB1629,0),IF('01_Вводные'!$B$310&gt;=2,'19_Расчет_аналитики'!AC1629,0),IF('01_Вводные'!$B$310&gt;=3,'19_Расчет_аналитики'!AD1629,0),IF('01_Вводные'!$B$310&gt;=4,'19_Расчет_аналитики'!AE1629,0),IF('01_Вводные'!$B$310&gt;=5,'19_Расчет_аналитики'!AF1629,0),IF('01_Вводные'!$B$310&gt;=6,'19_Расчет_аналитики'!AG1629,0))</f>
        <v/>
      </c>
      <c r="AB1351">
        <f>SUM(IF('01_Вводные'!$B$310&gt;=1,'19_Расчет_аналитики'!AC1629,0),IF('01_Вводные'!$B$310&gt;=2,'19_Расчет_аналитики'!AD1629,0),IF('01_Вводные'!$B$310&gt;=3,'19_Расчет_аналитики'!AE1629,0),IF('01_Вводные'!$B$310&gt;=4,'19_Расчет_аналитики'!AF1629,0),IF('01_Вводные'!$B$310&gt;=5,'19_Расчет_аналитики'!AG1629,0),IF('01_Вводные'!$B$310&gt;=6,'19_Расчет_аналитики'!AH1629,0))</f>
        <v/>
      </c>
      <c r="AC1351">
        <f>SUM(IF('01_Вводные'!$B$310&gt;=1,'19_Расчет_аналитики'!AD1629,0),IF('01_Вводные'!$B$310&gt;=2,'19_Расчет_аналитики'!AE1629,0),IF('01_Вводные'!$B$310&gt;=3,'19_Расчет_аналитики'!AF1629,0),IF('01_Вводные'!$B$310&gt;=4,'19_Расчет_аналитики'!AG1629,0),IF('01_Вводные'!$B$310&gt;=5,'19_Расчет_аналитики'!AH1629,0),IF('01_Вводные'!$B$310&gt;=6,'19_Расчет_аналитики'!AI1629,0))</f>
        <v/>
      </c>
      <c r="AD1351">
        <f>SUM(IF('01_Вводные'!$B$310&gt;=1,'19_Расчет_аналитики'!AE1629,0),IF('01_Вводные'!$B$310&gt;=2,'19_Расчет_аналитики'!AF1629,0),IF('01_Вводные'!$B$310&gt;=3,'19_Расчет_аналитики'!AG1629,0),IF('01_Вводные'!$B$310&gt;=4,'19_Расчет_аналитики'!AH1629,0),IF('01_Вводные'!$B$310&gt;=5,'19_Расчет_аналитики'!AI1629,0),IF('01_Вводные'!$B$310&gt;=6,'19_Расчет_аналитики'!AJ1629,0))</f>
        <v/>
      </c>
      <c r="AE1351">
        <f>SUM(IF('01_Вводные'!$B$310&gt;=1,'19_Расчет_аналитики'!AF1629,0),IF('01_Вводные'!$B$310&gt;=2,'19_Расчет_аналитики'!AG1629,0),IF('01_Вводные'!$B$310&gt;=3,'19_Расчет_аналитики'!AH1629,0),IF('01_Вводные'!$B$310&gt;=4,'19_Расчет_аналитики'!AI1629,0),IF('01_Вводные'!$B$310&gt;=5,'19_Расчет_аналитики'!AJ1629,0),IF('01_Вводные'!$B$310&gt;=6,'19_Расчет_аналитики'!AK1629,0))</f>
        <v/>
      </c>
      <c r="AF1351">
        <f>SUM(IF('01_Вводные'!$B$310&gt;=1,'19_Расчет_аналитики'!AG1629,0),IF('01_Вводные'!$B$310&gt;=2,'19_Расчет_аналитики'!AH1629,0),IF('01_Вводные'!$B$310&gt;=3,'19_Расчет_аналитики'!AI1629,0),IF('01_Вводные'!$B$310&gt;=4,'19_Расчет_аналитики'!AJ1629,0),IF('01_Вводные'!$B$310&gt;=5,'19_Расчет_аналитики'!AK1629,0),IF('01_Вводные'!$B$310&gt;=6,'19_Расчет_аналитики'!AL1629,0))</f>
        <v/>
      </c>
      <c r="AG1351">
        <f>SUM(IF('01_Вводные'!$B$310&gt;=1,'19_Расчет_аналитики'!AH1629,0),IF('01_Вводные'!$B$310&gt;=2,'19_Расчет_аналитики'!AI1629,0),IF('01_Вводные'!$B$310&gt;=3,'19_Расчет_аналитики'!AJ1629,0),IF('01_Вводные'!$B$310&gt;=4,'19_Расчет_аналитики'!AK1629,0),IF('01_Вводные'!$B$310&gt;=5,'19_Расчет_аналитики'!AL1629,0),IF('01_Вводные'!$B$310&gt;=6,'19_Расчет_аналитики'!AM1629,0))</f>
        <v/>
      </c>
      <c r="AH1351">
        <f>SUM(IF('01_Вводные'!$B$310&gt;=1,'19_Расчет_аналитики'!AI1629,0),IF('01_Вводные'!$B$310&gt;=2,'19_Расчет_аналитики'!AJ1629,0),IF('01_Вводные'!$B$310&gt;=3,'19_Расчет_аналитики'!AK1629,0),IF('01_Вводные'!$B$310&gt;=4,'19_Расчет_аналитики'!AL1629,0),IF('01_Вводные'!$B$310&gt;=5,'19_Расчет_аналитики'!AM1629,0),IF('01_Вводные'!$B$310&gt;=6,'19_Расчет_аналитики'!AN1629,0))</f>
        <v/>
      </c>
      <c r="AI1351">
        <f>SUM(IF('01_Вводные'!$B$310&gt;=1,'19_Расчет_аналитики'!AJ1629,0),IF('01_Вводные'!$B$310&gt;=2,'19_Расчет_аналитики'!AK1629,0),IF('01_Вводные'!$B$310&gt;=3,'19_Расчет_аналитики'!AL1629,0),IF('01_Вводные'!$B$310&gt;=4,'19_Расчет_аналитики'!AM1629,0),IF('01_Вводные'!$B$310&gt;=5,'19_Расчет_аналитики'!AN1629,0),IF('01_Вводные'!$B$310&gt;=6,'19_Расчет_аналитики'!AO1629,0))</f>
        <v/>
      </c>
      <c r="AJ1351">
        <f>SUM(IF('01_Вводные'!$B$310&gt;=1,'19_Расчет_аналитики'!AK1629,0),IF('01_Вводные'!$B$310&gt;=2,'19_Расчет_аналитики'!AL1629,0),IF('01_Вводные'!$B$310&gt;=3,'19_Расчет_аналитики'!AM1629,0),IF('01_Вводные'!$B$310&gt;=4,'19_Расчет_аналитики'!AN1629,0),IF('01_Вводные'!$B$310&gt;=5,'19_Расчет_аналитики'!AO1629,0),IF('01_Вводные'!$B$310&gt;=6,'19_Расчет_аналитики'!AP1629,0))</f>
        <v/>
      </c>
      <c r="AK1351">
        <f>SUM(IF('01_Вводные'!$B$310&gt;=1,'19_Расчет_аналитики'!AL1629,0),IF('01_Вводные'!$B$310&gt;=2,'19_Расчет_аналитики'!AM1629,0),IF('01_Вводные'!$B$310&gt;=3,'19_Расчет_аналитики'!AN1629,0),IF('01_Вводные'!$B$310&gt;=4,'19_Расчет_аналитики'!AO1629,0),IF('01_Вводные'!$B$310&gt;=5,'19_Расчет_аналитики'!AP1629,0),IF('01_Вводные'!$B$310&gt;=6,'19_Расчет_аналитики'!AQ1629,0))</f>
        <v/>
      </c>
      <c r="AL1351">
        <f>SUM(IF('01_Вводные'!$B$310&gt;=1,'19_Расчет_аналитики'!AM1629,0),IF('01_Вводные'!$B$310&gt;=2,'19_Расчет_аналитики'!AN1629,0),IF('01_Вводные'!$B$310&gt;=3,'19_Расчет_аналитики'!AO1629,0),IF('01_Вводные'!$B$310&gt;=4,'19_Расчет_аналитики'!AP1629,0),IF('01_Вводные'!$B$310&gt;=5,'19_Расчет_аналитики'!AQ1629,0),IF('01_Вводные'!$B$310&gt;=6,'19_Расчет_аналитики'!AR1629,0))</f>
        <v/>
      </c>
      <c r="AM1351">
        <f>SUM(IF('01_Вводные'!$B$310&gt;=1,'19_Расчет_аналитики'!AN1629,0),IF('01_Вводные'!$B$310&gt;=2,'19_Расчет_аналитики'!AO1629,0),IF('01_Вводные'!$B$310&gt;=3,'19_Расчет_аналитики'!AP1629,0),IF('01_Вводные'!$B$310&gt;=4,'19_Расчет_аналитики'!AQ1629,0),IF('01_Вводные'!$B$310&gt;=5,'19_Расчет_аналитики'!AR1629,0),IF('01_Вводные'!$B$310&gt;=6,'19_Расчет_аналитики'!AS1629,0))</f>
        <v/>
      </c>
      <c r="AN1351">
        <f>SUM(IF('01_Вводные'!$B$310&gt;=1,'19_Расчет_аналитики'!AO1629,0),IF('01_Вводные'!$B$310&gt;=2,'19_Расчет_аналитики'!AP1629,0),IF('01_Вводные'!$B$310&gt;=3,'19_Расчет_аналитики'!AQ1629,0),IF('01_Вводные'!$B$310&gt;=4,'19_Расчет_аналитики'!AR1629,0),IF('01_Вводные'!$B$310&gt;=5,'19_Расчет_аналитики'!AS1629,0),IF('01_Вводные'!$B$310&gt;=6,'19_Расчет_аналитики'!AT1629,0))</f>
        <v/>
      </c>
      <c r="AO1351">
        <f>SUM(IF('01_Вводные'!$B$310&gt;=1,'19_Расчет_аналитики'!AP1629,0),IF('01_Вводные'!$B$310&gt;=2,'19_Расчет_аналитики'!AQ1629,0),IF('01_Вводные'!$B$310&gt;=3,'19_Расчет_аналитики'!AR1629,0),IF('01_Вводные'!$B$310&gt;=4,'19_Расчет_аналитики'!AS1629,0),IF('01_Вводные'!$B$310&gt;=5,'19_Расчет_аналитики'!AT1629,0),IF('01_Вводные'!$B$310&gt;=6,'19_Расчет_аналитики'!AU1629,0))</f>
        <v/>
      </c>
      <c r="AP1351">
        <f>SUM(IF('01_Вводные'!$B$310&gt;=1,'19_Расчет_аналитики'!AQ1629,0),IF('01_Вводные'!$B$310&gt;=2,'19_Расчет_аналитики'!AR1629,0),IF('01_Вводные'!$B$310&gt;=3,'19_Расчет_аналитики'!AS1629,0),IF('01_Вводные'!$B$310&gt;=4,'19_Расчет_аналитики'!AT1629,0),IF('01_Вводные'!$B$310&gt;=5,'19_Расчет_аналитики'!AU1629,0),IF('01_Вводные'!$B$310&gt;=6,'19_Расчет_аналитики'!AV1629,0))</f>
        <v/>
      </c>
      <c r="AQ1351">
        <f>SUM(IF('01_Вводные'!$B$310&gt;=1,'19_Расчет_аналитики'!AR1629,0),IF('01_Вводные'!$B$310&gt;=2,'19_Расчет_аналитики'!AS1629,0),IF('01_Вводные'!$B$310&gt;=3,'19_Расчет_аналитики'!AT1629,0),IF('01_Вводные'!$B$310&gt;=4,'19_Расчет_аналитики'!AU1629,0),IF('01_Вводные'!$B$310&gt;=5,'19_Расчет_аналитики'!AV1629,0),IF('01_Вводные'!$B$310&gt;=6,'19_Расчет_аналитики'!AW1629,0))</f>
        <v/>
      </c>
      <c r="AR1351">
        <f>SUM(IF('01_Вводные'!$B$310&gt;=1,'19_Расчет_аналитики'!AS1629,0),IF('01_Вводные'!$B$310&gt;=2,'19_Расчет_аналитики'!AT1629,0),IF('01_Вводные'!$B$310&gt;=3,'19_Расчет_аналитики'!AU1629,0),IF('01_Вводные'!$B$310&gt;=4,'19_Расчет_аналитики'!AV1629,0),IF('01_Вводные'!$B$310&gt;=5,'19_Расчет_аналитики'!AW1629,0),IF('01_Вводные'!$B$310&gt;=6,'19_Расчет_аналитики'!AX1629,0))</f>
        <v/>
      </c>
      <c r="AS1351">
        <f>SUM(IF('01_Вводные'!$B$310&gt;=1,'19_Расчет_аналитики'!AT1629,0),IF('01_Вводные'!$B$310&gt;=2,'19_Расчет_аналитики'!AU1629,0),IF('01_Вводные'!$B$310&gt;=3,'19_Расчет_аналитики'!AV1629,0),IF('01_Вводные'!$B$310&gt;=4,'19_Расчет_аналитики'!AW1629,0),IF('01_Вводные'!$B$310&gt;=5,'19_Расчет_аналитики'!AX1629,0),IF('01_Вводные'!$B$310&gt;=6,'19_Расчет_аналитики'!AY1629,0))</f>
        <v/>
      </c>
      <c r="AT1351">
        <f>SUM(IF('01_Вводные'!$B$310&gt;=1,'19_Расчет_аналитики'!AU1629,0),IF('01_Вводные'!$B$310&gt;=2,'19_Расчет_аналитики'!AV1629,0),IF('01_Вводные'!$B$310&gt;=3,'19_Расчет_аналитики'!AW1629,0),IF('01_Вводные'!$B$310&gt;=4,'19_Расчет_аналитики'!AX1629,0),IF('01_Вводные'!$B$310&gt;=5,'19_Расчет_аналитики'!AY1629,0),IF('01_Вводные'!$B$310&gt;=6,'19_Расчет_аналитики'!AZ1629,0))</f>
        <v/>
      </c>
      <c r="AU1351">
        <f>SUM(IF('01_Вводные'!$B$310&gt;=1,'19_Расчет_аналитики'!AV1629,0),IF('01_Вводные'!$B$310&gt;=2,'19_Расчет_аналитики'!AW1629,0),IF('01_Вводные'!$B$310&gt;=3,'19_Расчет_аналитики'!AX1629,0),IF('01_Вводные'!$B$310&gt;=4,'19_Расчет_аналитики'!AY1629,0),IF('01_Вводные'!$B$310&gt;=5,'19_Расчет_аналитики'!AZ1629,0),IF('01_Вводные'!$B$310&gt;=6,'19_Расчет_аналитики'!BA1629,0))</f>
        <v/>
      </c>
      <c r="AV1351">
        <f>SUM(IF('01_Вводные'!$B$310&gt;=1,'19_Расчет_аналитики'!AW1629,0),IF('01_Вводные'!$B$310&gt;=2,'19_Расчет_аналитики'!AX1629,0),IF('01_Вводные'!$B$310&gt;=3,'19_Расчет_аналитики'!AY1629,0),IF('01_Вводные'!$B$310&gt;=4,'19_Расчет_аналитики'!AZ1629,0),IF('01_Вводные'!$B$310&gt;=5,'19_Расчет_аналитики'!BA1629,0),IF('01_Вводные'!$B$310&gt;=6,'19_Расчет_аналитики'!BB1629,0))</f>
        <v/>
      </c>
      <c r="AW1351">
        <f>SUM(IF('01_Вводные'!$B$310&gt;=1,'19_Расчет_аналитики'!AX1629,0),IF('01_Вводные'!$B$310&gt;=2,'19_Расчет_аналитики'!AY1629,0),IF('01_Вводные'!$B$310&gt;=3,'19_Расчет_аналитики'!AZ1629,0),IF('01_Вводные'!$B$310&gt;=4,'19_Расчет_аналитики'!BA1629,0),IF('01_Вводные'!$B$310&gt;=5,'19_Расчет_аналитики'!BB1629,0),IF('01_Вводные'!$B$310&gt;=6,'19_Расчет_аналитики'!BC1629,0))</f>
        <v/>
      </c>
      <c r="AX1351">
        <f>SUM(IF('01_Вводные'!$B$310&gt;=1,'19_Расчет_аналитики'!AY1629,0),IF('01_Вводные'!$B$310&gt;=2,'19_Расчет_аналитики'!AZ1629,0),IF('01_Вводные'!$B$310&gt;=3,'19_Расчет_аналитики'!BA1629,0),IF('01_Вводные'!$B$310&gt;=4,'19_Расчет_аналитики'!BB1629,0),IF('01_Вводные'!$B$310&gt;=5,'19_Расчет_аналитики'!BC1629,0),IF('01_Вводные'!$B$310&gt;=6,'19_Расчет_аналитики'!BD1629,0))</f>
        <v/>
      </c>
      <c r="AY1351">
        <f>SUM(IF('01_Вводные'!$B$310&gt;=1,'19_Расчет_аналитики'!AZ1629,0),IF('01_Вводные'!$B$310&gt;=2,'19_Расчет_аналитики'!BA1629,0),IF('01_Вводные'!$B$310&gt;=3,'19_Расчет_аналитики'!BB1629,0),IF('01_Вводные'!$B$310&gt;=4,'19_Расчет_аналитики'!BC1629,0),IF('01_Вводные'!$B$310&gt;=5,'19_Расчет_аналитики'!BD1629,0),IF('01_Вводные'!$B$310&gt;=6,'19_Расчет_аналитики'!BE1629,0))</f>
        <v/>
      </c>
      <c r="AZ1351">
        <f>SUM(IF('01_Вводные'!$B$310&gt;=1,'19_Расчет_аналитики'!BA1629,0),IF('01_Вводные'!$B$310&gt;=2,'19_Расчет_аналитики'!BB1629,0),IF('01_Вводные'!$B$310&gt;=3,'19_Расчет_аналитики'!BC1629,0),IF('01_Вводные'!$B$310&gt;=4,'19_Расчет_аналитики'!BD1629,0),IF('01_Вводные'!$B$310&gt;=5,'19_Расчет_аналитики'!BE1629,0),IF('01_Вводные'!$B$310&gt;=6,'19_Расчет_аналитики'!BF1629,0))</f>
        <v/>
      </c>
      <c r="BA1351">
        <f>SUM(IF('01_Вводные'!$B$310&gt;=1,'19_Расчет_аналитики'!BB1629,0),IF('01_Вводные'!$B$310&gt;=2,'19_Расчет_аналитики'!BC1629,0),IF('01_Вводные'!$B$310&gt;=3,'19_Расчет_аналитики'!BD1629,0),IF('01_Вводные'!$B$310&gt;=4,'19_Расчет_аналитики'!BE1629,0),IF('01_Вводные'!$B$310&gt;=5,'19_Расчет_аналитики'!BF1629,0),IF('01_Вводные'!$B$310&gt;=6,'19_Расчет_аналитики'!BG1629,0))</f>
        <v/>
      </c>
      <c r="BB1351">
        <f>SUM(IF('01_Вводные'!$B$310&gt;=1,'19_Расчет_аналитики'!BC1629,0),IF('01_Вводные'!$B$310&gt;=2,'19_Расчет_аналитики'!BD1629,0),IF('01_Вводные'!$B$310&gt;=3,'19_Расчет_аналитики'!BE1629,0),IF('01_Вводные'!$B$310&gt;=4,'19_Расчет_аналитики'!BF1629,0),IF('01_Вводные'!$B$310&gt;=5,'19_Расчет_аналитики'!BG1629,0),IF('01_Вводные'!$B$310&gt;=6,'19_Расчет_аналитики'!BH1629,0))</f>
        <v/>
      </c>
      <c r="BC1351">
        <f>SUM(IF('01_Вводные'!$B$310&gt;=1,'19_Расчет_аналитики'!BD1629,0),IF('01_Вводные'!$B$310&gt;=2,'19_Расчет_аналитики'!BE1629,0),IF('01_Вводные'!$B$310&gt;=3,'19_Расчет_аналитики'!BF1629,0),IF('01_Вводные'!$B$310&gt;=4,'19_Расчет_аналитики'!BG1629,0),IF('01_Вводные'!$B$310&gt;=5,'19_Расчет_аналитики'!BH1629,0),IF('01_Вводные'!$B$310&gt;=6,'19_Расчет_аналитики'!BI1629,0))</f>
        <v/>
      </c>
      <c r="BD1351">
        <f>SUM(IF('01_Вводные'!$B$310&gt;=1,'19_Расчет_аналитики'!BE1629,0),IF('01_Вводные'!$B$310&gt;=2,'19_Расчет_аналитики'!BF1629,0),IF('01_Вводные'!$B$310&gt;=3,'19_Расчет_аналитики'!BG1629,0),IF('01_Вводные'!$B$310&gt;=4,'19_Расчет_аналитики'!BH1629,0),IF('01_Вводные'!$B$310&gt;=5,'19_Расчет_аналитики'!BI1629,0),IF('01_Вводные'!$B$310&gt;=6,'19_Расчет_аналитики'!BJ1629,0))</f>
        <v/>
      </c>
      <c r="BE1351">
        <f>SUM(IF('01_Вводные'!$B$310&gt;=1,'19_Расчет_аналитики'!BF1629,0),IF('01_Вводные'!$B$310&gt;=2,'19_Расчет_аналитики'!BG1629,0),IF('01_Вводные'!$B$310&gt;=3,'19_Расчет_аналитики'!BH1629,0),IF('01_Вводные'!$B$310&gt;=4,'19_Расчет_аналитики'!BI1629,0),IF('01_Вводные'!$B$310&gt;=5,'19_Расчет_аналитики'!BJ1629,0),IF('01_Вводные'!$B$310&gt;=6,'19_Расчет_аналитики'!BK1629,0))</f>
        <v/>
      </c>
      <c r="BF1351">
        <f>SUM(IF('01_Вводные'!$B$310&gt;=1,'19_Расчет_аналитики'!BG1629,0),IF('01_Вводные'!$B$310&gt;=2,'19_Расчет_аналитики'!BH1629,0),IF('01_Вводные'!$B$310&gt;=3,'19_Расчет_аналитики'!BI1629,0),IF('01_Вводные'!$B$310&gt;=4,'19_Расчет_аналитики'!BJ1629,0),IF('01_Вводные'!$B$310&gt;=5,'19_Расчет_аналитики'!BK1629,0),IF('01_Вводные'!$B$310&gt;=6,'19_Расчет_аналитики'!BL1629,0))</f>
        <v/>
      </c>
      <c r="BG1351">
        <f>SUM(IF('01_Вводные'!$B$310&gt;=1,'19_Расчет_аналитики'!BH1629,0),IF('01_Вводные'!$B$310&gt;=2,'19_Расчет_аналитики'!BI1629,0),IF('01_Вводные'!$B$310&gt;=3,'19_Расчет_аналитики'!BJ1629,0),IF('01_Вводные'!$B$310&gt;=4,'19_Расчет_аналитики'!BK1629,0),IF('01_Вводные'!$B$310&gt;=5,'19_Расчет_аналитики'!BL1629,0),IF('01_Вводные'!$B$310&gt;=6,'19_Расчет_аналитики'!BM1629,0))</f>
        <v/>
      </c>
      <c r="BH1351">
        <f>SUM(IF('01_Вводные'!$B$310&gt;=1,'19_Расчет_аналитики'!BI1629,0),IF('01_Вводные'!$B$310&gt;=2,'19_Расчет_аналитики'!BJ1629,0),IF('01_Вводные'!$B$310&gt;=3,'19_Расчет_аналитики'!BK1629,0),IF('01_Вводные'!$B$310&gt;=4,'19_Расчет_аналитики'!BL1629,0),IF('01_Вводные'!$B$310&gt;=5,'19_Расчет_аналитики'!BM1629,0),IF('01_Вводные'!$B$310&gt;=6,'19_Расчет_аналитики'!BN1629,0))</f>
        <v/>
      </c>
      <c r="BI1351">
        <f>SUM(IF('01_Вводные'!$B$310&gt;=1,'19_Расчет_аналитики'!BJ1629,0),IF('01_Вводные'!$B$310&gt;=2,'19_Расчет_аналитики'!BK1629,0),IF('01_Вводные'!$B$310&gt;=3,'19_Расчет_аналитики'!BL1629,0),IF('01_Вводные'!$B$310&gt;=4,'19_Расчет_аналитики'!BM1629,0),IF('01_Вводные'!$B$310&gt;=5,'19_Расчет_аналитики'!BN1629,0),IF('01_Вводные'!$B$310&gt;=6,'19_Расчет_аналитики'!BO1629,0))</f>
        <v/>
      </c>
      <c r="BJ1351">
        <f>SUM(IF('01_Вводные'!$B$310&gt;=1,'19_Расчет_аналитики'!BK1629,0),IF('01_Вводные'!$B$310&gt;=2,'19_Расчет_аналитики'!BL1629,0),IF('01_Вводные'!$B$310&gt;=3,'19_Расчет_аналитики'!BM1629,0),IF('01_Вводные'!$B$310&gt;=4,'19_Расчет_аналитики'!BN1629,0),IF('01_Вводные'!$B$310&gt;=5,'19_Расчет_аналитики'!BO1629,0),IF('01_Вводные'!$B$310&gt;=6,'19_Расчет_аналитики'!BP1629,0))</f>
        <v/>
      </c>
      <c r="BK1351">
        <f>SUM(IF('01_Вводные'!$B$310&gt;=1,'19_Расчет_аналитики'!BL1629,0),IF('01_Вводные'!$B$310&gt;=2,'19_Расчет_аналитики'!BM1629,0),IF('01_Вводные'!$B$310&gt;=3,'19_Расчет_аналитики'!BN1629,0),IF('01_Вводные'!$B$310&gt;=4,'19_Расчет_аналитики'!BO1629,0),IF('01_Вводные'!$B$310&gt;=5,'19_Расчет_аналитики'!BP1629,0),IF('01_Вводные'!$B$310&gt;=6,'19_Расчет_аналитики'!BQ1629,0))</f>
        <v/>
      </c>
      <c r="BL1351">
        <f>SUM(IF('01_Вводные'!$B$310&gt;=1,'19_Расчет_аналитики'!BM1629,0),IF('01_Вводные'!$B$310&gt;=2,'19_Расчет_аналитики'!BN1629,0),IF('01_Вводные'!$B$310&gt;=3,'19_Расчет_аналитики'!BO1629,0),IF('01_Вводные'!$B$310&gt;=4,'19_Расчет_аналитики'!BP1629,0),IF('01_Вводные'!$B$310&gt;=5,'19_Расчет_аналитики'!BQ1629,0),IF('01_Вводные'!$B$310&gt;=6,'19_Расчет_аналитики'!BR1629,0))</f>
        <v/>
      </c>
      <c r="BM1351">
        <f>SUM(IF('01_Вводные'!$B$310&gt;=1,'19_Расчет_аналитики'!BN1629,0),IF('01_Вводные'!$B$310&gt;=2,'19_Расчет_аналитики'!BO1629,0),IF('01_Вводные'!$B$310&gt;=3,'19_Расчет_аналитики'!BP1629,0),IF('01_Вводные'!$B$310&gt;=4,'19_Расчет_аналитики'!BQ1629,0),IF('01_Вводные'!$B$310&gt;=5,'19_Расчет_аналитики'!BR1629,0),IF('01_Вводные'!$B$310&gt;=6,'19_Расчет_аналитики'!BS1629,0))</f>
        <v/>
      </c>
      <c r="BN1351">
        <f>SUM(IF('01_Вводные'!$B$310&gt;=1,'19_Расчет_аналитики'!BO1629,0),IF('01_Вводные'!$B$310&gt;=2,'19_Расчет_аналитики'!BP1629,0),IF('01_Вводные'!$B$310&gt;=3,'19_Расчет_аналитики'!BQ1629,0),IF('01_Вводные'!$B$310&gt;=4,'19_Расчет_аналитики'!BR1629,0),IF('01_Вводные'!$B$310&gt;=5,'19_Расчет_аналитики'!BS1629,0),IF('01_Вводные'!$B$310&gt;=6,'19_Расчет_аналитики'!BT1629,0))</f>
        <v/>
      </c>
      <c r="BO1351">
        <f>SUM(IF('01_Вводные'!$B$310&gt;=1,'19_Расчет_аналитики'!BP1629,0),IF('01_Вводные'!$B$310&gt;=2,'19_Расчет_аналитики'!BQ1629,0),IF('01_Вводные'!$B$310&gt;=3,'19_Расчет_аналитики'!BR1629,0),IF('01_Вводные'!$B$310&gt;=4,'19_Расчет_аналитики'!BS1629,0),IF('01_Вводные'!$B$310&gt;=5,'19_Расчет_аналитики'!BT1629,0),IF('01_Вводные'!$B$310&gt;=6,'19_Расчет_аналитики'!BU1629,0))</f>
        <v/>
      </c>
    </row>
    <row r="1352">
      <c r="C1352">
        <f>IF('01_Вводные'!$B$25&gt;0,ROUNDUP(ROUND('19_Расчет_аналитики'!C1350/'01_Вводные'!$B$25,10),0),0)</f>
        <v/>
      </c>
      <c r="D1352">
        <f>IF('01_Вводные'!$B$25&gt;0,ROUNDUP(ROUND('19_Расчет_аналитики'!D1350/'01_Вводные'!$B$25,10),0),0)</f>
        <v/>
      </c>
      <c r="E1352">
        <f>IF('01_Вводные'!$B$25&gt;0,ROUNDUP(ROUND('19_Расчет_аналитики'!E1350/'01_Вводные'!$B$25,10),0),0)</f>
        <v/>
      </c>
      <c r="F1352">
        <f>IF('01_Вводные'!$B$25&gt;0,ROUNDUP(ROUND('19_Расчет_аналитики'!F1350/'01_Вводные'!$B$25,10),0),0)</f>
        <v/>
      </c>
      <c r="G1352">
        <f>IF('01_Вводные'!$B$25&gt;0,ROUNDUP(ROUND('19_Расчет_аналитики'!G1350/'01_Вводные'!$B$25,10),0),0)</f>
        <v/>
      </c>
      <c r="H1352">
        <f>IF('01_Вводные'!$B$25&gt;0,ROUNDUP(ROUND('19_Расчет_аналитики'!H1350/'01_Вводные'!$B$25,10),0),0)</f>
        <v/>
      </c>
      <c r="I1352">
        <f>IF('01_Вводные'!$B$25&gt;0,ROUNDUP(ROUND('19_Расчет_аналитики'!I1350/'01_Вводные'!$B$25,10),0),0)</f>
        <v/>
      </c>
      <c r="J1352">
        <f>IF('01_Вводные'!$B$25&gt;0,ROUNDUP(ROUND('19_Расчет_аналитики'!J1350/'01_Вводные'!$B$25,10),0),0)</f>
        <v/>
      </c>
      <c r="K1352">
        <f>IF('01_Вводные'!$B$25&gt;0,ROUNDUP(ROUND('19_Расчет_аналитики'!K1350/'01_Вводные'!$B$25,10),0),0)</f>
        <v/>
      </c>
      <c r="L1352">
        <f>IF('01_Вводные'!$B$25&gt;0,ROUNDUP(ROUND('19_Расчет_аналитики'!L1350/'01_Вводные'!$B$25,10),0),0)</f>
        <v/>
      </c>
      <c r="M1352">
        <f>IF('01_Вводные'!$B$25&gt;0,ROUNDUP(ROUND('19_Расчет_аналитики'!M1350/'01_Вводные'!$B$25,10),0),0)</f>
        <v/>
      </c>
      <c r="N1352">
        <f>IF('01_Вводные'!$B$25&gt;0,ROUNDUP(ROUND('19_Расчет_аналитики'!N1350/'01_Вводные'!$B$25,10),0),0)</f>
        <v/>
      </c>
      <c r="O1352">
        <f>IF('01_Вводные'!$B$25&gt;0,ROUNDUP(ROUND('19_Расчет_аналитики'!O1350/'01_Вводные'!$B$25,10),0),0)</f>
        <v/>
      </c>
      <c r="P1352">
        <f>IF('01_Вводные'!$B$25&gt;0,ROUNDUP(ROUND('19_Расчет_аналитики'!P1350/'01_Вводные'!$B$25,10),0),0)</f>
        <v/>
      </c>
      <c r="Q1352">
        <f>IF('01_Вводные'!$B$25&gt;0,ROUNDUP(ROUND('19_Расчет_аналитики'!Q1350/'01_Вводные'!$B$25,10),0),0)</f>
        <v/>
      </c>
      <c r="R1352">
        <f>IF('01_Вводные'!$B$25&gt;0,ROUNDUP(ROUND('19_Расчет_аналитики'!R1350/'01_Вводные'!$B$25,10),0),0)</f>
        <v/>
      </c>
      <c r="S1352">
        <f>IF('01_Вводные'!$B$25&gt;0,ROUNDUP(ROUND('19_Расчет_аналитики'!S1350/'01_Вводные'!$B$25,10),0),0)</f>
        <v/>
      </c>
      <c r="T1352">
        <f>IF('01_Вводные'!$B$25&gt;0,ROUNDUP(ROUND('19_Расчет_аналитики'!T1350/'01_Вводные'!$B$25,10),0),0)</f>
        <v/>
      </c>
      <c r="U1352">
        <f>IF('01_Вводные'!$B$25&gt;0,ROUNDUP(ROUND('19_Расчет_аналитики'!U1350/'01_Вводные'!$B$25,10),0),0)</f>
        <v/>
      </c>
      <c r="V1352">
        <f>IF('01_Вводные'!$B$25&gt;0,ROUNDUP(ROUND('19_Расчет_аналитики'!V1350/'01_Вводные'!$B$25,10),0),0)</f>
        <v/>
      </c>
      <c r="W1352">
        <f>IF('01_Вводные'!$B$25&gt;0,ROUNDUP(ROUND('19_Расчет_аналитики'!W1350/'01_Вводные'!$B$25,10),0),0)</f>
        <v/>
      </c>
      <c r="X1352">
        <f>IF('01_Вводные'!$B$25&gt;0,ROUNDUP(ROUND('19_Расчет_аналитики'!X1350/'01_Вводные'!$B$25,10),0),0)</f>
        <v/>
      </c>
      <c r="Y1352">
        <f>IF('01_Вводные'!$B$25&gt;0,ROUNDUP(ROUND('19_Расчет_аналитики'!Y1350/'01_Вводные'!$B$25,10),0),0)</f>
        <v/>
      </c>
      <c r="Z1352">
        <f>IF('01_Вводные'!$B$25&gt;0,ROUNDUP(ROUND('19_Расчет_аналитики'!Z1350/'01_Вводные'!$B$25,10),0),0)</f>
        <v/>
      </c>
      <c r="AA1352">
        <f>IF('01_Вводные'!$B$25&gt;0,ROUNDUP(ROUND('19_Расчет_аналитики'!AA1350/'01_Вводные'!$B$25,10),0),0)</f>
        <v/>
      </c>
      <c r="AB1352">
        <f>IF('01_Вводные'!$B$25&gt;0,ROUNDUP(ROUND('19_Расчет_аналитики'!AB1350/'01_Вводные'!$B$25,10),0),0)</f>
        <v/>
      </c>
      <c r="AC1352">
        <f>IF('01_Вводные'!$B$25&gt;0,ROUNDUP(ROUND('19_Расчет_аналитики'!AC1350/'01_Вводные'!$B$25,10),0),0)</f>
        <v/>
      </c>
      <c r="AD1352">
        <f>IF('01_Вводные'!$B$25&gt;0,ROUNDUP(ROUND('19_Расчет_аналитики'!AD1350/'01_Вводные'!$B$25,10),0),0)</f>
        <v/>
      </c>
      <c r="AE1352">
        <f>IF('01_Вводные'!$B$25&gt;0,ROUNDUP(ROUND('19_Расчет_аналитики'!AE1350/'01_Вводные'!$B$25,10),0),0)</f>
        <v/>
      </c>
      <c r="AF1352">
        <f>IF('01_Вводные'!$B$25&gt;0,ROUNDUP(ROUND('19_Расчет_аналитики'!AF1350/'01_Вводные'!$B$25,10),0),0)</f>
        <v/>
      </c>
      <c r="AG1352">
        <f>IF('01_Вводные'!$B$25&gt;0,ROUNDUP(ROUND('19_Расчет_аналитики'!AG1350/'01_Вводные'!$B$25,10),0),0)</f>
        <v/>
      </c>
      <c r="AH1352">
        <f>IF('01_Вводные'!$B$25&gt;0,ROUNDUP(ROUND('19_Расчет_аналитики'!AH1350/'01_Вводные'!$B$25,10),0),0)</f>
        <v/>
      </c>
      <c r="AI1352">
        <f>IF('01_Вводные'!$B$25&gt;0,ROUNDUP(ROUND('19_Расчет_аналитики'!AI1350/'01_Вводные'!$B$25,10),0),0)</f>
        <v/>
      </c>
      <c r="AJ1352">
        <f>IF('01_Вводные'!$B$25&gt;0,ROUNDUP(ROUND('19_Расчет_аналитики'!AJ1350/'01_Вводные'!$B$25,10),0),0)</f>
        <v/>
      </c>
      <c r="AK1352">
        <f>IF('01_Вводные'!$B$25&gt;0,ROUNDUP(ROUND('19_Расчет_аналитики'!AK1350/'01_Вводные'!$B$25,10),0),0)</f>
        <v/>
      </c>
      <c r="AL1352">
        <f>IF('01_Вводные'!$B$25&gt;0,ROUNDUP(ROUND('19_Расчет_аналитики'!AL1350/'01_Вводные'!$B$25,10),0),0)</f>
        <v/>
      </c>
      <c r="AM1352">
        <f>IF('01_Вводные'!$B$25&gt;0,ROUNDUP(ROUND('19_Расчет_аналитики'!AM1350/'01_Вводные'!$B$25,10),0),0)</f>
        <v/>
      </c>
      <c r="AN1352">
        <f>IF('01_Вводные'!$B$25&gt;0,ROUNDUP(ROUND('19_Расчет_аналитики'!AN1350/'01_Вводные'!$B$25,10),0),0)</f>
        <v/>
      </c>
      <c r="AO1352">
        <f>IF('01_Вводные'!$B$25&gt;0,ROUNDUP(ROUND('19_Расчет_аналитики'!AO1350/'01_Вводные'!$B$25,10),0),0)</f>
        <v/>
      </c>
      <c r="AP1352">
        <f>IF('01_Вводные'!$B$25&gt;0,ROUNDUP(ROUND('19_Расчет_аналитики'!AP1350/'01_Вводные'!$B$25,10),0),0)</f>
        <v/>
      </c>
      <c r="AQ1352">
        <f>IF('01_Вводные'!$B$25&gt;0,ROUNDUP(ROUND('19_Расчет_аналитики'!AQ1350/'01_Вводные'!$B$25,10),0),0)</f>
        <v/>
      </c>
      <c r="AR1352">
        <f>IF('01_Вводные'!$B$25&gt;0,ROUNDUP(ROUND('19_Расчет_аналитики'!AR1350/'01_Вводные'!$B$25,10),0),0)</f>
        <v/>
      </c>
      <c r="AS1352">
        <f>IF('01_Вводные'!$B$25&gt;0,ROUNDUP(ROUND('19_Расчет_аналитики'!AS1350/'01_Вводные'!$B$25,10),0),0)</f>
        <v/>
      </c>
      <c r="AT1352">
        <f>IF('01_Вводные'!$B$25&gt;0,ROUNDUP(ROUND('19_Расчет_аналитики'!AT1350/'01_Вводные'!$B$25,10),0),0)</f>
        <v/>
      </c>
      <c r="AU1352">
        <f>IF('01_Вводные'!$B$25&gt;0,ROUNDUP(ROUND('19_Расчет_аналитики'!AU1350/'01_Вводные'!$B$25,10),0),0)</f>
        <v/>
      </c>
      <c r="AV1352">
        <f>IF('01_Вводные'!$B$25&gt;0,ROUNDUP(ROUND('19_Расчет_аналитики'!AV1350/'01_Вводные'!$B$25,10),0),0)</f>
        <v/>
      </c>
      <c r="AW1352">
        <f>IF('01_Вводные'!$B$25&gt;0,ROUNDUP(ROUND('19_Расчет_аналитики'!AW1350/'01_Вводные'!$B$25,10),0),0)</f>
        <v/>
      </c>
      <c r="AX1352">
        <f>IF('01_Вводные'!$B$25&gt;0,ROUNDUP(ROUND('19_Расчет_аналитики'!AX1350/'01_Вводные'!$B$25,10),0),0)</f>
        <v/>
      </c>
      <c r="AY1352">
        <f>IF('01_Вводные'!$B$25&gt;0,ROUNDUP(ROUND('19_Расчет_аналитики'!AY1350/'01_Вводные'!$B$25,10),0),0)</f>
        <v/>
      </c>
      <c r="AZ1352">
        <f>IF('01_Вводные'!$B$25&gt;0,ROUNDUP(ROUND('19_Расчет_аналитики'!AZ1350/'01_Вводные'!$B$25,10),0),0)</f>
        <v/>
      </c>
      <c r="BA1352">
        <f>IF('01_Вводные'!$B$25&gt;0,ROUNDUP(ROUND('19_Расчет_аналитики'!BA1350/'01_Вводные'!$B$25,10),0),0)</f>
        <v/>
      </c>
      <c r="BB1352">
        <f>IF('01_Вводные'!$B$25&gt;0,ROUNDUP(ROUND('19_Расчет_аналитики'!BB1350/'01_Вводные'!$B$25,10),0),0)</f>
        <v/>
      </c>
      <c r="BC1352">
        <f>IF('01_Вводные'!$B$25&gt;0,ROUNDUP(ROUND('19_Расчет_аналитики'!BC1350/'01_Вводные'!$B$25,10),0),0)</f>
        <v/>
      </c>
      <c r="BD1352">
        <f>IF('01_Вводные'!$B$25&gt;0,ROUNDUP(ROUND('19_Расчет_аналитики'!BD1350/'01_Вводные'!$B$25,10),0),0)</f>
        <v/>
      </c>
      <c r="BE1352">
        <f>IF('01_Вводные'!$B$25&gt;0,ROUNDUP(ROUND('19_Расчет_аналитики'!BE1350/'01_Вводные'!$B$25,10),0),0)</f>
        <v/>
      </c>
      <c r="BF1352">
        <f>IF('01_Вводные'!$B$25&gt;0,ROUNDUP(ROUND('19_Расчет_аналитики'!BF1350/'01_Вводные'!$B$25,10),0),0)</f>
        <v/>
      </c>
      <c r="BG1352">
        <f>IF('01_Вводные'!$B$25&gt;0,ROUNDUP(ROUND('19_Расчет_аналитики'!BG1350/'01_Вводные'!$B$25,10),0),0)</f>
        <v/>
      </c>
      <c r="BH1352">
        <f>IF('01_Вводные'!$B$25&gt;0,ROUNDUP(ROUND('19_Расчет_аналитики'!BH1350/'01_Вводные'!$B$25,10),0),0)</f>
        <v/>
      </c>
      <c r="BI1352">
        <f>IF('01_Вводные'!$B$25&gt;0,ROUNDUP(ROUND('19_Расчет_аналитики'!BI1350/'01_Вводные'!$B$25,10),0),0)</f>
        <v/>
      </c>
    </row>
    <row r="1353">
      <c r="B1353">
        <f>IF(1&lt;='01_Вводные'!$B$15,0,INDEX('19_Расчет_аналитики'!$B$1350:$BI$1350,1,1-'01_Вводные'!$B$15))*'01_Вводные'!$B$298</f>
        <v/>
      </c>
      <c r="C1353">
        <f>IF(2&lt;='01_Вводные'!$B$15,0,INDEX('19_Расчет_аналитики'!$B$1350:$BI$1350,1,2-'01_Вводные'!$B$15))*'01_Вводные'!$B$298</f>
        <v/>
      </c>
      <c r="D1353">
        <f>IF(3&lt;='01_Вводные'!$B$15,0,INDEX('19_Расчет_аналитики'!$B$1350:$BI$1350,1,3-'01_Вводные'!$B$15))*'01_Вводные'!$B$298</f>
        <v/>
      </c>
      <c r="E1353">
        <f>IF(4&lt;='01_Вводные'!$B$15,0,INDEX('19_Расчет_аналитики'!$B$1350:$BI$1350,1,4-'01_Вводные'!$B$15))*'01_Вводные'!$B$298</f>
        <v/>
      </c>
      <c r="F1353">
        <f>IF(5&lt;='01_Вводные'!$B$15,0,INDEX('19_Расчет_аналитики'!$B$1350:$BI$1350,1,5-'01_Вводные'!$B$15))*'01_Вводные'!$B$298</f>
        <v/>
      </c>
      <c r="G1353">
        <f>IF(6&lt;='01_Вводные'!$B$15,0,INDEX('19_Расчет_аналитики'!$B$1350:$BI$1350,1,6-'01_Вводные'!$B$15))*'01_Вводные'!$B$298</f>
        <v/>
      </c>
      <c r="H1353">
        <f>IF(7&lt;='01_Вводные'!$B$15,0,INDEX('19_Расчет_аналитики'!$B$1350:$BI$1350,1,7-'01_Вводные'!$B$15))*'01_Вводные'!$B$298</f>
        <v/>
      </c>
      <c r="I1353">
        <f>IF(8&lt;='01_Вводные'!$B$15,0,INDEX('19_Расчет_аналитики'!$B$1350:$BI$1350,1,8-'01_Вводные'!$B$15))*'01_Вводные'!$B$298</f>
        <v/>
      </c>
      <c r="J1353">
        <f>IF(9&lt;='01_Вводные'!$B$15,0,INDEX('19_Расчет_аналитики'!$B$1350:$BI$1350,1,9-'01_Вводные'!$B$15))*'01_Вводные'!$B$298</f>
        <v/>
      </c>
      <c r="K1353">
        <f>IF(10&lt;='01_Вводные'!$B$15,0,INDEX('19_Расчет_аналитики'!$B$1350:$BI$1350,1,10-'01_Вводные'!$B$15))*'01_Вводные'!$B$298</f>
        <v/>
      </c>
      <c r="L1353">
        <f>IF(11&lt;='01_Вводные'!$B$15,0,INDEX('19_Расчет_аналитики'!$B$1350:$BI$1350,1,11-'01_Вводные'!$B$15))*'01_Вводные'!$B$298</f>
        <v/>
      </c>
      <c r="M1353">
        <f>IF(12&lt;='01_Вводные'!$B$15,0,INDEX('19_Расчет_аналитики'!$B$1350:$BI$1350,1,12-'01_Вводные'!$B$15))*'01_Вводные'!$B$298</f>
        <v/>
      </c>
      <c r="N1353">
        <f>IF(13&lt;='01_Вводные'!$B$15,0,INDEX('19_Расчет_аналитики'!$B$1350:$BI$1350,1,13-'01_Вводные'!$B$15))*'01_Вводные'!$B$298</f>
        <v/>
      </c>
      <c r="O1353">
        <f>IF(14&lt;='01_Вводные'!$B$15,0,INDEX('19_Расчет_аналитики'!$B$1350:$BI$1350,1,14-'01_Вводные'!$B$15))*'01_Вводные'!$B$298</f>
        <v/>
      </c>
      <c r="P1353">
        <f>IF(15&lt;='01_Вводные'!$B$15,0,INDEX('19_Расчет_аналитики'!$B$1350:$BI$1350,1,15-'01_Вводные'!$B$15))*'01_Вводные'!$B$298</f>
        <v/>
      </c>
      <c r="Q1353">
        <f>IF(16&lt;='01_Вводные'!$B$15,0,INDEX('19_Расчет_аналитики'!$B$1350:$BI$1350,1,16-'01_Вводные'!$B$15))*'01_Вводные'!$B$298</f>
        <v/>
      </c>
      <c r="R1353">
        <f>IF(17&lt;='01_Вводные'!$B$15,0,INDEX('19_Расчет_аналитики'!$B$1350:$BI$1350,1,17-'01_Вводные'!$B$15))*'01_Вводные'!$B$298</f>
        <v/>
      </c>
      <c r="S1353">
        <f>IF(18&lt;='01_Вводные'!$B$15,0,INDEX('19_Расчет_аналитики'!$B$1350:$BI$1350,1,18-'01_Вводные'!$B$15))*'01_Вводные'!$B$298</f>
        <v/>
      </c>
      <c r="T1353">
        <f>IF(19&lt;='01_Вводные'!$B$15,0,INDEX('19_Расчет_аналитики'!$B$1350:$BI$1350,1,19-'01_Вводные'!$B$15))*'01_Вводные'!$B$298</f>
        <v/>
      </c>
      <c r="U1353">
        <f>IF(20&lt;='01_Вводные'!$B$15,0,INDEX('19_Расчет_аналитики'!$B$1350:$BI$1350,1,20-'01_Вводные'!$B$15))*'01_Вводные'!$B$298</f>
        <v/>
      </c>
      <c r="V1353">
        <f>IF(21&lt;='01_Вводные'!$B$15,0,INDEX('19_Расчет_аналитики'!$B$1350:$BI$1350,1,21-'01_Вводные'!$B$15))*'01_Вводные'!$B$298</f>
        <v/>
      </c>
      <c r="W1353">
        <f>IF(22&lt;='01_Вводные'!$B$15,0,INDEX('19_Расчет_аналитики'!$B$1350:$BI$1350,1,22-'01_Вводные'!$B$15))*'01_Вводные'!$B$298</f>
        <v/>
      </c>
      <c r="X1353">
        <f>IF(23&lt;='01_Вводные'!$B$15,0,INDEX('19_Расчет_аналитики'!$B$1350:$BI$1350,1,23-'01_Вводные'!$B$15))*'01_Вводные'!$B$298</f>
        <v/>
      </c>
      <c r="Y1353">
        <f>IF(24&lt;='01_Вводные'!$B$15,0,INDEX('19_Расчет_аналитики'!$B$1350:$BI$1350,1,24-'01_Вводные'!$B$15))*'01_Вводные'!$B$298</f>
        <v/>
      </c>
      <c r="Z1353">
        <f>IF(25&lt;='01_Вводные'!$B$15,0,INDEX('19_Расчет_аналитики'!$B$1350:$BI$1350,1,25-'01_Вводные'!$B$15))*'01_Вводные'!$B$298</f>
        <v/>
      </c>
      <c r="AA1353">
        <f>IF(26&lt;='01_Вводные'!$B$15,0,INDEX('19_Расчет_аналитики'!$B$1350:$BI$1350,1,26-'01_Вводные'!$B$15))*'01_Вводные'!$B$298</f>
        <v/>
      </c>
      <c r="AB1353">
        <f>IF(27&lt;='01_Вводные'!$B$15,0,INDEX('19_Расчет_аналитики'!$B$1350:$BI$1350,1,27-'01_Вводные'!$B$15))*'01_Вводные'!$B$298</f>
        <v/>
      </c>
      <c r="AC1353">
        <f>IF(28&lt;='01_Вводные'!$B$15,0,INDEX('19_Расчет_аналитики'!$B$1350:$BI$1350,1,28-'01_Вводные'!$B$15))*'01_Вводные'!$B$298</f>
        <v/>
      </c>
      <c r="AD1353">
        <f>IF(29&lt;='01_Вводные'!$B$15,0,INDEX('19_Расчет_аналитики'!$B$1350:$BI$1350,1,29-'01_Вводные'!$B$15))*'01_Вводные'!$B$298</f>
        <v/>
      </c>
      <c r="AE1353">
        <f>IF(30&lt;='01_Вводные'!$B$15,0,INDEX('19_Расчет_аналитики'!$B$1350:$BI$1350,1,30-'01_Вводные'!$B$15))*'01_Вводные'!$B$298</f>
        <v/>
      </c>
      <c r="AF1353">
        <f>IF(31&lt;='01_Вводные'!$B$15,0,INDEX('19_Расчет_аналитики'!$B$1350:$BI$1350,1,31-'01_Вводные'!$B$15))*'01_Вводные'!$B$298</f>
        <v/>
      </c>
      <c r="AG1353">
        <f>IF(32&lt;='01_Вводные'!$B$15,0,INDEX('19_Расчет_аналитики'!$B$1350:$BI$1350,1,32-'01_Вводные'!$B$15))*'01_Вводные'!$B$298</f>
        <v/>
      </c>
      <c r="AH1353">
        <f>IF(33&lt;='01_Вводные'!$B$15,0,INDEX('19_Расчет_аналитики'!$B$1350:$BI$1350,1,33-'01_Вводные'!$B$15))*'01_Вводные'!$B$298</f>
        <v/>
      </c>
      <c r="AI1353">
        <f>IF(34&lt;='01_Вводные'!$B$15,0,INDEX('19_Расчет_аналитики'!$B$1350:$BI$1350,1,34-'01_Вводные'!$B$15))*'01_Вводные'!$B$298</f>
        <v/>
      </c>
      <c r="AJ1353">
        <f>IF(35&lt;='01_Вводные'!$B$15,0,INDEX('19_Расчет_аналитики'!$B$1350:$BI$1350,1,35-'01_Вводные'!$B$15))*'01_Вводные'!$B$298</f>
        <v/>
      </c>
      <c r="AK1353">
        <f>IF(36&lt;='01_Вводные'!$B$15,0,INDEX('19_Расчет_аналитики'!$B$1350:$BI$1350,1,36-'01_Вводные'!$B$15))*'01_Вводные'!$B$298</f>
        <v/>
      </c>
      <c r="AL1353">
        <f>IF(37&lt;='01_Вводные'!$B$15,0,INDEX('19_Расчет_аналитики'!$B$1350:$BI$1350,1,37-'01_Вводные'!$B$15))*'01_Вводные'!$B$298</f>
        <v/>
      </c>
      <c r="AM1353">
        <f>IF(38&lt;='01_Вводные'!$B$15,0,INDEX('19_Расчет_аналитики'!$B$1350:$BI$1350,1,38-'01_Вводные'!$B$15))*'01_Вводные'!$B$298</f>
        <v/>
      </c>
      <c r="AN1353">
        <f>IF(39&lt;='01_Вводные'!$B$15,0,INDEX('19_Расчет_аналитики'!$B$1350:$BI$1350,1,39-'01_Вводные'!$B$15))*'01_Вводные'!$B$298</f>
        <v/>
      </c>
      <c r="AO1353">
        <f>IF(40&lt;='01_Вводные'!$B$15,0,INDEX('19_Расчет_аналитики'!$B$1350:$BI$1350,1,40-'01_Вводные'!$B$15))*'01_Вводные'!$B$298</f>
        <v/>
      </c>
      <c r="AP1353">
        <f>IF(41&lt;='01_Вводные'!$B$15,0,INDEX('19_Расчет_аналитики'!$B$1350:$BI$1350,1,41-'01_Вводные'!$B$15))*'01_Вводные'!$B$298</f>
        <v/>
      </c>
      <c r="AQ1353">
        <f>IF(42&lt;='01_Вводные'!$B$15,0,INDEX('19_Расчет_аналитики'!$B$1350:$BI$1350,1,42-'01_Вводные'!$B$15))*'01_Вводные'!$B$298</f>
        <v/>
      </c>
      <c r="AR1353">
        <f>IF(43&lt;='01_Вводные'!$B$15,0,INDEX('19_Расчет_аналитики'!$B$1350:$BI$1350,1,43-'01_Вводные'!$B$15))*'01_Вводные'!$B$298</f>
        <v/>
      </c>
      <c r="AS1353">
        <f>IF(44&lt;='01_Вводные'!$B$15,0,INDEX('19_Расчет_аналитики'!$B$1350:$BI$1350,1,44-'01_Вводные'!$B$15))*'01_Вводные'!$B$298</f>
        <v/>
      </c>
      <c r="AT1353">
        <f>IF(45&lt;='01_Вводные'!$B$15,0,INDEX('19_Расчет_аналитики'!$B$1350:$BI$1350,1,45-'01_Вводные'!$B$15))*'01_Вводные'!$B$298</f>
        <v/>
      </c>
      <c r="AU1353">
        <f>IF(46&lt;='01_Вводные'!$B$15,0,INDEX('19_Расчет_аналитики'!$B$1350:$BI$1350,1,46-'01_Вводные'!$B$15))*'01_Вводные'!$B$298</f>
        <v/>
      </c>
      <c r="AV1353">
        <f>IF(47&lt;='01_Вводные'!$B$15,0,INDEX('19_Расчет_аналитики'!$B$1350:$BI$1350,1,47-'01_Вводные'!$B$15))*'01_Вводные'!$B$298</f>
        <v/>
      </c>
      <c r="AW1353">
        <f>IF(48&lt;='01_Вводные'!$B$15,0,INDEX('19_Расчет_аналитики'!$B$1350:$BI$1350,1,48-'01_Вводные'!$B$15))*'01_Вводные'!$B$298</f>
        <v/>
      </c>
      <c r="AX1353">
        <f>IF(49&lt;='01_Вводные'!$B$15,0,INDEX('19_Расчет_аналитики'!$B$1350:$BI$1350,1,49-'01_Вводные'!$B$15))*'01_Вводные'!$B$298</f>
        <v/>
      </c>
      <c r="AY1353">
        <f>IF(50&lt;='01_Вводные'!$B$15,0,INDEX('19_Расчет_аналитики'!$B$1350:$BI$1350,1,50-'01_Вводные'!$B$15))*'01_Вводные'!$B$298</f>
        <v/>
      </c>
      <c r="AZ1353">
        <f>IF(51&lt;='01_Вводные'!$B$15,0,INDEX('19_Расчет_аналитики'!$B$1350:$BI$1350,1,51-'01_Вводные'!$B$15))*'01_Вводные'!$B$298</f>
        <v/>
      </c>
      <c r="BA1353">
        <f>IF(52&lt;='01_Вводные'!$B$15,0,INDEX('19_Расчет_аналитики'!$B$1350:$BI$1350,1,52-'01_Вводные'!$B$15))*'01_Вводные'!$B$298</f>
        <v/>
      </c>
      <c r="BB1353">
        <f>IF(53&lt;='01_Вводные'!$B$15,0,INDEX('19_Расчет_аналитики'!$B$1350:$BI$1350,1,53-'01_Вводные'!$B$15))*'01_Вводные'!$B$298</f>
        <v/>
      </c>
      <c r="BC1353">
        <f>IF(54&lt;='01_Вводные'!$B$15,0,INDEX('19_Расчет_аналитики'!$B$1350:$BI$1350,1,54-'01_Вводные'!$B$15))*'01_Вводные'!$B$298</f>
        <v/>
      </c>
      <c r="BD1353">
        <f>IF(55&lt;='01_Вводные'!$B$15,0,INDEX('19_Расчет_аналитики'!$B$1350:$BI$1350,1,55-'01_Вводные'!$B$15))*'01_Вводные'!$B$298</f>
        <v/>
      </c>
      <c r="BE1353">
        <f>IF(56&lt;='01_Вводные'!$B$15,0,INDEX('19_Расчет_аналитики'!$B$1350:$BI$1350,1,56-'01_Вводные'!$B$15))*'01_Вводные'!$B$298</f>
        <v/>
      </c>
      <c r="BF1353">
        <f>IF(57&lt;='01_Вводные'!$B$15,0,INDEX('19_Расчет_аналитики'!$B$1350:$BI$1350,1,57-'01_Вводные'!$B$15))*'01_Вводные'!$B$298</f>
        <v/>
      </c>
      <c r="BG1353">
        <f>IF(58&lt;='01_Вводные'!$B$15,0,INDEX('19_Расчет_аналитики'!$B$1350:$BI$1350,1,58-'01_Вводные'!$B$15))*'01_Вводные'!$B$298</f>
        <v/>
      </c>
      <c r="BH1353">
        <f>IF(59&lt;='01_Вводные'!$B$15,0,INDEX('19_Расчет_аналитики'!$B$1350:$BI$1350,1,59-'01_Вводные'!$B$15))*'01_Вводные'!$B$298</f>
        <v/>
      </c>
      <c r="BI1353">
        <f>IF(60&lt;='01_Вводные'!$B$15,0,INDEX('19_Расчет_аналитики'!$B$1350:$BI$1350,1,60-'01_Вводные'!$B$15))*'01_Вводные'!$B$298</f>
        <v/>
      </c>
    </row>
    <row r="1354"/>
    <row r="1355"/>
    <row r="1356">
      <c r="B1356">
        <f>SUMIF('04_Продажи'!$B$28:$BI$28,'04_Продажи'!B$11,'19_Расчет_аналитики'!$B$1350:$BI$1350)*'19_Расчет_аналитики'!B1821</f>
        <v/>
      </c>
      <c r="C1356">
        <f>SUMIF('04_Продажи'!$B$28:$BI$28,'04_Продажи'!C$11,'19_Расчет_аналитики'!$B$1350:$BI$1350)*'19_Расчет_аналитики'!C1821</f>
        <v/>
      </c>
      <c r="D1356">
        <f>SUMIF('04_Продажи'!$B$28:$BI$28,'04_Продажи'!D$11,'19_Расчет_аналитики'!$B$1350:$BI$1350)*'19_Расчет_аналитики'!D1821</f>
        <v/>
      </c>
      <c r="E1356">
        <f>SUMIF('04_Продажи'!$B$28:$BI$28,'04_Продажи'!E$11,'19_Расчет_аналитики'!$B$1350:$BI$1350)*'19_Расчет_аналитики'!E1821</f>
        <v/>
      </c>
      <c r="F1356">
        <f>SUMIF('04_Продажи'!$B$28:$BI$28,'04_Продажи'!F$11,'19_Расчет_аналитики'!$B$1350:$BI$1350)*'19_Расчет_аналитики'!F1821</f>
        <v/>
      </c>
      <c r="G1356">
        <f>SUMIF('04_Продажи'!$B$28:$BI$28,'04_Продажи'!G$11,'19_Расчет_аналитики'!$B$1350:$BI$1350)*'19_Расчет_аналитики'!G1821</f>
        <v/>
      </c>
      <c r="H1356">
        <f>SUMIF('04_Продажи'!$B$28:$BI$28,'04_Продажи'!H$11,'19_Расчет_аналитики'!$B$1350:$BI$1350)*'19_Расчет_аналитики'!H1821</f>
        <v/>
      </c>
      <c r="I1356">
        <f>SUMIF('04_Продажи'!$B$28:$BI$28,'04_Продажи'!I$11,'19_Расчет_аналитики'!$B$1350:$BI$1350)*'19_Расчет_аналитики'!I1821</f>
        <v/>
      </c>
      <c r="J1356">
        <f>SUMIF('04_Продажи'!$B$28:$BI$28,'04_Продажи'!J$11,'19_Расчет_аналитики'!$B$1350:$BI$1350)*'19_Расчет_аналитики'!J1821</f>
        <v/>
      </c>
      <c r="K1356">
        <f>SUMIF('04_Продажи'!$B$28:$BI$28,'04_Продажи'!K$11,'19_Расчет_аналитики'!$B$1350:$BI$1350)*'19_Расчет_аналитики'!K1821</f>
        <v/>
      </c>
      <c r="L1356">
        <f>SUMIF('04_Продажи'!$B$28:$BI$28,'04_Продажи'!L$11,'19_Расчет_аналитики'!$B$1350:$BI$1350)*'19_Расчет_аналитики'!L1821</f>
        <v/>
      </c>
      <c r="M1356">
        <f>SUMIF('04_Продажи'!$B$28:$BI$28,'04_Продажи'!M$11,'19_Расчет_аналитики'!$B$1350:$BI$1350)*'19_Расчет_аналитики'!M1821</f>
        <v/>
      </c>
      <c r="N1356">
        <f>SUMIF('04_Продажи'!$B$28:$BI$28,'04_Продажи'!N$11,'19_Расчет_аналитики'!$B$1350:$BI$1350)*'19_Расчет_аналитики'!N1821</f>
        <v/>
      </c>
      <c r="O1356">
        <f>SUMIF('04_Продажи'!$B$28:$BI$28,'04_Продажи'!O$11,'19_Расчет_аналитики'!$B$1350:$BI$1350)*'19_Расчет_аналитики'!O1821</f>
        <v/>
      </c>
      <c r="P1356">
        <f>SUMIF('04_Продажи'!$B$28:$BI$28,'04_Продажи'!P$11,'19_Расчет_аналитики'!$B$1350:$BI$1350)*'19_Расчет_аналитики'!P1821</f>
        <v/>
      </c>
      <c r="Q1356">
        <f>SUMIF('04_Продажи'!$B$28:$BI$28,'04_Продажи'!Q$11,'19_Расчет_аналитики'!$B$1350:$BI$1350)*'19_Расчет_аналитики'!Q1821</f>
        <v/>
      </c>
      <c r="R1356">
        <f>SUMIF('04_Продажи'!$B$28:$BI$28,'04_Продажи'!R$11,'19_Расчет_аналитики'!$B$1350:$BI$1350)*'19_Расчет_аналитики'!R1821</f>
        <v/>
      </c>
      <c r="S1356">
        <f>SUMIF('04_Продажи'!$B$28:$BI$28,'04_Продажи'!S$11,'19_Расчет_аналитики'!$B$1350:$BI$1350)*'19_Расчет_аналитики'!S1821</f>
        <v/>
      </c>
      <c r="T1356">
        <f>SUMIF('04_Продажи'!$B$28:$BI$28,'04_Продажи'!T$11,'19_Расчет_аналитики'!$B$1350:$BI$1350)*'19_Расчет_аналитики'!T1821</f>
        <v/>
      </c>
      <c r="U1356">
        <f>SUMIF('04_Продажи'!$B$28:$BI$28,'04_Продажи'!U$11,'19_Расчет_аналитики'!$B$1350:$BI$1350)*'19_Расчет_аналитики'!U1821</f>
        <v/>
      </c>
      <c r="V1356">
        <f>SUMIF('04_Продажи'!$B$28:$BI$28,'04_Продажи'!V$11,'19_Расчет_аналитики'!$B$1350:$BI$1350)*'19_Расчет_аналитики'!V1821</f>
        <v/>
      </c>
      <c r="W1356">
        <f>SUMIF('04_Продажи'!$B$28:$BI$28,'04_Продажи'!W$11,'19_Расчет_аналитики'!$B$1350:$BI$1350)*'19_Расчет_аналитики'!W1821</f>
        <v/>
      </c>
      <c r="X1356">
        <f>SUMIF('04_Продажи'!$B$28:$BI$28,'04_Продажи'!X$11,'19_Расчет_аналитики'!$B$1350:$BI$1350)*'19_Расчет_аналитики'!X1821</f>
        <v/>
      </c>
      <c r="Y1356">
        <f>SUMIF('04_Продажи'!$B$28:$BI$28,'04_Продажи'!Y$11,'19_Расчет_аналитики'!$B$1350:$BI$1350)*'19_Расчет_аналитики'!Y1821</f>
        <v/>
      </c>
      <c r="Z1356">
        <f>SUMIF('04_Продажи'!$B$28:$BI$28,'04_Продажи'!Z$11,'19_Расчет_аналитики'!$B$1350:$BI$1350)*'19_Расчет_аналитики'!Z1821</f>
        <v/>
      </c>
      <c r="AA1356">
        <f>SUMIF('04_Продажи'!$B$28:$BI$28,'04_Продажи'!AA$11,'19_Расчет_аналитики'!$B$1350:$BI$1350)*'19_Расчет_аналитики'!AA1821</f>
        <v/>
      </c>
      <c r="AB1356">
        <f>SUMIF('04_Продажи'!$B$28:$BI$28,'04_Продажи'!AB$11,'19_Расчет_аналитики'!$B$1350:$BI$1350)*'19_Расчет_аналитики'!AB1821</f>
        <v/>
      </c>
      <c r="AC1356">
        <f>SUMIF('04_Продажи'!$B$28:$BI$28,'04_Продажи'!AC$11,'19_Расчет_аналитики'!$B$1350:$BI$1350)*'19_Расчет_аналитики'!AC1821</f>
        <v/>
      </c>
      <c r="AD1356">
        <f>SUMIF('04_Продажи'!$B$28:$BI$28,'04_Продажи'!AD$11,'19_Расчет_аналитики'!$B$1350:$BI$1350)*'19_Расчет_аналитики'!AD1821</f>
        <v/>
      </c>
      <c r="AE1356">
        <f>SUMIF('04_Продажи'!$B$28:$BI$28,'04_Продажи'!AE$11,'19_Расчет_аналитики'!$B$1350:$BI$1350)*'19_Расчет_аналитики'!AE1821</f>
        <v/>
      </c>
      <c r="AF1356">
        <f>SUMIF('04_Продажи'!$B$28:$BI$28,'04_Продажи'!AF$11,'19_Расчет_аналитики'!$B$1350:$BI$1350)*'19_Расчет_аналитики'!AF1821</f>
        <v/>
      </c>
      <c r="AG1356">
        <f>SUMIF('04_Продажи'!$B$28:$BI$28,'04_Продажи'!AG$11,'19_Расчет_аналитики'!$B$1350:$BI$1350)*'19_Расчет_аналитики'!AG1821</f>
        <v/>
      </c>
      <c r="AH1356">
        <f>SUMIF('04_Продажи'!$B$28:$BI$28,'04_Продажи'!AH$11,'19_Расчет_аналитики'!$B$1350:$BI$1350)*'19_Расчет_аналитики'!AH1821</f>
        <v/>
      </c>
      <c r="AI1356">
        <f>SUMIF('04_Продажи'!$B$28:$BI$28,'04_Продажи'!AI$11,'19_Расчет_аналитики'!$B$1350:$BI$1350)*'19_Расчет_аналитики'!AI1821</f>
        <v/>
      </c>
      <c r="AJ1356">
        <f>SUMIF('04_Продажи'!$B$28:$BI$28,'04_Продажи'!AJ$11,'19_Расчет_аналитики'!$B$1350:$BI$1350)*'19_Расчет_аналитики'!AJ1821</f>
        <v/>
      </c>
      <c r="AK1356">
        <f>SUMIF('04_Продажи'!$B$28:$BI$28,'04_Продажи'!AK$11,'19_Расчет_аналитики'!$B$1350:$BI$1350)*'19_Расчет_аналитики'!AK1821</f>
        <v/>
      </c>
      <c r="AL1356">
        <f>SUMIF('04_Продажи'!$B$28:$BI$28,'04_Продажи'!AL$11,'19_Расчет_аналитики'!$B$1350:$BI$1350)*'19_Расчет_аналитики'!AL1821</f>
        <v/>
      </c>
      <c r="AM1356">
        <f>SUMIF('04_Продажи'!$B$28:$BI$28,'04_Продажи'!AM$11,'19_Расчет_аналитики'!$B$1350:$BI$1350)*'19_Расчет_аналитики'!AM1821</f>
        <v/>
      </c>
      <c r="AN1356">
        <f>SUMIF('04_Продажи'!$B$28:$BI$28,'04_Продажи'!AN$11,'19_Расчет_аналитики'!$B$1350:$BI$1350)*'19_Расчет_аналитики'!AN1821</f>
        <v/>
      </c>
      <c r="AO1356">
        <f>SUMIF('04_Продажи'!$B$28:$BI$28,'04_Продажи'!AO$11,'19_Расчет_аналитики'!$B$1350:$BI$1350)*'19_Расчет_аналитики'!AO1821</f>
        <v/>
      </c>
      <c r="AP1356">
        <f>SUMIF('04_Продажи'!$B$28:$BI$28,'04_Продажи'!AP$11,'19_Расчет_аналитики'!$B$1350:$BI$1350)*'19_Расчет_аналитики'!AP1821</f>
        <v/>
      </c>
      <c r="AQ1356">
        <f>SUMIF('04_Продажи'!$B$28:$BI$28,'04_Продажи'!AQ$11,'19_Расчет_аналитики'!$B$1350:$BI$1350)*'19_Расчет_аналитики'!AQ1821</f>
        <v/>
      </c>
      <c r="AR1356">
        <f>SUMIF('04_Продажи'!$B$28:$BI$28,'04_Продажи'!AR$11,'19_Расчет_аналитики'!$B$1350:$BI$1350)*'19_Расчет_аналитики'!AR1821</f>
        <v/>
      </c>
      <c r="AS1356">
        <f>SUMIF('04_Продажи'!$B$28:$BI$28,'04_Продажи'!AS$11,'19_Расчет_аналитики'!$B$1350:$BI$1350)*'19_Расчет_аналитики'!AS1821</f>
        <v/>
      </c>
      <c r="AT1356">
        <f>SUMIF('04_Продажи'!$B$28:$BI$28,'04_Продажи'!AT$11,'19_Расчет_аналитики'!$B$1350:$BI$1350)*'19_Расчет_аналитики'!AT1821</f>
        <v/>
      </c>
      <c r="AU1356">
        <f>SUMIF('04_Продажи'!$B$28:$BI$28,'04_Продажи'!AU$11,'19_Расчет_аналитики'!$B$1350:$BI$1350)*'19_Расчет_аналитики'!AU1821</f>
        <v/>
      </c>
      <c r="AV1356">
        <f>SUMIF('04_Продажи'!$B$28:$BI$28,'04_Продажи'!AV$11,'19_Расчет_аналитики'!$B$1350:$BI$1350)*'19_Расчет_аналитики'!AV1821</f>
        <v/>
      </c>
      <c r="AW1356">
        <f>SUMIF('04_Продажи'!$B$28:$BI$28,'04_Продажи'!AW$11,'19_Расчет_аналитики'!$B$1350:$BI$1350)*'19_Расчет_аналитики'!AW1821</f>
        <v/>
      </c>
      <c r="AX1356">
        <f>SUMIF('04_Продажи'!$B$28:$BI$28,'04_Продажи'!AX$11,'19_Расчет_аналитики'!$B$1350:$BI$1350)*'19_Расчет_аналитики'!AX1821</f>
        <v/>
      </c>
      <c r="AY1356">
        <f>SUMIF('04_Продажи'!$B$28:$BI$28,'04_Продажи'!AY$11,'19_Расчет_аналитики'!$B$1350:$BI$1350)*'19_Расчет_аналитики'!AY1821</f>
        <v/>
      </c>
      <c r="AZ1356">
        <f>SUMIF('04_Продажи'!$B$28:$BI$28,'04_Продажи'!AZ$11,'19_Расчет_аналитики'!$B$1350:$BI$1350)*'19_Расчет_аналитики'!AZ1821</f>
        <v/>
      </c>
      <c r="BA1356">
        <f>SUMIF('04_Продажи'!$B$28:$BI$28,'04_Продажи'!BA$11,'19_Расчет_аналитики'!$B$1350:$BI$1350)*'19_Расчет_аналитики'!BA1821</f>
        <v/>
      </c>
      <c r="BB1356">
        <f>SUMIF('04_Продажи'!$B$28:$BI$28,'04_Продажи'!BB$11,'19_Расчет_аналитики'!$B$1350:$BI$1350)*'19_Расчет_аналитики'!BB1821</f>
        <v/>
      </c>
      <c r="BC1356">
        <f>SUMIF('04_Продажи'!$B$28:$BI$28,'04_Продажи'!BC$11,'19_Расчет_аналитики'!$B$1350:$BI$1350)*'19_Расчет_аналитики'!BC1821</f>
        <v/>
      </c>
      <c r="BD1356">
        <f>SUMIF('04_Продажи'!$B$28:$BI$28,'04_Продажи'!BD$11,'19_Расчет_аналитики'!$B$1350:$BI$1350)*'19_Расчет_аналитики'!BD1821</f>
        <v/>
      </c>
      <c r="BE1356">
        <f>SUMIF('04_Продажи'!$B$28:$BI$28,'04_Продажи'!BE$11,'19_Расчет_аналитики'!$B$1350:$BI$1350)*'19_Расчет_аналитики'!BE1821</f>
        <v/>
      </c>
      <c r="BF1356">
        <f>SUMIF('04_Продажи'!$B$28:$BI$28,'04_Продажи'!BF$11,'19_Расчет_аналитики'!$B$1350:$BI$1350)*'19_Расчет_аналитики'!BF1821</f>
        <v/>
      </c>
      <c r="BG1356">
        <f>SUMIF('04_Продажи'!$B$28:$BI$28,'04_Продажи'!BG$11,'19_Расчет_аналитики'!$B$1350:$BI$1350)*'19_Расчет_аналитики'!BG1821</f>
        <v/>
      </c>
      <c r="BH1356">
        <f>SUMIF('04_Продажи'!$B$28:$BI$28,'04_Продажи'!BH$11,'19_Расчет_аналитики'!$B$1350:$BI$1350)*'19_Расчет_аналитики'!BH1821</f>
        <v/>
      </c>
      <c r="BI1356">
        <f>SUMIF('04_Продажи'!$B$28:$BI$28,'04_Продажи'!BI$11,'19_Расчет_аналитики'!$B$1350:$BI$1350)*'19_Расчет_аналитики'!BI1821</f>
        <v/>
      </c>
    </row>
    <row r="1357"/>
    <row r="1358">
      <c r="B1358">
        <f>'19_Расчет_аналитики'!B1356+'04_Продажи'!B22</f>
        <v/>
      </c>
      <c r="C1358">
        <f>'19_Расчет_аналитики'!C1356+'04_Продажи'!C22</f>
        <v/>
      </c>
      <c r="D1358">
        <f>'19_Расчет_аналитики'!D1356+'04_Продажи'!D22</f>
        <v/>
      </c>
      <c r="E1358">
        <f>'19_Расчет_аналитики'!E1356+'04_Продажи'!E22</f>
        <v/>
      </c>
      <c r="F1358">
        <f>'19_Расчет_аналитики'!F1356+'04_Продажи'!F22</f>
        <v/>
      </c>
      <c r="G1358">
        <f>'19_Расчет_аналитики'!G1356+'04_Продажи'!G22</f>
        <v/>
      </c>
      <c r="H1358">
        <f>'19_Расчет_аналитики'!H1356+'04_Продажи'!H22</f>
        <v/>
      </c>
      <c r="I1358">
        <f>'19_Расчет_аналитики'!I1356+'04_Продажи'!I22</f>
        <v/>
      </c>
      <c r="J1358">
        <f>'19_Расчет_аналитики'!J1356+'04_Продажи'!J22</f>
        <v/>
      </c>
      <c r="K1358">
        <f>'19_Расчет_аналитики'!K1356+'04_Продажи'!K22</f>
        <v/>
      </c>
      <c r="L1358">
        <f>'19_Расчет_аналитики'!L1356+'04_Продажи'!L22</f>
        <v/>
      </c>
      <c r="M1358">
        <f>'19_Расчет_аналитики'!M1356+'04_Продажи'!M22</f>
        <v/>
      </c>
      <c r="N1358">
        <f>'19_Расчет_аналитики'!N1356+'04_Продажи'!N22</f>
        <v/>
      </c>
      <c r="O1358">
        <f>'19_Расчет_аналитики'!O1356+'04_Продажи'!O22</f>
        <v/>
      </c>
      <c r="P1358">
        <f>'19_Расчет_аналитики'!P1356+'04_Продажи'!P22</f>
        <v/>
      </c>
      <c r="Q1358">
        <f>'19_Расчет_аналитики'!Q1356+'04_Продажи'!Q22</f>
        <v/>
      </c>
      <c r="R1358">
        <f>'19_Расчет_аналитики'!R1356+'04_Продажи'!R22</f>
        <v/>
      </c>
      <c r="S1358">
        <f>'19_Расчет_аналитики'!S1356+'04_Продажи'!S22</f>
        <v/>
      </c>
      <c r="T1358">
        <f>'19_Расчет_аналитики'!T1356+'04_Продажи'!T22</f>
        <v/>
      </c>
      <c r="U1358">
        <f>'19_Расчет_аналитики'!U1356+'04_Продажи'!U22</f>
        <v/>
      </c>
      <c r="V1358">
        <f>'19_Расчет_аналитики'!V1356+'04_Продажи'!V22</f>
        <v/>
      </c>
      <c r="W1358">
        <f>'19_Расчет_аналитики'!W1356+'04_Продажи'!W22</f>
        <v/>
      </c>
      <c r="X1358">
        <f>'19_Расчет_аналитики'!X1356+'04_Продажи'!X22</f>
        <v/>
      </c>
      <c r="Y1358">
        <f>'19_Расчет_аналитики'!Y1356+'04_Продажи'!Y22</f>
        <v/>
      </c>
      <c r="Z1358">
        <f>'19_Расчет_аналитики'!Z1356+'04_Продажи'!Z22</f>
        <v/>
      </c>
      <c r="AA1358">
        <f>'19_Расчет_аналитики'!AA1356+'04_Продажи'!AA22</f>
        <v/>
      </c>
      <c r="AB1358">
        <f>'19_Расчет_аналитики'!AB1356+'04_Продажи'!AB22</f>
        <v/>
      </c>
      <c r="AC1358">
        <f>'19_Расчет_аналитики'!AC1356+'04_Продажи'!AC22</f>
        <v/>
      </c>
      <c r="AD1358">
        <f>'19_Расчет_аналитики'!AD1356+'04_Продажи'!AD22</f>
        <v/>
      </c>
      <c r="AE1358">
        <f>'19_Расчет_аналитики'!AE1356+'04_Продажи'!AE22</f>
        <v/>
      </c>
      <c r="AF1358">
        <f>'19_Расчет_аналитики'!AF1356+'04_Продажи'!AF22</f>
        <v/>
      </c>
      <c r="AG1358">
        <f>'19_Расчет_аналитики'!AG1356+'04_Продажи'!AG22</f>
        <v/>
      </c>
      <c r="AH1358">
        <f>'19_Расчет_аналитики'!AH1356+'04_Продажи'!AH22</f>
        <v/>
      </c>
      <c r="AI1358">
        <f>'19_Расчет_аналитики'!AI1356+'04_Продажи'!AI22</f>
        <v/>
      </c>
      <c r="AJ1358">
        <f>'19_Расчет_аналитики'!AJ1356+'04_Продажи'!AJ22</f>
        <v/>
      </c>
      <c r="AK1358">
        <f>'19_Расчет_аналитики'!AK1356+'04_Продажи'!AK22</f>
        <v/>
      </c>
      <c r="AL1358">
        <f>'19_Расчет_аналитики'!AL1356+'04_Продажи'!AL22</f>
        <v/>
      </c>
      <c r="AM1358">
        <f>'19_Расчет_аналитики'!AM1356+'04_Продажи'!AM22</f>
        <v/>
      </c>
      <c r="AN1358">
        <f>'19_Расчет_аналитики'!AN1356+'04_Продажи'!AN22</f>
        <v/>
      </c>
      <c r="AO1358">
        <f>'19_Расчет_аналитики'!AO1356+'04_Продажи'!AO22</f>
        <v/>
      </c>
      <c r="AP1358">
        <f>'19_Расчет_аналитики'!AP1356+'04_Продажи'!AP22</f>
        <v/>
      </c>
      <c r="AQ1358">
        <f>'19_Расчет_аналитики'!AQ1356+'04_Продажи'!AQ22</f>
        <v/>
      </c>
      <c r="AR1358">
        <f>'19_Расчет_аналитики'!AR1356+'04_Продажи'!AR22</f>
        <v/>
      </c>
      <c r="AS1358">
        <f>'19_Расчет_аналитики'!AS1356+'04_Продажи'!AS22</f>
        <v/>
      </c>
      <c r="AT1358">
        <f>'19_Расчет_аналитики'!AT1356+'04_Продажи'!AT22</f>
        <v/>
      </c>
      <c r="AU1358">
        <f>'19_Расчет_аналитики'!AU1356+'04_Продажи'!AU22</f>
        <v/>
      </c>
      <c r="AV1358">
        <f>'19_Расчет_аналитики'!AV1356+'04_Продажи'!AV22</f>
        <v/>
      </c>
      <c r="AW1358">
        <f>'19_Расчет_аналитики'!AW1356+'04_Продажи'!AW22</f>
        <v/>
      </c>
      <c r="AX1358">
        <f>'19_Расчет_аналитики'!AX1356+'04_Продажи'!AX22</f>
        <v/>
      </c>
      <c r="AY1358">
        <f>'19_Расчет_аналитики'!AY1356+'04_Продажи'!AY22</f>
        <v/>
      </c>
      <c r="AZ1358">
        <f>'19_Расчет_аналитики'!AZ1356+'04_Продажи'!AZ22</f>
        <v/>
      </c>
      <c r="BA1358">
        <f>'19_Расчет_аналитики'!BA1356+'04_Продажи'!BA22</f>
        <v/>
      </c>
      <c r="BB1358">
        <f>'19_Расчет_аналитики'!BB1356+'04_Продажи'!BB22</f>
        <v/>
      </c>
      <c r="BC1358">
        <f>'19_Расчет_аналитики'!BC1356+'04_Продажи'!BC22</f>
        <v/>
      </c>
      <c r="BD1358">
        <f>'19_Расчет_аналитики'!BD1356+'04_Продажи'!BD22</f>
        <v/>
      </c>
      <c r="BE1358">
        <f>'19_Расчет_аналитики'!BE1356+'04_Продажи'!BE22</f>
        <v/>
      </c>
      <c r="BF1358">
        <f>'19_Расчет_аналитики'!BF1356+'04_Продажи'!BF22</f>
        <v/>
      </c>
      <c r="BG1358">
        <f>'19_Расчет_аналитики'!BG1356+'04_Продажи'!BG22</f>
        <v/>
      </c>
      <c r="BH1358">
        <f>'19_Расчет_аналитики'!BH1356+'04_Продажи'!BH22</f>
        <v/>
      </c>
      <c r="BI1358">
        <f>'19_Расчет_аналитики'!BI1356+'04_Продажи'!BI22</f>
        <v/>
      </c>
    </row>
    <row r="1359"/>
    <row r="1360">
      <c r="C1360">
        <f>'19_Расчет_аналитики'!C1350*'18_Календарь_тарифы'!C6</f>
        <v/>
      </c>
      <c r="D1360">
        <f>'19_Расчет_аналитики'!D1350*'18_Календарь_тарифы'!D6</f>
        <v/>
      </c>
      <c r="E1360">
        <f>'19_Расчет_аналитики'!E1350*'18_Календарь_тарифы'!E6</f>
        <v/>
      </c>
      <c r="F1360">
        <f>'19_Расчет_аналитики'!F1350*'18_Календарь_тарифы'!F6</f>
        <v/>
      </c>
      <c r="G1360">
        <f>'19_Расчет_аналитики'!G1350*'18_Календарь_тарифы'!G6</f>
        <v/>
      </c>
      <c r="H1360">
        <f>'19_Расчет_аналитики'!H1350*'18_Календарь_тарифы'!H6</f>
        <v/>
      </c>
      <c r="I1360">
        <f>'19_Расчет_аналитики'!I1350*'18_Календарь_тарифы'!I6</f>
        <v/>
      </c>
      <c r="J1360">
        <f>'19_Расчет_аналитики'!J1350*'18_Календарь_тарифы'!J6</f>
        <v/>
      </c>
      <c r="K1360">
        <f>'19_Расчет_аналитики'!K1350*'18_Календарь_тарифы'!K6</f>
        <v/>
      </c>
      <c r="L1360">
        <f>'19_Расчет_аналитики'!L1350*'18_Календарь_тарифы'!L6</f>
        <v/>
      </c>
      <c r="M1360">
        <f>'19_Расчет_аналитики'!M1350*'18_Календарь_тарифы'!M6</f>
        <v/>
      </c>
      <c r="N1360">
        <f>'19_Расчет_аналитики'!N1350*'18_Календарь_тарифы'!N6</f>
        <v/>
      </c>
      <c r="O1360">
        <f>'19_Расчет_аналитики'!O1350*'18_Календарь_тарифы'!O6</f>
        <v/>
      </c>
      <c r="P1360">
        <f>'19_Расчет_аналитики'!P1350*'18_Календарь_тарифы'!P6</f>
        <v/>
      </c>
      <c r="Q1360">
        <f>'19_Расчет_аналитики'!Q1350*'18_Календарь_тарифы'!Q6</f>
        <v/>
      </c>
      <c r="R1360">
        <f>'19_Расчет_аналитики'!R1350*'18_Календарь_тарифы'!R6</f>
        <v/>
      </c>
      <c r="S1360">
        <f>'19_Расчет_аналитики'!S1350*'18_Календарь_тарифы'!S6</f>
        <v/>
      </c>
      <c r="T1360">
        <f>'19_Расчет_аналитики'!T1350*'18_Календарь_тарифы'!T6</f>
        <v/>
      </c>
      <c r="U1360">
        <f>'19_Расчет_аналитики'!U1350*'18_Календарь_тарифы'!U6</f>
        <v/>
      </c>
      <c r="V1360">
        <f>'19_Расчет_аналитики'!V1350*'18_Календарь_тарифы'!V6</f>
        <v/>
      </c>
      <c r="W1360">
        <f>'19_Расчет_аналитики'!W1350*'18_Календарь_тарифы'!W6</f>
        <v/>
      </c>
      <c r="X1360">
        <f>'19_Расчет_аналитики'!X1350*'18_Календарь_тарифы'!X6</f>
        <v/>
      </c>
      <c r="Y1360">
        <f>'19_Расчет_аналитики'!Y1350*'18_Календарь_тарифы'!Y6</f>
        <v/>
      </c>
      <c r="Z1360">
        <f>'19_Расчет_аналитики'!Z1350*'18_Календарь_тарифы'!Z6</f>
        <v/>
      </c>
      <c r="AA1360">
        <f>'19_Расчет_аналитики'!AA1350*'18_Календарь_тарифы'!AA6</f>
        <v/>
      </c>
      <c r="AB1360">
        <f>'19_Расчет_аналитики'!AB1350*'18_Календарь_тарифы'!AB6</f>
        <v/>
      </c>
      <c r="AC1360">
        <f>'19_Расчет_аналитики'!AC1350*'18_Календарь_тарифы'!AC6</f>
        <v/>
      </c>
      <c r="AD1360">
        <f>'19_Расчет_аналитики'!AD1350*'18_Календарь_тарифы'!AD6</f>
        <v/>
      </c>
      <c r="AE1360">
        <f>'19_Расчет_аналитики'!AE1350*'18_Календарь_тарифы'!AE6</f>
        <v/>
      </c>
      <c r="AF1360">
        <f>'19_Расчет_аналитики'!AF1350*'18_Календарь_тарифы'!AF6</f>
        <v/>
      </c>
      <c r="AG1360">
        <f>'19_Расчет_аналитики'!AG1350*'18_Календарь_тарифы'!AG6</f>
        <v/>
      </c>
      <c r="AH1360">
        <f>'19_Расчет_аналитики'!AH1350*'18_Календарь_тарифы'!AH6</f>
        <v/>
      </c>
      <c r="AI1360">
        <f>'19_Расчет_аналитики'!AI1350*'18_Календарь_тарифы'!AI6</f>
        <v/>
      </c>
      <c r="AJ1360">
        <f>'19_Расчет_аналитики'!AJ1350*'18_Календарь_тарифы'!AJ6</f>
        <v/>
      </c>
      <c r="AK1360">
        <f>'19_Расчет_аналитики'!AK1350*'18_Календарь_тарифы'!AK6</f>
        <v/>
      </c>
      <c r="AL1360">
        <f>'19_Расчет_аналитики'!AL1350*'18_Календарь_тарифы'!AL6</f>
        <v/>
      </c>
      <c r="AM1360">
        <f>'19_Расчет_аналитики'!AM1350*'18_Календарь_тарифы'!AM6</f>
        <v/>
      </c>
      <c r="AN1360">
        <f>'19_Расчет_аналитики'!AN1350*'18_Календарь_тарифы'!AN6</f>
        <v/>
      </c>
      <c r="AO1360">
        <f>'19_Расчет_аналитики'!AO1350*'18_Календарь_тарифы'!AO6</f>
        <v/>
      </c>
      <c r="AP1360">
        <f>'19_Расчет_аналитики'!AP1350*'18_Календарь_тарифы'!AP6</f>
        <v/>
      </c>
      <c r="AQ1360">
        <f>'19_Расчет_аналитики'!AQ1350*'18_Календарь_тарифы'!AQ6</f>
        <v/>
      </c>
      <c r="AR1360">
        <f>'19_Расчет_аналитики'!AR1350*'18_Календарь_тарифы'!AR6</f>
        <v/>
      </c>
      <c r="AS1360">
        <f>'19_Расчет_аналитики'!AS1350*'18_Календарь_тарифы'!AS6</f>
        <v/>
      </c>
      <c r="AT1360">
        <f>'19_Расчет_аналитики'!AT1350*'18_Календарь_тарифы'!AT6</f>
        <v/>
      </c>
      <c r="AU1360">
        <f>'19_Расчет_аналитики'!AU1350*'18_Календарь_тарифы'!AU6</f>
        <v/>
      </c>
      <c r="AV1360">
        <f>'19_Расчет_аналитики'!AV1350*'18_Календарь_тарифы'!AV6</f>
        <v/>
      </c>
      <c r="AW1360">
        <f>'19_Расчет_аналитики'!AW1350*'18_Календарь_тарифы'!AW6</f>
        <v/>
      </c>
      <c r="AX1360">
        <f>'19_Расчет_аналитики'!AX1350*'18_Календарь_тарифы'!AX6</f>
        <v/>
      </c>
      <c r="AY1360">
        <f>'19_Расчет_аналитики'!AY1350*'18_Календарь_тарифы'!AY6</f>
        <v/>
      </c>
      <c r="AZ1360">
        <f>'19_Расчет_аналитики'!AZ1350*'18_Календарь_тарифы'!AZ6</f>
        <v/>
      </c>
      <c r="BA1360">
        <f>'19_Расчет_аналитики'!BA1350*'18_Календарь_тарифы'!BA6</f>
        <v/>
      </c>
      <c r="BB1360">
        <f>'19_Расчет_аналитики'!BB1350*'18_Календарь_тарифы'!BB6</f>
        <v/>
      </c>
      <c r="BC1360">
        <f>'19_Расчет_аналитики'!BC1350*'18_Календарь_тарифы'!BC6</f>
        <v/>
      </c>
      <c r="BD1360">
        <f>'19_Расчет_аналитики'!BD1350*'18_Календарь_тарифы'!BD6</f>
        <v/>
      </c>
      <c r="BE1360">
        <f>'19_Расчет_аналитики'!BE1350*'18_Календарь_тарифы'!BE6</f>
        <v/>
      </c>
      <c r="BF1360">
        <f>'19_Расчет_аналитики'!BF1350*'18_Календарь_тарифы'!BF6</f>
        <v/>
      </c>
      <c r="BG1360">
        <f>'19_Расчет_аналитики'!BG1350*'18_Календарь_тарифы'!BG6</f>
        <v/>
      </c>
      <c r="BH1360">
        <f>'19_Расчет_аналитики'!BH1350*'18_Календарь_тарифы'!BH6</f>
        <v/>
      </c>
      <c r="BI1360">
        <f>'19_Расчет_аналитики'!BI1350*'18_Календарь_тарифы'!BI6</f>
        <v/>
      </c>
    </row>
    <row r="1361">
      <c r="C1361">
        <f>'19_Расчет_аналитики'!C1360/(1+'01_Вводные'!$B$58)</f>
        <v/>
      </c>
      <c r="D1361">
        <f>'19_Расчет_аналитики'!D1360/(1+'01_Вводные'!$B$58)</f>
        <v/>
      </c>
      <c r="E1361">
        <f>'19_Расчет_аналитики'!E1360/(1+'01_Вводные'!$B$58)</f>
        <v/>
      </c>
      <c r="F1361">
        <f>'19_Расчет_аналитики'!F1360/(1+'01_Вводные'!$B$58)</f>
        <v/>
      </c>
      <c r="G1361">
        <f>'19_Расчет_аналитики'!G1360/(1+'01_Вводные'!$B$58)</f>
        <v/>
      </c>
      <c r="H1361">
        <f>'19_Расчет_аналитики'!H1360/(1+'01_Вводные'!$B$58)</f>
        <v/>
      </c>
      <c r="I1361">
        <f>'19_Расчет_аналитики'!I1360/(1+'01_Вводные'!$B$58)</f>
        <v/>
      </c>
      <c r="J1361">
        <f>'19_Расчет_аналитики'!J1360/(1+'01_Вводные'!$B$58)</f>
        <v/>
      </c>
      <c r="K1361">
        <f>'19_Расчет_аналитики'!K1360/(1+'01_Вводные'!$B$58)</f>
        <v/>
      </c>
      <c r="L1361">
        <f>'19_Расчет_аналитики'!L1360/(1+'01_Вводные'!$B$58)</f>
        <v/>
      </c>
      <c r="M1361">
        <f>'19_Расчет_аналитики'!M1360/(1+'01_Вводные'!$B$58)</f>
        <v/>
      </c>
      <c r="N1361">
        <f>'19_Расчет_аналитики'!N1360/(1+'01_Вводные'!$B$58)</f>
        <v/>
      </c>
      <c r="O1361">
        <f>'19_Расчет_аналитики'!O1360/(1+'01_Вводные'!$B$58)</f>
        <v/>
      </c>
      <c r="P1361">
        <f>'19_Расчет_аналитики'!P1360/(1+'01_Вводные'!$B$58)</f>
        <v/>
      </c>
      <c r="Q1361">
        <f>'19_Расчет_аналитики'!Q1360/(1+'01_Вводные'!$B$58)</f>
        <v/>
      </c>
      <c r="R1361">
        <f>'19_Расчет_аналитики'!R1360/(1+'01_Вводные'!$B$58)</f>
        <v/>
      </c>
      <c r="S1361">
        <f>'19_Расчет_аналитики'!S1360/(1+'01_Вводные'!$B$58)</f>
        <v/>
      </c>
      <c r="T1361">
        <f>'19_Расчет_аналитики'!T1360/(1+'01_Вводные'!$B$58)</f>
        <v/>
      </c>
      <c r="U1361">
        <f>'19_Расчет_аналитики'!U1360/(1+'01_Вводные'!$B$58)</f>
        <v/>
      </c>
      <c r="V1361">
        <f>'19_Расчет_аналитики'!V1360/(1+'01_Вводные'!$B$58)</f>
        <v/>
      </c>
      <c r="W1361">
        <f>'19_Расчет_аналитики'!W1360/(1+'01_Вводные'!$B$58)</f>
        <v/>
      </c>
      <c r="X1361">
        <f>'19_Расчет_аналитики'!X1360/(1+'01_Вводные'!$B$58)</f>
        <v/>
      </c>
      <c r="Y1361">
        <f>'19_Расчет_аналитики'!Y1360/(1+'01_Вводные'!$B$58)</f>
        <v/>
      </c>
      <c r="Z1361">
        <f>'19_Расчет_аналитики'!Z1360/(1+'01_Вводные'!$B$58)</f>
        <v/>
      </c>
      <c r="AA1361">
        <f>'19_Расчет_аналитики'!AA1360/(1+'01_Вводные'!$B$58)</f>
        <v/>
      </c>
      <c r="AB1361">
        <f>'19_Расчет_аналитики'!AB1360/(1+'01_Вводные'!$B$58)</f>
        <v/>
      </c>
      <c r="AC1361">
        <f>'19_Расчет_аналитики'!AC1360/(1+'01_Вводные'!$B$58)</f>
        <v/>
      </c>
      <c r="AD1361">
        <f>'19_Расчет_аналитики'!AD1360/(1+'01_Вводные'!$B$58)</f>
        <v/>
      </c>
      <c r="AE1361">
        <f>'19_Расчет_аналитики'!AE1360/(1+'01_Вводные'!$B$58)</f>
        <v/>
      </c>
      <c r="AF1361">
        <f>'19_Расчет_аналитики'!AF1360/(1+'01_Вводные'!$B$58)</f>
        <v/>
      </c>
      <c r="AG1361">
        <f>'19_Расчет_аналитики'!AG1360/(1+'01_Вводные'!$B$58)</f>
        <v/>
      </c>
      <c r="AH1361">
        <f>'19_Расчет_аналитики'!AH1360/(1+'01_Вводные'!$B$58)</f>
        <v/>
      </c>
      <c r="AI1361">
        <f>'19_Расчет_аналитики'!AI1360/(1+'01_Вводные'!$B$58)</f>
        <v/>
      </c>
      <c r="AJ1361">
        <f>'19_Расчет_аналитики'!AJ1360/(1+'01_Вводные'!$B$58)</f>
        <v/>
      </c>
      <c r="AK1361">
        <f>'19_Расчет_аналитики'!AK1360/(1+'01_Вводные'!$B$58)</f>
        <v/>
      </c>
      <c r="AL1361">
        <f>'19_Расчет_аналитики'!AL1360/(1+'01_Вводные'!$B$58)</f>
        <v/>
      </c>
      <c r="AM1361">
        <f>'19_Расчет_аналитики'!AM1360/(1+'01_Вводные'!$B$58)</f>
        <v/>
      </c>
      <c r="AN1361">
        <f>'19_Расчет_аналитики'!AN1360/(1+'01_Вводные'!$B$58)</f>
        <v/>
      </c>
      <c r="AO1361">
        <f>'19_Расчет_аналитики'!AO1360/(1+'01_Вводные'!$B$58)</f>
        <v/>
      </c>
      <c r="AP1361">
        <f>'19_Расчет_аналитики'!AP1360/(1+'01_Вводные'!$B$58)</f>
        <v/>
      </c>
      <c r="AQ1361">
        <f>'19_Расчет_аналитики'!AQ1360/(1+'01_Вводные'!$B$58)</f>
        <v/>
      </c>
      <c r="AR1361">
        <f>'19_Расчет_аналитики'!AR1360/(1+'01_Вводные'!$B$58)</f>
        <v/>
      </c>
      <c r="AS1361">
        <f>'19_Расчет_аналитики'!AS1360/(1+'01_Вводные'!$B$58)</f>
        <v/>
      </c>
      <c r="AT1361">
        <f>'19_Расчет_аналитики'!AT1360/(1+'01_Вводные'!$B$58)</f>
        <v/>
      </c>
      <c r="AU1361">
        <f>'19_Расчет_аналитики'!AU1360/(1+'01_Вводные'!$B$58)</f>
        <v/>
      </c>
      <c r="AV1361">
        <f>'19_Расчет_аналитики'!AV1360/(1+'01_Вводные'!$B$58)</f>
        <v/>
      </c>
      <c r="AW1361">
        <f>'19_Расчет_аналитики'!AW1360/(1+'01_Вводные'!$B$58)</f>
        <v/>
      </c>
      <c r="AX1361">
        <f>'19_Расчет_аналитики'!AX1360/(1+'01_Вводные'!$B$58)</f>
        <v/>
      </c>
      <c r="AY1361">
        <f>'19_Расчет_аналитики'!AY1360/(1+'01_Вводные'!$B$58)</f>
        <v/>
      </c>
      <c r="AZ1361">
        <f>'19_Расчет_аналитики'!AZ1360/(1+'01_Вводные'!$B$58)</f>
        <v/>
      </c>
      <c r="BA1361">
        <f>'19_Расчет_аналитики'!BA1360/(1+'01_Вводные'!$B$58)</f>
        <v/>
      </c>
      <c r="BB1361">
        <f>'19_Расчет_аналитики'!BB1360/(1+'01_Вводные'!$B$58)</f>
        <v/>
      </c>
      <c r="BC1361">
        <f>'19_Расчет_аналитики'!BC1360/(1+'01_Вводные'!$B$58)</f>
        <v/>
      </c>
      <c r="BD1361">
        <f>'19_Расчет_аналитики'!BD1360/(1+'01_Вводные'!$B$58)</f>
        <v/>
      </c>
      <c r="BE1361">
        <f>'19_Расчет_аналитики'!BE1360/(1+'01_Вводные'!$B$58)</f>
        <v/>
      </c>
      <c r="BF1361">
        <f>'19_Расчет_аналитики'!BF1360/(1+'01_Вводные'!$B$58)</f>
        <v/>
      </c>
      <c r="BG1361">
        <f>'19_Расчет_аналитики'!BG1360/(1+'01_Вводные'!$B$58)</f>
        <v/>
      </c>
      <c r="BH1361">
        <f>'19_Расчет_аналитики'!BH1360/(1+'01_Вводные'!$B$58)</f>
        <v/>
      </c>
      <c r="BI1361">
        <f>'19_Расчет_аналитики'!BI1360/(1+'01_Вводные'!$B$58)</f>
        <v/>
      </c>
    </row>
    <row r="1362"/>
    <row r="1363"/>
    <row r="1364"/>
    <row r="1365"/>
    <row r="1366"/>
    <row r="1367"/>
    <row r="1368"/>
    <row r="1369"/>
    <row r="1370"/>
    <row r="1371"/>
    <row r="1372"/>
    <row r="1373"/>
    <row r="1374">
      <c r="C1374">
        <f>'19_Расчет_аналитики'!C1350</f>
        <v/>
      </c>
      <c r="D1374">
        <f>'19_Расчет_аналитики'!D1350</f>
        <v/>
      </c>
      <c r="E1374">
        <f>'19_Расчет_аналитики'!E1350</f>
        <v/>
      </c>
      <c r="F1374">
        <f>'19_Расчет_аналитики'!F1350</f>
        <v/>
      </c>
      <c r="G1374">
        <f>'19_Расчет_аналитики'!G1350</f>
        <v/>
      </c>
      <c r="H1374">
        <f>'19_Расчет_аналитики'!H1350</f>
        <v/>
      </c>
      <c r="I1374">
        <f>'19_Расчет_аналитики'!I1350</f>
        <v/>
      </c>
      <c r="J1374">
        <f>'19_Расчет_аналитики'!J1350</f>
        <v/>
      </c>
      <c r="K1374">
        <f>'19_Расчет_аналитики'!K1350</f>
        <v/>
      </c>
      <c r="L1374">
        <f>'19_Расчет_аналитики'!L1350</f>
        <v/>
      </c>
      <c r="M1374">
        <f>'19_Расчет_аналитики'!M1350</f>
        <v/>
      </c>
      <c r="N1374">
        <f>'19_Расчет_аналитики'!N1350</f>
        <v/>
      </c>
      <c r="O1374">
        <f>'19_Расчет_аналитики'!O1350</f>
        <v/>
      </c>
      <c r="P1374">
        <f>'19_Расчет_аналитики'!P1350</f>
        <v/>
      </c>
      <c r="Q1374">
        <f>'19_Расчет_аналитики'!Q1350</f>
        <v/>
      </c>
      <c r="R1374">
        <f>'19_Расчет_аналитики'!R1350</f>
        <v/>
      </c>
      <c r="S1374">
        <f>'19_Расчет_аналитики'!S1350</f>
        <v/>
      </c>
      <c r="T1374">
        <f>'19_Расчет_аналитики'!T1350</f>
        <v/>
      </c>
      <c r="U1374">
        <f>'19_Расчет_аналитики'!U1350</f>
        <v/>
      </c>
      <c r="V1374">
        <f>'19_Расчет_аналитики'!V1350</f>
        <v/>
      </c>
      <c r="W1374">
        <f>'19_Расчет_аналитики'!W1350</f>
        <v/>
      </c>
      <c r="X1374">
        <f>'19_Расчет_аналитики'!X1350</f>
        <v/>
      </c>
      <c r="Y1374">
        <f>'19_Расчет_аналитики'!Y1350</f>
        <v/>
      </c>
      <c r="Z1374">
        <f>'19_Расчет_аналитики'!Z1350</f>
        <v/>
      </c>
      <c r="AA1374">
        <f>'19_Расчет_аналитики'!AA1350</f>
        <v/>
      </c>
      <c r="AB1374">
        <f>'19_Расчет_аналитики'!AB1350</f>
        <v/>
      </c>
      <c r="AC1374">
        <f>'19_Расчет_аналитики'!AC1350</f>
        <v/>
      </c>
      <c r="AD1374">
        <f>'19_Расчет_аналитики'!AD1350</f>
        <v/>
      </c>
      <c r="AE1374">
        <f>'19_Расчет_аналитики'!AE1350</f>
        <v/>
      </c>
      <c r="AF1374">
        <f>'19_Расчет_аналитики'!AF1350</f>
        <v/>
      </c>
      <c r="AG1374">
        <f>'19_Расчет_аналитики'!AG1350</f>
        <v/>
      </c>
      <c r="AH1374">
        <f>'19_Расчет_аналитики'!AH1350</f>
        <v/>
      </c>
      <c r="AI1374">
        <f>'19_Расчет_аналитики'!AI1350</f>
        <v/>
      </c>
      <c r="AJ1374">
        <f>'19_Расчет_аналитики'!AJ1350</f>
        <v/>
      </c>
      <c r="AK1374">
        <f>'19_Расчет_аналитики'!AK1350</f>
        <v/>
      </c>
      <c r="AL1374">
        <f>'19_Расчет_аналитики'!AL1350</f>
        <v/>
      </c>
      <c r="AM1374">
        <f>'19_Расчет_аналитики'!AM1350</f>
        <v/>
      </c>
      <c r="AN1374">
        <f>'19_Расчет_аналитики'!AN1350</f>
        <v/>
      </c>
      <c r="AO1374">
        <f>'19_Расчет_аналитики'!AO1350</f>
        <v/>
      </c>
      <c r="AP1374">
        <f>'19_Расчет_аналитики'!AP1350</f>
        <v/>
      </c>
      <c r="AQ1374">
        <f>'19_Расчет_аналитики'!AQ1350</f>
        <v/>
      </c>
      <c r="AR1374">
        <f>'19_Расчет_аналитики'!AR1350</f>
        <v/>
      </c>
      <c r="AS1374">
        <f>'19_Расчет_аналитики'!AS1350</f>
        <v/>
      </c>
      <c r="AT1374">
        <f>'19_Расчет_аналитики'!AT1350</f>
        <v/>
      </c>
      <c r="AU1374">
        <f>'19_Расчет_аналитики'!AU1350</f>
        <v/>
      </c>
      <c r="AV1374">
        <f>'19_Расчет_аналитики'!AV1350</f>
        <v/>
      </c>
      <c r="AW1374">
        <f>'19_Расчет_аналитики'!AW1350</f>
        <v/>
      </c>
      <c r="AX1374">
        <f>'19_Расчет_аналитики'!AX1350</f>
        <v/>
      </c>
      <c r="AY1374">
        <f>'19_Расчет_аналитики'!AY1350</f>
        <v/>
      </c>
      <c r="AZ1374">
        <f>'19_Расчет_аналитики'!AZ1350</f>
        <v/>
      </c>
      <c r="BA1374">
        <f>'19_Расчет_аналитики'!BA1350</f>
        <v/>
      </c>
      <c r="BB1374">
        <f>'19_Расчет_аналитики'!BB1350</f>
        <v/>
      </c>
      <c r="BC1374">
        <f>'19_Расчет_аналитики'!BC1350</f>
        <v/>
      </c>
      <c r="BD1374">
        <f>'19_Расчет_аналитики'!BD1350</f>
        <v/>
      </c>
      <c r="BE1374">
        <f>'19_Расчет_аналитики'!BE1350</f>
        <v/>
      </c>
      <c r="BF1374">
        <f>'19_Расчет_аналитики'!BF1350</f>
        <v/>
      </c>
      <c r="BG1374">
        <f>'19_Расчет_аналитики'!BG1350</f>
        <v/>
      </c>
      <c r="BH1374">
        <f>'19_Расчет_аналитики'!BH1350</f>
        <v/>
      </c>
      <c r="BI1374">
        <f>'19_Расчет_аналитики'!BI1350</f>
        <v/>
      </c>
    </row>
    <row r="1375">
      <c r="B1375">
        <f>IF(OR(1&lt;='01_Вводные'!$B$15,1-'01_Вводные'!$B$15&gt;60),0,INDEX('19_Расчет_аналитики'!$B$1350:$BI$1350,1,1-'01_Вводные'!$B$15))*'01_Вводные'!$B$298*MIN(1,'01_Вводные'!$B$22)+IF(OR(1&lt;=('01_Вводные'!$B$15+'01_Вводные'!$B$311),1-('01_Вводные'!$B$15+'01_Вводные'!$B$311)&gt;60),0,INDEX('19_Расчет_аналитики'!$B$1350:$BI$1350,1,1-('01_Вводные'!$B$15+'01_Вводные'!$B$311)))*'01_Вводные'!$B$298*MAX(0,'01_Вводные'!$B$22-1)</f>
        <v/>
      </c>
      <c r="C1375">
        <f>IF(OR(2&lt;='01_Вводные'!$B$15,2-'01_Вводные'!$B$15&gt;60),0,INDEX('19_Расчет_аналитики'!$B$1350:$BI$1350,1,2-'01_Вводные'!$B$15))*'01_Вводные'!$B$298*MIN(1,'01_Вводные'!$B$22)+IF(OR(2&lt;=('01_Вводные'!$B$15+'01_Вводные'!$B$311),2-('01_Вводные'!$B$15+'01_Вводные'!$B$311)&gt;60),0,INDEX('19_Расчет_аналитики'!$B$1350:$BI$1350,1,2-('01_Вводные'!$B$15+'01_Вводные'!$B$311)))*'01_Вводные'!$B$298*MAX(0,'01_Вводные'!$B$22-1)</f>
        <v/>
      </c>
      <c r="D1375">
        <f>IF(OR(3&lt;='01_Вводные'!$B$15,3-'01_Вводные'!$B$15&gt;60),0,INDEX('19_Расчет_аналитики'!$B$1350:$BI$1350,1,3-'01_Вводные'!$B$15))*'01_Вводные'!$B$298*MIN(1,'01_Вводные'!$B$22)+IF(OR(3&lt;=('01_Вводные'!$B$15+'01_Вводные'!$B$311),3-('01_Вводные'!$B$15+'01_Вводные'!$B$311)&gt;60),0,INDEX('19_Расчет_аналитики'!$B$1350:$BI$1350,1,3-('01_Вводные'!$B$15+'01_Вводные'!$B$311)))*'01_Вводные'!$B$298*MAX(0,'01_Вводные'!$B$22-1)</f>
        <v/>
      </c>
      <c r="E1375">
        <f>IF(OR(4&lt;='01_Вводные'!$B$15,4-'01_Вводные'!$B$15&gt;60),0,INDEX('19_Расчет_аналитики'!$B$1350:$BI$1350,1,4-'01_Вводные'!$B$15))*'01_Вводные'!$B$298*MIN(1,'01_Вводные'!$B$22)+IF(OR(4&lt;=('01_Вводные'!$B$15+'01_Вводные'!$B$311),4-('01_Вводные'!$B$15+'01_Вводные'!$B$311)&gt;60),0,INDEX('19_Расчет_аналитики'!$B$1350:$BI$1350,1,4-('01_Вводные'!$B$15+'01_Вводные'!$B$311)))*'01_Вводные'!$B$298*MAX(0,'01_Вводные'!$B$22-1)</f>
        <v/>
      </c>
      <c r="F1375">
        <f>IF(OR(5&lt;='01_Вводные'!$B$15,5-'01_Вводные'!$B$15&gt;60),0,INDEX('19_Расчет_аналитики'!$B$1350:$BI$1350,1,5-'01_Вводные'!$B$15))*'01_Вводные'!$B$298*MIN(1,'01_Вводные'!$B$22)+IF(OR(5&lt;=('01_Вводные'!$B$15+'01_Вводные'!$B$311),5-('01_Вводные'!$B$15+'01_Вводные'!$B$311)&gt;60),0,INDEX('19_Расчет_аналитики'!$B$1350:$BI$1350,1,5-('01_Вводные'!$B$15+'01_Вводные'!$B$311)))*'01_Вводные'!$B$298*MAX(0,'01_Вводные'!$B$22-1)</f>
        <v/>
      </c>
      <c r="G1375">
        <f>IF(OR(6&lt;='01_Вводные'!$B$15,6-'01_Вводные'!$B$15&gt;60),0,INDEX('19_Расчет_аналитики'!$B$1350:$BI$1350,1,6-'01_Вводные'!$B$15))*'01_Вводные'!$B$298*MIN(1,'01_Вводные'!$B$22)+IF(OR(6&lt;=('01_Вводные'!$B$15+'01_Вводные'!$B$311),6-('01_Вводные'!$B$15+'01_Вводные'!$B$311)&gt;60),0,INDEX('19_Расчет_аналитики'!$B$1350:$BI$1350,1,6-('01_Вводные'!$B$15+'01_Вводные'!$B$311)))*'01_Вводные'!$B$298*MAX(0,'01_Вводные'!$B$22-1)</f>
        <v/>
      </c>
      <c r="H1375">
        <f>IF(OR(7&lt;='01_Вводные'!$B$15,7-'01_Вводные'!$B$15&gt;60),0,INDEX('19_Расчет_аналитики'!$B$1350:$BI$1350,1,7-'01_Вводные'!$B$15))*'01_Вводные'!$B$298*MIN(1,'01_Вводные'!$B$22)+IF(OR(7&lt;=('01_Вводные'!$B$15+'01_Вводные'!$B$311),7-('01_Вводные'!$B$15+'01_Вводные'!$B$311)&gt;60),0,INDEX('19_Расчет_аналитики'!$B$1350:$BI$1350,1,7-('01_Вводные'!$B$15+'01_Вводные'!$B$311)))*'01_Вводные'!$B$298*MAX(0,'01_Вводные'!$B$22-1)</f>
        <v/>
      </c>
      <c r="I1375">
        <f>IF(OR(8&lt;='01_Вводные'!$B$15,8-'01_Вводные'!$B$15&gt;60),0,INDEX('19_Расчет_аналитики'!$B$1350:$BI$1350,1,8-'01_Вводные'!$B$15))*'01_Вводные'!$B$298*MIN(1,'01_Вводные'!$B$22)+IF(OR(8&lt;=('01_Вводные'!$B$15+'01_Вводные'!$B$311),8-('01_Вводные'!$B$15+'01_Вводные'!$B$311)&gt;60),0,INDEX('19_Расчет_аналитики'!$B$1350:$BI$1350,1,8-('01_Вводные'!$B$15+'01_Вводные'!$B$311)))*'01_Вводные'!$B$298*MAX(0,'01_Вводные'!$B$22-1)</f>
        <v/>
      </c>
      <c r="J1375">
        <f>IF(OR(9&lt;='01_Вводные'!$B$15,9-'01_Вводные'!$B$15&gt;60),0,INDEX('19_Расчет_аналитики'!$B$1350:$BI$1350,1,9-'01_Вводные'!$B$15))*'01_Вводные'!$B$298*MIN(1,'01_Вводные'!$B$22)+IF(OR(9&lt;=('01_Вводные'!$B$15+'01_Вводные'!$B$311),9-('01_Вводные'!$B$15+'01_Вводные'!$B$311)&gt;60),0,INDEX('19_Расчет_аналитики'!$B$1350:$BI$1350,1,9-('01_Вводные'!$B$15+'01_Вводные'!$B$311)))*'01_Вводные'!$B$298*MAX(0,'01_Вводные'!$B$22-1)</f>
        <v/>
      </c>
      <c r="K1375">
        <f>IF(OR(10&lt;='01_Вводные'!$B$15,10-'01_Вводные'!$B$15&gt;60),0,INDEX('19_Расчет_аналитики'!$B$1350:$BI$1350,1,10-'01_Вводные'!$B$15))*'01_Вводные'!$B$298*MIN(1,'01_Вводные'!$B$22)+IF(OR(10&lt;=('01_Вводные'!$B$15+'01_Вводные'!$B$311),10-('01_Вводные'!$B$15+'01_Вводные'!$B$311)&gt;60),0,INDEX('19_Расчет_аналитики'!$B$1350:$BI$1350,1,10-('01_Вводные'!$B$15+'01_Вводные'!$B$311)))*'01_Вводные'!$B$298*MAX(0,'01_Вводные'!$B$22-1)</f>
        <v/>
      </c>
      <c r="L1375">
        <f>IF(OR(11&lt;='01_Вводные'!$B$15,11-'01_Вводные'!$B$15&gt;60),0,INDEX('19_Расчет_аналитики'!$B$1350:$BI$1350,1,11-'01_Вводные'!$B$15))*'01_Вводные'!$B$298*MIN(1,'01_Вводные'!$B$22)+IF(OR(11&lt;=('01_Вводные'!$B$15+'01_Вводные'!$B$311),11-('01_Вводные'!$B$15+'01_Вводные'!$B$311)&gt;60),0,INDEX('19_Расчет_аналитики'!$B$1350:$BI$1350,1,11-('01_Вводные'!$B$15+'01_Вводные'!$B$311)))*'01_Вводные'!$B$298*MAX(0,'01_Вводные'!$B$22-1)</f>
        <v/>
      </c>
      <c r="M1375">
        <f>IF(OR(12&lt;='01_Вводные'!$B$15,12-'01_Вводные'!$B$15&gt;60),0,INDEX('19_Расчет_аналитики'!$B$1350:$BI$1350,1,12-'01_Вводные'!$B$15))*'01_Вводные'!$B$298*MIN(1,'01_Вводные'!$B$22)+IF(OR(12&lt;=('01_Вводные'!$B$15+'01_Вводные'!$B$311),12-('01_Вводные'!$B$15+'01_Вводные'!$B$311)&gt;60),0,INDEX('19_Расчет_аналитики'!$B$1350:$BI$1350,1,12-('01_Вводные'!$B$15+'01_Вводные'!$B$311)))*'01_Вводные'!$B$298*MAX(0,'01_Вводные'!$B$22-1)</f>
        <v/>
      </c>
      <c r="N1375">
        <f>IF(OR(13&lt;='01_Вводные'!$B$15,13-'01_Вводные'!$B$15&gt;60),0,INDEX('19_Расчет_аналитики'!$B$1350:$BI$1350,1,13-'01_Вводные'!$B$15))*'01_Вводные'!$B$298*MIN(1,'01_Вводные'!$B$22)+IF(OR(13&lt;=('01_Вводные'!$B$15+'01_Вводные'!$B$311),13-('01_Вводные'!$B$15+'01_Вводные'!$B$311)&gt;60),0,INDEX('19_Расчет_аналитики'!$B$1350:$BI$1350,1,13-('01_Вводные'!$B$15+'01_Вводные'!$B$311)))*'01_Вводные'!$B$298*MAX(0,'01_Вводные'!$B$22-1)</f>
        <v/>
      </c>
      <c r="O1375">
        <f>IF(OR(14&lt;='01_Вводные'!$B$15,14-'01_Вводные'!$B$15&gt;60),0,INDEX('19_Расчет_аналитики'!$B$1350:$BI$1350,1,14-'01_Вводные'!$B$15))*'01_Вводные'!$B$298*MIN(1,'01_Вводные'!$B$22)+IF(OR(14&lt;=('01_Вводные'!$B$15+'01_Вводные'!$B$311),14-('01_Вводные'!$B$15+'01_Вводные'!$B$311)&gt;60),0,INDEX('19_Расчет_аналитики'!$B$1350:$BI$1350,1,14-('01_Вводные'!$B$15+'01_Вводные'!$B$311)))*'01_Вводные'!$B$298*MAX(0,'01_Вводные'!$B$22-1)</f>
        <v/>
      </c>
      <c r="P1375">
        <f>IF(OR(15&lt;='01_Вводные'!$B$15,15-'01_Вводные'!$B$15&gt;60),0,INDEX('19_Расчет_аналитики'!$B$1350:$BI$1350,1,15-'01_Вводные'!$B$15))*'01_Вводные'!$B$298*MIN(1,'01_Вводные'!$B$22)+IF(OR(15&lt;=('01_Вводные'!$B$15+'01_Вводные'!$B$311),15-('01_Вводные'!$B$15+'01_Вводные'!$B$311)&gt;60),0,INDEX('19_Расчет_аналитики'!$B$1350:$BI$1350,1,15-('01_Вводные'!$B$15+'01_Вводные'!$B$311)))*'01_Вводные'!$B$298*MAX(0,'01_Вводные'!$B$22-1)</f>
        <v/>
      </c>
      <c r="Q1375">
        <f>IF(OR(16&lt;='01_Вводные'!$B$15,16-'01_Вводные'!$B$15&gt;60),0,INDEX('19_Расчет_аналитики'!$B$1350:$BI$1350,1,16-'01_Вводные'!$B$15))*'01_Вводные'!$B$298*MIN(1,'01_Вводные'!$B$22)+IF(OR(16&lt;=('01_Вводные'!$B$15+'01_Вводные'!$B$311),16-('01_Вводные'!$B$15+'01_Вводные'!$B$311)&gt;60),0,INDEX('19_Расчет_аналитики'!$B$1350:$BI$1350,1,16-('01_Вводные'!$B$15+'01_Вводные'!$B$311)))*'01_Вводные'!$B$298*MAX(0,'01_Вводные'!$B$22-1)</f>
        <v/>
      </c>
      <c r="R1375">
        <f>IF(OR(17&lt;='01_Вводные'!$B$15,17-'01_Вводные'!$B$15&gt;60),0,INDEX('19_Расчет_аналитики'!$B$1350:$BI$1350,1,17-'01_Вводные'!$B$15))*'01_Вводные'!$B$298*MIN(1,'01_Вводные'!$B$22)+IF(OR(17&lt;=('01_Вводные'!$B$15+'01_Вводные'!$B$311),17-('01_Вводные'!$B$15+'01_Вводные'!$B$311)&gt;60),0,INDEX('19_Расчет_аналитики'!$B$1350:$BI$1350,1,17-('01_Вводные'!$B$15+'01_Вводные'!$B$311)))*'01_Вводные'!$B$298*MAX(0,'01_Вводные'!$B$22-1)</f>
        <v/>
      </c>
      <c r="S1375">
        <f>IF(OR(18&lt;='01_Вводные'!$B$15,18-'01_Вводные'!$B$15&gt;60),0,INDEX('19_Расчет_аналитики'!$B$1350:$BI$1350,1,18-'01_Вводные'!$B$15))*'01_Вводные'!$B$298*MIN(1,'01_Вводные'!$B$22)+IF(OR(18&lt;=('01_Вводные'!$B$15+'01_Вводные'!$B$311),18-('01_Вводные'!$B$15+'01_Вводные'!$B$311)&gt;60),0,INDEX('19_Расчет_аналитики'!$B$1350:$BI$1350,1,18-('01_Вводные'!$B$15+'01_Вводные'!$B$311)))*'01_Вводные'!$B$298*MAX(0,'01_Вводные'!$B$22-1)</f>
        <v/>
      </c>
      <c r="T1375">
        <f>IF(OR(19&lt;='01_Вводные'!$B$15,19-'01_Вводные'!$B$15&gt;60),0,INDEX('19_Расчет_аналитики'!$B$1350:$BI$1350,1,19-'01_Вводные'!$B$15))*'01_Вводные'!$B$298*MIN(1,'01_Вводные'!$B$22)+IF(OR(19&lt;=('01_Вводные'!$B$15+'01_Вводные'!$B$311),19-('01_Вводные'!$B$15+'01_Вводные'!$B$311)&gt;60),0,INDEX('19_Расчет_аналитики'!$B$1350:$BI$1350,1,19-('01_Вводные'!$B$15+'01_Вводные'!$B$311)))*'01_Вводные'!$B$298*MAX(0,'01_Вводные'!$B$22-1)</f>
        <v/>
      </c>
      <c r="U1375">
        <f>IF(OR(20&lt;='01_Вводные'!$B$15,20-'01_Вводные'!$B$15&gt;60),0,INDEX('19_Расчет_аналитики'!$B$1350:$BI$1350,1,20-'01_Вводные'!$B$15))*'01_Вводные'!$B$298*MIN(1,'01_Вводные'!$B$22)+IF(OR(20&lt;=('01_Вводные'!$B$15+'01_Вводные'!$B$311),20-('01_Вводные'!$B$15+'01_Вводные'!$B$311)&gt;60),0,INDEX('19_Расчет_аналитики'!$B$1350:$BI$1350,1,20-('01_Вводные'!$B$15+'01_Вводные'!$B$311)))*'01_Вводные'!$B$298*MAX(0,'01_Вводные'!$B$22-1)</f>
        <v/>
      </c>
      <c r="V1375">
        <f>IF(OR(21&lt;='01_Вводные'!$B$15,21-'01_Вводные'!$B$15&gt;60),0,INDEX('19_Расчет_аналитики'!$B$1350:$BI$1350,1,21-'01_Вводные'!$B$15))*'01_Вводные'!$B$298*MIN(1,'01_Вводные'!$B$22)+IF(OR(21&lt;=('01_Вводные'!$B$15+'01_Вводные'!$B$311),21-('01_Вводные'!$B$15+'01_Вводные'!$B$311)&gt;60),0,INDEX('19_Расчет_аналитики'!$B$1350:$BI$1350,1,21-('01_Вводные'!$B$15+'01_Вводные'!$B$311)))*'01_Вводные'!$B$298*MAX(0,'01_Вводные'!$B$22-1)</f>
        <v/>
      </c>
      <c r="W1375">
        <f>IF(OR(22&lt;='01_Вводные'!$B$15,22-'01_Вводные'!$B$15&gt;60),0,INDEX('19_Расчет_аналитики'!$B$1350:$BI$1350,1,22-'01_Вводные'!$B$15))*'01_Вводные'!$B$298*MIN(1,'01_Вводные'!$B$22)+IF(OR(22&lt;=('01_Вводные'!$B$15+'01_Вводные'!$B$311),22-('01_Вводные'!$B$15+'01_Вводные'!$B$311)&gt;60),0,INDEX('19_Расчет_аналитики'!$B$1350:$BI$1350,1,22-('01_Вводные'!$B$15+'01_Вводные'!$B$311)))*'01_Вводные'!$B$298*MAX(0,'01_Вводные'!$B$22-1)</f>
        <v/>
      </c>
      <c r="X1375">
        <f>IF(OR(23&lt;='01_Вводные'!$B$15,23-'01_Вводные'!$B$15&gt;60),0,INDEX('19_Расчет_аналитики'!$B$1350:$BI$1350,1,23-'01_Вводные'!$B$15))*'01_Вводные'!$B$298*MIN(1,'01_Вводные'!$B$22)+IF(OR(23&lt;=('01_Вводные'!$B$15+'01_Вводные'!$B$311),23-('01_Вводные'!$B$15+'01_Вводные'!$B$311)&gt;60),0,INDEX('19_Расчет_аналитики'!$B$1350:$BI$1350,1,23-('01_Вводные'!$B$15+'01_Вводные'!$B$311)))*'01_Вводные'!$B$298*MAX(0,'01_Вводные'!$B$22-1)</f>
        <v/>
      </c>
      <c r="Y1375">
        <f>IF(OR(24&lt;='01_Вводные'!$B$15,24-'01_Вводные'!$B$15&gt;60),0,INDEX('19_Расчет_аналитики'!$B$1350:$BI$1350,1,24-'01_Вводные'!$B$15))*'01_Вводные'!$B$298*MIN(1,'01_Вводные'!$B$22)+IF(OR(24&lt;=('01_Вводные'!$B$15+'01_Вводные'!$B$311),24-('01_Вводные'!$B$15+'01_Вводные'!$B$311)&gt;60),0,INDEX('19_Расчет_аналитики'!$B$1350:$BI$1350,1,24-('01_Вводные'!$B$15+'01_Вводные'!$B$311)))*'01_Вводные'!$B$298*MAX(0,'01_Вводные'!$B$22-1)</f>
        <v/>
      </c>
      <c r="Z1375">
        <f>IF(OR(25&lt;='01_Вводные'!$B$15,25-'01_Вводные'!$B$15&gt;60),0,INDEX('19_Расчет_аналитики'!$B$1350:$BI$1350,1,25-'01_Вводные'!$B$15))*'01_Вводные'!$B$298*MIN(1,'01_Вводные'!$B$22)+IF(OR(25&lt;=('01_Вводные'!$B$15+'01_Вводные'!$B$311),25-('01_Вводные'!$B$15+'01_Вводные'!$B$311)&gt;60),0,INDEX('19_Расчет_аналитики'!$B$1350:$BI$1350,1,25-('01_Вводные'!$B$15+'01_Вводные'!$B$311)))*'01_Вводные'!$B$298*MAX(0,'01_Вводные'!$B$22-1)</f>
        <v/>
      </c>
      <c r="AA1375">
        <f>IF(OR(26&lt;='01_Вводные'!$B$15,26-'01_Вводные'!$B$15&gt;60),0,INDEX('19_Расчет_аналитики'!$B$1350:$BI$1350,1,26-'01_Вводные'!$B$15))*'01_Вводные'!$B$298*MIN(1,'01_Вводные'!$B$22)+IF(OR(26&lt;=('01_Вводные'!$B$15+'01_Вводные'!$B$311),26-('01_Вводные'!$B$15+'01_Вводные'!$B$311)&gt;60),0,INDEX('19_Расчет_аналитики'!$B$1350:$BI$1350,1,26-('01_Вводные'!$B$15+'01_Вводные'!$B$311)))*'01_Вводные'!$B$298*MAX(0,'01_Вводные'!$B$22-1)</f>
        <v/>
      </c>
      <c r="AB1375">
        <f>IF(OR(27&lt;='01_Вводные'!$B$15,27-'01_Вводные'!$B$15&gt;60),0,INDEX('19_Расчет_аналитики'!$B$1350:$BI$1350,1,27-'01_Вводные'!$B$15))*'01_Вводные'!$B$298*MIN(1,'01_Вводные'!$B$22)+IF(OR(27&lt;=('01_Вводные'!$B$15+'01_Вводные'!$B$311),27-('01_Вводные'!$B$15+'01_Вводные'!$B$311)&gt;60),0,INDEX('19_Расчет_аналитики'!$B$1350:$BI$1350,1,27-('01_Вводные'!$B$15+'01_Вводные'!$B$311)))*'01_Вводные'!$B$298*MAX(0,'01_Вводные'!$B$22-1)</f>
        <v/>
      </c>
      <c r="AC1375">
        <f>IF(OR(28&lt;='01_Вводные'!$B$15,28-'01_Вводные'!$B$15&gt;60),0,INDEX('19_Расчет_аналитики'!$B$1350:$BI$1350,1,28-'01_Вводные'!$B$15))*'01_Вводные'!$B$298*MIN(1,'01_Вводные'!$B$22)+IF(OR(28&lt;=('01_Вводные'!$B$15+'01_Вводные'!$B$311),28-('01_Вводные'!$B$15+'01_Вводные'!$B$311)&gt;60),0,INDEX('19_Расчет_аналитики'!$B$1350:$BI$1350,1,28-('01_Вводные'!$B$15+'01_Вводные'!$B$311)))*'01_Вводные'!$B$298*MAX(0,'01_Вводные'!$B$22-1)</f>
        <v/>
      </c>
      <c r="AD1375">
        <f>IF(OR(29&lt;='01_Вводные'!$B$15,29-'01_Вводные'!$B$15&gt;60),0,INDEX('19_Расчет_аналитики'!$B$1350:$BI$1350,1,29-'01_Вводные'!$B$15))*'01_Вводные'!$B$298*MIN(1,'01_Вводные'!$B$22)+IF(OR(29&lt;=('01_Вводные'!$B$15+'01_Вводные'!$B$311),29-('01_Вводные'!$B$15+'01_Вводные'!$B$311)&gt;60),0,INDEX('19_Расчет_аналитики'!$B$1350:$BI$1350,1,29-('01_Вводные'!$B$15+'01_Вводные'!$B$311)))*'01_Вводные'!$B$298*MAX(0,'01_Вводные'!$B$22-1)</f>
        <v/>
      </c>
      <c r="AE1375">
        <f>IF(OR(30&lt;='01_Вводные'!$B$15,30-'01_Вводные'!$B$15&gt;60),0,INDEX('19_Расчет_аналитики'!$B$1350:$BI$1350,1,30-'01_Вводные'!$B$15))*'01_Вводные'!$B$298*MIN(1,'01_Вводные'!$B$22)+IF(OR(30&lt;=('01_Вводные'!$B$15+'01_Вводные'!$B$311),30-('01_Вводные'!$B$15+'01_Вводные'!$B$311)&gt;60),0,INDEX('19_Расчет_аналитики'!$B$1350:$BI$1350,1,30-('01_Вводные'!$B$15+'01_Вводные'!$B$311)))*'01_Вводные'!$B$298*MAX(0,'01_Вводные'!$B$22-1)</f>
        <v/>
      </c>
      <c r="AF1375">
        <f>IF(OR(31&lt;='01_Вводные'!$B$15,31-'01_Вводные'!$B$15&gt;60),0,INDEX('19_Расчет_аналитики'!$B$1350:$BI$1350,1,31-'01_Вводные'!$B$15))*'01_Вводные'!$B$298*MIN(1,'01_Вводные'!$B$22)+IF(OR(31&lt;=('01_Вводные'!$B$15+'01_Вводные'!$B$311),31-('01_Вводные'!$B$15+'01_Вводные'!$B$311)&gt;60),0,INDEX('19_Расчет_аналитики'!$B$1350:$BI$1350,1,31-('01_Вводные'!$B$15+'01_Вводные'!$B$311)))*'01_Вводные'!$B$298*MAX(0,'01_Вводные'!$B$22-1)</f>
        <v/>
      </c>
      <c r="AG1375">
        <f>IF(OR(32&lt;='01_Вводные'!$B$15,32-'01_Вводные'!$B$15&gt;60),0,INDEX('19_Расчет_аналитики'!$B$1350:$BI$1350,1,32-'01_Вводные'!$B$15))*'01_Вводные'!$B$298*MIN(1,'01_Вводные'!$B$22)+IF(OR(32&lt;=('01_Вводные'!$B$15+'01_Вводные'!$B$311),32-('01_Вводные'!$B$15+'01_Вводные'!$B$311)&gt;60),0,INDEX('19_Расчет_аналитики'!$B$1350:$BI$1350,1,32-('01_Вводные'!$B$15+'01_Вводные'!$B$311)))*'01_Вводные'!$B$298*MAX(0,'01_Вводные'!$B$22-1)</f>
        <v/>
      </c>
      <c r="AH1375">
        <f>IF(OR(33&lt;='01_Вводные'!$B$15,33-'01_Вводные'!$B$15&gt;60),0,INDEX('19_Расчет_аналитики'!$B$1350:$BI$1350,1,33-'01_Вводные'!$B$15))*'01_Вводные'!$B$298*MIN(1,'01_Вводные'!$B$22)+IF(OR(33&lt;=('01_Вводные'!$B$15+'01_Вводные'!$B$311),33-('01_Вводные'!$B$15+'01_Вводные'!$B$311)&gt;60),0,INDEX('19_Расчет_аналитики'!$B$1350:$BI$1350,1,33-('01_Вводные'!$B$15+'01_Вводные'!$B$311)))*'01_Вводные'!$B$298*MAX(0,'01_Вводные'!$B$22-1)</f>
        <v/>
      </c>
      <c r="AI1375">
        <f>IF(OR(34&lt;='01_Вводные'!$B$15,34-'01_Вводные'!$B$15&gt;60),0,INDEX('19_Расчет_аналитики'!$B$1350:$BI$1350,1,34-'01_Вводные'!$B$15))*'01_Вводные'!$B$298*MIN(1,'01_Вводные'!$B$22)+IF(OR(34&lt;=('01_Вводные'!$B$15+'01_Вводные'!$B$311),34-('01_Вводные'!$B$15+'01_Вводные'!$B$311)&gt;60),0,INDEX('19_Расчет_аналитики'!$B$1350:$BI$1350,1,34-('01_Вводные'!$B$15+'01_Вводные'!$B$311)))*'01_Вводные'!$B$298*MAX(0,'01_Вводные'!$B$22-1)</f>
        <v/>
      </c>
      <c r="AJ1375">
        <f>IF(OR(35&lt;='01_Вводные'!$B$15,35-'01_Вводные'!$B$15&gt;60),0,INDEX('19_Расчет_аналитики'!$B$1350:$BI$1350,1,35-'01_Вводные'!$B$15))*'01_Вводные'!$B$298*MIN(1,'01_Вводные'!$B$22)+IF(OR(35&lt;=('01_Вводные'!$B$15+'01_Вводные'!$B$311),35-('01_Вводные'!$B$15+'01_Вводные'!$B$311)&gt;60),0,INDEX('19_Расчет_аналитики'!$B$1350:$BI$1350,1,35-('01_Вводные'!$B$15+'01_Вводные'!$B$311)))*'01_Вводные'!$B$298*MAX(0,'01_Вводные'!$B$22-1)</f>
        <v/>
      </c>
      <c r="AK1375">
        <f>IF(OR(36&lt;='01_Вводные'!$B$15,36-'01_Вводные'!$B$15&gt;60),0,INDEX('19_Расчет_аналитики'!$B$1350:$BI$1350,1,36-'01_Вводные'!$B$15))*'01_Вводные'!$B$298*MIN(1,'01_Вводные'!$B$22)+IF(OR(36&lt;=('01_Вводные'!$B$15+'01_Вводные'!$B$311),36-('01_Вводные'!$B$15+'01_Вводные'!$B$311)&gt;60),0,INDEX('19_Расчет_аналитики'!$B$1350:$BI$1350,1,36-('01_Вводные'!$B$15+'01_Вводные'!$B$311)))*'01_Вводные'!$B$298*MAX(0,'01_Вводные'!$B$22-1)</f>
        <v/>
      </c>
      <c r="AL1375">
        <f>IF(OR(37&lt;='01_Вводные'!$B$15,37-'01_Вводные'!$B$15&gt;60),0,INDEX('19_Расчет_аналитики'!$B$1350:$BI$1350,1,37-'01_Вводные'!$B$15))*'01_Вводные'!$B$298*MIN(1,'01_Вводные'!$B$22)+IF(OR(37&lt;=('01_Вводные'!$B$15+'01_Вводные'!$B$311),37-('01_Вводные'!$B$15+'01_Вводные'!$B$311)&gt;60),0,INDEX('19_Расчет_аналитики'!$B$1350:$BI$1350,1,37-('01_Вводные'!$B$15+'01_Вводные'!$B$311)))*'01_Вводные'!$B$298*MAX(0,'01_Вводные'!$B$22-1)</f>
        <v/>
      </c>
      <c r="AM1375">
        <f>IF(OR(38&lt;='01_Вводные'!$B$15,38-'01_Вводные'!$B$15&gt;60),0,INDEX('19_Расчет_аналитики'!$B$1350:$BI$1350,1,38-'01_Вводные'!$B$15))*'01_Вводные'!$B$298*MIN(1,'01_Вводные'!$B$22)+IF(OR(38&lt;=('01_Вводные'!$B$15+'01_Вводные'!$B$311),38-('01_Вводные'!$B$15+'01_Вводные'!$B$311)&gt;60),0,INDEX('19_Расчет_аналитики'!$B$1350:$BI$1350,1,38-('01_Вводные'!$B$15+'01_Вводные'!$B$311)))*'01_Вводные'!$B$298*MAX(0,'01_Вводные'!$B$22-1)</f>
        <v/>
      </c>
      <c r="AN1375">
        <f>IF(OR(39&lt;='01_Вводные'!$B$15,39-'01_Вводные'!$B$15&gt;60),0,INDEX('19_Расчет_аналитики'!$B$1350:$BI$1350,1,39-'01_Вводные'!$B$15))*'01_Вводные'!$B$298*MIN(1,'01_Вводные'!$B$22)+IF(OR(39&lt;=('01_Вводные'!$B$15+'01_Вводные'!$B$311),39-('01_Вводные'!$B$15+'01_Вводные'!$B$311)&gt;60),0,INDEX('19_Расчет_аналитики'!$B$1350:$BI$1350,1,39-('01_Вводные'!$B$15+'01_Вводные'!$B$311)))*'01_Вводные'!$B$298*MAX(0,'01_Вводные'!$B$22-1)</f>
        <v/>
      </c>
      <c r="AO1375">
        <f>IF(OR(40&lt;='01_Вводные'!$B$15,40-'01_Вводные'!$B$15&gt;60),0,INDEX('19_Расчет_аналитики'!$B$1350:$BI$1350,1,40-'01_Вводные'!$B$15))*'01_Вводные'!$B$298*MIN(1,'01_Вводные'!$B$22)+IF(OR(40&lt;=('01_Вводные'!$B$15+'01_Вводные'!$B$311),40-('01_Вводные'!$B$15+'01_Вводные'!$B$311)&gt;60),0,INDEX('19_Расчет_аналитики'!$B$1350:$BI$1350,1,40-('01_Вводные'!$B$15+'01_Вводные'!$B$311)))*'01_Вводные'!$B$298*MAX(0,'01_Вводные'!$B$22-1)</f>
        <v/>
      </c>
      <c r="AP1375">
        <f>IF(OR(41&lt;='01_Вводные'!$B$15,41-'01_Вводные'!$B$15&gt;60),0,INDEX('19_Расчет_аналитики'!$B$1350:$BI$1350,1,41-'01_Вводные'!$B$15))*'01_Вводные'!$B$298*MIN(1,'01_Вводные'!$B$22)+IF(OR(41&lt;=('01_Вводные'!$B$15+'01_Вводные'!$B$311),41-('01_Вводные'!$B$15+'01_Вводные'!$B$311)&gt;60),0,INDEX('19_Расчет_аналитики'!$B$1350:$BI$1350,1,41-('01_Вводные'!$B$15+'01_Вводные'!$B$311)))*'01_Вводные'!$B$298*MAX(0,'01_Вводные'!$B$22-1)</f>
        <v/>
      </c>
      <c r="AQ1375">
        <f>IF(OR(42&lt;='01_Вводные'!$B$15,42-'01_Вводные'!$B$15&gt;60),0,INDEX('19_Расчет_аналитики'!$B$1350:$BI$1350,1,42-'01_Вводные'!$B$15))*'01_Вводные'!$B$298*MIN(1,'01_Вводные'!$B$22)+IF(OR(42&lt;=('01_Вводные'!$B$15+'01_Вводные'!$B$311),42-('01_Вводные'!$B$15+'01_Вводные'!$B$311)&gt;60),0,INDEX('19_Расчет_аналитики'!$B$1350:$BI$1350,1,42-('01_Вводные'!$B$15+'01_Вводные'!$B$311)))*'01_Вводные'!$B$298*MAX(0,'01_Вводные'!$B$22-1)</f>
        <v/>
      </c>
      <c r="AR1375">
        <f>IF(OR(43&lt;='01_Вводные'!$B$15,43-'01_Вводные'!$B$15&gt;60),0,INDEX('19_Расчет_аналитики'!$B$1350:$BI$1350,1,43-'01_Вводные'!$B$15))*'01_Вводные'!$B$298*MIN(1,'01_Вводные'!$B$22)+IF(OR(43&lt;=('01_Вводные'!$B$15+'01_Вводные'!$B$311),43-('01_Вводные'!$B$15+'01_Вводные'!$B$311)&gt;60),0,INDEX('19_Расчет_аналитики'!$B$1350:$BI$1350,1,43-('01_Вводные'!$B$15+'01_Вводные'!$B$311)))*'01_Вводные'!$B$298*MAX(0,'01_Вводные'!$B$22-1)</f>
        <v/>
      </c>
      <c r="AS1375">
        <f>IF(OR(44&lt;='01_Вводные'!$B$15,44-'01_Вводные'!$B$15&gt;60),0,INDEX('19_Расчет_аналитики'!$B$1350:$BI$1350,1,44-'01_Вводные'!$B$15))*'01_Вводные'!$B$298*MIN(1,'01_Вводные'!$B$22)+IF(OR(44&lt;=('01_Вводные'!$B$15+'01_Вводные'!$B$311),44-('01_Вводные'!$B$15+'01_Вводные'!$B$311)&gt;60),0,INDEX('19_Расчет_аналитики'!$B$1350:$BI$1350,1,44-('01_Вводные'!$B$15+'01_Вводные'!$B$311)))*'01_Вводные'!$B$298*MAX(0,'01_Вводные'!$B$22-1)</f>
        <v/>
      </c>
      <c r="AT1375">
        <f>IF(OR(45&lt;='01_Вводные'!$B$15,45-'01_Вводные'!$B$15&gt;60),0,INDEX('19_Расчет_аналитики'!$B$1350:$BI$1350,1,45-'01_Вводные'!$B$15))*'01_Вводные'!$B$298*MIN(1,'01_Вводные'!$B$22)+IF(OR(45&lt;=('01_Вводные'!$B$15+'01_Вводные'!$B$311),45-('01_Вводные'!$B$15+'01_Вводные'!$B$311)&gt;60),0,INDEX('19_Расчет_аналитики'!$B$1350:$BI$1350,1,45-('01_Вводные'!$B$15+'01_Вводные'!$B$311)))*'01_Вводные'!$B$298*MAX(0,'01_Вводные'!$B$22-1)</f>
        <v/>
      </c>
      <c r="AU1375">
        <f>IF(OR(46&lt;='01_Вводные'!$B$15,46-'01_Вводные'!$B$15&gt;60),0,INDEX('19_Расчет_аналитики'!$B$1350:$BI$1350,1,46-'01_Вводные'!$B$15))*'01_Вводные'!$B$298*MIN(1,'01_Вводные'!$B$22)+IF(OR(46&lt;=('01_Вводные'!$B$15+'01_Вводные'!$B$311),46-('01_Вводные'!$B$15+'01_Вводные'!$B$311)&gt;60),0,INDEX('19_Расчет_аналитики'!$B$1350:$BI$1350,1,46-('01_Вводные'!$B$15+'01_Вводные'!$B$311)))*'01_Вводные'!$B$298*MAX(0,'01_Вводные'!$B$22-1)</f>
        <v/>
      </c>
      <c r="AV1375">
        <f>IF(OR(47&lt;='01_Вводные'!$B$15,47-'01_Вводные'!$B$15&gt;60),0,INDEX('19_Расчет_аналитики'!$B$1350:$BI$1350,1,47-'01_Вводные'!$B$15))*'01_Вводные'!$B$298*MIN(1,'01_Вводные'!$B$22)+IF(OR(47&lt;=('01_Вводные'!$B$15+'01_Вводные'!$B$311),47-('01_Вводные'!$B$15+'01_Вводные'!$B$311)&gt;60),0,INDEX('19_Расчет_аналитики'!$B$1350:$BI$1350,1,47-('01_Вводные'!$B$15+'01_Вводные'!$B$311)))*'01_Вводные'!$B$298*MAX(0,'01_Вводные'!$B$22-1)</f>
        <v/>
      </c>
      <c r="AW1375">
        <f>IF(OR(48&lt;='01_Вводные'!$B$15,48-'01_Вводные'!$B$15&gt;60),0,INDEX('19_Расчет_аналитики'!$B$1350:$BI$1350,1,48-'01_Вводные'!$B$15))*'01_Вводные'!$B$298*MIN(1,'01_Вводные'!$B$22)+IF(OR(48&lt;=('01_Вводные'!$B$15+'01_Вводные'!$B$311),48-('01_Вводные'!$B$15+'01_Вводные'!$B$311)&gt;60),0,INDEX('19_Расчет_аналитики'!$B$1350:$BI$1350,1,48-('01_Вводные'!$B$15+'01_Вводные'!$B$311)))*'01_Вводные'!$B$298*MAX(0,'01_Вводные'!$B$22-1)</f>
        <v/>
      </c>
      <c r="AX1375">
        <f>IF(OR(49&lt;='01_Вводные'!$B$15,49-'01_Вводные'!$B$15&gt;60),0,INDEX('19_Расчет_аналитики'!$B$1350:$BI$1350,1,49-'01_Вводные'!$B$15))*'01_Вводные'!$B$298*MIN(1,'01_Вводные'!$B$22)+IF(OR(49&lt;=('01_Вводные'!$B$15+'01_Вводные'!$B$311),49-('01_Вводные'!$B$15+'01_Вводные'!$B$311)&gt;60),0,INDEX('19_Расчет_аналитики'!$B$1350:$BI$1350,1,49-('01_Вводные'!$B$15+'01_Вводные'!$B$311)))*'01_Вводные'!$B$298*MAX(0,'01_Вводные'!$B$22-1)</f>
        <v/>
      </c>
      <c r="AY1375">
        <f>IF(OR(50&lt;='01_Вводные'!$B$15,50-'01_Вводные'!$B$15&gt;60),0,INDEX('19_Расчет_аналитики'!$B$1350:$BI$1350,1,50-'01_Вводные'!$B$15))*'01_Вводные'!$B$298*MIN(1,'01_Вводные'!$B$22)+IF(OR(50&lt;=('01_Вводные'!$B$15+'01_Вводные'!$B$311),50-('01_Вводные'!$B$15+'01_Вводные'!$B$311)&gt;60),0,INDEX('19_Расчет_аналитики'!$B$1350:$BI$1350,1,50-('01_Вводные'!$B$15+'01_Вводные'!$B$311)))*'01_Вводные'!$B$298*MAX(0,'01_Вводные'!$B$22-1)</f>
        <v/>
      </c>
      <c r="AZ1375">
        <f>IF(OR(51&lt;='01_Вводные'!$B$15,51-'01_Вводные'!$B$15&gt;60),0,INDEX('19_Расчет_аналитики'!$B$1350:$BI$1350,1,51-'01_Вводные'!$B$15))*'01_Вводные'!$B$298*MIN(1,'01_Вводные'!$B$22)+IF(OR(51&lt;=('01_Вводные'!$B$15+'01_Вводные'!$B$311),51-('01_Вводные'!$B$15+'01_Вводные'!$B$311)&gt;60),0,INDEX('19_Расчет_аналитики'!$B$1350:$BI$1350,1,51-('01_Вводные'!$B$15+'01_Вводные'!$B$311)))*'01_Вводные'!$B$298*MAX(0,'01_Вводные'!$B$22-1)</f>
        <v/>
      </c>
      <c r="BA1375">
        <f>IF(OR(52&lt;='01_Вводные'!$B$15,52-'01_Вводные'!$B$15&gt;60),0,INDEX('19_Расчет_аналитики'!$B$1350:$BI$1350,1,52-'01_Вводные'!$B$15))*'01_Вводные'!$B$298*MIN(1,'01_Вводные'!$B$22)+IF(OR(52&lt;=('01_Вводные'!$B$15+'01_Вводные'!$B$311),52-('01_Вводные'!$B$15+'01_Вводные'!$B$311)&gt;60),0,INDEX('19_Расчет_аналитики'!$B$1350:$BI$1350,1,52-('01_Вводные'!$B$15+'01_Вводные'!$B$311)))*'01_Вводные'!$B$298*MAX(0,'01_Вводные'!$B$22-1)</f>
        <v/>
      </c>
      <c r="BB1375">
        <f>IF(OR(53&lt;='01_Вводные'!$B$15,53-'01_Вводные'!$B$15&gt;60),0,INDEX('19_Расчет_аналитики'!$B$1350:$BI$1350,1,53-'01_Вводные'!$B$15))*'01_Вводные'!$B$298*MIN(1,'01_Вводные'!$B$22)+IF(OR(53&lt;=('01_Вводные'!$B$15+'01_Вводные'!$B$311),53-('01_Вводные'!$B$15+'01_Вводные'!$B$311)&gt;60),0,INDEX('19_Расчет_аналитики'!$B$1350:$BI$1350,1,53-('01_Вводные'!$B$15+'01_Вводные'!$B$311)))*'01_Вводные'!$B$298*MAX(0,'01_Вводные'!$B$22-1)</f>
        <v/>
      </c>
      <c r="BC1375">
        <f>IF(OR(54&lt;='01_Вводные'!$B$15,54-'01_Вводные'!$B$15&gt;60),0,INDEX('19_Расчет_аналитики'!$B$1350:$BI$1350,1,54-'01_Вводные'!$B$15))*'01_Вводные'!$B$298*MIN(1,'01_Вводные'!$B$22)+IF(OR(54&lt;=('01_Вводные'!$B$15+'01_Вводные'!$B$311),54-('01_Вводные'!$B$15+'01_Вводные'!$B$311)&gt;60),0,INDEX('19_Расчет_аналитики'!$B$1350:$BI$1350,1,54-('01_Вводные'!$B$15+'01_Вводные'!$B$311)))*'01_Вводные'!$B$298*MAX(0,'01_Вводные'!$B$22-1)</f>
        <v/>
      </c>
      <c r="BD1375">
        <f>IF(OR(55&lt;='01_Вводные'!$B$15,55-'01_Вводные'!$B$15&gt;60),0,INDEX('19_Расчет_аналитики'!$B$1350:$BI$1350,1,55-'01_Вводные'!$B$15))*'01_Вводные'!$B$298*MIN(1,'01_Вводные'!$B$22)+IF(OR(55&lt;=('01_Вводные'!$B$15+'01_Вводные'!$B$311),55-('01_Вводные'!$B$15+'01_Вводные'!$B$311)&gt;60),0,INDEX('19_Расчет_аналитики'!$B$1350:$BI$1350,1,55-('01_Вводные'!$B$15+'01_Вводные'!$B$311)))*'01_Вводные'!$B$298*MAX(0,'01_Вводные'!$B$22-1)</f>
        <v/>
      </c>
      <c r="BE1375">
        <f>IF(OR(56&lt;='01_Вводные'!$B$15,56-'01_Вводные'!$B$15&gt;60),0,INDEX('19_Расчет_аналитики'!$B$1350:$BI$1350,1,56-'01_Вводные'!$B$15))*'01_Вводные'!$B$298*MIN(1,'01_Вводные'!$B$22)+IF(OR(56&lt;=('01_Вводные'!$B$15+'01_Вводные'!$B$311),56-('01_Вводные'!$B$15+'01_Вводные'!$B$311)&gt;60),0,INDEX('19_Расчет_аналитики'!$B$1350:$BI$1350,1,56-('01_Вводные'!$B$15+'01_Вводные'!$B$311)))*'01_Вводные'!$B$298*MAX(0,'01_Вводные'!$B$22-1)</f>
        <v/>
      </c>
      <c r="BF1375">
        <f>IF(OR(57&lt;='01_Вводные'!$B$15,57-'01_Вводные'!$B$15&gt;60),0,INDEX('19_Расчет_аналитики'!$B$1350:$BI$1350,1,57-'01_Вводные'!$B$15))*'01_Вводные'!$B$298*MIN(1,'01_Вводные'!$B$22)+IF(OR(57&lt;=('01_Вводные'!$B$15+'01_Вводные'!$B$311),57-('01_Вводные'!$B$15+'01_Вводные'!$B$311)&gt;60),0,INDEX('19_Расчет_аналитики'!$B$1350:$BI$1350,1,57-('01_Вводные'!$B$15+'01_Вводные'!$B$311)))*'01_Вводные'!$B$298*MAX(0,'01_Вводные'!$B$22-1)</f>
        <v/>
      </c>
      <c r="BG1375">
        <f>IF(OR(58&lt;='01_Вводные'!$B$15,58-'01_Вводные'!$B$15&gt;60),0,INDEX('19_Расчет_аналитики'!$B$1350:$BI$1350,1,58-'01_Вводные'!$B$15))*'01_Вводные'!$B$298*MIN(1,'01_Вводные'!$B$22)+IF(OR(58&lt;=('01_Вводные'!$B$15+'01_Вводные'!$B$311),58-('01_Вводные'!$B$15+'01_Вводные'!$B$311)&gt;60),0,INDEX('19_Расчет_аналитики'!$B$1350:$BI$1350,1,58-('01_Вводные'!$B$15+'01_Вводные'!$B$311)))*'01_Вводные'!$B$298*MAX(0,'01_Вводные'!$B$22-1)</f>
        <v/>
      </c>
      <c r="BH1375">
        <f>IF(OR(59&lt;='01_Вводные'!$B$15,59-'01_Вводные'!$B$15&gt;60),0,INDEX('19_Расчет_аналитики'!$B$1350:$BI$1350,1,59-'01_Вводные'!$B$15))*'01_Вводные'!$B$298*MIN(1,'01_Вводные'!$B$22)+IF(OR(59&lt;=('01_Вводные'!$B$15+'01_Вводные'!$B$311),59-('01_Вводные'!$B$15+'01_Вводные'!$B$311)&gt;60),0,INDEX('19_Расчет_аналитики'!$B$1350:$BI$1350,1,59-('01_Вводные'!$B$15+'01_Вводные'!$B$311)))*'01_Вводные'!$B$298*MAX(0,'01_Вводные'!$B$22-1)</f>
        <v/>
      </c>
      <c r="BI1375">
        <f>IF(OR(60&lt;='01_Вводные'!$B$15,60-'01_Вводные'!$B$15&gt;60),0,INDEX('19_Расчет_аналитики'!$B$1350:$BI$1350,1,60-'01_Вводные'!$B$15))*'01_Вводные'!$B$298*MIN(1,'01_Вводные'!$B$22)+IF(OR(60&lt;=('01_Вводные'!$B$15+'01_Вводные'!$B$311),60-('01_Вводные'!$B$15+'01_Вводные'!$B$311)&gt;60),0,INDEX('19_Расчет_аналитики'!$B$1350:$BI$1350,1,60-('01_Вводные'!$B$15+'01_Вводные'!$B$311)))*'01_Вводные'!$B$298*MAX(0,'01_Вводные'!$B$22-1)</f>
        <v/>
      </c>
      <c r="BJ1375">
        <f>IF(OR(61&lt;='01_Вводные'!$B$15,61-'01_Вводные'!$B$15&gt;60),0,INDEX('19_Расчет_аналитики'!$B$1350:$BI$1350,1,61-'01_Вводные'!$B$15))*'01_Вводные'!$B$298*MIN(1,'01_Вводные'!$B$22)+IF(OR(61&lt;=('01_Вводные'!$B$15+'01_Вводные'!$B$311),61-('01_Вводные'!$B$15+'01_Вводные'!$B$311)&gt;60),0,INDEX('19_Расчет_аналитики'!$B$1350:$BI$1350,1,61-('01_Вводные'!$B$15+'01_Вводные'!$B$311)))*'01_Вводные'!$B$298*MAX(0,'01_Вводные'!$B$22-1)</f>
        <v/>
      </c>
      <c r="BK1375">
        <f>IF(OR(62&lt;='01_Вводные'!$B$15,62-'01_Вводные'!$B$15&gt;60),0,INDEX('19_Расчет_аналитики'!$B$1350:$BI$1350,1,62-'01_Вводные'!$B$15))*'01_Вводные'!$B$298*MIN(1,'01_Вводные'!$B$22)+IF(OR(62&lt;=('01_Вводные'!$B$15+'01_Вводные'!$B$311),62-('01_Вводные'!$B$15+'01_Вводные'!$B$311)&gt;60),0,INDEX('19_Расчет_аналитики'!$B$1350:$BI$1350,1,62-('01_Вводные'!$B$15+'01_Вводные'!$B$311)))*'01_Вводные'!$B$298*MAX(0,'01_Вводные'!$B$22-1)</f>
        <v/>
      </c>
      <c r="BL1375">
        <f>IF(OR(63&lt;='01_Вводные'!$B$15,63-'01_Вводные'!$B$15&gt;60),0,INDEX('19_Расчет_аналитики'!$B$1350:$BI$1350,1,63-'01_Вводные'!$B$15))*'01_Вводные'!$B$298*MIN(1,'01_Вводные'!$B$22)+IF(OR(63&lt;=('01_Вводные'!$B$15+'01_Вводные'!$B$311),63-('01_Вводные'!$B$15+'01_Вводные'!$B$311)&gt;60),0,INDEX('19_Расчет_аналитики'!$B$1350:$BI$1350,1,63-('01_Вводные'!$B$15+'01_Вводные'!$B$311)))*'01_Вводные'!$B$298*MAX(0,'01_Вводные'!$B$22-1)</f>
        <v/>
      </c>
      <c r="BM1375">
        <f>IF(OR(64&lt;='01_Вводные'!$B$15,64-'01_Вводные'!$B$15&gt;60),0,INDEX('19_Расчет_аналитики'!$B$1350:$BI$1350,1,64-'01_Вводные'!$B$15))*'01_Вводные'!$B$298*MIN(1,'01_Вводные'!$B$22)+IF(OR(64&lt;=('01_Вводные'!$B$15+'01_Вводные'!$B$311),64-('01_Вводные'!$B$15+'01_Вводные'!$B$311)&gt;60),0,INDEX('19_Расчет_аналитики'!$B$1350:$BI$1350,1,64-('01_Вводные'!$B$15+'01_Вводные'!$B$311)))*'01_Вводные'!$B$298*MAX(0,'01_Вводные'!$B$22-1)</f>
        <v/>
      </c>
      <c r="BN1375">
        <f>IF(OR(65&lt;='01_Вводные'!$B$15,65-'01_Вводные'!$B$15&gt;60),0,INDEX('19_Расчет_аналитики'!$B$1350:$BI$1350,1,65-'01_Вводные'!$B$15))*'01_Вводные'!$B$298*MIN(1,'01_Вводные'!$B$22)+IF(OR(65&lt;=('01_Вводные'!$B$15+'01_Вводные'!$B$311),65-('01_Вводные'!$B$15+'01_Вводные'!$B$311)&gt;60),0,INDEX('19_Расчет_аналитики'!$B$1350:$BI$1350,1,65-('01_Вводные'!$B$15+'01_Вводные'!$B$311)))*'01_Вводные'!$B$298*MAX(0,'01_Вводные'!$B$22-1)</f>
        <v/>
      </c>
      <c r="BO1375">
        <f>IF(OR(66&lt;='01_Вводные'!$B$15,66-'01_Вводные'!$B$15&gt;60),0,INDEX('19_Расчет_аналитики'!$B$1350:$BI$1350,1,66-'01_Вводные'!$B$15))*'01_Вводные'!$B$298*MIN(1,'01_Вводные'!$B$22)+IF(OR(66&lt;=('01_Вводные'!$B$15+'01_Вводные'!$B$311),66-('01_Вводные'!$B$15+'01_Вводные'!$B$311)&gt;60),0,INDEX('19_Расчет_аналитики'!$B$1350:$BI$1350,1,66-('01_Вводные'!$B$15+'01_Вводные'!$B$311)))*'01_Вводные'!$B$298*MAX(0,'01_Вводные'!$B$22-1)</f>
        <v/>
      </c>
    </row>
    <row r="1376">
      <c r="C1376">
        <f>'19_Расчет_аналитики'!C1374*'01_Вводные'!$B$16</f>
        <v/>
      </c>
      <c r="D1376">
        <f>'19_Расчет_аналитики'!D1374*'01_Вводные'!$B$16</f>
        <v/>
      </c>
      <c r="E1376">
        <f>'19_Расчет_аналитики'!E1374*'01_Вводные'!$B$16</f>
        <v/>
      </c>
      <c r="F1376">
        <f>'19_Расчет_аналитики'!F1374*'01_Вводные'!$B$16</f>
        <v/>
      </c>
      <c r="G1376">
        <f>'19_Расчет_аналитики'!G1374*'01_Вводные'!$B$16</f>
        <v/>
      </c>
      <c r="H1376">
        <f>'19_Расчет_аналитики'!H1374*'01_Вводные'!$B$16</f>
        <v/>
      </c>
      <c r="I1376">
        <f>'19_Расчет_аналитики'!I1374*'01_Вводные'!$B$16</f>
        <v/>
      </c>
      <c r="J1376">
        <f>'19_Расчет_аналитики'!J1374*'01_Вводные'!$B$16</f>
        <v/>
      </c>
      <c r="K1376">
        <f>'19_Расчет_аналитики'!K1374*'01_Вводные'!$B$16</f>
        <v/>
      </c>
      <c r="L1376">
        <f>'19_Расчет_аналитики'!L1374*'01_Вводные'!$B$16</f>
        <v/>
      </c>
      <c r="M1376">
        <f>'19_Расчет_аналитики'!M1374*'01_Вводные'!$B$16</f>
        <v/>
      </c>
      <c r="N1376">
        <f>'19_Расчет_аналитики'!N1374*'01_Вводные'!$B$16</f>
        <v/>
      </c>
      <c r="O1376">
        <f>'19_Расчет_аналитики'!O1374*'01_Вводные'!$B$16</f>
        <v/>
      </c>
      <c r="P1376">
        <f>'19_Расчет_аналитики'!P1374*'01_Вводные'!$B$16</f>
        <v/>
      </c>
      <c r="Q1376">
        <f>'19_Расчет_аналитики'!Q1374*'01_Вводные'!$B$16</f>
        <v/>
      </c>
      <c r="R1376">
        <f>'19_Расчет_аналитики'!R1374*'01_Вводные'!$B$16</f>
        <v/>
      </c>
      <c r="S1376">
        <f>'19_Расчет_аналитики'!S1374*'01_Вводные'!$B$16</f>
        <v/>
      </c>
      <c r="T1376">
        <f>'19_Расчет_аналитики'!T1374*'01_Вводные'!$B$16</f>
        <v/>
      </c>
      <c r="U1376">
        <f>'19_Расчет_аналитики'!U1374*'01_Вводные'!$B$16</f>
        <v/>
      </c>
      <c r="V1376">
        <f>'19_Расчет_аналитики'!V1374*'01_Вводные'!$B$16</f>
        <v/>
      </c>
      <c r="W1376">
        <f>'19_Расчет_аналитики'!W1374*'01_Вводные'!$B$16</f>
        <v/>
      </c>
      <c r="X1376">
        <f>'19_Расчет_аналитики'!X1374*'01_Вводные'!$B$16</f>
        <v/>
      </c>
      <c r="Y1376">
        <f>'19_Расчет_аналитики'!Y1374*'01_Вводные'!$B$16</f>
        <v/>
      </c>
      <c r="Z1376">
        <f>'19_Расчет_аналитики'!Z1374*'01_Вводные'!$B$16</f>
        <v/>
      </c>
      <c r="AA1376">
        <f>'19_Расчет_аналитики'!AA1374*'01_Вводные'!$B$16</f>
        <v/>
      </c>
      <c r="AB1376">
        <f>'19_Расчет_аналитики'!AB1374*'01_Вводные'!$B$16</f>
        <v/>
      </c>
      <c r="AC1376">
        <f>'19_Расчет_аналитики'!AC1374*'01_Вводные'!$B$16</f>
        <v/>
      </c>
      <c r="AD1376">
        <f>'19_Расчет_аналитики'!AD1374*'01_Вводные'!$B$16</f>
        <v/>
      </c>
      <c r="AE1376">
        <f>'19_Расчет_аналитики'!AE1374*'01_Вводные'!$B$16</f>
        <v/>
      </c>
      <c r="AF1376">
        <f>'19_Расчет_аналитики'!AF1374*'01_Вводные'!$B$16</f>
        <v/>
      </c>
      <c r="AG1376">
        <f>'19_Расчет_аналитики'!AG1374*'01_Вводные'!$B$16</f>
        <v/>
      </c>
      <c r="AH1376">
        <f>'19_Расчет_аналитики'!AH1374*'01_Вводные'!$B$16</f>
        <v/>
      </c>
      <c r="AI1376">
        <f>'19_Расчет_аналитики'!AI1374*'01_Вводные'!$B$16</f>
        <v/>
      </c>
      <c r="AJ1376">
        <f>'19_Расчет_аналитики'!AJ1374*'01_Вводные'!$B$16</f>
        <v/>
      </c>
      <c r="AK1376">
        <f>'19_Расчет_аналитики'!AK1374*'01_Вводные'!$B$16</f>
        <v/>
      </c>
      <c r="AL1376">
        <f>'19_Расчет_аналитики'!AL1374*'01_Вводные'!$B$16</f>
        <v/>
      </c>
      <c r="AM1376">
        <f>'19_Расчет_аналитики'!AM1374*'01_Вводные'!$B$16</f>
        <v/>
      </c>
      <c r="AN1376">
        <f>'19_Расчет_аналитики'!AN1374*'01_Вводные'!$B$16</f>
        <v/>
      </c>
      <c r="AO1376">
        <f>'19_Расчет_аналитики'!AO1374*'01_Вводные'!$B$16</f>
        <v/>
      </c>
      <c r="AP1376">
        <f>'19_Расчет_аналитики'!AP1374*'01_Вводные'!$B$16</f>
        <v/>
      </c>
      <c r="AQ1376">
        <f>'19_Расчет_аналитики'!AQ1374*'01_Вводные'!$B$16</f>
        <v/>
      </c>
      <c r="AR1376">
        <f>'19_Расчет_аналитики'!AR1374*'01_Вводные'!$B$16</f>
        <v/>
      </c>
      <c r="AS1376">
        <f>'19_Расчет_аналитики'!AS1374*'01_Вводные'!$B$16</f>
        <v/>
      </c>
      <c r="AT1376">
        <f>'19_Расчет_аналитики'!AT1374*'01_Вводные'!$B$16</f>
        <v/>
      </c>
      <c r="AU1376">
        <f>'19_Расчет_аналитики'!AU1374*'01_Вводные'!$B$16</f>
        <v/>
      </c>
      <c r="AV1376">
        <f>'19_Расчет_аналитики'!AV1374*'01_Вводные'!$B$16</f>
        <v/>
      </c>
      <c r="AW1376">
        <f>'19_Расчет_аналитики'!AW1374*'01_Вводные'!$B$16</f>
        <v/>
      </c>
      <c r="AX1376">
        <f>'19_Расчет_аналитики'!AX1374*'01_Вводные'!$B$16</f>
        <v/>
      </c>
      <c r="AY1376">
        <f>'19_Расчет_аналитики'!AY1374*'01_Вводные'!$B$16</f>
        <v/>
      </c>
      <c r="AZ1376">
        <f>'19_Расчет_аналитики'!AZ1374*'01_Вводные'!$B$16</f>
        <v/>
      </c>
      <c r="BA1376">
        <f>'19_Расчет_аналитики'!BA1374*'01_Вводные'!$B$16</f>
        <v/>
      </c>
      <c r="BB1376">
        <f>'19_Расчет_аналитики'!BB1374*'01_Вводные'!$B$16</f>
        <v/>
      </c>
      <c r="BC1376">
        <f>'19_Расчет_аналитики'!BC1374*'01_Вводные'!$B$16</f>
        <v/>
      </c>
      <c r="BD1376">
        <f>'19_Расчет_аналитики'!BD1374*'01_Вводные'!$B$16</f>
        <v/>
      </c>
      <c r="BE1376">
        <f>'19_Расчет_аналитики'!BE1374*'01_Вводные'!$B$16</f>
        <v/>
      </c>
      <c r="BF1376">
        <f>'19_Расчет_аналитики'!BF1374*'01_Вводные'!$B$16</f>
        <v/>
      </c>
      <c r="BG1376">
        <f>'19_Расчет_аналитики'!BG1374*'01_Вводные'!$B$16</f>
        <v/>
      </c>
      <c r="BH1376">
        <f>'19_Расчет_аналитики'!BH1374*'01_Вводные'!$B$16</f>
        <v/>
      </c>
      <c r="BI1376">
        <f>'19_Расчет_аналитики'!BI1374*'01_Вводные'!$B$16</f>
        <v/>
      </c>
    </row>
    <row r="1377">
      <c r="C1377">
        <f>'06_Сеть_и_дети'!B10*'01_Вводные'!$B$14+'19_Расчет_аналитики'!C1376</f>
        <v/>
      </c>
      <c r="D1377">
        <f>'19_Расчет_аналитики'!C1377*'01_Вводные'!$B$14+'19_Расчет_аналитики'!D1376</f>
        <v/>
      </c>
      <c r="E1377">
        <f>'19_Расчет_аналитики'!D1377*'01_Вводные'!$B$14+'19_Расчет_аналитики'!E1376</f>
        <v/>
      </c>
      <c r="F1377">
        <f>'19_Расчет_аналитики'!E1377*'01_Вводные'!$B$14+'19_Расчет_аналитики'!F1376</f>
        <v/>
      </c>
      <c r="G1377">
        <f>'19_Расчет_аналитики'!F1377*'01_Вводные'!$B$14+'19_Расчет_аналитики'!G1376</f>
        <v/>
      </c>
      <c r="H1377">
        <f>'19_Расчет_аналитики'!G1377*'01_Вводные'!$B$14+'19_Расчет_аналитики'!H1376</f>
        <v/>
      </c>
      <c r="I1377">
        <f>'19_Расчет_аналитики'!H1377*'01_Вводные'!$B$14+'19_Расчет_аналитики'!I1376</f>
        <v/>
      </c>
      <c r="J1377">
        <f>'19_Расчет_аналитики'!I1377*'01_Вводные'!$B$14+'19_Расчет_аналитики'!J1376</f>
        <v/>
      </c>
      <c r="K1377">
        <f>'19_Расчет_аналитики'!J1377*'01_Вводные'!$B$14+'19_Расчет_аналитики'!K1376</f>
        <v/>
      </c>
      <c r="L1377">
        <f>'19_Расчет_аналитики'!K1377*'01_Вводные'!$B$14+'19_Расчет_аналитики'!L1376</f>
        <v/>
      </c>
      <c r="M1377">
        <f>'19_Расчет_аналитики'!L1377*'01_Вводные'!$B$14+'19_Расчет_аналитики'!M1376</f>
        <v/>
      </c>
      <c r="N1377">
        <f>'19_Расчет_аналитики'!M1377*'01_Вводные'!$B$14+'19_Расчет_аналитики'!N1376</f>
        <v/>
      </c>
      <c r="O1377">
        <f>'19_Расчет_аналитики'!N1377*'01_Вводные'!$B$14+'19_Расчет_аналитики'!O1376</f>
        <v/>
      </c>
      <c r="P1377">
        <f>'19_Расчет_аналитики'!O1377*'01_Вводные'!$B$14+'19_Расчет_аналитики'!P1376</f>
        <v/>
      </c>
      <c r="Q1377">
        <f>'19_Расчет_аналитики'!P1377*'01_Вводные'!$B$14+'19_Расчет_аналитики'!Q1376</f>
        <v/>
      </c>
      <c r="R1377">
        <f>'19_Расчет_аналитики'!Q1377*'01_Вводные'!$B$14+'19_Расчет_аналитики'!R1376</f>
        <v/>
      </c>
      <c r="S1377">
        <f>'19_Расчет_аналитики'!R1377*'01_Вводные'!$B$14+'19_Расчет_аналитики'!S1376</f>
        <v/>
      </c>
      <c r="T1377">
        <f>'19_Расчет_аналитики'!S1377*'01_Вводные'!$B$14+'19_Расчет_аналитики'!T1376</f>
        <v/>
      </c>
      <c r="U1377">
        <f>'19_Расчет_аналитики'!T1377*'01_Вводные'!$B$14+'19_Расчет_аналитики'!U1376</f>
        <v/>
      </c>
      <c r="V1377">
        <f>'19_Расчет_аналитики'!U1377*'01_Вводные'!$B$14+'19_Расчет_аналитики'!V1376</f>
        <v/>
      </c>
      <c r="W1377">
        <f>'19_Расчет_аналитики'!V1377*'01_Вводные'!$B$14+'19_Расчет_аналитики'!W1376</f>
        <v/>
      </c>
      <c r="X1377">
        <f>'19_Расчет_аналитики'!W1377*'01_Вводные'!$B$14+'19_Расчет_аналитики'!X1376</f>
        <v/>
      </c>
      <c r="Y1377">
        <f>'19_Расчет_аналитики'!X1377*'01_Вводные'!$B$14+'19_Расчет_аналитики'!Y1376</f>
        <v/>
      </c>
      <c r="Z1377">
        <f>'19_Расчет_аналитики'!Y1377*'01_Вводные'!$B$14+'19_Расчет_аналитики'!Z1376</f>
        <v/>
      </c>
      <c r="AA1377">
        <f>'19_Расчет_аналитики'!Z1377*'01_Вводные'!$B$14+'19_Расчет_аналитики'!AA1376</f>
        <v/>
      </c>
      <c r="AB1377">
        <f>'19_Расчет_аналитики'!AA1377*'01_Вводные'!$B$14+'19_Расчет_аналитики'!AB1376</f>
        <v/>
      </c>
      <c r="AC1377">
        <f>'19_Расчет_аналитики'!AB1377*'01_Вводные'!$B$14+'19_Расчет_аналитики'!AC1376</f>
        <v/>
      </c>
      <c r="AD1377">
        <f>'19_Расчет_аналитики'!AC1377*'01_Вводные'!$B$14+'19_Расчет_аналитики'!AD1376</f>
        <v/>
      </c>
      <c r="AE1377">
        <f>'19_Расчет_аналитики'!AD1377*'01_Вводные'!$B$14+'19_Расчет_аналитики'!AE1376</f>
        <v/>
      </c>
      <c r="AF1377">
        <f>'19_Расчет_аналитики'!AE1377*'01_Вводные'!$B$14+'19_Расчет_аналитики'!AF1376</f>
        <v/>
      </c>
      <c r="AG1377">
        <f>'19_Расчет_аналитики'!AF1377*'01_Вводные'!$B$14+'19_Расчет_аналитики'!AG1376</f>
        <v/>
      </c>
      <c r="AH1377">
        <f>'19_Расчет_аналитики'!AG1377*'01_Вводные'!$B$14+'19_Расчет_аналитики'!AH1376</f>
        <v/>
      </c>
      <c r="AI1377">
        <f>'19_Расчет_аналитики'!AH1377*'01_Вводные'!$B$14+'19_Расчет_аналитики'!AI1376</f>
        <v/>
      </c>
      <c r="AJ1377">
        <f>'19_Расчет_аналитики'!AI1377*'01_Вводные'!$B$14+'19_Расчет_аналитики'!AJ1376</f>
        <v/>
      </c>
      <c r="AK1377">
        <f>'19_Расчет_аналитики'!AJ1377*'01_Вводные'!$B$14+'19_Расчет_аналитики'!AK1376</f>
        <v/>
      </c>
      <c r="AL1377">
        <f>'19_Расчет_аналитики'!AK1377*'01_Вводные'!$B$14+'19_Расчет_аналитики'!AL1376</f>
        <v/>
      </c>
      <c r="AM1377">
        <f>'19_Расчет_аналитики'!AL1377*'01_Вводные'!$B$14+'19_Расчет_аналитики'!AM1376</f>
        <v/>
      </c>
      <c r="AN1377">
        <f>'19_Расчет_аналитики'!AM1377*'01_Вводные'!$B$14+'19_Расчет_аналитики'!AN1376</f>
        <v/>
      </c>
      <c r="AO1377">
        <f>'19_Расчет_аналитики'!AN1377*'01_Вводные'!$B$14+'19_Расчет_аналитики'!AO1376</f>
        <v/>
      </c>
      <c r="AP1377">
        <f>'19_Расчет_аналитики'!AO1377*'01_Вводные'!$B$14+'19_Расчет_аналитики'!AP1376</f>
        <v/>
      </c>
      <c r="AQ1377">
        <f>'19_Расчет_аналитики'!AP1377*'01_Вводные'!$B$14+'19_Расчет_аналитики'!AQ1376</f>
        <v/>
      </c>
      <c r="AR1377">
        <f>'19_Расчет_аналитики'!AQ1377*'01_Вводные'!$B$14+'19_Расчет_аналитики'!AR1376</f>
        <v/>
      </c>
      <c r="AS1377">
        <f>'19_Расчет_аналитики'!AR1377*'01_Вводные'!$B$14+'19_Расчет_аналитики'!AS1376</f>
        <v/>
      </c>
      <c r="AT1377">
        <f>'19_Расчет_аналитики'!AS1377*'01_Вводные'!$B$14+'19_Расчет_аналитики'!AT1376</f>
        <v/>
      </c>
      <c r="AU1377">
        <f>'19_Расчет_аналитики'!AT1377*'01_Вводные'!$B$14+'19_Расчет_аналитики'!AU1376</f>
        <v/>
      </c>
      <c r="AV1377">
        <f>'19_Расчет_аналитики'!AU1377*'01_Вводные'!$B$14+'19_Расчет_аналитики'!AV1376</f>
        <v/>
      </c>
      <c r="AW1377">
        <f>'19_Расчет_аналитики'!AV1377*'01_Вводные'!$B$14+'19_Расчет_аналитики'!AW1376</f>
        <v/>
      </c>
      <c r="AX1377">
        <f>'19_Расчет_аналитики'!AW1377*'01_Вводные'!$B$14+'19_Расчет_аналитики'!AX1376</f>
        <v/>
      </c>
      <c r="AY1377">
        <f>'19_Расчет_аналитики'!AX1377*'01_Вводные'!$B$14+'19_Расчет_аналитики'!AY1376</f>
        <v/>
      </c>
      <c r="AZ1377">
        <f>'19_Расчет_аналитики'!AY1377*'01_Вводные'!$B$14+'19_Расчет_аналитики'!AZ1376</f>
        <v/>
      </c>
      <c r="BA1377">
        <f>'19_Расчет_аналитики'!AZ1377*'01_Вводные'!$B$14+'19_Расчет_аналитики'!BA1376</f>
        <v/>
      </c>
      <c r="BB1377">
        <f>'19_Расчет_аналитики'!BA1377*'01_Вводные'!$B$14+'19_Расчет_аналитики'!BB1376</f>
        <v/>
      </c>
      <c r="BC1377">
        <f>'19_Расчет_аналитики'!BB1377*'01_Вводные'!$B$14+'19_Расчет_аналитики'!BC1376</f>
        <v/>
      </c>
      <c r="BD1377">
        <f>'19_Расчет_аналитики'!BC1377*'01_Вводные'!$B$14+'19_Расчет_аналитики'!BD1376</f>
        <v/>
      </c>
      <c r="BE1377">
        <f>'19_Расчет_аналитики'!BD1377*'01_Вводные'!$B$14+'19_Расчет_аналитики'!BE1376</f>
        <v/>
      </c>
      <c r="BF1377">
        <f>'19_Расчет_аналитики'!BE1377*'01_Вводные'!$B$14+'19_Расчет_аналитики'!BF1376</f>
        <v/>
      </c>
      <c r="BG1377">
        <f>'19_Расчет_аналитики'!BF1377*'01_Вводные'!$B$14+'19_Расчет_аналитики'!BG1376</f>
        <v/>
      </c>
      <c r="BH1377">
        <f>'19_Расчет_аналитики'!BG1377*'01_Вводные'!$B$14+'19_Расчет_аналитики'!BH1376</f>
        <v/>
      </c>
      <c r="BI1377">
        <f>'19_Расчет_аналитики'!BH1377*'01_Вводные'!$B$14+'19_Расчет_аналитики'!BI1376</f>
        <v/>
      </c>
      <c r="BJ1377">
        <f>'19_Расчет_аналитики'!BI1377*'01_Вводные'!$B$14+'06_Сеть_и_дети'!BJ9</f>
        <v/>
      </c>
      <c r="BK1377">
        <f>'19_Расчет_аналитики'!BJ1377*'01_Вводные'!$B$14+'06_Сеть_и_дети'!BK9</f>
        <v/>
      </c>
      <c r="BL1377">
        <f>'19_Расчет_аналитики'!BK1377*'01_Вводные'!$B$14+'06_Сеть_и_дети'!BL9</f>
        <v/>
      </c>
      <c r="BM1377">
        <f>'19_Расчет_аналитики'!BL1377*'01_Вводные'!$B$14+'06_Сеть_и_дети'!BM9</f>
        <v/>
      </c>
      <c r="BN1377">
        <f>'19_Расчет_аналитики'!BM1377*'01_Вводные'!$B$14+'06_Сеть_и_дети'!BN9</f>
        <v/>
      </c>
      <c r="BO1377">
        <f>'19_Расчет_аналитики'!BN1377*'01_Вводные'!$B$14+'06_Сеть_и_дети'!BO9</f>
        <v/>
      </c>
    </row>
    <row r="1378"/>
    <row r="1379"/>
    <row r="1380">
      <c r="B1380">
        <f>SUM('19_Расчет_аналитики'!B1420:B1431)</f>
        <v/>
      </c>
      <c r="C1380">
        <f>SUM('19_Расчет_аналитики'!C1420:C1431)</f>
        <v/>
      </c>
      <c r="D1380">
        <f>SUM('19_Расчет_аналитики'!D1420:D1431)</f>
        <v/>
      </c>
      <c r="E1380">
        <f>SUM('19_Расчет_аналитики'!E1420:E1431)</f>
        <v/>
      </c>
      <c r="F1380">
        <f>SUM('19_Расчет_аналитики'!F1420:F1431)</f>
        <v/>
      </c>
      <c r="G1380">
        <f>SUM('19_Расчет_аналитики'!G1420:G1431)</f>
        <v/>
      </c>
      <c r="H1380">
        <f>SUM('19_Расчет_аналитики'!H1420:H1431)</f>
        <v/>
      </c>
      <c r="I1380">
        <f>SUM('19_Расчет_аналитики'!I1420:I1431)</f>
        <v/>
      </c>
      <c r="J1380">
        <f>SUM('19_Расчет_аналитики'!J1420:J1431)</f>
        <v/>
      </c>
      <c r="K1380">
        <f>SUM('19_Расчет_аналитики'!K1420:K1431)</f>
        <v/>
      </c>
      <c r="L1380">
        <f>SUM('19_Расчет_аналитики'!L1420:L1431)</f>
        <v/>
      </c>
      <c r="M1380">
        <f>SUM('19_Расчет_аналитики'!M1420:M1431)</f>
        <v/>
      </c>
      <c r="N1380">
        <f>SUM('19_Расчет_аналитики'!N1420:N1431)</f>
        <v/>
      </c>
      <c r="O1380">
        <f>SUM('19_Расчет_аналитики'!O1420:O1431)</f>
        <v/>
      </c>
      <c r="P1380">
        <f>SUM('19_Расчет_аналитики'!P1420:P1431)</f>
        <v/>
      </c>
      <c r="Q1380">
        <f>SUM('19_Расчет_аналитики'!Q1420:Q1431)</f>
        <v/>
      </c>
      <c r="R1380">
        <f>SUM('19_Расчет_аналитики'!R1420:R1431)</f>
        <v/>
      </c>
      <c r="S1380">
        <f>SUM('19_Расчет_аналитики'!S1420:S1431)</f>
        <v/>
      </c>
      <c r="T1380">
        <f>SUM('19_Расчет_аналитики'!T1420:T1431)</f>
        <v/>
      </c>
      <c r="U1380">
        <f>SUM('19_Расчет_аналитики'!U1420:U1431)</f>
        <v/>
      </c>
      <c r="V1380">
        <f>SUM('19_Расчет_аналитики'!V1420:V1431)</f>
        <v/>
      </c>
      <c r="W1380">
        <f>SUM('19_Расчет_аналитики'!W1420:W1431)</f>
        <v/>
      </c>
      <c r="X1380">
        <f>SUM('19_Расчет_аналитики'!X1420:X1431)</f>
        <v/>
      </c>
      <c r="Y1380">
        <f>SUM('19_Расчет_аналитики'!Y1420:Y1431)</f>
        <v/>
      </c>
      <c r="Z1380">
        <f>SUM('19_Расчет_аналитики'!Z1420:Z1431)</f>
        <v/>
      </c>
      <c r="AA1380">
        <f>SUM('19_Расчет_аналитики'!AA1420:AA1431)</f>
        <v/>
      </c>
      <c r="AB1380">
        <f>SUM('19_Расчет_аналитики'!AB1420:AB1431)</f>
        <v/>
      </c>
      <c r="AC1380">
        <f>SUM('19_Расчет_аналитики'!AC1420:AC1431)</f>
        <v/>
      </c>
      <c r="AD1380">
        <f>SUM('19_Расчет_аналитики'!AD1420:AD1431)</f>
        <v/>
      </c>
      <c r="AE1380">
        <f>SUM('19_Расчет_аналитики'!AE1420:AE1431)</f>
        <v/>
      </c>
      <c r="AF1380">
        <f>SUM('19_Расчет_аналитики'!AF1420:AF1431)</f>
        <v/>
      </c>
      <c r="AG1380">
        <f>SUM('19_Расчет_аналитики'!AG1420:AG1431)</f>
        <v/>
      </c>
      <c r="AH1380">
        <f>SUM('19_Расчет_аналитики'!AH1420:AH1431)</f>
        <v/>
      </c>
      <c r="AI1380">
        <f>SUM('19_Расчет_аналитики'!AI1420:AI1431)</f>
        <v/>
      </c>
      <c r="AJ1380">
        <f>SUM('19_Расчет_аналитики'!AJ1420:AJ1431)</f>
        <v/>
      </c>
      <c r="AK1380">
        <f>SUM('19_Расчет_аналитики'!AK1420:AK1431)</f>
        <v/>
      </c>
      <c r="AL1380">
        <f>SUM('19_Расчет_аналитики'!AL1420:AL1431)</f>
        <v/>
      </c>
      <c r="AM1380">
        <f>SUM('19_Расчет_аналитики'!AM1420:AM1431)</f>
        <v/>
      </c>
      <c r="AN1380">
        <f>SUM('19_Расчет_аналитики'!AN1420:AN1431)</f>
        <v/>
      </c>
      <c r="AO1380">
        <f>SUM('19_Расчет_аналитики'!AO1420:AO1431)</f>
        <v/>
      </c>
      <c r="AP1380">
        <f>SUM('19_Расчет_аналитики'!AP1420:AP1431)</f>
        <v/>
      </c>
      <c r="AQ1380">
        <f>SUM('19_Расчет_аналитики'!AQ1420:AQ1431)</f>
        <v/>
      </c>
      <c r="AR1380">
        <f>SUM('19_Расчет_аналитики'!AR1420:AR1431)</f>
        <v/>
      </c>
      <c r="AS1380">
        <f>SUM('19_Расчет_аналитики'!AS1420:AS1431)</f>
        <v/>
      </c>
      <c r="AT1380">
        <f>SUM('19_Расчет_аналитики'!AT1420:AT1431)</f>
        <v/>
      </c>
      <c r="AU1380">
        <f>SUM('19_Расчет_аналитики'!AU1420:AU1431)</f>
        <v/>
      </c>
      <c r="AV1380">
        <f>SUM('19_Расчет_аналитики'!AV1420:AV1431)</f>
        <v/>
      </c>
      <c r="AW1380">
        <f>SUM('19_Расчет_аналитики'!AW1420:AW1431)</f>
        <v/>
      </c>
      <c r="AX1380">
        <f>SUM('19_Расчет_аналитики'!AX1420:AX1431)</f>
        <v/>
      </c>
      <c r="AY1380">
        <f>SUM('19_Расчет_аналитики'!AY1420:AY1431)</f>
        <v/>
      </c>
      <c r="AZ1380">
        <f>SUM('19_Расчет_аналитики'!AZ1420:AZ1431)</f>
        <v/>
      </c>
      <c r="BA1380">
        <f>SUM('19_Расчет_аналитики'!BA1420:BA1431)</f>
        <v/>
      </c>
      <c r="BB1380">
        <f>SUM('19_Расчет_аналитики'!BB1420:BB1431)</f>
        <v/>
      </c>
      <c r="BC1380">
        <f>SUM('19_Расчет_аналитики'!BC1420:BC1431)</f>
        <v/>
      </c>
      <c r="BD1380">
        <f>SUM('19_Расчет_аналитики'!BD1420:BD1431)</f>
        <v/>
      </c>
      <c r="BE1380">
        <f>SUM('19_Расчет_аналитики'!BE1420:BE1431)</f>
        <v/>
      </c>
      <c r="BF1380">
        <f>SUM('19_Расчет_аналитики'!BF1420:BF1431)</f>
        <v/>
      </c>
      <c r="BG1380">
        <f>SUM('19_Расчет_аналитики'!BG1420:BG1431)</f>
        <v/>
      </c>
      <c r="BH1380">
        <f>SUM('19_Расчет_аналитики'!BH1420:BH1431)</f>
        <v/>
      </c>
      <c r="BI1380">
        <f>SUM('19_Расчет_аналитики'!BI1420:BI1431)</f>
        <v/>
      </c>
      <c r="BJ1380">
        <f>SUM('19_Расчет_аналитики'!BJ1420:BJ1431)</f>
        <v/>
      </c>
      <c r="BK1380">
        <f>SUM('19_Расчет_аналитики'!BK1420:BK1431)</f>
        <v/>
      </c>
      <c r="BL1380">
        <f>SUM('19_Расчет_аналитики'!BL1420:BL1431)</f>
        <v/>
      </c>
      <c r="BM1380">
        <f>SUM('19_Расчет_аналитики'!BM1420:BM1431)</f>
        <v/>
      </c>
      <c r="BN1380">
        <f>SUM('19_Расчет_аналитики'!BN1420:BN1431)</f>
        <v/>
      </c>
      <c r="BO1380">
        <f>SUM('19_Расчет_аналитики'!BO1420:BO1431)</f>
        <v/>
      </c>
    </row>
    <row r="1381">
      <c r="B1381">
        <f>'06_Сеть_и_дети'!B14</f>
        <v/>
      </c>
      <c r="C1381">
        <f>'06_Сеть_и_дети'!C14</f>
        <v/>
      </c>
      <c r="D1381">
        <f>'06_Сеть_и_дети'!D14</f>
        <v/>
      </c>
      <c r="E1381">
        <f>'06_Сеть_и_дети'!E14</f>
        <v/>
      </c>
      <c r="F1381">
        <f>'06_Сеть_и_дети'!F14</f>
        <v/>
      </c>
      <c r="G1381">
        <f>'06_Сеть_и_дети'!G14</f>
        <v/>
      </c>
      <c r="H1381">
        <f>'06_Сеть_и_дети'!H14</f>
        <v/>
      </c>
      <c r="I1381">
        <f>'06_Сеть_и_дети'!I14</f>
        <v/>
      </c>
      <c r="J1381">
        <f>'06_Сеть_и_дети'!J14</f>
        <v/>
      </c>
      <c r="K1381">
        <f>'06_Сеть_и_дети'!K14</f>
        <v/>
      </c>
      <c r="L1381">
        <f>'06_Сеть_и_дети'!L14</f>
        <v/>
      </c>
      <c r="M1381">
        <f>'06_Сеть_и_дети'!M14</f>
        <v/>
      </c>
      <c r="N1381">
        <f>SUM('19_Расчет_аналитики'!N1432:N1443)</f>
        <v/>
      </c>
      <c r="O1381">
        <f>SUM('19_Расчет_аналитики'!O1432:O1443)</f>
        <v/>
      </c>
      <c r="P1381">
        <f>SUM('19_Расчет_аналитики'!P1432:P1443)</f>
        <v/>
      </c>
      <c r="Q1381">
        <f>SUM('19_Расчет_аналитики'!Q1432:Q1443)</f>
        <v/>
      </c>
      <c r="R1381">
        <f>SUM('19_Расчет_аналитики'!R1432:R1443)</f>
        <v/>
      </c>
      <c r="S1381">
        <f>SUM('19_Расчет_аналитики'!S1432:S1443)</f>
        <v/>
      </c>
      <c r="T1381">
        <f>SUM('19_Расчет_аналитики'!T1432:T1443)</f>
        <v/>
      </c>
      <c r="U1381">
        <f>SUM('19_Расчет_аналитики'!U1432:U1443)</f>
        <v/>
      </c>
      <c r="V1381">
        <f>SUM('19_Расчет_аналитики'!V1432:V1443)</f>
        <v/>
      </c>
      <c r="W1381">
        <f>SUM('19_Расчет_аналитики'!W1432:W1443)</f>
        <v/>
      </c>
      <c r="X1381">
        <f>SUM('19_Расчет_аналитики'!X1432:X1443)</f>
        <v/>
      </c>
      <c r="Y1381">
        <f>SUM('19_Расчет_аналитики'!Y1432:Y1443)</f>
        <v/>
      </c>
      <c r="Z1381">
        <f>SUM('19_Расчет_аналитики'!Z1432:Z1443)</f>
        <v/>
      </c>
      <c r="AA1381">
        <f>SUM('19_Расчет_аналитики'!AA1432:AA1443)</f>
        <v/>
      </c>
      <c r="AB1381">
        <f>SUM('19_Расчет_аналитики'!AB1432:AB1443)</f>
        <v/>
      </c>
      <c r="AC1381">
        <f>SUM('19_Расчет_аналитики'!AC1432:AC1443)</f>
        <v/>
      </c>
      <c r="AD1381">
        <f>SUM('19_Расчет_аналитики'!AD1432:AD1443)</f>
        <v/>
      </c>
      <c r="AE1381">
        <f>SUM('19_Расчет_аналитики'!AE1432:AE1443)</f>
        <v/>
      </c>
      <c r="AF1381">
        <f>SUM('19_Расчет_аналитики'!AF1432:AF1443)</f>
        <v/>
      </c>
      <c r="AG1381">
        <f>SUM('19_Расчет_аналитики'!AG1432:AG1443)</f>
        <v/>
      </c>
      <c r="AH1381">
        <f>SUM('19_Расчет_аналитики'!AH1432:AH1443)</f>
        <v/>
      </c>
      <c r="AI1381">
        <f>SUM('19_Расчет_аналитики'!AI1432:AI1443)</f>
        <v/>
      </c>
      <c r="AJ1381">
        <f>SUM('19_Расчет_аналитики'!AJ1432:AJ1443)</f>
        <v/>
      </c>
      <c r="AK1381">
        <f>SUM('19_Расчет_аналитики'!AK1432:AK1443)</f>
        <v/>
      </c>
      <c r="AL1381">
        <f>SUM('19_Расчет_аналитики'!AL1432:AL1443)</f>
        <v/>
      </c>
      <c r="AM1381">
        <f>SUM('19_Расчет_аналитики'!AM1432:AM1443)</f>
        <v/>
      </c>
      <c r="AN1381">
        <f>SUM('19_Расчет_аналитики'!AN1432:AN1443)</f>
        <v/>
      </c>
      <c r="AO1381">
        <f>SUM('19_Расчет_аналитики'!AO1432:AO1443)</f>
        <v/>
      </c>
      <c r="AP1381">
        <f>SUM('19_Расчет_аналитики'!AP1432:AP1443)</f>
        <v/>
      </c>
      <c r="AQ1381">
        <f>SUM('19_Расчет_аналитики'!AQ1432:AQ1443)</f>
        <v/>
      </c>
      <c r="AR1381">
        <f>SUM('19_Расчет_аналитики'!AR1432:AR1443)</f>
        <v/>
      </c>
      <c r="AS1381">
        <f>SUM('19_Расчет_аналитики'!AS1432:AS1443)</f>
        <v/>
      </c>
      <c r="AT1381">
        <f>SUM('19_Расчет_аналитики'!AT1432:AT1443)</f>
        <v/>
      </c>
      <c r="AU1381">
        <f>SUM('19_Расчет_аналитики'!AU1432:AU1443)</f>
        <v/>
      </c>
      <c r="AV1381">
        <f>SUM('19_Расчет_аналитики'!AV1432:AV1443)</f>
        <v/>
      </c>
      <c r="AW1381">
        <f>SUM('19_Расчет_аналитики'!AW1432:AW1443)</f>
        <v/>
      </c>
      <c r="AX1381">
        <f>SUM('19_Расчет_аналитики'!AX1432:AX1443)</f>
        <v/>
      </c>
      <c r="AY1381">
        <f>SUM('19_Расчет_аналитики'!AY1432:AY1443)</f>
        <v/>
      </c>
      <c r="AZ1381">
        <f>SUM('19_Расчет_аналитики'!AZ1432:AZ1443)</f>
        <v/>
      </c>
      <c r="BA1381">
        <f>SUM('19_Расчет_аналитики'!BA1432:BA1443)</f>
        <v/>
      </c>
      <c r="BB1381">
        <f>SUM('19_Расчет_аналитики'!BB1432:BB1443)</f>
        <v/>
      </c>
      <c r="BC1381">
        <f>SUM('19_Расчет_аналитики'!BC1432:BC1443)</f>
        <v/>
      </c>
      <c r="BD1381">
        <f>SUM('19_Расчет_аналитики'!BD1432:BD1443)</f>
        <v/>
      </c>
      <c r="BE1381">
        <f>SUM('19_Расчет_аналитики'!BE1432:BE1443)</f>
        <v/>
      </c>
      <c r="BF1381">
        <f>SUM('19_Расчет_аналитики'!BF1432:BF1443)</f>
        <v/>
      </c>
      <c r="BG1381">
        <f>SUM('19_Расчет_аналитики'!BG1432:BG1443)</f>
        <v/>
      </c>
      <c r="BH1381">
        <f>SUM('19_Расчет_аналитики'!BH1432:BH1443)</f>
        <v/>
      </c>
      <c r="BI1381">
        <f>SUM('19_Расчет_аналитики'!BI1432:BI1443)</f>
        <v/>
      </c>
      <c r="BJ1381">
        <f>SUM('19_Расчет_аналитики'!BJ1432:BJ1443)</f>
        <v/>
      </c>
      <c r="BK1381">
        <f>SUM('19_Расчет_аналитики'!BK1432:BK1443)</f>
        <v/>
      </c>
      <c r="BL1381">
        <f>SUM('19_Расчет_аналитики'!BL1432:BL1443)</f>
        <v/>
      </c>
      <c r="BM1381">
        <f>SUM('19_Расчет_аналитики'!BM1432:BM1443)</f>
        <v/>
      </c>
      <c r="BN1381">
        <f>SUM('19_Расчет_аналитики'!BN1432:BN1443)</f>
        <v/>
      </c>
      <c r="BO1381">
        <f>SUM('19_Расчет_аналитики'!BO1432:BO1443)</f>
        <v/>
      </c>
    </row>
    <row r="1382">
      <c r="B1382">
        <f>'06_Сеть_и_дети'!B15</f>
        <v/>
      </c>
      <c r="C1382">
        <f>'06_Сеть_и_дети'!C15</f>
        <v/>
      </c>
      <c r="D1382">
        <f>'06_Сеть_и_дети'!D15</f>
        <v/>
      </c>
      <c r="E1382">
        <f>'06_Сеть_и_дети'!E15</f>
        <v/>
      </c>
      <c r="F1382">
        <f>'06_Сеть_и_дети'!F15</f>
        <v/>
      </c>
      <c r="G1382">
        <f>'06_Сеть_и_дети'!G15</f>
        <v/>
      </c>
      <c r="H1382">
        <f>'06_Сеть_и_дети'!H15</f>
        <v/>
      </c>
      <c r="I1382">
        <f>'06_Сеть_и_дети'!I15</f>
        <v/>
      </c>
      <c r="J1382">
        <f>'06_Сеть_и_дети'!J15</f>
        <v/>
      </c>
      <c r="K1382">
        <f>'06_Сеть_и_дети'!K15</f>
        <v/>
      </c>
      <c r="L1382">
        <f>'06_Сеть_и_дети'!L15</f>
        <v/>
      </c>
      <c r="M1382">
        <f>'06_Сеть_и_дети'!M15</f>
        <v/>
      </c>
      <c r="N1382">
        <f>'06_Сеть_и_дети'!N15</f>
        <v/>
      </c>
      <c r="O1382">
        <f>'06_Сеть_и_дети'!O15</f>
        <v/>
      </c>
      <c r="P1382">
        <f>'06_Сеть_и_дети'!P15</f>
        <v/>
      </c>
      <c r="Q1382">
        <f>'06_Сеть_и_дети'!Q15</f>
        <v/>
      </c>
      <c r="R1382">
        <f>'06_Сеть_и_дети'!R15</f>
        <v/>
      </c>
      <c r="S1382">
        <f>'06_Сеть_и_дети'!S15</f>
        <v/>
      </c>
      <c r="T1382">
        <f>'06_Сеть_и_дети'!T15</f>
        <v/>
      </c>
      <c r="U1382">
        <f>'06_Сеть_и_дети'!U15</f>
        <v/>
      </c>
      <c r="V1382">
        <f>'06_Сеть_и_дети'!V15</f>
        <v/>
      </c>
      <c r="W1382">
        <f>'06_Сеть_и_дети'!W15</f>
        <v/>
      </c>
      <c r="X1382">
        <f>'06_Сеть_и_дети'!X15</f>
        <v/>
      </c>
      <c r="Y1382">
        <f>'06_Сеть_и_дети'!Y15</f>
        <v/>
      </c>
      <c r="Z1382">
        <f>'19_Расчет_аналитики'!Z1444</f>
        <v/>
      </c>
      <c r="AA1382">
        <f>'19_Расчет_аналитики'!AA1444</f>
        <v/>
      </c>
      <c r="AB1382">
        <f>'19_Расчет_аналитики'!AB1444</f>
        <v/>
      </c>
      <c r="AC1382">
        <f>'19_Расчет_аналитики'!AC1444</f>
        <v/>
      </c>
      <c r="AD1382">
        <f>'19_Расчет_аналитики'!AD1444</f>
        <v/>
      </c>
      <c r="AE1382">
        <f>'19_Расчет_аналитики'!AE1444</f>
        <v/>
      </c>
      <c r="AF1382">
        <f>'19_Расчет_аналитики'!AF1444</f>
        <v/>
      </c>
      <c r="AG1382">
        <f>'19_Расчет_аналитики'!AG1444</f>
        <v/>
      </c>
      <c r="AH1382">
        <f>'19_Расчет_аналитики'!AH1444</f>
        <v/>
      </c>
      <c r="AI1382">
        <f>'19_Расчет_аналитики'!AI1444</f>
        <v/>
      </c>
      <c r="AJ1382">
        <f>'19_Расчет_аналитики'!AJ1444</f>
        <v/>
      </c>
      <c r="AK1382">
        <f>'19_Расчет_аналитики'!AK1444</f>
        <v/>
      </c>
      <c r="AL1382">
        <f>'19_Расчет_аналитики'!AL1444</f>
        <v/>
      </c>
      <c r="AM1382">
        <f>'19_Расчет_аналитики'!AM1444</f>
        <v/>
      </c>
      <c r="AN1382">
        <f>'19_Расчет_аналитики'!AN1444</f>
        <v/>
      </c>
      <c r="AO1382">
        <f>'19_Расчет_аналитики'!AO1444</f>
        <v/>
      </c>
      <c r="AP1382">
        <f>'19_Расчет_аналитики'!AP1444</f>
        <v/>
      </c>
      <c r="AQ1382">
        <f>'19_Расчет_аналитики'!AQ1444</f>
        <v/>
      </c>
      <c r="AR1382">
        <f>'19_Расчет_аналитики'!AR1444</f>
        <v/>
      </c>
      <c r="AS1382">
        <f>'19_Расчет_аналитики'!AS1444</f>
        <v/>
      </c>
      <c r="AT1382">
        <f>'19_Расчет_аналитики'!AT1444</f>
        <v/>
      </c>
      <c r="AU1382">
        <f>'19_Расчет_аналитики'!AU1444</f>
        <v/>
      </c>
      <c r="AV1382">
        <f>'19_Расчет_аналитики'!AV1444</f>
        <v/>
      </c>
      <c r="AW1382">
        <f>'19_Расчет_аналитики'!AW1444</f>
        <v/>
      </c>
      <c r="AX1382">
        <f>'19_Расчет_аналитики'!AX1444</f>
        <v/>
      </c>
      <c r="AY1382">
        <f>'19_Расчет_аналитики'!AY1444</f>
        <v/>
      </c>
      <c r="AZ1382">
        <f>'19_Расчет_аналитики'!AZ1444</f>
        <v/>
      </c>
      <c r="BA1382">
        <f>'19_Расчет_аналитики'!BA1444</f>
        <v/>
      </c>
      <c r="BB1382">
        <f>'19_Расчет_аналитики'!BB1444</f>
        <v/>
      </c>
      <c r="BC1382">
        <f>'19_Расчет_аналитики'!BC1444</f>
        <v/>
      </c>
      <c r="BD1382">
        <f>'19_Расчет_аналитики'!BD1444</f>
        <v/>
      </c>
      <c r="BE1382">
        <f>'19_Расчет_аналитики'!BE1444</f>
        <v/>
      </c>
      <c r="BF1382">
        <f>'19_Расчет_аналитики'!BF1444</f>
        <v/>
      </c>
      <c r="BG1382">
        <f>'19_Расчет_аналитики'!BG1444</f>
        <v/>
      </c>
      <c r="BH1382">
        <f>'19_Расчет_аналитики'!BH1444</f>
        <v/>
      </c>
      <c r="BI1382">
        <f>'19_Расчет_аналитики'!BI1444</f>
        <v/>
      </c>
      <c r="BJ1382">
        <f>'19_Расчет_аналитики'!BJ1444</f>
        <v/>
      </c>
      <c r="BK1382">
        <f>'19_Расчет_аналитики'!BK1444</f>
        <v/>
      </c>
      <c r="BL1382">
        <f>'19_Расчет_аналитики'!BL1444</f>
        <v/>
      </c>
      <c r="BM1382">
        <f>'19_Расчет_аналитики'!BM1444</f>
        <v/>
      </c>
      <c r="BN1382">
        <f>'19_Расчет_аналитики'!BN1444</f>
        <v/>
      </c>
      <c r="BO1382">
        <f>'19_Расчет_аналитики'!BO1444</f>
        <v/>
      </c>
    </row>
    <row r="1383">
      <c r="B1383">
        <f>SUM('19_Расчет_аналитики'!B1380:B1382)</f>
        <v/>
      </c>
      <c r="C1383">
        <f>SUM('19_Расчет_аналитики'!C1380:C1382)</f>
        <v/>
      </c>
      <c r="D1383">
        <f>SUM('19_Расчет_аналитики'!D1380:D1382)</f>
        <v/>
      </c>
      <c r="E1383">
        <f>SUM('19_Расчет_аналитики'!E1380:E1382)</f>
        <v/>
      </c>
      <c r="F1383">
        <f>SUM('19_Расчет_аналитики'!F1380:F1382)</f>
        <v/>
      </c>
      <c r="G1383">
        <f>SUM('19_Расчет_аналитики'!G1380:G1382)</f>
        <v/>
      </c>
      <c r="H1383">
        <f>SUM('19_Расчет_аналитики'!H1380:H1382)</f>
        <v/>
      </c>
      <c r="I1383">
        <f>SUM('19_Расчет_аналитики'!I1380:I1382)</f>
        <v/>
      </c>
      <c r="J1383">
        <f>SUM('19_Расчет_аналитики'!J1380:J1382)</f>
        <v/>
      </c>
      <c r="K1383">
        <f>SUM('19_Расчет_аналитики'!K1380:K1382)</f>
        <v/>
      </c>
      <c r="L1383">
        <f>SUM('19_Расчет_аналитики'!L1380:L1382)</f>
        <v/>
      </c>
      <c r="M1383">
        <f>SUM('19_Расчет_аналитики'!M1380:M1382)</f>
        <v/>
      </c>
      <c r="N1383">
        <f>SUM('19_Расчет_аналитики'!N1380:N1382)</f>
        <v/>
      </c>
      <c r="O1383">
        <f>SUM('19_Расчет_аналитики'!O1380:O1382)</f>
        <v/>
      </c>
      <c r="P1383">
        <f>SUM('19_Расчет_аналитики'!P1380:P1382)</f>
        <v/>
      </c>
      <c r="Q1383">
        <f>SUM('19_Расчет_аналитики'!Q1380:Q1382)</f>
        <v/>
      </c>
      <c r="R1383">
        <f>SUM('19_Расчет_аналитики'!R1380:R1382)</f>
        <v/>
      </c>
      <c r="S1383">
        <f>SUM('19_Расчет_аналитики'!S1380:S1382)</f>
        <v/>
      </c>
      <c r="T1383">
        <f>SUM('19_Расчет_аналитики'!T1380:T1382)</f>
        <v/>
      </c>
      <c r="U1383">
        <f>SUM('19_Расчет_аналитики'!U1380:U1382)</f>
        <v/>
      </c>
      <c r="V1383">
        <f>SUM('19_Расчет_аналитики'!V1380:V1382)</f>
        <v/>
      </c>
      <c r="W1383">
        <f>SUM('19_Расчет_аналитики'!W1380:W1382)</f>
        <v/>
      </c>
      <c r="X1383">
        <f>SUM('19_Расчет_аналитики'!X1380:X1382)</f>
        <v/>
      </c>
      <c r="Y1383">
        <f>SUM('19_Расчет_аналитики'!Y1380:Y1382)</f>
        <v/>
      </c>
      <c r="Z1383">
        <f>SUM('19_Расчет_аналитики'!Z1380:Z1382)</f>
        <v/>
      </c>
      <c r="AA1383">
        <f>SUM('19_Расчет_аналитики'!AA1380:AA1382)</f>
        <v/>
      </c>
      <c r="AB1383">
        <f>SUM('19_Расчет_аналитики'!AB1380:AB1382)</f>
        <v/>
      </c>
      <c r="AC1383">
        <f>SUM('19_Расчет_аналитики'!AC1380:AC1382)</f>
        <v/>
      </c>
      <c r="AD1383">
        <f>SUM('19_Расчет_аналитики'!AD1380:AD1382)</f>
        <v/>
      </c>
      <c r="AE1383">
        <f>SUM('19_Расчет_аналитики'!AE1380:AE1382)</f>
        <v/>
      </c>
      <c r="AF1383">
        <f>SUM('19_Расчет_аналитики'!AF1380:AF1382)</f>
        <v/>
      </c>
      <c r="AG1383">
        <f>SUM('19_Расчет_аналитики'!AG1380:AG1382)</f>
        <v/>
      </c>
      <c r="AH1383">
        <f>SUM('19_Расчет_аналитики'!AH1380:AH1382)</f>
        <v/>
      </c>
      <c r="AI1383">
        <f>SUM('19_Расчет_аналитики'!AI1380:AI1382)</f>
        <v/>
      </c>
      <c r="AJ1383">
        <f>SUM('19_Расчет_аналитики'!AJ1380:AJ1382)</f>
        <v/>
      </c>
      <c r="AK1383">
        <f>SUM('19_Расчет_аналитики'!AK1380:AK1382)</f>
        <v/>
      </c>
      <c r="AL1383">
        <f>SUM('19_Расчет_аналитики'!AL1380:AL1382)</f>
        <v/>
      </c>
      <c r="AM1383">
        <f>SUM('19_Расчет_аналитики'!AM1380:AM1382)</f>
        <v/>
      </c>
      <c r="AN1383">
        <f>SUM('19_Расчет_аналитики'!AN1380:AN1382)</f>
        <v/>
      </c>
      <c r="AO1383">
        <f>SUM('19_Расчет_аналитики'!AO1380:AO1382)</f>
        <v/>
      </c>
      <c r="AP1383">
        <f>SUM('19_Расчет_аналитики'!AP1380:AP1382)</f>
        <v/>
      </c>
      <c r="AQ1383">
        <f>SUM('19_Расчет_аналитики'!AQ1380:AQ1382)</f>
        <v/>
      </c>
      <c r="AR1383">
        <f>SUM('19_Расчет_аналитики'!AR1380:AR1382)</f>
        <v/>
      </c>
      <c r="AS1383">
        <f>SUM('19_Расчет_аналитики'!AS1380:AS1382)</f>
        <v/>
      </c>
      <c r="AT1383">
        <f>SUM('19_Расчет_аналитики'!AT1380:AT1382)</f>
        <v/>
      </c>
      <c r="AU1383">
        <f>SUM('19_Расчет_аналитики'!AU1380:AU1382)</f>
        <v/>
      </c>
      <c r="AV1383">
        <f>SUM('19_Расчет_аналитики'!AV1380:AV1382)</f>
        <v/>
      </c>
      <c r="AW1383">
        <f>SUM('19_Расчет_аналитики'!AW1380:AW1382)</f>
        <v/>
      </c>
      <c r="AX1383">
        <f>SUM('19_Расчет_аналитики'!AX1380:AX1382)</f>
        <v/>
      </c>
      <c r="AY1383">
        <f>SUM('19_Расчет_аналитики'!AY1380:AY1382)</f>
        <v/>
      </c>
      <c r="AZ1383">
        <f>SUM('19_Расчет_аналитики'!AZ1380:AZ1382)</f>
        <v/>
      </c>
      <c r="BA1383">
        <f>SUM('19_Расчет_аналитики'!BA1380:BA1382)</f>
        <v/>
      </c>
      <c r="BB1383">
        <f>SUM('19_Расчет_аналитики'!BB1380:BB1382)</f>
        <v/>
      </c>
      <c r="BC1383">
        <f>SUM('19_Расчет_аналитики'!BC1380:BC1382)</f>
        <v/>
      </c>
      <c r="BD1383">
        <f>SUM('19_Расчет_аналитики'!BD1380:BD1382)</f>
        <v/>
      </c>
      <c r="BE1383">
        <f>SUM('19_Расчет_аналитики'!BE1380:BE1382)</f>
        <v/>
      </c>
      <c r="BF1383">
        <f>SUM('19_Расчет_аналитики'!BF1380:BF1382)</f>
        <v/>
      </c>
      <c r="BG1383">
        <f>SUM('19_Расчет_аналитики'!BG1380:BG1382)</f>
        <v/>
      </c>
      <c r="BH1383">
        <f>SUM('19_Расчет_аналитики'!BH1380:BH1382)</f>
        <v/>
      </c>
      <c r="BI1383">
        <f>SUM('19_Расчет_аналитики'!BI1380:BI1382)</f>
        <v/>
      </c>
      <c r="BJ1383">
        <f>SUM('19_Расчет_аналитики'!BJ1380:BJ1382)</f>
        <v/>
      </c>
      <c r="BK1383">
        <f>SUM('19_Расчет_аналитики'!BK1380:BK1382)</f>
        <v/>
      </c>
      <c r="BL1383">
        <f>SUM('19_Расчет_аналитики'!BL1380:BL1382)</f>
        <v/>
      </c>
      <c r="BM1383">
        <f>SUM('19_Расчет_аналитики'!BM1380:BM1382)</f>
        <v/>
      </c>
      <c r="BN1383">
        <f>SUM('19_Расчет_аналитики'!BN1380:BN1382)</f>
        <v/>
      </c>
      <c r="BO1383">
        <f>SUM('19_Расчет_аналитики'!BO1380:BO1382)</f>
        <v/>
      </c>
    </row>
    <row r="1384">
      <c r="B1384">
        <f>'06_Сеть_и_дети'!B11+'19_Расчет_аналитики'!B1383</f>
        <v/>
      </c>
      <c r="C1384">
        <f>'06_Сеть_и_дети'!C11+'19_Расчет_аналитики'!C1383</f>
        <v/>
      </c>
      <c r="D1384">
        <f>'06_Сеть_и_дети'!D11+'19_Расчет_аналитики'!D1383</f>
        <v/>
      </c>
      <c r="E1384">
        <f>'06_Сеть_и_дети'!E11+'19_Расчет_аналитики'!E1383</f>
        <v/>
      </c>
      <c r="F1384">
        <f>'06_Сеть_и_дети'!F11+'19_Расчет_аналитики'!F1383</f>
        <v/>
      </c>
      <c r="G1384">
        <f>'06_Сеть_и_дети'!G11+'19_Расчет_аналитики'!G1383</f>
        <v/>
      </c>
      <c r="H1384">
        <f>'06_Сеть_и_дети'!H11+'19_Расчет_аналитики'!H1383</f>
        <v/>
      </c>
      <c r="I1384">
        <f>'06_Сеть_и_дети'!I11+'19_Расчет_аналитики'!I1383</f>
        <v/>
      </c>
      <c r="J1384">
        <f>'06_Сеть_и_дети'!J11+'19_Расчет_аналитики'!J1383</f>
        <v/>
      </c>
      <c r="K1384">
        <f>'06_Сеть_и_дети'!K11+'19_Расчет_аналитики'!K1383</f>
        <v/>
      </c>
      <c r="L1384">
        <f>'06_Сеть_и_дети'!L11+'19_Расчет_аналитики'!L1383</f>
        <v/>
      </c>
      <c r="M1384">
        <f>'06_Сеть_и_дети'!M11+'19_Расчет_аналитики'!M1383</f>
        <v/>
      </c>
      <c r="N1384">
        <f>'06_Сеть_и_дети'!N11+'19_Расчет_аналитики'!N1383</f>
        <v/>
      </c>
      <c r="O1384">
        <f>'06_Сеть_и_дети'!O11+'19_Расчет_аналитики'!O1383</f>
        <v/>
      </c>
      <c r="P1384">
        <f>'06_Сеть_и_дети'!P11+'19_Расчет_аналитики'!P1383</f>
        <v/>
      </c>
      <c r="Q1384">
        <f>'06_Сеть_и_дети'!Q11+'19_Расчет_аналитики'!Q1383</f>
        <v/>
      </c>
      <c r="R1384">
        <f>'06_Сеть_и_дети'!R11+'19_Расчет_аналитики'!R1383</f>
        <v/>
      </c>
      <c r="S1384">
        <f>'06_Сеть_и_дети'!S11+'19_Расчет_аналитики'!S1383</f>
        <v/>
      </c>
      <c r="T1384">
        <f>'06_Сеть_и_дети'!T11+'19_Расчет_аналитики'!T1383</f>
        <v/>
      </c>
      <c r="U1384">
        <f>'06_Сеть_и_дети'!U11+'19_Расчет_аналитики'!U1383</f>
        <v/>
      </c>
      <c r="V1384">
        <f>'06_Сеть_и_дети'!V11+'19_Расчет_аналитики'!V1383</f>
        <v/>
      </c>
      <c r="W1384">
        <f>'06_Сеть_и_дети'!W11+'19_Расчет_аналитики'!W1383</f>
        <v/>
      </c>
      <c r="X1384">
        <f>'06_Сеть_и_дети'!X11+'19_Расчет_аналитики'!X1383</f>
        <v/>
      </c>
      <c r="Y1384">
        <f>'06_Сеть_и_дети'!Y11+'19_Расчет_аналитики'!Y1383</f>
        <v/>
      </c>
      <c r="Z1384">
        <f>'06_Сеть_и_дети'!Z11+'19_Расчет_аналитики'!Z1383</f>
        <v/>
      </c>
      <c r="AA1384">
        <f>'06_Сеть_и_дети'!AA11+'19_Расчет_аналитики'!AA1383</f>
        <v/>
      </c>
      <c r="AB1384">
        <f>'06_Сеть_и_дети'!AB11+'19_Расчет_аналитики'!AB1383</f>
        <v/>
      </c>
      <c r="AC1384">
        <f>'06_Сеть_и_дети'!AC11+'19_Расчет_аналитики'!AC1383</f>
        <v/>
      </c>
      <c r="AD1384">
        <f>'06_Сеть_и_дети'!AD11+'19_Расчет_аналитики'!AD1383</f>
        <v/>
      </c>
      <c r="AE1384">
        <f>'06_Сеть_и_дети'!AE11+'19_Расчет_аналитики'!AE1383</f>
        <v/>
      </c>
      <c r="AF1384">
        <f>'06_Сеть_и_дети'!AF11+'19_Расчет_аналитики'!AF1383</f>
        <v/>
      </c>
      <c r="AG1384">
        <f>'06_Сеть_и_дети'!AG11+'19_Расчет_аналитики'!AG1383</f>
        <v/>
      </c>
      <c r="AH1384">
        <f>'06_Сеть_и_дети'!AH11+'19_Расчет_аналитики'!AH1383</f>
        <v/>
      </c>
      <c r="AI1384">
        <f>'06_Сеть_и_дети'!AI11+'19_Расчет_аналитики'!AI1383</f>
        <v/>
      </c>
      <c r="AJ1384">
        <f>'06_Сеть_и_дети'!AJ11+'19_Расчет_аналитики'!AJ1383</f>
        <v/>
      </c>
      <c r="AK1384">
        <f>'06_Сеть_и_дети'!AK11+'19_Расчет_аналитики'!AK1383</f>
        <v/>
      </c>
      <c r="AL1384">
        <f>'06_Сеть_и_дети'!AL11+'19_Расчет_аналитики'!AL1383</f>
        <v/>
      </c>
      <c r="AM1384">
        <f>'06_Сеть_и_дети'!AM11+'19_Расчет_аналитики'!AM1383</f>
        <v/>
      </c>
      <c r="AN1384">
        <f>'06_Сеть_и_дети'!AN11+'19_Расчет_аналитики'!AN1383</f>
        <v/>
      </c>
      <c r="AO1384">
        <f>'06_Сеть_и_дети'!AO11+'19_Расчет_аналитики'!AO1383</f>
        <v/>
      </c>
      <c r="AP1384">
        <f>'06_Сеть_и_дети'!AP11+'19_Расчет_аналитики'!AP1383</f>
        <v/>
      </c>
      <c r="AQ1384">
        <f>'06_Сеть_и_дети'!AQ11+'19_Расчет_аналитики'!AQ1383</f>
        <v/>
      </c>
      <c r="AR1384">
        <f>'06_Сеть_и_дети'!AR11+'19_Расчет_аналитики'!AR1383</f>
        <v/>
      </c>
      <c r="AS1384">
        <f>'06_Сеть_и_дети'!AS11+'19_Расчет_аналитики'!AS1383</f>
        <v/>
      </c>
      <c r="AT1384">
        <f>'06_Сеть_и_дети'!AT11+'19_Расчет_аналитики'!AT1383</f>
        <v/>
      </c>
      <c r="AU1384">
        <f>'06_Сеть_и_дети'!AU11+'19_Расчет_аналитики'!AU1383</f>
        <v/>
      </c>
      <c r="AV1384">
        <f>'06_Сеть_и_дети'!AV11+'19_Расчет_аналитики'!AV1383</f>
        <v/>
      </c>
      <c r="AW1384">
        <f>'06_Сеть_и_дети'!AW11+'19_Расчет_аналитики'!AW1383</f>
        <v/>
      </c>
      <c r="AX1384">
        <f>'06_Сеть_и_дети'!AX11+'19_Расчет_аналитики'!AX1383</f>
        <v/>
      </c>
      <c r="AY1384">
        <f>'06_Сеть_и_дети'!AY11+'19_Расчет_аналитики'!AY1383</f>
        <v/>
      </c>
      <c r="AZ1384">
        <f>'06_Сеть_и_дети'!AZ11+'19_Расчет_аналитики'!AZ1383</f>
        <v/>
      </c>
      <c r="BA1384">
        <f>'06_Сеть_и_дети'!BA11+'19_Расчет_аналитики'!BA1383</f>
        <v/>
      </c>
      <c r="BB1384">
        <f>'06_Сеть_и_дети'!BB11+'19_Расчет_аналитики'!BB1383</f>
        <v/>
      </c>
      <c r="BC1384">
        <f>'06_Сеть_и_дети'!BC11+'19_Расчет_аналитики'!BC1383</f>
        <v/>
      </c>
      <c r="BD1384">
        <f>'06_Сеть_и_дети'!BD11+'19_Расчет_аналитики'!BD1383</f>
        <v/>
      </c>
      <c r="BE1384">
        <f>'06_Сеть_и_дети'!BE11+'19_Расчет_аналитики'!BE1383</f>
        <v/>
      </c>
      <c r="BF1384">
        <f>'06_Сеть_и_дети'!BF11+'19_Расчет_аналитики'!BF1383</f>
        <v/>
      </c>
      <c r="BG1384">
        <f>'06_Сеть_и_дети'!BG11+'19_Расчет_аналитики'!BG1383</f>
        <v/>
      </c>
      <c r="BH1384">
        <f>'06_Сеть_и_дети'!BH11+'19_Расчет_аналитики'!BH1383</f>
        <v/>
      </c>
      <c r="BI1384">
        <f>'06_Сеть_и_дети'!BI11+'19_Расчет_аналитики'!BI1383</f>
        <v/>
      </c>
      <c r="BJ1384">
        <f>'06_Сеть_и_дети'!BJ11+'19_Расчет_аналитики'!BJ1383</f>
        <v/>
      </c>
      <c r="BK1384">
        <f>'06_Сеть_и_дети'!BK11+'19_Расчет_аналитики'!BK1383</f>
        <v/>
      </c>
      <c r="BL1384">
        <f>'06_Сеть_и_дети'!BL11+'19_Расчет_аналитики'!BL1383</f>
        <v/>
      </c>
      <c r="BM1384">
        <f>'06_Сеть_и_дети'!BM11+'19_Расчет_аналитики'!BM1383</f>
        <v/>
      </c>
      <c r="BN1384">
        <f>'06_Сеть_и_дети'!BN11+'19_Расчет_аналитики'!BN1383</f>
        <v/>
      </c>
      <c r="BO1384">
        <f>'06_Сеть_и_дети'!BO11+'19_Расчет_аналитики'!BO1383</f>
        <v/>
      </c>
    </row>
    <row r="1385"/>
    <row r="1386"/>
    <row r="1387"/>
    <row r="1388">
      <c r="B1388">
        <f>SUMPRODUCT('19_Расчет_аналитики'!B1420:B1431,CapacityYear1)*'19_Расчет_аналитики'!$F$1223*'06_Сеть_и_дети'!B5</f>
        <v/>
      </c>
      <c r="C1388">
        <f>SUMPRODUCT('19_Расчет_аналитики'!C1420:C1431,CapacityYear1)*'19_Расчет_аналитики'!$F$1223*'06_Сеть_и_дети'!C5</f>
        <v/>
      </c>
      <c r="D1388">
        <f>SUMPRODUCT('19_Расчет_аналитики'!D1420:D1431,CapacityYear1)*'19_Расчет_аналитики'!$F$1223*'06_Сеть_и_дети'!D5</f>
        <v/>
      </c>
      <c r="E1388">
        <f>SUMPRODUCT('19_Расчет_аналитики'!E1420:E1431,CapacityYear1)*'19_Расчет_аналитики'!$F$1223*'06_Сеть_и_дети'!E5</f>
        <v/>
      </c>
      <c r="F1388">
        <f>SUMPRODUCT('19_Расчет_аналитики'!F1420:F1431,CapacityYear1)*'19_Расчет_аналитики'!$F$1223*'06_Сеть_и_дети'!F5</f>
        <v/>
      </c>
      <c r="G1388">
        <f>SUMPRODUCT('19_Расчет_аналитики'!G1420:G1431,CapacityYear1)*'19_Расчет_аналитики'!$F$1223*'06_Сеть_и_дети'!G5</f>
        <v/>
      </c>
      <c r="H1388">
        <f>SUMPRODUCT('19_Расчет_аналитики'!H1420:H1431,CapacityYear1)*'19_Расчет_аналитики'!$F$1223*'06_Сеть_и_дети'!H5</f>
        <v/>
      </c>
      <c r="I1388">
        <f>SUMPRODUCT('19_Расчет_аналитики'!I1420:I1431,CapacityYear1)*'19_Расчет_аналитики'!$F$1223*'06_Сеть_и_дети'!I5</f>
        <v/>
      </c>
      <c r="J1388">
        <f>SUMPRODUCT('19_Расчет_аналитики'!J1420:J1431,CapacityYear1)*'19_Расчет_аналитики'!$F$1223*'06_Сеть_и_дети'!J5</f>
        <v/>
      </c>
      <c r="K1388">
        <f>SUMPRODUCT('19_Расчет_аналитики'!K1420:K1431,CapacityYear1)*'19_Расчет_аналитики'!$F$1223*'06_Сеть_и_дети'!K5</f>
        <v/>
      </c>
      <c r="L1388">
        <f>SUMPRODUCT('19_Расчет_аналитики'!L1420:L1431,CapacityYear1)*'19_Расчет_аналитики'!$F$1223*'06_Сеть_и_дети'!L5</f>
        <v/>
      </c>
      <c r="M1388">
        <f>SUMPRODUCT('19_Расчет_аналитики'!M1420:M1431,CapacityYear1)*'19_Расчет_аналитики'!$F$1223*'06_Сеть_и_дети'!M5</f>
        <v/>
      </c>
      <c r="N1388">
        <f>SUMPRODUCT('19_Расчет_аналитики'!N1420:N1431,CapacityYear1)*'19_Расчет_аналитики'!$F$1223*'06_Сеть_и_дети'!N5</f>
        <v/>
      </c>
      <c r="O1388">
        <f>SUMPRODUCT('19_Расчет_аналитики'!O1420:O1431,CapacityYear1)*'19_Расчет_аналитики'!$F$1223*'06_Сеть_и_дети'!O5</f>
        <v/>
      </c>
      <c r="P1388">
        <f>SUMPRODUCT('19_Расчет_аналитики'!P1420:P1431,CapacityYear1)*'19_Расчет_аналитики'!$F$1223*'06_Сеть_и_дети'!P5</f>
        <v/>
      </c>
      <c r="Q1388">
        <f>SUMPRODUCT('19_Расчет_аналитики'!Q1420:Q1431,CapacityYear1)*'19_Расчет_аналитики'!$F$1223*'06_Сеть_и_дети'!Q5</f>
        <v/>
      </c>
      <c r="R1388">
        <f>SUMPRODUCT('19_Расчет_аналитики'!R1420:R1431,CapacityYear1)*'19_Расчет_аналитики'!$F$1223*'06_Сеть_и_дети'!R5</f>
        <v/>
      </c>
      <c r="S1388">
        <f>SUMPRODUCT('19_Расчет_аналитики'!S1420:S1431,CapacityYear1)*'19_Расчет_аналитики'!$F$1223*'06_Сеть_и_дети'!S5</f>
        <v/>
      </c>
      <c r="T1388">
        <f>SUMPRODUCT('19_Расчет_аналитики'!T1420:T1431,CapacityYear1)*'19_Расчет_аналитики'!$F$1223*'06_Сеть_и_дети'!T5</f>
        <v/>
      </c>
      <c r="U1388">
        <f>SUMPRODUCT('19_Расчет_аналитики'!U1420:U1431,CapacityYear1)*'19_Расчет_аналитики'!$F$1223*'06_Сеть_и_дети'!U5</f>
        <v/>
      </c>
      <c r="V1388">
        <f>SUMPRODUCT('19_Расчет_аналитики'!V1420:V1431,CapacityYear1)*'19_Расчет_аналитики'!$F$1223*'06_Сеть_и_дети'!V5</f>
        <v/>
      </c>
      <c r="W1388">
        <f>SUMPRODUCT('19_Расчет_аналитики'!W1420:W1431,CapacityYear1)*'19_Расчет_аналитики'!$F$1223*'06_Сеть_и_дети'!W5</f>
        <v/>
      </c>
      <c r="X1388">
        <f>SUMPRODUCT('19_Расчет_аналитики'!X1420:X1431,CapacityYear1)*'19_Расчет_аналитики'!$F$1223*'06_Сеть_и_дети'!X5</f>
        <v/>
      </c>
      <c r="Y1388">
        <f>SUMPRODUCT('19_Расчет_аналитики'!Y1420:Y1431,CapacityYear1)*'19_Расчет_аналитики'!$F$1223*'06_Сеть_и_дети'!Y5</f>
        <v/>
      </c>
      <c r="Z1388">
        <f>SUMPRODUCT('19_Расчет_аналитики'!Z1420:Z1431,CapacityYear1)*'19_Расчет_аналитики'!$F$1223*'06_Сеть_и_дети'!Z5</f>
        <v/>
      </c>
      <c r="AA1388">
        <f>SUMPRODUCT('19_Расчет_аналитики'!AA1420:AA1431,CapacityYear1)*'19_Расчет_аналитики'!$F$1223*'06_Сеть_и_дети'!AA5</f>
        <v/>
      </c>
      <c r="AB1388">
        <f>SUMPRODUCT('19_Расчет_аналитики'!AB1420:AB1431,CapacityYear1)*'19_Расчет_аналитики'!$F$1223*'06_Сеть_и_дети'!AB5</f>
        <v/>
      </c>
      <c r="AC1388">
        <f>SUMPRODUCT('19_Расчет_аналитики'!AC1420:AC1431,CapacityYear1)*'19_Расчет_аналитики'!$F$1223*'06_Сеть_и_дети'!AC5</f>
        <v/>
      </c>
      <c r="AD1388">
        <f>SUMPRODUCT('19_Расчет_аналитики'!AD1420:AD1431,CapacityYear1)*'19_Расчет_аналитики'!$F$1223*'06_Сеть_и_дети'!AD5</f>
        <v/>
      </c>
      <c r="AE1388">
        <f>SUMPRODUCT('19_Расчет_аналитики'!AE1420:AE1431,CapacityYear1)*'19_Расчет_аналитики'!$F$1223*'06_Сеть_и_дети'!AE5</f>
        <v/>
      </c>
      <c r="AF1388">
        <f>SUMPRODUCT('19_Расчет_аналитики'!AF1420:AF1431,CapacityYear1)*'19_Расчет_аналитики'!$F$1223*'06_Сеть_и_дети'!AF5</f>
        <v/>
      </c>
      <c r="AG1388">
        <f>SUMPRODUCT('19_Расчет_аналитики'!AG1420:AG1431,CapacityYear1)*'19_Расчет_аналитики'!$F$1223*'06_Сеть_и_дети'!AG5</f>
        <v/>
      </c>
      <c r="AH1388">
        <f>SUMPRODUCT('19_Расчет_аналитики'!AH1420:AH1431,CapacityYear1)*'19_Расчет_аналитики'!$F$1223*'06_Сеть_и_дети'!AH5</f>
        <v/>
      </c>
      <c r="AI1388">
        <f>SUMPRODUCT('19_Расчет_аналитики'!AI1420:AI1431,CapacityYear1)*'19_Расчет_аналитики'!$F$1223*'06_Сеть_и_дети'!AI5</f>
        <v/>
      </c>
      <c r="AJ1388">
        <f>SUMPRODUCT('19_Расчет_аналитики'!AJ1420:AJ1431,CapacityYear1)*'19_Расчет_аналитики'!$F$1223*'06_Сеть_и_дети'!AJ5</f>
        <v/>
      </c>
      <c r="AK1388">
        <f>SUMPRODUCT('19_Расчет_аналитики'!AK1420:AK1431,CapacityYear1)*'19_Расчет_аналитики'!$F$1223*'06_Сеть_и_дети'!AK5</f>
        <v/>
      </c>
      <c r="AL1388">
        <f>SUMPRODUCT('19_Расчет_аналитики'!AL1420:AL1431,CapacityYear1)*'19_Расчет_аналитики'!$F$1223*'06_Сеть_и_дети'!AL5</f>
        <v/>
      </c>
      <c r="AM1388">
        <f>SUMPRODUCT('19_Расчет_аналитики'!AM1420:AM1431,CapacityYear1)*'19_Расчет_аналитики'!$F$1223*'06_Сеть_и_дети'!AM5</f>
        <v/>
      </c>
      <c r="AN1388">
        <f>SUMPRODUCT('19_Расчет_аналитики'!AN1420:AN1431,CapacityYear1)*'19_Расчет_аналитики'!$F$1223*'06_Сеть_и_дети'!AN5</f>
        <v/>
      </c>
      <c r="AO1388">
        <f>SUMPRODUCT('19_Расчет_аналитики'!AO1420:AO1431,CapacityYear1)*'19_Расчет_аналитики'!$F$1223*'06_Сеть_и_дети'!AO5</f>
        <v/>
      </c>
      <c r="AP1388">
        <f>SUMPRODUCT('19_Расчет_аналитики'!AP1420:AP1431,CapacityYear1)*'19_Расчет_аналитики'!$F$1223*'06_Сеть_и_дети'!AP5</f>
        <v/>
      </c>
      <c r="AQ1388">
        <f>SUMPRODUCT('19_Расчет_аналитики'!AQ1420:AQ1431,CapacityYear1)*'19_Расчет_аналитики'!$F$1223*'06_Сеть_и_дети'!AQ5</f>
        <v/>
      </c>
      <c r="AR1388">
        <f>SUMPRODUCT('19_Расчет_аналитики'!AR1420:AR1431,CapacityYear1)*'19_Расчет_аналитики'!$F$1223*'06_Сеть_и_дети'!AR5</f>
        <v/>
      </c>
      <c r="AS1388">
        <f>SUMPRODUCT('19_Расчет_аналитики'!AS1420:AS1431,CapacityYear1)*'19_Расчет_аналитики'!$F$1223*'06_Сеть_и_дети'!AS5</f>
        <v/>
      </c>
      <c r="AT1388">
        <f>SUMPRODUCT('19_Расчет_аналитики'!AT1420:AT1431,CapacityYear1)*'19_Расчет_аналитики'!$F$1223*'06_Сеть_и_дети'!AT5</f>
        <v/>
      </c>
      <c r="AU1388">
        <f>SUMPRODUCT('19_Расчет_аналитики'!AU1420:AU1431,CapacityYear1)*'19_Расчет_аналитики'!$F$1223*'06_Сеть_и_дети'!AU5</f>
        <v/>
      </c>
      <c r="AV1388">
        <f>SUMPRODUCT('19_Расчет_аналитики'!AV1420:AV1431,CapacityYear1)*'19_Расчет_аналитики'!$F$1223*'06_Сеть_и_дети'!AV5</f>
        <v/>
      </c>
      <c r="AW1388">
        <f>SUMPRODUCT('19_Расчет_аналитики'!AW1420:AW1431,CapacityYear1)*'19_Расчет_аналитики'!$F$1223*'06_Сеть_и_дети'!AW5</f>
        <v/>
      </c>
      <c r="AX1388">
        <f>SUMPRODUCT('19_Расчет_аналитики'!AX1420:AX1431,CapacityYear1)*'19_Расчет_аналитики'!$F$1223*'06_Сеть_и_дети'!AX5</f>
        <v/>
      </c>
      <c r="AY1388">
        <f>SUMPRODUCT('19_Расчет_аналитики'!AY1420:AY1431,CapacityYear1)*'19_Расчет_аналитики'!$F$1223*'06_Сеть_и_дети'!AY5</f>
        <v/>
      </c>
      <c r="AZ1388">
        <f>SUMPRODUCT('19_Расчет_аналитики'!AZ1420:AZ1431,CapacityYear1)*'19_Расчет_аналитики'!$F$1223*'06_Сеть_и_дети'!AZ5</f>
        <v/>
      </c>
      <c r="BA1388">
        <f>SUMPRODUCT('19_Расчет_аналитики'!BA1420:BA1431,CapacityYear1)*'19_Расчет_аналитики'!$F$1223*'06_Сеть_и_дети'!BA5</f>
        <v/>
      </c>
      <c r="BB1388">
        <f>SUMPRODUCT('19_Расчет_аналитики'!BB1420:BB1431,CapacityYear1)*'19_Расчет_аналитики'!$F$1223*'06_Сеть_и_дети'!BB5</f>
        <v/>
      </c>
      <c r="BC1388">
        <f>SUMPRODUCT('19_Расчет_аналитики'!BC1420:BC1431,CapacityYear1)*'19_Расчет_аналитики'!$F$1223*'06_Сеть_и_дети'!BC5</f>
        <v/>
      </c>
      <c r="BD1388">
        <f>SUMPRODUCT('19_Расчет_аналитики'!BD1420:BD1431,CapacityYear1)*'19_Расчет_аналитики'!$F$1223*'06_Сеть_и_дети'!BD5</f>
        <v/>
      </c>
      <c r="BE1388">
        <f>SUMPRODUCT('19_Расчет_аналитики'!BE1420:BE1431,CapacityYear1)*'19_Расчет_аналитики'!$F$1223*'06_Сеть_и_дети'!BE5</f>
        <v/>
      </c>
      <c r="BF1388">
        <f>SUMPRODUCT('19_Расчет_аналитики'!BF1420:BF1431,CapacityYear1)*'19_Расчет_аналитики'!$F$1223*'06_Сеть_и_дети'!BF5</f>
        <v/>
      </c>
      <c r="BG1388">
        <f>SUMPRODUCT('19_Расчет_аналитики'!BG1420:BG1431,CapacityYear1)*'19_Расчет_аналитики'!$F$1223*'06_Сеть_и_дети'!BG5</f>
        <v/>
      </c>
      <c r="BH1388">
        <f>SUMPRODUCT('19_Расчет_аналитики'!BH1420:BH1431,CapacityYear1)*'19_Расчет_аналитики'!$F$1223*'06_Сеть_и_дети'!BH5</f>
        <v/>
      </c>
      <c r="BI1388">
        <f>SUMPRODUCT('19_Расчет_аналитики'!BI1420:BI1431,CapacityYear1)*'19_Расчет_аналитики'!$F$1223*'06_Сеть_и_дети'!BI5</f>
        <v/>
      </c>
      <c r="BJ1388">
        <f>SUMPRODUCT('19_Расчет_аналитики'!BJ1420:BJ1431,CapacityYear1)*'19_Расчет_аналитики'!$F$1223*'06_Сеть_и_дети'!BJ5</f>
        <v/>
      </c>
      <c r="BK1388">
        <f>SUMPRODUCT('19_Расчет_аналитики'!BK1420:BK1431,CapacityYear1)*'19_Расчет_аналитики'!$F$1223*'06_Сеть_и_дети'!BK5</f>
        <v/>
      </c>
      <c r="BL1388">
        <f>SUMPRODUCT('19_Расчет_аналитики'!BL1420:BL1431,CapacityYear1)*'19_Расчет_аналитики'!$F$1223*'06_Сеть_и_дети'!BL5</f>
        <v/>
      </c>
      <c r="BM1388">
        <f>SUMPRODUCT('19_Расчет_аналитики'!BM1420:BM1431,CapacityYear1)*'19_Расчет_аналитики'!$F$1223*'06_Сеть_и_дети'!BM5</f>
        <v/>
      </c>
      <c r="BN1388">
        <f>SUMPRODUCT('19_Расчет_аналитики'!BN1420:BN1431,CapacityYear1)*'19_Расчет_аналитики'!$F$1223*'06_Сеть_и_дети'!BN5</f>
        <v/>
      </c>
      <c r="BO1388">
        <f>SUMPRODUCT('19_Расчет_аналитики'!BO1420:BO1431,CapacityYear1)*'19_Расчет_аналитики'!$F$1223*'06_Сеть_и_дети'!BO5</f>
        <v/>
      </c>
    </row>
    <row r="1389">
      <c r="B1389">
        <f>SUMPRODUCT('06_Сеть_и_дети'!B65:B76,CapacityYear2)*'19_Расчет_аналитики'!$F$1223*'06_Сеть_и_дети'!B5</f>
        <v/>
      </c>
      <c r="C1389">
        <f>SUMPRODUCT('06_Сеть_и_дети'!C65:C76,CapacityYear2)*'19_Расчет_аналитики'!$F$1223*'06_Сеть_и_дети'!C5</f>
        <v/>
      </c>
      <c r="D1389">
        <f>SUMPRODUCT('06_Сеть_и_дети'!D65:D76,CapacityYear2)*'19_Расчет_аналитики'!$F$1223*'06_Сеть_и_дети'!D5</f>
        <v/>
      </c>
      <c r="E1389">
        <f>SUMPRODUCT('06_Сеть_и_дети'!E65:E76,CapacityYear2)*'19_Расчет_аналитики'!$F$1223*'06_Сеть_и_дети'!E5</f>
        <v/>
      </c>
      <c r="F1389">
        <f>SUMPRODUCT('06_Сеть_и_дети'!F65:F76,CapacityYear2)*'19_Расчет_аналитики'!$F$1223*'06_Сеть_и_дети'!F5</f>
        <v/>
      </c>
      <c r="G1389">
        <f>SUMPRODUCT('06_Сеть_и_дети'!G65:G76,CapacityYear2)*'19_Расчет_аналитики'!$F$1223*'06_Сеть_и_дети'!G5</f>
        <v/>
      </c>
      <c r="H1389">
        <f>SUMPRODUCT('06_Сеть_и_дети'!H65:H76,CapacityYear2)*'19_Расчет_аналитики'!$F$1223*'06_Сеть_и_дети'!H5</f>
        <v/>
      </c>
      <c r="I1389">
        <f>SUMPRODUCT('06_Сеть_и_дети'!I65:I76,CapacityYear2)*'19_Расчет_аналитики'!$F$1223*'06_Сеть_и_дети'!I5</f>
        <v/>
      </c>
      <c r="J1389">
        <f>SUMPRODUCT('06_Сеть_и_дети'!J65:J76,CapacityYear2)*'19_Расчет_аналитики'!$F$1223*'06_Сеть_и_дети'!J5</f>
        <v/>
      </c>
      <c r="K1389">
        <f>SUMPRODUCT('06_Сеть_и_дети'!K65:K76,CapacityYear2)*'19_Расчет_аналитики'!$F$1223*'06_Сеть_и_дети'!K5</f>
        <v/>
      </c>
      <c r="L1389">
        <f>SUMPRODUCT('06_Сеть_и_дети'!L65:L76,CapacityYear2)*'19_Расчет_аналитики'!$F$1223*'06_Сеть_и_дети'!L5</f>
        <v/>
      </c>
      <c r="M1389">
        <f>SUMPRODUCT('06_Сеть_и_дети'!M65:M76,CapacityYear2)*'19_Расчет_аналитики'!$F$1223*'06_Сеть_и_дети'!M5</f>
        <v/>
      </c>
      <c r="N1389">
        <f>SUMPRODUCT('19_Расчет_аналитики'!N1432:N1443,CapacityYear2)*'19_Расчет_аналитики'!$F$1223*'06_Сеть_и_дети'!N5</f>
        <v/>
      </c>
      <c r="O1389">
        <f>SUMPRODUCT('19_Расчет_аналитики'!O1432:O1443,CapacityYear2)*'19_Расчет_аналитики'!$F$1223*'06_Сеть_и_дети'!O5</f>
        <v/>
      </c>
      <c r="P1389">
        <f>SUMPRODUCT('19_Расчет_аналитики'!P1432:P1443,CapacityYear2)*'19_Расчет_аналитики'!$F$1223*'06_Сеть_и_дети'!P5</f>
        <v/>
      </c>
      <c r="Q1389">
        <f>SUMPRODUCT('19_Расчет_аналитики'!Q1432:Q1443,CapacityYear2)*'19_Расчет_аналитики'!$F$1223*'06_Сеть_и_дети'!Q5</f>
        <v/>
      </c>
      <c r="R1389">
        <f>SUMPRODUCT('19_Расчет_аналитики'!R1432:R1443,CapacityYear2)*'19_Расчет_аналитики'!$F$1223*'06_Сеть_и_дети'!R5</f>
        <v/>
      </c>
      <c r="S1389">
        <f>SUMPRODUCT('19_Расчет_аналитики'!S1432:S1443,CapacityYear2)*'19_Расчет_аналитики'!$F$1223*'06_Сеть_и_дети'!S5</f>
        <v/>
      </c>
      <c r="T1389">
        <f>SUMPRODUCT('19_Расчет_аналитики'!T1432:T1443,CapacityYear2)*'19_Расчет_аналитики'!$F$1223*'06_Сеть_и_дети'!T5</f>
        <v/>
      </c>
      <c r="U1389">
        <f>SUMPRODUCT('19_Расчет_аналитики'!U1432:U1443,CapacityYear2)*'19_Расчет_аналитики'!$F$1223*'06_Сеть_и_дети'!U5</f>
        <v/>
      </c>
      <c r="V1389">
        <f>SUMPRODUCT('19_Расчет_аналитики'!V1432:V1443,CapacityYear2)*'19_Расчет_аналитики'!$F$1223*'06_Сеть_и_дети'!V5</f>
        <v/>
      </c>
      <c r="W1389">
        <f>SUMPRODUCT('19_Расчет_аналитики'!W1432:W1443,CapacityYear2)*'19_Расчет_аналитики'!$F$1223*'06_Сеть_и_дети'!W5</f>
        <v/>
      </c>
      <c r="X1389">
        <f>SUMPRODUCT('19_Расчет_аналитики'!X1432:X1443,CapacityYear2)*'19_Расчет_аналитики'!$F$1223*'06_Сеть_и_дети'!X5</f>
        <v/>
      </c>
      <c r="Y1389">
        <f>SUMPRODUCT('19_Расчет_аналитики'!Y1432:Y1443,CapacityYear2)*'19_Расчет_аналитики'!$F$1223*'06_Сеть_и_дети'!Y5</f>
        <v/>
      </c>
      <c r="Z1389">
        <f>SUMPRODUCT('19_Расчет_аналитики'!Z1432:Z1443,CapacityYear2)*'19_Расчет_аналитики'!$F$1223*'06_Сеть_и_дети'!Z5</f>
        <v/>
      </c>
      <c r="AA1389">
        <f>SUMPRODUCT('19_Расчет_аналитики'!AA1432:AA1443,CapacityYear2)*'19_Расчет_аналитики'!$F$1223*'06_Сеть_и_дети'!AA5</f>
        <v/>
      </c>
      <c r="AB1389">
        <f>SUMPRODUCT('19_Расчет_аналитики'!AB1432:AB1443,CapacityYear2)*'19_Расчет_аналитики'!$F$1223*'06_Сеть_и_дети'!AB5</f>
        <v/>
      </c>
      <c r="AC1389">
        <f>SUMPRODUCT('19_Расчет_аналитики'!AC1432:AC1443,CapacityYear2)*'19_Расчет_аналитики'!$F$1223*'06_Сеть_и_дети'!AC5</f>
        <v/>
      </c>
      <c r="AD1389">
        <f>SUMPRODUCT('19_Расчет_аналитики'!AD1432:AD1443,CapacityYear2)*'19_Расчет_аналитики'!$F$1223*'06_Сеть_и_дети'!AD5</f>
        <v/>
      </c>
      <c r="AE1389">
        <f>SUMPRODUCT('19_Расчет_аналитики'!AE1432:AE1443,CapacityYear2)*'19_Расчет_аналитики'!$F$1223*'06_Сеть_и_дети'!AE5</f>
        <v/>
      </c>
      <c r="AF1389">
        <f>SUMPRODUCT('19_Расчет_аналитики'!AF1432:AF1443,CapacityYear2)*'19_Расчет_аналитики'!$F$1223*'06_Сеть_и_дети'!AF5</f>
        <v/>
      </c>
      <c r="AG1389">
        <f>SUMPRODUCT('19_Расчет_аналитики'!AG1432:AG1443,CapacityYear2)*'19_Расчет_аналитики'!$F$1223*'06_Сеть_и_дети'!AG5</f>
        <v/>
      </c>
      <c r="AH1389">
        <f>SUMPRODUCT('19_Расчет_аналитики'!AH1432:AH1443,CapacityYear2)*'19_Расчет_аналитики'!$F$1223*'06_Сеть_и_дети'!AH5</f>
        <v/>
      </c>
      <c r="AI1389">
        <f>SUMPRODUCT('19_Расчет_аналитики'!AI1432:AI1443,CapacityYear2)*'19_Расчет_аналитики'!$F$1223*'06_Сеть_и_дети'!AI5</f>
        <v/>
      </c>
      <c r="AJ1389">
        <f>SUMPRODUCT('19_Расчет_аналитики'!AJ1432:AJ1443,CapacityYear2)*'19_Расчет_аналитики'!$F$1223*'06_Сеть_и_дети'!AJ5</f>
        <v/>
      </c>
      <c r="AK1389">
        <f>SUMPRODUCT('19_Расчет_аналитики'!AK1432:AK1443,CapacityYear2)*'19_Расчет_аналитики'!$F$1223*'06_Сеть_и_дети'!AK5</f>
        <v/>
      </c>
      <c r="AL1389">
        <f>SUMPRODUCT('19_Расчет_аналитики'!AL1432:AL1443,CapacityYear2)*'19_Расчет_аналитики'!$F$1223*'06_Сеть_и_дети'!AL5</f>
        <v/>
      </c>
      <c r="AM1389">
        <f>SUMPRODUCT('19_Расчет_аналитики'!AM1432:AM1443,CapacityYear2)*'19_Расчет_аналитики'!$F$1223*'06_Сеть_и_дети'!AM5</f>
        <v/>
      </c>
      <c r="AN1389">
        <f>SUMPRODUCT('19_Расчет_аналитики'!AN1432:AN1443,CapacityYear2)*'19_Расчет_аналитики'!$F$1223*'06_Сеть_и_дети'!AN5</f>
        <v/>
      </c>
      <c r="AO1389">
        <f>SUMPRODUCT('19_Расчет_аналитики'!AO1432:AO1443,CapacityYear2)*'19_Расчет_аналитики'!$F$1223*'06_Сеть_и_дети'!AO5</f>
        <v/>
      </c>
      <c r="AP1389">
        <f>SUMPRODUCT('19_Расчет_аналитики'!AP1432:AP1443,CapacityYear2)*'19_Расчет_аналитики'!$F$1223*'06_Сеть_и_дети'!AP5</f>
        <v/>
      </c>
      <c r="AQ1389">
        <f>SUMPRODUCT('19_Расчет_аналитики'!AQ1432:AQ1443,CapacityYear2)*'19_Расчет_аналитики'!$F$1223*'06_Сеть_и_дети'!AQ5</f>
        <v/>
      </c>
      <c r="AR1389">
        <f>SUMPRODUCT('19_Расчет_аналитики'!AR1432:AR1443,CapacityYear2)*'19_Расчет_аналитики'!$F$1223*'06_Сеть_и_дети'!AR5</f>
        <v/>
      </c>
      <c r="AS1389">
        <f>SUMPRODUCT('19_Расчет_аналитики'!AS1432:AS1443,CapacityYear2)*'19_Расчет_аналитики'!$F$1223*'06_Сеть_и_дети'!AS5</f>
        <v/>
      </c>
      <c r="AT1389">
        <f>SUMPRODUCT('19_Расчет_аналитики'!AT1432:AT1443,CapacityYear2)*'19_Расчет_аналитики'!$F$1223*'06_Сеть_и_дети'!AT5</f>
        <v/>
      </c>
      <c r="AU1389">
        <f>SUMPRODUCT('19_Расчет_аналитики'!AU1432:AU1443,CapacityYear2)*'19_Расчет_аналитики'!$F$1223*'06_Сеть_и_дети'!AU5</f>
        <v/>
      </c>
      <c r="AV1389">
        <f>SUMPRODUCT('19_Расчет_аналитики'!AV1432:AV1443,CapacityYear2)*'19_Расчет_аналитики'!$F$1223*'06_Сеть_и_дети'!AV5</f>
        <v/>
      </c>
      <c r="AW1389">
        <f>SUMPRODUCT('19_Расчет_аналитики'!AW1432:AW1443,CapacityYear2)*'19_Расчет_аналитики'!$F$1223*'06_Сеть_и_дети'!AW5</f>
        <v/>
      </c>
      <c r="AX1389">
        <f>SUMPRODUCT('19_Расчет_аналитики'!AX1432:AX1443,CapacityYear2)*'19_Расчет_аналитики'!$F$1223*'06_Сеть_и_дети'!AX5</f>
        <v/>
      </c>
      <c r="AY1389">
        <f>SUMPRODUCT('19_Расчет_аналитики'!AY1432:AY1443,CapacityYear2)*'19_Расчет_аналитики'!$F$1223*'06_Сеть_и_дети'!AY5</f>
        <v/>
      </c>
      <c r="AZ1389">
        <f>SUMPRODUCT('19_Расчет_аналитики'!AZ1432:AZ1443,CapacityYear2)*'19_Расчет_аналитики'!$F$1223*'06_Сеть_и_дети'!AZ5</f>
        <v/>
      </c>
      <c r="BA1389">
        <f>SUMPRODUCT('19_Расчет_аналитики'!BA1432:BA1443,CapacityYear2)*'19_Расчет_аналитики'!$F$1223*'06_Сеть_и_дети'!BA5</f>
        <v/>
      </c>
      <c r="BB1389">
        <f>SUMPRODUCT('19_Расчет_аналитики'!BB1432:BB1443,CapacityYear2)*'19_Расчет_аналитики'!$F$1223*'06_Сеть_и_дети'!BB5</f>
        <v/>
      </c>
      <c r="BC1389">
        <f>SUMPRODUCT('19_Расчет_аналитики'!BC1432:BC1443,CapacityYear2)*'19_Расчет_аналитики'!$F$1223*'06_Сеть_и_дети'!BC5</f>
        <v/>
      </c>
      <c r="BD1389">
        <f>SUMPRODUCT('19_Расчет_аналитики'!BD1432:BD1443,CapacityYear2)*'19_Расчет_аналитики'!$F$1223*'06_Сеть_и_дети'!BD5</f>
        <v/>
      </c>
      <c r="BE1389">
        <f>SUMPRODUCT('19_Расчет_аналитики'!BE1432:BE1443,CapacityYear2)*'19_Расчет_аналитики'!$F$1223*'06_Сеть_и_дети'!BE5</f>
        <v/>
      </c>
      <c r="BF1389">
        <f>SUMPRODUCT('19_Расчет_аналитики'!BF1432:BF1443,CapacityYear2)*'19_Расчет_аналитики'!$F$1223*'06_Сеть_и_дети'!BF5</f>
        <v/>
      </c>
      <c r="BG1389">
        <f>SUMPRODUCT('19_Расчет_аналитики'!BG1432:BG1443,CapacityYear2)*'19_Расчет_аналитики'!$F$1223*'06_Сеть_и_дети'!BG5</f>
        <v/>
      </c>
      <c r="BH1389">
        <f>SUMPRODUCT('19_Расчет_аналитики'!BH1432:BH1443,CapacityYear2)*'19_Расчет_аналитики'!$F$1223*'06_Сеть_и_дети'!BH5</f>
        <v/>
      </c>
      <c r="BI1389">
        <f>SUMPRODUCT('19_Расчет_аналитики'!BI1432:BI1443,CapacityYear2)*'19_Расчет_аналитики'!$F$1223*'06_Сеть_и_дети'!BI5</f>
        <v/>
      </c>
      <c r="BJ1389">
        <f>SUMPRODUCT('19_Расчет_аналитики'!BJ1432:BJ1443,CapacityYear2)*'19_Расчет_аналитики'!$F$1223*'06_Сеть_и_дети'!BJ5</f>
        <v/>
      </c>
      <c r="BK1389">
        <f>SUMPRODUCT('19_Расчет_аналитики'!BK1432:BK1443,CapacityYear2)*'19_Расчет_аналитики'!$F$1223*'06_Сеть_и_дети'!BK5</f>
        <v/>
      </c>
      <c r="BL1389">
        <f>SUMPRODUCT('19_Расчет_аналитики'!BL1432:BL1443,CapacityYear2)*'19_Расчет_аналитики'!$F$1223*'06_Сеть_и_дети'!BL5</f>
        <v/>
      </c>
      <c r="BM1389">
        <f>SUMPRODUCT('19_Расчет_аналитики'!BM1432:BM1443,CapacityYear2)*'19_Расчет_аналитики'!$F$1223*'06_Сеть_и_дети'!BM5</f>
        <v/>
      </c>
      <c r="BN1389">
        <f>SUMPRODUCT('19_Расчет_аналитики'!BN1432:BN1443,CapacityYear2)*'19_Расчет_аналитики'!$F$1223*'06_Сеть_и_дети'!BN5</f>
        <v/>
      </c>
      <c r="BO1389">
        <f>SUMPRODUCT('19_Расчет_аналитики'!BO1432:BO1443,CapacityYear2)*'19_Расчет_аналитики'!$F$1223*'06_Сеть_и_дети'!BO5</f>
        <v/>
      </c>
    </row>
    <row r="1390">
      <c r="B1390">
        <f>'06_Сеть_и_дети'!B77*CapacityAge25*'19_Расчет_аналитики'!$F$1223*'06_Сеть_и_дети'!B5</f>
        <v/>
      </c>
      <c r="C1390">
        <f>'06_Сеть_и_дети'!C77*CapacityAge25*'19_Расчет_аналитики'!$F$1223*'06_Сеть_и_дети'!C5</f>
        <v/>
      </c>
      <c r="D1390">
        <f>'06_Сеть_и_дети'!D77*CapacityAge25*'19_Расчет_аналитики'!$F$1223*'06_Сеть_и_дети'!D5</f>
        <v/>
      </c>
      <c r="E1390">
        <f>'06_Сеть_и_дети'!E77*CapacityAge25*'19_Расчет_аналитики'!$F$1223*'06_Сеть_и_дети'!E5</f>
        <v/>
      </c>
      <c r="F1390">
        <f>'06_Сеть_и_дети'!F77*CapacityAge25*'19_Расчет_аналитики'!$F$1223*'06_Сеть_и_дети'!F5</f>
        <v/>
      </c>
      <c r="G1390">
        <f>'06_Сеть_и_дети'!G77*CapacityAge25*'19_Расчет_аналитики'!$F$1223*'06_Сеть_и_дети'!G5</f>
        <v/>
      </c>
      <c r="H1390">
        <f>'06_Сеть_и_дети'!H77*CapacityAge25*'19_Расчет_аналитики'!$F$1223*'06_Сеть_и_дети'!H5</f>
        <v/>
      </c>
      <c r="I1390">
        <f>'06_Сеть_и_дети'!I77*CapacityAge25*'19_Расчет_аналитики'!$F$1223*'06_Сеть_и_дети'!I5</f>
        <v/>
      </c>
      <c r="J1390">
        <f>'06_Сеть_и_дети'!J77*CapacityAge25*'19_Расчет_аналитики'!$F$1223*'06_Сеть_и_дети'!J5</f>
        <v/>
      </c>
      <c r="K1390">
        <f>'06_Сеть_и_дети'!K77*CapacityAge25*'19_Расчет_аналитики'!$F$1223*'06_Сеть_и_дети'!K5</f>
        <v/>
      </c>
      <c r="L1390">
        <f>'06_Сеть_и_дети'!L77*CapacityAge25*'19_Расчет_аналитики'!$F$1223*'06_Сеть_и_дети'!L5</f>
        <v/>
      </c>
      <c r="M1390">
        <f>'06_Сеть_и_дети'!M77*CapacityAge25*'19_Расчет_аналитики'!$F$1223*'06_Сеть_и_дети'!M5</f>
        <v/>
      </c>
      <c r="N1390">
        <f>'06_Сеть_и_дети'!N77*CapacityAge25*'19_Расчет_аналитики'!$F$1223*'06_Сеть_и_дети'!N5</f>
        <v/>
      </c>
      <c r="O1390">
        <f>'06_Сеть_и_дети'!O77*CapacityAge25*'19_Расчет_аналитики'!$F$1223*'06_Сеть_и_дети'!O5</f>
        <v/>
      </c>
      <c r="P1390">
        <f>'06_Сеть_и_дети'!P77*CapacityAge25*'19_Расчет_аналитики'!$F$1223*'06_Сеть_и_дети'!P5</f>
        <v/>
      </c>
      <c r="Q1390">
        <f>'06_Сеть_и_дети'!Q77*CapacityAge25*'19_Расчет_аналитики'!$F$1223*'06_Сеть_и_дети'!Q5</f>
        <v/>
      </c>
      <c r="R1390">
        <f>'06_Сеть_и_дети'!R77*CapacityAge25*'19_Расчет_аналитики'!$F$1223*'06_Сеть_и_дети'!R5</f>
        <v/>
      </c>
      <c r="S1390">
        <f>'06_Сеть_и_дети'!S77*CapacityAge25*'19_Расчет_аналитики'!$F$1223*'06_Сеть_и_дети'!S5</f>
        <v/>
      </c>
      <c r="T1390">
        <f>'06_Сеть_и_дети'!T77*CapacityAge25*'19_Расчет_аналитики'!$F$1223*'06_Сеть_и_дети'!T5</f>
        <v/>
      </c>
      <c r="U1390">
        <f>'06_Сеть_и_дети'!U77*CapacityAge25*'19_Расчет_аналитики'!$F$1223*'06_Сеть_и_дети'!U5</f>
        <v/>
      </c>
      <c r="V1390">
        <f>'06_Сеть_и_дети'!V77*CapacityAge25*'19_Расчет_аналитики'!$F$1223*'06_Сеть_и_дети'!V5</f>
        <v/>
      </c>
      <c r="W1390">
        <f>'06_Сеть_и_дети'!W77*CapacityAge25*'19_Расчет_аналитики'!$F$1223*'06_Сеть_и_дети'!W5</f>
        <v/>
      </c>
      <c r="X1390">
        <f>'06_Сеть_и_дети'!X77*CapacityAge25*'19_Расчет_аналитики'!$F$1223*'06_Сеть_и_дети'!X5</f>
        <v/>
      </c>
      <c r="Y1390">
        <f>'06_Сеть_и_дети'!Y77*CapacityAge25*'19_Расчет_аналитики'!$F$1223*'06_Сеть_и_дети'!Y5</f>
        <v/>
      </c>
      <c r="Z1390">
        <f>'19_Расчет_аналитики'!Z1444*CapacityAge25*'19_Расчет_аналитики'!$F$1223*'06_Сеть_и_дети'!Z5</f>
        <v/>
      </c>
      <c r="AA1390">
        <f>'19_Расчет_аналитики'!AA1444*CapacityAge25*'19_Расчет_аналитики'!$F$1223*'06_Сеть_и_дети'!AA5</f>
        <v/>
      </c>
      <c r="AB1390">
        <f>'19_Расчет_аналитики'!AB1444*CapacityAge25*'19_Расчет_аналитики'!$F$1223*'06_Сеть_и_дети'!AB5</f>
        <v/>
      </c>
      <c r="AC1390">
        <f>'19_Расчет_аналитики'!AC1444*CapacityAge25*'19_Расчет_аналитики'!$F$1223*'06_Сеть_и_дети'!AC5</f>
        <v/>
      </c>
      <c r="AD1390">
        <f>'19_Расчет_аналитики'!AD1444*CapacityAge25*'19_Расчет_аналитики'!$F$1223*'06_Сеть_и_дети'!AD5</f>
        <v/>
      </c>
      <c r="AE1390">
        <f>'19_Расчет_аналитики'!AE1444*CapacityAge25*'19_Расчет_аналитики'!$F$1223*'06_Сеть_и_дети'!AE5</f>
        <v/>
      </c>
      <c r="AF1390">
        <f>'19_Расчет_аналитики'!AF1444*CapacityAge25*'19_Расчет_аналитики'!$F$1223*'06_Сеть_и_дети'!AF5</f>
        <v/>
      </c>
      <c r="AG1390">
        <f>'19_Расчет_аналитики'!AG1444*CapacityAge25*'19_Расчет_аналитики'!$F$1223*'06_Сеть_и_дети'!AG5</f>
        <v/>
      </c>
      <c r="AH1390">
        <f>'19_Расчет_аналитики'!AH1444*CapacityAge25*'19_Расчет_аналитики'!$F$1223*'06_Сеть_и_дети'!AH5</f>
        <v/>
      </c>
      <c r="AI1390">
        <f>'19_Расчет_аналитики'!AI1444*CapacityAge25*'19_Расчет_аналитики'!$F$1223*'06_Сеть_и_дети'!AI5</f>
        <v/>
      </c>
      <c r="AJ1390">
        <f>'19_Расчет_аналитики'!AJ1444*CapacityAge25*'19_Расчет_аналитики'!$F$1223*'06_Сеть_и_дети'!AJ5</f>
        <v/>
      </c>
      <c r="AK1390">
        <f>'19_Расчет_аналитики'!AK1444*CapacityAge25*'19_Расчет_аналитики'!$F$1223*'06_Сеть_и_дети'!AK5</f>
        <v/>
      </c>
      <c r="AL1390">
        <f>'19_Расчет_аналитики'!AL1444*CapacityAge25*'19_Расчет_аналитики'!$F$1223*'06_Сеть_и_дети'!AL5</f>
        <v/>
      </c>
      <c r="AM1390">
        <f>'19_Расчет_аналитики'!AM1444*CapacityAge25*'19_Расчет_аналитики'!$F$1223*'06_Сеть_и_дети'!AM5</f>
        <v/>
      </c>
      <c r="AN1390">
        <f>'19_Расчет_аналитики'!AN1444*CapacityAge25*'19_Расчет_аналитики'!$F$1223*'06_Сеть_и_дети'!AN5</f>
        <v/>
      </c>
      <c r="AO1390">
        <f>'19_Расчет_аналитики'!AO1444*CapacityAge25*'19_Расчет_аналитики'!$F$1223*'06_Сеть_и_дети'!AO5</f>
        <v/>
      </c>
      <c r="AP1390">
        <f>'19_Расчет_аналитики'!AP1444*CapacityAge25*'19_Расчет_аналитики'!$F$1223*'06_Сеть_и_дети'!AP5</f>
        <v/>
      </c>
      <c r="AQ1390">
        <f>'19_Расчет_аналитики'!AQ1444*CapacityAge25*'19_Расчет_аналитики'!$F$1223*'06_Сеть_и_дети'!AQ5</f>
        <v/>
      </c>
      <c r="AR1390">
        <f>'19_Расчет_аналитики'!AR1444*CapacityAge25*'19_Расчет_аналитики'!$F$1223*'06_Сеть_и_дети'!AR5</f>
        <v/>
      </c>
      <c r="AS1390">
        <f>'19_Расчет_аналитики'!AS1444*CapacityAge25*'19_Расчет_аналитики'!$F$1223*'06_Сеть_и_дети'!AS5</f>
        <v/>
      </c>
      <c r="AT1390">
        <f>'19_Расчет_аналитики'!AT1444*CapacityAge25*'19_Расчет_аналитики'!$F$1223*'06_Сеть_и_дети'!AT5</f>
        <v/>
      </c>
      <c r="AU1390">
        <f>'19_Расчет_аналитики'!AU1444*CapacityAge25*'19_Расчет_аналитики'!$F$1223*'06_Сеть_и_дети'!AU5</f>
        <v/>
      </c>
      <c r="AV1390">
        <f>'19_Расчет_аналитики'!AV1444*CapacityAge25*'19_Расчет_аналитики'!$F$1223*'06_Сеть_и_дети'!AV5</f>
        <v/>
      </c>
      <c r="AW1390">
        <f>'19_Расчет_аналитики'!AW1444*CapacityAge25*'19_Расчет_аналитики'!$F$1223*'06_Сеть_и_дети'!AW5</f>
        <v/>
      </c>
      <c r="AX1390">
        <f>'19_Расчет_аналитики'!AX1444*CapacityAge25*'19_Расчет_аналитики'!$F$1223*'06_Сеть_и_дети'!AX5</f>
        <v/>
      </c>
      <c r="AY1390">
        <f>'19_Расчет_аналитики'!AY1444*CapacityAge25*'19_Расчет_аналитики'!$F$1223*'06_Сеть_и_дети'!AY5</f>
        <v/>
      </c>
      <c r="AZ1390">
        <f>'19_Расчет_аналитики'!AZ1444*CapacityAge25*'19_Расчет_аналитики'!$F$1223*'06_Сеть_и_дети'!AZ5</f>
        <v/>
      </c>
      <c r="BA1390">
        <f>'19_Расчет_аналитики'!BA1444*CapacityAge25*'19_Расчет_аналитики'!$F$1223*'06_Сеть_и_дети'!BA5</f>
        <v/>
      </c>
      <c r="BB1390">
        <f>'19_Расчет_аналитики'!BB1444*CapacityAge25*'19_Расчет_аналитики'!$F$1223*'06_Сеть_и_дети'!BB5</f>
        <v/>
      </c>
      <c r="BC1390">
        <f>'19_Расчет_аналитики'!BC1444*CapacityAge25*'19_Расчет_аналитики'!$F$1223*'06_Сеть_и_дети'!BC5</f>
        <v/>
      </c>
      <c r="BD1390">
        <f>'19_Расчет_аналитики'!BD1444*CapacityAge25*'19_Расчет_аналитики'!$F$1223*'06_Сеть_и_дети'!BD5</f>
        <v/>
      </c>
      <c r="BE1390">
        <f>'19_Расчет_аналитики'!BE1444*CapacityAge25*'19_Расчет_аналитики'!$F$1223*'06_Сеть_и_дети'!BE5</f>
        <v/>
      </c>
      <c r="BF1390">
        <f>'19_Расчет_аналитики'!BF1444*CapacityAge25*'19_Расчет_аналитики'!$F$1223*'06_Сеть_и_дети'!BF5</f>
        <v/>
      </c>
      <c r="BG1390">
        <f>'19_Расчет_аналитики'!BG1444*CapacityAge25*'19_Расчет_аналитики'!$F$1223*'06_Сеть_и_дети'!BG5</f>
        <v/>
      </c>
      <c r="BH1390">
        <f>'19_Расчет_аналитики'!BH1444*CapacityAge25*'19_Расчет_аналитики'!$F$1223*'06_Сеть_и_дети'!BH5</f>
        <v/>
      </c>
      <c r="BI1390">
        <f>'19_Расчет_аналитики'!BI1444*CapacityAge25*'19_Расчет_аналитики'!$F$1223*'06_Сеть_и_дети'!BI5</f>
        <v/>
      </c>
      <c r="BJ1390">
        <f>'19_Расчет_аналитики'!BJ1444*CapacityAge25*'19_Расчет_аналитики'!$F$1223*'06_Сеть_и_дети'!BJ5</f>
        <v/>
      </c>
      <c r="BK1390">
        <f>'19_Расчет_аналитики'!BK1444*CapacityAge25*'19_Расчет_аналитики'!$F$1223*'06_Сеть_и_дети'!BK5</f>
        <v/>
      </c>
      <c r="BL1390">
        <f>'19_Расчет_аналитики'!BL1444*CapacityAge25*'19_Расчет_аналитики'!$F$1223*'06_Сеть_и_дети'!BL5</f>
        <v/>
      </c>
      <c r="BM1390">
        <f>'19_Расчет_аналитики'!BM1444*CapacityAge25*'19_Расчет_аналитики'!$F$1223*'06_Сеть_и_дети'!BM5</f>
        <v/>
      </c>
      <c r="BN1390">
        <f>'19_Расчет_аналитики'!BN1444*CapacityAge25*'19_Расчет_аналитики'!$F$1223*'06_Сеть_и_дети'!BN5</f>
        <v/>
      </c>
      <c r="BO1390">
        <f>'19_Расчет_аналитики'!BO1444*CapacityAge25*'19_Расчет_аналитики'!$F$1223*'06_Сеть_и_дети'!BO5</f>
        <v/>
      </c>
    </row>
    <row r="1391">
      <c r="B1391">
        <f>SUM('19_Расчет_аналитики'!B1388:B1390)</f>
        <v/>
      </c>
      <c r="C1391">
        <f>SUM('19_Расчет_аналитики'!C1388:C1390)</f>
        <v/>
      </c>
      <c r="D1391">
        <f>SUM('19_Расчет_аналитики'!D1388:D1390)</f>
        <v/>
      </c>
      <c r="E1391">
        <f>SUM('19_Расчет_аналитики'!E1388:E1390)</f>
        <v/>
      </c>
      <c r="F1391">
        <f>SUM('19_Расчет_аналитики'!F1388:F1390)</f>
        <v/>
      </c>
      <c r="G1391">
        <f>SUM('19_Расчет_аналитики'!G1388:G1390)</f>
        <v/>
      </c>
      <c r="H1391">
        <f>SUM('19_Расчет_аналитики'!H1388:H1390)</f>
        <v/>
      </c>
      <c r="I1391">
        <f>SUM('19_Расчет_аналитики'!I1388:I1390)</f>
        <v/>
      </c>
      <c r="J1391">
        <f>SUM('19_Расчет_аналитики'!J1388:J1390)</f>
        <v/>
      </c>
      <c r="K1391">
        <f>SUM('19_Расчет_аналитики'!K1388:K1390)</f>
        <v/>
      </c>
      <c r="L1391">
        <f>SUM('19_Расчет_аналитики'!L1388:L1390)</f>
        <v/>
      </c>
      <c r="M1391">
        <f>SUM('19_Расчет_аналитики'!M1388:M1390)</f>
        <v/>
      </c>
      <c r="N1391">
        <f>SUM('19_Расчет_аналитики'!N1388:N1390)</f>
        <v/>
      </c>
      <c r="O1391">
        <f>SUM('19_Расчет_аналитики'!O1388:O1390)</f>
        <v/>
      </c>
      <c r="P1391">
        <f>SUM('19_Расчет_аналитики'!P1388:P1390)</f>
        <v/>
      </c>
      <c r="Q1391">
        <f>SUM('19_Расчет_аналитики'!Q1388:Q1390)</f>
        <v/>
      </c>
      <c r="R1391">
        <f>SUM('19_Расчет_аналитики'!R1388:R1390)</f>
        <v/>
      </c>
      <c r="S1391">
        <f>SUM('19_Расчет_аналитики'!S1388:S1390)</f>
        <v/>
      </c>
      <c r="T1391">
        <f>SUM('19_Расчет_аналитики'!T1388:T1390)</f>
        <v/>
      </c>
      <c r="U1391">
        <f>SUM('19_Расчет_аналитики'!U1388:U1390)</f>
        <v/>
      </c>
      <c r="V1391">
        <f>SUM('19_Расчет_аналитики'!V1388:V1390)</f>
        <v/>
      </c>
      <c r="W1391">
        <f>SUM('19_Расчет_аналитики'!W1388:W1390)</f>
        <v/>
      </c>
      <c r="X1391">
        <f>SUM('19_Расчет_аналитики'!X1388:X1390)</f>
        <v/>
      </c>
      <c r="Y1391">
        <f>SUM('19_Расчет_аналитики'!Y1388:Y1390)</f>
        <v/>
      </c>
      <c r="Z1391">
        <f>SUM('19_Расчет_аналитики'!Z1388:Z1390)</f>
        <v/>
      </c>
      <c r="AA1391">
        <f>SUM('19_Расчет_аналитики'!AA1388:AA1390)</f>
        <v/>
      </c>
      <c r="AB1391">
        <f>SUM('19_Расчет_аналитики'!AB1388:AB1390)</f>
        <v/>
      </c>
      <c r="AC1391">
        <f>SUM('19_Расчет_аналитики'!AC1388:AC1390)</f>
        <v/>
      </c>
      <c r="AD1391">
        <f>SUM('19_Расчет_аналитики'!AD1388:AD1390)</f>
        <v/>
      </c>
      <c r="AE1391">
        <f>SUM('19_Расчет_аналитики'!AE1388:AE1390)</f>
        <v/>
      </c>
      <c r="AF1391">
        <f>SUM('19_Расчет_аналитики'!AF1388:AF1390)</f>
        <v/>
      </c>
      <c r="AG1391">
        <f>SUM('19_Расчет_аналитики'!AG1388:AG1390)</f>
        <v/>
      </c>
      <c r="AH1391">
        <f>SUM('19_Расчет_аналитики'!AH1388:AH1390)</f>
        <v/>
      </c>
      <c r="AI1391">
        <f>SUM('19_Расчет_аналитики'!AI1388:AI1390)</f>
        <v/>
      </c>
      <c r="AJ1391">
        <f>SUM('19_Расчет_аналитики'!AJ1388:AJ1390)</f>
        <v/>
      </c>
      <c r="AK1391">
        <f>SUM('19_Расчет_аналитики'!AK1388:AK1390)</f>
        <v/>
      </c>
      <c r="AL1391">
        <f>SUM('19_Расчет_аналитики'!AL1388:AL1390)</f>
        <v/>
      </c>
      <c r="AM1391">
        <f>SUM('19_Расчет_аналитики'!AM1388:AM1390)</f>
        <v/>
      </c>
      <c r="AN1391">
        <f>SUM('19_Расчет_аналитики'!AN1388:AN1390)</f>
        <v/>
      </c>
      <c r="AO1391">
        <f>SUM('19_Расчет_аналитики'!AO1388:AO1390)</f>
        <v/>
      </c>
      <c r="AP1391">
        <f>SUM('19_Расчет_аналитики'!AP1388:AP1390)</f>
        <v/>
      </c>
      <c r="AQ1391">
        <f>SUM('19_Расчет_аналитики'!AQ1388:AQ1390)</f>
        <v/>
      </c>
      <c r="AR1391">
        <f>SUM('19_Расчет_аналитики'!AR1388:AR1390)</f>
        <v/>
      </c>
      <c r="AS1391">
        <f>SUM('19_Расчет_аналитики'!AS1388:AS1390)</f>
        <v/>
      </c>
      <c r="AT1391">
        <f>SUM('19_Расчет_аналитики'!AT1388:AT1390)</f>
        <v/>
      </c>
      <c r="AU1391">
        <f>SUM('19_Расчет_аналитики'!AU1388:AU1390)</f>
        <v/>
      </c>
      <c r="AV1391">
        <f>SUM('19_Расчет_аналитики'!AV1388:AV1390)</f>
        <v/>
      </c>
      <c r="AW1391">
        <f>SUM('19_Расчет_аналитики'!AW1388:AW1390)</f>
        <v/>
      </c>
      <c r="AX1391">
        <f>SUM('19_Расчет_аналитики'!AX1388:AX1390)</f>
        <v/>
      </c>
      <c r="AY1391">
        <f>SUM('19_Расчет_аналитики'!AY1388:AY1390)</f>
        <v/>
      </c>
      <c r="AZ1391">
        <f>SUM('19_Расчет_аналитики'!AZ1388:AZ1390)</f>
        <v/>
      </c>
      <c r="BA1391">
        <f>SUM('19_Расчет_аналитики'!BA1388:BA1390)</f>
        <v/>
      </c>
      <c r="BB1391">
        <f>SUM('19_Расчет_аналитики'!BB1388:BB1390)</f>
        <v/>
      </c>
      <c r="BC1391">
        <f>SUM('19_Расчет_аналитики'!BC1388:BC1390)</f>
        <v/>
      </c>
      <c r="BD1391">
        <f>SUM('19_Расчет_аналитики'!BD1388:BD1390)</f>
        <v/>
      </c>
      <c r="BE1391">
        <f>SUM('19_Расчет_аналитики'!BE1388:BE1390)</f>
        <v/>
      </c>
      <c r="BF1391">
        <f>SUM('19_Расчет_аналитики'!BF1388:BF1390)</f>
        <v/>
      </c>
      <c r="BG1391">
        <f>SUM('19_Расчет_аналитики'!BG1388:BG1390)</f>
        <v/>
      </c>
      <c r="BH1391">
        <f>SUM('19_Расчет_аналитики'!BH1388:BH1390)</f>
        <v/>
      </c>
      <c r="BI1391">
        <f>SUM('19_Расчет_аналитики'!BI1388:BI1390)</f>
        <v/>
      </c>
      <c r="BJ1391">
        <f>SUM('19_Расчет_аналитики'!BJ1388:BJ1390)</f>
        <v/>
      </c>
      <c r="BK1391">
        <f>SUM('19_Расчет_аналитики'!BK1388:BK1390)</f>
        <v/>
      </c>
      <c r="BL1391">
        <f>SUM('19_Расчет_аналитики'!BL1388:BL1390)</f>
        <v/>
      </c>
      <c r="BM1391">
        <f>SUM('19_Расчет_аналитики'!BM1388:BM1390)</f>
        <v/>
      </c>
      <c r="BN1391">
        <f>SUM('19_Расчет_аналитики'!BN1388:BN1390)</f>
        <v/>
      </c>
      <c r="BO1391">
        <f>SUM('19_Расчет_аналитики'!BO1388:BO1390)</f>
        <v/>
      </c>
    </row>
    <row r="1392">
      <c r="B1392">
        <f>'06_Сеть_и_дети'!B20+'19_Расчет_аналитики'!B1391</f>
        <v/>
      </c>
      <c r="C1392">
        <f>'06_Сеть_и_дети'!C20+'19_Расчет_аналитики'!C1391</f>
        <v/>
      </c>
      <c r="D1392">
        <f>'06_Сеть_и_дети'!D20+'19_Расчет_аналитики'!D1391</f>
        <v/>
      </c>
      <c r="E1392">
        <f>'06_Сеть_и_дети'!E20+'19_Расчет_аналитики'!E1391</f>
        <v/>
      </c>
      <c r="F1392">
        <f>'06_Сеть_и_дети'!F20+'19_Расчет_аналитики'!F1391</f>
        <v/>
      </c>
      <c r="G1392">
        <f>'06_Сеть_и_дети'!G20+'19_Расчет_аналитики'!G1391</f>
        <v/>
      </c>
      <c r="H1392">
        <f>'06_Сеть_и_дети'!H20+'19_Расчет_аналитики'!H1391</f>
        <v/>
      </c>
      <c r="I1392">
        <f>'06_Сеть_и_дети'!I20+'19_Расчет_аналитики'!I1391</f>
        <v/>
      </c>
      <c r="J1392">
        <f>'06_Сеть_и_дети'!J20+'19_Расчет_аналитики'!J1391</f>
        <v/>
      </c>
      <c r="K1392">
        <f>'06_Сеть_и_дети'!K20+'19_Расчет_аналитики'!K1391</f>
        <v/>
      </c>
      <c r="L1392">
        <f>'06_Сеть_и_дети'!L20+'19_Расчет_аналитики'!L1391</f>
        <v/>
      </c>
      <c r="M1392">
        <f>'06_Сеть_и_дети'!M20+'19_Расчет_аналитики'!M1391</f>
        <v/>
      </c>
      <c r="N1392">
        <f>'06_Сеть_и_дети'!N20+'19_Расчет_аналитики'!N1391</f>
        <v/>
      </c>
      <c r="O1392">
        <f>'06_Сеть_и_дети'!O20+'19_Расчет_аналитики'!O1391</f>
        <v/>
      </c>
      <c r="P1392">
        <f>'06_Сеть_и_дети'!P20+'19_Расчет_аналитики'!P1391</f>
        <v/>
      </c>
      <c r="Q1392">
        <f>'06_Сеть_и_дети'!Q20+'19_Расчет_аналитики'!Q1391</f>
        <v/>
      </c>
      <c r="R1392">
        <f>'06_Сеть_и_дети'!R20+'19_Расчет_аналитики'!R1391</f>
        <v/>
      </c>
      <c r="S1392">
        <f>'06_Сеть_и_дети'!S20+'19_Расчет_аналитики'!S1391</f>
        <v/>
      </c>
      <c r="T1392">
        <f>'06_Сеть_и_дети'!T20+'19_Расчет_аналитики'!T1391</f>
        <v/>
      </c>
      <c r="U1392">
        <f>'06_Сеть_и_дети'!U20+'19_Расчет_аналитики'!U1391</f>
        <v/>
      </c>
      <c r="V1392">
        <f>'06_Сеть_и_дети'!V20+'19_Расчет_аналитики'!V1391</f>
        <v/>
      </c>
      <c r="W1392">
        <f>'06_Сеть_и_дети'!W20+'19_Расчет_аналитики'!W1391</f>
        <v/>
      </c>
      <c r="X1392">
        <f>'06_Сеть_и_дети'!X20+'19_Расчет_аналитики'!X1391</f>
        <v/>
      </c>
      <c r="Y1392">
        <f>'06_Сеть_и_дети'!Y20+'19_Расчет_аналитики'!Y1391</f>
        <v/>
      </c>
      <c r="Z1392">
        <f>'06_Сеть_и_дети'!Z20+'19_Расчет_аналитики'!Z1391</f>
        <v/>
      </c>
      <c r="AA1392">
        <f>'06_Сеть_и_дети'!AA20+'19_Расчет_аналитики'!AA1391</f>
        <v/>
      </c>
      <c r="AB1392">
        <f>'06_Сеть_и_дети'!AB20+'19_Расчет_аналитики'!AB1391</f>
        <v/>
      </c>
      <c r="AC1392">
        <f>'06_Сеть_и_дети'!AC20+'19_Расчет_аналитики'!AC1391</f>
        <v/>
      </c>
      <c r="AD1392">
        <f>'06_Сеть_и_дети'!AD20+'19_Расчет_аналитики'!AD1391</f>
        <v/>
      </c>
      <c r="AE1392">
        <f>'06_Сеть_и_дети'!AE20+'19_Расчет_аналитики'!AE1391</f>
        <v/>
      </c>
      <c r="AF1392">
        <f>'06_Сеть_и_дети'!AF20+'19_Расчет_аналитики'!AF1391</f>
        <v/>
      </c>
      <c r="AG1392">
        <f>'06_Сеть_и_дети'!AG20+'19_Расчет_аналитики'!AG1391</f>
        <v/>
      </c>
      <c r="AH1392">
        <f>'06_Сеть_и_дети'!AH20+'19_Расчет_аналитики'!AH1391</f>
        <v/>
      </c>
      <c r="AI1392">
        <f>'06_Сеть_и_дети'!AI20+'19_Расчет_аналитики'!AI1391</f>
        <v/>
      </c>
      <c r="AJ1392">
        <f>'06_Сеть_и_дети'!AJ20+'19_Расчет_аналитики'!AJ1391</f>
        <v/>
      </c>
      <c r="AK1392">
        <f>'06_Сеть_и_дети'!AK20+'19_Расчет_аналитики'!AK1391</f>
        <v/>
      </c>
      <c r="AL1392">
        <f>'06_Сеть_и_дети'!AL20+'19_Расчет_аналитики'!AL1391</f>
        <v/>
      </c>
      <c r="AM1392">
        <f>'06_Сеть_и_дети'!AM20+'19_Расчет_аналитики'!AM1391</f>
        <v/>
      </c>
      <c r="AN1392">
        <f>'06_Сеть_и_дети'!AN20+'19_Расчет_аналитики'!AN1391</f>
        <v/>
      </c>
      <c r="AO1392">
        <f>'06_Сеть_и_дети'!AO20+'19_Расчет_аналитики'!AO1391</f>
        <v/>
      </c>
      <c r="AP1392">
        <f>'06_Сеть_и_дети'!AP20+'19_Расчет_аналитики'!AP1391</f>
        <v/>
      </c>
      <c r="AQ1392">
        <f>'06_Сеть_и_дети'!AQ20+'19_Расчет_аналитики'!AQ1391</f>
        <v/>
      </c>
      <c r="AR1392">
        <f>'06_Сеть_и_дети'!AR20+'19_Расчет_аналитики'!AR1391</f>
        <v/>
      </c>
      <c r="AS1392">
        <f>'06_Сеть_и_дети'!AS20+'19_Расчет_аналитики'!AS1391</f>
        <v/>
      </c>
      <c r="AT1392">
        <f>'06_Сеть_и_дети'!AT20+'19_Расчет_аналитики'!AT1391</f>
        <v/>
      </c>
      <c r="AU1392">
        <f>'06_Сеть_и_дети'!AU20+'19_Расчет_аналитики'!AU1391</f>
        <v/>
      </c>
      <c r="AV1392">
        <f>'06_Сеть_и_дети'!AV20+'19_Расчет_аналитики'!AV1391</f>
        <v/>
      </c>
      <c r="AW1392">
        <f>'06_Сеть_и_дети'!AW20+'19_Расчет_аналитики'!AW1391</f>
        <v/>
      </c>
      <c r="AX1392">
        <f>'06_Сеть_и_дети'!AX20+'19_Расчет_аналитики'!AX1391</f>
        <v/>
      </c>
      <c r="AY1392">
        <f>'06_Сеть_и_дети'!AY20+'19_Расчет_аналитики'!AY1391</f>
        <v/>
      </c>
      <c r="AZ1392">
        <f>'06_Сеть_и_дети'!AZ20+'19_Расчет_аналитики'!AZ1391</f>
        <v/>
      </c>
      <c r="BA1392">
        <f>'06_Сеть_и_дети'!BA20+'19_Расчет_аналитики'!BA1391</f>
        <v/>
      </c>
      <c r="BB1392">
        <f>'06_Сеть_и_дети'!BB20+'19_Расчет_аналитики'!BB1391</f>
        <v/>
      </c>
      <c r="BC1392">
        <f>'06_Сеть_и_дети'!BC20+'19_Расчет_аналитики'!BC1391</f>
        <v/>
      </c>
      <c r="BD1392">
        <f>'06_Сеть_и_дети'!BD20+'19_Расчет_аналитики'!BD1391</f>
        <v/>
      </c>
      <c r="BE1392">
        <f>'06_Сеть_и_дети'!BE20+'19_Расчет_аналитики'!BE1391</f>
        <v/>
      </c>
      <c r="BF1392">
        <f>'06_Сеть_и_дети'!BF20+'19_Расчет_аналитики'!BF1391</f>
        <v/>
      </c>
      <c r="BG1392">
        <f>'06_Сеть_и_дети'!BG20+'19_Расчет_аналитики'!BG1391</f>
        <v/>
      </c>
      <c r="BH1392">
        <f>'06_Сеть_и_дети'!BH20+'19_Расчет_аналитики'!BH1391</f>
        <v/>
      </c>
      <c r="BI1392">
        <f>'06_Сеть_и_дети'!BI20+'19_Расчет_аналитики'!BI1391</f>
        <v/>
      </c>
      <c r="BJ1392">
        <f>'06_Сеть_и_дети'!BJ20+'19_Расчет_аналитики'!BJ1391</f>
        <v/>
      </c>
      <c r="BK1392">
        <f>'06_Сеть_и_дети'!BK20+'19_Расчет_аналитики'!BK1391</f>
        <v/>
      </c>
      <c r="BL1392">
        <f>'06_Сеть_и_дети'!BL20+'19_Расчет_аналитики'!BL1391</f>
        <v/>
      </c>
      <c r="BM1392">
        <f>'06_Сеть_и_дети'!BM20+'19_Расчет_аналитики'!BM1391</f>
        <v/>
      </c>
      <c r="BN1392">
        <f>'06_Сеть_и_дети'!BN20+'19_Расчет_аналитики'!BN1391</f>
        <v/>
      </c>
      <c r="BO1392">
        <f>'06_Сеть_и_дети'!BO20+'19_Расчет_аналитики'!BO1391</f>
        <v/>
      </c>
    </row>
    <row r="1393"/>
    <row r="1394"/>
    <row r="1395">
      <c r="B1395">
        <f>SUMPRODUCT(('01_Вводные'!$D$314:$D$318*'01_Вводные'!$B$314:$B$318*IF('01_Вводные'!$B$9=0,0,'06_Сеть_и_дети'!B11/'01_Вводные'!$B$9)+'06_Сеть_и_дети'!B20*'19_Расчет_аналитики'!B1818*'01_Вводные'!$C$314:$C$318*('01_Вводные'!$E$314:$E$318*('06_Сеть_и_дети'!B$3&lt;'01_Вводные'!$B$245)+'01_Вводные'!$B$57*('06_Сеть_и_дети'!B$3&gt;='01_Вводные'!$B$245))+ABS('01_Вводные'!$D$314:$D$318*'01_Вводные'!$B$314:$B$318*IF('01_Вводные'!$B$9=0,0,'06_Сеть_и_дети'!B11/'01_Вводные'!$B$9)-'06_Сеть_и_дети'!B20*'19_Расчет_аналитики'!B1818*'01_Вводные'!$C$314:$C$318*('01_Вводные'!$E$314:$E$318*('06_Сеть_и_дети'!B$3&lt;'01_Вводные'!$B$245)+'01_Вводные'!$B$57*('06_Сеть_и_дети'!B$3&gt;='01_Вводные'!$B$245))))/2)</f>
        <v/>
      </c>
      <c r="C1395">
        <f>SUMPRODUCT(('01_Вводные'!$D$314:$D$318*'01_Вводные'!$B$314:$B$318*IF('01_Вводные'!$B$9=0,0,'06_Сеть_и_дети'!C11/'01_Вводные'!$B$9)+'06_Сеть_и_дети'!C20*'19_Расчет_аналитики'!C1818*'01_Вводные'!$C$314:$C$318*('01_Вводные'!$E$314:$E$318*('06_Сеть_и_дети'!C$3&lt;'01_Вводные'!$B$245)+'01_Вводные'!$B$57*('06_Сеть_и_дети'!C$3&gt;='01_Вводные'!$B$245))+ABS('01_Вводные'!$D$314:$D$318*'01_Вводные'!$B$314:$B$318*IF('01_Вводные'!$B$9=0,0,'06_Сеть_и_дети'!C11/'01_Вводные'!$B$9)-'06_Сеть_и_дети'!C20*'19_Расчет_аналитики'!C1818*'01_Вводные'!$C$314:$C$318*('01_Вводные'!$E$314:$E$318*('06_Сеть_и_дети'!C$3&lt;'01_Вводные'!$B$245)+'01_Вводные'!$B$57*('06_Сеть_и_дети'!C$3&gt;='01_Вводные'!$B$245))))/2)</f>
        <v/>
      </c>
      <c r="D1395">
        <f>SUMPRODUCT(('01_Вводные'!$D$314:$D$318*'01_Вводные'!$B$314:$B$318*IF('01_Вводные'!$B$9=0,0,'06_Сеть_и_дети'!D11/'01_Вводные'!$B$9)+'06_Сеть_и_дети'!D20*'19_Расчет_аналитики'!D1818*'01_Вводные'!$C$314:$C$318*('01_Вводные'!$E$314:$E$318*('06_Сеть_и_дети'!D$3&lt;'01_Вводные'!$B$245)+'01_Вводные'!$B$57*('06_Сеть_и_дети'!D$3&gt;='01_Вводные'!$B$245))+ABS('01_Вводные'!$D$314:$D$318*'01_Вводные'!$B$314:$B$318*IF('01_Вводные'!$B$9=0,0,'06_Сеть_и_дети'!D11/'01_Вводные'!$B$9)-'06_Сеть_и_дети'!D20*'19_Расчет_аналитики'!D1818*'01_Вводные'!$C$314:$C$318*('01_Вводные'!$E$314:$E$318*('06_Сеть_и_дети'!D$3&lt;'01_Вводные'!$B$245)+'01_Вводные'!$B$57*('06_Сеть_и_дети'!D$3&gt;='01_Вводные'!$B$245))))/2)</f>
        <v/>
      </c>
      <c r="E1395">
        <f>SUMPRODUCT(('01_Вводные'!$D$314:$D$318*'01_Вводные'!$B$314:$B$318*IF('01_Вводные'!$B$9=0,0,'06_Сеть_и_дети'!E11/'01_Вводные'!$B$9)+'06_Сеть_и_дети'!E20*'19_Расчет_аналитики'!E1818*'01_Вводные'!$C$314:$C$318*('01_Вводные'!$E$314:$E$318*('06_Сеть_и_дети'!E$3&lt;'01_Вводные'!$B$245)+'01_Вводные'!$B$57*('06_Сеть_и_дети'!E$3&gt;='01_Вводные'!$B$245))+ABS('01_Вводные'!$D$314:$D$318*'01_Вводные'!$B$314:$B$318*IF('01_Вводные'!$B$9=0,0,'06_Сеть_и_дети'!E11/'01_Вводные'!$B$9)-'06_Сеть_и_дети'!E20*'19_Расчет_аналитики'!E1818*'01_Вводные'!$C$314:$C$318*('01_Вводные'!$E$314:$E$318*('06_Сеть_и_дети'!E$3&lt;'01_Вводные'!$B$245)+'01_Вводные'!$B$57*('06_Сеть_и_дети'!E$3&gt;='01_Вводные'!$B$245))))/2)</f>
        <v/>
      </c>
      <c r="F1395">
        <f>SUMPRODUCT(('01_Вводные'!$D$314:$D$318*'01_Вводные'!$B$314:$B$318*IF('01_Вводные'!$B$9=0,0,'06_Сеть_и_дети'!F11/'01_Вводные'!$B$9)+'06_Сеть_и_дети'!F20*'19_Расчет_аналитики'!F1818*'01_Вводные'!$C$314:$C$318*('01_Вводные'!$E$314:$E$318*('06_Сеть_и_дети'!F$3&lt;'01_Вводные'!$B$245)+'01_Вводные'!$B$57*('06_Сеть_и_дети'!F$3&gt;='01_Вводные'!$B$245))+ABS('01_Вводные'!$D$314:$D$318*'01_Вводные'!$B$314:$B$318*IF('01_Вводные'!$B$9=0,0,'06_Сеть_и_дети'!F11/'01_Вводные'!$B$9)-'06_Сеть_и_дети'!F20*'19_Расчет_аналитики'!F1818*'01_Вводные'!$C$314:$C$318*('01_Вводные'!$E$314:$E$318*('06_Сеть_и_дети'!F$3&lt;'01_Вводные'!$B$245)+'01_Вводные'!$B$57*('06_Сеть_и_дети'!F$3&gt;='01_Вводные'!$B$245))))/2)</f>
        <v/>
      </c>
      <c r="G1395">
        <f>SUMPRODUCT(('01_Вводные'!$D$314:$D$318*'01_Вводные'!$B$314:$B$318*IF('01_Вводные'!$B$9=0,0,'06_Сеть_и_дети'!G11/'01_Вводные'!$B$9)+'06_Сеть_и_дети'!G20*'19_Расчет_аналитики'!G1818*'01_Вводные'!$C$314:$C$318*('01_Вводные'!$E$314:$E$318*('06_Сеть_и_дети'!G$3&lt;'01_Вводные'!$B$245)+'01_Вводные'!$B$57*('06_Сеть_и_дети'!G$3&gt;='01_Вводные'!$B$245))+ABS('01_Вводные'!$D$314:$D$318*'01_Вводные'!$B$314:$B$318*IF('01_Вводные'!$B$9=0,0,'06_Сеть_и_дети'!G11/'01_Вводные'!$B$9)-'06_Сеть_и_дети'!G20*'19_Расчет_аналитики'!G1818*'01_Вводные'!$C$314:$C$318*('01_Вводные'!$E$314:$E$318*('06_Сеть_и_дети'!G$3&lt;'01_Вводные'!$B$245)+'01_Вводные'!$B$57*('06_Сеть_и_дети'!G$3&gt;='01_Вводные'!$B$245))))/2)</f>
        <v/>
      </c>
      <c r="H1395">
        <f>SUMPRODUCT(('01_Вводные'!$D$314:$D$318*'01_Вводные'!$B$314:$B$318*IF('01_Вводные'!$B$9=0,0,'06_Сеть_и_дети'!H11/'01_Вводные'!$B$9)+'06_Сеть_и_дети'!H20*'19_Расчет_аналитики'!H1818*'01_Вводные'!$C$314:$C$318*('01_Вводные'!$E$314:$E$318*('06_Сеть_и_дети'!H$3&lt;'01_Вводные'!$B$245)+'01_Вводные'!$B$57*('06_Сеть_и_дети'!H$3&gt;='01_Вводные'!$B$245))+ABS('01_Вводные'!$D$314:$D$318*'01_Вводные'!$B$314:$B$318*IF('01_Вводные'!$B$9=0,0,'06_Сеть_и_дети'!H11/'01_Вводные'!$B$9)-'06_Сеть_и_дети'!H20*'19_Расчет_аналитики'!H1818*'01_Вводные'!$C$314:$C$318*('01_Вводные'!$E$314:$E$318*('06_Сеть_и_дети'!H$3&lt;'01_Вводные'!$B$245)+'01_Вводные'!$B$57*('06_Сеть_и_дети'!H$3&gt;='01_Вводные'!$B$245))))/2)</f>
        <v/>
      </c>
      <c r="I1395">
        <f>SUMPRODUCT(('01_Вводные'!$D$314:$D$318*'01_Вводные'!$B$314:$B$318*IF('01_Вводные'!$B$9=0,0,'06_Сеть_и_дети'!I11/'01_Вводные'!$B$9)+'06_Сеть_и_дети'!I20*'19_Расчет_аналитики'!I1818*'01_Вводные'!$C$314:$C$318*('01_Вводные'!$E$314:$E$318*('06_Сеть_и_дети'!I$3&lt;'01_Вводные'!$B$245)+'01_Вводные'!$B$57*('06_Сеть_и_дети'!I$3&gt;='01_Вводные'!$B$245))+ABS('01_Вводные'!$D$314:$D$318*'01_Вводные'!$B$314:$B$318*IF('01_Вводные'!$B$9=0,0,'06_Сеть_и_дети'!I11/'01_Вводные'!$B$9)-'06_Сеть_и_дети'!I20*'19_Расчет_аналитики'!I1818*'01_Вводные'!$C$314:$C$318*('01_Вводные'!$E$314:$E$318*('06_Сеть_и_дети'!I$3&lt;'01_Вводные'!$B$245)+'01_Вводные'!$B$57*('06_Сеть_и_дети'!I$3&gt;='01_Вводные'!$B$245))))/2)</f>
        <v/>
      </c>
      <c r="J1395">
        <f>SUMPRODUCT(('01_Вводные'!$D$314:$D$318*'01_Вводные'!$B$314:$B$318*IF('01_Вводные'!$B$9=0,0,'06_Сеть_и_дети'!J11/'01_Вводные'!$B$9)+'06_Сеть_и_дети'!J20*'19_Расчет_аналитики'!J1818*'01_Вводные'!$C$314:$C$318*('01_Вводные'!$E$314:$E$318*('06_Сеть_и_дети'!J$3&lt;'01_Вводные'!$B$245)+'01_Вводные'!$B$57*('06_Сеть_и_дети'!J$3&gt;='01_Вводные'!$B$245))+ABS('01_Вводные'!$D$314:$D$318*'01_Вводные'!$B$314:$B$318*IF('01_Вводные'!$B$9=0,0,'06_Сеть_и_дети'!J11/'01_Вводные'!$B$9)-'06_Сеть_и_дети'!J20*'19_Расчет_аналитики'!J1818*'01_Вводные'!$C$314:$C$318*('01_Вводные'!$E$314:$E$318*('06_Сеть_и_дети'!J$3&lt;'01_Вводные'!$B$245)+'01_Вводные'!$B$57*('06_Сеть_и_дети'!J$3&gt;='01_Вводные'!$B$245))))/2)</f>
        <v/>
      </c>
      <c r="K1395">
        <f>SUMPRODUCT(('01_Вводные'!$D$314:$D$318*'01_Вводные'!$B$314:$B$318*IF('01_Вводные'!$B$9=0,0,'06_Сеть_и_дети'!K11/'01_Вводные'!$B$9)+'06_Сеть_и_дети'!K20*'19_Расчет_аналитики'!K1818*'01_Вводные'!$C$314:$C$318*('01_Вводные'!$E$314:$E$318*('06_Сеть_и_дети'!K$3&lt;'01_Вводные'!$B$245)+'01_Вводные'!$B$57*('06_Сеть_и_дети'!K$3&gt;='01_Вводные'!$B$245))+ABS('01_Вводные'!$D$314:$D$318*'01_Вводные'!$B$314:$B$318*IF('01_Вводные'!$B$9=0,0,'06_Сеть_и_дети'!K11/'01_Вводные'!$B$9)-'06_Сеть_и_дети'!K20*'19_Расчет_аналитики'!K1818*'01_Вводные'!$C$314:$C$318*('01_Вводные'!$E$314:$E$318*('06_Сеть_и_дети'!K$3&lt;'01_Вводные'!$B$245)+'01_Вводные'!$B$57*('06_Сеть_и_дети'!K$3&gt;='01_Вводные'!$B$245))))/2)</f>
        <v/>
      </c>
      <c r="L1395">
        <f>SUMPRODUCT(('01_Вводные'!$D$314:$D$318*'01_Вводные'!$B$314:$B$318*IF('01_Вводные'!$B$9=0,0,'06_Сеть_и_дети'!L11/'01_Вводные'!$B$9)+'06_Сеть_и_дети'!L20*'19_Расчет_аналитики'!L1818*'01_Вводные'!$C$314:$C$318*('01_Вводные'!$E$314:$E$318*('06_Сеть_и_дети'!L$3&lt;'01_Вводные'!$B$245)+'01_Вводные'!$B$57*('06_Сеть_и_дети'!L$3&gt;='01_Вводные'!$B$245))+ABS('01_Вводные'!$D$314:$D$318*'01_Вводные'!$B$314:$B$318*IF('01_Вводные'!$B$9=0,0,'06_Сеть_и_дети'!L11/'01_Вводные'!$B$9)-'06_Сеть_и_дети'!L20*'19_Расчет_аналитики'!L1818*'01_Вводные'!$C$314:$C$318*('01_Вводные'!$E$314:$E$318*('06_Сеть_и_дети'!L$3&lt;'01_Вводные'!$B$245)+'01_Вводные'!$B$57*('06_Сеть_и_дети'!L$3&gt;='01_Вводные'!$B$245))))/2)</f>
        <v/>
      </c>
      <c r="M1395">
        <f>SUMPRODUCT(('01_Вводные'!$D$314:$D$318*'01_Вводные'!$B$314:$B$318*IF('01_Вводные'!$B$9=0,0,'06_Сеть_и_дети'!M11/'01_Вводные'!$B$9)+'06_Сеть_и_дети'!M20*'19_Расчет_аналитики'!M1818*'01_Вводные'!$C$314:$C$318*('01_Вводные'!$E$314:$E$318*('06_Сеть_и_дети'!M$3&lt;'01_Вводные'!$B$245)+'01_Вводные'!$B$57*('06_Сеть_и_дети'!M$3&gt;='01_Вводные'!$B$245))+ABS('01_Вводные'!$D$314:$D$318*'01_Вводные'!$B$314:$B$318*IF('01_Вводные'!$B$9=0,0,'06_Сеть_и_дети'!M11/'01_Вводные'!$B$9)-'06_Сеть_и_дети'!M20*'19_Расчет_аналитики'!M1818*'01_Вводные'!$C$314:$C$318*('01_Вводные'!$E$314:$E$318*('06_Сеть_и_дети'!M$3&lt;'01_Вводные'!$B$245)+'01_Вводные'!$B$57*('06_Сеть_и_дети'!M$3&gt;='01_Вводные'!$B$245))))/2)</f>
        <v/>
      </c>
      <c r="N1395">
        <f>SUMPRODUCT(('01_Вводные'!$D$314:$D$318*'01_Вводные'!$B$314:$B$318*IF('01_Вводные'!$B$9=0,0,'06_Сеть_и_дети'!N11/'01_Вводные'!$B$9)+'06_Сеть_и_дети'!N20*'19_Расчет_аналитики'!N1818*'01_Вводные'!$C$314:$C$318*('01_Вводные'!$E$314:$E$318*('06_Сеть_и_дети'!N$3&lt;'01_Вводные'!$B$245)+'01_Вводные'!$B$57*('06_Сеть_и_дети'!N$3&gt;='01_Вводные'!$B$245))+ABS('01_Вводные'!$D$314:$D$318*'01_Вводные'!$B$314:$B$318*IF('01_Вводные'!$B$9=0,0,'06_Сеть_и_дети'!N11/'01_Вводные'!$B$9)-'06_Сеть_и_дети'!N20*'19_Расчет_аналитики'!N1818*'01_Вводные'!$C$314:$C$318*('01_Вводные'!$E$314:$E$318*('06_Сеть_и_дети'!N$3&lt;'01_Вводные'!$B$245)+'01_Вводные'!$B$57*('06_Сеть_и_дети'!N$3&gt;='01_Вводные'!$B$245))))/2)</f>
        <v/>
      </c>
      <c r="O1395">
        <f>SUMPRODUCT(('01_Вводные'!$D$314:$D$318*'01_Вводные'!$B$314:$B$318*IF('01_Вводные'!$B$9=0,0,'06_Сеть_и_дети'!O11/'01_Вводные'!$B$9)+'06_Сеть_и_дети'!O20*'19_Расчет_аналитики'!O1818*'01_Вводные'!$C$314:$C$318*('01_Вводные'!$E$314:$E$318*('06_Сеть_и_дети'!O$3&lt;'01_Вводные'!$B$245)+'01_Вводные'!$B$57*('06_Сеть_и_дети'!O$3&gt;='01_Вводные'!$B$245))+ABS('01_Вводные'!$D$314:$D$318*'01_Вводные'!$B$314:$B$318*IF('01_Вводные'!$B$9=0,0,'06_Сеть_и_дети'!O11/'01_Вводные'!$B$9)-'06_Сеть_и_дети'!O20*'19_Расчет_аналитики'!O1818*'01_Вводные'!$C$314:$C$318*('01_Вводные'!$E$314:$E$318*('06_Сеть_и_дети'!O$3&lt;'01_Вводные'!$B$245)+'01_Вводные'!$B$57*('06_Сеть_и_дети'!O$3&gt;='01_Вводные'!$B$245))))/2)</f>
        <v/>
      </c>
      <c r="P1395">
        <f>SUMPRODUCT(('01_Вводные'!$D$314:$D$318*'01_Вводные'!$B$314:$B$318*IF('01_Вводные'!$B$9=0,0,'06_Сеть_и_дети'!P11/'01_Вводные'!$B$9)+'06_Сеть_и_дети'!P20*'19_Расчет_аналитики'!P1818*'01_Вводные'!$C$314:$C$318*('01_Вводные'!$E$314:$E$318*('06_Сеть_и_дети'!P$3&lt;'01_Вводные'!$B$245)+'01_Вводные'!$B$57*('06_Сеть_и_дети'!P$3&gt;='01_Вводные'!$B$245))+ABS('01_Вводные'!$D$314:$D$318*'01_Вводные'!$B$314:$B$318*IF('01_Вводные'!$B$9=0,0,'06_Сеть_и_дети'!P11/'01_Вводные'!$B$9)-'06_Сеть_и_дети'!P20*'19_Расчет_аналитики'!P1818*'01_Вводные'!$C$314:$C$318*('01_Вводные'!$E$314:$E$318*('06_Сеть_и_дети'!P$3&lt;'01_Вводные'!$B$245)+'01_Вводные'!$B$57*('06_Сеть_и_дети'!P$3&gt;='01_Вводные'!$B$245))))/2)</f>
        <v/>
      </c>
      <c r="Q1395">
        <f>SUMPRODUCT(('01_Вводные'!$D$314:$D$318*'01_Вводные'!$B$314:$B$318*IF('01_Вводные'!$B$9=0,0,'06_Сеть_и_дети'!Q11/'01_Вводные'!$B$9)+'06_Сеть_и_дети'!Q20*'19_Расчет_аналитики'!Q1818*'01_Вводные'!$C$314:$C$318*('01_Вводные'!$E$314:$E$318*('06_Сеть_и_дети'!Q$3&lt;'01_Вводные'!$B$245)+'01_Вводные'!$B$57*('06_Сеть_и_дети'!Q$3&gt;='01_Вводные'!$B$245))+ABS('01_Вводные'!$D$314:$D$318*'01_Вводные'!$B$314:$B$318*IF('01_Вводные'!$B$9=0,0,'06_Сеть_и_дети'!Q11/'01_Вводные'!$B$9)-'06_Сеть_и_дети'!Q20*'19_Расчет_аналитики'!Q1818*'01_Вводные'!$C$314:$C$318*('01_Вводные'!$E$314:$E$318*('06_Сеть_и_дети'!Q$3&lt;'01_Вводные'!$B$245)+'01_Вводные'!$B$57*('06_Сеть_и_дети'!Q$3&gt;='01_Вводные'!$B$245))))/2)</f>
        <v/>
      </c>
      <c r="R1395">
        <f>SUMPRODUCT(('01_Вводные'!$D$314:$D$318*'01_Вводные'!$B$314:$B$318*IF('01_Вводные'!$B$9=0,0,'06_Сеть_и_дети'!R11/'01_Вводные'!$B$9)+'06_Сеть_и_дети'!R20*'19_Расчет_аналитики'!R1818*'01_Вводные'!$C$314:$C$318*('01_Вводные'!$E$314:$E$318*('06_Сеть_и_дети'!R$3&lt;'01_Вводные'!$B$245)+'01_Вводные'!$B$57*('06_Сеть_и_дети'!R$3&gt;='01_Вводные'!$B$245))+ABS('01_Вводные'!$D$314:$D$318*'01_Вводные'!$B$314:$B$318*IF('01_Вводные'!$B$9=0,0,'06_Сеть_и_дети'!R11/'01_Вводные'!$B$9)-'06_Сеть_и_дети'!R20*'19_Расчет_аналитики'!R1818*'01_Вводные'!$C$314:$C$318*('01_Вводные'!$E$314:$E$318*('06_Сеть_и_дети'!R$3&lt;'01_Вводные'!$B$245)+'01_Вводные'!$B$57*('06_Сеть_и_дети'!R$3&gt;='01_Вводные'!$B$245))))/2)</f>
        <v/>
      </c>
      <c r="S1395">
        <f>SUMPRODUCT(('01_Вводные'!$D$314:$D$318*'01_Вводные'!$B$314:$B$318*IF('01_Вводные'!$B$9=0,0,'06_Сеть_и_дети'!S11/'01_Вводные'!$B$9)+'06_Сеть_и_дети'!S20*'19_Расчет_аналитики'!S1818*'01_Вводные'!$C$314:$C$318*('01_Вводные'!$E$314:$E$318*('06_Сеть_и_дети'!S$3&lt;'01_Вводные'!$B$245)+'01_Вводные'!$B$57*('06_Сеть_и_дети'!S$3&gt;='01_Вводные'!$B$245))+ABS('01_Вводные'!$D$314:$D$318*'01_Вводные'!$B$314:$B$318*IF('01_Вводные'!$B$9=0,0,'06_Сеть_и_дети'!S11/'01_Вводные'!$B$9)-'06_Сеть_и_дети'!S20*'19_Расчет_аналитики'!S1818*'01_Вводные'!$C$314:$C$318*('01_Вводные'!$E$314:$E$318*('06_Сеть_и_дети'!S$3&lt;'01_Вводные'!$B$245)+'01_Вводные'!$B$57*('06_Сеть_и_дети'!S$3&gt;='01_Вводные'!$B$245))))/2)</f>
        <v/>
      </c>
      <c r="T1395">
        <f>SUMPRODUCT(('01_Вводные'!$D$314:$D$318*'01_Вводные'!$B$314:$B$318*IF('01_Вводные'!$B$9=0,0,'06_Сеть_и_дети'!T11/'01_Вводные'!$B$9)+'06_Сеть_и_дети'!T20*'19_Расчет_аналитики'!T1818*'01_Вводные'!$C$314:$C$318*('01_Вводные'!$E$314:$E$318*('06_Сеть_и_дети'!T$3&lt;'01_Вводные'!$B$245)+'01_Вводные'!$B$57*('06_Сеть_и_дети'!T$3&gt;='01_Вводные'!$B$245))+ABS('01_Вводные'!$D$314:$D$318*'01_Вводные'!$B$314:$B$318*IF('01_Вводные'!$B$9=0,0,'06_Сеть_и_дети'!T11/'01_Вводные'!$B$9)-'06_Сеть_и_дети'!T20*'19_Расчет_аналитики'!T1818*'01_Вводные'!$C$314:$C$318*('01_Вводные'!$E$314:$E$318*('06_Сеть_и_дети'!T$3&lt;'01_Вводные'!$B$245)+'01_Вводные'!$B$57*('06_Сеть_и_дети'!T$3&gt;='01_Вводные'!$B$245))))/2)</f>
        <v/>
      </c>
      <c r="U1395">
        <f>SUMPRODUCT(('01_Вводные'!$D$314:$D$318*'01_Вводные'!$B$314:$B$318*IF('01_Вводные'!$B$9=0,0,'06_Сеть_и_дети'!U11/'01_Вводные'!$B$9)+'06_Сеть_и_дети'!U20*'19_Расчет_аналитики'!U1818*'01_Вводные'!$C$314:$C$318*('01_Вводные'!$E$314:$E$318*('06_Сеть_и_дети'!U$3&lt;'01_Вводные'!$B$245)+'01_Вводные'!$B$57*('06_Сеть_и_дети'!U$3&gt;='01_Вводные'!$B$245))+ABS('01_Вводные'!$D$314:$D$318*'01_Вводные'!$B$314:$B$318*IF('01_Вводные'!$B$9=0,0,'06_Сеть_и_дети'!U11/'01_Вводные'!$B$9)-'06_Сеть_и_дети'!U20*'19_Расчет_аналитики'!U1818*'01_Вводные'!$C$314:$C$318*('01_Вводные'!$E$314:$E$318*('06_Сеть_и_дети'!U$3&lt;'01_Вводные'!$B$245)+'01_Вводные'!$B$57*('06_Сеть_и_дети'!U$3&gt;='01_Вводные'!$B$245))))/2)</f>
        <v/>
      </c>
      <c r="V1395">
        <f>SUMPRODUCT(('01_Вводные'!$D$314:$D$318*'01_Вводные'!$B$314:$B$318*IF('01_Вводные'!$B$9=0,0,'06_Сеть_и_дети'!V11/'01_Вводные'!$B$9)+'06_Сеть_и_дети'!V20*'19_Расчет_аналитики'!V1818*'01_Вводные'!$C$314:$C$318*('01_Вводные'!$E$314:$E$318*('06_Сеть_и_дети'!V$3&lt;'01_Вводные'!$B$245)+'01_Вводные'!$B$57*('06_Сеть_и_дети'!V$3&gt;='01_Вводные'!$B$245))+ABS('01_Вводные'!$D$314:$D$318*'01_Вводные'!$B$314:$B$318*IF('01_Вводные'!$B$9=0,0,'06_Сеть_и_дети'!V11/'01_Вводные'!$B$9)-'06_Сеть_и_дети'!V20*'19_Расчет_аналитики'!V1818*'01_Вводные'!$C$314:$C$318*('01_Вводные'!$E$314:$E$318*('06_Сеть_и_дети'!V$3&lt;'01_Вводные'!$B$245)+'01_Вводные'!$B$57*('06_Сеть_и_дети'!V$3&gt;='01_Вводные'!$B$245))))/2)</f>
        <v/>
      </c>
      <c r="W1395">
        <f>SUMPRODUCT(('01_Вводные'!$D$314:$D$318*'01_Вводные'!$B$314:$B$318*IF('01_Вводные'!$B$9=0,0,'06_Сеть_и_дети'!W11/'01_Вводные'!$B$9)+'06_Сеть_и_дети'!W20*'19_Расчет_аналитики'!W1818*'01_Вводные'!$C$314:$C$318*('01_Вводные'!$E$314:$E$318*('06_Сеть_и_дети'!W$3&lt;'01_Вводные'!$B$245)+'01_Вводные'!$B$57*('06_Сеть_и_дети'!W$3&gt;='01_Вводные'!$B$245))+ABS('01_Вводные'!$D$314:$D$318*'01_Вводные'!$B$314:$B$318*IF('01_Вводные'!$B$9=0,0,'06_Сеть_и_дети'!W11/'01_Вводные'!$B$9)-'06_Сеть_и_дети'!W20*'19_Расчет_аналитики'!W1818*'01_Вводные'!$C$314:$C$318*('01_Вводные'!$E$314:$E$318*('06_Сеть_и_дети'!W$3&lt;'01_Вводные'!$B$245)+'01_Вводные'!$B$57*('06_Сеть_и_дети'!W$3&gt;='01_Вводные'!$B$245))))/2)</f>
        <v/>
      </c>
      <c r="X1395">
        <f>SUMPRODUCT(('01_Вводные'!$D$314:$D$318*'01_Вводные'!$B$314:$B$318*IF('01_Вводные'!$B$9=0,0,'06_Сеть_и_дети'!X11/'01_Вводные'!$B$9)+'06_Сеть_и_дети'!X20*'19_Расчет_аналитики'!X1818*'01_Вводные'!$C$314:$C$318*('01_Вводные'!$E$314:$E$318*('06_Сеть_и_дети'!X$3&lt;'01_Вводные'!$B$245)+'01_Вводные'!$B$57*('06_Сеть_и_дети'!X$3&gt;='01_Вводные'!$B$245))+ABS('01_Вводные'!$D$314:$D$318*'01_Вводные'!$B$314:$B$318*IF('01_Вводные'!$B$9=0,0,'06_Сеть_и_дети'!X11/'01_Вводные'!$B$9)-'06_Сеть_и_дети'!X20*'19_Расчет_аналитики'!X1818*'01_Вводные'!$C$314:$C$318*('01_Вводные'!$E$314:$E$318*('06_Сеть_и_дети'!X$3&lt;'01_Вводные'!$B$245)+'01_Вводные'!$B$57*('06_Сеть_и_дети'!X$3&gt;='01_Вводные'!$B$245))))/2)</f>
        <v/>
      </c>
      <c r="Y1395">
        <f>SUMPRODUCT(('01_Вводные'!$D$314:$D$318*'01_Вводные'!$B$314:$B$318*IF('01_Вводные'!$B$9=0,0,'06_Сеть_и_дети'!Y11/'01_Вводные'!$B$9)+'06_Сеть_и_дети'!Y20*'19_Расчет_аналитики'!Y1818*'01_Вводные'!$C$314:$C$318*('01_Вводные'!$E$314:$E$318*('06_Сеть_и_дети'!Y$3&lt;'01_Вводные'!$B$245)+'01_Вводные'!$B$57*('06_Сеть_и_дети'!Y$3&gt;='01_Вводные'!$B$245))+ABS('01_Вводные'!$D$314:$D$318*'01_Вводные'!$B$314:$B$318*IF('01_Вводные'!$B$9=0,0,'06_Сеть_и_дети'!Y11/'01_Вводные'!$B$9)-'06_Сеть_и_дети'!Y20*'19_Расчет_аналитики'!Y1818*'01_Вводные'!$C$314:$C$318*('01_Вводные'!$E$314:$E$318*('06_Сеть_и_дети'!Y$3&lt;'01_Вводные'!$B$245)+'01_Вводные'!$B$57*('06_Сеть_и_дети'!Y$3&gt;='01_Вводные'!$B$245))))/2)</f>
        <v/>
      </c>
      <c r="Z1395">
        <f>SUMPRODUCT(('01_Вводные'!$D$314:$D$318*'01_Вводные'!$B$314:$B$318*IF('01_Вводные'!$B$9=0,0,'06_Сеть_и_дети'!Z11/'01_Вводные'!$B$9)+'06_Сеть_и_дети'!Z20*'19_Расчет_аналитики'!Z1818*'01_Вводные'!$C$314:$C$318*('01_Вводные'!$E$314:$E$318*('06_Сеть_и_дети'!Z$3&lt;'01_Вводные'!$B$245)+'01_Вводные'!$B$57*('06_Сеть_и_дети'!Z$3&gt;='01_Вводные'!$B$245))+ABS('01_Вводные'!$D$314:$D$318*'01_Вводные'!$B$314:$B$318*IF('01_Вводные'!$B$9=0,0,'06_Сеть_и_дети'!Z11/'01_Вводные'!$B$9)-'06_Сеть_и_дети'!Z20*'19_Расчет_аналитики'!Z1818*'01_Вводные'!$C$314:$C$318*('01_Вводные'!$E$314:$E$318*('06_Сеть_и_дети'!Z$3&lt;'01_Вводные'!$B$245)+'01_Вводные'!$B$57*('06_Сеть_и_дети'!Z$3&gt;='01_Вводные'!$B$245))))/2)</f>
        <v/>
      </c>
      <c r="AA1395">
        <f>SUMPRODUCT(('01_Вводные'!$D$314:$D$318*'01_Вводные'!$B$314:$B$318*IF('01_Вводные'!$B$9=0,0,'06_Сеть_и_дети'!AA11/'01_Вводные'!$B$9)+'06_Сеть_и_дети'!AA20*'19_Расчет_аналитики'!AA1818*'01_Вводные'!$C$314:$C$318*('01_Вводные'!$E$314:$E$318*('06_Сеть_и_дети'!AA$3&lt;'01_Вводные'!$B$245)+'01_Вводные'!$B$57*('06_Сеть_и_дети'!AA$3&gt;='01_Вводные'!$B$245))+ABS('01_Вводные'!$D$314:$D$318*'01_Вводные'!$B$314:$B$318*IF('01_Вводные'!$B$9=0,0,'06_Сеть_и_дети'!AA11/'01_Вводные'!$B$9)-'06_Сеть_и_дети'!AA20*'19_Расчет_аналитики'!AA1818*'01_Вводные'!$C$314:$C$318*('01_Вводные'!$E$314:$E$318*('06_Сеть_и_дети'!AA$3&lt;'01_Вводные'!$B$245)+'01_Вводные'!$B$57*('06_Сеть_и_дети'!AA$3&gt;='01_Вводные'!$B$245))))/2)</f>
        <v/>
      </c>
      <c r="AB1395">
        <f>SUMPRODUCT(('01_Вводные'!$D$314:$D$318*'01_Вводные'!$B$314:$B$318*IF('01_Вводные'!$B$9=0,0,'06_Сеть_и_дети'!AB11/'01_Вводные'!$B$9)+'06_Сеть_и_дети'!AB20*'19_Расчет_аналитики'!AB1818*'01_Вводные'!$C$314:$C$318*('01_Вводные'!$E$314:$E$318*('06_Сеть_и_дети'!AB$3&lt;'01_Вводные'!$B$245)+'01_Вводные'!$B$57*('06_Сеть_и_дети'!AB$3&gt;='01_Вводные'!$B$245))+ABS('01_Вводные'!$D$314:$D$318*'01_Вводные'!$B$314:$B$318*IF('01_Вводные'!$B$9=0,0,'06_Сеть_и_дети'!AB11/'01_Вводные'!$B$9)-'06_Сеть_и_дети'!AB20*'19_Расчет_аналитики'!AB1818*'01_Вводные'!$C$314:$C$318*('01_Вводные'!$E$314:$E$318*('06_Сеть_и_дети'!AB$3&lt;'01_Вводные'!$B$245)+'01_Вводные'!$B$57*('06_Сеть_и_дети'!AB$3&gt;='01_Вводные'!$B$245))))/2)</f>
        <v/>
      </c>
      <c r="AC1395">
        <f>SUMPRODUCT(('01_Вводные'!$D$314:$D$318*'01_Вводные'!$B$314:$B$318*IF('01_Вводные'!$B$9=0,0,'06_Сеть_и_дети'!AC11/'01_Вводные'!$B$9)+'06_Сеть_и_дети'!AC20*'19_Расчет_аналитики'!AC1818*'01_Вводные'!$C$314:$C$318*('01_Вводные'!$E$314:$E$318*('06_Сеть_и_дети'!AC$3&lt;'01_Вводные'!$B$245)+'01_Вводные'!$B$57*('06_Сеть_и_дети'!AC$3&gt;='01_Вводные'!$B$245))+ABS('01_Вводные'!$D$314:$D$318*'01_Вводные'!$B$314:$B$318*IF('01_Вводные'!$B$9=0,0,'06_Сеть_и_дети'!AC11/'01_Вводные'!$B$9)-'06_Сеть_и_дети'!AC20*'19_Расчет_аналитики'!AC1818*'01_Вводные'!$C$314:$C$318*('01_Вводные'!$E$314:$E$318*('06_Сеть_и_дети'!AC$3&lt;'01_Вводные'!$B$245)+'01_Вводные'!$B$57*('06_Сеть_и_дети'!AC$3&gt;='01_Вводные'!$B$245))))/2)</f>
        <v/>
      </c>
      <c r="AD1395">
        <f>SUMPRODUCT(('01_Вводные'!$D$314:$D$318*'01_Вводные'!$B$314:$B$318*IF('01_Вводные'!$B$9=0,0,'06_Сеть_и_дети'!AD11/'01_Вводные'!$B$9)+'06_Сеть_и_дети'!AD20*'19_Расчет_аналитики'!AD1818*'01_Вводные'!$C$314:$C$318*('01_Вводные'!$E$314:$E$318*('06_Сеть_и_дети'!AD$3&lt;'01_Вводные'!$B$245)+'01_Вводные'!$B$57*('06_Сеть_и_дети'!AD$3&gt;='01_Вводные'!$B$245))+ABS('01_Вводные'!$D$314:$D$318*'01_Вводные'!$B$314:$B$318*IF('01_Вводные'!$B$9=0,0,'06_Сеть_и_дети'!AD11/'01_Вводные'!$B$9)-'06_Сеть_и_дети'!AD20*'19_Расчет_аналитики'!AD1818*'01_Вводные'!$C$314:$C$318*('01_Вводные'!$E$314:$E$318*('06_Сеть_и_дети'!AD$3&lt;'01_Вводные'!$B$245)+'01_Вводные'!$B$57*('06_Сеть_и_дети'!AD$3&gt;='01_Вводные'!$B$245))))/2)</f>
        <v/>
      </c>
      <c r="AE1395">
        <f>SUMPRODUCT(('01_Вводные'!$D$314:$D$318*'01_Вводные'!$B$314:$B$318*IF('01_Вводные'!$B$9=0,0,'06_Сеть_и_дети'!AE11/'01_Вводные'!$B$9)+'06_Сеть_и_дети'!AE20*'19_Расчет_аналитики'!AE1818*'01_Вводные'!$C$314:$C$318*('01_Вводные'!$E$314:$E$318*('06_Сеть_и_дети'!AE$3&lt;'01_Вводные'!$B$245)+'01_Вводные'!$B$57*('06_Сеть_и_дети'!AE$3&gt;='01_Вводные'!$B$245))+ABS('01_Вводные'!$D$314:$D$318*'01_Вводные'!$B$314:$B$318*IF('01_Вводные'!$B$9=0,0,'06_Сеть_и_дети'!AE11/'01_Вводные'!$B$9)-'06_Сеть_и_дети'!AE20*'19_Расчет_аналитики'!AE1818*'01_Вводные'!$C$314:$C$318*('01_Вводные'!$E$314:$E$318*('06_Сеть_и_дети'!AE$3&lt;'01_Вводные'!$B$245)+'01_Вводные'!$B$57*('06_Сеть_и_дети'!AE$3&gt;='01_Вводные'!$B$245))))/2)</f>
        <v/>
      </c>
      <c r="AF1395">
        <f>SUMPRODUCT(('01_Вводные'!$D$314:$D$318*'01_Вводные'!$B$314:$B$318*IF('01_Вводные'!$B$9=0,0,'06_Сеть_и_дети'!AF11/'01_Вводные'!$B$9)+'06_Сеть_и_дети'!AF20*'19_Расчет_аналитики'!AF1818*'01_Вводные'!$C$314:$C$318*('01_Вводные'!$E$314:$E$318*('06_Сеть_и_дети'!AF$3&lt;'01_Вводные'!$B$245)+'01_Вводные'!$B$57*('06_Сеть_и_дети'!AF$3&gt;='01_Вводные'!$B$245))+ABS('01_Вводные'!$D$314:$D$318*'01_Вводные'!$B$314:$B$318*IF('01_Вводные'!$B$9=0,0,'06_Сеть_и_дети'!AF11/'01_Вводные'!$B$9)-'06_Сеть_и_дети'!AF20*'19_Расчет_аналитики'!AF1818*'01_Вводные'!$C$314:$C$318*('01_Вводные'!$E$314:$E$318*('06_Сеть_и_дети'!AF$3&lt;'01_Вводные'!$B$245)+'01_Вводные'!$B$57*('06_Сеть_и_дети'!AF$3&gt;='01_Вводные'!$B$245))))/2)</f>
        <v/>
      </c>
      <c r="AG1395">
        <f>SUMPRODUCT(('01_Вводные'!$D$314:$D$318*'01_Вводные'!$B$314:$B$318*IF('01_Вводные'!$B$9=0,0,'06_Сеть_и_дети'!AG11/'01_Вводные'!$B$9)+'06_Сеть_и_дети'!AG20*'19_Расчет_аналитики'!AG1818*'01_Вводные'!$C$314:$C$318*('01_Вводные'!$E$314:$E$318*('06_Сеть_и_дети'!AG$3&lt;'01_Вводные'!$B$245)+'01_Вводные'!$B$57*('06_Сеть_и_дети'!AG$3&gt;='01_Вводные'!$B$245))+ABS('01_Вводные'!$D$314:$D$318*'01_Вводные'!$B$314:$B$318*IF('01_Вводные'!$B$9=0,0,'06_Сеть_и_дети'!AG11/'01_Вводные'!$B$9)-'06_Сеть_и_дети'!AG20*'19_Расчет_аналитики'!AG1818*'01_Вводные'!$C$314:$C$318*('01_Вводные'!$E$314:$E$318*('06_Сеть_и_дети'!AG$3&lt;'01_Вводные'!$B$245)+'01_Вводные'!$B$57*('06_Сеть_и_дети'!AG$3&gt;='01_Вводные'!$B$245))))/2)</f>
        <v/>
      </c>
      <c r="AH1395">
        <f>SUMPRODUCT(('01_Вводные'!$D$314:$D$318*'01_Вводные'!$B$314:$B$318*IF('01_Вводные'!$B$9=0,0,'06_Сеть_и_дети'!AH11/'01_Вводные'!$B$9)+'06_Сеть_и_дети'!AH20*'19_Расчет_аналитики'!AH1818*'01_Вводные'!$C$314:$C$318*('01_Вводные'!$E$314:$E$318*('06_Сеть_и_дети'!AH$3&lt;'01_Вводные'!$B$245)+'01_Вводные'!$B$57*('06_Сеть_и_дети'!AH$3&gt;='01_Вводные'!$B$245))+ABS('01_Вводные'!$D$314:$D$318*'01_Вводные'!$B$314:$B$318*IF('01_Вводные'!$B$9=0,0,'06_Сеть_и_дети'!AH11/'01_Вводные'!$B$9)-'06_Сеть_и_дети'!AH20*'19_Расчет_аналитики'!AH1818*'01_Вводные'!$C$314:$C$318*('01_Вводные'!$E$314:$E$318*('06_Сеть_и_дети'!AH$3&lt;'01_Вводные'!$B$245)+'01_Вводные'!$B$57*('06_Сеть_и_дети'!AH$3&gt;='01_Вводные'!$B$245))))/2)</f>
        <v/>
      </c>
      <c r="AI1395">
        <f>SUMPRODUCT(('01_Вводные'!$D$314:$D$318*'01_Вводные'!$B$314:$B$318*IF('01_Вводные'!$B$9=0,0,'06_Сеть_и_дети'!AI11/'01_Вводные'!$B$9)+'06_Сеть_и_дети'!AI20*'19_Расчет_аналитики'!AI1818*'01_Вводные'!$C$314:$C$318*('01_Вводные'!$E$314:$E$318*('06_Сеть_и_дети'!AI$3&lt;'01_Вводные'!$B$245)+'01_Вводные'!$B$57*('06_Сеть_и_дети'!AI$3&gt;='01_Вводные'!$B$245))+ABS('01_Вводные'!$D$314:$D$318*'01_Вводные'!$B$314:$B$318*IF('01_Вводные'!$B$9=0,0,'06_Сеть_и_дети'!AI11/'01_Вводные'!$B$9)-'06_Сеть_и_дети'!AI20*'19_Расчет_аналитики'!AI1818*'01_Вводные'!$C$314:$C$318*('01_Вводные'!$E$314:$E$318*('06_Сеть_и_дети'!AI$3&lt;'01_Вводные'!$B$245)+'01_Вводные'!$B$57*('06_Сеть_и_дети'!AI$3&gt;='01_Вводные'!$B$245))))/2)</f>
        <v/>
      </c>
      <c r="AJ1395">
        <f>SUMPRODUCT(('01_Вводные'!$D$314:$D$318*'01_Вводные'!$B$314:$B$318*IF('01_Вводные'!$B$9=0,0,'06_Сеть_и_дети'!AJ11/'01_Вводные'!$B$9)+'06_Сеть_и_дети'!AJ20*'19_Расчет_аналитики'!AJ1818*'01_Вводные'!$C$314:$C$318*('01_Вводные'!$E$314:$E$318*('06_Сеть_и_дети'!AJ$3&lt;'01_Вводные'!$B$245)+'01_Вводные'!$B$57*('06_Сеть_и_дети'!AJ$3&gt;='01_Вводные'!$B$245))+ABS('01_Вводные'!$D$314:$D$318*'01_Вводные'!$B$314:$B$318*IF('01_Вводные'!$B$9=0,0,'06_Сеть_и_дети'!AJ11/'01_Вводные'!$B$9)-'06_Сеть_и_дети'!AJ20*'19_Расчет_аналитики'!AJ1818*'01_Вводные'!$C$314:$C$318*('01_Вводные'!$E$314:$E$318*('06_Сеть_и_дети'!AJ$3&lt;'01_Вводные'!$B$245)+'01_Вводные'!$B$57*('06_Сеть_и_дети'!AJ$3&gt;='01_Вводные'!$B$245))))/2)</f>
        <v/>
      </c>
      <c r="AK1395">
        <f>SUMPRODUCT(('01_Вводные'!$D$314:$D$318*'01_Вводные'!$B$314:$B$318*IF('01_Вводные'!$B$9=0,0,'06_Сеть_и_дети'!AK11/'01_Вводные'!$B$9)+'06_Сеть_и_дети'!AK20*'19_Расчет_аналитики'!AK1818*'01_Вводные'!$C$314:$C$318*('01_Вводные'!$E$314:$E$318*('06_Сеть_и_дети'!AK$3&lt;'01_Вводные'!$B$245)+'01_Вводные'!$B$57*('06_Сеть_и_дети'!AK$3&gt;='01_Вводные'!$B$245))+ABS('01_Вводные'!$D$314:$D$318*'01_Вводные'!$B$314:$B$318*IF('01_Вводные'!$B$9=0,0,'06_Сеть_и_дети'!AK11/'01_Вводные'!$B$9)-'06_Сеть_и_дети'!AK20*'19_Расчет_аналитики'!AK1818*'01_Вводные'!$C$314:$C$318*('01_Вводные'!$E$314:$E$318*('06_Сеть_и_дети'!AK$3&lt;'01_Вводные'!$B$245)+'01_Вводные'!$B$57*('06_Сеть_и_дети'!AK$3&gt;='01_Вводные'!$B$245))))/2)</f>
        <v/>
      </c>
      <c r="AL1395">
        <f>SUMPRODUCT(('01_Вводные'!$D$314:$D$318*'01_Вводные'!$B$314:$B$318*IF('01_Вводные'!$B$9=0,0,'06_Сеть_и_дети'!AL11/'01_Вводные'!$B$9)+'06_Сеть_и_дети'!AL20*'19_Расчет_аналитики'!AL1818*'01_Вводные'!$C$314:$C$318*('01_Вводные'!$E$314:$E$318*('06_Сеть_и_дети'!AL$3&lt;'01_Вводные'!$B$245)+'01_Вводные'!$B$57*('06_Сеть_и_дети'!AL$3&gt;='01_Вводные'!$B$245))+ABS('01_Вводные'!$D$314:$D$318*'01_Вводные'!$B$314:$B$318*IF('01_Вводные'!$B$9=0,0,'06_Сеть_и_дети'!AL11/'01_Вводные'!$B$9)-'06_Сеть_и_дети'!AL20*'19_Расчет_аналитики'!AL1818*'01_Вводные'!$C$314:$C$318*('01_Вводные'!$E$314:$E$318*('06_Сеть_и_дети'!AL$3&lt;'01_Вводные'!$B$245)+'01_Вводные'!$B$57*('06_Сеть_и_дети'!AL$3&gt;='01_Вводные'!$B$245))))/2)</f>
        <v/>
      </c>
      <c r="AM1395">
        <f>SUMPRODUCT(('01_Вводные'!$D$314:$D$318*'01_Вводные'!$B$314:$B$318*IF('01_Вводные'!$B$9=0,0,'06_Сеть_и_дети'!AM11/'01_Вводные'!$B$9)+'06_Сеть_и_дети'!AM20*'19_Расчет_аналитики'!AM1818*'01_Вводные'!$C$314:$C$318*('01_Вводные'!$E$314:$E$318*('06_Сеть_и_дети'!AM$3&lt;'01_Вводные'!$B$245)+'01_Вводные'!$B$57*('06_Сеть_и_дети'!AM$3&gt;='01_Вводные'!$B$245))+ABS('01_Вводные'!$D$314:$D$318*'01_Вводные'!$B$314:$B$318*IF('01_Вводные'!$B$9=0,0,'06_Сеть_и_дети'!AM11/'01_Вводные'!$B$9)-'06_Сеть_и_дети'!AM20*'19_Расчет_аналитики'!AM1818*'01_Вводные'!$C$314:$C$318*('01_Вводные'!$E$314:$E$318*('06_Сеть_и_дети'!AM$3&lt;'01_Вводные'!$B$245)+'01_Вводные'!$B$57*('06_Сеть_и_дети'!AM$3&gt;='01_Вводные'!$B$245))))/2)</f>
        <v/>
      </c>
      <c r="AN1395">
        <f>SUMPRODUCT(('01_Вводные'!$D$314:$D$318*'01_Вводные'!$B$314:$B$318*IF('01_Вводные'!$B$9=0,0,'06_Сеть_и_дети'!AN11/'01_Вводные'!$B$9)+'06_Сеть_и_дети'!AN20*'19_Расчет_аналитики'!AN1818*'01_Вводные'!$C$314:$C$318*('01_Вводные'!$E$314:$E$318*('06_Сеть_и_дети'!AN$3&lt;'01_Вводные'!$B$245)+'01_Вводные'!$B$57*('06_Сеть_и_дети'!AN$3&gt;='01_Вводные'!$B$245))+ABS('01_Вводные'!$D$314:$D$318*'01_Вводные'!$B$314:$B$318*IF('01_Вводные'!$B$9=0,0,'06_Сеть_и_дети'!AN11/'01_Вводные'!$B$9)-'06_Сеть_и_дети'!AN20*'19_Расчет_аналитики'!AN1818*'01_Вводные'!$C$314:$C$318*('01_Вводные'!$E$314:$E$318*('06_Сеть_и_дети'!AN$3&lt;'01_Вводные'!$B$245)+'01_Вводные'!$B$57*('06_Сеть_и_дети'!AN$3&gt;='01_Вводные'!$B$245))))/2)</f>
        <v/>
      </c>
      <c r="AO1395">
        <f>SUMPRODUCT(('01_Вводные'!$D$314:$D$318*'01_Вводные'!$B$314:$B$318*IF('01_Вводные'!$B$9=0,0,'06_Сеть_и_дети'!AO11/'01_Вводные'!$B$9)+'06_Сеть_и_дети'!AO20*'19_Расчет_аналитики'!AO1818*'01_Вводные'!$C$314:$C$318*('01_Вводные'!$E$314:$E$318*('06_Сеть_и_дети'!AO$3&lt;'01_Вводные'!$B$245)+'01_Вводные'!$B$57*('06_Сеть_и_дети'!AO$3&gt;='01_Вводные'!$B$245))+ABS('01_Вводные'!$D$314:$D$318*'01_Вводные'!$B$314:$B$318*IF('01_Вводные'!$B$9=0,0,'06_Сеть_и_дети'!AO11/'01_Вводные'!$B$9)-'06_Сеть_и_дети'!AO20*'19_Расчет_аналитики'!AO1818*'01_Вводные'!$C$314:$C$318*('01_Вводные'!$E$314:$E$318*('06_Сеть_и_дети'!AO$3&lt;'01_Вводные'!$B$245)+'01_Вводные'!$B$57*('06_Сеть_и_дети'!AO$3&gt;='01_Вводные'!$B$245))))/2)</f>
        <v/>
      </c>
      <c r="AP1395">
        <f>SUMPRODUCT(('01_Вводные'!$D$314:$D$318*'01_Вводные'!$B$314:$B$318*IF('01_Вводные'!$B$9=0,0,'06_Сеть_и_дети'!AP11/'01_Вводные'!$B$9)+'06_Сеть_и_дети'!AP20*'19_Расчет_аналитики'!AP1818*'01_Вводные'!$C$314:$C$318*('01_Вводные'!$E$314:$E$318*('06_Сеть_и_дети'!AP$3&lt;'01_Вводные'!$B$245)+'01_Вводные'!$B$57*('06_Сеть_и_дети'!AP$3&gt;='01_Вводные'!$B$245))+ABS('01_Вводные'!$D$314:$D$318*'01_Вводные'!$B$314:$B$318*IF('01_Вводные'!$B$9=0,0,'06_Сеть_и_дети'!AP11/'01_Вводные'!$B$9)-'06_Сеть_и_дети'!AP20*'19_Расчет_аналитики'!AP1818*'01_Вводные'!$C$314:$C$318*('01_Вводные'!$E$314:$E$318*('06_Сеть_и_дети'!AP$3&lt;'01_Вводные'!$B$245)+'01_Вводные'!$B$57*('06_Сеть_и_дети'!AP$3&gt;='01_Вводные'!$B$245))))/2)</f>
        <v/>
      </c>
      <c r="AQ1395">
        <f>SUMPRODUCT(('01_Вводные'!$D$314:$D$318*'01_Вводные'!$B$314:$B$318*IF('01_Вводные'!$B$9=0,0,'06_Сеть_и_дети'!AQ11/'01_Вводные'!$B$9)+'06_Сеть_и_дети'!AQ20*'19_Расчет_аналитики'!AQ1818*'01_Вводные'!$C$314:$C$318*('01_Вводные'!$E$314:$E$318*('06_Сеть_и_дети'!AQ$3&lt;'01_Вводные'!$B$245)+'01_Вводные'!$B$57*('06_Сеть_и_дети'!AQ$3&gt;='01_Вводные'!$B$245))+ABS('01_Вводные'!$D$314:$D$318*'01_Вводные'!$B$314:$B$318*IF('01_Вводные'!$B$9=0,0,'06_Сеть_и_дети'!AQ11/'01_Вводные'!$B$9)-'06_Сеть_и_дети'!AQ20*'19_Расчет_аналитики'!AQ1818*'01_Вводные'!$C$314:$C$318*('01_Вводные'!$E$314:$E$318*('06_Сеть_и_дети'!AQ$3&lt;'01_Вводные'!$B$245)+'01_Вводные'!$B$57*('06_Сеть_и_дети'!AQ$3&gt;='01_Вводные'!$B$245))))/2)</f>
        <v/>
      </c>
      <c r="AR1395">
        <f>SUMPRODUCT(('01_Вводные'!$D$314:$D$318*'01_Вводные'!$B$314:$B$318*IF('01_Вводные'!$B$9=0,0,'06_Сеть_и_дети'!AR11/'01_Вводные'!$B$9)+'06_Сеть_и_дети'!AR20*'19_Расчет_аналитики'!AR1818*'01_Вводные'!$C$314:$C$318*('01_Вводные'!$E$314:$E$318*('06_Сеть_и_дети'!AR$3&lt;'01_Вводные'!$B$245)+'01_Вводные'!$B$57*('06_Сеть_и_дети'!AR$3&gt;='01_Вводные'!$B$245))+ABS('01_Вводные'!$D$314:$D$318*'01_Вводные'!$B$314:$B$318*IF('01_Вводные'!$B$9=0,0,'06_Сеть_и_дети'!AR11/'01_Вводные'!$B$9)-'06_Сеть_и_дети'!AR20*'19_Расчет_аналитики'!AR1818*'01_Вводные'!$C$314:$C$318*('01_Вводные'!$E$314:$E$318*('06_Сеть_и_дети'!AR$3&lt;'01_Вводные'!$B$245)+'01_Вводные'!$B$57*('06_Сеть_и_дети'!AR$3&gt;='01_Вводные'!$B$245))))/2)</f>
        <v/>
      </c>
      <c r="AS1395">
        <f>SUMPRODUCT(('01_Вводные'!$D$314:$D$318*'01_Вводные'!$B$314:$B$318*IF('01_Вводные'!$B$9=0,0,'06_Сеть_и_дети'!AS11/'01_Вводные'!$B$9)+'06_Сеть_и_дети'!AS20*'19_Расчет_аналитики'!AS1818*'01_Вводные'!$C$314:$C$318*('01_Вводные'!$E$314:$E$318*('06_Сеть_и_дети'!AS$3&lt;'01_Вводные'!$B$245)+'01_Вводные'!$B$57*('06_Сеть_и_дети'!AS$3&gt;='01_Вводные'!$B$245))+ABS('01_Вводные'!$D$314:$D$318*'01_Вводные'!$B$314:$B$318*IF('01_Вводные'!$B$9=0,0,'06_Сеть_и_дети'!AS11/'01_Вводные'!$B$9)-'06_Сеть_и_дети'!AS20*'19_Расчет_аналитики'!AS1818*'01_Вводные'!$C$314:$C$318*('01_Вводные'!$E$314:$E$318*('06_Сеть_и_дети'!AS$3&lt;'01_Вводные'!$B$245)+'01_Вводные'!$B$57*('06_Сеть_и_дети'!AS$3&gt;='01_Вводные'!$B$245))))/2)</f>
        <v/>
      </c>
      <c r="AT1395">
        <f>SUMPRODUCT(('01_Вводные'!$D$314:$D$318*'01_Вводные'!$B$314:$B$318*IF('01_Вводные'!$B$9=0,0,'06_Сеть_и_дети'!AT11/'01_Вводные'!$B$9)+'06_Сеть_и_дети'!AT20*'19_Расчет_аналитики'!AT1818*'01_Вводные'!$C$314:$C$318*('01_Вводные'!$E$314:$E$318*('06_Сеть_и_дети'!AT$3&lt;'01_Вводные'!$B$245)+'01_Вводные'!$B$57*('06_Сеть_и_дети'!AT$3&gt;='01_Вводные'!$B$245))+ABS('01_Вводные'!$D$314:$D$318*'01_Вводные'!$B$314:$B$318*IF('01_Вводные'!$B$9=0,0,'06_Сеть_и_дети'!AT11/'01_Вводные'!$B$9)-'06_Сеть_и_дети'!AT20*'19_Расчет_аналитики'!AT1818*'01_Вводные'!$C$314:$C$318*('01_Вводные'!$E$314:$E$318*('06_Сеть_и_дети'!AT$3&lt;'01_Вводные'!$B$245)+'01_Вводные'!$B$57*('06_Сеть_и_дети'!AT$3&gt;='01_Вводные'!$B$245))))/2)</f>
        <v/>
      </c>
      <c r="AU1395">
        <f>SUMPRODUCT(('01_Вводные'!$D$314:$D$318*'01_Вводные'!$B$314:$B$318*IF('01_Вводные'!$B$9=0,0,'06_Сеть_и_дети'!AU11/'01_Вводные'!$B$9)+'06_Сеть_и_дети'!AU20*'19_Расчет_аналитики'!AU1818*'01_Вводные'!$C$314:$C$318*('01_Вводные'!$E$314:$E$318*('06_Сеть_и_дети'!AU$3&lt;'01_Вводные'!$B$245)+'01_Вводные'!$B$57*('06_Сеть_и_дети'!AU$3&gt;='01_Вводные'!$B$245))+ABS('01_Вводные'!$D$314:$D$318*'01_Вводные'!$B$314:$B$318*IF('01_Вводные'!$B$9=0,0,'06_Сеть_и_дети'!AU11/'01_Вводные'!$B$9)-'06_Сеть_и_дети'!AU20*'19_Расчет_аналитики'!AU1818*'01_Вводные'!$C$314:$C$318*('01_Вводные'!$E$314:$E$318*('06_Сеть_и_дети'!AU$3&lt;'01_Вводные'!$B$245)+'01_Вводные'!$B$57*('06_Сеть_и_дети'!AU$3&gt;='01_Вводные'!$B$245))))/2)</f>
        <v/>
      </c>
      <c r="AV1395">
        <f>SUMPRODUCT(('01_Вводные'!$D$314:$D$318*'01_Вводные'!$B$314:$B$318*IF('01_Вводные'!$B$9=0,0,'06_Сеть_и_дети'!AV11/'01_Вводные'!$B$9)+'06_Сеть_и_дети'!AV20*'19_Расчет_аналитики'!AV1818*'01_Вводные'!$C$314:$C$318*('01_Вводные'!$E$314:$E$318*('06_Сеть_и_дети'!AV$3&lt;'01_Вводные'!$B$245)+'01_Вводные'!$B$57*('06_Сеть_и_дети'!AV$3&gt;='01_Вводные'!$B$245))+ABS('01_Вводные'!$D$314:$D$318*'01_Вводные'!$B$314:$B$318*IF('01_Вводные'!$B$9=0,0,'06_Сеть_и_дети'!AV11/'01_Вводные'!$B$9)-'06_Сеть_и_дети'!AV20*'19_Расчет_аналитики'!AV1818*'01_Вводные'!$C$314:$C$318*('01_Вводные'!$E$314:$E$318*('06_Сеть_и_дети'!AV$3&lt;'01_Вводные'!$B$245)+'01_Вводные'!$B$57*('06_Сеть_и_дети'!AV$3&gt;='01_Вводные'!$B$245))))/2)</f>
        <v/>
      </c>
      <c r="AW1395">
        <f>SUMPRODUCT(('01_Вводные'!$D$314:$D$318*'01_Вводные'!$B$314:$B$318*IF('01_Вводные'!$B$9=0,0,'06_Сеть_и_дети'!AW11/'01_Вводные'!$B$9)+'06_Сеть_и_дети'!AW20*'19_Расчет_аналитики'!AW1818*'01_Вводные'!$C$314:$C$318*('01_Вводные'!$E$314:$E$318*('06_Сеть_и_дети'!AW$3&lt;'01_Вводные'!$B$245)+'01_Вводные'!$B$57*('06_Сеть_и_дети'!AW$3&gt;='01_Вводные'!$B$245))+ABS('01_Вводные'!$D$314:$D$318*'01_Вводные'!$B$314:$B$318*IF('01_Вводные'!$B$9=0,0,'06_Сеть_и_дети'!AW11/'01_Вводные'!$B$9)-'06_Сеть_и_дети'!AW20*'19_Расчет_аналитики'!AW1818*'01_Вводные'!$C$314:$C$318*('01_Вводные'!$E$314:$E$318*('06_Сеть_и_дети'!AW$3&lt;'01_Вводные'!$B$245)+'01_Вводные'!$B$57*('06_Сеть_и_дети'!AW$3&gt;='01_Вводные'!$B$245))))/2)</f>
        <v/>
      </c>
      <c r="AX1395">
        <f>SUMPRODUCT(('01_Вводные'!$D$314:$D$318*'01_Вводные'!$B$314:$B$318*IF('01_Вводные'!$B$9=0,0,'06_Сеть_и_дети'!AX11/'01_Вводные'!$B$9)+'06_Сеть_и_дети'!AX20*'19_Расчет_аналитики'!AX1818*'01_Вводные'!$C$314:$C$318*('01_Вводные'!$E$314:$E$318*('06_Сеть_и_дети'!AX$3&lt;'01_Вводные'!$B$245)+'01_Вводные'!$B$57*('06_Сеть_и_дети'!AX$3&gt;='01_Вводные'!$B$245))+ABS('01_Вводные'!$D$314:$D$318*'01_Вводные'!$B$314:$B$318*IF('01_Вводные'!$B$9=0,0,'06_Сеть_и_дети'!AX11/'01_Вводные'!$B$9)-'06_Сеть_и_дети'!AX20*'19_Расчет_аналитики'!AX1818*'01_Вводные'!$C$314:$C$318*('01_Вводные'!$E$314:$E$318*('06_Сеть_и_дети'!AX$3&lt;'01_Вводные'!$B$245)+'01_Вводные'!$B$57*('06_Сеть_и_дети'!AX$3&gt;='01_Вводные'!$B$245))))/2)</f>
        <v/>
      </c>
      <c r="AY1395">
        <f>SUMPRODUCT(('01_Вводные'!$D$314:$D$318*'01_Вводные'!$B$314:$B$318*IF('01_Вводные'!$B$9=0,0,'06_Сеть_и_дети'!AY11/'01_Вводные'!$B$9)+'06_Сеть_и_дети'!AY20*'19_Расчет_аналитики'!AY1818*'01_Вводные'!$C$314:$C$318*('01_Вводные'!$E$314:$E$318*('06_Сеть_и_дети'!AY$3&lt;'01_Вводные'!$B$245)+'01_Вводные'!$B$57*('06_Сеть_и_дети'!AY$3&gt;='01_Вводные'!$B$245))+ABS('01_Вводные'!$D$314:$D$318*'01_Вводные'!$B$314:$B$318*IF('01_Вводные'!$B$9=0,0,'06_Сеть_и_дети'!AY11/'01_Вводные'!$B$9)-'06_Сеть_и_дети'!AY20*'19_Расчет_аналитики'!AY1818*'01_Вводные'!$C$314:$C$318*('01_Вводные'!$E$314:$E$318*('06_Сеть_и_дети'!AY$3&lt;'01_Вводные'!$B$245)+'01_Вводные'!$B$57*('06_Сеть_и_дети'!AY$3&gt;='01_Вводные'!$B$245))))/2)</f>
        <v/>
      </c>
      <c r="AZ1395">
        <f>SUMPRODUCT(('01_Вводные'!$D$314:$D$318*'01_Вводные'!$B$314:$B$318*IF('01_Вводные'!$B$9=0,0,'06_Сеть_и_дети'!AZ11/'01_Вводные'!$B$9)+'06_Сеть_и_дети'!AZ20*'19_Расчет_аналитики'!AZ1818*'01_Вводные'!$C$314:$C$318*('01_Вводные'!$E$314:$E$318*('06_Сеть_и_дети'!AZ$3&lt;'01_Вводные'!$B$245)+'01_Вводные'!$B$57*('06_Сеть_и_дети'!AZ$3&gt;='01_Вводные'!$B$245))+ABS('01_Вводные'!$D$314:$D$318*'01_Вводные'!$B$314:$B$318*IF('01_Вводные'!$B$9=0,0,'06_Сеть_и_дети'!AZ11/'01_Вводные'!$B$9)-'06_Сеть_и_дети'!AZ20*'19_Расчет_аналитики'!AZ1818*'01_Вводные'!$C$314:$C$318*('01_Вводные'!$E$314:$E$318*('06_Сеть_и_дети'!AZ$3&lt;'01_Вводные'!$B$245)+'01_Вводные'!$B$57*('06_Сеть_и_дети'!AZ$3&gt;='01_Вводные'!$B$245))))/2)</f>
        <v/>
      </c>
      <c r="BA1395">
        <f>SUMPRODUCT(('01_Вводные'!$D$314:$D$318*'01_Вводные'!$B$314:$B$318*IF('01_Вводные'!$B$9=0,0,'06_Сеть_и_дети'!BA11/'01_Вводные'!$B$9)+'06_Сеть_и_дети'!BA20*'19_Расчет_аналитики'!BA1818*'01_Вводные'!$C$314:$C$318*('01_Вводные'!$E$314:$E$318*('06_Сеть_и_дети'!BA$3&lt;'01_Вводные'!$B$245)+'01_Вводные'!$B$57*('06_Сеть_и_дети'!BA$3&gt;='01_Вводные'!$B$245))+ABS('01_Вводные'!$D$314:$D$318*'01_Вводные'!$B$314:$B$318*IF('01_Вводные'!$B$9=0,0,'06_Сеть_и_дети'!BA11/'01_Вводные'!$B$9)-'06_Сеть_и_дети'!BA20*'19_Расчет_аналитики'!BA1818*'01_Вводные'!$C$314:$C$318*('01_Вводные'!$E$314:$E$318*('06_Сеть_и_дети'!BA$3&lt;'01_Вводные'!$B$245)+'01_Вводные'!$B$57*('06_Сеть_и_дети'!BA$3&gt;='01_Вводные'!$B$245))))/2)</f>
        <v/>
      </c>
      <c r="BB1395">
        <f>SUMPRODUCT(('01_Вводные'!$D$314:$D$318*'01_Вводные'!$B$314:$B$318*IF('01_Вводные'!$B$9=0,0,'06_Сеть_и_дети'!BB11/'01_Вводные'!$B$9)+'06_Сеть_и_дети'!BB20*'19_Расчет_аналитики'!BB1818*'01_Вводные'!$C$314:$C$318*('01_Вводные'!$E$314:$E$318*('06_Сеть_и_дети'!BB$3&lt;'01_Вводные'!$B$245)+'01_Вводные'!$B$57*('06_Сеть_и_дети'!BB$3&gt;='01_Вводные'!$B$245))+ABS('01_Вводные'!$D$314:$D$318*'01_Вводные'!$B$314:$B$318*IF('01_Вводные'!$B$9=0,0,'06_Сеть_и_дети'!BB11/'01_Вводные'!$B$9)-'06_Сеть_и_дети'!BB20*'19_Расчет_аналитики'!BB1818*'01_Вводные'!$C$314:$C$318*('01_Вводные'!$E$314:$E$318*('06_Сеть_и_дети'!BB$3&lt;'01_Вводные'!$B$245)+'01_Вводные'!$B$57*('06_Сеть_и_дети'!BB$3&gt;='01_Вводные'!$B$245))))/2)</f>
        <v/>
      </c>
      <c r="BC1395">
        <f>SUMPRODUCT(('01_Вводные'!$D$314:$D$318*'01_Вводные'!$B$314:$B$318*IF('01_Вводные'!$B$9=0,0,'06_Сеть_и_дети'!BC11/'01_Вводные'!$B$9)+'06_Сеть_и_дети'!BC20*'19_Расчет_аналитики'!BC1818*'01_Вводные'!$C$314:$C$318*('01_Вводные'!$E$314:$E$318*('06_Сеть_и_дети'!BC$3&lt;'01_Вводные'!$B$245)+'01_Вводные'!$B$57*('06_Сеть_и_дети'!BC$3&gt;='01_Вводные'!$B$245))+ABS('01_Вводные'!$D$314:$D$318*'01_Вводные'!$B$314:$B$318*IF('01_Вводные'!$B$9=0,0,'06_Сеть_и_дети'!BC11/'01_Вводные'!$B$9)-'06_Сеть_и_дети'!BC20*'19_Расчет_аналитики'!BC1818*'01_Вводные'!$C$314:$C$318*('01_Вводные'!$E$314:$E$318*('06_Сеть_и_дети'!BC$3&lt;'01_Вводные'!$B$245)+'01_Вводные'!$B$57*('06_Сеть_и_дети'!BC$3&gt;='01_Вводные'!$B$245))))/2)</f>
        <v/>
      </c>
      <c r="BD1395">
        <f>SUMPRODUCT(('01_Вводные'!$D$314:$D$318*'01_Вводные'!$B$314:$B$318*IF('01_Вводные'!$B$9=0,0,'06_Сеть_и_дети'!BD11/'01_Вводные'!$B$9)+'06_Сеть_и_дети'!BD20*'19_Расчет_аналитики'!BD1818*'01_Вводные'!$C$314:$C$318*('01_Вводные'!$E$314:$E$318*('06_Сеть_и_дети'!BD$3&lt;'01_Вводные'!$B$245)+'01_Вводные'!$B$57*('06_Сеть_и_дети'!BD$3&gt;='01_Вводные'!$B$245))+ABS('01_Вводные'!$D$314:$D$318*'01_Вводные'!$B$314:$B$318*IF('01_Вводные'!$B$9=0,0,'06_Сеть_и_дети'!BD11/'01_Вводные'!$B$9)-'06_Сеть_и_дети'!BD20*'19_Расчет_аналитики'!BD1818*'01_Вводные'!$C$314:$C$318*('01_Вводные'!$E$314:$E$318*('06_Сеть_и_дети'!BD$3&lt;'01_Вводные'!$B$245)+'01_Вводные'!$B$57*('06_Сеть_и_дети'!BD$3&gt;='01_Вводные'!$B$245))))/2)</f>
        <v/>
      </c>
      <c r="BE1395">
        <f>SUMPRODUCT(('01_Вводные'!$D$314:$D$318*'01_Вводные'!$B$314:$B$318*IF('01_Вводные'!$B$9=0,0,'06_Сеть_и_дети'!BE11/'01_Вводные'!$B$9)+'06_Сеть_и_дети'!BE20*'19_Расчет_аналитики'!BE1818*'01_Вводные'!$C$314:$C$318*('01_Вводные'!$E$314:$E$318*('06_Сеть_и_дети'!BE$3&lt;'01_Вводные'!$B$245)+'01_Вводные'!$B$57*('06_Сеть_и_дети'!BE$3&gt;='01_Вводные'!$B$245))+ABS('01_Вводные'!$D$314:$D$318*'01_Вводные'!$B$314:$B$318*IF('01_Вводные'!$B$9=0,0,'06_Сеть_и_дети'!BE11/'01_Вводные'!$B$9)-'06_Сеть_и_дети'!BE20*'19_Расчет_аналитики'!BE1818*'01_Вводные'!$C$314:$C$318*('01_Вводные'!$E$314:$E$318*('06_Сеть_и_дети'!BE$3&lt;'01_Вводные'!$B$245)+'01_Вводные'!$B$57*('06_Сеть_и_дети'!BE$3&gt;='01_Вводные'!$B$245))))/2)</f>
        <v/>
      </c>
      <c r="BF1395">
        <f>SUMPRODUCT(('01_Вводные'!$D$314:$D$318*'01_Вводные'!$B$314:$B$318*IF('01_Вводные'!$B$9=0,0,'06_Сеть_и_дети'!BF11/'01_Вводные'!$B$9)+'06_Сеть_и_дети'!BF20*'19_Расчет_аналитики'!BF1818*'01_Вводные'!$C$314:$C$318*('01_Вводные'!$E$314:$E$318*('06_Сеть_и_дети'!BF$3&lt;'01_Вводные'!$B$245)+'01_Вводные'!$B$57*('06_Сеть_и_дети'!BF$3&gt;='01_Вводные'!$B$245))+ABS('01_Вводные'!$D$314:$D$318*'01_Вводные'!$B$314:$B$318*IF('01_Вводные'!$B$9=0,0,'06_Сеть_и_дети'!BF11/'01_Вводные'!$B$9)-'06_Сеть_и_дети'!BF20*'19_Расчет_аналитики'!BF1818*'01_Вводные'!$C$314:$C$318*('01_Вводные'!$E$314:$E$318*('06_Сеть_и_дети'!BF$3&lt;'01_Вводные'!$B$245)+'01_Вводные'!$B$57*('06_Сеть_и_дети'!BF$3&gt;='01_Вводные'!$B$245))))/2)</f>
        <v/>
      </c>
      <c r="BG1395">
        <f>SUMPRODUCT(('01_Вводные'!$D$314:$D$318*'01_Вводные'!$B$314:$B$318*IF('01_Вводные'!$B$9=0,0,'06_Сеть_и_дети'!BG11/'01_Вводные'!$B$9)+'06_Сеть_и_дети'!BG20*'19_Расчет_аналитики'!BG1818*'01_Вводные'!$C$314:$C$318*('01_Вводные'!$E$314:$E$318*('06_Сеть_и_дети'!BG$3&lt;'01_Вводные'!$B$245)+'01_Вводные'!$B$57*('06_Сеть_и_дети'!BG$3&gt;='01_Вводные'!$B$245))+ABS('01_Вводные'!$D$314:$D$318*'01_Вводные'!$B$314:$B$318*IF('01_Вводные'!$B$9=0,0,'06_Сеть_и_дети'!BG11/'01_Вводные'!$B$9)-'06_Сеть_и_дети'!BG20*'19_Расчет_аналитики'!BG1818*'01_Вводные'!$C$314:$C$318*('01_Вводные'!$E$314:$E$318*('06_Сеть_и_дети'!BG$3&lt;'01_Вводные'!$B$245)+'01_Вводные'!$B$57*('06_Сеть_и_дети'!BG$3&gt;='01_Вводные'!$B$245))))/2)</f>
        <v/>
      </c>
      <c r="BH1395">
        <f>SUMPRODUCT(('01_Вводные'!$D$314:$D$318*'01_Вводные'!$B$314:$B$318*IF('01_Вводные'!$B$9=0,0,'06_Сеть_и_дети'!BH11/'01_Вводные'!$B$9)+'06_Сеть_и_дети'!BH20*'19_Расчет_аналитики'!BH1818*'01_Вводные'!$C$314:$C$318*('01_Вводные'!$E$314:$E$318*('06_Сеть_и_дети'!BH$3&lt;'01_Вводные'!$B$245)+'01_Вводные'!$B$57*('06_Сеть_и_дети'!BH$3&gt;='01_Вводные'!$B$245))+ABS('01_Вводные'!$D$314:$D$318*'01_Вводные'!$B$314:$B$318*IF('01_Вводные'!$B$9=0,0,'06_Сеть_и_дети'!BH11/'01_Вводные'!$B$9)-'06_Сеть_и_дети'!BH20*'19_Расчет_аналитики'!BH1818*'01_Вводные'!$C$314:$C$318*('01_Вводные'!$E$314:$E$318*('06_Сеть_и_дети'!BH$3&lt;'01_Вводные'!$B$245)+'01_Вводные'!$B$57*('06_Сеть_и_дети'!BH$3&gt;='01_Вводные'!$B$245))))/2)</f>
        <v/>
      </c>
      <c r="BI1395">
        <f>SUMPRODUCT(('01_Вводные'!$D$314:$D$318*'01_Вводные'!$B$314:$B$318*IF('01_Вводные'!$B$9=0,0,'06_Сеть_и_дети'!BI11/'01_Вводные'!$B$9)+'06_Сеть_и_дети'!BI20*'19_Расчет_аналитики'!BI1818*'01_Вводные'!$C$314:$C$318*('01_Вводные'!$E$314:$E$318*('06_Сеть_и_дети'!BI$3&lt;'01_Вводные'!$B$245)+'01_Вводные'!$B$57*('06_Сеть_и_дети'!BI$3&gt;='01_Вводные'!$B$245))+ABS('01_Вводные'!$D$314:$D$318*'01_Вводные'!$B$314:$B$318*IF('01_Вводные'!$B$9=0,0,'06_Сеть_и_дети'!BI11/'01_Вводные'!$B$9)-'06_Сеть_и_дети'!BI20*'19_Расчет_аналитики'!BI1818*'01_Вводные'!$C$314:$C$318*('01_Вводные'!$E$314:$E$318*('06_Сеть_и_дети'!BI$3&lt;'01_Вводные'!$B$245)+'01_Вводные'!$B$57*('06_Сеть_и_дети'!BI$3&gt;='01_Вводные'!$B$245))))/2)</f>
        <v/>
      </c>
      <c r="BJ1395">
        <f>SUMPRODUCT(('01_Вводные'!$D$314:$D$318*'01_Вводные'!$B$314:$B$318*IF('01_Вводные'!$B$9=0,0,'06_Сеть_и_дети'!BJ11/'01_Вводные'!$B$9)+'06_Сеть_и_дети'!BJ20*'19_Расчет_аналитики'!BJ1818*'01_Вводные'!$C$314:$C$318*('01_Вводные'!$E$314:$E$318*('06_Сеть_и_дети'!BJ$3&lt;'01_Вводные'!$B$245)+'01_Вводные'!$B$57*('06_Сеть_и_дети'!BJ$3&gt;='01_Вводные'!$B$245))+ABS('01_Вводные'!$D$314:$D$318*'01_Вводные'!$B$314:$B$318*IF('01_Вводные'!$B$9=0,0,'06_Сеть_и_дети'!BJ11/'01_Вводные'!$B$9)-'06_Сеть_и_дети'!BJ20*'19_Расчет_аналитики'!BJ1818*'01_Вводные'!$C$314:$C$318*('01_Вводные'!$E$314:$E$318*('06_Сеть_и_дети'!BJ$3&lt;'01_Вводные'!$B$245)+'01_Вводные'!$B$57*('06_Сеть_и_дети'!BJ$3&gt;='01_Вводные'!$B$245))))/2)</f>
        <v/>
      </c>
      <c r="BK1395">
        <f>SUMPRODUCT(('01_Вводные'!$D$314:$D$318*'01_Вводные'!$B$314:$B$318*IF('01_Вводные'!$B$9=0,0,'06_Сеть_и_дети'!BK11/'01_Вводные'!$B$9)+'06_Сеть_и_дети'!BK20*'19_Расчет_аналитики'!BK1818*'01_Вводные'!$C$314:$C$318*('01_Вводные'!$E$314:$E$318*('06_Сеть_и_дети'!BK$3&lt;'01_Вводные'!$B$245)+'01_Вводные'!$B$57*('06_Сеть_и_дети'!BK$3&gt;='01_Вводные'!$B$245))+ABS('01_Вводные'!$D$314:$D$318*'01_Вводные'!$B$314:$B$318*IF('01_Вводные'!$B$9=0,0,'06_Сеть_и_дети'!BK11/'01_Вводные'!$B$9)-'06_Сеть_и_дети'!BK20*'19_Расчет_аналитики'!BK1818*'01_Вводные'!$C$314:$C$318*('01_Вводные'!$E$314:$E$318*('06_Сеть_и_дети'!BK$3&lt;'01_Вводные'!$B$245)+'01_Вводные'!$B$57*('06_Сеть_и_дети'!BK$3&gt;='01_Вводные'!$B$245))))/2)</f>
        <v/>
      </c>
      <c r="BL1395">
        <f>SUMPRODUCT(('01_Вводные'!$D$314:$D$318*'01_Вводные'!$B$314:$B$318*IF('01_Вводные'!$B$9=0,0,'06_Сеть_и_дети'!BL11/'01_Вводные'!$B$9)+'06_Сеть_и_дети'!BL20*'19_Расчет_аналитики'!BL1818*'01_Вводные'!$C$314:$C$318*('01_Вводные'!$E$314:$E$318*('06_Сеть_и_дети'!BL$3&lt;'01_Вводные'!$B$245)+'01_Вводные'!$B$57*('06_Сеть_и_дети'!BL$3&gt;='01_Вводные'!$B$245))+ABS('01_Вводные'!$D$314:$D$318*'01_Вводные'!$B$314:$B$318*IF('01_Вводные'!$B$9=0,0,'06_Сеть_и_дети'!BL11/'01_Вводные'!$B$9)-'06_Сеть_и_дети'!BL20*'19_Расчет_аналитики'!BL1818*'01_Вводные'!$C$314:$C$318*('01_Вводные'!$E$314:$E$318*('06_Сеть_и_дети'!BL$3&lt;'01_Вводные'!$B$245)+'01_Вводные'!$B$57*('06_Сеть_и_дети'!BL$3&gt;='01_Вводные'!$B$245))))/2)</f>
        <v/>
      </c>
      <c r="BM1395">
        <f>SUMPRODUCT(('01_Вводные'!$D$314:$D$318*'01_Вводные'!$B$314:$B$318*IF('01_Вводные'!$B$9=0,0,'06_Сеть_и_дети'!BM11/'01_Вводные'!$B$9)+'06_Сеть_и_дети'!BM20*'19_Расчет_аналитики'!BM1818*'01_Вводные'!$C$314:$C$318*('01_Вводные'!$E$314:$E$318*('06_Сеть_и_дети'!BM$3&lt;'01_Вводные'!$B$245)+'01_Вводные'!$B$57*('06_Сеть_и_дети'!BM$3&gt;='01_Вводные'!$B$245))+ABS('01_Вводные'!$D$314:$D$318*'01_Вводные'!$B$314:$B$318*IF('01_Вводные'!$B$9=0,0,'06_Сеть_и_дети'!BM11/'01_Вводные'!$B$9)-'06_Сеть_и_дети'!BM20*'19_Расчет_аналитики'!BM1818*'01_Вводные'!$C$314:$C$318*('01_Вводные'!$E$314:$E$318*('06_Сеть_и_дети'!BM$3&lt;'01_Вводные'!$B$245)+'01_Вводные'!$B$57*('06_Сеть_и_дети'!BM$3&gt;='01_Вводные'!$B$245))))/2)</f>
        <v/>
      </c>
      <c r="BN1395">
        <f>SUMPRODUCT(('01_Вводные'!$D$314:$D$318*'01_Вводные'!$B$314:$B$318*IF('01_Вводные'!$B$9=0,0,'06_Сеть_и_дети'!BN11/'01_Вводные'!$B$9)+'06_Сеть_и_дети'!BN20*'19_Расчет_аналитики'!BN1818*'01_Вводные'!$C$314:$C$318*('01_Вводные'!$E$314:$E$318*('06_Сеть_и_дети'!BN$3&lt;'01_Вводные'!$B$245)+'01_Вводные'!$B$57*('06_Сеть_и_дети'!BN$3&gt;='01_Вводные'!$B$245))+ABS('01_Вводные'!$D$314:$D$318*'01_Вводные'!$B$314:$B$318*IF('01_Вводные'!$B$9=0,0,'06_Сеть_и_дети'!BN11/'01_Вводные'!$B$9)-'06_Сеть_и_дети'!BN20*'19_Расчет_аналитики'!BN1818*'01_Вводные'!$C$314:$C$318*('01_Вводные'!$E$314:$E$318*('06_Сеть_и_дети'!BN$3&lt;'01_Вводные'!$B$245)+'01_Вводные'!$B$57*('06_Сеть_и_дети'!BN$3&gt;='01_Вводные'!$B$245))))/2)</f>
        <v/>
      </c>
      <c r="BO1395">
        <f>SUMPRODUCT(('01_Вводные'!$D$314:$D$318*'01_Вводные'!$B$314:$B$318*IF('01_Вводные'!$B$9=0,0,'06_Сеть_и_дети'!BO11/'01_Вводные'!$B$9)+'06_Сеть_и_дети'!BO20*'19_Расчет_аналитики'!BO1818*'01_Вводные'!$C$314:$C$318*('01_Вводные'!$E$314:$E$318*('06_Сеть_и_дети'!BO$3&lt;'01_Вводные'!$B$245)+'01_Вводные'!$B$57*('06_Сеть_и_дети'!BO$3&gt;='01_Вводные'!$B$245))+ABS('01_Вводные'!$D$314:$D$318*'01_Вводные'!$B$314:$B$318*IF('01_Вводные'!$B$9=0,0,'06_Сеть_и_дети'!BO11/'01_Вводные'!$B$9)-'06_Сеть_и_дети'!BO20*'19_Расчет_аналитики'!BO1818*'01_Вводные'!$C$314:$C$318*('01_Вводные'!$E$314:$E$318*('06_Сеть_и_дети'!BO$3&lt;'01_Вводные'!$B$245)+'01_Вводные'!$B$57*('06_Сеть_и_дети'!BO$3&gt;='01_Вводные'!$B$245))))/2)</f>
        <v/>
      </c>
    </row>
    <row r="1396">
      <c r="B1396">
        <f>SUM('19_Расчет_аналитики'!B1476:B1500,'19_Расчет_аналитики'!B1504:B1528)</f>
        <v/>
      </c>
      <c r="C1396">
        <f>SUM('19_Расчет_аналитики'!C1476:C1500,'19_Расчет_аналитики'!C1504:C1528)</f>
        <v/>
      </c>
      <c r="D1396">
        <f>SUM('19_Расчет_аналитики'!D1476:D1500,'19_Расчет_аналитики'!D1504:D1528)</f>
        <v/>
      </c>
      <c r="E1396">
        <f>SUM('19_Расчет_аналитики'!E1476:E1500,'19_Расчет_аналитики'!E1504:E1528)</f>
        <v/>
      </c>
      <c r="F1396">
        <f>SUM('19_Расчет_аналитики'!F1476:F1500,'19_Расчет_аналитики'!F1504:F1528)</f>
        <v/>
      </c>
      <c r="G1396">
        <f>SUM('19_Расчет_аналитики'!G1476:G1500,'19_Расчет_аналитики'!G1504:G1528)</f>
        <v/>
      </c>
      <c r="H1396">
        <f>SUM('19_Расчет_аналитики'!H1476:H1500,'19_Расчет_аналитики'!H1504:H1528)</f>
        <v/>
      </c>
      <c r="I1396">
        <f>SUM('19_Расчет_аналитики'!I1476:I1500,'19_Расчет_аналитики'!I1504:I1528)</f>
        <v/>
      </c>
      <c r="J1396">
        <f>SUM('19_Расчет_аналитики'!J1476:J1500,'19_Расчет_аналитики'!J1504:J1528)</f>
        <v/>
      </c>
      <c r="K1396">
        <f>SUM('19_Расчет_аналитики'!K1476:K1500,'19_Расчет_аналитики'!K1504:K1528)</f>
        <v/>
      </c>
      <c r="L1396">
        <f>SUM('19_Расчет_аналитики'!L1476:L1500,'19_Расчет_аналитики'!L1504:L1528)</f>
        <v/>
      </c>
      <c r="M1396">
        <f>SUM('19_Расчет_аналитики'!M1476:M1500,'19_Расчет_аналитики'!M1504:M1528)</f>
        <v/>
      </c>
      <c r="N1396">
        <f>SUM('19_Расчет_аналитики'!N1476:N1500,'19_Расчет_аналитики'!N1504:N1528)</f>
        <v/>
      </c>
      <c r="O1396">
        <f>SUM('19_Расчет_аналитики'!O1476:O1500,'19_Расчет_аналитики'!O1504:O1528)</f>
        <v/>
      </c>
      <c r="P1396">
        <f>SUM('19_Расчет_аналитики'!P1476:P1500,'19_Расчет_аналитики'!P1504:P1528)</f>
        <v/>
      </c>
      <c r="Q1396">
        <f>SUM('19_Расчет_аналитики'!Q1476:Q1500,'19_Расчет_аналитики'!Q1504:Q1528)</f>
        <v/>
      </c>
      <c r="R1396">
        <f>SUM('19_Расчет_аналитики'!R1476:R1500,'19_Расчет_аналитики'!R1504:R1528)</f>
        <v/>
      </c>
      <c r="S1396">
        <f>SUM('19_Расчет_аналитики'!S1476:S1500,'19_Расчет_аналитики'!S1504:S1528)</f>
        <v/>
      </c>
      <c r="T1396">
        <f>SUM('19_Расчет_аналитики'!T1476:T1500,'19_Расчет_аналитики'!T1504:T1528)</f>
        <v/>
      </c>
      <c r="U1396">
        <f>SUM('19_Расчет_аналитики'!U1476:U1500,'19_Расчет_аналитики'!U1504:U1528)</f>
        <v/>
      </c>
      <c r="V1396">
        <f>SUM('19_Расчет_аналитики'!V1476:V1500,'19_Расчет_аналитики'!V1504:V1528)</f>
        <v/>
      </c>
      <c r="W1396">
        <f>SUM('19_Расчет_аналитики'!W1476:W1500,'19_Расчет_аналитики'!W1504:W1528)</f>
        <v/>
      </c>
      <c r="X1396">
        <f>SUM('19_Расчет_аналитики'!X1476:X1500,'19_Расчет_аналитики'!X1504:X1528)</f>
        <v/>
      </c>
      <c r="Y1396">
        <f>SUM('19_Расчет_аналитики'!Y1476:Y1500,'19_Расчет_аналитики'!Y1504:Y1528)</f>
        <v/>
      </c>
      <c r="Z1396">
        <f>SUM('19_Расчет_аналитики'!Z1476:Z1500,'19_Расчет_аналитики'!Z1504:Z1528)</f>
        <v/>
      </c>
      <c r="AA1396">
        <f>SUM('19_Расчет_аналитики'!AA1476:AA1500,'19_Расчет_аналитики'!AA1504:AA1528)</f>
        <v/>
      </c>
      <c r="AB1396">
        <f>SUM('19_Расчет_аналитики'!AB1476:AB1500,'19_Расчет_аналитики'!AB1504:AB1528)</f>
        <v/>
      </c>
      <c r="AC1396">
        <f>SUM('19_Расчет_аналитики'!AC1476:AC1500,'19_Расчет_аналитики'!AC1504:AC1528)</f>
        <v/>
      </c>
      <c r="AD1396">
        <f>SUM('19_Расчет_аналитики'!AD1476:AD1500,'19_Расчет_аналитики'!AD1504:AD1528)</f>
        <v/>
      </c>
      <c r="AE1396">
        <f>SUM('19_Расчет_аналитики'!AE1476:AE1500,'19_Расчет_аналитики'!AE1504:AE1528)</f>
        <v/>
      </c>
      <c r="AF1396">
        <f>SUM('19_Расчет_аналитики'!AF1476:AF1500,'19_Расчет_аналитики'!AF1504:AF1528)</f>
        <v/>
      </c>
      <c r="AG1396">
        <f>SUM('19_Расчет_аналитики'!AG1476:AG1500,'19_Расчет_аналитики'!AG1504:AG1528)</f>
        <v/>
      </c>
      <c r="AH1396">
        <f>SUM('19_Расчет_аналитики'!AH1476:AH1500,'19_Расчет_аналитики'!AH1504:AH1528)</f>
        <v/>
      </c>
      <c r="AI1396">
        <f>SUM('19_Расчет_аналитики'!AI1476:AI1500,'19_Расчет_аналитики'!AI1504:AI1528)</f>
        <v/>
      </c>
      <c r="AJ1396">
        <f>SUM('19_Расчет_аналитики'!AJ1476:AJ1500,'19_Расчет_аналитики'!AJ1504:AJ1528)</f>
        <v/>
      </c>
      <c r="AK1396">
        <f>SUM('19_Расчет_аналитики'!AK1476:AK1500,'19_Расчет_аналитики'!AK1504:AK1528)</f>
        <v/>
      </c>
      <c r="AL1396">
        <f>SUM('19_Расчет_аналитики'!AL1476:AL1500,'19_Расчет_аналитики'!AL1504:AL1528)</f>
        <v/>
      </c>
      <c r="AM1396">
        <f>SUM('19_Расчет_аналитики'!AM1476:AM1500,'19_Расчет_аналитики'!AM1504:AM1528)</f>
        <v/>
      </c>
      <c r="AN1396">
        <f>SUM('19_Расчет_аналитики'!AN1476:AN1500,'19_Расчет_аналитики'!AN1504:AN1528)</f>
        <v/>
      </c>
      <c r="AO1396">
        <f>SUM('19_Расчет_аналитики'!AO1476:AO1500,'19_Расчет_аналитики'!AO1504:AO1528)</f>
        <v/>
      </c>
      <c r="AP1396">
        <f>SUM('19_Расчет_аналитики'!AP1476:AP1500,'19_Расчет_аналитики'!AP1504:AP1528)</f>
        <v/>
      </c>
      <c r="AQ1396">
        <f>SUM('19_Расчет_аналитики'!AQ1476:AQ1500,'19_Расчет_аналитики'!AQ1504:AQ1528)</f>
        <v/>
      </c>
      <c r="AR1396">
        <f>SUM('19_Расчет_аналитики'!AR1476:AR1500,'19_Расчет_аналитики'!AR1504:AR1528)</f>
        <v/>
      </c>
      <c r="AS1396">
        <f>SUM('19_Расчет_аналитики'!AS1476:AS1500,'19_Расчет_аналитики'!AS1504:AS1528)</f>
        <v/>
      </c>
      <c r="AT1396">
        <f>SUM('19_Расчет_аналитики'!AT1476:AT1500,'19_Расчет_аналитики'!AT1504:AT1528)</f>
        <v/>
      </c>
      <c r="AU1396">
        <f>SUM('19_Расчет_аналитики'!AU1476:AU1500,'19_Расчет_аналитики'!AU1504:AU1528)</f>
        <v/>
      </c>
      <c r="AV1396">
        <f>SUM('19_Расчет_аналитики'!AV1476:AV1500,'19_Расчет_аналитики'!AV1504:AV1528)</f>
        <v/>
      </c>
      <c r="AW1396">
        <f>SUM('19_Расчет_аналитики'!AW1476:AW1500,'19_Расчет_аналитики'!AW1504:AW1528)</f>
        <v/>
      </c>
      <c r="AX1396">
        <f>SUM('19_Расчет_аналитики'!AX1476:AX1500,'19_Расчет_аналитики'!AX1504:AX1528)</f>
        <v/>
      </c>
      <c r="AY1396">
        <f>SUM('19_Расчет_аналитики'!AY1476:AY1500,'19_Расчет_аналитики'!AY1504:AY1528)</f>
        <v/>
      </c>
      <c r="AZ1396">
        <f>SUM('19_Расчет_аналитики'!AZ1476:AZ1500,'19_Расчет_аналитики'!AZ1504:AZ1528)</f>
        <v/>
      </c>
      <c r="BA1396">
        <f>SUM('19_Расчет_аналитики'!BA1476:BA1500,'19_Расчет_аналитики'!BA1504:BA1528)</f>
        <v/>
      </c>
      <c r="BB1396">
        <f>SUM('19_Расчет_аналитики'!BB1476:BB1500,'19_Расчет_аналитики'!BB1504:BB1528)</f>
        <v/>
      </c>
      <c r="BC1396">
        <f>SUM('19_Расчет_аналитики'!BC1476:BC1500,'19_Расчет_аналитики'!BC1504:BC1528)</f>
        <v/>
      </c>
      <c r="BD1396">
        <f>SUM('19_Расчет_аналитики'!BD1476:BD1500,'19_Расчет_аналитики'!BD1504:BD1528)</f>
        <v/>
      </c>
      <c r="BE1396">
        <f>SUM('19_Расчет_аналитики'!BE1476:BE1500,'19_Расчет_аналитики'!BE1504:BE1528)</f>
        <v/>
      </c>
      <c r="BF1396">
        <f>SUM('19_Расчет_аналитики'!BF1476:BF1500,'19_Расчет_аналитики'!BF1504:BF1528)</f>
        <v/>
      </c>
      <c r="BG1396">
        <f>SUM('19_Расчет_аналитики'!BG1476:BG1500,'19_Расчет_аналитики'!BG1504:BG1528)</f>
        <v/>
      </c>
      <c r="BH1396">
        <f>SUM('19_Расчет_аналитики'!BH1476:BH1500,'19_Расчет_аналитики'!BH1504:BH1528)</f>
        <v/>
      </c>
      <c r="BI1396">
        <f>SUM('19_Расчет_аналитики'!BI1476:BI1500,'19_Расчет_аналитики'!BI1504:BI1528)</f>
        <v/>
      </c>
      <c r="BJ1396">
        <f>SUM('19_Расчет_аналитики'!BJ1476:BJ1500,'19_Расчет_аналитики'!BJ1504:BJ1528)</f>
        <v/>
      </c>
      <c r="BK1396">
        <f>SUM('19_Расчет_аналитики'!BK1476:BK1500,'19_Расчет_аналитики'!BK1504:BK1528)</f>
        <v/>
      </c>
      <c r="BL1396">
        <f>SUM('19_Расчет_аналитики'!BL1476:BL1500,'19_Расчет_аналитики'!BL1504:BL1528)</f>
        <v/>
      </c>
      <c r="BM1396">
        <f>SUM('19_Расчет_аналитики'!BM1476:BM1500,'19_Расчет_аналитики'!BM1504:BM1528)</f>
        <v/>
      </c>
      <c r="BN1396">
        <f>SUM('19_Расчет_аналитики'!BN1476:BN1500,'19_Расчет_аналитики'!BN1504:BN1528)</f>
        <v/>
      </c>
      <c r="BO1396">
        <f>SUM('19_Расчет_аналитики'!BO1476:BO1500,'19_Расчет_аналитики'!BO1504:BO1528)</f>
        <v/>
      </c>
    </row>
    <row r="1397">
      <c r="B1397">
        <f>'19_Расчет_аналитики'!B1395+'19_Расчет_аналитики'!B1396</f>
        <v/>
      </c>
      <c r="C1397">
        <f>'19_Расчет_аналитики'!C1395+'19_Расчет_аналитики'!C1396</f>
        <v/>
      </c>
      <c r="D1397">
        <f>'19_Расчет_аналитики'!D1395+'19_Расчет_аналитики'!D1396</f>
        <v/>
      </c>
      <c r="E1397">
        <f>'19_Расчет_аналитики'!E1395+'19_Расчет_аналитики'!E1396</f>
        <v/>
      </c>
      <c r="F1397">
        <f>'19_Расчет_аналитики'!F1395+'19_Расчет_аналитики'!F1396</f>
        <v/>
      </c>
      <c r="G1397">
        <f>'19_Расчет_аналитики'!G1395+'19_Расчет_аналитики'!G1396</f>
        <v/>
      </c>
      <c r="H1397">
        <f>'19_Расчет_аналитики'!H1395+'19_Расчет_аналитики'!H1396</f>
        <v/>
      </c>
      <c r="I1397">
        <f>'19_Расчет_аналитики'!I1395+'19_Расчет_аналитики'!I1396</f>
        <v/>
      </c>
      <c r="J1397">
        <f>'19_Расчет_аналитики'!J1395+'19_Расчет_аналитики'!J1396</f>
        <v/>
      </c>
      <c r="K1397">
        <f>'19_Расчет_аналитики'!K1395+'19_Расчет_аналитики'!K1396</f>
        <v/>
      </c>
      <c r="L1397">
        <f>'19_Расчет_аналитики'!L1395+'19_Расчет_аналитики'!L1396</f>
        <v/>
      </c>
      <c r="M1397">
        <f>'19_Расчет_аналитики'!M1395+'19_Расчет_аналитики'!M1396</f>
        <v/>
      </c>
      <c r="N1397">
        <f>'19_Расчет_аналитики'!N1395+'19_Расчет_аналитики'!N1396</f>
        <v/>
      </c>
      <c r="O1397">
        <f>'19_Расчет_аналитики'!O1395+'19_Расчет_аналитики'!O1396</f>
        <v/>
      </c>
      <c r="P1397">
        <f>'19_Расчет_аналитики'!P1395+'19_Расчет_аналитики'!P1396</f>
        <v/>
      </c>
      <c r="Q1397">
        <f>'19_Расчет_аналитики'!Q1395+'19_Расчет_аналитики'!Q1396</f>
        <v/>
      </c>
      <c r="R1397">
        <f>'19_Расчет_аналитики'!R1395+'19_Расчет_аналитики'!R1396</f>
        <v/>
      </c>
      <c r="S1397">
        <f>'19_Расчет_аналитики'!S1395+'19_Расчет_аналитики'!S1396</f>
        <v/>
      </c>
      <c r="T1397">
        <f>'19_Расчет_аналитики'!T1395+'19_Расчет_аналитики'!T1396</f>
        <v/>
      </c>
      <c r="U1397">
        <f>'19_Расчет_аналитики'!U1395+'19_Расчет_аналитики'!U1396</f>
        <v/>
      </c>
      <c r="V1397">
        <f>'19_Расчет_аналитики'!V1395+'19_Расчет_аналитики'!V1396</f>
        <v/>
      </c>
      <c r="W1397">
        <f>'19_Расчет_аналитики'!W1395+'19_Расчет_аналитики'!W1396</f>
        <v/>
      </c>
      <c r="X1397">
        <f>'19_Расчет_аналитики'!X1395+'19_Расчет_аналитики'!X1396</f>
        <v/>
      </c>
      <c r="Y1397">
        <f>'19_Расчет_аналитики'!Y1395+'19_Расчет_аналитики'!Y1396</f>
        <v/>
      </c>
      <c r="Z1397">
        <f>'19_Расчет_аналитики'!Z1395+'19_Расчет_аналитики'!Z1396</f>
        <v/>
      </c>
      <c r="AA1397">
        <f>'19_Расчет_аналитики'!AA1395+'19_Расчет_аналитики'!AA1396</f>
        <v/>
      </c>
      <c r="AB1397">
        <f>'19_Расчет_аналитики'!AB1395+'19_Расчет_аналитики'!AB1396</f>
        <v/>
      </c>
      <c r="AC1397">
        <f>'19_Расчет_аналитики'!AC1395+'19_Расчет_аналитики'!AC1396</f>
        <v/>
      </c>
      <c r="AD1397">
        <f>'19_Расчет_аналитики'!AD1395+'19_Расчет_аналитики'!AD1396</f>
        <v/>
      </c>
      <c r="AE1397">
        <f>'19_Расчет_аналитики'!AE1395+'19_Расчет_аналитики'!AE1396</f>
        <v/>
      </c>
      <c r="AF1397">
        <f>'19_Расчет_аналитики'!AF1395+'19_Расчет_аналитики'!AF1396</f>
        <v/>
      </c>
      <c r="AG1397">
        <f>'19_Расчет_аналитики'!AG1395+'19_Расчет_аналитики'!AG1396</f>
        <v/>
      </c>
      <c r="AH1397">
        <f>'19_Расчет_аналитики'!AH1395+'19_Расчет_аналитики'!AH1396</f>
        <v/>
      </c>
      <c r="AI1397">
        <f>'19_Расчет_аналитики'!AI1395+'19_Расчет_аналитики'!AI1396</f>
        <v/>
      </c>
      <c r="AJ1397">
        <f>'19_Расчет_аналитики'!AJ1395+'19_Расчет_аналитики'!AJ1396</f>
        <v/>
      </c>
      <c r="AK1397">
        <f>'19_Расчет_аналитики'!AK1395+'19_Расчет_аналитики'!AK1396</f>
        <v/>
      </c>
      <c r="AL1397">
        <f>'19_Расчет_аналитики'!AL1395+'19_Расчет_аналитики'!AL1396</f>
        <v/>
      </c>
      <c r="AM1397">
        <f>'19_Расчет_аналитики'!AM1395+'19_Расчет_аналитики'!AM1396</f>
        <v/>
      </c>
      <c r="AN1397">
        <f>'19_Расчет_аналитики'!AN1395+'19_Расчет_аналитики'!AN1396</f>
        <v/>
      </c>
      <c r="AO1397">
        <f>'19_Расчет_аналитики'!AO1395+'19_Расчет_аналитики'!AO1396</f>
        <v/>
      </c>
      <c r="AP1397">
        <f>'19_Расчет_аналитики'!AP1395+'19_Расчет_аналитики'!AP1396</f>
        <v/>
      </c>
      <c r="AQ1397">
        <f>'19_Расчет_аналитики'!AQ1395+'19_Расчет_аналитики'!AQ1396</f>
        <v/>
      </c>
      <c r="AR1397">
        <f>'19_Расчет_аналитики'!AR1395+'19_Расчет_аналитики'!AR1396</f>
        <v/>
      </c>
      <c r="AS1397">
        <f>'19_Расчет_аналитики'!AS1395+'19_Расчет_аналитики'!AS1396</f>
        <v/>
      </c>
      <c r="AT1397">
        <f>'19_Расчет_аналитики'!AT1395+'19_Расчет_аналитики'!AT1396</f>
        <v/>
      </c>
      <c r="AU1397">
        <f>'19_Расчет_аналитики'!AU1395+'19_Расчет_аналитики'!AU1396</f>
        <v/>
      </c>
      <c r="AV1397">
        <f>'19_Расчет_аналитики'!AV1395+'19_Расчет_аналитики'!AV1396</f>
        <v/>
      </c>
      <c r="AW1397">
        <f>'19_Расчет_аналитики'!AW1395+'19_Расчет_аналитики'!AW1396</f>
        <v/>
      </c>
      <c r="AX1397">
        <f>'19_Расчет_аналитики'!AX1395+'19_Расчет_аналитики'!AX1396</f>
        <v/>
      </c>
      <c r="AY1397">
        <f>'19_Расчет_аналитики'!AY1395+'19_Расчет_аналитики'!AY1396</f>
        <v/>
      </c>
      <c r="AZ1397">
        <f>'19_Расчет_аналитики'!AZ1395+'19_Расчет_аналитики'!AZ1396</f>
        <v/>
      </c>
      <c r="BA1397">
        <f>'19_Расчет_аналитики'!BA1395+'19_Расчет_аналитики'!BA1396</f>
        <v/>
      </c>
      <c r="BB1397">
        <f>'19_Расчет_аналитики'!BB1395+'19_Расчет_аналитики'!BB1396</f>
        <v/>
      </c>
      <c r="BC1397">
        <f>'19_Расчет_аналитики'!BC1395+'19_Расчет_аналитики'!BC1396</f>
        <v/>
      </c>
      <c r="BD1397">
        <f>'19_Расчет_аналитики'!BD1395+'19_Расчет_аналитики'!BD1396</f>
        <v/>
      </c>
      <c r="BE1397">
        <f>'19_Расчет_аналитики'!BE1395+'19_Расчет_аналитики'!BE1396</f>
        <v/>
      </c>
      <c r="BF1397">
        <f>'19_Расчет_аналитики'!BF1395+'19_Расчет_аналитики'!BF1396</f>
        <v/>
      </c>
      <c r="BG1397">
        <f>'19_Расчет_аналитики'!BG1395+'19_Расчет_аналитики'!BG1396</f>
        <v/>
      </c>
      <c r="BH1397">
        <f>'19_Расчет_аналитики'!BH1395+'19_Расчет_аналитики'!BH1396</f>
        <v/>
      </c>
      <c r="BI1397">
        <f>'19_Расчет_аналитики'!BI1395+'19_Расчет_аналитики'!BI1396</f>
        <v/>
      </c>
      <c r="BJ1397">
        <f>'19_Расчет_аналитики'!BJ1395+'19_Расчет_аналитики'!BJ1396</f>
        <v/>
      </c>
      <c r="BK1397">
        <f>'19_Расчет_аналитики'!BK1395+'19_Расчет_аналитики'!BK1396</f>
        <v/>
      </c>
      <c r="BL1397">
        <f>'19_Расчет_аналитики'!BL1395+'19_Расчет_аналитики'!BL1396</f>
        <v/>
      </c>
      <c r="BM1397">
        <f>'19_Расчет_аналитики'!BM1395+'19_Расчет_аналитики'!BM1396</f>
        <v/>
      </c>
      <c r="BN1397">
        <f>'19_Расчет_аналитики'!BN1395+'19_Расчет_аналитики'!BN1396</f>
        <v/>
      </c>
      <c r="BO1397">
        <f>'19_Расчет_аналитики'!BO1395+'19_Расчет_аналитики'!BO1396</f>
        <v/>
      </c>
    </row>
    <row r="1398"/>
    <row r="1399"/>
    <row r="1400">
      <c r="B1400">
        <f>IF(OR(1&lt;='01_Вводные'!$B$15,1-'01_Вводные'!$B$15&gt;60),0,IF(INDEX('04_Продажи'!$B$11:$BI$11,1,1-'01_Вводные'!$B$15)&lt;='01_Вводные'!$B$244,'19_Расчет_аналитики'!B1375,0))</f>
        <v/>
      </c>
      <c r="C1400">
        <f>IF(OR(2&lt;='01_Вводные'!$B$15,2-'01_Вводные'!$B$15&gt;60),0,IF(INDEX('04_Продажи'!$B$11:$BI$11,1,2-'01_Вводные'!$B$15)&lt;='01_Вводные'!$B$244,'19_Расчет_аналитики'!C1375,0))</f>
        <v/>
      </c>
      <c r="D1400">
        <f>IF(OR(3&lt;='01_Вводные'!$B$15,3-'01_Вводные'!$B$15&gt;60),0,IF(INDEX('04_Продажи'!$B$11:$BI$11,1,3-'01_Вводные'!$B$15)&lt;='01_Вводные'!$B$244,'19_Расчет_аналитики'!D1375,0))</f>
        <v/>
      </c>
      <c r="E1400">
        <f>IF(OR(4&lt;='01_Вводные'!$B$15,4-'01_Вводные'!$B$15&gt;60),0,IF(INDEX('04_Продажи'!$B$11:$BI$11,1,4-'01_Вводные'!$B$15)&lt;='01_Вводные'!$B$244,'19_Расчет_аналитики'!E1375,0))</f>
        <v/>
      </c>
      <c r="F1400">
        <f>IF(OR(5&lt;='01_Вводные'!$B$15,5-'01_Вводные'!$B$15&gt;60),0,IF(INDEX('04_Продажи'!$B$11:$BI$11,1,5-'01_Вводные'!$B$15)&lt;='01_Вводные'!$B$244,'19_Расчет_аналитики'!F1375,0))</f>
        <v/>
      </c>
      <c r="G1400">
        <f>IF(OR(6&lt;='01_Вводные'!$B$15,6-'01_Вводные'!$B$15&gt;60),0,IF(INDEX('04_Продажи'!$B$11:$BI$11,1,6-'01_Вводные'!$B$15)&lt;='01_Вводные'!$B$244,'19_Расчет_аналитики'!G1375,0))</f>
        <v/>
      </c>
      <c r="H1400">
        <f>IF(OR(7&lt;='01_Вводные'!$B$15,7-'01_Вводные'!$B$15&gt;60),0,IF(INDEX('04_Продажи'!$B$11:$BI$11,1,7-'01_Вводные'!$B$15)&lt;='01_Вводные'!$B$244,'19_Расчет_аналитики'!H1375,0))</f>
        <v/>
      </c>
      <c r="I1400">
        <f>IF(OR(8&lt;='01_Вводные'!$B$15,8-'01_Вводные'!$B$15&gt;60),0,IF(INDEX('04_Продажи'!$B$11:$BI$11,1,8-'01_Вводные'!$B$15)&lt;='01_Вводные'!$B$244,'19_Расчет_аналитики'!I1375,0))</f>
        <v/>
      </c>
      <c r="J1400">
        <f>IF(OR(9&lt;='01_Вводные'!$B$15,9-'01_Вводные'!$B$15&gt;60),0,IF(INDEX('04_Продажи'!$B$11:$BI$11,1,9-'01_Вводные'!$B$15)&lt;='01_Вводные'!$B$244,'19_Расчет_аналитики'!J1375,0))</f>
        <v/>
      </c>
      <c r="K1400">
        <f>IF(OR(10&lt;='01_Вводные'!$B$15,10-'01_Вводные'!$B$15&gt;60),0,IF(INDEX('04_Продажи'!$B$11:$BI$11,1,10-'01_Вводные'!$B$15)&lt;='01_Вводные'!$B$244,'19_Расчет_аналитики'!K1375,0))</f>
        <v/>
      </c>
      <c r="L1400">
        <f>IF(OR(11&lt;='01_Вводные'!$B$15,11-'01_Вводные'!$B$15&gt;60),0,IF(INDEX('04_Продажи'!$B$11:$BI$11,1,11-'01_Вводные'!$B$15)&lt;='01_Вводные'!$B$244,'19_Расчет_аналитики'!L1375,0))</f>
        <v/>
      </c>
      <c r="M1400">
        <f>IF(OR(12&lt;='01_Вводные'!$B$15,12-'01_Вводные'!$B$15&gt;60),0,IF(INDEX('04_Продажи'!$B$11:$BI$11,1,12-'01_Вводные'!$B$15)&lt;='01_Вводные'!$B$244,'19_Расчет_аналитики'!M1375,0))</f>
        <v/>
      </c>
      <c r="N1400">
        <f>IF(OR(13&lt;='01_Вводные'!$B$15,13-'01_Вводные'!$B$15&gt;60),0,IF(INDEX('04_Продажи'!$B$11:$BI$11,1,13-'01_Вводные'!$B$15)&lt;='01_Вводные'!$B$244,'19_Расчет_аналитики'!N1375,0))</f>
        <v/>
      </c>
      <c r="O1400">
        <f>IF(OR(14&lt;='01_Вводные'!$B$15,14-'01_Вводные'!$B$15&gt;60),0,IF(INDEX('04_Продажи'!$B$11:$BI$11,1,14-'01_Вводные'!$B$15)&lt;='01_Вводные'!$B$244,'19_Расчет_аналитики'!O1375,0))</f>
        <v/>
      </c>
      <c r="P1400">
        <f>IF(OR(15&lt;='01_Вводные'!$B$15,15-'01_Вводные'!$B$15&gt;60),0,IF(INDEX('04_Продажи'!$B$11:$BI$11,1,15-'01_Вводные'!$B$15)&lt;='01_Вводные'!$B$244,'19_Расчет_аналитики'!P1375,0))</f>
        <v/>
      </c>
      <c r="Q1400">
        <f>IF(OR(16&lt;='01_Вводные'!$B$15,16-'01_Вводные'!$B$15&gt;60),0,IF(INDEX('04_Продажи'!$B$11:$BI$11,1,16-'01_Вводные'!$B$15)&lt;='01_Вводные'!$B$244,'19_Расчет_аналитики'!Q1375,0))</f>
        <v/>
      </c>
      <c r="R1400">
        <f>IF(OR(17&lt;='01_Вводные'!$B$15,17-'01_Вводные'!$B$15&gt;60),0,IF(INDEX('04_Продажи'!$B$11:$BI$11,1,17-'01_Вводные'!$B$15)&lt;='01_Вводные'!$B$244,'19_Расчет_аналитики'!R1375,0))</f>
        <v/>
      </c>
      <c r="S1400">
        <f>IF(OR(18&lt;='01_Вводные'!$B$15,18-'01_Вводные'!$B$15&gt;60),0,IF(INDEX('04_Продажи'!$B$11:$BI$11,1,18-'01_Вводные'!$B$15)&lt;='01_Вводные'!$B$244,'19_Расчет_аналитики'!S1375,0))</f>
        <v/>
      </c>
      <c r="T1400">
        <f>IF(OR(19&lt;='01_Вводные'!$B$15,19-'01_Вводные'!$B$15&gt;60),0,IF(INDEX('04_Продажи'!$B$11:$BI$11,1,19-'01_Вводные'!$B$15)&lt;='01_Вводные'!$B$244,'19_Расчет_аналитики'!T1375,0))</f>
        <v/>
      </c>
      <c r="U1400">
        <f>IF(OR(20&lt;='01_Вводные'!$B$15,20-'01_Вводные'!$B$15&gt;60),0,IF(INDEX('04_Продажи'!$B$11:$BI$11,1,20-'01_Вводные'!$B$15)&lt;='01_Вводные'!$B$244,'19_Расчет_аналитики'!U1375,0))</f>
        <v/>
      </c>
      <c r="V1400">
        <f>IF(OR(21&lt;='01_Вводные'!$B$15,21-'01_Вводные'!$B$15&gt;60),0,IF(INDEX('04_Продажи'!$B$11:$BI$11,1,21-'01_Вводные'!$B$15)&lt;='01_Вводные'!$B$244,'19_Расчет_аналитики'!V1375,0))</f>
        <v/>
      </c>
      <c r="W1400">
        <f>IF(OR(22&lt;='01_Вводные'!$B$15,22-'01_Вводные'!$B$15&gt;60),0,IF(INDEX('04_Продажи'!$B$11:$BI$11,1,22-'01_Вводные'!$B$15)&lt;='01_Вводные'!$B$244,'19_Расчет_аналитики'!W1375,0))</f>
        <v/>
      </c>
      <c r="X1400">
        <f>IF(OR(23&lt;='01_Вводные'!$B$15,23-'01_Вводные'!$B$15&gt;60),0,IF(INDEX('04_Продажи'!$B$11:$BI$11,1,23-'01_Вводные'!$B$15)&lt;='01_Вводные'!$B$244,'19_Расчет_аналитики'!X1375,0))</f>
        <v/>
      </c>
      <c r="Y1400">
        <f>IF(OR(24&lt;='01_Вводные'!$B$15,24-'01_Вводные'!$B$15&gt;60),0,IF(INDEX('04_Продажи'!$B$11:$BI$11,1,24-'01_Вводные'!$B$15)&lt;='01_Вводные'!$B$244,'19_Расчет_аналитики'!Y1375,0))</f>
        <v/>
      </c>
      <c r="Z1400">
        <f>IF(OR(25&lt;='01_Вводные'!$B$15,25-'01_Вводные'!$B$15&gt;60),0,IF(INDEX('04_Продажи'!$B$11:$BI$11,1,25-'01_Вводные'!$B$15)&lt;='01_Вводные'!$B$244,'19_Расчет_аналитики'!Z1375,0))</f>
        <v/>
      </c>
      <c r="AA1400">
        <f>IF(OR(26&lt;='01_Вводные'!$B$15,26-'01_Вводные'!$B$15&gt;60),0,IF(INDEX('04_Продажи'!$B$11:$BI$11,1,26-'01_Вводные'!$B$15)&lt;='01_Вводные'!$B$244,'19_Расчет_аналитики'!AA1375,0))</f>
        <v/>
      </c>
      <c r="AB1400">
        <f>IF(OR(27&lt;='01_Вводные'!$B$15,27-'01_Вводные'!$B$15&gt;60),0,IF(INDEX('04_Продажи'!$B$11:$BI$11,1,27-'01_Вводные'!$B$15)&lt;='01_Вводные'!$B$244,'19_Расчет_аналитики'!AB1375,0))</f>
        <v/>
      </c>
      <c r="AC1400">
        <f>IF(OR(28&lt;='01_Вводные'!$B$15,28-'01_Вводные'!$B$15&gt;60),0,IF(INDEX('04_Продажи'!$B$11:$BI$11,1,28-'01_Вводные'!$B$15)&lt;='01_Вводные'!$B$244,'19_Расчет_аналитики'!AC1375,0))</f>
        <v/>
      </c>
      <c r="AD1400">
        <f>IF(OR(29&lt;='01_Вводные'!$B$15,29-'01_Вводные'!$B$15&gt;60),0,IF(INDEX('04_Продажи'!$B$11:$BI$11,1,29-'01_Вводные'!$B$15)&lt;='01_Вводные'!$B$244,'19_Расчет_аналитики'!AD1375,0))</f>
        <v/>
      </c>
      <c r="AE1400">
        <f>IF(OR(30&lt;='01_Вводные'!$B$15,30-'01_Вводные'!$B$15&gt;60),0,IF(INDEX('04_Продажи'!$B$11:$BI$11,1,30-'01_Вводные'!$B$15)&lt;='01_Вводные'!$B$244,'19_Расчет_аналитики'!AE1375,0))</f>
        <v/>
      </c>
      <c r="AF1400">
        <f>IF(OR(31&lt;='01_Вводные'!$B$15,31-'01_Вводные'!$B$15&gt;60),0,IF(INDEX('04_Продажи'!$B$11:$BI$11,1,31-'01_Вводные'!$B$15)&lt;='01_Вводные'!$B$244,'19_Расчет_аналитики'!AF1375,0))</f>
        <v/>
      </c>
      <c r="AG1400">
        <f>IF(OR(32&lt;='01_Вводные'!$B$15,32-'01_Вводные'!$B$15&gt;60),0,IF(INDEX('04_Продажи'!$B$11:$BI$11,1,32-'01_Вводные'!$B$15)&lt;='01_Вводные'!$B$244,'19_Расчет_аналитики'!AG1375,0))</f>
        <v/>
      </c>
      <c r="AH1400">
        <f>IF(OR(33&lt;='01_Вводные'!$B$15,33-'01_Вводные'!$B$15&gt;60),0,IF(INDEX('04_Продажи'!$B$11:$BI$11,1,33-'01_Вводные'!$B$15)&lt;='01_Вводные'!$B$244,'19_Расчет_аналитики'!AH1375,0))</f>
        <v/>
      </c>
      <c r="AI1400">
        <f>IF(OR(34&lt;='01_Вводные'!$B$15,34-'01_Вводные'!$B$15&gt;60),0,IF(INDEX('04_Продажи'!$B$11:$BI$11,1,34-'01_Вводные'!$B$15)&lt;='01_Вводные'!$B$244,'19_Расчет_аналитики'!AI1375,0))</f>
        <v/>
      </c>
      <c r="AJ1400">
        <f>IF(OR(35&lt;='01_Вводные'!$B$15,35-'01_Вводные'!$B$15&gt;60),0,IF(INDEX('04_Продажи'!$B$11:$BI$11,1,35-'01_Вводные'!$B$15)&lt;='01_Вводные'!$B$244,'19_Расчет_аналитики'!AJ1375,0))</f>
        <v/>
      </c>
      <c r="AK1400">
        <f>IF(OR(36&lt;='01_Вводные'!$B$15,36-'01_Вводные'!$B$15&gt;60),0,IF(INDEX('04_Продажи'!$B$11:$BI$11,1,36-'01_Вводные'!$B$15)&lt;='01_Вводные'!$B$244,'19_Расчет_аналитики'!AK1375,0))</f>
        <v/>
      </c>
      <c r="AL1400">
        <f>IF(OR(37&lt;='01_Вводные'!$B$15,37-'01_Вводные'!$B$15&gt;60),0,IF(INDEX('04_Продажи'!$B$11:$BI$11,1,37-'01_Вводные'!$B$15)&lt;='01_Вводные'!$B$244,'19_Расчет_аналитики'!AL1375,0))</f>
        <v/>
      </c>
      <c r="AM1400">
        <f>IF(OR(38&lt;='01_Вводные'!$B$15,38-'01_Вводные'!$B$15&gt;60),0,IF(INDEX('04_Продажи'!$B$11:$BI$11,1,38-'01_Вводные'!$B$15)&lt;='01_Вводные'!$B$244,'19_Расчет_аналитики'!AM1375,0))</f>
        <v/>
      </c>
      <c r="AN1400">
        <f>IF(OR(39&lt;='01_Вводные'!$B$15,39-'01_Вводные'!$B$15&gt;60),0,IF(INDEX('04_Продажи'!$B$11:$BI$11,1,39-'01_Вводные'!$B$15)&lt;='01_Вводные'!$B$244,'19_Расчет_аналитики'!AN1375,0))</f>
        <v/>
      </c>
      <c r="AO1400">
        <f>IF(OR(40&lt;='01_Вводные'!$B$15,40-'01_Вводные'!$B$15&gt;60),0,IF(INDEX('04_Продажи'!$B$11:$BI$11,1,40-'01_Вводные'!$B$15)&lt;='01_Вводные'!$B$244,'19_Расчет_аналитики'!AO1375,0))</f>
        <v/>
      </c>
      <c r="AP1400">
        <f>IF(OR(41&lt;='01_Вводные'!$B$15,41-'01_Вводные'!$B$15&gt;60),0,IF(INDEX('04_Продажи'!$B$11:$BI$11,1,41-'01_Вводные'!$B$15)&lt;='01_Вводные'!$B$244,'19_Расчет_аналитики'!AP1375,0))</f>
        <v/>
      </c>
      <c r="AQ1400">
        <f>IF(OR(42&lt;='01_Вводные'!$B$15,42-'01_Вводные'!$B$15&gt;60),0,IF(INDEX('04_Продажи'!$B$11:$BI$11,1,42-'01_Вводные'!$B$15)&lt;='01_Вводные'!$B$244,'19_Расчет_аналитики'!AQ1375,0))</f>
        <v/>
      </c>
      <c r="AR1400">
        <f>IF(OR(43&lt;='01_Вводные'!$B$15,43-'01_Вводные'!$B$15&gt;60),0,IF(INDEX('04_Продажи'!$B$11:$BI$11,1,43-'01_Вводные'!$B$15)&lt;='01_Вводные'!$B$244,'19_Расчет_аналитики'!AR1375,0))</f>
        <v/>
      </c>
      <c r="AS1400">
        <f>IF(OR(44&lt;='01_Вводные'!$B$15,44-'01_Вводные'!$B$15&gt;60),0,IF(INDEX('04_Продажи'!$B$11:$BI$11,1,44-'01_Вводные'!$B$15)&lt;='01_Вводные'!$B$244,'19_Расчет_аналитики'!AS1375,0))</f>
        <v/>
      </c>
      <c r="AT1400">
        <f>IF(OR(45&lt;='01_Вводные'!$B$15,45-'01_Вводные'!$B$15&gt;60),0,IF(INDEX('04_Продажи'!$B$11:$BI$11,1,45-'01_Вводные'!$B$15)&lt;='01_Вводные'!$B$244,'19_Расчет_аналитики'!AT1375,0))</f>
        <v/>
      </c>
      <c r="AU1400">
        <f>IF(OR(46&lt;='01_Вводные'!$B$15,46-'01_Вводные'!$B$15&gt;60),0,IF(INDEX('04_Продажи'!$B$11:$BI$11,1,46-'01_Вводные'!$B$15)&lt;='01_Вводные'!$B$244,'19_Расчет_аналитики'!AU1375,0))</f>
        <v/>
      </c>
      <c r="AV1400">
        <f>IF(OR(47&lt;='01_Вводные'!$B$15,47-'01_Вводные'!$B$15&gt;60),0,IF(INDEX('04_Продажи'!$B$11:$BI$11,1,47-'01_Вводные'!$B$15)&lt;='01_Вводные'!$B$244,'19_Расчет_аналитики'!AV1375,0))</f>
        <v/>
      </c>
      <c r="AW1400">
        <f>IF(OR(48&lt;='01_Вводные'!$B$15,48-'01_Вводные'!$B$15&gt;60),0,IF(INDEX('04_Продажи'!$B$11:$BI$11,1,48-'01_Вводные'!$B$15)&lt;='01_Вводные'!$B$244,'19_Расчет_аналитики'!AW1375,0))</f>
        <v/>
      </c>
      <c r="AX1400">
        <f>IF(OR(49&lt;='01_Вводные'!$B$15,49-'01_Вводные'!$B$15&gt;60),0,IF(INDEX('04_Продажи'!$B$11:$BI$11,1,49-'01_Вводные'!$B$15)&lt;='01_Вводные'!$B$244,'19_Расчет_аналитики'!AX1375,0))</f>
        <v/>
      </c>
      <c r="AY1400">
        <f>IF(OR(50&lt;='01_Вводные'!$B$15,50-'01_Вводные'!$B$15&gt;60),0,IF(INDEX('04_Продажи'!$B$11:$BI$11,1,50-'01_Вводные'!$B$15)&lt;='01_Вводные'!$B$244,'19_Расчет_аналитики'!AY1375,0))</f>
        <v/>
      </c>
      <c r="AZ1400">
        <f>IF(OR(51&lt;='01_Вводные'!$B$15,51-'01_Вводные'!$B$15&gt;60),0,IF(INDEX('04_Продажи'!$B$11:$BI$11,1,51-'01_Вводные'!$B$15)&lt;='01_Вводные'!$B$244,'19_Расчет_аналитики'!AZ1375,0))</f>
        <v/>
      </c>
      <c r="BA1400">
        <f>IF(OR(52&lt;='01_Вводные'!$B$15,52-'01_Вводные'!$B$15&gt;60),0,IF(INDEX('04_Продажи'!$B$11:$BI$11,1,52-'01_Вводные'!$B$15)&lt;='01_Вводные'!$B$244,'19_Расчет_аналитики'!BA1375,0))</f>
        <v/>
      </c>
      <c r="BB1400">
        <f>IF(OR(53&lt;='01_Вводные'!$B$15,53-'01_Вводные'!$B$15&gt;60),0,IF(INDEX('04_Продажи'!$B$11:$BI$11,1,53-'01_Вводные'!$B$15)&lt;='01_Вводные'!$B$244,'19_Расчет_аналитики'!BB1375,0))</f>
        <v/>
      </c>
      <c r="BC1400">
        <f>IF(OR(54&lt;='01_Вводные'!$B$15,54-'01_Вводные'!$B$15&gt;60),0,IF(INDEX('04_Продажи'!$B$11:$BI$11,1,54-'01_Вводные'!$B$15)&lt;='01_Вводные'!$B$244,'19_Расчет_аналитики'!BC1375,0))</f>
        <v/>
      </c>
      <c r="BD1400">
        <f>IF(OR(55&lt;='01_Вводные'!$B$15,55-'01_Вводные'!$B$15&gt;60),0,IF(INDEX('04_Продажи'!$B$11:$BI$11,1,55-'01_Вводные'!$B$15)&lt;='01_Вводные'!$B$244,'19_Расчет_аналитики'!BD1375,0))</f>
        <v/>
      </c>
      <c r="BE1400">
        <f>IF(OR(56&lt;='01_Вводные'!$B$15,56-'01_Вводные'!$B$15&gt;60),0,IF(INDEX('04_Продажи'!$B$11:$BI$11,1,56-'01_Вводные'!$B$15)&lt;='01_Вводные'!$B$244,'19_Расчет_аналитики'!BE1375,0))</f>
        <v/>
      </c>
      <c r="BF1400">
        <f>IF(OR(57&lt;='01_Вводные'!$B$15,57-'01_Вводные'!$B$15&gt;60),0,IF(INDEX('04_Продажи'!$B$11:$BI$11,1,57-'01_Вводные'!$B$15)&lt;='01_Вводные'!$B$244,'19_Расчет_аналитики'!BF1375,0))</f>
        <v/>
      </c>
      <c r="BG1400">
        <f>IF(OR(58&lt;='01_Вводные'!$B$15,58-'01_Вводные'!$B$15&gt;60),0,IF(INDEX('04_Продажи'!$B$11:$BI$11,1,58-'01_Вводные'!$B$15)&lt;='01_Вводные'!$B$244,'19_Расчет_аналитики'!BG1375,0))</f>
        <v/>
      </c>
      <c r="BH1400">
        <f>IF(OR(59&lt;='01_Вводные'!$B$15,59-'01_Вводные'!$B$15&gt;60),0,IF(INDEX('04_Продажи'!$B$11:$BI$11,1,59-'01_Вводные'!$B$15)&lt;='01_Вводные'!$B$244,'19_Расчет_аналитики'!BH1375,0))</f>
        <v/>
      </c>
      <c r="BI1400">
        <f>IF(OR(60&lt;='01_Вводные'!$B$15,60-'01_Вводные'!$B$15&gt;60),0,IF(INDEX('04_Продажи'!$B$11:$BI$11,1,60-'01_Вводные'!$B$15)&lt;='01_Вводные'!$B$244,'19_Расчет_аналитики'!BI1375,0))</f>
        <v/>
      </c>
      <c r="BJ1400">
        <f>IF(OR(61&lt;='01_Вводные'!$B$15,61-'01_Вводные'!$B$15&gt;60),0,IF(INDEX('04_Продажи'!$B$11:$BI$11,1,61-'01_Вводные'!$B$15)&lt;='01_Вводные'!$B$244,'19_Расчет_аналитики'!BJ1375,0))</f>
        <v/>
      </c>
      <c r="BK1400">
        <f>IF(OR(62&lt;='01_Вводные'!$B$15,62-'01_Вводные'!$B$15&gt;60),0,IF(INDEX('04_Продажи'!$B$11:$BI$11,1,62-'01_Вводные'!$B$15)&lt;='01_Вводные'!$B$244,'19_Расчет_аналитики'!BK1375,0))</f>
        <v/>
      </c>
      <c r="BL1400">
        <f>IF(OR(63&lt;='01_Вводные'!$B$15,63-'01_Вводные'!$B$15&gt;60),0,IF(INDEX('04_Продажи'!$B$11:$BI$11,1,63-'01_Вводные'!$B$15)&lt;='01_Вводные'!$B$244,'19_Расчет_аналитики'!BL1375,0))</f>
        <v/>
      </c>
      <c r="BM1400">
        <f>IF(OR(64&lt;='01_Вводные'!$B$15,64-'01_Вводные'!$B$15&gt;60),0,IF(INDEX('04_Продажи'!$B$11:$BI$11,1,64-'01_Вводные'!$B$15)&lt;='01_Вводные'!$B$244,'19_Расчет_аналитики'!BM1375,0))</f>
        <v/>
      </c>
      <c r="BN1400">
        <f>IF(OR(65&lt;='01_Вводные'!$B$15,65-'01_Вводные'!$B$15&gt;60),0,IF(INDEX('04_Продажи'!$B$11:$BI$11,1,65-'01_Вводные'!$B$15)&lt;='01_Вводные'!$B$244,'19_Расчет_аналитики'!BN1375,0))</f>
        <v/>
      </c>
      <c r="BO1400">
        <f>IF(OR(66&lt;='01_Вводные'!$B$15,66-'01_Вводные'!$B$15&gt;60),0,IF(INDEX('04_Продажи'!$B$11:$BI$11,1,66-'01_Вводные'!$B$15)&lt;='01_Вводные'!$B$244,'19_Расчет_аналитики'!BO1375,0))</f>
        <v/>
      </c>
    </row>
    <row r="1401">
      <c r="B1401">
        <f>SUM('19_Расчет_аналитики'!B1448:B1459)</f>
        <v/>
      </c>
      <c r="C1401">
        <f>SUM('19_Расчет_аналитики'!C1448:C1459)</f>
        <v/>
      </c>
      <c r="D1401">
        <f>SUM('19_Расчет_аналитики'!D1448:D1459)</f>
        <v/>
      </c>
      <c r="E1401">
        <f>SUM('19_Расчет_аналитики'!E1448:E1459)</f>
        <v/>
      </c>
      <c r="F1401">
        <f>SUM('19_Расчет_аналитики'!F1448:F1459)</f>
        <v/>
      </c>
      <c r="G1401">
        <f>SUM('19_Расчет_аналитики'!G1448:G1459)</f>
        <v/>
      </c>
      <c r="H1401">
        <f>SUM('19_Расчет_аналитики'!H1448:H1459)</f>
        <v/>
      </c>
      <c r="I1401">
        <f>SUM('19_Расчет_аналитики'!I1448:I1459)</f>
        <v/>
      </c>
      <c r="J1401">
        <f>SUM('19_Расчет_аналитики'!J1448:J1459)</f>
        <v/>
      </c>
      <c r="K1401">
        <f>SUM('19_Расчет_аналитики'!K1448:K1459)</f>
        <v/>
      </c>
      <c r="L1401">
        <f>SUM('19_Расчет_аналитики'!L1448:L1459)</f>
        <v/>
      </c>
      <c r="M1401">
        <f>SUM('19_Расчет_аналитики'!M1448:M1459)</f>
        <v/>
      </c>
      <c r="N1401">
        <f>SUM('19_Расчет_аналитики'!N1448:N1459)</f>
        <v/>
      </c>
      <c r="O1401">
        <f>SUM('19_Расчет_аналитики'!O1448:O1459)</f>
        <v/>
      </c>
      <c r="P1401">
        <f>SUM('19_Расчет_аналитики'!P1448:P1459)</f>
        <v/>
      </c>
      <c r="Q1401">
        <f>SUM('19_Расчет_аналитики'!Q1448:Q1459)</f>
        <v/>
      </c>
      <c r="R1401">
        <f>SUM('19_Расчет_аналитики'!R1448:R1459)</f>
        <v/>
      </c>
      <c r="S1401">
        <f>SUM('19_Расчет_аналитики'!S1448:S1459)</f>
        <v/>
      </c>
      <c r="T1401">
        <f>SUM('19_Расчет_аналитики'!T1448:T1459)</f>
        <v/>
      </c>
      <c r="U1401">
        <f>SUM('19_Расчет_аналитики'!U1448:U1459)</f>
        <v/>
      </c>
      <c r="V1401">
        <f>SUM('19_Расчет_аналитики'!V1448:V1459)</f>
        <v/>
      </c>
      <c r="W1401">
        <f>SUM('19_Расчет_аналитики'!W1448:W1459)</f>
        <v/>
      </c>
      <c r="X1401">
        <f>SUM('19_Расчет_аналитики'!X1448:X1459)</f>
        <v/>
      </c>
      <c r="Y1401">
        <f>SUM('19_Расчет_аналитики'!Y1448:Y1459)</f>
        <v/>
      </c>
      <c r="Z1401">
        <f>SUM('19_Расчет_аналитики'!Z1448:Z1459)</f>
        <v/>
      </c>
      <c r="AA1401">
        <f>SUM('19_Расчет_аналитики'!AA1448:AA1459)</f>
        <v/>
      </c>
      <c r="AB1401">
        <f>SUM('19_Расчет_аналитики'!AB1448:AB1459)</f>
        <v/>
      </c>
      <c r="AC1401">
        <f>SUM('19_Расчет_аналитики'!AC1448:AC1459)</f>
        <v/>
      </c>
      <c r="AD1401">
        <f>SUM('19_Расчет_аналитики'!AD1448:AD1459)</f>
        <v/>
      </c>
      <c r="AE1401">
        <f>SUM('19_Расчет_аналитики'!AE1448:AE1459)</f>
        <v/>
      </c>
      <c r="AF1401">
        <f>SUM('19_Расчет_аналитики'!AF1448:AF1459)</f>
        <v/>
      </c>
      <c r="AG1401">
        <f>SUM('19_Расчет_аналитики'!AG1448:AG1459)</f>
        <v/>
      </c>
      <c r="AH1401">
        <f>SUM('19_Расчет_аналитики'!AH1448:AH1459)</f>
        <v/>
      </c>
      <c r="AI1401">
        <f>SUM('19_Расчет_аналитики'!AI1448:AI1459)</f>
        <v/>
      </c>
      <c r="AJ1401">
        <f>SUM('19_Расчет_аналитики'!AJ1448:AJ1459)</f>
        <v/>
      </c>
      <c r="AK1401">
        <f>SUM('19_Расчет_аналитики'!AK1448:AK1459)</f>
        <v/>
      </c>
      <c r="AL1401">
        <f>SUM('19_Расчет_аналитики'!AL1448:AL1459)</f>
        <v/>
      </c>
      <c r="AM1401">
        <f>SUM('19_Расчет_аналитики'!AM1448:AM1459)</f>
        <v/>
      </c>
      <c r="AN1401">
        <f>SUM('19_Расчет_аналитики'!AN1448:AN1459)</f>
        <v/>
      </c>
      <c r="AO1401">
        <f>SUM('19_Расчет_аналитики'!AO1448:AO1459)</f>
        <v/>
      </c>
      <c r="AP1401">
        <f>SUM('19_Расчет_аналитики'!AP1448:AP1459)</f>
        <v/>
      </c>
      <c r="AQ1401">
        <f>SUM('19_Расчет_аналитики'!AQ1448:AQ1459)</f>
        <v/>
      </c>
      <c r="AR1401">
        <f>SUM('19_Расчет_аналитики'!AR1448:AR1459)</f>
        <v/>
      </c>
      <c r="AS1401">
        <f>SUM('19_Расчет_аналитики'!AS1448:AS1459)</f>
        <v/>
      </c>
      <c r="AT1401">
        <f>SUM('19_Расчет_аналитики'!AT1448:AT1459)</f>
        <v/>
      </c>
      <c r="AU1401">
        <f>SUM('19_Расчет_аналитики'!AU1448:AU1459)</f>
        <v/>
      </c>
      <c r="AV1401">
        <f>SUM('19_Расчет_аналитики'!AV1448:AV1459)</f>
        <v/>
      </c>
      <c r="AW1401">
        <f>SUM('19_Расчет_аналитики'!AW1448:AW1459)</f>
        <v/>
      </c>
      <c r="AX1401">
        <f>SUM('19_Расчет_аналитики'!AX1448:AX1459)</f>
        <v/>
      </c>
      <c r="AY1401">
        <f>SUM('19_Расчет_аналитики'!AY1448:AY1459)</f>
        <v/>
      </c>
      <c r="AZ1401">
        <f>SUM('19_Расчет_аналитики'!AZ1448:AZ1459)</f>
        <v/>
      </c>
      <c r="BA1401">
        <f>SUM('19_Расчет_аналитики'!BA1448:BA1459)</f>
        <v/>
      </c>
      <c r="BB1401">
        <f>SUM('19_Расчет_аналитики'!BB1448:BB1459)</f>
        <v/>
      </c>
      <c r="BC1401">
        <f>SUM('19_Расчет_аналитики'!BC1448:BC1459)</f>
        <v/>
      </c>
      <c r="BD1401">
        <f>SUM('19_Расчет_аналитики'!BD1448:BD1459)</f>
        <v/>
      </c>
      <c r="BE1401">
        <f>SUM('19_Расчет_аналитики'!BE1448:BE1459)</f>
        <v/>
      </c>
      <c r="BF1401">
        <f>SUM('19_Расчет_аналитики'!BF1448:BF1459)</f>
        <v/>
      </c>
      <c r="BG1401">
        <f>SUM('19_Расчет_аналитики'!BG1448:BG1459)</f>
        <v/>
      </c>
      <c r="BH1401">
        <f>SUM('19_Расчет_аналитики'!BH1448:BH1459)</f>
        <v/>
      </c>
      <c r="BI1401">
        <f>SUM('19_Расчет_аналитики'!BI1448:BI1459)</f>
        <v/>
      </c>
      <c r="BJ1401">
        <f>SUM('19_Расчет_аналитики'!BJ1448:BJ1459)</f>
        <v/>
      </c>
      <c r="BK1401">
        <f>SUM('19_Расчет_аналитики'!BK1448:BK1459)</f>
        <v/>
      </c>
      <c r="BL1401">
        <f>SUM('19_Расчет_аналитики'!BL1448:BL1459)</f>
        <v/>
      </c>
      <c r="BM1401">
        <f>SUM('19_Расчет_аналитики'!BM1448:BM1459)</f>
        <v/>
      </c>
      <c r="BN1401">
        <f>SUM('19_Расчет_аналитики'!BN1448:BN1459)</f>
        <v/>
      </c>
      <c r="BO1401">
        <f>SUM('19_Расчет_аналитики'!BO1448:BO1459)</f>
        <v/>
      </c>
    </row>
    <row r="1402"/>
    <row r="1403">
      <c r="B1403">
        <f>MAX(0,'19_Расчет_аналитики'!B1380-'19_Расчет_аналитики'!B1401)</f>
        <v/>
      </c>
      <c r="C1403">
        <f>MAX(0,'19_Расчет_аналитики'!C1380-'19_Расчет_аналитики'!C1401)</f>
        <v/>
      </c>
      <c r="D1403">
        <f>MAX(0,'19_Расчет_аналитики'!D1380-'19_Расчет_аналитики'!D1401)</f>
        <v/>
      </c>
      <c r="E1403">
        <f>MAX(0,'19_Расчет_аналитики'!E1380-'19_Расчет_аналитики'!E1401)</f>
        <v/>
      </c>
      <c r="F1403">
        <f>MAX(0,'19_Расчет_аналитики'!F1380-'19_Расчет_аналитики'!F1401)</f>
        <v/>
      </c>
      <c r="G1403">
        <f>MAX(0,'19_Расчет_аналитики'!G1380-'19_Расчет_аналитики'!G1401)</f>
        <v/>
      </c>
      <c r="H1403">
        <f>MAX(0,'19_Расчет_аналитики'!H1380-'19_Расчет_аналитики'!H1401)</f>
        <v/>
      </c>
      <c r="I1403">
        <f>MAX(0,'19_Расчет_аналитики'!I1380-'19_Расчет_аналитики'!I1401)</f>
        <v/>
      </c>
      <c r="J1403">
        <f>MAX(0,'19_Расчет_аналитики'!J1380-'19_Расчет_аналитики'!J1401)</f>
        <v/>
      </c>
      <c r="K1403">
        <f>MAX(0,'19_Расчет_аналитики'!K1380-'19_Расчет_аналитики'!K1401)</f>
        <v/>
      </c>
      <c r="L1403">
        <f>MAX(0,'19_Расчет_аналитики'!L1380-'19_Расчет_аналитики'!L1401)</f>
        <v/>
      </c>
      <c r="M1403">
        <f>MAX(0,'19_Расчет_аналитики'!M1380-'19_Расчет_аналитики'!M1401)</f>
        <v/>
      </c>
      <c r="N1403">
        <f>MAX(0,'19_Расчет_аналитики'!N1380-'19_Расчет_аналитики'!N1401)</f>
        <v/>
      </c>
      <c r="O1403">
        <f>MAX(0,'19_Расчет_аналитики'!O1380-'19_Расчет_аналитики'!O1401)</f>
        <v/>
      </c>
      <c r="P1403">
        <f>MAX(0,'19_Расчет_аналитики'!P1380-'19_Расчет_аналитики'!P1401)</f>
        <v/>
      </c>
      <c r="Q1403">
        <f>MAX(0,'19_Расчет_аналитики'!Q1380-'19_Расчет_аналитики'!Q1401)</f>
        <v/>
      </c>
      <c r="R1403">
        <f>MAX(0,'19_Расчет_аналитики'!R1380-'19_Расчет_аналитики'!R1401)</f>
        <v/>
      </c>
      <c r="S1403">
        <f>MAX(0,'19_Расчет_аналитики'!S1380-'19_Расчет_аналитики'!S1401)</f>
        <v/>
      </c>
      <c r="T1403">
        <f>MAX(0,'19_Расчет_аналитики'!T1380-'19_Расчет_аналитики'!T1401)</f>
        <v/>
      </c>
      <c r="U1403">
        <f>MAX(0,'19_Расчет_аналитики'!U1380-'19_Расчет_аналитики'!U1401)</f>
        <v/>
      </c>
      <c r="V1403">
        <f>MAX(0,'19_Расчет_аналитики'!V1380-'19_Расчет_аналитики'!V1401)</f>
        <v/>
      </c>
      <c r="W1403">
        <f>MAX(0,'19_Расчет_аналитики'!W1380-'19_Расчет_аналитики'!W1401)</f>
        <v/>
      </c>
      <c r="X1403">
        <f>MAX(0,'19_Расчет_аналитики'!X1380-'19_Расчет_аналитики'!X1401)</f>
        <v/>
      </c>
      <c r="Y1403">
        <f>MAX(0,'19_Расчет_аналитики'!Y1380-'19_Расчет_аналитики'!Y1401)</f>
        <v/>
      </c>
      <c r="Z1403">
        <f>MAX(0,'19_Расчет_аналитики'!Z1380-'19_Расчет_аналитики'!Z1401)</f>
        <v/>
      </c>
      <c r="AA1403">
        <f>MAX(0,'19_Расчет_аналитики'!AA1380-'19_Расчет_аналитики'!AA1401)</f>
        <v/>
      </c>
      <c r="AB1403">
        <f>MAX(0,'19_Расчет_аналитики'!AB1380-'19_Расчет_аналитики'!AB1401)</f>
        <v/>
      </c>
      <c r="AC1403">
        <f>MAX(0,'19_Расчет_аналитики'!AC1380-'19_Расчет_аналитики'!AC1401)</f>
        <v/>
      </c>
      <c r="AD1403">
        <f>MAX(0,'19_Расчет_аналитики'!AD1380-'19_Расчет_аналитики'!AD1401)</f>
        <v/>
      </c>
      <c r="AE1403">
        <f>MAX(0,'19_Расчет_аналитики'!AE1380-'19_Расчет_аналитики'!AE1401)</f>
        <v/>
      </c>
      <c r="AF1403">
        <f>MAX(0,'19_Расчет_аналитики'!AF1380-'19_Расчет_аналитики'!AF1401)</f>
        <v/>
      </c>
      <c r="AG1403">
        <f>MAX(0,'19_Расчет_аналитики'!AG1380-'19_Расчет_аналитики'!AG1401)</f>
        <v/>
      </c>
      <c r="AH1403">
        <f>MAX(0,'19_Расчет_аналитики'!AH1380-'19_Расчет_аналитики'!AH1401)</f>
        <v/>
      </c>
      <c r="AI1403">
        <f>MAX(0,'19_Расчет_аналитики'!AI1380-'19_Расчет_аналитики'!AI1401)</f>
        <v/>
      </c>
      <c r="AJ1403">
        <f>MAX(0,'19_Расчет_аналитики'!AJ1380-'19_Расчет_аналитики'!AJ1401)</f>
        <v/>
      </c>
      <c r="AK1403">
        <f>MAX(0,'19_Расчет_аналитики'!AK1380-'19_Расчет_аналитики'!AK1401)</f>
        <v/>
      </c>
      <c r="AL1403">
        <f>MAX(0,'19_Расчет_аналитики'!AL1380-'19_Расчет_аналитики'!AL1401)</f>
        <v/>
      </c>
      <c r="AM1403">
        <f>MAX(0,'19_Расчет_аналитики'!AM1380-'19_Расчет_аналитики'!AM1401)</f>
        <v/>
      </c>
      <c r="AN1403">
        <f>MAX(0,'19_Расчет_аналитики'!AN1380-'19_Расчет_аналитики'!AN1401)</f>
        <v/>
      </c>
      <c r="AO1403">
        <f>MAX(0,'19_Расчет_аналитики'!AO1380-'19_Расчет_аналитики'!AO1401)</f>
        <v/>
      </c>
      <c r="AP1403">
        <f>MAX(0,'19_Расчет_аналитики'!AP1380-'19_Расчет_аналитики'!AP1401)</f>
        <v/>
      </c>
      <c r="AQ1403">
        <f>MAX(0,'19_Расчет_аналитики'!AQ1380-'19_Расчет_аналитики'!AQ1401)</f>
        <v/>
      </c>
      <c r="AR1403">
        <f>MAX(0,'19_Расчет_аналитики'!AR1380-'19_Расчет_аналитики'!AR1401)</f>
        <v/>
      </c>
      <c r="AS1403">
        <f>MAX(0,'19_Расчет_аналитики'!AS1380-'19_Расчет_аналитики'!AS1401)</f>
        <v/>
      </c>
      <c r="AT1403">
        <f>MAX(0,'19_Расчет_аналитики'!AT1380-'19_Расчет_аналитики'!AT1401)</f>
        <v/>
      </c>
      <c r="AU1403">
        <f>MAX(0,'19_Расчет_аналитики'!AU1380-'19_Расчет_аналитики'!AU1401)</f>
        <v/>
      </c>
      <c r="AV1403">
        <f>MAX(0,'19_Расчет_аналитики'!AV1380-'19_Расчет_аналитики'!AV1401)</f>
        <v/>
      </c>
      <c r="AW1403">
        <f>MAX(0,'19_Расчет_аналитики'!AW1380-'19_Расчет_аналитики'!AW1401)</f>
        <v/>
      </c>
      <c r="AX1403">
        <f>MAX(0,'19_Расчет_аналитики'!AX1380-'19_Расчет_аналитики'!AX1401)</f>
        <v/>
      </c>
      <c r="AY1403">
        <f>MAX(0,'19_Расчет_аналитики'!AY1380-'19_Расчет_аналитики'!AY1401)</f>
        <v/>
      </c>
      <c r="AZ1403">
        <f>MAX(0,'19_Расчет_аналитики'!AZ1380-'19_Расчет_аналитики'!AZ1401)</f>
        <v/>
      </c>
      <c r="BA1403">
        <f>MAX(0,'19_Расчет_аналитики'!BA1380-'19_Расчет_аналитики'!BA1401)</f>
        <v/>
      </c>
      <c r="BB1403">
        <f>MAX(0,'19_Расчет_аналитики'!BB1380-'19_Расчет_аналитики'!BB1401)</f>
        <v/>
      </c>
      <c r="BC1403">
        <f>MAX(0,'19_Расчет_аналитики'!BC1380-'19_Расчет_аналитики'!BC1401)</f>
        <v/>
      </c>
      <c r="BD1403">
        <f>MAX(0,'19_Расчет_аналитики'!BD1380-'19_Расчет_аналитики'!BD1401)</f>
        <v/>
      </c>
      <c r="BE1403">
        <f>MAX(0,'19_Расчет_аналитики'!BE1380-'19_Расчет_аналитики'!BE1401)</f>
        <v/>
      </c>
      <c r="BF1403">
        <f>MAX(0,'19_Расчет_аналитики'!BF1380-'19_Расчет_аналитики'!BF1401)</f>
        <v/>
      </c>
      <c r="BG1403">
        <f>MAX(0,'19_Расчет_аналитики'!BG1380-'19_Расчет_аналитики'!BG1401)</f>
        <v/>
      </c>
      <c r="BH1403">
        <f>MAX(0,'19_Расчет_аналитики'!BH1380-'19_Расчет_аналитики'!BH1401)</f>
        <v/>
      </c>
      <c r="BI1403">
        <f>MAX(0,'19_Расчет_аналитики'!BI1380-'19_Расчет_аналитики'!BI1401)</f>
        <v/>
      </c>
      <c r="BJ1403">
        <f>MAX(0,'19_Расчет_аналитики'!BJ1380-'19_Расчет_аналитики'!BJ1401)</f>
        <v/>
      </c>
      <c r="BK1403">
        <f>MAX(0,'19_Расчет_аналитики'!BK1380-'19_Расчет_аналитики'!BK1401)</f>
        <v/>
      </c>
      <c r="BL1403">
        <f>MAX(0,'19_Расчет_аналитики'!BL1380-'19_Расчет_аналитики'!BL1401)</f>
        <v/>
      </c>
      <c r="BM1403">
        <f>MAX(0,'19_Расчет_аналитики'!BM1380-'19_Расчет_аналитики'!BM1401)</f>
        <v/>
      </c>
      <c r="BN1403">
        <f>MAX(0,'19_Расчет_аналитики'!BN1380-'19_Расчет_аналитики'!BN1401)</f>
        <v/>
      </c>
      <c r="BO1403">
        <f>MAX(0,'19_Расчет_аналитики'!BO1380-'19_Расчет_аналитики'!BO1401)</f>
        <v/>
      </c>
    </row>
    <row r="1404"/>
    <row r="1405"/>
    <row r="1406"/>
    <row r="1407"/>
    <row r="1408"/>
    <row r="1409"/>
    <row r="1410">
      <c r="B1410">
        <f>IF(1&lt;='01_Вводные'!$B$235,0,INDEX('19_Расчет_аналитики'!$B$1375:$BO$1375,1,1-'01_Вводные'!$B$235)*'01_Вводные'!$B$14^'01_Вводные'!$B$235)</f>
        <v/>
      </c>
      <c r="C1410">
        <f>IF(2&lt;='01_Вводные'!$B$235,0,INDEX('19_Расчет_аналитики'!$B$1375:$BO$1375,1,2-'01_Вводные'!$B$235)*'01_Вводные'!$B$14^'01_Вводные'!$B$235)</f>
        <v/>
      </c>
      <c r="D1410">
        <f>IF(3&lt;='01_Вводные'!$B$235,0,INDEX('19_Расчет_аналитики'!$B$1375:$BO$1375,1,3-'01_Вводные'!$B$235)*'01_Вводные'!$B$14^'01_Вводные'!$B$235)</f>
        <v/>
      </c>
      <c r="E1410">
        <f>IF(4&lt;='01_Вводные'!$B$235,0,INDEX('19_Расчет_аналитики'!$B$1375:$BO$1375,1,4-'01_Вводные'!$B$235)*'01_Вводные'!$B$14^'01_Вводные'!$B$235)</f>
        <v/>
      </c>
      <c r="F1410">
        <f>IF(5&lt;='01_Вводные'!$B$235,0,INDEX('19_Расчет_аналитики'!$B$1375:$BO$1375,1,5-'01_Вводные'!$B$235)*'01_Вводные'!$B$14^'01_Вводные'!$B$235)</f>
        <v/>
      </c>
      <c r="G1410">
        <f>IF(6&lt;='01_Вводные'!$B$235,0,INDEX('19_Расчет_аналитики'!$B$1375:$BO$1375,1,6-'01_Вводные'!$B$235)*'01_Вводные'!$B$14^'01_Вводные'!$B$235)</f>
        <v/>
      </c>
      <c r="H1410">
        <f>IF(7&lt;='01_Вводные'!$B$235,0,INDEX('19_Расчет_аналитики'!$B$1375:$BO$1375,1,7-'01_Вводные'!$B$235)*'01_Вводные'!$B$14^'01_Вводные'!$B$235)</f>
        <v/>
      </c>
      <c r="I1410">
        <f>IF(8&lt;='01_Вводные'!$B$235,0,INDEX('19_Расчет_аналитики'!$B$1375:$BO$1375,1,8-'01_Вводные'!$B$235)*'01_Вводные'!$B$14^'01_Вводные'!$B$235)</f>
        <v/>
      </c>
      <c r="J1410">
        <f>IF(9&lt;='01_Вводные'!$B$235,0,INDEX('19_Расчет_аналитики'!$B$1375:$BO$1375,1,9-'01_Вводные'!$B$235)*'01_Вводные'!$B$14^'01_Вводные'!$B$235)</f>
        <v/>
      </c>
      <c r="K1410">
        <f>IF(10&lt;='01_Вводные'!$B$235,0,INDEX('19_Расчет_аналитики'!$B$1375:$BO$1375,1,10-'01_Вводные'!$B$235)*'01_Вводные'!$B$14^'01_Вводные'!$B$235)</f>
        <v/>
      </c>
      <c r="L1410">
        <f>IF(11&lt;='01_Вводные'!$B$235,0,INDEX('19_Расчет_аналитики'!$B$1375:$BO$1375,1,11-'01_Вводные'!$B$235)*'01_Вводные'!$B$14^'01_Вводные'!$B$235)</f>
        <v/>
      </c>
      <c r="M1410">
        <f>IF(12&lt;='01_Вводные'!$B$235,0,INDEX('19_Расчет_аналитики'!$B$1375:$BO$1375,1,12-'01_Вводные'!$B$235)*'01_Вводные'!$B$14^'01_Вводные'!$B$235)</f>
        <v/>
      </c>
      <c r="N1410">
        <f>IF(13&lt;='01_Вводные'!$B$235,0,INDEX('19_Расчет_аналитики'!$B$1375:$BO$1375,1,13-'01_Вводные'!$B$235)*'01_Вводные'!$B$14^'01_Вводные'!$B$235)</f>
        <v/>
      </c>
      <c r="O1410">
        <f>IF(14&lt;='01_Вводные'!$B$235,0,INDEX('19_Расчет_аналитики'!$B$1375:$BO$1375,1,14-'01_Вводные'!$B$235)*'01_Вводные'!$B$14^'01_Вводные'!$B$235)</f>
        <v/>
      </c>
      <c r="P1410">
        <f>IF(15&lt;='01_Вводные'!$B$235,0,INDEX('19_Расчет_аналитики'!$B$1375:$BO$1375,1,15-'01_Вводные'!$B$235)*'01_Вводные'!$B$14^'01_Вводные'!$B$235)</f>
        <v/>
      </c>
      <c r="Q1410">
        <f>IF(16&lt;='01_Вводные'!$B$235,0,INDEX('19_Расчет_аналитики'!$B$1375:$BO$1375,1,16-'01_Вводные'!$B$235)*'01_Вводные'!$B$14^'01_Вводные'!$B$235)</f>
        <v/>
      </c>
      <c r="R1410">
        <f>IF(17&lt;='01_Вводные'!$B$235,0,INDEX('19_Расчет_аналитики'!$B$1375:$BO$1375,1,17-'01_Вводные'!$B$235)*'01_Вводные'!$B$14^'01_Вводные'!$B$235)</f>
        <v/>
      </c>
      <c r="S1410">
        <f>IF(18&lt;='01_Вводные'!$B$235,0,INDEX('19_Расчет_аналитики'!$B$1375:$BO$1375,1,18-'01_Вводные'!$B$235)*'01_Вводные'!$B$14^'01_Вводные'!$B$235)</f>
        <v/>
      </c>
      <c r="T1410">
        <f>IF(19&lt;='01_Вводные'!$B$235,0,INDEX('19_Расчет_аналитики'!$B$1375:$BO$1375,1,19-'01_Вводные'!$B$235)*'01_Вводные'!$B$14^'01_Вводные'!$B$235)</f>
        <v/>
      </c>
      <c r="U1410">
        <f>IF(20&lt;='01_Вводные'!$B$235,0,INDEX('19_Расчет_аналитики'!$B$1375:$BO$1375,1,20-'01_Вводные'!$B$235)*'01_Вводные'!$B$14^'01_Вводные'!$B$235)</f>
        <v/>
      </c>
      <c r="V1410">
        <f>IF(21&lt;='01_Вводные'!$B$235,0,INDEX('19_Расчет_аналитики'!$B$1375:$BO$1375,1,21-'01_Вводные'!$B$235)*'01_Вводные'!$B$14^'01_Вводные'!$B$235)</f>
        <v/>
      </c>
      <c r="W1410">
        <f>IF(22&lt;='01_Вводные'!$B$235,0,INDEX('19_Расчет_аналитики'!$B$1375:$BO$1375,1,22-'01_Вводные'!$B$235)*'01_Вводные'!$B$14^'01_Вводные'!$B$235)</f>
        <v/>
      </c>
      <c r="X1410">
        <f>IF(23&lt;='01_Вводные'!$B$235,0,INDEX('19_Расчет_аналитики'!$B$1375:$BO$1375,1,23-'01_Вводные'!$B$235)*'01_Вводные'!$B$14^'01_Вводные'!$B$235)</f>
        <v/>
      </c>
      <c r="Y1410">
        <f>IF(24&lt;='01_Вводные'!$B$235,0,INDEX('19_Расчет_аналитики'!$B$1375:$BO$1375,1,24-'01_Вводные'!$B$235)*'01_Вводные'!$B$14^'01_Вводные'!$B$235)</f>
        <v/>
      </c>
      <c r="Z1410">
        <f>IF(25&lt;='01_Вводные'!$B$235,0,INDEX('19_Расчет_аналитики'!$B$1375:$BO$1375,1,25-'01_Вводные'!$B$235)*'01_Вводные'!$B$14^'01_Вводные'!$B$235)</f>
        <v/>
      </c>
      <c r="AA1410">
        <f>IF(26&lt;='01_Вводные'!$B$235,0,INDEX('19_Расчет_аналитики'!$B$1375:$BO$1375,1,26-'01_Вводные'!$B$235)*'01_Вводные'!$B$14^'01_Вводные'!$B$235)</f>
        <v/>
      </c>
      <c r="AB1410">
        <f>IF(27&lt;='01_Вводные'!$B$235,0,INDEX('19_Расчет_аналитики'!$B$1375:$BO$1375,1,27-'01_Вводные'!$B$235)*'01_Вводные'!$B$14^'01_Вводные'!$B$235)</f>
        <v/>
      </c>
      <c r="AC1410">
        <f>IF(28&lt;='01_Вводные'!$B$235,0,INDEX('19_Расчет_аналитики'!$B$1375:$BO$1375,1,28-'01_Вводные'!$B$235)*'01_Вводные'!$B$14^'01_Вводные'!$B$235)</f>
        <v/>
      </c>
      <c r="AD1410">
        <f>IF(29&lt;='01_Вводные'!$B$235,0,INDEX('19_Расчет_аналитики'!$B$1375:$BO$1375,1,29-'01_Вводные'!$B$235)*'01_Вводные'!$B$14^'01_Вводные'!$B$235)</f>
        <v/>
      </c>
      <c r="AE1410">
        <f>IF(30&lt;='01_Вводные'!$B$235,0,INDEX('19_Расчет_аналитики'!$B$1375:$BO$1375,1,30-'01_Вводные'!$B$235)*'01_Вводные'!$B$14^'01_Вводные'!$B$235)</f>
        <v/>
      </c>
      <c r="AF1410">
        <f>IF(31&lt;='01_Вводные'!$B$235,0,INDEX('19_Расчет_аналитики'!$B$1375:$BO$1375,1,31-'01_Вводные'!$B$235)*'01_Вводные'!$B$14^'01_Вводные'!$B$235)</f>
        <v/>
      </c>
      <c r="AG1410">
        <f>IF(32&lt;='01_Вводные'!$B$235,0,INDEX('19_Расчет_аналитики'!$B$1375:$BO$1375,1,32-'01_Вводные'!$B$235)*'01_Вводные'!$B$14^'01_Вводные'!$B$235)</f>
        <v/>
      </c>
      <c r="AH1410">
        <f>IF(33&lt;='01_Вводные'!$B$235,0,INDEX('19_Расчет_аналитики'!$B$1375:$BO$1375,1,33-'01_Вводные'!$B$235)*'01_Вводные'!$B$14^'01_Вводные'!$B$235)</f>
        <v/>
      </c>
      <c r="AI1410">
        <f>IF(34&lt;='01_Вводные'!$B$235,0,INDEX('19_Расчет_аналитики'!$B$1375:$BO$1375,1,34-'01_Вводные'!$B$235)*'01_Вводные'!$B$14^'01_Вводные'!$B$235)</f>
        <v/>
      </c>
      <c r="AJ1410">
        <f>IF(35&lt;='01_Вводные'!$B$235,0,INDEX('19_Расчет_аналитики'!$B$1375:$BO$1375,1,35-'01_Вводные'!$B$235)*'01_Вводные'!$B$14^'01_Вводные'!$B$235)</f>
        <v/>
      </c>
      <c r="AK1410">
        <f>IF(36&lt;='01_Вводные'!$B$235,0,INDEX('19_Расчет_аналитики'!$B$1375:$BO$1375,1,36-'01_Вводные'!$B$235)*'01_Вводные'!$B$14^'01_Вводные'!$B$235)</f>
        <v/>
      </c>
      <c r="AL1410">
        <f>IF(37&lt;='01_Вводные'!$B$235,0,INDEX('19_Расчет_аналитики'!$B$1375:$BO$1375,1,37-'01_Вводные'!$B$235)*'01_Вводные'!$B$14^'01_Вводные'!$B$235)</f>
        <v/>
      </c>
      <c r="AM1410">
        <f>IF(38&lt;='01_Вводные'!$B$235,0,INDEX('19_Расчет_аналитики'!$B$1375:$BO$1375,1,38-'01_Вводные'!$B$235)*'01_Вводные'!$B$14^'01_Вводные'!$B$235)</f>
        <v/>
      </c>
      <c r="AN1410">
        <f>IF(39&lt;='01_Вводные'!$B$235,0,INDEX('19_Расчет_аналитики'!$B$1375:$BO$1375,1,39-'01_Вводные'!$B$235)*'01_Вводные'!$B$14^'01_Вводные'!$B$235)</f>
        <v/>
      </c>
      <c r="AO1410">
        <f>IF(40&lt;='01_Вводные'!$B$235,0,INDEX('19_Расчет_аналитики'!$B$1375:$BO$1375,1,40-'01_Вводные'!$B$235)*'01_Вводные'!$B$14^'01_Вводные'!$B$235)</f>
        <v/>
      </c>
      <c r="AP1410">
        <f>IF(41&lt;='01_Вводные'!$B$235,0,INDEX('19_Расчет_аналитики'!$B$1375:$BO$1375,1,41-'01_Вводные'!$B$235)*'01_Вводные'!$B$14^'01_Вводные'!$B$235)</f>
        <v/>
      </c>
      <c r="AQ1410">
        <f>IF(42&lt;='01_Вводные'!$B$235,0,INDEX('19_Расчет_аналитики'!$B$1375:$BO$1375,1,42-'01_Вводные'!$B$235)*'01_Вводные'!$B$14^'01_Вводные'!$B$235)</f>
        <v/>
      </c>
      <c r="AR1410">
        <f>IF(43&lt;='01_Вводные'!$B$235,0,INDEX('19_Расчет_аналитики'!$B$1375:$BO$1375,1,43-'01_Вводные'!$B$235)*'01_Вводные'!$B$14^'01_Вводные'!$B$235)</f>
        <v/>
      </c>
      <c r="AS1410">
        <f>IF(44&lt;='01_Вводные'!$B$235,0,INDEX('19_Расчет_аналитики'!$B$1375:$BO$1375,1,44-'01_Вводные'!$B$235)*'01_Вводные'!$B$14^'01_Вводные'!$B$235)</f>
        <v/>
      </c>
      <c r="AT1410">
        <f>IF(45&lt;='01_Вводные'!$B$235,0,INDEX('19_Расчет_аналитики'!$B$1375:$BO$1375,1,45-'01_Вводные'!$B$235)*'01_Вводные'!$B$14^'01_Вводные'!$B$235)</f>
        <v/>
      </c>
      <c r="AU1410">
        <f>IF(46&lt;='01_Вводные'!$B$235,0,INDEX('19_Расчет_аналитики'!$B$1375:$BO$1375,1,46-'01_Вводные'!$B$235)*'01_Вводные'!$B$14^'01_Вводные'!$B$235)</f>
        <v/>
      </c>
      <c r="AV1410">
        <f>IF(47&lt;='01_Вводные'!$B$235,0,INDEX('19_Расчет_аналитики'!$B$1375:$BO$1375,1,47-'01_Вводные'!$B$235)*'01_Вводные'!$B$14^'01_Вводные'!$B$235)</f>
        <v/>
      </c>
      <c r="AW1410">
        <f>IF(48&lt;='01_Вводные'!$B$235,0,INDEX('19_Расчет_аналитики'!$B$1375:$BO$1375,1,48-'01_Вводные'!$B$235)*'01_Вводные'!$B$14^'01_Вводные'!$B$235)</f>
        <v/>
      </c>
      <c r="AX1410">
        <f>IF(49&lt;='01_Вводные'!$B$235,0,INDEX('19_Расчет_аналитики'!$B$1375:$BO$1375,1,49-'01_Вводные'!$B$235)*'01_Вводные'!$B$14^'01_Вводные'!$B$235)</f>
        <v/>
      </c>
      <c r="AY1410">
        <f>IF(50&lt;='01_Вводные'!$B$235,0,INDEX('19_Расчет_аналитики'!$B$1375:$BO$1375,1,50-'01_Вводные'!$B$235)*'01_Вводные'!$B$14^'01_Вводные'!$B$235)</f>
        <v/>
      </c>
      <c r="AZ1410">
        <f>IF(51&lt;='01_Вводные'!$B$235,0,INDEX('19_Расчет_аналитики'!$B$1375:$BO$1375,1,51-'01_Вводные'!$B$235)*'01_Вводные'!$B$14^'01_Вводные'!$B$235)</f>
        <v/>
      </c>
      <c r="BA1410">
        <f>IF(52&lt;='01_Вводные'!$B$235,0,INDEX('19_Расчет_аналитики'!$B$1375:$BO$1375,1,52-'01_Вводные'!$B$235)*'01_Вводные'!$B$14^'01_Вводные'!$B$235)</f>
        <v/>
      </c>
      <c r="BB1410">
        <f>IF(53&lt;='01_Вводные'!$B$235,0,INDEX('19_Расчет_аналитики'!$B$1375:$BO$1375,1,53-'01_Вводные'!$B$235)*'01_Вводные'!$B$14^'01_Вводные'!$B$235)</f>
        <v/>
      </c>
      <c r="BC1410">
        <f>IF(54&lt;='01_Вводные'!$B$235,0,INDEX('19_Расчет_аналитики'!$B$1375:$BO$1375,1,54-'01_Вводные'!$B$235)*'01_Вводные'!$B$14^'01_Вводные'!$B$235)</f>
        <v/>
      </c>
      <c r="BD1410">
        <f>IF(55&lt;='01_Вводные'!$B$235,0,INDEX('19_Расчет_аналитики'!$B$1375:$BO$1375,1,55-'01_Вводные'!$B$235)*'01_Вводные'!$B$14^'01_Вводные'!$B$235)</f>
        <v/>
      </c>
      <c r="BE1410">
        <f>IF(56&lt;='01_Вводные'!$B$235,0,INDEX('19_Расчет_аналитики'!$B$1375:$BO$1375,1,56-'01_Вводные'!$B$235)*'01_Вводные'!$B$14^'01_Вводные'!$B$235)</f>
        <v/>
      </c>
      <c r="BF1410">
        <f>IF(57&lt;='01_Вводные'!$B$235,0,INDEX('19_Расчет_аналитики'!$B$1375:$BO$1375,1,57-'01_Вводные'!$B$235)*'01_Вводные'!$B$14^'01_Вводные'!$B$235)</f>
        <v/>
      </c>
      <c r="BG1410">
        <f>IF(58&lt;='01_Вводные'!$B$235,0,INDEX('19_Расчет_аналитики'!$B$1375:$BO$1375,1,58-'01_Вводные'!$B$235)*'01_Вводные'!$B$14^'01_Вводные'!$B$235)</f>
        <v/>
      </c>
      <c r="BH1410">
        <f>IF(59&lt;='01_Вводные'!$B$235,0,INDEX('19_Расчет_аналитики'!$B$1375:$BO$1375,1,59-'01_Вводные'!$B$235)*'01_Вводные'!$B$14^'01_Вводные'!$B$235)</f>
        <v/>
      </c>
      <c r="BI1410">
        <f>IF(60&lt;='01_Вводные'!$B$235,0,INDEX('19_Расчет_аналитики'!$B$1375:$BO$1375,1,60-'01_Вводные'!$B$235)*'01_Вводные'!$B$14^'01_Вводные'!$B$235)</f>
        <v/>
      </c>
      <c r="BJ1410">
        <f>IF(61&lt;='01_Вводные'!$B$235,0,INDEX('19_Расчет_аналитики'!$B$1375:$BO$1375,1,61-'01_Вводные'!$B$235)*'01_Вводные'!$B$14^'01_Вводные'!$B$235)</f>
        <v/>
      </c>
      <c r="BK1410">
        <f>IF(62&lt;='01_Вводные'!$B$235,0,INDEX('19_Расчет_аналитики'!$B$1375:$BO$1375,1,62-'01_Вводные'!$B$235)*'01_Вводные'!$B$14^'01_Вводные'!$B$235)</f>
        <v/>
      </c>
      <c r="BL1410">
        <f>IF(63&lt;='01_Вводные'!$B$235,0,INDEX('19_Расчет_аналитики'!$B$1375:$BO$1375,1,63-'01_Вводные'!$B$235)*'01_Вводные'!$B$14^'01_Вводные'!$B$235)</f>
        <v/>
      </c>
      <c r="BM1410">
        <f>IF(64&lt;='01_Вводные'!$B$235,0,INDEX('19_Расчет_аналитики'!$B$1375:$BO$1375,1,64-'01_Вводные'!$B$235)*'01_Вводные'!$B$14^'01_Вводные'!$B$235)</f>
        <v/>
      </c>
      <c r="BN1410">
        <f>IF(65&lt;='01_Вводные'!$B$235,0,INDEX('19_Расчет_аналитики'!$B$1375:$BO$1375,1,65-'01_Вводные'!$B$235)*'01_Вводные'!$B$14^'01_Вводные'!$B$235)</f>
        <v/>
      </c>
      <c r="BO1410">
        <f>IF(66&lt;='01_Вводные'!$B$235,0,INDEX('19_Расчет_аналитики'!$B$1375:$BO$1375,1,66-'01_Вводные'!$B$235)*'01_Вводные'!$B$14^'01_Вводные'!$B$235)</f>
        <v/>
      </c>
    </row>
    <row r="1411">
      <c r="B1411">
        <f>'19_Расчет_аналитики'!B1410</f>
        <v/>
      </c>
      <c r="C1411">
        <f>'19_Расчет_аналитики'!B1411*'01_Вводные'!$B$14+'19_Расчет_аналитики'!C1410</f>
        <v/>
      </c>
      <c r="D1411">
        <f>'19_Расчет_аналитики'!C1411*'01_Вводные'!$B$14+'19_Расчет_аналитики'!D1410</f>
        <v/>
      </c>
      <c r="E1411">
        <f>'19_Расчет_аналитики'!D1411*'01_Вводные'!$B$14+'19_Расчет_аналитики'!E1410</f>
        <v/>
      </c>
      <c r="F1411">
        <f>'19_Расчет_аналитики'!E1411*'01_Вводные'!$B$14+'19_Расчет_аналитики'!F1410</f>
        <v/>
      </c>
      <c r="G1411">
        <f>'19_Расчет_аналитики'!F1411*'01_Вводные'!$B$14+'19_Расчет_аналитики'!G1410</f>
        <v/>
      </c>
      <c r="H1411">
        <f>'19_Расчет_аналитики'!G1411*'01_Вводные'!$B$14+'19_Расчет_аналитики'!H1410</f>
        <v/>
      </c>
      <c r="I1411">
        <f>'19_Расчет_аналитики'!H1411*'01_Вводные'!$B$14+'19_Расчет_аналитики'!I1410</f>
        <v/>
      </c>
      <c r="J1411">
        <f>'19_Расчет_аналитики'!I1411*'01_Вводные'!$B$14+'19_Расчет_аналитики'!J1410</f>
        <v/>
      </c>
      <c r="K1411">
        <f>'19_Расчет_аналитики'!J1411*'01_Вводные'!$B$14+'19_Расчет_аналитики'!K1410</f>
        <v/>
      </c>
      <c r="L1411">
        <f>'19_Расчет_аналитики'!K1411*'01_Вводные'!$B$14+'19_Расчет_аналитики'!L1410</f>
        <v/>
      </c>
      <c r="M1411">
        <f>'19_Расчет_аналитики'!L1411*'01_Вводные'!$B$14+'19_Расчет_аналитики'!M1410</f>
        <v/>
      </c>
      <c r="N1411">
        <f>'19_Расчет_аналитики'!M1411*'01_Вводные'!$B$14+'19_Расчет_аналитики'!N1410</f>
        <v/>
      </c>
      <c r="O1411">
        <f>'19_Расчет_аналитики'!N1411*'01_Вводные'!$B$14+'19_Расчет_аналитики'!O1410</f>
        <v/>
      </c>
      <c r="P1411">
        <f>'19_Расчет_аналитики'!O1411*'01_Вводные'!$B$14+'19_Расчет_аналитики'!P1410</f>
        <v/>
      </c>
      <c r="Q1411">
        <f>'19_Расчет_аналитики'!P1411*'01_Вводные'!$B$14+'19_Расчет_аналитики'!Q1410</f>
        <v/>
      </c>
      <c r="R1411">
        <f>'19_Расчет_аналитики'!Q1411*'01_Вводные'!$B$14+'19_Расчет_аналитики'!R1410</f>
        <v/>
      </c>
      <c r="S1411">
        <f>'19_Расчет_аналитики'!R1411*'01_Вводные'!$B$14+'19_Расчет_аналитики'!S1410</f>
        <v/>
      </c>
      <c r="T1411">
        <f>'19_Расчет_аналитики'!S1411*'01_Вводные'!$B$14+'19_Расчет_аналитики'!T1410</f>
        <v/>
      </c>
      <c r="U1411">
        <f>'19_Расчет_аналитики'!T1411*'01_Вводные'!$B$14+'19_Расчет_аналитики'!U1410</f>
        <v/>
      </c>
      <c r="V1411">
        <f>'19_Расчет_аналитики'!U1411*'01_Вводные'!$B$14+'19_Расчет_аналитики'!V1410</f>
        <v/>
      </c>
      <c r="W1411">
        <f>'19_Расчет_аналитики'!V1411*'01_Вводные'!$B$14+'19_Расчет_аналитики'!W1410</f>
        <v/>
      </c>
      <c r="X1411">
        <f>'19_Расчет_аналитики'!W1411*'01_Вводные'!$B$14+'19_Расчет_аналитики'!X1410</f>
        <v/>
      </c>
      <c r="Y1411">
        <f>'19_Расчет_аналитики'!X1411*'01_Вводные'!$B$14+'19_Расчет_аналитики'!Y1410</f>
        <v/>
      </c>
      <c r="Z1411">
        <f>'19_Расчет_аналитики'!Y1411*'01_Вводные'!$B$14+'19_Расчет_аналитики'!Z1410</f>
        <v/>
      </c>
      <c r="AA1411">
        <f>'19_Расчет_аналитики'!Z1411*'01_Вводные'!$B$14+'19_Расчет_аналитики'!AA1410</f>
        <v/>
      </c>
      <c r="AB1411">
        <f>'19_Расчет_аналитики'!AA1411*'01_Вводные'!$B$14+'19_Расчет_аналитики'!AB1410</f>
        <v/>
      </c>
      <c r="AC1411">
        <f>'19_Расчет_аналитики'!AB1411*'01_Вводные'!$B$14+'19_Расчет_аналитики'!AC1410</f>
        <v/>
      </c>
      <c r="AD1411">
        <f>'19_Расчет_аналитики'!AC1411*'01_Вводные'!$B$14+'19_Расчет_аналитики'!AD1410</f>
        <v/>
      </c>
      <c r="AE1411">
        <f>'19_Расчет_аналитики'!AD1411*'01_Вводные'!$B$14+'19_Расчет_аналитики'!AE1410</f>
        <v/>
      </c>
      <c r="AF1411">
        <f>'19_Расчет_аналитики'!AE1411*'01_Вводные'!$B$14+'19_Расчет_аналитики'!AF1410</f>
        <v/>
      </c>
      <c r="AG1411">
        <f>'19_Расчет_аналитики'!AF1411*'01_Вводные'!$B$14+'19_Расчет_аналитики'!AG1410</f>
        <v/>
      </c>
      <c r="AH1411">
        <f>'19_Расчет_аналитики'!AG1411*'01_Вводные'!$B$14+'19_Расчет_аналитики'!AH1410</f>
        <v/>
      </c>
      <c r="AI1411">
        <f>'19_Расчет_аналитики'!AH1411*'01_Вводные'!$B$14+'19_Расчет_аналитики'!AI1410</f>
        <v/>
      </c>
      <c r="AJ1411">
        <f>'19_Расчет_аналитики'!AI1411*'01_Вводные'!$B$14+'19_Расчет_аналитики'!AJ1410</f>
        <v/>
      </c>
      <c r="AK1411">
        <f>'19_Расчет_аналитики'!AJ1411*'01_Вводные'!$B$14+'19_Расчет_аналитики'!AK1410</f>
        <v/>
      </c>
      <c r="AL1411">
        <f>'19_Расчет_аналитики'!AK1411*'01_Вводные'!$B$14+'19_Расчет_аналитики'!AL1410</f>
        <v/>
      </c>
      <c r="AM1411">
        <f>'19_Расчет_аналитики'!AL1411*'01_Вводные'!$B$14+'19_Расчет_аналитики'!AM1410</f>
        <v/>
      </c>
      <c r="AN1411">
        <f>'19_Расчет_аналитики'!AM1411*'01_Вводные'!$B$14+'19_Расчет_аналитики'!AN1410</f>
        <v/>
      </c>
      <c r="AO1411">
        <f>'19_Расчет_аналитики'!AN1411*'01_Вводные'!$B$14+'19_Расчет_аналитики'!AO1410</f>
        <v/>
      </c>
      <c r="AP1411">
        <f>'19_Расчет_аналитики'!AO1411*'01_Вводные'!$B$14+'19_Расчет_аналитики'!AP1410</f>
        <v/>
      </c>
      <c r="AQ1411">
        <f>'19_Расчет_аналитики'!AP1411*'01_Вводные'!$B$14+'19_Расчет_аналитики'!AQ1410</f>
        <v/>
      </c>
      <c r="AR1411">
        <f>'19_Расчет_аналитики'!AQ1411*'01_Вводные'!$B$14+'19_Расчет_аналитики'!AR1410</f>
        <v/>
      </c>
      <c r="AS1411">
        <f>'19_Расчет_аналитики'!AR1411*'01_Вводные'!$B$14+'19_Расчет_аналитики'!AS1410</f>
        <v/>
      </c>
      <c r="AT1411">
        <f>'19_Расчет_аналитики'!AS1411*'01_Вводные'!$B$14+'19_Расчет_аналитики'!AT1410</f>
        <v/>
      </c>
      <c r="AU1411">
        <f>'19_Расчет_аналитики'!AT1411*'01_Вводные'!$B$14+'19_Расчет_аналитики'!AU1410</f>
        <v/>
      </c>
      <c r="AV1411">
        <f>'19_Расчет_аналитики'!AU1411*'01_Вводные'!$B$14+'19_Расчет_аналитики'!AV1410</f>
        <v/>
      </c>
      <c r="AW1411">
        <f>'19_Расчет_аналитики'!AV1411*'01_Вводные'!$B$14+'19_Расчет_аналитики'!AW1410</f>
        <v/>
      </c>
      <c r="AX1411">
        <f>'19_Расчет_аналитики'!AW1411*'01_Вводные'!$B$14+'19_Расчет_аналитики'!AX1410</f>
        <v/>
      </c>
      <c r="AY1411">
        <f>'19_Расчет_аналитики'!AX1411*'01_Вводные'!$B$14+'19_Расчет_аналитики'!AY1410</f>
        <v/>
      </c>
      <c r="AZ1411">
        <f>'19_Расчет_аналитики'!AY1411*'01_Вводные'!$B$14+'19_Расчет_аналитики'!AZ1410</f>
        <v/>
      </c>
      <c r="BA1411">
        <f>'19_Расчет_аналитики'!AZ1411*'01_Вводные'!$B$14+'19_Расчет_аналитики'!BA1410</f>
        <v/>
      </c>
      <c r="BB1411">
        <f>'19_Расчет_аналитики'!BA1411*'01_Вводные'!$B$14+'19_Расчет_аналитики'!BB1410</f>
        <v/>
      </c>
      <c r="BC1411">
        <f>'19_Расчет_аналитики'!BB1411*'01_Вводные'!$B$14+'19_Расчет_аналитики'!BC1410</f>
        <v/>
      </c>
      <c r="BD1411">
        <f>'19_Расчет_аналитики'!BC1411*'01_Вводные'!$B$14+'19_Расчет_аналитики'!BD1410</f>
        <v/>
      </c>
      <c r="BE1411">
        <f>'19_Расчет_аналитики'!BD1411*'01_Вводные'!$B$14+'19_Расчет_аналитики'!BE1410</f>
        <v/>
      </c>
      <c r="BF1411">
        <f>'19_Расчет_аналитики'!BE1411*'01_Вводные'!$B$14+'19_Расчет_аналитики'!BF1410</f>
        <v/>
      </c>
      <c r="BG1411">
        <f>'19_Расчет_аналитики'!BF1411*'01_Вводные'!$B$14+'19_Расчет_аналитики'!BG1410</f>
        <v/>
      </c>
      <c r="BH1411">
        <f>'19_Расчет_аналитики'!BG1411*'01_Вводные'!$B$14+'19_Расчет_аналитики'!BH1410</f>
        <v/>
      </c>
      <c r="BI1411">
        <f>'19_Расчет_аналитики'!BH1411*'01_Вводные'!$B$14+'19_Расчет_аналитики'!BI1410</f>
        <v/>
      </c>
      <c r="BJ1411">
        <f>'19_Расчет_аналитики'!BI1411*'01_Вводные'!$B$14+'19_Расчет_аналитики'!BJ1410</f>
        <v/>
      </c>
      <c r="BK1411">
        <f>'19_Расчет_аналитики'!BJ1411*'01_Вводные'!$B$14+'19_Расчет_аналитики'!BK1410</f>
        <v/>
      </c>
      <c r="BL1411">
        <f>'19_Расчет_аналитики'!BK1411*'01_Вводные'!$B$14+'19_Расчет_аналитики'!BL1410</f>
        <v/>
      </c>
      <c r="BM1411">
        <f>'19_Расчет_аналитики'!BL1411*'01_Вводные'!$B$14+'19_Расчет_аналитики'!BM1410</f>
        <v/>
      </c>
      <c r="BN1411">
        <f>'19_Расчет_аналитики'!BM1411*'01_Вводные'!$B$14+'19_Расчет_аналитики'!BN1410</f>
        <v/>
      </c>
      <c r="BO1411">
        <f>'19_Расчет_аналитики'!BN1411*'01_Вводные'!$B$14+'19_Расчет_аналитики'!BO1410</f>
        <v/>
      </c>
    </row>
    <row r="1412"/>
    <row r="1413"/>
    <row r="1414"/>
    <row r="1415"/>
    <row r="1416"/>
    <row r="1417"/>
    <row r="1418"/>
    <row r="1419"/>
    <row r="1420">
      <c r="B1420">
        <f>'19_Расчет_аналитики'!B1375</f>
        <v/>
      </c>
      <c r="C1420">
        <f>'19_Расчет_аналитики'!C1375</f>
        <v/>
      </c>
      <c r="D1420">
        <f>'19_Расчет_аналитики'!D1375</f>
        <v/>
      </c>
      <c r="E1420">
        <f>'19_Расчет_аналитики'!E1375</f>
        <v/>
      </c>
      <c r="F1420">
        <f>'19_Расчет_аналитики'!F1375</f>
        <v/>
      </c>
      <c r="G1420">
        <f>'19_Расчет_аналитики'!G1375</f>
        <v/>
      </c>
      <c r="H1420">
        <f>'19_Расчет_аналитики'!H1375</f>
        <v/>
      </c>
      <c r="I1420">
        <f>'19_Расчет_аналитики'!I1375</f>
        <v/>
      </c>
      <c r="J1420">
        <f>'19_Расчет_аналитики'!J1375</f>
        <v/>
      </c>
      <c r="K1420">
        <f>'19_Расчет_аналитики'!K1375</f>
        <v/>
      </c>
      <c r="L1420">
        <f>'19_Расчет_аналитики'!L1375</f>
        <v/>
      </c>
      <c r="M1420">
        <f>'19_Расчет_аналитики'!M1375</f>
        <v/>
      </c>
      <c r="N1420">
        <f>'19_Расчет_аналитики'!N1375</f>
        <v/>
      </c>
      <c r="O1420">
        <f>'19_Расчет_аналитики'!O1375</f>
        <v/>
      </c>
      <c r="P1420">
        <f>'19_Расчет_аналитики'!P1375</f>
        <v/>
      </c>
      <c r="Q1420">
        <f>'19_Расчет_аналитики'!Q1375</f>
        <v/>
      </c>
      <c r="R1420">
        <f>'19_Расчет_аналитики'!R1375</f>
        <v/>
      </c>
      <c r="S1420">
        <f>'19_Расчет_аналитики'!S1375</f>
        <v/>
      </c>
      <c r="T1420">
        <f>'19_Расчет_аналитики'!T1375</f>
        <v/>
      </c>
      <c r="U1420">
        <f>'19_Расчет_аналитики'!U1375</f>
        <v/>
      </c>
      <c r="V1420">
        <f>'19_Расчет_аналитики'!V1375</f>
        <v/>
      </c>
      <c r="W1420">
        <f>'19_Расчет_аналитики'!W1375</f>
        <v/>
      </c>
      <c r="X1420">
        <f>'19_Расчет_аналитики'!X1375</f>
        <v/>
      </c>
      <c r="Y1420">
        <f>'19_Расчет_аналитики'!Y1375</f>
        <v/>
      </c>
      <c r="Z1420">
        <f>'19_Расчет_аналитики'!Z1375</f>
        <v/>
      </c>
      <c r="AA1420">
        <f>'19_Расчет_аналитики'!AA1375</f>
        <v/>
      </c>
      <c r="AB1420">
        <f>'19_Расчет_аналитики'!AB1375</f>
        <v/>
      </c>
      <c r="AC1420">
        <f>'19_Расчет_аналитики'!AC1375</f>
        <v/>
      </c>
      <c r="AD1420">
        <f>'19_Расчет_аналитики'!AD1375</f>
        <v/>
      </c>
      <c r="AE1420">
        <f>'19_Расчет_аналитики'!AE1375</f>
        <v/>
      </c>
      <c r="AF1420">
        <f>'19_Расчет_аналитики'!AF1375</f>
        <v/>
      </c>
      <c r="AG1420">
        <f>'19_Расчет_аналитики'!AG1375</f>
        <v/>
      </c>
      <c r="AH1420">
        <f>'19_Расчет_аналитики'!AH1375</f>
        <v/>
      </c>
      <c r="AI1420">
        <f>'19_Расчет_аналитики'!AI1375</f>
        <v/>
      </c>
      <c r="AJ1420">
        <f>'19_Расчет_аналитики'!AJ1375</f>
        <v/>
      </c>
      <c r="AK1420">
        <f>'19_Расчет_аналитики'!AK1375</f>
        <v/>
      </c>
      <c r="AL1420">
        <f>'19_Расчет_аналитики'!AL1375</f>
        <v/>
      </c>
      <c r="AM1420">
        <f>'19_Расчет_аналитики'!AM1375</f>
        <v/>
      </c>
      <c r="AN1420">
        <f>'19_Расчет_аналитики'!AN1375</f>
        <v/>
      </c>
      <c r="AO1420">
        <f>'19_Расчет_аналитики'!AO1375</f>
        <v/>
      </c>
      <c r="AP1420">
        <f>'19_Расчет_аналитики'!AP1375</f>
        <v/>
      </c>
      <c r="AQ1420">
        <f>'19_Расчет_аналитики'!AQ1375</f>
        <v/>
      </c>
      <c r="AR1420">
        <f>'19_Расчет_аналитики'!AR1375</f>
        <v/>
      </c>
      <c r="AS1420">
        <f>'19_Расчет_аналитики'!AS1375</f>
        <v/>
      </c>
      <c r="AT1420">
        <f>'19_Расчет_аналитики'!AT1375</f>
        <v/>
      </c>
      <c r="AU1420">
        <f>'19_Расчет_аналитики'!AU1375</f>
        <v/>
      </c>
      <c r="AV1420">
        <f>'19_Расчет_аналитики'!AV1375</f>
        <v/>
      </c>
      <c r="AW1420">
        <f>'19_Расчет_аналитики'!AW1375</f>
        <v/>
      </c>
      <c r="AX1420">
        <f>'19_Расчет_аналитики'!AX1375</f>
        <v/>
      </c>
      <c r="AY1420">
        <f>'19_Расчет_аналитики'!AY1375</f>
        <v/>
      </c>
      <c r="AZ1420">
        <f>'19_Расчет_аналитики'!AZ1375</f>
        <v/>
      </c>
      <c r="BA1420">
        <f>'19_Расчет_аналитики'!BA1375</f>
        <v/>
      </c>
      <c r="BB1420">
        <f>'19_Расчет_аналитики'!BB1375</f>
        <v/>
      </c>
      <c r="BC1420">
        <f>'19_Расчет_аналитики'!BC1375</f>
        <v/>
      </c>
      <c r="BD1420">
        <f>'19_Расчет_аналитики'!BD1375</f>
        <v/>
      </c>
      <c r="BE1420">
        <f>'19_Расчет_аналитики'!BE1375</f>
        <v/>
      </c>
      <c r="BF1420">
        <f>'19_Расчет_аналитики'!BF1375</f>
        <v/>
      </c>
      <c r="BG1420">
        <f>'19_Расчет_аналитики'!BG1375</f>
        <v/>
      </c>
      <c r="BH1420">
        <f>'19_Расчет_аналитики'!BH1375</f>
        <v/>
      </c>
      <c r="BI1420">
        <f>'19_Расчет_аналитики'!BI1375</f>
        <v/>
      </c>
      <c r="BJ1420">
        <f>'19_Расчет_аналитики'!BJ1375</f>
        <v/>
      </c>
      <c r="BK1420">
        <f>'19_Расчет_аналитики'!BK1375</f>
        <v/>
      </c>
      <c r="BL1420">
        <f>'19_Расчет_аналитики'!BL1375</f>
        <v/>
      </c>
      <c r="BM1420">
        <f>'19_Расчет_аналитики'!BM1375</f>
        <v/>
      </c>
      <c r="BN1420">
        <f>'19_Расчет_аналитики'!BN1375</f>
        <v/>
      </c>
      <c r="BO1420">
        <f>'19_Расчет_аналитики'!BO1375</f>
        <v/>
      </c>
    </row>
    <row r="1421">
      <c r="B1421">
        <f>'06_Сеть_и_дети'!B54</f>
        <v/>
      </c>
      <c r="C1421">
        <f>'19_Расчет_аналитики'!B1420*'01_Вводные'!$B$14</f>
        <v/>
      </c>
      <c r="D1421">
        <f>'19_Расчет_аналитики'!C1420*'01_Вводные'!$B$14</f>
        <v/>
      </c>
      <c r="E1421">
        <f>'19_Расчет_аналитики'!D1420*'01_Вводные'!$B$14</f>
        <v/>
      </c>
      <c r="F1421">
        <f>'19_Расчет_аналитики'!E1420*'01_Вводные'!$B$14</f>
        <v/>
      </c>
      <c r="G1421">
        <f>'19_Расчет_аналитики'!F1420*'01_Вводные'!$B$14</f>
        <v/>
      </c>
      <c r="H1421">
        <f>'19_Расчет_аналитики'!G1420*'01_Вводные'!$B$14</f>
        <v/>
      </c>
      <c r="I1421">
        <f>'19_Расчет_аналитики'!H1420*'01_Вводные'!$B$14</f>
        <v/>
      </c>
      <c r="J1421">
        <f>'19_Расчет_аналитики'!I1420*'01_Вводные'!$B$14</f>
        <v/>
      </c>
      <c r="K1421">
        <f>'19_Расчет_аналитики'!J1420*'01_Вводные'!$B$14</f>
        <v/>
      </c>
      <c r="L1421">
        <f>'19_Расчет_аналитики'!K1420*'01_Вводные'!$B$14</f>
        <v/>
      </c>
      <c r="M1421">
        <f>'19_Расчет_аналитики'!L1420*'01_Вводные'!$B$14</f>
        <v/>
      </c>
      <c r="N1421">
        <f>'19_Расчет_аналитики'!M1420*'01_Вводные'!$B$14</f>
        <v/>
      </c>
      <c r="O1421">
        <f>'19_Расчет_аналитики'!N1420*'01_Вводные'!$B$14</f>
        <v/>
      </c>
      <c r="P1421">
        <f>'19_Расчет_аналитики'!O1420*'01_Вводные'!$B$14</f>
        <v/>
      </c>
      <c r="Q1421">
        <f>'19_Расчет_аналитики'!P1420*'01_Вводные'!$B$14</f>
        <v/>
      </c>
      <c r="R1421">
        <f>'19_Расчет_аналитики'!Q1420*'01_Вводные'!$B$14</f>
        <v/>
      </c>
      <c r="S1421">
        <f>'19_Расчет_аналитики'!R1420*'01_Вводные'!$B$14</f>
        <v/>
      </c>
      <c r="T1421">
        <f>'19_Расчет_аналитики'!S1420*'01_Вводные'!$B$14</f>
        <v/>
      </c>
      <c r="U1421">
        <f>'19_Расчет_аналитики'!T1420*'01_Вводные'!$B$14</f>
        <v/>
      </c>
      <c r="V1421">
        <f>'19_Расчет_аналитики'!U1420*'01_Вводные'!$B$14</f>
        <v/>
      </c>
      <c r="W1421">
        <f>'19_Расчет_аналитики'!V1420*'01_Вводные'!$B$14</f>
        <v/>
      </c>
      <c r="X1421">
        <f>'19_Расчет_аналитики'!W1420*'01_Вводные'!$B$14</f>
        <v/>
      </c>
      <c r="Y1421">
        <f>'19_Расчет_аналитики'!X1420*'01_Вводные'!$B$14</f>
        <v/>
      </c>
      <c r="Z1421">
        <f>'19_Расчет_аналитики'!Y1420*'01_Вводные'!$B$14</f>
        <v/>
      </c>
      <c r="AA1421">
        <f>'19_Расчет_аналитики'!Z1420*'01_Вводные'!$B$14</f>
        <v/>
      </c>
      <c r="AB1421">
        <f>'19_Расчет_аналитики'!AA1420*'01_Вводные'!$B$14</f>
        <v/>
      </c>
      <c r="AC1421">
        <f>'19_Расчет_аналитики'!AB1420*'01_Вводные'!$B$14</f>
        <v/>
      </c>
      <c r="AD1421">
        <f>'19_Расчет_аналитики'!AC1420*'01_Вводные'!$B$14</f>
        <v/>
      </c>
      <c r="AE1421">
        <f>'19_Расчет_аналитики'!AD1420*'01_Вводные'!$B$14</f>
        <v/>
      </c>
      <c r="AF1421">
        <f>'19_Расчет_аналитики'!AE1420*'01_Вводные'!$B$14</f>
        <v/>
      </c>
      <c r="AG1421">
        <f>'19_Расчет_аналитики'!AF1420*'01_Вводные'!$B$14</f>
        <v/>
      </c>
      <c r="AH1421">
        <f>'19_Расчет_аналитики'!AG1420*'01_Вводные'!$B$14</f>
        <v/>
      </c>
      <c r="AI1421">
        <f>'19_Расчет_аналитики'!AH1420*'01_Вводные'!$B$14</f>
        <v/>
      </c>
      <c r="AJ1421">
        <f>'19_Расчет_аналитики'!AI1420*'01_Вводные'!$B$14</f>
        <v/>
      </c>
      <c r="AK1421">
        <f>'19_Расчет_аналитики'!AJ1420*'01_Вводные'!$B$14</f>
        <v/>
      </c>
      <c r="AL1421">
        <f>'19_Расчет_аналитики'!AK1420*'01_Вводные'!$B$14</f>
        <v/>
      </c>
      <c r="AM1421">
        <f>'19_Расчет_аналитики'!AL1420*'01_Вводные'!$B$14</f>
        <v/>
      </c>
      <c r="AN1421">
        <f>'19_Расчет_аналитики'!AM1420*'01_Вводные'!$B$14</f>
        <v/>
      </c>
      <c r="AO1421">
        <f>'19_Расчет_аналитики'!AN1420*'01_Вводные'!$B$14</f>
        <v/>
      </c>
      <c r="AP1421">
        <f>'19_Расчет_аналитики'!AO1420*'01_Вводные'!$B$14</f>
        <v/>
      </c>
      <c r="AQ1421">
        <f>'19_Расчет_аналитики'!AP1420*'01_Вводные'!$B$14</f>
        <v/>
      </c>
      <c r="AR1421">
        <f>'19_Расчет_аналитики'!AQ1420*'01_Вводные'!$B$14</f>
        <v/>
      </c>
      <c r="AS1421">
        <f>'19_Расчет_аналитики'!AR1420*'01_Вводные'!$B$14</f>
        <v/>
      </c>
      <c r="AT1421">
        <f>'19_Расчет_аналитики'!AS1420*'01_Вводные'!$B$14</f>
        <v/>
      </c>
      <c r="AU1421">
        <f>'19_Расчет_аналитики'!AT1420*'01_Вводные'!$B$14</f>
        <v/>
      </c>
      <c r="AV1421">
        <f>'19_Расчет_аналитики'!AU1420*'01_Вводные'!$B$14</f>
        <v/>
      </c>
      <c r="AW1421">
        <f>'19_Расчет_аналитики'!AV1420*'01_Вводные'!$B$14</f>
        <v/>
      </c>
      <c r="AX1421">
        <f>'19_Расчет_аналитики'!AW1420*'01_Вводные'!$B$14</f>
        <v/>
      </c>
      <c r="AY1421">
        <f>'19_Расчет_аналитики'!AX1420*'01_Вводные'!$B$14</f>
        <v/>
      </c>
      <c r="AZ1421">
        <f>'19_Расчет_аналитики'!AY1420*'01_Вводные'!$B$14</f>
        <v/>
      </c>
      <c r="BA1421">
        <f>'19_Расчет_аналитики'!AZ1420*'01_Вводные'!$B$14</f>
        <v/>
      </c>
      <c r="BB1421">
        <f>'19_Расчет_аналитики'!BA1420*'01_Вводные'!$B$14</f>
        <v/>
      </c>
      <c r="BC1421">
        <f>'19_Расчет_аналитики'!BB1420*'01_Вводные'!$B$14</f>
        <v/>
      </c>
      <c r="BD1421">
        <f>'19_Расчет_аналитики'!BC1420*'01_Вводные'!$B$14</f>
        <v/>
      </c>
      <c r="BE1421">
        <f>'19_Расчет_аналитики'!BD1420*'01_Вводные'!$B$14</f>
        <v/>
      </c>
      <c r="BF1421">
        <f>'19_Расчет_аналитики'!BE1420*'01_Вводные'!$B$14</f>
        <v/>
      </c>
      <c r="BG1421">
        <f>'19_Расчет_аналитики'!BF1420*'01_Вводные'!$B$14</f>
        <v/>
      </c>
      <c r="BH1421">
        <f>'19_Расчет_аналитики'!BG1420*'01_Вводные'!$B$14</f>
        <v/>
      </c>
      <c r="BI1421">
        <f>'19_Расчет_аналитики'!BH1420*'01_Вводные'!$B$14</f>
        <v/>
      </c>
      <c r="BJ1421">
        <f>'19_Расчет_аналитики'!BI1420*'01_Вводные'!$B$14</f>
        <v/>
      </c>
      <c r="BK1421">
        <f>'19_Расчет_аналитики'!BJ1420*'01_Вводные'!$B$14</f>
        <v/>
      </c>
      <c r="BL1421">
        <f>'19_Расчет_аналитики'!BK1420*'01_Вводные'!$B$14</f>
        <v/>
      </c>
      <c r="BM1421">
        <f>'19_Расчет_аналитики'!BL1420*'01_Вводные'!$B$14</f>
        <v/>
      </c>
      <c r="BN1421">
        <f>'19_Расчет_аналитики'!BM1420*'01_Вводные'!$B$14</f>
        <v/>
      </c>
      <c r="BO1421">
        <f>'19_Расчет_аналитики'!BN1420*'01_Вводные'!$B$14</f>
        <v/>
      </c>
    </row>
    <row r="1422">
      <c r="B1422">
        <f>'06_Сеть_и_дети'!B55</f>
        <v/>
      </c>
      <c r="C1422">
        <f>'06_Сеть_и_дети'!C55</f>
        <v/>
      </c>
      <c r="D1422">
        <f>'19_Расчет_аналитики'!C1421*'01_Вводные'!$B$14</f>
        <v/>
      </c>
      <c r="E1422">
        <f>'19_Расчет_аналитики'!D1421*'01_Вводные'!$B$14</f>
        <v/>
      </c>
      <c r="F1422">
        <f>'19_Расчет_аналитики'!E1421*'01_Вводные'!$B$14</f>
        <v/>
      </c>
      <c r="G1422">
        <f>'19_Расчет_аналитики'!F1421*'01_Вводные'!$B$14</f>
        <v/>
      </c>
      <c r="H1422">
        <f>'19_Расчет_аналитики'!G1421*'01_Вводные'!$B$14</f>
        <v/>
      </c>
      <c r="I1422">
        <f>'19_Расчет_аналитики'!H1421*'01_Вводные'!$B$14</f>
        <v/>
      </c>
      <c r="J1422">
        <f>'19_Расчет_аналитики'!I1421*'01_Вводные'!$B$14</f>
        <v/>
      </c>
      <c r="K1422">
        <f>'19_Расчет_аналитики'!J1421*'01_Вводные'!$B$14</f>
        <v/>
      </c>
      <c r="L1422">
        <f>'19_Расчет_аналитики'!K1421*'01_Вводные'!$B$14</f>
        <v/>
      </c>
      <c r="M1422">
        <f>'19_Расчет_аналитики'!L1421*'01_Вводные'!$B$14</f>
        <v/>
      </c>
      <c r="N1422">
        <f>'19_Расчет_аналитики'!M1421*'01_Вводные'!$B$14</f>
        <v/>
      </c>
      <c r="O1422">
        <f>'19_Расчет_аналитики'!N1421*'01_Вводные'!$B$14</f>
        <v/>
      </c>
      <c r="P1422">
        <f>'19_Расчет_аналитики'!O1421*'01_Вводные'!$B$14</f>
        <v/>
      </c>
      <c r="Q1422">
        <f>'19_Расчет_аналитики'!P1421*'01_Вводные'!$B$14</f>
        <v/>
      </c>
      <c r="R1422">
        <f>'19_Расчет_аналитики'!Q1421*'01_Вводные'!$B$14</f>
        <v/>
      </c>
      <c r="S1422">
        <f>'19_Расчет_аналитики'!R1421*'01_Вводные'!$B$14</f>
        <v/>
      </c>
      <c r="T1422">
        <f>'19_Расчет_аналитики'!S1421*'01_Вводные'!$B$14</f>
        <v/>
      </c>
      <c r="U1422">
        <f>'19_Расчет_аналитики'!T1421*'01_Вводные'!$B$14</f>
        <v/>
      </c>
      <c r="V1422">
        <f>'19_Расчет_аналитики'!U1421*'01_Вводные'!$B$14</f>
        <v/>
      </c>
      <c r="W1422">
        <f>'19_Расчет_аналитики'!V1421*'01_Вводные'!$B$14</f>
        <v/>
      </c>
      <c r="X1422">
        <f>'19_Расчет_аналитики'!W1421*'01_Вводные'!$B$14</f>
        <v/>
      </c>
      <c r="Y1422">
        <f>'19_Расчет_аналитики'!X1421*'01_Вводные'!$B$14</f>
        <v/>
      </c>
      <c r="Z1422">
        <f>'19_Расчет_аналитики'!Y1421*'01_Вводные'!$B$14</f>
        <v/>
      </c>
      <c r="AA1422">
        <f>'19_Расчет_аналитики'!Z1421*'01_Вводные'!$B$14</f>
        <v/>
      </c>
      <c r="AB1422">
        <f>'19_Расчет_аналитики'!AA1421*'01_Вводные'!$B$14</f>
        <v/>
      </c>
      <c r="AC1422">
        <f>'19_Расчет_аналитики'!AB1421*'01_Вводные'!$B$14</f>
        <v/>
      </c>
      <c r="AD1422">
        <f>'19_Расчет_аналитики'!AC1421*'01_Вводные'!$B$14</f>
        <v/>
      </c>
      <c r="AE1422">
        <f>'19_Расчет_аналитики'!AD1421*'01_Вводные'!$B$14</f>
        <v/>
      </c>
      <c r="AF1422">
        <f>'19_Расчет_аналитики'!AE1421*'01_Вводные'!$B$14</f>
        <v/>
      </c>
      <c r="AG1422">
        <f>'19_Расчет_аналитики'!AF1421*'01_Вводные'!$B$14</f>
        <v/>
      </c>
      <c r="AH1422">
        <f>'19_Расчет_аналитики'!AG1421*'01_Вводные'!$B$14</f>
        <v/>
      </c>
      <c r="AI1422">
        <f>'19_Расчет_аналитики'!AH1421*'01_Вводные'!$B$14</f>
        <v/>
      </c>
      <c r="AJ1422">
        <f>'19_Расчет_аналитики'!AI1421*'01_Вводные'!$B$14</f>
        <v/>
      </c>
      <c r="AK1422">
        <f>'19_Расчет_аналитики'!AJ1421*'01_Вводные'!$B$14</f>
        <v/>
      </c>
      <c r="AL1422">
        <f>'19_Расчет_аналитики'!AK1421*'01_Вводные'!$B$14</f>
        <v/>
      </c>
      <c r="AM1422">
        <f>'19_Расчет_аналитики'!AL1421*'01_Вводные'!$B$14</f>
        <v/>
      </c>
      <c r="AN1422">
        <f>'19_Расчет_аналитики'!AM1421*'01_Вводные'!$B$14</f>
        <v/>
      </c>
      <c r="AO1422">
        <f>'19_Расчет_аналитики'!AN1421*'01_Вводные'!$B$14</f>
        <v/>
      </c>
      <c r="AP1422">
        <f>'19_Расчет_аналитики'!AO1421*'01_Вводные'!$B$14</f>
        <v/>
      </c>
      <c r="AQ1422">
        <f>'19_Расчет_аналитики'!AP1421*'01_Вводные'!$B$14</f>
        <v/>
      </c>
      <c r="AR1422">
        <f>'19_Расчет_аналитики'!AQ1421*'01_Вводные'!$B$14</f>
        <v/>
      </c>
      <c r="AS1422">
        <f>'19_Расчет_аналитики'!AR1421*'01_Вводные'!$B$14</f>
        <v/>
      </c>
      <c r="AT1422">
        <f>'19_Расчет_аналитики'!AS1421*'01_Вводные'!$B$14</f>
        <v/>
      </c>
      <c r="AU1422">
        <f>'19_Расчет_аналитики'!AT1421*'01_Вводные'!$B$14</f>
        <v/>
      </c>
      <c r="AV1422">
        <f>'19_Расчет_аналитики'!AU1421*'01_Вводные'!$B$14</f>
        <v/>
      </c>
      <c r="AW1422">
        <f>'19_Расчет_аналитики'!AV1421*'01_Вводные'!$B$14</f>
        <v/>
      </c>
      <c r="AX1422">
        <f>'19_Расчет_аналитики'!AW1421*'01_Вводные'!$B$14</f>
        <v/>
      </c>
      <c r="AY1422">
        <f>'19_Расчет_аналитики'!AX1421*'01_Вводные'!$B$14</f>
        <v/>
      </c>
      <c r="AZ1422">
        <f>'19_Расчет_аналитики'!AY1421*'01_Вводные'!$B$14</f>
        <v/>
      </c>
      <c r="BA1422">
        <f>'19_Расчет_аналитики'!AZ1421*'01_Вводные'!$B$14</f>
        <v/>
      </c>
      <c r="BB1422">
        <f>'19_Расчет_аналитики'!BA1421*'01_Вводные'!$B$14</f>
        <v/>
      </c>
      <c r="BC1422">
        <f>'19_Расчет_аналитики'!BB1421*'01_Вводные'!$B$14</f>
        <v/>
      </c>
      <c r="BD1422">
        <f>'19_Расчет_аналитики'!BC1421*'01_Вводные'!$B$14</f>
        <v/>
      </c>
      <c r="BE1422">
        <f>'19_Расчет_аналитики'!BD1421*'01_Вводные'!$B$14</f>
        <v/>
      </c>
      <c r="BF1422">
        <f>'19_Расчет_аналитики'!BE1421*'01_Вводные'!$B$14</f>
        <v/>
      </c>
      <c r="BG1422">
        <f>'19_Расчет_аналитики'!BF1421*'01_Вводные'!$B$14</f>
        <v/>
      </c>
      <c r="BH1422">
        <f>'19_Расчет_аналитики'!BG1421*'01_Вводные'!$B$14</f>
        <v/>
      </c>
      <c r="BI1422">
        <f>'19_Расчет_аналитики'!BH1421*'01_Вводные'!$B$14</f>
        <v/>
      </c>
      <c r="BJ1422">
        <f>'19_Расчет_аналитики'!BI1421*'01_Вводные'!$B$14</f>
        <v/>
      </c>
      <c r="BK1422">
        <f>'19_Расчет_аналитики'!BJ1421*'01_Вводные'!$B$14</f>
        <v/>
      </c>
      <c r="BL1422">
        <f>'19_Расчет_аналитики'!BK1421*'01_Вводные'!$B$14</f>
        <v/>
      </c>
      <c r="BM1422">
        <f>'19_Расчет_аналитики'!BL1421*'01_Вводные'!$B$14</f>
        <v/>
      </c>
      <c r="BN1422">
        <f>'19_Расчет_аналитики'!BM1421*'01_Вводные'!$B$14</f>
        <v/>
      </c>
      <c r="BO1422">
        <f>'19_Расчет_аналитики'!BN1421*'01_Вводные'!$B$14</f>
        <v/>
      </c>
    </row>
    <row r="1423">
      <c r="B1423">
        <f>'06_Сеть_и_дети'!B56</f>
        <v/>
      </c>
      <c r="C1423">
        <f>'06_Сеть_и_дети'!C56</f>
        <v/>
      </c>
      <c r="D1423">
        <f>'06_Сеть_и_дети'!D56</f>
        <v/>
      </c>
      <c r="E1423">
        <f>'19_Расчет_аналитики'!D1422*'01_Вводные'!$B$14</f>
        <v/>
      </c>
      <c r="F1423">
        <f>'19_Расчет_аналитики'!E1422*'01_Вводные'!$B$14</f>
        <v/>
      </c>
      <c r="G1423">
        <f>'19_Расчет_аналитики'!F1422*'01_Вводные'!$B$14</f>
        <v/>
      </c>
      <c r="H1423">
        <f>'19_Расчет_аналитики'!G1422*'01_Вводные'!$B$14</f>
        <v/>
      </c>
      <c r="I1423">
        <f>'19_Расчет_аналитики'!H1422*'01_Вводные'!$B$14</f>
        <v/>
      </c>
      <c r="J1423">
        <f>'19_Расчет_аналитики'!I1422*'01_Вводные'!$B$14</f>
        <v/>
      </c>
      <c r="K1423">
        <f>'19_Расчет_аналитики'!J1422*'01_Вводные'!$B$14</f>
        <v/>
      </c>
      <c r="L1423">
        <f>'19_Расчет_аналитики'!K1422*'01_Вводные'!$B$14</f>
        <v/>
      </c>
      <c r="M1423">
        <f>'19_Расчет_аналитики'!L1422*'01_Вводные'!$B$14</f>
        <v/>
      </c>
      <c r="N1423">
        <f>'19_Расчет_аналитики'!M1422*'01_Вводные'!$B$14</f>
        <v/>
      </c>
      <c r="O1423">
        <f>'19_Расчет_аналитики'!N1422*'01_Вводные'!$B$14</f>
        <v/>
      </c>
      <c r="P1423">
        <f>'19_Расчет_аналитики'!O1422*'01_Вводные'!$B$14</f>
        <v/>
      </c>
      <c r="Q1423">
        <f>'19_Расчет_аналитики'!P1422*'01_Вводные'!$B$14</f>
        <v/>
      </c>
      <c r="R1423">
        <f>'19_Расчет_аналитики'!Q1422*'01_Вводные'!$B$14</f>
        <v/>
      </c>
      <c r="S1423">
        <f>'19_Расчет_аналитики'!R1422*'01_Вводные'!$B$14</f>
        <v/>
      </c>
      <c r="T1423">
        <f>'19_Расчет_аналитики'!S1422*'01_Вводные'!$B$14</f>
        <v/>
      </c>
      <c r="U1423">
        <f>'19_Расчет_аналитики'!T1422*'01_Вводные'!$B$14</f>
        <v/>
      </c>
      <c r="V1423">
        <f>'19_Расчет_аналитики'!U1422*'01_Вводные'!$B$14</f>
        <v/>
      </c>
      <c r="W1423">
        <f>'19_Расчет_аналитики'!V1422*'01_Вводные'!$B$14</f>
        <v/>
      </c>
      <c r="X1423">
        <f>'19_Расчет_аналитики'!W1422*'01_Вводные'!$B$14</f>
        <v/>
      </c>
      <c r="Y1423">
        <f>'19_Расчет_аналитики'!X1422*'01_Вводные'!$B$14</f>
        <v/>
      </c>
      <c r="Z1423">
        <f>'19_Расчет_аналитики'!Y1422*'01_Вводные'!$B$14</f>
        <v/>
      </c>
      <c r="AA1423">
        <f>'19_Расчет_аналитики'!Z1422*'01_Вводные'!$B$14</f>
        <v/>
      </c>
      <c r="AB1423">
        <f>'19_Расчет_аналитики'!AA1422*'01_Вводные'!$B$14</f>
        <v/>
      </c>
      <c r="AC1423">
        <f>'19_Расчет_аналитики'!AB1422*'01_Вводные'!$B$14</f>
        <v/>
      </c>
      <c r="AD1423">
        <f>'19_Расчет_аналитики'!AC1422*'01_Вводные'!$B$14</f>
        <v/>
      </c>
      <c r="AE1423">
        <f>'19_Расчет_аналитики'!AD1422*'01_Вводные'!$B$14</f>
        <v/>
      </c>
      <c r="AF1423">
        <f>'19_Расчет_аналитики'!AE1422*'01_Вводные'!$B$14</f>
        <v/>
      </c>
      <c r="AG1423">
        <f>'19_Расчет_аналитики'!AF1422*'01_Вводные'!$B$14</f>
        <v/>
      </c>
      <c r="AH1423">
        <f>'19_Расчет_аналитики'!AG1422*'01_Вводные'!$B$14</f>
        <v/>
      </c>
      <c r="AI1423">
        <f>'19_Расчет_аналитики'!AH1422*'01_Вводные'!$B$14</f>
        <v/>
      </c>
      <c r="AJ1423">
        <f>'19_Расчет_аналитики'!AI1422*'01_Вводные'!$B$14</f>
        <v/>
      </c>
      <c r="AK1423">
        <f>'19_Расчет_аналитики'!AJ1422*'01_Вводные'!$B$14</f>
        <v/>
      </c>
      <c r="AL1423">
        <f>'19_Расчет_аналитики'!AK1422*'01_Вводные'!$B$14</f>
        <v/>
      </c>
      <c r="AM1423">
        <f>'19_Расчет_аналитики'!AL1422*'01_Вводные'!$B$14</f>
        <v/>
      </c>
      <c r="AN1423">
        <f>'19_Расчет_аналитики'!AM1422*'01_Вводные'!$B$14</f>
        <v/>
      </c>
      <c r="AO1423">
        <f>'19_Расчет_аналитики'!AN1422*'01_Вводные'!$B$14</f>
        <v/>
      </c>
      <c r="AP1423">
        <f>'19_Расчет_аналитики'!AO1422*'01_Вводные'!$B$14</f>
        <v/>
      </c>
      <c r="AQ1423">
        <f>'19_Расчет_аналитики'!AP1422*'01_Вводные'!$B$14</f>
        <v/>
      </c>
      <c r="AR1423">
        <f>'19_Расчет_аналитики'!AQ1422*'01_Вводные'!$B$14</f>
        <v/>
      </c>
      <c r="AS1423">
        <f>'19_Расчет_аналитики'!AR1422*'01_Вводные'!$B$14</f>
        <v/>
      </c>
      <c r="AT1423">
        <f>'19_Расчет_аналитики'!AS1422*'01_Вводные'!$B$14</f>
        <v/>
      </c>
      <c r="AU1423">
        <f>'19_Расчет_аналитики'!AT1422*'01_Вводные'!$B$14</f>
        <v/>
      </c>
      <c r="AV1423">
        <f>'19_Расчет_аналитики'!AU1422*'01_Вводные'!$B$14</f>
        <v/>
      </c>
      <c r="AW1423">
        <f>'19_Расчет_аналитики'!AV1422*'01_Вводные'!$B$14</f>
        <v/>
      </c>
      <c r="AX1423">
        <f>'19_Расчет_аналитики'!AW1422*'01_Вводные'!$B$14</f>
        <v/>
      </c>
      <c r="AY1423">
        <f>'19_Расчет_аналитики'!AX1422*'01_Вводные'!$B$14</f>
        <v/>
      </c>
      <c r="AZ1423">
        <f>'19_Расчет_аналитики'!AY1422*'01_Вводные'!$B$14</f>
        <v/>
      </c>
      <c r="BA1423">
        <f>'19_Расчет_аналитики'!AZ1422*'01_Вводные'!$B$14</f>
        <v/>
      </c>
      <c r="BB1423">
        <f>'19_Расчет_аналитики'!BA1422*'01_Вводные'!$B$14</f>
        <v/>
      </c>
      <c r="BC1423">
        <f>'19_Расчет_аналитики'!BB1422*'01_Вводные'!$B$14</f>
        <v/>
      </c>
      <c r="BD1423">
        <f>'19_Расчет_аналитики'!BC1422*'01_Вводные'!$B$14</f>
        <v/>
      </c>
      <c r="BE1423">
        <f>'19_Расчет_аналитики'!BD1422*'01_Вводные'!$B$14</f>
        <v/>
      </c>
      <c r="BF1423">
        <f>'19_Расчет_аналитики'!BE1422*'01_Вводные'!$B$14</f>
        <v/>
      </c>
      <c r="BG1423">
        <f>'19_Расчет_аналитики'!BF1422*'01_Вводные'!$B$14</f>
        <v/>
      </c>
      <c r="BH1423">
        <f>'19_Расчет_аналитики'!BG1422*'01_Вводные'!$B$14</f>
        <v/>
      </c>
      <c r="BI1423">
        <f>'19_Расчет_аналитики'!BH1422*'01_Вводные'!$B$14</f>
        <v/>
      </c>
      <c r="BJ1423">
        <f>'19_Расчет_аналитики'!BI1422*'01_Вводные'!$B$14</f>
        <v/>
      </c>
      <c r="BK1423">
        <f>'19_Расчет_аналитики'!BJ1422*'01_Вводные'!$B$14</f>
        <v/>
      </c>
      <c r="BL1423">
        <f>'19_Расчет_аналитики'!BK1422*'01_Вводные'!$B$14</f>
        <v/>
      </c>
      <c r="BM1423">
        <f>'19_Расчет_аналитики'!BL1422*'01_Вводные'!$B$14</f>
        <v/>
      </c>
      <c r="BN1423">
        <f>'19_Расчет_аналитики'!BM1422*'01_Вводные'!$B$14</f>
        <v/>
      </c>
      <c r="BO1423">
        <f>'19_Расчет_аналитики'!BN1422*'01_Вводные'!$B$14</f>
        <v/>
      </c>
    </row>
    <row r="1424">
      <c r="B1424">
        <f>'06_Сеть_и_дети'!B57</f>
        <v/>
      </c>
      <c r="C1424">
        <f>'06_Сеть_и_дети'!C57</f>
        <v/>
      </c>
      <c r="D1424">
        <f>'06_Сеть_и_дети'!D57</f>
        <v/>
      </c>
      <c r="E1424">
        <f>'06_Сеть_и_дети'!E57</f>
        <v/>
      </c>
      <c r="F1424">
        <f>'19_Расчет_аналитики'!E1423*'01_Вводные'!$B$14</f>
        <v/>
      </c>
      <c r="G1424">
        <f>'19_Расчет_аналитики'!F1423*'01_Вводные'!$B$14</f>
        <v/>
      </c>
      <c r="H1424">
        <f>'19_Расчет_аналитики'!G1423*'01_Вводные'!$B$14</f>
        <v/>
      </c>
      <c r="I1424">
        <f>'19_Расчет_аналитики'!H1423*'01_Вводные'!$B$14</f>
        <v/>
      </c>
      <c r="J1424">
        <f>'19_Расчет_аналитики'!I1423*'01_Вводные'!$B$14</f>
        <v/>
      </c>
      <c r="K1424">
        <f>'19_Расчет_аналитики'!J1423*'01_Вводные'!$B$14</f>
        <v/>
      </c>
      <c r="L1424">
        <f>'19_Расчет_аналитики'!K1423*'01_Вводные'!$B$14</f>
        <v/>
      </c>
      <c r="M1424">
        <f>'19_Расчет_аналитики'!L1423*'01_Вводные'!$B$14</f>
        <v/>
      </c>
      <c r="N1424">
        <f>'19_Расчет_аналитики'!M1423*'01_Вводные'!$B$14</f>
        <v/>
      </c>
      <c r="O1424">
        <f>'19_Расчет_аналитики'!N1423*'01_Вводные'!$B$14</f>
        <v/>
      </c>
      <c r="P1424">
        <f>'19_Расчет_аналитики'!O1423*'01_Вводные'!$B$14</f>
        <v/>
      </c>
      <c r="Q1424">
        <f>'19_Расчет_аналитики'!P1423*'01_Вводные'!$B$14</f>
        <v/>
      </c>
      <c r="R1424">
        <f>'19_Расчет_аналитики'!Q1423*'01_Вводные'!$B$14</f>
        <v/>
      </c>
      <c r="S1424">
        <f>'19_Расчет_аналитики'!R1423*'01_Вводные'!$B$14</f>
        <v/>
      </c>
      <c r="T1424">
        <f>'19_Расчет_аналитики'!S1423*'01_Вводные'!$B$14</f>
        <v/>
      </c>
      <c r="U1424">
        <f>'19_Расчет_аналитики'!T1423*'01_Вводные'!$B$14</f>
        <v/>
      </c>
      <c r="V1424">
        <f>'19_Расчет_аналитики'!U1423*'01_Вводные'!$B$14</f>
        <v/>
      </c>
      <c r="W1424">
        <f>'19_Расчет_аналитики'!V1423*'01_Вводные'!$B$14</f>
        <v/>
      </c>
      <c r="X1424">
        <f>'19_Расчет_аналитики'!W1423*'01_Вводные'!$B$14</f>
        <v/>
      </c>
      <c r="Y1424">
        <f>'19_Расчет_аналитики'!X1423*'01_Вводные'!$B$14</f>
        <v/>
      </c>
      <c r="Z1424">
        <f>'19_Расчет_аналитики'!Y1423*'01_Вводные'!$B$14</f>
        <v/>
      </c>
      <c r="AA1424">
        <f>'19_Расчет_аналитики'!Z1423*'01_Вводные'!$B$14</f>
        <v/>
      </c>
      <c r="AB1424">
        <f>'19_Расчет_аналитики'!AA1423*'01_Вводные'!$B$14</f>
        <v/>
      </c>
      <c r="AC1424">
        <f>'19_Расчет_аналитики'!AB1423*'01_Вводные'!$B$14</f>
        <v/>
      </c>
      <c r="AD1424">
        <f>'19_Расчет_аналитики'!AC1423*'01_Вводные'!$B$14</f>
        <v/>
      </c>
      <c r="AE1424">
        <f>'19_Расчет_аналитики'!AD1423*'01_Вводные'!$B$14</f>
        <v/>
      </c>
      <c r="AF1424">
        <f>'19_Расчет_аналитики'!AE1423*'01_Вводные'!$B$14</f>
        <v/>
      </c>
      <c r="AG1424">
        <f>'19_Расчет_аналитики'!AF1423*'01_Вводные'!$B$14</f>
        <v/>
      </c>
      <c r="AH1424">
        <f>'19_Расчет_аналитики'!AG1423*'01_Вводные'!$B$14</f>
        <v/>
      </c>
      <c r="AI1424">
        <f>'19_Расчет_аналитики'!AH1423*'01_Вводные'!$B$14</f>
        <v/>
      </c>
      <c r="AJ1424">
        <f>'19_Расчет_аналитики'!AI1423*'01_Вводные'!$B$14</f>
        <v/>
      </c>
      <c r="AK1424">
        <f>'19_Расчет_аналитики'!AJ1423*'01_Вводные'!$B$14</f>
        <v/>
      </c>
      <c r="AL1424">
        <f>'19_Расчет_аналитики'!AK1423*'01_Вводные'!$B$14</f>
        <v/>
      </c>
      <c r="AM1424">
        <f>'19_Расчет_аналитики'!AL1423*'01_Вводные'!$B$14</f>
        <v/>
      </c>
      <c r="AN1424">
        <f>'19_Расчет_аналитики'!AM1423*'01_Вводные'!$B$14</f>
        <v/>
      </c>
      <c r="AO1424">
        <f>'19_Расчет_аналитики'!AN1423*'01_Вводные'!$B$14</f>
        <v/>
      </c>
      <c r="AP1424">
        <f>'19_Расчет_аналитики'!AO1423*'01_Вводные'!$B$14</f>
        <v/>
      </c>
      <c r="AQ1424">
        <f>'19_Расчет_аналитики'!AP1423*'01_Вводные'!$B$14</f>
        <v/>
      </c>
      <c r="AR1424">
        <f>'19_Расчет_аналитики'!AQ1423*'01_Вводные'!$B$14</f>
        <v/>
      </c>
      <c r="AS1424">
        <f>'19_Расчет_аналитики'!AR1423*'01_Вводные'!$B$14</f>
        <v/>
      </c>
      <c r="AT1424">
        <f>'19_Расчет_аналитики'!AS1423*'01_Вводные'!$B$14</f>
        <v/>
      </c>
      <c r="AU1424">
        <f>'19_Расчет_аналитики'!AT1423*'01_Вводные'!$B$14</f>
        <v/>
      </c>
      <c r="AV1424">
        <f>'19_Расчет_аналитики'!AU1423*'01_Вводные'!$B$14</f>
        <v/>
      </c>
      <c r="AW1424">
        <f>'19_Расчет_аналитики'!AV1423*'01_Вводные'!$B$14</f>
        <v/>
      </c>
      <c r="AX1424">
        <f>'19_Расчет_аналитики'!AW1423*'01_Вводные'!$B$14</f>
        <v/>
      </c>
      <c r="AY1424">
        <f>'19_Расчет_аналитики'!AX1423*'01_Вводные'!$B$14</f>
        <v/>
      </c>
      <c r="AZ1424">
        <f>'19_Расчет_аналитики'!AY1423*'01_Вводные'!$B$14</f>
        <v/>
      </c>
      <c r="BA1424">
        <f>'19_Расчет_аналитики'!AZ1423*'01_Вводные'!$B$14</f>
        <v/>
      </c>
      <c r="BB1424">
        <f>'19_Расчет_аналитики'!BA1423*'01_Вводные'!$B$14</f>
        <v/>
      </c>
      <c r="BC1424">
        <f>'19_Расчет_аналитики'!BB1423*'01_Вводные'!$B$14</f>
        <v/>
      </c>
      <c r="BD1424">
        <f>'19_Расчет_аналитики'!BC1423*'01_Вводные'!$B$14</f>
        <v/>
      </c>
      <c r="BE1424">
        <f>'19_Расчет_аналитики'!BD1423*'01_Вводные'!$B$14</f>
        <v/>
      </c>
      <c r="BF1424">
        <f>'19_Расчет_аналитики'!BE1423*'01_Вводные'!$B$14</f>
        <v/>
      </c>
      <c r="BG1424">
        <f>'19_Расчет_аналитики'!BF1423*'01_Вводные'!$B$14</f>
        <v/>
      </c>
      <c r="BH1424">
        <f>'19_Расчет_аналитики'!BG1423*'01_Вводные'!$B$14</f>
        <v/>
      </c>
      <c r="BI1424">
        <f>'19_Расчет_аналитики'!BH1423*'01_Вводные'!$B$14</f>
        <v/>
      </c>
      <c r="BJ1424">
        <f>'19_Расчет_аналитики'!BI1423*'01_Вводные'!$B$14</f>
        <v/>
      </c>
      <c r="BK1424">
        <f>'19_Расчет_аналитики'!BJ1423*'01_Вводные'!$B$14</f>
        <v/>
      </c>
      <c r="BL1424">
        <f>'19_Расчет_аналитики'!BK1423*'01_Вводные'!$B$14</f>
        <v/>
      </c>
      <c r="BM1424">
        <f>'19_Расчет_аналитики'!BL1423*'01_Вводные'!$B$14</f>
        <v/>
      </c>
      <c r="BN1424">
        <f>'19_Расчет_аналитики'!BM1423*'01_Вводные'!$B$14</f>
        <v/>
      </c>
      <c r="BO1424">
        <f>'19_Расчет_аналитики'!BN1423*'01_Вводные'!$B$14</f>
        <v/>
      </c>
    </row>
    <row r="1425">
      <c r="B1425">
        <f>'06_Сеть_и_дети'!B58</f>
        <v/>
      </c>
      <c r="C1425">
        <f>'06_Сеть_и_дети'!C58</f>
        <v/>
      </c>
      <c r="D1425">
        <f>'06_Сеть_и_дети'!D58</f>
        <v/>
      </c>
      <c r="E1425">
        <f>'06_Сеть_и_дети'!E58</f>
        <v/>
      </c>
      <c r="F1425">
        <f>'06_Сеть_и_дети'!F58</f>
        <v/>
      </c>
      <c r="G1425">
        <f>'19_Расчет_аналитики'!F1424*'01_Вводные'!$B$14</f>
        <v/>
      </c>
      <c r="H1425">
        <f>'19_Расчет_аналитики'!G1424*'01_Вводные'!$B$14</f>
        <v/>
      </c>
      <c r="I1425">
        <f>'19_Расчет_аналитики'!H1424*'01_Вводные'!$B$14</f>
        <v/>
      </c>
      <c r="J1425">
        <f>'19_Расчет_аналитики'!I1424*'01_Вводные'!$B$14</f>
        <v/>
      </c>
      <c r="K1425">
        <f>'19_Расчет_аналитики'!J1424*'01_Вводные'!$B$14</f>
        <v/>
      </c>
      <c r="L1425">
        <f>'19_Расчет_аналитики'!K1424*'01_Вводные'!$B$14</f>
        <v/>
      </c>
      <c r="M1425">
        <f>'19_Расчет_аналитики'!L1424*'01_Вводные'!$B$14</f>
        <v/>
      </c>
      <c r="N1425">
        <f>'19_Расчет_аналитики'!M1424*'01_Вводные'!$B$14</f>
        <v/>
      </c>
      <c r="O1425">
        <f>'19_Расчет_аналитики'!N1424*'01_Вводные'!$B$14</f>
        <v/>
      </c>
      <c r="P1425">
        <f>'19_Расчет_аналитики'!O1424*'01_Вводные'!$B$14</f>
        <v/>
      </c>
      <c r="Q1425">
        <f>'19_Расчет_аналитики'!P1424*'01_Вводные'!$B$14</f>
        <v/>
      </c>
      <c r="R1425">
        <f>'19_Расчет_аналитики'!Q1424*'01_Вводные'!$B$14</f>
        <v/>
      </c>
      <c r="S1425">
        <f>'19_Расчет_аналитики'!R1424*'01_Вводные'!$B$14</f>
        <v/>
      </c>
      <c r="T1425">
        <f>'19_Расчет_аналитики'!S1424*'01_Вводные'!$B$14</f>
        <v/>
      </c>
      <c r="U1425">
        <f>'19_Расчет_аналитики'!T1424*'01_Вводные'!$B$14</f>
        <v/>
      </c>
      <c r="V1425">
        <f>'19_Расчет_аналитики'!U1424*'01_Вводные'!$B$14</f>
        <v/>
      </c>
      <c r="W1425">
        <f>'19_Расчет_аналитики'!V1424*'01_Вводные'!$B$14</f>
        <v/>
      </c>
      <c r="X1425">
        <f>'19_Расчет_аналитики'!W1424*'01_Вводные'!$B$14</f>
        <v/>
      </c>
      <c r="Y1425">
        <f>'19_Расчет_аналитики'!X1424*'01_Вводные'!$B$14</f>
        <v/>
      </c>
      <c r="Z1425">
        <f>'19_Расчет_аналитики'!Y1424*'01_Вводные'!$B$14</f>
        <v/>
      </c>
      <c r="AA1425">
        <f>'19_Расчет_аналитики'!Z1424*'01_Вводные'!$B$14</f>
        <v/>
      </c>
      <c r="AB1425">
        <f>'19_Расчет_аналитики'!AA1424*'01_Вводные'!$B$14</f>
        <v/>
      </c>
      <c r="AC1425">
        <f>'19_Расчет_аналитики'!AB1424*'01_Вводные'!$B$14</f>
        <v/>
      </c>
      <c r="AD1425">
        <f>'19_Расчет_аналитики'!AC1424*'01_Вводные'!$B$14</f>
        <v/>
      </c>
      <c r="AE1425">
        <f>'19_Расчет_аналитики'!AD1424*'01_Вводные'!$B$14</f>
        <v/>
      </c>
      <c r="AF1425">
        <f>'19_Расчет_аналитики'!AE1424*'01_Вводные'!$B$14</f>
        <v/>
      </c>
      <c r="AG1425">
        <f>'19_Расчет_аналитики'!AF1424*'01_Вводные'!$B$14</f>
        <v/>
      </c>
      <c r="AH1425">
        <f>'19_Расчет_аналитики'!AG1424*'01_Вводные'!$B$14</f>
        <v/>
      </c>
      <c r="AI1425">
        <f>'19_Расчет_аналитики'!AH1424*'01_Вводные'!$B$14</f>
        <v/>
      </c>
      <c r="AJ1425">
        <f>'19_Расчет_аналитики'!AI1424*'01_Вводные'!$B$14</f>
        <v/>
      </c>
      <c r="AK1425">
        <f>'19_Расчет_аналитики'!AJ1424*'01_Вводные'!$B$14</f>
        <v/>
      </c>
      <c r="AL1425">
        <f>'19_Расчет_аналитики'!AK1424*'01_Вводные'!$B$14</f>
        <v/>
      </c>
      <c r="AM1425">
        <f>'19_Расчет_аналитики'!AL1424*'01_Вводные'!$B$14</f>
        <v/>
      </c>
      <c r="AN1425">
        <f>'19_Расчет_аналитики'!AM1424*'01_Вводные'!$B$14</f>
        <v/>
      </c>
      <c r="AO1425">
        <f>'19_Расчет_аналитики'!AN1424*'01_Вводные'!$B$14</f>
        <v/>
      </c>
      <c r="AP1425">
        <f>'19_Расчет_аналитики'!AO1424*'01_Вводные'!$B$14</f>
        <v/>
      </c>
      <c r="AQ1425">
        <f>'19_Расчет_аналитики'!AP1424*'01_Вводные'!$B$14</f>
        <v/>
      </c>
      <c r="AR1425">
        <f>'19_Расчет_аналитики'!AQ1424*'01_Вводные'!$B$14</f>
        <v/>
      </c>
      <c r="AS1425">
        <f>'19_Расчет_аналитики'!AR1424*'01_Вводные'!$B$14</f>
        <v/>
      </c>
      <c r="AT1425">
        <f>'19_Расчет_аналитики'!AS1424*'01_Вводные'!$B$14</f>
        <v/>
      </c>
      <c r="AU1425">
        <f>'19_Расчет_аналитики'!AT1424*'01_Вводные'!$B$14</f>
        <v/>
      </c>
      <c r="AV1425">
        <f>'19_Расчет_аналитики'!AU1424*'01_Вводные'!$B$14</f>
        <v/>
      </c>
      <c r="AW1425">
        <f>'19_Расчет_аналитики'!AV1424*'01_Вводные'!$B$14</f>
        <v/>
      </c>
      <c r="AX1425">
        <f>'19_Расчет_аналитики'!AW1424*'01_Вводные'!$B$14</f>
        <v/>
      </c>
      <c r="AY1425">
        <f>'19_Расчет_аналитики'!AX1424*'01_Вводные'!$B$14</f>
        <v/>
      </c>
      <c r="AZ1425">
        <f>'19_Расчет_аналитики'!AY1424*'01_Вводные'!$B$14</f>
        <v/>
      </c>
      <c r="BA1425">
        <f>'19_Расчет_аналитики'!AZ1424*'01_Вводные'!$B$14</f>
        <v/>
      </c>
      <c r="BB1425">
        <f>'19_Расчет_аналитики'!BA1424*'01_Вводные'!$B$14</f>
        <v/>
      </c>
      <c r="BC1425">
        <f>'19_Расчет_аналитики'!BB1424*'01_Вводные'!$B$14</f>
        <v/>
      </c>
      <c r="BD1425">
        <f>'19_Расчет_аналитики'!BC1424*'01_Вводные'!$B$14</f>
        <v/>
      </c>
      <c r="BE1425">
        <f>'19_Расчет_аналитики'!BD1424*'01_Вводные'!$B$14</f>
        <v/>
      </c>
      <c r="BF1425">
        <f>'19_Расчет_аналитики'!BE1424*'01_Вводные'!$B$14</f>
        <v/>
      </c>
      <c r="BG1425">
        <f>'19_Расчет_аналитики'!BF1424*'01_Вводные'!$B$14</f>
        <v/>
      </c>
      <c r="BH1425">
        <f>'19_Расчет_аналитики'!BG1424*'01_Вводные'!$B$14</f>
        <v/>
      </c>
      <c r="BI1425">
        <f>'19_Расчет_аналитики'!BH1424*'01_Вводные'!$B$14</f>
        <v/>
      </c>
      <c r="BJ1425">
        <f>'19_Расчет_аналитики'!BI1424*'01_Вводные'!$B$14</f>
        <v/>
      </c>
      <c r="BK1425">
        <f>'19_Расчет_аналитики'!BJ1424*'01_Вводные'!$B$14</f>
        <v/>
      </c>
      <c r="BL1425">
        <f>'19_Расчет_аналитики'!BK1424*'01_Вводные'!$B$14</f>
        <v/>
      </c>
      <c r="BM1425">
        <f>'19_Расчет_аналитики'!BL1424*'01_Вводные'!$B$14</f>
        <v/>
      </c>
      <c r="BN1425">
        <f>'19_Расчет_аналитики'!BM1424*'01_Вводные'!$B$14</f>
        <v/>
      </c>
      <c r="BO1425">
        <f>'19_Расчет_аналитики'!BN1424*'01_Вводные'!$B$14</f>
        <v/>
      </c>
    </row>
    <row r="1426">
      <c r="B1426">
        <f>'06_Сеть_и_дети'!B59</f>
        <v/>
      </c>
      <c r="C1426">
        <f>'06_Сеть_и_дети'!C59</f>
        <v/>
      </c>
      <c r="D1426">
        <f>'06_Сеть_и_дети'!D59</f>
        <v/>
      </c>
      <c r="E1426">
        <f>'06_Сеть_и_дети'!E59</f>
        <v/>
      </c>
      <c r="F1426">
        <f>'06_Сеть_и_дети'!F59</f>
        <v/>
      </c>
      <c r="G1426">
        <f>'06_Сеть_и_дети'!G59</f>
        <v/>
      </c>
      <c r="H1426">
        <f>'19_Расчет_аналитики'!G1425*'01_Вводные'!$B$14</f>
        <v/>
      </c>
      <c r="I1426">
        <f>'19_Расчет_аналитики'!H1425*'01_Вводные'!$B$14</f>
        <v/>
      </c>
      <c r="J1426">
        <f>'19_Расчет_аналитики'!I1425*'01_Вводные'!$B$14</f>
        <v/>
      </c>
      <c r="K1426">
        <f>'19_Расчет_аналитики'!J1425*'01_Вводные'!$B$14</f>
        <v/>
      </c>
      <c r="L1426">
        <f>'19_Расчет_аналитики'!K1425*'01_Вводные'!$B$14</f>
        <v/>
      </c>
      <c r="M1426">
        <f>'19_Расчет_аналитики'!L1425*'01_Вводные'!$B$14</f>
        <v/>
      </c>
      <c r="N1426">
        <f>'19_Расчет_аналитики'!M1425*'01_Вводные'!$B$14</f>
        <v/>
      </c>
      <c r="O1426">
        <f>'19_Расчет_аналитики'!N1425*'01_Вводные'!$B$14</f>
        <v/>
      </c>
      <c r="P1426">
        <f>'19_Расчет_аналитики'!O1425*'01_Вводные'!$B$14</f>
        <v/>
      </c>
      <c r="Q1426">
        <f>'19_Расчет_аналитики'!P1425*'01_Вводные'!$B$14</f>
        <v/>
      </c>
      <c r="R1426">
        <f>'19_Расчет_аналитики'!Q1425*'01_Вводные'!$B$14</f>
        <v/>
      </c>
      <c r="S1426">
        <f>'19_Расчет_аналитики'!R1425*'01_Вводные'!$B$14</f>
        <v/>
      </c>
      <c r="T1426">
        <f>'19_Расчет_аналитики'!S1425*'01_Вводные'!$B$14</f>
        <v/>
      </c>
      <c r="U1426">
        <f>'19_Расчет_аналитики'!T1425*'01_Вводные'!$B$14</f>
        <v/>
      </c>
      <c r="V1426">
        <f>'19_Расчет_аналитики'!U1425*'01_Вводные'!$B$14</f>
        <v/>
      </c>
      <c r="W1426">
        <f>'19_Расчет_аналитики'!V1425*'01_Вводные'!$B$14</f>
        <v/>
      </c>
      <c r="X1426">
        <f>'19_Расчет_аналитики'!W1425*'01_Вводные'!$B$14</f>
        <v/>
      </c>
      <c r="Y1426">
        <f>'19_Расчет_аналитики'!X1425*'01_Вводные'!$B$14</f>
        <v/>
      </c>
      <c r="Z1426">
        <f>'19_Расчет_аналитики'!Y1425*'01_Вводные'!$B$14</f>
        <v/>
      </c>
      <c r="AA1426">
        <f>'19_Расчет_аналитики'!Z1425*'01_Вводные'!$B$14</f>
        <v/>
      </c>
      <c r="AB1426">
        <f>'19_Расчет_аналитики'!AA1425*'01_Вводные'!$B$14</f>
        <v/>
      </c>
      <c r="AC1426">
        <f>'19_Расчет_аналитики'!AB1425*'01_Вводные'!$B$14</f>
        <v/>
      </c>
      <c r="AD1426">
        <f>'19_Расчет_аналитики'!AC1425*'01_Вводные'!$B$14</f>
        <v/>
      </c>
      <c r="AE1426">
        <f>'19_Расчет_аналитики'!AD1425*'01_Вводные'!$B$14</f>
        <v/>
      </c>
      <c r="AF1426">
        <f>'19_Расчет_аналитики'!AE1425*'01_Вводные'!$B$14</f>
        <v/>
      </c>
      <c r="AG1426">
        <f>'19_Расчет_аналитики'!AF1425*'01_Вводные'!$B$14</f>
        <v/>
      </c>
      <c r="AH1426">
        <f>'19_Расчет_аналитики'!AG1425*'01_Вводные'!$B$14</f>
        <v/>
      </c>
      <c r="AI1426">
        <f>'19_Расчет_аналитики'!AH1425*'01_Вводные'!$B$14</f>
        <v/>
      </c>
      <c r="AJ1426">
        <f>'19_Расчет_аналитики'!AI1425*'01_Вводные'!$B$14</f>
        <v/>
      </c>
      <c r="AK1426">
        <f>'19_Расчет_аналитики'!AJ1425*'01_Вводные'!$B$14</f>
        <v/>
      </c>
      <c r="AL1426">
        <f>'19_Расчет_аналитики'!AK1425*'01_Вводные'!$B$14</f>
        <v/>
      </c>
      <c r="AM1426">
        <f>'19_Расчет_аналитики'!AL1425*'01_Вводные'!$B$14</f>
        <v/>
      </c>
      <c r="AN1426">
        <f>'19_Расчет_аналитики'!AM1425*'01_Вводные'!$B$14</f>
        <v/>
      </c>
      <c r="AO1426">
        <f>'19_Расчет_аналитики'!AN1425*'01_Вводные'!$B$14</f>
        <v/>
      </c>
      <c r="AP1426">
        <f>'19_Расчет_аналитики'!AO1425*'01_Вводные'!$B$14</f>
        <v/>
      </c>
      <c r="AQ1426">
        <f>'19_Расчет_аналитики'!AP1425*'01_Вводные'!$B$14</f>
        <v/>
      </c>
      <c r="AR1426">
        <f>'19_Расчет_аналитики'!AQ1425*'01_Вводные'!$B$14</f>
        <v/>
      </c>
      <c r="AS1426">
        <f>'19_Расчет_аналитики'!AR1425*'01_Вводные'!$B$14</f>
        <v/>
      </c>
      <c r="AT1426">
        <f>'19_Расчет_аналитики'!AS1425*'01_Вводные'!$B$14</f>
        <v/>
      </c>
      <c r="AU1426">
        <f>'19_Расчет_аналитики'!AT1425*'01_Вводные'!$B$14</f>
        <v/>
      </c>
      <c r="AV1426">
        <f>'19_Расчет_аналитики'!AU1425*'01_Вводные'!$B$14</f>
        <v/>
      </c>
      <c r="AW1426">
        <f>'19_Расчет_аналитики'!AV1425*'01_Вводные'!$B$14</f>
        <v/>
      </c>
      <c r="AX1426">
        <f>'19_Расчет_аналитики'!AW1425*'01_Вводные'!$B$14</f>
        <v/>
      </c>
      <c r="AY1426">
        <f>'19_Расчет_аналитики'!AX1425*'01_Вводные'!$B$14</f>
        <v/>
      </c>
      <c r="AZ1426">
        <f>'19_Расчет_аналитики'!AY1425*'01_Вводные'!$B$14</f>
        <v/>
      </c>
      <c r="BA1426">
        <f>'19_Расчет_аналитики'!AZ1425*'01_Вводные'!$B$14</f>
        <v/>
      </c>
      <c r="BB1426">
        <f>'19_Расчет_аналитики'!BA1425*'01_Вводные'!$B$14</f>
        <v/>
      </c>
      <c r="BC1426">
        <f>'19_Расчет_аналитики'!BB1425*'01_Вводные'!$B$14</f>
        <v/>
      </c>
      <c r="BD1426">
        <f>'19_Расчет_аналитики'!BC1425*'01_Вводные'!$B$14</f>
        <v/>
      </c>
      <c r="BE1426">
        <f>'19_Расчет_аналитики'!BD1425*'01_Вводные'!$B$14</f>
        <v/>
      </c>
      <c r="BF1426">
        <f>'19_Расчет_аналитики'!BE1425*'01_Вводные'!$B$14</f>
        <v/>
      </c>
      <c r="BG1426">
        <f>'19_Расчет_аналитики'!BF1425*'01_Вводные'!$B$14</f>
        <v/>
      </c>
      <c r="BH1426">
        <f>'19_Расчет_аналитики'!BG1425*'01_Вводные'!$B$14</f>
        <v/>
      </c>
      <c r="BI1426">
        <f>'19_Расчет_аналитики'!BH1425*'01_Вводные'!$B$14</f>
        <v/>
      </c>
      <c r="BJ1426">
        <f>'19_Расчет_аналитики'!BI1425*'01_Вводные'!$B$14</f>
        <v/>
      </c>
      <c r="BK1426">
        <f>'19_Расчет_аналитики'!BJ1425*'01_Вводные'!$B$14</f>
        <v/>
      </c>
      <c r="BL1426">
        <f>'19_Расчет_аналитики'!BK1425*'01_Вводные'!$B$14</f>
        <v/>
      </c>
      <c r="BM1426">
        <f>'19_Расчет_аналитики'!BL1425*'01_Вводные'!$B$14</f>
        <v/>
      </c>
      <c r="BN1426">
        <f>'19_Расчет_аналитики'!BM1425*'01_Вводные'!$B$14</f>
        <v/>
      </c>
      <c r="BO1426">
        <f>'19_Расчет_аналитики'!BN1425*'01_Вводные'!$B$14</f>
        <v/>
      </c>
    </row>
    <row r="1427">
      <c r="B1427">
        <f>'06_Сеть_и_дети'!B60</f>
        <v/>
      </c>
      <c r="C1427">
        <f>'06_Сеть_и_дети'!C60</f>
        <v/>
      </c>
      <c r="D1427">
        <f>'06_Сеть_и_дети'!D60</f>
        <v/>
      </c>
      <c r="E1427">
        <f>'06_Сеть_и_дети'!E60</f>
        <v/>
      </c>
      <c r="F1427">
        <f>'06_Сеть_и_дети'!F60</f>
        <v/>
      </c>
      <c r="G1427">
        <f>'06_Сеть_и_дети'!G60</f>
        <v/>
      </c>
      <c r="H1427">
        <f>'06_Сеть_и_дети'!H60</f>
        <v/>
      </c>
      <c r="I1427">
        <f>'19_Расчет_аналитики'!H1426*'01_Вводные'!$B$14</f>
        <v/>
      </c>
      <c r="J1427">
        <f>'19_Расчет_аналитики'!I1426*'01_Вводные'!$B$14</f>
        <v/>
      </c>
      <c r="K1427">
        <f>'19_Расчет_аналитики'!J1426*'01_Вводные'!$B$14</f>
        <v/>
      </c>
      <c r="L1427">
        <f>'19_Расчет_аналитики'!K1426*'01_Вводные'!$B$14</f>
        <v/>
      </c>
      <c r="M1427">
        <f>'19_Расчет_аналитики'!L1426*'01_Вводные'!$B$14</f>
        <v/>
      </c>
      <c r="N1427">
        <f>'19_Расчет_аналитики'!M1426*'01_Вводные'!$B$14</f>
        <v/>
      </c>
      <c r="O1427">
        <f>'19_Расчет_аналитики'!N1426*'01_Вводные'!$B$14</f>
        <v/>
      </c>
      <c r="P1427">
        <f>'19_Расчет_аналитики'!O1426*'01_Вводные'!$B$14</f>
        <v/>
      </c>
      <c r="Q1427">
        <f>'19_Расчет_аналитики'!P1426*'01_Вводные'!$B$14</f>
        <v/>
      </c>
      <c r="R1427">
        <f>'19_Расчет_аналитики'!Q1426*'01_Вводные'!$B$14</f>
        <v/>
      </c>
      <c r="S1427">
        <f>'19_Расчет_аналитики'!R1426*'01_Вводные'!$B$14</f>
        <v/>
      </c>
      <c r="T1427">
        <f>'19_Расчет_аналитики'!S1426*'01_Вводные'!$B$14</f>
        <v/>
      </c>
      <c r="U1427">
        <f>'19_Расчет_аналитики'!T1426*'01_Вводные'!$B$14</f>
        <v/>
      </c>
      <c r="V1427">
        <f>'19_Расчет_аналитики'!U1426*'01_Вводные'!$B$14</f>
        <v/>
      </c>
      <c r="W1427">
        <f>'19_Расчет_аналитики'!V1426*'01_Вводные'!$B$14</f>
        <v/>
      </c>
      <c r="X1427">
        <f>'19_Расчет_аналитики'!W1426*'01_Вводные'!$B$14</f>
        <v/>
      </c>
      <c r="Y1427">
        <f>'19_Расчет_аналитики'!X1426*'01_Вводные'!$B$14</f>
        <v/>
      </c>
      <c r="Z1427">
        <f>'19_Расчет_аналитики'!Y1426*'01_Вводные'!$B$14</f>
        <v/>
      </c>
      <c r="AA1427">
        <f>'19_Расчет_аналитики'!Z1426*'01_Вводные'!$B$14</f>
        <v/>
      </c>
      <c r="AB1427">
        <f>'19_Расчет_аналитики'!AA1426*'01_Вводные'!$B$14</f>
        <v/>
      </c>
      <c r="AC1427">
        <f>'19_Расчет_аналитики'!AB1426*'01_Вводные'!$B$14</f>
        <v/>
      </c>
      <c r="AD1427">
        <f>'19_Расчет_аналитики'!AC1426*'01_Вводные'!$B$14</f>
        <v/>
      </c>
      <c r="AE1427">
        <f>'19_Расчет_аналитики'!AD1426*'01_Вводные'!$B$14</f>
        <v/>
      </c>
      <c r="AF1427">
        <f>'19_Расчет_аналитики'!AE1426*'01_Вводные'!$B$14</f>
        <v/>
      </c>
      <c r="AG1427">
        <f>'19_Расчет_аналитики'!AF1426*'01_Вводные'!$B$14</f>
        <v/>
      </c>
      <c r="AH1427">
        <f>'19_Расчет_аналитики'!AG1426*'01_Вводные'!$B$14</f>
        <v/>
      </c>
      <c r="AI1427">
        <f>'19_Расчет_аналитики'!AH1426*'01_Вводные'!$B$14</f>
        <v/>
      </c>
      <c r="AJ1427">
        <f>'19_Расчет_аналитики'!AI1426*'01_Вводные'!$B$14</f>
        <v/>
      </c>
      <c r="AK1427">
        <f>'19_Расчет_аналитики'!AJ1426*'01_Вводные'!$B$14</f>
        <v/>
      </c>
      <c r="AL1427">
        <f>'19_Расчет_аналитики'!AK1426*'01_Вводные'!$B$14</f>
        <v/>
      </c>
      <c r="AM1427">
        <f>'19_Расчет_аналитики'!AL1426*'01_Вводные'!$B$14</f>
        <v/>
      </c>
      <c r="AN1427">
        <f>'19_Расчет_аналитики'!AM1426*'01_Вводные'!$B$14</f>
        <v/>
      </c>
      <c r="AO1427">
        <f>'19_Расчет_аналитики'!AN1426*'01_Вводные'!$B$14</f>
        <v/>
      </c>
      <c r="AP1427">
        <f>'19_Расчет_аналитики'!AO1426*'01_Вводные'!$B$14</f>
        <v/>
      </c>
      <c r="AQ1427">
        <f>'19_Расчет_аналитики'!AP1426*'01_Вводные'!$B$14</f>
        <v/>
      </c>
      <c r="AR1427">
        <f>'19_Расчет_аналитики'!AQ1426*'01_Вводные'!$B$14</f>
        <v/>
      </c>
      <c r="AS1427">
        <f>'19_Расчет_аналитики'!AR1426*'01_Вводные'!$B$14</f>
        <v/>
      </c>
      <c r="AT1427">
        <f>'19_Расчет_аналитики'!AS1426*'01_Вводные'!$B$14</f>
        <v/>
      </c>
      <c r="AU1427">
        <f>'19_Расчет_аналитики'!AT1426*'01_Вводные'!$B$14</f>
        <v/>
      </c>
      <c r="AV1427">
        <f>'19_Расчет_аналитики'!AU1426*'01_Вводные'!$B$14</f>
        <v/>
      </c>
      <c r="AW1427">
        <f>'19_Расчет_аналитики'!AV1426*'01_Вводные'!$B$14</f>
        <v/>
      </c>
      <c r="AX1427">
        <f>'19_Расчет_аналитики'!AW1426*'01_Вводные'!$B$14</f>
        <v/>
      </c>
      <c r="AY1427">
        <f>'19_Расчет_аналитики'!AX1426*'01_Вводные'!$B$14</f>
        <v/>
      </c>
      <c r="AZ1427">
        <f>'19_Расчет_аналитики'!AY1426*'01_Вводные'!$B$14</f>
        <v/>
      </c>
      <c r="BA1427">
        <f>'19_Расчет_аналитики'!AZ1426*'01_Вводные'!$B$14</f>
        <v/>
      </c>
      <c r="BB1427">
        <f>'19_Расчет_аналитики'!BA1426*'01_Вводные'!$B$14</f>
        <v/>
      </c>
      <c r="BC1427">
        <f>'19_Расчет_аналитики'!BB1426*'01_Вводные'!$B$14</f>
        <v/>
      </c>
      <c r="BD1427">
        <f>'19_Расчет_аналитики'!BC1426*'01_Вводные'!$B$14</f>
        <v/>
      </c>
      <c r="BE1427">
        <f>'19_Расчет_аналитики'!BD1426*'01_Вводные'!$B$14</f>
        <v/>
      </c>
      <c r="BF1427">
        <f>'19_Расчет_аналитики'!BE1426*'01_Вводные'!$B$14</f>
        <v/>
      </c>
      <c r="BG1427">
        <f>'19_Расчет_аналитики'!BF1426*'01_Вводные'!$B$14</f>
        <v/>
      </c>
      <c r="BH1427">
        <f>'19_Расчет_аналитики'!BG1426*'01_Вводные'!$B$14</f>
        <v/>
      </c>
      <c r="BI1427">
        <f>'19_Расчет_аналитики'!BH1426*'01_Вводные'!$B$14</f>
        <v/>
      </c>
      <c r="BJ1427">
        <f>'19_Расчет_аналитики'!BI1426*'01_Вводные'!$B$14</f>
        <v/>
      </c>
      <c r="BK1427">
        <f>'19_Расчет_аналитики'!BJ1426*'01_Вводные'!$B$14</f>
        <v/>
      </c>
      <c r="BL1427">
        <f>'19_Расчет_аналитики'!BK1426*'01_Вводные'!$B$14</f>
        <v/>
      </c>
      <c r="BM1427">
        <f>'19_Расчет_аналитики'!BL1426*'01_Вводные'!$B$14</f>
        <v/>
      </c>
      <c r="BN1427">
        <f>'19_Расчет_аналитики'!BM1426*'01_Вводные'!$B$14</f>
        <v/>
      </c>
      <c r="BO1427">
        <f>'19_Расчет_аналитики'!BN1426*'01_Вводные'!$B$14</f>
        <v/>
      </c>
    </row>
    <row r="1428">
      <c r="B1428">
        <f>'06_Сеть_и_дети'!B61</f>
        <v/>
      </c>
      <c r="C1428">
        <f>'06_Сеть_и_дети'!C61</f>
        <v/>
      </c>
      <c r="D1428">
        <f>'06_Сеть_и_дети'!D61</f>
        <v/>
      </c>
      <c r="E1428">
        <f>'06_Сеть_и_дети'!E61</f>
        <v/>
      </c>
      <c r="F1428">
        <f>'06_Сеть_и_дети'!F61</f>
        <v/>
      </c>
      <c r="G1428">
        <f>'06_Сеть_и_дети'!G61</f>
        <v/>
      </c>
      <c r="H1428">
        <f>'06_Сеть_и_дети'!H61</f>
        <v/>
      </c>
      <c r="I1428">
        <f>'06_Сеть_и_дети'!I61</f>
        <v/>
      </c>
      <c r="J1428">
        <f>'19_Расчет_аналитики'!I1427*'01_Вводные'!$B$14</f>
        <v/>
      </c>
      <c r="K1428">
        <f>'19_Расчет_аналитики'!J1427*'01_Вводные'!$B$14</f>
        <v/>
      </c>
      <c r="L1428">
        <f>'19_Расчет_аналитики'!K1427*'01_Вводные'!$B$14</f>
        <v/>
      </c>
      <c r="M1428">
        <f>'19_Расчет_аналитики'!L1427*'01_Вводные'!$B$14</f>
        <v/>
      </c>
      <c r="N1428">
        <f>'19_Расчет_аналитики'!M1427*'01_Вводные'!$B$14</f>
        <v/>
      </c>
      <c r="O1428">
        <f>'19_Расчет_аналитики'!N1427*'01_Вводные'!$B$14</f>
        <v/>
      </c>
      <c r="P1428">
        <f>'19_Расчет_аналитики'!O1427*'01_Вводные'!$B$14</f>
        <v/>
      </c>
      <c r="Q1428">
        <f>'19_Расчет_аналитики'!P1427*'01_Вводные'!$B$14</f>
        <v/>
      </c>
      <c r="R1428">
        <f>'19_Расчет_аналитики'!Q1427*'01_Вводные'!$B$14</f>
        <v/>
      </c>
      <c r="S1428">
        <f>'19_Расчет_аналитики'!R1427*'01_Вводные'!$B$14</f>
        <v/>
      </c>
      <c r="T1428">
        <f>'19_Расчет_аналитики'!S1427*'01_Вводные'!$B$14</f>
        <v/>
      </c>
      <c r="U1428">
        <f>'19_Расчет_аналитики'!T1427*'01_Вводные'!$B$14</f>
        <v/>
      </c>
      <c r="V1428">
        <f>'19_Расчет_аналитики'!U1427*'01_Вводные'!$B$14</f>
        <v/>
      </c>
      <c r="W1428">
        <f>'19_Расчет_аналитики'!V1427*'01_Вводные'!$B$14</f>
        <v/>
      </c>
      <c r="X1428">
        <f>'19_Расчет_аналитики'!W1427*'01_Вводные'!$B$14</f>
        <v/>
      </c>
      <c r="Y1428">
        <f>'19_Расчет_аналитики'!X1427*'01_Вводные'!$B$14</f>
        <v/>
      </c>
      <c r="Z1428">
        <f>'19_Расчет_аналитики'!Y1427*'01_Вводные'!$B$14</f>
        <v/>
      </c>
      <c r="AA1428">
        <f>'19_Расчет_аналитики'!Z1427*'01_Вводные'!$B$14</f>
        <v/>
      </c>
      <c r="AB1428">
        <f>'19_Расчет_аналитики'!AA1427*'01_Вводные'!$B$14</f>
        <v/>
      </c>
      <c r="AC1428">
        <f>'19_Расчет_аналитики'!AB1427*'01_Вводные'!$B$14</f>
        <v/>
      </c>
      <c r="AD1428">
        <f>'19_Расчет_аналитики'!AC1427*'01_Вводные'!$B$14</f>
        <v/>
      </c>
      <c r="AE1428">
        <f>'19_Расчет_аналитики'!AD1427*'01_Вводные'!$B$14</f>
        <v/>
      </c>
      <c r="AF1428">
        <f>'19_Расчет_аналитики'!AE1427*'01_Вводные'!$B$14</f>
        <v/>
      </c>
      <c r="AG1428">
        <f>'19_Расчет_аналитики'!AF1427*'01_Вводные'!$B$14</f>
        <v/>
      </c>
      <c r="AH1428">
        <f>'19_Расчет_аналитики'!AG1427*'01_Вводные'!$B$14</f>
        <v/>
      </c>
      <c r="AI1428">
        <f>'19_Расчет_аналитики'!AH1427*'01_Вводные'!$B$14</f>
        <v/>
      </c>
      <c r="AJ1428">
        <f>'19_Расчет_аналитики'!AI1427*'01_Вводные'!$B$14</f>
        <v/>
      </c>
      <c r="AK1428">
        <f>'19_Расчет_аналитики'!AJ1427*'01_Вводные'!$B$14</f>
        <v/>
      </c>
      <c r="AL1428">
        <f>'19_Расчет_аналитики'!AK1427*'01_Вводные'!$B$14</f>
        <v/>
      </c>
      <c r="AM1428">
        <f>'19_Расчет_аналитики'!AL1427*'01_Вводные'!$B$14</f>
        <v/>
      </c>
      <c r="AN1428">
        <f>'19_Расчет_аналитики'!AM1427*'01_Вводные'!$B$14</f>
        <v/>
      </c>
      <c r="AO1428">
        <f>'19_Расчет_аналитики'!AN1427*'01_Вводные'!$B$14</f>
        <v/>
      </c>
      <c r="AP1428">
        <f>'19_Расчет_аналитики'!AO1427*'01_Вводные'!$B$14</f>
        <v/>
      </c>
      <c r="AQ1428">
        <f>'19_Расчет_аналитики'!AP1427*'01_Вводные'!$B$14</f>
        <v/>
      </c>
      <c r="AR1428">
        <f>'19_Расчет_аналитики'!AQ1427*'01_Вводные'!$B$14</f>
        <v/>
      </c>
      <c r="AS1428">
        <f>'19_Расчет_аналитики'!AR1427*'01_Вводные'!$B$14</f>
        <v/>
      </c>
      <c r="AT1428">
        <f>'19_Расчет_аналитики'!AS1427*'01_Вводные'!$B$14</f>
        <v/>
      </c>
      <c r="AU1428">
        <f>'19_Расчет_аналитики'!AT1427*'01_Вводные'!$B$14</f>
        <v/>
      </c>
      <c r="AV1428">
        <f>'19_Расчет_аналитики'!AU1427*'01_Вводные'!$B$14</f>
        <v/>
      </c>
      <c r="AW1428">
        <f>'19_Расчет_аналитики'!AV1427*'01_Вводные'!$B$14</f>
        <v/>
      </c>
      <c r="AX1428">
        <f>'19_Расчет_аналитики'!AW1427*'01_Вводные'!$B$14</f>
        <v/>
      </c>
      <c r="AY1428">
        <f>'19_Расчет_аналитики'!AX1427*'01_Вводные'!$B$14</f>
        <v/>
      </c>
      <c r="AZ1428">
        <f>'19_Расчет_аналитики'!AY1427*'01_Вводные'!$B$14</f>
        <v/>
      </c>
      <c r="BA1428">
        <f>'19_Расчет_аналитики'!AZ1427*'01_Вводные'!$B$14</f>
        <v/>
      </c>
      <c r="BB1428">
        <f>'19_Расчет_аналитики'!BA1427*'01_Вводные'!$B$14</f>
        <v/>
      </c>
      <c r="BC1428">
        <f>'19_Расчет_аналитики'!BB1427*'01_Вводные'!$B$14</f>
        <v/>
      </c>
      <c r="BD1428">
        <f>'19_Расчет_аналитики'!BC1427*'01_Вводные'!$B$14</f>
        <v/>
      </c>
      <c r="BE1428">
        <f>'19_Расчет_аналитики'!BD1427*'01_Вводные'!$B$14</f>
        <v/>
      </c>
      <c r="BF1428">
        <f>'19_Расчет_аналитики'!BE1427*'01_Вводные'!$B$14</f>
        <v/>
      </c>
      <c r="BG1428">
        <f>'19_Расчет_аналитики'!BF1427*'01_Вводные'!$B$14</f>
        <v/>
      </c>
      <c r="BH1428">
        <f>'19_Расчет_аналитики'!BG1427*'01_Вводные'!$B$14</f>
        <v/>
      </c>
      <c r="BI1428">
        <f>'19_Расчет_аналитики'!BH1427*'01_Вводные'!$B$14</f>
        <v/>
      </c>
      <c r="BJ1428">
        <f>'19_Расчет_аналитики'!BI1427*'01_Вводные'!$B$14</f>
        <v/>
      </c>
      <c r="BK1428">
        <f>'19_Расчет_аналитики'!BJ1427*'01_Вводные'!$B$14</f>
        <v/>
      </c>
      <c r="BL1428">
        <f>'19_Расчет_аналитики'!BK1427*'01_Вводные'!$B$14</f>
        <v/>
      </c>
      <c r="BM1428">
        <f>'19_Расчет_аналитики'!BL1427*'01_Вводные'!$B$14</f>
        <v/>
      </c>
      <c r="BN1428">
        <f>'19_Расчет_аналитики'!BM1427*'01_Вводные'!$B$14</f>
        <v/>
      </c>
      <c r="BO1428">
        <f>'19_Расчет_аналитики'!BN1427*'01_Вводные'!$B$14</f>
        <v/>
      </c>
    </row>
    <row r="1429">
      <c r="B1429">
        <f>'06_Сеть_и_дети'!B62</f>
        <v/>
      </c>
      <c r="C1429">
        <f>'06_Сеть_и_дети'!C62</f>
        <v/>
      </c>
      <c r="D1429">
        <f>'06_Сеть_и_дети'!D62</f>
        <v/>
      </c>
      <c r="E1429">
        <f>'06_Сеть_и_дети'!E62</f>
        <v/>
      </c>
      <c r="F1429">
        <f>'06_Сеть_и_дети'!F62</f>
        <v/>
      </c>
      <c r="G1429">
        <f>'06_Сеть_и_дети'!G62</f>
        <v/>
      </c>
      <c r="H1429">
        <f>'06_Сеть_и_дети'!H62</f>
        <v/>
      </c>
      <c r="I1429">
        <f>'06_Сеть_и_дети'!I62</f>
        <v/>
      </c>
      <c r="J1429">
        <f>'06_Сеть_и_дети'!J62</f>
        <v/>
      </c>
      <c r="K1429">
        <f>'19_Расчет_аналитики'!J1428*'01_Вводные'!$B$14</f>
        <v/>
      </c>
      <c r="L1429">
        <f>'19_Расчет_аналитики'!K1428*'01_Вводные'!$B$14</f>
        <v/>
      </c>
      <c r="M1429">
        <f>'19_Расчет_аналитики'!L1428*'01_Вводные'!$B$14</f>
        <v/>
      </c>
      <c r="N1429">
        <f>'19_Расчет_аналитики'!M1428*'01_Вводные'!$B$14</f>
        <v/>
      </c>
      <c r="O1429">
        <f>'19_Расчет_аналитики'!N1428*'01_Вводные'!$B$14</f>
        <v/>
      </c>
      <c r="P1429">
        <f>'19_Расчет_аналитики'!O1428*'01_Вводные'!$B$14</f>
        <v/>
      </c>
      <c r="Q1429">
        <f>'19_Расчет_аналитики'!P1428*'01_Вводные'!$B$14</f>
        <v/>
      </c>
      <c r="R1429">
        <f>'19_Расчет_аналитики'!Q1428*'01_Вводные'!$B$14</f>
        <v/>
      </c>
      <c r="S1429">
        <f>'19_Расчет_аналитики'!R1428*'01_Вводные'!$B$14</f>
        <v/>
      </c>
      <c r="T1429">
        <f>'19_Расчет_аналитики'!S1428*'01_Вводные'!$B$14</f>
        <v/>
      </c>
      <c r="U1429">
        <f>'19_Расчет_аналитики'!T1428*'01_Вводные'!$B$14</f>
        <v/>
      </c>
      <c r="V1429">
        <f>'19_Расчет_аналитики'!U1428*'01_Вводные'!$B$14</f>
        <v/>
      </c>
      <c r="W1429">
        <f>'19_Расчет_аналитики'!V1428*'01_Вводные'!$B$14</f>
        <v/>
      </c>
      <c r="X1429">
        <f>'19_Расчет_аналитики'!W1428*'01_Вводные'!$B$14</f>
        <v/>
      </c>
      <c r="Y1429">
        <f>'19_Расчет_аналитики'!X1428*'01_Вводные'!$B$14</f>
        <v/>
      </c>
      <c r="Z1429">
        <f>'19_Расчет_аналитики'!Y1428*'01_Вводные'!$B$14</f>
        <v/>
      </c>
      <c r="AA1429">
        <f>'19_Расчет_аналитики'!Z1428*'01_Вводные'!$B$14</f>
        <v/>
      </c>
      <c r="AB1429">
        <f>'19_Расчет_аналитики'!AA1428*'01_Вводные'!$B$14</f>
        <v/>
      </c>
      <c r="AC1429">
        <f>'19_Расчет_аналитики'!AB1428*'01_Вводные'!$B$14</f>
        <v/>
      </c>
      <c r="AD1429">
        <f>'19_Расчет_аналитики'!AC1428*'01_Вводные'!$B$14</f>
        <v/>
      </c>
      <c r="AE1429">
        <f>'19_Расчет_аналитики'!AD1428*'01_Вводные'!$B$14</f>
        <v/>
      </c>
      <c r="AF1429">
        <f>'19_Расчет_аналитики'!AE1428*'01_Вводные'!$B$14</f>
        <v/>
      </c>
      <c r="AG1429">
        <f>'19_Расчет_аналитики'!AF1428*'01_Вводные'!$B$14</f>
        <v/>
      </c>
      <c r="AH1429">
        <f>'19_Расчет_аналитики'!AG1428*'01_Вводные'!$B$14</f>
        <v/>
      </c>
      <c r="AI1429">
        <f>'19_Расчет_аналитики'!AH1428*'01_Вводные'!$B$14</f>
        <v/>
      </c>
      <c r="AJ1429">
        <f>'19_Расчет_аналитики'!AI1428*'01_Вводные'!$B$14</f>
        <v/>
      </c>
      <c r="AK1429">
        <f>'19_Расчет_аналитики'!AJ1428*'01_Вводные'!$B$14</f>
        <v/>
      </c>
      <c r="AL1429">
        <f>'19_Расчет_аналитики'!AK1428*'01_Вводные'!$B$14</f>
        <v/>
      </c>
      <c r="AM1429">
        <f>'19_Расчет_аналитики'!AL1428*'01_Вводные'!$B$14</f>
        <v/>
      </c>
      <c r="AN1429">
        <f>'19_Расчет_аналитики'!AM1428*'01_Вводные'!$B$14</f>
        <v/>
      </c>
      <c r="AO1429">
        <f>'19_Расчет_аналитики'!AN1428*'01_Вводные'!$B$14</f>
        <v/>
      </c>
      <c r="AP1429">
        <f>'19_Расчет_аналитики'!AO1428*'01_Вводные'!$B$14</f>
        <v/>
      </c>
      <c r="AQ1429">
        <f>'19_Расчет_аналитики'!AP1428*'01_Вводные'!$B$14</f>
        <v/>
      </c>
      <c r="AR1429">
        <f>'19_Расчет_аналитики'!AQ1428*'01_Вводные'!$B$14</f>
        <v/>
      </c>
      <c r="AS1429">
        <f>'19_Расчет_аналитики'!AR1428*'01_Вводные'!$B$14</f>
        <v/>
      </c>
      <c r="AT1429">
        <f>'19_Расчет_аналитики'!AS1428*'01_Вводные'!$B$14</f>
        <v/>
      </c>
      <c r="AU1429">
        <f>'19_Расчет_аналитики'!AT1428*'01_Вводные'!$B$14</f>
        <v/>
      </c>
      <c r="AV1429">
        <f>'19_Расчет_аналитики'!AU1428*'01_Вводные'!$B$14</f>
        <v/>
      </c>
      <c r="AW1429">
        <f>'19_Расчет_аналитики'!AV1428*'01_Вводные'!$B$14</f>
        <v/>
      </c>
      <c r="AX1429">
        <f>'19_Расчет_аналитики'!AW1428*'01_Вводные'!$B$14</f>
        <v/>
      </c>
      <c r="AY1429">
        <f>'19_Расчет_аналитики'!AX1428*'01_Вводные'!$B$14</f>
        <v/>
      </c>
      <c r="AZ1429">
        <f>'19_Расчет_аналитики'!AY1428*'01_Вводные'!$B$14</f>
        <v/>
      </c>
      <c r="BA1429">
        <f>'19_Расчет_аналитики'!AZ1428*'01_Вводные'!$B$14</f>
        <v/>
      </c>
      <c r="BB1429">
        <f>'19_Расчет_аналитики'!BA1428*'01_Вводные'!$B$14</f>
        <v/>
      </c>
      <c r="BC1429">
        <f>'19_Расчет_аналитики'!BB1428*'01_Вводные'!$B$14</f>
        <v/>
      </c>
      <c r="BD1429">
        <f>'19_Расчет_аналитики'!BC1428*'01_Вводные'!$B$14</f>
        <v/>
      </c>
      <c r="BE1429">
        <f>'19_Расчет_аналитики'!BD1428*'01_Вводные'!$B$14</f>
        <v/>
      </c>
      <c r="BF1429">
        <f>'19_Расчет_аналитики'!BE1428*'01_Вводные'!$B$14</f>
        <v/>
      </c>
      <c r="BG1429">
        <f>'19_Расчет_аналитики'!BF1428*'01_Вводные'!$B$14</f>
        <v/>
      </c>
      <c r="BH1429">
        <f>'19_Расчет_аналитики'!BG1428*'01_Вводные'!$B$14</f>
        <v/>
      </c>
      <c r="BI1429">
        <f>'19_Расчет_аналитики'!BH1428*'01_Вводные'!$B$14</f>
        <v/>
      </c>
      <c r="BJ1429">
        <f>'19_Расчет_аналитики'!BI1428*'01_Вводные'!$B$14</f>
        <v/>
      </c>
      <c r="BK1429">
        <f>'19_Расчет_аналитики'!BJ1428*'01_Вводные'!$B$14</f>
        <v/>
      </c>
      <c r="BL1429">
        <f>'19_Расчет_аналитики'!BK1428*'01_Вводные'!$B$14</f>
        <v/>
      </c>
      <c r="BM1429">
        <f>'19_Расчет_аналитики'!BL1428*'01_Вводные'!$B$14</f>
        <v/>
      </c>
      <c r="BN1429">
        <f>'19_Расчет_аналитики'!BM1428*'01_Вводные'!$B$14</f>
        <v/>
      </c>
      <c r="BO1429">
        <f>'19_Расчет_аналитики'!BN1428*'01_Вводные'!$B$14</f>
        <v/>
      </c>
    </row>
    <row r="1430">
      <c r="B1430">
        <f>'06_Сеть_и_дети'!B63</f>
        <v/>
      </c>
      <c r="C1430">
        <f>'06_Сеть_и_дети'!C63</f>
        <v/>
      </c>
      <c r="D1430">
        <f>'06_Сеть_и_дети'!D63</f>
        <v/>
      </c>
      <c r="E1430">
        <f>'06_Сеть_и_дети'!E63</f>
        <v/>
      </c>
      <c r="F1430">
        <f>'06_Сеть_и_дети'!F63</f>
        <v/>
      </c>
      <c r="G1430">
        <f>'06_Сеть_и_дети'!G63</f>
        <v/>
      </c>
      <c r="H1430">
        <f>'06_Сеть_и_дети'!H63</f>
        <v/>
      </c>
      <c r="I1430">
        <f>'06_Сеть_и_дети'!I63</f>
        <v/>
      </c>
      <c r="J1430">
        <f>'06_Сеть_и_дети'!J63</f>
        <v/>
      </c>
      <c r="K1430">
        <f>'06_Сеть_и_дети'!K63</f>
        <v/>
      </c>
      <c r="L1430">
        <f>'19_Расчет_аналитики'!K1429*'01_Вводные'!$B$14</f>
        <v/>
      </c>
      <c r="M1430">
        <f>'19_Расчет_аналитики'!L1429*'01_Вводные'!$B$14</f>
        <v/>
      </c>
      <c r="N1430">
        <f>'19_Расчет_аналитики'!M1429*'01_Вводные'!$B$14</f>
        <v/>
      </c>
      <c r="O1430">
        <f>'19_Расчет_аналитики'!N1429*'01_Вводные'!$B$14</f>
        <v/>
      </c>
      <c r="P1430">
        <f>'19_Расчет_аналитики'!O1429*'01_Вводные'!$B$14</f>
        <v/>
      </c>
      <c r="Q1430">
        <f>'19_Расчет_аналитики'!P1429*'01_Вводные'!$B$14</f>
        <v/>
      </c>
      <c r="R1430">
        <f>'19_Расчет_аналитики'!Q1429*'01_Вводные'!$B$14</f>
        <v/>
      </c>
      <c r="S1430">
        <f>'19_Расчет_аналитики'!R1429*'01_Вводные'!$B$14</f>
        <v/>
      </c>
      <c r="T1430">
        <f>'19_Расчет_аналитики'!S1429*'01_Вводные'!$B$14</f>
        <v/>
      </c>
      <c r="U1430">
        <f>'19_Расчет_аналитики'!T1429*'01_Вводные'!$B$14</f>
        <v/>
      </c>
      <c r="V1430">
        <f>'19_Расчет_аналитики'!U1429*'01_Вводные'!$B$14</f>
        <v/>
      </c>
      <c r="W1430">
        <f>'19_Расчет_аналитики'!V1429*'01_Вводные'!$B$14</f>
        <v/>
      </c>
      <c r="X1430">
        <f>'19_Расчет_аналитики'!W1429*'01_Вводные'!$B$14</f>
        <v/>
      </c>
      <c r="Y1430">
        <f>'19_Расчет_аналитики'!X1429*'01_Вводные'!$B$14</f>
        <v/>
      </c>
      <c r="Z1430">
        <f>'19_Расчет_аналитики'!Y1429*'01_Вводные'!$B$14</f>
        <v/>
      </c>
      <c r="AA1430">
        <f>'19_Расчет_аналитики'!Z1429*'01_Вводные'!$B$14</f>
        <v/>
      </c>
      <c r="AB1430">
        <f>'19_Расчет_аналитики'!AA1429*'01_Вводные'!$B$14</f>
        <v/>
      </c>
      <c r="AC1430">
        <f>'19_Расчет_аналитики'!AB1429*'01_Вводные'!$B$14</f>
        <v/>
      </c>
      <c r="AD1430">
        <f>'19_Расчет_аналитики'!AC1429*'01_Вводные'!$B$14</f>
        <v/>
      </c>
      <c r="AE1430">
        <f>'19_Расчет_аналитики'!AD1429*'01_Вводные'!$B$14</f>
        <v/>
      </c>
      <c r="AF1430">
        <f>'19_Расчет_аналитики'!AE1429*'01_Вводные'!$B$14</f>
        <v/>
      </c>
      <c r="AG1430">
        <f>'19_Расчет_аналитики'!AF1429*'01_Вводные'!$B$14</f>
        <v/>
      </c>
      <c r="AH1430">
        <f>'19_Расчет_аналитики'!AG1429*'01_Вводные'!$B$14</f>
        <v/>
      </c>
      <c r="AI1430">
        <f>'19_Расчет_аналитики'!AH1429*'01_Вводные'!$B$14</f>
        <v/>
      </c>
      <c r="AJ1430">
        <f>'19_Расчет_аналитики'!AI1429*'01_Вводные'!$B$14</f>
        <v/>
      </c>
      <c r="AK1430">
        <f>'19_Расчет_аналитики'!AJ1429*'01_Вводные'!$B$14</f>
        <v/>
      </c>
      <c r="AL1430">
        <f>'19_Расчет_аналитики'!AK1429*'01_Вводные'!$B$14</f>
        <v/>
      </c>
      <c r="AM1430">
        <f>'19_Расчет_аналитики'!AL1429*'01_Вводные'!$B$14</f>
        <v/>
      </c>
      <c r="AN1430">
        <f>'19_Расчет_аналитики'!AM1429*'01_Вводные'!$B$14</f>
        <v/>
      </c>
      <c r="AO1430">
        <f>'19_Расчет_аналитики'!AN1429*'01_Вводные'!$B$14</f>
        <v/>
      </c>
      <c r="AP1430">
        <f>'19_Расчет_аналитики'!AO1429*'01_Вводные'!$B$14</f>
        <v/>
      </c>
      <c r="AQ1430">
        <f>'19_Расчет_аналитики'!AP1429*'01_Вводные'!$B$14</f>
        <v/>
      </c>
      <c r="AR1430">
        <f>'19_Расчет_аналитики'!AQ1429*'01_Вводные'!$B$14</f>
        <v/>
      </c>
      <c r="AS1430">
        <f>'19_Расчет_аналитики'!AR1429*'01_Вводные'!$B$14</f>
        <v/>
      </c>
      <c r="AT1430">
        <f>'19_Расчет_аналитики'!AS1429*'01_Вводные'!$B$14</f>
        <v/>
      </c>
      <c r="AU1430">
        <f>'19_Расчет_аналитики'!AT1429*'01_Вводные'!$B$14</f>
        <v/>
      </c>
      <c r="AV1430">
        <f>'19_Расчет_аналитики'!AU1429*'01_Вводные'!$B$14</f>
        <v/>
      </c>
      <c r="AW1430">
        <f>'19_Расчет_аналитики'!AV1429*'01_Вводные'!$B$14</f>
        <v/>
      </c>
      <c r="AX1430">
        <f>'19_Расчет_аналитики'!AW1429*'01_Вводные'!$B$14</f>
        <v/>
      </c>
      <c r="AY1430">
        <f>'19_Расчет_аналитики'!AX1429*'01_Вводные'!$B$14</f>
        <v/>
      </c>
      <c r="AZ1430">
        <f>'19_Расчет_аналитики'!AY1429*'01_Вводные'!$B$14</f>
        <v/>
      </c>
      <c r="BA1430">
        <f>'19_Расчет_аналитики'!AZ1429*'01_Вводные'!$B$14</f>
        <v/>
      </c>
      <c r="BB1430">
        <f>'19_Расчет_аналитики'!BA1429*'01_Вводные'!$B$14</f>
        <v/>
      </c>
      <c r="BC1430">
        <f>'19_Расчет_аналитики'!BB1429*'01_Вводные'!$B$14</f>
        <v/>
      </c>
      <c r="BD1430">
        <f>'19_Расчет_аналитики'!BC1429*'01_Вводные'!$B$14</f>
        <v/>
      </c>
      <c r="BE1430">
        <f>'19_Расчет_аналитики'!BD1429*'01_Вводные'!$B$14</f>
        <v/>
      </c>
      <c r="BF1430">
        <f>'19_Расчет_аналитики'!BE1429*'01_Вводные'!$B$14</f>
        <v/>
      </c>
      <c r="BG1430">
        <f>'19_Расчет_аналитики'!BF1429*'01_Вводные'!$B$14</f>
        <v/>
      </c>
      <c r="BH1430">
        <f>'19_Расчет_аналитики'!BG1429*'01_Вводные'!$B$14</f>
        <v/>
      </c>
      <c r="BI1430">
        <f>'19_Расчет_аналитики'!BH1429*'01_Вводные'!$B$14</f>
        <v/>
      </c>
      <c r="BJ1430">
        <f>'19_Расчет_аналитики'!BI1429*'01_Вводные'!$B$14</f>
        <v/>
      </c>
      <c r="BK1430">
        <f>'19_Расчет_аналитики'!BJ1429*'01_Вводные'!$B$14</f>
        <v/>
      </c>
      <c r="BL1430">
        <f>'19_Расчет_аналитики'!BK1429*'01_Вводные'!$B$14</f>
        <v/>
      </c>
      <c r="BM1430">
        <f>'19_Расчет_аналитики'!BL1429*'01_Вводные'!$B$14</f>
        <v/>
      </c>
      <c r="BN1430">
        <f>'19_Расчет_аналитики'!BM1429*'01_Вводные'!$B$14</f>
        <v/>
      </c>
      <c r="BO1430">
        <f>'19_Расчет_аналитики'!BN1429*'01_Вводные'!$B$14</f>
        <v/>
      </c>
    </row>
    <row r="1431">
      <c r="B1431">
        <f>'06_Сеть_и_дети'!B64</f>
        <v/>
      </c>
      <c r="C1431">
        <f>'06_Сеть_и_дети'!C64</f>
        <v/>
      </c>
      <c r="D1431">
        <f>'06_Сеть_и_дети'!D64</f>
        <v/>
      </c>
      <c r="E1431">
        <f>'06_Сеть_и_дети'!E64</f>
        <v/>
      </c>
      <c r="F1431">
        <f>'06_Сеть_и_дети'!F64</f>
        <v/>
      </c>
      <c r="G1431">
        <f>'06_Сеть_и_дети'!G64</f>
        <v/>
      </c>
      <c r="H1431">
        <f>'06_Сеть_и_дети'!H64</f>
        <v/>
      </c>
      <c r="I1431">
        <f>'06_Сеть_и_дети'!I64</f>
        <v/>
      </c>
      <c r="J1431">
        <f>'06_Сеть_и_дети'!J64</f>
        <v/>
      </c>
      <c r="K1431">
        <f>'06_Сеть_и_дети'!K64</f>
        <v/>
      </c>
      <c r="L1431">
        <f>'06_Сеть_и_дети'!L64</f>
        <v/>
      </c>
      <c r="M1431">
        <f>'19_Расчет_аналитики'!L1430*'01_Вводные'!$B$14</f>
        <v/>
      </c>
      <c r="N1431">
        <f>'19_Расчет_аналитики'!M1430*'01_Вводные'!$B$14</f>
        <v/>
      </c>
      <c r="O1431">
        <f>'19_Расчет_аналитики'!N1430*'01_Вводные'!$B$14</f>
        <v/>
      </c>
      <c r="P1431">
        <f>'19_Расчет_аналитики'!O1430*'01_Вводные'!$B$14</f>
        <v/>
      </c>
      <c r="Q1431">
        <f>'19_Расчет_аналитики'!P1430*'01_Вводные'!$B$14</f>
        <v/>
      </c>
      <c r="R1431">
        <f>'19_Расчет_аналитики'!Q1430*'01_Вводные'!$B$14</f>
        <v/>
      </c>
      <c r="S1431">
        <f>'19_Расчет_аналитики'!R1430*'01_Вводные'!$B$14</f>
        <v/>
      </c>
      <c r="T1431">
        <f>'19_Расчет_аналитики'!S1430*'01_Вводные'!$B$14</f>
        <v/>
      </c>
      <c r="U1431">
        <f>'19_Расчет_аналитики'!T1430*'01_Вводные'!$B$14</f>
        <v/>
      </c>
      <c r="V1431">
        <f>'19_Расчет_аналитики'!U1430*'01_Вводные'!$B$14</f>
        <v/>
      </c>
      <c r="W1431">
        <f>'19_Расчет_аналитики'!V1430*'01_Вводные'!$B$14</f>
        <v/>
      </c>
      <c r="X1431">
        <f>'19_Расчет_аналитики'!W1430*'01_Вводные'!$B$14</f>
        <v/>
      </c>
      <c r="Y1431">
        <f>'19_Расчет_аналитики'!X1430*'01_Вводные'!$B$14</f>
        <v/>
      </c>
      <c r="Z1431">
        <f>'19_Расчет_аналитики'!Y1430*'01_Вводные'!$B$14</f>
        <v/>
      </c>
      <c r="AA1431">
        <f>'19_Расчет_аналитики'!Z1430*'01_Вводные'!$B$14</f>
        <v/>
      </c>
      <c r="AB1431">
        <f>'19_Расчет_аналитики'!AA1430*'01_Вводные'!$B$14</f>
        <v/>
      </c>
      <c r="AC1431">
        <f>'19_Расчет_аналитики'!AB1430*'01_Вводные'!$B$14</f>
        <v/>
      </c>
      <c r="AD1431">
        <f>'19_Расчет_аналитики'!AC1430*'01_Вводные'!$B$14</f>
        <v/>
      </c>
      <c r="AE1431">
        <f>'19_Расчет_аналитики'!AD1430*'01_Вводные'!$B$14</f>
        <v/>
      </c>
      <c r="AF1431">
        <f>'19_Расчет_аналитики'!AE1430*'01_Вводные'!$B$14</f>
        <v/>
      </c>
      <c r="AG1431">
        <f>'19_Расчет_аналитики'!AF1430*'01_Вводные'!$B$14</f>
        <v/>
      </c>
      <c r="AH1431">
        <f>'19_Расчет_аналитики'!AG1430*'01_Вводные'!$B$14</f>
        <v/>
      </c>
      <c r="AI1431">
        <f>'19_Расчет_аналитики'!AH1430*'01_Вводные'!$B$14</f>
        <v/>
      </c>
      <c r="AJ1431">
        <f>'19_Расчет_аналитики'!AI1430*'01_Вводные'!$B$14</f>
        <v/>
      </c>
      <c r="AK1431">
        <f>'19_Расчет_аналитики'!AJ1430*'01_Вводные'!$B$14</f>
        <v/>
      </c>
      <c r="AL1431">
        <f>'19_Расчет_аналитики'!AK1430*'01_Вводные'!$B$14</f>
        <v/>
      </c>
      <c r="AM1431">
        <f>'19_Расчет_аналитики'!AL1430*'01_Вводные'!$B$14</f>
        <v/>
      </c>
      <c r="AN1431">
        <f>'19_Расчет_аналитики'!AM1430*'01_Вводные'!$B$14</f>
        <v/>
      </c>
      <c r="AO1431">
        <f>'19_Расчет_аналитики'!AN1430*'01_Вводные'!$B$14</f>
        <v/>
      </c>
      <c r="AP1431">
        <f>'19_Расчет_аналитики'!AO1430*'01_Вводные'!$B$14</f>
        <v/>
      </c>
      <c r="AQ1431">
        <f>'19_Расчет_аналитики'!AP1430*'01_Вводные'!$B$14</f>
        <v/>
      </c>
      <c r="AR1431">
        <f>'19_Расчет_аналитики'!AQ1430*'01_Вводные'!$B$14</f>
        <v/>
      </c>
      <c r="AS1431">
        <f>'19_Расчет_аналитики'!AR1430*'01_Вводные'!$B$14</f>
        <v/>
      </c>
      <c r="AT1431">
        <f>'19_Расчет_аналитики'!AS1430*'01_Вводные'!$B$14</f>
        <v/>
      </c>
      <c r="AU1431">
        <f>'19_Расчет_аналитики'!AT1430*'01_Вводные'!$B$14</f>
        <v/>
      </c>
      <c r="AV1431">
        <f>'19_Расчет_аналитики'!AU1430*'01_Вводные'!$B$14</f>
        <v/>
      </c>
      <c r="AW1431">
        <f>'19_Расчет_аналитики'!AV1430*'01_Вводные'!$B$14</f>
        <v/>
      </c>
      <c r="AX1431">
        <f>'19_Расчет_аналитики'!AW1430*'01_Вводные'!$B$14</f>
        <v/>
      </c>
      <c r="AY1431">
        <f>'19_Расчет_аналитики'!AX1430*'01_Вводные'!$B$14</f>
        <v/>
      </c>
      <c r="AZ1431">
        <f>'19_Расчет_аналитики'!AY1430*'01_Вводные'!$B$14</f>
        <v/>
      </c>
      <c r="BA1431">
        <f>'19_Расчет_аналитики'!AZ1430*'01_Вводные'!$B$14</f>
        <v/>
      </c>
      <c r="BB1431">
        <f>'19_Расчет_аналитики'!BA1430*'01_Вводные'!$B$14</f>
        <v/>
      </c>
      <c r="BC1431">
        <f>'19_Расчет_аналитики'!BB1430*'01_Вводные'!$B$14</f>
        <v/>
      </c>
      <c r="BD1431">
        <f>'19_Расчет_аналитики'!BC1430*'01_Вводные'!$B$14</f>
        <v/>
      </c>
      <c r="BE1431">
        <f>'19_Расчет_аналитики'!BD1430*'01_Вводные'!$B$14</f>
        <v/>
      </c>
      <c r="BF1431">
        <f>'19_Расчет_аналитики'!BE1430*'01_Вводные'!$B$14</f>
        <v/>
      </c>
      <c r="BG1431">
        <f>'19_Расчет_аналитики'!BF1430*'01_Вводные'!$B$14</f>
        <v/>
      </c>
      <c r="BH1431">
        <f>'19_Расчет_аналитики'!BG1430*'01_Вводные'!$B$14</f>
        <v/>
      </c>
      <c r="BI1431">
        <f>'19_Расчет_аналитики'!BH1430*'01_Вводные'!$B$14</f>
        <v/>
      </c>
      <c r="BJ1431">
        <f>'19_Расчет_аналитики'!BI1430*'01_Вводные'!$B$14</f>
        <v/>
      </c>
      <c r="BK1431">
        <f>'19_Расчет_аналитики'!BJ1430*'01_Вводные'!$B$14</f>
        <v/>
      </c>
      <c r="BL1431">
        <f>'19_Расчет_аналитики'!BK1430*'01_Вводные'!$B$14</f>
        <v/>
      </c>
      <c r="BM1431">
        <f>'19_Расчет_аналитики'!BL1430*'01_Вводные'!$B$14</f>
        <v/>
      </c>
      <c r="BN1431">
        <f>'19_Расчет_аналитики'!BM1430*'01_Вводные'!$B$14</f>
        <v/>
      </c>
      <c r="BO1431">
        <f>'19_Расчет_аналитики'!BN1430*'01_Вводные'!$B$14</f>
        <v/>
      </c>
    </row>
    <row r="1432">
      <c r="B1432">
        <f>'06_Сеть_и_дети'!B65</f>
        <v/>
      </c>
      <c r="C1432">
        <f>'06_Сеть_и_дети'!C65</f>
        <v/>
      </c>
      <c r="D1432">
        <f>'06_Сеть_и_дети'!D65</f>
        <v/>
      </c>
      <c r="E1432">
        <f>'06_Сеть_и_дети'!E65</f>
        <v/>
      </c>
      <c r="F1432">
        <f>'06_Сеть_и_дети'!F65</f>
        <v/>
      </c>
      <c r="G1432">
        <f>'06_Сеть_и_дети'!G65</f>
        <v/>
      </c>
      <c r="H1432">
        <f>'06_Сеть_и_дети'!H65</f>
        <v/>
      </c>
      <c r="I1432">
        <f>'06_Сеть_и_дети'!I65</f>
        <v/>
      </c>
      <c r="J1432">
        <f>'06_Сеть_и_дети'!J65</f>
        <v/>
      </c>
      <c r="K1432">
        <f>'06_Сеть_и_дети'!K65</f>
        <v/>
      </c>
      <c r="L1432">
        <f>'06_Сеть_и_дети'!L65</f>
        <v/>
      </c>
      <c r="M1432">
        <f>'06_Сеть_и_дети'!M65</f>
        <v/>
      </c>
      <c r="N1432">
        <f>'19_Расчет_аналитики'!M1431*'01_Вводные'!$B$14</f>
        <v/>
      </c>
      <c r="O1432">
        <f>'19_Расчет_аналитики'!N1431*'01_Вводные'!$B$14</f>
        <v/>
      </c>
      <c r="P1432">
        <f>'19_Расчет_аналитики'!O1431*'01_Вводные'!$B$14</f>
        <v/>
      </c>
      <c r="Q1432">
        <f>'19_Расчет_аналитики'!P1431*'01_Вводные'!$B$14</f>
        <v/>
      </c>
      <c r="R1432">
        <f>'19_Расчет_аналитики'!Q1431*'01_Вводные'!$B$14</f>
        <v/>
      </c>
      <c r="S1432">
        <f>'19_Расчет_аналитики'!R1431*'01_Вводные'!$B$14</f>
        <v/>
      </c>
      <c r="T1432">
        <f>'19_Расчет_аналитики'!S1431*'01_Вводные'!$B$14</f>
        <v/>
      </c>
      <c r="U1432">
        <f>'19_Расчет_аналитики'!T1431*'01_Вводные'!$B$14</f>
        <v/>
      </c>
      <c r="V1432">
        <f>'19_Расчет_аналитики'!U1431*'01_Вводные'!$B$14</f>
        <v/>
      </c>
      <c r="W1432">
        <f>'19_Расчет_аналитики'!V1431*'01_Вводные'!$B$14</f>
        <v/>
      </c>
      <c r="X1432">
        <f>'19_Расчет_аналитики'!W1431*'01_Вводные'!$B$14</f>
        <v/>
      </c>
      <c r="Y1432">
        <f>'19_Расчет_аналитики'!X1431*'01_Вводные'!$B$14</f>
        <v/>
      </c>
      <c r="Z1432">
        <f>'19_Расчет_аналитики'!Y1431*'01_Вводные'!$B$14</f>
        <v/>
      </c>
      <c r="AA1432">
        <f>'19_Расчет_аналитики'!Z1431*'01_Вводные'!$B$14</f>
        <v/>
      </c>
      <c r="AB1432">
        <f>'19_Расчет_аналитики'!AA1431*'01_Вводные'!$B$14</f>
        <v/>
      </c>
      <c r="AC1432">
        <f>'19_Расчет_аналитики'!AB1431*'01_Вводные'!$B$14</f>
        <v/>
      </c>
      <c r="AD1432">
        <f>'19_Расчет_аналитики'!AC1431*'01_Вводные'!$B$14</f>
        <v/>
      </c>
      <c r="AE1432">
        <f>'19_Расчет_аналитики'!AD1431*'01_Вводные'!$B$14</f>
        <v/>
      </c>
      <c r="AF1432">
        <f>'19_Расчет_аналитики'!AE1431*'01_Вводные'!$B$14</f>
        <v/>
      </c>
      <c r="AG1432">
        <f>'19_Расчет_аналитики'!AF1431*'01_Вводные'!$B$14</f>
        <v/>
      </c>
      <c r="AH1432">
        <f>'19_Расчет_аналитики'!AG1431*'01_Вводные'!$B$14</f>
        <v/>
      </c>
      <c r="AI1432">
        <f>'19_Расчет_аналитики'!AH1431*'01_Вводные'!$B$14</f>
        <v/>
      </c>
      <c r="AJ1432">
        <f>'19_Расчет_аналитики'!AI1431*'01_Вводные'!$B$14</f>
        <v/>
      </c>
      <c r="AK1432">
        <f>'19_Расчет_аналитики'!AJ1431*'01_Вводные'!$B$14</f>
        <v/>
      </c>
      <c r="AL1432">
        <f>'19_Расчет_аналитики'!AK1431*'01_Вводные'!$B$14</f>
        <v/>
      </c>
      <c r="AM1432">
        <f>'19_Расчет_аналитики'!AL1431*'01_Вводные'!$B$14</f>
        <v/>
      </c>
      <c r="AN1432">
        <f>'19_Расчет_аналитики'!AM1431*'01_Вводные'!$B$14</f>
        <v/>
      </c>
      <c r="AO1432">
        <f>'19_Расчет_аналитики'!AN1431*'01_Вводные'!$B$14</f>
        <v/>
      </c>
      <c r="AP1432">
        <f>'19_Расчет_аналитики'!AO1431*'01_Вводные'!$B$14</f>
        <v/>
      </c>
      <c r="AQ1432">
        <f>'19_Расчет_аналитики'!AP1431*'01_Вводные'!$B$14</f>
        <v/>
      </c>
      <c r="AR1432">
        <f>'19_Расчет_аналитики'!AQ1431*'01_Вводные'!$B$14</f>
        <v/>
      </c>
      <c r="AS1432">
        <f>'19_Расчет_аналитики'!AR1431*'01_Вводные'!$B$14</f>
        <v/>
      </c>
      <c r="AT1432">
        <f>'19_Расчет_аналитики'!AS1431*'01_Вводные'!$B$14</f>
        <v/>
      </c>
      <c r="AU1432">
        <f>'19_Расчет_аналитики'!AT1431*'01_Вводные'!$B$14</f>
        <v/>
      </c>
      <c r="AV1432">
        <f>'19_Расчет_аналитики'!AU1431*'01_Вводные'!$B$14</f>
        <v/>
      </c>
      <c r="AW1432">
        <f>'19_Расчет_аналитики'!AV1431*'01_Вводные'!$B$14</f>
        <v/>
      </c>
      <c r="AX1432">
        <f>'19_Расчет_аналитики'!AW1431*'01_Вводные'!$B$14</f>
        <v/>
      </c>
      <c r="AY1432">
        <f>'19_Расчет_аналитики'!AX1431*'01_Вводные'!$B$14</f>
        <v/>
      </c>
      <c r="AZ1432">
        <f>'19_Расчет_аналитики'!AY1431*'01_Вводные'!$B$14</f>
        <v/>
      </c>
      <c r="BA1432">
        <f>'19_Расчет_аналитики'!AZ1431*'01_Вводные'!$B$14</f>
        <v/>
      </c>
      <c r="BB1432">
        <f>'19_Расчет_аналитики'!BA1431*'01_Вводные'!$B$14</f>
        <v/>
      </c>
      <c r="BC1432">
        <f>'19_Расчет_аналитики'!BB1431*'01_Вводные'!$B$14</f>
        <v/>
      </c>
      <c r="BD1432">
        <f>'19_Расчет_аналитики'!BC1431*'01_Вводные'!$B$14</f>
        <v/>
      </c>
      <c r="BE1432">
        <f>'19_Расчет_аналитики'!BD1431*'01_Вводные'!$B$14</f>
        <v/>
      </c>
      <c r="BF1432">
        <f>'19_Расчет_аналитики'!BE1431*'01_Вводные'!$B$14</f>
        <v/>
      </c>
      <c r="BG1432">
        <f>'19_Расчет_аналитики'!BF1431*'01_Вводные'!$B$14</f>
        <v/>
      </c>
      <c r="BH1432">
        <f>'19_Расчет_аналитики'!BG1431*'01_Вводные'!$B$14</f>
        <v/>
      </c>
      <c r="BI1432">
        <f>'19_Расчет_аналитики'!BH1431*'01_Вводные'!$B$14</f>
        <v/>
      </c>
      <c r="BJ1432">
        <f>'19_Расчет_аналитики'!BI1431*'01_Вводные'!$B$14</f>
        <v/>
      </c>
      <c r="BK1432">
        <f>'19_Расчет_аналитики'!BJ1431*'01_Вводные'!$B$14</f>
        <v/>
      </c>
      <c r="BL1432">
        <f>'19_Расчет_аналитики'!BK1431*'01_Вводные'!$B$14</f>
        <v/>
      </c>
      <c r="BM1432">
        <f>'19_Расчет_аналитики'!BL1431*'01_Вводные'!$B$14</f>
        <v/>
      </c>
      <c r="BN1432">
        <f>'19_Расчет_аналитики'!BM1431*'01_Вводные'!$B$14</f>
        <v/>
      </c>
      <c r="BO1432">
        <f>'19_Расчет_аналитики'!BN1431*'01_Вводные'!$B$14</f>
        <v/>
      </c>
    </row>
    <row r="1433">
      <c r="B1433">
        <f>'06_Сеть_и_дети'!B66</f>
        <v/>
      </c>
      <c r="C1433">
        <f>'06_Сеть_и_дети'!C66</f>
        <v/>
      </c>
      <c r="D1433">
        <f>'06_Сеть_и_дети'!D66</f>
        <v/>
      </c>
      <c r="E1433">
        <f>'06_Сеть_и_дети'!E66</f>
        <v/>
      </c>
      <c r="F1433">
        <f>'06_Сеть_и_дети'!F66</f>
        <v/>
      </c>
      <c r="G1433">
        <f>'06_Сеть_и_дети'!G66</f>
        <v/>
      </c>
      <c r="H1433">
        <f>'06_Сеть_и_дети'!H66</f>
        <v/>
      </c>
      <c r="I1433">
        <f>'06_Сеть_и_дети'!I66</f>
        <v/>
      </c>
      <c r="J1433">
        <f>'06_Сеть_и_дети'!J66</f>
        <v/>
      </c>
      <c r="K1433">
        <f>'06_Сеть_и_дети'!K66</f>
        <v/>
      </c>
      <c r="L1433">
        <f>'06_Сеть_и_дети'!L66</f>
        <v/>
      </c>
      <c r="M1433">
        <f>'06_Сеть_и_дети'!M66</f>
        <v/>
      </c>
      <c r="N1433">
        <f>'06_Сеть_и_дети'!N66</f>
        <v/>
      </c>
      <c r="O1433">
        <f>'19_Расчет_аналитики'!N1432*'01_Вводные'!$B$14</f>
        <v/>
      </c>
      <c r="P1433">
        <f>'19_Расчет_аналитики'!O1432*'01_Вводные'!$B$14</f>
        <v/>
      </c>
      <c r="Q1433">
        <f>'19_Расчет_аналитики'!P1432*'01_Вводные'!$B$14</f>
        <v/>
      </c>
      <c r="R1433">
        <f>'19_Расчет_аналитики'!Q1432*'01_Вводные'!$B$14</f>
        <v/>
      </c>
      <c r="S1433">
        <f>'19_Расчет_аналитики'!R1432*'01_Вводные'!$B$14</f>
        <v/>
      </c>
      <c r="T1433">
        <f>'19_Расчет_аналитики'!S1432*'01_Вводные'!$B$14</f>
        <v/>
      </c>
      <c r="U1433">
        <f>'19_Расчет_аналитики'!T1432*'01_Вводные'!$B$14</f>
        <v/>
      </c>
      <c r="V1433">
        <f>'19_Расчет_аналитики'!U1432*'01_Вводные'!$B$14</f>
        <v/>
      </c>
      <c r="W1433">
        <f>'19_Расчет_аналитики'!V1432*'01_Вводные'!$B$14</f>
        <v/>
      </c>
      <c r="X1433">
        <f>'19_Расчет_аналитики'!W1432*'01_Вводные'!$B$14</f>
        <v/>
      </c>
      <c r="Y1433">
        <f>'19_Расчет_аналитики'!X1432*'01_Вводные'!$B$14</f>
        <v/>
      </c>
      <c r="Z1433">
        <f>'19_Расчет_аналитики'!Y1432*'01_Вводные'!$B$14</f>
        <v/>
      </c>
      <c r="AA1433">
        <f>'19_Расчет_аналитики'!Z1432*'01_Вводные'!$B$14</f>
        <v/>
      </c>
      <c r="AB1433">
        <f>'19_Расчет_аналитики'!AA1432*'01_Вводные'!$B$14</f>
        <v/>
      </c>
      <c r="AC1433">
        <f>'19_Расчет_аналитики'!AB1432*'01_Вводные'!$B$14</f>
        <v/>
      </c>
      <c r="AD1433">
        <f>'19_Расчет_аналитики'!AC1432*'01_Вводные'!$B$14</f>
        <v/>
      </c>
      <c r="AE1433">
        <f>'19_Расчет_аналитики'!AD1432*'01_Вводные'!$B$14</f>
        <v/>
      </c>
      <c r="AF1433">
        <f>'19_Расчет_аналитики'!AE1432*'01_Вводные'!$B$14</f>
        <v/>
      </c>
      <c r="AG1433">
        <f>'19_Расчет_аналитики'!AF1432*'01_Вводные'!$B$14</f>
        <v/>
      </c>
      <c r="AH1433">
        <f>'19_Расчет_аналитики'!AG1432*'01_Вводные'!$B$14</f>
        <v/>
      </c>
      <c r="AI1433">
        <f>'19_Расчет_аналитики'!AH1432*'01_Вводные'!$B$14</f>
        <v/>
      </c>
      <c r="AJ1433">
        <f>'19_Расчет_аналитики'!AI1432*'01_Вводные'!$B$14</f>
        <v/>
      </c>
      <c r="AK1433">
        <f>'19_Расчет_аналитики'!AJ1432*'01_Вводные'!$B$14</f>
        <v/>
      </c>
      <c r="AL1433">
        <f>'19_Расчет_аналитики'!AK1432*'01_Вводные'!$B$14</f>
        <v/>
      </c>
      <c r="AM1433">
        <f>'19_Расчет_аналитики'!AL1432*'01_Вводные'!$B$14</f>
        <v/>
      </c>
      <c r="AN1433">
        <f>'19_Расчет_аналитики'!AM1432*'01_Вводные'!$B$14</f>
        <v/>
      </c>
      <c r="AO1433">
        <f>'19_Расчет_аналитики'!AN1432*'01_Вводные'!$B$14</f>
        <v/>
      </c>
      <c r="AP1433">
        <f>'19_Расчет_аналитики'!AO1432*'01_Вводные'!$B$14</f>
        <v/>
      </c>
      <c r="AQ1433">
        <f>'19_Расчет_аналитики'!AP1432*'01_Вводные'!$B$14</f>
        <v/>
      </c>
      <c r="AR1433">
        <f>'19_Расчет_аналитики'!AQ1432*'01_Вводные'!$B$14</f>
        <v/>
      </c>
      <c r="AS1433">
        <f>'19_Расчет_аналитики'!AR1432*'01_Вводные'!$B$14</f>
        <v/>
      </c>
      <c r="AT1433">
        <f>'19_Расчет_аналитики'!AS1432*'01_Вводные'!$B$14</f>
        <v/>
      </c>
      <c r="AU1433">
        <f>'19_Расчет_аналитики'!AT1432*'01_Вводные'!$B$14</f>
        <v/>
      </c>
      <c r="AV1433">
        <f>'19_Расчет_аналитики'!AU1432*'01_Вводные'!$B$14</f>
        <v/>
      </c>
      <c r="AW1433">
        <f>'19_Расчет_аналитики'!AV1432*'01_Вводные'!$B$14</f>
        <v/>
      </c>
      <c r="AX1433">
        <f>'19_Расчет_аналитики'!AW1432*'01_Вводные'!$B$14</f>
        <v/>
      </c>
      <c r="AY1433">
        <f>'19_Расчет_аналитики'!AX1432*'01_Вводные'!$B$14</f>
        <v/>
      </c>
      <c r="AZ1433">
        <f>'19_Расчет_аналитики'!AY1432*'01_Вводные'!$B$14</f>
        <v/>
      </c>
      <c r="BA1433">
        <f>'19_Расчет_аналитики'!AZ1432*'01_Вводные'!$B$14</f>
        <v/>
      </c>
      <c r="BB1433">
        <f>'19_Расчет_аналитики'!BA1432*'01_Вводные'!$B$14</f>
        <v/>
      </c>
      <c r="BC1433">
        <f>'19_Расчет_аналитики'!BB1432*'01_Вводные'!$B$14</f>
        <v/>
      </c>
      <c r="BD1433">
        <f>'19_Расчет_аналитики'!BC1432*'01_Вводные'!$B$14</f>
        <v/>
      </c>
      <c r="BE1433">
        <f>'19_Расчет_аналитики'!BD1432*'01_Вводные'!$B$14</f>
        <v/>
      </c>
      <c r="BF1433">
        <f>'19_Расчет_аналитики'!BE1432*'01_Вводные'!$B$14</f>
        <v/>
      </c>
      <c r="BG1433">
        <f>'19_Расчет_аналитики'!BF1432*'01_Вводные'!$B$14</f>
        <v/>
      </c>
      <c r="BH1433">
        <f>'19_Расчет_аналитики'!BG1432*'01_Вводные'!$B$14</f>
        <v/>
      </c>
      <c r="BI1433">
        <f>'19_Расчет_аналитики'!BH1432*'01_Вводные'!$B$14</f>
        <v/>
      </c>
      <c r="BJ1433">
        <f>'19_Расчет_аналитики'!BI1432*'01_Вводные'!$B$14</f>
        <v/>
      </c>
      <c r="BK1433">
        <f>'19_Расчет_аналитики'!BJ1432*'01_Вводные'!$B$14</f>
        <v/>
      </c>
      <c r="BL1433">
        <f>'19_Расчет_аналитики'!BK1432*'01_Вводные'!$B$14</f>
        <v/>
      </c>
      <c r="BM1433">
        <f>'19_Расчет_аналитики'!BL1432*'01_Вводные'!$B$14</f>
        <v/>
      </c>
      <c r="BN1433">
        <f>'19_Расчет_аналитики'!BM1432*'01_Вводные'!$B$14</f>
        <v/>
      </c>
      <c r="BO1433">
        <f>'19_Расчет_аналитики'!BN1432*'01_Вводные'!$B$14</f>
        <v/>
      </c>
    </row>
    <row r="1434">
      <c r="B1434">
        <f>'06_Сеть_и_дети'!B67</f>
        <v/>
      </c>
      <c r="C1434">
        <f>'06_Сеть_и_дети'!C67</f>
        <v/>
      </c>
      <c r="D1434">
        <f>'06_Сеть_и_дети'!D67</f>
        <v/>
      </c>
      <c r="E1434">
        <f>'06_Сеть_и_дети'!E67</f>
        <v/>
      </c>
      <c r="F1434">
        <f>'06_Сеть_и_дети'!F67</f>
        <v/>
      </c>
      <c r="G1434">
        <f>'06_Сеть_и_дети'!G67</f>
        <v/>
      </c>
      <c r="H1434">
        <f>'06_Сеть_и_дети'!H67</f>
        <v/>
      </c>
      <c r="I1434">
        <f>'06_Сеть_и_дети'!I67</f>
        <v/>
      </c>
      <c r="J1434">
        <f>'06_Сеть_и_дети'!J67</f>
        <v/>
      </c>
      <c r="K1434">
        <f>'06_Сеть_и_дети'!K67</f>
        <v/>
      </c>
      <c r="L1434">
        <f>'06_Сеть_и_дети'!L67</f>
        <v/>
      </c>
      <c r="M1434">
        <f>'06_Сеть_и_дети'!M67</f>
        <v/>
      </c>
      <c r="N1434">
        <f>'06_Сеть_и_дети'!N67</f>
        <v/>
      </c>
      <c r="O1434">
        <f>'06_Сеть_и_дети'!O67</f>
        <v/>
      </c>
      <c r="P1434">
        <f>'19_Расчет_аналитики'!O1433*'01_Вводные'!$B$14</f>
        <v/>
      </c>
      <c r="Q1434">
        <f>'19_Расчет_аналитики'!P1433*'01_Вводные'!$B$14</f>
        <v/>
      </c>
      <c r="R1434">
        <f>'19_Расчет_аналитики'!Q1433*'01_Вводные'!$B$14</f>
        <v/>
      </c>
      <c r="S1434">
        <f>'19_Расчет_аналитики'!R1433*'01_Вводные'!$B$14</f>
        <v/>
      </c>
      <c r="T1434">
        <f>'19_Расчет_аналитики'!S1433*'01_Вводные'!$B$14</f>
        <v/>
      </c>
      <c r="U1434">
        <f>'19_Расчет_аналитики'!T1433*'01_Вводные'!$B$14</f>
        <v/>
      </c>
      <c r="V1434">
        <f>'19_Расчет_аналитики'!U1433*'01_Вводные'!$B$14</f>
        <v/>
      </c>
      <c r="W1434">
        <f>'19_Расчет_аналитики'!V1433*'01_Вводные'!$B$14</f>
        <v/>
      </c>
      <c r="X1434">
        <f>'19_Расчет_аналитики'!W1433*'01_Вводные'!$B$14</f>
        <v/>
      </c>
      <c r="Y1434">
        <f>'19_Расчет_аналитики'!X1433*'01_Вводные'!$B$14</f>
        <v/>
      </c>
      <c r="Z1434">
        <f>'19_Расчет_аналитики'!Y1433*'01_Вводные'!$B$14</f>
        <v/>
      </c>
      <c r="AA1434">
        <f>'19_Расчет_аналитики'!Z1433*'01_Вводные'!$B$14</f>
        <v/>
      </c>
      <c r="AB1434">
        <f>'19_Расчет_аналитики'!AA1433*'01_Вводные'!$B$14</f>
        <v/>
      </c>
      <c r="AC1434">
        <f>'19_Расчет_аналитики'!AB1433*'01_Вводные'!$B$14</f>
        <v/>
      </c>
      <c r="AD1434">
        <f>'19_Расчет_аналитики'!AC1433*'01_Вводные'!$B$14</f>
        <v/>
      </c>
      <c r="AE1434">
        <f>'19_Расчет_аналитики'!AD1433*'01_Вводные'!$B$14</f>
        <v/>
      </c>
      <c r="AF1434">
        <f>'19_Расчет_аналитики'!AE1433*'01_Вводные'!$B$14</f>
        <v/>
      </c>
      <c r="AG1434">
        <f>'19_Расчет_аналитики'!AF1433*'01_Вводные'!$B$14</f>
        <v/>
      </c>
      <c r="AH1434">
        <f>'19_Расчет_аналитики'!AG1433*'01_Вводные'!$B$14</f>
        <v/>
      </c>
      <c r="AI1434">
        <f>'19_Расчет_аналитики'!AH1433*'01_Вводные'!$B$14</f>
        <v/>
      </c>
      <c r="AJ1434">
        <f>'19_Расчет_аналитики'!AI1433*'01_Вводные'!$B$14</f>
        <v/>
      </c>
      <c r="AK1434">
        <f>'19_Расчет_аналитики'!AJ1433*'01_Вводные'!$B$14</f>
        <v/>
      </c>
      <c r="AL1434">
        <f>'19_Расчет_аналитики'!AK1433*'01_Вводные'!$B$14</f>
        <v/>
      </c>
      <c r="AM1434">
        <f>'19_Расчет_аналитики'!AL1433*'01_Вводные'!$B$14</f>
        <v/>
      </c>
      <c r="AN1434">
        <f>'19_Расчет_аналитики'!AM1433*'01_Вводные'!$B$14</f>
        <v/>
      </c>
      <c r="AO1434">
        <f>'19_Расчет_аналитики'!AN1433*'01_Вводные'!$B$14</f>
        <v/>
      </c>
      <c r="AP1434">
        <f>'19_Расчет_аналитики'!AO1433*'01_Вводные'!$B$14</f>
        <v/>
      </c>
      <c r="AQ1434">
        <f>'19_Расчет_аналитики'!AP1433*'01_Вводные'!$B$14</f>
        <v/>
      </c>
      <c r="AR1434">
        <f>'19_Расчет_аналитики'!AQ1433*'01_Вводные'!$B$14</f>
        <v/>
      </c>
      <c r="AS1434">
        <f>'19_Расчет_аналитики'!AR1433*'01_Вводные'!$B$14</f>
        <v/>
      </c>
      <c r="AT1434">
        <f>'19_Расчет_аналитики'!AS1433*'01_Вводные'!$B$14</f>
        <v/>
      </c>
      <c r="AU1434">
        <f>'19_Расчет_аналитики'!AT1433*'01_Вводные'!$B$14</f>
        <v/>
      </c>
      <c r="AV1434">
        <f>'19_Расчет_аналитики'!AU1433*'01_Вводные'!$B$14</f>
        <v/>
      </c>
      <c r="AW1434">
        <f>'19_Расчет_аналитики'!AV1433*'01_Вводные'!$B$14</f>
        <v/>
      </c>
      <c r="AX1434">
        <f>'19_Расчет_аналитики'!AW1433*'01_Вводные'!$B$14</f>
        <v/>
      </c>
      <c r="AY1434">
        <f>'19_Расчет_аналитики'!AX1433*'01_Вводные'!$B$14</f>
        <v/>
      </c>
      <c r="AZ1434">
        <f>'19_Расчет_аналитики'!AY1433*'01_Вводные'!$B$14</f>
        <v/>
      </c>
      <c r="BA1434">
        <f>'19_Расчет_аналитики'!AZ1433*'01_Вводные'!$B$14</f>
        <v/>
      </c>
      <c r="BB1434">
        <f>'19_Расчет_аналитики'!BA1433*'01_Вводные'!$B$14</f>
        <v/>
      </c>
      <c r="BC1434">
        <f>'19_Расчет_аналитики'!BB1433*'01_Вводные'!$B$14</f>
        <v/>
      </c>
      <c r="BD1434">
        <f>'19_Расчет_аналитики'!BC1433*'01_Вводные'!$B$14</f>
        <v/>
      </c>
      <c r="BE1434">
        <f>'19_Расчет_аналитики'!BD1433*'01_Вводные'!$B$14</f>
        <v/>
      </c>
      <c r="BF1434">
        <f>'19_Расчет_аналитики'!BE1433*'01_Вводные'!$B$14</f>
        <v/>
      </c>
      <c r="BG1434">
        <f>'19_Расчет_аналитики'!BF1433*'01_Вводные'!$B$14</f>
        <v/>
      </c>
      <c r="BH1434">
        <f>'19_Расчет_аналитики'!BG1433*'01_Вводные'!$B$14</f>
        <v/>
      </c>
      <c r="BI1434">
        <f>'19_Расчет_аналитики'!BH1433*'01_Вводные'!$B$14</f>
        <v/>
      </c>
      <c r="BJ1434">
        <f>'19_Расчет_аналитики'!BI1433*'01_Вводные'!$B$14</f>
        <v/>
      </c>
      <c r="BK1434">
        <f>'19_Расчет_аналитики'!BJ1433*'01_Вводные'!$B$14</f>
        <v/>
      </c>
      <c r="BL1434">
        <f>'19_Расчет_аналитики'!BK1433*'01_Вводные'!$B$14</f>
        <v/>
      </c>
      <c r="BM1434">
        <f>'19_Расчет_аналитики'!BL1433*'01_Вводные'!$B$14</f>
        <v/>
      </c>
      <c r="BN1434">
        <f>'19_Расчет_аналитики'!BM1433*'01_Вводные'!$B$14</f>
        <v/>
      </c>
      <c r="BO1434">
        <f>'19_Расчет_аналитики'!BN1433*'01_Вводные'!$B$14</f>
        <v/>
      </c>
    </row>
    <row r="1435">
      <c r="B1435">
        <f>'06_Сеть_и_дети'!B68</f>
        <v/>
      </c>
      <c r="C1435">
        <f>'06_Сеть_и_дети'!C68</f>
        <v/>
      </c>
      <c r="D1435">
        <f>'06_Сеть_и_дети'!D68</f>
        <v/>
      </c>
      <c r="E1435">
        <f>'06_Сеть_и_дети'!E68</f>
        <v/>
      </c>
      <c r="F1435">
        <f>'06_Сеть_и_дети'!F68</f>
        <v/>
      </c>
      <c r="G1435">
        <f>'06_Сеть_и_дети'!G68</f>
        <v/>
      </c>
      <c r="H1435">
        <f>'06_Сеть_и_дети'!H68</f>
        <v/>
      </c>
      <c r="I1435">
        <f>'06_Сеть_и_дети'!I68</f>
        <v/>
      </c>
      <c r="J1435">
        <f>'06_Сеть_и_дети'!J68</f>
        <v/>
      </c>
      <c r="K1435">
        <f>'06_Сеть_и_дети'!K68</f>
        <v/>
      </c>
      <c r="L1435">
        <f>'06_Сеть_и_дети'!L68</f>
        <v/>
      </c>
      <c r="M1435">
        <f>'06_Сеть_и_дети'!M68</f>
        <v/>
      </c>
      <c r="N1435">
        <f>'06_Сеть_и_дети'!N68</f>
        <v/>
      </c>
      <c r="O1435">
        <f>'06_Сеть_и_дети'!O68</f>
        <v/>
      </c>
      <c r="P1435">
        <f>'06_Сеть_и_дети'!P68</f>
        <v/>
      </c>
      <c r="Q1435">
        <f>'19_Расчет_аналитики'!P1434*'01_Вводные'!$B$14</f>
        <v/>
      </c>
      <c r="R1435">
        <f>'19_Расчет_аналитики'!Q1434*'01_Вводные'!$B$14</f>
        <v/>
      </c>
      <c r="S1435">
        <f>'19_Расчет_аналитики'!R1434*'01_Вводные'!$B$14</f>
        <v/>
      </c>
      <c r="T1435">
        <f>'19_Расчет_аналитики'!S1434*'01_Вводные'!$B$14</f>
        <v/>
      </c>
      <c r="U1435">
        <f>'19_Расчет_аналитики'!T1434*'01_Вводные'!$B$14</f>
        <v/>
      </c>
      <c r="V1435">
        <f>'19_Расчет_аналитики'!U1434*'01_Вводные'!$B$14</f>
        <v/>
      </c>
      <c r="W1435">
        <f>'19_Расчет_аналитики'!V1434*'01_Вводные'!$B$14</f>
        <v/>
      </c>
      <c r="X1435">
        <f>'19_Расчет_аналитики'!W1434*'01_Вводные'!$B$14</f>
        <v/>
      </c>
      <c r="Y1435">
        <f>'19_Расчет_аналитики'!X1434*'01_Вводные'!$B$14</f>
        <v/>
      </c>
      <c r="Z1435">
        <f>'19_Расчет_аналитики'!Y1434*'01_Вводные'!$B$14</f>
        <v/>
      </c>
      <c r="AA1435">
        <f>'19_Расчет_аналитики'!Z1434*'01_Вводные'!$B$14</f>
        <v/>
      </c>
      <c r="AB1435">
        <f>'19_Расчет_аналитики'!AA1434*'01_Вводные'!$B$14</f>
        <v/>
      </c>
      <c r="AC1435">
        <f>'19_Расчет_аналитики'!AB1434*'01_Вводные'!$B$14</f>
        <v/>
      </c>
      <c r="AD1435">
        <f>'19_Расчет_аналитики'!AC1434*'01_Вводные'!$B$14</f>
        <v/>
      </c>
      <c r="AE1435">
        <f>'19_Расчет_аналитики'!AD1434*'01_Вводные'!$B$14</f>
        <v/>
      </c>
      <c r="AF1435">
        <f>'19_Расчет_аналитики'!AE1434*'01_Вводные'!$B$14</f>
        <v/>
      </c>
      <c r="AG1435">
        <f>'19_Расчет_аналитики'!AF1434*'01_Вводные'!$B$14</f>
        <v/>
      </c>
      <c r="AH1435">
        <f>'19_Расчет_аналитики'!AG1434*'01_Вводные'!$B$14</f>
        <v/>
      </c>
      <c r="AI1435">
        <f>'19_Расчет_аналитики'!AH1434*'01_Вводные'!$B$14</f>
        <v/>
      </c>
      <c r="AJ1435">
        <f>'19_Расчет_аналитики'!AI1434*'01_Вводные'!$B$14</f>
        <v/>
      </c>
      <c r="AK1435">
        <f>'19_Расчет_аналитики'!AJ1434*'01_Вводные'!$B$14</f>
        <v/>
      </c>
      <c r="AL1435">
        <f>'19_Расчет_аналитики'!AK1434*'01_Вводные'!$B$14</f>
        <v/>
      </c>
      <c r="AM1435">
        <f>'19_Расчет_аналитики'!AL1434*'01_Вводные'!$B$14</f>
        <v/>
      </c>
      <c r="AN1435">
        <f>'19_Расчет_аналитики'!AM1434*'01_Вводные'!$B$14</f>
        <v/>
      </c>
      <c r="AO1435">
        <f>'19_Расчет_аналитики'!AN1434*'01_Вводные'!$B$14</f>
        <v/>
      </c>
      <c r="AP1435">
        <f>'19_Расчет_аналитики'!AO1434*'01_Вводные'!$B$14</f>
        <v/>
      </c>
      <c r="AQ1435">
        <f>'19_Расчет_аналитики'!AP1434*'01_Вводные'!$B$14</f>
        <v/>
      </c>
      <c r="AR1435">
        <f>'19_Расчет_аналитики'!AQ1434*'01_Вводные'!$B$14</f>
        <v/>
      </c>
      <c r="AS1435">
        <f>'19_Расчет_аналитики'!AR1434*'01_Вводные'!$B$14</f>
        <v/>
      </c>
      <c r="AT1435">
        <f>'19_Расчет_аналитики'!AS1434*'01_Вводные'!$B$14</f>
        <v/>
      </c>
      <c r="AU1435">
        <f>'19_Расчет_аналитики'!AT1434*'01_Вводные'!$B$14</f>
        <v/>
      </c>
      <c r="AV1435">
        <f>'19_Расчет_аналитики'!AU1434*'01_Вводные'!$B$14</f>
        <v/>
      </c>
      <c r="AW1435">
        <f>'19_Расчет_аналитики'!AV1434*'01_Вводные'!$B$14</f>
        <v/>
      </c>
      <c r="AX1435">
        <f>'19_Расчет_аналитики'!AW1434*'01_Вводные'!$B$14</f>
        <v/>
      </c>
      <c r="AY1435">
        <f>'19_Расчет_аналитики'!AX1434*'01_Вводные'!$B$14</f>
        <v/>
      </c>
      <c r="AZ1435">
        <f>'19_Расчет_аналитики'!AY1434*'01_Вводные'!$B$14</f>
        <v/>
      </c>
      <c r="BA1435">
        <f>'19_Расчет_аналитики'!AZ1434*'01_Вводные'!$B$14</f>
        <v/>
      </c>
      <c r="BB1435">
        <f>'19_Расчет_аналитики'!BA1434*'01_Вводные'!$B$14</f>
        <v/>
      </c>
      <c r="BC1435">
        <f>'19_Расчет_аналитики'!BB1434*'01_Вводные'!$B$14</f>
        <v/>
      </c>
      <c r="BD1435">
        <f>'19_Расчет_аналитики'!BC1434*'01_Вводные'!$B$14</f>
        <v/>
      </c>
      <c r="BE1435">
        <f>'19_Расчет_аналитики'!BD1434*'01_Вводные'!$B$14</f>
        <v/>
      </c>
      <c r="BF1435">
        <f>'19_Расчет_аналитики'!BE1434*'01_Вводные'!$B$14</f>
        <v/>
      </c>
      <c r="BG1435">
        <f>'19_Расчет_аналитики'!BF1434*'01_Вводные'!$B$14</f>
        <v/>
      </c>
      <c r="BH1435">
        <f>'19_Расчет_аналитики'!BG1434*'01_Вводные'!$B$14</f>
        <v/>
      </c>
      <c r="BI1435">
        <f>'19_Расчет_аналитики'!BH1434*'01_Вводные'!$B$14</f>
        <v/>
      </c>
      <c r="BJ1435">
        <f>'19_Расчет_аналитики'!BI1434*'01_Вводные'!$B$14</f>
        <v/>
      </c>
      <c r="BK1435">
        <f>'19_Расчет_аналитики'!BJ1434*'01_Вводные'!$B$14</f>
        <v/>
      </c>
      <c r="BL1435">
        <f>'19_Расчет_аналитики'!BK1434*'01_Вводные'!$B$14</f>
        <v/>
      </c>
      <c r="BM1435">
        <f>'19_Расчет_аналитики'!BL1434*'01_Вводные'!$B$14</f>
        <v/>
      </c>
      <c r="BN1435">
        <f>'19_Расчет_аналитики'!BM1434*'01_Вводные'!$B$14</f>
        <v/>
      </c>
      <c r="BO1435">
        <f>'19_Расчет_аналитики'!BN1434*'01_Вводные'!$B$14</f>
        <v/>
      </c>
    </row>
    <row r="1436">
      <c r="B1436">
        <f>'06_Сеть_и_дети'!B69</f>
        <v/>
      </c>
      <c r="C1436">
        <f>'06_Сеть_и_дети'!C69</f>
        <v/>
      </c>
      <c r="D1436">
        <f>'06_Сеть_и_дети'!D69</f>
        <v/>
      </c>
      <c r="E1436">
        <f>'06_Сеть_и_дети'!E69</f>
        <v/>
      </c>
      <c r="F1436">
        <f>'06_Сеть_и_дети'!F69</f>
        <v/>
      </c>
      <c r="G1436">
        <f>'06_Сеть_и_дети'!G69</f>
        <v/>
      </c>
      <c r="H1436">
        <f>'06_Сеть_и_дети'!H69</f>
        <v/>
      </c>
      <c r="I1436">
        <f>'06_Сеть_и_дети'!I69</f>
        <v/>
      </c>
      <c r="J1436">
        <f>'06_Сеть_и_дети'!J69</f>
        <v/>
      </c>
      <c r="K1436">
        <f>'06_Сеть_и_дети'!K69</f>
        <v/>
      </c>
      <c r="L1436">
        <f>'06_Сеть_и_дети'!L69</f>
        <v/>
      </c>
      <c r="M1436">
        <f>'06_Сеть_и_дети'!M69</f>
        <v/>
      </c>
      <c r="N1436">
        <f>'06_Сеть_и_дети'!N69</f>
        <v/>
      </c>
      <c r="O1436">
        <f>'06_Сеть_и_дети'!O69</f>
        <v/>
      </c>
      <c r="P1436">
        <f>'06_Сеть_и_дети'!P69</f>
        <v/>
      </c>
      <c r="Q1436">
        <f>'06_Сеть_и_дети'!Q69</f>
        <v/>
      </c>
      <c r="R1436">
        <f>'19_Расчет_аналитики'!Q1435*'01_Вводные'!$B$14</f>
        <v/>
      </c>
      <c r="S1436">
        <f>'19_Расчет_аналитики'!R1435*'01_Вводные'!$B$14</f>
        <v/>
      </c>
      <c r="T1436">
        <f>'19_Расчет_аналитики'!S1435*'01_Вводные'!$B$14</f>
        <v/>
      </c>
      <c r="U1436">
        <f>'19_Расчет_аналитики'!T1435*'01_Вводные'!$B$14</f>
        <v/>
      </c>
      <c r="V1436">
        <f>'19_Расчет_аналитики'!U1435*'01_Вводные'!$B$14</f>
        <v/>
      </c>
      <c r="W1436">
        <f>'19_Расчет_аналитики'!V1435*'01_Вводные'!$B$14</f>
        <v/>
      </c>
      <c r="X1436">
        <f>'19_Расчет_аналитики'!W1435*'01_Вводные'!$B$14</f>
        <v/>
      </c>
      <c r="Y1436">
        <f>'19_Расчет_аналитики'!X1435*'01_Вводные'!$B$14</f>
        <v/>
      </c>
      <c r="Z1436">
        <f>'19_Расчет_аналитики'!Y1435*'01_Вводные'!$B$14</f>
        <v/>
      </c>
      <c r="AA1436">
        <f>'19_Расчет_аналитики'!Z1435*'01_Вводные'!$B$14</f>
        <v/>
      </c>
      <c r="AB1436">
        <f>'19_Расчет_аналитики'!AA1435*'01_Вводные'!$B$14</f>
        <v/>
      </c>
      <c r="AC1436">
        <f>'19_Расчет_аналитики'!AB1435*'01_Вводные'!$B$14</f>
        <v/>
      </c>
      <c r="AD1436">
        <f>'19_Расчет_аналитики'!AC1435*'01_Вводные'!$B$14</f>
        <v/>
      </c>
      <c r="AE1436">
        <f>'19_Расчет_аналитики'!AD1435*'01_Вводные'!$B$14</f>
        <v/>
      </c>
      <c r="AF1436">
        <f>'19_Расчет_аналитики'!AE1435*'01_Вводные'!$B$14</f>
        <v/>
      </c>
      <c r="AG1436">
        <f>'19_Расчет_аналитики'!AF1435*'01_Вводные'!$B$14</f>
        <v/>
      </c>
      <c r="AH1436">
        <f>'19_Расчет_аналитики'!AG1435*'01_Вводные'!$B$14</f>
        <v/>
      </c>
      <c r="AI1436">
        <f>'19_Расчет_аналитики'!AH1435*'01_Вводные'!$B$14</f>
        <v/>
      </c>
      <c r="AJ1436">
        <f>'19_Расчет_аналитики'!AI1435*'01_Вводные'!$B$14</f>
        <v/>
      </c>
      <c r="AK1436">
        <f>'19_Расчет_аналитики'!AJ1435*'01_Вводные'!$B$14</f>
        <v/>
      </c>
      <c r="AL1436">
        <f>'19_Расчет_аналитики'!AK1435*'01_Вводные'!$B$14</f>
        <v/>
      </c>
      <c r="AM1436">
        <f>'19_Расчет_аналитики'!AL1435*'01_Вводные'!$B$14</f>
        <v/>
      </c>
      <c r="AN1436">
        <f>'19_Расчет_аналитики'!AM1435*'01_Вводные'!$B$14</f>
        <v/>
      </c>
      <c r="AO1436">
        <f>'19_Расчет_аналитики'!AN1435*'01_Вводные'!$B$14</f>
        <v/>
      </c>
      <c r="AP1436">
        <f>'19_Расчет_аналитики'!AO1435*'01_Вводные'!$B$14</f>
        <v/>
      </c>
      <c r="AQ1436">
        <f>'19_Расчет_аналитики'!AP1435*'01_Вводные'!$B$14</f>
        <v/>
      </c>
      <c r="AR1436">
        <f>'19_Расчет_аналитики'!AQ1435*'01_Вводные'!$B$14</f>
        <v/>
      </c>
      <c r="AS1436">
        <f>'19_Расчет_аналитики'!AR1435*'01_Вводные'!$B$14</f>
        <v/>
      </c>
      <c r="AT1436">
        <f>'19_Расчет_аналитики'!AS1435*'01_Вводные'!$B$14</f>
        <v/>
      </c>
      <c r="AU1436">
        <f>'19_Расчет_аналитики'!AT1435*'01_Вводные'!$B$14</f>
        <v/>
      </c>
      <c r="AV1436">
        <f>'19_Расчет_аналитики'!AU1435*'01_Вводные'!$B$14</f>
        <v/>
      </c>
      <c r="AW1436">
        <f>'19_Расчет_аналитики'!AV1435*'01_Вводные'!$B$14</f>
        <v/>
      </c>
      <c r="AX1436">
        <f>'19_Расчет_аналитики'!AW1435*'01_Вводные'!$B$14</f>
        <v/>
      </c>
      <c r="AY1436">
        <f>'19_Расчет_аналитики'!AX1435*'01_Вводные'!$B$14</f>
        <v/>
      </c>
      <c r="AZ1436">
        <f>'19_Расчет_аналитики'!AY1435*'01_Вводные'!$B$14</f>
        <v/>
      </c>
      <c r="BA1436">
        <f>'19_Расчет_аналитики'!AZ1435*'01_Вводные'!$B$14</f>
        <v/>
      </c>
      <c r="BB1436">
        <f>'19_Расчет_аналитики'!BA1435*'01_Вводные'!$B$14</f>
        <v/>
      </c>
      <c r="BC1436">
        <f>'19_Расчет_аналитики'!BB1435*'01_Вводные'!$B$14</f>
        <v/>
      </c>
      <c r="BD1436">
        <f>'19_Расчет_аналитики'!BC1435*'01_Вводные'!$B$14</f>
        <v/>
      </c>
      <c r="BE1436">
        <f>'19_Расчет_аналитики'!BD1435*'01_Вводные'!$B$14</f>
        <v/>
      </c>
      <c r="BF1436">
        <f>'19_Расчет_аналитики'!BE1435*'01_Вводные'!$B$14</f>
        <v/>
      </c>
      <c r="BG1436">
        <f>'19_Расчет_аналитики'!BF1435*'01_Вводные'!$B$14</f>
        <v/>
      </c>
      <c r="BH1436">
        <f>'19_Расчет_аналитики'!BG1435*'01_Вводные'!$B$14</f>
        <v/>
      </c>
      <c r="BI1436">
        <f>'19_Расчет_аналитики'!BH1435*'01_Вводные'!$B$14</f>
        <v/>
      </c>
      <c r="BJ1436">
        <f>'19_Расчет_аналитики'!BI1435*'01_Вводные'!$B$14</f>
        <v/>
      </c>
      <c r="BK1436">
        <f>'19_Расчет_аналитики'!BJ1435*'01_Вводные'!$B$14</f>
        <v/>
      </c>
      <c r="BL1436">
        <f>'19_Расчет_аналитики'!BK1435*'01_Вводные'!$B$14</f>
        <v/>
      </c>
      <c r="BM1436">
        <f>'19_Расчет_аналитики'!BL1435*'01_Вводные'!$B$14</f>
        <v/>
      </c>
      <c r="BN1436">
        <f>'19_Расчет_аналитики'!BM1435*'01_Вводные'!$B$14</f>
        <v/>
      </c>
      <c r="BO1436">
        <f>'19_Расчет_аналитики'!BN1435*'01_Вводные'!$B$14</f>
        <v/>
      </c>
    </row>
    <row r="1437">
      <c r="B1437">
        <f>'06_Сеть_и_дети'!B70</f>
        <v/>
      </c>
      <c r="C1437">
        <f>'06_Сеть_и_дети'!C70</f>
        <v/>
      </c>
      <c r="D1437">
        <f>'06_Сеть_и_дети'!D70</f>
        <v/>
      </c>
      <c r="E1437">
        <f>'06_Сеть_и_дети'!E70</f>
        <v/>
      </c>
      <c r="F1437">
        <f>'06_Сеть_и_дети'!F70</f>
        <v/>
      </c>
      <c r="G1437">
        <f>'06_Сеть_и_дети'!G70</f>
        <v/>
      </c>
      <c r="H1437">
        <f>'06_Сеть_и_дети'!H70</f>
        <v/>
      </c>
      <c r="I1437">
        <f>'06_Сеть_и_дети'!I70</f>
        <v/>
      </c>
      <c r="J1437">
        <f>'06_Сеть_и_дети'!J70</f>
        <v/>
      </c>
      <c r="K1437">
        <f>'06_Сеть_и_дети'!K70</f>
        <v/>
      </c>
      <c r="L1437">
        <f>'06_Сеть_и_дети'!L70</f>
        <v/>
      </c>
      <c r="M1437">
        <f>'06_Сеть_и_дети'!M70</f>
        <v/>
      </c>
      <c r="N1437">
        <f>'06_Сеть_и_дети'!N70</f>
        <v/>
      </c>
      <c r="O1437">
        <f>'06_Сеть_и_дети'!O70</f>
        <v/>
      </c>
      <c r="P1437">
        <f>'06_Сеть_и_дети'!P70</f>
        <v/>
      </c>
      <c r="Q1437">
        <f>'06_Сеть_и_дети'!Q70</f>
        <v/>
      </c>
      <c r="R1437">
        <f>'06_Сеть_и_дети'!R70</f>
        <v/>
      </c>
      <c r="S1437">
        <f>'19_Расчет_аналитики'!R1436*'01_Вводные'!$B$14</f>
        <v/>
      </c>
      <c r="T1437">
        <f>'19_Расчет_аналитики'!S1436*'01_Вводные'!$B$14</f>
        <v/>
      </c>
      <c r="U1437">
        <f>'19_Расчет_аналитики'!T1436*'01_Вводные'!$B$14</f>
        <v/>
      </c>
      <c r="V1437">
        <f>'19_Расчет_аналитики'!U1436*'01_Вводные'!$B$14</f>
        <v/>
      </c>
      <c r="W1437">
        <f>'19_Расчет_аналитики'!V1436*'01_Вводные'!$B$14</f>
        <v/>
      </c>
      <c r="X1437">
        <f>'19_Расчет_аналитики'!W1436*'01_Вводные'!$B$14</f>
        <v/>
      </c>
      <c r="Y1437">
        <f>'19_Расчет_аналитики'!X1436*'01_Вводные'!$B$14</f>
        <v/>
      </c>
      <c r="Z1437">
        <f>'19_Расчет_аналитики'!Y1436*'01_Вводные'!$B$14</f>
        <v/>
      </c>
      <c r="AA1437">
        <f>'19_Расчет_аналитики'!Z1436*'01_Вводные'!$B$14</f>
        <v/>
      </c>
      <c r="AB1437">
        <f>'19_Расчет_аналитики'!AA1436*'01_Вводные'!$B$14</f>
        <v/>
      </c>
      <c r="AC1437">
        <f>'19_Расчет_аналитики'!AB1436*'01_Вводные'!$B$14</f>
        <v/>
      </c>
      <c r="AD1437">
        <f>'19_Расчет_аналитики'!AC1436*'01_Вводные'!$B$14</f>
        <v/>
      </c>
      <c r="AE1437">
        <f>'19_Расчет_аналитики'!AD1436*'01_Вводные'!$B$14</f>
        <v/>
      </c>
      <c r="AF1437">
        <f>'19_Расчет_аналитики'!AE1436*'01_Вводные'!$B$14</f>
        <v/>
      </c>
      <c r="AG1437">
        <f>'19_Расчет_аналитики'!AF1436*'01_Вводные'!$B$14</f>
        <v/>
      </c>
      <c r="AH1437">
        <f>'19_Расчет_аналитики'!AG1436*'01_Вводные'!$B$14</f>
        <v/>
      </c>
      <c r="AI1437">
        <f>'19_Расчет_аналитики'!AH1436*'01_Вводные'!$B$14</f>
        <v/>
      </c>
      <c r="AJ1437">
        <f>'19_Расчет_аналитики'!AI1436*'01_Вводные'!$B$14</f>
        <v/>
      </c>
      <c r="AK1437">
        <f>'19_Расчет_аналитики'!AJ1436*'01_Вводные'!$B$14</f>
        <v/>
      </c>
      <c r="AL1437">
        <f>'19_Расчет_аналитики'!AK1436*'01_Вводные'!$B$14</f>
        <v/>
      </c>
      <c r="AM1437">
        <f>'19_Расчет_аналитики'!AL1436*'01_Вводные'!$B$14</f>
        <v/>
      </c>
      <c r="AN1437">
        <f>'19_Расчет_аналитики'!AM1436*'01_Вводные'!$B$14</f>
        <v/>
      </c>
      <c r="AO1437">
        <f>'19_Расчет_аналитики'!AN1436*'01_Вводные'!$B$14</f>
        <v/>
      </c>
      <c r="AP1437">
        <f>'19_Расчет_аналитики'!AO1436*'01_Вводные'!$B$14</f>
        <v/>
      </c>
      <c r="AQ1437">
        <f>'19_Расчет_аналитики'!AP1436*'01_Вводные'!$B$14</f>
        <v/>
      </c>
      <c r="AR1437">
        <f>'19_Расчет_аналитики'!AQ1436*'01_Вводные'!$B$14</f>
        <v/>
      </c>
      <c r="AS1437">
        <f>'19_Расчет_аналитики'!AR1436*'01_Вводные'!$B$14</f>
        <v/>
      </c>
      <c r="AT1437">
        <f>'19_Расчет_аналитики'!AS1436*'01_Вводные'!$B$14</f>
        <v/>
      </c>
      <c r="AU1437">
        <f>'19_Расчет_аналитики'!AT1436*'01_Вводные'!$B$14</f>
        <v/>
      </c>
      <c r="AV1437">
        <f>'19_Расчет_аналитики'!AU1436*'01_Вводные'!$B$14</f>
        <v/>
      </c>
      <c r="AW1437">
        <f>'19_Расчет_аналитики'!AV1436*'01_Вводные'!$B$14</f>
        <v/>
      </c>
      <c r="AX1437">
        <f>'19_Расчет_аналитики'!AW1436*'01_Вводные'!$B$14</f>
        <v/>
      </c>
      <c r="AY1437">
        <f>'19_Расчет_аналитики'!AX1436*'01_Вводные'!$B$14</f>
        <v/>
      </c>
      <c r="AZ1437">
        <f>'19_Расчет_аналитики'!AY1436*'01_Вводные'!$B$14</f>
        <v/>
      </c>
      <c r="BA1437">
        <f>'19_Расчет_аналитики'!AZ1436*'01_Вводные'!$B$14</f>
        <v/>
      </c>
      <c r="BB1437">
        <f>'19_Расчет_аналитики'!BA1436*'01_Вводные'!$B$14</f>
        <v/>
      </c>
      <c r="BC1437">
        <f>'19_Расчет_аналитики'!BB1436*'01_Вводные'!$B$14</f>
        <v/>
      </c>
      <c r="BD1437">
        <f>'19_Расчет_аналитики'!BC1436*'01_Вводные'!$B$14</f>
        <v/>
      </c>
      <c r="BE1437">
        <f>'19_Расчет_аналитики'!BD1436*'01_Вводные'!$B$14</f>
        <v/>
      </c>
      <c r="BF1437">
        <f>'19_Расчет_аналитики'!BE1436*'01_Вводные'!$B$14</f>
        <v/>
      </c>
      <c r="BG1437">
        <f>'19_Расчет_аналитики'!BF1436*'01_Вводные'!$B$14</f>
        <v/>
      </c>
      <c r="BH1437">
        <f>'19_Расчет_аналитики'!BG1436*'01_Вводные'!$B$14</f>
        <v/>
      </c>
      <c r="BI1437">
        <f>'19_Расчет_аналитики'!BH1436*'01_Вводные'!$B$14</f>
        <v/>
      </c>
      <c r="BJ1437">
        <f>'19_Расчет_аналитики'!BI1436*'01_Вводные'!$B$14</f>
        <v/>
      </c>
      <c r="BK1437">
        <f>'19_Расчет_аналитики'!BJ1436*'01_Вводные'!$B$14</f>
        <v/>
      </c>
      <c r="BL1437">
        <f>'19_Расчет_аналитики'!BK1436*'01_Вводные'!$B$14</f>
        <v/>
      </c>
      <c r="BM1437">
        <f>'19_Расчет_аналитики'!BL1436*'01_Вводные'!$B$14</f>
        <v/>
      </c>
      <c r="BN1437">
        <f>'19_Расчет_аналитики'!BM1436*'01_Вводные'!$B$14</f>
        <v/>
      </c>
      <c r="BO1437">
        <f>'19_Расчет_аналитики'!BN1436*'01_Вводные'!$B$14</f>
        <v/>
      </c>
    </row>
    <row r="1438">
      <c r="B1438">
        <f>'06_Сеть_и_дети'!B71</f>
        <v/>
      </c>
      <c r="C1438">
        <f>'06_Сеть_и_дети'!C71</f>
        <v/>
      </c>
      <c r="D1438">
        <f>'06_Сеть_и_дети'!D71</f>
        <v/>
      </c>
      <c r="E1438">
        <f>'06_Сеть_и_дети'!E71</f>
        <v/>
      </c>
      <c r="F1438">
        <f>'06_Сеть_и_дети'!F71</f>
        <v/>
      </c>
      <c r="G1438">
        <f>'06_Сеть_и_дети'!G71</f>
        <v/>
      </c>
      <c r="H1438">
        <f>'06_Сеть_и_дети'!H71</f>
        <v/>
      </c>
      <c r="I1438">
        <f>'06_Сеть_и_дети'!I71</f>
        <v/>
      </c>
      <c r="J1438">
        <f>'06_Сеть_и_дети'!J71</f>
        <v/>
      </c>
      <c r="K1438">
        <f>'06_Сеть_и_дети'!K71</f>
        <v/>
      </c>
      <c r="L1438">
        <f>'06_Сеть_и_дети'!L71</f>
        <v/>
      </c>
      <c r="M1438">
        <f>'06_Сеть_и_дети'!M71</f>
        <v/>
      </c>
      <c r="N1438">
        <f>'06_Сеть_и_дети'!N71</f>
        <v/>
      </c>
      <c r="O1438">
        <f>'06_Сеть_и_дети'!O71</f>
        <v/>
      </c>
      <c r="P1438">
        <f>'06_Сеть_и_дети'!P71</f>
        <v/>
      </c>
      <c r="Q1438">
        <f>'06_Сеть_и_дети'!Q71</f>
        <v/>
      </c>
      <c r="R1438">
        <f>'06_Сеть_и_дети'!R71</f>
        <v/>
      </c>
      <c r="S1438">
        <f>'06_Сеть_и_дети'!S71</f>
        <v/>
      </c>
      <c r="T1438">
        <f>'19_Расчет_аналитики'!S1437*'01_Вводные'!$B$14</f>
        <v/>
      </c>
      <c r="U1438">
        <f>'19_Расчет_аналитики'!T1437*'01_Вводные'!$B$14</f>
        <v/>
      </c>
      <c r="V1438">
        <f>'19_Расчет_аналитики'!U1437*'01_Вводные'!$B$14</f>
        <v/>
      </c>
      <c r="W1438">
        <f>'19_Расчет_аналитики'!V1437*'01_Вводные'!$B$14</f>
        <v/>
      </c>
      <c r="X1438">
        <f>'19_Расчет_аналитики'!W1437*'01_Вводные'!$B$14</f>
        <v/>
      </c>
      <c r="Y1438">
        <f>'19_Расчет_аналитики'!X1437*'01_Вводные'!$B$14</f>
        <v/>
      </c>
      <c r="Z1438">
        <f>'19_Расчет_аналитики'!Y1437*'01_Вводные'!$B$14</f>
        <v/>
      </c>
      <c r="AA1438">
        <f>'19_Расчет_аналитики'!Z1437*'01_Вводные'!$B$14</f>
        <v/>
      </c>
      <c r="AB1438">
        <f>'19_Расчет_аналитики'!AA1437*'01_Вводные'!$B$14</f>
        <v/>
      </c>
      <c r="AC1438">
        <f>'19_Расчет_аналитики'!AB1437*'01_Вводные'!$B$14</f>
        <v/>
      </c>
      <c r="AD1438">
        <f>'19_Расчет_аналитики'!AC1437*'01_Вводные'!$B$14</f>
        <v/>
      </c>
      <c r="AE1438">
        <f>'19_Расчет_аналитики'!AD1437*'01_Вводные'!$B$14</f>
        <v/>
      </c>
      <c r="AF1438">
        <f>'19_Расчет_аналитики'!AE1437*'01_Вводные'!$B$14</f>
        <v/>
      </c>
      <c r="AG1438">
        <f>'19_Расчет_аналитики'!AF1437*'01_Вводные'!$B$14</f>
        <v/>
      </c>
      <c r="AH1438">
        <f>'19_Расчет_аналитики'!AG1437*'01_Вводные'!$B$14</f>
        <v/>
      </c>
      <c r="AI1438">
        <f>'19_Расчет_аналитики'!AH1437*'01_Вводные'!$B$14</f>
        <v/>
      </c>
      <c r="AJ1438">
        <f>'19_Расчет_аналитики'!AI1437*'01_Вводные'!$B$14</f>
        <v/>
      </c>
      <c r="AK1438">
        <f>'19_Расчет_аналитики'!AJ1437*'01_Вводные'!$B$14</f>
        <v/>
      </c>
      <c r="AL1438">
        <f>'19_Расчет_аналитики'!AK1437*'01_Вводные'!$B$14</f>
        <v/>
      </c>
      <c r="AM1438">
        <f>'19_Расчет_аналитики'!AL1437*'01_Вводные'!$B$14</f>
        <v/>
      </c>
      <c r="AN1438">
        <f>'19_Расчет_аналитики'!AM1437*'01_Вводные'!$B$14</f>
        <v/>
      </c>
      <c r="AO1438">
        <f>'19_Расчет_аналитики'!AN1437*'01_Вводные'!$B$14</f>
        <v/>
      </c>
      <c r="AP1438">
        <f>'19_Расчет_аналитики'!AO1437*'01_Вводные'!$B$14</f>
        <v/>
      </c>
      <c r="AQ1438">
        <f>'19_Расчет_аналитики'!AP1437*'01_Вводные'!$B$14</f>
        <v/>
      </c>
      <c r="AR1438">
        <f>'19_Расчет_аналитики'!AQ1437*'01_Вводные'!$B$14</f>
        <v/>
      </c>
      <c r="AS1438">
        <f>'19_Расчет_аналитики'!AR1437*'01_Вводные'!$B$14</f>
        <v/>
      </c>
      <c r="AT1438">
        <f>'19_Расчет_аналитики'!AS1437*'01_Вводные'!$B$14</f>
        <v/>
      </c>
      <c r="AU1438">
        <f>'19_Расчет_аналитики'!AT1437*'01_Вводные'!$B$14</f>
        <v/>
      </c>
      <c r="AV1438">
        <f>'19_Расчет_аналитики'!AU1437*'01_Вводные'!$B$14</f>
        <v/>
      </c>
      <c r="AW1438">
        <f>'19_Расчет_аналитики'!AV1437*'01_Вводные'!$B$14</f>
        <v/>
      </c>
      <c r="AX1438">
        <f>'19_Расчет_аналитики'!AW1437*'01_Вводные'!$B$14</f>
        <v/>
      </c>
      <c r="AY1438">
        <f>'19_Расчет_аналитики'!AX1437*'01_Вводные'!$B$14</f>
        <v/>
      </c>
      <c r="AZ1438">
        <f>'19_Расчет_аналитики'!AY1437*'01_Вводные'!$B$14</f>
        <v/>
      </c>
      <c r="BA1438">
        <f>'19_Расчет_аналитики'!AZ1437*'01_Вводные'!$B$14</f>
        <v/>
      </c>
      <c r="BB1438">
        <f>'19_Расчет_аналитики'!BA1437*'01_Вводные'!$B$14</f>
        <v/>
      </c>
      <c r="BC1438">
        <f>'19_Расчет_аналитики'!BB1437*'01_Вводные'!$B$14</f>
        <v/>
      </c>
      <c r="BD1438">
        <f>'19_Расчет_аналитики'!BC1437*'01_Вводные'!$B$14</f>
        <v/>
      </c>
      <c r="BE1438">
        <f>'19_Расчет_аналитики'!BD1437*'01_Вводные'!$B$14</f>
        <v/>
      </c>
      <c r="BF1438">
        <f>'19_Расчет_аналитики'!BE1437*'01_Вводные'!$B$14</f>
        <v/>
      </c>
      <c r="BG1438">
        <f>'19_Расчет_аналитики'!BF1437*'01_Вводные'!$B$14</f>
        <v/>
      </c>
      <c r="BH1438">
        <f>'19_Расчет_аналитики'!BG1437*'01_Вводные'!$B$14</f>
        <v/>
      </c>
      <c r="BI1438">
        <f>'19_Расчет_аналитики'!BH1437*'01_Вводные'!$B$14</f>
        <v/>
      </c>
      <c r="BJ1438">
        <f>'19_Расчет_аналитики'!BI1437*'01_Вводные'!$B$14</f>
        <v/>
      </c>
      <c r="BK1438">
        <f>'19_Расчет_аналитики'!BJ1437*'01_Вводные'!$B$14</f>
        <v/>
      </c>
      <c r="BL1438">
        <f>'19_Расчет_аналитики'!BK1437*'01_Вводные'!$B$14</f>
        <v/>
      </c>
      <c r="BM1438">
        <f>'19_Расчет_аналитики'!BL1437*'01_Вводные'!$B$14</f>
        <v/>
      </c>
      <c r="BN1438">
        <f>'19_Расчет_аналитики'!BM1437*'01_Вводные'!$B$14</f>
        <v/>
      </c>
      <c r="BO1438">
        <f>'19_Расчет_аналитики'!BN1437*'01_Вводные'!$B$14</f>
        <v/>
      </c>
    </row>
    <row r="1439">
      <c r="B1439">
        <f>'06_Сеть_и_дети'!B72</f>
        <v/>
      </c>
      <c r="C1439">
        <f>'06_Сеть_и_дети'!C72</f>
        <v/>
      </c>
      <c r="D1439">
        <f>'06_Сеть_и_дети'!D72</f>
        <v/>
      </c>
      <c r="E1439">
        <f>'06_Сеть_и_дети'!E72</f>
        <v/>
      </c>
      <c r="F1439">
        <f>'06_Сеть_и_дети'!F72</f>
        <v/>
      </c>
      <c r="G1439">
        <f>'06_Сеть_и_дети'!G72</f>
        <v/>
      </c>
      <c r="H1439">
        <f>'06_Сеть_и_дети'!H72</f>
        <v/>
      </c>
      <c r="I1439">
        <f>'06_Сеть_и_дети'!I72</f>
        <v/>
      </c>
      <c r="J1439">
        <f>'06_Сеть_и_дети'!J72</f>
        <v/>
      </c>
      <c r="K1439">
        <f>'06_Сеть_и_дети'!K72</f>
        <v/>
      </c>
      <c r="L1439">
        <f>'06_Сеть_и_дети'!L72</f>
        <v/>
      </c>
      <c r="M1439">
        <f>'06_Сеть_и_дети'!M72</f>
        <v/>
      </c>
      <c r="N1439">
        <f>'06_Сеть_и_дети'!N72</f>
        <v/>
      </c>
      <c r="O1439">
        <f>'06_Сеть_и_дети'!O72</f>
        <v/>
      </c>
      <c r="P1439">
        <f>'06_Сеть_и_дети'!P72</f>
        <v/>
      </c>
      <c r="Q1439">
        <f>'06_Сеть_и_дети'!Q72</f>
        <v/>
      </c>
      <c r="R1439">
        <f>'06_Сеть_и_дети'!R72</f>
        <v/>
      </c>
      <c r="S1439">
        <f>'06_Сеть_и_дети'!S72</f>
        <v/>
      </c>
      <c r="T1439">
        <f>'06_Сеть_и_дети'!T72</f>
        <v/>
      </c>
      <c r="U1439">
        <f>'19_Расчет_аналитики'!T1438*'01_Вводные'!$B$14</f>
        <v/>
      </c>
      <c r="V1439">
        <f>'19_Расчет_аналитики'!U1438*'01_Вводные'!$B$14</f>
        <v/>
      </c>
      <c r="W1439">
        <f>'19_Расчет_аналитики'!V1438*'01_Вводные'!$B$14</f>
        <v/>
      </c>
      <c r="X1439">
        <f>'19_Расчет_аналитики'!W1438*'01_Вводные'!$B$14</f>
        <v/>
      </c>
      <c r="Y1439">
        <f>'19_Расчет_аналитики'!X1438*'01_Вводные'!$B$14</f>
        <v/>
      </c>
      <c r="Z1439">
        <f>'19_Расчет_аналитики'!Y1438*'01_Вводные'!$B$14</f>
        <v/>
      </c>
      <c r="AA1439">
        <f>'19_Расчет_аналитики'!Z1438*'01_Вводные'!$B$14</f>
        <v/>
      </c>
      <c r="AB1439">
        <f>'19_Расчет_аналитики'!AA1438*'01_Вводные'!$B$14</f>
        <v/>
      </c>
      <c r="AC1439">
        <f>'19_Расчет_аналитики'!AB1438*'01_Вводные'!$B$14</f>
        <v/>
      </c>
      <c r="AD1439">
        <f>'19_Расчет_аналитики'!AC1438*'01_Вводные'!$B$14</f>
        <v/>
      </c>
      <c r="AE1439">
        <f>'19_Расчет_аналитики'!AD1438*'01_Вводные'!$B$14</f>
        <v/>
      </c>
      <c r="AF1439">
        <f>'19_Расчет_аналитики'!AE1438*'01_Вводные'!$B$14</f>
        <v/>
      </c>
      <c r="AG1439">
        <f>'19_Расчет_аналитики'!AF1438*'01_Вводные'!$B$14</f>
        <v/>
      </c>
      <c r="AH1439">
        <f>'19_Расчет_аналитики'!AG1438*'01_Вводные'!$B$14</f>
        <v/>
      </c>
      <c r="AI1439">
        <f>'19_Расчет_аналитики'!AH1438*'01_Вводные'!$B$14</f>
        <v/>
      </c>
      <c r="AJ1439">
        <f>'19_Расчет_аналитики'!AI1438*'01_Вводные'!$B$14</f>
        <v/>
      </c>
      <c r="AK1439">
        <f>'19_Расчет_аналитики'!AJ1438*'01_Вводные'!$B$14</f>
        <v/>
      </c>
      <c r="AL1439">
        <f>'19_Расчет_аналитики'!AK1438*'01_Вводные'!$B$14</f>
        <v/>
      </c>
      <c r="AM1439">
        <f>'19_Расчет_аналитики'!AL1438*'01_Вводные'!$B$14</f>
        <v/>
      </c>
      <c r="AN1439">
        <f>'19_Расчет_аналитики'!AM1438*'01_Вводные'!$B$14</f>
        <v/>
      </c>
      <c r="AO1439">
        <f>'19_Расчет_аналитики'!AN1438*'01_Вводные'!$B$14</f>
        <v/>
      </c>
      <c r="AP1439">
        <f>'19_Расчет_аналитики'!AO1438*'01_Вводные'!$B$14</f>
        <v/>
      </c>
      <c r="AQ1439">
        <f>'19_Расчет_аналитики'!AP1438*'01_Вводные'!$B$14</f>
        <v/>
      </c>
      <c r="AR1439">
        <f>'19_Расчет_аналитики'!AQ1438*'01_Вводные'!$B$14</f>
        <v/>
      </c>
      <c r="AS1439">
        <f>'19_Расчет_аналитики'!AR1438*'01_Вводные'!$B$14</f>
        <v/>
      </c>
      <c r="AT1439">
        <f>'19_Расчет_аналитики'!AS1438*'01_Вводные'!$B$14</f>
        <v/>
      </c>
      <c r="AU1439">
        <f>'19_Расчет_аналитики'!AT1438*'01_Вводные'!$B$14</f>
        <v/>
      </c>
      <c r="AV1439">
        <f>'19_Расчет_аналитики'!AU1438*'01_Вводные'!$B$14</f>
        <v/>
      </c>
      <c r="AW1439">
        <f>'19_Расчет_аналитики'!AV1438*'01_Вводные'!$B$14</f>
        <v/>
      </c>
      <c r="AX1439">
        <f>'19_Расчет_аналитики'!AW1438*'01_Вводные'!$B$14</f>
        <v/>
      </c>
      <c r="AY1439">
        <f>'19_Расчет_аналитики'!AX1438*'01_Вводные'!$B$14</f>
        <v/>
      </c>
      <c r="AZ1439">
        <f>'19_Расчет_аналитики'!AY1438*'01_Вводные'!$B$14</f>
        <v/>
      </c>
      <c r="BA1439">
        <f>'19_Расчет_аналитики'!AZ1438*'01_Вводные'!$B$14</f>
        <v/>
      </c>
      <c r="BB1439">
        <f>'19_Расчет_аналитики'!BA1438*'01_Вводные'!$B$14</f>
        <v/>
      </c>
      <c r="BC1439">
        <f>'19_Расчет_аналитики'!BB1438*'01_Вводные'!$B$14</f>
        <v/>
      </c>
      <c r="BD1439">
        <f>'19_Расчет_аналитики'!BC1438*'01_Вводные'!$B$14</f>
        <v/>
      </c>
      <c r="BE1439">
        <f>'19_Расчет_аналитики'!BD1438*'01_Вводные'!$B$14</f>
        <v/>
      </c>
      <c r="BF1439">
        <f>'19_Расчет_аналитики'!BE1438*'01_Вводные'!$B$14</f>
        <v/>
      </c>
      <c r="BG1439">
        <f>'19_Расчет_аналитики'!BF1438*'01_Вводные'!$B$14</f>
        <v/>
      </c>
      <c r="BH1439">
        <f>'19_Расчет_аналитики'!BG1438*'01_Вводные'!$B$14</f>
        <v/>
      </c>
      <c r="BI1439">
        <f>'19_Расчет_аналитики'!BH1438*'01_Вводные'!$B$14</f>
        <v/>
      </c>
      <c r="BJ1439">
        <f>'19_Расчет_аналитики'!BI1438*'01_Вводные'!$B$14</f>
        <v/>
      </c>
      <c r="BK1439">
        <f>'19_Расчет_аналитики'!BJ1438*'01_Вводные'!$B$14</f>
        <v/>
      </c>
      <c r="BL1439">
        <f>'19_Расчет_аналитики'!BK1438*'01_Вводные'!$B$14</f>
        <v/>
      </c>
      <c r="BM1439">
        <f>'19_Расчет_аналитики'!BL1438*'01_Вводные'!$B$14</f>
        <v/>
      </c>
      <c r="BN1439">
        <f>'19_Расчет_аналитики'!BM1438*'01_Вводные'!$B$14</f>
        <v/>
      </c>
      <c r="BO1439">
        <f>'19_Расчет_аналитики'!BN1438*'01_Вводные'!$B$14</f>
        <v/>
      </c>
    </row>
    <row r="1440">
      <c r="B1440">
        <f>'06_Сеть_и_дети'!B73</f>
        <v/>
      </c>
      <c r="C1440">
        <f>'06_Сеть_и_дети'!C73</f>
        <v/>
      </c>
      <c r="D1440">
        <f>'06_Сеть_и_дети'!D73</f>
        <v/>
      </c>
      <c r="E1440">
        <f>'06_Сеть_и_дети'!E73</f>
        <v/>
      </c>
      <c r="F1440">
        <f>'06_Сеть_и_дети'!F73</f>
        <v/>
      </c>
      <c r="G1440">
        <f>'06_Сеть_и_дети'!G73</f>
        <v/>
      </c>
      <c r="H1440">
        <f>'06_Сеть_и_дети'!H73</f>
        <v/>
      </c>
      <c r="I1440">
        <f>'06_Сеть_и_дети'!I73</f>
        <v/>
      </c>
      <c r="J1440">
        <f>'06_Сеть_и_дети'!J73</f>
        <v/>
      </c>
      <c r="K1440">
        <f>'06_Сеть_и_дети'!K73</f>
        <v/>
      </c>
      <c r="L1440">
        <f>'06_Сеть_и_дети'!L73</f>
        <v/>
      </c>
      <c r="M1440">
        <f>'06_Сеть_и_дети'!M73</f>
        <v/>
      </c>
      <c r="N1440">
        <f>'06_Сеть_и_дети'!N73</f>
        <v/>
      </c>
      <c r="O1440">
        <f>'06_Сеть_и_дети'!O73</f>
        <v/>
      </c>
      <c r="P1440">
        <f>'06_Сеть_и_дети'!P73</f>
        <v/>
      </c>
      <c r="Q1440">
        <f>'06_Сеть_и_дети'!Q73</f>
        <v/>
      </c>
      <c r="R1440">
        <f>'06_Сеть_и_дети'!R73</f>
        <v/>
      </c>
      <c r="S1440">
        <f>'06_Сеть_и_дети'!S73</f>
        <v/>
      </c>
      <c r="T1440">
        <f>'06_Сеть_и_дети'!T73</f>
        <v/>
      </c>
      <c r="U1440">
        <f>'06_Сеть_и_дети'!U73</f>
        <v/>
      </c>
      <c r="V1440">
        <f>'19_Расчет_аналитики'!U1439*'01_Вводные'!$B$14</f>
        <v/>
      </c>
      <c r="W1440">
        <f>'19_Расчет_аналитики'!V1439*'01_Вводные'!$B$14</f>
        <v/>
      </c>
      <c r="X1440">
        <f>'19_Расчет_аналитики'!W1439*'01_Вводные'!$B$14</f>
        <v/>
      </c>
      <c r="Y1440">
        <f>'19_Расчет_аналитики'!X1439*'01_Вводные'!$B$14</f>
        <v/>
      </c>
      <c r="Z1440">
        <f>'19_Расчет_аналитики'!Y1439*'01_Вводные'!$B$14</f>
        <v/>
      </c>
      <c r="AA1440">
        <f>'19_Расчет_аналитики'!Z1439*'01_Вводные'!$B$14</f>
        <v/>
      </c>
      <c r="AB1440">
        <f>'19_Расчет_аналитики'!AA1439*'01_Вводные'!$B$14</f>
        <v/>
      </c>
      <c r="AC1440">
        <f>'19_Расчет_аналитики'!AB1439*'01_Вводные'!$B$14</f>
        <v/>
      </c>
      <c r="AD1440">
        <f>'19_Расчет_аналитики'!AC1439*'01_Вводные'!$B$14</f>
        <v/>
      </c>
      <c r="AE1440">
        <f>'19_Расчет_аналитики'!AD1439*'01_Вводные'!$B$14</f>
        <v/>
      </c>
      <c r="AF1440">
        <f>'19_Расчет_аналитики'!AE1439*'01_Вводные'!$B$14</f>
        <v/>
      </c>
      <c r="AG1440">
        <f>'19_Расчет_аналитики'!AF1439*'01_Вводные'!$B$14</f>
        <v/>
      </c>
      <c r="AH1440">
        <f>'19_Расчет_аналитики'!AG1439*'01_Вводные'!$B$14</f>
        <v/>
      </c>
      <c r="AI1440">
        <f>'19_Расчет_аналитики'!AH1439*'01_Вводные'!$B$14</f>
        <v/>
      </c>
      <c r="AJ1440">
        <f>'19_Расчет_аналитики'!AI1439*'01_Вводные'!$B$14</f>
        <v/>
      </c>
      <c r="AK1440">
        <f>'19_Расчет_аналитики'!AJ1439*'01_Вводные'!$B$14</f>
        <v/>
      </c>
      <c r="AL1440">
        <f>'19_Расчет_аналитики'!AK1439*'01_Вводные'!$B$14</f>
        <v/>
      </c>
      <c r="AM1440">
        <f>'19_Расчет_аналитики'!AL1439*'01_Вводные'!$B$14</f>
        <v/>
      </c>
      <c r="AN1440">
        <f>'19_Расчет_аналитики'!AM1439*'01_Вводные'!$B$14</f>
        <v/>
      </c>
      <c r="AO1440">
        <f>'19_Расчет_аналитики'!AN1439*'01_Вводные'!$B$14</f>
        <v/>
      </c>
      <c r="AP1440">
        <f>'19_Расчет_аналитики'!AO1439*'01_Вводные'!$B$14</f>
        <v/>
      </c>
      <c r="AQ1440">
        <f>'19_Расчет_аналитики'!AP1439*'01_Вводные'!$B$14</f>
        <v/>
      </c>
      <c r="AR1440">
        <f>'19_Расчет_аналитики'!AQ1439*'01_Вводные'!$B$14</f>
        <v/>
      </c>
      <c r="AS1440">
        <f>'19_Расчет_аналитики'!AR1439*'01_Вводные'!$B$14</f>
        <v/>
      </c>
      <c r="AT1440">
        <f>'19_Расчет_аналитики'!AS1439*'01_Вводные'!$B$14</f>
        <v/>
      </c>
      <c r="AU1440">
        <f>'19_Расчет_аналитики'!AT1439*'01_Вводные'!$B$14</f>
        <v/>
      </c>
      <c r="AV1440">
        <f>'19_Расчет_аналитики'!AU1439*'01_Вводные'!$B$14</f>
        <v/>
      </c>
      <c r="AW1440">
        <f>'19_Расчет_аналитики'!AV1439*'01_Вводные'!$B$14</f>
        <v/>
      </c>
      <c r="AX1440">
        <f>'19_Расчет_аналитики'!AW1439*'01_Вводные'!$B$14</f>
        <v/>
      </c>
      <c r="AY1440">
        <f>'19_Расчет_аналитики'!AX1439*'01_Вводные'!$B$14</f>
        <v/>
      </c>
      <c r="AZ1440">
        <f>'19_Расчет_аналитики'!AY1439*'01_Вводные'!$B$14</f>
        <v/>
      </c>
      <c r="BA1440">
        <f>'19_Расчет_аналитики'!AZ1439*'01_Вводные'!$B$14</f>
        <v/>
      </c>
      <c r="BB1440">
        <f>'19_Расчет_аналитики'!BA1439*'01_Вводные'!$B$14</f>
        <v/>
      </c>
      <c r="BC1440">
        <f>'19_Расчет_аналитики'!BB1439*'01_Вводные'!$B$14</f>
        <v/>
      </c>
      <c r="BD1440">
        <f>'19_Расчет_аналитики'!BC1439*'01_Вводные'!$B$14</f>
        <v/>
      </c>
      <c r="BE1440">
        <f>'19_Расчет_аналитики'!BD1439*'01_Вводные'!$B$14</f>
        <v/>
      </c>
      <c r="BF1440">
        <f>'19_Расчет_аналитики'!BE1439*'01_Вводные'!$B$14</f>
        <v/>
      </c>
      <c r="BG1440">
        <f>'19_Расчет_аналитики'!BF1439*'01_Вводные'!$B$14</f>
        <v/>
      </c>
      <c r="BH1440">
        <f>'19_Расчет_аналитики'!BG1439*'01_Вводные'!$B$14</f>
        <v/>
      </c>
      <c r="BI1440">
        <f>'19_Расчет_аналитики'!BH1439*'01_Вводные'!$B$14</f>
        <v/>
      </c>
      <c r="BJ1440">
        <f>'19_Расчет_аналитики'!BI1439*'01_Вводные'!$B$14</f>
        <v/>
      </c>
      <c r="BK1440">
        <f>'19_Расчет_аналитики'!BJ1439*'01_Вводные'!$B$14</f>
        <v/>
      </c>
      <c r="BL1440">
        <f>'19_Расчет_аналитики'!BK1439*'01_Вводные'!$B$14</f>
        <v/>
      </c>
      <c r="BM1440">
        <f>'19_Расчет_аналитики'!BL1439*'01_Вводные'!$B$14</f>
        <v/>
      </c>
      <c r="BN1440">
        <f>'19_Расчет_аналитики'!BM1439*'01_Вводные'!$B$14</f>
        <v/>
      </c>
      <c r="BO1440">
        <f>'19_Расчет_аналитики'!BN1439*'01_Вводные'!$B$14</f>
        <v/>
      </c>
    </row>
    <row r="1441">
      <c r="B1441">
        <f>'06_Сеть_и_дети'!B74</f>
        <v/>
      </c>
      <c r="C1441">
        <f>'06_Сеть_и_дети'!C74</f>
        <v/>
      </c>
      <c r="D1441">
        <f>'06_Сеть_и_дети'!D74</f>
        <v/>
      </c>
      <c r="E1441">
        <f>'06_Сеть_и_дети'!E74</f>
        <v/>
      </c>
      <c r="F1441">
        <f>'06_Сеть_и_дети'!F74</f>
        <v/>
      </c>
      <c r="G1441">
        <f>'06_Сеть_и_дети'!G74</f>
        <v/>
      </c>
      <c r="H1441">
        <f>'06_Сеть_и_дети'!H74</f>
        <v/>
      </c>
      <c r="I1441">
        <f>'06_Сеть_и_дети'!I74</f>
        <v/>
      </c>
      <c r="J1441">
        <f>'06_Сеть_и_дети'!J74</f>
        <v/>
      </c>
      <c r="K1441">
        <f>'06_Сеть_и_дети'!K74</f>
        <v/>
      </c>
      <c r="L1441">
        <f>'06_Сеть_и_дети'!L74</f>
        <v/>
      </c>
      <c r="M1441">
        <f>'06_Сеть_и_дети'!M74</f>
        <v/>
      </c>
      <c r="N1441">
        <f>'06_Сеть_и_дети'!N74</f>
        <v/>
      </c>
      <c r="O1441">
        <f>'06_Сеть_и_дети'!O74</f>
        <v/>
      </c>
      <c r="P1441">
        <f>'06_Сеть_и_дети'!P74</f>
        <v/>
      </c>
      <c r="Q1441">
        <f>'06_Сеть_и_дети'!Q74</f>
        <v/>
      </c>
      <c r="R1441">
        <f>'06_Сеть_и_дети'!R74</f>
        <v/>
      </c>
      <c r="S1441">
        <f>'06_Сеть_и_дети'!S74</f>
        <v/>
      </c>
      <c r="T1441">
        <f>'06_Сеть_и_дети'!T74</f>
        <v/>
      </c>
      <c r="U1441">
        <f>'06_Сеть_и_дети'!U74</f>
        <v/>
      </c>
      <c r="V1441">
        <f>'06_Сеть_и_дети'!V74</f>
        <v/>
      </c>
      <c r="W1441">
        <f>'19_Расчет_аналитики'!V1440*'01_Вводные'!$B$14</f>
        <v/>
      </c>
      <c r="X1441">
        <f>'19_Расчет_аналитики'!W1440*'01_Вводные'!$B$14</f>
        <v/>
      </c>
      <c r="Y1441">
        <f>'19_Расчет_аналитики'!X1440*'01_Вводные'!$B$14</f>
        <v/>
      </c>
      <c r="Z1441">
        <f>'19_Расчет_аналитики'!Y1440*'01_Вводные'!$B$14</f>
        <v/>
      </c>
      <c r="AA1441">
        <f>'19_Расчет_аналитики'!Z1440*'01_Вводные'!$B$14</f>
        <v/>
      </c>
      <c r="AB1441">
        <f>'19_Расчет_аналитики'!AA1440*'01_Вводные'!$B$14</f>
        <v/>
      </c>
      <c r="AC1441">
        <f>'19_Расчет_аналитики'!AB1440*'01_Вводные'!$B$14</f>
        <v/>
      </c>
      <c r="AD1441">
        <f>'19_Расчет_аналитики'!AC1440*'01_Вводные'!$B$14</f>
        <v/>
      </c>
      <c r="AE1441">
        <f>'19_Расчет_аналитики'!AD1440*'01_Вводные'!$B$14</f>
        <v/>
      </c>
      <c r="AF1441">
        <f>'19_Расчет_аналитики'!AE1440*'01_Вводные'!$B$14</f>
        <v/>
      </c>
      <c r="AG1441">
        <f>'19_Расчет_аналитики'!AF1440*'01_Вводные'!$B$14</f>
        <v/>
      </c>
      <c r="AH1441">
        <f>'19_Расчет_аналитики'!AG1440*'01_Вводные'!$B$14</f>
        <v/>
      </c>
      <c r="AI1441">
        <f>'19_Расчет_аналитики'!AH1440*'01_Вводные'!$B$14</f>
        <v/>
      </c>
      <c r="AJ1441">
        <f>'19_Расчет_аналитики'!AI1440*'01_Вводные'!$B$14</f>
        <v/>
      </c>
      <c r="AK1441">
        <f>'19_Расчет_аналитики'!AJ1440*'01_Вводные'!$B$14</f>
        <v/>
      </c>
      <c r="AL1441">
        <f>'19_Расчет_аналитики'!AK1440*'01_Вводные'!$B$14</f>
        <v/>
      </c>
      <c r="AM1441">
        <f>'19_Расчет_аналитики'!AL1440*'01_Вводные'!$B$14</f>
        <v/>
      </c>
      <c r="AN1441">
        <f>'19_Расчет_аналитики'!AM1440*'01_Вводные'!$B$14</f>
        <v/>
      </c>
      <c r="AO1441">
        <f>'19_Расчет_аналитики'!AN1440*'01_Вводные'!$B$14</f>
        <v/>
      </c>
      <c r="AP1441">
        <f>'19_Расчет_аналитики'!AO1440*'01_Вводные'!$B$14</f>
        <v/>
      </c>
      <c r="AQ1441">
        <f>'19_Расчет_аналитики'!AP1440*'01_Вводные'!$B$14</f>
        <v/>
      </c>
      <c r="AR1441">
        <f>'19_Расчет_аналитики'!AQ1440*'01_Вводные'!$B$14</f>
        <v/>
      </c>
      <c r="AS1441">
        <f>'19_Расчет_аналитики'!AR1440*'01_Вводные'!$B$14</f>
        <v/>
      </c>
      <c r="AT1441">
        <f>'19_Расчет_аналитики'!AS1440*'01_Вводные'!$B$14</f>
        <v/>
      </c>
      <c r="AU1441">
        <f>'19_Расчет_аналитики'!AT1440*'01_Вводные'!$B$14</f>
        <v/>
      </c>
      <c r="AV1441">
        <f>'19_Расчет_аналитики'!AU1440*'01_Вводные'!$B$14</f>
        <v/>
      </c>
      <c r="AW1441">
        <f>'19_Расчет_аналитики'!AV1440*'01_Вводные'!$B$14</f>
        <v/>
      </c>
      <c r="AX1441">
        <f>'19_Расчет_аналитики'!AW1440*'01_Вводные'!$B$14</f>
        <v/>
      </c>
      <c r="AY1441">
        <f>'19_Расчет_аналитики'!AX1440*'01_Вводные'!$B$14</f>
        <v/>
      </c>
      <c r="AZ1441">
        <f>'19_Расчет_аналитики'!AY1440*'01_Вводные'!$B$14</f>
        <v/>
      </c>
      <c r="BA1441">
        <f>'19_Расчет_аналитики'!AZ1440*'01_Вводные'!$B$14</f>
        <v/>
      </c>
      <c r="BB1441">
        <f>'19_Расчет_аналитики'!BA1440*'01_Вводные'!$B$14</f>
        <v/>
      </c>
      <c r="BC1441">
        <f>'19_Расчет_аналитики'!BB1440*'01_Вводные'!$B$14</f>
        <v/>
      </c>
      <c r="BD1441">
        <f>'19_Расчет_аналитики'!BC1440*'01_Вводные'!$B$14</f>
        <v/>
      </c>
      <c r="BE1441">
        <f>'19_Расчет_аналитики'!BD1440*'01_Вводные'!$B$14</f>
        <v/>
      </c>
      <c r="BF1441">
        <f>'19_Расчет_аналитики'!BE1440*'01_Вводные'!$B$14</f>
        <v/>
      </c>
      <c r="BG1441">
        <f>'19_Расчет_аналитики'!BF1440*'01_Вводные'!$B$14</f>
        <v/>
      </c>
      <c r="BH1441">
        <f>'19_Расчет_аналитики'!BG1440*'01_Вводные'!$B$14</f>
        <v/>
      </c>
      <c r="BI1441">
        <f>'19_Расчет_аналитики'!BH1440*'01_Вводные'!$B$14</f>
        <v/>
      </c>
      <c r="BJ1441">
        <f>'19_Расчет_аналитики'!BI1440*'01_Вводные'!$B$14</f>
        <v/>
      </c>
      <c r="BK1441">
        <f>'19_Расчет_аналитики'!BJ1440*'01_Вводные'!$B$14</f>
        <v/>
      </c>
      <c r="BL1441">
        <f>'19_Расчет_аналитики'!BK1440*'01_Вводные'!$B$14</f>
        <v/>
      </c>
      <c r="BM1441">
        <f>'19_Расчет_аналитики'!BL1440*'01_Вводные'!$B$14</f>
        <v/>
      </c>
      <c r="BN1441">
        <f>'19_Расчет_аналитики'!BM1440*'01_Вводные'!$B$14</f>
        <v/>
      </c>
      <c r="BO1441">
        <f>'19_Расчет_аналитики'!BN1440*'01_Вводные'!$B$14</f>
        <v/>
      </c>
    </row>
    <row r="1442">
      <c r="B1442">
        <f>'06_Сеть_и_дети'!B75</f>
        <v/>
      </c>
      <c r="C1442">
        <f>'06_Сеть_и_дети'!C75</f>
        <v/>
      </c>
      <c r="D1442">
        <f>'06_Сеть_и_дети'!D75</f>
        <v/>
      </c>
      <c r="E1442">
        <f>'06_Сеть_и_дети'!E75</f>
        <v/>
      </c>
      <c r="F1442">
        <f>'06_Сеть_и_дети'!F75</f>
        <v/>
      </c>
      <c r="G1442">
        <f>'06_Сеть_и_дети'!G75</f>
        <v/>
      </c>
      <c r="H1442">
        <f>'06_Сеть_и_дети'!H75</f>
        <v/>
      </c>
      <c r="I1442">
        <f>'06_Сеть_и_дети'!I75</f>
        <v/>
      </c>
      <c r="J1442">
        <f>'06_Сеть_и_дети'!J75</f>
        <v/>
      </c>
      <c r="K1442">
        <f>'06_Сеть_и_дети'!K75</f>
        <v/>
      </c>
      <c r="L1442">
        <f>'06_Сеть_и_дети'!L75</f>
        <v/>
      </c>
      <c r="M1442">
        <f>'06_Сеть_и_дети'!M75</f>
        <v/>
      </c>
      <c r="N1442">
        <f>'06_Сеть_и_дети'!N75</f>
        <v/>
      </c>
      <c r="O1442">
        <f>'06_Сеть_и_дети'!O75</f>
        <v/>
      </c>
      <c r="P1442">
        <f>'06_Сеть_и_дети'!P75</f>
        <v/>
      </c>
      <c r="Q1442">
        <f>'06_Сеть_и_дети'!Q75</f>
        <v/>
      </c>
      <c r="R1442">
        <f>'06_Сеть_и_дети'!R75</f>
        <v/>
      </c>
      <c r="S1442">
        <f>'06_Сеть_и_дети'!S75</f>
        <v/>
      </c>
      <c r="T1442">
        <f>'06_Сеть_и_дети'!T75</f>
        <v/>
      </c>
      <c r="U1442">
        <f>'06_Сеть_и_дети'!U75</f>
        <v/>
      </c>
      <c r="V1442">
        <f>'06_Сеть_и_дети'!V75</f>
        <v/>
      </c>
      <c r="W1442">
        <f>'06_Сеть_и_дети'!W75</f>
        <v/>
      </c>
      <c r="X1442">
        <f>'19_Расчет_аналитики'!W1441*'01_Вводные'!$B$14</f>
        <v/>
      </c>
      <c r="Y1442">
        <f>'19_Расчет_аналитики'!X1441*'01_Вводные'!$B$14</f>
        <v/>
      </c>
      <c r="Z1442">
        <f>'19_Расчет_аналитики'!Y1441*'01_Вводные'!$B$14</f>
        <v/>
      </c>
      <c r="AA1442">
        <f>'19_Расчет_аналитики'!Z1441*'01_Вводные'!$B$14</f>
        <v/>
      </c>
      <c r="AB1442">
        <f>'19_Расчет_аналитики'!AA1441*'01_Вводные'!$B$14</f>
        <v/>
      </c>
      <c r="AC1442">
        <f>'19_Расчет_аналитики'!AB1441*'01_Вводные'!$B$14</f>
        <v/>
      </c>
      <c r="AD1442">
        <f>'19_Расчет_аналитики'!AC1441*'01_Вводные'!$B$14</f>
        <v/>
      </c>
      <c r="AE1442">
        <f>'19_Расчет_аналитики'!AD1441*'01_Вводные'!$B$14</f>
        <v/>
      </c>
      <c r="AF1442">
        <f>'19_Расчет_аналитики'!AE1441*'01_Вводные'!$B$14</f>
        <v/>
      </c>
      <c r="AG1442">
        <f>'19_Расчет_аналитики'!AF1441*'01_Вводные'!$B$14</f>
        <v/>
      </c>
      <c r="AH1442">
        <f>'19_Расчет_аналитики'!AG1441*'01_Вводные'!$B$14</f>
        <v/>
      </c>
      <c r="AI1442">
        <f>'19_Расчет_аналитики'!AH1441*'01_Вводные'!$B$14</f>
        <v/>
      </c>
      <c r="AJ1442">
        <f>'19_Расчет_аналитики'!AI1441*'01_Вводные'!$B$14</f>
        <v/>
      </c>
      <c r="AK1442">
        <f>'19_Расчет_аналитики'!AJ1441*'01_Вводные'!$B$14</f>
        <v/>
      </c>
      <c r="AL1442">
        <f>'19_Расчет_аналитики'!AK1441*'01_Вводные'!$B$14</f>
        <v/>
      </c>
      <c r="AM1442">
        <f>'19_Расчет_аналитики'!AL1441*'01_Вводные'!$B$14</f>
        <v/>
      </c>
      <c r="AN1442">
        <f>'19_Расчет_аналитики'!AM1441*'01_Вводные'!$B$14</f>
        <v/>
      </c>
      <c r="AO1442">
        <f>'19_Расчет_аналитики'!AN1441*'01_Вводные'!$B$14</f>
        <v/>
      </c>
      <c r="AP1442">
        <f>'19_Расчет_аналитики'!AO1441*'01_Вводные'!$B$14</f>
        <v/>
      </c>
      <c r="AQ1442">
        <f>'19_Расчет_аналитики'!AP1441*'01_Вводные'!$B$14</f>
        <v/>
      </c>
      <c r="AR1442">
        <f>'19_Расчет_аналитики'!AQ1441*'01_Вводные'!$B$14</f>
        <v/>
      </c>
      <c r="AS1442">
        <f>'19_Расчет_аналитики'!AR1441*'01_Вводные'!$B$14</f>
        <v/>
      </c>
      <c r="AT1442">
        <f>'19_Расчет_аналитики'!AS1441*'01_Вводные'!$B$14</f>
        <v/>
      </c>
      <c r="AU1442">
        <f>'19_Расчет_аналитики'!AT1441*'01_Вводные'!$B$14</f>
        <v/>
      </c>
      <c r="AV1442">
        <f>'19_Расчет_аналитики'!AU1441*'01_Вводные'!$B$14</f>
        <v/>
      </c>
      <c r="AW1442">
        <f>'19_Расчет_аналитики'!AV1441*'01_Вводные'!$B$14</f>
        <v/>
      </c>
      <c r="AX1442">
        <f>'19_Расчет_аналитики'!AW1441*'01_Вводные'!$B$14</f>
        <v/>
      </c>
      <c r="AY1442">
        <f>'19_Расчет_аналитики'!AX1441*'01_Вводные'!$B$14</f>
        <v/>
      </c>
      <c r="AZ1442">
        <f>'19_Расчет_аналитики'!AY1441*'01_Вводные'!$B$14</f>
        <v/>
      </c>
      <c r="BA1442">
        <f>'19_Расчет_аналитики'!AZ1441*'01_Вводные'!$B$14</f>
        <v/>
      </c>
      <c r="BB1442">
        <f>'19_Расчет_аналитики'!BA1441*'01_Вводные'!$B$14</f>
        <v/>
      </c>
      <c r="BC1442">
        <f>'19_Расчет_аналитики'!BB1441*'01_Вводные'!$B$14</f>
        <v/>
      </c>
      <c r="BD1442">
        <f>'19_Расчет_аналитики'!BC1441*'01_Вводные'!$B$14</f>
        <v/>
      </c>
      <c r="BE1442">
        <f>'19_Расчет_аналитики'!BD1441*'01_Вводные'!$B$14</f>
        <v/>
      </c>
      <c r="BF1442">
        <f>'19_Расчет_аналитики'!BE1441*'01_Вводные'!$B$14</f>
        <v/>
      </c>
      <c r="BG1442">
        <f>'19_Расчет_аналитики'!BF1441*'01_Вводные'!$B$14</f>
        <v/>
      </c>
      <c r="BH1442">
        <f>'19_Расчет_аналитики'!BG1441*'01_Вводные'!$B$14</f>
        <v/>
      </c>
      <c r="BI1442">
        <f>'19_Расчет_аналитики'!BH1441*'01_Вводные'!$B$14</f>
        <v/>
      </c>
      <c r="BJ1442">
        <f>'19_Расчет_аналитики'!BI1441*'01_Вводные'!$B$14</f>
        <v/>
      </c>
      <c r="BK1442">
        <f>'19_Расчет_аналитики'!BJ1441*'01_Вводные'!$B$14</f>
        <v/>
      </c>
      <c r="BL1442">
        <f>'19_Расчет_аналитики'!BK1441*'01_Вводные'!$B$14</f>
        <v/>
      </c>
      <c r="BM1442">
        <f>'19_Расчет_аналитики'!BL1441*'01_Вводные'!$B$14</f>
        <v/>
      </c>
      <c r="BN1442">
        <f>'19_Расчет_аналитики'!BM1441*'01_Вводные'!$B$14</f>
        <v/>
      </c>
      <c r="BO1442">
        <f>'19_Расчет_аналитики'!BN1441*'01_Вводные'!$B$14</f>
        <v/>
      </c>
    </row>
    <row r="1443">
      <c r="B1443">
        <f>'06_Сеть_и_дети'!B76</f>
        <v/>
      </c>
      <c r="C1443">
        <f>'06_Сеть_и_дети'!C76</f>
        <v/>
      </c>
      <c r="D1443">
        <f>'06_Сеть_и_дети'!D76</f>
        <v/>
      </c>
      <c r="E1443">
        <f>'06_Сеть_и_дети'!E76</f>
        <v/>
      </c>
      <c r="F1443">
        <f>'06_Сеть_и_дети'!F76</f>
        <v/>
      </c>
      <c r="G1443">
        <f>'06_Сеть_и_дети'!G76</f>
        <v/>
      </c>
      <c r="H1443">
        <f>'06_Сеть_и_дети'!H76</f>
        <v/>
      </c>
      <c r="I1443">
        <f>'06_Сеть_и_дети'!I76</f>
        <v/>
      </c>
      <c r="J1443">
        <f>'06_Сеть_и_дети'!J76</f>
        <v/>
      </c>
      <c r="K1443">
        <f>'06_Сеть_и_дети'!K76</f>
        <v/>
      </c>
      <c r="L1443">
        <f>'06_Сеть_и_дети'!L76</f>
        <v/>
      </c>
      <c r="M1443">
        <f>'06_Сеть_и_дети'!M76</f>
        <v/>
      </c>
      <c r="N1443">
        <f>'06_Сеть_и_дети'!N76</f>
        <v/>
      </c>
      <c r="O1443">
        <f>'06_Сеть_и_дети'!O76</f>
        <v/>
      </c>
      <c r="P1443">
        <f>'06_Сеть_и_дети'!P76</f>
        <v/>
      </c>
      <c r="Q1443">
        <f>'06_Сеть_и_дети'!Q76</f>
        <v/>
      </c>
      <c r="R1443">
        <f>'06_Сеть_и_дети'!R76</f>
        <v/>
      </c>
      <c r="S1443">
        <f>'06_Сеть_и_дети'!S76</f>
        <v/>
      </c>
      <c r="T1443">
        <f>'06_Сеть_и_дети'!T76</f>
        <v/>
      </c>
      <c r="U1443">
        <f>'06_Сеть_и_дети'!U76</f>
        <v/>
      </c>
      <c r="V1443">
        <f>'06_Сеть_и_дети'!V76</f>
        <v/>
      </c>
      <c r="W1443">
        <f>'06_Сеть_и_дети'!W76</f>
        <v/>
      </c>
      <c r="X1443">
        <f>'06_Сеть_и_дети'!X76</f>
        <v/>
      </c>
      <c r="Y1443">
        <f>'19_Расчет_аналитики'!X1442*'01_Вводные'!$B$14</f>
        <v/>
      </c>
      <c r="Z1443">
        <f>'19_Расчет_аналитики'!Y1442*'01_Вводные'!$B$14</f>
        <v/>
      </c>
      <c r="AA1443">
        <f>'19_Расчет_аналитики'!Z1442*'01_Вводные'!$B$14</f>
        <v/>
      </c>
      <c r="AB1443">
        <f>'19_Расчет_аналитики'!AA1442*'01_Вводные'!$B$14</f>
        <v/>
      </c>
      <c r="AC1443">
        <f>'19_Расчет_аналитики'!AB1442*'01_Вводные'!$B$14</f>
        <v/>
      </c>
      <c r="AD1443">
        <f>'19_Расчет_аналитики'!AC1442*'01_Вводные'!$B$14</f>
        <v/>
      </c>
      <c r="AE1443">
        <f>'19_Расчет_аналитики'!AD1442*'01_Вводные'!$B$14</f>
        <v/>
      </c>
      <c r="AF1443">
        <f>'19_Расчет_аналитики'!AE1442*'01_Вводные'!$B$14</f>
        <v/>
      </c>
      <c r="AG1443">
        <f>'19_Расчет_аналитики'!AF1442*'01_Вводные'!$B$14</f>
        <v/>
      </c>
      <c r="AH1443">
        <f>'19_Расчет_аналитики'!AG1442*'01_Вводные'!$B$14</f>
        <v/>
      </c>
      <c r="AI1443">
        <f>'19_Расчет_аналитики'!AH1442*'01_Вводные'!$B$14</f>
        <v/>
      </c>
      <c r="AJ1443">
        <f>'19_Расчет_аналитики'!AI1442*'01_Вводные'!$B$14</f>
        <v/>
      </c>
      <c r="AK1443">
        <f>'19_Расчет_аналитики'!AJ1442*'01_Вводные'!$B$14</f>
        <v/>
      </c>
      <c r="AL1443">
        <f>'19_Расчет_аналитики'!AK1442*'01_Вводные'!$B$14</f>
        <v/>
      </c>
      <c r="AM1443">
        <f>'19_Расчет_аналитики'!AL1442*'01_Вводные'!$B$14</f>
        <v/>
      </c>
      <c r="AN1443">
        <f>'19_Расчет_аналитики'!AM1442*'01_Вводные'!$B$14</f>
        <v/>
      </c>
      <c r="AO1443">
        <f>'19_Расчет_аналитики'!AN1442*'01_Вводные'!$B$14</f>
        <v/>
      </c>
      <c r="AP1443">
        <f>'19_Расчет_аналитики'!AO1442*'01_Вводные'!$B$14</f>
        <v/>
      </c>
      <c r="AQ1443">
        <f>'19_Расчет_аналитики'!AP1442*'01_Вводные'!$B$14</f>
        <v/>
      </c>
      <c r="AR1443">
        <f>'19_Расчет_аналитики'!AQ1442*'01_Вводные'!$B$14</f>
        <v/>
      </c>
      <c r="AS1443">
        <f>'19_Расчет_аналитики'!AR1442*'01_Вводные'!$B$14</f>
        <v/>
      </c>
      <c r="AT1443">
        <f>'19_Расчет_аналитики'!AS1442*'01_Вводные'!$B$14</f>
        <v/>
      </c>
      <c r="AU1443">
        <f>'19_Расчет_аналитики'!AT1442*'01_Вводные'!$B$14</f>
        <v/>
      </c>
      <c r="AV1443">
        <f>'19_Расчет_аналитики'!AU1442*'01_Вводные'!$B$14</f>
        <v/>
      </c>
      <c r="AW1443">
        <f>'19_Расчет_аналитики'!AV1442*'01_Вводные'!$B$14</f>
        <v/>
      </c>
      <c r="AX1443">
        <f>'19_Расчет_аналитики'!AW1442*'01_Вводные'!$B$14</f>
        <v/>
      </c>
      <c r="AY1443">
        <f>'19_Расчет_аналитики'!AX1442*'01_Вводные'!$B$14</f>
        <v/>
      </c>
      <c r="AZ1443">
        <f>'19_Расчет_аналитики'!AY1442*'01_Вводные'!$B$14</f>
        <v/>
      </c>
      <c r="BA1443">
        <f>'19_Расчет_аналитики'!AZ1442*'01_Вводные'!$B$14</f>
        <v/>
      </c>
      <c r="BB1443">
        <f>'19_Расчет_аналитики'!BA1442*'01_Вводные'!$B$14</f>
        <v/>
      </c>
      <c r="BC1443">
        <f>'19_Расчет_аналитики'!BB1442*'01_Вводные'!$B$14</f>
        <v/>
      </c>
      <c r="BD1443">
        <f>'19_Расчет_аналитики'!BC1442*'01_Вводные'!$B$14</f>
        <v/>
      </c>
      <c r="BE1443">
        <f>'19_Расчет_аналитики'!BD1442*'01_Вводные'!$B$14</f>
        <v/>
      </c>
      <c r="BF1443">
        <f>'19_Расчет_аналитики'!BE1442*'01_Вводные'!$B$14</f>
        <v/>
      </c>
      <c r="BG1443">
        <f>'19_Расчет_аналитики'!BF1442*'01_Вводные'!$B$14</f>
        <v/>
      </c>
      <c r="BH1443">
        <f>'19_Расчет_аналитики'!BG1442*'01_Вводные'!$B$14</f>
        <v/>
      </c>
      <c r="BI1443">
        <f>'19_Расчет_аналитики'!BH1442*'01_Вводные'!$B$14</f>
        <v/>
      </c>
      <c r="BJ1443">
        <f>'19_Расчет_аналитики'!BI1442*'01_Вводные'!$B$14</f>
        <v/>
      </c>
      <c r="BK1443">
        <f>'19_Расчет_аналитики'!BJ1442*'01_Вводные'!$B$14</f>
        <v/>
      </c>
      <c r="BL1443">
        <f>'19_Расчет_аналитики'!BK1442*'01_Вводные'!$B$14</f>
        <v/>
      </c>
      <c r="BM1443">
        <f>'19_Расчет_аналитики'!BL1442*'01_Вводные'!$B$14</f>
        <v/>
      </c>
      <c r="BN1443">
        <f>'19_Расчет_аналитики'!BM1442*'01_Вводные'!$B$14</f>
        <v/>
      </c>
      <c r="BO1443">
        <f>'19_Расчет_аналитики'!BN1442*'01_Вводные'!$B$14</f>
        <v/>
      </c>
    </row>
    <row r="1444">
      <c r="B1444">
        <f>'06_Сеть_и_дети'!B77</f>
        <v/>
      </c>
      <c r="C1444">
        <f>'06_Сеть_и_дети'!C77</f>
        <v/>
      </c>
      <c r="D1444">
        <f>'06_Сеть_и_дети'!D77</f>
        <v/>
      </c>
      <c r="E1444">
        <f>'06_Сеть_и_дети'!E77</f>
        <v/>
      </c>
      <c r="F1444">
        <f>'06_Сеть_и_дети'!F77</f>
        <v/>
      </c>
      <c r="G1444">
        <f>'06_Сеть_и_дети'!G77</f>
        <v/>
      </c>
      <c r="H1444">
        <f>'06_Сеть_и_дети'!H77</f>
        <v/>
      </c>
      <c r="I1444">
        <f>'06_Сеть_и_дети'!I77</f>
        <v/>
      </c>
      <c r="J1444">
        <f>'06_Сеть_и_дети'!J77</f>
        <v/>
      </c>
      <c r="K1444">
        <f>'06_Сеть_и_дети'!K77</f>
        <v/>
      </c>
      <c r="L1444">
        <f>'06_Сеть_и_дети'!L77</f>
        <v/>
      </c>
      <c r="M1444">
        <f>'06_Сеть_и_дети'!M77</f>
        <v/>
      </c>
      <c r="N1444">
        <f>'06_Сеть_и_дети'!N77</f>
        <v/>
      </c>
      <c r="O1444">
        <f>'06_Сеть_и_дети'!O77</f>
        <v/>
      </c>
      <c r="P1444">
        <f>'06_Сеть_и_дети'!P77</f>
        <v/>
      </c>
      <c r="Q1444">
        <f>'06_Сеть_и_дети'!Q77</f>
        <v/>
      </c>
      <c r="R1444">
        <f>'06_Сеть_и_дети'!R77</f>
        <v/>
      </c>
      <c r="S1444">
        <f>'06_Сеть_и_дети'!S77</f>
        <v/>
      </c>
      <c r="T1444">
        <f>'06_Сеть_и_дети'!T77</f>
        <v/>
      </c>
      <c r="U1444">
        <f>'06_Сеть_и_дети'!U77</f>
        <v/>
      </c>
      <c r="V1444">
        <f>'06_Сеть_и_дети'!V77</f>
        <v/>
      </c>
      <c r="W1444">
        <f>'06_Сеть_и_дети'!W77</f>
        <v/>
      </c>
      <c r="X1444">
        <f>'06_Сеть_и_дети'!X77</f>
        <v/>
      </c>
      <c r="Y1444">
        <f>'06_Сеть_и_дети'!Y77</f>
        <v/>
      </c>
      <c r="Z1444">
        <f>SUM('19_Расчет_аналитики'!Y1443:Y1444)*'01_Вводные'!$B$14</f>
        <v/>
      </c>
      <c r="AA1444">
        <f>SUM('19_Расчет_аналитики'!Z1443:Z1444)*'01_Вводные'!$B$14</f>
        <v/>
      </c>
      <c r="AB1444">
        <f>SUM('19_Расчет_аналитики'!AA1443:AA1444)*'01_Вводные'!$B$14</f>
        <v/>
      </c>
      <c r="AC1444">
        <f>SUM('19_Расчет_аналитики'!AB1443:AB1444)*'01_Вводные'!$B$14</f>
        <v/>
      </c>
      <c r="AD1444">
        <f>SUM('19_Расчет_аналитики'!AC1443:AC1444)*'01_Вводные'!$B$14</f>
        <v/>
      </c>
      <c r="AE1444">
        <f>SUM('19_Расчет_аналитики'!AD1443:AD1444)*'01_Вводные'!$B$14</f>
        <v/>
      </c>
      <c r="AF1444">
        <f>SUM('19_Расчет_аналитики'!AE1443:AE1444)*'01_Вводные'!$B$14</f>
        <v/>
      </c>
      <c r="AG1444">
        <f>SUM('19_Расчет_аналитики'!AF1443:AF1444)*'01_Вводные'!$B$14</f>
        <v/>
      </c>
      <c r="AH1444">
        <f>SUM('19_Расчет_аналитики'!AG1443:AG1444)*'01_Вводные'!$B$14</f>
        <v/>
      </c>
      <c r="AI1444">
        <f>SUM('19_Расчет_аналитики'!AH1443:AH1444)*'01_Вводные'!$B$14</f>
        <v/>
      </c>
      <c r="AJ1444">
        <f>SUM('19_Расчет_аналитики'!AI1443:AI1444)*'01_Вводные'!$B$14</f>
        <v/>
      </c>
      <c r="AK1444">
        <f>SUM('19_Расчет_аналитики'!AJ1443:AJ1444)*'01_Вводные'!$B$14</f>
        <v/>
      </c>
      <c r="AL1444">
        <f>SUM('19_Расчет_аналитики'!AK1443:AK1444)*'01_Вводные'!$B$14</f>
        <v/>
      </c>
      <c r="AM1444">
        <f>SUM('19_Расчет_аналитики'!AL1443:AL1444)*'01_Вводные'!$B$14</f>
        <v/>
      </c>
      <c r="AN1444">
        <f>SUM('19_Расчет_аналитики'!AM1443:AM1444)*'01_Вводные'!$B$14</f>
        <v/>
      </c>
      <c r="AO1444">
        <f>SUM('19_Расчет_аналитики'!AN1443:AN1444)*'01_Вводные'!$B$14</f>
        <v/>
      </c>
      <c r="AP1444">
        <f>SUM('19_Расчет_аналитики'!AO1443:AO1444)*'01_Вводные'!$B$14</f>
        <v/>
      </c>
      <c r="AQ1444">
        <f>SUM('19_Расчет_аналитики'!AP1443:AP1444)*'01_Вводные'!$B$14</f>
        <v/>
      </c>
      <c r="AR1444">
        <f>SUM('19_Расчет_аналитики'!AQ1443:AQ1444)*'01_Вводные'!$B$14</f>
        <v/>
      </c>
      <c r="AS1444">
        <f>SUM('19_Расчет_аналитики'!AR1443:AR1444)*'01_Вводные'!$B$14</f>
        <v/>
      </c>
      <c r="AT1444">
        <f>SUM('19_Расчет_аналитики'!AS1443:AS1444)*'01_Вводные'!$B$14</f>
        <v/>
      </c>
      <c r="AU1444">
        <f>SUM('19_Расчет_аналитики'!AT1443:AT1444)*'01_Вводные'!$B$14</f>
        <v/>
      </c>
      <c r="AV1444">
        <f>SUM('19_Расчет_аналитики'!AU1443:AU1444)*'01_Вводные'!$B$14</f>
        <v/>
      </c>
      <c r="AW1444">
        <f>SUM('19_Расчет_аналитики'!AV1443:AV1444)*'01_Вводные'!$B$14</f>
        <v/>
      </c>
      <c r="AX1444">
        <f>SUM('19_Расчет_аналитики'!AW1443:AW1444)*'01_Вводные'!$B$14</f>
        <v/>
      </c>
      <c r="AY1444">
        <f>SUM('19_Расчет_аналитики'!AX1443:AX1444)*'01_Вводные'!$B$14</f>
        <v/>
      </c>
      <c r="AZ1444">
        <f>SUM('19_Расчет_аналитики'!AY1443:AY1444)*'01_Вводные'!$B$14</f>
        <v/>
      </c>
      <c r="BA1444">
        <f>SUM('19_Расчет_аналитики'!AZ1443:AZ1444)*'01_Вводные'!$B$14</f>
        <v/>
      </c>
      <c r="BB1444">
        <f>SUM('19_Расчет_аналитики'!BA1443:BA1444)*'01_Вводные'!$B$14</f>
        <v/>
      </c>
      <c r="BC1444">
        <f>SUM('19_Расчет_аналитики'!BB1443:BB1444)*'01_Вводные'!$B$14</f>
        <v/>
      </c>
      <c r="BD1444">
        <f>SUM('19_Расчет_аналитики'!BC1443:BC1444)*'01_Вводные'!$B$14</f>
        <v/>
      </c>
      <c r="BE1444">
        <f>SUM('19_Расчет_аналитики'!BD1443:BD1444)*'01_Вводные'!$B$14</f>
        <v/>
      </c>
      <c r="BF1444">
        <f>SUM('19_Расчет_аналитики'!BE1443:BE1444)*'01_Вводные'!$B$14</f>
        <v/>
      </c>
      <c r="BG1444">
        <f>SUM('19_Расчет_аналитики'!BF1443:BF1444)*'01_Вводные'!$B$14</f>
        <v/>
      </c>
      <c r="BH1444">
        <f>SUM('19_Расчет_аналитики'!BG1443:BG1444)*'01_Вводные'!$B$14</f>
        <v/>
      </c>
      <c r="BI1444">
        <f>SUM('19_Расчет_аналитики'!BH1443:BH1444)*'01_Вводные'!$B$14</f>
        <v/>
      </c>
      <c r="BJ1444">
        <f>SUM('19_Расчет_аналитики'!BI1443:BI1444)*'01_Вводные'!$B$14</f>
        <v/>
      </c>
      <c r="BK1444">
        <f>SUM('19_Расчет_аналитики'!BJ1443:BJ1444)*'01_Вводные'!$B$14</f>
        <v/>
      </c>
      <c r="BL1444">
        <f>SUM('19_Расчет_аналитики'!BK1443:BK1444)*'01_Вводные'!$B$14</f>
        <v/>
      </c>
      <c r="BM1444">
        <f>SUM('19_Расчет_аналитики'!BL1443:BL1444)*'01_Вводные'!$B$14</f>
        <v/>
      </c>
      <c r="BN1444">
        <f>SUM('19_Расчет_аналитики'!BM1443:BM1444)*'01_Вводные'!$B$14</f>
        <v/>
      </c>
      <c r="BO1444">
        <f>SUM('19_Расчет_аналитики'!BN1443:BN1444)*'01_Вводные'!$B$14</f>
        <v/>
      </c>
    </row>
    <row r="1445"/>
    <row r="1446"/>
    <row r="1447"/>
    <row r="1448">
      <c r="B1448">
        <f>'19_Расчет_аналитики'!B1400</f>
        <v/>
      </c>
      <c r="C1448">
        <f>'19_Расчет_аналитики'!C1400</f>
        <v/>
      </c>
      <c r="D1448">
        <f>'19_Расчет_аналитики'!D1400</f>
        <v/>
      </c>
      <c r="E1448">
        <f>'19_Расчет_аналитики'!E1400</f>
        <v/>
      </c>
      <c r="F1448">
        <f>'19_Расчет_аналитики'!F1400</f>
        <v/>
      </c>
      <c r="G1448">
        <f>'19_Расчет_аналитики'!G1400</f>
        <v/>
      </c>
      <c r="H1448">
        <f>'19_Расчет_аналитики'!H1400</f>
        <v/>
      </c>
      <c r="I1448">
        <f>'19_Расчет_аналитики'!I1400</f>
        <v/>
      </c>
      <c r="J1448">
        <f>'19_Расчет_аналитики'!J1400</f>
        <v/>
      </c>
      <c r="K1448">
        <f>'19_Расчет_аналитики'!K1400</f>
        <v/>
      </c>
      <c r="L1448">
        <f>'19_Расчет_аналитики'!L1400</f>
        <v/>
      </c>
      <c r="M1448">
        <f>'19_Расчет_аналитики'!M1400</f>
        <v/>
      </c>
      <c r="N1448">
        <f>'19_Расчет_аналитики'!N1400</f>
        <v/>
      </c>
      <c r="O1448">
        <f>'19_Расчет_аналитики'!O1400</f>
        <v/>
      </c>
      <c r="P1448">
        <f>'19_Расчет_аналитики'!P1400</f>
        <v/>
      </c>
      <c r="Q1448">
        <f>'19_Расчет_аналитики'!Q1400</f>
        <v/>
      </c>
      <c r="R1448">
        <f>'19_Расчет_аналитики'!R1400</f>
        <v/>
      </c>
      <c r="S1448">
        <f>'19_Расчет_аналитики'!S1400</f>
        <v/>
      </c>
      <c r="T1448">
        <f>'19_Расчет_аналитики'!T1400</f>
        <v/>
      </c>
      <c r="U1448">
        <f>'19_Расчет_аналитики'!U1400</f>
        <v/>
      </c>
      <c r="V1448">
        <f>'19_Расчет_аналитики'!V1400</f>
        <v/>
      </c>
      <c r="W1448">
        <f>'19_Расчет_аналитики'!W1400</f>
        <v/>
      </c>
      <c r="X1448">
        <f>'19_Расчет_аналитики'!X1400</f>
        <v/>
      </c>
      <c r="Y1448">
        <f>'19_Расчет_аналитики'!Y1400</f>
        <v/>
      </c>
      <c r="Z1448">
        <f>'19_Расчет_аналитики'!Z1400</f>
        <v/>
      </c>
      <c r="AA1448">
        <f>'19_Расчет_аналитики'!AA1400</f>
        <v/>
      </c>
      <c r="AB1448">
        <f>'19_Расчет_аналитики'!AB1400</f>
        <v/>
      </c>
      <c r="AC1448">
        <f>'19_Расчет_аналитики'!AC1400</f>
        <v/>
      </c>
      <c r="AD1448">
        <f>'19_Расчет_аналитики'!AD1400</f>
        <v/>
      </c>
      <c r="AE1448">
        <f>'19_Расчет_аналитики'!AE1400</f>
        <v/>
      </c>
      <c r="AF1448">
        <f>'19_Расчет_аналитики'!AF1400</f>
        <v/>
      </c>
      <c r="AG1448">
        <f>'19_Расчет_аналитики'!AG1400</f>
        <v/>
      </c>
      <c r="AH1448">
        <f>'19_Расчет_аналитики'!AH1400</f>
        <v/>
      </c>
      <c r="AI1448">
        <f>'19_Расчет_аналитики'!AI1400</f>
        <v/>
      </c>
      <c r="AJ1448">
        <f>'19_Расчет_аналитики'!AJ1400</f>
        <v/>
      </c>
      <c r="AK1448">
        <f>'19_Расчет_аналитики'!AK1400</f>
        <v/>
      </c>
      <c r="AL1448">
        <f>'19_Расчет_аналитики'!AL1400</f>
        <v/>
      </c>
      <c r="AM1448">
        <f>'19_Расчет_аналитики'!AM1400</f>
        <v/>
      </c>
      <c r="AN1448">
        <f>'19_Расчет_аналитики'!AN1400</f>
        <v/>
      </c>
      <c r="AO1448">
        <f>'19_Расчет_аналитики'!AO1400</f>
        <v/>
      </c>
      <c r="AP1448">
        <f>'19_Расчет_аналитики'!AP1400</f>
        <v/>
      </c>
      <c r="AQ1448">
        <f>'19_Расчет_аналитики'!AQ1400</f>
        <v/>
      </c>
      <c r="AR1448">
        <f>'19_Расчет_аналитики'!AR1400</f>
        <v/>
      </c>
      <c r="AS1448">
        <f>'19_Расчет_аналитики'!AS1400</f>
        <v/>
      </c>
      <c r="AT1448">
        <f>'19_Расчет_аналитики'!AT1400</f>
        <v/>
      </c>
      <c r="AU1448">
        <f>'19_Расчет_аналитики'!AU1400</f>
        <v/>
      </c>
      <c r="AV1448">
        <f>'19_Расчет_аналитики'!AV1400</f>
        <v/>
      </c>
      <c r="AW1448">
        <f>'19_Расчет_аналитики'!AW1400</f>
        <v/>
      </c>
      <c r="AX1448">
        <f>'19_Расчет_аналитики'!AX1400</f>
        <v/>
      </c>
      <c r="AY1448">
        <f>'19_Расчет_аналитики'!AY1400</f>
        <v/>
      </c>
      <c r="AZ1448">
        <f>'19_Расчет_аналитики'!AZ1400</f>
        <v/>
      </c>
      <c r="BA1448">
        <f>'19_Расчет_аналитики'!BA1400</f>
        <v/>
      </c>
      <c r="BB1448">
        <f>'19_Расчет_аналитики'!BB1400</f>
        <v/>
      </c>
      <c r="BC1448">
        <f>'19_Расчет_аналитики'!BC1400</f>
        <v/>
      </c>
      <c r="BD1448">
        <f>'19_Расчет_аналитики'!BD1400</f>
        <v/>
      </c>
      <c r="BE1448">
        <f>'19_Расчет_аналитики'!BE1400</f>
        <v/>
      </c>
      <c r="BF1448">
        <f>'19_Расчет_аналитики'!BF1400</f>
        <v/>
      </c>
      <c r="BG1448">
        <f>'19_Расчет_аналитики'!BG1400</f>
        <v/>
      </c>
      <c r="BH1448">
        <f>'19_Расчет_аналитики'!BH1400</f>
        <v/>
      </c>
      <c r="BI1448">
        <f>'19_Расчет_аналитики'!BI1400</f>
        <v/>
      </c>
      <c r="BJ1448">
        <f>'19_Расчет_аналитики'!BJ1400</f>
        <v/>
      </c>
      <c r="BK1448">
        <f>'19_Расчет_аналитики'!BK1400</f>
        <v/>
      </c>
      <c r="BL1448">
        <f>'19_Расчет_аналитики'!BL1400</f>
        <v/>
      </c>
      <c r="BM1448">
        <f>'19_Расчет_аналитики'!BM1400</f>
        <v/>
      </c>
      <c r="BN1448">
        <f>'19_Расчет_аналитики'!BN1400</f>
        <v/>
      </c>
      <c r="BO1448">
        <f>'19_Расчет_аналитики'!BO1400</f>
        <v/>
      </c>
    </row>
    <row r="1449">
      <c r="B1449">
        <f>'06_Сеть_и_дети'!B82</f>
        <v/>
      </c>
      <c r="C1449">
        <f>'19_Расчет_аналитики'!B1448*'01_Вводные'!$B$14</f>
        <v/>
      </c>
      <c r="D1449">
        <f>'19_Расчет_аналитики'!C1448*'01_Вводные'!$B$14</f>
        <v/>
      </c>
      <c r="E1449">
        <f>'19_Расчет_аналитики'!D1448*'01_Вводные'!$B$14</f>
        <v/>
      </c>
      <c r="F1449">
        <f>'19_Расчет_аналитики'!E1448*'01_Вводные'!$B$14</f>
        <v/>
      </c>
      <c r="G1449">
        <f>'19_Расчет_аналитики'!F1448*'01_Вводные'!$B$14</f>
        <v/>
      </c>
      <c r="H1449">
        <f>'19_Расчет_аналитики'!G1448*'01_Вводные'!$B$14</f>
        <v/>
      </c>
      <c r="I1449">
        <f>'19_Расчет_аналитики'!H1448*'01_Вводные'!$B$14</f>
        <v/>
      </c>
      <c r="J1449">
        <f>'19_Расчет_аналитики'!I1448*'01_Вводные'!$B$14</f>
        <v/>
      </c>
      <c r="K1449">
        <f>'19_Расчет_аналитики'!J1448*'01_Вводные'!$B$14</f>
        <v/>
      </c>
      <c r="L1449">
        <f>'19_Расчет_аналитики'!K1448*'01_Вводные'!$B$14</f>
        <v/>
      </c>
      <c r="M1449">
        <f>'19_Расчет_аналитики'!L1448*'01_Вводные'!$B$14</f>
        <v/>
      </c>
      <c r="N1449">
        <f>'19_Расчет_аналитики'!M1448*'01_Вводные'!$B$14</f>
        <v/>
      </c>
      <c r="O1449">
        <f>'19_Расчет_аналитики'!N1448*'01_Вводные'!$B$14</f>
        <v/>
      </c>
      <c r="P1449">
        <f>'19_Расчет_аналитики'!O1448*'01_Вводные'!$B$14</f>
        <v/>
      </c>
      <c r="Q1449">
        <f>'19_Расчет_аналитики'!P1448*'01_Вводные'!$B$14</f>
        <v/>
      </c>
      <c r="R1449">
        <f>'19_Расчет_аналитики'!Q1448*'01_Вводные'!$B$14</f>
        <v/>
      </c>
      <c r="S1449">
        <f>'19_Расчет_аналитики'!R1448*'01_Вводные'!$B$14</f>
        <v/>
      </c>
      <c r="T1449">
        <f>'19_Расчет_аналитики'!S1448*'01_Вводные'!$B$14</f>
        <v/>
      </c>
      <c r="U1449">
        <f>'19_Расчет_аналитики'!T1448*'01_Вводные'!$B$14</f>
        <v/>
      </c>
      <c r="V1449">
        <f>'19_Расчет_аналитики'!U1448*'01_Вводные'!$B$14</f>
        <v/>
      </c>
      <c r="W1449">
        <f>'19_Расчет_аналитики'!V1448*'01_Вводные'!$B$14</f>
        <v/>
      </c>
      <c r="X1449">
        <f>'19_Расчет_аналитики'!W1448*'01_Вводные'!$B$14</f>
        <v/>
      </c>
      <c r="Y1449">
        <f>'19_Расчет_аналитики'!X1448*'01_Вводные'!$B$14</f>
        <v/>
      </c>
      <c r="Z1449">
        <f>'19_Расчет_аналитики'!Y1448*'01_Вводные'!$B$14</f>
        <v/>
      </c>
      <c r="AA1449">
        <f>'19_Расчет_аналитики'!Z1448*'01_Вводные'!$B$14</f>
        <v/>
      </c>
      <c r="AB1449">
        <f>'19_Расчет_аналитики'!AA1448*'01_Вводные'!$B$14</f>
        <v/>
      </c>
      <c r="AC1449">
        <f>'19_Расчет_аналитики'!AB1448*'01_Вводные'!$B$14</f>
        <v/>
      </c>
      <c r="AD1449">
        <f>'19_Расчет_аналитики'!AC1448*'01_Вводные'!$B$14</f>
        <v/>
      </c>
      <c r="AE1449">
        <f>'19_Расчет_аналитики'!AD1448*'01_Вводные'!$B$14</f>
        <v/>
      </c>
      <c r="AF1449">
        <f>'19_Расчет_аналитики'!AE1448*'01_Вводные'!$B$14</f>
        <v/>
      </c>
      <c r="AG1449">
        <f>'19_Расчет_аналитики'!AF1448*'01_Вводные'!$B$14</f>
        <v/>
      </c>
      <c r="AH1449">
        <f>'19_Расчет_аналитики'!AG1448*'01_Вводные'!$B$14</f>
        <v/>
      </c>
      <c r="AI1449">
        <f>'19_Расчет_аналитики'!AH1448*'01_Вводные'!$B$14</f>
        <v/>
      </c>
      <c r="AJ1449">
        <f>'19_Расчет_аналитики'!AI1448*'01_Вводные'!$B$14</f>
        <v/>
      </c>
      <c r="AK1449">
        <f>'19_Расчет_аналитики'!AJ1448*'01_Вводные'!$B$14</f>
        <v/>
      </c>
      <c r="AL1449">
        <f>'19_Расчет_аналитики'!AK1448*'01_Вводные'!$B$14</f>
        <v/>
      </c>
      <c r="AM1449">
        <f>'19_Расчет_аналитики'!AL1448*'01_Вводные'!$B$14</f>
        <v/>
      </c>
      <c r="AN1449">
        <f>'19_Расчет_аналитики'!AM1448*'01_Вводные'!$B$14</f>
        <v/>
      </c>
      <c r="AO1449">
        <f>'19_Расчет_аналитики'!AN1448*'01_Вводные'!$B$14</f>
        <v/>
      </c>
      <c r="AP1449">
        <f>'19_Расчет_аналитики'!AO1448*'01_Вводные'!$B$14</f>
        <v/>
      </c>
      <c r="AQ1449">
        <f>'19_Расчет_аналитики'!AP1448*'01_Вводные'!$B$14</f>
        <v/>
      </c>
      <c r="AR1449">
        <f>'19_Расчет_аналитики'!AQ1448*'01_Вводные'!$B$14</f>
        <v/>
      </c>
      <c r="AS1449">
        <f>'19_Расчет_аналитики'!AR1448*'01_Вводные'!$B$14</f>
        <v/>
      </c>
      <c r="AT1449">
        <f>'19_Расчет_аналитики'!AS1448*'01_Вводные'!$B$14</f>
        <v/>
      </c>
      <c r="AU1449">
        <f>'19_Расчет_аналитики'!AT1448*'01_Вводные'!$B$14</f>
        <v/>
      </c>
      <c r="AV1449">
        <f>'19_Расчет_аналитики'!AU1448*'01_Вводные'!$B$14</f>
        <v/>
      </c>
      <c r="AW1449">
        <f>'19_Расчет_аналитики'!AV1448*'01_Вводные'!$B$14</f>
        <v/>
      </c>
      <c r="AX1449">
        <f>'19_Расчет_аналитики'!AW1448*'01_Вводные'!$B$14</f>
        <v/>
      </c>
      <c r="AY1449">
        <f>'19_Расчет_аналитики'!AX1448*'01_Вводные'!$B$14</f>
        <v/>
      </c>
      <c r="AZ1449">
        <f>'19_Расчет_аналитики'!AY1448*'01_Вводные'!$B$14</f>
        <v/>
      </c>
      <c r="BA1449">
        <f>'19_Расчет_аналитики'!AZ1448*'01_Вводные'!$B$14</f>
        <v/>
      </c>
      <c r="BB1449">
        <f>'19_Расчет_аналитики'!BA1448*'01_Вводные'!$B$14</f>
        <v/>
      </c>
      <c r="BC1449">
        <f>'19_Расчет_аналитики'!BB1448*'01_Вводные'!$B$14</f>
        <v/>
      </c>
      <c r="BD1449">
        <f>'19_Расчет_аналитики'!BC1448*'01_Вводные'!$B$14</f>
        <v/>
      </c>
      <c r="BE1449">
        <f>'19_Расчет_аналитики'!BD1448*'01_Вводные'!$B$14</f>
        <v/>
      </c>
      <c r="BF1449">
        <f>'19_Расчет_аналитики'!BE1448*'01_Вводные'!$B$14</f>
        <v/>
      </c>
      <c r="BG1449">
        <f>'19_Расчет_аналитики'!BF1448*'01_Вводные'!$B$14</f>
        <v/>
      </c>
      <c r="BH1449">
        <f>'19_Расчет_аналитики'!BG1448*'01_Вводные'!$B$14</f>
        <v/>
      </c>
      <c r="BI1449">
        <f>'19_Расчет_аналитики'!BH1448*'01_Вводные'!$B$14</f>
        <v/>
      </c>
      <c r="BJ1449">
        <f>'19_Расчет_аналитики'!BI1448*'01_Вводные'!$B$14</f>
        <v/>
      </c>
      <c r="BK1449">
        <f>'19_Расчет_аналитики'!BJ1448*'01_Вводные'!$B$14</f>
        <v/>
      </c>
      <c r="BL1449">
        <f>'19_Расчет_аналитики'!BK1448*'01_Вводные'!$B$14</f>
        <v/>
      </c>
      <c r="BM1449">
        <f>'19_Расчет_аналитики'!BL1448*'01_Вводные'!$B$14</f>
        <v/>
      </c>
      <c r="BN1449">
        <f>'19_Расчет_аналитики'!BM1448*'01_Вводные'!$B$14</f>
        <v/>
      </c>
      <c r="BO1449">
        <f>'19_Расчет_аналитики'!BN1448*'01_Вводные'!$B$14</f>
        <v/>
      </c>
    </row>
    <row r="1450">
      <c r="B1450">
        <f>'06_Сеть_и_дети'!B83</f>
        <v/>
      </c>
      <c r="C1450">
        <f>'06_Сеть_и_дети'!C83</f>
        <v/>
      </c>
      <c r="D1450">
        <f>'19_Расчет_аналитики'!C1449*'01_Вводные'!$B$14</f>
        <v/>
      </c>
      <c r="E1450">
        <f>'19_Расчет_аналитики'!D1449*'01_Вводные'!$B$14</f>
        <v/>
      </c>
      <c r="F1450">
        <f>'19_Расчет_аналитики'!E1449*'01_Вводные'!$B$14</f>
        <v/>
      </c>
      <c r="G1450">
        <f>'19_Расчет_аналитики'!F1449*'01_Вводные'!$B$14</f>
        <v/>
      </c>
      <c r="H1450">
        <f>'19_Расчет_аналитики'!G1449*'01_Вводные'!$B$14</f>
        <v/>
      </c>
      <c r="I1450">
        <f>'19_Расчет_аналитики'!H1449*'01_Вводные'!$B$14</f>
        <v/>
      </c>
      <c r="J1450">
        <f>'19_Расчет_аналитики'!I1449*'01_Вводные'!$B$14</f>
        <v/>
      </c>
      <c r="K1450">
        <f>'19_Расчет_аналитики'!J1449*'01_Вводные'!$B$14</f>
        <v/>
      </c>
      <c r="L1450">
        <f>'19_Расчет_аналитики'!K1449*'01_Вводные'!$B$14</f>
        <v/>
      </c>
      <c r="M1450">
        <f>'19_Расчет_аналитики'!L1449*'01_Вводные'!$B$14</f>
        <v/>
      </c>
      <c r="N1450">
        <f>'19_Расчет_аналитики'!M1449*'01_Вводные'!$B$14</f>
        <v/>
      </c>
      <c r="O1450">
        <f>'19_Расчет_аналитики'!N1449*'01_Вводные'!$B$14</f>
        <v/>
      </c>
      <c r="P1450">
        <f>'19_Расчет_аналитики'!O1449*'01_Вводные'!$B$14</f>
        <v/>
      </c>
      <c r="Q1450">
        <f>'19_Расчет_аналитики'!P1449*'01_Вводные'!$B$14</f>
        <v/>
      </c>
      <c r="R1450">
        <f>'19_Расчет_аналитики'!Q1449*'01_Вводные'!$B$14</f>
        <v/>
      </c>
      <c r="S1450">
        <f>'19_Расчет_аналитики'!R1449*'01_Вводные'!$B$14</f>
        <v/>
      </c>
      <c r="T1450">
        <f>'19_Расчет_аналитики'!S1449*'01_Вводные'!$B$14</f>
        <v/>
      </c>
      <c r="U1450">
        <f>'19_Расчет_аналитики'!T1449*'01_Вводные'!$B$14</f>
        <v/>
      </c>
      <c r="V1450">
        <f>'19_Расчет_аналитики'!U1449*'01_Вводные'!$B$14</f>
        <v/>
      </c>
      <c r="W1450">
        <f>'19_Расчет_аналитики'!V1449*'01_Вводные'!$B$14</f>
        <v/>
      </c>
      <c r="X1450">
        <f>'19_Расчет_аналитики'!W1449*'01_Вводные'!$B$14</f>
        <v/>
      </c>
      <c r="Y1450">
        <f>'19_Расчет_аналитики'!X1449*'01_Вводные'!$B$14</f>
        <v/>
      </c>
      <c r="Z1450">
        <f>'19_Расчет_аналитики'!Y1449*'01_Вводные'!$B$14</f>
        <v/>
      </c>
      <c r="AA1450">
        <f>'19_Расчет_аналитики'!Z1449*'01_Вводные'!$B$14</f>
        <v/>
      </c>
      <c r="AB1450">
        <f>'19_Расчет_аналитики'!AA1449*'01_Вводные'!$B$14</f>
        <v/>
      </c>
      <c r="AC1450">
        <f>'19_Расчет_аналитики'!AB1449*'01_Вводные'!$B$14</f>
        <v/>
      </c>
      <c r="AD1450">
        <f>'19_Расчет_аналитики'!AC1449*'01_Вводные'!$B$14</f>
        <v/>
      </c>
      <c r="AE1450">
        <f>'19_Расчет_аналитики'!AD1449*'01_Вводные'!$B$14</f>
        <v/>
      </c>
      <c r="AF1450">
        <f>'19_Расчет_аналитики'!AE1449*'01_Вводные'!$B$14</f>
        <v/>
      </c>
      <c r="AG1450">
        <f>'19_Расчет_аналитики'!AF1449*'01_Вводные'!$B$14</f>
        <v/>
      </c>
      <c r="AH1450">
        <f>'19_Расчет_аналитики'!AG1449*'01_Вводные'!$B$14</f>
        <v/>
      </c>
      <c r="AI1450">
        <f>'19_Расчет_аналитики'!AH1449*'01_Вводные'!$B$14</f>
        <v/>
      </c>
      <c r="AJ1450">
        <f>'19_Расчет_аналитики'!AI1449*'01_Вводные'!$B$14</f>
        <v/>
      </c>
      <c r="AK1450">
        <f>'19_Расчет_аналитики'!AJ1449*'01_Вводные'!$B$14</f>
        <v/>
      </c>
      <c r="AL1450">
        <f>'19_Расчет_аналитики'!AK1449*'01_Вводные'!$B$14</f>
        <v/>
      </c>
      <c r="AM1450">
        <f>'19_Расчет_аналитики'!AL1449*'01_Вводные'!$B$14</f>
        <v/>
      </c>
      <c r="AN1450">
        <f>'19_Расчет_аналитики'!AM1449*'01_Вводные'!$B$14</f>
        <v/>
      </c>
      <c r="AO1450">
        <f>'19_Расчет_аналитики'!AN1449*'01_Вводные'!$B$14</f>
        <v/>
      </c>
      <c r="AP1450">
        <f>'19_Расчет_аналитики'!AO1449*'01_Вводные'!$B$14</f>
        <v/>
      </c>
      <c r="AQ1450">
        <f>'19_Расчет_аналитики'!AP1449*'01_Вводные'!$B$14</f>
        <v/>
      </c>
      <c r="AR1450">
        <f>'19_Расчет_аналитики'!AQ1449*'01_Вводные'!$B$14</f>
        <v/>
      </c>
      <c r="AS1450">
        <f>'19_Расчет_аналитики'!AR1449*'01_Вводные'!$B$14</f>
        <v/>
      </c>
      <c r="AT1450">
        <f>'19_Расчет_аналитики'!AS1449*'01_Вводные'!$B$14</f>
        <v/>
      </c>
      <c r="AU1450">
        <f>'19_Расчет_аналитики'!AT1449*'01_Вводные'!$B$14</f>
        <v/>
      </c>
      <c r="AV1450">
        <f>'19_Расчет_аналитики'!AU1449*'01_Вводные'!$B$14</f>
        <v/>
      </c>
      <c r="AW1450">
        <f>'19_Расчет_аналитики'!AV1449*'01_Вводные'!$B$14</f>
        <v/>
      </c>
      <c r="AX1450">
        <f>'19_Расчет_аналитики'!AW1449*'01_Вводные'!$B$14</f>
        <v/>
      </c>
      <c r="AY1450">
        <f>'19_Расчет_аналитики'!AX1449*'01_Вводные'!$B$14</f>
        <v/>
      </c>
      <c r="AZ1450">
        <f>'19_Расчет_аналитики'!AY1449*'01_Вводные'!$B$14</f>
        <v/>
      </c>
      <c r="BA1450">
        <f>'19_Расчет_аналитики'!AZ1449*'01_Вводные'!$B$14</f>
        <v/>
      </c>
      <c r="BB1450">
        <f>'19_Расчет_аналитики'!BA1449*'01_Вводные'!$B$14</f>
        <v/>
      </c>
      <c r="BC1450">
        <f>'19_Расчет_аналитики'!BB1449*'01_Вводные'!$B$14</f>
        <v/>
      </c>
      <c r="BD1450">
        <f>'19_Расчет_аналитики'!BC1449*'01_Вводные'!$B$14</f>
        <v/>
      </c>
      <c r="BE1450">
        <f>'19_Расчет_аналитики'!BD1449*'01_Вводные'!$B$14</f>
        <v/>
      </c>
      <c r="BF1450">
        <f>'19_Расчет_аналитики'!BE1449*'01_Вводные'!$B$14</f>
        <v/>
      </c>
      <c r="BG1450">
        <f>'19_Расчет_аналитики'!BF1449*'01_Вводные'!$B$14</f>
        <v/>
      </c>
      <c r="BH1450">
        <f>'19_Расчет_аналитики'!BG1449*'01_Вводные'!$B$14</f>
        <v/>
      </c>
      <c r="BI1450">
        <f>'19_Расчет_аналитики'!BH1449*'01_Вводные'!$B$14</f>
        <v/>
      </c>
      <c r="BJ1450">
        <f>'19_Расчет_аналитики'!BI1449*'01_Вводные'!$B$14</f>
        <v/>
      </c>
      <c r="BK1450">
        <f>'19_Расчет_аналитики'!BJ1449*'01_Вводные'!$B$14</f>
        <v/>
      </c>
      <c r="BL1450">
        <f>'19_Расчет_аналитики'!BK1449*'01_Вводные'!$B$14</f>
        <v/>
      </c>
      <c r="BM1450">
        <f>'19_Расчет_аналитики'!BL1449*'01_Вводные'!$B$14</f>
        <v/>
      </c>
      <c r="BN1450">
        <f>'19_Расчет_аналитики'!BM1449*'01_Вводные'!$B$14</f>
        <v/>
      </c>
      <c r="BO1450">
        <f>'19_Расчет_аналитики'!BN1449*'01_Вводные'!$B$14</f>
        <v/>
      </c>
    </row>
    <row r="1451">
      <c r="B1451">
        <f>'06_Сеть_и_дети'!B84</f>
        <v/>
      </c>
      <c r="C1451">
        <f>'06_Сеть_и_дети'!C84</f>
        <v/>
      </c>
      <c r="D1451">
        <f>'06_Сеть_и_дети'!D84</f>
        <v/>
      </c>
      <c r="E1451">
        <f>'19_Расчет_аналитики'!D1450*'01_Вводные'!$B$14</f>
        <v/>
      </c>
      <c r="F1451">
        <f>'19_Расчет_аналитики'!E1450*'01_Вводные'!$B$14</f>
        <v/>
      </c>
      <c r="G1451">
        <f>'19_Расчет_аналитики'!F1450*'01_Вводные'!$B$14</f>
        <v/>
      </c>
      <c r="H1451">
        <f>'19_Расчет_аналитики'!G1450*'01_Вводные'!$B$14</f>
        <v/>
      </c>
      <c r="I1451">
        <f>'19_Расчет_аналитики'!H1450*'01_Вводные'!$B$14</f>
        <v/>
      </c>
      <c r="J1451">
        <f>'19_Расчет_аналитики'!I1450*'01_Вводные'!$B$14</f>
        <v/>
      </c>
      <c r="K1451">
        <f>'19_Расчет_аналитики'!J1450*'01_Вводные'!$B$14</f>
        <v/>
      </c>
      <c r="L1451">
        <f>'19_Расчет_аналитики'!K1450*'01_Вводные'!$B$14</f>
        <v/>
      </c>
      <c r="M1451">
        <f>'19_Расчет_аналитики'!L1450*'01_Вводные'!$B$14</f>
        <v/>
      </c>
      <c r="N1451">
        <f>'19_Расчет_аналитики'!M1450*'01_Вводные'!$B$14</f>
        <v/>
      </c>
      <c r="O1451">
        <f>'19_Расчет_аналитики'!N1450*'01_Вводные'!$B$14</f>
        <v/>
      </c>
      <c r="P1451">
        <f>'19_Расчет_аналитики'!O1450*'01_Вводные'!$B$14</f>
        <v/>
      </c>
      <c r="Q1451">
        <f>'19_Расчет_аналитики'!P1450*'01_Вводные'!$B$14</f>
        <v/>
      </c>
      <c r="R1451">
        <f>'19_Расчет_аналитики'!Q1450*'01_Вводные'!$B$14</f>
        <v/>
      </c>
      <c r="S1451">
        <f>'19_Расчет_аналитики'!R1450*'01_Вводные'!$B$14</f>
        <v/>
      </c>
      <c r="T1451">
        <f>'19_Расчет_аналитики'!S1450*'01_Вводные'!$B$14</f>
        <v/>
      </c>
      <c r="U1451">
        <f>'19_Расчет_аналитики'!T1450*'01_Вводные'!$B$14</f>
        <v/>
      </c>
      <c r="V1451">
        <f>'19_Расчет_аналитики'!U1450*'01_Вводные'!$B$14</f>
        <v/>
      </c>
      <c r="W1451">
        <f>'19_Расчет_аналитики'!V1450*'01_Вводные'!$B$14</f>
        <v/>
      </c>
      <c r="X1451">
        <f>'19_Расчет_аналитики'!W1450*'01_Вводные'!$B$14</f>
        <v/>
      </c>
      <c r="Y1451">
        <f>'19_Расчет_аналитики'!X1450*'01_Вводные'!$B$14</f>
        <v/>
      </c>
      <c r="Z1451">
        <f>'19_Расчет_аналитики'!Y1450*'01_Вводные'!$B$14</f>
        <v/>
      </c>
      <c r="AA1451">
        <f>'19_Расчет_аналитики'!Z1450*'01_Вводные'!$B$14</f>
        <v/>
      </c>
      <c r="AB1451">
        <f>'19_Расчет_аналитики'!AA1450*'01_Вводные'!$B$14</f>
        <v/>
      </c>
      <c r="AC1451">
        <f>'19_Расчет_аналитики'!AB1450*'01_Вводные'!$B$14</f>
        <v/>
      </c>
      <c r="AD1451">
        <f>'19_Расчет_аналитики'!AC1450*'01_Вводные'!$B$14</f>
        <v/>
      </c>
      <c r="AE1451">
        <f>'19_Расчет_аналитики'!AD1450*'01_Вводные'!$B$14</f>
        <v/>
      </c>
      <c r="AF1451">
        <f>'19_Расчет_аналитики'!AE1450*'01_Вводные'!$B$14</f>
        <v/>
      </c>
      <c r="AG1451">
        <f>'19_Расчет_аналитики'!AF1450*'01_Вводные'!$B$14</f>
        <v/>
      </c>
      <c r="AH1451">
        <f>'19_Расчет_аналитики'!AG1450*'01_Вводные'!$B$14</f>
        <v/>
      </c>
      <c r="AI1451">
        <f>'19_Расчет_аналитики'!AH1450*'01_Вводные'!$B$14</f>
        <v/>
      </c>
      <c r="AJ1451">
        <f>'19_Расчет_аналитики'!AI1450*'01_Вводные'!$B$14</f>
        <v/>
      </c>
      <c r="AK1451">
        <f>'19_Расчет_аналитики'!AJ1450*'01_Вводные'!$B$14</f>
        <v/>
      </c>
      <c r="AL1451">
        <f>'19_Расчет_аналитики'!AK1450*'01_Вводные'!$B$14</f>
        <v/>
      </c>
      <c r="AM1451">
        <f>'19_Расчет_аналитики'!AL1450*'01_Вводные'!$B$14</f>
        <v/>
      </c>
      <c r="AN1451">
        <f>'19_Расчет_аналитики'!AM1450*'01_Вводные'!$B$14</f>
        <v/>
      </c>
      <c r="AO1451">
        <f>'19_Расчет_аналитики'!AN1450*'01_Вводные'!$B$14</f>
        <v/>
      </c>
      <c r="AP1451">
        <f>'19_Расчет_аналитики'!AO1450*'01_Вводные'!$B$14</f>
        <v/>
      </c>
      <c r="AQ1451">
        <f>'19_Расчет_аналитики'!AP1450*'01_Вводные'!$B$14</f>
        <v/>
      </c>
      <c r="AR1451">
        <f>'19_Расчет_аналитики'!AQ1450*'01_Вводные'!$B$14</f>
        <v/>
      </c>
      <c r="AS1451">
        <f>'19_Расчет_аналитики'!AR1450*'01_Вводные'!$B$14</f>
        <v/>
      </c>
      <c r="AT1451">
        <f>'19_Расчет_аналитики'!AS1450*'01_Вводные'!$B$14</f>
        <v/>
      </c>
      <c r="AU1451">
        <f>'19_Расчет_аналитики'!AT1450*'01_Вводные'!$B$14</f>
        <v/>
      </c>
      <c r="AV1451">
        <f>'19_Расчет_аналитики'!AU1450*'01_Вводные'!$B$14</f>
        <v/>
      </c>
      <c r="AW1451">
        <f>'19_Расчет_аналитики'!AV1450*'01_Вводные'!$B$14</f>
        <v/>
      </c>
      <c r="AX1451">
        <f>'19_Расчет_аналитики'!AW1450*'01_Вводные'!$B$14</f>
        <v/>
      </c>
      <c r="AY1451">
        <f>'19_Расчет_аналитики'!AX1450*'01_Вводные'!$B$14</f>
        <v/>
      </c>
      <c r="AZ1451">
        <f>'19_Расчет_аналитики'!AY1450*'01_Вводные'!$B$14</f>
        <v/>
      </c>
      <c r="BA1451">
        <f>'19_Расчет_аналитики'!AZ1450*'01_Вводные'!$B$14</f>
        <v/>
      </c>
      <c r="BB1451">
        <f>'19_Расчет_аналитики'!BA1450*'01_Вводные'!$B$14</f>
        <v/>
      </c>
      <c r="BC1451">
        <f>'19_Расчет_аналитики'!BB1450*'01_Вводные'!$B$14</f>
        <v/>
      </c>
      <c r="BD1451">
        <f>'19_Расчет_аналитики'!BC1450*'01_Вводные'!$B$14</f>
        <v/>
      </c>
      <c r="BE1451">
        <f>'19_Расчет_аналитики'!BD1450*'01_Вводные'!$B$14</f>
        <v/>
      </c>
      <c r="BF1451">
        <f>'19_Расчет_аналитики'!BE1450*'01_Вводные'!$B$14</f>
        <v/>
      </c>
      <c r="BG1451">
        <f>'19_Расчет_аналитики'!BF1450*'01_Вводные'!$B$14</f>
        <v/>
      </c>
      <c r="BH1451">
        <f>'19_Расчет_аналитики'!BG1450*'01_Вводные'!$B$14</f>
        <v/>
      </c>
      <c r="BI1451">
        <f>'19_Расчет_аналитики'!BH1450*'01_Вводные'!$B$14</f>
        <v/>
      </c>
      <c r="BJ1451">
        <f>'19_Расчет_аналитики'!BI1450*'01_Вводные'!$B$14</f>
        <v/>
      </c>
      <c r="BK1451">
        <f>'19_Расчет_аналитики'!BJ1450*'01_Вводные'!$B$14</f>
        <v/>
      </c>
      <c r="BL1451">
        <f>'19_Расчет_аналитики'!BK1450*'01_Вводные'!$B$14</f>
        <v/>
      </c>
      <c r="BM1451">
        <f>'19_Расчет_аналитики'!BL1450*'01_Вводные'!$B$14</f>
        <v/>
      </c>
      <c r="BN1451">
        <f>'19_Расчет_аналитики'!BM1450*'01_Вводные'!$B$14</f>
        <v/>
      </c>
      <c r="BO1451">
        <f>'19_Расчет_аналитики'!BN1450*'01_Вводные'!$B$14</f>
        <v/>
      </c>
    </row>
    <row r="1452">
      <c r="B1452">
        <f>'06_Сеть_и_дети'!B85</f>
        <v/>
      </c>
      <c r="C1452">
        <f>'06_Сеть_и_дети'!C85</f>
        <v/>
      </c>
      <c r="D1452">
        <f>'06_Сеть_и_дети'!D85</f>
        <v/>
      </c>
      <c r="E1452">
        <f>'06_Сеть_и_дети'!E85</f>
        <v/>
      </c>
      <c r="F1452">
        <f>'19_Расчет_аналитики'!E1451*'01_Вводные'!$B$14</f>
        <v/>
      </c>
      <c r="G1452">
        <f>'19_Расчет_аналитики'!F1451*'01_Вводные'!$B$14</f>
        <v/>
      </c>
      <c r="H1452">
        <f>'19_Расчет_аналитики'!G1451*'01_Вводные'!$B$14</f>
        <v/>
      </c>
      <c r="I1452">
        <f>'19_Расчет_аналитики'!H1451*'01_Вводные'!$B$14</f>
        <v/>
      </c>
      <c r="J1452">
        <f>'19_Расчет_аналитики'!I1451*'01_Вводные'!$B$14</f>
        <v/>
      </c>
      <c r="K1452">
        <f>'19_Расчет_аналитики'!J1451*'01_Вводные'!$B$14</f>
        <v/>
      </c>
      <c r="L1452">
        <f>'19_Расчет_аналитики'!K1451*'01_Вводные'!$B$14</f>
        <v/>
      </c>
      <c r="M1452">
        <f>'19_Расчет_аналитики'!L1451*'01_Вводные'!$B$14</f>
        <v/>
      </c>
      <c r="N1452">
        <f>'19_Расчет_аналитики'!M1451*'01_Вводные'!$B$14</f>
        <v/>
      </c>
      <c r="O1452">
        <f>'19_Расчет_аналитики'!N1451*'01_Вводные'!$B$14</f>
        <v/>
      </c>
      <c r="P1452">
        <f>'19_Расчет_аналитики'!O1451*'01_Вводные'!$B$14</f>
        <v/>
      </c>
      <c r="Q1452">
        <f>'19_Расчет_аналитики'!P1451*'01_Вводные'!$B$14</f>
        <v/>
      </c>
      <c r="R1452">
        <f>'19_Расчет_аналитики'!Q1451*'01_Вводные'!$B$14</f>
        <v/>
      </c>
      <c r="S1452">
        <f>'19_Расчет_аналитики'!R1451*'01_Вводные'!$B$14</f>
        <v/>
      </c>
      <c r="T1452">
        <f>'19_Расчет_аналитики'!S1451*'01_Вводные'!$B$14</f>
        <v/>
      </c>
      <c r="U1452">
        <f>'19_Расчет_аналитики'!T1451*'01_Вводные'!$B$14</f>
        <v/>
      </c>
      <c r="V1452">
        <f>'19_Расчет_аналитики'!U1451*'01_Вводные'!$B$14</f>
        <v/>
      </c>
      <c r="W1452">
        <f>'19_Расчет_аналитики'!V1451*'01_Вводные'!$B$14</f>
        <v/>
      </c>
      <c r="X1452">
        <f>'19_Расчет_аналитики'!W1451*'01_Вводные'!$B$14</f>
        <v/>
      </c>
      <c r="Y1452">
        <f>'19_Расчет_аналитики'!X1451*'01_Вводные'!$B$14</f>
        <v/>
      </c>
      <c r="Z1452">
        <f>'19_Расчет_аналитики'!Y1451*'01_Вводные'!$B$14</f>
        <v/>
      </c>
      <c r="AA1452">
        <f>'19_Расчет_аналитики'!Z1451*'01_Вводные'!$B$14</f>
        <v/>
      </c>
      <c r="AB1452">
        <f>'19_Расчет_аналитики'!AA1451*'01_Вводные'!$B$14</f>
        <v/>
      </c>
      <c r="AC1452">
        <f>'19_Расчет_аналитики'!AB1451*'01_Вводные'!$B$14</f>
        <v/>
      </c>
      <c r="AD1452">
        <f>'19_Расчет_аналитики'!AC1451*'01_Вводные'!$B$14</f>
        <v/>
      </c>
      <c r="AE1452">
        <f>'19_Расчет_аналитики'!AD1451*'01_Вводные'!$B$14</f>
        <v/>
      </c>
      <c r="AF1452">
        <f>'19_Расчет_аналитики'!AE1451*'01_Вводные'!$B$14</f>
        <v/>
      </c>
      <c r="AG1452">
        <f>'19_Расчет_аналитики'!AF1451*'01_Вводные'!$B$14</f>
        <v/>
      </c>
      <c r="AH1452">
        <f>'19_Расчет_аналитики'!AG1451*'01_Вводные'!$B$14</f>
        <v/>
      </c>
      <c r="AI1452">
        <f>'19_Расчет_аналитики'!AH1451*'01_Вводные'!$B$14</f>
        <v/>
      </c>
      <c r="AJ1452">
        <f>'19_Расчет_аналитики'!AI1451*'01_Вводные'!$B$14</f>
        <v/>
      </c>
      <c r="AK1452">
        <f>'19_Расчет_аналитики'!AJ1451*'01_Вводные'!$B$14</f>
        <v/>
      </c>
      <c r="AL1452">
        <f>'19_Расчет_аналитики'!AK1451*'01_Вводные'!$B$14</f>
        <v/>
      </c>
      <c r="AM1452">
        <f>'19_Расчет_аналитики'!AL1451*'01_Вводные'!$B$14</f>
        <v/>
      </c>
      <c r="AN1452">
        <f>'19_Расчет_аналитики'!AM1451*'01_Вводные'!$B$14</f>
        <v/>
      </c>
      <c r="AO1452">
        <f>'19_Расчет_аналитики'!AN1451*'01_Вводные'!$B$14</f>
        <v/>
      </c>
      <c r="AP1452">
        <f>'19_Расчет_аналитики'!AO1451*'01_Вводные'!$B$14</f>
        <v/>
      </c>
      <c r="AQ1452">
        <f>'19_Расчет_аналитики'!AP1451*'01_Вводные'!$B$14</f>
        <v/>
      </c>
      <c r="AR1452">
        <f>'19_Расчет_аналитики'!AQ1451*'01_Вводные'!$B$14</f>
        <v/>
      </c>
      <c r="AS1452">
        <f>'19_Расчет_аналитики'!AR1451*'01_Вводные'!$B$14</f>
        <v/>
      </c>
      <c r="AT1452">
        <f>'19_Расчет_аналитики'!AS1451*'01_Вводные'!$B$14</f>
        <v/>
      </c>
      <c r="AU1452">
        <f>'19_Расчет_аналитики'!AT1451*'01_Вводные'!$B$14</f>
        <v/>
      </c>
      <c r="AV1452">
        <f>'19_Расчет_аналитики'!AU1451*'01_Вводные'!$B$14</f>
        <v/>
      </c>
      <c r="AW1452">
        <f>'19_Расчет_аналитики'!AV1451*'01_Вводные'!$B$14</f>
        <v/>
      </c>
      <c r="AX1452">
        <f>'19_Расчет_аналитики'!AW1451*'01_Вводные'!$B$14</f>
        <v/>
      </c>
      <c r="AY1452">
        <f>'19_Расчет_аналитики'!AX1451*'01_Вводные'!$B$14</f>
        <v/>
      </c>
      <c r="AZ1452">
        <f>'19_Расчет_аналитики'!AY1451*'01_Вводные'!$B$14</f>
        <v/>
      </c>
      <c r="BA1452">
        <f>'19_Расчет_аналитики'!AZ1451*'01_Вводные'!$B$14</f>
        <v/>
      </c>
      <c r="BB1452">
        <f>'19_Расчет_аналитики'!BA1451*'01_Вводные'!$B$14</f>
        <v/>
      </c>
      <c r="BC1452">
        <f>'19_Расчет_аналитики'!BB1451*'01_Вводные'!$B$14</f>
        <v/>
      </c>
      <c r="BD1452">
        <f>'19_Расчет_аналитики'!BC1451*'01_Вводные'!$B$14</f>
        <v/>
      </c>
      <c r="BE1452">
        <f>'19_Расчет_аналитики'!BD1451*'01_Вводные'!$B$14</f>
        <v/>
      </c>
      <c r="BF1452">
        <f>'19_Расчет_аналитики'!BE1451*'01_Вводные'!$B$14</f>
        <v/>
      </c>
      <c r="BG1452">
        <f>'19_Расчет_аналитики'!BF1451*'01_Вводные'!$B$14</f>
        <v/>
      </c>
      <c r="BH1452">
        <f>'19_Расчет_аналитики'!BG1451*'01_Вводные'!$B$14</f>
        <v/>
      </c>
      <c r="BI1452">
        <f>'19_Расчет_аналитики'!BH1451*'01_Вводные'!$B$14</f>
        <v/>
      </c>
      <c r="BJ1452">
        <f>'19_Расчет_аналитики'!BI1451*'01_Вводные'!$B$14</f>
        <v/>
      </c>
      <c r="BK1452">
        <f>'19_Расчет_аналитики'!BJ1451*'01_Вводные'!$B$14</f>
        <v/>
      </c>
      <c r="BL1452">
        <f>'19_Расчет_аналитики'!BK1451*'01_Вводные'!$B$14</f>
        <v/>
      </c>
      <c r="BM1452">
        <f>'19_Расчет_аналитики'!BL1451*'01_Вводные'!$B$14</f>
        <v/>
      </c>
      <c r="BN1452">
        <f>'19_Расчет_аналитики'!BM1451*'01_Вводные'!$B$14</f>
        <v/>
      </c>
      <c r="BO1452">
        <f>'19_Расчет_аналитики'!BN1451*'01_Вводные'!$B$14</f>
        <v/>
      </c>
    </row>
    <row r="1453">
      <c r="B1453">
        <f>'06_Сеть_и_дети'!B86</f>
        <v/>
      </c>
      <c r="C1453">
        <f>'06_Сеть_и_дети'!C86</f>
        <v/>
      </c>
      <c r="D1453">
        <f>'06_Сеть_и_дети'!D86</f>
        <v/>
      </c>
      <c r="E1453">
        <f>'06_Сеть_и_дети'!E86</f>
        <v/>
      </c>
      <c r="F1453">
        <f>'06_Сеть_и_дети'!F86</f>
        <v/>
      </c>
      <c r="G1453">
        <f>'19_Расчет_аналитики'!F1452*'01_Вводные'!$B$14</f>
        <v/>
      </c>
      <c r="H1453">
        <f>'19_Расчет_аналитики'!G1452*'01_Вводные'!$B$14</f>
        <v/>
      </c>
      <c r="I1453">
        <f>'19_Расчет_аналитики'!H1452*'01_Вводные'!$B$14</f>
        <v/>
      </c>
      <c r="J1453">
        <f>'19_Расчет_аналитики'!I1452*'01_Вводные'!$B$14</f>
        <v/>
      </c>
      <c r="K1453">
        <f>'19_Расчет_аналитики'!J1452*'01_Вводные'!$B$14</f>
        <v/>
      </c>
      <c r="L1453">
        <f>'19_Расчет_аналитики'!K1452*'01_Вводные'!$B$14</f>
        <v/>
      </c>
      <c r="M1453">
        <f>'19_Расчет_аналитики'!L1452*'01_Вводные'!$B$14</f>
        <v/>
      </c>
      <c r="N1453">
        <f>'19_Расчет_аналитики'!M1452*'01_Вводные'!$B$14</f>
        <v/>
      </c>
      <c r="O1453">
        <f>'19_Расчет_аналитики'!N1452*'01_Вводные'!$B$14</f>
        <v/>
      </c>
      <c r="P1453">
        <f>'19_Расчет_аналитики'!O1452*'01_Вводные'!$B$14</f>
        <v/>
      </c>
      <c r="Q1453">
        <f>'19_Расчет_аналитики'!P1452*'01_Вводные'!$B$14</f>
        <v/>
      </c>
      <c r="R1453">
        <f>'19_Расчет_аналитики'!Q1452*'01_Вводные'!$B$14</f>
        <v/>
      </c>
      <c r="S1453">
        <f>'19_Расчет_аналитики'!R1452*'01_Вводные'!$B$14</f>
        <v/>
      </c>
      <c r="T1453">
        <f>'19_Расчет_аналитики'!S1452*'01_Вводные'!$B$14</f>
        <v/>
      </c>
      <c r="U1453">
        <f>'19_Расчет_аналитики'!T1452*'01_Вводные'!$B$14</f>
        <v/>
      </c>
      <c r="V1453">
        <f>'19_Расчет_аналитики'!U1452*'01_Вводные'!$B$14</f>
        <v/>
      </c>
      <c r="W1453">
        <f>'19_Расчет_аналитики'!V1452*'01_Вводные'!$B$14</f>
        <v/>
      </c>
      <c r="X1453">
        <f>'19_Расчет_аналитики'!W1452*'01_Вводные'!$B$14</f>
        <v/>
      </c>
      <c r="Y1453">
        <f>'19_Расчет_аналитики'!X1452*'01_Вводные'!$B$14</f>
        <v/>
      </c>
      <c r="Z1453">
        <f>'19_Расчет_аналитики'!Y1452*'01_Вводные'!$B$14</f>
        <v/>
      </c>
      <c r="AA1453">
        <f>'19_Расчет_аналитики'!Z1452*'01_Вводные'!$B$14</f>
        <v/>
      </c>
      <c r="AB1453">
        <f>'19_Расчет_аналитики'!AA1452*'01_Вводные'!$B$14</f>
        <v/>
      </c>
      <c r="AC1453">
        <f>'19_Расчет_аналитики'!AB1452*'01_Вводные'!$B$14</f>
        <v/>
      </c>
      <c r="AD1453">
        <f>'19_Расчет_аналитики'!AC1452*'01_Вводные'!$B$14</f>
        <v/>
      </c>
      <c r="AE1453">
        <f>'19_Расчет_аналитики'!AD1452*'01_Вводные'!$B$14</f>
        <v/>
      </c>
      <c r="AF1453">
        <f>'19_Расчет_аналитики'!AE1452*'01_Вводные'!$B$14</f>
        <v/>
      </c>
      <c r="AG1453">
        <f>'19_Расчет_аналитики'!AF1452*'01_Вводные'!$B$14</f>
        <v/>
      </c>
      <c r="AH1453">
        <f>'19_Расчет_аналитики'!AG1452*'01_Вводные'!$B$14</f>
        <v/>
      </c>
      <c r="AI1453">
        <f>'19_Расчет_аналитики'!AH1452*'01_Вводные'!$B$14</f>
        <v/>
      </c>
      <c r="AJ1453">
        <f>'19_Расчет_аналитики'!AI1452*'01_Вводные'!$B$14</f>
        <v/>
      </c>
      <c r="AK1453">
        <f>'19_Расчет_аналитики'!AJ1452*'01_Вводные'!$B$14</f>
        <v/>
      </c>
      <c r="AL1453">
        <f>'19_Расчет_аналитики'!AK1452*'01_Вводные'!$B$14</f>
        <v/>
      </c>
      <c r="AM1453">
        <f>'19_Расчет_аналитики'!AL1452*'01_Вводные'!$B$14</f>
        <v/>
      </c>
      <c r="AN1453">
        <f>'19_Расчет_аналитики'!AM1452*'01_Вводные'!$B$14</f>
        <v/>
      </c>
      <c r="AO1453">
        <f>'19_Расчет_аналитики'!AN1452*'01_Вводные'!$B$14</f>
        <v/>
      </c>
      <c r="AP1453">
        <f>'19_Расчет_аналитики'!AO1452*'01_Вводные'!$B$14</f>
        <v/>
      </c>
      <c r="AQ1453">
        <f>'19_Расчет_аналитики'!AP1452*'01_Вводные'!$B$14</f>
        <v/>
      </c>
      <c r="AR1453">
        <f>'19_Расчет_аналитики'!AQ1452*'01_Вводные'!$B$14</f>
        <v/>
      </c>
      <c r="AS1453">
        <f>'19_Расчет_аналитики'!AR1452*'01_Вводные'!$B$14</f>
        <v/>
      </c>
      <c r="AT1453">
        <f>'19_Расчет_аналитики'!AS1452*'01_Вводные'!$B$14</f>
        <v/>
      </c>
      <c r="AU1453">
        <f>'19_Расчет_аналитики'!AT1452*'01_Вводные'!$B$14</f>
        <v/>
      </c>
      <c r="AV1453">
        <f>'19_Расчет_аналитики'!AU1452*'01_Вводные'!$B$14</f>
        <v/>
      </c>
      <c r="AW1453">
        <f>'19_Расчет_аналитики'!AV1452*'01_Вводные'!$B$14</f>
        <v/>
      </c>
      <c r="AX1453">
        <f>'19_Расчет_аналитики'!AW1452*'01_Вводные'!$B$14</f>
        <v/>
      </c>
      <c r="AY1453">
        <f>'19_Расчет_аналитики'!AX1452*'01_Вводные'!$B$14</f>
        <v/>
      </c>
      <c r="AZ1453">
        <f>'19_Расчет_аналитики'!AY1452*'01_Вводные'!$B$14</f>
        <v/>
      </c>
      <c r="BA1453">
        <f>'19_Расчет_аналитики'!AZ1452*'01_Вводные'!$B$14</f>
        <v/>
      </c>
      <c r="BB1453">
        <f>'19_Расчет_аналитики'!BA1452*'01_Вводные'!$B$14</f>
        <v/>
      </c>
      <c r="BC1453">
        <f>'19_Расчет_аналитики'!BB1452*'01_Вводные'!$B$14</f>
        <v/>
      </c>
      <c r="BD1453">
        <f>'19_Расчет_аналитики'!BC1452*'01_Вводные'!$B$14</f>
        <v/>
      </c>
      <c r="BE1453">
        <f>'19_Расчет_аналитики'!BD1452*'01_Вводные'!$B$14</f>
        <v/>
      </c>
      <c r="BF1453">
        <f>'19_Расчет_аналитики'!BE1452*'01_Вводные'!$B$14</f>
        <v/>
      </c>
      <c r="BG1453">
        <f>'19_Расчет_аналитики'!BF1452*'01_Вводные'!$B$14</f>
        <v/>
      </c>
      <c r="BH1453">
        <f>'19_Расчет_аналитики'!BG1452*'01_Вводные'!$B$14</f>
        <v/>
      </c>
      <c r="BI1453">
        <f>'19_Расчет_аналитики'!BH1452*'01_Вводные'!$B$14</f>
        <v/>
      </c>
      <c r="BJ1453">
        <f>'19_Расчет_аналитики'!BI1452*'01_Вводные'!$B$14</f>
        <v/>
      </c>
      <c r="BK1453">
        <f>'19_Расчет_аналитики'!BJ1452*'01_Вводные'!$B$14</f>
        <v/>
      </c>
      <c r="BL1453">
        <f>'19_Расчет_аналитики'!BK1452*'01_Вводные'!$B$14</f>
        <v/>
      </c>
      <c r="BM1453">
        <f>'19_Расчет_аналитики'!BL1452*'01_Вводные'!$B$14</f>
        <v/>
      </c>
      <c r="BN1453">
        <f>'19_Расчет_аналитики'!BM1452*'01_Вводные'!$B$14</f>
        <v/>
      </c>
      <c r="BO1453">
        <f>'19_Расчет_аналитики'!BN1452*'01_Вводные'!$B$14</f>
        <v/>
      </c>
    </row>
    <row r="1454">
      <c r="B1454">
        <f>'06_Сеть_и_дети'!B87</f>
        <v/>
      </c>
      <c r="C1454">
        <f>'06_Сеть_и_дети'!C87</f>
        <v/>
      </c>
      <c r="D1454">
        <f>'06_Сеть_и_дети'!D87</f>
        <v/>
      </c>
      <c r="E1454">
        <f>'06_Сеть_и_дети'!E87</f>
        <v/>
      </c>
      <c r="F1454">
        <f>'06_Сеть_и_дети'!F87</f>
        <v/>
      </c>
      <c r="G1454">
        <f>'06_Сеть_и_дети'!G87</f>
        <v/>
      </c>
      <c r="H1454">
        <f>'19_Расчет_аналитики'!G1453*'01_Вводные'!$B$14</f>
        <v/>
      </c>
      <c r="I1454">
        <f>'19_Расчет_аналитики'!H1453*'01_Вводные'!$B$14</f>
        <v/>
      </c>
      <c r="J1454">
        <f>'19_Расчет_аналитики'!I1453*'01_Вводные'!$B$14</f>
        <v/>
      </c>
      <c r="K1454">
        <f>'19_Расчет_аналитики'!J1453*'01_Вводные'!$B$14</f>
        <v/>
      </c>
      <c r="L1454">
        <f>'19_Расчет_аналитики'!K1453*'01_Вводные'!$B$14</f>
        <v/>
      </c>
      <c r="M1454">
        <f>'19_Расчет_аналитики'!L1453*'01_Вводные'!$B$14</f>
        <v/>
      </c>
      <c r="N1454">
        <f>'19_Расчет_аналитики'!M1453*'01_Вводные'!$B$14</f>
        <v/>
      </c>
      <c r="O1454">
        <f>'19_Расчет_аналитики'!N1453*'01_Вводные'!$B$14</f>
        <v/>
      </c>
      <c r="P1454">
        <f>'19_Расчет_аналитики'!O1453*'01_Вводные'!$B$14</f>
        <v/>
      </c>
      <c r="Q1454">
        <f>'19_Расчет_аналитики'!P1453*'01_Вводные'!$B$14</f>
        <v/>
      </c>
      <c r="R1454">
        <f>'19_Расчет_аналитики'!Q1453*'01_Вводные'!$B$14</f>
        <v/>
      </c>
      <c r="S1454">
        <f>'19_Расчет_аналитики'!R1453*'01_Вводные'!$B$14</f>
        <v/>
      </c>
      <c r="T1454">
        <f>'19_Расчет_аналитики'!S1453*'01_Вводные'!$B$14</f>
        <v/>
      </c>
      <c r="U1454">
        <f>'19_Расчет_аналитики'!T1453*'01_Вводные'!$B$14</f>
        <v/>
      </c>
      <c r="V1454">
        <f>'19_Расчет_аналитики'!U1453*'01_Вводные'!$B$14</f>
        <v/>
      </c>
      <c r="W1454">
        <f>'19_Расчет_аналитики'!V1453*'01_Вводные'!$B$14</f>
        <v/>
      </c>
      <c r="X1454">
        <f>'19_Расчет_аналитики'!W1453*'01_Вводные'!$B$14</f>
        <v/>
      </c>
      <c r="Y1454">
        <f>'19_Расчет_аналитики'!X1453*'01_Вводные'!$B$14</f>
        <v/>
      </c>
      <c r="Z1454">
        <f>'19_Расчет_аналитики'!Y1453*'01_Вводные'!$B$14</f>
        <v/>
      </c>
      <c r="AA1454">
        <f>'19_Расчет_аналитики'!Z1453*'01_Вводные'!$B$14</f>
        <v/>
      </c>
      <c r="AB1454">
        <f>'19_Расчет_аналитики'!AA1453*'01_Вводные'!$B$14</f>
        <v/>
      </c>
      <c r="AC1454">
        <f>'19_Расчет_аналитики'!AB1453*'01_Вводные'!$B$14</f>
        <v/>
      </c>
      <c r="AD1454">
        <f>'19_Расчет_аналитики'!AC1453*'01_Вводные'!$B$14</f>
        <v/>
      </c>
      <c r="AE1454">
        <f>'19_Расчет_аналитики'!AD1453*'01_Вводные'!$B$14</f>
        <v/>
      </c>
      <c r="AF1454">
        <f>'19_Расчет_аналитики'!AE1453*'01_Вводные'!$B$14</f>
        <v/>
      </c>
      <c r="AG1454">
        <f>'19_Расчет_аналитики'!AF1453*'01_Вводные'!$B$14</f>
        <v/>
      </c>
      <c r="AH1454">
        <f>'19_Расчет_аналитики'!AG1453*'01_Вводные'!$B$14</f>
        <v/>
      </c>
      <c r="AI1454">
        <f>'19_Расчет_аналитики'!AH1453*'01_Вводные'!$B$14</f>
        <v/>
      </c>
      <c r="AJ1454">
        <f>'19_Расчет_аналитики'!AI1453*'01_Вводные'!$B$14</f>
        <v/>
      </c>
      <c r="AK1454">
        <f>'19_Расчет_аналитики'!AJ1453*'01_Вводные'!$B$14</f>
        <v/>
      </c>
      <c r="AL1454">
        <f>'19_Расчет_аналитики'!AK1453*'01_Вводные'!$B$14</f>
        <v/>
      </c>
      <c r="AM1454">
        <f>'19_Расчет_аналитики'!AL1453*'01_Вводные'!$B$14</f>
        <v/>
      </c>
      <c r="AN1454">
        <f>'19_Расчет_аналитики'!AM1453*'01_Вводные'!$B$14</f>
        <v/>
      </c>
      <c r="AO1454">
        <f>'19_Расчет_аналитики'!AN1453*'01_Вводные'!$B$14</f>
        <v/>
      </c>
      <c r="AP1454">
        <f>'19_Расчет_аналитики'!AO1453*'01_Вводные'!$B$14</f>
        <v/>
      </c>
      <c r="AQ1454">
        <f>'19_Расчет_аналитики'!AP1453*'01_Вводные'!$B$14</f>
        <v/>
      </c>
      <c r="AR1454">
        <f>'19_Расчет_аналитики'!AQ1453*'01_Вводные'!$B$14</f>
        <v/>
      </c>
      <c r="AS1454">
        <f>'19_Расчет_аналитики'!AR1453*'01_Вводные'!$B$14</f>
        <v/>
      </c>
      <c r="AT1454">
        <f>'19_Расчет_аналитики'!AS1453*'01_Вводные'!$B$14</f>
        <v/>
      </c>
      <c r="AU1454">
        <f>'19_Расчет_аналитики'!AT1453*'01_Вводные'!$B$14</f>
        <v/>
      </c>
      <c r="AV1454">
        <f>'19_Расчет_аналитики'!AU1453*'01_Вводные'!$B$14</f>
        <v/>
      </c>
      <c r="AW1454">
        <f>'19_Расчет_аналитики'!AV1453*'01_Вводные'!$B$14</f>
        <v/>
      </c>
      <c r="AX1454">
        <f>'19_Расчет_аналитики'!AW1453*'01_Вводные'!$B$14</f>
        <v/>
      </c>
      <c r="AY1454">
        <f>'19_Расчет_аналитики'!AX1453*'01_Вводные'!$B$14</f>
        <v/>
      </c>
      <c r="AZ1454">
        <f>'19_Расчет_аналитики'!AY1453*'01_Вводные'!$B$14</f>
        <v/>
      </c>
      <c r="BA1454">
        <f>'19_Расчет_аналитики'!AZ1453*'01_Вводные'!$B$14</f>
        <v/>
      </c>
      <c r="BB1454">
        <f>'19_Расчет_аналитики'!BA1453*'01_Вводные'!$B$14</f>
        <v/>
      </c>
      <c r="BC1454">
        <f>'19_Расчет_аналитики'!BB1453*'01_Вводные'!$B$14</f>
        <v/>
      </c>
      <c r="BD1454">
        <f>'19_Расчет_аналитики'!BC1453*'01_Вводные'!$B$14</f>
        <v/>
      </c>
      <c r="BE1454">
        <f>'19_Расчет_аналитики'!BD1453*'01_Вводные'!$B$14</f>
        <v/>
      </c>
      <c r="BF1454">
        <f>'19_Расчет_аналитики'!BE1453*'01_Вводные'!$B$14</f>
        <v/>
      </c>
      <c r="BG1454">
        <f>'19_Расчет_аналитики'!BF1453*'01_Вводные'!$B$14</f>
        <v/>
      </c>
      <c r="BH1454">
        <f>'19_Расчет_аналитики'!BG1453*'01_Вводные'!$B$14</f>
        <v/>
      </c>
      <c r="BI1454">
        <f>'19_Расчет_аналитики'!BH1453*'01_Вводные'!$B$14</f>
        <v/>
      </c>
      <c r="BJ1454">
        <f>'19_Расчет_аналитики'!BI1453*'01_Вводные'!$B$14</f>
        <v/>
      </c>
      <c r="BK1454">
        <f>'19_Расчет_аналитики'!BJ1453*'01_Вводные'!$B$14</f>
        <v/>
      </c>
      <c r="BL1454">
        <f>'19_Расчет_аналитики'!BK1453*'01_Вводные'!$B$14</f>
        <v/>
      </c>
      <c r="BM1454">
        <f>'19_Расчет_аналитики'!BL1453*'01_Вводные'!$B$14</f>
        <v/>
      </c>
      <c r="BN1454">
        <f>'19_Расчет_аналитики'!BM1453*'01_Вводные'!$B$14</f>
        <v/>
      </c>
      <c r="BO1454">
        <f>'19_Расчет_аналитики'!BN1453*'01_Вводные'!$B$14</f>
        <v/>
      </c>
    </row>
    <row r="1455">
      <c r="B1455">
        <f>'06_Сеть_и_дети'!B88</f>
        <v/>
      </c>
      <c r="C1455">
        <f>'06_Сеть_и_дети'!C88</f>
        <v/>
      </c>
      <c r="D1455">
        <f>'06_Сеть_и_дети'!D88</f>
        <v/>
      </c>
      <c r="E1455">
        <f>'06_Сеть_и_дети'!E88</f>
        <v/>
      </c>
      <c r="F1455">
        <f>'06_Сеть_и_дети'!F88</f>
        <v/>
      </c>
      <c r="G1455">
        <f>'06_Сеть_и_дети'!G88</f>
        <v/>
      </c>
      <c r="H1455">
        <f>'06_Сеть_и_дети'!H88</f>
        <v/>
      </c>
      <c r="I1455">
        <f>'19_Расчет_аналитики'!H1454*'01_Вводные'!$B$14</f>
        <v/>
      </c>
      <c r="J1455">
        <f>'19_Расчет_аналитики'!I1454*'01_Вводные'!$B$14</f>
        <v/>
      </c>
      <c r="K1455">
        <f>'19_Расчет_аналитики'!J1454*'01_Вводные'!$B$14</f>
        <v/>
      </c>
      <c r="L1455">
        <f>'19_Расчет_аналитики'!K1454*'01_Вводные'!$B$14</f>
        <v/>
      </c>
      <c r="M1455">
        <f>'19_Расчет_аналитики'!L1454*'01_Вводные'!$B$14</f>
        <v/>
      </c>
      <c r="N1455">
        <f>'19_Расчет_аналитики'!M1454*'01_Вводные'!$B$14</f>
        <v/>
      </c>
      <c r="O1455">
        <f>'19_Расчет_аналитики'!N1454*'01_Вводные'!$B$14</f>
        <v/>
      </c>
      <c r="P1455">
        <f>'19_Расчет_аналитики'!O1454*'01_Вводные'!$B$14</f>
        <v/>
      </c>
      <c r="Q1455">
        <f>'19_Расчет_аналитики'!P1454*'01_Вводные'!$B$14</f>
        <v/>
      </c>
      <c r="R1455">
        <f>'19_Расчет_аналитики'!Q1454*'01_Вводные'!$B$14</f>
        <v/>
      </c>
      <c r="S1455">
        <f>'19_Расчет_аналитики'!R1454*'01_Вводные'!$B$14</f>
        <v/>
      </c>
      <c r="T1455">
        <f>'19_Расчет_аналитики'!S1454*'01_Вводные'!$B$14</f>
        <v/>
      </c>
      <c r="U1455">
        <f>'19_Расчет_аналитики'!T1454*'01_Вводные'!$B$14</f>
        <v/>
      </c>
      <c r="V1455">
        <f>'19_Расчет_аналитики'!U1454*'01_Вводные'!$B$14</f>
        <v/>
      </c>
      <c r="W1455">
        <f>'19_Расчет_аналитики'!V1454*'01_Вводные'!$B$14</f>
        <v/>
      </c>
      <c r="X1455">
        <f>'19_Расчет_аналитики'!W1454*'01_Вводные'!$B$14</f>
        <v/>
      </c>
      <c r="Y1455">
        <f>'19_Расчет_аналитики'!X1454*'01_Вводные'!$B$14</f>
        <v/>
      </c>
      <c r="Z1455">
        <f>'19_Расчет_аналитики'!Y1454*'01_Вводные'!$B$14</f>
        <v/>
      </c>
      <c r="AA1455">
        <f>'19_Расчет_аналитики'!Z1454*'01_Вводные'!$B$14</f>
        <v/>
      </c>
      <c r="AB1455">
        <f>'19_Расчет_аналитики'!AA1454*'01_Вводные'!$B$14</f>
        <v/>
      </c>
      <c r="AC1455">
        <f>'19_Расчет_аналитики'!AB1454*'01_Вводные'!$B$14</f>
        <v/>
      </c>
      <c r="AD1455">
        <f>'19_Расчет_аналитики'!AC1454*'01_Вводные'!$B$14</f>
        <v/>
      </c>
      <c r="AE1455">
        <f>'19_Расчет_аналитики'!AD1454*'01_Вводные'!$B$14</f>
        <v/>
      </c>
      <c r="AF1455">
        <f>'19_Расчет_аналитики'!AE1454*'01_Вводные'!$B$14</f>
        <v/>
      </c>
      <c r="AG1455">
        <f>'19_Расчет_аналитики'!AF1454*'01_Вводные'!$B$14</f>
        <v/>
      </c>
      <c r="AH1455">
        <f>'19_Расчет_аналитики'!AG1454*'01_Вводные'!$B$14</f>
        <v/>
      </c>
      <c r="AI1455">
        <f>'19_Расчет_аналитики'!AH1454*'01_Вводные'!$B$14</f>
        <v/>
      </c>
      <c r="AJ1455">
        <f>'19_Расчет_аналитики'!AI1454*'01_Вводные'!$B$14</f>
        <v/>
      </c>
      <c r="AK1455">
        <f>'19_Расчет_аналитики'!AJ1454*'01_Вводные'!$B$14</f>
        <v/>
      </c>
      <c r="AL1455">
        <f>'19_Расчет_аналитики'!AK1454*'01_Вводные'!$B$14</f>
        <v/>
      </c>
      <c r="AM1455">
        <f>'19_Расчет_аналитики'!AL1454*'01_Вводные'!$B$14</f>
        <v/>
      </c>
      <c r="AN1455">
        <f>'19_Расчет_аналитики'!AM1454*'01_Вводные'!$B$14</f>
        <v/>
      </c>
      <c r="AO1455">
        <f>'19_Расчет_аналитики'!AN1454*'01_Вводные'!$B$14</f>
        <v/>
      </c>
      <c r="AP1455">
        <f>'19_Расчет_аналитики'!AO1454*'01_Вводные'!$B$14</f>
        <v/>
      </c>
      <c r="AQ1455">
        <f>'19_Расчет_аналитики'!AP1454*'01_Вводные'!$B$14</f>
        <v/>
      </c>
      <c r="AR1455">
        <f>'19_Расчет_аналитики'!AQ1454*'01_Вводные'!$B$14</f>
        <v/>
      </c>
      <c r="AS1455">
        <f>'19_Расчет_аналитики'!AR1454*'01_Вводные'!$B$14</f>
        <v/>
      </c>
      <c r="AT1455">
        <f>'19_Расчет_аналитики'!AS1454*'01_Вводные'!$B$14</f>
        <v/>
      </c>
      <c r="AU1455">
        <f>'19_Расчет_аналитики'!AT1454*'01_Вводные'!$B$14</f>
        <v/>
      </c>
      <c r="AV1455">
        <f>'19_Расчет_аналитики'!AU1454*'01_Вводные'!$B$14</f>
        <v/>
      </c>
      <c r="AW1455">
        <f>'19_Расчет_аналитики'!AV1454*'01_Вводные'!$B$14</f>
        <v/>
      </c>
      <c r="AX1455">
        <f>'19_Расчет_аналитики'!AW1454*'01_Вводные'!$B$14</f>
        <v/>
      </c>
      <c r="AY1455">
        <f>'19_Расчет_аналитики'!AX1454*'01_Вводные'!$B$14</f>
        <v/>
      </c>
      <c r="AZ1455">
        <f>'19_Расчет_аналитики'!AY1454*'01_Вводные'!$B$14</f>
        <v/>
      </c>
      <c r="BA1455">
        <f>'19_Расчет_аналитики'!AZ1454*'01_Вводные'!$B$14</f>
        <v/>
      </c>
      <c r="BB1455">
        <f>'19_Расчет_аналитики'!BA1454*'01_Вводные'!$B$14</f>
        <v/>
      </c>
      <c r="BC1455">
        <f>'19_Расчет_аналитики'!BB1454*'01_Вводные'!$B$14</f>
        <v/>
      </c>
      <c r="BD1455">
        <f>'19_Расчет_аналитики'!BC1454*'01_Вводные'!$B$14</f>
        <v/>
      </c>
      <c r="BE1455">
        <f>'19_Расчет_аналитики'!BD1454*'01_Вводные'!$B$14</f>
        <v/>
      </c>
      <c r="BF1455">
        <f>'19_Расчет_аналитики'!BE1454*'01_Вводные'!$B$14</f>
        <v/>
      </c>
      <c r="BG1455">
        <f>'19_Расчет_аналитики'!BF1454*'01_Вводные'!$B$14</f>
        <v/>
      </c>
      <c r="BH1455">
        <f>'19_Расчет_аналитики'!BG1454*'01_Вводные'!$B$14</f>
        <v/>
      </c>
      <c r="BI1455">
        <f>'19_Расчет_аналитики'!BH1454*'01_Вводные'!$B$14</f>
        <v/>
      </c>
      <c r="BJ1455">
        <f>'19_Расчет_аналитики'!BI1454*'01_Вводные'!$B$14</f>
        <v/>
      </c>
      <c r="BK1455">
        <f>'19_Расчет_аналитики'!BJ1454*'01_Вводные'!$B$14</f>
        <v/>
      </c>
      <c r="BL1455">
        <f>'19_Расчет_аналитики'!BK1454*'01_Вводные'!$B$14</f>
        <v/>
      </c>
      <c r="BM1455">
        <f>'19_Расчет_аналитики'!BL1454*'01_Вводные'!$B$14</f>
        <v/>
      </c>
      <c r="BN1455">
        <f>'19_Расчет_аналитики'!BM1454*'01_Вводные'!$B$14</f>
        <v/>
      </c>
      <c r="BO1455">
        <f>'19_Расчет_аналитики'!BN1454*'01_Вводные'!$B$14</f>
        <v/>
      </c>
    </row>
    <row r="1456">
      <c r="B1456">
        <f>'06_Сеть_и_дети'!B89</f>
        <v/>
      </c>
      <c r="C1456">
        <f>'06_Сеть_и_дети'!C89</f>
        <v/>
      </c>
      <c r="D1456">
        <f>'06_Сеть_и_дети'!D89</f>
        <v/>
      </c>
      <c r="E1456">
        <f>'06_Сеть_и_дети'!E89</f>
        <v/>
      </c>
      <c r="F1456">
        <f>'06_Сеть_и_дети'!F89</f>
        <v/>
      </c>
      <c r="G1456">
        <f>'06_Сеть_и_дети'!G89</f>
        <v/>
      </c>
      <c r="H1456">
        <f>'06_Сеть_и_дети'!H89</f>
        <v/>
      </c>
      <c r="I1456">
        <f>'06_Сеть_и_дети'!I89</f>
        <v/>
      </c>
      <c r="J1456">
        <f>'19_Расчет_аналитики'!I1455*'01_Вводные'!$B$14</f>
        <v/>
      </c>
      <c r="K1456">
        <f>'19_Расчет_аналитики'!J1455*'01_Вводные'!$B$14</f>
        <v/>
      </c>
      <c r="L1456">
        <f>'19_Расчет_аналитики'!K1455*'01_Вводные'!$B$14</f>
        <v/>
      </c>
      <c r="M1456">
        <f>'19_Расчет_аналитики'!L1455*'01_Вводные'!$B$14</f>
        <v/>
      </c>
      <c r="N1456">
        <f>'19_Расчет_аналитики'!M1455*'01_Вводные'!$B$14</f>
        <v/>
      </c>
      <c r="O1456">
        <f>'19_Расчет_аналитики'!N1455*'01_Вводные'!$B$14</f>
        <v/>
      </c>
      <c r="P1456">
        <f>'19_Расчет_аналитики'!O1455*'01_Вводные'!$B$14</f>
        <v/>
      </c>
      <c r="Q1456">
        <f>'19_Расчет_аналитики'!P1455*'01_Вводные'!$B$14</f>
        <v/>
      </c>
      <c r="R1456">
        <f>'19_Расчет_аналитики'!Q1455*'01_Вводные'!$B$14</f>
        <v/>
      </c>
      <c r="S1456">
        <f>'19_Расчет_аналитики'!R1455*'01_Вводные'!$B$14</f>
        <v/>
      </c>
      <c r="T1456">
        <f>'19_Расчет_аналитики'!S1455*'01_Вводные'!$B$14</f>
        <v/>
      </c>
      <c r="U1456">
        <f>'19_Расчет_аналитики'!T1455*'01_Вводные'!$B$14</f>
        <v/>
      </c>
      <c r="V1456">
        <f>'19_Расчет_аналитики'!U1455*'01_Вводные'!$B$14</f>
        <v/>
      </c>
      <c r="W1456">
        <f>'19_Расчет_аналитики'!V1455*'01_Вводные'!$B$14</f>
        <v/>
      </c>
      <c r="X1456">
        <f>'19_Расчет_аналитики'!W1455*'01_Вводные'!$B$14</f>
        <v/>
      </c>
      <c r="Y1456">
        <f>'19_Расчет_аналитики'!X1455*'01_Вводные'!$B$14</f>
        <v/>
      </c>
      <c r="Z1456">
        <f>'19_Расчет_аналитики'!Y1455*'01_Вводные'!$B$14</f>
        <v/>
      </c>
      <c r="AA1456">
        <f>'19_Расчет_аналитики'!Z1455*'01_Вводные'!$B$14</f>
        <v/>
      </c>
      <c r="AB1456">
        <f>'19_Расчет_аналитики'!AA1455*'01_Вводные'!$B$14</f>
        <v/>
      </c>
      <c r="AC1456">
        <f>'19_Расчет_аналитики'!AB1455*'01_Вводные'!$B$14</f>
        <v/>
      </c>
      <c r="AD1456">
        <f>'19_Расчет_аналитики'!AC1455*'01_Вводные'!$B$14</f>
        <v/>
      </c>
      <c r="AE1456">
        <f>'19_Расчет_аналитики'!AD1455*'01_Вводные'!$B$14</f>
        <v/>
      </c>
      <c r="AF1456">
        <f>'19_Расчет_аналитики'!AE1455*'01_Вводные'!$B$14</f>
        <v/>
      </c>
      <c r="AG1456">
        <f>'19_Расчет_аналитики'!AF1455*'01_Вводные'!$B$14</f>
        <v/>
      </c>
      <c r="AH1456">
        <f>'19_Расчет_аналитики'!AG1455*'01_Вводные'!$B$14</f>
        <v/>
      </c>
      <c r="AI1456">
        <f>'19_Расчет_аналитики'!AH1455*'01_Вводные'!$B$14</f>
        <v/>
      </c>
      <c r="AJ1456">
        <f>'19_Расчет_аналитики'!AI1455*'01_Вводные'!$B$14</f>
        <v/>
      </c>
      <c r="AK1456">
        <f>'19_Расчет_аналитики'!AJ1455*'01_Вводные'!$B$14</f>
        <v/>
      </c>
      <c r="AL1456">
        <f>'19_Расчет_аналитики'!AK1455*'01_Вводные'!$B$14</f>
        <v/>
      </c>
      <c r="AM1456">
        <f>'19_Расчет_аналитики'!AL1455*'01_Вводные'!$B$14</f>
        <v/>
      </c>
      <c r="AN1456">
        <f>'19_Расчет_аналитики'!AM1455*'01_Вводные'!$B$14</f>
        <v/>
      </c>
      <c r="AO1456">
        <f>'19_Расчет_аналитики'!AN1455*'01_Вводные'!$B$14</f>
        <v/>
      </c>
      <c r="AP1456">
        <f>'19_Расчет_аналитики'!AO1455*'01_Вводные'!$B$14</f>
        <v/>
      </c>
      <c r="AQ1456">
        <f>'19_Расчет_аналитики'!AP1455*'01_Вводные'!$B$14</f>
        <v/>
      </c>
      <c r="AR1456">
        <f>'19_Расчет_аналитики'!AQ1455*'01_Вводные'!$B$14</f>
        <v/>
      </c>
      <c r="AS1456">
        <f>'19_Расчет_аналитики'!AR1455*'01_Вводные'!$B$14</f>
        <v/>
      </c>
      <c r="AT1456">
        <f>'19_Расчет_аналитики'!AS1455*'01_Вводные'!$B$14</f>
        <v/>
      </c>
      <c r="AU1456">
        <f>'19_Расчет_аналитики'!AT1455*'01_Вводные'!$B$14</f>
        <v/>
      </c>
      <c r="AV1456">
        <f>'19_Расчет_аналитики'!AU1455*'01_Вводные'!$B$14</f>
        <v/>
      </c>
      <c r="AW1456">
        <f>'19_Расчет_аналитики'!AV1455*'01_Вводные'!$B$14</f>
        <v/>
      </c>
      <c r="AX1456">
        <f>'19_Расчет_аналитики'!AW1455*'01_Вводные'!$B$14</f>
        <v/>
      </c>
      <c r="AY1456">
        <f>'19_Расчет_аналитики'!AX1455*'01_Вводные'!$B$14</f>
        <v/>
      </c>
      <c r="AZ1456">
        <f>'19_Расчет_аналитики'!AY1455*'01_Вводные'!$B$14</f>
        <v/>
      </c>
      <c r="BA1456">
        <f>'19_Расчет_аналитики'!AZ1455*'01_Вводные'!$B$14</f>
        <v/>
      </c>
      <c r="BB1456">
        <f>'19_Расчет_аналитики'!BA1455*'01_Вводные'!$B$14</f>
        <v/>
      </c>
      <c r="BC1456">
        <f>'19_Расчет_аналитики'!BB1455*'01_Вводные'!$B$14</f>
        <v/>
      </c>
      <c r="BD1456">
        <f>'19_Расчет_аналитики'!BC1455*'01_Вводные'!$B$14</f>
        <v/>
      </c>
      <c r="BE1456">
        <f>'19_Расчет_аналитики'!BD1455*'01_Вводные'!$B$14</f>
        <v/>
      </c>
      <c r="BF1456">
        <f>'19_Расчет_аналитики'!BE1455*'01_Вводные'!$B$14</f>
        <v/>
      </c>
      <c r="BG1456">
        <f>'19_Расчет_аналитики'!BF1455*'01_Вводные'!$B$14</f>
        <v/>
      </c>
      <c r="BH1456">
        <f>'19_Расчет_аналитики'!BG1455*'01_Вводные'!$B$14</f>
        <v/>
      </c>
      <c r="BI1456">
        <f>'19_Расчет_аналитики'!BH1455*'01_Вводные'!$B$14</f>
        <v/>
      </c>
      <c r="BJ1456">
        <f>'19_Расчет_аналитики'!BI1455*'01_Вводные'!$B$14</f>
        <v/>
      </c>
      <c r="BK1456">
        <f>'19_Расчет_аналитики'!BJ1455*'01_Вводные'!$B$14</f>
        <v/>
      </c>
      <c r="BL1456">
        <f>'19_Расчет_аналитики'!BK1455*'01_Вводные'!$B$14</f>
        <v/>
      </c>
      <c r="BM1456">
        <f>'19_Расчет_аналитики'!BL1455*'01_Вводные'!$B$14</f>
        <v/>
      </c>
      <c r="BN1456">
        <f>'19_Расчет_аналитики'!BM1455*'01_Вводные'!$B$14</f>
        <v/>
      </c>
      <c r="BO1456">
        <f>'19_Расчет_аналитики'!BN1455*'01_Вводные'!$B$14</f>
        <v/>
      </c>
    </row>
    <row r="1457">
      <c r="B1457">
        <f>'06_Сеть_и_дети'!B90</f>
        <v/>
      </c>
      <c r="C1457">
        <f>'06_Сеть_и_дети'!C90</f>
        <v/>
      </c>
      <c r="D1457">
        <f>'06_Сеть_и_дети'!D90</f>
        <v/>
      </c>
      <c r="E1457">
        <f>'06_Сеть_и_дети'!E90</f>
        <v/>
      </c>
      <c r="F1457">
        <f>'06_Сеть_и_дети'!F90</f>
        <v/>
      </c>
      <c r="G1457">
        <f>'06_Сеть_и_дети'!G90</f>
        <v/>
      </c>
      <c r="H1457">
        <f>'06_Сеть_и_дети'!H90</f>
        <v/>
      </c>
      <c r="I1457">
        <f>'06_Сеть_и_дети'!I90</f>
        <v/>
      </c>
      <c r="J1457">
        <f>'06_Сеть_и_дети'!J90</f>
        <v/>
      </c>
      <c r="K1457">
        <f>'19_Расчет_аналитики'!J1456*'01_Вводные'!$B$14</f>
        <v/>
      </c>
      <c r="L1457">
        <f>'19_Расчет_аналитики'!K1456*'01_Вводные'!$B$14</f>
        <v/>
      </c>
      <c r="M1457">
        <f>'19_Расчет_аналитики'!L1456*'01_Вводные'!$B$14</f>
        <v/>
      </c>
      <c r="N1457">
        <f>'19_Расчет_аналитики'!M1456*'01_Вводные'!$B$14</f>
        <v/>
      </c>
      <c r="O1457">
        <f>'19_Расчет_аналитики'!N1456*'01_Вводные'!$B$14</f>
        <v/>
      </c>
      <c r="P1457">
        <f>'19_Расчет_аналитики'!O1456*'01_Вводные'!$B$14</f>
        <v/>
      </c>
      <c r="Q1457">
        <f>'19_Расчет_аналитики'!P1456*'01_Вводные'!$B$14</f>
        <v/>
      </c>
      <c r="R1457">
        <f>'19_Расчет_аналитики'!Q1456*'01_Вводные'!$B$14</f>
        <v/>
      </c>
      <c r="S1457">
        <f>'19_Расчет_аналитики'!R1456*'01_Вводные'!$B$14</f>
        <v/>
      </c>
      <c r="T1457">
        <f>'19_Расчет_аналитики'!S1456*'01_Вводные'!$B$14</f>
        <v/>
      </c>
      <c r="U1457">
        <f>'19_Расчет_аналитики'!T1456*'01_Вводные'!$B$14</f>
        <v/>
      </c>
      <c r="V1457">
        <f>'19_Расчет_аналитики'!U1456*'01_Вводные'!$B$14</f>
        <v/>
      </c>
      <c r="W1457">
        <f>'19_Расчет_аналитики'!V1456*'01_Вводные'!$B$14</f>
        <v/>
      </c>
      <c r="X1457">
        <f>'19_Расчет_аналитики'!W1456*'01_Вводные'!$B$14</f>
        <v/>
      </c>
      <c r="Y1457">
        <f>'19_Расчет_аналитики'!X1456*'01_Вводные'!$B$14</f>
        <v/>
      </c>
      <c r="Z1457">
        <f>'19_Расчет_аналитики'!Y1456*'01_Вводные'!$B$14</f>
        <v/>
      </c>
      <c r="AA1457">
        <f>'19_Расчет_аналитики'!Z1456*'01_Вводные'!$B$14</f>
        <v/>
      </c>
      <c r="AB1457">
        <f>'19_Расчет_аналитики'!AA1456*'01_Вводные'!$B$14</f>
        <v/>
      </c>
      <c r="AC1457">
        <f>'19_Расчет_аналитики'!AB1456*'01_Вводные'!$B$14</f>
        <v/>
      </c>
      <c r="AD1457">
        <f>'19_Расчет_аналитики'!AC1456*'01_Вводные'!$B$14</f>
        <v/>
      </c>
      <c r="AE1457">
        <f>'19_Расчет_аналитики'!AD1456*'01_Вводные'!$B$14</f>
        <v/>
      </c>
      <c r="AF1457">
        <f>'19_Расчет_аналитики'!AE1456*'01_Вводные'!$B$14</f>
        <v/>
      </c>
      <c r="AG1457">
        <f>'19_Расчет_аналитики'!AF1456*'01_Вводные'!$B$14</f>
        <v/>
      </c>
      <c r="AH1457">
        <f>'19_Расчет_аналитики'!AG1456*'01_Вводные'!$B$14</f>
        <v/>
      </c>
      <c r="AI1457">
        <f>'19_Расчет_аналитики'!AH1456*'01_Вводные'!$B$14</f>
        <v/>
      </c>
      <c r="AJ1457">
        <f>'19_Расчет_аналитики'!AI1456*'01_Вводные'!$B$14</f>
        <v/>
      </c>
      <c r="AK1457">
        <f>'19_Расчет_аналитики'!AJ1456*'01_Вводные'!$B$14</f>
        <v/>
      </c>
      <c r="AL1457">
        <f>'19_Расчет_аналитики'!AK1456*'01_Вводные'!$B$14</f>
        <v/>
      </c>
      <c r="AM1457">
        <f>'19_Расчет_аналитики'!AL1456*'01_Вводные'!$B$14</f>
        <v/>
      </c>
      <c r="AN1457">
        <f>'19_Расчет_аналитики'!AM1456*'01_Вводные'!$B$14</f>
        <v/>
      </c>
      <c r="AO1457">
        <f>'19_Расчет_аналитики'!AN1456*'01_Вводные'!$B$14</f>
        <v/>
      </c>
      <c r="AP1457">
        <f>'19_Расчет_аналитики'!AO1456*'01_Вводные'!$B$14</f>
        <v/>
      </c>
      <c r="AQ1457">
        <f>'19_Расчет_аналитики'!AP1456*'01_Вводные'!$B$14</f>
        <v/>
      </c>
      <c r="AR1457">
        <f>'19_Расчет_аналитики'!AQ1456*'01_Вводные'!$B$14</f>
        <v/>
      </c>
      <c r="AS1457">
        <f>'19_Расчет_аналитики'!AR1456*'01_Вводные'!$B$14</f>
        <v/>
      </c>
      <c r="AT1457">
        <f>'19_Расчет_аналитики'!AS1456*'01_Вводные'!$B$14</f>
        <v/>
      </c>
      <c r="AU1457">
        <f>'19_Расчет_аналитики'!AT1456*'01_Вводные'!$B$14</f>
        <v/>
      </c>
      <c r="AV1457">
        <f>'19_Расчет_аналитики'!AU1456*'01_Вводные'!$B$14</f>
        <v/>
      </c>
      <c r="AW1457">
        <f>'19_Расчет_аналитики'!AV1456*'01_Вводные'!$B$14</f>
        <v/>
      </c>
      <c r="AX1457">
        <f>'19_Расчет_аналитики'!AW1456*'01_Вводные'!$B$14</f>
        <v/>
      </c>
      <c r="AY1457">
        <f>'19_Расчет_аналитики'!AX1456*'01_Вводные'!$B$14</f>
        <v/>
      </c>
      <c r="AZ1457">
        <f>'19_Расчет_аналитики'!AY1456*'01_Вводные'!$B$14</f>
        <v/>
      </c>
      <c r="BA1457">
        <f>'19_Расчет_аналитики'!AZ1456*'01_Вводные'!$B$14</f>
        <v/>
      </c>
      <c r="BB1457">
        <f>'19_Расчет_аналитики'!BA1456*'01_Вводные'!$B$14</f>
        <v/>
      </c>
      <c r="BC1457">
        <f>'19_Расчет_аналитики'!BB1456*'01_Вводные'!$B$14</f>
        <v/>
      </c>
      <c r="BD1457">
        <f>'19_Расчет_аналитики'!BC1456*'01_Вводные'!$B$14</f>
        <v/>
      </c>
      <c r="BE1457">
        <f>'19_Расчет_аналитики'!BD1456*'01_Вводные'!$B$14</f>
        <v/>
      </c>
      <c r="BF1457">
        <f>'19_Расчет_аналитики'!BE1456*'01_Вводные'!$B$14</f>
        <v/>
      </c>
      <c r="BG1457">
        <f>'19_Расчет_аналитики'!BF1456*'01_Вводные'!$B$14</f>
        <v/>
      </c>
      <c r="BH1457">
        <f>'19_Расчет_аналитики'!BG1456*'01_Вводные'!$B$14</f>
        <v/>
      </c>
      <c r="BI1457">
        <f>'19_Расчет_аналитики'!BH1456*'01_Вводные'!$B$14</f>
        <v/>
      </c>
      <c r="BJ1457">
        <f>'19_Расчет_аналитики'!BI1456*'01_Вводные'!$B$14</f>
        <v/>
      </c>
      <c r="BK1457">
        <f>'19_Расчет_аналитики'!BJ1456*'01_Вводные'!$B$14</f>
        <v/>
      </c>
      <c r="BL1457">
        <f>'19_Расчет_аналитики'!BK1456*'01_Вводные'!$B$14</f>
        <v/>
      </c>
      <c r="BM1457">
        <f>'19_Расчет_аналитики'!BL1456*'01_Вводные'!$B$14</f>
        <v/>
      </c>
      <c r="BN1457">
        <f>'19_Расчет_аналитики'!BM1456*'01_Вводные'!$B$14</f>
        <v/>
      </c>
      <c r="BO1457">
        <f>'19_Расчет_аналитики'!BN1456*'01_Вводные'!$B$14</f>
        <v/>
      </c>
    </row>
    <row r="1458">
      <c r="B1458">
        <f>'06_Сеть_и_дети'!B91</f>
        <v/>
      </c>
      <c r="C1458">
        <f>'06_Сеть_и_дети'!C91</f>
        <v/>
      </c>
      <c r="D1458">
        <f>'06_Сеть_и_дети'!D91</f>
        <v/>
      </c>
      <c r="E1458">
        <f>'06_Сеть_и_дети'!E91</f>
        <v/>
      </c>
      <c r="F1458">
        <f>'06_Сеть_и_дети'!F91</f>
        <v/>
      </c>
      <c r="G1458">
        <f>'06_Сеть_и_дети'!G91</f>
        <v/>
      </c>
      <c r="H1458">
        <f>'06_Сеть_и_дети'!H91</f>
        <v/>
      </c>
      <c r="I1458">
        <f>'06_Сеть_и_дети'!I91</f>
        <v/>
      </c>
      <c r="J1458">
        <f>'06_Сеть_и_дети'!J91</f>
        <v/>
      </c>
      <c r="K1458">
        <f>'06_Сеть_и_дети'!K91</f>
        <v/>
      </c>
      <c r="L1458">
        <f>'19_Расчет_аналитики'!K1457*'01_Вводные'!$B$14</f>
        <v/>
      </c>
      <c r="M1458">
        <f>'19_Расчет_аналитики'!L1457*'01_Вводные'!$B$14</f>
        <v/>
      </c>
      <c r="N1458">
        <f>'19_Расчет_аналитики'!M1457*'01_Вводные'!$B$14</f>
        <v/>
      </c>
      <c r="O1458">
        <f>'19_Расчет_аналитики'!N1457*'01_Вводные'!$B$14</f>
        <v/>
      </c>
      <c r="P1458">
        <f>'19_Расчет_аналитики'!O1457*'01_Вводные'!$B$14</f>
        <v/>
      </c>
      <c r="Q1458">
        <f>'19_Расчет_аналитики'!P1457*'01_Вводные'!$B$14</f>
        <v/>
      </c>
      <c r="R1458">
        <f>'19_Расчет_аналитики'!Q1457*'01_Вводные'!$B$14</f>
        <v/>
      </c>
      <c r="S1458">
        <f>'19_Расчет_аналитики'!R1457*'01_Вводные'!$B$14</f>
        <v/>
      </c>
      <c r="T1458">
        <f>'19_Расчет_аналитики'!S1457*'01_Вводные'!$B$14</f>
        <v/>
      </c>
      <c r="U1458">
        <f>'19_Расчет_аналитики'!T1457*'01_Вводные'!$B$14</f>
        <v/>
      </c>
      <c r="V1458">
        <f>'19_Расчет_аналитики'!U1457*'01_Вводные'!$B$14</f>
        <v/>
      </c>
      <c r="W1458">
        <f>'19_Расчет_аналитики'!V1457*'01_Вводные'!$B$14</f>
        <v/>
      </c>
      <c r="X1458">
        <f>'19_Расчет_аналитики'!W1457*'01_Вводные'!$B$14</f>
        <v/>
      </c>
      <c r="Y1458">
        <f>'19_Расчет_аналитики'!X1457*'01_Вводные'!$B$14</f>
        <v/>
      </c>
      <c r="Z1458">
        <f>'19_Расчет_аналитики'!Y1457*'01_Вводные'!$B$14</f>
        <v/>
      </c>
      <c r="AA1458">
        <f>'19_Расчет_аналитики'!Z1457*'01_Вводные'!$B$14</f>
        <v/>
      </c>
      <c r="AB1458">
        <f>'19_Расчет_аналитики'!AA1457*'01_Вводные'!$B$14</f>
        <v/>
      </c>
      <c r="AC1458">
        <f>'19_Расчет_аналитики'!AB1457*'01_Вводные'!$B$14</f>
        <v/>
      </c>
      <c r="AD1458">
        <f>'19_Расчет_аналитики'!AC1457*'01_Вводные'!$B$14</f>
        <v/>
      </c>
      <c r="AE1458">
        <f>'19_Расчет_аналитики'!AD1457*'01_Вводные'!$B$14</f>
        <v/>
      </c>
      <c r="AF1458">
        <f>'19_Расчет_аналитики'!AE1457*'01_Вводные'!$B$14</f>
        <v/>
      </c>
      <c r="AG1458">
        <f>'19_Расчет_аналитики'!AF1457*'01_Вводные'!$B$14</f>
        <v/>
      </c>
      <c r="AH1458">
        <f>'19_Расчет_аналитики'!AG1457*'01_Вводные'!$B$14</f>
        <v/>
      </c>
      <c r="AI1458">
        <f>'19_Расчет_аналитики'!AH1457*'01_Вводные'!$B$14</f>
        <v/>
      </c>
      <c r="AJ1458">
        <f>'19_Расчет_аналитики'!AI1457*'01_Вводные'!$B$14</f>
        <v/>
      </c>
      <c r="AK1458">
        <f>'19_Расчет_аналитики'!AJ1457*'01_Вводные'!$B$14</f>
        <v/>
      </c>
      <c r="AL1458">
        <f>'19_Расчет_аналитики'!AK1457*'01_Вводные'!$B$14</f>
        <v/>
      </c>
      <c r="AM1458">
        <f>'19_Расчет_аналитики'!AL1457*'01_Вводные'!$B$14</f>
        <v/>
      </c>
      <c r="AN1458">
        <f>'19_Расчет_аналитики'!AM1457*'01_Вводные'!$B$14</f>
        <v/>
      </c>
      <c r="AO1458">
        <f>'19_Расчет_аналитики'!AN1457*'01_Вводные'!$B$14</f>
        <v/>
      </c>
      <c r="AP1458">
        <f>'19_Расчет_аналитики'!AO1457*'01_Вводные'!$B$14</f>
        <v/>
      </c>
      <c r="AQ1458">
        <f>'19_Расчет_аналитики'!AP1457*'01_Вводные'!$B$14</f>
        <v/>
      </c>
      <c r="AR1458">
        <f>'19_Расчет_аналитики'!AQ1457*'01_Вводные'!$B$14</f>
        <v/>
      </c>
      <c r="AS1458">
        <f>'19_Расчет_аналитики'!AR1457*'01_Вводные'!$B$14</f>
        <v/>
      </c>
      <c r="AT1458">
        <f>'19_Расчет_аналитики'!AS1457*'01_Вводные'!$B$14</f>
        <v/>
      </c>
      <c r="AU1458">
        <f>'19_Расчет_аналитики'!AT1457*'01_Вводные'!$B$14</f>
        <v/>
      </c>
      <c r="AV1458">
        <f>'19_Расчет_аналитики'!AU1457*'01_Вводные'!$B$14</f>
        <v/>
      </c>
      <c r="AW1458">
        <f>'19_Расчет_аналитики'!AV1457*'01_Вводные'!$B$14</f>
        <v/>
      </c>
      <c r="AX1458">
        <f>'19_Расчет_аналитики'!AW1457*'01_Вводные'!$B$14</f>
        <v/>
      </c>
      <c r="AY1458">
        <f>'19_Расчет_аналитики'!AX1457*'01_Вводные'!$B$14</f>
        <v/>
      </c>
      <c r="AZ1458">
        <f>'19_Расчет_аналитики'!AY1457*'01_Вводные'!$B$14</f>
        <v/>
      </c>
      <c r="BA1458">
        <f>'19_Расчет_аналитики'!AZ1457*'01_Вводные'!$B$14</f>
        <v/>
      </c>
      <c r="BB1458">
        <f>'19_Расчет_аналитики'!BA1457*'01_Вводные'!$B$14</f>
        <v/>
      </c>
      <c r="BC1458">
        <f>'19_Расчет_аналитики'!BB1457*'01_Вводные'!$B$14</f>
        <v/>
      </c>
      <c r="BD1458">
        <f>'19_Расчет_аналитики'!BC1457*'01_Вводные'!$B$14</f>
        <v/>
      </c>
      <c r="BE1458">
        <f>'19_Расчет_аналитики'!BD1457*'01_Вводные'!$B$14</f>
        <v/>
      </c>
      <c r="BF1458">
        <f>'19_Расчет_аналитики'!BE1457*'01_Вводные'!$B$14</f>
        <v/>
      </c>
      <c r="BG1458">
        <f>'19_Расчет_аналитики'!BF1457*'01_Вводные'!$B$14</f>
        <v/>
      </c>
      <c r="BH1458">
        <f>'19_Расчет_аналитики'!BG1457*'01_Вводные'!$B$14</f>
        <v/>
      </c>
      <c r="BI1458">
        <f>'19_Расчет_аналитики'!BH1457*'01_Вводные'!$B$14</f>
        <v/>
      </c>
      <c r="BJ1458">
        <f>'19_Расчет_аналитики'!BI1457*'01_Вводные'!$B$14</f>
        <v/>
      </c>
      <c r="BK1458">
        <f>'19_Расчет_аналитики'!BJ1457*'01_Вводные'!$B$14</f>
        <v/>
      </c>
      <c r="BL1458">
        <f>'19_Расчет_аналитики'!BK1457*'01_Вводные'!$B$14</f>
        <v/>
      </c>
      <c r="BM1458">
        <f>'19_Расчет_аналитики'!BL1457*'01_Вводные'!$B$14</f>
        <v/>
      </c>
      <c r="BN1458">
        <f>'19_Расчет_аналитики'!BM1457*'01_Вводные'!$B$14</f>
        <v/>
      </c>
      <c r="BO1458">
        <f>'19_Расчет_аналитики'!BN1457*'01_Вводные'!$B$14</f>
        <v/>
      </c>
    </row>
    <row r="1459">
      <c r="B1459">
        <f>'06_Сеть_и_дети'!B92</f>
        <v/>
      </c>
      <c r="C1459">
        <f>'06_Сеть_и_дети'!C92</f>
        <v/>
      </c>
      <c r="D1459">
        <f>'06_Сеть_и_дети'!D92</f>
        <v/>
      </c>
      <c r="E1459">
        <f>'06_Сеть_и_дети'!E92</f>
        <v/>
      </c>
      <c r="F1459">
        <f>'06_Сеть_и_дети'!F92</f>
        <v/>
      </c>
      <c r="G1459">
        <f>'06_Сеть_и_дети'!G92</f>
        <v/>
      </c>
      <c r="H1459">
        <f>'06_Сеть_и_дети'!H92</f>
        <v/>
      </c>
      <c r="I1459">
        <f>'06_Сеть_и_дети'!I92</f>
        <v/>
      </c>
      <c r="J1459">
        <f>'06_Сеть_и_дети'!J92</f>
        <v/>
      </c>
      <c r="K1459">
        <f>'06_Сеть_и_дети'!K92</f>
        <v/>
      </c>
      <c r="L1459">
        <f>'06_Сеть_и_дети'!L92</f>
        <v/>
      </c>
      <c r="M1459">
        <f>'19_Расчет_аналитики'!L1458*'01_Вводные'!$B$14</f>
        <v/>
      </c>
      <c r="N1459">
        <f>'19_Расчет_аналитики'!M1458*'01_Вводные'!$B$14</f>
        <v/>
      </c>
      <c r="O1459">
        <f>'19_Расчет_аналитики'!N1458*'01_Вводные'!$B$14</f>
        <v/>
      </c>
      <c r="P1459">
        <f>'19_Расчет_аналитики'!O1458*'01_Вводные'!$B$14</f>
        <v/>
      </c>
      <c r="Q1459">
        <f>'19_Расчет_аналитики'!P1458*'01_Вводные'!$B$14</f>
        <v/>
      </c>
      <c r="R1459">
        <f>'19_Расчет_аналитики'!Q1458*'01_Вводные'!$B$14</f>
        <v/>
      </c>
      <c r="S1459">
        <f>'19_Расчет_аналитики'!R1458*'01_Вводные'!$B$14</f>
        <v/>
      </c>
      <c r="T1459">
        <f>'19_Расчет_аналитики'!S1458*'01_Вводные'!$B$14</f>
        <v/>
      </c>
      <c r="U1459">
        <f>'19_Расчет_аналитики'!T1458*'01_Вводные'!$B$14</f>
        <v/>
      </c>
      <c r="V1459">
        <f>'19_Расчет_аналитики'!U1458*'01_Вводные'!$B$14</f>
        <v/>
      </c>
      <c r="W1459">
        <f>'19_Расчет_аналитики'!V1458*'01_Вводные'!$B$14</f>
        <v/>
      </c>
      <c r="X1459">
        <f>'19_Расчет_аналитики'!W1458*'01_Вводные'!$B$14</f>
        <v/>
      </c>
      <c r="Y1459">
        <f>'19_Расчет_аналитики'!X1458*'01_Вводные'!$B$14</f>
        <v/>
      </c>
      <c r="Z1459">
        <f>'19_Расчет_аналитики'!Y1458*'01_Вводные'!$B$14</f>
        <v/>
      </c>
      <c r="AA1459">
        <f>'19_Расчет_аналитики'!Z1458*'01_Вводные'!$B$14</f>
        <v/>
      </c>
      <c r="AB1459">
        <f>'19_Расчет_аналитики'!AA1458*'01_Вводные'!$B$14</f>
        <v/>
      </c>
      <c r="AC1459">
        <f>'19_Расчет_аналитики'!AB1458*'01_Вводные'!$B$14</f>
        <v/>
      </c>
      <c r="AD1459">
        <f>'19_Расчет_аналитики'!AC1458*'01_Вводные'!$B$14</f>
        <v/>
      </c>
      <c r="AE1459">
        <f>'19_Расчет_аналитики'!AD1458*'01_Вводные'!$B$14</f>
        <v/>
      </c>
      <c r="AF1459">
        <f>'19_Расчет_аналитики'!AE1458*'01_Вводные'!$B$14</f>
        <v/>
      </c>
      <c r="AG1459">
        <f>'19_Расчет_аналитики'!AF1458*'01_Вводные'!$B$14</f>
        <v/>
      </c>
      <c r="AH1459">
        <f>'19_Расчет_аналитики'!AG1458*'01_Вводные'!$B$14</f>
        <v/>
      </c>
      <c r="AI1459">
        <f>'19_Расчет_аналитики'!AH1458*'01_Вводные'!$B$14</f>
        <v/>
      </c>
      <c r="AJ1459">
        <f>'19_Расчет_аналитики'!AI1458*'01_Вводные'!$B$14</f>
        <v/>
      </c>
      <c r="AK1459">
        <f>'19_Расчет_аналитики'!AJ1458*'01_Вводные'!$B$14</f>
        <v/>
      </c>
      <c r="AL1459">
        <f>'19_Расчет_аналитики'!AK1458*'01_Вводные'!$B$14</f>
        <v/>
      </c>
      <c r="AM1459">
        <f>'19_Расчет_аналитики'!AL1458*'01_Вводные'!$B$14</f>
        <v/>
      </c>
      <c r="AN1459">
        <f>'19_Расчет_аналитики'!AM1458*'01_Вводные'!$B$14</f>
        <v/>
      </c>
      <c r="AO1459">
        <f>'19_Расчет_аналитики'!AN1458*'01_Вводные'!$B$14</f>
        <v/>
      </c>
      <c r="AP1459">
        <f>'19_Расчет_аналитики'!AO1458*'01_Вводные'!$B$14</f>
        <v/>
      </c>
      <c r="AQ1459">
        <f>'19_Расчет_аналитики'!AP1458*'01_Вводные'!$B$14</f>
        <v/>
      </c>
      <c r="AR1459">
        <f>'19_Расчет_аналитики'!AQ1458*'01_Вводные'!$B$14</f>
        <v/>
      </c>
      <c r="AS1459">
        <f>'19_Расчет_аналитики'!AR1458*'01_Вводные'!$B$14</f>
        <v/>
      </c>
      <c r="AT1459">
        <f>'19_Расчет_аналитики'!AS1458*'01_Вводные'!$B$14</f>
        <v/>
      </c>
      <c r="AU1459">
        <f>'19_Расчет_аналитики'!AT1458*'01_Вводные'!$B$14</f>
        <v/>
      </c>
      <c r="AV1459">
        <f>'19_Расчет_аналитики'!AU1458*'01_Вводные'!$B$14</f>
        <v/>
      </c>
      <c r="AW1459">
        <f>'19_Расчет_аналитики'!AV1458*'01_Вводные'!$B$14</f>
        <v/>
      </c>
      <c r="AX1459">
        <f>'19_Расчет_аналитики'!AW1458*'01_Вводные'!$B$14</f>
        <v/>
      </c>
      <c r="AY1459">
        <f>'19_Расчет_аналитики'!AX1458*'01_Вводные'!$B$14</f>
        <v/>
      </c>
      <c r="AZ1459">
        <f>'19_Расчет_аналитики'!AY1458*'01_Вводные'!$B$14</f>
        <v/>
      </c>
      <c r="BA1459">
        <f>'19_Расчет_аналитики'!AZ1458*'01_Вводные'!$B$14</f>
        <v/>
      </c>
      <c r="BB1459">
        <f>'19_Расчет_аналитики'!BA1458*'01_Вводные'!$B$14</f>
        <v/>
      </c>
      <c r="BC1459">
        <f>'19_Расчет_аналитики'!BB1458*'01_Вводные'!$B$14</f>
        <v/>
      </c>
      <c r="BD1459">
        <f>'19_Расчет_аналитики'!BC1458*'01_Вводные'!$B$14</f>
        <v/>
      </c>
      <c r="BE1459">
        <f>'19_Расчет_аналитики'!BD1458*'01_Вводные'!$B$14</f>
        <v/>
      </c>
      <c r="BF1459">
        <f>'19_Расчет_аналитики'!BE1458*'01_Вводные'!$B$14</f>
        <v/>
      </c>
      <c r="BG1459">
        <f>'19_Расчет_аналитики'!BF1458*'01_Вводные'!$B$14</f>
        <v/>
      </c>
      <c r="BH1459">
        <f>'19_Расчет_аналитики'!BG1458*'01_Вводные'!$B$14</f>
        <v/>
      </c>
      <c r="BI1459">
        <f>'19_Расчет_аналитики'!BH1458*'01_Вводные'!$B$14</f>
        <v/>
      </c>
      <c r="BJ1459">
        <f>'19_Расчет_аналитики'!BI1458*'01_Вводные'!$B$14</f>
        <v/>
      </c>
      <c r="BK1459">
        <f>'19_Расчет_аналитики'!BJ1458*'01_Вводные'!$B$14</f>
        <v/>
      </c>
      <c r="BL1459">
        <f>'19_Расчет_аналитики'!BK1458*'01_Вводные'!$B$14</f>
        <v/>
      </c>
      <c r="BM1459">
        <f>'19_Расчет_аналитики'!BL1458*'01_Вводные'!$B$14</f>
        <v/>
      </c>
      <c r="BN1459">
        <f>'19_Расчет_аналитики'!BM1458*'01_Вводные'!$B$14</f>
        <v/>
      </c>
      <c r="BO1459">
        <f>'19_Расчет_аналитики'!BN1458*'01_Вводные'!$B$14</f>
        <v/>
      </c>
    </row>
    <row r="1460">
      <c r="N1460">
        <f>'19_Расчет_аналитики'!M1459*'01_Вводные'!$B$14</f>
        <v/>
      </c>
      <c r="O1460">
        <f>'19_Расчет_аналитики'!N1459*'01_Вводные'!$B$14</f>
        <v/>
      </c>
      <c r="P1460">
        <f>'19_Расчет_аналитики'!O1459*'01_Вводные'!$B$14</f>
        <v/>
      </c>
      <c r="Q1460">
        <f>'19_Расчет_аналитики'!P1459*'01_Вводные'!$B$14</f>
        <v/>
      </c>
      <c r="R1460">
        <f>'19_Расчет_аналитики'!Q1459*'01_Вводные'!$B$14</f>
        <v/>
      </c>
      <c r="S1460">
        <f>'19_Расчет_аналитики'!R1459*'01_Вводные'!$B$14</f>
        <v/>
      </c>
      <c r="T1460">
        <f>'19_Расчет_аналитики'!S1459*'01_Вводные'!$B$14</f>
        <v/>
      </c>
      <c r="U1460">
        <f>'19_Расчет_аналитики'!T1459*'01_Вводные'!$B$14</f>
        <v/>
      </c>
      <c r="V1460">
        <f>'19_Расчет_аналитики'!U1459*'01_Вводные'!$B$14</f>
        <v/>
      </c>
      <c r="W1460">
        <f>'19_Расчет_аналитики'!V1459*'01_Вводные'!$B$14</f>
        <v/>
      </c>
      <c r="X1460">
        <f>'19_Расчет_аналитики'!W1459*'01_Вводные'!$B$14</f>
        <v/>
      </c>
      <c r="Y1460">
        <f>'19_Расчет_аналитики'!X1459*'01_Вводные'!$B$14</f>
        <v/>
      </c>
      <c r="Z1460">
        <f>'19_Расчет_аналитики'!Y1459*'01_Вводные'!$B$14</f>
        <v/>
      </c>
      <c r="AA1460">
        <f>'19_Расчет_аналитики'!Z1459*'01_Вводные'!$B$14</f>
        <v/>
      </c>
      <c r="AB1460">
        <f>'19_Расчет_аналитики'!AA1459*'01_Вводные'!$B$14</f>
        <v/>
      </c>
      <c r="AC1460">
        <f>'19_Расчет_аналитики'!AB1459*'01_Вводные'!$B$14</f>
        <v/>
      </c>
      <c r="AD1460">
        <f>'19_Расчет_аналитики'!AC1459*'01_Вводные'!$B$14</f>
        <v/>
      </c>
      <c r="AE1460">
        <f>'19_Расчет_аналитики'!AD1459*'01_Вводные'!$B$14</f>
        <v/>
      </c>
      <c r="AF1460">
        <f>'19_Расчет_аналитики'!AE1459*'01_Вводные'!$B$14</f>
        <v/>
      </c>
      <c r="AG1460">
        <f>'19_Расчет_аналитики'!AF1459*'01_Вводные'!$B$14</f>
        <v/>
      </c>
      <c r="AH1460">
        <f>'19_Расчет_аналитики'!AG1459*'01_Вводные'!$B$14</f>
        <v/>
      </c>
      <c r="AI1460">
        <f>'19_Расчет_аналитики'!AH1459*'01_Вводные'!$B$14</f>
        <v/>
      </c>
      <c r="AJ1460">
        <f>'19_Расчет_аналитики'!AI1459*'01_Вводные'!$B$14</f>
        <v/>
      </c>
      <c r="AK1460">
        <f>'19_Расчет_аналитики'!AJ1459*'01_Вводные'!$B$14</f>
        <v/>
      </c>
      <c r="AL1460">
        <f>'19_Расчет_аналитики'!AK1459*'01_Вводные'!$B$14</f>
        <v/>
      </c>
      <c r="AM1460">
        <f>'19_Расчет_аналитики'!AL1459*'01_Вводные'!$B$14</f>
        <v/>
      </c>
      <c r="AN1460">
        <f>'19_Расчет_аналитики'!AM1459*'01_Вводные'!$B$14</f>
        <v/>
      </c>
      <c r="AO1460">
        <f>'19_Расчет_аналитики'!AN1459*'01_Вводные'!$B$14</f>
        <v/>
      </c>
      <c r="AP1460">
        <f>'19_Расчет_аналитики'!AO1459*'01_Вводные'!$B$14</f>
        <v/>
      </c>
      <c r="AQ1460">
        <f>'19_Расчет_аналитики'!AP1459*'01_Вводные'!$B$14</f>
        <v/>
      </c>
      <c r="AR1460">
        <f>'19_Расчет_аналитики'!AQ1459*'01_Вводные'!$B$14</f>
        <v/>
      </c>
      <c r="AS1460">
        <f>'19_Расчет_аналитики'!AR1459*'01_Вводные'!$B$14</f>
        <v/>
      </c>
      <c r="AT1460">
        <f>'19_Расчет_аналитики'!AS1459*'01_Вводные'!$B$14</f>
        <v/>
      </c>
      <c r="AU1460">
        <f>'19_Расчет_аналитики'!AT1459*'01_Вводные'!$B$14</f>
        <v/>
      </c>
      <c r="AV1460">
        <f>'19_Расчет_аналитики'!AU1459*'01_Вводные'!$B$14</f>
        <v/>
      </c>
      <c r="AW1460">
        <f>'19_Расчет_аналитики'!AV1459*'01_Вводные'!$B$14</f>
        <v/>
      </c>
      <c r="AX1460">
        <f>'19_Расчет_аналитики'!AW1459*'01_Вводные'!$B$14</f>
        <v/>
      </c>
      <c r="AY1460">
        <f>'19_Расчет_аналитики'!AX1459*'01_Вводные'!$B$14</f>
        <v/>
      </c>
      <c r="AZ1460">
        <f>'19_Расчет_аналитики'!AY1459*'01_Вводные'!$B$14</f>
        <v/>
      </c>
      <c r="BA1460">
        <f>'19_Расчет_аналитики'!AZ1459*'01_Вводные'!$B$14</f>
        <v/>
      </c>
      <c r="BB1460">
        <f>'19_Расчет_аналитики'!BA1459*'01_Вводные'!$B$14</f>
        <v/>
      </c>
      <c r="BC1460">
        <f>'19_Расчет_аналитики'!BB1459*'01_Вводные'!$B$14</f>
        <v/>
      </c>
      <c r="BD1460">
        <f>'19_Расчет_аналитики'!BC1459*'01_Вводные'!$B$14</f>
        <v/>
      </c>
      <c r="BE1460">
        <f>'19_Расчет_аналитики'!BD1459*'01_Вводные'!$B$14</f>
        <v/>
      </c>
      <c r="BF1460">
        <f>'19_Расчет_аналитики'!BE1459*'01_Вводные'!$B$14</f>
        <v/>
      </c>
      <c r="BG1460">
        <f>'19_Расчет_аналитики'!BF1459*'01_Вводные'!$B$14</f>
        <v/>
      </c>
      <c r="BH1460">
        <f>'19_Расчет_аналитики'!BG1459*'01_Вводные'!$B$14</f>
        <v/>
      </c>
      <c r="BI1460">
        <f>'19_Расчет_аналитики'!BH1459*'01_Вводные'!$B$14</f>
        <v/>
      </c>
      <c r="BJ1460">
        <f>'19_Расчет_аналитики'!BI1459*'01_Вводные'!$B$14</f>
        <v/>
      </c>
      <c r="BK1460">
        <f>'19_Расчет_аналитики'!BJ1459*'01_Вводные'!$B$14</f>
        <v/>
      </c>
      <c r="BL1460">
        <f>'19_Расчет_аналитики'!BK1459*'01_Вводные'!$B$14</f>
        <v/>
      </c>
      <c r="BM1460">
        <f>'19_Расчет_аналитики'!BL1459*'01_Вводные'!$B$14</f>
        <v/>
      </c>
      <c r="BN1460">
        <f>'19_Расчет_аналитики'!BM1459*'01_Вводные'!$B$14</f>
        <v/>
      </c>
      <c r="BO1460">
        <f>'19_Расчет_аналитики'!BN1459*'01_Вводные'!$B$14</f>
        <v/>
      </c>
    </row>
    <row r="1461">
      <c r="N1461">
        <f>'06_Сеть_и_дети'!N94</f>
        <v/>
      </c>
      <c r="O1461">
        <f>'19_Расчет_аналитики'!N1460*'01_Вводные'!$B$14</f>
        <v/>
      </c>
      <c r="P1461">
        <f>'19_Расчет_аналитики'!O1460*'01_Вводные'!$B$14</f>
        <v/>
      </c>
      <c r="Q1461">
        <f>'19_Расчет_аналитики'!P1460*'01_Вводные'!$B$14</f>
        <v/>
      </c>
      <c r="R1461">
        <f>'19_Расчет_аналитики'!Q1460*'01_Вводные'!$B$14</f>
        <v/>
      </c>
      <c r="S1461">
        <f>'19_Расчет_аналитики'!R1460*'01_Вводные'!$B$14</f>
        <v/>
      </c>
      <c r="T1461">
        <f>'19_Расчет_аналитики'!S1460*'01_Вводные'!$B$14</f>
        <v/>
      </c>
      <c r="U1461">
        <f>'19_Расчет_аналитики'!T1460*'01_Вводные'!$B$14</f>
        <v/>
      </c>
      <c r="V1461">
        <f>'19_Расчет_аналитики'!U1460*'01_Вводные'!$B$14</f>
        <v/>
      </c>
      <c r="W1461">
        <f>'19_Расчет_аналитики'!V1460*'01_Вводные'!$B$14</f>
        <v/>
      </c>
      <c r="X1461">
        <f>'19_Расчет_аналитики'!W1460*'01_Вводные'!$B$14</f>
        <v/>
      </c>
      <c r="Y1461">
        <f>'19_Расчет_аналитики'!X1460*'01_Вводные'!$B$14</f>
        <v/>
      </c>
      <c r="Z1461">
        <f>'19_Расчет_аналитики'!Y1460*'01_Вводные'!$B$14</f>
        <v/>
      </c>
      <c r="AA1461">
        <f>'19_Расчет_аналитики'!Z1460*'01_Вводные'!$B$14</f>
        <v/>
      </c>
      <c r="AB1461">
        <f>'19_Расчет_аналитики'!AA1460*'01_Вводные'!$B$14</f>
        <v/>
      </c>
      <c r="AC1461">
        <f>'19_Расчет_аналитики'!AB1460*'01_Вводные'!$B$14</f>
        <v/>
      </c>
      <c r="AD1461">
        <f>'19_Расчет_аналитики'!AC1460*'01_Вводные'!$B$14</f>
        <v/>
      </c>
      <c r="AE1461">
        <f>'19_Расчет_аналитики'!AD1460*'01_Вводные'!$B$14</f>
        <v/>
      </c>
      <c r="AF1461">
        <f>'19_Расчет_аналитики'!AE1460*'01_Вводные'!$B$14</f>
        <v/>
      </c>
      <c r="AG1461">
        <f>'19_Расчет_аналитики'!AF1460*'01_Вводные'!$B$14</f>
        <v/>
      </c>
      <c r="AH1461">
        <f>'19_Расчет_аналитики'!AG1460*'01_Вводные'!$B$14</f>
        <v/>
      </c>
      <c r="AI1461">
        <f>'19_Расчет_аналитики'!AH1460*'01_Вводные'!$B$14</f>
        <v/>
      </c>
      <c r="AJ1461">
        <f>'19_Расчет_аналитики'!AI1460*'01_Вводные'!$B$14</f>
        <v/>
      </c>
      <c r="AK1461">
        <f>'19_Расчет_аналитики'!AJ1460*'01_Вводные'!$B$14</f>
        <v/>
      </c>
      <c r="AL1461">
        <f>'19_Расчет_аналитики'!AK1460*'01_Вводные'!$B$14</f>
        <v/>
      </c>
      <c r="AM1461">
        <f>'19_Расчет_аналитики'!AL1460*'01_Вводные'!$B$14</f>
        <v/>
      </c>
      <c r="AN1461">
        <f>'19_Расчет_аналитики'!AM1460*'01_Вводные'!$B$14</f>
        <v/>
      </c>
      <c r="AO1461">
        <f>'19_Расчет_аналитики'!AN1460*'01_Вводные'!$B$14</f>
        <v/>
      </c>
      <c r="AP1461">
        <f>'19_Расчет_аналитики'!AO1460*'01_Вводные'!$B$14</f>
        <v/>
      </c>
      <c r="AQ1461">
        <f>'19_Расчет_аналитики'!AP1460*'01_Вводные'!$B$14</f>
        <v/>
      </c>
      <c r="AR1461">
        <f>'19_Расчет_аналитики'!AQ1460*'01_Вводные'!$B$14</f>
        <v/>
      </c>
      <c r="AS1461">
        <f>'19_Расчет_аналитики'!AR1460*'01_Вводные'!$B$14</f>
        <v/>
      </c>
      <c r="AT1461">
        <f>'19_Расчет_аналитики'!AS1460*'01_Вводные'!$B$14</f>
        <v/>
      </c>
      <c r="AU1461">
        <f>'19_Расчет_аналитики'!AT1460*'01_Вводные'!$B$14</f>
        <v/>
      </c>
      <c r="AV1461">
        <f>'19_Расчет_аналитики'!AU1460*'01_Вводные'!$B$14</f>
        <v/>
      </c>
      <c r="AW1461">
        <f>'19_Расчет_аналитики'!AV1460*'01_Вводные'!$B$14</f>
        <v/>
      </c>
      <c r="AX1461">
        <f>'19_Расчет_аналитики'!AW1460*'01_Вводные'!$B$14</f>
        <v/>
      </c>
      <c r="AY1461">
        <f>'19_Расчет_аналитики'!AX1460*'01_Вводные'!$B$14</f>
        <v/>
      </c>
      <c r="AZ1461">
        <f>'19_Расчет_аналитики'!AY1460*'01_Вводные'!$B$14</f>
        <v/>
      </c>
      <c r="BA1461">
        <f>'19_Расчет_аналитики'!AZ1460*'01_Вводные'!$B$14</f>
        <v/>
      </c>
      <c r="BB1461">
        <f>'19_Расчет_аналитики'!BA1460*'01_Вводные'!$B$14</f>
        <v/>
      </c>
      <c r="BC1461">
        <f>'19_Расчет_аналитики'!BB1460*'01_Вводные'!$B$14</f>
        <v/>
      </c>
      <c r="BD1461">
        <f>'19_Расчет_аналитики'!BC1460*'01_Вводные'!$B$14</f>
        <v/>
      </c>
      <c r="BE1461">
        <f>'19_Расчет_аналитики'!BD1460*'01_Вводные'!$B$14</f>
        <v/>
      </c>
      <c r="BF1461">
        <f>'19_Расчет_аналитики'!BE1460*'01_Вводные'!$B$14</f>
        <v/>
      </c>
      <c r="BG1461">
        <f>'19_Расчет_аналитики'!BF1460*'01_Вводные'!$B$14</f>
        <v/>
      </c>
      <c r="BH1461">
        <f>'19_Расчет_аналитики'!BG1460*'01_Вводные'!$B$14</f>
        <v/>
      </c>
      <c r="BI1461">
        <f>'19_Расчет_аналитики'!BH1460*'01_Вводные'!$B$14</f>
        <v/>
      </c>
      <c r="BJ1461">
        <f>'19_Расчет_аналитики'!BI1460*'01_Вводные'!$B$14</f>
        <v/>
      </c>
      <c r="BK1461">
        <f>'19_Расчет_аналитики'!BJ1460*'01_Вводные'!$B$14</f>
        <v/>
      </c>
      <c r="BL1461">
        <f>'19_Расчет_аналитики'!BK1460*'01_Вводные'!$B$14</f>
        <v/>
      </c>
      <c r="BM1461">
        <f>'19_Расчет_аналитики'!BL1460*'01_Вводные'!$B$14</f>
        <v/>
      </c>
      <c r="BN1461">
        <f>'19_Расчет_аналитики'!BM1460*'01_Вводные'!$B$14</f>
        <v/>
      </c>
      <c r="BO1461">
        <f>'19_Расчет_аналитики'!BN1460*'01_Вводные'!$B$14</f>
        <v/>
      </c>
    </row>
    <row r="1462">
      <c r="N1462">
        <f>'06_Сеть_и_дети'!N95</f>
        <v/>
      </c>
      <c r="O1462">
        <f>'06_Сеть_и_дети'!O95</f>
        <v/>
      </c>
      <c r="P1462">
        <f>'19_Расчет_аналитики'!O1461*'01_Вводные'!$B$14</f>
        <v/>
      </c>
      <c r="Q1462">
        <f>'19_Расчет_аналитики'!P1461*'01_Вводные'!$B$14</f>
        <v/>
      </c>
      <c r="R1462">
        <f>'19_Расчет_аналитики'!Q1461*'01_Вводные'!$B$14</f>
        <v/>
      </c>
      <c r="S1462">
        <f>'19_Расчет_аналитики'!R1461*'01_Вводные'!$B$14</f>
        <v/>
      </c>
      <c r="T1462">
        <f>'19_Расчет_аналитики'!S1461*'01_Вводные'!$B$14</f>
        <v/>
      </c>
      <c r="U1462">
        <f>'19_Расчет_аналитики'!T1461*'01_Вводные'!$B$14</f>
        <v/>
      </c>
      <c r="V1462">
        <f>'19_Расчет_аналитики'!U1461*'01_Вводные'!$B$14</f>
        <v/>
      </c>
      <c r="W1462">
        <f>'19_Расчет_аналитики'!V1461*'01_Вводные'!$B$14</f>
        <v/>
      </c>
      <c r="X1462">
        <f>'19_Расчет_аналитики'!W1461*'01_Вводные'!$B$14</f>
        <v/>
      </c>
      <c r="Y1462">
        <f>'19_Расчет_аналитики'!X1461*'01_Вводные'!$B$14</f>
        <v/>
      </c>
      <c r="Z1462">
        <f>'19_Расчет_аналитики'!Y1461*'01_Вводные'!$B$14</f>
        <v/>
      </c>
      <c r="AA1462">
        <f>'19_Расчет_аналитики'!Z1461*'01_Вводные'!$B$14</f>
        <v/>
      </c>
      <c r="AB1462">
        <f>'19_Расчет_аналитики'!AA1461*'01_Вводные'!$B$14</f>
        <v/>
      </c>
      <c r="AC1462">
        <f>'19_Расчет_аналитики'!AB1461*'01_Вводные'!$B$14</f>
        <v/>
      </c>
      <c r="AD1462">
        <f>'19_Расчет_аналитики'!AC1461*'01_Вводные'!$B$14</f>
        <v/>
      </c>
      <c r="AE1462">
        <f>'19_Расчет_аналитики'!AD1461*'01_Вводные'!$B$14</f>
        <v/>
      </c>
      <c r="AF1462">
        <f>'19_Расчет_аналитики'!AE1461*'01_Вводные'!$B$14</f>
        <v/>
      </c>
      <c r="AG1462">
        <f>'19_Расчет_аналитики'!AF1461*'01_Вводные'!$B$14</f>
        <v/>
      </c>
      <c r="AH1462">
        <f>'19_Расчет_аналитики'!AG1461*'01_Вводные'!$B$14</f>
        <v/>
      </c>
      <c r="AI1462">
        <f>'19_Расчет_аналитики'!AH1461*'01_Вводные'!$B$14</f>
        <v/>
      </c>
      <c r="AJ1462">
        <f>'19_Расчет_аналитики'!AI1461*'01_Вводные'!$B$14</f>
        <v/>
      </c>
      <c r="AK1462">
        <f>'19_Расчет_аналитики'!AJ1461*'01_Вводные'!$B$14</f>
        <v/>
      </c>
      <c r="AL1462">
        <f>'19_Расчет_аналитики'!AK1461*'01_Вводные'!$B$14</f>
        <v/>
      </c>
      <c r="AM1462">
        <f>'19_Расчет_аналитики'!AL1461*'01_Вводные'!$B$14</f>
        <v/>
      </c>
      <c r="AN1462">
        <f>'19_Расчет_аналитики'!AM1461*'01_Вводные'!$B$14</f>
        <v/>
      </c>
      <c r="AO1462">
        <f>'19_Расчет_аналитики'!AN1461*'01_Вводные'!$B$14</f>
        <v/>
      </c>
      <c r="AP1462">
        <f>'19_Расчет_аналитики'!AO1461*'01_Вводные'!$B$14</f>
        <v/>
      </c>
      <c r="AQ1462">
        <f>'19_Расчет_аналитики'!AP1461*'01_Вводные'!$B$14</f>
        <v/>
      </c>
      <c r="AR1462">
        <f>'19_Расчет_аналитики'!AQ1461*'01_Вводные'!$B$14</f>
        <v/>
      </c>
      <c r="AS1462">
        <f>'19_Расчет_аналитики'!AR1461*'01_Вводные'!$B$14</f>
        <v/>
      </c>
      <c r="AT1462">
        <f>'19_Расчет_аналитики'!AS1461*'01_Вводные'!$B$14</f>
        <v/>
      </c>
      <c r="AU1462">
        <f>'19_Расчет_аналитики'!AT1461*'01_Вводные'!$B$14</f>
        <v/>
      </c>
      <c r="AV1462">
        <f>'19_Расчет_аналитики'!AU1461*'01_Вводные'!$B$14</f>
        <v/>
      </c>
      <c r="AW1462">
        <f>'19_Расчет_аналитики'!AV1461*'01_Вводные'!$B$14</f>
        <v/>
      </c>
      <c r="AX1462">
        <f>'19_Расчет_аналитики'!AW1461*'01_Вводные'!$B$14</f>
        <v/>
      </c>
      <c r="AY1462">
        <f>'19_Расчет_аналитики'!AX1461*'01_Вводные'!$B$14</f>
        <v/>
      </c>
      <c r="AZ1462">
        <f>'19_Расчет_аналитики'!AY1461*'01_Вводные'!$B$14</f>
        <v/>
      </c>
      <c r="BA1462">
        <f>'19_Расчет_аналитики'!AZ1461*'01_Вводные'!$B$14</f>
        <v/>
      </c>
      <c r="BB1462">
        <f>'19_Расчет_аналитики'!BA1461*'01_Вводные'!$B$14</f>
        <v/>
      </c>
      <c r="BC1462">
        <f>'19_Расчет_аналитики'!BB1461*'01_Вводные'!$B$14</f>
        <v/>
      </c>
      <c r="BD1462">
        <f>'19_Расчет_аналитики'!BC1461*'01_Вводные'!$B$14</f>
        <v/>
      </c>
      <c r="BE1462">
        <f>'19_Расчет_аналитики'!BD1461*'01_Вводные'!$B$14</f>
        <v/>
      </c>
      <c r="BF1462">
        <f>'19_Расчет_аналитики'!BE1461*'01_Вводные'!$B$14</f>
        <v/>
      </c>
      <c r="BG1462">
        <f>'19_Расчет_аналитики'!BF1461*'01_Вводные'!$B$14</f>
        <v/>
      </c>
      <c r="BH1462">
        <f>'19_Расчет_аналитики'!BG1461*'01_Вводные'!$B$14</f>
        <v/>
      </c>
      <c r="BI1462">
        <f>'19_Расчет_аналитики'!BH1461*'01_Вводные'!$B$14</f>
        <v/>
      </c>
      <c r="BJ1462">
        <f>'19_Расчет_аналитики'!BI1461*'01_Вводные'!$B$14</f>
        <v/>
      </c>
      <c r="BK1462">
        <f>'19_Расчет_аналитики'!BJ1461*'01_Вводные'!$B$14</f>
        <v/>
      </c>
      <c r="BL1462">
        <f>'19_Расчет_аналитики'!BK1461*'01_Вводные'!$B$14</f>
        <v/>
      </c>
      <c r="BM1462">
        <f>'19_Расчет_аналитики'!BL1461*'01_Вводные'!$B$14</f>
        <v/>
      </c>
      <c r="BN1462">
        <f>'19_Расчет_аналитики'!BM1461*'01_Вводные'!$B$14</f>
        <v/>
      </c>
      <c r="BO1462">
        <f>'19_Расчет_аналитики'!BN1461*'01_Вводные'!$B$14</f>
        <v/>
      </c>
    </row>
    <row r="1463">
      <c r="N1463">
        <f>'06_Сеть_и_дети'!N96</f>
        <v/>
      </c>
      <c r="O1463">
        <f>'06_Сеть_и_дети'!O96</f>
        <v/>
      </c>
      <c r="P1463">
        <f>'06_Сеть_и_дети'!P96</f>
        <v/>
      </c>
      <c r="Q1463">
        <f>'19_Расчет_аналитики'!P1462*'01_Вводные'!$B$14</f>
        <v/>
      </c>
      <c r="R1463">
        <f>'19_Расчет_аналитики'!Q1462*'01_Вводные'!$B$14</f>
        <v/>
      </c>
      <c r="S1463">
        <f>'19_Расчет_аналитики'!R1462*'01_Вводные'!$B$14</f>
        <v/>
      </c>
      <c r="T1463">
        <f>'19_Расчет_аналитики'!S1462*'01_Вводные'!$B$14</f>
        <v/>
      </c>
      <c r="U1463">
        <f>'19_Расчет_аналитики'!T1462*'01_Вводные'!$B$14</f>
        <v/>
      </c>
      <c r="V1463">
        <f>'19_Расчет_аналитики'!U1462*'01_Вводные'!$B$14</f>
        <v/>
      </c>
      <c r="W1463">
        <f>'19_Расчет_аналитики'!V1462*'01_Вводные'!$B$14</f>
        <v/>
      </c>
      <c r="X1463">
        <f>'19_Расчет_аналитики'!W1462*'01_Вводные'!$B$14</f>
        <v/>
      </c>
      <c r="Y1463">
        <f>'19_Расчет_аналитики'!X1462*'01_Вводные'!$B$14</f>
        <v/>
      </c>
      <c r="Z1463">
        <f>'19_Расчет_аналитики'!Y1462*'01_Вводные'!$B$14</f>
        <v/>
      </c>
      <c r="AA1463">
        <f>'19_Расчет_аналитики'!Z1462*'01_Вводные'!$B$14</f>
        <v/>
      </c>
      <c r="AB1463">
        <f>'19_Расчет_аналитики'!AA1462*'01_Вводные'!$B$14</f>
        <v/>
      </c>
      <c r="AC1463">
        <f>'19_Расчет_аналитики'!AB1462*'01_Вводные'!$B$14</f>
        <v/>
      </c>
      <c r="AD1463">
        <f>'19_Расчет_аналитики'!AC1462*'01_Вводные'!$B$14</f>
        <v/>
      </c>
      <c r="AE1463">
        <f>'19_Расчет_аналитики'!AD1462*'01_Вводные'!$B$14</f>
        <v/>
      </c>
      <c r="AF1463">
        <f>'19_Расчет_аналитики'!AE1462*'01_Вводные'!$B$14</f>
        <v/>
      </c>
      <c r="AG1463">
        <f>'19_Расчет_аналитики'!AF1462*'01_Вводные'!$B$14</f>
        <v/>
      </c>
      <c r="AH1463">
        <f>'19_Расчет_аналитики'!AG1462*'01_Вводные'!$B$14</f>
        <v/>
      </c>
      <c r="AI1463">
        <f>'19_Расчет_аналитики'!AH1462*'01_Вводные'!$B$14</f>
        <v/>
      </c>
      <c r="AJ1463">
        <f>'19_Расчет_аналитики'!AI1462*'01_Вводные'!$B$14</f>
        <v/>
      </c>
      <c r="AK1463">
        <f>'19_Расчет_аналитики'!AJ1462*'01_Вводные'!$B$14</f>
        <v/>
      </c>
      <c r="AL1463">
        <f>'19_Расчет_аналитики'!AK1462*'01_Вводные'!$B$14</f>
        <v/>
      </c>
      <c r="AM1463">
        <f>'19_Расчет_аналитики'!AL1462*'01_Вводные'!$B$14</f>
        <v/>
      </c>
      <c r="AN1463">
        <f>'19_Расчет_аналитики'!AM1462*'01_Вводные'!$B$14</f>
        <v/>
      </c>
      <c r="AO1463">
        <f>'19_Расчет_аналитики'!AN1462*'01_Вводные'!$B$14</f>
        <v/>
      </c>
      <c r="AP1463">
        <f>'19_Расчет_аналитики'!AO1462*'01_Вводные'!$B$14</f>
        <v/>
      </c>
      <c r="AQ1463">
        <f>'19_Расчет_аналитики'!AP1462*'01_Вводные'!$B$14</f>
        <v/>
      </c>
      <c r="AR1463">
        <f>'19_Расчет_аналитики'!AQ1462*'01_Вводные'!$B$14</f>
        <v/>
      </c>
      <c r="AS1463">
        <f>'19_Расчет_аналитики'!AR1462*'01_Вводные'!$B$14</f>
        <v/>
      </c>
      <c r="AT1463">
        <f>'19_Расчет_аналитики'!AS1462*'01_Вводные'!$B$14</f>
        <v/>
      </c>
      <c r="AU1463">
        <f>'19_Расчет_аналитики'!AT1462*'01_Вводные'!$B$14</f>
        <v/>
      </c>
      <c r="AV1463">
        <f>'19_Расчет_аналитики'!AU1462*'01_Вводные'!$B$14</f>
        <v/>
      </c>
      <c r="AW1463">
        <f>'19_Расчет_аналитики'!AV1462*'01_Вводные'!$B$14</f>
        <v/>
      </c>
      <c r="AX1463">
        <f>'19_Расчет_аналитики'!AW1462*'01_Вводные'!$B$14</f>
        <v/>
      </c>
      <c r="AY1463">
        <f>'19_Расчет_аналитики'!AX1462*'01_Вводные'!$B$14</f>
        <v/>
      </c>
      <c r="AZ1463">
        <f>'19_Расчет_аналитики'!AY1462*'01_Вводные'!$B$14</f>
        <v/>
      </c>
      <c r="BA1463">
        <f>'19_Расчет_аналитики'!AZ1462*'01_Вводные'!$B$14</f>
        <v/>
      </c>
      <c r="BB1463">
        <f>'19_Расчет_аналитики'!BA1462*'01_Вводные'!$B$14</f>
        <v/>
      </c>
      <c r="BC1463">
        <f>'19_Расчет_аналитики'!BB1462*'01_Вводные'!$B$14</f>
        <v/>
      </c>
      <c r="BD1463">
        <f>'19_Расчет_аналитики'!BC1462*'01_Вводные'!$B$14</f>
        <v/>
      </c>
      <c r="BE1463">
        <f>'19_Расчет_аналитики'!BD1462*'01_Вводные'!$B$14</f>
        <v/>
      </c>
      <c r="BF1463">
        <f>'19_Расчет_аналитики'!BE1462*'01_Вводные'!$B$14</f>
        <v/>
      </c>
      <c r="BG1463">
        <f>'19_Расчет_аналитики'!BF1462*'01_Вводные'!$B$14</f>
        <v/>
      </c>
      <c r="BH1463">
        <f>'19_Расчет_аналитики'!BG1462*'01_Вводные'!$B$14</f>
        <v/>
      </c>
      <c r="BI1463">
        <f>'19_Расчет_аналитики'!BH1462*'01_Вводные'!$B$14</f>
        <v/>
      </c>
      <c r="BJ1463">
        <f>'19_Расчет_аналитики'!BI1462*'01_Вводные'!$B$14</f>
        <v/>
      </c>
      <c r="BK1463">
        <f>'19_Расчет_аналитики'!BJ1462*'01_Вводные'!$B$14</f>
        <v/>
      </c>
      <c r="BL1463">
        <f>'19_Расчет_аналитики'!BK1462*'01_Вводные'!$B$14</f>
        <v/>
      </c>
      <c r="BM1463">
        <f>'19_Расчет_аналитики'!BL1462*'01_Вводные'!$B$14</f>
        <v/>
      </c>
      <c r="BN1463">
        <f>'19_Расчет_аналитики'!BM1462*'01_Вводные'!$B$14</f>
        <v/>
      </c>
      <c r="BO1463">
        <f>'19_Расчет_аналитики'!BN1462*'01_Вводные'!$B$14</f>
        <v/>
      </c>
    </row>
    <row r="1464">
      <c r="N1464">
        <f>'06_Сеть_и_дети'!N97</f>
        <v/>
      </c>
      <c r="O1464">
        <f>'06_Сеть_и_дети'!O97</f>
        <v/>
      </c>
      <c r="P1464">
        <f>'06_Сеть_и_дети'!P97</f>
        <v/>
      </c>
      <c r="Q1464">
        <f>'06_Сеть_и_дети'!Q97</f>
        <v/>
      </c>
      <c r="R1464">
        <f>'19_Расчет_аналитики'!Q1463*'01_Вводные'!$B$14</f>
        <v/>
      </c>
      <c r="S1464">
        <f>'19_Расчет_аналитики'!R1463*'01_Вводные'!$B$14</f>
        <v/>
      </c>
      <c r="T1464">
        <f>'19_Расчет_аналитики'!S1463*'01_Вводные'!$B$14</f>
        <v/>
      </c>
      <c r="U1464">
        <f>'19_Расчет_аналитики'!T1463*'01_Вводные'!$B$14</f>
        <v/>
      </c>
      <c r="V1464">
        <f>'19_Расчет_аналитики'!U1463*'01_Вводные'!$B$14</f>
        <v/>
      </c>
      <c r="W1464">
        <f>'19_Расчет_аналитики'!V1463*'01_Вводные'!$B$14</f>
        <v/>
      </c>
      <c r="X1464">
        <f>'19_Расчет_аналитики'!W1463*'01_Вводные'!$B$14</f>
        <v/>
      </c>
      <c r="Y1464">
        <f>'19_Расчет_аналитики'!X1463*'01_Вводные'!$B$14</f>
        <v/>
      </c>
      <c r="Z1464">
        <f>'19_Расчет_аналитики'!Y1463*'01_Вводные'!$B$14</f>
        <v/>
      </c>
      <c r="AA1464">
        <f>'19_Расчет_аналитики'!Z1463*'01_Вводные'!$B$14</f>
        <v/>
      </c>
      <c r="AB1464">
        <f>'19_Расчет_аналитики'!AA1463*'01_Вводные'!$B$14</f>
        <v/>
      </c>
      <c r="AC1464">
        <f>'19_Расчет_аналитики'!AB1463*'01_Вводные'!$B$14</f>
        <v/>
      </c>
      <c r="AD1464">
        <f>'19_Расчет_аналитики'!AC1463*'01_Вводные'!$B$14</f>
        <v/>
      </c>
      <c r="AE1464">
        <f>'19_Расчет_аналитики'!AD1463*'01_Вводные'!$B$14</f>
        <v/>
      </c>
      <c r="AF1464">
        <f>'19_Расчет_аналитики'!AE1463*'01_Вводные'!$B$14</f>
        <v/>
      </c>
      <c r="AG1464">
        <f>'19_Расчет_аналитики'!AF1463*'01_Вводные'!$B$14</f>
        <v/>
      </c>
      <c r="AH1464">
        <f>'19_Расчет_аналитики'!AG1463*'01_Вводные'!$B$14</f>
        <v/>
      </c>
      <c r="AI1464">
        <f>'19_Расчет_аналитики'!AH1463*'01_Вводные'!$B$14</f>
        <v/>
      </c>
      <c r="AJ1464">
        <f>'19_Расчет_аналитики'!AI1463*'01_Вводные'!$B$14</f>
        <v/>
      </c>
      <c r="AK1464">
        <f>'19_Расчет_аналитики'!AJ1463*'01_Вводные'!$B$14</f>
        <v/>
      </c>
      <c r="AL1464">
        <f>'19_Расчет_аналитики'!AK1463*'01_Вводные'!$B$14</f>
        <v/>
      </c>
      <c r="AM1464">
        <f>'19_Расчет_аналитики'!AL1463*'01_Вводные'!$B$14</f>
        <v/>
      </c>
      <c r="AN1464">
        <f>'19_Расчет_аналитики'!AM1463*'01_Вводные'!$B$14</f>
        <v/>
      </c>
      <c r="AO1464">
        <f>'19_Расчет_аналитики'!AN1463*'01_Вводные'!$B$14</f>
        <v/>
      </c>
      <c r="AP1464">
        <f>'19_Расчет_аналитики'!AO1463*'01_Вводные'!$B$14</f>
        <v/>
      </c>
      <c r="AQ1464">
        <f>'19_Расчет_аналитики'!AP1463*'01_Вводные'!$B$14</f>
        <v/>
      </c>
      <c r="AR1464">
        <f>'19_Расчет_аналитики'!AQ1463*'01_Вводные'!$B$14</f>
        <v/>
      </c>
      <c r="AS1464">
        <f>'19_Расчет_аналитики'!AR1463*'01_Вводные'!$B$14</f>
        <v/>
      </c>
      <c r="AT1464">
        <f>'19_Расчет_аналитики'!AS1463*'01_Вводные'!$B$14</f>
        <v/>
      </c>
      <c r="AU1464">
        <f>'19_Расчет_аналитики'!AT1463*'01_Вводные'!$B$14</f>
        <v/>
      </c>
      <c r="AV1464">
        <f>'19_Расчет_аналитики'!AU1463*'01_Вводные'!$B$14</f>
        <v/>
      </c>
      <c r="AW1464">
        <f>'19_Расчет_аналитики'!AV1463*'01_Вводные'!$B$14</f>
        <v/>
      </c>
      <c r="AX1464">
        <f>'19_Расчет_аналитики'!AW1463*'01_Вводные'!$B$14</f>
        <v/>
      </c>
      <c r="AY1464">
        <f>'19_Расчет_аналитики'!AX1463*'01_Вводные'!$B$14</f>
        <v/>
      </c>
      <c r="AZ1464">
        <f>'19_Расчет_аналитики'!AY1463*'01_Вводные'!$B$14</f>
        <v/>
      </c>
      <c r="BA1464">
        <f>'19_Расчет_аналитики'!AZ1463*'01_Вводные'!$B$14</f>
        <v/>
      </c>
      <c r="BB1464">
        <f>'19_Расчет_аналитики'!BA1463*'01_Вводные'!$B$14</f>
        <v/>
      </c>
      <c r="BC1464">
        <f>'19_Расчет_аналитики'!BB1463*'01_Вводные'!$B$14</f>
        <v/>
      </c>
      <c r="BD1464">
        <f>'19_Расчет_аналитики'!BC1463*'01_Вводные'!$B$14</f>
        <v/>
      </c>
      <c r="BE1464">
        <f>'19_Расчет_аналитики'!BD1463*'01_Вводные'!$B$14</f>
        <v/>
      </c>
      <c r="BF1464">
        <f>'19_Расчет_аналитики'!BE1463*'01_Вводные'!$B$14</f>
        <v/>
      </c>
      <c r="BG1464">
        <f>'19_Расчет_аналитики'!BF1463*'01_Вводные'!$B$14</f>
        <v/>
      </c>
      <c r="BH1464">
        <f>'19_Расчет_аналитики'!BG1463*'01_Вводные'!$B$14</f>
        <v/>
      </c>
      <c r="BI1464">
        <f>'19_Расчет_аналитики'!BH1463*'01_Вводные'!$B$14</f>
        <v/>
      </c>
      <c r="BJ1464">
        <f>'19_Расчет_аналитики'!BI1463*'01_Вводные'!$B$14</f>
        <v/>
      </c>
      <c r="BK1464">
        <f>'19_Расчет_аналитики'!BJ1463*'01_Вводные'!$B$14</f>
        <v/>
      </c>
      <c r="BL1464">
        <f>'19_Расчет_аналитики'!BK1463*'01_Вводные'!$B$14</f>
        <v/>
      </c>
      <c r="BM1464">
        <f>'19_Расчет_аналитики'!BL1463*'01_Вводные'!$B$14</f>
        <v/>
      </c>
      <c r="BN1464">
        <f>'19_Расчет_аналитики'!BM1463*'01_Вводные'!$B$14</f>
        <v/>
      </c>
      <c r="BO1464">
        <f>'19_Расчет_аналитики'!BN1463*'01_Вводные'!$B$14</f>
        <v/>
      </c>
    </row>
    <row r="1465">
      <c r="N1465">
        <f>'06_Сеть_и_дети'!N98</f>
        <v/>
      </c>
      <c r="O1465">
        <f>'06_Сеть_и_дети'!O98</f>
        <v/>
      </c>
      <c r="P1465">
        <f>'06_Сеть_и_дети'!P98</f>
        <v/>
      </c>
      <c r="Q1465">
        <f>'06_Сеть_и_дети'!Q98</f>
        <v/>
      </c>
      <c r="R1465">
        <f>'06_Сеть_и_дети'!R98</f>
        <v/>
      </c>
      <c r="S1465">
        <f>'19_Расчет_аналитики'!R1464*'01_Вводные'!$B$14</f>
        <v/>
      </c>
      <c r="T1465">
        <f>'19_Расчет_аналитики'!S1464*'01_Вводные'!$B$14</f>
        <v/>
      </c>
      <c r="U1465">
        <f>'19_Расчет_аналитики'!T1464*'01_Вводные'!$B$14</f>
        <v/>
      </c>
      <c r="V1465">
        <f>'19_Расчет_аналитики'!U1464*'01_Вводные'!$B$14</f>
        <v/>
      </c>
      <c r="W1465">
        <f>'19_Расчет_аналитики'!V1464*'01_Вводные'!$B$14</f>
        <v/>
      </c>
      <c r="X1465">
        <f>'19_Расчет_аналитики'!W1464*'01_Вводные'!$B$14</f>
        <v/>
      </c>
      <c r="Y1465">
        <f>'19_Расчет_аналитики'!X1464*'01_Вводные'!$B$14</f>
        <v/>
      </c>
      <c r="Z1465">
        <f>'19_Расчет_аналитики'!Y1464*'01_Вводные'!$B$14</f>
        <v/>
      </c>
      <c r="AA1465">
        <f>'19_Расчет_аналитики'!Z1464*'01_Вводные'!$B$14</f>
        <v/>
      </c>
      <c r="AB1465">
        <f>'19_Расчет_аналитики'!AA1464*'01_Вводные'!$B$14</f>
        <v/>
      </c>
      <c r="AC1465">
        <f>'19_Расчет_аналитики'!AB1464*'01_Вводные'!$B$14</f>
        <v/>
      </c>
      <c r="AD1465">
        <f>'19_Расчет_аналитики'!AC1464*'01_Вводные'!$B$14</f>
        <v/>
      </c>
      <c r="AE1465">
        <f>'19_Расчет_аналитики'!AD1464*'01_Вводные'!$B$14</f>
        <v/>
      </c>
      <c r="AF1465">
        <f>'19_Расчет_аналитики'!AE1464*'01_Вводные'!$B$14</f>
        <v/>
      </c>
      <c r="AG1465">
        <f>'19_Расчет_аналитики'!AF1464*'01_Вводные'!$B$14</f>
        <v/>
      </c>
      <c r="AH1465">
        <f>'19_Расчет_аналитики'!AG1464*'01_Вводные'!$B$14</f>
        <v/>
      </c>
      <c r="AI1465">
        <f>'19_Расчет_аналитики'!AH1464*'01_Вводные'!$B$14</f>
        <v/>
      </c>
      <c r="AJ1465">
        <f>'19_Расчет_аналитики'!AI1464*'01_Вводные'!$B$14</f>
        <v/>
      </c>
      <c r="AK1465">
        <f>'19_Расчет_аналитики'!AJ1464*'01_Вводные'!$B$14</f>
        <v/>
      </c>
      <c r="AL1465">
        <f>'19_Расчет_аналитики'!AK1464*'01_Вводные'!$B$14</f>
        <v/>
      </c>
      <c r="AM1465">
        <f>'19_Расчет_аналитики'!AL1464*'01_Вводные'!$B$14</f>
        <v/>
      </c>
      <c r="AN1465">
        <f>'19_Расчет_аналитики'!AM1464*'01_Вводные'!$B$14</f>
        <v/>
      </c>
      <c r="AO1465">
        <f>'19_Расчет_аналитики'!AN1464*'01_Вводные'!$B$14</f>
        <v/>
      </c>
      <c r="AP1465">
        <f>'19_Расчет_аналитики'!AO1464*'01_Вводные'!$B$14</f>
        <v/>
      </c>
      <c r="AQ1465">
        <f>'19_Расчет_аналитики'!AP1464*'01_Вводные'!$B$14</f>
        <v/>
      </c>
      <c r="AR1465">
        <f>'19_Расчет_аналитики'!AQ1464*'01_Вводные'!$B$14</f>
        <v/>
      </c>
      <c r="AS1465">
        <f>'19_Расчет_аналитики'!AR1464*'01_Вводные'!$B$14</f>
        <v/>
      </c>
      <c r="AT1465">
        <f>'19_Расчет_аналитики'!AS1464*'01_Вводные'!$B$14</f>
        <v/>
      </c>
      <c r="AU1465">
        <f>'19_Расчет_аналитики'!AT1464*'01_Вводные'!$B$14</f>
        <v/>
      </c>
      <c r="AV1465">
        <f>'19_Расчет_аналитики'!AU1464*'01_Вводные'!$B$14</f>
        <v/>
      </c>
      <c r="AW1465">
        <f>'19_Расчет_аналитики'!AV1464*'01_Вводные'!$B$14</f>
        <v/>
      </c>
      <c r="AX1465">
        <f>'19_Расчет_аналитики'!AW1464*'01_Вводные'!$B$14</f>
        <v/>
      </c>
      <c r="AY1465">
        <f>'19_Расчет_аналитики'!AX1464*'01_Вводные'!$B$14</f>
        <v/>
      </c>
      <c r="AZ1465">
        <f>'19_Расчет_аналитики'!AY1464*'01_Вводные'!$B$14</f>
        <v/>
      </c>
      <c r="BA1465">
        <f>'19_Расчет_аналитики'!AZ1464*'01_Вводные'!$B$14</f>
        <v/>
      </c>
      <c r="BB1465">
        <f>'19_Расчет_аналитики'!BA1464*'01_Вводные'!$B$14</f>
        <v/>
      </c>
      <c r="BC1465">
        <f>'19_Расчет_аналитики'!BB1464*'01_Вводные'!$B$14</f>
        <v/>
      </c>
      <c r="BD1465">
        <f>'19_Расчет_аналитики'!BC1464*'01_Вводные'!$B$14</f>
        <v/>
      </c>
      <c r="BE1465">
        <f>'19_Расчет_аналитики'!BD1464*'01_Вводные'!$B$14</f>
        <v/>
      </c>
      <c r="BF1465">
        <f>'19_Расчет_аналитики'!BE1464*'01_Вводные'!$B$14</f>
        <v/>
      </c>
      <c r="BG1465">
        <f>'19_Расчет_аналитики'!BF1464*'01_Вводные'!$B$14</f>
        <v/>
      </c>
      <c r="BH1465">
        <f>'19_Расчет_аналитики'!BG1464*'01_Вводные'!$B$14</f>
        <v/>
      </c>
      <c r="BI1465">
        <f>'19_Расчет_аналитики'!BH1464*'01_Вводные'!$B$14</f>
        <v/>
      </c>
      <c r="BJ1465">
        <f>'19_Расчет_аналитики'!BI1464*'01_Вводные'!$B$14</f>
        <v/>
      </c>
      <c r="BK1465">
        <f>'19_Расчет_аналитики'!BJ1464*'01_Вводные'!$B$14</f>
        <v/>
      </c>
      <c r="BL1465">
        <f>'19_Расчет_аналитики'!BK1464*'01_Вводные'!$B$14</f>
        <v/>
      </c>
      <c r="BM1465">
        <f>'19_Расчет_аналитики'!BL1464*'01_Вводные'!$B$14</f>
        <v/>
      </c>
      <c r="BN1465">
        <f>'19_Расчет_аналитики'!BM1464*'01_Вводные'!$B$14</f>
        <v/>
      </c>
      <c r="BO1465">
        <f>'19_Расчет_аналитики'!BN1464*'01_Вводные'!$B$14</f>
        <v/>
      </c>
    </row>
    <row r="1466">
      <c r="N1466">
        <f>'06_Сеть_и_дети'!N99</f>
        <v/>
      </c>
      <c r="O1466">
        <f>'06_Сеть_и_дети'!O99</f>
        <v/>
      </c>
      <c r="P1466">
        <f>'06_Сеть_и_дети'!P99</f>
        <v/>
      </c>
      <c r="Q1466">
        <f>'06_Сеть_и_дети'!Q99</f>
        <v/>
      </c>
      <c r="R1466">
        <f>'06_Сеть_и_дети'!R99</f>
        <v/>
      </c>
      <c r="S1466">
        <f>'06_Сеть_и_дети'!S99</f>
        <v/>
      </c>
      <c r="T1466">
        <f>'19_Расчет_аналитики'!S1465*'01_Вводные'!$B$14</f>
        <v/>
      </c>
      <c r="U1466">
        <f>'19_Расчет_аналитики'!T1465*'01_Вводные'!$B$14</f>
        <v/>
      </c>
      <c r="V1466">
        <f>'19_Расчет_аналитики'!U1465*'01_Вводные'!$B$14</f>
        <v/>
      </c>
      <c r="W1466">
        <f>'19_Расчет_аналитики'!V1465*'01_Вводные'!$B$14</f>
        <v/>
      </c>
      <c r="X1466">
        <f>'19_Расчет_аналитики'!W1465*'01_Вводные'!$B$14</f>
        <v/>
      </c>
      <c r="Y1466">
        <f>'19_Расчет_аналитики'!X1465*'01_Вводные'!$B$14</f>
        <v/>
      </c>
      <c r="Z1466">
        <f>'19_Расчет_аналитики'!Y1465*'01_Вводные'!$B$14</f>
        <v/>
      </c>
      <c r="AA1466">
        <f>'19_Расчет_аналитики'!Z1465*'01_Вводные'!$B$14</f>
        <v/>
      </c>
      <c r="AB1466">
        <f>'19_Расчет_аналитики'!AA1465*'01_Вводные'!$B$14</f>
        <v/>
      </c>
      <c r="AC1466">
        <f>'19_Расчет_аналитики'!AB1465*'01_Вводные'!$B$14</f>
        <v/>
      </c>
      <c r="AD1466">
        <f>'19_Расчет_аналитики'!AC1465*'01_Вводные'!$B$14</f>
        <v/>
      </c>
      <c r="AE1466">
        <f>'19_Расчет_аналитики'!AD1465*'01_Вводные'!$B$14</f>
        <v/>
      </c>
      <c r="AF1466">
        <f>'19_Расчет_аналитики'!AE1465*'01_Вводные'!$B$14</f>
        <v/>
      </c>
      <c r="AG1466">
        <f>'19_Расчет_аналитики'!AF1465*'01_Вводные'!$B$14</f>
        <v/>
      </c>
      <c r="AH1466">
        <f>'19_Расчет_аналитики'!AG1465*'01_Вводные'!$B$14</f>
        <v/>
      </c>
      <c r="AI1466">
        <f>'19_Расчет_аналитики'!AH1465*'01_Вводные'!$B$14</f>
        <v/>
      </c>
      <c r="AJ1466">
        <f>'19_Расчет_аналитики'!AI1465*'01_Вводные'!$B$14</f>
        <v/>
      </c>
      <c r="AK1466">
        <f>'19_Расчет_аналитики'!AJ1465*'01_Вводные'!$B$14</f>
        <v/>
      </c>
      <c r="AL1466">
        <f>'19_Расчет_аналитики'!AK1465*'01_Вводные'!$B$14</f>
        <v/>
      </c>
      <c r="AM1466">
        <f>'19_Расчет_аналитики'!AL1465*'01_Вводные'!$B$14</f>
        <v/>
      </c>
      <c r="AN1466">
        <f>'19_Расчет_аналитики'!AM1465*'01_Вводные'!$B$14</f>
        <v/>
      </c>
      <c r="AO1466">
        <f>'19_Расчет_аналитики'!AN1465*'01_Вводные'!$B$14</f>
        <v/>
      </c>
      <c r="AP1466">
        <f>'19_Расчет_аналитики'!AO1465*'01_Вводные'!$B$14</f>
        <v/>
      </c>
      <c r="AQ1466">
        <f>'19_Расчет_аналитики'!AP1465*'01_Вводные'!$B$14</f>
        <v/>
      </c>
      <c r="AR1466">
        <f>'19_Расчет_аналитики'!AQ1465*'01_Вводные'!$B$14</f>
        <v/>
      </c>
      <c r="AS1466">
        <f>'19_Расчет_аналитики'!AR1465*'01_Вводные'!$B$14</f>
        <v/>
      </c>
      <c r="AT1466">
        <f>'19_Расчет_аналитики'!AS1465*'01_Вводные'!$B$14</f>
        <v/>
      </c>
      <c r="AU1466">
        <f>'19_Расчет_аналитики'!AT1465*'01_Вводные'!$B$14</f>
        <v/>
      </c>
      <c r="AV1466">
        <f>'19_Расчет_аналитики'!AU1465*'01_Вводные'!$B$14</f>
        <v/>
      </c>
      <c r="AW1466">
        <f>'19_Расчет_аналитики'!AV1465*'01_Вводные'!$B$14</f>
        <v/>
      </c>
      <c r="AX1466">
        <f>'19_Расчет_аналитики'!AW1465*'01_Вводные'!$B$14</f>
        <v/>
      </c>
      <c r="AY1466">
        <f>'19_Расчет_аналитики'!AX1465*'01_Вводные'!$B$14</f>
        <v/>
      </c>
      <c r="AZ1466">
        <f>'19_Расчет_аналитики'!AY1465*'01_Вводные'!$B$14</f>
        <v/>
      </c>
      <c r="BA1466">
        <f>'19_Расчет_аналитики'!AZ1465*'01_Вводные'!$B$14</f>
        <v/>
      </c>
      <c r="BB1466">
        <f>'19_Расчет_аналитики'!BA1465*'01_Вводные'!$B$14</f>
        <v/>
      </c>
      <c r="BC1466">
        <f>'19_Расчет_аналитики'!BB1465*'01_Вводные'!$B$14</f>
        <v/>
      </c>
      <c r="BD1466">
        <f>'19_Расчет_аналитики'!BC1465*'01_Вводные'!$B$14</f>
        <v/>
      </c>
      <c r="BE1466">
        <f>'19_Расчет_аналитики'!BD1465*'01_Вводные'!$B$14</f>
        <v/>
      </c>
      <c r="BF1466">
        <f>'19_Расчет_аналитики'!BE1465*'01_Вводные'!$B$14</f>
        <v/>
      </c>
      <c r="BG1466">
        <f>'19_Расчет_аналитики'!BF1465*'01_Вводные'!$B$14</f>
        <v/>
      </c>
      <c r="BH1466">
        <f>'19_Расчет_аналитики'!BG1465*'01_Вводные'!$B$14</f>
        <v/>
      </c>
      <c r="BI1466">
        <f>'19_Расчет_аналитики'!BH1465*'01_Вводные'!$B$14</f>
        <v/>
      </c>
      <c r="BJ1466">
        <f>'19_Расчет_аналитики'!BI1465*'01_Вводные'!$B$14</f>
        <v/>
      </c>
      <c r="BK1466">
        <f>'19_Расчет_аналитики'!BJ1465*'01_Вводные'!$B$14</f>
        <v/>
      </c>
      <c r="BL1466">
        <f>'19_Расчет_аналитики'!BK1465*'01_Вводные'!$B$14</f>
        <v/>
      </c>
      <c r="BM1466">
        <f>'19_Расчет_аналитики'!BL1465*'01_Вводные'!$B$14</f>
        <v/>
      </c>
      <c r="BN1466">
        <f>'19_Расчет_аналитики'!BM1465*'01_Вводные'!$B$14</f>
        <v/>
      </c>
      <c r="BO1466">
        <f>'19_Расчет_аналитики'!BN1465*'01_Вводные'!$B$14</f>
        <v/>
      </c>
    </row>
    <row r="1467">
      <c r="N1467">
        <f>'06_Сеть_и_дети'!N100</f>
        <v/>
      </c>
      <c r="O1467">
        <f>'06_Сеть_и_дети'!O100</f>
        <v/>
      </c>
      <c r="P1467">
        <f>'06_Сеть_и_дети'!P100</f>
        <v/>
      </c>
      <c r="Q1467">
        <f>'06_Сеть_и_дети'!Q100</f>
        <v/>
      </c>
      <c r="R1467">
        <f>'06_Сеть_и_дети'!R100</f>
        <v/>
      </c>
      <c r="S1467">
        <f>'06_Сеть_и_дети'!S100</f>
        <v/>
      </c>
      <c r="T1467">
        <f>'06_Сеть_и_дети'!T100</f>
        <v/>
      </c>
      <c r="U1467">
        <f>'19_Расчет_аналитики'!T1466*'01_Вводные'!$B$14</f>
        <v/>
      </c>
      <c r="V1467">
        <f>'19_Расчет_аналитики'!U1466*'01_Вводные'!$B$14</f>
        <v/>
      </c>
      <c r="W1467">
        <f>'19_Расчет_аналитики'!V1466*'01_Вводные'!$B$14</f>
        <v/>
      </c>
      <c r="X1467">
        <f>'19_Расчет_аналитики'!W1466*'01_Вводные'!$B$14</f>
        <v/>
      </c>
      <c r="Y1467">
        <f>'19_Расчет_аналитики'!X1466*'01_Вводные'!$B$14</f>
        <v/>
      </c>
      <c r="Z1467">
        <f>'19_Расчет_аналитики'!Y1466*'01_Вводные'!$B$14</f>
        <v/>
      </c>
      <c r="AA1467">
        <f>'19_Расчет_аналитики'!Z1466*'01_Вводные'!$B$14</f>
        <v/>
      </c>
      <c r="AB1467">
        <f>'19_Расчет_аналитики'!AA1466*'01_Вводные'!$B$14</f>
        <v/>
      </c>
      <c r="AC1467">
        <f>'19_Расчет_аналитики'!AB1466*'01_Вводные'!$B$14</f>
        <v/>
      </c>
      <c r="AD1467">
        <f>'19_Расчет_аналитики'!AC1466*'01_Вводные'!$B$14</f>
        <v/>
      </c>
      <c r="AE1467">
        <f>'19_Расчет_аналитики'!AD1466*'01_Вводные'!$B$14</f>
        <v/>
      </c>
      <c r="AF1467">
        <f>'19_Расчет_аналитики'!AE1466*'01_Вводные'!$B$14</f>
        <v/>
      </c>
      <c r="AG1467">
        <f>'19_Расчет_аналитики'!AF1466*'01_Вводные'!$B$14</f>
        <v/>
      </c>
      <c r="AH1467">
        <f>'19_Расчет_аналитики'!AG1466*'01_Вводные'!$B$14</f>
        <v/>
      </c>
      <c r="AI1467">
        <f>'19_Расчет_аналитики'!AH1466*'01_Вводные'!$B$14</f>
        <v/>
      </c>
      <c r="AJ1467">
        <f>'19_Расчет_аналитики'!AI1466*'01_Вводные'!$B$14</f>
        <v/>
      </c>
      <c r="AK1467">
        <f>'19_Расчет_аналитики'!AJ1466*'01_Вводные'!$B$14</f>
        <v/>
      </c>
      <c r="AL1467">
        <f>'19_Расчет_аналитики'!AK1466*'01_Вводные'!$B$14</f>
        <v/>
      </c>
      <c r="AM1467">
        <f>'19_Расчет_аналитики'!AL1466*'01_Вводные'!$B$14</f>
        <v/>
      </c>
      <c r="AN1467">
        <f>'19_Расчет_аналитики'!AM1466*'01_Вводные'!$B$14</f>
        <v/>
      </c>
      <c r="AO1467">
        <f>'19_Расчет_аналитики'!AN1466*'01_Вводные'!$B$14</f>
        <v/>
      </c>
      <c r="AP1467">
        <f>'19_Расчет_аналитики'!AO1466*'01_Вводные'!$B$14</f>
        <v/>
      </c>
      <c r="AQ1467">
        <f>'19_Расчет_аналитики'!AP1466*'01_Вводные'!$B$14</f>
        <v/>
      </c>
      <c r="AR1467">
        <f>'19_Расчет_аналитики'!AQ1466*'01_Вводные'!$B$14</f>
        <v/>
      </c>
      <c r="AS1467">
        <f>'19_Расчет_аналитики'!AR1466*'01_Вводные'!$B$14</f>
        <v/>
      </c>
      <c r="AT1467">
        <f>'19_Расчет_аналитики'!AS1466*'01_Вводные'!$B$14</f>
        <v/>
      </c>
      <c r="AU1467">
        <f>'19_Расчет_аналитики'!AT1466*'01_Вводные'!$B$14</f>
        <v/>
      </c>
      <c r="AV1467">
        <f>'19_Расчет_аналитики'!AU1466*'01_Вводные'!$B$14</f>
        <v/>
      </c>
      <c r="AW1467">
        <f>'19_Расчет_аналитики'!AV1466*'01_Вводные'!$B$14</f>
        <v/>
      </c>
      <c r="AX1467">
        <f>'19_Расчет_аналитики'!AW1466*'01_Вводные'!$B$14</f>
        <v/>
      </c>
      <c r="AY1467">
        <f>'19_Расчет_аналитики'!AX1466*'01_Вводные'!$B$14</f>
        <v/>
      </c>
      <c r="AZ1467">
        <f>'19_Расчет_аналитики'!AY1466*'01_Вводные'!$B$14</f>
        <v/>
      </c>
      <c r="BA1467">
        <f>'19_Расчет_аналитики'!AZ1466*'01_Вводные'!$B$14</f>
        <v/>
      </c>
      <c r="BB1467">
        <f>'19_Расчет_аналитики'!BA1466*'01_Вводные'!$B$14</f>
        <v/>
      </c>
      <c r="BC1467">
        <f>'19_Расчет_аналитики'!BB1466*'01_Вводные'!$B$14</f>
        <v/>
      </c>
      <c r="BD1467">
        <f>'19_Расчет_аналитики'!BC1466*'01_Вводные'!$B$14</f>
        <v/>
      </c>
      <c r="BE1467">
        <f>'19_Расчет_аналитики'!BD1466*'01_Вводные'!$B$14</f>
        <v/>
      </c>
      <c r="BF1467">
        <f>'19_Расчет_аналитики'!BE1466*'01_Вводные'!$B$14</f>
        <v/>
      </c>
      <c r="BG1467">
        <f>'19_Расчет_аналитики'!BF1466*'01_Вводные'!$B$14</f>
        <v/>
      </c>
      <c r="BH1467">
        <f>'19_Расчет_аналитики'!BG1466*'01_Вводные'!$B$14</f>
        <v/>
      </c>
      <c r="BI1467">
        <f>'19_Расчет_аналитики'!BH1466*'01_Вводные'!$B$14</f>
        <v/>
      </c>
      <c r="BJ1467">
        <f>'19_Расчет_аналитики'!BI1466*'01_Вводные'!$B$14</f>
        <v/>
      </c>
      <c r="BK1467">
        <f>'19_Расчет_аналитики'!BJ1466*'01_Вводные'!$B$14</f>
        <v/>
      </c>
      <c r="BL1467">
        <f>'19_Расчет_аналитики'!BK1466*'01_Вводные'!$B$14</f>
        <v/>
      </c>
      <c r="BM1467">
        <f>'19_Расчет_аналитики'!BL1466*'01_Вводные'!$B$14</f>
        <v/>
      </c>
      <c r="BN1467">
        <f>'19_Расчет_аналитики'!BM1466*'01_Вводные'!$B$14</f>
        <v/>
      </c>
      <c r="BO1467">
        <f>'19_Расчет_аналитики'!BN1466*'01_Вводные'!$B$14</f>
        <v/>
      </c>
    </row>
    <row r="1468">
      <c r="N1468">
        <f>'06_Сеть_и_дети'!N101</f>
        <v/>
      </c>
      <c r="O1468">
        <f>'06_Сеть_и_дети'!O101</f>
        <v/>
      </c>
      <c r="P1468">
        <f>'06_Сеть_и_дети'!P101</f>
        <v/>
      </c>
      <c r="Q1468">
        <f>'06_Сеть_и_дети'!Q101</f>
        <v/>
      </c>
      <c r="R1468">
        <f>'06_Сеть_и_дети'!R101</f>
        <v/>
      </c>
      <c r="S1468">
        <f>'06_Сеть_и_дети'!S101</f>
        <v/>
      </c>
      <c r="T1468">
        <f>'06_Сеть_и_дети'!T101</f>
        <v/>
      </c>
      <c r="U1468">
        <f>'06_Сеть_и_дети'!U101</f>
        <v/>
      </c>
      <c r="V1468">
        <f>'19_Расчет_аналитики'!U1467*'01_Вводные'!$B$14</f>
        <v/>
      </c>
      <c r="W1468">
        <f>'19_Расчет_аналитики'!V1467*'01_Вводные'!$B$14</f>
        <v/>
      </c>
      <c r="X1468">
        <f>'19_Расчет_аналитики'!W1467*'01_Вводные'!$B$14</f>
        <v/>
      </c>
      <c r="Y1468">
        <f>'19_Расчет_аналитики'!X1467*'01_Вводные'!$B$14</f>
        <v/>
      </c>
      <c r="Z1468">
        <f>'19_Расчет_аналитики'!Y1467*'01_Вводные'!$B$14</f>
        <v/>
      </c>
      <c r="AA1468">
        <f>'19_Расчет_аналитики'!Z1467*'01_Вводные'!$B$14</f>
        <v/>
      </c>
      <c r="AB1468">
        <f>'19_Расчет_аналитики'!AA1467*'01_Вводные'!$B$14</f>
        <v/>
      </c>
      <c r="AC1468">
        <f>'19_Расчет_аналитики'!AB1467*'01_Вводные'!$B$14</f>
        <v/>
      </c>
      <c r="AD1468">
        <f>'19_Расчет_аналитики'!AC1467*'01_Вводные'!$B$14</f>
        <v/>
      </c>
      <c r="AE1468">
        <f>'19_Расчет_аналитики'!AD1467*'01_Вводные'!$B$14</f>
        <v/>
      </c>
      <c r="AF1468">
        <f>'19_Расчет_аналитики'!AE1467*'01_Вводные'!$B$14</f>
        <v/>
      </c>
      <c r="AG1468">
        <f>'19_Расчет_аналитики'!AF1467*'01_Вводные'!$B$14</f>
        <v/>
      </c>
      <c r="AH1468">
        <f>'19_Расчет_аналитики'!AG1467*'01_Вводные'!$B$14</f>
        <v/>
      </c>
      <c r="AI1468">
        <f>'19_Расчет_аналитики'!AH1467*'01_Вводные'!$B$14</f>
        <v/>
      </c>
      <c r="AJ1468">
        <f>'19_Расчет_аналитики'!AI1467*'01_Вводные'!$B$14</f>
        <v/>
      </c>
      <c r="AK1468">
        <f>'19_Расчет_аналитики'!AJ1467*'01_Вводные'!$B$14</f>
        <v/>
      </c>
      <c r="AL1468">
        <f>'19_Расчет_аналитики'!AK1467*'01_Вводные'!$B$14</f>
        <v/>
      </c>
      <c r="AM1468">
        <f>'19_Расчет_аналитики'!AL1467*'01_Вводные'!$B$14</f>
        <v/>
      </c>
      <c r="AN1468">
        <f>'19_Расчет_аналитики'!AM1467*'01_Вводные'!$B$14</f>
        <v/>
      </c>
      <c r="AO1468">
        <f>'19_Расчет_аналитики'!AN1467*'01_Вводные'!$B$14</f>
        <v/>
      </c>
      <c r="AP1468">
        <f>'19_Расчет_аналитики'!AO1467*'01_Вводные'!$B$14</f>
        <v/>
      </c>
      <c r="AQ1468">
        <f>'19_Расчет_аналитики'!AP1467*'01_Вводные'!$B$14</f>
        <v/>
      </c>
      <c r="AR1468">
        <f>'19_Расчет_аналитики'!AQ1467*'01_Вводные'!$B$14</f>
        <v/>
      </c>
      <c r="AS1468">
        <f>'19_Расчет_аналитики'!AR1467*'01_Вводные'!$B$14</f>
        <v/>
      </c>
      <c r="AT1468">
        <f>'19_Расчет_аналитики'!AS1467*'01_Вводные'!$B$14</f>
        <v/>
      </c>
      <c r="AU1468">
        <f>'19_Расчет_аналитики'!AT1467*'01_Вводные'!$B$14</f>
        <v/>
      </c>
      <c r="AV1468">
        <f>'19_Расчет_аналитики'!AU1467*'01_Вводные'!$B$14</f>
        <v/>
      </c>
      <c r="AW1468">
        <f>'19_Расчет_аналитики'!AV1467*'01_Вводные'!$B$14</f>
        <v/>
      </c>
      <c r="AX1468">
        <f>'19_Расчет_аналитики'!AW1467*'01_Вводные'!$B$14</f>
        <v/>
      </c>
      <c r="AY1468">
        <f>'19_Расчет_аналитики'!AX1467*'01_Вводные'!$B$14</f>
        <v/>
      </c>
      <c r="AZ1468">
        <f>'19_Расчет_аналитики'!AY1467*'01_Вводные'!$B$14</f>
        <v/>
      </c>
      <c r="BA1468">
        <f>'19_Расчет_аналитики'!AZ1467*'01_Вводные'!$B$14</f>
        <v/>
      </c>
      <c r="BB1468">
        <f>'19_Расчет_аналитики'!BA1467*'01_Вводные'!$B$14</f>
        <v/>
      </c>
      <c r="BC1468">
        <f>'19_Расчет_аналитики'!BB1467*'01_Вводные'!$B$14</f>
        <v/>
      </c>
      <c r="BD1468">
        <f>'19_Расчет_аналитики'!BC1467*'01_Вводные'!$B$14</f>
        <v/>
      </c>
      <c r="BE1468">
        <f>'19_Расчет_аналитики'!BD1467*'01_Вводные'!$B$14</f>
        <v/>
      </c>
      <c r="BF1468">
        <f>'19_Расчет_аналитики'!BE1467*'01_Вводные'!$B$14</f>
        <v/>
      </c>
      <c r="BG1468">
        <f>'19_Расчет_аналитики'!BF1467*'01_Вводные'!$B$14</f>
        <v/>
      </c>
      <c r="BH1468">
        <f>'19_Расчет_аналитики'!BG1467*'01_Вводные'!$B$14</f>
        <v/>
      </c>
      <c r="BI1468">
        <f>'19_Расчет_аналитики'!BH1467*'01_Вводные'!$B$14</f>
        <v/>
      </c>
      <c r="BJ1468">
        <f>'19_Расчет_аналитики'!BI1467*'01_Вводные'!$B$14</f>
        <v/>
      </c>
      <c r="BK1468">
        <f>'19_Расчет_аналитики'!BJ1467*'01_Вводные'!$B$14</f>
        <v/>
      </c>
      <c r="BL1468">
        <f>'19_Расчет_аналитики'!BK1467*'01_Вводные'!$B$14</f>
        <v/>
      </c>
      <c r="BM1468">
        <f>'19_Расчет_аналитики'!BL1467*'01_Вводные'!$B$14</f>
        <v/>
      </c>
      <c r="BN1468">
        <f>'19_Расчет_аналитики'!BM1467*'01_Вводные'!$B$14</f>
        <v/>
      </c>
      <c r="BO1468">
        <f>'19_Расчет_аналитики'!BN1467*'01_Вводные'!$B$14</f>
        <v/>
      </c>
    </row>
    <row r="1469">
      <c r="N1469">
        <f>'06_Сеть_и_дети'!N102</f>
        <v/>
      </c>
      <c r="O1469">
        <f>'06_Сеть_и_дети'!O102</f>
        <v/>
      </c>
      <c r="P1469">
        <f>'06_Сеть_и_дети'!P102</f>
        <v/>
      </c>
      <c r="Q1469">
        <f>'06_Сеть_и_дети'!Q102</f>
        <v/>
      </c>
      <c r="R1469">
        <f>'06_Сеть_и_дети'!R102</f>
        <v/>
      </c>
      <c r="S1469">
        <f>'06_Сеть_и_дети'!S102</f>
        <v/>
      </c>
      <c r="T1469">
        <f>'06_Сеть_и_дети'!T102</f>
        <v/>
      </c>
      <c r="U1469">
        <f>'06_Сеть_и_дети'!U102</f>
        <v/>
      </c>
      <c r="V1469">
        <f>'06_Сеть_и_дети'!V102</f>
        <v/>
      </c>
      <c r="W1469">
        <f>'19_Расчет_аналитики'!V1468*'01_Вводные'!$B$14</f>
        <v/>
      </c>
      <c r="X1469">
        <f>'19_Расчет_аналитики'!W1468*'01_Вводные'!$B$14</f>
        <v/>
      </c>
      <c r="Y1469">
        <f>'19_Расчет_аналитики'!X1468*'01_Вводные'!$B$14</f>
        <v/>
      </c>
      <c r="Z1469">
        <f>'19_Расчет_аналитики'!Y1468*'01_Вводные'!$B$14</f>
        <v/>
      </c>
      <c r="AA1469">
        <f>'19_Расчет_аналитики'!Z1468*'01_Вводные'!$B$14</f>
        <v/>
      </c>
      <c r="AB1469">
        <f>'19_Расчет_аналитики'!AA1468*'01_Вводные'!$B$14</f>
        <v/>
      </c>
      <c r="AC1469">
        <f>'19_Расчет_аналитики'!AB1468*'01_Вводные'!$B$14</f>
        <v/>
      </c>
      <c r="AD1469">
        <f>'19_Расчет_аналитики'!AC1468*'01_Вводные'!$B$14</f>
        <v/>
      </c>
      <c r="AE1469">
        <f>'19_Расчет_аналитики'!AD1468*'01_Вводные'!$B$14</f>
        <v/>
      </c>
      <c r="AF1469">
        <f>'19_Расчет_аналитики'!AE1468*'01_Вводные'!$B$14</f>
        <v/>
      </c>
      <c r="AG1469">
        <f>'19_Расчет_аналитики'!AF1468*'01_Вводные'!$B$14</f>
        <v/>
      </c>
      <c r="AH1469">
        <f>'19_Расчет_аналитики'!AG1468*'01_Вводные'!$B$14</f>
        <v/>
      </c>
      <c r="AI1469">
        <f>'19_Расчет_аналитики'!AH1468*'01_Вводные'!$B$14</f>
        <v/>
      </c>
      <c r="AJ1469">
        <f>'19_Расчет_аналитики'!AI1468*'01_Вводные'!$B$14</f>
        <v/>
      </c>
      <c r="AK1469">
        <f>'19_Расчет_аналитики'!AJ1468*'01_Вводные'!$B$14</f>
        <v/>
      </c>
      <c r="AL1469">
        <f>'19_Расчет_аналитики'!AK1468*'01_Вводные'!$B$14</f>
        <v/>
      </c>
      <c r="AM1469">
        <f>'19_Расчет_аналитики'!AL1468*'01_Вводные'!$B$14</f>
        <v/>
      </c>
      <c r="AN1469">
        <f>'19_Расчет_аналитики'!AM1468*'01_Вводные'!$B$14</f>
        <v/>
      </c>
      <c r="AO1469">
        <f>'19_Расчет_аналитики'!AN1468*'01_Вводные'!$B$14</f>
        <v/>
      </c>
      <c r="AP1469">
        <f>'19_Расчет_аналитики'!AO1468*'01_Вводные'!$B$14</f>
        <v/>
      </c>
      <c r="AQ1469">
        <f>'19_Расчет_аналитики'!AP1468*'01_Вводные'!$B$14</f>
        <v/>
      </c>
      <c r="AR1469">
        <f>'19_Расчет_аналитики'!AQ1468*'01_Вводные'!$B$14</f>
        <v/>
      </c>
      <c r="AS1469">
        <f>'19_Расчет_аналитики'!AR1468*'01_Вводные'!$B$14</f>
        <v/>
      </c>
      <c r="AT1469">
        <f>'19_Расчет_аналитики'!AS1468*'01_Вводные'!$B$14</f>
        <v/>
      </c>
      <c r="AU1469">
        <f>'19_Расчет_аналитики'!AT1468*'01_Вводные'!$B$14</f>
        <v/>
      </c>
      <c r="AV1469">
        <f>'19_Расчет_аналитики'!AU1468*'01_Вводные'!$B$14</f>
        <v/>
      </c>
      <c r="AW1469">
        <f>'19_Расчет_аналитики'!AV1468*'01_Вводные'!$B$14</f>
        <v/>
      </c>
      <c r="AX1469">
        <f>'19_Расчет_аналитики'!AW1468*'01_Вводные'!$B$14</f>
        <v/>
      </c>
      <c r="AY1469">
        <f>'19_Расчет_аналитики'!AX1468*'01_Вводные'!$B$14</f>
        <v/>
      </c>
      <c r="AZ1469">
        <f>'19_Расчет_аналитики'!AY1468*'01_Вводные'!$B$14</f>
        <v/>
      </c>
      <c r="BA1469">
        <f>'19_Расчет_аналитики'!AZ1468*'01_Вводные'!$B$14</f>
        <v/>
      </c>
      <c r="BB1469">
        <f>'19_Расчет_аналитики'!BA1468*'01_Вводные'!$B$14</f>
        <v/>
      </c>
      <c r="BC1469">
        <f>'19_Расчет_аналитики'!BB1468*'01_Вводные'!$B$14</f>
        <v/>
      </c>
      <c r="BD1469">
        <f>'19_Расчет_аналитики'!BC1468*'01_Вводные'!$B$14</f>
        <v/>
      </c>
      <c r="BE1469">
        <f>'19_Расчет_аналитики'!BD1468*'01_Вводные'!$B$14</f>
        <v/>
      </c>
      <c r="BF1469">
        <f>'19_Расчет_аналитики'!BE1468*'01_Вводные'!$B$14</f>
        <v/>
      </c>
      <c r="BG1469">
        <f>'19_Расчет_аналитики'!BF1468*'01_Вводные'!$B$14</f>
        <v/>
      </c>
      <c r="BH1469">
        <f>'19_Расчет_аналитики'!BG1468*'01_Вводные'!$B$14</f>
        <v/>
      </c>
      <c r="BI1469">
        <f>'19_Расчет_аналитики'!BH1468*'01_Вводные'!$B$14</f>
        <v/>
      </c>
      <c r="BJ1469">
        <f>'19_Расчет_аналитики'!BI1468*'01_Вводные'!$B$14</f>
        <v/>
      </c>
      <c r="BK1469">
        <f>'19_Расчет_аналитики'!BJ1468*'01_Вводные'!$B$14</f>
        <v/>
      </c>
      <c r="BL1469">
        <f>'19_Расчет_аналитики'!BK1468*'01_Вводные'!$B$14</f>
        <v/>
      </c>
      <c r="BM1469">
        <f>'19_Расчет_аналитики'!BL1468*'01_Вводные'!$B$14</f>
        <v/>
      </c>
      <c r="BN1469">
        <f>'19_Расчет_аналитики'!BM1468*'01_Вводные'!$B$14</f>
        <v/>
      </c>
      <c r="BO1469">
        <f>'19_Расчет_аналитики'!BN1468*'01_Вводные'!$B$14</f>
        <v/>
      </c>
    </row>
    <row r="1470">
      <c r="N1470">
        <f>'06_Сеть_и_дети'!N103</f>
        <v/>
      </c>
      <c r="O1470">
        <f>'06_Сеть_и_дети'!O103</f>
        <v/>
      </c>
      <c r="P1470">
        <f>'06_Сеть_и_дети'!P103</f>
        <v/>
      </c>
      <c r="Q1470">
        <f>'06_Сеть_и_дети'!Q103</f>
        <v/>
      </c>
      <c r="R1470">
        <f>'06_Сеть_и_дети'!R103</f>
        <v/>
      </c>
      <c r="S1470">
        <f>'06_Сеть_и_дети'!S103</f>
        <v/>
      </c>
      <c r="T1470">
        <f>'06_Сеть_и_дети'!T103</f>
        <v/>
      </c>
      <c r="U1470">
        <f>'06_Сеть_и_дети'!U103</f>
        <v/>
      </c>
      <c r="V1470">
        <f>'06_Сеть_и_дети'!V103</f>
        <v/>
      </c>
      <c r="W1470">
        <f>'06_Сеть_и_дети'!W103</f>
        <v/>
      </c>
      <c r="X1470">
        <f>'19_Расчет_аналитики'!W1469*'01_Вводные'!$B$14</f>
        <v/>
      </c>
      <c r="Y1470">
        <f>'19_Расчет_аналитики'!X1469*'01_Вводные'!$B$14</f>
        <v/>
      </c>
      <c r="Z1470">
        <f>'19_Расчет_аналитики'!Y1469*'01_Вводные'!$B$14</f>
        <v/>
      </c>
      <c r="AA1470">
        <f>'19_Расчет_аналитики'!Z1469*'01_Вводные'!$B$14</f>
        <v/>
      </c>
      <c r="AB1470">
        <f>'19_Расчет_аналитики'!AA1469*'01_Вводные'!$B$14</f>
        <v/>
      </c>
      <c r="AC1470">
        <f>'19_Расчет_аналитики'!AB1469*'01_Вводные'!$B$14</f>
        <v/>
      </c>
      <c r="AD1470">
        <f>'19_Расчет_аналитики'!AC1469*'01_Вводные'!$B$14</f>
        <v/>
      </c>
      <c r="AE1470">
        <f>'19_Расчет_аналитики'!AD1469*'01_Вводные'!$B$14</f>
        <v/>
      </c>
      <c r="AF1470">
        <f>'19_Расчет_аналитики'!AE1469*'01_Вводные'!$B$14</f>
        <v/>
      </c>
      <c r="AG1470">
        <f>'19_Расчет_аналитики'!AF1469*'01_Вводные'!$B$14</f>
        <v/>
      </c>
      <c r="AH1470">
        <f>'19_Расчет_аналитики'!AG1469*'01_Вводные'!$B$14</f>
        <v/>
      </c>
      <c r="AI1470">
        <f>'19_Расчет_аналитики'!AH1469*'01_Вводные'!$B$14</f>
        <v/>
      </c>
      <c r="AJ1470">
        <f>'19_Расчет_аналитики'!AI1469*'01_Вводные'!$B$14</f>
        <v/>
      </c>
      <c r="AK1470">
        <f>'19_Расчет_аналитики'!AJ1469*'01_Вводные'!$B$14</f>
        <v/>
      </c>
      <c r="AL1470">
        <f>'19_Расчет_аналитики'!AK1469*'01_Вводные'!$B$14</f>
        <v/>
      </c>
      <c r="AM1470">
        <f>'19_Расчет_аналитики'!AL1469*'01_Вводные'!$B$14</f>
        <v/>
      </c>
      <c r="AN1470">
        <f>'19_Расчет_аналитики'!AM1469*'01_Вводные'!$B$14</f>
        <v/>
      </c>
      <c r="AO1470">
        <f>'19_Расчет_аналитики'!AN1469*'01_Вводные'!$B$14</f>
        <v/>
      </c>
      <c r="AP1470">
        <f>'19_Расчет_аналитики'!AO1469*'01_Вводные'!$B$14</f>
        <v/>
      </c>
      <c r="AQ1470">
        <f>'19_Расчет_аналитики'!AP1469*'01_Вводные'!$B$14</f>
        <v/>
      </c>
      <c r="AR1470">
        <f>'19_Расчет_аналитики'!AQ1469*'01_Вводные'!$B$14</f>
        <v/>
      </c>
      <c r="AS1470">
        <f>'19_Расчет_аналитики'!AR1469*'01_Вводные'!$B$14</f>
        <v/>
      </c>
      <c r="AT1470">
        <f>'19_Расчет_аналитики'!AS1469*'01_Вводные'!$B$14</f>
        <v/>
      </c>
      <c r="AU1470">
        <f>'19_Расчет_аналитики'!AT1469*'01_Вводные'!$B$14</f>
        <v/>
      </c>
      <c r="AV1470">
        <f>'19_Расчет_аналитики'!AU1469*'01_Вводные'!$B$14</f>
        <v/>
      </c>
      <c r="AW1470">
        <f>'19_Расчет_аналитики'!AV1469*'01_Вводные'!$B$14</f>
        <v/>
      </c>
      <c r="AX1470">
        <f>'19_Расчет_аналитики'!AW1469*'01_Вводные'!$B$14</f>
        <v/>
      </c>
      <c r="AY1470">
        <f>'19_Расчет_аналитики'!AX1469*'01_Вводные'!$B$14</f>
        <v/>
      </c>
      <c r="AZ1470">
        <f>'19_Расчет_аналитики'!AY1469*'01_Вводные'!$B$14</f>
        <v/>
      </c>
      <c r="BA1470">
        <f>'19_Расчет_аналитики'!AZ1469*'01_Вводные'!$B$14</f>
        <v/>
      </c>
      <c r="BB1470">
        <f>'19_Расчет_аналитики'!BA1469*'01_Вводные'!$B$14</f>
        <v/>
      </c>
      <c r="BC1470">
        <f>'19_Расчет_аналитики'!BB1469*'01_Вводные'!$B$14</f>
        <v/>
      </c>
      <c r="BD1470">
        <f>'19_Расчет_аналитики'!BC1469*'01_Вводные'!$B$14</f>
        <v/>
      </c>
      <c r="BE1470">
        <f>'19_Расчет_аналитики'!BD1469*'01_Вводные'!$B$14</f>
        <v/>
      </c>
      <c r="BF1470">
        <f>'19_Расчет_аналитики'!BE1469*'01_Вводные'!$B$14</f>
        <v/>
      </c>
      <c r="BG1470">
        <f>'19_Расчет_аналитики'!BF1469*'01_Вводные'!$B$14</f>
        <v/>
      </c>
      <c r="BH1470">
        <f>'19_Расчет_аналитики'!BG1469*'01_Вводные'!$B$14</f>
        <v/>
      </c>
      <c r="BI1470">
        <f>'19_Расчет_аналитики'!BH1469*'01_Вводные'!$B$14</f>
        <v/>
      </c>
      <c r="BJ1470">
        <f>'19_Расчет_аналитики'!BI1469*'01_Вводные'!$B$14</f>
        <v/>
      </c>
      <c r="BK1470">
        <f>'19_Расчет_аналитики'!BJ1469*'01_Вводные'!$B$14</f>
        <v/>
      </c>
      <c r="BL1470">
        <f>'19_Расчет_аналитики'!BK1469*'01_Вводные'!$B$14</f>
        <v/>
      </c>
      <c r="BM1470">
        <f>'19_Расчет_аналитики'!BL1469*'01_Вводные'!$B$14</f>
        <v/>
      </c>
      <c r="BN1470">
        <f>'19_Расчет_аналитики'!BM1469*'01_Вводные'!$B$14</f>
        <v/>
      </c>
      <c r="BO1470">
        <f>'19_Расчет_аналитики'!BN1469*'01_Вводные'!$B$14</f>
        <v/>
      </c>
    </row>
    <row r="1471">
      <c r="N1471">
        <f>'06_Сеть_и_дети'!N104</f>
        <v/>
      </c>
      <c r="O1471">
        <f>'06_Сеть_и_дети'!O104</f>
        <v/>
      </c>
      <c r="P1471">
        <f>'06_Сеть_и_дети'!P104</f>
        <v/>
      </c>
      <c r="Q1471">
        <f>'06_Сеть_и_дети'!Q104</f>
        <v/>
      </c>
      <c r="R1471">
        <f>'06_Сеть_и_дети'!R104</f>
        <v/>
      </c>
      <c r="S1471">
        <f>'06_Сеть_и_дети'!S104</f>
        <v/>
      </c>
      <c r="T1471">
        <f>'06_Сеть_и_дети'!T104</f>
        <v/>
      </c>
      <c r="U1471">
        <f>'06_Сеть_и_дети'!U104</f>
        <v/>
      </c>
      <c r="V1471">
        <f>'06_Сеть_и_дети'!V104</f>
        <v/>
      </c>
      <c r="W1471">
        <f>'06_Сеть_и_дети'!W104</f>
        <v/>
      </c>
      <c r="X1471">
        <f>'06_Сеть_и_дети'!X104</f>
        <v/>
      </c>
      <c r="Y1471">
        <f>'19_Расчет_аналитики'!X1470*'01_Вводные'!$B$14</f>
        <v/>
      </c>
      <c r="Z1471">
        <f>'19_Расчет_аналитики'!Y1470*'01_Вводные'!$B$14</f>
        <v/>
      </c>
      <c r="AA1471">
        <f>'19_Расчет_аналитики'!Z1470*'01_Вводные'!$B$14</f>
        <v/>
      </c>
      <c r="AB1471">
        <f>'19_Расчет_аналитики'!AA1470*'01_Вводные'!$B$14</f>
        <v/>
      </c>
      <c r="AC1471">
        <f>'19_Расчет_аналитики'!AB1470*'01_Вводные'!$B$14</f>
        <v/>
      </c>
      <c r="AD1471">
        <f>'19_Расчет_аналитики'!AC1470*'01_Вводные'!$B$14</f>
        <v/>
      </c>
      <c r="AE1471">
        <f>'19_Расчет_аналитики'!AD1470*'01_Вводные'!$B$14</f>
        <v/>
      </c>
      <c r="AF1471">
        <f>'19_Расчет_аналитики'!AE1470*'01_Вводные'!$B$14</f>
        <v/>
      </c>
      <c r="AG1471">
        <f>'19_Расчет_аналитики'!AF1470*'01_Вводные'!$B$14</f>
        <v/>
      </c>
      <c r="AH1471">
        <f>'19_Расчет_аналитики'!AG1470*'01_Вводные'!$B$14</f>
        <v/>
      </c>
      <c r="AI1471">
        <f>'19_Расчет_аналитики'!AH1470*'01_Вводные'!$B$14</f>
        <v/>
      </c>
      <c r="AJ1471">
        <f>'19_Расчет_аналитики'!AI1470*'01_Вводные'!$B$14</f>
        <v/>
      </c>
      <c r="AK1471">
        <f>'19_Расчет_аналитики'!AJ1470*'01_Вводные'!$B$14</f>
        <v/>
      </c>
      <c r="AL1471">
        <f>'19_Расчет_аналитики'!AK1470*'01_Вводные'!$B$14</f>
        <v/>
      </c>
      <c r="AM1471">
        <f>'19_Расчет_аналитики'!AL1470*'01_Вводные'!$B$14</f>
        <v/>
      </c>
      <c r="AN1471">
        <f>'19_Расчет_аналитики'!AM1470*'01_Вводные'!$B$14</f>
        <v/>
      </c>
      <c r="AO1471">
        <f>'19_Расчет_аналитики'!AN1470*'01_Вводные'!$B$14</f>
        <v/>
      </c>
      <c r="AP1471">
        <f>'19_Расчет_аналитики'!AO1470*'01_Вводные'!$B$14</f>
        <v/>
      </c>
      <c r="AQ1471">
        <f>'19_Расчет_аналитики'!AP1470*'01_Вводные'!$B$14</f>
        <v/>
      </c>
      <c r="AR1471">
        <f>'19_Расчет_аналитики'!AQ1470*'01_Вводные'!$B$14</f>
        <v/>
      </c>
      <c r="AS1471">
        <f>'19_Расчет_аналитики'!AR1470*'01_Вводные'!$B$14</f>
        <v/>
      </c>
      <c r="AT1471">
        <f>'19_Расчет_аналитики'!AS1470*'01_Вводные'!$B$14</f>
        <v/>
      </c>
      <c r="AU1471">
        <f>'19_Расчет_аналитики'!AT1470*'01_Вводные'!$B$14</f>
        <v/>
      </c>
      <c r="AV1471">
        <f>'19_Расчет_аналитики'!AU1470*'01_Вводные'!$B$14</f>
        <v/>
      </c>
      <c r="AW1471">
        <f>'19_Расчет_аналитики'!AV1470*'01_Вводные'!$B$14</f>
        <v/>
      </c>
      <c r="AX1471">
        <f>'19_Расчет_аналитики'!AW1470*'01_Вводные'!$B$14</f>
        <v/>
      </c>
      <c r="AY1471">
        <f>'19_Расчет_аналитики'!AX1470*'01_Вводные'!$B$14</f>
        <v/>
      </c>
      <c r="AZ1471">
        <f>'19_Расчет_аналитики'!AY1470*'01_Вводные'!$B$14</f>
        <v/>
      </c>
      <c r="BA1471">
        <f>'19_Расчет_аналитики'!AZ1470*'01_Вводные'!$B$14</f>
        <v/>
      </c>
      <c r="BB1471">
        <f>'19_Расчет_аналитики'!BA1470*'01_Вводные'!$B$14</f>
        <v/>
      </c>
      <c r="BC1471">
        <f>'19_Расчет_аналитики'!BB1470*'01_Вводные'!$B$14</f>
        <v/>
      </c>
      <c r="BD1471">
        <f>'19_Расчет_аналитики'!BC1470*'01_Вводные'!$B$14</f>
        <v/>
      </c>
      <c r="BE1471">
        <f>'19_Расчет_аналитики'!BD1470*'01_Вводные'!$B$14</f>
        <v/>
      </c>
      <c r="BF1471">
        <f>'19_Расчет_аналитики'!BE1470*'01_Вводные'!$B$14</f>
        <v/>
      </c>
      <c r="BG1471">
        <f>'19_Расчет_аналитики'!BF1470*'01_Вводные'!$B$14</f>
        <v/>
      </c>
      <c r="BH1471">
        <f>'19_Расчет_аналитики'!BG1470*'01_Вводные'!$B$14</f>
        <v/>
      </c>
      <c r="BI1471">
        <f>'19_Расчет_аналитики'!BH1470*'01_Вводные'!$B$14</f>
        <v/>
      </c>
      <c r="BJ1471">
        <f>'19_Расчет_аналитики'!BI1470*'01_Вводные'!$B$14</f>
        <v/>
      </c>
      <c r="BK1471">
        <f>'19_Расчет_аналитики'!BJ1470*'01_Вводные'!$B$14</f>
        <v/>
      </c>
      <c r="BL1471">
        <f>'19_Расчет_аналитики'!BK1470*'01_Вводные'!$B$14</f>
        <v/>
      </c>
      <c r="BM1471">
        <f>'19_Расчет_аналитики'!BL1470*'01_Вводные'!$B$14</f>
        <v/>
      </c>
      <c r="BN1471">
        <f>'19_Расчет_аналитики'!BM1470*'01_Вводные'!$B$14</f>
        <v/>
      </c>
      <c r="BO1471">
        <f>'19_Расчет_аналитики'!BN1470*'01_Вводные'!$B$14</f>
        <v/>
      </c>
    </row>
    <row r="1472">
      <c r="N1472">
        <f>'06_Сеть_и_дети'!N105</f>
        <v/>
      </c>
      <c r="O1472">
        <f>'06_Сеть_и_дети'!O105</f>
        <v/>
      </c>
      <c r="P1472">
        <f>'06_Сеть_и_дети'!P105</f>
        <v/>
      </c>
      <c r="Q1472">
        <f>'06_Сеть_и_дети'!Q105</f>
        <v/>
      </c>
      <c r="R1472">
        <f>'06_Сеть_и_дети'!R105</f>
        <v/>
      </c>
      <c r="S1472">
        <f>'06_Сеть_и_дети'!S105</f>
        <v/>
      </c>
      <c r="T1472">
        <f>'06_Сеть_и_дети'!T105</f>
        <v/>
      </c>
      <c r="U1472">
        <f>'06_Сеть_и_дети'!U105</f>
        <v/>
      </c>
      <c r="V1472">
        <f>'06_Сеть_и_дети'!V105</f>
        <v/>
      </c>
      <c r="W1472">
        <f>'06_Сеть_и_дети'!W105</f>
        <v/>
      </c>
      <c r="X1472">
        <f>'06_Сеть_и_дети'!X105</f>
        <v/>
      </c>
      <c r="Y1472">
        <f>'06_Сеть_и_дети'!Y105</f>
        <v/>
      </c>
      <c r="Z1472">
        <f>SUM('19_Расчет_аналитики'!Y1471:Y1472)*'01_Вводные'!$B$14</f>
        <v/>
      </c>
      <c r="AA1472">
        <f>SUM('19_Расчет_аналитики'!Z1471:Z1472)*'01_Вводные'!$B$14</f>
        <v/>
      </c>
      <c r="AB1472">
        <f>SUM('19_Расчет_аналитики'!AA1471:AA1472)*'01_Вводные'!$B$14</f>
        <v/>
      </c>
      <c r="AC1472">
        <f>SUM('19_Расчет_аналитики'!AB1471:AB1472)*'01_Вводные'!$B$14</f>
        <v/>
      </c>
      <c r="AD1472">
        <f>SUM('19_Расчет_аналитики'!AC1471:AC1472)*'01_Вводные'!$B$14</f>
        <v/>
      </c>
      <c r="AE1472">
        <f>SUM('19_Расчет_аналитики'!AD1471:AD1472)*'01_Вводные'!$B$14</f>
        <v/>
      </c>
      <c r="AF1472">
        <f>SUM('19_Расчет_аналитики'!AE1471:AE1472)*'01_Вводные'!$B$14</f>
        <v/>
      </c>
      <c r="AG1472">
        <f>SUM('19_Расчет_аналитики'!AF1471:AF1472)*'01_Вводные'!$B$14</f>
        <v/>
      </c>
      <c r="AH1472">
        <f>SUM('19_Расчет_аналитики'!AG1471:AG1472)*'01_Вводные'!$B$14</f>
        <v/>
      </c>
      <c r="AI1472">
        <f>SUM('19_Расчет_аналитики'!AH1471:AH1472)*'01_Вводные'!$B$14</f>
        <v/>
      </c>
      <c r="AJ1472">
        <f>SUM('19_Расчет_аналитики'!AI1471:AI1472)*'01_Вводные'!$B$14</f>
        <v/>
      </c>
      <c r="AK1472">
        <f>SUM('19_Расчет_аналитики'!AJ1471:AJ1472)*'01_Вводные'!$B$14</f>
        <v/>
      </c>
      <c r="AL1472">
        <f>SUM('19_Расчет_аналитики'!AK1471:AK1472)*'01_Вводные'!$B$14</f>
        <v/>
      </c>
      <c r="AM1472">
        <f>SUM('19_Расчет_аналитики'!AL1471:AL1472)*'01_Вводные'!$B$14</f>
        <v/>
      </c>
      <c r="AN1472">
        <f>SUM('19_Расчет_аналитики'!AM1471:AM1472)*'01_Вводные'!$B$14</f>
        <v/>
      </c>
      <c r="AO1472">
        <f>SUM('19_Расчет_аналитики'!AN1471:AN1472)*'01_Вводные'!$B$14</f>
        <v/>
      </c>
      <c r="AP1472">
        <f>SUM('19_Расчет_аналитики'!AO1471:AO1472)*'01_Вводные'!$B$14</f>
        <v/>
      </c>
      <c r="AQ1472">
        <f>SUM('19_Расчет_аналитики'!AP1471:AP1472)*'01_Вводные'!$B$14</f>
        <v/>
      </c>
      <c r="AR1472">
        <f>SUM('19_Расчет_аналитики'!AQ1471:AQ1472)*'01_Вводные'!$B$14</f>
        <v/>
      </c>
      <c r="AS1472">
        <f>SUM('19_Расчет_аналитики'!AR1471:AR1472)*'01_Вводные'!$B$14</f>
        <v/>
      </c>
      <c r="AT1472">
        <f>SUM('19_Расчет_аналитики'!AS1471:AS1472)*'01_Вводные'!$B$14</f>
        <v/>
      </c>
      <c r="AU1472">
        <f>SUM('19_Расчет_аналитики'!AT1471:AT1472)*'01_Вводные'!$B$14</f>
        <v/>
      </c>
      <c r="AV1472">
        <f>SUM('19_Расчет_аналитики'!AU1471:AU1472)*'01_Вводные'!$B$14</f>
        <v/>
      </c>
      <c r="AW1472">
        <f>SUM('19_Расчет_аналитики'!AV1471:AV1472)*'01_Вводные'!$B$14</f>
        <v/>
      </c>
      <c r="AX1472">
        <f>SUM('19_Расчет_аналитики'!AW1471:AW1472)*'01_Вводные'!$B$14</f>
        <v/>
      </c>
      <c r="AY1472">
        <f>SUM('19_Расчет_аналитики'!AX1471:AX1472)*'01_Вводные'!$B$14</f>
        <v/>
      </c>
      <c r="AZ1472">
        <f>SUM('19_Расчет_аналитики'!AY1471:AY1472)*'01_Вводные'!$B$14</f>
        <v/>
      </c>
      <c r="BA1472">
        <f>SUM('19_Расчет_аналитики'!AZ1471:AZ1472)*'01_Вводные'!$B$14</f>
        <v/>
      </c>
      <c r="BB1472">
        <f>SUM('19_Расчет_аналитики'!BA1471:BA1472)*'01_Вводные'!$B$14</f>
        <v/>
      </c>
      <c r="BC1472">
        <f>SUM('19_Расчет_аналитики'!BB1471:BB1472)*'01_Вводные'!$B$14</f>
        <v/>
      </c>
      <c r="BD1472">
        <f>SUM('19_Расчет_аналитики'!BC1471:BC1472)*'01_Вводные'!$B$14</f>
        <v/>
      </c>
      <c r="BE1472">
        <f>SUM('19_Расчет_аналитики'!BD1471:BD1472)*'01_Вводные'!$B$14</f>
        <v/>
      </c>
      <c r="BF1472">
        <f>SUM('19_Расчет_аналитики'!BE1471:BE1472)*'01_Вводные'!$B$14</f>
        <v/>
      </c>
      <c r="BG1472">
        <f>SUM('19_Расчет_аналитики'!BF1471:BF1472)*'01_Вводные'!$B$14</f>
        <v/>
      </c>
      <c r="BH1472">
        <f>SUM('19_Расчет_аналитики'!BG1471:BG1472)*'01_Вводные'!$B$14</f>
        <v/>
      </c>
      <c r="BI1472">
        <f>SUM('19_Расчет_аналитики'!BH1471:BH1472)*'01_Вводные'!$B$14</f>
        <v/>
      </c>
      <c r="BJ1472">
        <f>SUM('19_Расчет_аналитики'!BI1471:BI1472)*'01_Вводные'!$B$14</f>
        <v/>
      </c>
      <c r="BK1472">
        <f>SUM('19_Расчет_аналитики'!BJ1471:BJ1472)*'01_Вводные'!$B$14</f>
        <v/>
      </c>
      <c r="BL1472">
        <f>SUM('19_Расчет_аналитики'!BK1471:BK1472)*'01_Вводные'!$B$14</f>
        <v/>
      </c>
      <c r="BM1472">
        <f>SUM('19_Расчет_аналитики'!BL1471:BL1472)*'01_Вводные'!$B$14</f>
        <v/>
      </c>
      <c r="BN1472">
        <f>SUM('19_Расчет_аналитики'!BM1471:BM1472)*'01_Вводные'!$B$14</f>
        <v/>
      </c>
      <c r="BO1472">
        <f>SUM('19_Расчет_аналитики'!BN1471:BN1472)*'01_Вводные'!$B$14</f>
        <v/>
      </c>
    </row>
    <row r="1473"/>
    <row r="1474"/>
    <row r="1475"/>
    <row r="1476">
      <c r="B1476">
        <f>IF(OR('19_Расчет_аналитики'!B1448=0,1&lt;='01_Вводные'!$B$297),0,'19_Расчет_аналитики'!B1448*IF('01_Вводные'!$B$239="Да",MeanMinAge01+'19_Расчет_аналитики'!B1571*SUMIF(ThresholdAge01,"&lt;"&amp;'19_Расчет_аналитики'!B1571,WeightedRevAge01)-SUMIF(ThresholdAge01,"&lt;"&amp;'19_Расчет_аналитики'!B1571,WeightedMinAge01),MAX(CapacityAge01*'01_Вводные'!$B$218*'19_Расчет_аналитики'!B1571,MeanMinAge01)))</f>
        <v/>
      </c>
      <c r="C1476">
        <f>IF(OR('19_Расчет_аналитики'!C1448=0,1&lt;='01_Вводные'!$B$297),0,'19_Расчет_аналитики'!C1448*IF('01_Вводные'!$B$239="Да",MeanMinAge01+'19_Расчет_аналитики'!C1571*SUMIF(ThresholdAge01,"&lt;"&amp;'19_Расчет_аналитики'!C1571,WeightedRevAge01)-SUMIF(ThresholdAge01,"&lt;"&amp;'19_Расчет_аналитики'!C1571,WeightedMinAge01),MAX(CapacityAge01*'01_Вводные'!$B$218*'19_Расчет_аналитики'!C1571,MeanMinAge01)))</f>
        <v/>
      </c>
      <c r="D1476">
        <f>IF(OR('19_Расчет_аналитики'!D1448=0,1&lt;='01_Вводные'!$B$297),0,'19_Расчет_аналитики'!D1448*IF('01_Вводные'!$B$239="Да",MeanMinAge01+'19_Расчет_аналитики'!D1571*SUMIF(ThresholdAge01,"&lt;"&amp;'19_Расчет_аналитики'!D1571,WeightedRevAge01)-SUMIF(ThresholdAge01,"&lt;"&amp;'19_Расчет_аналитики'!D1571,WeightedMinAge01),MAX(CapacityAge01*'01_Вводные'!$B$218*'19_Расчет_аналитики'!D1571,MeanMinAge01)))</f>
        <v/>
      </c>
      <c r="E1476">
        <f>IF(OR('19_Расчет_аналитики'!E1448=0,1&lt;='01_Вводные'!$B$297),0,'19_Расчет_аналитики'!E1448*IF('01_Вводные'!$B$239="Да",MeanMinAge01+'19_Расчет_аналитики'!E1571*SUMIF(ThresholdAge01,"&lt;"&amp;'19_Расчет_аналитики'!E1571,WeightedRevAge01)-SUMIF(ThresholdAge01,"&lt;"&amp;'19_Расчет_аналитики'!E1571,WeightedMinAge01),MAX(CapacityAge01*'01_Вводные'!$B$218*'19_Расчет_аналитики'!E1571,MeanMinAge01)))</f>
        <v/>
      </c>
      <c r="F1476">
        <f>IF(OR('19_Расчет_аналитики'!F1448=0,1&lt;='01_Вводные'!$B$297),0,'19_Расчет_аналитики'!F1448*IF('01_Вводные'!$B$239="Да",MeanMinAge01+'19_Расчет_аналитики'!F1571*SUMIF(ThresholdAge01,"&lt;"&amp;'19_Расчет_аналитики'!F1571,WeightedRevAge01)-SUMIF(ThresholdAge01,"&lt;"&amp;'19_Расчет_аналитики'!F1571,WeightedMinAge01),MAX(CapacityAge01*'01_Вводные'!$B$218*'19_Расчет_аналитики'!F1571,MeanMinAge01)))</f>
        <v/>
      </c>
      <c r="G1476">
        <f>IF(OR('19_Расчет_аналитики'!G1448=0,1&lt;='01_Вводные'!$B$297),0,'19_Расчет_аналитики'!G1448*IF('01_Вводные'!$B$239="Да",MeanMinAge01+'19_Расчет_аналитики'!G1571*SUMIF(ThresholdAge01,"&lt;"&amp;'19_Расчет_аналитики'!G1571,WeightedRevAge01)-SUMIF(ThresholdAge01,"&lt;"&amp;'19_Расчет_аналитики'!G1571,WeightedMinAge01),MAX(CapacityAge01*'01_Вводные'!$B$218*'19_Расчет_аналитики'!G1571,MeanMinAge01)))</f>
        <v/>
      </c>
      <c r="H1476">
        <f>IF(OR('19_Расчет_аналитики'!H1448=0,1&lt;='01_Вводные'!$B$297),0,'19_Расчет_аналитики'!H1448*IF('01_Вводные'!$B$239="Да",MeanMinAge01+'19_Расчет_аналитики'!H1571*SUMIF(ThresholdAge01,"&lt;"&amp;'19_Расчет_аналитики'!H1571,WeightedRevAge01)-SUMIF(ThresholdAge01,"&lt;"&amp;'19_Расчет_аналитики'!H1571,WeightedMinAge01),MAX(CapacityAge01*'01_Вводные'!$B$218*'19_Расчет_аналитики'!H1571,MeanMinAge01)))</f>
        <v/>
      </c>
      <c r="I1476">
        <f>IF(OR('19_Расчет_аналитики'!I1448=0,1&lt;='01_Вводные'!$B$297),0,'19_Расчет_аналитики'!I1448*IF('01_Вводные'!$B$239="Да",MeanMinAge01+'19_Расчет_аналитики'!I1571*SUMIF(ThresholdAge01,"&lt;"&amp;'19_Расчет_аналитики'!I1571,WeightedRevAge01)-SUMIF(ThresholdAge01,"&lt;"&amp;'19_Расчет_аналитики'!I1571,WeightedMinAge01),MAX(CapacityAge01*'01_Вводные'!$B$218*'19_Расчет_аналитики'!I1571,MeanMinAge01)))</f>
        <v/>
      </c>
      <c r="J1476">
        <f>IF(OR('19_Расчет_аналитики'!J1448=0,1&lt;='01_Вводные'!$B$297),0,'19_Расчет_аналитики'!J1448*IF('01_Вводные'!$B$239="Да",MeanMinAge01+'19_Расчет_аналитики'!J1571*SUMIF(ThresholdAge01,"&lt;"&amp;'19_Расчет_аналитики'!J1571,WeightedRevAge01)-SUMIF(ThresholdAge01,"&lt;"&amp;'19_Расчет_аналитики'!J1571,WeightedMinAge01),MAX(CapacityAge01*'01_Вводные'!$B$218*'19_Расчет_аналитики'!J1571,MeanMinAge01)))</f>
        <v/>
      </c>
      <c r="K1476">
        <f>IF(OR('19_Расчет_аналитики'!K1448=0,1&lt;='01_Вводные'!$B$297),0,'19_Расчет_аналитики'!K1448*IF('01_Вводные'!$B$239="Да",MeanMinAge01+'19_Расчет_аналитики'!K1571*SUMIF(ThresholdAge01,"&lt;"&amp;'19_Расчет_аналитики'!K1571,WeightedRevAge01)-SUMIF(ThresholdAge01,"&lt;"&amp;'19_Расчет_аналитики'!K1571,WeightedMinAge01),MAX(CapacityAge01*'01_Вводные'!$B$218*'19_Расчет_аналитики'!K1571,MeanMinAge01)))</f>
        <v/>
      </c>
      <c r="L1476">
        <f>IF(OR('19_Расчет_аналитики'!L1448=0,1&lt;='01_Вводные'!$B$297),0,'19_Расчет_аналитики'!L1448*IF('01_Вводные'!$B$239="Да",MeanMinAge01+'19_Расчет_аналитики'!L1571*SUMIF(ThresholdAge01,"&lt;"&amp;'19_Расчет_аналитики'!L1571,WeightedRevAge01)-SUMIF(ThresholdAge01,"&lt;"&amp;'19_Расчет_аналитики'!L1571,WeightedMinAge01),MAX(CapacityAge01*'01_Вводные'!$B$218*'19_Расчет_аналитики'!L1571,MeanMinAge01)))</f>
        <v/>
      </c>
      <c r="M1476">
        <f>IF(OR('19_Расчет_аналитики'!M1448=0,1&lt;='01_Вводные'!$B$297),0,'19_Расчет_аналитики'!M1448*IF('01_Вводные'!$B$239="Да",MeanMinAge01+'19_Расчет_аналитики'!M1571*SUMIF(ThresholdAge01,"&lt;"&amp;'19_Расчет_аналитики'!M1571,WeightedRevAge01)-SUMIF(ThresholdAge01,"&lt;"&amp;'19_Расчет_аналитики'!M1571,WeightedMinAge01),MAX(CapacityAge01*'01_Вводные'!$B$218*'19_Расчет_аналитики'!M1571,MeanMinAge01)))</f>
        <v/>
      </c>
      <c r="N1476">
        <f>IF(OR('19_Расчет_аналитики'!N1448=0,1&lt;='01_Вводные'!$B$297),0,'19_Расчет_аналитики'!N1448*IF('01_Вводные'!$B$239="Да",MeanMinAge01+'19_Расчет_аналитики'!N1571*SUMIF(ThresholdAge01,"&lt;"&amp;'19_Расчет_аналитики'!N1571,WeightedRevAge01)-SUMIF(ThresholdAge01,"&lt;"&amp;'19_Расчет_аналитики'!N1571,WeightedMinAge01),MAX(CapacityAge01*'01_Вводные'!$B$218*'19_Расчет_аналитики'!N1571,MeanMinAge01)))</f>
        <v/>
      </c>
      <c r="O1476">
        <f>IF(OR('19_Расчет_аналитики'!O1448=0,1&lt;='01_Вводные'!$B$297),0,'19_Расчет_аналитики'!O1448*IF('01_Вводные'!$B$239="Да",MeanMinAge01+'19_Расчет_аналитики'!O1571*SUMIF(ThresholdAge01,"&lt;"&amp;'19_Расчет_аналитики'!O1571,WeightedRevAge01)-SUMIF(ThresholdAge01,"&lt;"&amp;'19_Расчет_аналитики'!O1571,WeightedMinAge01),MAX(CapacityAge01*'01_Вводные'!$B$218*'19_Расчет_аналитики'!O1571,MeanMinAge01)))</f>
        <v/>
      </c>
      <c r="P1476">
        <f>IF(OR('19_Расчет_аналитики'!P1448=0,1&lt;='01_Вводные'!$B$297),0,'19_Расчет_аналитики'!P1448*IF('01_Вводные'!$B$239="Да",MeanMinAge01+'19_Расчет_аналитики'!P1571*SUMIF(ThresholdAge01,"&lt;"&amp;'19_Расчет_аналитики'!P1571,WeightedRevAge01)-SUMIF(ThresholdAge01,"&lt;"&amp;'19_Расчет_аналитики'!P1571,WeightedMinAge01),MAX(CapacityAge01*'01_Вводные'!$B$218*'19_Расчет_аналитики'!P1571,MeanMinAge01)))</f>
        <v/>
      </c>
      <c r="Q1476">
        <f>IF(OR('19_Расчет_аналитики'!Q1448=0,1&lt;='01_Вводные'!$B$297),0,'19_Расчет_аналитики'!Q1448*IF('01_Вводные'!$B$239="Да",MeanMinAge01+'19_Расчет_аналитики'!Q1571*SUMIF(ThresholdAge01,"&lt;"&amp;'19_Расчет_аналитики'!Q1571,WeightedRevAge01)-SUMIF(ThresholdAge01,"&lt;"&amp;'19_Расчет_аналитики'!Q1571,WeightedMinAge01),MAX(CapacityAge01*'01_Вводные'!$B$218*'19_Расчет_аналитики'!Q1571,MeanMinAge01)))</f>
        <v/>
      </c>
      <c r="R1476">
        <f>IF(OR('19_Расчет_аналитики'!R1448=0,1&lt;='01_Вводные'!$B$297),0,'19_Расчет_аналитики'!R1448*IF('01_Вводные'!$B$239="Да",MeanMinAge01+'19_Расчет_аналитики'!R1571*SUMIF(ThresholdAge01,"&lt;"&amp;'19_Расчет_аналитики'!R1571,WeightedRevAge01)-SUMIF(ThresholdAge01,"&lt;"&amp;'19_Расчет_аналитики'!R1571,WeightedMinAge01),MAX(CapacityAge01*'01_Вводные'!$B$218*'19_Расчет_аналитики'!R1571,MeanMinAge01)))</f>
        <v/>
      </c>
      <c r="S1476">
        <f>IF(OR('19_Расчет_аналитики'!S1448=0,1&lt;='01_Вводные'!$B$297),0,'19_Расчет_аналитики'!S1448*IF('01_Вводные'!$B$239="Да",MeanMinAge01+'19_Расчет_аналитики'!S1571*SUMIF(ThresholdAge01,"&lt;"&amp;'19_Расчет_аналитики'!S1571,WeightedRevAge01)-SUMIF(ThresholdAge01,"&lt;"&amp;'19_Расчет_аналитики'!S1571,WeightedMinAge01),MAX(CapacityAge01*'01_Вводные'!$B$218*'19_Расчет_аналитики'!S1571,MeanMinAge01)))</f>
        <v/>
      </c>
      <c r="T1476">
        <f>IF(OR('19_Расчет_аналитики'!T1448=0,1&lt;='01_Вводные'!$B$297),0,'19_Расчет_аналитики'!T1448*IF('01_Вводные'!$B$239="Да",MeanMinAge01+'19_Расчет_аналитики'!T1571*SUMIF(ThresholdAge01,"&lt;"&amp;'19_Расчет_аналитики'!T1571,WeightedRevAge01)-SUMIF(ThresholdAge01,"&lt;"&amp;'19_Расчет_аналитики'!T1571,WeightedMinAge01),MAX(CapacityAge01*'01_Вводные'!$B$218*'19_Расчет_аналитики'!T1571,MeanMinAge01)))</f>
        <v/>
      </c>
      <c r="U1476">
        <f>IF(OR('19_Расчет_аналитики'!U1448=0,1&lt;='01_Вводные'!$B$297),0,'19_Расчет_аналитики'!U1448*IF('01_Вводные'!$B$239="Да",MeanMinAge01+'19_Расчет_аналитики'!U1571*SUMIF(ThresholdAge01,"&lt;"&amp;'19_Расчет_аналитики'!U1571,WeightedRevAge01)-SUMIF(ThresholdAge01,"&lt;"&amp;'19_Расчет_аналитики'!U1571,WeightedMinAge01),MAX(CapacityAge01*'01_Вводные'!$B$218*'19_Расчет_аналитики'!U1571,MeanMinAge01)))</f>
        <v/>
      </c>
      <c r="V1476">
        <f>IF(OR('19_Расчет_аналитики'!V1448=0,1&lt;='01_Вводные'!$B$297),0,'19_Расчет_аналитики'!V1448*IF('01_Вводные'!$B$239="Да",MeanMinAge01+'19_Расчет_аналитики'!V1571*SUMIF(ThresholdAge01,"&lt;"&amp;'19_Расчет_аналитики'!V1571,WeightedRevAge01)-SUMIF(ThresholdAge01,"&lt;"&amp;'19_Расчет_аналитики'!V1571,WeightedMinAge01),MAX(CapacityAge01*'01_Вводные'!$B$218*'19_Расчет_аналитики'!V1571,MeanMinAge01)))</f>
        <v/>
      </c>
      <c r="W1476">
        <f>IF(OR('19_Расчет_аналитики'!W1448=0,1&lt;='01_Вводные'!$B$297),0,'19_Расчет_аналитики'!W1448*IF('01_Вводные'!$B$239="Да",MeanMinAge01+'19_Расчет_аналитики'!W1571*SUMIF(ThresholdAge01,"&lt;"&amp;'19_Расчет_аналитики'!W1571,WeightedRevAge01)-SUMIF(ThresholdAge01,"&lt;"&amp;'19_Расчет_аналитики'!W1571,WeightedMinAge01),MAX(CapacityAge01*'01_Вводные'!$B$218*'19_Расчет_аналитики'!W1571,MeanMinAge01)))</f>
        <v/>
      </c>
      <c r="X1476">
        <f>IF(OR('19_Расчет_аналитики'!X1448=0,1&lt;='01_Вводные'!$B$297),0,'19_Расчет_аналитики'!X1448*IF('01_Вводные'!$B$239="Да",MeanMinAge01+'19_Расчет_аналитики'!X1571*SUMIF(ThresholdAge01,"&lt;"&amp;'19_Расчет_аналитики'!X1571,WeightedRevAge01)-SUMIF(ThresholdAge01,"&lt;"&amp;'19_Расчет_аналитики'!X1571,WeightedMinAge01),MAX(CapacityAge01*'01_Вводные'!$B$218*'19_Расчет_аналитики'!X1571,MeanMinAge01)))</f>
        <v/>
      </c>
      <c r="Y1476">
        <f>IF(OR('19_Расчет_аналитики'!Y1448=0,1&lt;='01_Вводные'!$B$297),0,'19_Расчет_аналитики'!Y1448*IF('01_Вводные'!$B$239="Да",MeanMinAge01+'19_Расчет_аналитики'!Y1571*SUMIF(ThresholdAge01,"&lt;"&amp;'19_Расчет_аналитики'!Y1571,WeightedRevAge01)-SUMIF(ThresholdAge01,"&lt;"&amp;'19_Расчет_аналитики'!Y1571,WeightedMinAge01),MAX(CapacityAge01*'01_Вводные'!$B$218*'19_Расчет_аналитики'!Y1571,MeanMinAge01)))</f>
        <v/>
      </c>
      <c r="Z1476">
        <f>IF(OR('19_Расчет_аналитики'!Z1448=0,1&lt;='01_Вводные'!$B$297),0,'19_Расчет_аналитики'!Z1448*IF('01_Вводные'!$B$239="Да",MeanMinAge01+'19_Расчет_аналитики'!Z1571*SUMIF(ThresholdAge01,"&lt;"&amp;'19_Расчет_аналитики'!Z1571,WeightedRevAge01)-SUMIF(ThresholdAge01,"&lt;"&amp;'19_Расчет_аналитики'!Z1571,WeightedMinAge01),MAX(CapacityAge01*'01_Вводные'!$B$218*'19_Расчет_аналитики'!Z1571,MeanMinAge01)))</f>
        <v/>
      </c>
      <c r="AA1476">
        <f>IF(OR('19_Расчет_аналитики'!AA1448=0,1&lt;='01_Вводные'!$B$297),0,'19_Расчет_аналитики'!AA1448*IF('01_Вводные'!$B$239="Да",MeanMinAge01+'19_Расчет_аналитики'!AA1571*SUMIF(ThresholdAge01,"&lt;"&amp;'19_Расчет_аналитики'!AA1571,WeightedRevAge01)-SUMIF(ThresholdAge01,"&lt;"&amp;'19_Расчет_аналитики'!AA1571,WeightedMinAge01),MAX(CapacityAge01*'01_Вводные'!$B$218*'19_Расчет_аналитики'!AA1571,MeanMinAge01)))</f>
        <v/>
      </c>
      <c r="AB1476">
        <f>IF(OR('19_Расчет_аналитики'!AB1448=0,1&lt;='01_Вводные'!$B$297),0,'19_Расчет_аналитики'!AB1448*IF('01_Вводные'!$B$239="Да",MeanMinAge01+'19_Расчет_аналитики'!AB1571*SUMIF(ThresholdAge01,"&lt;"&amp;'19_Расчет_аналитики'!AB1571,WeightedRevAge01)-SUMIF(ThresholdAge01,"&lt;"&amp;'19_Расчет_аналитики'!AB1571,WeightedMinAge01),MAX(CapacityAge01*'01_Вводные'!$B$218*'19_Расчет_аналитики'!AB1571,MeanMinAge01)))</f>
        <v/>
      </c>
      <c r="AC1476">
        <f>IF(OR('19_Расчет_аналитики'!AC1448=0,1&lt;='01_Вводные'!$B$297),0,'19_Расчет_аналитики'!AC1448*IF('01_Вводные'!$B$239="Да",MeanMinAge01+'19_Расчет_аналитики'!AC1571*SUMIF(ThresholdAge01,"&lt;"&amp;'19_Расчет_аналитики'!AC1571,WeightedRevAge01)-SUMIF(ThresholdAge01,"&lt;"&amp;'19_Расчет_аналитики'!AC1571,WeightedMinAge01),MAX(CapacityAge01*'01_Вводные'!$B$218*'19_Расчет_аналитики'!AC1571,MeanMinAge01)))</f>
        <v/>
      </c>
      <c r="AD1476">
        <f>IF(OR('19_Расчет_аналитики'!AD1448=0,1&lt;='01_Вводные'!$B$297),0,'19_Расчет_аналитики'!AD1448*IF('01_Вводные'!$B$239="Да",MeanMinAge01+'19_Расчет_аналитики'!AD1571*SUMIF(ThresholdAge01,"&lt;"&amp;'19_Расчет_аналитики'!AD1571,WeightedRevAge01)-SUMIF(ThresholdAge01,"&lt;"&amp;'19_Расчет_аналитики'!AD1571,WeightedMinAge01),MAX(CapacityAge01*'01_Вводные'!$B$218*'19_Расчет_аналитики'!AD1571,MeanMinAge01)))</f>
        <v/>
      </c>
      <c r="AE1476">
        <f>IF(OR('19_Расчет_аналитики'!AE1448=0,1&lt;='01_Вводные'!$B$297),0,'19_Расчет_аналитики'!AE1448*IF('01_Вводные'!$B$239="Да",MeanMinAge01+'19_Расчет_аналитики'!AE1571*SUMIF(ThresholdAge01,"&lt;"&amp;'19_Расчет_аналитики'!AE1571,WeightedRevAge01)-SUMIF(ThresholdAge01,"&lt;"&amp;'19_Расчет_аналитики'!AE1571,WeightedMinAge01),MAX(CapacityAge01*'01_Вводные'!$B$218*'19_Расчет_аналитики'!AE1571,MeanMinAge01)))</f>
        <v/>
      </c>
      <c r="AF1476">
        <f>IF(OR('19_Расчет_аналитики'!AF1448=0,1&lt;='01_Вводные'!$B$297),0,'19_Расчет_аналитики'!AF1448*IF('01_Вводные'!$B$239="Да",MeanMinAge01+'19_Расчет_аналитики'!AF1571*SUMIF(ThresholdAge01,"&lt;"&amp;'19_Расчет_аналитики'!AF1571,WeightedRevAge01)-SUMIF(ThresholdAge01,"&lt;"&amp;'19_Расчет_аналитики'!AF1571,WeightedMinAge01),MAX(CapacityAge01*'01_Вводные'!$B$218*'19_Расчет_аналитики'!AF1571,MeanMinAge01)))</f>
        <v/>
      </c>
      <c r="AG1476">
        <f>IF(OR('19_Расчет_аналитики'!AG1448=0,1&lt;='01_Вводные'!$B$297),0,'19_Расчет_аналитики'!AG1448*IF('01_Вводные'!$B$239="Да",MeanMinAge01+'19_Расчет_аналитики'!AG1571*SUMIF(ThresholdAge01,"&lt;"&amp;'19_Расчет_аналитики'!AG1571,WeightedRevAge01)-SUMIF(ThresholdAge01,"&lt;"&amp;'19_Расчет_аналитики'!AG1571,WeightedMinAge01),MAX(CapacityAge01*'01_Вводные'!$B$218*'19_Расчет_аналитики'!AG1571,MeanMinAge01)))</f>
        <v/>
      </c>
      <c r="AH1476">
        <f>IF(OR('19_Расчет_аналитики'!AH1448=0,1&lt;='01_Вводные'!$B$297),0,'19_Расчет_аналитики'!AH1448*IF('01_Вводные'!$B$239="Да",MeanMinAge01+'19_Расчет_аналитики'!AH1571*SUMIF(ThresholdAge01,"&lt;"&amp;'19_Расчет_аналитики'!AH1571,WeightedRevAge01)-SUMIF(ThresholdAge01,"&lt;"&amp;'19_Расчет_аналитики'!AH1571,WeightedMinAge01),MAX(CapacityAge01*'01_Вводные'!$B$218*'19_Расчет_аналитики'!AH1571,MeanMinAge01)))</f>
        <v/>
      </c>
      <c r="AI1476">
        <f>IF(OR('19_Расчет_аналитики'!AI1448=0,1&lt;='01_Вводные'!$B$297),0,'19_Расчет_аналитики'!AI1448*IF('01_Вводные'!$B$239="Да",MeanMinAge01+'19_Расчет_аналитики'!AI1571*SUMIF(ThresholdAge01,"&lt;"&amp;'19_Расчет_аналитики'!AI1571,WeightedRevAge01)-SUMIF(ThresholdAge01,"&lt;"&amp;'19_Расчет_аналитики'!AI1571,WeightedMinAge01),MAX(CapacityAge01*'01_Вводные'!$B$218*'19_Расчет_аналитики'!AI1571,MeanMinAge01)))</f>
        <v/>
      </c>
      <c r="AJ1476">
        <f>IF(OR('19_Расчет_аналитики'!AJ1448=0,1&lt;='01_Вводные'!$B$297),0,'19_Расчет_аналитики'!AJ1448*IF('01_Вводные'!$B$239="Да",MeanMinAge01+'19_Расчет_аналитики'!AJ1571*SUMIF(ThresholdAge01,"&lt;"&amp;'19_Расчет_аналитики'!AJ1571,WeightedRevAge01)-SUMIF(ThresholdAge01,"&lt;"&amp;'19_Расчет_аналитики'!AJ1571,WeightedMinAge01),MAX(CapacityAge01*'01_Вводные'!$B$218*'19_Расчет_аналитики'!AJ1571,MeanMinAge01)))</f>
        <v/>
      </c>
      <c r="AK1476">
        <f>IF(OR('19_Расчет_аналитики'!AK1448=0,1&lt;='01_Вводные'!$B$297),0,'19_Расчет_аналитики'!AK1448*IF('01_Вводные'!$B$239="Да",MeanMinAge01+'19_Расчет_аналитики'!AK1571*SUMIF(ThresholdAge01,"&lt;"&amp;'19_Расчет_аналитики'!AK1571,WeightedRevAge01)-SUMIF(ThresholdAge01,"&lt;"&amp;'19_Расчет_аналитики'!AK1571,WeightedMinAge01),MAX(CapacityAge01*'01_Вводные'!$B$218*'19_Расчет_аналитики'!AK1571,MeanMinAge01)))</f>
        <v/>
      </c>
      <c r="AL1476">
        <f>IF(OR('19_Расчет_аналитики'!AL1448=0,1&lt;='01_Вводные'!$B$297),0,'19_Расчет_аналитики'!AL1448*IF('01_Вводные'!$B$239="Да",MeanMinAge01+'19_Расчет_аналитики'!AL1571*SUMIF(ThresholdAge01,"&lt;"&amp;'19_Расчет_аналитики'!AL1571,WeightedRevAge01)-SUMIF(ThresholdAge01,"&lt;"&amp;'19_Расчет_аналитики'!AL1571,WeightedMinAge01),MAX(CapacityAge01*'01_Вводные'!$B$218*'19_Расчет_аналитики'!AL1571,MeanMinAge01)))</f>
        <v/>
      </c>
      <c r="AM1476">
        <f>IF(OR('19_Расчет_аналитики'!AM1448=0,1&lt;='01_Вводные'!$B$297),0,'19_Расчет_аналитики'!AM1448*IF('01_Вводные'!$B$239="Да",MeanMinAge01+'19_Расчет_аналитики'!AM1571*SUMIF(ThresholdAge01,"&lt;"&amp;'19_Расчет_аналитики'!AM1571,WeightedRevAge01)-SUMIF(ThresholdAge01,"&lt;"&amp;'19_Расчет_аналитики'!AM1571,WeightedMinAge01),MAX(CapacityAge01*'01_Вводные'!$B$218*'19_Расчет_аналитики'!AM1571,MeanMinAge01)))</f>
        <v/>
      </c>
      <c r="AN1476">
        <f>IF(OR('19_Расчет_аналитики'!AN1448=0,1&lt;='01_Вводные'!$B$297),0,'19_Расчет_аналитики'!AN1448*IF('01_Вводные'!$B$239="Да",MeanMinAge01+'19_Расчет_аналитики'!AN1571*SUMIF(ThresholdAge01,"&lt;"&amp;'19_Расчет_аналитики'!AN1571,WeightedRevAge01)-SUMIF(ThresholdAge01,"&lt;"&amp;'19_Расчет_аналитики'!AN1571,WeightedMinAge01),MAX(CapacityAge01*'01_Вводные'!$B$218*'19_Расчет_аналитики'!AN1571,MeanMinAge01)))</f>
        <v/>
      </c>
      <c r="AO1476">
        <f>IF(OR('19_Расчет_аналитики'!AO1448=0,1&lt;='01_Вводные'!$B$297),0,'19_Расчет_аналитики'!AO1448*IF('01_Вводные'!$B$239="Да",MeanMinAge01+'19_Расчет_аналитики'!AO1571*SUMIF(ThresholdAge01,"&lt;"&amp;'19_Расчет_аналитики'!AO1571,WeightedRevAge01)-SUMIF(ThresholdAge01,"&lt;"&amp;'19_Расчет_аналитики'!AO1571,WeightedMinAge01),MAX(CapacityAge01*'01_Вводные'!$B$218*'19_Расчет_аналитики'!AO1571,MeanMinAge01)))</f>
        <v/>
      </c>
      <c r="AP1476">
        <f>IF(OR('19_Расчет_аналитики'!AP1448=0,1&lt;='01_Вводные'!$B$297),0,'19_Расчет_аналитики'!AP1448*IF('01_Вводные'!$B$239="Да",MeanMinAge01+'19_Расчет_аналитики'!AP1571*SUMIF(ThresholdAge01,"&lt;"&amp;'19_Расчет_аналитики'!AP1571,WeightedRevAge01)-SUMIF(ThresholdAge01,"&lt;"&amp;'19_Расчет_аналитики'!AP1571,WeightedMinAge01),MAX(CapacityAge01*'01_Вводные'!$B$218*'19_Расчет_аналитики'!AP1571,MeanMinAge01)))</f>
        <v/>
      </c>
      <c r="AQ1476">
        <f>IF(OR('19_Расчет_аналитики'!AQ1448=0,1&lt;='01_Вводные'!$B$297),0,'19_Расчет_аналитики'!AQ1448*IF('01_Вводные'!$B$239="Да",MeanMinAge01+'19_Расчет_аналитики'!AQ1571*SUMIF(ThresholdAge01,"&lt;"&amp;'19_Расчет_аналитики'!AQ1571,WeightedRevAge01)-SUMIF(ThresholdAge01,"&lt;"&amp;'19_Расчет_аналитики'!AQ1571,WeightedMinAge01),MAX(CapacityAge01*'01_Вводные'!$B$218*'19_Расчет_аналитики'!AQ1571,MeanMinAge01)))</f>
        <v/>
      </c>
      <c r="AR1476">
        <f>IF(OR('19_Расчет_аналитики'!AR1448=0,1&lt;='01_Вводные'!$B$297),0,'19_Расчет_аналитики'!AR1448*IF('01_Вводные'!$B$239="Да",MeanMinAge01+'19_Расчет_аналитики'!AR1571*SUMIF(ThresholdAge01,"&lt;"&amp;'19_Расчет_аналитики'!AR1571,WeightedRevAge01)-SUMIF(ThresholdAge01,"&lt;"&amp;'19_Расчет_аналитики'!AR1571,WeightedMinAge01),MAX(CapacityAge01*'01_Вводные'!$B$218*'19_Расчет_аналитики'!AR1571,MeanMinAge01)))</f>
        <v/>
      </c>
      <c r="AS1476">
        <f>IF(OR('19_Расчет_аналитики'!AS1448=0,1&lt;='01_Вводные'!$B$297),0,'19_Расчет_аналитики'!AS1448*IF('01_Вводные'!$B$239="Да",MeanMinAge01+'19_Расчет_аналитики'!AS1571*SUMIF(ThresholdAge01,"&lt;"&amp;'19_Расчет_аналитики'!AS1571,WeightedRevAge01)-SUMIF(ThresholdAge01,"&lt;"&amp;'19_Расчет_аналитики'!AS1571,WeightedMinAge01),MAX(CapacityAge01*'01_Вводные'!$B$218*'19_Расчет_аналитики'!AS1571,MeanMinAge01)))</f>
        <v/>
      </c>
      <c r="AT1476">
        <f>IF(OR('19_Расчет_аналитики'!AT1448=0,1&lt;='01_Вводные'!$B$297),0,'19_Расчет_аналитики'!AT1448*IF('01_Вводные'!$B$239="Да",MeanMinAge01+'19_Расчет_аналитики'!AT1571*SUMIF(ThresholdAge01,"&lt;"&amp;'19_Расчет_аналитики'!AT1571,WeightedRevAge01)-SUMIF(ThresholdAge01,"&lt;"&amp;'19_Расчет_аналитики'!AT1571,WeightedMinAge01),MAX(CapacityAge01*'01_Вводные'!$B$218*'19_Расчет_аналитики'!AT1571,MeanMinAge01)))</f>
        <v/>
      </c>
      <c r="AU1476">
        <f>IF(OR('19_Расчет_аналитики'!AU1448=0,1&lt;='01_Вводные'!$B$297),0,'19_Расчет_аналитики'!AU1448*IF('01_Вводные'!$B$239="Да",MeanMinAge01+'19_Расчет_аналитики'!AU1571*SUMIF(ThresholdAge01,"&lt;"&amp;'19_Расчет_аналитики'!AU1571,WeightedRevAge01)-SUMIF(ThresholdAge01,"&lt;"&amp;'19_Расчет_аналитики'!AU1571,WeightedMinAge01),MAX(CapacityAge01*'01_Вводные'!$B$218*'19_Расчет_аналитики'!AU1571,MeanMinAge01)))</f>
        <v/>
      </c>
      <c r="AV1476">
        <f>IF(OR('19_Расчет_аналитики'!AV1448=0,1&lt;='01_Вводные'!$B$297),0,'19_Расчет_аналитики'!AV1448*IF('01_Вводные'!$B$239="Да",MeanMinAge01+'19_Расчет_аналитики'!AV1571*SUMIF(ThresholdAge01,"&lt;"&amp;'19_Расчет_аналитики'!AV1571,WeightedRevAge01)-SUMIF(ThresholdAge01,"&lt;"&amp;'19_Расчет_аналитики'!AV1571,WeightedMinAge01),MAX(CapacityAge01*'01_Вводные'!$B$218*'19_Расчет_аналитики'!AV1571,MeanMinAge01)))</f>
        <v/>
      </c>
      <c r="AW1476">
        <f>IF(OR('19_Расчет_аналитики'!AW1448=0,1&lt;='01_Вводные'!$B$297),0,'19_Расчет_аналитики'!AW1448*IF('01_Вводные'!$B$239="Да",MeanMinAge01+'19_Расчет_аналитики'!AW1571*SUMIF(ThresholdAge01,"&lt;"&amp;'19_Расчет_аналитики'!AW1571,WeightedRevAge01)-SUMIF(ThresholdAge01,"&lt;"&amp;'19_Расчет_аналитики'!AW1571,WeightedMinAge01),MAX(CapacityAge01*'01_Вводные'!$B$218*'19_Расчет_аналитики'!AW1571,MeanMinAge01)))</f>
        <v/>
      </c>
      <c r="AX1476">
        <f>IF(OR('19_Расчет_аналитики'!AX1448=0,1&lt;='01_Вводные'!$B$297),0,'19_Расчет_аналитики'!AX1448*IF('01_Вводные'!$B$239="Да",MeanMinAge01+'19_Расчет_аналитики'!AX1571*SUMIF(ThresholdAge01,"&lt;"&amp;'19_Расчет_аналитики'!AX1571,WeightedRevAge01)-SUMIF(ThresholdAge01,"&lt;"&amp;'19_Расчет_аналитики'!AX1571,WeightedMinAge01),MAX(CapacityAge01*'01_Вводные'!$B$218*'19_Расчет_аналитики'!AX1571,MeanMinAge01)))</f>
        <v/>
      </c>
      <c r="AY1476">
        <f>IF(OR('19_Расчет_аналитики'!AY1448=0,1&lt;='01_Вводные'!$B$297),0,'19_Расчет_аналитики'!AY1448*IF('01_Вводные'!$B$239="Да",MeanMinAge01+'19_Расчет_аналитики'!AY1571*SUMIF(ThresholdAge01,"&lt;"&amp;'19_Расчет_аналитики'!AY1571,WeightedRevAge01)-SUMIF(ThresholdAge01,"&lt;"&amp;'19_Расчет_аналитики'!AY1571,WeightedMinAge01),MAX(CapacityAge01*'01_Вводные'!$B$218*'19_Расчет_аналитики'!AY1571,MeanMinAge01)))</f>
        <v/>
      </c>
      <c r="AZ1476">
        <f>IF(OR('19_Расчет_аналитики'!AZ1448=0,1&lt;='01_Вводные'!$B$297),0,'19_Расчет_аналитики'!AZ1448*IF('01_Вводные'!$B$239="Да",MeanMinAge01+'19_Расчет_аналитики'!AZ1571*SUMIF(ThresholdAge01,"&lt;"&amp;'19_Расчет_аналитики'!AZ1571,WeightedRevAge01)-SUMIF(ThresholdAge01,"&lt;"&amp;'19_Расчет_аналитики'!AZ1571,WeightedMinAge01),MAX(CapacityAge01*'01_Вводные'!$B$218*'19_Расчет_аналитики'!AZ1571,MeanMinAge01)))</f>
        <v/>
      </c>
      <c r="BA1476">
        <f>IF(OR('19_Расчет_аналитики'!BA1448=0,1&lt;='01_Вводные'!$B$297),0,'19_Расчет_аналитики'!BA1448*IF('01_Вводные'!$B$239="Да",MeanMinAge01+'19_Расчет_аналитики'!BA1571*SUMIF(ThresholdAge01,"&lt;"&amp;'19_Расчет_аналитики'!BA1571,WeightedRevAge01)-SUMIF(ThresholdAge01,"&lt;"&amp;'19_Расчет_аналитики'!BA1571,WeightedMinAge01),MAX(CapacityAge01*'01_Вводные'!$B$218*'19_Расчет_аналитики'!BA1571,MeanMinAge01)))</f>
        <v/>
      </c>
      <c r="BB1476">
        <f>IF(OR('19_Расчет_аналитики'!BB1448=0,1&lt;='01_Вводные'!$B$297),0,'19_Расчет_аналитики'!BB1448*IF('01_Вводные'!$B$239="Да",MeanMinAge01+'19_Расчет_аналитики'!BB1571*SUMIF(ThresholdAge01,"&lt;"&amp;'19_Расчет_аналитики'!BB1571,WeightedRevAge01)-SUMIF(ThresholdAge01,"&lt;"&amp;'19_Расчет_аналитики'!BB1571,WeightedMinAge01),MAX(CapacityAge01*'01_Вводные'!$B$218*'19_Расчет_аналитики'!BB1571,MeanMinAge01)))</f>
        <v/>
      </c>
      <c r="BC1476">
        <f>IF(OR('19_Расчет_аналитики'!BC1448=0,1&lt;='01_Вводные'!$B$297),0,'19_Расчет_аналитики'!BC1448*IF('01_Вводные'!$B$239="Да",MeanMinAge01+'19_Расчет_аналитики'!BC1571*SUMIF(ThresholdAge01,"&lt;"&amp;'19_Расчет_аналитики'!BC1571,WeightedRevAge01)-SUMIF(ThresholdAge01,"&lt;"&amp;'19_Расчет_аналитики'!BC1571,WeightedMinAge01),MAX(CapacityAge01*'01_Вводные'!$B$218*'19_Расчет_аналитики'!BC1571,MeanMinAge01)))</f>
        <v/>
      </c>
      <c r="BD1476">
        <f>IF(OR('19_Расчет_аналитики'!BD1448=0,1&lt;='01_Вводные'!$B$297),0,'19_Расчет_аналитики'!BD1448*IF('01_Вводные'!$B$239="Да",MeanMinAge01+'19_Расчет_аналитики'!BD1571*SUMIF(ThresholdAge01,"&lt;"&amp;'19_Расчет_аналитики'!BD1571,WeightedRevAge01)-SUMIF(ThresholdAge01,"&lt;"&amp;'19_Расчет_аналитики'!BD1571,WeightedMinAge01),MAX(CapacityAge01*'01_Вводные'!$B$218*'19_Расчет_аналитики'!BD1571,MeanMinAge01)))</f>
        <v/>
      </c>
      <c r="BE1476">
        <f>IF(OR('19_Расчет_аналитики'!BE1448=0,1&lt;='01_Вводные'!$B$297),0,'19_Расчет_аналитики'!BE1448*IF('01_Вводные'!$B$239="Да",MeanMinAge01+'19_Расчет_аналитики'!BE1571*SUMIF(ThresholdAge01,"&lt;"&amp;'19_Расчет_аналитики'!BE1571,WeightedRevAge01)-SUMIF(ThresholdAge01,"&lt;"&amp;'19_Расчет_аналитики'!BE1571,WeightedMinAge01),MAX(CapacityAge01*'01_Вводные'!$B$218*'19_Расчет_аналитики'!BE1571,MeanMinAge01)))</f>
        <v/>
      </c>
      <c r="BF1476">
        <f>IF(OR('19_Расчет_аналитики'!BF1448=0,1&lt;='01_Вводные'!$B$297),0,'19_Расчет_аналитики'!BF1448*IF('01_Вводные'!$B$239="Да",MeanMinAge01+'19_Расчет_аналитики'!BF1571*SUMIF(ThresholdAge01,"&lt;"&amp;'19_Расчет_аналитики'!BF1571,WeightedRevAge01)-SUMIF(ThresholdAge01,"&lt;"&amp;'19_Расчет_аналитики'!BF1571,WeightedMinAge01),MAX(CapacityAge01*'01_Вводные'!$B$218*'19_Расчет_аналитики'!BF1571,MeanMinAge01)))</f>
        <v/>
      </c>
      <c r="BG1476">
        <f>IF(OR('19_Расчет_аналитики'!BG1448=0,1&lt;='01_Вводные'!$B$297),0,'19_Расчет_аналитики'!BG1448*IF('01_Вводные'!$B$239="Да",MeanMinAge01+'19_Расчет_аналитики'!BG1571*SUMIF(ThresholdAge01,"&lt;"&amp;'19_Расчет_аналитики'!BG1571,WeightedRevAge01)-SUMIF(ThresholdAge01,"&lt;"&amp;'19_Расчет_аналитики'!BG1571,WeightedMinAge01),MAX(CapacityAge01*'01_Вводные'!$B$218*'19_Расчет_аналитики'!BG1571,MeanMinAge01)))</f>
        <v/>
      </c>
      <c r="BH1476">
        <f>IF(OR('19_Расчет_аналитики'!BH1448=0,1&lt;='01_Вводные'!$B$297),0,'19_Расчет_аналитики'!BH1448*IF('01_Вводные'!$B$239="Да",MeanMinAge01+'19_Расчет_аналитики'!BH1571*SUMIF(ThresholdAge01,"&lt;"&amp;'19_Расчет_аналитики'!BH1571,WeightedRevAge01)-SUMIF(ThresholdAge01,"&lt;"&amp;'19_Расчет_аналитики'!BH1571,WeightedMinAge01),MAX(CapacityAge01*'01_Вводные'!$B$218*'19_Расчет_аналитики'!BH1571,MeanMinAge01)))</f>
        <v/>
      </c>
      <c r="BI1476">
        <f>IF(OR('19_Расчет_аналитики'!BI1448=0,1&lt;='01_Вводные'!$B$297),0,'19_Расчет_аналитики'!BI1448*IF('01_Вводные'!$B$239="Да",MeanMinAge01+'19_Расчет_аналитики'!BI1571*SUMIF(ThresholdAge01,"&lt;"&amp;'19_Расчет_аналитики'!BI1571,WeightedRevAge01)-SUMIF(ThresholdAge01,"&lt;"&amp;'19_Расчет_аналитики'!BI1571,WeightedMinAge01),MAX(CapacityAge01*'01_Вводные'!$B$218*'19_Расчет_аналитики'!BI1571,MeanMinAge01)))</f>
        <v/>
      </c>
      <c r="BJ1476">
        <f>IF(OR('19_Расчет_аналитики'!BJ1448=0,1&lt;='01_Вводные'!$B$297),0,'19_Расчет_аналитики'!BJ1448*IF('01_Вводные'!$B$239="Да",MeanMinAge01+'19_Расчет_аналитики'!BJ1571*SUMIF(ThresholdAge01,"&lt;"&amp;'19_Расчет_аналитики'!BJ1571,WeightedRevAge01)-SUMIF(ThresholdAge01,"&lt;"&amp;'19_Расчет_аналитики'!BJ1571,WeightedMinAge01),MAX(CapacityAge01*'01_Вводные'!$B$218*'19_Расчет_аналитики'!BJ1571,MeanMinAge01)))</f>
        <v/>
      </c>
      <c r="BK1476">
        <f>IF(OR('19_Расчет_аналитики'!BK1448=0,1&lt;='01_Вводные'!$B$297),0,'19_Расчет_аналитики'!BK1448*IF('01_Вводные'!$B$239="Да",MeanMinAge01+'19_Расчет_аналитики'!BK1571*SUMIF(ThresholdAge01,"&lt;"&amp;'19_Расчет_аналитики'!BK1571,WeightedRevAge01)-SUMIF(ThresholdAge01,"&lt;"&amp;'19_Расчет_аналитики'!BK1571,WeightedMinAge01),MAX(CapacityAge01*'01_Вводные'!$B$218*'19_Расчет_аналитики'!BK1571,MeanMinAge01)))</f>
        <v/>
      </c>
      <c r="BL1476">
        <f>IF(OR('19_Расчет_аналитики'!BL1448=0,1&lt;='01_Вводные'!$B$297),0,'19_Расчет_аналитики'!BL1448*IF('01_Вводные'!$B$239="Да",MeanMinAge01+'19_Расчет_аналитики'!BL1571*SUMIF(ThresholdAge01,"&lt;"&amp;'19_Расчет_аналитики'!BL1571,WeightedRevAge01)-SUMIF(ThresholdAge01,"&lt;"&amp;'19_Расчет_аналитики'!BL1571,WeightedMinAge01),MAX(CapacityAge01*'01_Вводные'!$B$218*'19_Расчет_аналитики'!BL1571,MeanMinAge01)))</f>
        <v/>
      </c>
      <c r="BM1476">
        <f>IF(OR('19_Расчет_аналитики'!BM1448=0,1&lt;='01_Вводные'!$B$297),0,'19_Расчет_аналитики'!BM1448*IF('01_Вводные'!$B$239="Да",MeanMinAge01+'19_Расчет_аналитики'!BM1571*SUMIF(ThresholdAge01,"&lt;"&amp;'19_Расчет_аналитики'!BM1571,WeightedRevAge01)-SUMIF(ThresholdAge01,"&lt;"&amp;'19_Расчет_аналитики'!BM1571,WeightedMinAge01),MAX(CapacityAge01*'01_Вводные'!$B$218*'19_Расчет_аналитики'!BM1571,MeanMinAge01)))</f>
        <v/>
      </c>
      <c r="BN1476">
        <f>IF(OR('19_Расчет_аналитики'!BN1448=0,1&lt;='01_Вводные'!$B$297),0,'19_Расчет_аналитики'!BN1448*IF('01_Вводные'!$B$239="Да",MeanMinAge01+'19_Расчет_аналитики'!BN1571*SUMIF(ThresholdAge01,"&lt;"&amp;'19_Расчет_аналитики'!BN1571,WeightedRevAge01)-SUMIF(ThresholdAge01,"&lt;"&amp;'19_Расчет_аналитики'!BN1571,WeightedMinAge01),MAX(CapacityAge01*'01_Вводные'!$B$218*'19_Расчет_аналитики'!BN1571,MeanMinAge01)))</f>
        <v/>
      </c>
      <c r="BO1476">
        <f>IF(OR('19_Расчет_аналитики'!BO1448=0,1&lt;='01_Вводные'!$B$297),0,'19_Расчет_аналитики'!BO1448*IF('01_Вводные'!$B$239="Да",MeanMinAge01+'19_Расчет_аналитики'!BO1571*SUMIF(ThresholdAge01,"&lt;"&amp;'19_Расчет_аналитики'!BO1571,WeightedRevAge01)-SUMIF(ThresholdAge01,"&lt;"&amp;'19_Расчет_аналитики'!BO1571,WeightedMinAge01),MAX(CapacityAge01*'01_Вводные'!$B$218*'19_Расчет_аналитики'!BO1571,MeanMinAge01)))</f>
        <v/>
      </c>
    </row>
    <row r="1477">
      <c r="B1477">
        <f>IF(OR('06_Сеть_и_дети'!B82=0,2&lt;='01_Вводные'!$B$297),0,'06_Сеть_и_дети'!B82*IF('01_Вводные'!$B$239="Да",MeanMinAge02+'19_Расчет_аналитики'!B1571*SUMIF(ThresholdAge02,"&lt;"&amp;'19_Расчет_аналитики'!B1571,WeightedRevAge02)-SUMIF(ThresholdAge02,"&lt;"&amp;'19_Расчет_аналитики'!B1571,WeightedMinAge02),MAX(CapacityAge02*'01_Вводные'!$B$218*'19_Расчет_аналитики'!B1571,MeanMinAge02)))</f>
        <v/>
      </c>
      <c r="C1477">
        <f>IF(OR('19_Расчет_аналитики'!C1449=0,2&lt;='01_Вводные'!$B$297),0,'19_Расчет_аналитики'!C1449*IF('01_Вводные'!$B$239="Да",MeanMinAge02+'19_Расчет_аналитики'!C1571*SUMIF(ThresholdAge02,"&lt;"&amp;'19_Расчет_аналитики'!C1571,WeightedRevAge02)-SUMIF(ThresholdAge02,"&lt;"&amp;'19_Расчет_аналитики'!C1571,WeightedMinAge02),MAX(CapacityAge02*'01_Вводные'!$B$218*'19_Расчет_аналитики'!C1571,MeanMinAge02)))</f>
        <v/>
      </c>
      <c r="D1477">
        <f>IF(OR('19_Расчет_аналитики'!D1449=0,2&lt;='01_Вводные'!$B$297),0,'19_Расчет_аналитики'!D1449*IF('01_Вводные'!$B$239="Да",MeanMinAge02+'19_Расчет_аналитики'!D1571*SUMIF(ThresholdAge02,"&lt;"&amp;'19_Расчет_аналитики'!D1571,WeightedRevAge02)-SUMIF(ThresholdAge02,"&lt;"&amp;'19_Расчет_аналитики'!D1571,WeightedMinAge02),MAX(CapacityAge02*'01_Вводные'!$B$218*'19_Расчет_аналитики'!D1571,MeanMinAge02)))</f>
        <v/>
      </c>
      <c r="E1477">
        <f>IF(OR('19_Расчет_аналитики'!E1449=0,2&lt;='01_Вводные'!$B$297),0,'19_Расчет_аналитики'!E1449*IF('01_Вводные'!$B$239="Да",MeanMinAge02+'19_Расчет_аналитики'!E1571*SUMIF(ThresholdAge02,"&lt;"&amp;'19_Расчет_аналитики'!E1571,WeightedRevAge02)-SUMIF(ThresholdAge02,"&lt;"&amp;'19_Расчет_аналитики'!E1571,WeightedMinAge02),MAX(CapacityAge02*'01_Вводные'!$B$218*'19_Расчет_аналитики'!E1571,MeanMinAge02)))</f>
        <v/>
      </c>
      <c r="F1477">
        <f>IF(OR('19_Расчет_аналитики'!F1449=0,2&lt;='01_Вводные'!$B$297),0,'19_Расчет_аналитики'!F1449*IF('01_Вводные'!$B$239="Да",MeanMinAge02+'19_Расчет_аналитики'!F1571*SUMIF(ThresholdAge02,"&lt;"&amp;'19_Расчет_аналитики'!F1571,WeightedRevAge02)-SUMIF(ThresholdAge02,"&lt;"&amp;'19_Расчет_аналитики'!F1571,WeightedMinAge02),MAX(CapacityAge02*'01_Вводные'!$B$218*'19_Расчет_аналитики'!F1571,MeanMinAge02)))</f>
        <v/>
      </c>
      <c r="G1477">
        <f>IF(OR('19_Расчет_аналитики'!G1449=0,2&lt;='01_Вводные'!$B$297),0,'19_Расчет_аналитики'!G1449*IF('01_Вводные'!$B$239="Да",MeanMinAge02+'19_Расчет_аналитики'!G1571*SUMIF(ThresholdAge02,"&lt;"&amp;'19_Расчет_аналитики'!G1571,WeightedRevAge02)-SUMIF(ThresholdAge02,"&lt;"&amp;'19_Расчет_аналитики'!G1571,WeightedMinAge02),MAX(CapacityAge02*'01_Вводные'!$B$218*'19_Расчет_аналитики'!G1571,MeanMinAge02)))</f>
        <v/>
      </c>
      <c r="H1477">
        <f>IF(OR('19_Расчет_аналитики'!H1449=0,2&lt;='01_Вводные'!$B$297),0,'19_Расчет_аналитики'!H1449*IF('01_Вводные'!$B$239="Да",MeanMinAge02+'19_Расчет_аналитики'!H1571*SUMIF(ThresholdAge02,"&lt;"&amp;'19_Расчет_аналитики'!H1571,WeightedRevAge02)-SUMIF(ThresholdAge02,"&lt;"&amp;'19_Расчет_аналитики'!H1571,WeightedMinAge02),MAX(CapacityAge02*'01_Вводные'!$B$218*'19_Расчет_аналитики'!H1571,MeanMinAge02)))</f>
        <v/>
      </c>
      <c r="I1477">
        <f>IF(OR('19_Расчет_аналитики'!I1449=0,2&lt;='01_Вводные'!$B$297),0,'19_Расчет_аналитики'!I1449*IF('01_Вводные'!$B$239="Да",MeanMinAge02+'19_Расчет_аналитики'!I1571*SUMIF(ThresholdAge02,"&lt;"&amp;'19_Расчет_аналитики'!I1571,WeightedRevAge02)-SUMIF(ThresholdAge02,"&lt;"&amp;'19_Расчет_аналитики'!I1571,WeightedMinAge02),MAX(CapacityAge02*'01_Вводные'!$B$218*'19_Расчет_аналитики'!I1571,MeanMinAge02)))</f>
        <v/>
      </c>
      <c r="J1477">
        <f>IF(OR('19_Расчет_аналитики'!J1449=0,2&lt;='01_Вводные'!$B$297),0,'19_Расчет_аналитики'!J1449*IF('01_Вводные'!$B$239="Да",MeanMinAge02+'19_Расчет_аналитики'!J1571*SUMIF(ThresholdAge02,"&lt;"&amp;'19_Расчет_аналитики'!J1571,WeightedRevAge02)-SUMIF(ThresholdAge02,"&lt;"&amp;'19_Расчет_аналитики'!J1571,WeightedMinAge02),MAX(CapacityAge02*'01_Вводные'!$B$218*'19_Расчет_аналитики'!J1571,MeanMinAge02)))</f>
        <v/>
      </c>
      <c r="K1477">
        <f>IF(OR('19_Расчет_аналитики'!K1449=0,2&lt;='01_Вводные'!$B$297),0,'19_Расчет_аналитики'!K1449*IF('01_Вводные'!$B$239="Да",MeanMinAge02+'19_Расчет_аналитики'!K1571*SUMIF(ThresholdAge02,"&lt;"&amp;'19_Расчет_аналитики'!K1571,WeightedRevAge02)-SUMIF(ThresholdAge02,"&lt;"&amp;'19_Расчет_аналитики'!K1571,WeightedMinAge02),MAX(CapacityAge02*'01_Вводные'!$B$218*'19_Расчет_аналитики'!K1571,MeanMinAge02)))</f>
        <v/>
      </c>
      <c r="L1477">
        <f>IF(OR('19_Расчет_аналитики'!L1449=0,2&lt;='01_Вводные'!$B$297),0,'19_Расчет_аналитики'!L1449*IF('01_Вводные'!$B$239="Да",MeanMinAge02+'19_Расчет_аналитики'!L1571*SUMIF(ThresholdAge02,"&lt;"&amp;'19_Расчет_аналитики'!L1571,WeightedRevAge02)-SUMIF(ThresholdAge02,"&lt;"&amp;'19_Расчет_аналитики'!L1571,WeightedMinAge02),MAX(CapacityAge02*'01_Вводные'!$B$218*'19_Расчет_аналитики'!L1571,MeanMinAge02)))</f>
        <v/>
      </c>
      <c r="M1477">
        <f>IF(OR('19_Расчет_аналитики'!M1449=0,2&lt;='01_Вводные'!$B$297),0,'19_Расчет_аналитики'!M1449*IF('01_Вводные'!$B$239="Да",MeanMinAge02+'19_Расчет_аналитики'!M1571*SUMIF(ThresholdAge02,"&lt;"&amp;'19_Расчет_аналитики'!M1571,WeightedRevAge02)-SUMIF(ThresholdAge02,"&lt;"&amp;'19_Расчет_аналитики'!M1571,WeightedMinAge02),MAX(CapacityAge02*'01_Вводные'!$B$218*'19_Расчет_аналитики'!M1571,MeanMinAge02)))</f>
        <v/>
      </c>
      <c r="N1477">
        <f>IF(OR('19_Расчет_аналитики'!N1449=0,2&lt;='01_Вводные'!$B$297),0,'19_Расчет_аналитики'!N1449*IF('01_Вводные'!$B$239="Да",MeanMinAge02+'19_Расчет_аналитики'!N1571*SUMIF(ThresholdAge02,"&lt;"&amp;'19_Расчет_аналитики'!N1571,WeightedRevAge02)-SUMIF(ThresholdAge02,"&lt;"&amp;'19_Расчет_аналитики'!N1571,WeightedMinAge02),MAX(CapacityAge02*'01_Вводные'!$B$218*'19_Расчет_аналитики'!N1571,MeanMinAge02)))</f>
        <v/>
      </c>
      <c r="O1477">
        <f>IF(OR('19_Расчет_аналитики'!O1449=0,2&lt;='01_Вводные'!$B$297),0,'19_Расчет_аналитики'!O1449*IF('01_Вводные'!$B$239="Да",MeanMinAge02+'19_Расчет_аналитики'!O1571*SUMIF(ThresholdAge02,"&lt;"&amp;'19_Расчет_аналитики'!O1571,WeightedRevAge02)-SUMIF(ThresholdAge02,"&lt;"&amp;'19_Расчет_аналитики'!O1571,WeightedMinAge02),MAX(CapacityAge02*'01_Вводные'!$B$218*'19_Расчет_аналитики'!O1571,MeanMinAge02)))</f>
        <v/>
      </c>
      <c r="P1477">
        <f>IF(OR('19_Расчет_аналитики'!P1449=0,2&lt;='01_Вводные'!$B$297),0,'19_Расчет_аналитики'!P1449*IF('01_Вводные'!$B$239="Да",MeanMinAge02+'19_Расчет_аналитики'!P1571*SUMIF(ThresholdAge02,"&lt;"&amp;'19_Расчет_аналитики'!P1571,WeightedRevAge02)-SUMIF(ThresholdAge02,"&lt;"&amp;'19_Расчет_аналитики'!P1571,WeightedMinAge02),MAX(CapacityAge02*'01_Вводные'!$B$218*'19_Расчет_аналитики'!P1571,MeanMinAge02)))</f>
        <v/>
      </c>
      <c r="Q1477">
        <f>IF(OR('19_Расчет_аналитики'!Q1449=0,2&lt;='01_Вводные'!$B$297),0,'19_Расчет_аналитики'!Q1449*IF('01_Вводные'!$B$239="Да",MeanMinAge02+'19_Расчет_аналитики'!Q1571*SUMIF(ThresholdAge02,"&lt;"&amp;'19_Расчет_аналитики'!Q1571,WeightedRevAge02)-SUMIF(ThresholdAge02,"&lt;"&amp;'19_Расчет_аналитики'!Q1571,WeightedMinAge02),MAX(CapacityAge02*'01_Вводные'!$B$218*'19_Расчет_аналитики'!Q1571,MeanMinAge02)))</f>
        <v/>
      </c>
      <c r="R1477">
        <f>IF(OR('19_Расчет_аналитики'!R1449=0,2&lt;='01_Вводные'!$B$297),0,'19_Расчет_аналитики'!R1449*IF('01_Вводные'!$B$239="Да",MeanMinAge02+'19_Расчет_аналитики'!R1571*SUMIF(ThresholdAge02,"&lt;"&amp;'19_Расчет_аналитики'!R1571,WeightedRevAge02)-SUMIF(ThresholdAge02,"&lt;"&amp;'19_Расчет_аналитики'!R1571,WeightedMinAge02),MAX(CapacityAge02*'01_Вводные'!$B$218*'19_Расчет_аналитики'!R1571,MeanMinAge02)))</f>
        <v/>
      </c>
      <c r="S1477">
        <f>IF(OR('19_Расчет_аналитики'!S1449=0,2&lt;='01_Вводные'!$B$297),0,'19_Расчет_аналитики'!S1449*IF('01_Вводные'!$B$239="Да",MeanMinAge02+'19_Расчет_аналитики'!S1571*SUMIF(ThresholdAge02,"&lt;"&amp;'19_Расчет_аналитики'!S1571,WeightedRevAge02)-SUMIF(ThresholdAge02,"&lt;"&amp;'19_Расчет_аналитики'!S1571,WeightedMinAge02),MAX(CapacityAge02*'01_Вводные'!$B$218*'19_Расчет_аналитики'!S1571,MeanMinAge02)))</f>
        <v/>
      </c>
      <c r="T1477">
        <f>IF(OR('19_Расчет_аналитики'!T1449=0,2&lt;='01_Вводные'!$B$297),0,'19_Расчет_аналитики'!T1449*IF('01_Вводные'!$B$239="Да",MeanMinAge02+'19_Расчет_аналитики'!T1571*SUMIF(ThresholdAge02,"&lt;"&amp;'19_Расчет_аналитики'!T1571,WeightedRevAge02)-SUMIF(ThresholdAge02,"&lt;"&amp;'19_Расчет_аналитики'!T1571,WeightedMinAge02),MAX(CapacityAge02*'01_Вводные'!$B$218*'19_Расчет_аналитики'!T1571,MeanMinAge02)))</f>
        <v/>
      </c>
      <c r="U1477">
        <f>IF(OR('19_Расчет_аналитики'!U1449=0,2&lt;='01_Вводные'!$B$297),0,'19_Расчет_аналитики'!U1449*IF('01_Вводные'!$B$239="Да",MeanMinAge02+'19_Расчет_аналитики'!U1571*SUMIF(ThresholdAge02,"&lt;"&amp;'19_Расчет_аналитики'!U1571,WeightedRevAge02)-SUMIF(ThresholdAge02,"&lt;"&amp;'19_Расчет_аналитики'!U1571,WeightedMinAge02),MAX(CapacityAge02*'01_Вводные'!$B$218*'19_Расчет_аналитики'!U1571,MeanMinAge02)))</f>
        <v/>
      </c>
      <c r="V1477">
        <f>IF(OR('19_Расчет_аналитики'!V1449=0,2&lt;='01_Вводные'!$B$297),0,'19_Расчет_аналитики'!V1449*IF('01_Вводные'!$B$239="Да",MeanMinAge02+'19_Расчет_аналитики'!V1571*SUMIF(ThresholdAge02,"&lt;"&amp;'19_Расчет_аналитики'!V1571,WeightedRevAge02)-SUMIF(ThresholdAge02,"&lt;"&amp;'19_Расчет_аналитики'!V1571,WeightedMinAge02),MAX(CapacityAge02*'01_Вводные'!$B$218*'19_Расчет_аналитики'!V1571,MeanMinAge02)))</f>
        <v/>
      </c>
      <c r="W1477">
        <f>IF(OR('19_Расчет_аналитики'!W1449=0,2&lt;='01_Вводные'!$B$297),0,'19_Расчет_аналитики'!W1449*IF('01_Вводные'!$B$239="Да",MeanMinAge02+'19_Расчет_аналитики'!W1571*SUMIF(ThresholdAge02,"&lt;"&amp;'19_Расчет_аналитики'!W1571,WeightedRevAge02)-SUMIF(ThresholdAge02,"&lt;"&amp;'19_Расчет_аналитики'!W1571,WeightedMinAge02),MAX(CapacityAge02*'01_Вводные'!$B$218*'19_Расчет_аналитики'!W1571,MeanMinAge02)))</f>
        <v/>
      </c>
      <c r="X1477">
        <f>IF(OR('19_Расчет_аналитики'!X1449=0,2&lt;='01_Вводные'!$B$297),0,'19_Расчет_аналитики'!X1449*IF('01_Вводные'!$B$239="Да",MeanMinAge02+'19_Расчет_аналитики'!X1571*SUMIF(ThresholdAge02,"&lt;"&amp;'19_Расчет_аналитики'!X1571,WeightedRevAge02)-SUMIF(ThresholdAge02,"&lt;"&amp;'19_Расчет_аналитики'!X1571,WeightedMinAge02),MAX(CapacityAge02*'01_Вводные'!$B$218*'19_Расчет_аналитики'!X1571,MeanMinAge02)))</f>
        <v/>
      </c>
      <c r="Y1477">
        <f>IF(OR('19_Расчет_аналитики'!Y1449=0,2&lt;='01_Вводные'!$B$297),0,'19_Расчет_аналитики'!Y1449*IF('01_Вводные'!$B$239="Да",MeanMinAge02+'19_Расчет_аналитики'!Y1571*SUMIF(ThresholdAge02,"&lt;"&amp;'19_Расчет_аналитики'!Y1571,WeightedRevAge02)-SUMIF(ThresholdAge02,"&lt;"&amp;'19_Расчет_аналитики'!Y1571,WeightedMinAge02),MAX(CapacityAge02*'01_Вводные'!$B$218*'19_Расчет_аналитики'!Y1571,MeanMinAge02)))</f>
        <v/>
      </c>
      <c r="Z1477">
        <f>IF(OR('19_Расчет_аналитики'!Z1449=0,2&lt;='01_Вводные'!$B$297),0,'19_Расчет_аналитики'!Z1449*IF('01_Вводные'!$B$239="Да",MeanMinAge02+'19_Расчет_аналитики'!Z1571*SUMIF(ThresholdAge02,"&lt;"&amp;'19_Расчет_аналитики'!Z1571,WeightedRevAge02)-SUMIF(ThresholdAge02,"&lt;"&amp;'19_Расчет_аналитики'!Z1571,WeightedMinAge02),MAX(CapacityAge02*'01_Вводные'!$B$218*'19_Расчет_аналитики'!Z1571,MeanMinAge02)))</f>
        <v/>
      </c>
      <c r="AA1477">
        <f>IF(OR('19_Расчет_аналитики'!AA1449=0,2&lt;='01_Вводные'!$B$297),0,'19_Расчет_аналитики'!AA1449*IF('01_Вводные'!$B$239="Да",MeanMinAge02+'19_Расчет_аналитики'!AA1571*SUMIF(ThresholdAge02,"&lt;"&amp;'19_Расчет_аналитики'!AA1571,WeightedRevAge02)-SUMIF(ThresholdAge02,"&lt;"&amp;'19_Расчет_аналитики'!AA1571,WeightedMinAge02),MAX(CapacityAge02*'01_Вводные'!$B$218*'19_Расчет_аналитики'!AA1571,MeanMinAge02)))</f>
        <v/>
      </c>
      <c r="AB1477">
        <f>IF(OR('19_Расчет_аналитики'!AB1449=0,2&lt;='01_Вводные'!$B$297),0,'19_Расчет_аналитики'!AB1449*IF('01_Вводные'!$B$239="Да",MeanMinAge02+'19_Расчет_аналитики'!AB1571*SUMIF(ThresholdAge02,"&lt;"&amp;'19_Расчет_аналитики'!AB1571,WeightedRevAge02)-SUMIF(ThresholdAge02,"&lt;"&amp;'19_Расчет_аналитики'!AB1571,WeightedMinAge02),MAX(CapacityAge02*'01_Вводные'!$B$218*'19_Расчет_аналитики'!AB1571,MeanMinAge02)))</f>
        <v/>
      </c>
      <c r="AC1477">
        <f>IF(OR('19_Расчет_аналитики'!AC1449=0,2&lt;='01_Вводные'!$B$297),0,'19_Расчет_аналитики'!AC1449*IF('01_Вводные'!$B$239="Да",MeanMinAge02+'19_Расчет_аналитики'!AC1571*SUMIF(ThresholdAge02,"&lt;"&amp;'19_Расчет_аналитики'!AC1571,WeightedRevAge02)-SUMIF(ThresholdAge02,"&lt;"&amp;'19_Расчет_аналитики'!AC1571,WeightedMinAge02),MAX(CapacityAge02*'01_Вводные'!$B$218*'19_Расчет_аналитики'!AC1571,MeanMinAge02)))</f>
        <v/>
      </c>
      <c r="AD1477">
        <f>IF(OR('19_Расчет_аналитики'!AD1449=0,2&lt;='01_Вводные'!$B$297),0,'19_Расчет_аналитики'!AD1449*IF('01_Вводные'!$B$239="Да",MeanMinAge02+'19_Расчет_аналитики'!AD1571*SUMIF(ThresholdAge02,"&lt;"&amp;'19_Расчет_аналитики'!AD1571,WeightedRevAge02)-SUMIF(ThresholdAge02,"&lt;"&amp;'19_Расчет_аналитики'!AD1571,WeightedMinAge02),MAX(CapacityAge02*'01_Вводные'!$B$218*'19_Расчет_аналитики'!AD1571,MeanMinAge02)))</f>
        <v/>
      </c>
      <c r="AE1477">
        <f>IF(OR('19_Расчет_аналитики'!AE1449=0,2&lt;='01_Вводные'!$B$297),0,'19_Расчет_аналитики'!AE1449*IF('01_Вводные'!$B$239="Да",MeanMinAge02+'19_Расчет_аналитики'!AE1571*SUMIF(ThresholdAge02,"&lt;"&amp;'19_Расчет_аналитики'!AE1571,WeightedRevAge02)-SUMIF(ThresholdAge02,"&lt;"&amp;'19_Расчет_аналитики'!AE1571,WeightedMinAge02),MAX(CapacityAge02*'01_Вводные'!$B$218*'19_Расчет_аналитики'!AE1571,MeanMinAge02)))</f>
        <v/>
      </c>
      <c r="AF1477">
        <f>IF(OR('19_Расчет_аналитики'!AF1449=0,2&lt;='01_Вводные'!$B$297),0,'19_Расчет_аналитики'!AF1449*IF('01_Вводные'!$B$239="Да",MeanMinAge02+'19_Расчет_аналитики'!AF1571*SUMIF(ThresholdAge02,"&lt;"&amp;'19_Расчет_аналитики'!AF1571,WeightedRevAge02)-SUMIF(ThresholdAge02,"&lt;"&amp;'19_Расчет_аналитики'!AF1571,WeightedMinAge02),MAX(CapacityAge02*'01_Вводные'!$B$218*'19_Расчет_аналитики'!AF1571,MeanMinAge02)))</f>
        <v/>
      </c>
      <c r="AG1477">
        <f>IF(OR('19_Расчет_аналитики'!AG1449=0,2&lt;='01_Вводные'!$B$297),0,'19_Расчет_аналитики'!AG1449*IF('01_Вводные'!$B$239="Да",MeanMinAge02+'19_Расчет_аналитики'!AG1571*SUMIF(ThresholdAge02,"&lt;"&amp;'19_Расчет_аналитики'!AG1571,WeightedRevAge02)-SUMIF(ThresholdAge02,"&lt;"&amp;'19_Расчет_аналитики'!AG1571,WeightedMinAge02),MAX(CapacityAge02*'01_Вводные'!$B$218*'19_Расчет_аналитики'!AG1571,MeanMinAge02)))</f>
        <v/>
      </c>
      <c r="AH1477">
        <f>IF(OR('19_Расчет_аналитики'!AH1449=0,2&lt;='01_Вводные'!$B$297),0,'19_Расчет_аналитики'!AH1449*IF('01_Вводные'!$B$239="Да",MeanMinAge02+'19_Расчет_аналитики'!AH1571*SUMIF(ThresholdAge02,"&lt;"&amp;'19_Расчет_аналитики'!AH1571,WeightedRevAge02)-SUMIF(ThresholdAge02,"&lt;"&amp;'19_Расчет_аналитики'!AH1571,WeightedMinAge02),MAX(CapacityAge02*'01_Вводные'!$B$218*'19_Расчет_аналитики'!AH1571,MeanMinAge02)))</f>
        <v/>
      </c>
      <c r="AI1477">
        <f>IF(OR('19_Расчет_аналитики'!AI1449=0,2&lt;='01_Вводные'!$B$297),0,'19_Расчет_аналитики'!AI1449*IF('01_Вводные'!$B$239="Да",MeanMinAge02+'19_Расчет_аналитики'!AI1571*SUMIF(ThresholdAge02,"&lt;"&amp;'19_Расчет_аналитики'!AI1571,WeightedRevAge02)-SUMIF(ThresholdAge02,"&lt;"&amp;'19_Расчет_аналитики'!AI1571,WeightedMinAge02),MAX(CapacityAge02*'01_Вводные'!$B$218*'19_Расчет_аналитики'!AI1571,MeanMinAge02)))</f>
        <v/>
      </c>
      <c r="AJ1477">
        <f>IF(OR('19_Расчет_аналитики'!AJ1449=0,2&lt;='01_Вводные'!$B$297),0,'19_Расчет_аналитики'!AJ1449*IF('01_Вводные'!$B$239="Да",MeanMinAge02+'19_Расчет_аналитики'!AJ1571*SUMIF(ThresholdAge02,"&lt;"&amp;'19_Расчет_аналитики'!AJ1571,WeightedRevAge02)-SUMIF(ThresholdAge02,"&lt;"&amp;'19_Расчет_аналитики'!AJ1571,WeightedMinAge02),MAX(CapacityAge02*'01_Вводные'!$B$218*'19_Расчет_аналитики'!AJ1571,MeanMinAge02)))</f>
        <v/>
      </c>
      <c r="AK1477">
        <f>IF(OR('19_Расчет_аналитики'!AK1449=0,2&lt;='01_Вводные'!$B$297),0,'19_Расчет_аналитики'!AK1449*IF('01_Вводные'!$B$239="Да",MeanMinAge02+'19_Расчет_аналитики'!AK1571*SUMIF(ThresholdAge02,"&lt;"&amp;'19_Расчет_аналитики'!AK1571,WeightedRevAge02)-SUMIF(ThresholdAge02,"&lt;"&amp;'19_Расчет_аналитики'!AK1571,WeightedMinAge02),MAX(CapacityAge02*'01_Вводные'!$B$218*'19_Расчет_аналитики'!AK1571,MeanMinAge02)))</f>
        <v/>
      </c>
      <c r="AL1477">
        <f>IF(OR('19_Расчет_аналитики'!AL1449=0,2&lt;='01_Вводные'!$B$297),0,'19_Расчет_аналитики'!AL1449*IF('01_Вводные'!$B$239="Да",MeanMinAge02+'19_Расчет_аналитики'!AL1571*SUMIF(ThresholdAge02,"&lt;"&amp;'19_Расчет_аналитики'!AL1571,WeightedRevAge02)-SUMIF(ThresholdAge02,"&lt;"&amp;'19_Расчет_аналитики'!AL1571,WeightedMinAge02),MAX(CapacityAge02*'01_Вводные'!$B$218*'19_Расчет_аналитики'!AL1571,MeanMinAge02)))</f>
        <v/>
      </c>
      <c r="AM1477">
        <f>IF(OR('19_Расчет_аналитики'!AM1449=0,2&lt;='01_Вводные'!$B$297),0,'19_Расчет_аналитики'!AM1449*IF('01_Вводные'!$B$239="Да",MeanMinAge02+'19_Расчет_аналитики'!AM1571*SUMIF(ThresholdAge02,"&lt;"&amp;'19_Расчет_аналитики'!AM1571,WeightedRevAge02)-SUMIF(ThresholdAge02,"&lt;"&amp;'19_Расчет_аналитики'!AM1571,WeightedMinAge02),MAX(CapacityAge02*'01_Вводные'!$B$218*'19_Расчет_аналитики'!AM1571,MeanMinAge02)))</f>
        <v/>
      </c>
      <c r="AN1477">
        <f>IF(OR('19_Расчет_аналитики'!AN1449=0,2&lt;='01_Вводные'!$B$297),0,'19_Расчет_аналитики'!AN1449*IF('01_Вводные'!$B$239="Да",MeanMinAge02+'19_Расчет_аналитики'!AN1571*SUMIF(ThresholdAge02,"&lt;"&amp;'19_Расчет_аналитики'!AN1571,WeightedRevAge02)-SUMIF(ThresholdAge02,"&lt;"&amp;'19_Расчет_аналитики'!AN1571,WeightedMinAge02),MAX(CapacityAge02*'01_Вводные'!$B$218*'19_Расчет_аналитики'!AN1571,MeanMinAge02)))</f>
        <v/>
      </c>
      <c r="AO1477">
        <f>IF(OR('19_Расчет_аналитики'!AO1449=0,2&lt;='01_Вводные'!$B$297),0,'19_Расчет_аналитики'!AO1449*IF('01_Вводные'!$B$239="Да",MeanMinAge02+'19_Расчет_аналитики'!AO1571*SUMIF(ThresholdAge02,"&lt;"&amp;'19_Расчет_аналитики'!AO1571,WeightedRevAge02)-SUMIF(ThresholdAge02,"&lt;"&amp;'19_Расчет_аналитики'!AO1571,WeightedMinAge02),MAX(CapacityAge02*'01_Вводные'!$B$218*'19_Расчет_аналитики'!AO1571,MeanMinAge02)))</f>
        <v/>
      </c>
      <c r="AP1477">
        <f>IF(OR('19_Расчет_аналитики'!AP1449=0,2&lt;='01_Вводные'!$B$297),0,'19_Расчет_аналитики'!AP1449*IF('01_Вводные'!$B$239="Да",MeanMinAge02+'19_Расчет_аналитики'!AP1571*SUMIF(ThresholdAge02,"&lt;"&amp;'19_Расчет_аналитики'!AP1571,WeightedRevAge02)-SUMIF(ThresholdAge02,"&lt;"&amp;'19_Расчет_аналитики'!AP1571,WeightedMinAge02),MAX(CapacityAge02*'01_Вводные'!$B$218*'19_Расчет_аналитики'!AP1571,MeanMinAge02)))</f>
        <v/>
      </c>
      <c r="AQ1477">
        <f>IF(OR('19_Расчет_аналитики'!AQ1449=0,2&lt;='01_Вводные'!$B$297),0,'19_Расчет_аналитики'!AQ1449*IF('01_Вводные'!$B$239="Да",MeanMinAge02+'19_Расчет_аналитики'!AQ1571*SUMIF(ThresholdAge02,"&lt;"&amp;'19_Расчет_аналитики'!AQ1571,WeightedRevAge02)-SUMIF(ThresholdAge02,"&lt;"&amp;'19_Расчет_аналитики'!AQ1571,WeightedMinAge02),MAX(CapacityAge02*'01_Вводные'!$B$218*'19_Расчет_аналитики'!AQ1571,MeanMinAge02)))</f>
        <v/>
      </c>
      <c r="AR1477">
        <f>IF(OR('19_Расчет_аналитики'!AR1449=0,2&lt;='01_Вводные'!$B$297),0,'19_Расчет_аналитики'!AR1449*IF('01_Вводные'!$B$239="Да",MeanMinAge02+'19_Расчет_аналитики'!AR1571*SUMIF(ThresholdAge02,"&lt;"&amp;'19_Расчет_аналитики'!AR1571,WeightedRevAge02)-SUMIF(ThresholdAge02,"&lt;"&amp;'19_Расчет_аналитики'!AR1571,WeightedMinAge02),MAX(CapacityAge02*'01_Вводные'!$B$218*'19_Расчет_аналитики'!AR1571,MeanMinAge02)))</f>
        <v/>
      </c>
      <c r="AS1477">
        <f>IF(OR('19_Расчет_аналитики'!AS1449=0,2&lt;='01_Вводные'!$B$297),0,'19_Расчет_аналитики'!AS1449*IF('01_Вводные'!$B$239="Да",MeanMinAge02+'19_Расчет_аналитики'!AS1571*SUMIF(ThresholdAge02,"&lt;"&amp;'19_Расчет_аналитики'!AS1571,WeightedRevAge02)-SUMIF(ThresholdAge02,"&lt;"&amp;'19_Расчет_аналитики'!AS1571,WeightedMinAge02),MAX(CapacityAge02*'01_Вводные'!$B$218*'19_Расчет_аналитики'!AS1571,MeanMinAge02)))</f>
        <v/>
      </c>
      <c r="AT1477">
        <f>IF(OR('19_Расчет_аналитики'!AT1449=0,2&lt;='01_Вводные'!$B$297),0,'19_Расчет_аналитики'!AT1449*IF('01_Вводные'!$B$239="Да",MeanMinAge02+'19_Расчет_аналитики'!AT1571*SUMIF(ThresholdAge02,"&lt;"&amp;'19_Расчет_аналитики'!AT1571,WeightedRevAge02)-SUMIF(ThresholdAge02,"&lt;"&amp;'19_Расчет_аналитики'!AT1571,WeightedMinAge02),MAX(CapacityAge02*'01_Вводные'!$B$218*'19_Расчет_аналитики'!AT1571,MeanMinAge02)))</f>
        <v/>
      </c>
      <c r="AU1477">
        <f>IF(OR('19_Расчет_аналитики'!AU1449=0,2&lt;='01_Вводные'!$B$297),0,'19_Расчет_аналитики'!AU1449*IF('01_Вводные'!$B$239="Да",MeanMinAge02+'19_Расчет_аналитики'!AU1571*SUMIF(ThresholdAge02,"&lt;"&amp;'19_Расчет_аналитики'!AU1571,WeightedRevAge02)-SUMIF(ThresholdAge02,"&lt;"&amp;'19_Расчет_аналитики'!AU1571,WeightedMinAge02),MAX(CapacityAge02*'01_Вводные'!$B$218*'19_Расчет_аналитики'!AU1571,MeanMinAge02)))</f>
        <v/>
      </c>
      <c r="AV1477">
        <f>IF(OR('19_Расчет_аналитики'!AV1449=0,2&lt;='01_Вводные'!$B$297),0,'19_Расчет_аналитики'!AV1449*IF('01_Вводные'!$B$239="Да",MeanMinAge02+'19_Расчет_аналитики'!AV1571*SUMIF(ThresholdAge02,"&lt;"&amp;'19_Расчет_аналитики'!AV1571,WeightedRevAge02)-SUMIF(ThresholdAge02,"&lt;"&amp;'19_Расчет_аналитики'!AV1571,WeightedMinAge02),MAX(CapacityAge02*'01_Вводные'!$B$218*'19_Расчет_аналитики'!AV1571,MeanMinAge02)))</f>
        <v/>
      </c>
      <c r="AW1477">
        <f>IF(OR('19_Расчет_аналитики'!AW1449=0,2&lt;='01_Вводные'!$B$297),0,'19_Расчет_аналитики'!AW1449*IF('01_Вводные'!$B$239="Да",MeanMinAge02+'19_Расчет_аналитики'!AW1571*SUMIF(ThresholdAge02,"&lt;"&amp;'19_Расчет_аналитики'!AW1571,WeightedRevAge02)-SUMIF(ThresholdAge02,"&lt;"&amp;'19_Расчет_аналитики'!AW1571,WeightedMinAge02),MAX(CapacityAge02*'01_Вводные'!$B$218*'19_Расчет_аналитики'!AW1571,MeanMinAge02)))</f>
        <v/>
      </c>
      <c r="AX1477">
        <f>IF(OR('19_Расчет_аналитики'!AX1449=0,2&lt;='01_Вводные'!$B$297),0,'19_Расчет_аналитики'!AX1449*IF('01_Вводные'!$B$239="Да",MeanMinAge02+'19_Расчет_аналитики'!AX1571*SUMIF(ThresholdAge02,"&lt;"&amp;'19_Расчет_аналитики'!AX1571,WeightedRevAge02)-SUMIF(ThresholdAge02,"&lt;"&amp;'19_Расчет_аналитики'!AX1571,WeightedMinAge02),MAX(CapacityAge02*'01_Вводные'!$B$218*'19_Расчет_аналитики'!AX1571,MeanMinAge02)))</f>
        <v/>
      </c>
      <c r="AY1477">
        <f>IF(OR('19_Расчет_аналитики'!AY1449=0,2&lt;='01_Вводные'!$B$297),0,'19_Расчет_аналитики'!AY1449*IF('01_Вводные'!$B$239="Да",MeanMinAge02+'19_Расчет_аналитики'!AY1571*SUMIF(ThresholdAge02,"&lt;"&amp;'19_Расчет_аналитики'!AY1571,WeightedRevAge02)-SUMIF(ThresholdAge02,"&lt;"&amp;'19_Расчет_аналитики'!AY1571,WeightedMinAge02),MAX(CapacityAge02*'01_Вводные'!$B$218*'19_Расчет_аналитики'!AY1571,MeanMinAge02)))</f>
        <v/>
      </c>
      <c r="AZ1477">
        <f>IF(OR('19_Расчет_аналитики'!AZ1449=0,2&lt;='01_Вводные'!$B$297),0,'19_Расчет_аналитики'!AZ1449*IF('01_Вводные'!$B$239="Да",MeanMinAge02+'19_Расчет_аналитики'!AZ1571*SUMIF(ThresholdAge02,"&lt;"&amp;'19_Расчет_аналитики'!AZ1571,WeightedRevAge02)-SUMIF(ThresholdAge02,"&lt;"&amp;'19_Расчет_аналитики'!AZ1571,WeightedMinAge02),MAX(CapacityAge02*'01_Вводные'!$B$218*'19_Расчет_аналитики'!AZ1571,MeanMinAge02)))</f>
        <v/>
      </c>
      <c r="BA1477">
        <f>IF(OR('19_Расчет_аналитики'!BA1449=0,2&lt;='01_Вводные'!$B$297),0,'19_Расчет_аналитики'!BA1449*IF('01_Вводные'!$B$239="Да",MeanMinAge02+'19_Расчет_аналитики'!BA1571*SUMIF(ThresholdAge02,"&lt;"&amp;'19_Расчет_аналитики'!BA1571,WeightedRevAge02)-SUMIF(ThresholdAge02,"&lt;"&amp;'19_Расчет_аналитики'!BA1571,WeightedMinAge02),MAX(CapacityAge02*'01_Вводные'!$B$218*'19_Расчет_аналитики'!BA1571,MeanMinAge02)))</f>
        <v/>
      </c>
      <c r="BB1477">
        <f>IF(OR('19_Расчет_аналитики'!BB1449=0,2&lt;='01_Вводные'!$B$297),0,'19_Расчет_аналитики'!BB1449*IF('01_Вводные'!$B$239="Да",MeanMinAge02+'19_Расчет_аналитики'!BB1571*SUMIF(ThresholdAge02,"&lt;"&amp;'19_Расчет_аналитики'!BB1571,WeightedRevAge02)-SUMIF(ThresholdAge02,"&lt;"&amp;'19_Расчет_аналитики'!BB1571,WeightedMinAge02),MAX(CapacityAge02*'01_Вводные'!$B$218*'19_Расчет_аналитики'!BB1571,MeanMinAge02)))</f>
        <v/>
      </c>
      <c r="BC1477">
        <f>IF(OR('19_Расчет_аналитики'!BC1449=0,2&lt;='01_Вводные'!$B$297),0,'19_Расчет_аналитики'!BC1449*IF('01_Вводные'!$B$239="Да",MeanMinAge02+'19_Расчет_аналитики'!BC1571*SUMIF(ThresholdAge02,"&lt;"&amp;'19_Расчет_аналитики'!BC1571,WeightedRevAge02)-SUMIF(ThresholdAge02,"&lt;"&amp;'19_Расчет_аналитики'!BC1571,WeightedMinAge02),MAX(CapacityAge02*'01_Вводные'!$B$218*'19_Расчет_аналитики'!BC1571,MeanMinAge02)))</f>
        <v/>
      </c>
      <c r="BD1477">
        <f>IF(OR('19_Расчет_аналитики'!BD1449=0,2&lt;='01_Вводные'!$B$297),0,'19_Расчет_аналитики'!BD1449*IF('01_Вводные'!$B$239="Да",MeanMinAge02+'19_Расчет_аналитики'!BD1571*SUMIF(ThresholdAge02,"&lt;"&amp;'19_Расчет_аналитики'!BD1571,WeightedRevAge02)-SUMIF(ThresholdAge02,"&lt;"&amp;'19_Расчет_аналитики'!BD1571,WeightedMinAge02),MAX(CapacityAge02*'01_Вводные'!$B$218*'19_Расчет_аналитики'!BD1571,MeanMinAge02)))</f>
        <v/>
      </c>
      <c r="BE1477">
        <f>IF(OR('19_Расчет_аналитики'!BE1449=0,2&lt;='01_Вводные'!$B$297),0,'19_Расчет_аналитики'!BE1449*IF('01_Вводные'!$B$239="Да",MeanMinAge02+'19_Расчет_аналитики'!BE1571*SUMIF(ThresholdAge02,"&lt;"&amp;'19_Расчет_аналитики'!BE1571,WeightedRevAge02)-SUMIF(ThresholdAge02,"&lt;"&amp;'19_Расчет_аналитики'!BE1571,WeightedMinAge02),MAX(CapacityAge02*'01_Вводные'!$B$218*'19_Расчет_аналитики'!BE1571,MeanMinAge02)))</f>
        <v/>
      </c>
      <c r="BF1477">
        <f>IF(OR('19_Расчет_аналитики'!BF1449=0,2&lt;='01_Вводные'!$B$297),0,'19_Расчет_аналитики'!BF1449*IF('01_Вводные'!$B$239="Да",MeanMinAge02+'19_Расчет_аналитики'!BF1571*SUMIF(ThresholdAge02,"&lt;"&amp;'19_Расчет_аналитики'!BF1571,WeightedRevAge02)-SUMIF(ThresholdAge02,"&lt;"&amp;'19_Расчет_аналитики'!BF1571,WeightedMinAge02),MAX(CapacityAge02*'01_Вводные'!$B$218*'19_Расчет_аналитики'!BF1571,MeanMinAge02)))</f>
        <v/>
      </c>
      <c r="BG1477">
        <f>IF(OR('19_Расчет_аналитики'!BG1449=0,2&lt;='01_Вводные'!$B$297),0,'19_Расчет_аналитики'!BG1449*IF('01_Вводные'!$B$239="Да",MeanMinAge02+'19_Расчет_аналитики'!BG1571*SUMIF(ThresholdAge02,"&lt;"&amp;'19_Расчет_аналитики'!BG1571,WeightedRevAge02)-SUMIF(ThresholdAge02,"&lt;"&amp;'19_Расчет_аналитики'!BG1571,WeightedMinAge02),MAX(CapacityAge02*'01_Вводные'!$B$218*'19_Расчет_аналитики'!BG1571,MeanMinAge02)))</f>
        <v/>
      </c>
      <c r="BH1477">
        <f>IF(OR('19_Расчет_аналитики'!BH1449=0,2&lt;='01_Вводные'!$B$297),0,'19_Расчет_аналитики'!BH1449*IF('01_Вводные'!$B$239="Да",MeanMinAge02+'19_Расчет_аналитики'!BH1571*SUMIF(ThresholdAge02,"&lt;"&amp;'19_Расчет_аналитики'!BH1571,WeightedRevAge02)-SUMIF(ThresholdAge02,"&lt;"&amp;'19_Расчет_аналитики'!BH1571,WeightedMinAge02),MAX(CapacityAge02*'01_Вводные'!$B$218*'19_Расчет_аналитики'!BH1571,MeanMinAge02)))</f>
        <v/>
      </c>
      <c r="BI1477">
        <f>IF(OR('19_Расчет_аналитики'!BI1449=0,2&lt;='01_Вводные'!$B$297),0,'19_Расчет_аналитики'!BI1449*IF('01_Вводные'!$B$239="Да",MeanMinAge02+'19_Расчет_аналитики'!BI1571*SUMIF(ThresholdAge02,"&lt;"&amp;'19_Расчет_аналитики'!BI1571,WeightedRevAge02)-SUMIF(ThresholdAge02,"&lt;"&amp;'19_Расчет_аналитики'!BI1571,WeightedMinAge02),MAX(CapacityAge02*'01_Вводные'!$B$218*'19_Расчет_аналитики'!BI1571,MeanMinAge02)))</f>
        <v/>
      </c>
      <c r="BJ1477">
        <f>IF(OR('19_Расчет_аналитики'!BJ1449=0,2&lt;='01_Вводные'!$B$297),0,'19_Расчет_аналитики'!BJ1449*IF('01_Вводные'!$B$239="Да",MeanMinAge02+'19_Расчет_аналитики'!BJ1571*SUMIF(ThresholdAge02,"&lt;"&amp;'19_Расчет_аналитики'!BJ1571,WeightedRevAge02)-SUMIF(ThresholdAge02,"&lt;"&amp;'19_Расчет_аналитики'!BJ1571,WeightedMinAge02),MAX(CapacityAge02*'01_Вводные'!$B$218*'19_Расчет_аналитики'!BJ1571,MeanMinAge02)))</f>
        <v/>
      </c>
      <c r="BK1477">
        <f>IF(OR('19_Расчет_аналитики'!BK1449=0,2&lt;='01_Вводные'!$B$297),0,'19_Расчет_аналитики'!BK1449*IF('01_Вводные'!$B$239="Да",MeanMinAge02+'19_Расчет_аналитики'!BK1571*SUMIF(ThresholdAge02,"&lt;"&amp;'19_Расчет_аналитики'!BK1571,WeightedRevAge02)-SUMIF(ThresholdAge02,"&lt;"&amp;'19_Расчет_аналитики'!BK1571,WeightedMinAge02),MAX(CapacityAge02*'01_Вводные'!$B$218*'19_Расчет_аналитики'!BK1571,MeanMinAge02)))</f>
        <v/>
      </c>
      <c r="BL1477">
        <f>IF(OR('19_Расчет_аналитики'!BL1449=0,2&lt;='01_Вводные'!$B$297),0,'19_Расчет_аналитики'!BL1449*IF('01_Вводные'!$B$239="Да",MeanMinAge02+'19_Расчет_аналитики'!BL1571*SUMIF(ThresholdAge02,"&lt;"&amp;'19_Расчет_аналитики'!BL1571,WeightedRevAge02)-SUMIF(ThresholdAge02,"&lt;"&amp;'19_Расчет_аналитики'!BL1571,WeightedMinAge02),MAX(CapacityAge02*'01_Вводные'!$B$218*'19_Расчет_аналитики'!BL1571,MeanMinAge02)))</f>
        <v/>
      </c>
      <c r="BM1477">
        <f>IF(OR('19_Расчет_аналитики'!BM1449=0,2&lt;='01_Вводные'!$B$297),0,'19_Расчет_аналитики'!BM1449*IF('01_Вводные'!$B$239="Да",MeanMinAge02+'19_Расчет_аналитики'!BM1571*SUMIF(ThresholdAge02,"&lt;"&amp;'19_Расчет_аналитики'!BM1571,WeightedRevAge02)-SUMIF(ThresholdAge02,"&lt;"&amp;'19_Расчет_аналитики'!BM1571,WeightedMinAge02),MAX(CapacityAge02*'01_Вводные'!$B$218*'19_Расчет_аналитики'!BM1571,MeanMinAge02)))</f>
        <v/>
      </c>
      <c r="BN1477">
        <f>IF(OR('19_Расчет_аналитики'!BN1449=0,2&lt;='01_Вводные'!$B$297),0,'19_Расчет_аналитики'!BN1449*IF('01_Вводные'!$B$239="Да",MeanMinAge02+'19_Расчет_аналитики'!BN1571*SUMIF(ThresholdAge02,"&lt;"&amp;'19_Расчет_аналитики'!BN1571,WeightedRevAge02)-SUMIF(ThresholdAge02,"&lt;"&amp;'19_Расчет_аналитики'!BN1571,WeightedMinAge02),MAX(CapacityAge02*'01_Вводные'!$B$218*'19_Расчет_аналитики'!BN1571,MeanMinAge02)))</f>
        <v/>
      </c>
      <c r="BO1477">
        <f>IF(OR('19_Расчет_аналитики'!BO1449=0,2&lt;='01_Вводные'!$B$297),0,'19_Расчет_аналитики'!BO1449*IF('01_Вводные'!$B$239="Да",MeanMinAge02+'19_Расчет_аналитики'!BO1571*SUMIF(ThresholdAge02,"&lt;"&amp;'19_Расчет_аналитики'!BO1571,WeightedRevAge02)-SUMIF(ThresholdAge02,"&lt;"&amp;'19_Расчет_аналитики'!BO1571,WeightedMinAge02),MAX(CapacityAge02*'01_Вводные'!$B$218*'19_Расчет_аналитики'!BO1571,MeanMinAge02)))</f>
        <v/>
      </c>
    </row>
    <row r="1478">
      <c r="B1478">
        <f>IF(OR('06_Сеть_и_дети'!B83=0,3&lt;='01_Вводные'!$B$297),0,'06_Сеть_и_дети'!B83*IF('01_Вводные'!$B$239="Да",MeanMinAge03+'19_Расчет_аналитики'!B1571*SUMIF(ThresholdAge03,"&lt;"&amp;'19_Расчет_аналитики'!B1571,WeightedRevAge03)-SUMIF(ThresholdAge03,"&lt;"&amp;'19_Расчет_аналитики'!B1571,WeightedMinAge03),MAX(CapacityAge03*'01_Вводные'!$B$218*'19_Расчет_аналитики'!B1571,MeanMinAge03)))</f>
        <v/>
      </c>
      <c r="C1478">
        <f>IF(OR('06_Сеть_и_дети'!C83=0,3&lt;='01_Вводные'!$B$297),0,'06_Сеть_и_дети'!C83*IF('01_Вводные'!$B$239="Да",MeanMinAge03+'19_Расчет_аналитики'!C1571*SUMIF(ThresholdAge03,"&lt;"&amp;'19_Расчет_аналитики'!C1571,WeightedRevAge03)-SUMIF(ThresholdAge03,"&lt;"&amp;'19_Расчет_аналитики'!C1571,WeightedMinAge03),MAX(CapacityAge03*'01_Вводные'!$B$218*'19_Расчет_аналитики'!C1571,MeanMinAge03)))</f>
        <v/>
      </c>
      <c r="D1478">
        <f>IF(OR('19_Расчет_аналитики'!D1450=0,3&lt;='01_Вводные'!$B$297),0,'19_Расчет_аналитики'!D1450*IF('01_Вводные'!$B$239="Да",MeanMinAge03+'19_Расчет_аналитики'!D1571*SUMIF(ThresholdAge03,"&lt;"&amp;'19_Расчет_аналитики'!D1571,WeightedRevAge03)-SUMIF(ThresholdAge03,"&lt;"&amp;'19_Расчет_аналитики'!D1571,WeightedMinAge03),MAX(CapacityAge03*'01_Вводные'!$B$218*'19_Расчет_аналитики'!D1571,MeanMinAge03)))</f>
        <v/>
      </c>
      <c r="E1478">
        <f>IF(OR('19_Расчет_аналитики'!E1450=0,3&lt;='01_Вводные'!$B$297),0,'19_Расчет_аналитики'!E1450*IF('01_Вводные'!$B$239="Да",MeanMinAge03+'19_Расчет_аналитики'!E1571*SUMIF(ThresholdAge03,"&lt;"&amp;'19_Расчет_аналитики'!E1571,WeightedRevAge03)-SUMIF(ThresholdAge03,"&lt;"&amp;'19_Расчет_аналитики'!E1571,WeightedMinAge03),MAX(CapacityAge03*'01_Вводные'!$B$218*'19_Расчет_аналитики'!E1571,MeanMinAge03)))</f>
        <v/>
      </c>
      <c r="F1478">
        <f>IF(OR('19_Расчет_аналитики'!F1450=0,3&lt;='01_Вводные'!$B$297),0,'19_Расчет_аналитики'!F1450*IF('01_Вводные'!$B$239="Да",MeanMinAge03+'19_Расчет_аналитики'!F1571*SUMIF(ThresholdAge03,"&lt;"&amp;'19_Расчет_аналитики'!F1571,WeightedRevAge03)-SUMIF(ThresholdAge03,"&lt;"&amp;'19_Расчет_аналитики'!F1571,WeightedMinAge03),MAX(CapacityAge03*'01_Вводные'!$B$218*'19_Расчет_аналитики'!F1571,MeanMinAge03)))</f>
        <v/>
      </c>
      <c r="G1478">
        <f>IF(OR('19_Расчет_аналитики'!G1450=0,3&lt;='01_Вводные'!$B$297),0,'19_Расчет_аналитики'!G1450*IF('01_Вводные'!$B$239="Да",MeanMinAge03+'19_Расчет_аналитики'!G1571*SUMIF(ThresholdAge03,"&lt;"&amp;'19_Расчет_аналитики'!G1571,WeightedRevAge03)-SUMIF(ThresholdAge03,"&lt;"&amp;'19_Расчет_аналитики'!G1571,WeightedMinAge03),MAX(CapacityAge03*'01_Вводные'!$B$218*'19_Расчет_аналитики'!G1571,MeanMinAge03)))</f>
        <v/>
      </c>
      <c r="H1478">
        <f>IF(OR('19_Расчет_аналитики'!H1450=0,3&lt;='01_Вводные'!$B$297),0,'19_Расчет_аналитики'!H1450*IF('01_Вводные'!$B$239="Да",MeanMinAge03+'19_Расчет_аналитики'!H1571*SUMIF(ThresholdAge03,"&lt;"&amp;'19_Расчет_аналитики'!H1571,WeightedRevAge03)-SUMIF(ThresholdAge03,"&lt;"&amp;'19_Расчет_аналитики'!H1571,WeightedMinAge03),MAX(CapacityAge03*'01_Вводные'!$B$218*'19_Расчет_аналитики'!H1571,MeanMinAge03)))</f>
        <v/>
      </c>
      <c r="I1478">
        <f>IF(OR('19_Расчет_аналитики'!I1450=0,3&lt;='01_Вводные'!$B$297),0,'19_Расчет_аналитики'!I1450*IF('01_Вводные'!$B$239="Да",MeanMinAge03+'19_Расчет_аналитики'!I1571*SUMIF(ThresholdAge03,"&lt;"&amp;'19_Расчет_аналитики'!I1571,WeightedRevAge03)-SUMIF(ThresholdAge03,"&lt;"&amp;'19_Расчет_аналитики'!I1571,WeightedMinAge03),MAX(CapacityAge03*'01_Вводные'!$B$218*'19_Расчет_аналитики'!I1571,MeanMinAge03)))</f>
        <v/>
      </c>
      <c r="J1478">
        <f>IF(OR('19_Расчет_аналитики'!J1450=0,3&lt;='01_Вводные'!$B$297),0,'19_Расчет_аналитики'!J1450*IF('01_Вводные'!$B$239="Да",MeanMinAge03+'19_Расчет_аналитики'!J1571*SUMIF(ThresholdAge03,"&lt;"&amp;'19_Расчет_аналитики'!J1571,WeightedRevAge03)-SUMIF(ThresholdAge03,"&lt;"&amp;'19_Расчет_аналитики'!J1571,WeightedMinAge03),MAX(CapacityAge03*'01_Вводные'!$B$218*'19_Расчет_аналитики'!J1571,MeanMinAge03)))</f>
        <v/>
      </c>
      <c r="K1478">
        <f>IF(OR('19_Расчет_аналитики'!K1450=0,3&lt;='01_Вводные'!$B$297),0,'19_Расчет_аналитики'!K1450*IF('01_Вводные'!$B$239="Да",MeanMinAge03+'19_Расчет_аналитики'!K1571*SUMIF(ThresholdAge03,"&lt;"&amp;'19_Расчет_аналитики'!K1571,WeightedRevAge03)-SUMIF(ThresholdAge03,"&lt;"&amp;'19_Расчет_аналитики'!K1571,WeightedMinAge03),MAX(CapacityAge03*'01_Вводные'!$B$218*'19_Расчет_аналитики'!K1571,MeanMinAge03)))</f>
        <v/>
      </c>
      <c r="L1478">
        <f>IF(OR('19_Расчет_аналитики'!L1450=0,3&lt;='01_Вводные'!$B$297),0,'19_Расчет_аналитики'!L1450*IF('01_Вводные'!$B$239="Да",MeanMinAge03+'19_Расчет_аналитики'!L1571*SUMIF(ThresholdAge03,"&lt;"&amp;'19_Расчет_аналитики'!L1571,WeightedRevAge03)-SUMIF(ThresholdAge03,"&lt;"&amp;'19_Расчет_аналитики'!L1571,WeightedMinAge03),MAX(CapacityAge03*'01_Вводные'!$B$218*'19_Расчет_аналитики'!L1571,MeanMinAge03)))</f>
        <v/>
      </c>
      <c r="M1478">
        <f>IF(OR('19_Расчет_аналитики'!M1450=0,3&lt;='01_Вводные'!$B$297),0,'19_Расчет_аналитики'!M1450*IF('01_Вводные'!$B$239="Да",MeanMinAge03+'19_Расчет_аналитики'!M1571*SUMIF(ThresholdAge03,"&lt;"&amp;'19_Расчет_аналитики'!M1571,WeightedRevAge03)-SUMIF(ThresholdAge03,"&lt;"&amp;'19_Расчет_аналитики'!M1571,WeightedMinAge03),MAX(CapacityAge03*'01_Вводные'!$B$218*'19_Расчет_аналитики'!M1571,MeanMinAge03)))</f>
        <v/>
      </c>
      <c r="N1478">
        <f>IF(OR('19_Расчет_аналитики'!N1450=0,3&lt;='01_Вводные'!$B$297),0,'19_Расчет_аналитики'!N1450*IF('01_Вводные'!$B$239="Да",MeanMinAge03+'19_Расчет_аналитики'!N1571*SUMIF(ThresholdAge03,"&lt;"&amp;'19_Расчет_аналитики'!N1571,WeightedRevAge03)-SUMIF(ThresholdAge03,"&lt;"&amp;'19_Расчет_аналитики'!N1571,WeightedMinAge03),MAX(CapacityAge03*'01_Вводные'!$B$218*'19_Расчет_аналитики'!N1571,MeanMinAge03)))</f>
        <v/>
      </c>
      <c r="O1478">
        <f>IF(OR('19_Расчет_аналитики'!O1450=0,3&lt;='01_Вводные'!$B$297),0,'19_Расчет_аналитики'!O1450*IF('01_Вводные'!$B$239="Да",MeanMinAge03+'19_Расчет_аналитики'!O1571*SUMIF(ThresholdAge03,"&lt;"&amp;'19_Расчет_аналитики'!O1571,WeightedRevAge03)-SUMIF(ThresholdAge03,"&lt;"&amp;'19_Расчет_аналитики'!O1571,WeightedMinAge03),MAX(CapacityAge03*'01_Вводные'!$B$218*'19_Расчет_аналитики'!O1571,MeanMinAge03)))</f>
        <v/>
      </c>
      <c r="P1478">
        <f>IF(OR('19_Расчет_аналитики'!P1450=0,3&lt;='01_Вводные'!$B$297),0,'19_Расчет_аналитики'!P1450*IF('01_Вводные'!$B$239="Да",MeanMinAge03+'19_Расчет_аналитики'!P1571*SUMIF(ThresholdAge03,"&lt;"&amp;'19_Расчет_аналитики'!P1571,WeightedRevAge03)-SUMIF(ThresholdAge03,"&lt;"&amp;'19_Расчет_аналитики'!P1571,WeightedMinAge03),MAX(CapacityAge03*'01_Вводные'!$B$218*'19_Расчет_аналитики'!P1571,MeanMinAge03)))</f>
        <v/>
      </c>
      <c r="Q1478">
        <f>IF(OR('19_Расчет_аналитики'!Q1450=0,3&lt;='01_Вводные'!$B$297),0,'19_Расчет_аналитики'!Q1450*IF('01_Вводные'!$B$239="Да",MeanMinAge03+'19_Расчет_аналитики'!Q1571*SUMIF(ThresholdAge03,"&lt;"&amp;'19_Расчет_аналитики'!Q1571,WeightedRevAge03)-SUMIF(ThresholdAge03,"&lt;"&amp;'19_Расчет_аналитики'!Q1571,WeightedMinAge03),MAX(CapacityAge03*'01_Вводные'!$B$218*'19_Расчет_аналитики'!Q1571,MeanMinAge03)))</f>
        <v/>
      </c>
      <c r="R1478">
        <f>IF(OR('19_Расчет_аналитики'!R1450=0,3&lt;='01_Вводные'!$B$297),0,'19_Расчет_аналитики'!R1450*IF('01_Вводные'!$B$239="Да",MeanMinAge03+'19_Расчет_аналитики'!R1571*SUMIF(ThresholdAge03,"&lt;"&amp;'19_Расчет_аналитики'!R1571,WeightedRevAge03)-SUMIF(ThresholdAge03,"&lt;"&amp;'19_Расчет_аналитики'!R1571,WeightedMinAge03),MAX(CapacityAge03*'01_Вводные'!$B$218*'19_Расчет_аналитики'!R1571,MeanMinAge03)))</f>
        <v/>
      </c>
      <c r="S1478">
        <f>IF(OR('19_Расчет_аналитики'!S1450=0,3&lt;='01_Вводные'!$B$297),0,'19_Расчет_аналитики'!S1450*IF('01_Вводные'!$B$239="Да",MeanMinAge03+'19_Расчет_аналитики'!S1571*SUMIF(ThresholdAge03,"&lt;"&amp;'19_Расчет_аналитики'!S1571,WeightedRevAge03)-SUMIF(ThresholdAge03,"&lt;"&amp;'19_Расчет_аналитики'!S1571,WeightedMinAge03),MAX(CapacityAge03*'01_Вводные'!$B$218*'19_Расчет_аналитики'!S1571,MeanMinAge03)))</f>
        <v/>
      </c>
      <c r="T1478">
        <f>IF(OR('19_Расчет_аналитики'!T1450=0,3&lt;='01_Вводные'!$B$297),0,'19_Расчет_аналитики'!T1450*IF('01_Вводные'!$B$239="Да",MeanMinAge03+'19_Расчет_аналитики'!T1571*SUMIF(ThresholdAge03,"&lt;"&amp;'19_Расчет_аналитики'!T1571,WeightedRevAge03)-SUMIF(ThresholdAge03,"&lt;"&amp;'19_Расчет_аналитики'!T1571,WeightedMinAge03),MAX(CapacityAge03*'01_Вводные'!$B$218*'19_Расчет_аналитики'!T1571,MeanMinAge03)))</f>
        <v/>
      </c>
      <c r="U1478">
        <f>IF(OR('19_Расчет_аналитики'!U1450=0,3&lt;='01_Вводные'!$B$297),0,'19_Расчет_аналитики'!U1450*IF('01_Вводные'!$B$239="Да",MeanMinAge03+'19_Расчет_аналитики'!U1571*SUMIF(ThresholdAge03,"&lt;"&amp;'19_Расчет_аналитики'!U1571,WeightedRevAge03)-SUMIF(ThresholdAge03,"&lt;"&amp;'19_Расчет_аналитики'!U1571,WeightedMinAge03),MAX(CapacityAge03*'01_Вводные'!$B$218*'19_Расчет_аналитики'!U1571,MeanMinAge03)))</f>
        <v/>
      </c>
      <c r="V1478">
        <f>IF(OR('19_Расчет_аналитики'!V1450=0,3&lt;='01_Вводные'!$B$297),0,'19_Расчет_аналитики'!V1450*IF('01_Вводные'!$B$239="Да",MeanMinAge03+'19_Расчет_аналитики'!V1571*SUMIF(ThresholdAge03,"&lt;"&amp;'19_Расчет_аналитики'!V1571,WeightedRevAge03)-SUMIF(ThresholdAge03,"&lt;"&amp;'19_Расчет_аналитики'!V1571,WeightedMinAge03),MAX(CapacityAge03*'01_Вводные'!$B$218*'19_Расчет_аналитики'!V1571,MeanMinAge03)))</f>
        <v/>
      </c>
      <c r="W1478">
        <f>IF(OR('19_Расчет_аналитики'!W1450=0,3&lt;='01_Вводные'!$B$297),0,'19_Расчет_аналитики'!W1450*IF('01_Вводные'!$B$239="Да",MeanMinAge03+'19_Расчет_аналитики'!W1571*SUMIF(ThresholdAge03,"&lt;"&amp;'19_Расчет_аналитики'!W1571,WeightedRevAge03)-SUMIF(ThresholdAge03,"&lt;"&amp;'19_Расчет_аналитики'!W1571,WeightedMinAge03),MAX(CapacityAge03*'01_Вводные'!$B$218*'19_Расчет_аналитики'!W1571,MeanMinAge03)))</f>
        <v/>
      </c>
      <c r="X1478">
        <f>IF(OR('19_Расчет_аналитики'!X1450=0,3&lt;='01_Вводные'!$B$297),0,'19_Расчет_аналитики'!X1450*IF('01_Вводные'!$B$239="Да",MeanMinAge03+'19_Расчет_аналитики'!X1571*SUMIF(ThresholdAge03,"&lt;"&amp;'19_Расчет_аналитики'!X1571,WeightedRevAge03)-SUMIF(ThresholdAge03,"&lt;"&amp;'19_Расчет_аналитики'!X1571,WeightedMinAge03),MAX(CapacityAge03*'01_Вводные'!$B$218*'19_Расчет_аналитики'!X1571,MeanMinAge03)))</f>
        <v/>
      </c>
      <c r="Y1478">
        <f>IF(OR('19_Расчет_аналитики'!Y1450=0,3&lt;='01_Вводные'!$B$297),0,'19_Расчет_аналитики'!Y1450*IF('01_Вводные'!$B$239="Да",MeanMinAge03+'19_Расчет_аналитики'!Y1571*SUMIF(ThresholdAge03,"&lt;"&amp;'19_Расчет_аналитики'!Y1571,WeightedRevAge03)-SUMIF(ThresholdAge03,"&lt;"&amp;'19_Расчет_аналитики'!Y1571,WeightedMinAge03),MAX(CapacityAge03*'01_Вводные'!$B$218*'19_Расчет_аналитики'!Y1571,MeanMinAge03)))</f>
        <v/>
      </c>
      <c r="Z1478">
        <f>IF(OR('19_Расчет_аналитики'!Z1450=0,3&lt;='01_Вводные'!$B$297),0,'19_Расчет_аналитики'!Z1450*IF('01_Вводные'!$B$239="Да",MeanMinAge03+'19_Расчет_аналитики'!Z1571*SUMIF(ThresholdAge03,"&lt;"&amp;'19_Расчет_аналитики'!Z1571,WeightedRevAge03)-SUMIF(ThresholdAge03,"&lt;"&amp;'19_Расчет_аналитики'!Z1571,WeightedMinAge03),MAX(CapacityAge03*'01_Вводные'!$B$218*'19_Расчет_аналитики'!Z1571,MeanMinAge03)))</f>
        <v/>
      </c>
      <c r="AA1478">
        <f>IF(OR('19_Расчет_аналитики'!AA1450=0,3&lt;='01_Вводные'!$B$297),0,'19_Расчет_аналитики'!AA1450*IF('01_Вводные'!$B$239="Да",MeanMinAge03+'19_Расчет_аналитики'!AA1571*SUMIF(ThresholdAge03,"&lt;"&amp;'19_Расчет_аналитики'!AA1571,WeightedRevAge03)-SUMIF(ThresholdAge03,"&lt;"&amp;'19_Расчет_аналитики'!AA1571,WeightedMinAge03),MAX(CapacityAge03*'01_Вводные'!$B$218*'19_Расчет_аналитики'!AA1571,MeanMinAge03)))</f>
        <v/>
      </c>
      <c r="AB1478">
        <f>IF(OR('19_Расчет_аналитики'!AB1450=0,3&lt;='01_Вводные'!$B$297),0,'19_Расчет_аналитики'!AB1450*IF('01_Вводные'!$B$239="Да",MeanMinAge03+'19_Расчет_аналитики'!AB1571*SUMIF(ThresholdAge03,"&lt;"&amp;'19_Расчет_аналитики'!AB1571,WeightedRevAge03)-SUMIF(ThresholdAge03,"&lt;"&amp;'19_Расчет_аналитики'!AB1571,WeightedMinAge03),MAX(CapacityAge03*'01_Вводные'!$B$218*'19_Расчет_аналитики'!AB1571,MeanMinAge03)))</f>
        <v/>
      </c>
      <c r="AC1478">
        <f>IF(OR('19_Расчет_аналитики'!AC1450=0,3&lt;='01_Вводные'!$B$297),0,'19_Расчет_аналитики'!AC1450*IF('01_Вводные'!$B$239="Да",MeanMinAge03+'19_Расчет_аналитики'!AC1571*SUMIF(ThresholdAge03,"&lt;"&amp;'19_Расчет_аналитики'!AC1571,WeightedRevAge03)-SUMIF(ThresholdAge03,"&lt;"&amp;'19_Расчет_аналитики'!AC1571,WeightedMinAge03),MAX(CapacityAge03*'01_Вводные'!$B$218*'19_Расчет_аналитики'!AC1571,MeanMinAge03)))</f>
        <v/>
      </c>
      <c r="AD1478">
        <f>IF(OR('19_Расчет_аналитики'!AD1450=0,3&lt;='01_Вводные'!$B$297),0,'19_Расчет_аналитики'!AD1450*IF('01_Вводные'!$B$239="Да",MeanMinAge03+'19_Расчет_аналитики'!AD1571*SUMIF(ThresholdAge03,"&lt;"&amp;'19_Расчет_аналитики'!AD1571,WeightedRevAge03)-SUMIF(ThresholdAge03,"&lt;"&amp;'19_Расчет_аналитики'!AD1571,WeightedMinAge03),MAX(CapacityAge03*'01_Вводные'!$B$218*'19_Расчет_аналитики'!AD1571,MeanMinAge03)))</f>
        <v/>
      </c>
      <c r="AE1478">
        <f>IF(OR('19_Расчет_аналитики'!AE1450=0,3&lt;='01_Вводные'!$B$297),0,'19_Расчет_аналитики'!AE1450*IF('01_Вводные'!$B$239="Да",MeanMinAge03+'19_Расчет_аналитики'!AE1571*SUMIF(ThresholdAge03,"&lt;"&amp;'19_Расчет_аналитики'!AE1571,WeightedRevAge03)-SUMIF(ThresholdAge03,"&lt;"&amp;'19_Расчет_аналитики'!AE1571,WeightedMinAge03),MAX(CapacityAge03*'01_Вводные'!$B$218*'19_Расчет_аналитики'!AE1571,MeanMinAge03)))</f>
        <v/>
      </c>
      <c r="AF1478">
        <f>IF(OR('19_Расчет_аналитики'!AF1450=0,3&lt;='01_Вводные'!$B$297),0,'19_Расчет_аналитики'!AF1450*IF('01_Вводные'!$B$239="Да",MeanMinAge03+'19_Расчет_аналитики'!AF1571*SUMIF(ThresholdAge03,"&lt;"&amp;'19_Расчет_аналитики'!AF1571,WeightedRevAge03)-SUMIF(ThresholdAge03,"&lt;"&amp;'19_Расчет_аналитики'!AF1571,WeightedMinAge03),MAX(CapacityAge03*'01_Вводные'!$B$218*'19_Расчет_аналитики'!AF1571,MeanMinAge03)))</f>
        <v/>
      </c>
      <c r="AG1478">
        <f>IF(OR('19_Расчет_аналитики'!AG1450=0,3&lt;='01_Вводные'!$B$297),0,'19_Расчет_аналитики'!AG1450*IF('01_Вводные'!$B$239="Да",MeanMinAge03+'19_Расчет_аналитики'!AG1571*SUMIF(ThresholdAge03,"&lt;"&amp;'19_Расчет_аналитики'!AG1571,WeightedRevAge03)-SUMIF(ThresholdAge03,"&lt;"&amp;'19_Расчет_аналитики'!AG1571,WeightedMinAge03),MAX(CapacityAge03*'01_Вводные'!$B$218*'19_Расчет_аналитики'!AG1571,MeanMinAge03)))</f>
        <v/>
      </c>
      <c r="AH1478">
        <f>IF(OR('19_Расчет_аналитики'!AH1450=0,3&lt;='01_Вводные'!$B$297),0,'19_Расчет_аналитики'!AH1450*IF('01_Вводные'!$B$239="Да",MeanMinAge03+'19_Расчет_аналитики'!AH1571*SUMIF(ThresholdAge03,"&lt;"&amp;'19_Расчет_аналитики'!AH1571,WeightedRevAge03)-SUMIF(ThresholdAge03,"&lt;"&amp;'19_Расчет_аналитики'!AH1571,WeightedMinAge03),MAX(CapacityAge03*'01_Вводные'!$B$218*'19_Расчет_аналитики'!AH1571,MeanMinAge03)))</f>
        <v/>
      </c>
      <c r="AI1478">
        <f>IF(OR('19_Расчет_аналитики'!AI1450=0,3&lt;='01_Вводные'!$B$297),0,'19_Расчет_аналитики'!AI1450*IF('01_Вводные'!$B$239="Да",MeanMinAge03+'19_Расчет_аналитики'!AI1571*SUMIF(ThresholdAge03,"&lt;"&amp;'19_Расчет_аналитики'!AI1571,WeightedRevAge03)-SUMIF(ThresholdAge03,"&lt;"&amp;'19_Расчет_аналитики'!AI1571,WeightedMinAge03),MAX(CapacityAge03*'01_Вводные'!$B$218*'19_Расчет_аналитики'!AI1571,MeanMinAge03)))</f>
        <v/>
      </c>
      <c r="AJ1478">
        <f>IF(OR('19_Расчет_аналитики'!AJ1450=0,3&lt;='01_Вводные'!$B$297),0,'19_Расчет_аналитики'!AJ1450*IF('01_Вводные'!$B$239="Да",MeanMinAge03+'19_Расчет_аналитики'!AJ1571*SUMIF(ThresholdAge03,"&lt;"&amp;'19_Расчет_аналитики'!AJ1571,WeightedRevAge03)-SUMIF(ThresholdAge03,"&lt;"&amp;'19_Расчет_аналитики'!AJ1571,WeightedMinAge03),MAX(CapacityAge03*'01_Вводные'!$B$218*'19_Расчет_аналитики'!AJ1571,MeanMinAge03)))</f>
        <v/>
      </c>
      <c r="AK1478">
        <f>IF(OR('19_Расчет_аналитики'!AK1450=0,3&lt;='01_Вводные'!$B$297),0,'19_Расчет_аналитики'!AK1450*IF('01_Вводные'!$B$239="Да",MeanMinAge03+'19_Расчет_аналитики'!AK1571*SUMIF(ThresholdAge03,"&lt;"&amp;'19_Расчет_аналитики'!AK1571,WeightedRevAge03)-SUMIF(ThresholdAge03,"&lt;"&amp;'19_Расчет_аналитики'!AK1571,WeightedMinAge03),MAX(CapacityAge03*'01_Вводные'!$B$218*'19_Расчет_аналитики'!AK1571,MeanMinAge03)))</f>
        <v/>
      </c>
      <c r="AL1478">
        <f>IF(OR('19_Расчет_аналитики'!AL1450=0,3&lt;='01_Вводные'!$B$297),0,'19_Расчет_аналитики'!AL1450*IF('01_Вводные'!$B$239="Да",MeanMinAge03+'19_Расчет_аналитики'!AL1571*SUMIF(ThresholdAge03,"&lt;"&amp;'19_Расчет_аналитики'!AL1571,WeightedRevAge03)-SUMIF(ThresholdAge03,"&lt;"&amp;'19_Расчет_аналитики'!AL1571,WeightedMinAge03),MAX(CapacityAge03*'01_Вводные'!$B$218*'19_Расчет_аналитики'!AL1571,MeanMinAge03)))</f>
        <v/>
      </c>
      <c r="AM1478">
        <f>IF(OR('19_Расчет_аналитики'!AM1450=0,3&lt;='01_Вводные'!$B$297),0,'19_Расчет_аналитики'!AM1450*IF('01_Вводные'!$B$239="Да",MeanMinAge03+'19_Расчет_аналитики'!AM1571*SUMIF(ThresholdAge03,"&lt;"&amp;'19_Расчет_аналитики'!AM1571,WeightedRevAge03)-SUMIF(ThresholdAge03,"&lt;"&amp;'19_Расчет_аналитики'!AM1571,WeightedMinAge03),MAX(CapacityAge03*'01_Вводные'!$B$218*'19_Расчет_аналитики'!AM1571,MeanMinAge03)))</f>
        <v/>
      </c>
      <c r="AN1478">
        <f>IF(OR('19_Расчет_аналитики'!AN1450=0,3&lt;='01_Вводные'!$B$297),0,'19_Расчет_аналитики'!AN1450*IF('01_Вводные'!$B$239="Да",MeanMinAge03+'19_Расчет_аналитики'!AN1571*SUMIF(ThresholdAge03,"&lt;"&amp;'19_Расчет_аналитики'!AN1571,WeightedRevAge03)-SUMIF(ThresholdAge03,"&lt;"&amp;'19_Расчет_аналитики'!AN1571,WeightedMinAge03),MAX(CapacityAge03*'01_Вводные'!$B$218*'19_Расчет_аналитики'!AN1571,MeanMinAge03)))</f>
        <v/>
      </c>
      <c r="AO1478">
        <f>IF(OR('19_Расчет_аналитики'!AO1450=0,3&lt;='01_Вводные'!$B$297),0,'19_Расчет_аналитики'!AO1450*IF('01_Вводные'!$B$239="Да",MeanMinAge03+'19_Расчет_аналитики'!AO1571*SUMIF(ThresholdAge03,"&lt;"&amp;'19_Расчет_аналитики'!AO1571,WeightedRevAge03)-SUMIF(ThresholdAge03,"&lt;"&amp;'19_Расчет_аналитики'!AO1571,WeightedMinAge03),MAX(CapacityAge03*'01_Вводные'!$B$218*'19_Расчет_аналитики'!AO1571,MeanMinAge03)))</f>
        <v/>
      </c>
      <c r="AP1478">
        <f>IF(OR('19_Расчет_аналитики'!AP1450=0,3&lt;='01_Вводные'!$B$297),0,'19_Расчет_аналитики'!AP1450*IF('01_Вводные'!$B$239="Да",MeanMinAge03+'19_Расчет_аналитики'!AP1571*SUMIF(ThresholdAge03,"&lt;"&amp;'19_Расчет_аналитики'!AP1571,WeightedRevAge03)-SUMIF(ThresholdAge03,"&lt;"&amp;'19_Расчет_аналитики'!AP1571,WeightedMinAge03),MAX(CapacityAge03*'01_Вводные'!$B$218*'19_Расчет_аналитики'!AP1571,MeanMinAge03)))</f>
        <v/>
      </c>
      <c r="AQ1478">
        <f>IF(OR('19_Расчет_аналитики'!AQ1450=0,3&lt;='01_Вводные'!$B$297),0,'19_Расчет_аналитики'!AQ1450*IF('01_Вводные'!$B$239="Да",MeanMinAge03+'19_Расчет_аналитики'!AQ1571*SUMIF(ThresholdAge03,"&lt;"&amp;'19_Расчет_аналитики'!AQ1571,WeightedRevAge03)-SUMIF(ThresholdAge03,"&lt;"&amp;'19_Расчет_аналитики'!AQ1571,WeightedMinAge03),MAX(CapacityAge03*'01_Вводные'!$B$218*'19_Расчет_аналитики'!AQ1571,MeanMinAge03)))</f>
        <v/>
      </c>
      <c r="AR1478">
        <f>IF(OR('19_Расчет_аналитики'!AR1450=0,3&lt;='01_Вводные'!$B$297),0,'19_Расчет_аналитики'!AR1450*IF('01_Вводные'!$B$239="Да",MeanMinAge03+'19_Расчет_аналитики'!AR1571*SUMIF(ThresholdAge03,"&lt;"&amp;'19_Расчет_аналитики'!AR1571,WeightedRevAge03)-SUMIF(ThresholdAge03,"&lt;"&amp;'19_Расчет_аналитики'!AR1571,WeightedMinAge03),MAX(CapacityAge03*'01_Вводные'!$B$218*'19_Расчет_аналитики'!AR1571,MeanMinAge03)))</f>
        <v/>
      </c>
      <c r="AS1478">
        <f>IF(OR('19_Расчет_аналитики'!AS1450=0,3&lt;='01_Вводные'!$B$297),0,'19_Расчет_аналитики'!AS1450*IF('01_Вводные'!$B$239="Да",MeanMinAge03+'19_Расчет_аналитики'!AS1571*SUMIF(ThresholdAge03,"&lt;"&amp;'19_Расчет_аналитики'!AS1571,WeightedRevAge03)-SUMIF(ThresholdAge03,"&lt;"&amp;'19_Расчет_аналитики'!AS1571,WeightedMinAge03),MAX(CapacityAge03*'01_Вводные'!$B$218*'19_Расчет_аналитики'!AS1571,MeanMinAge03)))</f>
        <v/>
      </c>
      <c r="AT1478">
        <f>IF(OR('19_Расчет_аналитики'!AT1450=0,3&lt;='01_Вводные'!$B$297),0,'19_Расчет_аналитики'!AT1450*IF('01_Вводные'!$B$239="Да",MeanMinAge03+'19_Расчет_аналитики'!AT1571*SUMIF(ThresholdAge03,"&lt;"&amp;'19_Расчет_аналитики'!AT1571,WeightedRevAge03)-SUMIF(ThresholdAge03,"&lt;"&amp;'19_Расчет_аналитики'!AT1571,WeightedMinAge03),MAX(CapacityAge03*'01_Вводные'!$B$218*'19_Расчет_аналитики'!AT1571,MeanMinAge03)))</f>
        <v/>
      </c>
      <c r="AU1478">
        <f>IF(OR('19_Расчет_аналитики'!AU1450=0,3&lt;='01_Вводные'!$B$297),0,'19_Расчет_аналитики'!AU1450*IF('01_Вводные'!$B$239="Да",MeanMinAge03+'19_Расчет_аналитики'!AU1571*SUMIF(ThresholdAge03,"&lt;"&amp;'19_Расчет_аналитики'!AU1571,WeightedRevAge03)-SUMIF(ThresholdAge03,"&lt;"&amp;'19_Расчет_аналитики'!AU1571,WeightedMinAge03),MAX(CapacityAge03*'01_Вводные'!$B$218*'19_Расчет_аналитики'!AU1571,MeanMinAge03)))</f>
        <v/>
      </c>
      <c r="AV1478">
        <f>IF(OR('19_Расчет_аналитики'!AV1450=0,3&lt;='01_Вводные'!$B$297),0,'19_Расчет_аналитики'!AV1450*IF('01_Вводные'!$B$239="Да",MeanMinAge03+'19_Расчет_аналитики'!AV1571*SUMIF(ThresholdAge03,"&lt;"&amp;'19_Расчет_аналитики'!AV1571,WeightedRevAge03)-SUMIF(ThresholdAge03,"&lt;"&amp;'19_Расчет_аналитики'!AV1571,WeightedMinAge03),MAX(CapacityAge03*'01_Вводные'!$B$218*'19_Расчет_аналитики'!AV1571,MeanMinAge03)))</f>
        <v/>
      </c>
      <c r="AW1478">
        <f>IF(OR('19_Расчет_аналитики'!AW1450=0,3&lt;='01_Вводные'!$B$297),0,'19_Расчет_аналитики'!AW1450*IF('01_Вводные'!$B$239="Да",MeanMinAge03+'19_Расчет_аналитики'!AW1571*SUMIF(ThresholdAge03,"&lt;"&amp;'19_Расчет_аналитики'!AW1571,WeightedRevAge03)-SUMIF(ThresholdAge03,"&lt;"&amp;'19_Расчет_аналитики'!AW1571,WeightedMinAge03),MAX(CapacityAge03*'01_Вводные'!$B$218*'19_Расчет_аналитики'!AW1571,MeanMinAge03)))</f>
        <v/>
      </c>
      <c r="AX1478">
        <f>IF(OR('19_Расчет_аналитики'!AX1450=0,3&lt;='01_Вводные'!$B$297),0,'19_Расчет_аналитики'!AX1450*IF('01_Вводные'!$B$239="Да",MeanMinAge03+'19_Расчет_аналитики'!AX1571*SUMIF(ThresholdAge03,"&lt;"&amp;'19_Расчет_аналитики'!AX1571,WeightedRevAge03)-SUMIF(ThresholdAge03,"&lt;"&amp;'19_Расчет_аналитики'!AX1571,WeightedMinAge03),MAX(CapacityAge03*'01_Вводные'!$B$218*'19_Расчет_аналитики'!AX1571,MeanMinAge03)))</f>
        <v/>
      </c>
      <c r="AY1478">
        <f>IF(OR('19_Расчет_аналитики'!AY1450=0,3&lt;='01_Вводные'!$B$297),0,'19_Расчет_аналитики'!AY1450*IF('01_Вводные'!$B$239="Да",MeanMinAge03+'19_Расчет_аналитики'!AY1571*SUMIF(ThresholdAge03,"&lt;"&amp;'19_Расчет_аналитики'!AY1571,WeightedRevAge03)-SUMIF(ThresholdAge03,"&lt;"&amp;'19_Расчет_аналитики'!AY1571,WeightedMinAge03),MAX(CapacityAge03*'01_Вводные'!$B$218*'19_Расчет_аналитики'!AY1571,MeanMinAge03)))</f>
        <v/>
      </c>
      <c r="AZ1478">
        <f>IF(OR('19_Расчет_аналитики'!AZ1450=0,3&lt;='01_Вводные'!$B$297),0,'19_Расчет_аналитики'!AZ1450*IF('01_Вводные'!$B$239="Да",MeanMinAge03+'19_Расчет_аналитики'!AZ1571*SUMIF(ThresholdAge03,"&lt;"&amp;'19_Расчет_аналитики'!AZ1571,WeightedRevAge03)-SUMIF(ThresholdAge03,"&lt;"&amp;'19_Расчет_аналитики'!AZ1571,WeightedMinAge03),MAX(CapacityAge03*'01_Вводные'!$B$218*'19_Расчет_аналитики'!AZ1571,MeanMinAge03)))</f>
        <v/>
      </c>
      <c r="BA1478">
        <f>IF(OR('19_Расчет_аналитики'!BA1450=0,3&lt;='01_Вводные'!$B$297),0,'19_Расчет_аналитики'!BA1450*IF('01_Вводные'!$B$239="Да",MeanMinAge03+'19_Расчет_аналитики'!BA1571*SUMIF(ThresholdAge03,"&lt;"&amp;'19_Расчет_аналитики'!BA1571,WeightedRevAge03)-SUMIF(ThresholdAge03,"&lt;"&amp;'19_Расчет_аналитики'!BA1571,WeightedMinAge03),MAX(CapacityAge03*'01_Вводные'!$B$218*'19_Расчет_аналитики'!BA1571,MeanMinAge03)))</f>
        <v/>
      </c>
      <c r="BB1478">
        <f>IF(OR('19_Расчет_аналитики'!BB1450=0,3&lt;='01_Вводные'!$B$297),0,'19_Расчет_аналитики'!BB1450*IF('01_Вводные'!$B$239="Да",MeanMinAge03+'19_Расчет_аналитики'!BB1571*SUMIF(ThresholdAge03,"&lt;"&amp;'19_Расчет_аналитики'!BB1571,WeightedRevAge03)-SUMIF(ThresholdAge03,"&lt;"&amp;'19_Расчет_аналитики'!BB1571,WeightedMinAge03),MAX(CapacityAge03*'01_Вводные'!$B$218*'19_Расчет_аналитики'!BB1571,MeanMinAge03)))</f>
        <v/>
      </c>
      <c r="BC1478">
        <f>IF(OR('19_Расчет_аналитики'!BC1450=0,3&lt;='01_Вводные'!$B$297),0,'19_Расчет_аналитики'!BC1450*IF('01_Вводные'!$B$239="Да",MeanMinAge03+'19_Расчет_аналитики'!BC1571*SUMIF(ThresholdAge03,"&lt;"&amp;'19_Расчет_аналитики'!BC1571,WeightedRevAge03)-SUMIF(ThresholdAge03,"&lt;"&amp;'19_Расчет_аналитики'!BC1571,WeightedMinAge03),MAX(CapacityAge03*'01_Вводные'!$B$218*'19_Расчет_аналитики'!BC1571,MeanMinAge03)))</f>
        <v/>
      </c>
      <c r="BD1478">
        <f>IF(OR('19_Расчет_аналитики'!BD1450=0,3&lt;='01_Вводные'!$B$297),0,'19_Расчет_аналитики'!BD1450*IF('01_Вводные'!$B$239="Да",MeanMinAge03+'19_Расчет_аналитики'!BD1571*SUMIF(ThresholdAge03,"&lt;"&amp;'19_Расчет_аналитики'!BD1571,WeightedRevAge03)-SUMIF(ThresholdAge03,"&lt;"&amp;'19_Расчет_аналитики'!BD1571,WeightedMinAge03),MAX(CapacityAge03*'01_Вводные'!$B$218*'19_Расчет_аналитики'!BD1571,MeanMinAge03)))</f>
        <v/>
      </c>
      <c r="BE1478">
        <f>IF(OR('19_Расчет_аналитики'!BE1450=0,3&lt;='01_Вводные'!$B$297),0,'19_Расчет_аналитики'!BE1450*IF('01_Вводные'!$B$239="Да",MeanMinAge03+'19_Расчет_аналитики'!BE1571*SUMIF(ThresholdAge03,"&lt;"&amp;'19_Расчет_аналитики'!BE1571,WeightedRevAge03)-SUMIF(ThresholdAge03,"&lt;"&amp;'19_Расчет_аналитики'!BE1571,WeightedMinAge03),MAX(CapacityAge03*'01_Вводные'!$B$218*'19_Расчет_аналитики'!BE1571,MeanMinAge03)))</f>
        <v/>
      </c>
      <c r="BF1478">
        <f>IF(OR('19_Расчет_аналитики'!BF1450=0,3&lt;='01_Вводные'!$B$297),0,'19_Расчет_аналитики'!BF1450*IF('01_Вводные'!$B$239="Да",MeanMinAge03+'19_Расчет_аналитики'!BF1571*SUMIF(ThresholdAge03,"&lt;"&amp;'19_Расчет_аналитики'!BF1571,WeightedRevAge03)-SUMIF(ThresholdAge03,"&lt;"&amp;'19_Расчет_аналитики'!BF1571,WeightedMinAge03),MAX(CapacityAge03*'01_Вводные'!$B$218*'19_Расчет_аналитики'!BF1571,MeanMinAge03)))</f>
        <v/>
      </c>
      <c r="BG1478">
        <f>IF(OR('19_Расчет_аналитики'!BG1450=0,3&lt;='01_Вводные'!$B$297),0,'19_Расчет_аналитики'!BG1450*IF('01_Вводные'!$B$239="Да",MeanMinAge03+'19_Расчет_аналитики'!BG1571*SUMIF(ThresholdAge03,"&lt;"&amp;'19_Расчет_аналитики'!BG1571,WeightedRevAge03)-SUMIF(ThresholdAge03,"&lt;"&amp;'19_Расчет_аналитики'!BG1571,WeightedMinAge03),MAX(CapacityAge03*'01_Вводные'!$B$218*'19_Расчет_аналитики'!BG1571,MeanMinAge03)))</f>
        <v/>
      </c>
      <c r="BH1478">
        <f>IF(OR('19_Расчет_аналитики'!BH1450=0,3&lt;='01_Вводные'!$B$297),0,'19_Расчет_аналитики'!BH1450*IF('01_Вводные'!$B$239="Да",MeanMinAge03+'19_Расчет_аналитики'!BH1571*SUMIF(ThresholdAge03,"&lt;"&amp;'19_Расчет_аналитики'!BH1571,WeightedRevAge03)-SUMIF(ThresholdAge03,"&lt;"&amp;'19_Расчет_аналитики'!BH1571,WeightedMinAge03),MAX(CapacityAge03*'01_Вводные'!$B$218*'19_Расчет_аналитики'!BH1571,MeanMinAge03)))</f>
        <v/>
      </c>
      <c r="BI1478">
        <f>IF(OR('19_Расчет_аналитики'!BI1450=0,3&lt;='01_Вводные'!$B$297),0,'19_Расчет_аналитики'!BI1450*IF('01_Вводные'!$B$239="Да",MeanMinAge03+'19_Расчет_аналитики'!BI1571*SUMIF(ThresholdAge03,"&lt;"&amp;'19_Расчет_аналитики'!BI1571,WeightedRevAge03)-SUMIF(ThresholdAge03,"&lt;"&amp;'19_Расчет_аналитики'!BI1571,WeightedMinAge03),MAX(CapacityAge03*'01_Вводные'!$B$218*'19_Расчет_аналитики'!BI1571,MeanMinAge03)))</f>
        <v/>
      </c>
      <c r="BJ1478">
        <f>IF(OR('19_Расчет_аналитики'!BJ1450=0,3&lt;='01_Вводные'!$B$297),0,'19_Расчет_аналитики'!BJ1450*IF('01_Вводные'!$B$239="Да",MeanMinAge03+'19_Расчет_аналитики'!BJ1571*SUMIF(ThresholdAge03,"&lt;"&amp;'19_Расчет_аналитики'!BJ1571,WeightedRevAge03)-SUMIF(ThresholdAge03,"&lt;"&amp;'19_Расчет_аналитики'!BJ1571,WeightedMinAge03),MAX(CapacityAge03*'01_Вводные'!$B$218*'19_Расчет_аналитики'!BJ1571,MeanMinAge03)))</f>
        <v/>
      </c>
      <c r="BK1478">
        <f>IF(OR('19_Расчет_аналитики'!BK1450=0,3&lt;='01_Вводные'!$B$297),0,'19_Расчет_аналитики'!BK1450*IF('01_Вводные'!$B$239="Да",MeanMinAge03+'19_Расчет_аналитики'!BK1571*SUMIF(ThresholdAge03,"&lt;"&amp;'19_Расчет_аналитики'!BK1571,WeightedRevAge03)-SUMIF(ThresholdAge03,"&lt;"&amp;'19_Расчет_аналитики'!BK1571,WeightedMinAge03),MAX(CapacityAge03*'01_Вводные'!$B$218*'19_Расчет_аналитики'!BK1571,MeanMinAge03)))</f>
        <v/>
      </c>
      <c r="BL1478">
        <f>IF(OR('19_Расчет_аналитики'!BL1450=0,3&lt;='01_Вводные'!$B$297),0,'19_Расчет_аналитики'!BL1450*IF('01_Вводные'!$B$239="Да",MeanMinAge03+'19_Расчет_аналитики'!BL1571*SUMIF(ThresholdAge03,"&lt;"&amp;'19_Расчет_аналитики'!BL1571,WeightedRevAge03)-SUMIF(ThresholdAge03,"&lt;"&amp;'19_Расчет_аналитики'!BL1571,WeightedMinAge03),MAX(CapacityAge03*'01_Вводные'!$B$218*'19_Расчет_аналитики'!BL1571,MeanMinAge03)))</f>
        <v/>
      </c>
      <c r="BM1478">
        <f>IF(OR('19_Расчет_аналитики'!BM1450=0,3&lt;='01_Вводные'!$B$297),0,'19_Расчет_аналитики'!BM1450*IF('01_Вводные'!$B$239="Да",MeanMinAge03+'19_Расчет_аналитики'!BM1571*SUMIF(ThresholdAge03,"&lt;"&amp;'19_Расчет_аналитики'!BM1571,WeightedRevAge03)-SUMIF(ThresholdAge03,"&lt;"&amp;'19_Расчет_аналитики'!BM1571,WeightedMinAge03),MAX(CapacityAge03*'01_Вводные'!$B$218*'19_Расчет_аналитики'!BM1571,MeanMinAge03)))</f>
        <v/>
      </c>
      <c r="BN1478">
        <f>IF(OR('19_Расчет_аналитики'!BN1450=0,3&lt;='01_Вводные'!$B$297),0,'19_Расчет_аналитики'!BN1450*IF('01_Вводные'!$B$239="Да",MeanMinAge03+'19_Расчет_аналитики'!BN1571*SUMIF(ThresholdAge03,"&lt;"&amp;'19_Расчет_аналитики'!BN1571,WeightedRevAge03)-SUMIF(ThresholdAge03,"&lt;"&amp;'19_Расчет_аналитики'!BN1571,WeightedMinAge03),MAX(CapacityAge03*'01_Вводные'!$B$218*'19_Расчет_аналитики'!BN1571,MeanMinAge03)))</f>
        <v/>
      </c>
      <c r="BO1478">
        <f>IF(OR('19_Расчет_аналитики'!BO1450=0,3&lt;='01_Вводные'!$B$297),0,'19_Расчет_аналитики'!BO1450*IF('01_Вводные'!$B$239="Да",MeanMinAge03+'19_Расчет_аналитики'!BO1571*SUMIF(ThresholdAge03,"&lt;"&amp;'19_Расчет_аналитики'!BO1571,WeightedRevAge03)-SUMIF(ThresholdAge03,"&lt;"&amp;'19_Расчет_аналитики'!BO1571,WeightedMinAge03),MAX(CapacityAge03*'01_Вводные'!$B$218*'19_Расчет_аналитики'!BO1571,MeanMinAge03)))</f>
        <v/>
      </c>
    </row>
    <row r="1479">
      <c r="B1479">
        <f>IF(OR('06_Сеть_и_дети'!B84=0,4&lt;='01_Вводные'!$B$297),0,'06_Сеть_и_дети'!B84*IF('01_Вводные'!$B$239="Да",MeanMinAge04+'19_Расчет_аналитики'!B1571*SUMIF(ThresholdAge04,"&lt;"&amp;'19_Расчет_аналитики'!B1571,WeightedRevAge04)-SUMIF(ThresholdAge04,"&lt;"&amp;'19_Расчет_аналитики'!B1571,WeightedMinAge04),MAX(CapacityAge04*'01_Вводные'!$B$218*'19_Расчет_аналитики'!B1571,MeanMinAge04)))</f>
        <v/>
      </c>
      <c r="C1479">
        <f>IF(OR('06_Сеть_и_дети'!C84=0,4&lt;='01_Вводные'!$B$297),0,'06_Сеть_и_дети'!C84*IF('01_Вводные'!$B$239="Да",MeanMinAge04+'19_Расчет_аналитики'!C1571*SUMIF(ThresholdAge04,"&lt;"&amp;'19_Расчет_аналитики'!C1571,WeightedRevAge04)-SUMIF(ThresholdAge04,"&lt;"&amp;'19_Расчет_аналитики'!C1571,WeightedMinAge04),MAX(CapacityAge04*'01_Вводные'!$B$218*'19_Расчет_аналитики'!C1571,MeanMinAge04)))</f>
        <v/>
      </c>
      <c r="D1479">
        <f>IF(OR('06_Сеть_и_дети'!D84=0,4&lt;='01_Вводные'!$B$297),0,'06_Сеть_и_дети'!D84*IF('01_Вводные'!$B$239="Да",MeanMinAge04+'19_Расчет_аналитики'!D1571*SUMIF(ThresholdAge04,"&lt;"&amp;'19_Расчет_аналитики'!D1571,WeightedRevAge04)-SUMIF(ThresholdAge04,"&lt;"&amp;'19_Расчет_аналитики'!D1571,WeightedMinAge04),MAX(CapacityAge04*'01_Вводные'!$B$218*'19_Расчет_аналитики'!D1571,MeanMinAge04)))</f>
        <v/>
      </c>
      <c r="E1479">
        <f>IF(OR('19_Расчет_аналитики'!E1451=0,4&lt;='01_Вводные'!$B$297),0,'19_Расчет_аналитики'!E1451*IF('01_Вводные'!$B$239="Да",MeanMinAge04+'19_Расчет_аналитики'!E1571*SUMIF(ThresholdAge04,"&lt;"&amp;'19_Расчет_аналитики'!E1571,WeightedRevAge04)-SUMIF(ThresholdAge04,"&lt;"&amp;'19_Расчет_аналитики'!E1571,WeightedMinAge04),MAX(CapacityAge04*'01_Вводные'!$B$218*'19_Расчет_аналитики'!E1571,MeanMinAge04)))</f>
        <v/>
      </c>
      <c r="F1479">
        <f>IF(OR('19_Расчет_аналитики'!F1451=0,4&lt;='01_Вводные'!$B$297),0,'19_Расчет_аналитики'!F1451*IF('01_Вводные'!$B$239="Да",MeanMinAge04+'19_Расчет_аналитики'!F1571*SUMIF(ThresholdAge04,"&lt;"&amp;'19_Расчет_аналитики'!F1571,WeightedRevAge04)-SUMIF(ThresholdAge04,"&lt;"&amp;'19_Расчет_аналитики'!F1571,WeightedMinAge04),MAX(CapacityAge04*'01_Вводные'!$B$218*'19_Расчет_аналитики'!F1571,MeanMinAge04)))</f>
        <v/>
      </c>
      <c r="G1479">
        <f>IF(OR('19_Расчет_аналитики'!G1451=0,4&lt;='01_Вводные'!$B$297),0,'19_Расчет_аналитики'!G1451*IF('01_Вводные'!$B$239="Да",MeanMinAge04+'19_Расчет_аналитики'!G1571*SUMIF(ThresholdAge04,"&lt;"&amp;'19_Расчет_аналитики'!G1571,WeightedRevAge04)-SUMIF(ThresholdAge04,"&lt;"&amp;'19_Расчет_аналитики'!G1571,WeightedMinAge04),MAX(CapacityAge04*'01_Вводные'!$B$218*'19_Расчет_аналитики'!G1571,MeanMinAge04)))</f>
        <v/>
      </c>
      <c r="H1479">
        <f>IF(OR('19_Расчет_аналитики'!H1451=0,4&lt;='01_Вводные'!$B$297),0,'19_Расчет_аналитики'!H1451*IF('01_Вводные'!$B$239="Да",MeanMinAge04+'19_Расчет_аналитики'!H1571*SUMIF(ThresholdAge04,"&lt;"&amp;'19_Расчет_аналитики'!H1571,WeightedRevAge04)-SUMIF(ThresholdAge04,"&lt;"&amp;'19_Расчет_аналитики'!H1571,WeightedMinAge04),MAX(CapacityAge04*'01_Вводные'!$B$218*'19_Расчет_аналитики'!H1571,MeanMinAge04)))</f>
        <v/>
      </c>
      <c r="I1479">
        <f>IF(OR('19_Расчет_аналитики'!I1451=0,4&lt;='01_Вводные'!$B$297),0,'19_Расчет_аналитики'!I1451*IF('01_Вводные'!$B$239="Да",MeanMinAge04+'19_Расчет_аналитики'!I1571*SUMIF(ThresholdAge04,"&lt;"&amp;'19_Расчет_аналитики'!I1571,WeightedRevAge04)-SUMIF(ThresholdAge04,"&lt;"&amp;'19_Расчет_аналитики'!I1571,WeightedMinAge04),MAX(CapacityAge04*'01_Вводные'!$B$218*'19_Расчет_аналитики'!I1571,MeanMinAge04)))</f>
        <v/>
      </c>
      <c r="J1479">
        <f>IF(OR('19_Расчет_аналитики'!J1451=0,4&lt;='01_Вводные'!$B$297),0,'19_Расчет_аналитики'!J1451*IF('01_Вводные'!$B$239="Да",MeanMinAge04+'19_Расчет_аналитики'!J1571*SUMIF(ThresholdAge04,"&lt;"&amp;'19_Расчет_аналитики'!J1571,WeightedRevAge04)-SUMIF(ThresholdAge04,"&lt;"&amp;'19_Расчет_аналитики'!J1571,WeightedMinAge04),MAX(CapacityAge04*'01_Вводные'!$B$218*'19_Расчет_аналитики'!J1571,MeanMinAge04)))</f>
        <v/>
      </c>
      <c r="K1479">
        <f>IF(OR('19_Расчет_аналитики'!K1451=0,4&lt;='01_Вводные'!$B$297),0,'19_Расчет_аналитики'!K1451*IF('01_Вводные'!$B$239="Да",MeanMinAge04+'19_Расчет_аналитики'!K1571*SUMIF(ThresholdAge04,"&lt;"&amp;'19_Расчет_аналитики'!K1571,WeightedRevAge04)-SUMIF(ThresholdAge04,"&lt;"&amp;'19_Расчет_аналитики'!K1571,WeightedMinAge04),MAX(CapacityAge04*'01_Вводные'!$B$218*'19_Расчет_аналитики'!K1571,MeanMinAge04)))</f>
        <v/>
      </c>
      <c r="L1479">
        <f>IF(OR('19_Расчет_аналитики'!L1451=0,4&lt;='01_Вводные'!$B$297),0,'19_Расчет_аналитики'!L1451*IF('01_Вводные'!$B$239="Да",MeanMinAge04+'19_Расчет_аналитики'!L1571*SUMIF(ThresholdAge04,"&lt;"&amp;'19_Расчет_аналитики'!L1571,WeightedRevAge04)-SUMIF(ThresholdAge04,"&lt;"&amp;'19_Расчет_аналитики'!L1571,WeightedMinAge04),MAX(CapacityAge04*'01_Вводные'!$B$218*'19_Расчет_аналитики'!L1571,MeanMinAge04)))</f>
        <v/>
      </c>
      <c r="M1479">
        <f>IF(OR('19_Расчет_аналитики'!M1451=0,4&lt;='01_Вводные'!$B$297),0,'19_Расчет_аналитики'!M1451*IF('01_Вводные'!$B$239="Да",MeanMinAge04+'19_Расчет_аналитики'!M1571*SUMIF(ThresholdAge04,"&lt;"&amp;'19_Расчет_аналитики'!M1571,WeightedRevAge04)-SUMIF(ThresholdAge04,"&lt;"&amp;'19_Расчет_аналитики'!M1571,WeightedMinAge04),MAX(CapacityAge04*'01_Вводные'!$B$218*'19_Расчет_аналитики'!M1571,MeanMinAge04)))</f>
        <v/>
      </c>
      <c r="N1479">
        <f>IF(OR('19_Расчет_аналитики'!N1451=0,4&lt;='01_Вводные'!$B$297),0,'19_Расчет_аналитики'!N1451*IF('01_Вводные'!$B$239="Да",MeanMinAge04+'19_Расчет_аналитики'!N1571*SUMIF(ThresholdAge04,"&lt;"&amp;'19_Расчет_аналитики'!N1571,WeightedRevAge04)-SUMIF(ThresholdAge04,"&lt;"&amp;'19_Расчет_аналитики'!N1571,WeightedMinAge04),MAX(CapacityAge04*'01_Вводные'!$B$218*'19_Расчет_аналитики'!N1571,MeanMinAge04)))</f>
        <v/>
      </c>
      <c r="O1479">
        <f>IF(OR('19_Расчет_аналитики'!O1451=0,4&lt;='01_Вводные'!$B$297),0,'19_Расчет_аналитики'!O1451*IF('01_Вводные'!$B$239="Да",MeanMinAge04+'19_Расчет_аналитики'!O1571*SUMIF(ThresholdAge04,"&lt;"&amp;'19_Расчет_аналитики'!O1571,WeightedRevAge04)-SUMIF(ThresholdAge04,"&lt;"&amp;'19_Расчет_аналитики'!O1571,WeightedMinAge04),MAX(CapacityAge04*'01_Вводные'!$B$218*'19_Расчет_аналитики'!O1571,MeanMinAge04)))</f>
        <v/>
      </c>
      <c r="P1479">
        <f>IF(OR('19_Расчет_аналитики'!P1451=0,4&lt;='01_Вводные'!$B$297),0,'19_Расчет_аналитики'!P1451*IF('01_Вводные'!$B$239="Да",MeanMinAge04+'19_Расчет_аналитики'!P1571*SUMIF(ThresholdAge04,"&lt;"&amp;'19_Расчет_аналитики'!P1571,WeightedRevAge04)-SUMIF(ThresholdAge04,"&lt;"&amp;'19_Расчет_аналитики'!P1571,WeightedMinAge04),MAX(CapacityAge04*'01_Вводные'!$B$218*'19_Расчет_аналитики'!P1571,MeanMinAge04)))</f>
        <v/>
      </c>
      <c r="Q1479">
        <f>IF(OR('19_Расчет_аналитики'!Q1451=0,4&lt;='01_Вводные'!$B$297),0,'19_Расчет_аналитики'!Q1451*IF('01_Вводные'!$B$239="Да",MeanMinAge04+'19_Расчет_аналитики'!Q1571*SUMIF(ThresholdAge04,"&lt;"&amp;'19_Расчет_аналитики'!Q1571,WeightedRevAge04)-SUMIF(ThresholdAge04,"&lt;"&amp;'19_Расчет_аналитики'!Q1571,WeightedMinAge04),MAX(CapacityAge04*'01_Вводные'!$B$218*'19_Расчет_аналитики'!Q1571,MeanMinAge04)))</f>
        <v/>
      </c>
      <c r="R1479">
        <f>IF(OR('19_Расчет_аналитики'!R1451=0,4&lt;='01_Вводные'!$B$297),0,'19_Расчет_аналитики'!R1451*IF('01_Вводные'!$B$239="Да",MeanMinAge04+'19_Расчет_аналитики'!R1571*SUMIF(ThresholdAge04,"&lt;"&amp;'19_Расчет_аналитики'!R1571,WeightedRevAge04)-SUMIF(ThresholdAge04,"&lt;"&amp;'19_Расчет_аналитики'!R1571,WeightedMinAge04),MAX(CapacityAge04*'01_Вводные'!$B$218*'19_Расчет_аналитики'!R1571,MeanMinAge04)))</f>
        <v/>
      </c>
      <c r="S1479">
        <f>IF(OR('19_Расчет_аналитики'!S1451=0,4&lt;='01_Вводные'!$B$297),0,'19_Расчет_аналитики'!S1451*IF('01_Вводные'!$B$239="Да",MeanMinAge04+'19_Расчет_аналитики'!S1571*SUMIF(ThresholdAge04,"&lt;"&amp;'19_Расчет_аналитики'!S1571,WeightedRevAge04)-SUMIF(ThresholdAge04,"&lt;"&amp;'19_Расчет_аналитики'!S1571,WeightedMinAge04),MAX(CapacityAge04*'01_Вводные'!$B$218*'19_Расчет_аналитики'!S1571,MeanMinAge04)))</f>
        <v/>
      </c>
      <c r="T1479">
        <f>IF(OR('19_Расчет_аналитики'!T1451=0,4&lt;='01_Вводные'!$B$297),0,'19_Расчет_аналитики'!T1451*IF('01_Вводные'!$B$239="Да",MeanMinAge04+'19_Расчет_аналитики'!T1571*SUMIF(ThresholdAge04,"&lt;"&amp;'19_Расчет_аналитики'!T1571,WeightedRevAge04)-SUMIF(ThresholdAge04,"&lt;"&amp;'19_Расчет_аналитики'!T1571,WeightedMinAge04),MAX(CapacityAge04*'01_Вводные'!$B$218*'19_Расчет_аналитики'!T1571,MeanMinAge04)))</f>
        <v/>
      </c>
      <c r="U1479">
        <f>IF(OR('19_Расчет_аналитики'!U1451=0,4&lt;='01_Вводные'!$B$297),0,'19_Расчет_аналитики'!U1451*IF('01_Вводные'!$B$239="Да",MeanMinAge04+'19_Расчет_аналитики'!U1571*SUMIF(ThresholdAge04,"&lt;"&amp;'19_Расчет_аналитики'!U1571,WeightedRevAge04)-SUMIF(ThresholdAge04,"&lt;"&amp;'19_Расчет_аналитики'!U1571,WeightedMinAge04),MAX(CapacityAge04*'01_Вводные'!$B$218*'19_Расчет_аналитики'!U1571,MeanMinAge04)))</f>
        <v/>
      </c>
      <c r="V1479">
        <f>IF(OR('19_Расчет_аналитики'!V1451=0,4&lt;='01_Вводные'!$B$297),0,'19_Расчет_аналитики'!V1451*IF('01_Вводные'!$B$239="Да",MeanMinAge04+'19_Расчет_аналитики'!V1571*SUMIF(ThresholdAge04,"&lt;"&amp;'19_Расчет_аналитики'!V1571,WeightedRevAge04)-SUMIF(ThresholdAge04,"&lt;"&amp;'19_Расчет_аналитики'!V1571,WeightedMinAge04),MAX(CapacityAge04*'01_Вводные'!$B$218*'19_Расчет_аналитики'!V1571,MeanMinAge04)))</f>
        <v/>
      </c>
      <c r="W1479">
        <f>IF(OR('19_Расчет_аналитики'!W1451=0,4&lt;='01_Вводные'!$B$297),0,'19_Расчет_аналитики'!W1451*IF('01_Вводные'!$B$239="Да",MeanMinAge04+'19_Расчет_аналитики'!W1571*SUMIF(ThresholdAge04,"&lt;"&amp;'19_Расчет_аналитики'!W1571,WeightedRevAge04)-SUMIF(ThresholdAge04,"&lt;"&amp;'19_Расчет_аналитики'!W1571,WeightedMinAge04),MAX(CapacityAge04*'01_Вводные'!$B$218*'19_Расчет_аналитики'!W1571,MeanMinAge04)))</f>
        <v/>
      </c>
      <c r="X1479">
        <f>IF(OR('19_Расчет_аналитики'!X1451=0,4&lt;='01_Вводные'!$B$297),0,'19_Расчет_аналитики'!X1451*IF('01_Вводные'!$B$239="Да",MeanMinAge04+'19_Расчет_аналитики'!X1571*SUMIF(ThresholdAge04,"&lt;"&amp;'19_Расчет_аналитики'!X1571,WeightedRevAge04)-SUMIF(ThresholdAge04,"&lt;"&amp;'19_Расчет_аналитики'!X1571,WeightedMinAge04),MAX(CapacityAge04*'01_Вводные'!$B$218*'19_Расчет_аналитики'!X1571,MeanMinAge04)))</f>
        <v/>
      </c>
      <c r="Y1479">
        <f>IF(OR('19_Расчет_аналитики'!Y1451=0,4&lt;='01_Вводные'!$B$297),0,'19_Расчет_аналитики'!Y1451*IF('01_Вводные'!$B$239="Да",MeanMinAge04+'19_Расчет_аналитики'!Y1571*SUMIF(ThresholdAge04,"&lt;"&amp;'19_Расчет_аналитики'!Y1571,WeightedRevAge04)-SUMIF(ThresholdAge04,"&lt;"&amp;'19_Расчет_аналитики'!Y1571,WeightedMinAge04),MAX(CapacityAge04*'01_Вводные'!$B$218*'19_Расчет_аналитики'!Y1571,MeanMinAge04)))</f>
        <v/>
      </c>
      <c r="Z1479">
        <f>IF(OR('19_Расчет_аналитики'!Z1451=0,4&lt;='01_Вводные'!$B$297),0,'19_Расчет_аналитики'!Z1451*IF('01_Вводные'!$B$239="Да",MeanMinAge04+'19_Расчет_аналитики'!Z1571*SUMIF(ThresholdAge04,"&lt;"&amp;'19_Расчет_аналитики'!Z1571,WeightedRevAge04)-SUMIF(ThresholdAge04,"&lt;"&amp;'19_Расчет_аналитики'!Z1571,WeightedMinAge04),MAX(CapacityAge04*'01_Вводные'!$B$218*'19_Расчет_аналитики'!Z1571,MeanMinAge04)))</f>
        <v/>
      </c>
      <c r="AA1479">
        <f>IF(OR('19_Расчет_аналитики'!AA1451=0,4&lt;='01_Вводные'!$B$297),0,'19_Расчет_аналитики'!AA1451*IF('01_Вводные'!$B$239="Да",MeanMinAge04+'19_Расчет_аналитики'!AA1571*SUMIF(ThresholdAge04,"&lt;"&amp;'19_Расчет_аналитики'!AA1571,WeightedRevAge04)-SUMIF(ThresholdAge04,"&lt;"&amp;'19_Расчет_аналитики'!AA1571,WeightedMinAge04),MAX(CapacityAge04*'01_Вводные'!$B$218*'19_Расчет_аналитики'!AA1571,MeanMinAge04)))</f>
        <v/>
      </c>
      <c r="AB1479">
        <f>IF(OR('19_Расчет_аналитики'!AB1451=0,4&lt;='01_Вводные'!$B$297),0,'19_Расчет_аналитики'!AB1451*IF('01_Вводные'!$B$239="Да",MeanMinAge04+'19_Расчет_аналитики'!AB1571*SUMIF(ThresholdAge04,"&lt;"&amp;'19_Расчет_аналитики'!AB1571,WeightedRevAge04)-SUMIF(ThresholdAge04,"&lt;"&amp;'19_Расчет_аналитики'!AB1571,WeightedMinAge04),MAX(CapacityAge04*'01_Вводные'!$B$218*'19_Расчет_аналитики'!AB1571,MeanMinAge04)))</f>
        <v/>
      </c>
      <c r="AC1479">
        <f>IF(OR('19_Расчет_аналитики'!AC1451=0,4&lt;='01_Вводные'!$B$297),0,'19_Расчет_аналитики'!AC1451*IF('01_Вводные'!$B$239="Да",MeanMinAge04+'19_Расчет_аналитики'!AC1571*SUMIF(ThresholdAge04,"&lt;"&amp;'19_Расчет_аналитики'!AC1571,WeightedRevAge04)-SUMIF(ThresholdAge04,"&lt;"&amp;'19_Расчет_аналитики'!AC1571,WeightedMinAge04),MAX(CapacityAge04*'01_Вводные'!$B$218*'19_Расчет_аналитики'!AC1571,MeanMinAge04)))</f>
        <v/>
      </c>
      <c r="AD1479">
        <f>IF(OR('19_Расчет_аналитики'!AD1451=0,4&lt;='01_Вводные'!$B$297),0,'19_Расчет_аналитики'!AD1451*IF('01_Вводные'!$B$239="Да",MeanMinAge04+'19_Расчет_аналитики'!AD1571*SUMIF(ThresholdAge04,"&lt;"&amp;'19_Расчет_аналитики'!AD1571,WeightedRevAge04)-SUMIF(ThresholdAge04,"&lt;"&amp;'19_Расчет_аналитики'!AD1571,WeightedMinAge04),MAX(CapacityAge04*'01_Вводные'!$B$218*'19_Расчет_аналитики'!AD1571,MeanMinAge04)))</f>
        <v/>
      </c>
      <c r="AE1479">
        <f>IF(OR('19_Расчет_аналитики'!AE1451=0,4&lt;='01_Вводные'!$B$297),0,'19_Расчет_аналитики'!AE1451*IF('01_Вводные'!$B$239="Да",MeanMinAge04+'19_Расчет_аналитики'!AE1571*SUMIF(ThresholdAge04,"&lt;"&amp;'19_Расчет_аналитики'!AE1571,WeightedRevAge04)-SUMIF(ThresholdAge04,"&lt;"&amp;'19_Расчет_аналитики'!AE1571,WeightedMinAge04),MAX(CapacityAge04*'01_Вводные'!$B$218*'19_Расчет_аналитики'!AE1571,MeanMinAge04)))</f>
        <v/>
      </c>
      <c r="AF1479">
        <f>IF(OR('19_Расчет_аналитики'!AF1451=0,4&lt;='01_Вводные'!$B$297),0,'19_Расчет_аналитики'!AF1451*IF('01_Вводные'!$B$239="Да",MeanMinAge04+'19_Расчет_аналитики'!AF1571*SUMIF(ThresholdAge04,"&lt;"&amp;'19_Расчет_аналитики'!AF1571,WeightedRevAge04)-SUMIF(ThresholdAge04,"&lt;"&amp;'19_Расчет_аналитики'!AF1571,WeightedMinAge04),MAX(CapacityAge04*'01_Вводные'!$B$218*'19_Расчет_аналитики'!AF1571,MeanMinAge04)))</f>
        <v/>
      </c>
      <c r="AG1479">
        <f>IF(OR('19_Расчет_аналитики'!AG1451=0,4&lt;='01_Вводные'!$B$297),0,'19_Расчет_аналитики'!AG1451*IF('01_Вводные'!$B$239="Да",MeanMinAge04+'19_Расчет_аналитики'!AG1571*SUMIF(ThresholdAge04,"&lt;"&amp;'19_Расчет_аналитики'!AG1571,WeightedRevAge04)-SUMIF(ThresholdAge04,"&lt;"&amp;'19_Расчет_аналитики'!AG1571,WeightedMinAge04),MAX(CapacityAge04*'01_Вводные'!$B$218*'19_Расчет_аналитики'!AG1571,MeanMinAge04)))</f>
        <v/>
      </c>
      <c r="AH1479">
        <f>IF(OR('19_Расчет_аналитики'!AH1451=0,4&lt;='01_Вводные'!$B$297),0,'19_Расчет_аналитики'!AH1451*IF('01_Вводные'!$B$239="Да",MeanMinAge04+'19_Расчет_аналитики'!AH1571*SUMIF(ThresholdAge04,"&lt;"&amp;'19_Расчет_аналитики'!AH1571,WeightedRevAge04)-SUMIF(ThresholdAge04,"&lt;"&amp;'19_Расчет_аналитики'!AH1571,WeightedMinAge04),MAX(CapacityAge04*'01_Вводные'!$B$218*'19_Расчет_аналитики'!AH1571,MeanMinAge04)))</f>
        <v/>
      </c>
      <c r="AI1479">
        <f>IF(OR('19_Расчет_аналитики'!AI1451=0,4&lt;='01_Вводные'!$B$297),0,'19_Расчет_аналитики'!AI1451*IF('01_Вводные'!$B$239="Да",MeanMinAge04+'19_Расчет_аналитики'!AI1571*SUMIF(ThresholdAge04,"&lt;"&amp;'19_Расчет_аналитики'!AI1571,WeightedRevAge04)-SUMIF(ThresholdAge04,"&lt;"&amp;'19_Расчет_аналитики'!AI1571,WeightedMinAge04),MAX(CapacityAge04*'01_Вводные'!$B$218*'19_Расчет_аналитики'!AI1571,MeanMinAge04)))</f>
        <v/>
      </c>
      <c r="AJ1479">
        <f>IF(OR('19_Расчет_аналитики'!AJ1451=0,4&lt;='01_Вводные'!$B$297),0,'19_Расчет_аналитики'!AJ1451*IF('01_Вводные'!$B$239="Да",MeanMinAge04+'19_Расчет_аналитики'!AJ1571*SUMIF(ThresholdAge04,"&lt;"&amp;'19_Расчет_аналитики'!AJ1571,WeightedRevAge04)-SUMIF(ThresholdAge04,"&lt;"&amp;'19_Расчет_аналитики'!AJ1571,WeightedMinAge04),MAX(CapacityAge04*'01_Вводные'!$B$218*'19_Расчет_аналитики'!AJ1571,MeanMinAge04)))</f>
        <v/>
      </c>
      <c r="AK1479">
        <f>IF(OR('19_Расчет_аналитики'!AK1451=0,4&lt;='01_Вводные'!$B$297),0,'19_Расчет_аналитики'!AK1451*IF('01_Вводные'!$B$239="Да",MeanMinAge04+'19_Расчет_аналитики'!AK1571*SUMIF(ThresholdAge04,"&lt;"&amp;'19_Расчет_аналитики'!AK1571,WeightedRevAge04)-SUMIF(ThresholdAge04,"&lt;"&amp;'19_Расчет_аналитики'!AK1571,WeightedMinAge04),MAX(CapacityAge04*'01_Вводные'!$B$218*'19_Расчет_аналитики'!AK1571,MeanMinAge04)))</f>
        <v/>
      </c>
      <c r="AL1479">
        <f>IF(OR('19_Расчет_аналитики'!AL1451=0,4&lt;='01_Вводные'!$B$297),0,'19_Расчет_аналитики'!AL1451*IF('01_Вводные'!$B$239="Да",MeanMinAge04+'19_Расчет_аналитики'!AL1571*SUMIF(ThresholdAge04,"&lt;"&amp;'19_Расчет_аналитики'!AL1571,WeightedRevAge04)-SUMIF(ThresholdAge04,"&lt;"&amp;'19_Расчет_аналитики'!AL1571,WeightedMinAge04),MAX(CapacityAge04*'01_Вводные'!$B$218*'19_Расчет_аналитики'!AL1571,MeanMinAge04)))</f>
        <v/>
      </c>
      <c r="AM1479">
        <f>IF(OR('19_Расчет_аналитики'!AM1451=0,4&lt;='01_Вводные'!$B$297),0,'19_Расчет_аналитики'!AM1451*IF('01_Вводные'!$B$239="Да",MeanMinAge04+'19_Расчет_аналитики'!AM1571*SUMIF(ThresholdAge04,"&lt;"&amp;'19_Расчет_аналитики'!AM1571,WeightedRevAge04)-SUMIF(ThresholdAge04,"&lt;"&amp;'19_Расчет_аналитики'!AM1571,WeightedMinAge04),MAX(CapacityAge04*'01_Вводные'!$B$218*'19_Расчет_аналитики'!AM1571,MeanMinAge04)))</f>
        <v/>
      </c>
      <c r="AN1479">
        <f>IF(OR('19_Расчет_аналитики'!AN1451=0,4&lt;='01_Вводные'!$B$297),0,'19_Расчет_аналитики'!AN1451*IF('01_Вводные'!$B$239="Да",MeanMinAge04+'19_Расчет_аналитики'!AN1571*SUMIF(ThresholdAge04,"&lt;"&amp;'19_Расчет_аналитики'!AN1571,WeightedRevAge04)-SUMIF(ThresholdAge04,"&lt;"&amp;'19_Расчет_аналитики'!AN1571,WeightedMinAge04),MAX(CapacityAge04*'01_Вводные'!$B$218*'19_Расчет_аналитики'!AN1571,MeanMinAge04)))</f>
        <v/>
      </c>
      <c r="AO1479">
        <f>IF(OR('19_Расчет_аналитики'!AO1451=0,4&lt;='01_Вводные'!$B$297),0,'19_Расчет_аналитики'!AO1451*IF('01_Вводные'!$B$239="Да",MeanMinAge04+'19_Расчет_аналитики'!AO1571*SUMIF(ThresholdAge04,"&lt;"&amp;'19_Расчет_аналитики'!AO1571,WeightedRevAge04)-SUMIF(ThresholdAge04,"&lt;"&amp;'19_Расчет_аналитики'!AO1571,WeightedMinAge04),MAX(CapacityAge04*'01_Вводные'!$B$218*'19_Расчет_аналитики'!AO1571,MeanMinAge04)))</f>
        <v/>
      </c>
      <c r="AP1479">
        <f>IF(OR('19_Расчет_аналитики'!AP1451=0,4&lt;='01_Вводные'!$B$297),0,'19_Расчет_аналитики'!AP1451*IF('01_Вводные'!$B$239="Да",MeanMinAge04+'19_Расчет_аналитики'!AP1571*SUMIF(ThresholdAge04,"&lt;"&amp;'19_Расчет_аналитики'!AP1571,WeightedRevAge04)-SUMIF(ThresholdAge04,"&lt;"&amp;'19_Расчет_аналитики'!AP1571,WeightedMinAge04),MAX(CapacityAge04*'01_Вводные'!$B$218*'19_Расчет_аналитики'!AP1571,MeanMinAge04)))</f>
        <v/>
      </c>
      <c r="AQ1479">
        <f>IF(OR('19_Расчет_аналитики'!AQ1451=0,4&lt;='01_Вводные'!$B$297),0,'19_Расчет_аналитики'!AQ1451*IF('01_Вводные'!$B$239="Да",MeanMinAge04+'19_Расчет_аналитики'!AQ1571*SUMIF(ThresholdAge04,"&lt;"&amp;'19_Расчет_аналитики'!AQ1571,WeightedRevAge04)-SUMIF(ThresholdAge04,"&lt;"&amp;'19_Расчет_аналитики'!AQ1571,WeightedMinAge04),MAX(CapacityAge04*'01_Вводные'!$B$218*'19_Расчет_аналитики'!AQ1571,MeanMinAge04)))</f>
        <v/>
      </c>
      <c r="AR1479">
        <f>IF(OR('19_Расчет_аналитики'!AR1451=0,4&lt;='01_Вводные'!$B$297),0,'19_Расчет_аналитики'!AR1451*IF('01_Вводные'!$B$239="Да",MeanMinAge04+'19_Расчет_аналитики'!AR1571*SUMIF(ThresholdAge04,"&lt;"&amp;'19_Расчет_аналитики'!AR1571,WeightedRevAge04)-SUMIF(ThresholdAge04,"&lt;"&amp;'19_Расчет_аналитики'!AR1571,WeightedMinAge04),MAX(CapacityAge04*'01_Вводные'!$B$218*'19_Расчет_аналитики'!AR1571,MeanMinAge04)))</f>
        <v/>
      </c>
      <c r="AS1479">
        <f>IF(OR('19_Расчет_аналитики'!AS1451=0,4&lt;='01_Вводные'!$B$297),0,'19_Расчет_аналитики'!AS1451*IF('01_Вводные'!$B$239="Да",MeanMinAge04+'19_Расчет_аналитики'!AS1571*SUMIF(ThresholdAge04,"&lt;"&amp;'19_Расчет_аналитики'!AS1571,WeightedRevAge04)-SUMIF(ThresholdAge04,"&lt;"&amp;'19_Расчет_аналитики'!AS1571,WeightedMinAge04),MAX(CapacityAge04*'01_Вводные'!$B$218*'19_Расчет_аналитики'!AS1571,MeanMinAge04)))</f>
        <v/>
      </c>
      <c r="AT1479">
        <f>IF(OR('19_Расчет_аналитики'!AT1451=0,4&lt;='01_Вводные'!$B$297),0,'19_Расчет_аналитики'!AT1451*IF('01_Вводные'!$B$239="Да",MeanMinAge04+'19_Расчет_аналитики'!AT1571*SUMIF(ThresholdAge04,"&lt;"&amp;'19_Расчет_аналитики'!AT1571,WeightedRevAge04)-SUMIF(ThresholdAge04,"&lt;"&amp;'19_Расчет_аналитики'!AT1571,WeightedMinAge04),MAX(CapacityAge04*'01_Вводные'!$B$218*'19_Расчет_аналитики'!AT1571,MeanMinAge04)))</f>
        <v/>
      </c>
      <c r="AU1479">
        <f>IF(OR('19_Расчет_аналитики'!AU1451=0,4&lt;='01_Вводные'!$B$297),0,'19_Расчет_аналитики'!AU1451*IF('01_Вводные'!$B$239="Да",MeanMinAge04+'19_Расчет_аналитики'!AU1571*SUMIF(ThresholdAge04,"&lt;"&amp;'19_Расчет_аналитики'!AU1571,WeightedRevAge04)-SUMIF(ThresholdAge04,"&lt;"&amp;'19_Расчет_аналитики'!AU1571,WeightedMinAge04),MAX(CapacityAge04*'01_Вводные'!$B$218*'19_Расчет_аналитики'!AU1571,MeanMinAge04)))</f>
        <v/>
      </c>
      <c r="AV1479">
        <f>IF(OR('19_Расчет_аналитики'!AV1451=0,4&lt;='01_Вводные'!$B$297),0,'19_Расчет_аналитики'!AV1451*IF('01_Вводные'!$B$239="Да",MeanMinAge04+'19_Расчет_аналитики'!AV1571*SUMIF(ThresholdAge04,"&lt;"&amp;'19_Расчет_аналитики'!AV1571,WeightedRevAge04)-SUMIF(ThresholdAge04,"&lt;"&amp;'19_Расчет_аналитики'!AV1571,WeightedMinAge04),MAX(CapacityAge04*'01_Вводные'!$B$218*'19_Расчет_аналитики'!AV1571,MeanMinAge04)))</f>
        <v/>
      </c>
      <c r="AW1479">
        <f>IF(OR('19_Расчет_аналитики'!AW1451=0,4&lt;='01_Вводные'!$B$297),0,'19_Расчет_аналитики'!AW1451*IF('01_Вводные'!$B$239="Да",MeanMinAge04+'19_Расчет_аналитики'!AW1571*SUMIF(ThresholdAge04,"&lt;"&amp;'19_Расчет_аналитики'!AW1571,WeightedRevAge04)-SUMIF(ThresholdAge04,"&lt;"&amp;'19_Расчет_аналитики'!AW1571,WeightedMinAge04),MAX(CapacityAge04*'01_Вводные'!$B$218*'19_Расчет_аналитики'!AW1571,MeanMinAge04)))</f>
        <v/>
      </c>
      <c r="AX1479">
        <f>IF(OR('19_Расчет_аналитики'!AX1451=0,4&lt;='01_Вводные'!$B$297),0,'19_Расчет_аналитики'!AX1451*IF('01_Вводные'!$B$239="Да",MeanMinAge04+'19_Расчет_аналитики'!AX1571*SUMIF(ThresholdAge04,"&lt;"&amp;'19_Расчет_аналитики'!AX1571,WeightedRevAge04)-SUMIF(ThresholdAge04,"&lt;"&amp;'19_Расчет_аналитики'!AX1571,WeightedMinAge04),MAX(CapacityAge04*'01_Вводные'!$B$218*'19_Расчет_аналитики'!AX1571,MeanMinAge04)))</f>
        <v/>
      </c>
      <c r="AY1479">
        <f>IF(OR('19_Расчет_аналитики'!AY1451=0,4&lt;='01_Вводные'!$B$297),0,'19_Расчет_аналитики'!AY1451*IF('01_Вводные'!$B$239="Да",MeanMinAge04+'19_Расчет_аналитики'!AY1571*SUMIF(ThresholdAge04,"&lt;"&amp;'19_Расчет_аналитики'!AY1571,WeightedRevAge04)-SUMIF(ThresholdAge04,"&lt;"&amp;'19_Расчет_аналитики'!AY1571,WeightedMinAge04),MAX(CapacityAge04*'01_Вводные'!$B$218*'19_Расчет_аналитики'!AY1571,MeanMinAge04)))</f>
        <v/>
      </c>
      <c r="AZ1479">
        <f>IF(OR('19_Расчет_аналитики'!AZ1451=0,4&lt;='01_Вводные'!$B$297),0,'19_Расчет_аналитики'!AZ1451*IF('01_Вводные'!$B$239="Да",MeanMinAge04+'19_Расчет_аналитики'!AZ1571*SUMIF(ThresholdAge04,"&lt;"&amp;'19_Расчет_аналитики'!AZ1571,WeightedRevAge04)-SUMIF(ThresholdAge04,"&lt;"&amp;'19_Расчет_аналитики'!AZ1571,WeightedMinAge04),MAX(CapacityAge04*'01_Вводные'!$B$218*'19_Расчет_аналитики'!AZ1571,MeanMinAge04)))</f>
        <v/>
      </c>
      <c r="BA1479">
        <f>IF(OR('19_Расчет_аналитики'!BA1451=0,4&lt;='01_Вводные'!$B$297),0,'19_Расчет_аналитики'!BA1451*IF('01_Вводные'!$B$239="Да",MeanMinAge04+'19_Расчет_аналитики'!BA1571*SUMIF(ThresholdAge04,"&lt;"&amp;'19_Расчет_аналитики'!BA1571,WeightedRevAge04)-SUMIF(ThresholdAge04,"&lt;"&amp;'19_Расчет_аналитики'!BA1571,WeightedMinAge04),MAX(CapacityAge04*'01_Вводные'!$B$218*'19_Расчет_аналитики'!BA1571,MeanMinAge04)))</f>
        <v/>
      </c>
      <c r="BB1479">
        <f>IF(OR('19_Расчет_аналитики'!BB1451=0,4&lt;='01_Вводные'!$B$297),0,'19_Расчет_аналитики'!BB1451*IF('01_Вводные'!$B$239="Да",MeanMinAge04+'19_Расчет_аналитики'!BB1571*SUMIF(ThresholdAge04,"&lt;"&amp;'19_Расчет_аналитики'!BB1571,WeightedRevAge04)-SUMIF(ThresholdAge04,"&lt;"&amp;'19_Расчет_аналитики'!BB1571,WeightedMinAge04),MAX(CapacityAge04*'01_Вводные'!$B$218*'19_Расчет_аналитики'!BB1571,MeanMinAge04)))</f>
        <v/>
      </c>
      <c r="BC1479">
        <f>IF(OR('19_Расчет_аналитики'!BC1451=0,4&lt;='01_Вводные'!$B$297),0,'19_Расчет_аналитики'!BC1451*IF('01_Вводные'!$B$239="Да",MeanMinAge04+'19_Расчет_аналитики'!BC1571*SUMIF(ThresholdAge04,"&lt;"&amp;'19_Расчет_аналитики'!BC1571,WeightedRevAge04)-SUMIF(ThresholdAge04,"&lt;"&amp;'19_Расчет_аналитики'!BC1571,WeightedMinAge04),MAX(CapacityAge04*'01_Вводные'!$B$218*'19_Расчет_аналитики'!BC1571,MeanMinAge04)))</f>
        <v/>
      </c>
      <c r="BD1479">
        <f>IF(OR('19_Расчет_аналитики'!BD1451=0,4&lt;='01_Вводные'!$B$297),0,'19_Расчет_аналитики'!BD1451*IF('01_Вводные'!$B$239="Да",MeanMinAge04+'19_Расчет_аналитики'!BD1571*SUMIF(ThresholdAge04,"&lt;"&amp;'19_Расчет_аналитики'!BD1571,WeightedRevAge04)-SUMIF(ThresholdAge04,"&lt;"&amp;'19_Расчет_аналитики'!BD1571,WeightedMinAge04),MAX(CapacityAge04*'01_Вводные'!$B$218*'19_Расчет_аналитики'!BD1571,MeanMinAge04)))</f>
        <v/>
      </c>
      <c r="BE1479">
        <f>IF(OR('19_Расчет_аналитики'!BE1451=0,4&lt;='01_Вводные'!$B$297),0,'19_Расчет_аналитики'!BE1451*IF('01_Вводные'!$B$239="Да",MeanMinAge04+'19_Расчет_аналитики'!BE1571*SUMIF(ThresholdAge04,"&lt;"&amp;'19_Расчет_аналитики'!BE1571,WeightedRevAge04)-SUMIF(ThresholdAge04,"&lt;"&amp;'19_Расчет_аналитики'!BE1571,WeightedMinAge04),MAX(CapacityAge04*'01_Вводные'!$B$218*'19_Расчет_аналитики'!BE1571,MeanMinAge04)))</f>
        <v/>
      </c>
      <c r="BF1479">
        <f>IF(OR('19_Расчет_аналитики'!BF1451=0,4&lt;='01_Вводные'!$B$297),0,'19_Расчет_аналитики'!BF1451*IF('01_Вводные'!$B$239="Да",MeanMinAge04+'19_Расчет_аналитики'!BF1571*SUMIF(ThresholdAge04,"&lt;"&amp;'19_Расчет_аналитики'!BF1571,WeightedRevAge04)-SUMIF(ThresholdAge04,"&lt;"&amp;'19_Расчет_аналитики'!BF1571,WeightedMinAge04),MAX(CapacityAge04*'01_Вводные'!$B$218*'19_Расчет_аналитики'!BF1571,MeanMinAge04)))</f>
        <v/>
      </c>
      <c r="BG1479">
        <f>IF(OR('19_Расчет_аналитики'!BG1451=0,4&lt;='01_Вводные'!$B$297),0,'19_Расчет_аналитики'!BG1451*IF('01_Вводные'!$B$239="Да",MeanMinAge04+'19_Расчет_аналитики'!BG1571*SUMIF(ThresholdAge04,"&lt;"&amp;'19_Расчет_аналитики'!BG1571,WeightedRevAge04)-SUMIF(ThresholdAge04,"&lt;"&amp;'19_Расчет_аналитики'!BG1571,WeightedMinAge04),MAX(CapacityAge04*'01_Вводные'!$B$218*'19_Расчет_аналитики'!BG1571,MeanMinAge04)))</f>
        <v/>
      </c>
      <c r="BH1479">
        <f>IF(OR('19_Расчет_аналитики'!BH1451=0,4&lt;='01_Вводные'!$B$297),0,'19_Расчет_аналитики'!BH1451*IF('01_Вводные'!$B$239="Да",MeanMinAge04+'19_Расчет_аналитики'!BH1571*SUMIF(ThresholdAge04,"&lt;"&amp;'19_Расчет_аналитики'!BH1571,WeightedRevAge04)-SUMIF(ThresholdAge04,"&lt;"&amp;'19_Расчет_аналитики'!BH1571,WeightedMinAge04),MAX(CapacityAge04*'01_Вводные'!$B$218*'19_Расчет_аналитики'!BH1571,MeanMinAge04)))</f>
        <v/>
      </c>
      <c r="BI1479">
        <f>IF(OR('19_Расчет_аналитики'!BI1451=0,4&lt;='01_Вводные'!$B$297),0,'19_Расчет_аналитики'!BI1451*IF('01_Вводные'!$B$239="Да",MeanMinAge04+'19_Расчет_аналитики'!BI1571*SUMIF(ThresholdAge04,"&lt;"&amp;'19_Расчет_аналитики'!BI1571,WeightedRevAge04)-SUMIF(ThresholdAge04,"&lt;"&amp;'19_Расчет_аналитики'!BI1571,WeightedMinAge04),MAX(CapacityAge04*'01_Вводные'!$B$218*'19_Расчет_аналитики'!BI1571,MeanMinAge04)))</f>
        <v/>
      </c>
      <c r="BJ1479">
        <f>IF(OR('19_Расчет_аналитики'!BJ1451=0,4&lt;='01_Вводные'!$B$297),0,'19_Расчет_аналитики'!BJ1451*IF('01_Вводные'!$B$239="Да",MeanMinAge04+'19_Расчет_аналитики'!BJ1571*SUMIF(ThresholdAge04,"&lt;"&amp;'19_Расчет_аналитики'!BJ1571,WeightedRevAge04)-SUMIF(ThresholdAge04,"&lt;"&amp;'19_Расчет_аналитики'!BJ1571,WeightedMinAge04),MAX(CapacityAge04*'01_Вводные'!$B$218*'19_Расчет_аналитики'!BJ1571,MeanMinAge04)))</f>
        <v/>
      </c>
      <c r="BK1479">
        <f>IF(OR('19_Расчет_аналитики'!BK1451=0,4&lt;='01_Вводные'!$B$297),0,'19_Расчет_аналитики'!BK1451*IF('01_Вводные'!$B$239="Да",MeanMinAge04+'19_Расчет_аналитики'!BK1571*SUMIF(ThresholdAge04,"&lt;"&amp;'19_Расчет_аналитики'!BK1571,WeightedRevAge04)-SUMIF(ThresholdAge04,"&lt;"&amp;'19_Расчет_аналитики'!BK1571,WeightedMinAge04),MAX(CapacityAge04*'01_Вводные'!$B$218*'19_Расчет_аналитики'!BK1571,MeanMinAge04)))</f>
        <v/>
      </c>
      <c r="BL1479">
        <f>IF(OR('19_Расчет_аналитики'!BL1451=0,4&lt;='01_Вводные'!$B$297),0,'19_Расчет_аналитики'!BL1451*IF('01_Вводные'!$B$239="Да",MeanMinAge04+'19_Расчет_аналитики'!BL1571*SUMIF(ThresholdAge04,"&lt;"&amp;'19_Расчет_аналитики'!BL1571,WeightedRevAge04)-SUMIF(ThresholdAge04,"&lt;"&amp;'19_Расчет_аналитики'!BL1571,WeightedMinAge04),MAX(CapacityAge04*'01_Вводные'!$B$218*'19_Расчет_аналитики'!BL1571,MeanMinAge04)))</f>
        <v/>
      </c>
      <c r="BM1479">
        <f>IF(OR('19_Расчет_аналитики'!BM1451=0,4&lt;='01_Вводные'!$B$297),0,'19_Расчет_аналитики'!BM1451*IF('01_Вводные'!$B$239="Да",MeanMinAge04+'19_Расчет_аналитики'!BM1571*SUMIF(ThresholdAge04,"&lt;"&amp;'19_Расчет_аналитики'!BM1571,WeightedRevAge04)-SUMIF(ThresholdAge04,"&lt;"&amp;'19_Расчет_аналитики'!BM1571,WeightedMinAge04),MAX(CapacityAge04*'01_Вводные'!$B$218*'19_Расчет_аналитики'!BM1571,MeanMinAge04)))</f>
        <v/>
      </c>
      <c r="BN1479">
        <f>IF(OR('19_Расчет_аналитики'!BN1451=0,4&lt;='01_Вводные'!$B$297),0,'19_Расчет_аналитики'!BN1451*IF('01_Вводные'!$B$239="Да",MeanMinAge04+'19_Расчет_аналитики'!BN1571*SUMIF(ThresholdAge04,"&lt;"&amp;'19_Расчет_аналитики'!BN1571,WeightedRevAge04)-SUMIF(ThresholdAge04,"&lt;"&amp;'19_Расчет_аналитики'!BN1571,WeightedMinAge04),MAX(CapacityAge04*'01_Вводные'!$B$218*'19_Расчет_аналитики'!BN1571,MeanMinAge04)))</f>
        <v/>
      </c>
      <c r="BO1479">
        <f>IF(OR('19_Расчет_аналитики'!BO1451=0,4&lt;='01_Вводные'!$B$297),0,'19_Расчет_аналитики'!BO1451*IF('01_Вводные'!$B$239="Да",MeanMinAge04+'19_Расчет_аналитики'!BO1571*SUMIF(ThresholdAge04,"&lt;"&amp;'19_Расчет_аналитики'!BO1571,WeightedRevAge04)-SUMIF(ThresholdAge04,"&lt;"&amp;'19_Расчет_аналитики'!BO1571,WeightedMinAge04),MAX(CapacityAge04*'01_Вводные'!$B$218*'19_Расчет_аналитики'!BO1571,MeanMinAge04)))</f>
        <v/>
      </c>
    </row>
    <row r="1480">
      <c r="B1480">
        <f>IF(OR('06_Сеть_и_дети'!B85=0,5&lt;='01_Вводные'!$B$297),0,'06_Сеть_и_дети'!B85*IF('01_Вводные'!$B$239="Да",MeanMinAge05+'19_Расчет_аналитики'!B1571*SUMIF(ThresholdAge05,"&lt;"&amp;'19_Расчет_аналитики'!B1571,WeightedRevAge05)-SUMIF(ThresholdAge05,"&lt;"&amp;'19_Расчет_аналитики'!B1571,WeightedMinAge05),MAX(CapacityAge05*'01_Вводные'!$B$218*'19_Расчет_аналитики'!B1571,MeanMinAge05)))</f>
        <v/>
      </c>
      <c r="C1480">
        <f>IF(OR('06_Сеть_и_дети'!C85=0,5&lt;='01_Вводные'!$B$297),0,'06_Сеть_и_дети'!C85*IF('01_Вводные'!$B$239="Да",MeanMinAge05+'19_Расчет_аналитики'!C1571*SUMIF(ThresholdAge05,"&lt;"&amp;'19_Расчет_аналитики'!C1571,WeightedRevAge05)-SUMIF(ThresholdAge05,"&lt;"&amp;'19_Расчет_аналитики'!C1571,WeightedMinAge05),MAX(CapacityAge05*'01_Вводные'!$B$218*'19_Расчет_аналитики'!C1571,MeanMinAge05)))</f>
        <v/>
      </c>
      <c r="D1480">
        <f>IF(OR('06_Сеть_и_дети'!D85=0,5&lt;='01_Вводные'!$B$297),0,'06_Сеть_и_дети'!D85*IF('01_Вводные'!$B$239="Да",MeanMinAge05+'19_Расчет_аналитики'!D1571*SUMIF(ThresholdAge05,"&lt;"&amp;'19_Расчет_аналитики'!D1571,WeightedRevAge05)-SUMIF(ThresholdAge05,"&lt;"&amp;'19_Расчет_аналитики'!D1571,WeightedMinAge05),MAX(CapacityAge05*'01_Вводные'!$B$218*'19_Расчет_аналитики'!D1571,MeanMinAge05)))</f>
        <v/>
      </c>
      <c r="E1480">
        <f>IF(OR('06_Сеть_и_дети'!E85=0,5&lt;='01_Вводные'!$B$297),0,'06_Сеть_и_дети'!E85*IF('01_Вводные'!$B$239="Да",MeanMinAge05+'19_Расчет_аналитики'!E1571*SUMIF(ThresholdAge05,"&lt;"&amp;'19_Расчет_аналитики'!E1571,WeightedRevAge05)-SUMIF(ThresholdAge05,"&lt;"&amp;'19_Расчет_аналитики'!E1571,WeightedMinAge05),MAX(CapacityAge05*'01_Вводные'!$B$218*'19_Расчет_аналитики'!E1571,MeanMinAge05)))</f>
        <v/>
      </c>
      <c r="F1480">
        <f>IF(OR('19_Расчет_аналитики'!F1452=0,5&lt;='01_Вводные'!$B$297),0,'19_Расчет_аналитики'!F1452*IF('01_Вводные'!$B$239="Да",MeanMinAge05+'19_Расчет_аналитики'!F1571*SUMIF(ThresholdAge05,"&lt;"&amp;'19_Расчет_аналитики'!F1571,WeightedRevAge05)-SUMIF(ThresholdAge05,"&lt;"&amp;'19_Расчет_аналитики'!F1571,WeightedMinAge05),MAX(CapacityAge05*'01_Вводные'!$B$218*'19_Расчет_аналитики'!F1571,MeanMinAge05)))</f>
        <v/>
      </c>
      <c r="G1480">
        <f>IF(OR('19_Расчет_аналитики'!G1452=0,5&lt;='01_Вводные'!$B$297),0,'19_Расчет_аналитики'!G1452*IF('01_Вводные'!$B$239="Да",MeanMinAge05+'19_Расчет_аналитики'!G1571*SUMIF(ThresholdAge05,"&lt;"&amp;'19_Расчет_аналитики'!G1571,WeightedRevAge05)-SUMIF(ThresholdAge05,"&lt;"&amp;'19_Расчет_аналитики'!G1571,WeightedMinAge05),MAX(CapacityAge05*'01_Вводные'!$B$218*'19_Расчет_аналитики'!G1571,MeanMinAge05)))</f>
        <v/>
      </c>
      <c r="H1480">
        <f>IF(OR('19_Расчет_аналитики'!H1452=0,5&lt;='01_Вводные'!$B$297),0,'19_Расчет_аналитики'!H1452*IF('01_Вводные'!$B$239="Да",MeanMinAge05+'19_Расчет_аналитики'!H1571*SUMIF(ThresholdAge05,"&lt;"&amp;'19_Расчет_аналитики'!H1571,WeightedRevAge05)-SUMIF(ThresholdAge05,"&lt;"&amp;'19_Расчет_аналитики'!H1571,WeightedMinAge05),MAX(CapacityAge05*'01_Вводные'!$B$218*'19_Расчет_аналитики'!H1571,MeanMinAge05)))</f>
        <v/>
      </c>
      <c r="I1480">
        <f>IF(OR('19_Расчет_аналитики'!I1452=0,5&lt;='01_Вводные'!$B$297),0,'19_Расчет_аналитики'!I1452*IF('01_Вводные'!$B$239="Да",MeanMinAge05+'19_Расчет_аналитики'!I1571*SUMIF(ThresholdAge05,"&lt;"&amp;'19_Расчет_аналитики'!I1571,WeightedRevAge05)-SUMIF(ThresholdAge05,"&lt;"&amp;'19_Расчет_аналитики'!I1571,WeightedMinAge05),MAX(CapacityAge05*'01_Вводные'!$B$218*'19_Расчет_аналитики'!I1571,MeanMinAge05)))</f>
        <v/>
      </c>
      <c r="J1480">
        <f>IF(OR('19_Расчет_аналитики'!J1452=0,5&lt;='01_Вводные'!$B$297),0,'19_Расчет_аналитики'!J1452*IF('01_Вводные'!$B$239="Да",MeanMinAge05+'19_Расчет_аналитики'!J1571*SUMIF(ThresholdAge05,"&lt;"&amp;'19_Расчет_аналитики'!J1571,WeightedRevAge05)-SUMIF(ThresholdAge05,"&lt;"&amp;'19_Расчет_аналитики'!J1571,WeightedMinAge05),MAX(CapacityAge05*'01_Вводные'!$B$218*'19_Расчет_аналитики'!J1571,MeanMinAge05)))</f>
        <v/>
      </c>
      <c r="K1480">
        <f>IF(OR('19_Расчет_аналитики'!K1452=0,5&lt;='01_Вводные'!$B$297),0,'19_Расчет_аналитики'!K1452*IF('01_Вводные'!$B$239="Да",MeanMinAge05+'19_Расчет_аналитики'!K1571*SUMIF(ThresholdAge05,"&lt;"&amp;'19_Расчет_аналитики'!K1571,WeightedRevAge05)-SUMIF(ThresholdAge05,"&lt;"&amp;'19_Расчет_аналитики'!K1571,WeightedMinAge05),MAX(CapacityAge05*'01_Вводные'!$B$218*'19_Расчет_аналитики'!K1571,MeanMinAge05)))</f>
        <v/>
      </c>
      <c r="L1480">
        <f>IF(OR('19_Расчет_аналитики'!L1452=0,5&lt;='01_Вводные'!$B$297),0,'19_Расчет_аналитики'!L1452*IF('01_Вводные'!$B$239="Да",MeanMinAge05+'19_Расчет_аналитики'!L1571*SUMIF(ThresholdAge05,"&lt;"&amp;'19_Расчет_аналитики'!L1571,WeightedRevAge05)-SUMIF(ThresholdAge05,"&lt;"&amp;'19_Расчет_аналитики'!L1571,WeightedMinAge05),MAX(CapacityAge05*'01_Вводные'!$B$218*'19_Расчет_аналитики'!L1571,MeanMinAge05)))</f>
        <v/>
      </c>
      <c r="M1480">
        <f>IF(OR('19_Расчет_аналитики'!M1452=0,5&lt;='01_Вводные'!$B$297),0,'19_Расчет_аналитики'!M1452*IF('01_Вводные'!$B$239="Да",MeanMinAge05+'19_Расчет_аналитики'!M1571*SUMIF(ThresholdAge05,"&lt;"&amp;'19_Расчет_аналитики'!M1571,WeightedRevAge05)-SUMIF(ThresholdAge05,"&lt;"&amp;'19_Расчет_аналитики'!M1571,WeightedMinAge05),MAX(CapacityAge05*'01_Вводные'!$B$218*'19_Расчет_аналитики'!M1571,MeanMinAge05)))</f>
        <v/>
      </c>
      <c r="N1480">
        <f>IF(OR('19_Расчет_аналитики'!N1452=0,5&lt;='01_Вводные'!$B$297),0,'19_Расчет_аналитики'!N1452*IF('01_Вводные'!$B$239="Да",MeanMinAge05+'19_Расчет_аналитики'!N1571*SUMIF(ThresholdAge05,"&lt;"&amp;'19_Расчет_аналитики'!N1571,WeightedRevAge05)-SUMIF(ThresholdAge05,"&lt;"&amp;'19_Расчет_аналитики'!N1571,WeightedMinAge05),MAX(CapacityAge05*'01_Вводные'!$B$218*'19_Расчет_аналитики'!N1571,MeanMinAge05)))</f>
        <v/>
      </c>
      <c r="O1480">
        <f>IF(OR('19_Расчет_аналитики'!O1452=0,5&lt;='01_Вводные'!$B$297),0,'19_Расчет_аналитики'!O1452*IF('01_Вводные'!$B$239="Да",MeanMinAge05+'19_Расчет_аналитики'!O1571*SUMIF(ThresholdAge05,"&lt;"&amp;'19_Расчет_аналитики'!O1571,WeightedRevAge05)-SUMIF(ThresholdAge05,"&lt;"&amp;'19_Расчет_аналитики'!O1571,WeightedMinAge05),MAX(CapacityAge05*'01_Вводные'!$B$218*'19_Расчет_аналитики'!O1571,MeanMinAge05)))</f>
        <v/>
      </c>
      <c r="P1480">
        <f>IF(OR('19_Расчет_аналитики'!P1452=0,5&lt;='01_Вводные'!$B$297),0,'19_Расчет_аналитики'!P1452*IF('01_Вводные'!$B$239="Да",MeanMinAge05+'19_Расчет_аналитики'!P1571*SUMIF(ThresholdAge05,"&lt;"&amp;'19_Расчет_аналитики'!P1571,WeightedRevAge05)-SUMIF(ThresholdAge05,"&lt;"&amp;'19_Расчет_аналитики'!P1571,WeightedMinAge05),MAX(CapacityAge05*'01_Вводные'!$B$218*'19_Расчет_аналитики'!P1571,MeanMinAge05)))</f>
        <v/>
      </c>
      <c r="Q1480">
        <f>IF(OR('19_Расчет_аналитики'!Q1452=0,5&lt;='01_Вводные'!$B$297),0,'19_Расчет_аналитики'!Q1452*IF('01_Вводные'!$B$239="Да",MeanMinAge05+'19_Расчет_аналитики'!Q1571*SUMIF(ThresholdAge05,"&lt;"&amp;'19_Расчет_аналитики'!Q1571,WeightedRevAge05)-SUMIF(ThresholdAge05,"&lt;"&amp;'19_Расчет_аналитики'!Q1571,WeightedMinAge05),MAX(CapacityAge05*'01_Вводные'!$B$218*'19_Расчет_аналитики'!Q1571,MeanMinAge05)))</f>
        <v/>
      </c>
      <c r="R1480">
        <f>IF(OR('19_Расчет_аналитики'!R1452=0,5&lt;='01_Вводные'!$B$297),0,'19_Расчет_аналитики'!R1452*IF('01_Вводные'!$B$239="Да",MeanMinAge05+'19_Расчет_аналитики'!R1571*SUMIF(ThresholdAge05,"&lt;"&amp;'19_Расчет_аналитики'!R1571,WeightedRevAge05)-SUMIF(ThresholdAge05,"&lt;"&amp;'19_Расчет_аналитики'!R1571,WeightedMinAge05),MAX(CapacityAge05*'01_Вводные'!$B$218*'19_Расчет_аналитики'!R1571,MeanMinAge05)))</f>
        <v/>
      </c>
      <c r="S1480">
        <f>IF(OR('19_Расчет_аналитики'!S1452=0,5&lt;='01_Вводные'!$B$297),0,'19_Расчет_аналитики'!S1452*IF('01_Вводные'!$B$239="Да",MeanMinAge05+'19_Расчет_аналитики'!S1571*SUMIF(ThresholdAge05,"&lt;"&amp;'19_Расчет_аналитики'!S1571,WeightedRevAge05)-SUMIF(ThresholdAge05,"&lt;"&amp;'19_Расчет_аналитики'!S1571,WeightedMinAge05),MAX(CapacityAge05*'01_Вводные'!$B$218*'19_Расчет_аналитики'!S1571,MeanMinAge05)))</f>
        <v/>
      </c>
      <c r="T1480">
        <f>IF(OR('19_Расчет_аналитики'!T1452=0,5&lt;='01_Вводные'!$B$297),0,'19_Расчет_аналитики'!T1452*IF('01_Вводные'!$B$239="Да",MeanMinAge05+'19_Расчет_аналитики'!T1571*SUMIF(ThresholdAge05,"&lt;"&amp;'19_Расчет_аналитики'!T1571,WeightedRevAge05)-SUMIF(ThresholdAge05,"&lt;"&amp;'19_Расчет_аналитики'!T1571,WeightedMinAge05),MAX(CapacityAge05*'01_Вводные'!$B$218*'19_Расчет_аналитики'!T1571,MeanMinAge05)))</f>
        <v/>
      </c>
      <c r="U1480">
        <f>IF(OR('19_Расчет_аналитики'!U1452=0,5&lt;='01_Вводные'!$B$297),0,'19_Расчет_аналитики'!U1452*IF('01_Вводные'!$B$239="Да",MeanMinAge05+'19_Расчет_аналитики'!U1571*SUMIF(ThresholdAge05,"&lt;"&amp;'19_Расчет_аналитики'!U1571,WeightedRevAge05)-SUMIF(ThresholdAge05,"&lt;"&amp;'19_Расчет_аналитики'!U1571,WeightedMinAge05),MAX(CapacityAge05*'01_Вводные'!$B$218*'19_Расчет_аналитики'!U1571,MeanMinAge05)))</f>
        <v/>
      </c>
      <c r="V1480">
        <f>IF(OR('19_Расчет_аналитики'!V1452=0,5&lt;='01_Вводные'!$B$297),0,'19_Расчет_аналитики'!V1452*IF('01_Вводные'!$B$239="Да",MeanMinAge05+'19_Расчет_аналитики'!V1571*SUMIF(ThresholdAge05,"&lt;"&amp;'19_Расчет_аналитики'!V1571,WeightedRevAge05)-SUMIF(ThresholdAge05,"&lt;"&amp;'19_Расчет_аналитики'!V1571,WeightedMinAge05),MAX(CapacityAge05*'01_Вводные'!$B$218*'19_Расчет_аналитики'!V1571,MeanMinAge05)))</f>
        <v/>
      </c>
      <c r="W1480">
        <f>IF(OR('19_Расчет_аналитики'!W1452=0,5&lt;='01_Вводные'!$B$297),0,'19_Расчет_аналитики'!W1452*IF('01_Вводные'!$B$239="Да",MeanMinAge05+'19_Расчет_аналитики'!W1571*SUMIF(ThresholdAge05,"&lt;"&amp;'19_Расчет_аналитики'!W1571,WeightedRevAge05)-SUMIF(ThresholdAge05,"&lt;"&amp;'19_Расчет_аналитики'!W1571,WeightedMinAge05),MAX(CapacityAge05*'01_Вводные'!$B$218*'19_Расчет_аналитики'!W1571,MeanMinAge05)))</f>
        <v/>
      </c>
      <c r="X1480">
        <f>IF(OR('19_Расчет_аналитики'!X1452=0,5&lt;='01_Вводные'!$B$297),0,'19_Расчет_аналитики'!X1452*IF('01_Вводные'!$B$239="Да",MeanMinAge05+'19_Расчет_аналитики'!X1571*SUMIF(ThresholdAge05,"&lt;"&amp;'19_Расчет_аналитики'!X1571,WeightedRevAge05)-SUMIF(ThresholdAge05,"&lt;"&amp;'19_Расчет_аналитики'!X1571,WeightedMinAge05),MAX(CapacityAge05*'01_Вводные'!$B$218*'19_Расчет_аналитики'!X1571,MeanMinAge05)))</f>
        <v/>
      </c>
      <c r="Y1480">
        <f>IF(OR('19_Расчет_аналитики'!Y1452=0,5&lt;='01_Вводные'!$B$297),0,'19_Расчет_аналитики'!Y1452*IF('01_Вводные'!$B$239="Да",MeanMinAge05+'19_Расчет_аналитики'!Y1571*SUMIF(ThresholdAge05,"&lt;"&amp;'19_Расчет_аналитики'!Y1571,WeightedRevAge05)-SUMIF(ThresholdAge05,"&lt;"&amp;'19_Расчет_аналитики'!Y1571,WeightedMinAge05),MAX(CapacityAge05*'01_Вводные'!$B$218*'19_Расчет_аналитики'!Y1571,MeanMinAge05)))</f>
        <v/>
      </c>
      <c r="Z1480">
        <f>IF(OR('19_Расчет_аналитики'!Z1452=0,5&lt;='01_Вводные'!$B$297),0,'19_Расчет_аналитики'!Z1452*IF('01_Вводные'!$B$239="Да",MeanMinAge05+'19_Расчет_аналитики'!Z1571*SUMIF(ThresholdAge05,"&lt;"&amp;'19_Расчет_аналитики'!Z1571,WeightedRevAge05)-SUMIF(ThresholdAge05,"&lt;"&amp;'19_Расчет_аналитики'!Z1571,WeightedMinAge05),MAX(CapacityAge05*'01_Вводные'!$B$218*'19_Расчет_аналитики'!Z1571,MeanMinAge05)))</f>
        <v/>
      </c>
      <c r="AA1480">
        <f>IF(OR('19_Расчет_аналитики'!AA1452=0,5&lt;='01_Вводные'!$B$297),0,'19_Расчет_аналитики'!AA1452*IF('01_Вводные'!$B$239="Да",MeanMinAge05+'19_Расчет_аналитики'!AA1571*SUMIF(ThresholdAge05,"&lt;"&amp;'19_Расчет_аналитики'!AA1571,WeightedRevAge05)-SUMIF(ThresholdAge05,"&lt;"&amp;'19_Расчет_аналитики'!AA1571,WeightedMinAge05),MAX(CapacityAge05*'01_Вводные'!$B$218*'19_Расчет_аналитики'!AA1571,MeanMinAge05)))</f>
        <v/>
      </c>
      <c r="AB1480">
        <f>IF(OR('19_Расчет_аналитики'!AB1452=0,5&lt;='01_Вводные'!$B$297),0,'19_Расчет_аналитики'!AB1452*IF('01_Вводные'!$B$239="Да",MeanMinAge05+'19_Расчет_аналитики'!AB1571*SUMIF(ThresholdAge05,"&lt;"&amp;'19_Расчет_аналитики'!AB1571,WeightedRevAge05)-SUMIF(ThresholdAge05,"&lt;"&amp;'19_Расчет_аналитики'!AB1571,WeightedMinAge05),MAX(CapacityAge05*'01_Вводные'!$B$218*'19_Расчет_аналитики'!AB1571,MeanMinAge05)))</f>
        <v/>
      </c>
      <c r="AC1480">
        <f>IF(OR('19_Расчет_аналитики'!AC1452=0,5&lt;='01_Вводные'!$B$297),0,'19_Расчет_аналитики'!AC1452*IF('01_Вводные'!$B$239="Да",MeanMinAge05+'19_Расчет_аналитики'!AC1571*SUMIF(ThresholdAge05,"&lt;"&amp;'19_Расчет_аналитики'!AC1571,WeightedRevAge05)-SUMIF(ThresholdAge05,"&lt;"&amp;'19_Расчет_аналитики'!AC1571,WeightedMinAge05),MAX(CapacityAge05*'01_Вводные'!$B$218*'19_Расчет_аналитики'!AC1571,MeanMinAge05)))</f>
        <v/>
      </c>
      <c r="AD1480">
        <f>IF(OR('19_Расчет_аналитики'!AD1452=0,5&lt;='01_Вводные'!$B$297),0,'19_Расчет_аналитики'!AD1452*IF('01_Вводные'!$B$239="Да",MeanMinAge05+'19_Расчет_аналитики'!AD1571*SUMIF(ThresholdAge05,"&lt;"&amp;'19_Расчет_аналитики'!AD1571,WeightedRevAge05)-SUMIF(ThresholdAge05,"&lt;"&amp;'19_Расчет_аналитики'!AD1571,WeightedMinAge05),MAX(CapacityAge05*'01_Вводные'!$B$218*'19_Расчет_аналитики'!AD1571,MeanMinAge05)))</f>
        <v/>
      </c>
      <c r="AE1480">
        <f>IF(OR('19_Расчет_аналитики'!AE1452=0,5&lt;='01_Вводные'!$B$297),0,'19_Расчет_аналитики'!AE1452*IF('01_Вводные'!$B$239="Да",MeanMinAge05+'19_Расчет_аналитики'!AE1571*SUMIF(ThresholdAge05,"&lt;"&amp;'19_Расчет_аналитики'!AE1571,WeightedRevAge05)-SUMIF(ThresholdAge05,"&lt;"&amp;'19_Расчет_аналитики'!AE1571,WeightedMinAge05),MAX(CapacityAge05*'01_Вводные'!$B$218*'19_Расчет_аналитики'!AE1571,MeanMinAge05)))</f>
        <v/>
      </c>
      <c r="AF1480">
        <f>IF(OR('19_Расчет_аналитики'!AF1452=0,5&lt;='01_Вводные'!$B$297),0,'19_Расчет_аналитики'!AF1452*IF('01_Вводные'!$B$239="Да",MeanMinAge05+'19_Расчет_аналитики'!AF1571*SUMIF(ThresholdAge05,"&lt;"&amp;'19_Расчет_аналитики'!AF1571,WeightedRevAge05)-SUMIF(ThresholdAge05,"&lt;"&amp;'19_Расчет_аналитики'!AF1571,WeightedMinAge05),MAX(CapacityAge05*'01_Вводные'!$B$218*'19_Расчет_аналитики'!AF1571,MeanMinAge05)))</f>
        <v/>
      </c>
      <c r="AG1480">
        <f>IF(OR('19_Расчет_аналитики'!AG1452=0,5&lt;='01_Вводные'!$B$297),0,'19_Расчет_аналитики'!AG1452*IF('01_Вводные'!$B$239="Да",MeanMinAge05+'19_Расчет_аналитики'!AG1571*SUMIF(ThresholdAge05,"&lt;"&amp;'19_Расчет_аналитики'!AG1571,WeightedRevAge05)-SUMIF(ThresholdAge05,"&lt;"&amp;'19_Расчет_аналитики'!AG1571,WeightedMinAge05),MAX(CapacityAge05*'01_Вводные'!$B$218*'19_Расчет_аналитики'!AG1571,MeanMinAge05)))</f>
        <v/>
      </c>
      <c r="AH1480">
        <f>IF(OR('19_Расчет_аналитики'!AH1452=0,5&lt;='01_Вводные'!$B$297),0,'19_Расчет_аналитики'!AH1452*IF('01_Вводные'!$B$239="Да",MeanMinAge05+'19_Расчет_аналитики'!AH1571*SUMIF(ThresholdAge05,"&lt;"&amp;'19_Расчет_аналитики'!AH1571,WeightedRevAge05)-SUMIF(ThresholdAge05,"&lt;"&amp;'19_Расчет_аналитики'!AH1571,WeightedMinAge05),MAX(CapacityAge05*'01_Вводные'!$B$218*'19_Расчет_аналитики'!AH1571,MeanMinAge05)))</f>
        <v/>
      </c>
      <c r="AI1480">
        <f>IF(OR('19_Расчет_аналитики'!AI1452=0,5&lt;='01_Вводные'!$B$297),0,'19_Расчет_аналитики'!AI1452*IF('01_Вводные'!$B$239="Да",MeanMinAge05+'19_Расчет_аналитики'!AI1571*SUMIF(ThresholdAge05,"&lt;"&amp;'19_Расчет_аналитики'!AI1571,WeightedRevAge05)-SUMIF(ThresholdAge05,"&lt;"&amp;'19_Расчет_аналитики'!AI1571,WeightedMinAge05),MAX(CapacityAge05*'01_Вводные'!$B$218*'19_Расчет_аналитики'!AI1571,MeanMinAge05)))</f>
        <v/>
      </c>
      <c r="AJ1480">
        <f>IF(OR('19_Расчет_аналитики'!AJ1452=0,5&lt;='01_Вводные'!$B$297),0,'19_Расчет_аналитики'!AJ1452*IF('01_Вводные'!$B$239="Да",MeanMinAge05+'19_Расчет_аналитики'!AJ1571*SUMIF(ThresholdAge05,"&lt;"&amp;'19_Расчет_аналитики'!AJ1571,WeightedRevAge05)-SUMIF(ThresholdAge05,"&lt;"&amp;'19_Расчет_аналитики'!AJ1571,WeightedMinAge05),MAX(CapacityAge05*'01_Вводные'!$B$218*'19_Расчет_аналитики'!AJ1571,MeanMinAge05)))</f>
        <v/>
      </c>
      <c r="AK1480">
        <f>IF(OR('19_Расчет_аналитики'!AK1452=0,5&lt;='01_Вводные'!$B$297),0,'19_Расчет_аналитики'!AK1452*IF('01_Вводные'!$B$239="Да",MeanMinAge05+'19_Расчет_аналитики'!AK1571*SUMIF(ThresholdAge05,"&lt;"&amp;'19_Расчет_аналитики'!AK1571,WeightedRevAge05)-SUMIF(ThresholdAge05,"&lt;"&amp;'19_Расчет_аналитики'!AK1571,WeightedMinAge05),MAX(CapacityAge05*'01_Вводные'!$B$218*'19_Расчет_аналитики'!AK1571,MeanMinAge05)))</f>
        <v/>
      </c>
      <c r="AL1480">
        <f>IF(OR('19_Расчет_аналитики'!AL1452=0,5&lt;='01_Вводные'!$B$297),0,'19_Расчет_аналитики'!AL1452*IF('01_Вводные'!$B$239="Да",MeanMinAge05+'19_Расчет_аналитики'!AL1571*SUMIF(ThresholdAge05,"&lt;"&amp;'19_Расчет_аналитики'!AL1571,WeightedRevAge05)-SUMIF(ThresholdAge05,"&lt;"&amp;'19_Расчет_аналитики'!AL1571,WeightedMinAge05),MAX(CapacityAge05*'01_Вводные'!$B$218*'19_Расчет_аналитики'!AL1571,MeanMinAge05)))</f>
        <v/>
      </c>
      <c r="AM1480">
        <f>IF(OR('19_Расчет_аналитики'!AM1452=0,5&lt;='01_Вводные'!$B$297),0,'19_Расчет_аналитики'!AM1452*IF('01_Вводные'!$B$239="Да",MeanMinAge05+'19_Расчет_аналитики'!AM1571*SUMIF(ThresholdAge05,"&lt;"&amp;'19_Расчет_аналитики'!AM1571,WeightedRevAge05)-SUMIF(ThresholdAge05,"&lt;"&amp;'19_Расчет_аналитики'!AM1571,WeightedMinAge05),MAX(CapacityAge05*'01_Вводные'!$B$218*'19_Расчет_аналитики'!AM1571,MeanMinAge05)))</f>
        <v/>
      </c>
      <c r="AN1480">
        <f>IF(OR('19_Расчет_аналитики'!AN1452=0,5&lt;='01_Вводные'!$B$297),0,'19_Расчет_аналитики'!AN1452*IF('01_Вводные'!$B$239="Да",MeanMinAge05+'19_Расчет_аналитики'!AN1571*SUMIF(ThresholdAge05,"&lt;"&amp;'19_Расчет_аналитики'!AN1571,WeightedRevAge05)-SUMIF(ThresholdAge05,"&lt;"&amp;'19_Расчет_аналитики'!AN1571,WeightedMinAge05),MAX(CapacityAge05*'01_Вводные'!$B$218*'19_Расчет_аналитики'!AN1571,MeanMinAge05)))</f>
        <v/>
      </c>
      <c r="AO1480">
        <f>IF(OR('19_Расчет_аналитики'!AO1452=0,5&lt;='01_Вводные'!$B$297),0,'19_Расчет_аналитики'!AO1452*IF('01_Вводные'!$B$239="Да",MeanMinAge05+'19_Расчет_аналитики'!AO1571*SUMIF(ThresholdAge05,"&lt;"&amp;'19_Расчет_аналитики'!AO1571,WeightedRevAge05)-SUMIF(ThresholdAge05,"&lt;"&amp;'19_Расчет_аналитики'!AO1571,WeightedMinAge05),MAX(CapacityAge05*'01_Вводные'!$B$218*'19_Расчет_аналитики'!AO1571,MeanMinAge05)))</f>
        <v/>
      </c>
      <c r="AP1480">
        <f>IF(OR('19_Расчет_аналитики'!AP1452=0,5&lt;='01_Вводные'!$B$297),0,'19_Расчет_аналитики'!AP1452*IF('01_Вводные'!$B$239="Да",MeanMinAge05+'19_Расчет_аналитики'!AP1571*SUMIF(ThresholdAge05,"&lt;"&amp;'19_Расчет_аналитики'!AP1571,WeightedRevAge05)-SUMIF(ThresholdAge05,"&lt;"&amp;'19_Расчет_аналитики'!AP1571,WeightedMinAge05),MAX(CapacityAge05*'01_Вводные'!$B$218*'19_Расчет_аналитики'!AP1571,MeanMinAge05)))</f>
        <v/>
      </c>
      <c r="AQ1480">
        <f>IF(OR('19_Расчет_аналитики'!AQ1452=0,5&lt;='01_Вводные'!$B$297),0,'19_Расчет_аналитики'!AQ1452*IF('01_Вводные'!$B$239="Да",MeanMinAge05+'19_Расчет_аналитики'!AQ1571*SUMIF(ThresholdAge05,"&lt;"&amp;'19_Расчет_аналитики'!AQ1571,WeightedRevAge05)-SUMIF(ThresholdAge05,"&lt;"&amp;'19_Расчет_аналитики'!AQ1571,WeightedMinAge05),MAX(CapacityAge05*'01_Вводные'!$B$218*'19_Расчет_аналитики'!AQ1571,MeanMinAge05)))</f>
        <v/>
      </c>
      <c r="AR1480">
        <f>IF(OR('19_Расчет_аналитики'!AR1452=0,5&lt;='01_Вводные'!$B$297),0,'19_Расчет_аналитики'!AR1452*IF('01_Вводные'!$B$239="Да",MeanMinAge05+'19_Расчет_аналитики'!AR1571*SUMIF(ThresholdAge05,"&lt;"&amp;'19_Расчет_аналитики'!AR1571,WeightedRevAge05)-SUMIF(ThresholdAge05,"&lt;"&amp;'19_Расчет_аналитики'!AR1571,WeightedMinAge05),MAX(CapacityAge05*'01_Вводные'!$B$218*'19_Расчет_аналитики'!AR1571,MeanMinAge05)))</f>
        <v/>
      </c>
      <c r="AS1480">
        <f>IF(OR('19_Расчет_аналитики'!AS1452=0,5&lt;='01_Вводные'!$B$297),0,'19_Расчет_аналитики'!AS1452*IF('01_Вводные'!$B$239="Да",MeanMinAge05+'19_Расчет_аналитики'!AS1571*SUMIF(ThresholdAge05,"&lt;"&amp;'19_Расчет_аналитики'!AS1571,WeightedRevAge05)-SUMIF(ThresholdAge05,"&lt;"&amp;'19_Расчет_аналитики'!AS1571,WeightedMinAge05),MAX(CapacityAge05*'01_Вводные'!$B$218*'19_Расчет_аналитики'!AS1571,MeanMinAge05)))</f>
        <v/>
      </c>
      <c r="AT1480">
        <f>IF(OR('19_Расчет_аналитики'!AT1452=0,5&lt;='01_Вводные'!$B$297),0,'19_Расчет_аналитики'!AT1452*IF('01_Вводные'!$B$239="Да",MeanMinAge05+'19_Расчет_аналитики'!AT1571*SUMIF(ThresholdAge05,"&lt;"&amp;'19_Расчет_аналитики'!AT1571,WeightedRevAge05)-SUMIF(ThresholdAge05,"&lt;"&amp;'19_Расчет_аналитики'!AT1571,WeightedMinAge05),MAX(CapacityAge05*'01_Вводные'!$B$218*'19_Расчет_аналитики'!AT1571,MeanMinAge05)))</f>
        <v/>
      </c>
      <c r="AU1480">
        <f>IF(OR('19_Расчет_аналитики'!AU1452=0,5&lt;='01_Вводные'!$B$297),0,'19_Расчет_аналитики'!AU1452*IF('01_Вводные'!$B$239="Да",MeanMinAge05+'19_Расчет_аналитики'!AU1571*SUMIF(ThresholdAge05,"&lt;"&amp;'19_Расчет_аналитики'!AU1571,WeightedRevAge05)-SUMIF(ThresholdAge05,"&lt;"&amp;'19_Расчет_аналитики'!AU1571,WeightedMinAge05),MAX(CapacityAge05*'01_Вводные'!$B$218*'19_Расчет_аналитики'!AU1571,MeanMinAge05)))</f>
        <v/>
      </c>
      <c r="AV1480">
        <f>IF(OR('19_Расчет_аналитики'!AV1452=0,5&lt;='01_Вводные'!$B$297),0,'19_Расчет_аналитики'!AV1452*IF('01_Вводные'!$B$239="Да",MeanMinAge05+'19_Расчет_аналитики'!AV1571*SUMIF(ThresholdAge05,"&lt;"&amp;'19_Расчет_аналитики'!AV1571,WeightedRevAge05)-SUMIF(ThresholdAge05,"&lt;"&amp;'19_Расчет_аналитики'!AV1571,WeightedMinAge05),MAX(CapacityAge05*'01_Вводные'!$B$218*'19_Расчет_аналитики'!AV1571,MeanMinAge05)))</f>
        <v/>
      </c>
      <c r="AW1480">
        <f>IF(OR('19_Расчет_аналитики'!AW1452=0,5&lt;='01_Вводные'!$B$297),0,'19_Расчет_аналитики'!AW1452*IF('01_Вводные'!$B$239="Да",MeanMinAge05+'19_Расчет_аналитики'!AW1571*SUMIF(ThresholdAge05,"&lt;"&amp;'19_Расчет_аналитики'!AW1571,WeightedRevAge05)-SUMIF(ThresholdAge05,"&lt;"&amp;'19_Расчет_аналитики'!AW1571,WeightedMinAge05),MAX(CapacityAge05*'01_Вводные'!$B$218*'19_Расчет_аналитики'!AW1571,MeanMinAge05)))</f>
        <v/>
      </c>
      <c r="AX1480">
        <f>IF(OR('19_Расчет_аналитики'!AX1452=0,5&lt;='01_Вводные'!$B$297),0,'19_Расчет_аналитики'!AX1452*IF('01_Вводные'!$B$239="Да",MeanMinAge05+'19_Расчет_аналитики'!AX1571*SUMIF(ThresholdAge05,"&lt;"&amp;'19_Расчет_аналитики'!AX1571,WeightedRevAge05)-SUMIF(ThresholdAge05,"&lt;"&amp;'19_Расчет_аналитики'!AX1571,WeightedMinAge05),MAX(CapacityAge05*'01_Вводные'!$B$218*'19_Расчет_аналитики'!AX1571,MeanMinAge05)))</f>
        <v/>
      </c>
      <c r="AY1480">
        <f>IF(OR('19_Расчет_аналитики'!AY1452=0,5&lt;='01_Вводные'!$B$297),0,'19_Расчет_аналитики'!AY1452*IF('01_Вводные'!$B$239="Да",MeanMinAge05+'19_Расчет_аналитики'!AY1571*SUMIF(ThresholdAge05,"&lt;"&amp;'19_Расчет_аналитики'!AY1571,WeightedRevAge05)-SUMIF(ThresholdAge05,"&lt;"&amp;'19_Расчет_аналитики'!AY1571,WeightedMinAge05),MAX(CapacityAge05*'01_Вводные'!$B$218*'19_Расчет_аналитики'!AY1571,MeanMinAge05)))</f>
        <v/>
      </c>
      <c r="AZ1480">
        <f>IF(OR('19_Расчет_аналитики'!AZ1452=0,5&lt;='01_Вводные'!$B$297),0,'19_Расчет_аналитики'!AZ1452*IF('01_Вводные'!$B$239="Да",MeanMinAge05+'19_Расчет_аналитики'!AZ1571*SUMIF(ThresholdAge05,"&lt;"&amp;'19_Расчет_аналитики'!AZ1571,WeightedRevAge05)-SUMIF(ThresholdAge05,"&lt;"&amp;'19_Расчет_аналитики'!AZ1571,WeightedMinAge05),MAX(CapacityAge05*'01_Вводные'!$B$218*'19_Расчет_аналитики'!AZ1571,MeanMinAge05)))</f>
        <v/>
      </c>
      <c r="BA1480">
        <f>IF(OR('19_Расчет_аналитики'!BA1452=0,5&lt;='01_Вводные'!$B$297),0,'19_Расчет_аналитики'!BA1452*IF('01_Вводные'!$B$239="Да",MeanMinAge05+'19_Расчет_аналитики'!BA1571*SUMIF(ThresholdAge05,"&lt;"&amp;'19_Расчет_аналитики'!BA1571,WeightedRevAge05)-SUMIF(ThresholdAge05,"&lt;"&amp;'19_Расчет_аналитики'!BA1571,WeightedMinAge05),MAX(CapacityAge05*'01_Вводные'!$B$218*'19_Расчет_аналитики'!BA1571,MeanMinAge05)))</f>
        <v/>
      </c>
      <c r="BB1480">
        <f>IF(OR('19_Расчет_аналитики'!BB1452=0,5&lt;='01_Вводные'!$B$297),0,'19_Расчет_аналитики'!BB1452*IF('01_Вводные'!$B$239="Да",MeanMinAge05+'19_Расчет_аналитики'!BB1571*SUMIF(ThresholdAge05,"&lt;"&amp;'19_Расчет_аналитики'!BB1571,WeightedRevAge05)-SUMIF(ThresholdAge05,"&lt;"&amp;'19_Расчет_аналитики'!BB1571,WeightedMinAge05),MAX(CapacityAge05*'01_Вводные'!$B$218*'19_Расчет_аналитики'!BB1571,MeanMinAge05)))</f>
        <v/>
      </c>
      <c r="BC1480">
        <f>IF(OR('19_Расчет_аналитики'!BC1452=0,5&lt;='01_Вводные'!$B$297),0,'19_Расчет_аналитики'!BC1452*IF('01_Вводные'!$B$239="Да",MeanMinAge05+'19_Расчет_аналитики'!BC1571*SUMIF(ThresholdAge05,"&lt;"&amp;'19_Расчет_аналитики'!BC1571,WeightedRevAge05)-SUMIF(ThresholdAge05,"&lt;"&amp;'19_Расчет_аналитики'!BC1571,WeightedMinAge05),MAX(CapacityAge05*'01_Вводные'!$B$218*'19_Расчет_аналитики'!BC1571,MeanMinAge05)))</f>
        <v/>
      </c>
      <c r="BD1480">
        <f>IF(OR('19_Расчет_аналитики'!BD1452=0,5&lt;='01_Вводные'!$B$297),0,'19_Расчет_аналитики'!BD1452*IF('01_Вводные'!$B$239="Да",MeanMinAge05+'19_Расчет_аналитики'!BD1571*SUMIF(ThresholdAge05,"&lt;"&amp;'19_Расчет_аналитики'!BD1571,WeightedRevAge05)-SUMIF(ThresholdAge05,"&lt;"&amp;'19_Расчет_аналитики'!BD1571,WeightedMinAge05),MAX(CapacityAge05*'01_Вводные'!$B$218*'19_Расчет_аналитики'!BD1571,MeanMinAge05)))</f>
        <v/>
      </c>
      <c r="BE1480">
        <f>IF(OR('19_Расчет_аналитики'!BE1452=0,5&lt;='01_Вводные'!$B$297),0,'19_Расчет_аналитики'!BE1452*IF('01_Вводные'!$B$239="Да",MeanMinAge05+'19_Расчет_аналитики'!BE1571*SUMIF(ThresholdAge05,"&lt;"&amp;'19_Расчет_аналитики'!BE1571,WeightedRevAge05)-SUMIF(ThresholdAge05,"&lt;"&amp;'19_Расчет_аналитики'!BE1571,WeightedMinAge05),MAX(CapacityAge05*'01_Вводные'!$B$218*'19_Расчет_аналитики'!BE1571,MeanMinAge05)))</f>
        <v/>
      </c>
      <c r="BF1480">
        <f>IF(OR('19_Расчет_аналитики'!BF1452=0,5&lt;='01_Вводные'!$B$297),0,'19_Расчет_аналитики'!BF1452*IF('01_Вводные'!$B$239="Да",MeanMinAge05+'19_Расчет_аналитики'!BF1571*SUMIF(ThresholdAge05,"&lt;"&amp;'19_Расчет_аналитики'!BF1571,WeightedRevAge05)-SUMIF(ThresholdAge05,"&lt;"&amp;'19_Расчет_аналитики'!BF1571,WeightedMinAge05),MAX(CapacityAge05*'01_Вводные'!$B$218*'19_Расчет_аналитики'!BF1571,MeanMinAge05)))</f>
        <v/>
      </c>
      <c r="BG1480">
        <f>IF(OR('19_Расчет_аналитики'!BG1452=0,5&lt;='01_Вводные'!$B$297),0,'19_Расчет_аналитики'!BG1452*IF('01_Вводные'!$B$239="Да",MeanMinAge05+'19_Расчет_аналитики'!BG1571*SUMIF(ThresholdAge05,"&lt;"&amp;'19_Расчет_аналитики'!BG1571,WeightedRevAge05)-SUMIF(ThresholdAge05,"&lt;"&amp;'19_Расчет_аналитики'!BG1571,WeightedMinAge05),MAX(CapacityAge05*'01_Вводные'!$B$218*'19_Расчет_аналитики'!BG1571,MeanMinAge05)))</f>
        <v/>
      </c>
      <c r="BH1480">
        <f>IF(OR('19_Расчет_аналитики'!BH1452=0,5&lt;='01_Вводные'!$B$297),0,'19_Расчет_аналитики'!BH1452*IF('01_Вводные'!$B$239="Да",MeanMinAge05+'19_Расчет_аналитики'!BH1571*SUMIF(ThresholdAge05,"&lt;"&amp;'19_Расчет_аналитики'!BH1571,WeightedRevAge05)-SUMIF(ThresholdAge05,"&lt;"&amp;'19_Расчет_аналитики'!BH1571,WeightedMinAge05),MAX(CapacityAge05*'01_Вводные'!$B$218*'19_Расчет_аналитики'!BH1571,MeanMinAge05)))</f>
        <v/>
      </c>
      <c r="BI1480">
        <f>IF(OR('19_Расчет_аналитики'!BI1452=0,5&lt;='01_Вводные'!$B$297),0,'19_Расчет_аналитики'!BI1452*IF('01_Вводные'!$B$239="Да",MeanMinAge05+'19_Расчет_аналитики'!BI1571*SUMIF(ThresholdAge05,"&lt;"&amp;'19_Расчет_аналитики'!BI1571,WeightedRevAge05)-SUMIF(ThresholdAge05,"&lt;"&amp;'19_Расчет_аналитики'!BI1571,WeightedMinAge05),MAX(CapacityAge05*'01_Вводные'!$B$218*'19_Расчет_аналитики'!BI1571,MeanMinAge05)))</f>
        <v/>
      </c>
      <c r="BJ1480">
        <f>IF(OR('19_Расчет_аналитики'!BJ1452=0,5&lt;='01_Вводные'!$B$297),0,'19_Расчет_аналитики'!BJ1452*IF('01_Вводные'!$B$239="Да",MeanMinAge05+'19_Расчет_аналитики'!BJ1571*SUMIF(ThresholdAge05,"&lt;"&amp;'19_Расчет_аналитики'!BJ1571,WeightedRevAge05)-SUMIF(ThresholdAge05,"&lt;"&amp;'19_Расчет_аналитики'!BJ1571,WeightedMinAge05),MAX(CapacityAge05*'01_Вводные'!$B$218*'19_Расчет_аналитики'!BJ1571,MeanMinAge05)))</f>
        <v/>
      </c>
      <c r="BK1480">
        <f>IF(OR('19_Расчет_аналитики'!BK1452=0,5&lt;='01_Вводные'!$B$297),0,'19_Расчет_аналитики'!BK1452*IF('01_Вводные'!$B$239="Да",MeanMinAge05+'19_Расчет_аналитики'!BK1571*SUMIF(ThresholdAge05,"&lt;"&amp;'19_Расчет_аналитики'!BK1571,WeightedRevAge05)-SUMIF(ThresholdAge05,"&lt;"&amp;'19_Расчет_аналитики'!BK1571,WeightedMinAge05),MAX(CapacityAge05*'01_Вводные'!$B$218*'19_Расчет_аналитики'!BK1571,MeanMinAge05)))</f>
        <v/>
      </c>
      <c r="BL1480">
        <f>IF(OR('19_Расчет_аналитики'!BL1452=0,5&lt;='01_Вводные'!$B$297),0,'19_Расчет_аналитики'!BL1452*IF('01_Вводные'!$B$239="Да",MeanMinAge05+'19_Расчет_аналитики'!BL1571*SUMIF(ThresholdAge05,"&lt;"&amp;'19_Расчет_аналитики'!BL1571,WeightedRevAge05)-SUMIF(ThresholdAge05,"&lt;"&amp;'19_Расчет_аналитики'!BL1571,WeightedMinAge05),MAX(CapacityAge05*'01_Вводные'!$B$218*'19_Расчет_аналитики'!BL1571,MeanMinAge05)))</f>
        <v/>
      </c>
      <c r="BM1480">
        <f>IF(OR('19_Расчет_аналитики'!BM1452=0,5&lt;='01_Вводные'!$B$297),0,'19_Расчет_аналитики'!BM1452*IF('01_Вводные'!$B$239="Да",MeanMinAge05+'19_Расчет_аналитики'!BM1571*SUMIF(ThresholdAge05,"&lt;"&amp;'19_Расчет_аналитики'!BM1571,WeightedRevAge05)-SUMIF(ThresholdAge05,"&lt;"&amp;'19_Расчет_аналитики'!BM1571,WeightedMinAge05),MAX(CapacityAge05*'01_Вводные'!$B$218*'19_Расчет_аналитики'!BM1571,MeanMinAge05)))</f>
        <v/>
      </c>
      <c r="BN1480">
        <f>IF(OR('19_Расчет_аналитики'!BN1452=0,5&lt;='01_Вводные'!$B$297),0,'19_Расчет_аналитики'!BN1452*IF('01_Вводные'!$B$239="Да",MeanMinAge05+'19_Расчет_аналитики'!BN1571*SUMIF(ThresholdAge05,"&lt;"&amp;'19_Расчет_аналитики'!BN1571,WeightedRevAge05)-SUMIF(ThresholdAge05,"&lt;"&amp;'19_Расчет_аналитики'!BN1571,WeightedMinAge05),MAX(CapacityAge05*'01_Вводные'!$B$218*'19_Расчет_аналитики'!BN1571,MeanMinAge05)))</f>
        <v/>
      </c>
      <c r="BO1480">
        <f>IF(OR('19_Расчет_аналитики'!BO1452=0,5&lt;='01_Вводные'!$B$297),0,'19_Расчет_аналитики'!BO1452*IF('01_Вводные'!$B$239="Да",MeanMinAge05+'19_Расчет_аналитики'!BO1571*SUMIF(ThresholdAge05,"&lt;"&amp;'19_Расчет_аналитики'!BO1571,WeightedRevAge05)-SUMIF(ThresholdAge05,"&lt;"&amp;'19_Расчет_аналитики'!BO1571,WeightedMinAge05),MAX(CapacityAge05*'01_Вводные'!$B$218*'19_Расчет_аналитики'!BO1571,MeanMinAge05)))</f>
        <v/>
      </c>
    </row>
    <row r="1481">
      <c r="B1481">
        <f>IF(OR('06_Сеть_и_дети'!B86=0,6&lt;='01_Вводные'!$B$297),0,'06_Сеть_и_дети'!B86*IF('01_Вводные'!$B$239="Да",MeanMinAge06+'19_Расчет_аналитики'!B1571*SUMIF(ThresholdAge06,"&lt;"&amp;'19_Расчет_аналитики'!B1571,WeightedRevAge06)-SUMIF(ThresholdAge06,"&lt;"&amp;'19_Расчет_аналитики'!B1571,WeightedMinAge06),MAX(CapacityAge06*'01_Вводные'!$B$218*'19_Расчет_аналитики'!B1571,MeanMinAge06)))</f>
        <v/>
      </c>
      <c r="C1481">
        <f>IF(OR('06_Сеть_и_дети'!C86=0,6&lt;='01_Вводные'!$B$297),0,'06_Сеть_и_дети'!C86*IF('01_Вводные'!$B$239="Да",MeanMinAge06+'19_Расчет_аналитики'!C1571*SUMIF(ThresholdAge06,"&lt;"&amp;'19_Расчет_аналитики'!C1571,WeightedRevAge06)-SUMIF(ThresholdAge06,"&lt;"&amp;'19_Расчет_аналитики'!C1571,WeightedMinAge06),MAX(CapacityAge06*'01_Вводные'!$B$218*'19_Расчет_аналитики'!C1571,MeanMinAge06)))</f>
        <v/>
      </c>
      <c r="D1481">
        <f>IF(OR('06_Сеть_и_дети'!D86=0,6&lt;='01_Вводные'!$B$297),0,'06_Сеть_и_дети'!D86*IF('01_Вводные'!$B$239="Да",MeanMinAge06+'19_Расчет_аналитики'!D1571*SUMIF(ThresholdAge06,"&lt;"&amp;'19_Расчет_аналитики'!D1571,WeightedRevAge06)-SUMIF(ThresholdAge06,"&lt;"&amp;'19_Расчет_аналитики'!D1571,WeightedMinAge06),MAX(CapacityAge06*'01_Вводные'!$B$218*'19_Расчет_аналитики'!D1571,MeanMinAge06)))</f>
        <v/>
      </c>
      <c r="E1481">
        <f>IF(OR('06_Сеть_и_дети'!E86=0,6&lt;='01_Вводные'!$B$297),0,'06_Сеть_и_дети'!E86*IF('01_Вводные'!$B$239="Да",MeanMinAge06+'19_Расчет_аналитики'!E1571*SUMIF(ThresholdAge06,"&lt;"&amp;'19_Расчет_аналитики'!E1571,WeightedRevAge06)-SUMIF(ThresholdAge06,"&lt;"&amp;'19_Расчет_аналитики'!E1571,WeightedMinAge06),MAX(CapacityAge06*'01_Вводные'!$B$218*'19_Расчет_аналитики'!E1571,MeanMinAge06)))</f>
        <v/>
      </c>
      <c r="F1481">
        <f>IF(OR('06_Сеть_и_дети'!F86=0,6&lt;='01_Вводные'!$B$297),0,'06_Сеть_и_дети'!F86*IF('01_Вводные'!$B$239="Да",MeanMinAge06+'19_Расчет_аналитики'!F1571*SUMIF(ThresholdAge06,"&lt;"&amp;'19_Расчет_аналитики'!F1571,WeightedRevAge06)-SUMIF(ThresholdAge06,"&lt;"&amp;'19_Расчет_аналитики'!F1571,WeightedMinAge06),MAX(CapacityAge06*'01_Вводные'!$B$218*'19_Расчет_аналитики'!F1571,MeanMinAge06)))</f>
        <v/>
      </c>
      <c r="G1481">
        <f>IF(OR('19_Расчет_аналитики'!G1453=0,6&lt;='01_Вводные'!$B$297),0,'19_Расчет_аналитики'!G1453*IF('01_Вводные'!$B$239="Да",MeanMinAge06+'19_Расчет_аналитики'!G1571*SUMIF(ThresholdAge06,"&lt;"&amp;'19_Расчет_аналитики'!G1571,WeightedRevAge06)-SUMIF(ThresholdAge06,"&lt;"&amp;'19_Расчет_аналитики'!G1571,WeightedMinAge06),MAX(CapacityAge06*'01_Вводные'!$B$218*'19_Расчет_аналитики'!G1571,MeanMinAge06)))</f>
        <v/>
      </c>
      <c r="H1481">
        <f>IF(OR('19_Расчет_аналитики'!H1453=0,6&lt;='01_Вводные'!$B$297),0,'19_Расчет_аналитики'!H1453*IF('01_Вводные'!$B$239="Да",MeanMinAge06+'19_Расчет_аналитики'!H1571*SUMIF(ThresholdAge06,"&lt;"&amp;'19_Расчет_аналитики'!H1571,WeightedRevAge06)-SUMIF(ThresholdAge06,"&lt;"&amp;'19_Расчет_аналитики'!H1571,WeightedMinAge06),MAX(CapacityAge06*'01_Вводные'!$B$218*'19_Расчет_аналитики'!H1571,MeanMinAge06)))</f>
        <v/>
      </c>
      <c r="I1481">
        <f>IF(OR('19_Расчет_аналитики'!I1453=0,6&lt;='01_Вводные'!$B$297),0,'19_Расчет_аналитики'!I1453*IF('01_Вводные'!$B$239="Да",MeanMinAge06+'19_Расчет_аналитики'!I1571*SUMIF(ThresholdAge06,"&lt;"&amp;'19_Расчет_аналитики'!I1571,WeightedRevAge06)-SUMIF(ThresholdAge06,"&lt;"&amp;'19_Расчет_аналитики'!I1571,WeightedMinAge06),MAX(CapacityAge06*'01_Вводные'!$B$218*'19_Расчет_аналитики'!I1571,MeanMinAge06)))</f>
        <v/>
      </c>
      <c r="J1481">
        <f>IF(OR('19_Расчет_аналитики'!J1453=0,6&lt;='01_Вводные'!$B$297),0,'19_Расчет_аналитики'!J1453*IF('01_Вводные'!$B$239="Да",MeanMinAge06+'19_Расчет_аналитики'!J1571*SUMIF(ThresholdAge06,"&lt;"&amp;'19_Расчет_аналитики'!J1571,WeightedRevAge06)-SUMIF(ThresholdAge06,"&lt;"&amp;'19_Расчет_аналитики'!J1571,WeightedMinAge06),MAX(CapacityAge06*'01_Вводные'!$B$218*'19_Расчет_аналитики'!J1571,MeanMinAge06)))</f>
        <v/>
      </c>
      <c r="K1481">
        <f>IF(OR('19_Расчет_аналитики'!K1453=0,6&lt;='01_Вводные'!$B$297),0,'19_Расчет_аналитики'!K1453*IF('01_Вводные'!$B$239="Да",MeanMinAge06+'19_Расчет_аналитики'!K1571*SUMIF(ThresholdAge06,"&lt;"&amp;'19_Расчет_аналитики'!K1571,WeightedRevAge06)-SUMIF(ThresholdAge06,"&lt;"&amp;'19_Расчет_аналитики'!K1571,WeightedMinAge06),MAX(CapacityAge06*'01_Вводные'!$B$218*'19_Расчет_аналитики'!K1571,MeanMinAge06)))</f>
        <v/>
      </c>
      <c r="L1481">
        <f>IF(OR('19_Расчет_аналитики'!L1453=0,6&lt;='01_Вводные'!$B$297),0,'19_Расчет_аналитики'!L1453*IF('01_Вводные'!$B$239="Да",MeanMinAge06+'19_Расчет_аналитики'!L1571*SUMIF(ThresholdAge06,"&lt;"&amp;'19_Расчет_аналитики'!L1571,WeightedRevAge06)-SUMIF(ThresholdAge06,"&lt;"&amp;'19_Расчет_аналитики'!L1571,WeightedMinAge06),MAX(CapacityAge06*'01_Вводные'!$B$218*'19_Расчет_аналитики'!L1571,MeanMinAge06)))</f>
        <v/>
      </c>
      <c r="M1481">
        <f>IF(OR('19_Расчет_аналитики'!M1453=0,6&lt;='01_Вводные'!$B$297),0,'19_Расчет_аналитики'!M1453*IF('01_Вводные'!$B$239="Да",MeanMinAge06+'19_Расчет_аналитики'!M1571*SUMIF(ThresholdAge06,"&lt;"&amp;'19_Расчет_аналитики'!M1571,WeightedRevAge06)-SUMIF(ThresholdAge06,"&lt;"&amp;'19_Расчет_аналитики'!M1571,WeightedMinAge06),MAX(CapacityAge06*'01_Вводные'!$B$218*'19_Расчет_аналитики'!M1571,MeanMinAge06)))</f>
        <v/>
      </c>
      <c r="N1481">
        <f>IF(OR('19_Расчет_аналитики'!N1453=0,6&lt;='01_Вводные'!$B$297),0,'19_Расчет_аналитики'!N1453*IF('01_Вводные'!$B$239="Да",MeanMinAge06+'19_Расчет_аналитики'!N1571*SUMIF(ThresholdAge06,"&lt;"&amp;'19_Расчет_аналитики'!N1571,WeightedRevAge06)-SUMIF(ThresholdAge06,"&lt;"&amp;'19_Расчет_аналитики'!N1571,WeightedMinAge06),MAX(CapacityAge06*'01_Вводные'!$B$218*'19_Расчет_аналитики'!N1571,MeanMinAge06)))</f>
        <v/>
      </c>
      <c r="O1481">
        <f>IF(OR('19_Расчет_аналитики'!O1453=0,6&lt;='01_Вводные'!$B$297),0,'19_Расчет_аналитики'!O1453*IF('01_Вводные'!$B$239="Да",MeanMinAge06+'19_Расчет_аналитики'!O1571*SUMIF(ThresholdAge06,"&lt;"&amp;'19_Расчет_аналитики'!O1571,WeightedRevAge06)-SUMIF(ThresholdAge06,"&lt;"&amp;'19_Расчет_аналитики'!O1571,WeightedMinAge06),MAX(CapacityAge06*'01_Вводные'!$B$218*'19_Расчет_аналитики'!O1571,MeanMinAge06)))</f>
        <v/>
      </c>
      <c r="P1481">
        <f>IF(OR('19_Расчет_аналитики'!P1453=0,6&lt;='01_Вводные'!$B$297),0,'19_Расчет_аналитики'!P1453*IF('01_Вводные'!$B$239="Да",MeanMinAge06+'19_Расчет_аналитики'!P1571*SUMIF(ThresholdAge06,"&lt;"&amp;'19_Расчет_аналитики'!P1571,WeightedRevAge06)-SUMIF(ThresholdAge06,"&lt;"&amp;'19_Расчет_аналитики'!P1571,WeightedMinAge06),MAX(CapacityAge06*'01_Вводные'!$B$218*'19_Расчет_аналитики'!P1571,MeanMinAge06)))</f>
        <v/>
      </c>
      <c r="Q1481">
        <f>IF(OR('19_Расчет_аналитики'!Q1453=0,6&lt;='01_Вводные'!$B$297),0,'19_Расчет_аналитики'!Q1453*IF('01_Вводные'!$B$239="Да",MeanMinAge06+'19_Расчет_аналитики'!Q1571*SUMIF(ThresholdAge06,"&lt;"&amp;'19_Расчет_аналитики'!Q1571,WeightedRevAge06)-SUMIF(ThresholdAge06,"&lt;"&amp;'19_Расчет_аналитики'!Q1571,WeightedMinAge06),MAX(CapacityAge06*'01_Вводные'!$B$218*'19_Расчет_аналитики'!Q1571,MeanMinAge06)))</f>
        <v/>
      </c>
      <c r="R1481">
        <f>IF(OR('19_Расчет_аналитики'!R1453=0,6&lt;='01_Вводные'!$B$297),0,'19_Расчет_аналитики'!R1453*IF('01_Вводные'!$B$239="Да",MeanMinAge06+'19_Расчет_аналитики'!R1571*SUMIF(ThresholdAge06,"&lt;"&amp;'19_Расчет_аналитики'!R1571,WeightedRevAge06)-SUMIF(ThresholdAge06,"&lt;"&amp;'19_Расчет_аналитики'!R1571,WeightedMinAge06),MAX(CapacityAge06*'01_Вводные'!$B$218*'19_Расчет_аналитики'!R1571,MeanMinAge06)))</f>
        <v/>
      </c>
      <c r="S1481">
        <f>IF(OR('19_Расчет_аналитики'!S1453=0,6&lt;='01_Вводные'!$B$297),0,'19_Расчет_аналитики'!S1453*IF('01_Вводные'!$B$239="Да",MeanMinAge06+'19_Расчет_аналитики'!S1571*SUMIF(ThresholdAge06,"&lt;"&amp;'19_Расчет_аналитики'!S1571,WeightedRevAge06)-SUMIF(ThresholdAge06,"&lt;"&amp;'19_Расчет_аналитики'!S1571,WeightedMinAge06),MAX(CapacityAge06*'01_Вводные'!$B$218*'19_Расчет_аналитики'!S1571,MeanMinAge06)))</f>
        <v/>
      </c>
      <c r="T1481">
        <f>IF(OR('19_Расчет_аналитики'!T1453=0,6&lt;='01_Вводные'!$B$297),0,'19_Расчет_аналитики'!T1453*IF('01_Вводные'!$B$239="Да",MeanMinAge06+'19_Расчет_аналитики'!T1571*SUMIF(ThresholdAge06,"&lt;"&amp;'19_Расчет_аналитики'!T1571,WeightedRevAge06)-SUMIF(ThresholdAge06,"&lt;"&amp;'19_Расчет_аналитики'!T1571,WeightedMinAge06),MAX(CapacityAge06*'01_Вводные'!$B$218*'19_Расчет_аналитики'!T1571,MeanMinAge06)))</f>
        <v/>
      </c>
      <c r="U1481">
        <f>IF(OR('19_Расчет_аналитики'!U1453=0,6&lt;='01_Вводные'!$B$297),0,'19_Расчет_аналитики'!U1453*IF('01_Вводные'!$B$239="Да",MeanMinAge06+'19_Расчет_аналитики'!U1571*SUMIF(ThresholdAge06,"&lt;"&amp;'19_Расчет_аналитики'!U1571,WeightedRevAge06)-SUMIF(ThresholdAge06,"&lt;"&amp;'19_Расчет_аналитики'!U1571,WeightedMinAge06),MAX(CapacityAge06*'01_Вводные'!$B$218*'19_Расчет_аналитики'!U1571,MeanMinAge06)))</f>
        <v/>
      </c>
      <c r="V1481">
        <f>IF(OR('19_Расчет_аналитики'!V1453=0,6&lt;='01_Вводные'!$B$297),0,'19_Расчет_аналитики'!V1453*IF('01_Вводные'!$B$239="Да",MeanMinAge06+'19_Расчет_аналитики'!V1571*SUMIF(ThresholdAge06,"&lt;"&amp;'19_Расчет_аналитики'!V1571,WeightedRevAge06)-SUMIF(ThresholdAge06,"&lt;"&amp;'19_Расчет_аналитики'!V1571,WeightedMinAge06),MAX(CapacityAge06*'01_Вводные'!$B$218*'19_Расчет_аналитики'!V1571,MeanMinAge06)))</f>
        <v/>
      </c>
      <c r="W1481">
        <f>IF(OR('19_Расчет_аналитики'!W1453=0,6&lt;='01_Вводные'!$B$297),0,'19_Расчет_аналитики'!W1453*IF('01_Вводные'!$B$239="Да",MeanMinAge06+'19_Расчет_аналитики'!W1571*SUMIF(ThresholdAge06,"&lt;"&amp;'19_Расчет_аналитики'!W1571,WeightedRevAge06)-SUMIF(ThresholdAge06,"&lt;"&amp;'19_Расчет_аналитики'!W1571,WeightedMinAge06),MAX(CapacityAge06*'01_Вводные'!$B$218*'19_Расчет_аналитики'!W1571,MeanMinAge06)))</f>
        <v/>
      </c>
      <c r="X1481">
        <f>IF(OR('19_Расчет_аналитики'!X1453=0,6&lt;='01_Вводные'!$B$297),0,'19_Расчет_аналитики'!X1453*IF('01_Вводные'!$B$239="Да",MeanMinAge06+'19_Расчет_аналитики'!X1571*SUMIF(ThresholdAge06,"&lt;"&amp;'19_Расчет_аналитики'!X1571,WeightedRevAge06)-SUMIF(ThresholdAge06,"&lt;"&amp;'19_Расчет_аналитики'!X1571,WeightedMinAge06),MAX(CapacityAge06*'01_Вводные'!$B$218*'19_Расчет_аналитики'!X1571,MeanMinAge06)))</f>
        <v/>
      </c>
      <c r="Y1481">
        <f>IF(OR('19_Расчет_аналитики'!Y1453=0,6&lt;='01_Вводные'!$B$297),0,'19_Расчет_аналитики'!Y1453*IF('01_Вводные'!$B$239="Да",MeanMinAge06+'19_Расчет_аналитики'!Y1571*SUMIF(ThresholdAge06,"&lt;"&amp;'19_Расчет_аналитики'!Y1571,WeightedRevAge06)-SUMIF(ThresholdAge06,"&lt;"&amp;'19_Расчет_аналитики'!Y1571,WeightedMinAge06),MAX(CapacityAge06*'01_Вводные'!$B$218*'19_Расчет_аналитики'!Y1571,MeanMinAge06)))</f>
        <v/>
      </c>
      <c r="Z1481">
        <f>IF(OR('19_Расчет_аналитики'!Z1453=0,6&lt;='01_Вводные'!$B$297),0,'19_Расчет_аналитики'!Z1453*IF('01_Вводные'!$B$239="Да",MeanMinAge06+'19_Расчет_аналитики'!Z1571*SUMIF(ThresholdAge06,"&lt;"&amp;'19_Расчет_аналитики'!Z1571,WeightedRevAge06)-SUMIF(ThresholdAge06,"&lt;"&amp;'19_Расчет_аналитики'!Z1571,WeightedMinAge06),MAX(CapacityAge06*'01_Вводные'!$B$218*'19_Расчет_аналитики'!Z1571,MeanMinAge06)))</f>
        <v/>
      </c>
      <c r="AA1481">
        <f>IF(OR('19_Расчет_аналитики'!AA1453=0,6&lt;='01_Вводные'!$B$297),0,'19_Расчет_аналитики'!AA1453*IF('01_Вводные'!$B$239="Да",MeanMinAge06+'19_Расчет_аналитики'!AA1571*SUMIF(ThresholdAge06,"&lt;"&amp;'19_Расчет_аналитики'!AA1571,WeightedRevAge06)-SUMIF(ThresholdAge06,"&lt;"&amp;'19_Расчет_аналитики'!AA1571,WeightedMinAge06),MAX(CapacityAge06*'01_Вводные'!$B$218*'19_Расчет_аналитики'!AA1571,MeanMinAge06)))</f>
        <v/>
      </c>
      <c r="AB1481">
        <f>IF(OR('19_Расчет_аналитики'!AB1453=0,6&lt;='01_Вводные'!$B$297),0,'19_Расчет_аналитики'!AB1453*IF('01_Вводные'!$B$239="Да",MeanMinAge06+'19_Расчет_аналитики'!AB1571*SUMIF(ThresholdAge06,"&lt;"&amp;'19_Расчет_аналитики'!AB1571,WeightedRevAge06)-SUMIF(ThresholdAge06,"&lt;"&amp;'19_Расчет_аналитики'!AB1571,WeightedMinAge06),MAX(CapacityAge06*'01_Вводные'!$B$218*'19_Расчет_аналитики'!AB1571,MeanMinAge06)))</f>
        <v/>
      </c>
      <c r="AC1481">
        <f>IF(OR('19_Расчет_аналитики'!AC1453=0,6&lt;='01_Вводные'!$B$297),0,'19_Расчет_аналитики'!AC1453*IF('01_Вводные'!$B$239="Да",MeanMinAge06+'19_Расчет_аналитики'!AC1571*SUMIF(ThresholdAge06,"&lt;"&amp;'19_Расчет_аналитики'!AC1571,WeightedRevAge06)-SUMIF(ThresholdAge06,"&lt;"&amp;'19_Расчет_аналитики'!AC1571,WeightedMinAge06),MAX(CapacityAge06*'01_Вводные'!$B$218*'19_Расчет_аналитики'!AC1571,MeanMinAge06)))</f>
        <v/>
      </c>
      <c r="AD1481">
        <f>IF(OR('19_Расчет_аналитики'!AD1453=0,6&lt;='01_Вводные'!$B$297),0,'19_Расчет_аналитики'!AD1453*IF('01_Вводные'!$B$239="Да",MeanMinAge06+'19_Расчет_аналитики'!AD1571*SUMIF(ThresholdAge06,"&lt;"&amp;'19_Расчет_аналитики'!AD1571,WeightedRevAge06)-SUMIF(ThresholdAge06,"&lt;"&amp;'19_Расчет_аналитики'!AD1571,WeightedMinAge06),MAX(CapacityAge06*'01_Вводные'!$B$218*'19_Расчет_аналитики'!AD1571,MeanMinAge06)))</f>
        <v/>
      </c>
      <c r="AE1481">
        <f>IF(OR('19_Расчет_аналитики'!AE1453=0,6&lt;='01_Вводные'!$B$297),0,'19_Расчет_аналитики'!AE1453*IF('01_Вводные'!$B$239="Да",MeanMinAge06+'19_Расчет_аналитики'!AE1571*SUMIF(ThresholdAge06,"&lt;"&amp;'19_Расчет_аналитики'!AE1571,WeightedRevAge06)-SUMIF(ThresholdAge06,"&lt;"&amp;'19_Расчет_аналитики'!AE1571,WeightedMinAge06),MAX(CapacityAge06*'01_Вводные'!$B$218*'19_Расчет_аналитики'!AE1571,MeanMinAge06)))</f>
        <v/>
      </c>
      <c r="AF1481">
        <f>IF(OR('19_Расчет_аналитики'!AF1453=0,6&lt;='01_Вводные'!$B$297),0,'19_Расчет_аналитики'!AF1453*IF('01_Вводные'!$B$239="Да",MeanMinAge06+'19_Расчет_аналитики'!AF1571*SUMIF(ThresholdAge06,"&lt;"&amp;'19_Расчет_аналитики'!AF1571,WeightedRevAge06)-SUMIF(ThresholdAge06,"&lt;"&amp;'19_Расчет_аналитики'!AF1571,WeightedMinAge06),MAX(CapacityAge06*'01_Вводные'!$B$218*'19_Расчет_аналитики'!AF1571,MeanMinAge06)))</f>
        <v/>
      </c>
      <c r="AG1481">
        <f>IF(OR('19_Расчет_аналитики'!AG1453=0,6&lt;='01_Вводные'!$B$297),0,'19_Расчет_аналитики'!AG1453*IF('01_Вводные'!$B$239="Да",MeanMinAge06+'19_Расчет_аналитики'!AG1571*SUMIF(ThresholdAge06,"&lt;"&amp;'19_Расчет_аналитики'!AG1571,WeightedRevAge06)-SUMIF(ThresholdAge06,"&lt;"&amp;'19_Расчет_аналитики'!AG1571,WeightedMinAge06),MAX(CapacityAge06*'01_Вводные'!$B$218*'19_Расчет_аналитики'!AG1571,MeanMinAge06)))</f>
        <v/>
      </c>
      <c r="AH1481">
        <f>IF(OR('19_Расчет_аналитики'!AH1453=0,6&lt;='01_Вводные'!$B$297),0,'19_Расчет_аналитики'!AH1453*IF('01_Вводные'!$B$239="Да",MeanMinAge06+'19_Расчет_аналитики'!AH1571*SUMIF(ThresholdAge06,"&lt;"&amp;'19_Расчет_аналитики'!AH1571,WeightedRevAge06)-SUMIF(ThresholdAge06,"&lt;"&amp;'19_Расчет_аналитики'!AH1571,WeightedMinAge06),MAX(CapacityAge06*'01_Вводные'!$B$218*'19_Расчет_аналитики'!AH1571,MeanMinAge06)))</f>
        <v/>
      </c>
      <c r="AI1481">
        <f>IF(OR('19_Расчет_аналитики'!AI1453=0,6&lt;='01_Вводные'!$B$297),0,'19_Расчет_аналитики'!AI1453*IF('01_Вводные'!$B$239="Да",MeanMinAge06+'19_Расчет_аналитики'!AI1571*SUMIF(ThresholdAge06,"&lt;"&amp;'19_Расчет_аналитики'!AI1571,WeightedRevAge06)-SUMIF(ThresholdAge06,"&lt;"&amp;'19_Расчет_аналитики'!AI1571,WeightedMinAge06),MAX(CapacityAge06*'01_Вводные'!$B$218*'19_Расчет_аналитики'!AI1571,MeanMinAge06)))</f>
        <v/>
      </c>
      <c r="AJ1481">
        <f>IF(OR('19_Расчет_аналитики'!AJ1453=0,6&lt;='01_Вводные'!$B$297),0,'19_Расчет_аналитики'!AJ1453*IF('01_Вводные'!$B$239="Да",MeanMinAge06+'19_Расчет_аналитики'!AJ1571*SUMIF(ThresholdAge06,"&lt;"&amp;'19_Расчет_аналитики'!AJ1571,WeightedRevAge06)-SUMIF(ThresholdAge06,"&lt;"&amp;'19_Расчет_аналитики'!AJ1571,WeightedMinAge06),MAX(CapacityAge06*'01_Вводные'!$B$218*'19_Расчет_аналитики'!AJ1571,MeanMinAge06)))</f>
        <v/>
      </c>
      <c r="AK1481">
        <f>IF(OR('19_Расчет_аналитики'!AK1453=0,6&lt;='01_Вводные'!$B$297),0,'19_Расчет_аналитики'!AK1453*IF('01_Вводные'!$B$239="Да",MeanMinAge06+'19_Расчет_аналитики'!AK1571*SUMIF(ThresholdAge06,"&lt;"&amp;'19_Расчет_аналитики'!AK1571,WeightedRevAge06)-SUMIF(ThresholdAge06,"&lt;"&amp;'19_Расчет_аналитики'!AK1571,WeightedMinAge06),MAX(CapacityAge06*'01_Вводные'!$B$218*'19_Расчет_аналитики'!AK1571,MeanMinAge06)))</f>
        <v/>
      </c>
      <c r="AL1481">
        <f>IF(OR('19_Расчет_аналитики'!AL1453=0,6&lt;='01_Вводные'!$B$297),0,'19_Расчет_аналитики'!AL1453*IF('01_Вводные'!$B$239="Да",MeanMinAge06+'19_Расчет_аналитики'!AL1571*SUMIF(ThresholdAge06,"&lt;"&amp;'19_Расчет_аналитики'!AL1571,WeightedRevAge06)-SUMIF(ThresholdAge06,"&lt;"&amp;'19_Расчет_аналитики'!AL1571,WeightedMinAge06),MAX(CapacityAge06*'01_Вводные'!$B$218*'19_Расчет_аналитики'!AL1571,MeanMinAge06)))</f>
        <v/>
      </c>
      <c r="AM1481">
        <f>IF(OR('19_Расчет_аналитики'!AM1453=0,6&lt;='01_Вводные'!$B$297),0,'19_Расчет_аналитики'!AM1453*IF('01_Вводные'!$B$239="Да",MeanMinAge06+'19_Расчет_аналитики'!AM1571*SUMIF(ThresholdAge06,"&lt;"&amp;'19_Расчет_аналитики'!AM1571,WeightedRevAge06)-SUMIF(ThresholdAge06,"&lt;"&amp;'19_Расчет_аналитики'!AM1571,WeightedMinAge06),MAX(CapacityAge06*'01_Вводные'!$B$218*'19_Расчет_аналитики'!AM1571,MeanMinAge06)))</f>
        <v/>
      </c>
      <c r="AN1481">
        <f>IF(OR('19_Расчет_аналитики'!AN1453=0,6&lt;='01_Вводные'!$B$297),0,'19_Расчет_аналитики'!AN1453*IF('01_Вводные'!$B$239="Да",MeanMinAge06+'19_Расчет_аналитики'!AN1571*SUMIF(ThresholdAge06,"&lt;"&amp;'19_Расчет_аналитики'!AN1571,WeightedRevAge06)-SUMIF(ThresholdAge06,"&lt;"&amp;'19_Расчет_аналитики'!AN1571,WeightedMinAge06),MAX(CapacityAge06*'01_Вводные'!$B$218*'19_Расчет_аналитики'!AN1571,MeanMinAge06)))</f>
        <v/>
      </c>
      <c r="AO1481">
        <f>IF(OR('19_Расчет_аналитики'!AO1453=0,6&lt;='01_Вводные'!$B$297),0,'19_Расчет_аналитики'!AO1453*IF('01_Вводные'!$B$239="Да",MeanMinAge06+'19_Расчет_аналитики'!AO1571*SUMIF(ThresholdAge06,"&lt;"&amp;'19_Расчет_аналитики'!AO1571,WeightedRevAge06)-SUMIF(ThresholdAge06,"&lt;"&amp;'19_Расчет_аналитики'!AO1571,WeightedMinAge06),MAX(CapacityAge06*'01_Вводные'!$B$218*'19_Расчет_аналитики'!AO1571,MeanMinAge06)))</f>
        <v/>
      </c>
      <c r="AP1481">
        <f>IF(OR('19_Расчет_аналитики'!AP1453=0,6&lt;='01_Вводные'!$B$297),0,'19_Расчет_аналитики'!AP1453*IF('01_Вводные'!$B$239="Да",MeanMinAge06+'19_Расчет_аналитики'!AP1571*SUMIF(ThresholdAge06,"&lt;"&amp;'19_Расчет_аналитики'!AP1571,WeightedRevAge06)-SUMIF(ThresholdAge06,"&lt;"&amp;'19_Расчет_аналитики'!AP1571,WeightedMinAge06),MAX(CapacityAge06*'01_Вводные'!$B$218*'19_Расчет_аналитики'!AP1571,MeanMinAge06)))</f>
        <v/>
      </c>
      <c r="AQ1481">
        <f>IF(OR('19_Расчет_аналитики'!AQ1453=0,6&lt;='01_Вводные'!$B$297),0,'19_Расчет_аналитики'!AQ1453*IF('01_Вводные'!$B$239="Да",MeanMinAge06+'19_Расчет_аналитики'!AQ1571*SUMIF(ThresholdAge06,"&lt;"&amp;'19_Расчет_аналитики'!AQ1571,WeightedRevAge06)-SUMIF(ThresholdAge06,"&lt;"&amp;'19_Расчет_аналитики'!AQ1571,WeightedMinAge06),MAX(CapacityAge06*'01_Вводные'!$B$218*'19_Расчет_аналитики'!AQ1571,MeanMinAge06)))</f>
        <v/>
      </c>
      <c r="AR1481">
        <f>IF(OR('19_Расчет_аналитики'!AR1453=0,6&lt;='01_Вводные'!$B$297),0,'19_Расчет_аналитики'!AR1453*IF('01_Вводные'!$B$239="Да",MeanMinAge06+'19_Расчет_аналитики'!AR1571*SUMIF(ThresholdAge06,"&lt;"&amp;'19_Расчет_аналитики'!AR1571,WeightedRevAge06)-SUMIF(ThresholdAge06,"&lt;"&amp;'19_Расчет_аналитики'!AR1571,WeightedMinAge06),MAX(CapacityAge06*'01_Вводные'!$B$218*'19_Расчет_аналитики'!AR1571,MeanMinAge06)))</f>
        <v/>
      </c>
      <c r="AS1481">
        <f>IF(OR('19_Расчет_аналитики'!AS1453=0,6&lt;='01_Вводные'!$B$297),0,'19_Расчет_аналитики'!AS1453*IF('01_Вводные'!$B$239="Да",MeanMinAge06+'19_Расчет_аналитики'!AS1571*SUMIF(ThresholdAge06,"&lt;"&amp;'19_Расчет_аналитики'!AS1571,WeightedRevAge06)-SUMIF(ThresholdAge06,"&lt;"&amp;'19_Расчет_аналитики'!AS1571,WeightedMinAge06),MAX(CapacityAge06*'01_Вводные'!$B$218*'19_Расчет_аналитики'!AS1571,MeanMinAge06)))</f>
        <v/>
      </c>
      <c r="AT1481">
        <f>IF(OR('19_Расчет_аналитики'!AT1453=0,6&lt;='01_Вводные'!$B$297),0,'19_Расчет_аналитики'!AT1453*IF('01_Вводные'!$B$239="Да",MeanMinAge06+'19_Расчет_аналитики'!AT1571*SUMIF(ThresholdAge06,"&lt;"&amp;'19_Расчет_аналитики'!AT1571,WeightedRevAge06)-SUMIF(ThresholdAge06,"&lt;"&amp;'19_Расчет_аналитики'!AT1571,WeightedMinAge06),MAX(CapacityAge06*'01_Вводные'!$B$218*'19_Расчет_аналитики'!AT1571,MeanMinAge06)))</f>
        <v/>
      </c>
      <c r="AU1481">
        <f>IF(OR('19_Расчет_аналитики'!AU1453=0,6&lt;='01_Вводные'!$B$297),0,'19_Расчет_аналитики'!AU1453*IF('01_Вводные'!$B$239="Да",MeanMinAge06+'19_Расчет_аналитики'!AU1571*SUMIF(ThresholdAge06,"&lt;"&amp;'19_Расчет_аналитики'!AU1571,WeightedRevAge06)-SUMIF(ThresholdAge06,"&lt;"&amp;'19_Расчет_аналитики'!AU1571,WeightedMinAge06),MAX(CapacityAge06*'01_Вводные'!$B$218*'19_Расчет_аналитики'!AU1571,MeanMinAge06)))</f>
        <v/>
      </c>
      <c r="AV1481">
        <f>IF(OR('19_Расчет_аналитики'!AV1453=0,6&lt;='01_Вводные'!$B$297),0,'19_Расчет_аналитики'!AV1453*IF('01_Вводные'!$B$239="Да",MeanMinAge06+'19_Расчет_аналитики'!AV1571*SUMIF(ThresholdAge06,"&lt;"&amp;'19_Расчет_аналитики'!AV1571,WeightedRevAge06)-SUMIF(ThresholdAge06,"&lt;"&amp;'19_Расчет_аналитики'!AV1571,WeightedMinAge06),MAX(CapacityAge06*'01_Вводные'!$B$218*'19_Расчет_аналитики'!AV1571,MeanMinAge06)))</f>
        <v/>
      </c>
      <c r="AW1481">
        <f>IF(OR('19_Расчет_аналитики'!AW1453=0,6&lt;='01_Вводные'!$B$297),0,'19_Расчет_аналитики'!AW1453*IF('01_Вводные'!$B$239="Да",MeanMinAge06+'19_Расчет_аналитики'!AW1571*SUMIF(ThresholdAge06,"&lt;"&amp;'19_Расчет_аналитики'!AW1571,WeightedRevAge06)-SUMIF(ThresholdAge06,"&lt;"&amp;'19_Расчет_аналитики'!AW1571,WeightedMinAge06),MAX(CapacityAge06*'01_Вводные'!$B$218*'19_Расчет_аналитики'!AW1571,MeanMinAge06)))</f>
        <v/>
      </c>
      <c r="AX1481">
        <f>IF(OR('19_Расчет_аналитики'!AX1453=0,6&lt;='01_Вводные'!$B$297),0,'19_Расчет_аналитики'!AX1453*IF('01_Вводные'!$B$239="Да",MeanMinAge06+'19_Расчет_аналитики'!AX1571*SUMIF(ThresholdAge06,"&lt;"&amp;'19_Расчет_аналитики'!AX1571,WeightedRevAge06)-SUMIF(ThresholdAge06,"&lt;"&amp;'19_Расчет_аналитики'!AX1571,WeightedMinAge06),MAX(CapacityAge06*'01_Вводные'!$B$218*'19_Расчет_аналитики'!AX1571,MeanMinAge06)))</f>
        <v/>
      </c>
      <c r="AY1481">
        <f>IF(OR('19_Расчет_аналитики'!AY1453=0,6&lt;='01_Вводные'!$B$297),0,'19_Расчет_аналитики'!AY1453*IF('01_Вводные'!$B$239="Да",MeanMinAge06+'19_Расчет_аналитики'!AY1571*SUMIF(ThresholdAge06,"&lt;"&amp;'19_Расчет_аналитики'!AY1571,WeightedRevAge06)-SUMIF(ThresholdAge06,"&lt;"&amp;'19_Расчет_аналитики'!AY1571,WeightedMinAge06),MAX(CapacityAge06*'01_Вводные'!$B$218*'19_Расчет_аналитики'!AY1571,MeanMinAge06)))</f>
        <v/>
      </c>
      <c r="AZ1481">
        <f>IF(OR('19_Расчет_аналитики'!AZ1453=0,6&lt;='01_Вводные'!$B$297),0,'19_Расчет_аналитики'!AZ1453*IF('01_Вводные'!$B$239="Да",MeanMinAge06+'19_Расчет_аналитики'!AZ1571*SUMIF(ThresholdAge06,"&lt;"&amp;'19_Расчет_аналитики'!AZ1571,WeightedRevAge06)-SUMIF(ThresholdAge06,"&lt;"&amp;'19_Расчет_аналитики'!AZ1571,WeightedMinAge06),MAX(CapacityAge06*'01_Вводные'!$B$218*'19_Расчет_аналитики'!AZ1571,MeanMinAge06)))</f>
        <v/>
      </c>
      <c r="BA1481">
        <f>IF(OR('19_Расчет_аналитики'!BA1453=0,6&lt;='01_Вводные'!$B$297),0,'19_Расчет_аналитики'!BA1453*IF('01_Вводные'!$B$239="Да",MeanMinAge06+'19_Расчет_аналитики'!BA1571*SUMIF(ThresholdAge06,"&lt;"&amp;'19_Расчет_аналитики'!BA1571,WeightedRevAge06)-SUMIF(ThresholdAge06,"&lt;"&amp;'19_Расчет_аналитики'!BA1571,WeightedMinAge06),MAX(CapacityAge06*'01_Вводные'!$B$218*'19_Расчет_аналитики'!BA1571,MeanMinAge06)))</f>
        <v/>
      </c>
      <c r="BB1481">
        <f>IF(OR('19_Расчет_аналитики'!BB1453=0,6&lt;='01_Вводные'!$B$297),0,'19_Расчет_аналитики'!BB1453*IF('01_Вводные'!$B$239="Да",MeanMinAge06+'19_Расчет_аналитики'!BB1571*SUMIF(ThresholdAge06,"&lt;"&amp;'19_Расчет_аналитики'!BB1571,WeightedRevAge06)-SUMIF(ThresholdAge06,"&lt;"&amp;'19_Расчет_аналитики'!BB1571,WeightedMinAge06),MAX(CapacityAge06*'01_Вводные'!$B$218*'19_Расчет_аналитики'!BB1571,MeanMinAge06)))</f>
        <v/>
      </c>
      <c r="BC1481">
        <f>IF(OR('19_Расчет_аналитики'!BC1453=0,6&lt;='01_Вводные'!$B$297),0,'19_Расчет_аналитики'!BC1453*IF('01_Вводные'!$B$239="Да",MeanMinAge06+'19_Расчет_аналитики'!BC1571*SUMIF(ThresholdAge06,"&lt;"&amp;'19_Расчет_аналитики'!BC1571,WeightedRevAge06)-SUMIF(ThresholdAge06,"&lt;"&amp;'19_Расчет_аналитики'!BC1571,WeightedMinAge06),MAX(CapacityAge06*'01_Вводные'!$B$218*'19_Расчет_аналитики'!BC1571,MeanMinAge06)))</f>
        <v/>
      </c>
      <c r="BD1481">
        <f>IF(OR('19_Расчет_аналитики'!BD1453=0,6&lt;='01_Вводные'!$B$297),0,'19_Расчет_аналитики'!BD1453*IF('01_Вводные'!$B$239="Да",MeanMinAge06+'19_Расчет_аналитики'!BD1571*SUMIF(ThresholdAge06,"&lt;"&amp;'19_Расчет_аналитики'!BD1571,WeightedRevAge06)-SUMIF(ThresholdAge06,"&lt;"&amp;'19_Расчет_аналитики'!BD1571,WeightedMinAge06),MAX(CapacityAge06*'01_Вводные'!$B$218*'19_Расчет_аналитики'!BD1571,MeanMinAge06)))</f>
        <v/>
      </c>
      <c r="BE1481">
        <f>IF(OR('19_Расчет_аналитики'!BE1453=0,6&lt;='01_Вводные'!$B$297),0,'19_Расчет_аналитики'!BE1453*IF('01_Вводные'!$B$239="Да",MeanMinAge06+'19_Расчет_аналитики'!BE1571*SUMIF(ThresholdAge06,"&lt;"&amp;'19_Расчет_аналитики'!BE1571,WeightedRevAge06)-SUMIF(ThresholdAge06,"&lt;"&amp;'19_Расчет_аналитики'!BE1571,WeightedMinAge06),MAX(CapacityAge06*'01_Вводные'!$B$218*'19_Расчет_аналитики'!BE1571,MeanMinAge06)))</f>
        <v/>
      </c>
      <c r="BF1481">
        <f>IF(OR('19_Расчет_аналитики'!BF1453=0,6&lt;='01_Вводные'!$B$297),0,'19_Расчет_аналитики'!BF1453*IF('01_Вводные'!$B$239="Да",MeanMinAge06+'19_Расчет_аналитики'!BF1571*SUMIF(ThresholdAge06,"&lt;"&amp;'19_Расчет_аналитики'!BF1571,WeightedRevAge06)-SUMIF(ThresholdAge06,"&lt;"&amp;'19_Расчет_аналитики'!BF1571,WeightedMinAge06),MAX(CapacityAge06*'01_Вводные'!$B$218*'19_Расчет_аналитики'!BF1571,MeanMinAge06)))</f>
        <v/>
      </c>
      <c r="BG1481">
        <f>IF(OR('19_Расчет_аналитики'!BG1453=0,6&lt;='01_Вводные'!$B$297),0,'19_Расчет_аналитики'!BG1453*IF('01_Вводные'!$B$239="Да",MeanMinAge06+'19_Расчет_аналитики'!BG1571*SUMIF(ThresholdAge06,"&lt;"&amp;'19_Расчет_аналитики'!BG1571,WeightedRevAge06)-SUMIF(ThresholdAge06,"&lt;"&amp;'19_Расчет_аналитики'!BG1571,WeightedMinAge06),MAX(CapacityAge06*'01_Вводные'!$B$218*'19_Расчет_аналитики'!BG1571,MeanMinAge06)))</f>
        <v/>
      </c>
      <c r="BH1481">
        <f>IF(OR('19_Расчет_аналитики'!BH1453=0,6&lt;='01_Вводные'!$B$297),0,'19_Расчет_аналитики'!BH1453*IF('01_Вводные'!$B$239="Да",MeanMinAge06+'19_Расчет_аналитики'!BH1571*SUMIF(ThresholdAge06,"&lt;"&amp;'19_Расчет_аналитики'!BH1571,WeightedRevAge06)-SUMIF(ThresholdAge06,"&lt;"&amp;'19_Расчет_аналитики'!BH1571,WeightedMinAge06),MAX(CapacityAge06*'01_Вводные'!$B$218*'19_Расчет_аналитики'!BH1571,MeanMinAge06)))</f>
        <v/>
      </c>
      <c r="BI1481">
        <f>IF(OR('19_Расчет_аналитики'!BI1453=0,6&lt;='01_Вводные'!$B$297),0,'19_Расчет_аналитики'!BI1453*IF('01_Вводные'!$B$239="Да",MeanMinAge06+'19_Расчет_аналитики'!BI1571*SUMIF(ThresholdAge06,"&lt;"&amp;'19_Расчет_аналитики'!BI1571,WeightedRevAge06)-SUMIF(ThresholdAge06,"&lt;"&amp;'19_Расчет_аналитики'!BI1571,WeightedMinAge06),MAX(CapacityAge06*'01_Вводные'!$B$218*'19_Расчет_аналитики'!BI1571,MeanMinAge06)))</f>
        <v/>
      </c>
      <c r="BJ1481">
        <f>IF(OR('19_Расчет_аналитики'!BJ1453=0,6&lt;='01_Вводные'!$B$297),0,'19_Расчет_аналитики'!BJ1453*IF('01_Вводные'!$B$239="Да",MeanMinAge06+'19_Расчет_аналитики'!BJ1571*SUMIF(ThresholdAge06,"&lt;"&amp;'19_Расчет_аналитики'!BJ1571,WeightedRevAge06)-SUMIF(ThresholdAge06,"&lt;"&amp;'19_Расчет_аналитики'!BJ1571,WeightedMinAge06),MAX(CapacityAge06*'01_Вводные'!$B$218*'19_Расчет_аналитики'!BJ1571,MeanMinAge06)))</f>
        <v/>
      </c>
      <c r="BK1481">
        <f>IF(OR('19_Расчет_аналитики'!BK1453=0,6&lt;='01_Вводные'!$B$297),0,'19_Расчет_аналитики'!BK1453*IF('01_Вводные'!$B$239="Да",MeanMinAge06+'19_Расчет_аналитики'!BK1571*SUMIF(ThresholdAge06,"&lt;"&amp;'19_Расчет_аналитики'!BK1571,WeightedRevAge06)-SUMIF(ThresholdAge06,"&lt;"&amp;'19_Расчет_аналитики'!BK1571,WeightedMinAge06),MAX(CapacityAge06*'01_Вводные'!$B$218*'19_Расчет_аналитики'!BK1571,MeanMinAge06)))</f>
        <v/>
      </c>
      <c r="BL1481">
        <f>IF(OR('19_Расчет_аналитики'!BL1453=0,6&lt;='01_Вводные'!$B$297),0,'19_Расчет_аналитики'!BL1453*IF('01_Вводные'!$B$239="Да",MeanMinAge06+'19_Расчет_аналитики'!BL1571*SUMIF(ThresholdAge06,"&lt;"&amp;'19_Расчет_аналитики'!BL1571,WeightedRevAge06)-SUMIF(ThresholdAge06,"&lt;"&amp;'19_Расчет_аналитики'!BL1571,WeightedMinAge06),MAX(CapacityAge06*'01_Вводные'!$B$218*'19_Расчет_аналитики'!BL1571,MeanMinAge06)))</f>
        <v/>
      </c>
      <c r="BM1481">
        <f>IF(OR('19_Расчет_аналитики'!BM1453=0,6&lt;='01_Вводные'!$B$297),0,'19_Расчет_аналитики'!BM1453*IF('01_Вводные'!$B$239="Да",MeanMinAge06+'19_Расчет_аналитики'!BM1571*SUMIF(ThresholdAge06,"&lt;"&amp;'19_Расчет_аналитики'!BM1571,WeightedRevAge06)-SUMIF(ThresholdAge06,"&lt;"&amp;'19_Расчет_аналитики'!BM1571,WeightedMinAge06),MAX(CapacityAge06*'01_Вводные'!$B$218*'19_Расчет_аналитики'!BM1571,MeanMinAge06)))</f>
        <v/>
      </c>
      <c r="BN1481">
        <f>IF(OR('19_Расчет_аналитики'!BN1453=0,6&lt;='01_Вводные'!$B$297),0,'19_Расчет_аналитики'!BN1453*IF('01_Вводные'!$B$239="Да",MeanMinAge06+'19_Расчет_аналитики'!BN1571*SUMIF(ThresholdAge06,"&lt;"&amp;'19_Расчет_аналитики'!BN1571,WeightedRevAge06)-SUMIF(ThresholdAge06,"&lt;"&amp;'19_Расчет_аналитики'!BN1571,WeightedMinAge06),MAX(CapacityAge06*'01_Вводные'!$B$218*'19_Расчет_аналитики'!BN1571,MeanMinAge06)))</f>
        <v/>
      </c>
      <c r="BO1481">
        <f>IF(OR('19_Расчет_аналитики'!BO1453=0,6&lt;='01_Вводные'!$B$297),0,'19_Расчет_аналитики'!BO1453*IF('01_Вводные'!$B$239="Да",MeanMinAge06+'19_Расчет_аналитики'!BO1571*SUMIF(ThresholdAge06,"&lt;"&amp;'19_Расчет_аналитики'!BO1571,WeightedRevAge06)-SUMIF(ThresholdAge06,"&lt;"&amp;'19_Расчет_аналитики'!BO1571,WeightedMinAge06),MAX(CapacityAge06*'01_Вводные'!$B$218*'19_Расчет_аналитики'!BO1571,MeanMinAge06)))</f>
        <v/>
      </c>
    </row>
    <row r="1482">
      <c r="B1482">
        <f>IF(OR('06_Сеть_и_дети'!B87=0,7&lt;='01_Вводные'!$B$297),0,'06_Сеть_и_дети'!B87*IF('01_Вводные'!$B$239="Да",MeanMinAge07+'19_Расчет_аналитики'!B1571*SUMIF(ThresholdAge07,"&lt;"&amp;'19_Расчет_аналитики'!B1571,WeightedRevAge07)-SUMIF(ThresholdAge07,"&lt;"&amp;'19_Расчет_аналитики'!B1571,WeightedMinAge07),MAX(CapacityAge07*'01_Вводные'!$B$218*'19_Расчет_аналитики'!B1571,MeanMinAge07)))</f>
        <v/>
      </c>
      <c r="C1482">
        <f>IF(OR('06_Сеть_и_дети'!C87=0,7&lt;='01_Вводные'!$B$297),0,'06_Сеть_и_дети'!C87*IF('01_Вводные'!$B$239="Да",MeanMinAge07+'19_Расчет_аналитики'!C1571*SUMIF(ThresholdAge07,"&lt;"&amp;'19_Расчет_аналитики'!C1571,WeightedRevAge07)-SUMIF(ThresholdAge07,"&lt;"&amp;'19_Расчет_аналитики'!C1571,WeightedMinAge07),MAX(CapacityAge07*'01_Вводные'!$B$218*'19_Расчет_аналитики'!C1571,MeanMinAge07)))</f>
        <v/>
      </c>
      <c r="D1482">
        <f>IF(OR('06_Сеть_и_дети'!D87=0,7&lt;='01_Вводные'!$B$297),0,'06_Сеть_и_дети'!D87*IF('01_Вводные'!$B$239="Да",MeanMinAge07+'19_Расчет_аналитики'!D1571*SUMIF(ThresholdAge07,"&lt;"&amp;'19_Расчет_аналитики'!D1571,WeightedRevAge07)-SUMIF(ThresholdAge07,"&lt;"&amp;'19_Расчет_аналитики'!D1571,WeightedMinAge07),MAX(CapacityAge07*'01_Вводные'!$B$218*'19_Расчет_аналитики'!D1571,MeanMinAge07)))</f>
        <v/>
      </c>
      <c r="E1482">
        <f>IF(OR('06_Сеть_и_дети'!E87=0,7&lt;='01_Вводные'!$B$297),0,'06_Сеть_и_дети'!E87*IF('01_Вводные'!$B$239="Да",MeanMinAge07+'19_Расчет_аналитики'!E1571*SUMIF(ThresholdAge07,"&lt;"&amp;'19_Расчет_аналитики'!E1571,WeightedRevAge07)-SUMIF(ThresholdAge07,"&lt;"&amp;'19_Расчет_аналитики'!E1571,WeightedMinAge07),MAX(CapacityAge07*'01_Вводные'!$B$218*'19_Расчет_аналитики'!E1571,MeanMinAge07)))</f>
        <v/>
      </c>
      <c r="F1482">
        <f>IF(OR('06_Сеть_и_дети'!F87=0,7&lt;='01_Вводные'!$B$297),0,'06_Сеть_и_дети'!F87*IF('01_Вводные'!$B$239="Да",MeanMinAge07+'19_Расчет_аналитики'!F1571*SUMIF(ThresholdAge07,"&lt;"&amp;'19_Расчет_аналитики'!F1571,WeightedRevAge07)-SUMIF(ThresholdAge07,"&lt;"&amp;'19_Расчет_аналитики'!F1571,WeightedMinAge07),MAX(CapacityAge07*'01_Вводные'!$B$218*'19_Расчет_аналитики'!F1571,MeanMinAge07)))</f>
        <v/>
      </c>
      <c r="G1482">
        <f>IF(OR('06_Сеть_и_дети'!G87=0,7&lt;='01_Вводные'!$B$297),0,'06_Сеть_и_дети'!G87*IF('01_Вводные'!$B$239="Да",MeanMinAge07+'19_Расчет_аналитики'!G1571*SUMIF(ThresholdAge07,"&lt;"&amp;'19_Расчет_аналитики'!G1571,WeightedRevAge07)-SUMIF(ThresholdAge07,"&lt;"&amp;'19_Расчет_аналитики'!G1571,WeightedMinAge07),MAX(CapacityAge07*'01_Вводные'!$B$218*'19_Расчет_аналитики'!G1571,MeanMinAge07)))</f>
        <v/>
      </c>
      <c r="H1482">
        <f>IF(OR('19_Расчет_аналитики'!H1454=0,7&lt;='01_Вводные'!$B$297),0,'19_Расчет_аналитики'!H1454*IF('01_Вводные'!$B$239="Да",MeanMinAge07+'19_Расчет_аналитики'!H1571*SUMIF(ThresholdAge07,"&lt;"&amp;'19_Расчет_аналитики'!H1571,WeightedRevAge07)-SUMIF(ThresholdAge07,"&lt;"&amp;'19_Расчет_аналитики'!H1571,WeightedMinAge07),MAX(CapacityAge07*'01_Вводные'!$B$218*'19_Расчет_аналитики'!H1571,MeanMinAge07)))</f>
        <v/>
      </c>
      <c r="I1482">
        <f>IF(OR('19_Расчет_аналитики'!I1454=0,7&lt;='01_Вводные'!$B$297),0,'19_Расчет_аналитики'!I1454*IF('01_Вводные'!$B$239="Да",MeanMinAge07+'19_Расчет_аналитики'!I1571*SUMIF(ThresholdAge07,"&lt;"&amp;'19_Расчет_аналитики'!I1571,WeightedRevAge07)-SUMIF(ThresholdAge07,"&lt;"&amp;'19_Расчет_аналитики'!I1571,WeightedMinAge07),MAX(CapacityAge07*'01_Вводные'!$B$218*'19_Расчет_аналитики'!I1571,MeanMinAge07)))</f>
        <v/>
      </c>
      <c r="J1482">
        <f>IF(OR('19_Расчет_аналитики'!J1454=0,7&lt;='01_Вводные'!$B$297),0,'19_Расчет_аналитики'!J1454*IF('01_Вводные'!$B$239="Да",MeanMinAge07+'19_Расчет_аналитики'!J1571*SUMIF(ThresholdAge07,"&lt;"&amp;'19_Расчет_аналитики'!J1571,WeightedRevAge07)-SUMIF(ThresholdAge07,"&lt;"&amp;'19_Расчет_аналитики'!J1571,WeightedMinAge07),MAX(CapacityAge07*'01_Вводные'!$B$218*'19_Расчет_аналитики'!J1571,MeanMinAge07)))</f>
        <v/>
      </c>
      <c r="K1482">
        <f>IF(OR('19_Расчет_аналитики'!K1454=0,7&lt;='01_Вводные'!$B$297),0,'19_Расчет_аналитики'!K1454*IF('01_Вводные'!$B$239="Да",MeanMinAge07+'19_Расчет_аналитики'!K1571*SUMIF(ThresholdAge07,"&lt;"&amp;'19_Расчет_аналитики'!K1571,WeightedRevAge07)-SUMIF(ThresholdAge07,"&lt;"&amp;'19_Расчет_аналитики'!K1571,WeightedMinAge07),MAX(CapacityAge07*'01_Вводные'!$B$218*'19_Расчет_аналитики'!K1571,MeanMinAge07)))</f>
        <v/>
      </c>
      <c r="L1482">
        <f>IF(OR('19_Расчет_аналитики'!L1454=0,7&lt;='01_Вводные'!$B$297),0,'19_Расчет_аналитики'!L1454*IF('01_Вводные'!$B$239="Да",MeanMinAge07+'19_Расчет_аналитики'!L1571*SUMIF(ThresholdAge07,"&lt;"&amp;'19_Расчет_аналитики'!L1571,WeightedRevAge07)-SUMIF(ThresholdAge07,"&lt;"&amp;'19_Расчет_аналитики'!L1571,WeightedMinAge07),MAX(CapacityAge07*'01_Вводные'!$B$218*'19_Расчет_аналитики'!L1571,MeanMinAge07)))</f>
        <v/>
      </c>
      <c r="M1482">
        <f>IF(OR('19_Расчет_аналитики'!M1454=0,7&lt;='01_Вводные'!$B$297),0,'19_Расчет_аналитики'!M1454*IF('01_Вводные'!$B$239="Да",MeanMinAge07+'19_Расчет_аналитики'!M1571*SUMIF(ThresholdAge07,"&lt;"&amp;'19_Расчет_аналитики'!M1571,WeightedRevAge07)-SUMIF(ThresholdAge07,"&lt;"&amp;'19_Расчет_аналитики'!M1571,WeightedMinAge07),MAX(CapacityAge07*'01_Вводные'!$B$218*'19_Расчет_аналитики'!M1571,MeanMinAge07)))</f>
        <v/>
      </c>
      <c r="N1482">
        <f>IF(OR('19_Расчет_аналитики'!N1454=0,7&lt;='01_Вводные'!$B$297),0,'19_Расчет_аналитики'!N1454*IF('01_Вводные'!$B$239="Да",MeanMinAge07+'19_Расчет_аналитики'!N1571*SUMIF(ThresholdAge07,"&lt;"&amp;'19_Расчет_аналитики'!N1571,WeightedRevAge07)-SUMIF(ThresholdAge07,"&lt;"&amp;'19_Расчет_аналитики'!N1571,WeightedMinAge07),MAX(CapacityAge07*'01_Вводные'!$B$218*'19_Расчет_аналитики'!N1571,MeanMinAge07)))</f>
        <v/>
      </c>
      <c r="O1482">
        <f>IF(OR('19_Расчет_аналитики'!O1454=0,7&lt;='01_Вводные'!$B$297),0,'19_Расчет_аналитики'!O1454*IF('01_Вводные'!$B$239="Да",MeanMinAge07+'19_Расчет_аналитики'!O1571*SUMIF(ThresholdAge07,"&lt;"&amp;'19_Расчет_аналитики'!O1571,WeightedRevAge07)-SUMIF(ThresholdAge07,"&lt;"&amp;'19_Расчет_аналитики'!O1571,WeightedMinAge07),MAX(CapacityAge07*'01_Вводные'!$B$218*'19_Расчет_аналитики'!O1571,MeanMinAge07)))</f>
        <v/>
      </c>
      <c r="P1482">
        <f>IF(OR('19_Расчет_аналитики'!P1454=0,7&lt;='01_Вводные'!$B$297),0,'19_Расчет_аналитики'!P1454*IF('01_Вводные'!$B$239="Да",MeanMinAge07+'19_Расчет_аналитики'!P1571*SUMIF(ThresholdAge07,"&lt;"&amp;'19_Расчет_аналитики'!P1571,WeightedRevAge07)-SUMIF(ThresholdAge07,"&lt;"&amp;'19_Расчет_аналитики'!P1571,WeightedMinAge07),MAX(CapacityAge07*'01_Вводные'!$B$218*'19_Расчет_аналитики'!P1571,MeanMinAge07)))</f>
        <v/>
      </c>
      <c r="Q1482">
        <f>IF(OR('19_Расчет_аналитики'!Q1454=0,7&lt;='01_Вводные'!$B$297),0,'19_Расчет_аналитики'!Q1454*IF('01_Вводные'!$B$239="Да",MeanMinAge07+'19_Расчет_аналитики'!Q1571*SUMIF(ThresholdAge07,"&lt;"&amp;'19_Расчет_аналитики'!Q1571,WeightedRevAge07)-SUMIF(ThresholdAge07,"&lt;"&amp;'19_Расчет_аналитики'!Q1571,WeightedMinAge07),MAX(CapacityAge07*'01_Вводные'!$B$218*'19_Расчет_аналитики'!Q1571,MeanMinAge07)))</f>
        <v/>
      </c>
      <c r="R1482">
        <f>IF(OR('19_Расчет_аналитики'!R1454=0,7&lt;='01_Вводные'!$B$297),0,'19_Расчет_аналитики'!R1454*IF('01_Вводные'!$B$239="Да",MeanMinAge07+'19_Расчет_аналитики'!R1571*SUMIF(ThresholdAge07,"&lt;"&amp;'19_Расчет_аналитики'!R1571,WeightedRevAge07)-SUMIF(ThresholdAge07,"&lt;"&amp;'19_Расчет_аналитики'!R1571,WeightedMinAge07),MAX(CapacityAge07*'01_Вводные'!$B$218*'19_Расчет_аналитики'!R1571,MeanMinAge07)))</f>
        <v/>
      </c>
      <c r="S1482">
        <f>IF(OR('19_Расчет_аналитики'!S1454=0,7&lt;='01_Вводные'!$B$297),0,'19_Расчет_аналитики'!S1454*IF('01_Вводные'!$B$239="Да",MeanMinAge07+'19_Расчет_аналитики'!S1571*SUMIF(ThresholdAge07,"&lt;"&amp;'19_Расчет_аналитики'!S1571,WeightedRevAge07)-SUMIF(ThresholdAge07,"&lt;"&amp;'19_Расчет_аналитики'!S1571,WeightedMinAge07),MAX(CapacityAge07*'01_Вводные'!$B$218*'19_Расчет_аналитики'!S1571,MeanMinAge07)))</f>
        <v/>
      </c>
      <c r="T1482">
        <f>IF(OR('19_Расчет_аналитики'!T1454=0,7&lt;='01_Вводные'!$B$297),0,'19_Расчет_аналитики'!T1454*IF('01_Вводные'!$B$239="Да",MeanMinAge07+'19_Расчет_аналитики'!T1571*SUMIF(ThresholdAge07,"&lt;"&amp;'19_Расчет_аналитики'!T1571,WeightedRevAge07)-SUMIF(ThresholdAge07,"&lt;"&amp;'19_Расчет_аналитики'!T1571,WeightedMinAge07),MAX(CapacityAge07*'01_Вводные'!$B$218*'19_Расчет_аналитики'!T1571,MeanMinAge07)))</f>
        <v/>
      </c>
      <c r="U1482">
        <f>IF(OR('19_Расчет_аналитики'!U1454=0,7&lt;='01_Вводные'!$B$297),0,'19_Расчет_аналитики'!U1454*IF('01_Вводные'!$B$239="Да",MeanMinAge07+'19_Расчет_аналитики'!U1571*SUMIF(ThresholdAge07,"&lt;"&amp;'19_Расчет_аналитики'!U1571,WeightedRevAge07)-SUMIF(ThresholdAge07,"&lt;"&amp;'19_Расчет_аналитики'!U1571,WeightedMinAge07),MAX(CapacityAge07*'01_Вводные'!$B$218*'19_Расчет_аналитики'!U1571,MeanMinAge07)))</f>
        <v/>
      </c>
      <c r="V1482">
        <f>IF(OR('19_Расчет_аналитики'!V1454=0,7&lt;='01_Вводные'!$B$297),0,'19_Расчет_аналитики'!V1454*IF('01_Вводные'!$B$239="Да",MeanMinAge07+'19_Расчет_аналитики'!V1571*SUMIF(ThresholdAge07,"&lt;"&amp;'19_Расчет_аналитики'!V1571,WeightedRevAge07)-SUMIF(ThresholdAge07,"&lt;"&amp;'19_Расчет_аналитики'!V1571,WeightedMinAge07),MAX(CapacityAge07*'01_Вводные'!$B$218*'19_Расчет_аналитики'!V1571,MeanMinAge07)))</f>
        <v/>
      </c>
      <c r="W1482">
        <f>IF(OR('19_Расчет_аналитики'!W1454=0,7&lt;='01_Вводные'!$B$297),0,'19_Расчет_аналитики'!W1454*IF('01_Вводные'!$B$239="Да",MeanMinAge07+'19_Расчет_аналитики'!W1571*SUMIF(ThresholdAge07,"&lt;"&amp;'19_Расчет_аналитики'!W1571,WeightedRevAge07)-SUMIF(ThresholdAge07,"&lt;"&amp;'19_Расчет_аналитики'!W1571,WeightedMinAge07),MAX(CapacityAge07*'01_Вводные'!$B$218*'19_Расчет_аналитики'!W1571,MeanMinAge07)))</f>
        <v/>
      </c>
      <c r="X1482">
        <f>IF(OR('19_Расчет_аналитики'!X1454=0,7&lt;='01_Вводные'!$B$297),0,'19_Расчет_аналитики'!X1454*IF('01_Вводные'!$B$239="Да",MeanMinAge07+'19_Расчет_аналитики'!X1571*SUMIF(ThresholdAge07,"&lt;"&amp;'19_Расчет_аналитики'!X1571,WeightedRevAge07)-SUMIF(ThresholdAge07,"&lt;"&amp;'19_Расчет_аналитики'!X1571,WeightedMinAge07),MAX(CapacityAge07*'01_Вводные'!$B$218*'19_Расчет_аналитики'!X1571,MeanMinAge07)))</f>
        <v/>
      </c>
      <c r="Y1482">
        <f>IF(OR('19_Расчет_аналитики'!Y1454=0,7&lt;='01_Вводные'!$B$297),0,'19_Расчет_аналитики'!Y1454*IF('01_Вводные'!$B$239="Да",MeanMinAge07+'19_Расчет_аналитики'!Y1571*SUMIF(ThresholdAge07,"&lt;"&amp;'19_Расчет_аналитики'!Y1571,WeightedRevAge07)-SUMIF(ThresholdAge07,"&lt;"&amp;'19_Расчет_аналитики'!Y1571,WeightedMinAge07),MAX(CapacityAge07*'01_Вводные'!$B$218*'19_Расчет_аналитики'!Y1571,MeanMinAge07)))</f>
        <v/>
      </c>
      <c r="Z1482">
        <f>IF(OR('19_Расчет_аналитики'!Z1454=0,7&lt;='01_Вводные'!$B$297),0,'19_Расчет_аналитики'!Z1454*IF('01_Вводные'!$B$239="Да",MeanMinAge07+'19_Расчет_аналитики'!Z1571*SUMIF(ThresholdAge07,"&lt;"&amp;'19_Расчет_аналитики'!Z1571,WeightedRevAge07)-SUMIF(ThresholdAge07,"&lt;"&amp;'19_Расчет_аналитики'!Z1571,WeightedMinAge07),MAX(CapacityAge07*'01_Вводные'!$B$218*'19_Расчет_аналитики'!Z1571,MeanMinAge07)))</f>
        <v/>
      </c>
      <c r="AA1482">
        <f>IF(OR('19_Расчет_аналитики'!AA1454=0,7&lt;='01_Вводные'!$B$297),0,'19_Расчет_аналитики'!AA1454*IF('01_Вводные'!$B$239="Да",MeanMinAge07+'19_Расчет_аналитики'!AA1571*SUMIF(ThresholdAge07,"&lt;"&amp;'19_Расчет_аналитики'!AA1571,WeightedRevAge07)-SUMIF(ThresholdAge07,"&lt;"&amp;'19_Расчет_аналитики'!AA1571,WeightedMinAge07),MAX(CapacityAge07*'01_Вводные'!$B$218*'19_Расчет_аналитики'!AA1571,MeanMinAge07)))</f>
        <v/>
      </c>
      <c r="AB1482">
        <f>IF(OR('19_Расчет_аналитики'!AB1454=0,7&lt;='01_Вводные'!$B$297),0,'19_Расчет_аналитики'!AB1454*IF('01_Вводные'!$B$239="Да",MeanMinAge07+'19_Расчет_аналитики'!AB1571*SUMIF(ThresholdAge07,"&lt;"&amp;'19_Расчет_аналитики'!AB1571,WeightedRevAge07)-SUMIF(ThresholdAge07,"&lt;"&amp;'19_Расчет_аналитики'!AB1571,WeightedMinAge07),MAX(CapacityAge07*'01_Вводные'!$B$218*'19_Расчет_аналитики'!AB1571,MeanMinAge07)))</f>
        <v/>
      </c>
      <c r="AC1482">
        <f>IF(OR('19_Расчет_аналитики'!AC1454=0,7&lt;='01_Вводные'!$B$297),0,'19_Расчет_аналитики'!AC1454*IF('01_Вводные'!$B$239="Да",MeanMinAge07+'19_Расчет_аналитики'!AC1571*SUMIF(ThresholdAge07,"&lt;"&amp;'19_Расчет_аналитики'!AC1571,WeightedRevAge07)-SUMIF(ThresholdAge07,"&lt;"&amp;'19_Расчет_аналитики'!AC1571,WeightedMinAge07),MAX(CapacityAge07*'01_Вводные'!$B$218*'19_Расчет_аналитики'!AC1571,MeanMinAge07)))</f>
        <v/>
      </c>
      <c r="AD1482">
        <f>IF(OR('19_Расчет_аналитики'!AD1454=0,7&lt;='01_Вводные'!$B$297),0,'19_Расчет_аналитики'!AD1454*IF('01_Вводные'!$B$239="Да",MeanMinAge07+'19_Расчет_аналитики'!AD1571*SUMIF(ThresholdAge07,"&lt;"&amp;'19_Расчет_аналитики'!AD1571,WeightedRevAge07)-SUMIF(ThresholdAge07,"&lt;"&amp;'19_Расчет_аналитики'!AD1571,WeightedMinAge07),MAX(CapacityAge07*'01_Вводные'!$B$218*'19_Расчет_аналитики'!AD1571,MeanMinAge07)))</f>
        <v/>
      </c>
      <c r="AE1482">
        <f>IF(OR('19_Расчет_аналитики'!AE1454=0,7&lt;='01_Вводные'!$B$297),0,'19_Расчет_аналитики'!AE1454*IF('01_Вводные'!$B$239="Да",MeanMinAge07+'19_Расчет_аналитики'!AE1571*SUMIF(ThresholdAge07,"&lt;"&amp;'19_Расчет_аналитики'!AE1571,WeightedRevAge07)-SUMIF(ThresholdAge07,"&lt;"&amp;'19_Расчет_аналитики'!AE1571,WeightedMinAge07),MAX(CapacityAge07*'01_Вводные'!$B$218*'19_Расчет_аналитики'!AE1571,MeanMinAge07)))</f>
        <v/>
      </c>
      <c r="AF1482">
        <f>IF(OR('19_Расчет_аналитики'!AF1454=0,7&lt;='01_Вводные'!$B$297),0,'19_Расчет_аналитики'!AF1454*IF('01_Вводные'!$B$239="Да",MeanMinAge07+'19_Расчет_аналитики'!AF1571*SUMIF(ThresholdAge07,"&lt;"&amp;'19_Расчет_аналитики'!AF1571,WeightedRevAge07)-SUMIF(ThresholdAge07,"&lt;"&amp;'19_Расчет_аналитики'!AF1571,WeightedMinAge07),MAX(CapacityAge07*'01_Вводные'!$B$218*'19_Расчет_аналитики'!AF1571,MeanMinAge07)))</f>
        <v/>
      </c>
      <c r="AG1482">
        <f>IF(OR('19_Расчет_аналитики'!AG1454=0,7&lt;='01_Вводные'!$B$297),0,'19_Расчет_аналитики'!AG1454*IF('01_Вводные'!$B$239="Да",MeanMinAge07+'19_Расчет_аналитики'!AG1571*SUMIF(ThresholdAge07,"&lt;"&amp;'19_Расчет_аналитики'!AG1571,WeightedRevAge07)-SUMIF(ThresholdAge07,"&lt;"&amp;'19_Расчет_аналитики'!AG1571,WeightedMinAge07),MAX(CapacityAge07*'01_Вводные'!$B$218*'19_Расчет_аналитики'!AG1571,MeanMinAge07)))</f>
        <v/>
      </c>
      <c r="AH1482">
        <f>IF(OR('19_Расчет_аналитики'!AH1454=0,7&lt;='01_Вводные'!$B$297),0,'19_Расчет_аналитики'!AH1454*IF('01_Вводные'!$B$239="Да",MeanMinAge07+'19_Расчет_аналитики'!AH1571*SUMIF(ThresholdAge07,"&lt;"&amp;'19_Расчет_аналитики'!AH1571,WeightedRevAge07)-SUMIF(ThresholdAge07,"&lt;"&amp;'19_Расчет_аналитики'!AH1571,WeightedMinAge07),MAX(CapacityAge07*'01_Вводные'!$B$218*'19_Расчет_аналитики'!AH1571,MeanMinAge07)))</f>
        <v/>
      </c>
      <c r="AI1482">
        <f>IF(OR('19_Расчет_аналитики'!AI1454=0,7&lt;='01_Вводные'!$B$297),0,'19_Расчет_аналитики'!AI1454*IF('01_Вводные'!$B$239="Да",MeanMinAge07+'19_Расчет_аналитики'!AI1571*SUMIF(ThresholdAge07,"&lt;"&amp;'19_Расчет_аналитики'!AI1571,WeightedRevAge07)-SUMIF(ThresholdAge07,"&lt;"&amp;'19_Расчет_аналитики'!AI1571,WeightedMinAge07),MAX(CapacityAge07*'01_Вводные'!$B$218*'19_Расчет_аналитики'!AI1571,MeanMinAge07)))</f>
        <v/>
      </c>
      <c r="AJ1482">
        <f>IF(OR('19_Расчет_аналитики'!AJ1454=0,7&lt;='01_Вводные'!$B$297),0,'19_Расчет_аналитики'!AJ1454*IF('01_Вводные'!$B$239="Да",MeanMinAge07+'19_Расчет_аналитики'!AJ1571*SUMIF(ThresholdAge07,"&lt;"&amp;'19_Расчет_аналитики'!AJ1571,WeightedRevAge07)-SUMIF(ThresholdAge07,"&lt;"&amp;'19_Расчет_аналитики'!AJ1571,WeightedMinAge07),MAX(CapacityAge07*'01_Вводные'!$B$218*'19_Расчет_аналитики'!AJ1571,MeanMinAge07)))</f>
        <v/>
      </c>
      <c r="AK1482">
        <f>IF(OR('19_Расчет_аналитики'!AK1454=0,7&lt;='01_Вводные'!$B$297),0,'19_Расчет_аналитики'!AK1454*IF('01_Вводные'!$B$239="Да",MeanMinAge07+'19_Расчет_аналитики'!AK1571*SUMIF(ThresholdAge07,"&lt;"&amp;'19_Расчет_аналитики'!AK1571,WeightedRevAge07)-SUMIF(ThresholdAge07,"&lt;"&amp;'19_Расчет_аналитики'!AK1571,WeightedMinAge07),MAX(CapacityAge07*'01_Вводные'!$B$218*'19_Расчет_аналитики'!AK1571,MeanMinAge07)))</f>
        <v/>
      </c>
      <c r="AL1482">
        <f>IF(OR('19_Расчет_аналитики'!AL1454=0,7&lt;='01_Вводные'!$B$297),0,'19_Расчет_аналитики'!AL1454*IF('01_Вводные'!$B$239="Да",MeanMinAge07+'19_Расчет_аналитики'!AL1571*SUMIF(ThresholdAge07,"&lt;"&amp;'19_Расчет_аналитики'!AL1571,WeightedRevAge07)-SUMIF(ThresholdAge07,"&lt;"&amp;'19_Расчет_аналитики'!AL1571,WeightedMinAge07),MAX(CapacityAge07*'01_Вводные'!$B$218*'19_Расчет_аналитики'!AL1571,MeanMinAge07)))</f>
        <v/>
      </c>
      <c r="AM1482">
        <f>IF(OR('19_Расчет_аналитики'!AM1454=0,7&lt;='01_Вводные'!$B$297),0,'19_Расчет_аналитики'!AM1454*IF('01_Вводные'!$B$239="Да",MeanMinAge07+'19_Расчет_аналитики'!AM1571*SUMIF(ThresholdAge07,"&lt;"&amp;'19_Расчет_аналитики'!AM1571,WeightedRevAge07)-SUMIF(ThresholdAge07,"&lt;"&amp;'19_Расчет_аналитики'!AM1571,WeightedMinAge07),MAX(CapacityAge07*'01_Вводные'!$B$218*'19_Расчет_аналитики'!AM1571,MeanMinAge07)))</f>
        <v/>
      </c>
      <c r="AN1482">
        <f>IF(OR('19_Расчет_аналитики'!AN1454=0,7&lt;='01_Вводные'!$B$297),0,'19_Расчет_аналитики'!AN1454*IF('01_Вводные'!$B$239="Да",MeanMinAge07+'19_Расчет_аналитики'!AN1571*SUMIF(ThresholdAge07,"&lt;"&amp;'19_Расчет_аналитики'!AN1571,WeightedRevAge07)-SUMIF(ThresholdAge07,"&lt;"&amp;'19_Расчет_аналитики'!AN1571,WeightedMinAge07),MAX(CapacityAge07*'01_Вводные'!$B$218*'19_Расчет_аналитики'!AN1571,MeanMinAge07)))</f>
        <v/>
      </c>
      <c r="AO1482">
        <f>IF(OR('19_Расчет_аналитики'!AO1454=0,7&lt;='01_Вводные'!$B$297),0,'19_Расчет_аналитики'!AO1454*IF('01_Вводные'!$B$239="Да",MeanMinAge07+'19_Расчет_аналитики'!AO1571*SUMIF(ThresholdAge07,"&lt;"&amp;'19_Расчет_аналитики'!AO1571,WeightedRevAge07)-SUMIF(ThresholdAge07,"&lt;"&amp;'19_Расчет_аналитики'!AO1571,WeightedMinAge07),MAX(CapacityAge07*'01_Вводные'!$B$218*'19_Расчет_аналитики'!AO1571,MeanMinAge07)))</f>
        <v/>
      </c>
      <c r="AP1482">
        <f>IF(OR('19_Расчет_аналитики'!AP1454=0,7&lt;='01_Вводные'!$B$297),0,'19_Расчет_аналитики'!AP1454*IF('01_Вводные'!$B$239="Да",MeanMinAge07+'19_Расчет_аналитики'!AP1571*SUMIF(ThresholdAge07,"&lt;"&amp;'19_Расчет_аналитики'!AP1571,WeightedRevAge07)-SUMIF(ThresholdAge07,"&lt;"&amp;'19_Расчет_аналитики'!AP1571,WeightedMinAge07),MAX(CapacityAge07*'01_Вводные'!$B$218*'19_Расчет_аналитики'!AP1571,MeanMinAge07)))</f>
        <v/>
      </c>
      <c r="AQ1482">
        <f>IF(OR('19_Расчет_аналитики'!AQ1454=0,7&lt;='01_Вводные'!$B$297),0,'19_Расчет_аналитики'!AQ1454*IF('01_Вводные'!$B$239="Да",MeanMinAge07+'19_Расчет_аналитики'!AQ1571*SUMIF(ThresholdAge07,"&lt;"&amp;'19_Расчет_аналитики'!AQ1571,WeightedRevAge07)-SUMIF(ThresholdAge07,"&lt;"&amp;'19_Расчет_аналитики'!AQ1571,WeightedMinAge07),MAX(CapacityAge07*'01_Вводные'!$B$218*'19_Расчет_аналитики'!AQ1571,MeanMinAge07)))</f>
        <v/>
      </c>
      <c r="AR1482">
        <f>IF(OR('19_Расчет_аналитики'!AR1454=0,7&lt;='01_Вводные'!$B$297),0,'19_Расчет_аналитики'!AR1454*IF('01_Вводные'!$B$239="Да",MeanMinAge07+'19_Расчет_аналитики'!AR1571*SUMIF(ThresholdAge07,"&lt;"&amp;'19_Расчет_аналитики'!AR1571,WeightedRevAge07)-SUMIF(ThresholdAge07,"&lt;"&amp;'19_Расчет_аналитики'!AR1571,WeightedMinAge07),MAX(CapacityAge07*'01_Вводные'!$B$218*'19_Расчет_аналитики'!AR1571,MeanMinAge07)))</f>
        <v/>
      </c>
      <c r="AS1482">
        <f>IF(OR('19_Расчет_аналитики'!AS1454=0,7&lt;='01_Вводные'!$B$297),0,'19_Расчет_аналитики'!AS1454*IF('01_Вводные'!$B$239="Да",MeanMinAge07+'19_Расчет_аналитики'!AS1571*SUMIF(ThresholdAge07,"&lt;"&amp;'19_Расчет_аналитики'!AS1571,WeightedRevAge07)-SUMIF(ThresholdAge07,"&lt;"&amp;'19_Расчет_аналитики'!AS1571,WeightedMinAge07),MAX(CapacityAge07*'01_Вводные'!$B$218*'19_Расчет_аналитики'!AS1571,MeanMinAge07)))</f>
        <v/>
      </c>
      <c r="AT1482">
        <f>IF(OR('19_Расчет_аналитики'!AT1454=0,7&lt;='01_Вводные'!$B$297),0,'19_Расчет_аналитики'!AT1454*IF('01_Вводные'!$B$239="Да",MeanMinAge07+'19_Расчет_аналитики'!AT1571*SUMIF(ThresholdAge07,"&lt;"&amp;'19_Расчет_аналитики'!AT1571,WeightedRevAge07)-SUMIF(ThresholdAge07,"&lt;"&amp;'19_Расчет_аналитики'!AT1571,WeightedMinAge07),MAX(CapacityAge07*'01_Вводные'!$B$218*'19_Расчет_аналитики'!AT1571,MeanMinAge07)))</f>
        <v/>
      </c>
      <c r="AU1482">
        <f>IF(OR('19_Расчет_аналитики'!AU1454=0,7&lt;='01_Вводные'!$B$297),0,'19_Расчет_аналитики'!AU1454*IF('01_Вводные'!$B$239="Да",MeanMinAge07+'19_Расчет_аналитики'!AU1571*SUMIF(ThresholdAge07,"&lt;"&amp;'19_Расчет_аналитики'!AU1571,WeightedRevAge07)-SUMIF(ThresholdAge07,"&lt;"&amp;'19_Расчет_аналитики'!AU1571,WeightedMinAge07),MAX(CapacityAge07*'01_Вводные'!$B$218*'19_Расчет_аналитики'!AU1571,MeanMinAge07)))</f>
        <v/>
      </c>
      <c r="AV1482">
        <f>IF(OR('19_Расчет_аналитики'!AV1454=0,7&lt;='01_Вводные'!$B$297),0,'19_Расчет_аналитики'!AV1454*IF('01_Вводные'!$B$239="Да",MeanMinAge07+'19_Расчет_аналитики'!AV1571*SUMIF(ThresholdAge07,"&lt;"&amp;'19_Расчет_аналитики'!AV1571,WeightedRevAge07)-SUMIF(ThresholdAge07,"&lt;"&amp;'19_Расчет_аналитики'!AV1571,WeightedMinAge07),MAX(CapacityAge07*'01_Вводные'!$B$218*'19_Расчет_аналитики'!AV1571,MeanMinAge07)))</f>
        <v/>
      </c>
      <c r="AW1482">
        <f>IF(OR('19_Расчет_аналитики'!AW1454=0,7&lt;='01_Вводные'!$B$297),0,'19_Расчет_аналитики'!AW1454*IF('01_Вводные'!$B$239="Да",MeanMinAge07+'19_Расчет_аналитики'!AW1571*SUMIF(ThresholdAge07,"&lt;"&amp;'19_Расчет_аналитики'!AW1571,WeightedRevAge07)-SUMIF(ThresholdAge07,"&lt;"&amp;'19_Расчет_аналитики'!AW1571,WeightedMinAge07),MAX(CapacityAge07*'01_Вводные'!$B$218*'19_Расчет_аналитики'!AW1571,MeanMinAge07)))</f>
        <v/>
      </c>
      <c r="AX1482">
        <f>IF(OR('19_Расчет_аналитики'!AX1454=0,7&lt;='01_Вводные'!$B$297),0,'19_Расчет_аналитики'!AX1454*IF('01_Вводные'!$B$239="Да",MeanMinAge07+'19_Расчет_аналитики'!AX1571*SUMIF(ThresholdAge07,"&lt;"&amp;'19_Расчет_аналитики'!AX1571,WeightedRevAge07)-SUMIF(ThresholdAge07,"&lt;"&amp;'19_Расчет_аналитики'!AX1571,WeightedMinAge07),MAX(CapacityAge07*'01_Вводные'!$B$218*'19_Расчет_аналитики'!AX1571,MeanMinAge07)))</f>
        <v/>
      </c>
      <c r="AY1482">
        <f>IF(OR('19_Расчет_аналитики'!AY1454=0,7&lt;='01_Вводные'!$B$297),0,'19_Расчет_аналитики'!AY1454*IF('01_Вводные'!$B$239="Да",MeanMinAge07+'19_Расчет_аналитики'!AY1571*SUMIF(ThresholdAge07,"&lt;"&amp;'19_Расчет_аналитики'!AY1571,WeightedRevAge07)-SUMIF(ThresholdAge07,"&lt;"&amp;'19_Расчет_аналитики'!AY1571,WeightedMinAge07),MAX(CapacityAge07*'01_Вводные'!$B$218*'19_Расчет_аналитики'!AY1571,MeanMinAge07)))</f>
        <v/>
      </c>
      <c r="AZ1482">
        <f>IF(OR('19_Расчет_аналитики'!AZ1454=0,7&lt;='01_Вводные'!$B$297),0,'19_Расчет_аналитики'!AZ1454*IF('01_Вводные'!$B$239="Да",MeanMinAge07+'19_Расчет_аналитики'!AZ1571*SUMIF(ThresholdAge07,"&lt;"&amp;'19_Расчет_аналитики'!AZ1571,WeightedRevAge07)-SUMIF(ThresholdAge07,"&lt;"&amp;'19_Расчет_аналитики'!AZ1571,WeightedMinAge07),MAX(CapacityAge07*'01_Вводные'!$B$218*'19_Расчет_аналитики'!AZ1571,MeanMinAge07)))</f>
        <v/>
      </c>
      <c r="BA1482">
        <f>IF(OR('19_Расчет_аналитики'!BA1454=0,7&lt;='01_Вводные'!$B$297),0,'19_Расчет_аналитики'!BA1454*IF('01_Вводные'!$B$239="Да",MeanMinAge07+'19_Расчет_аналитики'!BA1571*SUMIF(ThresholdAge07,"&lt;"&amp;'19_Расчет_аналитики'!BA1571,WeightedRevAge07)-SUMIF(ThresholdAge07,"&lt;"&amp;'19_Расчет_аналитики'!BA1571,WeightedMinAge07),MAX(CapacityAge07*'01_Вводные'!$B$218*'19_Расчет_аналитики'!BA1571,MeanMinAge07)))</f>
        <v/>
      </c>
      <c r="BB1482">
        <f>IF(OR('19_Расчет_аналитики'!BB1454=0,7&lt;='01_Вводные'!$B$297),0,'19_Расчет_аналитики'!BB1454*IF('01_Вводные'!$B$239="Да",MeanMinAge07+'19_Расчет_аналитики'!BB1571*SUMIF(ThresholdAge07,"&lt;"&amp;'19_Расчет_аналитики'!BB1571,WeightedRevAge07)-SUMIF(ThresholdAge07,"&lt;"&amp;'19_Расчет_аналитики'!BB1571,WeightedMinAge07),MAX(CapacityAge07*'01_Вводные'!$B$218*'19_Расчет_аналитики'!BB1571,MeanMinAge07)))</f>
        <v/>
      </c>
      <c r="BC1482">
        <f>IF(OR('19_Расчет_аналитики'!BC1454=0,7&lt;='01_Вводные'!$B$297),0,'19_Расчет_аналитики'!BC1454*IF('01_Вводные'!$B$239="Да",MeanMinAge07+'19_Расчет_аналитики'!BC1571*SUMIF(ThresholdAge07,"&lt;"&amp;'19_Расчет_аналитики'!BC1571,WeightedRevAge07)-SUMIF(ThresholdAge07,"&lt;"&amp;'19_Расчет_аналитики'!BC1571,WeightedMinAge07),MAX(CapacityAge07*'01_Вводные'!$B$218*'19_Расчет_аналитики'!BC1571,MeanMinAge07)))</f>
        <v/>
      </c>
      <c r="BD1482">
        <f>IF(OR('19_Расчет_аналитики'!BD1454=0,7&lt;='01_Вводные'!$B$297),0,'19_Расчет_аналитики'!BD1454*IF('01_Вводные'!$B$239="Да",MeanMinAge07+'19_Расчет_аналитики'!BD1571*SUMIF(ThresholdAge07,"&lt;"&amp;'19_Расчет_аналитики'!BD1571,WeightedRevAge07)-SUMIF(ThresholdAge07,"&lt;"&amp;'19_Расчет_аналитики'!BD1571,WeightedMinAge07),MAX(CapacityAge07*'01_Вводные'!$B$218*'19_Расчет_аналитики'!BD1571,MeanMinAge07)))</f>
        <v/>
      </c>
      <c r="BE1482">
        <f>IF(OR('19_Расчет_аналитики'!BE1454=0,7&lt;='01_Вводные'!$B$297),0,'19_Расчет_аналитики'!BE1454*IF('01_Вводные'!$B$239="Да",MeanMinAge07+'19_Расчет_аналитики'!BE1571*SUMIF(ThresholdAge07,"&lt;"&amp;'19_Расчет_аналитики'!BE1571,WeightedRevAge07)-SUMIF(ThresholdAge07,"&lt;"&amp;'19_Расчет_аналитики'!BE1571,WeightedMinAge07),MAX(CapacityAge07*'01_Вводные'!$B$218*'19_Расчет_аналитики'!BE1571,MeanMinAge07)))</f>
        <v/>
      </c>
      <c r="BF1482">
        <f>IF(OR('19_Расчет_аналитики'!BF1454=0,7&lt;='01_Вводные'!$B$297),0,'19_Расчет_аналитики'!BF1454*IF('01_Вводные'!$B$239="Да",MeanMinAge07+'19_Расчет_аналитики'!BF1571*SUMIF(ThresholdAge07,"&lt;"&amp;'19_Расчет_аналитики'!BF1571,WeightedRevAge07)-SUMIF(ThresholdAge07,"&lt;"&amp;'19_Расчет_аналитики'!BF1571,WeightedMinAge07),MAX(CapacityAge07*'01_Вводные'!$B$218*'19_Расчет_аналитики'!BF1571,MeanMinAge07)))</f>
        <v/>
      </c>
      <c r="BG1482">
        <f>IF(OR('19_Расчет_аналитики'!BG1454=0,7&lt;='01_Вводные'!$B$297),0,'19_Расчет_аналитики'!BG1454*IF('01_Вводные'!$B$239="Да",MeanMinAge07+'19_Расчет_аналитики'!BG1571*SUMIF(ThresholdAge07,"&lt;"&amp;'19_Расчет_аналитики'!BG1571,WeightedRevAge07)-SUMIF(ThresholdAge07,"&lt;"&amp;'19_Расчет_аналитики'!BG1571,WeightedMinAge07),MAX(CapacityAge07*'01_Вводные'!$B$218*'19_Расчет_аналитики'!BG1571,MeanMinAge07)))</f>
        <v/>
      </c>
      <c r="BH1482">
        <f>IF(OR('19_Расчет_аналитики'!BH1454=0,7&lt;='01_Вводные'!$B$297),0,'19_Расчет_аналитики'!BH1454*IF('01_Вводные'!$B$239="Да",MeanMinAge07+'19_Расчет_аналитики'!BH1571*SUMIF(ThresholdAge07,"&lt;"&amp;'19_Расчет_аналитики'!BH1571,WeightedRevAge07)-SUMIF(ThresholdAge07,"&lt;"&amp;'19_Расчет_аналитики'!BH1571,WeightedMinAge07),MAX(CapacityAge07*'01_Вводные'!$B$218*'19_Расчет_аналитики'!BH1571,MeanMinAge07)))</f>
        <v/>
      </c>
      <c r="BI1482">
        <f>IF(OR('19_Расчет_аналитики'!BI1454=0,7&lt;='01_Вводные'!$B$297),0,'19_Расчет_аналитики'!BI1454*IF('01_Вводные'!$B$239="Да",MeanMinAge07+'19_Расчет_аналитики'!BI1571*SUMIF(ThresholdAge07,"&lt;"&amp;'19_Расчет_аналитики'!BI1571,WeightedRevAge07)-SUMIF(ThresholdAge07,"&lt;"&amp;'19_Расчет_аналитики'!BI1571,WeightedMinAge07),MAX(CapacityAge07*'01_Вводные'!$B$218*'19_Расчет_аналитики'!BI1571,MeanMinAge07)))</f>
        <v/>
      </c>
      <c r="BJ1482">
        <f>IF(OR('19_Расчет_аналитики'!BJ1454=0,7&lt;='01_Вводные'!$B$297),0,'19_Расчет_аналитики'!BJ1454*IF('01_Вводные'!$B$239="Да",MeanMinAge07+'19_Расчет_аналитики'!BJ1571*SUMIF(ThresholdAge07,"&lt;"&amp;'19_Расчет_аналитики'!BJ1571,WeightedRevAge07)-SUMIF(ThresholdAge07,"&lt;"&amp;'19_Расчет_аналитики'!BJ1571,WeightedMinAge07),MAX(CapacityAge07*'01_Вводные'!$B$218*'19_Расчет_аналитики'!BJ1571,MeanMinAge07)))</f>
        <v/>
      </c>
      <c r="BK1482">
        <f>IF(OR('19_Расчет_аналитики'!BK1454=0,7&lt;='01_Вводные'!$B$297),0,'19_Расчет_аналитики'!BK1454*IF('01_Вводные'!$B$239="Да",MeanMinAge07+'19_Расчет_аналитики'!BK1571*SUMIF(ThresholdAge07,"&lt;"&amp;'19_Расчет_аналитики'!BK1571,WeightedRevAge07)-SUMIF(ThresholdAge07,"&lt;"&amp;'19_Расчет_аналитики'!BK1571,WeightedMinAge07),MAX(CapacityAge07*'01_Вводные'!$B$218*'19_Расчет_аналитики'!BK1571,MeanMinAge07)))</f>
        <v/>
      </c>
      <c r="BL1482">
        <f>IF(OR('19_Расчет_аналитики'!BL1454=0,7&lt;='01_Вводные'!$B$297),0,'19_Расчет_аналитики'!BL1454*IF('01_Вводные'!$B$239="Да",MeanMinAge07+'19_Расчет_аналитики'!BL1571*SUMIF(ThresholdAge07,"&lt;"&amp;'19_Расчет_аналитики'!BL1571,WeightedRevAge07)-SUMIF(ThresholdAge07,"&lt;"&amp;'19_Расчет_аналитики'!BL1571,WeightedMinAge07),MAX(CapacityAge07*'01_Вводные'!$B$218*'19_Расчет_аналитики'!BL1571,MeanMinAge07)))</f>
        <v/>
      </c>
      <c r="BM1482">
        <f>IF(OR('19_Расчет_аналитики'!BM1454=0,7&lt;='01_Вводные'!$B$297),0,'19_Расчет_аналитики'!BM1454*IF('01_Вводные'!$B$239="Да",MeanMinAge07+'19_Расчет_аналитики'!BM1571*SUMIF(ThresholdAge07,"&lt;"&amp;'19_Расчет_аналитики'!BM1571,WeightedRevAge07)-SUMIF(ThresholdAge07,"&lt;"&amp;'19_Расчет_аналитики'!BM1571,WeightedMinAge07),MAX(CapacityAge07*'01_Вводные'!$B$218*'19_Расчет_аналитики'!BM1571,MeanMinAge07)))</f>
        <v/>
      </c>
      <c r="BN1482">
        <f>IF(OR('19_Расчет_аналитики'!BN1454=0,7&lt;='01_Вводные'!$B$297),0,'19_Расчет_аналитики'!BN1454*IF('01_Вводные'!$B$239="Да",MeanMinAge07+'19_Расчет_аналитики'!BN1571*SUMIF(ThresholdAge07,"&lt;"&amp;'19_Расчет_аналитики'!BN1571,WeightedRevAge07)-SUMIF(ThresholdAge07,"&lt;"&amp;'19_Расчет_аналитики'!BN1571,WeightedMinAge07),MAX(CapacityAge07*'01_Вводные'!$B$218*'19_Расчет_аналитики'!BN1571,MeanMinAge07)))</f>
        <v/>
      </c>
      <c r="BO1482">
        <f>IF(OR('19_Расчет_аналитики'!BO1454=0,7&lt;='01_Вводные'!$B$297),0,'19_Расчет_аналитики'!BO1454*IF('01_Вводные'!$B$239="Да",MeanMinAge07+'19_Расчет_аналитики'!BO1571*SUMIF(ThresholdAge07,"&lt;"&amp;'19_Расчет_аналитики'!BO1571,WeightedRevAge07)-SUMIF(ThresholdAge07,"&lt;"&amp;'19_Расчет_аналитики'!BO1571,WeightedMinAge07),MAX(CapacityAge07*'01_Вводные'!$B$218*'19_Расчет_аналитики'!BO1571,MeanMinAge07)))</f>
        <v/>
      </c>
    </row>
    <row r="1483">
      <c r="B1483">
        <f>IF(OR('06_Сеть_и_дети'!B88=0,8&lt;='01_Вводные'!$B$297),0,'06_Сеть_и_дети'!B88*IF('01_Вводные'!$B$239="Да",MeanMinAge08+'19_Расчет_аналитики'!B1571*SUMIF(ThresholdAge08,"&lt;"&amp;'19_Расчет_аналитики'!B1571,WeightedRevAge08)-SUMIF(ThresholdAge08,"&lt;"&amp;'19_Расчет_аналитики'!B1571,WeightedMinAge08),MAX(CapacityAge08*'01_Вводные'!$B$218*'19_Расчет_аналитики'!B1571,MeanMinAge08)))</f>
        <v/>
      </c>
      <c r="C1483">
        <f>IF(OR('06_Сеть_и_дети'!C88=0,8&lt;='01_Вводные'!$B$297),0,'06_Сеть_и_дети'!C88*IF('01_Вводные'!$B$239="Да",MeanMinAge08+'19_Расчет_аналитики'!C1571*SUMIF(ThresholdAge08,"&lt;"&amp;'19_Расчет_аналитики'!C1571,WeightedRevAge08)-SUMIF(ThresholdAge08,"&lt;"&amp;'19_Расчет_аналитики'!C1571,WeightedMinAge08),MAX(CapacityAge08*'01_Вводные'!$B$218*'19_Расчет_аналитики'!C1571,MeanMinAge08)))</f>
        <v/>
      </c>
      <c r="D1483">
        <f>IF(OR('06_Сеть_и_дети'!D88=0,8&lt;='01_Вводные'!$B$297),0,'06_Сеть_и_дети'!D88*IF('01_Вводные'!$B$239="Да",MeanMinAge08+'19_Расчет_аналитики'!D1571*SUMIF(ThresholdAge08,"&lt;"&amp;'19_Расчет_аналитики'!D1571,WeightedRevAge08)-SUMIF(ThresholdAge08,"&lt;"&amp;'19_Расчет_аналитики'!D1571,WeightedMinAge08),MAX(CapacityAge08*'01_Вводные'!$B$218*'19_Расчет_аналитики'!D1571,MeanMinAge08)))</f>
        <v/>
      </c>
      <c r="E1483">
        <f>IF(OR('06_Сеть_и_дети'!E88=0,8&lt;='01_Вводные'!$B$297),0,'06_Сеть_и_дети'!E88*IF('01_Вводные'!$B$239="Да",MeanMinAge08+'19_Расчет_аналитики'!E1571*SUMIF(ThresholdAge08,"&lt;"&amp;'19_Расчет_аналитики'!E1571,WeightedRevAge08)-SUMIF(ThresholdAge08,"&lt;"&amp;'19_Расчет_аналитики'!E1571,WeightedMinAge08),MAX(CapacityAge08*'01_Вводные'!$B$218*'19_Расчет_аналитики'!E1571,MeanMinAge08)))</f>
        <v/>
      </c>
      <c r="F1483">
        <f>IF(OR('06_Сеть_и_дети'!F88=0,8&lt;='01_Вводные'!$B$297),0,'06_Сеть_и_дети'!F88*IF('01_Вводные'!$B$239="Да",MeanMinAge08+'19_Расчет_аналитики'!F1571*SUMIF(ThresholdAge08,"&lt;"&amp;'19_Расчет_аналитики'!F1571,WeightedRevAge08)-SUMIF(ThresholdAge08,"&lt;"&amp;'19_Расчет_аналитики'!F1571,WeightedMinAge08),MAX(CapacityAge08*'01_Вводные'!$B$218*'19_Расчет_аналитики'!F1571,MeanMinAge08)))</f>
        <v/>
      </c>
      <c r="G1483">
        <f>IF(OR('06_Сеть_и_дети'!G88=0,8&lt;='01_Вводные'!$B$297),0,'06_Сеть_и_дети'!G88*IF('01_Вводные'!$B$239="Да",MeanMinAge08+'19_Расчет_аналитики'!G1571*SUMIF(ThresholdAge08,"&lt;"&amp;'19_Расчет_аналитики'!G1571,WeightedRevAge08)-SUMIF(ThresholdAge08,"&lt;"&amp;'19_Расчет_аналитики'!G1571,WeightedMinAge08),MAX(CapacityAge08*'01_Вводные'!$B$218*'19_Расчет_аналитики'!G1571,MeanMinAge08)))</f>
        <v/>
      </c>
      <c r="H1483">
        <f>IF(OR('06_Сеть_и_дети'!H88=0,8&lt;='01_Вводные'!$B$297),0,'06_Сеть_и_дети'!H88*IF('01_Вводные'!$B$239="Да",MeanMinAge08+'19_Расчет_аналитики'!H1571*SUMIF(ThresholdAge08,"&lt;"&amp;'19_Расчет_аналитики'!H1571,WeightedRevAge08)-SUMIF(ThresholdAge08,"&lt;"&amp;'19_Расчет_аналитики'!H1571,WeightedMinAge08),MAX(CapacityAge08*'01_Вводные'!$B$218*'19_Расчет_аналитики'!H1571,MeanMinAge08)))</f>
        <v/>
      </c>
      <c r="I1483">
        <f>IF(OR('19_Расчет_аналитики'!I1455=0,8&lt;='01_Вводные'!$B$297),0,'19_Расчет_аналитики'!I1455*IF('01_Вводные'!$B$239="Да",MeanMinAge08+'19_Расчет_аналитики'!I1571*SUMIF(ThresholdAge08,"&lt;"&amp;'19_Расчет_аналитики'!I1571,WeightedRevAge08)-SUMIF(ThresholdAge08,"&lt;"&amp;'19_Расчет_аналитики'!I1571,WeightedMinAge08),MAX(CapacityAge08*'01_Вводные'!$B$218*'19_Расчет_аналитики'!I1571,MeanMinAge08)))</f>
        <v/>
      </c>
      <c r="J1483">
        <f>IF(OR('19_Расчет_аналитики'!J1455=0,8&lt;='01_Вводные'!$B$297),0,'19_Расчет_аналитики'!J1455*IF('01_Вводные'!$B$239="Да",MeanMinAge08+'19_Расчет_аналитики'!J1571*SUMIF(ThresholdAge08,"&lt;"&amp;'19_Расчет_аналитики'!J1571,WeightedRevAge08)-SUMIF(ThresholdAge08,"&lt;"&amp;'19_Расчет_аналитики'!J1571,WeightedMinAge08),MAX(CapacityAge08*'01_Вводные'!$B$218*'19_Расчет_аналитики'!J1571,MeanMinAge08)))</f>
        <v/>
      </c>
      <c r="K1483">
        <f>IF(OR('19_Расчет_аналитики'!K1455=0,8&lt;='01_Вводные'!$B$297),0,'19_Расчет_аналитики'!K1455*IF('01_Вводные'!$B$239="Да",MeanMinAge08+'19_Расчет_аналитики'!K1571*SUMIF(ThresholdAge08,"&lt;"&amp;'19_Расчет_аналитики'!K1571,WeightedRevAge08)-SUMIF(ThresholdAge08,"&lt;"&amp;'19_Расчет_аналитики'!K1571,WeightedMinAge08),MAX(CapacityAge08*'01_Вводные'!$B$218*'19_Расчет_аналитики'!K1571,MeanMinAge08)))</f>
        <v/>
      </c>
      <c r="L1483">
        <f>IF(OR('19_Расчет_аналитики'!L1455=0,8&lt;='01_Вводные'!$B$297),0,'19_Расчет_аналитики'!L1455*IF('01_Вводные'!$B$239="Да",MeanMinAge08+'19_Расчет_аналитики'!L1571*SUMIF(ThresholdAge08,"&lt;"&amp;'19_Расчет_аналитики'!L1571,WeightedRevAge08)-SUMIF(ThresholdAge08,"&lt;"&amp;'19_Расчет_аналитики'!L1571,WeightedMinAge08),MAX(CapacityAge08*'01_Вводные'!$B$218*'19_Расчет_аналитики'!L1571,MeanMinAge08)))</f>
        <v/>
      </c>
      <c r="M1483">
        <f>IF(OR('19_Расчет_аналитики'!M1455=0,8&lt;='01_Вводные'!$B$297),0,'19_Расчет_аналитики'!M1455*IF('01_Вводные'!$B$239="Да",MeanMinAge08+'19_Расчет_аналитики'!M1571*SUMIF(ThresholdAge08,"&lt;"&amp;'19_Расчет_аналитики'!M1571,WeightedRevAge08)-SUMIF(ThresholdAge08,"&lt;"&amp;'19_Расчет_аналитики'!M1571,WeightedMinAge08),MAX(CapacityAge08*'01_Вводные'!$B$218*'19_Расчет_аналитики'!M1571,MeanMinAge08)))</f>
        <v/>
      </c>
      <c r="N1483">
        <f>IF(OR('19_Расчет_аналитики'!N1455=0,8&lt;='01_Вводные'!$B$297),0,'19_Расчет_аналитики'!N1455*IF('01_Вводные'!$B$239="Да",MeanMinAge08+'19_Расчет_аналитики'!N1571*SUMIF(ThresholdAge08,"&lt;"&amp;'19_Расчет_аналитики'!N1571,WeightedRevAge08)-SUMIF(ThresholdAge08,"&lt;"&amp;'19_Расчет_аналитики'!N1571,WeightedMinAge08),MAX(CapacityAge08*'01_Вводные'!$B$218*'19_Расчет_аналитики'!N1571,MeanMinAge08)))</f>
        <v/>
      </c>
      <c r="O1483">
        <f>IF(OR('19_Расчет_аналитики'!O1455=0,8&lt;='01_Вводные'!$B$297),0,'19_Расчет_аналитики'!O1455*IF('01_Вводные'!$B$239="Да",MeanMinAge08+'19_Расчет_аналитики'!O1571*SUMIF(ThresholdAge08,"&lt;"&amp;'19_Расчет_аналитики'!O1571,WeightedRevAge08)-SUMIF(ThresholdAge08,"&lt;"&amp;'19_Расчет_аналитики'!O1571,WeightedMinAge08),MAX(CapacityAge08*'01_Вводные'!$B$218*'19_Расчет_аналитики'!O1571,MeanMinAge08)))</f>
        <v/>
      </c>
      <c r="P1483">
        <f>IF(OR('19_Расчет_аналитики'!P1455=0,8&lt;='01_Вводные'!$B$297),0,'19_Расчет_аналитики'!P1455*IF('01_Вводные'!$B$239="Да",MeanMinAge08+'19_Расчет_аналитики'!P1571*SUMIF(ThresholdAge08,"&lt;"&amp;'19_Расчет_аналитики'!P1571,WeightedRevAge08)-SUMIF(ThresholdAge08,"&lt;"&amp;'19_Расчет_аналитики'!P1571,WeightedMinAge08),MAX(CapacityAge08*'01_Вводные'!$B$218*'19_Расчет_аналитики'!P1571,MeanMinAge08)))</f>
        <v/>
      </c>
      <c r="Q1483">
        <f>IF(OR('19_Расчет_аналитики'!Q1455=0,8&lt;='01_Вводные'!$B$297),0,'19_Расчет_аналитики'!Q1455*IF('01_Вводные'!$B$239="Да",MeanMinAge08+'19_Расчет_аналитики'!Q1571*SUMIF(ThresholdAge08,"&lt;"&amp;'19_Расчет_аналитики'!Q1571,WeightedRevAge08)-SUMIF(ThresholdAge08,"&lt;"&amp;'19_Расчет_аналитики'!Q1571,WeightedMinAge08),MAX(CapacityAge08*'01_Вводные'!$B$218*'19_Расчет_аналитики'!Q1571,MeanMinAge08)))</f>
        <v/>
      </c>
      <c r="R1483">
        <f>IF(OR('19_Расчет_аналитики'!R1455=0,8&lt;='01_Вводные'!$B$297),0,'19_Расчет_аналитики'!R1455*IF('01_Вводные'!$B$239="Да",MeanMinAge08+'19_Расчет_аналитики'!R1571*SUMIF(ThresholdAge08,"&lt;"&amp;'19_Расчет_аналитики'!R1571,WeightedRevAge08)-SUMIF(ThresholdAge08,"&lt;"&amp;'19_Расчет_аналитики'!R1571,WeightedMinAge08),MAX(CapacityAge08*'01_Вводные'!$B$218*'19_Расчет_аналитики'!R1571,MeanMinAge08)))</f>
        <v/>
      </c>
      <c r="S1483">
        <f>IF(OR('19_Расчет_аналитики'!S1455=0,8&lt;='01_Вводные'!$B$297),0,'19_Расчет_аналитики'!S1455*IF('01_Вводные'!$B$239="Да",MeanMinAge08+'19_Расчет_аналитики'!S1571*SUMIF(ThresholdAge08,"&lt;"&amp;'19_Расчет_аналитики'!S1571,WeightedRevAge08)-SUMIF(ThresholdAge08,"&lt;"&amp;'19_Расчет_аналитики'!S1571,WeightedMinAge08),MAX(CapacityAge08*'01_Вводные'!$B$218*'19_Расчет_аналитики'!S1571,MeanMinAge08)))</f>
        <v/>
      </c>
      <c r="T1483">
        <f>IF(OR('19_Расчет_аналитики'!T1455=0,8&lt;='01_Вводные'!$B$297),0,'19_Расчет_аналитики'!T1455*IF('01_Вводные'!$B$239="Да",MeanMinAge08+'19_Расчет_аналитики'!T1571*SUMIF(ThresholdAge08,"&lt;"&amp;'19_Расчет_аналитики'!T1571,WeightedRevAge08)-SUMIF(ThresholdAge08,"&lt;"&amp;'19_Расчет_аналитики'!T1571,WeightedMinAge08),MAX(CapacityAge08*'01_Вводные'!$B$218*'19_Расчет_аналитики'!T1571,MeanMinAge08)))</f>
        <v/>
      </c>
      <c r="U1483">
        <f>IF(OR('19_Расчет_аналитики'!U1455=0,8&lt;='01_Вводные'!$B$297),0,'19_Расчет_аналитики'!U1455*IF('01_Вводные'!$B$239="Да",MeanMinAge08+'19_Расчет_аналитики'!U1571*SUMIF(ThresholdAge08,"&lt;"&amp;'19_Расчет_аналитики'!U1571,WeightedRevAge08)-SUMIF(ThresholdAge08,"&lt;"&amp;'19_Расчет_аналитики'!U1571,WeightedMinAge08),MAX(CapacityAge08*'01_Вводные'!$B$218*'19_Расчет_аналитики'!U1571,MeanMinAge08)))</f>
        <v/>
      </c>
      <c r="V1483">
        <f>IF(OR('19_Расчет_аналитики'!V1455=0,8&lt;='01_Вводные'!$B$297),0,'19_Расчет_аналитики'!V1455*IF('01_Вводные'!$B$239="Да",MeanMinAge08+'19_Расчет_аналитики'!V1571*SUMIF(ThresholdAge08,"&lt;"&amp;'19_Расчет_аналитики'!V1571,WeightedRevAge08)-SUMIF(ThresholdAge08,"&lt;"&amp;'19_Расчет_аналитики'!V1571,WeightedMinAge08),MAX(CapacityAge08*'01_Вводные'!$B$218*'19_Расчет_аналитики'!V1571,MeanMinAge08)))</f>
        <v/>
      </c>
      <c r="W1483">
        <f>IF(OR('19_Расчет_аналитики'!W1455=0,8&lt;='01_Вводные'!$B$297),0,'19_Расчет_аналитики'!W1455*IF('01_Вводные'!$B$239="Да",MeanMinAge08+'19_Расчет_аналитики'!W1571*SUMIF(ThresholdAge08,"&lt;"&amp;'19_Расчет_аналитики'!W1571,WeightedRevAge08)-SUMIF(ThresholdAge08,"&lt;"&amp;'19_Расчет_аналитики'!W1571,WeightedMinAge08),MAX(CapacityAge08*'01_Вводные'!$B$218*'19_Расчет_аналитики'!W1571,MeanMinAge08)))</f>
        <v/>
      </c>
      <c r="X1483">
        <f>IF(OR('19_Расчет_аналитики'!X1455=0,8&lt;='01_Вводные'!$B$297),0,'19_Расчет_аналитики'!X1455*IF('01_Вводные'!$B$239="Да",MeanMinAge08+'19_Расчет_аналитики'!X1571*SUMIF(ThresholdAge08,"&lt;"&amp;'19_Расчет_аналитики'!X1571,WeightedRevAge08)-SUMIF(ThresholdAge08,"&lt;"&amp;'19_Расчет_аналитики'!X1571,WeightedMinAge08),MAX(CapacityAge08*'01_Вводные'!$B$218*'19_Расчет_аналитики'!X1571,MeanMinAge08)))</f>
        <v/>
      </c>
      <c r="Y1483">
        <f>IF(OR('19_Расчет_аналитики'!Y1455=0,8&lt;='01_Вводные'!$B$297),0,'19_Расчет_аналитики'!Y1455*IF('01_Вводные'!$B$239="Да",MeanMinAge08+'19_Расчет_аналитики'!Y1571*SUMIF(ThresholdAge08,"&lt;"&amp;'19_Расчет_аналитики'!Y1571,WeightedRevAge08)-SUMIF(ThresholdAge08,"&lt;"&amp;'19_Расчет_аналитики'!Y1571,WeightedMinAge08),MAX(CapacityAge08*'01_Вводные'!$B$218*'19_Расчет_аналитики'!Y1571,MeanMinAge08)))</f>
        <v/>
      </c>
      <c r="Z1483">
        <f>IF(OR('19_Расчет_аналитики'!Z1455=0,8&lt;='01_Вводные'!$B$297),0,'19_Расчет_аналитики'!Z1455*IF('01_Вводные'!$B$239="Да",MeanMinAge08+'19_Расчет_аналитики'!Z1571*SUMIF(ThresholdAge08,"&lt;"&amp;'19_Расчет_аналитики'!Z1571,WeightedRevAge08)-SUMIF(ThresholdAge08,"&lt;"&amp;'19_Расчет_аналитики'!Z1571,WeightedMinAge08),MAX(CapacityAge08*'01_Вводные'!$B$218*'19_Расчет_аналитики'!Z1571,MeanMinAge08)))</f>
        <v/>
      </c>
      <c r="AA1483">
        <f>IF(OR('19_Расчет_аналитики'!AA1455=0,8&lt;='01_Вводные'!$B$297),0,'19_Расчет_аналитики'!AA1455*IF('01_Вводные'!$B$239="Да",MeanMinAge08+'19_Расчет_аналитики'!AA1571*SUMIF(ThresholdAge08,"&lt;"&amp;'19_Расчет_аналитики'!AA1571,WeightedRevAge08)-SUMIF(ThresholdAge08,"&lt;"&amp;'19_Расчет_аналитики'!AA1571,WeightedMinAge08),MAX(CapacityAge08*'01_Вводные'!$B$218*'19_Расчет_аналитики'!AA1571,MeanMinAge08)))</f>
        <v/>
      </c>
      <c r="AB1483">
        <f>IF(OR('19_Расчет_аналитики'!AB1455=0,8&lt;='01_Вводные'!$B$297),0,'19_Расчет_аналитики'!AB1455*IF('01_Вводные'!$B$239="Да",MeanMinAge08+'19_Расчет_аналитики'!AB1571*SUMIF(ThresholdAge08,"&lt;"&amp;'19_Расчет_аналитики'!AB1571,WeightedRevAge08)-SUMIF(ThresholdAge08,"&lt;"&amp;'19_Расчет_аналитики'!AB1571,WeightedMinAge08),MAX(CapacityAge08*'01_Вводные'!$B$218*'19_Расчет_аналитики'!AB1571,MeanMinAge08)))</f>
        <v/>
      </c>
      <c r="AC1483">
        <f>IF(OR('19_Расчет_аналитики'!AC1455=0,8&lt;='01_Вводные'!$B$297),0,'19_Расчет_аналитики'!AC1455*IF('01_Вводные'!$B$239="Да",MeanMinAge08+'19_Расчет_аналитики'!AC1571*SUMIF(ThresholdAge08,"&lt;"&amp;'19_Расчет_аналитики'!AC1571,WeightedRevAge08)-SUMIF(ThresholdAge08,"&lt;"&amp;'19_Расчет_аналитики'!AC1571,WeightedMinAge08),MAX(CapacityAge08*'01_Вводные'!$B$218*'19_Расчет_аналитики'!AC1571,MeanMinAge08)))</f>
        <v/>
      </c>
      <c r="AD1483">
        <f>IF(OR('19_Расчет_аналитики'!AD1455=0,8&lt;='01_Вводные'!$B$297),0,'19_Расчет_аналитики'!AD1455*IF('01_Вводные'!$B$239="Да",MeanMinAge08+'19_Расчет_аналитики'!AD1571*SUMIF(ThresholdAge08,"&lt;"&amp;'19_Расчет_аналитики'!AD1571,WeightedRevAge08)-SUMIF(ThresholdAge08,"&lt;"&amp;'19_Расчет_аналитики'!AD1571,WeightedMinAge08),MAX(CapacityAge08*'01_Вводные'!$B$218*'19_Расчет_аналитики'!AD1571,MeanMinAge08)))</f>
        <v/>
      </c>
      <c r="AE1483">
        <f>IF(OR('19_Расчет_аналитики'!AE1455=0,8&lt;='01_Вводные'!$B$297),0,'19_Расчет_аналитики'!AE1455*IF('01_Вводные'!$B$239="Да",MeanMinAge08+'19_Расчет_аналитики'!AE1571*SUMIF(ThresholdAge08,"&lt;"&amp;'19_Расчет_аналитики'!AE1571,WeightedRevAge08)-SUMIF(ThresholdAge08,"&lt;"&amp;'19_Расчет_аналитики'!AE1571,WeightedMinAge08),MAX(CapacityAge08*'01_Вводные'!$B$218*'19_Расчет_аналитики'!AE1571,MeanMinAge08)))</f>
        <v/>
      </c>
      <c r="AF1483">
        <f>IF(OR('19_Расчет_аналитики'!AF1455=0,8&lt;='01_Вводные'!$B$297),0,'19_Расчет_аналитики'!AF1455*IF('01_Вводные'!$B$239="Да",MeanMinAge08+'19_Расчет_аналитики'!AF1571*SUMIF(ThresholdAge08,"&lt;"&amp;'19_Расчет_аналитики'!AF1571,WeightedRevAge08)-SUMIF(ThresholdAge08,"&lt;"&amp;'19_Расчет_аналитики'!AF1571,WeightedMinAge08),MAX(CapacityAge08*'01_Вводные'!$B$218*'19_Расчет_аналитики'!AF1571,MeanMinAge08)))</f>
        <v/>
      </c>
      <c r="AG1483">
        <f>IF(OR('19_Расчет_аналитики'!AG1455=0,8&lt;='01_Вводные'!$B$297),0,'19_Расчет_аналитики'!AG1455*IF('01_Вводные'!$B$239="Да",MeanMinAge08+'19_Расчет_аналитики'!AG1571*SUMIF(ThresholdAge08,"&lt;"&amp;'19_Расчет_аналитики'!AG1571,WeightedRevAge08)-SUMIF(ThresholdAge08,"&lt;"&amp;'19_Расчет_аналитики'!AG1571,WeightedMinAge08),MAX(CapacityAge08*'01_Вводные'!$B$218*'19_Расчет_аналитики'!AG1571,MeanMinAge08)))</f>
        <v/>
      </c>
      <c r="AH1483">
        <f>IF(OR('19_Расчет_аналитики'!AH1455=0,8&lt;='01_Вводные'!$B$297),0,'19_Расчет_аналитики'!AH1455*IF('01_Вводные'!$B$239="Да",MeanMinAge08+'19_Расчет_аналитики'!AH1571*SUMIF(ThresholdAge08,"&lt;"&amp;'19_Расчет_аналитики'!AH1571,WeightedRevAge08)-SUMIF(ThresholdAge08,"&lt;"&amp;'19_Расчет_аналитики'!AH1571,WeightedMinAge08),MAX(CapacityAge08*'01_Вводные'!$B$218*'19_Расчет_аналитики'!AH1571,MeanMinAge08)))</f>
        <v/>
      </c>
      <c r="AI1483">
        <f>IF(OR('19_Расчет_аналитики'!AI1455=0,8&lt;='01_Вводные'!$B$297),0,'19_Расчет_аналитики'!AI1455*IF('01_Вводные'!$B$239="Да",MeanMinAge08+'19_Расчет_аналитики'!AI1571*SUMIF(ThresholdAge08,"&lt;"&amp;'19_Расчет_аналитики'!AI1571,WeightedRevAge08)-SUMIF(ThresholdAge08,"&lt;"&amp;'19_Расчет_аналитики'!AI1571,WeightedMinAge08),MAX(CapacityAge08*'01_Вводные'!$B$218*'19_Расчет_аналитики'!AI1571,MeanMinAge08)))</f>
        <v/>
      </c>
      <c r="AJ1483">
        <f>IF(OR('19_Расчет_аналитики'!AJ1455=0,8&lt;='01_Вводные'!$B$297),0,'19_Расчет_аналитики'!AJ1455*IF('01_Вводные'!$B$239="Да",MeanMinAge08+'19_Расчет_аналитики'!AJ1571*SUMIF(ThresholdAge08,"&lt;"&amp;'19_Расчет_аналитики'!AJ1571,WeightedRevAge08)-SUMIF(ThresholdAge08,"&lt;"&amp;'19_Расчет_аналитики'!AJ1571,WeightedMinAge08),MAX(CapacityAge08*'01_Вводные'!$B$218*'19_Расчет_аналитики'!AJ1571,MeanMinAge08)))</f>
        <v/>
      </c>
      <c r="AK1483">
        <f>IF(OR('19_Расчет_аналитики'!AK1455=0,8&lt;='01_Вводные'!$B$297),0,'19_Расчет_аналитики'!AK1455*IF('01_Вводные'!$B$239="Да",MeanMinAge08+'19_Расчет_аналитики'!AK1571*SUMIF(ThresholdAge08,"&lt;"&amp;'19_Расчет_аналитики'!AK1571,WeightedRevAge08)-SUMIF(ThresholdAge08,"&lt;"&amp;'19_Расчет_аналитики'!AK1571,WeightedMinAge08),MAX(CapacityAge08*'01_Вводные'!$B$218*'19_Расчет_аналитики'!AK1571,MeanMinAge08)))</f>
        <v/>
      </c>
      <c r="AL1483">
        <f>IF(OR('19_Расчет_аналитики'!AL1455=0,8&lt;='01_Вводные'!$B$297),0,'19_Расчет_аналитики'!AL1455*IF('01_Вводные'!$B$239="Да",MeanMinAge08+'19_Расчет_аналитики'!AL1571*SUMIF(ThresholdAge08,"&lt;"&amp;'19_Расчет_аналитики'!AL1571,WeightedRevAge08)-SUMIF(ThresholdAge08,"&lt;"&amp;'19_Расчет_аналитики'!AL1571,WeightedMinAge08),MAX(CapacityAge08*'01_Вводные'!$B$218*'19_Расчет_аналитики'!AL1571,MeanMinAge08)))</f>
        <v/>
      </c>
      <c r="AM1483">
        <f>IF(OR('19_Расчет_аналитики'!AM1455=0,8&lt;='01_Вводные'!$B$297),0,'19_Расчет_аналитики'!AM1455*IF('01_Вводные'!$B$239="Да",MeanMinAge08+'19_Расчет_аналитики'!AM1571*SUMIF(ThresholdAge08,"&lt;"&amp;'19_Расчет_аналитики'!AM1571,WeightedRevAge08)-SUMIF(ThresholdAge08,"&lt;"&amp;'19_Расчет_аналитики'!AM1571,WeightedMinAge08),MAX(CapacityAge08*'01_Вводные'!$B$218*'19_Расчет_аналитики'!AM1571,MeanMinAge08)))</f>
        <v/>
      </c>
      <c r="AN1483">
        <f>IF(OR('19_Расчет_аналитики'!AN1455=0,8&lt;='01_Вводные'!$B$297),0,'19_Расчет_аналитики'!AN1455*IF('01_Вводные'!$B$239="Да",MeanMinAge08+'19_Расчет_аналитики'!AN1571*SUMIF(ThresholdAge08,"&lt;"&amp;'19_Расчет_аналитики'!AN1571,WeightedRevAge08)-SUMIF(ThresholdAge08,"&lt;"&amp;'19_Расчет_аналитики'!AN1571,WeightedMinAge08),MAX(CapacityAge08*'01_Вводные'!$B$218*'19_Расчет_аналитики'!AN1571,MeanMinAge08)))</f>
        <v/>
      </c>
      <c r="AO1483">
        <f>IF(OR('19_Расчет_аналитики'!AO1455=0,8&lt;='01_Вводные'!$B$297),0,'19_Расчет_аналитики'!AO1455*IF('01_Вводные'!$B$239="Да",MeanMinAge08+'19_Расчет_аналитики'!AO1571*SUMIF(ThresholdAge08,"&lt;"&amp;'19_Расчет_аналитики'!AO1571,WeightedRevAge08)-SUMIF(ThresholdAge08,"&lt;"&amp;'19_Расчет_аналитики'!AO1571,WeightedMinAge08),MAX(CapacityAge08*'01_Вводные'!$B$218*'19_Расчет_аналитики'!AO1571,MeanMinAge08)))</f>
        <v/>
      </c>
      <c r="AP1483">
        <f>IF(OR('19_Расчет_аналитики'!AP1455=0,8&lt;='01_Вводные'!$B$297),0,'19_Расчет_аналитики'!AP1455*IF('01_Вводные'!$B$239="Да",MeanMinAge08+'19_Расчет_аналитики'!AP1571*SUMIF(ThresholdAge08,"&lt;"&amp;'19_Расчет_аналитики'!AP1571,WeightedRevAge08)-SUMIF(ThresholdAge08,"&lt;"&amp;'19_Расчет_аналитики'!AP1571,WeightedMinAge08),MAX(CapacityAge08*'01_Вводные'!$B$218*'19_Расчет_аналитики'!AP1571,MeanMinAge08)))</f>
        <v/>
      </c>
      <c r="AQ1483">
        <f>IF(OR('19_Расчет_аналитики'!AQ1455=0,8&lt;='01_Вводные'!$B$297),0,'19_Расчет_аналитики'!AQ1455*IF('01_Вводные'!$B$239="Да",MeanMinAge08+'19_Расчет_аналитики'!AQ1571*SUMIF(ThresholdAge08,"&lt;"&amp;'19_Расчет_аналитики'!AQ1571,WeightedRevAge08)-SUMIF(ThresholdAge08,"&lt;"&amp;'19_Расчет_аналитики'!AQ1571,WeightedMinAge08),MAX(CapacityAge08*'01_Вводные'!$B$218*'19_Расчет_аналитики'!AQ1571,MeanMinAge08)))</f>
        <v/>
      </c>
      <c r="AR1483">
        <f>IF(OR('19_Расчет_аналитики'!AR1455=0,8&lt;='01_Вводные'!$B$297),0,'19_Расчет_аналитики'!AR1455*IF('01_Вводные'!$B$239="Да",MeanMinAge08+'19_Расчет_аналитики'!AR1571*SUMIF(ThresholdAge08,"&lt;"&amp;'19_Расчет_аналитики'!AR1571,WeightedRevAge08)-SUMIF(ThresholdAge08,"&lt;"&amp;'19_Расчет_аналитики'!AR1571,WeightedMinAge08),MAX(CapacityAge08*'01_Вводные'!$B$218*'19_Расчет_аналитики'!AR1571,MeanMinAge08)))</f>
        <v/>
      </c>
      <c r="AS1483">
        <f>IF(OR('19_Расчет_аналитики'!AS1455=0,8&lt;='01_Вводные'!$B$297),0,'19_Расчет_аналитики'!AS1455*IF('01_Вводные'!$B$239="Да",MeanMinAge08+'19_Расчет_аналитики'!AS1571*SUMIF(ThresholdAge08,"&lt;"&amp;'19_Расчет_аналитики'!AS1571,WeightedRevAge08)-SUMIF(ThresholdAge08,"&lt;"&amp;'19_Расчет_аналитики'!AS1571,WeightedMinAge08),MAX(CapacityAge08*'01_Вводные'!$B$218*'19_Расчет_аналитики'!AS1571,MeanMinAge08)))</f>
        <v/>
      </c>
      <c r="AT1483">
        <f>IF(OR('19_Расчет_аналитики'!AT1455=0,8&lt;='01_Вводные'!$B$297),0,'19_Расчет_аналитики'!AT1455*IF('01_Вводные'!$B$239="Да",MeanMinAge08+'19_Расчет_аналитики'!AT1571*SUMIF(ThresholdAge08,"&lt;"&amp;'19_Расчет_аналитики'!AT1571,WeightedRevAge08)-SUMIF(ThresholdAge08,"&lt;"&amp;'19_Расчет_аналитики'!AT1571,WeightedMinAge08),MAX(CapacityAge08*'01_Вводные'!$B$218*'19_Расчет_аналитики'!AT1571,MeanMinAge08)))</f>
        <v/>
      </c>
      <c r="AU1483">
        <f>IF(OR('19_Расчет_аналитики'!AU1455=0,8&lt;='01_Вводные'!$B$297),0,'19_Расчет_аналитики'!AU1455*IF('01_Вводные'!$B$239="Да",MeanMinAge08+'19_Расчет_аналитики'!AU1571*SUMIF(ThresholdAge08,"&lt;"&amp;'19_Расчет_аналитики'!AU1571,WeightedRevAge08)-SUMIF(ThresholdAge08,"&lt;"&amp;'19_Расчет_аналитики'!AU1571,WeightedMinAge08),MAX(CapacityAge08*'01_Вводные'!$B$218*'19_Расчет_аналитики'!AU1571,MeanMinAge08)))</f>
        <v/>
      </c>
      <c r="AV1483">
        <f>IF(OR('19_Расчет_аналитики'!AV1455=0,8&lt;='01_Вводные'!$B$297),0,'19_Расчет_аналитики'!AV1455*IF('01_Вводные'!$B$239="Да",MeanMinAge08+'19_Расчет_аналитики'!AV1571*SUMIF(ThresholdAge08,"&lt;"&amp;'19_Расчет_аналитики'!AV1571,WeightedRevAge08)-SUMIF(ThresholdAge08,"&lt;"&amp;'19_Расчет_аналитики'!AV1571,WeightedMinAge08),MAX(CapacityAge08*'01_Вводные'!$B$218*'19_Расчет_аналитики'!AV1571,MeanMinAge08)))</f>
        <v/>
      </c>
      <c r="AW1483">
        <f>IF(OR('19_Расчет_аналитики'!AW1455=0,8&lt;='01_Вводные'!$B$297),0,'19_Расчет_аналитики'!AW1455*IF('01_Вводные'!$B$239="Да",MeanMinAge08+'19_Расчет_аналитики'!AW1571*SUMIF(ThresholdAge08,"&lt;"&amp;'19_Расчет_аналитики'!AW1571,WeightedRevAge08)-SUMIF(ThresholdAge08,"&lt;"&amp;'19_Расчет_аналитики'!AW1571,WeightedMinAge08),MAX(CapacityAge08*'01_Вводные'!$B$218*'19_Расчет_аналитики'!AW1571,MeanMinAge08)))</f>
        <v/>
      </c>
      <c r="AX1483">
        <f>IF(OR('19_Расчет_аналитики'!AX1455=0,8&lt;='01_Вводные'!$B$297),0,'19_Расчет_аналитики'!AX1455*IF('01_Вводные'!$B$239="Да",MeanMinAge08+'19_Расчет_аналитики'!AX1571*SUMIF(ThresholdAge08,"&lt;"&amp;'19_Расчет_аналитики'!AX1571,WeightedRevAge08)-SUMIF(ThresholdAge08,"&lt;"&amp;'19_Расчет_аналитики'!AX1571,WeightedMinAge08),MAX(CapacityAge08*'01_Вводные'!$B$218*'19_Расчет_аналитики'!AX1571,MeanMinAge08)))</f>
        <v/>
      </c>
      <c r="AY1483">
        <f>IF(OR('19_Расчет_аналитики'!AY1455=0,8&lt;='01_Вводные'!$B$297),0,'19_Расчет_аналитики'!AY1455*IF('01_Вводные'!$B$239="Да",MeanMinAge08+'19_Расчет_аналитики'!AY1571*SUMIF(ThresholdAge08,"&lt;"&amp;'19_Расчет_аналитики'!AY1571,WeightedRevAge08)-SUMIF(ThresholdAge08,"&lt;"&amp;'19_Расчет_аналитики'!AY1571,WeightedMinAge08),MAX(CapacityAge08*'01_Вводные'!$B$218*'19_Расчет_аналитики'!AY1571,MeanMinAge08)))</f>
        <v/>
      </c>
      <c r="AZ1483">
        <f>IF(OR('19_Расчет_аналитики'!AZ1455=0,8&lt;='01_Вводные'!$B$297),0,'19_Расчет_аналитики'!AZ1455*IF('01_Вводные'!$B$239="Да",MeanMinAge08+'19_Расчет_аналитики'!AZ1571*SUMIF(ThresholdAge08,"&lt;"&amp;'19_Расчет_аналитики'!AZ1571,WeightedRevAge08)-SUMIF(ThresholdAge08,"&lt;"&amp;'19_Расчет_аналитики'!AZ1571,WeightedMinAge08),MAX(CapacityAge08*'01_Вводные'!$B$218*'19_Расчет_аналитики'!AZ1571,MeanMinAge08)))</f>
        <v/>
      </c>
      <c r="BA1483">
        <f>IF(OR('19_Расчет_аналитики'!BA1455=0,8&lt;='01_Вводные'!$B$297),0,'19_Расчет_аналитики'!BA1455*IF('01_Вводные'!$B$239="Да",MeanMinAge08+'19_Расчет_аналитики'!BA1571*SUMIF(ThresholdAge08,"&lt;"&amp;'19_Расчет_аналитики'!BA1571,WeightedRevAge08)-SUMIF(ThresholdAge08,"&lt;"&amp;'19_Расчет_аналитики'!BA1571,WeightedMinAge08),MAX(CapacityAge08*'01_Вводные'!$B$218*'19_Расчет_аналитики'!BA1571,MeanMinAge08)))</f>
        <v/>
      </c>
      <c r="BB1483">
        <f>IF(OR('19_Расчет_аналитики'!BB1455=0,8&lt;='01_Вводные'!$B$297),0,'19_Расчет_аналитики'!BB1455*IF('01_Вводные'!$B$239="Да",MeanMinAge08+'19_Расчет_аналитики'!BB1571*SUMIF(ThresholdAge08,"&lt;"&amp;'19_Расчет_аналитики'!BB1571,WeightedRevAge08)-SUMIF(ThresholdAge08,"&lt;"&amp;'19_Расчет_аналитики'!BB1571,WeightedMinAge08),MAX(CapacityAge08*'01_Вводные'!$B$218*'19_Расчет_аналитики'!BB1571,MeanMinAge08)))</f>
        <v/>
      </c>
      <c r="BC1483">
        <f>IF(OR('19_Расчет_аналитики'!BC1455=0,8&lt;='01_Вводные'!$B$297),0,'19_Расчет_аналитики'!BC1455*IF('01_Вводные'!$B$239="Да",MeanMinAge08+'19_Расчет_аналитики'!BC1571*SUMIF(ThresholdAge08,"&lt;"&amp;'19_Расчет_аналитики'!BC1571,WeightedRevAge08)-SUMIF(ThresholdAge08,"&lt;"&amp;'19_Расчет_аналитики'!BC1571,WeightedMinAge08),MAX(CapacityAge08*'01_Вводные'!$B$218*'19_Расчет_аналитики'!BC1571,MeanMinAge08)))</f>
        <v/>
      </c>
      <c r="BD1483">
        <f>IF(OR('19_Расчет_аналитики'!BD1455=0,8&lt;='01_Вводные'!$B$297),0,'19_Расчет_аналитики'!BD1455*IF('01_Вводные'!$B$239="Да",MeanMinAge08+'19_Расчет_аналитики'!BD1571*SUMIF(ThresholdAge08,"&lt;"&amp;'19_Расчет_аналитики'!BD1571,WeightedRevAge08)-SUMIF(ThresholdAge08,"&lt;"&amp;'19_Расчет_аналитики'!BD1571,WeightedMinAge08),MAX(CapacityAge08*'01_Вводные'!$B$218*'19_Расчет_аналитики'!BD1571,MeanMinAge08)))</f>
        <v/>
      </c>
      <c r="BE1483">
        <f>IF(OR('19_Расчет_аналитики'!BE1455=0,8&lt;='01_Вводные'!$B$297),0,'19_Расчет_аналитики'!BE1455*IF('01_Вводные'!$B$239="Да",MeanMinAge08+'19_Расчет_аналитики'!BE1571*SUMIF(ThresholdAge08,"&lt;"&amp;'19_Расчет_аналитики'!BE1571,WeightedRevAge08)-SUMIF(ThresholdAge08,"&lt;"&amp;'19_Расчет_аналитики'!BE1571,WeightedMinAge08),MAX(CapacityAge08*'01_Вводные'!$B$218*'19_Расчет_аналитики'!BE1571,MeanMinAge08)))</f>
        <v/>
      </c>
      <c r="BF1483">
        <f>IF(OR('19_Расчет_аналитики'!BF1455=0,8&lt;='01_Вводные'!$B$297),0,'19_Расчет_аналитики'!BF1455*IF('01_Вводные'!$B$239="Да",MeanMinAge08+'19_Расчет_аналитики'!BF1571*SUMIF(ThresholdAge08,"&lt;"&amp;'19_Расчет_аналитики'!BF1571,WeightedRevAge08)-SUMIF(ThresholdAge08,"&lt;"&amp;'19_Расчет_аналитики'!BF1571,WeightedMinAge08),MAX(CapacityAge08*'01_Вводные'!$B$218*'19_Расчет_аналитики'!BF1571,MeanMinAge08)))</f>
        <v/>
      </c>
      <c r="BG1483">
        <f>IF(OR('19_Расчет_аналитики'!BG1455=0,8&lt;='01_Вводные'!$B$297),0,'19_Расчет_аналитики'!BG1455*IF('01_Вводные'!$B$239="Да",MeanMinAge08+'19_Расчет_аналитики'!BG1571*SUMIF(ThresholdAge08,"&lt;"&amp;'19_Расчет_аналитики'!BG1571,WeightedRevAge08)-SUMIF(ThresholdAge08,"&lt;"&amp;'19_Расчет_аналитики'!BG1571,WeightedMinAge08),MAX(CapacityAge08*'01_Вводные'!$B$218*'19_Расчет_аналитики'!BG1571,MeanMinAge08)))</f>
        <v/>
      </c>
      <c r="BH1483">
        <f>IF(OR('19_Расчет_аналитики'!BH1455=0,8&lt;='01_Вводные'!$B$297),0,'19_Расчет_аналитики'!BH1455*IF('01_Вводные'!$B$239="Да",MeanMinAge08+'19_Расчет_аналитики'!BH1571*SUMIF(ThresholdAge08,"&lt;"&amp;'19_Расчет_аналитики'!BH1571,WeightedRevAge08)-SUMIF(ThresholdAge08,"&lt;"&amp;'19_Расчет_аналитики'!BH1571,WeightedMinAge08),MAX(CapacityAge08*'01_Вводные'!$B$218*'19_Расчет_аналитики'!BH1571,MeanMinAge08)))</f>
        <v/>
      </c>
      <c r="BI1483">
        <f>IF(OR('19_Расчет_аналитики'!BI1455=0,8&lt;='01_Вводные'!$B$297),0,'19_Расчет_аналитики'!BI1455*IF('01_Вводные'!$B$239="Да",MeanMinAge08+'19_Расчет_аналитики'!BI1571*SUMIF(ThresholdAge08,"&lt;"&amp;'19_Расчет_аналитики'!BI1571,WeightedRevAge08)-SUMIF(ThresholdAge08,"&lt;"&amp;'19_Расчет_аналитики'!BI1571,WeightedMinAge08),MAX(CapacityAge08*'01_Вводные'!$B$218*'19_Расчет_аналитики'!BI1571,MeanMinAge08)))</f>
        <v/>
      </c>
      <c r="BJ1483">
        <f>IF(OR('19_Расчет_аналитики'!BJ1455=0,8&lt;='01_Вводные'!$B$297),0,'19_Расчет_аналитики'!BJ1455*IF('01_Вводные'!$B$239="Да",MeanMinAge08+'19_Расчет_аналитики'!BJ1571*SUMIF(ThresholdAge08,"&lt;"&amp;'19_Расчет_аналитики'!BJ1571,WeightedRevAge08)-SUMIF(ThresholdAge08,"&lt;"&amp;'19_Расчет_аналитики'!BJ1571,WeightedMinAge08),MAX(CapacityAge08*'01_Вводные'!$B$218*'19_Расчет_аналитики'!BJ1571,MeanMinAge08)))</f>
        <v/>
      </c>
      <c r="BK1483">
        <f>IF(OR('19_Расчет_аналитики'!BK1455=0,8&lt;='01_Вводные'!$B$297),0,'19_Расчет_аналитики'!BK1455*IF('01_Вводные'!$B$239="Да",MeanMinAge08+'19_Расчет_аналитики'!BK1571*SUMIF(ThresholdAge08,"&lt;"&amp;'19_Расчет_аналитики'!BK1571,WeightedRevAge08)-SUMIF(ThresholdAge08,"&lt;"&amp;'19_Расчет_аналитики'!BK1571,WeightedMinAge08),MAX(CapacityAge08*'01_Вводные'!$B$218*'19_Расчет_аналитики'!BK1571,MeanMinAge08)))</f>
        <v/>
      </c>
      <c r="BL1483">
        <f>IF(OR('19_Расчет_аналитики'!BL1455=0,8&lt;='01_Вводные'!$B$297),0,'19_Расчет_аналитики'!BL1455*IF('01_Вводные'!$B$239="Да",MeanMinAge08+'19_Расчет_аналитики'!BL1571*SUMIF(ThresholdAge08,"&lt;"&amp;'19_Расчет_аналитики'!BL1571,WeightedRevAge08)-SUMIF(ThresholdAge08,"&lt;"&amp;'19_Расчет_аналитики'!BL1571,WeightedMinAge08),MAX(CapacityAge08*'01_Вводные'!$B$218*'19_Расчет_аналитики'!BL1571,MeanMinAge08)))</f>
        <v/>
      </c>
      <c r="BM1483">
        <f>IF(OR('19_Расчет_аналитики'!BM1455=0,8&lt;='01_Вводные'!$B$297),0,'19_Расчет_аналитики'!BM1455*IF('01_Вводные'!$B$239="Да",MeanMinAge08+'19_Расчет_аналитики'!BM1571*SUMIF(ThresholdAge08,"&lt;"&amp;'19_Расчет_аналитики'!BM1571,WeightedRevAge08)-SUMIF(ThresholdAge08,"&lt;"&amp;'19_Расчет_аналитики'!BM1571,WeightedMinAge08),MAX(CapacityAge08*'01_Вводные'!$B$218*'19_Расчет_аналитики'!BM1571,MeanMinAge08)))</f>
        <v/>
      </c>
      <c r="BN1483">
        <f>IF(OR('19_Расчет_аналитики'!BN1455=0,8&lt;='01_Вводные'!$B$297),0,'19_Расчет_аналитики'!BN1455*IF('01_Вводные'!$B$239="Да",MeanMinAge08+'19_Расчет_аналитики'!BN1571*SUMIF(ThresholdAge08,"&lt;"&amp;'19_Расчет_аналитики'!BN1571,WeightedRevAge08)-SUMIF(ThresholdAge08,"&lt;"&amp;'19_Расчет_аналитики'!BN1571,WeightedMinAge08),MAX(CapacityAge08*'01_Вводные'!$B$218*'19_Расчет_аналитики'!BN1571,MeanMinAge08)))</f>
        <v/>
      </c>
      <c r="BO1483">
        <f>IF(OR('19_Расчет_аналитики'!BO1455=0,8&lt;='01_Вводные'!$B$297),0,'19_Расчет_аналитики'!BO1455*IF('01_Вводные'!$B$239="Да",MeanMinAge08+'19_Расчет_аналитики'!BO1571*SUMIF(ThresholdAge08,"&lt;"&amp;'19_Расчет_аналитики'!BO1571,WeightedRevAge08)-SUMIF(ThresholdAge08,"&lt;"&amp;'19_Расчет_аналитики'!BO1571,WeightedMinAge08),MAX(CapacityAge08*'01_Вводные'!$B$218*'19_Расчет_аналитики'!BO1571,MeanMinAge08)))</f>
        <v/>
      </c>
    </row>
    <row r="1484">
      <c r="B1484">
        <f>IF(OR('06_Сеть_и_дети'!B89=0,9&lt;='01_Вводные'!$B$297),0,'06_Сеть_и_дети'!B89*IF('01_Вводные'!$B$239="Да",MeanMinAge09+'19_Расчет_аналитики'!B1571*SUMIF(ThresholdAge09,"&lt;"&amp;'19_Расчет_аналитики'!B1571,WeightedRevAge09)-SUMIF(ThresholdAge09,"&lt;"&amp;'19_Расчет_аналитики'!B1571,WeightedMinAge09),MAX(CapacityAge09*'01_Вводные'!$B$218*'19_Расчет_аналитики'!B1571,MeanMinAge09)))</f>
        <v/>
      </c>
      <c r="C1484">
        <f>IF(OR('06_Сеть_и_дети'!C89=0,9&lt;='01_Вводные'!$B$297),0,'06_Сеть_и_дети'!C89*IF('01_Вводные'!$B$239="Да",MeanMinAge09+'19_Расчет_аналитики'!C1571*SUMIF(ThresholdAge09,"&lt;"&amp;'19_Расчет_аналитики'!C1571,WeightedRevAge09)-SUMIF(ThresholdAge09,"&lt;"&amp;'19_Расчет_аналитики'!C1571,WeightedMinAge09),MAX(CapacityAge09*'01_Вводные'!$B$218*'19_Расчет_аналитики'!C1571,MeanMinAge09)))</f>
        <v/>
      </c>
      <c r="D1484">
        <f>IF(OR('06_Сеть_и_дети'!D89=0,9&lt;='01_Вводные'!$B$297),0,'06_Сеть_и_дети'!D89*IF('01_Вводные'!$B$239="Да",MeanMinAge09+'19_Расчет_аналитики'!D1571*SUMIF(ThresholdAge09,"&lt;"&amp;'19_Расчет_аналитики'!D1571,WeightedRevAge09)-SUMIF(ThresholdAge09,"&lt;"&amp;'19_Расчет_аналитики'!D1571,WeightedMinAge09),MAX(CapacityAge09*'01_Вводные'!$B$218*'19_Расчет_аналитики'!D1571,MeanMinAge09)))</f>
        <v/>
      </c>
      <c r="E1484">
        <f>IF(OR('06_Сеть_и_дети'!E89=0,9&lt;='01_Вводные'!$B$297),0,'06_Сеть_и_дети'!E89*IF('01_Вводные'!$B$239="Да",MeanMinAge09+'19_Расчет_аналитики'!E1571*SUMIF(ThresholdAge09,"&lt;"&amp;'19_Расчет_аналитики'!E1571,WeightedRevAge09)-SUMIF(ThresholdAge09,"&lt;"&amp;'19_Расчет_аналитики'!E1571,WeightedMinAge09),MAX(CapacityAge09*'01_Вводные'!$B$218*'19_Расчет_аналитики'!E1571,MeanMinAge09)))</f>
        <v/>
      </c>
      <c r="F1484">
        <f>IF(OR('06_Сеть_и_дети'!F89=0,9&lt;='01_Вводные'!$B$297),0,'06_Сеть_и_дети'!F89*IF('01_Вводные'!$B$239="Да",MeanMinAge09+'19_Расчет_аналитики'!F1571*SUMIF(ThresholdAge09,"&lt;"&amp;'19_Расчет_аналитики'!F1571,WeightedRevAge09)-SUMIF(ThresholdAge09,"&lt;"&amp;'19_Расчет_аналитики'!F1571,WeightedMinAge09),MAX(CapacityAge09*'01_Вводные'!$B$218*'19_Расчет_аналитики'!F1571,MeanMinAge09)))</f>
        <v/>
      </c>
      <c r="G1484">
        <f>IF(OR('06_Сеть_и_дети'!G89=0,9&lt;='01_Вводные'!$B$297),0,'06_Сеть_и_дети'!G89*IF('01_Вводные'!$B$239="Да",MeanMinAge09+'19_Расчет_аналитики'!G1571*SUMIF(ThresholdAge09,"&lt;"&amp;'19_Расчет_аналитики'!G1571,WeightedRevAge09)-SUMIF(ThresholdAge09,"&lt;"&amp;'19_Расчет_аналитики'!G1571,WeightedMinAge09),MAX(CapacityAge09*'01_Вводные'!$B$218*'19_Расчет_аналитики'!G1571,MeanMinAge09)))</f>
        <v/>
      </c>
      <c r="H1484">
        <f>IF(OR('06_Сеть_и_дети'!H89=0,9&lt;='01_Вводные'!$B$297),0,'06_Сеть_и_дети'!H89*IF('01_Вводные'!$B$239="Да",MeanMinAge09+'19_Расчет_аналитики'!H1571*SUMIF(ThresholdAge09,"&lt;"&amp;'19_Расчет_аналитики'!H1571,WeightedRevAge09)-SUMIF(ThresholdAge09,"&lt;"&amp;'19_Расчет_аналитики'!H1571,WeightedMinAge09),MAX(CapacityAge09*'01_Вводные'!$B$218*'19_Расчет_аналитики'!H1571,MeanMinAge09)))</f>
        <v/>
      </c>
      <c r="I1484">
        <f>IF(OR('06_Сеть_и_дети'!I89=0,9&lt;='01_Вводные'!$B$297),0,'06_Сеть_и_дети'!I89*IF('01_Вводные'!$B$239="Да",MeanMinAge09+'19_Расчет_аналитики'!I1571*SUMIF(ThresholdAge09,"&lt;"&amp;'19_Расчет_аналитики'!I1571,WeightedRevAge09)-SUMIF(ThresholdAge09,"&lt;"&amp;'19_Расчет_аналитики'!I1571,WeightedMinAge09),MAX(CapacityAge09*'01_Вводные'!$B$218*'19_Расчет_аналитики'!I1571,MeanMinAge09)))</f>
        <v/>
      </c>
      <c r="J1484">
        <f>IF(OR('19_Расчет_аналитики'!J1456=0,9&lt;='01_Вводные'!$B$297),0,'19_Расчет_аналитики'!J1456*IF('01_Вводные'!$B$239="Да",MeanMinAge09+'19_Расчет_аналитики'!J1571*SUMIF(ThresholdAge09,"&lt;"&amp;'19_Расчет_аналитики'!J1571,WeightedRevAge09)-SUMIF(ThresholdAge09,"&lt;"&amp;'19_Расчет_аналитики'!J1571,WeightedMinAge09),MAX(CapacityAge09*'01_Вводные'!$B$218*'19_Расчет_аналитики'!J1571,MeanMinAge09)))</f>
        <v/>
      </c>
      <c r="K1484">
        <f>IF(OR('19_Расчет_аналитики'!K1456=0,9&lt;='01_Вводные'!$B$297),0,'19_Расчет_аналитики'!K1456*IF('01_Вводные'!$B$239="Да",MeanMinAge09+'19_Расчет_аналитики'!K1571*SUMIF(ThresholdAge09,"&lt;"&amp;'19_Расчет_аналитики'!K1571,WeightedRevAge09)-SUMIF(ThresholdAge09,"&lt;"&amp;'19_Расчет_аналитики'!K1571,WeightedMinAge09),MAX(CapacityAge09*'01_Вводные'!$B$218*'19_Расчет_аналитики'!K1571,MeanMinAge09)))</f>
        <v/>
      </c>
      <c r="L1484">
        <f>IF(OR('19_Расчет_аналитики'!L1456=0,9&lt;='01_Вводные'!$B$297),0,'19_Расчет_аналитики'!L1456*IF('01_Вводные'!$B$239="Да",MeanMinAge09+'19_Расчет_аналитики'!L1571*SUMIF(ThresholdAge09,"&lt;"&amp;'19_Расчет_аналитики'!L1571,WeightedRevAge09)-SUMIF(ThresholdAge09,"&lt;"&amp;'19_Расчет_аналитики'!L1571,WeightedMinAge09),MAX(CapacityAge09*'01_Вводные'!$B$218*'19_Расчет_аналитики'!L1571,MeanMinAge09)))</f>
        <v/>
      </c>
      <c r="M1484">
        <f>IF(OR('19_Расчет_аналитики'!M1456=0,9&lt;='01_Вводные'!$B$297),0,'19_Расчет_аналитики'!M1456*IF('01_Вводные'!$B$239="Да",MeanMinAge09+'19_Расчет_аналитики'!M1571*SUMIF(ThresholdAge09,"&lt;"&amp;'19_Расчет_аналитики'!M1571,WeightedRevAge09)-SUMIF(ThresholdAge09,"&lt;"&amp;'19_Расчет_аналитики'!M1571,WeightedMinAge09),MAX(CapacityAge09*'01_Вводные'!$B$218*'19_Расчет_аналитики'!M1571,MeanMinAge09)))</f>
        <v/>
      </c>
      <c r="N1484">
        <f>IF(OR('19_Расчет_аналитики'!N1456=0,9&lt;='01_Вводные'!$B$297),0,'19_Расчет_аналитики'!N1456*IF('01_Вводные'!$B$239="Да",MeanMinAge09+'19_Расчет_аналитики'!N1571*SUMIF(ThresholdAge09,"&lt;"&amp;'19_Расчет_аналитики'!N1571,WeightedRevAge09)-SUMIF(ThresholdAge09,"&lt;"&amp;'19_Расчет_аналитики'!N1571,WeightedMinAge09),MAX(CapacityAge09*'01_Вводные'!$B$218*'19_Расчет_аналитики'!N1571,MeanMinAge09)))</f>
        <v/>
      </c>
      <c r="O1484">
        <f>IF(OR('19_Расчет_аналитики'!O1456=0,9&lt;='01_Вводные'!$B$297),0,'19_Расчет_аналитики'!O1456*IF('01_Вводные'!$B$239="Да",MeanMinAge09+'19_Расчет_аналитики'!O1571*SUMIF(ThresholdAge09,"&lt;"&amp;'19_Расчет_аналитики'!O1571,WeightedRevAge09)-SUMIF(ThresholdAge09,"&lt;"&amp;'19_Расчет_аналитики'!O1571,WeightedMinAge09),MAX(CapacityAge09*'01_Вводные'!$B$218*'19_Расчет_аналитики'!O1571,MeanMinAge09)))</f>
        <v/>
      </c>
      <c r="P1484">
        <f>IF(OR('19_Расчет_аналитики'!P1456=0,9&lt;='01_Вводные'!$B$297),0,'19_Расчет_аналитики'!P1456*IF('01_Вводные'!$B$239="Да",MeanMinAge09+'19_Расчет_аналитики'!P1571*SUMIF(ThresholdAge09,"&lt;"&amp;'19_Расчет_аналитики'!P1571,WeightedRevAge09)-SUMIF(ThresholdAge09,"&lt;"&amp;'19_Расчет_аналитики'!P1571,WeightedMinAge09),MAX(CapacityAge09*'01_Вводные'!$B$218*'19_Расчет_аналитики'!P1571,MeanMinAge09)))</f>
        <v/>
      </c>
      <c r="Q1484">
        <f>IF(OR('19_Расчет_аналитики'!Q1456=0,9&lt;='01_Вводные'!$B$297),0,'19_Расчет_аналитики'!Q1456*IF('01_Вводные'!$B$239="Да",MeanMinAge09+'19_Расчет_аналитики'!Q1571*SUMIF(ThresholdAge09,"&lt;"&amp;'19_Расчет_аналитики'!Q1571,WeightedRevAge09)-SUMIF(ThresholdAge09,"&lt;"&amp;'19_Расчет_аналитики'!Q1571,WeightedMinAge09),MAX(CapacityAge09*'01_Вводные'!$B$218*'19_Расчет_аналитики'!Q1571,MeanMinAge09)))</f>
        <v/>
      </c>
      <c r="R1484">
        <f>IF(OR('19_Расчет_аналитики'!R1456=0,9&lt;='01_Вводные'!$B$297),0,'19_Расчет_аналитики'!R1456*IF('01_Вводные'!$B$239="Да",MeanMinAge09+'19_Расчет_аналитики'!R1571*SUMIF(ThresholdAge09,"&lt;"&amp;'19_Расчет_аналитики'!R1571,WeightedRevAge09)-SUMIF(ThresholdAge09,"&lt;"&amp;'19_Расчет_аналитики'!R1571,WeightedMinAge09),MAX(CapacityAge09*'01_Вводные'!$B$218*'19_Расчет_аналитики'!R1571,MeanMinAge09)))</f>
        <v/>
      </c>
      <c r="S1484">
        <f>IF(OR('19_Расчет_аналитики'!S1456=0,9&lt;='01_Вводные'!$B$297),0,'19_Расчет_аналитики'!S1456*IF('01_Вводные'!$B$239="Да",MeanMinAge09+'19_Расчет_аналитики'!S1571*SUMIF(ThresholdAge09,"&lt;"&amp;'19_Расчет_аналитики'!S1571,WeightedRevAge09)-SUMIF(ThresholdAge09,"&lt;"&amp;'19_Расчет_аналитики'!S1571,WeightedMinAge09),MAX(CapacityAge09*'01_Вводные'!$B$218*'19_Расчет_аналитики'!S1571,MeanMinAge09)))</f>
        <v/>
      </c>
      <c r="T1484">
        <f>IF(OR('19_Расчет_аналитики'!T1456=0,9&lt;='01_Вводные'!$B$297),0,'19_Расчет_аналитики'!T1456*IF('01_Вводные'!$B$239="Да",MeanMinAge09+'19_Расчет_аналитики'!T1571*SUMIF(ThresholdAge09,"&lt;"&amp;'19_Расчет_аналитики'!T1571,WeightedRevAge09)-SUMIF(ThresholdAge09,"&lt;"&amp;'19_Расчет_аналитики'!T1571,WeightedMinAge09),MAX(CapacityAge09*'01_Вводные'!$B$218*'19_Расчет_аналитики'!T1571,MeanMinAge09)))</f>
        <v/>
      </c>
      <c r="U1484">
        <f>IF(OR('19_Расчет_аналитики'!U1456=0,9&lt;='01_Вводные'!$B$297),0,'19_Расчет_аналитики'!U1456*IF('01_Вводные'!$B$239="Да",MeanMinAge09+'19_Расчет_аналитики'!U1571*SUMIF(ThresholdAge09,"&lt;"&amp;'19_Расчет_аналитики'!U1571,WeightedRevAge09)-SUMIF(ThresholdAge09,"&lt;"&amp;'19_Расчет_аналитики'!U1571,WeightedMinAge09),MAX(CapacityAge09*'01_Вводные'!$B$218*'19_Расчет_аналитики'!U1571,MeanMinAge09)))</f>
        <v/>
      </c>
      <c r="V1484">
        <f>IF(OR('19_Расчет_аналитики'!V1456=0,9&lt;='01_Вводные'!$B$297),0,'19_Расчет_аналитики'!V1456*IF('01_Вводные'!$B$239="Да",MeanMinAge09+'19_Расчет_аналитики'!V1571*SUMIF(ThresholdAge09,"&lt;"&amp;'19_Расчет_аналитики'!V1571,WeightedRevAge09)-SUMIF(ThresholdAge09,"&lt;"&amp;'19_Расчет_аналитики'!V1571,WeightedMinAge09),MAX(CapacityAge09*'01_Вводные'!$B$218*'19_Расчет_аналитики'!V1571,MeanMinAge09)))</f>
        <v/>
      </c>
      <c r="W1484">
        <f>IF(OR('19_Расчет_аналитики'!W1456=0,9&lt;='01_Вводные'!$B$297),0,'19_Расчет_аналитики'!W1456*IF('01_Вводные'!$B$239="Да",MeanMinAge09+'19_Расчет_аналитики'!W1571*SUMIF(ThresholdAge09,"&lt;"&amp;'19_Расчет_аналитики'!W1571,WeightedRevAge09)-SUMIF(ThresholdAge09,"&lt;"&amp;'19_Расчет_аналитики'!W1571,WeightedMinAge09),MAX(CapacityAge09*'01_Вводные'!$B$218*'19_Расчет_аналитики'!W1571,MeanMinAge09)))</f>
        <v/>
      </c>
      <c r="X1484">
        <f>IF(OR('19_Расчет_аналитики'!X1456=0,9&lt;='01_Вводные'!$B$297),0,'19_Расчет_аналитики'!X1456*IF('01_Вводные'!$B$239="Да",MeanMinAge09+'19_Расчет_аналитики'!X1571*SUMIF(ThresholdAge09,"&lt;"&amp;'19_Расчет_аналитики'!X1571,WeightedRevAge09)-SUMIF(ThresholdAge09,"&lt;"&amp;'19_Расчет_аналитики'!X1571,WeightedMinAge09),MAX(CapacityAge09*'01_Вводные'!$B$218*'19_Расчет_аналитики'!X1571,MeanMinAge09)))</f>
        <v/>
      </c>
      <c r="Y1484">
        <f>IF(OR('19_Расчет_аналитики'!Y1456=0,9&lt;='01_Вводные'!$B$297),0,'19_Расчет_аналитики'!Y1456*IF('01_Вводные'!$B$239="Да",MeanMinAge09+'19_Расчет_аналитики'!Y1571*SUMIF(ThresholdAge09,"&lt;"&amp;'19_Расчет_аналитики'!Y1571,WeightedRevAge09)-SUMIF(ThresholdAge09,"&lt;"&amp;'19_Расчет_аналитики'!Y1571,WeightedMinAge09),MAX(CapacityAge09*'01_Вводные'!$B$218*'19_Расчет_аналитики'!Y1571,MeanMinAge09)))</f>
        <v/>
      </c>
      <c r="Z1484">
        <f>IF(OR('19_Расчет_аналитики'!Z1456=0,9&lt;='01_Вводные'!$B$297),0,'19_Расчет_аналитики'!Z1456*IF('01_Вводные'!$B$239="Да",MeanMinAge09+'19_Расчет_аналитики'!Z1571*SUMIF(ThresholdAge09,"&lt;"&amp;'19_Расчет_аналитики'!Z1571,WeightedRevAge09)-SUMIF(ThresholdAge09,"&lt;"&amp;'19_Расчет_аналитики'!Z1571,WeightedMinAge09),MAX(CapacityAge09*'01_Вводные'!$B$218*'19_Расчет_аналитики'!Z1571,MeanMinAge09)))</f>
        <v/>
      </c>
      <c r="AA1484">
        <f>IF(OR('19_Расчет_аналитики'!AA1456=0,9&lt;='01_Вводные'!$B$297),0,'19_Расчет_аналитики'!AA1456*IF('01_Вводные'!$B$239="Да",MeanMinAge09+'19_Расчет_аналитики'!AA1571*SUMIF(ThresholdAge09,"&lt;"&amp;'19_Расчет_аналитики'!AA1571,WeightedRevAge09)-SUMIF(ThresholdAge09,"&lt;"&amp;'19_Расчет_аналитики'!AA1571,WeightedMinAge09),MAX(CapacityAge09*'01_Вводные'!$B$218*'19_Расчет_аналитики'!AA1571,MeanMinAge09)))</f>
        <v/>
      </c>
      <c r="AB1484">
        <f>IF(OR('19_Расчет_аналитики'!AB1456=0,9&lt;='01_Вводные'!$B$297),0,'19_Расчет_аналитики'!AB1456*IF('01_Вводные'!$B$239="Да",MeanMinAge09+'19_Расчет_аналитики'!AB1571*SUMIF(ThresholdAge09,"&lt;"&amp;'19_Расчет_аналитики'!AB1571,WeightedRevAge09)-SUMIF(ThresholdAge09,"&lt;"&amp;'19_Расчет_аналитики'!AB1571,WeightedMinAge09),MAX(CapacityAge09*'01_Вводные'!$B$218*'19_Расчет_аналитики'!AB1571,MeanMinAge09)))</f>
        <v/>
      </c>
      <c r="AC1484">
        <f>IF(OR('19_Расчет_аналитики'!AC1456=0,9&lt;='01_Вводные'!$B$297),0,'19_Расчет_аналитики'!AC1456*IF('01_Вводные'!$B$239="Да",MeanMinAge09+'19_Расчет_аналитики'!AC1571*SUMIF(ThresholdAge09,"&lt;"&amp;'19_Расчет_аналитики'!AC1571,WeightedRevAge09)-SUMIF(ThresholdAge09,"&lt;"&amp;'19_Расчет_аналитики'!AC1571,WeightedMinAge09),MAX(CapacityAge09*'01_Вводные'!$B$218*'19_Расчет_аналитики'!AC1571,MeanMinAge09)))</f>
        <v/>
      </c>
      <c r="AD1484">
        <f>IF(OR('19_Расчет_аналитики'!AD1456=0,9&lt;='01_Вводные'!$B$297),0,'19_Расчет_аналитики'!AD1456*IF('01_Вводные'!$B$239="Да",MeanMinAge09+'19_Расчет_аналитики'!AD1571*SUMIF(ThresholdAge09,"&lt;"&amp;'19_Расчет_аналитики'!AD1571,WeightedRevAge09)-SUMIF(ThresholdAge09,"&lt;"&amp;'19_Расчет_аналитики'!AD1571,WeightedMinAge09),MAX(CapacityAge09*'01_Вводные'!$B$218*'19_Расчет_аналитики'!AD1571,MeanMinAge09)))</f>
        <v/>
      </c>
      <c r="AE1484">
        <f>IF(OR('19_Расчет_аналитики'!AE1456=0,9&lt;='01_Вводные'!$B$297),0,'19_Расчет_аналитики'!AE1456*IF('01_Вводные'!$B$239="Да",MeanMinAge09+'19_Расчет_аналитики'!AE1571*SUMIF(ThresholdAge09,"&lt;"&amp;'19_Расчет_аналитики'!AE1571,WeightedRevAge09)-SUMIF(ThresholdAge09,"&lt;"&amp;'19_Расчет_аналитики'!AE1571,WeightedMinAge09),MAX(CapacityAge09*'01_Вводные'!$B$218*'19_Расчет_аналитики'!AE1571,MeanMinAge09)))</f>
        <v/>
      </c>
      <c r="AF1484">
        <f>IF(OR('19_Расчет_аналитики'!AF1456=0,9&lt;='01_Вводные'!$B$297),0,'19_Расчет_аналитики'!AF1456*IF('01_Вводные'!$B$239="Да",MeanMinAge09+'19_Расчет_аналитики'!AF1571*SUMIF(ThresholdAge09,"&lt;"&amp;'19_Расчет_аналитики'!AF1571,WeightedRevAge09)-SUMIF(ThresholdAge09,"&lt;"&amp;'19_Расчет_аналитики'!AF1571,WeightedMinAge09),MAX(CapacityAge09*'01_Вводные'!$B$218*'19_Расчет_аналитики'!AF1571,MeanMinAge09)))</f>
        <v/>
      </c>
      <c r="AG1484">
        <f>IF(OR('19_Расчет_аналитики'!AG1456=0,9&lt;='01_Вводные'!$B$297),0,'19_Расчет_аналитики'!AG1456*IF('01_Вводные'!$B$239="Да",MeanMinAge09+'19_Расчет_аналитики'!AG1571*SUMIF(ThresholdAge09,"&lt;"&amp;'19_Расчет_аналитики'!AG1571,WeightedRevAge09)-SUMIF(ThresholdAge09,"&lt;"&amp;'19_Расчет_аналитики'!AG1571,WeightedMinAge09),MAX(CapacityAge09*'01_Вводные'!$B$218*'19_Расчет_аналитики'!AG1571,MeanMinAge09)))</f>
        <v/>
      </c>
      <c r="AH1484">
        <f>IF(OR('19_Расчет_аналитики'!AH1456=0,9&lt;='01_Вводные'!$B$297),0,'19_Расчет_аналитики'!AH1456*IF('01_Вводные'!$B$239="Да",MeanMinAge09+'19_Расчет_аналитики'!AH1571*SUMIF(ThresholdAge09,"&lt;"&amp;'19_Расчет_аналитики'!AH1571,WeightedRevAge09)-SUMIF(ThresholdAge09,"&lt;"&amp;'19_Расчет_аналитики'!AH1571,WeightedMinAge09),MAX(CapacityAge09*'01_Вводные'!$B$218*'19_Расчет_аналитики'!AH1571,MeanMinAge09)))</f>
        <v/>
      </c>
      <c r="AI1484">
        <f>IF(OR('19_Расчет_аналитики'!AI1456=0,9&lt;='01_Вводные'!$B$297),0,'19_Расчет_аналитики'!AI1456*IF('01_Вводные'!$B$239="Да",MeanMinAge09+'19_Расчет_аналитики'!AI1571*SUMIF(ThresholdAge09,"&lt;"&amp;'19_Расчет_аналитики'!AI1571,WeightedRevAge09)-SUMIF(ThresholdAge09,"&lt;"&amp;'19_Расчет_аналитики'!AI1571,WeightedMinAge09),MAX(CapacityAge09*'01_Вводные'!$B$218*'19_Расчет_аналитики'!AI1571,MeanMinAge09)))</f>
        <v/>
      </c>
      <c r="AJ1484">
        <f>IF(OR('19_Расчет_аналитики'!AJ1456=0,9&lt;='01_Вводные'!$B$297),0,'19_Расчет_аналитики'!AJ1456*IF('01_Вводные'!$B$239="Да",MeanMinAge09+'19_Расчет_аналитики'!AJ1571*SUMIF(ThresholdAge09,"&lt;"&amp;'19_Расчет_аналитики'!AJ1571,WeightedRevAge09)-SUMIF(ThresholdAge09,"&lt;"&amp;'19_Расчет_аналитики'!AJ1571,WeightedMinAge09),MAX(CapacityAge09*'01_Вводные'!$B$218*'19_Расчет_аналитики'!AJ1571,MeanMinAge09)))</f>
        <v/>
      </c>
      <c r="AK1484">
        <f>IF(OR('19_Расчет_аналитики'!AK1456=0,9&lt;='01_Вводные'!$B$297),0,'19_Расчет_аналитики'!AK1456*IF('01_Вводные'!$B$239="Да",MeanMinAge09+'19_Расчет_аналитики'!AK1571*SUMIF(ThresholdAge09,"&lt;"&amp;'19_Расчет_аналитики'!AK1571,WeightedRevAge09)-SUMIF(ThresholdAge09,"&lt;"&amp;'19_Расчет_аналитики'!AK1571,WeightedMinAge09),MAX(CapacityAge09*'01_Вводные'!$B$218*'19_Расчет_аналитики'!AK1571,MeanMinAge09)))</f>
        <v/>
      </c>
      <c r="AL1484">
        <f>IF(OR('19_Расчет_аналитики'!AL1456=0,9&lt;='01_Вводные'!$B$297),0,'19_Расчет_аналитики'!AL1456*IF('01_Вводные'!$B$239="Да",MeanMinAge09+'19_Расчет_аналитики'!AL1571*SUMIF(ThresholdAge09,"&lt;"&amp;'19_Расчет_аналитики'!AL1571,WeightedRevAge09)-SUMIF(ThresholdAge09,"&lt;"&amp;'19_Расчет_аналитики'!AL1571,WeightedMinAge09),MAX(CapacityAge09*'01_Вводные'!$B$218*'19_Расчет_аналитики'!AL1571,MeanMinAge09)))</f>
        <v/>
      </c>
      <c r="AM1484">
        <f>IF(OR('19_Расчет_аналитики'!AM1456=0,9&lt;='01_Вводные'!$B$297),0,'19_Расчет_аналитики'!AM1456*IF('01_Вводные'!$B$239="Да",MeanMinAge09+'19_Расчет_аналитики'!AM1571*SUMIF(ThresholdAge09,"&lt;"&amp;'19_Расчет_аналитики'!AM1571,WeightedRevAge09)-SUMIF(ThresholdAge09,"&lt;"&amp;'19_Расчет_аналитики'!AM1571,WeightedMinAge09),MAX(CapacityAge09*'01_Вводные'!$B$218*'19_Расчет_аналитики'!AM1571,MeanMinAge09)))</f>
        <v/>
      </c>
      <c r="AN1484">
        <f>IF(OR('19_Расчет_аналитики'!AN1456=0,9&lt;='01_Вводные'!$B$297),0,'19_Расчет_аналитики'!AN1456*IF('01_Вводные'!$B$239="Да",MeanMinAge09+'19_Расчет_аналитики'!AN1571*SUMIF(ThresholdAge09,"&lt;"&amp;'19_Расчет_аналитики'!AN1571,WeightedRevAge09)-SUMIF(ThresholdAge09,"&lt;"&amp;'19_Расчет_аналитики'!AN1571,WeightedMinAge09),MAX(CapacityAge09*'01_Вводные'!$B$218*'19_Расчет_аналитики'!AN1571,MeanMinAge09)))</f>
        <v/>
      </c>
      <c r="AO1484">
        <f>IF(OR('19_Расчет_аналитики'!AO1456=0,9&lt;='01_Вводные'!$B$297),0,'19_Расчет_аналитики'!AO1456*IF('01_Вводные'!$B$239="Да",MeanMinAge09+'19_Расчет_аналитики'!AO1571*SUMIF(ThresholdAge09,"&lt;"&amp;'19_Расчет_аналитики'!AO1571,WeightedRevAge09)-SUMIF(ThresholdAge09,"&lt;"&amp;'19_Расчет_аналитики'!AO1571,WeightedMinAge09),MAX(CapacityAge09*'01_Вводные'!$B$218*'19_Расчет_аналитики'!AO1571,MeanMinAge09)))</f>
        <v/>
      </c>
      <c r="AP1484">
        <f>IF(OR('19_Расчет_аналитики'!AP1456=0,9&lt;='01_Вводные'!$B$297),0,'19_Расчет_аналитики'!AP1456*IF('01_Вводные'!$B$239="Да",MeanMinAge09+'19_Расчет_аналитики'!AP1571*SUMIF(ThresholdAge09,"&lt;"&amp;'19_Расчет_аналитики'!AP1571,WeightedRevAge09)-SUMIF(ThresholdAge09,"&lt;"&amp;'19_Расчет_аналитики'!AP1571,WeightedMinAge09),MAX(CapacityAge09*'01_Вводные'!$B$218*'19_Расчет_аналитики'!AP1571,MeanMinAge09)))</f>
        <v/>
      </c>
      <c r="AQ1484">
        <f>IF(OR('19_Расчет_аналитики'!AQ1456=0,9&lt;='01_Вводные'!$B$297),0,'19_Расчет_аналитики'!AQ1456*IF('01_Вводные'!$B$239="Да",MeanMinAge09+'19_Расчет_аналитики'!AQ1571*SUMIF(ThresholdAge09,"&lt;"&amp;'19_Расчет_аналитики'!AQ1571,WeightedRevAge09)-SUMIF(ThresholdAge09,"&lt;"&amp;'19_Расчет_аналитики'!AQ1571,WeightedMinAge09),MAX(CapacityAge09*'01_Вводные'!$B$218*'19_Расчет_аналитики'!AQ1571,MeanMinAge09)))</f>
        <v/>
      </c>
      <c r="AR1484">
        <f>IF(OR('19_Расчет_аналитики'!AR1456=0,9&lt;='01_Вводные'!$B$297),0,'19_Расчет_аналитики'!AR1456*IF('01_Вводные'!$B$239="Да",MeanMinAge09+'19_Расчет_аналитики'!AR1571*SUMIF(ThresholdAge09,"&lt;"&amp;'19_Расчет_аналитики'!AR1571,WeightedRevAge09)-SUMIF(ThresholdAge09,"&lt;"&amp;'19_Расчет_аналитики'!AR1571,WeightedMinAge09),MAX(CapacityAge09*'01_Вводные'!$B$218*'19_Расчет_аналитики'!AR1571,MeanMinAge09)))</f>
        <v/>
      </c>
      <c r="AS1484">
        <f>IF(OR('19_Расчет_аналитики'!AS1456=0,9&lt;='01_Вводные'!$B$297),0,'19_Расчет_аналитики'!AS1456*IF('01_Вводные'!$B$239="Да",MeanMinAge09+'19_Расчет_аналитики'!AS1571*SUMIF(ThresholdAge09,"&lt;"&amp;'19_Расчет_аналитики'!AS1571,WeightedRevAge09)-SUMIF(ThresholdAge09,"&lt;"&amp;'19_Расчет_аналитики'!AS1571,WeightedMinAge09),MAX(CapacityAge09*'01_Вводные'!$B$218*'19_Расчет_аналитики'!AS1571,MeanMinAge09)))</f>
        <v/>
      </c>
      <c r="AT1484">
        <f>IF(OR('19_Расчет_аналитики'!AT1456=0,9&lt;='01_Вводные'!$B$297),0,'19_Расчет_аналитики'!AT1456*IF('01_Вводные'!$B$239="Да",MeanMinAge09+'19_Расчет_аналитики'!AT1571*SUMIF(ThresholdAge09,"&lt;"&amp;'19_Расчет_аналитики'!AT1571,WeightedRevAge09)-SUMIF(ThresholdAge09,"&lt;"&amp;'19_Расчет_аналитики'!AT1571,WeightedMinAge09),MAX(CapacityAge09*'01_Вводные'!$B$218*'19_Расчет_аналитики'!AT1571,MeanMinAge09)))</f>
        <v/>
      </c>
      <c r="AU1484">
        <f>IF(OR('19_Расчет_аналитики'!AU1456=0,9&lt;='01_Вводные'!$B$297),0,'19_Расчет_аналитики'!AU1456*IF('01_Вводные'!$B$239="Да",MeanMinAge09+'19_Расчет_аналитики'!AU1571*SUMIF(ThresholdAge09,"&lt;"&amp;'19_Расчет_аналитики'!AU1571,WeightedRevAge09)-SUMIF(ThresholdAge09,"&lt;"&amp;'19_Расчет_аналитики'!AU1571,WeightedMinAge09),MAX(CapacityAge09*'01_Вводные'!$B$218*'19_Расчет_аналитики'!AU1571,MeanMinAge09)))</f>
        <v/>
      </c>
      <c r="AV1484">
        <f>IF(OR('19_Расчет_аналитики'!AV1456=0,9&lt;='01_Вводные'!$B$297),0,'19_Расчет_аналитики'!AV1456*IF('01_Вводные'!$B$239="Да",MeanMinAge09+'19_Расчет_аналитики'!AV1571*SUMIF(ThresholdAge09,"&lt;"&amp;'19_Расчет_аналитики'!AV1571,WeightedRevAge09)-SUMIF(ThresholdAge09,"&lt;"&amp;'19_Расчет_аналитики'!AV1571,WeightedMinAge09),MAX(CapacityAge09*'01_Вводные'!$B$218*'19_Расчет_аналитики'!AV1571,MeanMinAge09)))</f>
        <v/>
      </c>
      <c r="AW1484">
        <f>IF(OR('19_Расчет_аналитики'!AW1456=0,9&lt;='01_Вводные'!$B$297),0,'19_Расчет_аналитики'!AW1456*IF('01_Вводные'!$B$239="Да",MeanMinAge09+'19_Расчет_аналитики'!AW1571*SUMIF(ThresholdAge09,"&lt;"&amp;'19_Расчет_аналитики'!AW1571,WeightedRevAge09)-SUMIF(ThresholdAge09,"&lt;"&amp;'19_Расчет_аналитики'!AW1571,WeightedMinAge09),MAX(CapacityAge09*'01_Вводные'!$B$218*'19_Расчет_аналитики'!AW1571,MeanMinAge09)))</f>
        <v/>
      </c>
      <c r="AX1484">
        <f>IF(OR('19_Расчет_аналитики'!AX1456=0,9&lt;='01_Вводные'!$B$297),0,'19_Расчет_аналитики'!AX1456*IF('01_Вводные'!$B$239="Да",MeanMinAge09+'19_Расчет_аналитики'!AX1571*SUMIF(ThresholdAge09,"&lt;"&amp;'19_Расчет_аналитики'!AX1571,WeightedRevAge09)-SUMIF(ThresholdAge09,"&lt;"&amp;'19_Расчет_аналитики'!AX1571,WeightedMinAge09),MAX(CapacityAge09*'01_Вводные'!$B$218*'19_Расчет_аналитики'!AX1571,MeanMinAge09)))</f>
        <v/>
      </c>
      <c r="AY1484">
        <f>IF(OR('19_Расчет_аналитики'!AY1456=0,9&lt;='01_Вводные'!$B$297),0,'19_Расчет_аналитики'!AY1456*IF('01_Вводные'!$B$239="Да",MeanMinAge09+'19_Расчет_аналитики'!AY1571*SUMIF(ThresholdAge09,"&lt;"&amp;'19_Расчет_аналитики'!AY1571,WeightedRevAge09)-SUMIF(ThresholdAge09,"&lt;"&amp;'19_Расчет_аналитики'!AY1571,WeightedMinAge09),MAX(CapacityAge09*'01_Вводные'!$B$218*'19_Расчет_аналитики'!AY1571,MeanMinAge09)))</f>
        <v/>
      </c>
      <c r="AZ1484">
        <f>IF(OR('19_Расчет_аналитики'!AZ1456=0,9&lt;='01_Вводные'!$B$297),0,'19_Расчет_аналитики'!AZ1456*IF('01_Вводные'!$B$239="Да",MeanMinAge09+'19_Расчет_аналитики'!AZ1571*SUMIF(ThresholdAge09,"&lt;"&amp;'19_Расчет_аналитики'!AZ1571,WeightedRevAge09)-SUMIF(ThresholdAge09,"&lt;"&amp;'19_Расчет_аналитики'!AZ1571,WeightedMinAge09),MAX(CapacityAge09*'01_Вводные'!$B$218*'19_Расчет_аналитики'!AZ1571,MeanMinAge09)))</f>
        <v/>
      </c>
      <c r="BA1484">
        <f>IF(OR('19_Расчет_аналитики'!BA1456=0,9&lt;='01_Вводные'!$B$297),0,'19_Расчет_аналитики'!BA1456*IF('01_Вводные'!$B$239="Да",MeanMinAge09+'19_Расчет_аналитики'!BA1571*SUMIF(ThresholdAge09,"&lt;"&amp;'19_Расчет_аналитики'!BA1571,WeightedRevAge09)-SUMIF(ThresholdAge09,"&lt;"&amp;'19_Расчет_аналитики'!BA1571,WeightedMinAge09),MAX(CapacityAge09*'01_Вводные'!$B$218*'19_Расчет_аналитики'!BA1571,MeanMinAge09)))</f>
        <v/>
      </c>
      <c r="BB1484">
        <f>IF(OR('19_Расчет_аналитики'!BB1456=0,9&lt;='01_Вводные'!$B$297),0,'19_Расчет_аналитики'!BB1456*IF('01_Вводные'!$B$239="Да",MeanMinAge09+'19_Расчет_аналитики'!BB1571*SUMIF(ThresholdAge09,"&lt;"&amp;'19_Расчет_аналитики'!BB1571,WeightedRevAge09)-SUMIF(ThresholdAge09,"&lt;"&amp;'19_Расчет_аналитики'!BB1571,WeightedMinAge09),MAX(CapacityAge09*'01_Вводные'!$B$218*'19_Расчет_аналитики'!BB1571,MeanMinAge09)))</f>
        <v/>
      </c>
      <c r="BC1484">
        <f>IF(OR('19_Расчет_аналитики'!BC1456=0,9&lt;='01_Вводные'!$B$297),0,'19_Расчет_аналитики'!BC1456*IF('01_Вводные'!$B$239="Да",MeanMinAge09+'19_Расчет_аналитики'!BC1571*SUMIF(ThresholdAge09,"&lt;"&amp;'19_Расчет_аналитики'!BC1571,WeightedRevAge09)-SUMIF(ThresholdAge09,"&lt;"&amp;'19_Расчет_аналитики'!BC1571,WeightedMinAge09),MAX(CapacityAge09*'01_Вводные'!$B$218*'19_Расчет_аналитики'!BC1571,MeanMinAge09)))</f>
        <v/>
      </c>
      <c r="BD1484">
        <f>IF(OR('19_Расчет_аналитики'!BD1456=0,9&lt;='01_Вводные'!$B$297),0,'19_Расчет_аналитики'!BD1456*IF('01_Вводные'!$B$239="Да",MeanMinAge09+'19_Расчет_аналитики'!BD1571*SUMIF(ThresholdAge09,"&lt;"&amp;'19_Расчет_аналитики'!BD1571,WeightedRevAge09)-SUMIF(ThresholdAge09,"&lt;"&amp;'19_Расчет_аналитики'!BD1571,WeightedMinAge09),MAX(CapacityAge09*'01_Вводные'!$B$218*'19_Расчет_аналитики'!BD1571,MeanMinAge09)))</f>
        <v/>
      </c>
      <c r="BE1484">
        <f>IF(OR('19_Расчет_аналитики'!BE1456=0,9&lt;='01_Вводные'!$B$297),0,'19_Расчет_аналитики'!BE1456*IF('01_Вводные'!$B$239="Да",MeanMinAge09+'19_Расчет_аналитики'!BE1571*SUMIF(ThresholdAge09,"&lt;"&amp;'19_Расчет_аналитики'!BE1571,WeightedRevAge09)-SUMIF(ThresholdAge09,"&lt;"&amp;'19_Расчет_аналитики'!BE1571,WeightedMinAge09),MAX(CapacityAge09*'01_Вводные'!$B$218*'19_Расчет_аналитики'!BE1571,MeanMinAge09)))</f>
        <v/>
      </c>
      <c r="BF1484">
        <f>IF(OR('19_Расчет_аналитики'!BF1456=0,9&lt;='01_Вводные'!$B$297),0,'19_Расчет_аналитики'!BF1456*IF('01_Вводные'!$B$239="Да",MeanMinAge09+'19_Расчет_аналитики'!BF1571*SUMIF(ThresholdAge09,"&lt;"&amp;'19_Расчет_аналитики'!BF1571,WeightedRevAge09)-SUMIF(ThresholdAge09,"&lt;"&amp;'19_Расчет_аналитики'!BF1571,WeightedMinAge09),MAX(CapacityAge09*'01_Вводные'!$B$218*'19_Расчет_аналитики'!BF1571,MeanMinAge09)))</f>
        <v/>
      </c>
      <c r="BG1484">
        <f>IF(OR('19_Расчет_аналитики'!BG1456=0,9&lt;='01_Вводные'!$B$297),0,'19_Расчет_аналитики'!BG1456*IF('01_Вводные'!$B$239="Да",MeanMinAge09+'19_Расчет_аналитики'!BG1571*SUMIF(ThresholdAge09,"&lt;"&amp;'19_Расчет_аналитики'!BG1571,WeightedRevAge09)-SUMIF(ThresholdAge09,"&lt;"&amp;'19_Расчет_аналитики'!BG1571,WeightedMinAge09),MAX(CapacityAge09*'01_Вводные'!$B$218*'19_Расчет_аналитики'!BG1571,MeanMinAge09)))</f>
        <v/>
      </c>
      <c r="BH1484">
        <f>IF(OR('19_Расчет_аналитики'!BH1456=0,9&lt;='01_Вводные'!$B$297),0,'19_Расчет_аналитики'!BH1456*IF('01_Вводные'!$B$239="Да",MeanMinAge09+'19_Расчет_аналитики'!BH1571*SUMIF(ThresholdAge09,"&lt;"&amp;'19_Расчет_аналитики'!BH1571,WeightedRevAge09)-SUMIF(ThresholdAge09,"&lt;"&amp;'19_Расчет_аналитики'!BH1571,WeightedMinAge09),MAX(CapacityAge09*'01_Вводные'!$B$218*'19_Расчет_аналитики'!BH1571,MeanMinAge09)))</f>
        <v/>
      </c>
      <c r="BI1484">
        <f>IF(OR('19_Расчет_аналитики'!BI1456=0,9&lt;='01_Вводные'!$B$297),0,'19_Расчет_аналитики'!BI1456*IF('01_Вводные'!$B$239="Да",MeanMinAge09+'19_Расчет_аналитики'!BI1571*SUMIF(ThresholdAge09,"&lt;"&amp;'19_Расчет_аналитики'!BI1571,WeightedRevAge09)-SUMIF(ThresholdAge09,"&lt;"&amp;'19_Расчет_аналитики'!BI1571,WeightedMinAge09),MAX(CapacityAge09*'01_Вводные'!$B$218*'19_Расчет_аналитики'!BI1571,MeanMinAge09)))</f>
        <v/>
      </c>
      <c r="BJ1484">
        <f>IF(OR('19_Расчет_аналитики'!BJ1456=0,9&lt;='01_Вводные'!$B$297),0,'19_Расчет_аналитики'!BJ1456*IF('01_Вводные'!$B$239="Да",MeanMinAge09+'19_Расчет_аналитики'!BJ1571*SUMIF(ThresholdAge09,"&lt;"&amp;'19_Расчет_аналитики'!BJ1571,WeightedRevAge09)-SUMIF(ThresholdAge09,"&lt;"&amp;'19_Расчет_аналитики'!BJ1571,WeightedMinAge09),MAX(CapacityAge09*'01_Вводные'!$B$218*'19_Расчет_аналитики'!BJ1571,MeanMinAge09)))</f>
        <v/>
      </c>
      <c r="BK1484">
        <f>IF(OR('19_Расчет_аналитики'!BK1456=0,9&lt;='01_Вводные'!$B$297),0,'19_Расчет_аналитики'!BK1456*IF('01_Вводные'!$B$239="Да",MeanMinAge09+'19_Расчет_аналитики'!BK1571*SUMIF(ThresholdAge09,"&lt;"&amp;'19_Расчет_аналитики'!BK1571,WeightedRevAge09)-SUMIF(ThresholdAge09,"&lt;"&amp;'19_Расчет_аналитики'!BK1571,WeightedMinAge09),MAX(CapacityAge09*'01_Вводные'!$B$218*'19_Расчет_аналитики'!BK1571,MeanMinAge09)))</f>
        <v/>
      </c>
      <c r="BL1484">
        <f>IF(OR('19_Расчет_аналитики'!BL1456=0,9&lt;='01_Вводные'!$B$297),0,'19_Расчет_аналитики'!BL1456*IF('01_Вводные'!$B$239="Да",MeanMinAge09+'19_Расчет_аналитики'!BL1571*SUMIF(ThresholdAge09,"&lt;"&amp;'19_Расчет_аналитики'!BL1571,WeightedRevAge09)-SUMIF(ThresholdAge09,"&lt;"&amp;'19_Расчет_аналитики'!BL1571,WeightedMinAge09),MAX(CapacityAge09*'01_Вводные'!$B$218*'19_Расчет_аналитики'!BL1571,MeanMinAge09)))</f>
        <v/>
      </c>
      <c r="BM1484">
        <f>IF(OR('19_Расчет_аналитики'!BM1456=0,9&lt;='01_Вводные'!$B$297),0,'19_Расчет_аналитики'!BM1456*IF('01_Вводные'!$B$239="Да",MeanMinAge09+'19_Расчет_аналитики'!BM1571*SUMIF(ThresholdAge09,"&lt;"&amp;'19_Расчет_аналитики'!BM1571,WeightedRevAge09)-SUMIF(ThresholdAge09,"&lt;"&amp;'19_Расчет_аналитики'!BM1571,WeightedMinAge09),MAX(CapacityAge09*'01_Вводные'!$B$218*'19_Расчет_аналитики'!BM1571,MeanMinAge09)))</f>
        <v/>
      </c>
      <c r="BN1484">
        <f>IF(OR('19_Расчет_аналитики'!BN1456=0,9&lt;='01_Вводные'!$B$297),0,'19_Расчет_аналитики'!BN1456*IF('01_Вводные'!$B$239="Да",MeanMinAge09+'19_Расчет_аналитики'!BN1571*SUMIF(ThresholdAge09,"&lt;"&amp;'19_Расчет_аналитики'!BN1571,WeightedRevAge09)-SUMIF(ThresholdAge09,"&lt;"&amp;'19_Расчет_аналитики'!BN1571,WeightedMinAge09),MAX(CapacityAge09*'01_Вводные'!$B$218*'19_Расчет_аналитики'!BN1571,MeanMinAge09)))</f>
        <v/>
      </c>
      <c r="BO1484">
        <f>IF(OR('19_Расчет_аналитики'!BO1456=0,9&lt;='01_Вводные'!$B$297),0,'19_Расчет_аналитики'!BO1456*IF('01_Вводные'!$B$239="Да",MeanMinAge09+'19_Расчет_аналитики'!BO1571*SUMIF(ThresholdAge09,"&lt;"&amp;'19_Расчет_аналитики'!BO1571,WeightedRevAge09)-SUMIF(ThresholdAge09,"&lt;"&amp;'19_Расчет_аналитики'!BO1571,WeightedMinAge09),MAX(CapacityAge09*'01_Вводные'!$B$218*'19_Расчет_аналитики'!BO1571,MeanMinAge09)))</f>
        <v/>
      </c>
    </row>
    <row r="1485">
      <c r="B1485">
        <f>IF(OR('06_Сеть_и_дети'!B90=0,10&lt;='01_Вводные'!$B$297),0,'06_Сеть_и_дети'!B90*IF('01_Вводные'!$B$239="Да",MeanMinAge10+'19_Расчет_аналитики'!B1571*SUMIF(ThresholdAge10,"&lt;"&amp;'19_Расчет_аналитики'!B1571,WeightedRevAge10)-SUMIF(ThresholdAge10,"&lt;"&amp;'19_Расчет_аналитики'!B1571,WeightedMinAge10),MAX(CapacityAge10*'01_Вводные'!$B$218*'19_Расчет_аналитики'!B1571,MeanMinAge10)))</f>
        <v/>
      </c>
      <c r="C1485">
        <f>IF(OR('06_Сеть_и_дети'!C90=0,10&lt;='01_Вводные'!$B$297),0,'06_Сеть_и_дети'!C90*IF('01_Вводные'!$B$239="Да",MeanMinAge10+'19_Расчет_аналитики'!C1571*SUMIF(ThresholdAge10,"&lt;"&amp;'19_Расчет_аналитики'!C1571,WeightedRevAge10)-SUMIF(ThresholdAge10,"&lt;"&amp;'19_Расчет_аналитики'!C1571,WeightedMinAge10),MAX(CapacityAge10*'01_Вводные'!$B$218*'19_Расчет_аналитики'!C1571,MeanMinAge10)))</f>
        <v/>
      </c>
      <c r="D1485">
        <f>IF(OR('06_Сеть_и_дети'!D90=0,10&lt;='01_Вводные'!$B$297),0,'06_Сеть_и_дети'!D90*IF('01_Вводные'!$B$239="Да",MeanMinAge10+'19_Расчет_аналитики'!D1571*SUMIF(ThresholdAge10,"&lt;"&amp;'19_Расчет_аналитики'!D1571,WeightedRevAge10)-SUMIF(ThresholdAge10,"&lt;"&amp;'19_Расчет_аналитики'!D1571,WeightedMinAge10),MAX(CapacityAge10*'01_Вводные'!$B$218*'19_Расчет_аналитики'!D1571,MeanMinAge10)))</f>
        <v/>
      </c>
      <c r="E1485">
        <f>IF(OR('06_Сеть_и_дети'!E90=0,10&lt;='01_Вводные'!$B$297),0,'06_Сеть_и_дети'!E90*IF('01_Вводные'!$B$239="Да",MeanMinAge10+'19_Расчет_аналитики'!E1571*SUMIF(ThresholdAge10,"&lt;"&amp;'19_Расчет_аналитики'!E1571,WeightedRevAge10)-SUMIF(ThresholdAge10,"&lt;"&amp;'19_Расчет_аналитики'!E1571,WeightedMinAge10),MAX(CapacityAge10*'01_Вводные'!$B$218*'19_Расчет_аналитики'!E1571,MeanMinAge10)))</f>
        <v/>
      </c>
      <c r="F1485">
        <f>IF(OR('06_Сеть_и_дети'!F90=0,10&lt;='01_Вводные'!$B$297),0,'06_Сеть_и_дети'!F90*IF('01_Вводные'!$B$239="Да",MeanMinAge10+'19_Расчет_аналитики'!F1571*SUMIF(ThresholdAge10,"&lt;"&amp;'19_Расчет_аналитики'!F1571,WeightedRevAge10)-SUMIF(ThresholdAge10,"&lt;"&amp;'19_Расчет_аналитики'!F1571,WeightedMinAge10),MAX(CapacityAge10*'01_Вводные'!$B$218*'19_Расчет_аналитики'!F1571,MeanMinAge10)))</f>
        <v/>
      </c>
      <c r="G1485">
        <f>IF(OR('06_Сеть_и_дети'!G90=0,10&lt;='01_Вводные'!$B$297),0,'06_Сеть_и_дети'!G90*IF('01_Вводные'!$B$239="Да",MeanMinAge10+'19_Расчет_аналитики'!G1571*SUMIF(ThresholdAge10,"&lt;"&amp;'19_Расчет_аналитики'!G1571,WeightedRevAge10)-SUMIF(ThresholdAge10,"&lt;"&amp;'19_Расчет_аналитики'!G1571,WeightedMinAge10),MAX(CapacityAge10*'01_Вводные'!$B$218*'19_Расчет_аналитики'!G1571,MeanMinAge10)))</f>
        <v/>
      </c>
      <c r="H1485">
        <f>IF(OR('06_Сеть_и_дети'!H90=0,10&lt;='01_Вводные'!$B$297),0,'06_Сеть_и_дети'!H90*IF('01_Вводные'!$B$239="Да",MeanMinAge10+'19_Расчет_аналитики'!H1571*SUMIF(ThresholdAge10,"&lt;"&amp;'19_Расчет_аналитики'!H1571,WeightedRevAge10)-SUMIF(ThresholdAge10,"&lt;"&amp;'19_Расчет_аналитики'!H1571,WeightedMinAge10),MAX(CapacityAge10*'01_Вводные'!$B$218*'19_Расчет_аналитики'!H1571,MeanMinAge10)))</f>
        <v/>
      </c>
      <c r="I1485">
        <f>IF(OR('06_Сеть_и_дети'!I90=0,10&lt;='01_Вводные'!$B$297),0,'06_Сеть_и_дети'!I90*IF('01_Вводные'!$B$239="Да",MeanMinAge10+'19_Расчет_аналитики'!I1571*SUMIF(ThresholdAge10,"&lt;"&amp;'19_Расчет_аналитики'!I1571,WeightedRevAge10)-SUMIF(ThresholdAge10,"&lt;"&amp;'19_Расчет_аналитики'!I1571,WeightedMinAge10),MAX(CapacityAge10*'01_Вводные'!$B$218*'19_Расчет_аналитики'!I1571,MeanMinAge10)))</f>
        <v/>
      </c>
      <c r="J1485">
        <f>IF(OR('06_Сеть_и_дети'!J90=0,10&lt;='01_Вводные'!$B$297),0,'06_Сеть_и_дети'!J90*IF('01_Вводные'!$B$239="Да",MeanMinAge10+'19_Расчет_аналитики'!J1571*SUMIF(ThresholdAge10,"&lt;"&amp;'19_Расчет_аналитики'!J1571,WeightedRevAge10)-SUMIF(ThresholdAge10,"&lt;"&amp;'19_Расчет_аналитики'!J1571,WeightedMinAge10),MAX(CapacityAge10*'01_Вводные'!$B$218*'19_Расчет_аналитики'!J1571,MeanMinAge10)))</f>
        <v/>
      </c>
      <c r="K1485">
        <f>IF(OR('19_Расчет_аналитики'!K1457=0,10&lt;='01_Вводные'!$B$297),0,'19_Расчет_аналитики'!K1457*IF('01_Вводные'!$B$239="Да",MeanMinAge10+'19_Расчет_аналитики'!K1571*SUMIF(ThresholdAge10,"&lt;"&amp;'19_Расчет_аналитики'!K1571,WeightedRevAge10)-SUMIF(ThresholdAge10,"&lt;"&amp;'19_Расчет_аналитики'!K1571,WeightedMinAge10),MAX(CapacityAge10*'01_Вводные'!$B$218*'19_Расчет_аналитики'!K1571,MeanMinAge10)))</f>
        <v/>
      </c>
      <c r="L1485">
        <f>IF(OR('19_Расчет_аналитики'!L1457=0,10&lt;='01_Вводные'!$B$297),0,'19_Расчет_аналитики'!L1457*IF('01_Вводные'!$B$239="Да",MeanMinAge10+'19_Расчет_аналитики'!L1571*SUMIF(ThresholdAge10,"&lt;"&amp;'19_Расчет_аналитики'!L1571,WeightedRevAge10)-SUMIF(ThresholdAge10,"&lt;"&amp;'19_Расчет_аналитики'!L1571,WeightedMinAge10),MAX(CapacityAge10*'01_Вводные'!$B$218*'19_Расчет_аналитики'!L1571,MeanMinAge10)))</f>
        <v/>
      </c>
      <c r="M1485">
        <f>IF(OR('19_Расчет_аналитики'!M1457=0,10&lt;='01_Вводные'!$B$297),0,'19_Расчет_аналитики'!M1457*IF('01_Вводные'!$B$239="Да",MeanMinAge10+'19_Расчет_аналитики'!M1571*SUMIF(ThresholdAge10,"&lt;"&amp;'19_Расчет_аналитики'!M1571,WeightedRevAge10)-SUMIF(ThresholdAge10,"&lt;"&amp;'19_Расчет_аналитики'!M1571,WeightedMinAge10),MAX(CapacityAge10*'01_Вводные'!$B$218*'19_Расчет_аналитики'!M1571,MeanMinAge10)))</f>
        <v/>
      </c>
      <c r="N1485">
        <f>IF(OR('19_Расчет_аналитики'!N1457=0,10&lt;='01_Вводные'!$B$297),0,'19_Расчет_аналитики'!N1457*IF('01_Вводные'!$B$239="Да",MeanMinAge10+'19_Расчет_аналитики'!N1571*SUMIF(ThresholdAge10,"&lt;"&amp;'19_Расчет_аналитики'!N1571,WeightedRevAge10)-SUMIF(ThresholdAge10,"&lt;"&amp;'19_Расчет_аналитики'!N1571,WeightedMinAge10),MAX(CapacityAge10*'01_Вводные'!$B$218*'19_Расчет_аналитики'!N1571,MeanMinAge10)))</f>
        <v/>
      </c>
      <c r="O1485">
        <f>IF(OR('19_Расчет_аналитики'!O1457=0,10&lt;='01_Вводные'!$B$297),0,'19_Расчет_аналитики'!O1457*IF('01_Вводные'!$B$239="Да",MeanMinAge10+'19_Расчет_аналитики'!O1571*SUMIF(ThresholdAge10,"&lt;"&amp;'19_Расчет_аналитики'!O1571,WeightedRevAge10)-SUMIF(ThresholdAge10,"&lt;"&amp;'19_Расчет_аналитики'!O1571,WeightedMinAge10),MAX(CapacityAge10*'01_Вводные'!$B$218*'19_Расчет_аналитики'!O1571,MeanMinAge10)))</f>
        <v/>
      </c>
      <c r="P1485">
        <f>IF(OR('19_Расчет_аналитики'!P1457=0,10&lt;='01_Вводные'!$B$297),0,'19_Расчет_аналитики'!P1457*IF('01_Вводные'!$B$239="Да",MeanMinAge10+'19_Расчет_аналитики'!P1571*SUMIF(ThresholdAge10,"&lt;"&amp;'19_Расчет_аналитики'!P1571,WeightedRevAge10)-SUMIF(ThresholdAge10,"&lt;"&amp;'19_Расчет_аналитики'!P1571,WeightedMinAge10),MAX(CapacityAge10*'01_Вводные'!$B$218*'19_Расчет_аналитики'!P1571,MeanMinAge10)))</f>
        <v/>
      </c>
      <c r="Q1485">
        <f>IF(OR('19_Расчет_аналитики'!Q1457=0,10&lt;='01_Вводные'!$B$297),0,'19_Расчет_аналитики'!Q1457*IF('01_Вводные'!$B$239="Да",MeanMinAge10+'19_Расчет_аналитики'!Q1571*SUMIF(ThresholdAge10,"&lt;"&amp;'19_Расчет_аналитики'!Q1571,WeightedRevAge10)-SUMIF(ThresholdAge10,"&lt;"&amp;'19_Расчет_аналитики'!Q1571,WeightedMinAge10),MAX(CapacityAge10*'01_Вводные'!$B$218*'19_Расчет_аналитики'!Q1571,MeanMinAge10)))</f>
        <v/>
      </c>
      <c r="R1485">
        <f>IF(OR('19_Расчет_аналитики'!R1457=0,10&lt;='01_Вводные'!$B$297),0,'19_Расчет_аналитики'!R1457*IF('01_Вводные'!$B$239="Да",MeanMinAge10+'19_Расчет_аналитики'!R1571*SUMIF(ThresholdAge10,"&lt;"&amp;'19_Расчет_аналитики'!R1571,WeightedRevAge10)-SUMIF(ThresholdAge10,"&lt;"&amp;'19_Расчет_аналитики'!R1571,WeightedMinAge10),MAX(CapacityAge10*'01_Вводные'!$B$218*'19_Расчет_аналитики'!R1571,MeanMinAge10)))</f>
        <v/>
      </c>
      <c r="S1485">
        <f>IF(OR('19_Расчет_аналитики'!S1457=0,10&lt;='01_Вводные'!$B$297),0,'19_Расчет_аналитики'!S1457*IF('01_Вводные'!$B$239="Да",MeanMinAge10+'19_Расчет_аналитики'!S1571*SUMIF(ThresholdAge10,"&lt;"&amp;'19_Расчет_аналитики'!S1571,WeightedRevAge10)-SUMIF(ThresholdAge10,"&lt;"&amp;'19_Расчет_аналитики'!S1571,WeightedMinAge10),MAX(CapacityAge10*'01_Вводные'!$B$218*'19_Расчет_аналитики'!S1571,MeanMinAge10)))</f>
        <v/>
      </c>
      <c r="T1485">
        <f>IF(OR('19_Расчет_аналитики'!T1457=0,10&lt;='01_Вводные'!$B$297),0,'19_Расчет_аналитики'!T1457*IF('01_Вводные'!$B$239="Да",MeanMinAge10+'19_Расчет_аналитики'!T1571*SUMIF(ThresholdAge10,"&lt;"&amp;'19_Расчет_аналитики'!T1571,WeightedRevAge10)-SUMIF(ThresholdAge10,"&lt;"&amp;'19_Расчет_аналитики'!T1571,WeightedMinAge10),MAX(CapacityAge10*'01_Вводные'!$B$218*'19_Расчет_аналитики'!T1571,MeanMinAge10)))</f>
        <v/>
      </c>
      <c r="U1485">
        <f>IF(OR('19_Расчет_аналитики'!U1457=0,10&lt;='01_Вводные'!$B$297),0,'19_Расчет_аналитики'!U1457*IF('01_Вводные'!$B$239="Да",MeanMinAge10+'19_Расчет_аналитики'!U1571*SUMIF(ThresholdAge10,"&lt;"&amp;'19_Расчет_аналитики'!U1571,WeightedRevAge10)-SUMIF(ThresholdAge10,"&lt;"&amp;'19_Расчет_аналитики'!U1571,WeightedMinAge10),MAX(CapacityAge10*'01_Вводные'!$B$218*'19_Расчет_аналитики'!U1571,MeanMinAge10)))</f>
        <v/>
      </c>
      <c r="V1485">
        <f>IF(OR('19_Расчет_аналитики'!V1457=0,10&lt;='01_Вводные'!$B$297),0,'19_Расчет_аналитики'!V1457*IF('01_Вводные'!$B$239="Да",MeanMinAge10+'19_Расчет_аналитики'!V1571*SUMIF(ThresholdAge10,"&lt;"&amp;'19_Расчет_аналитики'!V1571,WeightedRevAge10)-SUMIF(ThresholdAge10,"&lt;"&amp;'19_Расчет_аналитики'!V1571,WeightedMinAge10),MAX(CapacityAge10*'01_Вводные'!$B$218*'19_Расчет_аналитики'!V1571,MeanMinAge10)))</f>
        <v/>
      </c>
      <c r="W1485">
        <f>IF(OR('19_Расчет_аналитики'!W1457=0,10&lt;='01_Вводные'!$B$297),0,'19_Расчет_аналитики'!W1457*IF('01_Вводные'!$B$239="Да",MeanMinAge10+'19_Расчет_аналитики'!W1571*SUMIF(ThresholdAge10,"&lt;"&amp;'19_Расчет_аналитики'!W1571,WeightedRevAge10)-SUMIF(ThresholdAge10,"&lt;"&amp;'19_Расчет_аналитики'!W1571,WeightedMinAge10),MAX(CapacityAge10*'01_Вводные'!$B$218*'19_Расчет_аналитики'!W1571,MeanMinAge10)))</f>
        <v/>
      </c>
      <c r="X1485">
        <f>IF(OR('19_Расчет_аналитики'!X1457=0,10&lt;='01_Вводные'!$B$297),0,'19_Расчет_аналитики'!X1457*IF('01_Вводные'!$B$239="Да",MeanMinAge10+'19_Расчет_аналитики'!X1571*SUMIF(ThresholdAge10,"&lt;"&amp;'19_Расчет_аналитики'!X1571,WeightedRevAge10)-SUMIF(ThresholdAge10,"&lt;"&amp;'19_Расчет_аналитики'!X1571,WeightedMinAge10),MAX(CapacityAge10*'01_Вводные'!$B$218*'19_Расчет_аналитики'!X1571,MeanMinAge10)))</f>
        <v/>
      </c>
      <c r="Y1485">
        <f>IF(OR('19_Расчет_аналитики'!Y1457=0,10&lt;='01_Вводные'!$B$297),0,'19_Расчет_аналитики'!Y1457*IF('01_Вводные'!$B$239="Да",MeanMinAge10+'19_Расчет_аналитики'!Y1571*SUMIF(ThresholdAge10,"&lt;"&amp;'19_Расчет_аналитики'!Y1571,WeightedRevAge10)-SUMIF(ThresholdAge10,"&lt;"&amp;'19_Расчет_аналитики'!Y1571,WeightedMinAge10),MAX(CapacityAge10*'01_Вводные'!$B$218*'19_Расчет_аналитики'!Y1571,MeanMinAge10)))</f>
        <v/>
      </c>
      <c r="Z1485">
        <f>IF(OR('19_Расчет_аналитики'!Z1457=0,10&lt;='01_Вводные'!$B$297),0,'19_Расчет_аналитики'!Z1457*IF('01_Вводные'!$B$239="Да",MeanMinAge10+'19_Расчет_аналитики'!Z1571*SUMIF(ThresholdAge10,"&lt;"&amp;'19_Расчет_аналитики'!Z1571,WeightedRevAge10)-SUMIF(ThresholdAge10,"&lt;"&amp;'19_Расчет_аналитики'!Z1571,WeightedMinAge10),MAX(CapacityAge10*'01_Вводные'!$B$218*'19_Расчет_аналитики'!Z1571,MeanMinAge10)))</f>
        <v/>
      </c>
      <c r="AA1485">
        <f>IF(OR('19_Расчет_аналитики'!AA1457=0,10&lt;='01_Вводные'!$B$297),0,'19_Расчет_аналитики'!AA1457*IF('01_Вводные'!$B$239="Да",MeanMinAge10+'19_Расчет_аналитики'!AA1571*SUMIF(ThresholdAge10,"&lt;"&amp;'19_Расчет_аналитики'!AA1571,WeightedRevAge10)-SUMIF(ThresholdAge10,"&lt;"&amp;'19_Расчет_аналитики'!AA1571,WeightedMinAge10),MAX(CapacityAge10*'01_Вводные'!$B$218*'19_Расчет_аналитики'!AA1571,MeanMinAge10)))</f>
        <v/>
      </c>
      <c r="AB1485">
        <f>IF(OR('19_Расчет_аналитики'!AB1457=0,10&lt;='01_Вводные'!$B$297),0,'19_Расчет_аналитики'!AB1457*IF('01_Вводные'!$B$239="Да",MeanMinAge10+'19_Расчет_аналитики'!AB1571*SUMIF(ThresholdAge10,"&lt;"&amp;'19_Расчет_аналитики'!AB1571,WeightedRevAge10)-SUMIF(ThresholdAge10,"&lt;"&amp;'19_Расчет_аналитики'!AB1571,WeightedMinAge10),MAX(CapacityAge10*'01_Вводные'!$B$218*'19_Расчет_аналитики'!AB1571,MeanMinAge10)))</f>
        <v/>
      </c>
      <c r="AC1485">
        <f>IF(OR('19_Расчет_аналитики'!AC1457=0,10&lt;='01_Вводные'!$B$297),0,'19_Расчет_аналитики'!AC1457*IF('01_Вводные'!$B$239="Да",MeanMinAge10+'19_Расчет_аналитики'!AC1571*SUMIF(ThresholdAge10,"&lt;"&amp;'19_Расчет_аналитики'!AC1571,WeightedRevAge10)-SUMIF(ThresholdAge10,"&lt;"&amp;'19_Расчет_аналитики'!AC1571,WeightedMinAge10),MAX(CapacityAge10*'01_Вводные'!$B$218*'19_Расчет_аналитики'!AC1571,MeanMinAge10)))</f>
        <v/>
      </c>
      <c r="AD1485">
        <f>IF(OR('19_Расчет_аналитики'!AD1457=0,10&lt;='01_Вводные'!$B$297),0,'19_Расчет_аналитики'!AD1457*IF('01_Вводные'!$B$239="Да",MeanMinAge10+'19_Расчет_аналитики'!AD1571*SUMIF(ThresholdAge10,"&lt;"&amp;'19_Расчет_аналитики'!AD1571,WeightedRevAge10)-SUMIF(ThresholdAge10,"&lt;"&amp;'19_Расчет_аналитики'!AD1571,WeightedMinAge10),MAX(CapacityAge10*'01_Вводные'!$B$218*'19_Расчет_аналитики'!AD1571,MeanMinAge10)))</f>
        <v/>
      </c>
      <c r="AE1485">
        <f>IF(OR('19_Расчет_аналитики'!AE1457=0,10&lt;='01_Вводные'!$B$297),0,'19_Расчет_аналитики'!AE1457*IF('01_Вводные'!$B$239="Да",MeanMinAge10+'19_Расчет_аналитики'!AE1571*SUMIF(ThresholdAge10,"&lt;"&amp;'19_Расчет_аналитики'!AE1571,WeightedRevAge10)-SUMIF(ThresholdAge10,"&lt;"&amp;'19_Расчет_аналитики'!AE1571,WeightedMinAge10),MAX(CapacityAge10*'01_Вводные'!$B$218*'19_Расчет_аналитики'!AE1571,MeanMinAge10)))</f>
        <v/>
      </c>
      <c r="AF1485">
        <f>IF(OR('19_Расчет_аналитики'!AF1457=0,10&lt;='01_Вводные'!$B$297),0,'19_Расчет_аналитики'!AF1457*IF('01_Вводные'!$B$239="Да",MeanMinAge10+'19_Расчет_аналитики'!AF1571*SUMIF(ThresholdAge10,"&lt;"&amp;'19_Расчет_аналитики'!AF1571,WeightedRevAge10)-SUMIF(ThresholdAge10,"&lt;"&amp;'19_Расчет_аналитики'!AF1571,WeightedMinAge10),MAX(CapacityAge10*'01_Вводные'!$B$218*'19_Расчет_аналитики'!AF1571,MeanMinAge10)))</f>
        <v/>
      </c>
      <c r="AG1485">
        <f>IF(OR('19_Расчет_аналитики'!AG1457=0,10&lt;='01_Вводные'!$B$297),0,'19_Расчет_аналитики'!AG1457*IF('01_Вводные'!$B$239="Да",MeanMinAge10+'19_Расчет_аналитики'!AG1571*SUMIF(ThresholdAge10,"&lt;"&amp;'19_Расчет_аналитики'!AG1571,WeightedRevAge10)-SUMIF(ThresholdAge10,"&lt;"&amp;'19_Расчет_аналитики'!AG1571,WeightedMinAge10),MAX(CapacityAge10*'01_Вводные'!$B$218*'19_Расчет_аналитики'!AG1571,MeanMinAge10)))</f>
        <v/>
      </c>
      <c r="AH1485">
        <f>IF(OR('19_Расчет_аналитики'!AH1457=0,10&lt;='01_Вводные'!$B$297),0,'19_Расчет_аналитики'!AH1457*IF('01_Вводные'!$B$239="Да",MeanMinAge10+'19_Расчет_аналитики'!AH1571*SUMIF(ThresholdAge10,"&lt;"&amp;'19_Расчет_аналитики'!AH1571,WeightedRevAge10)-SUMIF(ThresholdAge10,"&lt;"&amp;'19_Расчет_аналитики'!AH1571,WeightedMinAge10),MAX(CapacityAge10*'01_Вводные'!$B$218*'19_Расчет_аналитики'!AH1571,MeanMinAge10)))</f>
        <v/>
      </c>
      <c r="AI1485">
        <f>IF(OR('19_Расчет_аналитики'!AI1457=0,10&lt;='01_Вводные'!$B$297),0,'19_Расчет_аналитики'!AI1457*IF('01_Вводные'!$B$239="Да",MeanMinAge10+'19_Расчет_аналитики'!AI1571*SUMIF(ThresholdAge10,"&lt;"&amp;'19_Расчет_аналитики'!AI1571,WeightedRevAge10)-SUMIF(ThresholdAge10,"&lt;"&amp;'19_Расчет_аналитики'!AI1571,WeightedMinAge10),MAX(CapacityAge10*'01_Вводные'!$B$218*'19_Расчет_аналитики'!AI1571,MeanMinAge10)))</f>
        <v/>
      </c>
      <c r="AJ1485">
        <f>IF(OR('19_Расчет_аналитики'!AJ1457=0,10&lt;='01_Вводные'!$B$297),0,'19_Расчет_аналитики'!AJ1457*IF('01_Вводные'!$B$239="Да",MeanMinAge10+'19_Расчет_аналитики'!AJ1571*SUMIF(ThresholdAge10,"&lt;"&amp;'19_Расчет_аналитики'!AJ1571,WeightedRevAge10)-SUMIF(ThresholdAge10,"&lt;"&amp;'19_Расчет_аналитики'!AJ1571,WeightedMinAge10),MAX(CapacityAge10*'01_Вводные'!$B$218*'19_Расчет_аналитики'!AJ1571,MeanMinAge10)))</f>
        <v/>
      </c>
      <c r="AK1485">
        <f>IF(OR('19_Расчет_аналитики'!AK1457=0,10&lt;='01_Вводные'!$B$297),0,'19_Расчет_аналитики'!AK1457*IF('01_Вводные'!$B$239="Да",MeanMinAge10+'19_Расчет_аналитики'!AK1571*SUMIF(ThresholdAge10,"&lt;"&amp;'19_Расчет_аналитики'!AK1571,WeightedRevAge10)-SUMIF(ThresholdAge10,"&lt;"&amp;'19_Расчет_аналитики'!AK1571,WeightedMinAge10),MAX(CapacityAge10*'01_Вводные'!$B$218*'19_Расчет_аналитики'!AK1571,MeanMinAge10)))</f>
        <v/>
      </c>
      <c r="AL1485">
        <f>IF(OR('19_Расчет_аналитики'!AL1457=0,10&lt;='01_Вводные'!$B$297),0,'19_Расчет_аналитики'!AL1457*IF('01_Вводные'!$B$239="Да",MeanMinAge10+'19_Расчет_аналитики'!AL1571*SUMIF(ThresholdAge10,"&lt;"&amp;'19_Расчет_аналитики'!AL1571,WeightedRevAge10)-SUMIF(ThresholdAge10,"&lt;"&amp;'19_Расчет_аналитики'!AL1571,WeightedMinAge10),MAX(CapacityAge10*'01_Вводные'!$B$218*'19_Расчет_аналитики'!AL1571,MeanMinAge10)))</f>
        <v/>
      </c>
      <c r="AM1485">
        <f>IF(OR('19_Расчет_аналитики'!AM1457=0,10&lt;='01_Вводные'!$B$297),0,'19_Расчет_аналитики'!AM1457*IF('01_Вводные'!$B$239="Да",MeanMinAge10+'19_Расчет_аналитики'!AM1571*SUMIF(ThresholdAge10,"&lt;"&amp;'19_Расчет_аналитики'!AM1571,WeightedRevAge10)-SUMIF(ThresholdAge10,"&lt;"&amp;'19_Расчет_аналитики'!AM1571,WeightedMinAge10),MAX(CapacityAge10*'01_Вводные'!$B$218*'19_Расчет_аналитики'!AM1571,MeanMinAge10)))</f>
        <v/>
      </c>
      <c r="AN1485">
        <f>IF(OR('19_Расчет_аналитики'!AN1457=0,10&lt;='01_Вводные'!$B$297),0,'19_Расчет_аналитики'!AN1457*IF('01_Вводные'!$B$239="Да",MeanMinAge10+'19_Расчет_аналитики'!AN1571*SUMIF(ThresholdAge10,"&lt;"&amp;'19_Расчет_аналитики'!AN1571,WeightedRevAge10)-SUMIF(ThresholdAge10,"&lt;"&amp;'19_Расчет_аналитики'!AN1571,WeightedMinAge10),MAX(CapacityAge10*'01_Вводные'!$B$218*'19_Расчет_аналитики'!AN1571,MeanMinAge10)))</f>
        <v/>
      </c>
      <c r="AO1485">
        <f>IF(OR('19_Расчет_аналитики'!AO1457=0,10&lt;='01_Вводные'!$B$297),0,'19_Расчет_аналитики'!AO1457*IF('01_Вводные'!$B$239="Да",MeanMinAge10+'19_Расчет_аналитики'!AO1571*SUMIF(ThresholdAge10,"&lt;"&amp;'19_Расчет_аналитики'!AO1571,WeightedRevAge10)-SUMIF(ThresholdAge10,"&lt;"&amp;'19_Расчет_аналитики'!AO1571,WeightedMinAge10),MAX(CapacityAge10*'01_Вводные'!$B$218*'19_Расчет_аналитики'!AO1571,MeanMinAge10)))</f>
        <v/>
      </c>
      <c r="AP1485">
        <f>IF(OR('19_Расчет_аналитики'!AP1457=0,10&lt;='01_Вводные'!$B$297),0,'19_Расчет_аналитики'!AP1457*IF('01_Вводные'!$B$239="Да",MeanMinAge10+'19_Расчет_аналитики'!AP1571*SUMIF(ThresholdAge10,"&lt;"&amp;'19_Расчет_аналитики'!AP1571,WeightedRevAge10)-SUMIF(ThresholdAge10,"&lt;"&amp;'19_Расчет_аналитики'!AP1571,WeightedMinAge10),MAX(CapacityAge10*'01_Вводные'!$B$218*'19_Расчет_аналитики'!AP1571,MeanMinAge10)))</f>
        <v/>
      </c>
      <c r="AQ1485">
        <f>IF(OR('19_Расчет_аналитики'!AQ1457=0,10&lt;='01_Вводные'!$B$297),0,'19_Расчет_аналитики'!AQ1457*IF('01_Вводные'!$B$239="Да",MeanMinAge10+'19_Расчет_аналитики'!AQ1571*SUMIF(ThresholdAge10,"&lt;"&amp;'19_Расчет_аналитики'!AQ1571,WeightedRevAge10)-SUMIF(ThresholdAge10,"&lt;"&amp;'19_Расчет_аналитики'!AQ1571,WeightedMinAge10),MAX(CapacityAge10*'01_Вводные'!$B$218*'19_Расчет_аналитики'!AQ1571,MeanMinAge10)))</f>
        <v/>
      </c>
      <c r="AR1485">
        <f>IF(OR('19_Расчет_аналитики'!AR1457=0,10&lt;='01_Вводные'!$B$297),0,'19_Расчет_аналитики'!AR1457*IF('01_Вводные'!$B$239="Да",MeanMinAge10+'19_Расчет_аналитики'!AR1571*SUMIF(ThresholdAge10,"&lt;"&amp;'19_Расчет_аналитики'!AR1571,WeightedRevAge10)-SUMIF(ThresholdAge10,"&lt;"&amp;'19_Расчет_аналитики'!AR1571,WeightedMinAge10),MAX(CapacityAge10*'01_Вводные'!$B$218*'19_Расчет_аналитики'!AR1571,MeanMinAge10)))</f>
        <v/>
      </c>
      <c r="AS1485">
        <f>IF(OR('19_Расчет_аналитики'!AS1457=0,10&lt;='01_Вводные'!$B$297),0,'19_Расчет_аналитики'!AS1457*IF('01_Вводные'!$B$239="Да",MeanMinAge10+'19_Расчет_аналитики'!AS1571*SUMIF(ThresholdAge10,"&lt;"&amp;'19_Расчет_аналитики'!AS1571,WeightedRevAge10)-SUMIF(ThresholdAge10,"&lt;"&amp;'19_Расчет_аналитики'!AS1571,WeightedMinAge10),MAX(CapacityAge10*'01_Вводные'!$B$218*'19_Расчет_аналитики'!AS1571,MeanMinAge10)))</f>
        <v/>
      </c>
      <c r="AT1485">
        <f>IF(OR('19_Расчет_аналитики'!AT1457=0,10&lt;='01_Вводные'!$B$297),0,'19_Расчет_аналитики'!AT1457*IF('01_Вводные'!$B$239="Да",MeanMinAge10+'19_Расчет_аналитики'!AT1571*SUMIF(ThresholdAge10,"&lt;"&amp;'19_Расчет_аналитики'!AT1571,WeightedRevAge10)-SUMIF(ThresholdAge10,"&lt;"&amp;'19_Расчет_аналитики'!AT1571,WeightedMinAge10),MAX(CapacityAge10*'01_Вводные'!$B$218*'19_Расчет_аналитики'!AT1571,MeanMinAge10)))</f>
        <v/>
      </c>
      <c r="AU1485">
        <f>IF(OR('19_Расчет_аналитики'!AU1457=0,10&lt;='01_Вводные'!$B$297),0,'19_Расчет_аналитики'!AU1457*IF('01_Вводные'!$B$239="Да",MeanMinAge10+'19_Расчет_аналитики'!AU1571*SUMIF(ThresholdAge10,"&lt;"&amp;'19_Расчет_аналитики'!AU1571,WeightedRevAge10)-SUMIF(ThresholdAge10,"&lt;"&amp;'19_Расчет_аналитики'!AU1571,WeightedMinAge10),MAX(CapacityAge10*'01_Вводные'!$B$218*'19_Расчет_аналитики'!AU1571,MeanMinAge10)))</f>
        <v/>
      </c>
      <c r="AV1485">
        <f>IF(OR('19_Расчет_аналитики'!AV1457=0,10&lt;='01_Вводные'!$B$297),0,'19_Расчет_аналитики'!AV1457*IF('01_Вводные'!$B$239="Да",MeanMinAge10+'19_Расчет_аналитики'!AV1571*SUMIF(ThresholdAge10,"&lt;"&amp;'19_Расчет_аналитики'!AV1571,WeightedRevAge10)-SUMIF(ThresholdAge10,"&lt;"&amp;'19_Расчет_аналитики'!AV1571,WeightedMinAge10),MAX(CapacityAge10*'01_Вводные'!$B$218*'19_Расчет_аналитики'!AV1571,MeanMinAge10)))</f>
        <v/>
      </c>
      <c r="AW1485">
        <f>IF(OR('19_Расчет_аналитики'!AW1457=0,10&lt;='01_Вводные'!$B$297),0,'19_Расчет_аналитики'!AW1457*IF('01_Вводные'!$B$239="Да",MeanMinAge10+'19_Расчет_аналитики'!AW1571*SUMIF(ThresholdAge10,"&lt;"&amp;'19_Расчет_аналитики'!AW1571,WeightedRevAge10)-SUMIF(ThresholdAge10,"&lt;"&amp;'19_Расчет_аналитики'!AW1571,WeightedMinAge10),MAX(CapacityAge10*'01_Вводные'!$B$218*'19_Расчет_аналитики'!AW1571,MeanMinAge10)))</f>
        <v/>
      </c>
      <c r="AX1485">
        <f>IF(OR('19_Расчет_аналитики'!AX1457=0,10&lt;='01_Вводные'!$B$297),0,'19_Расчет_аналитики'!AX1457*IF('01_Вводные'!$B$239="Да",MeanMinAge10+'19_Расчет_аналитики'!AX1571*SUMIF(ThresholdAge10,"&lt;"&amp;'19_Расчет_аналитики'!AX1571,WeightedRevAge10)-SUMIF(ThresholdAge10,"&lt;"&amp;'19_Расчет_аналитики'!AX1571,WeightedMinAge10),MAX(CapacityAge10*'01_Вводные'!$B$218*'19_Расчет_аналитики'!AX1571,MeanMinAge10)))</f>
        <v/>
      </c>
      <c r="AY1485">
        <f>IF(OR('19_Расчет_аналитики'!AY1457=0,10&lt;='01_Вводные'!$B$297),0,'19_Расчет_аналитики'!AY1457*IF('01_Вводные'!$B$239="Да",MeanMinAge10+'19_Расчет_аналитики'!AY1571*SUMIF(ThresholdAge10,"&lt;"&amp;'19_Расчет_аналитики'!AY1571,WeightedRevAge10)-SUMIF(ThresholdAge10,"&lt;"&amp;'19_Расчет_аналитики'!AY1571,WeightedMinAge10),MAX(CapacityAge10*'01_Вводные'!$B$218*'19_Расчет_аналитики'!AY1571,MeanMinAge10)))</f>
        <v/>
      </c>
      <c r="AZ1485">
        <f>IF(OR('19_Расчет_аналитики'!AZ1457=0,10&lt;='01_Вводные'!$B$297),0,'19_Расчет_аналитики'!AZ1457*IF('01_Вводные'!$B$239="Да",MeanMinAge10+'19_Расчет_аналитики'!AZ1571*SUMIF(ThresholdAge10,"&lt;"&amp;'19_Расчет_аналитики'!AZ1571,WeightedRevAge10)-SUMIF(ThresholdAge10,"&lt;"&amp;'19_Расчет_аналитики'!AZ1571,WeightedMinAge10),MAX(CapacityAge10*'01_Вводные'!$B$218*'19_Расчет_аналитики'!AZ1571,MeanMinAge10)))</f>
        <v/>
      </c>
      <c r="BA1485">
        <f>IF(OR('19_Расчет_аналитики'!BA1457=0,10&lt;='01_Вводные'!$B$297),0,'19_Расчет_аналитики'!BA1457*IF('01_Вводные'!$B$239="Да",MeanMinAge10+'19_Расчет_аналитики'!BA1571*SUMIF(ThresholdAge10,"&lt;"&amp;'19_Расчет_аналитики'!BA1571,WeightedRevAge10)-SUMIF(ThresholdAge10,"&lt;"&amp;'19_Расчет_аналитики'!BA1571,WeightedMinAge10),MAX(CapacityAge10*'01_Вводные'!$B$218*'19_Расчет_аналитики'!BA1571,MeanMinAge10)))</f>
        <v/>
      </c>
      <c r="BB1485">
        <f>IF(OR('19_Расчет_аналитики'!BB1457=0,10&lt;='01_Вводные'!$B$297),0,'19_Расчет_аналитики'!BB1457*IF('01_Вводные'!$B$239="Да",MeanMinAge10+'19_Расчет_аналитики'!BB1571*SUMIF(ThresholdAge10,"&lt;"&amp;'19_Расчет_аналитики'!BB1571,WeightedRevAge10)-SUMIF(ThresholdAge10,"&lt;"&amp;'19_Расчет_аналитики'!BB1571,WeightedMinAge10),MAX(CapacityAge10*'01_Вводные'!$B$218*'19_Расчет_аналитики'!BB1571,MeanMinAge10)))</f>
        <v/>
      </c>
      <c r="BC1485">
        <f>IF(OR('19_Расчет_аналитики'!BC1457=0,10&lt;='01_Вводные'!$B$297),0,'19_Расчет_аналитики'!BC1457*IF('01_Вводные'!$B$239="Да",MeanMinAge10+'19_Расчет_аналитики'!BC1571*SUMIF(ThresholdAge10,"&lt;"&amp;'19_Расчет_аналитики'!BC1571,WeightedRevAge10)-SUMIF(ThresholdAge10,"&lt;"&amp;'19_Расчет_аналитики'!BC1571,WeightedMinAge10),MAX(CapacityAge10*'01_Вводные'!$B$218*'19_Расчет_аналитики'!BC1571,MeanMinAge10)))</f>
        <v/>
      </c>
      <c r="BD1485">
        <f>IF(OR('19_Расчет_аналитики'!BD1457=0,10&lt;='01_Вводные'!$B$297),0,'19_Расчет_аналитики'!BD1457*IF('01_Вводные'!$B$239="Да",MeanMinAge10+'19_Расчет_аналитики'!BD1571*SUMIF(ThresholdAge10,"&lt;"&amp;'19_Расчет_аналитики'!BD1571,WeightedRevAge10)-SUMIF(ThresholdAge10,"&lt;"&amp;'19_Расчет_аналитики'!BD1571,WeightedMinAge10),MAX(CapacityAge10*'01_Вводные'!$B$218*'19_Расчет_аналитики'!BD1571,MeanMinAge10)))</f>
        <v/>
      </c>
      <c r="BE1485">
        <f>IF(OR('19_Расчет_аналитики'!BE1457=0,10&lt;='01_Вводные'!$B$297),0,'19_Расчет_аналитики'!BE1457*IF('01_Вводные'!$B$239="Да",MeanMinAge10+'19_Расчет_аналитики'!BE1571*SUMIF(ThresholdAge10,"&lt;"&amp;'19_Расчет_аналитики'!BE1571,WeightedRevAge10)-SUMIF(ThresholdAge10,"&lt;"&amp;'19_Расчет_аналитики'!BE1571,WeightedMinAge10),MAX(CapacityAge10*'01_Вводные'!$B$218*'19_Расчет_аналитики'!BE1571,MeanMinAge10)))</f>
        <v/>
      </c>
      <c r="BF1485">
        <f>IF(OR('19_Расчет_аналитики'!BF1457=0,10&lt;='01_Вводные'!$B$297),0,'19_Расчет_аналитики'!BF1457*IF('01_Вводные'!$B$239="Да",MeanMinAge10+'19_Расчет_аналитики'!BF1571*SUMIF(ThresholdAge10,"&lt;"&amp;'19_Расчет_аналитики'!BF1571,WeightedRevAge10)-SUMIF(ThresholdAge10,"&lt;"&amp;'19_Расчет_аналитики'!BF1571,WeightedMinAge10),MAX(CapacityAge10*'01_Вводные'!$B$218*'19_Расчет_аналитики'!BF1571,MeanMinAge10)))</f>
        <v/>
      </c>
      <c r="BG1485">
        <f>IF(OR('19_Расчет_аналитики'!BG1457=0,10&lt;='01_Вводные'!$B$297),0,'19_Расчет_аналитики'!BG1457*IF('01_Вводные'!$B$239="Да",MeanMinAge10+'19_Расчет_аналитики'!BG1571*SUMIF(ThresholdAge10,"&lt;"&amp;'19_Расчет_аналитики'!BG1571,WeightedRevAge10)-SUMIF(ThresholdAge10,"&lt;"&amp;'19_Расчет_аналитики'!BG1571,WeightedMinAge10),MAX(CapacityAge10*'01_Вводные'!$B$218*'19_Расчет_аналитики'!BG1571,MeanMinAge10)))</f>
        <v/>
      </c>
      <c r="BH1485">
        <f>IF(OR('19_Расчет_аналитики'!BH1457=0,10&lt;='01_Вводные'!$B$297),0,'19_Расчет_аналитики'!BH1457*IF('01_Вводные'!$B$239="Да",MeanMinAge10+'19_Расчет_аналитики'!BH1571*SUMIF(ThresholdAge10,"&lt;"&amp;'19_Расчет_аналитики'!BH1571,WeightedRevAge10)-SUMIF(ThresholdAge10,"&lt;"&amp;'19_Расчет_аналитики'!BH1571,WeightedMinAge10),MAX(CapacityAge10*'01_Вводные'!$B$218*'19_Расчет_аналитики'!BH1571,MeanMinAge10)))</f>
        <v/>
      </c>
      <c r="BI1485">
        <f>IF(OR('19_Расчет_аналитики'!BI1457=0,10&lt;='01_Вводные'!$B$297),0,'19_Расчет_аналитики'!BI1457*IF('01_Вводные'!$B$239="Да",MeanMinAge10+'19_Расчет_аналитики'!BI1571*SUMIF(ThresholdAge10,"&lt;"&amp;'19_Расчет_аналитики'!BI1571,WeightedRevAge10)-SUMIF(ThresholdAge10,"&lt;"&amp;'19_Расчет_аналитики'!BI1571,WeightedMinAge10),MAX(CapacityAge10*'01_Вводные'!$B$218*'19_Расчет_аналитики'!BI1571,MeanMinAge10)))</f>
        <v/>
      </c>
      <c r="BJ1485">
        <f>IF(OR('19_Расчет_аналитики'!BJ1457=0,10&lt;='01_Вводные'!$B$297),0,'19_Расчет_аналитики'!BJ1457*IF('01_Вводные'!$B$239="Да",MeanMinAge10+'19_Расчет_аналитики'!BJ1571*SUMIF(ThresholdAge10,"&lt;"&amp;'19_Расчет_аналитики'!BJ1571,WeightedRevAge10)-SUMIF(ThresholdAge10,"&lt;"&amp;'19_Расчет_аналитики'!BJ1571,WeightedMinAge10),MAX(CapacityAge10*'01_Вводные'!$B$218*'19_Расчет_аналитики'!BJ1571,MeanMinAge10)))</f>
        <v/>
      </c>
      <c r="BK1485">
        <f>IF(OR('19_Расчет_аналитики'!BK1457=0,10&lt;='01_Вводные'!$B$297),0,'19_Расчет_аналитики'!BK1457*IF('01_Вводные'!$B$239="Да",MeanMinAge10+'19_Расчет_аналитики'!BK1571*SUMIF(ThresholdAge10,"&lt;"&amp;'19_Расчет_аналитики'!BK1571,WeightedRevAge10)-SUMIF(ThresholdAge10,"&lt;"&amp;'19_Расчет_аналитики'!BK1571,WeightedMinAge10),MAX(CapacityAge10*'01_Вводные'!$B$218*'19_Расчет_аналитики'!BK1571,MeanMinAge10)))</f>
        <v/>
      </c>
      <c r="BL1485">
        <f>IF(OR('19_Расчет_аналитики'!BL1457=0,10&lt;='01_Вводные'!$B$297),0,'19_Расчет_аналитики'!BL1457*IF('01_Вводные'!$B$239="Да",MeanMinAge10+'19_Расчет_аналитики'!BL1571*SUMIF(ThresholdAge10,"&lt;"&amp;'19_Расчет_аналитики'!BL1571,WeightedRevAge10)-SUMIF(ThresholdAge10,"&lt;"&amp;'19_Расчет_аналитики'!BL1571,WeightedMinAge10),MAX(CapacityAge10*'01_Вводные'!$B$218*'19_Расчет_аналитики'!BL1571,MeanMinAge10)))</f>
        <v/>
      </c>
      <c r="BM1485">
        <f>IF(OR('19_Расчет_аналитики'!BM1457=0,10&lt;='01_Вводные'!$B$297),0,'19_Расчет_аналитики'!BM1457*IF('01_Вводные'!$B$239="Да",MeanMinAge10+'19_Расчет_аналитики'!BM1571*SUMIF(ThresholdAge10,"&lt;"&amp;'19_Расчет_аналитики'!BM1571,WeightedRevAge10)-SUMIF(ThresholdAge10,"&lt;"&amp;'19_Расчет_аналитики'!BM1571,WeightedMinAge10),MAX(CapacityAge10*'01_Вводные'!$B$218*'19_Расчет_аналитики'!BM1571,MeanMinAge10)))</f>
        <v/>
      </c>
      <c r="BN1485">
        <f>IF(OR('19_Расчет_аналитики'!BN1457=0,10&lt;='01_Вводные'!$B$297),0,'19_Расчет_аналитики'!BN1457*IF('01_Вводные'!$B$239="Да",MeanMinAge10+'19_Расчет_аналитики'!BN1571*SUMIF(ThresholdAge10,"&lt;"&amp;'19_Расчет_аналитики'!BN1571,WeightedRevAge10)-SUMIF(ThresholdAge10,"&lt;"&amp;'19_Расчет_аналитики'!BN1571,WeightedMinAge10),MAX(CapacityAge10*'01_Вводные'!$B$218*'19_Расчет_аналитики'!BN1571,MeanMinAge10)))</f>
        <v/>
      </c>
      <c r="BO1485">
        <f>IF(OR('19_Расчет_аналитики'!BO1457=0,10&lt;='01_Вводные'!$B$297),0,'19_Расчет_аналитики'!BO1457*IF('01_Вводные'!$B$239="Да",MeanMinAge10+'19_Расчет_аналитики'!BO1571*SUMIF(ThresholdAge10,"&lt;"&amp;'19_Расчет_аналитики'!BO1571,WeightedRevAge10)-SUMIF(ThresholdAge10,"&lt;"&amp;'19_Расчет_аналитики'!BO1571,WeightedMinAge10),MAX(CapacityAge10*'01_Вводные'!$B$218*'19_Расчет_аналитики'!BO1571,MeanMinAge10)))</f>
        <v/>
      </c>
    </row>
    <row r="1486">
      <c r="B1486">
        <f>IF(OR('06_Сеть_и_дети'!B91=0,11&lt;='01_Вводные'!$B$297),0,'06_Сеть_и_дети'!B91*IF('01_Вводные'!$B$239="Да",MeanMinAge11+'19_Расчет_аналитики'!B1571*SUMIF(ThresholdAge11,"&lt;"&amp;'19_Расчет_аналитики'!B1571,WeightedRevAge11)-SUMIF(ThresholdAge11,"&lt;"&amp;'19_Расчет_аналитики'!B1571,WeightedMinAge11),MAX(CapacityAge11*'01_Вводные'!$B$218*'19_Расчет_аналитики'!B1571,MeanMinAge11)))</f>
        <v/>
      </c>
      <c r="C1486">
        <f>IF(OR('06_Сеть_и_дети'!C91=0,11&lt;='01_Вводные'!$B$297),0,'06_Сеть_и_дети'!C91*IF('01_Вводные'!$B$239="Да",MeanMinAge11+'19_Расчет_аналитики'!C1571*SUMIF(ThresholdAge11,"&lt;"&amp;'19_Расчет_аналитики'!C1571,WeightedRevAge11)-SUMIF(ThresholdAge11,"&lt;"&amp;'19_Расчет_аналитики'!C1571,WeightedMinAge11),MAX(CapacityAge11*'01_Вводные'!$B$218*'19_Расчет_аналитики'!C1571,MeanMinAge11)))</f>
        <v/>
      </c>
      <c r="D1486">
        <f>IF(OR('06_Сеть_и_дети'!D91=0,11&lt;='01_Вводные'!$B$297),0,'06_Сеть_и_дети'!D91*IF('01_Вводные'!$B$239="Да",MeanMinAge11+'19_Расчет_аналитики'!D1571*SUMIF(ThresholdAge11,"&lt;"&amp;'19_Расчет_аналитики'!D1571,WeightedRevAge11)-SUMIF(ThresholdAge11,"&lt;"&amp;'19_Расчет_аналитики'!D1571,WeightedMinAge11),MAX(CapacityAge11*'01_Вводные'!$B$218*'19_Расчет_аналитики'!D1571,MeanMinAge11)))</f>
        <v/>
      </c>
      <c r="E1486">
        <f>IF(OR('06_Сеть_и_дети'!E91=0,11&lt;='01_Вводные'!$B$297),0,'06_Сеть_и_дети'!E91*IF('01_Вводные'!$B$239="Да",MeanMinAge11+'19_Расчет_аналитики'!E1571*SUMIF(ThresholdAge11,"&lt;"&amp;'19_Расчет_аналитики'!E1571,WeightedRevAge11)-SUMIF(ThresholdAge11,"&lt;"&amp;'19_Расчет_аналитики'!E1571,WeightedMinAge11),MAX(CapacityAge11*'01_Вводные'!$B$218*'19_Расчет_аналитики'!E1571,MeanMinAge11)))</f>
        <v/>
      </c>
      <c r="F1486">
        <f>IF(OR('06_Сеть_и_дети'!F91=0,11&lt;='01_Вводные'!$B$297),0,'06_Сеть_и_дети'!F91*IF('01_Вводные'!$B$239="Да",MeanMinAge11+'19_Расчет_аналитики'!F1571*SUMIF(ThresholdAge11,"&lt;"&amp;'19_Расчет_аналитики'!F1571,WeightedRevAge11)-SUMIF(ThresholdAge11,"&lt;"&amp;'19_Расчет_аналитики'!F1571,WeightedMinAge11),MAX(CapacityAge11*'01_Вводные'!$B$218*'19_Расчет_аналитики'!F1571,MeanMinAge11)))</f>
        <v/>
      </c>
      <c r="G1486">
        <f>IF(OR('06_Сеть_и_дети'!G91=0,11&lt;='01_Вводные'!$B$297),0,'06_Сеть_и_дети'!G91*IF('01_Вводные'!$B$239="Да",MeanMinAge11+'19_Расчет_аналитики'!G1571*SUMIF(ThresholdAge11,"&lt;"&amp;'19_Расчет_аналитики'!G1571,WeightedRevAge11)-SUMIF(ThresholdAge11,"&lt;"&amp;'19_Расчет_аналитики'!G1571,WeightedMinAge11),MAX(CapacityAge11*'01_Вводные'!$B$218*'19_Расчет_аналитики'!G1571,MeanMinAge11)))</f>
        <v/>
      </c>
      <c r="H1486">
        <f>IF(OR('06_Сеть_и_дети'!H91=0,11&lt;='01_Вводные'!$B$297),0,'06_Сеть_и_дети'!H91*IF('01_Вводные'!$B$239="Да",MeanMinAge11+'19_Расчет_аналитики'!H1571*SUMIF(ThresholdAge11,"&lt;"&amp;'19_Расчет_аналитики'!H1571,WeightedRevAge11)-SUMIF(ThresholdAge11,"&lt;"&amp;'19_Расчет_аналитики'!H1571,WeightedMinAge11),MAX(CapacityAge11*'01_Вводные'!$B$218*'19_Расчет_аналитики'!H1571,MeanMinAge11)))</f>
        <v/>
      </c>
      <c r="I1486">
        <f>IF(OR('06_Сеть_и_дети'!I91=0,11&lt;='01_Вводные'!$B$297),0,'06_Сеть_и_дети'!I91*IF('01_Вводные'!$B$239="Да",MeanMinAge11+'19_Расчет_аналитики'!I1571*SUMIF(ThresholdAge11,"&lt;"&amp;'19_Расчет_аналитики'!I1571,WeightedRevAge11)-SUMIF(ThresholdAge11,"&lt;"&amp;'19_Расчет_аналитики'!I1571,WeightedMinAge11),MAX(CapacityAge11*'01_Вводные'!$B$218*'19_Расчет_аналитики'!I1571,MeanMinAge11)))</f>
        <v/>
      </c>
      <c r="J1486">
        <f>IF(OR('06_Сеть_и_дети'!J91=0,11&lt;='01_Вводные'!$B$297),0,'06_Сеть_и_дети'!J91*IF('01_Вводные'!$B$239="Да",MeanMinAge11+'19_Расчет_аналитики'!J1571*SUMIF(ThresholdAge11,"&lt;"&amp;'19_Расчет_аналитики'!J1571,WeightedRevAge11)-SUMIF(ThresholdAge11,"&lt;"&amp;'19_Расчет_аналитики'!J1571,WeightedMinAge11),MAX(CapacityAge11*'01_Вводные'!$B$218*'19_Расчет_аналитики'!J1571,MeanMinAge11)))</f>
        <v/>
      </c>
      <c r="K1486">
        <f>IF(OR('06_Сеть_и_дети'!K91=0,11&lt;='01_Вводные'!$B$297),0,'06_Сеть_и_дети'!K91*IF('01_Вводные'!$B$239="Да",MeanMinAge11+'19_Расчет_аналитики'!K1571*SUMIF(ThresholdAge11,"&lt;"&amp;'19_Расчет_аналитики'!K1571,WeightedRevAge11)-SUMIF(ThresholdAge11,"&lt;"&amp;'19_Расчет_аналитики'!K1571,WeightedMinAge11),MAX(CapacityAge11*'01_Вводные'!$B$218*'19_Расчет_аналитики'!K1571,MeanMinAge11)))</f>
        <v/>
      </c>
      <c r="L1486">
        <f>IF(OR('19_Расчет_аналитики'!L1458=0,11&lt;='01_Вводные'!$B$297),0,'19_Расчет_аналитики'!L1458*IF('01_Вводные'!$B$239="Да",MeanMinAge11+'19_Расчет_аналитики'!L1571*SUMIF(ThresholdAge11,"&lt;"&amp;'19_Расчет_аналитики'!L1571,WeightedRevAge11)-SUMIF(ThresholdAge11,"&lt;"&amp;'19_Расчет_аналитики'!L1571,WeightedMinAge11),MAX(CapacityAge11*'01_Вводные'!$B$218*'19_Расчет_аналитики'!L1571,MeanMinAge11)))</f>
        <v/>
      </c>
      <c r="M1486">
        <f>IF(OR('19_Расчет_аналитики'!M1458=0,11&lt;='01_Вводные'!$B$297),0,'19_Расчет_аналитики'!M1458*IF('01_Вводные'!$B$239="Да",MeanMinAge11+'19_Расчет_аналитики'!M1571*SUMIF(ThresholdAge11,"&lt;"&amp;'19_Расчет_аналитики'!M1571,WeightedRevAge11)-SUMIF(ThresholdAge11,"&lt;"&amp;'19_Расчет_аналитики'!M1571,WeightedMinAge11),MAX(CapacityAge11*'01_Вводные'!$B$218*'19_Расчет_аналитики'!M1571,MeanMinAge11)))</f>
        <v/>
      </c>
      <c r="N1486">
        <f>IF(OR('19_Расчет_аналитики'!N1458=0,11&lt;='01_Вводные'!$B$297),0,'19_Расчет_аналитики'!N1458*IF('01_Вводные'!$B$239="Да",MeanMinAge11+'19_Расчет_аналитики'!N1571*SUMIF(ThresholdAge11,"&lt;"&amp;'19_Расчет_аналитики'!N1571,WeightedRevAge11)-SUMIF(ThresholdAge11,"&lt;"&amp;'19_Расчет_аналитики'!N1571,WeightedMinAge11),MAX(CapacityAge11*'01_Вводные'!$B$218*'19_Расчет_аналитики'!N1571,MeanMinAge11)))</f>
        <v/>
      </c>
      <c r="O1486">
        <f>IF(OR('19_Расчет_аналитики'!O1458=0,11&lt;='01_Вводные'!$B$297),0,'19_Расчет_аналитики'!O1458*IF('01_Вводные'!$B$239="Да",MeanMinAge11+'19_Расчет_аналитики'!O1571*SUMIF(ThresholdAge11,"&lt;"&amp;'19_Расчет_аналитики'!O1571,WeightedRevAge11)-SUMIF(ThresholdAge11,"&lt;"&amp;'19_Расчет_аналитики'!O1571,WeightedMinAge11),MAX(CapacityAge11*'01_Вводные'!$B$218*'19_Расчет_аналитики'!O1571,MeanMinAge11)))</f>
        <v/>
      </c>
      <c r="P1486">
        <f>IF(OR('19_Расчет_аналитики'!P1458=0,11&lt;='01_Вводные'!$B$297),0,'19_Расчет_аналитики'!P1458*IF('01_Вводные'!$B$239="Да",MeanMinAge11+'19_Расчет_аналитики'!P1571*SUMIF(ThresholdAge11,"&lt;"&amp;'19_Расчет_аналитики'!P1571,WeightedRevAge11)-SUMIF(ThresholdAge11,"&lt;"&amp;'19_Расчет_аналитики'!P1571,WeightedMinAge11),MAX(CapacityAge11*'01_Вводные'!$B$218*'19_Расчет_аналитики'!P1571,MeanMinAge11)))</f>
        <v/>
      </c>
      <c r="Q1486">
        <f>IF(OR('19_Расчет_аналитики'!Q1458=0,11&lt;='01_Вводные'!$B$297),0,'19_Расчет_аналитики'!Q1458*IF('01_Вводные'!$B$239="Да",MeanMinAge11+'19_Расчет_аналитики'!Q1571*SUMIF(ThresholdAge11,"&lt;"&amp;'19_Расчет_аналитики'!Q1571,WeightedRevAge11)-SUMIF(ThresholdAge11,"&lt;"&amp;'19_Расчет_аналитики'!Q1571,WeightedMinAge11),MAX(CapacityAge11*'01_Вводные'!$B$218*'19_Расчет_аналитики'!Q1571,MeanMinAge11)))</f>
        <v/>
      </c>
      <c r="R1486">
        <f>IF(OR('19_Расчет_аналитики'!R1458=0,11&lt;='01_Вводные'!$B$297),0,'19_Расчет_аналитики'!R1458*IF('01_Вводные'!$B$239="Да",MeanMinAge11+'19_Расчет_аналитики'!R1571*SUMIF(ThresholdAge11,"&lt;"&amp;'19_Расчет_аналитики'!R1571,WeightedRevAge11)-SUMIF(ThresholdAge11,"&lt;"&amp;'19_Расчет_аналитики'!R1571,WeightedMinAge11),MAX(CapacityAge11*'01_Вводные'!$B$218*'19_Расчет_аналитики'!R1571,MeanMinAge11)))</f>
        <v/>
      </c>
      <c r="S1486">
        <f>IF(OR('19_Расчет_аналитики'!S1458=0,11&lt;='01_Вводные'!$B$297),0,'19_Расчет_аналитики'!S1458*IF('01_Вводные'!$B$239="Да",MeanMinAge11+'19_Расчет_аналитики'!S1571*SUMIF(ThresholdAge11,"&lt;"&amp;'19_Расчет_аналитики'!S1571,WeightedRevAge11)-SUMIF(ThresholdAge11,"&lt;"&amp;'19_Расчет_аналитики'!S1571,WeightedMinAge11),MAX(CapacityAge11*'01_Вводные'!$B$218*'19_Расчет_аналитики'!S1571,MeanMinAge11)))</f>
        <v/>
      </c>
      <c r="T1486">
        <f>IF(OR('19_Расчет_аналитики'!T1458=0,11&lt;='01_Вводные'!$B$297),0,'19_Расчет_аналитики'!T1458*IF('01_Вводные'!$B$239="Да",MeanMinAge11+'19_Расчет_аналитики'!T1571*SUMIF(ThresholdAge11,"&lt;"&amp;'19_Расчет_аналитики'!T1571,WeightedRevAge11)-SUMIF(ThresholdAge11,"&lt;"&amp;'19_Расчет_аналитики'!T1571,WeightedMinAge11),MAX(CapacityAge11*'01_Вводные'!$B$218*'19_Расчет_аналитики'!T1571,MeanMinAge11)))</f>
        <v/>
      </c>
      <c r="U1486">
        <f>IF(OR('19_Расчет_аналитики'!U1458=0,11&lt;='01_Вводные'!$B$297),0,'19_Расчет_аналитики'!U1458*IF('01_Вводные'!$B$239="Да",MeanMinAge11+'19_Расчет_аналитики'!U1571*SUMIF(ThresholdAge11,"&lt;"&amp;'19_Расчет_аналитики'!U1571,WeightedRevAge11)-SUMIF(ThresholdAge11,"&lt;"&amp;'19_Расчет_аналитики'!U1571,WeightedMinAge11),MAX(CapacityAge11*'01_Вводные'!$B$218*'19_Расчет_аналитики'!U1571,MeanMinAge11)))</f>
        <v/>
      </c>
      <c r="V1486">
        <f>IF(OR('19_Расчет_аналитики'!V1458=0,11&lt;='01_Вводные'!$B$297),0,'19_Расчет_аналитики'!V1458*IF('01_Вводные'!$B$239="Да",MeanMinAge11+'19_Расчет_аналитики'!V1571*SUMIF(ThresholdAge11,"&lt;"&amp;'19_Расчет_аналитики'!V1571,WeightedRevAge11)-SUMIF(ThresholdAge11,"&lt;"&amp;'19_Расчет_аналитики'!V1571,WeightedMinAge11),MAX(CapacityAge11*'01_Вводные'!$B$218*'19_Расчет_аналитики'!V1571,MeanMinAge11)))</f>
        <v/>
      </c>
      <c r="W1486">
        <f>IF(OR('19_Расчет_аналитики'!W1458=0,11&lt;='01_Вводные'!$B$297),0,'19_Расчет_аналитики'!W1458*IF('01_Вводные'!$B$239="Да",MeanMinAge11+'19_Расчет_аналитики'!W1571*SUMIF(ThresholdAge11,"&lt;"&amp;'19_Расчет_аналитики'!W1571,WeightedRevAge11)-SUMIF(ThresholdAge11,"&lt;"&amp;'19_Расчет_аналитики'!W1571,WeightedMinAge11),MAX(CapacityAge11*'01_Вводные'!$B$218*'19_Расчет_аналитики'!W1571,MeanMinAge11)))</f>
        <v/>
      </c>
      <c r="X1486">
        <f>IF(OR('19_Расчет_аналитики'!X1458=0,11&lt;='01_Вводные'!$B$297),0,'19_Расчет_аналитики'!X1458*IF('01_Вводные'!$B$239="Да",MeanMinAge11+'19_Расчет_аналитики'!X1571*SUMIF(ThresholdAge11,"&lt;"&amp;'19_Расчет_аналитики'!X1571,WeightedRevAge11)-SUMIF(ThresholdAge11,"&lt;"&amp;'19_Расчет_аналитики'!X1571,WeightedMinAge11),MAX(CapacityAge11*'01_Вводные'!$B$218*'19_Расчет_аналитики'!X1571,MeanMinAge11)))</f>
        <v/>
      </c>
      <c r="Y1486">
        <f>IF(OR('19_Расчет_аналитики'!Y1458=0,11&lt;='01_Вводные'!$B$297),0,'19_Расчет_аналитики'!Y1458*IF('01_Вводные'!$B$239="Да",MeanMinAge11+'19_Расчет_аналитики'!Y1571*SUMIF(ThresholdAge11,"&lt;"&amp;'19_Расчет_аналитики'!Y1571,WeightedRevAge11)-SUMIF(ThresholdAge11,"&lt;"&amp;'19_Расчет_аналитики'!Y1571,WeightedMinAge11),MAX(CapacityAge11*'01_Вводные'!$B$218*'19_Расчет_аналитики'!Y1571,MeanMinAge11)))</f>
        <v/>
      </c>
      <c r="Z1486">
        <f>IF(OR('19_Расчет_аналитики'!Z1458=0,11&lt;='01_Вводные'!$B$297),0,'19_Расчет_аналитики'!Z1458*IF('01_Вводные'!$B$239="Да",MeanMinAge11+'19_Расчет_аналитики'!Z1571*SUMIF(ThresholdAge11,"&lt;"&amp;'19_Расчет_аналитики'!Z1571,WeightedRevAge11)-SUMIF(ThresholdAge11,"&lt;"&amp;'19_Расчет_аналитики'!Z1571,WeightedMinAge11),MAX(CapacityAge11*'01_Вводные'!$B$218*'19_Расчет_аналитики'!Z1571,MeanMinAge11)))</f>
        <v/>
      </c>
      <c r="AA1486">
        <f>IF(OR('19_Расчет_аналитики'!AA1458=0,11&lt;='01_Вводные'!$B$297),0,'19_Расчет_аналитики'!AA1458*IF('01_Вводные'!$B$239="Да",MeanMinAge11+'19_Расчет_аналитики'!AA1571*SUMIF(ThresholdAge11,"&lt;"&amp;'19_Расчет_аналитики'!AA1571,WeightedRevAge11)-SUMIF(ThresholdAge11,"&lt;"&amp;'19_Расчет_аналитики'!AA1571,WeightedMinAge11),MAX(CapacityAge11*'01_Вводные'!$B$218*'19_Расчет_аналитики'!AA1571,MeanMinAge11)))</f>
        <v/>
      </c>
      <c r="AB1486">
        <f>IF(OR('19_Расчет_аналитики'!AB1458=0,11&lt;='01_Вводные'!$B$297),0,'19_Расчет_аналитики'!AB1458*IF('01_Вводные'!$B$239="Да",MeanMinAge11+'19_Расчет_аналитики'!AB1571*SUMIF(ThresholdAge11,"&lt;"&amp;'19_Расчет_аналитики'!AB1571,WeightedRevAge11)-SUMIF(ThresholdAge11,"&lt;"&amp;'19_Расчет_аналитики'!AB1571,WeightedMinAge11),MAX(CapacityAge11*'01_Вводные'!$B$218*'19_Расчет_аналитики'!AB1571,MeanMinAge11)))</f>
        <v/>
      </c>
      <c r="AC1486">
        <f>IF(OR('19_Расчет_аналитики'!AC1458=0,11&lt;='01_Вводные'!$B$297),0,'19_Расчет_аналитики'!AC1458*IF('01_Вводные'!$B$239="Да",MeanMinAge11+'19_Расчет_аналитики'!AC1571*SUMIF(ThresholdAge11,"&lt;"&amp;'19_Расчет_аналитики'!AC1571,WeightedRevAge11)-SUMIF(ThresholdAge11,"&lt;"&amp;'19_Расчет_аналитики'!AC1571,WeightedMinAge11),MAX(CapacityAge11*'01_Вводные'!$B$218*'19_Расчет_аналитики'!AC1571,MeanMinAge11)))</f>
        <v/>
      </c>
      <c r="AD1486">
        <f>IF(OR('19_Расчет_аналитики'!AD1458=0,11&lt;='01_Вводные'!$B$297),0,'19_Расчет_аналитики'!AD1458*IF('01_Вводные'!$B$239="Да",MeanMinAge11+'19_Расчет_аналитики'!AD1571*SUMIF(ThresholdAge11,"&lt;"&amp;'19_Расчет_аналитики'!AD1571,WeightedRevAge11)-SUMIF(ThresholdAge11,"&lt;"&amp;'19_Расчет_аналитики'!AD1571,WeightedMinAge11),MAX(CapacityAge11*'01_Вводные'!$B$218*'19_Расчет_аналитики'!AD1571,MeanMinAge11)))</f>
        <v/>
      </c>
      <c r="AE1486">
        <f>IF(OR('19_Расчет_аналитики'!AE1458=0,11&lt;='01_Вводные'!$B$297),0,'19_Расчет_аналитики'!AE1458*IF('01_Вводные'!$B$239="Да",MeanMinAge11+'19_Расчет_аналитики'!AE1571*SUMIF(ThresholdAge11,"&lt;"&amp;'19_Расчет_аналитики'!AE1571,WeightedRevAge11)-SUMIF(ThresholdAge11,"&lt;"&amp;'19_Расчет_аналитики'!AE1571,WeightedMinAge11),MAX(CapacityAge11*'01_Вводные'!$B$218*'19_Расчет_аналитики'!AE1571,MeanMinAge11)))</f>
        <v/>
      </c>
      <c r="AF1486">
        <f>IF(OR('19_Расчет_аналитики'!AF1458=0,11&lt;='01_Вводные'!$B$297),0,'19_Расчет_аналитики'!AF1458*IF('01_Вводные'!$B$239="Да",MeanMinAge11+'19_Расчет_аналитики'!AF1571*SUMIF(ThresholdAge11,"&lt;"&amp;'19_Расчет_аналитики'!AF1571,WeightedRevAge11)-SUMIF(ThresholdAge11,"&lt;"&amp;'19_Расчет_аналитики'!AF1571,WeightedMinAge11),MAX(CapacityAge11*'01_Вводные'!$B$218*'19_Расчет_аналитики'!AF1571,MeanMinAge11)))</f>
        <v/>
      </c>
      <c r="AG1486">
        <f>IF(OR('19_Расчет_аналитики'!AG1458=0,11&lt;='01_Вводные'!$B$297),0,'19_Расчет_аналитики'!AG1458*IF('01_Вводные'!$B$239="Да",MeanMinAge11+'19_Расчет_аналитики'!AG1571*SUMIF(ThresholdAge11,"&lt;"&amp;'19_Расчет_аналитики'!AG1571,WeightedRevAge11)-SUMIF(ThresholdAge11,"&lt;"&amp;'19_Расчет_аналитики'!AG1571,WeightedMinAge11),MAX(CapacityAge11*'01_Вводные'!$B$218*'19_Расчет_аналитики'!AG1571,MeanMinAge11)))</f>
        <v/>
      </c>
      <c r="AH1486">
        <f>IF(OR('19_Расчет_аналитики'!AH1458=0,11&lt;='01_Вводные'!$B$297),0,'19_Расчет_аналитики'!AH1458*IF('01_Вводные'!$B$239="Да",MeanMinAge11+'19_Расчет_аналитики'!AH1571*SUMIF(ThresholdAge11,"&lt;"&amp;'19_Расчет_аналитики'!AH1571,WeightedRevAge11)-SUMIF(ThresholdAge11,"&lt;"&amp;'19_Расчет_аналитики'!AH1571,WeightedMinAge11),MAX(CapacityAge11*'01_Вводные'!$B$218*'19_Расчет_аналитики'!AH1571,MeanMinAge11)))</f>
        <v/>
      </c>
      <c r="AI1486">
        <f>IF(OR('19_Расчет_аналитики'!AI1458=0,11&lt;='01_Вводные'!$B$297),0,'19_Расчет_аналитики'!AI1458*IF('01_Вводные'!$B$239="Да",MeanMinAge11+'19_Расчет_аналитики'!AI1571*SUMIF(ThresholdAge11,"&lt;"&amp;'19_Расчет_аналитики'!AI1571,WeightedRevAge11)-SUMIF(ThresholdAge11,"&lt;"&amp;'19_Расчет_аналитики'!AI1571,WeightedMinAge11),MAX(CapacityAge11*'01_Вводные'!$B$218*'19_Расчет_аналитики'!AI1571,MeanMinAge11)))</f>
        <v/>
      </c>
      <c r="AJ1486">
        <f>IF(OR('19_Расчет_аналитики'!AJ1458=0,11&lt;='01_Вводные'!$B$297),0,'19_Расчет_аналитики'!AJ1458*IF('01_Вводные'!$B$239="Да",MeanMinAge11+'19_Расчет_аналитики'!AJ1571*SUMIF(ThresholdAge11,"&lt;"&amp;'19_Расчет_аналитики'!AJ1571,WeightedRevAge11)-SUMIF(ThresholdAge11,"&lt;"&amp;'19_Расчет_аналитики'!AJ1571,WeightedMinAge11),MAX(CapacityAge11*'01_Вводные'!$B$218*'19_Расчет_аналитики'!AJ1571,MeanMinAge11)))</f>
        <v/>
      </c>
      <c r="AK1486">
        <f>IF(OR('19_Расчет_аналитики'!AK1458=0,11&lt;='01_Вводные'!$B$297),0,'19_Расчет_аналитики'!AK1458*IF('01_Вводные'!$B$239="Да",MeanMinAge11+'19_Расчет_аналитики'!AK1571*SUMIF(ThresholdAge11,"&lt;"&amp;'19_Расчет_аналитики'!AK1571,WeightedRevAge11)-SUMIF(ThresholdAge11,"&lt;"&amp;'19_Расчет_аналитики'!AK1571,WeightedMinAge11),MAX(CapacityAge11*'01_Вводные'!$B$218*'19_Расчет_аналитики'!AK1571,MeanMinAge11)))</f>
        <v/>
      </c>
      <c r="AL1486">
        <f>IF(OR('19_Расчет_аналитики'!AL1458=0,11&lt;='01_Вводные'!$B$297),0,'19_Расчет_аналитики'!AL1458*IF('01_Вводные'!$B$239="Да",MeanMinAge11+'19_Расчет_аналитики'!AL1571*SUMIF(ThresholdAge11,"&lt;"&amp;'19_Расчет_аналитики'!AL1571,WeightedRevAge11)-SUMIF(ThresholdAge11,"&lt;"&amp;'19_Расчет_аналитики'!AL1571,WeightedMinAge11),MAX(CapacityAge11*'01_Вводные'!$B$218*'19_Расчет_аналитики'!AL1571,MeanMinAge11)))</f>
        <v/>
      </c>
      <c r="AM1486">
        <f>IF(OR('19_Расчет_аналитики'!AM1458=0,11&lt;='01_Вводные'!$B$297),0,'19_Расчет_аналитики'!AM1458*IF('01_Вводные'!$B$239="Да",MeanMinAge11+'19_Расчет_аналитики'!AM1571*SUMIF(ThresholdAge11,"&lt;"&amp;'19_Расчет_аналитики'!AM1571,WeightedRevAge11)-SUMIF(ThresholdAge11,"&lt;"&amp;'19_Расчет_аналитики'!AM1571,WeightedMinAge11),MAX(CapacityAge11*'01_Вводные'!$B$218*'19_Расчет_аналитики'!AM1571,MeanMinAge11)))</f>
        <v/>
      </c>
      <c r="AN1486">
        <f>IF(OR('19_Расчет_аналитики'!AN1458=0,11&lt;='01_Вводные'!$B$297),0,'19_Расчет_аналитики'!AN1458*IF('01_Вводные'!$B$239="Да",MeanMinAge11+'19_Расчет_аналитики'!AN1571*SUMIF(ThresholdAge11,"&lt;"&amp;'19_Расчет_аналитики'!AN1571,WeightedRevAge11)-SUMIF(ThresholdAge11,"&lt;"&amp;'19_Расчет_аналитики'!AN1571,WeightedMinAge11),MAX(CapacityAge11*'01_Вводные'!$B$218*'19_Расчет_аналитики'!AN1571,MeanMinAge11)))</f>
        <v/>
      </c>
      <c r="AO1486">
        <f>IF(OR('19_Расчет_аналитики'!AO1458=0,11&lt;='01_Вводные'!$B$297),0,'19_Расчет_аналитики'!AO1458*IF('01_Вводные'!$B$239="Да",MeanMinAge11+'19_Расчет_аналитики'!AO1571*SUMIF(ThresholdAge11,"&lt;"&amp;'19_Расчет_аналитики'!AO1571,WeightedRevAge11)-SUMIF(ThresholdAge11,"&lt;"&amp;'19_Расчет_аналитики'!AO1571,WeightedMinAge11),MAX(CapacityAge11*'01_Вводные'!$B$218*'19_Расчет_аналитики'!AO1571,MeanMinAge11)))</f>
        <v/>
      </c>
      <c r="AP1486">
        <f>IF(OR('19_Расчет_аналитики'!AP1458=0,11&lt;='01_Вводные'!$B$297),0,'19_Расчет_аналитики'!AP1458*IF('01_Вводные'!$B$239="Да",MeanMinAge11+'19_Расчет_аналитики'!AP1571*SUMIF(ThresholdAge11,"&lt;"&amp;'19_Расчет_аналитики'!AP1571,WeightedRevAge11)-SUMIF(ThresholdAge11,"&lt;"&amp;'19_Расчет_аналитики'!AP1571,WeightedMinAge11),MAX(CapacityAge11*'01_Вводные'!$B$218*'19_Расчет_аналитики'!AP1571,MeanMinAge11)))</f>
        <v/>
      </c>
      <c r="AQ1486">
        <f>IF(OR('19_Расчет_аналитики'!AQ1458=0,11&lt;='01_Вводные'!$B$297),0,'19_Расчет_аналитики'!AQ1458*IF('01_Вводные'!$B$239="Да",MeanMinAge11+'19_Расчет_аналитики'!AQ1571*SUMIF(ThresholdAge11,"&lt;"&amp;'19_Расчет_аналитики'!AQ1571,WeightedRevAge11)-SUMIF(ThresholdAge11,"&lt;"&amp;'19_Расчет_аналитики'!AQ1571,WeightedMinAge11),MAX(CapacityAge11*'01_Вводные'!$B$218*'19_Расчет_аналитики'!AQ1571,MeanMinAge11)))</f>
        <v/>
      </c>
      <c r="AR1486">
        <f>IF(OR('19_Расчет_аналитики'!AR1458=0,11&lt;='01_Вводные'!$B$297),0,'19_Расчет_аналитики'!AR1458*IF('01_Вводные'!$B$239="Да",MeanMinAge11+'19_Расчет_аналитики'!AR1571*SUMIF(ThresholdAge11,"&lt;"&amp;'19_Расчет_аналитики'!AR1571,WeightedRevAge11)-SUMIF(ThresholdAge11,"&lt;"&amp;'19_Расчет_аналитики'!AR1571,WeightedMinAge11),MAX(CapacityAge11*'01_Вводные'!$B$218*'19_Расчет_аналитики'!AR1571,MeanMinAge11)))</f>
        <v/>
      </c>
      <c r="AS1486">
        <f>IF(OR('19_Расчет_аналитики'!AS1458=0,11&lt;='01_Вводные'!$B$297),0,'19_Расчет_аналитики'!AS1458*IF('01_Вводные'!$B$239="Да",MeanMinAge11+'19_Расчет_аналитики'!AS1571*SUMIF(ThresholdAge11,"&lt;"&amp;'19_Расчет_аналитики'!AS1571,WeightedRevAge11)-SUMIF(ThresholdAge11,"&lt;"&amp;'19_Расчет_аналитики'!AS1571,WeightedMinAge11),MAX(CapacityAge11*'01_Вводные'!$B$218*'19_Расчет_аналитики'!AS1571,MeanMinAge11)))</f>
        <v/>
      </c>
      <c r="AT1486">
        <f>IF(OR('19_Расчет_аналитики'!AT1458=0,11&lt;='01_Вводные'!$B$297),0,'19_Расчет_аналитики'!AT1458*IF('01_Вводные'!$B$239="Да",MeanMinAge11+'19_Расчет_аналитики'!AT1571*SUMIF(ThresholdAge11,"&lt;"&amp;'19_Расчет_аналитики'!AT1571,WeightedRevAge11)-SUMIF(ThresholdAge11,"&lt;"&amp;'19_Расчет_аналитики'!AT1571,WeightedMinAge11),MAX(CapacityAge11*'01_Вводные'!$B$218*'19_Расчет_аналитики'!AT1571,MeanMinAge11)))</f>
        <v/>
      </c>
      <c r="AU1486">
        <f>IF(OR('19_Расчет_аналитики'!AU1458=0,11&lt;='01_Вводные'!$B$297),0,'19_Расчет_аналитики'!AU1458*IF('01_Вводные'!$B$239="Да",MeanMinAge11+'19_Расчет_аналитики'!AU1571*SUMIF(ThresholdAge11,"&lt;"&amp;'19_Расчет_аналитики'!AU1571,WeightedRevAge11)-SUMIF(ThresholdAge11,"&lt;"&amp;'19_Расчет_аналитики'!AU1571,WeightedMinAge11),MAX(CapacityAge11*'01_Вводные'!$B$218*'19_Расчет_аналитики'!AU1571,MeanMinAge11)))</f>
        <v/>
      </c>
      <c r="AV1486">
        <f>IF(OR('19_Расчет_аналитики'!AV1458=0,11&lt;='01_Вводные'!$B$297),0,'19_Расчет_аналитики'!AV1458*IF('01_Вводные'!$B$239="Да",MeanMinAge11+'19_Расчет_аналитики'!AV1571*SUMIF(ThresholdAge11,"&lt;"&amp;'19_Расчет_аналитики'!AV1571,WeightedRevAge11)-SUMIF(ThresholdAge11,"&lt;"&amp;'19_Расчет_аналитики'!AV1571,WeightedMinAge11),MAX(CapacityAge11*'01_Вводные'!$B$218*'19_Расчет_аналитики'!AV1571,MeanMinAge11)))</f>
        <v/>
      </c>
      <c r="AW1486">
        <f>IF(OR('19_Расчет_аналитики'!AW1458=0,11&lt;='01_Вводные'!$B$297),0,'19_Расчет_аналитики'!AW1458*IF('01_Вводные'!$B$239="Да",MeanMinAge11+'19_Расчет_аналитики'!AW1571*SUMIF(ThresholdAge11,"&lt;"&amp;'19_Расчет_аналитики'!AW1571,WeightedRevAge11)-SUMIF(ThresholdAge11,"&lt;"&amp;'19_Расчет_аналитики'!AW1571,WeightedMinAge11),MAX(CapacityAge11*'01_Вводные'!$B$218*'19_Расчет_аналитики'!AW1571,MeanMinAge11)))</f>
        <v/>
      </c>
      <c r="AX1486">
        <f>IF(OR('19_Расчет_аналитики'!AX1458=0,11&lt;='01_Вводные'!$B$297),0,'19_Расчет_аналитики'!AX1458*IF('01_Вводные'!$B$239="Да",MeanMinAge11+'19_Расчет_аналитики'!AX1571*SUMIF(ThresholdAge11,"&lt;"&amp;'19_Расчет_аналитики'!AX1571,WeightedRevAge11)-SUMIF(ThresholdAge11,"&lt;"&amp;'19_Расчет_аналитики'!AX1571,WeightedMinAge11),MAX(CapacityAge11*'01_Вводные'!$B$218*'19_Расчет_аналитики'!AX1571,MeanMinAge11)))</f>
        <v/>
      </c>
      <c r="AY1486">
        <f>IF(OR('19_Расчет_аналитики'!AY1458=0,11&lt;='01_Вводные'!$B$297),0,'19_Расчет_аналитики'!AY1458*IF('01_Вводные'!$B$239="Да",MeanMinAge11+'19_Расчет_аналитики'!AY1571*SUMIF(ThresholdAge11,"&lt;"&amp;'19_Расчет_аналитики'!AY1571,WeightedRevAge11)-SUMIF(ThresholdAge11,"&lt;"&amp;'19_Расчет_аналитики'!AY1571,WeightedMinAge11),MAX(CapacityAge11*'01_Вводные'!$B$218*'19_Расчет_аналитики'!AY1571,MeanMinAge11)))</f>
        <v/>
      </c>
      <c r="AZ1486">
        <f>IF(OR('19_Расчет_аналитики'!AZ1458=0,11&lt;='01_Вводные'!$B$297),0,'19_Расчет_аналитики'!AZ1458*IF('01_Вводные'!$B$239="Да",MeanMinAge11+'19_Расчет_аналитики'!AZ1571*SUMIF(ThresholdAge11,"&lt;"&amp;'19_Расчет_аналитики'!AZ1571,WeightedRevAge11)-SUMIF(ThresholdAge11,"&lt;"&amp;'19_Расчет_аналитики'!AZ1571,WeightedMinAge11),MAX(CapacityAge11*'01_Вводные'!$B$218*'19_Расчет_аналитики'!AZ1571,MeanMinAge11)))</f>
        <v/>
      </c>
      <c r="BA1486">
        <f>IF(OR('19_Расчет_аналитики'!BA1458=0,11&lt;='01_Вводные'!$B$297),0,'19_Расчет_аналитики'!BA1458*IF('01_Вводные'!$B$239="Да",MeanMinAge11+'19_Расчет_аналитики'!BA1571*SUMIF(ThresholdAge11,"&lt;"&amp;'19_Расчет_аналитики'!BA1571,WeightedRevAge11)-SUMIF(ThresholdAge11,"&lt;"&amp;'19_Расчет_аналитики'!BA1571,WeightedMinAge11),MAX(CapacityAge11*'01_Вводные'!$B$218*'19_Расчет_аналитики'!BA1571,MeanMinAge11)))</f>
        <v/>
      </c>
      <c r="BB1486">
        <f>IF(OR('19_Расчет_аналитики'!BB1458=0,11&lt;='01_Вводные'!$B$297),0,'19_Расчет_аналитики'!BB1458*IF('01_Вводные'!$B$239="Да",MeanMinAge11+'19_Расчет_аналитики'!BB1571*SUMIF(ThresholdAge11,"&lt;"&amp;'19_Расчет_аналитики'!BB1571,WeightedRevAge11)-SUMIF(ThresholdAge11,"&lt;"&amp;'19_Расчет_аналитики'!BB1571,WeightedMinAge11),MAX(CapacityAge11*'01_Вводные'!$B$218*'19_Расчет_аналитики'!BB1571,MeanMinAge11)))</f>
        <v/>
      </c>
      <c r="BC1486">
        <f>IF(OR('19_Расчет_аналитики'!BC1458=0,11&lt;='01_Вводные'!$B$297),0,'19_Расчет_аналитики'!BC1458*IF('01_Вводные'!$B$239="Да",MeanMinAge11+'19_Расчет_аналитики'!BC1571*SUMIF(ThresholdAge11,"&lt;"&amp;'19_Расчет_аналитики'!BC1571,WeightedRevAge11)-SUMIF(ThresholdAge11,"&lt;"&amp;'19_Расчет_аналитики'!BC1571,WeightedMinAge11),MAX(CapacityAge11*'01_Вводные'!$B$218*'19_Расчет_аналитики'!BC1571,MeanMinAge11)))</f>
        <v/>
      </c>
      <c r="BD1486">
        <f>IF(OR('19_Расчет_аналитики'!BD1458=0,11&lt;='01_Вводные'!$B$297),0,'19_Расчет_аналитики'!BD1458*IF('01_Вводные'!$B$239="Да",MeanMinAge11+'19_Расчет_аналитики'!BD1571*SUMIF(ThresholdAge11,"&lt;"&amp;'19_Расчет_аналитики'!BD1571,WeightedRevAge11)-SUMIF(ThresholdAge11,"&lt;"&amp;'19_Расчет_аналитики'!BD1571,WeightedMinAge11),MAX(CapacityAge11*'01_Вводные'!$B$218*'19_Расчет_аналитики'!BD1571,MeanMinAge11)))</f>
        <v/>
      </c>
      <c r="BE1486">
        <f>IF(OR('19_Расчет_аналитики'!BE1458=0,11&lt;='01_Вводные'!$B$297),0,'19_Расчет_аналитики'!BE1458*IF('01_Вводные'!$B$239="Да",MeanMinAge11+'19_Расчет_аналитики'!BE1571*SUMIF(ThresholdAge11,"&lt;"&amp;'19_Расчет_аналитики'!BE1571,WeightedRevAge11)-SUMIF(ThresholdAge11,"&lt;"&amp;'19_Расчет_аналитики'!BE1571,WeightedMinAge11),MAX(CapacityAge11*'01_Вводные'!$B$218*'19_Расчет_аналитики'!BE1571,MeanMinAge11)))</f>
        <v/>
      </c>
      <c r="BF1486">
        <f>IF(OR('19_Расчет_аналитики'!BF1458=0,11&lt;='01_Вводные'!$B$297),0,'19_Расчет_аналитики'!BF1458*IF('01_Вводные'!$B$239="Да",MeanMinAge11+'19_Расчет_аналитики'!BF1571*SUMIF(ThresholdAge11,"&lt;"&amp;'19_Расчет_аналитики'!BF1571,WeightedRevAge11)-SUMIF(ThresholdAge11,"&lt;"&amp;'19_Расчет_аналитики'!BF1571,WeightedMinAge11),MAX(CapacityAge11*'01_Вводные'!$B$218*'19_Расчет_аналитики'!BF1571,MeanMinAge11)))</f>
        <v/>
      </c>
      <c r="BG1486">
        <f>IF(OR('19_Расчет_аналитики'!BG1458=0,11&lt;='01_Вводные'!$B$297),0,'19_Расчет_аналитики'!BG1458*IF('01_Вводные'!$B$239="Да",MeanMinAge11+'19_Расчет_аналитики'!BG1571*SUMIF(ThresholdAge11,"&lt;"&amp;'19_Расчет_аналитики'!BG1571,WeightedRevAge11)-SUMIF(ThresholdAge11,"&lt;"&amp;'19_Расчет_аналитики'!BG1571,WeightedMinAge11),MAX(CapacityAge11*'01_Вводные'!$B$218*'19_Расчет_аналитики'!BG1571,MeanMinAge11)))</f>
        <v/>
      </c>
      <c r="BH1486">
        <f>IF(OR('19_Расчет_аналитики'!BH1458=0,11&lt;='01_Вводные'!$B$297),0,'19_Расчет_аналитики'!BH1458*IF('01_Вводные'!$B$239="Да",MeanMinAge11+'19_Расчет_аналитики'!BH1571*SUMIF(ThresholdAge11,"&lt;"&amp;'19_Расчет_аналитики'!BH1571,WeightedRevAge11)-SUMIF(ThresholdAge11,"&lt;"&amp;'19_Расчет_аналитики'!BH1571,WeightedMinAge11),MAX(CapacityAge11*'01_Вводные'!$B$218*'19_Расчет_аналитики'!BH1571,MeanMinAge11)))</f>
        <v/>
      </c>
      <c r="BI1486">
        <f>IF(OR('19_Расчет_аналитики'!BI1458=0,11&lt;='01_Вводные'!$B$297),0,'19_Расчет_аналитики'!BI1458*IF('01_Вводные'!$B$239="Да",MeanMinAge11+'19_Расчет_аналитики'!BI1571*SUMIF(ThresholdAge11,"&lt;"&amp;'19_Расчет_аналитики'!BI1571,WeightedRevAge11)-SUMIF(ThresholdAge11,"&lt;"&amp;'19_Расчет_аналитики'!BI1571,WeightedMinAge11),MAX(CapacityAge11*'01_Вводные'!$B$218*'19_Расчет_аналитики'!BI1571,MeanMinAge11)))</f>
        <v/>
      </c>
      <c r="BJ1486">
        <f>IF(OR('19_Расчет_аналитики'!BJ1458=0,11&lt;='01_Вводные'!$B$297),0,'19_Расчет_аналитики'!BJ1458*IF('01_Вводные'!$B$239="Да",MeanMinAge11+'19_Расчет_аналитики'!BJ1571*SUMIF(ThresholdAge11,"&lt;"&amp;'19_Расчет_аналитики'!BJ1571,WeightedRevAge11)-SUMIF(ThresholdAge11,"&lt;"&amp;'19_Расчет_аналитики'!BJ1571,WeightedMinAge11),MAX(CapacityAge11*'01_Вводные'!$B$218*'19_Расчет_аналитики'!BJ1571,MeanMinAge11)))</f>
        <v/>
      </c>
      <c r="BK1486">
        <f>IF(OR('19_Расчет_аналитики'!BK1458=0,11&lt;='01_Вводные'!$B$297),0,'19_Расчет_аналитики'!BK1458*IF('01_Вводные'!$B$239="Да",MeanMinAge11+'19_Расчет_аналитики'!BK1571*SUMIF(ThresholdAge11,"&lt;"&amp;'19_Расчет_аналитики'!BK1571,WeightedRevAge11)-SUMIF(ThresholdAge11,"&lt;"&amp;'19_Расчет_аналитики'!BK1571,WeightedMinAge11),MAX(CapacityAge11*'01_Вводные'!$B$218*'19_Расчет_аналитики'!BK1571,MeanMinAge11)))</f>
        <v/>
      </c>
      <c r="BL1486">
        <f>IF(OR('19_Расчет_аналитики'!BL1458=0,11&lt;='01_Вводные'!$B$297),0,'19_Расчет_аналитики'!BL1458*IF('01_Вводные'!$B$239="Да",MeanMinAge11+'19_Расчет_аналитики'!BL1571*SUMIF(ThresholdAge11,"&lt;"&amp;'19_Расчет_аналитики'!BL1571,WeightedRevAge11)-SUMIF(ThresholdAge11,"&lt;"&amp;'19_Расчет_аналитики'!BL1571,WeightedMinAge11),MAX(CapacityAge11*'01_Вводные'!$B$218*'19_Расчет_аналитики'!BL1571,MeanMinAge11)))</f>
        <v/>
      </c>
      <c r="BM1486">
        <f>IF(OR('19_Расчет_аналитики'!BM1458=0,11&lt;='01_Вводные'!$B$297),0,'19_Расчет_аналитики'!BM1458*IF('01_Вводные'!$B$239="Да",MeanMinAge11+'19_Расчет_аналитики'!BM1571*SUMIF(ThresholdAge11,"&lt;"&amp;'19_Расчет_аналитики'!BM1571,WeightedRevAge11)-SUMIF(ThresholdAge11,"&lt;"&amp;'19_Расчет_аналитики'!BM1571,WeightedMinAge11),MAX(CapacityAge11*'01_Вводные'!$B$218*'19_Расчет_аналитики'!BM1571,MeanMinAge11)))</f>
        <v/>
      </c>
      <c r="BN1486">
        <f>IF(OR('19_Расчет_аналитики'!BN1458=0,11&lt;='01_Вводные'!$B$297),0,'19_Расчет_аналитики'!BN1458*IF('01_Вводные'!$B$239="Да",MeanMinAge11+'19_Расчет_аналитики'!BN1571*SUMIF(ThresholdAge11,"&lt;"&amp;'19_Расчет_аналитики'!BN1571,WeightedRevAge11)-SUMIF(ThresholdAge11,"&lt;"&amp;'19_Расчет_аналитики'!BN1571,WeightedMinAge11),MAX(CapacityAge11*'01_Вводные'!$B$218*'19_Расчет_аналитики'!BN1571,MeanMinAge11)))</f>
        <v/>
      </c>
      <c r="BO1486">
        <f>IF(OR('19_Расчет_аналитики'!BO1458=0,11&lt;='01_Вводные'!$B$297),0,'19_Расчет_аналитики'!BO1458*IF('01_Вводные'!$B$239="Да",MeanMinAge11+'19_Расчет_аналитики'!BO1571*SUMIF(ThresholdAge11,"&lt;"&amp;'19_Расчет_аналитики'!BO1571,WeightedRevAge11)-SUMIF(ThresholdAge11,"&lt;"&amp;'19_Расчет_аналитики'!BO1571,WeightedMinAge11),MAX(CapacityAge11*'01_Вводные'!$B$218*'19_Расчет_аналитики'!BO1571,MeanMinAge11)))</f>
        <v/>
      </c>
    </row>
    <row r="1487">
      <c r="B1487">
        <f>IF(OR('06_Сеть_и_дети'!B92=0,12&lt;='01_Вводные'!$B$297),0,'06_Сеть_и_дети'!B92*IF('01_Вводные'!$B$239="Да",MeanMinAge12+'19_Расчет_аналитики'!B1571*SUMIF(ThresholdAge12,"&lt;"&amp;'19_Расчет_аналитики'!B1571,WeightedRevAge12)-SUMIF(ThresholdAge12,"&lt;"&amp;'19_Расчет_аналитики'!B1571,WeightedMinAge12),MAX(CapacityAge12*'01_Вводные'!$B$218*'19_Расчет_аналитики'!B1571,MeanMinAge12)))</f>
        <v/>
      </c>
      <c r="C1487">
        <f>IF(OR('06_Сеть_и_дети'!C92=0,12&lt;='01_Вводные'!$B$297),0,'06_Сеть_и_дети'!C92*IF('01_Вводные'!$B$239="Да",MeanMinAge12+'19_Расчет_аналитики'!C1571*SUMIF(ThresholdAge12,"&lt;"&amp;'19_Расчет_аналитики'!C1571,WeightedRevAge12)-SUMIF(ThresholdAge12,"&lt;"&amp;'19_Расчет_аналитики'!C1571,WeightedMinAge12),MAX(CapacityAge12*'01_Вводные'!$B$218*'19_Расчет_аналитики'!C1571,MeanMinAge12)))</f>
        <v/>
      </c>
      <c r="D1487">
        <f>IF(OR('06_Сеть_и_дети'!D92=0,12&lt;='01_Вводные'!$B$297),0,'06_Сеть_и_дети'!D92*IF('01_Вводные'!$B$239="Да",MeanMinAge12+'19_Расчет_аналитики'!D1571*SUMIF(ThresholdAge12,"&lt;"&amp;'19_Расчет_аналитики'!D1571,WeightedRevAge12)-SUMIF(ThresholdAge12,"&lt;"&amp;'19_Расчет_аналитики'!D1571,WeightedMinAge12),MAX(CapacityAge12*'01_Вводные'!$B$218*'19_Расчет_аналитики'!D1571,MeanMinAge12)))</f>
        <v/>
      </c>
      <c r="E1487">
        <f>IF(OR('06_Сеть_и_дети'!E92=0,12&lt;='01_Вводные'!$B$297),0,'06_Сеть_и_дети'!E92*IF('01_Вводные'!$B$239="Да",MeanMinAge12+'19_Расчет_аналитики'!E1571*SUMIF(ThresholdAge12,"&lt;"&amp;'19_Расчет_аналитики'!E1571,WeightedRevAge12)-SUMIF(ThresholdAge12,"&lt;"&amp;'19_Расчет_аналитики'!E1571,WeightedMinAge12),MAX(CapacityAge12*'01_Вводные'!$B$218*'19_Расчет_аналитики'!E1571,MeanMinAge12)))</f>
        <v/>
      </c>
      <c r="F1487">
        <f>IF(OR('06_Сеть_и_дети'!F92=0,12&lt;='01_Вводные'!$B$297),0,'06_Сеть_и_дети'!F92*IF('01_Вводные'!$B$239="Да",MeanMinAge12+'19_Расчет_аналитики'!F1571*SUMIF(ThresholdAge12,"&lt;"&amp;'19_Расчет_аналитики'!F1571,WeightedRevAge12)-SUMIF(ThresholdAge12,"&lt;"&amp;'19_Расчет_аналитики'!F1571,WeightedMinAge12),MAX(CapacityAge12*'01_Вводные'!$B$218*'19_Расчет_аналитики'!F1571,MeanMinAge12)))</f>
        <v/>
      </c>
      <c r="G1487">
        <f>IF(OR('06_Сеть_и_дети'!G92=0,12&lt;='01_Вводные'!$B$297),0,'06_Сеть_и_дети'!G92*IF('01_Вводные'!$B$239="Да",MeanMinAge12+'19_Расчет_аналитики'!G1571*SUMIF(ThresholdAge12,"&lt;"&amp;'19_Расчет_аналитики'!G1571,WeightedRevAge12)-SUMIF(ThresholdAge12,"&lt;"&amp;'19_Расчет_аналитики'!G1571,WeightedMinAge12),MAX(CapacityAge12*'01_Вводные'!$B$218*'19_Расчет_аналитики'!G1571,MeanMinAge12)))</f>
        <v/>
      </c>
      <c r="H1487">
        <f>IF(OR('06_Сеть_и_дети'!H92=0,12&lt;='01_Вводные'!$B$297),0,'06_Сеть_и_дети'!H92*IF('01_Вводные'!$B$239="Да",MeanMinAge12+'19_Расчет_аналитики'!H1571*SUMIF(ThresholdAge12,"&lt;"&amp;'19_Расчет_аналитики'!H1571,WeightedRevAge12)-SUMIF(ThresholdAge12,"&lt;"&amp;'19_Расчет_аналитики'!H1571,WeightedMinAge12),MAX(CapacityAge12*'01_Вводные'!$B$218*'19_Расчет_аналитики'!H1571,MeanMinAge12)))</f>
        <v/>
      </c>
      <c r="I1487">
        <f>IF(OR('06_Сеть_и_дети'!I92=0,12&lt;='01_Вводные'!$B$297),0,'06_Сеть_и_дети'!I92*IF('01_Вводные'!$B$239="Да",MeanMinAge12+'19_Расчет_аналитики'!I1571*SUMIF(ThresholdAge12,"&lt;"&amp;'19_Расчет_аналитики'!I1571,WeightedRevAge12)-SUMIF(ThresholdAge12,"&lt;"&amp;'19_Расчет_аналитики'!I1571,WeightedMinAge12),MAX(CapacityAge12*'01_Вводные'!$B$218*'19_Расчет_аналитики'!I1571,MeanMinAge12)))</f>
        <v/>
      </c>
      <c r="J1487">
        <f>IF(OR('06_Сеть_и_дети'!J92=0,12&lt;='01_Вводные'!$B$297),0,'06_Сеть_и_дети'!J92*IF('01_Вводные'!$B$239="Да",MeanMinAge12+'19_Расчет_аналитики'!J1571*SUMIF(ThresholdAge12,"&lt;"&amp;'19_Расчет_аналитики'!J1571,WeightedRevAge12)-SUMIF(ThresholdAge12,"&lt;"&amp;'19_Расчет_аналитики'!J1571,WeightedMinAge12),MAX(CapacityAge12*'01_Вводные'!$B$218*'19_Расчет_аналитики'!J1571,MeanMinAge12)))</f>
        <v/>
      </c>
      <c r="K1487">
        <f>IF(OR('06_Сеть_и_дети'!K92=0,12&lt;='01_Вводные'!$B$297),0,'06_Сеть_и_дети'!K92*IF('01_Вводные'!$B$239="Да",MeanMinAge12+'19_Расчет_аналитики'!K1571*SUMIF(ThresholdAge12,"&lt;"&amp;'19_Расчет_аналитики'!K1571,WeightedRevAge12)-SUMIF(ThresholdAge12,"&lt;"&amp;'19_Расчет_аналитики'!K1571,WeightedMinAge12),MAX(CapacityAge12*'01_Вводные'!$B$218*'19_Расчет_аналитики'!K1571,MeanMinAge12)))</f>
        <v/>
      </c>
      <c r="L1487">
        <f>IF(OR('06_Сеть_и_дети'!L92=0,12&lt;='01_Вводные'!$B$297),0,'06_Сеть_и_дети'!L92*IF('01_Вводные'!$B$239="Да",MeanMinAge12+'19_Расчет_аналитики'!L1571*SUMIF(ThresholdAge12,"&lt;"&amp;'19_Расчет_аналитики'!L1571,WeightedRevAge12)-SUMIF(ThresholdAge12,"&lt;"&amp;'19_Расчет_аналитики'!L1571,WeightedMinAge12),MAX(CapacityAge12*'01_Вводные'!$B$218*'19_Расчет_аналитики'!L1571,MeanMinAge12)))</f>
        <v/>
      </c>
      <c r="M1487">
        <f>IF(OR('19_Расчет_аналитики'!M1459=0,12&lt;='01_Вводные'!$B$297),0,'19_Расчет_аналитики'!M1459*IF('01_Вводные'!$B$239="Да",MeanMinAge12+'19_Расчет_аналитики'!M1571*SUMIF(ThresholdAge12,"&lt;"&amp;'19_Расчет_аналитики'!M1571,WeightedRevAge12)-SUMIF(ThresholdAge12,"&lt;"&amp;'19_Расчет_аналитики'!M1571,WeightedMinAge12),MAX(CapacityAge12*'01_Вводные'!$B$218*'19_Расчет_аналитики'!M1571,MeanMinAge12)))</f>
        <v/>
      </c>
      <c r="N1487">
        <f>IF(OR('19_Расчет_аналитики'!N1459=0,12&lt;='01_Вводные'!$B$297),0,'19_Расчет_аналитики'!N1459*IF('01_Вводные'!$B$239="Да",MeanMinAge12+'19_Расчет_аналитики'!N1571*SUMIF(ThresholdAge12,"&lt;"&amp;'19_Расчет_аналитики'!N1571,WeightedRevAge12)-SUMIF(ThresholdAge12,"&lt;"&amp;'19_Расчет_аналитики'!N1571,WeightedMinAge12),MAX(CapacityAge12*'01_Вводные'!$B$218*'19_Расчет_аналитики'!N1571,MeanMinAge12)))</f>
        <v/>
      </c>
      <c r="O1487">
        <f>IF(OR('19_Расчет_аналитики'!O1459=0,12&lt;='01_Вводные'!$B$297),0,'19_Расчет_аналитики'!O1459*IF('01_Вводные'!$B$239="Да",MeanMinAge12+'19_Расчет_аналитики'!O1571*SUMIF(ThresholdAge12,"&lt;"&amp;'19_Расчет_аналитики'!O1571,WeightedRevAge12)-SUMIF(ThresholdAge12,"&lt;"&amp;'19_Расчет_аналитики'!O1571,WeightedMinAge12),MAX(CapacityAge12*'01_Вводные'!$B$218*'19_Расчет_аналитики'!O1571,MeanMinAge12)))</f>
        <v/>
      </c>
      <c r="P1487">
        <f>IF(OR('19_Расчет_аналитики'!P1459=0,12&lt;='01_Вводные'!$B$297),0,'19_Расчет_аналитики'!P1459*IF('01_Вводные'!$B$239="Да",MeanMinAge12+'19_Расчет_аналитики'!P1571*SUMIF(ThresholdAge12,"&lt;"&amp;'19_Расчет_аналитики'!P1571,WeightedRevAge12)-SUMIF(ThresholdAge12,"&lt;"&amp;'19_Расчет_аналитики'!P1571,WeightedMinAge12),MAX(CapacityAge12*'01_Вводные'!$B$218*'19_Расчет_аналитики'!P1571,MeanMinAge12)))</f>
        <v/>
      </c>
      <c r="Q1487">
        <f>IF(OR('19_Расчет_аналитики'!Q1459=0,12&lt;='01_Вводные'!$B$297),0,'19_Расчет_аналитики'!Q1459*IF('01_Вводные'!$B$239="Да",MeanMinAge12+'19_Расчет_аналитики'!Q1571*SUMIF(ThresholdAge12,"&lt;"&amp;'19_Расчет_аналитики'!Q1571,WeightedRevAge12)-SUMIF(ThresholdAge12,"&lt;"&amp;'19_Расчет_аналитики'!Q1571,WeightedMinAge12),MAX(CapacityAge12*'01_Вводные'!$B$218*'19_Расчет_аналитики'!Q1571,MeanMinAge12)))</f>
        <v/>
      </c>
      <c r="R1487">
        <f>IF(OR('19_Расчет_аналитики'!R1459=0,12&lt;='01_Вводные'!$B$297),0,'19_Расчет_аналитики'!R1459*IF('01_Вводные'!$B$239="Да",MeanMinAge12+'19_Расчет_аналитики'!R1571*SUMIF(ThresholdAge12,"&lt;"&amp;'19_Расчет_аналитики'!R1571,WeightedRevAge12)-SUMIF(ThresholdAge12,"&lt;"&amp;'19_Расчет_аналитики'!R1571,WeightedMinAge12),MAX(CapacityAge12*'01_Вводные'!$B$218*'19_Расчет_аналитики'!R1571,MeanMinAge12)))</f>
        <v/>
      </c>
      <c r="S1487">
        <f>IF(OR('19_Расчет_аналитики'!S1459=0,12&lt;='01_Вводные'!$B$297),0,'19_Расчет_аналитики'!S1459*IF('01_Вводные'!$B$239="Да",MeanMinAge12+'19_Расчет_аналитики'!S1571*SUMIF(ThresholdAge12,"&lt;"&amp;'19_Расчет_аналитики'!S1571,WeightedRevAge12)-SUMIF(ThresholdAge12,"&lt;"&amp;'19_Расчет_аналитики'!S1571,WeightedMinAge12),MAX(CapacityAge12*'01_Вводные'!$B$218*'19_Расчет_аналитики'!S1571,MeanMinAge12)))</f>
        <v/>
      </c>
      <c r="T1487">
        <f>IF(OR('19_Расчет_аналитики'!T1459=0,12&lt;='01_Вводные'!$B$297),0,'19_Расчет_аналитики'!T1459*IF('01_Вводные'!$B$239="Да",MeanMinAge12+'19_Расчет_аналитики'!T1571*SUMIF(ThresholdAge12,"&lt;"&amp;'19_Расчет_аналитики'!T1571,WeightedRevAge12)-SUMIF(ThresholdAge12,"&lt;"&amp;'19_Расчет_аналитики'!T1571,WeightedMinAge12),MAX(CapacityAge12*'01_Вводные'!$B$218*'19_Расчет_аналитики'!T1571,MeanMinAge12)))</f>
        <v/>
      </c>
      <c r="U1487">
        <f>IF(OR('19_Расчет_аналитики'!U1459=0,12&lt;='01_Вводные'!$B$297),0,'19_Расчет_аналитики'!U1459*IF('01_Вводные'!$B$239="Да",MeanMinAge12+'19_Расчет_аналитики'!U1571*SUMIF(ThresholdAge12,"&lt;"&amp;'19_Расчет_аналитики'!U1571,WeightedRevAge12)-SUMIF(ThresholdAge12,"&lt;"&amp;'19_Расчет_аналитики'!U1571,WeightedMinAge12),MAX(CapacityAge12*'01_Вводные'!$B$218*'19_Расчет_аналитики'!U1571,MeanMinAge12)))</f>
        <v/>
      </c>
      <c r="V1487">
        <f>IF(OR('19_Расчет_аналитики'!V1459=0,12&lt;='01_Вводные'!$B$297),0,'19_Расчет_аналитики'!V1459*IF('01_Вводные'!$B$239="Да",MeanMinAge12+'19_Расчет_аналитики'!V1571*SUMIF(ThresholdAge12,"&lt;"&amp;'19_Расчет_аналитики'!V1571,WeightedRevAge12)-SUMIF(ThresholdAge12,"&lt;"&amp;'19_Расчет_аналитики'!V1571,WeightedMinAge12),MAX(CapacityAge12*'01_Вводные'!$B$218*'19_Расчет_аналитики'!V1571,MeanMinAge12)))</f>
        <v/>
      </c>
      <c r="W1487">
        <f>IF(OR('19_Расчет_аналитики'!W1459=0,12&lt;='01_Вводные'!$B$297),0,'19_Расчет_аналитики'!W1459*IF('01_Вводные'!$B$239="Да",MeanMinAge12+'19_Расчет_аналитики'!W1571*SUMIF(ThresholdAge12,"&lt;"&amp;'19_Расчет_аналитики'!W1571,WeightedRevAge12)-SUMIF(ThresholdAge12,"&lt;"&amp;'19_Расчет_аналитики'!W1571,WeightedMinAge12),MAX(CapacityAge12*'01_Вводные'!$B$218*'19_Расчет_аналитики'!W1571,MeanMinAge12)))</f>
        <v/>
      </c>
      <c r="X1487">
        <f>IF(OR('19_Расчет_аналитики'!X1459=0,12&lt;='01_Вводные'!$B$297),0,'19_Расчет_аналитики'!X1459*IF('01_Вводные'!$B$239="Да",MeanMinAge12+'19_Расчет_аналитики'!X1571*SUMIF(ThresholdAge12,"&lt;"&amp;'19_Расчет_аналитики'!X1571,WeightedRevAge12)-SUMIF(ThresholdAge12,"&lt;"&amp;'19_Расчет_аналитики'!X1571,WeightedMinAge12),MAX(CapacityAge12*'01_Вводные'!$B$218*'19_Расчет_аналитики'!X1571,MeanMinAge12)))</f>
        <v/>
      </c>
      <c r="Y1487">
        <f>IF(OR('19_Расчет_аналитики'!Y1459=0,12&lt;='01_Вводные'!$B$297),0,'19_Расчет_аналитики'!Y1459*IF('01_Вводные'!$B$239="Да",MeanMinAge12+'19_Расчет_аналитики'!Y1571*SUMIF(ThresholdAge12,"&lt;"&amp;'19_Расчет_аналитики'!Y1571,WeightedRevAge12)-SUMIF(ThresholdAge12,"&lt;"&amp;'19_Расчет_аналитики'!Y1571,WeightedMinAge12),MAX(CapacityAge12*'01_Вводные'!$B$218*'19_Расчет_аналитики'!Y1571,MeanMinAge12)))</f>
        <v/>
      </c>
      <c r="Z1487">
        <f>IF(OR('19_Расчет_аналитики'!Z1459=0,12&lt;='01_Вводные'!$B$297),0,'19_Расчет_аналитики'!Z1459*IF('01_Вводные'!$B$239="Да",MeanMinAge12+'19_Расчет_аналитики'!Z1571*SUMIF(ThresholdAge12,"&lt;"&amp;'19_Расчет_аналитики'!Z1571,WeightedRevAge12)-SUMIF(ThresholdAge12,"&lt;"&amp;'19_Расчет_аналитики'!Z1571,WeightedMinAge12),MAX(CapacityAge12*'01_Вводные'!$B$218*'19_Расчет_аналитики'!Z1571,MeanMinAge12)))</f>
        <v/>
      </c>
      <c r="AA1487">
        <f>IF(OR('19_Расчет_аналитики'!AA1459=0,12&lt;='01_Вводные'!$B$297),0,'19_Расчет_аналитики'!AA1459*IF('01_Вводные'!$B$239="Да",MeanMinAge12+'19_Расчет_аналитики'!AA1571*SUMIF(ThresholdAge12,"&lt;"&amp;'19_Расчет_аналитики'!AA1571,WeightedRevAge12)-SUMIF(ThresholdAge12,"&lt;"&amp;'19_Расчет_аналитики'!AA1571,WeightedMinAge12),MAX(CapacityAge12*'01_Вводные'!$B$218*'19_Расчет_аналитики'!AA1571,MeanMinAge12)))</f>
        <v/>
      </c>
      <c r="AB1487">
        <f>IF(OR('19_Расчет_аналитики'!AB1459=0,12&lt;='01_Вводные'!$B$297),0,'19_Расчет_аналитики'!AB1459*IF('01_Вводные'!$B$239="Да",MeanMinAge12+'19_Расчет_аналитики'!AB1571*SUMIF(ThresholdAge12,"&lt;"&amp;'19_Расчет_аналитики'!AB1571,WeightedRevAge12)-SUMIF(ThresholdAge12,"&lt;"&amp;'19_Расчет_аналитики'!AB1571,WeightedMinAge12),MAX(CapacityAge12*'01_Вводные'!$B$218*'19_Расчет_аналитики'!AB1571,MeanMinAge12)))</f>
        <v/>
      </c>
      <c r="AC1487">
        <f>IF(OR('19_Расчет_аналитики'!AC1459=0,12&lt;='01_Вводные'!$B$297),0,'19_Расчет_аналитики'!AC1459*IF('01_Вводные'!$B$239="Да",MeanMinAge12+'19_Расчет_аналитики'!AC1571*SUMIF(ThresholdAge12,"&lt;"&amp;'19_Расчет_аналитики'!AC1571,WeightedRevAge12)-SUMIF(ThresholdAge12,"&lt;"&amp;'19_Расчет_аналитики'!AC1571,WeightedMinAge12),MAX(CapacityAge12*'01_Вводные'!$B$218*'19_Расчет_аналитики'!AC1571,MeanMinAge12)))</f>
        <v/>
      </c>
      <c r="AD1487">
        <f>IF(OR('19_Расчет_аналитики'!AD1459=0,12&lt;='01_Вводные'!$B$297),0,'19_Расчет_аналитики'!AD1459*IF('01_Вводные'!$B$239="Да",MeanMinAge12+'19_Расчет_аналитики'!AD1571*SUMIF(ThresholdAge12,"&lt;"&amp;'19_Расчет_аналитики'!AD1571,WeightedRevAge12)-SUMIF(ThresholdAge12,"&lt;"&amp;'19_Расчет_аналитики'!AD1571,WeightedMinAge12),MAX(CapacityAge12*'01_Вводные'!$B$218*'19_Расчет_аналитики'!AD1571,MeanMinAge12)))</f>
        <v/>
      </c>
      <c r="AE1487">
        <f>IF(OR('19_Расчет_аналитики'!AE1459=0,12&lt;='01_Вводные'!$B$297),0,'19_Расчет_аналитики'!AE1459*IF('01_Вводные'!$B$239="Да",MeanMinAge12+'19_Расчет_аналитики'!AE1571*SUMIF(ThresholdAge12,"&lt;"&amp;'19_Расчет_аналитики'!AE1571,WeightedRevAge12)-SUMIF(ThresholdAge12,"&lt;"&amp;'19_Расчет_аналитики'!AE1571,WeightedMinAge12),MAX(CapacityAge12*'01_Вводные'!$B$218*'19_Расчет_аналитики'!AE1571,MeanMinAge12)))</f>
        <v/>
      </c>
      <c r="AF1487">
        <f>IF(OR('19_Расчет_аналитики'!AF1459=0,12&lt;='01_Вводные'!$B$297),0,'19_Расчет_аналитики'!AF1459*IF('01_Вводные'!$B$239="Да",MeanMinAge12+'19_Расчет_аналитики'!AF1571*SUMIF(ThresholdAge12,"&lt;"&amp;'19_Расчет_аналитики'!AF1571,WeightedRevAge12)-SUMIF(ThresholdAge12,"&lt;"&amp;'19_Расчет_аналитики'!AF1571,WeightedMinAge12),MAX(CapacityAge12*'01_Вводные'!$B$218*'19_Расчет_аналитики'!AF1571,MeanMinAge12)))</f>
        <v/>
      </c>
      <c r="AG1487">
        <f>IF(OR('19_Расчет_аналитики'!AG1459=0,12&lt;='01_Вводные'!$B$297),0,'19_Расчет_аналитики'!AG1459*IF('01_Вводные'!$B$239="Да",MeanMinAge12+'19_Расчет_аналитики'!AG1571*SUMIF(ThresholdAge12,"&lt;"&amp;'19_Расчет_аналитики'!AG1571,WeightedRevAge12)-SUMIF(ThresholdAge12,"&lt;"&amp;'19_Расчет_аналитики'!AG1571,WeightedMinAge12),MAX(CapacityAge12*'01_Вводные'!$B$218*'19_Расчет_аналитики'!AG1571,MeanMinAge12)))</f>
        <v/>
      </c>
      <c r="AH1487">
        <f>IF(OR('19_Расчет_аналитики'!AH1459=0,12&lt;='01_Вводные'!$B$297),0,'19_Расчет_аналитики'!AH1459*IF('01_Вводные'!$B$239="Да",MeanMinAge12+'19_Расчет_аналитики'!AH1571*SUMIF(ThresholdAge12,"&lt;"&amp;'19_Расчет_аналитики'!AH1571,WeightedRevAge12)-SUMIF(ThresholdAge12,"&lt;"&amp;'19_Расчет_аналитики'!AH1571,WeightedMinAge12),MAX(CapacityAge12*'01_Вводные'!$B$218*'19_Расчет_аналитики'!AH1571,MeanMinAge12)))</f>
        <v/>
      </c>
      <c r="AI1487">
        <f>IF(OR('19_Расчет_аналитики'!AI1459=0,12&lt;='01_Вводные'!$B$297),0,'19_Расчет_аналитики'!AI1459*IF('01_Вводные'!$B$239="Да",MeanMinAge12+'19_Расчет_аналитики'!AI1571*SUMIF(ThresholdAge12,"&lt;"&amp;'19_Расчет_аналитики'!AI1571,WeightedRevAge12)-SUMIF(ThresholdAge12,"&lt;"&amp;'19_Расчет_аналитики'!AI1571,WeightedMinAge12),MAX(CapacityAge12*'01_Вводные'!$B$218*'19_Расчет_аналитики'!AI1571,MeanMinAge12)))</f>
        <v/>
      </c>
      <c r="AJ1487">
        <f>IF(OR('19_Расчет_аналитики'!AJ1459=0,12&lt;='01_Вводные'!$B$297),0,'19_Расчет_аналитики'!AJ1459*IF('01_Вводные'!$B$239="Да",MeanMinAge12+'19_Расчет_аналитики'!AJ1571*SUMIF(ThresholdAge12,"&lt;"&amp;'19_Расчет_аналитики'!AJ1571,WeightedRevAge12)-SUMIF(ThresholdAge12,"&lt;"&amp;'19_Расчет_аналитики'!AJ1571,WeightedMinAge12),MAX(CapacityAge12*'01_Вводные'!$B$218*'19_Расчет_аналитики'!AJ1571,MeanMinAge12)))</f>
        <v/>
      </c>
      <c r="AK1487">
        <f>IF(OR('19_Расчет_аналитики'!AK1459=0,12&lt;='01_Вводные'!$B$297),0,'19_Расчет_аналитики'!AK1459*IF('01_Вводные'!$B$239="Да",MeanMinAge12+'19_Расчет_аналитики'!AK1571*SUMIF(ThresholdAge12,"&lt;"&amp;'19_Расчет_аналитики'!AK1571,WeightedRevAge12)-SUMIF(ThresholdAge12,"&lt;"&amp;'19_Расчет_аналитики'!AK1571,WeightedMinAge12),MAX(CapacityAge12*'01_Вводные'!$B$218*'19_Расчет_аналитики'!AK1571,MeanMinAge12)))</f>
        <v/>
      </c>
      <c r="AL1487">
        <f>IF(OR('19_Расчет_аналитики'!AL1459=0,12&lt;='01_Вводные'!$B$297),0,'19_Расчет_аналитики'!AL1459*IF('01_Вводные'!$B$239="Да",MeanMinAge12+'19_Расчет_аналитики'!AL1571*SUMIF(ThresholdAge12,"&lt;"&amp;'19_Расчет_аналитики'!AL1571,WeightedRevAge12)-SUMIF(ThresholdAge12,"&lt;"&amp;'19_Расчет_аналитики'!AL1571,WeightedMinAge12),MAX(CapacityAge12*'01_Вводные'!$B$218*'19_Расчет_аналитики'!AL1571,MeanMinAge12)))</f>
        <v/>
      </c>
      <c r="AM1487">
        <f>IF(OR('19_Расчет_аналитики'!AM1459=0,12&lt;='01_Вводные'!$B$297),0,'19_Расчет_аналитики'!AM1459*IF('01_Вводные'!$B$239="Да",MeanMinAge12+'19_Расчет_аналитики'!AM1571*SUMIF(ThresholdAge12,"&lt;"&amp;'19_Расчет_аналитики'!AM1571,WeightedRevAge12)-SUMIF(ThresholdAge12,"&lt;"&amp;'19_Расчет_аналитики'!AM1571,WeightedMinAge12),MAX(CapacityAge12*'01_Вводные'!$B$218*'19_Расчет_аналитики'!AM1571,MeanMinAge12)))</f>
        <v/>
      </c>
      <c r="AN1487">
        <f>IF(OR('19_Расчет_аналитики'!AN1459=0,12&lt;='01_Вводные'!$B$297),0,'19_Расчет_аналитики'!AN1459*IF('01_Вводные'!$B$239="Да",MeanMinAge12+'19_Расчет_аналитики'!AN1571*SUMIF(ThresholdAge12,"&lt;"&amp;'19_Расчет_аналитики'!AN1571,WeightedRevAge12)-SUMIF(ThresholdAge12,"&lt;"&amp;'19_Расчет_аналитики'!AN1571,WeightedMinAge12),MAX(CapacityAge12*'01_Вводные'!$B$218*'19_Расчет_аналитики'!AN1571,MeanMinAge12)))</f>
        <v/>
      </c>
      <c r="AO1487">
        <f>IF(OR('19_Расчет_аналитики'!AO1459=0,12&lt;='01_Вводные'!$B$297),0,'19_Расчет_аналитики'!AO1459*IF('01_Вводные'!$B$239="Да",MeanMinAge12+'19_Расчет_аналитики'!AO1571*SUMIF(ThresholdAge12,"&lt;"&amp;'19_Расчет_аналитики'!AO1571,WeightedRevAge12)-SUMIF(ThresholdAge12,"&lt;"&amp;'19_Расчет_аналитики'!AO1571,WeightedMinAge12),MAX(CapacityAge12*'01_Вводные'!$B$218*'19_Расчет_аналитики'!AO1571,MeanMinAge12)))</f>
        <v/>
      </c>
      <c r="AP1487">
        <f>IF(OR('19_Расчет_аналитики'!AP1459=0,12&lt;='01_Вводные'!$B$297),0,'19_Расчет_аналитики'!AP1459*IF('01_Вводные'!$B$239="Да",MeanMinAge12+'19_Расчет_аналитики'!AP1571*SUMIF(ThresholdAge12,"&lt;"&amp;'19_Расчет_аналитики'!AP1571,WeightedRevAge12)-SUMIF(ThresholdAge12,"&lt;"&amp;'19_Расчет_аналитики'!AP1571,WeightedMinAge12),MAX(CapacityAge12*'01_Вводные'!$B$218*'19_Расчет_аналитики'!AP1571,MeanMinAge12)))</f>
        <v/>
      </c>
      <c r="AQ1487">
        <f>IF(OR('19_Расчет_аналитики'!AQ1459=0,12&lt;='01_Вводные'!$B$297),0,'19_Расчет_аналитики'!AQ1459*IF('01_Вводные'!$B$239="Да",MeanMinAge12+'19_Расчет_аналитики'!AQ1571*SUMIF(ThresholdAge12,"&lt;"&amp;'19_Расчет_аналитики'!AQ1571,WeightedRevAge12)-SUMIF(ThresholdAge12,"&lt;"&amp;'19_Расчет_аналитики'!AQ1571,WeightedMinAge12),MAX(CapacityAge12*'01_Вводные'!$B$218*'19_Расчет_аналитики'!AQ1571,MeanMinAge12)))</f>
        <v/>
      </c>
      <c r="AR1487">
        <f>IF(OR('19_Расчет_аналитики'!AR1459=0,12&lt;='01_Вводные'!$B$297),0,'19_Расчет_аналитики'!AR1459*IF('01_Вводные'!$B$239="Да",MeanMinAge12+'19_Расчет_аналитики'!AR1571*SUMIF(ThresholdAge12,"&lt;"&amp;'19_Расчет_аналитики'!AR1571,WeightedRevAge12)-SUMIF(ThresholdAge12,"&lt;"&amp;'19_Расчет_аналитики'!AR1571,WeightedMinAge12),MAX(CapacityAge12*'01_Вводные'!$B$218*'19_Расчет_аналитики'!AR1571,MeanMinAge12)))</f>
        <v/>
      </c>
      <c r="AS1487">
        <f>IF(OR('19_Расчет_аналитики'!AS1459=0,12&lt;='01_Вводные'!$B$297),0,'19_Расчет_аналитики'!AS1459*IF('01_Вводные'!$B$239="Да",MeanMinAge12+'19_Расчет_аналитики'!AS1571*SUMIF(ThresholdAge12,"&lt;"&amp;'19_Расчет_аналитики'!AS1571,WeightedRevAge12)-SUMIF(ThresholdAge12,"&lt;"&amp;'19_Расчет_аналитики'!AS1571,WeightedMinAge12),MAX(CapacityAge12*'01_Вводные'!$B$218*'19_Расчет_аналитики'!AS1571,MeanMinAge12)))</f>
        <v/>
      </c>
      <c r="AT1487">
        <f>IF(OR('19_Расчет_аналитики'!AT1459=0,12&lt;='01_Вводные'!$B$297),0,'19_Расчет_аналитики'!AT1459*IF('01_Вводные'!$B$239="Да",MeanMinAge12+'19_Расчет_аналитики'!AT1571*SUMIF(ThresholdAge12,"&lt;"&amp;'19_Расчет_аналитики'!AT1571,WeightedRevAge12)-SUMIF(ThresholdAge12,"&lt;"&amp;'19_Расчет_аналитики'!AT1571,WeightedMinAge12),MAX(CapacityAge12*'01_Вводные'!$B$218*'19_Расчет_аналитики'!AT1571,MeanMinAge12)))</f>
        <v/>
      </c>
      <c r="AU1487">
        <f>IF(OR('19_Расчет_аналитики'!AU1459=0,12&lt;='01_Вводные'!$B$297),0,'19_Расчет_аналитики'!AU1459*IF('01_Вводные'!$B$239="Да",MeanMinAge12+'19_Расчет_аналитики'!AU1571*SUMIF(ThresholdAge12,"&lt;"&amp;'19_Расчет_аналитики'!AU1571,WeightedRevAge12)-SUMIF(ThresholdAge12,"&lt;"&amp;'19_Расчет_аналитики'!AU1571,WeightedMinAge12),MAX(CapacityAge12*'01_Вводные'!$B$218*'19_Расчет_аналитики'!AU1571,MeanMinAge12)))</f>
        <v/>
      </c>
      <c r="AV1487">
        <f>IF(OR('19_Расчет_аналитики'!AV1459=0,12&lt;='01_Вводные'!$B$297),0,'19_Расчет_аналитики'!AV1459*IF('01_Вводные'!$B$239="Да",MeanMinAge12+'19_Расчет_аналитики'!AV1571*SUMIF(ThresholdAge12,"&lt;"&amp;'19_Расчет_аналитики'!AV1571,WeightedRevAge12)-SUMIF(ThresholdAge12,"&lt;"&amp;'19_Расчет_аналитики'!AV1571,WeightedMinAge12),MAX(CapacityAge12*'01_Вводные'!$B$218*'19_Расчет_аналитики'!AV1571,MeanMinAge12)))</f>
        <v/>
      </c>
      <c r="AW1487">
        <f>IF(OR('19_Расчет_аналитики'!AW1459=0,12&lt;='01_Вводные'!$B$297),0,'19_Расчет_аналитики'!AW1459*IF('01_Вводные'!$B$239="Да",MeanMinAge12+'19_Расчет_аналитики'!AW1571*SUMIF(ThresholdAge12,"&lt;"&amp;'19_Расчет_аналитики'!AW1571,WeightedRevAge12)-SUMIF(ThresholdAge12,"&lt;"&amp;'19_Расчет_аналитики'!AW1571,WeightedMinAge12),MAX(CapacityAge12*'01_Вводные'!$B$218*'19_Расчет_аналитики'!AW1571,MeanMinAge12)))</f>
        <v/>
      </c>
      <c r="AX1487">
        <f>IF(OR('19_Расчет_аналитики'!AX1459=0,12&lt;='01_Вводные'!$B$297),0,'19_Расчет_аналитики'!AX1459*IF('01_Вводные'!$B$239="Да",MeanMinAge12+'19_Расчет_аналитики'!AX1571*SUMIF(ThresholdAge12,"&lt;"&amp;'19_Расчет_аналитики'!AX1571,WeightedRevAge12)-SUMIF(ThresholdAge12,"&lt;"&amp;'19_Расчет_аналитики'!AX1571,WeightedMinAge12),MAX(CapacityAge12*'01_Вводные'!$B$218*'19_Расчет_аналитики'!AX1571,MeanMinAge12)))</f>
        <v/>
      </c>
      <c r="AY1487">
        <f>IF(OR('19_Расчет_аналитики'!AY1459=0,12&lt;='01_Вводные'!$B$297),0,'19_Расчет_аналитики'!AY1459*IF('01_Вводные'!$B$239="Да",MeanMinAge12+'19_Расчет_аналитики'!AY1571*SUMIF(ThresholdAge12,"&lt;"&amp;'19_Расчет_аналитики'!AY1571,WeightedRevAge12)-SUMIF(ThresholdAge12,"&lt;"&amp;'19_Расчет_аналитики'!AY1571,WeightedMinAge12),MAX(CapacityAge12*'01_Вводные'!$B$218*'19_Расчет_аналитики'!AY1571,MeanMinAge12)))</f>
        <v/>
      </c>
      <c r="AZ1487">
        <f>IF(OR('19_Расчет_аналитики'!AZ1459=0,12&lt;='01_Вводные'!$B$297),0,'19_Расчет_аналитики'!AZ1459*IF('01_Вводные'!$B$239="Да",MeanMinAge12+'19_Расчет_аналитики'!AZ1571*SUMIF(ThresholdAge12,"&lt;"&amp;'19_Расчет_аналитики'!AZ1571,WeightedRevAge12)-SUMIF(ThresholdAge12,"&lt;"&amp;'19_Расчет_аналитики'!AZ1571,WeightedMinAge12),MAX(CapacityAge12*'01_Вводные'!$B$218*'19_Расчет_аналитики'!AZ1571,MeanMinAge12)))</f>
        <v/>
      </c>
      <c r="BA1487">
        <f>IF(OR('19_Расчет_аналитики'!BA1459=0,12&lt;='01_Вводные'!$B$297),0,'19_Расчет_аналитики'!BA1459*IF('01_Вводные'!$B$239="Да",MeanMinAge12+'19_Расчет_аналитики'!BA1571*SUMIF(ThresholdAge12,"&lt;"&amp;'19_Расчет_аналитики'!BA1571,WeightedRevAge12)-SUMIF(ThresholdAge12,"&lt;"&amp;'19_Расчет_аналитики'!BA1571,WeightedMinAge12),MAX(CapacityAge12*'01_Вводные'!$B$218*'19_Расчет_аналитики'!BA1571,MeanMinAge12)))</f>
        <v/>
      </c>
      <c r="BB1487">
        <f>IF(OR('19_Расчет_аналитики'!BB1459=0,12&lt;='01_Вводные'!$B$297),0,'19_Расчет_аналитики'!BB1459*IF('01_Вводные'!$B$239="Да",MeanMinAge12+'19_Расчет_аналитики'!BB1571*SUMIF(ThresholdAge12,"&lt;"&amp;'19_Расчет_аналитики'!BB1571,WeightedRevAge12)-SUMIF(ThresholdAge12,"&lt;"&amp;'19_Расчет_аналитики'!BB1571,WeightedMinAge12),MAX(CapacityAge12*'01_Вводные'!$B$218*'19_Расчет_аналитики'!BB1571,MeanMinAge12)))</f>
        <v/>
      </c>
      <c r="BC1487">
        <f>IF(OR('19_Расчет_аналитики'!BC1459=0,12&lt;='01_Вводные'!$B$297),0,'19_Расчет_аналитики'!BC1459*IF('01_Вводные'!$B$239="Да",MeanMinAge12+'19_Расчет_аналитики'!BC1571*SUMIF(ThresholdAge12,"&lt;"&amp;'19_Расчет_аналитики'!BC1571,WeightedRevAge12)-SUMIF(ThresholdAge12,"&lt;"&amp;'19_Расчет_аналитики'!BC1571,WeightedMinAge12),MAX(CapacityAge12*'01_Вводные'!$B$218*'19_Расчет_аналитики'!BC1571,MeanMinAge12)))</f>
        <v/>
      </c>
      <c r="BD1487">
        <f>IF(OR('19_Расчет_аналитики'!BD1459=0,12&lt;='01_Вводные'!$B$297),0,'19_Расчет_аналитики'!BD1459*IF('01_Вводные'!$B$239="Да",MeanMinAge12+'19_Расчет_аналитики'!BD1571*SUMIF(ThresholdAge12,"&lt;"&amp;'19_Расчет_аналитики'!BD1571,WeightedRevAge12)-SUMIF(ThresholdAge12,"&lt;"&amp;'19_Расчет_аналитики'!BD1571,WeightedMinAge12),MAX(CapacityAge12*'01_Вводные'!$B$218*'19_Расчет_аналитики'!BD1571,MeanMinAge12)))</f>
        <v/>
      </c>
      <c r="BE1487">
        <f>IF(OR('19_Расчет_аналитики'!BE1459=0,12&lt;='01_Вводные'!$B$297),0,'19_Расчет_аналитики'!BE1459*IF('01_Вводные'!$B$239="Да",MeanMinAge12+'19_Расчет_аналитики'!BE1571*SUMIF(ThresholdAge12,"&lt;"&amp;'19_Расчет_аналитики'!BE1571,WeightedRevAge12)-SUMIF(ThresholdAge12,"&lt;"&amp;'19_Расчет_аналитики'!BE1571,WeightedMinAge12),MAX(CapacityAge12*'01_Вводные'!$B$218*'19_Расчет_аналитики'!BE1571,MeanMinAge12)))</f>
        <v/>
      </c>
      <c r="BF1487">
        <f>IF(OR('19_Расчет_аналитики'!BF1459=0,12&lt;='01_Вводные'!$B$297),0,'19_Расчет_аналитики'!BF1459*IF('01_Вводные'!$B$239="Да",MeanMinAge12+'19_Расчет_аналитики'!BF1571*SUMIF(ThresholdAge12,"&lt;"&amp;'19_Расчет_аналитики'!BF1571,WeightedRevAge12)-SUMIF(ThresholdAge12,"&lt;"&amp;'19_Расчет_аналитики'!BF1571,WeightedMinAge12),MAX(CapacityAge12*'01_Вводные'!$B$218*'19_Расчет_аналитики'!BF1571,MeanMinAge12)))</f>
        <v/>
      </c>
      <c r="BG1487">
        <f>IF(OR('19_Расчет_аналитики'!BG1459=0,12&lt;='01_Вводные'!$B$297),0,'19_Расчет_аналитики'!BG1459*IF('01_Вводные'!$B$239="Да",MeanMinAge12+'19_Расчет_аналитики'!BG1571*SUMIF(ThresholdAge12,"&lt;"&amp;'19_Расчет_аналитики'!BG1571,WeightedRevAge12)-SUMIF(ThresholdAge12,"&lt;"&amp;'19_Расчет_аналитики'!BG1571,WeightedMinAge12),MAX(CapacityAge12*'01_Вводные'!$B$218*'19_Расчет_аналитики'!BG1571,MeanMinAge12)))</f>
        <v/>
      </c>
      <c r="BH1487">
        <f>IF(OR('19_Расчет_аналитики'!BH1459=0,12&lt;='01_Вводные'!$B$297),0,'19_Расчет_аналитики'!BH1459*IF('01_Вводные'!$B$239="Да",MeanMinAge12+'19_Расчет_аналитики'!BH1571*SUMIF(ThresholdAge12,"&lt;"&amp;'19_Расчет_аналитики'!BH1571,WeightedRevAge12)-SUMIF(ThresholdAge12,"&lt;"&amp;'19_Расчет_аналитики'!BH1571,WeightedMinAge12),MAX(CapacityAge12*'01_Вводные'!$B$218*'19_Расчет_аналитики'!BH1571,MeanMinAge12)))</f>
        <v/>
      </c>
      <c r="BI1487">
        <f>IF(OR('19_Расчет_аналитики'!BI1459=0,12&lt;='01_Вводные'!$B$297),0,'19_Расчет_аналитики'!BI1459*IF('01_Вводные'!$B$239="Да",MeanMinAge12+'19_Расчет_аналитики'!BI1571*SUMIF(ThresholdAge12,"&lt;"&amp;'19_Расчет_аналитики'!BI1571,WeightedRevAge12)-SUMIF(ThresholdAge12,"&lt;"&amp;'19_Расчет_аналитики'!BI1571,WeightedMinAge12),MAX(CapacityAge12*'01_Вводные'!$B$218*'19_Расчет_аналитики'!BI1571,MeanMinAge12)))</f>
        <v/>
      </c>
      <c r="BJ1487">
        <f>IF(OR('19_Расчет_аналитики'!BJ1459=0,12&lt;='01_Вводные'!$B$297),0,'19_Расчет_аналитики'!BJ1459*IF('01_Вводные'!$B$239="Да",MeanMinAge12+'19_Расчет_аналитики'!BJ1571*SUMIF(ThresholdAge12,"&lt;"&amp;'19_Расчет_аналитики'!BJ1571,WeightedRevAge12)-SUMIF(ThresholdAge12,"&lt;"&amp;'19_Расчет_аналитики'!BJ1571,WeightedMinAge12),MAX(CapacityAge12*'01_Вводные'!$B$218*'19_Расчет_аналитики'!BJ1571,MeanMinAge12)))</f>
        <v/>
      </c>
      <c r="BK1487">
        <f>IF(OR('19_Расчет_аналитики'!BK1459=0,12&lt;='01_Вводные'!$B$297),0,'19_Расчет_аналитики'!BK1459*IF('01_Вводные'!$B$239="Да",MeanMinAge12+'19_Расчет_аналитики'!BK1571*SUMIF(ThresholdAge12,"&lt;"&amp;'19_Расчет_аналитики'!BK1571,WeightedRevAge12)-SUMIF(ThresholdAge12,"&lt;"&amp;'19_Расчет_аналитики'!BK1571,WeightedMinAge12),MAX(CapacityAge12*'01_Вводные'!$B$218*'19_Расчет_аналитики'!BK1571,MeanMinAge12)))</f>
        <v/>
      </c>
      <c r="BL1487">
        <f>IF(OR('19_Расчет_аналитики'!BL1459=0,12&lt;='01_Вводные'!$B$297),0,'19_Расчет_аналитики'!BL1459*IF('01_Вводные'!$B$239="Да",MeanMinAge12+'19_Расчет_аналитики'!BL1571*SUMIF(ThresholdAge12,"&lt;"&amp;'19_Расчет_аналитики'!BL1571,WeightedRevAge12)-SUMIF(ThresholdAge12,"&lt;"&amp;'19_Расчет_аналитики'!BL1571,WeightedMinAge12),MAX(CapacityAge12*'01_Вводные'!$B$218*'19_Расчет_аналитики'!BL1571,MeanMinAge12)))</f>
        <v/>
      </c>
      <c r="BM1487">
        <f>IF(OR('19_Расчет_аналитики'!BM1459=0,12&lt;='01_Вводные'!$B$297),0,'19_Расчет_аналитики'!BM1459*IF('01_Вводные'!$B$239="Да",MeanMinAge12+'19_Расчет_аналитики'!BM1571*SUMIF(ThresholdAge12,"&lt;"&amp;'19_Расчет_аналитики'!BM1571,WeightedRevAge12)-SUMIF(ThresholdAge12,"&lt;"&amp;'19_Расчет_аналитики'!BM1571,WeightedMinAge12),MAX(CapacityAge12*'01_Вводные'!$B$218*'19_Расчет_аналитики'!BM1571,MeanMinAge12)))</f>
        <v/>
      </c>
      <c r="BN1487">
        <f>IF(OR('19_Расчет_аналитики'!BN1459=0,12&lt;='01_Вводные'!$B$297),0,'19_Расчет_аналитики'!BN1459*IF('01_Вводные'!$B$239="Да",MeanMinAge12+'19_Расчет_аналитики'!BN1571*SUMIF(ThresholdAge12,"&lt;"&amp;'19_Расчет_аналитики'!BN1571,WeightedRevAge12)-SUMIF(ThresholdAge12,"&lt;"&amp;'19_Расчет_аналитики'!BN1571,WeightedMinAge12),MAX(CapacityAge12*'01_Вводные'!$B$218*'19_Расчет_аналитики'!BN1571,MeanMinAge12)))</f>
        <v/>
      </c>
      <c r="BO1487">
        <f>IF(OR('19_Расчет_аналитики'!BO1459=0,12&lt;='01_Вводные'!$B$297),0,'19_Расчет_аналитики'!BO1459*IF('01_Вводные'!$B$239="Да",MeanMinAge12+'19_Расчет_аналитики'!BO1571*SUMIF(ThresholdAge12,"&lt;"&amp;'19_Расчет_аналитики'!BO1571,WeightedRevAge12)-SUMIF(ThresholdAge12,"&lt;"&amp;'19_Расчет_аналитики'!BO1571,WeightedMinAge12),MAX(CapacityAge12*'01_Вводные'!$B$218*'19_Расчет_аналитики'!BO1571,MeanMinAge12)))</f>
        <v/>
      </c>
    </row>
    <row r="1488">
      <c r="B1488">
        <f>IF(OR('06_Сеть_и_дети'!B93=0,13&lt;='01_Вводные'!$B$297),0,'06_Сеть_и_дети'!B93*IF('01_Вводные'!$B$239="Да",MeanMinAge13+'19_Расчет_аналитики'!B1571*SUMIF(ThresholdAge13,"&lt;"&amp;'19_Расчет_аналитики'!B1571,WeightedRevAge13)-SUMIF(ThresholdAge13,"&lt;"&amp;'19_Расчет_аналитики'!B1571,WeightedMinAge13),MAX(CapacityAge13*'01_Вводные'!$B$218*'19_Расчет_аналитики'!B1571,MeanMinAge13)))</f>
        <v/>
      </c>
      <c r="C1488">
        <f>IF(OR('06_Сеть_и_дети'!C93=0,13&lt;='01_Вводные'!$B$297),0,'06_Сеть_и_дети'!C93*IF('01_Вводные'!$B$239="Да",MeanMinAge13+'19_Расчет_аналитики'!C1571*SUMIF(ThresholdAge13,"&lt;"&amp;'19_Расчет_аналитики'!C1571,WeightedRevAge13)-SUMIF(ThresholdAge13,"&lt;"&amp;'19_Расчет_аналитики'!C1571,WeightedMinAge13),MAX(CapacityAge13*'01_Вводные'!$B$218*'19_Расчет_аналитики'!C1571,MeanMinAge13)))</f>
        <v/>
      </c>
      <c r="D1488">
        <f>IF(OR('06_Сеть_и_дети'!D93=0,13&lt;='01_Вводные'!$B$297),0,'06_Сеть_и_дети'!D93*IF('01_Вводные'!$B$239="Да",MeanMinAge13+'19_Расчет_аналитики'!D1571*SUMIF(ThresholdAge13,"&lt;"&amp;'19_Расчет_аналитики'!D1571,WeightedRevAge13)-SUMIF(ThresholdAge13,"&lt;"&amp;'19_Расчет_аналитики'!D1571,WeightedMinAge13),MAX(CapacityAge13*'01_Вводные'!$B$218*'19_Расчет_аналитики'!D1571,MeanMinAge13)))</f>
        <v/>
      </c>
      <c r="E1488">
        <f>IF(OR('06_Сеть_и_дети'!E93=0,13&lt;='01_Вводные'!$B$297),0,'06_Сеть_и_дети'!E93*IF('01_Вводные'!$B$239="Да",MeanMinAge13+'19_Расчет_аналитики'!E1571*SUMIF(ThresholdAge13,"&lt;"&amp;'19_Расчет_аналитики'!E1571,WeightedRevAge13)-SUMIF(ThresholdAge13,"&lt;"&amp;'19_Расчет_аналитики'!E1571,WeightedMinAge13),MAX(CapacityAge13*'01_Вводные'!$B$218*'19_Расчет_аналитики'!E1571,MeanMinAge13)))</f>
        <v/>
      </c>
      <c r="F1488">
        <f>IF(OR('06_Сеть_и_дети'!F93=0,13&lt;='01_Вводные'!$B$297),0,'06_Сеть_и_дети'!F93*IF('01_Вводные'!$B$239="Да",MeanMinAge13+'19_Расчет_аналитики'!F1571*SUMIF(ThresholdAge13,"&lt;"&amp;'19_Расчет_аналитики'!F1571,WeightedRevAge13)-SUMIF(ThresholdAge13,"&lt;"&amp;'19_Расчет_аналитики'!F1571,WeightedMinAge13),MAX(CapacityAge13*'01_Вводные'!$B$218*'19_Расчет_аналитики'!F1571,MeanMinAge13)))</f>
        <v/>
      </c>
      <c r="G1488">
        <f>IF(OR('06_Сеть_и_дети'!G93=0,13&lt;='01_Вводные'!$B$297),0,'06_Сеть_и_дети'!G93*IF('01_Вводные'!$B$239="Да",MeanMinAge13+'19_Расчет_аналитики'!G1571*SUMIF(ThresholdAge13,"&lt;"&amp;'19_Расчет_аналитики'!G1571,WeightedRevAge13)-SUMIF(ThresholdAge13,"&lt;"&amp;'19_Расчет_аналитики'!G1571,WeightedMinAge13),MAX(CapacityAge13*'01_Вводные'!$B$218*'19_Расчет_аналитики'!G1571,MeanMinAge13)))</f>
        <v/>
      </c>
      <c r="H1488">
        <f>IF(OR('06_Сеть_и_дети'!H93=0,13&lt;='01_Вводные'!$B$297),0,'06_Сеть_и_дети'!H93*IF('01_Вводные'!$B$239="Да",MeanMinAge13+'19_Расчет_аналитики'!H1571*SUMIF(ThresholdAge13,"&lt;"&amp;'19_Расчет_аналитики'!H1571,WeightedRevAge13)-SUMIF(ThresholdAge13,"&lt;"&amp;'19_Расчет_аналитики'!H1571,WeightedMinAge13),MAX(CapacityAge13*'01_Вводные'!$B$218*'19_Расчет_аналитики'!H1571,MeanMinAge13)))</f>
        <v/>
      </c>
      <c r="I1488">
        <f>IF(OR('06_Сеть_и_дети'!I93=0,13&lt;='01_Вводные'!$B$297),0,'06_Сеть_и_дети'!I93*IF('01_Вводные'!$B$239="Да",MeanMinAge13+'19_Расчет_аналитики'!I1571*SUMIF(ThresholdAge13,"&lt;"&amp;'19_Расчет_аналитики'!I1571,WeightedRevAge13)-SUMIF(ThresholdAge13,"&lt;"&amp;'19_Расчет_аналитики'!I1571,WeightedMinAge13),MAX(CapacityAge13*'01_Вводные'!$B$218*'19_Расчет_аналитики'!I1571,MeanMinAge13)))</f>
        <v/>
      </c>
      <c r="J1488">
        <f>IF(OR('06_Сеть_и_дети'!J93=0,13&lt;='01_Вводные'!$B$297),0,'06_Сеть_и_дети'!J93*IF('01_Вводные'!$B$239="Да",MeanMinAge13+'19_Расчет_аналитики'!J1571*SUMIF(ThresholdAge13,"&lt;"&amp;'19_Расчет_аналитики'!J1571,WeightedRevAge13)-SUMIF(ThresholdAge13,"&lt;"&amp;'19_Расчет_аналитики'!J1571,WeightedMinAge13),MAX(CapacityAge13*'01_Вводные'!$B$218*'19_Расчет_аналитики'!J1571,MeanMinAge13)))</f>
        <v/>
      </c>
      <c r="K1488">
        <f>IF(OR('06_Сеть_и_дети'!K93=0,13&lt;='01_Вводные'!$B$297),0,'06_Сеть_и_дети'!K93*IF('01_Вводные'!$B$239="Да",MeanMinAge13+'19_Расчет_аналитики'!K1571*SUMIF(ThresholdAge13,"&lt;"&amp;'19_Расчет_аналитики'!K1571,WeightedRevAge13)-SUMIF(ThresholdAge13,"&lt;"&amp;'19_Расчет_аналитики'!K1571,WeightedMinAge13),MAX(CapacityAge13*'01_Вводные'!$B$218*'19_Расчет_аналитики'!K1571,MeanMinAge13)))</f>
        <v/>
      </c>
      <c r="L1488">
        <f>IF(OR('06_Сеть_и_дети'!L93=0,13&lt;='01_Вводные'!$B$297),0,'06_Сеть_и_дети'!L93*IF('01_Вводные'!$B$239="Да",MeanMinAge13+'19_Расчет_аналитики'!L1571*SUMIF(ThresholdAge13,"&lt;"&amp;'19_Расчет_аналитики'!L1571,WeightedRevAge13)-SUMIF(ThresholdAge13,"&lt;"&amp;'19_Расчет_аналитики'!L1571,WeightedMinAge13),MAX(CapacityAge13*'01_Вводные'!$B$218*'19_Расчет_аналитики'!L1571,MeanMinAge13)))</f>
        <v/>
      </c>
      <c r="M1488">
        <f>IF(OR('06_Сеть_и_дети'!M93=0,13&lt;='01_Вводные'!$B$297),0,'06_Сеть_и_дети'!M93*IF('01_Вводные'!$B$239="Да",MeanMinAge13+'19_Расчет_аналитики'!M1571*SUMIF(ThresholdAge13,"&lt;"&amp;'19_Расчет_аналитики'!M1571,WeightedRevAge13)-SUMIF(ThresholdAge13,"&lt;"&amp;'19_Расчет_аналитики'!M1571,WeightedMinAge13),MAX(CapacityAge13*'01_Вводные'!$B$218*'19_Расчет_аналитики'!M1571,MeanMinAge13)))</f>
        <v/>
      </c>
      <c r="N1488">
        <f>IF(OR('19_Расчет_аналитики'!N1460=0,13&lt;='01_Вводные'!$B$297),0,'19_Расчет_аналитики'!N1460*IF('01_Вводные'!$B$239="Да",MeanMinAge13+'19_Расчет_аналитики'!N1571*SUMIF(ThresholdAge13,"&lt;"&amp;'19_Расчет_аналитики'!N1571,WeightedRevAge13)-SUMIF(ThresholdAge13,"&lt;"&amp;'19_Расчет_аналитики'!N1571,WeightedMinAge13),MAX(CapacityAge13*'01_Вводные'!$B$218*'19_Расчет_аналитики'!N1571,MeanMinAge13)))</f>
        <v/>
      </c>
      <c r="O1488">
        <f>IF(OR('19_Расчет_аналитики'!O1460=0,13&lt;='01_Вводные'!$B$297),0,'19_Расчет_аналитики'!O1460*IF('01_Вводные'!$B$239="Да",MeanMinAge13+'19_Расчет_аналитики'!O1571*SUMIF(ThresholdAge13,"&lt;"&amp;'19_Расчет_аналитики'!O1571,WeightedRevAge13)-SUMIF(ThresholdAge13,"&lt;"&amp;'19_Расчет_аналитики'!O1571,WeightedMinAge13),MAX(CapacityAge13*'01_Вводные'!$B$218*'19_Расчет_аналитики'!O1571,MeanMinAge13)))</f>
        <v/>
      </c>
      <c r="P1488">
        <f>IF(OR('19_Расчет_аналитики'!P1460=0,13&lt;='01_Вводные'!$B$297),0,'19_Расчет_аналитики'!P1460*IF('01_Вводные'!$B$239="Да",MeanMinAge13+'19_Расчет_аналитики'!P1571*SUMIF(ThresholdAge13,"&lt;"&amp;'19_Расчет_аналитики'!P1571,WeightedRevAge13)-SUMIF(ThresholdAge13,"&lt;"&amp;'19_Расчет_аналитики'!P1571,WeightedMinAge13),MAX(CapacityAge13*'01_Вводные'!$B$218*'19_Расчет_аналитики'!P1571,MeanMinAge13)))</f>
        <v/>
      </c>
      <c r="Q1488">
        <f>IF(OR('19_Расчет_аналитики'!Q1460=0,13&lt;='01_Вводные'!$B$297),0,'19_Расчет_аналитики'!Q1460*IF('01_Вводные'!$B$239="Да",MeanMinAge13+'19_Расчет_аналитики'!Q1571*SUMIF(ThresholdAge13,"&lt;"&amp;'19_Расчет_аналитики'!Q1571,WeightedRevAge13)-SUMIF(ThresholdAge13,"&lt;"&amp;'19_Расчет_аналитики'!Q1571,WeightedMinAge13),MAX(CapacityAge13*'01_Вводные'!$B$218*'19_Расчет_аналитики'!Q1571,MeanMinAge13)))</f>
        <v/>
      </c>
      <c r="R1488">
        <f>IF(OR('19_Расчет_аналитики'!R1460=0,13&lt;='01_Вводные'!$B$297),0,'19_Расчет_аналитики'!R1460*IF('01_Вводные'!$B$239="Да",MeanMinAge13+'19_Расчет_аналитики'!R1571*SUMIF(ThresholdAge13,"&lt;"&amp;'19_Расчет_аналитики'!R1571,WeightedRevAge13)-SUMIF(ThresholdAge13,"&lt;"&amp;'19_Расчет_аналитики'!R1571,WeightedMinAge13),MAX(CapacityAge13*'01_Вводные'!$B$218*'19_Расчет_аналитики'!R1571,MeanMinAge13)))</f>
        <v/>
      </c>
      <c r="S1488">
        <f>IF(OR('19_Расчет_аналитики'!S1460=0,13&lt;='01_Вводные'!$B$297),0,'19_Расчет_аналитики'!S1460*IF('01_Вводные'!$B$239="Да",MeanMinAge13+'19_Расчет_аналитики'!S1571*SUMIF(ThresholdAge13,"&lt;"&amp;'19_Расчет_аналитики'!S1571,WeightedRevAge13)-SUMIF(ThresholdAge13,"&lt;"&amp;'19_Расчет_аналитики'!S1571,WeightedMinAge13),MAX(CapacityAge13*'01_Вводные'!$B$218*'19_Расчет_аналитики'!S1571,MeanMinAge13)))</f>
        <v/>
      </c>
      <c r="T1488">
        <f>IF(OR('19_Расчет_аналитики'!T1460=0,13&lt;='01_Вводные'!$B$297),0,'19_Расчет_аналитики'!T1460*IF('01_Вводные'!$B$239="Да",MeanMinAge13+'19_Расчет_аналитики'!T1571*SUMIF(ThresholdAge13,"&lt;"&amp;'19_Расчет_аналитики'!T1571,WeightedRevAge13)-SUMIF(ThresholdAge13,"&lt;"&amp;'19_Расчет_аналитики'!T1571,WeightedMinAge13),MAX(CapacityAge13*'01_Вводные'!$B$218*'19_Расчет_аналитики'!T1571,MeanMinAge13)))</f>
        <v/>
      </c>
      <c r="U1488">
        <f>IF(OR('19_Расчет_аналитики'!U1460=0,13&lt;='01_Вводные'!$B$297),0,'19_Расчет_аналитики'!U1460*IF('01_Вводные'!$B$239="Да",MeanMinAge13+'19_Расчет_аналитики'!U1571*SUMIF(ThresholdAge13,"&lt;"&amp;'19_Расчет_аналитики'!U1571,WeightedRevAge13)-SUMIF(ThresholdAge13,"&lt;"&amp;'19_Расчет_аналитики'!U1571,WeightedMinAge13),MAX(CapacityAge13*'01_Вводные'!$B$218*'19_Расчет_аналитики'!U1571,MeanMinAge13)))</f>
        <v/>
      </c>
      <c r="V1488">
        <f>IF(OR('19_Расчет_аналитики'!V1460=0,13&lt;='01_Вводные'!$B$297),0,'19_Расчет_аналитики'!V1460*IF('01_Вводные'!$B$239="Да",MeanMinAge13+'19_Расчет_аналитики'!V1571*SUMIF(ThresholdAge13,"&lt;"&amp;'19_Расчет_аналитики'!V1571,WeightedRevAge13)-SUMIF(ThresholdAge13,"&lt;"&amp;'19_Расчет_аналитики'!V1571,WeightedMinAge13),MAX(CapacityAge13*'01_Вводные'!$B$218*'19_Расчет_аналитики'!V1571,MeanMinAge13)))</f>
        <v/>
      </c>
      <c r="W1488">
        <f>IF(OR('19_Расчет_аналитики'!W1460=0,13&lt;='01_Вводные'!$B$297),0,'19_Расчет_аналитики'!W1460*IF('01_Вводные'!$B$239="Да",MeanMinAge13+'19_Расчет_аналитики'!W1571*SUMIF(ThresholdAge13,"&lt;"&amp;'19_Расчет_аналитики'!W1571,WeightedRevAge13)-SUMIF(ThresholdAge13,"&lt;"&amp;'19_Расчет_аналитики'!W1571,WeightedMinAge13),MAX(CapacityAge13*'01_Вводные'!$B$218*'19_Расчет_аналитики'!W1571,MeanMinAge13)))</f>
        <v/>
      </c>
      <c r="X1488">
        <f>IF(OR('19_Расчет_аналитики'!X1460=0,13&lt;='01_Вводные'!$B$297),0,'19_Расчет_аналитики'!X1460*IF('01_Вводные'!$B$239="Да",MeanMinAge13+'19_Расчет_аналитики'!X1571*SUMIF(ThresholdAge13,"&lt;"&amp;'19_Расчет_аналитики'!X1571,WeightedRevAge13)-SUMIF(ThresholdAge13,"&lt;"&amp;'19_Расчет_аналитики'!X1571,WeightedMinAge13),MAX(CapacityAge13*'01_Вводные'!$B$218*'19_Расчет_аналитики'!X1571,MeanMinAge13)))</f>
        <v/>
      </c>
      <c r="Y1488">
        <f>IF(OR('19_Расчет_аналитики'!Y1460=0,13&lt;='01_Вводные'!$B$297),0,'19_Расчет_аналитики'!Y1460*IF('01_Вводные'!$B$239="Да",MeanMinAge13+'19_Расчет_аналитики'!Y1571*SUMIF(ThresholdAge13,"&lt;"&amp;'19_Расчет_аналитики'!Y1571,WeightedRevAge13)-SUMIF(ThresholdAge13,"&lt;"&amp;'19_Расчет_аналитики'!Y1571,WeightedMinAge13),MAX(CapacityAge13*'01_Вводные'!$B$218*'19_Расчет_аналитики'!Y1571,MeanMinAge13)))</f>
        <v/>
      </c>
      <c r="Z1488">
        <f>IF(OR('19_Расчет_аналитики'!Z1460=0,13&lt;='01_Вводные'!$B$297),0,'19_Расчет_аналитики'!Z1460*IF('01_Вводные'!$B$239="Да",MeanMinAge13+'19_Расчет_аналитики'!Z1571*SUMIF(ThresholdAge13,"&lt;"&amp;'19_Расчет_аналитики'!Z1571,WeightedRevAge13)-SUMIF(ThresholdAge13,"&lt;"&amp;'19_Расчет_аналитики'!Z1571,WeightedMinAge13),MAX(CapacityAge13*'01_Вводные'!$B$218*'19_Расчет_аналитики'!Z1571,MeanMinAge13)))</f>
        <v/>
      </c>
      <c r="AA1488">
        <f>IF(OR('19_Расчет_аналитики'!AA1460=0,13&lt;='01_Вводные'!$B$297),0,'19_Расчет_аналитики'!AA1460*IF('01_Вводные'!$B$239="Да",MeanMinAge13+'19_Расчет_аналитики'!AA1571*SUMIF(ThresholdAge13,"&lt;"&amp;'19_Расчет_аналитики'!AA1571,WeightedRevAge13)-SUMIF(ThresholdAge13,"&lt;"&amp;'19_Расчет_аналитики'!AA1571,WeightedMinAge13),MAX(CapacityAge13*'01_Вводные'!$B$218*'19_Расчет_аналитики'!AA1571,MeanMinAge13)))</f>
        <v/>
      </c>
      <c r="AB1488">
        <f>IF(OR('19_Расчет_аналитики'!AB1460=0,13&lt;='01_Вводные'!$B$297),0,'19_Расчет_аналитики'!AB1460*IF('01_Вводные'!$B$239="Да",MeanMinAge13+'19_Расчет_аналитики'!AB1571*SUMIF(ThresholdAge13,"&lt;"&amp;'19_Расчет_аналитики'!AB1571,WeightedRevAge13)-SUMIF(ThresholdAge13,"&lt;"&amp;'19_Расчет_аналитики'!AB1571,WeightedMinAge13),MAX(CapacityAge13*'01_Вводные'!$B$218*'19_Расчет_аналитики'!AB1571,MeanMinAge13)))</f>
        <v/>
      </c>
      <c r="AC1488">
        <f>IF(OR('19_Расчет_аналитики'!AC1460=0,13&lt;='01_Вводные'!$B$297),0,'19_Расчет_аналитики'!AC1460*IF('01_Вводные'!$B$239="Да",MeanMinAge13+'19_Расчет_аналитики'!AC1571*SUMIF(ThresholdAge13,"&lt;"&amp;'19_Расчет_аналитики'!AC1571,WeightedRevAge13)-SUMIF(ThresholdAge13,"&lt;"&amp;'19_Расчет_аналитики'!AC1571,WeightedMinAge13),MAX(CapacityAge13*'01_Вводные'!$B$218*'19_Расчет_аналитики'!AC1571,MeanMinAge13)))</f>
        <v/>
      </c>
      <c r="AD1488">
        <f>IF(OR('19_Расчет_аналитики'!AD1460=0,13&lt;='01_Вводные'!$B$297),0,'19_Расчет_аналитики'!AD1460*IF('01_Вводные'!$B$239="Да",MeanMinAge13+'19_Расчет_аналитики'!AD1571*SUMIF(ThresholdAge13,"&lt;"&amp;'19_Расчет_аналитики'!AD1571,WeightedRevAge13)-SUMIF(ThresholdAge13,"&lt;"&amp;'19_Расчет_аналитики'!AD1571,WeightedMinAge13),MAX(CapacityAge13*'01_Вводные'!$B$218*'19_Расчет_аналитики'!AD1571,MeanMinAge13)))</f>
        <v/>
      </c>
      <c r="AE1488">
        <f>IF(OR('19_Расчет_аналитики'!AE1460=0,13&lt;='01_Вводные'!$B$297),0,'19_Расчет_аналитики'!AE1460*IF('01_Вводные'!$B$239="Да",MeanMinAge13+'19_Расчет_аналитики'!AE1571*SUMIF(ThresholdAge13,"&lt;"&amp;'19_Расчет_аналитики'!AE1571,WeightedRevAge13)-SUMIF(ThresholdAge13,"&lt;"&amp;'19_Расчет_аналитики'!AE1571,WeightedMinAge13),MAX(CapacityAge13*'01_Вводные'!$B$218*'19_Расчет_аналитики'!AE1571,MeanMinAge13)))</f>
        <v/>
      </c>
      <c r="AF1488">
        <f>IF(OR('19_Расчет_аналитики'!AF1460=0,13&lt;='01_Вводные'!$B$297),0,'19_Расчет_аналитики'!AF1460*IF('01_Вводные'!$B$239="Да",MeanMinAge13+'19_Расчет_аналитики'!AF1571*SUMIF(ThresholdAge13,"&lt;"&amp;'19_Расчет_аналитики'!AF1571,WeightedRevAge13)-SUMIF(ThresholdAge13,"&lt;"&amp;'19_Расчет_аналитики'!AF1571,WeightedMinAge13),MAX(CapacityAge13*'01_Вводные'!$B$218*'19_Расчет_аналитики'!AF1571,MeanMinAge13)))</f>
        <v/>
      </c>
      <c r="AG1488">
        <f>IF(OR('19_Расчет_аналитики'!AG1460=0,13&lt;='01_Вводные'!$B$297),0,'19_Расчет_аналитики'!AG1460*IF('01_Вводные'!$B$239="Да",MeanMinAge13+'19_Расчет_аналитики'!AG1571*SUMIF(ThresholdAge13,"&lt;"&amp;'19_Расчет_аналитики'!AG1571,WeightedRevAge13)-SUMIF(ThresholdAge13,"&lt;"&amp;'19_Расчет_аналитики'!AG1571,WeightedMinAge13),MAX(CapacityAge13*'01_Вводные'!$B$218*'19_Расчет_аналитики'!AG1571,MeanMinAge13)))</f>
        <v/>
      </c>
      <c r="AH1488">
        <f>IF(OR('19_Расчет_аналитики'!AH1460=0,13&lt;='01_Вводные'!$B$297),0,'19_Расчет_аналитики'!AH1460*IF('01_Вводные'!$B$239="Да",MeanMinAge13+'19_Расчет_аналитики'!AH1571*SUMIF(ThresholdAge13,"&lt;"&amp;'19_Расчет_аналитики'!AH1571,WeightedRevAge13)-SUMIF(ThresholdAge13,"&lt;"&amp;'19_Расчет_аналитики'!AH1571,WeightedMinAge13),MAX(CapacityAge13*'01_Вводные'!$B$218*'19_Расчет_аналитики'!AH1571,MeanMinAge13)))</f>
        <v/>
      </c>
      <c r="AI1488">
        <f>IF(OR('19_Расчет_аналитики'!AI1460=0,13&lt;='01_Вводные'!$B$297),0,'19_Расчет_аналитики'!AI1460*IF('01_Вводные'!$B$239="Да",MeanMinAge13+'19_Расчет_аналитики'!AI1571*SUMIF(ThresholdAge13,"&lt;"&amp;'19_Расчет_аналитики'!AI1571,WeightedRevAge13)-SUMIF(ThresholdAge13,"&lt;"&amp;'19_Расчет_аналитики'!AI1571,WeightedMinAge13),MAX(CapacityAge13*'01_Вводные'!$B$218*'19_Расчет_аналитики'!AI1571,MeanMinAge13)))</f>
        <v/>
      </c>
      <c r="AJ1488">
        <f>IF(OR('19_Расчет_аналитики'!AJ1460=0,13&lt;='01_Вводные'!$B$297),0,'19_Расчет_аналитики'!AJ1460*IF('01_Вводные'!$B$239="Да",MeanMinAge13+'19_Расчет_аналитики'!AJ1571*SUMIF(ThresholdAge13,"&lt;"&amp;'19_Расчет_аналитики'!AJ1571,WeightedRevAge13)-SUMIF(ThresholdAge13,"&lt;"&amp;'19_Расчет_аналитики'!AJ1571,WeightedMinAge13),MAX(CapacityAge13*'01_Вводные'!$B$218*'19_Расчет_аналитики'!AJ1571,MeanMinAge13)))</f>
        <v/>
      </c>
      <c r="AK1488">
        <f>IF(OR('19_Расчет_аналитики'!AK1460=0,13&lt;='01_Вводные'!$B$297),0,'19_Расчет_аналитики'!AK1460*IF('01_Вводные'!$B$239="Да",MeanMinAge13+'19_Расчет_аналитики'!AK1571*SUMIF(ThresholdAge13,"&lt;"&amp;'19_Расчет_аналитики'!AK1571,WeightedRevAge13)-SUMIF(ThresholdAge13,"&lt;"&amp;'19_Расчет_аналитики'!AK1571,WeightedMinAge13),MAX(CapacityAge13*'01_Вводные'!$B$218*'19_Расчет_аналитики'!AK1571,MeanMinAge13)))</f>
        <v/>
      </c>
      <c r="AL1488">
        <f>IF(OR('19_Расчет_аналитики'!AL1460=0,13&lt;='01_Вводные'!$B$297),0,'19_Расчет_аналитики'!AL1460*IF('01_Вводные'!$B$239="Да",MeanMinAge13+'19_Расчет_аналитики'!AL1571*SUMIF(ThresholdAge13,"&lt;"&amp;'19_Расчет_аналитики'!AL1571,WeightedRevAge13)-SUMIF(ThresholdAge13,"&lt;"&amp;'19_Расчет_аналитики'!AL1571,WeightedMinAge13),MAX(CapacityAge13*'01_Вводные'!$B$218*'19_Расчет_аналитики'!AL1571,MeanMinAge13)))</f>
        <v/>
      </c>
      <c r="AM1488">
        <f>IF(OR('19_Расчет_аналитики'!AM1460=0,13&lt;='01_Вводные'!$B$297),0,'19_Расчет_аналитики'!AM1460*IF('01_Вводные'!$B$239="Да",MeanMinAge13+'19_Расчет_аналитики'!AM1571*SUMIF(ThresholdAge13,"&lt;"&amp;'19_Расчет_аналитики'!AM1571,WeightedRevAge13)-SUMIF(ThresholdAge13,"&lt;"&amp;'19_Расчет_аналитики'!AM1571,WeightedMinAge13),MAX(CapacityAge13*'01_Вводные'!$B$218*'19_Расчет_аналитики'!AM1571,MeanMinAge13)))</f>
        <v/>
      </c>
      <c r="AN1488">
        <f>IF(OR('19_Расчет_аналитики'!AN1460=0,13&lt;='01_Вводные'!$B$297),0,'19_Расчет_аналитики'!AN1460*IF('01_Вводные'!$B$239="Да",MeanMinAge13+'19_Расчет_аналитики'!AN1571*SUMIF(ThresholdAge13,"&lt;"&amp;'19_Расчет_аналитики'!AN1571,WeightedRevAge13)-SUMIF(ThresholdAge13,"&lt;"&amp;'19_Расчет_аналитики'!AN1571,WeightedMinAge13),MAX(CapacityAge13*'01_Вводные'!$B$218*'19_Расчет_аналитики'!AN1571,MeanMinAge13)))</f>
        <v/>
      </c>
      <c r="AO1488">
        <f>IF(OR('19_Расчет_аналитики'!AO1460=0,13&lt;='01_Вводные'!$B$297),0,'19_Расчет_аналитики'!AO1460*IF('01_Вводные'!$B$239="Да",MeanMinAge13+'19_Расчет_аналитики'!AO1571*SUMIF(ThresholdAge13,"&lt;"&amp;'19_Расчет_аналитики'!AO1571,WeightedRevAge13)-SUMIF(ThresholdAge13,"&lt;"&amp;'19_Расчет_аналитики'!AO1571,WeightedMinAge13),MAX(CapacityAge13*'01_Вводные'!$B$218*'19_Расчет_аналитики'!AO1571,MeanMinAge13)))</f>
        <v/>
      </c>
      <c r="AP1488">
        <f>IF(OR('19_Расчет_аналитики'!AP1460=0,13&lt;='01_Вводные'!$B$297),0,'19_Расчет_аналитики'!AP1460*IF('01_Вводные'!$B$239="Да",MeanMinAge13+'19_Расчет_аналитики'!AP1571*SUMIF(ThresholdAge13,"&lt;"&amp;'19_Расчет_аналитики'!AP1571,WeightedRevAge13)-SUMIF(ThresholdAge13,"&lt;"&amp;'19_Расчет_аналитики'!AP1571,WeightedMinAge13),MAX(CapacityAge13*'01_Вводные'!$B$218*'19_Расчет_аналитики'!AP1571,MeanMinAge13)))</f>
        <v/>
      </c>
      <c r="AQ1488">
        <f>IF(OR('19_Расчет_аналитики'!AQ1460=0,13&lt;='01_Вводные'!$B$297),0,'19_Расчет_аналитики'!AQ1460*IF('01_Вводные'!$B$239="Да",MeanMinAge13+'19_Расчет_аналитики'!AQ1571*SUMIF(ThresholdAge13,"&lt;"&amp;'19_Расчет_аналитики'!AQ1571,WeightedRevAge13)-SUMIF(ThresholdAge13,"&lt;"&amp;'19_Расчет_аналитики'!AQ1571,WeightedMinAge13),MAX(CapacityAge13*'01_Вводные'!$B$218*'19_Расчет_аналитики'!AQ1571,MeanMinAge13)))</f>
        <v/>
      </c>
      <c r="AR1488">
        <f>IF(OR('19_Расчет_аналитики'!AR1460=0,13&lt;='01_Вводные'!$B$297),0,'19_Расчет_аналитики'!AR1460*IF('01_Вводные'!$B$239="Да",MeanMinAge13+'19_Расчет_аналитики'!AR1571*SUMIF(ThresholdAge13,"&lt;"&amp;'19_Расчет_аналитики'!AR1571,WeightedRevAge13)-SUMIF(ThresholdAge13,"&lt;"&amp;'19_Расчет_аналитики'!AR1571,WeightedMinAge13),MAX(CapacityAge13*'01_Вводные'!$B$218*'19_Расчет_аналитики'!AR1571,MeanMinAge13)))</f>
        <v/>
      </c>
      <c r="AS1488">
        <f>IF(OR('19_Расчет_аналитики'!AS1460=0,13&lt;='01_Вводные'!$B$297),0,'19_Расчет_аналитики'!AS1460*IF('01_Вводные'!$B$239="Да",MeanMinAge13+'19_Расчет_аналитики'!AS1571*SUMIF(ThresholdAge13,"&lt;"&amp;'19_Расчет_аналитики'!AS1571,WeightedRevAge13)-SUMIF(ThresholdAge13,"&lt;"&amp;'19_Расчет_аналитики'!AS1571,WeightedMinAge13),MAX(CapacityAge13*'01_Вводные'!$B$218*'19_Расчет_аналитики'!AS1571,MeanMinAge13)))</f>
        <v/>
      </c>
      <c r="AT1488">
        <f>IF(OR('19_Расчет_аналитики'!AT1460=0,13&lt;='01_Вводные'!$B$297),0,'19_Расчет_аналитики'!AT1460*IF('01_Вводные'!$B$239="Да",MeanMinAge13+'19_Расчет_аналитики'!AT1571*SUMIF(ThresholdAge13,"&lt;"&amp;'19_Расчет_аналитики'!AT1571,WeightedRevAge13)-SUMIF(ThresholdAge13,"&lt;"&amp;'19_Расчет_аналитики'!AT1571,WeightedMinAge13),MAX(CapacityAge13*'01_Вводные'!$B$218*'19_Расчет_аналитики'!AT1571,MeanMinAge13)))</f>
        <v/>
      </c>
      <c r="AU1488">
        <f>IF(OR('19_Расчет_аналитики'!AU1460=0,13&lt;='01_Вводные'!$B$297),0,'19_Расчет_аналитики'!AU1460*IF('01_Вводные'!$B$239="Да",MeanMinAge13+'19_Расчет_аналитики'!AU1571*SUMIF(ThresholdAge13,"&lt;"&amp;'19_Расчет_аналитики'!AU1571,WeightedRevAge13)-SUMIF(ThresholdAge13,"&lt;"&amp;'19_Расчет_аналитики'!AU1571,WeightedMinAge13),MAX(CapacityAge13*'01_Вводные'!$B$218*'19_Расчет_аналитики'!AU1571,MeanMinAge13)))</f>
        <v/>
      </c>
      <c r="AV1488">
        <f>IF(OR('19_Расчет_аналитики'!AV1460=0,13&lt;='01_Вводные'!$B$297),0,'19_Расчет_аналитики'!AV1460*IF('01_Вводные'!$B$239="Да",MeanMinAge13+'19_Расчет_аналитики'!AV1571*SUMIF(ThresholdAge13,"&lt;"&amp;'19_Расчет_аналитики'!AV1571,WeightedRevAge13)-SUMIF(ThresholdAge13,"&lt;"&amp;'19_Расчет_аналитики'!AV1571,WeightedMinAge13),MAX(CapacityAge13*'01_Вводные'!$B$218*'19_Расчет_аналитики'!AV1571,MeanMinAge13)))</f>
        <v/>
      </c>
      <c r="AW1488">
        <f>IF(OR('19_Расчет_аналитики'!AW1460=0,13&lt;='01_Вводные'!$B$297),0,'19_Расчет_аналитики'!AW1460*IF('01_Вводные'!$B$239="Да",MeanMinAge13+'19_Расчет_аналитики'!AW1571*SUMIF(ThresholdAge13,"&lt;"&amp;'19_Расчет_аналитики'!AW1571,WeightedRevAge13)-SUMIF(ThresholdAge13,"&lt;"&amp;'19_Расчет_аналитики'!AW1571,WeightedMinAge13),MAX(CapacityAge13*'01_Вводные'!$B$218*'19_Расчет_аналитики'!AW1571,MeanMinAge13)))</f>
        <v/>
      </c>
      <c r="AX1488">
        <f>IF(OR('19_Расчет_аналитики'!AX1460=0,13&lt;='01_Вводные'!$B$297),0,'19_Расчет_аналитики'!AX1460*IF('01_Вводные'!$B$239="Да",MeanMinAge13+'19_Расчет_аналитики'!AX1571*SUMIF(ThresholdAge13,"&lt;"&amp;'19_Расчет_аналитики'!AX1571,WeightedRevAge13)-SUMIF(ThresholdAge13,"&lt;"&amp;'19_Расчет_аналитики'!AX1571,WeightedMinAge13),MAX(CapacityAge13*'01_Вводные'!$B$218*'19_Расчет_аналитики'!AX1571,MeanMinAge13)))</f>
        <v/>
      </c>
      <c r="AY1488">
        <f>IF(OR('19_Расчет_аналитики'!AY1460=0,13&lt;='01_Вводные'!$B$297),0,'19_Расчет_аналитики'!AY1460*IF('01_Вводные'!$B$239="Да",MeanMinAge13+'19_Расчет_аналитики'!AY1571*SUMIF(ThresholdAge13,"&lt;"&amp;'19_Расчет_аналитики'!AY1571,WeightedRevAge13)-SUMIF(ThresholdAge13,"&lt;"&amp;'19_Расчет_аналитики'!AY1571,WeightedMinAge13),MAX(CapacityAge13*'01_Вводные'!$B$218*'19_Расчет_аналитики'!AY1571,MeanMinAge13)))</f>
        <v/>
      </c>
      <c r="AZ1488">
        <f>IF(OR('19_Расчет_аналитики'!AZ1460=0,13&lt;='01_Вводные'!$B$297),0,'19_Расчет_аналитики'!AZ1460*IF('01_Вводные'!$B$239="Да",MeanMinAge13+'19_Расчет_аналитики'!AZ1571*SUMIF(ThresholdAge13,"&lt;"&amp;'19_Расчет_аналитики'!AZ1571,WeightedRevAge13)-SUMIF(ThresholdAge13,"&lt;"&amp;'19_Расчет_аналитики'!AZ1571,WeightedMinAge13),MAX(CapacityAge13*'01_Вводные'!$B$218*'19_Расчет_аналитики'!AZ1571,MeanMinAge13)))</f>
        <v/>
      </c>
      <c r="BA1488">
        <f>IF(OR('19_Расчет_аналитики'!BA1460=0,13&lt;='01_Вводные'!$B$297),0,'19_Расчет_аналитики'!BA1460*IF('01_Вводные'!$B$239="Да",MeanMinAge13+'19_Расчет_аналитики'!BA1571*SUMIF(ThresholdAge13,"&lt;"&amp;'19_Расчет_аналитики'!BA1571,WeightedRevAge13)-SUMIF(ThresholdAge13,"&lt;"&amp;'19_Расчет_аналитики'!BA1571,WeightedMinAge13),MAX(CapacityAge13*'01_Вводные'!$B$218*'19_Расчет_аналитики'!BA1571,MeanMinAge13)))</f>
        <v/>
      </c>
      <c r="BB1488">
        <f>IF(OR('19_Расчет_аналитики'!BB1460=0,13&lt;='01_Вводные'!$B$297),0,'19_Расчет_аналитики'!BB1460*IF('01_Вводные'!$B$239="Да",MeanMinAge13+'19_Расчет_аналитики'!BB1571*SUMIF(ThresholdAge13,"&lt;"&amp;'19_Расчет_аналитики'!BB1571,WeightedRevAge13)-SUMIF(ThresholdAge13,"&lt;"&amp;'19_Расчет_аналитики'!BB1571,WeightedMinAge13),MAX(CapacityAge13*'01_Вводные'!$B$218*'19_Расчет_аналитики'!BB1571,MeanMinAge13)))</f>
        <v/>
      </c>
      <c r="BC1488">
        <f>IF(OR('19_Расчет_аналитики'!BC1460=0,13&lt;='01_Вводные'!$B$297),0,'19_Расчет_аналитики'!BC1460*IF('01_Вводные'!$B$239="Да",MeanMinAge13+'19_Расчет_аналитики'!BC1571*SUMIF(ThresholdAge13,"&lt;"&amp;'19_Расчет_аналитики'!BC1571,WeightedRevAge13)-SUMIF(ThresholdAge13,"&lt;"&amp;'19_Расчет_аналитики'!BC1571,WeightedMinAge13),MAX(CapacityAge13*'01_Вводные'!$B$218*'19_Расчет_аналитики'!BC1571,MeanMinAge13)))</f>
        <v/>
      </c>
      <c r="BD1488">
        <f>IF(OR('19_Расчет_аналитики'!BD1460=0,13&lt;='01_Вводные'!$B$297),0,'19_Расчет_аналитики'!BD1460*IF('01_Вводные'!$B$239="Да",MeanMinAge13+'19_Расчет_аналитики'!BD1571*SUMIF(ThresholdAge13,"&lt;"&amp;'19_Расчет_аналитики'!BD1571,WeightedRevAge13)-SUMIF(ThresholdAge13,"&lt;"&amp;'19_Расчет_аналитики'!BD1571,WeightedMinAge13),MAX(CapacityAge13*'01_Вводные'!$B$218*'19_Расчет_аналитики'!BD1571,MeanMinAge13)))</f>
        <v/>
      </c>
      <c r="BE1488">
        <f>IF(OR('19_Расчет_аналитики'!BE1460=0,13&lt;='01_Вводные'!$B$297),0,'19_Расчет_аналитики'!BE1460*IF('01_Вводные'!$B$239="Да",MeanMinAge13+'19_Расчет_аналитики'!BE1571*SUMIF(ThresholdAge13,"&lt;"&amp;'19_Расчет_аналитики'!BE1571,WeightedRevAge13)-SUMIF(ThresholdAge13,"&lt;"&amp;'19_Расчет_аналитики'!BE1571,WeightedMinAge13),MAX(CapacityAge13*'01_Вводные'!$B$218*'19_Расчет_аналитики'!BE1571,MeanMinAge13)))</f>
        <v/>
      </c>
      <c r="BF1488">
        <f>IF(OR('19_Расчет_аналитики'!BF1460=0,13&lt;='01_Вводные'!$B$297),0,'19_Расчет_аналитики'!BF1460*IF('01_Вводные'!$B$239="Да",MeanMinAge13+'19_Расчет_аналитики'!BF1571*SUMIF(ThresholdAge13,"&lt;"&amp;'19_Расчет_аналитики'!BF1571,WeightedRevAge13)-SUMIF(ThresholdAge13,"&lt;"&amp;'19_Расчет_аналитики'!BF1571,WeightedMinAge13),MAX(CapacityAge13*'01_Вводные'!$B$218*'19_Расчет_аналитики'!BF1571,MeanMinAge13)))</f>
        <v/>
      </c>
      <c r="BG1488">
        <f>IF(OR('19_Расчет_аналитики'!BG1460=0,13&lt;='01_Вводные'!$B$297),0,'19_Расчет_аналитики'!BG1460*IF('01_Вводные'!$B$239="Да",MeanMinAge13+'19_Расчет_аналитики'!BG1571*SUMIF(ThresholdAge13,"&lt;"&amp;'19_Расчет_аналитики'!BG1571,WeightedRevAge13)-SUMIF(ThresholdAge13,"&lt;"&amp;'19_Расчет_аналитики'!BG1571,WeightedMinAge13),MAX(CapacityAge13*'01_Вводные'!$B$218*'19_Расчет_аналитики'!BG1571,MeanMinAge13)))</f>
        <v/>
      </c>
      <c r="BH1488">
        <f>IF(OR('19_Расчет_аналитики'!BH1460=0,13&lt;='01_Вводные'!$B$297),0,'19_Расчет_аналитики'!BH1460*IF('01_Вводные'!$B$239="Да",MeanMinAge13+'19_Расчет_аналитики'!BH1571*SUMIF(ThresholdAge13,"&lt;"&amp;'19_Расчет_аналитики'!BH1571,WeightedRevAge13)-SUMIF(ThresholdAge13,"&lt;"&amp;'19_Расчет_аналитики'!BH1571,WeightedMinAge13),MAX(CapacityAge13*'01_Вводные'!$B$218*'19_Расчет_аналитики'!BH1571,MeanMinAge13)))</f>
        <v/>
      </c>
      <c r="BI1488">
        <f>IF(OR('19_Расчет_аналитики'!BI1460=0,13&lt;='01_Вводные'!$B$297),0,'19_Расчет_аналитики'!BI1460*IF('01_Вводные'!$B$239="Да",MeanMinAge13+'19_Расчет_аналитики'!BI1571*SUMIF(ThresholdAge13,"&lt;"&amp;'19_Расчет_аналитики'!BI1571,WeightedRevAge13)-SUMIF(ThresholdAge13,"&lt;"&amp;'19_Расчет_аналитики'!BI1571,WeightedMinAge13),MAX(CapacityAge13*'01_Вводные'!$B$218*'19_Расчет_аналитики'!BI1571,MeanMinAge13)))</f>
        <v/>
      </c>
      <c r="BJ1488">
        <f>IF(OR('19_Расчет_аналитики'!BJ1460=0,13&lt;='01_Вводные'!$B$297),0,'19_Расчет_аналитики'!BJ1460*IF('01_Вводные'!$B$239="Да",MeanMinAge13+'19_Расчет_аналитики'!BJ1571*SUMIF(ThresholdAge13,"&lt;"&amp;'19_Расчет_аналитики'!BJ1571,WeightedRevAge13)-SUMIF(ThresholdAge13,"&lt;"&amp;'19_Расчет_аналитики'!BJ1571,WeightedMinAge13),MAX(CapacityAge13*'01_Вводные'!$B$218*'19_Расчет_аналитики'!BJ1571,MeanMinAge13)))</f>
        <v/>
      </c>
      <c r="BK1488">
        <f>IF(OR('19_Расчет_аналитики'!BK1460=0,13&lt;='01_Вводные'!$B$297),0,'19_Расчет_аналитики'!BK1460*IF('01_Вводные'!$B$239="Да",MeanMinAge13+'19_Расчет_аналитики'!BK1571*SUMIF(ThresholdAge13,"&lt;"&amp;'19_Расчет_аналитики'!BK1571,WeightedRevAge13)-SUMIF(ThresholdAge13,"&lt;"&amp;'19_Расчет_аналитики'!BK1571,WeightedMinAge13),MAX(CapacityAge13*'01_Вводные'!$B$218*'19_Расчет_аналитики'!BK1571,MeanMinAge13)))</f>
        <v/>
      </c>
      <c r="BL1488">
        <f>IF(OR('19_Расчет_аналитики'!BL1460=0,13&lt;='01_Вводные'!$B$297),0,'19_Расчет_аналитики'!BL1460*IF('01_Вводные'!$B$239="Да",MeanMinAge13+'19_Расчет_аналитики'!BL1571*SUMIF(ThresholdAge13,"&lt;"&amp;'19_Расчет_аналитики'!BL1571,WeightedRevAge13)-SUMIF(ThresholdAge13,"&lt;"&amp;'19_Расчет_аналитики'!BL1571,WeightedMinAge13),MAX(CapacityAge13*'01_Вводные'!$B$218*'19_Расчет_аналитики'!BL1571,MeanMinAge13)))</f>
        <v/>
      </c>
      <c r="BM1488">
        <f>IF(OR('19_Расчет_аналитики'!BM1460=0,13&lt;='01_Вводные'!$B$297),0,'19_Расчет_аналитики'!BM1460*IF('01_Вводные'!$B$239="Да",MeanMinAge13+'19_Расчет_аналитики'!BM1571*SUMIF(ThresholdAge13,"&lt;"&amp;'19_Расчет_аналитики'!BM1571,WeightedRevAge13)-SUMIF(ThresholdAge13,"&lt;"&amp;'19_Расчет_аналитики'!BM1571,WeightedMinAge13),MAX(CapacityAge13*'01_Вводные'!$B$218*'19_Расчет_аналитики'!BM1571,MeanMinAge13)))</f>
        <v/>
      </c>
      <c r="BN1488">
        <f>IF(OR('19_Расчет_аналитики'!BN1460=0,13&lt;='01_Вводные'!$B$297),0,'19_Расчет_аналитики'!BN1460*IF('01_Вводные'!$B$239="Да",MeanMinAge13+'19_Расчет_аналитики'!BN1571*SUMIF(ThresholdAge13,"&lt;"&amp;'19_Расчет_аналитики'!BN1571,WeightedRevAge13)-SUMIF(ThresholdAge13,"&lt;"&amp;'19_Расчет_аналитики'!BN1571,WeightedMinAge13),MAX(CapacityAge13*'01_Вводные'!$B$218*'19_Расчет_аналитики'!BN1571,MeanMinAge13)))</f>
        <v/>
      </c>
      <c r="BO1488">
        <f>IF(OR('19_Расчет_аналитики'!BO1460=0,13&lt;='01_Вводные'!$B$297),0,'19_Расчет_аналитики'!BO1460*IF('01_Вводные'!$B$239="Да",MeanMinAge13+'19_Расчет_аналитики'!BO1571*SUMIF(ThresholdAge13,"&lt;"&amp;'19_Расчет_аналитики'!BO1571,WeightedRevAge13)-SUMIF(ThresholdAge13,"&lt;"&amp;'19_Расчет_аналитики'!BO1571,WeightedMinAge13),MAX(CapacityAge13*'01_Вводные'!$B$218*'19_Расчет_аналитики'!BO1571,MeanMinAge13)))</f>
        <v/>
      </c>
    </row>
    <row r="1489">
      <c r="B1489">
        <f>IF(OR('06_Сеть_и_дети'!B94=0,14&lt;='01_Вводные'!$B$297),0,'06_Сеть_и_дети'!B94*IF('01_Вводные'!$B$239="Да",MeanMinAge14+'19_Расчет_аналитики'!B1571*SUMIF(ThresholdAge14,"&lt;"&amp;'19_Расчет_аналитики'!B1571,WeightedRevAge14)-SUMIF(ThresholdAge14,"&lt;"&amp;'19_Расчет_аналитики'!B1571,WeightedMinAge14),MAX(CapacityAge14*'01_Вводные'!$B$218*'19_Расчет_аналитики'!B1571,MeanMinAge14)))</f>
        <v/>
      </c>
      <c r="C1489">
        <f>IF(OR('06_Сеть_и_дети'!C94=0,14&lt;='01_Вводные'!$B$297),0,'06_Сеть_и_дети'!C94*IF('01_Вводные'!$B$239="Да",MeanMinAge14+'19_Расчет_аналитики'!C1571*SUMIF(ThresholdAge14,"&lt;"&amp;'19_Расчет_аналитики'!C1571,WeightedRevAge14)-SUMIF(ThresholdAge14,"&lt;"&amp;'19_Расчет_аналитики'!C1571,WeightedMinAge14),MAX(CapacityAge14*'01_Вводные'!$B$218*'19_Расчет_аналитики'!C1571,MeanMinAge14)))</f>
        <v/>
      </c>
      <c r="D1489">
        <f>IF(OR('06_Сеть_и_дети'!D94=0,14&lt;='01_Вводные'!$B$297),0,'06_Сеть_и_дети'!D94*IF('01_Вводные'!$B$239="Да",MeanMinAge14+'19_Расчет_аналитики'!D1571*SUMIF(ThresholdAge14,"&lt;"&amp;'19_Расчет_аналитики'!D1571,WeightedRevAge14)-SUMIF(ThresholdAge14,"&lt;"&amp;'19_Расчет_аналитики'!D1571,WeightedMinAge14),MAX(CapacityAge14*'01_Вводные'!$B$218*'19_Расчет_аналитики'!D1571,MeanMinAge14)))</f>
        <v/>
      </c>
      <c r="E1489">
        <f>IF(OR('06_Сеть_и_дети'!E94=0,14&lt;='01_Вводные'!$B$297),0,'06_Сеть_и_дети'!E94*IF('01_Вводные'!$B$239="Да",MeanMinAge14+'19_Расчет_аналитики'!E1571*SUMIF(ThresholdAge14,"&lt;"&amp;'19_Расчет_аналитики'!E1571,WeightedRevAge14)-SUMIF(ThresholdAge14,"&lt;"&amp;'19_Расчет_аналитики'!E1571,WeightedMinAge14),MAX(CapacityAge14*'01_Вводные'!$B$218*'19_Расчет_аналитики'!E1571,MeanMinAge14)))</f>
        <v/>
      </c>
      <c r="F1489">
        <f>IF(OR('06_Сеть_и_дети'!F94=0,14&lt;='01_Вводные'!$B$297),0,'06_Сеть_и_дети'!F94*IF('01_Вводные'!$B$239="Да",MeanMinAge14+'19_Расчет_аналитики'!F1571*SUMIF(ThresholdAge14,"&lt;"&amp;'19_Расчет_аналитики'!F1571,WeightedRevAge14)-SUMIF(ThresholdAge14,"&lt;"&amp;'19_Расчет_аналитики'!F1571,WeightedMinAge14),MAX(CapacityAge14*'01_Вводные'!$B$218*'19_Расчет_аналитики'!F1571,MeanMinAge14)))</f>
        <v/>
      </c>
      <c r="G1489">
        <f>IF(OR('06_Сеть_и_дети'!G94=0,14&lt;='01_Вводные'!$B$297),0,'06_Сеть_и_дети'!G94*IF('01_Вводные'!$B$239="Да",MeanMinAge14+'19_Расчет_аналитики'!G1571*SUMIF(ThresholdAge14,"&lt;"&amp;'19_Расчет_аналитики'!G1571,WeightedRevAge14)-SUMIF(ThresholdAge14,"&lt;"&amp;'19_Расчет_аналитики'!G1571,WeightedMinAge14),MAX(CapacityAge14*'01_Вводные'!$B$218*'19_Расчет_аналитики'!G1571,MeanMinAge14)))</f>
        <v/>
      </c>
      <c r="H1489">
        <f>IF(OR('06_Сеть_и_дети'!H94=0,14&lt;='01_Вводные'!$B$297),0,'06_Сеть_и_дети'!H94*IF('01_Вводные'!$B$239="Да",MeanMinAge14+'19_Расчет_аналитики'!H1571*SUMIF(ThresholdAge14,"&lt;"&amp;'19_Расчет_аналитики'!H1571,WeightedRevAge14)-SUMIF(ThresholdAge14,"&lt;"&amp;'19_Расчет_аналитики'!H1571,WeightedMinAge14),MAX(CapacityAge14*'01_Вводные'!$B$218*'19_Расчет_аналитики'!H1571,MeanMinAge14)))</f>
        <v/>
      </c>
      <c r="I1489">
        <f>IF(OR('06_Сеть_и_дети'!I94=0,14&lt;='01_Вводные'!$B$297),0,'06_Сеть_и_дети'!I94*IF('01_Вводные'!$B$239="Да",MeanMinAge14+'19_Расчет_аналитики'!I1571*SUMIF(ThresholdAge14,"&lt;"&amp;'19_Расчет_аналитики'!I1571,WeightedRevAge14)-SUMIF(ThresholdAge14,"&lt;"&amp;'19_Расчет_аналитики'!I1571,WeightedMinAge14),MAX(CapacityAge14*'01_Вводные'!$B$218*'19_Расчет_аналитики'!I1571,MeanMinAge14)))</f>
        <v/>
      </c>
      <c r="J1489">
        <f>IF(OR('06_Сеть_и_дети'!J94=0,14&lt;='01_Вводные'!$B$297),0,'06_Сеть_и_дети'!J94*IF('01_Вводные'!$B$239="Да",MeanMinAge14+'19_Расчет_аналитики'!J1571*SUMIF(ThresholdAge14,"&lt;"&amp;'19_Расчет_аналитики'!J1571,WeightedRevAge14)-SUMIF(ThresholdAge14,"&lt;"&amp;'19_Расчет_аналитики'!J1571,WeightedMinAge14),MAX(CapacityAge14*'01_Вводные'!$B$218*'19_Расчет_аналитики'!J1571,MeanMinAge14)))</f>
        <v/>
      </c>
      <c r="K1489">
        <f>IF(OR('06_Сеть_и_дети'!K94=0,14&lt;='01_Вводные'!$B$297),0,'06_Сеть_и_дети'!K94*IF('01_Вводные'!$B$239="Да",MeanMinAge14+'19_Расчет_аналитики'!K1571*SUMIF(ThresholdAge14,"&lt;"&amp;'19_Расчет_аналитики'!K1571,WeightedRevAge14)-SUMIF(ThresholdAge14,"&lt;"&amp;'19_Расчет_аналитики'!K1571,WeightedMinAge14),MAX(CapacityAge14*'01_Вводные'!$B$218*'19_Расчет_аналитики'!K1571,MeanMinAge14)))</f>
        <v/>
      </c>
      <c r="L1489">
        <f>IF(OR('06_Сеть_и_дети'!L94=0,14&lt;='01_Вводные'!$B$297),0,'06_Сеть_и_дети'!L94*IF('01_Вводные'!$B$239="Да",MeanMinAge14+'19_Расчет_аналитики'!L1571*SUMIF(ThresholdAge14,"&lt;"&amp;'19_Расчет_аналитики'!L1571,WeightedRevAge14)-SUMIF(ThresholdAge14,"&lt;"&amp;'19_Расчет_аналитики'!L1571,WeightedMinAge14),MAX(CapacityAge14*'01_Вводные'!$B$218*'19_Расчет_аналитики'!L1571,MeanMinAge14)))</f>
        <v/>
      </c>
      <c r="M1489">
        <f>IF(OR('06_Сеть_и_дети'!M94=0,14&lt;='01_Вводные'!$B$297),0,'06_Сеть_и_дети'!M94*IF('01_Вводные'!$B$239="Да",MeanMinAge14+'19_Расчет_аналитики'!M1571*SUMIF(ThresholdAge14,"&lt;"&amp;'19_Расчет_аналитики'!M1571,WeightedRevAge14)-SUMIF(ThresholdAge14,"&lt;"&amp;'19_Расчет_аналитики'!M1571,WeightedMinAge14),MAX(CapacityAge14*'01_Вводные'!$B$218*'19_Расчет_аналитики'!M1571,MeanMinAge14)))</f>
        <v/>
      </c>
      <c r="N1489">
        <f>IF(OR('06_Сеть_и_дети'!N94=0,14&lt;='01_Вводные'!$B$297),0,'06_Сеть_и_дети'!N94*IF('01_Вводные'!$B$239="Да",MeanMinAge14+'19_Расчет_аналитики'!N1571*SUMIF(ThresholdAge14,"&lt;"&amp;'19_Расчет_аналитики'!N1571,WeightedRevAge14)-SUMIF(ThresholdAge14,"&lt;"&amp;'19_Расчет_аналитики'!N1571,WeightedMinAge14),MAX(CapacityAge14*'01_Вводные'!$B$218*'19_Расчет_аналитики'!N1571,MeanMinAge14)))</f>
        <v/>
      </c>
      <c r="O1489">
        <f>IF(OR('19_Расчет_аналитики'!O1461=0,14&lt;='01_Вводные'!$B$297),0,'19_Расчет_аналитики'!O1461*IF('01_Вводные'!$B$239="Да",MeanMinAge14+'19_Расчет_аналитики'!O1571*SUMIF(ThresholdAge14,"&lt;"&amp;'19_Расчет_аналитики'!O1571,WeightedRevAge14)-SUMIF(ThresholdAge14,"&lt;"&amp;'19_Расчет_аналитики'!O1571,WeightedMinAge14),MAX(CapacityAge14*'01_Вводные'!$B$218*'19_Расчет_аналитики'!O1571,MeanMinAge14)))</f>
        <v/>
      </c>
      <c r="P1489">
        <f>IF(OR('19_Расчет_аналитики'!P1461=0,14&lt;='01_Вводные'!$B$297),0,'19_Расчет_аналитики'!P1461*IF('01_Вводные'!$B$239="Да",MeanMinAge14+'19_Расчет_аналитики'!P1571*SUMIF(ThresholdAge14,"&lt;"&amp;'19_Расчет_аналитики'!P1571,WeightedRevAge14)-SUMIF(ThresholdAge14,"&lt;"&amp;'19_Расчет_аналитики'!P1571,WeightedMinAge14),MAX(CapacityAge14*'01_Вводные'!$B$218*'19_Расчет_аналитики'!P1571,MeanMinAge14)))</f>
        <v/>
      </c>
      <c r="Q1489">
        <f>IF(OR('19_Расчет_аналитики'!Q1461=0,14&lt;='01_Вводные'!$B$297),0,'19_Расчет_аналитики'!Q1461*IF('01_Вводные'!$B$239="Да",MeanMinAge14+'19_Расчет_аналитики'!Q1571*SUMIF(ThresholdAge14,"&lt;"&amp;'19_Расчет_аналитики'!Q1571,WeightedRevAge14)-SUMIF(ThresholdAge14,"&lt;"&amp;'19_Расчет_аналитики'!Q1571,WeightedMinAge14),MAX(CapacityAge14*'01_Вводные'!$B$218*'19_Расчет_аналитики'!Q1571,MeanMinAge14)))</f>
        <v/>
      </c>
      <c r="R1489">
        <f>IF(OR('19_Расчет_аналитики'!R1461=0,14&lt;='01_Вводные'!$B$297),0,'19_Расчет_аналитики'!R1461*IF('01_Вводные'!$B$239="Да",MeanMinAge14+'19_Расчет_аналитики'!R1571*SUMIF(ThresholdAge14,"&lt;"&amp;'19_Расчет_аналитики'!R1571,WeightedRevAge14)-SUMIF(ThresholdAge14,"&lt;"&amp;'19_Расчет_аналитики'!R1571,WeightedMinAge14),MAX(CapacityAge14*'01_Вводные'!$B$218*'19_Расчет_аналитики'!R1571,MeanMinAge14)))</f>
        <v/>
      </c>
      <c r="S1489">
        <f>IF(OR('19_Расчет_аналитики'!S1461=0,14&lt;='01_Вводные'!$B$297),0,'19_Расчет_аналитики'!S1461*IF('01_Вводные'!$B$239="Да",MeanMinAge14+'19_Расчет_аналитики'!S1571*SUMIF(ThresholdAge14,"&lt;"&amp;'19_Расчет_аналитики'!S1571,WeightedRevAge14)-SUMIF(ThresholdAge14,"&lt;"&amp;'19_Расчет_аналитики'!S1571,WeightedMinAge14),MAX(CapacityAge14*'01_Вводные'!$B$218*'19_Расчет_аналитики'!S1571,MeanMinAge14)))</f>
        <v/>
      </c>
      <c r="T1489">
        <f>IF(OR('19_Расчет_аналитики'!T1461=0,14&lt;='01_Вводные'!$B$297),0,'19_Расчет_аналитики'!T1461*IF('01_Вводные'!$B$239="Да",MeanMinAge14+'19_Расчет_аналитики'!T1571*SUMIF(ThresholdAge14,"&lt;"&amp;'19_Расчет_аналитики'!T1571,WeightedRevAge14)-SUMIF(ThresholdAge14,"&lt;"&amp;'19_Расчет_аналитики'!T1571,WeightedMinAge14),MAX(CapacityAge14*'01_Вводные'!$B$218*'19_Расчет_аналитики'!T1571,MeanMinAge14)))</f>
        <v/>
      </c>
      <c r="U1489">
        <f>IF(OR('19_Расчет_аналитики'!U1461=0,14&lt;='01_Вводные'!$B$297),0,'19_Расчет_аналитики'!U1461*IF('01_Вводные'!$B$239="Да",MeanMinAge14+'19_Расчет_аналитики'!U1571*SUMIF(ThresholdAge14,"&lt;"&amp;'19_Расчет_аналитики'!U1571,WeightedRevAge14)-SUMIF(ThresholdAge14,"&lt;"&amp;'19_Расчет_аналитики'!U1571,WeightedMinAge14),MAX(CapacityAge14*'01_Вводные'!$B$218*'19_Расчет_аналитики'!U1571,MeanMinAge14)))</f>
        <v/>
      </c>
      <c r="V1489">
        <f>IF(OR('19_Расчет_аналитики'!V1461=0,14&lt;='01_Вводные'!$B$297),0,'19_Расчет_аналитики'!V1461*IF('01_Вводные'!$B$239="Да",MeanMinAge14+'19_Расчет_аналитики'!V1571*SUMIF(ThresholdAge14,"&lt;"&amp;'19_Расчет_аналитики'!V1571,WeightedRevAge14)-SUMIF(ThresholdAge14,"&lt;"&amp;'19_Расчет_аналитики'!V1571,WeightedMinAge14),MAX(CapacityAge14*'01_Вводные'!$B$218*'19_Расчет_аналитики'!V1571,MeanMinAge14)))</f>
        <v/>
      </c>
      <c r="W1489">
        <f>IF(OR('19_Расчет_аналитики'!W1461=0,14&lt;='01_Вводные'!$B$297),0,'19_Расчет_аналитики'!W1461*IF('01_Вводные'!$B$239="Да",MeanMinAge14+'19_Расчет_аналитики'!W1571*SUMIF(ThresholdAge14,"&lt;"&amp;'19_Расчет_аналитики'!W1571,WeightedRevAge14)-SUMIF(ThresholdAge14,"&lt;"&amp;'19_Расчет_аналитики'!W1571,WeightedMinAge14),MAX(CapacityAge14*'01_Вводные'!$B$218*'19_Расчет_аналитики'!W1571,MeanMinAge14)))</f>
        <v/>
      </c>
      <c r="X1489">
        <f>IF(OR('19_Расчет_аналитики'!X1461=0,14&lt;='01_Вводные'!$B$297),0,'19_Расчет_аналитики'!X1461*IF('01_Вводные'!$B$239="Да",MeanMinAge14+'19_Расчет_аналитики'!X1571*SUMIF(ThresholdAge14,"&lt;"&amp;'19_Расчет_аналитики'!X1571,WeightedRevAge14)-SUMIF(ThresholdAge14,"&lt;"&amp;'19_Расчет_аналитики'!X1571,WeightedMinAge14),MAX(CapacityAge14*'01_Вводные'!$B$218*'19_Расчет_аналитики'!X1571,MeanMinAge14)))</f>
        <v/>
      </c>
      <c r="Y1489">
        <f>IF(OR('19_Расчет_аналитики'!Y1461=0,14&lt;='01_Вводные'!$B$297),0,'19_Расчет_аналитики'!Y1461*IF('01_Вводные'!$B$239="Да",MeanMinAge14+'19_Расчет_аналитики'!Y1571*SUMIF(ThresholdAge14,"&lt;"&amp;'19_Расчет_аналитики'!Y1571,WeightedRevAge14)-SUMIF(ThresholdAge14,"&lt;"&amp;'19_Расчет_аналитики'!Y1571,WeightedMinAge14),MAX(CapacityAge14*'01_Вводные'!$B$218*'19_Расчет_аналитики'!Y1571,MeanMinAge14)))</f>
        <v/>
      </c>
      <c r="Z1489">
        <f>IF(OR('19_Расчет_аналитики'!Z1461=0,14&lt;='01_Вводные'!$B$297),0,'19_Расчет_аналитики'!Z1461*IF('01_Вводные'!$B$239="Да",MeanMinAge14+'19_Расчет_аналитики'!Z1571*SUMIF(ThresholdAge14,"&lt;"&amp;'19_Расчет_аналитики'!Z1571,WeightedRevAge14)-SUMIF(ThresholdAge14,"&lt;"&amp;'19_Расчет_аналитики'!Z1571,WeightedMinAge14),MAX(CapacityAge14*'01_Вводные'!$B$218*'19_Расчет_аналитики'!Z1571,MeanMinAge14)))</f>
        <v/>
      </c>
      <c r="AA1489">
        <f>IF(OR('19_Расчет_аналитики'!AA1461=0,14&lt;='01_Вводные'!$B$297),0,'19_Расчет_аналитики'!AA1461*IF('01_Вводные'!$B$239="Да",MeanMinAge14+'19_Расчет_аналитики'!AA1571*SUMIF(ThresholdAge14,"&lt;"&amp;'19_Расчет_аналитики'!AA1571,WeightedRevAge14)-SUMIF(ThresholdAge14,"&lt;"&amp;'19_Расчет_аналитики'!AA1571,WeightedMinAge14),MAX(CapacityAge14*'01_Вводные'!$B$218*'19_Расчет_аналитики'!AA1571,MeanMinAge14)))</f>
        <v/>
      </c>
      <c r="AB1489">
        <f>IF(OR('19_Расчет_аналитики'!AB1461=0,14&lt;='01_Вводные'!$B$297),0,'19_Расчет_аналитики'!AB1461*IF('01_Вводные'!$B$239="Да",MeanMinAge14+'19_Расчет_аналитики'!AB1571*SUMIF(ThresholdAge14,"&lt;"&amp;'19_Расчет_аналитики'!AB1571,WeightedRevAge14)-SUMIF(ThresholdAge14,"&lt;"&amp;'19_Расчет_аналитики'!AB1571,WeightedMinAge14),MAX(CapacityAge14*'01_Вводные'!$B$218*'19_Расчет_аналитики'!AB1571,MeanMinAge14)))</f>
        <v/>
      </c>
      <c r="AC1489">
        <f>IF(OR('19_Расчет_аналитики'!AC1461=0,14&lt;='01_Вводные'!$B$297),0,'19_Расчет_аналитики'!AC1461*IF('01_Вводные'!$B$239="Да",MeanMinAge14+'19_Расчет_аналитики'!AC1571*SUMIF(ThresholdAge14,"&lt;"&amp;'19_Расчет_аналитики'!AC1571,WeightedRevAge14)-SUMIF(ThresholdAge14,"&lt;"&amp;'19_Расчет_аналитики'!AC1571,WeightedMinAge14),MAX(CapacityAge14*'01_Вводные'!$B$218*'19_Расчет_аналитики'!AC1571,MeanMinAge14)))</f>
        <v/>
      </c>
      <c r="AD1489">
        <f>IF(OR('19_Расчет_аналитики'!AD1461=0,14&lt;='01_Вводные'!$B$297),0,'19_Расчет_аналитики'!AD1461*IF('01_Вводные'!$B$239="Да",MeanMinAge14+'19_Расчет_аналитики'!AD1571*SUMIF(ThresholdAge14,"&lt;"&amp;'19_Расчет_аналитики'!AD1571,WeightedRevAge14)-SUMIF(ThresholdAge14,"&lt;"&amp;'19_Расчет_аналитики'!AD1571,WeightedMinAge14),MAX(CapacityAge14*'01_Вводные'!$B$218*'19_Расчет_аналитики'!AD1571,MeanMinAge14)))</f>
        <v/>
      </c>
      <c r="AE1489">
        <f>IF(OR('19_Расчет_аналитики'!AE1461=0,14&lt;='01_Вводные'!$B$297),0,'19_Расчет_аналитики'!AE1461*IF('01_Вводные'!$B$239="Да",MeanMinAge14+'19_Расчет_аналитики'!AE1571*SUMIF(ThresholdAge14,"&lt;"&amp;'19_Расчет_аналитики'!AE1571,WeightedRevAge14)-SUMIF(ThresholdAge14,"&lt;"&amp;'19_Расчет_аналитики'!AE1571,WeightedMinAge14),MAX(CapacityAge14*'01_Вводные'!$B$218*'19_Расчет_аналитики'!AE1571,MeanMinAge14)))</f>
        <v/>
      </c>
      <c r="AF1489">
        <f>IF(OR('19_Расчет_аналитики'!AF1461=0,14&lt;='01_Вводные'!$B$297),0,'19_Расчет_аналитики'!AF1461*IF('01_Вводные'!$B$239="Да",MeanMinAge14+'19_Расчет_аналитики'!AF1571*SUMIF(ThresholdAge14,"&lt;"&amp;'19_Расчет_аналитики'!AF1571,WeightedRevAge14)-SUMIF(ThresholdAge14,"&lt;"&amp;'19_Расчет_аналитики'!AF1571,WeightedMinAge14),MAX(CapacityAge14*'01_Вводные'!$B$218*'19_Расчет_аналитики'!AF1571,MeanMinAge14)))</f>
        <v/>
      </c>
      <c r="AG1489">
        <f>IF(OR('19_Расчет_аналитики'!AG1461=0,14&lt;='01_Вводные'!$B$297),0,'19_Расчет_аналитики'!AG1461*IF('01_Вводные'!$B$239="Да",MeanMinAge14+'19_Расчет_аналитики'!AG1571*SUMIF(ThresholdAge14,"&lt;"&amp;'19_Расчет_аналитики'!AG1571,WeightedRevAge14)-SUMIF(ThresholdAge14,"&lt;"&amp;'19_Расчет_аналитики'!AG1571,WeightedMinAge14),MAX(CapacityAge14*'01_Вводные'!$B$218*'19_Расчет_аналитики'!AG1571,MeanMinAge14)))</f>
        <v/>
      </c>
      <c r="AH1489">
        <f>IF(OR('19_Расчет_аналитики'!AH1461=0,14&lt;='01_Вводные'!$B$297),0,'19_Расчет_аналитики'!AH1461*IF('01_Вводные'!$B$239="Да",MeanMinAge14+'19_Расчет_аналитики'!AH1571*SUMIF(ThresholdAge14,"&lt;"&amp;'19_Расчет_аналитики'!AH1571,WeightedRevAge14)-SUMIF(ThresholdAge14,"&lt;"&amp;'19_Расчет_аналитики'!AH1571,WeightedMinAge14),MAX(CapacityAge14*'01_Вводные'!$B$218*'19_Расчет_аналитики'!AH1571,MeanMinAge14)))</f>
        <v/>
      </c>
      <c r="AI1489">
        <f>IF(OR('19_Расчет_аналитики'!AI1461=0,14&lt;='01_Вводные'!$B$297),0,'19_Расчет_аналитики'!AI1461*IF('01_Вводные'!$B$239="Да",MeanMinAge14+'19_Расчет_аналитики'!AI1571*SUMIF(ThresholdAge14,"&lt;"&amp;'19_Расчет_аналитики'!AI1571,WeightedRevAge14)-SUMIF(ThresholdAge14,"&lt;"&amp;'19_Расчет_аналитики'!AI1571,WeightedMinAge14),MAX(CapacityAge14*'01_Вводные'!$B$218*'19_Расчет_аналитики'!AI1571,MeanMinAge14)))</f>
        <v/>
      </c>
      <c r="AJ1489">
        <f>IF(OR('19_Расчет_аналитики'!AJ1461=0,14&lt;='01_Вводные'!$B$297),0,'19_Расчет_аналитики'!AJ1461*IF('01_Вводные'!$B$239="Да",MeanMinAge14+'19_Расчет_аналитики'!AJ1571*SUMIF(ThresholdAge14,"&lt;"&amp;'19_Расчет_аналитики'!AJ1571,WeightedRevAge14)-SUMIF(ThresholdAge14,"&lt;"&amp;'19_Расчет_аналитики'!AJ1571,WeightedMinAge14),MAX(CapacityAge14*'01_Вводные'!$B$218*'19_Расчет_аналитики'!AJ1571,MeanMinAge14)))</f>
        <v/>
      </c>
      <c r="AK1489">
        <f>IF(OR('19_Расчет_аналитики'!AK1461=0,14&lt;='01_Вводные'!$B$297),0,'19_Расчет_аналитики'!AK1461*IF('01_Вводные'!$B$239="Да",MeanMinAge14+'19_Расчет_аналитики'!AK1571*SUMIF(ThresholdAge14,"&lt;"&amp;'19_Расчет_аналитики'!AK1571,WeightedRevAge14)-SUMIF(ThresholdAge14,"&lt;"&amp;'19_Расчет_аналитики'!AK1571,WeightedMinAge14),MAX(CapacityAge14*'01_Вводные'!$B$218*'19_Расчет_аналитики'!AK1571,MeanMinAge14)))</f>
        <v/>
      </c>
      <c r="AL1489">
        <f>IF(OR('19_Расчет_аналитики'!AL1461=0,14&lt;='01_Вводные'!$B$297),0,'19_Расчет_аналитики'!AL1461*IF('01_Вводные'!$B$239="Да",MeanMinAge14+'19_Расчет_аналитики'!AL1571*SUMIF(ThresholdAge14,"&lt;"&amp;'19_Расчет_аналитики'!AL1571,WeightedRevAge14)-SUMIF(ThresholdAge14,"&lt;"&amp;'19_Расчет_аналитики'!AL1571,WeightedMinAge14),MAX(CapacityAge14*'01_Вводные'!$B$218*'19_Расчет_аналитики'!AL1571,MeanMinAge14)))</f>
        <v/>
      </c>
      <c r="AM1489">
        <f>IF(OR('19_Расчет_аналитики'!AM1461=0,14&lt;='01_Вводные'!$B$297),0,'19_Расчет_аналитики'!AM1461*IF('01_Вводные'!$B$239="Да",MeanMinAge14+'19_Расчет_аналитики'!AM1571*SUMIF(ThresholdAge14,"&lt;"&amp;'19_Расчет_аналитики'!AM1571,WeightedRevAge14)-SUMIF(ThresholdAge14,"&lt;"&amp;'19_Расчет_аналитики'!AM1571,WeightedMinAge14),MAX(CapacityAge14*'01_Вводные'!$B$218*'19_Расчет_аналитики'!AM1571,MeanMinAge14)))</f>
        <v/>
      </c>
      <c r="AN1489">
        <f>IF(OR('19_Расчет_аналитики'!AN1461=0,14&lt;='01_Вводные'!$B$297),0,'19_Расчет_аналитики'!AN1461*IF('01_Вводные'!$B$239="Да",MeanMinAge14+'19_Расчет_аналитики'!AN1571*SUMIF(ThresholdAge14,"&lt;"&amp;'19_Расчет_аналитики'!AN1571,WeightedRevAge14)-SUMIF(ThresholdAge14,"&lt;"&amp;'19_Расчет_аналитики'!AN1571,WeightedMinAge14),MAX(CapacityAge14*'01_Вводные'!$B$218*'19_Расчет_аналитики'!AN1571,MeanMinAge14)))</f>
        <v/>
      </c>
      <c r="AO1489">
        <f>IF(OR('19_Расчет_аналитики'!AO1461=0,14&lt;='01_Вводные'!$B$297),0,'19_Расчет_аналитики'!AO1461*IF('01_Вводные'!$B$239="Да",MeanMinAge14+'19_Расчет_аналитики'!AO1571*SUMIF(ThresholdAge14,"&lt;"&amp;'19_Расчет_аналитики'!AO1571,WeightedRevAge14)-SUMIF(ThresholdAge14,"&lt;"&amp;'19_Расчет_аналитики'!AO1571,WeightedMinAge14),MAX(CapacityAge14*'01_Вводные'!$B$218*'19_Расчет_аналитики'!AO1571,MeanMinAge14)))</f>
        <v/>
      </c>
      <c r="AP1489">
        <f>IF(OR('19_Расчет_аналитики'!AP1461=0,14&lt;='01_Вводные'!$B$297),0,'19_Расчет_аналитики'!AP1461*IF('01_Вводные'!$B$239="Да",MeanMinAge14+'19_Расчет_аналитики'!AP1571*SUMIF(ThresholdAge14,"&lt;"&amp;'19_Расчет_аналитики'!AP1571,WeightedRevAge14)-SUMIF(ThresholdAge14,"&lt;"&amp;'19_Расчет_аналитики'!AP1571,WeightedMinAge14),MAX(CapacityAge14*'01_Вводные'!$B$218*'19_Расчет_аналитики'!AP1571,MeanMinAge14)))</f>
        <v/>
      </c>
      <c r="AQ1489">
        <f>IF(OR('19_Расчет_аналитики'!AQ1461=0,14&lt;='01_Вводные'!$B$297),0,'19_Расчет_аналитики'!AQ1461*IF('01_Вводные'!$B$239="Да",MeanMinAge14+'19_Расчет_аналитики'!AQ1571*SUMIF(ThresholdAge14,"&lt;"&amp;'19_Расчет_аналитики'!AQ1571,WeightedRevAge14)-SUMIF(ThresholdAge14,"&lt;"&amp;'19_Расчет_аналитики'!AQ1571,WeightedMinAge14),MAX(CapacityAge14*'01_Вводные'!$B$218*'19_Расчет_аналитики'!AQ1571,MeanMinAge14)))</f>
        <v/>
      </c>
      <c r="AR1489">
        <f>IF(OR('19_Расчет_аналитики'!AR1461=0,14&lt;='01_Вводные'!$B$297),0,'19_Расчет_аналитики'!AR1461*IF('01_Вводные'!$B$239="Да",MeanMinAge14+'19_Расчет_аналитики'!AR1571*SUMIF(ThresholdAge14,"&lt;"&amp;'19_Расчет_аналитики'!AR1571,WeightedRevAge14)-SUMIF(ThresholdAge14,"&lt;"&amp;'19_Расчет_аналитики'!AR1571,WeightedMinAge14),MAX(CapacityAge14*'01_Вводные'!$B$218*'19_Расчет_аналитики'!AR1571,MeanMinAge14)))</f>
        <v/>
      </c>
      <c r="AS1489">
        <f>IF(OR('19_Расчет_аналитики'!AS1461=0,14&lt;='01_Вводные'!$B$297),0,'19_Расчет_аналитики'!AS1461*IF('01_Вводные'!$B$239="Да",MeanMinAge14+'19_Расчет_аналитики'!AS1571*SUMIF(ThresholdAge14,"&lt;"&amp;'19_Расчет_аналитики'!AS1571,WeightedRevAge14)-SUMIF(ThresholdAge14,"&lt;"&amp;'19_Расчет_аналитики'!AS1571,WeightedMinAge14),MAX(CapacityAge14*'01_Вводные'!$B$218*'19_Расчет_аналитики'!AS1571,MeanMinAge14)))</f>
        <v/>
      </c>
      <c r="AT1489">
        <f>IF(OR('19_Расчет_аналитики'!AT1461=0,14&lt;='01_Вводные'!$B$297),0,'19_Расчет_аналитики'!AT1461*IF('01_Вводные'!$B$239="Да",MeanMinAge14+'19_Расчет_аналитики'!AT1571*SUMIF(ThresholdAge14,"&lt;"&amp;'19_Расчет_аналитики'!AT1571,WeightedRevAge14)-SUMIF(ThresholdAge14,"&lt;"&amp;'19_Расчет_аналитики'!AT1571,WeightedMinAge14),MAX(CapacityAge14*'01_Вводные'!$B$218*'19_Расчет_аналитики'!AT1571,MeanMinAge14)))</f>
        <v/>
      </c>
      <c r="AU1489">
        <f>IF(OR('19_Расчет_аналитики'!AU1461=0,14&lt;='01_Вводные'!$B$297),0,'19_Расчет_аналитики'!AU1461*IF('01_Вводные'!$B$239="Да",MeanMinAge14+'19_Расчет_аналитики'!AU1571*SUMIF(ThresholdAge14,"&lt;"&amp;'19_Расчет_аналитики'!AU1571,WeightedRevAge14)-SUMIF(ThresholdAge14,"&lt;"&amp;'19_Расчет_аналитики'!AU1571,WeightedMinAge14),MAX(CapacityAge14*'01_Вводные'!$B$218*'19_Расчет_аналитики'!AU1571,MeanMinAge14)))</f>
        <v/>
      </c>
      <c r="AV1489">
        <f>IF(OR('19_Расчет_аналитики'!AV1461=0,14&lt;='01_Вводные'!$B$297),0,'19_Расчет_аналитики'!AV1461*IF('01_Вводные'!$B$239="Да",MeanMinAge14+'19_Расчет_аналитики'!AV1571*SUMIF(ThresholdAge14,"&lt;"&amp;'19_Расчет_аналитики'!AV1571,WeightedRevAge14)-SUMIF(ThresholdAge14,"&lt;"&amp;'19_Расчет_аналитики'!AV1571,WeightedMinAge14),MAX(CapacityAge14*'01_Вводные'!$B$218*'19_Расчет_аналитики'!AV1571,MeanMinAge14)))</f>
        <v/>
      </c>
      <c r="AW1489">
        <f>IF(OR('19_Расчет_аналитики'!AW1461=0,14&lt;='01_Вводные'!$B$297),0,'19_Расчет_аналитики'!AW1461*IF('01_Вводные'!$B$239="Да",MeanMinAge14+'19_Расчет_аналитики'!AW1571*SUMIF(ThresholdAge14,"&lt;"&amp;'19_Расчет_аналитики'!AW1571,WeightedRevAge14)-SUMIF(ThresholdAge14,"&lt;"&amp;'19_Расчет_аналитики'!AW1571,WeightedMinAge14),MAX(CapacityAge14*'01_Вводные'!$B$218*'19_Расчет_аналитики'!AW1571,MeanMinAge14)))</f>
        <v/>
      </c>
      <c r="AX1489">
        <f>IF(OR('19_Расчет_аналитики'!AX1461=0,14&lt;='01_Вводные'!$B$297),0,'19_Расчет_аналитики'!AX1461*IF('01_Вводные'!$B$239="Да",MeanMinAge14+'19_Расчет_аналитики'!AX1571*SUMIF(ThresholdAge14,"&lt;"&amp;'19_Расчет_аналитики'!AX1571,WeightedRevAge14)-SUMIF(ThresholdAge14,"&lt;"&amp;'19_Расчет_аналитики'!AX1571,WeightedMinAge14),MAX(CapacityAge14*'01_Вводные'!$B$218*'19_Расчет_аналитики'!AX1571,MeanMinAge14)))</f>
        <v/>
      </c>
      <c r="AY1489">
        <f>IF(OR('19_Расчет_аналитики'!AY1461=0,14&lt;='01_Вводные'!$B$297),0,'19_Расчет_аналитики'!AY1461*IF('01_Вводные'!$B$239="Да",MeanMinAge14+'19_Расчет_аналитики'!AY1571*SUMIF(ThresholdAge14,"&lt;"&amp;'19_Расчет_аналитики'!AY1571,WeightedRevAge14)-SUMIF(ThresholdAge14,"&lt;"&amp;'19_Расчет_аналитики'!AY1571,WeightedMinAge14),MAX(CapacityAge14*'01_Вводные'!$B$218*'19_Расчет_аналитики'!AY1571,MeanMinAge14)))</f>
        <v/>
      </c>
      <c r="AZ1489">
        <f>IF(OR('19_Расчет_аналитики'!AZ1461=0,14&lt;='01_Вводные'!$B$297),0,'19_Расчет_аналитики'!AZ1461*IF('01_Вводные'!$B$239="Да",MeanMinAge14+'19_Расчет_аналитики'!AZ1571*SUMIF(ThresholdAge14,"&lt;"&amp;'19_Расчет_аналитики'!AZ1571,WeightedRevAge14)-SUMIF(ThresholdAge14,"&lt;"&amp;'19_Расчет_аналитики'!AZ1571,WeightedMinAge14),MAX(CapacityAge14*'01_Вводные'!$B$218*'19_Расчет_аналитики'!AZ1571,MeanMinAge14)))</f>
        <v/>
      </c>
      <c r="BA1489">
        <f>IF(OR('19_Расчет_аналитики'!BA1461=0,14&lt;='01_Вводные'!$B$297),0,'19_Расчет_аналитики'!BA1461*IF('01_Вводные'!$B$239="Да",MeanMinAge14+'19_Расчет_аналитики'!BA1571*SUMIF(ThresholdAge14,"&lt;"&amp;'19_Расчет_аналитики'!BA1571,WeightedRevAge14)-SUMIF(ThresholdAge14,"&lt;"&amp;'19_Расчет_аналитики'!BA1571,WeightedMinAge14),MAX(CapacityAge14*'01_Вводные'!$B$218*'19_Расчет_аналитики'!BA1571,MeanMinAge14)))</f>
        <v/>
      </c>
      <c r="BB1489">
        <f>IF(OR('19_Расчет_аналитики'!BB1461=0,14&lt;='01_Вводные'!$B$297),0,'19_Расчет_аналитики'!BB1461*IF('01_Вводные'!$B$239="Да",MeanMinAge14+'19_Расчет_аналитики'!BB1571*SUMIF(ThresholdAge14,"&lt;"&amp;'19_Расчет_аналитики'!BB1571,WeightedRevAge14)-SUMIF(ThresholdAge14,"&lt;"&amp;'19_Расчет_аналитики'!BB1571,WeightedMinAge14),MAX(CapacityAge14*'01_Вводные'!$B$218*'19_Расчет_аналитики'!BB1571,MeanMinAge14)))</f>
        <v/>
      </c>
      <c r="BC1489">
        <f>IF(OR('19_Расчет_аналитики'!BC1461=0,14&lt;='01_Вводные'!$B$297),0,'19_Расчет_аналитики'!BC1461*IF('01_Вводные'!$B$239="Да",MeanMinAge14+'19_Расчет_аналитики'!BC1571*SUMIF(ThresholdAge14,"&lt;"&amp;'19_Расчет_аналитики'!BC1571,WeightedRevAge14)-SUMIF(ThresholdAge14,"&lt;"&amp;'19_Расчет_аналитики'!BC1571,WeightedMinAge14),MAX(CapacityAge14*'01_Вводные'!$B$218*'19_Расчет_аналитики'!BC1571,MeanMinAge14)))</f>
        <v/>
      </c>
      <c r="BD1489">
        <f>IF(OR('19_Расчет_аналитики'!BD1461=0,14&lt;='01_Вводные'!$B$297),0,'19_Расчет_аналитики'!BD1461*IF('01_Вводные'!$B$239="Да",MeanMinAge14+'19_Расчет_аналитики'!BD1571*SUMIF(ThresholdAge14,"&lt;"&amp;'19_Расчет_аналитики'!BD1571,WeightedRevAge14)-SUMIF(ThresholdAge14,"&lt;"&amp;'19_Расчет_аналитики'!BD1571,WeightedMinAge14),MAX(CapacityAge14*'01_Вводные'!$B$218*'19_Расчет_аналитики'!BD1571,MeanMinAge14)))</f>
        <v/>
      </c>
      <c r="BE1489">
        <f>IF(OR('19_Расчет_аналитики'!BE1461=0,14&lt;='01_Вводные'!$B$297),0,'19_Расчет_аналитики'!BE1461*IF('01_Вводные'!$B$239="Да",MeanMinAge14+'19_Расчет_аналитики'!BE1571*SUMIF(ThresholdAge14,"&lt;"&amp;'19_Расчет_аналитики'!BE1571,WeightedRevAge14)-SUMIF(ThresholdAge14,"&lt;"&amp;'19_Расчет_аналитики'!BE1571,WeightedMinAge14),MAX(CapacityAge14*'01_Вводные'!$B$218*'19_Расчет_аналитики'!BE1571,MeanMinAge14)))</f>
        <v/>
      </c>
      <c r="BF1489">
        <f>IF(OR('19_Расчет_аналитики'!BF1461=0,14&lt;='01_Вводные'!$B$297),0,'19_Расчет_аналитики'!BF1461*IF('01_Вводные'!$B$239="Да",MeanMinAge14+'19_Расчет_аналитики'!BF1571*SUMIF(ThresholdAge14,"&lt;"&amp;'19_Расчет_аналитики'!BF1571,WeightedRevAge14)-SUMIF(ThresholdAge14,"&lt;"&amp;'19_Расчет_аналитики'!BF1571,WeightedMinAge14),MAX(CapacityAge14*'01_Вводные'!$B$218*'19_Расчет_аналитики'!BF1571,MeanMinAge14)))</f>
        <v/>
      </c>
      <c r="BG1489">
        <f>IF(OR('19_Расчет_аналитики'!BG1461=0,14&lt;='01_Вводные'!$B$297),0,'19_Расчет_аналитики'!BG1461*IF('01_Вводные'!$B$239="Да",MeanMinAge14+'19_Расчет_аналитики'!BG1571*SUMIF(ThresholdAge14,"&lt;"&amp;'19_Расчет_аналитики'!BG1571,WeightedRevAge14)-SUMIF(ThresholdAge14,"&lt;"&amp;'19_Расчет_аналитики'!BG1571,WeightedMinAge14),MAX(CapacityAge14*'01_Вводные'!$B$218*'19_Расчет_аналитики'!BG1571,MeanMinAge14)))</f>
        <v/>
      </c>
      <c r="BH1489">
        <f>IF(OR('19_Расчет_аналитики'!BH1461=0,14&lt;='01_Вводные'!$B$297),0,'19_Расчет_аналитики'!BH1461*IF('01_Вводные'!$B$239="Да",MeanMinAge14+'19_Расчет_аналитики'!BH1571*SUMIF(ThresholdAge14,"&lt;"&amp;'19_Расчет_аналитики'!BH1571,WeightedRevAge14)-SUMIF(ThresholdAge14,"&lt;"&amp;'19_Расчет_аналитики'!BH1571,WeightedMinAge14),MAX(CapacityAge14*'01_Вводные'!$B$218*'19_Расчет_аналитики'!BH1571,MeanMinAge14)))</f>
        <v/>
      </c>
      <c r="BI1489">
        <f>IF(OR('19_Расчет_аналитики'!BI1461=0,14&lt;='01_Вводные'!$B$297),0,'19_Расчет_аналитики'!BI1461*IF('01_Вводные'!$B$239="Да",MeanMinAge14+'19_Расчет_аналитики'!BI1571*SUMIF(ThresholdAge14,"&lt;"&amp;'19_Расчет_аналитики'!BI1571,WeightedRevAge14)-SUMIF(ThresholdAge14,"&lt;"&amp;'19_Расчет_аналитики'!BI1571,WeightedMinAge14),MAX(CapacityAge14*'01_Вводные'!$B$218*'19_Расчет_аналитики'!BI1571,MeanMinAge14)))</f>
        <v/>
      </c>
      <c r="BJ1489">
        <f>IF(OR('19_Расчет_аналитики'!BJ1461=0,14&lt;='01_Вводные'!$B$297),0,'19_Расчет_аналитики'!BJ1461*IF('01_Вводные'!$B$239="Да",MeanMinAge14+'19_Расчет_аналитики'!BJ1571*SUMIF(ThresholdAge14,"&lt;"&amp;'19_Расчет_аналитики'!BJ1571,WeightedRevAge14)-SUMIF(ThresholdAge14,"&lt;"&amp;'19_Расчет_аналитики'!BJ1571,WeightedMinAge14),MAX(CapacityAge14*'01_Вводные'!$B$218*'19_Расчет_аналитики'!BJ1571,MeanMinAge14)))</f>
        <v/>
      </c>
      <c r="BK1489">
        <f>IF(OR('19_Расчет_аналитики'!BK1461=0,14&lt;='01_Вводные'!$B$297),0,'19_Расчет_аналитики'!BK1461*IF('01_Вводные'!$B$239="Да",MeanMinAge14+'19_Расчет_аналитики'!BK1571*SUMIF(ThresholdAge14,"&lt;"&amp;'19_Расчет_аналитики'!BK1571,WeightedRevAge14)-SUMIF(ThresholdAge14,"&lt;"&amp;'19_Расчет_аналитики'!BK1571,WeightedMinAge14),MAX(CapacityAge14*'01_Вводные'!$B$218*'19_Расчет_аналитики'!BK1571,MeanMinAge14)))</f>
        <v/>
      </c>
      <c r="BL1489">
        <f>IF(OR('19_Расчет_аналитики'!BL1461=0,14&lt;='01_Вводные'!$B$297),0,'19_Расчет_аналитики'!BL1461*IF('01_Вводные'!$B$239="Да",MeanMinAge14+'19_Расчет_аналитики'!BL1571*SUMIF(ThresholdAge14,"&lt;"&amp;'19_Расчет_аналитики'!BL1571,WeightedRevAge14)-SUMIF(ThresholdAge14,"&lt;"&amp;'19_Расчет_аналитики'!BL1571,WeightedMinAge14),MAX(CapacityAge14*'01_Вводные'!$B$218*'19_Расчет_аналитики'!BL1571,MeanMinAge14)))</f>
        <v/>
      </c>
      <c r="BM1489">
        <f>IF(OR('19_Расчет_аналитики'!BM1461=0,14&lt;='01_Вводные'!$B$297),0,'19_Расчет_аналитики'!BM1461*IF('01_Вводные'!$B$239="Да",MeanMinAge14+'19_Расчет_аналитики'!BM1571*SUMIF(ThresholdAge14,"&lt;"&amp;'19_Расчет_аналитики'!BM1571,WeightedRevAge14)-SUMIF(ThresholdAge14,"&lt;"&amp;'19_Расчет_аналитики'!BM1571,WeightedMinAge14),MAX(CapacityAge14*'01_Вводные'!$B$218*'19_Расчет_аналитики'!BM1571,MeanMinAge14)))</f>
        <v/>
      </c>
      <c r="BN1489">
        <f>IF(OR('19_Расчет_аналитики'!BN1461=0,14&lt;='01_Вводные'!$B$297),0,'19_Расчет_аналитики'!BN1461*IF('01_Вводные'!$B$239="Да",MeanMinAge14+'19_Расчет_аналитики'!BN1571*SUMIF(ThresholdAge14,"&lt;"&amp;'19_Расчет_аналитики'!BN1571,WeightedRevAge14)-SUMIF(ThresholdAge14,"&lt;"&amp;'19_Расчет_аналитики'!BN1571,WeightedMinAge14),MAX(CapacityAge14*'01_Вводные'!$B$218*'19_Расчет_аналитики'!BN1571,MeanMinAge14)))</f>
        <v/>
      </c>
      <c r="BO1489">
        <f>IF(OR('19_Расчет_аналитики'!BO1461=0,14&lt;='01_Вводные'!$B$297),0,'19_Расчет_аналитики'!BO1461*IF('01_Вводные'!$B$239="Да",MeanMinAge14+'19_Расчет_аналитики'!BO1571*SUMIF(ThresholdAge14,"&lt;"&amp;'19_Расчет_аналитики'!BO1571,WeightedRevAge14)-SUMIF(ThresholdAge14,"&lt;"&amp;'19_Расчет_аналитики'!BO1571,WeightedMinAge14),MAX(CapacityAge14*'01_Вводные'!$B$218*'19_Расчет_аналитики'!BO1571,MeanMinAge14)))</f>
        <v/>
      </c>
    </row>
    <row r="1490">
      <c r="B1490">
        <f>IF(OR('06_Сеть_и_дети'!B95=0,15&lt;='01_Вводные'!$B$297),0,'06_Сеть_и_дети'!B95*IF('01_Вводные'!$B$239="Да",MeanMinAge15+'19_Расчет_аналитики'!B1571*SUMIF(ThresholdAge15,"&lt;"&amp;'19_Расчет_аналитики'!B1571,WeightedRevAge15)-SUMIF(ThresholdAge15,"&lt;"&amp;'19_Расчет_аналитики'!B1571,WeightedMinAge15),MAX(CapacityAge15*'01_Вводные'!$B$218*'19_Расчет_аналитики'!B1571,MeanMinAge15)))</f>
        <v/>
      </c>
      <c r="C1490">
        <f>IF(OR('06_Сеть_и_дети'!C95=0,15&lt;='01_Вводные'!$B$297),0,'06_Сеть_и_дети'!C95*IF('01_Вводные'!$B$239="Да",MeanMinAge15+'19_Расчет_аналитики'!C1571*SUMIF(ThresholdAge15,"&lt;"&amp;'19_Расчет_аналитики'!C1571,WeightedRevAge15)-SUMIF(ThresholdAge15,"&lt;"&amp;'19_Расчет_аналитики'!C1571,WeightedMinAge15),MAX(CapacityAge15*'01_Вводные'!$B$218*'19_Расчет_аналитики'!C1571,MeanMinAge15)))</f>
        <v/>
      </c>
      <c r="D1490">
        <f>IF(OR('06_Сеть_и_дети'!D95=0,15&lt;='01_Вводные'!$B$297),0,'06_Сеть_и_дети'!D95*IF('01_Вводные'!$B$239="Да",MeanMinAge15+'19_Расчет_аналитики'!D1571*SUMIF(ThresholdAge15,"&lt;"&amp;'19_Расчет_аналитики'!D1571,WeightedRevAge15)-SUMIF(ThresholdAge15,"&lt;"&amp;'19_Расчет_аналитики'!D1571,WeightedMinAge15),MAX(CapacityAge15*'01_Вводные'!$B$218*'19_Расчет_аналитики'!D1571,MeanMinAge15)))</f>
        <v/>
      </c>
      <c r="E1490">
        <f>IF(OR('06_Сеть_и_дети'!E95=0,15&lt;='01_Вводные'!$B$297),0,'06_Сеть_и_дети'!E95*IF('01_Вводные'!$B$239="Да",MeanMinAge15+'19_Расчет_аналитики'!E1571*SUMIF(ThresholdAge15,"&lt;"&amp;'19_Расчет_аналитики'!E1571,WeightedRevAge15)-SUMIF(ThresholdAge15,"&lt;"&amp;'19_Расчет_аналитики'!E1571,WeightedMinAge15),MAX(CapacityAge15*'01_Вводные'!$B$218*'19_Расчет_аналитики'!E1571,MeanMinAge15)))</f>
        <v/>
      </c>
      <c r="F1490">
        <f>IF(OR('06_Сеть_и_дети'!F95=0,15&lt;='01_Вводные'!$B$297),0,'06_Сеть_и_дети'!F95*IF('01_Вводные'!$B$239="Да",MeanMinAge15+'19_Расчет_аналитики'!F1571*SUMIF(ThresholdAge15,"&lt;"&amp;'19_Расчет_аналитики'!F1571,WeightedRevAge15)-SUMIF(ThresholdAge15,"&lt;"&amp;'19_Расчет_аналитики'!F1571,WeightedMinAge15),MAX(CapacityAge15*'01_Вводные'!$B$218*'19_Расчет_аналитики'!F1571,MeanMinAge15)))</f>
        <v/>
      </c>
      <c r="G1490">
        <f>IF(OR('06_Сеть_и_дети'!G95=0,15&lt;='01_Вводные'!$B$297),0,'06_Сеть_и_дети'!G95*IF('01_Вводные'!$B$239="Да",MeanMinAge15+'19_Расчет_аналитики'!G1571*SUMIF(ThresholdAge15,"&lt;"&amp;'19_Расчет_аналитики'!G1571,WeightedRevAge15)-SUMIF(ThresholdAge15,"&lt;"&amp;'19_Расчет_аналитики'!G1571,WeightedMinAge15),MAX(CapacityAge15*'01_Вводные'!$B$218*'19_Расчет_аналитики'!G1571,MeanMinAge15)))</f>
        <v/>
      </c>
      <c r="H1490">
        <f>IF(OR('06_Сеть_и_дети'!H95=0,15&lt;='01_Вводные'!$B$297),0,'06_Сеть_и_дети'!H95*IF('01_Вводные'!$B$239="Да",MeanMinAge15+'19_Расчет_аналитики'!H1571*SUMIF(ThresholdAge15,"&lt;"&amp;'19_Расчет_аналитики'!H1571,WeightedRevAge15)-SUMIF(ThresholdAge15,"&lt;"&amp;'19_Расчет_аналитики'!H1571,WeightedMinAge15),MAX(CapacityAge15*'01_Вводные'!$B$218*'19_Расчет_аналитики'!H1571,MeanMinAge15)))</f>
        <v/>
      </c>
      <c r="I1490">
        <f>IF(OR('06_Сеть_и_дети'!I95=0,15&lt;='01_Вводные'!$B$297),0,'06_Сеть_и_дети'!I95*IF('01_Вводные'!$B$239="Да",MeanMinAge15+'19_Расчет_аналитики'!I1571*SUMIF(ThresholdAge15,"&lt;"&amp;'19_Расчет_аналитики'!I1571,WeightedRevAge15)-SUMIF(ThresholdAge15,"&lt;"&amp;'19_Расчет_аналитики'!I1571,WeightedMinAge15),MAX(CapacityAge15*'01_Вводные'!$B$218*'19_Расчет_аналитики'!I1571,MeanMinAge15)))</f>
        <v/>
      </c>
      <c r="J1490">
        <f>IF(OR('06_Сеть_и_дети'!J95=0,15&lt;='01_Вводные'!$B$297),0,'06_Сеть_и_дети'!J95*IF('01_Вводные'!$B$239="Да",MeanMinAge15+'19_Расчет_аналитики'!J1571*SUMIF(ThresholdAge15,"&lt;"&amp;'19_Расчет_аналитики'!J1571,WeightedRevAge15)-SUMIF(ThresholdAge15,"&lt;"&amp;'19_Расчет_аналитики'!J1571,WeightedMinAge15),MAX(CapacityAge15*'01_Вводные'!$B$218*'19_Расчет_аналитики'!J1571,MeanMinAge15)))</f>
        <v/>
      </c>
      <c r="K1490">
        <f>IF(OR('06_Сеть_и_дети'!K95=0,15&lt;='01_Вводные'!$B$297),0,'06_Сеть_и_дети'!K95*IF('01_Вводные'!$B$239="Да",MeanMinAge15+'19_Расчет_аналитики'!K1571*SUMIF(ThresholdAge15,"&lt;"&amp;'19_Расчет_аналитики'!K1571,WeightedRevAge15)-SUMIF(ThresholdAge15,"&lt;"&amp;'19_Расчет_аналитики'!K1571,WeightedMinAge15),MAX(CapacityAge15*'01_Вводные'!$B$218*'19_Расчет_аналитики'!K1571,MeanMinAge15)))</f>
        <v/>
      </c>
      <c r="L1490">
        <f>IF(OR('06_Сеть_и_дети'!L95=0,15&lt;='01_Вводные'!$B$297),0,'06_Сеть_и_дети'!L95*IF('01_Вводные'!$B$239="Да",MeanMinAge15+'19_Расчет_аналитики'!L1571*SUMIF(ThresholdAge15,"&lt;"&amp;'19_Расчет_аналитики'!L1571,WeightedRevAge15)-SUMIF(ThresholdAge15,"&lt;"&amp;'19_Расчет_аналитики'!L1571,WeightedMinAge15),MAX(CapacityAge15*'01_Вводные'!$B$218*'19_Расчет_аналитики'!L1571,MeanMinAge15)))</f>
        <v/>
      </c>
      <c r="M1490">
        <f>IF(OR('06_Сеть_и_дети'!M95=0,15&lt;='01_Вводные'!$B$297),0,'06_Сеть_и_дети'!M95*IF('01_Вводные'!$B$239="Да",MeanMinAge15+'19_Расчет_аналитики'!M1571*SUMIF(ThresholdAge15,"&lt;"&amp;'19_Расчет_аналитики'!M1571,WeightedRevAge15)-SUMIF(ThresholdAge15,"&lt;"&amp;'19_Расчет_аналитики'!M1571,WeightedMinAge15),MAX(CapacityAge15*'01_Вводные'!$B$218*'19_Расчет_аналитики'!M1571,MeanMinAge15)))</f>
        <v/>
      </c>
      <c r="N1490">
        <f>IF(OR('06_Сеть_и_дети'!N95=0,15&lt;='01_Вводные'!$B$297),0,'06_Сеть_и_дети'!N95*IF('01_Вводные'!$B$239="Да",MeanMinAge15+'19_Расчет_аналитики'!N1571*SUMIF(ThresholdAge15,"&lt;"&amp;'19_Расчет_аналитики'!N1571,WeightedRevAge15)-SUMIF(ThresholdAge15,"&lt;"&amp;'19_Расчет_аналитики'!N1571,WeightedMinAge15),MAX(CapacityAge15*'01_Вводные'!$B$218*'19_Расчет_аналитики'!N1571,MeanMinAge15)))</f>
        <v/>
      </c>
      <c r="O1490">
        <f>IF(OR('06_Сеть_и_дети'!O95=0,15&lt;='01_Вводные'!$B$297),0,'06_Сеть_и_дети'!O95*IF('01_Вводные'!$B$239="Да",MeanMinAge15+'19_Расчет_аналитики'!O1571*SUMIF(ThresholdAge15,"&lt;"&amp;'19_Расчет_аналитики'!O1571,WeightedRevAge15)-SUMIF(ThresholdAge15,"&lt;"&amp;'19_Расчет_аналитики'!O1571,WeightedMinAge15),MAX(CapacityAge15*'01_Вводные'!$B$218*'19_Расчет_аналитики'!O1571,MeanMinAge15)))</f>
        <v/>
      </c>
      <c r="P1490">
        <f>IF(OR('19_Расчет_аналитики'!P1462=0,15&lt;='01_Вводные'!$B$297),0,'19_Расчет_аналитики'!P1462*IF('01_Вводные'!$B$239="Да",MeanMinAge15+'19_Расчет_аналитики'!P1571*SUMIF(ThresholdAge15,"&lt;"&amp;'19_Расчет_аналитики'!P1571,WeightedRevAge15)-SUMIF(ThresholdAge15,"&lt;"&amp;'19_Расчет_аналитики'!P1571,WeightedMinAge15),MAX(CapacityAge15*'01_Вводные'!$B$218*'19_Расчет_аналитики'!P1571,MeanMinAge15)))</f>
        <v/>
      </c>
      <c r="Q1490">
        <f>IF(OR('19_Расчет_аналитики'!Q1462=0,15&lt;='01_Вводные'!$B$297),0,'19_Расчет_аналитики'!Q1462*IF('01_Вводные'!$B$239="Да",MeanMinAge15+'19_Расчет_аналитики'!Q1571*SUMIF(ThresholdAge15,"&lt;"&amp;'19_Расчет_аналитики'!Q1571,WeightedRevAge15)-SUMIF(ThresholdAge15,"&lt;"&amp;'19_Расчет_аналитики'!Q1571,WeightedMinAge15),MAX(CapacityAge15*'01_Вводные'!$B$218*'19_Расчет_аналитики'!Q1571,MeanMinAge15)))</f>
        <v/>
      </c>
      <c r="R1490">
        <f>IF(OR('19_Расчет_аналитики'!R1462=0,15&lt;='01_Вводные'!$B$297),0,'19_Расчет_аналитики'!R1462*IF('01_Вводные'!$B$239="Да",MeanMinAge15+'19_Расчет_аналитики'!R1571*SUMIF(ThresholdAge15,"&lt;"&amp;'19_Расчет_аналитики'!R1571,WeightedRevAge15)-SUMIF(ThresholdAge15,"&lt;"&amp;'19_Расчет_аналитики'!R1571,WeightedMinAge15),MAX(CapacityAge15*'01_Вводные'!$B$218*'19_Расчет_аналитики'!R1571,MeanMinAge15)))</f>
        <v/>
      </c>
      <c r="S1490">
        <f>IF(OR('19_Расчет_аналитики'!S1462=0,15&lt;='01_Вводные'!$B$297),0,'19_Расчет_аналитики'!S1462*IF('01_Вводные'!$B$239="Да",MeanMinAge15+'19_Расчет_аналитики'!S1571*SUMIF(ThresholdAge15,"&lt;"&amp;'19_Расчет_аналитики'!S1571,WeightedRevAge15)-SUMIF(ThresholdAge15,"&lt;"&amp;'19_Расчет_аналитики'!S1571,WeightedMinAge15),MAX(CapacityAge15*'01_Вводные'!$B$218*'19_Расчет_аналитики'!S1571,MeanMinAge15)))</f>
        <v/>
      </c>
      <c r="T1490">
        <f>IF(OR('19_Расчет_аналитики'!T1462=0,15&lt;='01_Вводные'!$B$297),0,'19_Расчет_аналитики'!T1462*IF('01_Вводные'!$B$239="Да",MeanMinAge15+'19_Расчет_аналитики'!T1571*SUMIF(ThresholdAge15,"&lt;"&amp;'19_Расчет_аналитики'!T1571,WeightedRevAge15)-SUMIF(ThresholdAge15,"&lt;"&amp;'19_Расчет_аналитики'!T1571,WeightedMinAge15),MAX(CapacityAge15*'01_Вводные'!$B$218*'19_Расчет_аналитики'!T1571,MeanMinAge15)))</f>
        <v/>
      </c>
      <c r="U1490">
        <f>IF(OR('19_Расчет_аналитики'!U1462=0,15&lt;='01_Вводные'!$B$297),0,'19_Расчет_аналитики'!U1462*IF('01_Вводные'!$B$239="Да",MeanMinAge15+'19_Расчет_аналитики'!U1571*SUMIF(ThresholdAge15,"&lt;"&amp;'19_Расчет_аналитики'!U1571,WeightedRevAge15)-SUMIF(ThresholdAge15,"&lt;"&amp;'19_Расчет_аналитики'!U1571,WeightedMinAge15),MAX(CapacityAge15*'01_Вводные'!$B$218*'19_Расчет_аналитики'!U1571,MeanMinAge15)))</f>
        <v/>
      </c>
      <c r="V1490">
        <f>IF(OR('19_Расчет_аналитики'!V1462=0,15&lt;='01_Вводные'!$B$297),0,'19_Расчет_аналитики'!V1462*IF('01_Вводные'!$B$239="Да",MeanMinAge15+'19_Расчет_аналитики'!V1571*SUMIF(ThresholdAge15,"&lt;"&amp;'19_Расчет_аналитики'!V1571,WeightedRevAge15)-SUMIF(ThresholdAge15,"&lt;"&amp;'19_Расчет_аналитики'!V1571,WeightedMinAge15),MAX(CapacityAge15*'01_Вводные'!$B$218*'19_Расчет_аналитики'!V1571,MeanMinAge15)))</f>
        <v/>
      </c>
      <c r="W1490">
        <f>IF(OR('19_Расчет_аналитики'!W1462=0,15&lt;='01_Вводные'!$B$297),0,'19_Расчет_аналитики'!W1462*IF('01_Вводные'!$B$239="Да",MeanMinAge15+'19_Расчет_аналитики'!W1571*SUMIF(ThresholdAge15,"&lt;"&amp;'19_Расчет_аналитики'!W1571,WeightedRevAge15)-SUMIF(ThresholdAge15,"&lt;"&amp;'19_Расчет_аналитики'!W1571,WeightedMinAge15),MAX(CapacityAge15*'01_Вводные'!$B$218*'19_Расчет_аналитики'!W1571,MeanMinAge15)))</f>
        <v/>
      </c>
      <c r="X1490">
        <f>IF(OR('19_Расчет_аналитики'!X1462=0,15&lt;='01_Вводные'!$B$297),0,'19_Расчет_аналитики'!X1462*IF('01_Вводные'!$B$239="Да",MeanMinAge15+'19_Расчет_аналитики'!X1571*SUMIF(ThresholdAge15,"&lt;"&amp;'19_Расчет_аналитики'!X1571,WeightedRevAge15)-SUMIF(ThresholdAge15,"&lt;"&amp;'19_Расчет_аналитики'!X1571,WeightedMinAge15),MAX(CapacityAge15*'01_Вводные'!$B$218*'19_Расчет_аналитики'!X1571,MeanMinAge15)))</f>
        <v/>
      </c>
      <c r="Y1490">
        <f>IF(OR('19_Расчет_аналитики'!Y1462=0,15&lt;='01_Вводные'!$B$297),0,'19_Расчет_аналитики'!Y1462*IF('01_Вводные'!$B$239="Да",MeanMinAge15+'19_Расчет_аналитики'!Y1571*SUMIF(ThresholdAge15,"&lt;"&amp;'19_Расчет_аналитики'!Y1571,WeightedRevAge15)-SUMIF(ThresholdAge15,"&lt;"&amp;'19_Расчет_аналитики'!Y1571,WeightedMinAge15),MAX(CapacityAge15*'01_Вводные'!$B$218*'19_Расчет_аналитики'!Y1571,MeanMinAge15)))</f>
        <v/>
      </c>
      <c r="Z1490">
        <f>IF(OR('19_Расчет_аналитики'!Z1462=0,15&lt;='01_Вводные'!$B$297),0,'19_Расчет_аналитики'!Z1462*IF('01_Вводные'!$B$239="Да",MeanMinAge15+'19_Расчет_аналитики'!Z1571*SUMIF(ThresholdAge15,"&lt;"&amp;'19_Расчет_аналитики'!Z1571,WeightedRevAge15)-SUMIF(ThresholdAge15,"&lt;"&amp;'19_Расчет_аналитики'!Z1571,WeightedMinAge15),MAX(CapacityAge15*'01_Вводные'!$B$218*'19_Расчет_аналитики'!Z1571,MeanMinAge15)))</f>
        <v/>
      </c>
      <c r="AA1490">
        <f>IF(OR('19_Расчет_аналитики'!AA1462=0,15&lt;='01_Вводные'!$B$297),0,'19_Расчет_аналитики'!AA1462*IF('01_Вводные'!$B$239="Да",MeanMinAge15+'19_Расчет_аналитики'!AA1571*SUMIF(ThresholdAge15,"&lt;"&amp;'19_Расчет_аналитики'!AA1571,WeightedRevAge15)-SUMIF(ThresholdAge15,"&lt;"&amp;'19_Расчет_аналитики'!AA1571,WeightedMinAge15),MAX(CapacityAge15*'01_Вводные'!$B$218*'19_Расчет_аналитики'!AA1571,MeanMinAge15)))</f>
        <v/>
      </c>
      <c r="AB1490">
        <f>IF(OR('19_Расчет_аналитики'!AB1462=0,15&lt;='01_Вводные'!$B$297),0,'19_Расчет_аналитики'!AB1462*IF('01_Вводные'!$B$239="Да",MeanMinAge15+'19_Расчет_аналитики'!AB1571*SUMIF(ThresholdAge15,"&lt;"&amp;'19_Расчет_аналитики'!AB1571,WeightedRevAge15)-SUMIF(ThresholdAge15,"&lt;"&amp;'19_Расчет_аналитики'!AB1571,WeightedMinAge15),MAX(CapacityAge15*'01_Вводные'!$B$218*'19_Расчет_аналитики'!AB1571,MeanMinAge15)))</f>
        <v/>
      </c>
      <c r="AC1490">
        <f>IF(OR('19_Расчет_аналитики'!AC1462=0,15&lt;='01_Вводные'!$B$297),0,'19_Расчет_аналитики'!AC1462*IF('01_Вводные'!$B$239="Да",MeanMinAge15+'19_Расчет_аналитики'!AC1571*SUMIF(ThresholdAge15,"&lt;"&amp;'19_Расчет_аналитики'!AC1571,WeightedRevAge15)-SUMIF(ThresholdAge15,"&lt;"&amp;'19_Расчет_аналитики'!AC1571,WeightedMinAge15),MAX(CapacityAge15*'01_Вводные'!$B$218*'19_Расчет_аналитики'!AC1571,MeanMinAge15)))</f>
        <v/>
      </c>
      <c r="AD1490">
        <f>IF(OR('19_Расчет_аналитики'!AD1462=0,15&lt;='01_Вводные'!$B$297),0,'19_Расчет_аналитики'!AD1462*IF('01_Вводные'!$B$239="Да",MeanMinAge15+'19_Расчет_аналитики'!AD1571*SUMIF(ThresholdAge15,"&lt;"&amp;'19_Расчет_аналитики'!AD1571,WeightedRevAge15)-SUMIF(ThresholdAge15,"&lt;"&amp;'19_Расчет_аналитики'!AD1571,WeightedMinAge15),MAX(CapacityAge15*'01_Вводные'!$B$218*'19_Расчет_аналитики'!AD1571,MeanMinAge15)))</f>
        <v/>
      </c>
      <c r="AE1490">
        <f>IF(OR('19_Расчет_аналитики'!AE1462=0,15&lt;='01_Вводные'!$B$297),0,'19_Расчет_аналитики'!AE1462*IF('01_Вводные'!$B$239="Да",MeanMinAge15+'19_Расчет_аналитики'!AE1571*SUMIF(ThresholdAge15,"&lt;"&amp;'19_Расчет_аналитики'!AE1571,WeightedRevAge15)-SUMIF(ThresholdAge15,"&lt;"&amp;'19_Расчет_аналитики'!AE1571,WeightedMinAge15),MAX(CapacityAge15*'01_Вводные'!$B$218*'19_Расчет_аналитики'!AE1571,MeanMinAge15)))</f>
        <v/>
      </c>
      <c r="AF1490">
        <f>IF(OR('19_Расчет_аналитики'!AF1462=0,15&lt;='01_Вводные'!$B$297),0,'19_Расчет_аналитики'!AF1462*IF('01_Вводные'!$B$239="Да",MeanMinAge15+'19_Расчет_аналитики'!AF1571*SUMIF(ThresholdAge15,"&lt;"&amp;'19_Расчет_аналитики'!AF1571,WeightedRevAge15)-SUMIF(ThresholdAge15,"&lt;"&amp;'19_Расчет_аналитики'!AF1571,WeightedMinAge15),MAX(CapacityAge15*'01_Вводные'!$B$218*'19_Расчет_аналитики'!AF1571,MeanMinAge15)))</f>
        <v/>
      </c>
      <c r="AG1490">
        <f>IF(OR('19_Расчет_аналитики'!AG1462=0,15&lt;='01_Вводные'!$B$297),0,'19_Расчет_аналитики'!AG1462*IF('01_Вводные'!$B$239="Да",MeanMinAge15+'19_Расчет_аналитики'!AG1571*SUMIF(ThresholdAge15,"&lt;"&amp;'19_Расчет_аналитики'!AG1571,WeightedRevAge15)-SUMIF(ThresholdAge15,"&lt;"&amp;'19_Расчет_аналитики'!AG1571,WeightedMinAge15),MAX(CapacityAge15*'01_Вводные'!$B$218*'19_Расчет_аналитики'!AG1571,MeanMinAge15)))</f>
        <v/>
      </c>
      <c r="AH1490">
        <f>IF(OR('19_Расчет_аналитики'!AH1462=0,15&lt;='01_Вводные'!$B$297),0,'19_Расчет_аналитики'!AH1462*IF('01_Вводные'!$B$239="Да",MeanMinAge15+'19_Расчет_аналитики'!AH1571*SUMIF(ThresholdAge15,"&lt;"&amp;'19_Расчет_аналитики'!AH1571,WeightedRevAge15)-SUMIF(ThresholdAge15,"&lt;"&amp;'19_Расчет_аналитики'!AH1571,WeightedMinAge15),MAX(CapacityAge15*'01_Вводные'!$B$218*'19_Расчет_аналитики'!AH1571,MeanMinAge15)))</f>
        <v/>
      </c>
      <c r="AI1490">
        <f>IF(OR('19_Расчет_аналитики'!AI1462=0,15&lt;='01_Вводные'!$B$297),0,'19_Расчет_аналитики'!AI1462*IF('01_Вводные'!$B$239="Да",MeanMinAge15+'19_Расчет_аналитики'!AI1571*SUMIF(ThresholdAge15,"&lt;"&amp;'19_Расчет_аналитики'!AI1571,WeightedRevAge15)-SUMIF(ThresholdAge15,"&lt;"&amp;'19_Расчет_аналитики'!AI1571,WeightedMinAge15),MAX(CapacityAge15*'01_Вводные'!$B$218*'19_Расчет_аналитики'!AI1571,MeanMinAge15)))</f>
        <v/>
      </c>
      <c r="AJ1490">
        <f>IF(OR('19_Расчет_аналитики'!AJ1462=0,15&lt;='01_Вводные'!$B$297),0,'19_Расчет_аналитики'!AJ1462*IF('01_Вводные'!$B$239="Да",MeanMinAge15+'19_Расчет_аналитики'!AJ1571*SUMIF(ThresholdAge15,"&lt;"&amp;'19_Расчет_аналитики'!AJ1571,WeightedRevAge15)-SUMIF(ThresholdAge15,"&lt;"&amp;'19_Расчет_аналитики'!AJ1571,WeightedMinAge15),MAX(CapacityAge15*'01_Вводные'!$B$218*'19_Расчет_аналитики'!AJ1571,MeanMinAge15)))</f>
        <v/>
      </c>
      <c r="AK1490">
        <f>IF(OR('19_Расчет_аналитики'!AK1462=0,15&lt;='01_Вводные'!$B$297),0,'19_Расчет_аналитики'!AK1462*IF('01_Вводные'!$B$239="Да",MeanMinAge15+'19_Расчет_аналитики'!AK1571*SUMIF(ThresholdAge15,"&lt;"&amp;'19_Расчет_аналитики'!AK1571,WeightedRevAge15)-SUMIF(ThresholdAge15,"&lt;"&amp;'19_Расчет_аналитики'!AK1571,WeightedMinAge15),MAX(CapacityAge15*'01_Вводные'!$B$218*'19_Расчет_аналитики'!AK1571,MeanMinAge15)))</f>
        <v/>
      </c>
      <c r="AL1490">
        <f>IF(OR('19_Расчет_аналитики'!AL1462=0,15&lt;='01_Вводные'!$B$297),0,'19_Расчет_аналитики'!AL1462*IF('01_Вводные'!$B$239="Да",MeanMinAge15+'19_Расчет_аналитики'!AL1571*SUMIF(ThresholdAge15,"&lt;"&amp;'19_Расчет_аналитики'!AL1571,WeightedRevAge15)-SUMIF(ThresholdAge15,"&lt;"&amp;'19_Расчет_аналитики'!AL1571,WeightedMinAge15),MAX(CapacityAge15*'01_Вводные'!$B$218*'19_Расчет_аналитики'!AL1571,MeanMinAge15)))</f>
        <v/>
      </c>
      <c r="AM1490">
        <f>IF(OR('19_Расчет_аналитики'!AM1462=0,15&lt;='01_Вводные'!$B$297),0,'19_Расчет_аналитики'!AM1462*IF('01_Вводные'!$B$239="Да",MeanMinAge15+'19_Расчет_аналитики'!AM1571*SUMIF(ThresholdAge15,"&lt;"&amp;'19_Расчет_аналитики'!AM1571,WeightedRevAge15)-SUMIF(ThresholdAge15,"&lt;"&amp;'19_Расчет_аналитики'!AM1571,WeightedMinAge15),MAX(CapacityAge15*'01_Вводные'!$B$218*'19_Расчет_аналитики'!AM1571,MeanMinAge15)))</f>
        <v/>
      </c>
      <c r="AN1490">
        <f>IF(OR('19_Расчет_аналитики'!AN1462=0,15&lt;='01_Вводные'!$B$297),0,'19_Расчет_аналитики'!AN1462*IF('01_Вводные'!$B$239="Да",MeanMinAge15+'19_Расчет_аналитики'!AN1571*SUMIF(ThresholdAge15,"&lt;"&amp;'19_Расчет_аналитики'!AN1571,WeightedRevAge15)-SUMIF(ThresholdAge15,"&lt;"&amp;'19_Расчет_аналитики'!AN1571,WeightedMinAge15),MAX(CapacityAge15*'01_Вводные'!$B$218*'19_Расчет_аналитики'!AN1571,MeanMinAge15)))</f>
        <v/>
      </c>
      <c r="AO1490">
        <f>IF(OR('19_Расчет_аналитики'!AO1462=0,15&lt;='01_Вводные'!$B$297),0,'19_Расчет_аналитики'!AO1462*IF('01_Вводные'!$B$239="Да",MeanMinAge15+'19_Расчет_аналитики'!AO1571*SUMIF(ThresholdAge15,"&lt;"&amp;'19_Расчет_аналитики'!AO1571,WeightedRevAge15)-SUMIF(ThresholdAge15,"&lt;"&amp;'19_Расчет_аналитики'!AO1571,WeightedMinAge15),MAX(CapacityAge15*'01_Вводные'!$B$218*'19_Расчет_аналитики'!AO1571,MeanMinAge15)))</f>
        <v/>
      </c>
      <c r="AP1490">
        <f>IF(OR('19_Расчет_аналитики'!AP1462=0,15&lt;='01_Вводные'!$B$297),0,'19_Расчет_аналитики'!AP1462*IF('01_Вводные'!$B$239="Да",MeanMinAge15+'19_Расчет_аналитики'!AP1571*SUMIF(ThresholdAge15,"&lt;"&amp;'19_Расчет_аналитики'!AP1571,WeightedRevAge15)-SUMIF(ThresholdAge15,"&lt;"&amp;'19_Расчет_аналитики'!AP1571,WeightedMinAge15),MAX(CapacityAge15*'01_Вводные'!$B$218*'19_Расчет_аналитики'!AP1571,MeanMinAge15)))</f>
        <v/>
      </c>
      <c r="AQ1490">
        <f>IF(OR('19_Расчет_аналитики'!AQ1462=0,15&lt;='01_Вводные'!$B$297),0,'19_Расчет_аналитики'!AQ1462*IF('01_Вводные'!$B$239="Да",MeanMinAge15+'19_Расчет_аналитики'!AQ1571*SUMIF(ThresholdAge15,"&lt;"&amp;'19_Расчет_аналитики'!AQ1571,WeightedRevAge15)-SUMIF(ThresholdAge15,"&lt;"&amp;'19_Расчет_аналитики'!AQ1571,WeightedMinAge15),MAX(CapacityAge15*'01_Вводные'!$B$218*'19_Расчет_аналитики'!AQ1571,MeanMinAge15)))</f>
        <v/>
      </c>
      <c r="AR1490">
        <f>IF(OR('19_Расчет_аналитики'!AR1462=0,15&lt;='01_Вводные'!$B$297),0,'19_Расчет_аналитики'!AR1462*IF('01_Вводные'!$B$239="Да",MeanMinAge15+'19_Расчет_аналитики'!AR1571*SUMIF(ThresholdAge15,"&lt;"&amp;'19_Расчет_аналитики'!AR1571,WeightedRevAge15)-SUMIF(ThresholdAge15,"&lt;"&amp;'19_Расчет_аналитики'!AR1571,WeightedMinAge15),MAX(CapacityAge15*'01_Вводные'!$B$218*'19_Расчет_аналитики'!AR1571,MeanMinAge15)))</f>
        <v/>
      </c>
      <c r="AS1490">
        <f>IF(OR('19_Расчет_аналитики'!AS1462=0,15&lt;='01_Вводные'!$B$297),0,'19_Расчет_аналитики'!AS1462*IF('01_Вводные'!$B$239="Да",MeanMinAge15+'19_Расчет_аналитики'!AS1571*SUMIF(ThresholdAge15,"&lt;"&amp;'19_Расчет_аналитики'!AS1571,WeightedRevAge15)-SUMIF(ThresholdAge15,"&lt;"&amp;'19_Расчет_аналитики'!AS1571,WeightedMinAge15),MAX(CapacityAge15*'01_Вводные'!$B$218*'19_Расчет_аналитики'!AS1571,MeanMinAge15)))</f>
        <v/>
      </c>
      <c r="AT1490">
        <f>IF(OR('19_Расчет_аналитики'!AT1462=0,15&lt;='01_Вводные'!$B$297),0,'19_Расчет_аналитики'!AT1462*IF('01_Вводные'!$B$239="Да",MeanMinAge15+'19_Расчет_аналитики'!AT1571*SUMIF(ThresholdAge15,"&lt;"&amp;'19_Расчет_аналитики'!AT1571,WeightedRevAge15)-SUMIF(ThresholdAge15,"&lt;"&amp;'19_Расчет_аналитики'!AT1571,WeightedMinAge15),MAX(CapacityAge15*'01_Вводные'!$B$218*'19_Расчет_аналитики'!AT1571,MeanMinAge15)))</f>
        <v/>
      </c>
      <c r="AU1490">
        <f>IF(OR('19_Расчет_аналитики'!AU1462=0,15&lt;='01_Вводные'!$B$297),0,'19_Расчет_аналитики'!AU1462*IF('01_Вводные'!$B$239="Да",MeanMinAge15+'19_Расчет_аналитики'!AU1571*SUMIF(ThresholdAge15,"&lt;"&amp;'19_Расчет_аналитики'!AU1571,WeightedRevAge15)-SUMIF(ThresholdAge15,"&lt;"&amp;'19_Расчет_аналитики'!AU1571,WeightedMinAge15),MAX(CapacityAge15*'01_Вводные'!$B$218*'19_Расчет_аналитики'!AU1571,MeanMinAge15)))</f>
        <v/>
      </c>
      <c r="AV1490">
        <f>IF(OR('19_Расчет_аналитики'!AV1462=0,15&lt;='01_Вводные'!$B$297),0,'19_Расчет_аналитики'!AV1462*IF('01_Вводные'!$B$239="Да",MeanMinAge15+'19_Расчет_аналитики'!AV1571*SUMIF(ThresholdAge15,"&lt;"&amp;'19_Расчет_аналитики'!AV1571,WeightedRevAge15)-SUMIF(ThresholdAge15,"&lt;"&amp;'19_Расчет_аналитики'!AV1571,WeightedMinAge15),MAX(CapacityAge15*'01_Вводные'!$B$218*'19_Расчет_аналитики'!AV1571,MeanMinAge15)))</f>
        <v/>
      </c>
      <c r="AW1490">
        <f>IF(OR('19_Расчет_аналитики'!AW1462=0,15&lt;='01_Вводные'!$B$297),0,'19_Расчет_аналитики'!AW1462*IF('01_Вводные'!$B$239="Да",MeanMinAge15+'19_Расчет_аналитики'!AW1571*SUMIF(ThresholdAge15,"&lt;"&amp;'19_Расчет_аналитики'!AW1571,WeightedRevAge15)-SUMIF(ThresholdAge15,"&lt;"&amp;'19_Расчет_аналитики'!AW1571,WeightedMinAge15),MAX(CapacityAge15*'01_Вводные'!$B$218*'19_Расчет_аналитики'!AW1571,MeanMinAge15)))</f>
        <v/>
      </c>
      <c r="AX1490">
        <f>IF(OR('19_Расчет_аналитики'!AX1462=0,15&lt;='01_Вводные'!$B$297),0,'19_Расчет_аналитики'!AX1462*IF('01_Вводные'!$B$239="Да",MeanMinAge15+'19_Расчет_аналитики'!AX1571*SUMIF(ThresholdAge15,"&lt;"&amp;'19_Расчет_аналитики'!AX1571,WeightedRevAge15)-SUMIF(ThresholdAge15,"&lt;"&amp;'19_Расчет_аналитики'!AX1571,WeightedMinAge15),MAX(CapacityAge15*'01_Вводные'!$B$218*'19_Расчет_аналитики'!AX1571,MeanMinAge15)))</f>
        <v/>
      </c>
      <c r="AY1490">
        <f>IF(OR('19_Расчет_аналитики'!AY1462=0,15&lt;='01_Вводные'!$B$297),0,'19_Расчет_аналитики'!AY1462*IF('01_Вводные'!$B$239="Да",MeanMinAge15+'19_Расчет_аналитики'!AY1571*SUMIF(ThresholdAge15,"&lt;"&amp;'19_Расчет_аналитики'!AY1571,WeightedRevAge15)-SUMIF(ThresholdAge15,"&lt;"&amp;'19_Расчет_аналитики'!AY1571,WeightedMinAge15),MAX(CapacityAge15*'01_Вводные'!$B$218*'19_Расчет_аналитики'!AY1571,MeanMinAge15)))</f>
        <v/>
      </c>
      <c r="AZ1490">
        <f>IF(OR('19_Расчет_аналитики'!AZ1462=0,15&lt;='01_Вводные'!$B$297),0,'19_Расчет_аналитики'!AZ1462*IF('01_Вводные'!$B$239="Да",MeanMinAge15+'19_Расчет_аналитики'!AZ1571*SUMIF(ThresholdAge15,"&lt;"&amp;'19_Расчет_аналитики'!AZ1571,WeightedRevAge15)-SUMIF(ThresholdAge15,"&lt;"&amp;'19_Расчет_аналитики'!AZ1571,WeightedMinAge15),MAX(CapacityAge15*'01_Вводные'!$B$218*'19_Расчет_аналитики'!AZ1571,MeanMinAge15)))</f>
        <v/>
      </c>
      <c r="BA1490">
        <f>IF(OR('19_Расчет_аналитики'!BA1462=0,15&lt;='01_Вводные'!$B$297),0,'19_Расчет_аналитики'!BA1462*IF('01_Вводные'!$B$239="Да",MeanMinAge15+'19_Расчет_аналитики'!BA1571*SUMIF(ThresholdAge15,"&lt;"&amp;'19_Расчет_аналитики'!BA1571,WeightedRevAge15)-SUMIF(ThresholdAge15,"&lt;"&amp;'19_Расчет_аналитики'!BA1571,WeightedMinAge15),MAX(CapacityAge15*'01_Вводные'!$B$218*'19_Расчет_аналитики'!BA1571,MeanMinAge15)))</f>
        <v/>
      </c>
      <c r="BB1490">
        <f>IF(OR('19_Расчет_аналитики'!BB1462=0,15&lt;='01_Вводные'!$B$297),0,'19_Расчет_аналитики'!BB1462*IF('01_Вводные'!$B$239="Да",MeanMinAge15+'19_Расчет_аналитики'!BB1571*SUMIF(ThresholdAge15,"&lt;"&amp;'19_Расчет_аналитики'!BB1571,WeightedRevAge15)-SUMIF(ThresholdAge15,"&lt;"&amp;'19_Расчет_аналитики'!BB1571,WeightedMinAge15),MAX(CapacityAge15*'01_Вводные'!$B$218*'19_Расчет_аналитики'!BB1571,MeanMinAge15)))</f>
        <v/>
      </c>
      <c r="BC1490">
        <f>IF(OR('19_Расчет_аналитики'!BC1462=0,15&lt;='01_Вводные'!$B$297),0,'19_Расчет_аналитики'!BC1462*IF('01_Вводные'!$B$239="Да",MeanMinAge15+'19_Расчет_аналитики'!BC1571*SUMIF(ThresholdAge15,"&lt;"&amp;'19_Расчет_аналитики'!BC1571,WeightedRevAge15)-SUMIF(ThresholdAge15,"&lt;"&amp;'19_Расчет_аналитики'!BC1571,WeightedMinAge15),MAX(CapacityAge15*'01_Вводные'!$B$218*'19_Расчет_аналитики'!BC1571,MeanMinAge15)))</f>
        <v/>
      </c>
      <c r="BD1490">
        <f>IF(OR('19_Расчет_аналитики'!BD1462=0,15&lt;='01_Вводные'!$B$297),0,'19_Расчет_аналитики'!BD1462*IF('01_Вводные'!$B$239="Да",MeanMinAge15+'19_Расчет_аналитики'!BD1571*SUMIF(ThresholdAge15,"&lt;"&amp;'19_Расчет_аналитики'!BD1571,WeightedRevAge15)-SUMIF(ThresholdAge15,"&lt;"&amp;'19_Расчет_аналитики'!BD1571,WeightedMinAge15),MAX(CapacityAge15*'01_Вводные'!$B$218*'19_Расчет_аналитики'!BD1571,MeanMinAge15)))</f>
        <v/>
      </c>
      <c r="BE1490">
        <f>IF(OR('19_Расчет_аналитики'!BE1462=0,15&lt;='01_Вводные'!$B$297),0,'19_Расчет_аналитики'!BE1462*IF('01_Вводные'!$B$239="Да",MeanMinAge15+'19_Расчет_аналитики'!BE1571*SUMIF(ThresholdAge15,"&lt;"&amp;'19_Расчет_аналитики'!BE1571,WeightedRevAge15)-SUMIF(ThresholdAge15,"&lt;"&amp;'19_Расчет_аналитики'!BE1571,WeightedMinAge15),MAX(CapacityAge15*'01_Вводные'!$B$218*'19_Расчет_аналитики'!BE1571,MeanMinAge15)))</f>
        <v/>
      </c>
      <c r="BF1490">
        <f>IF(OR('19_Расчет_аналитики'!BF1462=0,15&lt;='01_Вводные'!$B$297),0,'19_Расчет_аналитики'!BF1462*IF('01_Вводные'!$B$239="Да",MeanMinAge15+'19_Расчет_аналитики'!BF1571*SUMIF(ThresholdAge15,"&lt;"&amp;'19_Расчет_аналитики'!BF1571,WeightedRevAge15)-SUMIF(ThresholdAge15,"&lt;"&amp;'19_Расчет_аналитики'!BF1571,WeightedMinAge15),MAX(CapacityAge15*'01_Вводные'!$B$218*'19_Расчет_аналитики'!BF1571,MeanMinAge15)))</f>
        <v/>
      </c>
      <c r="BG1490">
        <f>IF(OR('19_Расчет_аналитики'!BG1462=0,15&lt;='01_Вводные'!$B$297),0,'19_Расчет_аналитики'!BG1462*IF('01_Вводные'!$B$239="Да",MeanMinAge15+'19_Расчет_аналитики'!BG1571*SUMIF(ThresholdAge15,"&lt;"&amp;'19_Расчет_аналитики'!BG1571,WeightedRevAge15)-SUMIF(ThresholdAge15,"&lt;"&amp;'19_Расчет_аналитики'!BG1571,WeightedMinAge15),MAX(CapacityAge15*'01_Вводные'!$B$218*'19_Расчет_аналитики'!BG1571,MeanMinAge15)))</f>
        <v/>
      </c>
      <c r="BH1490">
        <f>IF(OR('19_Расчет_аналитики'!BH1462=0,15&lt;='01_Вводные'!$B$297),0,'19_Расчет_аналитики'!BH1462*IF('01_Вводные'!$B$239="Да",MeanMinAge15+'19_Расчет_аналитики'!BH1571*SUMIF(ThresholdAge15,"&lt;"&amp;'19_Расчет_аналитики'!BH1571,WeightedRevAge15)-SUMIF(ThresholdAge15,"&lt;"&amp;'19_Расчет_аналитики'!BH1571,WeightedMinAge15),MAX(CapacityAge15*'01_Вводные'!$B$218*'19_Расчет_аналитики'!BH1571,MeanMinAge15)))</f>
        <v/>
      </c>
      <c r="BI1490">
        <f>IF(OR('19_Расчет_аналитики'!BI1462=0,15&lt;='01_Вводные'!$B$297),0,'19_Расчет_аналитики'!BI1462*IF('01_Вводные'!$B$239="Да",MeanMinAge15+'19_Расчет_аналитики'!BI1571*SUMIF(ThresholdAge15,"&lt;"&amp;'19_Расчет_аналитики'!BI1571,WeightedRevAge15)-SUMIF(ThresholdAge15,"&lt;"&amp;'19_Расчет_аналитики'!BI1571,WeightedMinAge15),MAX(CapacityAge15*'01_Вводные'!$B$218*'19_Расчет_аналитики'!BI1571,MeanMinAge15)))</f>
        <v/>
      </c>
      <c r="BJ1490">
        <f>IF(OR('19_Расчет_аналитики'!BJ1462=0,15&lt;='01_Вводные'!$B$297),0,'19_Расчет_аналитики'!BJ1462*IF('01_Вводные'!$B$239="Да",MeanMinAge15+'19_Расчет_аналитики'!BJ1571*SUMIF(ThresholdAge15,"&lt;"&amp;'19_Расчет_аналитики'!BJ1571,WeightedRevAge15)-SUMIF(ThresholdAge15,"&lt;"&amp;'19_Расчет_аналитики'!BJ1571,WeightedMinAge15),MAX(CapacityAge15*'01_Вводные'!$B$218*'19_Расчет_аналитики'!BJ1571,MeanMinAge15)))</f>
        <v/>
      </c>
      <c r="BK1490">
        <f>IF(OR('19_Расчет_аналитики'!BK1462=0,15&lt;='01_Вводные'!$B$297),0,'19_Расчет_аналитики'!BK1462*IF('01_Вводные'!$B$239="Да",MeanMinAge15+'19_Расчет_аналитики'!BK1571*SUMIF(ThresholdAge15,"&lt;"&amp;'19_Расчет_аналитики'!BK1571,WeightedRevAge15)-SUMIF(ThresholdAge15,"&lt;"&amp;'19_Расчет_аналитики'!BK1571,WeightedMinAge15),MAX(CapacityAge15*'01_Вводные'!$B$218*'19_Расчет_аналитики'!BK1571,MeanMinAge15)))</f>
        <v/>
      </c>
      <c r="BL1490">
        <f>IF(OR('19_Расчет_аналитики'!BL1462=0,15&lt;='01_Вводные'!$B$297),0,'19_Расчет_аналитики'!BL1462*IF('01_Вводные'!$B$239="Да",MeanMinAge15+'19_Расчет_аналитики'!BL1571*SUMIF(ThresholdAge15,"&lt;"&amp;'19_Расчет_аналитики'!BL1571,WeightedRevAge15)-SUMIF(ThresholdAge15,"&lt;"&amp;'19_Расчет_аналитики'!BL1571,WeightedMinAge15),MAX(CapacityAge15*'01_Вводные'!$B$218*'19_Расчет_аналитики'!BL1571,MeanMinAge15)))</f>
        <v/>
      </c>
      <c r="BM1490">
        <f>IF(OR('19_Расчет_аналитики'!BM1462=0,15&lt;='01_Вводные'!$B$297),0,'19_Расчет_аналитики'!BM1462*IF('01_Вводные'!$B$239="Да",MeanMinAge15+'19_Расчет_аналитики'!BM1571*SUMIF(ThresholdAge15,"&lt;"&amp;'19_Расчет_аналитики'!BM1571,WeightedRevAge15)-SUMIF(ThresholdAge15,"&lt;"&amp;'19_Расчет_аналитики'!BM1571,WeightedMinAge15),MAX(CapacityAge15*'01_Вводные'!$B$218*'19_Расчет_аналитики'!BM1571,MeanMinAge15)))</f>
        <v/>
      </c>
      <c r="BN1490">
        <f>IF(OR('19_Расчет_аналитики'!BN1462=0,15&lt;='01_Вводные'!$B$297),0,'19_Расчет_аналитики'!BN1462*IF('01_Вводные'!$B$239="Да",MeanMinAge15+'19_Расчет_аналитики'!BN1571*SUMIF(ThresholdAge15,"&lt;"&amp;'19_Расчет_аналитики'!BN1571,WeightedRevAge15)-SUMIF(ThresholdAge15,"&lt;"&amp;'19_Расчет_аналитики'!BN1571,WeightedMinAge15),MAX(CapacityAge15*'01_Вводные'!$B$218*'19_Расчет_аналитики'!BN1571,MeanMinAge15)))</f>
        <v/>
      </c>
      <c r="BO1490">
        <f>IF(OR('19_Расчет_аналитики'!BO1462=0,15&lt;='01_Вводные'!$B$297),0,'19_Расчет_аналитики'!BO1462*IF('01_Вводные'!$B$239="Да",MeanMinAge15+'19_Расчет_аналитики'!BO1571*SUMIF(ThresholdAge15,"&lt;"&amp;'19_Расчет_аналитики'!BO1571,WeightedRevAge15)-SUMIF(ThresholdAge15,"&lt;"&amp;'19_Расчет_аналитики'!BO1571,WeightedMinAge15),MAX(CapacityAge15*'01_Вводные'!$B$218*'19_Расчет_аналитики'!BO1571,MeanMinAge15)))</f>
        <v/>
      </c>
    </row>
    <row r="1491">
      <c r="B1491">
        <f>IF(OR('06_Сеть_и_дети'!B96=0,16&lt;='01_Вводные'!$B$297),0,'06_Сеть_и_дети'!B96*IF('01_Вводные'!$B$239="Да",MeanMinAge16+'19_Расчет_аналитики'!B1571*SUMIF(ThresholdAge16,"&lt;"&amp;'19_Расчет_аналитики'!B1571,WeightedRevAge16)-SUMIF(ThresholdAge16,"&lt;"&amp;'19_Расчет_аналитики'!B1571,WeightedMinAge16),MAX(CapacityAge16*'01_Вводные'!$B$218*'19_Расчет_аналитики'!B1571,MeanMinAge16)))</f>
        <v/>
      </c>
      <c r="C1491">
        <f>IF(OR('06_Сеть_и_дети'!C96=0,16&lt;='01_Вводные'!$B$297),0,'06_Сеть_и_дети'!C96*IF('01_Вводные'!$B$239="Да",MeanMinAge16+'19_Расчет_аналитики'!C1571*SUMIF(ThresholdAge16,"&lt;"&amp;'19_Расчет_аналитики'!C1571,WeightedRevAge16)-SUMIF(ThresholdAge16,"&lt;"&amp;'19_Расчет_аналитики'!C1571,WeightedMinAge16),MAX(CapacityAge16*'01_Вводные'!$B$218*'19_Расчет_аналитики'!C1571,MeanMinAge16)))</f>
        <v/>
      </c>
      <c r="D1491">
        <f>IF(OR('06_Сеть_и_дети'!D96=0,16&lt;='01_Вводные'!$B$297),0,'06_Сеть_и_дети'!D96*IF('01_Вводные'!$B$239="Да",MeanMinAge16+'19_Расчет_аналитики'!D1571*SUMIF(ThresholdAge16,"&lt;"&amp;'19_Расчет_аналитики'!D1571,WeightedRevAge16)-SUMIF(ThresholdAge16,"&lt;"&amp;'19_Расчет_аналитики'!D1571,WeightedMinAge16),MAX(CapacityAge16*'01_Вводные'!$B$218*'19_Расчет_аналитики'!D1571,MeanMinAge16)))</f>
        <v/>
      </c>
      <c r="E1491">
        <f>IF(OR('06_Сеть_и_дети'!E96=0,16&lt;='01_Вводные'!$B$297),0,'06_Сеть_и_дети'!E96*IF('01_Вводные'!$B$239="Да",MeanMinAge16+'19_Расчет_аналитики'!E1571*SUMIF(ThresholdAge16,"&lt;"&amp;'19_Расчет_аналитики'!E1571,WeightedRevAge16)-SUMIF(ThresholdAge16,"&lt;"&amp;'19_Расчет_аналитики'!E1571,WeightedMinAge16),MAX(CapacityAge16*'01_Вводные'!$B$218*'19_Расчет_аналитики'!E1571,MeanMinAge16)))</f>
        <v/>
      </c>
      <c r="F1491">
        <f>IF(OR('06_Сеть_и_дети'!F96=0,16&lt;='01_Вводные'!$B$297),0,'06_Сеть_и_дети'!F96*IF('01_Вводные'!$B$239="Да",MeanMinAge16+'19_Расчет_аналитики'!F1571*SUMIF(ThresholdAge16,"&lt;"&amp;'19_Расчет_аналитики'!F1571,WeightedRevAge16)-SUMIF(ThresholdAge16,"&lt;"&amp;'19_Расчет_аналитики'!F1571,WeightedMinAge16),MAX(CapacityAge16*'01_Вводные'!$B$218*'19_Расчет_аналитики'!F1571,MeanMinAge16)))</f>
        <v/>
      </c>
      <c r="G1491">
        <f>IF(OR('06_Сеть_и_дети'!G96=0,16&lt;='01_Вводные'!$B$297),0,'06_Сеть_и_дети'!G96*IF('01_Вводные'!$B$239="Да",MeanMinAge16+'19_Расчет_аналитики'!G1571*SUMIF(ThresholdAge16,"&lt;"&amp;'19_Расчет_аналитики'!G1571,WeightedRevAge16)-SUMIF(ThresholdAge16,"&lt;"&amp;'19_Расчет_аналитики'!G1571,WeightedMinAge16),MAX(CapacityAge16*'01_Вводные'!$B$218*'19_Расчет_аналитики'!G1571,MeanMinAge16)))</f>
        <v/>
      </c>
      <c r="H1491">
        <f>IF(OR('06_Сеть_и_дети'!H96=0,16&lt;='01_Вводные'!$B$297),0,'06_Сеть_и_дети'!H96*IF('01_Вводные'!$B$239="Да",MeanMinAge16+'19_Расчет_аналитики'!H1571*SUMIF(ThresholdAge16,"&lt;"&amp;'19_Расчет_аналитики'!H1571,WeightedRevAge16)-SUMIF(ThresholdAge16,"&lt;"&amp;'19_Расчет_аналитики'!H1571,WeightedMinAge16),MAX(CapacityAge16*'01_Вводные'!$B$218*'19_Расчет_аналитики'!H1571,MeanMinAge16)))</f>
        <v/>
      </c>
      <c r="I1491">
        <f>IF(OR('06_Сеть_и_дети'!I96=0,16&lt;='01_Вводные'!$B$297),0,'06_Сеть_и_дети'!I96*IF('01_Вводные'!$B$239="Да",MeanMinAge16+'19_Расчет_аналитики'!I1571*SUMIF(ThresholdAge16,"&lt;"&amp;'19_Расчет_аналитики'!I1571,WeightedRevAge16)-SUMIF(ThresholdAge16,"&lt;"&amp;'19_Расчет_аналитики'!I1571,WeightedMinAge16),MAX(CapacityAge16*'01_Вводные'!$B$218*'19_Расчет_аналитики'!I1571,MeanMinAge16)))</f>
        <v/>
      </c>
      <c r="J1491">
        <f>IF(OR('06_Сеть_и_дети'!J96=0,16&lt;='01_Вводные'!$B$297),0,'06_Сеть_и_дети'!J96*IF('01_Вводные'!$B$239="Да",MeanMinAge16+'19_Расчет_аналитики'!J1571*SUMIF(ThresholdAge16,"&lt;"&amp;'19_Расчет_аналитики'!J1571,WeightedRevAge16)-SUMIF(ThresholdAge16,"&lt;"&amp;'19_Расчет_аналитики'!J1571,WeightedMinAge16),MAX(CapacityAge16*'01_Вводные'!$B$218*'19_Расчет_аналитики'!J1571,MeanMinAge16)))</f>
        <v/>
      </c>
      <c r="K1491">
        <f>IF(OR('06_Сеть_и_дети'!K96=0,16&lt;='01_Вводные'!$B$297),0,'06_Сеть_и_дети'!K96*IF('01_Вводные'!$B$239="Да",MeanMinAge16+'19_Расчет_аналитики'!K1571*SUMIF(ThresholdAge16,"&lt;"&amp;'19_Расчет_аналитики'!K1571,WeightedRevAge16)-SUMIF(ThresholdAge16,"&lt;"&amp;'19_Расчет_аналитики'!K1571,WeightedMinAge16),MAX(CapacityAge16*'01_Вводные'!$B$218*'19_Расчет_аналитики'!K1571,MeanMinAge16)))</f>
        <v/>
      </c>
      <c r="L1491">
        <f>IF(OR('06_Сеть_и_дети'!L96=0,16&lt;='01_Вводные'!$B$297),0,'06_Сеть_и_дети'!L96*IF('01_Вводные'!$B$239="Да",MeanMinAge16+'19_Расчет_аналитики'!L1571*SUMIF(ThresholdAge16,"&lt;"&amp;'19_Расчет_аналитики'!L1571,WeightedRevAge16)-SUMIF(ThresholdAge16,"&lt;"&amp;'19_Расчет_аналитики'!L1571,WeightedMinAge16),MAX(CapacityAge16*'01_Вводные'!$B$218*'19_Расчет_аналитики'!L1571,MeanMinAge16)))</f>
        <v/>
      </c>
      <c r="M1491">
        <f>IF(OR('06_Сеть_и_дети'!M96=0,16&lt;='01_Вводные'!$B$297),0,'06_Сеть_и_дети'!M96*IF('01_Вводные'!$B$239="Да",MeanMinAge16+'19_Расчет_аналитики'!M1571*SUMIF(ThresholdAge16,"&lt;"&amp;'19_Расчет_аналитики'!M1571,WeightedRevAge16)-SUMIF(ThresholdAge16,"&lt;"&amp;'19_Расчет_аналитики'!M1571,WeightedMinAge16),MAX(CapacityAge16*'01_Вводные'!$B$218*'19_Расчет_аналитики'!M1571,MeanMinAge16)))</f>
        <v/>
      </c>
      <c r="N1491">
        <f>IF(OR('06_Сеть_и_дети'!N96=0,16&lt;='01_Вводные'!$B$297),0,'06_Сеть_и_дети'!N96*IF('01_Вводные'!$B$239="Да",MeanMinAge16+'19_Расчет_аналитики'!N1571*SUMIF(ThresholdAge16,"&lt;"&amp;'19_Расчет_аналитики'!N1571,WeightedRevAge16)-SUMIF(ThresholdAge16,"&lt;"&amp;'19_Расчет_аналитики'!N1571,WeightedMinAge16),MAX(CapacityAge16*'01_Вводные'!$B$218*'19_Расчет_аналитики'!N1571,MeanMinAge16)))</f>
        <v/>
      </c>
      <c r="O1491">
        <f>IF(OR('06_Сеть_и_дети'!O96=0,16&lt;='01_Вводные'!$B$297),0,'06_Сеть_и_дети'!O96*IF('01_Вводные'!$B$239="Да",MeanMinAge16+'19_Расчет_аналитики'!O1571*SUMIF(ThresholdAge16,"&lt;"&amp;'19_Расчет_аналитики'!O1571,WeightedRevAge16)-SUMIF(ThresholdAge16,"&lt;"&amp;'19_Расчет_аналитики'!O1571,WeightedMinAge16),MAX(CapacityAge16*'01_Вводные'!$B$218*'19_Расчет_аналитики'!O1571,MeanMinAge16)))</f>
        <v/>
      </c>
      <c r="P1491">
        <f>IF(OR('06_Сеть_и_дети'!P96=0,16&lt;='01_Вводные'!$B$297),0,'06_Сеть_и_дети'!P96*IF('01_Вводные'!$B$239="Да",MeanMinAge16+'19_Расчет_аналитики'!P1571*SUMIF(ThresholdAge16,"&lt;"&amp;'19_Расчет_аналитики'!P1571,WeightedRevAge16)-SUMIF(ThresholdAge16,"&lt;"&amp;'19_Расчет_аналитики'!P1571,WeightedMinAge16),MAX(CapacityAge16*'01_Вводные'!$B$218*'19_Расчет_аналитики'!P1571,MeanMinAge16)))</f>
        <v/>
      </c>
      <c r="Q1491">
        <f>IF(OR('19_Расчет_аналитики'!Q1463=0,16&lt;='01_Вводные'!$B$297),0,'19_Расчет_аналитики'!Q1463*IF('01_Вводные'!$B$239="Да",MeanMinAge16+'19_Расчет_аналитики'!Q1571*SUMIF(ThresholdAge16,"&lt;"&amp;'19_Расчет_аналитики'!Q1571,WeightedRevAge16)-SUMIF(ThresholdAge16,"&lt;"&amp;'19_Расчет_аналитики'!Q1571,WeightedMinAge16),MAX(CapacityAge16*'01_Вводные'!$B$218*'19_Расчет_аналитики'!Q1571,MeanMinAge16)))</f>
        <v/>
      </c>
      <c r="R1491">
        <f>IF(OR('19_Расчет_аналитики'!R1463=0,16&lt;='01_Вводные'!$B$297),0,'19_Расчет_аналитики'!R1463*IF('01_Вводные'!$B$239="Да",MeanMinAge16+'19_Расчет_аналитики'!R1571*SUMIF(ThresholdAge16,"&lt;"&amp;'19_Расчет_аналитики'!R1571,WeightedRevAge16)-SUMIF(ThresholdAge16,"&lt;"&amp;'19_Расчет_аналитики'!R1571,WeightedMinAge16),MAX(CapacityAge16*'01_Вводные'!$B$218*'19_Расчет_аналитики'!R1571,MeanMinAge16)))</f>
        <v/>
      </c>
      <c r="S1491">
        <f>IF(OR('19_Расчет_аналитики'!S1463=0,16&lt;='01_Вводные'!$B$297),0,'19_Расчет_аналитики'!S1463*IF('01_Вводные'!$B$239="Да",MeanMinAge16+'19_Расчет_аналитики'!S1571*SUMIF(ThresholdAge16,"&lt;"&amp;'19_Расчет_аналитики'!S1571,WeightedRevAge16)-SUMIF(ThresholdAge16,"&lt;"&amp;'19_Расчет_аналитики'!S1571,WeightedMinAge16),MAX(CapacityAge16*'01_Вводные'!$B$218*'19_Расчет_аналитики'!S1571,MeanMinAge16)))</f>
        <v/>
      </c>
      <c r="T1491">
        <f>IF(OR('19_Расчет_аналитики'!T1463=0,16&lt;='01_Вводные'!$B$297),0,'19_Расчет_аналитики'!T1463*IF('01_Вводные'!$B$239="Да",MeanMinAge16+'19_Расчет_аналитики'!T1571*SUMIF(ThresholdAge16,"&lt;"&amp;'19_Расчет_аналитики'!T1571,WeightedRevAge16)-SUMIF(ThresholdAge16,"&lt;"&amp;'19_Расчет_аналитики'!T1571,WeightedMinAge16),MAX(CapacityAge16*'01_Вводные'!$B$218*'19_Расчет_аналитики'!T1571,MeanMinAge16)))</f>
        <v/>
      </c>
      <c r="U1491">
        <f>IF(OR('19_Расчет_аналитики'!U1463=0,16&lt;='01_Вводные'!$B$297),0,'19_Расчет_аналитики'!U1463*IF('01_Вводные'!$B$239="Да",MeanMinAge16+'19_Расчет_аналитики'!U1571*SUMIF(ThresholdAge16,"&lt;"&amp;'19_Расчет_аналитики'!U1571,WeightedRevAge16)-SUMIF(ThresholdAge16,"&lt;"&amp;'19_Расчет_аналитики'!U1571,WeightedMinAge16),MAX(CapacityAge16*'01_Вводные'!$B$218*'19_Расчет_аналитики'!U1571,MeanMinAge16)))</f>
        <v/>
      </c>
      <c r="V1491">
        <f>IF(OR('19_Расчет_аналитики'!V1463=0,16&lt;='01_Вводные'!$B$297),0,'19_Расчет_аналитики'!V1463*IF('01_Вводные'!$B$239="Да",MeanMinAge16+'19_Расчет_аналитики'!V1571*SUMIF(ThresholdAge16,"&lt;"&amp;'19_Расчет_аналитики'!V1571,WeightedRevAge16)-SUMIF(ThresholdAge16,"&lt;"&amp;'19_Расчет_аналитики'!V1571,WeightedMinAge16),MAX(CapacityAge16*'01_Вводные'!$B$218*'19_Расчет_аналитики'!V1571,MeanMinAge16)))</f>
        <v/>
      </c>
      <c r="W1491">
        <f>IF(OR('19_Расчет_аналитики'!W1463=0,16&lt;='01_Вводные'!$B$297),0,'19_Расчет_аналитики'!W1463*IF('01_Вводные'!$B$239="Да",MeanMinAge16+'19_Расчет_аналитики'!W1571*SUMIF(ThresholdAge16,"&lt;"&amp;'19_Расчет_аналитики'!W1571,WeightedRevAge16)-SUMIF(ThresholdAge16,"&lt;"&amp;'19_Расчет_аналитики'!W1571,WeightedMinAge16),MAX(CapacityAge16*'01_Вводные'!$B$218*'19_Расчет_аналитики'!W1571,MeanMinAge16)))</f>
        <v/>
      </c>
      <c r="X1491">
        <f>IF(OR('19_Расчет_аналитики'!X1463=0,16&lt;='01_Вводные'!$B$297),0,'19_Расчет_аналитики'!X1463*IF('01_Вводные'!$B$239="Да",MeanMinAge16+'19_Расчет_аналитики'!X1571*SUMIF(ThresholdAge16,"&lt;"&amp;'19_Расчет_аналитики'!X1571,WeightedRevAge16)-SUMIF(ThresholdAge16,"&lt;"&amp;'19_Расчет_аналитики'!X1571,WeightedMinAge16),MAX(CapacityAge16*'01_Вводные'!$B$218*'19_Расчет_аналитики'!X1571,MeanMinAge16)))</f>
        <v/>
      </c>
      <c r="Y1491">
        <f>IF(OR('19_Расчет_аналитики'!Y1463=0,16&lt;='01_Вводные'!$B$297),0,'19_Расчет_аналитики'!Y1463*IF('01_Вводные'!$B$239="Да",MeanMinAge16+'19_Расчет_аналитики'!Y1571*SUMIF(ThresholdAge16,"&lt;"&amp;'19_Расчет_аналитики'!Y1571,WeightedRevAge16)-SUMIF(ThresholdAge16,"&lt;"&amp;'19_Расчет_аналитики'!Y1571,WeightedMinAge16),MAX(CapacityAge16*'01_Вводные'!$B$218*'19_Расчет_аналитики'!Y1571,MeanMinAge16)))</f>
        <v/>
      </c>
      <c r="Z1491">
        <f>IF(OR('19_Расчет_аналитики'!Z1463=0,16&lt;='01_Вводные'!$B$297),0,'19_Расчет_аналитики'!Z1463*IF('01_Вводные'!$B$239="Да",MeanMinAge16+'19_Расчет_аналитики'!Z1571*SUMIF(ThresholdAge16,"&lt;"&amp;'19_Расчет_аналитики'!Z1571,WeightedRevAge16)-SUMIF(ThresholdAge16,"&lt;"&amp;'19_Расчет_аналитики'!Z1571,WeightedMinAge16),MAX(CapacityAge16*'01_Вводные'!$B$218*'19_Расчет_аналитики'!Z1571,MeanMinAge16)))</f>
        <v/>
      </c>
      <c r="AA1491">
        <f>IF(OR('19_Расчет_аналитики'!AA1463=0,16&lt;='01_Вводные'!$B$297),0,'19_Расчет_аналитики'!AA1463*IF('01_Вводные'!$B$239="Да",MeanMinAge16+'19_Расчет_аналитики'!AA1571*SUMIF(ThresholdAge16,"&lt;"&amp;'19_Расчет_аналитики'!AA1571,WeightedRevAge16)-SUMIF(ThresholdAge16,"&lt;"&amp;'19_Расчет_аналитики'!AA1571,WeightedMinAge16),MAX(CapacityAge16*'01_Вводные'!$B$218*'19_Расчет_аналитики'!AA1571,MeanMinAge16)))</f>
        <v/>
      </c>
      <c r="AB1491">
        <f>IF(OR('19_Расчет_аналитики'!AB1463=0,16&lt;='01_Вводные'!$B$297),0,'19_Расчет_аналитики'!AB1463*IF('01_Вводные'!$B$239="Да",MeanMinAge16+'19_Расчет_аналитики'!AB1571*SUMIF(ThresholdAge16,"&lt;"&amp;'19_Расчет_аналитики'!AB1571,WeightedRevAge16)-SUMIF(ThresholdAge16,"&lt;"&amp;'19_Расчет_аналитики'!AB1571,WeightedMinAge16),MAX(CapacityAge16*'01_Вводные'!$B$218*'19_Расчет_аналитики'!AB1571,MeanMinAge16)))</f>
        <v/>
      </c>
      <c r="AC1491">
        <f>IF(OR('19_Расчет_аналитики'!AC1463=0,16&lt;='01_Вводные'!$B$297),0,'19_Расчет_аналитики'!AC1463*IF('01_Вводные'!$B$239="Да",MeanMinAge16+'19_Расчет_аналитики'!AC1571*SUMIF(ThresholdAge16,"&lt;"&amp;'19_Расчет_аналитики'!AC1571,WeightedRevAge16)-SUMIF(ThresholdAge16,"&lt;"&amp;'19_Расчет_аналитики'!AC1571,WeightedMinAge16),MAX(CapacityAge16*'01_Вводные'!$B$218*'19_Расчет_аналитики'!AC1571,MeanMinAge16)))</f>
        <v/>
      </c>
      <c r="AD1491">
        <f>IF(OR('19_Расчет_аналитики'!AD1463=0,16&lt;='01_Вводные'!$B$297),0,'19_Расчет_аналитики'!AD1463*IF('01_Вводные'!$B$239="Да",MeanMinAge16+'19_Расчет_аналитики'!AD1571*SUMIF(ThresholdAge16,"&lt;"&amp;'19_Расчет_аналитики'!AD1571,WeightedRevAge16)-SUMIF(ThresholdAge16,"&lt;"&amp;'19_Расчет_аналитики'!AD1571,WeightedMinAge16),MAX(CapacityAge16*'01_Вводные'!$B$218*'19_Расчет_аналитики'!AD1571,MeanMinAge16)))</f>
        <v/>
      </c>
      <c r="AE1491">
        <f>IF(OR('19_Расчет_аналитики'!AE1463=0,16&lt;='01_Вводные'!$B$297),0,'19_Расчет_аналитики'!AE1463*IF('01_Вводные'!$B$239="Да",MeanMinAge16+'19_Расчет_аналитики'!AE1571*SUMIF(ThresholdAge16,"&lt;"&amp;'19_Расчет_аналитики'!AE1571,WeightedRevAge16)-SUMIF(ThresholdAge16,"&lt;"&amp;'19_Расчет_аналитики'!AE1571,WeightedMinAge16),MAX(CapacityAge16*'01_Вводные'!$B$218*'19_Расчет_аналитики'!AE1571,MeanMinAge16)))</f>
        <v/>
      </c>
      <c r="AF1491">
        <f>IF(OR('19_Расчет_аналитики'!AF1463=0,16&lt;='01_Вводные'!$B$297),0,'19_Расчет_аналитики'!AF1463*IF('01_Вводные'!$B$239="Да",MeanMinAge16+'19_Расчет_аналитики'!AF1571*SUMIF(ThresholdAge16,"&lt;"&amp;'19_Расчет_аналитики'!AF1571,WeightedRevAge16)-SUMIF(ThresholdAge16,"&lt;"&amp;'19_Расчет_аналитики'!AF1571,WeightedMinAge16),MAX(CapacityAge16*'01_Вводные'!$B$218*'19_Расчет_аналитики'!AF1571,MeanMinAge16)))</f>
        <v/>
      </c>
      <c r="AG1491">
        <f>IF(OR('19_Расчет_аналитики'!AG1463=0,16&lt;='01_Вводные'!$B$297),0,'19_Расчет_аналитики'!AG1463*IF('01_Вводные'!$B$239="Да",MeanMinAge16+'19_Расчет_аналитики'!AG1571*SUMIF(ThresholdAge16,"&lt;"&amp;'19_Расчет_аналитики'!AG1571,WeightedRevAge16)-SUMIF(ThresholdAge16,"&lt;"&amp;'19_Расчет_аналитики'!AG1571,WeightedMinAge16),MAX(CapacityAge16*'01_Вводные'!$B$218*'19_Расчет_аналитики'!AG1571,MeanMinAge16)))</f>
        <v/>
      </c>
      <c r="AH1491">
        <f>IF(OR('19_Расчет_аналитики'!AH1463=0,16&lt;='01_Вводные'!$B$297),0,'19_Расчет_аналитики'!AH1463*IF('01_Вводные'!$B$239="Да",MeanMinAge16+'19_Расчет_аналитики'!AH1571*SUMIF(ThresholdAge16,"&lt;"&amp;'19_Расчет_аналитики'!AH1571,WeightedRevAge16)-SUMIF(ThresholdAge16,"&lt;"&amp;'19_Расчет_аналитики'!AH1571,WeightedMinAge16),MAX(CapacityAge16*'01_Вводные'!$B$218*'19_Расчет_аналитики'!AH1571,MeanMinAge16)))</f>
        <v/>
      </c>
      <c r="AI1491">
        <f>IF(OR('19_Расчет_аналитики'!AI1463=0,16&lt;='01_Вводные'!$B$297),0,'19_Расчет_аналитики'!AI1463*IF('01_Вводные'!$B$239="Да",MeanMinAge16+'19_Расчет_аналитики'!AI1571*SUMIF(ThresholdAge16,"&lt;"&amp;'19_Расчет_аналитики'!AI1571,WeightedRevAge16)-SUMIF(ThresholdAge16,"&lt;"&amp;'19_Расчет_аналитики'!AI1571,WeightedMinAge16),MAX(CapacityAge16*'01_Вводные'!$B$218*'19_Расчет_аналитики'!AI1571,MeanMinAge16)))</f>
        <v/>
      </c>
      <c r="AJ1491">
        <f>IF(OR('19_Расчет_аналитики'!AJ1463=0,16&lt;='01_Вводные'!$B$297),0,'19_Расчет_аналитики'!AJ1463*IF('01_Вводные'!$B$239="Да",MeanMinAge16+'19_Расчет_аналитики'!AJ1571*SUMIF(ThresholdAge16,"&lt;"&amp;'19_Расчет_аналитики'!AJ1571,WeightedRevAge16)-SUMIF(ThresholdAge16,"&lt;"&amp;'19_Расчет_аналитики'!AJ1571,WeightedMinAge16),MAX(CapacityAge16*'01_Вводные'!$B$218*'19_Расчет_аналитики'!AJ1571,MeanMinAge16)))</f>
        <v/>
      </c>
      <c r="AK1491">
        <f>IF(OR('19_Расчет_аналитики'!AK1463=0,16&lt;='01_Вводные'!$B$297),0,'19_Расчет_аналитики'!AK1463*IF('01_Вводные'!$B$239="Да",MeanMinAge16+'19_Расчет_аналитики'!AK1571*SUMIF(ThresholdAge16,"&lt;"&amp;'19_Расчет_аналитики'!AK1571,WeightedRevAge16)-SUMIF(ThresholdAge16,"&lt;"&amp;'19_Расчет_аналитики'!AK1571,WeightedMinAge16),MAX(CapacityAge16*'01_Вводные'!$B$218*'19_Расчет_аналитики'!AK1571,MeanMinAge16)))</f>
        <v/>
      </c>
      <c r="AL1491">
        <f>IF(OR('19_Расчет_аналитики'!AL1463=0,16&lt;='01_Вводные'!$B$297),0,'19_Расчет_аналитики'!AL1463*IF('01_Вводные'!$B$239="Да",MeanMinAge16+'19_Расчет_аналитики'!AL1571*SUMIF(ThresholdAge16,"&lt;"&amp;'19_Расчет_аналитики'!AL1571,WeightedRevAge16)-SUMIF(ThresholdAge16,"&lt;"&amp;'19_Расчет_аналитики'!AL1571,WeightedMinAge16),MAX(CapacityAge16*'01_Вводные'!$B$218*'19_Расчет_аналитики'!AL1571,MeanMinAge16)))</f>
        <v/>
      </c>
      <c r="AM1491">
        <f>IF(OR('19_Расчет_аналитики'!AM1463=0,16&lt;='01_Вводные'!$B$297),0,'19_Расчет_аналитики'!AM1463*IF('01_Вводные'!$B$239="Да",MeanMinAge16+'19_Расчет_аналитики'!AM1571*SUMIF(ThresholdAge16,"&lt;"&amp;'19_Расчет_аналитики'!AM1571,WeightedRevAge16)-SUMIF(ThresholdAge16,"&lt;"&amp;'19_Расчет_аналитики'!AM1571,WeightedMinAge16),MAX(CapacityAge16*'01_Вводные'!$B$218*'19_Расчет_аналитики'!AM1571,MeanMinAge16)))</f>
        <v/>
      </c>
      <c r="AN1491">
        <f>IF(OR('19_Расчет_аналитики'!AN1463=0,16&lt;='01_Вводные'!$B$297),0,'19_Расчет_аналитики'!AN1463*IF('01_Вводные'!$B$239="Да",MeanMinAge16+'19_Расчет_аналитики'!AN1571*SUMIF(ThresholdAge16,"&lt;"&amp;'19_Расчет_аналитики'!AN1571,WeightedRevAge16)-SUMIF(ThresholdAge16,"&lt;"&amp;'19_Расчет_аналитики'!AN1571,WeightedMinAge16),MAX(CapacityAge16*'01_Вводные'!$B$218*'19_Расчет_аналитики'!AN1571,MeanMinAge16)))</f>
        <v/>
      </c>
      <c r="AO1491">
        <f>IF(OR('19_Расчет_аналитики'!AO1463=0,16&lt;='01_Вводные'!$B$297),0,'19_Расчет_аналитики'!AO1463*IF('01_Вводные'!$B$239="Да",MeanMinAge16+'19_Расчет_аналитики'!AO1571*SUMIF(ThresholdAge16,"&lt;"&amp;'19_Расчет_аналитики'!AO1571,WeightedRevAge16)-SUMIF(ThresholdAge16,"&lt;"&amp;'19_Расчет_аналитики'!AO1571,WeightedMinAge16),MAX(CapacityAge16*'01_Вводные'!$B$218*'19_Расчет_аналитики'!AO1571,MeanMinAge16)))</f>
        <v/>
      </c>
      <c r="AP1491">
        <f>IF(OR('19_Расчет_аналитики'!AP1463=0,16&lt;='01_Вводные'!$B$297),0,'19_Расчет_аналитики'!AP1463*IF('01_Вводные'!$B$239="Да",MeanMinAge16+'19_Расчет_аналитики'!AP1571*SUMIF(ThresholdAge16,"&lt;"&amp;'19_Расчет_аналитики'!AP1571,WeightedRevAge16)-SUMIF(ThresholdAge16,"&lt;"&amp;'19_Расчет_аналитики'!AP1571,WeightedMinAge16),MAX(CapacityAge16*'01_Вводные'!$B$218*'19_Расчет_аналитики'!AP1571,MeanMinAge16)))</f>
        <v/>
      </c>
      <c r="AQ1491">
        <f>IF(OR('19_Расчет_аналитики'!AQ1463=0,16&lt;='01_Вводные'!$B$297),0,'19_Расчет_аналитики'!AQ1463*IF('01_Вводные'!$B$239="Да",MeanMinAge16+'19_Расчет_аналитики'!AQ1571*SUMIF(ThresholdAge16,"&lt;"&amp;'19_Расчет_аналитики'!AQ1571,WeightedRevAge16)-SUMIF(ThresholdAge16,"&lt;"&amp;'19_Расчет_аналитики'!AQ1571,WeightedMinAge16),MAX(CapacityAge16*'01_Вводные'!$B$218*'19_Расчет_аналитики'!AQ1571,MeanMinAge16)))</f>
        <v/>
      </c>
      <c r="AR1491">
        <f>IF(OR('19_Расчет_аналитики'!AR1463=0,16&lt;='01_Вводные'!$B$297),0,'19_Расчет_аналитики'!AR1463*IF('01_Вводные'!$B$239="Да",MeanMinAge16+'19_Расчет_аналитики'!AR1571*SUMIF(ThresholdAge16,"&lt;"&amp;'19_Расчет_аналитики'!AR1571,WeightedRevAge16)-SUMIF(ThresholdAge16,"&lt;"&amp;'19_Расчет_аналитики'!AR1571,WeightedMinAge16),MAX(CapacityAge16*'01_Вводные'!$B$218*'19_Расчет_аналитики'!AR1571,MeanMinAge16)))</f>
        <v/>
      </c>
      <c r="AS1491">
        <f>IF(OR('19_Расчет_аналитики'!AS1463=0,16&lt;='01_Вводные'!$B$297),0,'19_Расчет_аналитики'!AS1463*IF('01_Вводные'!$B$239="Да",MeanMinAge16+'19_Расчет_аналитики'!AS1571*SUMIF(ThresholdAge16,"&lt;"&amp;'19_Расчет_аналитики'!AS1571,WeightedRevAge16)-SUMIF(ThresholdAge16,"&lt;"&amp;'19_Расчет_аналитики'!AS1571,WeightedMinAge16),MAX(CapacityAge16*'01_Вводные'!$B$218*'19_Расчет_аналитики'!AS1571,MeanMinAge16)))</f>
        <v/>
      </c>
      <c r="AT1491">
        <f>IF(OR('19_Расчет_аналитики'!AT1463=0,16&lt;='01_Вводные'!$B$297),0,'19_Расчет_аналитики'!AT1463*IF('01_Вводные'!$B$239="Да",MeanMinAge16+'19_Расчет_аналитики'!AT1571*SUMIF(ThresholdAge16,"&lt;"&amp;'19_Расчет_аналитики'!AT1571,WeightedRevAge16)-SUMIF(ThresholdAge16,"&lt;"&amp;'19_Расчет_аналитики'!AT1571,WeightedMinAge16),MAX(CapacityAge16*'01_Вводные'!$B$218*'19_Расчет_аналитики'!AT1571,MeanMinAge16)))</f>
        <v/>
      </c>
      <c r="AU1491">
        <f>IF(OR('19_Расчет_аналитики'!AU1463=0,16&lt;='01_Вводные'!$B$297),0,'19_Расчет_аналитики'!AU1463*IF('01_Вводные'!$B$239="Да",MeanMinAge16+'19_Расчет_аналитики'!AU1571*SUMIF(ThresholdAge16,"&lt;"&amp;'19_Расчет_аналитики'!AU1571,WeightedRevAge16)-SUMIF(ThresholdAge16,"&lt;"&amp;'19_Расчет_аналитики'!AU1571,WeightedMinAge16),MAX(CapacityAge16*'01_Вводные'!$B$218*'19_Расчет_аналитики'!AU1571,MeanMinAge16)))</f>
        <v/>
      </c>
      <c r="AV1491">
        <f>IF(OR('19_Расчет_аналитики'!AV1463=0,16&lt;='01_Вводные'!$B$297),0,'19_Расчет_аналитики'!AV1463*IF('01_Вводные'!$B$239="Да",MeanMinAge16+'19_Расчет_аналитики'!AV1571*SUMIF(ThresholdAge16,"&lt;"&amp;'19_Расчет_аналитики'!AV1571,WeightedRevAge16)-SUMIF(ThresholdAge16,"&lt;"&amp;'19_Расчет_аналитики'!AV1571,WeightedMinAge16),MAX(CapacityAge16*'01_Вводные'!$B$218*'19_Расчет_аналитики'!AV1571,MeanMinAge16)))</f>
        <v/>
      </c>
      <c r="AW1491">
        <f>IF(OR('19_Расчет_аналитики'!AW1463=0,16&lt;='01_Вводные'!$B$297),0,'19_Расчет_аналитики'!AW1463*IF('01_Вводные'!$B$239="Да",MeanMinAge16+'19_Расчет_аналитики'!AW1571*SUMIF(ThresholdAge16,"&lt;"&amp;'19_Расчет_аналитики'!AW1571,WeightedRevAge16)-SUMIF(ThresholdAge16,"&lt;"&amp;'19_Расчет_аналитики'!AW1571,WeightedMinAge16),MAX(CapacityAge16*'01_Вводные'!$B$218*'19_Расчет_аналитики'!AW1571,MeanMinAge16)))</f>
        <v/>
      </c>
      <c r="AX1491">
        <f>IF(OR('19_Расчет_аналитики'!AX1463=0,16&lt;='01_Вводные'!$B$297),0,'19_Расчет_аналитики'!AX1463*IF('01_Вводные'!$B$239="Да",MeanMinAge16+'19_Расчет_аналитики'!AX1571*SUMIF(ThresholdAge16,"&lt;"&amp;'19_Расчет_аналитики'!AX1571,WeightedRevAge16)-SUMIF(ThresholdAge16,"&lt;"&amp;'19_Расчет_аналитики'!AX1571,WeightedMinAge16),MAX(CapacityAge16*'01_Вводные'!$B$218*'19_Расчет_аналитики'!AX1571,MeanMinAge16)))</f>
        <v/>
      </c>
      <c r="AY1491">
        <f>IF(OR('19_Расчет_аналитики'!AY1463=0,16&lt;='01_Вводные'!$B$297),0,'19_Расчет_аналитики'!AY1463*IF('01_Вводные'!$B$239="Да",MeanMinAge16+'19_Расчет_аналитики'!AY1571*SUMIF(ThresholdAge16,"&lt;"&amp;'19_Расчет_аналитики'!AY1571,WeightedRevAge16)-SUMIF(ThresholdAge16,"&lt;"&amp;'19_Расчет_аналитики'!AY1571,WeightedMinAge16),MAX(CapacityAge16*'01_Вводные'!$B$218*'19_Расчет_аналитики'!AY1571,MeanMinAge16)))</f>
        <v/>
      </c>
      <c r="AZ1491">
        <f>IF(OR('19_Расчет_аналитики'!AZ1463=0,16&lt;='01_Вводные'!$B$297),0,'19_Расчет_аналитики'!AZ1463*IF('01_Вводные'!$B$239="Да",MeanMinAge16+'19_Расчет_аналитики'!AZ1571*SUMIF(ThresholdAge16,"&lt;"&amp;'19_Расчет_аналитики'!AZ1571,WeightedRevAge16)-SUMIF(ThresholdAge16,"&lt;"&amp;'19_Расчет_аналитики'!AZ1571,WeightedMinAge16),MAX(CapacityAge16*'01_Вводные'!$B$218*'19_Расчет_аналитики'!AZ1571,MeanMinAge16)))</f>
        <v/>
      </c>
      <c r="BA1491">
        <f>IF(OR('19_Расчет_аналитики'!BA1463=0,16&lt;='01_Вводные'!$B$297),0,'19_Расчет_аналитики'!BA1463*IF('01_Вводные'!$B$239="Да",MeanMinAge16+'19_Расчет_аналитики'!BA1571*SUMIF(ThresholdAge16,"&lt;"&amp;'19_Расчет_аналитики'!BA1571,WeightedRevAge16)-SUMIF(ThresholdAge16,"&lt;"&amp;'19_Расчет_аналитики'!BA1571,WeightedMinAge16),MAX(CapacityAge16*'01_Вводные'!$B$218*'19_Расчет_аналитики'!BA1571,MeanMinAge16)))</f>
        <v/>
      </c>
      <c r="BB1491">
        <f>IF(OR('19_Расчет_аналитики'!BB1463=0,16&lt;='01_Вводные'!$B$297),0,'19_Расчет_аналитики'!BB1463*IF('01_Вводные'!$B$239="Да",MeanMinAge16+'19_Расчет_аналитики'!BB1571*SUMIF(ThresholdAge16,"&lt;"&amp;'19_Расчет_аналитики'!BB1571,WeightedRevAge16)-SUMIF(ThresholdAge16,"&lt;"&amp;'19_Расчет_аналитики'!BB1571,WeightedMinAge16),MAX(CapacityAge16*'01_Вводные'!$B$218*'19_Расчет_аналитики'!BB1571,MeanMinAge16)))</f>
        <v/>
      </c>
      <c r="BC1491">
        <f>IF(OR('19_Расчет_аналитики'!BC1463=0,16&lt;='01_Вводные'!$B$297),0,'19_Расчет_аналитики'!BC1463*IF('01_Вводные'!$B$239="Да",MeanMinAge16+'19_Расчет_аналитики'!BC1571*SUMIF(ThresholdAge16,"&lt;"&amp;'19_Расчет_аналитики'!BC1571,WeightedRevAge16)-SUMIF(ThresholdAge16,"&lt;"&amp;'19_Расчет_аналитики'!BC1571,WeightedMinAge16),MAX(CapacityAge16*'01_Вводные'!$B$218*'19_Расчет_аналитики'!BC1571,MeanMinAge16)))</f>
        <v/>
      </c>
      <c r="BD1491">
        <f>IF(OR('19_Расчет_аналитики'!BD1463=0,16&lt;='01_Вводные'!$B$297),0,'19_Расчет_аналитики'!BD1463*IF('01_Вводные'!$B$239="Да",MeanMinAge16+'19_Расчет_аналитики'!BD1571*SUMIF(ThresholdAge16,"&lt;"&amp;'19_Расчет_аналитики'!BD1571,WeightedRevAge16)-SUMIF(ThresholdAge16,"&lt;"&amp;'19_Расчет_аналитики'!BD1571,WeightedMinAge16),MAX(CapacityAge16*'01_Вводные'!$B$218*'19_Расчет_аналитики'!BD1571,MeanMinAge16)))</f>
        <v/>
      </c>
      <c r="BE1491">
        <f>IF(OR('19_Расчет_аналитики'!BE1463=0,16&lt;='01_Вводные'!$B$297),0,'19_Расчет_аналитики'!BE1463*IF('01_Вводные'!$B$239="Да",MeanMinAge16+'19_Расчет_аналитики'!BE1571*SUMIF(ThresholdAge16,"&lt;"&amp;'19_Расчет_аналитики'!BE1571,WeightedRevAge16)-SUMIF(ThresholdAge16,"&lt;"&amp;'19_Расчет_аналитики'!BE1571,WeightedMinAge16),MAX(CapacityAge16*'01_Вводные'!$B$218*'19_Расчет_аналитики'!BE1571,MeanMinAge16)))</f>
        <v/>
      </c>
      <c r="BF1491">
        <f>IF(OR('19_Расчет_аналитики'!BF1463=0,16&lt;='01_Вводные'!$B$297),0,'19_Расчет_аналитики'!BF1463*IF('01_Вводные'!$B$239="Да",MeanMinAge16+'19_Расчет_аналитики'!BF1571*SUMIF(ThresholdAge16,"&lt;"&amp;'19_Расчет_аналитики'!BF1571,WeightedRevAge16)-SUMIF(ThresholdAge16,"&lt;"&amp;'19_Расчет_аналитики'!BF1571,WeightedMinAge16),MAX(CapacityAge16*'01_Вводные'!$B$218*'19_Расчет_аналитики'!BF1571,MeanMinAge16)))</f>
        <v/>
      </c>
      <c r="BG1491">
        <f>IF(OR('19_Расчет_аналитики'!BG1463=0,16&lt;='01_Вводные'!$B$297),0,'19_Расчет_аналитики'!BG1463*IF('01_Вводные'!$B$239="Да",MeanMinAge16+'19_Расчет_аналитики'!BG1571*SUMIF(ThresholdAge16,"&lt;"&amp;'19_Расчет_аналитики'!BG1571,WeightedRevAge16)-SUMIF(ThresholdAge16,"&lt;"&amp;'19_Расчет_аналитики'!BG1571,WeightedMinAge16),MAX(CapacityAge16*'01_Вводные'!$B$218*'19_Расчет_аналитики'!BG1571,MeanMinAge16)))</f>
        <v/>
      </c>
      <c r="BH1491">
        <f>IF(OR('19_Расчет_аналитики'!BH1463=0,16&lt;='01_Вводные'!$B$297),0,'19_Расчет_аналитики'!BH1463*IF('01_Вводные'!$B$239="Да",MeanMinAge16+'19_Расчет_аналитики'!BH1571*SUMIF(ThresholdAge16,"&lt;"&amp;'19_Расчет_аналитики'!BH1571,WeightedRevAge16)-SUMIF(ThresholdAge16,"&lt;"&amp;'19_Расчет_аналитики'!BH1571,WeightedMinAge16),MAX(CapacityAge16*'01_Вводные'!$B$218*'19_Расчет_аналитики'!BH1571,MeanMinAge16)))</f>
        <v/>
      </c>
      <c r="BI1491">
        <f>IF(OR('19_Расчет_аналитики'!BI1463=0,16&lt;='01_Вводные'!$B$297),0,'19_Расчет_аналитики'!BI1463*IF('01_Вводные'!$B$239="Да",MeanMinAge16+'19_Расчет_аналитики'!BI1571*SUMIF(ThresholdAge16,"&lt;"&amp;'19_Расчет_аналитики'!BI1571,WeightedRevAge16)-SUMIF(ThresholdAge16,"&lt;"&amp;'19_Расчет_аналитики'!BI1571,WeightedMinAge16),MAX(CapacityAge16*'01_Вводные'!$B$218*'19_Расчет_аналитики'!BI1571,MeanMinAge16)))</f>
        <v/>
      </c>
      <c r="BJ1491">
        <f>IF(OR('19_Расчет_аналитики'!BJ1463=0,16&lt;='01_Вводные'!$B$297),0,'19_Расчет_аналитики'!BJ1463*IF('01_Вводные'!$B$239="Да",MeanMinAge16+'19_Расчет_аналитики'!BJ1571*SUMIF(ThresholdAge16,"&lt;"&amp;'19_Расчет_аналитики'!BJ1571,WeightedRevAge16)-SUMIF(ThresholdAge16,"&lt;"&amp;'19_Расчет_аналитики'!BJ1571,WeightedMinAge16),MAX(CapacityAge16*'01_Вводные'!$B$218*'19_Расчет_аналитики'!BJ1571,MeanMinAge16)))</f>
        <v/>
      </c>
      <c r="BK1491">
        <f>IF(OR('19_Расчет_аналитики'!BK1463=0,16&lt;='01_Вводные'!$B$297),0,'19_Расчет_аналитики'!BK1463*IF('01_Вводные'!$B$239="Да",MeanMinAge16+'19_Расчет_аналитики'!BK1571*SUMIF(ThresholdAge16,"&lt;"&amp;'19_Расчет_аналитики'!BK1571,WeightedRevAge16)-SUMIF(ThresholdAge16,"&lt;"&amp;'19_Расчет_аналитики'!BK1571,WeightedMinAge16),MAX(CapacityAge16*'01_Вводные'!$B$218*'19_Расчет_аналитики'!BK1571,MeanMinAge16)))</f>
        <v/>
      </c>
      <c r="BL1491">
        <f>IF(OR('19_Расчет_аналитики'!BL1463=0,16&lt;='01_Вводные'!$B$297),0,'19_Расчет_аналитики'!BL1463*IF('01_Вводные'!$B$239="Да",MeanMinAge16+'19_Расчет_аналитики'!BL1571*SUMIF(ThresholdAge16,"&lt;"&amp;'19_Расчет_аналитики'!BL1571,WeightedRevAge16)-SUMIF(ThresholdAge16,"&lt;"&amp;'19_Расчет_аналитики'!BL1571,WeightedMinAge16),MAX(CapacityAge16*'01_Вводные'!$B$218*'19_Расчет_аналитики'!BL1571,MeanMinAge16)))</f>
        <v/>
      </c>
      <c r="BM1491">
        <f>IF(OR('19_Расчет_аналитики'!BM1463=0,16&lt;='01_Вводные'!$B$297),0,'19_Расчет_аналитики'!BM1463*IF('01_Вводные'!$B$239="Да",MeanMinAge16+'19_Расчет_аналитики'!BM1571*SUMIF(ThresholdAge16,"&lt;"&amp;'19_Расчет_аналитики'!BM1571,WeightedRevAge16)-SUMIF(ThresholdAge16,"&lt;"&amp;'19_Расчет_аналитики'!BM1571,WeightedMinAge16),MAX(CapacityAge16*'01_Вводные'!$B$218*'19_Расчет_аналитики'!BM1571,MeanMinAge16)))</f>
        <v/>
      </c>
      <c r="BN1491">
        <f>IF(OR('19_Расчет_аналитики'!BN1463=0,16&lt;='01_Вводные'!$B$297),0,'19_Расчет_аналитики'!BN1463*IF('01_Вводные'!$B$239="Да",MeanMinAge16+'19_Расчет_аналитики'!BN1571*SUMIF(ThresholdAge16,"&lt;"&amp;'19_Расчет_аналитики'!BN1571,WeightedRevAge16)-SUMIF(ThresholdAge16,"&lt;"&amp;'19_Расчет_аналитики'!BN1571,WeightedMinAge16),MAX(CapacityAge16*'01_Вводные'!$B$218*'19_Расчет_аналитики'!BN1571,MeanMinAge16)))</f>
        <v/>
      </c>
      <c r="BO1491">
        <f>IF(OR('19_Расчет_аналитики'!BO1463=0,16&lt;='01_Вводные'!$B$297),0,'19_Расчет_аналитики'!BO1463*IF('01_Вводные'!$B$239="Да",MeanMinAge16+'19_Расчет_аналитики'!BO1571*SUMIF(ThresholdAge16,"&lt;"&amp;'19_Расчет_аналитики'!BO1571,WeightedRevAge16)-SUMIF(ThresholdAge16,"&lt;"&amp;'19_Расчет_аналитики'!BO1571,WeightedMinAge16),MAX(CapacityAge16*'01_Вводные'!$B$218*'19_Расчет_аналитики'!BO1571,MeanMinAge16)))</f>
        <v/>
      </c>
    </row>
    <row r="1492">
      <c r="B1492">
        <f>IF(OR('06_Сеть_и_дети'!B97=0,17&lt;='01_Вводные'!$B$297),0,'06_Сеть_и_дети'!B97*IF('01_Вводные'!$B$239="Да",MeanMinAge17+'19_Расчет_аналитики'!B1571*SUMIF(ThresholdAge17,"&lt;"&amp;'19_Расчет_аналитики'!B1571,WeightedRevAge17)-SUMIF(ThresholdAge17,"&lt;"&amp;'19_Расчет_аналитики'!B1571,WeightedMinAge17),MAX(CapacityAge17*'01_Вводные'!$B$218*'19_Расчет_аналитики'!B1571,MeanMinAge17)))</f>
        <v/>
      </c>
      <c r="C1492">
        <f>IF(OR('06_Сеть_и_дети'!C97=0,17&lt;='01_Вводные'!$B$297),0,'06_Сеть_и_дети'!C97*IF('01_Вводные'!$B$239="Да",MeanMinAge17+'19_Расчет_аналитики'!C1571*SUMIF(ThresholdAge17,"&lt;"&amp;'19_Расчет_аналитики'!C1571,WeightedRevAge17)-SUMIF(ThresholdAge17,"&lt;"&amp;'19_Расчет_аналитики'!C1571,WeightedMinAge17),MAX(CapacityAge17*'01_Вводные'!$B$218*'19_Расчет_аналитики'!C1571,MeanMinAge17)))</f>
        <v/>
      </c>
      <c r="D1492">
        <f>IF(OR('06_Сеть_и_дети'!D97=0,17&lt;='01_Вводные'!$B$297),0,'06_Сеть_и_дети'!D97*IF('01_Вводные'!$B$239="Да",MeanMinAge17+'19_Расчет_аналитики'!D1571*SUMIF(ThresholdAge17,"&lt;"&amp;'19_Расчет_аналитики'!D1571,WeightedRevAge17)-SUMIF(ThresholdAge17,"&lt;"&amp;'19_Расчет_аналитики'!D1571,WeightedMinAge17),MAX(CapacityAge17*'01_Вводные'!$B$218*'19_Расчет_аналитики'!D1571,MeanMinAge17)))</f>
        <v/>
      </c>
      <c r="E1492">
        <f>IF(OR('06_Сеть_и_дети'!E97=0,17&lt;='01_Вводные'!$B$297),0,'06_Сеть_и_дети'!E97*IF('01_Вводные'!$B$239="Да",MeanMinAge17+'19_Расчет_аналитики'!E1571*SUMIF(ThresholdAge17,"&lt;"&amp;'19_Расчет_аналитики'!E1571,WeightedRevAge17)-SUMIF(ThresholdAge17,"&lt;"&amp;'19_Расчет_аналитики'!E1571,WeightedMinAge17),MAX(CapacityAge17*'01_Вводные'!$B$218*'19_Расчет_аналитики'!E1571,MeanMinAge17)))</f>
        <v/>
      </c>
      <c r="F1492">
        <f>IF(OR('06_Сеть_и_дети'!F97=0,17&lt;='01_Вводные'!$B$297),0,'06_Сеть_и_дети'!F97*IF('01_Вводные'!$B$239="Да",MeanMinAge17+'19_Расчет_аналитики'!F1571*SUMIF(ThresholdAge17,"&lt;"&amp;'19_Расчет_аналитики'!F1571,WeightedRevAge17)-SUMIF(ThresholdAge17,"&lt;"&amp;'19_Расчет_аналитики'!F1571,WeightedMinAge17),MAX(CapacityAge17*'01_Вводные'!$B$218*'19_Расчет_аналитики'!F1571,MeanMinAge17)))</f>
        <v/>
      </c>
      <c r="G1492">
        <f>IF(OR('06_Сеть_и_дети'!G97=0,17&lt;='01_Вводные'!$B$297),0,'06_Сеть_и_дети'!G97*IF('01_Вводные'!$B$239="Да",MeanMinAge17+'19_Расчет_аналитики'!G1571*SUMIF(ThresholdAge17,"&lt;"&amp;'19_Расчет_аналитики'!G1571,WeightedRevAge17)-SUMIF(ThresholdAge17,"&lt;"&amp;'19_Расчет_аналитики'!G1571,WeightedMinAge17),MAX(CapacityAge17*'01_Вводные'!$B$218*'19_Расчет_аналитики'!G1571,MeanMinAge17)))</f>
        <v/>
      </c>
      <c r="H1492">
        <f>IF(OR('06_Сеть_и_дети'!H97=0,17&lt;='01_Вводные'!$B$297),0,'06_Сеть_и_дети'!H97*IF('01_Вводные'!$B$239="Да",MeanMinAge17+'19_Расчет_аналитики'!H1571*SUMIF(ThresholdAge17,"&lt;"&amp;'19_Расчет_аналитики'!H1571,WeightedRevAge17)-SUMIF(ThresholdAge17,"&lt;"&amp;'19_Расчет_аналитики'!H1571,WeightedMinAge17),MAX(CapacityAge17*'01_Вводные'!$B$218*'19_Расчет_аналитики'!H1571,MeanMinAge17)))</f>
        <v/>
      </c>
      <c r="I1492">
        <f>IF(OR('06_Сеть_и_дети'!I97=0,17&lt;='01_Вводные'!$B$297),0,'06_Сеть_и_дети'!I97*IF('01_Вводные'!$B$239="Да",MeanMinAge17+'19_Расчет_аналитики'!I1571*SUMIF(ThresholdAge17,"&lt;"&amp;'19_Расчет_аналитики'!I1571,WeightedRevAge17)-SUMIF(ThresholdAge17,"&lt;"&amp;'19_Расчет_аналитики'!I1571,WeightedMinAge17),MAX(CapacityAge17*'01_Вводные'!$B$218*'19_Расчет_аналитики'!I1571,MeanMinAge17)))</f>
        <v/>
      </c>
      <c r="J1492">
        <f>IF(OR('06_Сеть_и_дети'!J97=0,17&lt;='01_Вводные'!$B$297),0,'06_Сеть_и_дети'!J97*IF('01_Вводные'!$B$239="Да",MeanMinAge17+'19_Расчет_аналитики'!J1571*SUMIF(ThresholdAge17,"&lt;"&amp;'19_Расчет_аналитики'!J1571,WeightedRevAge17)-SUMIF(ThresholdAge17,"&lt;"&amp;'19_Расчет_аналитики'!J1571,WeightedMinAge17),MAX(CapacityAge17*'01_Вводные'!$B$218*'19_Расчет_аналитики'!J1571,MeanMinAge17)))</f>
        <v/>
      </c>
      <c r="K1492">
        <f>IF(OR('06_Сеть_и_дети'!K97=0,17&lt;='01_Вводные'!$B$297),0,'06_Сеть_и_дети'!K97*IF('01_Вводные'!$B$239="Да",MeanMinAge17+'19_Расчет_аналитики'!K1571*SUMIF(ThresholdAge17,"&lt;"&amp;'19_Расчет_аналитики'!K1571,WeightedRevAge17)-SUMIF(ThresholdAge17,"&lt;"&amp;'19_Расчет_аналитики'!K1571,WeightedMinAge17),MAX(CapacityAge17*'01_Вводные'!$B$218*'19_Расчет_аналитики'!K1571,MeanMinAge17)))</f>
        <v/>
      </c>
      <c r="L1492">
        <f>IF(OR('06_Сеть_и_дети'!L97=0,17&lt;='01_Вводные'!$B$297),0,'06_Сеть_и_дети'!L97*IF('01_Вводные'!$B$239="Да",MeanMinAge17+'19_Расчет_аналитики'!L1571*SUMIF(ThresholdAge17,"&lt;"&amp;'19_Расчет_аналитики'!L1571,WeightedRevAge17)-SUMIF(ThresholdAge17,"&lt;"&amp;'19_Расчет_аналитики'!L1571,WeightedMinAge17),MAX(CapacityAge17*'01_Вводные'!$B$218*'19_Расчет_аналитики'!L1571,MeanMinAge17)))</f>
        <v/>
      </c>
      <c r="M1492">
        <f>IF(OR('06_Сеть_и_дети'!M97=0,17&lt;='01_Вводные'!$B$297),0,'06_Сеть_и_дети'!M97*IF('01_Вводные'!$B$239="Да",MeanMinAge17+'19_Расчет_аналитики'!M1571*SUMIF(ThresholdAge17,"&lt;"&amp;'19_Расчет_аналитики'!M1571,WeightedRevAge17)-SUMIF(ThresholdAge17,"&lt;"&amp;'19_Расчет_аналитики'!M1571,WeightedMinAge17),MAX(CapacityAge17*'01_Вводные'!$B$218*'19_Расчет_аналитики'!M1571,MeanMinAge17)))</f>
        <v/>
      </c>
      <c r="N1492">
        <f>IF(OR('06_Сеть_и_дети'!N97=0,17&lt;='01_Вводные'!$B$297),0,'06_Сеть_и_дети'!N97*IF('01_Вводные'!$B$239="Да",MeanMinAge17+'19_Расчет_аналитики'!N1571*SUMIF(ThresholdAge17,"&lt;"&amp;'19_Расчет_аналитики'!N1571,WeightedRevAge17)-SUMIF(ThresholdAge17,"&lt;"&amp;'19_Расчет_аналитики'!N1571,WeightedMinAge17),MAX(CapacityAge17*'01_Вводные'!$B$218*'19_Расчет_аналитики'!N1571,MeanMinAge17)))</f>
        <v/>
      </c>
      <c r="O1492">
        <f>IF(OR('06_Сеть_и_дети'!O97=0,17&lt;='01_Вводные'!$B$297),0,'06_Сеть_и_дети'!O97*IF('01_Вводные'!$B$239="Да",MeanMinAge17+'19_Расчет_аналитики'!O1571*SUMIF(ThresholdAge17,"&lt;"&amp;'19_Расчет_аналитики'!O1571,WeightedRevAge17)-SUMIF(ThresholdAge17,"&lt;"&amp;'19_Расчет_аналитики'!O1571,WeightedMinAge17),MAX(CapacityAge17*'01_Вводные'!$B$218*'19_Расчет_аналитики'!O1571,MeanMinAge17)))</f>
        <v/>
      </c>
      <c r="P1492">
        <f>IF(OR('06_Сеть_и_дети'!P97=0,17&lt;='01_Вводные'!$B$297),0,'06_Сеть_и_дети'!P97*IF('01_Вводные'!$B$239="Да",MeanMinAge17+'19_Расчет_аналитики'!P1571*SUMIF(ThresholdAge17,"&lt;"&amp;'19_Расчет_аналитики'!P1571,WeightedRevAge17)-SUMIF(ThresholdAge17,"&lt;"&amp;'19_Расчет_аналитики'!P1571,WeightedMinAge17),MAX(CapacityAge17*'01_Вводные'!$B$218*'19_Расчет_аналитики'!P1571,MeanMinAge17)))</f>
        <v/>
      </c>
      <c r="Q1492">
        <f>IF(OR('06_Сеть_и_дети'!Q97=0,17&lt;='01_Вводные'!$B$297),0,'06_Сеть_и_дети'!Q97*IF('01_Вводные'!$B$239="Да",MeanMinAge17+'19_Расчет_аналитики'!Q1571*SUMIF(ThresholdAge17,"&lt;"&amp;'19_Расчет_аналитики'!Q1571,WeightedRevAge17)-SUMIF(ThresholdAge17,"&lt;"&amp;'19_Расчет_аналитики'!Q1571,WeightedMinAge17),MAX(CapacityAge17*'01_Вводные'!$B$218*'19_Расчет_аналитики'!Q1571,MeanMinAge17)))</f>
        <v/>
      </c>
      <c r="R1492">
        <f>IF(OR('19_Расчет_аналитики'!R1464=0,17&lt;='01_Вводные'!$B$297),0,'19_Расчет_аналитики'!R1464*IF('01_Вводные'!$B$239="Да",MeanMinAge17+'19_Расчет_аналитики'!R1571*SUMIF(ThresholdAge17,"&lt;"&amp;'19_Расчет_аналитики'!R1571,WeightedRevAge17)-SUMIF(ThresholdAge17,"&lt;"&amp;'19_Расчет_аналитики'!R1571,WeightedMinAge17),MAX(CapacityAge17*'01_Вводные'!$B$218*'19_Расчет_аналитики'!R1571,MeanMinAge17)))</f>
        <v/>
      </c>
      <c r="S1492">
        <f>IF(OR('19_Расчет_аналитики'!S1464=0,17&lt;='01_Вводные'!$B$297),0,'19_Расчет_аналитики'!S1464*IF('01_Вводные'!$B$239="Да",MeanMinAge17+'19_Расчет_аналитики'!S1571*SUMIF(ThresholdAge17,"&lt;"&amp;'19_Расчет_аналитики'!S1571,WeightedRevAge17)-SUMIF(ThresholdAge17,"&lt;"&amp;'19_Расчет_аналитики'!S1571,WeightedMinAge17),MAX(CapacityAge17*'01_Вводные'!$B$218*'19_Расчет_аналитики'!S1571,MeanMinAge17)))</f>
        <v/>
      </c>
      <c r="T1492">
        <f>IF(OR('19_Расчет_аналитики'!T1464=0,17&lt;='01_Вводные'!$B$297),0,'19_Расчет_аналитики'!T1464*IF('01_Вводные'!$B$239="Да",MeanMinAge17+'19_Расчет_аналитики'!T1571*SUMIF(ThresholdAge17,"&lt;"&amp;'19_Расчет_аналитики'!T1571,WeightedRevAge17)-SUMIF(ThresholdAge17,"&lt;"&amp;'19_Расчет_аналитики'!T1571,WeightedMinAge17),MAX(CapacityAge17*'01_Вводные'!$B$218*'19_Расчет_аналитики'!T1571,MeanMinAge17)))</f>
        <v/>
      </c>
      <c r="U1492">
        <f>IF(OR('19_Расчет_аналитики'!U1464=0,17&lt;='01_Вводные'!$B$297),0,'19_Расчет_аналитики'!U1464*IF('01_Вводные'!$B$239="Да",MeanMinAge17+'19_Расчет_аналитики'!U1571*SUMIF(ThresholdAge17,"&lt;"&amp;'19_Расчет_аналитики'!U1571,WeightedRevAge17)-SUMIF(ThresholdAge17,"&lt;"&amp;'19_Расчет_аналитики'!U1571,WeightedMinAge17),MAX(CapacityAge17*'01_Вводные'!$B$218*'19_Расчет_аналитики'!U1571,MeanMinAge17)))</f>
        <v/>
      </c>
      <c r="V1492">
        <f>IF(OR('19_Расчет_аналитики'!V1464=0,17&lt;='01_Вводные'!$B$297),0,'19_Расчет_аналитики'!V1464*IF('01_Вводные'!$B$239="Да",MeanMinAge17+'19_Расчет_аналитики'!V1571*SUMIF(ThresholdAge17,"&lt;"&amp;'19_Расчет_аналитики'!V1571,WeightedRevAge17)-SUMIF(ThresholdAge17,"&lt;"&amp;'19_Расчет_аналитики'!V1571,WeightedMinAge17),MAX(CapacityAge17*'01_Вводные'!$B$218*'19_Расчет_аналитики'!V1571,MeanMinAge17)))</f>
        <v/>
      </c>
      <c r="W1492">
        <f>IF(OR('19_Расчет_аналитики'!W1464=0,17&lt;='01_Вводные'!$B$297),0,'19_Расчет_аналитики'!W1464*IF('01_Вводные'!$B$239="Да",MeanMinAge17+'19_Расчет_аналитики'!W1571*SUMIF(ThresholdAge17,"&lt;"&amp;'19_Расчет_аналитики'!W1571,WeightedRevAge17)-SUMIF(ThresholdAge17,"&lt;"&amp;'19_Расчет_аналитики'!W1571,WeightedMinAge17),MAX(CapacityAge17*'01_Вводные'!$B$218*'19_Расчет_аналитики'!W1571,MeanMinAge17)))</f>
        <v/>
      </c>
      <c r="X1492">
        <f>IF(OR('19_Расчет_аналитики'!X1464=0,17&lt;='01_Вводные'!$B$297),0,'19_Расчет_аналитики'!X1464*IF('01_Вводные'!$B$239="Да",MeanMinAge17+'19_Расчет_аналитики'!X1571*SUMIF(ThresholdAge17,"&lt;"&amp;'19_Расчет_аналитики'!X1571,WeightedRevAge17)-SUMIF(ThresholdAge17,"&lt;"&amp;'19_Расчет_аналитики'!X1571,WeightedMinAge17),MAX(CapacityAge17*'01_Вводные'!$B$218*'19_Расчет_аналитики'!X1571,MeanMinAge17)))</f>
        <v/>
      </c>
      <c r="Y1492">
        <f>IF(OR('19_Расчет_аналитики'!Y1464=0,17&lt;='01_Вводные'!$B$297),0,'19_Расчет_аналитики'!Y1464*IF('01_Вводные'!$B$239="Да",MeanMinAge17+'19_Расчет_аналитики'!Y1571*SUMIF(ThresholdAge17,"&lt;"&amp;'19_Расчет_аналитики'!Y1571,WeightedRevAge17)-SUMIF(ThresholdAge17,"&lt;"&amp;'19_Расчет_аналитики'!Y1571,WeightedMinAge17),MAX(CapacityAge17*'01_Вводные'!$B$218*'19_Расчет_аналитики'!Y1571,MeanMinAge17)))</f>
        <v/>
      </c>
      <c r="Z1492">
        <f>IF(OR('19_Расчет_аналитики'!Z1464=0,17&lt;='01_Вводные'!$B$297),0,'19_Расчет_аналитики'!Z1464*IF('01_Вводные'!$B$239="Да",MeanMinAge17+'19_Расчет_аналитики'!Z1571*SUMIF(ThresholdAge17,"&lt;"&amp;'19_Расчет_аналитики'!Z1571,WeightedRevAge17)-SUMIF(ThresholdAge17,"&lt;"&amp;'19_Расчет_аналитики'!Z1571,WeightedMinAge17),MAX(CapacityAge17*'01_Вводные'!$B$218*'19_Расчет_аналитики'!Z1571,MeanMinAge17)))</f>
        <v/>
      </c>
      <c r="AA1492">
        <f>IF(OR('19_Расчет_аналитики'!AA1464=0,17&lt;='01_Вводные'!$B$297),0,'19_Расчет_аналитики'!AA1464*IF('01_Вводные'!$B$239="Да",MeanMinAge17+'19_Расчет_аналитики'!AA1571*SUMIF(ThresholdAge17,"&lt;"&amp;'19_Расчет_аналитики'!AA1571,WeightedRevAge17)-SUMIF(ThresholdAge17,"&lt;"&amp;'19_Расчет_аналитики'!AA1571,WeightedMinAge17),MAX(CapacityAge17*'01_Вводные'!$B$218*'19_Расчет_аналитики'!AA1571,MeanMinAge17)))</f>
        <v/>
      </c>
      <c r="AB1492">
        <f>IF(OR('19_Расчет_аналитики'!AB1464=0,17&lt;='01_Вводные'!$B$297),0,'19_Расчет_аналитики'!AB1464*IF('01_Вводные'!$B$239="Да",MeanMinAge17+'19_Расчет_аналитики'!AB1571*SUMIF(ThresholdAge17,"&lt;"&amp;'19_Расчет_аналитики'!AB1571,WeightedRevAge17)-SUMIF(ThresholdAge17,"&lt;"&amp;'19_Расчет_аналитики'!AB1571,WeightedMinAge17),MAX(CapacityAge17*'01_Вводные'!$B$218*'19_Расчет_аналитики'!AB1571,MeanMinAge17)))</f>
        <v/>
      </c>
      <c r="AC1492">
        <f>IF(OR('19_Расчет_аналитики'!AC1464=0,17&lt;='01_Вводные'!$B$297),0,'19_Расчет_аналитики'!AC1464*IF('01_Вводные'!$B$239="Да",MeanMinAge17+'19_Расчет_аналитики'!AC1571*SUMIF(ThresholdAge17,"&lt;"&amp;'19_Расчет_аналитики'!AC1571,WeightedRevAge17)-SUMIF(ThresholdAge17,"&lt;"&amp;'19_Расчет_аналитики'!AC1571,WeightedMinAge17),MAX(CapacityAge17*'01_Вводные'!$B$218*'19_Расчет_аналитики'!AC1571,MeanMinAge17)))</f>
        <v/>
      </c>
      <c r="AD1492">
        <f>IF(OR('19_Расчет_аналитики'!AD1464=0,17&lt;='01_Вводные'!$B$297),0,'19_Расчет_аналитики'!AD1464*IF('01_Вводные'!$B$239="Да",MeanMinAge17+'19_Расчет_аналитики'!AD1571*SUMIF(ThresholdAge17,"&lt;"&amp;'19_Расчет_аналитики'!AD1571,WeightedRevAge17)-SUMIF(ThresholdAge17,"&lt;"&amp;'19_Расчет_аналитики'!AD1571,WeightedMinAge17),MAX(CapacityAge17*'01_Вводные'!$B$218*'19_Расчет_аналитики'!AD1571,MeanMinAge17)))</f>
        <v/>
      </c>
      <c r="AE1492">
        <f>IF(OR('19_Расчет_аналитики'!AE1464=0,17&lt;='01_Вводные'!$B$297),0,'19_Расчет_аналитики'!AE1464*IF('01_Вводные'!$B$239="Да",MeanMinAge17+'19_Расчет_аналитики'!AE1571*SUMIF(ThresholdAge17,"&lt;"&amp;'19_Расчет_аналитики'!AE1571,WeightedRevAge17)-SUMIF(ThresholdAge17,"&lt;"&amp;'19_Расчет_аналитики'!AE1571,WeightedMinAge17),MAX(CapacityAge17*'01_Вводные'!$B$218*'19_Расчет_аналитики'!AE1571,MeanMinAge17)))</f>
        <v/>
      </c>
      <c r="AF1492">
        <f>IF(OR('19_Расчет_аналитики'!AF1464=0,17&lt;='01_Вводные'!$B$297),0,'19_Расчет_аналитики'!AF1464*IF('01_Вводные'!$B$239="Да",MeanMinAge17+'19_Расчет_аналитики'!AF1571*SUMIF(ThresholdAge17,"&lt;"&amp;'19_Расчет_аналитики'!AF1571,WeightedRevAge17)-SUMIF(ThresholdAge17,"&lt;"&amp;'19_Расчет_аналитики'!AF1571,WeightedMinAge17),MAX(CapacityAge17*'01_Вводные'!$B$218*'19_Расчет_аналитики'!AF1571,MeanMinAge17)))</f>
        <v/>
      </c>
      <c r="AG1492">
        <f>IF(OR('19_Расчет_аналитики'!AG1464=0,17&lt;='01_Вводные'!$B$297),0,'19_Расчет_аналитики'!AG1464*IF('01_Вводные'!$B$239="Да",MeanMinAge17+'19_Расчет_аналитики'!AG1571*SUMIF(ThresholdAge17,"&lt;"&amp;'19_Расчет_аналитики'!AG1571,WeightedRevAge17)-SUMIF(ThresholdAge17,"&lt;"&amp;'19_Расчет_аналитики'!AG1571,WeightedMinAge17),MAX(CapacityAge17*'01_Вводные'!$B$218*'19_Расчет_аналитики'!AG1571,MeanMinAge17)))</f>
        <v/>
      </c>
      <c r="AH1492">
        <f>IF(OR('19_Расчет_аналитики'!AH1464=0,17&lt;='01_Вводные'!$B$297),0,'19_Расчет_аналитики'!AH1464*IF('01_Вводные'!$B$239="Да",MeanMinAge17+'19_Расчет_аналитики'!AH1571*SUMIF(ThresholdAge17,"&lt;"&amp;'19_Расчет_аналитики'!AH1571,WeightedRevAge17)-SUMIF(ThresholdAge17,"&lt;"&amp;'19_Расчет_аналитики'!AH1571,WeightedMinAge17),MAX(CapacityAge17*'01_Вводные'!$B$218*'19_Расчет_аналитики'!AH1571,MeanMinAge17)))</f>
        <v/>
      </c>
      <c r="AI1492">
        <f>IF(OR('19_Расчет_аналитики'!AI1464=0,17&lt;='01_Вводные'!$B$297),0,'19_Расчет_аналитики'!AI1464*IF('01_Вводные'!$B$239="Да",MeanMinAge17+'19_Расчет_аналитики'!AI1571*SUMIF(ThresholdAge17,"&lt;"&amp;'19_Расчет_аналитики'!AI1571,WeightedRevAge17)-SUMIF(ThresholdAge17,"&lt;"&amp;'19_Расчет_аналитики'!AI1571,WeightedMinAge17),MAX(CapacityAge17*'01_Вводные'!$B$218*'19_Расчет_аналитики'!AI1571,MeanMinAge17)))</f>
        <v/>
      </c>
      <c r="AJ1492">
        <f>IF(OR('19_Расчет_аналитики'!AJ1464=0,17&lt;='01_Вводные'!$B$297),0,'19_Расчет_аналитики'!AJ1464*IF('01_Вводные'!$B$239="Да",MeanMinAge17+'19_Расчет_аналитики'!AJ1571*SUMIF(ThresholdAge17,"&lt;"&amp;'19_Расчет_аналитики'!AJ1571,WeightedRevAge17)-SUMIF(ThresholdAge17,"&lt;"&amp;'19_Расчет_аналитики'!AJ1571,WeightedMinAge17),MAX(CapacityAge17*'01_Вводные'!$B$218*'19_Расчет_аналитики'!AJ1571,MeanMinAge17)))</f>
        <v/>
      </c>
      <c r="AK1492">
        <f>IF(OR('19_Расчет_аналитики'!AK1464=0,17&lt;='01_Вводные'!$B$297),0,'19_Расчет_аналитики'!AK1464*IF('01_Вводные'!$B$239="Да",MeanMinAge17+'19_Расчет_аналитики'!AK1571*SUMIF(ThresholdAge17,"&lt;"&amp;'19_Расчет_аналитики'!AK1571,WeightedRevAge17)-SUMIF(ThresholdAge17,"&lt;"&amp;'19_Расчет_аналитики'!AK1571,WeightedMinAge17),MAX(CapacityAge17*'01_Вводные'!$B$218*'19_Расчет_аналитики'!AK1571,MeanMinAge17)))</f>
        <v/>
      </c>
      <c r="AL1492">
        <f>IF(OR('19_Расчет_аналитики'!AL1464=0,17&lt;='01_Вводные'!$B$297),0,'19_Расчет_аналитики'!AL1464*IF('01_Вводные'!$B$239="Да",MeanMinAge17+'19_Расчет_аналитики'!AL1571*SUMIF(ThresholdAge17,"&lt;"&amp;'19_Расчет_аналитики'!AL1571,WeightedRevAge17)-SUMIF(ThresholdAge17,"&lt;"&amp;'19_Расчет_аналитики'!AL1571,WeightedMinAge17),MAX(CapacityAge17*'01_Вводные'!$B$218*'19_Расчет_аналитики'!AL1571,MeanMinAge17)))</f>
        <v/>
      </c>
      <c r="AM1492">
        <f>IF(OR('19_Расчет_аналитики'!AM1464=0,17&lt;='01_Вводные'!$B$297),0,'19_Расчет_аналитики'!AM1464*IF('01_Вводные'!$B$239="Да",MeanMinAge17+'19_Расчет_аналитики'!AM1571*SUMIF(ThresholdAge17,"&lt;"&amp;'19_Расчет_аналитики'!AM1571,WeightedRevAge17)-SUMIF(ThresholdAge17,"&lt;"&amp;'19_Расчет_аналитики'!AM1571,WeightedMinAge17),MAX(CapacityAge17*'01_Вводные'!$B$218*'19_Расчет_аналитики'!AM1571,MeanMinAge17)))</f>
        <v/>
      </c>
      <c r="AN1492">
        <f>IF(OR('19_Расчет_аналитики'!AN1464=0,17&lt;='01_Вводные'!$B$297),0,'19_Расчет_аналитики'!AN1464*IF('01_Вводные'!$B$239="Да",MeanMinAge17+'19_Расчет_аналитики'!AN1571*SUMIF(ThresholdAge17,"&lt;"&amp;'19_Расчет_аналитики'!AN1571,WeightedRevAge17)-SUMIF(ThresholdAge17,"&lt;"&amp;'19_Расчет_аналитики'!AN1571,WeightedMinAge17),MAX(CapacityAge17*'01_Вводные'!$B$218*'19_Расчет_аналитики'!AN1571,MeanMinAge17)))</f>
        <v/>
      </c>
      <c r="AO1492">
        <f>IF(OR('19_Расчет_аналитики'!AO1464=0,17&lt;='01_Вводные'!$B$297),0,'19_Расчет_аналитики'!AO1464*IF('01_Вводные'!$B$239="Да",MeanMinAge17+'19_Расчет_аналитики'!AO1571*SUMIF(ThresholdAge17,"&lt;"&amp;'19_Расчет_аналитики'!AO1571,WeightedRevAge17)-SUMIF(ThresholdAge17,"&lt;"&amp;'19_Расчет_аналитики'!AO1571,WeightedMinAge17),MAX(CapacityAge17*'01_Вводные'!$B$218*'19_Расчет_аналитики'!AO1571,MeanMinAge17)))</f>
        <v/>
      </c>
      <c r="AP1492">
        <f>IF(OR('19_Расчет_аналитики'!AP1464=0,17&lt;='01_Вводные'!$B$297),0,'19_Расчет_аналитики'!AP1464*IF('01_Вводные'!$B$239="Да",MeanMinAge17+'19_Расчет_аналитики'!AP1571*SUMIF(ThresholdAge17,"&lt;"&amp;'19_Расчет_аналитики'!AP1571,WeightedRevAge17)-SUMIF(ThresholdAge17,"&lt;"&amp;'19_Расчет_аналитики'!AP1571,WeightedMinAge17),MAX(CapacityAge17*'01_Вводные'!$B$218*'19_Расчет_аналитики'!AP1571,MeanMinAge17)))</f>
        <v/>
      </c>
      <c r="AQ1492">
        <f>IF(OR('19_Расчет_аналитики'!AQ1464=0,17&lt;='01_Вводные'!$B$297),0,'19_Расчет_аналитики'!AQ1464*IF('01_Вводные'!$B$239="Да",MeanMinAge17+'19_Расчет_аналитики'!AQ1571*SUMIF(ThresholdAge17,"&lt;"&amp;'19_Расчет_аналитики'!AQ1571,WeightedRevAge17)-SUMIF(ThresholdAge17,"&lt;"&amp;'19_Расчет_аналитики'!AQ1571,WeightedMinAge17),MAX(CapacityAge17*'01_Вводные'!$B$218*'19_Расчет_аналитики'!AQ1571,MeanMinAge17)))</f>
        <v/>
      </c>
      <c r="AR1492">
        <f>IF(OR('19_Расчет_аналитики'!AR1464=0,17&lt;='01_Вводные'!$B$297),0,'19_Расчет_аналитики'!AR1464*IF('01_Вводные'!$B$239="Да",MeanMinAge17+'19_Расчет_аналитики'!AR1571*SUMIF(ThresholdAge17,"&lt;"&amp;'19_Расчет_аналитики'!AR1571,WeightedRevAge17)-SUMIF(ThresholdAge17,"&lt;"&amp;'19_Расчет_аналитики'!AR1571,WeightedMinAge17),MAX(CapacityAge17*'01_Вводные'!$B$218*'19_Расчет_аналитики'!AR1571,MeanMinAge17)))</f>
        <v/>
      </c>
      <c r="AS1492">
        <f>IF(OR('19_Расчет_аналитики'!AS1464=0,17&lt;='01_Вводные'!$B$297),0,'19_Расчет_аналитики'!AS1464*IF('01_Вводные'!$B$239="Да",MeanMinAge17+'19_Расчет_аналитики'!AS1571*SUMIF(ThresholdAge17,"&lt;"&amp;'19_Расчет_аналитики'!AS1571,WeightedRevAge17)-SUMIF(ThresholdAge17,"&lt;"&amp;'19_Расчет_аналитики'!AS1571,WeightedMinAge17),MAX(CapacityAge17*'01_Вводные'!$B$218*'19_Расчет_аналитики'!AS1571,MeanMinAge17)))</f>
        <v/>
      </c>
      <c r="AT1492">
        <f>IF(OR('19_Расчет_аналитики'!AT1464=0,17&lt;='01_Вводные'!$B$297),0,'19_Расчет_аналитики'!AT1464*IF('01_Вводные'!$B$239="Да",MeanMinAge17+'19_Расчет_аналитики'!AT1571*SUMIF(ThresholdAge17,"&lt;"&amp;'19_Расчет_аналитики'!AT1571,WeightedRevAge17)-SUMIF(ThresholdAge17,"&lt;"&amp;'19_Расчет_аналитики'!AT1571,WeightedMinAge17),MAX(CapacityAge17*'01_Вводные'!$B$218*'19_Расчет_аналитики'!AT1571,MeanMinAge17)))</f>
        <v/>
      </c>
      <c r="AU1492">
        <f>IF(OR('19_Расчет_аналитики'!AU1464=0,17&lt;='01_Вводные'!$B$297),0,'19_Расчет_аналитики'!AU1464*IF('01_Вводные'!$B$239="Да",MeanMinAge17+'19_Расчет_аналитики'!AU1571*SUMIF(ThresholdAge17,"&lt;"&amp;'19_Расчет_аналитики'!AU1571,WeightedRevAge17)-SUMIF(ThresholdAge17,"&lt;"&amp;'19_Расчет_аналитики'!AU1571,WeightedMinAge17),MAX(CapacityAge17*'01_Вводные'!$B$218*'19_Расчет_аналитики'!AU1571,MeanMinAge17)))</f>
        <v/>
      </c>
      <c r="AV1492">
        <f>IF(OR('19_Расчет_аналитики'!AV1464=0,17&lt;='01_Вводные'!$B$297),0,'19_Расчет_аналитики'!AV1464*IF('01_Вводные'!$B$239="Да",MeanMinAge17+'19_Расчет_аналитики'!AV1571*SUMIF(ThresholdAge17,"&lt;"&amp;'19_Расчет_аналитики'!AV1571,WeightedRevAge17)-SUMIF(ThresholdAge17,"&lt;"&amp;'19_Расчет_аналитики'!AV1571,WeightedMinAge17),MAX(CapacityAge17*'01_Вводные'!$B$218*'19_Расчет_аналитики'!AV1571,MeanMinAge17)))</f>
        <v/>
      </c>
      <c r="AW1492">
        <f>IF(OR('19_Расчет_аналитики'!AW1464=0,17&lt;='01_Вводные'!$B$297),0,'19_Расчет_аналитики'!AW1464*IF('01_Вводные'!$B$239="Да",MeanMinAge17+'19_Расчет_аналитики'!AW1571*SUMIF(ThresholdAge17,"&lt;"&amp;'19_Расчет_аналитики'!AW1571,WeightedRevAge17)-SUMIF(ThresholdAge17,"&lt;"&amp;'19_Расчет_аналитики'!AW1571,WeightedMinAge17),MAX(CapacityAge17*'01_Вводные'!$B$218*'19_Расчет_аналитики'!AW1571,MeanMinAge17)))</f>
        <v/>
      </c>
      <c r="AX1492">
        <f>IF(OR('19_Расчет_аналитики'!AX1464=0,17&lt;='01_Вводные'!$B$297),0,'19_Расчет_аналитики'!AX1464*IF('01_Вводные'!$B$239="Да",MeanMinAge17+'19_Расчет_аналитики'!AX1571*SUMIF(ThresholdAge17,"&lt;"&amp;'19_Расчет_аналитики'!AX1571,WeightedRevAge17)-SUMIF(ThresholdAge17,"&lt;"&amp;'19_Расчет_аналитики'!AX1571,WeightedMinAge17),MAX(CapacityAge17*'01_Вводные'!$B$218*'19_Расчет_аналитики'!AX1571,MeanMinAge17)))</f>
        <v/>
      </c>
      <c r="AY1492">
        <f>IF(OR('19_Расчет_аналитики'!AY1464=0,17&lt;='01_Вводные'!$B$297),0,'19_Расчет_аналитики'!AY1464*IF('01_Вводные'!$B$239="Да",MeanMinAge17+'19_Расчет_аналитики'!AY1571*SUMIF(ThresholdAge17,"&lt;"&amp;'19_Расчет_аналитики'!AY1571,WeightedRevAge17)-SUMIF(ThresholdAge17,"&lt;"&amp;'19_Расчет_аналитики'!AY1571,WeightedMinAge17),MAX(CapacityAge17*'01_Вводные'!$B$218*'19_Расчет_аналитики'!AY1571,MeanMinAge17)))</f>
        <v/>
      </c>
      <c r="AZ1492">
        <f>IF(OR('19_Расчет_аналитики'!AZ1464=0,17&lt;='01_Вводные'!$B$297),0,'19_Расчет_аналитики'!AZ1464*IF('01_Вводные'!$B$239="Да",MeanMinAge17+'19_Расчет_аналитики'!AZ1571*SUMIF(ThresholdAge17,"&lt;"&amp;'19_Расчет_аналитики'!AZ1571,WeightedRevAge17)-SUMIF(ThresholdAge17,"&lt;"&amp;'19_Расчет_аналитики'!AZ1571,WeightedMinAge17),MAX(CapacityAge17*'01_Вводные'!$B$218*'19_Расчет_аналитики'!AZ1571,MeanMinAge17)))</f>
        <v/>
      </c>
      <c r="BA1492">
        <f>IF(OR('19_Расчет_аналитики'!BA1464=0,17&lt;='01_Вводные'!$B$297),0,'19_Расчет_аналитики'!BA1464*IF('01_Вводные'!$B$239="Да",MeanMinAge17+'19_Расчет_аналитики'!BA1571*SUMIF(ThresholdAge17,"&lt;"&amp;'19_Расчет_аналитики'!BA1571,WeightedRevAge17)-SUMIF(ThresholdAge17,"&lt;"&amp;'19_Расчет_аналитики'!BA1571,WeightedMinAge17),MAX(CapacityAge17*'01_Вводные'!$B$218*'19_Расчет_аналитики'!BA1571,MeanMinAge17)))</f>
        <v/>
      </c>
      <c r="BB1492">
        <f>IF(OR('19_Расчет_аналитики'!BB1464=0,17&lt;='01_Вводные'!$B$297),0,'19_Расчет_аналитики'!BB1464*IF('01_Вводные'!$B$239="Да",MeanMinAge17+'19_Расчет_аналитики'!BB1571*SUMIF(ThresholdAge17,"&lt;"&amp;'19_Расчет_аналитики'!BB1571,WeightedRevAge17)-SUMIF(ThresholdAge17,"&lt;"&amp;'19_Расчет_аналитики'!BB1571,WeightedMinAge17),MAX(CapacityAge17*'01_Вводные'!$B$218*'19_Расчет_аналитики'!BB1571,MeanMinAge17)))</f>
        <v/>
      </c>
      <c r="BC1492">
        <f>IF(OR('19_Расчет_аналитики'!BC1464=0,17&lt;='01_Вводные'!$B$297),0,'19_Расчет_аналитики'!BC1464*IF('01_Вводные'!$B$239="Да",MeanMinAge17+'19_Расчет_аналитики'!BC1571*SUMIF(ThresholdAge17,"&lt;"&amp;'19_Расчет_аналитики'!BC1571,WeightedRevAge17)-SUMIF(ThresholdAge17,"&lt;"&amp;'19_Расчет_аналитики'!BC1571,WeightedMinAge17),MAX(CapacityAge17*'01_Вводные'!$B$218*'19_Расчет_аналитики'!BC1571,MeanMinAge17)))</f>
        <v/>
      </c>
      <c r="BD1492">
        <f>IF(OR('19_Расчет_аналитики'!BD1464=0,17&lt;='01_Вводные'!$B$297),0,'19_Расчет_аналитики'!BD1464*IF('01_Вводные'!$B$239="Да",MeanMinAge17+'19_Расчет_аналитики'!BD1571*SUMIF(ThresholdAge17,"&lt;"&amp;'19_Расчет_аналитики'!BD1571,WeightedRevAge17)-SUMIF(ThresholdAge17,"&lt;"&amp;'19_Расчет_аналитики'!BD1571,WeightedMinAge17),MAX(CapacityAge17*'01_Вводные'!$B$218*'19_Расчет_аналитики'!BD1571,MeanMinAge17)))</f>
        <v/>
      </c>
      <c r="BE1492">
        <f>IF(OR('19_Расчет_аналитики'!BE1464=0,17&lt;='01_Вводные'!$B$297),0,'19_Расчет_аналитики'!BE1464*IF('01_Вводные'!$B$239="Да",MeanMinAge17+'19_Расчет_аналитики'!BE1571*SUMIF(ThresholdAge17,"&lt;"&amp;'19_Расчет_аналитики'!BE1571,WeightedRevAge17)-SUMIF(ThresholdAge17,"&lt;"&amp;'19_Расчет_аналитики'!BE1571,WeightedMinAge17),MAX(CapacityAge17*'01_Вводные'!$B$218*'19_Расчет_аналитики'!BE1571,MeanMinAge17)))</f>
        <v/>
      </c>
      <c r="BF1492">
        <f>IF(OR('19_Расчет_аналитики'!BF1464=0,17&lt;='01_Вводные'!$B$297),0,'19_Расчет_аналитики'!BF1464*IF('01_Вводные'!$B$239="Да",MeanMinAge17+'19_Расчет_аналитики'!BF1571*SUMIF(ThresholdAge17,"&lt;"&amp;'19_Расчет_аналитики'!BF1571,WeightedRevAge17)-SUMIF(ThresholdAge17,"&lt;"&amp;'19_Расчет_аналитики'!BF1571,WeightedMinAge17),MAX(CapacityAge17*'01_Вводные'!$B$218*'19_Расчет_аналитики'!BF1571,MeanMinAge17)))</f>
        <v/>
      </c>
      <c r="BG1492">
        <f>IF(OR('19_Расчет_аналитики'!BG1464=0,17&lt;='01_Вводные'!$B$297),0,'19_Расчет_аналитики'!BG1464*IF('01_Вводные'!$B$239="Да",MeanMinAge17+'19_Расчет_аналитики'!BG1571*SUMIF(ThresholdAge17,"&lt;"&amp;'19_Расчет_аналитики'!BG1571,WeightedRevAge17)-SUMIF(ThresholdAge17,"&lt;"&amp;'19_Расчет_аналитики'!BG1571,WeightedMinAge17),MAX(CapacityAge17*'01_Вводные'!$B$218*'19_Расчет_аналитики'!BG1571,MeanMinAge17)))</f>
        <v/>
      </c>
      <c r="BH1492">
        <f>IF(OR('19_Расчет_аналитики'!BH1464=0,17&lt;='01_Вводные'!$B$297),0,'19_Расчет_аналитики'!BH1464*IF('01_Вводные'!$B$239="Да",MeanMinAge17+'19_Расчет_аналитики'!BH1571*SUMIF(ThresholdAge17,"&lt;"&amp;'19_Расчет_аналитики'!BH1571,WeightedRevAge17)-SUMIF(ThresholdAge17,"&lt;"&amp;'19_Расчет_аналитики'!BH1571,WeightedMinAge17),MAX(CapacityAge17*'01_Вводные'!$B$218*'19_Расчет_аналитики'!BH1571,MeanMinAge17)))</f>
        <v/>
      </c>
      <c r="BI1492">
        <f>IF(OR('19_Расчет_аналитики'!BI1464=0,17&lt;='01_Вводные'!$B$297),0,'19_Расчет_аналитики'!BI1464*IF('01_Вводные'!$B$239="Да",MeanMinAge17+'19_Расчет_аналитики'!BI1571*SUMIF(ThresholdAge17,"&lt;"&amp;'19_Расчет_аналитики'!BI1571,WeightedRevAge17)-SUMIF(ThresholdAge17,"&lt;"&amp;'19_Расчет_аналитики'!BI1571,WeightedMinAge17),MAX(CapacityAge17*'01_Вводные'!$B$218*'19_Расчет_аналитики'!BI1571,MeanMinAge17)))</f>
        <v/>
      </c>
      <c r="BJ1492">
        <f>IF(OR('19_Расчет_аналитики'!BJ1464=0,17&lt;='01_Вводные'!$B$297),0,'19_Расчет_аналитики'!BJ1464*IF('01_Вводные'!$B$239="Да",MeanMinAge17+'19_Расчет_аналитики'!BJ1571*SUMIF(ThresholdAge17,"&lt;"&amp;'19_Расчет_аналитики'!BJ1571,WeightedRevAge17)-SUMIF(ThresholdAge17,"&lt;"&amp;'19_Расчет_аналитики'!BJ1571,WeightedMinAge17),MAX(CapacityAge17*'01_Вводные'!$B$218*'19_Расчет_аналитики'!BJ1571,MeanMinAge17)))</f>
        <v/>
      </c>
      <c r="BK1492">
        <f>IF(OR('19_Расчет_аналитики'!BK1464=0,17&lt;='01_Вводные'!$B$297),0,'19_Расчет_аналитики'!BK1464*IF('01_Вводные'!$B$239="Да",MeanMinAge17+'19_Расчет_аналитики'!BK1571*SUMIF(ThresholdAge17,"&lt;"&amp;'19_Расчет_аналитики'!BK1571,WeightedRevAge17)-SUMIF(ThresholdAge17,"&lt;"&amp;'19_Расчет_аналитики'!BK1571,WeightedMinAge17),MAX(CapacityAge17*'01_Вводные'!$B$218*'19_Расчет_аналитики'!BK1571,MeanMinAge17)))</f>
        <v/>
      </c>
      <c r="BL1492">
        <f>IF(OR('19_Расчет_аналитики'!BL1464=0,17&lt;='01_Вводные'!$B$297),0,'19_Расчет_аналитики'!BL1464*IF('01_Вводные'!$B$239="Да",MeanMinAge17+'19_Расчет_аналитики'!BL1571*SUMIF(ThresholdAge17,"&lt;"&amp;'19_Расчет_аналитики'!BL1571,WeightedRevAge17)-SUMIF(ThresholdAge17,"&lt;"&amp;'19_Расчет_аналитики'!BL1571,WeightedMinAge17),MAX(CapacityAge17*'01_Вводные'!$B$218*'19_Расчет_аналитики'!BL1571,MeanMinAge17)))</f>
        <v/>
      </c>
      <c r="BM1492">
        <f>IF(OR('19_Расчет_аналитики'!BM1464=0,17&lt;='01_Вводные'!$B$297),0,'19_Расчет_аналитики'!BM1464*IF('01_Вводные'!$B$239="Да",MeanMinAge17+'19_Расчет_аналитики'!BM1571*SUMIF(ThresholdAge17,"&lt;"&amp;'19_Расчет_аналитики'!BM1571,WeightedRevAge17)-SUMIF(ThresholdAge17,"&lt;"&amp;'19_Расчет_аналитики'!BM1571,WeightedMinAge17),MAX(CapacityAge17*'01_Вводные'!$B$218*'19_Расчет_аналитики'!BM1571,MeanMinAge17)))</f>
        <v/>
      </c>
      <c r="BN1492">
        <f>IF(OR('19_Расчет_аналитики'!BN1464=0,17&lt;='01_Вводные'!$B$297),0,'19_Расчет_аналитики'!BN1464*IF('01_Вводные'!$B$239="Да",MeanMinAge17+'19_Расчет_аналитики'!BN1571*SUMIF(ThresholdAge17,"&lt;"&amp;'19_Расчет_аналитики'!BN1571,WeightedRevAge17)-SUMIF(ThresholdAge17,"&lt;"&amp;'19_Расчет_аналитики'!BN1571,WeightedMinAge17),MAX(CapacityAge17*'01_Вводные'!$B$218*'19_Расчет_аналитики'!BN1571,MeanMinAge17)))</f>
        <v/>
      </c>
      <c r="BO1492">
        <f>IF(OR('19_Расчет_аналитики'!BO1464=0,17&lt;='01_Вводные'!$B$297),0,'19_Расчет_аналитики'!BO1464*IF('01_Вводные'!$B$239="Да",MeanMinAge17+'19_Расчет_аналитики'!BO1571*SUMIF(ThresholdAge17,"&lt;"&amp;'19_Расчет_аналитики'!BO1571,WeightedRevAge17)-SUMIF(ThresholdAge17,"&lt;"&amp;'19_Расчет_аналитики'!BO1571,WeightedMinAge17),MAX(CapacityAge17*'01_Вводные'!$B$218*'19_Расчет_аналитики'!BO1571,MeanMinAge17)))</f>
        <v/>
      </c>
    </row>
    <row r="1493">
      <c r="B1493">
        <f>IF(OR('06_Сеть_и_дети'!B98=0,18&lt;='01_Вводные'!$B$297),0,'06_Сеть_и_дети'!B98*IF('01_Вводные'!$B$239="Да",MeanMinAge18+'19_Расчет_аналитики'!B1571*SUMIF(ThresholdAge18,"&lt;"&amp;'19_Расчет_аналитики'!B1571,WeightedRevAge18)-SUMIF(ThresholdAge18,"&lt;"&amp;'19_Расчет_аналитики'!B1571,WeightedMinAge18),MAX(CapacityAge18*'01_Вводные'!$B$218*'19_Расчет_аналитики'!B1571,MeanMinAge18)))</f>
        <v/>
      </c>
      <c r="C1493">
        <f>IF(OR('06_Сеть_и_дети'!C98=0,18&lt;='01_Вводные'!$B$297),0,'06_Сеть_и_дети'!C98*IF('01_Вводные'!$B$239="Да",MeanMinAge18+'19_Расчет_аналитики'!C1571*SUMIF(ThresholdAge18,"&lt;"&amp;'19_Расчет_аналитики'!C1571,WeightedRevAge18)-SUMIF(ThresholdAge18,"&lt;"&amp;'19_Расчет_аналитики'!C1571,WeightedMinAge18),MAX(CapacityAge18*'01_Вводные'!$B$218*'19_Расчет_аналитики'!C1571,MeanMinAge18)))</f>
        <v/>
      </c>
      <c r="D1493">
        <f>IF(OR('06_Сеть_и_дети'!D98=0,18&lt;='01_Вводные'!$B$297),0,'06_Сеть_и_дети'!D98*IF('01_Вводные'!$B$239="Да",MeanMinAge18+'19_Расчет_аналитики'!D1571*SUMIF(ThresholdAge18,"&lt;"&amp;'19_Расчет_аналитики'!D1571,WeightedRevAge18)-SUMIF(ThresholdAge18,"&lt;"&amp;'19_Расчет_аналитики'!D1571,WeightedMinAge18),MAX(CapacityAge18*'01_Вводные'!$B$218*'19_Расчет_аналитики'!D1571,MeanMinAge18)))</f>
        <v/>
      </c>
      <c r="E1493">
        <f>IF(OR('06_Сеть_и_дети'!E98=0,18&lt;='01_Вводные'!$B$297),0,'06_Сеть_и_дети'!E98*IF('01_Вводные'!$B$239="Да",MeanMinAge18+'19_Расчет_аналитики'!E1571*SUMIF(ThresholdAge18,"&lt;"&amp;'19_Расчет_аналитики'!E1571,WeightedRevAge18)-SUMIF(ThresholdAge18,"&lt;"&amp;'19_Расчет_аналитики'!E1571,WeightedMinAge18),MAX(CapacityAge18*'01_Вводные'!$B$218*'19_Расчет_аналитики'!E1571,MeanMinAge18)))</f>
        <v/>
      </c>
      <c r="F1493">
        <f>IF(OR('06_Сеть_и_дети'!F98=0,18&lt;='01_Вводные'!$B$297),0,'06_Сеть_и_дети'!F98*IF('01_Вводные'!$B$239="Да",MeanMinAge18+'19_Расчет_аналитики'!F1571*SUMIF(ThresholdAge18,"&lt;"&amp;'19_Расчет_аналитики'!F1571,WeightedRevAge18)-SUMIF(ThresholdAge18,"&lt;"&amp;'19_Расчет_аналитики'!F1571,WeightedMinAge18),MAX(CapacityAge18*'01_Вводные'!$B$218*'19_Расчет_аналитики'!F1571,MeanMinAge18)))</f>
        <v/>
      </c>
      <c r="G1493">
        <f>IF(OR('06_Сеть_и_дети'!G98=0,18&lt;='01_Вводные'!$B$297),0,'06_Сеть_и_дети'!G98*IF('01_Вводные'!$B$239="Да",MeanMinAge18+'19_Расчет_аналитики'!G1571*SUMIF(ThresholdAge18,"&lt;"&amp;'19_Расчет_аналитики'!G1571,WeightedRevAge18)-SUMIF(ThresholdAge18,"&lt;"&amp;'19_Расчет_аналитики'!G1571,WeightedMinAge18),MAX(CapacityAge18*'01_Вводные'!$B$218*'19_Расчет_аналитики'!G1571,MeanMinAge18)))</f>
        <v/>
      </c>
      <c r="H1493">
        <f>IF(OR('06_Сеть_и_дети'!H98=0,18&lt;='01_Вводные'!$B$297),0,'06_Сеть_и_дети'!H98*IF('01_Вводные'!$B$239="Да",MeanMinAge18+'19_Расчет_аналитики'!H1571*SUMIF(ThresholdAge18,"&lt;"&amp;'19_Расчет_аналитики'!H1571,WeightedRevAge18)-SUMIF(ThresholdAge18,"&lt;"&amp;'19_Расчет_аналитики'!H1571,WeightedMinAge18),MAX(CapacityAge18*'01_Вводные'!$B$218*'19_Расчет_аналитики'!H1571,MeanMinAge18)))</f>
        <v/>
      </c>
      <c r="I1493">
        <f>IF(OR('06_Сеть_и_дети'!I98=0,18&lt;='01_Вводные'!$B$297),0,'06_Сеть_и_дети'!I98*IF('01_Вводные'!$B$239="Да",MeanMinAge18+'19_Расчет_аналитики'!I1571*SUMIF(ThresholdAge18,"&lt;"&amp;'19_Расчет_аналитики'!I1571,WeightedRevAge18)-SUMIF(ThresholdAge18,"&lt;"&amp;'19_Расчет_аналитики'!I1571,WeightedMinAge18),MAX(CapacityAge18*'01_Вводные'!$B$218*'19_Расчет_аналитики'!I1571,MeanMinAge18)))</f>
        <v/>
      </c>
      <c r="J1493">
        <f>IF(OR('06_Сеть_и_дети'!J98=0,18&lt;='01_Вводные'!$B$297),0,'06_Сеть_и_дети'!J98*IF('01_Вводные'!$B$239="Да",MeanMinAge18+'19_Расчет_аналитики'!J1571*SUMIF(ThresholdAge18,"&lt;"&amp;'19_Расчет_аналитики'!J1571,WeightedRevAge18)-SUMIF(ThresholdAge18,"&lt;"&amp;'19_Расчет_аналитики'!J1571,WeightedMinAge18),MAX(CapacityAge18*'01_Вводные'!$B$218*'19_Расчет_аналитики'!J1571,MeanMinAge18)))</f>
        <v/>
      </c>
      <c r="K1493">
        <f>IF(OR('06_Сеть_и_дети'!K98=0,18&lt;='01_Вводные'!$B$297),0,'06_Сеть_и_дети'!K98*IF('01_Вводные'!$B$239="Да",MeanMinAge18+'19_Расчет_аналитики'!K1571*SUMIF(ThresholdAge18,"&lt;"&amp;'19_Расчет_аналитики'!K1571,WeightedRevAge18)-SUMIF(ThresholdAge18,"&lt;"&amp;'19_Расчет_аналитики'!K1571,WeightedMinAge18),MAX(CapacityAge18*'01_Вводные'!$B$218*'19_Расчет_аналитики'!K1571,MeanMinAge18)))</f>
        <v/>
      </c>
      <c r="L1493">
        <f>IF(OR('06_Сеть_и_дети'!L98=0,18&lt;='01_Вводные'!$B$297),0,'06_Сеть_и_дети'!L98*IF('01_Вводные'!$B$239="Да",MeanMinAge18+'19_Расчет_аналитики'!L1571*SUMIF(ThresholdAge18,"&lt;"&amp;'19_Расчет_аналитики'!L1571,WeightedRevAge18)-SUMIF(ThresholdAge18,"&lt;"&amp;'19_Расчет_аналитики'!L1571,WeightedMinAge18),MAX(CapacityAge18*'01_Вводные'!$B$218*'19_Расчет_аналитики'!L1571,MeanMinAge18)))</f>
        <v/>
      </c>
      <c r="M1493">
        <f>IF(OR('06_Сеть_и_дети'!M98=0,18&lt;='01_Вводные'!$B$297),0,'06_Сеть_и_дети'!M98*IF('01_Вводные'!$B$239="Да",MeanMinAge18+'19_Расчет_аналитики'!M1571*SUMIF(ThresholdAge18,"&lt;"&amp;'19_Расчет_аналитики'!M1571,WeightedRevAge18)-SUMIF(ThresholdAge18,"&lt;"&amp;'19_Расчет_аналитики'!M1571,WeightedMinAge18),MAX(CapacityAge18*'01_Вводные'!$B$218*'19_Расчет_аналитики'!M1571,MeanMinAge18)))</f>
        <v/>
      </c>
      <c r="N1493">
        <f>IF(OR('06_Сеть_и_дети'!N98=0,18&lt;='01_Вводные'!$B$297),0,'06_Сеть_и_дети'!N98*IF('01_Вводные'!$B$239="Да",MeanMinAge18+'19_Расчет_аналитики'!N1571*SUMIF(ThresholdAge18,"&lt;"&amp;'19_Расчет_аналитики'!N1571,WeightedRevAge18)-SUMIF(ThresholdAge18,"&lt;"&amp;'19_Расчет_аналитики'!N1571,WeightedMinAge18),MAX(CapacityAge18*'01_Вводные'!$B$218*'19_Расчет_аналитики'!N1571,MeanMinAge18)))</f>
        <v/>
      </c>
      <c r="O1493">
        <f>IF(OR('06_Сеть_и_дети'!O98=0,18&lt;='01_Вводные'!$B$297),0,'06_Сеть_и_дети'!O98*IF('01_Вводные'!$B$239="Да",MeanMinAge18+'19_Расчет_аналитики'!O1571*SUMIF(ThresholdAge18,"&lt;"&amp;'19_Расчет_аналитики'!O1571,WeightedRevAge18)-SUMIF(ThresholdAge18,"&lt;"&amp;'19_Расчет_аналитики'!O1571,WeightedMinAge18),MAX(CapacityAge18*'01_Вводные'!$B$218*'19_Расчет_аналитики'!O1571,MeanMinAge18)))</f>
        <v/>
      </c>
      <c r="P1493">
        <f>IF(OR('06_Сеть_и_дети'!P98=0,18&lt;='01_Вводные'!$B$297),0,'06_Сеть_и_дети'!P98*IF('01_Вводные'!$B$239="Да",MeanMinAge18+'19_Расчет_аналитики'!P1571*SUMIF(ThresholdAge18,"&lt;"&amp;'19_Расчет_аналитики'!P1571,WeightedRevAge18)-SUMIF(ThresholdAge18,"&lt;"&amp;'19_Расчет_аналитики'!P1571,WeightedMinAge18),MAX(CapacityAge18*'01_Вводные'!$B$218*'19_Расчет_аналитики'!P1571,MeanMinAge18)))</f>
        <v/>
      </c>
      <c r="Q1493">
        <f>IF(OR('06_Сеть_и_дети'!Q98=0,18&lt;='01_Вводные'!$B$297),0,'06_Сеть_и_дети'!Q98*IF('01_Вводные'!$B$239="Да",MeanMinAge18+'19_Расчет_аналитики'!Q1571*SUMIF(ThresholdAge18,"&lt;"&amp;'19_Расчет_аналитики'!Q1571,WeightedRevAge18)-SUMIF(ThresholdAge18,"&lt;"&amp;'19_Расчет_аналитики'!Q1571,WeightedMinAge18),MAX(CapacityAge18*'01_Вводные'!$B$218*'19_Расчет_аналитики'!Q1571,MeanMinAge18)))</f>
        <v/>
      </c>
      <c r="R1493">
        <f>IF(OR('06_Сеть_и_дети'!R98=0,18&lt;='01_Вводные'!$B$297),0,'06_Сеть_и_дети'!R98*IF('01_Вводные'!$B$239="Да",MeanMinAge18+'19_Расчет_аналитики'!R1571*SUMIF(ThresholdAge18,"&lt;"&amp;'19_Расчет_аналитики'!R1571,WeightedRevAge18)-SUMIF(ThresholdAge18,"&lt;"&amp;'19_Расчет_аналитики'!R1571,WeightedMinAge18),MAX(CapacityAge18*'01_Вводные'!$B$218*'19_Расчет_аналитики'!R1571,MeanMinAge18)))</f>
        <v/>
      </c>
      <c r="S1493">
        <f>IF(OR('19_Расчет_аналитики'!S1465=0,18&lt;='01_Вводные'!$B$297),0,'19_Расчет_аналитики'!S1465*IF('01_Вводные'!$B$239="Да",MeanMinAge18+'19_Расчет_аналитики'!S1571*SUMIF(ThresholdAge18,"&lt;"&amp;'19_Расчет_аналитики'!S1571,WeightedRevAge18)-SUMIF(ThresholdAge18,"&lt;"&amp;'19_Расчет_аналитики'!S1571,WeightedMinAge18),MAX(CapacityAge18*'01_Вводные'!$B$218*'19_Расчет_аналитики'!S1571,MeanMinAge18)))</f>
        <v/>
      </c>
      <c r="T1493">
        <f>IF(OR('19_Расчет_аналитики'!T1465=0,18&lt;='01_Вводные'!$B$297),0,'19_Расчет_аналитики'!T1465*IF('01_Вводные'!$B$239="Да",MeanMinAge18+'19_Расчет_аналитики'!T1571*SUMIF(ThresholdAge18,"&lt;"&amp;'19_Расчет_аналитики'!T1571,WeightedRevAge18)-SUMIF(ThresholdAge18,"&lt;"&amp;'19_Расчет_аналитики'!T1571,WeightedMinAge18),MAX(CapacityAge18*'01_Вводные'!$B$218*'19_Расчет_аналитики'!T1571,MeanMinAge18)))</f>
        <v/>
      </c>
      <c r="U1493">
        <f>IF(OR('19_Расчет_аналитики'!U1465=0,18&lt;='01_Вводные'!$B$297),0,'19_Расчет_аналитики'!U1465*IF('01_Вводные'!$B$239="Да",MeanMinAge18+'19_Расчет_аналитики'!U1571*SUMIF(ThresholdAge18,"&lt;"&amp;'19_Расчет_аналитики'!U1571,WeightedRevAge18)-SUMIF(ThresholdAge18,"&lt;"&amp;'19_Расчет_аналитики'!U1571,WeightedMinAge18),MAX(CapacityAge18*'01_Вводные'!$B$218*'19_Расчет_аналитики'!U1571,MeanMinAge18)))</f>
        <v/>
      </c>
      <c r="V1493">
        <f>IF(OR('19_Расчет_аналитики'!V1465=0,18&lt;='01_Вводные'!$B$297),0,'19_Расчет_аналитики'!V1465*IF('01_Вводные'!$B$239="Да",MeanMinAge18+'19_Расчет_аналитики'!V1571*SUMIF(ThresholdAge18,"&lt;"&amp;'19_Расчет_аналитики'!V1571,WeightedRevAge18)-SUMIF(ThresholdAge18,"&lt;"&amp;'19_Расчет_аналитики'!V1571,WeightedMinAge18),MAX(CapacityAge18*'01_Вводные'!$B$218*'19_Расчет_аналитики'!V1571,MeanMinAge18)))</f>
        <v/>
      </c>
      <c r="W1493">
        <f>IF(OR('19_Расчет_аналитики'!W1465=0,18&lt;='01_Вводные'!$B$297),0,'19_Расчет_аналитики'!W1465*IF('01_Вводные'!$B$239="Да",MeanMinAge18+'19_Расчет_аналитики'!W1571*SUMIF(ThresholdAge18,"&lt;"&amp;'19_Расчет_аналитики'!W1571,WeightedRevAge18)-SUMIF(ThresholdAge18,"&lt;"&amp;'19_Расчет_аналитики'!W1571,WeightedMinAge18),MAX(CapacityAge18*'01_Вводные'!$B$218*'19_Расчет_аналитики'!W1571,MeanMinAge18)))</f>
        <v/>
      </c>
      <c r="X1493">
        <f>IF(OR('19_Расчет_аналитики'!X1465=0,18&lt;='01_Вводные'!$B$297),0,'19_Расчет_аналитики'!X1465*IF('01_Вводные'!$B$239="Да",MeanMinAge18+'19_Расчет_аналитики'!X1571*SUMIF(ThresholdAge18,"&lt;"&amp;'19_Расчет_аналитики'!X1571,WeightedRevAge18)-SUMIF(ThresholdAge18,"&lt;"&amp;'19_Расчет_аналитики'!X1571,WeightedMinAge18),MAX(CapacityAge18*'01_Вводные'!$B$218*'19_Расчет_аналитики'!X1571,MeanMinAge18)))</f>
        <v/>
      </c>
      <c r="Y1493">
        <f>IF(OR('19_Расчет_аналитики'!Y1465=0,18&lt;='01_Вводные'!$B$297),0,'19_Расчет_аналитики'!Y1465*IF('01_Вводные'!$B$239="Да",MeanMinAge18+'19_Расчет_аналитики'!Y1571*SUMIF(ThresholdAge18,"&lt;"&amp;'19_Расчет_аналитики'!Y1571,WeightedRevAge18)-SUMIF(ThresholdAge18,"&lt;"&amp;'19_Расчет_аналитики'!Y1571,WeightedMinAge18),MAX(CapacityAge18*'01_Вводные'!$B$218*'19_Расчет_аналитики'!Y1571,MeanMinAge18)))</f>
        <v/>
      </c>
      <c r="Z1493">
        <f>IF(OR('19_Расчет_аналитики'!Z1465=0,18&lt;='01_Вводные'!$B$297),0,'19_Расчет_аналитики'!Z1465*IF('01_Вводные'!$B$239="Да",MeanMinAge18+'19_Расчет_аналитики'!Z1571*SUMIF(ThresholdAge18,"&lt;"&amp;'19_Расчет_аналитики'!Z1571,WeightedRevAge18)-SUMIF(ThresholdAge18,"&lt;"&amp;'19_Расчет_аналитики'!Z1571,WeightedMinAge18),MAX(CapacityAge18*'01_Вводные'!$B$218*'19_Расчет_аналитики'!Z1571,MeanMinAge18)))</f>
        <v/>
      </c>
      <c r="AA1493">
        <f>IF(OR('19_Расчет_аналитики'!AA1465=0,18&lt;='01_Вводные'!$B$297),0,'19_Расчет_аналитики'!AA1465*IF('01_Вводные'!$B$239="Да",MeanMinAge18+'19_Расчет_аналитики'!AA1571*SUMIF(ThresholdAge18,"&lt;"&amp;'19_Расчет_аналитики'!AA1571,WeightedRevAge18)-SUMIF(ThresholdAge18,"&lt;"&amp;'19_Расчет_аналитики'!AA1571,WeightedMinAge18),MAX(CapacityAge18*'01_Вводные'!$B$218*'19_Расчет_аналитики'!AA1571,MeanMinAge18)))</f>
        <v/>
      </c>
      <c r="AB1493">
        <f>IF(OR('19_Расчет_аналитики'!AB1465=0,18&lt;='01_Вводные'!$B$297),0,'19_Расчет_аналитики'!AB1465*IF('01_Вводные'!$B$239="Да",MeanMinAge18+'19_Расчет_аналитики'!AB1571*SUMIF(ThresholdAge18,"&lt;"&amp;'19_Расчет_аналитики'!AB1571,WeightedRevAge18)-SUMIF(ThresholdAge18,"&lt;"&amp;'19_Расчет_аналитики'!AB1571,WeightedMinAge18),MAX(CapacityAge18*'01_Вводные'!$B$218*'19_Расчет_аналитики'!AB1571,MeanMinAge18)))</f>
        <v/>
      </c>
      <c r="AC1493">
        <f>IF(OR('19_Расчет_аналитики'!AC1465=0,18&lt;='01_Вводные'!$B$297),0,'19_Расчет_аналитики'!AC1465*IF('01_Вводные'!$B$239="Да",MeanMinAge18+'19_Расчет_аналитики'!AC1571*SUMIF(ThresholdAge18,"&lt;"&amp;'19_Расчет_аналитики'!AC1571,WeightedRevAge18)-SUMIF(ThresholdAge18,"&lt;"&amp;'19_Расчет_аналитики'!AC1571,WeightedMinAge18),MAX(CapacityAge18*'01_Вводные'!$B$218*'19_Расчет_аналитики'!AC1571,MeanMinAge18)))</f>
        <v/>
      </c>
      <c r="AD1493">
        <f>IF(OR('19_Расчет_аналитики'!AD1465=0,18&lt;='01_Вводные'!$B$297),0,'19_Расчет_аналитики'!AD1465*IF('01_Вводные'!$B$239="Да",MeanMinAge18+'19_Расчет_аналитики'!AD1571*SUMIF(ThresholdAge18,"&lt;"&amp;'19_Расчет_аналитики'!AD1571,WeightedRevAge18)-SUMIF(ThresholdAge18,"&lt;"&amp;'19_Расчет_аналитики'!AD1571,WeightedMinAge18),MAX(CapacityAge18*'01_Вводные'!$B$218*'19_Расчет_аналитики'!AD1571,MeanMinAge18)))</f>
        <v/>
      </c>
      <c r="AE1493">
        <f>IF(OR('19_Расчет_аналитики'!AE1465=0,18&lt;='01_Вводные'!$B$297),0,'19_Расчет_аналитики'!AE1465*IF('01_Вводные'!$B$239="Да",MeanMinAge18+'19_Расчет_аналитики'!AE1571*SUMIF(ThresholdAge18,"&lt;"&amp;'19_Расчет_аналитики'!AE1571,WeightedRevAge18)-SUMIF(ThresholdAge18,"&lt;"&amp;'19_Расчет_аналитики'!AE1571,WeightedMinAge18),MAX(CapacityAge18*'01_Вводные'!$B$218*'19_Расчет_аналитики'!AE1571,MeanMinAge18)))</f>
        <v/>
      </c>
      <c r="AF1493">
        <f>IF(OR('19_Расчет_аналитики'!AF1465=0,18&lt;='01_Вводные'!$B$297),0,'19_Расчет_аналитики'!AF1465*IF('01_Вводные'!$B$239="Да",MeanMinAge18+'19_Расчет_аналитики'!AF1571*SUMIF(ThresholdAge18,"&lt;"&amp;'19_Расчет_аналитики'!AF1571,WeightedRevAge18)-SUMIF(ThresholdAge18,"&lt;"&amp;'19_Расчет_аналитики'!AF1571,WeightedMinAge18),MAX(CapacityAge18*'01_Вводные'!$B$218*'19_Расчет_аналитики'!AF1571,MeanMinAge18)))</f>
        <v/>
      </c>
      <c r="AG1493">
        <f>IF(OR('19_Расчет_аналитики'!AG1465=0,18&lt;='01_Вводные'!$B$297),0,'19_Расчет_аналитики'!AG1465*IF('01_Вводные'!$B$239="Да",MeanMinAge18+'19_Расчет_аналитики'!AG1571*SUMIF(ThresholdAge18,"&lt;"&amp;'19_Расчет_аналитики'!AG1571,WeightedRevAge18)-SUMIF(ThresholdAge18,"&lt;"&amp;'19_Расчет_аналитики'!AG1571,WeightedMinAge18),MAX(CapacityAge18*'01_Вводные'!$B$218*'19_Расчет_аналитики'!AG1571,MeanMinAge18)))</f>
        <v/>
      </c>
      <c r="AH1493">
        <f>IF(OR('19_Расчет_аналитики'!AH1465=0,18&lt;='01_Вводные'!$B$297),0,'19_Расчет_аналитики'!AH1465*IF('01_Вводные'!$B$239="Да",MeanMinAge18+'19_Расчет_аналитики'!AH1571*SUMIF(ThresholdAge18,"&lt;"&amp;'19_Расчет_аналитики'!AH1571,WeightedRevAge18)-SUMIF(ThresholdAge18,"&lt;"&amp;'19_Расчет_аналитики'!AH1571,WeightedMinAge18),MAX(CapacityAge18*'01_Вводные'!$B$218*'19_Расчет_аналитики'!AH1571,MeanMinAge18)))</f>
        <v/>
      </c>
      <c r="AI1493">
        <f>IF(OR('19_Расчет_аналитики'!AI1465=0,18&lt;='01_Вводные'!$B$297),0,'19_Расчет_аналитики'!AI1465*IF('01_Вводные'!$B$239="Да",MeanMinAge18+'19_Расчет_аналитики'!AI1571*SUMIF(ThresholdAge18,"&lt;"&amp;'19_Расчет_аналитики'!AI1571,WeightedRevAge18)-SUMIF(ThresholdAge18,"&lt;"&amp;'19_Расчет_аналитики'!AI1571,WeightedMinAge18),MAX(CapacityAge18*'01_Вводные'!$B$218*'19_Расчет_аналитики'!AI1571,MeanMinAge18)))</f>
        <v/>
      </c>
      <c r="AJ1493">
        <f>IF(OR('19_Расчет_аналитики'!AJ1465=0,18&lt;='01_Вводные'!$B$297),0,'19_Расчет_аналитики'!AJ1465*IF('01_Вводные'!$B$239="Да",MeanMinAge18+'19_Расчет_аналитики'!AJ1571*SUMIF(ThresholdAge18,"&lt;"&amp;'19_Расчет_аналитики'!AJ1571,WeightedRevAge18)-SUMIF(ThresholdAge18,"&lt;"&amp;'19_Расчет_аналитики'!AJ1571,WeightedMinAge18),MAX(CapacityAge18*'01_Вводные'!$B$218*'19_Расчет_аналитики'!AJ1571,MeanMinAge18)))</f>
        <v/>
      </c>
      <c r="AK1493">
        <f>IF(OR('19_Расчет_аналитики'!AK1465=0,18&lt;='01_Вводные'!$B$297),0,'19_Расчет_аналитики'!AK1465*IF('01_Вводные'!$B$239="Да",MeanMinAge18+'19_Расчет_аналитики'!AK1571*SUMIF(ThresholdAge18,"&lt;"&amp;'19_Расчет_аналитики'!AK1571,WeightedRevAge18)-SUMIF(ThresholdAge18,"&lt;"&amp;'19_Расчет_аналитики'!AK1571,WeightedMinAge18),MAX(CapacityAge18*'01_Вводные'!$B$218*'19_Расчет_аналитики'!AK1571,MeanMinAge18)))</f>
        <v/>
      </c>
      <c r="AL1493">
        <f>IF(OR('19_Расчет_аналитики'!AL1465=0,18&lt;='01_Вводные'!$B$297),0,'19_Расчет_аналитики'!AL1465*IF('01_Вводные'!$B$239="Да",MeanMinAge18+'19_Расчет_аналитики'!AL1571*SUMIF(ThresholdAge18,"&lt;"&amp;'19_Расчет_аналитики'!AL1571,WeightedRevAge18)-SUMIF(ThresholdAge18,"&lt;"&amp;'19_Расчет_аналитики'!AL1571,WeightedMinAge18),MAX(CapacityAge18*'01_Вводные'!$B$218*'19_Расчет_аналитики'!AL1571,MeanMinAge18)))</f>
        <v/>
      </c>
      <c r="AM1493">
        <f>IF(OR('19_Расчет_аналитики'!AM1465=0,18&lt;='01_Вводные'!$B$297),0,'19_Расчет_аналитики'!AM1465*IF('01_Вводные'!$B$239="Да",MeanMinAge18+'19_Расчет_аналитики'!AM1571*SUMIF(ThresholdAge18,"&lt;"&amp;'19_Расчет_аналитики'!AM1571,WeightedRevAge18)-SUMIF(ThresholdAge18,"&lt;"&amp;'19_Расчет_аналитики'!AM1571,WeightedMinAge18),MAX(CapacityAge18*'01_Вводные'!$B$218*'19_Расчет_аналитики'!AM1571,MeanMinAge18)))</f>
        <v/>
      </c>
      <c r="AN1493">
        <f>IF(OR('19_Расчет_аналитики'!AN1465=0,18&lt;='01_Вводные'!$B$297),0,'19_Расчет_аналитики'!AN1465*IF('01_Вводные'!$B$239="Да",MeanMinAge18+'19_Расчет_аналитики'!AN1571*SUMIF(ThresholdAge18,"&lt;"&amp;'19_Расчет_аналитики'!AN1571,WeightedRevAge18)-SUMIF(ThresholdAge18,"&lt;"&amp;'19_Расчет_аналитики'!AN1571,WeightedMinAge18),MAX(CapacityAge18*'01_Вводные'!$B$218*'19_Расчет_аналитики'!AN1571,MeanMinAge18)))</f>
        <v/>
      </c>
      <c r="AO1493">
        <f>IF(OR('19_Расчет_аналитики'!AO1465=0,18&lt;='01_Вводные'!$B$297),0,'19_Расчет_аналитики'!AO1465*IF('01_Вводные'!$B$239="Да",MeanMinAge18+'19_Расчет_аналитики'!AO1571*SUMIF(ThresholdAge18,"&lt;"&amp;'19_Расчет_аналитики'!AO1571,WeightedRevAge18)-SUMIF(ThresholdAge18,"&lt;"&amp;'19_Расчет_аналитики'!AO1571,WeightedMinAge18),MAX(CapacityAge18*'01_Вводные'!$B$218*'19_Расчет_аналитики'!AO1571,MeanMinAge18)))</f>
        <v/>
      </c>
      <c r="AP1493">
        <f>IF(OR('19_Расчет_аналитики'!AP1465=0,18&lt;='01_Вводные'!$B$297),0,'19_Расчет_аналитики'!AP1465*IF('01_Вводные'!$B$239="Да",MeanMinAge18+'19_Расчет_аналитики'!AP1571*SUMIF(ThresholdAge18,"&lt;"&amp;'19_Расчет_аналитики'!AP1571,WeightedRevAge18)-SUMIF(ThresholdAge18,"&lt;"&amp;'19_Расчет_аналитики'!AP1571,WeightedMinAge18),MAX(CapacityAge18*'01_Вводные'!$B$218*'19_Расчет_аналитики'!AP1571,MeanMinAge18)))</f>
        <v/>
      </c>
      <c r="AQ1493">
        <f>IF(OR('19_Расчет_аналитики'!AQ1465=0,18&lt;='01_Вводные'!$B$297),0,'19_Расчет_аналитики'!AQ1465*IF('01_Вводные'!$B$239="Да",MeanMinAge18+'19_Расчет_аналитики'!AQ1571*SUMIF(ThresholdAge18,"&lt;"&amp;'19_Расчет_аналитики'!AQ1571,WeightedRevAge18)-SUMIF(ThresholdAge18,"&lt;"&amp;'19_Расчет_аналитики'!AQ1571,WeightedMinAge18),MAX(CapacityAge18*'01_Вводные'!$B$218*'19_Расчет_аналитики'!AQ1571,MeanMinAge18)))</f>
        <v/>
      </c>
      <c r="AR1493">
        <f>IF(OR('19_Расчет_аналитики'!AR1465=0,18&lt;='01_Вводные'!$B$297),0,'19_Расчет_аналитики'!AR1465*IF('01_Вводные'!$B$239="Да",MeanMinAge18+'19_Расчет_аналитики'!AR1571*SUMIF(ThresholdAge18,"&lt;"&amp;'19_Расчет_аналитики'!AR1571,WeightedRevAge18)-SUMIF(ThresholdAge18,"&lt;"&amp;'19_Расчет_аналитики'!AR1571,WeightedMinAge18),MAX(CapacityAge18*'01_Вводные'!$B$218*'19_Расчет_аналитики'!AR1571,MeanMinAge18)))</f>
        <v/>
      </c>
      <c r="AS1493">
        <f>IF(OR('19_Расчет_аналитики'!AS1465=0,18&lt;='01_Вводные'!$B$297),0,'19_Расчет_аналитики'!AS1465*IF('01_Вводные'!$B$239="Да",MeanMinAge18+'19_Расчет_аналитики'!AS1571*SUMIF(ThresholdAge18,"&lt;"&amp;'19_Расчет_аналитики'!AS1571,WeightedRevAge18)-SUMIF(ThresholdAge18,"&lt;"&amp;'19_Расчет_аналитики'!AS1571,WeightedMinAge18),MAX(CapacityAge18*'01_Вводные'!$B$218*'19_Расчет_аналитики'!AS1571,MeanMinAge18)))</f>
        <v/>
      </c>
      <c r="AT1493">
        <f>IF(OR('19_Расчет_аналитики'!AT1465=0,18&lt;='01_Вводные'!$B$297),0,'19_Расчет_аналитики'!AT1465*IF('01_Вводные'!$B$239="Да",MeanMinAge18+'19_Расчет_аналитики'!AT1571*SUMIF(ThresholdAge18,"&lt;"&amp;'19_Расчет_аналитики'!AT1571,WeightedRevAge18)-SUMIF(ThresholdAge18,"&lt;"&amp;'19_Расчет_аналитики'!AT1571,WeightedMinAge18),MAX(CapacityAge18*'01_Вводные'!$B$218*'19_Расчет_аналитики'!AT1571,MeanMinAge18)))</f>
        <v/>
      </c>
      <c r="AU1493">
        <f>IF(OR('19_Расчет_аналитики'!AU1465=0,18&lt;='01_Вводные'!$B$297),0,'19_Расчет_аналитики'!AU1465*IF('01_Вводные'!$B$239="Да",MeanMinAge18+'19_Расчет_аналитики'!AU1571*SUMIF(ThresholdAge18,"&lt;"&amp;'19_Расчет_аналитики'!AU1571,WeightedRevAge18)-SUMIF(ThresholdAge18,"&lt;"&amp;'19_Расчет_аналитики'!AU1571,WeightedMinAge18),MAX(CapacityAge18*'01_Вводные'!$B$218*'19_Расчет_аналитики'!AU1571,MeanMinAge18)))</f>
        <v/>
      </c>
      <c r="AV1493">
        <f>IF(OR('19_Расчет_аналитики'!AV1465=0,18&lt;='01_Вводные'!$B$297),0,'19_Расчет_аналитики'!AV1465*IF('01_Вводные'!$B$239="Да",MeanMinAge18+'19_Расчет_аналитики'!AV1571*SUMIF(ThresholdAge18,"&lt;"&amp;'19_Расчет_аналитики'!AV1571,WeightedRevAge18)-SUMIF(ThresholdAge18,"&lt;"&amp;'19_Расчет_аналитики'!AV1571,WeightedMinAge18),MAX(CapacityAge18*'01_Вводные'!$B$218*'19_Расчет_аналитики'!AV1571,MeanMinAge18)))</f>
        <v/>
      </c>
      <c r="AW1493">
        <f>IF(OR('19_Расчет_аналитики'!AW1465=0,18&lt;='01_Вводные'!$B$297),0,'19_Расчет_аналитики'!AW1465*IF('01_Вводные'!$B$239="Да",MeanMinAge18+'19_Расчет_аналитики'!AW1571*SUMIF(ThresholdAge18,"&lt;"&amp;'19_Расчет_аналитики'!AW1571,WeightedRevAge18)-SUMIF(ThresholdAge18,"&lt;"&amp;'19_Расчет_аналитики'!AW1571,WeightedMinAge18),MAX(CapacityAge18*'01_Вводные'!$B$218*'19_Расчет_аналитики'!AW1571,MeanMinAge18)))</f>
        <v/>
      </c>
      <c r="AX1493">
        <f>IF(OR('19_Расчет_аналитики'!AX1465=0,18&lt;='01_Вводные'!$B$297),0,'19_Расчет_аналитики'!AX1465*IF('01_Вводные'!$B$239="Да",MeanMinAge18+'19_Расчет_аналитики'!AX1571*SUMIF(ThresholdAge18,"&lt;"&amp;'19_Расчет_аналитики'!AX1571,WeightedRevAge18)-SUMIF(ThresholdAge18,"&lt;"&amp;'19_Расчет_аналитики'!AX1571,WeightedMinAge18),MAX(CapacityAge18*'01_Вводные'!$B$218*'19_Расчет_аналитики'!AX1571,MeanMinAge18)))</f>
        <v/>
      </c>
      <c r="AY1493">
        <f>IF(OR('19_Расчет_аналитики'!AY1465=0,18&lt;='01_Вводные'!$B$297),0,'19_Расчет_аналитики'!AY1465*IF('01_Вводные'!$B$239="Да",MeanMinAge18+'19_Расчет_аналитики'!AY1571*SUMIF(ThresholdAge18,"&lt;"&amp;'19_Расчет_аналитики'!AY1571,WeightedRevAge18)-SUMIF(ThresholdAge18,"&lt;"&amp;'19_Расчет_аналитики'!AY1571,WeightedMinAge18),MAX(CapacityAge18*'01_Вводные'!$B$218*'19_Расчет_аналитики'!AY1571,MeanMinAge18)))</f>
        <v/>
      </c>
      <c r="AZ1493">
        <f>IF(OR('19_Расчет_аналитики'!AZ1465=0,18&lt;='01_Вводные'!$B$297),0,'19_Расчет_аналитики'!AZ1465*IF('01_Вводные'!$B$239="Да",MeanMinAge18+'19_Расчет_аналитики'!AZ1571*SUMIF(ThresholdAge18,"&lt;"&amp;'19_Расчет_аналитики'!AZ1571,WeightedRevAge18)-SUMIF(ThresholdAge18,"&lt;"&amp;'19_Расчет_аналитики'!AZ1571,WeightedMinAge18),MAX(CapacityAge18*'01_Вводные'!$B$218*'19_Расчет_аналитики'!AZ1571,MeanMinAge18)))</f>
        <v/>
      </c>
      <c r="BA1493">
        <f>IF(OR('19_Расчет_аналитики'!BA1465=0,18&lt;='01_Вводные'!$B$297),0,'19_Расчет_аналитики'!BA1465*IF('01_Вводные'!$B$239="Да",MeanMinAge18+'19_Расчет_аналитики'!BA1571*SUMIF(ThresholdAge18,"&lt;"&amp;'19_Расчет_аналитики'!BA1571,WeightedRevAge18)-SUMIF(ThresholdAge18,"&lt;"&amp;'19_Расчет_аналитики'!BA1571,WeightedMinAge18),MAX(CapacityAge18*'01_Вводные'!$B$218*'19_Расчет_аналитики'!BA1571,MeanMinAge18)))</f>
        <v/>
      </c>
      <c r="BB1493">
        <f>IF(OR('19_Расчет_аналитики'!BB1465=0,18&lt;='01_Вводные'!$B$297),0,'19_Расчет_аналитики'!BB1465*IF('01_Вводные'!$B$239="Да",MeanMinAge18+'19_Расчет_аналитики'!BB1571*SUMIF(ThresholdAge18,"&lt;"&amp;'19_Расчет_аналитики'!BB1571,WeightedRevAge18)-SUMIF(ThresholdAge18,"&lt;"&amp;'19_Расчет_аналитики'!BB1571,WeightedMinAge18),MAX(CapacityAge18*'01_Вводные'!$B$218*'19_Расчет_аналитики'!BB1571,MeanMinAge18)))</f>
        <v/>
      </c>
      <c r="BC1493">
        <f>IF(OR('19_Расчет_аналитики'!BC1465=0,18&lt;='01_Вводные'!$B$297),0,'19_Расчет_аналитики'!BC1465*IF('01_Вводные'!$B$239="Да",MeanMinAge18+'19_Расчет_аналитики'!BC1571*SUMIF(ThresholdAge18,"&lt;"&amp;'19_Расчет_аналитики'!BC1571,WeightedRevAge18)-SUMIF(ThresholdAge18,"&lt;"&amp;'19_Расчет_аналитики'!BC1571,WeightedMinAge18),MAX(CapacityAge18*'01_Вводные'!$B$218*'19_Расчет_аналитики'!BC1571,MeanMinAge18)))</f>
        <v/>
      </c>
      <c r="BD1493">
        <f>IF(OR('19_Расчет_аналитики'!BD1465=0,18&lt;='01_Вводные'!$B$297),0,'19_Расчет_аналитики'!BD1465*IF('01_Вводные'!$B$239="Да",MeanMinAge18+'19_Расчет_аналитики'!BD1571*SUMIF(ThresholdAge18,"&lt;"&amp;'19_Расчет_аналитики'!BD1571,WeightedRevAge18)-SUMIF(ThresholdAge18,"&lt;"&amp;'19_Расчет_аналитики'!BD1571,WeightedMinAge18),MAX(CapacityAge18*'01_Вводные'!$B$218*'19_Расчет_аналитики'!BD1571,MeanMinAge18)))</f>
        <v/>
      </c>
      <c r="BE1493">
        <f>IF(OR('19_Расчет_аналитики'!BE1465=0,18&lt;='01_Вводные'!$B$297),0,'19_Расчет_аналитики'!BE1465*IF('01_Вводные'!$B$239="Да",MeanMinAge18+'19_Расчет_аналитики'!BE1571*SUMIF(ThresholdAge18,"&lt;"&amp;'19_Расчет_аналитики'!BE1571,WeightedRevAge18)-SUMIF(ThresholdAge18,"&lt;"&amp;'19_Расчет_аналитики'!BE1571,WeightedMinAge18),MAX(CapacityAge18*'01_Вводные'!$B$218*'19_Расчет_аналитики'!BE1571,MeanMinAge18)))</f>
        <v/>
      </c>
      <c r="BF1493">
        <f>IF(OR('19_Расчет_аналитики'!BF1465=0,18&lt;='01_Вводные'!$B$297),0,'19_Расчет_аналитики'!BF1465*IF('01_Вводные'!$B$239="Да",MeanMinAge18+'19_Расчет_аналитики'!BF1571*SUMIF(ThresholdAge18,"&lt;"&amp;'19_Расчет_аналитики'!BF1571,WeightedRevAge18)-SUMIF(ThresholdAge18,"&lt;"&amp;'19_Расчет_аналитики'!BF1571,WeightedMinAge18),MAX(CapacityAge18*'01_Вводные'!$B$218*'19_Расчет_аналитики'!BF1571,MeanMinAge18)))</f>
        <v/>
      </c>
      <c r="BG1493">
        <f>IF(OR('19_Расчет_аналитики'!BG1465=0,18&lt;='01_Вводные'!$B$297),0,'19_Расчет_аналитики'!BG1465*IF('01_Вводные'!$B$239="Да",MeanMinAge18+'19_Расчет_аналитики'!BG1571*SUMIF(ThresholdAge18,"&lt;"&amp;'19_Расчет_аналитики'!BG1571,WeightedRevAge18)-SUMIF(ThresholdAge18,"&lt;"&amp;'19_Расчет_аналитики'!BG1571,WeightedMinAge18),MAX(CapacityAge18*'01_Вводные'!$B$218*'19_Расчет_аналитики'!BG1571,MeanMinAge18)))</f>
        <v/>
      </c>
      <c r="BH1493">
        <f>IF(OR('19_Расчет_аналитики'!BH1465=0,18&lt;='01_Вводные'!$B$297),0,'19_Расчет_аналитики'!BH1465*IF('01_Вводные'!$B$239="Да",MeanMinAge18+'19_Расчет_аналитики'!BH1571*SUMIF(ThresholdAge18,"&lt;"&amp;'19_Расчет_аналитики'!BH1571,WeightedRevAge18)-SUMIF(ThresholdAge18,"&lt;"&amp;'19_Расчет_аналитики'!BH1571,WeightedMinAge18),MAX(CapacityAge18*'01_Вводные'!$B$218*'19_Расчет_аналитики'!BH1571,MeanMinAge18)))</f>
        <v/>
      </c>
      <c r="BI1493">
        <f>IF(OR('19_Расчет_аналитики'!BI1465=0,18&lt;='01_Вводные'!$B$297),0,'19_Расчет_аналитики'!BI1465*IF('01_Вводные'!$B$239="Да",MeanMinAge18+'19_Расчет_аналитики'!BI1571*SUMIF(ThresholdAge18,"&lt;"&amp;'19_Расчет_аналитики'!BI1571,WeightedRevAge18)-SUMIF(ThresholdAge18,"&lt;"&amp;'19_Расчет_аналитики'!BI1571,WeightedMinAge18),MAX(CapacityAge18*'01_Вводные'!$B$218*'19_Расчет_аналитики'!BI1571,MeanMinAge18)))</f>
        <v/>
      </c>
      <c r="BJ1493">
        <f>IF(OR('19_Расчет_аналитики'!BJ1465=0,18&lt;='01_Вводные'!$B$297),0,'19_Расчет_аналитики'!BJ1465*IF('01_Вводные'!$B$239="Да",MeanMinAge18+'19_Расчет_аналитики'!BJ1571*SUMIF(ThresholdAge18,"&lt;"&amp;'19_Расчет_аналитики'!BJ1571,WeightedRevAge18)-SUMIF(ThresholdAge18,"&lt;"&amp;'19_Расчет_аналитики'!BJ1571,WeightedMinAge18),MAX(CapacityAge18*'01_Вводные'!$B$218*'19_Расчет_аналитики'!BJ1571,MeanMinAge18)))</f>
        <v/>
      </c>
      <c r="BK1493">
        <f>IF(OR('19_Расчет_аналитики'!BK1465=0,18&lt;='01_Вводные'!$B$297),0,'19_Расчет_аналитики'!BK1465*IF('01_Вводные'!$B$239="Да",MeanMinAge18+'19_Расчет_аналитики'!BK1571*SUMIF(ThresholdAge18,"&lt;"&amp;'19_Расчет_аналитики'!BK1571,WeightedRevAge18)-SUMIF(ThresholdAge18,"&lt;"&amp;'19_Расчет_аналитики'!BK1571,WeightedMinAge18),MAX(CapacityAge18*'01_Вводные'!$B$218*'19_Расчет_аналитики'!BK1571,MeanMinAge18)))</f>
        <v/>
      </c>
      <c r="BL1493">
        <f>IF(OR('19_Расчет_аналитики'!BL1465=0,18&lt;='01_Вводные'!$B$297),0,'19_Расчет_аналитики'!BL1465*IF('01_Вводные'!$B$239="Да",MeanMinAge18+'19_Расчет_аналитики'!BL1571*SUMIF(ThresholdAge18,"&lt;"&amp;'19_Расчет_аналитики'!BL1571,WeightedRevAge18)-SUMIF(ThresholdAge18,"&lt;"&amp;'19_Расчет_аналитики'!BL1571,WeightedMinAge18),MAX(CapacityAge18*'01_Вводные'!$B$218*'19_Расчет_аналитики'!BL1571,MeanMinAge18)))</f>
        <v/>
      </c>
      <c r="BM1493">
        <f>IF(OR('19_Расчет_аналитики'!BM1465=0,18&lt;='01_Вводные'!$B$297),0,'19_Расчет_аналитики'!BM1465*IF('01_Вводные'!$B$239="Да",MeanMinAge18+'19_Расчет_аналитики'!BM1571*SUMIF(ThresholdAge18,"&lt;"&amp;'19_Расчет_аналитики'!BM1571,WeightedRevAge18)-SUMIF(ThresholdAge18,"&lt;"&amp;'19_Расчет_аналитики'!BM1571,WeightedMinAge18),MAX(CapacityAge18*'01_Вводные'!$B$218*'19_Расчет_аналитики'!BM1571,MeanMinAge18)))</f>
        <v/>
      </c>
      <c r="BN1493">
        <f>IF(OR('19_Расчет_аналитики'!BN1465=0,18&lt;='01_Вводные'!$B$297),0,'19_Расчет_аналитики'!BN1465*IF('01_Вводные'!$B$239="Да",MeanMinAge18+'19_Расчет_аналитики'!BN1571*SUMIF(ThresholdAge18,"&lt;"&amp;'19_Расчет_аналитики'!BN1571,WeightedRevAge18)-SUMIF(ThresholdAge18,"&lt;"&amp;'19_Расчет_аналитики'!BN1571,WeightedMinAge18),MAX(CapacityAge18*'01_Вводные'!$B$218*'19_Расчет_аналитики'!BN1571,MeanMinAge18)))</f>
        <v/>
      </c>
      <c r="BO1493">
        <f>IF(OR('19_Расчет_аналитики'!BO1465=0,18&lt;='01_Вводные'!$B$297),0,'19_Расчет_аналитики'!BO1465*IF('01_Вводные'!$B$239="Да",MeanMinAge18+'19_Расчет_аналитики'!BO1571*SUMIF(ThresholdAge18,"&lt;"&amp;'19_Расчет_аналитики'!BO1571,WeightedRevAge18)-SUMIF(ThresholdAge18,"&lt;"&amp;'19_Расчет_аналитики'!BO1571,WeightedMinAge18),MAX(CapacityAge18*'01_Вводные'!$B$218*'19_Расчет_аналитики'!BO1571,MeanMinAge18)))</f>
        <v/>
      </c>
    </row>
    <row r="1494">
      <c r="B1494">
        <f>IF(OR('06_Сеть_и_дети'!B99=0,19&lt;='01_Вводные'!$B$297),0,'06_Сеть_и_дети'!B99*IF('01_Вводные'!$B$239="Да",MeanMinAge19+'19_Расчет_аналитики'!B1571*SUMIF(ThresholdAge19,"&lt;"&amp;'19_Расчет_аналитики'!B1571,WeightedRevAge19)-SUMIF(ThresholdAge19,"&lt;"&amp;'19_Расчет_аналитики'!B1571,WeightedMinAge19),MAX(CapacityAge19*'01_Вводные'!$B$218*'19_Расчет_аналитики'!B1571,MeanMinAge19)))</f>
        <v/>
      </c>
      <c r="C1494">
        <f>IF(OR('06_Сеть_и_дети'!C99=0,19&lt;='01_Вводные'!$B$297),0,'06_Сеть_и_дети'!C99*IF('01_Вводные'!$B$239="Да",MeanMinAge19+'19_Расчет_аналитики'!C1571*SUMIF(ThresholdAge19,"&lt;"&amp;'19_Расчет_аналитики'!C1571,WeightedRevAge19)-SUMIF(ThresholdAge19,"&lt;"&amp;'19_Расчет_аналитики'!C1571,WeightedMinAge19),MAX(CapacityAge19*'01_Вводные'!$B$218*'19_Расчет_аналитики'!C1571,MeanMinAge19)))</f>
        <v/>
      </c>
      <c r="D1494">
        <f>IF(OR('06_Сеть_и_дети'!D99=0,19&lt;='01_Вводные'!$B$297),0,'06_Сеть_и_дети'!D99*IF('01_Вводные'!$B$239="Да",MeanMinAge19+'19_Расчет_аналитики'!D1571*SUMIF(ThresholdAge19,"&lt;"&amp;'19_Расчет_аналитики'!D1571,WeightedRevAge19)-SUMIF(ThresholdAge19,"&lt;"&amp;'19_Расчет_аналитики'!D1571,WeightedMinAge19),MAX(CapacityAge19*'01_Вводные'!$B$218*'19_Расчет_аналитики'!D1571,MeanMinAge19)))</f>
        <v/>
      </c>
      <c r="E1494">
        <f>IF(OR('06_Сеть_и_дети'!E99=0,19&lt;='01_Вводные'!$B$297),0,'06_Сеть_и_дети'!E99*IF('01_Вводные'!$B$239="Да",MeanMinAge19+'19_Расчет_аналитики'!E1571*SUMIF(ThresholdAge19,"&lt;"&amp;'19_Расчет_аналитики'!E1571,WeightedRevAge19)-SUMIF(ThresholdAge19,"&lt;"&amp;'19_Расчет_аналитики'!E1571,WeightedMinAge19),MAX(CapacityAge19*'01_Вводные'!$B$218*'19_Расчет_аналитики'!E1571,MeanMinAge19)))</f>
        <v/>
      </c>
      <c r="F1494">
        <f>IF(OR('06_Сеть_и_дети'!F99=0,19&lt;='01_Вводные'!$B$297),0,'06_Сеть_и_дети'!F99*IF('01_Вводные'!$B$239="Да",MeanMinAge19+'19_Расчет_аналитики'!F1571*SUMIF(ThresholdAge19,"&lt;"&amp;'19_Расчет_аналитики'!F1571,WeightedRevAge19)-SUMIF(ThresholdAge19,"&lt;"&amp;'19_Расчет_аналитики'!F1571,WeightedMinAge19),MAX(CapacityAge19*'01_Вводные'!$B$218*'19_Расчет_аналитики'!F1571,MeanMinAge19)))</f>
        <v/>
      </c>
      <c r="G1494">
        <f>IF(OR('06_Сеть_и_дети'!G99=0,19&lt;='01_Вводные'!$B$297),0,'06_Сеть_и_дети'!G99*IF('01_Вводные'!$B$239="Да",MeanMinAge19+'19_Расчет_аналитики'!G1571*SUMIF(ThresholdAge19,"&lt;"&amp;'19_Расчет_аналитики'!G1571,WeightedRevAge19)-SUMIF(ThresholdAge19,"&lt;"&amp;'19_Расчет_аналитики'!G1571,WeightedMinAge19),MAX(CapacityAge19*'01_Вводные'!$B$218*'19_Расчет_аналитики'!G1571,MeanMinAge19)))</f>
        <v/>
      </c>
      <c r="H1494">
        <f>IF(OR('06_Сеть_и_дети'!H99=0,19&lt;='01_Вводные'!$B$297),0,'06_Сеть_и_дети'!H99*IF('01_Вводные'!$B$239="Да",MeanMinAge19+'19_Расчет_аналитики'!H1571*SUMIF(ThresholdAge19,"&lt;"&amp;'19_Расчет_аналитики'!H1571,WeightedRevAge19)-SUMIF(ThresholdAge19,"&lt;"&amp;'19_Расчет_аналитики'!H1571,WeightedMinAge19),MAX(CapacityAge19*'01_Вводные'!$B$218*'19_Расчет_аналитики'!H1571,MeanMinAge19)))</f>
        <v/>
      </c>
      <c r="I1494">
        <f>IF(OR('06_Сеть_и_дети'!I99=0,19&lt;='01_Вводные'!$B$297),0,'06_Сеть_и_дети'!I99*IF('01_Вводные'!$B$239="Да",MeanMinAge19+'19_Расчет_аналитики'!I1571*SUMIF(ThresholdAge19,"&lt;"&amp;'19_Расчет_аналитики'!I1571,WeightedRevAge19)-SUMIF(ThresholdAge19,"&lt;"&amp;'19_Расчет_аналитики'!I1571,WeightedMinAge19),MAX(CapacityAge19*'01_Вводные'!$B$218*'19_Расчет_аналитики'!I1571,MeanMinAge19)))</f>
        <v/>
      </c>
      <c r="J1494">
        <f>IF(OR('06_Сеть_и_дети'!J99=0,19&lt;='01_Вводные'!$B$297),0,'06_Сеть_и_дети'!J99*IF('01_Вводные'!$B$239="Да",MeanMinAge19+'19_Расчет_аналитики'!J1571*SUMIF(ThresholdAge19,"&lt;"&amp;'19_Расчет_аналитики'!J1571,WeightedRevAge19)-SUMIF(ThresholdAge19,"&lt;"&amp;'19_Расчет_аналитики'!J1571,WeightedMinAge19),MAX(CapacityAge19*'01_Вводные'!$B$218*'19_Расчет_аналитики'!J1571,MeanMinAge19)))</f>
        <v/>
      </c>
      <c r="K1494">
        <f>IF(OR('06_Сеть_и_дети'!K99=0,19&lt;='01_Вводные'!$B$297),0,'06_Сеть_и_дети'!K99*IF('01_Вводные'!$B$239="Да",MeanMinAge19+'19_Расчет_аналитики'!K1571*SUMIF(ThresholdAge19,"&lt;"&amp;'19_Расчет_аналитики'!K1571,WeightedRevAge19)-SUMIF(ThresholdAge19,"&lt;"&amp;'19_Расчет_аналитики'!K1571,WeightedMinAge19),MAX(CapacityAge19*'01_Вводные'!$B$218*'19_Расчет_аналитики'!K1571,MeanMinAge19)))</f>
        <v/>
      </c>
      <c r="L1494">
        <f>IF(OR('06_Сеть_и_дети'!L99=0,19&lt;='01_Вводные'!$B$297),0,'06_Сеть_и_дети'!L99*IF('01_Вводные'!$B$239="Да",MeanMinAge19+'19_Расчет_аналитики'!L1571*SUMIF(ThresholdAge19,"&lt;"&amp;'19_Расчет_аналитики'!L1571,WeightedRevAge19)-SUMIF(ThresholdAge19,"&lt;"&amp;'19_Расчет_аналитики'!L1571,WeightedMinAge19),MAX(CapacityAge19*'01_Вводные'!$B$218*'19_Расчет_аналитики'!L1571,MeanMinAge19)))</f>
        <v/>
      </c>
      <c r="M1494">
        <f>IF(OR('06_Сеть_и_дети'!M99=0,19&lt;='01_Вводные'!$B$297),0,'06_Сеть_и_дети'!M99*IF('01_Вводные'!$B$239="Да",MeanMinAge19+'19_Расчет_аналитики'!M1571*SUMIF(ThresholdAge19,"&lt;"&amp;'19_Расчет_аналитики'!M1571,WeightedRevAge19)-SUMIF(ThresholdAge19,"&lt;"&amp;'19_Расчет_аналитики'!M1571,WeightedMinAge19),MAX(CapacityAge19*'01_Вводные'!$B$218*'19_Расчет_аналитики'!M1571,MeanMinAge19)))</f>
        <v/>
      </c>
      <c r="N1494">
        <f>IF(OR('06_Сеть_и_дети'!N99=0,19&lt;='01_Вводные'!$B$297),0,'06_Сеть_и_дети'!N99*IF('01_Вводные'!$B$239="Да",MeanMinAge19+'19_Расчет_аналитики'!N1571*SUMIF(ThresholdAge19,"&lt;"&amp;'19_Расчет_аналитики'!N1571,WeightedRevAge19)-SUMIF(ThresholdAge19,"&lt;"&amp;'19_Расчет_аналитики'!N1571,WeightedMinAge19),MAX(CapacityAge19*'01_Вводные'!$B$218*'19_Расчет_аналитики'!N1571,MeanMinAge19)))</f>
        <v/>
      </c>
      <c r="O1494">
        <f>IF(OR('06_Сеть_и_дети'!O99=0,19&lt;='01_Вводные'!$B$297),0,'06_Сеть_и_дети'!O99*IF('01_Вводные'!$B$239="Да",MeanMinAge19+'19_Расчет_аналитики'!O1571*SUMIF(ThresholdAge19,"&lt;"&amp;'19_Расчет_аналитики'!O1571,WeightedRevAge19)-SUMIF(ThresholdAge19,"&lt;"&amp;'19_Расчет_аналитики'!O1571,WeightedMinAge19),MAX(CapacityAge19*'01_Вводные'!$B$218*'19_Расчет_аналитики'!O1571,MeanMinAge19)))</f>
        <v/>
      </c>
      <c r="P1494">
        <f>IF(OR('06_Сеть_и_дети'!P99=0,19&lt;='01_Вводные'!$B$297),0,'06_Сеть_и_дети'!P99*IF('01_Вводные'!$B$239="Да",MeanMinAge19+'19_Расчет_аналитики'!P1571*SUMIF(ThresholdAge19,"&lt;"&amp;'19_Расчет_аналитики'!P1571,WeightedRevAge19)-SUMIF(ThresholdAge19,"&lt;"&amp;'19_Расчет_аналитики'!P1571,WeightedMinAge19),MAX(CapacityAge19*'01_Вводные'!$B$218*'19_Расчет_аналитики'!P1571,MeanMinAge19)))</f>
        <v/>
      </c>
      <c r="Q1494">
        <f>IF(OR('06_Сеть_и_дети'!Q99=0,19&lt;='01_Вводные'!$B$297),0,'06_Сеть_и_дети'!Q99*IF('01_Вводные'!$B$239="Да",MeanMinAge19+'19_Расчет_аналитики'!Q1571*SUMIF(ThresholdAge19,"&lt;"&amp;'19_Расчет_аналитики'!Q1571,WeightedRevAge19)-SUMIF(ThresholdAge19,"&lt;"&amp;'19_Расчет_аналитики'!Q1571,WeightedMinAge19),MAX(CapacityAge19*'01_Вводные'!$B$218*'19_Расчет_аналитики'!Q1571,MeanMinAge19)))</f>
        <v/>
      </c>
      <c r="R1494">
        <f>IF(OR('06_Сеть_и_дети'!R99=0,19&lt;='01_Вводные'!$B$297),0,'06_Сеть_и_дети'!R99*IF('01_Вводные'!$B$239="Да",MeanMinAge19+'19_Расчет_аналитики'!R1571*SUMIF(ThresholdAge19,"&lt;"&amp;'19_Расчет_аналитики'!R1571,WeightedRevAge19)-SUMIF(ThresholdAge19,"&lt;"&amp;'19_Расчет_аналитики'!R1571,WeightedMinAge19),MAX(CapacityAge19*'01_Вводные'!$B$218*'19_Расчет_аналитики'!R1571,MeanMinAge19)))</f>
        <v/>
      </c>
      <c r="S1494">
        <f>IF(OR('06_Сеть_и_дети'!S99=0,19&lt;='01_Вводные'!$B$297),0,'06_Сеть_и_дети'!S99*IF('01_Вводные'!$B$239="Да",MeanMinAge19+'19_Расчет_аналитики'!S1571*SUMIF(ThresholdAge19,"&lt;"&amp;'19_Расчет_аналитики'!S1571,WeightedRevAge19)-SUMIF(ThresholdAge19,"&lt;"&amp;'19_Расчет_аналитики'!S1571,WeightedMinAge19),MAX(CapacityAge19*'01_Вводные'!$B$218*'19_Расчет_аналитики'!S1571,MeanMinAge19)))</f>
        <v/>
      </c>
      <c r="T1494">
        <f>IF(OR('19_Расчет_аналитики'!T1466=0,19&lt;='01_Вводные'!$B$297),0,'19_Расчет_аналитики'!T1466*IF('01_Вводные'!$B$239="Да",MeanMinAge19+'19_Расчет_аналитики'!T1571*SUMIF(ThresholdAge19,"&lt;"&amp;'19_Расчет_аналитики'!T1571,WeightedRevAge19)-SUMIF(ThresholdAge19,"&lt;"&amp;'19_Расчет_аналитики'!T1571,WeightedMinAge19),MAX(CapacityAge19*'01_Вводные'!$B$218*'19_Расчет_аналитики'!T1571,MeanMinAge19)))</f>
        <v/>
      </c>
      <c r="U1494">
        <f>IF(OR('19_Расчет_аналитики'!U1466=0,19&lt;='01_Вводные'!$B$297),0,'19_Расчет_аналитики'!U1466*IF('01_Вводные'!$B$239="Да",MeanMinAge19+'19_Расчет_аналитики'!U1571*SUMIF(ThresholdAge19,"&lt;"&amp;'19_Расчет_аналитики'!U1571,WeightedRevAge19)-SUMIF(ThresholdAge19,"&lt;"&amp;'19_Расчет_аналитики'!U1571,WeightedMinAge19),MAX(CapacityAge19*'01_Вводные'!$B$218*'19_Расчет_аналитики'!U1571,MeanMinAge19)))</f>
        <v/>
      </c>
      <c r="V1494">
        <f>IF(OR('19_Расчет_аналитики'!V1466=0,19&lt;='01_Вводные'!$B$297),0,'19_Расчет_аналитики'!V1466*IF('01_Вводные'!$B$239="Да",MeanMinAge19+'19_Расчет_аналитики'!V1571*SUMIF(ThresholdAge19,"&lt;"&amp;'19_Расчет_аналитики'!V1571,WeightedRevAge19)-SUMIF(ThresholdAge19,"&lt;"&amp;'19_Расчет_аналитики'!V1571,WeightedMinAge19),MAX(CapacityAge19*'01_Вводные'!$B$218*'19_Расчет_аналитики'!V1571,MeanMinAge19)))</f>
        <v/>
      </c>
      <c r="W1494">
        <f>IF(OR('19_Расчет_аналитики'!W1466=0,19&lt;='01_Вводные'!$B$297),0,'19_Расчет_аналитики'!W1466*IF('01_Вводные'!$B$239="Да",MeanMinAge19+'19_Расчет_аналитики'!W1571*SUMIF(ThresholdAge19,"&lt;"&amp;'19_Расчет_аналитики'!W1571,WeightedRevAge19)-SUMIF(ThresholdAge19,"&lt;"&amp;'19_Расчет_аналитики'!W1571,WeightedMinAge19),MAX(CapacityAge19*'01_Вводные'!$B$218*'19_Расчет_аналитики'!W1571,MeanMinAge19)))</f>
        <v/>
      </c>
      <c r="X1494">
        <f>IF(OR('19_Расчет_аналитики'!X1466=0,19&lt;='01_Вводные'!$B$297),0,'19_Расчет_аналитики'!X1466*IF('01_Вводные'!$B$239="Да",MeanMinAge19+'19_Расчет_аналитики'!X1571*SUMIF(ThresholdAge19,"&lt;"&amp;'19_Расчет_аналитики'!X1571,WeightedRevAge19)-SUMIF(ThresholdAge19,"&lt;"&amp;'19_Расчет_аналитики'!X1571,WeightedMinAge19),MAX(CapacityAge19*'01_Вводные'!$B$218*'19_Расчет_аналитики'!X1571,MeanMinAge19)))</f>
        <v/>
      </c>
      <c r="Y1494">
        <f>IF(OR('19_Расчет_аналитики'!Y1466=0,19&lt;='01_Вводные'!$B$297),0,'19_Расчет_аналитики'!Y1466*IF('01_Вводные'!$B$239="Да",MeanMinAge19+'19_Расчет_аналитики'!Y1571*SUMIF(ThresholdAge19,"&lt;"&amp;'19_Расчет_аналитики'!Y1571,WeightedRevAge19)-SUMIF(ThresholdAge19,"&lt;"&amp;'19_Расчет_аналитики'!Y1571,WeightedMinAge19),MAX(CapacityAge19*'01_Вводные'!$B$218*'19_Расчет_аналитики'!Y1571,MeanMinAge19)))</f>
        <v/>
      </c>
      <c r="Z1494">
        <f>IF(OR('19_Расчет_аналитики'!Z1466=0,19&lt;='01_Вводные'!$B$297),0,'19_Расчет_аналитики'!Z1466*IF('01_Вводные'!$B$239="Да",MeanMinAge19+'19_Расчет_аналитики'!Z1571*SUMIF(ThresholdAge19,"&lt;"&amp;'19_Расчет_аналитики'!Z1571,WeightedRevAge19)-SUMIF(ThresholdAge19,"&lt;"&amp;'19_Расчет_аналитики'!Z1571,WeightedMinAge19),MAX(CapacityAge19*'01_Вводные'!$B$218*'19_Расчет_аналитики'!Z1571,MeanMinAge19)))</f>
        <v/>
      </c>
      <c r="AA1494">
        <f>IF(OR('19_Расчет_аналитики'!AA1466=0,19&lt;='01_Вводные'!$B$297),0,'19_Расчет_аналитики'!AA1466*IF('01_Вводные'!$B$239="Да",MeanMinAge19+'19_Расчет_аналитики'!AA1571*SUMIF(ThresholdAge19,"&lt;"&amp;'19_Расчет_аналитики'!AA1571,WeightedRevAge19)-SUMIF(ThresholdAge19,"&lt;"&amp;'19_Расчет_аналитики'!AA1571,WeightedMinAge19),MAX(CapacityAge19*'01_Вводные'!$B$218*'19_Расчет_аналитики'!AA1571,MeanMinAge19)))</f>
        <v/>
      </c>
      <c r="AB1494">
        <f>IF(OR('19_Расчет_аналитики'!AB1466=0,19&lt;='01_Вводные'!$B$297),0,'19_Расчет_аналитики'!AB1466*IF('01_Вводные'!$B$239="Да",MeanMinAge19+'19_Расчет_аналитики'!AB1571*SUMIF(ThresholdAge19,"&lt;"&amp;'19_Расчет_аналитики'!AB1571,WeightedRevAge19)-SUMIF(ThresholdAge19,"&lt;"&amp;'19_Расчет_аналитики'!AB1571,WeightedMinAge19),MAX(CapacityAge19*'01_Вводные'!$B$218*'19_Расчет_аналитики'!AB1571,MeanMinAge19)))</f>
        <v/>
      </c>
      <c r="AC1494">
        <f>IF(OR('19_Расчет_аналитики'!AC1466=0,19&lt;='01_Вводные'!$B$297),0,'19_Расчет_аналитики'!AC1466*IF('01_Вводные'!$B$239="Да",MeanMinAge19+'19_Расчет_аналитики'!AC1571*SUMIF(ThresholdAge19,"&lt;"&amp;'19_Расчет_аналитики'!AC1571,WeightedRevAge19)-SUMIF(ThresholdAge19,"&lt;"&amp;'19_Расчет_аналитики'!AC1571,WeightedMinAge19),MAX(CapacityAge19*'01_Вводные'!$B$218*'19_Расчет_аналитики'!AC1571,MeanMinAge19)))</f>
        <v/>
      </c>
      <c r="AD1494">
        <f>IF(OR('19_Расчет_аналитики'!AD1466=0,19&lt;='01_Вводные'!$B$297),0,'19_Расчет_аналитики'!AD1466*IF('01_Вводные'!$B$239="Да",MeanMinAge19+'19_Расчет_аналитики'!AD1571*SUMIF(ThresholdAge19,"&lt;"&amp;'19_Расчет_аналитики'!AD1571,WeightedRevAge19)-SUMIF(ThresholdAge19,"&lt;"&amp;'19_Расчет_аналитики'!AD1571,WeightedMinAge19),MAX(CapacityAge19*'01_Вводные'!$B$218*'19_Расчет_аналитики'!AD1571,MeanMinAge19)))</f>
        <v/>
      </c>
      <c r="AE1494">
        <f>IF(OR('19_Расчет_аналитики'!AE1466=0,19&lt;='01_Вводные'!$B$297),0,'19_Расчет_аналитики'!AE1466*IF('01_Вводные'!$B$239="Да",MeanMinAge19+'19_Расчет_аналитики'!AE1571*SUMIF(ThresholdAge19,"&lt;"&amp;'19_Расчет_аналитики'!AE1571,WeightedRevAge19)-SUMIF(ThresholdAge19,"&lt;"&amp;'19_Расчет_аналитики'!AE1571,WeightedMinAge19),MAX(CapacityAge19*'01_Вводные'!$B$218*'19_Расчет_аналитики'!AE1571,MeanMinAge19)))</f>
        <v/>
      </c>
      <c r="AF1494">
        <f>IF(OR('19_Расчет_аналитики'!AF1466=0,19&lt;='01_Вводные'!$B$297),0,'19_Расчет_аналитики'!AF1466*IF('01_Вводные'!$B$239="Да",MeanMinAge19+'19_Расчет_аналитики'!AF1571*SUMIF(ThresholdAge19,"&lt;"&amp;'19_Расчет_аналитики'!AF1571,WeightedRevAge19)-SUMIF(ThresholdAge19,"&lt;"&amp;'19_Расчет_аналитики'!AF1571,WeightedMinAge19),MAX(CapacityAge19*'01_Вводные'!$B$218*'19_Расчет_аналитики'!AF1571,MeanMinAge19)))</f>
        <v/>
      </c>
      <c r="AG1494">
        <f>IF(OR('19_Расчет_аналитики'!AG1466=0,19&lt;='01_Вводные'!$B$297),0,'19_Расчет_аналитики'!AG1466*IF('01_Вводные'!$B$239="Да",MeanMinAge19+'19_Расчет_аналитики'!AG1571*SUMIF(ThresholdAge19,"&lt;"&amp;'19_Расчет_аналитики'!AG1571,WeightedRevAge19)-SUMIF(ThresholdAge19,"&lt;"&amp;'19_Расчет_аналитики'!AG1571,WeightedMinAge19),MAX(CapacityAge19*'01_Вводные'!$B$218*'19_Расчет_аналитики'!AG1571,MeanMinAge19)))</f>
        <v/>
      </c>
      <c r="AH1494">
        <f>IF(OR('19_Расчет_аналитики'!AH1466=0,19&lt;='01_Вводные'!$B$297),0,'19_Расчет_аналитики'!AH1466*IF('01_Вводные'!$B$239="Да",MeanMinAge19+'19_Расчет_аналитики'!AH1571*SUMIF(ThresholdAge19,"&lt;"&amp;'19_Расчет_аналитики'!AH1571,WeightedRevAge19)-SUMIF(ThresholdAge19,"&lt;"&amp;'19_Расчет_аналитики'!AH1571,WeightedMinAge19),MAX(CapacityAge19*'01_Вводные'!$B$218*'19_Расчет_аналитики'!AH1571,MeanMinAge19)))</f>
        <v/>
      </c>
      <c r="AI1494">
        <f>IF(OR('19_Расчет_аналитики'!AI1466=0,19&lt;='01_Вводные'!$B$297),0,'19_Расчет_аналитики'!AI1466*IF('01_Вводные'!$B$239="Да",MeanMinAge19+'19_Расчет_аналитики'!AI1571*SUMIF(ThresholdAge19,"&lt;"&amp;'19_Расчет_аналитики'!AI1571,WeightedRevAge19)-SUMIF(ThresholdAge19,"&lt;"&amp;'19_Расчет_аналитики'!AI1571,WeightedMinAge19),MAX(CapacityAge19*'01_Вводные'!$B$218*'19_Расчет_аналитики'!AI1571,MeanMinAge19)))</f>
        <v/>
      </c>
      <c r="AJ1494">
        <f>IF(OR('19_Расчет_аналитики'!AJ1466=0,19&lt;='01_Вводные'!$B$297),0,'19_Расчет_аналитики'!AJ1466*IF('01_Вводные'!$B$239="Да",MeanMinAge19+'19_Расчет_аналитики'!AJ1571*SUMIF(ThresholdAge19,"&lt;"&amp;'19_Расчет_аналитики'!AJ1571,WeightedRevAge19)-SUMIF(ThresholdAge19,"&lt;"&amp;'19_Расчет_аналитики'!AJ1571,WeightedMinAge19),MAX(CapacityAge19*'01_Вводные'!$B$218*'19_Расчет_аналитики'!AJ1571,MeanMinAge19)))</f>
        <v/>
      </c>
      <c r="AK1494">
        <f>IF(OR('19_Расчет_аналитики'!AK1466=0,19&lt;='01_Вводные'!$B$297),0,'19_Расчет_аналитики'!AK1466*IF('01_Вводные'!$B$239="Да",MeanMinAge19+'19_Расчет_аналитики'!AK1571*SUMIF(ThresholdAge19,"&lt;"&amp;'19_Расчет_аналитики'!AK1571,WeightedRevAge19)-SUMIF(ThresholdAge19,"&lt;"&amp;'19_Расчет_аналитики'!AK1571,WeightedMinAge19),MAX(CapacityAge19*'01_Вводные'!$B$218*'19_Расчет_аналитики'!AK1571,MeanMinAge19)))</f>
        <v/>
      </c>
      <c r="AL1494">
        <f>IF(OR('19_Расчет_аналитики'!AL1466=0,19&lt;='01_Вводные'!$B$297),0,'19_Расчет_аналитики'!AL1466*IF('01_Вводные'!$B$239="Да",MeanMinAge19+'19_Расчет_аналитики'!AL1571*SUMIF(ThresholdAge19,"&lt;"&amp;'19_Расчет_аналитики'!AL1571,WeightedRevAge19)-SUMIF(ThresholdAge19,"&lt;"&amp;'19_Расчет_аналитики'!AL1571,WeightedMinAge19),MAX(CapacityAge19*'01_Вводные'!$B$218*'19_Расчет_аналитики'!AL1571,MeanMinAge19)))</f>
        <v/>
      </c>
      <c r="AM1494">
        <f>IF(OR('19_Расчет_аналитики'!AM1466=0,19&lt;='01_Вводные'!$B$297),0,'19_Расчет_аналитики'!AM1466*IF('01_Вводные'!$B$239="Да",MeanMinAge19+'19_Расчет_аналитики'!AM1571*SUMIF(ThresholdAge19,"&lt;"&amp;'19_Расчет_аналитики'!AM1571,WeightedRevAge19)-SUMIF(ThresholdAge19,"&lt;"&amp;'19_Расчет_аналитики'!AM1571,WeightedMinAge19),MAX(CapacityAge19*'01_Вводные'!$B$218*'19_Расчет_аналитики'!AM1571,MeanMinAge19)))</f>
        <v/>
      </c>
      <c r="AN1494">
        <f>IF(OR('19_Расчет_аналитики'!AN1466=0,19&lt;='01_Вводные'!$B$297),0,'19_Расчет_аналитики'!AN1466*IF('01_Вводные'!$B$239="Да",MeanMinAge19+'19_Расчет_аналитики'!AN1571*SUMIF(ThresholdAge19,"&lt;"&amp;'19_Расчет_аналитики'!AN1571,WeightedRevAge19)-SUMIF(ThresholdAge19,"&lt;"&amp;'19_Расчет_аналитики'!AN1571,WeightedMinAge19),MAX(CapacityAge19*'01_Вводные'!$B$218*'19_Расчет_аналитики'!AN1571,MeanMinAge19)))</f>
        <v/>
      </c>
      <c r="AO1494">
        <f>IF(OR('19_Расчет_аналитики'!AO1466=0,19&lt;='01_Вводные'!$B$297),0,'19_Расчет_аналитики'!AO1466*IF('01_Вводные'!$B$239="Да",MeanMinAge19+'19_Расчет_аналитики'!AO1571*SUMIF(ThresholdAge19,"&lt;"&amp;'19_Расчет_аналитики'!AO1571,WeightedRevAge19)-SUMIF(ThresholdAge19,"&lt;"&amp;'19_Расчет_аналитики'!AO1571,WeightedMinAge19),MAX(CapacityAge19*'01_Вводные'!$B$218*'19_Расчет_аналитики'!AO1571,MeanMinAge19)))</f>
        <v/>
      </c>
      <c r="AP1494">
        <f>IF(OR('19_Расчет_аналитики'!AP1466=0,19&lt;='01_Вводные'!$B$297),0,'19_Расчет_аналитики'!AP1466*IF('01_Вводные'!$B$239="Да",MeanMinAge19+'19_Расчет_аналитики'!AP1571*SUMIF(ThresholdAge19,"&lt;"&amp;'19_Расчет_аналитики'!AP1571,WeightedRevAge19)-SUMIF(ThresholdAge19,"&lt;"&amp;'19_Расчет_аналитики'!AP1571,WeightedMinAge19),MAX(CapacityAge19*'01_Вводные'!$B$218*'19_Расчет_аналитики'!AP1571,MeanMinAge19)))</f>
        <v/>
      </c>
      <c r="AQ1494">
        <f>IF(OR('19_Расчет_аналитики'!AQ1466=0,19&lt;='01_Вводные'!$B$297),0,'19_Расчет_аналитики'!AQ1466*IF('01_Вводные'!$B$239="Да",MeanMinAge19+'19_Расчет_аналитики'!AQ1571*SUMIF(ThresholdAge19,"&lt;"&amp;'19_Расчет_аналитики'!AQ1571,WeightedRevAge19)-SUMIF(ThresholdAge19,"&lt;"&amp;'19_Расчет_аналитики'!AQ1571,WeightedMinAge19),MAX(CapacityAge19*'01_Вводные'!$B$218*'19_Расчет_аналитики'!AQ1571,MeanMinAge19)))</f>
        <v/>
      </c>
      <c r="AR1494">
        <f>IF(OR('19_Расчет_аналитики'!AR1466=0,19&lt;='01_Вводные'!$B$297),0,'19_Расчет_аналитики'!AR1466*IF('01_Вводные'!$B$239="Да",MeanMinAge19+'19_Расчет_аналитики'!AR1571*SUMIF(ThresholdAge19,"&lt;"&amp;'19_Расчет_аналитики'!AR1571,WeightedRevAge19)-SUMIF(ThresholdAge19,"&lt;"&amp;'19_Расчет_аналитики'!AR1571,WeightedMinAge19),MAX(CapacityAge19*'01_Вводные'!$B$218*'19_Расчет_аналитики'!AR1571,MeanMinAge19)))</f>
        <v/>
      </c>
      <c r="AS1494">
        <f>IF(OR('19_Расчет_аналитики'!AS1466=0,19&lt;='01_Вводные'!$B$297),0,'19_Расчет_аналитики'!AS1466*IF('01_Вводные'!$B$239="Да",MeanMinAge19+'19_Расчет_аналитики'!AS1571*SUMIF(ThresholdAge19,"&lt;"&amp;'19_Расчет_аналитики'!AS1571,WeightedRevAge19)-SUMIF(ThresholdAge19,"&lt;"&amp;'19_Расчет_аналитики'!AS1571,WeightedMinAge19),MAX(CapacityAge19*'01_Вводные'!$B$218*'19_Расчет_аналитики'!AS1571,MeanMinAge19)))</f>
        <v/>
      </c>
      <c r="AT1494">
        <f>IF(OR('19_Расчет_аналитики'!AT1466=0,19&lt;='01_Вводные'!$B$297),0,'19_Расчет_аналитики'!AT1466*IF('01_Вводные'!$B$239="Да",MeanMinAge19+'19_Расчет_аналитики'!AT1571*SUMIF(ThresholdAge19,"&lt;"&amp;'19_Расчет_аналитики'!AT1571,WeightedRevAge19)-SUMIF(ThresholdAge19,"&lt;"&amp;'19_Расчет_аналитики'!AT1571,WeightedMinAge19),MAX(CapacityAge19*'01_Вводные'!$B$218*'19_Расчет_аналитики'!AT1571,MeanMinAge19)))</f>
        <v/>
      </c>
      <c r="AU1494">
        <f>IF(OR('19_Расчет_аналитики'!AU1466=0,19&lt;='01_Вводные'!$B$297),0,'19_Расчет_аналитики'!AU1466*IF('01_Вводные'!$B$239="Да",MeanMinAge19+'19_Расчет_аналитики'!AU1571*SUMIF(ThresholdAge19,"&lt;"&amp;'19_Расчет_аналитики'!AU1571,WeightedRevAge19)-SUMIF(ThresholdAge19,"&lt;"&amp;'19_Расчет_аналитики'!AU1571,WeightedMinAge19),MAX(CapacityAge19*'01_Вводные'!$B$218*'19_Расчет_аналитики'!AU1571,MeanMinAge19)))</f>
        <v/>
      </c>
      <c r="AV1494">
        <f>IF(OR('19_Расчет_аналитики'!AV1466=0,19&lt;='01_Вводные'!$B$297),0,'19_Расчет_аналитики'!AV1466*IF('01_Вводные'!$B$239="Да",MeanMinAge19+'19_Расчет_аналитики'!AV1571*SUMIF(ThresholdAge19,"&lt;"&amp;'19_Расчет_аналитики'!AV1571,WeightedRevAge19)-SUMIF(ThresholdAge19,"&lt;"&amp;'19_Расчет_аналитики'!AV1571,WeightedMinAge19),MAX(CapacityAge19*'01_Вводные'!$B$218*'19_Расчет_аналитики'!AV1571,MeanMinAge19)))</f>
        <v/>
      </c>
      <c r="AW1494">
        <f>IF(OR('19_Расчет_аналитики'!AW1466=0,19&lt;='01_Вводные'!$B$297),0,'19_Расчет_аналитики'!AW1466*IF('01_Вводные'!$B$239="Да",MeanMinAge19+'19_Расчет_аналитики'!AW1571*SUMIF(ThresholdAge19,"&lt;"&amp;'19_Расчет_аналитики'!AW1571,WeightedRevAge19)-SUMIF(ThresholdAge19,"&lt;"&amp;'19_Расчет_аналитики'!AW1571,WeightedMinAge19),MAX(CapacityAge19*'01_Вводные'!$B$218*'19_Расчет_аналитики'!AW1571,MeanMinAge19)))</f>
        <v/>
      </c>
      <c r="AX1494">
        <f>IF(OR('19_Расчет_аналитики'!AX1466=0,19&lt;='01_Вводные'!$B$297),0,'19_Расчет_аналитики'!AX1466*IF('01_Вводные'!$B$239="Да",MeanMinAge19+'19_Расчет_аналитики'!AX1571*SUMIF(ThresholdAge19,"&lt;"&amp;'19_Расчет_аналитики'!AX1571,WeightedRevAge19)-SUMIF(ThresholdAge19,"&lt;"&amp;'19_Расчет_аналитики'!AX1571,WeightedMinAge19),MAX(CapacityAge19*'01_Вводные'!$B$218*'19_Расчет_аналитики'!AX1571,MeanMinAge19)))</f>
        <v/>
      </c>
      <c r="AY1494">
        <f>IF(OR('19_Расчет_аналитики'!AY1466=0,19&lt;='01_Вводные'!$B$297),0,'19_Расчет_аналитики'!AY1466*IF('01_Вводные'!$B$239="Да",MeanMinAge19+'19_Расчет_аналитики'!AY1571*SUMIF(ThresholdAge19,"&lt;"&amp;'19_Расчет_аналитики'!AY1571,WeightedRevAge19)-SUMIF(ThresholdAge19,"&lt;"&amp;'19_Расчет_аналитики'!AY1571,WeightedMinAge19),MAX(CapacityAge19*'01_Вводные'!$B$218*'19_Расчет_аналитики'!AY1571,MeanMinAge19)))</f>
        <v/>
      </c>
      <c r="AZ1494">
        <f>IF(OR('19_Расчет_аналитики'!AZ1466=0,19&lt;='01_Вводные'!$B$297),0,'19_Расчет_аналитики'!AZ1466*IF('01_Вводные'!$B$239="Да",MeanMinAge19+'19_Расчет_аналитики'!AZ1571*SUMIF(ThresholdAge19,"&lt;"&amp;'19_Расчет_аналитики'!AZ1571,WeightedRevAge19)-SUMIF(ThresholdAge19,"&lt;"&amp;'19_Расчет_аналитики'!AZ1571,WeightedMinAge19),MAX(CapacityAge19*'01_Вводные'!$B$218*'19_Расчет_аналитики'!AZ1571,MeanMinAge19)))</f>
        <v/>
      </c>
      <c r="BA1494">
        <f>IF(OR('19_Расчет_аналитики'!BA1466=0,19&lt;='01_Вводные'!$B$297),0,'19_Расчет_аналитики'!BA1466*IF('01_Вводные'!$B$239="Да",MeanMinAge19+'19_Расчет_аналитики'!BA1571*SUMIF(ThresholdAge19,"&lt;"&amp;'19_Расчет_аналитики'!BA1571,WeightedRevAge19)-SUMIF(ThresholdAge19,"&lt;"&amp;'19_Расчет_аналитики'!BA1571,WeightedMinAge19),MAX(CapacityAge19*'01_Вводные'!$B$218*'19_Расчет_аналитики'!BA1571,MeanMinAge19)))</f>
        <v/>
      </c>
      <c r="BB1494">
        <f>IF(OR('19_Расчет_аналитики'!BB1466=0,19&lt;='01_Вводные'!$B$297),0,'19_Расчет_аналитики'!BB1466*IF('01_Вводные'!$B$239="Да",MeanMinAge19+'19_Расчет_аналитики'!BB1571*SUMIF(ThresholdAge19,"&lt;"&amp;'19_Расчет_аналитики'!BB1571,WeightedRevAge19)-SUMIF(ThresholdAge19,"&lt;"&amp;'19_Расчет_аналитики'!BB1571,WeightedMinAge19),MAX(CapacityAge19*'01_Вводные'!$B$218*'19_Расчет_аналитики'!BB1571,MeanMinAge19)))</f>
        <v/>
      </c>
      <c r="BC1494">
        <f>IF(OR('19_Расчет_аналитики'!BC1466=0,19&lt;='01_Вводные'!$B$297),0,'19_Расчет_аналитики'!BC1466*IF('01_Вводные'!$B$239="Да",MeanMinAge19+'19_Расчет_аналитики'!BC1571*SUMIF(ThresholdAge19,"&lt;"&amp;'19_Расчет_аналитики'!BC1571,WeightedRevAge19)-SUMIF(ThresholdAge19,"&lt;"&amp;'19_Расчет_аналитики'!BC1571,WeightedMinAge19),MAX(CapacityAge19*'01_Вводные'!$B$218*'19_Расчет_аналитики'!BC1571,MeanMinAge19)))</f>
        <v/>
      </c>
      <c r="BD1494">
        <f>IF(OR('19_Расчет_аналитики'!BD1466=0,19&lt;='01_Вводные'!$B$297),0,'19_Расчет_аналитики'!BD1466*IF('01_Вводные'!$B$239="Да",MeanMinAge19+'19_Расчет_аналитики'!BD1571*SUMIF(ThresholdAge19,"&lt;"&amp;'19_Расчет_аналитики'!BD1571,WeightedRevAge19)-SUMIF(ThresholdAge19,"&lt;"&amp;'19_Расчет_аналитики'!BD1571,WeightedMinAge19),MAX(CapacityAge19*'01_Вводные'!$B$218*'19_Расчет_аналитики'!BD1571,MeanMinAge19)))</f>
        <v/>
      </c>
      <c r="BE1494">
        <f>IF(OR('19_Расчет_аналитики'!BE1466=0,19&lt;='01_Вводные'!$B$297),0,'19_Расчет_аналитики'!BE1466*IF('01_Вводные'!$B$239="Да",MeanMinAge19+'19_Расчет_аналитики'!BE1571*SUMIF(ThresholdAge19,"&lt;"&amp;'19_Расчет_аналитики'!BE1571,WeightedRevAge19)-SUMIF(ThresholdAge19,"&lt;"&amp;'19_Расчет_аналитики'!BE1571,WeightedMinAge19),MAX(CapacityAge19*'01_Вводные'!$B$218*'19_Расчет_аналитики'!BE1571,MeanMinAge19)))</f>
        <v/>
      </c>
      <c r="BF1494">
        <f>IF(OR('19_Расчет_аналитики'!BF1466=0,19&lt;='01_Вводные'!$B$297),0,'19_Расчет_аналитики'!BF1466*IF('01_Вводные'!$B$239="Да",MeanMinAge19+'19_Расчет_аналитики'!BF1571*SUMIF(ThresholdAge19,"&lt;"&amp;'19_Расчет_аналитики'!BF1571,WeightedRevAge19)-SUMIF(ThresholdAge19,"&lt;"&amp;'19_Расчет_аналитики'!BF1571,WeightedMinAge19),MAX(CapacityAge19*'01_Вводные'!$B$218*'19_Расчет_аналитики'!BF1571,MeanMinAge19)))</f>
        <v/>
      </c>
      <c r="BG1494">
        <f>IF(OR('19_Расчет_аналитики'!BG1466=0,19&lt;='01_Вводные'!$B$297),0,'19_Расчет_аналитики'!BG1466*IF('01_Вводные'!$B$239="Да",MeanMinAge19+'19_Расчет_аналитики'!BG1571*SUMIF(ThresholdAge19,"&lt;"&amp;'19_Расчет_аналитики'!BG1571,WeightedRevAge19)-SUMIF(ThresholdAge19,"&lt;"&amp;'19_Расчет_аналитики'!BG1571,WeightedMinAge19),MAX(CapacityAge19*'01_Вводные'!$B$218*'19_Расчет_аналитики'!BG1571,MeanMinAge19)))</f>
        <v/>
      </c>
      <c r="BH1494">
        <f>IF(OR('19_Расчет_аналитики'!BH1466=0,19&lt;='01_Вводные'!$B$297),0,'19_Расчет_аналитики'!BH1466*IF('01_Вводные'!$B$239="Да",MeanMinAge19+'19_Расчет_аналитики'!BH1571*SUMIF(ThresholdAge19,"&lt;"&amp;'19_Расчет_аналитики'!BH1571,WeightedRevAge19)-SUMIF(ThresholdAge19,"&lt;"&amp;'19_Расчет_аналитики'!BH1571,WeightedMinAge19),MAX(CapacityAge19*'01_Вводные'!$B$218*'19_Расчет_аналитики'!BH1571,MeanMinAge19)))</f>
        <v/>
      </c>
      <c r="BI1494">
        <f>IF(OR('19_Расчет_аналитики'!BI1466=0,19&lt;='01_Вводные'!$B$297),0,'19_Расчет_аналитики'!BI1466*IF('01_Вводные'!$B$239="Да",MeanMinAge19+'19_Расчет_аналитики'!BI1571*SUMIF(ThresholdAge19,"&lt;"&amp;'19_Расчет_аналитики'!BI1571,WeightedRevAge19)-SUMIF(ThresholdAge19,"&lt;"&amp;'19_Расчет_аналитики'!BI1571,WeightedMinAge19),MAX(CapacityAge19*'01_Вводные'!$B$218*'19_Расчет_аналитики'!BI1571,MeanMinAge19)))</f>
        <v/>
      </c>
      <c r="BJ1494">
        <f>IF(OR('19_Расчет_аналитики'!BJ1466=0,19&lt;='01_Вводные'!$B$297),0,'19_Расчет_аналитики'!BJ1466*IF('01_Вводные'!$B$239="Да",MeanMinAge19+'19_Расчет_аналитики'!BJ1571*SUMIF(ThresholdAge19,"&lt;"&amp;'19_Расчет_аналитики'!BJ1571,WeightedRevAge19)-SUMIF(ThresholdAge19,"&lt;"&amp;'19_Расчет_аналитики'!BJ1571,WeightedMinAge19),MAX(CapacityAge19*'01_Вводные'!$B$218*'19_Расчет_аналитики'!BJ1571,MeanMinAge19)))</f>
        <v/>
      </c>
      <c r="BK1494">
        <f>IF(OR('19_Расчет_аналитики'!BK1466=0,19&lt;='01_Вводные'!$B$297),0,'19_Расчет_аналитики'!BK1466*IF('01_Вводные'!$B$239="Да",MeanMinAge19+'19_Расчет_аналитики'!BK1571*SUMIF(ThresholdAge19,"&lt;"&amp;'19_Расчет_аналитики'!BK1571,WeightedRevAge19)-SUMIF(ThresholdAge19,"&lt;"&amp;'19_Расчет_аналитики'!BK1571,WeightedMinAge19),MAX(CapacityAge19*'01_Вводные'!$B$218*'19_Расчет_аналитики'!BK1571,MeanMinAge19)))</f>
        <v/>
      </c>
      <c r="BL1494">
        <f>IF(OR('19_Расчет_аналитики'!BL1466=0,19&lt;='01_Вводные'!$B$297),0,'19_Расчет_аналитики'!BL1466*IF('01_Вводные'!$B$239="Да",MeanMinAge19+'19_Расчет_аналитики'!BL1571*SUMIF(ThresholdAge19,"&lt;"&amp;'19_Расчет_аналитики'!BL1571,WeightedRevAge19)-SUMIF(ThresholdAge19,"&lt;"&amp;'19_Расчет_аналитики'!BL1571,WeightedMinAge19),MAX(CapacityAge19*'01_Вводные'!$B$218*'19_Расчет_аналитики'!BL1571,MeanMinAge19)))</f>
        <v/>
      </c>
      <c r="BM1494">
        <f>IF(OR('19_Расчет_аналитики'!BM1466=0,19&lt;='01_Вводные'!$B$297),0,'19_Расчет_аналитики'!BM1466*IF('01_Вводные'!$B$239="Да",MeanMinAge19+'19_Расчет_аналитики'!BM1571*SUMIF(ThresholdAge19,"&lt;"&amp;'19_Расчет_аналитики'!BM1571,WeightedRevAge19)-SUMIF(ThresholdAge19,"&lt;"&amp;'19_Расчет_аналитики'!BM1571,WeightedMinAge19),MAX(CapacityAge19*'01_Вводные'!$B$218*'19_Расчет_аналитики'!BM1571,MeanMinAge19)))</f>
        <v/>
      </c>
      <c r="BN1494">
        <f>IF(OR('19_Расчет_аналитики'!BN1466=0,19&lt;='01_Вводные'!$B$297),0,'19_Расчет_аналитики'!BN1466*IF('01_Вводные'!$B$239="Да",MeanMinAge19+'19_Расчет_аналитики'!BN1571*SUMIF(ThresholdAge19,"&lt;"&amp;'19_Расчет_аналитики'!BN1571,WeightedRevAge19)-SUMIF(ThresholdAge19,"&lt;"&amp;'19_Расчет_аналитики'!BN1571,WeightedMinAge19),MAX(CapacityAge19*'01_Вводные'!$B$218*'19_Расчет_аналитики'!BN1571,MeanMinAge19)))</f>
        <v/>
      </c>
      <c r="BO1494">
        <f>IF(OR('19_Расчет_аналитики'!BO1466=0,19&lt;='01_Вводные'!$B$297),0,'19_Расчет_аналитики'!BO1466*IF('01_Вводные'!$B$239="Да",MeanMinAge19+'19_Расчет_аналитики'!BO1571*SUMIF(ThresholdAge19,"&lt;"&amp;'19_Расчет_аналитики'!BO1571,WeightedRevAge19)-SUMIF(ThresholdAge19,"&lt;"&amp;'19_Расчет_аналитики'!BO1571,WeightedMinAge19),MAX(CapacityAge19*'01_Вводные'!$B$218*'19_Расчет_аналитики'!BO1571,MeanMinAge19)))</f>
        <v/>
      </c>
    </row>
    <row r="1495">
      <c r="B1495">
        <f>IF(OR('06_Сеть_и_дети'!B100=0,20&lt;='01_Вводные'!$B$297),0,'06_Сеть_и_дети'!B100*IF('01_Вводные'!$B$239="Да",MeanMinAge20+'19_Расчет_аналитики'!B1571*SUMIF(ThresholdAge20,"&lt;"&amp;'19_Расчет_аналитики'!B1571,WeightedRevAge20)-SUMIF(ThresholdAge20,"&lt;"&amp;'19_Расчет_аналитики'!B1571,WeightedMinAge20),MAX(CapacityAge20*'01_Вводные'!$B$218*'19_Расчет_аналитики'!B1571,MeanMinAge20)))</f>
        <v/>
      </c>
      <c r="C1495">
        <f>IF(OR('06_Сеть_и_дети'!C100=0,20&lt;='01_Вводные'!$B$297),0,'06_Сеть_и_дети'!C100*IF('01_Вводные'!$B$239="Да",MeanMinAge20+'19_Расчет_аналитики'!C1571*SUMIF(ThresholdAge20,"&lt;"&amp;'19_Расчет_аналитики'!C1571,WeightedRevAge20)-SUMIF(ThresholdAge20,"&lt;"&amp;'19_Расчет_аналитики'!C1571,WeightedMinAge20),MAX(CapacityAge20*'01_Вводные'!$B$218*'19_Расчет_аналитики'!C1571,MeanMinAge20)))</f>
        <v/>
      </c>
      <c r="D1495">
        <f>IF(OR('06_Сеть_и_дети'!D100=0,20&lt;='01_Вводные'!$B$297),0,'06_Сеть_и_дети'!D100*IF('01_Вводные'!$B$239="Да",MeanMinAge20+'19_Расчет_аналитики'!D1571*SUMIF(ThresholdAge20,"&lt;"&amp;'19_Расчет_аналитики'!D1571,WeightedRevAge20)-SUMIF(ThresholdAge20,"&lt;"&amp;'19_Расчет_аналитики'!D1571,WeightedMinAge20),MAX(CapacityAge20*'01_Вводные'!$B$218*'19_Расчет_аналитики'!D1571,MeanMinAge20)))</f>
        <v/>
      </c>
      <c r="E1495">
        <f>IF(OR('06_Сеть_и_дети'!E100=0,20&lt;='01_Вводные'!$B$297),0,'06_Сеть_и_дети'!E100*IF('01_Вводные'!$B$239="Да",MeanMinAge20+'19_Расчет_аналитики'!E1571*SUMIF(ThresholdAge20,"&lt;"&amp;'19_Расчет_аналитики'!E1571,WeightedRevAge20)-SUMIF(ThresholdAge20,"&lt;"&amp;'19_Расчет_аналитики'!E1571,WeightedMinAge20),MAX(CapacityAge20*'01_Вводные'!$B$218*'19_Расчет_аналитики'!E1571,MeanMinAge20)))</f>
        <v/>
      </c>
      <c r="F1495">
        <f>IF(OR('06_Сеть_и_дети'!F100=0,20&lt;='01_Вводные'!$B$297),0,'06_Сеть_и_дети'!F100*IF('01_Вводные'!$B$239="Да",MeanMinAge20+'19_Расчет_аналитики'!F1571*SUMIF(ThresholdAge20,"&lt;"&amp;'19_Расчет_аналитики'!F1571,WeightedRevAge20)-SUMIF(ThresholdAge20,"&lt;"&amp;'19_Расчет_аналитики'!F1571,WeightedMinAge20),MAX(CapacityAge20*'01_Вводные'!$B$218*'19_Расчет_аналитики'!F1571,MeanMinAge20)))</f>
        <v/>
      </c>
      <c r="G1495">
        <f>IF(OR('06_Сеть_и_дети'!G100=0,20&lt;='01_Вводные'!$B$297),0,'06_Сеть_и_дети'!G100*IF('01_Вводные'!$B$239="Да",MeanMinAge20+'19_Расчет_аналитики'!G1571*SUMIF(ThresholdAge20,"&lt;"&amp;'19_Расчет_аналитики'!G1571,WeightedRevAge20)-SUMIF(ThresholdAge20,"&lt;"&amp;'19_Расчет_аналитики'!G1571,WeightedMinAge20),MAX(CapacityAge20*'01_Вводные'!$B$218*'19_Расчет_аналитики'!G1571,MeanMinAge20)))</f>
        <v/>
      </c>
      <c r="H1495">
        <f>IF(OR('06_Сеть_и_дети'!H100=0,20&lt;='01_Вводные'!$B$297),0,'06_Сеть_и_дети'!H100*IF('01_Вводные'!$B$239="Да",MeanMinAge20+'19_Расчет_аналитики'!H1571*SUMIF(ThresholdAge20,"&lt;"&amp;'19_Расчет_аналитики'!H1571,WeightedRevAge20)-SUMIF(ThresholdAge20,"&lt;"&amp;'19_Расчет_аналитики'!H1571,WeightedMinAge20),MAX(CapacityAge20*'01_Вводные'!$B$218*'19_Расчет_аналитики'!H1571,MeanMinAge20)))</f>
        <v/>
      </c>
      <c r="I1495">
        <f>IF(OR('06_Сеть_и_дети'!I100=0,20&lt;='01_Вводные'!$B$297),0,'06_Сеть_и_дети'!I100*IF('01_Вводные'!$B$239="Да",MeanMinAge20+'19_Расчет_аналитики'!I1571*SUMIF(ThresholdAge20,"&lt;"&amp;'19_Расчет_аналитики'!I1571,WeightedRevAge20)-SUMIF(ThresholdAge20,"&lt;"&amp;'19_Расчет_аналитики'!I1571,WeightedMinAge20),MAX(CapacityAge20*'01_Вводные'!$B$218*'19_Расчет_аналитики'!I1571,MeanMinAge20)))</f>
        <v/>
      </c>
      <c r="J1495">
        <f>IF(OR('06_Сеть_и_дети'!J100=0,20&lt;='01_Вводные'!$B$297),0,'06_Сеть_и_дети'!J100*IF('01_Вводные'!$B$239="Да",MeanMinAge20+'19_Расчет_аналитики'!J1571*SUMIF(ThresholdAge20,"&lt;"&amp;'19_Расчет_аналитики'!J1571,WeightedRevAge20)-SUMIF(ThresholdAge20,"&lt;"&amp;'19_Расчет_аналитики'!J1571,WeightedMinAge20),MAX(CapacityAge20*'01_Вводные'!$B$218*'19_Расчет_аналитики'!J1571,MeanMinAge20)))</f>
        <v/>
      </c>
      <c r="K1495">
        <f>IF(OR('06_Сеть_и_дети'!K100=0,20&lt;='01_Вводные'!$B$297),0,'06_Сеть_и_дети'!K100*IF('01_Вводные'!$B$239="Да",MeanMinAge20+'19_Расчет_аналитики'!K1571*SUMIF(ThresholdAge20,"&lt;"&amp;'19_Расчет_аналитики'!K1571,WeightedRevAge20)-SUMIF(ThresholdAge20,"&lt;"&amp;'19_Расчет_аналитики'!K1571,WeightedMinAge20),MAX(CapacityAge20*'01_Вводные'!$B$218*'19_Расчет_аналитики'!K1571,MeanMinAge20)))</f>
        <v/>
      </c>
      <c r="L1495">
        <f>IF(OR('06_Сеть_и_дети'!L100=0,20&lt;='01_Вводные'!$B$297),0,'06_Сеть_и_дети'!L100*IF('01_Вводные'!$B$239="Да",MeanMinAge20+'19_Расчет_аналитики'!L1571*SUMIF(ThresholdAge20,"&lt;"&amp;'19_Расчет_аналитики'!L1571,WeightedRevAge20)-SUMIF(ThresholdAge20,"&lt;"&amp;'19_Расчет_аналитики'!L1571,WeightedMinAge20),MAX(CapacityAge20*'01_Вводные'!$B$218*'19_Расчет_аналитики'!L1571,MeanMinAge20)))</f>
        <v/>
      </c>
      <c r="M1495">
        <f>IF(OR('06_Сеть_и_дети'!M100=0,20&lt;='01_Вводные'!$B$297),0,'06_Сеть_и_дети'!M100*IF('01_Вводные'!$B$239="Да",MeanMinAge20+'19_Расчет_аналитики'!M1571*SUMIF(ThresholdAge20,"&lt;"&amp;'19_Расчет_аналитики'!M1571,WeightedRevAge20)-SUMIF(ThresholdAge20,"&lt;"&amp;'19_Расчет_аналитики'!M1571,WeightedMinAge20),MAX(CapacityAge20*'01_Вводные'!$B$218*'19_Расчет_аналитики'!M1571,MeanMinAge20)))</f>
        <v/>
      </c>
      <c r="N1495">
        <f>IF(OR('06_Сеть_и_дети'!N100=0,20&lt;='01_Вводные'!$B$297),0,'06_Сеть_и_дети'!N100*IF('01_Вводные'!$B$239="Да",MeanMinAge20+'19_Расчет_аналитики'!N1571*SUMIF(ThresholdAge20,"&lt;"&amp;'19_Расчет_аналитики'!N1571,WeightedRevAge20)-SUMIF(ThresholdAge20,"&lt;"&amp;'19_Расчет_аналитики'!N1571,WeightedMinAge20),MAX(CapacityAge20*'01_Вводные'!$B$218*'19_Расчет_аналитики'!N1571,MeanMinAge20)))</f>
        <v/>
      </c>
      <c r="O1495">
        <f>IF(OR('06_Сеть_и_дети'!O100=0,20&lt;='01_Вводные'!$B$297),0,'06_Сеть_и_дети'!O100*IF('01_Вводные'!$B$239="Да",MeanMinAge20+'19_Расчет_аналитики'!O1571*SUMIF(ThresholdAge20,"&lt;"&amp;'19_Расчет_аналитики'!O1571,WeightedRevAge20)-SUMIF(ThresholdAge20,"&lt;"&amp;'19_Расчет_аналитики'!O1571,WeightedMinAge20),MAX(CapacityAge20*'01_Вводные'!$B$218*'19_Расчет_аналитики'!O1571,MeanMinAge20)))</f>
        <v/>
      </c>
      <c r="P1495">
        <f>IF(OR('06_Сеть_и_дети'!P100=0,20&lt;='01_Вводные'!$B$297),0,'06_Сеть_и_дети'!P100*IF('01_Вводные'!$B$239="Да",MeanMinAge20+'19_Расчет_аналитики'!P1571*SUMIF(ThresholdAge20,"&lt;"&amp;'19_Расчет_аналитики'!P1571,WeightedRevAge20)-SUMIF(ThresholdAge20,"&lt;"&amp;'19_Расчет_аналитики'!P1571,WeightedMinAge20),MAX(CapacityAge20*'01_Вводные'!$B$218*'19_Расчет_аналитики'!P1571,MeanMinAge20)))</f>
        <v/>
      </c>
      <c r="Q1495">
        <f>IF(OR('06_Сеть_и_дети'!Q100=0,20&lt;='01_Вводные'!$B$297),0,'06_Сеть_и_дети'!Q100*IF('01_Вводные'!$B$239="Да",MeanMinAge20+'19_Расчет_аналитики'!Q1571*SUMIF(ThresholdAge20,"&lt;"&amp;'19_Расчет_аналитики'!Q1571,WeightedRevAge20)-SUMIF(ThresholdAge20,"&lt;"&amp;'19_Расчет_аналитики'!Q1571,WeightedMinAge20),MAX(CapacityAge20*'01_Вводные'!$B$218*'19_Расчет_аналитики'!Q1571,MeanMinAge20)))</f>
        <v/>
      </c>
      <c r="R1495">
        <f>IF(OR('06_Сеть_и_дети'!R100=0,20&lt;='01_Вводные'!$B$297),0,'06_Сеть_и_дети'!R100*IF('01_Вводные'!$B$239="Да",MeanMinAge20+'19_Расчет_аналитики'!R1571*SUMIF(ThresholdAge20,"&lt;"&amp;'19_Расчет_аналитики'!R1571,WeightedRevAge20)-SUMIF(ThresholdAge20,"&lt;"&amp;'19_Расчет_аналитики'!R1571,WeightedMinAge20),MAX(CapacityAge20*'01_Вводные'!$B$218*'19_Расчет_аналитики'!R1571,MeanMinAge20)))</f>
        <v/>
      </c>
      <c r="S1495">
        <f>IF(OR('06_Сеть_и_дети'!S100=0,20&lt;='01_Вводные'!$B$297),0,'06_Сеть_и_дети'!S100*IF('01_Вводные'!$B$239="Да",MeanMinAge20+'19_Расчет_аналитики'!S1571*SUMIF(ThresholdAge20,"&lt;"&amp;'19_Расчет_аналитики'!S1571,WeightedRevAge20)-SUMIF(ThresholdAge20,"&lt;"&amp;'19_Расчет_аналитики'!S1571,WeightedMinAge20),MAX(CapacityAge20*'01_Вводные'!$B$218*'19_Расчет_аналитики'!S1571,MeanMinAge20)))</f>
        <v/>
      </c>
      <c r="T1495">
        <f>IF(OR('06_Сеть_и_дети'!T100=0,20&lt;='01_Вводные'!$B$297),0,'06_Сеть_и_дети'!T100*IF('01_Вводные'!$B$239="Да",MeanMinAge20+'19_Расчет_аналитики'!T1571*SUMIF(ThresholdAge20,"&lt;"&amp;'19_Расчет_аналитики'!T1571,WeightedRevAge20)-SUMIF(ThresholdAge20,"&lt;"&amp;'19_Расчет_аналитики'!T1571,WeightedMinAge20),MAX(CapacityAge20*'01_Вводные'!$B$218*'19_Расчет_аналитики'!T1571,MeanMinAge20)))</f>
        <v/>
      </c>
      <c r="U1495">
        <f>IF(OR('19_Расчет_аналитики'!U1467=0,20&lt;='01_Вводные'!$B$297),0,'19_Расчет_аналитики'!U1467*IF('01_Вводные'!$B$239="Да",MeanMinAge20+'19_Расчет_аналитики'!U1571*SUMIF(ThresholdAge20,"&lt;"&amp;'19_Расчет_аналитики'!U1571,WeightedRevAge20)-SUMIF(ThresholdAge20,"&lt;"&amp;'19_Расчет_аналитики'!U1571,WeightedMinAge20),MAX(CapacityAge20*'01_Вводные'!$B$218*'19_Расчет_аналитики'!U1571,MeanMinAge20)))</f>
        <v/>
      </c>
      <c r="V1495">
        <f>IF(OR('19_Расчет_аналитики'!V1467=0,20&lt;='01_Вводные'!$B$297),0,'19_Расчет_аналитики'!V1467*IF('01_Вводные'!$B$239="Да",MeanMinAge20+'19_Расчет_аналитики'!V1571*SUMIF(ThresholdAge20,"&lt;"&amp;'19_Расчет_аналитики'!V1571,WeightedRevAge20)-SUMIF(ThresholdAge20,"&lt;"&amp;'19_Расчет_аналитики'!V1571,WeightedMinAge20),MAX(CapacityAge20*'01_Вводные'!$B$218*'19_Расчет_аналитики'!V1571,MeanMinAge20)))</f>
        <v/>
      </c>
      <c r="W1495">
        <f>IF(OR('19_Расчет_аналитики'!W1467=0,20&lt;='01_Вводные'!$B$297),0,'19_Расчет_аналитики'!W1467*IF('01_Вводные'!$B$239="Да",MeanMinAge20+'19_Расчет_аналитики'!W1571*SUMIF(ThresholdAge20,"&lt;"&amp;'19_Расчет_аналитики'!W1571,WeightedRevAge20)-SUMIF(ThresholdAge20,"&lt;"&amp;'19_Расчет_аналитики'!W1571,WeightedMinAge20),MAX(CapacityAge20*'01_Вводные'!$B$218*'19_Расчет_аналитики'!W1571,MeanMinAge20)))</f>
        <v/>
      </c>
      <c r="X1495">
        <f>IF(OR('19_Расчет_аналитики'!X1467=0,20&lt;='01_Вводные'!$B$297),0,'19_Расчет_аналитики'!X1467*IF('01_Вводные'!$B$239="Да",MeanMinAge20+'19_Расчет_аналитики'!X1571*SUMIF(ThresholdAge20,"&lt;"&amp;'19_Расчет_аналитики'!X1571,WeightedRevAge20)-SUMIF(ThresholdAge20,"&lt;"&amp;'19_Расчет_аналитики'!X1571,WeightedMinAge20),MAX(CapacityAge20*'01_Вводные'!$B$218*'19_Расчет_аналитики'!X1571,MeanMinAge20)))</f>
        <v/>
      </c>
      <c r="Y1495">
        <f>IF(OR('19_Расчет_аналитики'!Y1467=0,20&lt;='01_Вводные'!$B$297),0,'19_Расчет_аналитики'!Y1467*IF('01_Вводные'!$B$239="Да",MeanMinAge20+'19_Расчет_аналитики'!Y1571*SUMIF(ThresholdAge20,"&lt;"&amp;'19_Расчет_аналитики'!Y1571,WeightedRevAge20)-SUMIF(ThresholdAge20,"&lt;"&amp;'19_Расчет_аналитики'!Y1571,WeightedMinAge20),MAX(CapacityAge20*'01_Вводные'!$B$218*'19_Расчет_аналитики'!Y1571,MeanMinAge20)))</f>
        <v/>
      </c>
      <c r="Z1495">
        <f>IF(OR('19_Расчет_аналитики'!Z1467=0,20&lt;='01_Вводные'!$B$297),0,'19_Расчет_аналитики'!Z1467*IF('01_Вводные'!$B$239="Да",MeanMinAge20+'19_Расчет_аналитики'!Z1571*SUMIF(ThresholdAge20,"&lt;"&amp;'19_Расчет_аналитики'!Z1571,WeightedRevAge20)-SUMIF(ThresholdAge20,"&lt;"&amp;'19_Расчет_аналитики'!Z1571,WeightedMinAge20),MAX(CapacityAge20*'01_Вводные'!$B$218*'19_Расчет_аналитики'!Z1571,MeanMinAge20)))</f>
        <v/>
      </c>
      <c r="AA1495">
        <f>IF(OR('19_Расчет_аналитики'!AA1467=0,20&lt;='01_Вводные'!$B$297),0,'19_Расчет_аналитики'!AA1467*IF('01_Вводные'!$B$239="Да",MeanMinAge20+'19_Расчет_аналитики'!AA1571*SUMIF(ThresholdAge20,"&lt;"&amp;'19_Расчет_аналитики'!AA1571,WeightedRevAge20)-SUMIF(ThresholdAge20,"&lt;"&amp;'19_Расчет_аналитики'!AA1571,WeightedMinAge20),MAX(CapacityAge20*'01_Вводные'!$B$218*'19_Расчет_аналитики'!AA1571,MeanMinAge20)))</f>
        <v/>
      </c>
      <c r="AB1495">
        <f>IF(OR('19_Расчет_аналитики'!AB1467=0,20&lt;='01_Вводные'!$B$297),0,'19_Расчет_аналитики'!AB1467*IF('01_Вводные'!$B$239="Да",MeanMinAge20+'19_Расчет_аналитики'!AB1571*SUMIF(ThresholdAge20,"&lt;"&amp;'19_Расчет_аналитики'!AB1571,WeightedRevAge20)-SUMIF(ThresholdAge20,"&lt;"&amp;'19_Расчет_аналитики'!AB1571,WeightedMinAge20),MAX(CapacityAge20*'01_Вводные'!$B$218*'19_Расчет_аналитики'!AB1571,MeanMinAge20)))</f>
        <v/>
      </c>
      <c r="AC1495">
        <f>IF(OR('19_Расчет_аналитики'!AC1467=0,20&lt;='01_Вводные'!$B$297),0,'19_Расчет_аналитики'!AC1467*IF('01_Вводные'!$B$239="Да",MeanMinAge20+'19_Расчет_аналитики'!AC1571*SUMIF(ThresholdAge20,"&lt;"&amp;'19_Расчет_аналитики'!AC1571,WeightedRevAge20)-SUMIF(ThresholdAge20,"&lt;"&amp;'19_Расчет_аналитики'!AC1571,WeightedMinAge20),MAX(CapacityAge20*'01_Вводные'!$B$218*'19_Расчет_аналитики'!AC1571,MeanMinAge20)))</f>
        <v/>
      </c>
      <c r="AD1495">
        <f>IF(OR('19_Расчет_аналитики'!AD1467=0,20&lt;='01_Вводные'!$B$297),0,'19_Расчет_аналитики'!AD1467*IF('01_Вводные'!$B$239="Да",MeanMinAge20+'19_Расчет_аналитики'!AD1571*SUMIF(ThresholdAge20,"&lt;"&amp;'19_Расчет_аналитики'!AD1571,WeightedRevAge20)-SUMIF(ThresholdAge20,"&lt;"&amp;'19_Расчет_аналитики'!AD1571,WeightedMinAge20),MAX(CapacityAge20*'01_Вводные'!$B$218*'19_Расчет_аналитики'!AD1571,MeanMinAge20)))</f>
        <v/>
      </c>
      <c r="AE1495">
        <f>IF(OR('19_Расчет_аналитики'!AE1467=0,20&lt;='01_Вводные'!$B$297),0,'19_Расчет_аналитики'!AE1467*IF('01_Вводные'!$B$239="Да",MeanMinAge20+'19_Расчет_аналитики'!AE1571*SUMIF(ThresholdAge20,"&lt;"&amp;'19_Расчет_аналитики'!AE1571,WeightedRevAge20)-SUMIF(ThresholdAge20,"&lt;"&amp;'19_Расчет_аналитики'!AE1571,WeightedMinAge20),MAX(CapacityAge20*'01_Вводные'!$B$218*'19_Расчет_аналитики'!AE1571,MeanMinAge20)))</f>
        <v/>
      </c>
      <c r="AF1495">
        <f>IF(OR('19_Расчет_аналитики'!AF1467=0,20&lt;='01_Вводные'!$B$297),0,'19_Расчет_аналитики'!AF1467*IF('01_Вводные'!$B$239="Да",MeanMinAge20+'19_Расчет_аналитики'!AF1571*SUMIF(ThresholdAge20,"&lt;"&amp;'19_Расчет_аналитики'!AF1571,WeightedRevAge20)-SUMIF(ThresholdAge20,"&lt;"&amp;'19_Расчет_аналитики'!AF1571,WeightedMinAge20),MAX(CapacityAge20*'01_Вводные'!$B$218*'19_Расчет_аналитики'!AF1571,MeanMinAge20)))</f>
        <v/>
      </c>
      <c r="AG1495">
        <f>IF(OR('19_Расчет_аналитики'!AG1467=0,20&lt;='01_Вводные'!$B$297),0,'19_Расчет_аналитики'!AG1467*IF('01_Вводные'!$B$239="Да",MeanMinAge20+'19_Расчет_аналитики'!AG1571*SUMIF(ThresholdAge20,"&lt;"&amp;'19_Расчет_аналитики'!AG1571,WeightedRevAge20)-SUMIF(ThresholdAge20,"&lt;"&amp;'19_Расчет_аналитики'!AG1571,WeightedMinAge20),MAX(CapacityAge20*'01_Вводные'!$B$218*'19_Расчет_аналитики'!AG1571,MeanMinAge20)))</f>
        <v/>
      </c>
      <c r="AH1495">
        <f>IF(OR('19_Расчет_аналитики'!AH1467=0,20&lt;='01_Вводные'!$B$297),0,'19_Расчет_аналитики'!AH1467*IF('01_Вводные'!$B$239="Да",MeanMinAge20+'19_Расчет_аналитики'!AH1571*SUMIF(ThresholdAge20,"&lt;"&amp;'19_Расчет_аналитики'!AH1571,WeightedRevAge20)-SUMIF(ThresholdAge20,"&lt;"&amp;'19_Расчет_аналитики'!AH1571,WeightedMinAge20),MAX(CapacityAge20*'01_Вводные'!$B$218*'19_Расчет_аналитики'!AH1571,MeanMinAge20)))</f>
        <v/>
      </c>
      <c r="AI1495">
        <f>IF(OR('19_Расчет_аналитики'!AI1467=0,20&lt;='01_Вводные'!$B$297),0,'19_Расчет_аналитики'!AI1467*IF('01_Вводные'!$B$239="Да",MeanMinAge20+'19_Расчет_аналитики'!AI1571*SUMIF(ThresholdAge20,"&lt;"&amp;'19_Расчет_аналитики'!AI1571,WeightedRevAge20)-SUMIF(ThresholdAge20,"&lt;"&amp;'19_Расчет_аналитики'!AI1571,WeightedMinAge20),MAX(CapacityAge20*'01_Вводные'!$B$218*'19_Расчет_аналитики'!AI1571,MeanMinAge20)))</f>
        <v/>
      </c>
      <c r="AJ1495">
        <f>IF(OR('19_Расчет_аналитики'!AJ1467=0,20&lt;='01_Вводные'!$B$297),0,'19_Расчет_аналитики'!AJ1467*IF('01_Вводные'!$B$239="Да",MeanMinAge20+'19_Расчет_аналитики'!AJ1571*SUMIF(ThresholdAge20,"&lt;"&amp;'19_Расчет_аналитики'!AJ1571,WeightedRevAge20)-SUMIF(ThresholdAge20,"&lt;"&amp;'19_Расчет_аналитики'!AJ1571,WeightedMinAge20),MAX(CapacityAge20*'01_Вводные'!$B$218*'19_Расчет_аналитики'!AJ1571,MeanMinAge20)))</f>
        <v/>
      </c>
      <c r="AK1495">
        <f>IF(OR('19_Расчет_аналитики'!AK1467=0,20&lt;='01_Вводные'!$B$297),0,'19_Расчет_аналитики'!AK1467*IF('01_Вводные'!$B$239="Да",MeanMinAge20+'19_Расчет_аналитики'!AK1571*SUMIF(ThresholdAge20,"&lt;"&amp;'19_Расчет_аналитики'!AK1571,WeightedRevAge20)-SUMIF(ThresholdAge20,"&lt;"&amp;'19_Расчет_аналитики'!AK1571,WeightedMinAge20),MAX(CapacityAge20*'01_Вводные'!$B$218*'19_Расчет_аналитики'!AK1571,MeanMinAge20)))</f>
        <v/>
      </c>
      <c r="AL1495">
        <f>IF(OR('19_Расчет_аналитики'!AL1467=0,20&lt;='01_Вводные'!$B$297),0,'19_Расчет_аналитики'!AL1467*IF('01_Вводные'!$B$239="Да",MeanMinAge20+'19_Расчет_аналитики'!AL1571*SUMIF(ThresholdAge20,"&lt;"&amp;'19_Расчет_аналитики'!AL1571,WeightedRevAge20)-SUMIF(ThresholdAge20,"&lt;"&amp;'19_Расчет_аналитики'!AL1571,WeightedMinAge20),MAX(CapacityAge20*'01_Вводные'!$B$218*'19_Расчет_аналитики'!AL1571,MeanMinAge20)))</f>
        <v/>
      </c>
      <c r="AM1495">
        <f>IF(OR('19_Расчет_аналитики'!AM1467=0,20&lt;='01_Вводные'!$B$297),0,'19_Расчет_аналитики'!AM1467*IF('01_Вводные'!$B$239="Да",MeanMinAge20+'19_Расчет_аналитики'!AM1571*SUMIF(ThresholdAge20,"&lt;"&amp;'19_Расчет_аналитики'!AM1571,WeightedRevAge20)-SUMIF(ThresholdAge20,"&lt;"&amp;'19_Расчет_аналитики'!AM1571,WeightedMinAge20),MAX(CapacityAge20*'01_Вводные'!$B$218*'19_Расчет_аналитики'!AM1571,MeanMinAge20)))</f>
        <v/>
      </c>
      <c r="AN1495">
        <f>IF(OR('19_Расчет_аналитики'!AN1467=0,20&lt;='01_Вводные'!$B$297),0,'19_Расчет_аналитики'!AN1467*IF('01_Вводные'!$B$239="Да",MeanMinAge20+'19_Расчет_аналитики'!AN1571*SUMIF(ThresholdAge20,"&lt;"&amp;'19_Расчет_аналитики'!AN1571,WeightedRevAge20)-SUMIF(ThresholdAge20,"&lt;"&amp;'19_Расчет_аналитики'!AN1571,WeightedMinAge20),MAX(CapacityAge20*'01_Вводные'!$B$218*'19_Расчет_аналитики'!AN1571,MeanMinAge20)))</f>
        <v/>
      </c>
      <c r="AO1495">
        <f>IF(OR('19_Расчет_аналитики'!AO1467=0,20&lt;='01_Вводные'!$B$297),0,'19_Расчет_аналитики'!AO1467*IF('01_Вводные'!$B$239="Да",MeanMinAge20+'19_Расчет_аналитики'!AO1571*SUMIF(ThresholdAge20,"&lt;"&amp;'19_Расчет_аналитики'!AO1571,WeightedRevAge20)-SUMIF(ThresholdAge20,"&lt;"&amp;'19_Расчет_аналитики'!AO1571,WeightedMinAge20),MAX(CapacityAge20*'01_Вводные'!$B$218*'19_Расчет_аналитики'!AO1571,MeanMinAge20)))</f>
        <v/>
      </c>
      <c r="AP1495">
        <f>IF(OR('19_Расчет_аналитики'!AP1467=0,20&lt;='01_Вводные'!$B$297),0,'19_Расчет_аналитики'!AP1467*IF('01_Вводные'!$B$239="Да",MeanMinAge20+'19_Расчет_аналитики'!AP1571*SUMIF(ThresholdAge20,"&lt;"&amp;'19_Расчет_аналитики'!AP1571,WeightedRevAge20)-SUMIF(ThresholdAge20,"&lt;"&amp;'19_Расчет_аналитики'!AP1571,WeightedMinAge20),MAX(CapacityAge20*'01_Вводные'!$B$218*'19_Расчет_аналитики'!AP1571,MeanMinAge20)))</f>
        <v/>
      </c>
      <c r="AQ1495">
        <f>IF(OR('19_Расчет_аналитики'!AQ1467=0,20&lt;='01_Вводные'!$B$297),0,'19_Расчет_аналитики'!AQ1467*IF('01_Вводные'!$B$239="Да",MeanMinAge20+'19_Расчет_аналитики'!AQ1571*SUMIF(ThresholdAge20,"&lt;"&amp;'19_Расчет_аналитики'!AQ1571,WeightedRevAge20)-SUMIF(ThresholdAge20,"&lt;"&amp;'19_Расчет_аналитики'!AQ1571,WeightedMinAge20),MAX(CapacityAge20*'01_Вводные'!$B$218*'19_Расчет_аналитики'!AQ1571,MeanMinAge20)))</f>
        <v/>
      </c>
      <c r="AR1495">
        <f>IF(OR('19_Расчет_аналитики'!AR1467=0,20&lt;='01_Вводные'!$B$297),0,'19_Расчет_аналитики'!AR1467*IF('01_Вводные'!$B$239="Да",MeanMinAge20+'19_Расчет_аналитики'!AR1571*SUMIF(ThresholdAge20,"&lt;"&amp;'19_Расчет_аналитики'!AR1571,WeightedRevAge20)-SUMIF(ThresholdAge20,"&lt;"&amp;'19_Расчет_аналитики'!AR1571,WeightedMinAge20),MAX(CapacityAge20*'01_Вводные'!$B$218*'19_Расчет_аналитики'!AR1571,MeanMinAge20)))</f>
        <v/>
      </c>
      <c r="AS1495">
        <f>IF(OR('19_Расчет_аналитики'!AS1467=0,20&lt;='01_Вводные'!$B$297),0,'19_Расчет_аналитики'!AS1467*IF('01_Вводные'!$B$239="Да",MeanMinAge20+'19_Расчет_аналитики'!AS1571*SUMIF(ThresholdAge20,"&lt;"&amp;'19_Расчет_аналитики'!AS1571,WeightedRevAge20)-SUMIF(ThresholdAge20,"&lt;"&amp;'19_Расчет_аналитики'!AS1571,WeightedMinAge20),MAX(CapacityAge20*'01_Вводные'!$B$218*'19_Расчет_аналитики'!AS1571,MeanMinAge20)))</f>
        <v/>
      </c>
      <c r="AT1495">
        <f>IF(OR('19_Расчет_аналитики'!AT1467=0,20&lt;='01_Вводные'!$B$297),0,'19_Расчет_аналитики'!AT1467*IF('01_Вводные'!$B$239="Да",MeanMinAge20+'19_Расчет_аналитики'!AT1571*SUMIF(ThresholdAge20,"&lt;"&amp;'19_Расчет_аналитики'!AT1571,WeightedRevAge20)-SUMIF(ThresholdAge20,"&lt;"&amp;'19_Расчет_аналитики'!AT1571,WeightedMinAge20),MAX(CapacityAge20*'01_Вводные'!$B$218*'19_Расчет_аналитики'!AT1571,MeanMinAge20)))</f>
        <v/>
      </c>
      <c r="AU1495">
        <f>IF(OR('19_Расчет_аналитики'!AU1467=0,20&lt;='01_Вводные'!$B$297),0,'19_Расчет_аналитики'!AU1467*IF('01_Вводные'!$B$239="Да",MeanMinAge20+'19_Расчет_аналитики'!AU1571*SUMIF(ThresholdAge20,"&lt;"&amp;'19_Расчет_аналитики'!AU1571,WeightedRevAge20)-SUMIF(ThresholdAge20,"&lt;"&amp;'19_Расчет_аналитики'!AU1571,WeightedMinAge20),MAX(CapacityAge20*'01_Вводные'!$B$218*'19_Расчет_аналитики'!AU1571,MeanMinAge20)))</f>
        <v/>
      </c>
      <c r="AV1495">
        <f>IF(OR('19_Расчет_аналитики'!AV1467=0,20&lt;='01_Вводные'!$B$297),0,'19_Расчет_аналитики'!AV1467*IF('01_Вводные'!$B$239="Да",MeanMinAge20+'19_Расчет_аналитики'!AV1571*SUMIF(ThresholdAge20,"&lt;"&amp;'19_Расчет_аналитики'!AV1571,WeightedRevAge20)-SUMIF(ThresholdAge20,"&lt;"&amp;'19_Расчет_аналитики'!AV1571,WeightedMinAge20),MAX(CapacityAge20*'01_Вводные'!$B$218*'19_Расчет_аналитики'!AV1571,MeanMinAge20)))</f>
        <v/>
      </c>
      <c r="AW1495">
        <f>IF(OR('19_Расчет_аналитики'!AW1467=0,20&lt;='01_Вводные'!$B$297),0,'19_Расчет_аналитики'!AW1467*IF('01_Вводные'!$B$239="Да",MeanMinAge20+'19_Расчет_аналитики'!AW1571*SUMIF(ThresholdAge20,"&lt;"&amp;'19_Расчет_аналитики'!AW1571,WeightedRevAge20)-SUMIF(ThresholdAge20,"&lt;"&amp;'19_Расчет_аналитики'!AW1571,WeightedMinAge20),MAX(CapacityAge20*'01_Вводные'!$B$218*'19_Расчет_аналитики'!AW1571,MeanMinAge20)))</f>
        <v/>
      </c>
      <c r="AX1495">
        <f>IF(OR('19_Расчет_аналитики'!AX1467=0,20&lt;='01_Вводные'!$B$297),0,'19_Расчет_аналитики'!AX1467*IF('01_Вводные'!$B$239="Да",MeanMinAge20+'19_Расчет_аналитики'!AX1571*SUMIF(ThresholdAge20,"&lt;"&amp;'19_Расчет_аналитики'!AX1571,WeightedRevAge20)-SUMIF(ThresholdAge20,"&lt;"&amp;'19_Расчет_аналитики'!AX1571,WeightedMinAge20),MAX(CapacityAge20*'01_Вводные'!$B$218*'19_Расчет_аналитики'!AX1571,MeanMinAge20)))</f>
        <v/>
      </c>
      <c r="AY1495">
        <f>IF(OR('19_Расчет_аналитики'!AY1467=0,20&lt;='01_Вводные'!$B$297),0,'19_Расчет_аналитики'!AY1467*IF('01_Вводные'!$B$239="Да",MeanMinAge20+'19_Расчет_аналитики'!AY1571*SUMIF(ThresholdAge20,"&lt;"&amp;'19_Расчет_аналитики'!AY1571,WeightedRevAge20)-SUMIF(ThresholdAge20,"&lt;"&amp;'19_Расчет_аналитики'!AY1571,WeightedMinAge20),MAX(CapacityAge20*'01_Вводные'!$B$218*'19_Расчет_аналитики'!AY1571,MeanMinAge20)))</f>
        <v/>
      </c>
      <c r="AZ1495">
        <f>IF(OR('19_Расчет_аналитики'!AZ1467=0,20&lt;='01_Вводные'!$B$297),0,'19_Расчет_аналитики'!AZ1467*IF('01_Вводные'!$B$239="Да",MeanMinAge20+'19_Расчет_аналитики'!AZ1571*SUMIF(ThresholdAge20,"&lt;"&amp;'19_Расчет_аналитики'!AZ1571,WeightedRevAge20)-SUMIF(ThresholdAge20,"&lt;"&amp;'19_Расчет_аналитики'!AZ1571,WeightedMinAge20),MAX(CapacityAge20*'01_Вводные'!$B$218*'19_Расчет_аналитики'!AZ1571,MeanMinAge20)))</f>
        <v/>
      </c>
      <c r="BA1495">
        <f>IF(OR('19_Расчет_аналитики'!BA1467=0,20&lt;='01_Вводные'!$B$297),0,'19_Расчет_аналитики'!BA1467*IF('01_Вводные'!$B$239="Да",MeanMinAge20+'19_Расчет_аналитики'!BA1571*SUMIF(ThresholdAge20,"&lt;"&amp;'19_Расчет_аналитики'!BA1571,WeightedRevAge20)-SUMIF(ThresholdAge20,"&lt;"&amp;'19_Расчет_аналитики'!BA1571,WeightedMinAge20),MAX(CapacityAge20*'01_Вводные'!$B$218*'19_Расчет_аналитики'!BA1571,MeanMinAge20)))</f>
        <v/>
      </c>
      <c r="BB1495">
        <f>IF(OR('19_Расчет_аналитики'!BB1467=0,20&lt;='01_Вводные'!$B$297),0,'19_Расчет_аналитики'!BB1467*IF('01_Вводные'!$B$239="Да",MeanMinAge20+'19_Расчет_аналитики'!BB1571*SUMIF(ThresholdAge20,"&lt;"&amp;'19_Расчет_аналитики'!BB1571,WeightedRevAge20)-SUMIF(ThresholdAge20,"&lt;"&amp;'19_Расчет_аналитики'!BB1571,WeightedMinAge20),MAX(CapacityAge20*'01_Вводные'!$B$218*'19_Расчет_аналитики'!BB1571,MeanMinAge20)))</f>
        <v/>
      </c>
      <c r="BC1495">
        <f>IF(OR('19_Расчет_аналитики'!BC1467=0,20&lt;='01_Вводные'!$B$297),0,'19_Расчет_аналитики'!BC1467*IF('01_Вводные'!$B$239="Да",MeanMinAge20+'19_Расчет_аналитики'!BC1571*SUMIF(ThresholdAge20,"&lt;"&amp;'19_Расчет_аналитики'!BC1571,WeightedRevAge20)-SUMIF(ThresholdAge20,"&lt;"&amp;'19_Расчет_аналитики'!BC1571,WeightedMinAge20),MAX(CapacityAge20*'01_Вводные'!$B$218*'19_Расчет_аналитики'!BC1571,MeanMinAge20)))</f>
        <v/>
      </c>
      <c r="BD1495">
        <f>IF(OR('19_Расчет_аналитики'!BD1467=0,20&lt;='01_Вводные'!$B$297),0,'19_Расчет_аналитики'!BD1467*IF('01_Вводные'!$B$239="Да",MeanMinAge20+'19_Расчет_аналитики'!BD1571*SUMIF(ThresholdAge20,"&lt;"&amp;'19_Расчет_аналитики'!BD1571,WeightedRevAge20)-SUMIF(ThresholdAge20,"&lt;"&amp;'19_Расчет_аналитики'!BD1571,WeightedMinAge20),MAX(CapacityAge20*'01_Вводные'!$B$218*'19_Расчет_аналитики'!BD1571,MeanMinAge20)))</f>
        <v/>
      </c>
      <c r="BE1495">
        <f>IF(OR('19_Расчет_аналитики'!BE1467=0,20&lt;='01_Вводные'!$B$297),0,'19_Расчет_аналитики'!BE1467*IF('01_Вводные'!$B$239="Да",MeanMinAge20+'19_Расчет_аналитики'!BE1571*SUMIF(ThresholdAge20,"&lt;"&amp;'19_Расчет_аналитики'!BE1571,WeightedRevAge20)-SUMIF(ThresholdAge20,"&lt;"&amp;'19_Расчет_аналитики'!BE1571,WeightedMinAge20),MAX(CapacityAge20*'01_Вводные'!$B$218*'19_Расчет_аналитики'!BE1571,MeanMinAge20)))</f>
        <v/>
      </c>
      <c r="BF1495">
        <f>IF(OR('19_Расчет_аналитики'!BF1467=0,20&lt;='01_Вводные'!$B$297),0,'19_Расчет_аналитики'!BF1467*IF('01_Вводные'!$B$239="Да",MeanMinAge20+'19_Расчет_аналитики'!BF1571*SUMIF(ThresholdAge20,"&lt;"&amp;'19_Расчет_аналитики'!BF1571,WeightedRevAge20)-SUMIF(ThresholdAge20,"&lt;"&amp;'19_Расчет_аналитики'!BF1571,WeightedMinAge20),MAX(CapacityAge20*'01_Вводные'!$B$218*'19_Расчет_аналитики'!BF1571,MeanMinAge20)))</f>
        <v/>
      </c>
      <c r="BG1495">
        <f>IF(OR('19_Расчет_аналитики'!BG1467=0,20&lt;='01_Вводные'!$B$297),0,'19_Расчет_аналитики'!BG1467*IF('01_Вводные'!$B$239="Да",MeanMinAge20+'19_Расчет_аналитики'!BG1571*SUMIF(ThresholdAge20,"&lt;"&amp;'19_Расчет_аналитики'!BG1571,WeightedRevAge20)-SUMIF(ThresholdAge20,"&lt;"&amp;'19_Расчет_аналитики'!BG1571,WeightedMinAge20),MAX(CapacityAge20*'01_Вводные'!$B$218*'19_Расчет_аналитики'!BG1571,MeanMinAge20)))</f>
        <v/>
      </c>
      <c r="BH1495">
        <f>IF(OR('19_Расчет_аналитики'!BH1467=0,20&lt;='01_Вводные'!$B$297),0,'19_Расчет_аналитики'!BH1467*IF('01_Вводные'!$B$239="Да",MeanMinAge20+'19_Расчет_аналитики'!BH1571*SUMIF(ThresholdAge20,"&lt;"&amp;'19_Расчет_аналитики'!BH1571,WeightedRevAge20)-SUMIF(ThresholdAge20,"&lt;"&amp;'19_Расчет_аналитики'!BH1571,WeightedMinAge20),MAX(CapacityAge20*'01_Вводные'!$B$218*'19_Расчет_аналитики'!BH1571,MeanMinAge20)))</f>
        <v/>
      </c>
      <c r="BI1495">
        <f>IF(OR('19_Расчет_аналитики'!BI1467=0,20&lt;='01_Вводные'!$B$297),0,'19_Расчет_аналитики'!BI1467*IF('01_Вводные'!$B$239="Да",MeanMinAge20+'19_Расчет_аналитики'!BI1571*SUMIF(ThresholdAge20,"&lt;"&amp;'19_Расчет_аналитики'!BI1571,WeightedRevAge20)-SUMIF(ThresholdAge20,"&lt;"&amp;'19_Расчет_аналитики'!BI1571,WeightedMinAge20),MAX(CapacityAge20*'01_Вводные'!$B$218*'19_Расчет_аналитики'!BI1571,MeanMinAge20)))</f>
        <v/>
      </c>
      <c r="BJ1495">
        <f>IF(OR('19_Расчет_аналитики'!BJ1467=0,20&lt;='01_Вводные'!$B$297),0,'19_Расчет_аналитики'!BJ1467*IF('01_Вводные'!$B$239="Да",MeanMinAge20+'19_Расчет_аналитики'!BJ1571*SUMIF(ThresholdAge20,"&lt;"&amp;'19_Расчет_аналитики'!BJ1571,WeightedRevAge20)-SUMIF(ThresholdAge20,"&lt;"&amp;'19_Расчет_аналитики'!BJ1571,WeightedMinAge20),MAX(CapacityAge20*'01_Вводные'!$B$218*'19_Расчет_аналитики'!BJ1571,MeanMinAge20)))</f>
        <v/>
      </c>
      <c r="BK1495">
        <f>IF(OR('19_Расчет_аналитики'!BK1467=0,20&lt;='01_Вводные'!$B$297),0,'19_Расчет_аналитики'!BK1467*IF('01_Вводные'!$B$239="Да",MeanMinAge20+'19_Расчет_аналитики'!BK1571*SUMIF(ThresholdAge20,"&lt;"&amp;'19_Расчет_аналитики'!BK1571,WeightedRevAge20)-SUMIF(ThresholdAge20,"&lt;"&amp;'19_Расчет_аналитики'!BK1571,WeightedMinAge20),MAX(CapacityAge20*'01_Вводные'!$B$218*'19_Расчет_аналитики'!BK1571,MeanMinAge20)))</f>
        <v/>
      </c>
      <c r="BL1495">
        <f>IF(OR('19_Расчет_аналитики'!BL1467=0,20&lt;='01_Вводные'!$B$297),0,'19_Расчет_аналитики'!BL1467*IF('01_Вводные'!$B$239="Да",MeanMinAge20+'19_Расчет_аналитики'!BL1571*SUMIF(ThresholdAge20,"&lt;"&amp;'19_Расчет_аналитики'!BL1571,WeightedRevAge20)-SUMIF(ThresholdAge20,"&lt;"&amp;'19_Расчет_аналитики'!BL1571,WeightedMinAge20),MAX(CapacityAge20*'01_Вводные'!$B$218*'19_Расчет_аналитики'!BL1571,MeanMinAge20)))</f>
        <v/>
      </c>
      <c r="BM1495">
        <f>IF(OR('19_Расчет_аналитики'!BM1467=0,20&lt;='01_Вводные'!$B$297),0,'19_Расчет_аналитики'!BM1467*IF('01_Вводные'!$B$239="Да",MeanMinAge20+'19_Расчет_аналитики'!BM1571*SUMIF(ThresholdAge20,"&lt;"&amp;'19_Расчет_аналитики'!BM1571,WeightedRevAge20)-SUMIF(ThresholdAge20,"&lt;"&amp;'19_Расчет_аналитики'!BM1571,WeightedMinAge20),MAX(CapacityAge20*'01_Вводные'!$B$218*'19_Расчет_аналитики'!BM1571,MeanMinAge20)))</f>
        <v/>
      </c>
      <c r="BN1495">
        <f>IF(OR('19_Расчет_аналитики'!BN1467=0,20&lt;='01_Вводные'!$B$297),0,'19_Расчет_аналитики'!BN1467*IF('01_Вводные'!$B$239="Да",MeanMinAge20+'19_Расчет_аналитики'!BN1571*SUMIF(ThresholdAge20,"&lt;"&amp;'19_Расчет_аналитики'!BN1571,WeightedRevAge20)-SUMIF(ThresholdAge20,"&lt;"&amp;'19_Расчет_аналитики'!BN1571,WeightedMinAge20),MAX(CapacityAge20*'01_Вводные'!$B$218*'19_Расчет_аналитики'!BN1571,MeanMinAge20)))</f>
        <v/>
      </c>
      <c r="BO1495">
        <f>IF(OR('19_Расчет_аналитики'!BO1467=0,20&lt;='01_Вводные'!$B$297),0,'19_Расчет_аналитики'!BO1467*IF('01_Вводные'!$B$239="Да",MeanMinAge20+'19_Расчет_аналитики'!BO1571*SUMIF(ThresholdAge20,"&lt;"&amp;'19_Расчет_аналитики'!BO1571,WeightedRevAge20)-SUMIF(ThresholdAge20,"&lt;"&amp;'19_Расчет_аналитики'!BO1571,WeightedMinAge20),MAX(CapacityAge20*'01_Вводные'!$B$218*'19_Расчет_аналитики'!BO1571,MeanMinAge20)))</f>
        <v/>
      </c>
    </row>
    <row r="1496">
      <c r="B1496">
        <f>IF(OR('06_Сеть_и_дети'!B101=0,21&lt;='01_Вводные'!$B$297),0,'06_Сеть_и_дети'!B101*IF('01_Вводные'!$B$239="Да",MeanMinAge21+'19_Расчет_аналитики'!B1571*SUMIF(ThresholdAge21,"&lt;"&amp;'19_Расчет_аналитики'!B1571,WeightedRevAge21)-SUMIF(ThresholdAge21,"&lt;"&amp;'19_Расчет_аналитики'!B1571,WeightedMinAge21),MAX(CapacityAge21*'01_Вводные'!$B$218*'19_Расчет_аналитики'!B1571,MeanMinAge21)))</f>
        <v/>
      </c>
      <c r="C1496">
        <f>IF(OR('06_Сеть_и_дети'!C101=0,21&lt;='01_Вводные'!$B$297),0,'06_Сеть_и_дети'!C101*IF('01_Вводные'!$B$239="Да",MeanMinAge21+'19_Расчет_аналитики'!C1571*SUMIF(ThresholdAge21,"&lt;"&amp;'19_Расчет_аналитики'!C1571,WeightedRevAge21)-SUMIF(ThresholdAge21,"&lt;"&amp;'19_Расчет_аналитики'!C1571,WeightedMinAge21),MAX(CapacityAge21*'01_Вводные'!$B$218*'19_Расчет_аналитики'!C1571,MeanMinAge21)))</f>
        <v/>
      </c>
      <c r="D1496">
        <f>IF(OR('06_Сеть_и_дети'!D101=0,21&lt;='01_Вводные'!$B$297),0,'06_Сеть_и_дети'!D101*IF('01_Вводные'!$B$239="Да",MeanMinAge21+'19_Расчет_аналитики'!D1571*SUMIF(ThresholdAge21,"&lt;"&amp;'19_Расчет_аналитики'!D1571,WeightedRevAge21)-SUMIF(ThresholdAge21,"&lt;"&amp;'19_Расчет_аналитики'!D1571,WeightedMinAge21),MAX(CapacityAge21*'01_Вводные'!$B$218*'19_Расчет_аналитики'!D1571,MeanMinAge21)))</f>
        <v/>
      </c>
      <c r="E1496">
        <f>IF(OR('06_Сеть_и_дети'!E101=0,21&lt;='01_Вводные'!$B$297),0,'06_Сеть_и_дети'!E101*IF('01_Вводные'!$B$239="Да",MeanMinAge21+'19_Расчет_аналитики'!E1571*SUMIF(ThresholdAge21,"&lt;"&amp;'19_Расчет_аналитики'!E1571,WeightedRevAge21)-SUMIF(ThresholdAge21,"&lt;"&amp;'19_Расчет_аналитики'!E1571,WeightedMinAge21),MAX(CapacityAge21*'01_Вводные'!$B$218*'19_Расчет_аналитики'!E1571,MeanMinAge21)))</f>
        <v/>
      </c>
      <c r="F1496">
        <f>IF(OR('06_Сеть_и_дети'!F101=0,21&lt;='01_Вводные'!$B$297),0,'06_Сеть_и_дети'!F101*IF('01_Вводные'!$B$239="Да",MeanMinAge21+'19_Расчет_аналитики'!F1571*SUMIF(ThresholdAge21,"&lt;"&amp;'19_Расчет_аналитики'!F1571,WeightedRevAge21)-SUMIF(ThresholdAge21,"&lt;"&amp;'19_Расчет_аналитики'!F1571,WeightedMinAge21),MAX(CapacityAge21*'01_Вводные'!$B$218*'19_Расчет_аналитики'!F1571,MeanMinAge21)))</f>
        <v/>
      </c>
      <c r="G1496">
        <f>IF(OR('06_Сеть_и_дети'!G101=0,21&lt;='01_Вводные'!$B$297),0,'06_Сеть_и_дети'!G101*IF('01_Вводные'!$B$239="Да",MeanMinAge21+'19_Расчет_аналитики'!G1571*SUMIF(ThresholdAge21,"&lt;"&amp;'19_Расчет_аналитики'!G1571,WeightedRevAge21)-SUMIF(ThresholdAge21,"&lt;"&amp;'19_Расчет_аналитики'!G1571,WeightedMinAge21),MAX(CapacityAge21*'01_Вводные'!$B$218*'19_Расчет_аналитики'!G1571,MeanMinAge21)))</f>
        <v/>
      </c>
      <c r="H1496">
        <f>IF(OR('06_Сеть_и_дети'!H101=0,21&lt;='01_Вводные'!$B$297),0,'06_Сеть_и_дети'!H101*IF('01_Вводные'!$B$239="Да",MeanMinAge21+'19_Расчет_аналитики'!H1571*SUMIF(ThresholdAge21,"&lt;"&amp;'19_Расчет_аналитики'!H1571,WeightedRevAge21)-SUMIF(ThresholdAge21,"&lt;"&amp;'19_Расчет_аналитики'!H1571,WeightedMinAge21),MAX(CapacityAge21*'01_Вводные'!$B$218*'19_Расчет_аналитики'!H1571,MeanMinAge21)))</f>
        <v/>
      </c>
      <c r="I1496">
        <f>IF(OR('06_Сеть_и_дети'!I101=0,21&lt;='01_Вводные'!$B$297),0,'06_Сеть_и_дети'!I101*IF('01_Вводные'!$B$239="Да",MeanMinAge21+'19_Расчет_аналитики'!I1571*SUMIF(ThresholdAge21,"&lt;"&amp;'19_Расчет_аналитики'!I1571,WeightedRevAge21)-SUMIF(ThresholdAge21,"&lt;"&amp;'19_Расчет_аналитики'!I1571,WeightedMinAge21),MAX(CapacityAge21*'01_Вводные'!$B$218*'19_Расчет_аналитики'!I1571,MeanMinAge21)))</f>
        <v/>
      </c>
      <c r="J1496">
        <f>IF(OR('06_Сеть_и_дети'!J101=0,21&lt;='01_Вводные'!$B$297),0,'06_Сеть_и_дети'!J101*IF('01_Вводные'!$B$239="Да",MeanMinAge21+'19_Расчет_аналитики'!J1571*SUMIF(ThresholdAge21,"&lt;"&amp;'19_Расчет_аналитики'!J1571,WeightedRevAge21)-SUMIF(ThresholdAge21,"&lt;"&amp;'19_Расчет_аналитики'!J1571,WeightedMinAge21),MAX(CapacityAge21*'01_Вводные'!$B$218*'19_Расчет_аналитики'!J1571,MeanMinAge21)))</f>
        <v/>
      </c>
      <c r="K1496">
        <f>IF(OR('06_Сеть_и_дети'!K101=0,21&lt;='01_Вводные'!$B$297),0,'06_Сеть_и_дети'!K101*IF('01_Вводные'!$B$239="Да",MeanMinAge21+'19_Расчет_аналитики'!K1571*SUMIF(ThresholdAge21,"&lt;"&amp;'19_Расчет_аналитики'!K1571,WeightedRevAge21)-SUMIF(ThresholdAge21,"&lt;"&amp;'19_Расчет_аналитики'!K1571,WeightedMinAge21),MAX(CapacityAge21*'01_Вводные'!$B$218*'19_Расчет_аналитики'!K1571,MeanMinAge21)))</f>
        <v/>
      </c>
      <c r="L1496">
        <f>IF(OR('06_Сеть_и_дети'!L101=0,21&lt;='01_Вводные'!$B$297),0,'06_Сеть_и_дети'!L101*IF('01_Вводные'!$B$239="Да",MeanMinAge21+'19_Расчет_аналитики'!L1571*SUMIF(ThresholdAge21,"&lt;"&amp;'19_Расчет_аналитики'!L1571,WeightedRevAge21)-SUMIF(ThresholdAge21,"&lt;"&amp;'19_Расчет_аналитики'!L1571,WeightedMinAge21),MAX(CapacityAge21*'01_Вводные'!$B$218*'19_Расчет_аналитики'!L1571,MeanMinAge21)))</f>
        <v/>
      </c>
      <c r="M1496">
        <f>IF(OR('06_Сеть_и_дети'!M101=0,21&lt;='01_Вводные'!$B$297),0,'06_Сеть_и_дети'!M101*IF('01_Вводные'!$B$239="Да",MeanMinAge21+'19_Расчет_аналитики'!M1571*SUMIF(ThresholdAge21,"&lt;"&amp;'19_Расчет_аналитики'!M1571,WeightedRevAge21)-SUMIF(ThresholdAge21,"&lt;"&amp;'19_Расчет_аналитики'!M1571,WeightedMinAge21),MAX(CapacityAge21*'01_Вводные'!$B$218*'19_Расчет_аналитики'!M1571,MeanMinAge21)))</f>
        <v/>
      </c>
      <c r="N1496">
        <f>IF(OR('06_Сеть_и_дети'!N101=0,21&lt;='01_Вводные'!$B$297),0,'06_Сеть_и_дети'!N101*IF('01_Вводные'!$B$239="Да",MeanMinAge21+'19_Расчет_аналитики'!N1571*SUMIF(ThresholdAge21,"&lt;"&amp;'19_Расчет_аналитики'!N1571,WeightedRevAge21)-SUMIF(ThresholdAge21,"&lt;"&amp;'19_Расчет_аналитики'!N1571,WeightedMinAge21),MAX(CapacityAge21*'01_Вводные'!$B$218*'19_Расчет_аналитики'!N1571,MeanMinAge21)))</f>
        <v/>
      </c>
      <c r="O1496">
        <f>IF(OR('06_Сеть_и_дети'!O101=0,21&lt;='01_Вводные'!$B$297),0,'06_Сеть_и_дети'!O101*IF('01_Вводные'!$B$239="Да",MeanMinAge21+'19_Расчет_аналитики'!O1571*SUMIF(ThresholdAge21,"&lt;"&amp;'19_Расчет_аналитики'!O1571,WeightedRevAge21)-SUMIF(ThresholdAge21,"&lt;"&amp;'19_Расчет_аналитики'!O1571,WeightedMinAge21),MAX(CapacityAge21*'01_Вводные'!$B$218*'19_Расчет_аналитики'!O1571,MeanMinAge21)))</f>
        <v/>
      </c>
      <c r="P1496">
        <f>IF(OR('06_Сеть_и_дети'!P101=0,21&lt;='01_Вводные'!$B$297),0,'06_Сеть_и_дети'!P101*IF('01_Вводные'!$B$239="Да",MeanMinAge21+'19_Расчет_аналитики'!P1571*SUMIF(ThresholdAge21,"&lt;"&amp;'19_Расчет_аналитики'!P1571,WeightedRevAge21)-SUMIF(ThresholdAge21,"&lt;"&amp;'19_Расчет_аналитики'!P1571,WeightedMinAge21),MAX(CapacityAge21*'01_Вводные'!$B$218*'19_Расчет_аналитики'!P1571,MeanMinAge21)))</f>
        <v/>
      </c>
      <c r="Q1496">
        <f>IF(OR('06_Сеть_и_дети'!Q101=0,21&lt;='01_Вводные'!$B$297),0,'06_Сеть_и_дети'!Q101*IF('01_Вводные'!$B$239="Да",MeanMinAge21+'19_Расчет_аналитики'!Q1571*SUMIF(ThresholdAge21,"&lt;"&amp;'19_Расчет_аналитики'!Q1571,WeightedRevAge21)-SUMIF(ThresholdAge21,"&lt;"&amp;'19_Расчет_аналитики'!Q1571,WeightedMinAge21),MAX(CapacityAge21*'01_Вводные'!$B$218*'19_Расчет_аналитики'!Q1571,MeanMinAge21)))</f>
        <v/>
      </c>
      <c r="R1496">
        <f>IF(OR('06_Сеть_и_дети'!R101=0,21&lt;='01_Вводные'!$B$297),0,'06_Сеть_и_дети'!R101*IF('01_Вводные'!$B$239="Да",MeanMinAge21+'19_Расчет_аналитики'!R1571*SUMIF(ThresholdAge21,"&lt;"&amp;'19_Расчет_аналитики'!R1571,WeightedRevAge21)-SUMIF(ThresholdAge21,"&lt;"&amp;'19_Расчет_аналитики'!R1571,WeightedMinAge21),MAX(CapacityAge21*'01_Вводные'!$B$218*'19_Расчет_аналитики'!R1571,MeanMinAge21)))</f>
        <v/>
      </c>
      <c r="S1496">
        <f>IF(OR('06_Сеть_и_дети'!S101=0,21&lt;='01_Вводные'!$B$297),0,'06_Сеть_и_дети'!S101*IF('01_Вводные'!$B$239="Да",MeanMinAge21+'19_Расчет_аналитики'!S1571*SUMIF(ThresholdAge21,"&lt;"&amp;'19_Расчет_аналитики'!S1571,WeightedRevAge21)-SUMIF(ThresholdAge21,"&lt;"&amp;'19_Расчет_аналитики'!S1571,WeightedMinAge21),MAX(CapacityAge21*'01_Вводные'!$B$218*'19_Расчет_аналитики'!S1571,MeanMinAge21)))</f>
        <v/>
      </c>
      <c r="T1496">
        <f>IF(OR('06_Сеть_и_дети'!T101=0,21&lt;='01_Вводные'!$B$297),0,'06_Сеть_и_дети'!T101*IF('01_Вводные'!$B$239="Да",MeanMinAge21+'19_Расчет_аналитики'!T1571*SUMIF(ThresholdAge21,"&lt;"&amp;'19_Расчет_аналитики'!T1571,WeightedRevAge21)-SUMIF(ThresholdAge21,"&lt;"&amp;'19_Расчет_аналитики'!T1571,WeightedMinAge21),MAX(CapacityAge21*'01_Вводные'!$B$218*'19_Расчет_аналитики'!T1571,MeanMinAge21)))</f>
        <v/>
      </c>
      <c r="U1496">
        <f>IF(OR('06_Сеть_и_дети'!U101=0,21&lt;='01_Вводные'!$B$297),0,'06_Сеть_и_дети'!U101*IF('01_Вводные'!$B$239="Да",MeanMinAge21+'19_Расчет_аналитики'!U1571*SUMIF(ThresholdAge21,"&lt;"&amp;'19_Расчет_аналитики'!U1571,WeightedRevAge21)-SUMIF(ThresholdAge21,"&lt;"&amp;'19_Расчет_аналитики'!U1571,WeightedMinAge21),MAX(CapacityAge21*'01_Вводные'!$B$218*'19_Расчет_аналитики'!U1571,MeanMinAge21)))</f>
        <v/>
      </c>
      <c r="V1496">
        <f>IF(OR('19_Расчет_аналитики'!V1468=0,21&lt;='01_Вводные'!$B$297),0,'19_Расчет_аналитики'!V1468*IF('01_Вводные'!$B$239="Да",MeanMinAge21+'19_Расчет_аналитики'!V1571*SUMIF(ThresholdAge21,"&lt;"&amp;'19_Расчет_аналитики'!V1571,WeightedRevAge21)-SUMIF(ThresholdAge21,"&lt;"&amp;'19_Расчет_аналитики'!V1571,WeightedMinAge21),MAX(CapacityAge21*'01_Вводные'!$B$218*'19_Расчет_аналитики'!V1571,MeanMinAge21)))</f>
        <v/>
      </c>
      <c r="W1496">
        <f>IF(OR('19_Расчет_аналитики'!W1468=0,21&lt;='01_Вводные'!$B$297),0,'19_Расчет_аналитики'!W1468*IF('01_Вводные'!$B$239="Да",MeanMinAge21+'19_Расчет_аналитики'!W1571*SUMIF(ThresholdAge21,"&lt;"&amp;'19_Расчет_аналитики'!W1571,WeightedRevAge21)-SUMIF(ThresholdAge21,"&lt;"&amp;'19_Расчет_аналитики'!W1571,WeightedMinAge21),MAX(CapacityAge21*'01_Вводные'!$B$218*'19_Расчет_аналитики'!W1571,MeanMinAge21)))</f>
        <v/>
      </c>
      <c r="X1496">
        <f>IF(OR('19_Расчет_аналитики'!X1468=0,21&lt;='01_Вводные'!$B$297),0,'19_Расчет_аналитики'!X1468*IF('01_Вводные'!$B$239="Да",MeanMinAge21+'19_Расчет_аналитики'!X1571*SUMIF(ThresholdAge21,"&lt;"&amp;'19_Расчет_аналитики'!X1571,WeightedRevAge21)-SUMIF(ThresholdAge21,"&lt;"&amp;'19_Расчет_аналитики'!X1571,WeightedMinAge21),MAX(CapacityAge21*'01_Вводные'!$B$218*'19_Расчет_аналитики'!X1571,MeanMinAge21)))</f>
        <v/>
      </c>
      <c r="Y1496">
        <f>IF(OR('19_Расчет_аналитики'!Y1468=0,21&lt;='01_Вводные'!$B$297),0,'19_Расчет_аналитики'!Y1468*IF('01_Вводные'!$B$239="Да",MeanMinAge21+'19_Расчет_аналитики'!Y1571*SUMIF(ThresholdAge21,"&lt;"&amp;'19_Расчет_аналитики'!Y1571,WeightedRevAge21)-SUMIF(ThresholdAge21,"&lt;"&amp;'19_Расчет_аналитики'!Y1571,WeightedMinAge21),MAX(CapacityAge21*'01_Вводные'!$B$218*'19_Расчет_аналитики'!Y1571,MeanMinAge21)))</f>
        <v/>
      </c>
      <c r="Z1496">
        <f>IF(OR('19_Расчет_аналитики'!Z1468=0,21&lt;='01_Вводные'!$B$297),0,'19_Расчет_аналитики'!Z1468*IF('01_Вводные'!$B$239="Да",MeanMinAge21+'19_Расчет_аналитики'!Z1571*SUMIF(ThresholdAge21,"&lt;"&amp;'19_Расчет_аналитики'!Z1571,WeightedRevAge21)-SUMIF(ThresholdAge21,"&lt;"&amp;'19_Расчет_аналитики'!Z1571,WeightedMinAge21),MAX(CapacityAge21*'01_Вводные'!$B$218*'19_Расчет_аналитики'!Z1571,MeanMinAge21)))</f>
        <v/>
      </c>
      <c r="AA1496">
        <f>IF(OR('19_Расчет_аналитики'!AA1468=0,21&lt;='01_Вводные'!$B$297),0,'19_Расчет_аналитики'!AA1468*IF('01_Вводные'!$B$239="Да",MeanMinAge21+'19_Расчет_аналитики'!AA1571*SUMIF(ThresholdAge21,"&lt;"&amp;'19_Расчет_аналитики'!AA1571,WeightedRevAge21)-SUMIF(ThresholdAge21,"&lt;"&amp;'19_Расчет_аналитики'!AA1571,WeightedMinAge21),MAX(CapacityAge21*'01_Вводные'!$B$218*'19_Расчет_аналитики'!AA1571,MeanMinAge21)))</f>
        <v/>
      </c>
      <c r="AB1496">
        <f>IF(OR('19_Расчет_аналитики'!AB1468=0,21&lt;='01_Вводные'!$B$297),0,'19_Расчет_аналитики'!AB1468*IF('01_Вводные'!$B$239="Да",MeanMinAge21+'19_Расчет_аналитики'!AB1571*SUMIF(ThresholdAge21,"&lt;"&amp;'19_Расчет_аналитики'!AB1571,WeightedRevAge21)-SUMIF(ThresholdAge21,"&lt;"&amp;'19_Расчет_аналитики'!AB1571,WeightedMinAge21),MAX(CapacityAge21*'01_Вводные'!$B$218*'19_Расчет_аналитики'!AB1571,MeanMinAge21)))</f>
        <v/>
      </c>
      <c r="AC1496">
        <f>IF(OR('19_Расчет_аналитики'!AC1468=0,21&lt;='01_Вводные'!$B$297),0,'19_Расчет_аналитики'!AC1468*IF('01_Вводные'!$B$239="Да",MeanMinAge21+'19_Расчет_аналитики'!AC1571*SUMIF(ThresholdAge21,"&lt;"&amp;'19_Расчет_аналитики'!AC1571,WeightedRevAge21)-SUMIF(ThresholdAge21,"&lt;"&amp;'19_Расчет_аналитики'!AC1571,WeightedMinAge21),MAX(CapacityAge21*'01_Вводные'!$B$218*'19_Расчет_аналитики'!AC1571,MeanMinAge21)))</f>
        <v/>
      </c>
      <c r="AD1496">
        <f>IF(OR('19_Расчет_аналитики'!AD1468=0,21&lt;='01_Вводные'!$B$297),0,'19_Расчет_аналитики'!AD1468*IF('01_Вводные'!$B$239="Да",MeanMinAge21+'19_Расчет_аналитики'!AD1571*SUMIF(ThresholdAge21,"&lt;"&amp;'19_Расчет_аналитики'!AD1571,WeightedRevAge21)-SUMIF(ThresholdAge21,"&lt;"&amp;'19_Расчет_аналитики'!AD1571,WeightedMinAge21),MAX(CapacityAge21*'01_Вводные'!$B$218*'19_Расчет_аналитики'!AD1571,MeanMinAge21)))</f>
        <v/>
      </c>
      <c r="AE1496">
        <f>IF(OR('19_Расчет_аналитики'!AE1468=0,21&lt;='01_Вводные'!$B$297),0,'19_Расчет_аналитики'!AE1468*IF('01_Вводные'!$B$239="Да",MeanMinAge21+'19_Расчет_аналитики'!AE1571*SUMIF(ThresholdAge21,"&lt;"&amp;'19_Расчет_аналитики'!AE1571,WeightedRevAge21)-SUMIF(ThresholdAge21,"&lt;"&amp;'19_Расчет_аналитики'!AE1571,WeightedMinAge21),MAX(CapacityAge21*'01_Вводные'!$B$218*'19_Расчет_аналитики'!AE1571,MeanMinAge21)))</f>
        <v/>
      </c>
      <c r="AF1496">
        <f>IF(OR('19_Расчет_аналитики'!AF1468=0,21&lt;='01_Вводные'!$B$297),0,'19_Расчет_аналитики'!AF1468*IF('01_Вводные'!$B$239="Да",MeanMinAge21+'19_Расчет_аналитики'!AF1571*SUMIF(ThresholdAge21,"&lt;"&amp;'19_Расчет_аналитики'!AF1571,WeightedRevAge21)-SUMIF(ThresholdAge21,"&lt;"&amp;'19_Расчет_аналитики'!AF1571,WeightedMinAge21),MAX(CapacityAge21*'01_Вводные'!$B$218*'19_Расчет_аналитики'!AF1571,MeanMinAge21)))</f>
        <v/>
      </c>
      <c r="AG1496">
        <f>IF(OR('19_Расчет_аналитики'!AG1468=0,21&lt;='01_Вводные'!$B$297),0,'19_Расчет_аналитики'!AG1468*IF('01_Вводные'!$B$239="Да",MeanMinAge21+'19_Расчет_аналитики'!AG1571*SUMIF(ThresholdAge21,"&lt;"&amp;'19_Расчет_аналитики'!AG1571,WeightedRevAge21)-SUMIF(ThresholdAge21,"&lt;"&amp;'19_Расчет_аналитики'!AG1571,WeightedMinAge21),MAX(CapacityAge21*'01_Вводные'!$B$218*'19_Расчет_аналитики'!AG1571,MeanMinAge21)))</f>
        <v/>
      </c>
      <c r="AH1496">
        <f>IF(OR('19_Расчет_аналитики'!AH1468=0,21&lt;='01_Вводные'!$B$297),0,'19_Расчет_аналитики'!AH1468*IF('01_Вводные'!$B$239="Да",MeanMinAge21+'19_Расчет_аналитики'!AH1571*SUMIF(ThresholdAge21,"&lt;"&amp;'19_Расчет_аналитики'!AH1571,WeightedRevAge21)-SUMIF(ThresholdAge21,"&lt;"&amp;'19_Расчет_аналитики'!AH1571,WeightedMinAge21),MAX(CapacityAge21*'01_Вводные'!$B$218*'19_Расчет_аналитики'!AH1571,MeanMinAge21)))</f>
        <v/>
      </c>
      <c r="AI1496">
        <f>IF(OR('19_Расчет_аналитики'!AI1468=0,21&lt;='01_Вводные'!$B$297),0,'19_Расчет_аналитики'!AI1468*IF('01_Вводные'!$B$239="Да",MeanMinAge21+'19_Расчет_аналитики'!AI1571*SUMIF(ThresholdAge21,"&lt;"&amp;'19_Расчет_аналитики'!AI1571,WeightedRevAge21)-SUMIF(ThresholdAge21,"&lt;"&amp;'19_Расчет_аналитики'!AI1571,WeightedMinAge21),MAX(CapacityAge21*'01_Вводные'!$B$218*'19_Расчет_аналитики'!AI1571,MeanMinAge21)))</f>
        <v/>
      </c>
      <c r="AJ1496">
        <f>IF(OR('19_Расчет_аналитики'!AJ1468=0,21&lt;='01_Вводные'!$B$297),0,'19_Расчет_аналитики'!AJ1468*IF('01_Вводные'!$B$239="Да",MeanMinAge21+'19_Расчет_аналитики'!AJ1571*SUMIF(ThresholdAge21,"&lt;"&amp;'19_Расчет_аналитики'!AJ1571,WeightedRevAge21)-SUMIF(ThresholdAge21,"&lt;"&amp;'19_Расчет_аналитики'!AJ1571,WeightedMinAge21),MAX(CapacityAge21*'01_Вводные'!$B$218*'19_Расчет_аналитики'!AJ1571,MeanMinAge21)))</f>
        <v/>
      </c>
      <c r="AK1496">
        <f>IF(OR('19_Расчет_аналитики'!AK1468=0,21&lt;='01_Вводные'!$B$297),0,'19_Расчет_аналитики'!AK1468*IF('01_Вводные'!$B$239="Да",MeanMinAge21+'19_Расчет_аналитики'!AK1571*SUMIF(ThresholdAge21,"&lt;"&amp;'19_Расчет_аналитики'!AK1571,WeightedRevAge21)-SUMIF(ThresholdAge21,"&lt;"&amp;'19_Расчет_аналитики'!AK1571,WeightedMinAge21),MAX(CapacityAge21*'01_Вводные'!$B$218*'19_Расчет_аналитики'!AK1571,MeanMinAge21)))</f>
        <v/>
      </c>
      <c r="AL1496">
        <f>IF(OR('19_Расчет_аналитики'!AL1468=0,21&lt;='01_Вводные'!$B$297),0,'19_Расчет_аналитики'!AL1468*IF('01_Вводные'!$B$239="Да",MeanMinAge21+'19_Расчет_аналитики'!AL1571*SUMIF(ThresholdAge21,"&lt;"&amp;'19_Расчет_аналитики'!AL1571,WeightedRevAge21)-SUMIF(ThresholdAge21,"&lt;"&amp;'19_Расчет_аналитики'!AL1571,WeightedMinAge21),MAX(CapacityAge21*'01_Вводные'!$B$218*'19_Расчет_аналитики'!AL1571,MeanMinAge21)))</f>
        <v/>
      </c>
      <c r="AM1496">
        <f>IF(OR('19_Расчет_аналитики'!AM1468=0,21&lt;='01_Вводные'!$B$297),0,'19_Расчет_аналитики'!AM1468*IF('01_Вводные'!$B$239="Да",MeanMinAge21+'19_Расчет_аналитики'!AM1571*SUMIF(ThresholdAge21,"&lt;"&amp;'19_Расчет_аналитики'!AM1571,WeightedRevAge21)-SUMIF(ThresholdAge21,"&lt;"&amp;'19_Расчет_аналитики'!AM1571,WeightedMinAge21),MAX(CapacityAge21*'01_Вводные'!$B$218*'19_Расчет_аналитики'!AM1571,MeanMinAge21)))</f>
        <v/>
      </c>
      <c r="AN1496">
        <f>IF(OR('19_Расчет_аналитики'!AN1468=0,21&lt;='01_Вводные'!$B$297),0,'19_Расчет_аналитики'!AN1468*IF('01_Вводные'!$B$239="Да",MeanMinAge21+'19_Расчет_аналитики'!AN1571*SUMIF(ThresholdAge21,"&lt;"&amp;'19_Расчет_аналитики'!AN1571,WeightedRevAge21)-SUMIF(ThresholdAge21,"&lt;"&amp;'19_Расчет_аналитики'!AN1571,WeightedMinAge21),MAX(CapacityAge21*'01_Вводные'!$B$218*'19_Расчет_аналитики'!AN1571,MeanMinAge21)))</f>
        <v/>
      </c>
      <c r="AO1496">
        <f>IF(OR('19_Расчет_аналитики'!AO1468=0,21&lt;='01_Вводные'!$B$297),0,'19_Расчет_аналитики'!AO1468*IF('01_Вводные'!$B$239="Да",MeanMinAge21+'19_Расчет_аналитики'!AO1571*SUMIF(ThresholdAge21,"&lt;"&amp;'19_Расчет_аналитики'!AO1571,WeightedRevAge21)-SUMIF(ThresholdAge21,"&lt;"&amp;'19_Расчет_аналитики'!AO1571,WeightedMinAge21),MAX(CapacityAge21*'01_Вводные'!$B$218*'19_Расчет_аналитики'!AO1571,MeanMinAge21)))</f>
        <v/>
      </c>
      <c r="AP1496">
        <f>IF(OR('19_Расчет_аналитики'!AP1468=0,21&lt;='01_Вводные'!$B$297),0,'19_Расчет_аналитики'!AP1468*IF('01_Вводные'!$B$239="Да",MeanMinAge21+'19_Расчет_аналитики'!AP1571*SUMIF(ThresholdAge21,"&lt;"&amp;'19_Расчет_аналитики'!AP1571,WeightedRevAge21)-SUMIF(ThresholdAge21,"&lt;"&amp;'19_Расчет_аналитики'!AP1571,WeightedMinAge21),MAX(CapacityAge21*'01_Вводные'!$B$218*'19_Расчет_аналитики'!AP1571,MeanMinAge21)))</f>
        <v/>
      </c>
      <c r="AQ1496">
        <f>IF(OR('19_Расчет_аналитики'!AQ1468=0,21&lt;='01_Вводные'!$B$297),0,'19_Расчет_аналитики'!AQ1468*IF('01_Вводные'!$B$239="Да",MeanMinAge21+'19_Расчет_аналитики'!AQ1571*SUMIF(ThresholdAge21,"&lt;"&amp;'19_Расчет_аналитики'!AQ1571,WeightedRevAge21)-SUMIF(ThresholdAge21,"&lt;"&amp;'19_Расчет_аналитики'!AQ1571,WeightedMinAge21),MAX(CapacityAge21*'01_Вводные'!$B$218*'19_Расчет_аналитики'!AQ1571,MeanMinAge21)))</f>
        <v/>
      </c>
      <c r="AR1496">
        <f>IF(OR('19_Расчет_аналитики'!AR1468=0,21&lt;='01_Вводные'!$B$297),0,'19_Расчет_аналитики'!AR1468*IF('01_Вводные'!$B$239="Да",MeanMinAge21+'19_Расчет_аналитики'!AR1571*SUMIF(ThresholdAge21,"&lt;"&amp;'19_Расчет_аналитики'!AR1571,WeightedRevAge21)-SUMIF(ThresholdAge21,"&lt;"&amp;'19_Расчет_аналитики'!AR1571,WeightedMinAge21),MAX(CapacityAge21*'01_Вводные'!$B$218*'19_Расчет_аналитики'!AR1571,MeanMinAge21)))</f>
        <v/>
      </c>
      <c r="AS1496">
        <f>IF(OR('19_Расчет_аналитики'!AS1468=0,21&lt;='01_Вводные'!$B$297),0,'19_Расчет_аналитики'!AS1468*IF('01_Вводные'!$B$239="Да",MeanMinAge21+'19_Расчет_аналитики'!AS1571*SUMIF(ThresholdAge21,"&lt;"&amp;'19_Расчет_аналитики'!AS1571,WeightedRevAge21)-SUMIF(ThresholdAge21,"&lt;"&amp;'19_Расчет_аналитики'!AS1571,WeightedMinAge21),MAX(CapacityAge21*'01_Вводные'!$B$218*'19_Расчет_аналитики'!AS1571,MeanMinAge21)))</f>
        <v/>
      </c>
      <c r="AT1496">
        <f>IF(OR('19_Расчет_аналитики'!AT1468=0,21&lt;='01_Вводные'!$B$297),0,'19_Расчет_аналитики'!AT1468*IF('01_Вводные'!$B$239="Да",MeanMinAge21+'19_Расчет_аналитики'!AT1571*SUMIF(ThresholdAge21,"&lt;"&amp;'19_Расчет_аналитики'!AT1571,WeightedRevAge21)-SUMIF(ThresholdAge21,"&lt;"&amp;'19_Расчет_аналитики'!AT1571,WeightedMinAge21),MAX(CapacityAge21*'01_Вводные'!$B$218*'19_Расчет_аналитики'!AT1571,MeanMinAge21)))</f>
        <v/>
      </c>
      <c r="AU1496">
        <f>IF(OR('19_Расчет_аналитики'!AU1468=0,21&lt;='01_Вводные'!$B$297),0,'19_Расчет_аналитики'!AU1468*IF('01_Вводные'!$B$239="Да",MeanMinAge21+'19_Расчет_аналитики'!AU1571*SUMIF(ThresholdAge21,"&lt;"&amp;'19_Расчет_аналитики'!AU1571,WeightedRevAge21)-SUMIF(ThresholdAge21,"&lt;"&amp;'19_Расчет_аналитики'!AU1571,WeightedMinAge21),MAX(CapacityAge21*'01_Вводные'!$B$218*'19_Расчет_аналитики'!AU1571,MeanMinAge21)))</f>
        <v/>
      </c>
      <c r="AV1496">
        <f>IF(OR('19_Расчет_аналитики'!AV1468=0,21&lt;='01_Вводные'!$B$297),0,'19_Расчет_аналитики'!AV1468*IF('01_Вводные'!$B$239="Да",MeanMinAge21+'19_Расчет_аналитики'!AV1571*SUMIF(ThresholdAge21,"&lt;"&amp;'19_Расчет_аналитики'!AV1571,WeightedRevAge21)-SUMIF(ThresholdAge21,"&lt;"&amp;'19_Расчет_аналитики'!AV1571,WeightedMinAge21),MAX(CapacityAge21*'01_Вводные'!$B$218*'19_Расчет_аналитики'!AV1571,MeanMinAge21)))</f>
        <v/>
      </c>
      <c r="AW1496">
        <f>IF(OR('19_Расчет_аналитики'!AW1468=0,21&lt;='01_Вводные'!$B$297),0,'19_Расчет_аналитики'!AW1468*IF('01_Вводные'!$B$239="Да",MeanMinAge21+'19_Расчет_аналитики'!AW1571*SUMIF(ThresholdAge21,"&lt;"&amp;'19_Расчет_аналитики'!AW1571,WeightedRevAge21)-SUMIF(ThresholdAge21,"&lt;"&amp;'19_Расчет_аналитики'!AW1571,WeightedMinAge21),MAX(CapacityAge21*'01_Вводные'!$B$218*'19_Расчет_аналитики'!AW1571,MeanMinAge21)))</f>
        <v/>
      </c>
      <c r="AX1496">
        <f>IF(OR('19_Расчет_аналитики'!AX1468=0,21&lt;='01_Вводные'!$B$297),0,'19_Расчет_аналитики'!AX1468*IF('01_Вводные'!$B$239="Да",MeanMinAge21+'19_Расчет_аналитики'!AX1571*SUMIF(ThresholdAge21,"&lt;"&amp;'19_Расчет_аналитики'!AX1571,WeightedRevAge21)-SUMIF(ThresholdAge21,"&lt;"&amp;'19_Расчет_аналитики'!AX1571,WeightedMinAge21),MAX(CapacityAge21*'01_Вводные'!$B$218*'19_Расчет_аналитики'!AX1571,MeanMinAge21)))</f>
        <v/>
      </c>
      <c r="AY1496">
        <f>IF(OR('19_Расчет_аналитики'!AY1468=0,21&lt;='01_Вводные'!$B$297),0,'19_Расчет_аналитики'!AY1468*IF('01_Вводные'!$B$239="Да",MeanMinAge21+'19_Расчет_аналитики'!AY1571*SUMIF(ThresholdAge21,"&lt;"&amp;'19_Расчет_аналитики'!AY1571,WeightedRevAge21)-SUMIF(ThresholdAge21,"&lt;"&amp;'19_Расчет_аналитики'!AY1571,WeightedMinAge21),MAX(CapacityAge21*'01_Вводные'!$B$218*'19_Расчет_аналитики'!AY1571,MeanMinAge21)))</f>
        <v/>
      </c>
      <c r="AZ1496">
        <f>IF(OR('19_Расчет_аналитики'!AZ1468=0,21&lt;='01_Вводные'!$B$297),0,'19_Расчет_аналитики'!AZ1468*IF('01_Вводные'!$B$239="Да",MeanMinAge21+'19_Расчет_аналитики'!AZ1571*SUMIF(ThresholdAge21,"&lt;"&amp;'19_Расчет_аналитики'!AZ1571,WeightedRevAge21)-SUMIF(ThresholdAge21,"&lt;"&amp;'19_Расчет_аналитики'!AZ1571,WeightedMinAge21),MAX(CapacityAge21*'01_Вводные'!$B$218*'19_Расчет_аналитики'!AZ1571,MeanMinAge21)))</f>
        <v/>
      </c>
      <c r="BA1496">
        <f>IF(OR('19_Расчет_аналитики'!BA1468=0,21&lt;='01_Вводные'!$B$297),0,'19_Расчет_аналитики'!BA1468*IF('01_Вводные'!$B$239="Да",MeanMinAge21+'19_Расчет_аналитики'!BA1571*SUMIF(ThresholdAge21,"&lt;"&amp;'19_Расчет_аналитики'!BA1571,WeightedRevAge21)-SUMIF(ThresholdAge21,"&lt;"&amp;'19_Расчет_аналитики'!BA1571,WeightedMinAge21),MAX(CapacityAge21*'01_Вводные'!$B$218*'19_Расчет_аналитики'!BA1571,MeanMinAge21)))</f>
        <v/>
      </c>
      <c r="BB1496">
        <f>IF(OR('19_Расчет_аналитики'!BB1468=0,21&lt;='01_Вводные'!$B$297),0,'19_Расчет_аналитики'!BB1468*IF('01_Вводные'!$B$239="Да",MeanMinAge21+'19_Расчет_аналитики'!BB1571*SUMIF(ThresholdAge21,"&lt;"&amp;'19_Расчет_аналитики'!BB1571,WeightedRevAge21)-SUMIF(ThresholdAge21,"&lt;"&amp;'19_Расчет_аналитики'!BB1571,WeightedMinAge21),MAX(CapacityAge21*'01_Вводные'!$B$218*'19_Расчет_аналитики'!BB1571,MeanMinAge21)))</f>
        <v/>
      </c>
      <c r="BC1496">
        <f>IF(OR('19_Расчет_аналитики'!BC1468=0,21&lt;='01_Вводные'!$B$297),0,'19_Расчет_аналитики'!BC1468*IF('01_Вводные'!$B$239="Да",MeanMinAge21+'19_Расчет_аналитики'!BC1571*SUMIF(ThresholdAge21,"&lt;"&amp;'19_Расчет_аналитики'!BC1571,WeightedRevAge21)-SUMIF(ThresholdAge21,"&lt;"&amp;'19_Расчет_аналитики'!BC1571,WeightedMinAge21),MAX(CapacityAge21*'01_Вводные'!$B$218*'19_Расчет_аналитики'!BC1571,MeanMinAge21)))</f>
        <v/>
      </c>
      <c r="BD1496">
        <f>IF(OR('19_Расчет_аналитики'!BD1468=0,21&lt;='01_Вводные'!$B$297),0,'19_Расчет_аналитики'!BD1468*IF('01_Вводные'!$B$239="Да",MeanMinAge21+'19_Расчет_аналитики'!BD1571*SUMIF(ThresholdAge21,"&lt;"&amp;'19_Расчет_аналитики'!BD1571,WeightedRevAge21)-SUMIF(ThresholdAge21,"&lt;"&amp;'19_Расчет_аналитики'!BD1571,WeightedMinAge21),MAX(CapacityAge21*'01_Вводные'!$B$218*'19_Расчет_аналитики'!BD1571,MeanMinAge21)))</f>
        <v/>
      </c>
      <c r="BE1496">
        <f>IF(OR('19_Расчет_аналитики'!BE1468=0,21&lt;='01_Вводные'!$B$297),0,'19_Расчет_аналитики'!BE1468*IF('01_Вводные'!$B$239="Да",MeanMinAge21+'19_Расчет_аналитики'!BE1571*SUMIF(ThresholdAge21,"&lt;"&amp;'19_Расчет_аналитики'!BE1571,WeightedRevAge21)-SUMIF(ThresholdAge21,"&lt;"&amp;'19_Расчет_аналитики'!BE1571,WeightedMinAge21),MAX(CapacityAge21*'01_Вводные'!$B$218*'19_Расчет_аналитики'!BE1571,MeanMinAge21)))</f>
        <v/>
      </c>
      <c r="BF1496">
        <f>IF(OR('19_Расчет_аналитики'!BF1468=0,21&lt;='01_Вводные'!$B$297),0,'19_Расчет_аналитики'!BF1468*IF('01_Вводные'!$B$239="Да",MeanMinAge21+'19_Расчет_аналитики'!BF1571*SUMIF(ThresholdAge21,"&lt;"&amp;'19_Расчет_аналитики'!BF1571,WeightedRevAge21)-SUMIF(ThresholdAge21,"&lt;"&amp;'19_Расчет_аналитики'!BF1571,WeightedMinAge21),MAX(CapacityAge21*'01_Вводные'!$B$218*'19_Расчет_аналитики'!BF1571,MeanMinAge21)))</f>
        <v/>
      </c>
      <c r="BG1496">
        <f>IF(OR('19_Расчет_аналитики'!BG1468=0,21&lt;='01_Вводные'!$B$297),0,'19_Расчет_аналитики'!BG1468*IF('01_Вводные'!$B$239="Да",MeanMinAge21+'19_Расчет_аналитики'!BG1571*SUMIF(ThresholdAge21,"&lt;"&amp;'19_Расчет_аналитики'!BG1571,WeightedRevAge21)-SUMIF(ThresholdAge21,"&lt;"&amp;'19_Расчет_аналитики'!BG1571,WeightedMinAge21),MAX(CapacityAge21*'01_Вводные'!$B$218*'19_Расчет_аналитики'!BG1571,MeanMinAge21)))</f>
        <v/>
      </c>
      <c r="BH1496">
        <f>IF(OR('19_Расчет_аналитики'!BH1468=0,21&lt;='01_Вводные'!$B$297),0,'19_Расчет_аналитики'!BH1468*IF('01_Вводные'!$B$239="Да",MeanMinAge21+'19_Расчет_аналитики'!BH1571*SUMIF(ThresholdAge21,"&lt;"&amp;'19_Расчет_аналитики'!BH1571,WeightedRevAge21)-SUMIF(ThresholdAge21,"&lt;"&amp;'19_Расчет_аналитики'!BH1571,WeightedMinAge21),MAX(CapacityAge21*'01_Вводные'!$B$218*'19_Расчет_аналитики'!BH1571,MeanMinAge21)))</f>
        <v/>
      </c>
      <c r="BI1496">
        <f>IF(OR('19_Расчет_аналитики'!BI1468=0,21&lt;='01_Вводные'!$B$297),0,'19_Расчет_аналитики'!BI1468*IF('01_Вводные'!$B$239="Да",MeanMinAge21+'19_Расчет_аналитики'!BI1571*SUMIF(ThresholdAge21,"&lt;"&amp;'19_Расчет_аналитики'!BI1571,WeightedRevAge21)-SUMIF(ThresholdAge21,"&lt;"&amp;'19_Расчет_аналитики'!BI1571,WeightedMinAge21),MAX(CapacityAge21*'01_Вводные'!$B$218*'19_Расчет_аналитики'!BI1571,MeanMinAge21)))</f>
        <v/>
      </c>
      <c r="BJ1496">
        <f>IF(OR('19_Расчет_аналитики'!BJ1468=0,21&lt;='01_Вводные'!$B$297),0,'19_Расчет_аналитики'!BJ1468*IF('01_Вводные'!$B$239="Да",MeanMinAge21+'19_Расчет_аналитики'!BJ1571*SUMIF(ThresholdAge21,"&lt;"&amp;'19_Расчет_аналитики'!BJ1571,WeightedRevAge21)-SUMIF(ThresholdAge21,"&lt;"&amp;'19_Расчет_аналитики'!BJ1571,WeightedMinAge21),MAX(CapacityAge21*'01_Вводные'!$B$218*'19_Расчет_аналитики'!BJ1571,MeanMinAge21)))</f>
        <v/>
      </c>
      <c r="BK1496">
        <f>IF(OR('19_Расчет_аналитики'!BK1468=0,21&lt;='01_Вводные'!$B$297),0,'19_Расчет_аналитики'!BK1468*IF('01_Вводные'!$B$239="Да",MeanMinAge21+'19_Расчет_аналитики'!BK1571*SUMIF(ThresholdAge21,"&lt;"&amp;'19_Расчет_аналитики'!BK1571,WeightedRevAge21)-SUMIF(ThresholdAge21,"&lt;"&amp;'19_Расчет_аналитики'!BK1571,WeightedMinAge21),MAX(CapacityAge21*'01_Вводные'!$B$218*'19_Расчет_аналитики'!BK1571,MeanMinAge21)))</f>
        <v/>
      </c>
      <c r="BL1496">
        <f>IF(OR('19_Расчет_аналитики'!BL1468=0,21&lt;='01_Вводные'!$B$297),0,'19_Расчет_аналитики'!BL1468*IF('01_Вводные'!$B$239="Да",MeanMinAge21+'19_Расчет_аналитики'!BL1571*SUMIF(ThresholdAge21,"&lt;"&amp;'19_Расчет_аналитики'!BL1571,WeightedRevAge21)-SUMIF(ThresholdAge21,"&lt;"&amp;'19_Расчет_аналитики'!BL1571,WeightedMinAge21),MAX(CapacityAge21*'01_Вводные'!$B$218*'19_Расчет_аналитики'!BL1571,MeanMinAge21)))</f>
        <v/>
      </c>
      <c r="BM1496">
        <f>IF(OR('19_Расчет_аналитики'!BM1468=0,21&lt;='01_Вводные'!$B$297),0,'19_Расчет_аналитики'!BM1468*IF('01_Вводные'!$B$239="Да",MeanMinAge21+'19_Расчет_аналитики'!BM1571*SUMIF(ThresholdAge21,"&lt;"&amp;'19_Расчет_аналитики'!BM1571,WeightedRevAge21)-SUMIF(ThresholdAge21,"&lt;"&amp;'19_Расчет_аналитики'!BM1571,WeightedMinAge21),MAX(CapacityAge21*'01_Вводные'!$B$218*'19_Расчет_аналитики'!BM1571,MeanMinAge21)))</f>
        <v/>
      </c>
      <c r="BN1496">
        <f>IF(OR('19_Расчет_аналитики'!BN1468=0,21&lt;='01_Вводные'!$B$297),0,'19_Расчет_аналитики'!BN1468*IF('01_Вводные'!$B$239="Да",MeanMinAge21+'19_Расчет_аналитики'!BN1571*SUMIF(ThresholdAge21,"&lt;"&amp;'19_Расчет_аналитики'!BN1571,WeightedRevAge21)-SUMIF(ThresholdAge21,"&lt;"&amp;'19_Расчет_аналитики'!BN1571,WeightedMinAge21),MAX(CapacityAge21*'01_Вводные'!$B$218*'19_Расчет_аналитики'!BN1571,MeanMinAge21)))</f>
        <v/>
      </c>
      <c r="BO1496">
        <f>IF(OR('19_Расчет_аналитики'!BO1468=0,21&lt;='01_Вводные'!$B$297),0,'19_Расчет_аналитики'!BO1468*IF('01_Вводные'!$B$239="Да",MeanMinAge21+'19_Расчет_аналитики'!BO1571*SUMIF(ThresholdAge21,"&lt;"&amp;'19_Расчет_аналитики'!BO1571,WeightedRevAge21)-SUMIF(ThresholdAge21,"&lt;"&amp;'19_Расчет_аналитики'!BO1571,WeightedMinAge21),MAX(CapacityAge21*'01_Вводные'!$B$218*'19_Расчет_аналитики'!BO1571,MeanMinAge21)))</f>
        <v/>
      </c>
    </row>
    <row r="1497">
      <c r="B1497">
        <f>IF(OR('06_Сеть_и_дети'!B102=0,22&lt;='01_Вводные'!$B$297),0,'06_Сеть_и_дети'!B102*IF('01_Вводные'!$B$239="Да",MeanMinAge22+'19_Расчет_аналитики'!B1571*SUMIF(ThresholdAge22,"&lt;"&amp;'19_Расчет_аналитики'!B1571,WeightedRevAge22)-SUMIF(ThresholdAge22,"&lt;"&amp;'19_Расчет_аналитики'!B1571,WeightedMinAge22),MAX(CapacityAge22*'01_Вводные'!$B$218*'19_Расчет_аналитики'!B1571,MeanMinAge22)))</f>
        <v/>
      </c>
      <c r="C1497">
        <f>IF(OR('06_Сеть_и_дети'!C102=0,22&lt;='01_Вводные'!$B$297),0,'06_Сеть_и_дети'!C102*IF('01_Вводные'!$B$239="Да",MeanMinAge22+'19_Расчет_аналитики'!C1571*SUMIF(ThresholdAge22,"&lt;"&amp;'19_Расчет_аналитики'!C1571,WeightedRevAge22)-SUMIF(ThresholdAge22,"&lt;"&amp;'19_Расчет_аналитики'!C1571,WeightedMinAge22),MAX(CapacityAge22*'01_Вводные'!$B$218*'19_Расчет_аналитики'!C1571,MeanMinAge22)))</f>
        <v/>
      </c>
      <c r="D1497">
        <f>IF(OR('06_Сеть_и_дети'!D102=0,22&lt;='01_Вводные'!$B$297),0,'06_Сеть_и_дети'!D102*IF('01_Вводные'!$B$239="Да",MeanMinAge22+'19_Расчет_аналитики'!D1571*SUMIF(ThresholdAge22,"&lt;"&amp;'19_Расчет_аналитики'!D1571,WeightedRevAge22)-SUMIF(ThresholdAge22,"&lt;"&amp;'19_Расчет_аналитики'!D1571,WeightedMinAge22),MAX(CapacityAge22*'01_Вводные'!$B$218*'19_Расчет_аналитики'!D1571,MeanMinAge22)))</f>
        <v/>
      </c>
      <c r="E1497">
        <f>IF(OR('06_Сеть_и_дети'!E102=0,22&lt;='01_Вводные'!$B$297),0,'06_Сеть_и_дети'!E102*IF('01_Вводные'!$B$239="Да",MeanMinAge22+'19_Расчет_аналитики'!E1571*SUMIF(ThresholdAge22,"&lt;"&amp;'19_Расчет_аналитики'!E1571,WeightedRevAge22)-SUMIF(ThresholdAge22,"&lt;"&amp;'19_Расчет_аналитики'!E1571,WeightedMinAge22),MAX(CapacityAge22*'01_Вводные'!$B$218*'19_Расчет_аналитики'!E1571,MeanMinAge22)))</f>
        <v/>
      </c>
      <c r="F1497">
        <f>IF(OR('06_Сеть_и_дети'!F102=0,22&lt;='01_Вводные'!$B$297),0,'06_Сеть_и_дети'!F102*IF('01_Вводные'!$B$239="Да",MeanMinAge22+'19_Расчет_аналитики'!F1571*SUMIF(ThresholdAge22,"&lt;"&amp;'19_Расчет_аналитики'!F1571,WeightedRevAge22)-SUMIF(ThresholdAge22,"&lt;"&amp;'19_Расчет_аналитики'!F1571,WeightedMinAge22),MAX(CapacityAge22*'01_Вводные'!$B$218*'19_Расчет_аналитики'!F1571,MeanMinAge22)))</f>
        <v/>
      </c>
      <c r="G1497">
        <f>IF(OR('06_Сеть_и_дети'!G102=0,22&lt;='01_Вводные'!$B$297),0,'06_Сеть_и_дети'!G102*IF('01_Вводные'!$B$239="Да",MeanMinAge22+'19_Расчет_аналитики'!G1571*SUMIF(ThresholdAge22,"&lt;"&amp;'19_Расчет_аналитики'!G1571,WeightedRevAge22)-SUMIF(ThresholdAge22,"&lt;"&amp;'19_Расчет_аналитики'!G1571,WeightedMinAge22),MAX(CapacityAge22*'01_Вводные'!$B$218*'19_Расчет_аналитики'!G1571,MeanMinAge22)))</f>
        <v/>
      </c>
      <c r="H1497">
        <f>IF(OR('06_Сеть_и_дети'!H102=0,22&lt;='01_Вводные'!$B$297),0,'06_Сеть_и_дети'!H102*IF('01_Вводные'!$B$239="Да",MeanMinAge22+'19_Расчет_аналитики'!H1571*SUMIF(ThresholdAge22,"&lt;"&amp;'19_Расчет_аналитики'!H1571,WeightedRevAge22)-SUMIF(ThresholdAge22,"&lt;"&amp;'19_Расчет_аналитики'!H1571,WeightedMinAge22),MAX(CapacityAge22*'01_Вводные'!$B$218*'19_Расчет_аналитики'!H1571,MeanMinAge22)))</f>
        <v/>
      </c>
      <c r="I1497">
        <f>IF(OR('06_Сеть_и_дети'!I102=0,22&lt;='01_Вводные'!$B$297),0,'06_Сеть_и_дети'!I102*IF('01_Вводные'!$B$239="Да",MeanMinAge22+'19_Расчет_аналитики'!I1571*SUMIF(ThresholdAge22,"&lt;"&amp;'19_Расчет_аналитики'!I1571,WeightedRevAge22)-SUMIF(ThresholdAge22,"&lt;"&amp;'19_Расчет_аналитики'!I1571,WeightedMinAge22),MAX(CapacityAge22*'01_Вводные'!$B$218*'19_Расчет_аналитики'!I1571,MeanMinAge22)))</f>
        <v/>
      </c>
      <c r="J1497">
        <f>IF(OR('06_Сеть_и_дети'!J102=0,22&lt;='01_Вводные'!$B$297),0,'06_Сеть_и_дети'!J102*IF('01_Вводные'!$B$239="Да",MeanMinAge22+'19_Расчет_аналитики'!J1571*SUMIF(ThresholdAge22,"&lt;"&amp;'19_Расчет_аналитики'!J1571,WeightedRevAge22)-SUMIF(ThresholdAge22,"&lt;"&amp;'19_Расчет_аналитики'!J1571,WeightedMinAge22),MAX(CapacityAge22*'01_Вводные'!$B$218*'19_Расчет_аналитики'!J1571,MeanMinAge22)))</f>
        <v/>
      </c>
      <c r="K1497">
        <f>IF(OR('06_Сеть_и_дети'!K102=0,22&lt;='01_Вводные'!$B$297),0,'06_Сеть_и_дети'!K102*IF('01_Вводные'!$B$239="Да",MeanMinAge22+'19_Расчет_аналитики'!K1571*SUMIF(ThresholdAge22,"&lt;"&amp;'19_Расчет_аналитики'!K1571,WeightedRevAge22)-SUMIF(ThresholdAge22,"&lt;"&amp;'19_Расчет_аналитики'!K1571,WeightedMinAge22),MAX(CapacityAge22*'01_Вводные'!$B$218*'19_Расчет_аналитики'!K1571,MeanMinAge22)))</f>
        <v/>
      </c>
      <c r="L1497">
        <f>IF(OR('06_Сеть_и_дети'!L102=0,22&lt;='01_Вводные'!$B$297),0,'06_Сеть_и_дети'!L102*IF('01_Вводные'!$B$239="Да",MeanMinAge22+'19_Расчет_аналитики'!L1571*SUMIF(ThresholdAge22,"&lt;"&amp;'19_Расчет_аналитики'!L1571,WeightedRevAge22)-SUMIF(ThresholdAge22,"&lt;"&amp;'19_Расчет_аналитики'!L1571,WeightedMinAge22),MAX(CapacityAge22*'01_Вводные'!$B$218*'19_Расчет_аналитики'!L1571,MeanMinAge22)))</f>
        <v/>
      </c>
      <c r="M1497">
        <f>IF(OR('06_Сеть_и_дети'!M102=0,22&lt;='01_Вводные'!$B$297),0,'06_Сеть_и_дети'!M102*IF('01_Вводные'!$B$239="Да",MeanMinAge22+'19_Расчет_аналитики'!M1571*SUMIF(ThresholdAge22,"&lt;"&amp;'19_Расчет_аналитики'!M1571,WeightedRevAge22)-SUMIF(ThresholdAge22,"&lt;"&amp;'19_Расчет_аналитики'!M1571,WeightedMinAge22),MAX(CapacityAge22*'01_Вводные'!$B$218*'19_Расчет_аналитики'!M1571,MeanMinAge22)))</f>
        <v/>
      </c>
      <c r="N1497">
        <f>IF(OR('06_Сеть_и_дети'!N102=0,22&lt;='01_Вводные'!$B$297),0,'06_Сеть_и_дети'!N102*IF('01_Вводные'!$B$239="Да",MeanMinAge22+'19_Расчет_аналитики'!N1571*SUMIF(ThresholdAge22,"&lt;"&amp;'19_Расчет_аналитики'!N1571,WeightedRevAge22)-SUMIF(ThresholdAge22,"&lt;"&amp;'19_Расчет_аналитики'!N1571,WeightedMinAge22),MAX(CapacityAge22*'01_Вводные'!$B$218*'19_Расчет_аналитики'!N1571,MeanMinAge22)))</f>
        <v/>
      </c>
      <c r="O1497">
        <f>IF(OR('06_Сеть_и_дети'!O102=0,22&lt;='01_Вводные'!$B$297),0,'06_Сеть_и_дети'!O102*IF('01_Вводные'!$B$239="Да",MeanMinAge22+'19_Расчет_аналитики'!O1571*SUMIF(ThresholdAge22,"&lt;"&amp;'19_Расчет_аналитики'!O1571,WeightedRevAge22)-SUMIF(ThresholdAge22,"&lt;"&amp;'19_Расчет_аналитики'!O1571,WeightedMinAge22),MAX(CapacityAge22*'01_Вводные'!$B$218*'19_Расчет_аналитики'!O1571,MeanMinAge22)))</f>
        <v/>
      </c>
      <c r="P1497">
        <f>IF(OR('06_Сеть_и_дети'!P102=0,22&lt;='01_Вводные'!$B$297),0,'06_Сеть_и_дети'!P102*IF('01_Вводные'!$B$239="Да",MeanMinAge22+'19_Расчет_аналитики'!P1571*SUMIF(ThresholdAge22,"&lt;"&amp;'19_Расчет_аналитики'!P1571,WeightedRevAge22)-SUMIF(ThresholdAge22,"&lt;"&amp;'19_Расчет_аналитики'!P1571,WeightedMinAge22),MAX(CapacityAge22*'01_Вводные'!$B$218*'19_Расчет_аналитики'!P1571,MeanMinAge22)))</f>
        <v/>
      </c>
      <c r="Q1497">
        <f>IF(OR('06_Сеть_и_дети'!Q102=0,22&lt;='01_Вводные'!$B$297),0,'06_Сеть_и_дети'!Q102*IF('01_Вводные'!$B$239="Да",MeanMinAge22+'19_Расчет_аналитики'!Q1571*SUMIF(ThresholdAge22,"&lt;"&amp;'19_Расчет_аналитики'!Q1571,WeightedRevAge22)-SUMIF(ThresholdAge22,"&lt;"&amp;'19_Расчет_аналитики'!Q1571,WeightedMinAge22),MAX(CapacityAge22*'01_Вводные'!$B$218*'19_Расчет_аналитики'!Q1571,MeanMinAge22)))</f>
        <v/>
      </c>
      <c r="R1497">
        <f>IF(OR('06_Сеть_и_дети'!R102=0,22&lt;='01_Вводные'!$B$297),0,'06_Сеть_и_дети'!R102*IF('01_Вводные'!$B$239="Да",MeanMinAge22+'19_Расчет_аналитики'!R1571*SUMIF(ThresholdAge22,"&lt;"&amp;'19_Расчет_аналитики'!R1571,WeightedRevAge22)-SUMIF(ThresholdAge22,"&lt;"&amp;'19_Расчет_аналитики'!R1571,WeightedMinAge22),MAX(CapacityAge22*'01_Вводные'!$B$218*'19_Расчет_аналитики'!R1571,MeanMinAge22)))</f>
        <v/>
      </c>
      <c r="S1497">
        <f>IF(OR('06_Сеть_и_дети'!S102=0,22&lt;='01_Вводные'!$B$297),0,'06_Сеть_и_дети'!S102*IF('01_Вводные'!$B$239="Да",MeanMinAge22+'19_Расчет_аналитики'!S1571*SUMIF(ThresholdAge22,"&lt;"&amp;'19_Расчет_аналитики'!S1571,WeightedRevAge22)-SUMIF(ThresholdAge22,"&lt;"&amp;'19_Расчет_аналитики'!S1571,WeightedMinAge22),MAX(CapacityAge22*'01_Вводные'!$B$218*'19_Расчет_аналитики'!S1571,MeanMinAge22)))</f>
        <v/>
      </c>
      <c r="T1497">
        <f>IF(OR('06_Сеть_и_дети'!T102=0,22&lt;='01_Вводные'!$B$297),0,'06_Сеть_и_дети'!T102*IF('01_Вводные'!$B$239="Да",MeanMinAge22+'19_Расчет_аналитики'!T1571*SUMIF(ThresholdAge22,"&lt;"&amp;'19_Расчет_аналитики'!T1571,WeightedRevAge22)-SUMIF(ThresholdAge22,"&lt;"&amp;'19_Расчет_аналитики'!T1571,WeightedMinAge22),MAX(CapacityAge22*'01_Вводные'!$B$218*'19_Расчет_аналитики'!T1571,MeanMinAge22)))</f>
        <v/>
      </c>
      <c r="U1497">
        <f>IF(OR('06_Сеть_и_дети'!U102=0,22&lt;='01_Вводные'!$B$297),0,'06_Сеть_и_дети'!U102*IF('01_Вводные'!$B$239="Да",MeanMinAge22+'19_Расчет_аналитики'!U1571*SUMIF(ThresholdAge22,"&lt;"&amp;'19_Расчет_аналитики'!U1571,WeightedRevAge22)-SUMIF(ThresholdAge22,"&lt;"&amp;'19_Расчет_аналитики'!U1571,WeightedMinAge22),MAX(CapacityAge22*'01_Вводные'!$B$218*'19_Расчет_аналитики'!U1571,MeanMinAge22)))</f>
        <v/>
      </c>
      <c r="V1497">
        <f>IF(OR('06_Сеть_и_дети'!V102=0,22&lt;='01_Вводные'!$B$297),0,'06_Сеть_и_дети'!V102*IF('01_Вводные'!$B$239="Да",MeanMinAge22+'19_Расчет_аналитики'!V1571*SUMIF(ThresholdAge22,"&lt;"&amp;'19_Расчет_аналитики'!V1571,WeightedRevAge22)-SUMIF(ThresholdAge22,"&lt;"&amp;'19_Расчет_аналитики'!V1571,WeightedMinAge22),MAX(CapacityAge22*'01_Вводные'!$B$218*'19_Расчет_аналитики'!V1571,MeanMinAge22)))</f>
        <v/>
      </c>
      <c r="W1497">
        <f>IF(OR('19_Расчет_аналитики'!W1469=0,22&lt;='01_Вводные'!$B$297),0,'19_Расчет_аналитики'!W1469*IF('01_Вводные'!$B$239="Да",MeanMinAge22+'19_Расчет_аналитики'!W1571*SUMIF(ThresholdAge22,"&lt;"&amp;'19_Расчет_аналитики'!W1571,WeightedRevAge22)-SUMIF(ThresholdAge22,"&lt;"&amp;'19_Расчет_аналитики'!W1571,WeightedMinAge22),MAX(CapacityAge22*'01_Вводные'!$B$218*'19_Расчет_аналитики'!W1571,MeanMinAge22)))</f>
        <v/>
      </c>
      <c r="X1497">
        <f>IF(OR('19_Расчет_аналитики'!X1469=0,22&lt;='01_Вводные'!$B$297),0,'19_Расчет_аналитики'!X1469*IF('01_Вводные'!$B$239="Да",MeanMinAge22+'19_Расчет_аналитики'!X1571*SUMIF(ThresholdAge22,"&lt;"&amp;'19_Расчет_аналитики'!X1571,WeightedRevAge22)-SUMIF(ThresholdAge22,"&lt;"&amp;'19_Расчет_аналитики'!X1571,WeightedMinAge22),MAX(CapacityAge22*'01_Вводные'!$B$218*'19_Расчет_аналитики'!X1571,MeanMinAge22)))</f>
        <v/>
      </c>
      <c r="Y1497">
        <f>IF(OR('19_Расчет_аналитики'!Y1469=0,22&lt;='01_Вводные'!$B$297),0,'19_Расчет_аналитики'!Y1469*IF('01_Вводные'!$B$239="Да",MeanMinAge22+'19_Расчет_аналитики'!Y1571*SUMIF(ThresholdAge22,"&lt;"&amp;'19_Расчет_аналитики'!Y1571,WeightedRevAge22)-SUMIF(ThresholdAge22,"&lt;"&amp;'19_Расчет_аналитики'!Y1571,WeightedMinAge22),MAX(CapacityAge22*'01_Вводные'!$B$218*'19_Расчет_аналитики'!Y1571,MeanMinAge22)))</f>
        <v/>
      </c>
      <c r="Z1497">
        <f>IF(OR('19_Расчет_аналитики'!Z1469=0,22&lt;='01_Вводные'!$B$297),0,'19_Расчет_аналитики'!Z1469*IF('01_Вводные'!$B$239="Да",MeanMinAge22+'19_Расчет_аналитики'!Z1571*SUMIF(ThresholdAge22,"&lt;"&amp;'19_Расчет_аналитики'!Z1571,WeightedRevAge22)-SUMIF(ThresholdAge22,"&lt;"&amp;'19_Расчет_аналитики'!Z1571,WeightedMinAge22),MAX(CapacityAge22*'01_Вводные'!$B$218*'19_Расчет_аналитики'!Z1571,MeanMinAge22)))</f>
        <v/>
      </c>
      <c r="AA1497">
        <f>IF(OR('19_Расчет_аналитики'!AA1469=0,22&lt;='01_Вводные'!$B$297),0,'19_Расчет_аналитики'!AA1469*IF('01_Вводные'!$B$239="Да",MeanMinAge22+'19_Расчет_аналитики'!AA1571*SUMIF(ThresholdAge22,"&lt;"&amp;'19_Расчет_аналитики'!AA1571,WeightedRevAge22)-SUMIF(ThresholdAge22,"&lt;"&amp;'19_Расчет_аналитики'!AA1571,WeightedMinAge22),MAX(CapacityAge22*'01_Вводные'!$B$218*'19_Расчет_аналитики'!AA1571,MeanMinAge22)))</f>
        <v/>
      </c>
      <c r="AB1497">
        <f>IF(OR('19_Расчет_аналитики'!AB1469=0,22&lt;='01_Вводные'!$B$297),0,'19_Расчет_аналитики'!AB1469*IF('01_Вводные'!$B$239="Да",MeanMinAge22+'19_Расчет_аналитики'!AB1571*SUMIF(ThresholdAge22,"&lt;"&amp;'19_Расчет_аналитики'!AB1571,WeightedRevAge22)-SUMIF(ThresholdAge22,"&lt;"&amp;'19_Расчет_аналитики'!AB1571,WeightedMinAge22),MAX(CapacityAge22*'01_Вводные'!$B$218*'19_Расчет_аналитики'!AB1571,MeanMinAge22)))</f>
        <v/>
      </c>
      <c r="AC1497">
        <f>IF(OR('19_Расчет_аналитики'!AC1469=0,22&lt;='01_Вводные'!$B$297),0,'19_Расчет_аналитики'!AC1469*IF('01_Вводные'!$B$239="Да",MeanMinAge22+'19_Расчет_аналитики'!AC1571*SUMIF(ThresholdAge22,"&lt;"&amp;'19_Расчет_аналитики'!AC1571,WeightedRevAge22)-SUMIF(ThresholdAge22,"&lt;"&amp;'19_Расчет_аналитики'!AC1571,WeightedMinAge22),MAX(CapacityAge22*'01_Вводные'!$B$218*'19_Расчет_аналитики'!AC1571,MeanMinAge22)))</f>
        <v/>
      </c>
      <c r="AD1497">
        <f>IF(OR('19_Расчет_аналитики'!AD1469=0,22&lt;='01_Вводные'!$B$297),0,'19_Расчет_аналитики'!AD1469*IF('01_Вводные'!$B$239="Да",MeanMinAge22+'19_Расчет_аналитики'!AD1571*SUMIF(ThresholdAge22,"&lt;"&amp;'19_Расчет_аналитики'!AD1571,WeightedRevAge22)-SUMIF(ThresholdAge22,"&lt;"&amp;'19_Расчет_аналитики'!AD1571,WeightedMinAge22),MAX(CapacityAge22*'01_Вводные'!$B$218*'19_Расчет_аналитики'!AD1571,MeanMinAge22)))</f>
        <v/>
      </c>
      <c r="AE1497">
        <f>IF(OR('19_Расчет_аналитики'!AE1469=0,22&lt;='01_Вводные'!$B$297),0,'19_Расчет_аналитики'!AE1469*IF('01_Вводные'!$B$239="Да",MeanMinAge22+'19_Расчет_аналитики'!AE1571*SUMIF(ThresholdAge22,"&lt;"&amp;'19_Расчет_аналитики'!AE1571,WeightedRevAge22)-SUMIF(ThresholdAge22,"&lt;"&amp;'19_Расчет_аналитики'!AE1571,WeightedMinAge22),MAX(CapacityAge22*'01_Вводные'!$B$218*'19_Расчет_аналитики'!AE1571,MeanMinAge22)))</f>
        <v/>
      </c>
      <c r="AF1497">
        <f>IF(OR('19_Расчет_аналитики'!AF1469=0,22&lt;='01_Вводные'!$B$297),0,'19_Расчет_аналитики'!AF1469*IF('01_Вводные'!$B$239="Да",MeanMinAge22+'19_Расчет_аналитики'!AF1571*SUMIF(ThresholdAge22,"&lt;"&amp;'19_Расчет_аналитики'!AF1571,WeightedRevAge22)-SUMIF(ThresholdAge22,"&lt;"&amp;'19_Расчет_аналитики'!AF1571,WeightedMinAge22),MAX(CapacityAge22*'01_Вводные'!$B$218*'19_Расчет_аналитики'!AF1571,MeanMinAge22)))</f>
        <v/>
      </c>
      <c r="AG1497">
        <f>IF(OR('19_Расчет_аналитики'!AG1469=0,22&lt;='01_Вводные'!$B$297),0,'19_Расчет_аналитики'!AG1469*IF('01_Вводные'!$B$239="Да",MeanMinAge22+'19_Расчет_аналитики'!AG1571*SUMIF(ThresholdAge22,"&lt;"&amp;'19_Расчет_аналитики'!AG1571,WeightedRevAge22)-SUMIF(ThresholdAge22,"&lt;"&amp;'19_Расчет_аналитики'!AG1571,WeightedMinAge22),MAX(CapacityAge22*'01_Вводные'!$B$218*'19_Расчет_аналитики'!AG1571,MeanMinAge22)))</f>
        <v/>
      </c>
      <c r="AH1497">
        <f>IF(OR('19_Расчет_аналитики'!AH1469=0,22&lt;='01_Вводные'!$B$297),0,'19_Расчет_аналитики'!AH1469*IF('01_Вводные'!$B$239="Да",MeanMinAge22+'19_Расчет_аналитики'!AH1571*SUMIF(ThresholdAge22,"&lt;"&amp;'19_Расчет_аналитики'!AH1571,WeightedRevAge22)-SUMIF(ThresholdAge22,"&lt;"&amp;'19_Расчет_аналитики'!AH1571,WeightedMinAge22),MAX(CapacityAge22*'01_Вводные'!$B$218*'19_Расчет_аналитики'!AH1571,MeanMinAge22)))</f>
        <v/>
      </c>
      <c r="AI1497">
        <f>IF(OR('19_Расчет_аналитики'!AI1469=0,22&lt;='01_Вводные'!$B$297),0,'19_Расчет_аналитики'!AI1469*IF('01_Вводные'!$B$239="Да",MeanMinAge22+'19_Расчет_аналитики'!AI1571*SUMIF(ThresholdAge22,"&lt;"&amp;'19_Расчет_аналитики'!AI1571,WeightedRevAge22)-SUMIF(ThresholdAge22,"&lt;"&amp;'19_Расчет_аналитики'!AI1571,WeightedMinAge22),MAX(CapacityAge22*'01_Вводные'!$B$218*'19_Расчет_аналитики'!AI1571,MeanMinAge22)))</f>
        <v/>
      </c>
      <c r="AJ1497">
        <f>IF(OR('19_Расчет_аналитики'!AJ1469=0,22&lt;='01_Вводные'!$B$297),0,'19_Расчет_аналитики'!AJ1469*IF('01_Вводные'!$B$239="Да",MeanMinAge22+'19_Расчет_аналитики'!AJ1571*SUMIF(ThresholdAge22,"&lt;"&amp;'19_Расчет_аналитики'!AJ1571,WeightedRevAge22)-SUMIF(ThresholdAge22,"&lt;"&amp;'19_Расчет_аналитики'!AJ1571,WeightedMinAge22),MAX(CapacityAge22*'01_Вводные'!$B$218*'19_Расчет_аналитики'!AJ1571,MeanMinAge22)))</f>
        <v/>
      </c>
      <c r="AK1497">
        <f>IF(OR('19_Расчет_аналитики'!AK1469=0,22&lt;='01_Вводные'!$B$297),0,'19_Расчет_аналитики'!AK1469*IF('01_Вводные'!$B$239="Да",MeanMinAge22+'19_Расчет_аналитики'!AK1571*SUMIF(ThresholdAge22,"&lt;"&amp;'19_Расчет_аналитики'!AK1571,WeightedRevAge22)-SUMIF(ThresholdAge22,"&lt;"&amp;'19_Расчет_аналитики'!AK1571,WeightedMinAge22),MAX(CapacityAge22*'01_Вводные'!$B$218*'19_Расчет_аналитики'!AK1571,MeanMinAge22)))</f>
        <v/>
      </c>
      <c r="AL1497">
        <f>IF(OR('19_Расчет_аналитики'!AL1469=0,22&lt;='01_Вводные'!$B$297),0,'19_Расчет_аналитики'!AL1469*IF('01_Вводные'!$B$239="Да",MeanMinAge22+'19_Расчет_аналитики'!AL1571*SUMIF(ThresholdAge22,"&lt;"&amp;'19_Расчет_аналитики'!AL1571,WeightedRevAge22)-SUMIF(ThresholdAge22,"&lt;"&amp;'19_Расчет_аналитики'!AL1571,WeightedMinAge22),MAX(CapacityAge22*'01_Вводные'!$B$218*'19_Расчет_аналитики'!AL1571,MeanMinAge22)))</f>
        <v/>
      </c>
      <c r="AM1497">
        <f>IF(OR('19_Расчет_аналитики'!AM1469=0,22&lt;='01_Вводные'!$B$297),0,'19_Расчет_аналитики'!AM1469*IF('01_Вводные'!$B$239="Да",MeanMinAge22+'19_Расчет_аналитики'!AM1571*SUMIF(ThresholdAge22,"&lt;"&amp;'19_Расчет_аналитики'!AM1571,WeightedRevAge22)-SUMIF(ThresholdAge22,"&lt;"&amp;'19_Расчет_аналитики'!AM1571,WeightedMinAge22),MAX(CapacityAge22*'01_Вводные'!$B$218*'19_Расчет_аналитики'!AM1571,MeanMinAge22)))</f>
        <v/>
      </c>
      <c r="AN1497">
        <f>IF(OR('19_Расчет_аналитики'!AN1469=0,22&lt;='01_Вводные'!$B$297),0,'19_Расчет_аналитики'!AN1469*IF('01_Вводные'!$B$239="Да",MeanMinAge22+'19_Расчет_аналитики'!AN1571*SUMIF(ThresholdAge22,"&lt;"&amp;'19_Расчет_аналитики'!AN1571,WeightedRevAge22)-SUMIF(ThresholdAge22,"&lt;"&amp;'19_Расчет_аналитики'!AN1571,WeightedMinAge22),MAX(CapacityAge22*'01_Вводные'!$B$218*'19_Расчет_аналитики'!AN1571,MeanMinAge22)))</f>
        <v/>
      </c>
      <c r="AO1497">
        <f>IF(OR('19_Расчет_аналитики'!AO1469=0,22&lt;='01_Вводные'!$B$297),0,'19_Расчет_аналитики'!AO1469*IF('01_Вводные'!$B$239="Да",MeanMinAge22+'19_Расчет_аналитики'!AO1571*SUMIF(ThresholdAge22,"&lt;"&amp;'19_Расчет_аналитики'!AO1571,WeightedRevAge22)-SUMIF(ThresholdAge22,"&lt;"&amp;'19_Расчет_аналитики'!AO1571,WeightedMinAge22),MAX(CapacityAge22*'01_Вводные'!$B$218*'19_Расчет_аналитики'!AO1571,MeanMinAge22)))</f>
        <v/>
      </c>
      <c r="AP1497">
        <f>IF(OR('19_Расчет_аналитики'!AP1469=0,22&lt;='01_Вводные'!$B$297),0,'19_Расчет_аналитики'!AP1469*IF('01_Вводные'!$B$239="Да",MeanMinAge22+'19_Расчет_аналитики'!AP1571*SUMIF(ThresholdAge22,"&lt;"&amp;'19_Расчет_аналитики'!AP1571,WeightedRevAge22)-SUMIF(ThresholdAge22,"&lt;"&amp;'19_Расчет_аналитики'!AP1571,WeightedMinAge22),MAX(CapacityAge22*'01_Вводные'!$B$218*'19_Расчет_аналитики'!AP1571,MeanMinAge22)))</f>
        <v/>
      </c>
      <c r="AQ1497">
        <f>IF(OR('19_Расчет_аналитики'!AQ1469=0,22&lt;='01_Вводные'!$B$297),0,'19_Расчет_аналитики'!AQ1469*IF('01_Вводные'!$B$239="Да",MeanMinAge22+'19_Расчет_аналитики'!AQ1571*SUMIF(ThresholdAge22,"&lt;"&amp;'19_Расчет_аналитики'!AQ1571,WeightedRevAge22)-SUMIF(ThresholdAge22,"&lt;"&amp;'19_Расчет_аналитики'!AQ1571,WeightedMinAge22),MAX(CapacityAge22*'01_Вводные'!$B$218*'19_Расчет_аналитики'!AQ1571,MeanMinAge22)))</f>
        <v/>
      </c>
      <c r="AR1497">
        <f>IF(OR('19_Расчет_аналитики'!AR1469=0,22&lt;='01_Вводные'!$B$297),0,'19_Расчет_аналитики'!AR1469*IF('01_Вводные'!$B$239="Да",MeanMinAge22+'19_Расчет_аналитики'!AR1571*SUMIF(ThresholdAge22,"&lt;"&amp;'19_Расчет_аналитики'!AR1571,WeightedRevAge22)-SUMIF(ThresholdAge22,"&lt;"&amp;'19_Расчет_аналитики'!AR1571,WeightedMinAge22),MAX(CapacityAge22*'01_Вводные'!$B$218*'19_Расчет_аналитики'!AR1571,MeanMinAge22)))</f>
        <v/>
      </c>
      <c r="AS1497">
        <f>IF(OR('19_Расчет_аналитики'!AS1469=0,22&lt;='01_Вводные'!$B$297),0,'19_Расчет_аналитики'!AS1469*IF('01_Вводные'!$B$239="Да",MeanMinAge22+'19_Расчет_аналитики'!AS1571*SUMIF(ThresholdAge22,"&lt;"&amp;'19_Расчет_аналитики'!AS1571,WeightedRevAge22)-SUMIF(ThresholdAge22,"&lt;"&amp;'19_Расчет_аналитики'!AS1571,WeightedMinAge22),MAX(CapacityAge22*'01_Вводные'!$B$218*'19_Расчет_аналитики'!AS1571,MeanMinAge22)))</f>
        <v/>
      </c>
      <c r="AT1497">
        <f>IF(OR('19_Расчет_аналитики'!AT1469=0,22&lt;='01_Вводные'!$B$297),0,'19_Расчет_аналитики'!AT1469*IF('01_Вводные'!$B$239="Да",MeanMinAge22+'19_Расчет_аналитики'!AT1571*SUMIF(ThresholdAge22,"&lt;"&amp;'19_Расчет_аналитики'!AT1571,WeightedRevAge22)-SUMIF(ThresholdAge22,"&lt;"&amp;'19_Расчет_аналитики'!AT1571,WeightedMinAge22),MAX(CapacityAge22*'01_Вводные'!$B$218*'19_Расчет_аналитики'!AT1571,MeanMinAge22)))</f>
        <v/>
      </c>
      <c r="AU1497">
        <f>IF(OR('19_Расчет_аналитики'!AU1469=0,22&lt;='01_Вводные'!$B$297),0,'19_Расчет_аналитики'!AU1469*IF('01_Вводные'!$B$239="Да",MeanMinAge22+'19_Расчет_аналитики'!AU1571*SUMIF(ThresholdAge22,"&lt;"&amp;'19_Расчет_аналитики'!AU1571,WeightedRevAge22)-SUMIF(ThresholdAge22,"&lt;"&amp;'19_Расчет_аналитики'!AU1571,WeightedMinAge22),MAX(CapacityAge22*'01_Вводные'!$B$218*'19_Расчет_аналитики'!AU1571,MeanMinAge22)))</f>
        <v/>
      </c>
      <c r="AV1497">
        <f>IF(OR('19_Расчет_аналитики'!AV1469=0,22&lt;='01_Вводные'!$B$297),0,'19_Расчет_аналитики'!AV1469*IF('01_Вводные'!$B$239="Да",MeanMinAge22+'19_Расчет_аналитики'!AV1571*SUMIF(ThresholdAge22,"&lt;"&amp;'19_Расчет_аналитики'!AV1571,WeightedRevAge22)-SUMIF(ThresholdAge22,"&lt;"&amp;'19_Расчет_аналитики'!AV1571,WeightedMinAge22),MAX(CapacityAge22*'01_Вводные'!$B$218*'19_Расчет_аналитики'!AV1571,MeanMinAge22)))</f>
        <v/>
      </c>
      <c r="AW1497">
        <f>IF(OR('19_Расчет_аналитики'!AW1469=0,22&lt;='01_Вводные'!$B$297),0,'19_Расчет_аналитики'!AW1469*IF('01_Вводные'!$B$239="Да",MeanMinAge22+'19_Расчет_аналитики'!AW1571*SUMIF(ThresholdAge22,"&lt;"&amp;'19_Расчет_аналитики'!AW1571,WeightedRevAge22)-SUMIF(ThresholdAge22,"&lt;"&amp;'19_Расчет_аналитики'!AW1571,WeightedMinAge22),MAX(CapacityAge22*'01_Вводные'!$B$218*'19_Расчет_аналитики'!AW1571,MeanMinAge22)))</f>
        <v/>
      </c>
      <c r="AX1497">
        <f>IF(OR('19_Расчет_аналитики'!AX1469=0,22&lt;='01_Вводные'!$B$297),0,'19_Расчет_аналитики'!AX1469*IF('01_Вводные'!$B$239="Да",MeanMinAge22+'19_Расчет_аналитики'!AX1571*SUMIF(ThresholdAge22,"&lt;"&amp;'19_Расчет_аналитики'!AX1571,WeightedRevAge22)-SUMIF(ThresholdAge22,"&lt;"&amp;'19_Расчет_аналитики'!AX1571,WeightedMinAge22),MAX(CapacityAge22*'01_Вводные'!$B$218*'19_Расчет_аналитики'!AX1571,MeanMinAge22)))</f>
        <v/>
      </c>
      <c r="AY1497">
        <f>IF(OR('19_Расчет_аналитики'!AY1469=0,22&lt;='01_Вводные'!$B$297),0,'19_Расчет_аналитики'!AY1469*IF('01_Вводные'!$B$239="Да",MeanMinAge22+'19_Расчет_аналитики'!AY1571*SUMIF(ThresholdAge22,"&lt;"&amp;'19_Расчет_аналитики'!AY1571,WeightedRevAge22)-SUMIF(ThresholdAge22,"&lt;"&amp;'19_Расчет_аналитики'!AY1571,WeightedMinAge22),MAX(CapacityAge22*'01_Вводные'!$B$218*'19_Расчет_аналитики'!AY1571,MeanMinAge22)))</f>
        <v/>
      </c>
      <c r="AZ1497">
        <f>IF(OR('19_Расчет_аналитики'!AZ1469=0,22&lt;='01_Вводные'!$B$297),0,'19_Расчет_аналитики'!AZ1469*IF('01_Вводные'!$B$239="Да",MeanMinAge22+'19_Расчет_аналитики'!AZ1571*SUMIF(ThresholdAge22,"&lt;"&amp;'19_Расчет_аналитики'!AZ1571,WeightedRevAge22)-SUMIF(ThresholdAge22,"&lt;"&amp;'19_Расчет_аналитики'!AZ1571,WeightedMinAge22),MAX(CapacityAge22*'01_Вводные'!$B$218*'19_Расчет_аналитики'!AZ1571,MeanMinAge22)))</f>
        <v/>
      </c>
      <c r="BA1497">
        <f>IF(OR('19_Расчет_аналитики'!BA1469=0,22&lt;='01_Вводные'!$B$297),0,'19_Расчет_аналитики'!BA1469*IF('01_Вводные'!$B$239="Да",MeanMinAge22+'19_Расчет_аналитики'!BA1571*SUMIF(ThresholdAge22,"&lt;"&amp;'19_Расчет_аналитики'!BA1571,WeightedRevAge22)-SUMIF(ThresholdAge22,"&lt;"&amp;'19_Расчет_аналитики'!BA1571,WeightedMinAge22),MAX(CapacityAge22*'01_Вводные'!$B$218*'19_Расчет_аналитики'!BA1571,MeanMinAge22)))</f>
        <v/>
      </c>
      <c r="BB1497">
        <f>IF(OR('19_Расчет_аналитики'!BB1469=0,22&lt;='01_Вводные'!$B$297),0,'19_Расчет_аналитики'!BB1469*IF('01_Вводные'!$B$239="Да",MeanMinAge22+'19_Расчет_аналитики'!BB1571*SUMIF(ThresholdAge22,"&lt;"&amp;'19_Расчет_аналитики'!BB1571,WeightedRevAge22)-SUMIF(ThresholdAge22,"&lt;"&amp;'19_Расчет_аналитики'!BB1571,WeightedMinAge22),MAX(CapacityAge22*'01_Вводные'!$B$218*'19_Расчет_аналитики'!BB1571,MeanMinAge22)))</f>
        <v/>
      </c>
      <c r="BC1497">
        <f>IF(OR('19_Расчет_аналитики'!BC1469=0,22&lt;='01_Вводные'!$B$297),0,'19_Расчет_аналитики'!BC1469*IF('01_Вводные'!$B$239="Да",MeanMinAge22+'19_Расчет_аналитики'!BC1571*SUMIF(ThresholdAge22,"&lt;"&amp;'19_Расчет_аналитики'!BC1571,WeightedRevAge22)-SUMIF(ThresholdAge22,"&lt;"&amp;'19_Расчет_аналитики'!BC1571,WeightedMinAge22),MAX(CapacityAge22*'01_Вводные'!$B$218*'19_Расчет_аналитики'!BC1571,MeanMinAge22)))</f>
        <v/>
      </c>
      <c r="BD1497">
        <f>IF(OR('19_Расчет_аналитики'!BD1469=0,22&lt;='01_Вводные'!$B$297),0,'19_Расчет_аналитики'!BD1469*IF('01_Вводные'!$B$239="Да",MeanMinAge22+'19_Расчет_аналитики'!BD1571*SUMIF(ThresholdAge22,"&lt;"&amp;'19_Расчет_аналитики'!BD1571,WeightedRevAge22)-SUMIF(ThresholdAge22,"&lt;"&amp;'19_Расчет_аналитики'!BD1571,WeightedMinAge22),MAX(CapacityAge22*'01_Вводные'!$B$218*'19_Расчет_аналитики'!BD1571,MeanMinAge22)))</f>
        <v/>
      </c>
      <c r="BE1497">
        <f>IF(OR('19_Расчет_аналитики'!BE1469=0,22&lt;='01_Вводные'!$B$297),0,'19_Расчет_аналитики'!BE1469*IF('01_Вводные'!$B$239="Да",MeanMinAge22+'19_Расчет_аналитики'!BE1571*SUMIF(ThresholdAge22,"&lt;"&amp;'19_Расчет_аналитики'!BE1571,WeightedRevAge22)-SUMIF(ThresholdAge22,"&lt;"&amp;'19_Расчет_аналитики'!BE1571,WeightedMinAge22),MAX(CapacityAge22*'01_Вводные'!$B$218*'19_Расчет_аналитики'!BE1571,MeanMinAge22)))</f>
        <v/>
      </c>
      <c r="BF1497">
        <f>IF(OR('19_Расчет_аналитики'!BF1469=0,22&lt;='01_Вводные'!$B$297),0,'19_Расчет_аналитики'!BF1469*IF('01_Вводные'!$B$239="Да",MeanMinAge22+'19_Расчет_аналитики'!BF1571*SUMIF(ThresholdAge22,"&lt;"&amp;'19_Расчет_аналитики'!BF1571,WeightedRevAge22)-SUMIF(ThresholdAge22,"&lt;"&amp;'19_Расчет_аналитики'!BF1571,WeightedMinAge22),MAX(CapacityAge22*'01_Вводные'!$B$218*'19_Расчет_аналитики'!BF1571,MeanMinAge22)))</f>
        <v/>
      </c>
      <c r="BG1497">
        <f>IF(OR('19_Расчет_аналитики'!BG1469=0,22&lt;='01_Вводные'!$B$297),0,'19_Расчет_аналитики'!BG1469*IF('01_Вводные'!$B$239="Да",MeanMinAge22+'19_Расчет_аналитики'!BG1571*SUMIF(ThresholdAge22,"&lt;"&amp;'19_Расчет_аналитики'!BG1571,WeightedRevAge22)-SUMIF(ThresholdAge22,"&lt;"&amp;'19_Расчет_аналитики'!BG1571,WeightedMinAge22),MAX(CapacityAge22*'01_Вводные'!$B$218*'19_Расчет_аналитики'!BG1571,MeanMinAge22)))</f>
        <v/>
      </c>
      <c r="BH1497">
        <f>IF(OR('19_Расчет_аналитики'!BH1469=0,22&lt;='01_Вводные'!$B$297),0,'19_Расчет_аналитики'!BH1469*IF('01_Вводные'!$B$239="Да",MeanMinAge22+'19_Расчет_аналитики'!BH1571*SUMIF(ThresholdAge22,"&lt;"&amp;'19_Расчет_аналитики'!BH1571,WeightedRevAge22)-SUMIF(ThresholdAge22,"&lt;"&amp;'19_Расчет_аналитики'!BH1571,WeightedMinAge22),MAX(CapacityAge22*'01_Вводные'!$B$218*'19_Расчет_аналитики'!BH1571,MeanMinAge22)))</f>
        <v/>
      </c>
      <c r="BI1497">
        <f>IF(OR('19_Расчет_аналитики'!BI1469=0,22&lt;='01_Вводные'!$B$297),0,'19_Расчет_аналитики'!BI1469*IF('01_Вводные'!$B$239="Да",MeanMinAge22+'19_Расчет_аналитики'!BI1571*SUMIF(ThresholdAge22,"&lt;"&amp;'19_Расчет_аналитики'!BI1571,WeightedRevAge22)-SUMIF(ThresholdAge22,"&lt;"&amp;'19_Расчет_аналитики'!BI1571,WeightedMinAge22),MAX(CapacityAge22*'01_Вводные'!$B$218*'19_Расчет_аналитики'!BI1571,MeanMinAge22)))</f>
        <v/>
      </c>
      <c r="BJ1497">
        <f>IF(OR('19_Расчет_аналитики'!BJ1469=0,22&lt;='01_Вводные'!$B$297),0,'19_Расчет_аналитики'!BJ1469*IF('01_Вводные'!$B$239="Да",MeanMinAge22+'19_Расчет_аналитики'!BJ1571*SUMIF(ThresholdAge22,"&lt;"&amp;'19_Расчет_аналитики'!BJ1571,WeightedRevAge22)-SUMIF(ThresholdAge22,"&lt;"&amp;'19_Расчет_аналитики'!BJ1571,WeightedMinAge22),MAX(CapacityAge22*'01_Вводные'!$B$218*'19_Расчет_аналитики'!BJ1571,MeanMinAge22)))</f>
        <v/>
      </c>
      <c r="BK1497">
        <f>IF(OR('19_Расчет_аналитики'!BK1469=0,22&lt;='01_Вводные'!$B$297),0,'19_Расчет_аналитики'!BK1469*IF('01_Вводные'!$B$239="Да",MeanMinAge22+'19_Расчет_аналитики'!BK1571*SUMIF(ThresholdAge22,"&lt;"&amp;'19_Расчет_аналитики'!BK1571,WeightedRevAge22)-SUMIF(ThresholdAge22,"&lt;"&amp;'19_Расчет_аналитики'!BK1571,WeightedMinAge22),MAX(CapacityAge22*'01_Вводные'!$B$218*'19_Расчет_аналитики'!BK1571,MeanMinAge22)))</f>
        <v/>
      </c>
      <c r="BL1497">
        <f>IF(OR('19_Расчет_аналитики'!BL1469=0,22&lt;='01_Вводные'!$B$297),0,'19_Расчет_аналитики'!BL1469*IF('01_Вводные'!$B$239="Да",MeanMinAge22+'19_Расчет_аналитики'!BL1571*SUMIF(ThresholdAge22,"&lt;"&amp;'19_Расчет_аналитики'!BL1571,WeightedRevAge22)-SUMIF(ThresholdAge22,"&lt;"&amp;'19_Расчет_аналитики'!BL1571,WeightedMinAge22),MAX(CapacityAge22*'01_Вводные'!$B$218*'19_Расчет_аналитики'!BL1571,MeanMinAge22)))</f>
        <v/>
      </c>
      <c r="BM1497">
        <f>IF(OR('19_Расчет_аналитики'!BM1469=0,22&lt;='01_Вводные'!$B$297),0,'19_Расчет_аналитики'!BM1469*IF('01_Вводные'!$B$239="Да",MeanMinAge22+'19_Расчет_аналитики'!BM1571*SUMIF(ThresholdAge22,"&lt;"&amp;'19_Расчет_аналитики'!BM1571,WeightedRevAge22)-SUMIF(ThresholdAge22,"&lt;"&amp;'19_Расчет_аналитики'!BM1571,WeightedMinAge22),MAX(CapacityAge22*'01_Вводные'!$B$218*'19_Расчет_аналитики'!BM1571,MeanMinAge22)))</f>
        <v/>
      </c>
      <c r="BN1497">
        <f>IF(OR('19_Расчет_аналитики'!BN1469=0,22&lt;='01_Вводные'!$B$297),0,'19_Расчет_аналитики'!BN1469*IF('01_Вводные'!$B$239="Да",MeanMinAge22+'19_Расчет_аналитики'!BN1571*SUMIF(ThresholdAge22,"&lt;"&amp;'19_Расчет_аналитики'!BN1571,WeightedRevAge22)-SUMIF(ThresholdAge22,"&lt;"&amp;'19_Расчет_аналитики'!BN1571,WeightedMinAge22),MAX(CapacityAge22*'01_Вводные'!$B$218*'19_Расчет_аналитики'!BN1571,MeanMinAge22)))</f>
        <v/>
      </c>
      <c r="BO1497">
        <f>IF(OR('19_Расчет_аналитики'!BO1469=0,22&lt;='01_Вводные'!$B$297),0,'19_Расчет_аналитики'!BO1469*IF('01_Вводные'!$B$239="Да",MeanMinAge22+'19_Расчет_аналитики'!BO1571*SUMIF(ThresholdAge22,"&lt;"&amp;'19_Расчет_аналитики'!BO1571,WeightedRevAge22)-SUMIF(ThresholdAge22,"&lt;"&amp;'19_Расчет_аналитики'!BO1571,WeightedMinAge22),MAX(CapacityAge22*'01_Вводные'!$B$218*'19_Расчет_аналитики'!BO1571,MeanMinAge22)))</f>
        <v/>
      </c>
    </row>
    <row r="1498">
      <c r="B1498">
        <f>IF(OR('06_Сеть_и_дети'!B103=0,23&lt;='01_Вводные'!$B$297),0,'06_Сеть_и_дети'!B103*IF('01_Вводные'!$B$239="Да",MeanMinAge23+'19_Расчет_аналитики'!B1571*SUMIF(ThresholdAge23,"&lt;"&amp;'19_Расчет_аналитики'!B1571,WeightedRevAge23)-SUMIF(ThresholdAge23,"&lt;"&amp;'19_Расчет_аналитики'!B1571,WeightedMinAge23),MAX(CapacityAge23*'01_Вводные'!$B$218*'19_Расчет_аналитики'!B1571,MeanMinAge23)))</f>
        <v/>
      </c>
      <c r="C1498">
        <f>IF(OR('06_Сеть_и_дети'!C103=0,23&lt;='01_Вводные'!$B$297),0,'06_Сеть_и_дети'!C103*IF('01_Вводные'!$B$239="Да",MeanMinAge23+'19_Расчет_аналитики'!C1571*SUMIF(ThresholdAge23,"&lt;"&amp;'19_Расчет_аналитики'!C1571,WeightedRevAge23)-SUMIF(ThresholdAge23,"&lt;"&amp;'19_Расчет_аналитики'!C1571,WeightedMinAge23),MAX(CapacityAge23*'01_Вводные'!$B$218*'19_Расчет_аналитики'!C1571,MeanMinAge23)))</f>
        <v/>
      </c>
      <c r="D1498">
        <f>IF(OR('06_Сеть_и_дети'!D103=0,23&lt;='01_Вводные'!$B$297),0,'06_Сеть_и_дети'!D103*IF('01_Вводные'!$B$239="Да",MeanMinAge23+'19_Расчет_аналитики'!D1571*SUMIF(ThresholdAge23,"&lt;"&amp;'19_Расчет_аналитики'!D1571,WeightedRevAge23)-SUMIF(ThresholdAge23,"&lt;"&amp;'19_Расчет_аналитики'!D1571,WeightedMinAge23),MAX(CapacityAge23*'01_Вводные'!$B$218*'19_Расчет_аналитики'!D1571,MeanMinAge23)))</f>
        <v/>
      </c>
      <c r="E1498">
        <f>IF(OR('06_Сеть_и_дети'!E103=0,23&lt;='01_Вводные'!$B$297),0,'06_Сеть_и_дети'!E103*IF('01_Вводные'!$B$239="Да",MeanMinAge23+'19_Расчет_аналитики'!E1571*SUMIF(ThresholdAge23,"&lt;"&amp;'19_Расчет_аналитики'!E1571,WeightedRevAge23)-SUMIF(ThresholdAge23,"&lt;"&amp;'19_Расчет_аналитики'!E1571,WeightedMinAge23),MAX(CapacityAge23*'01_Вводные'!$B$218*'19_Расчет_аналитики'!E1571,MeanMinAge23)))</f>
        <v/>
      </c>
      <c r="F1498">
        <f>IF(OR('06_Сеть_и_дети'!F103=0,23&lt;='01_Вводные'!$B$297),0,'06_Сеть_и_дети'!F103*IF('01_Вводные'!$B$239="Да",MeanMinAge23+'19_Расчет_аналитики'!F1571*SUMIF(ThresholdAge23,"&lt;"&amp;'19_Расчет_аналитики'!F1571,WeightedRevAge23)-SUMIF(ThresholdAge23,"&lt;"&amp;'19_Расчет_аналитики'!F1571,WeightedMinAge23),MAX(CapacityAge23*'01_Вводные'!$B$218*'19_Расчет_аналитики'!F1571,MeanMinAge23)))</f>
        <v/>
      </c>
      <c r="G1498">
        <f>IF(OR('06_Сеть_и_дети'!G103=0,23&lt;='01_Вводные'!$B$297),0,'06_Сеть_и_дети'!G103*IF('01_Вводные'!$B$239="Да",MeanMinAge23+'19_Расчет_аналитики'!G1571*SUMIF(ThresholdAge23,"&lt;"&amp;'19_Расчет_аналитики'!G1571,WeightedRevAge23)-SUMIF(ThresholdAge23,"&lt;"&amp;'19_Расчет_аналитики'!G1571,WeightedMinAge23),MAX(CapacityAge23*'01_Вводные'!$B$218*'19_Расчет_аналитики'!G1571,MeanMinAge23)))</f>
        <v/>
      </c>
      <c r="H1498">
        <f>IF(OR('06_Сеть_и_дети'!H103=0,23&lt;='01_Вводные'!$B$297),0,'06_Сеть_и_дети'!H103*IF('01_Вводные'!$B$239="Да",MeanMinAge23+'19_Расчет_аналитики'!H1571*SUMIF(ThresholdAge23,"&lt;"&amp;'19_Расчет_аналитики'!H1571,WeightedRevAge23)-SUMIF(ThresholdAge23,"&lt;"&amp;'19_Расчет_аналитики'!H1571,WeightedMinAge23),MAX(CapacityAge23*'01_Вводные'!$B$218*'19_Расчет_аналитики'!H1571,MeanMinAge23)))</f>
        <v/>
      </c>
      <c r="I1498">
        <f>IF(OR('06_Сеть_и_дети'!I103=0,23&lt;='01_Вводные'!$B$297),0,'06_Сеть_и_дети'!I103*IF('01_Вводные'!$B$239="Да",MeanMinAge23+'19_Расчет_аналитики'!I1571*SUMIF(ThresholdAge23,"&lt;"&amp;'19_Расчет_аналитики'!I1571,WeightedRevAge23)-SUMIF(ThresholdAge23,"&lt;"&amp;'19_Расчет_аналитики'!I1571,WeightedMinAge23),MAX(CapacityAge23*'01_Вводные'!$B$218*'19_Расчет_аналитики'!I1571,MeanMinAge23)))</f>
        <v/>
      </c>
      <c r="J1498">
        <f>IF(OR('06_Сеть_и_дети'!J103=0,23&lt;='01_Вводные'!$B$297),0,'06_Сеть_и_дети'!J103*IF('01_Вводные'!$B$239="Да",MeanMinAge23+'19_Расчет_аналитики'!J1571*SUMIF(ThresholdAge23,"&lt;"&amp;'19_Расчет_аналитики'!J1571,WeightedRevAge23)-SUMIF(ThresholdAge23,"&lt;"&amp;'19_Расчет_аналитики'!J1571,WeightedMinAge23),MAX(CapacityAge23*'01_Вводные'!$B$218*'19_Расчет_аналитики'!J1571,MeanMinAge23)))</f>
        <v/>
      </c>
      <c r="K1498">
        <f>IF(OR('06_Сеть_и_дети'!K103=0,23&lt;='01_Вводные'!$B$297),0,'06_Сеть_и_дети'!K103*IF('01_Вводные'!$B$239="Да",MeanMinAge23+'19_Расчет_аналитики'!K1571*SUMIF(ThresholdAge23,"&lt;"&amp;'19_Расчет_аналитики'!K1571,WeightedRevAge23)-SUMIF(ThresholdAge23,"&lt;"&amp;'19_Расчет_аналитики'!K1571,WeightedMinAge23),MAX(CapacityAge23*'01_Вводные'!$B$218*'19_Расчет_аналитики'!K1571,MeanMinAge23)))</f>
        <v/>
      </c>
      <c r="L1498">
        <f>IF(OR('06_Сеть_и_дети'!L103=0,23&lt;='01_Вводные'!$B$297),0,'06_Сеть_и_дети'!L103*IF('01_Вводные'!$B$239="Да",MeanMinAge23+'19_Расчет_аналитики'!L1571*SUMIF(ThresholdAge23,"&lt;"&amp;'19_Расчет_аналитики'!L1571,WeightedRevAge23)-SUMIF(ThresholdAge23,"&lt;"&amp;'19_Расчет_аналитики'!L1571,WeightedMinAge23),MAX(CapacityAge23*'01_Вводные'!$B$218*'19_Расчет_аналитики'!L1571,MeanMinAge23)))</f>
        <v/>
      </c>
      <c r="M1498">
        <f>IF(OR('06_Сеть_и_дети'!M103=0,23&lt;='01_Вводные'!$B$297),0,'06_Сеть_и_дети'!M103*IF('01_Вводные'!$B$239="Да",MeanMinAge23+'19_Расчет_аналитики'!M1571*SUMIF(ThresholdAge23,"&lt;"&amp;'19_Расчет_аналитики'!M1571,WeightedRevAge23)-SUMIF(ThresholdAge23,"&lt;"&amp;'19_Расчет_аналитики'!M1571,WeightedMinAge23),MAX(CapacityAge23*'01_Вводные'!$B$218*'19_Расчет_аналитики'!M1571,MeanMinAge23)))</f>
        <v/>
      </c>
      <c r="N1498">
        <f>IF(OR('06_Сеть_и_дети'!N103=0,23&lt;='01_Вводные'!$B$297),0,'06_Сеть_и_дети'!N103*IF('01_Вводные'!$B$239="Да",MeanMinAge23+'19_Расчет_аналитики'!N1571*SUMIF(ThresholdAge23,"&lt;"&amp;'19_Расчет_аналитики'!N1571,WeightedRevAge23)-SUMIF(ThresholdAge23,"&lt;"&amp;'19_Расчет_аналитики'!N1571,WeightedMinAge23),MAX(CapacityAge23*'01_Вводные'!$B$218*'19_Расчет_аналитики'!N1571,MeanMinAge23)))</f>
        <v/>
      </c>
      <c r="O1498">
        <f>IF(OR('06_Сеть_и_дети'!O103=0,23&lt;='01_Вводные'!$B$297),0,'06_Сеть_и_дети'!O103*IF('01_Вводные'!$B$239="Да",MeanMinAge23+'19_Расчет_аналитики'!O1571*SUMIF(ThresholdAge23,"&lt;"&amp;'19_Расчет_аналитики'!O1571,WeightedRevAge23)-SUMIF(ThresholdAge23,"&lt;"&amp;'19_Расчет_аналитики'!O1571,WeightedMinAge23),MAX(CapacityAge23*'01_Вводные'!$B$218*'19_Расчет_аналитики'!O1571,MeanMinAge23)))</f>
        <v/>
      </c>
      <c r="P1498">
        <f>IF(OR('06_Сеть_и_дети'!P103=0,23&lt;='01_Вводные'!$B$297),0,'06_Сеть_и_дети'!P103*IF('01_Вводные'!$B$239="Да",MeanMinAge23+'19_Расчет_аналитики'!P1571*SUMIF(ThresholdAge23,"&lt;"&amp;'19_Расчет_аналитики'!P1571,WeightedRevAge23)-SUMIF(ThresholdAge23,"&lt;"&amp;'19_Расчет_аналитики'!P1571,WeightedMinAge23),MAX(CapacityAge23*'01_Вводные'!$B$218*'19_Расчет_аналитики'!P1571,MeanMinAge23)))</f>
        <v/>
      </c>
      <c r="Q1498">
        <f>IF(OR('06_Сеть_и_дети'!Q103=0,23&lt;='01_Вводные'!$B$297),0,'06_Сеть_и_дети'!Q103*IF('01_Вводные'!$B$239="Да",MeanMinAge23+'19_Расчет_аналитики'!Q1571*SUMIF(ThresholdAge23,"&lt;"&amp;'19_Расчет_аналитики'!Q1571,WeightedRevAge23)-SUMIF(ThresholdAge23,"&lt;"&amp;'19_Расчет_аналитики'!Q1571,WeightedMinAge23),MAX(CapacityAge23*'01_Вводные'!$B$218*'19_Расчет_аналитики'!Q1571,MeanMinAge23)))</f>
        <v/>
      </c>
      <c r="R1498">
        <f>IF(OR('06_Сеть_и_дети'!R103=0,23&lt;='01_Вводные'!$B$297),0,'06_Сеть_и_дети'!R103*IF('01_Вводные'!$B$239="Да",MeanMinAge23+'19_Расчет_аналитики'!R1571*SUMIF(ThresholdAge23,"&lt;"&amp;'19_Расчет_аналитики'!R1571,WeightedRevAge23)-SUMIF(ThresholdAge23,"&lt;"&amp;'19_Расчет_аналитики'!R1571,WeightedMinAge23),MAX(CapacityAge23*'01_Вводные'!$B$218*'19_Расчет_аналитики'!R1571,MeanMinAge23)))</f>
        <v/>
      </c>
      <c r="S1498">
        <f>IF(OR('06_Сеть_и_дети'!S103=0,23&lt;='01_Вводные'!$B$297),0,'06_Сеть_и_дети'!S103*IF('01_Вводные'!$B$239="Да",MeanMinAge23+'19_Расчет_аналитики'!S1571*SUMIF(ThresholdAge23,"&lt;"&amp;'19_Расчет_аналитики'!S1571,WeightedRevAge23)-SUMIF(ThresholdAge23,"&lt;"&amp;'19_Расчет_аналитики'!S1571,WeightedMinAge23),MAX(CapacityAge23*'01_Вводные'!$B$218*'19_Расчет_аналитики'!S1571,MeanMinAge23)))</f>
        <v/>
      </c>
      <c r="T1498">
        <f>IF(OR('06_Сеть_и_дети'!T103=0,23&lt;='01_Вводные'!$B$297),0,'06_Сеть_и_дети'!T103*IF('01_Вводные'!$B$239="Да",MeanMinAge23+'19_Расчет_аналитики'!T1571*SUMIF(ThresholdAge23,"&lt;"&amp;'19_Расчет_аналитики'!T1571,WeightedRevAge23)-SUMIF(ThresholdAge23,"&lt;"&amp;'19_Расчет_аналитики'!T1571,WeightedMinAge23),MAX(CapacityAge23*'01_Вводные'!$B$218*'19_Расчет_аналитики'!T1571,MeanMinAge23)))</f>
        <v/>
      </c>
      <c r="U1498">
        <f>IF(OR('06_Сеть_и_дети'!U103=0,23&lt;='01_Вводные'!$B$297),0,'06_Сеть_и_дети'!U103*IF('01_Вводные'!$B$239="Да",MeanMinAge23+'19_Расчет_аналитики'!U1571*SUMIF(ThresholdAge23,"&lt;"&amp;'19_Расчет_аналитики'!U1571,WeightedRevAge23)-SUMIF(ThresholdAge23,"&lt;"&amp;'19_Расчет_аналитики'!U1571,WeightedMinAge23),MAX(CapacityAge23*'01_Вводные'!$B$218*'19_Расчет_аналитики'!U1571,MeanMinAge23)))</f>
        <v/>
      </c>
      <c r="V1498">
        <f>IF(OR('06_Сеть_и_дети'!V103=0,23&lt;='01_Вводные'!$B$297),0,'06_Сеть_и_дети'!V103*IF('01_Вводные'!$B$239="Да",MeanMinAge23+'19_Расчет_аналитики'!V1571*SUMIF(ThresholdAge23,"&lt;"&amp;'19_Расчет_аналитики'!V1571,WeightedRevAge23)-SUMIF(ThresholdAge23,"&lt;"&amp;'19_Расчет_аналитики'!V1571,WeightedMinAge23),MAX(CapacityAge23*'01_Вводные'!$B$218*'19_Расчет_аналитики'!V1571,MeanMinAge23)))</f>
        <v/>
      </c>
      <c r="W1498">
        <f>IF(OR('06_Сеть_и_дети'!W103=0,23&lt;='01_Вводные'!$B$297),0,'06_Сеть_и_дети'!W103*IF('01_Вводные'!$B$239="Да",MeanMinAge23+'19_Расчет_аналитики'!W1571*SUMIF(ThresholdAge23,"&lt;"&amp;'19_Расчет_аналитики'!W1571,WeightedRevAge23)-SUMIF(ThresholdAge23,"&lt;"&amp;'19_Расчет_аналитики'!W1571,WeightedMinAge23),MAX(CapacityAge23*'01_Вводные'!$B$218*'19_Расчет_аналитики'!W1571,MeanMinAge23)))</f>
        <v/>
      </c>
      <c r="X1498">
        <f>IF(OR('19_Расчет_аналитики'!X1470=0,23&lt;='01_Вводные'!$B$297),0,'19_Расчет_аналитики'!X1470*IF('01_Вводные'!$B$239="Да",MeanMinAge23+'19_Расчет_аналитики'!X1571*SUMIF(ThresholdAge23,"&lt;"&amp;'19_Расчет_аналитики'!X1571,WeightedRevAge23)-SUMIF(ThresholdAge23,"&lt;"&amp;'19_Расчет_аналитики'!X1571,WeightedMinAge23),MAX(CapacityAge23*'01_Вводные'!$B$218*'19_Расчет_аналитики'!X1571,MeanMinAge23)))</f>
        <v/>
      </c>
      <c r="Y1498">
        <f>IF(OR('19_Расчет_аналитики'!Y1470=0,23&lt;='01_Вводные'!$B$297),0,'19_Расчет_аналитики'!Y1470*IF('01_Вводные'!$B$239="Да",MeanMinAge23+'19_Расчет_аналитики'!Y1571*SUMIF(ThresholdAge23,"&lt;"&amp;'19_Расчет_аналитики'!Y1571,WeightedRevAge23)-SUMIF(ThresholdAge23,"&lt;"&amp;'19_Расчет_аналитики'!Y1571,WeightedMinAge23),MAX(CapacityAge23*'01_Вводные'!$B$218*'19_Расчет_аналитики'!Y1571,MeanMinAge23)))</f>
        <v/>
      </c>
      <c r="Z1498">
        <f>IF(OR('19_Расчет_аналитики'!Z1470=0,23&lt;='01_Вводные'!$B$297),0,'19_Расчет_аналитики'!Z1470*IF('01_Вводные'!$B$239="Да",MeanMinAge23+'19_Расчет_аналитики'!Z1571*SUMIF(ThresholdAge23,"&lt;"&amp;'19_Расчет_аналитики'!Z1571,WeightedRevAge23)-SUMIF(ThresholdAge23,"&lt;"&amp;'19_Расчет_аналитики'!Z1571,WeightedMinAge23),MAX(CapacityAge23*'01_Вводные'!$B$218*'19_Расчет_аналитики'!Z1571,MeanMinAge23)))</f>
        <v/>
      </c>
      <c r="AA1498">
        <f>IF(OR('19_Расчет_аналитики'!AA1470=0,23&lt;='01_Вводные'!$B$297),0,'19_Расчет_аналитики'!AA1470*IF('01_Вводные'!$B$239="Да",MeanMinAge23+'19_Расчет_аналитики'!AA1571*SUMIF(ThresholdAge23,"&lt;"&amp;'19_Расчет_аналитики'!AA1571,WeightedRevAge23)-SUMIF(ThresholdAge23,"&lt;"&amp;'19_Расчет_аналитики'!AA1571,WeightedMinAge23),MAX(CapacityAge23*'01_Вводные'!$B$218*'19_Расчет_аналитики'!AA1571,MeanMinAge23)))</f>
        <v/>
      </c>
      <c r="AB1498">
        <f>IF(OR('19_Расчет_аналитики'!AB1470=0,23&lt;='01_Вводные'!$B$297),0,'19_Расчет_аналитики'!AB1470*IF('01_Вводные'!$B$239="Да",MeanMinAge23+'19_Расчет_аналитики'!AB1571*SUMIF(ThresholdAge23,"&lt;"&amp;'19_Расчет_аналитики'!AB1571,WeightedRevAge23)-SUMIF(ThresholdAge23,"&lt;"&amp;'19_Расчет_аналитики'!AB1571,WeightedMinAge23),MAX(CapacityAge23*'01_Вводные'!$B$218*'19_Расчет_аналитики'!AB1571,MeanMinAge23)))</f>
        <v/>
      </c>
      <c r="AC1498">
        <f>IF(OR('19_Расчет_аналитики'!AC1470=0,23&lt;='01_Вводные'!$B$297),0,'19_Расчет_аналитики'!AC1470*IF('01_Вводные'!$B$239="Да",MeanMinAge23+'19_Расчет_аналитики'!AC1571*SUMIF(ThresholdAge23,"&lt;"&amp;'19_Расчет_аналитики'!AC1571,WeightedRevAge23)-SUMIF(ThresholdAge23,"&lt;"&amp;'19_Расчет_аналитики'!AC1571,WeightedMinAge23),MAX(CapacityAge23*'01_Вводные'!$B$218*'19_Расчет_аналитики'!AC1571,MeanMinAge23)))</f>
        <v/>
      </c>
      <c r="AD1498">
        <f>IF(OR('19_Расчет_аналитики'!AD1470=0,23&lt;='01_Вводные'!$B$297),0,'19_Расчет_аналитики'!AD1470*IF('01_Вводные'!$B$239="Да",MeanMinAge23+'19_Расчет_аналитики'!AD1571*SUMIF(ThresholdAge23,"&lt;"&amp;'19_Расчет_аналитики'!AD1571,WeightedRevAge23)-SUMIF(ThresholdAge23,"&lt;"&amp;'19_Расчет_аналитики'!AD1571,WeightedMinAge23),MAX(CapacityAge23*'01_Вводные'!$B$218*'19_Расчет_аналитики'!AD1571,MeanMinAge23)))</f>
        <v/>
      </c>
      <c r="AE1498">
        <f>IF(OR('19_Расчет_аналитики'!AE1470=0,23&lt;='01_Вводные'!$B$297),0,'19_Расчет_аналитики'!AE1470*IF('01_Вводные'!$B$239="Да",MeanMinAge23+'19_Расчет_аналитики'!AE1571*SUMIF(ThresholdAge23,"&lt;"&amp;'19_Расчет_аналитики'!AE1571,WeightedRevAge23)-SUMIF(ThresholdAge23,"&lt;"&amp;'19_Расчет_аналитики'!AE1571,WeightedMinAge23),MAX(CapacityAge23*'01_Вводные'!$B$218*'19_Расчет_аналитики'!AE1571,MeanMinAge23)))</f>
        <v/>
      </c>
      <c r="AF1498">
        <f>IF(OR('19_Расчет_аналитики'!AF1470=0,23&lt;='01_Вводные'!$B$297),0,'19_Расчет_аналитики'!AF1470*IF('01_Вводные'!$B$239="Да",MeanMinAge23+'19_Расчет_аналитики'!AF1571*SUMIF(ThresholdAge23,"&lt;"&amp;'19_Расчет_аналитики'!AF1571,WeightedRevAge23)-SUMIF(ThresholdAge23,"&lt;"&amp;'19_Расчет_аналитики'!AF1571,WeightedMinAge23),MAX(CapacityAge23*'01_Вводные'!$B$218*'19_Расчет_аналитики'!AF1571,MeanMinAge23)))</f>
        <v/>
      </c>
      <c r="AG1498">
        <f>IF(OR('19_Расчет_аналитики'!AG1470=0,23&lt;='01_Вводные'!$B$297),0,'19_Расчет_аналитики'!AG1470*IF('01_Вводные'!$B$239="Да",MeanMinAge23+'19_Расчет_аналитики'!AG1571*SUMIF(ThresholdAge23,"&lt;"&amp;'19_Расчет_аналитики'!AG1571,WeightedRevAge23)-SUMIF(ThresholdAge23,"&lt;"&amp;'19_Расчет_аналитики'!AG1571,WeightedMinAge23),MAX(CapacityAge23*'01_Вводные'!$B$218*'19_Расчет_аналитики'!AG1571,MeanMinAge23)))</f>
        <v/>
      </c>
      <c r="AH1498">
        <f>IF(OR('19_Расчет_аналитики'!AH1470=0,23&lt;='01_Вводные'!$B$297),0,'19_Расчет_аналитики'!AH1470*IF('01_Вводные'!$B$239="Да",MeanMinAge23+'19_Расчет_аналитики'!AH1571*SUMIF(ThresholdAge23,"&lt;"&amp;'19_Расчет_аналитики'!AH1571,WeightedRevAge23)-SUMIF(ThresholdAge23,"&lt;"&amp;'19_Расчет_аналитики'!AH1571,WeightedMinAge23),MAX(CapacityAge23*'01_Вводные'!$B$218*'19_Расчет_аналитики'!AH1571,MeanMinAge23)))</f>
        <v/>
      </c>
      <c r="AI1498">
        <f>IF(OR('19_Расчет_аналитики'!AI1470=0,23&lt;='01_Вводные'!$B$297),0,'19_Расчет_аналитики'!AI1470*IF('01_Вводные'!$B$239="Да",MeanMinAge23+'19_Расчет_аналитики'!AI1571*SUMIF(ThresholdAge23,"&lt;"&amp;'19_Расчет_аналитики'!AI1571,WeightedRevAge23)-SUMIF(ThresholdAge23,"&lt;"&amp;'19_Расчет_аналитики'!AI1571,WeightedMinAge23),MAX(CapacityAge23*'01_Вводные'!$B$218*'19_Расчет_аналитики'!AI1571,MeanMinAge23)))</f>
        <v/>
      </c>
      <c r="AJ1498">
        <f>IF(OR('19_Расчет_аналитики'!AJ1470=0,23&lt;='01_Вводные'!$B$297),0,'19_Расчет_аналитики'!AJ1470*IF('01_Вводные'!$B$239="Да",MeanMinAge23+'19_Расчет_аналитики'!AJ1571*SUMIF(ThresholdAge23,"&lt;"&amp;'19_Расчет_аналитики'!AJ1571,WeightedRevAge23)-SUMIF(ThresholdAge23,"&lt;"&amp;'19_Расчет_аналитики'!AJ1571,WeightedMinAge23),MAX(CapacityAge23*'01_Вводные'!$B$218*'19_Расчет_аналитики'!AJ1571,MeanMinAge23)))</f>
        <v/>
      </c>
      <c r="AK1498">
        <f>IF(OR('19_Расчет_аналитики'!AK1470=0,23&lt;='01_Вводные'!$B$297),0,'19_Расчет_аналитики'!AK1470*IF('01_Вводные'!$B$239="Да",MeanMinAge23+'19_Расчет_аналитики'!AK1571*SUMIF(ThresholdAge23,"&lt;"&amp;'19_Расчет_аналитики'!AK1571,WeightedRevAge23)-SUMIF(ThresholdAge23,"&lt;"&amp;'19_Расчет_аналитики'!AK1571,WeightedMinAge23),MAX(CapacityAge23*'01_Вводные'!$B$218*'19_Расчет_аналитики'!AK1571,MeanMinAge23)))</f>
        <v/>
      </c>
      <c r="AL1498">
        <f>IF(OR('19_Расчет_аналитики'!AL1470=0,23&lt;='01_Вводные'!$B$297),0,'19_Расчет_аналитики'!AL1470*IF('01_Вводные'!$B$239="Да",MeanMinAge23+'19_Расчет_аналитики'!AL1571*SUMIF(ThresholdAge23,"&lt;"&amp;'19_Расчет_аналитики'!AL1571,WeightedRevAge23)-SUMIF(ThresholdAge23,"&lt;"&amp;'19_Расчет_аналитики'!AL1571,WeightedMinAge23),MAX(CapacityAge23*'01_Вводные'!$B$218*'19_Расчет_аналитики'!AL1571,MeanMinAge23)))</f>
        <v/>
      </c>
      <c r="AM1498">
        <f>IF(OR('19_Расчет_аналитики'!AM1470=0,23&lt;='01_Вводные'!$B$297),0,'19_Расчет_аналитики'!AM1470*IF('01_Вводные'!$B$239="Да",MeanMinAge23+'19_Расчет_аналитики'!AM1571*SUMIF(ThresholdAge23,"&lt;"&amp;'19_Расчет_аналитики'!AM1571,WeightedRevAge23)-SUMIF(ThresholdAge23,"&lt;"&amp;'19_Расчет_аналитики'!AM1571,WeightedMinAge23),MAX(CapacityAge23*'01_Вводные'!$B$218*'19_Расчет_аналитики'!AM1571,MeanMinAge23)))</f>
        <v/>
      </c>
      <c r="AN1498">
        <f>IF(OR('19_Расчет_аналитики'!AN1470=0,23&lt;='01_Вводные'!$B$297),0,'19_Расчет_аналитики'!AN1470*IF('01_Вводные'!$B$239="Да",MeanMinAge23+'19_Расчет_аналитики'!AN1571*SUMIF(ThresholdAge23,"&lt;"&amp;'19_Расчет_аналитики'!AN1571,WeightedRevAge23)-SUMIF(ThresholdAge23,"&lt;"&amp;'19_Расчет_аналитики'!AN1571,WeightedMinAge23),MAX(CapacityAge23*'01_Вводные'!$B$218*'19_Расчет_аналитики'!AN1571,MeanMinAge23)))</f>
        <v/>
      </c>
      <c r="AO1498">
        <f>IF(OR('19_Расчет_аналитики'!AO1470=0,23&lt;='01_Вводные'!$B$297),0,'19_Расчет_аналитики'!AO1470*IF('01_Вводные'!$B$239="Да",MeanMinAge23+'19_Расчет_аналитики'!AO1571*SUMIF(ThresholdAge23,"&lt;"&amp;'19_Расчет_аналитики'!AO1571,WeightedRevAge23)-SUMIF(ThresholdAge23,"&lt;"&amp;'19_Расчет_аналитики'!AO1571,WeightedMinAge23),MAX(CapacityAge23*'01_Вводные'!$B$218*'19_Расчет_аналитики'!AO1571,MeanMinAge23)))</f>
        <v/>
      </c>
      <c r="AP1498">
        <f>IF(OR('19_Расчет_аналитики'!AP1470=0,23&lt;='01_Вводные'!$B$297),0,'19_Расчет_аналитики'!AP1470*IF('01_Вводные'!$B$239="Да",MeanMinAge23+'19_Расчет_аналитики'!AP1571*SUMIF(ThresholdAge23,"&lt;"&amp;'19_Расчет_аналитики'!AP1571,WeightedRevAge23)-SUMIF(ThresholdAge23,"&lt;"&amp;'19_Расчет_аналитики'!AP1571,WeightedMinAge23),MAX(CapacityAge23*'01_Вводные'!$B$218*'19_Расчет_аналитики'!AP1571,MeanMinAge23)))</f>
        <v/>
      </c>
      <c r="AQ1498">
        <f>IF(OR('19_Расчет_аналитики'!AQ1470=0,23&lt;='01_Вводные'!$B$297),0,'19_Расчет_аналитики'!AQ1470*IF('01_Вводные'!$B$239="Да",MeanMinAge23+'19_Расчет_аналитики'!AQ1571*SUMIF(ThresholdAge23,"&lt;"&amp;'19_Расчет_аналитики'!AQ1571,WeightedRevAge23)-SUMIF(ThresholdAge23,"&lt;"&amp;'19_Расчет_аналитики'!AQ1571,WeightedMinAge23),MAX(CapacityAge23*'01_Вводные'!$B$218*'19_Расчет_аналитики'!AQ1571,MeanMinAge23)))</f>
        <v/>
      </c>
      <c r="AR1498">
        <f>IF(OR('19_Расчет_аналитики'!AR1470=0,23&lt;='01_Вводные'!$B$297),0,'19_Расчет_аналитики'!AR1470*IF('01_Вводные'!$B$239="Да",MeanMinAge23+'19_Расчет_аналитики'!AR1571*SUMIF(ThresholdAge23,"&lt;"&amp;'19_Расчет_аналитики'!AR1571,WeightedRevAge23)-SUMIF(ThresholdAge23,"&lt;"&amp;'19_Расчет_аналитики'!AR1571,WeightedMinAge23),MAX(CapacityAge23*'01_Вводные'!$B$218*'19_Расчет_аналитики'!AR1571,MeanMinAge23)))</f>
        <v/>
      </c>
      <c r="AS1498">
        <f>IF(OR('19_Расчет_аналитики'!AS1470=0,23&lt;='01_Вводные'!$B$297),0,'19_Расчет_аналитики'!AS1470*IF('01_Вводные'!$B$239="Да",MeanMinAge23+'19_Расчет_аналитики'!AS1571*SUMIF(ThresholdAge23,"&lt;"&amp;'19_Расчет_аналитики'!AS1571,WeightedRevAge23)-SUMIF(ThresholdAge23,"&lt;"&amp;'19_Расчет_аналитики'!AS1571,WeightedMinAge23),MAX(CapacityAge23*'01_Вводные'!$B$218*'19_Расчет_аналитики'!AS1571,MeanMinAge23)))</f>
        <v/>
      </c>
      <c r="AT1498">
        <f>IF(OR('19_Расчет_аналитики'!AT1470=0,23&lt;='01_Вводные'!$B$297),0,'19_Расчет_аналитики'!AT1470*IF('01_Вводные'!$B$239="Да",MeanMinAge23+'19_Расчет_аналитики'!AT1571*SUMIF(ThresholdAge23,"&lt;"&amp;'19_Расчет_аналитики'!AT1571,WeightedRevAge23)-SUMIF(ThresholdAge23,"&lt;"&amp;'19_Расчет_аналитики'!AT1571,WeightedMinAge23),MAX(CapacityAge23*'01_Вводные'!$B$218*'19_Расчет_аналитики'!AT1571,MeanMinAge23)))</f>
        <v/>
      </c>
      <c r="AU1498">
        <f>IF(OR('19_Расчет_аналитики'!AU1470=0,23&lt;='01_Вводные'!$B$297),0,'19_Расчет_аналитики'!AU1470*IF('01_Вводные'!$B$239="Да",MeanMinAge23+'19_Расчет_аналитики'!AU1571*SUMIF(ThresholdAge23,"&lt;"&amp;'19_Расчет_аналитики'!AU1571,WeightedRevAge23)-SUMIF(ThresholdAge23,"&lt;"&amp;'19_Расчет_аналитики'!AU1571,WeightedMinAge23),MAX(CapacityAge23*'01_Вводные'!$B$218*'19_Расчет_аналитики'!AU1571,MeanMinAge23)))</f>
        <v/>
      </c>
      <c r="AV1498">
        <f>IF(OR('19_Расчет_аналитики'!AV1470=0,23&lt;='01_Вводные'!$B$297),0,'19_Расчет_аналитики'!AV1470*IF('01_Вводные'!$B$239="Да",MeanMinAge23+'19_Расчет_аналитики'!AV1571*SUMIF(ThresholdAge23,"&lt;"&amp;'19_Расчет_аналитики'!AV1571,WeightedRevAge23)-SUMIF(ThresholdAge23,"&lt;"&amp;'19_Расчет_аналитики'!AV1571,WeightedMinAge23),MAX(CapacityAge23*'01_Вводные'!$B$218*'19_Расчет_аналитики'!AV1571,MeanMinAge23)))</f>
        <v/>
      </c>
      <c r="AW1498">
        <f>IF(OR('19_Расчет_аналитики'!AW1470=0,23&lt;='01_Вводные'!$B$297),0,'19_Расчет_аналитики'!AW1470*IF('01_Вводные'!$B$239="Да",MeanMinAge23+'19_Расчет_аналитики'!AW1571*SUMIF(ThresholdAge23,"&lt;"&amp;'19_Расчет_аналитики'!AW1571,WeightedRevAge23)-SUMIF(ThresholdAge23,"&lt;"&amp;'19_Расчет_аналитики'!AW1571,WeightedMinAge23),MAX(CapacityAge23*'01_Вводные'!$B$218*'19_Расчет_аналитики'!AW1571,MeanMinAge23)))</f>
        <v/>
      </c>
      <c r="AX1498">
        <f>IF(OR('19_Расчет_аналитики'!AX1470=0,23&lt;='01_Вводные'!$B$297),0,'19_Расчет_аналитики'!AX1470*IF('01_Вводные'!$B$239="Да",MeanMinAge23+'19_Расчет_аналитики'!AX1571*SUMIF(ThresholdAge23,"&lt;"&amp;'19_Расчет_аналитики'!AX1571,WeightedRevAge23)-SUMIF(ThresholdAge23,"&lt;"&amp;'19_Расчет_аналитики'!AX1571,WeightedMinAge23),MAX(CapacityAge23*'01_Вводные'!$B$218*'19_Расчет_аналитики'!AX1571,MeanMinAge23)))</f>
        <v/>
      </c>
      <c r="AY1498">
        <f>IF(OR('19_Расчет_аналитики'!AY1470=0,23&lt;='01_Вводные'!$B$297),0,'19_Расчет_аналитики'!AY1470*IF('01_Вводные'!$B$239="Да",MeanMinAge23+'19_Расчет_аналитики'!AY1571*SUMIF(ThresholdAge23,"&lt;"&amp;'19_Расчет_аналитики'!AY1571,WeightedRevAge23)-SUMIF(ThresholdAge23,"&lt;"&amp;'19_Расчет_аналитики'!AY1571,WeightedMinAge23),MAX(CapacityAge23*'01_Вводные'!$B$218*'19_Расчет_аналитики'!AY1571,MeanMinAge23)))</f>
        <v/>
      </c>
      <c r="AZ1498">
        <f>IF(OR('19_Расчет_аналитики'!AZ1470=0,23&lt;='01_Вводные'!$B$297),0,'19_Расчет_аналитики'!AZ1470*IF('01_Вводные'!$B$239="Да",MeanMinAge23+'19_Расчет_аналитики'!AZ1571*SUMIF(ThresholdAge23,"&lt;"&amp;'19_Расчет_аналитики'!AZ1571,WeightedRevAge23)-SUMIF(ThresholdAge23,"&lt;"&amp;'19_Расчет_аналитики'!AZ1571,WeightedMinAge23),MAX(CapacityAge23*'01_Вводные'!$B$218*'19_Расчет_аналитики'!AZ1571,MeanMinAge23)))</f>
        <v/>
      </c>
      <c r="BA1498">
        <f>IF(OR('19_Расчет_аналитики'!BA1470=0,23&lt;='01_Вводные'!$B$297),0,'19_Расчет_аналитики'!BA1470*IF('01_Вводные'!$B$239="Да",MeanMinAge23+'19_Расчет_аналитики'!BA1571*SUMIF(ThresholdAge23,"&lt;"&amp;'19_Расчет_аналитики'!BA1571,WeightedRevAge23)-SUMIF(ThresholdAge23,"&lt;"&amp;'19_Расчет_аналитики'!BA1571,WeightedMinAge23),MAX(CapacityAge23*'01_Вводные'!$B$218*'19_Расчет_аналитики'!BA1571,MeanMinAge23)))</f>
        <v/>
      </c>
      <c r="BB1498">
        <f>IF(OR('19_Расчет_аналитики'!BB1470=0,23&lt;='01_Вводные'!$B$297),0,'19_Расчет_аналитики'!BB1470*IF('01_Вводные'!$B$239="Да",MeanMinAge23+'19_Расчет_аналитики'!BB1571*SUMIF(ThresholdAge23,"&lt;"&amp;'19_Расчет_аналитики'!BB1571,WeightedRevAge23)-SUMIF(ThresholdAge23,"&lt;"&amp;'19_Расчет_аналитики'!BB1571,WeightedMinAge23),MAX(CapacityAge23*'01_Вводные'!$B$218*'19_Расчет_аналитики'!BB1571,MeanMinAge23)))</f>
        <v/>
      </c>
      <c r="BC1498">
        <f>IF(OR('19_Расчет_аналитики'!BC1470=0,23&lt;='01_Вводные'!$B$297),0,'19_Расчет_аналитики'!BC1470*IF('01_Вводные'!$B$239="Да",MeanMinAge23+'19_Расчет_аналитики'!BC1571*SUMIF(ThresholdAge23,"&lt;"&amp;'19_Расчет_аналитики'!BC1571,WeightedRevAge23)-SUMIF(ThresholdAge23,"&lt;"&amp;'19_Расчет_аналитики'!BC1571,WeightedMinAge23),MAX(CapacityAge23*'01_Вводные'!$B$218*'19_Расчет_аналитики'!BC1571,MeanMinAge23)))</f>
        <v/>
      </c>
      <c r="BD1498">
        <f>IF(OR('19_Расчет_аналитики'!BD1470=0,23&lt;='01_Вводные'!$B$297),0,'19_Расчет_аналитики'!BD1470*IF('01_Вводные'!$B$239="Да",MeanMinAge23+'19_Расчет_аналитики'!BD1571*SUMIF(ThresholdAge23,"&lt;"&amp;'19_Расчет_аналитики'!BD1571,WeightedRevAge23)-SUMIF(ThresholdAge23,"&lt;"&amp;'19_Расчет_аналитики'!BD1571,WeightedMinAge23),MAX(CapacityAge23*'01_Вводные'!$B$218*'19_Расчет_аналитики'!BD1571,MeanMinAge23)))</f>
        <v/>
      </c>
      <c r="BE1498">
        <f>IF(OR('19_Расчет_аналитики'!BE1470=0,23&lt;='01_Вводные'!$B$297),0,'19_Расчет_аналитики'!BE1470*IF('01_Вводные'!$B$239="Да",MeanMinAge23+'19_Расчет_аналитики'!BE1571*SUMIF(ThresholdAge23,"&lt;"&amp;'19_Расчет_аналитики'!BE1571,WeightedRevAge23)-SUMIF(ThresholdAge23,"&lt;"&amp;'19_Расчет_аналитики'!BE1571,WeightedMinAge23),MAX(CapacityAge23*'01_Вводные'!$B$218*'19_Расчет_аналитики'!BE1571,MeanMinAge23)))</f>
        <v/>
      </c>
      <c r="BF1498">
        <f>IF(OR('19_Расчет_аналитики'!BF1470=0,23&lt;='01_Вводные'!$B$297),0,'19_Расчет_аналитики'!BF1470*IF('01_Вводные'!$B$239="Да",MeanMinAge23+'19_Расчет_аналитики'!BF1571*SUMIF(ThresholdAge23,"&lt;"&amp;'19_Расчет_аналитики'!BF1571,WeightedRevAge23)-SUMIF(ThresholdAge23,"&lt;"&amp;'19_Расчет_аналитики'!BF1571,WeightedMinAge23),MAX(CapacityAge23*'01_Вводные'!$B$218*'19_Расчет_аналитики'!BF1571,MeanMinAge23)))</f>
        <v/>
      </c>
      <c r="BG1498">
        <f>IF(OR('19_Расчет_аналитики'!BG1470=0,23&lt;='01_Вводные'!$B$297),0,'19_Расчет_аналитики'!BG1470*IF('01_Вводные'!$B$239="Да",MeanMinAge23+'19_Расчет_аналитики'!BG1571*SUMIF(ThresholdAge23,"&lt;"&amp;'19_Расчет_аналитики'!BG1571,WeightedRevAge23)-SUMIF(ThresholdAge23,"&lt;"&amp;'19_Расчет_аналитики'!BG1571,WeightedMinAge23),MAX(CapacityAge23*'01_Вводные'!$B$218*'19_Расчет_аналитики'!BG1571,MeanMinAge23)))</f>
        <v/>
      </c>
      <c r="BH1498">
        <f>IF(OR('19_Расчет_аналитики'!BH1470=0,23&lt;='01_Вводные'!$B$297),0,'19_Расчет_аналитики'!BH1470*IF('01_Вводные'!$B$239="Да",MeanMinAge23+'19_Расчет_аналитики'!BH1571*SUMIF(ThresholdAge23,"&lt;"&amp;'19_Расчет_аналитики'!BH1571,WeightedRevAge23)-SUMIF(ThresholdAge23,"&lt;"&amp;'19_Расчет_аналитики'!BH1571,WeightedMinAge23),MAX(CapacityAge23*'01_Вводные'!$B$218*'19_Расчет_аналитики'!BH1571,MeanMinAge23)))</f>
        <v/>
      </c>
      <c r="BI1498">
        <f>IF(OR('19_Расчет_аналитики'!BI1470=0,23&lt;='01_Вводные'!$B$297),0,'19_Расчет_аналитики'!BI1470*IF('01_Вводные'!$B$239="Да",MeanMinAge23+'19_Расчет_аналитики'!BI1571*SUMIF(ThresholdAge23,"&lt;"&amp;'19_Расчет_аналитики'!BI1571,WeightedRevAge23)-SUMIF(ThresholdAge23,"&lt;"&amp;'19_Расчет_аналитики'!BI1571,WeightedMinAge23),MAX(CapacityAge23*'01_Вводные'!$B$218*'19_Расчет_аналитики'!BI1571,MeanMinAge23)))</f>
        <v/>
      </c>
      <c r="BJ1498">
        <f>IF(OR('19_Расчет_аналитики'!BJ1470=0,23&lt;='01_Вводные'!$B$297),0,'19_Расчет_аналитики'!BJ1470*IF('01_Вводные'!$B$239="Да",MeanMinAge23+'19_Расчет_аналитики'!BJ1571*SUMIF(ThresholdAge23,"&lt;"&amp;'19_Расчет_аналитики'!BJ1571,WeightedRevAge23)-SUMIF(ThresholdAge23,"&lt;"&amp;'19_Расчет_аналитики'!BJ1571,WeightedMinAge23),MAX(CapacityAge23*'01_Вводные'!$B$218*'19_Расчет_аналитики'!BJ1571,MeanMinAge23)))</f>
        <v/>
      </c>
      <c r="BK1498">
        <f>IF(OR('19_Расчет_аналитики'!BK1470=0,23&lt;='01_Вводные'!$B$297),0,'19_Расчет_аналитики'!BK1470*IF('01_Вводные'!$B$239="Да",MeanMinAge23+'19_Расчет_аналитики'!BK1571*SUMIF(ThresholdAge23,"&lt;"&amp;'19_Расчет_аналитики'!BK1571,WeightedRevAge23)-SUMIF(ThresholdAge23,"&lt;"&amp;'19_Расчет_аналитики'!BK1571,WeightedMinAge23),MAX(CapacityAge23*'01_Вводные'!$B$218*'19_Расчет_аналитики'!BK1571,MeanMinAge23)))</f>
        <v/>
      </c>
      <c r="BL1498">
        <f>IF(OR('19_Расчет_аналитики'!BL1470=0,23&lt;='01_Вводные'!$B$297),0,'19_Расчет_аналитики'!BL1470*IF('01_Вводные'!$B$239="Да",MeanMinAge23+'19_Расчет_аналитики'!BL1571*SUMIF(ThresholdAge23,"&lt;"&amp;'19_Расчет_аналитики'!BL1571,WeightedRevAge23)-SUMIF(ThresholdAge23,"&lt;"&amp;'19_Расчет_аналитики'!BL1571,WeightedMinAge23),MAX(CapacityAge23*'01_Вводные'!$B$218*'19_Расчет_аналитики'!BL1571,MeanMinAge23)))</f>
        <v/>
      </c>
      <c r="BM1498">
        <f>IF(OR('19_Расчет_аналитики'!BM1470=0,23&lt;='01_Вводные'!$B$297),0,'19_Расчет_аналитики'!BM1470*IF('01_Вводные'!$B$239="Да",MeanMinAge23+'19_Расчет_аналитики'!BM1571*SUMIF(ThresholdAge23,"&lt;"&amp;'19_Расчет_аналитики'!BM1571,WeightedRevAge23)-SUMIF(ThresholdAge23,"&lt;"&amp;'19_Расчет_аналитики'!BM1571,WeightedMinAge23),MAX(CapacityAge23*'01_Вводные'!$B$218*'19_Расчет_аналитики'!BM1571,MeanMinAge23)))</f>
        <v/>
      </c>
      <c r="BN1498">
        <f>IF(OR('19_Расчет_аналитики'!BN1470=0,23&lt;='01_Вводные'!$B$297),0,'19_Расчет_аналитики'!BN1470*IF('01_Вводные'!$B$239="Да",MeanMinAge23+'19_Расчет_аналитики'!BN1571*SUMIF(ThresholdAge23,"&lt;"&amp;'19_Расчет_аналитики'!BN1571,WeightedRevAge23)-SUMIF(ThresholdAge23,"&lt;"&amp;'19_Расчет_аналитики'!BN1571,WeightedMinAge23),MAX(CapacityAge23*'01_Вводные'!$B$218*'19_Расчет_аналитики'!BN1571,MeanMinAge23)))</f>
        <v/>
      </c>
      <c r="BO1498">
        <f>IF(OR('19_Расчет_аналитики'!BO1470=0,23&lt;='01_Вводные'!$B$297),0,'19_Расчет_аналитики'!BO1470*IF('01_Вводные'!$B$239="Да",MeanMinAge23+'19_Расчет_аналитики'!BO1571*SUMIF(ThresholdAge23,"&lt;"&amp;'19_Расчет_аналитики'!BO1571,WeightedRevAge23)-SUMIF(ThresholdAge23,"&lt;"&amp;'19_Расчет_аналитики'!BO1571,WeightedMinAge23),MAX(CapacityAge23*'01_Вводные'!$B$218*'19_Расчет_аналитики'!BO1571,MeanMinAge23)))</f>
        <v/>
      </c>
    </row>
    <row r="1499">
      <c r="B1499">
        <f>IF(OR('06_Сеть_и_дети'!B104=0,24&lt;='01_Вводные'!$B$297),0,'06_Сеть_и_дети'!B104*IF('01_Вводные'!$B$239="Да",MeanMinAge24+'19_Расчет_аналитики'!B1571*SUMIF(ThresholdAge24,"&lt;"&amp;'19_Расчет_аналитики'!B1571,WeightedRevAge24)-SUMIF(ThresholdAge24,"&lt;"&amp;'19_Расчет_аналитики'!B1571,WeightedMinAge24),MAX(CapacityAge24*'01_Вводные'!$B$218*'19_Расчет_аналитики'!B1571,MeanMinAge24)))</f>
        <v/>
      </c>
      <c r="C1499">
        <f>IF(OR('06_Сеть_и_дети'!C104=0,24&lt;='01_Вводные'!$B$297),0,'06_Сеть_и_дети'!C104*IF('01_Вводные'!$B$239="Да",MeanMinAge24+'19_Расчет_аналитики'!C1571*SUMIF(ThresholdAge24,"&lt;"&amp;'19_Расчет_аналитики'!C1571,WeightedRevAge24)-SUMIF(ThresholdAge24,"&lt;"&amp;'19_Расчет_аналитики'!C1571,WeightedMinAge24),MAX(CapacityAge24*'01_Вводные'!$B$218*'19_Расчет_аналитики'!C1571,MeanMinAge24)))</f>
        <v/>
      </c>
      <c r="D1499">
        <f>IF(OR('06_Сеть_и_дети'!D104=0,24&lt;='01_Вводные'!$B$297),0,'06_Сеть_и_дети'!D104*IF('01_Вводные'!$B$239="Да",MeanMinAge24+'19_Расчет_аналитики'!D1571*SUMIF(ThresholdAge24,"&lt;"&amp;'19_Расчет_аналитики'!D1571,WeightedRevAge24)-SUMIF(ThresholdAge24,"&lt;"&amp;'19_Расчет_аналитики'!D1571,WeightedMinAge24),MAX(CapacityAge24*'01_Вводные'!$B$218*'19_Расчет_аналитики'!D1571,MeanMinAge24)))</f>
        <v/>
      </c>
      <c r="E1499">
        <f>IF(OR('06_Сеть_и_дети'!E104=0,24&lt;='01_Вводные'!$B$297),0,'06_Сеть_и_дети'!E104*IF('01_Вводные'!$B$239="Да",MeanMinAge24+'19_Расчет_аналитики'!E1571*SUMIF(ThresholdAge24,"&lt;"&amp;'19_Расчет_аналитики'!E1571,WeightedRevAge24)-SUMIF(ThresholdAge24,"&lt;"&amp;'19_Расчет_аналитики'!E1571,WeightedMinAge24),MAX(CapacityAge24*'01_Вводные'!$B$218*'19_Расчет_аналитики'!E1571,MeanMinAge24)))</f>
        <v/>
      </c>
      <c r="F1499">
        <f>IF(OR('06_Сеть_и_дети'!F104=0,24&lt;='01_Вводные'!$B$297),0,'06_Сеть_и_дети'!F104*IF('01_Вводные'!$B$239="Да",MeanMinAge24+'19_Расчет_аналитики'!F1571*SUMIF(ThresholdAge24,"&lt;"&amp;'19_Расчет_аналитики'!F1571,WeightedRevAge24)-SUMIF(ThresholdAge24,"&lt;"&amp;'19_Расчет_аналитики'!F1571,WeightedMinAge24),MAX(CapacityAge24*'01_Вводные'!$B$218*'19_Расчет_аналитики'!F1571,MeanMinAge24)))</f>
        <v/>
      </c>
      <c r="G1499">
        <f>IF(OR('06_Сеть_и_дети'!G104=0,24&lt;='01_Вводные'!$B$297),0,'06_Сеть_и_дети'!G104*IF('01_Вводные'!$B$239="Да",MeanMinAge24+'19_Расчет_аналитики'!G1571*SUMIF(ThresholdAge24,"&lt;"&amp;'19_Расчет_аналитики'!G1571,WeightedRevAge24)-SUMIF(ThresholdAge24,"&lt;"&amp;'19_Расчет_аналитики'!G1571,WeightedMinAge24),MAX(CapacityAge24*'01_Вводные'!$B$218*'19_Расчет_аналитики'!G1571,MeanMinAge24)))</f>
        <v/>
      </c>
      <c r="H1499">
        <f>IF(OR('06_Сеть_и_дети'!H104=0,24&lt;='01_Вводные'!$B$297),0,'06_Сеть_и_дети'!H104*IF('01_Вводные'!$B$239="Да",MeanMinAge24+'19_Расчет_аналитики'!H1571*SUMIF(ThresholdAge24,"&lt;"&amp;'19_Расчет_аналитики'!H1571,WeightedRevAge24)-SUMIF(ThresholdAge24,"&lt;"&amp;'19_Расчет_аналитики'!H1571,WeightedMinAge24),MAX(CapacityAge24*'01_Вводные'!$B$218*'19_Расчет_аналитики'!H1571,MeanMinAge24)))</f>
        <v/>
      </c>
      <c r="I1499">
        <f>IF(OR('06_Сеть_и_дети'!I104=0,24&lt;='01_Вводные'!$B$297),0,'06_Сеть_и_дети'!I104*IF('01_Вводные'!$B$239="Да",MeanMinAge24+'19_Расчет_аналитики'!I1571*SUMIF(ThresholdAge24,"&lt;"&amp;'19_Расчет_аналитики'!I1571,WeightedRevAge24)-SUMIF(ThresholdAge24,"&lt;"&amp;'19_Расчет_аналитики'!I1571,WeightedMinAge24),MAX(CapacityAge24*'01_Вводные'!$B$218*'19_Расчет_аналитики'!I1571,MeanMinAge24)))</f>
        <v/>
      </c>
      <c r="J1499">
        <f>IF(OR('06_Сеть_и_дети'!J104=0,24&lt;='01_Вводные'!$B$297),0,'06_Сеть_и_дети'!J104*IF('01_Вводные'!$B$239="Да",MeanMinAge24+'19_Расчет_аналитики'!J1571*SUMIF(ThresholdAge24,"&lt;"&amp;'19_Расчет_аналитики'!J1571,WeightedRevAge24)-SUMIF(ThresholdAge24,"&lt;"&amp;'19_Расчет_аналитики'!J1571,WeightedMinAge24),MAX(CapacityAge24*'01_Вводные'!$B$218*'19_Расчет_аналитики'!J1571,MeanMinAge24)))</f>
        <v/>
      </c>
      <c r="K1499">
        <f>IF(OR('06_Сеть_и_дети'!K104=0,24&lt;='01_Вводные'!$B$297),0,'06_Сеть_и_дети'!K104*IF('01_Вводные'!$B$239="Да",MeanMinAge24+'19_Расчет_аналитики'!K1571*SUMIF(ThresholdAge24,"&lt;"&amp;'19_Расчет_аналитики'!K1571,WeightedRevAge24)-SUMIF(ThresholdAge24,"&lt;"&amp;'19_Расчет_аналитики'!K1571,WeightedMinAge24),MAX(CapacityAge24*'01_Вводные'!$B$218*'19_Расчет_аналитики'!K1571,MeanMinAge24)))</f>
        <v/>
      </c>
      <c r="L1499">
        <f>IF(OR('06_Сеть_и_дети'!L104=0,24&lt;='01_Вводные'!$B$297),0,'06_Сеть_и_дети'!L104*IF('01_Вводные'!$B$239="Да",MeanMinAge24+'19_Расчет_аналитики'!L1571*SUMIF(ThresholdAge24,"&lt;"&amp;'19_Расчет_аналитики'!L1571,WeightedRevAge24)-SUMIF(ThresholdAge24,"&lt;"&amp;'19_Расчет_аналитики'!L1571,WeightedMinAge24),MAX(CapacityAge24*'01_Вводные'!$B$218*'19_Расчет_аналитики'!L1571,MeanMinAge24)))</f>
        <v/>
      </c>
      <c r="M1499">
        <f>IF(OR('06_Сеть_и_дети'!M104=0,24&lt;='01_Вводные'!$B$297),0,'06_Сеть_и_дети'!M104*IF('01_Вводные'!$B$239="Да",MeanMinAge24+'19_Расчет_аналитики'!M1571*SUMIF(ThresholdAge24,"&lt;"&amp;'19_Расчет_аналитики'!M1571,WeightedRevAge24)-SUMIF(ThresholdAge24,"&lt;"&amp;'19_Расчет_аналитики'!M1571,WeightedMinAge24),MAX(CapacityAge24*'01_Вводные'!$B$218*'19_Расчет_аналитики'!M1571,MeanMinAge24)))</f>
        <v/>
      </c>
      <c r="N1499">
        <f>IF(OR('06_Сеть_и_дети'!N104=0,24&lt;='01_Вводные'!$B$297),0,'06_Сеть_и_дети'!N104*IF('01_Вводные'!$B$239="Да",MeanMinAge24+'19_Расчет_аналитики'!N1571*SUMIF(ThresholdAge24,"&lt;"&amp;'19_Расчет_аналитики'!N1571,WeightedRevAge24)-SUMIF(ThresholdAge24,"&lt;"&amp;'19_Расчет_аналитики'!N1571,WeightedMinAge24),MAX(CapacityAge24*'01_Вводные'!$B$218*'19_Расчет_аналитики'!N1571,MeanMinAge24)))</f>
        <v/>
      </c>
      <c r="O1499">
        <f>IF(OR('06_Сеть_и_дети'!O104=0,24&lt;='01_Вводные'!$B$297),0,'06_Сеть_и_дети'!O104*IF('01_Вводные'!$B$239="Да",MeanMinAge24+'19_Расчет_аналитики'!O1571*SUMIF(ThresholdAge24,"&lt;"&amp;'19_Расчет_аналитики'!O1571,WeightedRevAge24)-SUMIF(ThresholdAge24,"&lt;"&amp;'19_Расчет_аналитики'!O1571,WeightedMinAge24),MAX(CapacityAge24*'01_Вводные'!$B$218*'19_Расчет_аналитики'!O1571,MeanMinAge24)))</f>
        <v/>
      </c>
      <c r="P1499">
        <f>IF(OR('06_Сеть_и_дети'!P104=0,24&lt;='01_Вводные'!$B$297),0,'06_Сеть_и_дети'!P104*IF('01_Вводные'!$B$239="Да",MeanMinAge24+'19_Расчет_аналитики'!P1571*SUMIF(ThresholdAge24,"&lt;"&amp;'19_Расчет_аналитики'!P1571,WeightedRevAge24)-SUMIF(ThresholdAge24,"&lt;"&amp;'19_Расчет_аналитики'!P1571,WeightedMinAge24),MAX(CapacityAge24*'01_Вводные'!$B$218*'19_Расчет_аналитики'!P1571,MeanMinAge24)))</f>
        <v/>
      </c>
      <c r="Q1499">
        <f>IF(OR('06_Сеть_и_дети'!Q104=0,24&lt;='01_Вводные'!$B$297),0,'06_Сеть_и_дети'!Q104*IF('01_Вводные'!$B$239="Да",MeanMinAge24+'19_Расчет_аналитики'!Q1571*SUMIF(ThresholdAge24,"&lt;"&amp;'19_Расчет_аналитики'!Q1571,WeightedRevAge24)-SUMIF(ThresholdAge24,"&lt;"&amp;'19_Расчет_аналитики'!Q1571,WeightedMinAge24),MAX(CapacityAge24*'01_Вводные'!$B$218*'19_Расчет_аналитики'!Q1571,MeanMinAge24)))</f>
        <v/>
      </c>
      <c r="R1499">
        <f>IF(OR('06_Сеть_и_дети'!R104=0,24&lt;='01_Вводные'!$B$297),0,'06_Сеть_и_дети'!R104*IF('01_Вводные'!$B$239="Да",MeanMinAge24+'19_Расчет_аналитики'!R1571*SUMIF(ThresholdAge24,"&lt;"&amp;'19_Расчет_аналитики'!R1571,WeightedRevAge24)-SUMIF(ThresholdAge24,"&lt;"&amp;'19_Расчет_аналитики'!R1571,WeightedMinAge24),MAX(CapacityAge24*'01_Вводные'!$B$218*'19_Расчет_аналитики'!R1571,MeanMinAge24)))</f>
        <v/>
      </c>
      <c r="S1499">
        <f>IF(OR('06_Сеть_и_дети'!S104=0,24&lt;='01_Вводные'!$B$297),0,'06_Сеть_и_дети'!S104*IF('01_Вводные'!$B$239="Да",MeanMinAge24+'19_Расчет_аналитики'!S1571*SUMIF(ThresholdAge24,"&lt;"&amp;'19_Расчет_аналитики'!S1571,WeightedRevAge24)-SUMIF(ThresholdAge24,"&lt;"&amp;'19_Расчет_аналитики'!S1571,WeightedMinAge24),MAX(CapacityAge24*'01_Вводные'!$B$218*'19_Расчет_аналитики'!S1571,MeanMinAge24)))</f>
        <v/>
      </c>
      <c r="T1499">
        <f>IF(OR('06_Сеть_и_дети'!T104=0,24&lt;='01_Вводные'!$B$297),0,'06_Сеть_и_дети'!T104*IF('01_Вводные'!$B$239="Да",MeanMinAge24+'19_Расчет_аналитики'!T1571*SUMIF(ThresholdAge24,"&lt;"&amp;'19_Расчет_аналитики'!T1571,WeightedRevAge24)-SUMIF(ThresholdAge24,"&lt;"&amp;'19_Расчет_аналитики'!T1571,WeightedMinAge24),MAX(CapacityAge24*'01_Вводные'!$B$218*'19_Расчет_аналитики'!T1571,MeanMinAge24)))</f>
        <v/>
      </c>
      <c r="U1499">
        <f>IF(OR('06_Сеть_и_дети'!U104=0,24&lt;='01_Вводные'!$B$297),0,'06_Сеть_и_дети'!U104*IF('01_Вводные'!$B$239="Да",MeanMinAge24+'19_Расчет_аналитики'!U1571*SUMIF(ThresholdAge24,"&lt;"&amp;'19_Расчет_аналитики'!U1571,WeightedRevAge24)-SUMIF(ThresholdAge24,"&lt;"&amp;'19_Расчет_аналитики'!U1571,WeightedMinAge24),MAX(CapacityAge24*'01_Вводные'!$B$218*'19_Расчет_аналитики'!U1571,MeanMinAge24)))</f>
        <v/>
      </c>
      <c r="V1499">
        <f>IF(OR('06_Сеть_и_дети'!V104=0,24&lt;='01_Вводные'!$B$297),0,'06_Сеть_и_дети'!V104*IF('01_Вводные'!$B$239="Да",MeanMinAge24+'19_Расчет_аналитики'!V1571*SUMIF(ThresholdAge24,"&lt;"&amp;'19_Расчет_аналитики'!V1571,WeightedRevAge24)-SUMIF(ThresholdAge24,"&lt;"&amp;'19_Расчет_аналитики'!V1571,WeightedMinAge24),MAX(CapacityAge24*'01_Вводные'!$B$218*'19_Расчет_аналитики'!V1571,MeanMinAge24)))</f>
        <v/>
      </c>
      <c r="W1499">
        <f>IF(OR('06_Сеть_и_дети'!W104=0,24&lt;='01_Вводные'!$B$297),0,'06_Сеть_и_дети'!W104*IF('01_Вводные'!$B$239="Да",MeanMinAge24+'19_Расчет_аналитики'!W1571*SUMIF(ThresholdAge24,"&lt;"&amp;'19_Расчет_аналитики'!W1571,WeightedRevAge24)-SUMIF(ThresholdAge24,"&lt;"&amp;'19_Расчет_аналитики'!W1571,WeightedMinAge24),MAX(CapacityAge24*'01_Вводные'!$B$218*'19_Расчет_аналитики'!W1571,MeanMinAge24)))</f>
        <v/>
      </c>
      <c r="X1499">
        <f>IF(OR('06_Сеть_и_дети'!X104=0,24&lt;='01_Вводные'!$B$297),0,'06_Сеть_и_дети'!X104*IF('01_Вводные'!$B$239="Да",MeanMinAge24+'19_Расчет_аналитики'!X1571*SUMIF(ThresholdAge24,"&lt;"&amp;'19_Расчет_аналитики'!X1571,WeightedRevAge24)-SUMIF(ThresholdAge24,"&lt;"&amp;'19_Расчет_аналитики'!X1571,WeightedMinAge24),MAX(CapacityAge24*'01_Вводные'!$B$218*'19_Расчет_аналитики'!X1571,MeanMinAge24)))</f>
        <v/>
      </c>
      <c r="Y1499">
        <f>IF(OR('19_Расчет_аналитики'!Y1471=0,24&lt;='01_Вводные'!$B$297),0,'19_Расчет_аналитики'!Y1471*IF('01_Вводные'!$B$239="Да",MeanMinAge24+'19_Расчет_аналитики'!Y1571*SUMIF(ThresholdAge24,"&lt;"&amp;'19_Расчет_аналитики'!Y1571,WeightedRevAge24)-SUMIF(ThresholdAge24,"&lt;"&amp;'19_Расчет_аналитики'!Y1571,WeightedMinAge24),MAX(CapacityAge24*'01_Вводные'!$B$218*'19_Расчет_аналитики'!Y1571,MeanMinAge24)))</f>
        <v/>
      </c>
      <c r="Z1499">
        <f>IF(OR('19_Расчет_аналитики'!Z1471=0,24&lt;='01_Вводные'!$B$297),0,'19_Расчет_аналитики'!Z1471*IF('01_Вводные'!$B$239="Да",MeanMinAge24+'19_Расчет_аналитики'!Z1571*SUMIF(ThresholdAge24,"&lt;"&amp;'19_Расчет_аналитики'!Z1571,WeightedRevAge24)-SUMIF(ThresholdAge24,"&lt;"&amp;'19_Расчет_аналитики'!Z1571,WeightedMinAge24),MAX(CapacityAge24*'01_Вводные'!$B$218*'19_Расчет_аналитики'!Z1571,MeanMinAge24)))</f>
        <v/>
      </c>
      <c r="AA1499">
        <f>IF(OR('19_Расчет_аналитики'!AA1471=0,24&lt;='01_Вводные'!$B$297),0,'19_Расчет_аналитики'!AA1471*IF('01_Вводные'!$B$239="Да",MeanMinAge24+'19_Расчет_аналитики'!AA1571*SUMIF(ThresholdAge24,"&lt;"&amp;'19_Расчет_аналитики'!AA1571,WeightedRevAge24)-SUMIF(ThresholdAge24,"&lt;"&amp;'19_Расчет_аналитики'!AA1571,WeightedMinAge24),MAX(CapacityAge24*'01_Вводные'!$B$218*'19_Расчет_аналитики'!AA1571,MeanMinAge24)))</f>
        <v/>
      </c>
      <c r="AB1499">
        <f>IF(OR('19_Расчет_аналитики'!AB1471=0,24&lt;='01_Вводные'!$B$297),0,'19_Расчет_аналитики'!AB1471*IF('01_Вводные'!$B$239="Да",MeanMinAge24+'19_Расчет_аналитики'!AB1571*SUMIF(ThresholdAge24,"&lt;"&amp;'19_Расчет_аналитики'!AB1571,WeightedRevAge24)-SUMIF(ThresholdAge24,"&lt;"&amp;'19_Расчет_аналитики'!AB1571,WeightedMinAge24),MAX(CapacityAge24*'01_Вводные'!$B$218*'19_Расчет_аналитики'!AB1571,MeanMinAge24)))</f>
        <v/>
      </c>
      <c r="AC1499">
        <f>IF(OR('19_Расчет_аналитики'!AC1471=0,24&lt;='01_Вводные'!$B$297),0,'19_Расчет_аналитики'!AC1471*IF('01_Вводные'!$B$239="Да",MeanMinAge24+'19_Расчет_аналитики'!AC1571*SUMIF(ThresholdAge24,"&lt;"&amp;'19_Расчет_аналитики'!AC1571,WeightedRevAge24)-SUMIF(ThresholdAge24,"&lt;"&amp;'19_Расчет_аналитики'!AC1571,WeightedMinAge24),MAX(CapacityAge24*'01_Вводные'!$B$218*'19_Расчет_аналитики'!AC1571,MeanMinAge24)))</f>
        <v/>
      </c>
      <c r="AD1499">
        <f>IF(OR('19_Расчет_аналитики'!AD1471=0,24&lt;='01_Вводные'!$B$297),0,'19_Расчет_аналитики'!AD1471*IF('01_Вводные'!$B$239="Да",MeanMinAge24+'19_Расчет_аналитики'!AD1571*SUMIF(ThresholdAge24,"&lt;"&amp;'19_Расчет_аналитики'!AD1571,WeightedRevAge24)-SUMIF(ThresholdAge24,"&lt;"&amp;'19_Расчет_аналитики'!AD1571,WeightedMinAge24),MAX(CapacityAge24*'01_Вводные'!$B$218*'19_Расчет_аналитики'!AD1571,MeanMinAge24)))</f>
        <v/>
      </c>
      <c r="AE1499">
        <f>IF(OR('19_Расчет_аналитики'!AE1471=0,24&lt;='01_Вводные'!$B$297),0,'19_Расчет_аналитики'!AE1471*IF('01_Вводные'!$B$239="Да",MeanMinAge24+'19_Расчет_аналитики'!AE1571*SUMIF(ThresholdAge24,"&lt;"&amp;'19_Расчет_аналитики'!AE1571,WeightedRevAge24)-SUMIF(ThresholdAge24,"&lt;"&amp;'19_Расчет_аналитики'!AE1571,WeightedMinAge24),MAX(CapacityAge24*'01_Вводные'!$B$218*'19_Расчет_аналитики'!AE1571,MeanMinAge24)))</f>
        <v/>
      </c>
      <c r="AF1499">
        <f>IF(OR('19_Расчет_аналитики'!AF1471=0,24&lt;='01_Вводные'!$B$297),0,'19_Расчет_аналитики'!AF1471*IF('01_Вводные'!$B$239="Да",MeanMinAge24+'19_Расчет_аналитики'!AF1571*SUMIF(ThresholdAge24,"&lt;"&amp;'19_Расчет_аналитики'!AF1571,WeightedRevAge24)-SUMIF(ThresholdAge24,"&lt;"&amp;'19_Расчет_аналитики'!AF1571,WeightedMinAge24),MAX(CapacityAge24*'01_Вводные'!$B$218*'19_Расчет_аналитики'!AF1571,MeanMinAge24)))</f>
        <v/>
      </c>
      <c r="AG1499">
        <f>IF(OR('19_Расчет_аналитики'!AG1471=0,24&lt;='01_Вводные'!$B$297),0,'19_Расчет_аналитики'!AG1471*IF('01_Вводные'!$B$239="Да",MeanMinAge24+'19_Расчет_аналитики'!AG1571*SUMIF(ThresholdAge24,"&lt;"&amp;'19_Расчет_аналитики'!AG1571,WeightedRevAge24)-SUMIF(ThresholdAge24,"&lt;"&amp;'19_Расчет_аналитики'!AG1571,WeightedMinAge24),MAX(CapacityAge24*'01_Вводные'!$B$218*'19_Расчет_аналитики'!AG1571,MeanMinAge24)))</f>
        <v/>
      </c>
      <c r="AH1499">
        <f>IF(OR('19_Расчет_аналитики'!AH1471=0,24&lt;='01_Вводные'!$B$297),0,'19_Расчет_аналитики'!AH1471*IF('01_Вводные'!$B$239="Да",MeanMinAge24+'19_Расчет_аналитики'!AH1571*SUMIF(ThresholdAge24,"&lt;"&amp;'19_Расчет_аналитики'!AH1571,WeightedRevAge24)-SUMIF(ThresholdAge24,"&lt;"&amp;'19_Расчет_аналитики'!AH1571,WeightedMinAge24),MAX(CapacityAge24*'01_Вводные'!$B$218*'19_Расчет_аналитики'!AH1571,MeanMinAge24)))</f>
        <v/>
      </c>
      <c r="AI1499">
        <f>IF(OR('19_Расчет_аналитики'!AI1471=0,24&lt;='01_Вводные'!$B$297),0,'19_Расчет_аналитики'!AI1471*IF('01_Вводные'!$B$239="Да",MeanMinAge24+'19_Расчет_аналитики'!AI1571*SUMIF(ThresholdAge24,"&lt;"&amp;'19_Расчет_аналитики'!AI1571,WeightedRevAge24)-SUMIF(ThresholdAge24,"&lt;"&amp;'19_Расчет_аналитики'!AI1571,WeightedMinAge24),MAX(CapacityAge24*'01_Вводные'!$B$218*'19_Расчет_аналитики'!AI1571,MeanMinAge24)))</f>
        <v/>
      </c>
      <c r="AJ1499">
        <f>IF(OR('19_Расчет_аналитики'!AJ1471=0,24&lt;='01_Вводные'!$B$297),0,'19_Расчет_аналитики'!AJ1471*IF('01_Вводные'!$B$239="Да",MeanMinAge24+'19_Расчет_аналитики'!AJ1571*SUMIF(ThresholdAge24,"&lt;"&amp;'19_Расчет_аналитики'!AJ1571,WeightedRevAge24)-SUMIF(ThresholdAge24,"&lt;"&amp;'19_Расчет_аналитики'!AJ1571,WeightedMinAge24),MAX(CapacityAge24*'01_Вводные'!$B$218*'19_Расчет_аналитики'!AJ1571,MeanMinAge24)))</f>
        <v/>
      </c>
      <c r="AK1499">
        <f>IF(OR('19_Расчет_аналитики'!AK1471=0,24&lt;='01_Вводные'!$B$297),0,'19_Расчет_аналитики'!AK1471*IF('01_Вводные'!$B$239="Да",MeanMinAge24+'19_Расчет_аналитики'!AK1571*SUMIF(ThresholdAge24,"&lt;"&amp;'19_Расчет_аналитики'!AK1571,WeightedRevAge24)-SUMIF(ThresholdAge24,"&lt;"&amp;'19_Расчет_аналитики'!AK1571,WeightedMinAge24),MAX(CapacityAge24*'01_Вводные'!$B$218*'19_Расчет_аналитики'!AK1571,MeanMinAge24)))</f>
        <v/>
      </c>
      <c r="AL1499">
        <f>IF(OR('19_Расчет_аналитики'!AL1471=0,24&lt;='01_Вводные'!$B$297),0,'19_Расчет_аналитики'!AL1471*IF('01_Вводные'!$B$239="Да",MeanMinAge24+'19_Расчет_аналитики'!AL1571*SUMIF(ThresholdAge24,"&lt;"&amp;'19_Расчет_аналитики'!AL1571,WeightedRevAge24)-SUMIF(ThresholdAge24,"&lt;"&amp;'19_Расчет_аналитики'!AL1571,WeightedMinAge24),MAX(CapacityAge24*'01_Вводные'!$B$218*'19_Расчет_аналитики'!AL1571,MeanMinAge24)))</f>
        <v/>
      </c>
      <c r="AM1499">
        <f>IF(OR('19_Расчет_аналитики'!AM1471=0,24&lt;='01_Вводные'!$B$297),0,'19_Расчет_аналитики'!AM1471*IF('01_Вводные'!$B$239="Да",MeanMinAge24+'19_Расчет_аналитики'!AM1571*SUMIF(ThresholdAge24,"&lt;"&amp;'19_Расчет_аналитики'!AM1571,WeightedRevAge24)-SUMIF(ThresholdAge24,"&lt;"&amp;'19_Расчет_аналитики'!AM1571,WeightedMinAge24),MAX(CapacityAge24*'01_Вводные'!$B$218*'19_Расчет_аналитики'!AM1571,MeanMinAge24)))</f>
        <v/>
      </c>
      <c r="AN1499">
        <f>IF(OR('19_Расчет_аналитики'!AN1471=0,24&lt;='01_Вводные'!$B$297),0,'19_Расчет_аналитики'!AN1471*IF('01_Вводные'!$B$239="Да",MeanMinAge24+'19_Расчет_аналитики'!AN1571*SUMIF(ThresholdAge24,"&lt;"&amp;'19_Расчет_аналитики'!AN1571,WeightedRevAge24)-SUMIF(ThresholdAge24,"&lt;"&amp;'19_Расчет_аналитики'!AN1571,WeightedMinAge24),MAX(CapacityAge24*'01_Вводные'!$B$218*'19_Расчет_аналитики'!AN1571,MeanMinAge24)))</f>
        <v/>
      </c>
      <c r="AO1499">
        <f>IF(OR('19_Расчет_аналитики'!AO1471=0,24&lt;='01_Вводные'!$B$297),0,'19_Расчет_аналитики'!AO1471*IF('01_Вводные'!$B$239="Да",MeanMinAge24+'19_Расчет_аналитики'!AO1571*SUMIF(ThresholdAge24,"&lt;"&amp;'19_Расчет_аналитики'!AO1571,WeightedRevAge24)-SUMIF(ThresholdAge24,"&lt;"&amp;'19_Расчет_аналитики'!AO1571,WeightedMinAge24),MAX(CapacityAge24*'01_Вводные'!$B$218*'19_Расчет_аналитики'!AO1571,MeanMinAge24)))</f>
        <v/>
      </c>
      <c r="AP1499">
        <f>IF(OR('19_Расчет_аналитики'!AP1471=0,24&lt;='01_Вводные'!$B$297),0,'19_Расчет_аналитики'!AP1471*IF('01_Вводные'!$B$239="Да",MeanMinAge24+'19_Расчет_аналитики'!AP1571*SUMIF(ThresholdAge24,"&lt;"&amp;'19_Расчет_аналитики'!AP1571,WeightedRevAge24)-SUMIF(ThresholdAge24,"&lt;"&amp;'19_Расчет_аналитики'!AP1571,WeightedMinAge24),MAX(CapacityAge24*'01_Вводные'!$B$218*'19_Расчет_аналитики'!AP1571,MeanMinAge24)))</f>
        <v/>
      </c>
      <c r="AQ1499">
        <f>IF(OR('19_Расчет_аналитики'!AQ1471=0,24&lt;='01_Вводные'!$B$297),0,'19_Расчет_аналитики'!AQ1471*IF('01_Вводные'!$B$239="Да",MeanMinAge24+'19_Расчет_аналитики'!AQ1571*SUMIF(ThresholdAge24,"&lt;"&amp;'19_Расчет_аналитики'!AQ1571,WeightedRevAge24)-SUMIF(ThresholdAge24,"&lt;"&amp;'19_Расчет_аналитики'!AQ1571,WeightedMinAge24),MAX(CapacityAge24*'01_Вводные'!$B$218*'19_Расчет_аналитики'!AQ1571,MeanMinAge24)))</f>
        <v/>
      </c>
      <c r="AR1499">
        <f>IF(OR('19_Расчет_аналитики'!AR1471=0,24&lt;='01_Вводные'!$B$297),0,'19_Расчет_аналитики'!AR1471*IF('01_Вводные'!$B$239="Да",MeanMinAge24+'19_Расчет_аналитики'!AR1571*SUMIF(ThresholdAge24,"&lt;"&amp;'19_Расчет_аналитики'!AR1571,WeightedRevAge24)-SUMIF(ThresholdAge24,"&lt;"&amp;'19_Расчет_аналитики'!AR1571,WeightedMinAge24),MAX(CapacityAge24*'01_Вводные'!$B$218*'19_Расчет_аналитики'!AR1571,MeanMinAge24)))</f>
        <v/>
      </c>
      <c r="AS1499">
        <f>IF(OR('19_Расчет_аналитики'!AS1471=0,24&lt;='01_Вводные'!$B$297),0,'19_Расчет_аналитики'!AS1471*IF('01_Вводные'!$B$239="Да",MeanMinAge24+'19_Расчет_аналитики'!AS1571*SUMIF(ThresholdAge24,"&lt;"&amp;'19_Расчет_аналитики'!AS1571,WeightedRevAge24)-SUMIF(ThresholdAge24,"&lt;"&amp;'19_Расчет_аналитики'!AS1571,WeightedMinAge24),MAX(CapacityAge24*'01_Вводные'!$B$218*'19_Расчет_аналитики'!AS1571,MeanMinAge24)))</f>
        <v/>
      </c>
      <c r="AT1499">
        <f>IF(OR('19_Расчет_аналитики'!AT1471=0,24&lt;='01_Вводные'!$B$297),0,'19_Расчет_аналитики'!AT1471*IF('01_Вводные'!$B$239="Да",MeanMinAge24+'19_Расчет_аналитики'!AT1571*SUMIF(ThresholdAge24,"&lt;"&amp;'19_Расчет_аналитики'!AT1571,WeightedRevAge24)-SUMIF(ThresholdAge24,"&lt;"&amp;'19_Расчет_аналитики'!AT1571,WeightedMinAge24),MAX(CapacityAge24*'01_Вводные'!$B$218*'19_Расчет_аналитики'!AT1571,MeanMinAge24)))</f>
        <v/>
      </c>
      <c r="AU1499">
        <f>IF(OR('19_Расчет_аналитики'!AU1471=0,24&lt;='01_Вводные'!$B$297),0,'19_Расчет_аналитики'!AU1471*IF('01_Вводные'!$B$239="Да",MeanMinAge24+'19_Расчет_аналитики'!AU1571*SUMIF(ThresholdAge24,"&lt;"&amp;'19_Расчет_аналитики'!AU1571,WeightedRevAge24)-SUMIF(ThresholdAge24,"&lt;"&amp;'19_Расчет_аналитики'!AU1571,WeightedMinAge24),MAX(CapacityAge24*'01_Вводные'!$B$218*'19_Расчет_аналитики'!AU1571,MeanMinAge24)))</f>
        <v/>
      </c>
      <c r="AV1499">
        <f>IF(OR('19_Расчет_аналитики'!AV1471=0,24&lt;='01_Вводные'!$B$297),0,'19_Расчет_аналитики'!AV1471*IF('01_Вводные'!$B$239="Да",MeanMinAge24+'19_Расчет_аналитики'!AV1571*SUMIF(ThresholdAge24,"&lt;"&amp;'19_Расчет_аналитики'!AV1571,WeightedRevAge24)-SUMIF(ThresholdAge24,"&lt;"&amp;'19_Расчет_аналитики'!AV1571,WeightedMinAge24),MAX(CapacityAge24*'01_Вводные'!$B$218*'19_Расчет_аналитики'!AV1571,MeanMinAge24)))</f>
        <v/>
      </c>
      <c r="AW1499">
        <f>IF(OR('19_Расчет_аналитики'!AW1471=0,24&lt;='01_Вводные'!$B$297),0,'19_Расчет_аналитики'!AW1471*IF('01_Вводные'!$B$239="Да",MeanMinAge24+'19_Расчет_аналитики'!AW1571*SUMIF(ThresholdAge24,"&lt;"&amp;'19_Расчет_аналитики'!AW1571,WeightedRevAge24)-SUMIF(ThresholdAge24,"&lt;"&amp;'19_Расчет_аналитики'!AW1571,WeightedMinAge24),MAX(CapacityAge24*'01_Вводные'!$B$218*'19_Расчет_аналитики'!AW1571,MeanMinAge24)))</f>
        <v/>
      </c>
      <c r="AX1499">
        <f>IF(OR('19_Расчет_аналитики'!AX1471=0,24&lt;='01_Вводные'!$B$297),0,'19_Расчет_аналитики'!AX1471*IF('01_Вводные'!$B$239="Да",MeanMinAge24+'19_Расчет_аналитики'!AX1571*SUMIF(ThresholdAge24,"&lt;"&amp;'19_Расчет_аналитики'!AX1571,WeightedRevAge24)-SUMIF(ThresholdAge24,"&lt;"&amp;'19_Расчет_аналитики'!AX1571,WeightedMinAge24),MAX(CapacityAge24*'01_Вводные'!$B$218*'19_Расчет_аналитики'!AX1571,MeanMinAge24)))</f>
        <v/>
      </c>
      <c r="AY1499">
        <f>IF(OR('19_Расчет_аналитики'!AY1471=0,24&lt;='01_Вводные'!$B$297),0,'19_Расчет_аналитики'!AY1471*IF('01_Вводные'!$B$239="Да",MeanMinAge24+'19_Расчет_аналитики'!AY1571*SUMIF(ThresholdAge24,"&lt;"&amp;'19_Расчет_аналитики'!AY1571,WeightedRevAge24)-SUMIF(ThresholdAge24,"&lt;"&amp;'19_Расчет_аналитики'!AY1571,WeightedMinAge24),MAX(CapacityAge24*'01_Вводные'!$B$218*'19_Расчет_аналитики'!AY1571,MeanMinAge24)))</f>
        <v/>
      </c>
      <c r="AZ1499">
        <f>IF(OR('19_Расчет_аналитики'!AZ1471=0,24&lt;='01_Вводные'!$B$297),0,'19_Расчет_аналитики'!AZ1471*IF('01_Вводные'!$B$239="Да",MeanMinAge24+'19_Расчет_аналитики'!AZ1571*SUMIF(ThresholdAge24,"&lt;"&amp;'19_Расчет_аналитики'!AZ1571,WeightedRevAge24)-SUMIF(ThresholdAge24,"&lt;"&amp;'19_Расчет_аналитики'!AZ1571,WeightedMinAge24),MAX(CapacityAge24*'01_Вводные'!$B$218*'19_Расчет_аналитики'!AZ1571,MeanMinAge24)))</f>
        <v/>
      </c>
      <c r="BA1499">
        <f>IF(OR('19_Расчет_аналитики'!BA1471=0,24&lt;='01_Вводные'!$B$297),0,'19_Расчет_аналитики'!BA1471*IF('01_Вводные'!$B$239="Да",MeanMinAge24+'19_Расчет_аналитики'!BA1571*SUMIF(ThresholdAge24,"&lt;"&amp;'19_Расчет_аналитики'!BA1571,WeightedRevAge24)-SUMIF(ThresholdAge24,"&lt;"&amp;'19_Расчет_аналитики'!BA1571,WeightedMinAge24),MAX(CapacityAge24*'01_Вводные'!$B$218*'19_Расчет_аналитики'!BA1571,MeanMinAge24)))</f>
        <v/>
      </c>
      <c r="BB1499">
        <f>IF(OR('19_Расчет_аналитики'!BB1471=0,24&lt;='01_Вводные'!$B$297),0,'19_Расчет_аналитики'!BB1471*IF('01_Вводные'!$B$239="Да",MeanMinAge24+'19_Расчет_аналитики'!BB1571*SUMIF(ThresholdAge24,"&lt;"&amp;'19_Расчет_аналитики'!BB1571,WeightedRevAge24)-SUMIF(ThresholdAge24,"&lt;"&amp;'19_Расчет_аналитики'!BB1571,WeightedMinAge24),MAX(CapacityAge24*'01_Вводные'!$B$218*'19_Расчет_аналитики'!BB1571,MeanMinAge24)))</f>
        <v/>
      </c>
      <c r="BC1499">
        <f>IF(OR('19_Расчет_аналитики'!BC1471=0,24&lt;='01_Вводные'!$B$297),0,'19_Расчет_аналитики'!BC1471*IF('01_Вводные'!$B$239="Да",MeanMinAge24+'19_Расчет_аналитики'!BC1571*SUMIF(ThresholdAge24,"&lt;"&amp;'19_Расчет_аналитики'!BC1571,WeightedRevAge24)-SUMIF(ThresholdAge24,"&lt;"&amp;'19_Расчет_аналитики'!BC1571,WeightedMinAge24),MAX(CapacityAge24*'01_Вводные'!$B$218*'19_Расчет_аналитики'!BC1571,MeanMinAge24)))</f>
        <v/>
      </c>
      <c r="BD1499">
        <f>IF(OR('19_Расчет_аналитики'!BD1471=0,24&lt;='01_Вводные'!$B$297),0,'19_Расчет_аналитики'!BD1471*IF('01_Вводные'!$B$239="Да",MeanMinAge24+'19_Расчет_аналитики'!BD1571*SUMIF(ThresholdAge24,"&lt;"&amp;'19_Расчет_аналитики'!BD1571,WeightedRevAge24)-SUMIF(ThresholdAge24,"&lt;"&amp;'19_Расчет_аналитики'!BD1571,WeightedMinAge24),MAX(CapacityAge24*'01_Вводные'!$B$218*'19_Расчет_аналитики'!BD1571,MeanMinAge24)))</f>
        <v/>
      </c>
      <c r="BE1499">
        <f>IF(OR('19_Расчет_аналитики'!BE1471=0,24&lt;='01_Вводные'!$B$297),0,'19_Расчет_аналитики'!BE1471*IF('01_Вводные'!$B$239="Да",MeanMinAge24+'19_Расчет_аналитики'!BE1571*SUMIF(ThresholdAge24,"&lt;"&amp;'19_Расчет_аналитики'!BE1571,WeightedRevAge24)-SUMIF(ThresholdAge24,"&lt;"&amp;'19_Расчет_аналитики'!BE1571,WeightedMinAge24),MAX(CapacityAge24*'01_Вводные'!$B$218*'19_Расчет_аналитики'!BE1571,MeanMinAge24)))</f>
        <v/>
      </c>
      <c r="BF1499">
        <f>IF(OR('19_Расчет_аналитики'!BF1471=0,24&lt;='01_Вводные'!$B$297),0,'19_Расчет_аналитики'!BF1471*IF('01_Вводные'!$B$239="Да",MeanMinAge24+'19_Расчет_аналитики'!BF1571*SUMIF(ThresholdAge24,"&lt;"&amp;'19_Расчет_аналитики'!BF1571,WeightedRevAge24)-SUMIF(ThresholdAge24,"&lt;"&amp;'19_Расчет_аналитики'!BF1571,WeightedMinAge24),MAX(CapacityAge24*'01_Вводные'!$B$218*'19_Расчет_аналитики'!BF1571,MeanMinAge24)))</f>
        <v/>
      </c>
      <c r="BG1499">
        <f>IF(OR('19_Расчет_аналитики'!BG1471=0,24&lt;='01_Вводные'!$B$297),0,'19_Расчет_аналитики'!BG1471*IF('01_Вводные'!$B$239="Да",MeanMinAge24+'19_Расчет_аналитики'!BG1571*SUMIF(ThresholdAge24,"&lt;"&amp;'19_Расчет_аналитики'!BG1571,WeightedRevAge24)-SUMIF(ThresholdAge24,"&lt;"&amp;'19_Расчет_аналитики'!BG1571,WeightedMinAge24),MAX(CapacityAge24*'01_Вводные'!$B$218*'19_Расчет_аналитики'!BG1571,MeanMinAge24)))</f>
        <v/>
      </c>
      <c r="BH1499">
        <f>IF(OR('19_Расчет_аналитики'!BH1471=0,24&lt;='01_Вводные'!$B$297),0,'19_Расчет_аналитики'!BH1471*IF('01_Вводные'!$B$239="Да",MeanMinAge24+'19_Расчет_аналитики'!BH1571*SUMIF(ThresholdAge24,"&lt;"&amp;'19_Расчет_аналитики'!BH1571,WeightedRevAge24)-SUMIF(ThresholdAge24,"&lt;"&amp;'19_Расчет_аналитики'!BH1571,WeightedMinAge24),MAX(CapacityAge24*'01_Вводные'!$B$218*'19_Расчет_аналитики'!BH1571,MeanMinAge24)))</f>
        <v/>
      </c>
      <c r="BI1499">
        <f>IF(OR('19_Расчет_аналитики'!BI1471=0,24&lt;='01_Вводные'!$B$297),0,'19_Расчет_аналитики'!BI1471*IF('01_Вводные'!$B$239="Да",MeanMinAge24+'19_Расчет_аналитики'!BI1571*SUMIF(ThresholdAge24,"&lt;"&amp;'19_Расчет_аналитики'!BI1571,WeightedRevAge24)-SUMIF(ThresholdAge24,"&lt;"&amp;'19_Расчет_аналитики'!BI1571,WeightedMinAge24),MAX(CapacityAge24*'01_Вводные'!$B$218*'19_Расчет_аналитики'!BI1571,MeanMinAge24)))</f>
        <v/>
      </c>
      <c r="BJ1499">
        <f>IF(OR('19_Расчет_аналитики'!BJ1471=0,24&lt;='01_Вводные'!$B$297),0,'19_Расчет_аналитики'!BJ1471*IF('01_Вводные'!$B$239="Да",MeanMinAge24+'19_Расчет_аналитики'!BJ1571*SUMIF(ThresholdAge24,"&lt;"&amp;'19_Расчет_аналитики'!BJ1571,WeightedRevAge24)-SUMIF(ThresholdAge24,"&lt;"&amp;'19_Расчет_аналитики'!BJ1571,WeightedMinAge24),MAX(CapacityAge24*'01_Вводные'!$B$218*'19_Расчет_аналитики'!BJ1571,MeanMinAge24)))</f>
        <v/>
      </c>
      <c r="BK1499">
        <f>IF(OR('19_Расчет_аналитики'!BK1471=0,24&lt;='01_Вводные'!$B$297),0,'19_Расчет_аналитики'!BK1471*IF('01_Вводные'!$B$239="Да",MeanMinAge24+'19_Расчет_аналитики'!BK1571*SUMIF(ThresholdAge24,"&lt;"&amp;'19_Расчет_аналитики'!BK1571,WeightedRevAge24)-SUMIF(ThresholdAge24,"&lt;"&amp;'19_Расчет_аналитики'!BK1571,WeightedMinAge24),MAX(CapacityAge24*'01_Вводные'!$B$218*'19_Расчет_аналитики'!BK1571,MeanMinAge24)))</f>
        <v/>
      </c>
      <c r="BL1499">
        <f>IF(OR('19_Расчет_аналитики'!BL1471=0,24&lt;='01_Вводные'!$B$297),0,'19_Расчет_аналитики'!BL1471*IF('01_Вводные'!$B$239="Да",MeanMinAge24+'19_Расчет_аналитики'!BL1571*SUMIF(ThresholdAge24,"&lt;"&amp;'19_Расчет_аналитики'!BL1571,WeightedRevAge24)-SUMIF(ThresholdAge24,"&lt;"&amp;'19_Расчет_аналитики'!BL1571,WeightedMinAge24),MAX(CapacityAge24*'01_Вводные'!$B$218*'19_Расчет_аналитики'!BL1571,MeanMinAge24)))</f>
        <v/>
      </c>
      <c r="BM1499">
        <f>IF(OR('19_Расчет_аналитики'!BM1471=0,24&lt;='01_Вводные'!$B$297),0,'19_Расчет_аналитики'!BM1471*IF('01_Вводные'!$B$239="Да",MeanMinAge24+'19_Расчет_аналитики'!BM1571*SUMIF(ThresholdAge24,"&lt;"&amp;'19_Расчет_аналитики'!BM1571,WeightedRevAge24)-SUMIF(ThresholdAge24,"&lt;"&amp;'19_Расчет_аналитики'!BM1571,WeightedMinAge24),MAX(CapacityAge24*'01_Вводные'!$B$218*'19_Расчет_аналитики'!BM1571,MeanMinAge24)))</f>
        <v/>
      </c>
      <c r="BN1499">
        <f>IF(OR('19_Расчет_аналитики'!BN1471=0,24&lt;='01_Вводные'!$B$297),0,'19_Расчет_аналитики'!BN1471*IF('01_Вводные'!$B$239="Да",MeanMinAge24+'19_Расчет_аналитики'!BN1571*SUMIF(ThresholdAge24,"&lt;"&amp;'19_Расчет_аналитики'!BN1571,WeightedRevAge24)-SUMIF(ThresholdAge24,"&lt;"&amp;'19_Расчет_аналитики'!BN1571,WeightedMinAge24),MAX(CapacityAge24*'01_Вводные'!$B$218*'19_Расчет_аналитики'!BN1571,MeanMinAge24)))</f>
        <v/>
      </c>
      <c r="BO1499">
        <f>IF(OR('19_Расчет_аналитики'!BO1471=0,24&lt;='01_Вводные'!$B$297),0,'19_Расчет_аналитики'!BO1471*IF('01_Вводные'!$B$239="Да",MeanMinAge24+'19_Расчет_аналитики'!BO1571*SUMIF(ThresholdAge24,"&lt;"&amp;'19_Расчет_аналитики'!BO1571,WeightedRevAge24)-SUMIF(ThresholdAge24,"&lt;"&amp;'19_Расчет_аналитики'!BO1571,WeightedMinAge24),MAX(CapacityAge24*'01_Вводные'!$B$218*'19_Расчет_аналитики'!BO1571,MeanMinAge24)))</f>
        <v/>
      </c>
    </row>
    <row r="1500">
      <c r="B1500">
        <f>IF(OR('06_Сеть_и_дети'!B105=0,25&lt;='01_Вводные'!$B$297),0,'06_Сеть_и_дети'!B105*IF('01_Вводные'!$B$239="Да",MeanMinAge25+'19_Расчет_аналитики'!B1571*SUMIF(ThresholdAge25,"&lt;"&amp;'19_Расчет_аналитики'!B1571,WeightedRevAge25)-SUMIF(ThresholdAge25,"&lt;"&amp;'19_Расчет_аналитики'!B1571,WeightedMinAge25),MAX(CapacityAge25*'01_Вводные'!$B$218*'19_Расчет_аналитики'!B1571,MeanMinAge25)))</f>
        <v/>
      </c>
      <c r="C1500">
        <f>IF(OR('06_Сеть_и_дети'!C105=0,25&lt;='01_Вводные'!$B$297),0,'06_Сеть_и_дети'!C105*IF('01_Вводные'!$B$239="Да",MeanMinAge25+'19_Расчет_аналитики'!C1571*SUMIF(ThresholdAge25,"&lt;"&amp;'19_Расчет_аналитики'!C1571,WeightedRevAge25)-SUMIF(ThresholdAge25,"&lt;"&amp;'19_Расчет_аналитики'!C1571,WeightedMinAge25),MAX(CapacityAge25*'01_Вводные'!$B$218*'19_Расчет_аналитики'!C1571,MeanMinAge25)))</f>
        <v/>
      </c>
      <c r="D1500">
        <f>IF(OR('06_Сеть_и_дети'!D105=0,25&lt;='01_Вводные'!$B$297),0,'06_Сеть_и_дети'!D105*IF('01_Вводные'!$B$239="Да",MeanMinAge25+'19_Расчет_аналитики'!D1571*SUMIF(ThresholdAge25,"&lt;"&amp;'19_Расчет_аналитики'!D1571,WeightedRevAge25)-SUMIF(ThresholdAge25,"&lt;"&amp;'19_Расчет_аналитики'!D1571,WeightedMinAge25),MAX(CapacityAge25*'01_Вводные'!$B$218*'19_Расчет_аналитики'!D1571,MeanMinAge25)))</f>
        <v/>
      </c>
      <c r="E1500">
        <f>IF(OR('06_Сеть_и_дети'!E105=0,25&lt;='01_Вводные'!$B$297),0,'06_Сеть_и_дети'!E105*IF('01_Вводные'!$B$239="Да",MeanMinAge25+'19_Расчет_аналитики'!E1571*SUMIF(ThresholdAge25,"&lt;"&amp;'19_Расчет_аналитики'!E1571,WeightedRevAge25)-SUMIF(ThresholdAge25,"&lt;"&amp;'19_Расчет_аналитики'!E1571,WeightedMinAge25),MAX(CapacityAge25*'01_Вводные'!$B$218*'19_Расчет_аналитики'!E1571,MeanMinAge25)))</f>
        <v/>
      </c>
      <c r="F1500">
        <f>IF(OR('06_Сеть_и_дети'!F105=0,25&lt;='01_Вводные'!$B$297),0,'06_Сеть_и_дети'!F105*IF('01_Вводные'!$B$239="Да",MeanMinAge25+'19_Расчет_аналитики'!F1571*SUMIF(ThresholdAge25,"&lt;"&amp;'19_Расчет_аналитики'!F1571,WeightedRevAge25)-SUMIF(ThresholdAge25,"&lt;"&amp;'19_Расчет_аналитики'!F1571,WeightedMinAge25),MAX(CapacityAge25*'01_Вводные'!$B$218*'19_Расчет_аналитики'!F1571,MeanMinAge25)))</f>
        <v/>
      </c>
      <c r="G1500">
        <f>IF(OR('06_Сеть_и_дети'!G105=0,25&lt;='01_Вводные'!$B$297),0,'06_Сеть_и_дети'!G105*IF('01_Вводные'!$B$239="Да",MeanMinAge25+'19_Расчет_аналитики'!G1571*SUMIF(ThresholdAge25,"&lt;"&amp;'19_Расчет_аналитики'!G1571,WeightedRevAge25)-SUMIF(ThresholdAge25,"&lt;"&amp;'19_Расчет_аналитики'!G1571,WeightedMinAge25),MAX(CapacityAge25*'01_Вводные'!$B$218*'19_Расчет_аналитики'!G1571,MeanMinAge25)))</f>
        <v/>
      </c>
      <c r="H1500">
        <f>IF(OR('06_Сеть_и_дети'!H105=0,25&lt;='01_Вводные'!$B$297),0,'06_Сеть_и_дети'!H105*IF('01_Вводные'!$B$239="Да",MeanMinAge25+'19_Расчет_аналитики'!H1571*SUMIF(ThresholdAge25,"&lt;"&amp;'19_Расчет_аналитики'!H1571,WeightedRevAge25)-SUMIF(ThresholdAge25,"&lt;"&amp;'19_Расчет_аналитики'!H1571,WeightedMinAge25),MAX(CapacityAge25*'01_Вводные'!$B$218*'19_Расчет_аналитики'!H1571,MeanMinAge25)))</f>
        <v/>
      </c>
      <c r="I1500">
        <f>IF(OR('06_Сеть_и_дети'!I105=0,25&lt;='01_Вводные'!$B$297),0,'06_Сеть_и_дети'!I105*IF('01_Вводные'!$B$239="Да",MeanMinAge25+'19_Расчет_аналитики'!I1571*SUMIF(ThresholdAge25,"&lt;"&amp;'19_Расчет_аналитики'!I1571,WeightedRevAge25)-SUMIF(ThresholdAge25,"&lt;"&amp;'19_Расчет_аналитики'!I1571,WeightedMinAge25),MAX(CapacityAge25*'01_Вводные'!$B$218*'19_Расчет_аналитики'!I1571,MeanMinAge25)))</f>
        <v/>
      </c>
      <c r="J1500">
        <f>IF(OR('06_Сеть_и_дети'!J105=0,25&lt;='01_Вводные'!$B$297),0,'06_Сеть_и_дети'!J105*IF('01_Вводные'!$B$239="Да",MeanMinAge25+'19_Расчет_аналитики'!J1571*SUMIF(ThresholdAge25,"&lt;"&amp;'19_Расчет_аналитики'!J1571,WeightedRevAge25)-SUMIF(ThresholdAge25,"&lt;"&amp;'19_Расчет_аналитики'!J1571,WeightedMinAge25),MAX(CapacityAge25*'01_Вводные'!$B$218*'19_Расчет_аналитики'!J1571,MeanMinAge25)))</f>
        <v/>
      </c>
      <c r="K1500">
        <f>IF(OR('06_Сеть_и_дети'!K105=0,25&lt;='01_Вводные'!$B$297),0,'06_Сеть_и_дети'!K105*IF('01_Вводные'!$B$239="Да",MeanMinAge25+'19_Расчет_аналитики'!K1571*SUMIF(ThresholdAge25,"&lt;"&amp;'19_Расчет_аналитики'!K1571,WeightedRevAge25)-SUMIF(ThresholdAge25,"&lt;"&amp;'19_Расчет_аналитики'!K1571,WeightedMinAge25),MAX(CapacityAge25*'01_Вводные'!$B$218*'19_Расчет_аналитики'!K1571,MeanMinAge25)))</f>
        <v/>
      </c>
      <c r="L1500">
        <f>IF(OR('06_Сеть_и_дети'!L105=0,25&lt;='01_Вводные'!$B$297),0,'06_Сеть_и_дети'!L105*IF('01_Вводные'!$B$239="Да",MeanMinAge25+'19_Расчет_аналитики'!L1571*SUMIF(ThresholdAge25,"&lt;"&amp;'19_Расчет_аналитики'!L1571,WeightedRevAge25)-SUMIF(ThresholdAge25,"&lt;"&amp;'19_Расчет_аналитики'!L1571,WeightedMinAge25),MAX(CapacityAge25*'01_Вводные'!$B$218*'19_Расчет_аналитики'!L1571,MeanMinAge25)))</f>
        <v/>
      </c>
      <c r="M1500">
        <f>IF(OR('06_Сеть_и_дети'!M105=0,25&lt;='01_Вводные'!$B$297),0,'06_Сеть_и_дети'!M105*IF('01_Вводные'!$B$239="Да",MeanMinAge25+'19_Расчет_аналитики'!M1571*SUMIF(ThresholdAge25,"&lt;"&amp;'19_Расчет_аналитики'!M1571,WeightedRevAge25)-SUMIF(ThresholdAge25,"&lt;"&amp;'19_Расчет_аналитики'!M1571,WeightedMinAge25),MAX(CapacityAge25*'01_Вводные'!$B$218*'19_Расчет_аналитики'!M1571,MeanMinAge25)))</f>
        <v/>
      </c>
      <c r="N1500">
        <f>IF(OR('06_Сеть_и_дети'!N105=0,25&lt;='01_Вводные'!$B$297),0,'06_Сеть_и_дети'!N105*IF('01_Вводные'!$B$239="Да",MeanMinAge25+'19_Расчет_аналитики'!N1571*SUMIF(ThresholdAge25,"&lt;"&amp;'19_Расчет_аналитики'!N1571,WeightedRevAge25)-SUMIF(ThresholdAge25,"&lt;"&amp;'19_Расчет_аналитики'!N1571,WeightedMinAge25),MAX(CapacityAge25*'01_Вводные'!$B$218*'19_Расчет_аналитики'!N1571,MeanMinAge25)))</f>
        <v/>
      </c>
      <c r="O1500">
        <f>IF(OR('06_Сеть_и_дети'!O105=0,25&lt;='01_Вводные'!$B$297),0,'06_Сеть_и_дети'!O105*IF('01_Вводные'!$B$239="Да",MeanMinAge25+'19_Расчет_аналитики'!O1571*SUMIF(ThresholdAge25,"&lt;"&amp;'19_Расчет_аналитики'!O1571,WeightedRevAge25)-SUMIF(ThresholdAge25,"&lt;"&amp;'19_Расчет_аналитики'!O1571,WeightedMinAge25),MAX(CapacityAge25*'01_Вводные'!$B$218*'19_Расчет_аналитики'!O1571,MeanMinAge25)))</f>
        <v/>
      </c>
      <c r="P1500">
        <f>IF(OR('06_Сеть_и_дети'!P105=0,25&lt;='01_Вводные'!$B$297),0,'06_Сеть_и_дети'!P105*IF('01_Вводные'!$B$239="Да",MeanMinAge25+'19_Расчет_аналитики'!P1571*SUMIF(ThresholdAge25,"&lt;"&amp;'19_Расчет_аналитики'!P1571,WeightedRevAge25)-SUMIF(ThresholdAge25,"&lt;"&amp;'19_Расчет_аналитики'!P1571,WeightedMinAge25),MAX(CapacityAge25*'01_Вводные'!$B$218*'19_Расчет_аналитики'!P1571,MeanMinAge25)))</f>
        <v/>
      </c>
      <c r="Q1500">
        <f>IF(OR('06_Сеть_и_дети'!Q105=0,25&lt;='01_Вводные'!$B$297),0,'06_Сеть_и_дети'!Q105*IF('01_Вводные'!$B$239="Да",MeanMinAge25+'19_Расчет_аналитики'!Q1571*SUMIF(ThresholdAge25,"&lt;"&amp;'19_Расчет_аналитики'!Q1571,WeightedRevAge25)-SUMIF(ThresholdAge25,"&lt;"&amp;'19_Расчет_аналитики'!Q1571,WeightedMinAge25),MAX(CapacityAge25*'01_Вводные'!$B$218*'19_Расчет_аналитики'!Q1571,MeanMinAge25)))</f>
        <v/>
      </c>
      <c r="R1500">
        <f>IF(OR('06_Сеть_и_дети'!R105=0,25&lt;='01_Вводные'!$B$297),0,'06_Сеть_и_дети'!R105*IF('01_Вводные'!$B$239="Да",MeanMinAge25+'19_Расчет_аналитики'!R1571*SUMIF(ThresholdAge25,"&lt;"&amp;'19_Расчет_аналитики'!R1571,WeightedRevAge25)-SUMIF(ThresholdAge25,"&lt;"&amp;'19_Расчет_аналитики'!R1571,WeightedMinAge25),MAX(CapacityAge25*'01_Вводные'!$B$218*'19_Расчет_аналитики'!R1571,MeanMinAge25)))</f>
        <v/>
      </c>
      <c r="S1500">
        <f>IF(OR('06_Сеть_и_дети'!S105=0,25&lt;='01_Вводные'!$B$297),0,'06_Сеть_и_дети'!S105*IF('01_Вводные'!$B$239="Да",MeanMinAge25+'19_Расчет_аналитики'!S1571*SUMIF(ThresholdAge25,"&lt;"&amp;'19_Расчет_аналитики'!S1571,WeightedRevAge25)-SUMIF(ThresholdAge25,"&lt;"&amp;'19_Расчет_аналитики'!S1571,WeightedMinAge25),MAX(CapacityAge25*'01_Вводные'!$B$218*'19_Расчет_аналитики'!S1571,MeanMinAge25)))</f>
        <v/>
      </c>
      <c r="T1500">
        <f>IF(OR('06_Сеть_и_дети'!T105=0,25&lt;='01_Вводные'!$B$297),0,'06_Сеть_и_дети'!T105*IF('01_Вводные'!$B$239="Да",MeanMinAge25+'19_Расчет_аналитики'!T1571*SUMIF(ThresholdAge25,"&lt;"&amp;'19_Расчет_аналитики'!T1571,WeightedRevAge25)-SUMIF(ThresholdAge25,"&lt;"&amp;'19_Расчет_аналитики'!T1571,WeightedMinAge25),MAX(CapacityAge25*'01_Вводные'!$B$218*'19_Расчет_аналитики'!T1571,MeanMinAge25)))</f>
        <v/>
      </c>
      <c r="U1500">
        <f>IF(OR('06_Сеть_и_дети'!U105=0,25&lt;='01_Вводные'!$B$297),0,'06_Сеть_и_дети'!U105*IF('01_Вводные'!$B$239="Да",MeanMinAge25+'19_Расчет_аналитики'!U1571*SUMIF(ThresholdAge25,"&lt;"&amp;'19_Расчет_аналитики'!U1571,WeightedRevAge25)-SUMIF(ThresholdAge25,"&lt;"&amp;'19_Расчет_аналитики'!U1571,WeightedMinAge25),MAX(CapacityAge25*'01_Вводные'!$B$218*'19_Расчет_аналитики'!U1571,MeanMinAge25)))</f>
        <v/>
      </c>
      <c r="V1500">
        <f>IF(OR('06_Сеть_и_дети'!V105=0,25&lt;='01_Вводные'!$B$297),0,'06_Сеть_и_дети'!V105*IF('01_Вводные'!$B$239="Да",MeanMinAge25+'19_Расчет_аналитики'!V1571*SUMIF(ThresholdAge25,"&lt;"&amp;'19_Расчет_аналитики'!V1571,WeightedRevAge25)-SUMIF(ThresholdAge25,"&lt;"&amp;'19_Расчет_аналитики'!V1571,WeightedMinAge25),MAX(CapacityAge25*'01_Вводные'!$B$218*'19_Расчет_аналитики'!V1571,MeanMinAge25)))</f>
        <v/>
      </c>
      <c r="W1500">
        <f>IF(OR('06_Сеть_и_дети'!W105=0,25&lt;='01_Вводные'!$B$297),0,'06_Сеть_и_дети'!W105*IF('01_Вводные'!$B$239="Да",MeanMinAge25+'19_Расчет_аналитики'!W1571*SUMIF(ThresholdAge25,"&lt;"&amp;'19_Расчет_аналитики'!W1571,WeightedRevAge25)-SUMIF(ThresholdAge25,"&lt;"&amp;'19_Расчет_аналитики'!W1571,WeightedMinAge25),MAX(CapacityAge25*'01_Вводные'!$B$218*'19_Расчет_аналитики'!W1571,MeanMinAge25)))</f>
        <v/>
      </c>
      <c r="X1500">
        <f>IF(OR('06_Сеть_и_дети'!X105=0,25&lt;='01_Вводные'!$B$297),0,'06_Сеть_и_дети'!X105*IF('01_Вводные'!$B$239="Да",MeanMinAge25+'19_Расчет_аналитики'!X1571*SUMIF(ThresholdAge25,"&lt;"&amp;'19_Расчет_аналитики'!X1571,WeightedRevAge25)-SUMIF(ThresholdAge25,"&lt;"&amp;'19_Расчет_аналитики'!X1571,WeightedMinAge25),MAX(CapacityAge25*'01_Вводные'!$B$218*'19_Расчет_аналитики'!X1571,MeanMinAge25)))</f>
        <v/>
      </c>
      <c r="Y1500">
        <f>IF(OR('06_Сеть_и_дети'!Y105=0,25&lt;='01_Вводные'!$B$297),0,'06_Сеть_и_дети'!Y105*IF('01_Вводные'!$B$239="Да",MeanMinAge25+'19_Расчет_аналитики'!Y1571*SUMIF(ThresholdAge25,"&lt;"&amp;'19_Расчет_аналитики'!Y1571,WeightedRevAge25)-SUMIF(ThresholdAge25,"&lt;"&amp;'19_Расчет_аналитики'!Y1571,WeightedMinAge25),MAX(CapacityAge25*'01_Вводные'!$B$218*'19_Расчет_аналитики'!Y1571,MeanMinAge25)))</f>
        <v/>
      </c>
      <c r="Z1500">
        <f>IF(OR('19_Расчет_аналитики'!Z1472=0,25&lt;='01_Вводные'!$B$297),0,'19_Расчет_аналитики'!Z1472*IF('01_Вводные'!$B$239="Да",MeanMinAge25+'19_Расчет_аналитики'!Z1571*SUMIF(ThresholdAge25,"&lt;"&amp;'19_Расчет_аналитики'!Z1571,WeightedRevAge25)-SUMIF(ThresholdAge25,"&lt;"&amp;'19_Расчет_аналитики'!Z1571,WeightedMinAge25),MAX(CapacityAge25*'01_Вводные'!$B$218*'19_Расчет_аналитики'!Z1571,MeanMinAge25)))</f>
        <v/>
      </c>
      <c r="AA1500">
        <f>IF(OR('19_Расчет_аналитики'!AA1472=0,25&lt;='01_Вводные'!$B$297),0,'19_Расчет_аналитики'!AA1472*IF('01_Вводные'!$B$239="Да",MeanMinAge25+'19_Расчет_аналитики'!AA1571*SUMIF(ThresholdAge25,"&lt;"&amp;'19_Расчет_аналитики'!AA1571,WeightedRevAge25)-SUMIF(ThresholdAge25,"&lt;"&amp;'19_Расчет_аналитики'!AA1571,WeightedMinAge25),MAX(CapacityAge25*'01_Вводные'!$B$218*'19_Расчет_аналитики'!AA1571,MeanMinAge25)))</f>
        <v/>
      </c>
      <c r="AB1500">
        <f>IF(OR('19_Расчет_аналитики'!AB1472=0,25&lt;='01_Вводные'!$B$297),0,'19_Расчет_аналитики'!AB1472*IF('01_Вводные'!$B$239="Да",MeanMinAge25+'19_Расчет_аналитики'!AB1571*SUMIF(ThresholdAge25,"&lt;"&amp;'19_Расчет_аналитики'!AB1571,WeightedRevAge25)-SUMIF(ThresholdAge25,"&lt;"&amp;'19_Расчет_аналитики'!AB1571,WeightedMinAge25),MAX(CapacityAge25*'01_Вводные'!$B$218*'19_Расчет_аналитики'!AB1571,MeanMinAge25)))</f>
        <v/>
      </c>
      <c r="AC1500">
        <f>IF(OR('19_Расчет_аналитики'!AC1472=0,25&lt;='01_Вводные'!$B$297),0,'19_Расчет_аналитики'!AC1472*IF('01_Вводные'!$B$239="Да",MeanMinAge25+'19_Расчет_аналитики'!AC1571*SUMIF(ThresholdAge25,"&lt;"&amp;'19_Расчет_аналитики'!AC1571,WeightedRevAge25)-SUMIF(ThresholdAge25,"&lt;"&amp;'19_Расчет_аналитики'!AC1571,WeightedMinAge25),MAX(CapacityAge25*'01_Вводные'!$B$218*'19_Расчет_аналитики'!AC1571,MeanMinAge25)))</f>
        <v/>
      </c>
      <c r="AD1500">
        <f>IF(OR('19_Расчет_аналитики'!AD1472=0,25&lt;='01_Вводные'!$B$297),0,'19_Расчет_аналитики'!AD1472*IF('01_Вводные'!$B$239="Да",MeanMinAge25+'19_Расчет_аналитики'!AD1571*SUMIF(ThresholdAge25,"&lt;"&amp;'19_Расчет_аналитики'!AD1571,WeightedRevAge25)-SUMIF(ThresholdAge25,"&lt;"&amp;'19_Расчет_аналитики'!AD1571,WeightedMinAge25),MAX(CapacityAge25*'01_Вводные'!$B$218*'19_Расчет_аналитики'!AD1571,MeanMinAge25)))</f>
        <v/>
      </c>
      <c r="AE1500">
        <f>IF(OR('19_Расчет_аналитики'!AE1472=0,25&lt;='01_Вводные'!$B$297),0,'19_Расчет_аналитики'!AE1472*IF('01_Вводные'!$B$239="Да",MeanMinAge25+'19_Расчет_аналитики'!AE1571*SUMIF(ThresholdAge25,"&lt;"&amp;'19_Расчет_аналитики'!AE1571,WeightedRevAge25)-SUMIF(ThresholdAge25,"&lt;"&amp;'19_Расчет_аналитики'!AE1571,WeightedMinAge25),MAX(CapacityAge25*'01_Вводные'!$B$218*'19_Расчет_аналитики'!AE1571,MeanMinAge25)))</f>
        <v/>
      </c>
      <c r="AF1500">
        <f>IF(OR('19_Расчет_аналитики'!AF1472=0,25&lt;='01_Вводные'!$B$297),0,'19_Расчет_аналитики'!AF1472*IF('01_Вводные'!$B$239="Да",MeanMinAge25+'19_Расчет_аналитики'!AF1571*SUMIF(ThresholdAge25,"&lt;"&amp;'19_Расчет_аналитики'!AF1571,WeightedRevAge25)-SUMIF(ThresholdAge25,"&lt;"&amp;'19_Расчет_аналитики'!AF1571,WeightedMinAge25),MAX(CapacityAge25*'01_Вводные'!$B$218*'19_Расчет_аналитики'!AF1571,MeanMinAge25)))</f>
        <v/>
      </c>
      <c r="AG1500">
        <f>IF(OR('19_Расчет_аналитики'!AG1472=0,25&lt;='01_Вводные'!$B$297),0,'19_Расчет_аналитики'!AG1472*IF('01_Вводные'!$B$239="Да",MeanMinAge25+'19_Расчет_аналитики'!AG1571*SUMIF(ThresholdAge25,"&lt;"&amp;'19_Расчет_аналитики'!AG1571,WeightedRevAge25)-SUMIF(ThresholdAge25,"&lt;"&amp;'19_Расчет_аналитики'!AG1571,WeightedMinAge25),MAX(CapacityAge25*'01_Вводные'!$B$218*'19_Расчет_аналитики'!AG1571,MeanMinAge25)))</f>
        <v/>
      </c>
      <c r="AH1500">
        <f>IF(OR('19_Расчет_аналитики'!AH1472=0,25&lt;='01_Вводные'!$B$297),0,'19_Расчет_аналитики'!AH1472*IF('01_Вводные'!$B$239="Да",MeanMinAge25+'19_Расчет_аналитики'!AH1571*SUMIF(ThresholdAge25,"&lt;"&amp;'19_Расчет_аналитики'!AH1571,WeightedRevAge25)-SUMIF(ThresholdAge25,"&lt;"&amp;'19_Расчет_аналитики'!AH1571,WeightedMinAge25),MAX(CapacityAge25*'01_Вводные'!$B$218*'19_Расчет_аналитики'!AH1571,MeanMinAge25)))</f>
        <v/>
      </c>
      <c r="AI1500">
        <f>IF(OR('19_Расчет_аналитики'!AI1472=0,25&lt;='01_Вводные'!$B$297),0,'19_Расчет_аналитики'!AI1472*IF('01_Вводные'!$B$239="Да",MeanMinAge25+'19_Расчет_аналитики'!AI1571*SUMIF(ThresholdAge25,"&lt;"&amp;'19_Расчет_аналитики'!AI1571,WeightedRevAge25)-SUMIF(ThresholdAge25,"&lt;"&amp;'19_Расчет_аналитики'!AI1571,WeightedMinAge25),MAX(CapacityAge25*'01_Вводные'!$B$218*'19_Расчет_аналитики'!AI1571,MeanMinAge25)))</f>
        <v/>
      </c>
      <c r="AJ1500">
        <f>IF(OR('19_Расчет_аналитики'!AJ1472=0,25&lt;='01_Вводные'!$B$297),0,'19_Расчет_аналитики'!AJ1472*IF('01_Вводные'!$B$239="Да",MeanMinAge25+'19_Расчет_аналитики'!AJ1571*SUMIF(ThresholdAge25,"&lt;"&amp;'19_Расчет_аналитики'!AJ1571,WeightedRevAge25)-SUMIF(ThresholdAge25,"&lt;"&amp;'19_Расчет_аналитики'!AJ1571,WeightedMinAge25),MAX(CapacityAge25*'01_Вводные'!$B$218*'19_Расчет_аналитики'!AJ1571,MeanMinAge25)))</f>
        <v/>
      </c>
      <c r="AK1500">
        <f>IF(OR('19_Расчет_аналитики'!AK1472=0,25&lt;='01_Вводные'!$B$297),0,'19_Расчет_аналитики'!AK1472*IF('01_Вводные'!$B$239="Да",MeanMinAge25+'19_Расчет_аналитики'!AK1571*SUMIF(ThresholdAge25,"&lt;"&amp;'19_Расчет_аналитики'!AK1571,WeightedRevAge25)-SUMIF(ThresholdAge25,"&lt;"&amp;'19_Расчет_аналитики'!AK1571,WeightedMinAge25),MAX(CapacityAge25*'01_Вводные'!$B$218*'19_Расчет_аналитики'!AK1571,MeanMinAge25)))</f>
        <v/>
      </c>
      <c r="AL1500">
        <f>IF(OR('19_Расчет_аналитики'!AL1472=0,25&lt;='01_Вводные'!$B$297),0,'19_Расчет_аналитики'!AL1472*IF('01_Вводные'!$B$239="Да",MeanMinAge25+'19_Расчет_аналитики'!AL1571*SUMIF(ThresholdAge25,"&lt;"&amp;'19_Расчет_аналитики'!AL1571,WeightedRevAge25)-SUMIF(ThresholdAge25,"&lt;"&amp;'19_Расчет_аналитики'!AL1571,WeightedMinAge25),MAX(CapacityAge25*'01_Вводные'!$B$218*'19_Расчет_аналитики'!AL1571,MeanMinAge25)))</f>
        <v/>
      </c>
      <c r="AM1500">
        <f>IF(OR('19_Расчет_аналитики'!AM1472=0,25&lt;='01_Вводные'!$B$297),0,'19_Расчет_аналитики'!AM1472*IF('01_Вводные'!$B$239="Да",MeanMinAge25+'19_Расчет_аналитики'!AM1571*SUMIF(ThresholdAge25,"&lt;"&amp;'19_Расчет_аналитики'!AM1571,WeightedRevAge25)-SUMIF(ThresholdAge25,"&lt;"&amp;'19_Расчет_аналитики'!AM1571,WeightedMinAge25),MAX(CapacityAge25*'01_Вводные'!$B$218*'19_Расчет_аналитики'!AM1571,MeanMinAge25)))</f>
        <v/>
      </c>
      <c r="AN1500">
        <f>IF(OR('19_Расчет_аналитики'!AN1472=0,25&lt;='01_Вводные'!$B$297),0,'19_Расчет_аналитики'!AN1472*IF('01_Вводные'!$B$239="Да",MeanMinAge25+'19_Расчет_аналитики'!AN1571*SUMIF(ThresholdAge25,"&lt;"&amp;'19_Расчет_аналитики'!AN1571,WeightedRevAge25)-SUMIF(ThresholdAge25,"&lt;"&amp;'19_Расчет_аналитики'!AN1571,WeightedMinAge25),MAX(CapacityAge25*'01_Вводные'!$B$218*'19_Расчет_аналитики'!AN1571,MeanMinAge25)))</f>
        <v/>
      </c>
      <c r="AO1500">
        <f>IF(OR('19_Расчет_аналитики'!AO1472=0,25&lt;='01_Вводные'!$B$297),0,'19_Расчет_аналитики'!AO1472*IF('01_Вводные'!$B$239="Да",MeanMinAge25+'19_Расчет_аналитики'!AO1571*SUMIF(ThresholdAge25,"&lt;"&amp;'19_Расчет_аналитики'!AO1571,WeightedRevAge25)-SUMIF(ThresholdAge25,"&lt;"&amp;'19_Расчет_аналитики'!AO1571,WeightedMinAge25),MAX(CapacityAge25*'01_Вводные'!$B$218*'19_Расчет_аналитики'!AO1571,MeanMinAge25)))</f>
        <v/>
      </c>
      <c r="AP1500">
        <f>IF(OR('19_Расчет_аналитики'!AP1472=0,25&lt;='01_Вводные'!$B$297),0,'19_Расчет_аналитики'!AP1472*IF('01_Вводные'!$B$239="Да",MeanMinAge25+'19_Расчет_аналитики'!AP1571*SUMIF(ThresholdAge25,"&lt;"&amp;'19_Расчет_аналитики'!AP1571,WeightedRevAge25)-SUMIF(ThresholdAge25,"&lt;"&amp;'19_Расчет_аналитики'!AP1571,WeightedMinAge25),MAX(CapacityAge25*'01_Вводные'!$B$218*'19_Расчет_аналитики'!AP1571,MeanMinAge25)))</f>
        <v/>
      </c>
      <c r="AQ1500">
        <f>IF(OR('19_Расчет_аналитики'!AQ1472=0,25&lt;='01_Вводные'!$B$297),0,'19_Расчет_аналитики'!AQ1472*IF('01_Вводные'!$B$239="Да",MeanMinAge25+'19_Расчет_аналитики'!AQ1571*SUMIF(ThresholdAge25,"&lt;"&amp;'19_Расчет_аналитики'!AQ1571,WeightedRevAge25)-SUMIF(ThresholdAge25,"&lt;"&amp;'19_Расчет_аналитики'!AQ1571,WeightedMinAge25),MAX(CapacityAge25*'01_Вводные'!$B$218*'19_Расчет_аналитики'!AQ1571,MeanMinAge25)))</f>
        <v/>
      </c>
      <c r="AR1500">
        <f>IF(OR('19_Расчет_аналитики'!AR1472=0,25&lt;='01_Вводные'!$B$297),0,'19_Расчет_аналитики'!AR1472*IF('01_Вводные'!$B$239="Да",MeanMinAge25+'19_Расчет_аналитики'!AR1571*SUMIF(ThresholdAge25,"&lt;"&amp;'19_Расчет_аналитики'!AR1571,WeightedRevAge25)-SUMIF(ThresholdAge25,"&lt;"&amp;'19_Расчет_аналитики'!AR1571,WeightedMinAge25),MAX(CapacityAge25*'01_Вводные'!$B$218*'19_Расчет_аналитики'!AR1571,MeanMinAge25)))</f>
        <v/>
      </c>
      <c r="AS1500">
        <f>IF(OR('19_Расчет_аналитики'!AS1472=0,25&lt;='01_Вводные'!$B$297),0,'19_Расчет_аналитики'!AS1472*IF('01_Вводные'!$B$239="Да",MeanMinAge25+'19_Расчет_аналитики'!AS1571*SUMIF(ThresholdAge25,"&lt;"&amp;'19_Расчет_аналитики'!AS1571,WeightedRevAge25)-SUMIF(ThresholdAge25,"&lt;"&amp;'19_Расчет_аналитики'!AS1571,WeightedMinAge25),MAX(CapacityAge25*'01_Вводные'!$B$218*'19_Расчет_аналитики'!AS1571,MeanMinAge25)))</f>
        <v/>
      </c>
      <c r="AT1500">
        <f>IF(OR('19_Расчет_аналитики'!AT1472=0,25&lt;='01_Вводные'!$B$297),0,'19_Расчет_аналитики'!AT1472*IF('01_Вводные'!$B$239="Да",MeanMinAge25+'19_Расчет_аналитики'!AT1571*SUMIF(ThresholdAge25,"&lt;"&amp;'19_Расчет_аналитики'!AT1571,WeightedRevAge25)-SUMIF(ThresholdAge25,"&lt;"&amp;'19_Расчет_аналитики'!AT1571,WeightedMinAge25),MAX(CapacityAge25*'01_Вводные'!$B$218*'19_Расчет_аналитики'!AT1571,MeanMinAge25)))</f>
        <v/>
      </c>
      <c r="AU1500">
        <f>IF(OR('19_Расчет_аналитики'!AU1472=0,25&lt;='01_Вводные'!$B$297),0,'19_Расчет_аналитики'!AU1472*IF('01_Вводные'!$B$239="Да",MeanMinAge25+'19_Расчет_аналитики'!AU1571*SUMIF(ThresholdAge25,"&lt;"&amp;'19_Расчет_аналитики'!AU1571,WeightedRevAge25)-SUMIF(ThresholdAge25,"&lt;"&amp;'19_Расчет_аналитики'!AU1571,WeightedMinAge25),MAX(CapacityAge25*'01_Вводные'!$B$218*'19_Расчет_аналитики'!AU1571,MeanMinAge25)))</f>
        <v/>
      </c>
      <c r="AV1500">
        <f>IF(OR('19_Расчет_аналитики'!AV1472=0,25&lt;='01_Вводные'!$B$297),0,'19_Расчет_аналитики'!AV1472*IF('01_Вводные'!$B$239="Да",MeanMinAge25+'19_Расчет_аналитики'!AV1571*SUMIF(ThresholdAge25,"&lt;"&amp;'19_Расчет_аналитики'!AV1571,WeightedRevAge25)-SUMIF(ThresholdAge25,"&lt;"&amp;'19_Расчет_аналитики'!AV1571,WeightedMinAge25),MAX(CapacityAge25*'01_Вводные'!$B$218*'19_Расчет_аналитики'!AV1571,MeanMinAge25)))</f>
        <v/>
      </c>
      <c r="AW1500">
        <f>IF(OR('19_Расчет_аналитики'!AW1472=0,25&lt;='01_Вводные'!$B$297),0,'19_Расчет_аналитики'!AW1472*IF('01_Вводные'!$B$239="Да",MeanMinAge25+'19_Расчет_аналитики'!AW1571*SUMIF(ThresholdAge25,"&lt;"&amp;'19_Расчет_аналитики'!AW1571,WeightedRevAge25)-SUMIF(ThresholdAge25,"&lt;"&amp;'19_Расчет_аналитики'!AW1571,WeightedMinAge25),MAX(CapacityAge25*'01_Вводные'!$B$218*'19_Расчет_аналитики'!AW1571,MeanMinAge25)))</f>
        <v/>
      </c>
      <c r="AX1500">
        <f>IF(OR('19_Расчет_аналитики'!AX1472=0,25&lt;='01_Вводные'!$B$297),0,'19_Расчет_аналитики'!AX1472*IF('01_Вводные'!$B$239="Да",MeanMinAge25+'19_Расчет_аналитики'!AX1571*SUMIF(ThresholdAge25,"&lt;"&amp;'19_Расчет_аналитики'!AX1571,WeightedRevAge25)-SUMIF(ThresholdAge25,"&lt;"&amp;'19_Расчет_аналитики'!AX1571,WeightedMinAge25),MAX(CapacityAge25*'01_Вводные'!$B$218*'19_Расчет_аналитики'!AX1571,MeanMinAge25)))</f>
        <v/>
      </c>
      <c r="AY1500">
        <f>IF(OR('19_Расчет_аналитики'!AY1472=0,25&lt;='01_Вводные'!$B$297),0,'19_Расчет_аналитики'!AY1472*IF('01_Вводные'!$B$239="Да",MeanMinAge25+'19_Расчет_аналитики'!AY1571*SUMIF(ThresholdAge25,"&lt;"&amp;'19_Расчет_аналитики'!AY1571,WeightedRevAge25)-SUMIF(ThresholdAge25,"&lt;"&amp;'19_Расчет_аналитики'!AY1571,WeightedMinAge25),MAX(CapacityAge25*'01_Вводные'!$B$218*'19_Расчет_аналитики'!AY1571,MeanMinAge25)))</f>
        <v/>
      </c>
      <c r="AZ1500">
        <f>IF(OR('19_Расчет_аналитики'!AZ1472=0,25&lt;='01_Вводные'!$B$297),0,'19_Расчет_аналитики'!AZ1472*IF('01_Вводные'!$B$239="Да",MeanMinAge25+'19_Расчет_аналитики'!AZ1571*SUMIF(ThresholdAge25,"&lt;"&amp;'19_Расчет_аналитики'!AZ1571,WeightedRevAge25)-SUMIF(ThresholdAge25,"&lt;"&amp;'19_Расчет_аналитики'!AZ1571,WeightedMinAge25),MAX(CapacityAge25*'01_Вводные'!$B$218*'19_Расчет_аналитики'!AZ1571,MeanMinAge25)))</f>
        <v/>
      </c>
      <c r="BA1500">
        <f>IF(OR('19_Расчет_аналитики'!BA1472=0,25&lt;='01_Вводные'!$B$297),0,'19_Расчет_аналитики'!BA1472*IF('01_Вводные'!$B$239="Да",MeanMinAge25+'19_Расчет_аналитики'!BA1571*SUMIF(ThresholdAge25,"&lt;"&amp;'19_Расчет_аналитики'!BA1571,WeightedRevAge25)-SUMIF(ThresholdAge25,"&lt;"&amp;'19_Расчет_аналитики'!BA1571,WeightedMinAge25),MAX(CapacityAge25*'01_Вводные'!$B$218*'19_Расчет_аналитики'!BA1571,MeanMinAge25)))</f>
        <v/>
      </c>
      <c r="BB1500">
        <f>IF(OR('19_Расчет_аналитики'!BB1472=0,25&lt;='01_Вводные'!$B$297),0,'19_Расчет_аналитики'!BB1472*IF('01_Вводные'!$B$239="Да",MeanMinAge25+'19_Расчет_аналитики'!BB1571*SUMIF(ThresholdAge25,"&lt;"&amp;'19_Расчет_аналитики'!BB1571,WeightedRevAge25)-SUMIF(ThresholdAge25,"&lt;"&amp;'19_Расчет_аналитики'!BB1571,WeightedMinAge25),MAX(CapacityAge25*'01_Вводные'!$B$218*'19_Расчет_аналитики'!BB1571,MeanMinAge25)))</f>
        <v/>
      </c>
      <c r="BC1500">
        <f>IF(OR('19_Расчет_аналитики'!BC1472=0,25&lt;='01_Вводные'!$B$297),0,'19_Расчет_аналитики'!BC1472*IF('01_Вводные'!$B$239="Да",MeanMinAge25+'19_Расчет_аналитики'!BC1571*SUMIF(ThresholdAge25,"&lt;"&amp;'19_Расчет_аналитики'!BC1571,WeightedRevAge25)-SUMIF(ThresholdAge25,"&lt;"&amp;'19_Расчет_аналитики'!BC1571,WeightedMinAge25),MAX(CapacityAge25*'01_Вводные'!$B$218*'19_Расчет_аналитики'!BC1571,MeanMinAge25)))</f>
        <v/>
      </c>
      <c r="BD1500">
        <f>IF(OR('19_Расчет_аналитики'!BD1472=0,25&lt;='01_Вводные'!$B$297),0,'19_Расчет_аналитики'!BD1472*IF('01_Вводные'!$B$239="Да",MeanMinAge25+'19_Расчет_аналитики'!BD1571*SUMIF(ThresholdAge25,"&lt;"&amp;'19_Расчет_аналитики'!BD1571,WeightedRevAge25)-SUMIF(ThresholdAge25,"&lt;"&amp;'19_Расчет_аналитики'!BD1571,WeightedMinAge25),MAX(CapacityAge25*'01_Вводные'!$B$218*'19_Расчет_аналитики'!BD1571,MeanMinAge25)))</f>
        <v/>
      </c>
      <c r="BE1500">
        <f>IF(OR('19_Расчет_аналитики'!BE1472=0,25&lt;='01_Вводные'!$B$297),0,'19_Расчет_аналитики'!BE1472*IF('01_Вводные'!$B$239="Да",MeanMinAge25+'19_Расчет_аналитики'!BE1571*SUMIF(ThresholdAge25,"&lt;"&amp;'19_Расчет_аналитики'!BE1571,WeightedRevAge25)-SUMIF(ThresholdAge25,"&lt;"&amp;'19_Расчет_аналитики'!BE1571,WeightedMinAge25),MAX(CapacityAge25*'01_Вводные'!$B$218*'19_Расчет_аналитики'!BE1571,MeanMinAge25)))</f>
        <v/>
      </c>
      <c r="BF1500">
        <f>IF(OR('19_Расчет_аналитики'!BF1472=0,25&lt;='01_Вводные'!$B$297),0,'19_Расчет_аналитики'!BF1472*IF('01_Вводные'!$B$239="Да",MeanMinAge25+'19_Расчет_аналитики'!BF1571*SUMIF(ThresholdAge25,"&lt;"&amp;'19_Расчет_аналитики'!BF1571,WeightedRevAge25)-SUMIF(ThresholdAge25,"&lt;"&amp;'19_Расчет_аналитики'!BF1571,WeightedMinAge25),MAX(CapacityAge25*'01_Вводные'!$B$218*'19_Расчет_аналитики'!BF1571,MeanMinAge25)))</f>
        <v/>
      </c>
      <c r="BG1500">
        <f>IF(OR('19_Расчет_аналитики'!BG1472=0,25&lt;='01_Вводные'!$B$297),0,'19_Расчет_аналитики'!BG1472*IF('01_Вводные'!$B$239="Да",MeanMinAge25+'19_Расчет_аналитики'!BG1571*SUMIF(ThresholdAge25,"&lt;"&amp;'19_Расчет_аналитики'!BG1571,WeightedRevAge25)-SUMIF(ThresholdAge25,"&lt;"&amp;'19_Расчет_аналитики'!BG1571,WeightedMinAge25),MAX(CapacityAge25*'01_Вводные'!$B$218*'19_Расчет_аналитики'!BG1571,MeanMinAge25)))</f>
        <v/>
      </c>
      <c r="BH1500">
        <f>IF(OR('19_Расчет_аналитики'!BH1472=0,25&lt;='01_Вводные'!$B$297),0,'19_Расчет_аналитики'!BH1472*IF('01_Вводные'!$B$239="Да",MeanMinAge25+'19_Расчет_аналитики'!BH1571*SUMIF(ThresholdAge25,"&lt;"&amp;'19_Расчет_аналитики'!BH1571,WeightedRevAge25)-SUMIF(ThresholdAge25,"&lt;"&amp;'19_Расчет_аналитики'!BH1571,WeightedMinAge25),MAX(CapacityAge25*'01_Вводные'!$B$218*'19_Расчет_аналитики'!BH1571,MeanMinAge25)))</f>
        <v/>
      </c>
      <c r="BI1500">
        <f>IF(OR('19_Расчет_аналитики'!BI1472=0,25&lt;='01_Вводные'!$B$297),0,'19_Расчет_аналитики'!BI1472*IF('01_Вводные'!$B$239="Да",MeanMinAge25+'19_Расчет_аналитики'!BI1571*SUMIF(ThresholdAge25,"&lt;"&amp;'19_Расчет_аналитики'!BI1571,WeightedRevAge25)-SUMIF(ThresholdAge25,"&lt;"&amp;'19_Расчет_аналитики'!BI1571,WeightedMinAge25),MAX(CapacityAge25*'01_Вводные'!$B$218*'19_Расчет_аналитики'!BI1571,MeanMinAge25)))</f>
        <v/>
      </c>
      <c r="BJ1500">
        <f>IF(OR('19_Расчет_аналитики'!BJ1472=0,25&lt;='01_Вводные'!$B$297),0,'19_Расчет_аналитики'!BJ1472*IF('01_Вводные'!$B$239="Да",MeanMinAge25+'19_Расчет_аналитики'!BJ1571*SUMIF(ThresholdAge25,"&lt;"&amp;'19_Расчет_аналитики'!BJ1571,WeightedRevAge25)-SUMIF(ThresholdAge25,"&lt;"&amp;'19_Расчет_аналитики'!BJ1571,WeightedMinAge25),MAX(CapacityAge25*'01_Вводные'!$B$218*'19_Расчет_аналитики'!BJ1571,MeanMinAge25)))</f>
        <v/>
      </c>
      <c r="BK1500">
        <f>IF(OR('19_Расчет_аналитики'!BK1472=0,25&lt;='01_Вводные'!$B$297),0,'19_Расчет_аналитики'!BK1472*IF('01_Вводные'!$B$239="Да",MeanMinAge25+'19_Расчет_аналитики'!BK1571*SUMIF(ThresholdAge25,"&lt;"&amp;'19_Расчет_аналитики'!BK1571,WeightedRevAge25)-SUMIF(ThresholdAge25,"&lt;"&amp;'19_Расчет_аналитики'!BK1571,WeightedMinAge25),MAX(CapacityAge25*'01_Вводные'!$B$218*'19_Расчет_аналитики'!BK1571,MeanMinAge25)))</f>
        <v/>
      </c>
      <c r="BL1500">
        <f>IF(OR('19_Расчет_аналитики'!BL1472=0,25&lt;='01_Вводные'!$B$297),0,'19_Расчет_аналитики'!BL1472*IF('01_Вводные'!$B$239="Да",MeanMinAge25+'19_Расчет_аналитики'!BL1571*SUMIF(ThresholdAge25,"&lt;"&amp;'19_Расчет_аналитики'!BL1571,WeightedRevAge25)-SUMIF(ThresholdAge25,"&lt;"&amp;'19_Расчет_аналитики'!BL1571,WeightedMinAge25),MAX(CapacityAge25*'01_Вводные'!$B$218*'19_Расчет_аналитики'!BL1571,MeanMinAge25)))</f>
        <v/>
      </c>
      <c r="BM1500">
        <f>IF(OR('19_Расчет_аналитики'!BM1472=0,25&lt;='01_Вводные'!$B$297),0,'19_Расчет_аналитики'!BM1472*IF('01_Вводные'!$B$239="Да",MeanMinAge25+'19_Расчет_аналитики'!BM1571*SUMIF(ThresholdAge25,"&lt;"&amp;'19_Расчет_аналитики'!BM1571,WeightedRevAge25)-SUMIF(ThresholdAge25,"&lt;"&amp;'19_Расчет_аналитики'!BM1571,WeightedMinAge25),MAX(CapacityAge25*'01_Вводные'!$B$218*'19_Расчет_аналитики'!BM1571,MeanMinAge25)))</f>
        <v/>
      </c>
      <c r="BN1500">
        <f>IF(OR('19_Расчет_аналитики'!BN1472=0,25&lt;='01_Вводные'!$B$297),0,'19_Расчет_аналитики'!BN1472*IF('01_Вводные'!$B$239="Да",MeanMinAge25+'19_Расчет_аналитики'!BN1571*SUMIF(ThresholdAge25,"&lt;"&amp;'19_Расчет_аналитики'!BN1571,WeightedRevAge25)-SUMIF(ThresholdAge25,"&lt;"&amp;'19_Расчет_аналитики'!BN1571,WeightedMinAge25),MAX(CapacityAge25*'01_Вводные'!$B$218*'19_Расчет_аналитики'!BN1571,MeanMinAge25)))</f>
        <v/>
      </c>
      <c r="BO1500">
        <f>IF(OR('19_Расчет_аналитики'!BO1472=0,25&lt;='01_Вводные'!$B$297),0,'19_Расчет_аналитики'!BO1472*IF('01_Вводные'!$B$239="Да",MeanMinAge25+'19_Расчет_аналитики'!BO1571*SUMIF(ThresholdAge25,"&lt;"&amp;'19_Расчет_аналитики'!BO1571,WeightedRevAge25)-SUMIF(ThresholdAge25,"&lt;"&amp;'19_Расчет_аналитики'!BO1571,WeightedMinAge25),MAX(CapacityAge25*'01_Вводные'!$B$218*'19_Расчет_аналитики'!BO1571,MeanMinAge25)))</f>
        <v/>
      </c>
    </row>
    <row r="1501"/>
    <row r="1502"/>
    <row r="1503"/>
    <row r="1504">
      <c r="B1504">
        <f>IF(OR(('19_Расчет_аналитики'!B1420-'19_Расчет_аналитики'!B1448)=0,1&lt;='01_Вводные'!$B$297),0,('19_Расчет_аналитики'!B1420-'19_Расчет_аналитики'!B1448)*IF('01_Вводные'!$B$239="Да",MeanMinAge01+'19_Расчет_аналитики'!B1572*SUMIF(ThresholdAge01,"&lt;"&amp;'19_Расчет_аналитики'!B1572,WeightedRevAge01)-SUMIF(ThresholdAge01,"&lt;"&amp;'19_Расчет_аналитики'!B1572,WeightedMinAge01),MAX(CapacityAge01*'01_Вводные'!$B$218*'19_Расчет_аналитики'!B1572,MeanMinAge01)))</f>
        <v/>
      </c>
      <c r="C1504">
        <f>IF(OR(('19_Расчет_аналитики'!C1420-'19_Расчет_аналитики'!C1448)=0,1&lt;='01_Вводные'!$B$297),0,('19_Расчет_аналитики'!C1420-'19_Расчет_аналитики'!C1448)*IF('01_Вводные'!$B$239="Да",MeanMinAge01+'19_Расчет_аналитики'!C1572*SUMIF(ThresholdAge01,"&lt;"&amp;'19_Расчет_аналитики'!C1572,WeightedRevAge01)-SUMIF(ThresholdAge01,"&lt;"&amp;'19_Расчет_аналитики'!C1572,WeightedMinAge01),MAX(CapacityAge01*'01_Вводные'!$B$218*'19_Расчет_аналитики'!C1572,MeanMinAge01)))</f>
        <v/>
      </c>
      <c r="D1504">
        <f>IF(OR(('19_Расчет_аналитики'!D1420-'19_Расчет_аналитики'!D1448)=0,1&lt;='01_Вводные'!$B$297),0,('19_Расчет_аналитики'!D1420-'19_Расчет_аналитики'!D1448)*IF('01_Вводные'!$B$239="Да",MeanMinAge01+'19_Расчет_аналитики'!D1572*SUMIF(ThresholdAge01,"&lt;"&amp;'19_Расчет_аналитики'!D1572,WeightedRevAge01)-SUMIF(ThresholdAge01,"&lt;"&amp;'19_Расчет_аналитики'!D1572,WeightedMinAge01),MAX(CapacityAge01*'01_Вводные'!$B$218*'19_Расчет_аналитики'!D1572,MeanMinAge01)))</f>
        <v/>
      </c>
      <c r="E1504">
        <f>IF(OR(('19_Расчет_аналитики'!E1420-'19_Расчет_аналитики'!E1448)=0,1&lt;='01_Вводные'!$B$297),0,('19_Расчет_аналитики'!E1420-'19_Расчет_аналитики'!E1448)*IF('01_Вводные'!$B$239="Да",MeanMinAge01+'19_Расчет_аналитики'!E1572*SUMIF(ThresholdAge01,"&lt;"&amp;'19_Расчет_аналитики'!E1572,WeightedRevAge01)-SUMIF(ThresholdAge01,"&lt;"&amp;'19_Расчет_аналитики'!E1572,WeightedMinAge01),MAX(CapacityAge01*'01_Вводные'!$B$218*'19_Расчет_аналитики'!E1572,MeanMinAge01)))</f>
        <v/>
      </c>
      <c r="F1504">
        <f>IF(OR(('19_Расчет_аналитики'!F1420-'19_Расчет_аналитики'!F1448)=0,1&lt;='01_Вводные'!$B$297),0,('19_Расчет_аналитики'!F1420-'19_Расчет_аналитики'!F1448)*IF('01_Вводные'!$B$239="Да",MeanMinAge01+'19_Расчет_аналитики'!F1572*SUMIF(ThresholdAge01,"&lt;"&amp;'19_Расчет_аналитики'!F1572,WeightedRevAge01)-SUMIF(ThresholdAge01,"&lt;"&amp;'19_Расчет_аналитики'!F1572,WeightedMinAge01),MAX(CapacityAge01*'01_Вводные'!$B$218*'19_Расчет_аналитики'!F1572,MeanMinAge01)))</f>
        <v/>
      </c>
      <c r="G1504">
        <f>IF(OR(('19_Расчет_аналитики'!G1420-'19_Расчет_аналитики'!G1448)=0,1&lt;='01_Вводные'!$B$297),0,('19_Расчет_аналитики'!G1420-'19_Расчет_аналитики'!G1448)*IF('01_Вводные'!$B$239="Да",MeanMinAge01+'19_Расчет_аналитики'!G1572*SUMIF(ThresholdAge01,"&lt;"&amp;'19_Расчет_аналитики'!G1572,WeightedRevAge01)-SUMIF(ThresholdAge01,"&lt;"&amp;'19_Расчет_аналитики'!G1572,WeightedMinAge01),MAX(CapacityAge01*'01_Вводные'!$B$218*'19_Расчет_аналитики'!G1572,MeanMinAge01)))</f>
        <v/>
      </c>
      <c r="H1504">
        <f>IF(OR(('19_Расчет_аналитики'!H1420-'19_Расчет_аналитики'!H1448)=0,1&lt;='01_Вводные'!$B$297),0,('19_Расчет_аналитики'!H1420-'19_Расчет_аналитики'!H1448)*IF('01_Вводные'!$B$239="Да",MeanMinAge01+'19_Расчет_аналитики'!H1572*SUMIF(ThresholdAge01,"&lt;"&amp;'19_Расчет_аналитики'!H1572,WeightedRevAge01)-SUMIF(ThresholdAge01,"&lt;"&amp;'19_Расчет_аналитики'!H1572,WeightedMinAge01),MAX(CapacityAge01*'01_Вводные'!$B$218*'19_Расчет_аналитики'!H1572,MeanMinAge01)))</f>
        <v/>
      </c>
      <c r="I1504">
        <f>IF(OR(('19_Расчет_аналитики'!I1420-'19_Расчет_аналитики'!I1448)=0,1&lt;='01_Вводные'!$B$297),0,('19_Расчет_аналитики'!I1420-'19_Расчет_аналитики'!I1448)*IF('01_Вводные'!$B$239="Да",MeanMinAge01+'19_Расчет_аналитики'!I1572*SUMIF(ThresholdAge01,"&lt;"&amp;'19_Расчет_аналитики'!I1572,WeightedRevAge01)-SUMIF(ThresholdAge01,"&lt;"&amp;'19_Расчет_аналитики'!I1572,WeightedMinAge01),MAX(CapacityAge01*'01_Вводные'!$B$218*'19_Расчет_аналитики'!I1572,MeanMinAge01)))</f>
        <v/>
      </c>
      <c r="J1504">
        <f>IF(OR(('19_Расчет_аналитики'!J1420-'19_Расчет_аналитики'!J1448)=0,1&lt;='01_Вводные'!$B$297),0,('19_Расчет_аналитики'!J1420-'19_Расчет_аналитики'!J1448)*IF('01_Вводные'!$B$239="Да",MeanMinAge01+'19_Расчет_аналитики'!J1572*SUMIF(ThresholdAge01,"&lt;"&amp;'19_Расчет_аналитики'!J1572,WeightedRevAge01)-SUMIF(ThresholdAge01,"&lt;"&amp;'19_Расчет_аналитики'!J1572,WeightedMinAge01),MAX(CapacityAge01*'01_Вводные'!$B$218*'19_Расчет_аналитики'!J1572,MeanMinAge01)))</f>
        <v/>
      </c>
      <c r="K1504">
        <f>IF(OR(('19_Расчет_аналитики'!K1420-'19_Расчет_аналитики'!K1448)=0,1&lt;='01_Вводные'!$B$297),0,('19_Расчет_аналитики'!K1420-'19_Расчет_аналитики'!K1448)*IF('01_Вводные'!$B$239="Да",MeanMinAge01+'19_Расчет_аналитики'!K1572*SUMIF(ThresholdAge01,"&lt;"&amp;'19_Расчет_аналитики'!K1572,WeightedRevAge01)-SUMIF(ThresholdAge01,"&lt;"&amp;'19_Расчет_аналитики'!K1572,WeightedMinAge01),MAX(CapacityAge01*'01_Вводные'!$B$218*'19_Расчет_аналитики'!K1572,MeanMinAge01)))</f>
        <v/>
      </c>
      <c r="L1504">
        <f>IF(OR(('19_Расчет_аналитики'!L1420-'19_Расчет_аналитики'!L1448)=0,1&lt;='01_Вводные'!$B$297),0,('19_Расчет_аналитики'!L1420-'19_Расчет_аналитики'!L1448)*IF('01_Вводные'!$B$239="Да",MeanMinAge01+'19_Расчет_аналитики'!L1572*SUMIF(ThresholdAge01,"&lt;"&amp;'19_Расчет_аналитики'!L1572,WeightedRevAge01)-SUMIF(ThresholdAge01,"&lt;"&amp;'19_Расчет_аналитики'!L1572,WeightedMinAge01),MAX(CapacityAge01*'01_Вводные'!$B$218*'19_Расчет_аналитики'!L1572,MeanMinAge01)))</f>
        <v/>
      </c>
      <c r="M1504">
        <f>IF(OR(('19_Расчет_аналитики'!M1420-'19_Расчет_аналитики'!M1448)=0,1&lt;='01_Вводные'!$B$297),0,('19_Расчет_аналитики'!M1420-'19_Расчет_аналитики'!M1448)*IF('01_Вводные'!$B$239="Да",MeanMinAge01+'19_Расчет_аналитики'!M1572*SUMIF(ThresholdAge01,"&lt;"&amp;'19_Расчет_аналитики'!M1572,WeightedRevAge01)-SUMIF(ThresholdAge01,"&lt;"&amp;'19_Расчет_аналитики'!M1572,WeightedMinAge01),MAX(CapacityAge01*'01_Вводные'!$B$218*'19_Расчет_аналитики'!M1572,MeanMinAge01)))</f>
        <v/>
      </c>
      <c r="N1504">
        <f>IF(OR(('19_Расчет_аналитики'!N1420-'19_Расчет_аналитики'!N1448)=0,1&lt;='01_Вводные'!$B$297),0,('19_Расчет_аналитики'!N1420-'19_Расчет_аналитики'!N1448)*IF('01_Вводные'!$B$239="Да",MeanMinAge01+'19_Расчет_аналитики'!N1572*SUMIF(ThresholdAge01,"&lt;"&amp;'19_Расчет_аналитики'!N1572,WeightedRevAge01)-SUMIF(ThresholdAge01,"&lt;"&amp;'19_Расчет_аналитики'!N1572,WeightedMinAge01),MAX(CapacityAge01*'01_Вводные'!$B$218*'19_Расчет_аналитики'!N1572,MeanMinAge01)))</f>
        <v/>
      </c>
      <c r="O1504">
        <f>IF(OR(('19_Расчет_аналитики'!O1420-'19_Расчет_аналитики'!O1448)=0,1&lt;='01_Вводные'!$B$297),0,('19_Расчет_аналитики'!O1420-'19_Расчет_аналитики'!O1448)*IF('01_Вводные'!$B$239="Да",MeanMinAge01+'19_Расчет_аналитики'!O1572*SUMIF(ThresholdAge01,"&lt;"&amp;'19_Расчет_аналитики'!O1572,WeightedRevAge01)-SUMIF(ThresholdAge01,"&lt;"&amp;'19_Расчет_аналитики'!O1572,WeightedMinAge01),MAX(CapacityAge01*'01_Вводные'!$B$218*'19_Расчет_аналитики'!O1572,MeanMinAge01)))</f>
        <v/>
      </c>
      <c r="P1504">
        <f>IF(OR(('19_Расчет_аналитики'!P1420-'19_Расчет_аналитики'!P1448)=0,1&lt;='01_Вводные'!$B$297),0,('19_Расчет_аналитики'!P1420-'19_Расчет_аналитики'!P1448)*IF('01_Вводные'!$B$239="Да",MeanMinAge01+'19_Расчет_аналитики'!P1572*SUMIF(ThresholdAge01,"&lt;"&amp;'19_Расчет_аналитики'!P1572,WeightedRevAge01)-SUMIF(ThresholdAge01,"&lt;"&amp;'19_Расчет_аналитики'!P1572,WeightedMinAge01),MAX(CapacityAge01*'01_Вводные'!$B$218*'19_Расчет_аналитики'!P1572,MeanMinAge01)))</f>
        <v/>
      </c>
      <c r="Q1504">
        <f>IF(OR(('19_Расчет_аналитики'!Q1420-'19_Расчет_аналитики'!Q1448)=0,1&lt;='01_Вводные'!$B$297),0,('19_Расчет_аналитики'!Q1420-'19_Расчет_аналитики'!Q1448)*IF('01_Вводные'!$B$239="Да",MeanMinAge01+'19_Расчет_аналитики'!Q1572*SUMIF(ThresholdAge01,"&lt;"&amp;'19_Расчет_аналитики'!Q1572,WeightedRevAge01)-SUMIF(ThresholdAge01,"&lt;"&amp;'19_Расчет_аналитики'!Q1572,WeightedMinAge01),MAX(CapacityAge01*'01_Вводные'!$B$218*'19_Расчет_аналитики'!Q1572,MeanMinAge01)))</f>
        <v/>
      </c>
      <c r="R1504">
        <f>IF(OR(('19_Расчет_аналитики'!R1420-'19_Расчет_аналитики'!R1448)=0,1&lt;='01_Вводные'!$B$297),0,('19_Расчет_аналитики'!R1420-'19_Расчет_аналитики'!R1448)*IF('01_Вводные'!$B$239="Да",MeanMinAge01+'19_Расчет_аналитики'!R1572*SUMIF(ThresholdAge01,"&lt;"&amp;'19_Расчет_аналитики'!R1572,WeightedRevAge01)-SUMIF(ThresholdAge01,"&lt;"&amp;'19_Расчет_аналитики'!R1572,WeightedMinAge01),MAX(CapacityAge01*'01_Вводные'!$B$218*'19_Расчет_аналитики'!R1572,MeanMinAge01)))</f>
        <v/>
      </c>
      <c r="S1504">
        <f>IF(OR(('19_Расчет_аналитики'!S1420-'19_Расчет_аналитики'!S1448)=0,1&lt;='01_Вводные'!$B$297),0,('19_Расчет_аналитики'!S1420-'19_Расчет_аналитики'!S1448)*IF('01_Вводные'!$B$239="Да",MeanMinAge01+'19_Расчет_аналитики'!S1572*SUMIF(ThresholdAge01,"&lt;"&amp;'19_Расчет_аналитики'!S1572,WeightedRevAge01)-SUMIF(ThresholdAge01,"&lt;"&amp;'19_Расчет_аналитики'!S1572,WeightedMinAge01),MAX(CapacityAge01*'01_Вводные'!$B$218*'19_Расчет_аналитики'!S1572,MeanMinAge01)))</f>
        <v/>
      </c>
      <c r="T1504">
        <f>IF(OR(('19_Расчет_аналитики'!T1420-'19_Расчет_аналитики'!T1448)=0,1&lt;='01_Вводные'!$B$297),0,('19_Расчет_аналитики'!T1420-'19_Расчет_аналитики'!T1448)*IF('01_Вводные'!$B$239="Да",MeanMinAge01+'19_Расчет_аналитики'!T1572*SUMIF(ThresholdAge01,"&lt;"&amp;'19_Расчет_аналитики'!T1572,WeightedRevAge01)-SUMIF(ThresholdAge01,"&lt;"&amp;'19_Расчет_аналитики'!T1572,WeightedMinAge01),MAX(CapacityAge01*'01_Вводные'!$B$218*'19_Расчет_аналитики'!T1572,MeanMinAge01)))</f>
        <v/>
      </c>
      <c r="U1504">
        <f>IF(OR(('19_Расчет_аналитики'!U1420-'19_Расчет_аналитики'!U1448)=0,1&lt;='01_Вводные'!$B$297),0,('19_Расчет_аналитики'!U1420-'19_Расчет_аналитики'!U1448)*IF('01_Вводные'!$B$239="Да",MeanMinAge01+'19_Расчет_аналитики'!U1572*SUMIF(ThresholdAge01,"&lt;"&amp;'19_Расчет_аналитики'!U1572,WeightedRevAge01)-SUMIF(ThresholdAge01,"&lt;"&amp;'19_Расчет_аналитики'!U1572,WeightedMinAge01),MAX(CapacityAge01*'01_Вводные'!$B$218*'19_Расчет_аналитики'!U1572,MeanMinAge01)))</f>
        <v/>
      </c>
      <c r="V1504">
        <f>IF(OR(('19_Расчет_аналитики'!V1420-'19_Расчет_аналитики'!V1448)=0,1&lt;='01_Вводные'!$B$297),0,('19_Расчет_аналитики'!V1420-'19_Расчет_аналитики'!V1448)*IF('01_Вводные'!$B$239="Да",MeanMinAge01+'19_Расчет_аналитики'!V1572*SUMIF(ThresholdAge01,"&lt;"&amp;'19_Расчет_аналитики'!V1572,WeightedRevAge01)-SUMIF(ThresholdAge01,"&lt;"&amp;'19_Расчет_аналитики'!V1572,WeightedMinAge01),MAX(CapacityAge01*'01_Вводные'!$B$218*'19_Расчет_аналитики'!V1572,MeanMinAge01)))</f>
        <v/>
      </c>
      <c r="W1504">
        <f>IF(OR(('19_Расчет_аналитики'!W1420-'19_Расчет_аналитики'!W1448)=0,1&lt;='01_Вводные'!$B$297),0,('19_Расчет_аналитики'!W1420-'19_Расчет_аналитики'!W1448)*IF('01_Вводные'!$B$239="Да",MeanMinAge01+'19_Расчет_аналитики'!W1572*SUMIF(ThresholdAge01,"&lt;"&amp;'19_Расчет_аналитики'!W1572,WeightedRevAge01)-SUMIF(ThresholdAge01,"&lt;"&amp;'19_Расчет_аналитики'!W1572,WeightedMinAge01),MAX(CapacityAge01*'01_Вводные'!$B$218*'19_Расчет_аналитики'!W1572,MeanMinAge01)))</f>
        <v/>
      </c>
      <c r="X1504">
        <f>IF(OR(('19_Расчет_аналитики'!X1420-'19_Расчет_аналитики'!X1448)=0,1&lt;='01_Вводные'!$B$297),0,('19_Расчет_аналитики'!X1420-'19_Расчет_аналитики'!X1448)*IF('01_Вводные'!$B$239="Да",MeanMinAge01+'19_Расчет_аналитики'!X1572*SUMIF(ThresholdAge01,"&lt;"&amp;'19_Расчет_аналитики'!X1572,WeightedRevAge01)-SUMIF(ThresholdAge01,"&lt;"&amp;'19_Расчет_аналитики'!X1572,WeightedMinAge01),MAX(CapacityAge01*'01_Вводные'!$B$218*'19_Расчет_аналитики'!X1572,MeanMinAge01)))</f>
        <v/>
      </c>
      <c r="Y1504">
        <f>IF(OR(('19_Расчет_аналитики'!Y1420-'19_Расчет_аналитики'!Y1448)=0,1&lt;='01_Вводные'!$B$297),0,('19_Расчет_аналитики'!Y1420-'19_Расчет_аналитики'!Y1448)*IF('01_Вводные'!$B$239="Да",MeanMinAge01+'19_Расчет_аналитики'!Y1572*SUMIF(ThresholdAge01,"&lt;"&amp;'19_Расчет_аналитики'!Y1572,WeightedRevAge01)-SUMIF(ThresholdAge01,"&lt;"&amp;'19_Расчет_аналитики'!Y1572,WeightedMinAge01),MAX(CapacityAge01*'01_Вводные'!$B$218*'19_Расчет_аналитики'!Y1572,MeanMinAge01)))</f>
        <v/>
      </c>
      <c r="Z1504">
        <f>IF(OR(('19_Расчет_аналитики'!Z1420-'19_Расчет_аналитики'!Z1448)=0,1&lt;='01_Вводные'!$B$297),0,('19_Расчет_аналитики'!Z1420-'19_Расчет_аналитики'!Z1448)*IF('01_Вводные'!$B$239="Да",MeanMinAge01+'19_Расчет_аналитики'!Z1572*SUMIF(ThresholdAge01,"&lt;"&amp;'19_Расчет_аналитики'!Z1572,WeightedRevAge01)-SUMIF(ThresholdAge01,"&lt;"&amp;'19_Расчет_аналитики'!Z1572,WeightedMinAge01),MAX(CapacityAge01*'01_Вводные'!$B$218*'19_Расчет_аналитики'!Z1572,MeanMinAge01)))</f>
        <v/>
      </c>
      <c r="AA1504">
        <f>IF(OR(('19_Расчет_аналитики'!AA1420-'19_Расчет_аналитики'!AA1448)=0,1&lt;='01_Вводные'!$B$297),0,('19_Расчет_аналитики'!AA1420-'19_Расчет_аналитики'!AA1448)*IF('01_Вводные'!$B$239="Да",MeanMinAge01+'19_Расчет_аналитики'!AA1572*SUMIF(ThresholdAge01,"&lt;"&amp;'19_Расчет_аналитики'!AA1572,WeightedRevAge01)-SUMIF(ThresholdAge01,"&lt;"&amp;'19_Расчет_аналитики'!AA1572,WeightedMinAge01),MAX(CapacityAge01*'01_Вводные'!$B$218*'19_Расчет_аналитики'!AA1572,MeanMinAge01)))</f>
        <v/>
      </c>
      <c r="AB1504">
        <f>IF(OR(('19_Расчет_аналитики'!AB1420-'19_Расчет_аналитики'!AB1448)=0,1&lt;='01_Вводные'!$B$297),0,('19_Расчет_аналитики'!AB1420-'19_Расчет_аналитики'!AB1448)*IF('01_Вводные'!$B$239="Да",MeanMinAge01+'19_Расчет_аналитики'!AB1572*SUMIF(ThresholdAge01,"&lt;"&amp;'19_Расчет_аналитики'!AB1572,WeightedRevAge01)-SUMIF(ThresholdAge01,"&lt;"&amp;'19_Расчет_аналитики'!AB1572,WeightedMinAge01),MAX(CapacityAge01*'01_Вводные'!$B$218*'19_Расчет_аналитики'!AB1572,MeanMinAge01)))</f>
        <v/>
      </c>
      <c r="AC1504">
        <f>IF(OR(('19_Расчет_аналитики'!AC1420-'19_Расчет_аналитики'!AC1448)=0,1&lt;='01_Вводные'!$B$297),0,('19_Расчет_аналитики'!AC1420-'19_Расчет_аналитики'!AC1448)*IF('01_Вводные'!$B$239="Да",MeanMinAge01+'19_Расчет_аналитики'!AC1572*SUMIF(ThresholdAge01,"&lt;"&amp;'19_Расчет_аналитики'!AC1572,WeightedRevAge01)-SUMIF(ThresholdAge01,"&lt;"&amp;'19_Расчет_аналитики'!AC1572,WeightedMinAge01),MAX(CapacityAge01*'01_Вводные'!$B$218*'19_Расчет_аналитики'!AC1572,MeanMinAge01)))</f>
        <v/>
      </c>
      <c r="AD1504">
        <f>IF(OR(('19_Расчет_аналитики'!AD1420-'19_Расчет_аналитики'!AD1448)=0,1&lt;='01_Вводные'!$B$297),0,('19_Расчет_аналитики'!AD1420-'19_Расчет_аналитики'!AD1448)*IF('01_Вводные'!$B$239="Да",MeanMinAge01+'19_Расчет_аналитики'!AD1572*SUMIF(ThresholdAge01,"&lt;"&amp;'19_Расчет_аналитики'!AD1572,WeightedRevAge01)-SUMIF(ThresholdAge01,"&lt;"&amp;'19_Расчет_аналитики'!AD1572,WeightedMinAge01),MAX(CapacityAge01*'01_Вводные'!$B$218*'19_Расчет_аналитики'!AD1572,MeanMinAge01)))</f>
        <v/>
      </c>
      <c r="AE1504">
        <f>IF(OR(('19_Расчет_аналитики'!AE1420-'19_Расчет_аналитики'!AE1448)=0,1&lt;='01_Вводные'!$B$297),0,('19_Расчет_аналитики'!AE1420-'19_Расчет_аналитики'!AE1448)*IF('01_Вводные'!$B$239="Да",MeanMinAge01+'19_Расчет_аналитики'!AE1572*SUMIF(ThresholdAge01,"&lt;"&amp;'19_Расчет_аналитики'!AE1572,WeightedRevAge01)-SUMIF(ThresholdAge01,"&lt;"&amp;'19_Расчет_аналитики'!AE1572,WeightedMinAge01),MAX(CapacityAge01*'01_Вводные'!$B$218*'19_Расчет_аналитики'!AE1572,MeanMinAge01)))</f>
        <v/>
      </c>
      <c r="AF1504">
        <f>IF(OR(('19_Расчет_аналитики'!AF1420-'19_Расчет_аналитики'!AF1448)=0,1&lt;='01_Вводные'!$B$297),0,('19_Расчет_аналитики'!AF1420-'19_Расчет_аналитики'!AF1448)*IF('01_Вводные'!$B$239="Да",MeanMinAge01+'19_Расчет_аналитики'!AF1572*SUMIF(ThresholdAge01,"&lt;"&amp;'19_Расчет_аналитики'!AF1572,WeightedRevAge01)-SUMIF(ThresholdAge01,"&lt;"&amp;'19_Расчет_аналитики'!AF1572,WeightedMinAge01),MAX(CapacityAge01*'01_Вводные'!$B$218*'19_Расчет_аналитики'!AF1572,MeanMinAge01)))</f>
        <v/>
      </c>
      <c r="AG1504">
        <f>IF(OR(('19_Расчет_аналитики'!AG1420-'19_Расчет_аналитики'!AG1448)=0,1&lt;='01_Вводные'!$B$297),0,('19_Расчет_аналитики'!AG1420-'19_Расчет_аналитики'!AG1448)*IF('01_Вводные'!$B$239="Да",MeanMinAge01+'19_Расчет_аналитики'!AG1572*SUMIF(ThresholdAge01,"&lt;"&amp;'19_Расчет_аналитики'!AG1572,WeightedRevAge01)-SUMIF(ThresholdAge01,"&lt;"&amp;'19_Расчет_аналитики'!AG1572,WeightedMinAge01),MAX(CapacityAge01*'01_Вводные'!$B$218*'19_Расчет_аналитики'!AG1572,MeanMinAge01)))</f>
        <v/>
      </c>
      <c r="AH1504">
        <f>IF(OR(('19_Расчет_аналитики'!AH1420-'19_Расчет_аналитики'!AH1448)=0,1&lt;='01_Вводные'!$B$297),0,('19_Расчет_аналитики'!AH1420-'19_Расчет_аналитики'!AH1448)*IF('01_Вводные'!$B$239="Да",MeanMinAge01+'19_Расчет_аналитики'!AH1572*SUMIF(ThresholdAge01,"&lt;"&amp;'19_Расчет_аналитики'!AH1572,WeightedRevAge01)-SUMIF(ThresholdAge01,"&lt;"&amp;'19_Расчет_аналитики'!AH1572,WeightedMinAge01),MAX(CapacityAge01*'01_Вводные'!$B$218*'19_Расчет_аналитики'!AH1572,MeanMinAge01)))</f>
        <v/>
      </c>
      <c r="AI1504">
        <f>IF(OR(('19_Расчет_аналитики'!AI1420-'19_Расчет_аналитики'!AI1448)=0,1&lt;='01_Вводные'!$B$297),0,('19_Расчет_аналитики'!AI1420-'19_Расчет_аналитики'!AI1448)*IF('01_Вводные'!$B$239="Да",MeanMinAge01+'19_Расчет_аналитики'!AI1572*SUMIF(ThresholdAge01,"&lt;"&amp;'19_Расчет_аналитики'!AI1572,WeightedRevAge01)-SUMIF(ThresholdAge01,"&lt;"&amp;'19_Расчет_аналитики'!AI1572,WeightedMinAge01),MAX(CapacityAge01*'01_Вводные'!$B$218*'19_Расчет_аналитики'!AI1572,MeanMinAge01)))</f>
        <v/>
      </c>
      <c r="AJ1504">
        <f>IF(OR(('19_Расчет_аналитики'!AJ1420-'19_Расчет_аналитики'!AJ1448)=0,1&lt;='01_Вводные'!$B$297),0,('19_Расчет_аналитики'!AJ1420-'19_Расчет_аналитики'!AJ1448)*IF('01_Вводные'!$B$239="Да",MeanMinAge01+'19_Расчет_аналитики'!AJ1572*SUMIF(ThresholdAge01,"&lt;"&amp;'19_Расчет_аналитики'!AJ1572,WeightedRevAge01)-SUMIF(ThresholdAge01,"&lt;"&amp;'19_Расчет_аналитики'!AJ1572,WeightedMinAge01),MAX(CapacityAge01*'01_Вводные'!$B$218*'19_Расчет_аналитики'!AJ1572,MeanMinAge01)))</f>
        <v/>
      </c>
      <c r="AK1504">
        <f>IF(OR(('19_Расчет_аналитики'!AK1420-'19_Расчет_аналитики'!AK1448)=0,1&lt;='01_Вводные'!$B$297),0,('19_Расчет_аналитики'!AK1420-'19_Расчет_аналитики'!AK1448)*IF('01_Вводные'!$B$239="Да",MeanMinAge01+'19_Расчет_аналитики'!AK1572*SUMIF(ThresholdAge01,"&lt;"&amp;'19_Расчет_аналитики'!AK1572,WeightedRevAge01)-SUMIF(ThresholdAge01,"&lt;"&amp;'19_Расчет_аналитики'!AK1572,WeightedMinAge01),MAX(CapacityAge01*'01_Вводные'!$B$218*'19_Расчет_аналитики'!AK1572,MeanMinAge01)))</f>
        <v/>
      </c>
      <c r="AL1504">
        <f>IF(OR(('19_Расчет_аналитики'!AL1420-'19_Расчет_аналитики'!AL1448)=0,1&lt;='01_Вводные'!$B$297),0,('19_Расчет_аналитики'!AL1420-'19_Расчет_аналитики'!AL1448)*IF('01_Вводные'!$B$239="Да",MeanMinAge01+'19_Расчет_аналитики'!AL1572*SUMIF(ThresholdAge01,"&lt;"&amp;'19_Расчет_аналитики'!AL1572,WeightedRevAge01)-SUMIF(ThresholdAge01,"&lt;"&amp;'19_Расчет_аналитики'!AL1572,WeightedMinAge01),MAX(CapacityAge01*'01_Вводные'!$B$218*'19_Расчет_аналитики'!AL1572,MeanMinAge01)))</f>
        <v/>
      </c>
      <c r="AM1504">
        <f>IF(OR(('19_Расчет_аналитики'!AM1420-'19_Расчет_аналитики'!AM1448)=0,1&lt;='01_Вводные'!$B$297),0,('19_Расчет_аналитики'!AM1420-'19_Расчет_аналитики'!AM1448)*IF('01_Вводные'!$B$239="Да",MeanMinAge01+'19_Расчет_аналитики'!AM1572*SUMIF(ThresholdAge01,"&lt;"&amp;'19_Расчет_аналитики'!AM1572,WeightedRevAge01)-SUMIF(ThresholdAge01,"&lt;"&amp;'19_Расчет_аналитики'!AM1572,WeightedMinAge01),MAX(CapacityAge01*'01_Вводные'!$B$218*'19_Расчет_аналитики'!AM1572,MeanMinAge01)))</f>
        <v/>
      </c>
      <c r="AN1504">
        <f>IF(OR(('19_Расчет_аналитики'!AN1420-'19_Расчет_аналитики'!AN1448)=0,1&lt;='01_Вводные'!$B$297),0,('19_Расчет_аналитики'!AN1420-'19_Расчет_аналитики'!AN1448)*IF('01_Вводные'!$B$239="Да",MeanMinAge01+'19_Расчет_аналитики'!AN1572*SUMIF(ThresholdAge01,"&lt;"&amp;'19_Расчет_аналитики'!AN1572,WeightedRevAge01)-SUMIF(ThresholdAge01,"&lt;"&amp;'19_Расчет_аналитики'!AN1572,WeightedMinAge01),MAX(CapacityAge01*'01_Вводные'!$B$218*'19_Расчет_аналитики'!AN1572,MeanMinAge01)))</f>
        <v/>
      </c>
      <c r="AO1504">
        <f>IF(OR(('19_Расчет_аналитики'!AO1420-'19_Расчет_аналитики'!AO1448)=0,1&lt;='01_Вводные'!$B$297),0,('19_Расчет_аналитики'!AO1420-'19_Расчет_аналитики'!AO1448)*IF('01_Вводные'!$B$239="Да",MeanMinAge01+'19_Расчет_аналитики'!AO1572*SUMIF(ThresholdAge01,"&lt;"&amp;'19_Расчет_аналитики'!AO1572,WeightedRevAge01)-SUMIF(ThresholdAge01,"&lt;"&amp;'19_Расчет_аналитики'!AO1572,WeightedMinAge01),MAX(CapacityAge01*'01_Вводные'!$B$218*'19_Расчет_аналитики'!AO1572,MeanMinAge01)))</f>
        <v/>
      </c>
      <c r="AP1504">
        <f>IF(OR(('19_Расчет_аналитики'!AP1420-'19_Расчет_аналитики'!AP1448)=0,1&lt;='01_Вводные'!$B$297),0,('19_Расчет_аналитики'!AP1420-'19_Расчет_аналитики'!AP1448)*IF('01_Вводные'!$B$239="Да",MeanMinAge01+'19_Расчет_аналитики'!AP1572*SUMIF(ThresholdAge01,"&lt;"&amp;'19_Расчет_аналитики'!AP1572,WeightedRevAge01)-SUMIF(ThresholdAge01,"&lt;"&amp;'19_Расчет_аналитики'!AP1572,WeightedMinAge01),MAX(CapacityAge01*'01_Вводные'!$B$218*'19_Расчет_аналитики'!AP1572,MeanMinAge01)))</f>
        <v/>
      </c>
      <c r="AQ1504">
        <f>IF(OR(('19_Расчет_аналитики'!AQ1420-'19_Расчет_аналитики'!AQ1448)=0,1&lt;='01_Вводные'!$B$297),0,('19_Расчет_аналитики'!AQ1420-'19_Расчет_аналитики'!AQ1448)*IF('01_Вводные'!$B$239="Да",MeanMinAge01+'19_Расчет_аналитики'!AQ1572*SUMIF(ThresholdAge01,"&lt;"&amp;'19_Расчет_аналитики'!AQ1572,WeightedRevAge01)-SUMIF(ThresholdAge01,"&lt;"&amp;'19_Расчет_аналитики'!AQ1572,WeightedMinAge01),MAX(CapacityAge01*'01_Вводные'!$B$218*'19_Расчет_аналитики'!AQ1572,MeanMinAge01)))</f>
        <v/>
      </c>
      <c r="AR1504">
        <f>IF(OR(('19_Расчет_аналитики'!AR1420-'19_Расчет_аналитики'!AR1448)=0,1&lt;='01_Вводные'!$B$297),0,('19_Расчет_аналитики'!AR1420-'19_Расчет_аналитики'!AR1448)*IF('01_Вводные'!$B$239="Да",MeanMinAge01+'19_Расчет_аналитики'!AR1572*SUMIF(ThresholdAge01,"&lt;"&amp;'19_Расчет_аналитики'!AR1572,WeightedRevAge01)-SUMIF(ThresholdAge01,"&lt;"&amp;'19_Расчет_аналитики'!AR1572,WeightedMinAge01),MAX(CapacityAge01*'01_Вводные'!$B$218*'19_Расчет_аналитики'!AR1572,MeanMinAge01)))</f>
        <v/>
      </c>
      <c r="AS1504">
        <f>IF(OR(('19_Расчет_аналитики'!AS1420-'19_Расчет_аналитики'!AS1448)=0,1&lt;='01_Вводные'!$B$297),0,('19_Расчет_аналитики'!AS1420-'19_Расчет_аналитики'!AS1448)*IF('01_Вводные'!$B$239="Да",MeanMinAge01+'19_Расчет_аналитики'!AS1572*SUMIF(ThresholdAge01,"&lt;"&amp;'19_Расчет_аналитики'!AS1572,WeightedRevAge01)-SUMIF(ThresholdAge01,"&lt;"&amp;'19_Расчет_аналитики'!AS1572,WeightedMinAge01),MAX(CapacityAge01*'01_Вводные'!$B$218*'19_Расчет_аналитики'!AS1572,MeanMinAge01)))</f>
        <v/>
      </c>
      <c r="AT1504">
        <f>IF(OR(('19_Расчет_аналитики'!AT1420-'19_Расчет_аналитики'!AT1448)=0,1&lt;='01_Вводные'!$B$297),0,('19_Расчет_аналитики'!AT1420-'19_Расчет_аналитики'!AT1448)*IF('01_Вводные'!$B$239="Да",MeanMinAge01+'19_Расчет_аналитики'!AT1572*SUMIF(ThresholdAge01,"&lt;"&amp;'19_Расчет_аналитики'!AT1572,WeightedRevAge01)-SUMIF(ThresholdAge01,"&lt;"&amp;'19_Расчет_аналитики'!AT1572,WeightedMinAge01),MAX(CapacityAge01*'01_Вводные'!$B$218*'19_Расчет_аналитики'!AT1572,MeanMinAge01)))</f>
        <v/>
      </c>
      <c r="AU1504">
        <f>IF(OR(('19_Расчет_аналитики'!AU1420-'19_Расчет_аналитики'!AU1448)=0,1&lt;='01_Вводные'!$B$297),0,('19_Расчет_аналитики'!AU1420-'19_Расчет_аналитики'!AU1448)*IF('01_Вводные'!$B$239="Да",MeanMinAge01+'19_Расчет_аналитики'!AU1572*SUMIF(ThresholdAge01,"&lt;"&amp;'19_Расчет_аналитики'!AU1572,WeightedRevAge01)-SUMIF(ThresholdAge01,"&lt;"&amp;'19_Расчет_аналитики'!AU1572,WeightedMinAge01),MAX(CapacityAge01*'01_Вводные'!$B$218*'19_Расчет_аналитики'!AU1572,MeanMinAge01)))</f>
        <v/>
      </c>
      <c r="AV1504">
        <f>IF(OR(('19_Расчет_аналитики'!AV1420-'19_Расчет_аналитики'!AV1448)=0,1&lt;='01_Вводные'!$B$297),0,('19_Расчет_аналитики'!AV1420-'19_Расчет_аналитики'!AV1448)*IF('01_Вводные'!$B$239="Да",MeanMinAge01+'19_Расчет_аналитики'!AV1572*SUMIF(ThresholdAge01,"&lt;"&amp;'19_Расчет_аналитики'!AV1572,WeightedRevAge01)-SUMIF(ThresholdAge01,"&lt;"&amp;'19_Расчет_аналитики'!AV1572,WeightedMinAge01),MAX(CapacityAge01*'01_Вводные'!$B$218*'19_Расчет_аналитики'!AV1572,MeanMinAge01)))</f>
        <v/>
      </c>
      <c r="AW1504">
        <f>IF(OR(('19_Расчет_аналитики'!AW1420-'19_Расчет_аналитики'!AW1448)=0,1&lt;='01_Вводные'!$B$297),0,('19_Расчет_аналитики'!AW1420-'19_Расчет_аналитики'!AW1448)*IF('01_Вводные'!$B$239="Да",MeanMinAge01+'19_Расчет_аналитики'!AW1572*SUMIF(ThresholdAge01,"&lt;"&amp;'19_Расчет_аналитики'!AW1572,WeightedRevAge01)-SUMIF(ThresholdAge01,"&lt;"&amp;'19_Расчет_аналитики'!AW1572,WeightedMinAge01),MAX(CapacityAge01*'01_Вводные'!$B$218*'19_Расчет_аналитики'!AW1572,MeanMinAge01)))</f>
        <v/>
      </c>
      <c r="AX1504">
        <f>IF(OR(('19_Расчет_аналитики'!AX1420-'19_Расчет_аналитики'!AX1448)=0,1&lt;='01_Вводные'!$B$297),0,('19_Расчет_аналитики'!AX1420-'19_Расчет_аналитики'!AX1448)*IF('01_Вводные'!$B$239="Да",MeanMinAge01+'19_Расчет_аналитики'!AX1572*SUMIF(ThresholdAge01,"&lt;"&amp;'19_Расчет_аналитики'!AX1572,WeightedRevAge01)-SUMIF(ThresholdAge01,"&lt;"&amp;'19_Расчет_аналитики'!AX1572,WeightedMinAge01),MAX(CapacityAge01*'01_Вводные'!$B$218*'19_Расчет_аналитики'!AX1572,MeanMinAge01)))</f>
        <v/>
      </c>
      <c r="AY1504">
        <f>IF(OR(('19_Расчет_аналитики'!AY1420-'19_Расчет_аналитики'!AY1448)=0,1&lt;='01_Вводные'!$B$297),0,('19_Расчет_аналитики'!AY1420-'19_Расчет_аналитики'!AY1448)*IF('01_Вводные'!$B$239="Да",MeanMinAge01+'19_Расчет_аналитики'!AY1572*SUMIF(ThresholdAge01,"&lt;"&amp;'19_Расчет_аналитики'!AY1572,WeightedRevAge01)-SUMIF(ThresholdAge01,"&lt;"&amp;'19_Расчет_аналитики'!AY1572,WeightedMinAge01),MAX(CapacityAge01*'01_Вводные'!$B$218*'19_Расчет_аналитики'!AY1572,MeanMinAge01)))</f>
        <v/>
      </c>
      <c r="AZ1504">
        <f>IF(OR(('19_Расчет_аналитики'!AZ1420-'19_Расчет_аналитики'!AZ1448)=0,1&lt;='01_Вводные'!$B$297),0,('19_Расчет_аналитики'!AZ1420-'19_Расчет_аналитики'!AZ1448)*IF('01_Вводные'!$B$239="Да",MeanMinAge01+'19_Расчет_аналитики'!AZ1572*SUMIF(ThresholdAge01,"&lt;"&amp;'19_Расчет_аналитики'!AZ1572,WeightedRevAge01)-SUMIF(ThresholdAge01,"&lt;"&amp;'19_Расчет_аналитики'!AZ1572,WeightedMinAge01),MAX(CapacityAge01*'01_Вводные'!$B$218*'19_Расчет_аналитики'!AZ1572,MeanMinAge01)))</f>
        <v/>
      </c>
      <c r="BA1504">
        <f>IF(OR(('19_Расчет_аналитики'!BA1420-'19_Расчет_аналитики'!BA1448)=0,1&lt;='01_Вводные'!$B$297),0,('19_Расчет_аналитики'!BA1420-'19_Расчет_аналитики'!BA1448)*IF('01_Вводные'!$B$239="Да",MeanMinAge01+'19_Расчет_аналитики'!BA1572*SUMIF(ThresholdAge01,"&lt;"&amp;'19_Расчет_аналитики'!BA1572,WeightedRevAge01)-SUMIF(ThresholdAge01,"&lt;"&amp;'19_Расчет_аналитики'!BA1572,WeightedMinAge01),MAX(CapacityAge01*'01_Вводные'!$B$218*'19_Расчет_аналитики'!BA1572,MeanMinAge01)))</f>
        <v/>
      </c>
      <c r="BB1504">
        <f>IF(OR(('19_Расчет_аналитики'!BB1420-'19_Расчет_аналитики'!BB1448)=0,1&lt;='01_Вводные'!$B$297),0,('19_Расчет_аналитики'!BB1420-'19_Расчет_аналитики'!BB1448)*IF('01_Вводные'!$B$239="Да",MeanMinAge01+'19_Расчет_аналитики'!BB1572*SUMIF(ThresholdAge01,"&lt;"&amp;'19_Расчет_аналитики'!BB1572,WeightedRevAge01)-SUMIF(ThresholdAge01,"&lt;"&amp;'19_Расчет_аналитики'!BB1572,WeightedMinAge01),MAX(CapacityAge01*'01_Вводные'!$B$218*'19_Расчет_аналитики'!BB1572,MeanMinAge01)))</f>
        <v/>
      </c>
      <c r="BC1504">
        <f>IF(OR(('19_Расчет_аналитики'!BC1420-'19_Расчет_аналитики'!BC1448)=0,1&lt;='01_Вводные'!$B$297),0,('19_Расчет_аналитики'!BC1420-'19_Расчет_аналитики'!BC1448)*IF('01_Вводные'!$B$239="Да",MeanMinAge01+'19_Расчет_аналитики'!BC1572*SUMIF(ThresholdAge01,"&lt;"&amp;'19_Расчет_аналитики'!BC1572,WeightedRevAge01)-SUMIF(ThresholdAge01,"&lt;"&amp;'19_Расчет_аналитики'!BC1572,WeightedMinAge01),MAX(CapacityAge01*'01_Вводные'!$B$218*'19_Расчет_аналитики'!BC1572,MeanMinAge01)))</f>
        <v/>
      </c>
      <c r="BD1504">
        <f>IF(OR(('19_Расчет_аналитики'!BD1420-'19_Расчет_аналитики'!BD1448)=0,1&lt;='01_Вводные'!$B$297),0,('19_Расчет_аналитики'!BD1420-'19_Расчет_аналитики'!BD1448)*IF('01_Вводные'!$B$239="Да",MeanMinAge01+'19_Расчет_аналитики'!BD1572*SUMIF(ThresholdAge01,"&lt;"&amp;'19_Расчет_аналитики'!BD1572,WeightedRevAge01)-SUMIF(ThresholdAge01,"&lt;"&amp;'19_Расчет_аналитики'!BD1572,WeightedMinAge01),MAX(CapacityAge01*'01_Вводные'!$B$218*'19_Расчет_аналитики'!BD1572,MeanMinAge01)))</f>
        <v/>
      </c>
      <c r="BE1504">
        <f>IF(OR(('19_Расчет_аналитики'!BE1420-'19_Расчет_аналитики'!BE1448)=0,1&lt;='01_Вводные'!$B$297),0,('19_Расчет_аналитики'!BE1420-'19_Расчет_аналитики'!BE1448)*IF('01_Вводные'!$B$239="Да",MeanMinAge01+'19_Расчет_аналитики'!BE1572*SUMIF(ThresholdAge01,"&lt;"&amp;'19_Расчет_аналитики'!BE1572,WeightedRevAge01)-SUMIF(ThresholdAge01,"&lt;"&amp;'19_Расчет_аналитики'!BE1572,WeightedMinAge01),MAX(CapacityAge01*'01_Вводные'!$B$218*'19_Расчет_аналитики'!BE1572,MeanMinAge01)))</f>
        <v/>
      </c>
      <c r="BF1504">
        <f>IF(OR(('19_Расчет_аналитики'!BF1420-'19_Расчет_аналитики'!BF1448)=0,1&lt;='01_Вводные'!$B$297),0,('19_Расчет_аналитики'!BF1420-'19_Расчет_аналитики'!BF1448)*IF('01_Вводные'!$B$239="Да",MeanMinAge01+'19_Расчет_аналитики'!BF1572*SUMIF(ThresholdAge01,"&lt;"&amp;'19_Расчет_аналитики'!BF1572,WeightedRevAge01)-SUMIF(ThresholdAge01,"&lt;"&amp;'19_Расчет_аналитики'!BF1572,WeightedMinAge01),MAX(CapacityAge01*'01_Вводные'!$B$218*'19_Расчет_аналитики'!BF1572,MeanMinAge01)))</f>
        <v/>
      </c>
      <c r="BG1504">
        <f>IF(OR(('19_Расчет_аналитики'!BG1420-'19_Расчет_аналитики'!BG1448)=0,1&lt;='01_Вводные'!$B$297),0,('19_Расчет_аналитики'!BG1420-'19_Расчет_аналитики'!BG1448)*IF('01_Вводные'!$B$239="Да",MeanMinAge01+'19_Расчет_аналитики'!BG1572*SUMIF(ThresholdAge01,"&lt;"&amp;'19_Расчет_аналитики'!BG1572,WeightedRevAge01)-SUMIF(ThresholdAge01,"&lt;"&amp;'19_Расчет_аналитики'!BG1572,WeightedMinAge01),MAX(CapacityAge01*'01_Вводные'!$B$218*'19_Расчет_аналитики'!BG1572,MeanMinAge01)))</f>
        <v/>
      </c>
      <c r="BH1504">
        <f>IF(OR(('19_Расчет_аналитики'!BH1420-'19_Расчет_аналитики'!BH1448)=0,1&lt;='01_Вводные'!$B$297),0,('19_Расчет_аналитики'!BH1420-'19_Расчет_аналитики'!BH1448)*IF('01_Вводные'!$B$239="Да",MeanMinAge01+'19_Расчет_аналитики'!BH1572*SUMIF(ThresholdAge01,"&lt;"&amp;'19_Расчет_аналитики'!BH1572,WeightedRevAge01)-SUMIF(ThresholdAge01,"&lt;"&amp;'19_Расчет_аналитики'!BH1572,WeightedMinAge01),MAX(CapacityAge01*'01_Вводные'!$B$218*'19_Расчет_аналитики'!BH1572,MeanMinAge01)))</f>
        <v/>
      </c>
      <c r="BI1504">
        <f>IF(OR(('19_Расчет_аналитики'!BI1420-'19_Расчет_аналитики'!BI1448)=0,1&lt;='01_Вводные'!$B$297),0,('19_Расчет_аналитики'!BI1420-'19_Расчет_аналитики'!BI1448)*IF('01_Вводные'!$B$239="Да",MeanMinAge01+'19_Расчет_аналитики'!BI1572*SUMIF(ThresholdAge01,"&lt;"&amp;'19_Расчет_аналитики'!BI1572,WeightedRevAge01)-SUMIF(ThresholdAge01,"&lt;"&amp;'19_Расчет_аналитики'!BI1572,WeightedMinAge01),MAX(CapacityAge01*'01_Вводные'!$B$218*'19_Расчет_аналитики'!BI1572,MeanMinAge01)))</f>
        <v/>
      </c>
      <c r="BJ1504">
        <f>IF(OR(('19_Расчет_аналитики'!BJ1420-'19_Расчет_аналитики'!BJ1448)=0,1&lt;='01_Вводные'!$B$297),0,('19_Расчет_аналитики'!BJ1420-'19_Расчет_аналитики'!BJ1448)*IF('01_Вводные'!$B$239="Да",MeanMinAge01+'19_Расчет_аналитики'!BJ1572*SUMIF(ThresholdAge01,"&lt;"&amp;'19_Расчет_аналитики'!BJ1572,WeightedRevAge01)-SUMIF(ThresholdAge01,"&lt;"&amp;'19_Расчет_аналитики'!BJ1572,WeightedMinAge01),MAX(CapacityAge01*'01_Вводные'!$B$218*'19_Расчет_аналитики'!BJ1572,MeanMinAge01)))</f>
        <v/>
      </c>
      <c r="BK1504">
        <f>IF(OR(('19_Расчет_аналитики'!BK1420-'19_Расчет_аналитики'!BK1448)=0,1&lt;='01_Вводные'!$B$297),0,('19_Расчет_аналитики'!BK1420-'19_Расчет_аналитики'!BK1448)*IF('01_Вводные'!$B$239="Да",MeanMinAge01+'19_Расчет_аналитики'!BK1572*SUMIF(ThresholdAge01,"&lt;"&amp;'19_Расчет_аналитики'!BK1572,WeightedRevAge01)-SUMIF(ThresholdAge01,"&lt;"&amp;'19_Расчет_аналитики'!BK1572,WeightedMinAge01),MAX(CapacityAge01*'01_Вводные'!$B$218*'19_Расчет_аналитики'!BK1572,MeanMinAge01)))</f>
        <v/>
      </c>
      <c r="BL1504">
        <f>IF(OR(('19_Расчет_аналитики'!BL1420-'19_Расчет_аналитики'!BL1448)=0,1&lt;='01_Вводные'!$B$297),0,('19_Расчет_аналитики'!BL1420-'19_Расчет_аналитики'!BL1448)*IF('01_Вводные'!$B$239="Да",MeanMinAge01+'19_Расчет_аналитики'!BL1572*SUMIF(ThresholdAge01,"&lt;"&amp;'19_Расчет_аналитики'!BL1572,WeightedRevAge01)-SUMIF(ThresholdAge01,"&lt;"&amp;'19_Расчет_аналитики'!BL1572,WeightedMinAge01),MAX(CapacityAge01*'01_Вводные'!$B$218*'19_Расчет_аналитики'!BL1572,MeanMinAge01)))</f>
        <v/>
      </c>
      <c r="BM1504">
        <f>IF(OR(('19_Расчет_аналитики'!BM1420-'19_Расчет_аналитики'!BM1448)=0,1&lt;='01_Вводные'!$B$297),0,('19_Расчет_аналитики'!BM1420-'19_Расчет_аналитики'!BM1448)*IF('01_Вводные'!$B$239="Да",MeanMinAge01+'19_Расчет_аналитики'!BM1572*SUMIF(ThresholdAge01,"&lt;"&amp;'19_Расчет_аналитики'!BM1572,WeightedRevAge01)-SUMIF(ThresholdAge01,"&lt;"&amp;'19_Расчет_аналитики'!BM1572,WeightedMinAge01),MAX(CapacityAge01*'01_Вводные'!$B$218*'19_Расчет_аналитики'!BM1572,MeanMinAge01)))</f>
        <v/>
      </c>
      <c r="BN1504">
        <f>IF(OR(('19_Расчет_аналитики'!BN1420-'19_Расчет_аналитики'!BN1448)=0,1&lt;='01_Вводные'!$B$297),0,('19_Расчет_аналитики'!BN1420-'19_Расчет_аналитики'!BN1448)*IF('01_Вводные'!$B$239="Да",MeanMinAge01+'19_Расчет_аналитики'!BN1572*SUMIF(ThresholdAge01,"&lt;"&amp;'19_Расчет_аналитики'!BN1572,WeightedRevAge01)-SUMIF(ThresholdAge01,"&lt;"&amp;'19_Расчет_аналитики'!BN1572,WeightedMinAge01),MAX(CapacityAge01*'01_Вводные'!$B$218*'19_Расчет_аналитики'!BN1572,MeanMinAge01)))</f>
        <v/>
      </c>
      <c r="BO1504">
        <f>IF(OR(('19_Расчет_аналитики'!BO1420-'19_Расчет_аналитики'!BO1448)=0,1&lt;='01_Вводные'!$B$297),0,('19_Расчет_аналитики'!BO1420-'19_Расчет_аналитики'!BO1448)*IF('01_Вводные'!$B$239="Да",MeanMinAge01+'19_Расчет_аналитики'!BO1572*SUMIF(ThresholdAge01,"&lt;"&amp;'19_Расчет_аналитики'!BO1572,WeightedRevAge01)-SUMIF(ThresholdAge01,"&lt;"&amp;'19_Расчет_аналитики'!BO1572,WeightedMinAge01),MAX(CapacityAge01*'01_Вводные'!$B$218*'19_Расчет_аналитики'!BO1572,MeanMinAge01)))</f>
        <v/>
      </c>
    </row>
    <row r="1505">
      <c r="B1505">
        <f>IF(OR(('06_Сеть_и_дети'!B54-'06_Сеть_и_дети'!B82)=0,2&lt;='01_Вводные'!$B$297),0,('06_Сеть_и_дети'!B54-'06_Сеть_и_дети'!B82)*IF('01_Вводные'!$B$239="Да",MeanMinAge02+'19_Расчет_аналитики'!B1572*SUMIF(ThresholdAge02,"&lt;"&amp;'19_Расчет_аналитики'!B1572,WeightedRevAge02)-SUMIF(ThresholdAge02,"&lt;"&amp;'19_Расчет_аналитики'!B1572,WeightedMinAge02),MAX(CapacityAge02*'01_Вводные'!$B$218*'19_Расчет_аналитики'!B1572,MeanMinAge02)))</f>
        <v/>
      </c>
      <c r="C1505">
        <f>IF(OR(('19_Расчет_аналитики'!C1421-'19_Расчет_аналитики'!C1449)=0,2&lt;='01_Вводные'!$B$297),0,('19_Расчет_аналитики'!C1421-'19_Расчет_аналитики'!C1449)*IF('01_Вводные'!$B$239="Да",MeanMinAge02+'19_Расчет_аналитики'!C1572*SUMIF(ThresholdAge02,"&lt;"&amp;'19_Расчет_аналитики'!C1572,WeightedRevAge02)-SUMIF(ThresholdAge02,"&lt;"&amp;'19_Расчет_аналитики'!C1572,WeightedMinAge02),MAX(CapacityAge02*'01_Вводные'!$B$218*'19_Расчет_аналитики'!C1572,MeanMinAge02)))</f>
        <v/>
      </c>
      <c r="D1505">
        <f>IF(OR(('19_Расчет_аналитики'!D1421-'19_Расчет_аналитики'!D1449)=0,2&lt;='01_Вводные'!$B$297),0,('19_Расчет_аналитики'!D1421-'19_Расчет_аналитики'!D1449)*IF('01_Вводные'!$B$239="Да",MeanMinAge02+'19_Расчет_аналитики'!D1572*SUMIF(ThresholdAge02,"&lt;"&amp;'19_Расчет_аналитики'!D1572,WeightedRevAge02)-SUMIF(ThresholdAge02,"&lt;"&amp;'19_Расчет_аналитики'!D1572,WeightedMinAge02),MAX(CapacityAge02*'01_Вводные'!$B$218*'19_Расчет_аналитики'!D1572,MeanMinAge02)))</f>
        <v/>
      </c>
      <c r="E1505">
        <f>IF(OR(('19_Расчет_аналитики'!E1421-'19_Расчет_аналитики'!E1449)=0,2&lt;='01_Вводные'!$B$297),0,('19_Расчет_аналитики'!E1421-'19_Расчет_аналитики'!E1449)*IF('01_Вводные'!$B$239="Да",MeanMinAge02+'19_Расчет_аналитики'!E1572*SUMIF(ThresholdAge02,"&lt;"&amp;'19_Расчет_аналитики'!E1572,WeightedRevAge02)-SUMIF(ThresholdAge02,"&lt;"&amp;'19_Расчет_аналитики'!E1572,WeightedMinAge02),MAX(CapacityAge02*'01_Вводные'!$B$218*'19_Расчет_аналитики'!E1572,MeanMinAge02)))</f>
        <v/>
      </c>
      <c r="F1505">
        <f>IF(OR(('19_Расчет_аналитики'!F1421-'19_Расчет_аналитики'!F1449)=0,2&lt;='01_Вводные'!$B$297),0,('19_Расчет_аналитики'!F1421-'19_Расчет_аналитики'!F1449)*IF('01_Вводные'!$B$239="Да",MeanMinAge02+'19_Расчет_аналитики'!F1572*SUMIF(ThresholdAge02,"&lt;"&amp;'19_Расчет_аналитики'!F1572,WeightedRevAge02)-SUMIF(ThresholdAge02,"&lt;"&amp;'19_Расчет_аналитики'!F1572,WeightedMinAge02),MAX(CapacityAge02*'01_Вводные'!$B$218*'19_Расчет_аналитики'!F1572,MeanMinAge02)))</f>
        <v/>
      </c>
      <c r="G1505">
        <f>IF(OR(('19_Расчет_аналитики'!G1421-'19_Расчет_аналитики'!G1449)=0,2&lt;='01_Вводные'!$B$297),0,('19_Расчет_аналитики'!G1421-'19_Расчет_аналитики'!G1449)*IF('01_Вводные'!$B$239="Да",MeanMinAge02+'19_Расчет_аналитики'!G1572*SUMIF(ThresholdAge02,"&lt;"&amp;'19_Расчет_аналитики'!G1572,WeightedRevAge02)-SUMIF(ThresholdAge02,"&lt;"&amp;'19_Расчет_аналитики'!G1572,WeightedMinAge02),MAX(CapacityAge02*'01_Вводные'!$B$218*'19_Расчет_аналитики'!G1572,MeanMinAge02)))</f>
        <v/>
      </c>
      <c r="H1505">
        <f>IF(OR(('19_Расчет_аналитики'!H1421-'19_Расчет_аналитики'!H1449)=0,2&lt;='01_Вводные'!$B$297),0,('19_Расчет_аналитики'!H1421-'19_Расчет_аналитики'!H1449)*IF('01_Вводные'!$B$239="Да",MeanMinAge02+'19_Расчет_аналитики'!H1572*SUMIF(ThresholdAge02,"&lt;"&amp;'19_Расчет_аналитики'!H1572,WeightedRevAge02)-SUMIF(ThresholdAge02,"&lt;"&amp;'19_Расчет_аналитики'!H1572,WeightedMinAge02),MAX(CapacityAge02*'01_Вводные'!$B$218*'19_Расчет_аналитики'!H1572,MeanMinAge02)))</f>
        <v/>
      </c>
      <c r="I1505">
        <f>IF(OR(('19_Расчет_аналитики'!I1421-'19_Расчет_аналитики'!I1449)=0,2&lt;='01_Вводные'!$B$297),0,('19_Расчет_аналитики'!I1421-'19_Расчет_аналитики'!I1449)*IF('01_Вводные'!$B$239="Да",MeanMinAge02+'19_Расчет_аналитики'!I1572*SUMIF(ThresholdAge02,"&lt;"&amp;'19_Расчет_аналитики'!I1572,WeightedRevAge02)-SUMIF(ThresholdAge02,"&lt;"&amp;'19_Расчет_аналитики'!I1572,WeightedMinAge02),MAX(CapacityAge02*'01_Вводные'!$B$218*'19_Расчет_аналитики'!I1572,MeanMinAge02)))</f>
        <v/>
      </c>
      <c r="J1505">
        <f>IF(OR(('19_Расчет_аналитики'!J1421-'19_Расчет_аналитики'!J1449)=0,2&lt;='01_Вводные'!$B$297),0,('19_Расчет_аналитики'!J1421-'19_Расчет_аналитики'!J1449)*IF('01_Вводные'!$B$239="Да",MeanMinAge02+'19_Расчет_аналитики'!J1572*SUMIF(ThresholdAge02,"&lt;"&amp;'19_Расчет_аналитики'!J1572,WeightedRevAge02)-SUMIF(ThresholdAge02,"&lt;"&amp;'19_Расчет_аналитики'!J1572,WeightedMinAge02),MAX(CapacityAge02*'01_Вводные'!$B$218*'19_Расчет_аналитики'!J1572,MeanMinAge02)))</f>
        <v/>
      </c>
      <c r="K1505">
        <f>IF(OR(('19_Расчет_аналитики'!K1421-'19_Расчет_аналитики'!K1449)=0,2&lt;='01_Вводные'!$B$297),0,('19_Расчет_аналитики'!K1421-'19_Расчет_аналитики'!K1449)*IF('01_Вводные'!$B$239="Да",MeanMinAge02+'19_Расчет_аналитики'!K1572*SUMIF(ThresholdAge02,"&lt;"&amp;'19_Расчет_аналитики'!K1572,WeightedRevAge02)-SUMIF(ThresholdAge02,"&lt;"&amp;'19_Расчет_аналитики'!K1572,WeightedMinAge02),MAX(CapacityAge02*'01_Вводные'!$B$218*'19_Расчет_аналитики'!K1572,MeanMinAge02)))</f>
        <v/>
      </c>
      <c r="L1505">
        <f>IF(OR(('19_Расчет_аналитики'!L1421-'19_Расчет_аналитики'!L1449)=0,2&lt;='01_Вводные'!$B$297),0,('19_Расчет_аналитики'!L1421-'19_Расчет_аналитики'!L1449)*IF('01_Вводные'!$B$239="Да",MeanMinAge02+'19_Расчет_аналитики'!L1572*SUMIF(ThresholdAge02,"&lt;"&amp;'19_Расчет_аналитики'!L1572,WeightedRevAge02)-SUMIF(ThresholdAge02,"&lt;"&amp;'19_Расчет_аналитики'!L1572,WeightedMinAge02),MAX(CapacityAge02*'01_Вводные'!$B$218*'19_Расчет_аналитики'!L1572,MeanMinAge02)))</f>
        <v/>
      </c>
      <c r="M1505">
        <f>IF(OR(('19_Расчет_аналитики'!M1421-'19_Расчет_аналитики'!M1449)=0,2&lt;='01_Вводные'!$B$297),0,('19_Расчет_аналитики'!M1421-'19_Расчет_аналитики'!M1449)*IF('01_Вводные'!$B$239="Да",MeanMinAge02+'19_Расчет_аналитики'!M1572*SUMIF(ThresholdAge02,"&lt;"&amp;'19_Расчет_аналитики'!M1572,WeightedRevAge02)-SUMIF(ThresholdAge02,"&lt;"&amp;'19_Расчет_аналитики'!M1572,WeightedMinAge02),MAX(CapacityAge02*'01_Вводные'!$B$218*'19_Расчет_аналитики'!M1572,MeanMinAge02)))</f>
        <v/>
      </c>
      <c r="N1505">
        <f>IF(OR(('19_Расчет_аналитики'!N1421-'19_Расчет_аналитики'!N1449)=0,2&lt;='01_Вводные'!$B$297),0,('19_Расчет_аналитики'!N1421-'19_Расчет_аналитики'!N1449)*IF('01_Вводные'!$B$239="Да",MeanMinAge02+'19_Расчет_аналитики'!N1572*SUMIF(ThresholdAge02,"&lt;"&amp;'19_Расчет_аналитики'!N1572,WeightedRevAge02)-SUMIF(ThresholdAge02,"&lt;"&amp;'19_Расчет_аналитики'!N1572,WeightedMinAge02),MAX(CapacityAge02*'01_Вводные'!$B$218*'19_Расчет_аналитики'!N1572,MeanMinAge02)))</f>
        <v/>
      </c>
      <c r="O1505">
        <f>IF(OR(('19_Расчет_аналитики'!O1421-'19_Расчет_аналитики'!O1449)=0,2&lt;='01_Вводные'!$B$297),0,('19_Расчет_аналитики'!O1421-'19_Расчет_аналитики'!O1449)*IF('01_Вводные'!$B$239="Да",MeanMinAge02+'19_Расчет_аналитики'!O1572*SUMIF(ThresholdAge02,"&lt;"&amp;'19_Расчет_аналитики'!O1572,WeightedRevAge02)-SUMIF(ThresholdAge02,"&lt;"&amp;'19_Расчет_аналитики'!O1572,WeightedMinAge02),MAX(CapacityAge02*'01_Вводные'!$B$218*'19_Расчет_аналитики'!O1572,MeanMinAge02)))</f>
        <v/>
      </c>
      <c r="P1505">
        <f>IF(OR(('19_Расчет_аналитики'!P1421-'19_Расчет_аналитики'!P1449)=0,2&lt;='01_Вводные'!$B$297),0,('19_Расчет_аналитики'!P1421-'19_Расчет_аналитики'!P1449)*IF('01_Вводные'!$B$239="Да",MeanMinAge02+'19_Расчет_аналитики'!P1572*SUMIF(ThresholdAge02,"&lt;"&amp;'19_Расчет_аналитики'!P1572,WeightedRevAge02)-SUMIF(ThresholdAge02,"&lt;"&amp;'19_Расчет_аналитики'!P1572,WeightedMinAge02),MAX(CapacityAge02*'01_Вводные'!$B$218*'19_Расчет_аналитики'!P1572,MeanMinAge02)))</f>
        <v/>
      </c>
      <c r="Q1505">
        <f>IF(OR(('19_Расчет_аналитики'!Q1421-'19_Расчет_аналитики'!Q1449)=0,2&lt;='01_Вводные'!$B$297),0,('19_Расчет_аналитики'!Q1421-'19_Расчет_аналитики'!Q1449)*IF('01_Вводные'!$B$239="Да",MeanMinAge02+'19_Расчет_аналитики'!Q1572*SUMIF(ThresholdAge02,"&lt;"&amp;'19_Расчет_аналитики'!Q1572,WeightedRevAge02)-SUMIF(ThresholdAge02,"&lt;"&amp;'19_Расчет_аналитики'!Q1572,WeightedMinAge02),MAX(CapacityAge02*'01_Вводные'!$B$218*'19_Расчет_аналитики'!Q1572,MeanMinAge02)))</f>
        <v/>
      </c>
      <c r="R1505">
        <f>IF(OR(('19_Расчет_аналитики'!R1421-'19_Расчет_аналитики'!R1449)=0,2&lt;='01_Вводные'!$B$297),0,('19_Расчет_аналитики'!R1421-'19_Расчет_аналитики'!R1449)*IF('01_Вводные'!$B$239="Да",MeanMinAge02+'19_Расчет_аналитики'!R1572*SUMIF(ThresholdAge02,"&lt;"&amp;'19_Расчет_аналитики'!R1572,WeightedRevAge02)-SUMIF(ThresholdAge02,"&lt;"&amp;'19_Расчет_аналитики'!R1572,WeightedMinAge02),MAX(CapacityAge02*'01_Вводные'!$B$218*'19_Расчет_аналитики'!R1572,MeanMinAge02)))</f>
        <v/>
      </c>
      <c r="S1505">
        <f>IF(OR(('19_Расчет_аналитики'!S1421-'19_Расчет_аналитики'!S1449)=0,2&lt;='01_Вводные'!$B$297),0,('19_Расчет_аналитики'!S1421-'19_Расчет_аналитики'!S1449)*IF('01_Вводные'!$B$239="Да",MeanMinAge02+'19_Расчет_аналитики'!S1572*SUMIF(ThresholdAge02,"&lt;"&amp;'19_Расчет_аналитики'!S1572,WeightedRevAge02)-SUMIF(ThresholdAge02,"&lt;"&amp;'19_Расчет_аналитики'!S1572,WeightedMinAge02),MAX(CapacityAge02*'01_Вводные'!$B$218*'19_Расчет_аналитики'!S1572,MeanMinAge02)))</f>
        <v/>
      </c>
      <c r="T1505">
        <f>IF(OR(('19_Расчет_аналитики'!T1421-'19_Расчет_аналитики'!T1449)=0,2&lt;='01_Вводные'!$B$297),0,('19_Расчет_аналитики'!T1421-'19_Расчет_аналитики'!T1449)*IF('01_Вводные'!$B$239="Да",MeanMinAge02+'19_Расчет_аналитики'!T1572*SUMIF(ThresholdAge02,"&lt;"&amp;'19_Расчет_аналитики'!T1572,WeightedRevAge02)-SUMIF(ThresholdAge02,"&lt;"&amp;'19_Расчет_аналитики'!T1572,WeightedMinAge02),MAX(CapacityAge02*'01_Вводные'!$B$218*'19_Расчет_аналитики'!T1572,MeanMinAge02)))</f>
        <v/>
      </c>
      <c r="U1505">
        <f>IF(OR(('19_Расчет_аналитики'!U1421-'19_Расчет_аналитики'!U1449)=0,2&lt;='01_Вводные'!$B$297),0,('19_Расчет_аналитики'!U1421-'19_Расчет_аналитики'!U1449)*IF('01_Вводные'!$B$239="Да",MeanMinAge02+'19_Расчет_аналитики'!U1572*SUMIF(ThresholdAge02,"&lt;"&amp;'19_Расчет_аналитики'!U1572,WeightedRevAge02)-SUMIF(ThresholdAge02,"&lt;"&amp;'19_Расчет_аналитики'!U1572,WeightedMinAge02),MAX(CapacityAge02*'01_Вводные'!$B$218*'19_Расчет_аналитики'!U1572,MeanMinAge02)))</f>
        <v/>
      </c>
      <c r="V1505">
        <f>IF(OR(('19_Расчет_аналитики'!V1421-'19_Расчет_аналитики'!V1449)=0,2&lt;='01_Вводные'!$B$297),0,('19_Расчет_аналитики'!V1421-'19_Расчет_аналитики'!V1449)*IF('01_Вводные'!$B$239="Да",MeanMinAge02+'19_Расчет_аналитики'!V1572*SUMIF(ThresholdAge02,"&lt;"&amp;'19_Расчет_аналитики'!V1572,WeightedRevAge02)-SUMIF(ThresholdAge02,"&lt;"&amp;'19_Расчет_аналитики'!V1572,WeightedMinAge02),MAX(CapacityAge02*'01_Вводные'!$B$218*'19_Расчет_аналитики'!V1572,MeanMinAge02)))</f>
        <v/>
      </c>
      <c r="W1505">
        <f>IF(OR(('19_Расчет_аналитики'!W1421-'19_Расчет_аналитики'!W1449)=0,2&lt;='01_Вводные'!$B$297),0,('19_Расчет_аналитики'!W1421-'19_Расчет_аналитики'!W1449)*IF('01_Вводные'!$B$239="Да",MeanMinAge02+'19_Расчет_аналитики'!W1572*SUMIF(ThresholdAge02,"&lt;"&amp;'19_Расчет_аналитики'!W1572,WeightedRevAge02)-SUMIF(ThresholdAge02,"&lt;"&amp;'19_Расчет_аналитики'!W1572,WeightedMinAge02),MAX(CapacityAge02*'01_Вводные'!$B$218*'19_Расчет_аналитики'!W1572,MeanMinAge02)))</f>
        <v/>
      </c>
      <c r="X1505">
        <f>IF(OR(('19_Расчет_аналитики'!X1421-'19_Расчет_аналитики'!X1449)=0,2&lt;='01_Вводные'!$B$297),0,('19_Расчет_аналитики'!X1421-'19_Расчет_аналитики'!X1449)*IF('01_Вводные'!$B$239="Да",MeanMinAge02+'19_Расчет_аналитики'!X1572*SUMIF(ThresholdAge02,"&lt;"&amp;'19_Расчет_аналитики'!X1572,WeightedRevAge02)-SUMIF(ThresholdAge02,"&lt;"&amp;'19_Расчет_аналитики'!X1572,WeightedMinAge02),MAX(CapacityAge02*'01_Вводные'!$B$218*'19_Расчет_аналитики'!X1572,MeanMinAge02)))</f>
        <v/>
      </c>
      <c r="Y1505">
        <f>IF(OR(('19_Расчет_аналитики'!Y1421-'19_Расчет_аналитики'!Y1449)=0,2&lt;='01_Вводные'!$B$297),0,('19_Расчет_аналитики'!Y1421-'19_Расчет_аналитики'!Y1449)*IF('01_Вводные'!$B$239="Да",MeanMinAge02+'19_Расчет_аналитики'!Y1572*SUMIF(ThresholdAge02,"&lt;"&amp;'19_Расчет_аналитики'!Y1572,WeightedRevAge02)-SUMIF(ThresholdAge02,"&lt;"&amp;'19_Расчет_аналитики'!Y1572,WeightedMinAge02),MAX(CapacityAge02*'01_Вводные'!$B$218*'19_Расчет_аналитики'!Y1572,MeanMinAge02)))</f>
        <v/>
      </c>
      <c r="Z1505">
        <f>IF(OR(('19_Расчет_аналитики'!Z1421-'19_Расчет_аналитики'!Z1449)=0,2&lt;='01_Вводные'!$B$297),0,('19_Расчет_аналитики'!Z1421-'19_Расчет_аналитики'!Z1449)*IF('01_Вводные'!$B$239="Да",MeanMinAge02+'19_Расчет_аналитики'!Z1572*SUMIF(ThresholdAge02,"&lt;"&amp;'19_Расчет_аналитики'!Z1572,WeightedRevAge02)-SUMIF(ThresholdAge02,"&lt;"&amp;'19_Расчет_аналитики'!Z1572,WeightedMinAge02),MAX(CapacityAge02*'01_Вводные'!$B$218*'19_Расчет_аналитики'!Z1572,MeanMinAge02)))</f>
        <v/>
      </c>
      <c r="AA1505">
        <f>IF(OR(('19_Расчет_аналитики'!AA1421-'19_Расчет_аналитики'!AA1449)=0,2&lt;='01_Вводные'!$B$297),0,('19_Расчет_аналитики'!AA1421-'19_Расчет_аналитики'!AA1449)*IF('01_Вводные'!$B$239="Да",MeanMinAge02+'19_Расчет_аналитики'!AA1572*SUMIF(ThresholdAge02,"&lt;"&amp;'19_Расчет_аналитики'!AA1572,WeightedRevAge02)-SUMIF(ThresholdAge02,"&lt;"&amp;'19_Расчет_аналитики'!AA1572,WeightedMinAge02),MAX(CapacityAge02*'01_Вводные'!$B$218*'19_Расчет_аналитики'!AA1572,MeanMinAge02)))</f>
        <v/>
      </c>
      <c r="AB1505">
        <f>IF(OR(('19_Расчет_аналитики'!AB1421-'19_Расчет_аналитики'!AB1449)=0,2&lt;='01_Вводные'!$B$297),0,('19_Расчет_аналитики'!AB1421-'19_Расчет_аналитики'!AB1449)*IF('01_Вводные'!$B$239="Да",MeanMinAge02+'19_Расчет_аналитики'!AB1572*SUMIF(ThresholdAge02,"&lt;"&amp;'19_Расчет_аналитики'!AB1572,WeightedRevAge02)-SUMIF(ThresholdAge02,"&lt;"&amp;'19_Расчет_аналитики'!AB1572,WeightedMinAge02),MAX(CapacityAge02*'01_Вводные'!$B$218*'19_Расчет_аналитики'!AB1572,MeanMinAge02)))</f>
        <v/>
      </c>
      <c r="AC1505">
        <f>IF(OR(('19_Расчет_аналитики'!AC1421-'19_Расчет_аналитики'!AC1449)=0,2&lt;='01_Вводные'!$B$297),0,('19_Расчет_аналитики'!AC1421-'19_Расчет_аналитики'!AC1449)*IF('01_Вводные'!$B$239="Да",MeanMinAge02+'19_Расчет_аналитики'!AC1572*SUMIF(ThresholdAge02,"&lt;"&amp;'19_Расчет_аналитики'!AC1572,WeightedRevAge02)-SUMIF(ThresholdAge02,"&lt;"&amp;'19_Расчет_аналитики'!AC1572,WeightedMinAge02),MAX(CapacityAge02*'01_Вводные'!$B$218*'19_Расчет_аналитики'!AC1572,MeanMinAge02)))</f>
        <v/>
      </c>
      <c r="AD1505">
        <f>IF(OR(('19_Расчет_аналитики'!AD1421-'19_Расчет_аналитики'!AD1449)=0,2&lt;='01_Вводные'!$B$297),0,('19_Расчет_аналитики'!AD1421-'19_Расчет_аналитики'!AD1449)*IF('01_Вводные'!$B$239="Да",MeanMinAge02+'19_Расчет_аналитики'!AD1572*SUMIF(ThresholdAge02,"&lt;"&amp;'19_Расчет_аналитики'!AD1572,WeightedRevAge02)-SUMIF(ThresholdAge02,"&lt;"&amp;'19_Расчет_аналитики'!AD1572,WeightedMinAge02),MAX(CapacityAge02*'01_Вводные'!$B$218*'19_Расчет_аналитики'!AD1572,MeanMinAge02)))</f>
        <v/>
      </c>
      <c r="AE1505">
        <f>IF(OR(('19_Расчет_аналитики'!AE1421-'19_Расчет_аналитики'!AE1449)=0,2&lt;='01_Вводные'!$B$297),0,('19_Расчет_аналитики'!AE1421-'19_Расчет_аналитики'!AE1449)*IF('01_Вводные'!$B$239="Да",MeanMinAge02+'19_Расчет_аналитики'!AE1572*SUMIF(ThresholdAge02,"&lt;"&amp;'19_Расчет_аналитики'!AE1572,WeightedRevAge02)-SUMIF(ThresholdAge02,"&lt;"&amp;'19_Расчет_аналитики'!AE1572,WeightedMinAge02),MAX(CapacityAge02*'01_Вводные'!$B$218*'19_Расчет_аналитики'!AE1572,MeanMinAge02)))</f>
        <v/>
      </c>
      <c r="AF1505">
        <f>IF(OR(('19_Расчет_аналитики'!AF1421-'19_Расчет_аналитики'!AF1449)=0,2&lt;='01_Вводные'!$B$297),0,('19_Расчет_аналитики'!AF1421-'19_Расчет_аналитики'!AF1449)*IF('01_Вводные'!$B$239="Да",MeanMinAge02+'19_Расчет_аналитики'!AF1572*SUMIF(ThresholdAge02,"&lt;"&amp;'19_Расчет_аналитики'!AF1572,WeightedRevAge02)-SUMIF(ThresholdAge02,"&lt;"&amp;'19_Расчет_аналитики'!AF1572,WeightedMinAge02),MAX(CapacityAge02*'01_Вводные'!$B$218*'19_Расчет_аналитики'!AF1572,MeanMinAge02)))</f>
        <v/>
      </c>
      <c r="AG1505">
        <f>IF(OR(('19_Расчет_аналитики'!AG1421-'19_Расчет_аналитики'!AG1449)=0,2&lt;='01_Вводные'!$B$297),0,('19_Расчет_аналитики'!AG1421-'19_Расчет_аналитики'!AG1449)*IF('01_Вводные'!$B$239="Да",MeanMinAge02+'19_Расчет_аналитики'!AG1572*SUMIF(ThresholdAge02,"&lt;"&amp;'19_Расчет_аналитики'!AG1572,WeightedRevAge02)-SUMIF(ThresholdAge02,"&lt;"&amp;'19_Расчет_аналитики'!AG1572,WeightedMinAge02),MAX(CapacityAge02*'01_Вводные'!$B$218*'19_Расчет_аналитики'!AG1572,MeanMinAge02)))</f>
        <v/>
      </c>
      <c r="AH1505">
        <f>IF(OR(('19_Расчет_аналитики'!AH1421-'19_Расчет_аналитики'!AH1449)=0,2&lt;='01_Вводные'!$B$297),0,('19_Расчет_аналитики'!AH1421-'19_Расчет_аналитики'!AH1449)*IF('01_Вводные'!$B$239="Да",MeanMinAge02+'19_Расчет_аналитики'!AH1572*SUMIF(ThresholdAge02,"&lt;"&amp;'19_Расчет_аналитики'!AH1572,WeightedRevAge02)-SUMIF(ThresholdAge02,"&lt;"&amp;'19_Расчет_аналитики'!AH1572,WeightedMinAge02),MAX(CapacityAge02*'01_Вводные'!$B$218*'19_Расчет_аналитики'!AH1572,MeanMinAge02)))</f>
        <v/>
      </c>
      <c r="AI1505">
        <f>IF(OR(('19_Расчет_аналитики'!AI1421-'19_Расчет_аналитики'!AI1449)=0,2&lt;='01_Вводные'!$B$297),0,('19_Расчет_аналитики'!AI1421-'19_Расчет_аналитики'!AI1449)*IF('01_Вводные'!$B$239="Да",MeanMinAge02+'19_Расчет_аналитики'!AI1572*SUMIF(ThresholdAge02,"&lt;"&amp;'19_Расчет_аналитики'!AI1572,WeightedRevAge02)-SUMIF(ThresholdAge02,"&lt;"&amp;'19_Расчет_аналитики'!AI1572,WeightedMinAge02),MAX(CapacityAge02*'01_Вводные'!$B$218*'19_Расчет_аналитики'!AI1572,MeanMinAge02)))</f>
        <v/>
      </c>
      <c r="AJ1505">
        <f>IF(OR(('19_Расчет_аналитики'!AJ1421-'19_Расчет_аналитики'!AJ1449)=0,2&lt;='01_Вводные'!$B$297),0,('19_Расчет_аналитики'!AJ1421-'19_Расчет_аналитики'!AJ1449)*IF('01_Вводные'!$B$239="Да",MeanMinAge02+'19_Расчет_аналитики'!AJ1572*SUMIF(ThresholdAge02,"&lt;"&amp;'19_Расчет_аналитики'!AJ1572,WeightedRevAge02)-SUMIF(ThresholdAge02,"&lt;"&amp;'19_Расчет_аналитики'!AJ1572,WeightedMinAge02),MAX(CapacityAge02*'01_Вводные'!$B$218*'19_Расчет_аналитики'!AJ1572,MeanMinAge02)))</f>
        <v/>
      </c>
      <c r="AK1505">
        <f>IF(OR(('19_Расчет_аналитики'!AK1421-'19_Расчет_аналитики'!AK1449)=0,2&lt;='01_Вводные'!$B$297),0,('19_Расчет_аналитики'!AK1421-'19_Расчет_аналитики'!AK1449)*IF('01_Вводные'!$B$239="Да",MeanMinAge02+'19_Расчет_аналитики'!AK1572*SUMIF(ThresholdAge02,"&lt;"&amp;'19_Расчет_аналитики'!AK1572,WeightedRevAge02)-SUMIF(ThresholdAge02,"&lt;"&amp;'19_Расчет_аналитики'!AK1572,WeightedMinAge02),MAX(CapacityAge02*'01_Вводные'!$B$218*'19_Расчет_аналитики'!AK1572,MeanMinAge02)))</f>
        <v/>
      </c>
      <c r="AL1505">
        <f>IF(OR(('19_Расчет_аналитики'!AL1421-'19_Расчет_аналитики'!AL1449)=0,2&lt;='01_Вводные'!$B$297),0,('19_Расчет_аналитики'!AL1421-'19_Расчет_аналитики'!AL1449)*IF('01_Вводные'!$B$239="Да",MeanMinAge02+'19_Расчет_аналитики'!AL1572*SUMIF(ThresholdAge02,"&lt;"&amp;'19_Расчет_аналитики'!AL1572,WeightedRevAge02)-SUMIF(ThresholdAge02,"&lt;"&amp;'19_Расчет_аналитики'!AL1572,WeightedMinAge02),MAX(CapacityAge02*'01_Вводные'!$B$218*'19_Расчет_аналитики'!AL1572,MeanMinAge02)))</f>
        <v/>
      </c>
      <c r="AM1505">
        <f>IF(OR(('19_Расчет_аналитики'!AM1421-'19_Расчет_аналитики'!AM1449)=0,2&lt;='01_Вводные'!$B$297),0,('19_Расчет_аналитики'!AM1421-'19_Расчет_аналитики'!AM1449)*IF('01_Вводные'!$B$239="Да",MeanMinAge02+'19_Расчет_аналитики'!AM1572*SUMIF(ThresholdAge02,"&lt;"&amp;'19_Расчет_аналитики'!AM1572,WeightedRevAge02)-SUMIF(ThresholdAge02,"&lt;"&amp;'19_Расчет_аналитики'!AM1572,WeightedMinAge02),MAX(CapacityAge02*'01_Вводные'!$B$218*'19_Расчет_аналитики'!AM1572,MeanMinAge02)))</f>
        <v/>
      </c>
      <c r="AN1505">
        <f>IF(OR(('19_Расчет_аналитики'!AN1421-'19_Расчет_аналитики'!AN1449)=0,2&lt;='01_Вводные'!$B$297),0,('19_Расчет_аналитики'!AN1421-'19_Расчет_аналитики'!AN1449)*IF('01_Вводные'!$B$239="Да",MeanMinAge02+'19_Расчет_аналитики'!AN1572*SUMIF(ThresholdAge02,"&lt;"&amp;'19_Расчет_аналитики'!AN1572,WeightedRevAge02)-SUMIF(ThresholdAge02,"&lt;"&amp;'19_Расчет_аналитики'!AN1572,WeightedMinAge02),MAX(CapacityAge02*'01_Вводные'!$B$218*'19_Расчет_аналитики'!AN1572,MeanMinAge02)))</f>
        <v/>
      </c>
      <c r="AO1505">
        <f>IF(OR(('19_Расчет_аналитики'!AO1421-'19_Расчет_аналитики'!AO1449)=0,2&lt;='01_Вводные'!$B$297),0,('19_Расчет_аналитики'!AO1421-'19_Расчет_аналитики'!AO1449)*IF('01_Вводные'!$B$239="Да",MeanMinAge02+'19_Расчет_аналитики'!AO1572*SUMIF(ThresholdAge02,"&lt;"&amp;'19_Расчет_аналитики'!AO1572,WeightedRevAge02)-SUMIF(ThresholdAge02,"&lt;"&amp;'19_Расчет_аналитики'!AO1572,WeightedMinAge02),MAX(CapacityAge02*'01_Вводные'!$B$218*'19_Расчет_аналитики'!AO1572,MeanMinAge02)))</f>
        <v/>
      </c>
      <c r="AP1505">
        <f>IF(OR(('19_Расчет_аналитики'!AP1421-'19_Расчет_аналитики'!AP1449)=0,2&lt;='01_Вводные'!$B$297),0,('19_Расчет_аналитики'!AP1421-'19_Расчет_аналитики'!AP1449)*IF('01_Вводные'!$B$239="Да",MeanMinAge02+'19_Расчет_аналитики'!AP1572*SUMIF(ThresholdAge02,"&lt;"&amp;'19_Расчет_аналитики'!AP1572,WeightedRevAge02)-SUMIF(ThresholdAge02,"&lt;"&amp;'19_Расчет_аналитики'!AP1572,WeightedMinAge02),MAX(CapacityAge02*'01_Вводные'!$B$218*'19_Расчет_аналитики'!AP1572,MeanMinAge02)))</f>
        <v/>
      </c>
      <c r="AQ1505">
        <f>IF(OR(('19_Расчет_аналитики'!AQ1421-'19_Расчет_аналитики'!AQ1449)=0,2&lt;='01_Вводные'!$B$297),0,('19_Расчет_аналитики'!AQ1421-'19_Расчет_аналитики'!AQ1449)*IF('01_Вводные'!$B$239="Да",MeanMinAge02+'19_Расчет_аналитики'!AQ1572*SUMIF(ThresholdAge02,"&lt;"&amp;'19_Расчет_аналитики'!AQ1572,WeightedRevAge02)-SUMIF(ThresholdAge02,"&lt;"&amp;'19_Расчет_аналитики'!AQ1572,WeightedMinAge02),MAX(CapacityAge02*'01_Вводные'!$B$218*'19_Расчет_аналитики'!AQ1572,MeanMinAge02)))</f>
        <v/>
      </c>
      <c r="AR1505">
        <f>IF(OR(('19_Расчет_аналитики'!AR1421-'19_Расчет_аналитики'!AR1449)=0,2&lt;='01_Вводные'!$B$297),0,('19_Расчет_аналитики'!AR1421-'19_Расчет_аналитики'!AR1449)*IF('01_Вводные'!$B$239="Да",MeanMinAge02+'19_Расчет_аналитики'!AR1572*SUMIF(ThresholdAge02,"&lt;"&amp;'19_Расчет_аналитики'!AR1572,WeightedRevAge02)-SUMIF(ThresholdAge02,"&lt;"&amp;'19_Расчет_аналитики'!AR1572,WeightedMinAge02),MAX(CapacityAge02*'01_Вводные'!$B$218*'19_Расчет_аналитики'!AR1572,MeanMinAge02)))</f>
        <v/>
      </c>
      <c r="AS1505">
        <f>IF(OR(('19_Расчет_аналитики'!AS1421-'19_Расчет_аналитики'!AS1449)=0,2&lt;='01_Вводные'!$B$297),0,('19_Расчет_аналитики'!AS1421-'19_Расчет_аналитики'!AS1449)*IF('01_Вводные'!$B$239="Да",MeanMinAge02+'19_Расчет_аналитики'!AS1572*SUMIF(ThresholdAge02,"&lt;"&amp;'19_Расчет_аналитики'!AS1572,WeightedRevAge02)-SUMIF(ThresholdAge02,"&lt;"&amp;'19_Расчет_аналитики'!AS1572,WeightedMinAge02),MAX(CapacityAge02*'01_Вводные'!$B$218*'19_Расчет_аналитики'!AS1572,MeanMinAge02)))</f>
        <v/>
      </c>
      <c r="AT1505">
        <f>IF(OR(('19_Расчет_аналитики'!AT1421-'19_Расчет_аналитики'!AT1449)=0,2&lt;='01_Вводные'!$B$297),0,('19_Расчет_аналитики'!AT1421-'19_Расчет_аналитики'!AT1449)*IF('01_Вводные'!$B$239="Да",MeanMinAge02+'19_Расчет_аналитики'!AT1572*SUMIF(ThresholdAge02,"&lt;"&amp;'19_Расчет_аналитики'!AT1572,WeightedRevAge02)-SUMIF(ThresholdAge02,"&lt;"&amp;'19_Расчет_аналитики'!AT1572,WeightedMinAge02),MAX(CapacityAge02*'01_Вводные'!$B$218*'19_Расчет_аналитики'!AT1572,MeanMinAge02)))</f>
        <v/>
      </c>
      <c r="AU1505">
        <f>IF(OR(('19_Расчет_аналитики'!AU1421-'19_Расчет_аналитики'!AU1449)=0,2&lt;='01_Вводные'!$B$297),0,('19_Расчет_аналитики'!AU1421-'19_Расчет_аналитики'!AU1449)*IF('01_Вводные'!$B$239="Да",MeanMinAge02+'19_Расчет_аналитики'!AU1572*SUMIF(ThresholdAge02,"&lt;"&amp;'19_Расчет_аналитики'!AU1572,WeightedRevAge02)-SUMIF(ThresholdAge02,"&lt;"&amp;'19_Расчет_аналитики'!AU1572,WeightedMinAge02),MAX(CapacityAge02*'01_Вводные'!$B$218*'19_Расчет_аналитики'!AU1572,MeanMinAge02)))</f>
        <v/>
      </c>
      <c r="AV1505">
        <f>IF(OR(('19_Расчет_аналитики'!AV1421-'19_Расчет_аналитики'!AV1449)=0,2&lt;='01_Вводные'!$B$297),0,('19_Расчет_аналитики'!AV1421-'19_Расчет_аналитики'!AV1449)*IF('01_Вводные'!$B$239="Да",MeanMinAge02+'19_Расчет_аналитики'!AV1572*SUMIF(ThresholdAge02,"&lt;"&amp;'19_Расчет_аналитики'!AV1572,WeightedRevAge02)-SUMIF(ThresholdAge02,"&lt;"&amp;'19_Расчет_аналитики'!AV1572,WeightedMinAge02),MAX(CapacityAge02*'01_Вводные'!$B$218*'19_Расчет_аналитики'!AV1572,MeanMinAge02)))</f>
        <v/>
      </c>
      <c r="AW1505">
        <f>IF(OR(('19_Расчет_аналитики'!AW1421-'19_Расчет_аналитики'!AW1449)=0,2&lt;='01_Вводные'!$B$297),0,('19_Расчет_аналитики'!AW1421-'19_Расчет_аналитики'!AW1449)*IF('01_Вводные'!$B$239="Да",MeanMinAge02+'19_Расчет_аналитики'!AW1572*SUMIF(ThresholdAge02,"&lt;"&amp;'19_Расчет_аналитики'!AW1572,WeightedRevAge02)-SUMIF(ThresholdAge02,"&lt;"&amp;'19_Расчет_аналитики'!AW1572,WeightedMinAge02),MAX(CapacityAge02*'01_Вводные'!$B$218*'19_Расчет_аналитики'!AW1572,MeanMinAge02)))</f>
        <v/>
      </c>
      <c r="AX1505">
        <f>IF(OR(('19_Расчет_аналитики'!AX1421-'19_Расчет_аналитики'!AX1449)=0,2&lt;='01_Вводные'!$B$297),0,('19_Расчет_аналитики'!AX1421-'19_Расчет_аналитики'!AX1449)*IF('01_Вводные'!$B$239="Да",MeanMinAge02+'19_Расчет_аналитики'!AX1572*SUMIF(ThresholdAge02,"&lt;"&amp;'19_Расчет_аналитики'!AX1572,WeightedRevAge02)-SUMIF(ThresholdAge02,"&lt;"&amp;'19_Расчет_аналитики'!AX1572,WeightedMinAge02),MAX(CapacityAge02*'01_Вводные'!$B$218*'19_Расчет_аналитики'!AX1572,MeanMinAge02)))</f>
        <v/>
      </c>
      <c r="AY1505">
        <f>IF(OR(('19_Расчет_аналитики'!AY1421-'19_Расчет_аналитики'!AY1449)=0,2&lt;='01_Вводные'!$B$297),0,('19_Расчет_аналитики'!AY1421-'19_Расчет_аналитики'!AY1449)*IF('01_Вводные'!$B$239="Да",MeanMinAge02+'19_Расчет_аналитики'!AY1572*SUMIF(ThresholdAge02,"&lt;"&amp;'19_Расчет_аналитики'!AY1572,WeightedRevAge02)-SUMIF(ThresholdAge02,"&lt;"&amp;'19_Расчет_аналитики'!AY1572,WeightedMinAge02),MAX(CapacityAge02*'01_Вводные'!$B$218*'19_Расчет_аналитики'!AY1572,MeanMinAge02)))</f>
        <v/>
      </c>
      <c r="AZ1505">
        <f>IF(OR(('19_Расчет_аналитики'!AZ1421-'19_Расчет_аналитики'!AZ1449)=0,2&lt;='01_Вводные'!$B$297),0,('19_Расчет_аналитики'!AZ1421-'19_Расчет_аналитики'!AZ1449)*IF('01_Вводные'!$B$239="Да",MeanMinAge02+'19_Расчет_аналитики'!AZ1572*SUMIF(ThresholdAge02,"&lt;"&amp;'19_Расчет_аналитики'!AZ1572,WeightedRevAge02)-SUMIF(ThresholdAge02,"&lt;"&amp;'19_Расчет_аналитики'!AZ1572,WeightedMinAge02),MAX(CapacityAge02*'01_Вводные'!$B$218*'19_Расчет_аналитики'!AZ1572,MeanMinAge02)))</f>
        <v/>
      </c>
      <c r="BA1505">
        <f>IF(OR(('19_Расчет_аналитики'!BA1421-'19_Расчет_аналитики'!BA1449)=0,2&lt;='01_Вводные'!$B$297),0,('19_Расчет_аналитики'!BA1421-'19_Расчет_аналитики'!BA1449)*IF('01_Вводные'!$B$239="Да",MeanMinAge02+'19_Расчет_аналитики'!BA1572*SUMIF(ThresholdAge02,"&lt;"&amp;'19_Расчет_аналитики'!BA1572,WeightedRevAge02)-SUMIF(ThresholdAge02,"&lt;"&amp;'19_Расчет_аналитики'!BA1572,WeightedMinAge02),MAX(CapacityAge02*'01_Вводные'!$B$218*'19_Расчет_аналитики'!BA1572,MeanMinAge02)))</f>
        <v/>
      </c>
      <c r="BB1505">
        <f>IF(OR(('19_Расчет_аналитики'!BB1421-'19_Расчет_аналитики'!BB1449)=0,2&lt;='01_Вводные'!$B$297),0,('19_Расчет_аналитики'!BB1421-'19_Расчет_аналитики'!BB1449)*IF('01_Вводные'!$B$239="Да",MeanMinAge02+'19_Расчет_аналитики'!BB1572*SUMIF(ThresholdAge02,"&lt;"&amp;'19_Расчет_аналитики'!BB1572,WeightedRevAge02)-SUMIF(ThresholdAge02,"&lt;"&amp;'19_Расчет_аналитики'!BB1572,WeightedMinAge02),MAX(CapacityAge02*'01_Вводные'!$B$218*'19_Расчет_аналитики'!BB1572,MeanMinAge02)))</f>
        <v/>
      </c>
      <c r="BC1505">
        <f>IF(OR(('19_Расчет_аналитики'!BC1421-'19_Расчет_аналитики'!BC1449)=0,2&lt;='01_Вводные'!$B$297),0,('19_Расчет_аналитики'!BC1421-'19_Расчет_аналитики'!BC1449)*IF('01_Вводные'!$B$239="Да",MeanMinAge02+'19_Расчет_аналитики'!BC1572*SUMIF(ThresholdAge02,"&lt;"&amp;'19_Расчет_аналитики'!BC1572,WeightedRevAge02)-SUMIF(ThresholdAge02,"&lt;"&amp;'19_Расчет_аналитики'!BC1572,WeightedMinAge02),MAX(CapacityAge02*'01_Вводные'!$B$218*'19_Расчет_аналитики'!BC1572,MeanMinAge02)))</f>
        <v/>
      </c>
      <c r="BD1505">
        <f>IF(OR(('19_Расчет_аналитики'!BD1421-'19_Расчет_аналитики'!BD1449)=0,2&lt;='01_Вводные'!$B$297),0,('19_Расчет_аналитики'!BD1421-'19_Расчет_аналитики'!BD1449)*IF('01_Вводные'!$B$239="Да",MeanMinAge02+'19_Расчет_аналитики'!BD1572*SUMIF(ThresholdAge02,"&lt;"&amp;'19_Расчет_аналитики'!BD1572,WeightedRevAge02)-SUMIF(ThresholdAge02,"&lt;"&amp;'19_Расчет_аналитики'!BD1572,WeightedMinAge02),MAX(CapacityAge02*'01_Вводные'!$B$218*'19_Расчет_аналитики'!BD1572,MeanMinAge02)))</f>
        <v/>
      </c>
      <c r="BE1505">
        <f>IF(OR(('19_Расчет_аналитики'!BE1421-'19_Расчет_аналитики'!BE1449)=0,2&lt;='01_Вводные'!$B$297),0,('19_Расчет_аналитики'!BE1421-'19_Расчет_аналитики'!BE1449)*IF('01_Вводные'!$B$239="Да",MeanMinAge02+'19_Расчет_аналитики'!BE1572*SUMIF(ThresholdAge02,"&lt;"&amp;'19_Расчет_аналитики'!BE1572,WeightedRevAge02)-SUMIF(ThresholdAge02,"&lt;"&amp;'19_Расчет_аналитики'!BE1572,WeightedMinAge02),MAX(CapacityAge02*'01_Вводные'!$B$218*'19_Расчет_аналитики'!BE1572,MeanMinAge02)))</f>
        <v/>
      </c>
      <c r="BF1505">
        <f>IF(OR(('19_Расчет_аналитики'!BF1421-'19_Расчет_аналитики'!BF1449)=0,2&lt;='01_Вводные'!$B$297),0,('19_Расчет_аналитики'!BF1421-'19_Расчет_аналитики'!BF1449)*IF('01_Вводные'!$B$239="Да",MeanMinAge02+'19_Расчет_аналитики'!BF1572*SUMIF(ThresholdAge02,"&lt;"&amp;'19_Расчет_аналитики'!BF1572,WeightedRevAge02)-SUMIF(ThresholdAge02,"&lt;"&amp;'19_Расчет_аналитики'!BF1572,WeightedMinAge02),MAX(CapacityAge02*'01_Вводные'!$B$218*'19_Расчет_аналитики'!BF1572,MeanMinAge02)))</f>
        <v/>
      </c>
      <c r="BG1505">
        <f>IF(OR(('19_Расчет_аналитики'!BG1421-'19_Расчет_аналитики'!BG1449)=0,2&lt;='01_Вводные'!$B$297),0,('19_Расчет_аналитики'!BG1421-'19_Расчет_аналитики'!BG1449)*IF('01_Вводные'!$B$239="Да",MeanMinAge02+'19_Расчет_аналитики'!BG1572*SUMIF(ThresholdAge02,"&lt;"&amp;'19_Расчет_аналитики'!BG1572,WeightedRevAge02)-SUMIF(ThresholdAge02,"&lt;"&amp;'19_Расчет_аналитики'!BG1572,WeightedMinAge02),MAX(CapacityAge02*'01_Вводные'!$B$218*'19_Расчет_аналитики'!BG1572,MeanMinAge02)))</f>
        <v/>
      </c>
      <c r="BH1505">
        <f>IF(OR(('19_Расчет_аналитики'!BH1421-'19_Расчет_аналитики'!BH1449)=0,2&lt;='01_Вводные'!$B$297),0,('19_Расчет_аналитики'!BH1421-'19_Расчет_аналитики'!BH1449)*IF('01_Вводные'!$B$239="Да",MeanMinAge02+'19_Расчет_аналитики'!BH1572*SUMIF(ThresholdAge02,"&lt;"&amp;'19_Расчет_аналитики'!BH1572,WeightedRevAge02)-SUMIF(ThresholdAge02,"&lt;"&amp;'19_Расчет_аналитики'!BH1572,WeightedMinAge02),MAX(CapacityAge02*'01_Вводные'!$B$218*'19_Расчет_аналитики'!BH1572,MeanMinAge02)))</f>
        <v/>
      </c>
      <c r="BI1505">
        <f>IF(OR(('19_Расчет_аналитики'!BI1421-'19_Расчет_аналитики'!BI1449)=0,2&lt;='01_Вводные'!$B$297),0,('19_Расчет_аналитики'!BI1421-'19_Расчет_аналитики'!BI1449)*IF('01_Вводные'!$B$239="Да",MeanMinAge02+'19_Расчет_аналитики'!BI1572*SUMIF(ThresholdAge02,"&lt;"&amp;'19_Расчет_аналитики'!BI1572,WeightedRevAge02)-SUMIF(ThresholdAge02,"&lt;"&amp;'19_Расчет_аналитики'!BI1572,WeightedMinAge02),MAX(CapacityAge02*'01_Вводные'!$B$218*'19_Расчет_аналитики'!BI1572,MeanMinAge02)))</f>
        <v/>
      </c>
      <c r="BJ1505">
        <f>IF(OR(('19_Расчет_аналитики'!BJ1421-'19_Расчет_аналитики'!BJ1449)=0,2&lt;='01_Вводные'!$B$297),0,('19_Расчет_аналитики'!BJ1421-'19_Расчет_аналитики'!BJ1449)*IF('01_Вводные'!$B$239="Да",MeanMinAge02+'19_Расчет_аналитики'!BJ1572*SUMIF(ThresholdAge02,"&lt;"&amp;'19_Расчет_аналитики'!BJ1572,WeightedRevAge02)-SUMIF(ThresholdAge02,"&lt;"&amp;'19_Расчет_аналитики'!BJ1572,WeightedMinAge02),MAX(CapacityAge02*'01_Вводные'!$B$218*'19_Расчет_аналитики'!BJ1572,MeanMinAge02)))</f>
        <v/>
      </c>
      <c r="BK1505">
        <f>IF(OR(('19_Расчет_аналитики'!BK1421-'19_Расчет_аналитики'!BK1449)=0,2&lt;='01_Вводные'!$B$297),0,('19_Расчет_аналитики'!BK1421-'19_Расчет_аналитики'!BK1449)*IF('01_Вводные'!$B$239="Да",MeanMinAge02+'19_Расчет_аналитики'!BK1572*SUMIF(ThresholdAge02,"&lt;"&amp;'19_Расчет_аналитики'!BK1572,WeightedRevAge02)-SUMIF(ThresholdAge02,"&lt;"&amp;'19_Расчет_аналитики'!BK1572,WeightedMinAge02),MAX(CapacityAge02*'01_Вводные'!$B$218*'19_Расчет_аналитики'!BK1572,MeanMinAge02)))</f>
        <v/>
      </c>
      <c r="BL1505">
        <f>IF(OR(('19_Расчет_аналитики'!BL1421-'19_Расчет_аналитики'!BL1449)=0,2&lt;='01_Вводные'!$B$297),0,('19_Расчет_аналитики'!BL1421-'19_Расчет_аналитики'!BL1449)*IF('01_Вводные'!$B$239="Да",MeanMinAge02+'19_Расчет_аналитики'!BL1572*SUMIF(ThresholdAge02,"&lt;"&amp;'19_Расчет_аналитики'!BL1572,WeightedRevAge02)-SUMIF(ThresholdAge02,"&lt;"&amp;'19_Расчет_аналитики'!BL1572,WeightedMinAge02),MAX(CapacityAge02*'01_Вводные'!$B$218*'19_Расчет_аналитики'!BL1572,MeanMinAge02)))</f>
        <v/>
      </c>
      <c r="BM1505">
        <f>IF(OR(('19_Расчет_аналитики'!BM1421-'19_Расчет_аналитики'!BM1449)=0,2&lt;='01_Вводные'!$B$297),0,('19_Расчет_аналитики'!BM1421-'19_Расчет_аналитики'!BM1449)*IF('01_Вводные'!$B$239="Да",MeanMinAge02+'19_Расчет_аналитики'!BM1572*SUMIF(ThresholdAge02,"&lt;"&amp;'19_Расчет_аналитики'!BM1572,WeightedRevAge02)-SUMIF(ThresholdAge02,"&lt;"&amp;'19_Расчет_аналитики'!BM1572,WeightedMinAge02),MAX(CapacityAge02*'01_Вводные'!$B$218*'19_Расчет_аналитики'!BM1572,MeanMinAge02)))</f>
        <v/>
      </c>
      <c r="BN1505">
        <f>IF(OR(('19_Расчет_аналитики'!BN1421-'19_Расчет_аналитики'!BN1449)=0,2&lt;='01_Вводные'!$B$297),0,('19_Расчет_аналитики'!BN1421-'19_Расчет_аналитики'!BN1449)*IF('01_Вводные'!$B$239="Да",MeanMinAge02+'19_Расчет_аналитики'!BN1572*SUMIF(ThresholdAge02,"&lt;"&amp;'19_Расчет_аналитики'!BN1572,WeightedRevAge02)-SUMIF(ThresholdAge02,"&lt;"&amp;'19_Расчет_аналитики'!BN1572,WeightedMinAge02),MAX(CapacityAge02*'01_Вводные'!$B$218*'19_Расчет_аналитики'!BN1572,MeanMinAge02)))</f>
        <v/>
      </c>
      <c r="BO1505">
        <f>IF(OR(('19_Расчет_аналитики'!BO1421-'19_Расчет_аналитики'!BO1449)=0,2&lt;='01_Вводные'!$B$297),0,('19_Расчет_аналитики'!BO1421-'19_Расчет_аналитики'!BO1449)*IF('01_Вводные'!$B$239="Да",MeanMinAge02+'19_Расчет_аналитики'!BO1572*SUMIF(ThresholdAge02,"&lt;"&amp;'19_Расчет_аналитики'!BO1572,WeightedRevAge02)-SUMIF(ThresholdAge02,"&lt;"&amp;'19_Расчет_аналитики'!BO1572,WeightedMinAge02),MAX(CapacityAge02*'01_Вводные'!$B$218*'19_Расчет_аналитики'!BO1572,MeanMinAge02)))</f>
        <v/>
      </c>
    </row>
    <row r="1506">
      <c r="B1506">
        <f>IF(OR(('06_Сеть_и_дети'!B55-'06_Сеть_и_дети'!B83)=0,3&lt;='01_Вводные'!$B$297),0,('06_Сеть_и_дети'!B55-'06_Сеть_и_дети'!B83)*IF('01_Вводные'!$B$239="Да",MeanMinAge03+'19_Расчет_аналитики'!B1572*SUMIF(ThresholdAge03,"&lt;"&amp;'19_Расчет_аналитики'!B1572,WeightedRevAge03)-SUMIF(ThresholdAge03,"&lt;"&amp;'19_Расчет_аналитики'!B1572,WeightedMinAge03),MAX(CapacityAge03*'01_Вводные'!$B$218*'19_Расчет_аналитики'!B1572,MeanMinAge03)))</f>
        <v/>
      </c>
      <c r="C1506">
        <f>IF(OR(('06_Сеть_и_дети'!C55-'06_Сеть_и_дети'!C83)=0,3&lt;='01_Вводные'!$B$297),0,('06_Сеть_и_дети'!C55-'06_Сеть_и_дети'!C83)*IF('01_Вводные'!$B$239="Да",MeanMinAge03+'19_Расчет_аналитики'!C1572*SUMIF(ThresholdAge03,"&lt;"&amp;'19_Расчет_аналитики'!C1572,WeightedRevAge03)-SUMIF(ThresholdAge03,"&lt;"&amp;'19_Расчет_аналитики'!C1572,WeightedMinAge03),MAX(CapacityAge03*'01_Вводные'!$B$218*'19_Расчет_аналитики'!C1572,MeanMinAge03)))</f>
        <v/>
      </c>
      <c r="D1506">
        <f>IF(OR(('19_Расчет_аналитики'!D1422-'19_Расчет_аналитики'!D1450)=0,3&lt;='01_Вводные'!$B$297),0,('19_Расчет_аналитики'!D1422-'19_Расчет_аналитики'!D1450)*IF('01_Вводные'!$B$239="Да",MeanMinAge03+'19_Расчет_аналитики'!D1572*SUMIF(ThresholdAge03,"&lt;"&amp;'19_Расчет_аналитики'!D1572,WeightedRevAge03)-SUMIF(ThresholdAge03,"&lt;"&amp;'19_Расчет_аналитики'!D1572,WeightedMinAge03),MAX(CapacityAge03*'01_Вводные'!$B$218*'19_Расчет_аналитики'!D1572,MeanMinAge03)))</f>
        <v/>
      </c>
      <c r="E1506">
        <f>IF(OR(('19_Расчет_аналитики'!E1422-'19_Расчет_аналитики'!E1450)=0,3&lt;='01_Вводные'!$B$297),0,('19_Расчет_аналитики'!E1422-'19_Расчет_аналитики'!E1450)*IF('01_Вводные'!$B$239="Да",MeanMinAge03+'19_Расчет_аналитики'!E1572*SUMIF(ThresholdAge03,"&lt;"&amp;'19_Расчет_аналитики'!E1572,WeightedRevAge03)-SUMIF(ThresholdAge03,"&lt;"&amp;'19_Расчет_аналитики'!E1572,WeightedMinAge03),MAX(CapacityAge03*'01_Вводные'!$B$218*'19_Расчет_аналитики'!E1572,MeanMinAge03)))</f>
        <v/>
      </c>
      <c r="F1506">
        <f>IF(OR(('19_Расчет_аналитики'!F1422-'19_Расчет_аналитики'!F1450)=0,3&lt;='01_Вводные'!$B$297),0,('19_Расчет_аналитики'!F1422-'19_Расчет_аналитики'!F1450)*IF('01_Вводные'!$B$239="Да",MeanMinAge03+'19_Расчет_аналитики'!F1572*SUMIF(ThresholdAge03,"&lt;"&amp;'19_Расчет_аналитики'!F1572,WeightedRevAge03)-SUMIF(ThresholdAge03,"&lt;"&amp;'19_Расчет_аналитики'!F1572,WeightedMinAge03),MAX(CapacityAge03*'01_Вводные'!$B$218*'19_Расчет_аналитики'!F1572,MeanMinAge03)))</f>
        <v/>
      </c>
      <c r="G1506">
        <f>IF(OR(('19_Расчет_аналитики'!G1422-'19_Расчет_аналитики'!G1450)=0,3&lt;='01_Вводные'!$B$297),0,('19_Расчет_аналитики'!G1422-'19_Расчет_аналитики'!G1450)*IF('01_Вводные'!$B$239="Да",MeanMinAge03+'19_Расчет_аналитики'!G1572*SUMIF(ThresholdAge03,"&lt;"&amp;'19_Расчет_аналитики'!G1572,WeightedRevAge03)-SUMIF(ThresholdAge03,"&lt;"&amp;'19_Расчет_аналитики'!G1572,WeightedMinAge03),MAX(CapacityAge03*'01_Вводные'!$B$218*'19_Расчет_аналитики'!G1572,MeanMinAge03)))</f>
        <v/>
      </c>
      <c r="H1506">
        <f>IF(OR(('19_Расчет_аналитики'!H1422-'19_Расчет_аналитики'!H1450)=0,3&lt;='01_Вводные'!$B$297),0,('19_Расчет_аналитики'!H1422-'19_Расчет_аналитики'!H1450)*IF('01_Вводные'!$B$239="Да",MeanMinAge03+'19_Расчет_аналитики'!H1572*SUMIF(ThresholdAge03,"&lt;"&amp;'19_Расчет_аналитики'!H1572,WeightedRevAge03)-SUMIF(ThresholdAge03,"&lt;"&amp;'19_Расчет_аналитики'!H1572,WeightedMinAge03),MAX(CapacityAge03*'01_Вводные'!$B$218*'19_Расчет_аналитики'!H1572,MeanMinAge03)))</f>
        <v/>
      </c>
      <c r="I1506">
        <f>IF(OR(('19_Расчет_аналитики'!I1422-'19_Расчет_аналитики'!I1450)=0,3&lt;='01_Вводные'!$B$297),0,('19_Расчет_аналитики'!I1422-'19_Расчет_аналитики'!I1450)*IF('01_Вводные'!$B$239="Да",MeanMinAge03+'19_Расчет_аналитики'!I1572*SUMIF(ThresholdAge03,"&lt;"&amp;'19_Расчет_аналитики'!I1572,WeightedRevAge03)-SUMIF(ThresholdAge03,"&lt;"&amp;'19_Расчет_аналитики'!I1572,WeightedMinAge03),MAX(CapacityAge03*'01_Вводные'!$B$218*'19_Расчет_аналитики'!I1572,MeanMinAge03)))</f>
        <v/>
      </c>
      <c r="J1506">
        <f>IF(OR(('19_Расчет_аналитики'!J1422-'19_Расчет_аналитики'!J1450)=0,3&lt;='01_Вводные'!$B$297),0,('19_Расчет_аналитики'!J1422-'19_Расчет_аналитики'!J1450)*IF('01_Вводные'!$B$239="Да",MeanMinAge03+'19_Расчет_аналитики'!J1572*SUMIF(ThresholdAge03,"&lt;"&amp;'19_Расчет_аналитики'!J1572,WeightedRevAge03)-SUMIF(ThresholdAge03,"&lt;"&amp;'19_Расчет_аналитики'!J1572,WeightedMinAge03),MAX(CapacityAge03*'01_Вводные'!$B$218*'19_Расчет_аналитики'!J1572,MeanMinAge03)))</f>
        <v/>
      </c>
      <c r="K1506">
        <f>IF(OR(('19_Расчет_аналитики'!K1422-'19_Расчет_аналитики'!K1450)=0,3&lt;='01_Вводные'!$B$297),0,('19_Расчет_аналитики'!K1422-'19_Расчет_аналитики'!K1450)*IF('01_Вводные'!$B$239="Да",MeanMinAge03+'19_Расчет_аналитики'!K1572*SUMIF(ThresholdAge03,"&lt;"&amp;'19_Расчет_аналитики'!K1572,WeightedRevAge03)-SUMIF(ThresholdAge03,"&lt;"&amp;'19_Расчет_аналитики'!K1572,WeightedMinAge03),MAX(CapacityAge03*'01_Вводные'!$B$218*'19_Расчет_аналитики'!K1572,MeanMinAge03)))</f>
        <v/>
      </c>
      <c r="L1506">
        <f>IF(OR(('19_Расчет_аналитики'!L1422-'19_Расчет_аналитики'!L1450)=0,3&lt;='01_Вводные'!$B$297),0,('19_Расчет_аналитики'!L1422-'19_Расчет_аналитики'!L1450)*IF('01_Вводные'!$B$239="Да",MeanMinAge03+'19_Расчет_аналитики'!L1572*SUMIF(ThresholdAge03,"&lt;"&amp;'19_Расчет_аналитики'!L1572,WeightedRevAge03)-SUMIF(ThresholdAge03,"&lt;"&amp;'19_Расчет_аналитики'!L1572,WeightedMinAge03),MAX(CapacityAge03*'01_Вводные'!$B$218*'19_Расчет_аналитики'!L1572,MeanMinAge03)))</f>
        <v/>
      </c>
      <c r="M1506">
        <f>IF(OR(('19_Расчет_аналитики'!M1422-'19_Расчет_аналитики'!M1450)=0,3&lt;='01_Вводные'!$B$297),0,('19_Расчет_аналитики'!M1422-'19_Расчет_аналитики'!M1450)*IF('01_Вводные'!$B$239="Да",MeanMinAge03+'19_Расчет_аналитики'!M1572*SUMIF(ThresholdAge03,"&lt;"&amp;'19_Расчет_аналитики'!M1572,WeightedRevAge03)-SUMIF(ThresholdAge03,"&lt;"&amp;'19_Расчет_аналитики'!M1572,WeightedMinAge03),MAX(CapacityAge03*'01_Вводные'!$B$218*'19_Расчет_аналитики'!M1572,MeanMinAge03)))</f>
        <v/>
      </c>
      <c r="N1506">
        <f>IF(OR(('19_Расчет_аналитики'!N1422-'19_Расчет_аналитики'!N1450)=0,3&lt;='01_Вводные'!$B$297),0,('19_Расчет_аналитики'!N1422-'19_Расчет_аналитики'!N1450)*IF('01_Вводные'!$B$239="Да",MeanMinAge03+'19_Расчет_аналитики'!N1572*SUMIF(ThresholdAge03,"&lt;"&amp;'19_Расчет_аналитики'!N1572,WeightedRevAge03)-SUMIF(ThresholdAge03,"&lt;"&amp;'19_Расчет_аналитики'!N1572,WeightedMinAge03),MAX(CapacityAge03*'01_Вводные'!$B$218*'19_Расчет_аналитики'!N1572,MeanMinAge03)))</f>
        <v/>
      </c>
      <c r="O1506">
        <f>IF(OR(('19_Расчет_аналитики'!O1422-'19_Расчет_аналитики'!O1450)=0,3&lt;='01_Вводные'!$B$297),0,('19_Расчет_аналитики'!O1422-'19_Расчет_аналитики'!O1450)*IF('01_Вводные'!$B$239="Да",MeanMinAge03+'19_Расчет_аналитики'!O1572*SUMIF(ThresholdAge03,"&lt;"&amp;'19_Расчет_аналитики'!O1572,WeightedRevAge03)-SUMIF(ThresholdAge03,"&lt;"&amp;'19_Расчет_аналитики'!O1572,WeightedMinAge03),MAX(CapacityAge03*'01_Вводные'!$B$218*'19_Расчет_аналитики'!O1572,MeanMinAge03)))</f>
        <v/>
      </c>
      <c r="P1506">
        <f>IF(OR(('19_Расчет_аналитики'!P1422-'19_Расчет_аналитики'!P1450)=0,3&lt;='01_Вводные'!$B$297),0,('19_Расчет_аналитики'!P1422-'19_Расчет_аналитики'!P1450)*IF('01_Вводные'!$B$239="Да",MeanMinAge03+'19_Расчет_аналитики'!P1572*SUMIF(ThresholdAge03,"&lt;"&amp;'19_Расчет_аналитики'!P1572,WeightedRevAge03)-SUMIF(ThresholdAge03,"&lt;"&amp;'19_Расчет_аналитики'!P1572,WeightedMinAge03),MAX(CapacityAge03*'01_Вводные'!$B$218*'19_Расчет_аналитики'!P1572,MeanMinAge03)))</f>
        <v/>
      </c>
      <c r="Q1506">
        <f>IF(OR(('19_Расчет_аналитики'!Q1422-'19_Расчет_аналитики'!Q1450)=0,3&lt;='01_Вводные'!$B$297),0,('19_Расчет_аналитики'!Q1422-'19_Расчет_аналитики'!Q1450)*IF('01_Вводные'!$B$239="Да",MeanMinAge03+'19_Расчет_аналитики'!Q1572*SUMIF(ThresholdAge03,"&lt;"&amp;'19_Расчет_аналитики'!Q1572,WeightedRevAge03)-SUMIF(ThresholdAge03,"&lt;"&amp;'19_Расчет_аналитики'!Q1572,WeightedMinAge03),MAX(CapacityAge03*'01_Вводные'!$B$218*'19_Расчет_аналитики'!Q1572,MeanMinAge03)))</f>
        <v/>
      </c>
      <c r="R1506">
        <f>IF(OR(('19_Расчет_аналитики'!R1422-'19_Расчет_аналитики'!R1450)=0,3&lt;='01_Вводные'!$B$297),0,('19_Расчет_аналитики'!R1422-'19_Расчет_аналитики'!R1450)*IF('01_Вводные'!$B$239="Да",MeanMinAge03+'19_Расчет_аналитики'!R1572*SUMIF(ThresholdAge03,"&lt;"&amp;'19_Расчет_аналитики'!R1572,WeightedRevAge03)-SUMIF(ThresholdAge03,"&lt;"&amp;'19_Расчет_аналитики'!R1572,WeightedMinAge03),MAX(CapacityAge03*'01_Вводные'!$B$218*'19_Расчет_аналитики'!R1572,MeanMinAge03)))</f>
        <v/>
      </c>
      <c r="S1506">
        <f>IF(OR(('19_Расчет_аналитики'!S1422-'19_Расчет_аналитики'!S1450)=0,3&lt;='01_Вводные'!$B$297),0,('19_Расчет_аналитики'!S1422-'19_Расчет_аналитики'!S1450)*IF('01_Вводные'!$B$239="Да",MeanMinAge03+'19_Расчет_аналитики'!S1572*SUMIF(ThresholdAge03,"&lt;"&amp;'19_Расчет_аналитики'!S1572,WeightedRevAge03)-SUMIF(ThresholdAge03,"&lt;"&amp;'19_Расчет_аналитики'!S1572,WeightedMinAge03),MAX(CapacityAge03*'01_Вводные'!$B$218*'19_Расчет_аналитики'!S1572,MeanMinAge03)))</f>
        <v/>
      </c>
      <c r="T1506">
        <f>IF(OR(('19_Расчет_аналитики'!T1422-'19_Расчет_аналитики'!T1450)=0,3&lt;='01_Вводные'!$B$297),0,('19_Расчет_аналитики'!T1422-'19_Расчет_аналитики'!T1450)*IF('01_Вводные'!$B$239="Да",MeanMinAge03+'19_Расчет_аналитики'!T1572*SUMIF(ThresholdAge03,"&lt;"&amp;'19_Расчет_аналитики'!T1572,WeightedRevAge03)-SUMIF(ThresholdAge03,"&lt;"&amp;'19_Расчет_аналитики'!T1572,WeightedMinAge03),MAX(CapacityAge03*'01_Вводные'!$B$218*'19_Расчет_аналитики'!T1572,MeanMinAge03)))</f>
        <v/>
      </c>
      <c r="U1506">
        <f>IF(OR(('19_Расчет_аналитики'!U1422-'19_Расчет_аналитики'!U1450)=0,3&lt;='01_Вводные'!$B$297),0,('19_Расчет_аналитики'!U1422-'19_Расчет_аналитики'!U1450)*IF('01_Вводные'!$B$239="Да",MeanMinAge03+'19_Расчет_аналитики'!U1572*SUMIF(ThresholdAge03,"&lt;"&amp;'19_Расчет_аналитики'!U1572,WeightedRevAge03)-SUMIF(ThresholdAge03,"&lt;"&amp;'19_Расчет_аналитики'!U1572,WeightedMinAge03),MAX(CapacityAge03*'01_Вводные'!$B$218*'19_Расчет_аналитики'!U1572,MeanMinAge03)))</f>
        <v/>
      </c>
      <c r="V1506">
        <f>IF(OR(('19_Расчет_аналитики'!V1422-'19_Расчет_аналитики'!V1450)=0,3&lt;='01_Вводные'!$B$297),0,('19_Расчет_аналитики'!V1422-'19_Расчет_аналитики'!V1450)*IF('01_Вводные'!$B$239="Да",MeanMinAge03+'19_Расчет_аналитики'!V1572*SUMIF(ThresholdAge03,"&lt;"&amp;'19_Расчет_аналитики'!V1572,WeightedRevAge03)-SUMIF(ThresholdAge03,"&lt;"&amp;'19_Расчет_аналитики'!V1572,WeightedMinAge03),MAX(CapacityAge03*'01_Вводные'!$B$218*'19_Расчет_аналитики'!V1572,MeanMinAge03)))</f>
        <v/>
      </c>
      <c r="W1506">
        <f>IF(OR(('19_Расчет_аналитики'!W1422-'19_Расчет_аналитики'!W1450)=0,3&lt;='01_Вводные'!$B$297),0,('19_Расчет_аналитики'!W1422-'19_Расчет_аналитики'!W1450)*IF('01_Вводные'!$B$239="Да",MeanMinAge03+'19_Расчет_аналитики'!W1572*SUMIF(ThresholdAge03,"&lt;"&amp;'19_Расчет_аналитики'!W1572,WeightedRevAge03)-SUMIF(ThresholdAge03,"&lt;"&amp;'19_Расчет_аналитики'!W1572,WeightedMinAge03),MAX(CapacityAge03*'01_Вводные'!$B$218*'19_Расчет_аналитики'!W1572,MeanMinAge03)))</f>
        <v/>
      </c>
      <c r="X1506">
        <f>IF(OR(('19_Расчет_аналитики'!X1422-'19_Расчет_аналитики'!X1450)=0,3&lt;='01_Вводные'!$B$297),0,('19_Расчет_аналитики'!X1422-'19_Расчет_аналитики'!X1450)*IF('01_Вводные'!$B$239="Да",MeanMinAge03+'19_Расчет_аналитики'!X1572*SUMIF(ThresholdAge03,"&lt;"&amp;'19_Расчет_аналитики'!X1572,WeightedRevAge03)-SUMIF(ThresholdAge03,"&lt;"&amp;'19_Расчет_аналитики'!X1572,WeightedMinAge03),MAX(CapacityAge03*'01_Вводные'!$B$218*'19_Расчет_аналитики'!X1572,MeanMinAge03)))</f>
        <v/>
      </c>
      <c r="Y1506">
        <f>IF(OR(('19_Расчет_аналитики'!Y1422-'19_Расчет_аналитики'!Y1450)=0,3&lt;='01_Вводные'!$B$297),0,('19_Расчет_аналитики'!Y1422-'19_Расчет_аналитики'!Y1450)*IF('01_Вводные'!$B$239="Да",MeanMinAge03+'19_Расчет_аналитики'!Y1572*SUMIF(ThresholdAge03,"&lt;"&amp;'19_Расчет_аналитики'!Y1572,WeightedRevAge03)-SUMIF(ThresholdAge03,"&lt;"&amp;'19_Расчет_аналитики'!Y1572,WeightedMinAge03),MAX(CapacityAge03*'01_Вводные'!$B$218*'19_Расчет_аналитики'!Y1572,MeanMinAge03)))</f>
        <v/>
      </c>
      <c r="Z1506">
        <f>IF(OR(('19_Расчет_аналитики'!Z1422-'19_Расчет_аналитики'!Z1450)=0,3&lt;='01_Вводные'!$B$297),0,('19_Расчет_аналитики'!Z1422-'19_Расчет_аналитики'!Z1450)*IF('01_Вводные'!$B$239="Да",MeanMinAge03+'19_Расчет_аналитики'!Z1572*SUMIF(ThresholdAge03,"&lt;"&amp;'19_Расчет_аналитики'!Z1572,WeightedRevAge03)-SUMIF(ThresholdAge03,"&lt;"&amp;'19_Расчет_аналитики'!Z1572,WeightedMinAge03),MAX(CapacityAge03*'01_Вводные'!$B$218*'19_Расчет_аналитики'!Z1572,MeanMinAge03)))</f>
        <v/>
      </c>
      <c r="AA1506">
        <f>IF(OR(('19_Расчет_аналитики'!AA1422-'19_Расчет_аналитики'!AA1450)=0,3&lt;='01_Вводные'!$B$297),0,('19_Расчет_аналитики'!AA1422-'19_Расчет_аналитики'!AA1450)*IF('01_Вводные'!$B$239="Да",MeanMinAge03+'19_Расчет_аналитики'!AA1572*SUMIF(ThresholdAge03,"&lt;"&amp;'19_Расчет_аналитики'!AA1572,WeightedRevAge03)-SUMIF(ThresholdAge03,"&lt;"&amp;'19_Расчет_аналитики'!AA1572,WeightedMinAge03),MAX(CapacityAge03*'01_Вводные'!$B$218*'19_Расчет_аналитики'!AA1572,MeanMinAge03)))</f>
        <v/>
      </c>
      <c r="AB1506">
        <f>IF(OR(('19_Расчет_аналитики'!AB1422-'19_Расчет_аналитики'!AB1450)=0,3&lt;='01_Вводные'!$B$297),0,('19_Расчет_аналитики'!AB1422-'19_Расчет_аналитики'!AB1450)*IF('01_Вводные'!$B$239="Да",MeanMinAge03+'19_Расчет_аналитики'!AB1572*SUMIF(ThresholdAge03,"&lt;"&amp;'19_Расчет_аналитики'!AB1572,WeightedRevAge03)-SUMIF(ThresholdAge03,"&lt;"&amp;'19_Расчет_аналитики'!AB1572,WeightedMinAge03),MAX(CapacityAge03*'01_Вводные'!$B$218*'19_Расчет_аналитики'!AB1572,MeanMinAge03)))</f>
        <v/>
      </c>
      <c r="AC1506">
        <f>IF(OR(('19_Расчет_аналитики'!AC1422-'19_Расчет_аналитики'!AC1450)=0,3&lt;='01_Вводные'!$B$297),0,('19_Расчет_аналитики'!AC1422-'19_Расчет_аналитики'!AC1450)*IF('01_Вводные'!$B$239="Да",MeanMinAge03+'19_Расчет_аналитики'!AC1572*SUMIF(ThresholdAge03,"&lt;"&amp;'19_Расчет_аналитики'!AC1572,WeightedRevAge03)-SUMIF(ThresholdAge03,"&lt;"&amp;'19_Расчет_аналитики'!AC1572,WeightedMinAge03),MAX(CapacityAge03*'01_Вводные'!$B$218*'19_Расчет_аналитики'!AC1572,MeanMinAge03)))</f>
        <v/>
      </c>
      <c r="AD1506">
        <f>IF(OR(('19_Расчет_аналитики'!AD1422-'19_Расчет_аналитики'!AD1450)=0,3&lt;='01_Вводные'!$B$297),0,('19_Расчет_аналитики'!AD1422-'19_Расчет_аналитики'!AD1450)*IF('01_Вводные'!$B$239="Да",MeanMinAge03+'19_Расчет_аналитики'!AD1572*SUMIF(ThresholdAge03,"&lt;"&amp;'19_Расчет_аналитики'!AD1572,WeightedRevAge03)-SUMIF(ThresholdAge03,"&lt;"&amp;'19_Расчет_аналитики'!AD1572,WeightedMinAge03),MAX(CapacityAge03*'01_Вводные'!$B$218*'19_Расчет_аналитики'!AD1572,MeanMinAge03)))</f>
        <v/>
      </c>
      <c r="AE1506">
        <f>IF(OR(('19_Расчет_аналитики'!AE1422-'19_Расчет_аналитики'!AE1450)=0,3&lt;='01_Вводные'!$B$297),0,('19_Расчет_аналитики'!AE1422-'19_Расчет_аналитики'!AE1450)*IF('01_Вводные'!$B$239="Да",MeanMinAge03+'19_Расчет_аналитики'!AE1572*SUMIF(ThresholdAge03,"&lt;"&amp;'19_Расчет_аналитики'!AE1572,WeightedRevAge03)-SUMIF(ThresholdAge03,"&lt;"&amp;'19_Расчет_аналитики'!AE1572,WeightedMinAge03),MAX(CapacityAge03*'01_Вводные'!$B$218*'19_Расчет_аналитики'!AE1572,MeanMinAge03)))</f>
        <v/>
      </c>
      <c r="AF1506">
        <f>IF(OR(('19_Расчет_аналитики'!AF1422-'19_Расчет_аналитики'!AF1450)=0,3&lt;='01_Вводные'!$B$297),0,('19_Расчет_аналитики'!AF1422-'19_Расчет_аналитики'!AF1450)*IF('01_Вводные'!$B$239="Да",MeanMinAge03+'19_Расчет_аналитики'!AF1572*SUMIF(ThresholdAge03,"&lt;"&amp;'19_Расчет_аналитики'!AF1572,WeightedRevAge03)-SUMIF(ThresholdAge03,"&lt;"&amp;'19_Расчет_аналитики'!AF1572,WeightedMinAge03),MAX(CapacityAge03*'01_Вводные'!$B$218*'19_Расчет_аналитики'!AF1572,MeanMinAge03)))</f>
        <v/>
      </c>
      <c r="AG1506">
        <f>IF(OR(('19_Расчет_аналитики'!AG1422-'19_Расчет_аналитики'!AG1450)=0,3&lt;='01_Вводные'!$B$297),0,('19_Расчет_аналитики'!AG1422-'19_Расчет_аналитики'!AG1450)*IF('01_Вводные'!$B$239="Да",MeanMinAge03+'19_Расчет_аналитики'!AG1572*SUMIF(ThresholdAge03,"&lt;"&amp;'19_Расчет_аналитики'!AG1572,WeightedRevAge03)-SUMIF(ThresholdAge03,"&lt;"&amp;'19_Расчет_аналитики'!AG1572,WeightedMinAge03),MAX(CapacityAge03*'01_Вводные'!$B$218*'19_Расчет_аналитики'!AG1572,MeanMinAge03)))</f>
        <v/>
      </c>
      <c r="AH1506">
        <f>IF(OR(('19_Расчет_аналитики'!AH1422-'19_Расчет_аналитики'!AH1450)=0,3&lt;='01_Вводные'!$B$297),0,('19_Расчет_аналитики'!AH1422-'19_Расчет_аналитики'!AH1450)*IF('01_Вводные'!$B$239="Да",MeanMinAge03+'19_Расчет_аналитики'!AH1572*SUMIF(ThresholdAge03,"&lt;"&amp;'19_Расчет_аналитики'!AH1572,WeightedRevAge03)-SUMIF(ThresholdAge03,"&lt;"&amp;'19_Расчет_аналитики'!AH1572,WeightedMinAge03),MAX(CapacityAge03*'01_Вводные'!$B$218*'19_Расчет_аналитики'!AH1572,MeanMinAge03)))</f>
        <v/>
      </c>
      <c r="AI1506">
        <f>IF(OR(('19_Расчет_аналитики'!AI1422-'19_Расчет_аналитики'!AI1450)=0,3&lt;='01_Вводные'!$B$297),0,('19_Расчет_аналитики'!AI1422-'19_Расчет_аналитики'!AI1450)*IF('01_Вводные'!$B$239="Да",MeanMinAge03+'19_Расчет_аналитики'!AI1572*SUMIF(ThresholdAge03,"&lt;"&amp;'19_Расчет_аналитики'!AI1572,WeightedRevAge03)-SUMIF(ThresholdAge03,"&lt;"&amp;'19_Расчет_аналитики'!AI1572,WeightedMinAge03),MAX(CapacityAge03*'01_Вводные'!$B$218*'19_Расчет_аналитики'!AI1572,MeanMinAge03)))</f>
        <v/>
      </c>
      <c r="AJ1506">
        <f>IF(OR(('19_Расчет_аналитики'!AJ1422-'19_Расчет_аналитики'!AJ1450)=0,3&lt;='01_Вводные'!$B$297),0,('19_Расчет_аналитики'!AJ1422-'19_Расчет_аналитики'!AJ1450)*IF('01_Вводные'!$B$239="Да",MeanMinAge03+'19_Расчет_аналитики'!AJ1572*SUMIF(ThresholdAge03,"&lt;"&amp;'19_Расчет_аналитики'!AJ1572,WeightedRevAge03)-SUMIF(ThresholdAge03,"&lt;"&amp;'19_Расчет_аналитики'!AJ1572,WeightedMinAge03),MAX(CapacityAge03*'01_Вводные'!$B$218*'19_Расчет_аналитики'!AJ1572,MeanMinAge03)))</f>
        <v/>
      </c>
      <c r="AK1506">
        <f>IF(OR(('19_Расчет_аналитики'!AK1422-'19_Расчет_аналитики'!AK1450)=0,3&lt;='01_Вводные'!$B$297),0,('19_Расчет_аналитики'!AK1422-'19_Расчет_аналитики'!AK1450)*IF('01_Вводные'!$B$239="Да",MeanMinAge03+'19_Расчет_аналитики'!AK1572*SUMIF(ThresholdAge03,"&lt;"&amp;'19_Расчет_аналитики'!AK1572,WeightedRevAge03)-SUMIF(ThresholdAge03,"&lt;"&amp;'19_Расчет_аналитики'!AK1572,WeightedMinAge03),MAX(CapacityAge03*'01_Вводные'!$B$218*'19_Расчет_аналитики'!AK1572,MeanMinAge03)))</f>
        <v/>
      </c>
      <c r="AL1506">
        <f>IF(OR(('19_Расчет_аналитики'!AL1422-'19_Расчет_аналитики'!AL1450)=0,3&lt;='01_Вводные'!$B$297),0,('19_Расчет_аналитики'!AL1422-'19_Расчет_аналитики'!AL1450)*IF('01_Вводные'!$B$239="Да",MeanMinAge03+'19_Расчет_аналитики'!AL1572*SUMIF(ThresholdAge03,"&lt;"&amp;'19_Расчет_аналитики'!AL1572,WeightedRevAge03)-SUMIF(ThresholdAge03,"&lt;"&amp;'19_Расчет_аналитики'!AL1572,WeightedMinAge03),MAX(CapacityAge03*'01_Вводные'!$B$218*'19_Расчет_аналитики'!AL1572,MeanMinAge03)))</f>
        <v/>
      </c>
      <c r="AM1506">
        <f>IF(OR(('19_Расчет_аналитики'!AM1422-'19_Расчет_аналитики'!AM1450)=0,3&lt;='01_Вводные'!$B$297),0,('19_Расчет_аналитики'!AM1422-'19_Расчет_аналитики'!AM1450)*IF('01_Вводные'!$B$239="Да",MeanMinAge03+'19_Расчет_аналитики'!AM1572*SUMIF(ThresholdAge03,"&lt;"&amp;'19_Расчет_аналитики'!AM1572,WeightedRevAge03)-SUMIF(ThresholdAge03,"&lt;"&amp;'19_Расчет_аналитики'!AM1572,WeightedMinAge03),MAX(CapacityAge03*'01_Вводные'!$B$218*'19_Расчет_аналитики'!AM1572,MeanMinAge03)))</f>
        <v/>
      </c>
      <c r="AN1506">
        <f>IF(OR(('19_Расчет_аналитики'!AN1422-'19_Расчет_аналитики'!AN1450)=0,3&lt;='01_Вводные'!$B$297),0,('19_Расчет_аналитики'!AN1422-'19_Расчет_аналитики'!AN1450)*IF('01_Вводные'!$B$239="Да",MeanMinAge03+'19_Расчет_аналитики'!AN1572*SUMIF(ThresholdAge03,"&lt;"&amp;'19_Расчет_аналитики'!AN1572,WeightedRevAge03)-SUMIF(ThresholdAge03,"&lt;"&amp;'19_Расчет_аналитики'!AN1572,WeightedMinAge03),MAX(CapacityAge03*'01_Вводные'!$B$218*'19_Расчет_аналитики'!AN1572,MeanMinAge03)))</f>
        <v/>
      </c>
      <c r="AO1506">
        <f>IF(OR(('19_Расчет_аналитики'!AO1422-'19_Расчет_аналитики'!AO1450)=0,3&lt;='01_Вводные'!$B$297),0,('19_Расчет_аналитики'!AO1422-'19_Расчет_аналитики'!AO1450)*IF('01_Вводные'!$B$239="Да",MeanMinAge03+'19_Расчет_аналитики'!AO1572*SUMIF(ThresholdAge03,"&lt;"&amp;'19_Расчет_аналитики'!AO1572,WeightedRevAge03)-SUMIF(ThresholdAge03,"&lt;"&amp;'19_Расчет_аналитики'!AO1572,WeightedMinAge03),MAX(CapacityAge03*'01_Вводные'!$B$218*'19_Расчет_аналитики'!AO1572,MeanMinAge03)))</f>
        <v/>
      </c>
      <c r="AP1506">
        <f>IF(OR(('19_Расчет_аналитики'!AP1422-'19_Расчет_аналитики'!AP1450)=0,3&lt;='01_Вводные'!$B$297),0,('19_Расчет_аналитики'!AP1422-'19_Расчет_аналитики'!AP1450)*IF('01_Вводные'!$B$239="Да",MeanMinAge03+'19_Расчет_аналитики'!AP1572*SUMIF(ThresholdAge03,"&lt;"&amp;'19_Расчет_аналитики'!AP1572,WeightedRevAge03)-SUMIF(ThresholdAge03,"&lt;"&amp;'19_Расчет_аналитики'!AP1572,WeightedMinAge03),MAX(CapacityAge03*'01_Вводные'!$B$218*'19_Расчет_аналитики'!AP1572,MeanMinAge03)))</f>
        <v/>
      </c>
      <c r="AQ1506">
        <f>IF(OR(('19_Расчет_аналитики'!AQ1422-'19_Расчет_аналитики'!AQ1450)=0,3&lt;='01_Вводные'!$B$297),0,('19_Расчет_аналитики'!AQ1422-'19_Расчет_аналитики'!AQ1450)*IF('01_Вводные'!$B$239="Да",MeanMinAge03+'19_Расчет_аналитики'!AQ1572*SUMIF(ThresholdAge03,"&lt;"&amp;'19_Расчет_аналитики'!AQ1572,WeightedRevAge03)-SUMIF(ThresholdAge03,"&lt;"&amp;'19_Расчет_аналитики'!AQ1572,WeightedMinAge03),MAX(CapacityAge03*'01_Вводные'!$B$218*'19_Расчет_аналитики'!AQ1572,MeanMinAge03)))</f>
        <v/>
      </c>
      <c r="AR1506">
        <f>IF(OR(('19_Расчет_аналитики'!AR1422-'19_Расчет_аналитики'!AR1450)=0,3&lt;='01_Вводные'!$B$297),0,('19_Расчет_аналитики'!AR1422-'19_Расчет_аналитики'!AR1450)*IF('01_Вводные'!$B$239="Да",MeanMinAge03+'19_Расчет_аналитики'!AR1572*SUMIF(ThresholdAge03,"&lt;"&amp;'19_Расчет_аналитики'!AR1572,WeightedRevAge03)-SUMIF(ThresholdAge03,"&lt;"&amp;'19_Расчет_аналитики'!AR1572,WeightedMinAge03),MAX(CapacityAge03*'01_Вводные'!$B$218*'19_Расчет_аналитики'!AR1572,MeanMinAge03)))</f>
        <v/>
      </c>
      <c r="AS1506">
        <f>IF(OR(('19_Расчет_аналитики'!AS1422-'19_Расчет_аналитики'!AS1450)=0,3&lt;='01_Вводные'!$B$297),0,('19_Расчет_аналитики'!AS1422-'19_Расчет_аналитики'!AS1450)*IF('01_Вводные'!$B$239="Да",MeanMinAge03+'19_Расчет_аналитики'!AS1572*SUMIF(ThresholdAge03,"&lt;"&amp;'19_Расчет_аналитики'!AS1572,WeightedRevAge03)-SUMIF(ThresholdAge03,"&lt;"&amp;'19_Расчет_аналитики'!AS1572,WeightedMinAge03),MAX(CapacityAge03*'01_Вводные'!$B$218*'19_Расчет_аналитики'!AS1572,MeanMinAge03)))</f>
        <v/>
      </c>
      <c r="AT1506">
        <f>IF(OR(('19_Расчет_аналитики'!AT1422-'19_Расчет_аналитики'!AT1450)=0,3&lt;='01_Вводные'!$B$297),0,('19_Расчет_аналитики'!AT1422-'19_Расчет_аналитики'!AT1450)*IF('01_Вводные'!$B$239="Да",MeanMinAge03+'19_Расчет_аналитики'!AT1572*SUMIF(ThresholdAge03,"&lt;"&amp;'19_Расчет_аналитики'!AT1572,WeightedRevAge03)-SUMIF(ThresholdAge03,"&lt;"&amp;'19_Расчет_аналитики'!AT1572,WeightedMinAge03),MAX(CapacityAge03*'01_Вводные'!$B$218*'19_Расчет_аналитики'!AT1572,MeanMinAge03)))</f>
        <v/>
      </c>
      <c r="AU1506">
        <f>IF(OR(('19_Расчет_аналитики'!AU1422-'19_Расчет_аналитики'!AU1450)=0,3&lt;='01_Вводные'!$B$297),0,('19_Расчет_аналитики'!AU1422-'19_Расчет_аналитики'!AU1450)*IF('01_Вводные'!$B$239="Да",MeanMinAge03+'19_Расчет_аналитики'!AU1572*SUMIF(ThresholdAge03,"&lt;"&amp;'19_Расчет_аналитики'!AU1572,WeightedRevAge03)-SUMIF(ThresholdAge03,"&lt;"&amp;'19_Расчет_аналитики'!AU1572,WeightedMinAge03),MAX(CapacityAge03*'01_Вводные'!$B$218*'19_Расчет_аналитики'!AU1572,MeanMinAge03)))</f>
        <v/>
      </c>
      <c r="AV1506">
        <f>IF(OR(('19_Расчет_аналитики'!AV1422-'19_Расчет_аналитики'!AV1450)=0,3&lt;='01_Вводные'!$B$297),0,('19_Расчет_аналитики'!AV1422-'19_Расчет_аналитики'!AV1450)*IF('01_Вводные'!$B$239="Да",MeanMinAge03+'19_Расчет_аналитики'!AV1572*SUMIF(ThresholdAge03,"&lt;"&amp;'19_Расчет_аналитики'!AV1572,WeightedRevAge03)-SUMIF(ThresholdAge03,"&lt;"&amp;'19_Расчет_аналитики'!AV1572,WeightedMinAge03),MAX(CapacityAge03*'01_Вводные'!$B$218*'19_Расчет_аналитики'!AV1572,MeanMinAge03)))</f>
        <v/>
      </c>
      <c r="AW1506">
        <f>IF(OR(('19_Расчет_аналитики'!AW1422-'19_Расчет_аналитики'!AW1450)=0,3&lt;='01_Вводные'!$B$297),0,('19_Расчет_аналитики'!AW1422-'19_Расчет_аналитики'!AW1450)*IF('01_Вводные'!$B$239="Да",MeanMinAge03+'19_Расчет_аналитики'!AW1572*SUMIF(ThresholdAge03,"&lt;"&amp;'19_Расчет_аналитики'!AW1572,WeightedRevAge03)-SUMIF(ThresholdAge03,"&lt;"&amp;'19_Расчет_аналитики'!AW1572,WeightedMinAge03),MAX(CapacityAge03*'01_Вводные'!$B$218*'19_Расчет_аналитики'!AW1572,MeanMinAge03)))</f>
        <v/>
      </c>
      <c r="AX1506">
        <f>IF(OR(('19_Расчет_аналитики'!AX1422-'19_Расчет_аналитики'!AX1450)=0,3&lt;='01_Вводные'!$B$297),0,('19_Расчет_аналитики'!AX1422-'19_Расчет_аналитики'!AX1450)*IF('01_Вводные'!$B$239="Да",MeanMinAge03+'19_Расчет_аналитики'!AX1572*SUMIF(ThresholdAge03,"&lt;"&amp;'19_Расчет_аналитики'!AX1572,WeightedRevAge03)-SUMIF(ThresholdAge03,"&lt;"&amp;'19_Расчет_аналитики'!AX1572,WeightedMinAge03),MAX(CapacityAge03*'01_Вводные'!$B$218*'19_Расчет_аналитики'!AX1572,MeanMinAge03)))</f>
        <v/>
      </c>
      <c r="AY1506">
        <f>IF(OR(('19_Расчет_аналитики'!AY1422-'19_Расчет_аналитики'!AY1450)=0,3&lt;='01_Вводные'!$B$297),0,('19_Расчет_аналитики'!AY1422-'19_Расчет_аналитики'!AY1450)*IF('01_Вводные'!$B$239="Да",MeanMinAge03+'19_Расчет_аналитики'!AY1572*SUMIF(ThresholdAge03,"&lt;"&amp;'19_Расчет_аналитики'!AY1572,WeightedRevAge03)-SUMIF(ThresholdAge03,"&lt;"&amp;'19_Расчет_аналитики'!AY1572,WeightedMinAge03),MAX(CapacityAge03*'01_Вводные'!$B$218*'19_Расчет_аналитики'!AY1572,MeanMinAge03)))</f>
        <v/>
      </c>
      <c r="AZ1506">
        <f>IF(OR(('19_Расчет_аналитики'!AZ1422-'19_Расчет_аналитики'!AZ1450)=0,3&lt;='01_Вводные'!$B$297),0,('19_Расчет_аналитики'!AZ1422-'19_Расчет_аналитики'!AZ1450)*IF('01_Вводные'!$B$239="Да",MeanMinAge03+'19_Расчет_аналитики'!AZ1572*SUMIF(ThresholdAge03,"&lt;"&amp;'19_Расчет_аналитики'!AZ1572,WeightedRevAge03)-SUMIF(ThresholdAge03,"&lt;"&amp;'19_Расчет_аналитики'!AZ1572,WeightedMinAge03),MAX(CapacityAge03*'01_Вводные'!$B$218*'19_Расчет_аналитики'!AZ1572,MeanMinAge03)))</f>
        <v/>
      </c>
      <c r="BA1506">
        <f>IF(OR(('19_Расчет_аналитики'!BA1422-'19_Расчет_аналитики'!BA1450)=0,3&lt;='01_Вводные'!$B$297),0,('19_Расчет_аналитики'!BA1422-'19_Расчет_аналитики'!BA1450)*IF('01_Вводные'!$B$239="Да",MeanMinAge03+'19_Расчет_аналитики'!BA1572*SUMIF(ThresholdAge03,"&lt;"&amp;'19_Расчет_аналитики'!BA1572,WeightedRevAge03)-SUMIF(ThresholdAge03,"&lt;"&amp;'19_Расчет_аналитики'!BA1572,WeightedMinAge03),MAX(CapacityAge03*'01_Вводные'!$B$218*'19_Расчет_аналитики'!BA1572,MeanMinAge03)))</f>
        <v/>
      </c>
      <c r="BB1506">
        <f>IF(OR(('19_Расчет_аналитики'!BB1422-'19_Расчет_аналитики'!BB1450)=0,3&lt;='01_Вводные'!$B$297),0,('19_Расчет_аналитики'!BB1422-'19_Расчет_аналитики'!BB1450)*IF('01_Вводные'!$B$239="Да",MeanMinAge03+'19_Расчет_аналитики'!BB1572*SUMIF(ThresholdAge03,"&lt;"&amp;'19_Расчет_аналитики'!BB1572,WeightedRevAge03)-SUMIF(ThresholdAge03,"&lt;"&amp;'19_Расчет_аналитики'!BB1572,WeightedMinAge03),MAX(CapacityAge03*'01_Вводные'!$B$218*'19_Расчет_аналитики'!BB1572,MeanMinAge03)))</f>
        <v/>
      </c>
      <c r="BC1506">
        <f>IF(OR(('19_Расчет_аналитики'!BC1422-'19_Расчет_аналитики'!BC1450)=0,3&lt;='01_Вводные'!$B$297),0,('19_Расчет_аналитики'!BC1422-'19_Расчет_аналитики'!BC1450)*IF('01_Вводные'!$B$239="Да",MeanMinAge03+'19_Расчет_аналитики'!BC1572*SUMIF(ThresholdAge03,"&lt;"&amp;'19_Расчет_аналитики'!BC1572,WeightedRevAge03)-SUMIF(ThresholdAge03,"&lt;"&amp;'19_Расчет_аналитики'!BC1572,WeightedMinAge03),MAX(CapacityAge03*'01_Вводные'!$B$218*'19_Расчет_аналитики'!BC1572,MeanMinAge03)))</f>
        <v/>
      </c>
      <c r="BD1506">
        <f>IF(OR(('19_Расчет_аналитики'!BD1422-'19_Расчет_аналитики'!BD1450)=0,3&lt;='01_Вводные'!$B$297),0,('19_Расчет_аналитики'!BD1422-'19_Расчет_аналитики'!BD1450)*IF('01_Вводные'!$B$239="Да",MeanMinAge03+'19_Расчет_аналитики'!BD1572*SUMIF(ThresholdAge03,"&lt;"&amp;'19_Расчет_аналитики'!BD1572,WeightedRevAge03)-SUMIF(ThresholdAge03,"&lt;"&amp;'19_Расчет_аналитики'!BD1572,WeightedMinAge03),MAX(CapacityAge03*'01_Вводные'!$B$218*'19_Расчет_аналитики'!BD1572,MeanMinAge03)))</f>
        <v/>
      </c>
      <c r="BE1506">
        <f>IF(OR(('19_Расчет_аналитики'!BE1422-'19_Расчет_аналитики'!BE1450)=0,3&lt;='01_Вводные'!$B$297),0,('19_Расчет_аналитики'!BE1422-'19_Расчет_аналитики'!BE1450)*IF('01_Вводные'!$B$239="Да",MeanMinAge03+'19_Расчет_аналитики'!BE1572*SUMIF(ThresholdAge03,"&lt;"&amp;'19_Расчет_аналитики'!BE1572,WeightedRevAge03)-SUMIF(ThresholdAge03,"&lt;"&amp;'19_Расчет_аналитики'!BE1572,WeightedMinAge03),MAX(CapacityAge03*'01_Вводные'!$B$218*'19_Расчет_аналитики'!BE1572,MeanMinAge03)))</f>
        <v/>
      </c>
      <c r="BF1506">
        <f>IF(OR(('19_Расчет_аналитики'!BF1422-'19_Расчет_аналитики'!BF1450)=0,3&lt;='01_Вводные'!$B$297),0,('19_Расчет_аналитики'!BF1422-'19_Расчет_аналитики'!BF1450)*IF('01_Вводные'!$B$239="Да",MeanMinAge03+'19_Расчет_аналитики'!BF1572*SUMIF(ThresholdAge03,"&lt;"&amp;'19_Расчет_аналитики'!BF1572,WeightedRevAge03)-SUMIF(ThresholdAge03,"&lt;"&amp;'19_Расчет_аналитики'!BF1572,WeightedMinAge03),MAX(CapacityAge03*'01_Вводные'!$B$218*'19_Расчет_аналитики'!BF1572,MeanMinAge03)))</f>
        <v/>
      </c>
      <c r="BG1506">
        <f>IF(OR(('19_Расчет_аналитики'!BG1422-'19_Расчет_аналитики'!BG1450)=0,3&lt;='01_Вводные'!$B$297),0,('19_Расчет_аналитики'!BG1422-'19_Расчет_аналитики'!BG1450)*IF('01_Вводные'!$B$239="Да",MeanMinAge03+'19_Расчет_аналитики'!BG1572*SUMIF(ThresholdAge03,"&lt;"&amp;'19_Расчет_аналитики'!BG1572,WeightedRevAge03)-SUMIF(ThresholdAge03,"&lt;"&amp;'19_Расчет_аналитики'!BG1572,WeightedMinAge03),MAX(CapacityAge03*'01_Вводные'!$B$218*'19_Расчет_аналитики'!BG1572,MeanMinAge03)))</f>
        <v/>
      </c>
      <c r="BH1506">
        <f>IF(OR(('19_Расчет_аналитики'!BH1422-'19_Расчет_аналитики'!BH1450)=0,3&lt;='01_Вводные'!$B$297),0,('19_Расчет_аналитики'!BH1422-'19_Расчет_аналитики'!BH1450)*IF('01_Вводные'!$B$239="Да",MeanMinAge03+'19_Расчет_аналитики'!BH1572*SUMIF(ThresholdAge03,"&lt;"&amp;'19_Расчет_аналитики'!BH1572,WeightedRevAge03)-SUMIF(ThresholdAge03,"&lt;"&amp;'19_Расчет_аналитики'!BH1572,WeightedMinAge03),MAX(CapacityAge03*'01_Вводные'!$B$218*'19_Расчет_аналитики'!BH1572,MeanMinAge03)))</f>
        <v/>
      </c>
      <c r="BI1506">
        <f>IF(OR(('19_Расчет_аналитики'!BI1422-'19_Расчет_аналитики'!BI1450)=0,3&lt;='01_Вводные'!$B$297),0,('19_Расчет_аналитики'!BI1422-'19_Расчет_аналитики'!BI1450)*IF('01_Вводные'!$B$239="Да",MeanMinAge03+'19_Расчет_аналитики'!BI1572*SUMIF(ThresholdAge03,"&lt;"&amp;'19_Расчет_аналитики'!BI1572,WeightedRevAge03)-SUMIF(ThresholdAge03,"&lt;"&amp;'19_Расчет_аналитики'!BI1572,WeightedMinAge03),MAX(CapacityAge03*'01_Вводные'!$B$218*'19_Расчет_аналитики'!BI1572,MeanMinAge03)))</f>
        <v/>
      </c>
      <c r="BJ1506">
        <f>IF(OR(('19_Расчет_аналитики'!BJ1422-'19_Расчет_аналитики'!BJ1450)=0,3&lt;='01_Вводные'!$B$297),0,('19_Расчет_аналитики'!BJ1422-'19_Расчет_аналитики'!BJ1450)*IF('01_Вводные'!$B$239="Да",MeanMinAge03+'19_Расчет_аналитики'!BJ1572*SUMIF(ThresholdAge03,"&lt;"&amp;'19_Расчет_аналитики'!BJ1572,WeightedRevAge03)-SUMIF(ThresholdAge03,"&lt;"&amp;'19_Расчет_аналитики'!BJ1572,WeightedMinAge03),MAX(CapacityAge03*'01_Вводные'!$B$218*'19_Расчет_аналитики'!BJ1572,MeanMinAge03)))</f>
        <v/>
      </c>
      <c r="BK1506">
        <f>IF(OR(('19_Расчет_аналитики'!BK1422-'19_Расчет_аналитики'!BK1450)=0,3&lt;='01_Вводные'!$B$297),0,('19_Расчет_аналитики'!BK1422-'19_Расчет_аналитики'!BK1450)*IF('01_Вводные'!$B$239="Да",MeanMinAge03+'19_Расчет_аналитики'!BK1572*SUMIF(ThresholdAge03,"&lt;"&amp;'19_Расчет_аналитики'!BK1572,WeightedRevAge03)-SUMIF(ThresholdAge03,"&lt;"&amp;'19_Расчет_аналитики'!BK1572,WeightedMinAge03),MAX(CapacityAge03*'01_Вводные'!$B$218*'19_Расчет_аналитики'!BK1572,MeanMinAge03)))</f>
        <v/>
      </c>
      <c r="BL1506">
        <f>IF(OR(('19_Расчет_аналитики'!BL1422-'19_Расчет_аналитики'!BL1450)=0,3&lt;='01_Вводные'!$B$297),0,('19_Расчет_аналитики'!BL1422-'19_Расчет_аналитики'!BL1450)*IF('01_Вводные'!$B$239="Да",MeanMinAge03+'19_Расчет_аналитики'!BL1572*SUMIF(ThresholdAge03,"&lt;"&amp;'19_Расчет_аналитики'!BL1572,WeightedRevAge03)-SUMIF(ThresholdAge03,"&lt;"&amp;'19_Расчет_аналитики'!BL1572,WeightedMinAge03),MAX(CapacityAge03*'01_Вводные'!$B$218*'19_Расчет_аналитики'!BL1572,MeanMinAge03)))</f>
        <v/>
      </c>
      <c r="BM1506">
        <f>IF(OR(('19_Расчет_аналитики'!BM1422-'19_Расчет_аналитики'!BM1450)=0,3&lt;='01_Вводные'!$B$297),0,('19_Расчет_аналитики'!BM1422-'19_Расчет_аналитики'!BM1450)*IF('01_Вводные'!$B$239="Да",MeanMinAge03+'19_Расчет_аналитики'!BM1572*SUMIF(ThresholdAge03,"&lt;"&amp;'19_Расчет_аналитики'!BM1572,WeightedRevAge03)-SUMIF(ThresholdAge03,"&lt;"&amp;'19_Расчет_аналитики'!BM1572,WeightedMinAge03),MAX(CapacityAge03*'01_Вводные'!$B$218*'19_Расчет_аналитики'!BM1572,MeanMinAge03)))</f>
        <v/>
      </c>
      <c r="BN1506">
        <f>IF(OR(('19_Расчет_аналитики'!BN1422-'19_Расчет_аналитики'!BN1450)=0,3&lt;='01_Вводные'!$B$297),0,('19_Расчет_аналитики'!BN1422-'19_Расчет_аналитики'!BN1450)*IF('01_Вводные'!$B$239="Да",MeanMinAge03+'19_Расчет_аналитики'!BN1572*SUMIF(ThresholdAge03,"&lt;"&amp;'19_Расчет_аналитики'!BN1572,WeightedRevAge03)-SUMIF(ThresholdAge03,"&lt;"&amp;'19_Расчет_аналитики'!BN1572,WeightedMinAge03),MAX(CapacityAge03*'01_Вводные'!$B$218*'19_Расчет_аналитики'!BN1572,MeanMinAge03)))</f>
        <v/>
      </c>
      <c r="BO1506">
        <f>IF(OR(('19_Расчет_аналитики'!BO1422-'19_Расчет_аналитики'!BO1450)=0,3&lt;='01_Вводные'!$B$297),0,('19_Расчет_аналитики'!BO1422-'19_Расчет_аналитики'!BO1450)*IF('01_Вводные'!$B$239="Да",MeanMinAge03+'19_Расчет_аналитики'!BO1572*SUMIF(ThresholdAge03,"&lt;"&amp;'19_Расчет_аналитики'!BO1572,WeightedRevAge03)-SUMIF(ThresholdAge03,"&lt;"&amp;'19_Расчет_аналитики'!BO1572,WeightedMinAge03),MAX(CapacityAge03*'01_Вводные'!$B$218*'19_Расчет_аналитики'!BO1572,MeanMinAge03)))</f>
        <v/>
      </c>
    </row>
    <row r="1507">
      <c r="B1507">
        <f>IF(OR(('06_Сеть_и_дети'!B56-'06_Сеть_и_дети'!B84)=0,4&lt;='01_Вводные'!$B$297),0,('06_Сеть_и_дети'!B56-'06_Сеть_и_дети'!B84)*IF('01_Вводные'!$B$239="Да",MeanMinAge04+'19_Расчет_аналитики'!B1572*SUMIF(ThresholdAge04,"&lt;"&amp;'19_Расчет_аналитики'!B1572,WeightedRevAge04)-SUMIF(ThresholdAge04,"&lt;"&amp;'19_Расчет_аналитики'!B1572,WeightedMinAge04),MAX(CapacityAge04*'01_Вводные'!$B$218*'19_Расчет_аналитики'!B1572,MeanMinAge04)))</f>
        <v/>
      </c>
      <c r="C1507">
        <f>IF(OR(('06_Сеть_и_дети'!C56-'06_Сеть_и_дети'!C84)=0,4&lt;='01_Вводные'!$B$297),0,('06_Сеть_и_дети'!C56-'06_Сеть_и_дети'!C84)*IF('01_Вводные'!$B$239="Да",MeanMinAge04+'19_Расчет_аналитики'!C1572*SUMIF(ThresholdAge04,"&lt;"&amp;'19_Расчет_аналитики'!C1572,WeightedRevAge04)-SUMIF(ThresholdAge04,"&lt;"&amp;'19_Расчет_аналитики'!C1572,WeightedMinAge04),MAX(CapacityAge04*'01_Вводные'!$B$218*'19_Расчет_аналитики'!C1572,MeanMinAge04)))</f>
        <v/>
      </c>
      <c r="D1507">
        <f>IF(OR(('06_Сеть_и_дети'!D56-'06_Сеть_и_дети'!D84)=0,4&lt;='01_Вводные'!$B$297),0,('06_Сеть_и_дети'!D56-'06_Сеть_и_дети'!D84)*IF('01_Вводные'!$B$239="Да",MeanMinAge04+'19_Расчет_аналитики'!D1572*SUMIF(ThresholdAge04,"&lt;"&amp;'19_Расчет_аналитики'!D1572,WeightedRevAge04)-SUMIF(ThresholdAge04,"&lt;"&amp;'19_Расчет_аналитики'!D1572,WeightedMinAge04),MAX(CapacityAge04*'01_Вводные'!$B$218*'19_Расчет_аналитики'!D1572,MeanMinAge04)))</f>
        <v/>
      </c>
      <c r="E1507">
        <f>IF(OR(('19_Расчет_аналитики'!E1423-'19_Расчет_аналитики'!E1451)=0,4&lt;='01_Вводные'!$B$297),0,('19_Расчет_аналитики'!E1423-'19_Расчет_аналитики'!E1451)*IF('01_Вводные'!$B$239="Да",MeanMinAge04+'19_Расчет_аналитики'!E1572*SUMIF(ThresholdAge04,"&lt;"&amp;'19_Расчет_аналитики'!E1572,WeightedRevAge04)-SUMIF(ThresholdAge04,"&lt;"&amp;'19_Расчет_аналитики'!E1572,WeightedMinAge04),MAX(CapacityAge04*'01_Вводные'!$B$218*'19_Расчет_аналитики'!E1572,MeanMinAge04)))</f>
        <v/>
      </c>
      <c r="F1507">
        <f>IF(OR(('19_Расчет_аналитики'!F1423-'19_Расчет_аналитики'!F1451)=0,4&lt;='01_Вводные'!$B$297),0,('19_Расчет_аналитики'!F1423-'19_Расчет_аналитики'!F1451)*IF('01_Вводные'!$B$239="Да",MeanMinAge04+'19_Расчет_аналитики'!F1572*SUMIF(ThresholdAge04,"&lt;"&amp;'19_Расчет_аналитики'!F1572,WeightedRevAge04)-SUMIF(ThresholdAge04,"&lt;"&amp;'19_Расчет_аналитики'!F1572,WeightedMinAge04),MAX(CapacityAge04*'01_Вводные'!$B$218*'19_Расчет_аналитики'!F1572,MeanMinAge04)))</f>
        <v/>
      </c>
      <c r="G1507">
        <f>IF(OR(('19_Расчет_аналитики'!G1423-'19_Расчет_аналитики'!G1451)=0,4&lt;='01_Вводные'!$B$297),0,('19_Расчет_аналитики'!G1423-'19_Расчет_аналитики'!G1451)*IF('01_Вводные'!$B$239="Да",MeanMinAge04+'19_Расчет_аналитики'!G1572*SUMIF(ThresholdAge04,"&lt;"&amp;'19_Расчет_аналитики'!G1572,WeightedRevAge04)-SUMIF(ThresholdAge04,"&lt;"&amp;'19_Расчет_аналитики'!G1572,WeightedMinAge04),MAX(CapacityAge04*'01_Вводные'!$B$218*'19_Расчет_аналитики'!G1572,MeanMinAge04)))</f>
        <v/>
      </c>
      <c r="H1507">
        <f>IF(OR(('19_Расчет_аналитики'!H1423-'19_Расчет_аналитики'!H1451)=0,4&lt;='01_Вводные'!$B$297),0,('19_Расчет_аналитики'!H1423-'19_Расчет_аналитики'!H1451)*IF('01_Вводные'!$B$239="Да",MeanMinAge04+'19_Расчет_аналитики'!H1572*SUMIF(ThresholdAge04,"&lt;"&amp;'19_Расчет_аналитики'!H1572,WeightedRevAge04)-SUMIF(ThresholdAge04,"&lt;"&amp;'19_Расчет_аналитики'!H1572,WeightedMinAge04),MAX(CapacityAge04*'01_Вводные'!$B$218*'19_Расчет_аналитики'!H1572,MeanMinAge04)))</f>
        <v/>
      </c>
      <c r="I1507">
        <f>IF(OR(('19_Расчет_аналитики'!I1423-'19_Расчет_аналитики'!I1451)=0,4&lt;='01_Вводные'!$B$297),0,('19_Расчет_аналитики'!I1423-'19_Расчет_аналитики'!I1451)*IF('01_Вводные'!$B$239="Да",MeanMinAge04+'19_Расчет_аналитики'!I1572*SUMIF(ThresholdAge04,"&lt;"&amp;'19_Расчет_аналитики'!I1572,WeightedRevAge04)-SUMIF(ThresholdAge04,"&lt;"&amp;'19_Расчет_аналитики'!I1572,WeightedMinAge04),MAX(CapacityAge04*'01_Вводные'!$B$218*'19_Расчет_аналитики'!I1572,MeanMinAge04)))</f>
        <v/>
      </c>
      <c r="J1507">
        <f>IF(OR(('19_Расчет_аналитики'!J1423-'19_Расчет_аналитики'!J1451)=0,4&lt;='01_Вводные'!$B$297),0,('19_Расчет_аналитики'!J1423-'19_Расчет_аналитики'!J1451)*IF('01_Вводные'!$B$239="Да",MeanMinAge04+'19_Расчет_аналитики'!J1572*SUMIF(ThresholdAge04,"&lt;"&amp;'19_Расчет_аналитики'!J1572,WeightedRevAge04)-SUMIF(ThresholdAge04,"&lt;"&amp;'19_Расчет_аналитики'!J1572,WeightedMinAge04),MAX(CapacityAge04*'01_Вводные'!$B$218*'19_Расчет_аналитики'!J1572,MeanMinAge04)))</f>
        <v/>
      </c>
      <c r="K1507">
        <f>IF(OR(('19_Расчет_аналитики'!K1423-'19_Расчет_аналитики'!K1451)=0,4&lt;='01_Вводные'!$B$297),0,('19_Расчет_аналитики'!K1423-'19_Расчет_аналитики'!K1451)*IF('01_Вводные'!$B$239="Да",MeanMinAge04+'19_Расчет_аналитики'!K1572*SUMIF(ThresholdAge04,"&lt;"&amp;'19_Расчет_аналитики'!K1572,WeightedRevAge04)-SUMIF(ThresholdAge04,"&lt;"&amp;'19_Расчет_аналитики'!K1572,WeightedMinAge04),MAX(CapacityAge04*'01_Вводные'!$B$218*'19_Расчет_аналитики'!K1572,MeanMinAge04)))</f>
        <v/>
      </c>
      <c r="L1507">
        <f>IF(OR(('19_Расчет_аналитики'!L1423-'19_Расчет_аналитики'!L1451)=0,4&lt;='01_Вводные'!$B$297),0,('19_Расчет_аналитики'!L1423-'19_Расчет_аналитики'!L1451)*IF('01_Вводные'!$B$239="Да",MeanMinAge04+'19_Расчет_аналитики'!L1572*SUMIF(ThresholdAge04,"&lt;"&amp;'19_Расчет_аналитики'!L1572,WeightedRevAge04)-SUMIF(ThresholdAge04,"&lt;"&amp;'19_Расчет_аналитики'!L1572,WeightedMinAge04),MAX(CapacityAge04*'01_Вводные'!$B$218*'19_Расчет_аналитики'!L1572,MeanMinAge04)))</f>
        <v/>
      </c>
      <c r="M1507">
        <f>IF(OR(('19_Расчет_аналитики'!M1423-'19_Расчет_аналитики'!M1451)=0,4&lt;='01_Вводные'!$B$297),0,('19_Расчет_аналитики'!M1423-'19_Расчет_аналитики'!M1451)*IF('01_Вводные'!$B$239="Да",MeanMinAge04+'19_Расчет_аналитики'!M1572*SUMIF(ThresholdAge04,"&lt;"&amp;'19_Расчет_аналитики'!M1572,WeightedRevAge04)-SUMIF(ThresholdAge04,"&lt;"&amp;'19_Расчет_аналитики'!M1572,WeightedMinAge04),MAX(CapacityAge04*'01_Вводные'!$B$218*'19_Расчет_аналитики'!M1572,MeanMinAge04)))</f>
        <v/>
      </c>
      <c r="N1507">
        <f>IF(OR(('19_Расчет_аналитики'!N1423-'19_Расчет_аналитики'!N1451)=0,4&lt;='01_Вводные'!$B$297),0,('19_Расчет_аналитики'!N1423-'19_Расчет_аналитики'!N1451)*IF('01_Вводные'!$B$239="Да",MeanMinAge04+'19_Расчет_аналитики'!N1572*SUMIF(ThresholdAge04,"&lt;"&amp;'19_Расчет_аналитики'!N1572,WeightedRevAge04)-SUMIF(ThresholdAge04,"&lt;"&amp;'19_Расчет_аналитики'!N1572,WeightedMinAge04),MAX(CapacityAge04*'01_Вводные'!$B$218*'19_Расчет_аналитики'!N1572,MeanMinAge04)))</f>
        <v/>
      </c>
      <c r="O1507">
        <f>IF(OR(('19_Расчет_аналитики'!O1423-'19_Расчет_аналитики'!O1451)=0,4&lt;='01_Вводные'!$B$297),0,('19_Расчет_аналитики'!O1423-'19_Расчет_аналитики'!O1451)*IF('01_Вводные'!$B$239="Да",MeanMinAge04+'19_Расчет_аналитики'!O1572*SUMIF(ThresholdAge04,"&lt;"&amp;'19_Расчет_аналитики'!O1572,WeightedRevAge04)-SUMIF(ThresholdAge04,"&lt;"&amp;'19_Расчет_аналитики'!O1572,WeightedMinAge04),MAX(CapacityAge04*'01_Вводные'!$B$218*'19_Расчет_аналитики'!O1572,MeanMinAge04)))</f>
        <v/>
      </c>
      <c r="P1507">
        <f>IF(OR(('19_Расчет_аналитики'!P1423-'19_Расчет_аналитики'!P1451)=0,4&lt;='01_Вводные'!$B$297),0,('19_Расчет_аналитики'!P1423-'19_Расчет_аналитики'!P1451)*IF('01_Вводные'!$B$239="Да",MeanMinAge04+'19_Расчет_аналитики'!P1572*SUMIF(ThresholdAge04,"&lt;"&amp;'19_Расчет_аналитики'!P1572,WeightedRevAge04)-SUMIF(ThresholdAge04,"&lt;"&amp;'19_Расчет_аналитики'!P1572,WeightedMinAge04),MAX(CapacityAge04*'01_Вводные'!$B$218*'19_Расчет_аналитики'!P1572,MeanMinAge04)))</f>
        <v/>
      </c>
      <c r="Q1507">
        <f>IF(OR(('19_Расчет_аналитики'!Q1423-'19_Расчет_аналитики'!Q1451)=0,4&lt;='01_Вводные'!$B$297),0,('19_Расчет_аналитики'!Q1423-'19_Расчет_аналитики'!Q1451)*IF('01_Вводные'!$B$239="Да",MeanMinAge04+'19_Расчет_аналитики'!Q1572*SUMIF(ThresholdAge04,"&lt;"&amp;'19_Расчет_аналитики'!Q1572,WeightedRevAge04)-SUMIF(ThresholdAge04,"&lt;"&amp;'19_Расчет_аналитики'!Q1572,WeightedMinAge04),MAX(CapacityAge04*'01_Вводные'!$B$218*'19_Расчет_аналитики'!Q1572,MeanMinAge04)))</f>
        <v/>
      </c>
      <c r="R1507">
        <f>IF(OR(('19_Расчет_аналитики'!R1423-'19_Расчет_аналитики'!R1451)=0,4&lt;='01_Вводные'!$B$297),0,('19_Расчет_аналитики'!R1423-'19_Расчет_аналитики'!R1451)*IF('01_Вводные'!$B$239="Да",MeanMinAge04+'19_Расчет_аналитики'!R1572*SUMIF(ThresholdAge04,"&lt;"&amp;'19_Расчет_аналитики'!R1572,WeightedRevAge04)-SUMIF(ThresholdAge04,"&lt;"&amp;'19_Расчет_аналитики'!R1572,WeightedMinAge04),MAX(CapacityAge04*'01_Вводные'!$B$218*'19_Расчет_аналитики'!R1572,MeanMinAge04)))</f>
        <v/>
      </c>
      <c r="S1507">
        <f>IF(OR(('19_Расчет_аналитики'!S1423-'19_Расчет_аналитики'!S1451)=0,4&lt;='01_Вводные'!$B$297),0,('19_Расчет_аналитики'!S1423-'19_Расчет_аналитики'!S1451)*IF('01_Вводные'!$B$239="Да",MeanMinAge04+'19_Расчет_аналитики'!S1572*SUMIF(ThresholdAge04,"&lt;"&amp;'19_Расчет_аналитики'!S1572,WeightedRevAge04)-SUMIF(ThresholdAge04,"&lt;"&amp;'19_Расчет_аналитики'!S1572,WeightedMinAge04),MAX(CapacityAge04*'01_Вводные'!$B$218*'19_Расчет_аналитики'!S1572,MeanMinAge04)))</f>
        <v/>
      </c>
      <c r="T1507">
        <f>IF(OR(('19_Расчет_аналитики'!T1423-'19_Расчет_аналитики'!T1451)=0,4&lt;='01_Вводные'!$B$297),0,('19_Расчет_аналитики'!T1423-'19_Расчет_аналитики'!T1451)*IF('01_Вводные'!$B$239="Да",MeanMinAge04+'19_Расчет_аналитики'!T1572*SUMIF(ThresholdAge04,"&lt;"&amp;'19_Расчет_аналитики'!T1572,WeightedRevAge04)-SUMIF(ThresholdAge04,"&lt;"&amp;'19_Расчет_аналитики'!T1572,WeightedMinAge04),MAX(CapacityAge04*'01_Вводные'!$B$218*'19_Расчет_аналитики'!T1572,MeanMinAge04)))</f>
        <v/>
      </c>
      <c r="U1507">
        <f>IF(OR(('19_Расчет_аналитики'!U1423-'19_Расчет_аналитики'!U1451)=0,4&lt;='01_Вводные'!$B$297),0,('19_Расчет_аналитики'!U1423-'19_Расчет_аналитики'!U1451)*IF('01_Вводные'!$B$239="Да",MeanMinAge04+'19_Расчет_аналитики'!U1572*SUMIF(ThresholdAge04,"&lt;"&amp;'19_Расчет_аналитики'!U1572,WeightedRevAge04)-SUMIF(ThresholdAge04,"&lt;"&amp;'19_Расчет_аналитики'!U1572,WeightedMinAge04),MAX(CapacityAge04*'01_Вводные'!$B$218*'19_Расчет_аналитики'!U1572,MeanMinAge04)))</f>
        <v/>
      </c>
      <c r="V1507">
        <f>IF(OR(('19_Расчет_аналитики'!V1423-'19_Расчет_аналитики'!V1451)=0,4&lt;='01_Вводные'!$B$297),0,('19_Расчет_аналитики'!V1423-'19_Расчет_аналитики'!V1451)*IF('01_Вводные'!$B$239="Да",MeanMinAge04+'19_Расчет_аналитики'!V1572*SUMIF(ThresholdAge04,"&lt;"&amp;'19_Расчет_аналитики'!V1572,WeightedRevAge04)-SUMIF(ThresholdAge04,"&lt;"&amp;'19_Расчет_аналитики'!V1572,WeightedMinAge04),MAX(CapacityAge04*'01_Вводные'!$B$218*'19_Расчет_аналитики'!V1572,MeanMinAge04)))</f>
        <v/>
      </c>
      <c r="W1507">
        <f>IF(OR(('19_Расчет_аналитики'!W1423-'19_Расчет_аналитики'!W1451)=0,4&lt;='01_Вводные'!$B$297),0,('19_Расчет_аналитики'!W1423-'19_Расчет_аналитики'!W1451)*IF('01_Вводные'!$B$239="Да",MeanMinAge04+'19_Расчет_аналитики'!W1572*SUMIF(ThresholdAge04,"&lt;"&amp;'19_Расчет_аналитики'!W1572,WeightedRevAge04)-SUMIF(ThresholdAge04,"&lt;"&amp;'19_Расчет_аналитики'!W1572,WeightedMinAge04),MAX(CapacityAge04*'01_Вводные'!$B$218*'19_Расчет_аналитики'!W1572,MeanMinAge04)))</f>
        <v/>
      </c>
      <c r="X1507">
        <f>IF(OR(('19_Расчет_аналитики'!X1423-'19_Расчет_аналитики'!X1451)=0,4&lt;='01_Вводные'!$B$297),0,('19_Расчет_аналитики'!X1423-'19_Расчет_аналитики'!X1451)*IF('01_Вводные'!$B$239="Да",MeanMinAge04+'19_Расчет_аналитики'!X1572*SUMIF(ThresholdAge04,"&lt;"&amp;'19_Расчет_аналитики'!X1572,WeightedRevAge04)-SUMIF(ThresholdAge04,"&lt;"&amp;'19_Расчет_аналитики'!X1572,WeightedMinAge04),MAX(CapacityAge04*'01_Вводные'!$B$218*'19_Расчет_аналитики'!X1572,MeanMinAge04)))</f>
        <v/>
      </c>
      <c r="Y1507">
        <f>IF(OR(('19_Расчет_аналитики'!Y1423-'19_Расчет_аналитики'!Y1451)=0,4&lt;='01_Вводные'!$B$297),0,('19_Расчет_аналитики'!Y1423-'19_Расчет_аналитики'!Y1451)*IF('01_Вводные'!$B$239="Да",MeanMinAge04+'19_Расчет_аналитики'!Y1572*SUMIF(ThresholdAge04,"&lt;"&amp;'19_Расчет_аналитики'!Y1572,WeightedRevAge04)-SUMIF(ThresholdAge04,"&lt;"&amp;'19_Расчет_аналитики'!Y1572,WeightedMinAge04),MAX(CapacityAge04*'01_Вводные'!$B$218*'19_Расчет_аналитики'!Y1572,MeanMinAge04)))</f>
        <v/>
      </c>
      <c r="Z1507">
        <f>IF(OR(('19_Расчет_аналитики'!Z1423-'19_Расчет_аналитики'!Z1451)=0,4&lt;='01_Вводные'!$B$297),0,('19_Расчет_аналитики'!Z1423-'19_Расчет_аналитики'!Z1451)*IF('01_Вводные'!$B$239="Да",MeanMinAge04+'19_Расчет_аналитики'!Z1572*SUMIF(ThresholdAge04,"&lt;"&amp;'19_Расчет_аналитики'!Z1572,WeightedRevAge04)-SUMIF(ThresholdAge04,"&lt;"&amp;'19_Расчет_аналитики'!Z1572,WeightedMinAge04),MAX(CapacityAge04*'01_Вводные'!$B$218*'19_Расчет_аналитики'!Z1572,MeanMinAge04)))</f>
        <v/>
      </c>
      <c r="AA1507">
        <f>IF(OR(('19_Расчет_аналитики'!AA1423-'19_Расчет_аналитики'!AA1451)=0,4&lt;='01_Вводные'!$B$297),0,('19_Расчет_аналитики'!AA1423-'19_Расчет_аналитики'!AA1451)*IF('01_Вводные'!$B$239="Да",MeanMinAge04+'19_Расчет_аналитики'!AA1572*SUMIF(ThresholdAge04,"&lt;"&amp;'19_Расчет_аналитики'!AA1572,WeightedRevAge04)-SUMIF(ThresholdAge04,"&lt;"&amp;'19_Расчет_аналитики'!AA1572,WeightedMinAge04),MAX(CapacityAge04*'01_Вводные'!$B$218*'19_Расчет_аналитики'!AA1572,MeanMinAge04)))</f>
        <v/>
      </c>
      <c r="AB1507">
        <f>IF(OR(('19_Расчет_аналитики'!AB1423-'19_Расчет_аналитики'!AB1451)=0,4&lt;='01_Вводные'!$B$297),0,('19_Расчет_аналитики'!AB1423-'19_Расчет_аналитики'!AB1451)*IF('01_Вводные'!$B$239="Да",MeanMinAge04+'19_Расчет_аналитики'!AB1572*SUMIF(ThresholdAge04,"&lt;"&amp;'19_Расчет_аналитики'!AB1572,WeightedRevAge04)-SUMIF(ThresholdAge04,"&lt;"&amp;'19_Расчет_аналитики'!AB1572,WeightedMinAge04),MAX(CapacityAge04*'01_Вводные'!$B$218*'19_Расчет_аналитики'!AB1572,MeanMinAge04)))</f>
        <v/>
      </c>
      <c r="AC1507">
        <f>IF(OR(('19_Расчет_аналитики'!AC1423-'19_Расчет_аналитики'!AC1451)=0,4&lt;='01_Вводные'!$B$297),0,('19_Расчет_аналитики'!AC1423-'19_Расчет_аналитики'!AC1451)*IF('01_Вводные'!$B$239="Да",MeanMinAge04+'19_Расчет_аналитики'!AC1572*SUMIF(ThresholdAge04,"&lt;"&amp;'19_Расчет_аналитики'!AC1572,WeightedRevAge04)-SUMIF(ThresholdAge04,"&lt;"&amp;'19_Расчет_аналитики'!AC1572,WeightedMinAge04),MAX(CapacityAge04*'01_Вводные'!$B$218*'19_Расчет_аналитики'!AC1572,MeanMinAge04)))</f>
        <v/>
      </c>
      <c r="AD1507">
        <f>IF(OR(('19_Расчет_аналитики'!AD1423-'19_Расчет_аналитики'!AD1451)=0,4&lt;='01_Вводные'!$B$297),0,('19_Расчет_аналитики'!AD1423-'19_Расчет_аналитики'!AD1451)*IF('01_Вводные'!$B$239="Да",MeanMinAge04+'19_Расчет_аналитики'!AD1572*SUMIF(ThresholdAge04,"&lt;"&amp;'19_Расчет_аналитики'!AD1572,WeightedRevAge04)-SUMIF(ThresholdAge04,"&lt;"&amp;'19_Расчет_аналитики'!AD1572,WeightedMinAge04),MAX(CapacityAge04*'01_Вводные'!$B$218*'19_Расчет_аналитики'!AD1572,MeanMinAge04)))</f>
        <v/>
      </c>
      <c r="AE1507">
        <f>IF(OR(('19_Расчет_аналитики'!AE1423-'19_Расчет_аналитики'!AE1451)=0,4&lt;='01_Вводные'!$B$297),0,('19_Расчет_аналитики'!AE1423-'19_Расчет_аналитики'!AE1451)*IF('01_Вводные'!$B$239="Да",MeanMinAge04+'19_Расчет_аналитики'!AE1572*SUMIF(ThresholdAge04,"&lt;"&amp;'19_Расчет_аналитики'!AE1572,WeightedRevAge04)-SUMIF(ThresholdAge04,"&lt;"&amp;'19_Расчет_аналитики'!AE1572,WeightedMinAge04),MAX(CapacityAge04*'01_Вводные'!$B$218*'19_Расчет_аналитики'!AE1572,MeanMinAge04)))</f>
        <v/>
      </c>
      <c r="AF1507">
        <f>IF(OR(('19_Расчет_аналитики'!AF1423-'19_Расчет_аналитики'!AF1451)=0,4&lt;='01_Вводные'!$B$297),0,('19_Расчет_аналитики'!AF1423-'19_Расчет_аналитики'!AF1451)*IF('01_Вводные'!$B$239="Да",MeanMinAge04+'19_Расчет_аналитики'!AF1572*SUMIF(ThresholdAge04,"&lt;"&amp;'19_Расчет_аналитики'!AF1572,WeightedRevAge04)-SUMIF(ThresholdAge04,"&lt;"&amp;'19_Расчет_аналитики'!AF1572,WeightedMinAge04),MAX(CapacityAge04*'01_Вводные'!$B$218*'19_Расчет_аналитики'!AF1572,MeanMinAge04)))</f>
        <v/>
      </c>
      <c r="AG1507">
        <f>IF(OR(('19_Расчет_аналитики'!AG1423-'19_Расчет_аналитики'!AG1451)=0,4&lt;='01_Вводные'!$B$297),0,('19_Расчет_аналитики'!AG1423-'19_Расчет_аналитики'!AG1451)*IF('01_Вводные'!$B$239="Да",MeanMinAge04+'19_Расчет_аналитики'!AG1572*SUMIF(ThresholdAge04,"&lt;"&amp;'19_Расчет_аналитики'!AG1572,WeightedRevAge04)-SUMIF(ThresholdAge04,"&lt;"&amp;'19_Расчет_аналитики'!AG1572,WeightedMinAge04),MAX(CapacityAge04*'01_Вводные'!$B$218*'19_Расчет_аналитики'!AG1572,MeanMinAge04)))</f>
        <v/>
      </c>
      <c r="AH1507">
        <f>IF(OR(('19_Расчет_аналитики'!AH1423-'19_Расчет_аналитики'!AH1451)=0,4&lt;='01_Вводные'!$B$297),0,('19_Расчет_аналитики'!AH1423-'19_Расчет_аналитики'!AH1451)*IF('01_Вводные'!$B$239="Да",MeanMinAge04+'19_Расчет_аналитики'!AH1572*SUMIF(ThresholdAge04,"&lt;"&amp;'19_Расчет_аналитики'!AH1572,WeightedRevAge04)-SUMIF(ThresholdAge04,"&lt;"&amp;'19_Расчет_аналитики'!AH1572,WeightedMinAge04),MAX(CapacityAge04*'01_Вводные'!$B$218*'19_Расчет_аналитики'!AH1572,MeanMinAge04)))</f>
        <v/>
      </c>
      <c r="AI1507">
        <f>IF(OR(('19_Расчет_аналитики'!AI1423-'19_Расчет_аналитики'!AI1451)=0,4&lt;='01_Вводные'!$B$297),0,('19_Расчет_аналитики'!AI1423-'19_Расчет_аналитики'!AI1451)*IF('01_Вводные'!$B$239="Да",MeanMinAge04+'19_Расчет_аналитики'!AI1572*SUMIF(ThresholdAge04,"&lt;"&amp;'19_Расчет_аналитики'!AI1572,WeightedRevAge04)-SUMIF(ThresholdAge04,"&lt;"&amp;'19_Расчет_аналитики'!AI1572,WeightedMinAge04),MAX(CapacityAge04*'01_Вводные'!$B$218*'19_Расчет_аналитики'!AI1572,MeanMinAge04)))</f>
        <v/>
      </c>
      <c r="AJ1507">
        <f>IF(OR(('19_Расчет_аналитики'!AJ1423-'19_Расчет_аналитики'!AJ1451)=0,4&lt;='01_Вводные'!$B$297),0,('19_Расчет_аналитики'!AJ1423-'19_Расчет_аналитики'!AJ1451)*IF('01_Вводные'!$B$239="Да",MeanMinAge04+'19_Расчет_аналитики'!AJ1572*SUMIF(ThresholdAge04,"&lt;"&amp;'19_Расчет_аналитики'!AJ1572,WeightedRevAge04)-SUMIF(ThresholdAge04,"&lt;"&amp;'19_Расчет_аналитики'!AJ1572,WeightedMinAge04),MAX(CapacityAge04*'01_Вводные'!$B$218*'19_Расчет_аналитики'!AJ1572,MeanMinAge04)))</f>
        <v/>
      </c>
      <c r="AK1507">
        <f>IF(OR(('19_Расчет_аналитики'!AK1423-'19_Расчет_аналитики'!AK1451)=0,4&lt;='01_Вводные'!$B$297),0,('19_Расчет_аналитики'!AK1423-'19_Расчет_аналитики'!AK1451)*IF('01_Вводные'!$B$239="Да",MeanMinAge04+'19_Расчет_аналитики'!AK1572*SUMIF(ThresholdAge04,"&lt;"&amp;'19_Расчет_аналитики'!AK1572,WeightedRevAge04)-SUMIF(ThresholdAge04,"&lt;"&amp;'19_Расчет_аналитики'!AK1572,WeightedMinAge04),MAX(CapacityAge04*'01_Вводные'!$B$218*'19_Расчет_аналитики'!AK1572,MeanMinAge04)))</f>
        <v/>
      </c>
      <c r="AL1507">
        <f>IF(OR(('19_Расчет_аналитики'!AL1423-'19_Расчет_аналитики'!AL1451)=0,4&lt;='01_Вводные'!$B$297),0,('19_Расчет_аналитики'!AL1423-'19_Расчет_аналитики'!AL1451)*IF('01_Вводные'!$B$239="Да",MeanMinAge04+'19_Расчет_аналитики'!AL1572*SUMIF(ThresholdAge04,"&lt;"&amp;'19_Расчет_аналитики'!AL1572,WeightedRevAge04)-SUMIF(ThresholdAge04,"&lt;"&amp;'19_Расчет_аналитики'!AL1572,WeightedMinAge04),MAX(CapacityAge04*'01_Вводные'!$B$218*'19_Расчет_аналитики'!AL1572,MeanMinAge04)))</f>
        <v/>
      </c>
      <c r="AM1507">
        <f>IF(OR(('19_Расчет_аналитики'!AM1423-'19_Расчет_аналитики'!AM1451)=0,4&lt;='01_Вводные'!$B$297),0,('19_Расчет_аналитики'!AM1423-'19_Расчет_аналитики'!AM1451)*IF('01_Вводные'!$B$239="Да",MeanMinAge04+'19_Расчет_аналитики'!AM1572*SUMIF(ThresholdAge04,"&lt;"&amp;'19_Расчет_аналитики'!AM1572,WeightedRevAge04)-SUMIF(ThresholdAge04,"&lt;"&amp;'19_Расчет_аналитики'!AM1572,WeightedMinAge04),MAX(CapacityAge04*'01_Вводные'!$B$218*'19_Расчет_аналитики'!AM1572,MeanMinAge04)))</f>
        <v/>
      </c>
      <c r="AN1507">
        <f>IF(OR(('19_Расчет_аналитики'!AN1423-'19_Расчет_аналитики'!AN1451)=0,4&lt;='01_Вводные'!$B$297),0,('19_Расчет_аналитики'!AN1423-'19_Расчет_аналитики'!AN1451)*IF('01_Вводные'!$B$239="Да",MeanMinAge04+'19_Расчет_аналитики'!AN1572*SUMIF(ThresholdAge04,"&lt;"&amp;'19_Расчет_аналитики'!AN1572,WeightedRevAge04)-SUMIF(ThresholdAge04,"&lt;"&amp;'19_Расчет_аналитики'!AN1572,WeightedMinAge04),MAX(CapacityAge04*'01_Вводные'!$B$218*'19_Расчет_аналитики'!AN1572,MeanMinAge04)))</f>
        <v/>
      </c>
      <c r="AO1507">
        <f>IF(OR(('19_Расчет_аналитики'!AO1423-'19_Расчет_аналитики'!AO1451)=0,4&lt;='01_Вводные'!$B$297),0,('19_Расчет_аналитики'!AO1423-'19_Расчет_аналитики'!AO1451)*IF('01_Вводные'!$B$239="Да",MeanMinAge04+'19_Расчет_аналитики'!AO1572*SUMIF(ThresholdAge04,"&lt;"&amp;'19_Расчет_аналитики'!AO1572,WeightedRevAge04)-SUMIF(ThresholdAge04,"&lt;"&amp;'19_Расчет_аналитики'!AO1572,WeightedMinAge04),MAX(CapacityAge04*'01_Вводные'!$B$218*'19_Расчет_аналитики'!AO1572,MeanMinAge04)))</f>
        <v/>
      </c>
      <c r="AP1507">
        <f>IF(OR(('19_Расчет_аналитики'!AP1423-'19_Расчет_аналитики'!AP1451)=0,4&lt;='01_Вводные'!$B$297),0,('19_Расчет_аналитики'!AP1423-'19_Расчет_аналитики'!AP1451)*IF('01_Вводные'!$B$239="Да",MeanMinAge04+'19_Расчет_аналитики'!AP1572*SUMIF(ThresholdAge04,"&lt;"&amp;'19_Расчет_аналитики'!AP1572,WeightedRevAge04)-SUMIF(ThresholdAge04,"&lt;"&amp;'19_Расчет_аналитики'!AP1572,WeightedMinAge04),MAX(CapacityAge04*'01_Вводные'!$B$218*'19_Расчет_аналитики'!AP1572,MeanMinAge04)))</f>
        <v/>
      </c>
      <c r="AQ1507">
        <f>IF(OR(('19_Расчет_аналитики'!AQ1423-'19_Расчет_аналитики'!AQ1451)=0,4&lt;='01_Вводные'!$B$297),0,('19_Расчет_аналитики'!AQ1423-'19_Расчет_аналитики'!AQ1451)*IF('01_Вводные'!$B$239="Да",MeanMinAge04+'19_Расчет_аналитики'!AQ1572*SUMIF(ThresholdAge04,"&lt;"&amp;'19_Расчет_аналитики'!AQ1572,WeightedRevAge04)-SUMIF(ThresholdAge04,"&lt;"&amp;'19_Расчет_аналитики'!AQ1572,WeightedMinAge04),MAX(CapacityAge04*'01_Вводные'!$B$218*'19_Расчет_аналитики'!AQ1572,MeanMinAge04)))</f>
        <v/>
      </c>
      <c r="AR1507">
        <f>IF(OR(('19_Расчет_аналитики'!AR1423-'19_Расчет_аналитики'!AR1451)=0,4&lt;='01_Вводные'!$B$297),0,('19_Расчет_аналитики'!AR1423-'19_Расчет_аналитики'!AR1451)*IF('01_Вводные'!$B$239="Да",MeanMinAge04+'19_Расчет_аналитики'!AR1572*SUMIF(ThresholdAge04,"&lt;"&amp;'19_Расчет_аналитики'!AR1572,WeightedRevAge04)-SUMIF(ThresholdAge04,"&lt;"&amp;'19_Расчет_аналитики'!AR1572,WeightedMinAge04),MAX(CapacityAge04*'01_Вводные'!$B$218*'19_Расчет_аналитики'!AR1572,MeanMinAge04)))</f>
        <v/>
      </c>
      <c r="AS1507">
        <f>IF(OR(('19_Расчет_аналитики'!AS1423-'19_Расчет_аналитики'!AS1451)=0,4&lt;='01_Вводные'!$B$297),0,('19_Расчет_аналитики'!AS1423-'19_Расчет_аналитики'!AS1451)*IF('01_Вводные'!$B$239="Да",MeanMinAge04+'19_Расчет_аналитики'!AS1572*SUMIF(ThresholdAge04,"&lt;"&amp;'19_Расчет_аналитики'!AS1572,WeightedRevAge04)-SUMIF(ThresholdAge04,"&lt;"&amp;'19_Расчет_аналитики'!AS1572,WeightedMinAge04),MAX(CapacityAge04*'01_Вводные'!$B$218*'19_Расчет_аналитики'!AS1572,MeanMinAge04)))</f>
        <v/>
      </c>
      <c r="AT1507">
        <f>IF(OR(('19_Расчет_аналитики'!AT1423-'19_Расчет_аналитики'!AT1451)=0,4&lt;='01_Вводные'!$B$297),0,('19_Расчет_аналитики'!AT1423-'19_Расчет_аналитики'!AT1451)*IF('01_Вводные'!$B$239="Да",MeanMinAge04+'19_Расчет_аналитики'!AT1572*SUMIF(ThresholdAge04,"&lt;"&amp;'19_Расчет_аналитики'!AT1572,WeightedRevAge04)-SUMIF(ThresholdAge04,"&lt;"&amp;'19_Расчет_аналитики'!AT1572,WeightedMinAge04),MAX(CapacityAge04*'01_Вводные'!$B$218*'19_Расчет_аналитики'!AT1572,MeanMinAge04)))</f>
        <v/>
      </c>
      <c r="AU1507">
        <f>IF(OR(('19_Расчет_аналитики'!AU1423-'19_Расчет_аналитики'!AU1451)=0,4&lt;='01_Вводные'!$B$297),0,('19_Расчет_аналитики'!AU1423-'19_Расчет_аналитики'!AU1451)*IF('01_Вводные'!$B$239="Да",MeanMinAge04+'19_Расчет_аналитики'!AU1572*SUMIF(ThresholdAge04,"&lt;"&amp;'19_Расчет_аналитики'!AU1572,WeightedRevAge04)-SUMIF(ThresholdAge04,"&lt;"&amp;'19_Расчет_аналитики'!AU1572,WeightedMinAge04),MAX(CapacityAge04*'01_Вводные'!$B$218*'19_Расчет_аналитики'!AU1572,MeanMinAge04)))</f>
        <v/>
      </c>
      <c r="AV1507">
        <f>IF(OR(('19_Расчет_аналитики'!AV1423-'19_Расчет_аналитики'!AV1451)=0,4&lt;='01_Вводные'!$B$297),0,('19_Расчет_аналитики'!AV1423-'19_Расчет_аналитики'!AV1451)*IF('01_Вводные'!$B$239="Да",MeanMinAge04+'19_Расчет_аналитики'!AV1572*SUMIF(ThresholdAge04,"&lt;"&amp;'19_Расчет_аналитики'!AV1572,WeightedRevAge04)-SUMIF(ThresholdAge04,"&lt;"&amp;'19_Расчет_аналитики'!AV1572,WeightedMinAge04),MAX(CapacityAge04*'01_Вводные'!$B$218*'19_Расчет_аналитики'!AV1572,MeanMinAge04)))</f>
        <v/>
      </c>
      <c r="AW1507">
        <f>IF(OR(('19_Расчет_аналитики'!AW1423-'19_Расчет_аналитики'!AW1451)=0,4&lt;='01_Вводные'!$B$297),0,('19_Расчет_аналитики'!AW1423-'19_Расчет_аналитики'!AW1451)*IF('01_Вводные'!$B$239="Да",MeanMinAge04+'19_Расчет_аналитики'!AW1572*SUMIF(ThresholdAge04,"&lt;"&amp;'19_Расчет_аналитики'!AW1572,WeightedRevAge04)-SUMIF(ThresholdAge04,"&lt;"&amp;'19_Расчет_аналитики'!AW1572,WeightedMinAge04),MAX(CapacityAge04*'01_Вводные'!$B$218*'19_Расчет_аналитики'!AW1572,MeanMinAge04)))</f>
        <v/>
      </c>
      <c r="AX1507">
        <f>IF(OR(('19_Расчет_аналитики'!AX1423-'19_Расчет_аналитики'!AX1451)=0,4&lt;='01_Вводные'!$B$297),0,('19_Расчет_аналитики'!AX1423-'19_Расчет_аналитики'!AX1451)*IF('01_Вводные'!$B$239="Да",MeanMinAge04+'19_Расчет_аналитики'!AX1572*SUMIF(ThresholdAge04,"&lt;"&amp;'19_Расчет_аналитики'!AX1572,WeightedRevAge04)-SUMIF(ThresholdAge04,"&lt;"&amp;'19_Расчет_аналитики'!AX1572,WeightedMinAge04),MAX(CapacityAge04*'01_Вводные'!$B$218*'19_Расчет_аналитики'!AX1572,MeanMinAge04)))</f>
        <v/>
      </c>
      <c r="AY1507">
        <f>IF(OR(('19_Расчет_аналитики'!AY1423-'19_Расчет_аналитики'!AY1451)=0,4&lt;='01_Вводные'!$B$297),0,('19_Расчет_аналитики'!AY1423-'19_Расчет_аналитики'!AY1451)*IF('01_Вводные'!$B$239="Да",MeanMinAge04+'19_Расчет_аналитики'!AY1572*SUMIF(ThresholdAge04,"&lt;"&amp;'19_Расчет_аналитики'!AY1572,WeightedRevAge04)-SUMIF(ThresholdAge04,"&lt;"&amp;'19_Расчет_аналитики'!AY1572,WeightedMinAge04),MAX(CapacityAge04*'01_Вводные'!$B$218*'19_Расчет_аналитики'!AY1572,MeanMinAge04)))</f>
        <v/>
      </c>
      <c r="AZ1507">
        <f>IF(OR(('19_Расчет_аналитики'!AZ1423-'19_Расчет_аналитики'!AZ1451)=0,4&lt;='01_Вводные'!$B$297),0,('19_Расчет_аналитики'!AZ1423-'19_Расчет_аналитики'!AZ1451)*IF('01_Вводные'!$B$239="Да",MeanMinAge04+'19_Расчет_аналитики'!AZ1572*SUMIF(ThresholdAge04,"&lt;"&amp;'19_Расчет_аналитики'!AZ1572,WeightedRevAge04)-SUMIF(ThresholdAge04,"&lt;"&amp;'19_Расчет_аналитики'!AZ1572,WeightedMinAge04),MAX(CapacityAge04*'01_Вводные'!$B$218*'19_Расчет_аналитики'!AZ1572,MeanMinAge04)))</f>
        <v/>
      </c>
      <c r="BA1507">
        <f>IF(OR(('19_Расчет_аналитики'!BA1423-'19_Расчет_аналитики'!BA1451)=0,4&lt;='01_Вводные'!$B$297),0,('19_Расчет_аналитики'!BA1423-'19_Расчет_аналитики'!BA1451)*IF('01_Вводные'!$B$239="Да",MeanMinAge04+'19_Расчет_аналитики'!BA1572*SUMIF(ThresholdAge04,"&lt;"&amp;'19_Расчет_аналитики'!BA1572,WeightedRevAge04)-SUMIF(ThresholdAge04,"&lt;"&amp;'19_Расчет_аналитики'!BA1572,WeightedMinAge04),MAX(CapacityAge04*'01_Вводные'!$B$218*'19_Расчет_аналитики'!BA1572,MeanMinAge04)))</f>
        <v/>
      </c>
      <c r="BB1507">
        <f>IF(OR(('19_Расчет_аналитики'!BB1423-'19_Расчет_аналитики'!BB1451)=0,4&lt;='01_Вводные'!$B$297),0,('19_Расчет_аналитики'!BB1423-'19_Расчет_аналитики'!BB1451)*IF('01_Вводные'!$B$239="Да",MeanMinAge04+'19_Расчет_аналитики'!BB1572*SUMIF(ThresholdAge04,"&lt;"&amp;'19_Расчет_аналитики'!BB1572,WeightedRevAge04)-SUMIF(ThresholdAge04,"&lt;"&amp;'19_Расчет_аналитики'!BB1572,WeightedMinAge04),MAX(CapacityAge04*'01_Вводные'!$B$218*'19_Расчет_аналитики'!BB1572,MeanMinAge04)))</f>
        <v/>
      </c>
      <c r="BC1507">
        <f>IF(OR(('19_Расчет_аналитики'!BC1423-'19_Расчет_аналитики'!BC1451)=0,4&lt;='01_Вводные'!$B$297),0,('19_Расчет_аналитики'!BC1423-'19_Расчет_аналитики'!BC1451)*IF('01_Вводные'!$B$239="Да",MeanMinAge04+'19_Расчет_аналитики'!BC1572*SUMIF(ThresholdAge04,"&lt;"&amp;'19_Расчет_аналитики'!BC1572,WeightedRevAge04)-SUMIF(ThresholdAge04,"&lt;"&amp;'19_Расчет_аналитики'!BC1572,WeightedMinAge04),MAX(CapacityAge04*'01_Вводные'!$B$218*'19_Расчет_аналитики'!BC1572,MeanMinAge04)))</f>
        <v/>
      </c>
      <c r="BD1507">
        <f>IF(OR(('19_Расчет_аналитики'!BD1423-'19_Расчет_аналитики'!BD1451)=0,4&lt;='01_Вводные'!$B$297),0,('19_Расчет_аналитики'!BD1423-'19_Расчет_аналитики'!BD1451)*IF('01_Вводные'!$B$239="Да",MeanMinAge04+'19_Расчет_аналитики'!BD1572*SUMIF(ThresholdAge04,"&lt;"&amp;'19_Расчет_аналитики'!BD1572,WeightedRevAge04)-SUMIF(ThresholdAge04,"&lt;"&amp;'19_Расчет_аналитики'!BD1572,WeightedMinAge04),MAX(CapacityAge04*'01_Вводные'!$B$218*'19_Расчет_аналитики'!BD1572,MeanMinAge04)))</f>
        <v/>
      </c>
      <c r="BE1507">
        <f>IF(OR(('19_Расчет_аналитики'!BE1423-'19_Расчет_аналитики'!BE1451)=0,4&lt;='01_Вводные'!$B$297),0,('19_Расчет_аналитики'!BE1423-'19_Расчет_аналитики'!BE1451)*IF('01_Вводные'!$B$239="Да",MeanMinAge04+'19_Расчет_аналитики'!BE1572*SUMIF(ThresholdAge04,"&lt;"&amp;'19_Расчет_аналитики'!BE1572,WeightedRevAge04)-SUMIF(ThresholdAge04,"&lt;"&amp;'19_Расчет_аналитики'!BE1572,WeightedMinAge04),MAX(CapacityAge04*'01_Вводные'!$B$218*'19_Расчет_аналитики'!BE1572,MeanMinAge04)))</f>
        <v/>
      </c>
      <c r="BF1507">
        <f>IF(OR(('19_Расчет_аналитики'!BF1423-'19_Расчет_аналитики'!BF1451)=0,4&lt;='01_Вводные'!$B$297),0,('19_Расчет_аналитики'!BF1423-'19_Расчет_аналитики'!BF1451)*IF('01_Вводные'!$B$239="Да",MeanMinAge04+'19_Расчет_аналитики'!BF1572*SUMIF(ThresholdAge04,"&lt;"&amp;'19_Расчет_аналитики'!BF1572,WeightedRevAge04)-SUMIF(ThresholdAge04,"&lt;"&amp;'19_Расчет_аналитики'!BF1572,WeightedMinAge04),MAX(CapacityAge04*'01_Вводные'!$B$218*'19_Расчет_аналитики'!BF1572,MeanMinAge04)))</f>
        <v/>
      </c>
      <c r="BG1507">
        <f>IF(OR(('19_Расчет_аналитики'!BG1423-'19_Расчет_аналитики'!BG1451)=0,4&lt;='01_Вводные'!$B$297),0,('19_Расчет_аналитики'!BG1423-'19_Расчет_аналитики'!BG1451)*IF('01_Вводные'!$B$239="Да",MeanMinAge04+'19_Расчет_аналитики'!BG1572*SUMIF(ThresholdAge04,"&lt;"&amp;'19_Расчет_аналитики'!BG1572,WeightedRevAge04)-SUMIF(ThresholdAge04,"&lt;"&amp;'19_Расчет_аналитики'!BG1572,WeightedMinAge04),MAX(CapacityAge04*'01_Вводные'!$B$218*'19_Расчет_аналитики'!BG1572,MeanMinAge04)))</f>
        <v/>
      </c>
      <c r="BH1507">
        <f>IF(OR(('19_Расчет_аналитики'!BH1423-'19_Расчет_аналитики'!BH1451)=0,4&lt;='01_Вводные'!$B$297),0,('19_Расчет_аналитики'!BH1423-'19_Расчет_аналитики'!BH1451)*IF('01_Вводные'!$B$239="Да",MeanMinAge04+'19_Расчет_аналитики'!BH1572*SUMIF(ThresholdAge04,"&lt;"&amp;'19_Расчет_аналитики'!BH1572,WeightedRevAge04)-SUMIF(ThresholdAge04,"&lt;"&amp;'19_Расчет_аналитики'!BH1572,WeightedMinAge04),MAX(CapacityAge04*'01_Вводные'!$B$218*'19_Расчет_аналитики'!BH1572,MeanMinAge04)))</f>
        <v/>
      </c>
      <c r="BI1507">
        <f>IF(OR(('19_Расчет_аналитики'!BI1423-'19_Расчет_аналитики'!BI1451)=0,4&lt;='01_Вводные'!$B$297),0,('19_Расчет_аналитики'!BI1423-'19_Расчет_аналитики'!BI1451)*IF('01_Вводные'!$B$239="Да",MeanMinAge04+'19_Расчет_аналитики'!BI1572*SUMIF(ThresholdAge04,"&lt;"&amp;'19_Расчет_аналитики'!BI1572,WeightedRevAge04)-SUMIF(ThresholdAge04,"&lt;"&amp;'19_Расчет_аналитики'!BI1572,WeightedMinAge04),MAX(CapacityAge04*'01_Вводные'!$B$218*'19_Расчет_аналитики'!BI1572,MeanMinAge04)))</f>
        <v/>
      </c>
      <c r="BJ1507">
        <f>IF(OR(('19_Расчет_аналитики'!BJ1423-'19_Расчет_аналитики'!BJ1451)=0,4&lt;='01_Вводные'!$B$297),0,('19_Расчет_аналитики'!BJ1423-'19_Расчет_аналитики'!BJ1451)*IF('01_Вводные'!$B$239="Да",MeanMinAge04+'19_Расчет_аналитики'!BJ1572*SUMIF(ThresholdAge04,"&lt;"&amp;'19_Расчет_аналитики'!BJ1572,WeightedRevAge04)-SUMIF(ThresholdAge04,"&lt;"&amp;'19_Расчет_аналитики'!BJ1572,WeightedMinAge04),MAX(CapacityAge04*'01_Вводные'!$B$218*'19_Расчет_аналитики'!BJ1572,MeanMinAge04)))</f>
        <v/>
      </c>
      <c r="BK1507">
        <f>IF(OR(('19_Расчет_аналитики'!BK1423-'19_Расчет_аналитики'!BK1451)=0,4&lt;='01_Вводные'!$B$297),0,('19_Расчет_аналитики'!BK1423-'19_Расчет_аналитики'!BK1451)*IF('01_Вводные'!$B$239="Да",MeanMinAge04+'19_Расчет_аналитики'!BK1572*SUMIF(ThresholdAge04,"&lt;"&amp;'19_Расчет_аналитики'!BK1572,WeightedRevAge04)-SUMIF(ThresholdAge04,"&lt;"&amp;'19_Расчет_аналитики'!BK1572,WeightedMinAge04),MAX(CapacityAge04*'01_Вводные'!$B$218*'19_Расчет_аналитики'!BK1572,MeanMinAge04)))</f>
        <v/>
      </c>
      <c r="BL1507">
        <f>IF(OR(('19_Расчет_аналитики'!BL1423-'19_Расчет_аналитики'!BL1451)=0,4&lt;='01_Вводные'!$B$297),0,('19_Расчет_аналитики'!BL1423-'19_Расчет_аналитики'!BL1451)*IF('01_Вводные'!$B$239="Да",MeanMinAge04+'19_Расчет_аналитики'!BL1572*SUMIF(ThresholdAge04,"&lt;"&amp;'19_Расчет_аналитики'!BL1572,WeightedRevAge04)-SUMIF(ThresholdAge04,"&lt;"&amp;'19_Расчет_аналитики'!BL1572,WeightedMinAge04),MAX(CapacityAge04*'01_Вводные'!$B$218*'19_Расчет_аналитики'!BL1572,MeanMinAge04)))</f>
        <v/>
      </c>
      <c r="BM1507">
        <f>IF(OR(('19_Расчет_аналитики'!BM1423-'19_Расчет_аналитики'!BM1451)=0,4&lt;='01_Вводные'!$B$297),0,('19_Расчет_аналитики'!BM1423-'19_Расчет_аналитики'!BM1451)*IF('01_Вводные'!$B$239="Да",MeanMinAge04+'19_Расчет_аналитики'!BM1572*SUMIF(ThresholdAge04,"&lt;"&amp;'19_Расчет_аналитики'!BM1572,WeightedRevAge04)-SUMIF(ThresholdAge04,"&lt;"&amp;'19_Расчет_аналитики'!BM1572,WeightedMinAge04),MAX(CapacityAge04*'01_Вводные'!$B$218*'19_Расчет_аналитики'!BM1572,MeanMinAge04)))</f>
        <v/>
      </c>
      <c r="BN1507">
        <f>IF(OR(('19_Расчет_аналитики'!BN1423-'19_Расчет_аналитики'!BN1451)=0,4&lt;='01_Вводные'!$B$297),0,('19_Расчет_аналитики'!BN1423-'19_Расчет_аналитики'!BN1451)*IF('01_Вводные'!$B$239="Да",MeanMinAge04+'19_Расчет_аналитики'!BN1572*SUMIF(ThresholdAge04,"&lt;"&amp;'19_Расчет_аналитики'!BN1572,WeightedRevAge04)-SUMIF(ThresholdAge04,"&lt;"&amp;'19_Расчет_аналитики'!BN1572,WeightedMinAge04),MAX(CapacityAge04*'01_Вводные'!$B$218*'19_Расчет_аналитики'!BN1572,MeanMinAge04)))</f>
        <v/>
      </c>
      <c r="BO1507">
        <f>IF(OR(('19_Расчет_аналитики'!BO1423-'19_Расчет_аналитики'!BO1451)=0,4&lt;='01_Вводные'!$B$297),0,('19_Расчет_аналитики'!BO1423-'19_Расчет_аналитики'!BO1451)*IF('01_Вводные'!$B$239="Да",MeanMinAge04+'19_Расчет_аналитики'!BO1572*SUMIF(ThresholdAge04,"&lt;"&amp;'19_Расчет_аналитики'!BO1572,WeightedRevAge04)-SUMIF(ThresholdAge04,"&lt;"&amp;'19_Расчет_аналитики'!BO1572,WeightedMinAge04),MAX(CapacityAge04*'01_Вводные'!$B$218*'19_Расчет_аналитики'!BO1572,MeanMinAge04)))</f>
        <v/>
      </c>
    </row>
    <row r="1508">
      <c r="B1508">
        <f>IF(OR(('06_Сеть_и_дети'!B57-'06_Сеть_и_дети'!B85)=0,5&lt;='01_Вводные'!$B$297),0,('06_Сеть_и_дети'!B57-'06_Сеть_и_дети'!B85)*IF('01_Вводные'!$B$239="Да",MeanMinAge05+'19_Расчет_аналитики'!B1572*SUMIF(ThresholdAge05,"&lt;"&amp;'19_Расчет_аналитики'!B1572,WeightedRevAge05)-SUMIF(ThresholdAge05,"&lt;"&amp;'19_Расчет_аналитики'!B1572,WeightedMinAge05),MAX(CapacityAge05*'01_Вводные'!$B$218*'19_Расчет_аналитики'!B1572,MeanMinAge05)))</f>
        <v/>
      </c>
      <c r="C1508">
        <f>IF(OR(('06_Сеть_и_дети'!C57-'06_Сеть_и_дети'!C85)=0,5&lt;='01_Вводные'!$B$297),0,('06_Сеть_и_дети'!C57-'06_Сеть_и_дети'!C85)*IF('01_Вводные'!$B$239="Да",MeanMinAge05+'19_Расчет_аналитики'!C1572*SUMIF(ThresholdAge05,"&lt;"&amp;'19_Расчет_аналитики'!C1572,WeightedRevAge05)-SUMIF(ThresholdAge05,"&lt;"&amp;'19_Расчет_аналитики'!C1572,WeightedMinAge05),MAX(CapacityAge05*'01_Вводные'!$B$218*'19_Расчет_аналитики'!C1572,MeanMinAge05)))</f>
        <v/>
      </c>
      <c r="D1508">
        <f>IF(OR(('06_Сеть_и_дети'!D57-'06_Сеть_и_дети'!D85)=0,5&lt;='01_Вводные'!$B$297),0,('06_Сеть_и_дети'!D57-'06_Сеть_и_дети'!D85)*IF('01_Вводные'!$B$239="Да",MeanMinAge05+'19_Расчет_аналитики'!D1572*SUMIF(ThresholdAge05,"&lt;"&amp;'19_Расчет_аналитики'!D1572,WeightedRevAge05)-SUMIF(ThresholdAge05,"&lt;"&amp;'19_Расчет_аналитики'!D1572,WeightedMinAge05),MAX(CapacityAge05*'01_Вводные'!$B$218*'19_Расчет_аналитики'!D1572,MeanMinAge05)))</f>
        <v/>
      </c>
      <c r="E1508">
        <f>IF(OR(('06_Сеть_и_дети'!E57-'06_Сеть_и_дети'!E85)=0,5&lt;='01_Вводные'!$B$297),0,('06_Сеть_и_дети'!E57-'06_Сеть_и_дети'!E85)*IF('01_Вводные'!$B$239="Да",MeanMinAge05+'19_Расчет_аналитики'!E1572*SUMIF(ThresholdAge05,"&lt;"&amp;'19_Расчет_аналитики'!E1572,WeightedRevAge05)-SUMIF(ThresholdAge05,"&lt;"&amp;'19_Расчет_аналитики'!E1572,WeightedMinAge05),MAX(CapacityAge05*'01_Вводные'!$B$218*'19_Расчет_аналитики'!E1572,MeanMinAge05)))</f>
        <v/>
      </c>
      <c r="F1508">
        <f>IF(OR(('19_Расчет_аналитики'!F1424-'19_Расчет_аналитики'!F1452)=0,5&lt;='01_Вводные'!$B$297),0,('19_Расчет_аналитики'!F1424-'19_Расчет_аналитики'!F1452)*IF('01_Вводные'!$B$239="Да",MeanMinAge05+'19_Расчет_аналитики'!F1572*SUMIF(ThresholdAge05,"&lt;"&amp;'19_Расчет_аналитики'!F1572,WeightedRevAge05)-SUMIF(ThresholdAge05,"&lt;"&amp;'19_Расчет_аналитики'!F1572,WeightedMinAge05),MAX(CapacityAge05*'01_Вводные'!$B$218*'19_Расчет_аналитики'!F1572,MeanMinAge05)))</f>
        <v/>
      </c>
      <c r="G1508">
        <f>IF(OR(('19_Расчет_аналитики'!G1424-'19_Расчет_аналитики'!G1452)=0,5&lt;='01_Вводные'!$B$297),0,('19_Расчет_аналитики'!G1424-'19_Расчет_аналитики'!G1452)*IF('01_Вводные'!$B$239="Да",MeanMinAge05+'19_Расчет_аналитики'!G1572*SUMIF(ThresholdAge05,"&lt;"&amp;'19_Расчет_аналитики'!G1572,WeightedRevAge05)-SUMIF(ThresholdAge05,"&lt;"&amp;'19_Расчет_аналитики'!G1572,WeightedMinAge05),MAX(CapacityAge05*'01_Вводные'!$B$218*'19_Расчет_аналитики'!G1572,MeanMinAge05)))</f>
        <v/>
      </c>
      <c r="H1508">
        <f>IF(OR(('19_Расчет_аналитики'!H1424-'19_Расчет_аналитики'!H1452)=0,5&lt;='01_Вводные'!$B$297),0,('19_Расчет_аналитики'!H1424-'19_Расчет_аналитики'!H1452)*IF('01_Вводные'!$B$239="Да",MeanMinAge05+'19_Расчет_аналитики'!H1572*SUMIF(ThresholdAge05,"&lt;"&amp;'19_Расчет_аналитики'!H1572,WeightedRevAge05)-SUMIF(ThresholdAge05,"&lt;"&amp;'19_Расчет_аналитики'!H1572,WeightedMinAge05),MAX(CapacityAge05*'01_Вводные'!$B$218*'19_Расчет_аналитики'!H1572,MeanMinAge05)))</f>
        <v/>
      </c>
      <c r="I1508">
        <f>IF(OR(('19_Расчет_аналитики'!I1424-'19_Расчет_аналитики'!I1452)=0,5&lt;='01_Вводные'!$B$297),0,('19_Расчет_аналитики'!I1424-'19_Расчет_аналитики'!I1452)*IF('01_Вводные'!$B$239="Да",MeanMinAge05+'19_Расчет_аналитики'!I1572*SUMIF(ThresholdAge05,"&lt;"&amp;'19_Расчет_аналитики'!I1572,WeightedRevAge05)-SUMIF(ThresholdAge05,"&lt;"&amp;'19_Расчет_аналитики'!I1572,WeightedMinAge05),MAX(CapacityAge05*'01_Вводные'!$B$218*'19_Расчет_аналитики'!I1572,MeanMinAge05)))</f>
        <v/>
      </c>
      <c r="J1508">
        <f>IF(OR(('19_Расчет_аналитики'!J1424-'19_Расчет_аналитики'!J1452)=0,5&lt;='01_Вводные'!$B$297),0,('19_Расчет_аналитики'!J1424-'19_Расчет_аналитики'!J1452)*IF('01_Вводные'!$B$239="Да",MeanMinAge05+'19_Расчет_аналитики'!J1572*SUMIF(ThresholdAge05,"&lt;"&amp;'19_Расчет_аналитики'!J1572,WeightedRevAge05)-SUMIF(ThresholdAge05,"&lt;"&amp;'19_Расчет_аналитики'!J1572,WeightedMinAge05),MAX(CapacityAge05*'01_Вводные'!$B$218*'19_Расчет_аналитики'!J1572,MeanMinAge05)))</f>
        <v/>
      </c>
      <c r="K1508">
        <f>IF(OR(('19_Расчет_аналитики'!K1424-'19_Расчет_аналитики'!K1452)=0,5&lt;='01_Вводные'!$B$297),0,('19_Расчет_аналитики'!K1424-'19_Расчет_аналитики'!K1452)*IF('01_Вводные'!$B$239="Да",MeanMinAge05+'19_Расчет_аналитики'!K1572*SUMIF(ThresholdAge05,"&lt;"&amp;'19_Расчет_аналитики'!K1572,WeightedRevAge05)-SUMIF(ThresholdAge05,"&lt;"&amp;'19_Расчет_аналитики'!K1572,WeightedMinAge05),MAX(CapacityAge05*'01_Вводные'!$B$218*'19_Расчет_аналитики'!K1572,MeanMinAge05)))</f>
        <v/>
      </c>
      <c r="L1508">
        <f>IF(OR(('19_Расчет_аналитики'!L1424-'19_Расчет_аналитики'!L1452)=0,5&lt;='01_Вводные'!$B$297),0,('19_Расчет_аналитики'!L1424-'19_Расчет_аналитики'!L1452)*IF('01_Вводные'!$B$239="Да",MeanMinAge05+'19_Расчет_аналитики'!L1572*SUMIF(ThresholdAge05,"&lt;"&amp;'19_Расчет_аналитики'!L1572,WeightedRevAge05)-SUMIF(ThresholdAge05,"&lt;"&amp;'19_Расчет_аналитики'!L1572,WeightedMinAge05),MAX(CapacityAge05*'01_Вводные'!$B$218*'19_Расчет_аналитики'!L1572,MeanMinAge05)))</f>
        <v/>
      </c>
      <c r="M1508">
        <f>IF(OR(('19_Расчет_аналитики'!M1424-'19_Расчет_аналитики'!M1452)=0,5&lt;='01_Вводные'!$B$297),0,('19_Расчет_аналитики'!M1424-'19_Расчет_аналитики'!M1452)*IF('01_Вводные'!$B$239="Да",MeanMinAge05+'19_Расчет_аналитики'!M1572*SUMIF(ThresholdAge05,"&lt;"&amp;'19_Расчет_аналитики'!M1572,WeightedRevAge05)-SUMIF(ThresholdAge05,"&lt;"&amp;'19_Расчет_аналитики'!M1572,WeightedMinAge05),MAX(CapacityAge05*'01_Вводные'!$B$218*'19_Расчет_аналитики'!M1572,MeanMinAge05)))</f>
        <v/>
      </c>
      <c r="N1508">
        <f>IF(OR(('19_Расчет_аналитики'!N1424-'19_Расчет_аналитики'!N1452)=0,5&lt;='01_Вводные'!$B$297),0,('19_Расчет_аналитики'!N1424-'19_Расчет_аналитики'!N1452)*IF('01_Вводные'!$B$239="Да",MeanMinAge05+'19_Расчет_аналитики'!N1572*SUMIF(ThresholdAge05,"&lt;"&amp;'19_Расчет_аналитики'!N1572,WeightedRevAge05)-SUMIF(ThresholdAge05,"&lt;"&amp;'19_Расчет_аналитики'!N1572,WeightedMinAge05),MAX(CapacityAge05*'01_Вводные'!$B$218*'19_Расчет_аналитики'!N1572,MeanMinAge05)))</f>
        <v/>
      </c>
      <c r="O1508">
        <f>IF(OR(('19_Расчет_аналитики'!O1424-'19_Расчет_аналитики'!O1452)=0,5&lt;='01_Вводные'!$B$297),0,('19_Расчет_аналитики'!O1424-'19_Расчет_аналитики'!O1452)*IF('01_Вводные'!$B$239="Да",MeanMinAge05+'19_Расчет_аналитики'!O1572*SUMIF(ThresholdAge05,"&lt;"&amp;'19_Расчет_аналитики'!O1572,WeightedRevAge05)-SUMIF(ThresholdAge05,"&lt;"&amp;'19_Расчет_аналитики'!O1572,WeightedMinAge05),MAX(CapacityAge05*'01_Вводные'!$B$218*'19_Расчет_аналитики'!O1572,MeanMinAge05)))</f>
        <v/>
      </c>
      <c r="P1508">
        <f>IF(OR(('19_Расчет_аналитики'!P1424-'19_Расчет_аналитики'!P1452)=0,5&lt;='01_Вводные'!$B$297),0,('19_Расчет_аналитики'!P1424-'19_Расчет_аналитики'!P1452)*IF('01_Вводные'!$B$239="Да",MeanMinAge05+'19_Расчет_аналитики'!P1572*SUMIF(ThresholdAge05,"&lt;"&amp;'19_Расчет_аналитики'!P1572,WeightedRevAge05)-SUMIF(ThresholdAge05,"&lt;"&amp;'19_Расчет_аналитики'!P1572,WeightedMinAge05),MAX(CapacityAge05*'01_Вводные'!$B$218*'19_Расчет_аналитики'!P1572,MeanMinAge05)))</f>
        <v/>
      </c>
      <c r="Q1508">
        <f>IF(OR(('19_Расчет_аналитики'!Q1424-'19_Расчет_аналитики'!Q1452)=0,5&lt;='01_Вводные'!$B$297),0,('19_Расчет_аналитики'!Q1424-'19_Расчет_аналитики'!Q1452)*IF('01_Вводные'!$B$239="Да",MeanMinAge05+'19_Расчет_аналитики'!Q1572*SUMIF(ThresholdAge05,"&lt;"&amp;'19_Расчет_аналитики'!Q1572,WeightedRevAge05)-SUMIF(ThresholdAge05,"&lt;"&amp;'19_Расчет_аналитики'!Q1572,WeightedMinAge05),MAX(CapacityAge05*'01_Вводные'!$B$218*'19_Расчет_аналитики'!Q1572,MeanMinAge05)))</f>
        <v/>
      </c>
      <c r="R1508">
        <f>IF(OR(('19_Расчет_аналитики'!R1424-'19_Расчет_аналитики'!R1452)=0,5&lt;='01_Вводные'!$B$297),0,('19_Расчет_аналитики'!R1424-'19_Расчет_аналитики'!R1452)*IF('01_Вводные'!$B$239="Да",MeanMinAge05+'19_Расчет_аналитики'!R1572*SUMIF(ThresholdAge05,"&lt;"&amp;'19_Расчет_аналитики'!R1572,WeightedRevAge05)-SUMIF(ThresholdAge05,"&lt;"&amp;'19_Расчет_аналитики'!R1572,WeightedMinAge05),MAX(CapacityAge05*'01_Вводные'!$B$218*'19_Расчет_аналитики'!R1572,MeanMinAge05)))</f>
        <v/>
      </c>
      <c r="S1508">
        <f>IF(OR(('19_Расчет_аналитики'!S1424-'19_Расчет_аналитики'!S1452)=0,5&lt;='01_Вводные'!$B$297),0,('19_Расчет_аналитики'!S1424-'19_Расчет_аналитики'!S1452)*IF('01_Вводные'!$B$239="Да",MeanMinAge05+'19_Расчет_аналитики'!S1572*SUMIF(ThresholdAge05,"&lt;"&amp;'19_Расчет_аналитики'!S1572,WeightedRevAge05)-SUMIF(ThresholdAge05,"&lt;"&amp;'19_Расчет_аналитики'!S1572,WeightedMinAge05),MAX(CapacityAge05*'01_Вводные'!$B$218*'19_Расчет_аналитики'!S1572,MeanMinAge05)))</f>
        <v/>
      </c>
      <c r="T1508">
        <f>IF(OR(('19_Расчет_аналитики'!T1424-'19_Расчет_аналитики'!T1452)=0,5&lt;='01_Вводные'!$B$297),0,('19_Расчет_аналитики'!T1424-'19_Расчет_аналитики'!T1452)*IF('01_Вводные'!$B$239="Да",MeanMinAge05+'19_Расчет_аналитики'!T1572*SUMIF(ThresholdAge05,"&lt;"&amp;'19_Расчет_аналитики'!T1572,WeightedRevAge05)-SUMIF(ThresholdAge05,"&lt;"&amp;'19_Расчет_аналитики'!T1572,WeightedMinAge05),MAX(CapacityAge05*'01_Вводные'!$B$218*'19_Расчет_аналитики'!T1572,MeanMinAge05)))</f>
        <v/>
      </c>
      <c r="U1508">
        <f>IF(OR(('19_Расчет_аналитики'!U1424-'19_Расчет_аналитики'!U1452)=0,5&lt;='01_Вводные'!$B$297),0,('19_Расчет_аналитики'!U1424-'19_Расчет_аналитики'!U1452)*IF('01_Вводные'!$B$239="Да",MeanMinAge05+'19_Расчет_аналитики'!U1572*SUMIF(ThresholdAge05,"&lt;"&amp;'19_Расчет_аналитики'!U1572,WeightedRevAge05)-SUMIF(ThresholdAge05,"&lt;"&amp;'19_Расчет_аналитики'!U1572,WeightedMinAge05),MAX(CapacityAge05*'01_Вводные'!$B$218*'19_Расчет_аналитики'!U1572,MeanMinAge05)))</f>
        <v/>
      </c>
      <c r="V1508">
        <f>IF(OR(('19_Расчет_аналитики'!V1424-'19_Расчет_аналитики'!V1452)=0,5&lt;='01_Вводные'!$B$297),0,('19_Расчет_аналитики'!V1424-'19_Расчет_аналитики'!V1452)*IF('01_Вводные'!$B$239="Да",MeanMinAge05+'19_Расчет_аналитики'!V1572*SUMIF(ThresholdAge05,"&lt;"&amp;'19_Расчет_аналитики'!V1572,WeightedRevAge05)-SUMIF(ThresholdAge05,"&lt;"&amp;'19_Расчет_аналитики'!V1572,WeightedMinAge05),MAX(CapacityAge05*'01_Вводные'!$B$218*'19_Расчет_аналитики'!V1572,MeanMinAge05)))</f>
        <v/>
      </c>
      <c r="W1508">
        <f>IF(OR(('19_Расчет_аналитики'!W1424-'19_Расчет_аналитики'!W1452)=0,5&lt;='01_Вводные'!$B$297),0,('19_Расчет_аналитики'!W1424-'19_Расчет_аналитики'!W1452)*IF('01_Вводные'!$B$239="Да",MeanMinAge05+'19_Расчет_аналитики'!W1572*SUMIF(ThresholdAge05,"&lt;"&amp;'19_Расчет_аналитики'!W1572,WeightedRevAge05)-SUMIF(ThresholdAge05,"&lt;"&amp;'19_Расчет_аналитики'!W1572,WeightedMinAge05),MAX(CapacityAge05*'01_Вводные'!$B$218*'19_Расчет_аналитики'!W1572,MeanMinAge05)))</f>
        <v/>
      </c>
      <c r="X1508">
        <f>IF(OR(('19_Расчет_аналитики'!X1424-'19_Расчет_аналитики'!X1452)=0,5&lt;='01_Вводные'!$B$297),0,('19_Расчет_аналитики'!X1424-'19_Расчет_аналитики'!X1452)*IF('01_Вводные'!$B$239="Да",MeanMinAge05+'19_Расчет_аналитики'!X1572*SUMIF(ThresholdAge05,"&lt;"&amp;'19_Расчет_аналитики'!X1572,WeightedRevAge05)-SUMIF(ThresholdAge05,"&lt;"&amp;'19_Расчет_аналитики'!X1572,WeightedMinAge05),MAX(CapacityAge05*'01_Вводные'!$B$218*'19_Расчет_аналитики'!X1572,MeanMinAge05)))</f>
        <v/>
      </c>
      <c r="Y1508">
        <f>IF(OR(('19_Расчет_аналитики'!Y1424-'19_Расчет_аналитики'!Y1452)=0,5&lt;='01_Вводные'!$B$297),0,('19_Расчет_аналитики'!Y1424-'19_Расчет_аналитики'!Y1452)*IF('01_Вводные'!$B$239="Да",MeanMinAge05+'19_Расчет_аналитики'!Y1572*SUMIF(ThresholdAge05,"&lt;"&amp;'19_Расчет_аналитики'!Y1572,WeightedRevAge05)-SUMIF(ThresholdAge05,"&lt;"&amp;'19_Расчет_аналитики'!Y1572,WeightedMinAge05),MAX(CapacityAge05*'01_Вводные'!$B$218*'19_Расчет_аналитики'!Y1572,MeanMinAge05)))</f>
        <v/>
      </c>
      <c r="Z1508">
        <f>IF(OR(('19_Расчет_аналитики'!Z1424-'19_Расчет_аналитики'!Z1452)=0,5&lt;='01_Вводные'!$B$297),0,('19_Расчет_аналитики'!Z1424-'19_Расчет_аналитики'!Z1452)*IF('01_Вводные'!$B$239="Да",MeanMinAge05+'19_Расчет_аналитики'!Z1572*SUMIF(ThresholdAge05,"&lt;"&amp;'19_Расчет_аналитики'!Z1572,WeightedRevAge05)-SUMIF(ThresholdAge05,"&lt;"&amp;'19_Расчет_аналитики'!Z1572,WeightedMinAge05),MAX(CapacityAge05*'01_Вводные'!$B$218*'19_Расчет_аналитики'!Z1572,MeanMinAge05)))</f>
        <v/>
      </c>
      <c r="AA1508">
        <f>IF(OR(('19_Расчет_аналитики'!AA1424-'19_Расчет_аналитики'!AA1452)=0,5&lt;='01_Вводные'!$B$297),0,('19_Расчет_аналитики'!AA1424-'19_Расчет_аналитики'!AA1452)*IF('01_Вводные'!$B$239="Да",MeanMinAge05+'19_Расчет_аналитики'!AA1572*SUMIF(ThresholdAge05,"&lt;"&amp;'19_Расчет_аналитики'!AA1572,WeightedRevAge05)-SUMIF(ThresholdAge05,"&lt;"&amp;'19_Расчет_аналитики'!AA1572,WeightedMinAge05),MAX(CapacityAge05*'01_Вводные'!$B$218*'19_Расчет_аналитики'!AA1572,MeanMinAge05)))</f>
        <v/>
      </c>
      <c r="AB1508">
        <f>IF(OR(('19_Расчет_аналитики'!AB1424-'19_Расчет_аналитики'!AB1452)=0,5&lt;='01_Вводные'!$B$297),0,('19_Расчет_аналитики'!AB1424-'19_Расчет_аналитики'!AB1452)*IF('01_Вводные'!$B$239="Да",MeanMinAge05+'19_Расчет_аналитики'!AB1572*SUMIF(ThresholdAge05,"&lt;"&amp;'19_Расчет_аналитики'!AB1572,WeightedRevAge05)-SUMIF(ThresholdAge05,"&lt;"&amp;'19_Расчет_аналитики'!AB1572,WeightedMinAge05),MAX(CapacityAge05*'01_Вводные'!$B$218*'19_Расчет_аналитики'!AB1572,MeanMinAge05)))</f>
        <v/>
      </c>
      <c r="AC1508">
        <f>IF(OR(('19_Расчет_аналитики'!AC1424-'19_Расчет_аналитики'!AC1452)=0,5&lt;='01_Вводные'!$B$297),0,('19_Расчет_аналитики'!AC1424-'19_Расчет_аналитики'!AC1452)*IF('01_Вводные'!$B$239="Да",MeanMinAge05+'19_Расчет_аналитики'!AC1572*SUMIF(ThresholdAge05,"&lt;"&amp;'19_Расчет_аналитики'!AC1572,WeightedRevAge05)-SUMIF(ThresholdAge05,"&lt;"&amp;'19_Расчет_аналитики'!AC1572,WeightedMinAge05),MAX(CapacityAge05*'01_Вводные'!$B$218*'19_Расчет_аналитики'!AC1572,MeanMinAge05)))</f>
        <v/>
      </c>
      <c r="AD1508">
        <f>IF(OR(('19_Расчет_аналитики'!AD1424-'19_Расчет_аналитики'!AD1452)=0,5&lt;='01_Вводные'!$B$297),0,('19_Расчет_аналитики'!AD1424-'19_Расчет_аналитики'!AD1452)*IF('01_Вводные'!$B$239="Да",MeanMinAge05+'19_Расчет_аналитики'!AD1572*SUMIF(ThresholdAge05,"&lt;"&amp;'19_Расчет_аналитики'!AD1572,WeightedRevAge05)-SUMIF(ThresholdAge05,"&lt;"&amp;'19_Расчет_аналитики'!AD1572,WeightedMinAge05),MAX(CapacityAge05*'01_Вводные'!$B$218*'19_Расчет_аналитики'!AD1572,MeanMinAge05)))</f>
        <v/>
      </c>
      <c r="AE1508">
        <f>IF(OR(('19_Расчет_аналитики'!AE1424-'19_Расчет_аналитики'!AE1452)=0,5&lt;='01_Вводные'!$B$297),0,('19_Расчет_аналитики'!AE1424-'19_Расчет_аналитики'!AE1452)*IF('01_Вводные'!$B$239="Да",MeanMinAge05+'19_Расчет_аналитики'!AE1572*SUMIF(ThresholdAge05,"&lt;"&amp;'19_Расчет_аналитики'!AE1572,WeightedRevAge05)-SUMIF(ThresholdAge05,"&lt;"&amp;'19_Расчет_аналитики'!AE1572,WeightedMinAge05),MAX(CapacityAge05*'01_Вводные'!$B$218*'19_Расчет_аналитики'!AE1572,MeanMinAge05)))</f>
        <v/>
      </c>
      <c r="AF1508">
        <f>IF(OR(('19_Расчет_аналитики'!AF1424-'19_Расчет_аналитики'!AF1452)=0,5&lt;='01_Вводные'!$B$297),0,('19_Расчет_аналитики'!AF1424-'19_Расчет_аналитики'!AF1452)*IF('01_Вводные'!$B$239="Да",MeanMinAge05+'19_Расчет_аналитики'!AF1572*SUMIF(ThresholdAge05,"&lt;"&amp;'19_Расчет_аналитики'!AF1572,WeightedRevAge05)-SUMIF(ThresholdAge05,"&lt;"&amp;'19_Расчет_аналитики'!AF1572,WeightedMinAge05),MAX(CapacityAge05*'01_Вводные'!$B$218*'19_Расчет_аналитики'!AF1572,MeanMinAge05)))</f>
        <v/>
      </c>
      <c r="AG1508">
        <f>IF(OR(('19_Расчет_аналитики'!AG1424-'19_Расчет_аналитики'!AG1452)=0,5&lt;='01_Вводные'!$B$297),0,('19_Расчет_аналитики'!AG1424-'19_Расчет_аналитики'!AG1452)*IF('01_Вводные'!$B$239="Да",MeanMinAge05+'19_Расчет_аналитики'!AG1572*SUMIF(ThresholdAge05,"&lt;"&amp;'19_Расчет_аналитики'!AG1572,WeightedRevAge05)-SUMIF(ThresholdAge05,"&lt;"&amp;'19_Расчет_аналитики'!AG1572,WeightedMinAge05),MAX(CapacityAge05*'01_Вводные'!$B$218*'19_Расчет_аналитики'!AG1572,MeanMinAge05)))</f>
        <v/>
      </c>
      <c r="AH1508">
        <f>IF(OR(('19_Расчет_аналитики'!AH1424-'19_Расчет_аналитики'!AH1452)=0,5&lt;='01_Вводные'!$B$297),0,('19_Расчет_аналитики'!AH1424-'19_Расчет_аналитики'!AH1452)*IF('01_Вводные'!$B$239="Да",MeanMinAge05+'19_Расчет_аналитики'!AH1572*SUMIF(ThresholdAge05,"&lt;"&amp;'19_Расчет_аналитики'!AH1572,WeightedRevAge05)-SUMIF(ThresholdAge05,"&lt;"&amp;'19_Расчет_аналитики'!AH1572,WeightedMinAge05),MAX(CapacityAge05*'01_Вводные'!$B$218*'19_Расчет_аналитики'!AH1572,MeanMinAge05)))</f>
        <v/>
      </c>
      <c r="AI1508">
        <f>IF(OR(('19_Расчет_аналитики'!AI1424-'19_Расчет_аналитики'!AI1452)=0,5&lt;='01_Вводные'!$B$297),0,('19_Расчет_аналитики'!AI1424-'19_Расчет_аналитики'!AI1452)*IF('01_Вводные'!$B$239="Да",MeanMinAge05+'19_Расчет_аналитики'!AI1572*SUMIF(ThresholdAge05,"&lt;"&amp;'19_Расчет_аналитики'!AI1572,WeightedRevAge05)-SUMIF(ThresholdAge05,"&lt;"&amp;'19_Расчет_аналитики'!AI1572,WeightedMinAge05),MAX(CapacityAge05*'01_Вводные'!$B$218*'19_Расчет_аналитики'!AI1572,MeanMinAge05)))</f>
        <v/>
      </c>
      <c r="AJ1508">
        <f>IF(OR(('19_Расчет_аналитики'!AJ1424-'19_Расчет_аналитики'!AJ1452)=0,5&lt;='01_Вводные'!$B$297),0,('19_Расчет_аналитики'!AJ1424-'19_Расчет_аналитики'!AJ1452)*IF('01_Вводные'!$B$239="Да",MeanMinAge05+'19_Расчет_аналитики'!AJ1572*SUMIF(ThresholdAge05,"&lt;"&amp;'19_Расчет_аналитики'!AJ1572,WeightedRevAge05)-SUMIF(ThresholdAge05,"&lt;"&amp;'19_Расчет_аналитики'!AJ1572,WeightedMinAge05),MAX(CapacityAge05*'01_Вводные'!$B$218*'19_Расчет_аналитики'!AJ1572,MeanMinAge05)))</f>
        <v/>
      </c>
      <c r="AK1508">
        <f>IF(OR(('19_Расчет_аналитики'!AK1424-'19_Расчет_аналитики'!AK1452)=0,5&lt;='01_Вводные'!$B$297),0,('19_Расчет_аналитики'!AK1424-'19_Расчет_аналитики'!AK1452)*IF('01_Вводные'!$B$239="Да",MeanMinAge05+'19_Расчет_аналитики'!AK1572*SUMIF(ThresholdAge05,"&lt;"&amp;'19_Расчет_аналитики'!AK1572,WeightedRevAge05)-SUMIF(ThresholdAge05,"&lt;"&amp;'19_Расчет_аналитики'!AK1572,WeightedMinAge05),MAX(CapacityAge05*'01_Вводные'!$B$218*'19_Расчет_аналитики'!AK1572,MeanMinAge05)))</f>
        <v/>
      </c>
      <c r="AL1508">
        <f>IF(OR(('19_Расчет_аналитики'!AL1424-'19_Расчет_аналитики'!AL1452)=0,5&lt;='01_Вводные'!$B$297),0,('19_Расчет_аналитики'!AL1424-'19_Расчет_аналитики'!AL1452)*IF('01_Вводные'!$B$239="Да",MeanMinAge05+'19_Расчет_аналитики'!AL1572*SUMIF(ThresholdAge05,"&lt;"&amp;'19_Расчет_аналитики'!AL1572,WeightedRevAge05)-SUMIF(ThresholdAge05,"&lt;"&amp;'19_Расчет_аналитики'!AL1572,WeightedMinAge05),MAX(CapacityAge05*'01_Вводные'!$B$218*'19_Расчет_аналитики'!AL1572,MeanMinAge05)))</f>
        <v/>
      </c>
      <c r="AM1508">
        <f>IF(OR(('19_Расчет_аналитики'!AM1424-'19_Расчет_аналитики'!AM1452)=0,5&lt;='01_Вводные'!$B$297),0,('19_Расчет_аналитики'!AM1424-'19_Расчет_аналитики'!AM1452)*IF('01_Вводные'!$B$239="Да",MeanMinAge05+'19_Расчет_аналитики'!AM1572*SUMIF(ThresholdAge05,"&lt;"&amp;'19_Расчет_аналитики'!AM1572,WeightedRevAge05)-SUMIF(ThresholdAge05,"&lt;"&amp;'19_Расчет_аналитики'!AM1572,WeightedMinAge05),MAX(CapacityAge05*'01_Вводные'!$B$218*'19_Расчет_аналитики'!AM1572,MeanMinAge05)))</f>
        <v/>
      </c>
      <c r="AN1508">
        <f>IF(OR(('19_Расчет_аналитики'!AN1424-'19_Расчет_аналитики'!AN1452)=0,5&lt;='01_Вводные'!$B$297),0,('19_Расчет_аналитики'!AN1424-'19_Расчет_аналитики'!AN1452)*IF('01_Вводные'!$B$239="Да",MeanMinAge05+'19_Расчет_аналитики'!AN1572*SUMIF(ThresholdAge05,"&lt;"&amp;'19_Расчет_аналитики'!AN1572,WeightedRevAge05)-SUMIF(ThresholdAge05,"&lt;"&amp;'19_Расчет_аналитики'!AN1572,WeightedMinAge05),MAX(CapacityAge05*'01_Вводные'!$B$218*'19_Расчет_аналитики'!AN1572,MeanMinAge05)))</f>
        <v/>
      </c>
      <c r="AO1508">
        <f>IF(OR(('19_Расчет_аналитики'!AO1424-'19_Расчет_аналитики'!AO1452)=0,5&lt;='01_Вводные'!$B$297),0,('19_Расчет_аналитики'!AO1424-'19_Расчет_аналитики'!AO1452)*IF('01_Вводные'!$B$239="Да",MeanMinAge05+'19_Расчет_аналитики'!AO1572*SUMIF(ThresholdAge05,"&lt;"&amp;'19_Расчет_аналитики'!AO1572,WeightedRevAge05)-SUMIF(ThresholdAge05,"&lt;"&amp;'19_Расчет_аналитики'!AO1572,WeightedMinAge05),MAX(CapacityAge05*'01_Вводные'!$B$218*'19_Расчет_аналитики'!AO1572,MeanMinAge05)))</f>
        <v/>
      </c>
      <c r="AP1508">
        <f>IF(OR(('19_Расчет_аналитики'!AP1424-'19_Расчет_аналитики'!AP1452)=0,5&lt;='01_Вводные'!$B$297),0,('19_Расчет_аналитики'!AP1424-'19_Расчет_аналитики'!AP1452)*IF('01_Вводные'!$B$239="Да",MeanMinAge05+'19_Расчет_аналитики'!AP1572*SUMIF(ThresholdAge05,"&lt;"&amp;'19_Расчет_аналитики'!AP1572,WeightedRevAge05)-SUMIF(ThresholdAge05,"&lt;"&amp;'19_Расчет_аналитики'!AP1572,WeightedMinAge05),MAX(CapacityAge05*'01_Вводные'!$B$218*'19_Расчет_аналитики'!AP1572,MeanMinAge05)))</f>
        <v/>
      </c>
      <c r="AQ1508">
        <f>IF(OR(('19_Расчет_аналитики'!AQ1424-'19_Расчет_аналитики'!AQ1452)=0,5&lt;='01_Вводные'!$B$297),0,('19_Расчет_аналитики'!AQ1424-'19_Расчет_аналитики'!AQ1452)*IF('01_Вводные'!$B$239="Да",MeanMinAge05+'19_Расчет_аналитики'!AQ1572*SUMIF(ThresholdAge05,"&lt;"&amp;'19_Расчет_аналитики'!AQ1572,WeightedRevAge05)-SUMIF(ThresholdAge05,"&lt;"&amp;'19_Расчет_аналитики'!AQ1572,WeightedMinAge05),MAX(CapacityAge05*'01_Вводные'!$B$218*'19_Расчет_аналитики'!AQ1572,MeanMinAge05)))</f>
        <v/>
      </c>
      <c r="AR1508">
        <f>IF(OR(('19_Расчет_аналитики'!AR1424-'19_Расчет_аналитики'!AR1452)=0,5&lt;='01_Вводные'!$B$297),0,('19_Расчет_аналитики'!AR1424-'19_Расчет_аналитики'!AR1452)*IF('01_Вводные'!$B$239="Да",MeanMinAge05+'19_Расчет_аналитики'!AR1572*SUMIF(ThresholdAge05,"&lt;"&amp;'19_Расчет_аналитики'!AR1572,WeightedRevAge05)-SUMIF(ThresholdAge05,"&lt;"&amp;'19_Расчет_аналитики'!AR1572,WeightedMinAge05),MAX(CapacityAge05*'01_Вводные'!$B$218*'19_Расчет_аналитики'!AR1572,MeanMinAge05)))</f>
        <v/>
      </c>
      <c r="AS1508">
        <f>IF(OR(('19_Расчет_аналитики'!AS1424-'19_Расчет_аналитики'!AS1452)=0,5&lt;='01_Вводные'!$B$297),0,('19_Расчет_аналитики'!AS1424-'19_Расчет_аналитики'!AS1452)*IF('01_Вводные'!$B$239="Да",MeanMinAge05+'19_Расчет_аналитики'!AS1572*SUMIF(ThresholdAge05,"&lt;"&amp;'19_Расчет_аналитики'!AS1572,WeightedRevAge05)-SUMIF(ThresholdAge05,"&lt;"&amp;'19_Расчет_аналитики'!AS1572,WeightedMinAge05),MAX(CapacityAge05*'01_Вводные'!$B$218*'19_Расчет_аналитики'!AS1572,MeanMinAge05)))</f>
        <v/>
      </c>
      <c r="AT1508">
        <f>IF(OR(('19_Расчет_аналитики'!AT1424-'19_Расчет_аналитики'!AT1452)=0,5&lt;='01_Вводные'!$B$297),0,('19_Расчет_аналитики'!AT1424-'19_Расчет_аналитики'!AT1452)*IF('01_Вводные'!$B$239="Да",MeanMinAge05+'19_Расчет_аналитики'!AT1572*SUMIF(ThresholdAge05,"&lt;"&amp;'19_Расчет_аналитики'!AT1572,WeightedRevAge05)-SUMIF(ThresholdAge05,"&lt;"&amp;'19_Расчет_аналитики'!AT1572,WeightedMinAge05),MAX(CapacityAge05*'01_Вводные'!$B$218*'19_Расчет_аналитики'!AT1572,MeanMinAge05)))</f>
        <v/>
      </c>
      <c r="AU1508">
        <f>IF(OR(('19_Расчет_аналитики'!AU1424-'19_Расчет_аналитики'!AU1452)=0,5&lt;='01_Вводные'!$B$297),0,('19_Расчет_аналитики'!AU1424-'19_Расчет_аналитики'!AU1452)*IF('01_Вводные'!$B$239="Да",MeanMinAge05+'19_Расчет_аналитики'!AU1572*SUMIF(ThresholdAge05,"&lt;"&amp;'19_Расчет_аналитики'!AU1572,WeightedRevAge05)-SUMIF(ThresholdAge05,"&lt;"&amp;'19_Расчет_аналитики'!AU1572,WeightedMinAge05),MAX(CapacityAge05*'01_Вводные'!$B$218*'19_Расчет_аналитики'!AU1572,MeanMinAge05)))</f>
        <v/>
      </c>
      <c r="AV1508">
        <f>IF(OR(('19_Расчет_аналитики'!AV1424-'19_Расчет_аналитики'!AV1452)=0,5&lt;='01_Вводные'!$B$297),0,('19_Расчет_аналитики'!AV1424-'19_Расчет_аналитики'!AV1452)*IF('01_Вводные'!$B$239="Да",MeanMinAge05+'19_Расчет_аналитики'!AV1572*SUMIF(ThresholdAge05,"&lt;"&amp;'19_Расчет_аналитики'!AV1572,WeightedRevAge05)-SUMIF(ThresholdAge05,"&lt;"&amp;'19_Расчет_аналитики'!AV1572,WeightedMinAge05),MAX(CapacityAge05*'01_Вводные'!$B$218*'19_Расчет_аналитики'!AV1572,MeanMinAge05)))</f>
        <v/>
      </c>
      <c r="AW1508">
        <f>IF(OR(('19_Расчет_аналитики'!AW1424-'19_Расчет_аналитики'!AW1452)=0,5&lt;='01_Вводные'!$B$297),0,('19_Расчет_аналитики'!AW1424-'19_Расчет_аналитики'!AW1452)*IF('01_Вводные'!$B$239="Да",MeanMinAge05+'19_Расчет_аналитики'!AW1572*SUMIF(ThresholdAge05,"&lt;"&amp;'19_Расчет_аналитики'!AW1572,WeightedRevAge05)-SUMIF(ThresholdAge05,"&lt;"&amp;'19_Расчет_аналитики'!AW1572,WeightedMinAge05),MAX(CapacityAge05*'01_Вводные'!$B$218*'19_Расчет_аналитики'!AW1572,MeanMinAge05)))</f>
        <v/>
      </c>
      <c r="AX1508">
        <f>IF(OR(('19_Расчет_аналитики'!AX1424-'19_Расчет_аналитики'!AX1452)=0,5&lt;='01_Вводные'!$B$297),0,('19_Расчет_аналитики'!AX1424-'19_Расчет_аналитики'!AX1452)*IF('01_Вводные'!$B$239="Да",MeanMinAge05+'19_Расчет_аналитики'!AX1572*SUMIF(ThresholdAge05,"&lt;"&amp;'19_Расчет_аналитики'!AX1572,WeightedRevAge05)-SUMIF(ThresholdAge05,"&lt;"&amp;'19_Расчет_аналитики'!AX1572,WeightedMinAge05),MAX(CapacityAge05*'01_Вводные'!$B$218*'19_Расчет_аналитики'!AX1572,MeanMinAge05)))</f>
        <v/>
      </c>
      <c r="AY1508">
        <f>IF(OR(('19_Расчет_аналитики'!AY1424-'19_Расчет_аналитики'!AY1452)=0,5&lt;='01_Вводные'!$B$297),0,('19_Расчет_аналитики'!AY1424-'19_Расчет_аналитики'!AY1452)*IF('01_Вводные'!$B$239="Да",MeanMinAge05+'19_Расчет_аналитики'!AY1572*SUMIF(ThresholdAge05,"&lt;"&amp;'19_Расчет_аналитики'!AY1572,WeightedRevAge05)-SUMIF(ThresholdAge05,"&lt;"&amp;'19_Расчет_аналитики'!AY1572,WeightedMinAge05),MAX(CapacityAge05*'01_Вводные'!$B$218*'19_Расчет_аналитики'!AY1572,MeanMinAge05)))</f>
        <v/>
      </c>
      <c r="AZ1508">
        <f>IF(OR(('19_Расчет_аналитики'!AZ1424-'19_Расчет_аналитики'!AZ1452)=0,5&lt;='01_Вводные'!$B$297),0,('19_Расчет_аналитики'!AZ1424-'19_Расчет_аналитики'!AZ1452)*IF('01_Вводные'!$B$239="Да",MeanMinAge05+'19_Расчет_аналитики'!AZ1572*SUMIF(ThresholdAge05,"&lt;"&amp;'19_Расчет_аналитики'!AZ1572,WeightedRevAge05)-SUMIF(ThresholdAge05,"&lt;"&amp;'19_Расчет_аналитики'!AZ1572,WeightedMinAge05),MAX(CapacityAge05*'01_Вводные'!$B$218*'19_Расчет_аналитики'!AZ1572,MeanMinAge05)))</f>
        <v/>
      </c>
      <c r="BA1508">
        <f>IF(OR(('19_Расчет_аналитики'!BA1424-'19_Расчет_аналитики'!BA1452)=0,5&lt;='01_Вводные'!$B$297),0,('19_Расчет_аналитики'!BA1424-'19_Расчет_аналитики'!BA1452)*IF('01_Вводные'!$B$239="Да",MeanMinAge05+'19_Расчет_аналитики'!BA1572*SUMIF(ThresholdAge05,"&lt;"&amp;'19_Расчет_аналитики'!BA1572,WeightedRevAge05)-SUMIF(ThresholdAge05,"&lt;"&amp;'19_Расчет_аналитики'!BA1572,WeightedMinAge05),MAX(CapacityAge05*'01_Вводные'!$B$218*'19_Расчет_аналитики'!BA1572,MeanMinAge05)))</f>
        <v/>
      </c>
      <c r="BB1508">
        <f>IF(OR(('19_Расчет_аналитики'!BB1424-'19_Расчет_аналитики'!BB1452)=0,5&lt;='01_Вводные'!$B$297),0,('19_Расчет_аналитики'!BB1424-'19_Расчет_аналитики'!BB1452)*IF('01_Вводные'!$B$239="Да",MeanMinAge05+'19_Расчет_аналитики'!BB1572*SUMIF(ThresholdAge05,"&lt;"&amp;'19_Расчет_аналитики'!BB1572,WeightedRevAge05)-SUMIF(ThresholdAge05,"&lt;"&amp;'19_Расчет_аналитики'!BB1572,WeightedMinAge05),MAX(CapacityAge05*'01_Вводные'!$B$218*'19_Расчет_аналитики'!BB1572,MeanMinAge05)))</f>
        <v/>
      </c>
      <c r="BC1508">
        <f>IF(OR(('19_Расчет_аналитики'!BC1424-'19_Расчет_аналитики'!BC1452)=0,5&lt;='01_Вводные'!$B$297),0,('19_Расчет_аналитики'!BC1424-'19_Расчет_аналитики'!BC1452)*IF('01_Вводные'!$B$239="Да",MeanMinAge05+'19_Расчет_аналитики'!BC1572*SUMIF(ThresholdAge05,"&lt;"&amp;'19_Расчет_аналитики'!BC1572,WeightedRevAge05)-SUMIF(ThresholdAge05,"&lt;"&amp;'19_Расчет_аналитики'!BC1572,WeightedMinAge05),MAX(CapacityAge05*'01_Вводные'!$B$218*'19_Расчет_аналитики'!BC1572,MeanMinAge05)))</f>
        <v/>
      </c>
      <c r="BD1508">
        <f>IF(OR(('19_Расчет_аналитики'!BD1424-'19_Расчет_аналитики'!BD1452)=0,5&lt;='01_Вводные'!$B$297),0,('19_Расчет_аналитики'!BD1424-'19_Расчет_аналитики'!BD1452)*IF('01_Вводные'!$B$239="Да",MeanMinAge05+'19_Расчет_аналитики'!BD1572*SUMIF(ThresholdAge05,"&lt;"&amp;'19_Расчет_аналитики'!BD1572,WeightedRevAge05)-SUMIF(ThresholdAge05,"&lt;"&amp;'19_Расчет_аналитики'!BD1572,WeightedMinAge05),MAX(CapacityAge05*'01_Вводные'!$B$218*'19_Расчет_аналитики'!BD1572,MeanMinAge05)))</f>
        <v/>
      </c>
      <c r="BE1508">
        <f>IF(OR(('19_Расчет_аналитики'!BE1424-'19_Расчет_аналитики'!BE1452)=0,5&lt;='01_Вводные'!$B$297),0,('19_Расчет_аналитики'!BE1424-'19_Расчет_аналитики'!BE1452)*IF('01_Вводные'!$B$239="Да",MeanMinAge05+'19_Расчет_аналитики'!BE1572*SUMIF(ThresholdAge05,"&lt;"&amp;'19_Расчет_аналитики'!BE1572,WeightedRevAge05)-SUMIF(ThresholdAge05,"&lt;"&amp;'19_Расчет_аналитики'!BE1572,WeightedMinAge05),MAX(CapacityAge05*'01_Вводные'!$B$218*'19_Расчет_аналитики'!BE1572,MeanMinAge05)))</f>
        <v/>
      </c>
      <c r="BF1508">
        <f>IF(OR(('19_Расчет_аналитики'!BF1424-'19_Расчет_аналитики'!BF1452)=0,5&lt;='01_Вводные'!$B$297),0,('19_Расчет_аналитики'!BF1424-'19_Расчет_аналитики'!BF1452)*IF('01_Вводные'!$B$239="Да",MeanMinAge05+'19_Расчет_аналитики'!BF1572*SUMIF(ThresholdAge05,"&lt;"&amp;'19_Расчет_аналитики'!BF1572,WeightedRevAge05)-SUMIF(ThresholdAge05,"&lt;"&amp;'19_Расчет_аналитики'!BF1572,WeightedMinAge05),MAX(CapacityAge05*'01_Вводные'!$B$218*'19_Расчет_аналитики'!BF1572,MeanMinAge05)))</f>
        <v/>
      </c>
      <c r="BG1508">
        <f>IF(OR(('19_Расчет_аналитики'!BG1424-'19_Расчет_аналитики'!BG1452)=0,5&lt;='01_Вводные'!$B$297),0,('19_Расчет_аналитики'!BG1424-'19_Расчет_аналитики'!BG1452)*IF('01_Вводные'!$B$239="Да",MeanMinAge05+'19_Расчет_аналитики'!BG1572*SUMIF(ThresholdAge05,"&lt;"&amp;'19_Расчет_аналитики'!BG1572,WeightedRevAge05)-SUMIF(ThresholdAge05,"&lt;"&amp;'19_Расчет_аналитики'!BG1572,WeightedMinAge05),MAX(CapacityAge05*'01_Вводные'!$B$218*'19_Расчет_аналитики'!BG1572,MeanMinAge05)))</f>
        <v/>
      </c>
      <c r="BH1508">
        <f>IF(OR(('19_Расчет_аналитики'!BH1424-'19_Расчет_аналитики'!BH1452)=0,5&lt;='01_Вводные'!$B$297),0,('19_Расчет_аналитики'!BH1424-'19_Расчет_аналитики'!BH1452)*IF('01_Вводные'!$B$239="Да",MeanMinAge05+'19_Расчет_аналитики'!BH1572*SUMIF(ThresholdAge05,"&lt;"&amp;'19_Расчет_аналитики'!BH1572,WeightedRevAge05)-SUMIF(ThresholdAge05,"&lt;"&amp;'19_Расчет_аналитики'!BH1572,WeightedMinAge05),MAX(CapacityAge05*'01_Вводные'!$B$218*'19_Расчет_аналитики'!BH1572,MeanMinAge05)))</f>
        <v/>
      </c>
      <c r="BI1508">
        <f>IF(OR(('19_Расчет_аналитики'!BI1424-'19_Расчет_аналитики'!BI1452)=0,5&lt;='01_Вводные'!$B$297),0,('19_Расчет_аналитики'!BI1424-'19_Расчет_аналитики'!BI1452)*IF('01_Вводные'!$B$239="Да",MeanMinAge05+'19_Расчет_аналитики'!BI1572*SUMIF(ThresholdAge05,"&lt;"&amp;'19_Расчет_аналитики'!BI1572,WeightedRevAge05)-SUMIF(ThresholdAge05,"&lt;"&amp;'19_Расчет_аналитики'!BI1572,WeightedMinAge05),MAX(CapacityAge05*'01_Вводные'!$B$218*'19_Расчет_аналитики'!BI1572,MeanMinAge05)))</f>
        <v/>
      </c>
      <c r="BJ1508">
        <f>IF(OR(('19_Расчет_аналитики'!BJ1424-'19_Расчет_аналитики'!BJ1452)=0,5&lt;='01_Вводные'!$B$297),0,('19_Расчет_аналитики'!BJ1424-'19_Расчет_аналитики'!BJ1452)*IF('01_Вводные'!$B$239="Да",MeanMinAge05+'19_Расчет_аналитики'!BJ1572*SUMIF(ThresholdAge05,"&lt;"&amp;'19_Расчет_аналитики'!BJ1572,WeightedRevAge05)-SUMIF(ThresholdAge05,"&lt;"&amp;'19_Расчет_аналитики'!BJ1572,WeightedMinAge05),MAX(CapacityAge05*'01_Вводные'!$B$218*'19_Расчет_аналитики'!BJ1572,MeanMinAge05)))</f>
        <v/>
      </c>
      <c r="BK1508">
        <f>IF(OR(('19_Расчет_аналитики'!BK1424-'19_Расчет_аналитики'!BK1452)=0,5&lt;='01_Вводные'!$B$297),0,('19_Расчет_аналитики'!BK1424-'19_Расчет_аналитики'!BK1452)*IF('01_Вводные'!$B$239="Да",MeanMinAge05+'19_Расчет_аналитики'!BK1572*SUMIF(ThresholdAge05,"&lt;"&amp;'19_Расчет_аналитики'!BK1572,WeightedRevAge05)-SUMIF(ThresholdAge05,"&lt;"&amp;'19_Расчет_аналитики'!BK1572,WeightedMinAge05),MAX(CapacityAge05*'01_Вводные'!$B$218*'19_Расчет_аналитики'!BK1572,MeanMinAge05)))</f>
        <v/>
      </c>
      <c r="BL1508">
        <f>IF(OR(('19_Расчет_аналитики'!BL1424-'19_Расчет_аналитики'!BL1452)=0,5&lt;='01_Вводные'!$B$297),0,('19_Расчет_аналитики'!BL1424-'19_Расчет_аналитики'!BL1452)*IF('01_Вводные'!$B$239="Да",MeanMinAge05+'19_Расчет_аналитики'!BL1572*SUMIF(ThresholdAge05,"&lt;"&amp;'19_Расчет_аналитики'!BL1572,WeightedRevAge05)-SUMIF(ThresholdAge05,"&lt;"&amp;'19_Расчет_аналитики'!BL1572,WeightedMinAge05),MAX(CapacityAge05*'01_Вводные'!$B$218*'19_Расчет_аналитики'!BL1572,MeanMinAge05)))</f>
        <v/>
      </c>
      <c r="BM1508">
        <f>IF(OR(('19_Расчет_аналитики'!BM1424-'19_Расчет_аналитики'!BM1452)=0,5&lt;='01_Вводные'!$B$297),0,('19_Расчет_аналитики'!BM1424-'19_Расчет_аналитики'!BM1452)*IF('01_Вводные'!$B$239="Да",MeanMinAge05+'19_Расчет_аналитики'!BM1572*SUMIF(ThresholdAge05,"&lt;"&amp;'19_Расчет_аналитики'!BM1572,WeightedRevAge05)-SUMIF(ThresholdAge05,"&lt;"&amp;'19_Расчет_аналитики'!BM1572,WeightedMinAge05),MAX(CapacityAge05*'01_Вводные'!$B$218*'19_Расчет_аналитики'!BM1572,MeanMinAge05)))</f>
        <v/>
      </c>
      <c r="BN1508">
        <f>IF(OR(('19_Расчет_аналитики'!BN1424-'19_Расчет_аналитики'!BN1452)=0,5&lt;='01_Вводные'!$B$297),0,('19_Расчет_аналитики'!BN1424-'19_Расчет_аналитики'!BN1452)*IF('01_Вводные'!$B$239="Да",MeanMinAge05+'19_Расчет_аналитики'!BN1572*SUMIF(ThresholdAge05,"&lt;"&amp;'19_Расчет_аналитики'!BN1572,WeightedRevAge05)-SUMIF(ThresholdAge05,"&lt;"&amp;'19_Расчет_аналитики'!BN1572,WeightedMinAge05),MAX(CapacityAge05*'01_Вводные'!$B$218*'19_Расчет_аналитики'!BN1572,MeanMinAge05)))</f>
        <v/>
      </c>
      <c r="BO1508">
        <f>IF(OR(('19_Расчет_аналитики'!BO1424-'19_Расчет_аналитики'!BO1452)=0,5&lt;='01_Вводные'!$B$297),0,('19_Расчет_аналитики'!BO1424-'19_Расчет_аналитики'!BO1452)*IF('01_Вводные'!$B$239="Да",MeanMinAge05+'19_Расчет_аналитики'!BO1572*SUMIF(ThresholdAge05,"&lt;"&amp;'19_Расчет_аналитики'!BO1572,WeightedRevAge05)-SUMIF(ThresholdAge05,"&lt;"&amp;'19_Расчет_аналитики'!BO1572,WeightedMinAge05),MAX(CapacityAge05*'01_Вводные'!$B$218*'19_Расчет_аналитики'!BO1572,MeanMinAge05)))</f>
        <v/>
      </c>
    </row>
    <row r="1509">
      <c r="B1509">
        <f>IF(OR(('06_Сеть_и_дети'!B58-'06_Сеть_и_дети'!B86)=0,6&lt;='01_Вводные'!$B$297),0,('06_Сеть_и_дети'!B58-'06_Сеть_и_дети'!B86)*IF('01_Вводные'!$B$239="Да",MeanMinAge06+'19_Расчет_аналитики'!B1572*SUMIF(ThresholdAge06,"&lt;"&amp;'19_Расчет_аналитики'!B1572,WeightedRevAge06)-SUMIF(ThresholdAge06,"&lt;"&amp;'19_Расчет_аналитики'!B1572,WeightedMinAge06),MAX(CapacityAge06*'01_Вводные'!$B$218*'19_Расчет_аналитики'!B1572,MeanMinAge06)))</f>
        <v/>
      </c>
      <c r="C1509">
        <f>IF(OR(('06_Сеть_и_дети'!C58-'06_Сеть_и_дети'!C86)=0,6&lt;='01_Вводные'!$B$297),0,('06_Сеть_и_дети'!C58-'06_Сеть_и_дети'!C86)*IF('01_Вводные'!$B$239="Да",MeanMinAge06+'19_Расчет_аналитики'!C1572*SUMIF(ThresholdAge06,"&lt;"&amp;'19_Расчет_аналитики'!C1572,WeightedRevAge06)-SUMIF(ThresholdAge06,"&lt;"&amp;'19_Расчет_аналитики'!C1572,WeightedMinAge06),MAX(CapacityAge06*'01_Вводные'!$B$218*'19_Расчет_аналитики'!C1572,MeanMinAge06)))</f>
        <v/>
      </c>
      <c r="D1509">
        <f>IF(OR(('06_Сеть_и_дети'!D58-'06_Сеть_и_дети'!D86)=0,6&lt;='01_Вводные'!$B$297),0,('06_Сеть_и_дети'!D58-'06_Сеть_и_дети'!D86)*IF('01_Вводные'!$B$239="Да",MeanMinAge06+'19_Расчет_аналитики'!D1572*SUMIF(ThresholdAge06,"&lt;"&amp;'19_Расчет_аналитики'!D1572,WeightedRevAge06)-SUMIF(ThresholdAge06,"&lt;"&amp;'19_Расчет_аналитики'!D1572,WeightedMinAge06),MAX(CapacityAge06*'01_Вводные'!$B$218*'19_Расчет_аналитики'!D1572,MeanMinAge06)))</f>
        <v/>
      </c>
      <c r="E1509">
        <f>IF(OR(('06_Сеть_и_дети'!E58-'06_Сеть_и_дети'!E86)=0,6&lt;='01_Вводные'!$B$297),0,('06_Сеть_и_дети'!E58-'06_Сеть_и_дети'!E86)*IF('01_Вводные'!$B$239="Да",MeanMinAge06+'19_Расчет_аналитики'!E1572*SUMIF(ThresholdAge06,"&lt;"&amp;'19_Расчет_аналитики'!E1572,WeightedRevAge06)-SUMIF(ThresholdAge06,"&lt;"&amp;'19_Расчет_аналитики'!E1572,WeightedMinAge06),MAX(CapacityAge06*'01_Вводные'!$B$218*'19_Расчет_аналитики'!E1572,MeanMinAge06)))</f>
        <v/>
      </c>
      <c r="F1509">
        <f>IF(OR(('06_Сеть_и_дети'!F58-'06_Сеть_и_дети'!F86)=0,6&lt;='01_Вводные'!$B$297),0,('06_Сеть_и_дети'!F58-'06_Сеть_и_дети'!F86)*IF('01_Вводные'!$B$239="Да",MeanMinAge06+'19_Расчет_аналитики'!F1572*SUMIF(ThresholdAge06,"&lt;"&amp;'19_Расчет_аналитики'!F1572,WeightedRevAge06)-SUMIF(ThresholdAge06,"&lt;"&amp;'19_Расчет_аналитики'!F1572,WeightedMinAge06),MAX(CapacityAge06*'01_Вводные'!$B$218*'19_Расчет_аналитики'!F1572,MeanMinAge06)))</f>
        <v/>
      </c>
      <c r="G1509">
        <f>IF(OR(('19_Расчет_аналитики'!G1425-'19_Расчет_аналитики'!G1453)=0,6&lt;='01_Вводные'!$B$297),0,('19_Расчет_аналитики'!G1425-'19_Расчет_аналитики'!G1453)*IF('01_Вводные'!$B$239="Да",MeanMinAge06+'19_Расчет_аналитики'!G1572*SUMIF(ThresholdAge06,"&lt;"&amp;'19_Расчет_аналитики'!G1572,WeightedRevAge06)-SUMIF(ThresholdAge06,"&lt;"&amp;'19_Расчет_аналитики'!G1572,WeightedMinAge06),MAX(CapacityAge06*'01_Вводные'!$B$218*'19_Расчет_аналитики'!G1572,MeanMinAge06)))</f>
        <v/>
      </c>
      <c r="H1509">
        <f>IF(OR(('19_Расчет_аналитики'!H1425-'19_Расчет_аналитики'!H1453)=0,6&lt;='01_Вводные'!$B$297),0,('19_Расчет_аналитики'!H1425-'19_Расчет_аналитики'!H1453)*IF('01_Вводные'!$B$239="Да",MeanMinAge06+'19_Расчет_аналитики'!H1572*SUMIF(ThresholdAge06,"&lt;"&amp;'19_Расчет_аналитики'!H1572,WeightedRevAge06)-SUMIF(ThresholdAge06,"&lt;"&amp;'19_Расчет_аналитики'!H1572,WeightedMinAge06),MAX(CapacityAge06*'01_Вводные'!$B$218*'19_Расчет_аналитики'!H1572,MeanMinAge06)))</f>
        <v/>
      </c>
      <c r="I1509">
        <f>IF(OR(('19_Расчет_аналитики'!I1425-'19_Расчет_аналитики'!I1453)=0,6&lt;='01_Вводные'!$B$297),0,('19_Расчет_аналитики'!I1425-'19_Расчет_аналитики'!I1453)*IF('01_Вводные'!$B$239="Да",MeanMinAge06+'19_Расчет_аналитики'!I1572*SUMIF(ThresholdAge06,"&lt;"&amp;'19_Расчет_аналитики'!I1572,WeightedRevAge06)-SUMIF(ThresholdAge06,"&lt;"&amp;'19_Расчет_аналитики'!I1572,WeightedMinAge06),MAX(CapacityAge06*'01_Вводные'!$B$218*'19_Расчет_аналитики'!I1572,MeanMinAge06)))</f>
        <v/>
      </c>
      <c r="J1509">
        <f>IF(OR(('19_Расчет_аналитики'!J1425-'19_Расчет_аналитики'!J1453)=0,6&lt;='01_Вводные'!$B$297),0,('19_Расчет_аналитики'!J1425-'19_Расчет_аналитики'!J1453)*IF('01_Вводные'!$B$239="Да",MeanMinAge06+'19_Расчет_аналитики'!J1572*SUMIF(ThresholdAge06,"&lt;"&amp;'19_Расчет_аналитики'!J1572,WeightedRevAge06)-SUMIF(ThresholdAge06,"&lt;"&amp;'19_Расчет_аналитики'!J1572,WeightedMinAge06),MAX(CapacityAge06*'01_Вводные'!$B$218*'19_Расчет_аналитики'!J1572,MeanMinAge06)))</f>
        <v/>
      </c>
      <c r="K1509">
        <f>IF(OR(('19_Расчет_аналитики'!K1425-'19_Расчет_аналитики'!K1453)=0,6&lt;='01_Вводные'!$B$297),0,('19_Расчет_аналитики'!K1425-'19_Расчет_аналитики'!K1453)*IF('01_Вводные'!$B$239="Да",MeanMinAge06+'19_Расчет_аналитики'!K1572*SUMIF(ThresholdAge06,"&lt;"&amp;'19_Расчет_аналитики'!K1572,WeightedRevAge06)-SUMIF(ThresholdAge06,"&lt;"&amp;'19_Расчет_аналитики'!K1572,WeightedMinAge06),MAX(CapacityAge06*'01_Вводные'!$B$218*'19_Расчет_аналитики'!K1572,MeanMinAge06)))</f>
        <v/>
      </c>
      <c r="L1509">
        <f>IF(OR(('19_Расчет_аналитики'!L1425-'19_Расчет_аналитики'!L1453)=0,6&lt;='01_Вводные'!$B$297),0,('19_Расчет_аналитики'!L1425-'19_Расчет_аналитики'!L1453)*IF('01_Вводные'!$B$239="Да",MeanMinAge06+'19_Расчет_аналитики'!L1572*SUMIF(ThresholdAge06,"&lt;"&amp;'19_Расчет_аналитики'!L1572,WeightedRevAge06)-SUMIF(ThresholdAge06,"&lt;"&amp;'19_Расчет_аналитики'!L1572,WeightedMinAge06),MAX(CapacityAge06*'01_Вводные'!$B$218*'19_Расчет_аналитики'!L1572,MeanMinAge06)))</f>
        <v/>
      </c>
      <c r="M1509">
        <f>IF(OR(('19_Расчет_аналитики'!M1425-'19_Расчет_аналитики'!M1453)=0,6&lt;='01_Вводные'!$B$297),0,('19_Расчет_аналитики'!M1425-'19_Расчет_аналитики'!M1453)*IF('01_Вводные'!$B$239="Да",MeanMinAge06+'19_Расчет_аналитики'!M1572*SUMIF(ThresholdAge06,"&lt;"&amp;'19_Расчет_аналитики'!M1572,WeightedRevAge06)-SUMIF(ThresholdAge06,"&lt;"&amp;'19_Расчет_аналитики'!M1572,WeightedMinAge06),MAX(CapacityAge06*'01_Вводные'!$B$218*'19_Расчет_аналитики'!M1572,MeanMinAge06)))</f>
        <v/>
      </c>
      <c r="N1509">
        <f>IF(OR(('19_Расчет_аналитики'!N1425-'19_Расчет_аналитики'!N1453)=0,6&lt;='01_Вводные'!$B$297),0,('19_Расчет_аналитики'!N1425-'19_Расчет_аналитики'!N1453)*IF('01_Вводные'!$B$239="Да",MeanMinAge06+'19_Расчет_аналитики'!N1572*SUMIF(ThresholdAge06,"&lt;"&amp;'19_Расчет_аналитики'!N1572,WeightedRevAge06)-SUMIF(ThresholdAge06,"&lt;"&amp;'19_Расчет_аналитики'!N1572,WeightedMinAge06),MAX(CapacityAge06*'01_Вводные'!$B$218*'19_Расчет_аналитики'!N1572,MeanMinAge06)))</f>
        <v/>
      </c>
      <c r="O1509">
        <f>IF(OR(('19_Расчет_аналитики'!O1425-'19_Расчет_аналитики'!O1453)=0,6&lt;='01_Вводные'!$B$297),0,('19_Расчет_аналитики'!O1425-'19_Расчет_аналитики'!O1453)*IF('01_Вводные'!$B$239="Да",MeanMinAge06+'19_Расчет_аналитики'!O1572*SUMIF(ThresholdAge06,"&lt;"&amp;'19_Расчет_аналитики'!O1572,WeightedRevAge06)-SUMIF(ThresholdAge06,"&lt;"&amp;'19_Расчет_аналитики'!O1572,WeightedMinAge06),MAX(CapacityAge06*'01_Вводные'!$B$218*'19_Расчет_аналитики'!O1572,MeanMinAge06)))</f>
        <v/>
      </c>
      <c r="P1509">
        <f>IF(OR(('19_Расчет_аналитики'!P1425-'19_Расчет_аналитики'!P1453)=0,6&lt;='01_Вводные'!$B$297),0,('19_Расчет_аналитики'!P1425-'19_Расчет_аналитики'!P1453)*IF('01_Вводные'!$B$239="Да",MeanMinAge06+'19_Расчет_аналитики'!P1572*SUMIF(ThresholdAge06,"&lt;"&amp;'19_Расчет_аналитики'!P1572,WeightedRevAge06)-SUMIF(ThresholdAge06,"&lt;"&amp;'19_Расчет_аналитики'!P1572,WeightedMinAge06),MAX(CapacityAge06*'01_Вводные'!$B$218*'19_Расчет_аналитики'!P1572,MeanMinAge06)))</f>
        <v/>
      </c>
      <c r="Q1509">
        <f>IF(OR(('19_Расчет_аналитики'!Q1425-'19_Расчет_аналитики'!Q1453)=0,6&lt;='01_Вводные'!$B$297),0,('19_Расчет_аналитики'!Q1425-'19_Расчет_аналитики'!Q1453)*IF('01_Вводные'!$B$239="Да",MeanMinAge06+'19_Расчет_аналитики'!Q1572*SUMIF(ThresholdAge06,"&lt;"&amp;'19_Расчет_аналитики'!Q1572,WeightedRevAge06)-SUMIF(ThresholdAge06,"&lt;"&amp;'19_Расчет_аналитики'!Q1572,WeightedMinAge06),MAX(CapacityAge06*'01_Вводные'!$B$218*'19_Расчет_аналитики'!Q1572,MeanMinAge06)))</f>
        <v/>
      </c>
      <c r="R1509">
        <f>IF(OR(('19_Расчет_аналитики'!R1425-'19_Расчет_аналитики'!R1453)=0,6&lt;='01_Вводные'!$B$297),0,('19_Расчет_аналитики'!R1425-'19_Расчет_аналитики'!R1453)*IF('01_Вводные'!$B$239="Да",MeanMinAge06+'19_Расчет_аналитики'!R1572*SUMIF(ThresholdAge06,"&lt;"&amp;'19_Расчет_аналитики'!R1572,WeightedRevAge06)-SUMIF(ThresholdAge06,"&lt;"&amp;'19_Расчет_аналитики'!R1572,WeightedMinAge06),MAX(CapacityAge06*'01_Вводные'!$B$218*'19_Расчет_аналитики'!R1572,MeanMinAge06)))</f>
        <v/>
      </c>
      <c r="S1509">
        <f>IF(OR(('19_Расчет_аналитики'!S1425-'19_Расчет_аналитики'!S1453)=0,6&lt;='01_Вводные'!$B$297),0,('19_Расчет_аналитики'!S1425-'19_Расчет_аналитики'!S1453)*IF('01_Вводные'!$B$239="Да",MeanMinAge06+'19_Расчет_аналитики'!S1572*SUMIF(ThresholdAge06,"&lt;"&amp;'19_Расчет_аналитики'!S1572,WeightedRevAge06)-SUMIF(ThresholdAge06,"&lt;"&amp;'19_Расчет_аналитики'!S1572,WeightedMinAge06),MAX(CapacityAge06*'01_Вводные'!$B$218*'19_Расчет_аналитики'!S1572,MeanMinAge06)))</f>
        <v/>
      </c>
      <c r="T1509">
        <f>IF(OR(('19_Расчет_аналитики'!T1425-'19_Расчет_аналитики'!T1453)=0,6&lt;='01_Вводные'!$B$297),0,('19_Расчет_аналитики'!T1425-'19_Расчет_аналитики'!T1453)*IF('01_Вводные'!$B$239="Да",MeanMinAge06+'19_Расчет_аналитики'!T1572*SUMIF(ThresholdAge06,"&lt;"&amp;'19_Расчет_аналитики'!T1572,WeightedRevAge06)-SUMIF(ThresholdAge06,"&lt;"&amp;'19_Расчет_аналитики'!T1572,WeightedMinAge06),MAX(CapacityAge06*'01_Вводные'!$B$218*'19_Расчет_аналитики'!T1572,MeanMinAge06)))</f>
        <v/>
      </c>
      <c r="U1509">
        <f>IF(OR(('19_Расчет_аналитики'!U1425-'19_Расчет_аналитики'!U1453)=0,6&lt;='01_Вводные'!$B$297),0,('19_Расчет_аналитики'!U1425-'19_Расчет_аналитики'!U1453)*IF('01_Вводные'!$B$239="Да",MeanMinAge06+'19_Расчет_аналитики'!U1572*SUMIF(ThresholdAge06,"&lt;"&amp;'19_Расчет_аналитики'!U1572,WeightedRevAge06)-SUMIF(ThresholdAge06,"&lt;"&amp;'19_Расчет_аналитики'!U1572,WeightedMinAge06),MAX(CapacityAge06*'01_Вводные'!$B$218*'19_Расчет_аналитики'!U1572,MeanMinAge06)))</f>
        <v/>
      </c>
      <c r="V1509">
        <f>IF(OR(('19_Расчет_аналитики'!V1425-'19_Расчет_аналитики'!V1453)=0,6&lt;='01_Вводные'!$B$297),0,('19_Расчет_аналитики'!V1425-'19_Расчет_аналитики'!V1453)*IF('01_Вводные'!$B$239="Да",MeanMinAge06+'19_Расчет_аналитики'!V1572*SUMIF(ThresholdAge06,"&lt;"&amp;'19_Расчет_аналитики'!V1572,WeightedRevAge06)-SUMIF(ThresholdAge06,"&lt;"&amp;'19_Расчет_аналитики'!V1572,WeightedMinAge06),MAX(CapacityAge06*'01_Вводные'!$B$218*'19_Расчет_аналитики'!V1572,MeanMinAge06)))</f>
        <v/>
      </c>
      <c r="W1509">
        <f>IF(OR(('19_Расчет_аналитики'!W1425-'19_Расчет_аналитики'!W1453)=0,6&lt;='01_Вводные'!$B$297),0,('19_Расчет_аналитики'!W1425-'19_Расчет_аналитики'!W1453)*IF('01_Вводные'!$B$239="Да",MeanMinAge06+'19_Расчет_аналитики'!W1572*SUMIF(ThresholdAge06,"&lt;"&amp;'19_Расчет_аналитики'!W1572,WeightedRevAge06)-SUMIF(ThresholdAge06,"&lt;"&amp;'19_Расчет_аналитики'!W1572,WeightedMinAge06),MAX(CapacityAge06*'01_Вводные'!$B$218*'19_Расчет_аналитики'!W1572,MeanMinAge06)))</f>
        <v/>
      </c>
      <c r="X1509">
        <f>IF(OR(('19_Расчет_аналитики'!X1425-'19_Расчет_аналитики'!X1453)=0,6&lt;='01_Вводные'!$B$297),0,('19_Расчет_аналитики'!X1425-'19_Расчет_аналитики'!X1453)*IF('01_Вводные'!$B$239="Да",MeanMinAge06+'19_Расчет_аналитики'!X1572*SUMIF(ThresholdAge06,"&lt;"&amp;'19_Расчет_аналитики'!X1572,WeightedRevAge06)-SUMIF(ThresholdAge06,"&lt;"&amp;'19_Расчет_аналитики'!X1572,WeightedMinAge06),MAX(CapacityAge06*'01_Вводные'!$B$218*'19_Расчет_аналитики'!X1572,MeanMinAge06)))</f>
        <v/>
      </c>
      <c r="Y1509">
        <f>IF(OR(('19_Расчет_аналитики'!Y1425-'19_Расчет_аналитики'!Y1453)=0,6&lt;='01_Вводные'!$B$297),0,('19_Расчет_аналитики'!Y1425-'19_Расчет_аналитики'!Y1453)*IF('01_Вводные'!$B$239="Да",MeanMinAge06+'19_Расчет_аналитики'!Y1572*SUMIF(ThresholdAge06,"&lt;"&amp;'19_Расчет_аналитики'!Y1572,WeightedRevAge06)-SUMIF(ThresholdAge06,"&lt;"&amp;'19_Расчет_аналитики'!Y1572,WeightedMinAge06),MAX(CapacityAge06*'01_Вводные'!$B$218*'19_Расчет_аналитики'!Y1572,MeanMinAge06)))</f>
        <v/>
      </c>
      <c r="Z1509">
        <f>IF(OR(('19_Расчет_аналитики'!Z1425-'19_Расчет_аналитики'!Z1453)=0,6&lt;='01_Вводные'!$B$297),0,('19_Расчет_аналитики'!Z1425-'19_Расчет_аналитики'!Z1453)*IF('01_Вводные'!$B$239="Да",MeanMinAge06+'19_Расчет_аналитики'!Z1572*SUMIF(ThresholdAge06,"&lt;"&amp;'19_Расчет_аналитики'!Z1572,WeightedRevAge06)-SUMIF(ThresholdAge06,"&lt;"&amp;'19_Расчет_аналитики'!Z1572,WeightedMinAge06),MAX(CapacityAge06*'01_Вводные'!$B$218*'19_Расчет_аналитики'!Z1572,MeanMinAge06)))</f>
        <v/>
      </c>
      <c r="AA1509">
        <f>IF(OR(('19_Расчет_аналитики'!AA1425-'19_Расчет_аналитики'!AA1453)=0,6&lt;='01_Вводные'!$B$297),0,('19_Расчет_аналитики'!AA1425-'19_Расчет_аналитики'!AA1453)*IF('01_Вводные'!$B$239="Да",MeanMinAge06+'19_Расчет_аналитики'!AA1572*SUMIF(ThresholdAge06,"&lt;"&amp;'19_Расчет_аналитики'!AA1572,WeightedRevAge06)-SUMIF(ThresholdAge06,"&lt;"&amp;'19_Расчет_аналитики'!AA1572,WeightedMinAge06),MAX(CapacityAge06*'01_Вводные'!$B$218*'19_Расчет_аналитики'!AA1572,MeanMinAge06)))</f>
        <v/>
      </c>
      <c r="AB1509">
        <f>IF(OR(('19_Расчет_аналитики'!AB1425-'19_Расчет_аналитики'!AB1453)=0,6&lt;='01_Вводные'!$B$297),0,('19_Расчет_аналитики'!AB1425-'19_Расчет_аналитики'!AB1453)*IF('01_Вводные'!$B$239="Да",MeanMinAge06+'19_Расчет_аналитики'!AB1572*SUMIF(ThresholdAge06,"&lt;"&amp;'19_Расчет_аналитики'!AB1572,WeightedRevAge06)-SUMIF(ThresholdAge06,"&lt;"&amp;'19_Расчет_аналитики'!AB1572,WeightedMinAge06),MAX(CapacityAge06*'01_Вводные'!$B$218*'19_Расчет_аналитики'!AB1572,MeanMinAge06)))</f>
        <v/>
      </c>
      <c r="AC1509">
        <f>IF(OR(('19_Расчет_аналитики'!AC1425-'19_Расчет_аналитики'!AC1453)=0,6&lt;='01_Вводные'!$B$297),0,('19_Расчет_аналитики'!AC1425-'19_Расчет_аналитики'!AC1453)*IF('01_Вводные'!$B$239="Да",MeanMinAge06+'19_Расчет_аналитики'!AC1572*SUMIF(ThresholdAge06,"&lt;"&amp;'19_Расчет_аналитики'!AC1572,WeightedRevAge06)-SUMIF(ThresholdAge06,"&lt;"&amp;'19_Расчет_аналитики'!AC1572,WeightedMinAge06),MAX(CapacityAge06*'01_Вводные'!$B$218*'19_Расчет_аналитики'!AC1572,MeanMinAge06)))</f>
        <v/>
      </c>
      <c r="AD1509">
        <f>IF(OR(('19_Расчет_аналитики'!AD1425-'19_Расчет_аналитики'!AD1453)=0,6&lt;='01_Вводные'!$B$297),0,('19_Расчет_аналитики'!AD1425-'19_Расчет_аналитики'!AD1453)*IF('01_Вводные'!$B$239="Да",MeanMinAge06+'19_Расчет_аналитики'!AD1572*SUMIF(ThresholdAge06,"&lt;"&amp;'19_Расчет_аналитики'!AD1572,WeightedRevAge06)-SUMIF(ThresholdAge06,"&lt;"&amp;'19_Расчет_аналитики'!AD1572,WeightedMinAge06),MAX(CapacityAge06*'01_Вводные'!$B$218*'19_Расчет_аналитики'!AD1572,MeanMinAge06)))</f>
        <v/>
      </c>
      <c r="AE1509">
        <f>IF(OR(('19_Расчет_аналитики'!AE1425-'19_Расчет_аналитики'!AE1453)=0,6&lt;='01_Вводные'!$B$297),0,('19_Расчет_аналитики'!AE1425-'19_Расчет_аналитики'!AE1453)*IF('01_Вводные'!$B$239="Да",MeanMinAge06+'19_Расчет_аналитики'!AE1572*SUMIF(ThresholdAge06,"&lt;"&amp;'19_Расчет_аналитики'!AE1572,WeightedRevAge06)-SUMIF(ThresholdAge06,"&lt;"&amp;'19_Расчет_аналитики'!AE1572,WeightedMinAge06),MAX(CapacityAge06*'01_Вводные'!$B$218*'19_Расчет_аналитики'!AE1572,MeanMinAge06)))</f>
        <v/>
      </c>
      <c r="AF1509">
        <f>IF(OR(('19_Расчет_аналитики'!AF1425-'19_Расчет_аналитики'!AF1453)=0,6&lt;='01_Вводные'!$B$297),0,('19_Расчет_аналитики'!AF1425-'19_Расчет_аналитики'!AF1453)*IF('01_Вводные'!$B$239="Да",MeanMinAge06+'19_Расчет_аналитики'!AF1572*SUMIF(ThresholdAge06,"&lt;"&amp;'19_Расчет_аналитики'!AF1572,WeightedRevAge06)-SUMIF(ThresholdAge06,"&lt;"&amp;'19_Расчет_аналитики'!AF1572,WeightedMinAge06),MAX(CapacityAge06*'01_Вводные'!$B$218*'19_Расчет_аналитики'!AF1572,MeanMinAge06)))</f>
        <v/>
      </c>
      <c r="AG1509">
        <f>IF(OR(('19_Расчет_аналитики'!AG1425-'19_Расчет_аналитики'!AG1453)=0,6&lt;='01_Вводные'!$B$297),0,('19_Расчет_аналитики'!AG1425-'19_Расчет_аналитики'!AG1453)*IF('01_Вводные'!$B$239="Да",MeanMinAge06+'19_Расчет_аналитики'!AG1572*SUMIF(ThresholdAge06,"&lt;"&amp;'19_Расчет_аналитики'!AG1572,WeightedRevAge06)-SUMIF(ThresholdAge06,"&lt;"&amp;'19_Расчет_аналитики'!AG1572,WeightedMinAge06),MAX(CapacityAge06*'01_Вводные'!$B$218*'19_Расчет_аналитики'!AG1572,MeanMinAge06)))</f>
        <v/>
      </c>
      <c r="AH1509">
        <f>IF(OR(('19_Расчет_аналитики'!AH1425-'19_Расчет_аналитики'!AH1453)=0,6&lt;='01_Вводные'!$B$297),0,('19_Расчет_аналитики'!AH1425-'19_Расчет_аналитики'!AH1453)*IF('01_Вводные'!$B$239="Да",MeanMinAge06+'19_Расчет_аналитики'!AH1572*SUMIF(ThresholdAge06,"&lt;"&amp;'19_Расчет_аналитики'!AH1572,WeightedRevAge06)-SUMIF(ThresholdAge06,"&lt;"&amp;'19_Расчет_аналитики'!AH1572,WeightedMinAge06),MAX(CapacityAge06*'01_Вводные'!$B$218*'19_Расчет_аналитики'!AH1572,MeanMinAge06)))</f>
        <v/>
      </c>
      <c r="AI1509">
        <f>IF(OR(('19_Расчет_аналитики'!AI1425-'19_Расчет_аналитики'!AI1453)=0,6&lt;='01_Вводные'!$B$297),0,('19_Расчет_аналитики'!AI1425-'19_Расчет_аналитики'!AI1453)*IF('01_Вводные'!$B$239="Да",MeanMinAge06+'19_Расчет_аналитики'!AI1572*SUMIF(ThresholdAge06,"&lt;"&amp;'19_Расчет_аналитики'!AI1572,WeightedRevAge06)-SUMIF(ThresholdAge06,"&lt;"&amp;'19_Расчет_аналитики'!AI1572,WeightedMinAge06),MAX(CapacityAge06*'01_Вводные'!$B$218*'19_Расчет_аналитики'!AI1572,MeanMinAge06)))</f>
        <v/>
      </c>
      <c r="AJ1509">
        <f>IF(OR(('19_Расчет_аналитики'!AJ1425-'19_Расчет_аналитики'!AJ1453)=0,6&lt;='01_Вводные'!$B$297),0,('19_Расчет_аналитики'!AJ1425-'19_Расчет_аналитики'!AJ1453)*IF('01_Вводные'!$B$239="Да",MeanMinAge06+'19_Расчет_аналитики'!AJ1572*SUMIF(ThresholdAge06,"&lt;"&amp;'19_Расчет_аналитики'!AJ1572,WeightedRevAge06)-SUMIF(ThresholdAge06,"&lt;"&amp;'19_Расчет_аналитики'!AJ1572,WeightedMinAge06),MAX(CapacityAge06*'01_Вводные'!$B$218*'19_Расчет_аналитики'!AJ1572,MeanMinAge06)))</f>
        <v/>
      </c>
      <c r="AK1509">
        <f>IF(OR(('19_Расчет_аналитики'!AK1425-'19_Расчет_аналитики'!AK1453)=0,6&lt;='01_Вводные'!$B$297),0,('19_Расчет_аналитики'!AK1425-'19_Расчет_аналитики'!AK1453)*IF('01_Вводные'!$B$239="Да",MeanMinAge06+'19_Расчет_аналитики'!AK1572*SUMIF(ThresholdAge06,"&lt;"&amp;'19_Расчет_аналитики'!AK1572,WeightedRevAge06)-SUMIF(ThresholdAge06,"&lt;"&amp;'19_Расчет_аналитики'!AK1572,WeightedMinAge06),MAX(CapacityAge06*'01_Вводные'!$B$218*'19_Расчет_аналитики'!AK1572,MeanMinAge06)))</f>
        <v/>
      </c>
      <c r="AL1509">
        <f>IF(OR(('19_Расчет_аналитики'!AL1425-'19_Расчет_аналитики'!AL1453)=0,6&lt;='01_Вводные'!$B$297),0,('19_Расчет_аналитики'!AL1425-'19_Расчет_аналитики'!AL1453)*IF('01_Вводные'!$B$239="Да",MeanMinAge06+'19_Расчет_аналитики'!AL1572*SUMIF(ThresholdAge06,"&lt;"&amp;'19_Расчет_аналитики'!AL1572,WeightedRevAge06)-SUMIF(ThresholdAge06,"&lt;"&amp;'19_Расчет_аналитики'!AL1572,WeightedMinAge06),MAX(CapacityAge06*'01_Вводные'!$B$218*'19_Расчет_аналитики'!AL1572,MeanMinAge06)))</f>
        <v/>
      </c>
      <c r="AM1509">
        <f>IF(OR(('19_Расчет_аналитики'!AM1425-'19_Расчет_аналитики'!AM1453)=0,6&lt;='01_Вводные'!$B$297),0,('19_Расчет_аналитики'!AM1425-'19_Расчет_аналитики'!AM1453)*IF('01_Вводные'!$B$239="Да",MeanMinAge06+'19_Расчет_аналитики'!AM1572*SUMIF(ThresholdAge06,"&lt;"&amp;'19_Расчет_аналитики'!AM1572,WeightedRevAge06)-SUMIF(ThresholdAge06,"&lt;"&amp;'19_Расчет_аналитики'!AM1572,WeightedMinAge06),MAX(CapacityAge06*'01_Вводные'!$B$218*'19_Расчет_аналитики'!AM1572,MeanMinAge06)))</f>
        <v/>
      </c>
      <c r="AN1509">
        <f>IF(OR(('19_Расчет_аналитики'!AN1425-'19_Расчет_аналитики'!AN1453)=0,6&lt;='01_Вводные'!$B$297),0,('19_Расчет_аналитики'!AN1425-'19_Расчет_аналитики'!AN1453)*IF('01_Вводные'!$B$239="Да",MeanMinAge06+'19_Расчет_аналитики'!AN1572*SUMIF(ThresholdAge06,"&lt;"&amp;'19_Расчет_аналитики'!AN1572,WeightedRevAge06)-SUMIF(ThresholdAge06,"&lt;"&amp;'19_Расчет_аналитики'!AN1572,WeightedMinAge06),MAX(CapacityAge06*'01_Вводные'!$B$218*'19_Расчет_аналитики'!AN1572,MeanMinAge06)))</f>
        <v/>
      </c>
      <c r="AO1509">
        <f>IF(OR(('19_Расчет_аналитики'!AO1425-'19_Расчет_аналитики'!AO1453)=0,6&lt;='01_Вводные'!$B$297),0,('19_Расчет_аналитики'!AO1425-'19_Расчет_аналитики'!AO1453)*IF('01_Вводные'!$B$239="Да",MeanMinAge06+'19_Расчет_аналитики'!AO1572*SUMIF(ThresholdAge06,"&lt;"&amp;'19_Расчет_аналитики'!AO1572,WeightedRevAge06)-SUMIF(ThresholdAge06,"&lt;"&amp;'19_Расчет_аналитики'!AO1572,WeightedMinAge06),MAX(CapacityAge06*'01_Вводные'!$B$218*'19_Расчет_аналитики'!AO1572,MeanMinAge06)))</f>
        <v/>
      </c>
      <c r="AP1509">
        <f>IF(OR(('19_Расчет_аналитики'!AP1425-'19_Расчет_аналитики'!AP1453)=0,6&lt;='01_Вводные'!$B$297),0,('19_Расчет_аналитики'!AP1425-'19_Расчет_аналитики'!AP1453)*IF('01_Вводные'!$B$239="Да",MeanMinAge06+'19_Расчет_аналитики'!AP1572*SUMIF(ThresholdAge06,"&lt;"&amp;'19_Расчет_аналитики'!AP1572,WeightedRevAge06)-SUMIF(ThresholdAge06,"&lt;"&amp;'19_Расчет_аналитики'!AP1572,WeightedMinAge06),MAX(CapacityAge06*'01_Вводные'!$B$218*'19_Расчет_аналитики'!AP1572,MeanMinAge06)))</f>
        <v/>
      </c>
      <c r="AQ1509">
        <f>IF(OR(('19_Расчет_аналитики'!AQ1425-'19_Расчет_аналитики'!AQ1453)=0,6&lt;='01_Вводные'!$B$297),0,('19_Расчет_аналитики'!AQ1425-'19_Расчет_аналитики'!AQ1453)*IF('01_Вводные'!$B$239="Да",MeanMinAge06+'19_Расчет_аналитики'!AQ1572*SUMIF(ThresholdAge06,"&lt;"&amp;'19_Расчет_аналитики'!AQ1572,WeightedRevAge06)-SUMIF(ThresholdAge06,"&lt;"&amp;'19_Расчет_аналитики'!AQ1572,WeightedMinAge06),MAX(CapacityAge06*'01_Вводные'!$B$218*'19_Расчет_аналитики'!AQ1572,MeanMinAge06)))</f>
        <v/>
      </c>
      <c r="AR1509">
        <f>IF(OR(('19_Расчет_аналитики'!AR1425-'19_Расчет_аналитики'!AR1453)=0,6&lt;='01_Вводные'!$B$297),0,('19_Расчет_аналитики'!AR1425-'19_Расчет_аналитики'!AR1453)*IF('01_Вводные'!$B$239="Да",MeanMinAge06+'19_Расчет_аналитики'!AR1572*SUMIF(ThresholdAge06,"&lt;"&amp;'19_Расчет_аналитики'!AR1572,WeightedRevAge06)-SUMIF(ThresholdAge06,"&lt;"&amp;'19_Расчет_аналитики'!AR1572,WeightedMinAge06),MAX(CapacityAge06*'01_Вводные'!$B$218*'19_Расчет_аналитики'!AR1572,MeanMinAge06)))</f>
        <v/>
      </c>
      <c r="AS1509">
        <f>IF(OR(('19_Расчет_аналитики'!AS1425-'19_Расчет_аналитики'!AS1453)=0,6&lt;='01_Вводные'!$B$297),0,('19_Расчет_аналитики'!AS1425-'19_Расчет_аналитики'!AS1453)*IF('01_Вводные'!$B$239="Да",MeanMinAge06+'19_Расчет_аналитики'!AS1572*SUMIF(ThresholdAge06,"&lt;"&amp;'19_Расчет_аналитики'!AS1572,WeightedRevAge06)-SUMIF(ThresholdAge06,"&lt;"&amp;'19_Расчет_аналитики'!AS1572,WeightedMinAge06),MAX(CapacityAge06*'01_Вводные'!$B$218*'19_Расчет_аналитики'!AS1572,MeanMinAge06)))</f>
        <v/>
      </c>
      <c r="AT1509">
        <f>IF(OR(('19_Расчет_аналитики'!AT1425-'19_Расчет_аналитики'!AT1453)=0,6&lt;='01_Вводные'!$B$297),0,('19_Расчет_аналитики'!AT1425-'19_Расчет_аналитики'!AT1453)*IF('01_Вводные'!$B$239="Да",MeanMinAge06+'19_Расчет_аналитики'!AT1572*SUMIF(ThresholdAge06,"&lt;"&amp;'19_Расчет_аналитики'!AT1572,WeightedRevAge06)-SUMIF(ThresholdAge06,"&lt;"&amp;'19_Расчет_аналитики'!AT1572,WeightedMinAge06),MAX(CapacityAge06*'01_Вводные'!$B$218*'19_Расчет_аналитики'!AT1572,MeanMinAge06)))</f>
        <v/>
      </c>
      <c r="AU1509">
        <f>IF(OR(('19_Расчет_аналитики'!AU1425-'19_Расчет_аналитики'!AU1453)=0,6&lt;='01_Вводные'!$B$297),0,('19_Расчет_аналитики'!AU1425-'19_Расчет_аналитики'!AU1453)*IF('01_Вводные'!$B$239="Да",MeanMinAge06+'19_Расчет_аналитики'!AU1572*SUMIF(ThresholdAge06,"&lt;"&amp;'19_Расчет_аналитики'!AU1572,WeightedRevAge06)-SUMIF(ThresholdAge06,"&lt;"&amp;'19_Расчет_аналитики'!AU1572,WeightedMinAge06),MAX(CapacityAge06*'01_Вводные'!$B$218*'19_Расчет_аналитики'!AU1572,MeanMinAge06)))</f>
        <v/>
      </c>
      <c r="AV1509">
        <f>IF(OR(('19_Расчет_аналитики'!AV1425-'19_Расчет_аналитики'!AV1453)=0,6&lt;='01_Вводные'!$B$297),0,('19_Расчет_аналитики'!AV1425-'19_Расчет_аналитики'!AV1453)*IF('01_Вводные'!$B$239="Да",MeanMinAge06+'19_Расчет_аналитики'!AV1572*SUMIF(ThresholdAge06,"&lt;"&amp;'19_Расчет_аналитики'!AV1572,WeightedRevAge06)-SUMIF(ThresholdAge06,"&lt;"&amp;'19_Расчет_аналитики'!AV1572,WeightedMinAge06),MAX(CapacityAge06*'01_Вводные'!$B$218*'19_Расчет_аналитики'!AV1572,MeanMinAge06)))</f>
        <v/>
      </c>
      <c r="AW1509">
        <f>IF(OR(('19_Расчет_аналитики'!AW1425-'19_Расчет_аналитики'!AW1453)=0,6&lt;='01_Вводные'!$B$297),0,('19_Расчет_аналитики'!AW1425-'19_Расчет_аналитики'!AW1453)*IF('01_Вводные'!$B$239="Да",MeanMinAge06+'19_Расчет_аналитики'!AW1572*SUMIF(ThresholdAge06,"&lt;"&amp;'19_Расчет_аналитики'!AW1572,WeightedRevAge06)-SUMIF(ThresholdAge06,"&lt;"&amp;'19_Расчет_аналитики'!AW1572,WeightedMinAge06),MAX(CapacityAge06*'01_Вводные'!$B$218*'19_Расчет_аналитики'!AW1572,MeanMinAge06)))</f>
        <v/>
      </c>
      <c r="AX1509">
        <f>IF(OR(('19_Расчет_аналитики'!AX1425-'19_Расчет_аналитики'!AX1453)=0,6&lt;='01_Вводные'!$B$297),0,('19_Расчет_аналитики'!AX1425-'19_Расчет_аналитики'!AX1453)*IF('01_Вводные'!$B$239="Да",MeanMinAge06+'19_Расчет_аналитики'!AX1572*SUMIF(ThresholdAge06,"&lt;"&amp;'19_Расчет_аналитики'!AX1572,WeightedRevAge06)-SUMIF(ThresholdAge06,"&lt;"&amp;'19_Расчет_аналитики'!AX1572,WeightedMinAge06),MAX(CapacityAge06*'01_Вводные'!$B$218*'19_Расчет_аналитики'!AX1572,MeanMinAge06)))</f>
        <v/>
      </c>
      <c r="AY1509">
        <f>IF(OR(('19_Расчет_аналитики'!AY1425-'19_Расчет_аналитики'!AY1453)=0,6&lt;='01_Вводные'!$B$297),0,('19_Расчет_аналитики'!AY1425-'19_Расчет_аналитики'!AY1453)*IF('01_Вводные'!$B$239="Да",MeanMinAge06+'19_Расчет_аналитики'!AY1572*SUMIF(ThresholdAge06,"&lt;"&amp;'19_Расчет_аналитики'!AY1572,WeightedRevAge06)-SUMIF(ThresholdAge06,"&lt;"&amp;'19_Расчет_аналитики'!AY1572,WeightedMinAge06),MAX(CapacityAge06*'01_Вводные'!$B$218*'19_Расчет_аналитики'!AY1572,MeanMinAge06)))</f>
        <v/>
      </c>
      <c r="AZ1509">
        <f>IF(OR(('19_Расчет_аналитики'!AZ1425-'19_Расчет_аналитики'!AZ1453)=0,6&lt;='01_Вводные'!$B$297),0,('19_Расчет_аналитики'!AZ1425-'19_Расчет_аналитики'!AZ1453)*IF('01_Вводные'!$B$239="Да",MeanMinAge06+'19_Расчет_аналитики'!AZ1572*SUMIF(ThresholdAge06,"&lt;"&amp;'19_Расчет_аналитики'!AZ1572,WeightedRevAge06)-SUMIF(ThresholdAge06,"&lt;"&amp;'19_Расчет_аналитики'!AZ1572,WeightedMinAge06),MAX(CapacityAge06*'01_Вводные'!$B$218*'19_Расчет_аналитики'!AZ1572,MeanMinAge06)))</f>
        <v/>
      </c>
      <c r="BA1509">
        <f>IF(OR(('19_Расчет_аналитики'!BA1425-'19_Расчет_аналитики'!BA1453)=0,6&lt;='01_Вводные'!$B$297),0,('19_Расчет_аналитики'!BA1425-'19_Расчет_аналитики'!BA1453)*IF('01_Вводные'!$B$239="Да",MeanMinAge06+'19_Расчет_аналитики'!BA1572*SUMIF(ThresholdAge06,"&lt;"&amp;'19_Расчет_аналитики'!BA1572,WeightedRevAge06)-SUMIF(ThresholdAge06,"&lt;"&amp;'19_Расчет_аналитики'!BA1572,WeightedMinAge06),MAX(CapacityAge06*'01_Вводные'!$B$218*'19_Расчет_аналитики'!BA1572,MeanMinAge06)))</f>
        <v/>
      </c>
      <c r="BB1509">
        <f>IF(OR(('19_Расчет_аналитики'!BB1425-'19_Расчет_аналитики'!BB1453)=0,6&lt;='01_Вводные'!$B$297),0,('19_Расчет_аналитики'!BB1425-'19_Расчет_аналитики'!BB1453)*IF('01_Вводные'!$B$239="Да",MeanMinAge06+'19_Расчет_аналитики'!BB1572*SUMIF(ThresholdAge06,"&lt;"&amp;'19_Расчет_аналитики'!BB1572,WeightedRevAge06)-SUMIF(ThresholdAge06,"&lt;"&amp;'19_Расчет_аналитики'!BB1572,WeightedMinAge06),MAX(CapacityAge06*'01_Вводные'!$B$218*'19_Расчет_аналитики'!BB1572,MeanMinAge06)))</f>
        <v/>
      </c>
      <c r="BC1509">
        <f>IF(OR(('19_Расчет_аналитики'!BC1425-'19_Расчет_аналитики'!BC1453)=0,6&lt;='01_Вводные'!$B$297),0,('19_Расчет_аналитики'!BC1425-'19_Расчет_аналитики'!BC1453)*IF('01_Вводные'!$B$239="Да",MeanMinAge06+'19_Расчет_аналитики'!BC1572*SUMIF(ThresholdAge06,"&lt;"&amp;'19_Расчет_аналитики'!BC1572,WeightedRevAge06)-SUMIF(ThresholdAge06,"&lt;"&amp;'19_Расчет_аналитики'!BC1572,WeightedMinAge06),MAX(CapacityAge06*'01_Вводные'!$B$218*'19_Расчет_аналитики'!BC1572,MeanMinAge06)))</f>
        <v/>
      </c>
      <c r="BD1509">
        <f>IF(OR(('19_Расчет_аналитики'!BD1425-'19_Расчет_аналитики'!BD1453)=0,6&lt;='01_Вводные'!$B$297),0,('19_Расчет_аналитики'!BD1425-'19_Расчет_аналитики'!BD1453)*IF('01_Вводные'!$B$239="Да",MeanMinAge06+'19_Расчет_аналитики'!BD1572*SUMIF(ThresholdAge06,"&lt;"&amp;'19_Расчет_аналитики'!BD1572,WeightedRevAge06)-SUMIF(ThresholdAge06,"&lt;"&amp;'19_Расчет_аналитики'!BD1572,WeightedMinAge06),MAX(CapacityAge06*'01_Вводные'!$B$218*'19_Расчет_аналитики'!BD1572,MeanMinAge06)))</f>
        <v/>
      </c>
      <c r="BE1509">
        <f>IF(OR(('19_Расчет_аналитики'!BE1425-'19_Расчет_аналитики'!BE1453)=0,6&lt;='01_Вводные'!$B$297),0,('19_Расчет_аналитики'!BE1425-'19_Расчет_аналитики'!BE1453)*IF('01_Вводные'!$B$239="Да",MeanMinAge06+'19_Расчет_аналитики'!BE1572*SUMIF(ThresholdAge06,"&lt;"&amp;'19_Расчет_аналитики'!BE1572,WeightedRevAge06)-SUMIF(ThresholdAge06,"&lt;"&amp;'19_Расчет_аналитики'!BE1572,WeightedMinAge06),MAX(CapacityAge06*'01_Вводные'!$B$218*'19_Расчет_аналитики'!BE1572,MeanMinAge06)))</f>
        <v/>
      </c>
      <c r="BF1509">
        <f>IF(OR(('19_Расчет_аналитики'!BF1425-'19_Расчет_аналитики'!BF1453)=0,6&lt;='01_Вводные'!$B$297),0,('19_Расчет_аналитики'!BF1425-'19_Расчет_аналитики'!BF1453)*IF('01_Вводные'!$B$239="Да",MeanMinAge06+'19_Расчет_аналитики'!BF1572*SUMIF(ThresholdAge06,"&lt;"&amp;'19_Расчет_аналитики'!BF1572,WeightedRevAge06)-SUMIF(ThresholdAge06,"&lt;"&amp;'19_Расчет_аналитики'!BF1572,WeightedMinAge06),MAX(CapacityAge06*'01_Вводные'!$B$218*'19_Расчет_аналитики'!BF1572,MeanMinAge06)))</f>
        <v/>
      </c>
      <c r="BG1509">
        <f>IF(OR(('19_Расчет_аналитики'!BG1425-'19_Расчет_аналитики'!BG1453)=0,6&lt;='01_Вводные'!$B$297),0,('19_Расчет_аналитики'!BG1425-'19_Расчет_аналитики'!BG1453)*IF('01_Вводные'!$B$239="Да",MeanMinAge06+'19_Расчет_аналитики'!BG1572*SUMIF(ThresholdAge06,"&lt;"&amp;'19_Расчет_аналитики'!BG1572,WeightedRevAge06)-SUMIF(ThresholdAge06,"&lt;"&amp;'19_Расчет_аналитики'!BG1572,WeightedMinAge06),MAX(CapacityAge06*'01_Вводные'!$B$218*'19_Расчет_аналитики'!BG1572,MeanMinAge06)))</f>
        <v/>
      </c>
      <c r="BH1509">
        <f>IF(OR(('19_Расчет_аналитики'!BH1425-'19_Расчет_аналитики'!BH1453)=0,6&lt;='01_Вводные'!$B$297),0,('19_Расчет_аналитики'!BH1425-'19_Расчет_аналитики'!BH1453)*IF('01_Вводные'!$B$239="Да",MeanMinAge06+'19_Расчет_аналитики'!BH1572*SUMIF(ThresholdAge06,"&lt;"&amp;'19_Расчет_аналитики'!BH1572,WeightedRevAge06)-SUMIF(ThresholdAge06,"&lt;"&amp;'19_Расчет_аналитики'!BH1572,WeightedMinAge06),MAX(CapacityAge06*'01_Вводные'!$B$218*'19_Расчет_аналитики'!BH1572,MeanMinAge06)))</f>
        <v/>
      </c>
      <c r="BI1509">
        <f>IF(OR(('19_Расчет_аналитики'!BI1425-'19_Расчет_аналитики'!BI1453)=0,6&lt;='01_Вводные'!$B$297),0,('19_Расчет_аналитики'!BI1425-'19_Расчет_аналитики'!BI1453)*IF('01_Вводные'!$B$239="Да",MeanMinAge06+'19_Расчет_аналитики'!BI1572*SUMIF(ThresholdAge06,"&lt;"&amp;'19_Расчет_аналитики'!BI1572,WeightedRevAge06)-SUMIF(ThresholdAge06,"&lt;"&amp;'19_Расчет_аналитики'!BI1572,WeightedMinAge06),MAX(CapacityAge06*'01_Вводные'!$B$218*'19_Расчет_аналитики'!BI1572,MeanMinAge06)))</f>
        <v/>
      </c>
      <c r="BJ1509">
        <f>IF(OR(('19_Расчет_аналитики'!BJ1425-'19_Расчет_аналитики'!BJ1453)=0,6&lt;='01_Вводные'!$B$297),0,('19_Расчет_аналитики'!BJ1425-'19_Расчет_аналитики'!BJ1453)*IF('01_Вводные'!$B$239="Да",MeanMinAge06+'19_Расчет_аналитики'!BJ1572*SUMIF(ThresholdAge06,"&lt;"&amp;'19_Расчет_аналитики'!BJ1572,WeightedRevAge06)-SUMIF(ThresholdAge06,"&lt;"&amp;'19_Расчет_аналитики'!BJ1572,WeightedMinAge06),MAX(CapacityAge06*'01_Вводные'!$B$218*'19_Расчет_аналитики'!BJ1572,MeanMinAge06)))</f>
        <v/>
      </c>
      <c r="BK1509">
        <f>IF(OR(('19_Расчет_аналитики'!BK1425-'19_Расчет_аналитики'!BK1453)=0,6&lt;='01_Вводные'!$B$297),0,('19_Расчет_аналитики'!BK1425-'19_Расчет_аналитики'!BK1453)*IF('01_Вводные'!$B$239="Да",MeanMinAge06+'19_Расчет_аналитики'!BK1572*SUMIF(ThresholdAge06,"&lt;"&amp;'19_Расчет_аналитики'!BK1572,WeightedRevAge06)-SUMIF(ThresholdAge06,"&lt;"&amp;'19_Расчет_аналитики'!BK1572,WeightedMinAge06),MAX(CapacityAge06*'01_Вводные'!$B$218*'19_Расчет_аналитики'!BK1572,MeanMinAge06)))</f>
        <v/>
      </c>
      <c r="BL1509">
        <f>IF(OR(('19_Расчет_аналитики'!BL1425-'19_Расчет_аналитики'!BL1453)=0,6&lt;='01_Вводные'!$B$297),0,('19_Расчет_аналитики'!BL1425-'19_Расчет_аналитики'!BL1453)*IF('01_Вводные'!$B$239="Да",MeanMinAge06+'19_Расчет_аналитики'!BL1572*SUMIF(ThresholdAge06,"&lt;"&amp;'19_Расчет_аналитики'!BL1572,WeightedRevAge06)-SUMIF(ThresholdAge06,"&lt;"&amp;'19_Расчет_аналитики'!BL1572,WeightedMinAge06),MAX(CapacityAge06*'01_Вводные'!$B$218*'19_Расчет_аналитики'!BL1572,MeanMinAge06)))</f>
        <v/>
      </c>
      <c r="BM1509">
        <f>IF(OR(('19_Расчет_аналитики'!BM1425-'19_Расчет_аналитики'!BM1453)=0,6&lt;='01_Вводные'!$B$297),0,('19_Расчет_аналитики'!BM1425-'19_Расчет_аналитики'!BM1453)*IF('01_Вводные'!$B$239="Да",MeanMinAge06+'19_Расчет_аналитики'!BM1572*SUMIF(ThresholdAge06,"&lt;"&amp;'19_Расчет_аналитики'!BM1572,WeightedRevAge06)-SUMIF(ThresholdAge06,"&lt;"&amp;'19_Расчет_аналитики'!BM1572,WeightedMinAge06),MAX(CapacityAge06*'01_Вводные'!$B$218*'19_Расчет_аналитики'!BM1572,MeanMinAge06)))</f>
        <v/>
      </c>
      <c r="BN1509">
        <f>IF(OR(('19_Расчет_аналитики'!BN1425-'19_Расчет_аналитики'!BN1453)=0,6&lt;='01_Вводные'!$B$297),0,('19_Расчет_аналитики'!BN1425-'19_Расчет_аналитики'!BN1453)*IF('01_Вводные'!$B$239="Да",MeanMinAge06+'19_Расчет_аналитики'!BN1572*SUMIF(ThresholdAge06,"&lt;"&amp;'19_Расчет_аналитики'!BN1572,WeightedRevAge06)-SUMIF(ThresholdAge06,"&lt;"&amp;'19_Расчет_аналитики'!BN1572,WeightedMinAge06),MAX(CapacityAge06*'01_Вводные'!$B$218*'19_Расчет_аналитики'!BN1572,MeanMinAge06)))</f>
        <v/>
      </c>
      <c r="BO1509">
        <f>IF(OR(('19_Расчет_аналитики'!BO1425-'19_Расчет_аналитики'!BO1453)=0,6&lt;='01_Вводные'!$B$297),0,('19_Расчет_аналитики'!BO1425-'19_Расчет_аналитики'!BO1453)*IF('01_Вводные'!$B$239="Да",MeanMinAge06+'19_Расчет_аналитики'!BO1572*SUMIF(ThresholdAge06,"&lt;"&amp;'19_Расчет_аналитики'!BO1572,WeightedRevAge06)-SUMIF(ThresholdAge06,"&lt;"&amp;'19_Расчет_аналитики'!BO1572,WeightedMinAge06),MAX(CapacityAge06*'01_Вводные'!$B$218*'19_Расчет_аналитики'!BO1572,MeanMinAge06)))</f>
        <v/>
      </c>
    </row>
    <row r="1510">
      <c r="B1510">
        <f>IF(OR(('06_Сеть_и_дети'!B59-'06_Сеть_и_дети'!B87)=0,7&lt;='01_Вводные'!$B$297),0,('06_Сеть_и_дети'!B59-'06_Сеть_и_дети'!B87)*IF('01_Вводные'!$B$239="Да",MeanMinAge07+'19_Расчет_аналитики'!B1572*SUMIF(ThresholdAge07,"&lt;"&amp;'19_Расчет_аналитики'!B1572,WeightedRevAge07)-SUMIF(ThresholdAge07,"&lt;"&amp;'19_Расчет_аналитики'!B1572,WeightedMinAge07),MAX(CapacityAge07*'01_Вводные'!$B$218*'19_Расчет_аналитики'!B1572,MeanMinAge07)))</f>
        <v/>
      </c>
      <c r="C1510">
        <f>IF(OR(('06_Сеть_и_дети'!C59-'06_Сеть_и_дети'!C87)=0,7&lt;='01_Вводные'!$B$297),0,('06_Сеть_и_дети'!C59-'06_Сеть_и_дети'!C87)*IF('01_Вводные'!$B$239="Да",MeanMinAge07+'19_Расчет_аналитики'!C1572*SUMIF(ThresholdAge07,"&lt;"&amp;'19_Расчет_аналитики'!C1572,WeightedRevAge07)-SUMIF(ThresholdAge07,"&lt;"&amp;'19_Расчет_аналитики'!C1572,WeightedMinAge07),MAX(CapacityAge07*'01_Вводные'!$B$218*'19_Расчет_аналитики'!C1572,MeanMinAge07)))</f>
        <v/>
      </c>
      <c r="D1510">
        <f>IF(OR(('06_Сеть_и_дети'!D59-'06_Сеть_и_дети'!D87)=0,7&lt;='01_Вводные'!$B$297),0,('06_Сеть_и_дети'!D59-'06_Сеть_и_дети'!D87)*IF('01_Вводные'!$B$239="Да",MeanMinAge07+'19_Расчет_аналитики'!D1572*SUMIF(ThresholdAge07,"&lt;"&amp;'19_Расчет_аналитики'!D1572,WeightedRevAge07)-SUMIF(ThresholdAge07,"&lt;"&amp;'19_Расчет_аналитики'!D1572,WeightedMinAge07),MAX(CapacityAge07*'01_Вводные'!$B$218*'19_Расчет_аналитики'!D1572,MeanMinAge07)))</f>
        <v/>
      </c>
      <c r="E1510">
        <f>IF(OR(('06_Сеть_и_дети'!E59-'06_Сеть_и_дети'!E87)=0,7&lt;='01_Вводные'!$B$297),0,('06_Сеть_и_дети'!E59-'06_Сеть_и_дети'!E87)*IF('01_Вводные'!$B$239="Да",MeanMinAge07+'19_Расчет_аналитики'!E1572*SUMIF(ThresholdAge07,"&lt;"&amp;'19_Расчет_аналитики'!E1572,WeightedRevAge07)-SUMIF(ThresholdAge07,"&lt;"&amp;'19_Расчет_аналитики'!E1572,WeightedMinAge07),MAX(CapacityAge07*'01_Вводные'!$B$218*'19_Расчет_аналитики'!E1572,MeanMinAge07)))</f>
        <v/>
      </c>
      <c r="F1510">
        <f>IF(OR(('06_Сеть_и_дети'!F59-'06_Сеть_и_дети'!F87)=0,7&lt;='01_Вводные'!$B$297),0,('06_Сеть_и_дети'!F59-'06_Сеть_и_дети'!F87)*IF('01_Вводные'!$B$239="Да",MeanMinAge07+'19_Расчет_аналитики'!F1572*SUMIF(ThresholdAge07,"&lt;"&amp;'19_Расчет_аналитики'!F1572,WeightedRevAge07)-SUMIF(ThresholdAge07,"&lt;"&amp;'19_Расчет_аналитики'!F1572,WeightedMinAge07),MAX(CapacityAge07*'01_Вводные'!$B$218*'19_Расчет_аналитики'!F1572,MeanMinAge07)))</f>
        <v/>
      </c>
      <c r="G1510">
        <f>IF(OR(('06_Сеть_и_дети'!G59-'06_Сеть_и_дети'!G87)=0,7&lt;='01_Вводные'!$B$297),0,('06_Сеть_и_дети'!G59-'06_Сеть_и_дети'!G87)*IF('01_Вводные'!$B$239="Да",MeanMinAge07+'19_Расчет_аналитики'!G1572*SUMIF(ThresholdAge07,"&lt;"&amp;'19_Расчет_аналитики'!G1572,WeightedRevAge07)-SUMIF(ThresholdAge07,"&lt;"&amp;'19_Расчет_аналитики'!G1572,WeightedMinAge07),MAX(CapacityAge07*'01_Вводные'!$B$218*'19_Расчет_аналитики'!G1572,MeanMinAge07)))</f>
        <v/>
      </c>
      <c r="H1510">
        <f>IF(OR(('19_Расчет_аналитики'!H1426-'19_Расчет_аналитики'!H1454)=0,7&lt;='01_Вводные'!$B$297),0,('19_Расчет_аналитики'!H1426-'19_Расчет_аналитики'!H1454)*IF('01_Вводные'!$B$239="Да",MeanMinAge07+'19_Расчет_аналитики'!H1572*SUMIF(ThresholdAge07,"&lt;"&amp;'19_Расчет_аналитики'!H1572,WeightedRevAge07)-SUMIF(ThresholdAge07,"&lt;"&amp;'19_Расчет_аналитики'!H1572,WeightedMinAge07),MAX(CapacityAge07*'01_Вводные'!$B$218*'19_Расчет_аналитики'!H1572,MeanMinAge07)))</f>
        <v/>
      </c>
      <c r="I1510">
        <f>IF(OR(('19_Расчет_аналитики'!I1426-'19_Расчет_аналитики'!I1454)=0,7&lt;='01_Вводные'!$B$297),0,('19_Расчет_аналитики'!I1426-'19_Расчет_аналитики'!I1454)*IF('01_Вводные'!$B$239="Да",MeanMinAge07+'19_Расчет_аналитики'!I1572*SUMIF(ThresholdAge07,"&lt;"&amp;'19_Расчет_аналитики'!I1572,WeightedRevAge07)-SUMIF(ThresholdAge07,"&lt;"&amp;'19_Расчет_аналитики'!I1572,WeightedMinAge07),MAX(CapacityAge07*'01_Вводные'!$B$218*'19_Расчет_аналитики'!I1572,MeanMinAge07)))</f>
        <v/>
      </c>
      <c r="J1510">
        <f>IF(OR(('19_Расчет_аналитики'!J1426-'19_Расчет_аналитики'!J1454)=0,7&lt;='01_Вводные'!$B$297),0,('19_Расчет_аналитики'!J1426-'19_Расчет_аналитики'!J1454)*IF('01_Вводные'!$B$239="Да",MeanMinAge07+'19_Расчет_аналитики'!J1572*SUMIF(ThresholdAge07,"&lt;"&amp;'19_Расчет_аналитики'!J1572,WeightedRevAge07)-SUMIF(ThresholdAge07,"&lt;"&amp;'19_Расчет_аналитики'!J1572,WeightedMinAge07),MAX(CapacityAge07*'01_Вводные'!$B$218*'19_Расчет_аналитики'!J1572,MeanMinAge07)))</f>
        <v/>
      </c>
      <c r="K1510">
        <f>IF(OR(('19_Расчет_аналитики'!K1426-'19_Расчет_аналитики'!K1454)=0,7&lt;='01_Вводные'!$B$297),0,('19_Расчет_аналитики'!K1426-'19_Расчет_аналитики'!K1454)*IF('01_Вводные'!$B$239="Да",MeanMinAge07+'19_Расчет_аналитики'!K1572*SUMIF(ThresholdAge07,"&lt;"&amp;'19_Расчет_аналитики'!K1572,WeightedRevAge07)-SUMIF(ThresholdAge07,"&lt;"&amp;'19_Расчет_аналитики'!K1572,WeightedMinAge07),MAX(CapacityAge07*'01_Вводные'!$B$218*'19_Расчет_аналитики'!K1572,MeanMinAge07)))</f>
        <v/>
      </c>
      <c r="L1510">
        <f>IF(OR(('19_Расчет_аналитики'!L1426-'19_Расчет_аналитики'!L1454)=0,7&lt;='01_Вводные'!$B$297),0,('19_Расчет_аналитики'!L1426-'19_Расчет_аналитики'!L1454)*IF('01_Вводные'!$B$239="Да",MeanMinAge07+'19_Расчет_аналитики'!L1572*SUMIF(ThresholdAge07,"&lt;"&amp;'19_Расчет_аналитики'!L1572,WeightedRevAge07)-SUMIF(ThresholdAge07,"&lt;"&amp;'19_Расчет_аналитики'!L1572,WeightedMinAge07),MAX(CapacityAge07*'01_Вводные'!$B$218*'19_Расчет_аналитики'!L1572,MeanMinAge07)))</f>
        <v/>
      </c>
      <c r="M1510">
        <f>IF(OR(('19_Расчет_аналитики'!M1426-'19_Расчет_аналитики'!M1454)=0,7&lt;='01_Вводные'!$B$297),0,('19_Расчет_аналитики'!M1426-'19_Расчет_аналитики'!M1454)*IF('01_Вводные'!$B$239="Да",MeanMinAge07+'19_Расчет_аналитики'!M1572*SUMIF(ThresholdAge07,"&lt;"&amp;'19_Расчет_аналитики'!M1572,WeightedRevAge07)-SUMIF(ThresholdAge07,"&lt;"&amp;'19_Расчет_аналитики'!M1572,WeightedMinAge07),MAX(CapacityAge07*'01_Вводные'!$B$218*'19_Расчет_аналитики'!M1572,MeanMinAge07)))</f>
        <v/>
      </c>
      <c r="N1510">
        <f>IF(OR(('19_Расчет_аналитики'!N1426-'19_Расчет_аналитики'!N1454)=0,7&lt;='01_Вводные'!$B$297),0,('19_Расчет_аналитики'!N1426-'19_Расчет_аналитики'!N1454)*IF('01_Вводные'!$B$239="Да",MeanMinAge07+'19_Расчет_аналитики'!N1572*SUMIF(ThresholdAge07,"&lt;"&amp;'19_Расчет_аналитики'!N1572,WeightedRevAge07)-SUMIF(ThresholdAge07,"&lt;"&amp;'19_Расчет_аналитики'!N1572,WeightedMinAge07),MAX(CapacityAge07*'01_Вводные'!$B$218*'19_Расчет_аналитики'!N1572,MeanMinAge07)))</f>
        <v/>
      </c>
      <c r="O1510">
        <f>IF(OR(('19_Расчет_аналитики'!O1426-'19_Расчет_аналитики'!O1454)=0,7&lt;='01_Вводные'!$B$297),0,('19_Расчет_аналитики'!O1426-'19_Расчет_аналитики'!O1454)*IF('01_Вводные'!$B$239="Да",MeanMinAge07+'19_Расчет_аналитики'!O1572*SUMIF(ThresholdAge07,"&lt;"&amp;'19_Расчет_аналитики'!O1572,WeightedRevAge07)-SUMIF(ThresholdAge07,"&lt;"&amp;'19_Расчет_аналитики'!O1572,WeightedMinAge07),MAX(CapacityAge07*'01_Вводные'!$B$218*'19_Расчет_аналитики'!O1572,MeanMinAge07)))</f>
        <v/>
      </c>
      <c r="P1510">
        <f>IF(OR(('19_Расчет_аналитики'!P1426-'19_Расчет_аналитики'!P1454)=0,7&lt;='01_Вводные'!$B$297),0,('19_Расчет_аналитики'!P1426-'19_Расчет_аналитики'!P1454)*IF('01_Вводные'!$B$239="Да",MeanMinAge07+'19_Расчет_аналитики'!P1572*SUMIF(ThresholdAge07,"&lt;"&amp;'19_Расчет_аналитики'!P1572,WeightedRevAge07)-SUMIF(ThresholdAge07,"&lt;"&amp;'19_Расчет_аналитики'!P1572,WeightedMinAge07),MAX(CapacityAge07*'01_Вводные'!$B$218*'19_Расчет_аналитики'!P1572,MeanMinAge07)))</f>
        <v/>
      </c>
      <c r="Q1510">
        <f>IF(OR(('19_Расчет_аналитики'!Q1426-'19_Расчет_аналитики'!Q1454)=0,7&lt;='01_Вводные'!$B$297),0,('19_Расчет_аналитики'!Q1426-'19_Расчет_аналитики'!Q1454)*IF('01_Вводные'!$B$239="Да",MeanMinAge07+'19_Расчет_аналитики'!Q1572*SUMIF(ThresholdAge07,"&lt;"&amp;'19_Расчет_аналитики'!Q1572,WeightedRevAge07)-SUMIF(ThresholdAge07,"&lt;"&amp;'19_Расчет_аналитики'!Q1572,WeightedMinAge07),MAX(CapacityAge07*'01_Вводные'!$B$218*'19_Расчет_аналитики'!Q1572,MeanMinAge07)))</f>
        <v/>
      </c>
      <c r="R1510">
        <f>IF(OR(('19_Расчет_аналитики'!R1426-'19_Расчет_аналитики'!R1454)=0,7&lt;='01_Вводные'!$B$297),0,('19_Расчет_аналитики'!R1426-'19_Расчет_аналитики'!R1454)*IF('01_Вводные'!$B$239="Да",MeanMinAge07+'19_Расчет_аналитики'!R1572*SUMIF(ThresholdAge07,"&lt;"&amp;'19_Расчет_аналитики'!R1572,WeightedRevAge07)-SUMIF(ThresholdAge07,"&lt;"&amp;'19_Расчет_аналитики'!R1572,WeightedMinAge07),MAX(CapacityAge07*'01_Вводные'!$B$218*'19_Расчет_аналитики'!R1572,MeanMinAge07)))</f>
        <v/>
      </c>
      <c r="S1510">
        <f>IF(OR(('19_Расчет_аналитики'!S1426-'19_Расчет_аналитики'!S1454)=0,7&lt;='01_Вводные'!$B$297),0,('19_Расчет_аналитики'!S1426-'19_Расчет_аналитики'!S1454)*IF('01_Вводные'!$B$239="Да",MeanMinAge07+'19_Расчет_аналитики'!S1572*SUMIF(ThresholdAge07,"&lt;"&amp;'19_Расчет_аналитики'!S1572,WeightedRevAge07)-SUMIF(ThresholdAge07,"&lt;"&amp;'19_Расчет_аналитики'!S1572,WeightedMinAge07),MAX(CapacityAge07*'01_Вводные'!$B$218*'19_Расчет_аналитики'!S1572,MeanMinAge07)))</f>
        <v/>
      </c>
      <c r="T1510">
        <f>IF(OR(('19_Расчет_аналитики'!T1426-'19_Расчет_аналитики'!T1454)=0,7&lt;='01_Вводные'!$B$297),0,('19_Расчет_аналитики'!T1426-'19_Расчет_аналитики'!T1454)*IF('01_Вводные'!$B$239="Да",MeanMinAge07+'19_Расчет_аналитики'!T1572*SUMIF(ThresholdAge07,"&lt;"&amp;'19_Расчет_аналитики'!T1572,WeightedRevAge07)-SUMIF(ThresholdAge07,"&lt;"&amp;'19_Расчет_аналитики'!T1572,WeightedMinAge07),MAX(CapacityAge07*'01_Вводные'!$B$218*'19_Расчет_аналитики'!T1572,MeanMinAge07)))</f>
        <v/>
      </c>
      <c r="U1510">
        <f>IF(OR(('19_Расчет_аналитики'!U1426-'19_Расчет_аналитики'!U1454)=0,7&lt;='01_Вводные'!$B$297),0,('19_Расчет_аналитики'!U1426-'19_Расчет_аналитики'!U1454)*IF('01_Вводные'!$B$239="Да",MeanMinAge07+'19_Расчет_аналитики'!U1572*SUMIF(ThresholdAge07,"&lt;"&amp;'19_Расчет_аналитики'!U1572,WeightedRevAge07)-SUMIF(ThresholdAge07,"&lt;"&amp;'19_Расчет_аналитики'!U1572,WeightedMinAge07),MAX(CapacityAge07*'01_Вводные'!$B$218*'19_Расчет_аналитики'!U1572,MeanMinAge07)))</f>
        <v/>
      </c>
      <c r="V1510">
        <f>IF(OR(('19_Расчет_аналитики'!V1426-'19_Расчет_аналитики'!V1454)=0,7&lt;='01_Вводные'!$B$297),0,('19_Расчет_аналитики'!V1426-'19_Расчет_аналитики'!V1454)*IF('01_Вводные'!$B$239="Да",MeanMinAge07+'19_Расчет_аналитики'!V1572*SUMIF(ThresholdAge07,"&lt;"&amp;'19_Расчет_аналитики'!V1572,WeightedRevAge07)-SUMIF(ThresholdAge07,"&lt;"&amp;'19_Расчет_аналитики'!V1572,WeightedMinAge07),MAX(CapacityAge07*'01_Вводные'!$B$218*'19_Расчет_аналитики'!V1572,MeanMinAge07)))</f>
        <v/>
      </c>
      <c r="W1510">
        <f>IF(OR(('19_Расчет_аналитики'!W1426-'19_Расчет_аналитики'!W1454)=0,7&lt;='01_Вводные'!$B$297),0,('19_Расчет_аналитики'!W1426-'19_Расчет_аналитики'!W1454)*IF('01_Вводные'!$B$239="Да",MeanMinAge07+'19_Расчет_аналитики'!W1572*SUMIF(ThresholdAge07,"&lt;"&amp;'19_Расчет_аналитики'!W1572,WeightedRevAge07)-SUMIF(ThresholdAge07,"&lt;"&amp;'19_Расчет_аналитики'!W1572,WeightedMinAge07),MAX(CapacityAge07*'01_Вводные'!$B$218*'19_Расчет_аналитики'!W1572,MeanMinAge07)))</f>
        <v/>
      </c>
      <c r="X1510">
        <f>IF(OR(('19_Расчет_аналитики'!X1426-'19_Расчет_аналитики'!X1454)=0,7&lt;='01_Вводные'!$B$297),0,('19_Расчет_аналитики'!X1426-'19_Расчет_аналитики'!X1454)*IF('01_Вводные'!$B$239="Да",MeanMinAge07+'19_Расчет_аналитики'!X1572*SUMIF(ThresholdAge07,"&lt;"&amp;'19_Расчет_аналитики'!X1572,WeightedRevAge07)-SUMIF(ThresholdAge07,"&lt;"&amp;'19_Расчет_аналитики'!X1572,WeightedMinAge07),MAX(CapacityAge07*'01_Вводные'!$B$218*'19_Расчет_аналитики'!X1572,MeanMinAge07)))</f>
        <v/>
      </c>
      <c r="Y1510">
        <f>IF(OR(('19_Расчет_аналитики'!Y1426-'19_Расчет_аналитики'!Y1454)=0,7&lt;='01_Вводные'!$B$297),0,('19_Расчет_аналитики'!Y1426-'19_Расчет_аналитики'!Y1454)*IF('01_Вводные'!$B$239="Да",MeanMinAge07+'19_Расчет_аналитики'!Y1572*SUMIF(ThresholdAge07,"&lt;"&amp;'19_Расчет_аналитики'!Y1572,WeightedRevAge07)-SUMIF(ThresholdAge07,"&lt;"&amp;'19_Расчет_аналитики'!Y1572,WeightedMinAge07),MAX(CapacityAge07*'01_Вводные'!$B$218*'19_Расчет_аналитики'!Y1572,MeanMinAge07)))</f>
        <v/>
      </c>
      <c r="Z1510">
        <f>IF(OR(('19_Расчет_аналитики'!Z1426-'19_Расчет_аналитики'!Z1454)=0,7&lt;='01_Вводные'!$B$297),0,('19_Расчет_аналитики'!Z1426-'19_Расчет_аналитики'!Z1454)*IF('01_Вводные'!$B$239="Да",MeanMinAge07+'19_Расчет_аналитики'!Z1572*SUMIF(ThresholdAge07,"&lt;"&amp;'19_Расчет_аналитики'!Z1572,WeightedRevAge07)-SUMIF(ThresholdAge07,"&lt;"&amp;'19_Расчет_аналитики'!Z1572,WeightedMinAge07),MAX(CapacityAge07*'01_Вводные'!$B$218*'19_Расчет_аналитики'!Z1572,MeanMinAge07)))</f>
        <v/>
      </c>
      <c r="AA1510">
        <f>IF(OR(('19_Расчет_аналитики'!AA1426-'19_Расчет_аналитики'!AA1454)=0,7&lt;='01_Вводные'!$B$297),0,('19_Расчет_аналитики'!AA1426-'19_Расчет_аналитики'!AA1454)*IF('01_Вводные'!$B$239="Да",MeanMinAge07+'19_Расчет_аналитики'!AA1572*SUMIF(ThresholdAge07,"&lt;"&amp;'19_Расчет_аналитики'!AA1572,WeightedRevAge07)-SUMIF(ThresholdAge07,"&lt;"&amp;'19_Расчет_аналитики'!AA1572,WeightedMinAge07),MAX(CapacityAge07*'01_Вводные'!$B$218*'19_Расчет_аналитики'!AA1572,MeanMinAge07)))</f>
        <v/>
      </c>
      <c r="AB1510">
        <f>IF(OR(('19_Расчет_аналитики'!AB1426-'19_Расчет_аналитики'!AB1454)=0,7&lt;='01_Вводные'!$B$297),0,('19_Расчет_аналитики'!AB1426-'19_Расчет_аналитики'!AB1454)*IF('01_Вводные'!$B$239="Да",MeanMinAge07+'19_Расчет_аналитики'!AB1572*SUMIF(ThresholdAge07,"&lt;"&amp;'19_Расчет_аналитики'!AB1572,WeightedRevAge07)-SUMIF(ThresholdAge07,"&lt;"&amp;'19_Расчет_аналитики'!AB1572,WeightedMinAge07),MAX(CapacityAge07*'01_Вводные'!$B$218*'19_Расчет_аналитики'!AB1572,MeanMinAge07)))</f>
        <v/>
      </c>
      <c r="AC1510">
        <f>IF(OR(('19_Расчет_аналитики'!AC1426-'19_Расчет_аналитики'!AC1454)=0,7&lt;='01_Вводные'!$B$297),0,('19_Расчет_аналитики'!AC1426-'19_Расчет_аналитики'!AC1454)*IF('01_Вводные'!$B$239="Да",MeanMinAge07+'19_Расчет_аналитики'!AC1572*SUMIF(ThresholdAge07,"&lt;"&amp;'19_Расчет_аналитики'!AC1572,WeightedRevAge07)-SUMIF(ThresholdAge07,"&lt;"&amp;'19_Расчет_аналитики'!AC1572,WeightedMinAge07),MAX(CapacityAge07*'01_Вводные'!$B$218*'19_Расчет_аналитики'!AC1572,MeanMinAge07)))</f>
        <v/>
      </c>
      <c r="AD1510">
        <f>IF(OR(('19_Расчет_аналитики'!AD1426-'19_Расчет_аналитики'!AD1454)=0,7&lt;='01_Вводные'!$B$297),0,('19_Расчет_аналитики'!AD1426-'19_Расчет_аналитики'!AD1454)*IF('01_Вводные'!$B$239="Да",MeanMinAge07+'19_Расчет_аналитики'!AD1572*SUMIF(ThresholdAge07,"&lt;"&amp;'19_Расчет_аналитики'!AD1572,WeightedRevAge07)-SUMIF(ThresholdAge07,"&lt;"&amp;'19_Расчет_аналитики'!AD1572,WeightedMinAge07),MAX(CapacityAge07*'01_Вводные'!$B$218*'19_Расчет_аналитики'!AD1572,MeanMinAge07)))</f>
        <v/>
      </c>
      <c r="AE1510">
        <f>IF(OR(('19_Расчет_аналитики'!AE1426-'19_Расчет_аналитики'!AE1454)=0,7&lt;='01_Вводные'!$B$297),0,('19_Расчет_аналитики'!AE1426-'19_Расчет_аналитики'!AE1454)*IF('01_Вводные'!$B$239="Да",MeanMinAge07+'19_Расчет_аналитики'!AE1572*SUMIF(ThresholdAge07,"&lt;"&amp;'19_Расчет_аналитики'!AE1572,WeightedRevAge07)-SUMIF(ThresholdAge07,"&lt;"&amp;'19_Расчет_аналитики'!AE1572,WeightedMinAge07),MAX(CapacityAge07*'01_Вводные'!$B$218*'19_Расчет_аналитики'!AE1572,MeanMinAge07)))</f>
        <v/>
      </c>
      <c r="AF1510">
        <f>IF(OR(('19_Расчет_аналитики'!AF1426-'19_Расчет_аналитики'!AF1454)=0,7&lt;='01_Вводные'!$B$297),0,('19_Расчет_аналитики'!AF1426-'19_Расчет_аналитики'!AF1454)*IF('01_Вводные'!$B$239="Да",MeanMinAge07+'19_Расчет_аналитики'!AF1572*SUMIF(ThresholdAge07,"&lt;"&amp;'19_Расчет_аналитики'!AF1572,WeightedRevAge07)-SUMIF(ThresholdAge07,"&lt;"&amp;'19_Расчет_аналитики'!AF1572,WeightedMinAge07),MAX(CapacityAge07*'01_Вводные'!$B$218*'19_Расчет_аналитики'!AF1572,MeanMinAge07)))</f>
        <v/>
      </c>
      <c r="AG1510">
        <f>IF(OR(('19_Расчет_аналитики'!AG1426-'19_Расчет_аналитики'!AG1454)=0,7&lt;='01_Вводные'!$B$297),0,('19_Расчет_аналитики'!AG1426-'19_Расчет_аналитики'!AG1454)*IF('01_Вводные'!$B$239="Да",MeanMinAge07+'19_Расчет_аналитики'!AG1572*SUMIF(ThresholdAge07,"&lt;"&amp;'19_Расчет_аналитики'!AG1572,WeightedRevAge07)-SUMIF(ThresholdAge07,"&lt;"&amp;'19_Расчет_аналитики'!AG1572,WeightedMinAge07),MAX(CapacityAge07*'01_Вводные'!$B$218*'19_Расчет_аналитики'!AG1572,MeanMinAge07)))</f>
        <v/>
      </c>
      <c r="AH1510">
        <f>IF(OR(('19_Расчет_аналитики'!AH1426-'19_Расчет_аналитики'!AH1454)=0,7&lt;='01_Вводные'!$B$297),0,('19_Расчет_аналитики'!AH1426-'19_Расчет_аналитики'!AH1454)*IF('01_Вводные'!$B$239="Да",MeanMinAge07+'19_Расчет_аналитики'!AH1572*SUMIF(ThresholdAge07,"&lt;"&amp;'19_Расчет_аналитики'!AH1572,WeightedRevAge07)-SUMIF(ThresholdAge07,"&lt;"&amp;'19_Расчет_аналитики'!AH1572,WeightedMinAge07),MAX(CapacityAge07*'01_Вводные'!$B$218*'19_Расчет_аналитики'!AH1572,MeanMinAge07)))</f>
        <v/>
      </c>
      <c r="AI1510">
        <f>IF(OR(('19_Расчет_аналитики'!AI1426-'19_Расчет_аналитики'!AI1454)=0,7&lt;='01_Вводные'!$B$297),0,('19_Расчет_аналитики'!AI1426-'19_Расчет_аналитики'!AI1454)*IF('01_Вводные'!$B$239="Да",MeanMinAge07+'19_Расчет_аналитики'!AI1572*SUMIF(ThresholdAge07,"&lt;"&amp;'19_Расчет_аналитики'!AI1572,WeightedRevAge07)-SUMIF(ThresholdAge07,"&lt;"&amp;'19_Расчет_аналитики'!AI1572,WeightedMinAge07),MAX(CapacityAge07*'01_Вводные'!$B$218*'19_Расчет_аналитики'!AI1572,MeanMinAge07)))</f>
        <v/>
      </c>
      <c r="AJ1510">
        <f>IF(OR(('19_Расчет_аналитики'!AJ1426-'19_Расчет_аналитики'!AJ1454)=0,7&lt;='01_Вводные'!$B$297),0,('19_Расчет_аналитики'!AJ1426-'19_Расчет_аналитики'!AJ1454)*IF('01_Вводные'!$B$239="Да",MeanMinAge07+'19_Расчет_аналитики'!AJ1572*SUMIF(ThresholdAge07,"&lt;"&amp;'19_Расчет_аналитики'!AJ1572,WeightedRevAge07)-SUMIF(ThresholdAge07,"&lt;"&amp;'19_Расчет_аналитики'!AJ1572,WeightedMinAge07),MAX(CapacityAge07*'01_Вводные'!$B$218*'19_Расчет_аналитики'!AJ1572,MeanMinAge07)))</f>
        <v/>
      </c>
      <c r="AK1510">
        <f>IF(OR(('19_Расчет_аналитики'!AK1426-'19_Расчет_аналитики'!AK1454)=0,7&lt;='01_Вводные'!$B$297),0,('19_Расчет_аналитики'!AK1426-'19_Расчет_аналитики'!AK1454)*IF('01_Вводные'!$B$239="Да",MeanMinAge07+'19_Расчет_аналитики'!AK1572*SUMIF(ThresholdAge07,"&lt;"&amp;'19_Расчет_аналитики'!AK1572,WeightedRevAge07)-SUMIF(ThresholdAge07,"&lt;"&amp;'19_Расчет_аналитики'!AK1572,WeightedMinAge07),MAX(CapacityAge07*'01_Вводные'!$B$218*'19_Расчет_аналитики'!AK1572,MeanMinAge07)))</f>
        <v/>
      </c>
      <c r="AL1510">
        <f>IF(OR(('19_Расчет_аналитики'!AL1426-'19_Расчет_аналитики'!AL1454)=0,7&lt;='01_Вводные'!$B$297),0,('19_Расчет_аналитики'!AL1426-'19_Расчет_аналитики'!AL1454)*IF('01_Вводные'!$B$239="Да",MeanMinAge07+'19_Расчет_аналитики'!AL1572*SUMIF(ThresholdAge07,"&lt;"&amp;'19_Расчет_аналитики'!AL1572,WeightedRevAge07)-SUMIF(ThresholdAge07,"&lt;"&amp;'19_Расчет_аналитики'!AL1572,WeightedMinAge07),MAX(CapacityAge07*'01_Вводные'!$B$218*'19_Расчет_аналитики'!AL1572,MeanMinAge07)))</f>
        <v/>
      </c>
      <c r="AM1510">
        <f>IF(OR(('19_Расчет_аналитики'!AM1426-'19_Расчет_аналитики'!AM1454)=0,7&lt;='01_Вводные'!$B$297),0,('19_Расчет_аналитики'!AM1426-'19_Расчет_аналитики'!AM1454)*IF('01_Вводные'!$B$239="Да",MeanMinAge07+'19_Расчет_аналитики'!AM1572*SUMIF(ThresholdAge07,"&lt;"&amp;'19_Расчет_аналитики'!AM1572,WeightedRevAge07)-SUMIF(ThresholdAge07,"&lt;"&amp;'19_Расчет_аналитики'!AM1572,WeightedMinAge07),MAX(CapacityAge07*'01_Вводные'!$B$218*'19_Расчет_аналитики'!AM1572,MeanMinAge07)))</f>
        <v/>
      </c>
      <c r="AN1510">
        <f>IF(OR(('19_Расчет_аналитики'!AN1426-'19_Расчет_аналитики'!AN1454)=0,7&lt;='01_Вводные'!$B$297),0,('19_Расчет_аналитики'!AN1426-'19_Расчет_аналитики'!AN1454)*IF('01_Вводные'!$B$239="Да",MeanMinAge07+'19_Расчет_аналитики'!AN1572*SUMIF(ThresholdAge07,"&lt;"&amp;'19_Расчет_аналитики'!AN1572,WeightedRevAge07)-SUMIF(ThresholdAge07,"&lt;"&amp;'19_Расчет_аналитики'!AN1572,WeightedMinAge07),MAX(CapacityAge07*'01_Вводные'!$B$218*'19_Расчет_аналитики'!AN1572,MeanMinAge07)))</f>
        <v/>
      </c>
      <c r="AO1510">
        <f>IF(OR(('19_Расчет_аналитики'!AO1426-'19_Расчет_аналитики'!AO1454)=0,7&lt;='01_Вводные'!$B$297),0,('19_Расчет_аналитики'!AO1426-'19_Расчет_аналитики'!AO1454)*IF('01_Вводные'!$B$239="Да",MeanMinAge07+'19_Расчет_аналитики'!AO1572*SUMIF(ThresholdAge07,"&lt;"&amp;'19_Расчет_аналитики'!AO1572,WeightedRevAge07)-SUMIF(ThresholdAge07,"&lt;"&amp;'19_Расчет_аналитики'!AO1572,WeightedMinAge07),MAX(CapacityAge07*'01_Вводные'!$B$218*'19_Расчет_аналитики'!AO1572,MeanMinAge07)))</f>
        <v/>
      </c>
      <c r="AP1510">
        <f>IF(OR(('19_Расчет_аналитики'!AP1426-'19_Расчет_аналитики'!AP1454)=0,7&lt;='01_Вводные'!$B$297),0,('19_Расчет_аналитики'!AP1426-'19_Расчет_аналитики'!AP1454)*IF('01_Вводные'!$B$239="Да",MeanMinAge07+'19_Расчет_аналитики'!AP1572*SUMIF(ThresholdAge07,"&lt;"&amp;'19_Расчет_аналитики'!AP1572,WeightedRevAge07)-SUMIF(ThresholdAge07,"&lt;"&amp;'19_Расчет_аналитики'!AP1572,WeightedMinAge07),MAX(CapacityAge07*'01_Вводные'!$B$218*'19_Расчет_аналитики'!AP1572,MeanMinAge07)))</f>
        <v/>
      </c>
      <c r="AQ1510">
        <f>IF(OR(('19_Расчет_аналитики'!AQ1426-'19_Расчет_аналитики'!AQ1454)=0,7&lt;='01_Вводные'!$B$297),0,('19_Расчет_аналитики'!AQ1426-'19_Расчет_аналитики'!AQ1454)*IF('01_Вводные'!$B$239="Да",MeanMinAge07+'19_Расчет_аналитики'!AQ1572*SUMIF(ThresholdAge07,"&lt;"&amp;'19_Расчет_аналитики'!AQ1572,WeightedRevAge07)-SUMIF(ThresholdAge07,"&lt;"&amp;'19_Расчет_аналитики'!AQ1572,WeightedMinAge07),MAX(CapacityAge07*'01_Вводные'!$B$218*'19_Расчет_аналитики'!AQ1572,MeanMinAge07)))</f>
        <v/>
      </c>
      <c r="AR1510">
        <f>IF(OR(('19_Расчет_аналитики'!AR1426-'19_Расчет_аналитики'!AR1454)=0,7&lt;='01_Вводные'!$B$297),0,('19_Расчет_аналитики'!AR1426-'19_Расчет_аналитики'!AR1454)*IF('01_Вводные'!$B$239="Да",MeanMinAge07+'19_Расчет_аналитики'!AR1572*SUMIF(ThresholdAge07,"&lt;"&amp;'19_Расчет_аналитики'!AR1572,WeightedRevAge07)-SUMIF(ThresholdAge07,"&lt;"&amp;'19_Расчет_аналитики'!AR1572,WeightedMinAge07),MAX(CapacityAge07*'01_Вводные'!$B$218*'19_Расчет_аналитики'!AR1572,MeanMinAge07)))</f>
        <v/>
      </c>
      <c r="AS1510">
        <f>IF(OR(('19_Расчет_аналитики'!AS1426-'19_Расчет_аналитики'!AS1454)=0,7&lt;='01_Вводные'!$B$297),0,('19_Расчет_аналитики'!AS1426-'19_Расчет_аналитики'!AS1454)*IF('01_Вводные'!$B$239="Да",MeanMinAge07+'19_Расчет_аналитики'!AS1572*SUMIF(ThresholdAge07,"&lt;"&amp;'19_Расчет_аналитики'!AS1572,WeightedRevAge07)-SUMIF(ThresholdAge07,"&lt;"&amp;'19_Расчет_аналитики'!AS1572,WeightedMinAge07),MAX(CapacityAge07*'01_Вводные'!$B$218*'19_Расчет_аналитики'!AS1572,MeanMinAge07)))</f>
        <v/>
      </c>
      <c r="AT1510">
        <f>IF(OR(('19_Расчет_аналитики'!AT1426-'19_Расчет_аналитики'!AT1454)=0,7&lt;='01_Вводные'!$B$297),0,('19_Расчет_аналитики'!AT1426-'19_Расчет_аналитики'!AT1454)*IF('01_Вводные'!$B$239="Да",MeanMinAge07+'19_Расчет_аналитики'!AT1572*SUMIF(ThresholdAge07,"&lt;"&amp;'19_Расчет_аналитики'!AT1572,WeightedRevAge07)-SUMIF(ThresholdAge07,"&lt;"&amp;'19_Расчет_аналитики'!AT1572,WeightedMinAge07),MAX(CapacityAge07*'01_Вводные'!$B$218*'19_Расчет_аналитики'!AT1572,MeanMinAge07)))</f>
        <v/>
      </c>
      <c r="AU1510">
        <f>IF(OR(('19_Расчет_аналитики'!AU1426-'19_Расчет_аналитики'!AU1454)=0,7&lt;='01_Вводные'!$B$297),0,('19_Расчет_аналитики'!AU1426-'19_Расчет_аналитики'!AU1454)*IF('01_Вводные'!$B$239="Да",MeanMinAge07+'19_Расчет_аналитики'!AU1572*SUMIF(ThresholdAge07,"&lt;"&amp;'19_Расчет_аналитики'!AU1572,WeightedRevAge07)-SUMIF(ThresholdAge07,"&lt;"&amp;'19_Расчет_аналитики'!AU1572,WeightedMinAge07),MAX(CapacityAge07*'01_Вводные'!$B$218*'19_Расчет_аналитики'!AU1572,MeanMinAge07)))</f>
        <v/>
      </c>
      <c r="AV1510">
        <f>IF(OR(('19_Расчет_аналитики'!AV1426-'19_Расчет_аналитики'!AV1454)=0,7&lt;='01_Вводные'!$B$297),0,('19_Расчет_аналитики'!AV1426-'19_Расчет_аналитики'!AV1454)*IF('01_Вводные'!$B$239="Да",MeanMinAge07+'19_Расчет_аналитики'!AV1572*SUMIF(ThresholdAge07,"&lt;"&amp;'19_Расчет_аналитики'!AV1572,WeightedRevAge07)-SUMIF(ThresholdAge07,"&lt;"&amp;'19_Расчет_аналитики'!AV1572,WeightedMinAge07),MAX(CapacityAge07*'01_Вводные'!$B$218*'19_Расчет_аналитики'!AV1572,MeanMinAge07)))</f>
        <v/>
      </c>
      <c r="AW1510">
        <f>IF(OR(('19_Расчет_аналитики'!AW1426-'19_Расчет_аналитики'!AW1454)=0,7&lt;='01_Вводные'!$B$297),0,('19_Расчет_аналитики'!AW1426-'19_Расчет_аналитики'!AW1454)*IF('01_Вводные'!$B$239="Да",MeanMinAge07+'19_Расчет_аналитики'!AW1572*SUMIF(ThresholdAge07,"&lt;"&amp;'19_Расчет_аналитики'!AW1572,WeightedRevAge07)-SUMIF(ThresholdAge07,"&lt;"&amp;'19_Расчет_аналитики'!AW1572,WeightedMinAge07),MAX(CapacityAge07*'01_Вводные'!$B$218*'19_Расчет_аналитики'!AW1572,MeanMinAge07)))</f>
        <v/>
      </c>
      <c r="AX1510">
        <f>IF(OR(('19_Расчет_аналитики'!AX1426-'19_Расчет_аналитики'!AX1454)=0,7&lt;='01_Вводные'!$B$297),0,('19_Расчет_аналитики'!AX1426-'19_Расчет_аналитики'!AX1454)*IF('01_Вводные'!$B$239="Да",MeanMinAge07+'19_Расчет_аналитики'!AX1572*SUMIF(ThresholdAge07,"&lt;"&amp;'19_Расчет_аналитики'!AX1572,WeightedRevAge07)-SUMIF(ThresholdAge07,"&lt;"&amp;'19_Расчет_аналитики'!AX1572,WeightedMinAge07),MAX(CapacityAge07*'01_Вводные'!$B$218*'19_Расчет_аналитики'!AX1572,MeanMinAge07)))</f>
        <v/>
      </c>
      <c r="AY1510">
        <f>IF(OR(('19_Расчет_аналитики'!AY1426-'19_Расчет_аналитики'!AY1454)=0,7&lt;='01_Вводные'!$B$297),0,('19_Расчет_аналитики'!AY1426-'19_Расчет_аналитики'!AY1454)*IF('01_Вводные'!$B$239="Да",MeanMinAge07+'19_Расчет_аналитики'!AY1572*SUMIF(ThresholdAge07,"&lt;"&amp;'19_Расчет_аналитики'!AY1572,WeightedRevAge07)-SUMIF(ThresholdAge07,"&lt;"&amp;'19_Расчет_аналитики'!AY1572,WeightedMinAge07),MAX(CapacityAge07*'01_Вводные'!$B$218*'19_Расчет_аналитики'!AY1572,MeanMinAge07)))</f>
        <v/>
      </c>
      <c r="AZ1510">
        <f>IF(OR(('19_Расчет_аналитики'!AZ1426-'19_Расчет_аналитики'!AZ1454)=0,7&lt;='01_Вводные'!$B$297),0,('19_Расчет_аналитики'!AZ1426-'19_Расчет_аналитики'!AZ1454)*IF('01_Вводные'!$B$239="Да",MeanMinAge07+'19_Расчет_аналитики'!AZ1572*SUMIF(ThresholdAge07,"&lt;"&amp;'19_Расчет_аналитики'!AZ1572,WeightedRevAge07)-SUMIF(ThresholdAge07,"&lt;"&amp;'19_Расчет_аналитики'!AZ1572,WeightedMinAge07),MAX(CapacityAge07*'01_Вводные'!$B$218*'19_Расчет_аналитики'!AZ1572,MeanMinAge07)))</f>
        <v/>
      </c>
      <c r="BA1510">
        <f>IF(OR(('19_Расчет_аналитики'!BA1426-'19_Расчет_аналитики'!BA1454)=0,7&lt;='01_Вводные'!$B$297),0,('19_Расчет_аналитики'!BA1426-'19_Расчет_аналитики'!BA1454)*IF('01_Вводные'!$B$239="Да",MeanMinAge07+'19_Расчет_аналитики'!BA1572*SUMIF(ThresholdAge07,"&lt;"&amp;'19_Расчет_аналитики'!BA1572,WeightedRevAge07)-SUMIF(ThresholdAge07,"&lt;"&amp;'19_Расчет_аналитики'!BA1572,WeightedMinAge07),MAX(CapacityAge07*'01_Вводные'!$B$218*'19_Расчет_аналитики'!BA1572,MeanMinAge07)))</f>
        <v/>
      </c>
      <c r="BB1510">
        <f>IF(OR(('19_Расчет_аналитики'!BB1426-'19_Расчет_аналитики'!BB1454)=0,7&lt;='01_Вводные'!$B$297),0,('19_Расчет_аналитики'!BB1426-'19_Расчет_аналитики'!BB1454)*IF('01_Вводные'!$B$239="Да",MeanMinAge07+'19_Расчет_аналитики'!BB1572*SUMIF(ThresholdAge07,"&lt;"&amp;'19_Расчет_аналитики'!BB1572,WeightedRevAge07)-SUMIF(ThresholdAge07,"&lt;"&amp;'19_Расчет_аналитики'!BB1572,WeightedMinAge07),MAX(CapacityAge07*'01_Вводные'!$B$218*'19_Расчет_аналитики'!BB1572,MeanMinAge07)))</f>
        <v/>
      </c>
      <c r="BC1510">
        <f>IF(OR(('19_Расчет_аналитики'!BC1426-'19_Расчет_аналитики'!BC1454)=0,7&lt;='01_Вводные'!$B$297),0,('19_Расчет_аналитики'!BC1426-'19_Расчет_аналитики'!BC1454)*IF('01_Вводные'!$B$239="Да",MeanMinAge07+'19_Расчет_аналитики'!BC1572*SUMIF(ThresholdAge07,"&lt;"&amp;'19_Расчет_аналитики'!BC1572,WeightedRevAge07)-SUMIF(ThresholdAge07,"&lt;"&amp;'19_Расчет_аналитики'!BC1572,WeightedMinAge07),MAX(CapacityAge07*'01_Вводные'!$B$218*'19_Расчет_аналитики'!BC1572,MeanMinAge07)))</f>
        <v/>
      </c>
      <c r="BD1510">
        <f>IF(OR(('19_Расчет_аналитики'!BD1426-'19_Расчет_аналитики'!BD1454)=0,7&lt;='01_Вводные'!$B$297),0,('19_Расчет_аналитики'!BD1426-'19_Расчет_аналитики'!BD1454)*IF('01_Вводные'!$B$239="Да",MeanMinAge07+'19_Расчет_аналитики'!BD1572*SUMIF(ThresholdAge07,"&lt;"&amp;'19_Расчет_аналитики'!BD1572,WeightedRevAge07)-SUMIF(ThresholdAge07,"&lt;"&amp;'19_Расчет_аналитики'!BD1572,WeightedMinAge07),MAX(CapacityAge07*'01_Вводные'!$B$218*'19_Расчет_аналитики'!BD1572,MeanMinAge07)))</f>
        <v/>
      </c>
      <c r="BE1510">
        <f>IF(OR(('19_Расчет_аналитики'!BE1426-'19_Расчет_аналитики'!BE1454)=0,7&lt;='01_Вводные'!$B$297),0,('19_Расчет_аналитики'!BE1426-'19_Расчет_аналитики'!BE1454)*IF('01_Вводные'!$B$239="Да",MeanMinAge07+'19_Расчет_аналитики'!BE1572*SUMIF(ThresholdAge07,"&lt;"&amp;'19_Расчет_аналитики'!BE1572,WeightedRevAge07)-SUMIF(ThresholdAge07,"&lt;"&amp;'19_Расчет_аналитики'!BE1572,WeightedMinAge07),MAX(CapacityAge07*'01_Вводные'!$B$218*'19_Расчет_аналитики'!BE1572,MeanMinAge07)))</f>
        <v/>
      </c>
      <c r="BF1510">
        <f>IF(OR(('19_Расчет_аналитики'!BF1426-'19_Расчет_аналитики'!BF1454)=0,7&lt;='01_Вводные'!$B$297),0,('19_Расчет_аналитики'!BF1426-'19_Расчет_аналитики'!BF1454)*IF('01_Вводные'!$B$239="Да",MeanMinAge07+'19_Расчет_аналитики'!BF1572*SUMIF(ThresholdAge07,"&lt;"&amp;'19_Расчет_аналитики'!BF1572,WeightedRevAge07)-SUMIF(ThresholdAge07,"&lt;"&amp;'19_Расчет_аналитики'!BF1572,WeightedMinAge07),MAX(CapacityAge07*'01_Вводные'!$B$218*'19_Расчет_аналитики'!BF1572,MeanMinAge07)))</f>
        <v/>
      </c>
      <c r="BG1510">
        <f>IF(OR(('19_Расчет_аналитики'!BG1426-'19_Расчет_аналитики'!BG1454)=0,7&lt;='01_Вводные'!$B$297),0,('19_Расчет_аналитики'!BG1426-'19_Расчет_аналитики'!BG1454)*IF('01_Вводные'!$B$239="Да",MeanMinAge07+'19_Расчет_аналитики'!BG1572*SUMIF(ThresholdAge07,"&lt;"&amp;'19_Расчет_аналитики'!BG1572,WeightedRevAge07)-SUMIF(ThresholdAge07,"&lt;"&amp;'19_Расчет_аналитики'!BG1572,WeightedMinAge07),MAX(CapacityAge07*'01_Вводные'!$B$218*'19_Расчет_аналитики'!BG1572,MeanMinAge07)))</f>
        <v/>
      </c>
      <c r="BH1510">
        <f>IF(OR(('19_Расчет_аналитики'!BH1426-'19_Расчет_аналитики'!BH1454)=0,7&lt;='01_Вводные'!$B$297),0,('19_Расчет_аналитики'!BH1426-'19_Расчет_аналитики'!BH1454)*IF('01_Вводные'!$B$239="Да",MeanMinAge07+'19_Расчет_аналитики'!BH1572*SUMIF(ThresholdAge07,"&lt;"&amp;'19_Расчет_аналитики'!BH1572,WeightedRevAge07)-SUMIF(ThresholdAge07,"&lt;"&amp;'19_Расчет_аналитики'!BH1572,WeightedMinAge07),MAX(CapacityAge07*'01_Вводные'!$B$218*'19_Расчет_аналитики'!BH1572,MeanMinAge07)))</f>
        <v/>
      </c>
      <c r="BI1510">
        <f>IF(OR(('19_Расчет_аналитики'!BI1426-'19_Расчет_аналитики'!BI1454)=0,7&lt;='01_Вводные'!$B$297),0,('19_Расчет_аналитики'!BI1426-'19_Расчет_аналитики'!BI1454)*IF('01_Вводные'!$B$239="Да",MeanMinAge07+'19_Расчет_аналитики'!BI1572*SUMIF(ThresholdAge07,"&lt;"&amp;'19_Расчет_аналитики'!BI1572,WeightedRevAge07)-SUMIF(ThresholdAge07,"&lt;"&amp;'19_Расчет_аналитики'!BI1572,WeightedMinAge07),MAX(CapacityAge07*'01_Вводные'!$B$218*'19_Расчет_аналитики'!BI1572,MeanMinAge07)))</f>
        <v/>
      </c>
      <c r="BJ1510">
        <f>IF(OR(('19_Расчет_аналитики'!BJ1426-'19_Расчет_аналитики'!BJ1454)=0,7&lt;='01_Вводные'!$B$297),0,('19_Расчет_аналитики'!BJ1426-'19_Расчет_аналитики'!BJ1454)*IF('01_Вводные'!$B$239="Да",MeanMinAge07+'19_Расчет_аналитики'!BJ1572*SUMIF(ThresholdAge07,"&lt;"&amp;'19_Расчет_аналитики'!BJ1572,WeightedRevAge07)-SUMIF(ThresholdAge07,"&lt;"&amp;'19_Расчет_аналитики'!BJ1572,WeightedMinAge07),MAX(CapacityAge07*'01_Вводные'!$B$218*'19_Расчет_аналитики'!BJ1572,MeanMinAge07)))</f>
        <v/>
      </c>
      <c r="BK1510">
        <f>IF(OR(('19_Расчет_аналитики'!BK1426-'19_Расчет_аналитики'!BK1454)=0,7&lt;='01_Вводные'!$B$297),0,('19_Расчет_аналитики'!BK1426-'19_Расчет_аналитики'!BK1454)*IF('01_Вводные'!$B$239="Да",MeanMinAge07+'19_Расчет_аналитики'!BK1572*SUMIF(ThresholdAge07,"&lt;"&amp;'19_Расчет_аналитики'!BK1572,WeightedRevAge07)-SUMIF(ThresholdAge07,"&lt;"&amp;'19_Расчет_аналитики'!BK1572,WeightedMinAge07),MAX(CapacityAge07*'01_Вводные'!$B$218*'19_Расчет_аналитики'!BK1572,MeanMinAge07)))</f>
        <v/>
      </c>
      <c r="BL1510">
        <f>IF(OR(('19_Расчет_аналитики'!BL1426-'19_Расчет_аналитики'!BL1454)=0,7&lt;='01_Вводные'!$B$297),0,('19_Расчет_аналитики'!BL1426-'19_Расчет_аналитики'!BL1454)*IF('01_Вводные'!$B$239="Да",MeanMinAge07+'19_Расчет_аналитики'!BL1572*SUMIF(ThresholdAge07,"&lt;"&amp;'19_Расчет_аналитики'!BL1572,WeightedRevAge07)-SUMIF(ThresholdAge07,"&lt;"&amp;'19_Расчет_аналитики'!BL1572,WeightedMinAge07),MAX(CapacityAge07*'01_Вводные'!$B$218*'19_Расчет_аналитики'!BL1572,MeanMinAge07)))</f>
        <v/>
      </c>
      <c r="BM1510">
        <f>IF(OR(('19_Расчет_аналитики'!BM1426-'19_Расчет_аналитики'!BM1454)=0,7&lt;='01_Вводные'!$B$297),0,('19_Расчет_аналитики'!BM1426-'19_Расчет_аналитики'!BM1454)*IF('01_Вводные'!$B$239="Да",MeanMinAge07+'19_Расчет_аналитики'!BM1572*SUMIF(ThresholdAge07,"&lt;"&amp;'19_Расчет_аналитики'!BM1572,WeightedRevAge07)-SUMIF(ThresholdAge07,"&lt;"&amp;'19_Расчет_аналитики'!BM1572,WeightedMinAge07),MAX(CapacityAge07*'01_Вводные'!$B$218*'19_Расчет_аналитики'!BM1572,MeanMinAge07)))</f>
        <v/>
      </c>
      <c r="BN1510">
        <f>IF(OR(('19_Расчет_аналитики'!BN1426-'19_Расчет_аналитики'!BN1454)=0,7&lt;='01_Вводные'!$B$297),0,('19_Расчет_аналитики'!BN1426-'19_Расчет_аналитики'!BN1454)*IF('01_Вводные'!$B$239="Да",MeanMinAge07+'19_Расчет_аналитики'!BN1572*SUMIF(ThresholdAge07,"&lt;"&amp;'19_Расчет_аналитики'!BN1572,WeightedRevAge07)-SUMIF(ThresholdAge07,"&lt;"&amp;'19_Расчет_аналитики'!BN1572,WeightedMinAge07),MAX(CapacityAge07*'01_Вводные'!$B$218*'19_Расчет_аналитики'!BN1572,MeanMinAge07)))</f>
        <v/>
      </c>
      <c r="BO1510">
        <f>IF(OR(('19_Расчет_аналитики'!BO1426-'19_Расчет_аналитики'!BO1454)=0,7&lt;='01_Вводные'!$B$297),0,('19_Расчет_аналитики'!BO1426-'19_Расчет_аналитики'!BO1454)*IF('01_Вводные'!$B$239="Да",MeanMinAge07+'19_Расчет_аналитики'!BO1572*SUMIF(ThresholdAge07,"&lt;"&amp;'19_Расчет_аналитики'!BO1572,WeightedRevAge07)-SUMIF(ThresholdAge07,"&lt;"&amp;'19_Расчет_аналитики'!BO1572,WeightedMinAge07),MAX(CapacityAge07*'01_Вводные'!$B$218*'19_Расчет_аналитики'!BO1572,MeanMinAge07)))</f>
        <v/>
      </c>
    </row>
    <row r="1511">
      <c r="B1511">
        <f>IF(OR(('06_Сеть_и_дети'!B60-'06_Сеть_и_дети'!B88)=0,8&lt;='01_Вводные'!$B$297),0,('06_Сеть_и_дети'!B60-'06_Сеть_и_дети'!B88)*IF('01_Вводные'!$B$239="Да",MeanMinAge08+'19_Расчет_аналитики'!B1572*SUMIF(ThresholdAge08,"&lt;"&amp;'19_Расчет_аналитики'!B1572,WeightedRevAge08)-SUMIF(ThresholdAge08,"&lt;"&amp;'19_Расчет_аналитики'!B1572,WeightedMinAge08),MAX(CapacityAge08*'01_Вводные'!$B$218*'19_Расчет_аналитики'!B1572,MeanMinAge08)))</f>
        <v/>
      </c>
      <c r="C1511">
        <f>IF(OR(('06_Сеть_и_дети'!C60-'06_Сеть_и_дети'!C88)=0,8&lt;='01_Вводные'!$B$297),0,('06_Сеть_и_дети'!C60-'06_Сеть_и_дети'!C88)*IF('01_Вводные'!$B$239="Да",MeanMinAge08+'19_Расчет_аналитики'!C1572*SUMIF(ThresholdAge08,"&lt;"&amp;'19_Расчет_аналитики'!C1572,WeightedRevAge08)-SUMIF(ThresholdAge08,"&lt;"&amp;'19_Расчет_аналитики'!C1572,WeightedMinAge08),MAX(CapacityAge08*'01_Вводные'!$B$218*'19_Расчет_аналитики'!C1572,MeanMinAge08)))</f>
        <v/>
      </c>
      <c r="D1511">
        <f>IF(OR(('06_Сеть_и_дети'!D60-'06_Сеть_и_дети'!D88)=0,8&lt;='01_Вводные'!$B$297),0,('06_Сеть_и_дети'!D60-'06_Сеть_и_дети'!D88)*IF('01_Вводные'!$B$239="Да",MeanMinAge08+'19_Расчет_аналитики'!D1572*SUMIF(ThresholdAge08,"&lt;"&amp;'19_Расчет_аналитики'!D1572,WeightedRevAge08)-SUMIF(ThresholdAge08,"&lt;"&amp;'19_Расчет_аналитики'!D1572,WeightedMinAge08),MAX(CapacityAge08*'01_Вводные'!$B$218*'19_Расчет_аналитики'!D1572,MeanMinAge08)))</f>
        <v/>
      </c>
      <c r="E1511">
        <f>IF(OR(('06_Сеть_и_дети'!E60-'06_Сеть_и_дети'!E88)=0,8&lt;='01_Вводные'!$B$297),0,('06_Сеть_и_дети'!E60-'06_Сеть_и_дети'!E88)*IF('01_Вводные'!$B$239="Да",MeanMinAge08+'19_Расчет_аналитики'!E1572*SUMIF(ThresholdAge08,"&lt;"&amp;'19_Расчет_аналитики'!E1572,WeightedRevAge08)-SUMIF(ThresholdAge08,"&lt;"&amp;'19_Расчет_аналитики'!E1572,WeightedMinAge08),MAX(CapacityAge08*'01_Вводные'!$B$218*'19_Расчет_аналитики'!E1572,MeanMinAge08)))</f>
        <v/>
      </c>
      <c r="F1511">
        <f>IF(OR(('06_Сеть_и_дети'!F60-'06_Сеть_и_дети'!F88)=0,8&lt;='01_Вводные'!$B$297),0,('06_Сеть_и_дети'!F60-'06_Сеть_и_дети'!F88)*IF('01_Вводные'!$B$239="Да",MeanMinAge08+'19_Расчет_аналитики'!F1572*SUMIF(ThresholdAge08,"&lt;"&amp;'19_Расчет_аналитики'!F1572,WeightedRevAge08)-SUMIF(ThresholdAge08,"&lt;"&amp;'19_Расчет_аналитики'!F1572,WeightedMinAge08),MAX(CapacityAge08*'01_Вводные'!$B$218*'19_Расчет_аналитики'!F1572,MeanMinAge08)))</f>
        <v/>
      </c>
      <c r="G1511">
        <f>IF(OR(('06_Сеть_и_дети'!G60-'06_Сеть_и_дети'!G88)=0,8&lt;='01_Вводные'!$B$297),0,('06_Сеть_и_дети'!G60-'06_Сеть_и_дети'!G88)*IF('01_Вводные'!$B$239="Да",MeanMinAge08+'19_Расчет_аналитики'!G1572*SUMIF(ThresholdAge08,"&lt;"&amp;'19_Расчет_аналитики'!G1572,WeightedRevAge08)-SUMIF(ThresholdAge08,"&lt;"&amp;'19_Расчет_аналитики'!G1572,WeightedMinAge08),MAX(CapacityAge08*'01_Вводные'!$B$218*'19_Расчет_аналитики'!G1572,MeanMinAge08)))</f>
        <v/>
      </c>
      <c r="H1511">
        <f>IF(OR(('06_Сеть_и_дети'!H60-'06_Сеть_и_дети'!H88)=0,8&lt;='01_Вводные'!$B$297),0,('06_Сеть_и_дети'!H60-'06_Сеть_и_дети'!H88)*IF('01_Вводные'!$B$239="Да",MeanMinAge08+'19_Расчет_аналитики'!H1572*SUMIF(ThresholdAge08,"&lt;"&amp;'19_Расчет_аналитики'!H1572,WeightedRevAge08)-SUMIF(ThresholdAge08,"&lt;"&amp;'19_Расчет_аналитики'!H1572,WeightedMinAge08),MAX(CapacityAge08*'01_Вводные'!$B$218*'19_Расчет_аналитики'!H1572,MeanMinAge08)))</f>
        <v/>
      </c>
      <c r="I1511">
        <f>IF(OR(('19_Расчет_аналитики'!I1427-'19_Расчет_аналитики'!I1455)=0,8&lt;='01_Вводные'!$B$297),0,('19_Расчет_аналитики'!I1427-'19_Расчет_аналитики'!I1455)*IF('01_Вводные'!$B$239="Да",MeanMinAge08+'19_Расчет_аналитики'!I1572*SUMIF(ThresholdAge08,"&lt;"&amp;'19_Расчет_аналитики'!I1572,WeightedRevAge08)-SUMIF(ThresholdAge08,"&lt;"&amp;'19_Расчет_аналитики'!I1572,WeightedMinAge08),MAX(CapacityAge08*'01_Вводные'!$B$218*'19_Расчет_аналитики'!I1572,MeanMinAge08)))</f>
        <v/>
      </c>
      <c r="J1511">
        <f>IF(OR(('19_Расчет_аналитики'!J1427-'19_Расчет_аналитики'!J1455)=0,8&lt;='01_Вводные'!$B$297),0,('19_Расчет_аналитики'!J1427-'19_Расчет_аналитики'!J1455)*IF('01_Вводные'!$B$239="Да",MeanMinAge08+'19_Расчет_аналитики'!J1572*SUMIF(ThresholdAge08,"&lt;"&amp;'19_Расчет_аналитики'!J1572,WeightedRevAge08)-SUMIF(ThresholdAge08,"&lt;"&amp;'19_Расчет_аналитики'!J1572,WeightedMinAge08),MAX(CapacityAge08*'01_Вводные'!$B$218*'19_Расчет_аналитики'!J1572,MeanMinAge08)))</f>
        <v/>
      </c>
      <c r="K1511">
        <f>IF(OR(('19_Расчет_аналитики'!K1427-'19_Расчет_аналитики'!K1455)=0,8&lt;='01_Вводные'!$B$297),0,('19_Расчет_аналитики'!K1427-'19_Расчет_аналитики'!K1455)*IF('01_Вводные'!$B$239="Да",MeanMinAge08+'19_Расчет_аналитики'!K1572*SUMIF(ThresholdAge08,"&lt;"&amp;'19_Расчет_аналитики'!K1572,WeightedRevAge08)-SUMIF(ThresholdAge08,"&lt;"&amp;'19_Расчет_аналитики'!K1572,WeightedMinAge08),MAX(CapacityAge08*'01_Вводные'!$B$218*'19_Расчет_аналитики'!K1572,MeanMinAge08)))</f>
        <v/>
      </c>
      <c r="L1511">
        <f>IF(OR(('19_Расчет_аналитики'!L1427-'19_Расчет_аналитики'!L1455)=0,8&lt;='01_Вводные'!$B$297),0,('19_Расчет_аналитики'!L1427-'19_Расчет_аналитики'!L1455)*IF('01_Вводные'!$B$239="Да",MeanMinAge08+'19_Расчет_аналитики'!L1572*SUMIF(ThresholdAge08,"&lt;"&amp;'19_Расчет_аналитики'!L1572,WeightedRevAge08)-SUMIF(ThresholdAge08,"&lt;"&amp;'19_Расчет_аналитики'!L1572,WeightedMinAge08),MAX(CapacityAge08*'01_Вводные'!$B$218*'19_Расчет_аналитики'!L1572,MeanMinAge08)))</f>
        <v/>
      </c>
      <c r="M1511">
        <f>IF(OR(('19_Расчет_аналитики'!M1427-'19_Расчет_аналитики'!M1455)=0,8&lt;='01_Вводные'!$B$297),0,('19_Расчет_аналитики'!M1427-'19_Расчет_аналитики'!M1455)*IF('01_Вводные'!$B$239="Да",MeanMinAge08+'19_Расчет_аналитики'!M1572*SUMIF(ThresholdAge08,"&lt;"&amp;'19_Расчет_аналитики'!M1572,WeightedRevAge08)-SUMIF(ThresholdAge08,"&lt;"&amp;'19_Расчет_аналитики'!M1572,WeightedMinAge08),MAX(CapacityAge08*'01_Вводные'!$B$218*'19_Расчет_аналитики'!M1572,MeanMinAge08)))</f>
        <v/>
      </c>
      <c r="N1511">
        <f>IF(OR(('19_Расчет_аналитики'!N1427-'19_Расчет_аналитики'!N1455)=0,8&lt;='01_Вводные'!$B$297),0,('19_Расчет_аналитики'!N1427-'19_Расчет_аналитики'!N1455)*IF('01_Вводные'!$B$239="Да",MeanMinAge08+'19_Расчет_аналитики'!N1572*SUMIF(ThresholdAge08,"&lt;"&amp;'19_Расчет_аналитики'!N1572,WeightedRevAge08)-SUMIF(ThresholdAge08,"&lt;"&amp;'19_Расчет_аналитики'!N1572,WeightedMinAge08),MAX(CapacityAge08*'01_Вводные'!$B$218*'19_Расчет_аналитики'!N1572,MeanMinAge08)))</f>
        <v/>
      </c>
      <c r="O1511">
        <f>IF(OR(('19_Расчет_аналитики'!O1427-'19_Расчет_аналитики'!O1455)=0,8&lt;='01_Вводные'!$B$297),0,('19_Расчет_аналитики'!O1427-'19_Расчет_аналитики'!O1455)*IF('01_Вводные'!$B$239="Да",MeanMinAge08+'19_Расчет_аналитики'!O1572*SUMIF(ThresholdAge08,"&lt;"&amp;'19_Расчет_аналитики'!O1572,WeightedRevAge08)-SUMIF(ThresholdAge08,"&lt;"&amp;'19_Расчет_аналитики'!O1572,WeightedMinAge08),MAX(CapacityAge08*'01_Вводные'!$B$218*'19_Расчет_аналитики'!O1572,MeanMinAge08)))</f>
        <v/>
      </c>
      <c r="P1511">
        <f>IF(OR(('19_Расчет_аналитики'!P1427-'19_Расчет_аналитики'!P1455)=0,8&lt;='01_Вводные'!$B$297),0,('19_Расчет_аналитики'!P1427-'19_Расчет_аналитики'!P1455)*IF('01_Вводные'!$B$239="Да",MeanMinAge08+'19_Расчет_аналитики'!P1572*SUMIF(ThresholdAge08,"&lt;"&amp;'19_Расчет_аналитики'!P1572,WeightedRevAge08)-SUMIF(ThresholdAge08,"&lt;"&amp;'19_Расчет_аналитики'!P1572,WeightedMinAge08),MAX(CapacityAge08*'01_Вводные'!$B$218*'19_Расчет_аналитики'!P1572,MeanMinAge08)))</f>
        <v/>
      </c>
      <c r="Q1511">
        <f>IF(OR(('19_Расчет_аналитики'!Q1427-'19_Расчет_аналитики'!Q1455)=0,8&lt;='01_Вводные'!$B$297),0,('19_Расчет_аналитики'!Q1427-'19_Расчет_аналитики'!Q1455)*IF('01_Вводные'!$B$239="Да",MeanMinAge08+'19_Расчет_аналитики'!Q1572*SUMIF(ThresholdAge08,"&lt;"&amp;'19_Расчет_аналитики'!Q1572,WeightedRevAge08)-SUMIF(ThresholdAge08,"&lt;"&amp;'19_Расчет_аналитики'!Q1572,WeightedMinAge08),MAX(CapacityAge08*'01_Вводные'!$B$218*'19_Расчет_аналитики'!Q1572,MeanMinAge08)))</f>
        <v/>
      </c>
      <c r="R1511">
        <f>IF(OR(('19_Расчет_аналитики'!R1427-'19_Расчет_аналитики'!R1455)=0,8&lt;='01_Вводные'!$B$297),0,('19_Расчет_аналитики'!R1427-'19_Расчет_аналитики'!R1455)*IF('01_Вводные'!$B$239="Да",MeanMinAge08+'19_Расчет_аналитики'!R1572*SUMIF(ThresholdAge08,"&lt;"&amp;'19_Расчет_аналитики'!R1572,WeightedRevAge08)-SUMIF(ThresholdAge08,"&lt;"&amp;'19_Расчет_аналитики'!R1572,WeightedMinAge08),MAX(CapacityAge08*'01_Вводные'!$B$218*'19_Расчет_аналитики'!R1572,MeanMinAge08)))</f>
        <v/>
      </c>
      <c r="S1511">
        <f>IF(OR(('19_Расчет_аналитики'!S1427-'19_Расчет_аналитики'!S1455)=0,8&lt;='01_Вводные'!$B$297),0,('19_Расчет_аналитики'!S1427-'19_Расчет_аналитики'!S1455)*IF('01_Вводные'!$B$239="Да",MeanMinAge08+'19_Расчет_аналитики'!S1572*SUMIF(ThresholdAge08,"&lt;"&amp;'19_Расчет_аналитики'!S1572,WeightedRevAge08)-SUMIF(ThresholdAge08,"&lt;"&amp;'19_Расчет_аналитики'!S1572,WeightedMinAge08),MAX(CapacityAge08*'01_Вводные'!$B$218*'19_Расчет_аналитики'!S1572,MeanMinAge08)))</f>
        <v/>
      </c>
      <c r="T1511">
        <f>IF(OR(('19_Расчет_аналитики'!T1427-'19_Расчет_аналитики'!T1455)=0,8&lt;='01_Вводные'!$B$297),0,('19_Расчет_аналитики'!T1427-'19_Расчет_аналитики'!T1455)*IF('01_Вводные'!$B$239="Да",MeanMinAge08+'19_Расчет_аналитики'!T1572*SUMIF(ThresholdAge08,"&lt;"&amp;'19_Расчет_аналитики'!T1572,WeightedRevAge08)-SUMIF(ThresholdAge08,"&lt;"&amp;'19_Расчет_аналитики'!T1572,WeightedMinAge08),MAX(CapacityAge08*'01_Вводные'!$B$218*'19_Расчет_аналитики'!T1572,MeanMinAge08)))</f>
        <v/>
      </c>
      <c r="U1511">
        <f>IF(OR(('19_Расчет_аналитики'!U1427-'19_Расчет_аналитики'!U1455)=0,8&lt;='01_Вводные'!$B$297),0,('19_Расчет_аналитики'!U1427-'19_Расчет_аналитики'!U1455)*IF('01_Вводные'!$B$239="Да",MeanMinAge08+'19_Расчет_аналитики'!U1572*SUMIF(ThresholdAge08,"&lt;"&amp;'19_Расчет_аналитики'!U1572,WeightedRevAge08)-SUMIF(ThresholdAge08,"&lt;"&amp;'19_Расчет_аналитики'!U1572,WeightedMinAge08),MAX(CapacityAge08*'01_Вводные'!$B$218*'19_Расчет_аналитики'!U1572,MeanMinAge08)))</f>
        <v/>
      </c>
      <c r="V1511">
        <f>IF(OR(('19_Расчет_аналитики'!V1427-'19_Расчет_аналитики'!V1455)=0,8&lt;='01_Вводные'!$B$297),0,('19_Расчет_аналитики'!V1427-'19_Расчет_аналитики'!V1455)*IF('01_Вводные'!$B$239="Да",MeanMinAge08+'19_Расчет_аналитики'!V1572*SUMIF(ThresholdAge08,"&lt;"&amp;'19_Расчет_аналитики'!V1572,WeightedRevAge08)-SUMIF(ThresholdAge08,"&lt;"&amp;'19_Расчет_аналитики'!V1572,WeightedMinAge08),MAX(CapacityAge08*'01_Вводные'!$B$218*'19_Расчет_аналитики'!V1572,MeanMinAge08)))</f>
        <v/>
      </c>
      <c r="W1511">
        <f>IF(OR(('19_Расчет_аналитики'!W1427-'19_Расчет_аналитики'!W1455)=0,8&lt;='01_Вводные'!$B$297),0,('19_Расчет_аналитики'!W1427-'19_Расчет_аналитики'!W1455)*IF('01_Вводные'!$B$239="Да",MeanMinAge08+'19_Расчет_аналитики'!W1572*SUMIF(ThresholdAge08,"&lt;"&amp;'19_Расчет_аналитики'!W1572,WeightedRevAge08)-SUMIF(ThresholdAge08,"&lt;"&amp;'19_Расчет_аналитики'!W1572,WeightedMinAge08),MAX(CapacityAge08*'01_Вводные'!$B$218*'19_Расчет_аналитики'!W1572,MeanMinAge08)))</f>
        <v/>
      </c>
      <c r="X1511">
        <f>IF(OR(('19_Расчет_аналитики'!X1427-'19_Расчет_аналитики'!X1455)=0,8&lt;='01_Вводные'!$B$297),0,('19_Расчет_аналитики'!X1427-'19_Расчет_аналитики'!X1455)*IF('01_Вводные'!$B$239="Да",MeanMinAge08+'19_Расчет_аналитики'!X1572*SUMIF(ThresholdAge08,"&lt;"&amp;'19_Расчет_аналитики'!X1572,WeightedRevAge08)-SUMIF(ThresholdAge08,"&lt;"&amp;'19_Расчет_аналитики'!X1572,WeightedMinAge08),MAX(CapacityAge08*'01_Вводные'!$B$218*'19_Расчет_аналитики'!X1572,MeanMinAge08)))</f>
        <v/>
      </c>
      <c r="Y1511">
        <f>IF(OR(('19_Расчет_аналитики'!Y1427-'19_Расчет_аналитики'!Y1455)=0,8&lt;='01_Вводные'!$B$297),0,('19_Расчет_аналитики'!Y1427-'19_Расчет_аналитики'!Y1455)*IF('01_Вводные'!$B$239="Да",MeanMinAge08+'19_Расчет_аналитики'!Y1572*SUMIF(ThresholdAge08,"&lt;"&amp;'19_Расчет_аналитики'!Y1572,WeightedRevAge08)-SUMIF(ThresholdAge08,"&lt;"&amp;'19_Расчет_аналитики'!Y1572,WeightedMinAge08),MAX(CapacityAge08*'01_Вводные'!$B$218*'19_Расчет_аналитики'!Y1572,MeanMinAge08)))</f>
        <v/>
      </c>
      <c r="Z1511">
        <f>IF(OR(('19_Расчет_аналитики'!Z1427-'19_Расчет_аналитики'!Z1455)=0,8&lt;='01_Вводные'!$B$297),0,('19_Расчет_аналитики'!Z1427-'19_Расчет_аналитики'!Z1455)*IF('01_Вводные'!$B$239="Да",MeanMinAge08+'19_Расчет_аналитики'!Z1572*SUMIF(ThresholdAge08,"&lt;"&amp;'19_Расчет_аналитики'!Z1572,WeightedRevAge08)-SUMIF(ThresholdAge08,"&lt;"&amp;'19_Расчет_аналитики'!Z1572,WeightedMinAge08),MAX(CapacityAge08*'01_Вводные'!$B$218*'19_Расчет_аналитики'!Z1572,MeanMinAge08)))</f>
        <v/>
      </c>
      <c r="AA1511">
        <f>IF(OR(('19_Расчет_аналитики'!AA1427-'19_Расчет_аналитики'!AA1455)=0,8&lt;='01_Вводные'!$B$297),0,('19_Расчет_аналитики'!AA1427-'19_Расчет_аналитики'!AA1455)*IF('01_Вводные'!$B$239="Да",MeanMinAge08+'19_Расчет_аналитики'!AA1572*SUMIF(ThresholdAge08,"&lt;"&amp;'19_Расчет_аналитики'!AA1572,WeightedRevAge08)-SUMIF(ThresholdAge08,"&lt;"&amp;'19_Расчет_аналитики'!AA1572,WeightedMinAge08),MAX(CapacityAge08*'01_Вводные'!$B$218*'19_Расчет_аналитики'!AA1572,MeanMinAge08)))</f>
        <v/>
      </c>
      <c r="AB1511">
        <f>IF(OR(('19_Расчет_аналитики'!AB1427-'19_Расчет_аналитики'!AB1455)=0,8&lt;='01_Вводные'!$B$297),0,('19_Расчет_аналитики'!AB1427-'19_Расчет_аналитики'!AB1455)*IF('01_Вводные'!$B$239="Да",MeanMinAge08+'19_Расчет_аналитики'!AB1572*SUMIF(ThresholdAge08,"&lt;"&amp;'19_Расчет_аналитики'!AB1572,WeightedRevAge08)-SUMIF(ThresholdAge08,"&lt;"&amp;'19_Расчет_аналитики'!AB1572,WeightedMinAge08),MAX(CapacityAge08*'01_Вводные'!$B$218*'19_Расчет_аналитики'!AB1572,MeanMinAge08)))</f>
        <v/>
      </c>
      <c r="AC1511">
        <f>IF(OR(('19_Расчет_аналитики'!AC1427-'19_Расчет_аналитики'!AC1455)=0,8&lt;='01_Вводные'!$B$297),0,('19_Расчет_аналитики'!AC1427-'19_Расчет_аналитики'!AC1455)*IF('01_Вводные'!$B$239="Да",MeanMinAge08+'19_Расчет_аналитики'!AC1572*SUMIF(ThresholdAge08,"&lt;"&amp;'19_Расчет_аналитики'!AC1572,WeightedRevAge08)-SUMIF(ThresholdAge08,"&lt;"&amp;'19_Расчет_аналитики'!AC1572,WeightedMinAge08),MAX(CapacityAge08*'01_Вводные'!$B$218*'19_Расчет_аналитики'!AC1572,MeanMinAge08)))</f>
        <v/>
      </c>
      <c r="AD1511">
        <f>IF(OR(('19_Расчет_аналитики'!AD1427-'19_Расчет_аналитики'!AD1455)=0,8&lt;='01_Вводные'!$B$297),0,('19_Расчет_аналитики'!AD1427-'19_Расчет_аналитики'!AD1455)*IF('01_Вводные'!$B$239="Да",MeanMinAge08+'19_Расчет_аналитики'!AD1572*SUMIF(ThresholdAge08,"&lt;"&amp;'19_Расчет_аналитики'!AD1572,WeightedRevAge08)-SUMIF(ThresholdAge08,"&lt;"&amp;'19_Расчет_аналитики'!AD1572,WeightedMinAge08),MAX(CapacityAge08*'01_Вводные'!$B$218*'19_Расчет_аналитики'!AD1572,MeanMinAge08)))</f>
        <v/>
      </c>
      <c r="AE1511">
        <f>IF(OR(('19_Расчет_аналитики'!AE1427-'19_Расчет_аналитики'!AE1455)=0,8&lt;='01_Вводные'!$B$297),0,('19_Расчет_аналитики'!AE1427-'19_Расчет_аналитики'!AE1455)*IF('01_Вводные'!$B$239="Да",MeanMinAge08+'19_Расчет_аналитики'!AE1572*SUMIF(ThresholdAge08,"&lt;"&amp;'19_Расчет_аналитики'!AE1572,WeightedRevAge08)-SUMIF(ThresholdAge08,"&lt;"&amp;'19_Расчет_аналитики'!AE1572,WeightedMinAge08),MAX(CapacityAge08*'01_Вводные'!$B$218*'19_Расчет_аналитики'!AE1572,MeanMinAge08)))</f>
        <v/>
      </c>
      <c r="AF1511">
        <f>IF(OR(('19_Расчет_аналитики'!AF1427-'19_Расчет_аналитики'!AF1455)=0,8&lt;='01_Вводные'!$B$297),0,('19_Расчет_аналитики'!AF1427-'19_Расчет_аналитики'!AF1455)*IF('01_Вводные'!$B$239="Да",MeanMinAge08+'19_Расчет_аналитики'!AF1572*SUMIF(ThresholdAge08,"&lt;"&amp;'19_Расчет_аналитики'!AF1572,WeightedRevAge08)-SUMIF(ThresholdAge08,"&lt;"&amp;'19_Расчет_аналитики'!AF1572,WeightedMinAge08),MAX(CapacityAge08*'01_Вводные'!$B$218*'19_Расчет_аналитики'!AF1572,MeanMinAge08)))</f>
        <v/>
      </c>
      <c r="AG1511">
        <f>IF(OR(('19_Расчет_аналитики'!AG1427-'19_Расчет_аналитики'!AG1455)=0,8&lt;='01_Вводные'!$B$297),0,('19_Расчет_аналитики'!AG1427-'19_Расчет_аналитики'!AG1455)*IF('01_Вводные'!$B$239="Да",MeanMinAge08+'19_Расчет_аналитики'!AG1572*SUMIF(ThresholdAge08,"&lt;"&amp;'19_Расчет_аналитики'!AG1572,WeightedRevAge08)-SUMIF(ThresholdAge08,"&lt;"&amp;'19_Расчет_аналитики'!AG1572,WeightedMinAge08),MAX(CapacityAge08*'01_Вводные'!$B$218*'19_Расчет_аналитики'!AG1572,MeanMinAge08)))</f>
        <v/>
      </c>
      <c r="AH1511">
        <f>IF(OR(('19_Расчет_аналитики'!AH1427-'19_Расчет_аналитики'!AH1455)=0,8&lt;='01_Вводные'!$B$297),0,('19_Расчет_аналитики'!AH1427-'19_Расчет_аналитики'!AH1455)*IF('01_Вводные'!$B$239="Да",MeanMinAge08+'19_Расчет_аналитики'!AH1572*SUMIF(ThresholdAge08,"&lt;"&amp;'19_Расчет_аналитики'!AH1572,WeightedRevAge08)-SUMIF(ThresholdAge08,"&lt;"&amp;'19_Расчет_аналитики'!AH1572,WeightedMinAge08),MAX(CapacityAge08*'01_Вводные'!$B$218*'19_Расчет_аналитики'!AH1572,MeanMinAge08)))</f>
        <v/>
      </c>
      <c r="AI1511">
        <f>IF(OR(('19_Расчет_аналитики'!AI1427-'19_Расчет_аналитики'!AI1455)=0,8&lt;='01_Вводные'!$B$297),0,('19_Расчет_аналитики'!AI1427-'19_Расчет_аналитики'!AI1455)*IF('01_Вводные'!$B$239="Да",MeanMinAge08+'19_Расчет_аналитики'!AI1572*SUMIF(ThresholdAge08,"&lt;"&amp;'19_Расчет_аналитики'!AI1572,WeightedRevAge08)-SUMIF(ThresholdAge08,"&lt;"&amp;'19_Расчет_аналитики'!AI1572,WeightedMinAge08),MAX(CapacityAge08*'01_Вводные'!$B$218*'19_Расчет_аналитики'!AI1572,MeanMinAge08)))</f>
        <v/>
      </c>
      <c r="AJ1511">
        <f>IF(OR(('19_Расчет_аналитики'!AJ1427-'19_Расчет_аналитики'!AJ1455)=0,8&lt;='01_Вводные'!$B$297),0,('19_Расчет_аналитики'!AJ1427-'19_Расчет_аналитики'!AJ1455)*IF('01_Вводные'!$B$239="Да",MeanMinAge08+'19_Расчет_аналитики'!AJ1572*SUMIF(ThresholdAge08,"&lt;"&amp;'19_Расчет_аналитики'!AJ1572,WeightedRevAge08)-SUMIF(ThresholdAge08,"&lt;"&amp;'19_Расчет_аналитики'!AJ1572,WeightedMinAge08),MAX(CapacityAge08*'01_Вводные'!$B$218*'19_Расчет_аналитики'!AJ1572,MeanMinAge08)))</f>
        <v/>
      </c>
      <c r="AK1511">
        <f>IF(OR(('19_Расчет_аналитики'!AK1427-'19_Расчет_аналитики'!AK1455)=0,8&lt;='01_Вводные'!$B$297),0,('19_Расчет_аналитики'!AK1427-'19_Расчет_аналитики'!AK1455)*IF('01_Вводные'!$B$239="Да",MeanMinAge08+'19_Расчет_аналитики'!AK1572*SUMIF(ThresholdAge08,"&lt;"&amp;'19_Расчет_аналитики'!AK1572,WeightedRevAge08)-SUMIF(ThresholdAge08,"&lt;"&amp;'19_Расчет_аналитики'!AK1572,WeightedMinAge08),MAX(CapacityAge08*'01_Вводные'!$B$218*'19_Расчет_аналитики'!AK1572,MeanMinAge08)))</f>
        <v/>
      </c>
      <c r="AL1511">
        <f>IF(OR(('19_Расчет_аналитики'!AL1427-'19_Расчет_аналитики'!AL1455)=0,8&lt;='01_Вводные'!$B$297),0,('19_Расчет_аналитики'!AL1427-'19_Расчет_аналитики'!AL1455)*IF('01_Вводные'!$B$239="Да",MeanMinAge08+'19_Расчет_аналитики'!AL1572*SUMIF(ThresholdAge08,"&lt;"&amp;'19_Расчет_аналитики'!AL1572,WeightedRevAge08)-SUMIF(ThresholdAge08,"&lt;"&amp;'19_Расчет_аналитики'!AL1572,WeightedMinAge08),MAX(CapacityAge08*'01_Вводные'!$B$218*'19_Расчет_аналитики'!AL1572,MeanMinAge08)))</f>
        <v/>
      </c>
      <c r="AM1511">
        <f>IF(OR(('19_Расчет_аналитики'!AM1427-'19_Расчет_аналитики'!AM1455)=0,8&lt;='01_Вводные'!$B$297),0,('19_Расчет_аналитики'!AM1427-'19_Расчет_аналитики'!AM1455)*IF('01_Вводные'!$B$239="Да",MeanMinAge08+'19_Расчет_аналитики'!AM1572*SUMIF(ThresholdAge08,"&lt;"&amp;'19_Расчет_аналитики'!AM1572,WeightedRevAge08)-SUMIF(ThresholdAge08,"&lt;"&amp;'19_Расчет_аналитики'!AM1572,WeightedMinAge08),MAX(CapacityAge08*'01_Вводные'!$B$218*'19_Расчет_аналитики'!AM1572,MeanMinAge08)))</f>
        <v/>
      </c>
      <c r="AN1511">
        <f>IF(OR(('19_Расчет_аналитики'!AN1427-'19_Расчет_аналитики'!AN1455)=0,8&lt;='01_Вводные'!$B$297),0,('19_Расчет_аналитики'!AN1427-'19_Расчет_аналитики'!AN1455)*IF('01_Вводные'!$B$239="Да",MeanMinAge08+'19_Расчет_аналитики'!AN1572*SUMIF(ThresholdAge08,"&lt;"&amp;'19_Расчет_аналитики'!AN1572,WeightedRevAge08)-SUMIF(ThresholdAge08,"&lt;"&amp;'19_Расчет_аналитики'!AN1572,WeightedMinAge08),MAX(CapacityAge08*'01_Вводные'!$B$218*'19_Расчет_аналитики'!AN1572,MeanMinAge08)))</f>
        <v/>
      </c>
      <c r="AO1511">
        <f>IF(OR(('19_Расчет_аналитики'!AO1427-'19_Расчет_аналитики'!AO1455)=0,8&lt;='01_Вводные'!$B$297),0,('19_Расчет_аналитики'!AO1427-'19_Расчет_аналитики'!AO1455)*IF('01_Вводные'!$B$239="Да",MeanMinAge08+'19_Расчет_аналитики'!AO1572*SUMIF(ThresholdAge08,"&lt;"&amp;'19_Расчет_аналитики'!AO1572,WeightedRevAge08)-SUMIF(ThresholdAge08,"&lt;"&amp;'19_Расчет_аналитики'!AO1572,WeightedMinAge08),MAX(CapacityAge08*'01_Вводные'!$B$218*'19_Расчет_аналитики'!AO1572,MeanMinAge08)))</f>
        <v/>
      </c>
      <c r="AP1511">
        <f>IF(OR(('19_Расчет_аналитики'!AP1427-'19_Расчет_аналитики'!AP1455)=0,8&lt;='01_Вводные'!$B$297),0,('19_Расчет_аналитики'!AP1427-'19_Расчет_аналитики'!AP1455)*IF('01_Вводные'!$B$239="Да",MeanMinAge08+'19_Расчет_аналитики'!AP1572*SUMIF(ThresholdAge08,"&lt;"&amp;'19_Расчет_аналитики'!AP1572,WeightedRevAge08)-SUMIF(ThresholdAge08,"&lt;"&amp;'19_Расчет_аналитики'!AP1572,WeightedMinAge08),MAX(CapacityAge08*'01_Вводные'!$B$218*'19_Расчет_аналитики'!AP1572,MeanMinAge08)))</f>
        <v/>
      </c>
      <c r="AQ1511">
        <f>IF(OR(('19_Расчет_аналитики'!AQ1427-'19_Расчет_аналитики'!AQ1455)=0,8&lt;='01_Вводные'!$B$297),0,('19_Расчет_аналитики'!AQ1427-'19_Расчет_аналитики'!AQ1455)*IF('01_Вводные'!$B$239="Да",MeanMinAge08+'19_Расчет_аналитики'!AQ1572*SUMIF(ThresholdAge08,"&lt;"&amp;'19_Расчет_аналитики'!AQ1572,WeightedRevAge08)-SUMIF(ThresholdAge08,"&lt;"&amp;'19_Расчет_аналитики'!AQ1572,WeightedMinAge08),MAX(CapacityAge08*'01_Вводные'!$B$218*'19_Расчет_аналитики'!AQ1572,MeanMinAge08)))</f>
        <v/>
      </c>
      <c r="AR1511">
        <f>IF(OR(('19_Расчет_аналитики'!AR1427-'19_Расчет_аналитики'!AR1455)=0,8&lt;='01_Вводные'!$B$297),0,('19_Расчет_аналитики'!AR1427-'19_Расчет_аналитики'!AR1455)*IF('01_Вводные'!$B$239="Да",MeanMinAge08+'19_Расчет_аналитики'!AR1572*SUMIF(ThresholdAge08,"&lt;"&amp;'19_Расчет_аналитики'!AR1572,WeightedRevAge08)-SUMIF(ThresholdAge08,"&lt;"&amp;'19_Расчет_аналитики'!AR1572,WeightedMinAge08),MAX(CapacityAge08*'01_Вводные'!$B$218*'19_Расчет_аналитики'!AR1572,MeanMinAge08)))</f>
        <v/>
      </c>
      <c r="AS1511">
        <f>IF(OR(('19_Расчет_аналитики'!AS1427-'19_Расчет_аналитики'!AS1455)=0,8&lt;='01_Вводные'!$B$297),0,('19_Расчет_аналитики'!AS1427-'19_Расчет_аналитики'!AS1455)*IF('01_Вводные'!$B$239="Да",MeanMinAge08+'19_Расчет_аналитики'!AS1572*SUMIF(ThresholdAge08,"&lt;"&amp;'19_Расчет_аналитики'!AS1572,WeightedRevAge08)-SUMIF(ThresholdAge08,"&lt;"&amp;'19_Расчет_аналитики'!AS1572,WeightedMinAge08),MAX(CapacityAge08*'01_Вводные'!$B$218*'19_Расчет_аналитики'!AS1572,MeanMinAge08)))</f>
        <v/>
      </c>
      <c r="AT1511">
        <f>IF(OR(('19_Расчет_аналитики'!AT1427-'19_Расчет_аналитики'!AT1455)=0,8&lt;='01_Вводные'!$B$297),0,('19_Расчет_аналитики'!AT1427-'19_Расчет_аналитики'!AT1455)*IF('01_Вводные'!$B$239="Да",MeanMinAge08+'19_Расчет_аналитики'!AT1572*SUMIF(ThresholdAge08,"&lt;"&amp;'19_Расчет_аналитики'!AT1572,WeightedRevAge08)-SUMIF(ThresholdAge08,"&lt;"&amp;'19_Расчет_аналитики'!AT1572,WeightedMinAge08),MAX(CapacityAge08*'01_Вводные'!$B$218*'19_Расчет_аналитики'!AT1572,MeanMinAge08)))</f>
        <v/>
      </c>
      <c r="AU1511">
        <f>IF(OR(('19_Расчет_аналитики'!AU1427-'19_Расчет_аналитики'!AU1455)=0,8&lt;='01_Вводные'!$B$297),0,('19_Расчет_аналитики'!AU1427-'19_Расчет_аналитики'!AU1455)*IF('01_Вводные'!$B$239="Да",MeanMinAge08+'19_Расчет_аналитики'!AU1572*SUMIF(ThresholdAge08,"&lt;"&amp;'19_Расчет_аналитики'!AU1572,WeightedRevAge08)-SUMIF(ThresholdAge08,"&lt;"&amp;'19_Расчет_аналитики'!AU1572,WeightedMinAge08),MAX(CapacityAge08*'01_Вводные'!$B$218*'19_Расчет_аналитики'!AU1572,MeanMinAge08)))</f>
        <v/>
      </c>
      <c r="AV1511">
        <f>IF(OR(('19_Расчет_аналитики'!AV1427-'19_Расчет_аналитики'!AV1455)=0,8&lt;='01_Вводные'!$B$297),0,('19_Расчет_аналитики'!AV1427-'19_Расчет_аналитики'!AV1455)*IF('01_Вводные'!$B$239="Да",MeanMinAge08+'19_Расчет_аналитики'!AV1572*SUMIF(ThresholdAge08,"&lt;"&amp;'19_Расчет_аналитики'!AV1572,WeightedRevAge08)-SUMIF(ThresholdAge08,"&lt;"&amp;'19_Расчет_аналитики'!AV1572,WeightedMinAge08),MAX(CapacityAge08*'01_Вводные'!$B$218*'19_Расчет_аналитики'!AV1572,MeanMinAge08)))</f>
        <v/>
      </c>
      <c r="AW1511">
        <f>IF(OR(('19_Расчет_аналитики'!AW1427-'19_Расчет_аналитики'!AW1455)=0,8&lt;='01_Вводные'!$B$297),0,('19_Расчет_аналитики'!AW1427-'19_Расчет_аналитики'!AW1455)*IF('01_Вводные'!$B$239="Да",MeanMinAge08+'19_Расчет_аналитики'!AW1572*SUMIF(ThresholdAge08,"&lt;"&amp;'19_Расчет_аналитики'!AW1572,WeightedRevAge08)-SUMIF(ThresholdAge08,"&lt;"&amp;'19_Расчет_аналитики'!AW1572,WeightedMinAge08),MAX(CapacityAge08*'01_Вводные'!$B$218*'19_Расчет_аналитики'!AW1572,MeanMinAge08)))</f>
        <v/>
      </c>
      <c r="AX1511">
        <f>IF(OR(('19_Расчет_аналитики'!AX1427-'19_Расчет_аналитики'!AX1455)=0,8&lt;='01_Вводные'!$B$297),0,('19_Расчет_аналитики'!AX1427-'19_Расчет_аналитики'!AX1455)*IF('01_Вводные'!$B$239="Да",MeanMinAge08+'19_Расчет_аналитики'!AX1572*SUMIF(ThresholdAge08,"&lt;"&amp;'19_Расчет_аналитики'!AX1572,WeightedRevAge08)-SUMIF(ThresholdAge08,"&lt;"&amp;'19_Расчет_аналитики'!AX1572,WeightedMinAge08),MAX(CapacityAge08*'01_Вводные'!$B$218*'19_Расчет_аналитики'!AX1572,MeanMinAge08)))</f>
        <v/>
      </c>
      <c r="AY1511">
        <f>IF(OR(('19_Расчет_аналитики'!AY1427-'19_Расчет_аналитики'!AY1455)=0,8&lt;='01_Вводные'!$B$297),0,('19_Расчет_аналитики'!AY1427-'19_Расчет_аналитики'!AY1455)*IF('01_Вводные'!$B$239="Да",MeanMinAge08+'19_Расчет_аналитики'!AY1572*SUMIF(ThresholdAge08,"&lt;"&amp;'19_Расчет_аналитики'!AY1572,WeightedRevAge08)-SUMIF(ThresholdAge08,"&lt;"&amp;'19_Расчет_аналитики'!AY1572,WeightedMinAge08),MAX(CapacityAge08*'01_Вводные'!$B$218*'19_Расчет_аналитики'!AY1572,MeanMinAge08)))</f>
        <v/>
      </c>
      <c r="AZ1511">
        <f>IF(OR(('19_Расчет_аналитики'!AZ1427-'19_Расчет_аналитики'!AZ1455)=0,8&lt;='01_Вводные'!$B$297),0,('19_Расчет_аналитики'!AZ1427-'19_Расчет_аналитики'!AZ1455)*IF('01_Вводные'!$B$239="Да",MeanMinAge08+'19_Расчет_аналитики'!AZ1572*SUMIF(ThresholdAge08,"&lt;"&amp;'19_Расчет_аналитики'!AZ1572,WeightedRevAge08)-SUMIF(ThresholdAge08,"&lt;"&amp;'19_Расчет_аналитики'!AZ1572,WeightedMinAge08),MAX(CapacityAge08*'01_Вводные'!$B$218*'19_Расчет_аналитики'!AZ1572,MeanMinAge08)))</f>
        <v/>
      </c>
      <c r="BA1511">
        <f>IF(OR(('19_Расчет_аналитики'!BA1427-'19_Расчет_аналитики'!BA1455)=0,8&lt;='01_Вводные'!$B$297),0,('19_Расчет_аналитики'!BA1427-'19_Расчет_аналитики'!BA1455)*IF('01_Вводные'!$B$239="Да",MeanMinAge08+'19_Расчет_аналитики'!BA1572*SUMIF(ThresholdAge08,"&lt;"&amp;'19_Расчет_аналитики'!BA1572,WeightedRevAge08)-SUMIF(ThresholdAge08,"&lt;"&amp;'19_Расчет_аналитики'!BA1572,WeightedMinAge08),MAX(CapacityAge08*'01_Вводные'!$B$218*'19_Расчет_аналитики'!BA1572,MeanMinAge08)))</f>
        <v/>
      </c>
      <c r="BB1511">
        <f>IF(OR(('19_Расчет_аналитики'!BB1427-'19_Расчет_аналитики'!BB1455)=0,8&lt;='01_Вводные'!$B$297),0,('19_Расчет_аналитики'!BB1427-'19_Расчет_аналитики'!BB1455)*IF('01_Вводные'!$B$239="Да",MeanMinAge08+'19_Расчет_аналитики'!BB1572*SUMIF(ThresholdAge08,"&lt;"&amp;'19_Расчет_аналитики'!BB1572,WeightedRevAge08)-SUMIF(ThresholdAge08,"&lt;"&amp;'19_Расчет_аналитики'!BB1572,WeightedMinAge08),MAX(CapacityAge08*'01_Вводные'!$B$218*'19_Расчет_аналитики'!BB1572,MeanMinAge08)))</f>
        <v/>
      </c>
      <c r="BC1511">
        <f>IF(OR(('19_Расчет_аналитики'!BC1427-'19_Расчет_аналитики'!BC1455)=0,8&lt;='01_Вводные'!$B$297),0,('19_Расчет_аналитики'!BC1427-'19_Расчет_аналитики'!BC1455)*IF('01_Вводные'!$B$239="Да",MeanMinAge08+'19_Расчет_аналитики'!BC1572*SUMIF(ThresholdAge08,"&lt;"&amp;'19_Расчет_аналитики'!BC1572,WeightedRevAge08)-SUMIF(ThresholdAge08,"&lt;"&amp;'19_Расчет_аналитики'!BC1572,WeightedMinAge08),MAX(CapacityAge08*'01_Вводные'!$B$218*'19_Расчет_аналитики'!BC1572,MeanMinAge08)))</f>
        <v/>
      </c>
      <c r="BD1511">
        <f>IF(OR(('19_Расчет_аналитики'!BD1427-'19_Расчет_аналитики'!BD1455)=0,8&lt;='01_Вводные'!$B$297),0,('19_Расчет_аналитики'!BD1427-'19_Расчет_аналитики'!BD1455)*IF('01_Вводные'!$B$239="Да",MeanMinAge08+'19_Расчет_аналитики'!BD1572*SUMIF(ThresholdAge08,"&lt;"&amp;'19_Расчет_аналитики'!BD1572,WeightedRevAge08)-SUMIF(ThresholdAge08,"&lt;"&amp;'19_Расчет_аналитики'!BD1572,WeightedMinAge08),MAX(CapacityAge08*'01_Вводные'!$B$218*'19_Расчет_аналитики'!BD1572,MeanMinAge08)))</f>
        <v/>
      </c>
      <c r="BE1511">
        <f>IF(OR(('19_Расчет_аналитики'!BE1427-'19_Расчет_аналитики'!BE1455)=0,8&lt;='01_Вводные'!$B$297),0,('19_Расчет_аналитики'!BE1427-'19_Расчет_аналитики'!BE1455)*IF('01_Вводные'!$B$239="Да",MeanMinAge08+'19_Расчет_аналитики'!BE1572*SUMIF(ThresholdAge08,"&lt;"&amp;'19_Расчет_аналитики'!BE1572,WeightedRevAge08)-SUMIF(ThresholdAge08,"&lt;"&amp;'19_Расчет_аналитики'!BE1572,WeightedMinAge08),MAX(CapacityAge08*'01_Вводные'!$B$218*'19_Расчет_аналитики'!BE1572,MeanMinAge08)))</f>
        <v/>
      </c>
      <c r="BF1511">
        <f>IF(OR(('19_Расчет_аналитики'!BF1427-'19_Расчет_аналитики'!BF1455)=0,8&lt;='01_Вводные'!$B$297),0,('19_Расчет_аналитики'!BF1427-'19_Расчет_аналитики'!BF1455)*IF('01_Вводные'!$B$239="Да",MeanMinAge08+'19_Расчет_аналитики'!BF1572*SUMIF(ThresholdAge08,"&lt;"&amp;'19_Расчет_аналитики'!BF1572,WeightedRevAge08)-SUMIF(ThresholdAge08,"&lt;"&amp;'19_Расчет_аналитики'!BF1572,WeightedMinAge08),MAX(CapacityAge08*'01_Вводные'!$B$218*'19_Расчет_аналитики'!BF1572,MeanMinAge08)))</f>
        <v/>
      </c>
      <c r="BG1511">
        <f>IF(OR(('19_Расчет_аналитики'!BG1427-'19_Расчет_аналитики'!BG1455)=0,8&lt;='01_Вводные'!$B$297),0,('19_Расчет_аналитики'!BG1427-'19_Расчет_аналитики'!BG1455)*IF('01_Вводные'!$B$239="Да",MeanMinAge08+'19_Расчет_аналитики'!BG1572*SUMIF(ThresholdAge08,"&lt;"&amp;'19_Расчет_аналитики'!BG1572,WeightedRevAge08)-SUMIF(ThresholdAge08,"&lt;"&amp;'19_Расчет_аналитики'!BG1572,WeightedMinAge08),MAX(CapacityAge08*'01_Вводные'!$B$218*'19_Расчет_аналитики'!BG1572,MeanMinAge08)))</f>
        <v/>
      </c>
      <c r="BH1511">
        <f>IF(OR(('19_Расчет_аналитики'!BH1427-'19_Расчет_аналитики'!BH1455)=0,8&lt;='01_Вводные'!$B$297),0,('19_Расчет_аналитики'!BH1427-'19_Расчет_аналитики'!BH1455)*IF('01_Вводные'!$B$239="Да",MeanMinAge08+'19_Расчет_аналитики'!BH1572*SUMIF(ThresholdAge08,"&lt;"&amp;'19_Расчет_аналитики'!BH1572,WeightedRevAge08)-SUMIF(ThresholdAge08,"&lt;"&amp;'19_Расчет_аналитики'!BH1572,WeightedMinAge08),MAX(CapacityAge08*'01_Вводные'!$B$218*'19_Расчет_аналитики'!BH1572,MeanMinAge08)))</f>
        <v/>
      </c>
      <c r="BI1511">
        <f>IF(OR(('19_Расчет_аналитики'!BI1427-'19_Расчет_аналитики'!BI1455)=0,8&lt;='01_Вводные'!$B$297),0,('19_Расчет_аналитики'!BI1427-'19_Расчет_аналитики'!BI1455)*IF('01_Вводные'!$B$239="Да",MeanMinAge08+'19_Расчет_аналитики'!BI1572*SUMIF(ThresholdAge08,"&lt;"&amp;'19_Расчет_аналитики'!BI1572,WeightedRevAge08)-SUMIF(ThresholdAge08,"&lt;"&amp;'19_Расчет_аналитики'!BI1572,WeightedMinAge08),MAX(CapacityAge08*'01_Вводные'!$B$218*'19_Расчет_аналитики'!BI1572,MeanMinAge08)))</f>
        <v/>
      </c>
      <c r="BJ1511">
        <f>IF(OR(('19_Расчет_аналитики'!BJ1427-'19_Расчет_аналитики'!BJ1455)=0,8&lt;='01_Вводные'!$B$297),0,('19_Расчет_аналитики'!BJ1427-'19_Расчет_аналитики'!BJ1455)*IF('01_Вводные'!$B$239="Да",MeanMinAge08+'19_Расчет_аналитики'!BJ1572*SUMIF(ThresholdAge08,"&lt;"&amp;'19_Расчет_аналитики'!BJ1572,WeightedRevAge08)-SUMIF(ThresholdAge08,"&lt;"&amp;'19_Расчет_аналитики'!BJ1572,WeightedMinAge08),MAX(CapacityAge08*'01_Вводные'!$B$218*'19_Расчет_аналитики'!BJ1572,MeanMinAge08)))</f>
        <v/>
      </c>
      <c r="BK1511">
        <f>IF(OR(('19_Расчет_аналитики'!BK1427-'19_Расчет_аналитики'!BK1455)=0,8&lt;='01_Вводные'!$B$297),0,('19_Расчет_аналитики'!BK1427-'19_Расчет_аналитики'!BK1455)*IF('01_Вводные'!$B$239="Да",MeanMinAge08+'19_Расчет_аналитики'!BK1572*SUMIF(ThresholdAge08,"&lt;"&amp;'19_Расчет_аналитики'!BK1572,WeightedRevAge08)-SUMIF(ThresholdAge08,"&lt;"&amp;'19_Расчет_аналитики'!BK1572,WeightedMinAge08),MAX(CapacityAge08*'01_Вводные'!$B$218*'19_Расчет_аналитики'!BK1572,MeanMinAge08)))</f>
        <v/>
      </c>
      <c r="BL1511">
        <f>IF(OR(('19_Расчет_аналитики'!BL1427-'19_Расчет_аналитики'!BL1455)=0,8&lt;='01_Вводные'!$B$297),0,('19_Расчет_аналитики'!BL1427-'19_Расчет_аналитики'!BL1455)*IF('01_Вводные'!$B$239="Да",MeanMinAge08+'19_Расчет_аналитики'!BL1572*SUMIF(ThresholdAge08,"&lt;"&amp;'19_Расчет_аналитики'!BL1572,WeightedRevAge08)-SUMIF(ThresholdAge08,"&lt;"&amp;'19_Расчет_аналитики'!BL1572,WeightedMinAge08),MAX(CapacityAge08*'01_Вводные'!$B$218*'19_Расчет_аналитики'!BL1572,MeanMinAge08)))</f>
        <v/>
      </c>
      <c r="BM1511">
        <f>IF(OR(('19_Расчет_аналитики'!BM1427-'19_Расчет_аналитики'!BM1455)=0,8&lt;='01_Вводные'!$B$297),0,('19_Расчет_аналитики'!BM1427-'19_Расчет_аналитики'!BM1455)*IF('01_Вводные'!$B$239="Да",MeanMinAge08+'19_Расчет_аналитики'!BM1572*SUMIF(ThresholdAge08,"&lt;"&amp;'19_Расчет_аналитики'!BM1572,WeightedRevAge08)-SUMIF(ThresholdAge08,"&lt;"&amp;'19_Расчет_аналитики'!BM1572,WeightedMinAge08),MAX(CapacityAge08*'01_Вводные'!$B$218*'19_Расчет_аналитики'!BM1572,MeanMinAge08)))</f>
        <v/>
      </c>
      <c r="BN1511">
        <f>IF(OR(('19_Расчет_аналитики'!BN1427-'19_Расчет_аналитики'!BN1455)=0,8&lt;='01_Вводные'!$B$297),0,('19_Расчет_аналитики'!BN1427-'19_Расчет_аналитики'!BN1455)*IF('01_Вводные'!$B$239="Да",MeanMinAge08+'19_Расчет_аналитики'!BN1572*SUMIF(ThresholdAge08,"&lt;"&amp;'19_Расчет_аналитики'!BN1572,WeightedRevAge08)-SUMIF(ThresholdAge08,"&lt;"&amp;'19_Расчет_аналитики'!BN1572,WeightedMinAge08),MAX(CapacityAge08*'01_Вводные'!$B$218*'19_Расчет_аналитики'!BN1572,MeanMinAge08)))</f>
        <v/>
      </c>
      <c r="BO1511">
        <f>IF(OR(('19_Расчет_аналитики'!BO1427-'19_Расчет_аналитики'!BO1455)=0,8&lt;='01_Вводные'!$B$297),0,('19_Расчет_аналитики'!BO1427-'19_Расчет_аналитики'!BO1455)*IF('01_Вводные'!$B$239="Да",MeanMinAge08+'19_Расчет_аналитики'!BO1572*SUMIF(ThresholdAge08,"&lt;"&amp;'19_Расчет_аналитики'!BO1572,WeightedRevAge08)-SUMIF(ThresholdAge08,"&lt;"&amp;'19_Расчет_аналитики'!BO1572,WeightedMinAge08),MAX(CapacityAge08*'01_Вводные'!$B$218*'19_Расчет_аналитики'!BO1572,MeanMinAge08)))</f>
        <v/>
      </c>
    </row>
    <row r="1512">
      <c r="B1512">
        <f>IF(OR(('06_Сеть_и_дети'!B61-'06_Сеть_и_дети'!B89)=0,9&lt;='01_Вводные'!$B$297),0,('06_Сеть_и_дети'!B61-'06_Сеть_и_дети'!B89)*IF('01_Вводные'!$B$239="Да",MeanMinAge09+'19_Расчет_аналитики'!B1572*SUMIF(ThresholdAge09,"&lt;"&amp;'19_Расчет_аналитики'!B1572,WeightedRevAge09)-SUMIF(ThresholdAge09,"&lt;"&amp;'19_Расчет_аналитики'!B1572,WeightedMinAge09),MAX(CapacityAge09*'01_Вводные'!$B$218*'19_Расчет_аналитики'!B1572,MeanMinAge09)))</f>
        <v/>
      </c>
      <c r="C1512">
        <f>IF(OR(('06_Сеть_и_дети'!C61-'06_Сеть_и_дети'!C89)=0,9&lt;='01_Вводные'!$B$297),0,('06_Сеть_и_дети'!C61-'06_Сеть_и_дети'!C89)*IF('01_Вводные'!$B$239="Да",MeanMinAge09+'19_Расчет_аналитики'!C1572*SUMIF(ThresholdAge09,"&lt;"&amp;'19_Расчет_аналитики'!C1572,WeightedRevAge09)-SUMIF(ThresholdAge09,"&lt;"&amp;'19_Расчет_аналитики'!C1572,WeightedMinAge09),MAX(CapacityAge09*'01_Вводные'!$B$218*'19_Расчет_аналитики'!C1572,MeanMinAge09)))</f>
        <v/>
      </c>
      <c r="D1512">
        <f>IF(OR(('06_Сеть_и_дети'!D61-'06_Сеть_и_дети'!D89)=0,9&lt;='01_Вводные'!$B$297),0,('06_Сеть_и_дети'!D61-'06_Сеть_и_дети'!D89)*IF('01_Вводные'!$B$239="Да",MeanMinAge09+'19_Расчет_аналитики'!D1572*SUMIF(ThresholdAge09,"&lt;"&amp;'19_Расчет_аналитики'!D1572,WeightedRevAge09)-SUMIF(ThresholdAge09,"&lt;"&amp;'19_Расчет_аналитики'!D1572,WeightedMinAge09),MAX(CapacityAge09*'01_Вводные'!$B$218*'19_Расчет_аналитики'!D1572,MeanMinAge09)))</f>
        <v/>
      </c>
      <c r="E1512">
        <f>IF(OR(('06_Сеть_и_дети'!E61-'06_Сеть_и_дети'!E89)=0,9&lt;='01_Вводные'!$B$297),0,('06_Сеть_и_дети'!E61-'06_Сеть_и_дети'!E89)*IF('01_Вводные'!$B$239="Да",MeanMinAge09+'19_Расчет_аналитики'!E1572*SUMIF(ThresholdAge09,"&lt;"&amp;'19_Расчет_аналитики'!E1572,WeightedRevAge09)-SUMIF(ThresholdAge09,"&lt;"&amp;'19_Расчет_аналитики'!E1572,WeightedMinAge09),MAX(CapacityAge09*'01_Вводные'!$B$218*'19_Расчет_аналитики'!E1572,MeanMinAge09)))</f>
        <v/>
      </c>
      <c r="F1512">
        <f>IF(OR(('06_Сеть_и_дети'!F61-'06_Сеть_и_дети'!F89)=0,9&lt;='01_Вводные'!$B$297),0,('06_Сеть_и_дети'!F61-'06_Сеть_и_дети'!F89)*IF('01_Вводные'!$B$239="Да",MeanMinAge09+'19_Расчет_аналитики'!F1572*SUMIF(ThresholdAge09,"&lt;"&amp;'19_Расчет_аналитики'!F1572,WeightedRevAge09)-SUMIF(ThresholdAge09,"&lt;"&amp;'19_Расчет_аналитики'!F1572,WeightedMinAge09),MAX(CapacityAge09*'01_Вводные'!$B$218*'19_Расчет_аналитики'!F1572,MeanMinAge09)))</f>
        <v/>
      </c>
      <c r="G1512">
        <f>IF(OR(('06_Сеть_и_дети'!G61-'06_Сеть_и_дети'!G89)=0,9&lt;='01_Вводные'!$B$297),0,('06_Сеть_и_дети'!G61-'06_Сеть_и_дети'!G89)*IF('01_Вводные'!$B$239="Да",MeanMinAge09+'19_Расчет_аналитики'!G1572*SUMIF(ThresholdAge09,"&lt;"&amp;'19_Расчет_аналитики'!G1572,WeightedRevAge09)-SUMIF(ThresholdAge09,"&lt;"&amp;'19_Расчет_аналитики'!G1572,WeightedMinAge09),MAX(CapacityAge09*'01_Вводные'!$B$218*'19_Расчет_аналитики'!G1572,MeanMinAge09)))</f>
        <v/>
      </c>
      <c r="H1512">
        <f>IF(OR(('06_Сеть_и_дети'!H61-'06_Сеть_и_дети'!H89)=0,9&lt;='01_Вводные'!$B$297),0,('06_Сеть_и_дети'!H61-'06_Сеть_и_дети'!H89)*IF('01_Вводные'!$B$239="Да",MeanMinAge09+'19_Расчет_аналитики'!H1572*SUMIF(ThresholdAge09,"&lt;"&amp;'19_Расчет_аналитики'!H1572,WeightedRevAge09)-SUMIF(ThresholdAge09,"&lt;"&amp;'19_Расчет_аналитики'!H1572,WeightedMinAge09),MAX(CapacityAge09*'01_Вводные'!$B$218*'19_Расчет_аналитики'!H1572,MeanMinAge09)))</f>
        <v/>
      </c>
      <c r="I1512">
        <f>IF(OR(('06_Сеть_и_дети'!I61-'06_Сеть_и_дети'!I89)=0,9&lt;='01_Вводные'!$B$297),0,('06_Сеть_и_дети'!I61-'06_Сеть_и_дети'!I89)*IF('01_Вводные'!$B$239="Да",MeanMinAge09+'19_Расчет_аналитики'!I1572*SUMIF(ThresholdAge09,"&lt;"&amp;'19_Расчет_аналитики'!I1572,WeightedRevAge09)-SUMIF(ThresholdAge09,"&lt;"&amp;'19_Расчет_аналитики'!I1572,WeightedMinAge09),MAX(CapacityAge09*'01_Вводные'!$B$218*'19_Расчет_аналитики'!I1572,MeanMinAge09)))</f>
        <v/>
      </c>
      <c r="J1512">
        <f>IF(OR(('19_Расчет_аналитики'!J1428-'19_Расчет_аналитики'!J1456)=0,9&lt;='01_Вводные'!$B$297),0,('19_Расчет_аналитики'!J1428-'19_Расчет_аналитики'!J1456)*IF('01_Вводные'!$B$239="Да",MeanMinAge09+'19_Расчет_аналитики'!J1572*SUMIF(ThresholdAge09,"&lt;"&amp;'19_Расчет_аналитики'!J1572,WeightedRevAge09)-SUMIF(ThresholdAge09,"&lt;"&amp;'19_Расчет_аналитики'!J1572,WeightedMinAge09),MAX(CapacityAge09*'01_Вводные'!$B$218*'19_Расчет_аналитики'!J1572,MeanMinAge09)))</f>
        <v/>
      </c>
      <c r="K1512">
        <f>IF(OR(('19_Расчет_аналитики'!K1428-'19_Расчет_аналитики'!K1456)=0,9&lt;='01_Вводные'!$B$297),0,('19_Расчет_аналитики'!K1428-'19_Расчет_аналитики'!K1456)*IF('01_Вводные'!$B$239="Да",MeanMinAge09+'19_Расчет_аналитики'!K1572*SUMIF(ThresholdAge09,"&lt;"&amp;'19_Расчет_аналитики'!K1572,WeightedRevAge09)-SUMIF(ThresholdAge09,"&lt;"&amp;'19_Расчет_аналитики'!K1572,WeightedMinAge09),MAX(CapacityAge09*'01_Вводные'!$B$218*'19_Расчет_аналитики'!K1572,MeanMinAge09)))</f>
        <v/>
      </c>
      <c r="L1512">
        <f>IF(OR(('19_Расчет_аналитики'!L1428-'19_Расчет_аналитики'!L1456)=0,9&lt;='01_Вводные'!$B$297),0,('19_Расчет_аналитики'!L1428-'19_Расчет_аналитики'!L1456)*IF('01_Вводные'!$B$239="Да",MeanMinAge09+'19_Расчет_аналитики'!L1572*SUMIF(ThresholdAge09,"&lt;"&amp;'19_Расчет_аналитики'!L1572,WeightedRevAge09)-SUMIF(ThresholdAge09,"&lt;"&amp;'19_Расчет_аналитики'!L1572,WeightedMinAge09),MAX(CapacityAge09*'01_Вводные'!$B$218*'19_Расчет_аналитики'!L1572,MeanMinAge09)))</f>
        <v/>
      </c>
      <c r="M1512">
        <f>IF(OR(('19_Расчет_аналитики'!M1428-'19_Расчет_аналитики'!M1456)=0,9&lt;='01_Вводные'!$B$297),0,('19_Расчет_аналитики'!M1428-'19_Расчет_аналитики'!M1456)*IF('01_Вводные'!$B$239="Да",MeanMinAge09+'19_Расчет_аналитики'!M1572*SUMIF(ThresholdAge09,"&lt;"&amp;'19_Расчет_аналитики'!M1572,WeightedRevAge09)-SUMIF(ThresholdAge09,"&lt;"&amp;'19_Расчет_аналитики'!M1572,WeightedMinAge09),MAX(CapacityAge09*'01_Вводные'!$B$218*'19_Расчет_аналитики'!M1572,MeanMinAge09)))</f>
        <v/>
      </c>
      <c r="N1512">
        <f>IF(OR(('19_Расчет_аналитики'!N1428-'19_Расчет_аналитики'!N1456)=0,9&lt;='01_Вводные'!$B$297),0,('19_Расчет_аналитики'!N1428-'19_Расчет_аналитики'!N1456)*IF('01_Вводные'!$B$239="Да",MeanMinAge09+'19_Расчет_аналитики'!N1572*SUMIF(ThresholdAge09,"&lt;"&amp;'19_Расчет_аналитики'!N1572,WeightedRevAge09)-SUMIF(ThresholdAge09,"&lt;"&amp;'19_Расчет_аналитики'!N1572,WeightedMinAge09),MAX(CapacityAge09*'01_Вводные'!$B$218*'19_Расчет_аналитики'!N1572,MeanMinAge09)))</f>
        <v/>
      </c>
      <c r="O1512">
        <f>IF(OR(('19_Расчет_аналитики'!O1428-'19_Расчет_аналитики'!O1456)=0,9&lt;='01_Вводные'!$B$297),0,('19_Расчет_аналитики'!O1428-'19_Расчет_аналитики'!O1456)*IF('01_Вводные'!$B$239="Да",MeanMinAge09+'19_Расчет_аналитики'!O1572*SUMIF(ThresholdAge09,"&lt;"&amp;'19_Расчет_аналитики'!O1572,WeightedRevAge09)-SUMIF(ThresholdAge09,"&lt;"&amp;'19_Расчет_аналитики'!O1572,WeightedMinAge09),MAX(CapacityAge09*'01_Вводные'!$B$218*'19_Расчет_аналитики'!O1572,MeanMinAge09)))</f>
        <v/>
      </c>
      <c r="P1512">
        <f>IF(OR(('19_Расчет_аналитики'!P1428-'19_Расчет_аналитики'!P1456)=0,9&lt;='01_Вводные'!$B$297),0,('19_Расчет_аналитики'!P1428-'19_Расчет_аналитики'!P1456)*IF('01_Вводные'!$B$239="Да",MeanMinAge09+'19_Расчет_аналитики'!P1572*SUMIF(ThresholdAge09,"&lt;"&amp;'19_Расчет_аналитики'!P1572,WeightedRevAge09)-SUMIF(ThresholdAge09,"&lt;"&amp;'19_Расчет_аналитики'!P1572,WeightedMinAge09),MAX(CapacityAge09*'01_Вводные'!$B$218*'19_Расчет_аналитики'!P1572,MeanMinAge09)))</f>
        <v/>
      </c>
      <c r="Q1512">
        <f>IF(OR(('19_Расчет_аналитики'!Q1428-'19_Расчет_аналитики'!Q1456)=0,9&lt;='01_Вводные'!$B$297),0,('19_Расчет_аналитики'!Q1428-'19_Расчет_аналитики'!Q1456)*IF('01_Вводные'!$B$239="Да",MeanMinAge09+'19_Расчет_аналитики'!Q1572*SUMIF(ThresholdAge09,"&lt;"&amp;'19_Расчет_аналитики'!Q1572,WeightedRevAge09)-SUMIF(ThresholdAge09,"&lt;"&amp;'19_Расчет_аналитики'!Q1572,WeightedMinAge09),MAX(CapacityAge09*'01_Вводные'!$B$218*'19_Расчет_аналитики'!Q1572,MeanMinAge09)))</f>
        <v/>
      </c>
      <c r="R1512">
        <f>IF(OR(('19_Расчет_аналитики'!R1428-'19_Расчет_аналитики'!R1456)=0,9&lt;='01_Вводные'!$B$297),0,('19_Расчет_аналитики'!R1428-'19_Расчет_аналитики'!R1456)*IF('01_Вводные'!$B$239="Да",MeanMinAge09+'19_Расчет_аналитики'!R1572*SUMIF(ThresholdAge09,"&lt;"&amp;'19_Расчет_аналитики'!R1572,WeightedRevAge09)-SUMIF(ThresholdAge09,"&lt;"&amp;'19_Расчет_аналитики'!R1572,WeightedMinAge09),MAX(CapacityAge09*'01_Вводные'!$B$218*'19_Расчет_аналитики'!R1572,MeanMinAge09)))</f>
        <v/>
      </c>
      <c r="S1512">
        <f>IF(OR(('19_Расчет_аналитики'!S1428-'19_Расчет_аналитики'!S1456)=0,9&lt;='01_Вводные'!$B$297),0,('19_Расчет_аналитики'!S1428-'19_Расчет_аналитики'!S1456)*IF('01_Вводные'!$B$239="Да",MeanMinAge09+'19_Расчет_аналитики'!S1572*SUMIF(ThresholdAge09,"&lt;"&amp;'19_Расчет_аналитики'!S1572,WeightedRevAge09)-SUMIF(ThresholdAge09,"&lt;"&amp;'19_Расчет_аналитики'!S1572,WeightedMinAge09),MAX(CapacityAge09*'01_Вводные'!$B$218*'19_Расчет_аналитики'!S1572,MeanMinAge09)))</f>
        <v/>
      </c>
      <c r="T1512">
        <f>IF(OR(('19_Расчет_аналитики'!T1428-'19_Расчет_аналитики'!T1456)=0,9&lt;='01_Вводные'!$B$297),0,('19_Расчет_аналитики'!T1428-'19_Расчет_аналитики'!T1456)*IF('01_Вводные'!$B$239="Да",MeanMinAge09+'19_Расчет_аналитики'!T1572*SUMIF(ThresholdAge09,"&lt;"&amp;'19_Расчет_аналитики'!T1572,WeightedRevAge09)-SUMIF(ThresholdAge09,"&lt;"&amp;'19_Расчет_аналитики'!T1572,WeightedMinAge09),MAX(CapacityAge09*'01_Вводные'!$B$218*'19_Расчет_аналитики'!T1572,MeanMinAge09)))</f>
        <v/>
      </c>
      <c r="U1512">
        <f>IF(OR(('19_Расчет_аналитики'!U1428-'19_Расчет_аналитики'!U1456)=0,9&lt;='01_Вводные'!$B$297),0,('19_Расчет_аналитики'!U1428-'19_Расчет_аналитики'!U1456)*IF('01_Вводные'!$B$239="Да",MeanMinAge09+'19_Расчет_аналитики'!U1572*SUMIF(ThresholdAge09,"&lt;"&amp;'19_Расчет_аналитики'!U1572,WeightedRevAge09)-SUMIF(ThresholdAge09,"&lt;"&amp;'19_Расчет_аналитики'!U1572,WeightedMinAge09),MAX(CapacityAge09*'01_Вводные'!$B$218*'19_Расчет_аналитики'!U1572,MeanMinAge09)))</f>
        <v/>
      </c>
      <c r="V1512">
        <f>IF(OR(('19_Расчет_аналитики'!V1428-'19_Расчет_аналитики'!V1456)=0,9&lt;='01_Вводные'!$B$297),0,('19_Расчет_аналитики'!V1428-'19_Расчет_аналитики'!V1456)*IF('01_Вводные'!$B$239="Да",MeanMinAge09+'19_Расчет_аналитики'!V1572*SUMIF(ThresholdAge09,"&lt;"&amp;'19_Расчет_аналитики'!V1572,WeightedRevAge09)-SUMIF(ThresholdAge09,"&lt;"&amp;'19_Расчет_аналитики'!V1572,WeightedMinAge09),MAX(CapacityAge09*'01_Вводные'!$B$218*'19_Расчет_аналитики'!V1572,MeanMinAge09)))</f>
        <v/>
      </c>
      <c r="W1512">
        <f>IF(OR(('19_Расчет_аналитики'!W1428-'19_Расчет_аналитики'!W1456)=0,9&lt;='01_Вводные'!$B$297),0,('19_Расчет_аналитики'!W1428-'19_Расчет_аналитики'!W1456)*IF('01_Вводные'!$B$239="Да",MeanMinAge09+'19_Расчет_аналитики'!W1572*SUMIF(ThresholdAge09,"&lt;"&amp;'19_Расчет_аналитики'!W1572,WeightedRevAge09)-SUMIF(ThresholdAge09,"&lt;"&amp;'19_Расчет_аналитики'!W1572,WeightedMinAge09),MAX(CapacityAge09*'01_Вводные'!$B$218*'19_Расчет_аналитики'!W1572,MeanMinAge09)))</f>
        <v/>
      </c>
      <c r="X1512">
        <f>IF(OR(('19_Расчет_аналитики'!X1428-'19_Расчет_аналитики'!X1456)=0,9&lt;='01_Вводные'!$B$297),0,('19_Расчет_аналитики'!X1428-'19_Расчет_аналитики'!X1456)*IF('01_Вводные'!$B$239="Да",MeanMinAge09+'19_Расчет_аналитики'!X1572*SUMIF(ThresholdAge09,"&lt;"&amp;'19_Расчет_аналитики'!X1572,WeightedRevAge09)-SUMIF(ThresholdAge09,"&lt;"&amp;'19_Расчет_аналитики'!X1572,WeightedMinAge09),MAX(CapacityAge09*'01_Вводные'!$B$218*'19_Расчет_аналитики'!X1572,MeanMinAge09)))</f>
        <v/>
      </c>
      <c r="Y1512">
        <f>IF(OR(('19_Расчет_аналитики'!Y1428-'19_Расчет_аналитики'!Y1456)=0,9&lt;='01_Вводные'!$B$297),0,('19_Расчет_аналитики'!Y1428-'19_Расчет_аналитики'!Y1456)*IF('01_Вводные'!$B$239="Да",MeanMinAge09+'19_Расчет_аналитики'!Y1572*SUMIF(ThresholdAge09,"&lt;"&amp;'19_Расчет_аналитики'!Y1572,WeightedRevAge09)-SUMIF(ThresholdAge09,"&lt;"&amp;'19_Расчет_аналитики'!Y1572,WeightedMinAge09),MAX(CapacityAge09*'01_Вводные'!$B$218*'19_Расчет_аналитики'!Y1572,MeanMinAge09)))</f>
        <v/>
      </c>
      <c r="Z1512">
        <f>IF(OR(('19_Расчет_аналитики'!Z1428-'19_Расчет_аналитики'!Z1456)=0,9&lt;='01_Вводные'!$B$297),0,('19_Расчет_аналитики'!Z1428-'19_Расчет_аналитики'!Z1456)*IF('01_Вводные'!$B$239="Да",MeanMinAge09+'19_Расчет_аналитики'!Z1572*SUMIF(ThresholdAge09,"&lt;"&amp;'19_Расчет_аналитики'!Z1572,WeightedRevAge09)-SUMIF(ThresholdAge09,"&lt;"&amp;'19_Расчет_аналитики'!Z1572,WeightedMinAge09),MAX(CapacityAge09*'01_Вводные'!$B$218*'19_Расчет_аналитики'!Z1572,MeanMinAge09)))</f>
        <v/>
      </c>
      <c r="AA1512">
        <f>IF(OR(('19_Расчет_аналитики'!AA1428-'19_Расчет_аналитики'!AA1456)=0,9&lt;='01_Вводные'!$B$297),0,('19_Расчет_аналитики'!AA1428-'19_Расчет_аналитики'!AA1456)*IF('01_Вводные'!$B$239="Да",MeanMinAge09+'19_Расчет_аналитики'!AA1572*SUMIF(ThresholdAge09,"&lt;"&amp;'19_Расчет_аналитики'!AA1572,WeightedRevAge09)-SUMIF(ThresholdAge09,"&lt;"&amp;'19_Расчет_аналитики'!AA1572,WeightedMinAge09),MAX(CapacityAge09*'01_Вводные'!$B$218*'19_Расчет_аналитики'!AA1572,MeanMinAge09)))</f>
        <v/>
      </c>
      <c r="AB1512">
        <f>IF(OR(('19_Расчет_аналитики'!AB1428-'19_Расчет_аналитики'!AB1456)=0,9&lt;='01_Вводные'!$B$297),0,('19_Расчет_аналитики'!AB1428-'19_Расчет_аналитики'!AB1456)*IF('01_Вводные'!$B$239="Да",MeanMinAge09+'19_Расчет_аналитики'!AB1572*SUMIF(ThresholdAge09,"&lt;"&amp;'19_Расчет_аналитики'!AB1572,WeightedRevAge09)-SUMIF(ThresholdAge09,"&lt;"&amp;'19_Расчет_аналитики'!AB1572,WeightedMinAge09),MAX(CapacityAge09*'01_Вводные'!$B$218*'19_Расчет_аналитики'!AB1572,MeanMinAge09)))</f>
        <v/>
      </c>
      <c r="AC1512">
        <f>IF(OR(('19_Расчет_аналитики'!AC1428-'19_Расчет_аналитики'!AC1456)=0,9&lt;='01_Вводные'!$B$297),0,('19_Расчет_аналитики'!AC1428-'19_Расчет_аналитики'!AC1456)*IF('01_Вводные'!$B$239="Да",MeanMinAge09+'19_Расчет_аналитики'!AC1572*SUMIF(ThresholdAge09,"&lt;"&amp;'19_Расчет_аналитики'!AC1572,WeightedRevAge09)-SUMIF(ThresholdAge09,"&lt;"&amp;'19_Расчет_аналитики'!AC1572,WeightedMinAge09),MAX(CapacityAge09*'01_Вводные'!$B$218*'19_Расчет_аналитики'!AC1572,MeanMinAge09)))</f>
        <v/>
      </c>
      <c r="AD1512">
        <f>IF(OR(('19_Расчет_аналитики'!AD1428-'19_Расчет_аналитики'!AD1456)=0,9&lt;='01_Вводные'!$B$297),0,('19_Расчет_аналитики'!AD1428-'19_Расчет_аналитики'!AD1456)*IF('01_Вводные'!$B$239="Да",MeanMinAge09+'19_Расчет_аналитики'!AD1572*SUMIF(ThresholdAge09,"&lt;"&amp;'19_Расчет_аналитики'!AD1572,WeightedRevAge09)-SUMIF(ThresholdAge09,"&lt;"&amp;'19_Расчет_аналитики'!AD1572,WeightedMinAge09),MAX(CapacityAge09*'01_Вводные'!$B$218*'19_Расчет_аналитики'!AD1572,MeanMinAge09)))</f>
        <v/>
      </c>
      <c r="AE1512">
        <f>IF(OR(('19_Расчет_аналитики'!AE1428-'19_Расчет_аналитики'!AE1456)=0,9&lt;='01_Вводные'!$B$297),0,('19_Расчет_аналитики'!AE1428-'19_Расчет_аналитики'!AE1456)*IF('01_Вводные'!$B$239="Да",MeanMinAge09+'19_Расчет_аналитики'!AE1572*SUMIF(ThresholdAge09,"&lt;"&amp;'19_Расчет_аналитики'!AE1572,WeightedRevAge09)-SUMIF(ThresholdAge09,"&lt;"&amp;'19_Расчет_аналитики'!AE1572,WeightedMinAge09),MAX(CapacityAge09*'01_Вводные'!$B$218*'19_Расчет_аналитики'!AE1572,MeanMinAge09)))</f>
        <v/>
      </c>
      <c r="AF1512">
        <f>IF(OR(('19_Расчет_аналитики'!AF1428-'19_Расчет_аналитики'!AF1456)=0,9&lt;='01_Вводные'!$B$297),0,('19_Расчет_аналитики'!AF1428-'19_Расчет_аналитики'!AF1456)*IF('01_Вводные'!$B$239="Да",MeanMinAge09+'19_Расчет_аналитики'!AF1572*SUMIF(ThresholdAge09,"&lt;"&amp;'19_Расчет_аналитики'!AF1572,WeightedRevAge09)-SUMIF(ThresholdAge09,"&lt;"&amp;'19_Расчет_аналитики'!AF1572,WeightedMinAge09),MAX(CapacityAge09*'01_Вводные'!$B$218*'19_Расчет_аналитики'!AF1572,MeanMinAge09)))</f>
        <v/>
      </c>
      <c r="AG1512">
        <f>IF(OR(('19_Расчет_аналитики'!AG1428-'19_Расчет_аналитики'!AG1456)=0,9&lt;='01_Вводные'!$B$297),0,('19_Расчет_аналитики'!AG1428-'19_Расчет_аналитики'!AG1456)*IF('01_Вводные'!$B$239="Да",MeanMinAge09+'19_Расчет_аналитики'!AG1572*SUMIF(ThresholdAge09,"&lt;"&amp;'19_Расчет_аналитики'!AG1572,WeightedRevAge09)-SUMIF(ThresholdAge09,"&lt;"&amp;'19_Расчет_аналитики'!AG1572,WeightedMinAge09),MAX(CapacityAge09*'01_Вводные'!$B$218*'19_Расчет_аналитики'!AG1572,MeanMinAge09)))</f>
        <v/>
      </c>
      <c r="AH1512">
        <f>IF(OR(('19_Расчет_аналитики'!AH1428-'19_Расчет_аналитики'!AH1456)=0,9&lt;='01_Вводные'!$B$297),0,('19_Расчет_аналитики'!AH1428-'19_Расчет_аналитики'!AH1456)*IF('01_Вводные'!$B$239="Да",MeanMinAge09+'19_Расчет_аналитики'!AH1572*SUMIF(ThresholdAge09,"&lt;"&amp;'19_Расчет_аналитики'!AH1572,WeightedRevAge09)-SUMIF(ThresholdAge09,"&lt;"&amp;'19_Расчет_аналитики'!AH1572,WeightedMinAge09),MAX(CapacityAge09*'01_Вводные'!$B$218*'19_Расчет_аналитики'!AH1572,MeanMinAge09)))</f>
        <v/>
      </c>
      <c r="AI1512">
        <f>IF(OR(('19_Расчет_аналитики'!AI1428-'19_Расчет_аналитики'!AI1456)=0,9&lt;='01_Вводные'!$B$297),0,('19_Расчет_аналитики'!AI1428-'19_Расчет_аналитики'!AI1456)*IF('01_Вводные'!$B$239="Да",MeanMinAge09+'19_Расчет_аналитики'!AI1572*SUMIF(ThresholdAge09,"&lt;"&amp;'19_Расчет_аналитики'!AI1572,WeightedRevAge09)-SUMIF(ThresholdAge09,"&lt;"&amp;'19_Расчет_аналитики'!AI1572,WeightedMinAge09),MAX(CapacityAge09*'01_Вводные'!$B$218*'19_Расчет_аналитики'!AI1572,MeanMinAge09)))</f>
        <v/>
      </c>
      <c r="AJ1512">
        <f>IF(OR(('19_Расчет_аналитики'!AJ1428-'19_Расчет_аналитики'!AJ1456)=0,9&lt;='01_Вводные'!$B$297),0,('19_Расчет_аналитики'!AJ1428-'19_Расчет_аналитики'!AJ1456)*IF('01_Вводные'!$B$239="Да",MeanMinAge09+'19_Расчет_аналитики'!AJ1572*SUMIF(ThresholdAge09,"&lt;"&amp;'19_Расчет_аналитики'!AJ1572,WeightedRevAge09)-SUMIF(ThresholdAge09,"&lt;"&amp;'19_Расчет_аналитики'!AJ1572,WeightedMinAge09),MAX(CapacityAge09*'01_Вводные'!$B$218*'19_Расчет_аналитики'!AJ1572,MeanMinAge09)))</f>
        <v/>
      </c>
      <c r="AK1512">
        <f>IF(OR(('19_Расчет_аналитики'!AK1428-'19_Расчет_аналитики'!AK1456)=0,9&lt;='01_Вводные'!$B$297),0,('19_Расчет_аналитики'!AK1428-'19_Расчет_аналитики'!AK1456)*IF('01_Вводные'!$B$239="Да",MeanMinAge09+'19_Расчет_аналитики'!AK1572*SUMIF(ThresholdAge09,"&lt;"&amp;'19_Расчет_аналитики'!AK1572,WeightedRevAge09)-SUMIF(ThresholdAge09,"&lt;"&amp;'19_Расчет_аналитики'!AK1572,WeightedMinAge09),MAX(CapacityAge09*'01_Вводные'!$B$218*'19_Расчет_аналитики'!AK1572,MeanMinAge09)))</f>
        <v/>
      </c>
      <c r="AL1512">
        <f>IF(OR(('19_Расчет_аналитики'!AL1428-'19_Расчет_аналитики'!AL1456)=0,9&lt;='01_Вводные'!$B$297),0,('19_Расчет_аналитики'!AL1428-'19_Расчет_аналитики'!AL1456)*IF('01_Вводные'!$B$239="Да",MeanMinAge09+'19_Расчет_аналитики'!AL1572*SUMIF(ThresholdAge09,"&lt;"&amp;'19_Расчет_аналитики'!AL1572,WeightedRevAge09)-SUMIF(ThresholdAge09,"&lt;"&amp;'19_Расчет_аналитики'!AL1572,WeightedMinAge09),MAX(CapacityAge09*'01_Вводные'!$B$218*'19_Расчет_аналитики'!AL1572,MeanMinAge09)))</f>
        <v/>
      </c>
      <c r="AM1512">
        <f>IF(OR(('19_Расчет_аналитики'!AM1428-'19_Расчет_аналитики'!AM1456)=0,9&lt;='01_Вводные'!$B$297),0,('19_Расчет_аналитики'!AM1428-'19_Расчет_аналитики'!AM1456)*IF('01_Вводные'!$B$239="Да",MeanMinAge09+'19_Расчет_аналитики'!AM1572*SUMIF(ThresholdAge09,"&lt;"&amp;'19_Расчет_аналитики'!AM1572,WeightedRevAge09)-SUMIF(ThresholdAge09,"&lt;"&amp;'19_Расчет_аналитики'!AM1572,WeightedMinAge09),MAX(CapacityAge09*'01_Вводные'!$B$218*'19_Расчет_аналитики'!AM1572,MeanMinAge09)))</f>
        <v/>
      </c>
      <c r="AN1512">
        <f>IF(OR(('19_Расчет_аналитики'!AN1428-'19_Расчет_аналитики'!AN1456)=0,9&lt;='01_Вводные'!$B$297),0,('19_Расчет_аналитики'!AN1428-'19_Расчет_аналитики'!AN1456)*IF('01_Вводные'!$B$239="Да",MeanMinAge09+'19_Расчет_аналитики'!AN1572*SUMIF(ThresholdAge09,"&lt;"&amp;'19_Расчет_аналитики'!AN1572,WeightedRevAge09)-SUMIF(ThresholdAge09,"&lt;"&amp;'19_Расчет_аналитики'!AN1572,WeightedMinAge09),MAX(CapacityAge09*'01_Вводные'!$B$218*'19_Расчет_аналитики'!AN1572,MeanMinAge09)))</f>
        <v/>
      </c>
      <c r="AO1512">
        <f>IF(OR(('19_Расчет_аналитики'!AO1428-'19_Расчет_аналитики'!AO1456)=0,9&lt;='01_Вводные'!$B$297),0,('19_Расчет_аналитики'!AO1428-'19_Расчет_аналитики'!AO1456)*IF('01_Вводные'!$B$239="Да",MeanMinAge09+'19_Расчет_аналитики'!AO1572*SUMIF(ThresholdAge09,"&lt;"&amp;'19_Расчет_аналитики'!AO1572,WeightedRevAge09)-SUMIF(ThresholdAge09,"&lt;"&amp;'19_Расчет_аналитики'!AO1572,WeightedMinAge09),MAX(CapacityAge09*'01_Вводные'!$B$218*'19_Расчет_аналитики'!AO1572,MeanMinAge09)))</f>
        <v/>
      </c>
      <c r="AP1512">
        <f>IF(OR(('19_Расчет_аналитики'!AP1428-'19_Расчет_аналитики'!AP1456)=0,9&lt;='01_Вводные'!$B$297),0,('19_Расчет_аналитики'!AP1428-'19_Расчет_аналитики'!AP1456)*IF('01_Вводные'!$B$239="Да",MeanMinAge09+'19_Расчет_аналитики'!AP1572*SUMIF(ThresholdAge09,"&lt;"&amp;'19_Расчет_аналитики'!AP1572,WeightedRevAge09)-SUMIF(ThresholdAge09,"&lt;"&amp;'19_Расчет_аналитики'!AP1572,WeightedMinAge09),MAX(CapacityAge09*'01_Вводные'!$B$218*'19_Расчет_аналитики'!AP1572,MeanMinAge09)))</f>
        <v/>
      </c>
      <c r="AQ1512">
        <f>IF(OR(('19_Расчет_аналитики'!AQ1428-'19_Расчет_аналитики'!AQ1456)=0,9&lt;='01_Вводные'!$B$297),0,('19_Расчет_аналитики'!AQ1428-'19_Расчет_аналитики'!AQ1456)*IF('01_Вводные'!$B$239="Да",MeanMinAge09+'19_Расчет_аналитики'!AQ1572*SUMIF(ThresholdAge09,"&lt;"&amp;'19_Расчет_аналитики'!AQ1572,WeightedRevAge09)-SUMIF(ThresholdAge09,"&lt;"&amp;'19_Расчет_аналитики'!AQ1572,WeightedMinAge09),MAX(CapacityAge09*'01_Вводные'!$B$218*'19_Расчет_аналитики'!AQ1572,MeanMinAge09)))</f>
        <v/>
      </c>
      <c r="AR1512">
        <f>IF(OR(('19_Расчет_аналитики'!AR1428-'19_Расчет_аналитики'!AR1456)=0,9&lt;='01_Вводные'!$B$297),0,('19_Расчет_аналитики'!AR1428-'19_Расчет_аналитики'!AR1456)*IF('01_Вводные'!$B$239="Да",MeanMinAge09+'19_Расчет_аналитики'!AR1572*SUMIF(ThresholdAge09,"&lt;"&amp;'19_Расчет_аналитики'!AR1572,WeightedRevAge09)-SUMIF(ThresholdAge09,"&lt;"&amp;'19_Расчет_аналитики'!AR1572,WeightedMinAge09),MAX(CapacityAge09*'01_Вводные'!$B$218*'19_Расчет_аналитики'!AR1572,MeanMinAge09)))</f>
        <v/>
      </c>
      <c r="AS1512">
        <f>IF(OR(('19_Расчет_аналитики'!AS1428-'19_Расчет_аналитики'!AS1456)=0,9&lt;='01_Вводные'!$B$297),0,('19_Расчет_аналитики'!AS1428-'19_Расчет_аналитики'!AS1456)*IF('01_Вводные'!$B$239="Да",MeanMinAge09+'19_Расчет_аналитики'!AS1572*SUMIF(ThresholdAge09,"&lt;"&amp;'19_Расчет_аналитики'!AS1572,WeightedRevAge09)-SUMIF(ThresholdAge09,"&lt;"&amp;'19_Расчет_аналитики'!AS1572,WeightedMinAge09),MAX(CapacityAge09*'01_Вводные'!$B$218*'19_Расчет_аналитики'!AS1572,MeanMinAge09)))</f>
        <v/>
      </c>
      <c r="AT1512">
        <f>IF(OR(('19_Расчет_аналитики'!AT1428-'19_Расчет_аналитики'!AT1456)=0,9&lt;='01_Вводные'!$B$297),0,('19_Расчет_аналитики'!AT1428-'19_Расчет_аналитики'!AT1456)*IF('01_Вводные'!$B$239="Да",MeanMinAge09+'19_Расчет_аналитики'!AT1572*SUMIF(ThresholdAge09,"&lt;"&amp;'19_Расчет_аналитики'!AT1572,WeightedRevAge09)-SUMIF(ThresholdAge09,"&lt;"&amp;'19_Расчет_аналитики'!AT1572,WeightedMinAge09),MAX(CapacityAge09*'01_Вводные'!$B$218*'19_Расчет_аналитики'!AT1572,MeanMinAge09)))</f>
        <v/>
      </c>
      <c r="AU1512">
        <f>IF(OR(('19_Расчет_аналитики'!AU1428-'19_Расчет_аналитики'!AU1456)=0,9&lt;='01_Вводные'!$B$297),0,('19_Расчет_аналитики'!AU1428-'19_Расчет_аналитики'!AU1456)*IF('01_Вводные'!$B$239="Да",MeanMinAge09+'19_Расчет_аналитики'!AU1572*SUMIF(ThresholdAge09,"&lt;"&amp;'19_Расчет_аналитики'!AU1572,WeightedRevAge09)-SUMIF(ThresholdAge09,"&lt;"&amp;'19_Расчет_аналитики'!AU1572,WeightedMinAge09),MAX(CapacityAge09*'01_Вводные'!$B$218*'19_Расчет_аналитики'!AU1572,MeanMinAge09)))</f>
        <v/>
      </c>
      <c r="AV1512">
        <f>IF(OR(('19_Расчет_аналитики'!AV1428-'19_Расчет_аналитики'!AV1456)=0,9&lt;='01_Вводные'!$B$297),0,('19_Расчет_аналитики'!AV1428-'19_Расчет_аналитики'!AV1456)*IF('01_Вводные'!$B$239="Да",MeanMinAge09+'19_Расчет_аналитики'!AV1572*SUMIF(ThresholdAge09,"&lt;"&amp;'19_Расчет_аналитики'!AV1572,WeightedRevAge09)-SUMIF(ThresholdAge09,"&lt;"&amp;'19_Расчет_аналитики'!AV1572,WeightedMinAge09),MAX(CapacityAge09*'01_Вводные'!$B$218*'19_Расчет_аналитики'!AV1572,MeanMinAge09)))</f>
        <v/>
      </c>
      <c r="AW1512">
        <f>IF(OR(('19_Расчет_аналитики'!AW1428-'19_Расчет_аналитики'!AW1456)=0,9&lt;='01_Вводные'!$B$297),0,('19_Расчет_аналитики'!AW1428-'19_Расчет_аналитики'!AW1456)*IF('01_Вводные'!$B$239="Да",MeanMinAge09+'19_Расчет_аналитики'!AW1572*SUMIF(ThresholdAge09,"&lt;"&amp;'19_Расчет_аналитики'!AW1572,WeightedRevAge09)-SUMIF(ThresholdAge09,"&lt;"&amp;'19_Расчет_аналитики'!AW1572,WeightedMinAge09),MAX(CapacityAge09*'01_Вводные'!$B$218*'19_Расчет_аналитики'!AW1572,MeanMinAge09)))</f>
        <v/>
      </c>
      <c r="AX1512">
        <f>IF(OR(('19_Расчет_аналитики'!AX1428-'19_Расчет_аналитики'!AX1456)=0,9&lt;='01_Вводные'!$B$297),0,('19_Расчет_аналитики'!AX1428-'19_Расчет_аналитики'!AX1456)*IF('01_Вводные'!$B$239="Да",MeanMinAge09+'19_Расчет_аналитики'!AX1572*SUMIF(ThresholdAge09,"&lt;"&amp;'19_Расчет_аналитики'!AX1572,WeightedRevAge09)-SUMIF(ThresholdAge09,"&lt;"&amp;'19_Расчет_аналитики'!AX1572,WeightedMinAge09),MAX(CapacityAge09*'01_Вводные'!$B$218*'19_Расчет_аналитики'!AX1572,MeanMinAge09)))</f>
        <v/>
      </c>
      <c r="AY1512">
        <f>IF(OR(('19_Расчет_аналитики'!AY1428-'19_Расчет_аналитики'!AY1456)=0,9&lt;='01_Вводные'!$B$297),0,('19_Расчет_аналитики'!AY1428-'19_Расчет_аналитики'!AY1456)*IF('01_Вводные'!$B$239="Да",MeanMinAge09+'19_Расчет_аналитики'!AY1572*SUMIF(ThresholdAge09,"&lt;"&amp;'19_Расчет_аналитики'!AY1572,WeightedRevAge09)-SUMIF(ThresholdAge09,"&lt;"&amp;'19_Расчет_аналитики'!AY1572,WeightedMinAge09),MAX(CapacityAge09*'01_Вводные'!$B$218*'19_Расчет_аналитики'!AY1572,MeanMinAge09)))</f>
        <v/>
      </c>
      <c r="AZ1512">
        <f>IF(OR(('19_Расчет_аналитики'!AZ1428-'19_Расчет_аналитики'!AZ1456)=0,9&lt;='01_Вводные'!$B$297),0,('19_Расчет_аналитики'!AZ1428-'19_Расчет_аналитики'!AZ1456)*IF('01_Вводные'!$B$239="Да",MeanMinAge09+'19_Расчет_аналитики'!AZ1572*SUMIF(ThresholdAge09,"&lt;"&amp;'19_Расчет_аналитики'!AZ1572,WeightedRevAge09)-SUMIF(ThresholdAge09,"&lt;"&amp;'19_Расчет_аналитики'!AZ1572,WeightedMinAge09),MAX(CapacityAge09*'01_Вводные'!$B$218*'19_Расчет_аналитики'!AZ1572,MeanMinAge09)))</f>
        <v/>
      </c>
      <c r="BA1512">
        <f>IF(OR(('19_Расчет_аналитики'!BA1428-'19_Расчет_аналитики'!BA1456)=0,9&lt;='01_Вводные'!$B$297),0,('19_Расчет_аналитики'!BA1428-'19_Расчет_аналитики'!BA1456)*IF('01_Вводные'!$B$239="Да",MeanMinAge09+'19_Расчет_аналитики'!BA1572*SUMIF(ThresholdAge09,"&lt;"&amp;'19_Расчет_аналитики'!BA1572,WeightedRevAge09)-SUMIF(ThresholdAge09,"&lt;"&amp;'19_Расчет_аналитики'!BA1572,WeightedMinAge09),MAX(CapacityAge09*'01_Вводные'!$B$218*'19_Расчет_аналитики'!BA1572,MeanMinAge09)))</f>
        <v/>
      </c>
      <c r="BB1512">
        <f>IF(OR(('19_Расчет_аналитики'!BB1428-'19_Расчет_аналитики'!BB1456)=0,9&lt;='01_Вводные'!$B$297),0,('19_Расчет_аналитики'!BB1428-'19_Расчет_аналитики'!BB1456)*IF('01_Вводные'!$B$239="Да",MeanMinAge09+'19_Расчет_аналитики'!BB1572*SUMIF(ThresholdAge09,"&lt;"&amp;'19_Расчет_аналитики'!BB1572,WeightedRevAge09)-SUMIF(ThresholdAge09,"&lt;"&amp;'19_Расчет_аналитики'!BB1572,WeightedMinAge09),MAX(CapacityAge09*'01_Вводные'!$B$218*'19_Расчет_аналитики'!BB1572,MeanMinAge09)))</f>
        <v/>
      </c>
      <c r="BC1512">
        <f>IF(OR(('19_Расчет_аналитики'!BC1428-'19_Расчет_аналитики'!BC1456)=0,9&lt;='01_Вводные'!$B$297),0,('19_Расчет_аналитики'!BC1428-'19_Расчет_аналитики'!BC1456)*IF('01_Вводные'!$B$239="Да",MeanMinAge09+'19_Расчет_аналитики'!BC1572*SUMIF(ThresholdAge09,"&lt;"&amp;'19_Расчет_аналитики'!BC1572,WeightedRevAge09)-SUMIF(ThresholdAge09,"&lt;"&amp;'19_Расчет_аналитики'!BC1572,WeightedMinAge09),MAX(CapacityAge09*'01_Вводные'!$B$218*'19_Расчет_аналитики'!BC1572,MeanMinAge09)))</f>
        <v/>
      </c>
      <c r="BD1512">
        <f>IF(OR(('19_Расчет_аналитики'!BD1428-'19_Расчет_аналитики'!BD1456)=0,9&lt;='01_Вводные'!$B$297),0,('19_Расчет_аналитики'!BD1428-'19_Расчет_аналитики'!BD1456)*IF('01_Вводные'!$B$239="Да",MeanMinAge09+'19_Расчет_аналитики'!BD1572*SUMIF(ThresholdAge09,"&lt;"&amp;'19_Расчет_аналитики'!BD1572,WeightedRevAge09)-SUMIF(ThresholdAge09,"&lt;"&amp;'19_Расчет_аналитики'!BD1572,WeightedMinAge09),MAX(CapacityAge09*'01_Вводные'!$B$218*'19_Расчет_аналитики'!BD1572,MeanMinAge09)))</f>
        <v/>
      </c>
      <c r="BE1512">
        <f>IF(OR(('19_Расчет_аналитики'!BE1428-'19_Расчет_аналитики'!BE1456)=0,9&lt;='01_Вводные'!$B$297),0,('19_Расчет_аналитики'!BE1428-'19_Расчет_аналитики'!BE1456)*IF('01_Вводные'!$B$239="Да",MeanMinAge09+'19_Расчет_аналитики'!BE1572*SUMIF(ThresholdAge09,"&lt;"&amp;'19_Расчет_аналитики'!BE1572,WeightedRevAge09)-SUMIF(ThresholdAge09,"&lt;"&amp;'19_Расчет_аналитики'!BE1572,WeightedMinAge09),MAX(CapacityAge09*'01_Вводные'!$B$218*'19_Расчет_аналитики'!BE1572,MeanMinAge09)))</f>
        <v/>
      </c>
      <c r="BF1512">
        <f>IF(OR(('19_Расчет_аналитики'!BF1428-'19_Расчет_аналитики'!BF1456)=0,9&lt;='01_Вводные'!$B$297),0,('19_Расчет_аналитики'!BF1428-'19_Расчет_аналитики'!BF1456)*IF('01_Вводные'!$B$239="Да",MeanMinAge09+'19_Расчет_аналитики'!BF1572*SUMIF(ThresholdAge09,"&lt;"&amp;'19_Расчет_аналитики'!BF1572,WeightedRevAge09)-SUMIF(ThresholdAge09,"&lt;"&amp;'19_Расчет_аналитики'!BF1572,WeightedMinAge09),MAX(CapacityAge09*'01_Вводные'!$B$218*'19_Расчет_аналитики'!BF1572,MeanMinAge09)))</f>
        <v/>
      </c>
      <c r="BG1512">
        <f>IF(OR(('19_Расчет_аналитики'!BG1428-'19_Расчет_аналитики'!BG1456)=0,9&lt;='01_Вводные'!$B$297),0,('19_Расчет_аналитики'!BG1428-'19_Расчет_аналитики'!BG1456)*IF('01_Вводные'!$B$239="Да",MeanMinAge09+'19_Расчет_аналитики'!BG1572*SUMIF(ThresholdAge09,"&lt;"&amp;'19_Расчет_аналитики'!BG1572,WeightedRevAge09)-SUMIF(ThresholdAge09,"&lt;"&amp;'19_Расчет_аналитики'!BG1572,WeightedMinAge09),MAX(CapacityAge09*'01_Вводные'!$B$218*'19_Расчет_аналитики'!BG1572,MeanMinAge09)))</f>
        <v/>
      </c>
      <c r="BH1512">
        <f>IF(OR(('19_Расчет_аналитики'!BH1428-'19_Расчет_аналитики'!BH1456)=0,9&lt;='01_Вводные'!$B$297),0,('19_Расчет_аналитики'!BH1428-'19_Расчет_аналитики'!BH1456)*IF('01_Вводные'!$B$239="Да",MeanMinAge09+'19_Расчет_аналитики'!BH1572*SUMIF(ThresholdAge09,"&lt;"&amp;'19_Расчет_аналитики'!BH1572,WeightedRevAge09)-SUMIF(ThresholdAge09,"&lt;"&amp;'19_Расчет_аналитики'!BH1572,WeightedMinAge09),MAX(CapacityAge09*'01_Вводные'!$B$218*'19_Расчет_аналитики'!BH1572,MeanMinAge09)))</f>
        <v/>
      </c>
      <c r="BI1512">
        <f>IF(OR(('19_Расчет_аналитики'!BI1428-'19_Расчет_аналитики'!BI1456)=0,9&lt;='01_Вводные'!$B$297),0,('19_Расчет_аналитики'!BI1428-'19_Расчет_аналитики'!BI1456)*IF('01_Вводные'!$B$239="Да",MeanMinAge09+'19_Расчет_аналитики'!BI1572*SUMIF(ThresholdAge09,"&lt;"&amp;'19_Расчет_аналитики'!BI1572,WeightedRevAge09)-SUMIF(ThresholdAge09,"&lt;"&amp;'19_Расчет_аналитики'!BI1572,WeightedMinAge09),MAX(CapacityAge09*'01_Вводные'!$B$218*'19_Расчет_аналитики'!BI1572,MeanMinAge09)))</f>
        <v/>
      </c>
      <c r="BJ1512">
        <f>IF(OR(('19_Расчет_аналитики'!BJ1428-'19_Расчет_аналитики'!BJ1456)=0,9&lt;='01_Вводные'!$B$297),0,('19_Расчет_аналитики'!BJ1428-'19_Расчет_аналитики'!BJ1456)*IF('01_Вводные'!$B$239="Да",MeanMinAge09+'19_Расчет_аналитики'!BJ1572*SUMIF(ThresholdAge09,"&lt;"&amp;'19_Расчет_аналитики'!BJ1572,WeightedRevAge09)-SUMIF(ThresholdAge09,"&lt;"&amp;'19_Расчет_аналитики'!BJ1572,WeightedMinAge09),MAX(CapacityAge09*'01_Вводные'!$B$218*'19_Расчет_аналитики'!BJ1572,MeanMinAge09)))</f>
        <v/>
      </c>
      <c r="BK1512">
        <f>IF(OR(('19_Расчет_аналитики'!BK1428-'19_Расчет_аналитики'!BK1456)=0,9&lt;='01_Вводные'!$B$297),0,('19_Расчет_аналитики'!BK1428-'19_Расчет_аналитики'!BK1456)*IF('01_Вводные'!$B$239="Да",MeanMinAge09+'19_Расчет_аналитики'!BK1572*SUMIF(ThresholdAge09,"&lt;"&amp;'19_Расчет_аналитики'!BK1572,WeightedRevAge09)-SUMIF(ThresholdAge09,"&lt;"&amp;'19_Расчет_аналитики'!BK1572,WeightedMinAge09),MAX(CapacityAge09*'01_Вводные'!$B$218*'19_Расчет_аналитики'!BK1572,MeanMinAge09)))</f>
        <v/>
      </c>
      <c r="BL1512">
        <f>IF(OR(('19_Расчет_аналитики'!BL1428-'19_Расчет_аналитики'!BL1456)=0,9&lt;='01_Вводные'!$B$297),0,('19_Расчет_аналитики'!BL1428-'19_Расчет_аналитики'!BL1456)*IF('01_Вводные'!$B$239="Да",MeanMinAge09+'19_Расчет_аналитики'!BL1572*SUMIF(ThresholdAge09,"&lt;"&amp;'19_Расчет_аналитики'!BL1572,WeightedRevAge09)-SUMIF(ThresholdAge09,"&lt;"&amp;'19_Расчет_аналитики'!BL1572,WeightedMinAge09),MAX(CapacityAge09*'01_Вводные'!$B$218*'19_Расчет_аналитики'!BL1572,MeanMinAge09)))</f>
        <v/>
      </c>
      <c r="BM1512">
        <f>IF(OR(('19_Расчет_аналитики'!BM1428-'19_Расчет_аналитики'!BM1456)=0,9&lt;='01_Вводные'!$B$297),0,('19_Расчет_аналитики'!BM1428-'19_Расчет_аналитики'!BM1456)*IF('01_Вводные'!$B$239="Да",MeanMinAge09+'19_Расчет_аналитики'!BM1572*SUMIF(ThresholdAge09,"&lt;"&amp;'19_Расчет_аналитики'!BM1572,WeightedRevAge09)-SUMIF(ThresholdAge09,"&lt;"&amp;'19_Расчет_аналитики'!BM1572,WeightedMinAge09),MAX(CapacityAge09*'01_Вводные'!$B$218*'19_Расчет_аналитики'!BM1572,MeanMinAge09)))</f>
        <v/>
      </c>
      <c r="BN1512">
        <f>IF(OR(('19_Расчет_аналитики'!BN1428-'19_Расчет_аналитики'!BN1456)=0,9&lt;='01_Вводные'!$B$297),0,('19_Расчет_аналитики'!BN1428-'19_Расчет_аналитики'!BN1456)*IF('01_Вводные'!$B$239="Да",MeanMinAge09+'19_Расчет_аналитики'!BN1572*SUMIF(ThresholdAge09,"&lt;"&amp;'19_Расчет_аналитики'!BN1572,WeightedRevAge09)-SUMIF(ThresholdAge09,"&lt;"&amp;'19_Расчет_аналитики'!BN1572,WeightedMinAge09),MAX(CapacityAge09*'01_Вводные'!$B$218*'19_Расчет_аналитики'!BN1572,MeanMinAge09)))</f>
        <v/>
      </c>
      <c r="BO1512">
        <f>IF(OR(('19_Расчет_аналитики'!BO1428-'19_Расчет_аналитики'!BO1456)=0,9&lt;='01_Вводные'!$B$297),0,('19_Расчет_аналитики'!BO1428-'19_Расчет_аналитики'!BO1456)*IF('01_Вводные'!$B$239="Да",MeanMinAge09+'19_Расчет_аналитики'!BO1572*SUMIF(ThresholdAge09,"&lt;"&amp;'19_Расчет_аналитики'!BO1572,WeightedRevAge09)-SUMIF(ThresholdAge09,"&lt;"&amp;'19_Расчет_аналитики'!BO1572,WeightedMinAge09),MAX(CapacityAge09*'01_Вводные'!$B$218*'19_Расчет_аналитики'!BO1572,MeanMinAge09)))</f>
        <v/>
      </c>
    </row>
    <row r="1513">
      <c r="B1513">
        <f>IF(OR(('06_Сеть_и_дети'!B62-'06_Сеть_и_дети'!B90)=0,10&lt;='01_Вводные'!$B$297),0,('06_Сеть_и_дети'!B62-'06_Сеть_и_дети'!B90)*IF('01_Вводные'!$B$239="Да",MeanMinAge10+'19_Расчет_аналитики'!B1572*SUMIF(ThresholdAge10,"&lt;"&amp;'19_Расчет_аналитики'!B1572,WeightedRevAge10)-SUMIF(ThresholdAge10,"&lt;"&amp;'19_Расчет_аналитики'!B1572,WeightedMinAge10),MAX(CapacityAge10*'01_Вводные'!$B$218*'19_Расчет_аналитики'!B1572,MeanMinAge10)))</f>
        <v/>
      </c>
      <c r="C1513">
        <f>IF(OR(('06_Сеть_и_дети'!C62-'06_Сеть_и_дети'!C90)=0,10&lt;='01_Вводные'!$B$297),0,('06_Сеть_и_дети'!C62-'06_Сеть_и_дети'!C90)*IF('01_Вводные'!$B$239="Да",MeanMinAge10+'19_Расчет_аналитики'!C1572*SUMIF(ThresholdAge10,"&lt;"&amp;'19_Расчет_аналитики'!C1572,WeightedRevAge10)-SUMIF(ThresholdAge10,"&lt;"&amp;'19_Расчет_аналитики'!C1572,WeightedMinAge10),MAX(CapacityAge10*'01_Вводные'!$B$218*'19_Расчет_аналитики'!C1572,MeanMinAge10)))</f>
        <v/>
      </c>
      <c r="D1513">
        <f>IF(OR(('06_Сеть_и_дети'!D62-'06_Сеть_и_дети'!D90)=0,10&lt;='01_Вводные'!$B$297),0,('06_Сеть_и_дети'!D62-'06_Сеть_и_дети'!D90)*IF('01_Вводные'!$B$239="Да",MeanMinAge10+'19_Расчет_аналитики'!D1572*SUMIF(ThresholdAge10,"&lt;"&amp;'19_Расчет_аналитики'!D1572,WeightedRevAge10)-SUMIF(ThresholdAge10,"&lt;"&amp;'19_Расчет_аналитики'!D1572,WeightedMinAge10),MAX(CapacityAge10*'01_Вводные'!$B$218*'19_Расчет_аналитики'!D1572,MeanMinAge10)))</f>
        <v/>
      </c>
      <c r="E1513">
        <f>IF(OR(('06_Сеть_и_дети'!E62-'06_Сеть_и_дети'!E90)=0,10&lt;='01_Вводные'!$B$297),0,('06_Сеть_и_дети'!E62-'06_Сеть_и_дети'!E90)*IF('01_Вводные'!$B$239="Да",MeanMinAge10+'19_Расчет_аналитики'!E1572*SUMIF(ThresholdAge10,"&lt;"&amp;'19_Расчет_аналитики'!E1572,WeightedRevAge10)-SUMIF(ThresholdAge10,"&lt;"&amp;'19_Расчет_аналитики'!E1572,WeightedMinAge10),MAX(CapacityAge10*'01_Вводные'!$B$218*'19_Расчет_аналитики'!E1572,MeanMinAge10)))</f>
        <v/>
      </c>
      <c r="F1513">
        <f>IF(OR(('06_Сеть_и_дети'!F62-'06_Сеть_и_дети'!F90)=0,10&lt;='01_Вводные'!$B$297),0,('06_Сеть_и_дети'!F62-'06_Сеть_и_дети'!F90)*IF('01_Вводные'!$B$239="Да",MeanMinAge10+'19_Расчет_аналитики'!F1572*SUMIF(ThresholdAge10,"&lt;"&amp;'19_Расчет_аналитики'!F1572,WeightedRevAge10)-SUMIF(ThresholdAge10,"&lt;"&amp;'19_Расчет_аналитики'!F1572,WeightedMinAge10),MAX(CapacityAge10*'01_Вводные'!$B$218*'19_Расчет_аналитики'!F1572,MeanMinAge10)))</f>
        <v/>
      </c>
      <c r="G1513">
        <f>IF(OR(('06_Сеть_и_дети'!G62-'06_Сеть_и_дети'!G90)=0,10&lt;='01_Вводные'!$B$297),0,('06_Сеть_и_дети'!G62-'06_Сеть_и_дети'!G90)*IF('01_Вводные'!$B$239="Да",MeanMinAge10+'19_Расчет_аналитики'!G1572*SUMIF(ThresholdAge10,"&lt;"&amp;'19_Расчет_аналитики'!G1572,WeightedRevAge10)-SUMIF(ThresholdAge10,"&lt;"&amp;'19_Расчет_аналитики'!G1572,WeightedMinAge10),MAX(CapacityAge10*'01_Вводные'!$B$218*'19_Расчет_аналитики'!G1572,MeanMinAge10)))</f>
        <v/>
      </c>
      <c r="H1513">
        <f>IF(OR(('06_Сеть_и_дети'!H62-'06_Сеть_и_дети'!H90)=0,10&lt;='01_Вводные'!$B$297),0,('06_Сеть_и_дети'!H62-'06_Сеть_и_дети'!H90)*IF('01_Вводные'!$B$239="Да",MeanMinAge10+'19_Расчет_аналитики'!H1572*SUMIF(ThresholdAge10,"&lt;"&amp;'19_Расчет_аналитики'!H1572,WeightedRevAge10)-SUMIF(ThresholdAge10,"&lt;"&amp;'19_Расчет_аналитики'!H1572,WeightedMinAge10),MAX(CapacityAge10*'01_Вводные'!$B$218*'19_Расчет_аналитики'!H1572,MeanMinAge10)))</f>
        <v/>
      </c>
      <c r="I1513">
        <f>IF(OR(('06_Сеть_и_дети'!I62-'06_Сеть_и_дети'!I90)=0,10&lt;='01_Вводные'!$B$297),0,('06_Сеть_и_дети'!I62-'06_Сеть_и_дети'!I90)*IF('01_Вводные'!$B$239="Да",MeanMinAge10+'19_Расчет_аналитики'!I1572*SUMIF(ThresholdAge10,"&lt;"&amp;'19_Расчет_аналитики'!I1572,WeightedRevAge10)-SUMIF(ThresholdAge10,"&lt;"&amp;'19_Расчет_аналитики'!I1572,WeightedMinAge10),MAX(CapacityAge10*'01_Вводные'!$B$218*'19_Расчет_аналитики'!I1572,MeanMinAge10)))</f>
        <v/>
      </c>
      <c r="J1513">
        <f>IF(OR(('06_Сеть_и_дети'!J62-'06_Сеть_и_дети'!J90)=0,10&lt;='01_Вводные'!$B$297),0,('06_Сеть_и_дети'!J62-'06_Сеть_и_дети'!J90)*IF('01_Вводные'!$B$239="Да",MeanMinAge10+'19_Расчет_аналитики'!J1572*SUMIF(ThresholdAge10,"&lt;"&amp;'19_Расчет_аналитики'!J1572,WeightedRevAge10)-SUMIF(ThresholdAge10,"&lt;"&amp;'19_Расчет_аналитики'!J1572,WeightedMinAge10),MAX(CapacityAge10*'01_Вводные'!$B$218*'19_Расчет_аналитики'!J1572,MeanMinAge10)))</f>
        <v/>
      </c>
      <c r="K1513">
        <f>IF(OR(('19_Расчет_аналитики'!K1429-'19_Расчет_аналитики'!K1457)=0,10&lt;='01_Вводные'!$B$297),0,('19_Расчет_аналитики'!K1429-'19_Расчет_аналитики'!K1457)*IF('01_Вводные'!$B$239="Да",MeanMinAge10+'19_Расчет_аналитики'!K1572*SUMIF(ThresholdAge10,"&lt;"&amp;'19_Расчет_аналитики'!K1572,WeightedRevAge10)-SUMIF(ThresholdAge10,"&lt;"&amp;'19_Расчет_аналитики'!K1572,WeightedMinAge10),MAX(CapacityAge10*'01_Вводные'!$B$218*'19_Расчет_аналитики'!K1572,MeanMinAge10)))</f>
        <v/>
      </c>
      <c r="L1513">
        <f>IF(OR(('19_Расчет_аналитики'!L1429-'19_Расчет_аналитики'!L1457)=0,10&lt;='01_Вводные'!$B$297),0,('19_Расчет_аналитики'!L1429-'19_Расчет_аналитики'!L1457)*IF('01_Вводные'!$B$239="Да",MeanMinAge10+'19_Расчет_аналитики'!L1572*SUMIF(ThresholdAge10,"&lt;"&amp;'19_Расчет_аналитики'!L1572,WeightedRevAge10)-SUMIF(ThresholdAge10,"&lt;"&amp;'19_Расчет_аналитики'!L1572,WeightedMinAge10),MAX(CapacityAge10*'01_Вводные'!$B$218*'19_Расчет_аналитики'!L1572,MeanMinAge10)))</f>
        <v/>
      </c>
      <c r="M1513">
        <f>IF(OR(('19_Расчет_аналитики'!M1429-'19_Расчет_аналитики'!M1457)=0,10&lt;='01_Вводные'!$B$297),0,('19_Расчет_аналитики'!M1429-'19_Расчет_аналитики'!M1457)*IF('01_Вводные'!$B$239="Да",MeanMinAge10+'19_Расчет_аналитики'!M1572*SUMIF(ThresholdAge10,"&lt;"&amp;'19_Расчет_аналитики'!M1572,WeightedRevAge10)-SUMIF(ThresholdAge10,"&lt;"&amp;'19_Расчет_аналитики'!M1572,WeightedMinAge10),MAX(CapacityAge10*'01_Вводные'!$B$218*'19_Расчет_аналитики'!M1572,MeanMinAge10)))</f>
        <v/>
      </c>
      <c r="N1513">
        <f>IF(OR(('19_Расчет_аналитики'!N1429-'19_Расчет_аналитики'!N1457)=0,10&lt;='01_Вводные'!$B$297),0,('19_Расчет_аналитики'!N1429-'19_Расчет_аналитики'!N1457)*IF('01_Вводные'!$B$239="Да",MeanMinAge10+'19_Расчет_аналитики'!N1572*SUMIF(ThresholdAge10,"&lt;"&amp;'19_Расчет_аналитики'!N1572,WeightedRevAge10)-SUMIF(ThresholdAge10,"&lt;"&amp;'19_Расчет_аналитики'!N1572,WeightedMinAge10),MAX(CapacityAge10*'01_Вводные'!$B$218*'19_Расчет_аналитики'!N1572,MeanMinAge10)))</f>
        <v/>
      </c>
      <c r="O1513">
        <f>IF(OR(('19_Расчет_аналитики'!O1429-'19_Расчет_аналитики'!O1457)=0,10&lt;='01_Вводные'!$B$297),0,('19_Расчет_аналитики'!O1429-'19_Расчет_аналитики'!O1457)*IF('01_Вводные'!$B$239="Да",MeanMinAge10+'19_Расчет_аналитики'!O1572*SUMIF(ThresholdAge10,"&lt;"&amp;'19_Расчет_аналитики'!O1572,WeightedRevAge10)-SUMIF(ThresholdAge10,"&lt;"&amp;'19_Расчет_аналитики'!O1572,WeightedMinAge10),MAX(CapacityAge10*'01_Вводные'!$B$218*'19_Расчет_аналитики'!O1572,MeanMinAge10)))</f>
        <v/>
      </c>
      <c r="P1513">
        <f>IF(OR(('19_Расчет_аналитики'!P1429-'19_Расчет_аналитики'!P1457)=0,10&lt;='01_Вводные'!$B$297),0,('19_Расчет_аналитики'!P1429-'19_Расчет_аналитики'!P1457)*IF('01_Вводные'!$B$239="Да",MeanMinAge10+'19_Расчет_аналитики'!P1572*SUMIF(ThresholdAge10,"&lt;"&amp;'19_Расчет_аналитики'!P1572,WeightedRevAge10)-SUMIF(ThresholdAge10,"&lt;"&amp;'19_Расчет_аналитики'!P1572,WeightedMinAge10),MAX(CapacityAge10*'01_Вводные'!$B$218*'19_Расчет_аналитики'!P1572,MeanMinAge10)))</f>
        <v/>
      </c>
      <c r="Q1513">
        <f>IF(OR(('19_Расчет_аналитики'!Q1429-'19_Расчет_аналитики'!Q1457)=0,10&lt;='01_Вводные'!$B$297),0,('19_Расчет_аналитики'!Q1429-'19_Расчет_аналитики'!Q1457)*IF('01_Вводные'!$B$239="Да",MeanMinAge10+'19_Расчет_аналитики'!Q1572*SUMIF(ThresholdAge10,"&lt;"&amp;'19_Расчет_аналитики'!Q1572,WeightedRevAge10)-SUMIF(ThresholdAge10,"&lt;"&amp;'19_Расчет_аналитики'!Q1572,WeightedMinAge10),MAX(CapacityAge10*'01_Вводные'!$B$218*'19_Расчет_аналитики'!Q1572,MeanMinAge10)))</f>
        <v/>
      </c>
      <c r="R1513">
        <f>IF(OR(('19_Расчет_аналитики'!R1429-'19_Расчет_аналитики'!R1457)=0,10&lt;='01_Вводные'!$B$297),0,('19_Расчет_аналитики'!R1429-'19_Расчет_аналитики'!R1457)*IF('01_Вводные'!$B$239="Да",MeanMinAge10+'19_Расчет_аналитики'!R1572*SUMIF(ThresholdAge10,"&lt;"&amp;'19_Расчет_аналитики'!R1572,WeightedRevAge10)-SUMIF(ThresholdAge10,"&lt;"&amp;'19_Расчет_аналитики'!R1572,WeightedMinAge10),MAX(CapacityAge10*'01_Вводные'!$B$218*'19_Расчет_аналитики'!R1572,MeanMinAge10)))</f>
        <v/>
      </c>
      <c r="S1513">
        <f>IF(OR(('19_Расчет_аналитики'!S1429-'19_Расчет_аналитики'!S1457)=0,10&lt;='01_Вводные'!$B$297),0,('19_Расчет_аналитики'!S1429-'19_Расчет_аналитики'!S1457)*IF('01_Вводные'!$B$239="Да",MeanMinAge10+'19_Расчет_аналитики'!S1572*SUMIF(ThresholdAge10,"&lt;"&amp;'19_Расчет_аналитики'!S1572,WeightedRevAge10)-SUMIF(ThresholdAge10,"&lt;"&amp;'19_Расчет_аналитики'!S1572,WeightedMinAge10),MAX(CapacityAge10*'01_Вводные'!$B$218*'19_Расчет_аналитики'!S1572,MeanMinAge10)))</f>
        <v/>
      </c>
      <c r="T1513">
        <f>IF(OR(('19_Расчет_аналитики'!T1429-'19_Расчет_аналитики'!T1457)=0,10&lt;='01_Вводные'!$B$297),0,('19_Расчет_аналитики'!T1429-'19_Расчет_аналитики'!T1457)*IF('01_Вводные'!$B$239="Да",MeanMinAge10+'19_Расчет_аналитики'!T1572*SUMIF(ThresholdAge10,"&lt;"&amp;'19_Расчет_аналитики'!T1572,WeightedRevAge10)-SUMIF(ThresholdAge10,"&lt;"&amp;'19_Расчет_аналитики'!T1572,WeightedMinAge10),MAX(CapacityAge10*'01_Вводные'!$B$218*'19_Расчет_аналитики'!T1572,MeanMinAge10)))</f>
        <v/>
      </c>
      <c r="U1513">
        <f>IF(OR(('19_Расчет_аналитики'!U1429-'19_Расчет_аналитики'!U1457)=0,10&lt;='01_Вводные'!$B$297),0,('19_Расчет_аналитики'!U1429-'19_Расчет_аналитики'!U1457)*IF('01_Вводные'!$B$239="Да",MeanMinAge10+'19_Расчет_аналитики'!U1572*SUMIF(ThresholdAge10,"&lt;"&amp;'19_Расчет_аналитики'!U1572,WeightedRevAge10)-SUMIF(ThresholdAge10,"&lt;"&amp;'19_Расчет_аналитики'!U1572,WeightedMinAge10),MAX(CapacityAge10*'01_Вводные'!$B$218*'19_Расчет_аналитики'!U1572,MeanMinAge10)))</f>
        <v/>
      </c>
      <c r="V1513">
        <f>IF(OR(('19_Расчет_аналитики'!V1429-'19_Расчет_аналитики'!V1457)=0,10&lt;='01_Вводные'!$B$297),0,('19_Расчет_аналитики'!V1429-'19_Расчет_аналитики'!V1457)*IF('01_Вводные'!$B$239="Да",MeanMinAge10+'19_Расчет_аналитики'!V1572*SUMIF(ThresholdAge10,"&lt;"&amp;'19_Расчет_аналитики'!V1572,WeightedRevAge10)-SUMIF(ThresholdAge10,"&lt;"&amp;'19_Расчет_аналитики'!V1572,WeightedMinAge10),MAX(CapacityAge10*'01_Вводные'!$B$218*'19_Расчет_аналитики'!V1572,MeanMinAge10)))</f>
        <v/>
      </c>
      <c r="W1513">
        <f>IF(OR(('19_Расчет_аналитики'!W1429-'19_Расчет_аналитики'!W1457)=0,10&lt;='01_Вводные'!$B$297),0,('19_Расчет_аналитики'!W1429-'19_Расчет_аналитики'!W1457)*IF('01_Вводные'!$B$239="Да",MeanMinAge10+'19_Расчет_аналитики'!W1572*SUMIF(ThresholdAge10,"&lt;"&amp;'19_Расчет_аналитики'!W1572,WeightedRevAge10)-SUMIF(ThresholdAge10,"&lt;"&amp;'19_Расчет_аналитики'!W1572,WeightedMinAge10),MAX(CapacityAge10*'01_Вводные'!$B$218*'19_Расчет_аналитики'!W1572,MeanMinAge10)))</f>
        <v/>
      </c>
      <c r="X1513">
        <f>IF(OR(('19_Расчет_аналитики'!X1429-'19_Расчет_аналитики'!X1457)=0,10&lt;='01_Вводные'!$B$297),0,('19_Расчет_аналитики'!X1429-'19_Расчет_аналитики'!X1457)*IF('01_Вводные'!$B$239="Да",MeanMinAge10+'19_Расчет_аналитики'!X1572*SUMIF(ThresholdAge10,"&lt;"&amp;'19_Расчет_аналитики'!X1572,WeightedRevAge10)-SUMIF(ThresholdAge10,"&lt;"&amp;'19_Расчет_аналитики'!X1572,WeightedMinAge10),MAX(CapacityAge10*'01_Вводные'!$B$218*'19_Расчет_аналитики'!X1572,MeanMinAge10)))</f>
        <v/>
      </c>
      <c r="Y1513">
        <f>IF(OR(('19_Расчет_аналитики'!Y1429-'19_Расчет_аналитики'!Y1457)=0,10&lt;='01_Вводные'!$B$297),0,('19_Расчет_аналитики'!Y1429-'19_Расчет_аналитики'!Y1457)*IF('01_Вводные'!$B$239="Да",MeanMinAge10+'19_Расчет_аналитики'!Y1572*SUMIF(ThresholdAge10,"&lt;"&amp;'19_Расчет_аналитики'!Y1572,WeightedRevAge10)-SUMIF(ThresholdAge10,"&lt;"&amp;'19_Расчет_аналитики'!Y1572,WeightedMinAge10),MAX(CapacityAge10*'01_Вводные'!$B$218*'19_Расчет_аналитики'!Y1572,MeanMinAge10)))</f>
        <v/>
      </c>
      <c r="Z1513">
        <f>IF(OR(('19_Расчет_аналитики'!Z1429-'19_Расчет_аналитики'!Z1457)=0,10&lt;='01_Вводные'!$B$297),0,('19_Расчет_аналитики'!Z1429-'19_Расчет_аналитики'!Z1457)*IF('01_Вводные'!$B$239="Да",MeanMinAge10+'19_Расчет_аналитики'!Z1572*SUMIF(ThresholdAge10,"&lt;"&amp;'19_Расчет_аналитики'!Z1572,WeightedRevAge10)-SUMIF(ThresholdAge10,"&lt;"&amp;'19_Расчет_аналитики'!Z1572,WeightedMinAge10),MAX(CapacityAge10*'01_Вводные'!$B$218*'19_Расчет_аналитики'!Z1572,MeanMinAge10)))</f>
        <v/>
      </c>
      <c r="AA1513">
        <f>IF(OR(('19_Расчет_аналитики'!AA1429-'19_Расчет_аналитики'!AA1457)=0,10&lt;='01_Вводные'!$B$297),0,('19_Расчет_аналитики'!AA1429-'19_Расчет_аналитики'!AA1457)*IF('01_Вводные'!$B$239="Да",MeanMinAge10+'19_Расчет_аналитики'!AA1572*SUMIF(ThresholdAge10,"&lt;"&amp;'19_Расчет_аналитики'!AA1572,WeightedRevAge10)-SUMIF(ThresholdAge10,"&lt;"&amp;'19_Расчет_аналитики'!AA1572,WeightedMinAge10),MAX(CapacityAge10*'01_Вводные'!$B$218*'19_Расчет_аналитики'!AA1572,MeanMinAge10)))</f>
        <v/>
      </c>
      <c r="AB1513">
        <f>IF(OR(('19_Расчет_аналитики'!AB1429-'19_Расчет_аналитики'!AB1457)=0,10&lt;='01_Вводные'!$B$297),0,('19_Расчет_аналитики'!AB1429-'19_Расчет_аналитики'!AB1457)*IF('01_Вводные'!$B$239="Да",MeanMinAge10+'19_Расчет_аналитики'!AB1572*SUMIF(ThresholdAge10,"&lt;"&amp;'19_Расчет_аналитики'!AB1572,WeightedRevAge10)-SUMIF(ThresholdAge10,"&lt;"&amp;'19_Расчет_аналитики'!AB1572,WeightedMinAge10),MAX(CapacityAge10*'01_Вводные'!$B$218*'19_Расчет_аналитики'!AB1572,MeanMinAge10)))</f>
        <v/>
      </c>
      <c r="AC1513">
        <f>IF(OR(('19_Расчет_аналитики'!AC1429-'19_Расчет_аналитики'!AC1457)=0,10&lt;='01_Вводные'!$B$297),0,('19_Расчет_аналитики'!AC1429-'19_Расчет_аналитики'!AC1457)*IF('01_Вводные'!$B$239="Да",MeanMinAge10+'19_Расчет_аналитики'!AC1572*SUMIF(ThresholdAge10,"&lt;"&amp;'19_Расчет_аналитики'!AC1572,WeightedRevAge10)-SUMIF(ThresholdAge10,"&lt;"&amp;'19_Расчет_аналитики'!AC1572,WeightedMinAge10),MAX(CapacityAge10*'01_Вводные'!$B$218*'19_Расчет_аналитики'!AC1572,MeanMinAge10)))</f>
        <v/>
      </c>
      <c r="AD1513">
        <f>IF(OR(('19_Расчет_аналитики'!AD1429-'19_Расчет_аналитики'!AD1457)=0,10&lt;='01_Вводные'!$B$297),0,('19_Расчет_аналитики'!AD1429-'19_Расчет_аналитики'!AD1457)*IF('01_Вводные'!$B$239="Да",MeanMinAge10+'19_Расчет_аналитики'!AD1572*SUMIF(ThresholdAge10,"&lt;"&amp;'19_Расчет_аналитики'!AD1572,WeightedRevAge10)-SUMIF(ThresholdAge10,"&lt;"&amp;'19_Расчет_аналитики'!AD1572,WeightedMinAge10),MAX(CapacityAge10*'01_Вводные'!$B$218*'19_Расчет_аналитики'!AD1572,MeanMinAge10)))</f>
        <v/>
      </c>
      <c r="AE1513">
        <f>IF(OR(('19_Расчет_аналитики'!AE1429-'19_Расчет_аналитики'!AE1457)=0,10&lt;='01_Вводные'!$B$297),0,('19_Расчет_аналитики'!AE1429-'19_Расчет_аналитики'!AE1457)*IF('01_Вводные'!$B$239="Да",MeanMinAge10+'19_Расчет_аналитики'!AE1572*SUMIF(ThresholdAge10,"&lt;"&amp;'19_Расчет_аналитики'!AE1572,WeightedRevAge10)-SUMIF(ThresholdAge10,"&lt;"&amp;'19_Расчет_аналитики'!AE1572,WeightedMinAge10),MAX(CapacityAge10*'01_Вводные'!$B$218*'19_Расчет_аналитики'!AE1572,MeanMinAge10)))</f>
        <v/>
      </c>
      <c r="AF1513">
        <f>IF(OR(('19_Расчет_аналитики'!AF1429-'19_Расчет_аналитики'!AF1457)=0,10&lt;='01_Вводные'!$B$297),0,('19_Расчет_аналитики'!AF1429-'19_Расчет_аналитики'!AF1457)*IF('01_Вводные'!$B$239="Да",MeanMinAge10+'19_Расчет_аналитики'!AF1572*SUMIF(ThresholdAge10,"&lt;"&amp;'19_Расчет_аналитики'!AF1572,WeightedRevAge10)-SUMIF(ThresholdAge10,"&lt;"&amp;'19_Расчет_аналитики'!AF1572,WeightedMinAge10),MAX(CapacityAge10*'01_Вводные'!$B$218*'19_Расчет_аналитики'!AF1572,MeanMinAge10)))</f>
        <v/>
      </c>
      <c r="AG1513">
        <f>IF(OR(('19_Расчет_аналитики'!AG1429-'19_Расчет_аналитики'!AG1457)=0,10&lt;='01_Вводные'!$B$297),0,('19_Расчет_аналитики'!AG1429-'19_Расчет_аналитики'!AG1457)*IF('01_Вводные'!$B$239="Да",MeanMinAge10+'19_Расчет_аналитики'!AG1572*SUMIF(ThresholdAge10,"&lt;"&amp;'19_Расчет_аналитики'!AG1572,WeightedRevAge10)-SUMIF(ThresholdAge10,"&lt;"&amp;'19_Расчет_аналитики'!AG1572,WeightedMinAge10),MAX(CapacityAge10*'01_Вводные'!$B$218*'19_Расчет_аналитики'!AG1572,MeanMinAge10)))</f>
        <v/>
      </c>
      <c r="AH1513">
        <f>IF(OR(('19_Расчет_аналитики'!AH1429-'19_Расчет_аналитики'!AH1457)=0,10&lt;='01_Вводные'!$B$297),0,('19_Расчет_аналитики'!AH1429-'19_Расчет_аналитики'!AH1457)*IF('01_Вводные'!$B$239="Да",MeanMinAge10+'19_Расчет_аналитики'!AH1572*SUMIF(ThresholdAge10,"&lt;"&amp;'19_Расчет_аналитики'!AH1572,WeightedRevAge10)-SUMIF(ThresholdAge10,"&lt;"&amp;'19_Расчет_аналитики'!AH1572,WeightedMinAge10),MAX(CapacityAge10*'01_Вводные'!$B$218*'19_Расчет_аналитики'!AH1572,MeanMinAge10)))</f>
        <v/>
      </c>
      <c r="AI1513">
        <f>IF(OR(('19_Расчет_аналитики'!AI1429-'19_Расчет_аналитики'!AI1457)=0,10&lt;='01_Вводные'!$B$297),0,('19_Расчет_аналитики'!AI1429-'19_Расчет_аналитики'!AI1457)*IF('01_Вводные'!$B$239="Да",MeanMinAge10+'19_Расчет_аналитики'!AI1572*SUMIF(ThresholdAge10,"&lt;"&amp;'19_Расчет_аналитики'!AI1572,WeightedRevAge10)-SUMIF(ThresholdAge10,"&lt;"&amp;'19_Расчет_аналитики'!AI1572,WeightedMinAge10),MAX(CapacityAge10*'01_Вводные'!$B$218*'19_Расчет_аналитики'!AI1572,MeanMinAge10)))</f>
        <v/>
      </c>
      <c r="AJ1513">
        <f>IF(OR(('19_Расчет_аналитики'!AJ1429-'19_Расчет_аналитики'!AJ1457)=0,10&lt;='01_Вводные'!$B$297),0,('19_Расчет_аналитики'!AJ1429-'19_Расчет_аналитики'!AJ1457)*IF('01_Вводные'!$B$239="Да",MeanMinAge10+'19_Расчет_аналитики'!AJ1572*SUMIF(ThresholdAge10,"&lt;"&amp;'19_Расчет_аналитики'!AJ1572,WeightedRevAge10)-SUMIF(ThresholdAge10,"&lt;"&amp;'19_Расчет_аналитики'!AJ1572,WeightedMinAge10),MAX(CapacityAge10*'01_Вводные'!$B$218*'19_Расчет_аналитики'!AJ1572,MeanMinAge10)))</f>
        <v/>
      </c>
      <c r="AK1513">
        <f>IF(OR(('19_Расчет_аналитики'!AK1429-'19_Расчет_аналитики'!AK1457)=0,10&lt;='01_Вводные'!$B$297),0,('19_Расчет_аналитики'!AK1429-'19_Расчет_аналитики'!AK1457)*IF('01_Вводные'!$B$239="Да",MeanMinAge10+'19_Расчет_аналитики'!AK1572*SUMIF(ThresholdAge10,"&lt;"&amp;'19_Расчет_аналитики'!AK1572,WeightedRevAge10)-SUMIF(ThresholdAge10,"&lt;"&amp;'19_Расчет_аналитики'!AK1572,WeightedMinAge10),MAX(CapacityAge10*'01_Вводные'!$B$218*'19_Расчет_аналитики'!AK1572,MeanMinAge10)))</f>
        <v/>
      </c>
      <c r="AL1513">
        <f>IF(OR(('19_Расчет_аналитики'!AL1429-'19_Расчет_аналитики'!AL1457)=0,10&lt;='01_Вводные'!$B$297),0,('19_Расчет_аналитики'!AL1429-'19_Расчет_аналитики'!AL1457)*IF('01_Вводные'!$B$239="Да",MeanMinAge10+'19_Расчет_аналитики'!AL1572*SUMIF(ThresholdAge10,"&lt;"&amp;'19_Расчет_аналитики'!AL1572,WeightedRevAge10)-SUMIF(ThresholdAge10,"&lt;"&amp;'19_Расчет_аналитики'!AL1572,WeightedMinAge10),MAX(CapacityAge10*'01_Вводные'!$B$218*'19_Расчет_аналитики'!AL1572,MeanMinAge10)))</f>
        <v/>
      </c>
      <c r="AM1513">
        <f>IF(OR(('19_Расчет_аналитики'!AM1429-'19_Расчет_аналитики'!AM1457)=0,10&lt;='01_Вводные'!$B$297),0,('19_Расчет_аналитики'!AM1429-'19_Расчет_аналитики'!AM1457)*IF('01_Вводные'!$B$239="Да",MeanMinAge10+'19_Расчет_аналитики'!AM1572*SUMIF(ThresholdAge10,"&lt;"&amp;'19_Расчет_аналитики'!AM1572,WeightedRevAge10)-SUMIF(ThresholdAge10,"&lt;"&amp;'19_Расчет_аналитики'!AM1572,WeightedMinAge10),MAX(CapacityAge10*'01_Вводные'!$B$218*'19_Расчет_аналитики'!AM1572,MeanMinAge10)))</f>
        <v/>
      </c>
      <c r="AN1513">
        <f>IF(OR(('19_Расчет_аналитики'!AN1429-'19_Расчет_аналитики'!AN1457)=0,10&lt;='01_Вводные'!$B$297),0,('19_Расчет_аналитики'!AN1429-'19_Расчет_аналитики'!AN1457)*IF('01_Вводные'!$B$239="Да",MeanMinAge10+'19_Расчет_аналитики'!AN1572*SUMIF(ThresholdAge10,"&lt;"&amp;'19_Расчет_аналитики'!AN1572,WeightedRevAge10)-SUMIF(ThresholdAge10,"&lt;"&amp;'19_Расчет_аналитики'!AN1572,WeightedMinAge10),MAX(CapacityAge10*'01_Вводные'!$B$218*'19_Расчет_аналитики'!AN1572,MeanMinAge10)))</f>
        <v/>
      </c>
      <c r="AO1513">
        <f>IF(OR(('19_Расчет_аналитики'!AO1429-'19_Расчет_аналитики'!AO1457)=0,10&lt;='01_Вводные'!$B$297),0,('19_Расчет_аналитики'!AO1429-'19_Расчет_аналитики'!AO1457)*IF('01_Вводные'!$B$239="Да",MeanMinAge10+'19_Расчет_аналитики'!AO1572*SUMIF(ThresholdAge10,"&lt;"&amp;'19_Расчет_аналитики'!AO1572,WeightedRevAge10)-SUMIF(ThresholdAge10,"&lt;"&amp;'19_Расчет_аналитики'!AO1572,WeightedMinAge10),MAX(CapacityAge10*'01_Вводные'!$B$218*'19_Расчет_аналитики'!AO1572,MeanMinAge10)))</f>
        <v/>
      </c>
      <c r="AP1513">
        <f>IF(OR(('19_Расчет_аналитики'!AP1429-'19_Расчет_аналитики'!AP1457)=0,10&lt;='01_Вводные'!$B$297),0,('19_Расчет_аналитики'!AP1429-'19_Расчет_аналитики'!AP1457)*IF('01_Вводные'!$B$239="Да",MeanMinAge10+'19_Расчет_аналитики'!AP1572*SUMIF(ThresholdAge10,"&lt;"&amp;'19_Расчет_аналитики'!AP1572,WeightedRevAge10)-SUMIF(ThresholdAge10,"&lt;"&amp;'19_Расчет_аналитики'!AP1572,WeightedMinAge10),MAX(CapacityAge10*'01_Вводные'!$B$218*'19_Расчет_аналитики'!AP1572,MeanMinAge10)))</f>
        <v/>
      </c>
      <c r="AQ1513">
        <f>IF(OR(('19_Расчет_аналитики'!AQ1429-'19_Расчет_аналитики'!AQ1457)=0,10&lt;='01_Вводные'!$B$297),0,('19_Расчет_аналитики'!AQ1429-'19_Расчет_аналитики'!AQ1457)*IF('01_Вводные'!$B$239="Да",MeanMinAge10+'19_Расчет_аналитики'!AQ1572*SUMIF(ThresholdAge10,"&lt;"&amp;'19_Расчет_аналитики'!AQ1572,WeightedRevAge10)-SUMIF(ThresholdAge10,"&lt;"&amp;'19_Расчет_аналитики'!AQ1572,WeightedMinAge10),MAX(CapacityAge10*'01_Вводные'!$B$218*'19_Расчет_аналитики'!AQ1572,MeanMinAge10)))</f>
        <v/>
      </c>
      <c r="AR1513">
        <f>IF(OR(('19_Расчет_аналитики'!AR1429-'19_Расчет_аналитики'!AR1457)=0,10&lt;='01_Вводные'!$B$297),0,('19_Расчет_аналитики'!AR1429-'19_Расчет_аналитики'!AR1457)*IF('01_Вводные'!$B$239="Да",MeanMinAge10+'19_Расчет_аналитики'!AR1572*SUMIF(ThresholdAge10,"&lt;"&amp;'19_Расчет_аналитики'!AR1572,WeightedRevAge10)-SUMIF(ThresholdAge10,"&lt;"&amp;'19_Расчет_аналитики'!AR1572,WeightedMinAge10),MAX(CapacityAge10*'01_Вводные'!$B$218*'19_Расчет_аналитики'!AR1572,MeanMinAge10)))</f>
        <v/>
      </c>
      <c r="AS1513">
        <f>IF(OR(('19_Расчет_аналитики'!AS1429-'19_Расчет_аналитики'!AS1457)=0,10&lt;='01_Вводные'!$B$297),0,('19_Расчет_аналитики'!AS1429-'19_Расчет_аналитики'!AS1457)*IF('01_Вводные'!$B$239="Да",MeanMinAge10+'19_Расчет_аналитики'!AS1572*SUMIF(ThresholdAge10,"&lt;"&amp;'19_Расчет_аналитики'!AS1572,WeightedRevAge10)-SUMIF(ThresholdAge10,"&lt;"&amp;'19_Расчет_аналитики'!AS1572,WeightedMinAge10),MAX(CapacityAge10*'01_Вводные'!$B$218*'19_Расчет_аналитики'!AS1572,MeanMinAge10)))</f>
        <v/>
      </c>
      <c r="AT1513">
        <f>IF(OR(('19_Расчет_аналитики'!AT1429-'19_Расчет_аналитики'!AT1457)=0,10&lt;='01_Вводные'!$B$297),0,('19_Расчет_аналитики'!AT1429-'19_Расчет_аналитики'!AT1457)*IF('01_Вводные'!$B$239="Да",MeanMinAge10+'19_Расчет_аналитики'!AT1572*SUMIF(ThresholdAge10,"&lt;"&amp;'19_Расчет_аналитики'!AT1572,WeightedRevAge10)-SUMIF(ThresholdAge10,"&lt;"&amp;'19_Расчет_аналитики'!AT1572,WeightedMinAge10),MAX(CapacityAge10*'01_Вводные'!$B$218*'19_Расчет_аналитики'!AT1572,MeanMinAge10)))</f>
        <v/>
      </c>
      <c r="AU1513">
        <f>IF(OR(('19_Расчет_аналитики'!AU1429-'19_Расчет_аналитики'!AU1457)=0,10&lt;='01_Вводные'!$B$297),0,('19_Расчет_аналитики'!AU1429-'19_Расчет_аналитики'!AU1457)*IF('01_Вводные'!$B$239="Да",MeanMinAge10+'19_Расчет_аналитики'!AU1572*SUMIF(ThresholdAge10,"&lt;"&amp;'19_Расчет_аналитики'!AU1572,WeightedRevAge10)-SUMIF(ThresholdAge10,"&lt;"&amp;'19_Расчет_аналитики'!AU1572,WeightedMinAge10),MAX(CapacityAge10*'01_Вводные'!$B$218*'19_Расчет_аналитики'!AU1572,MeanMinAge10)))</f>
        <v/>
      </c>
      <c r="AV1513">
        <f>IF(OR(('19_Расчет_аналитики'!AV1429-'19_Расчет_аналитики'!AV1457)=0,10&lt;='01_Вводные'!$B$297),0,('19_Расчет_аналитики'!AV1429-'19_Расчет_аналитики'!AV1457)*IF('01_Вводные'!$B$239="Да",MeanMinAge10+'19_Расчет_аналитики'!AV1572*SUMIF(ThresholdAge10,"&lt;"&amp;'19_Расчет_аналитики'!AV1572,WeightedRevAge10)-SUMIF(ThresholdAge10,"&lt;"&amp;'19_Расчет_аналитики'!AV1572,WeightedMinAge10),MAX(CapacityAge10*'01_Вводные'!$B$218*'19_Расчет_аналитики'!AV1572,MeanMinAge10)))</f>
        <v/>
      </c>
      <c r="AW1513">
        <f>IF(OR(('19_Расчет_аналитики'!AW1429-'19_Расчет_аналитики'!AW1457)=0,10&lt;='01_Вводные'!$B$297),0,('19_Расчет_аналитики'!AW1429-'19_Расчет_аналитики'!AW1457)*IF('01_Вводные'!$B$239="Да",MeanMinAge10+'19_Расчет_аналитики'!AW1572*SUMIF(ThresholdAge10,"&lt;"&amp;'19_Расчет_аналитики'!AW1572,WeightedRevAge10)-SUMIF(ThresholdAge10,"&lt;"&amp;'19_Расчет_аналитики'!AW1572,WeightedMinAge10),MAX(CapacityAge10*'01_Вводные'!$B$218*'19_Расчет_аналитики'!AW1572,MeanMinAge10)))</f>
        <v/>
      </c>
      <c r="AX1513">
        <f>IF(OR(('19_Расчет_аналитики'!AX1429-'19_Расчет_аналитики'!AX1457)=0,10&lt;='01_Вводные'!$B$297),0,('19_Расчет_аналитики'!AX1429-'19_Расчет_аналитики'!AX1457)*IF('01_Вводные'!$B$239="Да",MeanMinAge10+'19_Расчет_аналитики'!AX1572*SUMIF(ThresholdAge10,"&lt;"&amp;'19_Расчет_аналитики'!AX1572,WeightedRevAge10)-SUMIF(ThresholdAge10,"&lt;"&amp;'19_Расчет_аналитики'!AX1572,WeightedMinAge10),MAX(CapacityAge10*'01_Вводные'!$B$218*'19_Расчет_аналитики'!AX1572,MeanMinAge10)))</f>
        <v/>
      </c>
      <c r="AY1513">
        <f>IF(OR(('19_Расчет_аналитики'!AY1429-'19_Расчет_аналитики'!AY1457)=0,10&lt;='01_Вводные'!$B$297),0,('19_Расчет_аналитики'!AY1429-'19_Расчет_аналитики'!AY1457)*IF('01_Вводные'!$B$239="Да",MeanMinAge10+'19_Расчет_аналитики'!AY1572*SUMIF(ThresholdAge10,"&lt;"&amp;'19_Расчет_аналитики'!AY1572,WeightedRevAge10)-SUMIF(ThresholdAge10,"&lt;"&amp;'19_Расчет_аналитики'!AY1572,WeightedMinAge10),MAX(CapacityAge10*'01_Вводные'!$B$218*'19_Расчет_аналитики'!AY1572,MeanMinAge10)))</f>
        <v/>
      </c>
      <c r="AZ1513">
        <f>IF(OR(('19_Расчет_аналитики'!AZ1429-'19_Расчет_аналитики'!AZ1457)=0,10&lt;='01_Вводные'!$B$297),0,('19_Расчет_аналитики'!AZ1429-'19_Расчет_аналитики'!AZ1457)*IF('01_Вводные'!$B$239="Да",MeanMinAge10+'19_Расчет_аналитики'!AZ1572*SUMIF(ThresholdAge10,"&lt;"&amp;'19_Расчет_аналитики'!AZ1572,WeightedRevAge10)-SUMIF(ThresholdAge10,"&lt;"&amp;'19_Расчет_аналитики'!AZ1572,WeightedMinAge10),MAX(CapacityAge10*'01_Вводные'!$B$218*'19_Расчет_аналитики'!AZ1572,MeanMinAge10)))</f>
        <v/>
      </c>
      <c r="BA1513">
        <f>IF(OR(('19_Расчет_аналитики'!BA1429-'19_Расчет_аналитики'!BA1457)=0,10&lt;='01_Вводные'!$B$297),0,('19_Расчет_аналитики'!BA1429-'19_Расчет_аналитики'!BA1457)*IF('01_Вводные'!$B$239="Да",MeanMinAge10+'19_Расчет_аналитики'!BA1572*SUMIF(ThresholdAge10,"&lt;"&amp;'19_Расчет_аналитики'!BA1572,WeightedRevAge10)-SUMIF(ThresholdAge10,"&lt;"&amp;'19_Расчет_аналитики'!BA1572,WeightedMinAge10),MAX(CapacityAge10*'01_Вводные'!$B$218*'19_Расчет_аналитики'!BA1572,MeanMinAge10)))</f>
        <v/>
      </c>
      <c r="BB1513">
        <f>IF(OR(('19_Расчет_аналитики'!BB1429-'19_Расчет_аналитики'!BB1457)=0,10&lt;='01_Вводные'!$B$297),0,('19_Расчет_аналитики'!BB1429-'19_Расчет_аналитики'!BB1457)*IF('01_Вводные'!$B$239="Да",MeanMinAge10+'19_Расчет_аналитики'!BB1572*SUMIF(ThresholdAge10,"&lt;"&amp;'19_Расчет_аналитики'!BB1572,WeightedRevAge10)-SUMIF(ThresholdAge10,"&lt;"&amp;'19_Расчет_аналитики'!BB1572,WeightedMinAge10),MAX(CapacityAge10*'01_Вводные'!$B$218*'19_Расчет_аналитики'!BB1572,MeanMinAge10)))</f>
        <v/>
      </c>
      <c r="BC1513">
        <f>IF(OR(('19_Расчет_аналитики'!BC1429-'19_Расчет_аналитики'!BC1457)=0,10&lt;='01_Вводные'!$B$297),0,('19_Расчет_аналитики'!BC1429-'19_Расчет_аналитики'!BC1457)*IF('01_Вводные'!$B$239="Да",MeanMinAge10+'19_Расчет_аналитики'!BC1572*SUMIF(ThresholdAge10,"&lt;"&amp;'19_Расчет_аналитики'!BC1572,WeightedRevAge10)-SUMIF(ThresholdAge10,"&lt;"&amp;'19_Расчет_аналитики'!BC1572,WeightedMinAge10),MAX(CapacityAge10*'01_Вводные'!$B$218*'19_Расчет_аналитики'!BC1572,MeanMinAge10)))</f>
        <v/>
      </c>
      <c r="BD1513">
        <f>IF(OR(('19_Расчет_аналитики'!BD1429-'19_Расчет_аналитики'!BD1457)=0,10&lt;='01_Вводные'!$B$297),0,('19_Расчет_аналитики'!BD1429-'19_Расчет_аналитики'!BD1457)*IF('01_Вводные'!$B$239="Да",MeanMinAge10+'19_Расчет_аналитики'!BD1572*SUMIF(ThresholdAge10,"&lt;"&amp;'19_Расчет_аналитики'!BD1572,WeightedRevAge10)-SUMIF(ThresholdAge10,"&lt;"&amp;'19_Расчет_аналитики'!BD1572,WeightedMinAge10),MAX(CapacityAge10*'01_Вводные'!$B$218*'19_Расчет_аналитики'!BD1572,MeanMinAge10)))</f>
        <v/>
      </c>
      <c r="BE1513">
        <f>IF(OR(('19_Расчет_аналитики'!BE1429-'19_Расчет_аналитики'!BE1457)=0,10&lt;='01_Вводные'!$B$297),0,('19_Расчет_аналитики'!BE1429-'19_Расчет_аналитики'!BE1457)*IF('01_Вводные'!$B$239="Да",MeanMinAge10+'19_Расчет_аналитики'!BE1572*SUMIF(ThresholdAge10,"&lt;"&amp;'19_Расчет_аналитики'!BE1572,WeightedRevAge10)-SUMIF(ThresholdAge10,"&lt;"&amp;'19_Расчет_аналитики'!BE1572,WeightedMinAge10),MAX(CapacityAge10*'01_Вводные'!$B$218*'19_Расчет_аналитики'!BE1572,MeanMinAge10)))</f>
        <v/>
      </c>
      <c r="BF1513">
        <f>IF(OR(('19_Расчет_аналитики'!BF1429-'19_Расчет_аналитики'!BF1457)=0,10&lt;='01_Вводные'!$B$297),0,('19_Расчет_аналитики'!BF1429-'19_Расчет_аналитики'!BF1457)*IF('01_Вводные'!$B$239="Да",MeanMinAge10+'19_Расчет_аналитики'!BF1572*SUMIF(ThresholdAge10,"&lt;"&amp;'19_Расчет_аналитики'!BF1572,WeightedRevAge10)-SUMIF(ThresholdAge10,"&lt;"&amp;'19_Расчет_аналитики'!BF1572,WeightedMinAge10),MAX(CapacityAge10*'01_Вводные'!$B$218*'19_Расчет_аналитики'!BF1572,MeanMinAge10)))</f>
        <v/>
      </c>
      <c r="BG1513">
        <f>IF(OR(('19_Расчет_аналитики'!BG1429-'19_Расчет_аналитики'!BG1457)=0,10&lt;='01_Вводные'!$B$297),0,('19_Расчет_аналитики'!BG1429-'19_Расчет_аналитики'!BG1457)*IF('01_Вводные'!$B$239="Да",MeanMinAge10+'19_Расчет_аналитики'!BG1572*SUMIF(ThresholdAge10,"&lt;"&amp;'19_Расчет_аналитики'!BG1572,WeightedRevAge10)-SUMIF(ThresholdAge10,"&lt;"&amp;'19_Расчет_аналитики'!BG1572,WeightedMinAge10),MAX(CapacityAge10*'01_Вводные'!$B$218*'19_Расчет_аналитики'!BG1572,MeanMinAge10)))</f>
        <v/>
      </c>
      <c r="BH1513">
        <f>IF(OR(('19_Расчет_аналитики'!BH1429-'19_Расчет_аналитики'!BH1457)=0,10&lt;='01_Вводные'!$B$297),0,('19_Расчет_аналитики'!BH1429-'19_Расчет_аналитики'!BH1457)*IF('01_Вводные'!$B$239="Да",MeanMinAge10+'19_Расчет_аналитики'!BH1572*SUMIF(ThresholdAge10,"&lt;"&amp;'19_Расчет_аналитики'!BH1572,WeightedRevAge10)-SUMIF(ThresholdAge10,"&lt;"&amp;'19_Расчет_аналитики'!BH1572,WeightedMinAge10),MAX(CapacityAge10*'01_Вводные'!$B$218*'19_Расчет_аналитики'!BH1572,MeanMinAge10)))</f>
        <v/>
      </c>
      <c r="BI1513">
        <f>IF(OR(('19_Расчет_аналитики'!BI1429-'19_Расчет_аналитики'!BI1457)=0,10&lt;='01_Вводные'!$B$297),0,('19_Расчет_аналитики'!BI1429-'19_Расчет_аналитики'!BI1457)*IF('01_Вводные'!$B$239="Да",MeanMinAge10+'19_Расчет_аналитики'!BI1572*SUMIF(ThresholdAge10,"&lt;"&amp;'19_Расчет_аналитики'!BI1572,WeightedRevAge10)-SUMIF(ThresholdAge10,"&lt;"&amp;'19_Расчет_аналитики'!BI1572,WeightedMinAge10),MAX(CapacityAge10*'01_Вводные'!$B$218*'19_Расчет_аналитики'!BI1572,MeanMinAge10)))</f>
        <v/>
      </c>
      <c r="BJ1513">
        <f>IF(OR(('19_Расчет_аналитики'!BJ1429-'19_Расчет_аналитики'!BJ1457)=0,10&lt;='01_Вводные'!$B$297),0,('19_Расчет_аналитики'!BJ1429-'19_Расчет_аналитики'!BJ1457)*IF('01_Вводные'!$B$239="Да",MeanMinAge10+'19_Расчет_аналитики'!BJ1572*SUMIF(ThresholdAge10,"&lt;"&amp;'19_Расчет_аналитики'!BJ1572,WeightedRevAge10)-SUMIF(ThresholdAge10,"&lt;"&amp;'19_Расчет_аналитики'!BJ1572,WeightedMinAge10),MAX(CapacityAge10*'01_Вводные'!$B$218*'19_Расчет_аналитики'!BJ1572,MeanMinAge10)))</f>
        <v/>
      </c>
      <c r="BK1513">
        <f>IF(OR(('19_Расчет_аналитики'!BK1429-'19_Расчет_аналитики'!BK1457)=0,10&lt;='01_Вводные'!$B$297),0,('19_Расчет_аналитики'!BK1429-'19_Расчет_аналитики'!BK1457)*IF('01_Вводные'!$B$239="Да",MeanMinAge10+'19_Расчет_аналитики'!BK1572*SUMIF(ThresholdAge10,"&lt;"&amp;'19_Расчет_аналитики'!BK1572,WeightedRevAge10)-SUMIF(ThresholdAge10,"&lt;"&amp;'19_Расчет_аналитики'!BK1572,WeightedMinAge10),MAX(CapacityAge10*'01_Вводные'!$B$218*'19_Расчет_аналитики'!BK1572,MeanMinAge10)))</f>
        <v/>
      </c>
      <c r="BL1513">
        <f>IF(OR(('19_Расчет_аналитики'!BL1429-'19_Расчет_аналитики'!BL1457)=0,10&lt;='01_Вводные'!$B$297),0,('19_Расчет_аналитики'!BL1429-'19_Расчет_аналитики'!BL1457)*IF('01_Вводные'!$B$239="Да",MeanMinAge10+'19_Расчет_аналитики'!BL1572*SUMIF(ThresholdAge10,"&lt;"&amp;'19_Расчет_аналитики'!BL1572,WeightedRevAge10)-SUMIF(ThresholdAge10,"&lt;"&amp;'19_Расчет_аналитики'!BL1572,WeightedMinAge10),MAX(CapacityAge10*'01_Вводные'!$B$218*'19_Расчет_аналитики'!BL1572,MeanMinAge10)))</f>
        <v/>
      </c>
      <c r="BM1513">
        <f>IF(OR(('19_Расчет_аналитики'!BM1429-'19_Расчет_аналитики'!BM1457)=0,10&lt;='01_Вводные'!$B$297),0,('19_Расчет_аналитики'!BM1429-'19_Расчет_аналитики'!BM1457)*IF('01_Вводные'!$B$239="Да",MeanMinAge10+'19_Расчет_аналитики'!BM1572*SUMIF(ThresholdAge10,"&lt;"&amp;'19_Расчет_аналитики'!BM1572,WeightedRevAge10)-SUMIF(ThresholdAge10,"&lt;"&amp;'19_Расчет_аналитики'!BM1572,WeightedMinAge10),MAX(CapacityAge10*'01_Вводные'!$B$218*'19_Расчет_аналитики'!BM1572,MeanMinAge10)))</f>
        <v/>
      </c>
      <c r="BN1513">
        <f>IF(OR(('19_Расчет_аналитики'!BN1429-'19_Расчет_аналитики'!BN1457)=0,10&lt;='01_Вводные'!$B$297),0,('19_Расчет_аналитики'!BN1429-'19_Расчет_аналитики'!BN1457)*IF('01_Вводные'!$B$239="Да",MeanMinAge10+'19_Расчет_аналитики'!BN1572*SUMIF(ThresholdAge10,"&lt;"&amp;'19_Расчет_аналитики'!BN1572,WeightedRevAge10)-SUMIF(ThresholdAge10,"&lt;"&amp;'19_Расчет_аналитики'!BN1572,WeightedMinAge10),MAX(CapacityAge10*'01_Вводные'!$B$218*'19_Расчет_аналитики'!BN1572,MeanMinAge10)))</f>
        <v/>
      </c>
      <c r="BO1513">
        <f>IF(OR(('19_Расчет_аналитики'!BO1429-'19_Расчет_аналитики'!BO1457)=0,10&lt;='01_Вводные'!$B$297),0,('19_Расчет_аналитики'!BO1429-'19_Расчет_аналитики'!BO1457)*IF('01_Вводные'!$B$239="Да",MeanMinAge10+'19_Расчет_аналитики'!BO1572*SUMIF(ThresholdAge10,"&lt;"&amp;'19_Расчет_аналитики'!BO1572,WeightedRevAge10)-SUMIF(ThresholdAge10,"&lt;"&amp;'19_Расчет_аналитики'!BO1572,WeightedMinAge10),MAX(CapacityAge10*'01_Вводные'!$B$218*'19_Расчет_аналитики'!BO1572,MeanMinAge10)))</f>
        <v/>
      </c>
    </row>
    <row r="1514">
      <c r="B1514">
        <f>IF(OR(('06_Сеть_и_дети'!B63-'06_Сеть_и_дети'!B91)=0,11&lt;='01_Вводные'!$B$297),0,('06_Сеть_и_дети'!B63-'06_Сеть_и_дети'!B91)*IF('01_Вводные'!$B$239="Да",MeanMinAge11+'19_Расчет_аналитики'!B1572*SUMIF(ThresholdAge11,"&lt;"&amp;'19_Расчет_аналитики'!B1572,WeightedRevAge11)-SUMIF(ThresholdAge11,"&lt;"&amp;'19_Расчет_аналитики'!B1572,WeightedMinAge11),MAX(CapacityAge11*'01_Вводные'!$B$218*'19_Расчет_аналитики'!B1572,MeanMinAge11)))</f>
        <v/>
      </c>
      <c r="C1514">
        <f>IF(OR(('06_Сеть_и_дети'!C63-'06_Сеть_и_дети'!C91)=0,11&lt;='01_Вводные'!$B$297),0,('06_Сеть_и_дети'!C63-'06_Сеть_и_дети'!C91)*IF('01_Вводные'!$B$239="Да",MeanMinAge11+'19_Расчет_аналитики'!C1572*SUMIF(ThresholdAge11,"&lt;"&amp;'19_Расчет_аналитики'!C1572,WeightedRevAge11)-SUMIF(ThresholdAge11,"&lt;"&amp;'19_Расчет_аналитики'!C1572,WeightedMinAge11),MAX(CapacityAge11*'01_Вводные'!$B$218*'19_Расчет_аналитики'!C1572,MeanMinAge11)))</f>
        <v/>
      </c>
      <c r="D1514">
        <f>IF(OR(('06_Сеть_и_дети'!D63-'06_Сеть_и_дети'!D91)=0,11&lt;='01_Вводные'!$B$297),0,('06_Сеть_и_дети'!D63-'06_Сеть_и_дети'!D91)*IF('01_Вводные'!$B$239="Да",MeanMinAge11+'19_Расчет_аналитики'!D1572*SUMIF(ThresholdAge11,"&lt;"&amp;'19_Расчет_аналитики'!D1572,WeightedRevAge11)-SUMIF(ThresholdAge11,"&lt;"&amp;'19_Расчет_аналитики'!D1572,WeightedMinAge11),MAX(CapacityAge11*'01_Вводные'!$B$218*'19_Расчет_аналитики'!D1572,MeanMinAge11)))</f>
        <v/>
      </c>
      <c r="E1514">
        <f>IF(OR(('06_Сеть_и_дети'!E63-'06_Сеть_и_дети'!E91)=0,11&lt;='01_Вводные'!$B$297),0,('06_Сеть_и_дети'!E63-'06_Сеть_и_дети'!E91)*IF('01_Вводные'!$B$239="Да",MeanMinAge11+'19_Расчет_аналитики'!E1572*SUMIF(ThresholdAge11,"&lt;"&amp;'19_Расчет_аналитики'!E1572,WeightedRevAge11)-SUMIF(ThresholdAge11,"&lt;"&amp;'19_Расчет_аналитики'!E1572,WeightedMinAge11),MAX(CapacityAge11*'01_Вводные'!$B$218*'19_Расчет_аналитики'!E1572,MeanMinAge11)))</f>
        <v/>
      </c>
      <c r="F1514">
        <f>IF(OR(('06_Сеть_и_дети'!F63-'06_Сеть_и_дети'!F91)=0,11&lt;='01_Вводные'!$B$297),0,('06_Сеть_и_дети'!F63-'06_Сеть_и_дети'!F91)*IF('01_Вводные'!$B$239="Да",MeanMinAge11+'19_Расчет_аналитики'!F1572*SUMIF(ThresholdAge11,"&lt;"&amp;'19_Расчет_аналитики'!F1572,WeightedRevAge11)-SUMIF(ThresholdAge11,"&lt;"&amp;'19_Расчет_аналитики'!F1572,WeightedMinAge11),MAX(CapacityAge11*'01_Вводные'!$B$218*'19_Расчет_аналитики'!F1572,MeanMinAge11)))</f>
        <v/>
      </c>
      <c r="G1514">
        <f>IF(OR(('06_Сеть_и_дети'!G63-'06_Сеть_и_дети'!G91)=0,11&lt;='01_Вводные'!$B$297),0,('06_Сеть_и_дети'!G63-'06_Сеть_и_дети'!G91)*IF('01_Вводные'!$B$239="Да",MeanMinAge11+'19_Расчет_аналитики'!G1572*SUMIF(ThresholdAge11,"&lt;"&amp;'19_Расчет_аналитики'!G1572,WeightedRevAge11)-SUMIF(ThresholdAge11,"&lt;"&amp;'19_Расчет_аналитики'!G1572,WeightedMinAge11),MAX(CapacityAge11*'01_Вводные'!$B$218*'19_Расчет_аналитики'!G1572,MeanMinAge11)))</f>
        <v/>
      </c>
      <c r="H1514">
        <f>IF(OR(('06_Сеть_и_дети'!H63-'06_Сеть_и_дети'!H91)=0,11&lt;='01_Вводные'!$B$297),0,('06_Сеть_и_дети'!H63-'06_Сеть_и_дети'!H91)*IF('01_Вводные'!$B$239="Да",MeanMinAge11+'19_Расчет_аналитики'!H1572*SUMIF(ThresholdAge11,"&lt;"&amp;'19_Расчет_аналитики'!H1572,WeightedRevAge11)-SUMIF(ThresholdAge11,"&lt;"&amp;'19_Расчет_аналитики'!H1572,WeightedMinAge11),MAX(CapacityAge11*'01_Вводные'!$B$218*'19_Расчет_аналитики'!H1572,MeanMinAge11)))</f>
        <v/>
      </c>
      <c r="I1514">
        <f>IF(OR(('06_Сеть_и_дети'!I63-'06_Сеть_и_дети'!I91)=0,11&lt;='01_Вводные'!$B$297),0,('06_Сеть_и_дети'!I63-'06_Сеть_и_дети'!I91)*IF('01_Вводные'!$B$239="Да",MeanMinAge11+'19_Расчет_аналитики'!I1572*SUMIF(ThresholdAge11,"&lt;"&amp;'19_Расчет_аналитики'!I1572,WeightedRevAge11)-SUMIF(ThresholdAge11,"&lt;"&amp;'19_Расчет_аналитики'!I1572,WeightedMinAge11),MAX(CapacityAge11*'01_Вводные'!$B$218*'19_Расчет_аналитики'!I1572,MeanMinAge11)))</f>
        <v/>
      </c>
      <c r="J1514">
        <f>IF(OR(('06_Сеть_и_дети'!J63-'06_Сеть_и_дети'!J91)=0,11&lt;='01_Вводные'!$B$297),0,('06_Сеть_и_дети'!J63-'06_Сеть_и_дети'!J91)*IF('01_Вводные'!$B$239="Да",MeanMinAge11+'19_Расчет_аналитики'!J1572*SUMIF(ThresholdAge11,"&lt;"&amp;'19_Расчет_аналитики'!J1572,WeightedRevAge11)-SUMIF(ThresholdAge11,"&lt;"&amp;'19_Расчет_аналитики'!J1572,WeightedMinAge11),MAX(CapacityAge11*'01_Вводные'!$B$218*'19_Расчет_аналитики'!J1572,MeanMinAge11)))</f>
        <v/>
      </c>
      <c r="K1514">
        <f>IF(OR(('06_Сеть_и_дети'!K63-'06_Сеть_и_дети'!K91)=0,11&lt;='01_Вводные'!$B$297),0,('06_Сеть_и_дети'!K63-'06_Сеть_и_дети'!K91)*IF('01_Вводные'!$B$239="Да",MeanMinAge11+'19_Расчет_аналитики'!K1572*SUMIF(ThresholdAge11,"&lt;"&amp;'19_Расчет_аналитики'!K1572,WeightedRevAge11)-SUMIF(ThresholdAge11,"&lt;"&amp;'19_Расчет_аналитики'!K1572,WeightedMinAge11),MAX(CapacityAge11*'01_Вводные'!$B$218*'19_Расчет_аналитики'!K1572,MeanMinAge11)))</f>
        <v/>
      </c>
      <c r="L1514">
        <f>IF(OR(('19_Расчет_аналитики'!L1430-'19_Расчет_аналитики'!L1458)=0,11&lt;='01_Вводные'!$B$297),0,('19_Расчет_аналитики'!L1430-'19_Расчет_аналитики'!L1458)*IF('01_Вводные'!$B$239="Да",MeanMinAge11+'19_Расчет_аналитики'!L1572*SUMIF(ThresholdAge11,"&lt;"&amp;'19_Расчет_аналитики'!L1572,WeightedRevAge11)-SUMIF(ThresholdAge11,"&lt;"&amp;'19_Расчет_аналитики'!L1572,WeightedMinAge11),MAX(CapacityAge11*'01_Вводные'!$B$218*'19_Расчет_аналитики'!L1572,MeanMinAge11)))</f>
        <v/>
      </c>
      <c r="M1514">
        <f>IF(OR(('19_Расчет_аналитики'!M1430-'19_Расчет_аналитики'!M1458)=0,11&lt;='01_Вводные'!$B$297),0,('19_Расчет_аналитики'!M1430-'19_Расчет_аналитики'!M1458)*IF('01_Вводные'!$B$239="Да",MeanMinAge11+'19_Расчет_аналитики'!M1572*SUMIF(ThresholdAge11,"&lt;"&amp;'19_Расчет_аналитики'!M1572,WeightedRevAge11)-SUMIF(ThresholdAge11,"&lt;"&amp;'19_Расчет_аналитики'!M1572,WeightedMinAge11),MAX(CapacityAge11*'01_Вводные'!$B$218*'19_Расчет_аналитики'!M1572,MeanMinAge11)))</f>
        <v/>
      </c>
      <c r="N1514">
        <f>IF(OR(('19_Расчет_аналитики'!N1430-'19_Расчет_аналитики'!N1458)=0,11&lt;='01_Вводные'!$B$297),0,('19_Расчет_аналитики'!N1430-'19_Расчет_аналитики'!N1458)*IF('01_Вводные'!$B$239="Да",MeanMinAge11+'19_Расчет_аналитики'!N1572*SUMIF(ThresholdAge11,"&lt;"&amp;'19_Расчет_аналитики'!N1572,WeightedRevAge11)-SUMIF(ThresholdAge11,"&lt;"&amp;'19_Расчет_аналитики'!N1572,WeightedMinAge11),MAX(CapacityAge11*'01_Вводные'!$B$218*'19_Расчет_аналитики'!N1572,MeanMinAge11)))</f>
        <v/>
      </c>
      <c r="O1514">
        <f>IF(OR(('19_Расчет_аналитики'!O1430-'19_Расчет_аналитики'!O1458)=0,11&lt;='01_Вводные'!$B$297),0,('19_Расчет_аналитики'!O1430-'19_Расчет_аналитики'!O1458)*IF('01_Вводные'!$B$239="Да",MeanMinAge11+'19_Расчет_аналитики'!O1572*SUMIF(ThresholdAge11,"&lt;"&amp;'19_Расчет_аналитики'!O1572,WeightedRevAge11)-SUMIF(ThresholdAge11,"&lt;"&amp;'19_Расчет_аналитики'!O1572,WeightedMinAge11),MAX(CapacityAge11*'01_Вводные'!$B$218*'19_Расчет_аналитики'!O1572,MeanMinAge11)))</f>
        <v/>
      </c>
      <c r="P1514">
        <f>IF(OR(('19_Расчет_аналитики'!P1430-'19_Расчет_аналитики'!P1458)=0,11&lt;='01_Вводные'!$B$297),0,('19_Расчет_аналитики'!P1430-'19_Расчет_аналитики'!P1458)*IF('01_Вводные'!$B$239="Да",MeanMinAge11+'19_Расчет_аналитики'!P1572*SUMIF(ThresholdAge11,"&lt;"&amp;'19_Расчет_аналитики'!P1572,WeightedRevAge11)-SUMIF(ThresholdAge11,"&lt;"&amp;'19_Расчет_аналитики'!P1572,WeightedMinAge11),MAX(CapacityAge11*'01_Вводные'!$B$218*'19_Расчет_аналитики'!P1572,MeanMinAge11)))</f>
        <v/>
      </c>
      <c r="Q1514">
        <f>IF(OR(('19_Расчет_аналитики'!Q1430-'19_Расчет_аналитики'!Q1458)=0,11&lt;='01_Вводные'!$B$297),0,('19_Расчет_аналитики'!Q1430-'19_Расчет_аналитики'!Q1458)*IF('01_Вводные'!$B$239="Да",MeanMinAge11+'19_Расчет_аналитики'!Q1572*SUMIF(ThresholdAge11,"&lt;"&amp;'19_Расчет_аналитики'!Q1572,WeightedRevAge11)-SUMIF(ThresholdAge11,"&lt;"&amp;'19_Расчет_аналитики'!Q1572,WeightedMinAge11),MAX(CapacityAge11*'01_Вводные'!$B$218*'19_Расчет_аналитики'!Q1572,MeanMinAge11)))</f>
        <v/>
      </c>
      <c r="R1514">
        <f>IF(OR(('19_Расчет_аналитики'!R1430-'19_Расчет_аналитики'!R1458)=0,11&lt;='01_Вводные'!$B$297),0,('19_Расчет_аналитики'!R1430-'19_Расчет_аналитики'!R1458)*IF('01_Вводные'!$B$239="Да",MeanMinAge11+'19_Расчет_аналитики'!R1572*SUMIF(ThresholdAge11,"&lt;"&amp;'19_Расчет_аналитики'!R1572,WeightedRevAge11)-SUMIF(ThresholdAge11,"&lt;"&amp;'19_Расчет_аналитики'!R1572,WeightedMinAge11),MAX(CapacityAge11*'01_Вводные'!$B$218*'19_Расчет_аналитики'!R1572,MeanMinAge11)))</f>
        <v/>
      </c>
      <c r="S1514">
        <f>IF(OR(('19_Расчет_аналитики'!S1430-'19_Расчет_аналитики'!S1458)=0,11&lt;='01_Вводные'!$B$297),0,('19_Расчет_аналитики'!S1430-'19_Расчет_аналитики'!S1458)*IF('01_Вводные'!$B$239="Да",MeanMinAge11+'19_Расчет_аналитики'!S1572*SUMIF(ThresholdAge11,"&lt;"&amp;'19_Расчет_аналитики'!S1572,WeightedRevAge11)-SUMIF(ThresholdAge11,"&lt;"&amp;'19_Расчет_аналитики'!S1572,WeightedMinAge11),MAX(CapacityAge11*'01_Вводные'!$B$218*'19_Расчет_аналитики'!S1572,MeanMinAge11)))</f>
        <v/>
      </c>
      <c r="T1514">
        <f>IF(OR(('19_Расчет_аналитики'!T1430-'19_Расчет_аналитики'!T1458)=0,11&lt;='01_Вводные'!$B$297),0,('19_Расчет_аналитики'!T1430-'19_Расчет_аналитики'!T1458)*IF('01_Вводные'!$B$239="Да",MeanMinAge11+'19_Расчет_аналитики'!T1572*SUMIF(ThresholdAge11,"&lt;"&amp;'19_Расчет_аналитики'!T1572,WeightedRevAge11)-SUMIF(ThresholdAge11,"&lt;"&amp;'19_Расчет_аналитики'!T1572,WeightedMinAge11),MAX(CapacityAge11*'01_Вводные'!$B$218*'19_Расчет_аналитики'!T1572,MeanMinAge11)))</f>
        <v/>
      </c>
      <c r="U1514">
        <f>IF(OR(('19_Расчет_аналитики'!U1430-'19_Расчет_аналитики'!U1458)=0,11&lt;='01_Вводные'!$B$297),0,('19_Расчет_аналитики'!U1430-'19_Расчет_аналитики'!U1458)*IF('01_Вводные'!$B$239="Да",MeanMinAge11+'19_Расчет_аналитики'!U1572*SUMIF(ThresholdAge11,"&lt;"&amp;'19_Расчет_аналитики'!U1572,WeightedRevAge11)-SUMIF(ThresholdAge11,"&lt;"&amp;'19_Расчет_аналитики'!U1572,WeightedMinAge11),MAX(CapacityAge11*'01_Вводные'!$B$218*'19_Расчет_аналитики'!U1572,MeanMinAge11)))</f>
        <v/>
      </c>
      <c r="V1514">
        <f>IF(OR(('19_Расчет_аналитики'!V1430-'19_Расчет_аналитики'!V1458)=0,11&lt;='01_Вводные'!$B$297),0,('19_Расчет_аналитики'!V1430-'19_Расчет_аналитики'!V1458)*IF('01_Вводные'!$B$239="Да",MeanMinAge11+'19_Расчет_аналитики'!V1572*SUMIF(ThresholdAge11,"&lt;"&amp;'19_Расчет_аналитики'!V1572,WeightedRevAge11)-SUMIF(ThresholdAge11,"&lt;"&amp;'19_Расчет_аналитики'!V1572,WeightedMinAge11),MAX(CapacityAge11*'01_Вводные'!$B$218*'19_Расчет_аналитики'!V1572,MeanMinAge11)))</f>
        <v/>
      </c>
      <c r="W1514">
        <f>IF(OR(('19_Расчет_аналитики'!W1430-'19_Расчет_аналитики'!W1458)=0,11&lt;='01_Вводные'!$B$297),0,('19_Расчет_аналитики'!W1430-'19_Расчет_аналитики'!W1458)*IF('01_Вводные'!$B$239="Да",MeanMinAge11+'19_Расчет_аналитики'!W1572*SUMIF(ThresholdAge11,"&lt;"&amp;'19_Расчет_аналитики'!W1572,WeightedRevAge11)-SUMIF(ThresholdAge11,"&lt;"&amp;'19_Расчет_аналитики'!W1572,WeightedMinAge11),MAX(CapacityAge11*'01_Вводные'!$B$218*'19_Расчет_аналитики'!W1572,MeanMinAge11)))</f>
        <v/>
      </c>
      <c r="X1514">
        <f>IF(OR(('19_Расчет_аналитики'!X1430-'19_Расчет_аналитики'!X1458)=0,11&lt;='01_Вводные'!$B$297),0,('19_Расчет_аналитики'!X1430-'19_Расчет_аналитики'!X1458)*IF('01_Вводные'!$B$239="Да",MeanMinAge11+'19_Расчет_аналитики'!X1572*SUMIF(ThresholdAge11,"&lt;"&amp;'19_Расчет_аналитики'!X1572,WeightedRevAge11)-SUMIF(ThresholdAge11,"&lt;"&amp;'19_Расчет_аналитики'!X1572,WeightedMinAge11),MAX(CapacityAge11*'01_Вводные'!$B$218*'19_Расчет_аналитики'!X1572,MeanMinAge11)))</f>
        <v/>
      </c>
      <c r="Y1514">
        <f>IF(OR(('19_Расчет_аналитики'!Y1430-'19_Расчет_аналитики'!Y1458)=0,11&lt;='01_Вводные'!$B$297),0,('19_Расчет_аналитики'!Y1430-'19_Расчет_аналитики'!Y1458)*IF('01_Вводные'!$B$239="Да",MeanMinAge11+'19_Расчет_аналитики'!Y1572*SUMIF(ThresholdAge11,"&lt;"&amp;'19_Расчет_аналитики'!Y1572,WeightedRevAge11)-SUMIF(ThresholdAge11,"&lt;"&amp;'19_Расчет_аналитики'!Y1572,WeightedMinAge11),MAX(CapacityAge11*'01_Вводные'!$B$218*'19_Расчет_аналитики'!Y1572,MeanMinAge11)))</f>
        <v/>
      </c>
      <c r="Z1514">
        <f>IF(OR(('19_Расчет_аналитики'!Z1430-'19_Расчет_аналитики'!Z1458)=0,11&lt;='01_Вводные'!$B$297),0,('19_Расчет_аналитики'!Z1430-'19_Расчет_аналитики'!Z1458)*IF('01_Вводные'!$B$239="Да",MeanMinAge11+'19_Расчет_аналитики'!Z1572*SUMIF(ThresholdAge11,"&lt;"&amp;'19_Расчет_аналитики'!Z1572,WeightedRevAge11)-SUMIF(ThresholdAge11,"&lt;"&amp;'19_Расчет_аналитики'!Z1572,WeightedMinAge11),MAX(CapacityAge11*'01_Вводные'!$B$218*'19_Расчет_аналитики'!Z1572,MeanMinAge11)))</f>
        <v/>
      </c>
      <c r="AA1514">
        <f>IF(OR(('19_Расчет_аналитики'!AA1430-'19_Расчет_аналитики'!AA1458)=0,11&lt;='01_Вводные'!$B$297),0,('19_Расчет_аналитики'!AA1430-'19_Расчет_аналитики'!AA1458)*IF('01_Вводные'!$B$239="Да",MeanMinAge11+'19_Расчет_аналитики'!AA1572*SUMIF(ThresholdAge11,"&lt;"&amp;'19_Расчет_аналитики'!AA1572,WeightedRevAge11)-SUMIF(ThresholdAge11,"&lt;"&amp;'19_Расчет_аналитики'!AA1572,WeightedMinAge11),MAX(CapacityAge11*'01_Вводные'!$B$218*'19_Расчет_аналитики'!AA1572,MeanMinAge11)))</f>
        <v/>
      </c>
      <c r="AB1514">
        <f>IF(OR(('19_Расчет_аналитики'!AB1430-'19_Расчет_аналитики'!AB1458)=0,11&lt;='01_Вводные'!$B$297),0,('19_Расчет_аналитики'!AB1430-'19_Расчет_аналитики'!AB1458)*IF('01_Вводные'!$B$239="Да",MeanMinAge11+'19_Расчет_аналитики'!AB1572*SUMIF(ThresholdAge11,"&lt;"&amp;'19_Расчет_аналитики'!AB1572,WeightedRevAge11)-SUMIF(ThresholdAge11,"&lt;"&amp;'19_Расчет_аналитики'!AB1572,WeightedMinAge11),MAX(CapacityAge11*'01_Вводные'!$B$218*'19_Расчет_аналитики'!AB1572,MeanMinAge11)))</f>
        <v/>
      </c>
      <c r="AC1514">
        <f>IF(OR(('19_Расчет_аналитики'!AC1430-'19_Расчет_аналитики'!AC1458)=0,11&lt;='01_Вводные'!$B$297),0,('19_Расчет_аналитики'!AC1430-'19_Расчет_аналитики'!AC1458)*IF('01_Вводные'!$B$239="Да",MeanMinAge11+'19_Расчет_аналитики'!AC1572*SUMIF(ThresholdAge11,"&lt;"&amp;'19_Расчет_аналитики'!AC1572,WeightedRevAge11)-SUMIF(ThresholdAge11,"&lt;"&amp;'19_Расчет_аналитики'!AC1572,WeightedMinAge11),MAX(CapacityAge11*'01_Вводные'!$B$218*'19_Расчет_аналитики'!AC1572,MeanMinAge11)))</f>
        <v/>
      </c>
      <c r="AD1514">
        <f>IF(OR(('19_Расчет_аналитики'!AD1430-'19_Расчет_аналитики'!AD1458)=0,11&lt;='01_Вводные'!$B$297),0,('19_Расчет_аналитики'!AD1430-'19_Расчет_аналитики'!AD1458)*IF('01_Вводные'!$B$239="Да",MeanMinAge11+'19_Расчет_аналитики'!AD1572*SUMIF(ThresholdAge11,"&lt;"&amp;'19_Расчет_аналитики'!AD1572,WeightedRevAge11)-SUMIF(ThresholdAge11,"&lt;"&amp;'19_Расчет_аналитики'!AD1572,WeightedMinAge11),MAX(CapacityAge11*'01_Вводные'!$B$218*'19_Расчет_аналитики'!AD1572,MeanMinAge11)))</f>
        <v/>
      </c>
      <c r="AE1514">
        <f>IF(OR(('19_Расчет_аналитики'!AE1430-'19_Расчет_аналитики'!AE1458)=0,11&lt;='01_Вводные'!$B$297),0,('19_Расчет_аналитики'!AE1430-'19_Расчет_аналитики'!AE1458)*IF('01_Вводные'!$B$239="Да",MeanMinAge11+'19_Расчет_аналитики'!AE1572*SUMIF(ThresholdAge11,"&lt;"&amp;'19_Расчет_аналитики'!AE1572,WeightedRevAge11)-SUMIF(ThresholdAge11,"&lt;"&amp;'19_Расчет_аналитики'!AE1572,WeightedMinAge11),MAX(CapacityAge11*'01_Вводные'!$B$218*'19_Расчет_аналитики'!AE1572,MeanMinAge11)))</f>
        <v/>
      </c>
      <c r="AF1514">
        <f>IF(OR(('19_Расчет_аналитики'!AF1430-'19_Расчет_аналитики'!AF1458)=0,11&lt;='01_Вводные'!$B$297),0,('19_Расчет_аналитики'!AF1430-'19_Расчет_аналитики'!AF1458)*IF('01_Вводные'!$B$239="Да",MeanMinAge11+'19_Расчет_аналитики'!AF1572*SUMIF(ThresholdAge11,"&lt;"&amp;'19_Расчет_аналитики'!AF1572,WeightedRevAge11)-SUMIF(ThresholdAge11,"&lt;"&amp;'19_Расчет_аналитики'!AF1572,WeightedMinAge11),MAX(CapacityAge11*'01_Вводные'!$B$218*'19_Расчет_аналитики'!AF1572,MeanMinAge11)))</f>
        <v/>
      </c>
      <c r="AG1514">
        <f>IF(OR(('19_Расчет_аналитики'!AG1430-'19_Расчет_аналитики'!AG1458)=0,11&lt;='01_Вводные'!$B$297),0,('19_Расчет_аналитики'!AG1430-'19_Расчет_аналитики'!AG1458)*IF('01_Вводные'!$B$239="Да",MeanMinAge11+'19_Расчет_аналитики'!AG1572*SUMIF(ThresholdAge11,"&lt;"&amp;'19_Расчет_аналитики'!AG1572,WeightedRevAge11)-SUMIF(ThresholdAge11,"&lt;"&amp;'19_Расчет_аналитики'!AG1572,WeightedMinAge11),MAX(CapacityAge11*'01_Вводные'!$B$218*'19_Расчет_аналитики'!AG1572,MeanMinAge11)))</f>
        <v/>
      </c>
      <c r="AH1514">
        <f>IF(OR(('19_Расчет_аналитики'!AH1430-'19_Расчет_аналитики'!AH1458)=0,11&lt;='01_Вводные'!$B$297),0,('19_Расчет_аналитики'!AH1430-'19_Расчет_аналитики'!AH1458)*IF('01_Вводные'!$B$239="Да",MeanMinAge11+'19_Расчет_аналитики'!AH1572*SUMIF(ThresholdAge11,"&lt;"&amp;'19_Расчет_аналитики'!AH1572,WeightedRevAge11)-SUMIF(ThresholdAge11,"&lt;"&amp;'19_Расчет_аналитики'!AH1572,WeightedMinAge11),MAX(CapacityAge11*'01_Вводные'!$B$218*'19_Расчет_аналитики'!AH1572,MeanMinAge11)))</f>
        <v/>
      </c>
      <c r="AI1514">
        <f>IF(OR(('19_Расчет_аналитики'!AI1430-'19_Расчет_аналитики'!AI1458)=0,11&lt;='01_Вводные'!$B$297),0,('19_Расчет_аналитики'!AI1430-'19_Расчет_аналитики'!AI1458)*IF('01_Вводные'!$B$239="Да",MeanMinAge11+'19_Расчет_аналитики'!AI1572*SUMIF(ThresholdAge11,"&lt;"&amp;'19_Расчет_аналитики'!AI1572,WeightedRevAge11)-SUMIF(ThresholdAge11,"&lt;"&amp;'19_Расчет_аналитики'!AI1572,WeightedMinAge11),MAX(CapacityAge11*'01_Вводные'!$B$218*'19_Расчет_аналитики'!AI1572,MeanMinAge11)))</f>
        <v/>
      </c>
      <c r="AJ1514">
        <f>IF(OR(('19_Расчет_аналитики'!AJ1430-'19_Расчет_аналитики'!AJ1458)=0,11&lt;='01_Вводные'!$B$297),0,('19_Расчет_аналитики'!AJ1430-'19_Расчет_аналитики'!AJ1458)*IF('01_Вводные'!$B$239="Да",MeanMinAge11+'19_Расчет_аналитики'!AJ1572*SUMIF(ThresholdAge11,"&lt;"&amp;'19_Расчет_аналитики'!AJ1572,WeightedRevAge11)-SUMIF(ThresholdAge11,"&lt;"&amp;'19_Расчет_аналитики'!AJ1572,WeightedMinAge11),MAX(CapacityAge11*'01_Вводные'!$B$218*'19_Расчет_аналитики'!AJ1572,MeanMinAge11)))</f>
        <v/>
      </c>
      <c r="AK1514">
        <f>IF(OR(('19_Расчет_аналитики'!AK1430-'19_Расчет_аналитики'!AK1458)=0,11&lt;='01_Вводные'!$B$297),0,('19_Расчет_аналитики'!AK1430-'19_Расчет_аналитики'!AK1458)*IF('01_Вводные'!$B$239="Да",MeanMinAge11+'19_Расчет_аналитики'!AK1572*SUMIF(ThresholdAge11,"&lt;"&amp;'19_Расчет_аналитики'!AK1572,WeightedRevAge11)-SUMIF(ThresholdAge11,"&lt;"&amp;'19_Расчет_аналитики'!AK1572,WeightedMinAge11),MAX(CapacityAge11*'01_Вводные'!$B$218*'19_Расчет_аналитики'!AK1572,MeanMinAge11)))</f>
        <v/>
      </c>
      <c r="AL1514">
        <f>IF(OR(('19_Расчет_аналитики'!AL1430-'19_Расчет_аналитики'!AL1458)=0,11&lt;='01_Вводные'!$B$297),0,('19_Расчет_аналитики'!AL1430-'19_Расчет_аналитики'!AL1458)*IF('01_Вводные'!$B$239="Да",MeanMinAge11+'19_Расчет_аналитики'!AL1572*SUMIF(ThresholdAge11,"&lt;"&amp;'19_Расчет_аналитики'!AL1572,WeightedRevAge11)-SUMIF(ThresholdAge11,"&lt;"&amp;'19_Расчет_аналитики'!AL1572,WeightedMinAge11),MAX(CapacityAge11*'01_Вводные'!$B$218*'19_Расчет_аналитики'!AL1572,MeanMinAge11)))</f>
        <v/>
      </c>
      <c r="AM1514">
        <f>IF(OR(('19_Расчет_аналитики'!AM1430-'19_Расчет_аналитики'!AM1458)=0,11&lt;='01_Вводные'!$B$297),0,('19_Расчет_аналитики'!AM1430-'19_Расчет_аналитики'!AM1458)*IF('01_Вводные'!$B$239="Да",MeanMinAge11+'19_Расчет_аналитики'!AM1572*SUMIF(ThresholdAge11,"&lt;"&amp;'19_Расчет_аналитики'!AM1572,WeightedRevAge11)-SUMIF(ThresholdAge11,"&lt;"&amp;'19_Расчет_аналитики'!AM1572,WeightedMinAge11),MAX(CapacityAge11*'01_Вводные'!$B$218*'19_Расчет_аналитики'!AM1572,MeanMinAge11)))</f>
        <v/>
      </c>
      <c r="AN1514">
        <f>IF(OR(('19_Расчет_аналитики'!AN1430-'19_Расчет_аналитики'!AN1458)=0,11&lt;='01_Вводные'!$B$297),0,('19_Расчет_аналитики'!AN1430-'19_Расчет_аналитики'!AN1458)*IF('01_Вводные'!$B$239="Да",MeanMinAge11+'19_Расчет_аналитики'!AN1572*SUMIF(ThresholdAge11,"&lt;"&amp;'19_Расчет_аналитики'!AN1572,WeightedRevAge11)-SUMIF(ThresholdAge11,"&lt;"&amp;'19_Расчет_аналитики'!AN1572,WeightedMinAge11),MAX(CapacityAge11*'01_Вводные'!$B$218*'19_Расчет_аналитики'!AN1572,MeanMinAge11)))</f>
        <v/>
      </c>
      <c r="AO1514">
        <f>IF(OR(('19_Расчет_аналитики'!AO1430-'19_Расчет_аналитики'!AO1458)=0,11&lt;='01_Вводные'!$B$297),0,('19_Расчет_аналитики'!AO1430-'19_Расчет_аналитики'!AO1458)*IF('01_Вводные'!$B$239="Да",MeanMinAge11+'19_Расчет_аналитики'!AO1572*SUMIF(ThresholdAge11,"&lt;"&amp;'19_Расчет_аналитики'!AO1572,WeightedRevAge11)-SUMIF(ThresholdAge11,"&lt;"&amp;'19_Расчет_аналитики'!AO1572,WeightedMinAge11),MAX(CapacityAge11*'01_Вводные'!$B$218*'19_Расчет_аналитики'!AO1572,MeanMinAge11)))</f>
        <v/>
      </c>
      <c r="AP1514">
        <f>IF(OR(('19_Расчет_аналитики'!AP1430-'19_Расчет_аналитики'!AP1458)=0,11&lt;='01_Вводные'!$B$297),0,('19_Расчет_аналитики'!AP1430-'19_Расчет_аналитики'!AP1458)*IF('01_Вводные'!$B$239="Да",MeanMinAge11+'19_Расчет_аналитики'!AP1572*SUMIF(ThresholdAge11,"&lt;"&amp;'19_Расчет_аналитики'!AP1572,WeightedRevAge11)-SUMIF(ThresholdAge11,"&lt;"&amp;'19_Расчет_аналитики'!AP1572,WeightedMinAge11),MAX(CapacityAge11*'01_Вводные'!$B$218*'19_Расчет_аналитики'!AP1572,MeanMinAge11)))</f>
        <v/>
      </c>
      <c r="AQ1514">
        <f>IF(OR(('19_Расчет_аналитики'!AQ1430-'19_Расчет_аналитики'!AQ1458)=0,11&lt;='01_Вводные'!$B$297),0,('19_Расчет_аналитики'!AQ1430-'19_Расчет_аналитики'!AQ1458)*IF('01_Вводные'!$B$239="Да",MeanMinAge11+'19_Расчет_аналитики'!AQ1572*SUMIF(ThresholdAge11,"&lt;"&amp;'19_Расчет_аналитики'!AQ1572,WeightedRevAge11)-SUMIF(ThresholdAge11,"&lt;"&amp;'19_Расчет_аналитики'!AQ1572,WeightedMinAge11),MAX(CapacityAge11*'01_Вводные'!$B$218*'19_Расчет_аналитики'!AQ1572,MeanMinAge11)))</f>
        <v/>
      </c>
      <c r="AR1514">
        <f>IF(OR(('19_Расчет_аналитики'!AR1430-'19_Расчет_аналитики'!AR1458)=0,11&lt;='01_Вводные'!$B$297),0,('19_Расчет_аналитики'!AR1430-'19_Расчет_аналитики'!AR1458)*IF('01_Вводные'!$B$239="Да",MeanMinAge11+'19_Расчет_аналитики'!AR1572*SUMIF(ThresholdAge11,"&lt;"&amp;'19_Расчет_аналитики'!AR1572,WeightedRevAge11)-SUMIF(ThresholdAge11,"&lt;"&amp;'19_Расчет_аналитики'!AR1572,WeightedMinAge11),MAX(CapacityAge11*'01_Вводные'!$B$218*'19_Расчет_аналитики'!AR1572,MeanMinAge11)))</f>
        <v/>
      </c>
      <c r="AS1514">
        <f>IF(OR(('19_Расчет_аналитики'!AS1430-'19_Расчет_аналитики'!AS1458)=0,11&lt;='01_Вводные'!$B$297),0,('19_Расчет_аналитики'!AS1430-'19_Расчет_аналитики'!AS1458)*IF('01_Вводные'!$B$239="Да",MeanMinAge11+'19_Расчет_аналитики'!AS1572*SUMIF(ThresholdAge11,"&lt;"&amp;'19_Расчет_аналитики'!AS1572,WeightedRevAge11)-SUMIF(ThresholdAge11,"&lt;"&amp;'19_Расчет_аналитики'!AS1572,WeightedMinAge11),MAX(CapacityAge11*'01_Вводные'!$B$218*'19_Расчет_аналитики'!AS1572,MeanMinAge11)))</f>
        <v/>
      </c>
      <c r="AT1514">
        <f>IF(OR(('19_Расчет_аналитики'!AT1430-'19_Расчет_аналитики'!AT1458)=0,11&lt;='01_Вводные'!$B$297),0,('19_Расчет_аналитики'!AT1430-'19_Расчет_аналитики'!AT1458)*IF('01_Вводные'!$B$239="Да",MeanMinAge11+'19_Расчет_аналитики'!AT1572*SUMIF(ThresholdAge11,"&lt;"&amp;'19_Расчет_аналитики'!AT1572,WeightedRevAge11)-SUMIF(ThresholdAge11,"&lt;"&amp;'19_Расчет_аналитики'!AT1572,WeightedMinAge11),MAX(CapacityAge11*'01_Вводные'!$B$218*'19_Расчет_аналитики'!AT1572,MeanMinAge11)))</f>
        <v/>
      </c>
      <c r="AU1514">
        <f>IF(OR(('19_Расчет_аналитики'!AU1430-'19_Расчет_аналитики'!AU1458)=0,11&lt;='01_Вводные'!$B$297),0,('19_Расчет_аналитики'!AU1430-'19_Расчет_аналитики'!AU1458)*IF('01_Вводные'!$B$239="Да",MeanMinAge11+'19_Расчет_аналитики'!AU1572*SUMIF(ThresholdAge11,"&lt;"&amp;'19_Расчет_аналитики'!AU1572,WeightedRevAge11)-SUMIF(ThresholdAge11,"&lt;"&amp;'19_Расчет_аналитики'!AU1572,WeightedMinAge11),MAX(CapacityAge11*'01_Вводные'!$B$218*'19_Расчет_аналитики'!AU1572,MeanMinAge11)))</f>
        <v/>
      </c>
      <c r="AV1514">
        <f>IF(OR(('19_Расчет_аналитики'!AV1430-'19_Расчет_аналитики'!AV1458)=0,11&lt;='01_Вводные'!$B$297),0,('19_Расчет_аналитики'!AV1430-'19_Расчет_аналитики'!AV1458)*IF('01_Вводные'!$B$239="Да",MeanMinAge11+'19_Расчет_аналитики'!AV1572*SUMIF(ThresholdAge11,"&lt;"&amp;'19_Расчет_аналитики'!AV1572,WeightedRevAge11)-SUMIF(ThresholdAge11,"&lt;"&amp;'19_Расчет_аналитики'!AV1572,WeightedMinAge11),MAX(CapacityAge11*'01_Вводные'!$B$218*'19_Расчет_аналитики'!AV1572,MeanMinAge11)))</f>
        <v/>
      </c>
      <c r="AW1514">
        <f>IF(OR(('19_Расчет_аналитики'!AW1430-'19_Расчет_аналитики'!AW1458)=0,11&lt;='01_Вводные'!$B$297),0,('19_Расчет_аналитики'!AW1430-'19_Расчет_аналитики'!AW1458)*IF('01_Вводные'!$B$239="Да",MeanMinAge11+'19_Расчет_аналитики'!AW1572*SUMIF(ThresholdAge11,"&lt;"&amp;'19_Расчет_аналитики'!AW1572,WeightedRevAge11)-SUMIF(ThresholdAge11,"&lt;"&amp;'19_Расчет_аналитики'!AW1572,WeightedMinAge11),MAX(CapacityAge11*'01_Вводные'!$B$218*'19_Расчет_аналитики'!AW1572,MeanMinAge11)))</f>
        <v/>
      </c>
      <c r="AX1514">
        <f>IF(OR(('19_Расчет_аналитики'!AX1430-'19_Расчет_аналитики'!AX1458)=0,11&lt;='01_Вводные'!$B$297),0,('19_Расчет_аналитики'!AX1430-'19_Расчет_аналитики'!AX1458)*IF('01_Вводные'!$B$239="Да",MeanMinAge11+'19_Расчет_аналитики'!AX1572*SUMIF(ThresholdAge11,"&lt;"&amp;'19_Расчет_аналитики'!AX1572,WeightedRevAge11)-SUMIF(ThresholdAge11,"&lt;"&amp;'19_Расчет_аналитики'!AX1572,WeightedMinAge11),MAX(CapacityAge11*'01_Вводные'!$B$218*'19_Расчет_аналитики'!AX1572,MeanMinAge11)))</f>
        <v/>
      </c>
      <c r="AY1514">
        <f>IF(OR(('19_Расчет_аналитики'!AY1430-'19_Расчет_аналитики'!AY1458)=0,11&lt;='01_Вводные'!$B$297),0,('19_Расчет_аналитики'!AY1430-'19_Расчет_аналитики'!AY1458)*IF('01_Вводные'!$B$239="Да",MeanMinAge11+'19_Расчет_аналитики'!AY1572*SUMIF(ThresholdAge11,"&lt;"&amp;'19_Расчет_аналитики'!AY1572,WeightedRevAge11)-SUMIF(ThresholdAge11,"&lt;"&amp;'19_Расчет_аналитики'!AY1572,WeightedMinAge11),MAX(CapacityAge11*'01_Вводные'!$B$218*'19_Расчет_аналитики'!AY1572,MeanMinAge11)))</f>
        <v/>
      </c>
      <c r="AZ1514">
        <f>IF(OR(('19_Расчет_аналитики'!AZ1430-'19_Расчет_аналитики'!AZ1458)=0,11&lt;='01_Вводные'!$B$297),0,('19_Расчет_аналитики'!AZ1430-'19_Расчет_аналитики'!AZ1458)*IF('01_Вводные'!$B$239="Да",MeanMinAge11+'19_Расчет_аналитики'!AZ1572*SUMIF(ThresholdAge11,"&lt;"&amp;'19_Расчет_аналитики'!AZ1572,WeightedRevAge11)-SUMIF(ThresholdAge11,"&lt;"&amp;'19_Расчет_аналитики'!AZ1572,WeightedMinAge11),MAX(CapacityAge11*'01_Вводные'!$B$218*'19_Расчет_аналитики'!AZ1572,MeanMinAge11)))</f>
        <v/>
      </c>
      <c r="BA1514">
        <f>IF(OR(('19_Расчет_аналитики'!BA1430-'19_Расчет_аналитики'!BA1458)=0,11&lt;='01_Вводные'!$B$297),0,('19_Расчет_аналитики'!BA1430-'19_Расчет_аналитики'!BA1458)*IF('01_Вводные'!$B$239="Да",MeanMinAge11+'19_Расчет_аналитики'!BA1572*SUMIF(ThresholdAge11,"&lt;"&amp;'19_Расчет_аналитики'!BA1572,WeightedRevAge11)-SUMIF(ThresholdAge11,"&lt;"&amp;'19_Расчет_аналитики'!BA1572,WeightedMinAge11),MAX(CapacityAge11*'01_Вводные'!$B$218*'19_Расчет_аналитики'!BA1572,MeanMinAge11)))</f>
        <v/>
      </c>
      <c r="BB1514">
        <f>IF(OR(('19_Расчет_аналитики'!BB1430-'19_Расчет_аналитики'!BB1458)=0,11&lt;='01_Вводные'!$B$297),0,('19_Расчет_аналитики'!BB1430-'19_Расчет_аналитики'!BB1458)*IF('01_Вводные'!$B$239="Да",MeanMinAge11+'19_Расчет_аналитики'!BB1572*SUMIF(ThresholdAge11,"&lt;"&amp;'19_Расчет_аналитики'!BB1572,WeightedRevAge11)-SUMIF(ThresholdAge11,"&lt;"&amp;'19_Расчет_аналитики'!BB1572,WeightedMinAge11),MAX(CapacityAge11*'01_Вводные'!$B$218*'19_Расчет_аналитики'!BB1572,MeanMinAge11)))</f>
        <v/>
      </c>
      <c r="BC1514">
        <f>IF(OR(('19_Расчет_аналитики'!BC1430-'19_Расчет_аналитики'!BC1458)=0,11&lt;='01_Вводные'!$B$297),0,('19_Расчет_аналитики'!BC1430-'19_Расчет_аналитики'!BC1458)*IF('01_Вводные'!$B$239="Да",MeanMinAge11+'19_Расчет_аналитики'!BC1572*SUMIF(ThresholdAge11,"&lt;"&amp;'19_Расчет_аналитики'!BC1572,WeightedRevAge11)-SUMIF(ThresholdAge11,"&lt;"&amp;'19_Расчет_аналитики'!BC1572,WeightedMinAge11),MAX(CapacityAge11*'01_Вводные'!$B$218*'19_Расчет_аналитики'!BC1572,MeanMinAge11)))</f>
        <v/>
      </c>
      <c r="BD1514">
        <f>IF(OR(('19_Расчет_аналитики'!BD1430-'19_Расчет_аналитики'!BD1458)=0,11&lt;='01_Вводные'!$B$297),0,('19_Расчет_аналитики'!BD1430-'19_Расчет_аналитики'!BD1458)*IF('01_Вводные'!$B$239="Да",MeanMinAge11+'19_Расчет_аналитики'!BD1572*SUMIF(ThresholdAge11,"&lt;"&amp;'19_Расчет_аналитики'!BD1572,WeightedRevAge11)-SUMIF(ThresholdAge11,"&lt;"&amp;'19_Расчет_аналитики'!BD1572,WeightedMinAge11),MAX(CapacityAge11*'01_Вводные'!$B$218*'19_Расчет_аналитики'!BD1572,MeanMinAge11)))</f>
        <v/>
      </c>
      <c r="BE1514">
        <f>IF(OR(('19_Расчет_аналитики'!BE1430-'19_Расчет_аналитики'!BE1458)=0,11&lt;='01_Вводные'!$B$297),0,('19_Расчет_аналитики'!BE1430-'19_Расчет_аналитики'!BE1458)*IF('01_Вводные'!$B$239="Да",MeanMinAge11+'19_Расчет_аналитики'!BE1572*SUMIF(ThresholdAge11,"&lt;"&amp;'19_Расчет_аналитики'!BE1572,WeightedRevAge11)-SUMIF(ThresholdAge11,"&lt;"&amp;'19_Расчет_аналитики'!BE1572,WeightedMinAge11),MAX(CapacityAge11*'01_Вводные'!$B$218*'19_Расчет_аналитики'!BE1572,MeanMinAge11)))</f>
        <v/>
      </c>
      <c r="BF1514">
        <f>IF(OR(('19_Расчет_аналитики'!BF1430-'19_Расчет_аналитики'!BF1458)=0,11&lt;='01_Вводные'!$B$297),0,('19_Расчет_аналитики'!BF1430-'19_Расчет_аналитики'!BF1458)*IF('01_Вводные'!$B$239="Да",MeanMinAge11+'19_Расчет_аналитики'!BF1572*SUMIF(ThresholdAge11,"&lt;"&amp;'19_Расчет_аналитики'!BF1572,WeightedRevAge11)-SUMIF(ThresholdAge11,"&lt;"&amp;'19_Расчет_аналитики'!BF1572,WeightedMinAge11),MAX(CapacityAge11*'01_Вводные'!$B$218*'19_Расчет_аналитики'!BF1572,MeanMinAge11)))</f>
        <v/>
      </c>
      <c r="BG1514">
        <f>IF(OR(('19_Расчет_аналитики'!BG1430-'19_Расчет_аналитики'!BG1458)=0,11&lt;='01_Вводные'!$B$297),0,('19_Расчет_аналитики'!BG1430-'19_Расчет_аналитики'!BG1458)*IF('01_Вводные'!$B$239="Да",MeanMinAge11+'19_Расчет_аналитики'!BG1572*SUMIF(ThresholdAge11,"&lt;"&amp;'19_Расчет_аналитики'!BG1572,WeightedRevAge11)-SUMIF(ThresholdAge11,"&lt;"&amp;'19_Расчет_аналитики'!BG1572,WeightedMinAge11),MAX(CapacityAge11*'01_Вводные'!$B$218*'19_Расчет_аналитики'!BG1572,MeanMinAge11)))</f>
        <v/>
      </c>
      <c r="BH1514">
        <f>IF(OR(('19_Расчет_аналитики'!BH1430-'19_Расчет_аналитики'!BH1458)=0,11&lt;='01_Вводные'!$B$297),0,('19_Расчет_аналитики'!BH1430-'19_Расчет_аналитики'!BH1458)*IF('01_Вводные'!$B$239="Да",MeanMinAge11+'19_Расчет_аналитики'!BH1572*SUMIF(ThresholdAge11,"&lt;"&amp;'19_Расчет_аналитики'!BH1572,WeightedRevAge11)-SUMIF(ThresholdAge11,"&lt;"&amp;'19_Расчет_аналитики'!BH1572,WeightedMinAge11),MAX(CapacityAge11*'01_Вводные'!$B$218*'19_Расчет_аналитики'!BH1572,MeanMinAge11)))</f>
        <v/>
      </c>
      <c r="BI1514">
        <f>IF(OR(('19_Расчет_аналитики'!BI1430-'19_Расчет_аналитики'!BI1458)=0,11&lt;='01_Вводные'!$B$297),0,('19_Расчет_аналитики'!BI1430-'19_Расчет_аналитики'!BI1458)*IF('01_Вводные'!$B$239="Да",MeanMinAge11+'19_Расчет_аналитики'!BI1572*SUMIF(ThresholdAge11,"&lt;"&amp;'19_Расчет_аналитики'!BI1572,WeightedRevAge11)-SUMIF(ThresholdAge11,"&lt;"&amp;'19_Расчет_аналитики'!BI1572,WeightedMinAge11),MAX(CapacityAge11*'01_Вводные'!$B$218*'19_Расчет_аналитики'!BI1572,MeanMinAge11)))</f>
        <v/>
      </c>
      <c r="BJ1514">
        <f>IF(OR(('19_Расчет_аналитики'!BJ1430-'19_Расчет_аналитики'!BJ1458)=0,11&lt;='01_Вводные'!$B$297),0,('19_Расчет_аналитики'!BJ1430-'19_Расчет_аналитики'!BJ1458)*IF('01_Вводные'!$B$239="Да",MeanMinAge11+'19_Расчет_аналитики'!BJ1572*SUMIF(ThresholdAge11,"&lt;"&amp;'19_Расчет_аналитики'!BJ1572,WeightedRevAge11)-SUMIF(ThresholdAge11,"&lt;"&amp;'19_Расчет_аналитики'!BJ1572,WeightedMinAge11),MAX(CapacityAge11*'01_Вводные'!$B$218*'19_Расчет_аналитики'!BJ1572,MeanMinAge11)))</f>
        <v/>
      </c>
      <c r="BK1514">
        <f>IF(OR(('19_Расчет_аналитики'!BK1430-'19_Расчет_аналитики'!BK1458)=0,11&lt;='01_Вводные'!$B$297),0,('19_Расчет_аналитики'!BK1430-'19_Расчет_аналитики'!BK1458)*IF('01_Вводные'!$B$239="Да",MeanMinAge11+'19_Расчет_аналитики'!BK1572*SUMIF(ThresholdAge11,"&lt;"&amp;'19_Расчет_аналитики'!BK1572,WeightedRevAge11)-SUMIF(ThresholdAge11,"&lt;"&amp;'19_Расчет_аналитики'!BK1572,WeightedMinAge11),MAX(CapacityAge11*'01_Вводные'!$B$218*'19_Расчет_аналитики'!BK1572,MeanMinAge11)))</f>
        <v/>
      </c>
      <c r="BL1514">
        <f>IF(OR(('19_Расчет_аналитики'!BL1430-'19_Расчет_аналитики'!BL1458)=0,11&lt;='01_Вводные'!$B$297),0,('19_Расчет_аналитики'!BL1430-'19_Расчет_аналитики'!BL1458)*IF('01_Вводные'!$B$239="Да",MeanMinAge11+'19_Расчет_аналитики'!BL1572*SUMIF(ThresholdAge11,"&lt;"&amp;'19_Расчет_аналитики'!BL1572,WeightedRevAge11)-SUMIF(ThresholdAge11,"&lt;"&amp;'19_Расчет_аналитики'!BL1572,WeightedMinAge11),MAX(CapacityAge11*'01_Вводные'!$B$218*'19_Расчет_аналитики'!BL1572,MeanMinAge11)))</f>
        <v/>
      </c>
      <c r="BM1514">
        <f>IF(OR(('19_Расчет_аналитики'!BM1430-'19_Расчет_аналитики'!BM1458)=0,11&lt;='01_Вводные'!$B$297),0,('19_Расчет_аналитики'!BM1430-'19_Расчет_аналитики'!BM1458)*IF('01_Вводные'!$B$239="Да",MeanMinAge11+'19_Расчет_аналитики'!BM1572*SUMIF(ThresholdAge11,"&lt;"&amp;'19_Расчет_аналитики'!BM1572,WeightedRevAge11)-SUMIF(ThresholdAge11,"&lt;"&amp;'19_Расчет_аналитики'!BM1572,WeightedMinAge11),MAX(CapacityAge11*'01_Вводные'!$B$218*'19_Расчет_аналитики'!BM1572,MeanMinAge11)))</f>
        <v/>
      </c>
      <c r="BN1514">
        <f>IF(OR(('19_Расчет_аналитики'!BN1430-'19_Расчет_аналитики'!BN1458)=0,11&lt;='01_Вводные'!$B$297),0,('19_Расчет_аналитики'!BN1430-'19_Расчет_аналитики'!BN1458)*IF('01_Вводные'!$B$239="Да",MeanMinAge11+'19_Расчет_аналитики'!BN1572*SUMIF(ThresholdAge11,"&lt;"&amp;'19_Расчет_аналитики'!BN1572,WeightedRevAge11)-SUMIF(ThresholdAge11,"&lt;"&amp;'19_Расчет_аналитики'!BN1572,WeightedMinAge11),MAX(CapacityAge11*'01_Вводные'!$B$218*'19_Расчет_аналитики'!BN1572,MeanMinAge11)))</f>
        <v/>
      </c>
      <c r="BO1514">
        <f>IF(OR(('19_Расчет_аналитики'!BO1430-'19_Расчет_аналитики'!BO1458)=0,11&lt;='01_Вводные'!$B$297),0,('19_Расчет_аналитики'!BO1430-'19_Расчет_аналитики'!BO1458)*IF('01_Вводные'!$B$239="Да",MeanMinAge11+'19_Расчет_аналитики'!BO1572*SUMIF(ThresholdAge11,"&lt;"&amp;'19_Расчет_аналитики'!BO1572,WeightedRevAge11)-SUMIF(ThresholdAge11,"&lt;"&amp;'19_Расчет_аналитики'!BO1572,WeightedMinAge11),MAX(CapacityAge11*'01_Вводные'!$B$218*'19_Расчет_аналитики'!BO1572,MeanMinAge11)))</f>
        <v/>
      </c>
    </row>
    <row r="1515">
      <c r="B1515">
        <f>IF(OR(('06_Сеть_и_дети'!B64-'06_Сеть_и_дети'!B92)=0,12&lt;='01_Вводные'!$B$297),0,('06_Сеть_и_дети'!B64-'06_Сеть_и_дети'!B92)*IF('01_Вводные'!$B$239="Да",MeanMinAge12+'19_Расчет_аналитики'!B1572*SUMIF(ThresholdAge12,"&lt;"&amp;'19_Расчет_аналитики'!B1572,WeightedRevAge12)-SUMIF(ThresholdAge12,"&lt;"&amp;'19_Расчет_аналитики'!B1572,WeightedMinAge12),MAX(CapacityAge12*'01_Вводные'!$B$218*'19_Расчет_аналитики'!B1572,MeanMinAge12)))</f>
        <v/>
      </c>
      <c r="C1515">
        <f>IF(OR(('06_Сеть_и_дети'!C64-'06_Сеть_и_дети'!C92)=0,12&lt;='01_Вводные'!$B$297),0,('06_Сеть_и_дети'!C64-'06_Сеть_и_дети'!C92)*IF('01_Вводные'!$B$239="Да",MeanMinAge12+'19_Расчет_аналитики'!C1572*SUMIF(ThresholdAge12,"&lt;"&amp;'19_Расчет_аналитики'!C1572,WeightedRevAge12)-SUMIF(ThresholdAge12,"&lt;"&amp;'19_Расчет_аналитики'!C1572,WeightedMinAge12),MAX(CapacityAge12*'01_Вводные'!$B$218*'19_Расчет_аналитики'!C1572,MeanMinAge12)))</f>
        <v/>
      </c>
      <c r="D1515">
        <f>IF(OR(('06_Сеть_и_дети'!D64-'06_Сеть_и_дети'!D92)=0,12&lt;='01_Вводные'!$B$297),0,('06_Сеть_и_дети'!D64-'06_Сеть_и_дети'!D92)*IF('01_Вводные'!$B$239="Да",MeanMinAge12+'19_Расчет_аналитики'!D1572*SUMIF(ThresholdAge12,"&lt;"&amp;'19_Расчет_аналитики'!D1572,WeightedRevAge12)-SUMIF(ThresholdAge12,"&lt;"&amp;'19_Расчет_аналитики'!D1572,WeightedMinAge12),MAX(CapacityAge12*'01_Вводные'!$B$218*'19_Расчет_аналитики'!D1572,MeanMinAge12)))</f>
        <v/>
      </c>
      <c r="E1515">
        <f>IF(OR(('06_Сеть_и_дети'!E64-'06_Сеть_и_дети'!E92)=0,12&lt;='01_Вводные'!$B$297),0,('06_Сеть_и_дети'!E64-'06_Сеть_и_дети'!E92)*IF('01_Вводные'!$B$239="Да",MeanMinAge12+'19_Расчет_аналитики'!E1572*SUMIF(ThresholdAge12,"&lt;"&amp;'19_Расчет_аналитики'!E1572,WeightedRevAge12)-SUMIF(ThresholdAge12,"&lt;"&amp;'19_Расчет_аналитики'!E1572,WeightedMinAge12),MAX(CapacityAge12*'01_Вводные'!$B$218*'19_Расчет_аналитики'!E1572,MeanMinAge12)))</f>
        <v/>
      </c>
      <c r="F1515">
        <f>IF(OR(('06_Сеть_и_дети'!F64-'06_Сеть_и_дети'!F92)=0,12&lt;='01_Вводные'!$B$297),0,('06_Сеть_и_дети'!F64-'06_Сеть_и_дети'!F92)*IF('01_Вводные'!$B$239="Да",MeanMinAge12+'19_Расчет_аналитики'!F1572*SUMIF(ThresholdAge12,"&lt;"&amp;'19_Расчет_аналитики'!F1572,WeightedRevAge12)-SUMIF(ThresholdAge12,"&lt;"&amp;'19_Расчет_аналитики'!F1572,WeightedMinAge12),MAX(CapacityAge12*'01_Вводные'!$B$218*'19_Расчет_аналитики'!F1572,MeanMinAge12)))</f>
        <v/>
      </c>
      <c r="G1515">
        <f>IF(OR(('06_Сеть_и_дети'!G64-'06_Сеть_и_дети'!G92)=0,12&lt;='01_Вводные'!$B$297),0,('06_Сеть_и_дети'!G64-'06_Сеть_и_дети'!G92)*IF('01_Вводные'!$B$239="Да",MeanMinAge12+'19_Расчет_аналитики'!G1572*SUMIF(ThresholdAge12,"&lt;"&amp;'19_Расчет_аналитики'!G1572,WeightedRevAge12)-SUMIF(ThresholdAge12,"&lt;"&amp;'19_Расчет_аналитики'!G1572,WeightedMinAge12),MAX(CapacityAge12*'01_Вводные'!$B$218*'19_Расчет_аналитики'!G1572,MeanMinAge12)))</f>
        <v/>
      </c>
      <c r="H1515">
        <f>IF(OR(('06_Сеть_и_дети'!H64-'06_Сеть_и_дети'!H92)=0,12&lt;='01_Вводные'!$B$297),0,('06_Сеть_и_дети'!H64-'06_Сеть_и_дети'!H92)*IF('01_Вводные'!$B$239="Да",MeanMinAge12+'19_Расчет_аналитики'!H1572*SUMIF(ThresholdAge12,"&lt;"&amp;'19_Расчет_аналитики'!H1572,WeightedRevAge12)-SUMIF(ThresholdAge12,"&lt;"&amp;'19_Расчет_аналитики'!H1572,WeightedMinAge12),MAX(CapacityAge12*'01_Вводные'!$B$218*'19_Расчет_аналитики'!H1572,MeanMinAge12)))</f>
        <v/>
      </c>
      <c r="I1515">
        <f>IF(OR(('06_Сеть_и_дети'!I64-'06_Сеть_и_дети'!I92)=0,12&lt;='01_Вводные'!$B$297),0,('06_Сеть_и_дети'!I64-'06_Сеть_и_дети'!I92)*IF('01_Вводные'!$B$239="Да",MeanMinAge12+'19_Расчет_аналитики'!I1572*SUMIF(ThresholdAge12,"&lt;"&amp;'19_Расчет_аналитики'!I1572,WeightedRevAge12)-SUMIF(ThresholdAge12,"&lt;"&amp;'19_Расчет_аналитики'!I1572,WeightedMinAge12),MAX(CapacityAge12*'01_Вводные'!$B$218*'19_Расчет_аналитики'!I1572,MeanMinAge12)))</f>
        <v/>
      </c>
      <c r="J1515">
        <f>IF(OR(('06_Сеть_и_дети'!J64-'06_Сеть_и_дети'!J92)=0,12&lt;='01_Вводные'!$B$297),0,('06_Сеть_и_дети'!J64-'06_Сеть_и_дети'!J92)*IF('01_Вводные'!$B$239="Да",MeanMinAge12+'19_Расчет_аналитики'!J1572*SUMIF(ThresholdAge12,"&lt;"&amp;'19_Расчет_аналитики'!J1572,WeightedRevAge12)-SUMIF(ThresholdAge12,"&lt;"&amp;'19_Расчет_аналитики'!J1572,WeightedMinAge12),MAX(CapacityAge12*'01_Вводные'!$B$218*'19_Расчет_аналитики'!J1572,MeanMinAge12)))</f>
        <v/>
      </c>
      <c r="K1515">
        <f>IF(OR(('06_Сеть_и_дети'!K64-'06_Сеть_и_дети'!K92)=0,12&lt;='01_Вводные'!$B$297),0,('06_Сеть_и_дети'!K64-'06_Сеть_и_дети'!K92)*IF('01_Вводные'!$B$239="Да",MeanMinAge12+'19_Расчет_аналитики'!K1572*SUMIF(ThresholdAge12,"&lt;"&amp;'19_Расчет_аналитики'!K1572,WeightedRevAge12)-SUMIF(ThresholdAge12,"&lt;"&amp;'19_Расчет_аналитики'!K1572,WeightedMinAge12),MAX(CapacityAge12*'01_Вводные'!$B$218*'19_Расчет_аналитики'!K1572,MeanMinAge12)))</f>
        <v/>
      </c>
      <c r="L1515">
        <f>IF(OR(('06_Сеть_и_дети'!L64-'06_Сеть_и_дети'!L92)=0,12&lt;='01_Вводные'!$B$297),0,('06_Сеть_и_дети'!L64-'06_Сеть_и_дети'!L92)*IF('01_Вводные'!$B$239="Да",MeanMinAge12+'19_Расчет_аналитики'!L1572*SUMIF(ThresholdAge12,"&lt;"&amp;'19_Расчет_аналитики'!L1572,WeightedRevAge12)-SUMIF(ThresholdAge12,"&lt;"&amp;'19_Расчет_аналитики'!L1572,WeightedMinAge12),MAX(CapacityAge12*'01_Вводные'!$B$218*'19_Расчет_аналитики'!L1572,MeanMinAge12)))</f>
        <v/>
      </c>
      <c r="M1515">
        <f>IF(OR(('19_Расчет_аналитики'!M1431-'19_Расчет_аналитики'!M1459)=0,12&lt;='01_Вводные'!$B$297),0,('19_Расчет_аналитики'!M1431-'19_Расчет_аналитики'!M1459)*IF('01_Вводные'!$B$239="Да",MeanMinAge12+'19_Расчет_аналитики'!M1572*SUMIF(ThresholdAge12,"&lt;"&amp;'19_Расчет_аналитики'!M1572,WeightedRevAge12)-SUMIF(ThresholdAge12,"&lt;"&amp;'19_Расчет_аналитики'!M1572,WeightedMinAge12),MAX(CapacityAge12*'01_Вводные'!$B$218*'19_Расчет_аналитики'!M1572,MeanMinAge12)))</f>
        <v/>
      </c>
      <c r="N1515">
        <f>IF(OR(('19_Расчет_аналитики'!N1431-'19_Расчет_аналитики'!N1459)=0,12&lt;='01_Вводные'!$B$297),0,('19_Расчет_аналитики'!N1431-'19_Расчет_аналитики'!N1459)*IF('01_Вводные'!$B$239="Да",MeanMinAge12+'19_Расчет_аналитики'!N1572*SUMIF(ThresholdAge12,"&lt;"&amp;'19_Расчет_аналитики'!N1572,WeightedRevAge12)-SUMIF(ThresholdAge12,"&lt;"&amp;'19_Расчет_аналитики'!N1572,WeightedMinAge12),MAX(CapacityAge12*'01_Вводные'!$B$218*'19_Расчет_аналитики'!N1572,MeanMinAge12)))</f>
        <v/>
      </c>
      <c r="O1515">
        <f>IF(OR(('19_Расчет_аналитики'!O1431-'19_Расчет_аналитики'!O1459)=0,12&lt;='01_Вводные'!$B$297),0,('19_Расчет_аналитики'!O1431-'19_Расчет_аналитики'!O1459)*IF('01_Вводные'!$B$239="Да",MeanMinAge12+'19_Расчет_аналитики'!O1572*SUMIF(ThresholdAge12,"&lt;"&amp;'19_Расчет_аналитики'!O1572,WeightedRevAge12)-SUMIF(ThresholdAge12,"&lt;"&amp;'19_Расчет_аналитики'!O1572,WeightedMinAge12),MAX(CapacityAge12*'01_Вводные'!$B$218*'19_Расчет_аналитики'!O1572,MeanMinAge12)))</f>
        <v/>
      </c>
      <c r="P1515">
        <f>IF(OR(('19_Расчет_аналитики'!P1431-'19_Расчет_аналитики'!P1459)=0,12&lt;='01_Вводные'!$B$297),0,('19_Расчет_аналитики'!P1431-'19_Расчет_аналитики'!P1459)*IF('01_Вводные'!$B$239="Да",MeanMinAge12+'19_Расчет_аналитики'!P1572*SUMIF(ThresholdAge12,"&lt;"&amp;'19_Расчет_аналитики'!P1572,WeightedRevAge12)-SUMIF(ThresholdAge12,"&lt;"&amp;'19_Расчет_аналитики'!P1572,WeightedMinAge12),MAX(CapacityAge12*'01_Вводные'!$B$218*'19_Расчет_аналитики'!P1572,MeanMinAge12)))</f>
        <v/>
      </c>
      <c r="Q1515">
        <f>IF(OR(('19_Расчет_аналитики'!Q1431-'19_Расчет_аналитики'!Q1459)=0,12&lt;='01_Вводные'!$B$297),0,('19_Расчет_аналитики'!Q1431-'19_Расчет_аналитики'!Q1459)*IF('01_Вводные'!$B$239="Да",MeanMinAge12+'19_Расчет_аналитики'!Q1572*SUMIF(ThresholdAge12,"&lt;"&amp;'19_Расчет_аналитики'!Q1572,WeightedRevAge12)-SUMIF(ThresholdAge12,"&lt;"&amp;'19_Расчет_аналитики'!Q1572,WeightedMinAge12),MAX(CapacityAge12*'01_Вводные'!$B$218*'19_Расчет_аналитики'!Q1572,MeanMinAge12)))</f>
        <v/>
      </c>
      <c r="R1515">
        <f>IF(OR(('19_Расчет_аналитики'!R1431-'19_Расчет_аналитики'!R1459)=0,12&lt;='01_Вводные'!$B$297),0,('19_Расчет_аналитики'!R1431-'19_Расчет_аналитики'!R1459)*IF('01_Вводные'!$B$239="Да",MeanMinAge12+'19_Расчет_аналитики'!R1572*SUMIF(ThresholdAge12,"&lt;"&amp;'19_Расчет_аналитики'!R1572,WeightedRevAge12)-SUMIF(ThresholdAge12,"&lt;"&amp;'19_Расчет_аналитики'!R1572,WeightedMinAge12),MAX(CapacityAge12*'01_Вводные'!$B$218*'19_Расчет_аналитики'!R1572,MeanMinAge12)))</f>
        <v/>
      </c>
      <c r="S1515">
        <f>IF(OR(('19_Расчет_аналитики'!S1431-'19_Расчет_аналитики'!S1459)=0,12&lt;='01_Вводные'!$B$297),0,('19_Расчет_аналитики'!S1431-'19_Расчет_аналитики'!S1459)*IF('01_Вводные'!$B$239="Да",MeanMinAge12+'19_Расчет_аналитики'!S1572*SUMIF(ThresholdAge12,"&lt;"&amp;'19_Расчет_аналитики'!S1572,WeightedRevAge12)-SUMIF(ThresholdAge12,"&lt;"&amp;'19_Расчет_аналитики'!S1572,WeightedMinAge12),MAX(CapacityAge12*'01_Вводные'!$B$218*'19_Расчет_аналитики'!S1572,MeanMinAge12)))</f>
        <v/>
      </c>
      <c r="T1515">
        <f>IF(OR(('19_Расчет_аналитики'!T1431-'19_Расчет_аналитики'!T1459)=0,12&lt;='01_Вводные'!$B$297),0,('19_Расчет_аналитики'!T1431-'19_Расчет_аналитики'!T1459)*IF('01_Вводные'!$B$239="Да",MeanMinAge12+'19_Расчет_аналитики'!T1572*SUMIF(ThresholdAge12,"&lt;"&amp;'19_Расчет_аналитики'!T1572,WeightedRevAge12)-SUMIF(ThresholdAge12,"&lt;"&amp;'19_Расчет_аналитики'!T1572,WeightedMinAge12),MAX(CapacityAge12*'01_Вводные'!$B$218*'19_Расчет_аналитики'!T1572,MeanMinAge12)))</f>
        <v/>
      </c>
      <c r="U1515">
        <f>IF(OR(('19_Расчет_аналитики'!U1431-'19_Расчет_аналитики'!U1459)=0,12&lt;='01_Вводные'!$B$297),0,('19_Расчет_аналитики'!U1431-'19_Расчет_аналитики'!U1459)*IF('01_Вводные'!$B$239="Да",MeanMinAge12+'19_Расчет_аналитики'!U1572*SUMIF(ThresholdAge12,"&lt;"&amp;'19_Расчет_аналитики'!U1572,WeightedRevAge12)-SUMIF(ThresholdAge12,"&lt;"&amp;'19_Расчет_аналитики'!U1572,WeightedMinAge12),MAX(CapacityAge12*'01_Вводные'!$B$218*'19_Расчет_аналитики'!U1572,MeanMinAge12)))</f>
        <v/>
      </c>
      <c r="V1515">
        <f>IF(OR(('19_Расчет_аналитики'!V1431-'19_Расчет_аналитики'!V1459)=0,12&lt;='01_Вводные'!$B$297),0,('19_Расчет_аналитики'!V1431-'19_Расчет_аналитики'!V1459)*IF('01_Вводные'!$B$239="Да",MeanMinAge12+'19_Расчет_аналитики'!V1572*SUMIF(ThresholdAge12,"&lt;"&amp;'19_Расчет_аналитики'!V1572,WeightedRevAge12)-SUMIF(ThresholdAge12,"&lt;"&amp;'19_Расчет_аналитики'!V1572,WeightedMinAge12),MAX(CapacityAge12*'01_Вводные'!$B$218*'19_Расчет_аналитики'!V1572,MeanMinAge12)))</f>
        <v/>
      </c>
      <c r="W1515">
        <f>IF(OR(('19_Расчет_аналитики'!W1431-'19_Расчет_аналитики'!W1459)=0,12&lt;='01_Вводные'!$B$297),0,('19_Расчет_аналитики'!W1431-'19_Расчет_аналитики'!W1459)*IF('01_Вводные'!$B$239="Да",MeanMinAge12+'19_Расчет_аналитики'!W1572*SUMIF(ThresholdAge12,"&lt;"&amp;'19_Расчет_аналитики'!W1572,WeightedRevAge12)-SUMIF(ThresholdAge12,"&lt;"&amp;'19_Расчет_аналитики'!W1572,WeightedMinAge12),MAX(CapacityAge12*'01_Вводные'!$B$218*'19_Расчет_аналитики'!W1572,MeanMinAge12)))</f>
        <v/>
      </c>
      <c r="X1515">
        <f>IF(OR(('19_Расчет_аналитики'!X1431-'19_Расчет_аналитики'!X1459)=0,12&lt;='01_Вводные'!$B$297),0,('19_Расчет_аналитики'!X1431-'19_Расчет_аналитики'!X1459)*IF('01_Вводные'!$B$239="Да",MeanMinAge12+'19_Расчет_аналитики'!X1572*SUMIF(ThresholdAge12,"&lt;"&amp;'19_Расчет_аналитики'!X1572,WeightedRevAge12)-SUMIF(ThresholdAge12,"&lt;"&amp;'19_Расчет_аналитики'!X1572,WeightedMinAge12),MAX(CapacityAge12*'01_Вводные'!$B$218*'19_Расчет_аналитики'!X1572,MeanMinAge12)))</f>
        <v/>
      </c>
      <c r="Y1515">
        <f>IF(OR(('19_Расчет_аналитики'!Y1431-'19_Расчет_аналитики'!Y1459)=0,12&lt;='01_Вводные'!$B$297),0,('19_Расчет_аналитики'!Y1431-'19_Расчет_аналитики'!Y1459)*IF('01_Вводные'!$B$239="Да",MeanMinAge12+'19_Расчет_аналитики'!Y1572*SUMIF(ThresholdAge12,"&lt;"&amp;'19_Расчет_аналитики'!Y1572,WeightedRevAge12)-SUMIF(ThresholdAge12,"&lt;"&amp;'19_Расчет_аналитики'!Y1572,WeightedMinAge12),MAX(CapacityAge12*'01_Вводные'!$B$218*'19_Расчет_аналитики'!Y1572,MeanMinAge12)))</f>
        <v/>
      </c>
      <c r="Z1515">
        <f>IF(OR(('19_Расчет_аналитики'!Z1431-'19_Расчет_аналитики'!Z1459)=0,12&lt;='01_Вводные'!$B$297),0,('19_Расчет_аналитики'!Z1431-'19_Расчет_аналитики'!Z1459)*IF('01_Вводные'!$B$239="Да",MeanMinAge12+'19_Расчет_аналитики'!Z1572*SUMIF(ThresholdAge12,"&lt;"&amp;'19_Расчет_аналитики'!Z1572,WeightedRevAge12)-SUMIF(ThresholdAge12,"&lt;"&amp;'19_Расчет_аналитики'!Z1572,WeightedMinAge12),MAX(CapacityAge12*'01_Вводные'!$B$218*'19_Расчет_аналитики'!Z1572,MeanMinAge12)))</f>
        <v/>
      </c>
      <c r="AA1515">
        <f>IF(OR(('19_Расчет_аналитики'!AA1431-'19_Расчет_аналитики'!AA1459)=0,12&lt;='01_Вводные'!$B$297),0,('19_Расчет_аналитики'!AA1431-'19_Расчет_аналитики'!AA1459)*IF('01_Вводные'!$B$239="Да",MeanMinAge12+'19_Расчет_аналитики'!AA1572*SUMIF(ThresholdAge12,"&lt;"&amp;'19_Расчет_аналитики'!AA1572,WeightedRevAge12)-SUMIF(ThresholdAge12,"&lt;"&amp;'19_Расчет_аналитики'!AA1572,WeightedMinAge12),MAX(CapacityAge12*'01_Вводные'!$B$218*'19_Расчет_аналитики'!AA1572,MeanMinAge12)))</f>
        <v/>
      </c>
      <c r="AB1515">
        <f>IF(OR(('19_Расчет_аналитики'!AB1431-'19_Расчет_аналитики'!AB1459)=0,12&lt;='01_Вводные'!$B$297),0,('19_Расчет_аналитики'!AB1431-'19_Расчет_аналитики'!AB1459)*IF('01_Вводные'!$B$239="Да",MeanMinAge12+'19_Расчет_аналитики'!AB1572*SUMIF(ThresholdAge12,"&lt;"&amp;'19_Расчет_аналитики'!AB1572,WeightedRevAge12)-SUMIF(ThresholdAge12,"&lt;"&amp;'19_Расчет_аналитики'!AB1572,WeightedMinAge12),MAX(CapacityAge12*'01_Вводные'!$B$218*'19_Расчет_аналитики'!AB1572,MeanMinAge12)))</f>
        <v/>
      </c>
      <c r="AC1515">
        <f>IF(OR(('19_Расчет_аналитики'!AC1431-'19_Расчет_аналитики'!AC1459)=0,12&lt;='01_Вводные'!$B$297),0,('19_Расчет_аналитики'!AC1431-'19_Расчет_аналитики'!AC1459)*IF('01_Вводные'!$B$239="Да",MeanMinAge12+'19_Расчет_аналитики'!AC1572*SUMIF(ThresholdAge12,"&lt;"&amp;'19_Расчет_аналитики'!AC1572,WeightedRevAge12)-SUMIF(ThresholdAge12,"&lt;"&amp;'19_Расчет_аналитики'!AC1572,WeightedMinAge12),MAX(CapacityAge12*'01_Вводные'!$B$218*'19_Расчет_аналитики'!AC1572,MeanMinAge12)))</f>
        <v/>
      </c>
      <c r="AD1515">
        <f>IF(OR(('19_Расчет_аналитики'!AD1431-'19_Расчет_аналитики'!AD1459)=0,12&lt;='01_Вводные'!$B$297),0,('19_Расчет_аналитики'!AD1431-'19_Расчет_аналитики'!AD1459)*IF('01_Вводные'!$B$239="Да",MeanMinAge12+'19_Расчет_аналитики'!AD1572*SUMIF(ThresholdAge12,"&lt;"&amp;'19_Расчет_аналитики'!AD1572,WeightedRevAge12)-SUMIF(ThresholdAge12,"&lt;"&amp;'19_Расчет_аналитики'!AD1572,WeightedMinAge12),MAX(CapacityAge12*'01_Вводные'!$B$218*'19_Расчет_аналитики'!AD1572,MeanMinAge12)))</f>
        <v/>
      </c>
      <c r="AE1515">
        <f>IF(OR(('19_Расчет_аналитики'!AE1431-'19_Расчет_аналитики'!AE1459)=0,12&lt;='01_Вводные'!$B$297),0,('19_Расчет_аналитики'!AE1431-'19_Расчет_аналитики'!AE1459)*IF('01_Вводные'!$B$239="Да",MeanMinAge12+'19_Расчет_аналитики'!AE1572*SUMIF(ThresholdAge12,"&lt;"&amp;'19_Расчет_аналитики'!AE1572,WeightedRevAge12)-SUMIF(ThresholdAge12,"&lt;"&amp;'19_Расчет_аналитики'!AE1572,WeightedMinAge12),MAX(CapacityAge12*'01_Вводные'!$B$218*'19_Расчет_аналитики'!AE1572,MeanMinAge12)))</f>
        <v/>
      </c>
      <c r="AF1515">
        <f>IF(OR(('19_Расчет_аналитики'!AF1431-'19_Расчет_аналитики'!AF1459)=0,12&lt;='01_Вводные'!$B$297),0,('19_Расчет_аналитики'!AF1431-'19_Расчет_аналитики'!AF1459)*IF('01_Вводные'!$B$239="Да",MeanMinAge12+'19_Расчет_аналитики'!AF1572*SUMIF(ThresholdAge12,"&lt;"&amp;'19_Расчет_аналитики'!AF1572,WeightedRevAge12)-SUMIF(ThresholdAge12,"&lt;"&amp;'19_Расчет_аналитики'!AF1572,WeightedMinAge12),MAX(CapacityAge12*'01_Вводные'!$B$218*'19_Расчет_аналитики'!AF1572,MeanMinAge12)))</f>
        <v/>
      </c>
      <c r="AG1515">
        <f>IF(OR(('19_Расчет_аналитики'!AG1431-'19_Расчет_аналитики'!AG1459)=0,12&lt;='01_Вводные'!$B$297),0,('19_Расчет_аналитики'!AG1431-'19_Расчет_аналитики'!AG1459)*IF('01_Вводные'!$B$239="Да",MeanMinAge12+'19_Расчет_аналитики'!AG1572*SUMIF(ThresholdAge12,"&lt;"&amp;'19_Расчет_аналитики'!AG1572,WeightedRevAge12)-SUMIF(ThresholdAge12,"&lt;"&amp;'19_Расчет_аналитики'!AG1572,WeightedMinAge12),MAX(CapacityAge12*'01_Вводные'!$B$218*'19_Расчет_аналитики'!AG1572,MeanMinAge12)))</f>
        <v/>
      </c>
      <c r="AH1515">
        <f>IF(OR(('19_Расчет_аналитики'!AH1431-'19_Расчет_аналитики'!AH1459)=0,12&lt;='01_Вводные'!$B$297),0,('19_Расчет_аналитики'!AH1431-'19_Расчет_аналитики'!AH1459)*IF('01_Вводные'!$B$239="Да",MeanMinAge12+'19_Расчет_аналитики'!AH1572*SUMIF(ThresholdAge12,"&lt;"&amp;'19_Расчет_аналитики'!AH1572,WeightedRevAge12)-SUMIF(ThresholdAge12,"&lt;"&amp;'19_Расчет_аналитики'!AH1572,WeightedMinAge12),MAX(CapacityAge12*'01_Вводные'!$B$218*'19_Расчет_аналитики'!AH1572,MeanMinAge12)))</f>
        <v/>
      </c>
      <c r="AI1515">
        <f>IF(OR(('19_Расчет_аналитики'!AI1431-'19_Расчет_аналитики'!AI1459)=0,12&lt;='01_Вводные'!$B$297),0,('19_Расчет_аналитики'!AI1431-'19_Расчет_аналитики'!AI1459)*IF('01_Вводные'!$B$239="Да",MeanMinAge12+'19_Расчет_аналитики'!AI1572*SUMIF(ThresholdAge12,"&lt;"&amp;'19_Расчет_аналитики'!AI1572,WeightedRevAge12)-SUMIF(ThresholdAge12,"&lt;"&amp;'19_Расчет_аналитики'!AI1572,WeightedMinAge12),MAX(CapacityAge12*'01_Вводные'!$B$218*'19_Расчет_аналитики'!AI1572,MeanMinAge12)))</f>
        <v/>
      </c>
      <c r="AJ1515">
        <f>IF(OR(('19_Расчет_аналитики'!AJ1431-'19_Расчет_аналитики'!AJ1459)=0,12&lt;='01_Вводные'!$B$297),0,('19_Расчет_аналитики'!AJ1431-'19_Расчет_аналитики'!AJ1459)*IF('01_Вводные'!$B$239="Да",MeanMinAge12+'19_Расчет_аналитики'!AJ1572*SUMIF(ThresholdAge12,"&lt;"&amp;'19_Расчет_аналитики'!AJ1572,WeightedRevAge12)-SUMIF(ThresholdAge12,"&lt;"&amp;'19_Расчет_аналитики'!AJ1572,WeightedMinAge12),MAX(CapacityAge12*'01_Вводные'!$B$218*'19_Расчет_аналитики'!AJ1572,MeanMinAge12)))</f>
        <v/>
      </c>
      <c r="AK1515">
        <f>IF(OR(('19_Расчет_аналитики'!AK1431-'19_Расчет_аналитики'!AK1459)=0,12&lt;='01_Вводные'!$B$297),0,('19_Расчет_аналитики'!AK1431-'19_Расчет_аналитики'!AK1459)*IF('01_Вводные'!$B$239="Да",MeanMinAge12+'19_Расчет_аналитики'!AK1572*SUMIF(ThresholdAge12,"&lt;"&amp;'19_Расчет_аналитики'!AK1572,WeightedRevAge12)-SUMIF(ThresholdAge12,"&lt;"&amp;'19_Расчет_аналитики'!AK1572,WeightedMinAge12),MAX(CapacityAge12*'01_Вводные'!$B$218*'19_Расчет_аналитики'!AK1572,MeanMinAge12)))</f>
        <v/>
      </c>
      <c r="AL1515">
        <f>IF(OR(('19_Расчет_аналитики'!AL1431-'19_Расчет_аналитики'!AL1459)=0,12&lt;='01_Вводные'!$B$297),0,('19_Расчет_аналитики'!AL1431-'19_Расчет_аналитики'!AL1459)*IF('01_Вводные'!$B$239="Да",MeanMinAge12+'19_Расчет_аналитики'!AL1572*SUMIF(ThresholdAge12,"&lt;"&amp;'19_Расчет_аналитики'!AL1572,WeightedRevAge12)-SUMIF(ThresholdAge12,"&lt;"&amp;'19_Расчет_аналитики'!AL1572,WeightedMinAge12),MAX(CapacityAge12*'01_Вводные'!$B$218*'19_Расчет_аналитики'!AL1572,MeanMinAge12)))</f>
        <v/>
      </c>
      <c r="AM1515">
        <f>IF(OR(('19_Расчет_аналитики'!AM1431-'19_Расчет_аналитики'!AM1459)=0,12&lt;='01_Вводные'!$B$297),0,('19_Расчет_аналитики'!AM1431-'19_Расчет_аналитики'!AM1459)*IF('01_Вводные'!$B$239="Да",MeanMinAge12+'19_Расчет_аналитики'!AM1572*SUMIF(ThresholdAge12,"&lt;"&amp;'19_Расчет_аналитики'!AM1572,WeightedRevAge12)-SUMIF(ThresholdAge12,"&lt;"&amp;'19_Расчет_аналитики'!AM1572,WeightedMinAge12),MAX(CapacityAge12*'01_Вводные'!$B$218*'19_Расчет_аналитики'!AM1572,MeanMinAge12)))</f>
        <v/>
      </c>
      <c r="AN1515">
        <f>IF(OR(('19_Расчет_аналитики'!AN1431-'19_Расчет_аналитики'!AN1459)=0,12&lt;='01_Вводные'!$B$297),0,('19_Расчет_аналитики'!AN1431-'19_Расчет_аналитики'!AN1459)*IF('01_Вводные'!$B$239="Да",MeanMinAge12+'19_Расчет_аналитики'!AN1572*SUMIF(ThresholdAge12,"&lt;"&amp;'19_Расчет_аналитики'!AN1572,WeightedRevAge12)-SUMIF(ThresholdAge12,"&lt;"&amp;'19_Расчет_аналитики'!AN1572,WeightedMinAge12),MAX(CapacityAge12*'01_Вводные'!$B$218*'19_Расчет_аналитики'!AN1572,MeanMinAge12)))</f>
        <v/>
      </c>
      <c r="AO1515">
        <f>IF(OR(('19_Расчет_аналитики'!AO1431-'19_Расчет_аналитики'!AO1459)=0,12&lt;='01_Вводные'!$B$297),0,('19_Расчет_аналитики'!AO1431-'19_Расчет_аналитики'!AO1459)*IF('01_Вводные'!$B$239="Да",MeanMinAge12+'19_Расчет_аналитики'!AO1572*SUMIF(ThresholdAge12,"&lt;"&amp;'19_Расчет_аналитики'!AO1572,WeightedRevAge12)-SUMIF(ThresholdAge12,"&lt;"&amp;'19_Расчет_аналитики'!AO1572,WeightedMinAge12),MAX(CapacityAge12*'01_Вводные'!$B$218*'19_Расчет_аналитики'!AO1572,MeanMinAge12)))</f>
        <v/>
      </c>
      <c r="AP1515">
        <f>IF(OR(('19_Расчет_аналитики'!AP1431-'19_Расчет_аналитики'!AP1459)=0,12&lt;='01_Вводные'!$B$297),0,('19_Расчет_аналитики'!AP1431-'19_Расчет_аналитики'!AP1459)*IF('01_Вводные'!$B$239="Да",MeanMinAge12+'19_Расчет_аналитики'!AP1572*SUMIF(ThresholdAge12,"&lt;"&amp;'19_Расчет_аналитики'!AP1572,WeightedRevAge12)-SUMIF(ThresholdAge12,"&lt;"&amp;'19_Расчет_аналитики'!AP1572,WeightedMinAge12),MAX(CapacityAge12*'01_Вводные'!$B$218*'19_Расчет_аналитики'!AP1572,MeanMinAge12)))</f>
        <v/>
      </c>
      <c r="AQ1515">
        <f>IF(OR(('19_Расчет_аналитики'!AQ1431-'19_Расчет_аналитики'!AQ1459)=0,12&lt;='01_Вводные'!$B$297),0,('19_Расчет_аналитики'!AQ1431-'19_Расчет_аналитики'!AQ1459)*IF('01_Вводные'!$B$239="Да",MeanMinAge12+'19_Расчет_аналитики'!AQ1572*SUMIF(ThresholdAge12,"&lt;"&amp;'19_Расчет_аналитики'!AQ1572,WeightedRevAge12)-SUMIF(ThresholdAge12,"&lt;"&amp;'19_Расчет_аналитики'!AQ1572,WeightedMinAge12),MAX(CapacityAge12*'01_Вводные'!$B$218*'19_Расчет_аналитики'!AQ1572,MeanMinAge12)))</f>
        <v/>
      </c>
      <c r="AR1515">
        <f>IF(OR(('19_Расчет_аналитики'!AR1431-'19_Расчет_аналитики'!AR1459)=0,12&lt;='01_Вводные'!$B$297),0,('19_Расчет_аналитики'!AR1431-'19_Расчет_аналитики'!AR1459)*IF('01_Вводные'!$B$239="Да",MeanMinAge12+'19_Расчет_аналитики'!AR1572*SUMIF(ThresholdAge12,"&lt;"&amp;'19_Расчет_аналитики'!AR1572,WeightedRevAge12)-SUMIF(ThresholdAge12,"&lt;"&amp;'19_Расчет_аналитики'!AR1572,WeightedMinAge12),MAX(CapacityAge12*'01_Вводные'!$B$218*'19_Расчет_аналитики'!AR1572,MeanMinAge12)))</f>
        <v/>
      </c>
      <c r="AS1515">
        <f>IF(OR(('19_Расчет_аналитики'!AS1431-'19_Расчет_аналитики'!AS1459)=0,12&lt;='01_Вводные'!$B$297),0,('19_Расчет_аналитики'!AS1431-'19_Расчет_аналитики'!AS1459)*IF('01_Вводные'!$B$239="Да",MeanMinAge12+'19_Расчет_аналитики'!AS1572*SUMIF(ThresholdAge12,"&lt;"&amp;'19_Расчет_аналитики'!AS1572,WeightedRevAge12)-SUMIF(ThresholdAge12,"&lt;"&amp;'19_Расчет_аналитики'!AS1572,WeightedMinAge12),MAX(CapacityAge12*'01_Вводные'!$B$218*'19_Расчет_аналитики'!AS1572,MeanMinAge12)))</f>
        <v/>
      </c>
      <c r="AT1515">
        <f>IF(OR(('19_Расчет_аналитики'!AT1431-'19_Расчет_аналитики'!AT1459)=0,12&lt;='01_Вводные'!$B$297),0,('19_Расчет_аналитики'!AT1431-'19_Расчет_аналитики'!AT1459)*IF('01_Вводные'!$B$239="Да",MeanMinAge12+'19_Расчет_аналитики'!AT1572*SUMIF(ThresholdAge12,"&lt;"&amp;'19_Расчет_аналитики'!AT1572,WeightedRevAge12)-SUMIF(ThresholdAge12,"&lt;"&amp;'19_Расчет_аналитики'!AT1572,WeightedMinAge12),MAX(CapacityAge12*'01_Вводные'!$B$218*'19_Расчет_аналитики'!AT1572,MeanMinAge12)))</f>
        <v/>
      </c>
      <c r="AU1515">
        <f>IF(OR(('19_Расчет_аналитики'!AU1431-'19_Расчет_аналитики'!AU1459)=0,12&lt;='01_Вводные'!$B$297),0,('19_Расчет_аналитики'!AU1431-'19_Расчет_аналитики'!AU1459)*IF('01_Вводные'!$B$239="Да",MeanMinAge12+'19_Расчет_аналитики'!AU1572*SUMIF(ThresholdAge12,"&lt;"&amp;'19_Расчет_аналитики'!AU1572,WeightedRevAge12)-SUMIF(ThresholdAge12,"&lt;"&amp;'19_Расчет_аналитики'!AU1572,WeightedMinAge12),MAX(CapacityAge12*'01_Вводные'!$B$218*'19_Расчет_аналитики'!AU1572,MeanMinAge12)))</f>
        <v/>
      </c>
      <c r="AV1515">
        <f>IF(OR(('19_Расчет_аналитики'!AV1431-'19_Расчет_аналитики'!AV1459)=0,12&lt;='01_Вводные'!$B$297),0,('19_Расчет_аналитики'!AV1431-'19_Расчет_аналитики'!AV1459)*IF('01_Вводные'!$B$239="Да",MeanMinAge12+'19_Расчет_аналитики'!AV1572*SUMIF(ThresholdAge12,"&lt;"&amp;'19_Расчет_аналитики'!AV1572,WeightedRevAge12)-SUMIF(ThresholdAge12,"&lt;"&amp;'19_Расчет_аналитики'!AV1572,WeightedMinAge12),MAX(CapacityAge12*'01_Вводные'!$B$218*'19_Расчет_аналитики'!AV1572,MeanMinAge12)))</f>
        <v/>
      </c>
      <c r="AW1515">
        <f>IF(OR(('19_Расчет_аналитики'!AW1431-'19_Расчет_аналитики'!AW1459)=0,12&lt;='01_Вводные'!$B$297),0,('19_Расчет_аналитики'!AW1431-'19_Расчет_аналитики'!AW1459)*IF('01_Вводные'!$B$239="Да",MeanMinAge12+'19_Расчет_аналитики'!AW1572*SUMIF(ThresholdAge12,"&lt;"&amp;'19_Расчет_аналитики'!AW1572,WeightedRevAge12)-SUMIF(ThresholdAge12,"&lt;"&amp;'19_Расчет_аналитики'!AW1572,WeightedMinAge12),MAX(CapacityAge12*'01_Вводные'!$B$218*'19_Расчет_аналитики'!AW1572,MeanMinAge12)))</f>
        <v/>
      </c>
      <c r="AX1515">
        <f>IF(OR(('19_Расчет_аналитики'!AX1431-'19_Расчет_аналитики'!AX1459)=0,12&lt;='01_Вводные'!$B$297),0,('19_Расчет_аналитики'!AX1431-'19_Расчет_аналитики'!AX1459)*IF('01_Вводные'!$B$239="Да",MeanMinAge12+'19_Расчет_аналитики'!AX1572*SUMIF(ThresholdAge12,"&lt;"&amp;'19_Расчет_аналитики'!AX1572,WeightedRevAge12)-SUMIF(ThresholdAge12,"&lt;"&amp;'19_Расчет_аналитики'!AX1572,WeightedMinAge12),MAX(CapacityAge12*'01_Вводные'!$B$218*'19_Расчет_аналитики'!AX1572,MeanMinAge12)))</f>
        <v/>
      </c>
      <c r="AY1515">
        <f>IF(OR(('19_Расчет_аналитики'!AY1431-'19_Расчет_аналитики'!AY1459)=0,12&lt;='01_Вводные'!$B$297),0,('19_Расчет_аналитики'!AY1431-'19_Расчет_аналитики'!AY1459)*IF('01_Вводные'!$B$239="Да",MeanMinAge12+'19_Расчет_аналитики'!AY1572*SUMIF(ThresholdAge12,"&lt;"&amp;'19_Расчет_аналитики'!AY1572,WeightedRevAge12)-SUMIF(ThresholdAge12,"&lt;"&amp;'19_Расчет_аналитики'!AY1572,WeightedMinAge12),MAX(CapacityAge12*'01_Вводные'!$B$218*'19_Расчет_аналитики'!AY1572,MeanMinAge12)))</f>
        <v/>
      </c>
      <c r="AZ1515">
        <f>IF(OR(('19_Расчет_аналитики'!AZ1431-'19_Расчет_аналитики'!AZ1459)=0,12&lt;='01_Вводные'!$B$297),0,('19_Расчет_аналитики'!AZ1431-'19_Расчет_аналитики'!AZ1459)*IF('01_Вводные'!$B$239="Да",MeanMinAge12+'19_Расчет_аналитики'!AZ1572*SUMIF(ThresholdAge12,"&lt;"&amp;'19_Расчет_аналитики'!AZ1572,WeightedRevAge12)-SUMIF(ThresholdAge12,"&lt;"&amp;'19_Расчет_аналитики'!AZ1572,WeightedMinAge12),MAX(CapacityAge12*'01_Вводные'!$B$218*'19_Расчет_аналитики'!AZ1572,MeanMinAge12)))</f>
        <v/>
      </c>
      <c r="BA1515">
        <f>IF(OR(('19_Расчет_аналитики'!BA1431-'19_Расчет_аналитики'!BA1459)=0,12&lt;='01_Вводные'!$B$297),0,('19_Расчет_аналитики'!BA1431-'19_Расчет_аналитики'!BA1459)*IF('01_Вводные'!$B$239="Да",MeanMinAge12+'19_Расчет_аналитики'!BA1572*SUMIF(ThresholdAge12,"&lt;"&amp;'19_Расчет_аналитики'!BA1572,WeightedRevAge12)-SUMIF(ThresholdAge12,"&lt;"&amp;'19_Расчет_аналитики'!BA1572,WeightedMinAge12),MAX(CapacityAge12*'01_Вводные'!$B$218*'19_Расчет_аналитики'!BA1572,MeanMinAge12)))</f>
        <v/>
      </c>
      <c r="BB1515">
        <f>IF(OR(('19_Расчет_аналитики'!BB1431-'19_Расчет_аналитики'!BB1459)=0,12&lt;='01_Вводные'!$B$297),0,('19_Расчет_аналитики'!BB1431-'19_Расчет_аналитики'!BB1459)*IF('01_Вводные'!$B$239="Да",MeanMinAge12+'19_Расчет_аналитики'!BB1572*SUMIF(ThresholdAge12,"&lt;"&amp;'19_Расчет_аналитики'!BB1572,WeightedRevAge12)-SUMIF(ThresholdAge12,"&lt;"&amp;'19_Расчет_аналитики'!BB1572,WeightedMinAge12),MAX(CapacityAge12*'01_Вводные'!$B$218*'19_Расчет_аналитики'!BB1572,MeanMinAge12)))</f>
        <v/>
      </c>
      <c r="BC1515">
        <f>IF(OR(('19_Расчет_аналитики'!BC1431-'19_Расчет_аналитики'!BC1459)=0,12&lt;='01_Вводные'!$B$297),0,('19_Расчет_аналитики'!BC1431-'19_Расчет_аналитики'!BC1459)*IF('01_Вводные'!$B$239="Да",MeanMinAge12+'19_Расчет_аналитики'!BC1572*SUMIF(ThresholdAge12,"&lt;"&amp;'19_Расчет_аналитики'!BC1572,WeightedRevAge12)-SUMIF(ThresholdAge12,"&lt;"&amp;'19_Расчет_аналитики'!BC1572,WeightedMinAge12),MAX(CapacityAge12*'01_Вводные'!$B$218*'19_Расчет_аналитики'!BC1572,MeanMinAge12)))</f>
        <v/>
      </c>
      <c r="BD1515">
        <f>IF(OR(('19_Расчет_аналитики'!BD1431-'19_Расчет_аналитики'!BD1459)=0,12&lt;='01_Вводные'!$B$297),0,('19_Расчет_аналитики'!BD1431-'19_Расчет_аналитики'!BD1459)*IF('01_Вводные'!$B$239="Да",MeanMinAge12+'19_Расчет_аналитики'!BD1572*SUMIF(ThresholdAge12,"&lt;"&amp;'19_Расчет_аналитики'!BD1572,WeightedRevAge12)-SUMIF(ThresholdAge12,"&lt;"&amp;'19_Расчет_аналитики'!BD1572,WeightedMinAge12),MAX(CapacityAge12*'01_Вводные'!$B$218*'19_Расчет_аналитики'!BD1572,MeanMinAge12)))</f>
        <v/>
      </c>
      <c r="BE1515">
        <f>IF(OR(('19_Расчет_аналитики'!BE1431-'19_Расчет_аналитики'!BE1459)=0,12&lt;='01_Вводные'!$B$297),0,('19_Расчет_аналитики'!BE1431-'19_Расчет_аналитики'!BE1459)*IF('01_Вводные'!$B$239="Да",MeanMinAge12+'19_Расчет_аналитики'!BE1572*SUMIF(ThresholdAge12,"&lt;"&amp;'19_Расчет_аналитики'!BE1572,WeightedRevAge12)-SUMIF(ThresholdAge12,"&lt;"&amp;'19_Расчет_аналитики'!BE1572,WeightedMinAge12),MAX(CapacityAge12*'01_Вводные'!$B$218*'19_Расчет_аналитики'!BE1572,MeanMinAge12)))</f>
        <v/>
      </c>
      <c r="BF1515">
        <f>IF(OR(('19_Расчет_аналитики'!BF1431-'19_Расчет_аналитики'!BF1459)=0,12&lt;='01_Вводные'!$B$297),0,('19_Расчет_аналитики'!BF1431-'19_Расчет_аналитики'!BF1459)*IF('01_Вводные'!$B$239="Да",MeanMinAge12+'19_Расчет_аналитики'!BF1572*SUMIF(ThresholdAge12,"&lt;"&amp;'19_Расчет_аналитики'!BF1572,WeightedRevAge12)-SUMIF(ThresholdAge12,"&lt;"&amp;'19_Расчет_аналитики'!BF1572,WeightedMinAge12),MAX(CapacityAge12*'01_Вводные'!$B$218*'19_Расчет_аналитики'!BF1572,MeanMinAge12)))</f>
        <v/>
      </c>
      <c r="BG1515">
        <f>IF(OR(('19_Расчет_аналитики'!BG1431-'19_Расчет_аналитики'!BG1459)=0,12&lt;='01_Вводные'!$B$297),0,('19_Расчет_аналитики'!BG1431-'19_Расчет_аналитики'!BG1459)*IF('01_Вводные'!$B$239="Да",MeanMinAge12+'19_Расчет_аналитики'!BG1572*SUMIF(ThresholdAge12,"&lt;"&amp;'19_Расчет_аналитики'!BG1572,WeightedRevAge12)-SUMIF(ThresholdAge12,"&lt;"&amp;'19_Расчет_аналитики'!BG1572,WeightedMinAge12),MAX(CapacityAge12*'01_Вводные'!$B$218*'19_Расчет_аналитики'!BG1572,MeanMinAge12)))</f>
        <v/>
      </c>
      <c r="BH1515">
        <f>IF(OR(('19_Расчет_аналитики'!BH1431-'19_Расчет_аналитики'!BH1459)=0,12&lt;='01_Вводные'!$B$297),0,('19_Расчет_аналитики'!BH1431-'19_Расчет_аналитики'!BH1459)*IF('01_Вводные'!$B$239="Да",MeanMinAge12+'19_Расчет_аналитики'!BH1572*SUMIF(ThresholdAge12,"&lt;"&amp;'19_Расчет_аналитики'!BH1572,WeightedRevAge12)-SUMIF(ThresholdAge12,"&lt;"&amp;'19_Расчет_аналитики'!BH1572,WeightedMinAge12),MAX(CapacityAge12*'01_Вводные'!$B$218*'19_Расчет_аналитики'!BH1572,MeanMinAge12)))</f>
        <v/>
      </c>
      <c r="BI1515">
        <f>IF(OR(('19_Расчет_аналитики'!BI1431-'19_Расчет_аналитики'!BI1459)=0,12&lt;='01_Вводные'!$B$297),0,('19_Расчет_аналитики'!BI1431-'19_Расчет_аналитики'!BI1459)*IF('01_Вводные'!$B$239="Да",MeanMinAge12+'19_Расчет_аналитики'!BI1572*SUMIF(ThresholdAge12,"&lt;"&amp;'19_Расчет_аналитики'!BI1572,WeightedRevAge12)-SUMIF(ThresholdAge12,"&lt;"&amp;'19_Расчет_аналитики'!BI1572,WeightedMinAge12),MAX(CapacityAge12*'01_Вводные'!$B$218*'19_Расчет_аналитики'!BI1572,MeanMinAge12)))</f>
        <v/>
      </c>
      <c r="BJ1515">
        <f>IF(OR(('19_Расчет_аналитики'!BJ1431-'19_Расчет_аналитики'!BJ1459)=0,12&lt;='01_Вводные'!$B$297),0,('19_Расчет_аналитики'!BJ1431-'19_Расчет_аналитики'!BJ1459)*IF('01_Вводные'!$B$239="Да",MeanMinAge12+'19_Расчет_аналитики'!BJ1572*SUMIF(ThresholdAge12,"&lt;"&amp;'19_Расчет_аналитики'!BJ1572,WeightedRevAge12)-SUMIF(ThresholdAge12,"&lt;"&amp;'19_Расчет_аналитики'!BJ1572,WeightedMinAge12),MAX(CapacityAge12*'01_Вводные'!$B$218*'19_Расчет_аналитики'!BJ1572,MeanMinAge12)))</f>
        <v/>
      </c>
      <c r="BK1515">
        <f>IF(OR(('19_Расчет_аналитики'!BK1431-'19_Расчет_аналитики'!BK1459)=0,12&lt;='01_Вводные'!$B$297),0,('19_Расчет_аналитики'!BK1431-'19_Расчет_аналитики'!BK1459)*IF('01_Вводные'!$B$239="Да",MeanMinAge12+'19_Расчет_аналитики'!BK1572*SUMIF(ThresholdAge12,"&lt;"&amp;'19_Расчет_аналитики'!BK1572,WeightedRevAge12)-SUMIF(ThresholdAge12,"&lt;"&amp;'19_Расчет_аналитики'!BK1572,WeightedMinAge12),MAX(CapacityAge12*'01_Вводные'!$B$218*'19_Расчет_аналитики'!BK1572,MeanMinAge12)))</f>
        <v/>
      </c>
      <c r="BL1515">
        <f>IF(OR(('19_Расчет_аналитики'!BL1431-'19_Расчет_аналитики'!BL1459)=0,12&lt;='01_Вводные'!$B$297),0,('19_Расчет_аналитики'!BL1431-'19_Расчет_аналитики'!BL1459)*IF('01_Вводные'!$B$239="Да",MeanMinAge12+'19_Расчет_аналитики'!BL1572*SUMIF(ThresholdAge12,"&lt;"&amp;'19_Расчет_аналитики'!BL1572,WeightedRevAge12)-SUMIF(ThresholdAge12,"&lt;"&amp;'19_Расчет_аналитики'!BL1572,WeightedMinAge12),MAX(CapacityAge12*'01_Вводные'!$B$218*'19_Расчет_аналитики'!BL1572,MeanMinAge12)))</f>
        <v/>
      </c>
      <c r="BM1515">
        <f>IF(OR(('19_Расчет_аналитики'!BM1431-'19_Расчет_аналитики'!BM1459)=0,12&lt;='01_Вводные'!$B$297),0,('19_Расчет_аналитики'!BM1431-'19_Расчет_аналитики'!BM1459)*IF('01_Вводные'!$B$239="Да",MeanMinAge12+'19_Расчет_аналитики'!BM1572*SUMIF(ThresholdAge12,"&lt;"&amp;'19_Расчет_аналитики'!BM1572,WeightedRevAge12)-SUMIF(ThresholdAge12,"&lt;"&amp;'19_Расчет_аналитики'!BM1572,WeightedMinAge12),MAX(CapacityAge12*'01_Вводные'!$B$218*'19_Расчет_аналитики'!BM1572,MeanMinAge12)))</f>
        <v/>
      </c>
      <c r="BN1515">
        <f>IF(OR(('19_Расчет_аналитики'!BN1431-'19_Расчет_аналитики'!BN1459)=0,12&lt;='01_Вводные'!$B$297),0,('19_Расчет_аналитики'!BN1431-'19_Расчет_аналитики'!BN1459)*IF('01_Вводные'!$B$239="Да",MeanMinAge12+'19_Расчет_аналитики'!BN1572*SUMIF(ThresholdAge12,"&lt;"&amp;'19_Расчет_аналитики'!BN1572,WeightedRevAge12)-SUMIF(ThresholdAge12,"&lt;"&amp;'19_Расчет_аналитики'!BN1572,WeightedMinAge12),MAX(CapacityAge12*'01_Вводные'!$B$218*'19_Расчет_аналитики'!BN1572,MeanMinAge12)))</f>
        <v/>
      </c>
      <c r="BO1515">
        <f>IF(OR(('19_Расчет_аналитики'!BO1431-'19_Расчет_аналитики'!BO1459)=0,12&lt;='01_Вводные'!$B$297),0,('19_Расчет_аналитики'!BO1431-'19_Расчет_аналитики'!BO1459)*IF('01_Вводные'!$B$239="Да",MeanMinAge12+'19_Расчет_аналитики'!BO1572*SUMIF(ThresholdAge12,"&lt;"&amp;'19_Расчет_аналитики'!BO1572,WeightedRevAge12)-SUMIF(ThresholdAge12,"&lt;"&amp;'19_Расчет_аналитики'!BO1572,WeightedMinAge12),MAX(CapacityAge12*'01_Вводные'!$B$218*'19_Расчет_аналитики'!BO1572,MeanMinAge12)))</f>
        <v/>
      </c>
    </row>
    <row r="1516">
      <c r="B1516">
        <f>IF(OR(('06_Сеть_и_дети'!B65-'06_Сеть_и_дети'!B93)=0,13&lt;='01_Вводные'!$B$297),0,('06_Сеть_и_дети'!B65-'06_Сеть_и_дети'!B93)*IF('01_Вводные'!$B$239="Да",MeanMinAge13+'19_Расчет_аналитики'!B1572*SUMIF(ThresholdAge13,"&lt;"&amp;'19_Расчет_аналитики'!B1572,WeightedRevAge13)-SUMIF(ThresholdAge13,"&lt;"&amp;'19_Расчет_аналитики'!B1572,WeightedMinAge13),MAX(CapacityAge13*'01_Вводные'!$B$218*'19_Расчет_аналитики'!B1572,MeanMinAge13)))</f>
        <v/>
      </c>
      <c r="C1516">
        <f>IF(OR(('06_Сеть_и_дети'!C65-'06_Сеть_и_дети'!C93)=0,13&lt;='01_Вводные'!$B$297),0,('06_Сеть_и_дети'!C65-'06_Сеть_и_дети'!C93)*IF('01_Вводные'!$B$239="Да",MeanMinAge13+'19_Расчет_аналитики'!C1572*SUMIF(ThresholdAge13,"&lt;"&amp;'19_Расчет_аналитики'!C1572,WeightedRevAge13)-SUMIF(ThresholdAge13,"&lt;"&amp;'19_Расчет_аналитики'!C1572,WeightedMinAge13),MAX(CapacityAge13*'01_Вводные'!$B$218*'19_Расчет_аналитики'!C1572,MeanMinAge13)))</f>
        <v/>
      </c>
      <c r="D1516">
        <f>IF(OR(('06_Сеть_и_дети'!D65-'06_Сеть_и_дети'!D93)=0,13&lt;='01_Вводные'!$B$297),0,('06_Сеть_и_дети'!D65-'06_Сеть_и_дети'!D93)*IF('01_Вводные'!$B$239="Да",MeanMinAge13+'19_Расчет_аналитики'!D1572*SUMIF(ThresholdAge13,"&lt;"&amp;'19_Расчет_аналитики'!D1572,WeightedRevAge13)-SUMIF(ThresholdAge13,"&lt;"&amp;'19_Расчет_аналитики'!D1572,WeightedMinAge13),MAX(CapacityAge13*'01_Вводные'!$B$218*'19_Расчет_аналитики'!D1572,MeanMinAge13)))</f>
        <v/>
      </c>
      <c r="E1516">
        <f>IF(OR(('06_Сеть_и_дети'!E65-'06_Сеть_и_дети'!E93)=0,13&lt;='01_Вводные'!$B$297),0,('06_Сеть_и_дети'!E65-'06_Сеть_и_дети'!E93)*IF('01_Вводные'!$B$239="Да",MeanMinAge13+'19_Расчет_аналитики'!E1572*SUMIF(ThresholdAge13,"&lt;"&amp;'19_Расчет_аналитики'!E1572,WeightedRevAge13)-SUMIF(ThresholdAge13,"&lt;"&amp;'19_Расчет_аналитики'!E1572,WeightedMinAge13),MAX(CapacityAge13*'01_Вводные'!$B$218*'19_Расчет_аналитики'!E1572,MeanMinAge13)))</f>
        <v/>
      </c>
      <c r="F1516">
        <f>IF(OR(('06_Сеть_и_дети'!F65-'06_Сеть_и_дети'!F93)=0,13&lt;='01_Вводные'!$B$297),0,('06_Сеть_и_дети'!F65-'06_Сеть_и_дети'!F93)*IF('01_Вводные'!$B$239="Да",MeanMinAge13+'19_Расчет_аналитики'!F1572*SUMIF(ThresholdAge13,"&lt;"&amp;'19_Расчет_аналитики'!F1572,WeightedRevAge13)-SUMIF(ThresholdAge13,"&lt;"&amp;'19_Расчет_аналитики'!F1572,WeightedMinAge13),MAX(CapacityAge13*'01_Вводные'!$B$218*'19_Расчет_аналитики'!F1572,MeanMinAge13)))</f>
        <v/>
      </c>
      <c r="G1516">
        <f>IF(OR(('06_Сеть_и_дети'!G65-'06_Сеть_и_дети'!G93)=0,13&lt;='01_Вводные'!$B$297),0,('06_Сеть_и_дети'!G65-'06_Сеть_и_дети'!G93)*IF('01_Вводные'!$B$239="Да",MeanMinAge13+'19_Расчет_аналитики'!G1572*SUMIF(ThresholdAge13,"&lt;"&amp;'19_Расчет_аналитики'!G1572,WeightedRevAge13)-SUMIF(ThresholdAge13,"&lt;"&amp;'19_Расчет_аналитики'!G1572,WeightedMinAge13),MAX(CapacityAge13*'01_Вводные'!$B$218*'19_Расчет_аналитики'!G1572,MeanMinAge13)))</f>
        <v/>
      </c>
      <c r="H1516">
        <f>IF(OR(('06_Сеть_и_дети'!H65-'06_Сеть_и_дети'!H93)=0,13&lt;='01_Вводные'!$B$297),0,('06_Сеть_и_дети'!H65-'06_Сеть_и_дети'!H93)*IF('01_Вводные'!$B$239="Да",MeanMinAge13+'19_Расчет_аналитики'!H1572*SUMIF(ThresholdAge13,"&lt;"&amp;'19_Расчет_аналитики'!H1572,WeightedRevAge13)-SUMIF(ThresholdAge13,"&lt;"&amp;'19_Расчет_аналитики'!H1572,WeightedMinAge13),MAX(CapacityAge13*'01_Вводные'!$B$218*'19_Расчет_аналитики'!H1572,MeanMinAge13)))</f>
        <v/>
      </c>
      <c r="I1516">
        <f>IF(OR(('06_Сеть_и_дети'!I65-'06_Сеть_и_дети'!I93)=0,13&lt;='01_Вводные'!$B$297),0,('06_Сеть_и_дети'!I65-'06_Сеть_и_дети'!I93)*IF('01_Вводные'!$B$239="Да",MeanMinAge13+'19_Расчет_аналитики'!I1572*SUMIF(ThresholdAge13,"&lt;"&amp;'19_Расчет_аналитики'!I1572,WeightedRevAge13)-SUMIF(ThresholdAge13,"&lt;"&amp;'19_Расчет_аналитики'!I1572,WeightedMinAge13),MAX(CapacityAge13*'01_Вводные'!$B$218*'19_Расчет_аналитики'!I1572,MeanMinAge13)))</f>
        <v/>
      </c>
      <c r="J1516">
        <f>IF(OR(('06_Сеть_и_дети'!J65-'06_Сеть_и_дети'!J93)=0,13&lt;='01_Вводные'!$B$297),0,('06_Сеть_и_дети'!J65-'06_Сеть_и_дети'!J93)*IF('01_Вводные'!$B$239="Да",MeanMinAge13+'19_Расчет_аналитики'!J1572*SUMIF(ThresholdAge13,"&lt;"&amp;'19_Расчет_аналитики'!J1572,WeightedRevAge13)-SUMIF(ThresholdAge13,"&lt;"&amp;'19_Расчет_аналитики'!J1572,WeightedMinAge13),MAX(CapacityAge13*'01_Вводные'!$B$218*'19_Расчет_аналитики'!J1572,MeanMinAge13)))</f>
        <v/>
      </c>
      <c r="K1516">
        <f>IF(OR(('06_Сеть_и_дети'!K65-'06_Сеть_и_дети'!K93)=0,13&lt;='01_Вводные'!$B$297),0,('06_Сеть_и_дети'!K65-'06_Сеть_и_дети'!K93)*IF('01_Вводные'!$B$239="Да",MeanMinAge13+'19_Расчет_аналитики'!K1572*SUMIF(ThresholdAge13,"&lt;"&amp;'19_Расчет_аналитики'!K1572,WeightedRevAge13)-SUMIF(ThresholdAge13,"&lt;"&amp;'19_Расчет_аналитики'!K1572,WeightedMinAge13),MAX(CapacityAge13*'01_Вводные'!$B$218*'19_Расчет_аналитики'!K1572,MeanMinAge13)))</f>
        <v/>
      </c>
      <c r="L1516">
        <f>IF(OR(('06_Сеть_и_дети'!L65-'06_Сеть_и_дети'!L93)=0,13&lt;='01_Вводные'!$B$297),0,('06_Сеть_и_дети'!L65-'06_Сеть_и_дети'!L93)*IF('01_Вводные'!$B$239="Да",MeanMinAge13+'19_Расчет_аналитики'!L1572*SUMIF(ThresholdAge13,"&lt;"&amp;'19_Расчет_аналитики'!L1572,WeightedRevAge13)-SUMIF(ThresholdAge13,"&lt;"&amp;'19_Расчет_аналитики'!L1572,WeightedMinAge13),MAX(CapacityAge13*'01_Вводные'!$B$218*'19_Расчет_аналитики'!L1572,MeanMinAge13)))</f>
        <v/>
      </c>
      <c r="M1516">
        <f>IF(OR(('06_Сеть_и_дети'!M65-'06_Сеть_и_дети'!M93)=0,13&lt;='01_Вводные'!$B$297),0,('06_Сеть_и_дети'!M65-'06_Сеть_и_дети'!M93)*IF('01_Вводные'!$B$239="Да",MeanMinAge13+'19_Расчет_аналитики'!M1572*SUMIF(ThresholdAge13,"&lt;"&amp;'19_Расчет_аналитики'!M1572,WeightedRevAge13)-SUMIF(ThresholdAge13,"&lt;"&amp;'19_Расчет_аналитики'!M1572,WeightedMinAge13),MAX(CapacityAge13*'01_Вводные'!$B$218*'19_Расчет_аналитики'!M1572,MeanMinAge13)))</f>
        <v/>
      </c>
      <c r="N1516">
        <f>IF(OR(('19_Расчет_аналитики'!N1432-'19_Расчет_аналитики'!N1460)=0,13&lt;='01_Вводные'!$B$297),0,('19_Расчет_аналитики'!N1432-'19_Расчет_аналитики'!N1460)*IF('01_Вводные'!$B$239="Да",MeanMinAge13+'19_Расчет_аналитики'!N1572*SUMIF(ThresholdAge13,"&lt;"&amp;'19_Расчет_аналитики'!N1572,WeightedRevAge13)-SUMIF(ThresholdAge13,"&lt;"&amp;'19_Расчет_аналитики'!N1572,WeightedMinAge13),MAX(CapacityAge13*'01_Вводные'!$B$218*'19_Расчет_аналитики'!N1572,MeanMinAge13)))</f>
        <v/>
      </c>
      <c r="O1516">
        <f>IF(OR(('19_Расчет_аналитики'!O1432-'19_Расчет_аналитики'!O1460)=0,13&lt;='01_Вводные'!$B$297),0,('19_Расчет_аналитики'!O1432-'19_Расчет_аналитики'!O1460)*IF('01_Вводные'!$B$239="Да",MeanMinAge13+'19_Расчет_аналитики'!O1572*SUMIF(ThresholdAge13,"&lt;"&amp;'19_Расчет_аналитики'!O1572,WeightedRevAge13)-SUMIF(ThresholdAge13,"&lt;"&amp;'19_Расчет_аналитики'!O1572,WeightedMinAge13),MAX(CapacityAge13*'01_Вводные'!$B$218*'19_Расчет_аналитики'!O1572,MeanMinAge13)))</f>
        <v/>
      </c>
      <c r="P1516">
        <f>IF(OR(('19_Расчет_аналитики'!P1432-'19_Расчет_аналитики'!P1460)=0,13&lt;='01_Вводные'!$B$297),0,('19_Расчет_аналитики'!P1432-'19_Расчет_аналитики'!P1460)*IF('01_Вводные'!$B$239="Да",MeanMinAge13+'19_Расчет_аналитики'!P1572*SUMIF(ThresholdAge13,"&lt;"&amp;'19_Расчет_аналитики'!P1572,WeightedRevAge13)-SUMIF(ThresholdAge13,"&lt;"&amp;'19_Расчет_аналитики'!P1572,WeightedMinAge13),MAX(CapacityAge13*'01_Вводные'!$B$218*'19_Расчет_аналитики'!P1572,MeanMinAge13)))</f>
        <v/>
      </c>
      <c r="Q1516">
        <f>IF(OR(('19_Расчет_аналитики'!Q1432-'19_Расчет_аналитики'!Q1460)=0,13&lt;='01_Вводные'!$B$297),0,('19_Расчет_аналитики'!Q1432-'19_Расчет_аналитики'!Q1460)*IF('01_Вводные'!$B$239="Да",MeanMinAge13+'19_Расчет_аналитики'!Q1572*SUMIF(ThresholdAge13,"&lt;"&amp;'19_Расчет_аналитики'!Q1572,WeightedRevAge13)-SUMIF(ThresholdAge13,"&lt;"&amp;'19_Расчет_аналитики'!Q1572,WeightedMinAge13),MAX(CapacityAge13*'01_Вводные'!$B$218*'19_Расчет_аналитики'!Q1572,MeanMinAge13)))</f>
        <v/>
      </c>
      <c r="R1516">
        <f>IF(OR(('19_Расчет_аналитики'!R1432-'19_Расчет_аналитики'!R1460)=0,13&lt;='01_Вводные'!$B$297),0,('19_Расчет_аналитики'!R1432-'19_Расчет_аналитики'!R1460)*IF('01_Вводные'!$B$239="Да",MeanMinAge13+'19_Расчет_аналитики'!R1572*SUMIF(ThresholdAge13,"&lt;"&amp;'19_Расчет_аналитики'!R1572,WeightedRevAge13)-SUMIF(ThresholdAge13,"&lt;"&amp;'19_Расчет_аналитики'!R1572,WeightedMinAge13),MAX(CapacityAge13*'01_Вводные'!$B$218*'19_Расчет_аналитики'!R1572,MeanMinAge13)))</f>
        <v/>
      </c>
      <c r="S1516">
        <f>IF(OR(('19_Расчет_аналитики'!S1432-'19_Расчет_аналитики'!S1460)=0,13&lt;='01_Вводные'!$B$297),0,('19_Расчет_аналитики'!S1432-'19_Расчет_аналитики'!S1460)*IF('01_Вводные'!$B$239="Да",MeanMinAge13+'19_Расчет_аналитики'!S1572*SUMIF(ThresholdAge13,"&lt;"&amp;'19_Расчет_аналитики'!S1572,WeightedRevAge13)-SUMIF(ThresholdAge13,"&lt;"&amp;'19_Расчет_аналитики'!S1572,WeightedMinAge13),MAX(CapacityAge13*'01_Вводные'!$B$218*'19_Расчет_аналитики'!S1572,MeanMinAge13)))</f>
        <v/>
      </c>
      <c r="T1516">
        <f>IF(OR(('19_Расчет_аналитики'!T1432-'19_Расчет_аналитики'!T1460)=0,13&lt;='01_Вводные'!$B$297),0,('19_Расчет_аналитики'!T1432-'19_Расчет_аналитики'!T1460)*IF('01_Вводные'!$B$239="Да",MeanMinAge13+'19_Расчет_аналитики'!T1572*SUMIF(ThresholdAge13,"&lt;"&amp;'19_Расчет_аналитики'!T1572,WeightedRevAge13)-SUMIF(ThresholdAge13,"&lt;"&amp;'19_Расчет_аналитики'!T1572,WeightedMinAge13),MAX(CapacityAge13*'01_Вводные'!$B$218*'19_Расчет_аналитики'!T1572,MeanMinAge13)))</f>
        <v/>
      </c>
      <c r="U1516">
        <f>IF(OR(('19_Расчет_аналитики'!U1432-'19_Расчет_аналитики'!U1460)=0,13&lt;='01_Вводные'!$B$297),0,('19_Расчет_аналитики'!U1432-'19_Расчет_аналитики'!U1460)*IF('01_Вводные'!$B$239="Да",MeanMinAge13+'19_Расчет_аналитики'!U1572*SUMIF(ThresholdAge13,"&lt;"&amp;'19_Расчет_аналитики'!U1572,WeightedRevAge13)-SUMIF(ThresholdAge13,"&lt;"&amp;'19_Расчет_аналитики'!U1572,WeightedMinAge13),MAX(CapacityAge13*'01_Вводные'!$B$218*'19_Расчет_аналитики'!U1572,MeanMinAge13)))</f>
        <v/>
      </c>
      <c r="V1516">
        <f>IF(OR(('19_Расчет_аналитики'!V1432-'19_Расчет_аналитики'!V1460)=0,13&lt;='01_Вводные'!$B$297),0,('19_Расчет_аналитики'!V1432-'19_Расчет_аналитики'!V1460)*IF('01_Вводные'!$B$239="Да",MeanMinAge13+'19_Расчет_аналитики'!V1572*SUMIF(ThresholdAge13,"&lt;"&amp;'19_Расчет_аналитики'!V1572,WeightedRevAge13)-SUMIF(ThresholdAge13,"&lt;"&amp;'19_Расчет_аналитики'!V1572,WeightedMinAge13),MAX(CapacityAge13*'01_Вводные'!$B$218*'19_Расчет_аналитики'!V1572,MeanMinAge13)))</f>
        <v/>
      </c>
      <c r="W1516">
        <f>IF(OR(('19_Расчет_аналитики'!W1432-'19_Расчет_аналитики'!W1460)=0,13&lt;='01_Вводные'!$B$297),0,('19_Расчет_аналитики'!W1432-'19_Расчет_аналитики'!W1460)*IF('01_Вводные'!$B$239="Да",MeanMinAge13+'19_Расчет_аналитики'!W1572*SUMIF(ThresholdAge13,"&lt;"&amp;'19_Расчет_аналитики'!W1572,WeightedRevAge13)-SUMIF(ThresholdAge13,"&lt;"&amp;'19_Расчет_аналитики'!W1572,WeightedMinAge13),MAX(CapacityAge13*'01_Вводные'!$B$218*'19_Расчет_аналитики'!W1572,MeanMinAge13)))</f>
        <v/>
      </c>
      <c r="X1516">
        <f>IF(OR(('19_Расчет_аналитики'!X1432-'19_Расчет_аналитики'!X1460)=0,13&lt;='01_Вводные'!$B$297),0,('19_Расчет_аналитики'!X1432-'19_Расчет_аналитики'!X1460)*IF('01_Вводные'!$B$239="Да",MeanMinAge13+'19_Расчет_аналитики'!X1572*SUMIF(ThresholdAge13,"&lt;"&amp;'19_Расчет_аналитики'!X1572,WeightedRevAge13)-SUMIF(ThresholdAge13,"&lt;"&amp;'19_Расчет_аналитики'!X1572,WeightedMinAge13),MAX(CapacityAge13*'01_Вводные'!$B$218*'19_Расчет_аналитики'!X1572,MeanMinAge13)))</f>
        <v/>
      </c>
      <c r="Y1516">
        <f>IF(OR(('19_Расчет_аналитики'!Y1432-'19_Расчет_аналитики'!Y1460)=0,13&lt;='01_Вводные'!$B$297),0,('19_Расчет_аналитики'!Y1432-'19_Расчет_аналитики'!Y1460)*IF('01_Вводные'!$B$239="Да",MeanMinAge13+'19_Расчет_аналитики'!Y1572*SUMIF(ThresholdAge13,"&lt;"&amp;'19_Расчет_аналитики'!Y1572,WeightedRevAge13)-SUMIF(ThresholdAge13,"&lt;"&amp;'19_Расчет_аналитики'!Y1572,WeightedMinAge13),MAX(CapacityAge13*'01_Вводные'!$B$218*'19_Расчет_аналитики'!Y1572,MeanMinAge13)))</f>
        <v/>
      </c>
      <c r="Z1516">
        <f>IF(OR(('19_Расчет_аналитики'!Z1432-'19_Расчет_аналитики'!Z1460)=0,13&lt;='01_Вводные'!$B$297),0,('19_Расчет_аналитики'!Z1432-'19_Расчет_аналитики'!Z1460)*IF('01_Вводные'!$B$239="Да",MeanMinAge13+'19_Расчет_аналитики'!Z1572*SUMIF(ThresholdAge13,"&lt;"&amp;'19_Расчет_аналитики'!Z1572,WeightedRevAge13)-SUMIF(ThresholdAge13,"&lt;"&amp;'19_Расчет_аналитики'!Z1572,WeightedMinAge13),MAX(CapacityAge13*'01_Вводные'!$B$218*'19_Расчет_аналитики'!Z1572,MeanMinAge13)))</f>
        <v/>
      </c>
      <c r="AA1516">
        <f>IF(OR(('19_Расчет_аналитики'!AA1432-'19_Расчет_аналитики'!AA1460)=0,13&lt;='01_Вводные'!$B$297),0,('19_Расчет_аналитики'!AA1432-'19_Расчет_аналитики'!AA1460)*IF('01_Вводные'!$B$239="Да",MeanMinAge13+'19_Расчет_аналитики'!AA1572*SUMIF(ThresholdAge13,"&lt;"&amp;'19_Расчет_аналитики'!AA1572,WeightedRevAge13)-SUMIF(ThresholdAge13,"&lt;"&amp;'19_Расчет_аналитики'!AA1572,WeightedMinAge13),MAX(CapacityAge13*'01_Вводные'!$B$218*'19_Расчет_аналитики'!AA1572,MeanMinAge13)))</f>
        <v/>
      </c>
      <c r="AB1516">
        <f>IF(OR(('19_Расчет_аналитики'!AB1432-'19_Расчет_аналитики'!AB1460)=0,13&lt;='01_Вводные'!$B$297),0,('19_Расчет_аналитики'!AB1432-'19_Расчет_аналитики'!AB1460)*IF('01_Вводные'!$B$239="Да",MeanMinAge13+'19_Расчет_аналитики'!AB1572*SUMIF(ThresholdAge13,"&lt;"&amp;'19_Расчет_аналитики'!AB1572,WeightedRevAge13)-SUMIF(ThresholdAge13,"&lt;"&amp;'19_Расчет_аналитики'!AB1572,WeightedMinAge13),MAX(CapacityAge13*'01_Вводные'!$B$218*'19_Расчет_аналитики'!AB1572,MeanMinAge13)))</f>
        <v/>
      </c>
      <c r="AC1516">
        <f>IF(OR(('19_Расчет_аналитики'!AC1432-'19_Расчет_аналитики'!AC1460)=0,13&lt;='01_Вводные'!$B$297),0,('19_Расчет_аналитики'!AC1432-'19_Расчет_аналитики'!AC1460)*IF('01_Вводные'!$B$239="Да",MeanMinAge13+'19_Расчет_аналитики'!AC1572*SUMIF(ThresholdAge13,"&lt;"&amp;'19_Расчет_аналитики'!AC1572,WeightedRevAge13)-SUMIF(ThresholdAge13,"&lt;"&amp;'19_Расчет_аналитики'!AC1572,WeightedMinAge13),MAX(CapacityAge13*'01_Вводные'!$B$218*'19_Расчет_аналитики'!AC1572,MeanMinAge13)))</f>
        <v/>
      </c>
      <c r="AD1516">
        <f>IF(OR(('19_Расчет_аналитики'!AD1432-'19_Расчет_аналитики'!AD1460)=0,13&lt;='01_Вводные'!$B$297),0,('19_Расчет_аналитики'!AD1432-'19_Расчет_аналитики'!AD1460)*IF('01_Вводные'!$B$239="Да",MeanMinAge13+'19_Расчет_аналитики'!AD1572*SUMIF(ThresholdAge13,"&lt;"&amp;'19_Расчет_аналитики'!AD1572,WeightedRevAge13)-SUMIF(ThresholdAge13,"&lt;"&amp;'19_Расчет_аналитики'!AD1572,WeightedMinAge13),MAX(CapacityAge13*'01_Вводные'!$B$218*'19_Расчет_аналитики'!AD1572,MeanMinAge13)))</f>
        <v/>
      </c>
      <c r="AE1516">
        <f>IF(OR(('19_Расчет_аналитики'!AE1432-'19_Расчет_аналитики'!AE1460)=0,13&lt;='01_Вводные'!$B$297),0,('19_Расчет_аналитики'!AE1432-'19_Расчет_аналитики'!AE1460)*IF('01_Вводные'!$B$239="Да",MeanMinAge13+'19_Расчет_аналитики'!AE1572*SUMIF(ThresholdAge13,"&lt;"&amp;'19_Расчет_аналитики'!AE1572,WeightedRevAge13)-SUMIF(ThresholdAge13,"&lt;"&amp;'19_Расчет_аналитики'!AE1572,WeightedMinAge13),MAX(CapacityAge13*'01_Вводные'!$B$218*'19_Расчет_аналитики'!AE1572,MeanMinAge13)))</f>
        <v/>
      </c>
      <c r="AF1516">
        <f>IF(OR(('19_Расчет_аналитики'!AF1432-'19_Расчет_аналитики'!AF1460)=0,13&lt;='01_Вводные'!$B$297),0,('19_Расчет_аналитики'!AF1432-'19_Расчет_аналитики'!AF1460)*IF('01_Вводные'!$B$239="Да",MeanMinAge13+'19_Расчет_аналитики'!AF1572*SUMIF(ThresholdAge13,"&lt;"&amp;'19_Расчет_аналитики'!AF1572,WeightedRevAge13)-SUMIF(ThresholdAge13,"&lt;"&amp;'19_Расчет_аналитики'!AF1572,WeightedMinAge13),MAX(CapacityAge13*'01_Вводные'!$B$218*'19_Расчет_аналитики'!AF1572,MeanMinAge13)))</f>
        <v/>
      </c>
      <c r="AG1516">
        <f>IF(OR(('19_Расчет_аналитики'!AG1432-'19_Расчет_аналитики'!AG1460)=0,13&lt;='01_Вводные'!$B$297),0,('19_Расчет_аналитики'!AG1432-'19_Расчет_аналитики'!AG1460)*IF('01_Вводные'!$B$239="Да",MeanMinAge13+'19_Расчет_аналитики'!AG1572*SUMIF(ThresholdAge13,"&lt;"&amp;'19_Расчет_аналитики'!AG1572,WeightedRevAge13)-SUMIF(ThresholdAge13,"&lt;"&amp;'19_Расчет_аналитики'!AG1572,WeightedMinAge13),MAX(CapacityAge13*'01_Вводные'!$B$218*'19_Расчет_аналитики'!AG1572,MeanMinAge13)))</f>
        <v/>
      </c>
      <c r="AH1516">
        <f>IF(OR(('19_Расчет_аналитики'!AH1432-'19_Расчет_аналитики'!AH1460)=0,13&lt;='01_Вводные'!$B$297),0,('19_Расчет_аналитики'!AH1432-'19_Расчет_аналитики'!AH1460)*IF('01_Вводные'!$B$239="Да",MeanMinAge13+'19_Расчет_аналитики'!AH1572*SUMIF(ThresholdAge13,"&lt;"&amp;'19_Расчет_аналитики'!AH1572,WeightedRevAge13)-SUMIF(ThresholdAge13,"&lt;"&amp;'19_Расчет_аналитики'!AH1572,WeightedMinAge13),MAX(CapacityAge13*'01_Вводные'!$B$218*'19_Расчет_аналитики'!AH1572,MeanMinAge13)))</f>
        <v/>
      </c>
      <c r="AI1516">
        <f>IF(OR(('19_Расчет_аналитики'!AI1432-'19_Расчет_аналитики'!AI1460)=0,13&lt;='01_Вводные'!$B$297),0,('19_Расчет_аналитики'!AI1432-'19_Расчет_аналитики'!AI1460)*IF('01_Вводные'!$B$239="Да",MeanMinAge13+'19_Расчет_аналитики'!AI1572*SUMIF(ThresholdAge13,"&lt;"&amp;'19_Расчет_аналитики'!AI1572,WeightedRevAge13)-SUMIF(ThresholdAge13,"&lt;"&amp;'19_Расчет_аналитики'!AI1572,WeightedMinAge13),MAX(CapacityAge13*'01_Вводные'!$B$218*'19_Расчет_аналитики'!AI1572,MeanMinAge13)))</f>
        <v/>
      </c>
      <c r="AJ1516">
        <f>IF(OR(('19_Расчет_аналитики'!AJ1432-'19_Расчет_аналитики'!AJ1460)=0,13&lt;='01_Вводные'!$B$297),0,('19_Расчет_аналитики'!AJ1432-'19_Расчет_аналитики'!AJ1460)*IF('01_Вводные'!$B$239="Да",MeanMinAge13+'19_Расчет_аналитики'!AJ1572*SUMIF(ThresholdAge13,"&lt;"&amp;'19_Расчет_аналитики'!AJ1572,WeightedRevAge13)-SUMIF(ThresholdAge13,"&lt;"&amp;'19_Расчет_аналитики'!AJ1572,WeightedMinAge13),MAX(CapacityAge13*'01_Вводные'!$B$218*'19_Расчет_аналитики'!AJ1572,MeanMinAge13)))</f>
        <v/>
      </c>
      <c r="AK1516">
        <f>IF(OR(('19_Расчет_аналитики'!AK1432-'19_Расчет_аналитики'!AK1460)=0,13&lt;='01_Вводные'!$B$297),0,('19_Расчет_аналитики'!AK1432-'19_Расчет_аналитики'!AK1460)*IF('01_Вводные'!$B$239="Да",MeanMinAge13+'19_Расчет_аналитики'!AK1572*SUMIF(ThresholdAge13,"&lt;"&amp;'19_Расчет_аналитики'!AK1572,WeightedRevAge13)-SUMIF(ThresholdAge13,"&lt;"&amp;'19_Расчет_аналитики'!AK1572,WeightedMinAge13),MAX(CapacityAge13*'01_Вводные'!$B$218*'19_Расчет_аналитики'!AK1572,MeanMinAge13)))</f>
        <v/>
      </c>
      <c r="AL1516">
        <f>IF(OR(('19_Расчет_аналитики'!AL1432-'19_Расчет_аналитики'!AL1460)=0,13&lt;='01_Вводные'!$B$297),0,('19_Расчет_аналитики'!AL1432-'19_Расчет_аналитики'!AL1460)*IF('01_Вводные'!$B$239="Да",MeanMinAge13+'19_Расчет_аналитики'!AL1572*SUMIF(ThresholdAge13,"&lt;"&amp;'19_Расчет_аналитики'!AL1572,WeightedRevAge13)-SUMIF(ThresholdAge13,"&lt;"&amp;'19_Расчет_аналитики'!AL1572,WeightedMinAge13),MAX(CapacityAge13*'01_Вводные'!$B$218*'19_Расчет_аналитики'!AL1572,MeanMinAge13)))</f>
        <v/>
      </c>
      <c r="AM1516">
        <f>IF(OR(('19_Расчет_аналитики'!AM1432-'19_Расчет_аналитики'!AM1460)=0,13&lt;='01_Вводные'!$B$297),0,('19_Расчет_аналитики'!AM1432-'19_Расчет_аналитики'!AM1460)*IF('01_Вводные'!$B$239="Да",MeanMinAge13+'19_Расчет_аналитики'!AM1572*SUMIF(ThresholdAge13,"&lt;"&amp;'19_Расчет_аналитики'!AM1572,WeightedRevAge13)-SUMIF(ThresholdAge13,"&lt;"&amp;'19_Расчет_аналитики'!AM1572,WeightedMinAge13),MAX(CapacityAge13*'01_Вводные'!$B$218*'19_Расчет_аналитики'!AM1572,MeanMinAge13)))</f>
        <v/>
      </c>
      <c r="AN1516">
        <f>IF(OR(('19_Расчет_аналитики'!AN1432-'19_Расчет_аналитики'!AN1460)=0,13&lt;='01_Вводные'!$B$297),0,('19_Расчет_аналитики'!AN1432-'19_Расчет_аналитики'!AN1460)*IF('01_Вводные'!$B$239="Да",MeanMinAge13+'19_Расчет_аналитики'!AN1572*SUMIF(ThresholdAge13,"&lt;"&amp;'19_Расчет_аналитики'!AN1572,WeightedRevAge13)-SUMIF(ThresholdAge13,"&lt;"&amp;'19_Расчет_аналитики'!AN1572,WeightedMinAge13),MAX(CapacityAge13*'01_Вводные'!$B$218*'19_Расчет_аналитики'!AN1572,MeanMinAge13)))</f>
        <v/>
      </c>
      <c r="AO1516">
        <f>IF(OR(('19_Расчет_аналитики'!AO1432-'19_Расчет_аналитики'!AO1460)=0,13&lt;='01_Вводные'!$B$297),0,('19_Расчет_аналитики'!AO1432-'19_Расчет_аналитики'!AO1460)*IF('01_Вводные'!$B$239="Да",MeanMinAge13+'19_Расчет_аналитики'!AO1572*SUMIF(ThresholdAge13,"&lt;"&amp;'19_Расчет_аналитики'!AO1572,WeightedRevAge13)-SUMIF(ThresholdAge13,"&lt;"&amp;'19_Расчет_аналитики'!AO1572,WeightedMinAge13),MAX(CapacityAge13*'01_Вводные'!$B$218*'19_Расчет_аналитики'!AO1572,MeanMinAge13)))</f>
        <v/>
      </c>
      <c r="AP1516">
        <f>IF(OR(('19_Расчет_аналитики'!AP1432-'19_Расчет_аналитики'!AP1460)=0,13&lt;='01_Вводные'!$B$297),0,('19_Расчет_аналитики'!AP1432-'19_Расчет_аналитики'!AP1460)*IF('01_Вводные'!$B$239="Да",MeanMinAge13+'19_Расчет_аналитики'!AP1572*SUMIF(ThresholdAge13,"&lt;"&amp;'19_Расчет_аналитики'!AP1572,WeightedRevAge13)-SUMIF(ThresholdAge13,"&lt;"&amp;'19_Расчет_аналитики'!AP1572,WeightedMinAge13),MAX(CapacityAge13*'01_Вводные'!$B$218*'19_Расчет_аналитики'!AP1572,MeanMinAge13)))</f>
        <v/>
      </c>
      <c r="AQ1516">
        <f>IF(OR(('19_Расчет_аналитики'!AQ1432-'19_Расчет_аналитики'!AQ1460)=0,13&lt;='01_Вводные'!$B$297),0,('19_Расчет_аналитики'!AQ1432-'19_Расчет_аналитики'!AQ1460)*IF('01_Вводные'!$B$239="Да",MeanMinAge13+'19_Расчет_аналитики'!AQ1572*SUMIF(ThresholdAge13,"&lt;"&amp;'19_Расчет_аналитики'!AQ1572,WeightedRevAge13)-SUMIF(ThresholdAge13,"&lt;"&amp;'19_Расчет_аналитики'!AQ1572,WeightedMinAge13),MAX(CapacityAge13*'01_Вводные'!$B$218*'19_Расчет_аналитики'!AQ1572,MeanMinAge13)))</f>
        <v/>
      </c>
      <c r="AR1516">
        <f>IF(OR(('19_Расчет_аналитики'!AR1432-'19_Расчет_аналитики'!AR1460)=0,13&lt;='01_Вводные'!$B$297),0,('19_Расчет_аналитики'!AR1432-'19_Расчет_аналитики'!AR1460)*IF('01_Вводные'!$B$239="Да",MeanMinAge13+'19_Расчет_аналитики'!AR1572*SUMIF(ThresholdAge13,"&lt;"&amp;'19_Расчет_аналитики'!AR1572,WeightedRevAge13)-SUMIF(ThresholdAge13,"&lt;"&amp;'19_Расчет_аналитики'!AR1572,WeightedMinAge13),MAX(CapacityAge13*'01_Вводные'!$B$218*'19_Расчет_аналитики'!AR1572,MeanMinAge13)))</f>
        <v/>
      </c>
      <c r="AS1516">
        <f>IF(OR(('19_Расчет_аналитики'!AS1432-'19_Расчет_аналитики'!AS1460)=0,13&lt;='01_Вводные'!$B$297),0,('19_Расчет_аналитики'!AS1432-'19_Расчет_аналитики'!AS1460)*IF('01_Вводные'!$B$239="Да",MeanMinAge13+'19_Расчет_аналитики'!AS1572*SUMIF(ThresholdAge13,"&lt;"&amp;'19_Расчет_аналитики'!AS1572,WeightedRevAge13)-SUMIF(ThresholdAge13,"&lt;"&amp;'19_Расчет_аналитики'!AS1572,WeightedMinAge13),MAX(CapacityAge13*'01_Вводные'!$B$218*'19_Расчет_аналитики'!AS1572,MeanMinAge13)))</f>
        <v/>
      </c>
      <c r="AT1516">
        <f>IF(OR(('19_Расчет_аналитики'!AT1432-'19_Расчет_аналитики'!AT1460)=0,13&lt;='01_Вводные'!$B$297),0,('19_Расчет_аналитики'!AT1432-'19_Расчет_аналитики'!AT1460)*IF('01_Вводные'!$B$239="Да",MeanMinAge13+'19_Расчет_аналитики'!AT1572*SUMIF(ThresholdAge13,"&lt;"&amp;'19_Расчет_аналитики'!AT1572,WeightedRevAge13)-SUMIF(ThresholdAge13,"&lt;"&amp;'19_Расчет_аналитики'!AT1572,WeightedMinAge13),MAX(CapacityAge13*'01_Вводные'!$B$218*'19_Расчет_аналитики'!AT1572,MeanMinAge13)))</f>
        <v/>
      </c>
      <c r="AU1516">
        <f>IF(OR(('19_Расчет_аналитики'!AU1432-'19_Расчет_аналитики'!AU1460)=0,13&lt;='01_Вводные'!$B$297),0,('19_Расчет_аналитики'!AU1432-'19_Расчет_аналитики'!AU1460)*IF('01_Вводные'!$B$239="Да",MeanMinAge13+'19_Расчет_аналитики'!AU1572*SUMIF(ThresholdAge13,"&lt;"&amp;'19_Расчет_аналитики'!AU1572,WeightedRevAge13)-SUMIF(ThresholdAge13,"&lt;"&amp;'19_Расчет_аналитики'!AU1572,WeightedMinAge13),MAX(CapacityAge13*'01_Вводные'!$B$218*'19_Расчет_аналитики'!AU1572,MeanMinAge13)))</f>
        <v/>
      </c>
      <c r="AV1516">
        <f>IF(OR(('19_Расчет_аналитики'!AV1432-'19_Расчет_аналитики'!AV1460)=0,13&lt;='01_Вводные'!$B$297),0,('19_Расчет_аналитики'!AV1432-'19_Расчет_аналитики'!AV1460)*IF('01_Вводные'!$B$239="Да",MeanMinAge13+'19_Расчет_аналитики'!AV1572*SUMIF(ThresholdAge13,"&lt;"&amp;'19_Расчет_аналитики'!AV1572,WeightedRevAge13)-SUMIF(ThresholdAge13,"&lt;"&amp;'19_Расчет_аналитики'!AV1572,WeightedMinAge13),MAX(CapacityAge13*'01_Вводные'!$B$218*'19_Расчет_аналитики'!AV1572,MeanMinAge13)))</f>
        <v/>
      </c>
      <c r="AW1516">
        <f>IF(OR(('19_Расчет_аналитики'!AW1432-'19_Расчет_аналитики'!AW1460)=0,13&lt;='01_Вводные'!$B$297),0,('19_Расчет_аналитики'!AW1432-'19_Расчет_аналитики'!AW1460)*IF('01_Вводные'!$B$239="Да",MeanMinAge13+'19_Расчет_аналитики'!AW1572*SUMIF(ThresholdAge13,"&lt;"&amp;'19_Расчет_аналитики'!AW1572,WeightedRevAge13)-SUMIF(ThresholdAge13,"&lt;"&amp;'19_Расчет_аналитики'!AW1572,WeightedMinAge13),MAX(CapacityAge13*'01_Вводные'!$B$218*'19_Расчет_аналитики'!AW1572,MeanMinAge13)))</f>
        <v/>
      </c>
      <c r="AX1516">
        <f>IF(OR(('19_Расчет_аналитики'!AX1432-'19_Расчет_аналитики'!AX1460)=0,13&lt;='01_Вводные'!$B$297),0,('19_Расчет_аналитики'!AX1432-'19_Расчет_аналитики'!AX1460)*IF('01_Вводные'!$B$239="Да",MeanMinAge13+'19_Расчет_аналитики'!AX1572*SUMIF(ThresholdAge13,"&lt;"&amp;'19_Расчет_аналитики'!AX1572,WeightedRevAge13)-SUMIF(ThresholdAge13,"&lt;"&amp;'19_Расчет_аналитики'!AX1572,WeightedMinAge13),MAX(CapacityAge13*'01_Вводные'!$B$218*'19_Расчет_аналитики'!AX1572,MeanMinAge13)))</f>
        <v/>
      </c>
      <c r="AY1516">
        <f>IF(OR(('19_Расчет_аналитики'!AY1432-'19_Расчет_аналитики'!AY1460)=0,13&lt;='01_Вводные'!$B$297),0,('19_Расчет_аналитики'!AY1432-'19_Расчет_аналитики'!AY1460)*IF('01_Вводные'!$B$239="Да",MeanMinAge13+'19_Расчет_аналитики'!AY1572*SUMIF(ThresholdAge13,"&lt;"&amp;'19_Расчет_аналитики'!AY1572,WeightedRevAge13)-SUMIF(ThresholdAge13,"&lt;"&amp;'19_Расчет_аналитики'!AY1572,WeightedMinAge13),MAX(CapacityAge13*'01_Вводные'!$B$218*'19_Расчет_аналитики'!AY1572,MeanMinAge13)))</f>
        <v/>
      </c>
      <c r="AZ1516">
        <f>IF(OR(('19_Расчет_аналитики'!AZ1432-'19_Расчет_аналитики'!AZ1460)=0,13&lt;='01_Вводные'!$B$297),0,('19_Расчет_аналитики'!AZ1432-'19_Расчет_аналитики'!AZ1460)*IF('01_Вводные'!$B$239="Да",MeanMinAge13+'19_Расчет_аналитики'!AZ1572*SUMIF(ThresholdAge13,"&lt;"&amp;'19_Расчет_аналитики'!AZ1572,WeightedRevAge13)-SUMIF(ThresholdAge13,"&lt;"&amp;'19_Расчет_аналитики'!AZ1572,WeightedMinAge13),MAX(CapacityAge13*'01_Вводные'!$B$218*'19_Расчет_аналитики'!AZ1572,MeanMinAge13)))</f>
        <v/>
      </c>
      <c r="BA1516">
        <f>IF(OR(('19_Расчет_аналитики'!BA1432-'19_Расчет_аналитики'!BA1460)=0,13&lt;='01_Вводные'!$B$297),0,('19_Расчет_аналитики'!BA1432-'19_Расчет_аналитики'!BA1460)*IF('01_Вводные'!$B$239="Да",MeanMinAge13+'19_Расчет_аналитики'!BA1572*SUMIF(ThresholdAge13,"&lt;"&amp;'19_Расчет_аналитики'!BA1572,WeightedRevAge13)-SUMIF(ThresholdAge13,"&lt;"&amp;'19_Расчет_аналитики'!BA1572,WeightedMinAge13),MAX(CapacityAge13*'01_Вводные'!$B$218*'19_Расчет_аналитики'!BA1572,MeanMinAge13)))</f>
        <v/>
      </c>
      <c r="BB1516">
        <f>IF(OR(('19_Расчет_аналитики'!BB1432-'19_Расчет_аналитики'!BB1460)=0,13&lt;='01_Вводные'!$B$297),0,('19_Расчет_аналитики'!BB1432-'19_Расчет_аналитики'!BB1460)*IF('01_Вводные'!$B$239="Да",MeanMinAge13+'19_Расчет_аналитики'!BB1572*SUMIF(ThresholdAge13,"&lt;"&amp;'19_Расчет_аналитики'!BB1572,WeightedRevAge13)-SUMIF(ThresholdAge13,"&lt;"&amp;'19_Расчет_аналитики'!BB1572,WeightedMinAge13),MAX(CapacityAge13*'01_Вводные'!$B$218*'19_Расчет_аналитики'!BB1572,MeanMinAge13)))</f>
        <v/>
      </c>
      <c r="BC1516">
        <f>IF(OR(('19_Расчет_аналитики'!BC1432-'19_Расчет_аналитики'!BC1460)=0,13&lt;='01_Вводные'!$B$297),0,('19_Расчет_аналитики'!BC1432-'19_Расчет_аналитики'!BC1460)*IF('01_Вводные'!$B$239="Да",MeanMinAge13+'19_Расчет_аналитики'!BC1572*SUMIF(ThresholdAge13,"&lt;"&amp;'19_Расчет_аналитики'!BC1572,WeightedRevAge13)-SUMIF(ThresholdAge13,"&lt;"&amp;'19_Расчет_аналитики'!BC1572,WeightedMinAge13),MAX(CapacityAge13*'01_Вводные'!$B$218*'19_Расчет_аналитики'!BC1572,MeanMinAge13)))</f>
        <v/>
      </c>
      <c r="BD1516">
        <f>IF(OR(('19_Расчет_аналитики'!BD1432-'19_Расчет_аналитики'!BD1460)=0,13&lt;='01_Вводные'!$B$297),0,('19_Расчет_аналитики'!BD1432-'19_Расчет_аналитики'!BD1460)*IF('01_Вводные'!$B$239="Да",MeanMinAge13+'19_Расчет_аналитики'!BD1572*SUMIF(ThresholdAge13,"&lt;"&amp;'19_Расчет_аналитики'!BD1572,WeightedRevAge13)-SUMIF(ThresholdAge13,"&lt;"&amp;'19_Расчет_аналитики'!BD1572,WeightedMinAge13),MAX(CapacityAge13*'01_Вводные'!$B$218*'19_Расчет_аналитики'!BD1572,MeanMinAge13)))</f>
        <v/>
      </c>
      <c r="BE1516">
        <f>IF(OR(('19_Расчет_аналитики'!BE1432-'19_Расчет_аналитики'!BE1460)=0,13&lt;='01_Вводные'!$B$297),0,('19_Расчет_аналитики'!BE1432-'19_Расчет_аналитики'!BE1460)*IF('01_Вводные'!$B$239="Да",MeanMinAge13+'19_Расчет_аналитики'!BE1572*SUMIF(ThresholdAge13,"&lt;"&amp;'19_Расчет_аналитики'!BE1572,WeightedRevAge13)-SUMIF(ThresholdAge13,"&lt;"&amp;'19_Расчет_аналитики'!BE1572,WeightedMinAge13),MAX(CapacityAge13*'01_Вводные'!$B$218*'19_Расчет_аналитики'!BE1572,MeanMinAge13)))</f>
        <v/>
      </c>
      <c r="BF1516">
        <f>IF(OR(('19_Расчет_аналитики'!BF1432-'19_Расчет_аналитики'!BF1460)=0,13&lt;='01_Вводные'!$B$297),0,('19_Расчет_аналитики'!BF1432-'19_Расчет_аналитики'!BF1460)*IF('01_Вводные'!$B$239="Да",MeanMinAge13+'19_Расчет_аналитики'!BF1572*SUMIF(ThresholdAge13,"&lt;"&amp;'19_Расчет_аналитики'!BF1572,WeightedRevAge13)-SUMIF(ThresholdAge13,"&lt;"&amp;'19_Расчет_аналитики'!BF1572,WeightedMinAge13),MAX(CapacityAge13*'01_Вводные'!$B$218*'19_Расчет_аналитики'!BF1572,MeanMinAge13)))</f>
        <v/>
      </c>
      <c r="BG1516">
        <f>IF(OR(('19_Расчет_аналитики'!BG1432-'19_Расчет_аналитики'!BG1460)=0,13&lt;='01_Вводные'!$B$297),0,('19_Расчет_аналитики'!BG1432-'19_Расчет_аналитики'!BG1460)*IF('01_Вводные'!$B$239="Да",MeanMinAge13+'19_Расчет_аналитики'!BG1572*SUMIF(ThresholdAge13,"&lt;"&amp;'19_Расчет_аналитики'!BG1572,WeightedRevAge13)-SUMIF(ThresholdAge13,"&lt;"&amp;'19_Расчет_аналитики'!BG1572,WeightedMinAge13),MAX(CapacityAge13*'01_Вводные'!$B$218*'19_Расчет_аналитики'!BG1572,MeanMinAge13)))</f>
        <v/>
      </c>
      <c r="BH1516">
        <f>IF(OR(('19_Расчет_аналитики'!BH1432-'19_Расчет_аналитики'!BH1460)=0,13&lt;='01_Вводные'!$B$297),0,('19_Расчет_аналитики'!BH1432-'19_Расчет_аналитики'!BH1460)*IF('01_Вводные'!$B$239="Да",MeanMinAge13+'19_Расчет_аналитики'!BH1572*SUMIF(ThresholdAge13,"&lt;"&amp;'19_Расчет_аналитики'!BH1572,WeightedRevAge13)-SUMIF(ThresholdAge13,"&lt;"&amp;'19_Расчет_аналитики'!BH1572,WeightedMinAge13),MAX(CapacityAge13*'01_Вводные'!$B$218*'19_Расчет_аналитики'!BH1572,MeanMinAge13)))</f>
        <v/>
      </c>
      <c r="BI1516">
        <f>IF(OR(('19_Расчет_аналитики'!BI1432-'19_Расчет_аналитики'!BI1460)=0,13&lt;='01_Вводные'!$B$297),0,('19_Расчет_аналитики'!BI1432-'19_Расчет_аналитики'!BI1460)*IF('01_Вводные'!$B$239="Да",MeanMinAge13+'19_Расчет_аналитики'!BI1572*SUMIF(ThresholdAge13,"&lt;"&amp;'19_Расчет_аналитики'!BI1572,WeightedRevAge13)-SUMIF(ThresholdAge13,"&lt;"&amp;'19_Расчет_аналитики'!BI1572,WeightedMinAge13),MAX(CapacityAge13*'01_Вводные'!$B$218*'19_Расчет_аналитики'!BI1572,MeanMinAge13)))</f>
        <v/>
      </c>
      <c r="BJ1516">
        <f>IF(OR(('19_Расчет_аналитики'!BJ1432-'19_Расчет_аналитики'!BJ1460)=0,13&lt;='01_Вводные'!$B$297),0,('19_Расчет_аналитики'!BJ1432-'19_Расчет_аналитики'!BJ1460)*IF('01_Вводные'!$B$239="Да",MeanMinAge13+'19_Расчет_аналитики'!BJ1572*SUMIF(ThresholdAge13,"&lt;"&amp;'19_Расчет_аналитики'!BJ1572,WeightedRevAge13)-SUMIF(ThresholdAge13,"&lt;"&amp;'19_Расчет_аналитики'!BJ1572,WeightedMinAge13),MAX(CapacityAge13*'01_Вводные'!$B$218*'19_Расчет_аналитики'!BJ1572,MeanMinAge13)))</f>
        <v/>
      </c>
      <c r="BK1516">
        <f>IF(OR(('19_Расчет_аналитики'!BK1432-'19_Расчет_аналитики'!BK1460)=0,13&lt;='01_Вводные'!$B$297),0,('19_Расчет_аналитики'!BK1432-'19_Расчет_аналитики'!BK1460)*IF('01_Вводные'!$B$239="Да",MeanMinAge13+'19_Расчет_аналитики'!BK1572*SUMIF(ThresholdAge13,"&lt;"&amp;'19_Расчет_аналитики'!BK1572,WeightedRevAge13)-SUMIF(ThresholdAge13,"&lt;"&amp;'19_Расчет_аналитики'!BK1572,WeightedMinAge13),MAX(CapacityAge13*'01_Вводные'!$B$218*'19_Расчет_аналитики'!BK1572,MeanMinAge13)))</f>
        <v/>
      </c>
      <c r="BL1516">
        <f>IF(OR(('19_Расчет_аналитики'!BL1432-'19_Расчет_аналитики'!BL1460)=0,13&lt;='01_Вводные'!$B$297),0,('19_Расчет_аналитики'!BL1432-'19_Расчет_аналитики'!BL1460)*IF('01_Вводные'!$B$239="Да",MeanMinAge13+'19_Расчет_аналитики'!BL1572*SUMIF(ThresholdAge13,"&lt;"&amp;'19_Расчет_аналитики'!BL1572,WeightedRevAge13)-SUMIF(ThresholdAge13,"&lt;"&amp;'19_Расчет_аналитики'!BL1572,WeightedMinAge13),MAX(CapacityAge13*'01_Вводные'!$B$218*'19_Расчет_аналитики'!BL1572,MeanMinAge13)))</f>
        <v/>
      </c>
      <c r="BM1516">
        <f>IF(OR(('19_Расчет_аналитики'!BM1432-'19_Расчет_аналитики'!BM1460)=0,13&lt;='01_Вводные'!$B$297),0,('19_Расчет_аналитики'!BM1432-'19_Расчет_аналитики'!BM1460)*IF('01_Вводные'!$B$239="Да",MeanMinAge13+'19_Расчет_аналитики'!BM1572*SUMIF(ThresholdAge13,"&lt;"&amp;'19_Расчет_аналитики'!BM1572,WeightedRevAge13)-SUMIF(ThresholdAge13,"&lt;"&amp;'19_Расчет_аналитики'!BM1572,WeightedMinAge13),MAX(CapacityAge13*'01_Вводные'!$B$218*'19_Расчет_аналитики'!BM1572,MeanMinAge13)))</f>
        <v/>
      </c>
      <c r="BN1516">
        <f>IF(OR(('19_Расчет_аналитики'!BN1432-'19_Расчет_аналитики'!BN1460)=0,13&lt;='01_Вводные'!$B$297),0,('19_Расчет_аналитики'!BN1432-'19_Расчет_аналитики'!BN1460)*IF('01_Вводные'!$B$239="Да",MeanMinAge13+'19_Расчет_аналитики'!BN1572*SUMIF(ThresholdAge13,"&lt;"&amp;'19_Расчет_аналитики'!BN1572,WeightedRevAge13)-SUMIF(ThresholdAge13,"&lt;"&amp;'19_Расчет_аналитики'!BN1572,WeightedMinAge13),MAX(CapacityAge13*'01_Вводные'!$B$218*'19_Расчет_аналитики'!BN1572,MeanMinAge13)))</f>
        <v/>
      </c>
      <c r="BO1516">
        <f>IF(OR(('19_Расчет_аналитики'!BO1432-'19_Расчет_аналитики'!BO1460)=0,13&lt;='01_Вводные'!$B$297),0,('19_Расчет_аналитики'!BO1432-'19_Расчет_аналитики'!BO1460)*IF('01_Вводные'!$B$239="Да",MeanMinAge13+'19_Расчет_аналитики'!BO1572*SUMIF(ThresholdAge13,"&lt;"&amp;'19_Расчет_аналитики'!BO1572,WeightedRevAge13)-SUMIF(ThresholdAge13,"&lt;"&amp;'19_Расчет_аналитики'!BO1572,WeightedMinAge13),MAX(CapacityAge13*'01_Вводные'!$B$218*'19_Расчет_аналитики'!BO1572,MeanMinAge13)))</f>
        <v/>
      </c>
    </row>
    <row r="1517">
      <c r="B1517">
        <f>IF(OR(('06_Сеть_и_дети'!B66-'06_Сеть_и_дети'!B94)=0,14&lt;='01_Вводные'!$B$297),0,('06_Сеть_и_дети'!B66-'06_Сеть_и_дети'!B94)*IF('01_Вводные'!$B$239="Да",MeanMinAge14+'19_Расчет_аналитики'!B1572*SUMIF(ThresholdAge14,"&lt;"&amp;'19_Расчет_аналитики'!B1572,WeightedRevAge14)-SUMIF(ThresholdAge14,"&lt;"&amp;'19_Расчет_аналитики'!B1572,WeightedMinAge14),MAX(CapacityAge14*'01_Вводные'!$B$218*'19_Расчет_аналитики'!B1572,MeanMinAge14)))</f>
        <v/>
      </c>
      <c r="C1517">
        <f>IF(OR(('06_Сеть_и_дети'!C66-'06_Сеть_и_дети'!C94)=0,14&lt;='01_Вводные'!$B$297),0,('06_Сеть_и_дети'!C66-'06_Сеть_и_дети'!C94)*IF('01_Вводные'!$B$239="Да",MeanMinAge14+'19_Расчет_аналитики'!C1572*SUMIF(ThresholdAge14,"&lt;"&amp;'19_Расчет_аналитики'!C1572,WeightedRevAge14)-SUMIF(ThresholdAge14,"&lt;"&amp;'19_Расчет_аналитики'!C1572,WeightedMinAge14),MAX(CapacityAge14*'01_Вводные'!$B$218*'19_Расчет_аналитики'!C1572,MeanMinAge14)))</f>
        <v/>
      </c>
      <c r="D1517">
        <f>IF(OR(('06_Сеть_и_дети'!D66-'06_Сеть_и_дети'!D94)=0,14&lt;='01_Вводные'!$B$297),0,('06_Сеть_и_дети'!D66-'06_Сеть_и_дети'!D94)*IF('01_Вводные'!$B$239="Да",MeanMinAge14+'19_Расчет_аналитики'!D1572*SUMIF(ThresholdAge14,"&lt;"&amp;'19_Расчет_аналитики'!D1572,WeightedRevAge14)-SUMIF(ThresholdAge14,"&lt;"&amp;'19_Расчет_аналитики'!D1572,WeightedMinAge14),MAX(CapacityAge14*'01_Вводные'!$B$218*'19_Расчет_аналитики'!D1572,MeanMinAge14)))</f>
        <v/>
      </c>
      <c r="E1517">
        <f>IF(OR(('06_Сеть_и_дети'!E66-'06_Сеть_и_дети'!E94)=0,14&lt;='01_Вводные'!$B$297),0,('06_Сеть_и_дети'!E66-'06_Сеть_и_дети'!E94)*IF('01_Вводные'!$B$239="Да",MeanMinAge14+'19_Расчет_аналитики'!E1572*SUMIF(ThresholdAge14,"&lt;"&amp;'19_Расчет_аналитики'!E1572,WeightedRevAge14)-SUMIF(ThresholdAge14,"&lt;"&amp;'19_Расчет_аналитики'!E1572,WeightedMinAge14),MAX(CapacityAge14*'01_Вводные'!$B$218*'19_Расчет_аналитики'!E1572,MeanMinAge14)))</f>
        <v/>
      </c>
      <c r="F1517">
        <f>IF(OR(('06_Сеть_и_дети'!F66-'06_Сеть_и_дети'!F94)=0,14&lt;='01_Вводные'!$B$297),0,('06_Сеть_и_дети'!F66-'06_Сеть_и_дети'!F94)*IF('01_Вводные'!$B$239="Да",MeanMinAge14+'19_Расчет_аналитики'!F1572*SUMIF(ThresholdAge14,"&lt;"&amp;'19_Расчет_аналитики'!F1572,WeightedRevAge14)-SUMIF(ThresholdAge14,"&lt;"&amp;'19_Расчет_аналитики'!F1572,WeightedMinAge14),MAX(CapacityAge14*'01_Вводные'!$B$218*'19_Расчет_аналитики'!F1572,MeanMinAge14)))</f>
        <v/>
      </c>
      <c r="G1517">
        <f>IF(OR(('06_Сеть_и_дети'!G66-'06_Сеть_и_дети'!G94)=0,14&lt;='01_Вводные'!$B$297),0,('06_Сеть_и_дети'!G66-'06_Сеть_и_дети'!G94)*IF('01_Вводные'!$B$239="Да",MeanMinAge14+'19_Расчет_аналитики'!G1572*SUMIF(ThresholdAge14,"&lt;"&amp;'19_Расчет_аналитики'!G1572,WeightedRevAge14)-SUMIF(ThresholdAge14,"&lt;"&amp;'19_Расчет_аналитики'!G1572,WeightedMinAge14),MAX(CapacityAge14*'01_Вводные'!$B$218*'19_Расчет_аналитики'!G1572,MeanMinAge14)))</f>
        <v/>
      </c>
      <c r="H1517">
        <f>IF(OR(('06_Сеть_и_дети'!H66-'06_Сеть_и_дети'!H94)=0,14&lt;='01_Вводные'!$B$297),0,('06_Сеть_и_дети'!H66-'06_Сеть_и_дети'!H94)*IF('01_Вводные'!$B$239="Да",MeanMinAge14+'19_Расчет_аналитики'!H1572*SUMIF(ThresholdAge14,"&lt;"&amp;'19_Расчет_аналитики'!H1572,WeightedRevAge14)-SUMIF(ThresholdAge14,"&lt;"&amp;'19_Расчет_аналитики'!H1572,WeightedMinAge14),MAX(CapacityAge14*'01_Вводные'!$B$218*'19_Расчет_аналитики'!H1572,MeanMinAge14)))</f>
        <v/>
      </c>
      <c r="I1517">
        <f>IF(OR(('06_Сеть_и_дети'!I66-'06_Сеть_и_дети'!I94)=0,14&lt;='01_Вводные'!$B$297),0,('06_Сеть_и_дети'!I66-'06_Сеть_и_дети'!I94)*IF('01_Вводные'!$B$239="Да",MeanMinAge14+'19_Расчет_аналитики'!I1572*SUMIF(ThresholdAge14,"&lt;"&amp;'19_Расчет_аналитики'!I1572,WeightedRevAge14)-SUMIF(ThresholdAge14,"&lt;"&amp;'19_Расчет_аналитики'!I1572,WeightedMinAge14),MAX(CapacityAge14*'01_Вводные'!$B$218*'19_Расчет_аналитики'!I1572,MeanMinAge14)))</f>
        <v/>
      </c>
      <c r="J1517">
        <f>IF(OR(('06_Сеть_и_дети'!J66-'06_Сеть_и_дети'!J94)=0,14&lt;='01_Вводные'!$B$297),0,('06_Сеть_и_дети'!J66-'06_Сеть_и_дети'!J94)*IF('01_Вводные'!$B$239="Да",MeanMinAge14+'19_Расчет_аналитики'!J1572*SUMIF(ThresholdAge14,"&lt;"&amp;'19_Расчет_аналитики'!J1572,WeightedRevAge14)-SUMIF(ThresholdAge14,"&lt;"&amp;'19_Расчет_аналитики'!J1572,WeightedMinAge14),MAX(CapacityAge14*'01_Вводные'!$B$218*'19_Расчет_аналитики'!J1572,MeanMinAge14)))</f>
        <v/>
      </c>
      <c r="K1517">
        <f>IF(OR(('06_Сеть_и_дети'!K66-'06_Сеть_и_дети'!K94)=0,14&lt;='01_Вводные'!$B$297),0,('06_Сеть_и_дети'!K66-'06_Сеть_и_дети'!K94)*IF('01_Вводные'!$B$239="Да",MeanMinAge14+'19_Расчет_аналитики'!K1572*SUMIF(ThresholdAge14,"&lt;"&amp;'19_Расчет_аналитики'!K1572,WeightedRevAge14)-SUMIF(ThresholdAge14,"&lt;"&amp;'19_Расчет_аналитики'!K1572,WeightedMinAge14),MAX(CapacityAge14*'01_Вводные'!$B$218*'19_Расчет_аналитики'!K1572,MeanMinAge14)))</f>
        <v/>
      </c>
      <c r="L1517">
        <f>IF(OR(('06_Сеть_и_дети'!L66-'06_Сеть_и_дети'!L94)=0,14&lt;='01_Вводные'!$B$297),0,('06_Сеть_и_дети'!L66-'06_Сеть_и_дети'!L94)*IF('01_Вводные'!$B$239="Да",MeanMinAge14+'19_Расчет_аналитики'!L1572*SUMIF(ThresholdAge14,"&lt;"&amp;'19_Расчет_аналитики'!L1572,WeightedRevAge14)-SUMIF(ThresholdAge14,"&lt;"&amp;'19_Расчет_аналитики'!L1572,WeightedMinAge14),MAX(CapacityAge14*'01_Вводные'!$B$218*'19_Расчет_аналитики'!L1572,MeanMinAge14)))</f>
        <v/>
      </c>
      <c r="M1517">
        <f>IF(OR(('06_Сеть_и_дети'!M66-'06_Сеть_и_дети'!M94)=0,14&lt;='01_Вводные'!$B$297),0,('06_Сеть_и_дети'!M66-'06_Сеть_и_дети'!M94)*IF('01_Вводные'!$B$239="Да",MeanMinAge14+'19_Расчет_аналитики'!M1572*SUMIF(ThresholdAge14,"&lt;"&amp;'19_Расчет_аналитики'!M1572,WeightedRevAge14)-SUMIF(ThresholdAge14,"&lt;"&amp;'19_Расчет_аналитики'!M1572,WeightedMinAge14),MAX(CapacityAge14*'01_Вводные'!$B$218*'19_Расчет_аналитики'!M1572,MeanMinAge14)))</f>
        <v/>
      </c>
      <c r="N1517">
        <f>IF(OR(('06_Сеть_и_дети'!N66-'06_Сеть_и_дети'!N94)=0,14&lt;='01_Вводные'!$B$297),0,('06_Сеть_и_дети'!N66-'06_Сеть_и_дети'!N94)*IF('01_Вводные'!$B$239="Да",MeanMinAge14+'19_Расчет_аналитики'!N1572*SUMIF(ThresholdAge14,"&lt;"&amp;'19_Расчет_аналитики'!N1572,WeightedRevAge14)-SUMIF(ThresholdAge14,"&lt;"&amp;'19_Расчет_аналитики'!N1572,WeightedMinAge14),MAX(CapacityAge14*'01_Вводные'!$B$218*'19_Расчет_аналитики'!N1572,MeanMinAge14)))</f>
        <v/>
      </c>
      <c r="O1517">
        <f>IF(OR(('19_Расчет_аналитики'!O1433-'19_Расчет_аналитики'!O1461)=0,14&lt;='01_Вводные'!$B$297),0,('19_Расчет_аналитики'!O1433-'19_Расчет_аналитики'!O1461)*IF('01_Вводные'!$B$239="Да",MeanMinAge14+'19_Расчет_аналитики'!O1572*SUMIF(ThresholdAge14,"&lt;"&amp;'19_Расчет_аналитики'!O1572,WeightedRevAge14)-SUMIF(ThresholdAge14,"&lt;"&amp;'19_Расчет_аналитики'!O1572,WeightedMinAge14),MAX(CapacityAge14*'01_Вводные'!$B$218*'19_Расчет_аналитики'!O1572,MeanMinAge14)))</f>
        <v/>
      </c>
      <c r="P1517">
        <f>IF(OR(('19_Расчет_аналитики'!P1433-'19_Расчет_аналитики'!P1461)=0,14&lt;='01_Вводные'!$B$297),0,('19_Расчет_аналитики'!P1433-'19_Расчет_аналитики'!P1461)*IF('01_Вводные'!$B$239="Да",MeanMinAge14+'19_Расчет_аналитики'!P1572*SUMIF(ThresholdAge14,"&lt;"&amp;'19_Расчет_аналитики'!P1572,WeightedRevAge14)-SUMIF(ThresholdAge14,"&lt;"&amp;'19_Расчет_аналитики'!P1572,WeightedMinAge14),MAX(CapacityAge14*'01_Вводные'!$B$218*'19_Расчет_аналитики'!P1572,MeanMinAge14)))</f>
        <v/>
      </c>
      <c r="Q1517">
        <f>IF(OR(('19_Расчет_аналитики'!Q1433-'19_Расчет_аналитики'!Q1461)=0,14&lt;='01_Вводные'!$B$297),0,('19_Расчет_аналитики'!Q1433-'19_Расчет_аналитики'!Q1461)*IF('01_Вводные'!$B$239="Да",MeanMinAge14+'19_Расчет_аналитики'!Q1572*SUMIF(ThresholdAge14,"&lt;"&amp;'19_Расчет_аналитики'!Q1572,WeightedRevAge14)-SUMIF(ThresholdAge14,"&lt;"&amp;'19_Расчет_аналитики'!Q1572,WeightedMinAge14),MAX(CapacityAge14*'01_Вводные'!$B$218*'19_Расчет_аналитики'!Q1572,MeanMinAge14)))</f>
        <v/>
      </c>
      <c r="R1517">
        <f>IF(OR(('19_Расчет_аналитики'!R1433-'19_Расчет_аналитики'!R1461)=0,14&lt;='01_Вводные'!$B$297),0,('19_Расчет_аналитики'!R1433-'19_Расчет_аналитики'!R1461)*IF('01_Вводные'!$B$239="Да",MeanMinAge14+'19_Расчет_аналитики'!R1572*SUMIF(ThresholdAge14,"&lt;"&amp;'19_Расчет_аналитики'!R1572,WeightedRevAge14)-SUMIF(ThresholdAge14,"&lt;"&amp;'19_Расчет_аналитики'!R1572,WeightedMinAge14),MAX(CapacityAge14*'01_Вводные'!$B$218*'19_Расчет_аналитики'!R1572,MeanMinAge14)))</f>
        <v/>
      </c>
      <c r="S1517">
        <f>IF(OR(('19_Расчет_аналитики'!S1433-'19_Расчет_аналитики'!S1461)=0,14&lt;='01_Вводные'!$B$297),0,('19_Расчет_аналитики'!S1433-'19_Расчет_аналитики'!S1461)*IF('01_Вводные'!$B$239="Да",MeanMinAge14+'19_Расчет_аналитики'!S1572*SUMIF(ThresholdAge14,"&lt;"&amp;'19_Расчет_аналитики'!S1572,WeightedRevAge14)-SUMIF(ThresholdAge14,"&lt;"&amp;'19_Расчет_аналитики'!S1572,WeightedMinAge14),MAX(CapacityAge14*'01_Вводные'!$B$218*'19_Расчет_аналитики'!S1572,MeanMinAge14)))</f>
        <v/>
      </c>
      <c r="T1517">
        <f>IF(OR(('19_Расчет_аналитики'!T1433-'19_Расчет_аналитики'!T1461)=0,14&lt;='01_Вводные'!$B$297),0,('19_Расчет_аналитики'!T1433-'19_Расчет_аналитики'!T1461)*IF('01_Вводные'!$B$239="Да",MeanMinAge14+'19_Расчет_аналитики'!T1572*SUMIF(ThresholdAge14,"&lt;"&amp;'19_Расчет_аналитики'!T1572,WeightedRevAge14)-SUMIF(ThresholdAge14,"&lt;"&amp;'19_Расчет_аналитики'!T1572,WeightedMinAge14),MAX(CapacityAge14*'01_Вводные'!$B$218*'19_Расчет_аналитики'!T1572,MeanMinAge14)))</f>
        <v/>
      </c>
      <c r="U1517">
        <f>IF(OR(('19_Расчет_аналитики'!U1433-'19_Расчет_аналитики'!U1461)=0,14&lt;='01_Вводные'!$B$297),0,('19_Расчет_аналитики'!U1433-'19_Расчет_аналитики'!U1461)*IF('01_Вводные'!$B$239="Да",MeanMinAge14+'19_Расчет_аналитики'!U1572*SUMIF(ThresholdAge14,"&lt;"&amp;'19_Расчет_аналитики'!U1572,WeightedRevAge14)-SUMIF(ThresholdAge14,"&lt;"&amp;'19_Расчет_аналитики'!U1572,WeightedMinAge14),MAX(CapacityAge14*'01_Вводные'!$B$218*'19_Расчет_аналитики'!U1572,MeanMinAge14)))</f>
        <v/>
      </c>
      <c r="V1517">
        <f>IF(OR(('19_Расчет_аналитики'!V1433-'19_Расчет_аналитики'!V1461)=0,14&lt;='01_Вводные'!$B$297),0,('19_Расчет_аналитики'!V1433-'19_Расчет_аналитики'!V1461)*IF('01_Вводные'!$B$239="Да",MeanMinAge14+'19_Расчет_аналитики'!V1572*SUMIF(ThresholdAge14,"&lt;"&amp;'19_Расчет_аналитики'!V1572,WeightedRevAge14)-SUMIF(ThresholdAge14,"&lt;"&amp;'19_Расчет_аналитики'!V1572,WeightedMinAge14),MAX(CapacityAge14*'01_Вводные'!$B$218*'19_Расчет_аналитики'!V1572,MeanMinAge14)))</f>
        <v/>
      </c>
      <c r="W1517">
        <f>IF(OR(('19_Расчет_аналитики'!W1433-'19_Расчет_аналитики'!W1461)=0,14&lt;='01_Вводные'!$B$297),0,('19_Расчет_аналитики'!W1433-'19_Расчет_аналитики'!W1461)*IF('01_Вводные'!$B$239="Да",MeanMinAge14+'19_Расчет_аналитики'!W1572*SUMIF(ThresholdAge14,"&lt;"&amp;'19_Расчет_аналитики'!W1572,WeightedRevAge14)-SUMIF(ThresholdAge14,"&lt;"&amp;'19_Расчет_аналитики'!W1572,WeightedMinAge14),MAX(CapacityAge14*'01_Вводные'!$B$218*'19_Расчет_аналитики'!W1572,MeanMinAge14)))</f>
        <v/>
      </c>
      <c r="X1517">
        <f>IF(OR(('19_Расчет_аналитики'!X1433-'19_Расчет_аналитики'!X1461)=0,14&lt;='01_Вводные'!$B$297),0,('19_Расчет_аналитики'!X1433-'19_Расчет_аналитики'!X1461)*IF('01_Вводные'!$B$239="Да",MeanMinAge14+'19_Расчет_аналитики'!X1572*SUMIF(ThresholdAge14,"&lt;"&amp;'19_Расчет_аналитики'!X1572,WeightedRevAge14)-SUMIF(ThresholdAge14,"&lt;"&amp;'19_Расчет_аналитики'!X1572,WeightedMinAge14),MAX(CapacityAge14*'01_Вводные'!$B$218*'19_Расчет_аналитики'!X1572,MeanMinAge14)))</f>
        <v/>
      </c>
      <c r="Y1517">
        <f>IF(OR(('19_Расчет_аналитики'!Y1433-'19_Расчет_аналитики'!Y1461)=0,14&lt;='01_Вводные'!$B$297),0,('19_Расчет_аналитики'!Y1433-'19_Расчет_аналитики'!Y1461)*IF('01_Вводные'!$B$239="Да",MeanMinAge14+'19_Расчет_аналитики'!Y1572*SUMIF(ThresholdAge14,"&lt;"&amp;'19_Расчет_аналитики'!Y1572,WeightedRevAge14)-SUMIF(ThresholdAge14,"&lt;"&amp;'19_Расчет_аналитики'!Y1572,WeightedMinAge14),MAX(CapacityAge14*'01_Вводные'!$B$218*'19_Расчет_аналитики'!Y1572,MeanMinAge14)))</f>
        <v/>
      </c>
      <c r="Z1517">
        <f>IF(OR(('19_Расчет_аналитики'!Z1433-'19_Расчет_аналитики'!Z1461)=0,14&lt;='01_Вводные'!$B$297),0,('19_Расчет_аналитики'!Z1433-'19_Расчет_аналитики'!Z1461)*IF('01_Вводные'!$B$239="Да",MeanMinAge14+'19_Расчет_аналитики'!Z1572*SUMIF(ThresholdAge14,"&lt;"&amp;'19_Расчет_аналитики'!Z1572,WeightedRevAge14)-SUMIF(ThresholdAge14,"&lt;"&amp;'19_Расчет_аналитики'!Z1572,WeightedMinAge14),MAX(CapacityAge14*'01_Вводные'!$B$218*'19_Расчет_аналитики'!Z1572,MeanMinAge14)))</f>
        <v/>
      </c>
      <c r="AA1517">
        <f>IF(OR(('19_Расчет_аналитики'!AA1433-'19_Расчет_аналитики'!AA1461)=0,14&lt;='01_Вводные'!$B$297),0,('19_Расчет_аналитики'!AA1433-'19_Расчет_аналитики'!AA1461)*IF('01_Вводные'!$B$239="Да",MeanMinAge14+'19_Расчет_аналитики'!AA1572*SUMIF(ThresholdAge14,"&lt;"&amp;'19_Расчет_аналитики'!AA1572,WeightedRevAge14)-SUMIF(ThresholdAge14,"&lt;"&amp;'19_Расчет_аналитики'!AA1572,WeightedMinAge14),MAX(CapacityAge14*'01_Вводные'!$B$218*'19_Расчет_аналитики'!AA1572,MeanMinAge14)))</f>
        <v/>
      </c>
      <c r="AB1517">
        <f>IF(OR(('19_Расчет_аналитики'!AB1433-'19_Расчет_аналитики'!AB1461)=0,14&lt;='01_Вводные'!$B$297),0,('19_Расчет_аналитики'!AB1433-'19_Расчет_аналитики'!AB1461)*IF('01_Вводные'!$B$239="Да",MeanMinAge14+'19_Расчет_аналитики'!AB1572*SUMIF(ThresholdAge14,"&lt;"&amp;'19_Расчет_аналитики'!AB1572,WeightedRevAge14)-SUMIF(ThresholdAge14,"&lt;"&amp;'19_Расчет_аналитики'!AB1572,WeightedMinAge14),MAX(CapacityAge14*'01_Вводные'!$B$218*'19_Расчет_аналитики'!AB1572,MeanMinAge14)))</f>
        <v/>
      </c>
      <c r="AC1517">
        <f>IF(OR(('19_Расчет_аналитики'!AC1433-'19_Расчет_аналитики'!AC1461)=0,14&lt;='01_Вводные'!$B$297),0,('19_Расчет_аналитики'!AC1433-'19_Расчет_аналитики'!AC1461)*IF('01_Вводные'!$B$239="Да",MeanMinAge14+'19_Расчет_аналитики'!AC1572*SUMIF(ThresholdAge14,"&lt;"&amp;'19_Расчет_аналитики'!AC1572,WeightedRevAge14)-SUMIF(ThresholdAge14,"&lt;"&amp;'19_Расчет_аналитики'!AC1572,WeightedMinAge14),MAX(CapacityAge14*'01_Вводные'!$B$218*'19_Расчет_аналитики'!AC1572,MeanMinAge14)))</f>
        <v/>
      </c>
      <c r="AD1517">
        <f>IF(OR(('19_Расчет_аналитики'!AD1433-'19_Расчет_аналитики'!AD1461)=0,14&lt;='01_Вводные'!$B$297),0,('19_Расчет_аналитики'!AD1433-'19_Расчет_аналитики'!AD1461)*IF('01_Вводные'!$B$239="Да",MeanMinAge14+'19_Расчет_аналитики'!AD1572*SUMIF(ThresholdAge14,"&lt;"&amp;'19_Расчет_аналитики'!AD1572,WeightedRevAge14)-SUMIF(ThresholdAge14,"&lt;"&amp;'19_Расчет_аналитики'!AD1572,WeightedMinAge14),MAX(CapacityAge14*'01_Вводные'!$B$218*'19_Расчет_аналитики'!AD1572,MeanMinAge14)))</f>
        <v/>
      </c>
      <c r="AE1517">
        <f>IF(OR(('19_Расчет_аналитики'!AE1433-'19_Расчет_аналитики'!AE1461)=0,14&lt;='01_Вводные'!$B$297),0,('19_Расчет_аналитики'!AE1433-'19_Расчет_аналитики'!AE1461)*IF('01_Вводные'!$B$239="Да",MeanMinAge14+'19_Расчет_аналитики'!AE1572*SUMIF(ThresholdAge14,"&lt;"&amp;'19_Расчет_аналитики'!AE1572,WeightedRevAge14)-SUMIF(ThresholdAge14,"&lt;"&amp;'19_Расчет_аналитики'!AE1572,WeightedMinAge14),MAX(CapacityAge14*'01_Вводные'!$B$218*'19_Расчет_аналитики'!AE1572,MeanMinAge14)))</f>
        <v/>
      </c>
      <c r="AF1517">
        <f>IF(OR(('19_Расчет_аналитики'!AF1433-'19_Расчет_аналитики'!AF1461)=0,14&lt;='01_Вводные'!$B$297),0,('19_Расчет_аналитики'!AF1433-'19_Расчет_аналитики'!AF1461)*IF('01_Вводные'!$B$239="Да",MeanMinAge14+'19_Расчет_аналитики'!AF1572*SUMIF(ThresholdAge14,"&lt;"&amp;'19_Расчет_аналитики'!AF1572,WeightedRevAge14)-SUMIF(ThresholdAge14,"&lt;"&amp;'19_Расчет_аналитики'!AF1572,WeightedMinAge14),MAX(CapacityAge14*'01_Вводные'!$B$218*'19_Расчет_аналитики'!AF1572,MeanMinAge14)))</f>
        <v/>
      </c>
      <c r="AG1517">
        <f>IF(OR(('19_Расчет_аналитики'!AG1433-'19_Расчет_аналитики'!AG1461)=0,14&lt;='01_Вводные'!$B$297),0,('19_Расчет_аналитики'!AG1433-'19_Расчет_аналитики'!AG1461)*IF('01_Вводные'!$B$239="Да",MeanMinAge14+'19_Расчет_аналитики'!AG1572*SUMIF(ThresholdAge14,"&lt;"&amp;'19_Расчет_аналитики'!AG1572,WeightedRevAge14)-SUMIF(ThresholdAge14,"&lt;"&amp;'19_Расчет_аналитики'!AG1572,WeightedMinAge14),MAX(CapacityAge14*'01_Вводные'!$B$218*'19_Расчет_аналитики'!AG1572,MeanMinAge14)))</f>
        <v/>
      </c>
      <c r="AH1517">
        <f>IF(OR(('19_Расчет_аналитики'!AH1433-'19_Расчет_аналитики'!AH1461)=0,14&lt;='01_Вводные'!$B$297),0,('19_Расчет_аналитики'!AH1433-'19_Расчет_аналитики'!AH1461)*IF('01_Вводные'!$B$239="Да",MeanMinAge14+'19_Расчет_аналитики'!AH1572*SUMIF(ThresholdAge14,"&lt;"&amp;'19_Расчет_аналитики'!AH1572,WeightedRevAge14)-SUMIF(ThresholdAge14,"&lt;"&amp;'19_Расчет_аналитики'!AH1572,WeightedMinAge14),MAX(CapacityAge14*'01_Вводные'!$B$218*'19_Расчет_аналитики'!AH1572,MeanMinAge14)))</f>
        <v/>
      </c>
      <c r="AI1517">
        <f>IF(OR(('19_Расчет_аналитики'!AI1433-'19_Расчет_аналитики'!AI1461)=0,14&lt;='01_Вводные'!$B$297),0,('19_Расчет_аналитики'!AI1433-'19_Расчет_аналитики'!AI1461)*IF('01_Вводные'!$B$239="Да",MeanMinAge14+'19_Расчет_аналитики'!AI1572*SUMIF(ThresholdAge14,"&lt;"&amp;'19_Расчет_аналитики'!AI1572,WeightedRevAge14)-SUMIF(ThresholdAge14,"&lt;"&amp;'19_Расчет_аналитики'!AI1572,WeightedMinAge14),MAX(CapacityAge14*'01_Вводные'!$B$218*'19_Расчет_аналитики'!AI1572,MeanMinAge14)))</f>
        <v/>
      </c>
      <c r="AJ1517">
        <f>IF(OR(('19_Расчет_аналитики'!AJ1433-'19_Расчет_аналитики'!AJ1461)=0,14&lt;='01_Вводные'!$B$297),0,('19_Расчет_аналитики'!AJ1433-'19_Расчет_аналитики'!AJ1461)*IF('01_Вводные'!$B$239="Да",MeanMinAge14+'19_Расчет_аналитики'!AJ1572*SUMIF(ThresholdAge14,"&lt;"&amp;'19_Расчет_аналитики'!AJ1572,WeightedRevAge14)-SUMIF(ThresholdAge14,"&lt;"&amp;'19_Расчет_аналитики'!AJ1572,WeightedMinAge14),MAX(CapacityAge14*'01_Вводные'!$B$218*'19_Расчет_аналитики'!AJ1572,MeanMinAge14)))</f>
        <v/>
      </c>
      <c r="AK1517">
        <f>IF(OR(('19_Расчет_аналитики'!AK1433-'19_Расчет_аналитики'!AK1461)=0,14&lt;='01_Вводные'!$B$297),0,('19_Расчет_аналитики'!AK1433-'19_Расчет_аналитики'!AK1461)*IF('01_Вводные'!$B$239="Да",MeanMinAge14+'19_Расчет_аналитики'!AK1572*SUMIF(ThresholdAge14,"&lt;"&amp;'19_Расчет_аналитики'!AK1572,WeightedRevAge14)-SUMIF(ThresholdAge14,"&lt;"&amp;'19_Расчет_аналитики'!AK1572,WeightedMinAge14),MAX(CapacityAge14*'01_Вводные'!$B$218*'19_Расчет_аналитики'!AK1572,MeanMinAge14)))</f>
        <v/>
      </c>
      <c r="AL1517">
        <f>IF(OR(('19_Расчет_аналитики'!AL1433-'19_Расчет_аналитики'!AL1461)=0,14&lt;='01_Вводные'!$B$297),0,('19_Расчет_аналитики'!AL1433-'19_Расчет_аналитики'!AL1461)*IF('01_Вводные'!$B$239="Да",MeanMinAge14+'19_Расчет_аналитики'!AL1572*SUMIF(ThresholdAge14,"&lt;"&amp;'19_Расчет_аналитики'!AL1572,WeightedRevAge14)-SUMIF(ThresholdAge14,"&lt;"&amp;'19_Расчет_аналитики'!AL1572,WeightedMinAge14),MAX(CapacityAge14*'01_Вводные'!$B$218*'19_Расчет_аналитики'!AL1572,MeanMinAge14)))</f>
        <v/>
      </c>
      <c r="AM1517">
        <f>IF(OR(('19_Расчет_аналитики'!AM1433-'19_Расчет_аналитики'!AM1461)=0,14&lt;='01_Вводные'!$B$297),0,('19_Расчет_аналитики'!AM1433-'19_Расчет_аналитики'!AM1461)*IF('01_Вводные'!$B$239="Да",MeanMinAge14+'19_Расчет_аналитики'!AM1572*SUMIF(ThresholdAge14,"&lt;"&amp;'19_Расчет_аналитики'!AM1572,WeightedRevAge14)-SUMIF(ThresholdAge14,"&lt;"&amp;'19_Расчет_аналитики'!AM1572,WeightedMinAge14),MAX(CapacityAge14*'01_Вводные'!$B$218*'19_Расчет_аналитики'!AM1572,MeanMinAge14)))</f>
        <v/>
      </c>
      <c r="AN1517">
        <f>IF(OR(('19_Расчет_аналитики'!AN1433-'19_Расчет_аналитики'!AN1461)=0,14&lt;='01_Вводные'!$B$297),0,('19_Расчет_аналитики'!AN1433-'19_Расчет_аналитики'!AN1461)*IF('01_Вводные'!$B$239="Да",MeanMinAge14+'19_Расчет_аналитики'!AN1572*SUMIF(ThresholdAge14,"&lt;"&amp;'19_Расчет_аналитики'!AN1572,WeightedRevAge14)-SUMIF(ThresholdAge14,"&lt;"&amp;'19_Расчет_аналитики'!AN1572,WeightedMinAge14),MAX(CapacityAge14*'01_Вводные'!$B$218*'19_Расчет_аналитики'!AN1572,MeanMinAge14)))</f>
        <v/>
      </c>
      <c r="AO1517">
        <f>IF(OR(('19_Расчет_аналитики'!AO1433-'19_Расчет_аналитики'!AO1461)=0,14&lt;='01_Вводные'!$B$297),0,('19_Расчет_аналитики'!AO1433-'19_Расчет_аналитики'!AO1461)*IF('01_Вводные'!$B$239="Да",MeanMinAge14+'19_Расчет_аналитики'!AO1572*SUMIF(ThresholdAge14,"&lt;"&amp;'19_Расчет_аналитики'!AO1572,WeightedRevAge14)-SUMIF(ThresholdAge14,"&lt;"&amp;'19_Расчет_аналитики'!AO1572,WeightedMinAge14),MAX(CapacityAge14*'01_Вводные'!$B$218*'19_Расчет_аналитики'!AO1572,MeanMinAge14)))</f>
        <v/>
      </c>
      <c r="AP1517">
        <f>IF(OR(('19_Расчет_аналитики'!AP1433-'19_Расчет_аналитики'!AP1461)=0,14&lt;='01_Вводные'!$B$297),0,('19_Расчет_аналитики'!AP1433-'19_Расчет_аналитики'!AP1461)*IF('01_Вводные'!$B$239="Да",MeanMinAge14+'19_Расчет_аналитики'!AP1572*SUMIF(ThresholdAge14,"&lt;"&amp;'19_Расчет_аналитики'!AP1572,WeightedRevAge14)-SUMIF(ThresholdAge14,"&lt;"&amp;'19_Расчет_аналитики'!AP1572,WeightedMinAge14),MAX(CapacityAge14*'01_Вводные'!$B$218*'19_Расчет_аналитики'!AP1572,MeanMinAge14)))</f>
        <v/>
      </c>
      <c r="AQ1517">
        <f>IF(OR(('19_Расчет_аналитики'!AQ1433-'19_Расчет_аналитики'!AQ1461)=0,14&lt;='01_Вводные'!$B$297),0,('19_Расчет_аналитики'!AQ1433-'19_Расчет_аналитики'!AQ1461)*IF('01_Вводные'!$B$239="Да",MeanMinAge14+'19_Расчет_аналитики'!AQ1572*SUMIF(ThresholdAge14,"&lt;"&amp;'19_Расчет_аналитики'!AQ1572,WeightedRevAge14)-SUMIF(ThresholdAge14,"&lt;"&amp;'19_Расчет_аналитики'!AQ1572,WeightedMinAge14),MAX(CapacityAge14*'01_Вводные'!$B$218*'19_Расчет_аналитики'!AQ1572,MeanMinAge14)))</f>
        <v/>
      </c>
      <c r="AR1517">
        <f>IF(OR(('19_Расчет_аналитики'!AR1433-'19_Расчет_аналитики'!AR1461)=0,14&lt;='01_Вводные'!$B$297),0,('19_Расчет_аналитики'!AR1433-'19_Расчет_аналитики'!AR1461)*IF('01_Вводные'!$B$239="Да",MeanMinAge14+'19_Расчет_аналитики'!AR1572*SUMIF(ThresholdAge14,"&lt;"&amp;'19_Расчет_аналитики'!AR1572,WeightedRevAge14)-SUMIF(ThresholdAge14,"&lt;"&amp;'19_Расчет_аналитики'!AR1572,WeightedMinAge14),MAX(CapacityAge14*'01_Вводные'!$B$218*'19_Расчет_аналитики'!AR1572,MeanMinAge14)))</f>
        <v/>
      </c>
      <c r="AS1517">
        <f>IF(OR(('19_Расчет_аналитики'!AS1433-'19_Расчет_аналитики'!AS1461)=0,14&lt;='01_Вводные'!$B$297),0,('19_Расчет_аналитики'!AS1433-'19_Расчет_аналитики'!AS1461)*IF('01_Вводные'!$B$239="Да",MeanMinAge14+'19_Расчет_аналитики'!AS1572*SUMIF(ThresholdAge14,"&lt;"&amp;'19_Расчет_аналитики'!AS1572,WeightedRevAge14)-SUMIF(ThresholdAge14,"&lt;"&amp;'19_Расчет_аналитики'!AS1572,WeightedMinAge14),MAX(CapacityAge14*'01_Вводные'!$B$218*'19_Расчет_аналитики'!AS1572,MeanMinAge14)))</f>
        <v/>
      </c>
      <c r="AT1517">
        <f>IF(OR(('19_Расчет_аналитики'!AT1433-'19_Расчет_аналитики'!AT1461)=0,14&lt;='01_Вводные'!$B$297),0,('19_Расчет_аналитики'!AT1433-'19_Расчет_аналитики'!AT1461)*IF('01_Вводные'!$B$239="Да",MeanMinAge14+'19_Расчет_аналитики'!AT1572*SUMIF(ThresholdAge14,"&lt;"&amp;'19_Расчет_аналитики'!AT1572,WeightedRevAge14)-SUMIF(ThresholdAge14,"&lt;"&amp;'19_Расчет_аналитики'!AT1572,WeightedMinAge14),MAX(CapacityAge14*'01_Вводные'!$B$218*'19_Расчет_аналитики'!AT1572,MeanMinAge14)))</f>
        <v/>
      </c>
      <c r="AU1517">
        <f>IF(OR(('19_Расчет_аналитики'!AU1433-'19_Расчет_аналитики'!AU1461)=0,14&lt;='01_Вводные'!$B$297),0,('19_Расчет_аналитики'!AU1433-'19_Расчет_аналитики'!AU1461)*IF('01_Вводные'!$B$239="Да",MeanMinAge14+'19_Расчет_аналитики'!AU1572*SUMIF(ThresholdAge14,"&lt;"&amp;'19_Расчет_аналитики'!AU1572,WeightedRevAge14)-SUMIF(ThresholdAge14,"&lt;"&amp;'19_Расчет_аналитики'!AU1572,WeightedMinAge14),MAX(CapacityAge14*'01_Вводные'!$B$218*'19_Расчет_аналитики'!AU1572,MeanMinAge14)))</f>
        <v/>
      </c>
      <c r="AV1517">
        <f>IF(OR(('19_Расчет_аналитики'!AV1433-'19_Расчет_аналитики'!AV1461)=0,14&lt;='01_Вводные'!$B$297),0,('19_Расчет_аналитики'!AV1433-'19_Расчет_аналитики'!AV1461)*IF('01_Вводные'!$B$239="Да",MeanMinAge14+'19_Расчет_аналитики'!AV1572*SUMIF(ThresholdAge14,"&lt;"&amp;'19_Расчет_аналитики'!AV1572,WeightedRevAge14)-SUMIF(ThresholdAge14,"&lt;"&amp;'19_Расчет_аналитики'!AV1572,WeightedMinAge14),MAX(CapacityAge14*'01_Вводные'!$B$218*'19_Расчет_аналитики'!AV1572,MeanMinAge14)))</f>
        <v/>
      </c>
      <c r="AW1517">
        <f>IF(OR(('19_Расчет_аналитики'!AW1433-'19_Расчет_аналитики'!AW1461)=0,14&lt;='01_Вводные'!$B$297),0,('19_Расчет_аналитики'!AW1433-'19_Расчет_аналитики'!AW1461)*IF('01_Вводные'!$B$239="Да",MeanMinAge14+'19_Расчет_аналитики'!AW1572*SUMIF(ThresholdAge14,"&lt;"&amp;'19_Расчет_аналитики'!AW1572,WeightedRevAge14)-SUMIF(ThresholdAge14,"&lt;"&amp;'19_Расчет_аналитики'!AW1572,WeightedMinAge14),MAX(CapacityAge14*'01_Вводные'!$B$218*'19_Расчет_аналитики'!AW1572,MeanMinAge14)))</f>
        <v/>
      </c>
      <c r="AX1517">
        <f>IF(OR(('19_Расчет_аналитики'!AX1433-'19_Расчет_аналитики'!AX1461)=0,14&lt;='01_Вводные'!$B$297),0,('19_Расчет_аналитики'!AX1433-'19_Расчет_аналитики'!AX1461)*IF('01_Вводные'!$B$239="Да",MeanMinAge14+'19_Расчет_аналитики'!AX1572*SUMIF(ThresholdAge14,"&lt;"&amp;'19_Расчет_аналитики'!AX1572,WeightedRevAge14)-SUMIF(ThresholdAge14,"&lt;"&amp;'19_Расчет_аналитики'!AX1572,WeightedMinAge14),MAX(CapacityAge14*'01_Вводные'!$B$218*'19_Расчет_аналитики'!AX1572,MeanMinAge14)))</f>
        <v/>
      </c>
      <c r="AY1517">
        <f>IF(OR(('19_Расчет_аналитики'!AY1433-'19_Расчет_аналитики'!AY1461)=0,14&lt;='01_Вводные'!$B$297),0,('19_Расчет_аналитики'!AY1433-'19_Расчет_аналитики'!AY1461)*IF('01_Вводные'!$B$239="Да",MeanMinAge14+'19_Расчет_аналитики'!AY1572*SUMIF(ThresholdAge14,"&lt;"&amp;'19_Расчет_аналитики'!AY1572,WeightedRevAge14)-SUMIF(ThresholdAge14,"&lt;"&amp;'19_Расчет_аналитики'!AY1572,WeightedMinAge14),MAX(CapacityAge14*'01_Вводные'!$B$218*'19_Расчет_аналитики'!AY1572,MeanMinAge14)))</f>
        <v/>
      </c>
      <c r="AZ1517">
        <f>IF(OR(('19_Расчет_аналитики'!AZ1433-'19_Расчет_аналитики'!AZ1461)=0,14&lt;='01_Вводные'!$B$297),0,('19_Расчет_аналитики'!AZ1433-'19_Расчет_аналитики'!AZ1461)*IF('01_Вводные'!$B$239="Да",MeanMinAge14+'19_Расчет_аналитики'!AZ1572*SUMIF(ThresholdAge14,"&lt;"&amp;'19_Расчет_аналитики'!AZ1572,WeightedRevAge14)-SUMIF(ThresholdAge14,"&lt;"&amp;'19_Расчет_аналитики'!AZ1572,WeightedMinAge14),MAX(CapacityAge14*'01_Вводные'!$B$218*'19_Расчет_аналитики'!AZ1572,MeanMinAge14)))</f>
        <v/>
      </c>
      <c r="BA1517">
        <f>IF(OR(('19_Расчет_аналитики'!BA1433-'19_Расчет_аналитики'!BA1461)=0,14&lt;='01_Вводные'!$B$297),0,('19_Расчет_аналитики'!BA1433-'19_Расчет_аналитики'!BA1461)*IF('01_Вводные'!$B$239="Да",MeanMinAge14+'19_Расчет_аналитики'!BA1572*SUMIF(ThresholdAge14,"&lt;"&amp;'19_Расчет_аналитики'!BA1572,WeightedRevAge14)-SUMIF(ThresholdAge14,"&lt;"&amp;'19_Расчет_аналитики'!BA1572,WeightedMinAge14),MAX(CapacityAge14*'01_Вводные'!$B$218*'19_Расчет_аналитики'!BA1572,MeanMinAge14)))</f>
        <v/>
      </c>
      <c r="BB1517">
        <f>IF(OR(('19_Расчет_аналитики'!BB1433-'19_Расчет_аналитики'!BB1461)=0,14&lt;='01_Вводные'!$B$297),0,('19_Расчет_аналитики'!BB1433-'19_Расчет_аналитики'!BB1461)*IF('01_Вводные'!$B$239="Да",MeanMinAge14+'19_Расчет_аналитики'!BB1572*SUMIF(ThresholdAge14,"&lt;"&amp;'19_Расчет_аналитики'!BB1572,WeightedRevAge14)-SUMIF(ThresholdAge14,"&lt;"&amp;'19_Расчет_аналитики'!BB1572,WeightedMinAge14),MAX(CapacityAge14*'01_Вводные'!$B$218*'19_Расчет_аналитики'!BB1572,MeanMinAge14)))</f>
        <v/>
      </c>
      <c r="BC1517">
        <f>IF(OR(('19_Расчет_аналитики'!BC1433-'19_Расчет_аналитики'!BC1461)=0,14&lt;='01_Вводные'!$B$297),0,('19_Расчет_аналитики'!BC1433-'19_Расчет_аналитики'!BC1461)*IF('01_Вводные'!$B$239="Да",MeanMinAge14+'19_Расчет_аналитики'!BC1572*SUMIF(ThresholdAge14,"&lt;"&amp;'19_Расчет_аналитики'!BC1572,WeightedRevAge14)-SUMIF(ThresholdAge14,"&lt;"&amp;'19_Расчет_аналитики'!BC1572,WeightedMinAge14),MAX(CapacityAge14*'01_Вводные'!$B$218*'19_Расчет_аналитики'!BC1572,MeanMinAge14)))</f>
        <v/>
      </c>
      <c r="BD1517">
        <f>IF(OR(('19_Расчет_аналитики'!BD1433-'19_Расчет_аналитики'!BD1461)=0,14&lt;='01_Вводные'!$B$297),0,('19_Расчет_аналитики'!BD1433-'19_Расчет_аналитики'!BD1461)*IF('01_Вводные'!$B$239="Да",MeanMinAge14+'19_Расчет_аналитики'!BD1572*SUMIF(ThresholdAge14,"&lt;"&amp;'19_Расчет_аналитики'!BD1572,WeightedRevAge14)-SUMIF(ThresholdAge14,"&lt;"&amp;'19_Расчет_аналитики'!BD1572,WeightedMinAge14),MAX(CapacityAge14*'01_Вводные'!$B$218*'19_Расчет_аналитики'!BD1572,MeanMinAge14)))</f>
        <v/>
      </c>
      <c r="BE1517">
        <f>IF(OR(('19_Расчет_аналитики'!BE1433-'19_Расчет_аналитики'!BE1461)=0,14&lt;='01_Вводные'!$B$297),0,('19_Расчет_аналитики'!BE1433-'19_Расчет_аналитики'!BE1461)*IF('01_Вводные'!$B$239="Да",MeanMinAge14+'19_Расчет_аналитики'!BE1572*SUMIF(ThresholdAge14,"&lt;"&amp;'19_Расчет_аналитики'!BE1572,WeightedRevAge14)-SUMIF(ThresholdAge14,"&lt;"&amp;'19_Расчет_аналитики'!BE1572,WeightedMinAge14),MAX(CapacityAge14*'01_Вводные'!$B$218*'19_Расчет_аналитики'!BE1572,MeanMinAge14)))</f>
        <v/>
      </c>
      <c r="BF1517">
        <f>IF(OR(('19_Расчет_аналитики'!BF1433-'19_Расчет_аналитики'!BF1461)=0,14&lt;='01_Вводные'!$B$297),0,('19_Расчет_аналитики'!BF1433-'19_Расчет_аналитики'!BF1461)*IF('01_Вводные'!$B$239="Да",MeanMinAge14+'19_Расчет_аналитики'!BF1572*SUMIF(ThresholdAge14,"&lt;"&amp;'19_Расчет_аналитики'!BF1572,WeightedRevAge14)-SUMIF(ThresholdAge14,"&lt;"&amp;'19_Расчет_аналитики'!BF1572,WeightedMinAge14),MAX(CapacityAge14*'01_Вводные'!$B$218*'19_Расчет_аналитики'!BF1572,MeanMinAge14)))</f>
        <v/>
      </c>
      <c r="BG1517">
        <f>IF(OR(('19_Расчет_аналитики'!BG1433-'19_Расчет_аналитики'!BG1461)=0,14&lt;='01_Вводные'!$B$297),0,('19_Расчет_аналитики'!BG1433-'19_Расчет_аналитики'!BG1461)*IF('01_Вводные'!$B$239="Да",MeanMinAge14+'19_Расчет_аналитики'!BG1572*SUMIF(ThresholdAge14,"&lt;"&amp;'19_Расчет_аналитики'!BG1572,WeightedRevAge14)-SUMIF(ThresholdAge14,"&lt;"&amp;'19_Расчет_аналитики'!BG1572,WeightedMinAge14),MAX(CapacityAge14*'01_Вводные'!$B$218*'19_Расчет_аналитики'!BG1572,MeanMinAge14)))</f>
        <v/>
      </c>
      <c r="BH1517">
        <f>IF(OR(('19_Расчет_аналитики'!BH1433-'19_Расчет_аналитики'!BH1461)=0,14&lt;='01_Вводные'!$B$297),0,('19_Расчет_аналитики'!BH1433-'19_Расчет_аналитики'!BH1461)*IF('01_Вводные'!$B$239="Да",MeanMinAge14+'19_Расчет_аналитики'!BH1572*SUMIF(ThresholdAge14,"&lt;"&amp;'19_Расчет_аналитики'!BH1572,WeightedRevAge14)-SUMIF(ThresholdAge14,"&lt;"&amp;'19_Расчет_аналитики'!BH1572,WeightedMinAge14),MAX(CapacityAge14*'01_Вводные'!$B$218*'19_Расчет_аналитики'!BH1572,MeanMinAge14)))</f>
        <v/>
      </c>
      <c r="BI1517">
        <f>IF(OR(('19_Расчет_аналитики'!BI1433-'19_Расчет_аналитики'!BI1461)=0,14&lt;='01_Вводные'!$B$297),0,('19_Расчет_аналитики'!BI1433-'19_Расчет_аналитики'!BI1461)*IF('01_Вводные'!$B$239="Да",MeanMinAge14+'19_Расчет_аналитики'!BI1572*SUMIF(ThresholdAge14,"&lt;"&amp;'19_Расчет_аналитики'!BI1572,WeightedRevAge14)-SUMIF(ThresholdAge14,"&lt;"&amp;'19_Расчет_аналитики'!BI1572,WeightedMinAge14),MAX(CapacityAge14*'01_Вводные'!$B$218*'19_Расчет_аналитики'!BI1572,MeanMinAge14)))</f>
        <v/>
      </c>
      <c r="BJ1517">
        <f>IF(OR(('19_Расчет_аналитики'!BJ1433-'19_Расчет_аналитики'!BJ1461)=0,14&lt;='01_Вводные'!$B$297),0,('19_Расчет_аналитики'!BJ1433-'19_Расчет_аналитики'!BJ1461)*IF('01_Вводные'!$B$239="Да",MeanMinAge14+'19_Расчет_аналитики'!BJ1572*SUMIF(ThresholdAge14,"&lt;"&amp;'19_Расчет_аналитики'!BJ1572,WeightedRevAge14)-SUMIF(ThresholdAge14,"&lt;"&amp;'19_Расчет_аналитики'!BJ1572,WeightedMinAge14),MAX(CapacityAge14*'01_Вводные'!$B$218*'19_Расчет_аналитики'!BJ1572,MeanMinAge14)))</f>
        <v/>
      </c>
      <c r="BK1517">
        <f>IF(OR(('19_Расчет_аналитики'!BK1433-'19_Расчет_аналитики'!BK1461)=0,14&lt;='01_Вводные'!$B$297),0,('19_Расчет_аналитики'!BK1433-'19_Расчет_аналитики'!BK1461)*IF('01_Вводные'!$B$239="Да",MeanMinAge14+'19_Расчет_аналитики'!BK1572*SUMIF(ThresholdAge14,"&lt;"&amp;'19_Расчет_аналитики'!BK1572,WeightedRevAge14)-SUMIF(ThresholdAge14,"&lt;"&amp;'19_Расчет_аналитики'!BK1572,WeightedMinAge14),MAX(CapacityAge14*'01_Вводные'!$B$218*'19_Расчет_аналитики'!BK1572,MeanMinAge14)))</f>
        <v/>
      </c>
      <c r="BL1517">
        <f>IF(OR(('19_Расчет_аналитики'!BL1433-'19_Расчет_аналитики'!BL1461)=0,14&lt;='01_Вводные'!$B$297),0,('19_Расчет_аналитики'!BL1433-'19_Расчет_аналитики'!BL1461)*IF('01_Вводные'!$B$239="Да",MeanMinAge14+'19_Расчет_аналитики'!BL1572*SUMIF(ThresholdAge14,"&lt;"&amp;'19_Расчет_аналитики'!BL1572,WeightedRevAge14)-SUMIF(ThresholdAge14,"&lt;"&amp;'19_Расчет_аналитики'!BL1572,WeightedMinAge14),MAX(CapacityAge14*'01_Вводные'!$B$218*'19_Расчет_аналитики'!BL1572,MeanMinAge14)))</f>
        <v/>
      </c>
      <c r="BM1517">
        <f>IF(OR(('19_Расчет_аналитики'!BM1433-'19_Расчет_аналитики'!BM1461)=0,14&lt;='01_Вводные'!$B$297),0,('19_Расчет_аналитики'!BM1433-'19_Расчет_аналитики'!BM1461)*IF('01_Вводные'!$B$239="Да",MeanMinAge14+'19_Расчет_аналитики'!BM1572*SUMIF(ThresholdAge14,"&lt;"&amp;'19_Расчет_аналитики'!BM1572,WeightedRevAge14)-SUMIF(ThresholdAge14,"&lt;"&amp;'19_Расчет_аналитики'!BM1572,WeightedMinAge14),MAX(CapacityAge14*'01_Вводные'!$B$218*'19_Расчет_аналитики'!BM1572,MeanMinAge14)))</f>
        <v/>
      </c>
      <c r="BN1517">
        <f>IF(OR(('19_Расчет_аналитики'!BN1433-'19_Расчет_аналитики'!BN1461)=0,14&lt;='01_Вводные'!$B$297),0,('19_Расчет_аналитики'!BN1433-'19_Расчет_аналитики'!BN1461)*IF('01_Вводные'!$B$239="Да",MeanMinAge14+'19_Расчет_аналитики'!BN1572*SUMIF(ThresholdAge14,"&lt;"&amp;'19_Расчет_аналитики'!BN1572,WeightedRevAge14)-SUMIF(ThresholdAge14,"&lt;"&amp;'19_Расчет_аналитики'!BN1572,WeightedMinAge14),MAX(CapacityAge14*'01_Вводные'!$B$218*'19_Расчет_аналитики'!BN1572,MeanMinAge14)))</f>
        <v/>
      </c>
      <c r="BO1517">
        <f>IF(OR(('19_Расчет_аналитики'!BO1433-'19_Расчет_аналитики'!BO1461)=0,14&lt;='01_Вводные'!$B$297),0,('19_Расчет_аналитики'!BO1433-'19_Расчет_аналитики'!BO1461)*IF('01_Вводные'!$B$239="Да",MeanMinAge14+'19_Расчет_аналитики'!BO1572*SUMIF(ThresholdAge14,"&lt;"&amp;'19_Расчет_аналитики'!BO1572,WeightedRevAge14)-SUMIF(ThresholdAge14,"&lt;"&amp;'19_Расчет_аналитики'!BO1572,WeightedMinAge14),MAX(CapacityAge14*'01_Вводные'!$B$218*'19_Расчет_аналитики'!BO1572,MeanMinAge14)))</f>
        <v/>
      </c>
    </row>
    <row r="1518">
      <c r="B1518">
        <f>IF(OR(('06_Сеть_и_дети'!B67-'06_Сеть_и_дети'!B95)=0,15&lt;='01_Вводные'!$B$297),0,('06_Сеть_и_дети'!B67-'06_Сеть_и_дети'!B95)*IF('01_Вводные'!$B$239="Да",MeanMinAge15+'19_Расчет_аналитики'!B1572*SUMIF(ThresholdAge15,"&lt;"&amp;'19_Расчет_аналитики'!B1572,WeightedRevAge15)-SUMIF(ThresholdAge15,"&lt;"&amp;'19_Расчет_аналитики'!B1572,WeightedMinAge15),MAX(CapacityAge15*'01_Вводные'!$B$218*'19_Расчет_аналитики'!B1572,MeanMinAge15)))</f>
        <v/>
      </c>
      <c r="C1518">
        <f>IF(OR(('06_Сеть_и_дети'!C67-'06_Сеть_и_дети'!C95)=0,15&lt;='01_Вводные'!$B$297),0,('06_Сеть_и_дети'!C67-'06_Сеть_и_дети'!C95)*IF('01_Вводные'!$B$239="Да",MeanMinAge15+'19_Расчет_аналитики'!C1572*SUMIF(ThresholdAge15,"&lt;"&amp;'19_Расчет_аналитики'!C1572,WeightedRevAge15)-SUMIF(ThresholdAge15,"&lt;"&amp;'19_Расчет_аналитики'!C1572,WeightedMinAge15),MAX(CapacityAge15*'01_Вводные'!$B$218*'19_Расчет_аналитики'!C1572,MeanMinAge15)))</f>
        <v/>
      </c>
      <c r="D1518">
        <f>IF(OR(('06_Сеть_и_дети'!D67-'06_Сеть_и_дети'!D95)=0,15&lt;='01_Вводные'!$B$297),0,('06_Сеть_и_дети'!D67-'06_Сеть_и_дети'!D95)*IF('01_Вводные'!$B$239="Да",MeanMinAge15+'19_Расчет_аналитики'!D1572*SUMIF(ThresholdAge15,"&lt;"&amp;'19_Расчет_аналитики'!D1572,WeightedRevAge15)-SUMIF(ThresholdAge15,"&lt;"&amp;'19_Расчет_аналитики'!D1572,WeightedMinAge15),MAX(CapacityAge15*'01_Вводные'!$B$218*'19_Расчет_аналитики'!D1572,MeanMinAge15)))</f>
        <v/>
      </c>
      <c r="E1518">
        <f>IF(OR(('06_Сеть_и_дети'!E67-'06_Сеть_и_дети'!E95)=0,15&lt;='01_Вводные'!$B$297),0,('06_Сеть_и_дети'!E67-'06_Сеть_и_дети'!E95)*IF('01_Вводные'!$B$239="Да",MeanMinAge15+'19_Расчет_аналитики'!E1572*SUMIF(ThresholdAge15,"&lt;"&amp;'19_Расчет_аналитики'!E1572,WeightedRevAge15)-SUMIF(ThresholdAge15,"&lt;"&amp;'19_Расчет_аналитики'!E1572,WeightedMinAge15),MAX(CapacityAge15*'01_Вводные'!$B$218*'19_Расчет_аналитики'!E1572,MeanMinAge15)))</f>
        <v/>
      </c>
      <c r="F1518">
        <f>IF(OR(('06_Сеть_и_дети'!F67-'06_Сеть_и_дети'!F95)=0,15&lt;='01_Вводные'!$B$297),0,('06_Сеть_и_дети'!F67-'06_Сеть_и_дети'!F95)*IF('01_Вводные'!$B$239="Да",MeanMinAge15+'19_Расчет_аналитики'!F1572*SUMIF(ThresholdAge15,"&lt;"&amp;'19_Расчет_аналитики'!F1572,WeightedRevAge15)-SUMIF(ThresholdAge15,"&lt;"&amp;'19_Расчет_аналитики'!F1572,WeightedMinAge15),MAX(CapacityAge15*'01_Вводные'!$B$218*'19_Расчет_аналитики'!F1572,MeanMinAge15)))</f>
        <v/>
      </c>
      <c r="G1518">
        <f>IF(OR(('06_Сеть_и_дети'!G67-'06_Сеть_и_дети'!G95)=0,15&lt;='01_Вводные'!$B$297),0,('06_Сеть_и_дети'!G67-'06_Сеть_и_дети'!G95)*IF('01_Вводные'!$B$239="Да",MeanMinAge15+'19_Расчет_аналитики'!G1572*SUMIF(ThresholdAge15,"&lt;"&amp;'19_Расчет_аналитики'!G1572,WeightedRevAge15)-SUMIF(ThresholdAge15,"&lt;"&amp;'19_Расчет_аналитики'!G1572,WeightedMinAge15),MAX(CapacityAge15*'01_Вводные'!$B$218*'19_Расчет_аналитики'!G1572,MeanMinAge15)))</f>
        <v/>
      </c>
      <c r="H1518">
        <f>IF(OR(('06_Сеть_и_дети'!H67-'06_Сеть_и_дети'!H95)=0,15&lt;='01_Вводные'!$B$297),0,('06_Сеть_и_дети'!H67-'06_Сеть_и_дети'!H95)*IF('01_Вводные'!$B$239="Да",MeanMinAge15+'19_Расчет_аналитики'!H1572*SUMIF(ThresholdAge15,"&lt;"&amp;'19_Расчет_аналитики'!H1572,WeightedRevAge15)-SUMIF(ThresholdAge15,"&lt;"&amp;'19_Расчет_аналитики'!H1572,WeightedMinAge15),MAX(CapacityAge15*'01_Вводные'!$B$218*'19_Расчет_аналитики'!H1572,MeanMinAge15)))</f>
        <v/>
      </c>
      <c r="I1518">
        <f>IF(OR(('06_Сеть_и_дети'!I67-'06_Сеть_и_дети'!I95)=0,15&lt;='01_Вводные'!$B$297),0,('06_Сеть_и_дети'!I67-'06_Сеть_и_дети'!I95)*IF('01_Вводные'!$B$239="Да",MeanMinAge15+'19_Расчет_аналитики'!I1572*SUMIF(ThresholdAge15,"&lt;"&amp;'19_Расчет_аналитики'!I1572,WeightedRevAge15)-SUMIF(ThresholdAge15,"&lt;"&amp;'19_Расчет_аналитики'!I1572,WeightedMinAge15),MAX(CapacityAge15*'01_Вводные'!$B$218*'19_Расчет_аналитики'!I1572,MeanMinAge15)))</f>
        <v/>
      </c>
      <c r="J1518">
        <f>IF(OR(('06_Сеть_и_дети'!J67-'06_Сеть_и_дети'!J95)=0,15&lt;='01_Вводные'!$B$297),0,('06_Сеть_и_дети'!J67-'06_Сеть_и_дети'!J95)*IF('01_Вводные'!$B$239="Да",MeanMinAge15+'19_Расчет_аналитики'!J1572*SUMIF(ThresholdAge15,"&lt;"&amp;'19_Расчет_аналитики'!J1572,WeightedRevAge15)-SUMIF(ThresholdAge15,"&lt;"&amp;'19_Расчет_аналитики'!J1572,WeightedMinAge15),MAX(CapacityAge15*'01_Вводные'!$B$218*'19_Расчет_аналитики'!J1572,MeanMinAge15)))</f>
        <v/>
      </c>
      <c r="K1518">
        <f>IF(OR(('06_Сеть_и_дети'!K67-'06_Сеть_и_дети'!K95)=0,15&lt;='01_Вводные'!$B$297),0,('06_Сеть_и_дети'!K67-'06_Сеть_и_дети'!K95)*IF('01_Вводные'!$B$239="Да",MeanMinAge15+'19_Расчет_аналитики'!K1572*SUMIF(ThresholdAge15,"&lt;"&amp;'19_Расчет_аналитики'!K1572,WeightedRevAge15)-SUMIF(ThresholdAge15,"&lt;"&amp;'19_Расчет_аналитики'!K1572,WeightedMinAge15),MAX(CapacityAge15*'01_Вводные'!$B$218*'19_Расчет_аналитики'!K1572,MeanMinAge15)))</f>
        <v/>
      </c>
      <c r="L1518">
        <f>IF(OR(('06_Сеть_и_дети'!L67-'06_Сеть_и_дети'!L95)=0,15&lt;='01_Вводные'!$B$297),0,('06_Сеть_и_дети'!L67-'06_Сеть_и_дети'!L95)*IF('01_Вводные'!$B$239="Да",MeanMinAge15+'19_Расчет_аналитики'!L1572*SUMIF(ThresholdAge15,"&lt;"&amp;'19_Расчет_аналитики'!L1572,WeightedRevAge15)-SUMIF(ThresholdAge15,"&lt;"&amp;'19_Расчет_аналитики'!L1572,WeightedMinAge15),MAX(CapacityAge15*'01_Вводные'!$B$218*'19_Расчет_аналитики'!L1572,MeanMinAge15)))</f>
        <v/>
      </c>
      <c r="M1518">
        <f>IF(OR(('06_Сеть_и_дети'!M67-'06_Сеть_и_дети'!M95)=0,15&lt;='01_Вводные'!$B$297),0,('06_Сеть_и_дети'!M67-'06_Сеть_и_дети'!M95)*IF('01_Вводные'!$B$239="Да",MeanMinAge15+'19_Расчет_аналитики'!M1572*SUMIF(ThresholdAge15,"&lt;"&amp;'19_Расчет_аналитики'!M1572,WeightedRevAge15)-SUMIF(ThresholdAge15,"&lt;"&amp;'19_Расчет_аналитики'!M1572,WeightedMinAge15),MAX(CapacityAge15*'01_Вводные'!$B$218*'19_Расчет_аналитики'!M1572,MeanMinAge15)))</f>
        <v/>
      </c>
      <c r="N1518">
        <f>IF(OR(('06_Сеть_и_дети'!N67-'06_Сеть_и_дети'!N95)=0,15&lt;='01_Вводные'!$B$297),0,('06_Сеть_и_дети'!N67-'06_Сеть_и_дети'!N95)*IF('01_Вводные'!$B$239="Да",MeanMinAge15+'19_Расчет_аналитики'!N1572*SUMIF(ThresholdAge15,"&lt;"&amp;'19_Расчет_аналитики'!N1572,WeightedRevAge15)-SUMIF(ThresholdAge15,"&lt;"&amp;'19_Расчет_аналитики'!N1572,WeightedMinAge15),MAX(CapacityAge15*'01_Вводные'!$B$218*'19_Расчет_аналитики'!N1572,MeanMinAge15)))</f>
        <v/>
      </c>
      <c r="O1518">
        <f>IF(OR(('06_Сеть_и_дети'!O67-'06_Сеть_и_дети'!O95)=0,15&lt;='01_Вводные'!$B$297),0,('06_Сеть_и_дети'!O67-'06_Сеть_и_дети'!O95)*IF('01_Вводные'!$B$239="Да",MeanMinAge15+'19_Расчет_аналитики'!O1572*SUMIF(ThresholdAge15,"&lt;"&amp;'19_Расчет_аналитики'!O1572,WeightedRevAge15)-SUMIF(ThresholdAge15,"&lt;"&amp;'19_Расчет_аналитики'!O1572,WeightedMinAge15),MAX(CapacityAge15*'01_Вводные'!$B$218*'19_Расчет_аналитики'!O1572,MeanMinAge15)))</f>
        <v/>
      </c>
      <c r="P1518">
        <f>IF(OR(('19_Расчет_аналитики'!P1434-'19_Расчет_аналитики'!P1462)=0,15&lt;='01_Вводные'!$B$297),0,('19_Расчет_аналитики'!P1434-'19_Расчет_аналитики'!P1462)*IF('01_Вводные'!$B$239="Да",MeanMinAge15+'19_Расчет_аналитики'!P1572*SUMIF(ThresholdAge15,"&lt;"&amp;'19_Расчет_аналитики'!P1572,WeightedRevAge15)-SUMIF(ThresholdAge15,"&lt;"&amp;'19_Расчет_аналитики'!P1572,WeightedMinAge15),MAX(CapacityAge15*'01_Вводные'!$B$218*'19_Расчет_аналитики'!P1572,MeanMinAge15)))</f>
        <v/>
      </c>
      <c r="Q1518">
        <f>IF(OR(('19_Расчет_аналитики'!Q1434-'19_Расчет_аналитики'!Q1462)=0,15&lt;='01_Вводные'!$B$297),0,('19_Расчет_аналитики'!Q1434-'19_Расчет_аналитики'!Q1462)*IF('01_Вводные'!$B$239="Да",MeanMinAge15+'19_Расчет_аналитики'!Q1572*SUMIF(ThresholdAge15,"&lt;"&amp;'19_Расчет_аналитики'!Q1572,WeightedRevAge15)-SUMIF(ThresholdAge15,"&lt;"&amp;'19_Расчет_аналитики'!Q1572,WeightedMinAge15),MAX(CapacityAge15*'01_Вводные'!$B$218*'19_Расчет_аналитики'!Q1572,MeanMinAge15)))</f>
        <v/>
      </c>
      <c r="R1518">
        <f>IF(OR(('19_Расчет_аналитики'!R1434-'19_Расчет_аналитики'!R1462)=0,15&lt;='01_Вводные'!$B$297),0,('19_Расчет_аналитики'!R1434-'19_Расчет_аналитики'!R1462)*IF('01_Вводные'!$B$239="Да",MeanMinAge15+'19_Расчет_аналитики'!R1572*SUMIF(ThresholdAge15,"&lt;"&amp;'19_Расчет_аналитики'!R1572,WeightedRevAge15)-SUMIF(ThresholdAge15,"&lt;"&amp;'19_Расчет_аналитики'!R1572,WeightedMinAge15),MAX(CapacityAge15*'01_Вводные'!$B$218*'19_Расчет_аналитики'!R1572,MeanMinAge15)))</f>
        <v/>
      </c>
      <c r="S1518">
        <f>IF(OR(('19_Расчет_аналитики'!S1434-'19_Расчет_аналитики'!S1462)=0,15&lt;='01_Вводные'!$B$297),0,('19_Расчет_аналитики'!S1434-'19_Расчет_аналитики'!S1462)*IF('01_Вводные'!$B$239="Да",MeanMinAge15+'19_Расчет_аналитики'!S1572*SUMIF(ThresholdAge15,"&lt;"&amp;'19_Расчет_аналитики'!S1572,WeightedRevAge15)-SUMIF(ThresholdAge15,"&lt;"&amp;'19_Расчет_аналитики'!S1572,WeightedMinAge15),MAX(CapacityAge15*'01_Вводные'!$B$218*'19_Расчет_аналитики'!S1572,MeanMinAge15)))</f>
        <v/>
      </c>
      <c r="T1518">
        <f>IF(OR(('19_Расчет_аналитики'!T1434-'19_Расчет_аналитики'!T1462)=0,15&lt;='01_Вводные'!$B$297),0,('19_Расчет_аналитики'!T1434-'19_Расчет_аналитики'!T1462)*IF('01_Вводные'!$B$239="Да",MeanMinAge15+'19_Расчет_аналитики'!T1572*SUMIF(ThresholdAge15,"&lt;"&amp;'19_Расчет_аналитики'!T1572,WeightedRevAge15)-SUMIF(ThresholdAge15,"&lt;"&amp;'19_Расчет_аналитики'!T1572,WeightedMinAge15),MAX(CapacityAge15*'01_Вводные'!$B$218*'19_Расчет_аналитики'!T1572,MeanMinAge15)))</f>
        <v/>
      </c>
      <c r="U1518">
        <f>IF(OR(('19_Расчет_аналитики'!U1434-'19_Расчет_аналитики'!U1462)=0,15&lt;='01_Вводные'!$B$297),0,('19_Расчет_аналитики'!U1434-'19_Расчет_аналитики'!U1462)*IF('01_Вводные'!$B$239="Да",MeanMinAge15+'19_Расчет_аналитики'!U1572*SUMIF(ThresholdAge15,"&lt;"&amp;'19_Расчет_аналитики'!U1572,WeightedRevAge15)-SUMIF(ThresholdAge15,"&lt;"&amp;'19_Расчет_аналитики'!U1572,WeightedMinAge15),MAX(CapacityAge15*'01_Вводные'!$B$218*'19_Расчет_аналитики'!U1572,MeanMinAge15)))</f>
        <v/>
      </c>
      <c r="V1518">
        <f>IF(OR(('19_Расчет_аналитики'!V1434-'19_Расчет_аналитики'!V1462)=0,15&lt;='01_Вводные'!$B$297),0,('19_Расчет_аналитики'!V1434-'19_Расчет_аналитики'!V1462)*IF('01_Вводные'!$B$239="Да",MeanMinAge15+'19_Расчет_аналитики'!V1572*SUMIF(ThresholdAge15,"&lt;"&amp;'19_Расчет_аналитики'!V1572,WeightedRevAge15)-SUMIF(ThresholdAge15,"&lt;"&amp;'19_Расчет_аналитики'!V1572,WeightedMinAge15),MAX(CapacityAge15*'01_Вводные'!$B$218*'19_Расчет_аналитики'!V1572,MeanMinAge15)))</f>
        <v/>
      </c>
      <c r="W1518">
        <f>IF(OR(('19_Расчет_аналитики'!W1434-'19_Расчет_аналитики'!W1462)=0,15&lt;='01_Вводные'!$B$297),0,('19_Расчет_аналитики'!W1434-'19_Расчет_аналитики'!W1462)*IF('01_Вводные'!$B$239="Да",MeanMinAge15+'19_Расчет_аналитики'!W1572*SUMIF(ThresholdAge15,"&lt;"&amp;'19_Расчет_аналитики'!W1572,WeightedRevAge15)-SUMIF(ThresholdAge15,"&lt;"&amp;'19_Расчет_аналитики'!W1572,WeightedMinAge15),MAX(CapacityAge15*'01_Вводные'!$B$218*'19_Расчет_аналитики'!W1572,MeanMinAge15)))</f>
        <v/>
      </c>
      <c r="X1518">
        <f>IF(OR(('19_Расчет_аналитики'!X1434-'19_Расчет_аналитики'!X1462)=0,15&lt;='01_Вводные'!$B$297),0,('19_Расчет_аналитики'!X1434-'19_Расчет_аналитики'!X1462)*IF('01_Вводные'!$B$239="Да",MeanMinAge15+'19_Расчет_аналитики'!X1572*SUMIF(ThresholdAge15,"&lt;"&amp;'19_Расчет_аналитики'!X1572,WeightedRevAge15)-SUMIF(ThresholdAge15,"&lt;"&amp;'19_Расчет_аналитики'!X1572,WeightedMinAge15),MAX(CapacityAge15*'01_Вводные'!$B$218*'19_Расчет_аналитики'!X1572,MeanMinAge15)))</f>
        <v/>
      </c>
      <c r="Y1518">
        <f>IF(OR(('19_Расчет_аналитики'!Y1434-'19_Расчет_аналитики'!Y1462)=0,15&lt;='01_Вводные'!$B$297),0,('19_Расчет_аналитики'!Y1434-'19_Расчет_аналитики'!Y1462)*IF('01_Вводные'!$B$239="Да",MeanMinAge15+'19_Расчет_аналитики'!Y1572*SUMIF(ThresholdAge15,"&lt;"&amp;'19_Расчет_аналитики'!Y1572,WeightedRevAge15)-SUMIF(ThresholdAge15,"&lt;"&amp;'19_Расчет_аналитики'!Y1572,WeightedMinAge15),MAX(CapacityAge15*'01_Вводные'!$B$218*'19_Расчет_аналитики'!Y1572,MeanMinAge15)))</f>
        <v/>
      </c>
      <c r="Z1518">
        <f>IF(OR(('19_Расчет_аналитики'!Z1434-'19_Расчет_аналитики'!Z1462)=0,15&lt;='01_Вводные'!$B$297),0,('19_Расчет_аналитики'!Z1434-'19_Расчет_аналитики'!Z1462)*IF('01_Вводные'!$B$239="Да",MeanMinAge15+'19_Расчет_аналитики'!Z1572*SUMIF(ThresholdAge15,"&lt;"&amp;'19_Расчет_аналитики'!Z1572,WeightedRevAge15)-SUMIF(ThresholdAge15,"&lt;"&amp;'19_Расчет_аналитики'!Z1572,WeightedMinAge15),MAX(CapacityAge15*'01_Вводные'!$B$218*'19_Расчет_аналитики'!Z1572,MeanMinAge15)))</f>
        <v/>
      </c>
      <c r="AA1518">
        <f>IF(OR(('19_Расчет_аналитики'!AA1434-'19_Расчет_аналитики'!AA1462)=0,15&lt;='01_Вводные'!$B$297),0,('19_Расчет_аналитики'!AA1434-'19_Расчет_аналитики'!AA1462)*IF('01_Вводные'!$B$239="Да",MeanMinAge15+'19_Расчет_аналитики'!AA1572*SUMIF(ThresholdAge15,"&lt;"&amp;'19_Расчет_аналитики'!AA1572,WeightedRevAge15)-SUMIF(ThresholdAge15,"&lt;"&amp;'19_Расчет_аналитики'!AA1572,WeightedMinAge15),MAX(CapacityAge15*'01_Вводные'!$B$218*'19_Расчет_аналитики'!AA1572,MeanMinAge15)))</f>
        <v/>
      </c>
      <c r="AB1518">
        <f>IF(OR(('19_Расчет_аналитики'!AB1434-'19_Расчет_аналитики'!AB1462)=0,15&lt;='01_Вводные'!$B$297),0,('19_Расчет_аналитики'!AB1434-'19_Расчет_аналитики'!AB1462)*IF('01_Вводные'!$B$239="Да",MeanMinAge15+'19_Расчет_аналитики'!AB1572*SUMIF(ThresholdAge15,"&lt;"&amp;'19_Расчет_аналитики'!AB1572,WeightedRevAge15)-SUMIF(ThresholdAge15,"&lt;"&amp;'19_Расчет_аналитики'!AB1572,WeightedMinAge15),MAX(CapacityAge15*'01_Вводные'!$B$218*'19_Расчет_аналитики'!AB1572,MeanMinAge15)))</f>
        <v/>
      </c>
      <c r="AC1518">
        <f>IF(OR(('19_Расчет_аналитики'!AC1434-'19_Расчет_аналитики'!AC1462)=0,15&lt;='01_Вводные'!$B$297),0,('19_Расчет_аналитики'!AC1434-'19_Расчет_аналитики'!AC1462)*IF('01_Вводные'!$B$239="Да",MeanMinAge15+'19_Расчет_аналитики'!AC1572*SUMIF(ThresholdAge15,"&lt;"&amp;'19_Расчет_аналитики'!AC1572,WeightedRevAge15)-SUMIF(ThresholdAge15,"&lt;"&amp;'19_Расчет_аналитики'!AC1572,WeightedMinAge15),MAX(CapacityAge15*'01_Вводные'!$B$218*'19_Расчет_аналитики'!AC1572,MeanMinAge15)))</f>
        <v/>
      </c>
      <c r="AD1518">
        <f>IF(OR(('19_Расчет_аналитики'!AD1434-'19_Расчет_аналитики'!AD1462)=0,15&lt;='01_Вводные'!$B$297),0,('19_Расчет_аналитики'!AD1434-'19_Расчет_аналитики'!AD1462)*IF('01_Вводные'!$B$239="Да",MeanMinAge15+'19_Расчет_аналитики'!AD1572*SUMIF(ThresholdAge15,"&lt;"&amp;'19_Расчет_аналитики'!AD1572,WeightedRevAge15)-SUMIF(ThresholdAge15,"&lt;"&amp;'19_Расчет_аналитики'!AD1572,WeightedMinAge15),MAX(CapacityAge15*'01_Вводные'!$B$218*'19_Расчет_аналитики'!AD1572,MeanMinAge15)))</f>
        <v/>
      </c>
      <c r="AE1518">
        <f>IF(OR(('19_Расчет_аналитики'!AE1434-'19_Расчет_аналитики'!AE1462)=0,15&lt;='01_Вводные'!$B$297),0,('19_Расчет_аналитики'!AE1434-'19_Расчет_аналитики'!AE1462)*IF('01_Вводные'!$B$239="Да",MeanMinAge15+'19_Расчет_аналитики'!AE1572*SUMIF(ThresholdAge15,"&lt;"&amp;'19_Расчет_аналитики'!AE1572,WeightedRevAge15)-SUMIF(ThresholdAge15,"&lt;"&amp;'19_Расчет_аналитики'!AE1572,WeightedMinAge15),MAX(CapacityAge15*'01_Вводные'!$B$218*'19_Расчет_аналитики'!AE1572,MeanMinAge15)))</f>
        <v/>
      </c>
      <c r="AF1518">
        <f>IF(OR(('19_Расчет_аналитики'!AF1434-'19_Расчет_аналитики'!AF1462)=0,15&lt;='01_Вводные'!$B$297),0,('19_Расчет_аналитики'!AF1434-'19_Расчет_аналитики'!AF1462)*IF('01_Вводные'!$B$239="Да",MeanMinAge15+'19_Расчет_аналитики'!AF1572*SUMIF(ThresholdAge15,"&lt;"&amp;'19_Расчет_аналитики'!AF1572,WeightedRevAge15)-SUMIF(ThresholdAge15,"&lt;"&amp;'19_Расчет_аналитики'!AF1572,WeightedMinAge15),MAX(CapacityAge15*'01_Вводные'!$B$218*'19_Расчет_аналитики'!AF1572,MeanMinAge15)))</f>
        <v/>
      </c>
      <c r="AG1518">
        <f>IF(OR(('19_Расчет_аналитики'!AG1434-'19_Расчет_аналитики'!AG1462)=0,15&lt;='01_Вводные'!$B$297),0,('19_Расчет_аналитики'!AG1434-'19_Расчет_аналитики'!AG1462)*IF('01_Вводные'!$B$239="Да",MeanMinAge15+'19_Расчет_аналитики'!AG1572*SUMIF(ThresholdAge15,"&lt;"&amp;'19_Расчет_аналитики'!AG1572,WeightedRevAge15)-SUMIF(ThresholdAge15,"&lt;"&amp;'19_Расчет_аналитики'!AG1572,WeightedMinAge15),MAX(CapacityAge15*'01_Вводные'!$B$218*'19_Расчет_аналитики'!AG1572,MeanMinAge15)))</f>
        <v/>
      </c>
      <c r="AH1518">
        <f>IF(OR(('19_Расчет_аналитики'!AH1434-'19_Расчет_аналитики'!AH1462)=0,15&lt;='01_Вводные'!$B$297),0,('19_Расчет_аналитики'!AH1434-'19_Расчет_аналитики'!AH1462)*IF('01_Вводные'!$B$239="Да",MeanMinAge15+'19_Расчет_аналитики'!AH1572*SUMIF(ThresholdAge15,"&lt;"&amp;'19_Расчет_аналитики'!AH1572,WeightedRevAge15)-SUMIF(ThresholdAge15,"&lt;"&amp;'19_Расчет_аналитики'!AH1572,WeightedMinAge15),MAX(CapacityAge15*'01_Вводные'!$B$218*'19_Расчет_аналитики'!AH1572,MeanMinAge15)))</f>
        <v/>
      </c>
      <c r="AI1518">
        <f>IF(OR(('19_Расчет_аналитики'!AI1434-'19_Расчет_аналитики'!AI1462)=0,15&lt;='01_Вводные'!$B$297),0,('19_Расчет_аналитики'!AI1434-'19_Расчет_аналитики'!AI1462)*IF('01_Вводные'!$B$239="Да",MeanMinAge15+'19_Расчет_аналитики'!AI1572*SUMIF(ThresholdAge15,"&lt;"&amp;'19_Расчет_аналитики'!AI1572,WeightedRevAge15)-SUMIF(ThresholdAge15,"&lt;"&amp;'19_Расчет_аналитики'!AI1572,WeightedMinAge15),MAX(CapacityAge15*'01_Вводные'!$B$218*'19_Расчет_аналитики'!AI1572,MeanMinAge15)))</f>
        <v/>
      </c>
      <c r="AJ1518">
        <f>IF(OR(('19_Расчет_аналитики'!AJ1434-'19_Расчет_аналитики'!AJ1462)=0,15&lt;='01_Вводные'!$B$297),0,('19_Расчет_аналитики'!AJ1434-'19_Расчет_аналитики'!AJ1462)*IF('01_Вводные'!$B$239="Да",MeanMinAge15+'19_Расчет_аналитики'!AJ1572*SUMIF(ThresholdAge15,"&lt;"&amp;'19_Расчет_аналитики'!AJ1572,WeightedRevAge15)-SUMIF(ThresholdAge15,"&lt;"&amp;'19_Расчет_аналитики'!AJ1572,WeightedMinAge15),MAX(CapacityAge15*'01_Вводные'!$B$218*'19_Расчет_аналитики'!AJ1572,MeanMinAge15)))</f>
        <v/>
      </c>
      <c r="AK1518">
        <f>IF(OR(('19_Расчет_аналитики'!AK1434-'19_Расчет_аналитики'!AK1462)=0,15&lt;='01_Вводные'!$B$297),0,('19_Расчет_аналитики'!AK1434-'19_Расчет_аналитики'!AK1462)*IF('01_Вводные'!$B$239="Да",MeanMinAge15+'19_Расчет_аналитики'!AK1572*SUMIF(ThresholdAge15,"&lt;"&amp;'19_Расчет_аналитики'!AK1572,WeightedRevAge15)-SUMIF(ThresholdAge15,"&lt;"&amp;'19_Расчет_аналитики'!AK1572,WeightedMinAge15),MAX(CapacityAge15*'01_Вводные'!$B$218*'19_Расчет_аналитики'!AK1572,MeanMinAge15)))</f>
        <v/>
      </c>
      <c r="AL1518">
        <f>IF(OR(('19_Расчет_аналитики'!AL1434-'19_Расчет_аналитики'!AL1462)=0,15&lt;='01_Вводные'!$B$297),0,('19_Расчет_аналитики'!AL1434-'19_Расчет_аналитики'!AL1462)*IF('01_Вводные'!$B$239="Да",MeanMinAge15+'19_Расчет_аналитики'!AL1572*SUMIF(ThresholdAge15,"&lt;"&amp;'19_Расчет_аналитики'!AL1572,WeightedRevAge15)-SUMIF(ThresholdAge15,"&lt;"&amp;'19_Расчет_аналитики'!AL1572,WeightedMinAge15),MAX(CapacityAge15*'01_Вводные'!$B$218*'19_Расчет_аналитики'!AL1572,MeanMinAge15)))</f>
        <v/>
      </c>
      <c r="AM1518">
        <f>IF(OR(('19_Расчет_аналитики'!AM1434-'19_Расчет_аналитики'!AM1462)=0,15&lt;='01_Вводные'!$B$297),0,('19_Расчет_аналитики'!AM1434-'19_Расчет_аналитики'!AM1462)*IF('01_Вводные'!$B$239="Да",MeanMinAge15+'19_Расчет_аналитики'!AM1572*SUMIF(ThresholdAge15,"&lt;"&amp;'19_Расчет_аналитики'!AM1572,WeightedRevAge15)-SUMIF(ThresholdAge15,"&lt;"&amp;'19_Расчет_аналитики'!AM1572,WeightedMinAge15),MAX(CapacityAge15*'01_Вводные'!$B$218*'19_Расчет_аналитики'!AM1572,MeanMinAge15)))</f>
        <v/>
      </c>
      <c r="AN1518">
        <f>IF(OR(('19_Расчет_аналитики'!AN1434-'19_Расчет_аналитики'!AN1462)=0,15&lt;='01_Вводные'!$B$297),0,('19_Расчет_аналитики'!AN1434-'19_Расчет_аналитики'!AN1462)*IF('01_Вводные'!$B$239="Да",MeanMinAge15+'19_Расчет_аналитики'!AN1572*SUMIF(ThresholdAge15,"&lt;"&amp;'19_Расчет_аналитики'!AN1572,WeightedRevAge15)-SUMIF(ThresholdAge15,"&lt;"&amp;'19_Расчет_аналитики'!AN1572,WeightedMinAge15),MAX(CapacityAge15*'01_Вводные'!$B$218*'19_Расчет_аналитики'!AN1572,MeanMinAge15)))</f>
        <v/>
      </c>
      <c r="AO1518">
        <f>IF(OR(('19_Расчет_аналитики'!AO1434-'19_Расчет_аналитики'!AO1462)=0,15&lt;='01_Вводные'!$B$297),0,('19_Расчет_аналитики'!AO1434-'19_Расчет_аналитики'!AO1462)*IF('01_Вводные'!$B$239="Да",MeanMinAge15+'19_Расчет_аналитики'!AO1572*SUMIF(ThresholdAge15,"&lt;"&amp;'19_Расчет_аналитики'!AO1572,WeightedRevAge15)-SUMIF(ThresholdAge15,"&lt;"&amp;'19_Расчет_аналитики'!AO1572,WeightedMinAge15),MAX(CapacityAge15*'01_Вводные'!$B$218*'19_Расчет_аналитики'!AO1572,MeanMinAge15)))</f>
        <v/>
      </c>
      <c r="AP1518">
        <f>IF(OR(('19_Расчет_аналитики'!AP1434-'19_Расчет_аналитики'!AP1462)=0,15&lt;='01_Вводные'!$B$297),0,('19_Расчет_аналитики'!AP1434-'19_Расчет_аналитики'!AP1462)*IF('01_Вводные'!$B$239="Да",MeanMinAge15+'19_Расчет_аналитики'!AP1572*SUMIF(ThresholdAge15,"&lt;"&amp;'19_Расчет_аналитики'!AP1572,WeightedRevAge15)-SUMIF(ThresholdAge15,"&lt;"&amp;'19_Расчет_аналитики'!AP1572,WeightedMinAge15),MAX(CapacityAge15*'01_Вводные'!$B$218*'19_Расчет_аналитики'!AP1572,MeanMinAge15)))</f>
        <v/>
      </c>
      <c r="AQ1518">
        <f>IF(OR(('19_Расчет_аналитики'!AQ1434-'19_Расчет_аналитики'!AQ1462)=0,15&lt;='01_Вводные'!$B$297),0,('19_Расчет_аналитики'!AQ1434-'19_Расчет_аналитики'!AQ1462)*IF('01_Вводные'!$B$239="Да",MeanMinAge15+'19_Расчет_аналитики'!AQ1572*SUMIF(ThresholdAge15,"&lt;"&amp;'19_Расчет_аналитики'!AQ1572,WeightedRevAge15)-SUMIF(ThresholdAge15,"&lt;"&amp;'19_Расчет_аналитики'!AQ1572,WeightedMinAge15),MAX(CapacityAge15*'01_Вводные'!$B$218*'19_Расчет_аналитики'!AQ1572,MeanMinAge15)))</f>
        <v/>
      </c>
      <c r="AR1518">
        <f>IF(OR(('19_Расчет_аналитики'!AR1434-'19_Расчет_аналитики'!AR1462)=0,15&lt;='01_Вводные'!$B$297),0,('19_Расчет_аналитики'!AR1434-'19_Расчет_аналитики'!AR1462)*IF('01_Вводные'!$B$239="Да",MeanMinAge15+'19_Расчет_аналитики'!AR1572*SUMIF(ThresholdAge15,"&lt;"&amp;'19_Расчет_аналитики'!AR1572,WeightedRevAge15)-SUMIF(ThresholdAge15,"&lt;"&amp;'19_Расчет_аналитики'!AR1572,WeightedMinAge15),MAX(CapacityAge15*'01_Вводные'!$B$218*'19_Расчет_аналитики'!AR1572,MeanMinAge15)))</f>
        <v/>
      </c>
      <c r="AS1518">
        <f>IF(OR(('19_Расчет_аналитики'!AS1434-'19_Расчет_аналитики'!AS1462)=0,15&lt;='01_Вводные'!$B$297),0,('19_Расчет_аналитики'!AS1434-'19_Расчет_аналитики'!AS1462)*IF('01_Вводные'!$B$239="Да",MeanMinAge15+'19_Расчет_аналитики'!AS1572*SUMIF(ThresholdAge15,"&lt;"&amp;'19_Расчет_аналитики'!AS1572,WeightedRevAge15)-SUMIF(ThresholdAge15,"&lt;"&amp;'19_Расчет_аналитики'!AS1572,WeightedMinAge15),MAX(CapacityAge15*'01_Вводные'!$B$218*'19_Расчет_аналитики'!AS1572,MeanMinAge15)))</f>
        <v/>
      </c>
      <c r="AT1518">
        <f>IF(OR(('19_Расчет_аналитики'!AT1434-'19_Расчет_аналитики'!AT1462)=0,15&lt;='01_Вводные'!$B$297),0,('19_Расчет_аналитики'!AT1434-'19_Расчет_аналитики'!AT1462)*IF('01_Вводные'!$B$239="Да",MeanMinAge15+'19_Расчет_аналитики'!AT1572*SUMIF(ThresholdAge15,"&lt;"&amp;'19_Расчет_аналитики'!AT1572,WeightedRevAge15)-SUMIF(ThresholdAge15,"&lt;"&amp;'19_Расчет_аналитики'!AT1572,WeightedMinAge15),MAX(CapacityAge15*'01_Вводные'!$B$218*'19_Расчет_аналитики'!AT1572,MeanMinAge15)))</f>
        <v/>
      </c>
      <c r="AU1518">
        <f>IF(OR(('19_Расчет_аналитики'!AU1434-'19_Расчет_аналитики'!AU1462)=0,15&lt;='01_Вводные'!$B$297),0,('19_Расчет_аналитики'!AU1434-'19_Расчет_аналитики'!AU1462)*IF('01_Вводные'!$B$239="Да",MeanMinAge15+'19_Расчет_аналитики'!AU1572*SUMIF(ThresholdAge15,"&lt;"&amp;'19_Расчет_аналитики'!AU1572,WeightedRevAge15)-SUMIF(ThresholdAge15,"&lt;"&amp;'19_Расчет_аналитики'!AU1572,WeightedMinAge15),MAX(CapacityAge15*'01_Вводные'!$B$218*'19_Расчет_аналитики'!AU1572,MeanMinAge15)))</f>
        <v/>
      </c>
      <c r="AV1518">
        <f>IF(OR(('19_Расчет_аналитики'!AV1434-'19_Расчет_аналитики'!AV1462)=0,15&lt;='01_Вводные'!$B$297),0,('19_Расчет_аналитики'!AV1434-'19_Расчет_аналитики'!AV1462)*IF('01_Вводные'!$B$239="Да",MeanMinAge15+'19_Расчет_аналитики'!AV1572*SUMIF(ThresholdAge15,"&lt;"&amp;'19_Расчет_аналитики'!AV1572,WeightedRevAge15)-SUMIF(ThresholdAge15,"&lt;"&amp;'19_Расчет_аналитики'!AV1572,WeightedMinAge15),MAX(CapacityAge15*'01_Вводные'!$B$218*'19_Расчет_аналитики'!AV1572,MeanMinAge15)))</f>
        <v/>
      </c>
      <c r="AW1518">
        <f>IF(OR(('19_Расчет_аналитики'!AW1434-'19_Расчет_аналитики'!AW1462)=0,15&lt;='01_Вводные'!$B$297),0,('19_Расчет_аналитики'!AW1434-'19_Расчет_аналитики'!AW1462)*IF('01_Вводные'!$B$239="Да",MeanMinAge15+'19_Расчет_аналитики'!AW1572*SUMIF(ThresholdAge15,"&lt;"&amp;'19_Расчет_аналитики'!AW1572,WeightedRevAge15)-SUMIF(ThresholdAge15,"&lt;"&amp;'19_Расчет_аналитики'!AW1572,WeightedMinAge15),MAX(CapacityAge15*'01_Вводные'!$B$218*'19_Расчет_аналитики'!AW1572,MeanMinAge15)))</f>
        <v/>
      </c>
      <c r="AX1518">
        <f>IF(OR(('19_Расчет_аналитики'!AX1434-'19_Расчет_аналитики'!AX1462)=0,15&lt;='01_Вводные'!$B$297),0,('19_Расчет_аналитики'!AX1434-'19_Расчет_аналитики'!AX1462)*IF('01_Вводные'!$B$239="Да",MeanMinAge15+'19_Расчет_аналитики'!AX1572*SUMIF(ThresholdAge15,"&lt;"&amp;'19_Расчет_аналитики'!AX1572,WeightedRevAge15)-SUMIF(ThresholdAge15,"&lt;"&amp;'19_Расчет_аналитики'!AX1572,WeightedMinAge15),MAX(CapacityAge15*'01_Вводные'!$B$218*'19_Расчет_аналитики'!AX1572,MeanMinAge15)))</f>
        <v/>
      </c>
      <c r="AY1518">
        <f>IF(OR(('19_Расчет_аналитики'!AY1434-'19_Расчет_аналитики'!AY1462)=0,15&lt;='01_Вводные'!$B$297),0,('19_Расчет_аналитики'!AY1434-'19_Расчет_аналитики'!AY1462)*IF('01_Вводные'!$B$239="Да",MeanMinAge15+'19_Расчет_аналитики'!AY1572*SUMIF(ThresholdAge15,"&lt;"&amp;'19_Расчет_аналитики'!AY1572,WeightedRevAge15)-SUMIF(ThresholdAge15,"&lt;"&amp;'19_Расчет_аналитики'!AY1572,WeightedMinAge15),MAX(CapacityAge15*'01_Вводные'!$B$218*'19_Расчет_аналитики'!AY1572,MeanMinAge15)))</f>
        <v/>
      </c>
      <c r="AZ1518">
        <f>IF(OR(('19_Расчет_аналитики'!AZ1434-'19_Расчет_аналитики'!AZ1462)=0,15&lt;='01_Вводные'!$B$297),0,('19_Расчет_аналитики'!AZ1434-'19_Расчет_аналитики'!AZ1462)*IF('01_Вводные'!$B$239="Да",MeanMinAge15+'19_Расчет_аналитики'!AZ1572*SUMIF(ThresholdAge15,"&lt;"&amp;'19_Расчет_аналитики'!AZ1572,WeightedRevAge15)-SUMIF(ThresholdAge15,"&lt;"&amp;'19_Расчет_аналитики'!AZ1572,WeightedMinAge15),MAX(CapacityAge15*'01_Вводные'!$B$218*'19_Расчет_аналитики'!AZ1572,MeanMinAge15)))</f>
        <v/>
      </c>
      <c r="BA1518">
        <f>IF(OR(('19_Расчет_аналитики'!BA1434-'19_Расчет_аналитики'!BA1462)=0,15&lt;='01_Вводные'!$B$297),0,('19_Расчет_аналитики'!BA1434-'19_Расчет_аналитики'!BA1462)*IF('01_Вводные'!$B$239="Да",MeanMinAge15+'19_Расчет_аналитики'!BA1572*SUMIF(ThresholdAge15,"&lt;"&amp;'19_Расчет_аналитики'!BA1572,WeightedRevAge15)-SUMIF(ThresholdAge15,"&lt;"&amp;'19_Расчет_аналитики'!BA1572,WeightedMinAge15),MAX(CapacityAge15*'01_Вводные'!$B$218*'19_Расчет_аналитики'!BA1572,MeanMinAge15)))</f>
        <v/>
      </c>
      <c r="BB1518">
        <f>IF(OR(('19_Расчет_аналитики'!BB1434-'19_Расчет_аналитики'!BB1462)=0,15&lt;='01_Вводные'!$B$297),0,('19_Расчет_аналитики'!BB1434-'19_Расчет_аналитики'!BB1462)*IF('01_Вводные'!$B$239="Да",MeanMinAge15+'19_Расчет_аналитики'!BB1572*SUMIF(ThresholdAge15,"&lt;"&amp;'19_Расчет_аналитики'!BB1572,WeightedRevAge15)-SUMIF(ThresholdAge15,"&lt;"&amp;'19_Расчет_аналитики'!BB1572,WeightedMinAge15),MAX(CapacityAge15*'01_Вводные'!$B$218*'19_Расчет_аналитики'!BB1572,MeanMinAge15)))</f>
        <v/>
      </c>
      <c r="BC1518">
        <f>IF(OR(('19_Расчет_аналитики'!BC1434-'19_Расчет_аналитики'!BC1462)=0,15&lt;='01_Вводные'!$B$297),0,('19_Расчет_аналитики'!BC1434-'19_Расчет_аналитики'!BC1462)*IF('01_Вводные'!$B$239="Да",MeanMinAge15+'19_Расчет_аналитики'!BC1572*SUMIF(ThresholdAge15,"&lt;"&amp;'19_Расчет_аналитики'!BC1572,WeightedRevAge15)-SUMIF(ThresholdAge15,"&lt;"&amp;'19_Расчет_аналитики'!BC1572,WeightedMinAge15),MAX(CapacityAge15*'01_Вводные'!$B$218*'19_Расчет_аналитики'!BC1572,MeanMinAge15)))</f>
        <v/>
      </c>
      <c r="BD1518">
        <f>IF(OR(('19_Расчет_аналитики'!BD1434-'19_Расчет_аналитики'!BD1462)=0,15&lt;='01_Вводные'!$B$297),0,('19_Расчет_аналитики'!BD1434-'19_Расчет_аналитики'!BD1462)*IF('01_Вводные'!$B$239="Да",MeanMinAge15+'19_Расчет_аналитики'!BD1572*SUMIF(ThresholdAge15,"&lt;"&amp;'19_Расчет_аналитики'!BD1572,WeightedRevAge15)-SUMIF(ThresholdAge15,"&lt;"&amp;'19_Расчет_аналитики'!BD1572,WeightedMinAge15),MAX(CapacityAge15*'01_Вводные'!$B$218*'19_Расчет_аналитики'!BD1572,MeanMinAge15)))</f>
        <v/>
      </c>
      <c r="BE1518">
        <f>IF(OR(('19_Расчет_аналитики'!BE1434-'19_Расчет_аналитики'!BE1462)=0,15&lt;='01_Вводные'!$B$297),0,('19_Расчет_аналитики'!BE1434-'19_Расчет_аналитики'!BE1462)*IF('01_Вводные'!$B$239="Да",MeanMinAge15+'19_Расчет_аналитики'!BE1572*SUMIF(ThresholdAge15,"&lt;"&amp;'19_Расчет_аналитики'!BE1572,WeightedRevAge15)-SUMIF(ThresholdAge15,"&lt;"&amp;'19_Расчет_аналитики'!BE1572,WeightedMinAge15),MAX(CapacityAge15*'01_Вводные'!$B$218*'19_Расчет_аналитики'!BE1572,MeanMinAge15)))</f>
        <v/>
      </c>
      <c r="BF1518">
        <f>IF(OR(('19_Расчет_аналитики'!BF1434-'19_Расчет_аналитики'!BF1462)=0,15&lt;='01_Вводные'!$B$297),0,('19_Расчет_аналитики'!BF1434-'19_Расчет_аналитики'!BF1462)*IF('01_Вводные'!$B$239="Да",MeanMinAge15+'19_Расчет_аналитики'!BF1572*SUMIF(ThresholdAge15,"&lt;"&amp;'19_Расчет_аналитики'!BF1572,WeightedRevAge15)-SUMIF(ThresholdAge15,"&lt;"&amp;'19_Расчет_аналитики'!BF1572,WeightedMinAge15),MAX(CapacityAge15*'01_Вводные'!$B$218*'19_Расчет_аналитики'!BF1572,MeanMinAge15)))</f>
        <v/>
      </c>
      <c r="BG1518">
        <f>IF(OR(('19_Расчет_аналитики'!BG1434-'19_Расчет_аналитики'!BG1462)=0,15&lt;='01_Вводные'!$B$297),0,('19_Расчет_аналитики'!BG1434-'19_Расчет_аналитики'!BG1462)*IF('01_Вводные'!$B$239="Да",MeanMinAge15+'19_Расчет_аналитики'!BG1572*SUMIF(ThresholdAge15,"&lt;"&amp;'19_Расчет_аналитики'!BG1572,WeightedRevAge15)-SUMIF(ThresholdAge15,"&lt;"&amp;'19_Расчет_аналитики'!BG1572,WeightedMinAge15),MAX(CapacityAge15*'01_Вводные'!$B$218*'19_Расчет_аналитики'!BG1572,MeanMinAge15)))</f>
        <v/>
      </c>
      <c r="BH1518">
        <f>IF(OR(('19_Расчет_аналитики'!BH1434-'19_Расчет_аналитики'!BH1462)=0,15&lt;='01_Вводные'!$B$297),0,('19_Расчет_аналитики'!BH1434-'19_Расчет_аналитики'!BH1462)*IF('01_Вводные'!$B$239="Да",MeanMinAge15+'19_Расчет_аналитики'!BH1572*SUMIF(ThresholdAge15,"&lt;"&amp;'19_Расчет_аналитики'!BH1572,WeightedRevAge15)-SUMIF(ThresholdAge15,"&lt;"&amp;'19_Расчет_аналитики'!BH1572,WeightedMinAge15),MAX(CapacityAge15*'01_Вводные'!$B$218*'19_Расчет_аналитики'!BH1572,MeanMinAge15)))</f>
        <v/>
      </c>
      <c r="BI1518">
        <f>IF(OR(('19_Расчет_аналитики'!BI1434-'19_Расчет_аналитики'!BI1462)=0,15&lt;='01_Вводные'!$B$297),0,('19_Расчет_аналитики'!BI1434-'19_Расчет_аналитики'!BI1462)*IF('01_Вводные'!$B$239="Да",MeanMinAge15+'19_Расчет_аналитики'!BI1572*SUMIF(ThresholdAge15,"&lt;"&amp;'19_Расчет_аналитики'!BI1572,WeightedRevAge15)-SUMIF(ThresholdAge15,"&lt;"&amp;'19_Расчет_аналитики'!BI1572,WeightedMinAge15),MAX(CapacityAge15*'01_Вводные'!$B$218*'19_Расчет_аналитики'!BI1572,MeanMinAge15)))</f>
        <v/>
      </c>
      <c r="BJ1518">
        <f>IF(OR(('19_Расчет_аналитики'!BJ1434-'19_Расчет_аналитики'!BJ1462)=0,15&lt;='01_Вводные'!$B$297),0,('19_Расчет_аналитики'!BJ1434-'19_Расчет_аналитики'!BJ1462)*IF('01_Вводные'!$B$239="Да",MeanMinAge15+'19_Расчет_аналитики'!BJ1572*SUMIF(ThresholdAge15,"&lt;"&amp;'19_Расчет_аналитики'!BJ1572,WeightedRevAge15)-SUMIF(ThresholdAge15,"&lt;"&amp;'19_Расчет_аналитики'!BJ1572,WeightedMinAge15),MAX(CapacityAge15*'01_Вводные'!$B$218*'19_Расчет_аналитики'!BJ1572,MeanMinAge15)))</f>
        <v/>
      </c>
      <c r="BK1518">
        <f>IF(OR(('19_Расчет_аналитики'!BK1434-'19_Расчет_аналитики'!BK1462)=0,15&lt;='01_Вводные'!$B$297),0,('19_Расчет_аналитики'!BK1434-'19_Расчет_аналитики'!BK1462)*IF('01_Вводные'!$B$239="Да",MeanMinAge15+'19_Расчет_аналитики'!BK1572*SUMIF(ThresholdAge15,"&lt;"&amp;'19_Расчет_аналитики'!BK1572,WeightedRevAge15)-SUMIF(ThresholdAge15,"&lt;"&amp;'19_Расчет_аналитики'!BK1572,WeightedMinAge15),MAX(CapacityAge15*'01_Вводные'!$B$218*'19_Расчет_аналитики'!BK1572,MeanMinAge15)))</f>
        <v/>
      </c>
      <c r="BL1518">
        <f>IF(OR(('19_Расчет_аналитики'!BL1434-'19_Расчет_аналитики'!BL1462)=0,15&lt;='01_Вводные'!$B$297),0,('19_Расчет_аналитики'!BL1434-'19_Расчет_аналитики'!BL1462)*IF('01_Вводные'!$B$239="Да",MeanMinAge15+'19_Расчет_аналитики'!BL1572*SUMIF(ThresholdAge15,"&lt;"&amp;'19_Расчет_аналитики'!BL1572,WeightedRevAge15)-SUMIF(ThresholdAge15,"&lt;"&amp;'19_Расчет_аналитики'!BL1572,WeightedMinAge15),MAX(CapacityAge15*'01_Вводные'!$B$218*'19_Расчет_аналитики'!BL1572,MeanMinAge15)))</f>
        <v/>
      </c>
      <c r="BM1518">
        <f>IF(OR(('19_Расчет_аналитики'!BM1434-'19_Расчет_аналитики'!BM1462)=0,15&lt;='01_Вводные'!$B$297),0,('19_Расчет_аналитики'!BM1434-'19_Расчет_аналитики'!BM1462)*IF('01_Вводные'!$B$239="Да",MeanMinAge15+'19_Расчет_аналитики'!BM1572*SUMIF(ThresholdAge15,"&lt;"&amp;'19_Расчет_аналитики'!BM1572,WeightedRevAge15)-SUMIF(ThresholdAge15,"&lt;"&amp;'19_Расчет_аналитики'!BM1572,WeightedMinAge15),MAX(CapacityAge15*'01_Вводные'!$B$218*'19_Расчет_аналитики'!BM1572,MeanMinAge15)))</f>
        <v/>
      </c>
      <c r="BN1518">
        <f>IF(OR(('19_Расчет_аналитики'!BN1434-'19_Расчет_аналитики'!BN1462)=0,15&lt;='01_Вводные'!$B$297),0,('19_Расчет_аналитики'!BN1434-'19_Расчет_аналитики'!BN1462)*IF('01_Вводные'!$B$239="Да",MeanMinAge15+'19_Расчет_аналитики'!BN1572*SUMIF(ThresholdAge15,"&lt;"&amp;'19_Расчет_аналитики'!BN1572,WeightedRevAge15)-SUMIF(ThresholdAge15,"&lt;"&amp;'19_Расчет_аналитики'!BN1572,WeightedMinAge15),MAX(CapacityAge15*'01_Вводные'!$B$218*'19_Расчет_аналитики'!BN1572,MeanMinAge15)))</f>
        <v/>
      </c>
      <c r="BO1518">
        <f>IF(OR(('19_Расчет_аналитики'!BO1434-'19_Расчет_аналитики'!BO1462)=0,15&lt;='01_Вводные'!$B$297),0,('19_Расчет_аналитики'!BO1434-'19_Расчет_аналитики'!BO1462)*IF('01_Вводные'!$B$239="Да",MeanMinAge15+'19_Расчет_аналитики'!BO1572*SUMIF(ThresholdAge15,"&lt;"&amp;'19_Расчет_аналитики'!BO1572,WeightedRevAge15)-SUMIF(ThresholdAge15,"&lt;"&amp;'19_Расчет_аналитики'!BO1572,WeightedMinAge15),MAX(CapacityAge15*'01_Вводные'!$B$218*'19_Расчет_аналитики'!BO1572,MeanMinAge15)))</f>
        <v/>
      </c>
    </row>
    <row r="1519">
      <c r="B1519">
        <f>IF(OR(('06_Сеть_и_дети'!B68-'06_Сеть_и_дети'!B96)=0,16&lt;='01_Вводные'!$B$297),0,('06_Сеть_и_дети'!B68-'06_Сеть_и_дети'!B96)*IF('01_Вводные'!$B$239="Да",MeanMinAge16+'19_Расчет_аналитики'!B1572*SUMIF(ThresholdAge16,"&lt;"&amp;'19_Расчет_аналитики'!B1572,WeightedRevAge16)-SUMIF(ThresholdAge16,"&lt;"&amp;'19_Расчет_аналитики'!B1572,WeightedMinAge16),MAX(CapacityAge16*'01_Вводные'!$B$218*'19_Расчет_аналитики'!B1572,MeanMinAge16)))</f>
        <v/>
      </c>
      <c r="C1519">
        <f>IF(OR(('06_Сеть_и_дети'!C68-'06_Сеть_и_дети'!C96)=0,16&lt;='01_Вводные'!$B$297),0,('06_Сеть_и_дети'!C68-'06_Сеть_и_дети'!C96)*IF('01_Вводные'!$B$239="Да",MeanMinAge16+'19_Расчет_аналитики'!C1572*SUMIF(ThresholdAge16,"&lt;"&amp;'19_Расчет_аналитики'!C1572,WeightedRevAge16)-SUMIF(ThresholdAge16,"&lt;"&amp;'19_Расчет_аналитики'!C1572,WeightedMinAge16),MAX(CapacityAge16*'01_Вводные'!$B$218*'19_Расчет_аналитики'!C1572,MeanMinAge16)))</f>
        <v/>
      </c>
      <c r="D1519">
        <f>IF(OR(('06_Сеть_и_дети'!D68-'06_Сеть_и_дети'!D96)=0,16&lt;='01_Вводные'!$B$297),0,('06_Сеть_и_дети'!D68-'06_Сеть_и_дети'!D96)*IF('01_Вводные'!$B$239="Да",MeanMinAge16+'19_Расчет_аналитики'!D1572*SUMIF(ThresholdAge16,"&lt;"&amp;'19_Расчет_аналитики'!D1572,WeightedRevAge16)-SUMIF(ThresholdAge16,"&lt;"&amp;'19_Расчет_аналитики'!D1572,WeightedMinAge16),MAX(CapacityAge16*'01_Вводные'!$B$218*'19_Расчет_аналитики'!D1572,MeanMinAge16)))</f>
        <v/>
      </c>
      <c r="E1519">
        <f>IF(OR(('06_Сеть_и_дети'!E68-'06_Сеть_и_дети'!E96)=0,16&lt;='01_Вводные'!$B$297),0,('06_Сеть_и_дети'!E68-'06_Сеть_и_дети'!E96)*IF('01_Вводные'!$B$239="Да",MeanMinAge16+'19_Расчет_аналитики'!E1572*SUMIF(ThresholdAge16,"&lt;"&amp;'19_Расчет_аналитики'!E1572,WeightedRevAge16)-SUMIF(ThresholdAge16,"&lt;"&amp;'19_Расчет_аналитики'!E1572,WeightedMinAge16),MAX(CapacityAge16*'01_Вводные'!$B$218*'19_Расчет_аналитики'!E1572,MeanMinAge16)))</f>
        <v/>
      </c>
      <c r="F1519">
        <f>IF(OR(('06_Сеть_и_дети'!F68-'06_Сеть_и_дети'!F96)=0,16&lt;='01_Вводные'!$B$297),0,('06_Сеть_и_дети'!F68-'06_Сеть_и_дети'!F96)*IF('01_Вводные'!$B$239="Да",MeanMinAge16+'19_Расчет_аналитики'!F1572*SUMIF(ThresholdAge16,"&lt;"&amp;'19_Расчет_аналитики'!F1572,WeightedRevAge16)-SUMIF(ThresholdAge16,"&lt;"&amp;'19_Расчет_аналитики'!F1572,WeightedMinAge16),MAX(CapacityAge16*'01_Вводные'!$B$218*'19_Расчет_аналитики'!F1572,MeanMinAge16)))</f>
        <v/>
      </c>
      <c r="G1519">
        <f>IF(OR(('06_Сеть_и_дети'!G68-'06_Сеть_и_дети'!G96)=0,16&lt;='01_Вводные'!$B$297),0,('06_Сеть_и_дети'!G68-'06_Сеть_и_дети'!G96)*IF('01_Вводные'!$B$239="Да",MeanMinAge16+'19_Расчет_аналитики'!G1572*SUMIF(ThresholdAge16,"&lt;"&amp;'19_Расчет_аналитики'!G1572,WeightedRevAge16)-SUMIF(ThresholdAge16,"&lt;"&amp;'19_Расчет_аналитики'!G1572,WeightedMinAge16),MAX(CapacityAge16*'01_Вводные'!$B$218*'19_Расчет_аналитики'!G1572,MeanMinAge16)))</f>
        <v/>
      </c>
      <c r="H1519">
        <f>IF(OR(('06_Сеть_и_дети'!H68-'06_Сеть_и_дети'!H96)=0,16&lt;='01_Вводные'!$B$297),0,('06_Сеть_и_дети'!H68-'06_Сеть_и_дети'!H96)*IF('01_Вводные'!$B$239="Да",MeanMinAge16+'19_Расчет_аналитики'!H1572*SUMIF(ThresholdAge16,"&lt;"&amp;'19_Расчет_аналитики'!H1572,WeightedRevAge16)-SUMIF(ThresholdAge16,"&lt;"&amp;'19_Расчет_аналитики'!H1572,WeightedMinAge16),MAX(CapacityAge16*'01_Вводные'!$B$218*'19_Расчет_аналитики'!H1572,MeanMinAge16)))</f>
        <v/>
      </c>
      <c r="I1519">
        <f>IF(OR(('06_Сеть_и_дети'!I68-'06_Сеть_и_дети'!I96)=0,16&lt;='01_Вводные'!$B$297),0,('06_Сеть_и_дети'!I68-'06_Сеть_и_дети'!I96)*IF('01_Вводные'!$B$239="Да",MeanMinAge16+'19_Расчет_аналитики'!I1572*SUMIF(ThresholdAge16,"&lt;"&amp;'19_Расчет_аналитики'!I1572,WeightedRevAge16)-SUMIF(ThresholdAge16,"&lt;"&amp;'19_Расчет_аналитики'!I1572,WeightedMinAge16),MAX(CapacityAge16*'01_Вводные'!$B$218*'19_Расчет_аналитики'!I1572,MeanMinAge16)))</f>
        <v/>
      </c>
      <c r="J1519">
        <f>IF(OR(('06_Сеть_и_дети'!J68-'06_Сеть_и_дети'!J96)=0,16&lt;='01_Вводные'!$B$297),0,('06_Сеть_и_дети'!J68-'06_Сеть_и_дети'!J96)*IF('01_Вводные'!$B$239="Да",MeanMinAge16+'19_Расчет_аналитики'!J1572*SUMIF(ThresholdAge16,"&lt;"&amp;'19_Расчет_аналитики'!J1572,WeightedRevAge16)-SUMIF(ThresholdAge16,"&lt;"&amp;'19_Расчет_аналитики'!J1572,WeightedMinAge16),MAX(CapacityAge16*'01_Вводные'!$B$218*'19_Расчет_аналитики'!J1572,MeanMinAge16)))</f>
        <v/>
      </c>
      <c r="K1519">
        <f>IF(OR(('06_Сеть_и_дети'!K68-'06_Сеть_и_дети'!K96)=0,16&lt;='01_Вводные'!$B$297),0,('06_Сеть_и_дети'!K68-'06_Сеть_и_дети'!K96)*IF('01_Вводные'!$B$239="Да",MeanMinAge16+'19_Расчет_аналитики'!K1572*SUMIF(ThresholdAge16,"&lt;"&amp;'19_Расчет_аналитики'!K1572,WeightedRevAge16)-SUMIF(ThresholdAge16,"&lt;"&amp;'19_Расчет_аналитики'!K1572,WeightedMinAge16),MAX(CapacityAge16*'01_Вводные'!$B$218*'19_Расчет_аналитики'!K1572,MeanMinAge16)))</f>
        <v/>
      </c>
      <c r="L1519">
        <f>IF(OR(('06_Сеть_и_дети'!L68-'06_Сеть_и_дети'!L96)=0,16&lt;='01_Вводные'!$B$297),0,('06_Сеть_и_дети'!L68-'06_Сеть_и_дети'!L96)*IF('01_Вводные'!$B$239="Да",MeanMinAge16+'19_Расчет_аналитики'!L1572*SUMIF(ThresholdAge16,"&lt;"&amp;'19_Расчет_аналитики'!L1572,WeightedRevAge16)-SUMIF(ThresholdAge16,"&lt;"&amp;'19_Расчет_аналитики'!L1572,WeightedMinAge16),MAX(CapacityAge16*'01_Вводные'!$B$218*'19_Расчет_аналитики'!L1572,MeanMinAge16)))</f>
        <v/>
      </c>
      <c r="M1519">
        <f>IF(OR(('06_Сеть_и_дети'!M68-'06_Сеть_и_дети'!M96)=0,16&lt;='01_Вводные'!$B$297),0,('06_Сеть_и_дети'!M68-'06_Сеть_и_дети'!M96)*IF('01_Вводные'!$B$239="Да",MeanMinAge16+'19_Расчет_аналитики'!M1572*SUMIF(ThresholdAge16,"&lt;"&amp;'19_Расчет_аналитики'!M1572,WeightedRevAge16)-SUMIF(ThresholdAge16,"&lt;"&amp;'19_Расчет_аналитики'!M1572,WeightedMinAge16),MAX(CapacityAge16*'01_Вводные'!$B$218*'19_Расчет_аналитики'!M1572,MeanMinAge16)))</f>
        <v/>
      </c>
      <c r="N1519">
        <f>IF(OR(('06_Сеть_и_дети'!N68-'06_Сеть_и_дети'!N96)=0,16&lt;='01_Вводные'!$B$297),0,('06_Сеть_и_дети'!N68-'06_Сеть_и_дети'!N96)*IF('01_Вводные'!$B$239="Да",MeanMinAge16+'19_Расчет_аналитики'!N1572*SUMIF(ThresholdAge16,"&lt;"&amp;'19_Расчет_аналитики'!N1572,WeightedRevAge16)-SUMIF(ThresholdAge16,"&lt;"&amp;'19_Расчет_аналитики'!N1572,WeightedMinAge16),MAX(CapacityAge16*'01_Вводные'!$B$218*'19_Расчет_аналитики'!N1572,MeanMinAge16)))</f>
        <v/>
      </c>
      <c r="O1519">
        <f>IF(OR(('06_Сеть_и_дети'!O68-'06_Сеть_и_дети'!O96)=0,16&lt;='01_Вводные'!$B$297),0,('06_Сеть_и_дети'!O68-'06_Сеть_и_дети'!O96)*IF('01_Вводные'!$B$239="Да",MeanMinAge16+'19_Расчет_аналитики'!O1572*SUMIF(ThresholdAge16,"&lt;"&amp;'19_Расчет_аналитики'!O1572,WeightedRevAge16)-SUMIF(ThresholdAge16,"&lt;"&amp;'19_Расчет_аналитики'!O1572,WeightedMinAge16),MAX(CapacityAge16*'01_Вводные'!$B$218*'19_Расчет_аналитики'!O1572,MeanMinAge16)))</f>
        <v/>
      </c>
      <c r="P1519">
        <f>IF(OR(('06_Сеть_и_дети'!P68-'06_Сеть_и_дети'!P96)=0,16&lt;='01_Вводные'!$B$297),0,('06_Сеть_и_дети'!P68-'06_Сеть_и_дети'!P96)*IF('01_Вводные'!$B$239="Да",MeanMinAge16+'19_Расчет_аналитики'!P1572*SUMIF(ThresholdAge16,"&lt;"&amp;'19_Расчет_аналитики'!P1572,WeightedRevAge16)-SUMIF(ThresholdAge16,"&lt;"&amp;'19_Расчет_аналитики'!P1572,WeightedMinAge16),MAX(CapacityAge16*'01_Вводные'!$B$218*'19_Расчет_аналитики'!P1572,MeanMinAge16)))</f>
        <v/>
      </c>
      <c r="Q1519">
        <f>IF(OR(('19_Расчет_аналитики'!Q1435-'19_Расчет_аналитики'!Q1463)=0,16&lt;='01_Вводные'!$B$297),0,('19_Расчет_аналитики'!Q1435-'19_Расчет_аналитики'!Q1463)*IF('01_Вводные'!$B$239="Да",MeanMinAge16+'19_Расчет_аналитики'!Q1572*SUMIF(ThresholdAge16,"&lt;"&amp;'19_Расчет_аналитики'!Q1572,WeightedRevAge16)-SUMIF(ThresholdAge16,"&lt;"&amp;'19_Расчет_аналитики'!Q1572,WeightedMinAge16),MAX(CapacityAge16*'01_Вводные'!$B$218*'19_Расчет_аналитики'!Q1572,MeanMinAge16)))</f>
        <v/>
      </c>
      <c r="R1519">
        <f>IF(OR(('19_Расчет_аналитики'!R1435-'19_Расчет_аналитики'!R1463)=0,16&lt;='01_Вводные'!$B$297),0,('19_Расчет_аналитики'!R1435-'19_Расчет_аналитики'!R1463)*IF('01_Вводные'!$B$239="Да",MeanMinAge16+'19_Расчет_аналитики'!R1572*SUMIF(ThresholdAge16,"&lt;"&amp;'19_Расчет_аналитики'!R1572,WeightedRevAge16)-SUMIF(ThresholdAge16,"&lt;"&amp;'19_Расчет_аналитики'!R1572,WeightedMinAge16),MAX(CapacityAge16*'01_Вводные'!$B$218*'19_Расчет_аналитики'!R1572,MeanMinAge16)))</f>
        <v/>
      </c>
      <c r="S1519">
        <f>IF(OR(('19_Расчет_аналитики'!S1435-'19_Расчет_аналитики'!S1463)=0,16&lt;='01_Вводные'!$B$297),0,('19_Расчет_аналитики'!S1435-'19_Расчет_аналитики'!S1463)*IF('01_Вводные'!$B$239="Да",MeanMinAge16+'19_Расчет_аналитики'!S1572*SUMIF(ThresholdAge16,"&lt;"&amp;'19_Расчет_аналитики'!S1572,WeightedRevAge16)-SUMIF(ThresholdAge16,"&lt;"&amp;'19_Расчет_аналитики'!S1572,WeightedMinAge16),MAX(CapacityAge16*'01_Вводные'!$B$218*'19_Расчет_аналитики'!S1572,MeanMinAge16)))</f>
        <v/>
      </c>
      <c r="T1519">
        <f>IF(OR(('19_Расчет_аналитики'!T1435-'19_Расчет_аналитики'!T1463)=0,16&lt;='01_Вводные'!$B$297),0,('19_Расчет_аналитики'!T1435-'19_Расчет_аналитики'!T1463)*IF('01_Вводные'!$B$239="Да",MeanMinAge16+'19_Расчет_аналитики'!T1572*SUMIF(ThresholdAge16,"&lt;"&amp;'19_Расчет_аналитики'!T1572,WeightedRevAge16)-SUMIF(ThresholdAge16,"&lt;"&amp;'19_Расчет_аналитики'!T1572,WeightedMinAge16),MAX(CapacityAge16*'01_Вводные'!$B$218*'19_Расчет_аналитики'!T1572,MeanMinAge16)))</f>
        <v/>
      </c>
      <c r="U1519">
        <f>IF(OR(('19_Расчет_аналитики'!U1435-'19_Расчет_аналитики'!U1463)=0,16&lt;='01_Вводные'!$B$297),0,('19_Расчет_аналитики'!U1435-'19_Расчет_аналитики'!U1463)*IF('01_Вводные'!$B$239="Да",MeanMinAge16+'19_Расчет_аналитики'!U1572*SUMIF(ThresholdAge16,"&lt;"&amp;'19_Расчет_аналитики'!U1572,WeightedRevAge16)-SUMIF(ThresholdAge16,"&lt;"&amp;'19_Расчет_аналитики'!U1572,WeightedMinAge16),MAX(CapacityAge16*'01_Вводные'!$B$218*'19_Расчет_аналитики'!U1572,MeanMinAge16)))</f>
        <v/>
      </c>
      <c r="V1519">
        <f>IF(OR(('19_Расчет_аналитики'!V1435-'19_Расчет_аналитики'!V1463)=0,16&lt;='01_Вводные'!$B$297),0,('19_Расчет_аналитики'!V1435-'19_Расчет_аналитики'!V1463)*IF('01_Вводные'!$B$239="Да",MeanMinAge16+'19_Расчет_аналитики'!V1572*SUMIF(ThresholdAge16,"&lt;"&amp;'19_Расчет_аналитики'!V1572,WeightedRevAge16)-SUMIF(ThresholdAge16,"&lt;"&amp;'19_Расчет_аналитики'!V1572,WeightedMinAge16),MAX(CapacityAge16*'01_Вводные'!$B$218*'19_Расчет_аналитики'!V1572,MeanMinAge16)))</f>
        <v/>
      </c>
      <c r="W1519">
        <f>IF(OR(('19_Расчет_аналитики'!W1435-'19_Расчет_аналитики'!W1463)=0,16&lt;='01_Вводные'!$B$297),0,('19_Расчет_аналитики'!W1435-'19_Расчет_аналитики'!W1463)*IF('01_Вводные'!$B$239="Да",MeanMinAge16+'19_Расчет_аналитики'!W1572*SUMIF(ThresholdAge16,"&lt;"&amp;'19_Расчет_аналитики'!W1572,WeightedRevAge16)-SUMIF(ThresholdAge16,"&lt;"&amp;'19_Расчет_аналитики'!W1572,WeightedMinAge16),MAX(CapacityAge16*'01_Вводные'!$B$218*'19_Расчет_аналитики'!W1572,MeanMinAge16)))</f>
        <v/>
      </c>
      <c r="X1519">
        <f>IF(OR(('19_Расчет_аналитики'!X1435-'19_Расчет_аналитики'!X1463)=0,16&lt;='01_Вводные'!$B$297),0,('19_Расчет_аналитики'!X1435-'19_Расчет_аналитики'!X1463)*IF('01_Вводные'!$B$239="Да",MeanMinAge16+'19_Расчет_аналитики'!X1572*SUMIF(ThresholdAge16,"&lt;"&amp;'19_Расчет_аналитики'!X1572,WeightedRevAge16)-SUMIF(ThresholdAge16,"&lt;"&amp;'19_Расчет_аналитики'!X1572,WeightedMinAge16),MAX(CapacityAge16*'01_Вводные'!$B$218*'19_Расчет_аналитики'!X1572,MeanMinAge16)))</f>
        <v/>
      </c>
      <c r="Y1519">
        <f>IF(OR(('19_Расчет_аналитики'!Y1435-'19_Расчет_аналитики'!Y1463)=0,16&lt;='01_Вводные'!$B$297),0,('19_Расчет_аналитики'!Y1435-'19_Расчет_аналитики'!Y1463)*IF('01_Вводные'!$B$239="Да",MeanMinAge16+'19_Расчет_аналитики'!Y1572*SUMIF(ThresholdAge16,"&lt;"&amp;'19_Расчет_аналитики'!Y1572,WeightedRevAge16)-SUMIF(ThresholdAge16,"&lt;"&amp;'19_Расчет_аналитики'!Y1572,WeightedMinAge16),MAX(CapacityAge16*'01_Вводные'!$B$218*'19_Расчет_аналитики'!Y1572,MeanMinAge16)))</f>
        <v/>
      </c>
      <c r="Z1519">
        <f>IF(OR(('19_Расчет_аналитики'!Z1435-'19_Расчет_аналитики'!Z1463)=0,16&lt;='01_Вводные'!$B$297),0,('19_Расчет_аналитики'!Z1435-'19_Расчет_аналитики'!Z1463)*IF('01_Вводные'!$B$239="Да",MeanMinAge16+'19_Расчет_аналитики'!Z1572*SUMIF(ThresholdAge16,"&lt;"&amp;'19_Расчет_аналитики'!Z1572,WeightedRevAge16)-SUMIF(ThresholdAge16,"&lt;"&amp;'19_Расчет_аналитики'!Z1572,WeightedMinAge16),MAX(CapacityAge16*'01_Вводные'!$B$218*'19_Расчет_аналитики'!Z1572,MeanMinAge16)))</f>
        <v/>
      </c>
      <c r="AA1519">
        <f>IF(OR(('19_Расчет_аналитики'!AA1435-'19_Расчет_аналитики'!AA1463)=0,16&lt;='01_Вводные'!$B$297),0,('19_Расчет_аналитики'!AA1435-'19_Расчет_аналитики'!AA1463)*IF('01_Вводные'!$B$239="Да",MeanMinAge16+'19_Расчет_аналитики'!AA1572*SUMIF(ThresholdAge16,"&lt;"&amp;'19_Расчет_аналитики'!AA1572,WeightedRevAge16)-SUMIF(ThresholdAge16,"&lt;"&amp;'19_Расчет_аналитики'!AA1572,WeightedMinAge16),MAX(CapacityAge16*'01_Вводные'!$B$218*'19_Расчет_аналитики'!AA1572,MeanMinAge16)))</f>
        <v/>
      </c>
      <c r="AB1519">
        <f>IF(OR(('19_Расчет_аналитики'!AB1435-'19_Расчет_аналитики'!AB1463)=0,16&lt;='01_Вводные'!$B$297),0,('19_Расчет_аналитики'!AB1435-'19_Расчет_аналитики'!AB1463)*IF('01_Вводные'!$B$239="Да",MeanMinAge16+'19_Расчет_аналитики'!AB1572*SUMIF(ThresholdAge16,"&lt;"&amp;'19_Расчет_аналитики'!AB1572,WeightedRevAge16)-SUMIF(ThresholdAge16,"&lt;"&amp;'19_Расчет_аналитики'!AB1572,WeightedMinAge16),MAX(CapacityAge16*'01_Вводные'!$B$218*'19_Расчет_аналитики'!AB1572,MeanMinAge16)))</f>
        <v/>
      </c>
      <c r="AC1519">
        <f>IF(OR(('19_Расчет_аналитики'!AC1435-'19_Расчет_аналитики'!AC1463)=0,16&lt;='01_Вводные'!$B$297),0,('19_Расчет_аналитики'!AC1435-'19_Расчет_аналитики'!AC1463)*IF('01_Вводные'!$B$239="Да",MeanMinAge16+'19_Расчет_аналитики'!AC1572*SUMIF(ThresholdAge16,"&lt;"&amp;'19_Расчет_аналитики'!AC1572,WeightedRevAge16)-SUMIF(ThresholdAge16,"&lt;"&amp;'19_Расчет_аналитики'!AC1572,WeightedMinAge16),MAX(CapacityAge16*'01_Вводные'!$B$218*'19_Расчет_аналитики'!AC1572,MeanMinAge16)))</f>
        <v/>
      </c>
      <c r="AD1519">
        <f>IF(OR(('19_Расчет_аналитики'!AD1435-'19_Расчет_аналитики'!AD1463)=0,16&lt;='01_Вводные'!$B$297),0,('19_Расчет_аналитики'!AD1435-'19_Расчет_аналитики'!AD1463)*IF('01_Вводные'!$B$239="Да",MeanMinAge16+'19_Расчет_аналитики'!AD1572*SUMIF(ThresholdAge16,"&lt;"&amp;'19_Расчет_аналитики'!AD1572,WeightedRevAge16)-SUMIF(ThresholdAge16,"&lt;"&amp;'19_Расчет_аналитики'!AD1572,WeightedMinAge16),MAX(CapacityAge16*'01_Вводные'!$B$218*'19_Расчет_аналитики'!AD1572,MeanMinAge16)))</f>
        <v/>
      </c>
      <c r="AE1519">
        <f>IF(OR(('19_Расчет_аналитики'!AE1435-'19_Расчет_аналитики'!AE1463)=0,16&lt;='01_Вводные'!$B$297),0,('19_Расчет_аналитики'!AE1435-'19_Расчет_аналитики'!AE1463)*IF('01_Вводные'!$B$239="Да",MeanMinAge16+'19_Расчет_аналитики'!AE1572*SUMIF(ThresholdAge16,"&lt;"&amp;'19_Расчет_аналитики'!AE1572,WeightedRevAge16)-SUMIF(ThresholdAge16,"&lt;"&amp;'19_Расчет_аналитики'!AE1572,WeightedMinAge16),MAX(CapacityAge16*'01_Вводные'!$B$218*'19_Расчет_аналитики'!AE1572,MeanMinAge16)))</f>
        <v/>
      </c>
      <c r="AF1519">
        <f>IF(OR(('19_Расчет_аналитики'!AF1435-'19_Расчет_аналитики'!AF1463)=0,16&lt;='01_Вводные'!$B$297),0,('19_Расчет_аналитики'!AF1435-'19_Расчет_аналитики'!AF1463)*IF('01_Вводные'!$B$239="Да",MeanMinAge16+'19_Расчет_аналитики'!AF1572*SUMIF(ThresholdAge16,"&lt;"&amp;'19_Расчет_аналитики'!AF1572,WeightedRevAge16)-SUMIF(ThresholdAge16,"&lt;"&amp;'19_Расчет_аналитики'!AF1572,WeightedMinAge16),MAX(CapacityAge16*'01_Вводные'!$B$218*'19_Расчет_аналитики'!AF1572,MeanMinAge16)))</f>
        <v/>
      </c>
      <c r="AG1519">
        <f>IF(OR(('19_Расчет_аналитики'!AG1435-'19_Расчет_аналитики'!AG1463)=0,16&lt;='01_Вводные'!$B$297),0,('19_Расчет_аналитики'!AG1435-'19_Расчет_аналитики'!AG1463)*IF('01_Вводные'!$B$239="Да",MeanMinAge16+'19_Расчет_аналитики'!AG1572*SUMIF(ThresholdAge16,"&lt;"&amp;'19_Расчет_аналитики'!AG1572,WeightedRevAge16)-SUMIF(ThresholdAge16,"&lt;"&amp;'19_Расчет_аналитики'!AG1572,WeightedMinAge16),MAX(CapacityAge16*'01_Вводные'!$B$218*'19_Расчет_аналитики'!AG1572,MeanMinAge16)))</f>
        <v/>
      </c>
      <c r="AH1519">
        <f>IF(OR(('19_Расчет_аналитики'!AH1435-'19_Расчет_аналитики'!AH1463)=0,16&lt;='01_Вводные'!$B$297),0,('19_Расчет_аналитики'!AH1435-'19_Расчет_аналитики'!AH1463)*IF('01_Вводные'!$B$239="Да",MeanMinAge16+'19_Расчет_аналитики'!AH1572*SUMIF(ThresholdAge16,"&lt;"&amp;'19_Расчет_аналитики'!AH1572,WeightedRevAge16)-SUMIF(ThresholdAge16,"&lt;"&amp;'19_Расчет_аналитики'!AH1572,WeightedMinAge16),MAX(CapacityAge16*'01_Вводные'!$B$218*'19_Расчет_аналитики'!AH1572,MeanMinAge16)))</f>
        <v/>
      </c>
      <c r="AI1519">
        <f>IF(OR(('19_Расчет_аналитики'!AI1435-'19_Расчет_аналитики'!AI1463)=0,16&lt;='01_Вводные'!$B$297),0,('19_Расчет_аналитики'!AI1435-'19_Расчет_аналитики'!AI1463)*IF('01_Вводные'!$B$239="Да",MeanMinAge16+'19_Расчет_аналитики'!AI1572*SUMIF(ThresholdAge16,"&lt;"&amp;'19_Расчет_аналитики'!AI1572,WeightedRevAge16)-SUMIF(ThresholdAge16,"&lt;"&amp;'19_Расчет_аналитики'!AI1572,WeightedMinAge16),MAX(CapacityAge16*'01_Вводные'!$B$218*'19_Расчет_аналитики'!AI1572,MeanMinAge16)))</f>
        <v/>
      </c>
      <c r="AJ1519">
        <f>IF(OR(('19_Расчет_аналитики'!AJ1435-'19_Расчет_аналитики'!AJ1463)=0,16&lt;='01_Вводные'!$B$297),0,('19_Расчет_аналитики'!AJ1435-'19_Расчет_аналитики'!AJ1463)*IF('01_Вводные'!$B$239="Да",MeanMinAge16+'19_Расчет_аналитики'!AJ1572*SUMIF(ThresholdAge16,"&lt;"&amp;'19_Расчет_аналитики'!AJ1572,WeightedRevAge16)-SUMIF(ThresholdAge16,"&lt;"&amp;'19_Расчет_аналитики'!AJ1572,WeightedMinAge16),MAX(CapacityAge16*'01_Вводные'!$B$218*'19_Расчет_аналитики'!AJ1572,MeanMinAge16)))</f>
        <v/>
      </c>
      <c r="AK1519">
        <f>IF(OR(('19_Расчет_аналитики'!AK1435-'19_Расчет_аналитики'!AK1463)=0,16&lt;='01_Вводные'!$B$297),0,('19_Расчет_аналитики'!AK1435-'19_Расчет_аналитики'!AK1463)*IF('01_Вводные'!$B$239="Да",MeanMinAge16+'19_Расчет_аналитики'!AK1572*SUMIF(ThresholdAge16,"&lt;"&amp;'19_Расчет_аналитики'!AK1572,WeightedRevAge16)-SUMIF(ThresholdAge16,"&lt;"&amp;'19_Расчет_аналитики'!AK1572,WeightedMinAge16),MAX(CapacityAge16*'01_Вводные'!$B$218*'19_Расчет_аналитики'!AK1572,MeanMinAge16)))</f>
        <v/>
      </c>
      <c r="AL1519">
        <f>IF(OR(('19_Расчет_аналитики'!AL1435-'19_Расчет_аналитики'!AL1463)=0,16&lt;='01_Вводные'!$B$297),0,('19_Расчет_аналитики'!AL1435-'19_Расчет_аналитики'!AL1463)*IF('01_Вводные'!$B$239="Да",MeanMinAge16+'19_Расчет_аналитики'!AL1572*SUMIF(ThresholdAge16,"&lt;"&amp;'19_Расчет_аналитики'!AL1572,WeightedRevAge16)-SUMIF(ThresholdAge16,"&lt;"&amp;'19_Расчет_аналитики'!AL1572,WeightedMinAge16),MAX(CapacityAge16*'01_Вводные'!$B$218*'19_Расчет_аналитики'!AL1572,MeanMinAge16)))</f>
        <v/>
      </c>
      <c r="AM1519">
        <f>IF(OR(('19_Расчет_аналитики'!AM1435-'19_Расчет_аналитики'!AM1463)=0,16&lt;='01_Вводные'!$B$297),0,('19_Расчет_аналитики'!AM1435-'19_Расчет_аналитики'!AM1463)*IF('01_Вводные'!$B$239="Да",MeanMinAge16+'19_Расчет_аналитики'!AM1572*SUMIF(ThresholdAge16,"&lt;"&amp;'19_Расчет_аналитики'!AM1572,WeightedRevAge16)-SUMIF(ThresholdAge16,"&lt;"&amp;'19_Расчет_аналитики'!AM1572,WeightedMinAge16),MAX(CapacityAge16*'01_Вводные'!$B$218*'19_Расчет_аналитики'!AM1572,MeanMinAge16)))</f>
        <v/>
      </c>
      <c r="AN1519">
        <f>IF(OR(('19_Расчет_аналитики'!AN1435-'19_Расчет_аналитики'!AN1463)=0,16&lt;='01_Вводные'!$B$297),0,('19_Расчет_аналитики'!AN1435-'19_Расчет_аналитики'!AN1463)*IF('01_Вводные'!$B$239="Да",MeanMinAge16+'19_Расчет_аналитики'!AN1572*SUMIF(ThresholdAge16,"&lt;"&amp;'19_Расчет_аналитики'!AN1572,WeightedRevAge16)-SUMIF(ThresholdAge16,"&lt;"&amp;'19_Расчет_аналитики'!AN1572,WeightedMinAge16),MAX(CapacityAge16*'01_Вводные'!$B$218*'19_Расчет_аналитики'!AN1572,MeanMinAge16)))</f>
        <v/>
      </c>
      <c r="AO1519">
        <f>IF(OR(('19_Расчет_аналитики'!AO1435-'19_Расчет_аналитики'!AO1463)=0,16&lt;='01_Вводные'!$B$297),0,('19_Расчет_аналитики'!AO1435-'19_Расчет_аналитики'!AO1463)*IF('01_Вводные'!$B$239="Да",MeanMinAge16+'19_Расчет_аналитики'!AO1572*SUMIF(ThresholdAge16,"&lt;"&amp;'19_Расчет_аналитики'!AO1572,WeightedRevAge16)-SUMIF(ThresholdAge16,"&lt;"&amp;'19_Расчет_аналитики'!AO1572,WeightedMinAge16),MAX(CapacityAge16*'01_Вводные'!$B$218*'19_Расчет_аналитики'!AO1572,MeanMinAge16)))</f>
        <v/>
      </c>
      <c r="AP1519">
        <f>IF(OR(('19_Расчет_аналитики'!AP1435-'19_Расчет_аналитики'!AP1463)=0,16&lt;='01_Вводные'!$B$297),0,('19_Расчет_аналитики'!AP1435-'19_Расчет_аналитики'!AP1463)*IF('01_Вводные'!$B$239="Да",MeanMinAge16+'19_Расчет_аналитики'!AP1572*SUMIF(ThresholdAge16,"&lt;"&amp;'19_Расчет_аналитики'!AP1572,WeightedRevAge16)-SUMIF(ThresholdAge16,"&lt;"&amp;'19_Расчет_аналитики'!AP1572,WeightedMinAge16),MAX(CapacityAge16*'01_Вводные'!$B$218*'19_Расчет_аналитики'!AP1572,MeanMinAge16)))</f>
        <v/>
      </c>
      <c r="AQ1519">
        <f>IF(OR(('19_Расчет_аналитики'!AQ1435-'19_Расчет_аналитики'!AQ1463)=0,16&lt;='01_Вводные'!$B$297),0,('19_Расчет_аналитики'!AQ1435-'19_Расчет_аналитики'!AQ1463)*IF('01_Вводные'!$B$239="Да",MeanMinAge16+'19_Расчет_аналитики'!AQ1572*SUMIF(ThresholdAge16,"&lt;"&amp;'19_Расчет_аналитики'!AQ1572,WeightedRevAge16)-SUMIF(ThresholdAge16,"&lt;"&amp;'19_Расчет_аналитики'!AQ1572,WeightedMinAge16),MAX(CapacityAge16*'01_Вводные'!$B$218*'19_Расчет_аналитики'!AQ1572,MeanMinAge16)))</f>
        <v/>
      </c>
      <c r="AR1519">
        <f>IF(OR(('19_Расчет_аналитики'!AR1435-'19_Расчет_аналитики'!AR1463)=0,16&lt;='01_Вводные'!$B$297),0,('19_Расчет_аналитики'!AR1435-'19_Расчет_аналитики'!AR1463)*IF('01_Вводные'!$B$239="Да",MeanMinAge16+'19_Расчет_аналитики'!AR1572*SUMIF(ThresholdAge16,"&lt;"&amp;'19_Расчет_аналитики'!AR1572,WeightedRevAge16)-SUMIF(ThresholdAge16,"&lt;"&amp;'19_Расчет_аналитики'!AR1572,WeightedMinAge16),MAX(CapacityAge16*'01_Вводные'!$B$218*'19_Расчет_аналитики'!AR1572,MeanMinAge16)))</f>
        <v/>
      </c>
      <c r="AS1519">
        <f>IF(OR(('19_Расчет_аналитики'!AS1435-'19_Расчет_аналитики'!AS1463)=0,16&lt;='01_Вводные'!$B$297),0,('19_Расчет_аналитики'!AS1435-'19_Расчет_аналитики'!AS1463)*IF('01_Вводные'!$B$239="Да",MeanMinAge16+'19_Расчет_аналитики'!AS1572*SUMIF(ThresholdAge16,"&lt;"&amp;'19_Расчет_аналитики'!AS1572,WeightedRevAge16)-SUMIF(ThresholdAge16,"&lt;"&amp;'19_Расчет_аналитики'!AS1572,WeightedMinAge16),MAX(CapacityAge16*'01_Вводные'!$B$218*'19_Расчет_аналитики'!AS1572,MeanMinAge16)))</f>
        <v/>
      </c>
      <c r="AT1519">
        <f>IF(OR(('19_Расчет_аналитики'!AT1435-'19_Расчет_аналитики'!AT1463)=0,16&lt;='01_Вводные'!$B$297),0,('19_Расчет_аналитики'!AT1435-'19_Расчет_аналитики'!AT1463)*IF('01_Вводные'!$B$239="Да",MeanMinAge16+'19_Расчет_аналитики'!AT1572*SUMIF(ThresholdAge16,"&lt;"&amp;'19_Расчет_аналитики'!AT1572,WeightedRevAge16)-SUMIF(ThresholdAge16,"&lt;"&amp;'19_Расчет_аналитики'!AT1572,WeightedMinAge16),MAX(CapacityAge16*'01_Вводные'!$B$218*'19_Расчет_аналитики'!AT1572,MeanMinAge16)))</f>
        <v/>
      </c>
      <c r="AU1519">
        <f>IF(OR(('19_Расчет_аналитики'!AU1435-'19_Расчет_аналитики'!AU1463)=0,16&lt;='01_Вводные'!$B$297),0,('19_Расчет_аналитики'!AU1435-'19_Расчет_аналитики'!AU1463)*IF('01_Вводные'!$B$239="Да",MeanMinAge16+'19_Расчет_аналитики'!AU1572*SUMIF(ThresholdAge16,"&lt;"&amp;'19_Расчет_аналитики'!AU1572,WeightedRevAge16)-SUMIF(ThresholdAge16,"&lt;"&amp;'19_Расчет_аналитики'!AU1572,WeightedMinAge16),MAX(CapacityAge16*'01_Вводные'!$B$218*'19_Расчет_аналитики'!AU1572,MeanMinAge16)))</f>
        <v/>
      </c>
      <c r="AV1519">
        <f>IF(OR(('19_Расчет_аналитики'!AV1435-'19_Расчет_аналитики'!AV1463)=0,16&lt;='01_Вводные'!$B$297),0,('19_Расчет_аналитики'!AV1435-'19_Расчет_аналитики'!AV1463)*IF('01_Вводные'!$B$239="Да",MeanMinAge16+'19_Расчет_аналитики'!AV1572*SUMIF(ThresholdAge16,"&lt;"&amp;'19_Расчет_аналитики'!AV1572,WeightedRevAge16)-SUMIF(ThresholdAge16,"&lt;"&amp;'19_Расчет_аналитики'!AV1572,WeightedMinAge16),MAX(CapacityAge16*'01_Вводные'!$B$218*'19_Расчет_аналитики'!AV1572,MeanMinAge16)))</f>
        <v/>
      </c>
      <c r="AW1519">
        <f>IF(OR(('19_Расчет_аналитики'!AW1435-'19_Расчет_аналитики'!AW1463)=0,16&lt;='01_Вводные'!$B$297),0,('19_Расчет_аналитики'!AW1435-'19_Расчет_аналитики'!AW1463)*IF('01_Вводные'!$B$239="Да",MeanMinAge16+'19_Расчет_аналитики'!AW1572*SUMIF(ThresholdAge16,"&lt;"&amp;'19_Расчет_аналитики'!AW1572,WeightedRevAge16)-SUMIF(ThresholdAge16,"&lt;"&amp;'19_Расчет_аналитики'!AW1572,WeightedMinAge16),MAX(CapacityAge16*'01_Вводные'!$B$218*'19_Расчет_аналитики'!AW1572,MeanMinAge16)))</f>
        <v/>
      </c>
      <c r="AX1519">
        <f>IF(OR(('19_Расчет_аналитики'!AX1435-'19_Расчет_аналитики'!AX1463)=0,16&lt;='01_Вводные'!$B$297),0,('19_Расчет_аналитики'!AX1435-'19_Расчет_аналитики'!AX1463)*IF('01_Вводные'!$B$239="Да",MeanMinAge16+'19_Расчет_аналитики'!AX1572*SUMIF(ThresholdAge16,"&lt;"&amp;'19_Расчет_аналитики'!AX1572,WeightedRevAge16)-SUMIF(ThresholdAge16,"&lt;"&amp;'19_Расчет_аналитики'!AX1572,WeightedMinAge16),MAX(CapacityAge16*'01_Вводные'!$B$218*'19_Расчет_аналитики'!AX1572,MeanMinAge16)))</f>
        <v/>
      </c>
      <c r="AY1519">
        <f>IF(OR(('19_Расчет_аналитики'!AY1435-'19_Расчет_аналитики'!AY1463)=0,16&lt;='01_Вводные'!$B$297),0,('19_Расчет_аналитики'!AY1435-'19_Расчет_аналитики'!AY1463)*IF('01_Вводные'!$B$239="Да",MeanMinAge16+'19_Расчет_аналитики'!AY1572*SUMIF(ThresholdAge16,"&lt;"&amp;'19_Расчет_аналитики'!AY1572,WeightedRevAge16)-SUMIF(ThresholdAge16,"&lt;"&amp;'19_Расчет_аналитики'!AY1572,WeightedMinAge16),MAX(CapacityAge16*'01_Вводные'!$B$218*'19_Расчет_аналитики'!AY1572,MeanMinAge16)))</f>
        <v/>
      </c>
      <c r="AZ1519">
        <f>IF(OR(('19_Расчет_аналитики'!AZ1435-'19_Расчет_аналитики'!AZ1463)=0,16&lt;='01_Вводные'!$B$297),0,('19_Расчет_аналитики'!AZ1435-'19_Расчет_аналитики'!AZ1463)*IF('01_Вводные'!$B$239="Да",MeanMinAge16+'19_Расчет_аналитики'!AZ1572*SUMIF(ThresholdAge16,"&lt;"&amp;'19_Расчет_аналитики'!AZ1572,WeightedRevAge16)-SUMIF(ThresholdAge16,"&lt;"&amp;'19_Расчет_аналитики'!AZ1572,WeightedMinAge16),MAX(CapacityAge16*'01_Вводные'!$B$218*'19_Расчет_аналитики'!AZ1572,MeanMinAge16)))</f>
        <v/>
      </c>
      <c r="BA1519">
        <f>IF(OR(('19_Расчет_аналитики'!BA1435-'19_Расчет_аналитики'!BA1463)=0,16&lt;='01_Вводные'!$B$297),0,('19_Расчет_аналитики'!BA1435-'19_Расчет_аналитики'!BA1463)*IF('01_Вводные'!$B$239="Да",MeanMinAge16+'19_Расчет_аналитики'!BA1572*SUMIF(ThresholdAge16,"&lt;"&amp;'19_Расчет_аналитики'!BA1572,WeightedRevAge16)-SUMIF(ThresholdAge16,"&lt;"&amp;'19_Расчет_аналитики'!BA1572,WeightedMinAge16),MAX(CapacityAge16*'01_Вводные'!$B$218*'19_Расчет_аналитики'!BA1572,MeanMinAge16)))</f>
        <v/>
      </c>
      <c r="BB1519">
        <f>IF(OR(('19_Расчет_аналитики'!BB1435-'19_Расчет_аналитики'!BB1463)=0,16&lt;='01_Вводные'!$B$297),0,('19_Расчет_аналитики'!BB1435-'19_Расчет_аналитики'!BB1463)*IF('01_Вводные'!$B$239="Да",MeanMinAge16+'19_Расчет_аналитики'!BB1572*SUMIF(ThresholdAge16,"&lt;"&amp;'19_Расчет_аналитики'!BB1572,WeightedRevAge16)-SUMIF(ThresholdAge16,"&lt;"&amp;'19_Расчет_аналитики'!BB1572,WeightedMinAge16),MAX(CapacityAge16*'01_Вводные'!$B$218*'19_Расчет_аналитики'!BB1572,MeanMinAge16)))</f>
        <v/>
      </c>
      <c r="BC1519">
        <f>IF(OR(('19_Расчет_аналитики'!BC1435-'19_Расчет_аналитики'!BC1463)=0,16&lt;='01_Вводные'!$B$297),0,('19_Расчет_аналитики'!BC1435-'19_Расчет_аналитики'!BC1463)*IF('01_Вводные'!$B$239="Да",MeanMinAge16+'19_Расчет_аналитики'!BC1572*SUMIF(ThresholdAge16,"&lt;"&amp;'19_Расчет_аналитики'!BC1572,WeightedRevAge16)-SUMIF(ThresholdAge16,"&lt;"&amp;'19_Расчет_аналитики'!BC1572,WeightedMinAge16),MAX(CapacityAge16*'01_Вводные'!$B$218*'19_Расчет_аналитики'!BC1572,MeanMinAge16)))</f>
        <v/>
      </c>
      <c r="BD1519">
        <f>IF(OR(('19_Расчет_аналитики'!BD1435-'19_Расчет_аналитики'!BD1463)=0,16&lt;='01_Вводные'!$B$297),0,('19_Расчет_аналитики'!BD1435-'19_Расчет_аналитики'!BD1463)*IF('01_Вводные'!$B$239="Да",MeanMinAge16+'19_Расчет_аналитики'!BD1572*SUMIF(ThresholdAge16,"&lt;"&amp;'19_Расчет_аналитики'!BD1572,WeightedRevAge16)-SUMIF(ThresholdAge16,"&lt;"&amp;'19_Расчет_аналитики'!BD1572,WeightedMinAge16),MAX(CapacityAge16*'01_Вводные'!$B$218*'19_Расчет_аналитики'!BD1572,MeanMinAge16)))</f>
        <v/>
      </c>
      <c r="BE1519">
        <f>IF(OR(('19_Расчет_аналитики'!BE1435-'19_Расчет_аналитики'!BE1463)=0,16&lt;='01_Вводные'!$B$297),0,('19_Расчет_аналитики'!BE1435-'19_Расчет_аналитики'!BE1463)*IF('01_Вводные'!$B$239="Да",MeanMinAge16+'19_Расчет_аналитики'!BE1572*SUMIF(ThresholdAge16,"&lt;"&amp;'19_Расчет_аналитики'!BE1572,WeightedRevAge16)-SUMIF(ThresholdAge16,"&lt;"&amp;'19_Расчет_аналитики'!BE1572,WeightedMinAge16),MAX(CapacityAge16*'01_Вводные'!$B$218*'19_Расчет_аналитики'!BE1572,MeanMinAge16)))</f>
        <v/>
      </c>
      <c r="BF1519">
        <f>IF(OR(('19_Расчет_аналитики'!BF1435-'19_Расчет_аналитики'!BF1463)=0,16&lt;='01_Вводные'!$B$297),0,('19_Расчет_аналитики'!BF1435-'19_Расчет_аналитики'!BF1463)*IF('01_Вводные'!$B$239="Да",MeanMinAge16+'19_Расчет_аналитики'!BF1572*SUMIF(ThresholdAge16,"&lt;"&amp;'19_Расчет_аналитики'!BF1572,WeightedRevAge16)-SUMIF(ThresholdAge16,"&lt;"&amp;'19_Расчет_аналитики'!BF1572,WeightedMinAge16),MAX(CapacityAge16*'01_Вводные'!$B$218*'19_Расчет_аналитики'!BF1572,MeanMinAge16)))</f>
        <v/>
      </c>
      <c r="BG1519">
        <f>IF(OR(('19_Расчет_аналитики'!BG1435-'19_Расчет_аналитики'!BG1463)=0,16&lt;='01_Вводные'!$B$297),0,('19_Расчет_аналитики'!BG1435-'19_Расчет_аналитики'!BG1463)*IF('01_Вводные'!$B$239="Да",MeanMinAge16+'19_Расчет_аналитики'!BG1572*SUMIF(ThresholdAge16,"&lt;"&amp;'19_Расчет_аналитики'!BG1572,WeightedRevAge16)-SUMIF(ThresholdAge16,"&lt;"&amp;'19_Расчет_аналитики'!BG1572,WeightedMinAge16),MAX(CapacityAge16*'01_Вводные'!$B$218*'19_Расчет_аналитики'!BG1572,MeanMinAge16)))</f>
        <v/>
      </c>
      <c r="BH1519">
        <f>IF(OR(('19_Расчет_аналитики'!BH1435-'19_Расчет_аналитики'!BH1463)=0,16&lt;='01_Вводные'!$B$297),0,('19_Расчет_аналитики'!BH1435-'19_Расчет_аналитики'!BH1463)*IF('01_Вводные'!$B$239="Да",MeanMinAge16+'19_Расчет_аналитики'!BH1572*SUMIF(ThresholdAge16,"&lt;"&amp;'19_Расчет_аналитики'!BH1572,WeightedRevAge16)-SUMIF(ThresholdAge16,"&lt;"&amp;'19_Расчет_аналитики'!BH1572,WeightedMinAge16),MAX(CapacityAge16*'01_Вводные'!$B$218*'19_Расчет_аналитики'!BH1572,MeanMinAge16)))</f>
        <v/>
      </c>
      <c r="BI1519">
        <f>IF(OR(('19_Расчет_аналитики'!BI1435-'19_Расчет_аналитики'!BI1463)=0,16&lt;='01_Вводные'!$B$297),0,('19_Расчет_аналитики'!BI1435-'19_Расчет_аналитики'!BI1463)*IF('01_Вводные'!$B$239="Да",MeanMinAge16+'19_Расчет_аналитики'!BI1572*SUMIF(ThresholdAge16,"&lt;"&amp;'19_Расчет_аналитики'!BI1572,WeightedRevAge16)-SUMIF(ThresholdAge16,"&lt;"&amp;'19_Расчет_аналитики'!BI1572,WeightedMinAge16),MAX(CapacityAge16*'01_Вводные'!$B$218*'19_Расчет_аналитики'!BI1572,MeanMinAge16)))</f>
        <v/>
      </c>
      <c r="BJ1519">
        <f>IF(OR(('19_Расчет_аналитики'!BJ1435-'19_Расчет_аналитики'!BJ1463)=0,16&lt;='01_Вводные'!$B$297),0,('19_Расчет_аналитики'!BJ1435-'19_Расчет_аналитики'!BJ1463)*IF('01_Вводные'!$B$239="Да",MeanMinAge16+'19_Расчет_аналитики'!BJ1572*SUMIF(ThresholdAge16,"&lt;"&amp;'19_Расчет_аналитики'!BJ1572,WeightedRevAge16)-SUMIF(ThresholdAge16,"&lt;"&amp;'19_Расчет_аналитики'!BJ1572,WeightedMinAge16),MAX(CapacityAge16*'01_Вводные'!$B$218*'19_Расчет_аналитики'!BJ1572,MeanMinAge16)))</f>
        <v/>
      </c>
      <c r="BK1519">
        <f>IF(OR(('19_Расчет_аналитики'!BK1435-'19_Расчет_аналитики'!BK1463)=0,16&lt;='01_Вводные'!$B$297),0,('19_Расчет_аналитики'!BK1435-'19_Расчет_аналитики'!BK1463)*IF('01_Вводные'!$B$239="Да",MeanMinAge16+'19_Расчет_аналитики'!BK1572*SUMIF(ThresholdAge16,"&lt;"&amp;'19_Расчет_аналитики'!BK1572,WeightedRevAge16)-SUMIF(ThresholdAge16,"&lt;"&amp;'19_Расчет_аналитики'!BK1572,WeightedMinAge16),MAX(CapacityAge16*'01_Вводные'!$B$218*'19_Расчет_аналитики'!BK1572,MeanMinAge16)))</f>
        <v/>
      </c>
      <c r="BL1519">
        <f>IF(OR(('19_Расчет_аналитики'!BL1435-'19_Расчет_аналитики'!BL1463)=0,16&lt;='01_Вводные'!$B$297),0,('19_Расчет_аналитики'!BL1435-'19_Расчет_аналитики'!BL1463)*IF('01_Вводные'!$B$239="Да",MeanMinAge16+'19_Расчет_аналитики'!BL1572*SUMIF(ThresholdAge16,"&lt;"&amp;'19_Расчет_аналитики'!BL1572,WeightedRevAge16)-SUMIF(ThresholdAge16,"&lt;"&amp;'19_Расчет_аналитики'!BL1572,WeightedMinAge16),MAX(CapacityAge16*'01_Вводные'!$B$218*'19_Расчет_аналитики'!BL1572,MeanMinAge16)))</f>
        <v/>
      </c>
      <c r="BM1519">
        <f>IF(OR(('19_Расчет_аналитики'!BM1435-'19_Расчет_аналитики'!BM1463)=0,16&lt;='01_Вводные'!$B$297),0,('19_Расчет_аналитики'!BM1435-'19_Расчет_аналитики'!BM1463)*IF('01_Вводные'!$B$239="Да",MeanMinAge16+'19_Расчет_аналитики'!BM1572*SUMIF(ThresholdAge16,"&lt;"&amp;'19_Расчет_аналитики'!BM1572,WeightedRevAge16)-SUMIF(ThresholdAge16,"&lt;"&amp;'19_Расчет_аналитики'!BM1572,WeightedMinAge16),MAX(CapacityAge16*'01_Вводные'!$B$218*'19_Расчет_аналитики'!BM1572,MeanMinAge16)))</f>
        <v/>
      </c>
      <c r="BN1519">
        <f>IF(OR(('19_Расчет_аналитики'!BN1435-'19_Расчет_аналитики'!BN1463)=0,16&lt;='01_Вводные'!$B$297),0,('19_Расчет_аналитики'!BN1435-'19_Расчет_аналитики'!BN1463)*IF('01_Вводные'!$B$239="Да",MeanMinAge16+'19_Расчет_аналитики'!BN1572*SUMIF(ThresholdAge16,"&lt;"&amp;'19_Расчет_аналитики'!BN1572,WeightedRevAge16)-SUMIF(ThresholdAge16,"&lt;"&amp;'19_Расчет_аналитики'!BN1572,WeightedMinAge16),MAX(CapacityAge16*'01_Вводные'!$B$218*'19_Расчет_аналитики'!BN1572,MeanMinAge16)))</f>
        <v/>
      </c>
      <c r="BO1519">
        <f>IF(OR(('19_Расчет_аналитики'!BO1435-'19_Расчет_аналитики'!BO1463)=0,16&lt;='01_Вводные'!$B$297),0,('19_Расчет_аналитики'!BO1435-'19_Расчет_аналитики'!BO1463)*IF('01_Вводные'!$B$239="Да",MeanMinAge16+'19_Расчет_аналитики'!BO1572*SUMIF(ThresholdAge16,"&lt;"&amp;'19_Расчет_аналитики'!BO1572,WeightedRevAge16)-SUMIF(ThresholdAge16,"&lt;"&amp;'19_Расчет_аналитики'!BO1572,WeightedMinAge16),MAX(CapacityAge16*'01_Вводные'!$B$218*'19_Расчет_аналитики'!BO1572,MeanMinAge16)))</f>
        <v/>
      </c>
    </row>
    <row r="1520">
      <c r="B1520">
        <f>IF(OR(('06_Сеть_и_дети'!B69-'06_Сеть_и_дети'!B97)=0,17&lt;='01_Вводные'!$B$297),0,('06_Сеть_и_дети'!B69-'06_Сеть_и_дети'!B97)*IF('01_Вводные'!$B$239="Да",MeanMinAge17+'19_Расчет_аналитики'!B1572*SUMIF(ThresholdAge17,"&lt;"&amp;'19_Расчет_аналитики'!B1572,WeightedRevAge17)-SUMIF(ThresholdAge17,"&lt;"&amp;'19_Расчет_аналитики'!B1572,WeightedMinAge17),MAX(CapacityAge17*'01_Вводные'!$B$218*'19_Расчет_аналитики'!B1572,MeanMinAge17)))</f>
        <v/>
      </c>
      <c r="C1520">
        <f>IF(OR(('06_Сеть_и_дети'!C69-'06_Сеть_и_дети'!C97)=0,17&lt;='01_Вводные'!$B$297),0,('06_Сеть_и_дети'!C69-'06_Сеть_и_дети'!C97)*IF('01_Вводные'!$B$239="Да",MeanMinAge17+'19_Расчет_аналитики'!C1572*SUMIF(ThresholdAge17,"&lt;"&amp;'19_Расчет_аналитики'!C1572,WeightedRevAge17)-SUMIF(ThresholdAge17,"&lt;"&amp;'19_Расчет_аналитики'!C1572,WeightedMinAge17),MAX(CapacityAge17*'01_Вводные'!$B$218*'19_Расчет_аналитики'!C1572,MeanMinAge17)))</f>
        <v/>
      </c>
      <c r="D1520">
        <f>IF(OR(('06_Сеть_и_дети'!D69-'06_Сеть_и_дети'!D97)=0,17&lt;='01_Вводные'!$B$297),0,('06_Сеть_и_дети'!D69-'06_Сеть_и_дети'!D97)*IF('01_Вводные'!$B$239="Да",MeanMinAge17+'19_Расчет_аналитики'!D1572*SUMIF(ThresholdAge17,"&lt;"&amp;'19_Расчет_аналитики'!D1572,WeightedRevAge17)-SUMIF(ThresholdAge17,"&lt;"&amp;'19_Расчет_аналитики'!D1572,WeightedMinAge17),MAX(CapacityAge17*'01_Вводные'!$B$218*'19_Расчет_аналитики'!D1572,MeanMinAge17)))</f>
        <v/>
      </c>
      <c r="E1520">
        <f>IF(OR(('06_Сеть_и_дети'!E69-'06_Сеть_и_дети'!E97)=0,17&lt;='01_Вводные'!$B$297),0,('06_Сеть_и_дети'!E69-'06_Сеть_и_дети'!E97)*IF('01_Вводные'!$B$239="Да",MeanMinAge17+'19_Расчет_аналитики'!E1572*SUMIF(ThresholdAge17,"&lt;"&amp;'19_Расчет_аналитики'!E1572,WeightedRevAge17)-SUMIF(ThresholdAge17,"&lt;"&amp;'19_Расчет_аналитики'!E1572,WeightedMinAge17),MAX(CapacityAge17*'01_Вводные'!$B$218*'19_Расчет_аналитики'!E1572,MeanMinAge17)))</f>
        <v/>
      </c>
      <c r="F1520">
        <f>IF(OR(('06_Сеть_и_дети'!F69-'06_Сеть_и_дети'!F97)=0,17&lt;='01_Вводные'!$B$297),0,('06_Сеть_и_дети'!F69-'06_Сеть_и_дети'!F97)*IF('01_Вводные'!$B$239="Да",MeanMinAge17+'19_Расчет_аналитики'!F1572*SUMIF(ThresholdAge17,"&lt;"&amp;'19_Расчет_аналитики'!F1572,WeightedRevAge17)-SUMIF(ThresholdAge17,"&lt;"&amp;'19_Расчет_аналитики'!F1572,WeightedMinAge17),MAX(CapacityAge17*'01_Вводные'!$B$218*'19_Расчет_аналитики'!F1572,MeanMinAge17)))</f>
        <v/>
      </c>
      <c r="G1520">
        <f>IF(OR(('06_Сеть_и_дети'!G69-'06_Сеть_и_дети'!G97)=0,17&lt;='01_Вводные'!$B$297),0,('06_Сеть_и_дети'!G69-'06_Сеть_и_дети'!G97)*IF('01_Вводные'!$B$239="Да",MeanMinAge17+'19_Расчет_аналитики'!G1572*SUMIF(ThresholdAge17,"&lt;"&amp;'19_Расчет_аналитики'!G1572,WeightedRevAge17)-SUMIF(ThresholdAge17,"&lt;"&amp;'19_Расчет_аналитики'!G1572,WeightedMinAge17),MAX(CapacityAge17*'01_Вводные'!$B$218*'19_Расчет_аналитики'!G1572,MeanMinAge17)))</f>
        <v/>
      </c>
      <c r="H1520">
        <f>IF(OR(('06_Сеть_и_дети'!H69-'06_Сеть_и_дети'!H97)=0,17&lt;='01_Вводные'!$B$297),0,('06_Сеть_и_дети'!H69-'06_Сеть_и_дети'!H97)*IF('01_Вводные'!$B$239="Да",MeanMinAge17+'19_Расчет_аналитики'!H1572*SUMIF(ThresholdAge17,"&lt;"&amp;'19_Расчет_аналитики'!H1572,WeightedRevAge17)-SUMIF(ThresholdAge17,"&lt;"&amp;'19_Расчет_аналитики'!H1572,WeightedMinAge17),MAX(CapacityAge17*'01_Вводные'!$B$218*'19_Расчет_аналитики'!H1572,MeanMinAge17)))</f>
        <v/>
      </c>
      <c r="I1520">
        <f>IF(OR(('06_Сеть_и_дети'!I69-'06_Сеть_и_дети'!I97)=0,17&lt;='01_Вводные'!$B$297),0,('06_Сеть_и_дети'!I69-'06_Сеть_и_дети'!I97)*IF('01_Вводные'!$B$239="Да",MeanMinAge17+'19_Расчет_аналитики'!I1572*SUMIF(ThresholdAge17,"&lt;"&amp;'19_Расчет_аналитики'!I1572,WeightedRevAge17)-SUMIF(ThresholdAge17,"&lt;"&amp;'19_Расчет_аналитики'!I1572,WeightedMinAge17),MAX(CapacityAge17*'01_Вводные'!$B$218*'19_Расчет_аналитики'!I1572,MeanMinAge17)))</f>
        <v/>
      </c>
      <c r="J1520">
        <f>IF(OR(('06_Сеть_и_дети'!J69-'06_Сеть_и_дети'!J97)=0,17&lt;='01_Вводные'!$B$297),0,('06_Сеть_и_дети'!J69-'06_Сеть_и_дети'!J97)*IF('01_Вводные'!$B$239="Да",MeanMinAge17+'19_Расчет_аналитики'!J1572*SUMIF(ThresholdAge17,"&lt;"&amp;'19_Расчет_аналитики'!J1572,WeightedRevAge17)-SUMIF(ThresholdAge17,"&lt;"&amp;'19_Расчет_аналитики'!J1572,WeightedMinAge17),MAX(CapacityAge17*'01_Вводные'!$B$218*'19_Расчет_аналитики'!J1572,MeanMinAge17)))</f>
        <v/>
      </c>
      <c r="K1520">
        <f>IF(OR(('06_Сеть_и_дети'!K69-'06_Сеть_и_дети'!K97)=0,17&lt;='01_Вводные'!$B$297),0,('06_Сеть_и_дети'!K69-'06_Сеть_и_дети'!K97)*IF('01_Вводные'!$B$239="Да",MeanMinAge17+'19_Расчет_аналитики'!K1572*SUMIF(ThresholdAge17,"&lt;"&amp;'19_Расчет_аналитики'!K1572,WeightedRevAge17)-SUMIF(ThresholdAge17,"&lt;"&amp;'19_Расчет_аналитики'!K1572,WeightedMinAge17),MAX(CapacityAge17*'01_Вводные'!$B$218*'19_Расчет_аналитики'!K1572,MeanMinAge17)))</f>
        <v/>
      </c>
      <c r="L1520">
        <f>IF(OR(('06_Сеть_и_дети'!L69-'06_Сеть_и_дети'!L97)=0,17&lt;='01_Вводные'!$B$297),0,('06_Сеть_и_дети'!L69-'06_Сеть_и_дети'!L97)*IF('01_Вводные'!$B$239="Да",MeanMinAge17+'19_Расчет_аналитики'!L1572*SUMIF(ThresholdAge17,"&lt;"&amp;'19_Расчет_аналитики'!L1572,WeightedRevAge17)-SUMIF(ThresholdAge17,"&lt;"&amp;'19_Расчет_аналитики'!L1572,WeightedMinAge17),MAX(CapacityAge17*'01_Вводные'!$B$218*'19_Расчет_аналитики'!L1572,MeanMinAge17)))</f>
        <v/>
      </c>
      <c r="M1520">
        <f>IF(OR(('06_Сеть_и_дети'!M69-'06_Сеть_и_дети'!M97)=0,17&lt;='01_Вводные'!$B$297),0,('06_Сеть_и_дети'!M69-'06_Сеть_и_дети'!M97)*IF('01_Вводные'!$B$239="Да",MeanMinAge17+'19_Расчет_аналитики'!M1572*SUMIF(ThresholdAge17,"&lt;"&amp;'19_Расчет_аналитики'!M1572,WeightedRevAge17)-SUMIF(ThresholdAge17,"&lt;"&amp;'19_Расчет_аналитики'!M1572,WeightedMinAge17),MAX(CapacityAge17*'01_Вводные'!$B$218*'19_Расчет_аналитики'!M1572,MeanMinAge17)))</f>
        <v/>
      </c>
      <c r="N1520">
        <f>IF(OR(('06_Сеть_и_дети'!N69-'06_Сеть_и_дети'!N97)=0,17&lt;='01_Вводные'!$B$297),0,('06_Сеть_и_дети'!N69-'06_Сеть_и_дети'!N97)*IF('01_Вводные'!$B$239="Да",MeanMinAge17+'19_Расчет_аналитики'!N1572*SUMIF(ThresholdAge17,"&lt;"&amp;'19_Расчет_аналитики'!N1572,WeightedRevAge17)-SUMIF(ThresholdAge17,"&lt;"&amp;'19_Расчет_аналитики'!N1572,WeightedMinAge17),MAX(CapacityAge17*'01_Вводные'!$B$218*'19_Расчет_аналитики'!N1572,MeanMinAge17)))</f>
        <v/>
      </c>
      <c r="O1520">
        <f>IF(OR(('06_Сеть_и_дети'!O69-'06_Сеть_и_дети'!O97)=0,17&lt;='01_Вводные'!$B$297),0,('06_Сеть_и_дети'!O69-'06_Сеть_и_дети'!O97)*IF('01_Вводные'!$B$239="Да",MeanMinAge17+'19_Расчет_аналитики'!O1572*SUMIF(ThresholdAge17,"&lt;"&amp;'19_Расчет_аналитики'!O1572,WeightedRevAge17)-SUMIF(ThresholdAge17,"&lt;"&amp;'19_Расчет_аналитики'!O1572,WeightedMinAge17),MAX(CapacityAge17*'01_Вводные'!$B$218*'19_Расчет_аналитики'!O1572,MeanMinAge17)))</f>
        <v/>
      </c>
      <c r="P1520">
        <f>IF(OR(('06_Сеть_и_дети'!P69-'06_Сеть_и_дети'!P97)=0,17&lt;='01_Вводные'!$B$297),0,('06_Сеть_и_дети'!P69-'06_Сеть_и_дети'!P97)*IF('01_Вводные'!$B$239="Да",MeanMinAge17+'19_Расчет_аналитики'!P1572*SUMIF(ThresholdAge17,"&lt;"&amp;'19_Расчет_аналитики'!P1572,WeightedRevAge17)-SUMIF(ThresholdAge17,"&lt;"&amp;'19_Расчет_аналитики'!P1572,WeightedMinAge17),MAX(CapacityAge17*'01_Вводные'!$B$218*'19_Расчет_аналитики'!P1572,MeanMinAge17)))</f>
        <v/>
      </c>
      <c r="Q1520">
        <f>IF(OR(('06_Сеть_и_дети'!Q69-'06_Сеть_и_дети'!Q97)=0,17&lt;='01_Вводные'!$B$297),0,('06_Сеть_и_дети'!Q69-'06_Сеть_и_дети'!Q97)*IF('01_Вводные'!$B$239="Да",MeanMinAge17+'19_Расчет_аналитики'!Q1572*SUMIF(ThresholdAge17,"&lt;"&amp;'19_Расчет_аналитики'!Q1572,WeightedRevAge17)-SUMIF(ThresholdAge17,"&lt;"&amp;'19_Расчет_аналитики'!Q1572,WeightedMinAge17),MAX(CapacityAge17*'01_Вводные'!$B$218*'19_Расчет_аналитики'!Q1572,MeanMinAge17)))</f>
        <v/>
      </c>
      <c r="R1520">
        <f>IF(OR(('19_Расчет_аналитики'!R1436-'19_Расчет_аналитики'!R1464)=0,17&lt;='01_Вводные'!$B$297),0,('19_Расчет_аналитики'!R1436-'19_Расчет_аналитики'!R1464)*IF('01_Вводные'!$B$239="Да",MeanMinAge17+'19_Расчет_аналитики'!R1572*SUMIF(ThresholdAge17,"&lt;"&amp;'19_Расчет_аналитики'!R1572,WeightedRevAge17)-SUMIF(ThresholdAge17,"&lt;"&amp;'19_Расчет_аналитики'!R1572,WeightedMinAge17),MAX(CapacityAge17*'01_Вводные'!$B$218*'19_Расчет_аналитики'!R1572,MeanMinAge17)))</f>
        <v/>
      </c>
      <c r="S1520">
        <f>IF(OR(('19_Расчет_аналитики'!S1436-'19_Расчет_аналитики'!S1464)=0,17&lt;='01_Вводные'!$B$297),0,('19_Расчет_аналитики'!S1436-'19_Расчет_аналитики'!S1464)*IF('01_Вводные'!$B$239="Да",MeanMinAge17+'19_Расчет_аналитики'!S1572*SUMIF(ThresholdAge17,"&lt;"&amp;'19_Расчет_аналитики'!S1572,WeightedRevAge17)-SUMIF(ThresholdAge17,"&lt;"&amp;'19_Расчет_аналитики'!S1572,WeightedMinAge17),MAX(CapacityAge17*'01_Вводные'!$B$218*'19_Расчет_аналитики'!S1572,MeanMinAge17)))</f>
        <v/>
      </c>
      <c r="T1520">
        <f>IF(OR(('19_Расчет_аналитики'!T1436-'19_Расчет_аналитики'!T1464)=0,17&lt;='01_Вводные'!$B$297),0,('19_Расчет_аналитики'!T1436-'19_Расчет_аналитики'!T1464)*IF('01_Вводные'!$B$239="Да",MeanMinAge17+'19_Расчет_аналитики'!T1572*SUMIF(ThresholdAge17,"&lt;"&amp;'19_Расчет_аналитики'!T1572,WeightedRevAge17)-SUMIF(ThresholdAge17,"&lt;"&amp;'19_Расчет_аналитики'!T1572,WeightedMinAge17),MAX(CapacityAge17*'01_Вводные'!$B$218*'19_Расчет_аналитики'!T1572,MeanMinAge17)))</f>
        <v/>
      </c>
      <c r="U1520">
        <f>IF(OR(('19_Расчет_аналитики'!U1436-'19_Расчет_аналитики'!U1464)=0,17&lt;='01_Вводные'!$B$297),0,('19_Расчет_аналитики'!U1436-'19_Расчет_аналитики'!U1464)*IF('01_Вводные'!$B$239="Да",MeanMinAge17+'19_Расчет_аналитики'!U1572*SUMIF(ThresholdAge17,"&lt;"&amp;'19_Расчет_аналитики'!U1572,WeightedRevAge17)-SUMIF(ThresholdAge17,"&lt;"&amp;'19_Расчет_аналитики'!U1572,WeightedMinAge17),MAX(CapacityAge17*'01_Вводные'!$B$218*'19_Расчет_аналитики'!U1572,MeanMinAge17)))</f>
        <v/>
      </c>
      <c r="V1520">
        <f>IF(OR(('19_Расчет_аналитики'!V1436-'19_Расчет_аналитики'!V1464)=0,17&lt;='01_Вводные'!$B$297),0,('19_Расчет_аналитики'!V1436-'19_Расчет_аналитики'!V1464)*IF('01_Вводные'!$B$239="Да",MeanMinAge17+'19_Расчет_аналитики'!V1572*SUMIF(ThresholdAge17,"&lt;"&amp;'19_Расчет_аналитики'!V1572,WeightedRevAge17)-SUMIF(ThresholdAge17,"&lt;"&amp;'19_Расчет_аналитики'!V1572,WeightedMinAge17),MAX(CapacityAge17*'01_Вводные'!$B$218*'19_Расчет_аналитики'!V1572,MeanMinAge17)))</f>
        <v/>
      </c>
      <c r="W1520">
        <f>IF(OR(('19_Расчет_аналитики'!W1436-'19_Расчет_аналитики'!W1464)=0,17&lt;='01_Вводные'!$B$297),0,('19_Расчет_аналитики'!W1436-'19_Расчет_аналитики'!W1464)*IF('01_Вводные'!$B$239="Да",MeanMinAge17+'19_Расчет_аналитики'!W1572*SUMIF(ThresholdAge17,"&lt;"&amp;'19_Расчет_аналитики'!W1572,WeightedRevAge17)-SUMIF(ThresholdAge17,"&lt;"&amp;'19_Расчет_аналитики'!W1572,WeightedMinAge17),MAX(CapacityAge17*'01_Вводные'!$B$218*'19_Расчет_аналитики'!W1572,MeanMinAge17)))</f>
        <v/>
      </c>
      <c r="X1520">
        <f>IF(OR(('19_Расчет_аналитики'!X1436-'19_Расчет_аналитики'!X1464)=0,17&lt;='01_Вводные'!$B$297),0,('19_Расчет_аналитики'!X1436-'19_Расчет_аналитики'!X1464)*IF('01_Вводные'!$B$239="Да",MeanMinAge17+'19_Расчет_аналитики'!X1572*SUMIF(ThresholdAge17,"&lt;"&amp;'19_Расчет_аналитики'!X1572,WeightedRevAge17)-SUMIF(ThresholdAge17,"&lt;"&amp;'19_Расчет_аналитики'!X1572,WeightedMinAge17),MAX(CapacityAge17*'01_Вводные'!$B$218*'19_Расчет_аналитики'!X1572,MeanMinAge17)))</f>
        <v/>
      </c>
      <c r="Y1520">
        <f>IF(OR(('19_Расчет_аналитики'!Y1436-'19_Расчет_аналитики'!Y1464)=0,17&lt;='01_Вводные'!$B$297),0,('19_Расчет_аналитики'!Y1436-'19_Расчет_аналитики'!Y1464)*IF('01_Вводные'!$B$239="Да",MeanMinAge17+'19_Расчет_аналитики'!Y1572*SUMIF(ThresholdAge17,"&lt;"&amp;'19_Расчет_аналитики'!Y1572,WeightedRevAge17)-SUMIF(ThresholdAge17,"&lt;"&amp;'19_Расчет_аналитики'!Y1572,WeightedMinAge17),MAX(CapacityAge17*'01_Вводные'!$B$218*'19_Расчет_аналитики'!Y1572,MeanMinAge17)))</f>
        <v/>
      </c>
      <c r="Z1520">
        <f>IF(OR(('19_Расчет_аналитики'!Z1436-'19_Расчет_аналитики'!Z1464)=0,17&lt;='01_Вводные'!$B$297),0,('19_Расчет_аналитики'!Z1436-'19_Расчет_аналитики'!Z1464)*IF('01_Вводные'!$B$239="Да",MeanMinAge17+'19_Расчет_аналитики'!Z1572*SUMIF(ThresholdAge17,"&lt;"&amp;'19_Расчет_аналитики'!Z1572,WeightedRevAge17)-SUMIF(ThresholdAge17,"&lt;"&amp;'19_Расчет_аналитики'!Z1572,WeightedMinAge17),MAX(CapacityAge17*'01_Вводные'!$B$218*'19_Расчет_аналитики'!Z1572,MeanMinAge17)))</f>
        <v/>
      </c>
      <c r="AA1520">
        <f>IF(OR(('19_Расчет_аналитики'!AA1436-'19_Расчет_аналитики'!AA1464)=0,17&lt;='01_Вводные'!$B$297),0,('19_Расчет_аналитики'!AA1436-'19_Расчет_аналитики'!AA1464)*IF('01_Вводные'!$B$239="Да",MeanMinAge17+'19_Расчет_аналитики'!AA1572*SUMIF(ThresholdAge17,"&lt;"&amp;'19_Расчет_аналитики'!AA1572,WeightedRevAge17)-SUMIF(ThresholdAge17,"&lt;"&amp;'19_Расчет_аналитики'!AA1572,WeightedMinAge17),MAX(CapacityAge17*'01_Вводные'!$B$218*'19_Расчет_аналитики'!AA1572,MeanMinAge17)))</f>
        <v/>
      </c>
      <c r="AB1520">
        <f>IF(OR(('19_Расчет_аналитики'!AB1436-'19_Расчет_аналитики'!AB1464)=0,17&lt;='01_Вводные'!$B$297),0,('19_Расчет_аналитики'!AB1436-'19_Расчет_аналитики'!AB1464)*IF('01_Вводные'!$B$239="Да",MeanMinAge17+'19_Расчет_аналитики'!AB1572*SUMIF(ThresholdAge17,"&lt;"&amp;'19_Расчет_аналитики'!AB1572,WeightedRevAge17)-SUMIF(ThresholdAge17,"&lt;"&amp;'19_Расчет_аналитики'!AB1572,WeightedMinAge17),MAX(CapacityAge17*'01_Вводные'!$B$218*'19_Расчет_аналитики'!AB1572,MeanMinAge17)))</f>
        <v/>
      </c>
      <c r="AC1520">
        <f>IF(OR(('19_Расчет_аналитики'!AC1436-'19_Расчет_аналитики'!AC1464)=0,17&lt;='01_Вводные'!$B$297),0,('19_Расчет_аналитики'!AC1436-'19_Расчет_аналитики'!AC1464)*IF('01_Вводные'!$B$239="Да",MeanMinAge17+'19_Расчет_аналитики'!AC1572*SUMIF(ThresholdAge17,"&lt;"&amp;'19_Расчет_аналитики'!AC1572,WeightedRevAge17)-SUMIF(ThresholdAge17,"&lt;"&amp;'19_Расчет_аналитики'!AC1572,WeightedMinAge17),MAX(CapacityAge17*'01_Вводные'!$B$218*'19_Расчет_аналитики'!AC1572,MeanMinAge17)))</f>
        <v/>
      </c>
      <c r="AD1520">
        <f>IF(OR(('19_Расчет_аналитики'!AD1436-'19_Расчет_аналитики'!AD1464)=0,17&lt;='01_Вводные'!$B$297),0,('19_Расчет_аналитики'!AD1436-'19_Расчет_аналитики'!AD1464)*IF('01_Вводные'!$B$239="Да",MeanMinAge17+'19_Расчет_аналитики'!AD1572*SUMIF(ThresholdAge17,"&lt;"&amp;'19_Расчет_аналитики'!AD1572,WeightedRevAge17)-SUMIF(ThresholdAge17,"&lt;"&amp;'19_Расчет_аналитики'!AD1572,WeightedMinAge17),MAX(CapacityAge17*'01_Вводные'!$B$218*'19_Расчет_аналитики'!AD1572,MeanMinAge17)))</f>
        <v/>
      </c>
      <c r="AE1520">
        <f>IF(OR(('19_Расчет_аналитики'!AE1436-'19_Расчет_аналитики'!AE1464)=0,17&lt;='01_Вводные'!$B$297),0,('19_Расчет_аналитики'!AE1436-'19_Расчет_аналитики'!AE1464)*IF('01_Вводные'!$B$239="Да",MeanMinAge17+'19_Расчет_аналитики'!AE1572*SUMIF(ThresholdAge17,"&lt;"&amp;'19_Расчет_аналитики'!AE1572,WeightedRevAge17)-SUMIF(ThresholdAge17,"&lt;"&amp;'19_Расчет_аналитики'!AE1572,WeightedMinAge17),MAX(CapacityAge17*'01_Вводные'!$B$218*'19_Расчет_аналитики'!AE1572,MeanMinAge17)))</f>
        <v/>
      </c>
      <c r="AF1520">
        <f>IF(OR(('19_Расчет_аналитики'!AF1436-'19_Расчет_аналитики'!AF1464)=0,17&lt;='01_Вводные'!$B$297),0,('19_Расчет_аналитики'!AF1436-'19_Расчет_аналитики'!AF1464)*IF('01_Вводные'!$B$239="Да",MeanMinAge17+'19_Расчет_аналитики'!AF1572*SUMIF(ThresholdAge17,"&lt;"&amp;'19_Расчет_аналитики'!AF1572,WeightedRevAge17)-SUMIF(ThresholdAge17,"&lt;"&amp;'19_Расчет_аналитики'!AF1572,WeightedMinAge17),MAX(CapacityAge17*'01_Вводные'!$B$218*'19_Расчет_аналитики'!AF1572,MeanMinAge17)))</f>
        <v/>
      </c>
      <c r="AG1520">
        <f>IF(OR(('19_Расчет_аналитики'!AG1436-'19_Расчет_аналитики'!AG1464)=0,17&lt;='01_Вводные'!$B$297),0,('19_Расчет_аналитики'!AG1436-'19_Расчет_аналитики'!AG1464)*IF('01_Вводные'!$B$239="Да",MeanMinAge17+'19_Расчет_аналитики'!AG1572*SUMIF(ThresholdAge17,"&lt;"&amp;'19_Расчет_аналитики'!AG1572,WeightedRevAge17)-SUMIF(ThresholdAge17,"&lt;"&amp;'19_Расчет_аналитики'!AG1572,WeightedMinAge17),MAX(CapacityAge17*'01_Вводные'!$B$218*'19_Расчет_аналитики'!AG1572,MeanMinAge17)))</f>
        <v/>
      </c>
      <c r="AH1520">
        <f>IF(OR(('19_Расчет_аналитики'!AH1436-'19_Расчет_аналитики'!AH1464)=0,17&lt;='01_Вводные'!$B$297),0,('19_Расчет_аналитики'!AH1436-'19_Расчет_аналитики'!AH1464)*IF('01_Вводные'!$B$239="Да",MeanMinAge17+'19_Расчет_аналитики'!AH1572*SUMIF(ThresholdAge17,"&lt;"&amp;'19_Расчет_аналитики'!AH1572,WeightedRevAge17)-SUMIF(ThresholdAge17,"&lt;"&amp;'19_Расчет_аналитики'!AH1572,WeightedMinAge17),MAX(CapacityAge17*'01_Вводные'!$B$218*'19_Расчет_аналитики'!AH1572,MeanMinAge17)))</f>
        <v/>
      </c>
      <c r="AI1520">
        <f>IF(OR(('19_Расчет_аналитики'!AI1436-'19_Расчет_аналитики'!AI1464)=0,17&lt;='01_Вводные'!$B$297),0,('19_Расчет_аналитики'!AI1436-'19_Расчет_аналитики'!AI1464)*IF('01_Вводные'!$B$239="Да",MeanMinAge17+'19_Расчет_аналитики'!AI1572*SUMIF(ThresholdAge17,"&lt;"&amp;'19_Расчет_аналитики'!AI1572,WeightedRevAge17)-SUMIF(ThresholdAge17,"&lt;"&amp;'19_Расчет_аналитики'!AI1572,WeightedMinAge17),MAX(CapacityAge17*'01_Вводные'!$B$218*'19_Расчет_аналитики'!AI1572,MeanMinAge17)))</f>
        <v/>
      </c>
      <c r="AJ1520">
        <f>IF(OR(('19_Расчет_аналитики'!AJ1436-'19_Расчет_аналитики'!AJ1464)=0,17&lt;='01_Вводные'!$B$297),0,('19_Расчет_аналитики'!AJ1436-'19_Расчет_аналитики'!AJ1464)*IF('01_Вводные'!$B$239="Да",MeanMinAge17+'19_Расчет_аналитики'!AJ1572*SUMIF(ThresholdAge17,"&lt;"&amp;'19_Расчет_аналитики'!AJ1572,WeightedRevAge17)-SUMIF(ThresholdAge17,"&lt;"&amp;'19_Расчет_аналитики'!AJ1572,WeightedMinAge17),MAX(CapacityAge17*'01_Вводные'!$B$218*'19_Расчет_аналитики'!AJ1572,MeanMinAge17)))</f>
        <v/>
      </c>
      <c r="AK1520">
        <f>IF(OR(('19_Расчет_аналитики'!AK1436-'19_Расчет_аналитики'!AK1464)=0,17&lt;='01_Вводные'!$B$297),0,('19_Расчет_аналитики'!AK1436-'19_Расчет_аналитики'!AK1464)*IF('01_Вводные'!$B$239="Да",MeanMinAge17+'19_Расчет_аналитики'!AK1572*SUMIF(ThresholdAge17,"&lt;"&amp;'19_Расчет_аналитики'!AK1572,WeightedRevAge17)-SUMIF(ThresholdAge17,"&lt;"&amp;'19_Расчет_аналитики'!AK1572,WeightedMinAge17),MAX(CapacityAge17*'01_Вводные'!$B$218*'19_Расчет_аналитики'!AK1572,MeanMinAge17)))</f>
        <v/>
      </c>
      <c r="AL1520">
        <f>IF(OR(('19_Расчет_аналитики'!AL1436-'19_Расчет_аналитики'!AL1464)=0,17&lt;='01_Вводные'!$B$297),0,('19_Расчет_аналитики'!AL1436-'19_Расчет_аналитики'!AL1464)*IF('01_Вводные'!$B$239="Да",MeanMinAge17+'19_Расчет_аналитики'!AL1572*SUMIF(ThresholdAge17,"&lt;"&amp;'19_Расчет_аналитики'!AL1572,WeightedRevAge17)-SUMIF(ThresholdAge17,"&lt;"&amp;'19_Расчет_аналитики'!AL1572,WeightedMinAge17),MAX(CapacityAge17*'01_Вводные'!$B$218*'19_Расчет_аналитики'!AL1572,MeanMinAge17)))</f>
        <v/>
      </c>
      <c r="AM1520">
        <f>IF(OR(('19_Расчет_аналитики'!AM1436-'19_Расчет_аналитики'!AM1464)=0,17&lt;='01_Вводные'!$B$297),0,('19_Расчет_аналитики'!AM1436-'19_Расчет_аналитики'!AM1464)*IF('01_Вводные'!$B$239="Да",MeanMinAge17+'19_Расчет_аналитики'!AM1572*SUMIF(ThresholdAge17,"&lt;"&amp;'19_Расчет_аналитики'!AM1572,WeightedRevAge17)-SUMIF(ThresholdAge17,"&lt;"&amp;'19_Расчет_аналитики'!AM1572,WeightedMinAge17),MAX(CapacityAge17*'01_Вводные'!$B$218*'19_Расчет_аналитики'!AM1572,MeanMinAge17)))</f>
        <v/>
      </c>
      <c r="AN1520">
        <f>IF(OR(('19_Расчет_аналитики'!AN1436-'19_Расчет_аналитики'!AN1464)=0,17&lt;='01_Вводные'!$B$297),0,('19_Расчет_аналитики'!AN1436-'19_Расчет_аналитики'!AN1464)*IF('01_Вводные'!$B$239="Да",MeanMinAge17+'19_Расчет_аналитики'!AN1572*SUMIF(ThresholdAge17,"&lt;"&amp;'19_Расчет_аналитики'!AN1572,WeightedRevAge17)-SUMIF(ThresholdAge17,"&lt;"&amp;'19_Расчет_аналитики'!AN1572,WeightedMinAge17),MAX(CapacityAge17*'01_Вводные'!$B$218*'19_Расчет_аналитики'!AN1572,MeanMinAge17)))</f>
        <v/>
      </c>
      <c r="AO1520">
        <f>IF(OR(('19_Расчет_аналитики'!AO1436-'19_Расчет_аналитики'!AO1464)=0,17&lt;='01_Вводные'!$B$297),0,('19_Расчет_аналитики'!AO1436-'19_Расчет_аналитики'!AO1464)*IF('01_Вводные'!$B$239="Да",MeanMinAge17+'19_Расчет_аналитики'!AO1572*SUMIF(ThresholdAge17,"&lt;"&amp;'19_Расчет_аналитики'!AO1572,WeightedRevAge17)-SUMIF(ThresholdAge17,"&lt;"&amp;'19_Расчет_аналитики'!AO1572,WeightedMinAge17),MAX(CapacityAge17*'01_Вводные'!$B$218*'19_Расчет_аналитики'!AO1572,MeanMinAge17)))</f>
        <v/>
      </c>
      <c r="AP1520">
        <f>IF(OR(('19_Расчет_аналитики'!AP1436-'19_Расчет_аналитики'!AP1464)=0,17&lt;='01_Вводные'!$B$297),0,('19_Расчет_аналитики'!AP1436-'19_Расчет_аналитики'!AP1464)*IF('01_Вводные'!$B$239="Да",MeanMinAge17+'19_Расчет_аналитики'!AP1572*SUMIF(ThresholdAge17,"&lt;"&amp;'19_Расчет_аналитики'!AP1572,WeightedRevAge17)-SUMIF(ThresholdAge17,"&lt;"&amp;'19_Расчет_аналитики'!AP1572,WeightedMinAge17),MAX(CapacityAge17*'01_Вводные'!$B$218*'19_Расчет_аналитики'!AP1572,MeanMinAge17)))</f>
        <v/>
      </c>
      <c r="AQ1520">
        <f>IF(OR(('19_Расчет_аналитики'!AQ1436-'19_Расчет_аналитики'!AQ1464)=0,17&lt;='01_Вводные'!$B$297),0,('19_Расчет_аналитики'!AQ1436-'19_Расчет_аналитики'!AQ1464)*IF('01_Вводные'!$B$239="Да",MeanMinAge17+'19_Расчет_аналитики'!AQ1572*SUMIF(ThresholdAge17,"&lt;"&amp;'19_Расчет_аналитики'!AQ1572,WeightedRevAge17)-SUMIF(ThresholdAge17,"&lt;"&amp;'19_Расчет_аналитики'!AQ1572,WeightedMinAge17),MAX(CapacityAge17*'01_Вводные'!$B$218*'19_Расчет_аналитики'!AQ1572,MeanMinAge17)))</f>
        <v/>
      </c>
      <c r="AR1520">
        <f>IF(OR(('19_Расчет_аналитики'!AR1436-'19_Расчет_аналитики'!AR1464)=0,17&lt;='01_Вводные'!$B$297),0,('19_Расчет_аналитики'!AR1436-'19_Расчет_аналитики'!AR1464)*IF('01_Вводные'!$B$239="Да",MeanMinAge17+'19_Расчет_аналитики'!AR1572*SUMIF(ThresholdAge17,"&lt;"&amp;'19_Расчет_аналитики'!AR1572,WeightedRevAge17)-SUMIF(ThresholdAge17,"&lt;"&amp;'19_Расчет_аналитики'!AR1572,WeightedMinAge17),MAX(CapacityAge17*'01_Вводные'!$B$218*'19_Расчет_аналитики'!AR1572,MeanMinAge17)))</f>
        <v/>
      </c>
      <c r="AS1520">
        <f>IF(OR(('19_Расчет_аналитики'!AS1436-'19_Расчет_аналитики'!AS1464)=0,17&lt;='01_Вводные'!$B$297),0,('19_Расчет_аналитики'!AS1436-'19_Расчет_аналитики'!AS1464)*IF('01_Вводные'!$B$239="Да",MeanMinAge17+'19_Расчет_аналитики'!AS1572*SUMIF(ThresholdAge17,"&lt;"&amp;'19_Расчет_аналитики'!AS1572,WeightedRevAge17)-SUMIF(ThresholdAge17,"&lt;"&amp;'19_Расчет_аналитики'!AS1572,WeightedMinAge17),MAX(CapacityAge17*'01_Вводные'!$B$218*'19_Расчет_аналитики'!AS1572,MeanMinAge17)))</f>
        <v/>
      </c>
      <c r="AT1520">
        <f>IF(OR(('19_Расчет_аналитики'!AT1436-'19_Расчет_аналитики'!AT1464)=0,17&lt;='01_Вводные'!$B$297),0,('19_Расчет_аналитики'!AT1436-'19_Расчет_аналитики'!AT1464)*IF('01_Вводные'!$B$239="Да",MeanMinAge17+'19_Расчет_аналитики'!AT1572*SUMIF(ThresholdAge17,"&lt;"&amp;'19_Расчет_аналитики'!AT1572,WeightedRevAge17)-SUMIF(ThresholdAge17,"&lt;"&amp;'19_Расчет_аналитики'!AT1572,WeightedMinAge17),MAX(CapacityAge17*'01_Вводные'!$B$218*'19_Расчет_аналитики'!AT1572,MeanMinAge17)))</f>
        <v/>
      </c>
      <c r="AU1520">
        <f>IF(OR(('19_Расчет_аналитики'!AU1436-'19_Расчет_аналитики'!AU1464)=0,17&lt;='01_Вводные'!$B$297),0,('19_Расчет_аналитики'!AU1436-'19_Расчет_аналитики'!AU1464)*IF('01_Вводные'!$B$239="Да",MeanMinAge17+'19_Расчет_аналитики'!AU1572*SUMIF(ThresholdAge17,"&lt;"&amp;'19_Расчет_аналитики'!AU1572,WeightedRevAge17)-SUMIF(ThresholdAge17,"&lt;"&amp;'19_Расчет_аналитики'!AU1572,WeightedMinAge17),MAX(CapacityAge17*'01_Вводные'!$B$218*'19_Расчет_аналитики'!AU1572,MeanMinAge17)))</f>
        <v/>
      </c>
      <c r="AV1520">
        <f>IF(OR(('19_Расчет_аналитики'!AV1436-'19_Расчет_аналитики'!AV1464)=0,17&lt;='01_Вводные'!$B$297),0,('19_Расчет_аналитики'!AV1436-'19_Расчет_аналитики'!AV1464)*IF('01_Вводные'!$B$239="Да",MeanMinAge17+'19_Расчет_аналитики'!AV1572*SUMIF(ThresholdAge17,"&lt;"&amp;'19_Расчет_аналитики'!AV1572,WeightedRevAge17)-SUMIF(ThresholdAge17,"&lt;"&amp;'19_Расчет_аналитики'!AV1572,WeightedMinAge17),MAX(CapacityAge17*'01_Вводные'!$B$218*'19_Расчет_аналитики'!AV1572,MeanMinAge17)))</f>
        <v/>
      </c>
      <c r="AW1520">
        <f>IF(OR(('19_Расчет_аналитики'!AW1436-'19_Расчет_аналитики'!AW1464)=0,17&lt;='01_Вводные'!$B$297),0,('19_Расчет_аналитики'!AW1436-'19_Расчет_аналитики'!AW1464)*IF('01_Вводные'!$B$239="Да",MeanMinAge17+'19_Расчет_аналитики'!AW1572*SUMIF(ThresholdAge17,"&lt;"&amp;'19_Расчет_аналитики'!AW1572,WeightedRevAge17)-SUMIF(ThresholdAge17,"&lt;"&amp;'19_Расчет_аналитики'!AW1572,WeightedMinAge17),MAX(CapacityAge17*'01_Вводные'!$B$218*'19_Расчет_аналитики'!AW1572,MeanMinAge17)))</f>
        <v/>
      </c>
      <c r="AX1520">
        <f>IF(OR(('19_Расчет_аналитики'!AX1436-'19_Расчет_аналитики'!AX1464)=0,17&lt;='01_Вводные'!$B$297),0,('19_Расчет_аналитики'!AX1436-'19_Расчет_аналитики'!AX1464)*IF('01_Вводные'!$B$239="Да",MeanMinAge17+'19_Расчет_аналитики'!AX1572*SUMIF(ThresholdAge17,"&lt;"&amp;'19_Расчет_аналитики'!AX1572,WeightedRevAge17)-SUMIF(ThresholdAge17,"&lt;"&amp;'19_Расчет_аналитики'!AX1572,WeightedMinAge17),MAX(CapacityAge17*'01_Вводные'!$B$218*'19_Расчет_аналитики'!AX1572,MeanMinAge17)))</f>
        <v/>
      </c>
      <c r="AY1520">
        <f>IF(OR(('19_Расчет_аналитики'!AY1436-'19_Расчет_аналитики'!AY1464)=0,17&lt;='01_Вводные'!$B$297),0,('19_Расчет_аналитики'!AY1436-'19_Расчет_аналитики'!AY1464)*IF('01_Вводные'!$B$239="Да",MeanMinAge17+'19_Расчет_аналитики'!AY1572*SUMIF(ThresholdAge17,"&lt;"&amp;'19_Расчет_аналитики'!AY1572,WeightedRevAge17)-SUMIF(ThresholdAge17,"&lt;"&amp;'19_Расчет_аналитики'!AY1572,WeightedMinAge17),MAX(CapacityAge17*'01_Вводные'!$B$218*'19_Расчет_аналитики'!AY1572,MeanMinAge17)))</f>
        <v/>
      </c>
      <c r="AZ1520">
        <f>IF(OR(('19_Расчет_аналитики'!AZ1436-'19_Расчет_аналитики'!AZ1464)=0,17&lt;='01_Вводные'!$B$297),0,('19_Расчет_аналитики'!AZ1436-'19_Расчет_аналитики'!AZ1464)*IF('01_Вводные'!$B$239="Да",MeanMinAge17+'19_Расчет_аналитики'!AZ1572*SUMIF(ThresholdAge17,"&lt;"&amp;'19_Расчет_аналитики'!AZ1572,WeightedRevAge17)-SUMIF(ThresholdAge17,"&lt;"&amp;'19_Расчет_аналитики'!AZ1572,WeightedMinAge17),MAX(CapacityAge17*'01_Вводные'!$B$218*'19_Расчет_аналитики'!AZ1572,MeanMinAge17)))</f>
        <v/>
      </c>
      <c r="BA1520">
        <f>IF(OR(('19_Расчет_аналитики'!BA1436-'19_Расчет_аналитики'!BA1464)=0,17&lt;='01_Вводные'!$B$297),0,('19_Расчет_аналитики'!BA1436-'19_Расчет_аналитики'!BA1464)*IF('01_Вводные'!$B$239="Да",MeanMinAge17+'19_Расчет_аналитики'!BA1572*SUMIF(ThresholdAge17,"&lt;"&amp;'19_Расчет_аналитики'!BA1572,WeightedRevAge17)-SUMIF(ThresholdAge17,"&lt;"&amp;'19_Расчет_аналитики'!BA1572,WeightedMinAge17),MAX(CapacityAge17*'01_Вводные'!$B$218*'19_Расчет_аналитики'!BA1572,MeanMinAge17)))</f>
        <v/>
      </c>
      <c r="BB1520">
        <f>IF(OR(('19_Расчет_аналитики'!BB1436-'19_Расчет_аналитики'!BB1464)=0,17&lt;='01_Вводные'!$B$297),0,('19_Расчет_аналитики'!BB1436-'19_Расчет_аналитики'!BB1464)*IF('01_Вводные'!$B$239="Да",MeanMinAge17+'19_Расчет_аналитики'!BB1572*SUMIF(ThresholdAge17,"&lt;"&amp;'19_Расчет_аналитики'!BB1572,WeightedRevAge17)-SUMIF(ThresholdAge17,"&lt;"&amp;'19_Расчет_аналитики'!BB1572,WeightedMinAge17),MAX(CapacityAge17*'01_Вводные'!$B$218*'19_Расчет_аналитики'!BB1572,MeanMinAge17)))</f>
        <v/>
      </c>
      <c r="BC1520">
        <f>IF(OR(('19_Расчет_аналитики'!BC1436-'19_Расчет_аналитики'!BC1464)=0,17&lt;='01_Вводные'!$B$297),0,('19_Расчет_аналитики'!BC1436-'19_Расчет_аналитики'!BC1464)*IF('01_Вводные'!$B$239="Да",MeanMinAge17+'19_Расчет_аналитики'!BC1572*SUMIF(ThresholdAge17,"&lt;"&amp;'19_Расчет_аналитики'!BC1572,WeightedRevAge17)-SUMIF(ThresholdAge17,"&lt;"&amp;'19_Расчет_аналитики'!BC1572,WeightedMinAge17),MAX(CapacityAge17*'01_Вводные'!$B$218*'19_Расчет_аналитики'!BC1572,MeanMinAge17)))</f>
        <v/>
      </c>
      <c r="BD1520">
        <f>IF(OR(('19_Расчет_аналитики'!BD1436-'19_Расчет_аналитики'!BD1464)=0,17&lt;='01_Вводные'!$B$297),0,('19_Расчет_аналитики'!BD1436-'19_Расчет_аналитики'!BD1464)*IF('01_Вводные'!$B$239="Да",MeanMinAge17+'19_Расчет_аналитики'!BD1572*SUMIF(ThresholdAge17,"&lt;"&amp;'19_Расчет_аналитики'!BD1572,WeightedRevAge17)-SUMIF(ThresholdAge17,"&lt;"&amp;'19_Расчет_аналитики'!BD1572,WeightedMinAge17),MAX(CapacityAge17*'01_Вводные'!$B$218*'19_Расчет_аналитики'!BD1572,MeanMinAge17)))</f>
        <v/>
      </c>
      <c r="BE1520">
        <f>IF(OR(('19_Расчет_аналитики'!BE1436-'19_Расчет_аналитики'!BE1464)=0,17&lt;='01_Вводные'!$B$297),0,('19_Расчет_аналитики'!BE1436-'19_Расчет_аналитики'!BE1464)*IF('01_Вводные'!$B$239="Да",MeanMinAge17+'19_Расчет_аналитики'!BE1572*SUMIF(ThresholdAge17,"&lt;"&amp;'19_Расчет_аналитики'!BE1572,WeightedRevAge17)-SUMIF(ThresholdAge17,"&lt;"&amp;'19_Расчет_аналитики'!BE1572,WeightedMinAge17),MAX(CapacityAge17*'01_Вводные'!$B$218*'19_Расчет_аналитики'!BE1572,MeanMinAge17)))</f>
        <v/>
      </c>
      <c r="BF1520">
        <f>IF(OR(('19_Расчет_аналитики'!BF1436-'19_Расчет_аналитики'!BF1464)=0,17&lt;='01_Вводные'!$B$297),0,('19_Расчет_аналитики'!BF1436-'19_Расчет_аналитики'!BF1464)*IF('01_Вводные'!$B$239="Да",MeanMinAge17+'19_Расчет_аналитики'!BF1572*SUMIF(ThresholdAge17,"&lt;"&amp;'19_Расчет_аналитики'!BF1572,WeightedRevAge17)-SUMIF(ThresholdAge17,"&lt;"&amp;'19_Расчет_аналитики'!BF1572,WeightedMinAge17),MAX(CapacityAge17*'01_Вводные'!$B$218*'19_Расчет_аналитики'!BF1572,MeanMinAge17)))</f>
        <v/>
      </c>
      <c r="BG1520">
        <f>IF(OR(('19_Расчет_аналитики'!BG1436-'19_Расчет_аналитики'!BG1464)=0,17&lt;='01_Вводные'!$B$297),0,('19_Расчет_аналитики'!BG1436-'19_Расчет_аналитики'!BG1464)*IF('01_Вводные'!$B$239="Да",MeanMinAge17+'19_Расчет_аналитики'!BG1572*SUMIF(ThresholdAge17,"&lt;"&amp;'19_Расчет_аналитики'!BG1572,WeightedRevAge17)-SUMIF(ThresholdAge17,"&lt;"&amp;'19_Расчет_аналитики'!BG1572,WeightedMinAge17),MAX(CapacityAge17*'01_Вводные'!$B$218*'19_Расчет_аналитики'!BG1572,MeanMinAge17)))</f>
        <v/>
      </c>
      <c r="BH1520">
        <f>IF(OR(('19_Расчет_аналитики'!BH1436-'19_Расчет_аналитики'!BH1464)=0,17&lt;='01_Вводные'!$B$297),0,('19_Расчет_аналитики'!BH1436-'19_Расчет_аналитики'!BH1464)*IF('01_Вводные'!$B$239="Да",MeanMinAge17+'19_Расчет_аналитики'!BH1572*SUMIF(ThresholdAge17,"&lt;"&amp;'19_Расчет_аналитики'!BH1572,WeightedRevAge17)-SUMIF(ThresholdAge17,"&lt;"&amp;'19_Расчет_аналитики'!BH1572,WeightedMinAge17),MAX(CapacityAge17*'01_Вводные'!$B$218*'19_Расчет_аналитики'!BH1572,MeanMinAge17)))</f>
        <v/>
      </c>
      <c r="BI1520">
        <f>IF(OR(('19_Расчет_аналитики'!BI1436-'19_Расчет_аналитики'!BI1464)=0,17&lt;='01_Вводные'!$B$297),0,('19_Расчет_аналитики'!BI1436-'19_Расчет_аналитики'!BI1464)*IF('01_Вводные'!$B$239="Да",MeanMinAge17+'19_Расчет_аналитики'!BI1572*SUMIF(ThresholdAge17,"&lt;"&amp;'19_Расчет_аналитики'!BI1572,WeightedRevAge17)-SUMIF(ThresholdAge17,"&lt;"&amp;'19_Расчет_аналитики'!BI1572,WeightedMinAge17),MAX(CapacityAge17*'01_Вводные'!$B$218*'19_Расчет_аналитики'!BI1572,MeanMinAge17)))</f>
        <v/>
      </c>
      <c r="BJ1520">
        <f>IF(OR(('19_Расчет_аналитики'!BJ1436-'19_Расчет_аналитики'!BJ1464)=0,17&lt;='01_Вводные'!$B$297),0,('19_Расчет_аналитики'!BJ1436-'19_Расчет_аналитики'!BJ1464)*IF('01_Вводные'!$B$239="Да",MeanMinAge17+'19_Расчет_аналитики'!BJ1572*SUMIF(ThresholdAge17,"&lt;"&amp;'19_Расчет_аналитики'!BJ1572,WeightedRevAge17)-SUMIF(ThresholdAge17,"&lt;"&amp;'19_Расчет_аналитики'!BJ1572,WeightedMinAge17),MAX(CapacityAge17*'01_Вводные'!$B$218*'19_Расчет_аналитики'!BJ1572,MeanMinAge17)))</f>
        <v/>
      </c>
      <c r="BK1520">
        <f>IF(OR(('19_Расчет_аналитики'!BK1436-'19_Расчет_аналитики'!BK1464)=0,17&lt;='01_Вводные'!$B$297),0,('19_Расчет_аналитики'!BK1436-'19_Расчет_аналитики'!BK1464)*IF('01_Вводные'!$B$239="Да",MeanMinAge17+'19_Расчет_аналитики'!BK1572*SUMIF(ThresholdAge17,"&lt;"&amp;'19_Расчет_аналитики'!BK1572,WeightedRevAge17)-SUMIF(ThresholdAge17,"&lt;"&amp;'19_Расчет_аналитики'!BK1572,WeightedMinAge17),MAX(CapacityAge17*'01_Вводные'!$B$218*'19_Расчет_аналитики'!BK1572,MeanMinAge17)))</f>
        <v/>
      </c>
      <c r="BL1520">
        <f>IF(OR(('19_Расчет_аналитики'!BL1436-'19_Расчет_аналитики'!BL1464)=0,17&lt;='01_Вводные'!$B$297),0,('19_Расчет_аналитики'!BL1436-'19_Расчет_аналитики'!BL1464)*IF('01_Вводные'!$B$239="Да",MeanMinAge17+'19_Расчет_аналитики'!BL1572*SUMIF(ThresholdAge17,"&lt;"&amp;'19_Расчет_аналитики'!BL1572,WeightedRevAge17)-SUMIF(ThresholdAge17,"&lt;"&amp;'19_Расчет_аналитики'!BL1572,WeightedMinAge17),MAX(CapacityAge17*'01_Вводные'!$B$218*'19_Расчет_аналитики'!BL1572,MeanMinAge17)))</f>
        <v/>
      </c>
      <c r="BM1520">
        <f>IF(OR(('19_Расчет_аналитики'!BM1436-'19_Расчет_аналитики'!BM1464)=0,17&lt;='01_Вводные'!$B$297),0,('19_Расчет_аналитики'!BM1436-'19_Расчет_аналитики'!BM1464)*IF('01_Вводные'!$B$239="Да",MeanMinAge17+'19_Расчет_аналитики'!BM1572*SUMIF(ThresholdAge17,"&lt;"&amp;'19_Расчет_аналитики'!BM1572,WeightedRevAge17)-SUMIF(ThresholdAge17,"&lt;"&amp;'19_Расчет_аналитики'!BM1572,WeightedMinAge17),MAX(CapacityAge17*'01_Вводные'!$B$218*'19_Расчет_аналитики'!BM1572,MeanMinAge17)))</f>
        <v/>
      </c>
      <c r="BN1520">
        <f>IF(OR(('19_Расчет_аналитики'!BN1436-'19_Расчет_аналитики'!BN1464)=0,17&lt;='01_Вводные'!$B$297),0,('19_Расчет_аналитики'!BN1436-'19_Расчет_аналитики'!BN1464)*IF('01_Вводные'!$B$239="Да",MeanMinAge17+'19_Расчет_аналитики'!BN1572*SUMIF(ThresholdAge17,"&lt;"&amp;'19_Расчет_аналитики'!BN1572,WeightedRevAge17)-SUMIF(ThresholdAge17,"&lt;"&amp;'19_Расчет_аналитики'!BN1572,WeightedMinAge17),MAX(CapacityAge17*'01_Вводные'!$B$218*'19_Расчет_аналитики'!BN1572,MeanMinAge17)))</f>
        <v/>
      </c>
      <c r="BO1520">
        <f>IF(OR(('19_Расчет_аналитики'!BO1436-'19_Расчет_аналитики'!BO1464)=0,17&lt;='01_Вводные'!$B$297),0,('19_Расчет_аналитики'!BO1436-'19_Расчет_аналитики'!BO1464)*IF('01_Вводные'!$B$239="Да",MeanMinAge17+'19_Расчет_аналитики'!BO1572*SUMIF(ThresholdAge17,"&lt;"&amp;'19_Расчет_аналитики'!BO1572,WeightedRevAge17)-SUMIF(ThresholdAge17,"&lt;"&amp;'19_Расчет_аналитики'!BO1572,WeightedMinAge17),MAX(CapacityAge17*'01_Вводные'!$B$218*'19_Расчет_аналитики'!BO1572,MeanMinAge17)))</f>
        <v/>
      </c>
    </row>
    <row r="1521">
      <c r="B1521">
        <f>IF(OR(('06_Сеть_и_дети'!B70-'06_Сеть_и_дети'!B98)=0,18&lt;='01_Вводные'!$B$297),0,('06_Сеть_и_дети'!B70-'06_Сеть_и_дети'!B98)*IF('01_Вводные'!$B$239="Да",MeanMinAge18+'19_Расчет_аналитики'!B1572*SUMIF(ThresholdAge18,"&lt;"&amp;'19_Расчет_аналитики'!B1572,WeightedRevAge18)-SUMIF(ThresholdAge18,"&lt;"&amp;'19_Расчет_аналитики'!B1572,WeightedMinAge18),MAX(CapacityAge18*'01_Вводные'!$B$218*'19_Расчет_аналитики'!B1572,MeanMinAge18)))</f>
        <v/>
      </c>
      <c r="C1521">
        <f>IF(OR(('06_Сеть_и_дети'!C70-'06_Сеть_и_дети'!C98)=0,18&lt;='01_Вводные'!$B$297),0,('06_Сеть_и_дети'!C70-'06_Сеть_и_дети'!C98)*IF('01_Вводные'!$B$239="Да",MeanMinAge18+'19_Расчет_аналитики'!C1572*SUMIF(ThresholdAge18,"&lt;"&amp;'19_Расчет_аналитики'!C1572,WeightedRevAge18)-SUMIF(ThresholdAge18,"&lt;"&amp;'19_Расчет_аналитики'!C1572,WeightedMinAge18),MAX(CapacityAge18*'01_Вводные'!$B$218*'19_Расчет_аналитики'!C1572,MeanMinAge18)))</f>
        <v/>
      </c>
      <c r="D1521">
        <f>IF(OR(('06_Сеть_и_дети'!D70-'06_Сеть_и_дети'!D98)=0,18&lt;='01_Вводные'!$B$297),0,('06_Сеть_и_дети'!D70-'06_Сеть_и_дети'!D98)*IF('01_Вводные'!$B$239="Да",MeanMinAge18+'19_Расчет_аналитики'!D1572*SUMIF(ThresholdAge18,"&lt;"&amp;'19_Расчет_аналитики'!D1572,WeightedRevAge18)-SUMIF(ThresholdAge18,"&lt;"&amp;'19_Расчет_аналитики'!D1572,WeightedMinAge18),MAX(CapacityAge18*'01_Вводные'!$B$218*'19_Расчет_аналитики'!D1572,MeanMinAge18)))</f>
        <v/>
      </c>
      <c r="E1521">
        <f>IF(OR(('06_Сеть_и_дети'!E70-'06_Сеть_и_дети'!E98)=0,18&lt;='01_Вводные'!$B$297),0,('06_Сеть_и_дети'!E70-'06_Сеть_и_дети'!E98)*IF('01_Вводные'!$B$239="Да",MeanMinAge18+'19_Расчет_аналитики'!E1572*SUMIF(ThresholdAge18,"&lt;"&amp;'19_Расчет_аналитики'!E1572,WeightedRevAge18)-SUMIF(ThresholdAge18,"&lt;"&amp;'19_Расчет_аналитики'!E1572,WeightedMinAge18),MAX(CapacityAge18*'01_Вводные'!$B$218*'19_Расчет_аналитики'!E1572,MeanMinAge18)))</f>
        <v/>
      </c>
      <c r="F1521">
        <f>IF(OR(('06_Сеть_и_дети'!F70-'06_Сеть_и_дети'!F98)=0,18&lt;='01_Вводные'!$B$297),0,('06_Сеть_и_дети'!F70-'06_Сеть_и_дети'!F98)*IF('01_Вводные'!$B$239="Да",MeanMinAge18+'19_Расчет_аналитики'!F1572*SUMIF(ThresholdAge18,"&lt;"&amp;'19_Расчет_аналитики'!F1572,WeightedRevAge18)-SUMIF(ThresholdAge18,"&lt;"&amp;'19_Расчет_аналитики'!F1572,WeightedMinAge18),MAX(CapacityAge18*'01_Вводные'!$B$218*'19_Расчет_аналитики'!F1572,MeanMinAge18)))</f>
        <v/>
      </c>
      <c r="G1521">
        <f>IF(OR(('06_Сеть_и_дети'!G70-'06_Сеть_и_дети'!G98)=0,18&lt;='01_Вводные'!$B$297),0,('06_Сеть_и_дети'!G70-'06_Сеть_и_дети'!G98)*IF('01_Вводные'!$B$239="Да",MeanMinAge18+'19_Расчет_аналитики'!G1572*SUMIF(ThresholdAge18,"&lt;"&amp;'19_Расчет_аналитики'!G1572,WeightedRevAge18)-SUMIF(ThresholdAge18,"&lt;"&amp;'19_Расчет_аналитики'!G1572,WeightedMinAge18),MAX(CapacityAge18*'01_Вводные'!$B$218*'19_Расчет_аналитики'!G1572,MeanMinAge18)))</f>
        <v/>
      </c>
      <c r="H1521">
        <f>IF(OR(('06_Сеть_и_дети'!H70-'06_Сеть_и_дети'!H98)=0,18&lt;='01_Вводные'!$B$297),0,('06_Сеть_и_дети'!H70-'06_Сеть_и_дети'!H98)*IF('01_Вводные'!$B$239="Да",MeanMinAge18+'19_Расчет_аналитики'!H1572*SUMIF(ThresholdAge18,"&lt;"&amp;'19_Расчет_аналитики'!H1572,WeightedRevAge18)-SUMIF(ThresholdAge18,"&lt;"&amp;'19_Расчет_аналитики'!H1572,WeightedMinAge18),MAX(CapacityAge18*'01_Вводные'!$B$218*'19_Расчет_аналитики'!H1572,MeanMinAge18)))</f>
        <v/>
      </c>
      <c r="I1521">
        <f>IF(OR(('06_Сеть_и_дети'!I70-'06_Сеть_и_дети'!I98)=0,18&lt;='01_Вводные'!$B$297),0,('06_Сеть_и_дети'!I70-'06_Сеть_и_дети'!I98)*IF('01_Вводные'!$B$239="Да",MeanMinAge18+'19_Расчет_аналитики'!I1572*SUMIF(ThresholdAge18,"&lt;"&amp;'19_Расчет_аналитики'!I1572,WeightedRevAge18)-SUMIF(ThresholdAge18,"&lt;"&amp;'19_Расчет_аналитики'!I1572,WeightedMinAge18),MAX(CapacityAge18*'01_Вводные'!$B$218*'19_Расчет_аналитики'!I1572,MeanMinAge18)))</f>
        <v/>
      </c>
      <c r="J1521">
        <f>IF(OR(('06_Сеть_и_дети'!J70-'06_Сеть_и_дети'!J98)=0,18&lt;='01_Вводные'!$B$297),0,('06_Сеть_и_дети'!J70-'06_Сеть_и_дети'!J98)*IF('01_Вводные'!$B$239="Да",MeanMinAge18+'19_Расчет_аналитики'!J1572*SUMIF(ThresholdAge18,"&lt;"&amp;'19_Расчет_аналитики'!J1572,WeightedRevAge18)-SUMIF(ThresholdAge18,"&lt;"&amp;'19_Расчет_аналитики'!J1572,WeightedMinAge18),MAX(CapacityAge18*'01_Вводные'!$B$218*'19_Расчет_аналитики'!J1572,MeanMinAge18)))</f>
        <v/>
      </c>
      <c r="K1521">
        <f>IF(OR(('06_Сеть_и_дети'!K70-'06_Сеть_и_дети'!K98)=0,18&lt;='01_Вводные'!$B$297),0,('06_Сеть_и_дети'!K70-'06_Сеть_и_дети'!K98)*IF('01_Вводные'!$B$239="Да",MeanMinAge18+'19_Расчет_аналитики'!K1572*SUMIF(ThresholdAge18,"&lt;"&amp;'19_Расчет_аналитики'!K1572,WeightedRevAge18)-SUMIF(ThresholdAge18,"&lt;"&amp;'19_Расчет_аналитики'!K1572,WeightedMinAge18),MAX(CapacityAge18*'01_Вводные'!$B$218*'19_Расчет_аналитики'!K1572,MeanMinAge18)))</f>
        <v/>
      </c>
      <c r="L1521">
        <f>IF(OR(('06_Сеть_и_дети'!L70-'06_Сеть_и_дети'!L98)=0,18&lt;='01_Вводные'!$B$297),0,('06_Сеть_и_дети'!L70-'06_Сеть_и_дети'!L98)*IF('01_Вводные'!$B$239="Да",MeanMinAge18+'19_Расчет_аналитики'!L1572*SUMIF(ThresholdAge18,"&lt;"&amp;'19_Расчет_аналитики'!L1572,WeightedRevAge18)-SUMIF(ThresholdAge18,"&lt;"&amp;'19_Расчет_аналитики'!L1572,WeightedMinAge18),MAX(CapacityAge18*'01_Вводные'!$B$218*'19_Расчет_аналитики'!L1572,MeanMinAge18)))</f>
        <v/>
      </c>
      <c r="M1521">
        <f>IF(OR(('06_Сеть_и_дети'!M70-'06_Сеть_и_дети'!M98)=0,18&lt;='01_Вводные'!$B$297),0,('06_Сеть_и_дети'!M70-'06_Сеть_и_дети'!M98)*IF('01_Вводные'!$B$239="Да",MeanMinAge18+'19_Расчет_аналитики'!M1572*SUMIF(ThresholdAge18,"&lt;"&amp;'19_Расчет_аналитики'!M1572,WeightedRevAge18)-SUMIF(ThresholdAge18,"&lt;"&amp;'19_Расчет_аналитики'!M1572,WeightedMinAge18),MAX(CapacityAge18*'01_Вводные'!$B$218*'19_Расчет_аналитики'!M1572,MeanMinAge18)))</f>
        <v/>
      </c>
      <c r="N1521">
        <f>IF(OR(('06_Сеть_и_дети'!N70-'06_Сеть_и_дети'!N98)=0,18&lt;='01_Вводные'!$B$297),0,('06_Сеть_и_дети'!N70-'06_Сеть_и_дети'!N98)*IF('01_Вводные'!$B$239="Да",MeanMinAge18+'19_Расчет_аналитики'!N1572*SUMIF(ThresholdAge18,"&lt;"&amp;'19_Расчет_аналитики'!N1572,WeightedRevAge18)-SUMIF(ThresholdAge18,"&lt;"&amp;'19_Расчет_аналитики'!N1572,WeightedMinAge18),MAX(CapacityAge18*'01_Вводные'!$B$218*'19_Расчет_аналитики'!N1572,MeanMinAge18)))</f>
        <v/>
      </c>
      <c r="O1521">
        <f>IF(OR(('06_Сеть_и_дети'!O70-'06_Сеть_и_дети'!O98)=0,18&lt;='01_Вводные'!$B$297),0,('06_Сеть_и_дети'!O70-'06_Сеть_и_дети'!O98)*IF('01_Вводные'!$B$239="Да",MeanMinAge18+'19_Расчет_аналитики'!O1572*SUMIF(ThresholdAge18,"&lt;"&amp;'19_Расчет_аналитики'!O1572,WeightedRevAge18)-SUMIF(ThresholdAge18,"&lt;"&amp;'19_Расчет_аналитики'!O1572,WeightedMinAge18),MAX(CapacityAge18*'01_Вводные'!$B$218*'19_Расчет_аналитики'!O1572,MeanMinAge18)))</f>
        <v/>
      </c>
      <c r="P1521">
        <f>IF(OR(('06_Сеть_и_дети'!P70-'06_Сеть_и_дети'!P98)=0,18&lt;='01_Вводные'!$B$297),0,('06_Сеть_и_дети'!P70-'06_Сеть_и_дети'!P98)*IF('01_Вводные'!$B$239="Да",MeanMinAge18+'19_Расчет_аналитики'!P1572*SUMIF(ThresholdAge18,"&lt;"&amp;'19_Расчет_аналитики'!P1572,WeightedRevAge18)-SUMIF(ThresholdAge18,"&lt;"&amp;'19_Расчет_аналитики'!P1572,WeightedMinAge18),MAX(CapacityAge18*'01_Вводные'!$B$218*'19_Расчет_аналитики'!P1572,MeanMinAge18)))</f>
        <v/>
      </c>
      <c r="Q1521">
        <f>IF(OR(('06_Сеть_и_дети'!Q70-'06_Сеть_и_дети'!Q98)=0,18&lt;='01_Вводные'!$B$297),0,('06_Сеть_и_дети'!Q70-'06_Сеть_и_дети'!Q98)*IF('01_Вводные'!$B$239="Да",MeanMinAge18+'19_Расчет_аналитики'!Q1572*SUMIF(ThresholdAge18,"&lt;"&amp;'19_Расчет_аналитики'!Q1572,WeightedRevAge18)-SUMIF(ThresholdAge18,"&lt;"&amp;'19_Расчет_аналитики'!Q1572,WeightedMinAge18),MAX(CapacityAge18*'01_Вводные'!$B$218*'19_Расчет_аналитики'!Q1572,MeanMinAge18)))</f>
        <v/>
      </c>
      <c r="R1521">
        <f>IF(OR(('06_Сеть_и_дети'!R70-'06_Сеть_и_дети'!R98)=0,18&lt;='01_Вводные'!$B$297),0,('06_Сеть_и_дети'!R70-'06_Сеть_и_дети'!R98)*IF('01_Вводные'!$B$239="Да",MeanMinAge18+'19_Расчет_аналитики'!R1572*SUMIF(ThresholdAge18,"&lt;"&amp;'19_Расчет_аналитики'!R1572,WeightedRevAge18)-SUMIF(ThresholdAge18,"&lt;"&amp;'19_Расчет_аналитики'!R1572,WeightedMinAge18),MAX(CapacityAge18*'01_Вводные'!$B$218*'19_Расчет_аналитики'!R1572,MeanMinAge18)))</f>
        <v/>
      </c>
      <c r="S1521">
        <f>IF(OR(('19_Расчет_аналитики'!S1437-'19_Расчет_аналитики'!S1465)=0,18&lt;='01_Вводные'!$B$297),0,('19_Расчет_аналитики'!S1437-'19_Расчет_аналитики'!S1465)*IF('01_Вводные'!$B$239="Да",MeanMinAge18+'19_Расчет_аналитики'!S1572*SUMIF(ThresholdAge18,"&lt;"&amp;'19_Расчет_аналитики'!S1572,WeightedRevAge18)-SUMIF(ThresholdAge18,"&lt;"&amp;'19_Расчет_аналитики'!S1572,WeightedMinAge18),MAX(CapacityAge18*'01_Вводные'!$B$218*'19_Расчет_аналитики'!S1572,MeanMinAge18)))</f>
        <v/>
      </c>
      <c r="T1521">
        <f>IF(OR(('19_Расчет_аналитики'!T1437-'19_Расчет_аналитики'!T1465)=0,18&lt;='01_Вводные'!$B$297),0,('19_Расчет_аналитики'!T1437-'19_Расчет_аналитики'!T1465)*IF('01_Вводные'!$B$239="Да",MeanMinAge18+'19_Расчет_аналитики'!T1572*SUMIF(ThresholdAge18,"&lt;"&amp;'19_Расчет_аналитики'!T1572,WeightedRevAge18)-SUMIF(ThresholdAge18,"&lt;"&amp;'19_Расчет_аналитики'!T1572,WeightedMinAge18),MAX(CapacityAge18*'01_Вводные'!$B$218*'19_Расчет_аналитики'!T1572,MeanMinAge18)))</f>
        <v/>
      </c>
      <c r="U1521">
        <f>IF(OR(('19_Расчет_аналитики'!U1437-'19_Расчет_аналитики'!U1465)=0,18&lt;='01_Вводные'!$B$297),0,('19_Расчет_аналитики'!U1437-'19_Расчет_аналитики'!U1465)*IF('01_Вводные'!$B$239="Да",MeanMinAge18+'19_Расчет_аналитики'!U1572*SUMIF(ThresholdAge18,"&lt;"&amp;'19_Расчет_аналитики'!U1572,WeightedRevAge18)-SUMIF(ThresholdAge18,"&lt;"&amp;'19_Расчет_аналитики'!U1572,WeightedMinAge18),MAX(CapacityAge18*'01_Вводные'!$B$218*'19_Расчет_аналитики'!U1572,MeanMinAge18)))</f>
        <v/>
      </c>
      <c r="V1521">
        <f>IF(OR(('19_Расчет_аналитики'!V1437-'19_Расчет_аналитики'!V1465)=0,18&lt;='01_Вводные'!$B$297),0,('19_Расчет_аналитики'!V1437-'19_Расчет_аналитики'!V1465)*IF('01_Вводные'!$B$239="Да",MeanMinAge18+'19_Расчет_аналитики'!V1572*SUMIF(ThresholdAge18,"&lt;"&amp;'19_Расчет_аналитики'!V1572,WeightedRevAge18)-SUMIF(ThresholdAge18,"&lt;"&amp;'19_Расчет_аналитики'!V1572,WeightedMinAge18),MAX(CapacityAge18*'01_Вводные'!$B$218*'19_Расчет_аналитики'!V1572,MeanMinAge18)))</f>
        <v/>
      </c>
      <c r="W1521">
        <f>IF(OR(('19_Расчет_аналитики'!W1437-'19_Расчет_аналитики'!W1465)=0,18&lt;='01_Вводные'!$B$297),0,('19_Расчет_аналитики'!W1437-'19_Расчет_аналитики'!W1465)*IF('01_Вводные'!$B$239="Да",MeanMinAge18+'19_Расчет_аналитики'!W1572*SUMIF(ThresholdAge18,"&lt;"&amp;'19_Расчет_аналитики'!W1572,WeightedRevAge18)-SUMIF(ThresholdAge18,"&lt;"&amp;'19_Расчет_аналитики'!W1572,WeightedMinAge18),MAX(CapacityAge18*'01_Вводные'!$B$218*'19_Расчет_аналитики'!W1572,MeanMinAge18)))</f>
        <v/>
      </c>
      <c r="X1521">
        <f>IF(OR(('19_Расчет_аналитики'!X1437-'19_Расчет_аналитики'!X1465)=0,18&lt;='01_Вводные'!$B$297),0,('19_Расчет_аналитики'!X1437-'19_Расчет_аналитики'!X1465)*IF('01_Вводные'!$B$239="Да",MeanMinAge18+'19_Расчет_аналитики'!X1572*SUMIF(ThresholdAge18,"&lt;"&amp;'19_Расчет_аналитики'!X1572,WeightedRevAge18)-SUMIF(ThresholdAge18,"&lt;"&amp;'19_Расчет_аналитики'!X1572,WeightedMinAge18),MAX(CapacityAge18*'01_Вводные'!$B$218*'19_Расчет_аналитики'!X1572,MeanMinAge18)))</f>
        <v/>
      </c>
      <c r="Y1521">
        <f>IF(OR(('19_Расчет_аналитики'!Y1437-'19_Расчет_аналитики'!Y1465)=0,18&lt;='01_Вводные'!$B$297),0,('19_Расчет_аналитики'!Y1437-'19_Расчет_аналитики'!Y1465)*IF('01_Вводные'!$B$239="Да",MeanMinAge18+'19_Расчет_аналитики'!Y1572*SUMIF(ThresholdAge18,"&lt;"&amp;'19_Расчет_аналитики'!Y1572,WeightedRevAge18)-SUMIF(ThresholdAge18,"&lt;"&amp;'19_Расчет_аналитики'!Y1572,WeightedMinAge18),MAX(CapacityAge18*'01_Вводные'!$B$218*'19_Расчет_аналитики'!Y1572,MeanMinAge18)))</f>
        <v/>
      </c>
      <c r="Z1521">
        <f>IF(OR(('19_Расчет_аналитики'!Z1437-'19_Расчет_аналитики'!Z1465)=0,18&lt;='01_Вводные'!$B$297),0,('19_Расчет_аналитики'!Z1437-'19_Расчет_аналитики'!Z1465)*IF('01_Вводные'!$B$239="Да",MeanMinAge18+'19_Расчет_аналитики'!Z1572*SUMIF(ThresholdAge18,"&lt;"&amp;'19_Расчет_аналитики'!Z1572,WeightedRevAge18)-SUMIF(ThresholdAge18,"&lt;"&amp;'19_Расчет_аналитики'!Z1572,WeightedMinAge18),MAX(CapacityAge18*'01_Вводные'!$B$218*'19_Расчет_аналитики'!Z1572,MeanMinAge18)))</f>
        <v/>
      </c>
      <c r="AA1521">
        <f>IF(OR(('19_Расчет_аналитики'!AA1437-'19_Расчет_аналитики'!AA1465)=0,18&lt;='01_Вводные'!$B$297),0,('19_Расчет_аналитики'!AA1437-'19_Расчет_аналитики'!AA1465)*IF('01_Вводные'!$B$239="Да",MeanMinAge18+'19_Расчет_аналитики'!AA1572*SUMIF(ThresholdAge18,"&lt;"&amp;'19_Расчет_аналитики'!AA1572,WeightedRevAge18)-SUMIF(ThresholdAge18,"&lt;"&amp;'19_Расчет_аналитики'!AA1572,WeightedMinAge18),MAX(CapacityAge18*'01_Вводные'!$B$218*'19_Расчет_аналитики'!AA1572,MeanMinAge18)))</f>
        <v/>
      </c>
      <c r="AB1521">
        <f>IF(OR(('19_Расчет_аналитики'!AB1437-'19_Расчет_аналитики'!AB1465)=0,18&lt;='01_Вводные'!$B$297),0,('19_Расчет_аналитики'!AB1437-'19_Расчет_аналитики'!AB1465)*IF('01_Вводные'!$B$239="Да",MeanMinAge18+'19_Расчет_аналитики'!AB1572*SUMIF(ThresholdAge18,"&lt;"&amp;'19_Расчет_аналитики'!AB1572,WeightedRevAge18)-SUMIF(ThresholdAge18,"&lt;"&amp;'19_Расчет_аналитики'!AB1572,WeightedMinAge18),MAX(CapacityAge18*'01_Вводные'!$B$218*'19_Расчет_аналитики'!AB1572,MeanMinAge18)))</f>
        <v/>
      </c>
      <c r="AC1521">
        <f>IF(OR(('19_Расчет_аналитики'!AC1437-'19_Расчет_аналитики'!AC1465)=0,18&lt;='01_Вводные'!$B$297),0,('19_Расчет_аналитики'!AC1437-'19_Расчет_аналитики'!AC1465)*IF('01_Вводные'!$B$239="Да",MeanMinAge18+'19_Расчет_аналитики'!AC1572*SUMIF(ThresholdAge18,"&lt;"&amp;'19_Расчет_аналитики'!AC1572,WeightedRevAge18)-SUMIF(ThresholdAge18,"&lt;"&amp;'19_Расчет_аналитики'!AC1572,WeightedMinAge18),MAX(CapacityAge18*'01_Вводные'!$B$218*'19_Расчет_аналитики'!AC1572,MeanMinAge18)))</f>
        <v/>
      </c>
      <c r="AD1521">
        <f>IF(OR(('19_Расчет_аналитики'!AD1437-'19_Расчет_аналитики'!AD1465)=0,18&lt;='01_Вводные'!$B$297),0,('19_Расчет_аналитики'!AD1437-'19_Расчет_аналитики'!AD1465)*IF('01_Вводные'!$B$239="Да",MeanMinAge18+'19_Расчет_аналитики'!AD1572*SUMIF(ThresholdAge18,"&lt;"&amp;'19_Расчет_аналитики'!AD1572,WeightedRevAge18)-SUMIF(ThresholdAge18,"&lt;"&amp;'19_Расчет_аналитики'!AD1572,WeightedMinAge18),MAX(CapacityAge18*'01_Вводные'!$B$218*'19_Расчет_аналитики'!AD1572,MeanMinAge18)))</f>
        <v/>
      </c>
      <c r="AE1521">
        <f>IF(OR(('19_Расчет_аналитики'!AE1437-'19_Расчет_аналитики'!AE1465)=0,18&lt;='01_Вводные'!$B$297),0,('19_Расчет_аналитики'!AE1437-'19_Расчет_аналитики'!AE1465)*IF('01_Вводные'!$B$239="Да",MeanMinAge18+'19_Расчет_аналитики'!AE1572*SUMIF(ThresholdAge18,"&lt;"&amp;'19_Расчет_аналитики'!AE1572,WeightedRevAge18)-SUMIF(ThresholdAge18,"&lt;"&amp;'19_Расчет_аналитики'!AE1572,WeightedMinAge18),MAX(CapacityAge18*'01_Вводные'!$B$218*'19_Расчет_аналитики'!AE1572,MeanMinAge18)))</f>
        <v/>
      </c>
      <c r="AF1521">
        <f>IF(OR(('19_Расчет_аналитики'!AF1437-'19_Расчет_аналитики'!AF1465)=0,18&lt;='01_Вводные'!$B$297),0,('19_Расчет_аналитики'!AF1437-'19_Расчет_аналитики'!AF1465)*IF('01_Вводные'!$B$239="Да",MeanMinAge18+'19_Расчет_аналитики'!AF1572*SUMIF(ThresholdAge18,"&lt;"&amp;'19_Расчет_аналитики'!AF1572,WeightedRevAge18)-SUMIF(ThresholdAge18,"&lt;"&amp;'19_Расчет_аналитики'!AF1572,WeightedMinAge18),MAX(CapacityAge18*'01_Вводные'!$B$218*'19_Расчет_аналитики'!AF1572,MeanMinAge18)))</f>
        <v/>
      </c>
      <c r="AG1521">
        <f>IF(OR(('19_Расчет_аналитики'!AG1437-'19_Расчет_аналитики'!AG1465)=0,18&lt;='01_Вводные'!$B$297),0,('19_Расчет_аналитики'!AG1437-'19_Расчет_аналитики'!AG1465)*IF('01_Вводные'!$B$239="Да",MeanMinAge18+'19_Расчет_аналитики'!AG1572*SUMIF(ThresholdAge18,"&lt;"&amp;'19_Расчет_аналитики'!AG1572,WeightedRevAge18)-SUMIF(ThresholdAge18,"&lt;"&amp;'19_Расчет_аналитики'!AG1572,WeightedMinAge18),MAX(CapacityAge18*'01_Вводные'!$B$218*'19_Расчет_аналитики'!AG1572,MeanMinAge18)))</f>
        <v/>
      </c>
      <c r="AH1521">
        <f>IF(OR(('19_Расчет_аналитики'!AH1437-'19_Расчет_аналитики'!AH1465)=0,18&lt;='01_Вводные'!$B$297),0,('19_Расчет_аналитики'!AH1437-'19_Расчет_аналитики'!AH1465)*IF('01_Вводные'!$B$239="Да",MeanMinAge18+'19_Расчет_аналитики'!AH1572*SUMIF(ThresholdAge18,"&lt;"&amp;'19_Расчет_аналитики'!AH1572,WeightedRevAge18)-SUMIF(ThresholdAge18,"&lt;"&amp;'19_Расчет_аналитики'!AH1572,WeightedMinAge18),MAX(CapacityAge18*'01_Вводные'!$B$218*'19_Расчет_аналитики'!AH1572,MeanMinAge18)))</f>
        <v/>
      </c>
      <c r="AI1521">
        <f>IF(OR(('19_Расчет_аналитики'!AI1437-'19_Расчет_аналитики'!AI1465)=0,18&lt;='01_Вводные'!$B$297),0,('19_Расчет_аналитики'!AI1437-'19_Расчет_аналитики'!AI1465)*IF('01_Вводные'!$B$239="Да",MeanMinAge18+'19_Расчет_аналитики'!AI1572*SUMIF(ThresholdAge18,"&lt;"&amp;'19_Расчет_аналитики'!AI1572,WeightedRevAge18)-SUMIF(ThresholdAge18,"&lt;"&amp;'19_Расчет_аналитики'!AI1572,WeightedMinAge18),MAX(CapacityAge18*'01_Вводные'!$B$218*'19_Расчет_аналитики'!AI1572,MeanMinAge18)))</f>
        <v/>
      </c>
      <c r="AJ1521">
        <f>IF(OR(('19_Расчет_аналитики'!AJ1437-'19_Расчет_аналитики'!AJ1465)=0,18&lt;='01_Вводные'!$B$297),0,('19_Расчет_аналитики'!AJ1437-'19_Расчет_аналитики'!AJ1465)*IF('01_Вводные'!$B$239="Да",MeanMinAge18+'19_Расчет_аналитики'!AJ1572*SUMIF(ThresholdAge18,"&lt;"&amp;'19_Расчет_аналитики'!AJ1572,WeightedRevAge18)-SUMIF(ThresholdAge18,"&lt;"&amp;'19_Расчет_аналитики'!AJ1572,WeightedMinAge18),MAX(CapacityAge18*'01_Вводные'!$B$218*'19_Расчет_аналитики'!AJ1572,MeanMinAge18)))</f>
        <v/>
      </c>
      <c r="AK1521">
        <f>IF(OR(('19_Расчет_аналитики'!AK1437-'19_Расчет_аналитики'!AK1465)=0,18&lt;='01_Вводные'!$B$297),0,('19_Расчет_аналитики'!AK1437-'19_Расчет_аналитики'!AK1465)*IF('01_Вводные'!$B$239="Да",MeanMinAge18+'19_Расчет_аналитики'!AK1572*SUMIF(ThresholdAge18,"&lt;"&amp;'19_Расчет_аналитики'!AK1572,WeightedRevAge18)-SUMIF(ThresholdAge18,"&lt;"&amp;'19_Расчет_аналитики'!AK1572,WeightedMinAge18),MAX(CapacityAge18*'01_Вводные'!$B$218*'19_Расчет_аналитики'!AK1572,MeanMinAge18)))</f>
        <v/>
      </c>
      <c r="AL1521">
        <f>IF(OR(('19_Расчет_аналитики'!AL1437-'19_Расчет_аналитики'!AL1465)=0,18&lt;='01_Вводные'!$B$297),0,('19_Расчет_аналитики'!AL1437-'19_Расчет_аналитики'!AL1465)*IF('01_Вводные'!$B$239="Да",MeanMinAge18+'19_Расчет_аналитики'!AL1572*SUMIF(ThresholdAge18,"&lt;"&amp;'19_Расчет_аналитики'!AL1572,WeightedRevAge18)-SUMIF(ThresholdAge18,"&lt;"&amp;'19_Расчет_аналитики'!AL1572,WeightedMinAge18),MAX(CapacityAge18*'01_Вводные'!$B$218*'19_Расчет_аналитики'!AL1572,MeanMinAge18)))</f>
        <v/>
      </c>
      <c r="AM1521">
        <f>IF(OR(('19_Расчет_аналитики'!AM1437-'19_Расчет_аналитики'!AM1465)=0,18&lt;='01_Вводные'!$B$297),0,('19_Расчет_аналитики'!AM1437-'19_Расчет_аналитики'!AM1465)*IF('01_Вводные'!$B$239="Да",MeanMinAge18+'19_Расчет_аналитики'!AM1572*SUMIF(ThresholdAge18,"&lt;"&amp;'19_Расчет_аналитики'!AM1572,WeightedRevAge18)-SUMIF(ThresholdAge18,"&lt;"&amp;'19_Расчет_аналитики'!AM1572,WeightedMinAge18),MAX(CapacityAge18*'01_Вводные'!$B$218*'19_Расчет_аналитики'!AM1572,MeanMinAge18)))</f>
        <v/>
      </c>
      <c r="AN1521">
        <f>IF(OR(('19_Расчет_аналитики'!AN1437-'19_Расчет_аналитики'!AN1465)=0,18&lt;='01_Вводные'!$B$297),0,('19_Расчет_аналитики'!AN1437-'19_Расчет_аналитики'!AN1465)*IF('01_Вводные'!$B$239="Да",MeanMinAge18+'19_Расчет_аналитики'!AN1572*SUMIF(ThresholdAge18,"&lt;"&amp;'19_Расчет_аналитики'!AN1572,WeightedRevAge18)-SUMIF(ThresholdAge18,"&lt;"&amp;'19_Расчет_аналитики'!AN1572,WeightedMinAge18),MAX(CapacityAge18*'01_Вводные'!$B$218*'19_Расчет_аналитики'!AN1572,MeanMinAge18)))</f>
        <v/>
      </c>
      <c r="AO1521">
        <f>IF(OR(('19_Расчет_аналитики'!AO1437-'19_Расчет_аналитики'!AO1465)=0,18&lt;='01_Вводные'!$B$297),0,('19_Расчет_аналитики'!AO1437-'19_Расчет_аналитики'!AO1465)*IF('01_Вводные'!$B$239="Да",MeanMinAge18+'19_Расчет_аналитики'!AO1572*SUMIF(ThresholdAge18,"&lt;"&amp;'19_Расчет_аналитики'!AO1572,WeightedRevAge18)-SUMIF(ThresholdAge18,"&lt;"&amp;'19_Расчет_аналитики'!AO1572,WeightedMinAge18),MAX(CapacityAge18*'01_Вводные'!$B$218*'19_Расчет_аналитики'!AO1572,MeanMinAge18)))</f>
        <v/>
      </c>
      <c r="AP1521">
        <f>IF(OR(('19_Расчет_аналитики'!AP1437-'19_Расчет_аналитики'!AP1465)=0,18&lt;='01_Вводные'!$B$297),0,('19_Расчет_аналитики'!AP1437-'19_Расчет_аналитики'!AP1465)*IF('01_Вводные'!$B$239="Да",MeanMinAge18+'19_Расчет_аналитики'!AP1572*SUMIF(ThresholdAge18,"&lt;"&amp;'19_Расчет_аналитики'!AP1572,WeightedRevAge18)-SUMIF(ThresholdAge18,"&lt;"&amp;'19_Расчет_аналитики'!AP1572,WeightedMinAge18),MAX(CapacityAge18*'01_Вводные'!$B$218*'19_Расчет_аналитики'!AP1572,MeanMinAge18)))</f>
        <v/>
      </c>
      <c r="AQ1521">
        <f>IF(OR(('19_Расчет_аналитики'!AQ1437-'19_Расчет_аналитики'!AQ1465)=0,18&lt;='01_Вводные'!$B$297),0,('19_Расчет_аналитики'!AQ1437-'19_Расчет_аналитики'!AQ1465)*IF('01_Вводные'!$B$239="Да",MeanMinAge18+'19_Расчет_аналитики'!AQ1572*SUMIF(ThresholdAge18,"&lt;"&amp;'19_Расчет_аналитики'!AQ1572,WeightedRevAge18)-SUMIF(ThresholdAge18,"&lt;"&amp;'19_Расчет_аналитики'!AQ1572,WeightedMinAge18),MAX(CapacityAge18*'01_Вводные'!$B$218*'19_Расчет_аналитики'!AQ1572,MeanMinAge18)))</f>
        <v/>
      </c>
      <c r="AR1521">
        <f>IF(OR(('19_Расчет_аналитики'!AR1437-'19_Расчет_аналитики'!AR1465)=0,18&lt;='01_Вводные'!$B$297),0,('19_Расчет_аналитики'!AR1437-'19_Расчет_аналитики'!AR1465)*IF('01_Вводные'!$B$239="Да",MeanMinAge18+'19_Расчет_аналитики'!AR1572*SUMIF(ThresholdAge18,"&lt;"&amp;'19_Расчет_аналитики'!AR1572,WeightedRevAge18)-SUMIF(ThresholdAge18,"&lt;"&amp;'19_Расчет_аналитики'!AR1572,WeightedMinAge18),MAX(CapacityAge18*'01_Вводные'!$B$218*'19_Расчет_аналитики'!AR1572,MeanMinAge18)))</f>
        <v/>
      </c>
      <c r="AS1521">
        <f>IF(OR(('19_Расчет_аналитики'!AS1437-'19_Расчет_аналитики'!AS1465)=0,18&lt;='01_Вводные'!$B$297),0,('19_Расчет_аналитики'!AS1437-'19_Расчет_аналитики'!AS1465)*IF('01_Вводные'!$B$239="Да",MeanMinAge18+'19_Расчет_аналитики'!AS1572*SUMIF(ThresholdAge18,"&lt;"&amp;'19_Расчет_аналитики'!AS1572,WeightedRevAge18)-SUMIF(ThresholdAge18,"&lt;"&amp;'19_Расчет_аналитики'!AS1572,WeightedMinAge18),MAX(CapacityAge18*'01_Вводные'!$B$218*'19_Расчет_аналитики'!AS1572,MeanMinAge18)))</f>
        <v/>
      </c>
      <c r="AT1521">
        <f>IF(OR(('19_Расчет_аналитики'!AT1437-'19_Расчет_аналитики'!AT1465)=0,18&lt;='01_Вводные'!$B$297),0,('19_Расчет_аналитики'!AT1437-'19_Расчет_аналитики'!AT1465)*IF('01_Вводные'!$B$239="Да",MeanMinAge18+'19_Расчет_аналитики'!AT1572*SUMIF(ThresholdAge18,"&lt;"&amp;'19_Расчет_аналитики'!AT1572,WeightedRevAge18)-SUMIF(ThresholdAge18,"&lt;"&amp;'19_Расчет_аналитики'!AT1572,WeightedMinAge18),MAX(CapacityAge18*'01_Вводные'!$B$218*'19_Расчет_аналитики'!AT1572,MeanMinAge18)))</f>
        <v/>
      </c>
      <c r="AU1521">
        <f>IF(OR(('19_Расчет_аналитики'!AU1437-'19_Расчет_аналитики'!AU1465)=0,18&lt;='01_Вводные'!$B$297),0,('19_Расчет_аналитики'!AU1437-'19_Расчет_аналитики'!AU1465)*IF('01_Вводные'!$B$239="Да",MeanMinAge18+'19_Расчет_аналитики'!AU1572*SUMIF(ThresholdAge18,"&lt;"&amp;'19_Расчет_аналитики'!AU1572,WeightedRevAge18)-SUMIF(ThresholdAge18,"&lt;"&amp;'19_Расчет_аналитики'!AU1572,WeightedMinAge18),MAX(CapacityAge18*'01_Вводные'!$B$218*'19_Расчет_аналитики'!AU1572,MeanMinAge18)))</f>
        <v/>
      </c>
      <c r="AV1521">
        <f>IF(OR(('19_Расчет_аналитики'!AV1437-'19_Расчет_аналитики'!AV1465)=0,18&lt;='01_Вводные'!$B$297),0,('19_Расчет_аналитики'!AV1437-'19_Расчет_аналитики'!AV1465)*IF('01_Вводные'!$B$239="Да",MeanMinAge18+'19_Расчет_аналитики'!AV1572*SUMIF(ThresholdAge18,"&lt;"&amp;'19_Расчет_аналитики'!AV1572,WeightedRevAge18)-SUMIF(ThresholdAge18,"&lt;"&amp;'19_Расчет_аналитики'!AV1572,WeightedMinAge18),MAX(CapacityAge18*'01_Вводные'!$B$218*'19_Расчет_аналитики'!AV1572,MeanMinAge18)))</f>
        <v/>
      </c>
      <c r="AW1521">
        <f>IF(OR(('19_Расчет_аналитики'!AW1437-'19_Расчет_аналитики'!AW1465)=0,18&lt;='01_Вводные'!$B$297),0,('19_Расчет_аналитики'!AW1437-'19_Расчет_аналитики'!AW1465)*IF('01_Вводные'!$B$239="Да",MeanMinAge18+'19_Расчет_аналитики'!AW1572*SUMIF(ThresholdAge18,"&lt;"&amp;'19_Расчет_аналитики'!AW1572,WeightedRevAge18)-SUMIF(ThresholdAge18,"&lt;"&amp;'19_Расчет_аналитики'!AW1572,WeightedMinAge18),MAX(CapacityAge18*'01_Вводные'!$B$218*'19_Расчет_аналитики'!AW1572,MeanMinAge18)))</f>
        <v/>
      </c>
      <c r="AX1521">
        <f>IF(OR(('19_Расчет_аналитики'!AX1437-'19_Расчет_аналитики'!AX1465)=0,18&lt;='01_Вводные'!$B$297),0,('19_Расчет_аналитики'!AX1437-'19_Расчет_аналитики'!AX1465)*IF('01_Вводные'!$B$239="Да",MeanMinAge18+'19_Расчет_аналитики'!AX1572*SUMIF(ThresholdAge18,"&lt;"&amp;'19_Расчет_аналитики'!AX1572,WeightedRevAge18)-SUMIF(ThresholdAge18,"&lt;"&amp;'19_Расчет_аналитики'!AX1572,WeightedMinAge18),MAX(CapacityAge18*'01_Вводные'!$B$218*'19_Расчет_аналитики'!AX1572,MeanMinAge18)))</f>
        <v/>
      </c>
      <c r="AY1521">
        <f>IF(OR(('19_Расчет_аналитики'!AY1437-'19_Расчет_аналитики'!AY1465)=0,18&lt;='01_Вводные'!$B$297),0,('19_Расчет_аналитики'!AY1437-'19_Расчет_аналитики'!AY1465)*IF('01_Вводные'!$B$239="Да",MeanMinAge18+'19_Расчет_аналитики'!AY1572*SUMIF(ThresholdAge18,"&lt;"&amp;'19_Расчет_аналитики'!AY1572,WeightedRevAge18)-SUMIF(ThresholdAge18,"&lt;"&amp;'19_Расчет_аналитики'!AY1572,WeightedMinAge18),MAX(CapacityAge18*'01_Вводные'!$B$218*'19_Расчет_аналитики'!AY1572,MeanMinAge18)))</f>
        <v/>
      </c>
      <c r="AZ1521">
        <f>IF(OR(('19_Расчет_аналитики'!AZ1437-'19_Расчет_аналитики'!AZ1465)=0,18&lt;='01_Вводные'!$B$297),0,('19_Расчет_аналитики'!AZ1437-'19_Расчет_аналитики'!AZ1465)*IF('01_Вводные'!$B$239="Да",MeanMinAge18+'19_Расчет_аналитики'!AZ1572*SUMIF(ThresholdAge18,"&lt;"&amp;'19_Расчет_аналитики'!AZ1572,WeightedRevAge18)-SUMIF(ThresholdAge18,"&lt;"&amp;'19_Расчет_аналитики'!AZ1572,WeightedMinAge18),MAX(CapacityAge18*'01_Вводные'!$B$218*'19_Расчет_аналитики'!AZ1572,MeanMinAge18)))</f>
        <v/>
      </c>
      <c r="BA1521">
        <f>IF(OR(('19_Расчет_аналитики'!BA1437-'19_Расчет_аналитики'!BA1465)=0,18&lt;='01_Вводные'!$B$297),0,('19_Расчет_аналитики'!BA1437-'19_Расчет_аналитики'!BA1465)*IF('01_Вводные'!$B$239="Да",MeanMinAge18+'19_Расчет_аналитики'!BA1572*SUMIF(ThresholdAge18,"&lt;"&amp;'19_Расчет_аналитики'!BA1572,WeightedRevAge18)-SUMIF(ThresholdAge18,"&lt;"&amp;'19_Расчет_аналитики'!BA1572,WeightedMinAge18),MAX(CapacityAge18*'01_Вводные'!$B$218*'19_Расчет_аналитики'!BA1572,MeanMinAge18)))</f>
        <v/>
      </c>
      <c r="BB1521">
        <f>IF(OR(('19_Расчет_аналитики'!BB1437-'19_Расчет_аналитики'!BB1465)=0,18&lt;='01_Вводные'!$B$297),0,('19_Расчет_аналитики'!BB1437-'19_Расчет_аналитики'!BB1465)*IF('01_Вводные'!$B$239="Да",MeanMinAge18+'19_Расчет_аналитики'!BB1572*SUMIF(ThresholdAge18,"&lt;"&amp;'19_Расчет_аналитики'!BB1572,WeightedRevAge18)-SUMIF(ThresholdAge18,"&lt;"&amp;'19_Расчет_аналитики'!BB1572,WeightedMinAge18),MAX(CapacityAge18*'01_Вводные'!$B$218*'19_Расчет_аналитики'!BB1572,MeanMinAge18)))</f>
        <v/>
      </c>
      <c r="BC1521">
        <f>IF(OR(('19_Расчет_аналитики'!BC1437-'19_Расчет_аналитики'!BC1465)=0,18&lt;='01_Вводные'!$B$297),0,('19_Расчет_аналитики'!BC1437-'19_Расчет_аналитики'!BC1465)*IF('01_Вводные'!$B$239="Да",MeanMinAge18+'19_Расчет_аналитики'!BC1572*SUMIF(ThresholdAge18,"&lt;"&amp;'19_Расчет_аналитики'!BC1572,WeightedRevAge18)-SUMIF(ThresholdAge18,"&lt;"&amp;'19_Расчет_аналитики'!BC1572,WeightedMinAge18),MAX(CapacityAge18*'01_Вводные'!$B$218*'19_Расчет_аналитики'!BC1572,MeanMinAge18)))</f>
        <v/>
      </c>
      <c r="BD1521">
        <f>IF(OR(('19_Расчет_аналитики'!BD1437-'19_Расчет_аналитики'!BD1465)=0,18&lt;='01_Вводные'!$B$297),0,('19_Расчет_аналитики'!BD1437-'19_Расчет_аналитики'!BD1465)*IF('01_Вводные'!$B$239="Да",MeanMinAge18+'19_Расчет_аналитики'!BD1572*SUMIF(ThresholdAge18,"&lt;"&amp;'19_Расчет_аналитики'!BD1572,WeightedRevAge18)-SUMIF(ThresholdAge18,"&lt;"&amp;'19_Расчет_аналитики'!BD1572,WeightedMinAge18),MAX(CapacityAge18*'01_Вводные'!$B$218*'19_Расчет_аналитики'!BD1572,MeanMinAge18)))</f>
        <v/>
      </c>
      <c r="BE1521">
        <f>IF(OR(('19_Расчет_аналитики'!BE1437-'19_Расчет_аналитики'!BE1465)=0,18&lt;='01_Вводные'!$B$297),0,('19_Расчет_аналитики'!BE1437-'19_Расчет_аналитики'!BE1465)*IF('01_Вводные'!$B$239="Да",MeanMinAge18+'19_Расчет_аналитики'!BE1572*SUMIF(ThresholdAge18,"&lt;"&amp;'19_Расчет_аналитики'!BE1572,WeightedRevAge18)-SUMIF(ThresholdAge18,"&lt;"&amp;'19_Расчет_аналитики'!BE1572,WeightedMinAge18),MAX(CapacityAge18*'01_Вводные'!$B$218*'19_Расчет_аналитики'!BE1572,MeanMinAge18)))</f>
        <v/>
      </c>
      <c r="BF1521">
        <f>IF(OR(('19_Расчет_аналитики'!BF1437-'19_Расчет_аналитики'!BF1465)=0,18&lt;='01_Вводные'!$B$297),0,('19_Расчет_аналитики'!BF1437-'19_Расчет_аналитики'!BF1465)*IF('01_Вводные'!$B$239="Да",MeanMinAge18+'19_Расчет_аналитики'!BF1572*SUMIF(ThresholdAge18,"&lt;"&amp;'19_Расчет_аналитики'!BF1572,WeightedRevAge18)-SUMIF(ThresholdAge18,"&lt;"&amp;'19_Расчет_аналитики'!BF1572,WeightedMinAge18),MAX(CapacityAge18*'01_Вводные'!$B$218*'19_Расчет_аналитики'!BF1572,MeanMinAge18)))</f>
        <v/>
      </c>
      <c r="BG1521">
        <f>IF(OR(('19_Расчет_аналитики'!BG1437-'19_Расчет_аналитики'!BG1465)=0,18&lt;='01_Вводные'!$B$297),0,('19_Расчет_аналитики'!BG1437-'19_Расчет_аналитики'!BG1465)*IF('01_Вводные'!$B$239="Да",MeanMinAge18+'19_Расчет_аналитики'!BG1572*SUMIF(ThresholdAge18,"&lt;"&amp;'19_Расчет_аналитики'!BG1572,WeightedRevAge18)-SUMIF(ThresholdAge18,"&lt;"&amp;'19_Расчет_аналитики'!BG1572,WeightedMinAge18),MAX(CapacityAge18*'01_Вводные'!$B$218*'19_Расчет_аналитики'!BG1572,MeanMinAge18)))</f>
        <v/>
      </c>
      <c r="BH1521">
        <f>IF(OR(('19_Расчет_аналитики'!BH1437-'19_Расчет_аналитики'!BH1465)=0,18&lt;='01_Вводные'!$B$297),0,('19_Расчет_аналитики'!BH1437-'19_Расчет_аналитики'!BH1465)*IF('01_Вводные'!$B$239="Да",MeanMinAge18+'19_Расчет_аналитики'!BH1572*SUMIF(ThresholdAge18,"&lt;"&amp;'19_Расчет_аналитики'!BH1572,WeightedRevAge18)-SUMIF(ThresholdAge18,"&lt;"&amp;'19_Расчет_аналитики'!BH1572,WeightedMinAge18),MAX(CapacityAge18*'01_Вводные'!$B$218*'19_Расчет_аналитики'!BH1572,MeanMinAge18)))</f>
        <v/>
      </c>
      <c r="BI1521">
        <f>IF(OR(('19_Расчет_аналитики'!BI1437-'19_Расчет_аналитики'!BI1465)=0,18&lt;='01_Вводные'!$B$297),0,('19_Расчет_аналитики'!BI1437-'19_Расчет_аналитики'!BI1465)*IF('01_Вводные'!$B$239="Да",MeanMinAge18+'19_Расчет_аналитики'!BI1572*SUMIF(ThresholdAge18,"&lt;"&amp;'19_Расчет_аналитики'!BI1572,WeightedRevAge18)-SUMIF(ThresholdAge18,"&lt;"&amp;'19_Расчет_аналитики'!BI1572,WeightedMinAge18),MAX(CapacityAge18*'01_Вводные'!$B$218*'19_Расчет_аналитики'!BI1572,MeanMinAge18)))</f>
        <v/>
      </c>
      <c r="BJ1521">
        <f>IF(OR(('19_Расчет_аналитики'!BJ1437-'19_Расчет_аналитики'!BJ1465)=0,18&lt;='01_Вводные'!$B$297),0,('19_Расчет_аналитики'!BJ1437-'19_Расчет_аналитики'!BJ1465)*IF('01_Вводные'!$B$239="Да",MeanMinAge18+'19_Расчет_аналитики'!BJ1572*SUMIF(ThresholdAge18,"&lt;"&amp;'19_Расчет_аналитики'!BJ1572,WeightedRevAge18)-SUMIF(ThresholdAge18,"&lt;"&amp;'19_Расчет_аналитики'!BJ1572,WeightedMinAge18),MAX(CapacityAge18*'01_Вводные'!$B$218*'19_Расчет_аналитики'!BJ1572,MeanMinAge18)))</f>
        <v/>
      </c>
      <c r="BK1521">
        <f>IF(OR(('19_Расчет_аналитики'!BK1437-'19_Расчет_аналитики'!BK1465)=0,18&lt;='01_Вводные'!$B$297),0,('19_Расчет_аналитики'!BK1437-'19_Расчет_аналитики'!BK1465)*IF('01_Вводные'!$B$239="Да",MeanMinAge18+'19_Расчет_аналитики'!BK1572*SUMIF(ThresholdAge18,"&lt;"&amp;'19_Расчет_аналитики'!BK1572,WeightedRevAge18)-SUMIF(ThresholdAge18,"&lt;"&amp;'19_Расчет_аналитики'!BK1572,WeightedMinAge18),MAX(CapacityAge18*'01_Вводные'!$B$218*'19_Расчет_аналитики'!BK1572,MeanMinAge18)))</f>
        <v/>
      </c>
      <c r="BL1521">
        <f>IF(OR(('19_Расчет_аналитики'!BL1437-'19_Расчет_аналитики'!BL1465)=0,18&lt;='01_Вводные'!$B$297),0,('19_Расчет_аналитики'!BL1437-'19_Расчет_аналитики'!BL1465)*IF('01_Вводные'!$B$239="Да",MeanMinAge18+'19_Расчет_аналитики'!BL1572*SUMIF(ThresholdAge18,"&lt;"&amp;'19_Расчет_аналитики'!BL1572,WeightedRevAge18)-SUMIF(ThresholdAge18,"&lt;"&amp;'19_Расчет_аналитики'!BL1572,WeightedMinAge18),MAX(CapacityAge18*'01_Вводные'!$B$218*'19_Расчет_аналитики'!BL1572,MeanMinAge18)))</f>
        <v/>
      </c>
      <c r="BM1521">
        <f>IF(OR(('19_Расчет_аналитики'!BM1437-'19_Расчет_аналитики'!BM1465)=0,18&lt;='01_Вводные'!$B$297),0,('19_Расчет_аналитики'!BM1437-'19_Расчет_аналитики'!BM1465)*IF('01_Вводные'!$B$239="Да",MeanMinAge18+'19_Расчет_аналитики'!BM1572*SUMIF(ThresholdAge18,"&lt;"&amp;'19_Расчет_аналитики'!BM1572,WeightedRevAge18)-SUMIF(ThresholdAge18,"&lt;"&amp;'19_Расчет_аналитики'!BM1572,WeightedMinAge18),MAX(CapacityAge18*'01_Вводные'!$B$218*'19_Расчет_аналитики'!BM1572,MeanMinAge18)))</f>
        <v/>
      </c>
      <c r="BN1521">
        <f>IF(OR(('19_Расчет_аналитики'!BN1437-'19_Расчет_аналитики'!BN1465)=0,18&lt;='01_Вводные'!$B$297),0,('19_Расчет_аналитики'!BN1437-'19_Расчет_аналитики'!BN1465)*IF('01_Вводные'!$B$239="Да",MeanMinAge18+'19_Расчет_аналитики'!BN1572*SUMIF(ThresholdAge18,"&lt;"&amp;'19_Расчет_аналитики'!BN1572,WeightedRevAge18)-SUMIF(ThresholdAge18,"&lt;"&amp;'19_Расчет_аналитики'!BN1572,WeightedMinAge18),MAX(CapacityAge18*'01_Вводные'!$B$218*'19_Расчет_аналитики'!BN1572,MeanMinAge18)))</f>
        <v/>
      </c>
      <c r="BO1521">
        <f>IF(OR(('19_Расчет_аналитики'!BO1437-'19_Расчет_аналитики'!BO1465)=0,18&lt;='01_Вводные'!$B$297),0,('19_Расчет_аналитики'!BO1437-'19_Расчет_аналитики'!BO1465)*IF('01_Вводные'!$B$239="Да",MeanMinAge18+'19_Расчет_аналитики'!BO1572*SUMIF(ThresholdAge18,"&lt;"&amp;'19_Расчет_аналитики'!BO1572,WeightedRevAge18)-SUMIF(ThresholdAge18,"&lt;"&amp;'19_Расчет_аналитики'!BO1572,WeightedMinAge18),MAX(CapacityAge18*'01_Вводные'!$B$218*'19_Расчет_аналитики'!BO1572,MeanMinAge18)))</f>
        <v/>
      </c>
    </row>
    <row r="1522">
      <c r="B1522">
        <f>IF(OR(('06_Сеть_и_дети'!B71-'06_Сеть_и_дети'!B99)=0,19&lt;='01_Вводные'!$B$297),0,('06_Сеть_и_дети'!B71-'06_Сеть_и_дети'!B99)*IF('01_Вводные'!$B$239="Да",MeanMinAge19+'19_Расчет_аналитики'!B1572*SUMIF(ThresholdAge19,"&lt;"&amp;'19_Расчет_аналитики'!B1572,WeightedRevAge19)-SUMIF(ThresholdAge19,"&lt;"&amp;'19_Расчет_аналитики'!B1572,WeightedMinAge19),MAX(CapacityAge19*'01_Вводные'!$B$218*'19_Расчет_аналитики'!B1572,MeanMinAge19)))</f>
        <v/>
      </c>
      <c r="C1522">
        <f>IF(OR(('06_Сеть_и_дети'!C71-'06_Сеть_и_дети'!C99)=0,19&lt;='01_Вводные'!$B$297),0,('06_Сеть_и_дети'!C71-'06_Сеть_и_дети'!C99)*IF('01_Вводные'!$B$239="Да",MeanMinAge19+'19_Расчет_аналитики'!C1572*SUMIF(ThresholdAge19,"&lt;"&amp;'19_Расчет_аналитики'!C1572,WeightedRevAge19)-SUMIF(ThresholdAge19,"&lt;"&amp;'19_Расчет_аналитики'!C1572,WeightedMinAge19),MAX(CapacityAge19*'01_Вводные'!$B$218*'19_Расчет_аналитики'!C1572,MeanMinAge19)))</f>
        <v/>
      </c>
      <c r="D1522">
        <f>IF(OR(('06_Сеть_и_дети'!D71-'06_Сеть_и_дети'!D99)=0,19&lt;='01_Вводные'!$B$297),0,('06_Сеть_и_дети'!D71-'06_Сеть_и_дети'!D99)*IF('01_Вводные'!$B$239="Да",MeanMinAge19+'19_Расчет_аналитики'!D1572*SUMIF(ThresholdAge19,"&lt;"&amp;'19_Расчет_аналитики'!D1572,WeightedRevAge19)-SUMIF(ThresholdAge19,"&lt;"&amp;'19_Расчет_аналитики'!D1572,WeightedMinAge19),MAX(CapacityAge19*'01_Вводные'!$B$218*'19_Расчет_аналитики'!D1572,MeanMinAge19)))</f>
        <v/>
      </c>
      <c r="E1522">
        <f>IF(OR(('06_Сеть_и_дети'!E71-'06_Сеть_и_дети'!E99)=0,19&lt;='01_Вводные'!$B$297),0,('06_Сеть_и_дети'!E71-'06_Сеть_и_дети'!E99)*IF('01_Вводные'!$B$239="Да",MeanMinAge19+'19_Расчет_аналитики'!E1572*SUMIF(ThresholdAge19,"&lt;"&amp;'19_Расчет_аналитики'!E1572,WeightedRevAge19)-SUMIF(ThresholdAge19,"&lt;"&amp;'19_Расчет_аналитики'!E1572,WeightedMinAge19),MAX(CapacityAge19*'01_Вводные'!$B$218*'19_Расчет_аналитики'!E1572,MeanMinAge19)))</f>
        <v/>
      </c>
      <c r="F1522">
        <f>IF(OR(('06_Сеть_и_дети'!F71-'06_Сеть_и_дети'!F99)=0,19&lt;='01_Вводные'!$B$297),0,('06_Сеть_и_дети'!F71-'06_Сеть_и_дети'!F99)*IF('01_Вводные'!$B$239="Да",MeanMinAge19+'19_Расчет_аналитики'!F1572*SUMIF(ThresholdAge19,"&lt;"&amp;'19_Расчет_аналитики'!F1572,WeightedRevAge19)-SUMIF(ThresholdAge19,"&lt;"&amp;'19_Расчет_аналитики'!F1572,WeightedMinAge19),MAX(CapacityAge19*'01_Вводные'!$B$218*'19_Расчет_аналитики'!F1572,MeanMinAge19)))</f>
        <v/>
      </c>
      <c r="G1522">
        <f>IF(OR(('06_Сеть_и_дети'!G71-'06_Сеть_и_дети'!G99)=0,19&lt;='01_Вводные'!$B$297),0,('06_Сеть_и_дети'!G71-'06_Сеть_и_дети'!G99)*IF('01_Вводные'!$B$239="Да",MeanMinAge19+'19_Расчет_аналитики'!G1572*SUMIF(ThresholdAge19,"&lt;"&amp;'19_Расчет_аналитики'!G1572,WeightedRevAge19)-SUMIF(ThresholdAge19,"&lt;"&amp;'19_Расчет_аналитики'!G1572,WeightedMinAge19),MAX(CapacityAge19*'01_Вводные'!$B$218*'19_Расчет_аналитики'!G1572,MeanMinAge19)))</f>
        <v/>
      </c>
      <c r="H1522">
        <f>IF(OR(('06_Сеть_и_дети'!H71-'06_Сеть_и_дети'!H99)=0,19&lt;='01_Вводные'!$B$297),0,('06_Сеть_и_дети'!H71-'06_Сеть_и_дети'!H99)*IF('01_Вводные'!$B$239="Да",MeanMinAge19+'19_Расчет_аналитики'!H1572*SUMIF(ThresholdAge19,"&lt;"&amp;'19_Расчет_аналитики'!H1572,WeightedRevAge19)-SUMIF(ThresholdAge19,"&lt;"&amp;'19_Расчет_аналитики'!H1572,WeightedMinAge19),MAX(CapacityAge19*'01_Вводные'!$B$218*'19_Расчет_аналитики'!H1572,MeanMinAge19)))</f>
        <v/>
      </c>
      <c r="I1522">
        <f>IF(OR(('06_Сеть_и_дети'!I71-'06_Сеть_и_дети'!I99)=0,19&lt;='01_Вводные'!$B$297),0,('06_Сеть_и_дети'!I71-'06_Сеть_и_дети'!I99)*IF('01_Вводные'!$B$239="Да",MeanMinAge19+'19_Расчет_аналитики'!I1572*SUMIF(ThresholdAge19,"&lt;"&amp;'19_Расчет_аналитики'!I1572,WeightedRevAge19)-SUMIF(ThresholdAge19,"&lt;"&amp;'19_Расчет_аналитики'!I1572,WeightedMinAge19),MAX(CapacityAge19*'01_Вводные'!$B$218*'19_Расчет_аналитики'!I1572,MeanMinAge19)))</f>
        <v/>
      </c>
      <c r="J1522">
        <f>IF(OR(('06_Сеть_и_дети'!J71-'06_Сеть_и_дети'!J99)=0,19&lt;='01_Вводные'!$B$297),0,('06_Сеть_и_дети'!J71-'06_Сеть_и_дети'!J99)*IF('01_Вводные'!$B$239="Да",MeanMinAge19+'19_Расчет_аналитики'!J1572*SUMIF(ThresholdAge19,"&lt;"&amp;'19_Расчет_аналитики'!J1572,WeightedRevAge19)-SUMIF(ThresholdAge19,"&lt;"&amp;'19_Расчет_аналитики'!J1572,WeightedMinAge19),MAX(CapacityAge19*'01_Вводные'!$B$218*'19_Расчет_аналитики'!J1572,MeanMinAge19)))</f>
        <v/>
      </c>
      <c r="K1522">
        <f>IF(OR(('06_Сеть_и_дети'!K71-'06_Сеть_и_дети'!K99)=0,19&lt;='01_Вводные'!$B$297),0,('06_Сеть_и_дети'!K71-'06_Сеть_и_дети'!K99)*IF('01_Вводные'!$B$239="Да",MeanMinAge19+'19_Расчет_аналитики'!K1572*SUMIF(ThresholdAge19,"&lt;"&amp;'19_Расчет_аналитики'!K1572,WeightedRevAge19)-SUMIF(ThresholdAge19,"&lt;"&amp;'19_Расчет_аналитики'!K1572,WeightedMinAge19),MAX(CapacityAge19*'01_Вводные'!$B$218*'19_Расчет_аналитики'!K1572,MeanMinAge19)))</f>
        <v/>
      </c>
      <c r="L1522">
        <f>IF(OR(('06_Сеть_и_дети'!L71-'06_Сеть_и_дети'!L99)=0,19&lt;='01_Вводные'!$B$297),0,('06_Сеть_и_дети'!L71-'06_Сеть_и_дети'!L99)*IF('01_Вводные'!$B$239="Да",MeanMinAge19+'19_Расчет_аналитики'!L1572*SUMIF(ThresholdAge19,"&lt;"&amp;'19_Расчет_аналитики'!L1572,WeightedRevAge19)-SUMIF(ThresholdAge19,"&lt;"&amp;'19_Расчет_аналитики'!L1572,WeightedMinAge19),MAX(CapacityAge19*'01_Вводные'!$B$218*'19_Расчет_аналитики'!L1572,MeanMinAge19)))</f>
        <v/>
      </c>
      <c r="M1522">
        <f>IF(OR(('06_Сеть_и_дети'!M71-'06_Сеть_и_дети'!M99)=0,19&lt;='01_Вводные'!$B$297),0,('06_Сеть_и_дети'!M71-'06_Сеть_и_дети'!M99)*IF('01_Вводные'!$B$239="Да",MeanMinAge19+'19_Расчет_аналитики'!M1572*SUMIF(ThresholdAge19,"&lt;"&amp;'19_Расчет_аналитики'!M1572,WeightedRevAge19)-SUMIF(ThresholdAge19,"&lt;"&amp;'19_Расчет_аналитики'!M1572,WeightedMinAge19),MAX(CapacityAge19*'01_Вводные'!$B$218*'19_Расчет_аналитики'!M1572,MeanMinAge19)))</f>
        <v/>
      </c>
      <c r="N1522">
        <f>IF(OR(('06_Сеть_и_дети'!N71-'06_Сеть_и_дети'!N99)=0,19&lt;='01_Вводные'!$B$297),0,('06_Сеть_и_дети'!N71-'06_Сеть_и_дети'!N99)*IF('01_Вводные'!$B$239="Да",MeanMinAge19+'19_Расчет_аналитики'!N1572*SUMIF(ThresholdAge19,"&lt;"&amp;'19_Расчет_аналитики'!N1572,WeightedRevAge19)-SUMIF(ThresholdAge19,"&lt;"&amp;'19_Расчет_аналитики'!N1572,WeightedMinAge19),MAX(CapacityAge19*'01_Вводные'!$B$218*'19_Расчет_аналитики'!N1572,MeanMinAge19)))</f>
        <v/>
      </c>
      <c r="O1522">
        <f>IF(OR(('06_Сеть_и_дети'!O71-'06_Сеть_и_дети'!O99)=0,19&lt;='01_Вводные'!$B$297),0,('06_Сеть_и_дети'!O71-'06_Сеть_и_дети'!O99)*IF('01_Вводные'!$B$239="Да",MeanMinAge19+'19_Расчет_аналитики'!O1572*SUMIF(ThresholdAge19,"&lt;"&amp;'19_Расчет_аналитики'!O1572,WeightedRevAge19)-SUMIF(ThresholdAge19,"&lt;"&amp;'19_Расчет_аналитики'!O1572,WeightedMinAge19),MAX(CapacityAge19*'01_Вводные'!$B$218*'19_Расчет_аналитики'!O1572,MeanMinAge19)))</f>
        <v/>
      </c>
      <c r="P1522">
        <f>IF(OR(('06_Сеть_и_дети'!P71-'06_Сеть_и_дети'!P99)=0,19&lt;='01_Вводные'!$B$297),0,('06_Сеть_и_дети'!P71-'06_Сеть_и_дети'!P99)*IF('01_Вводные'!$B$239="Да",MeanMinAge19+'19_Расчет_аналитики'!P1572*SUMIF(ThresholdAge19,"&lt;"&amp;'19_Расчет_аналитики'!P1572,WeightedRevAge19)-SUMIF(ThresholdAge19,"&lt;"&amp;'19_Расчет_аналитики'!P1572,WeightedMinAge19),MAX(CapacityAge19*'01_Вводные'!$B$218*'19_Расчет_аналитики'!P1572,MeanMinAge19)))</f>
        <v/>
      </c>
      <c r="Q1522">
        <f>IF(OR(('06_Сеть_и_дети'!Q71-'06_Сеть_и_дети'!Q99)=0,19&lt;='01_Вводные'!$B$297),0,('06_Сеть_и_дети'!Q71-'06_Сеть_и_дети'!Q99)*IF('01_Вводные'!$B$239="Да",MeanMinAge19+'19_Расчет_аналитики'!Q1572*SUMIF(ThresholdAge19,"&lt;"&amp;'19_Расчет_аналитики'!Q1572,WeightedRevAge19)-SUMIF(ThresholdAge19,"&lt;"&amp;'19_Расчет_аналитики'!Q1572,WeightedMinAge19),MAX(CapacityAge19*'01_Вводные'!$B$218*'19_Расчет_аналитики'!Q1572,MeanMinAge19)))</f>
        <v/>
      </c>
      <c r="R1522">
        <f>IF(OR(('06_Сеть_и_дети'!R71-'06_Сеть_и_дети'!R99)=0,19&lt;='01_Вводные'!$B$297),0,('06_Сеть_и_дети'!R71-'06_Сеть_и_дети'!R99)*IF('01_Вводные'!$B$239="Да",MeanMinAge19+'19_Расчет_аналитики'!R1572*SUMIF(ThresholdAge19,"&lt;"&amp;'19_Расчет_аналитики'!R1572,WeightedRevAge19)-SUMIF(ThresholdAge19,"&lt;"&amp;'19_Расчет_аналитики'!R1572,WeightedMinAge19),MAX(CapacityAge19*'01_Вводные'!$B$218*'19_Расчет_аналитики'!R1572,MeanMinAge19)))</f>
        <v/>
      </c>
      <c r="S1522">
        <f>IF(OR(('06_Сеть_и_дети'!S71-'06_Сеть_и_дети'!S99)=0,19&lt;='01_Вводные'!$B$297),0,('06_Сеть_и_дети'!S71-'06_Сеть_и_дети'!S99)*IF('01_Вводные'!$B$239="Да",MeanMinAge19+'19_Расчет_аналитики'!S1572*SUMIF(ThresholdAge19,"&lt;"&amp;'19_Расчет_аналитики'!S1572,WeightedRevAge19)-SUMIF(ThresholdAge19,"&lt;"&amp;'19_Расчет_аналитики'!S1572,WeightedMinAge19),MAX(CapacityAge19*'01_Вводные'!$B$218*'19_Расчет_аналитики'!S1572,MeanMinAge19)))</f>
        <v/>
      </c>
      <c r="T1522">
        <f>IF(OR(('19_Расчет_аналитики'!T1438-'19_Расчет_аналитики'!T1466)=0,19&lt;='01_Вводные'!$B$297),0,('19_Расчет_аналитики'!T1438-'19_Расчет_аналитики'!T1466)*IF('01_Вводные'!$B$239="Да",MeanMinAge19+'19_Расчет_аналитики'!T1572*SUMIF(ThresholdAge19,"&lt;"&amp;'19_Расчет_аналитики'!T1572,WeightedRevAge19)-SUMIF(ThresholdAge19,"&lt;"&amp;'19_Расчет_аналитики'!T1572,WeightedMinAge19),MAX(CapacityAge19*'01_Вводные'!$B$218*'19_Расчет_аналитики'!T1572,MeanMinAge19)))</f>
        <v/>
      </c>
      <c r="U1522">
        <f>IF(OR(('19_Расчет_аналитики'!U1438-'19_Расчет_аналитики'!U1466)=0,19&lt;='01_Вводные'!$B$297),0,('19_Расчет_аналитики'!U1438-'19_Расчет_аналитики'!U1466)*IF('01_Вводные'!$B$239="Да",MeanMinAge19+'19_Расчет_аналитики'!U1572*SUMIF(ThresholdAge19,"&lt;"&amp;'19_Расчет_аналитики'!U1572,WeightedRevAge19)-SUMIF(ThresholdAge19,"&lt;"&amp;'19_Расчет_аналитики'!U1572,WeightedMinAge19),MAX(CapacityAge19*'01_Вводные'!$B$218*'19_Расчет_аналитики'!U1572,MeanMinAge19)))</f>
        <v/>
      </c>
      <c r="V1522">
        <f>IF(OR(('19_Расчет_аналитики'!V1438-'19_Расчет_аналитики'!V1466)=0,19&lt;='01_Вводные'!$B$297),0,('19_Расчет_аналитики'!V1438-'19_Расчет_аналитики'!V1466)*IF('01_Вводные'!$B$239="Да",MeanMinAge19+'19_Расчет_аналитики'!V1572*SUMIF(ThresholdAge19,"&lt;"&amp;'19_Расчет_аналитики'!V1572,WeightedRevAge19)-SUMIF(ThresholdAge19,"&lt;"&amp;'19_Расчет_аналитики'!V1572,WeightedMinAge19),MAX(CapacityAge19*'01_Вводные'!$B$218*'19_Расчет_аналитики'!V1572,MeanMinAge19)))</f>
        <v/>
      </c>
      <c r="W1522">
        <f>IF(OR(('19_Расчет_аналитики'!W1438-'19_Расчет_аналитики'!W1466)=0,19&lt;='01_Вводные'!$B$297),0,('19_Расчет_аналитики'!W1438-'19_Расчет_аналитики'!W1466)*IF('01_Вводные'!$B$239="Да",MeanMinAge19+'19_Расчет_аналитики'!W1572*SUMIF(ThresholdAge19,"&lt;"&amp;'19_Расчет_аналитики'!W1572,WeightedRevAge19)-SUMIF(ThresholdAge19,"&lt;"&amp;'19_Расчет_аналитики'!W1572,WeightedMinAge19),MAX(CapacityAge19*'01_Вводные'!$B$218*'19_Расчет_аналитики'!W1572,MeanMinAge19)))</f>
        <v/>
      </c>
      <c r="X1522">
        <f>IF(OR(('19_Расчет_аналитики'!X1438-'19_Расчет_аналитики'!X1466)=0,19&lt;='01_Вводные'!$B$297),0,('19_Расчет_аналитики'!X1438-'19_Расчет_аналитики'!X1466)*IF('01_Вводные'!$B$239="Да",MeanMinAge19+'19_Расчет_аналитики'!X1572*SUMIF(ThresholdAge19,"&lt;"&amp;'19_Расчет_аналитики'!X1572,WeightedRevAge19)-SUMIF(ThresholdAge19,"&lt;"&amp;'19_Расчет_аналитики'!X1572,WeightedMinAge19),MAX(CapacityAge19*'01_Вводные'!$B$218*'19_Расчет_аналитики'!X1572,MeanMinAge19)))</f>
        <v/>
      </c>
      <c r="Y1522">
        <f>IF(OR(('19_Расчет_аналитики'!Y1438-'19_Расчет_аналитики'!Y1466)=0,19&lt;='01_Вводные'!$B$297),0,('19_Расчет_аналитики'!Y1438-'19_Расчет_аналитики'!Y1466)*IF('01_Вводные'!$B$239="Да",MeanMinAge19+'19_Расчет_аналитики'!Y1572*SUMIF(ThresholdAge19,"&lt;"&amp;'19_Расчет_аналитики'!Y1572,WeightedRevAge19)-SUMIF(ThresholdAge19,"&lt;"&amp;'19_Расчет_аналитики'!Y1572,WeightedMinAge19),MAX(CapacityAge19*'01_Вводные'!$B$218*'19_Расчет_аналитики'!Y1572,MeanMinAge19)))</f>
        <v/>
      </c>
      <c r="Z1522">
        <f>IF(OR(('19_Расчет_аналитики'!Z1438-'19_Расчет_аналитики'!Z1466)=0,19&lt;='01_Вводные'!$B$297),0,('19_Расчет_аналитики'!Z1438-'19_Расчет_аналитики'!Z1466)*IF('01_Вводные'!$B$239="Да",MeanMinAge19+'19_Расчет_аналитики'!Z1572*SUMIF(ThresholdAge19,"&lt;"&amp;'19_Расчет_аналитики'!Z1572,WeightedRevAge19)-SUMIF(ThresholdAge19,"&lt;"&amp;'19_Расчет_аналитики'!Z1572,WeightedMinAge19),MAX(CapacityAge19*'01_Вводные'!$B$218*'19_Расчет_аналитики'!Z1572,MeanMinAge19)))</f>
        <v/>
      </c>
      <c r="AA1522">
        <f>IF(OR(('19_Расчет_аналитики'!AA1438-'19_Расчет_аналитики'!AA1466)=0,19&lt;='01_Вводные'!$B$297),0,('19_Расчет_аналитики'!AA1438-'19_Расчет_аналитики'!AA1466)*IF('01_Вводные'!$B$239="Да",MeanMinAge19+'19_Расчет_аналитики'!AA1572*SUMIF(ThresholdAge19,"&lt;"&amp;'19_Расчет_аналитики'!AA1572,WeightedRevAge19)-SUMIF(ThresholdAge19,"&lt;"&amp;'19_Расчет_аналитики'!AA1572,WeightedMinAge19),MAX(CapacityAge19*'01_Вводные'!$B$218*'19_Расчет_аналитики'!AA1572,MeanMinAge19)))</f>
        <v/>
      </c>
      <c r="AB1522">
        <f>IF(OR(('19_Расчет_аналитики'!AB1438-'19_Расчет_аналитики'!AB1466)=0,19&lt;='01_Вводные'!$B$297),0,('19_Расчет_аналитики'!AB1438-'19_Расчет_аналитики'!AB1466)*IF('01_Вводные'!$B$239="Да",MeanMinAge19+'19_Расчет_аналитики'!AB1572*SUMIF(ThresholdAge19,"&lt;"&amp;'19_Расчет_аналитики'!AB1572,WeightedRevAge19)-SUMIF(ThresholdAge19,"&lt;"&amp;'19_Расчет_аналитики'!AB1572,WeightedMinAge19),MAX(CapacityAge19*'01_Вводные'!$B$218*'19_Расчет_аналитики'!AB1572,MeanMinAge19)))</f>
        <v/>
      </c>
      <c r="AC1522">
        <f>IF(OR(('19_Расчет_аналитики'!AC1438-'19_Расчет_аналитики'!AC1466)=0,19&lt;='01_Вводные'!$B$297),0,('19_Расчет_аналитики'!AC1438-'19_Расчет_аналитики'!AC1466)*IF('01_Вводные'!$B$239="Да",MeanMinAge19+'19_Расчет_аналитики'!AC1572*SUMIF(ThresholdAge19,"&lt;"&amp;'19_Расчет_аналитики'!AC1572,WeightedRevAge19)-SUMIF(ThresholdAge19,"&lt;"&amp;'19_Расчет_аналитики'!AC1572,WeightedMinAge19),MAX(CapacityAge19*'01_Вводные'!$B$218*'19_Расчет_аналитики'!AC1572,MeanMinAge19)))</f>
        <v/>
      </c>
      <c r="AD1522">
        <f>IF(OR(('19_Расчет_аналитики'!AD1438-'19_Расчет_аналитики'!AD1466)=0,19&lt;='01_Вводные'!$B$297),0,('19_Расчет_аналитики'!AD1438-'19_Расчет_аналитики'!AD1466)*IF('01_Вводные'!$B$239="Да",MeanMinAge19+'19_Расчет_аналитики'!AD1572*SUMIF(ThresholdAge19,"&lt;"&amp;'19_Расчет_аналитики'!AD1572,WeightedRevAge19)-SUMIF(ThresholdAge19,"&lt;"&amp;'19_Расчет_аналитики'!AD1572,WeightedMinAge19),MAX(CapacityAge19*'01_Вводные'!$B$218*'19_Расчет_аналитики'!AD1572,MeanMinAge19)))</f>
        <v/>
      </c>
      <c r="AE1522">
        <f>IF(OR(('19_Расчет_аналитики'!AE1438-'19_Расчет_аналитики'!AE1466)=0,19&lt;='01_Вводные'!$B$297),0,('19_Расчет_аналитики'!AE1438-'19_Расчет_аналитики'!AE1466)*IF('01_Вводные'!$B$239="Да",MeanMinAge19+'19_Расчет_аналитики'!AE1572*SUMIF(ThresholdAge19,"&lt;"&amp;'19_Расчет_аналитики'!AE1572,WeightedRevAge19)-SUMIF(ThresholdAge19,"&lt;"&amp;'19_Расчет_аналитики'!AE1572,WeightedMinAge19),MAX(CapacityAge19*'01_Вводные'!$B$218*'19_Расчет_аналитики'!AE1572,MeanMinAge19)))</f>
        <v/>
      </c>
      <c r="AF1522">
        <f>IF(OR(('19_Расчет_аналитики'!AF1438-'19_Расчет_аналитики'!AF1466)=0,19&lt;='01_Вводные'!$B$297),0,('19_Расчет_аналитики'!AF1438-'19_Расчет_аналитики'!AF1466)*IF('01_Вводные'!$B$239="Да",MeanMinAge19+'19_Расчет_аналитики'!AF1572*SUMIF(ThresholdAge19,"&lt;"&amp;'19_Расчет_аналитики'!AF1572,WeightedRevAge19)-SUMIF(ThresholdAge19,"&lt;"&amp;'19_Расчет_аналитики'!AF1572,WeightedMinAge19),MAX(CapacityAge19*'01_Вводные'!$B$218*'19_Расчет_аналитики'!AF1572,MeanMinAge19)))</f>
        <v/>
      </c>
      <c r="AG1522">
        <f>IF(OR(('19_Расчет_аналитики'!AG1438-'19_Расчет_аналитики'!AG1466)=0,19&lt;='01_Вводные'!$B$297),0,('19_Расчет_аналитики'!AG1438-'19_Расчет_аналитики'!AG1466)*IF('01_Вводные'!$B$239="Да",MeanMinAge19+'19_Расчет_аналитики'!AG1572*SUMIF(ThresholdAge19,"&lt;"&amp;'19_Расчет_аналитики'!AG1572,WeightedRevAge19)-SUMIF(ThresholdAge19,"&lt;"&amp;'19_Расчет_аналитики'!AG1572,WeightedMinAge19),MAX(CapacityAge19*'01_Вводные'!$B$218*'19_Расчет_аналитики'!AG1572,MeanMinAge19)))</f>
        <v/>
      </c>
      <c r="AH1522">
        <f>IF(OR(('19_Расчет_аналитики'!AH1438-'19_Расчет_аналитики'!AH1466)=0,19&lt;='01_Вводные'!$B$297),0,('19_Расчет_аналитики'!AH1438-'19_Расчет_аналитики'!AH1466)*IF('01_Вводные'!$B$239="Да",MeanMinAge19+'19_Расчет_аналитики'!AH1572*SUMIF(ThresholdAge19,"&lt;"&amp;'19_Расчет_аналитики'!AH1572,WeightedRevAge19)-SUMIF(ThresholdAge19,"&lt;"&amp;'19_Расчет_аналитики'!AH1572,WeightedMinAge19),MAX(CapacityAge19*'01_Вводные'!$B$218*'19_Расчет_аналитики'!AH1572,MeanMinAge19)))</f>
        <v/>
      </c>
      <c r="AI1522">
        <f>IF(OR(('19_Расчет_аналитики'!AI1438-'19_Расчет_аналитики'!AI1466)=0,19&lt;='01_Вводные'!$B$297),0,('19_Расчет_аналитики'!AI1438-'19_Расчет_аналитики'!AI1466)*IF('01_Вводные'!$B$239="Да",MeanMinAge19+'19_Расчет_аналитики'!AI1572*SUMIF(ThresholdAge19,"&lt;"&amp;'19_Расчет_аналитики'!AI1572,WeightedRevAge19)-SUMIF(ThresholdAge19,"&lt;"&amp;'19_Расчет_аналитики'!AI1572,WeightedMinAge19),MAX(CapacityAge19*'01_Вводные'!$B$218*'19_Расчет_аналитики'!AI1572,MeanMinAge19)))</f>
        <v/>
      </c>
      <c r="AJ1522">
        <f>IF(OR(('19_Расчет_аналитики'!AJ1438-'19_Расчет_аналитики'!AJ1466)=0,19&lt;='01_Вводные'!$B$297),0,('19_Расчет_аналитики'!AJ1438-'19_Расчет_аналитики'!AJ1466)*IF('01_Вводные'!$B$239="Да",MeanMinAge19+'19_Расчет_аналитики'!AJ1572*SUMIF(ThresholdAge19,"&lt;"&amp;'19_Расчет_аналитики'!AJ1572,WeightedRevAge19)-SUMIF(ThresholdAge19,"&lt;"&amp;'19_Расчет_аналитики'!AJ1572,WeightedMinAge19),MAX(CapacityAge19*'01_Вводные'!$B$218*'19_Расчет_аналитики'!AJ1572,MeanMinAge19)))</f>
        <v/>
      </c>
      <c r="AK1522">
        <f>IF(OR(('19_Расчет_аналитики'!AK1438-'19_Расчет_аналитики'!AK1466)=0,19&lt;='01_Вводные'!$B$297),0,('19_Расчет_аналитики'!AK1438-'19_Расчет_аналитики'!AK1466)*IF('01_Вводные'!$B$239="Да",MeanMinAge19+'19_Расчет_аналитики'!AK1572*SUMIF(ThresholdAge19,"&lt;"&amp;'19_Расчет_аналитики'!AK1572,WeightedRevAge19)-SUMIF(ThresholdAge19,"&lt;"&amp;'19_Расчет_аналитики'!AK1572,WeightedMinAge19),MAX(CapacityAge19*'01_Вводные'!$B$218*'19_Расчет_аналитики'!AK1572,MeanMinAge19)))</f>
        <v/>
      </c>
      <c r="AL1522">
        <f>IF(OR(('19_Расчет_аналитики'!AL1438-'19_Расчет_аналитики'!AL1466)=0,19&lt;='01_Вводные'!$B$297),0,('19_Расчет_аналитики'!AL1438-'19_Расчет_аналитики'!AL1466)*IF('01_Вводные'!$B$239="Да",MeanMinAge19+'19_Расчет_аналитики'!AL1572*SUMIF(ThresholdAge19,"&lt;"&amp;'19_Расчет_аналитики'!AL1572,WeightedRevAge19)-SUMIF(ThresholdAge19,"&lt;"&amp;'19_Расчет_аналитики'!AL1572,WeightedMinAge19),MAX(CapacityAge19*'01_Вводные'!$B$218*'19_Расчет_аналитики'!AL1572,MeanMinAge19)))</f>
        <v/>
      </c>
      <c r="AM1522">
        <f>IF(OR(('19_Расчет_аналитики'!AM1438-'19_Расчет_аналитики'!AM1466)=0,19&lt;='01_Вводные'!$B$297),0,('19_Расчет_аналитики'!AM1438-'19_Расчет_аналитики'!AM1466)*IF('01_Вводные'!$B$239="Да",MeanMinAge19+'19_Расчет_аналитики'!AM1572*SUMIF(ThresholdAge19,"&lt;"&amp;'19_Расчет_аналитики'!AM1572,WeightedRevAge19)-SUMIF(ThresholdAge19,"&lt;"&amp;'19_Расчет_аналитики'!AM1572,WeightedMinAge19),MAX(CapacityAge19*'01_Вводные'!$B$218*'19_Расчет_аналитики'!AM1572,MeanMinAge19)))</f>
        <v/>
      </c>
      <c r="AN1522">
        <f>IF(OR(('19_Расчет_аналитики'!AN1438-'19_Расчет_аналитики'!AN1466)=0,19&lt;='01_Вводные'!$B$297),0,('19_Расчет_аналитики'!AN1438-'19_Расчет_аналитики'!AN1466)*IF('01_Вводные'!$B$239="Да",MeanMinAge19+'19_Расчет_аналитики'!AN1572*SUMIF(ThresholdAge19,"&lt;"&amp;'19_Расчет_аналитики'!AN1572,WeightedRevAge19)-SUMIF(ThresholdAge19,"&lt;"&amp;'19_Расчет_аналитики'!AN1572,WeightedMinAge19),MAX(CapacityAge19*'01_Вводные'!$B$218*'19_Расчет_аналитики'!AN1572,MeanMinAge19)))</f>
        <v/>
      </c>
      <c r="AO1522">
        <f>IF(OR(('19_Расчет_аналитики'!AO1438-'19_Расчет_аналитики'!AO1466)=0,19&lt;='01_Вводные'!$B$297),0,('19_Расчет_аналитики'!AO1438-'19_Расчет_аналитики'!AO1466)*IF('01_Вводные'!$B$239="Да",MeanMinAge19+'19_Расчет_аналитики'!AO1572*SUMIF(ThresholdAge19,"&lt;"&amp;'19_Расчет_аналитики'!AO1572,WeightedRevAge19)-SUMIF(ThresholdAge19,"&lt;"&amp;'19_Расчет_аналитики'!AO1572,WeightedMinAge19),MAX(CapacityAge19*'01_Вводные'!$B$218*'19_Расчет_аналитики'!AO1572,MeanMinAge19)))</f>
        <v/>
      </c>
      <c r="AP1522">
        <f>IF(OR(('19_Расчет_аналитики'!AP1438-'19_Расчет_аналитики'!AP1466)=0,19&lt;='01_Вводные'!$B$297),0,('19_Расчет_аналитики'!AP1438-'19_Расчет_аналитики'!AP1466)*IF('01_Вводные'!$B$239="Да",MeanMinAge19+'19_Расчет_аналитики'!AP1572*SUMIF(ThresholdAge19,"&lt;"&amp;'19_Расчет_аналитики'!AP1572,WeightedRevAge19)-SUMIF(ThresholdAge19,"&lt;"&amp;'19_Расчет_аналитики'!AP1572,WeightedMinAge19),MAX(CapacityAge19*'01_Вводные'!$B$218*'19_Расчет_аналитики'!AP1572,MeanMinAge19)))</f>
        <v/>
      </c>
      <c r="AQ1522">
        <f>IF(OR(('19_Расчет_аналитики'!AQ1438-'19_Расчет_аналитики'!AQ1466)=0,19&lt;='01_Вводные'!$B$297),0,('19_Расчет_аналитики'!AQ1438-'19_Расчет_аналитики'!AQ1466)*IF('01_Вводные'!$B$239="Да",MeanMinAge19+'19_Расчет_аналитики'!AQ1572*SUMIF(ThresholdAge19,"&lt;"&amp;'19_Расчет_аналитики'!AQ1572,WeightedRevAge19)-SUMIF(ThresholdAge19,"&lt;"&amp;'19_Расчет_аналитики'!AQ1572,WeightedMinAge19),MAX(CapacityAge19*'01_Вводные'!$B$218*'19_Расчет_аналитики'!AQ1572,MeanMinAge19)))</f>
        <v/>
      </c>
      <c r="AR1522">
        <f>IF(OR(('19_Расчет_аналитики'!AR1438-'19_Расчет_аналитики'!AR1466)=0,19&lt;='01_Вводные'!$B$297),0,('19_Расчет_аналитики'!AR1438-'19_Расчет_аналитики'!AR1466)*IF('01_Вводные'!$B$239="Да",MeanMinAge19+'19_Расчет_аналитики'!AR1572*SUMIF(ThresholdAge19,"&lt;"&amp;'19_Расчет_аналитики'!AR1572,WeightedRevAge19)-SUMIF(ThresholdAge19,"&lt;"&amp;'19_Расчет_аналитики'!AR1572,WeightedMinAge19),MAX(CapacityAge19*'01_Вводные'!$B$218*'19_Расчет_аналитики'!AR1572,MeanMinAge19)))</f>
        <v/>
      </c>
      <c r="AS1522">
        <f>IF(OR(('19_Расчет_аналитики'!AS1438-'19_Расчет_аналитики'!AS1466)=0,19&lt;='01_Вводные'!$B$297),0,('19_Расчет_аналитики'!AS1438-'19_Расчет_аналитики'!AS1466)*IF('01_Вводные'!$B$239="Да",MeanMinAge19+'19_Расчет_аналитики'!AS1572*SUMIF(ThresholdAge19,"&lt;"&amp;'19_Расчет_аналитики'!AS1572,WeightedRevAge19)-SUMIF(ThresholdAge19,"&lt;"&amp;'19_Расчет_аналитики'!AS1572,WeightedMinAge19),MAX(CapacityAge19*'01_Вводные'!$B$218*'19_Расчет_аналитики'!AS1572,MeanMinAge19)))</f>
        <v/>
      </c>
      <c r="AT1522">
        <f>IF(OR(('19_Расчет_аналитики'!AT1438-'19_Расчет_аналитики'!AT1466)=0,19&lt;='01_Вводные'!$B$297),0,('19_Расчет_аналитики'!AT1438-'19_Расчет_аналитики'!AT1466)*IF('01_Вводные'!$B$239="Да",MeanMinAge19+'19_Расчет_аналитики'!AT1572*SUMIF(ThresholdAge19,"&lt;"&amp;'19_Расчет_аналитики'!AT1572,WeightedRevAge19)-SUMIF(ThresholdAge19,"&lt;"&amp;'19_Расчет_аналитики'!AT1572,WeightedMinAge19),MAX(CapacityAge19*'01_Вводные'!$B$218*'19_Расчет_аналитики'!AT1572,MeanMinAge19)))</f>
        <v/>
      </c>
      <c r="AU1522">
        <f>IF(OR(('19_Расчет_аналитики'!AU1438-'19_Расчет_аналитики'!AU1466)=0,19&lt;='01_Вводные'!$B$297),0,('19_Расчет_аналитики'!AU1438-'19_Расчет_аналитики'!AU1466)*IF('01_Вводные'!$B$239="Да",MeanMinAge19+'19_Расчет_аналитики'!AU1572*SUMIF(ThresholdAge19,"&lt;"&amp;'19_Расчет_аналитики'!AU1572,WeightedRevAge19)-SUMIF(ThresholdAge19,"&lt;"&amp;'19_Расчет_аналитики'!AU1572,WeightedMinAge19),MAX(CapacityAge19*'01_Вводные'!$B$218*'19_Расчет_аналитики'!AU1572,MeanMinAge19)))</f>
        <v/>
      </c>
      <c r="AV1522">
        <f>IF(OR(('19_Расчет_аналитики'!AV1438-'19_Расчет_аналитики'!AV1466)=0,19&lt;='01_Вводные'!$B$297),0,('19_Расчет_аналитики'!AV1438-'19_Расчет_аналитики'!AV1466)*IF('01_Вводные'!$B$239="Да",MeanMinAge19+'19_Расчет_аналитики'!AV1572*SUMIF(ThresholdAge19,"&lt;"&amp;'19_Расчет_аналитики'!AV1572,WeightedRevAge19)-SUMIF(ThresholdAge19,"&lt;"&amp;'19_Расчет_аналитики'!AV1572,WeightedMinAge19),MAX(CapacityAge19*'01_Вводные'!$B$218*'19_Расчет_аналитики'!AV1572,MeanMinAge19)))</f>
        <v/>
      </c>
      <c r="AW1522">
        <f>IF(OR(('19_Расчет_аналитики'!AW1438-'19_Расчет_аналитики'!AW1466)=0,19&lt;='01_Вводные'!$B$297),0,('19_Расчет_аналитики'!AW1438-'19_Расчет_аналитики'!AW1466)*IF('01_Вводные'!$B$239="Да",MeanMinAge19+'19_Расчет_аналитики'!AW1572*SUMIF(ThresholdAge19,"&lt;"&amp;'19_Расчет_аналитики'!AW1572,WeightedRevAge19)-SUMIF(ThresholdAge19,"&lt;"&amp;'19_Расчет_аналитики'!AW1572,WeightedMinAge19),MAX(CapacityAge19*'01_Вводные'!$B$218*'19_Расчет_аналитики'!AW1572,MeanMinAge19)))</f>
        <v/>
      </c>
      <c r="AX1522">
        <f>IF(OR(('19_Расчет_аналитики'!AX1438-'19_Расчет_аналитики'!AX1466)=0,19&lt;='01_Вводные'!$B$297),0,('19_Расчет_аналитики'!AX1438-'19_Расчет_аналитики'!AX1466)*IF('01_Вводные'!$B$239="Да",MeanMinAge19+'19_Расчет_аналитики'!AX1572*SUMIF(ThresholdAge19,"&lt;"&amp;'19_Расчет_аналитики'!AX1572,WeightedRevAge19)-SUMIF(ThresholdAge19,"&lt;"&amp;'19_Расчет_аналитики'!AX1572,WeightedMinAge19),MAX(CapacityAge19*'01_Вводные'!$B$218*'19_Расчет_аналитики'!AX1572,MeanMinAge19)))</f>
        <v/>
      </c>
      <c r="AY1522">
        <f>IF(OR(('19_Расчет_аналитики'!AY1438-'19_Расчет_аналитики'!AY1466)=0,19&lt;='01_Вводные'!$B$297),0,('19_Расчет_аналитики'!AY1438-'19_Расчет_аналитики'!AY1466)*IF('01_Вводные'!$B$239="Да",MeanMinAge19+'19_Расчет_аналитики'!AY1572*SUMIF(ThresholdAge19,"&lt;"&amp;'19_Расчет_аналитики'!AY1572,WeightedRevAge19)-SUMIF(ThresholdAge19,"&lt;"&amp;'19_Расчет_аналитики'!AY1572,WeightedMinAge19),MAX(CapacityAge19*'01_Вводные'!$B$218*'19_Расчет_аналитики'!AY1572,MeanMinAge19)))</f>
        <v/>
      </c>
      <c r="AZ1522">
        <f>IF(OR(('19_Расчет_аналитики'!AZ1438-'19_Расчет_аналитики'!AZ1466)=0,19&lt;='01_Вводные'!$B$297),0,('19_Расчет_аналитики'!AZ1438-'19_Расчет_аналитики'!AZ1466)*IF('01_Вводные'!$B$239="Да",MeanMinAge19+'19_Расчет_аналитики'!AZ1572*SUMIF(ThresholdAge19,"&lt;"&amp;'19_Расчет_аналитики'!AZ1572,WeightedRevAge19)-SUMIF(ThresholdAge19,"&lt;"&amp;'19_Расчет_аналитики'!AZ1572,WeightedMinAge19),MAX(CapacityAge19*'01_Вводные'!$B$218*'19_Расчет_аналитики'!AZ1572,MeanMinAge19)))</f>
        <v/>
      </c>
      <c r="BA1522">
        <f>IF(OR(('19_Расчет_аналитики'!BA1438-'19_Расчет_аналитики'!BA1466)=0,19&lt;='01_Вводные'!$B$297),0,('19_Расчет_аналитики'!BA1438-'19_Расчет_аналитики'!BA1466)*IF('01_Вводные'!$B$239="Да",MeanMinAge19+'19_Расчет_аналитики'!BA1572*SUMIF(ThresholdAge19,"&lt;"&amp;'19_Расчет_аналитики'!BA1572,WeightedRevAge19)-SUMIF(ThresholdAge19,"&lt;"&amp;'19_Расчет_аналитики'!BA1572,WeightedMinAge19),MAX(CapacityAge19*'01_Вводные'!$B$218*'19_Расчет_аналитики'!BA1572,MeanMinAge19)))</f>
        <v/>
      </c>
      <c r="BB1522">
        <f>IF(OR(('19_Расчет_аналитики'!BB1438-'19_Расчет_аналитики'!BB1466)=0,19&lt;='01_Вводные'!$B$297),0,('19_Расчет_аналитики'!BB1438-'19_Расчет_аналитики'!BB1466)*IF('01_Вводные'!$B$239="Да",MeanMinAge19+'19_Расчет_аналитики'!BB1572*SUMIF(ThresholdAge19,"&lt;"&amp;'19_Расчет_аналитики'!BB1572,WeightedRevAge19)-SUMIF(ThresholdAge19,"&lt;"&amp;'19_Расчет_аналитики'!BB1572,WeightedMinAge19),MAX(CapacityAge19*'01_Вводные'!$B$218*'19_Расчет_аналитики'!BB1572,MeanMinAge19)))</f>
        <v/>
      </c>
      <c r="BC1522">
        <f>IF(OR(('19_Расчет_аналитики'!BC1438-'19_Расчет_аналитики'!BC1466)=0,19&lt;='01_Вводные'!$B$297),0,('19_Расчет_аналитики'!BC1438-'19_Расчет_аналитики'!BC1466)*IF('01_Вводные'!$B$239="Да",MeanMinAge19+'19_Расчет_аналитики'!BC1572*SUMIF(ThresholdAge19,"&lt;"&amp;'19_Расчет_аналитики'!BC1572,WeightedRevAge19)-SUMIF(ThresholdAge19,"&lt;"&amp;'19_Расчет_аналитики'!BC1572,WeightedMinAge19),MAX(CapacityAge19*'01_Вводные'!$B$218*'19_Расчет_аналитики'!BC1572,MeanMinAge19)))</f>
        <v/>
      </c>
      <c r="BD1522">
        <f>IF(OR(('19_Расчет_аналитики'!BD1438-'19_Расчет_аналитики'!BD1466)=0,19&lt;='01_Вводные'!$B$297),0,('19_Расчет_аналитики'!BD1438-'19_Расчет_аналитики'!BD1466)*IF('01_Вводные'!$B$239="Да",MeanMinAge19+'19_Расчет_аналитики'!BD1572*SUMIF(ThresholdAge19,"&lt;"&amp;'19_Расчет_аналитики'!BD1572,WeightedRevAge19)-SUMIF(ThresholdAge19,"&lt;"&amp;'19_Расчет_аналитики'!BD1572,WeightedMinAge19),MAX(CapacityAge19*'01_Вводные'!$B$218*'19_Расчет_аналитики'!BD1572,MeanMinAge19)))</f>
        <v/>
      </c>
      <c r="BE1522">
        <f>IF(OR(('19_Расчет_аналитики'!BE1438-'19_Расчет_аналитики'!BE1466)=0,19&lt;='01_Вводные'!$B$297),0,('19_Расчет_аналитики'!BE1438-'19_Расчет_аналитики'!BE1466)*IF('01_Вводные'!$B$239="Да",MeanMinAge19+'19_Расчет_аналитики'!BE1572*SUMIF(ThresholdAge19,"&lt;"&amp;'19_Расчет_аналитики'!BE1572,WeightedRevAge19)-SUMIF(ThresholdAge19,"&lt;"&amp;'19_Расчет_аналитики'!BE1572,WeightedMinAge19),MAX(CapacityAge19*'01_Вводные'!$B$218*'19_Расчет_аналитики'!BE1572,MeanMinAge19)))</f>
        <v/>
      </c>
      <c r="BF1522">
        <f>IF(OR(('19_Расчет_аналитики'!BF1438-'19_Расчет_аналитики'!BF1466)=0,19&lt;='01_Вводные'!$B$297),0,('19_Расчет_аналитики'!BF1438-'19_Расчет_аналитики'!BF1466)*IF('01_Вводные'!$B$239="Да",MeanMinAge19+'19_Расчет_аналитики'!BF1572*SUMIF(ThresholdAge19,"&lt;"&amp;'19_Расчет_аналитики'!BF1572,WeightedRevAge19)-SUMIF(ThresholdAge19,"&lt;"&amp;'19_Расчет_аналитики'!BF1572,WeightedMinAge19),MAX(CapacityAge19*'01_Вводные'!$B$218*'19_Расчет_аналитики'!BF1572,MeanMinAge19)))</f>
        <v/>
      </c>
      <c r="BG1522">
        <f>IF(OR(('19_Расчет_аналитики'!BG1438-'19_Расчет_аналитики'!BG1466)=0,19&lt;='01_Вводные'!$B$297),0,('19_Расчет_аналитики'!BG1438-'19_Расчет_аналитики'!BG1466)*IF('01_Вводные'!$B$239="Да",MeanMinAge19+'19_Расчет_аналитики'!BG1572*SUMIF(ThresholdAge19,"&lt;"&amp;'19_Расчет_аналитики'!BG1572,WeightedRevAge19)-SUMIF(ThresholdAge19,"&lt;"&amp;'19_Расчет_аналитики'!BG1572,WeightedMinAge19),MAX(CapacityAge19*'01_Вводные'!$B$218*'19_Расчет_аналитики'!BG1572,MeanMinAge19)))</f>
        <v/>
      </c>
      <c r="BH1522">
        <f>IF(OR(('19_Расчет_аналитики'!BH1438-'19_Расчет_аналитики'!BH1466)=0,19&lt;='01_Вводные'!$B$297),0,('19_Расчет_аналитики'!BH1438-'19_Расчет_аналитики'!BH1466)*IF('01_Вводные'!$B$239="Да",MeanMinAge19+'19_Расчет_аналитики'!BH1572*SUMIF(ThresholdAge19,"&lt;"&amp;'19_Расчет_аналитики'!BH1572,WeightedRevAge19)-SUMIF(ThresholdAge19,"&lt;"&amp;'19_Расчет_аналитики'!BH1572,WeightedMinAge19),MAX(CapacityAge19*'01_Вводные'!$B$218*'19_Расчет_аналитики'!BH1572,MeanMinAge19)))</f>
        <v/>
      </c>
      <c r="BI1522">
        <f>IF(OR(('19_Расчет_аналитики'!BI1438-'19_Расчет_аналитики'!BI1466)=0,19&lt;='01_Вводные'!$B$297),0,('19_Расчет_аналитики'!BI1438-'19_Расчет_аналитики'!BI1466)*IF('01_Вводные'!$B$239="Да",MeanMinAge19+'19_Расчет_аналитики'!BI1572*SUMIF(ThresholdAge19,"&lt;"&amp;'19_Расчет_аналитики'!BI1572,WeightedRevAge19)-SUMIF(ThresholdAge19,"&lt;"&amp;'19_Расчет_аналитики'!BI1572,WeightedMinAge19),MAX(CapacityAge19*'01_Вводные'!$B$218*'19_Расчет_аналитики'!BI1572,MeanMinAge19)))</f>
        <v/>
      </c>
      <c r="BJ1522">
        <f>IF(OR(('19_Расчет_аналитики'!BJ1438-'19_Расчет_аналитики'!BJ1466)=0,19&lt;='01_Вводные'!$B$297),0,('19_Расчет_аналитики'!BJ1438-'19_Расчет_аналитики'!BJ1466)*IF('01_Вводные'!$B$239="Да",MeanMinAge19+'19_Расчет_аналитики'!BJ1572*SUMIF(ThresholdAge19,"&lt;"&amp;'19_Расчет_аналитики'!BJ1572,WeightedRevAge19)-SUMIF(ThresholdAge19,"&lt;"&amp;'19_Расчет_аналитики'!BJ1572,WeightedMinAge19),MAX(CapacityAge19*'01_Вводные'!$B$218*'19_Расчет_аналитики'!BJ1572,MeanMinAge19)))</f>
        <v/>
      </c>
      <c r="BK1522">
        <f>IF(OR(('19_Расчет_аналитики'!BK1438-'19_Расчет_аналитики'!BK1466)=0,19&lt;='01_Вводные'!$B$297),0,('19_Расчет_аналитики'!BK1438-'19_Расчет_аналитики'!BK1466)*IF('01_Вводные'!$B$239="Да",MeanMinAge19+'19_Расчет_аналитики'!BK1572*SUMIF(ThresholdAge19,"&lt;"&amp;'19_Расчет_аналитики'!BK1572,WeightedRevAge19)-SUMIF(ThresholdAge19,"&lt;"&amp;'19_Расчет_аналитики'!BK1572,WeightedMinAge19),MAX(CapacityAge19*'01_Вводные'!$B$218*'19_Расчет_аналитики'!BK1572,MeanMinAge19)))</f>
        <v/>
      </c>
      <c r="BL1522">
        <f>IF(OR(('19_Расчет_аналитики'!BL1438-'19_Расчет_аналитики'!BL1466)=0,19&lt;='01_Вводные'!$B$297),0,('19_Расчет_аналитики'!BL1438-'19_Расчет_аналитики'!BL1466)*IF('01_Вводные'!$B$239="Да",MeanMinAge19+'19_Расчет_аналитики'!BL1572*SUMIF(ThresholdAge19,"&lt;"&amp;'19_Расчет_аналитики'!BL1572,WeightedRevAge19)-SUMIF(ThresholdAge19,"&lt;"&amp;'19_Расчет_аналитики'!BL1572,WeightedMinAge19),MAX(CapacityAge19*'01_Вводные'!$B$218*'19_Расчет_аналитики'!BL1572,MeanMinAge19)))</f>
        <v/>
      </c>
      <c r="BM1522">
        <f>IF(OR(('19_Расчет_аналитики'!BM1438-'19_Расчет_аналитики'!BM1466)=0,19&lt;='01_Вводные'!$B$297),0,('19_Расчет_аналитики'!BM1438-'19_Расчет_аналитики'!BM1466)*IF('01_Вводные'!$B$239="Да",MeanMinAge19+'19_Расчет_аналитики'!BM1572*SUMIF(ThresholdAge19,"&lt;"&amp;'19_Расчет_аналитики'!BM1572,WeightedRevAge19)-SUMIF(ThresholdAge19,"&lt;"&amp;'19_Расчет_аналитики'!BM1572,WeightedMinAge19),MAX(CapacityAge19*'01_Вводные'!$B$218*'19_Расчет_аналитики'!BM1572,MeanMinAge19)))</f>
        <v/>
      </c>
      <c r="BN1522">
        <f>IF(OR(('19_Расчет_аналитики'!BN1438-'19_Расчет_аналитики'!BN1466)=0,19&lt;='01_Вводные'!$B$297),0,('19_Расчет_аналитики'!BN1438-'19_Расчет_аналитики'!BN1466)*IF('01_Вводные'!$B$239="Да",MeanMinAge19+'19_Расчет_аналитики'!BN1572*SUMIF(ThresholdAge19,"&lt;"&amp;'19_Расчет_аналитики'!BN1572,WeightedRevAge19)-SUMIF(ThresholdAge19,"&lt;"&amp;'19_Расчет_аналитики'!BN1572,WeightedMinAge19),MAX(CapacityAge19*'01_Вводные'!$B$218*'19_Расчет_аналитики'!BN1572,MeanMinAge19)))</f>
        <v/>
      </c>
      <c r="BO1522">
        <f>IF(OR(('19_Расчет_аналитики'!BO1438-'19_Расчет_аналитики'!BO1466)=0,19&lt;='01_Вводные'!$B$297),0,('19_Расчет_аналитики'!BO1438-'19_Расчет_аналитики'!BO1466)*IF('01_Вводные'!$B$239="Да",MeanMinAge19+'19_Расчет_аналитики'!BO1572*SUMIF(ThresholdAge19,"&lt;"&amp;'19_Расчет_аналитики'!BO1572,WeightedRevAge19)-SUMIF(ThresholdAge19,"&lt;"&amp;'19_Расчет_аналитики'!BO1572,WeightedMinAge19),MAX(CapacityAge19*'01_Вводные'!$B$218*'19_Расчет_аналитики'!BO1572,MeanMinAge19)))</f>
        <v/>
      </c>
    </row>
    <row r="1523">
      <c r="B1523">
        <f>IF(OR(('06_Сеть_и_дети'!B72-'06_Сеть_и_дети'!B100)=0,20&lt;='01_Вводные'!$B$297),0,('06_Сеть_и_дети'!B72-'06_Сеть_и_дети'!B100)*IF('01_Вводные'!$B$239="Да",MeanMinAge20+'19_Расчет_аналитики'!B1572*SUMIF(ThresholdAge20,"&lt;"&amp;'19_Расчет_аналитики'!B1572,WeightedRevAge20)-SUMIF(ThresholdAge20,"&lt;"&amp;'19_Расчет_аналитики'!B1572,WeightedMinAge20),MAX(CapacityAge20*'01_Вводные'!$B$218*'19_Расчет_аналитики'!B1572,MeanMinAge20)))</f>
        <v/>
      </c>
      <c r="C1523">
        <f>IF(OR(('06_Сеть_и_дети'!C72-'06_Сеть_и_дети'!C100)=0,20&lt;='01_Вводные'!$B$297),0,('06_Сеть_и_дети'!C72-'06_Сеть_и_дети'!C100)*IF('01_Вводные'!$B$239="Да",MeanMinAge20+'19_Расчет_аналитики'!C1572*SUMIF(ThresholdAge20,"&lt;"&amp;'19_Расчет_аналитики'!C1572,WeightedRevAge20)-SUMIF(ThresholdAge20,"&lt;"&amp;'19_Расчет_аналитики'!C1572,WeightedMinAge20),MAX(CapacityAge20*'01_Вводные'!$B$218*'19_Расчет_аналитики'!C1572,MeanMinAge20)))</f>
        <v/>
      </c>
      <c r="D1523">
        <f>IF(OR(('06_Сеть_и_дети'!D72-'06_Сеть_и_дети'!D100)=0,20&lt;='01_Вводные'!$B$297),0,('06_Сеть_и_дети'!D72-'06_Сеть_и_дети'!D100)*IF('01_Вводные'!$B$239="Да",MeanMinAge20+'19_Расчет_аналитики'!D1572*SUMIF(ThresholdAge20,"&lt;"&amp;'19_Расчет_аналитики'!D1572,WeightedRevAge20)-SUMIF(ThresholdAge20,"&lt;"&amp;'19_Расчет_аналитики'!D1572,WeightedMinAge20),MAX(CapacityAge20*'01_Вводные'!$B$218*'19_Расчет_аналитики'!D1572,MeanMinAge20)))</f>
        <v/>
      </c>
      <c r="E1523">
        <f>IF(OR(('06_Сеть_и_дети'!E72-'06_Сеть_и_дети'!E100)=0,20&lt;='01_Вводные'!$B$297),0,('06_Сеть_и_дети'!E72-'06_Сеть_и_дети'!E100)*IF('01_Вводные'!$B$239="Да",MeanMinAge20+'19_Расчет_аналитики'!E1572*SUMIF(ThresholdAge20,"&lt;"&amp;'19_Расчет_аналитики'!E1572,WeightedRevAge20)-SUMIF(ThresholdAge20,"&lt;"&amp;'19_Расчет_аналитики'!E1572,WeightedMinAge20),MAX(CapacityAge20*'01_Вводные'!$B$218*'19_Расчет_аналитики'!E1572,MeanMinAge20)))</f>
        <v/>
      </c>
      <c r="F1523">
        <f>IF(OR(('06_Сеть_и_дети'!F72-'06_Сеть_и_дети'!F100)=0,20&lt;='01_Вводные'!$B$297),0,('06_Сеть_и_дети'!F72-'06_Сеть_и_дети'!F100)*IF('01_Вводные'!$B$239="Да",MeanMinAge20+'19_Расчет_аналитики'!F1572*SUMIF(ThresholdAge20,"&lt;"&amp;'19_Расчет_аналитики'!F1572,WeightedRevAge20)-SUMIF(ThresholdAge20,"&lt;"&amp;'19_Расчет_аналитики'!F1572,WeightedMinAge20),MAX(CapacityAge20*'01_Вводные'!$B$218*'19_Расчет_аналитики'!F1572,MeanMinAge20)))</f>
        <v/>
      </c>
      <c r="G1523">
        <f>IF(OR(('06_Сеть_и_дети'!G72-'06_Сеть_и_дети'!G100)=0,20&lt;='01_Вводные'!$B$297),0,('06_Сеть_и_дети'!G72-'06_Сеть_и_дети'!G100)*IF('01_Вводные'!$B$239="Да",MeanMinAge20+'19_Расчет_аналитики'!G1572*SUMIF(ThresholdAge20,"&lt;"&amp;'19_Расчет_аналитики'!G1572,WeightedRevAge20)-SUMIF(ThresholdAge20,"&lt;"&amp;'19_Расчет_аналитики'!G1572,WeightedMinAge20),MAX(CapacityAge20*'01_Вводные'!$B$218*'19_Расчет_аналитики'!G1572,MeanMinAge20)))</f>
        <v/>
      </c>
      <c r="H1523">
        <f>IF(OR(('06_Сеть_и_дети'!H72-'06_Сеть_и_дети'!H100)=0,20&lt;='01_Вводные'!$B$297),0,('06_Сеть_и_дети'!H72-'06_Сеть_и_дети'!H100)*IF('01_Вводные'!$B$239="Да",MeanMinAge20+'19_Расчет_аналитики'!H1572*SUMIF(ThresholdAge20,"&lt;"&amp;'19_Расчет_аналитики'!H1572,WeightedRevAge20)-SUMIF(ThresholdAge20,"&lt;"&amp;'19_Расчет_аналитики'!H1572,WeightedMinAge20),MAX(CapacityAge20*'01_Вводные'!$B$218*'19_Расчет_аналитики'!H1572,MeanMinAge20)))</f>
        <v/>
      </c>
      <c r="I1523">
        <f>IF(OR(('06_Сеть_и_дети'!I72-'06_Сеть_и_дети'!I100)=0,20&lt;='01_Вводные'!$B$297),0,('06_Сеть_и_дети'!I72-'06_Сеть_и_дети'!I100)*IF('01_Вводные'!$B$239="Да",MeanMinAge20+'19_Расчет_аналитики'!I1572*SUMIF(ThresholdAge20,"&lt;"&amp;'19_Расчет_аналитики'!I1572,WeightedRevAge20)-SUMIF(ThresholdAge20,"&lt;"&amp;'19_Расчет_аналитики'!I1572,WeightedMinAge20),MAX(CapacityAge20*'01_Вводные'!$B$218*'19_Расчет_аналитики'!I1572,MeanMinAge20)))</f>
        <v/>
      </c>
      <c r="J1523">
        <f>IF(OR(('06_Сеть_и_дети'!J72-'06_Сеть_и_дети'!J100)=0,20&lt;='01_Вводные'!$B$297),0,('06_Сеть_и_дети'!J72-'06_Сеть_и_дети'!J100)*IF('01_Вводные'!$B$239="Да",MeanMinAge20+'19_Расчет_аналитики'!J1572*SUMIF(ThresholdAge20,"&lt;"&amp;'19_Расчет_аналитики'!J1572,WeightedRevAge20)-SUMIF(ThresholdAge20,"&lt;"&amp;'19_Расчет_аналитики'!J1572,WeightedMinAge20),MAX(CapacityAge20*'01_Вводные'!$B$218*'19_Расчет_аналитики'!J1572,MeanMinAge20)))</f>
        <v/>
      </c>
      <c r="K1523">
        <f>IF(OR(('06_Сеть_и_дети'!K72-'06_Сеть_и_дети'!K100)=0,20&lt;='01_Вводные'!$B$297),0,('06_Сеть_и_дети'!K72-'06_Сеть_и_дети'!K100)*IF('01_Вводные'!$B$239="Да",MeanMinAge20+'19_Расчет_аналитики'!K1572*SUMIF(ThresholdAge20,"&lt;"&amp;'19_Расчет_аналитики'!K1572,WeightedRevAge20)-SUMIF(ThresholdAge20,"&lt;"&amp;'19_Расчет_аналитики'!K1572,WeightedMinAge20),MAX(CapacityAge20*'01_Вводные'!$B$218*'19_Расчет_аналитики'!K1572,MeanMinAge20)))</f>
        <v/>
      </c>
      <c r="L1523">
        <f>IF(OR(('06_Сеть_и_дети'!L72-'06_Сеть_и_дети'!L100)=0,20&lt;='01_Вводные'!$B$297),0,('06_Сеть_и_дети'!L72-'06_Сеть_и_дети'!L100)*IF('01_Вводные'!$B$239="Да",MeanMinAge20+'19_Расчет_аналитики'!L1572*SUMIF(ThresholdAge20,"&lt;"&amp;'19_Расчет_аналитики'!L1572,WeightedRevAge20)-SUMIF(ThresholdAge20,"&lt;"&amp;'19_Расчет_аналитики'!L1572,WeightedMinAge20),MAX(CapacityAge20*'01_Вводные'!$B$218*'19_Расчет_аналитики'!L1572,MeanMinAge20)))</f>
        <v/>
      </c>
      <c r="M1523">
        <f>IF(OR(('06_Сеть_и_дети'!M72-'06_Сеть_и_дети'!M100)=0,20&lt;='01_Вводные'!$B$297),0,('06_Сеть_и_дети'!M72-'06_Сеть_и_дети'!M100)*IF('01_Вводные'!$B$239="Да",MeanMinAge20+'19_Расчет_аналитики'!M1572*SUMIF(ThresholdAge20,"&lt;"&amp;'19_Расчет_аналитики'!M1572,WeightedRevAge20)-SUMIF(ThresholdAge20,"&lt;"&amp;'19_Расчет_аналитики'!M1572,WeightedMinAge20),MAX(CapacityAge20*'01_Вводные'!$B$218*'19_Расчет_аналитики'!M1572,MeanMinAge20)))</f>
        <v/>
      </c>
      <c r="N1523">
        <f>IF(OR(('06_Сеть_и_дети'!N72-'06_Сеть_и_дети'!N100)=0,20&lt;='01_Вводные'!$B$297),0,('06_Сеть_и_дети'!N72-'06_Сеть_и_дети'!N100)*IF('01_Вводные'!$B$239="Да",MeanMinAge20+'19_Расчет_аналитики'!N1572*SUMIF(ThresholdAge20,"&lt;"&amp;'19_Расчет_аналитики'!N1572,WeightedRevAge20)-SUMIF(ThresholdAge20,"&lt;"&amp;'19_Расчет_аналитики'!N1572,WeightedMinAge20),MAX(CapacityAge20*'01_Вводные'!$B$218*'19_Расчет_аналитики'!N1572,MeanMinAge20)))</f>
        <v/>
      </c>
      <c r="O1523">
        <f>IF(OR(('06_Сеть_и_дети'!O72-'06_Сеть_и_дети'!O100)=0,20&lt;='01_Вводные'!$B$297),0,('06_Сеть_и_дети'!O72-'06_Сеть_и_дети'!O100)*IF('01_Вводные'!$B$239="Да",MeanMinAge20+'19_Расчет_аналитики'!O1572*SUMIF(ThresholdAge20,"&lt;"&amp;'19_Расчет_аналитики'!O1572,WeightedRevAge20)-SUMIF(ThresholdAge20,"&lt;"&amp;'19_Расчет_аналитики'!O1572,WeightedMinAge20),MAX(CapacityAge20*'01_Вводные'!$B$218*'19_Расчет_аналитики'!O1572,MeanMinAge20)))</f>
        <v/>
      </c>
      <c r="P1523">
        <f>IF(OR(('06_Сеть_и_дети'!P72-'06_Сеть_и_дети'!P100)=0,20&lt;='01_Вводные'!$B$297),0,('06_Сеть_и_дети'!P72-'06_Сеть_и_дети'!P100)*IF('01_Вводные'!$B$239="Да",MeanMinAge20+'19_Расчет_аналитики'!P1572*SUMIF(ThresholdAge20,"&lt;"&amp;'19_Расчет_аналитики'!P1572,WeightedRevAge20)-SUMIF(ThresholdAge20,"&lt;"&amp;'19_Расчет_аналитики'!P1572,WeightedMinAge20),MAX(CapacityAge20*'01_Вводные'!$B$218*'19_Расчет_аналитики'!P1572,MeanMinAge20)))</f>
        <v/>
      </c>
      <c r="Q1523">
        <f>IF(OR(('06_Сеть_и_дети'!Q72-'06_Сеть_и_дети'!Q100)=0,20&lt;='01_Вводные'!$B$297),0,('06_Сеть_и_дети'!Q72-'06_Сеть_и_дети'!Q100)*IF('01_Вводные'!$B$239="Да",MeanMinAge20+'19_Расчет_аналитики'!Q1572*SUMIF(ThresholdAge20,"&lt;"&amp;'19_Расчет_аналитики'!Q1572,WeightedRevAge20)-SUMIF(ThresholdAge20,"&lt;"&amp;'19_Расчет_аналитики'!Q1572,WeightedMinAge20),MAX(CapacityAge20*'01_Вводные'!$B$218*'19_Расчет_аналитики'!Q1572,MeanMinAge20)))</f>
        <v/>
      </c>
      <c r="R1523">
        <f>IF(OR(('06_Сеть_и_дети'!R72-'06_Сеть_и_дети'!R100)=0,20&lt;='01_Вводные'!$B$297),0,('06_Сеть_и_дети'!R72-'06_Сеть_и_дети'!R100)*IF('01_Вводные'!$B$239="Да",MeanMinAge20+'19_Расчет_аналитики'!R1572*SUMIF(ThresholdAge20,"&lt;"&amp;'19_Расчет_аналитики'!R1572,WeightedRevAge20)-SUMIF(ThresholdAge20,"&lt;"&amp;'19_Расчет_аналитики'!R1572,WeightedMinAge20),MAX(CapacityAge20*'01_Вводные'!$B$218*'19_Расчет_аналитики'!R1572,MeanMinAge20)))</f>
        <v/>
      </c>
      <c r="S1523">
        <f>IF(OR(('06_Сеть_и_дети'!S72-'06_Сеть_и_дети'!S100)=0,20&lt;='01_Вводные'!$B$297),0,('06_Сеть_и_дети'!S72-'06_Сеть_и_дети'!S100)*IF('01_Вводные'!$B$239="Да",MeanMinAge20+'19_Расчет_аналитики'!S1572*SUMIF(ThresholdAge20,"&lt;"&amp;'19_Расчет_аналитики'!S1572,WeightedRevAge20)-SUMIF(ThresholdAge20,"&lt;"&amp;'19_Расчет_аналитики'!S1572,WeightedMinAge20),MAX(CapacityAge20*'01_Вводные'!$B$218*'19_Расчет_аналитики'!S1572,MeanMinAge20)))</f>
        <v/>
      </c>
      <c r="T1523">
        <f>IF(OR(('06_Сеть_и_дети'!T72-'06_Сеть_и_дети'!T100)=0,20&lt;='01_Вводные'!$B$297),0,('06_Сеть_и_дети'!T72-'06_Сеть_и_дети'!T100)*IF('01_Вводные'!$B$239="Да",MeanMinAge20+'19_Расчет_аналитики'!T1572*SUMIF(ThresholdAge20,"&lt;"&amp;'19_Расчет_аналитики'!T1572,WeightedRevAge20)-SUMIF(ThresholdAge20,"&lt;"&amp;'19_Расчет_аналитики'!T1572,WeightedMinAge20),MAX(CapacityAge20*'01_Вводные'!$B$218*'19_Расчет_аналитики'!T1572,MeanMinAge20)))</f>
        <v/>
      </c>
      <c r="U1523">
        <f>IF(OR(('19_Расчет_аналитики'!U1439-'19_Расчет_аналитики'!U1467)=0,20&lt;='01_Вводные'!$B$297),0,('19_Расчет_аналитики'!U1439-'19_Расчет_аналитики'!U1467)*IF('01_Вводные'!$B$239="Да",MeanMinAge20+'19_Расчет_аналитики'!U1572*SUMIF(ThresholdAge20,"&lt;"&amp;'19_Расчет_аналитики'!U1572,WeightedRevAge20)-SUMIF(ThresholdAge20,"&lt;"&amp;'19_Расчет_аналитики'!U1572,WeightedMinAge20),MAX(CapacityAge20*'01_Вводные'!$B$218*'19_Расчет_аналитики'!U1572,MeanMinAge20)))</f>
        <v/>
      </c>
      <c r="V1523">
        <f>IF(OR(('19_Расчет_аналитики'!V1439-'19_Расчет_аналитики'!V1467)=0,20&lt;='01_Вводные'!$B$297),0,('19_Расчет_аналитики'!V1439-'19_Расчет_аналитики'!V1467)*IF('01_Вводные'!$B$239="Да",MeanMinAge20+'19_Расчет_аналитики'!V1572*SUMIF(ThresholdAge20,"&lt;"&amp;'19_Расчет_аналитики'!V1572,WeightedRevAge20)-SUMIF(ThresholdAge20,"&lt;"&amp;'19_Расчет_аналитики'!V1572,WeightedMinAge20),MAX(CapacityAge20*'01_Вводные'!$B$218*'19_Расчет_аналитики'!V1572,MeanMinAge20)))</f>
        <v/>
      </c>
      <c r="W1523">
        <f>IF(OR(('19_Расчет_аналитики'!W1439-'19_Расчет_аналитики'!W1467)=0,20&lt;='01_Вводные'!$B$297),0,('19_Расчет_аналитики'!W1439-'19_Расчет_аналитики'!W1467)*IF('01_Вводные'!$B$239="Да",MeanMinAge20+'19_Расчет_аналитики'!W1572*SUMIF(ThresholdAge20,"&lt;"&amp;'19_Расчет_аналитики'!W1572,WeightedRevAge20)-SUMIF(ThresholdAge20,"&lt;"&amp;'19_Расчет_аналитики'!W1572,WeightedMinAge20),MAX(CapacityAge20*'01_Вводные'!$B$218*'19_Расчет_аналитики'!W1572,MeanMinAge20)))</f>
        <v/>
      </c>
      <c r="X1523">
        <f>IF(OR(('19_Расчет_аналитики'!X1439-'19_Расчет_аналитики'!X1467)=0,20&lt;='01_Вводные'!$B$297),0,('19_Расчет_аналитики'!X1439-'19_Расчет_аналитики'!X1467)*IF('01_Вводные'!$B$239="Да",MeanMinAge20+'19_Расчет_аналитики'!X1572*SUMIF(ThresholdAge20,"&lt;"&amp;'19_Расчет_аналитики'!X1572,WeightedRevAge20)-SUMIF(ThresholdAge20,"&lt;"&amp;'19_Расчет_аналитики'!X1572,WeightedMinAge20),MAX(CapacityAge20*'01_Вводные'!$B$218*'19_Расчет_аналитики'!X1572,MeanMinAge20)))</f>
        <v/>
      </c>
      <c r="Y1523">
        <f>IF(OR(('19_Расчет_аналитики'!Y1439-'19_Расчет_аналитики'!Y1467)=0,20&lt;='01_Вводные'!$B$297),0,('19_Расчет_аналитики'!Y1439-'19_Расчет_аналитики'!Y1467)*IF('01_Вводные'!$B$239="Да",MeanMinAge20+'19_Расчет_аналитики'!Y1572*SUMIF(ThresholdAge20,"&lt;"&amp;'19_Расчет_аналитики'!Y1572,WeightedRevAge20)-SUMIF(ThresholdAge20,"&lt;"&amp;'19_Расчет_аналитики'!Y1572,WeightedMinAge20),MAX(CapacityAge20*'01_Вводные'!$B$218*'19_Расчет_аналитики'!Y1572,MeanMinAge20)))</f>
        <v/>
      </c>
      <c r="Z1523">
        <f>IF(OR(('19_Расчет_аналитики'!Z1439-'19_Расчет_аналитики'!Z1467)=0,20&lt;='01_Вводные'!$B$297),0,('19_Расчет_аналитики'!Z1439-'19_Расчет_аналитики'!Z1467)*IF('01_Вводные'!$B$239="Да",MeanMinAge20+'19_Расчет_аналитики'!Z1572*SUMIF(ThresholdAge20,"&lt;"&amp;'19_Расчет_аналитики'!Z1572,WeightedRevAge20)-SUMIF(ThresholdAge20,"&lt;"&amp;'19_Расчет_аналитики'!Z1572,WeightedMinAge20),MAX(CapacityAge20*'01_Вводные'!$B$218*'19_Расчет_аналитики'!Z1572,MeanMinAge20)))</f>
        <v/>
      </c>
      <c r="AA1523">
        <f>IF(OR(('19_Расчет_аналитики'!AA1439-'19_Расчет_аналитики'!AA1467)=0,20&lt;='01_Вводные'!$B$297),0,('19_Расчет_аналитики'!AA1439-'19_Расчет_аналитики'!AA1467)*IF('01_Вводные'!$B$239="Да",MeanMinAge20+'19_Расчет_аналитики'!AA1572*SUMIF(ThresholdAge20,"&lt;"&amp;'19_Расчет_аналитики'!AA1572,WeightedRevAge20)-SUMIF(ThresholdAge20,"&lt;"&amp;'19_Расчет_аналитики'!AA1572,WeightedMinAge20),MAX(CapacityAge20*'01_Вводные'!$B$218*'19_Расчет_аналитики'!AA1572,MeanMinAge20)))</f>
        <v/>
      </c>
      <c r="AB1523">
        <f>IF(OR(('19_Расчет_аналитики'!AB1439-'19_Расчет_аналитики'!AB1467)=0,20&lt;='01_Вводные'!$B$297),0,('19_Расчет_аналитики'!AB1439-'19_Расчет_аналитики'!AB1467)*IF('01_Вводные'!$B$239="Да",MeanMinAge20+'19_Расчет_аналитики'!AB1572*SUMIF(ThresholdAge20,"&lt;"&amp;'19_Расчет_аналитики'!AB1572,WeightedRevAge20)-SUMIF(ThresholdAge20,"&lt;"&amp;'19_Расчет_аналитики'!AB1572,WeightedMinAge20),MAX(CapacityAge20*'01_Вводные'!$B$218*'19_Расчет_аналитики'!AB1572,MeanMinAge20)))</f>
        <v/>
      </c>
      <c r="AC1523">
        <f>IF(OR(('19_Расчет_аналитики'!AC1439-'19_Расчет_аналитики'!AC1467)=0,20&lt;='01_Вводные'!$B$297),0,('19_Расчет_аналитики'!AC1439-'19_Расчет_аналитики'!AC1467)*IF('01_Вводные'!$B$239="Да",MeanMinAge20+'19_Расчет_аналитики'!AC1572*SUMIF(ThresholdAge20,"&lt;"&amp;'19_Расчет_аналитики'!AC1572,WeightedRevAge20)-SUMIF(ThresholdAge20,"&lt;"&amp;'19_Расчет_аналитики'!AC1572,WeightedMinAge20),MAX(CapacityAge20*'01_Вводные'!$B$218*'19_Расчет_аналитики'!AC1572,MeanMinAge20)))</f>
        <v/>
      </c>
      <c r="AD1523">
        <f>IF(OR(('19_Расчет_аналитики'!AD1439-'19_Расчет_аналитики'!AD1467)=0,20&lt;='01_Вводные'!$B$297),0,('19_Расчет_аналитики'!AD1439-'19_Расчет_аналитики'!AD1467)*IF('01_Вводные'!$B$239="Да",MeanMinAge20+'19_Расчет_аналитики'!AD1572*SUMIF(ThresholdAge20,"&lt;"&amp;'19_Расчет_аналитики'!AD1572,WeightedRevAge20)-SUMIF(ThresholdAge20,"&lt;"&amp;'19_Расчет_аналитики'!AD1572,WeightedMinAge20),MAX(CapacityAge20*'01_Вводные'!$B$218*'19_Расчет_аналитики'!AD1572,MeanMinAge20)))</f>
        <v/>
      </c>
      <c r="AE1523">
        <f>IF(OR(('19_Расчет_аналитики'!AE1439-'19_Расчет_аналитики'!AE1467)=0,20&lt;='01_Вводные'!$B$297),0,('19_Расчет_аналитики'!AE1439-'19_Расчет_аналитики'!AE1467)*IF('01_Вводные'!$B$239="Да",MeanMinAge20+'19_Расчет_аналитики'!AE1572*SUMIF(ThresholdAge20,"&lt;"&amp;'19_Расчет_аналитики'!AE1572,WeightedRevAge20)-SUMIF(ThresholdAge20,"&lt;"&amp;'19_Расчет_аналитики'!AE1572,WeightedMinAge20),MAX(CapacityAge20*'01_Вводные'!$B$218*'19_Расчет_аналитики'!AE1572,MeanMinAge20)))</f>
        <v/>
      </c>
      <c r="AF1523">
        <f>IF(OR(('19_Расчет_аналитики'!AF1439-'19_Расчет_аналитики'!AF1467)=0,20&lt;='01_Вводные'!$B$297),0,('19_Расчет_аналитики'!AF1439-'19_Расчет_аналитики'!AF1467)*IF('01_Вводные'!$B$239="Да",MeanMinAge20+'19_Расчет_аналитики'!AF1572*SUMIF(ThresholdAge20,"&lt;"&amp;'19_Расчет_аналитики'!AF1572,WeightedRevAge20)-SUMIF(ThresholdAge20,"&lt;"&amp;'19_Расчет_аналитики'!AF1572,WeightedMinAge20),MAX(CapacityAge20*'01_Вводные'!$B$218*'19_Расчет_аналитики'!AF1572,MeanMinAge20)))</f>
        <v/>
      </c>
      <c r="AG1523">
        <f>IF(OR(('19_Расчет_аналитики'!AG1439-'19_Расчет_аналитики'!AG1467)=0,20&lt;='01_Вводные'!$B$297),0,('19_Расчет_аналитики'!AG1439-'19_Расчет_аналитики'!AG1467)*IF('01_Вводные'!$B$239="Да",MeanMinAge20+'19_Расчет_аналитики'!AG1572*SUMIF(ThresholdAge20,"&lt;"&amp;'19_Расчет_аналитики'!AG1572,WeightedRevAge20)-SUMIF(ThresholdAge20,"&lt;"&amp;'19_Расчет_аналитики'!AG1572,WeightedMinAge20),MAX(CapacityAge20*'01_Вводные'!$B$218*'19_Расчет_аналитики'!AG1572,MeanMinAge20)))</f>
        <v/>
      </c>
      <c r="AH1523">
        <f>IF(OR(('19_Расчет_аналитики'!AH1439-'19_Расчет_аналитики'!AH1467)=0,20&lt;='01_Вводные'!$B$297),0,('19_Расчет_аналитики'!AH1439-'19_Расчет_аналитики'!AH1467)*IF('01_Вводные'!$B$239="Да",MeanMinAge20+'19_Расчет_аналитики'!AH1572*SUMIF(ThresholdAge20,"&lt;"&amp;'19_Расчет_аналитики'!AH1572,WeightedRevAge20)-SUMIF(ThresholdAge20,"&lt;"&amp;'19_Расчет_аналитики'!AH1572,WeightedMinAge20),MAX(CapacityAge20*'01_Вводные'!$B$218*'19_Расчет_аналитики'!AH1572,MeanMinAge20)))</f>
        <v/>
      </c>
      <c r="AI1523">
        <f>IF(OR(('19_Расчет_аналитики'!AI1439-'19_Расчет_аналитики'!AI1467)=0,20&lt;='01_Вводные'!$B$297),0,('19_Расчет_аналитики'!AI1439-'19_Расчет_аналитики'!AI1467)*IF('01_Вводные'!$B$239="Да",MeanMinAge20+'19_Расчет_аналитики'!AI1572*SUMIF(ThresholdAge20,"&lt;"&amp;'19_Расчет_аналитики'!AI1572,WeightedRevAge20)-SUMIF(ThresholdAge20,"&lt;"&amp;'19_Расчет_аналитики'!AI1572,WeightedMinAge20),MAX(CapacityAge20*'01_Вводные'!$B$218*'19_Расчет_аналитики'!AI1572,MeanMinAge20)))</f>
        <v/>
      </c>
      <c r="AJ1523">
        <f>IF(OR(('19_Расчет_аналитики'!AJ1439-'19_Расчет_аналитики'!AJ1467)=0,20&lt;='01_Вводные'!$B$297),0,('19_Расчет_аналитики'!AJ1439-'19_Расчет_аналитики'!AJ1467)*IF('01_Вводные'!$B$239="Да",MeanMinAge20+'19_Расчет_аналитики'!AJ1572*SUMIF(ThresholdAge20,"&lt;"&amp;'19_Расчет_аналитики'!AJ1572,WeightedRevAge20)-SUMIF(ThresholdAge20,"&lt;"&amp;'19_Расчет_аналитики'!AJ1572,WeightedMinAge20),MAX(CapacityAge20*'01_Вводные'!$B$218*'19_Расчет_аналитики'!AJ1572,MeanMinAge20)))</f>
        <v/>
      </c>
      <c r="AK1523">
        <f>IF(OR(('19_Расчет_аналитики'!AK1439-'19_Расчет_аналитики'!AK1467)=0,20&lt;='01_Вводные'!$B$297),0,('19_Расчет_аналитики'!AK1439-'19_Расчет_аналитики'!AK1467)*IF('01_Вводные'!$B$239="Да",MeanMinAge20+'19_Расчет_аналитики'!AK1572*SUMIF(ThresholdAge20,"&lt;"&amp;'19_Расчет_аналитики'!AK1572,WeightedRevAge20)-SUMIF(ThresholdAge20,"&lt;"&amp;'19_Расчет_аналитики'!AK1572,WeightedMinAge20),MAX(CapacityAge20*'01_Вводные'!$B$218*'19_Расчет_аналитики'!AK1572,MeanMinAge20)))</f>
        <v/>
      </c>
      <c r="AL1523">
        <f>IF(OR(('19_Расчет_аналитики'!AL1439-'19_Расчет_аналитики'!AL1467)=0,20&lt;='01_Вводные'!$B$297),0,('19_Расчет_аналитики'!AL1439-'19_Расчет_аналитики'!AL1467)*IF('01_Вводные'!$B$239="Да",MeanMinAge20+'19_Расчет_аналитики'!AL1572*SUMIF(ThresholdAge20,"&lt;"&amp;'19_Расчет_аналитики'!AL1572,WeightedRevAge20)-SUMIF(ThresholdAge20,"&lt;"&amp;'19_Расчет_аналитики'!AL1572,WeightedMinAge20),MAX(CapacityAge20*'01_Вводные'!$B$218*'19_Расчет_аналитики'!AL1572,MeanMinAge20)))</f>
        <v/>
      </c>
      <c r="AM1523">
        <f>IF(OR(('19_Расчет_аналитики'!AM1439-'19_Расчет_аналитики'!AM1467)=0,20&lt;='01_Вводные'!$B$297),0,('19_Расчет_аналитики'!AM1439-'19_Расчет_аналитики'!AM1467)*IF('01_Вводные'!$B$239="Да",MeanMinAge20+'19_Расчет_аналитики'!AM1572*SUMIF(ThresholdAge20,"&lt;"&amp;'19_Расчет_аналитики'!AM1572,WeightedRevAge20)-SUMIF(ThresholdAge20,"&lt;"&amp;'19_Расчет_аналитики'!AM1572,WeightedMinAge20),MAX(CapacityAge20*'01_Вводные'!$B$218*'19_Расчет_аналитики'!AM1572,MeanMinAge20)))</f>
        <v/>
      </c>
      <c r="AN1523">
        <f>IF(OR(('19_Расчет_аналитики'!AN1439-'19_Расчет_аналитики'!AN1467)=0,20&lt;='01_Вводные'!$B$297),0,('19_Расчет_аналитики'!AN1439-'19_Расчет_аналитики'!AN1467)*IF('01_Вводные'!$B$239="Да",MeanMinAge20+'19_Расчет_аналитики'!AN1572*SUMIF(ThresholdAge20,"&lt;"&amp;'19_Расчет_аналитики'!AN1572,WeightedRevAge20)-SUMIF(ThresholdAge20,"&lt;"&amp;'19_Расчет_аналитики'!AN1572,WeightedMinAge20),MAX(CapacityAge20*'01_Вводные'!$B$218*'19_Расчет_аналитики'!AN1572,MeanMinAge20)))</f>
        <v/>
      </c>
      <c r="AO1523">
        <f>IF(OR(('19_Расчет_аналитики'!AO1439-'19_Расчет_аналитики'!AO1467)=0,20&lt;='01_Вводные'!$B$297),0,('19_Расчет_аналитики'!AO1439-'19_Расчет_аналитики'!AO1467)*IF('01_Вводные'!$B$239="Да",MeanMinAge20+'19_Расчет_аналитики'!AO1572*SUMIF(ThresholdAge20,"&lt;"&amp;'19_Расчет_аналитики'!AO1572,WeightedRevAge20)-SUMIF(ThresholdAge20,"&lt;"&amp;'19_Расчет_аналитики'!AO1572,WeightedMinAge20),MAX(CapacityAge20*'01_Вводные'!$B$218*'19_Расчет_аналитики'!AO1572,MeanMinAge20)))</f>
        <v/>
      </c>
      <c r="AP1523">
        <f>IF(OR(('19_Расчет_аналитики'!AP1439-'19_Расчет_аналитики'!AP1467)=0,20&lt;='01_Вводные'!$B$297),0,('19_Расчет_аналитики'!AP1439-'19_Расчет_аналитики'!AP1467)*IF('01_Вводные'!$B$239="Да",MeanMinAge20+'19_Расчет_аналитики'!AP1572*SUMIF(ThresholdAge20,"&lt;"&amp;'19_Расчет_аналитики'!AP1572,WeightedRevAge20)-SUMIF(ThresholdAge20,"&lt;"&amp;'19_Расчет_аналитики'!AP1572,WeightedMinAge20),MAX(CapacityAge20*'01_Вводные'!$B$218*'19_Расчет_аналитики'!AP1572,MeanMinAge20)))</f>
        <v/>
      </c>
      <c r="AQ1523">
        <f>IF(OR(('19_Расчет_аналитики'!AQ1439-'19_Расчет_аналитики'!AQ1467)=0,20&lt;='01_Вводные'!$B$297),0,('19_Расчет_аналитики'!AQ1439-'19_Расчет_аналитики'!AQ1467)*IF('01_Вводные'!$B$239="Да",MeanMinAge20+'19_Расчет_аналитики'!AQ1572*SUMIF(ThresholdAge20,"&lt;"&amp;'19_Расчет_аналитики'!AQ1572,WeightedRevAge20)-SUMIF(ThresholdAge20,"&lt;"&amp;'19_Расчет_аналитики'!AQ1572,WeightedMinAge20),MAX(CapacityAge20*'01_Вводные'!$B$218*'19_Расчет_аналитики'!AQ1572,MeanMinAge20)))</f>
        <v/>
      </c>
      <c r="AR1523">
        <f>IF(OR(('19_Расчет_аналитики'!AR1439-'19_Расчет_аналитики'!AR1467)=0,20&lt;='01_Вводные'!$B$297),0,('19_Расчет_аналитики'!AR1439-'19_Расчет_аналитики'!AR1467)*IF('01_Вводные'!$B$239="Да",MeanMinAge20+'19_Расчет_аналитики'!AR1572*SUMIF(ThresholdAge20,"&lt;"&amp;'19_Расчет_аналитики'!AR1572,WeightedRevAge20)-SUMIF(ThresholdAge20,"&lt;"&amp;'19_Расчет_аналитики'!AR1572,WeightedMinAge20),MAX(CapacityAge20*'01_Вводные'!$B$218*'19_Расчет_аналитики'!AR1572,MeanMinAge20)))</f>
        <v/>
      </c>
      <c r="AS1523">
        <f>IF(OR(('19_Расчет_аналитики'!AS1439-'19_Расчет_аналитики'!AS1467)=0,20&lt;='01_Вводные'!$B$297),0,('19_Расчет_аналитики'!AS1439-'19_Расчет_аналитики'!AS1467)*IF('01_Вводные'!$B$239="Да",MeanMinAge20+'19_Расчет_аналитики'!AS1572*SUMIF(ThresholdAge20,"&lt;"&amp;'19_Расчет_аналитики'!AS1572,WeightedRevAge20)-SUMIF(ThresholdAge20,"&lt;"&amp;'19_Расчет_аналитики'!AS1572,WeightedMinAge20),MAX(CapacityAge20*'01_Вводные'!$B$218*'19_Расчет_аналитики'!AS1572,MeanMinAge20)))</f>
        <v/>
      </c>
      <c r="AT1523">
        <f>IF(OR(('19_Расчет_аналитики'!AT1439-'19_Расчет_аналитики'!AT1467)=0,20&lt;='01_Вводные'!$B$297),0,('19_Расчет_аналитики'!AT1439-'19_Расчет_аналитики'!AT1467)*IF('01_Вводные'!$B$239="Да",MeanMinAge20+'19_Расчет_аналитики'!AT1572*SUMIF(ThresholdAge20,"&lt;"&amp;'19_Расчет_аналитики'!AT1572,WeightedRevAge20)-SUMIF(ThresholdAge20,"&lt;"&amp;'19_Расчет_аналитики'!AT1572,WeightedMinAge20),MAX(CapacityAge20*'01_Вводные'!$B$218*'19_Расчет_аналитики'!AT1572,MeanMinAge20)))</f>
        <v/>
      </c>
      <c r="AU1523">
        <f>IF(OR(('19_Расчет_аналитики'!AU1439-'19_Расчет_аналитики'!AU1467)=0,20&lt;='01_Вводные'!$B$297),0,('19_Расчет_аналитики'!AU1439-'19_Расчет_аналитики'!AU1467)*IF('01_Вводные'!$B$239="Да",MeanMinAge20+'19_Расчет_аналитики'!AU1572*SUMIF(ThresholdAge20,"&lt;"&amp;'19_Расчет_аналитики'!AU1572,WeightedRevAge20)-SUMIF(ThresholdAge20,"&lt;"&amp;'19_Расчет_аналитики'!AU1572,WeightedMinAge20),MAX(CapacityAge20*'01_Вводные'!$B$218*'19_Расчет_аналитики'!AU1572,MeanMinAge20)))</f>
        <v/>
      </c>
      <c r="AV1523">
        <f>IF(OR(('19_Расчет_аналитики'!AV1439-'19_Расчет_аналитики'!AV1467)=0,20&lt;='01_Вводные'!$B$297),0,('19_Расчет_аналитики'!AV1439-'19_Расчет_аналитики'!AV1467)*IF('01_Вводные'!$B$239="Да",MeanMinAge20+'19_Расчет_аналитики'!AV1572*SUMIF(ThresholdAge20,"&lt;"&amp;'19_Расчет_аналитики'!AV1572,WeightedRevAge20)-SUMIF(ThresholdAge20,"&lt;"&amp;'19_Расчет_аналитики'!AV1572,WeightedMinAge20),MAX(CapacityAge20*'01_Вводные'!$B$218*'19_Расчет_аналитики'!AV1572,MeanMinAge20)))</f>
        <v/>
      </c>
      <c r="AW1523">
        <f>IF(OR(('19_Расчет_аналитики'!AW1439-'19_Расчет_аналитики'!AW1467)=0,20&lt;='01_Вводные'!$B$297),0,('19_Расчет_аналитики'!AW1439-'19_Расчет_аналитики'!AW1467)*IF('01_Вводные'!$B$239="Да",MeanMinAge20+'19_Расчет_аналитики'!AW1572*SUMIF(ThresholdAge20,"&lt;"&amp;'19_Расчет_аналитики'!AW1572,WeightedRevAge20)-SUMIF(ThresholdAge20,"&lt;"&amp;'19_Расчет_аналитики'!AW1572,WeightedMinAge20),MAX(CapacityAge20*'01_Вводные'!$B$218*'19_Расчет_аналитики'!AW1572,MeanMinAge20)))</f>
        <v/>
      </c>
      <c r="AX1523">
        <f>IF(OR(('19_Расчет_аналитики'!AX1439-'19_Расчет_аналитики'!AX1467)=0,20&lt;='01_Вводные'!$B$297),0,('19_Расчет_аналитики'!AX1439-'19_Расчет_аналитики'!AX1467)*IF('01_Вводные'!$B$239="Да",MeanMinAge20+'19_Расчет_аналитики'!AX1572*SUMIF(ThresholdAge20,"&lt;"&amp;'19_Расчет_аналитики'!AX1572,WeightedRevAge20)-SUMIF(ThresholdAge20,"&lt;"&amp;'19_Расчет_аналитики'!AX1572,WeightedMinAge20),MAX(CapacityAge20*'01_Вводные'!$B$218*'19_Расчет_аналитики'!AX1572,MeanMinAge20)))</f>
        <v/>
      </c>
      <c r="AY1523">
        <f>IF(OR(('19_Расчет_аналитики'!AY1439-'19_Расчет_аналитики'!AY1467)=0,20&lt;='01_Вводные'!$B$297),0,('19_Расчет_аналитики'!AY1439-'19_Расчет_аналитики'!AY1467)*IF('01_Вводные'!$B$239="Да",MeanMinAge20+'19_Расчет_аналитики'!AY1572*SUMIF(ThresholdAge20,"&lt;"&amp;'19_Расчет_аналитики'!AY1572,WeightedRevAge20)-SUMIF(ThresholdAge20,"&lt;"&amp;'19_Расчет_аналитики'!AY1572,WeightedMinAge20),MAX(CapacityAge20*'01_Вводные'!$B$218*'19_Расчет_аналитики'!AY1572,MeanMinAge20)))</f>
        <v/>
      </c>
      <c r="AZ1523">
        <f>IF(OR(('19_Расчет_аналитики'!AZ1439-'19_Расчет_аналитики'!AZ1467)=0,20&lt;='01_Вводные'!$B$297),0,('19_Расчет_аналитики'!AZ1439-'19_Расчет_аналитики'!AZ1467)*IF('01_Вводные'!$B$239="Да",MeanMinAge20+'19_Расчет_аналитики'!AZ1572*SUMIF(ThresholdAge20,"&lt;"&amp;'19_Расчет_аналитики'!AZ1572,WeightedRevAge20)-SUMIF(ThresholdAge20,"&lt;"&amp;'19_Расчет_аналитики'!AZ1572,WeightedMinAge20),MAX(CapacityAge20*'01_Вводные'!$B$218*'19_Расчет_аналитики'!AZ1572,MeanMinAge20)))</f>
        <v/>
      </c>
      <c r="BA1523">
        <f>IF(OR(('19_Расчет_аналитики'!BA1439-'19_Расчет_аналитики'!BA1467)=0,20&lt;='01_Вводные'!$B$297),0,('19_Расчет_аналитики'!BA1439-'19_Расчет_аналитики'!BA1467)*IF('01_Вводные'!$B$239="Да",MeanMinAge20+'19_Расчет_аналитики'!BA1572*SUMIF(ThresholdAge20,"&lt;"&amp;'19_Расчет_аналитики'!BA1572,WeightedRevAge20)-SUMIF(ThresholdAge20,"&lt;"&amp;'19_Расчет_аналитики'!BA1572,WeightedMinAge20),MAX(CapacityAge20*'01_Вводные'!$B$218*'19_Расчет_аналитики'!BA1572,MeanMinAge20)))</f>
        <v/>
      </c>
      <c r="BB1523">
        <f>IF(OR(('19_Расчет_аналитики'!BB1439-'19_Расчет_аналитики'!BB1467)=0,20&lt;='01_Вводные'!$B$297),0,('19_Расчет_аналитики'!BB1439-'19_Расчет_аналитики'!BB1467)*IF('01_Вводные'!$B$239="Да",MeanMinAge20+'19_Расчет_аналитики'!BB1572*SUMIF(ThresholdAge20,"&lt;"&amp;'19_Расчет_аналитики'!BB1572,WeightedRevAge20)-SUMIF(ThresholdAge20,"&lt;"&amp;'19_Расчет_аналитики'!BB1572,WeightedMinAge20),MAX(CapacityAge20*'01_Вводные'!$B$218*'19_Расчет_аналитики'!BB1572,MeanMinAge20)))</f>
        <v/>
      </c>
      <c r="BC1523">
        <f>IF(OR(('19_Расчет_аналитики'!BC1439-'19_Расчет_аналитики'!BC1467)=0,20&lt;='01_Вводные'!$B$297),0,('19_Расчет_аналитики'!BC1439-'19_Расчет_аналитики'!BC1467)*IF('01_Вводные'!$B$239="Да",MeanMinAge20+'19_Расчет_аналитики'!BC1572*SUMIF(ThresholdAge20,"&lt;"&amp;'19_Расчет_аналитики'!BC1572,WeightedRevAge20)-SUMIF(ThresholdAge20,"&lt;"&amp;'19_Расчет_аналитики'!BC1572,WeightedMinAge20),MAX(CapacityAge20*'01_Вводные'!$B$218*'19_Расчет_аналитики'!BC1572,MeanMinAge20)))</f>
        <v/>
      </c>
      <c r="BD1523">
        <f>IF(OR(('19_Расчет_аналитики'!BD1439-'19_Расчет_аналитики'!BD1467)=0,20&lt;='01_Вводные'!$B$297),0,('19_Расчет_аналитики'!BD1439-'19_Расчет_аналитики'!BD1467)*IF('01_Вводные'!$B$239="Да",MeanMinAge20+'19_Расчет_аналитики'!BD1572*SUMIF(ThresholdAge20,"&lt;"&amp;'19_Расчет_аналитики'!BD1572,WeightedRevAge20)-SUMIF(ThresholdAge20,"&lt;"&amp;'19_Расчет_аналитики'!BD1572,WeightedMinAge20),MAX(CapacityAge20*'01_Вводные'!$B$218*'19_Расчет_аналитики'!BD1572,MeanMinAge20)))</f>
        <v/>
      </c>
      <c r="BE1523">
        <f>IF(OR(('19_Расчет_аналитики'!BE1439-'19_Расчет_аналитики'!BE1467)=0,20&lt;='01_Вводные'!$B$297),0,('19_Расчет_аналитики'!BE1439-'19_Расчет_аналитики'!BE1467)*IF('01_Вводные'!$B$239="Да",MeanMinAge20+'19_Расчет_аналитики'!BE1572*SUMIF(ThresholdAge20,"&lt;"&amp;'19_Расчет_аналитики'!BE1572,WeightedRevAge20)-SUMIF(ThresholdAge20,"&lt;"&amp;'19_Расчет_аналитики'!BE1572,WeightedMinAge20),MAX(CapacityAge20*'01_Вводные'!$B$218*'19_Расчет_аналитики'!BE1572,MeanMinAge20)))</f>
        <v/>
      </c>
      <c r="BF1523">
        <f>IF(OR(('19_Расчет_аналитики'!BF1439-'19_Расчет_аналитики'!BF1467)=0,20&lt;='01_Вводные'!$B$297),0,('19_Расчет_аналитики'!BF1439-'19_Расчет_аналитики'!BF1467)*IF('01_Вводные'!$B$239="Да",MeanMinAge20+'19_Расчет_аналитики'!BF1572*SUMIF(ThresholdAge20,"&lt;"&amp;'19_Расчет_аналитики'!BF1572,WeightedRevAge20)-SUMIF(ThresholdAge20,"&lt;"&amp;'19_Расчет_аналитики'!BF1572,WeightedMinAge20),MAX(CapacityAge20*'01_Вводные'!$B$218*'19_Расчет_аналитики'!BF1572,MeanMinAge20)))</f>
        <v/>
      </c>
      <c r="BG1523">
        <f>IF(OR(('19_Расчет_аналитики'!BG1439-'19_Расчет_аналитики'!BG1467)=0,20&lt;='01_Вводные'!$B$297),0,('19_Расчет_аналитики'!BG1439-'19_Расчет_аналитики'!BG1467)*IF('01_Вводные'!$B$239="Да",MeanMinAge20+'19_Расчет_аналитики'!BG1572*SUMIF(ThresholdAge20,"&lt;"&amp;'19_Расчет_аналитики'!BG1572,WeightedRevAge20)-SUMIF(ThresholdAge20,"&lt;"&amp;'19_Расчет_аналитики'!BG1572,WeightedMinAge20),MAX(CapacityAge20*'01_Вводные'!$B$218*'19_Расчет_аналитики'!BG1572,MeanMinAge20)))</f>
        <v/>
      </c>
      <c r="BH1523">
        <f>IF(OR(('19_Расчет_аналитики'!BH1439-'19_Расчет_аналитики'!BH1467)=0,20&lt;='01_Вводные'!$B$297),0,('19_Расчет_аналитики'!BH1439-'19_Расчет_аналитики'!BH1467)*IF('01_Вводные'!$B$239="Да",MeanMinAge20+'19_Расчет_аналитики'!BH1572*SUMIF(ThresholdAge20,"&lt;"&amp;'19_Расчет_аналитики'!BH1572,WeightedRevAge20)-SUMIF(ThresholdAge20,"&lt;"&amp;'19_Расчет_аналитики'!BH1572,WeightedMinAge20),MAX(CapacityAge20*'01_Вводные'!$B$218*'19_Расчет_аналитики'!BH1572,MeanMinAge20)))</f>
        <v/>
      </c>
      <c r="BI1523">
        <f>IF(OR(('19_Расчет_аналитики'!BI1439-'19_Расчет_аналитики'!BI1467)=0,20&lt;='01_Вводные'!$B$297),0,('19_Расчет_аналитики'!BI1439-'19_Расчет_аналитики'!BI1467)*IF('01_Вводные'!$B$239="Да",MeanMinAge20+'19_Расчет_аналитики'!BI1572*SUMIF(ThresholdAge20,"&lt;"&amp;'19_Расчет_аналитики'!BI1572,WeightedRevAge20)-SUMIF(ThresholdAge20,"&lt;"&amp;'19_Расчет_аналитики'!BI1572,WeightedMinAge20),MAX(CapacityAge20*'01_Вводные'!$B$218*'19_Расчет_аналитики'!BI1572,MeanMinAge20)))</f>
        <v/>
      </c>
      <c r="BJ1523">
        <f>IF(OR(('19_Расчет_аналитики'!BJ1439-'19_Расчет_аналитики'!BJ1467)=0,20&lt;='01_Вводные'!$B$297),0,('19_Расчет_аналитики'!BJ1439-'19_Расчет_аналитики'!BJ1467)*IF('01_Вводные'!$B$239="Да",MeanMinAge20+'19_Расчет_аналитики'!BJ1572*SUMIF(ThresholdAge20,"&lt;"&amp;'19_Расчет_аналитики'!BJ1572,WeightedRevAge20)-SUMIF(ThresholdAge20,"&lt;"&amp;'19_Расчет_аналитики'!BJ1572,WeightedMinAge20),MAX(CapacityAge20*'01_Вводные'!$B$218*'19_Расчет_аналитики'!BJ1572,MeanMinAge20)))</f>
        <v/>
      </c>
      <c r="BK1523">
        <f>IF(OR(('19_Расчет_аналитики'!BK1439-'19_Расчет_аналитики'!BK1467)=0,20&lt;='01_Вводные'!$B$297),0,('19_Расчет_аналитики'!BK1439-'19_Расчет_аналитики'!BK1467)*IF('01_Вводные'!$B$239="Да",MeanMinAge20+'19_Расчет_аналитики'!BK1572*SUMIF(ThresholdAge20,"&lt;"&amp;'19_Расчет_аналитики'!BK1572,WeightedRevAge20)-SUMIF(ThresholdAge20,"&lt;"&amp;'19_Расчет_аналитики'!BK1572,WeightedMinAge20),MAX(CapacityAge20*'01_Вводные'!$B$218*'19_Расчет_аналитики'!BK1572,MeanMinAge20)))</f>
        <v/>
      </c>
      <c r="BL1523">
        <f>IF(OR(('19_Расчет_аналитики'!BL1439-'19_Расчет_аналитики'!BL1467)=0,20&lt;='01_Вводные'!$B$297),0,('19_Расчет_аналитики'!BL1439-'19_Расчет_аналитики'!BL1467)*IF('01_Вводные'!$B$239="Да",MeanMinAge20+'19_Расчет_аналитики'!BL1572*SUMIF(ThresholdAge20,"&lt;"&amp;'19_Расчет_аналитики'!BL1572,WeightedRevAge20)-SUMIF(ThresholdAge20,"&lt;"&amp;'19_Расчет_аналитики'!BL1572,WeightedMinAge20),MAX(CapacityAge20*'01_Вводные'!$B$218*'19_Расчет_аналитики'!BL1572,MeanMinAge20)))</f>
        <v/>
      </c>
      <c r="BM1523">
        <f>IF(OR(('19_Расчет_аналитики'!BM1439-'19_Расчет_аналитики'!BM1467)=0,20&lt;='01_Вводные'!$B$297),0,('19_Расчет_аналитики'!BM1439-'19_Расчет_аналитики'!BM1467)*IF('01_Вводные'!$B$239="Да",MeanMinAge20+'19_Расчет_аналитики'!BM1572*SUMIF(ThresholdAge20,"&lt;"&amp;'19_Расчет_аналитики'!BM1572,WeightedRevAge20)-SUMIF(ThresholdAge20,"&lt;"&amp;'19_Расчет_аналитики'!BM1572,WeightedMinAge20),MAX(CapacityAge20*'01_Вводные'!$B$218*'19_Расчет_аналитики'!BM1572,MeanMinAge20)))</f>
        <v/>
      </c>
      <c r="BN1523">
        <f>IF(OR(('19_Расчет_аналитики'!BN1439-'19_Расчет_аналитики'!BN1467)=0,20&lt;='01_Вводные'!$B$297),0,('19_Расчет_аналитики'!BN1439-'19_Расчет_аналитики'!BN1467)*IF('01_Вводные'!$B$239="Да",MeanMinAge20+'19_Расчет_аналитики'!BN1572*SUMIF(ThresholdAge20,"&lt;"&amp;'19_Расчет_аналитики'!BN1572,WeightedRevAge20)-SUMIF(ThresholdAge20,"&lt;"&amp;'19_Расчет_аналитики'!BN1572,WeightedMinAge20),MAX(CapacityAge20*'01_Вводные'!$B$218*'19_Расчет_аналитики'!BN1572,MeanMinAge20)))</f>
        <v/>
      </c>
      <c r="BO1523">
        <f>IF(OR(('19_Расчет_аналитики'!BO1439-'19_Расчет_аналитики'!BO1467)=0,20&lt;='01_Вводные'!$B$297),0,('19_Расчет_аналитики'!BO1439-'19_Расчет_аналитики'!BO1467)*IF('01_Вводные'!$B$239="Да",MeanMinAge20+'19_Расчет_аналитики'!BO1572*SUMIF(ThresholdAge20,"&lt;"&amp;'19_Расчет_аналитики'!BO1572,WeightedRevAge20)-SUMIF(ThresholdAge20,"&lt;"&amp;'19_Расчет_аналитики'!BO1572,WeightedMinAge20),MAX(CapacityAge20*'01_Вводные'!$B$218*'19_Расчет_аналитики'!BO1572,MeanMinAge20)))</f>
        <v/>
      </c>
    </row>
    <row r="1524">
      <c r="B1524">
        <f>IF(OR(('06_Сеть_и_дети'!B73-'06_Сеть_и_дети'!B101)=0,21&lt;='01_Вводные'!$B$297),0,('06_Сеть_и_дети'!B73-'06_Сеть_и_дети'!B101)*IF('01_Вводные'!$B$239="Да",MeanMinAge21+'19_Расчет_аналитики'!B1572*SUMIF(ThresholdAge21,"&lt;"&amp;'19_Расчет_аналитики'!B1572,WeightedRevAge21)-SUMIF(ThresholdAge21,"&lt;"&amp;'19_Расчет_аналитики'!B1572,WeightedMinAge21),MAX(CapacityAge21*'01_Вводные'!$B$218*'19_Расчет_аналитики'!B1572,MeanMinAge21)))</f>
        <v/>
      </c>
      <c r="C1524">
        <f>IF(OR(('06_Сеть_и_дети'!C73-'06_Сеть_и_дети'!C101)=0,21&lt;='01_Вводные'!$B$297),0,('06_Сеть_и_дети'!C73-'06_Сеть_и_дети'!C101)*IF('01_Вводные'!$B$239="Да",MeanMinAge21+'19_Расчет_аналитики'!C1572*SUMIF(ThresholdAge21,"&lt;"&amp;'19_Расчет_аналитики'!C1572,WeightedRevAge21)-SUMIF(ThresholdAge21,"&lt;"&amp;'19_Расчет_аналитики'!C1572,WeightedMinAge21),MAX(CapacityAge21*'01_Вводные'!$B$218*'19_Расчет_аналитики'!C1572,MeanMinAge21)))</f>
        <v/>
      </c>
      <c r="D1524">
        <f>IF(OR(('06_Сеть_и_дети'!D73-'06_Сеть_и_дети'!D101)=0,21&lt;='01_Вводные'!$B$297),0,('06_Сеть_и_дети'!D73-'06_Сеть_и_дети'!D101)*IF('01_Вводные'!$B$239="Да",MeanMinAge21+'19_Расчет_аналитики'!D1572*SUMIF(ThresholdAge21,"&lt;"&amp;'19_Расчет_аналитики'!D1572,WeightedRevAge21)-SUMIF(ThresholdAge21,"&lt;"&amp;'19_Расчет_аналитики'!D1572,WeightedMinAge21),MAX(CapacityAge21*'01_Вводные'!$B$218*'19_Расчет_аналитики'!D1572,MeanMinAge21)))</f>
        <v/>
      </c>
      <c r="E1524">
        <f>IF(OR(('06_Сеть_и_дети'!E73-'06_Сеть_и_дети'!E101)=0,21&lt;='01_Вводные'!$B$297),0,('06_Сеть_и_дети'!E73-'06_Сеть_и_дети'!E101)*IF('01_Вводные'!$B$239="Да",MeanMinAge21+'19_Расчет_аналитики'!E1572*SUMIF(ThresholdAge21,"&lt;"&amp;'19_Расчет_аналитики'!E1572,WeightedRevAge21)-SUMIF(ThresholdAge21,"&lt;"&amp;'19_Расчет_аналитики'!E1572,WeightedMinAge21),MAX(CapacityAge21*'01_Вводные'!$B$218*'19_Расчет_аналитики'!E1572,MeanMinAge21)))</f>
        <v/>
      </c>
      <c r="F1524">
        <f>IF(OR(('06_Сеть_и_дети'!F73-'06_Сеть_и_дети'!F101)=0,21&lt;='01_Вводные'!$B$297),0,('06_Сеть_и_дети'!F73-'06_Сеть_и_дети'!F101)*IF('01_Вводные'!$B$239="Да",MeanMinAge21+'19_Расчет_аналитики'!F1572*SUMIF(ThresholdAge21,"&lt;"&amp;'19_Расчет_аналитики'!F1572,WeightedRevAge21)-SUMIF(ThresholdAge21,"&lt;"&amp;'19_Расчет_аналитики'!F1572,WeightedMinAge21),MAX(CapacityAge21*'01_Вводные'!$B$218*'19_Расчет_аналитики'!F1572,MeanMinAge21)))</f>
        <v/>
      </c>
      <c r="G1524">
        <f>IF(OR(('06_Сеть_и_дети'!G73-'06_Сеть_и_дети'!G101)=0,21&lt;='01_Вводные'!$B$297),0,('06_Сеть_и_дети'!G73-'06_Сеть_и_дети'!G101)*IF('01_Вводные'!$B$239="Да",MeanMinAge21+'19_Расчет_аналитики'!G1572*SUMIF(ThresholdAge21,"&lt;"&amp;'19_Расчет_аналитики'!G1572,WeightedRevAge21)-SUMIF(ThresholdAge21,"&lt;"&amp;'19_Расчет_аналитики'!G1572,WeightedMinAge21),MAX(CapacityAge21*'01_Вводные'!$B$218*'19_Расчет_аналитики'!G1572,MeanMinAge21)))</f>
        <v/>
      </c>
      <c r="H1524">
        <f>IF(OR(('06_Сеть_и_дети'!H73-'06_Сеть_и_дети'!H101)=0,21&lt;='01_Вводные'!$B$297),0,('06_Сеть_и_дети'!H73-'06_Сеть_и_дети'!H101)*IF('01_Вводные'!$B$239="Да",MeanMinAge21+'19_Расчет_аналитики'!H1572*SUMIF(ThresholdAge21,"&lt;"&amp;'19_Расчет_аналитики'!H1572,WeightedRevAge21)-SUMIF(ThresholdAge21,"&lt;"&amp;'19_Расчет_аналитики'!H1572,WeightedMinAge21),MAX(CapacityAge21*'01_Вводные'!$B$218*'19_Расчет_аналитики'!H1572,MeanMinAge21)))</f>
        <v/>
      </c>
      <c r="I1524">
        <f>IF(OR(('06_Сеть_и_дети'!I73-'06_Сеть_и_дети'!I101)=0,21&lt;='01_Вводные'!$B$297),0,('06_Сеть_и_дети'!I73-'06_Сеть_и_дети'!I101)*IF('01_Вводные'!$B$239="Да",MeanMinAge21+'19_Расчет_аналитики'!I1572*SUMIF(ThresholdAge21,"&lt;"&amp;'19_Расчет_аналитики'!I1572,WeightedRevAge21)-SUMIF(ThresholdAge21,"&lt;"&amp;'19_Расчет_аналитики'!I1572,WeightedMinAge21),MAX(CapacityAge21*'01_Вводные'!$B$218*'19_Расчет_аналитики'!I1572,MeanMinAge21)))</f>
        <v/>
      </c>
      <c r="J1524">
        <f>IF(OR(('06_Сеть_и_дети'!J73-'06_Сеть_и_дети'!J101)=0,21&lt;='01_Вводные'!$B$297),0,('06_Сеть_и_дети'!J73-'06_Сеть_и_дети'!J101)*IF('01_Вводные'!$B$239="Да",MeanMinAge21+'19_Расчет_аналитики'!J1572*SUMIF(ThresholdAge21,"&lt;"&amp;'19_Расчет_аналитики'!J1572,WeightedRevAge21)-SUMIF(ThresholdAge21,"&lt;"&amp;'19_Расчет_аналитики'!J1572,WeightedMinAge21),MAX(CapacityAge21*'01_Вводные'!$B$218*'19_Расчет_аналитики'!J1572,MeanMinAge21)))</f>
        <v/>
      </c>
      <c r="K1524">
        <f>IF(OR(('06_Сеть_и_дети'!K73-'06_Сеть_и_дети'!K101)=0,21&lt;='01_Вводные'!$B$297),0,('06_Сеть_и_дети'!K73-'06_Сеть_и_дети'!K101)*IF('01_Вводные'!$B$239="Да",MeanMinAge21+'19_Расчет_аналитики'!K1572*SUMIF(ThresholdAge21,"&lt;"&amp;'19_Расчет_аналитики'!K1572,WeightedRevAge21)-SUMIF(ThresholdAge21,"&lt;"&amp;'19_Расчет_аналитики'!K1572,WeightedMinAge21),MAX(CapacityAge21*'01_Вводные'!$B$218*'19_Расчет_аналитики'!K1572,MeanMinAge21)))</f>
        <v/>
      </c>
      <c r="L1524">
        <f>IF(OR(('06_Сеть_и_дети'!L73-'06_Сеть_и_дети'!L101)=0,21&lt;='01_Вводные'!$B$297),0,('06_Сеть_и_дети'!L73-'06_Сеть_и_дети'!L101)*IF('01_Вводные'!$B$239="Да",MeanMinAge21+'19_Расчет_аналитики'!L1572*SUMIF(ThresholdAge21,"&lt;"&amp;'19_Расчет_аналитики'!L1572,WeightedRevAge21)-SUMIF(ThresholdAge21,"&lt;"&amp;'19_Расчет_аналитики'!L1572,WeightedMinAge21),MAX(CapacityAge21*'01_Вводные'!$B$218*'19_Расчет_аналитики'!L1572,MeanMinAge21)))</f>
        <v/>
      </c>
      <c r="M1524">
        <f>IF(OR(('06_Сеть_и_дети'!M73-'06_Сеть_и_дети'!M101)=0,21&lt;='01_Вводные'!$B$297),0,('06_Сеть_и_дети'!M73-'06_Сеть_и_дети'!M101)*IF('01_Вводные'!$B$239="Да",MeanMinAge21+'19_Расчет_аналитики'!M1572*SUMIF(ThresholdAge21,"&lt;"&amp;'19_Расчет_аналитики'!M1572,WeightedRevAge21)-SUMIF(ThresholdAge21,"&lt;"&amp;'19_Расчет_аналитики'!M1572,WeightedMinAge21),MAX(CapacityAge21*'01_Вводные'!$B$218*'19_Расчет_аналитики'!M1572,MeanMinAge21)))</f>
        <v/>
      </c>
      <c r="N1524">
        <f>IF(OR(('06_Сеть_и_дети'!N73-'06_Сеть_и_дети'!N101)=0,21&lt;='01_Вводные'!$B$297),0,('06_Сеть_и_дети'!N73-'06_Сеть_и_дети'!N101)*IF('01_Вводные'!$B$239="Да",MeanMinAge21+'19_Расчет_аналитики'!N1572*SUMIF(ThresholdAge21,"&lt;"&amp;'19_Расчет_аналитики'!N1572,WeightedRevAge21)-SUMIF(ThresholdAge21,"&lt;"&amp;'19_Расчет_аналитики'!N1572,WeightedMinAge21),MAX(CapacityAge21*'01_Вводные'!$B$218*'19_Расчет_аналитики'!N1572,MeanMinAge21)))</f>
        <v/>
      </c>
      <c r="O1524">
        <f>IF(OR(('06_Сеть_и_дети'!O73-'06_Сеть_и_дети'!O101)=0,21&lt;='01_Вводные'!$B$297),0,('06_Сеть_и_дети'!O73-'06_Сеть_и_дети'!O101)*IF('01_Вводные'!$B$239="Да",MeanMinAge21+'19_Расчет_аналитики'!O1572*SUMIF(ThresholdAge21,"&lt;"&amp;'19_Расчет_аналитики'!O1572,WeightedRevAge21)-SUMIF(ThresholdAge21,"&lt;"&amp;'19_Расчет_аналитики'!O1572,WeightedMinAge21),MAX(CapacityAge21*'01_Вводные'!$B$218*'19_Расчет_аналитики'!O1572,MeanMinAge21)))</f>
        <v/>
      </c>
      <c r="P1524">
        <f>IF(OR(('06_Сеть_и_дети'!P73-'06_Сеть_и_дети'!P101)=0,21&lt;='01_Вводные'!$B$297),0,('06_Сеть_и_дети'!P73-'06_Сеть_и_дети'!P101)*IF('01_Вводные'!$B$239="Да",MeanMinAge21+'19_Расчет_аналитики'!P1572*SUMIF(ThresholdAge21,"&lt;"&amp;'19_Расчет_аналитики'!P1572,WeightedRevAge21)-SUMIF(ThresholdAge21,"&lt;"&amp;'19_Расчет_аналитики'!P1572,WeightedMinAge21),MAX(CapacityAge21*'01_Вводные'!$B$218*'19_Расчет_аналитики'!P1572,MeanMinAge21)))</f>
        <v/>
      </c>
      <c r="Q1524">
        <f>IF(OR(('06_Сеть_и_дети'!Q73-'06_Сеть_и_дети'!Q101)=0,21&lt;='01_Вводные'!$B$297),0,('06_Сеть_и_дети'!Q73-'06_Сеть_и_дети'!Q101)*IF('01_Вводные'!$B$239="Да",MeanMinAge21+'19_Расчет_аналитики'!Q1572*SUMIF(ThresholdAge21,"&lt;"&amp;'19_Расчет_аналитики'!Q1572,WeightedRevAge21)-SUMIF(ThresholdAge21,"&lt;"&amp;'19_Расчет_аналитики'!Q1572,WeightedMinAge21),MAX(CapacityAge21*'01_Вводные'!$B$218*'19_Расчет_аналитики'!Q1572,MeanMinAge21)))</f>
        <v/>
      </c>
      <c r="R1524">
        <f>IF(OR(('06_Сеть_и_дети'!R73-'06_Сеть_и_дети'!R101)=0,21&lt;='01_Вводные'!$B$297),0,('06_Сеть_и_дети'!R73-'06_Сеть_и_дети'!R101)*IF('01_Вводные'!$B$239="Да",MeanMinAge21+'19_Расчет_аналитики'!R1572*SUMIF(ThresholdAge21,"&lt;"&amp;'19_Расчет_аналитики'!R1572,WeightedRevAge21)-SUMIF(ThresholdAge21,"&lt;"&amp;'19_Расчет_аналитики'!R1572,WeightedMinAge21),MAX(CapacityAge21*'01_Вводные'!$B$218*'19_Расчет_аналитики'!R1572,MeanMinAge21)))</f>
        <v/>
      </c>
      <c r="S1524">
        <f>IF(OR(('06_Сеть_и_дети'!S73-'06_Сеть_и_дети'!S101)=0,21&lt;='01_Вводные'!$B$297),0,('06_Сеть_и_дети'!S73-'06_Сеть_и_дети'!S101)*IF('01_Вводные'!$B$239="Да",MeanMinAge21+'19_Расчет_аналитики'!S1572*SUMIF(ThresholdAge21,"&lt;"&amp;'19_Расчет_аналитики'!S1572,WeightedRevAge21)-SUMIF(ThresholdAge21,"&lt;"&amp;'19_Расчет_аналитики'!S1572,WeightedMinAge21),MAX(CapacityAge21*'01_Вводные'!$B$218*'19_Расчет_аналитики'!S1572,MeanMinAge21)))</f>
        <v/>
      </c>
      <c r="T1524">
        <f>IF(OR(('06_Сеть_и_дети'!T73-'06_Сеть_и_дети'!T101)=0,21&lt;='01_Вводные'!$B$297),0,('06_Сеть_и_дети'!T73-'06_Сеть_и_дети'!T101)*IF('01_Вводные'!$B$239="Да",MeanMinAge21+'19_Расчет_аналитики'!T1572*SUMIF(ThresholdAge21,"&lt;"&amp;'19_Расчет_аналитики'!T1572,WeightedRevAge21)-SUMIF(ThresholdAge21,"&lt;"&amp;'19_Расчет_аналитики'!T1572,WeightedMinAge21),MAX(CapacityAge21*'01_Вводные'!$B$218*'19_Расчет_аналитики'!T1572,MeanMinAge21)))</f>
        <v/>
      </c>
      <c r="U1524">
        <f>IF(OR(('06_Сеть_и_дети'!U73-'06_Сеть_и_дети'!U101)=0,21&lt;='01_Вводные'!$B$297),0,('06_Сеть_и_дети'!U73-'06_Сеть_и_дети'!U101)*IF('01_Вводные'!$B$239="Да",MeanMinAge21+'19_Расчет_аналитики'!U1572*SUMIF(ThresholdAge21,"&lt;"&amp;'19_Расчет_аналитики'!U1572,WeightedRevAge21)-SUMIF(ThresholdAge21,"&lt;"&amp;'19_Расчет_аналитики'!U1572,WeightedMinAge21),MAX(CapacityAge21*'01_Вводные'!$B$218*'19_Расчет_аналитики'!U1572,MeanMinAge21)))</f>
        <v/>
      </c>
      <c r="V1524">
        <f>IF(OR(('19_Расчет_аналитики'!V1440-'19_Расчет_аналитики'!V1468)=0,21&lt;='01_Вводные'!$B$297),0,('19_Расчет_аналитики'!V1440-'19_Расчет_аналитики'!V1468)*IF('01_Вводные'!$B$239="Да",MeanMinAge21+'19_Расчет_аналитики'!V1572*SUMIF(ThresholdAge21,"&lt;"&amp;'19_Расчет_аналитики'!V1572,WeightedRevAge21)-SUMIF(ThresholdAge21,"&lt;"&amp;'19_Расчет_аналитики'!V1572,WeightedMinAge21),MAX(CapacityAge21*'01_Вводные'!$B$218*'19_Расчет_аналитики'!V1572,MeanMinAge21)))</f>
        <v/>
      </c>
      <c r="W1524">
        <f>IF(OR(('19_Расчет_аналитики'!W1440-'19_Расчет_аналитики'!W1468)=0,21&lt;='01_Вводные'!$B$297),0,('19_Расчет_аналитики'!W1440-'19_Расчет_аналитики'!W1468)*IF('01_Вводные'!$B$239="Да",MeanMinAge21+'19_Расчет_аналитики'!W1572*SUMIF(ThresholdAge21,"&lt;"&amp;'19_Расчет_аналитики'!W1572,WeightedRevAge21)-SUMIF(ThresholdAge21,"&lt;"&amp;'19_Расчет_аналитики'!W1572,WeightedMinAge21),MAX(CapacityAge21*'01_Вводные'!$B$218*'19_Расчет_аналитики'!W1572,MeanMinAge21)))</f>
        <v/>
      </c>
      <c r="X1524">
        <f>IF(OR(('19_Расчет_аналитики'!X1440-'19_Расчет_аналитики'!X1468)=0,21&lt;='01_Вводные'!$B$297),0,('19_Расчет_аналитики'!X1440-'19_Расчет_аналитики'!X1468)*IF('01_Вводные'!$B$239="Да",MeanMinAge21+'19_Расчет_аналитики'!X1572*SUMIF(ThresholdAge21,"&lt;"&amp;'19_Расчет_аналитики'!X1572,WeightedRevAge21)-SUMIF(ThresholdAge21,"&lt;"&amp;'19_Расчет_аналитики'!X1572,WeightedMinAge21),MAX(CapacityAge21*'01_Вводные'!$B$218*'19_Расчет_аналитики'!X1572,MeanMinAge21)))</f>
        <v/>
      </c>
      <c r="Y1524">
        <f>IF(OR(('19_Расчет_аналитики'!Y1440-'19_Расчет_аналитики'!Y1468)=0,21&lt;='01_Вводные'!$B$297),0,('19_Расчет_аналитики'!Y1440-'19_Расчет_аналитики'!Y1468)*IF('01_Вводные'!$B$239="Да",MeanMinAge21+'19_Расчет_аналитики'!Y1572*SUMIF(ThresholdAge21,"&lt;"&amp;'19_Расчет_аналитики'!Y1572,WeightedRevAge21)-SUMIF(ThresholdAge21,"&lt;"&amp;'19_Расчет_аналитики'!Y1572,WeightedMinAge21),MAX(CapacityAge21*'01_Вводные'!$B$218*'19_Расчет_аналитики'!Y1572,MeanMinAge21)))</f>
        <v/>
      </c>
      <c r="Z1524">
        <f>IF(OR(('19_Расчет_аналитики'!Z1440-'19_Расчет_аналитики'!Z1468)=0,21&lt;='01_Вводные'!$B$297),0,('19_Расчет_аналитики'!Z1440-'19_Расчет_аналитики'!Z1468)*IF('01_Вводные'!$B$239="Да",MeanMinAge21+'19_Расчет_аналитики'!Z1572*SUMIF(ThresholdAge21,"&lt;"&amp;'19_Расчет_аналитики'!Z1572,WeightedRevAge21)-SUMIF(ThresholdAge21,"&lt;"&amp;'19_Расчет_аналитики'!Z1572,WeightedMinAge21),MAX(CapacityAge21*'01_Вводные'!$B$218*'19_Расчет_аналитики'!Z1572,MeanMinAge21)))</f>
        <v/>
      </c>
      <c r="AA1524">
        <f>IF(OR(('19_Расчет_аналитики'!AA1440-'19_Расчет_аналитики'!AA1468)=0,21&lt;='01_Вводные'!$B$297),0,('19_Расчет_аналитики'!AA1440-'19_Расчет_аналитики'!AA1468)*IF('01_Вводные'!$B$239="Да",MeanMinAge21+'19_Расчет_аналитики'!AA1572*SUMIF(ThresholdAge21,"&lt;"&amp;'19_Расчет_аналитики'!AA1572,WeightedRevAge21)-SUMIF(ThresholdAge21,"&lt;"&amp;'19_Расчет_аналитики'!AA1572,WeightedMinAge21),MAX(CapacityAge21*'01_Вводные'!$B$218*'19_Расчет_аналитики'!AA1572,MeanMinAge21)))</f>
        <v/>
      </c>
      <c r="AB1524">
        <f>IF(OR(('19_Расчет_аналитики'!AB1440-'19_Расчет_аналитики'!AB1468)=0,21&lt;='01_Вводные'!$B$297),0,('19_Расчет_аналитики'!AB1440-'19_Расчет_аналитики'!AB1468)*IF('01_Вводные'!$B$239="Да",MeanMinAge21+'19_Расчет_аналитики'!AB1572*SUMIF(ThresholdAge21,"&lt;"&amp;'19_Расчет_аналитики'!AB1572,WeightedRevAge21)-SUMIF(ThresholdAge21,"&lt;"&amp;'19_Расчет_аналитики'!AB1572,WeightedMinAge21),MAX(CapacityAge21*'01_Вводные'!$B$218*'19_Расчет_аналитики'!AB1572,MeanMinAge21)))</f>
        <v/>
      </c>
      <c r="AC1524">
        <f>IF(OR(('19_Расчет_аналитики'!AC1440-'19_Расчет_аналитики'!AC1468)=0,21&lt;='01_Вводные'!$B$297),0,('19_Расчет_аналитики'!AC1440-'19_Расчет_аналитики'!AC1468)*IF('01_Вводные'!$B$239="Да",MeanMinAge21+'19_Расчет_аналитики'!AC1572*SUMIF(ThresholdAge21,"&lt;"&amp;'19_Расчет_аналитики'!AC1572,WeightedRevAge21)-SUMIF(ThresholdAge21,"&lt;"&amp;'19_Расчет_аналитики'!AC1572,WeightedMinAge21),MAX(CapacityAge21*'01_Вводные'!$B$218*'19_Расчет_аналитики'!AC1572,MeanMinAge21)))</f>
        <v/>
      </c>
      <c r="AD1524">
        <f>IF(OR(('19_Расчет_аналитики'!AD1440-'19_Расчет_аналитики'!AD1468)=0,21&lt;='01_Вводные'!$B$297),0,('19_Расчет_аналитики'!AD1440-'19_Расчет_аналитики'!AD1468)*IF('01_Вводные'!$B$239="Да",MeanMinAge21+'19_Расчет_аналитики'!AD1572*SUMIF(ThresholdAge21,"&lt;"&amp;'19_Расчет_аналитики'!AD1572,WeightedRevAge21)-SUMIF(ThresholdAge21,"&lt;"&amp;'19_Расчет_аналитики'!AD1572,WeightedMinAge21),MAX(CapacityAge21*'01_Вводные'!$B$218*'19_Расчет_аналитики'!AD1572,MeanMinAge21)))</f>
        <v/>
      </c>
      <c r="AE1524">
        <f>IF(OR(('19_Расчет_аналитики'!AE1440-'19_Расчет_аналитики'!AE1468)=0,21&lt;='01_Вводные'!$B$297),0,('19_Расчет_аналитики'!AE1440-'19_Расчет_аналитики'!AE1468)*IF('01_Вводные'!$B$239="Да",MeanMinAge21+'19_Расчет_аналитики'!AE1572*SUMIF(ThresholdAge21,"&lt;"&amp;'19_Расчет_аналитики'!AE1572,WeightedRevAge21)-SUMIF(ThresholdAge21,"&lt;"&amp;'19_Расчет_аналитики'!AE1572,WeightedMinAge21),MAX(CapacityAge21*'01_Вводные'!$B$218*'19_Расчет_аналитики'!AE1572,MeanMinAge21)))</f>
        <v/>
      </c>
      <c r="AF1524">
        <f>IF(OR(('19_Расчет_аналитики'!AF1440-'19_Расчет_аналитики'!AF1468)=0,21&lt;='01_Вводные'!$B$297),0,('19_Расчет_аналитики'!AF1440-'19_Расчет_аналитики'!AF1468)*IF('01_Вводные'!$B$239="Да",MeanMinAge21+'19_Расчет_аналитики'!AF1572*SUMIF(ThresholdAge21,"&lt;"&amp;'19_Расчет_аналитики'!AF1572,WeightedRevAge21)-SUMIF(ThresholdAge21,"&lt;"&amp;'19_Расчет_аналитики'!AF1572,WeightedMinAge21),MAX(CapacityAge21*'01_Вводные'!$B$218*'19_Расчет_аналитики'!AF1572,MeanMinAge21)))</f>
        <v/>
      </c>
      <c r="AG1524">
        <f>IF(OR(('19_Расчет_аналитики'!AG1440-'19_Расчет_аналитики'!AG1468)=0,21&lt;='01_Вводные'!$B$297),0,('19_Расчет_аналитики'!AG1440-'19_Расчет_аналитики'!AG1468)*IF('01_Вводные'!$B$239="Да",MeanMinAge21+'19_Расчет_аналитики'!AG1572*SUMIF(ThresholdAge21,"&lt;"&amp;'19_Расчет_аналитики'!AG1572,WeightedRevAge21)-SUMIF(ThresholdAge21,"&lt;"&amp;'19_Расчет_аналитики'!AG1572,WeightedMinAge21),MAX(CapacityAge21*'01_Вводные'!$B$218*'19_Расчет_аналитики'!AG1572,MeanMinAge21)))</f>
        <v/>
      </c>
      <c r="AH1524">
        <f>IF(OR(('19_Расчет_аналитики'!AH1440-'19_Расчет_аналитики'!AH1468)=0,21&lt;='01_Вводные'!$B$297),0,('19_Расчет_аналитики'!AH1440-'19_Расчет_аналитики'!AH1468)*IF('01_Вводные'!$B$239="Да",MeanMinAge21+'19_Расчет_аналитики'!AH1572*SUMIF(ThresholdAge21,"&lt;"&amp;'19_Расчет_аналитики'!AH1572,WeightedRevAge21)-SUMIF(ThresholdAge21,"&lt;"&amp;'19_Расчет_аналитики'!AH1572,WeightedMinAge21),MAX(CapacityAge21*'01_Вводные'!$B$218*'19_Расчет_аналитики'!AH1572,MeanMinAge21)))</f>
        <v/>
      </c>
      <c r="AI1524">
        <f>IF(OR(('19_Расчет_аналитики'!AI1440-'19_Расчет_аналитики'!AI1468)=0,21&lt;='01_Вводные'!$B$297),0,('19_Расчет_аналитики'!AI1440-'19_Расчет_аналитики'!AI1468)*IF('01_Вводные'!$B$239="Да",MeanMinAge21+'19_Расчет_аналитики'!AI1572*SUMIF(ThresholdAge21,"&lt;"&amp;'19_Расчет_аналитики'!AI1572,WeightedRevAge21)-SUMIF(ThresholdAge21,"&lt;"&amp;'19_Расчет_аналитики'!AI1572,WeightedMinAge21),MAX(CapacityAge21*'01_Вводные'!$B$218*'19_Расчет_аналитики'!AI1572,MeanMinAge21)))</f>
        <v/>
      </c>
      <c r="AJ1524">
        <f>IF(OR(('19_Расчет_аналитики'!AJ1440-'19_Расчет_аналитики'!AJ1468)=0,21&lt;='01_Вводные'!$B$297),0,('19_Расчет_аналитики'!AJ1440-'19_Расчет_аналитики'!AJ1468)*IF('01_Вводные'!$B$239="Да",MeanMinAge21+'19_Расчет_аналитики'!AJ1572*SUMIF(ThresholdAge21,"&lt;"&amp;'19_Расчет_аналитики'!AJ1572,WeightedRevAge21)-SUMIF(ThresholdAge21,"&lt;"&amp;'19_Расчет_аналитики'!AJ1572,WeightedMinAge21),MAX(CapacityAge21*'01_Вводные'!$B$218*'19_Расчет_аналитики'!AJ1572,MeanMinAge21)))</f>
        <v/>
      </c>
      <c r="AK1524">
        <f>IF(OR(('19_Расчет_аналитики'!AK1440-'19_Расчет_аналитики'!AK1468)=0,21&lt;='01_Вводные'!$B$297),0,('19_Расчет_аналитики'!AK1440-'19_Расчет_аналитики'!AK1468)*IF('01_Вводные'!$B$239="Да",MeanMinAge21+'19_Расчет_аналитики'!AK1572*SUMIF(ThresholdAge21,"&lt;"&amp;'19_Расчет_аналитики'!AK1572,WeightedRevAge21)-SUMIF(ThresholdAge21,"&lt;"&amp;'19_Расчет_аналитики'!AK1572,WeightedMinAge21),MAX(CapacityAge21*'01_Вводные'!$B$218*'19_Расчет_аналитики'!AK1572,MeanMinAge21)))</f>
        <v/>
      </c>
      <c r="AL1524">
        <f>IF(OR(('19_Расчет_аналитики'!AL1440-'19_Расчет_аналитики'!AL1468)=0,21&lt;='01_Вводные'!$B$297),0,('19_Расчет_аналитики'!AL1440-'19_Расчет_аналитики'!AL1468)*IF('01_Вводные'!$B$239="Да",MeanMinAge21+'19_Расчет_аналитики'!AL1572*SUMIF(ThresholdAge21,"&lt;"&amp;'19_Расчет_аналитики'!AL1572,WeightedRevAge21)-SUMIF(ThresholdAge21,"&lt;"&amp;'19_Расчет_аналитики'!AL1572,WeightedMinAge21),MAX(CapacityAge21*'01_Вводные'!$B$218*'19_Расчет_аналитики'!AL1572,MeanMinAge21)))</f>
        <v/>
      </c>
      <c r="AM1524">
        <f>IF(OR(('19_Расчет_аналитики'!AM1440-'19_Расчет_аналитики'!AM1468)=0,21&lt;='01_Вводные'!$B$297),0,('19_Расчет_аналитики'!AM1440-'19_Расчет_аналитики'!AM1468)*IF('01_Вводные'!$B$239="Да",MeanMinAge21+'19_Расчет_аналитики'!AM1572*SUMIF(ThresholdAge21,"&lt;"&amp;'19_Расчет_аналитики'!AM1572,WeightedRevAge21)-SUMIF(ThresholdAge21,"&lt;"&amp;'19_Расчет_аналитики'!AM1572,WeightedMinAge21),MAX(CapacityAge21*'01_Вводные'!$B$218*'19_Расчет_аналитики'!AM1572,MeanMinAge21)))</f>
        <v/>
      </c>
      <c r="AN1524">
        <f>IF(OR(('19_Расчет_аналитики'!AN1440-'19_Расчет_аналитики'!AN1468)=0,21&lt;='01_Вводные'!$B$297),0,('19_Расчет_аналитики'!AN1440-'19_Расчет_аналитики'!AN1468)*IF('01_Вводные'!$B$239="Да",MeanMinAge21+'19_Расчет_аналитики'!AN1572*SUMIF(ThresholdAge21,"&lt;"&amp;'19_Расчет_аналитики'!AN1572,WeightedRevAge21)-SUMIF(ThresholdAge21,"&lt;"&amp;'19_Расчет_аналитики'!AN1572,WeightedMinAge21),MAX(CapacityAge21*'01_Вводные'!$B$218*'19_Расчет_аналитики'!AN1572,MeanMinAge21)))</f>
        <v/>
      </c>
      <c r="AO1524">
        <f>IF(OR(('19_Расчет_аналитики'!AO1440-'19_Расчет_аналитики'!AO1468)=0,21&lt;='01_Вводные'!$B$297),0,('19_Расчет_аналитики'!AO1440-'19_Расчет_аналитики'!AO1468)*IF('01_Вводные'!$B$239="Да",MeanMinAge21+'19_Расчет_аналитики'!AO1572*SUMIF(ThresholdAge21,"&lt;"&amp;'19_Расчет_аналитики'!AO1572,WeightedRevAge21)-SUMIF(ThresholdAge21,"&lt;"&amp;'19_Расчет_аналитики'!AO1572,WeightedMinAge21),MAX(CapacityAge21*'01_Вводные'!$B$218*'19_Расчет_аналитики'!AO1572,MeanMinAge21)))</f>
        <v/>
      </c>
      <c r="AP1524">
        <f>IF(OR(('19_Расчет_аналитики'!AP1440-'19_Расчет_аналитики'!AP1468)=0,21&lt;='01_Вводные'!$B$297),0,('19_Расчет_аналитики'!AP1440-'19_Расчет_аналитики'!AP1468)*IF('01_Вводные'!$B$239="Да",MeanMinAge21+'19_Расчет_аналитики'!AP1572*SUMIF(ThresholdAge21,"&lt;"&amp;'19_Расчет_аналитики'!AP1572,WeightedRevAge21)-SUMIF(ThresholdAge21,"&lt;"&amp;'19_Расчет_аналитики'!AP1572,WeightedMinAge21),MAX(CapacityAge21*'01_Вводные'!$B$218*'19_Расчет_аналитики'!AP1572,MeanMinAge21)))</f>
        <v/>
      </c>
      <c r="AQ1524">
        <f>IF(OR(('19_Расчет_аналитики'!AQ1440-'19_Расчет_аналитики'!AQ1468)=0,21&lt;='01_Вводные'!$B$297),0,('19_Расчет_аналитики'!AQ1440-'19_Расчет_аналитики'!AQ1468)*IF('01_Вводные'!$B$239="Да",MeanMinAge21+'19_Расчет_аналитики'!AQ1572*SUMIF(ThresholdAge21,"&lt;"&amp;'19_Расчет_аналитики'!AQ1572,WeightedRevAge21)-SUMIF(ThresholdAge21,"&lt;"&amp;'19_Расчет_аналитики'!AQ1572,WeightedMinAge21),MAX(CapacityAge21*'01_Вводные'!$B$218*'19_Расчет_аналитики'!AQ1572,MeanMinAge21)))</f>
        <v/>
      </c>
      <c r="AR1524">
        <f>IF(OR(('19_Расчет_аналитики'!AR1440-'19_Расчет_аналитики'!AR1468)=0,21&lt;='01_Вводные'!$B$297),0,('19_Расчет_аналитики'!AR1440-'19_Расчет_аналитики'!AR1468)*IF('01_Вводные'!$B$239="Да",MeanMinAge21+'19_Расчет_аналитики'!AR1572*SUMIF(ThresholdAge21,"&lt;"&amp;'19_Расчет_аналитики'!AR1572,WeightedRevAge21)-SUMIF(ThresholdAge21,"&lt;"&amp;'19_Расчет_аналитики'!AR1572,WeightedMinAge21),MAX(CapacityAge21*'01_Вводные'!$B$218*'19_Расчет_аналитики'!AR1572,MeanMinAge21)))</f>
        <v/>
      </c>
      <c r="AS1524">
        <f>IF(OR(('19_Расчет_аналитики'!AS1440-'19_Расчет_аналитики'!AS1468)=0,21&lt;='01_Вводные'!$B$297),0,('19_Расчет_аналитики'!AS1440-'19_Расчет_аналитики'!AS1468)*IF('01_Вводные'!$B$239="Да",MeanMinAge21+'19_Расчет_аналитики'!AS1572*SUMIF(ThresholdAge21,"&lt;"&amp;'19_Расчет_аналитики'!AS1572,WeightedRevAge21)-SUMIF(ThresholdAge21,"&lt;"&amp;'19_Расчет_аналитики'!AS1572,WeightedMinAge21),MAX(CapacityAge21*'01_Вводные'!$B$218*'19_Расчет_аналитики'!AS1572,MeanMinAge21)))</f>
        <v/>
      </c>
      <c r="AT1524">
        <f>IF(OR(('19_Расчет_аналитики'!AT1440-'19_Расчет_аналитики'!AT1468)=0,21&lt;='01_Вводные'!$B$297),0,('19_Расчет_аналитики'!AT1440-'19_Расчет_аналитики'!AT1468)*IF('01_Вводные'!$B$239="Да",MeanMinAge21+'19_Расчет_аналитики'!AT1572*SUMIF(ThresholdAge21,"&lt;"&amp;'19_Расчет_аналитики'!AT1572,WeightedRevAge21)-SUMIF(ThresholdAge21,"&lt;"&amp;'19_Расчет_аналитики'!AT1572,WeightedMinAge21),MAX(CapacityAge21*'01_Вводные'!$B$218*'19_Расчет_аналитики'!AT1572,MeanMinAge21)))</f>
        <v/>
      </c>
      <c r="AU1524">
        <f>IF(OR(('19_Расчет_аналитики'!AU1440-'19_Расчет_аналитики'!AU1468)=0,21&lt;='01_Вводные'!$B$297),0,('19_Расчет_аналитики'!AU1440-'19_Расчет_аналитики'!AU1468)*IF('01_Вводные'!$B$239="Да",MeanMinAge21+'19_Расчет_аналитики'!AU1572*SUMIF(ThresholdAge21,"&lt;"&amp;'19_Расчет_аналитики'!AU1572,WeightedRevAge21)-SUMIF(ThresholdAge21,"&lt;"&amp;'19_Расчет_аналитики'!AU1572,WeightedMinAge21),MAX(CapacityAge21*'01_Вводные'!$B$218*'19_Расчет_аналитики'!AU1572,MeanMinAge21)))</f>
        <v/>
      </c>
      <c r="AV1524">
        <f>IF(OR(('19_Расчет_аналитики'!AV1440-'19_Расчет_аналитики'!AV1468)=0,21&lt;='01_Вводные'!$B$297),0,('19_Расчет_аналитики'!AV1440-'19_Расчет_аналитики'!AV1468)*IF('01_Вводные'!$B$239="Да",MeanMinAge21+'19_Расчет_аналитики'!AV1572*SUMIF(ThresholdAge21,"&lt;"&amp;'19_Расчет_аналитики'!AV1572,WeightedRevAge21)-SUMIF(ThresholdAge21,"&lt;"&amp;'19_Расчет_аналитики'!AV1572,WeightedMinAge21),MAX(CapacityAge21*'01_Вводные'!$B$218*'19_Расчет_аналитики'!AV1572,MeanMinAge21)))</f>
        <v/>
      </c>
      <c r="AW1524">
        <f>IF(OR(('19_Расчет_аналитики'!AW1440-'19_Расчет_аналитики'!AW1468)=0,21&lt;='01_Вводные'!$B$297),0,('19_Расчет_аналитики'!AW1440-'19_Расчет_аналитики'!AW1468)*IF('01_Вводные'!$B$239="Да",MeanMinAge21+'19_Расчет_аналитики'!AW1572*SUMIF(ThresholdAge21,"&lt;"&amp;'19_Расчет_аналитики'!AW1572,WeightedRevAge21)-SUMIF(ThresholdAge21,"&lt;"&amp;'19_Расчет_аналитики'!AW1572,WeightedMinAge21),MAX(CapacityAge21*'01_Вводные'!$B$218*'19_Расчет_аналитики'!AW1572,MeanMinAge21)))</f>
        <v/>
      </c>
      <c r="AX1524">
        <f>IF(OR(('19_Расчет_аналитики'!AX1440-'19_Расчет_аналитики'!AX1468)=0,21&lt;='01_Вводные'!$B$297),0,('19_Расчет_аналитики'!AX1440-'19_Расчет_аналитики'!AX1468)*IF('01_Вводные'!$B$239="Да",MeanMinAge21+'19_Расчет_аналитики'!AX1572*SUMIF(ThresholdAge21,"&lt;"&amp;'19_Расчет_аналитики'!AX1572,WeightedRevAge21)-SUMIF(ThresholdAge21,"&lt;"&amp;'19_Расчет_аналитики'!AX1572,WeightedMinAge21),MAX(CapacityAge21*'01_Вводные'!$B$218*'19_Расчет_аналитики'!AX1572,MeanMinAge21)))</f>
        <v/>
      </c>
      <c r="AY1524">
        <f>IF(OR(('19_Расчет_аналитики'!AY1440-'19_Расчет_аналитики'!AY1468)=0,21&lt;='01_Вводные'!$B$297),0,('19_Расчет_аналитики'!AY1440-'19_Расчет_аналитики'!AY1468)*IF('01_Вводные'!$B$239="Да",MeanMinAge21+'19_Расчет_аналитики'!AY1572*SUMIF(ThresholdAge21,"&lt;"&amp;'19_Расчет_аналитики'!AY1572,WeightedRevAge21)-SUMIF(ThresholdAge21,"&lt;"&amp;'19_Расчет_аналитики'!AY1572,WeightedMinAge21),MAX(CapacityAge21*'01_Вводные'!$B$218*'19_Расчет_аналитики'!AY1572,MeanMinAge21)))</f>
        <v/>
      </c>
      <c r="AZ1524">
        <f>IF(OR(('19_Расчет_аналитики'!AZ1440-'19_Расчет_аналитики'!AZ1468)=0,21&lt;='01_Вводные'!$B$297),0,('19_Расчет_аналитики'!AZ1440-'19_Расчет_аналитики'!AZ1468)*IF('01_Вводные'!$B$239="Да",MeanMinAge21+'19_Расчет_аналитики'!AZ1572*SUMIF(ThresholdAge21,"&lt;"&amp;'19_Расчет_аналитики'!AZ1572,WeightedRevAge21)-SUMIF(ThresholdAge21,"&lt;"&amp;'19_Расчет_аналитики'!AZ1572,WeightedMinAge21),MAX(CapacityAge21*'01_Вводные'!$B$218*'19_Расчет_аналитики'!AZ1572,MeanMinAge21)))</f>
        <v/>
      </c>
      <c r="BA1524">
        <f>IF(OR(('19_Расчет_аналитики'!BA1440-'19_Расчет_аналитики'!BA1468)=0,21&lt;='01_Вводные'!$B$297),0,('19_Расчет_аналитики'!BA1440-'19_Расчет_аналитики'!BA1468)*IF('01_Вводные'!$B$239="Да",MeanMinAge21+'19_Расчет_аналитики'!BA1572*SUMIF(ThresholdAge21,"&lt;"&amp;'19_Расчет_аналитики'!BA1572,WeightedRevAge21)-SUMIF(ThresholdAge21,"&lt;"&amp;'19_Расчет_аналитики'!BA1572,WeightedMinAge21),MAX(CapacityAge21*'01_Вводные'!$B$218*'19_Расчет_аналитики'!BA1572,MeanMinAge21)))</f>
        <v/>
      </c>
      <c r="BB1524">
        <f>IF(OR(('19_Расчет_аналитики'!BB1440-'19_Расчет_аналитики'!BB1468)=0,21&lt;='01_Вводные'!$B$297),0,('19_Расчет_аналитики'!BB1440-'19_Расчет_аналитики'!BB1468)*IF('01_Вводные'!$B$239="Да",MeanMinAge21+'19_Расчет_аналитики'!BB1572*SUMIF(ThresholdAge21,"&lt;"&amp;'19_Расчет_аналитики'!BB1572,WeightedRevAge21)-SUMIF(ThresholdAge21,"&lt;"&amp;'19_Расчет_аналитики'!BB1572,WeightedMinAge21),MAX(CapacityAge21*'01_Вводные'!$B$218*'19_Расчет_аналитики'!BB1572,MeanMinAge21)))</f>
        <v/>
      </c>
      <c r="BC1524">
        <f>IF(OR(('19_Расчет_аналитики'!BC1440-'19_Расчет_аналитики'!BC1468)=0,21&lt;='01_Вводные'!$B$297),0,('19_Расчет_аналитики'!BC1440-'19_Расчет_аналитики'!BC1468)*IF('01_Вводные'!$B$239="Да",MeanMinAge21+'19_Расчет_аналитики'!BC1572*SUMIF(ThresholdAge21,"&lt;"&amp;'19_Расчет_аналитики'!BC1572,WeightedRevAge21)-SUMIF(ThresholdAge21,"&lt;"&amp;'19_Расчет_аналитики'!BC1572,WeightedMinAge21),MAX(CapacityAge21*'01_Вводные'!$B$218*'19_Расчет_аналитики'!BC1572,MeanMinAge21)))</f>
        <v/>
      </c>
      <c r="BD1524">
        <f>IF(OR(('19_Расчет_аналитики'!BD1440-'19_Расчет_аналитики'!BD1468)=0,21&lt;='01_Вводные'!$B$297),0,('19_Расчет_аналитики'!BD1440-'19_Расчет_аналитики'!BD1468)*IF('01_Вводные'!$B$239="Да",MeanMinAge21+'19_Расчет_аналитики'!BD1572*SUMIF(ThresholdAge21,"&lt;"&amp;'19_Расчет_аналитики'!BD1572,WeightedRevAge21)-SUMIF(ThresholdAge21,"&lt;"&amp;'19_Расчет_аналитики'!BD1572,WeightedMinAge21),MAX(CapacityAge21*'01_Вводные'!$B$218*'19_Расчет_аналитики'!BD1572,MeanMinAge21)))</f>
        <v/>
      </c>
      <c r="BE1524">
        <f>IF(OR(('19_Расчет_аналитики'!BE1440-'19_Расчет_аналитики'!BE1468)=0,21&lt;='01_Вводные'!$B$297),0,('19_Расчет_аналитики'!BE1440-'19_Расчет_аналитики'!BE1468)*IF('01_Вводные'!$B$239="Да",MeanMinAge21+'19_Расчет_аналитики'!BE1572*SUMIF(ThresholdAge21,"&lt;"&amp;'19_Расчет_аналитики'!BE1572,WeightedRevAge21)-SUMIF(ThresholdAge21,"&lt;"&amp;'19_Расчет_аналитики'!BE1572,WeightedMinAge21),MAX(CapacityAge21*'01_Вводные'!$B$218*'19_Расчет_аналитики'!BE1572,MeanMinAge21)))</f>
        <v/>
      </c>
      <c r="BF1524">
        <f>IF(OR(('19_Расчет_аналитики'!BF1440-'19_Расчет_аналитики'!BF1468)=0,21&lt;='01_Вводные'!$B$297),0,('19_Расчет_аналитики'!BF1440-'19_Расчет_аналитики'!BF1468)*IF('01_Вводные'!$B$239="Да",MeanMinAge21+'19_Расчет_аналитики'!BF1572*SUMIF(ThresholdAge21,"&lt;"&amp;'19_Расчет_аналитики'!BF1572,WeightedRevAge21)-SUMIF(ThresholdAge21,"&lt;"&amp;'19_Расчет_аналитики'!BF1572,WeightedMinAge21),MAX(CapacityAge21*'01_Вводные'!$B$218*'19_Расчет_аналитики'!BF1572,MeanMinAge21)))</f>
        <v/>
      </c>
      <c r="BG1524">
        <f>IF(OR(('19_Расчет_аналитики'!BG1440-'19_Расчет_аналитики'!BG1468)=0,21&lt;='01_Вводные'!$B$297),0,('19_Расчет_аналитики'!BG1440-'19_Расчет_аналитики'!BG1468)*IF('01_Вводные'!$B$239="Да",MeanMinAge21+'19_Расчет_аналитики'!BG1572*SUMIF(ThresholdAge21,"&lt;"&amp;'19_Расчет_аналитики'!BG1572,WeightedRevAge21)-SUMIF(ThresholdAge21,"&lt;"&amp;'19_Расчет_аналитики'!BG1572,WeightedMinAge21),MAX(CapacityAge21*'01_Вводные'!$B$218*'19_Расчет_аналитики'!BG1572,MeanMinAge21)))</f>
        <v/>
      </c>
      <c r="BH1524">
        <f>IF(OR(('19_Расчет_аналитики'!BH1440-'19_Расчет_аналитики'!BH1468)=0,21&lt;='01_Вводные'!$B$297),0,('19_Расчет_аналитики'!BH1440-'19_Расчет_аналитики'!BH1468)*IF('01_Вводные'!$B$239="Да",MeanMinAge21+'19_Расчет_аналитики'!BH1572*SUMIF(ThresholdAge21,"&lt;"&amp;'19_Расчет_аналитики'!BH1572,WeightedRevAge21)-SUMIF(ThresholdAge21,"&lt;"&amp;'19_Расчет_аналитики'!BH1572,WeightedMinAge21),MAX(CapacityAge21*'01_Вводные'!$B$218*'19_Расчет_аналитики'!BH1572,MeanMinAge21)))</f>
        <v/>
      </c>
      <c r="BI1524">
        <f>IF(OR(('19_Расчет_аналитики'!BI1440-'19_Расчет_аналитики'!BI1468)=0,21&lt;='01_Вводные'!$B$297),0,('19_Расчет_аналитики'!BI1440-'19_Расчет_аналитики'!BI1468)*IF('01_Вводные'!$B$239="Да",MeanMinAge21+'19_Расчет_аналитики'!BI1572*SUMIF(ThresholdAge21,"&lt;"&amp;'19_Расчет_аналитики'!BI1572,WeightedRevAge21)-SUMIF(ThresholdAge21,"&lt;"&amp;'19_Расчет_аналитики'!BI1572,WeightedMinAge21),MAX(CapacityAge21*'01_Вводные'!$B$218*'19_Расчет_аналитики'!BI1572,MeanMinAge21)))</f>
        <v/>
      </c>
      <c r="BJ1524">
        <f>IF(OR(('19_Расчет_аналитики'!BJ1440-'19_Расчет_аналитики'!BJ1468)=0,21&lt;='01_Вводные'!$B$297),0,('19_Расчет_аналитики'!BJ1440-'19_Расчет_аналитики'!BJ1468)*IF('01_Вводные'!$B$239="Да",MeanMinAge21+'19_Расчет_аналитики'!BJ1572*SUMIF(ThresholdAge21,"&lt;"&amp;'19_Расчет_аналитики'!BJ1572,WeightedRevAge21)-SUMIF(ThresholdAge21,"&lt;"&amp;'19_Расчет_аналитики'!BJ1572,WeightedMinAge21),MAX(CapacityAge21*'01_Вводные'!$B$218*'19_Расчет_аналитики'!BJ1572,MeanMinAge21)))</f>
        <v/>
      </c>
      <c r="BK1524">
        <f>IF(OR(('19_Расчет_аналитики'!BK1440-'19_Расчет_аналитики'!BK1468)=0,21&lt;='01_Вводные'!$B$297),0,('19_Расчет_аналитики'!BK1440-'19_Расчет_аналитики'!BK1468)*IF('01_Вводные'!$B$239="Да",MeanMinAge21+'19_Расчет_аналитики'!BK1572*SUMIF(ThresholdAge21,"&lt;"&amp;'19_Расчет_аналитики'!BK1572,WeightedRevAge21)-SUMIF(ThresholdAge21,"&lt;"&amp;'19_Расчет_аналитики'!BK1572,WeightedMinAge21),MAX(CapacityAge21*'01_Вводные'!$B$218*'19_Расчет_аналитики'!BK1572,MeanMinAge21)))</f>
        <v/>
      </c>
      <c r="BL1524">
        <f>IF(OR(('19_Расчет_аналитики'!BL1440-'19_Расчет_аналитики'!BL1468)=0,21&lt;='01_Вводные'!$B$297),0,('19_Расчет_аналитики'!BL1440-'19_Расчет_аналитики'!BL1468)*IF('01_Вводные'!$B$239="Да",MeanMinAge21+'19_Расчет_аналитики'!BL1572*SUMIF(ThresholdAge21,"&lt;"&amp;'19_Расчет_аналитики'!BL1572,WeightedRevAge21)-SUMIF(ThresholdAge21,"&lt;"&amp;'19_Расчет_аналитики'!BL1572,WeightedMinAge21),MAX(CapacityAge21*'01_Вводные'!$B$218*'19_Расчет_аналитики'!BL1572,MeanMinAge21)))</f>
        <v/>
      </c>
      <c r="BM1524">
        <f>IF(OR(('19_Расчет_аналитики'!BM1440-'19_Расчет_аналитики'!BM1468)=0,21&lt;='01_Вводные'!$B$297),0,('19_Расчет_аналитики'!BM1440-'19_Расчет_аналитики'!BM1468)*IF('01_Вводные'!$B$239="Да",MeanMinAge21+'19_Расчет_аналитики'!BM1572*SUMIF(ThresholdAge21,"&lt;"&amp;'19_Расчет_аналитики'!BM1572,WeightedRevAge21)-SUMIF(ThresholdAge21,"&lt;"&amp;'19_Расчет_аналитики'!BM1572,WeightedMinAge21),MAX(CapacityAge21*'01_Вводные'!$B$218*'19_Расчет_аналитики'!BM1572,MeanMinAge21)))</f>
        <v/>
      </c>
      <c r="BN1524">
        <f>IF(OR(('19_Расчет_аналитики'!BN1440-'19_Расчет_аналитики'!BN1468)=0,21&lt;='01_Вводные'!$B$297),0,('19_Расчет_аналитики'!BN1440-'19_Расчет_аналитики'!BN1468)*IF('01_Вводные'!$B$239="Да",MeanMinAge21+'19_Расчет_аналитики'!BN1572*SUMIF(ThresholdAge21,"&lt;"&amp;'19_Расчет_аналитики'!BN1572,WeightedRevAge21)-SUMIF(ThresholdAge21,"&lt;"&amp;'19_Расчет_аналитики'!BN1572,WeightedMinAge21),MAX(CapacityAge21*'01_Вводные'!$B$218*'19_Расчет_аналитики'!BN1572,MeanMinAge21)))</f>
        <v/>
      </c>
      <c r="BO1524">
        <f>IF(OR(('19_Расчет_аналитики'!BO1440-'19_Расчет_аналитики'!BO1468)=0,21&lt;='01_Вводные'!$B$297),0,('19_Расчет_аналитики'!BO1440-'19_Расчет_аналитики'!BO1468)*IF('01_Вводные'!$B$239="Да",MeanMinAge21+'19_Расчет_аналитики'!BO1572*SUMIF(ThresholdAge21,"&lt;"&amp;'19_Расчет_аналитики'!BO1572,WeightedRevAge21)-SUMIF(ThresholdAge21,"&lt;"&amp;'19_Расчет_аналитики'!BO1572,WeightedMinAge21),MAX(CapacityAge21*'01_Вводные'!$B$218*'19_Расчет_аналитики'!BO1572,MeanMinAge21)))</f>
        <v/>
      </c>
    </row>
    <row r="1525">
      <c r="B1525">
        <f>IF(OR(('06_Сеть_и_дети'!B74-'06_Сеть_и_дети'!B102)=0,22&lt;='01_Вводные'!$B$297),0,('06_Сеть_и_дети'!B74-'06_Сеть_и_дети'!B102)*IF('01_Вводные'!$B$239="Да",MeanMinAge22+'19_Расчет_аналитики'!B1572*SUMIF(ThresholdAge22,"&lt;"&amp;'19_Расчет_аналитики'!B1572,WeightedRevAge22)-SUMIF(ThresholdAge22,"&lt;"&amp;'19_Расчет_аналитики'!B1572,WeightedMinAge22),MAX(CapacityAge22*'01_Вводные'!$B$218*'19_Расчет_аналитики'!B1572,MeanMinAge22)))</f>
        <v/>
      </c>
      <c r="C1525">
        <f>IF(OR(('06_Сеть_и_дети'!C74-'06_Сеть_и_дети'!C102)=0,22&lt;='01_Вводные'!$B$297),0,('06_Сеть_и_дети'!C74-'06_Сеть_и_дети'!C102)*IF('01_Вводные'!$B$239="Да",MeanMinAge22+'19_Расчет_аналитики'!C1572*SUMIF(ThresholdAge22,"&lt;"&amp;'19_Расчет_аналитики'!C1572,WeightedRevAge22)-SUMIF(ThresholdAge22,"&lt;"&amp;'19_Расчет_аналитики'!C1572,WeightedMinAge22),MAX(CapacityAge22*'01_Вводные'!$B$218*'19_Расчет_аналитики'!C1572,MeanMinAge22)))</f>
        <v/>
      </c>
      <c r="D1525">
        <f>IF(OR(('06_Сеть_и_дети'!D74-'06_Сеть_и_дети'!D102)=0,22&lt;='01_Вводные'!$B$297),0,('06_Сеть_и_дети'!D74-'06_Сеть_и_дети'!D102)*IF('01_Вводные'!$B$239="Да",MeanMinAge22+'19_Расчет_аналитики'!D1572*SUMIF(ThresholdAge22,"&lt;"&amp;'19_Расчет_аналитики'!D1572,WeightedRevAge22)-SUMIF(ThresholdAge22,"&lt;"&amp;'19_Расчет_аналитики'!D1572,WeightedMinAge22),MAX(CapacityAge22*'01_Вводные'!$B$218*'19_Расчет_аналитики'!D1572,MeanMinAge22)))</f>
        <v/>
      </c>
      <c r="E1525">
        <f>IF(OR(('06_Сеть_и_дети'!E74-'06_Сеть_и_дети'!E102)=0,22&lt;='01_Вводные'!$B$297),0,('06_Сеть_и_дети'!E74-'06_Сеть_и_дети'!E102)*IF('01_Вводные'!$B$239="Да",MeanMinAge22+'19_Расчет_аналитики'!E1572*SUMIF(ThresholdAge22,"&lt;"&amp;'19_Расчет_аналитики'!E1572,WeightedRevAge22)-SUMIF(ThresholdAge22,"&lt;"&amp;'19_Расчет_аналитики'!E1572,WeightedMinAge22),MAX(CapacityAge22*'01_Вводные'!$B$218*'19_Расчет_аналитики'!E1572,MeanMinAge22)))</f>
        <v/>
      </c>
      <c r="F1525">
        <f>IF(OR(('06_Сеть_и_дети'!F74-'06_Сеть_и_дети'!F102)=0,22&lt;='01_Вводные'!$B$297),0,('06_Сеть_и_дети'!F74-'06_Сеть_и_дети'!F102)*IF('01_Вводные'!$B$239="Да",MeanMinAge22+'19_Расчет_аналитики'!F1572*SUMIF(ThresholdAge22,"&lt;"&amp;'19_Расчет_аналитики'!F1572,WeightedRevAge22)-SUMIF(ThresholdAge22,"&lt;"&amp;'19_Расчет_аналитики'!F1572,WeightedMinAge22),MAX(CapacityAge22*'01_Вводные'!$B$218*'19_Расчет_аналитики'!F1572,MeanMinAge22)))</f>
        <v/>
      </c>
      <c r="G1525">
        <f>IF(OR(('06_Сеть_и_дети'!G74-'06_Сеть_и_дети'!G102)=0,22&lt;='01_Вводные'!$B$297),0,('06_Сеть_и_дети'!G74-'06_Сеть_и_дети'!G102)*IF('01_Вводные'!$B$239="Да",MeanMinAge22+'19_Расчет_аналитики'!G1572*SUMIF(ThresholdAge22,"&lt;"&amp;'19_Расчет_аналитики'!G1572,WeightedRevAge22)-SUMIF(ThresholdAge22,"&lt;"&amp;'19_Расчет_аналитики'!G1572,WeightedMinAge22),MAX(CapacityAge22*'01_Вводные'!$B$218*'19_Расчет_аналитики'!G1572,MeanMinAge22)))</f>
        <v/>
      </c>
      <c r="H1525">
        <f>IF(OR(('06_Сеть_и_дети'!H74-'06_Сеть_и_дети'!H102)=0,22&lt;='01_Вводные'!$B$297),0,('06_Сеть_и_дети'!H74-'06_Сеть_и_дети'!H102)*IF('01_Вводные'!$B$239="Да",MeanMinAge22+'19_Расчет_аналитики'!H1572*SUMIF(ThresholdAge22,"&lt;"&amp;'19_Расчет_аналитики'!H1572,WeightedRevAge22)-SUMIF(ThresholdAge22,"&lt;"&amp;'19_Расчет_аналитики'!H1572,WeightedMinAge22),MAX(CapacityAge22*'01_Вводные'!$B$218*'19_Расчет_аналитики'!H1572,MeanMinAge22)))</f>
        <v/>
      </c>
      <c r="I1525">
        <f>IF(OR(('06_Сеть_и_дети'!I74-'06_Сеть_и_дети'!I102)=0,22&lt;='01_Вводные'!$B$297),0,('06_Сеть_и_дети'!I74-'06_Сеть_и_дети'!I102)*IF('01_Вводные'!$B$239="Да",MeanMinAge22+'19_Расчет_аналитики'!I1572*SUMIF(ThresholdAge22,"&lt;"&amp;'19_Расчет_аналитики'!I1572,WeightedRevAge22)-SUMIF(ThresholdAge22,"&lt;"&amp;'19_Расчет_аналитики'!I1572,WeightedMinAge22),MAX(CapacityAge22*'01_Вводные'!$B$218*'19_Расчет_аналитики'!I1572,MeanMinAge22)))</f>
        <v/>
      </c>
      <c r="J1525">
        <f>IF(OR(('06_Сеть_и_дети'!J74-'06_Сеть_и_дети'!J102)=0,22&lt;='01_Вводные'!$B$297),0,('06_Сеть_и_дети'!J74-'06_Сеть_и_дети'!J102)*IF('01_Вводные'!$B$239="Да",MeanMinAge22+'19_Расчет_аналитики'!J1572*SUMIF(ThresholdAge22,"&lt;"&amp;'19_Расчет_аналитики'!J1572,WeightedRevAge22)-SUMIF(ThresholdAge22,"&lt;"&amp;'19_Расчет_аналитики'!J1572,WeightedMinAge22),MAX(CapacityAge22*'01_Вводные'!$B$218*'19_Расчет_аналитики'!J1572,MeanMinAge22)))</f>
        <v/>
      </c>
      <c r="K1525">
        <f>IF(OR(('06_Сеть_и_дети'!K74-'06_Сеть_и_дети'!K102)=0,22&lt;='01_Вводные'!$B$297),0,('06_Сеть_и_дети'!K74-'06_Сеть_и_дети'!K102)*IF('01_Вводные'!$B$239="Да",MeanMinAge22+'19_Расчет_аналитики'!K1572*SUMIF(ThresholdAge22,"&lt;"&amp;'19_Расчет_аналитики'!K1572,WeightedRevAge22)-SUMIF(ThresholdAge22,"&lt;"&amp;'19_Расчет_аналитики'!K1572,WeightedMinAge22),MAX(CapacityAge22*'01_Вводные'!$B$218*'19_Расчет_аналитики'!K1572,MeanMinAge22)))</f>
        <v/>
      </c>
      <c r="L1525">
        <f>IF(OR(('06_Сеть_и_дети'!L74-'06_Сеть_и_дети'!L102)=0,22&lt;='01_Вводные'!$B$297),0,('06_Сеть_и_дети'!L74-'06_Сеть_и_дети'!L102)*IF('01_Вводные'!$B$239="Да",MeanMinAge22+'19_Расчет_аналитики'!L1572*SUMIF(ThresholdAge22,"&lt;"&amp;'19_Расчет_аналитики'!L1572,WeightedRevAge22)-SUMIF(ThresholdAge22,"&lt;"&amp;'19_Расчет_аналитики'!L1572,WeightedMinAge22),MAX(CapacityAge22*'01_Вводные'!$B$218*'19_Расчет_аналитики'!L1572,MeanMinAge22)))</f>
        <v/>
      </c>
      <c r="M1525">
        <f>IF(OR(('06_Сеть_и_дети'!M74-'06_Сеть_и_дети'!M102)=0,22&lt;='01_Вводные'!$B$297),0,('06_Сеть_и_дети'!M74-'06_Сеть_и_дети'!M102)*IF('01_Вводные'!$B$239="Да",MeanMinAge22+'19_Расчет_аналитики'!M1572*SUMIF(ThresholdAge22,"&lt;"&amp;'19_Расчет_аналитики'!M1572,WeightedRevAge22)-SUMIF(ThresholdAge22,"&lt;"&amp;'19_Расчет_аналитики'!M1572,WeightedMinAge22),MAX(CapacityAge22*'01_Вводные'!$B$218*'19_Расчет_аналитики'!M1572,MeanMinAge22)))</f>
        <v/>
      </c>
      <c r="N1525">
        <f>IF(OR(('06_Сеть_и_дети'!N74-'06_Сеть_и_дети'!N102)=0,22&lt;='01_Вводные'!$B$297),0,('06_Сеть_и_дети'!N74-'06_Сеть_и_дети'!N102)*IF('01_Вводные'!$B$239="Да",MeanMinAge22+'19_Расчет_аналитики'!N1572*SUMIF(ThresholdAge22,"&lt;"&amp;'19_Расчет_аналитики'!N1572,WeightedRevAge22)-SUMIF(ThresholdAge22,"&lt;"&amp;'19_Расчет_аналитики'!N1572,WeightedMinAge22),MAX(CapacityAge22*'01_Вводные'!$B$218*'19_Расчет_аналитики'!N1572,MeanMinAge22)))</f>
        <v/>
      </c>
      <c r="O1525">
        <f>IF(OR(('06_Сеть_и_дети'!O74-'06_Сеть_и_дети'!O102)=0,22&lt;='01_Вводные'!$B$297),0,('06_Сеть_и_дети'!O74-'06_Сеть_и_дети'!O102)*IF('01_Вводные'!$B$239="Да",MeanMinAge22+'19_Расчет_аналитики'!O1572*SUMIF(ThresholdAge22,"&lt;"&amp;'19_Расчет_аналитики'!O1572,WeightedRevAge22)-SUMIF(ThresholdAge22,"&lt;"&amp;'19_Расчет_аналитики'!O1572,WeightedMinAge22),MAX(CapacityAge22*'01_Вводные'!$B$218*'19_Расчет_аналитики'!O1572,MeanMinAge22)))</f>
        <v/>
      </c>
      <c r="P1525">
        <f>IF(OR(('06_Сеть_и_дети'!P74-'06_Сеть_и_дети'!P102)=0,22&lt;='01_Вводные'!$B$297),0,('06_Сеть_и_дети'!P74-'06_Сеть_и_дети'!P102)*IF('01_Вводные'!$B$239="Да",MeanMinAge22+'19_Расчет_аналитики'!P1572*SUMIF(ThresholdAge22,"&lt;"&amp;'19_Расчет_аналитики'!P1572,WeightedRevAge22)-SUMIF(ThresholdAge22,"&lt;"&amp;'19_Расчет_аналитики'!P1572,WeightedMinAge22),MAX(CapacityAge22*'01_Вводные'!$B$218*'19_Расчет_аналитики'!P1572,MeanMinAge22)))</f>
        <v/>
      </c>
      <c r="Q1525">
        <f>IF(OR(('06_Сеть_и_дети'!Q74-'06_Сеть_и_дети'!Q102)=0,22&lt;='01_Вводные'!$B$297),0,('06_Сеть_и_дети'!Q74-'06_Сеть_и_дети'!Q102)*IF('01_Вводные'!$B$239="Да",MeanMinAge22+'19_Расчет_аналитики'!Q1572*SUMIF(ThresholdAge22,"&lt;"&amp;'19_Расчет_аналитики'!Q1572,WeightedRevAge22)-SUMIF(ThresholdAge22,"&lt;"&amp;'19_Расчет_аналитики'!Q1572,WeightedMinAge22),MAX(CapacityAge22*'01_Вводные'!$B$218*'19_Расчет_аналитики'!Q1572,MeanMinAge22)))</f>
        <v/>
      </c>
      <c r="R1525">
        <f>IF(OR(('06_Сеть_и_дети'!R74-'06_Сеть_и_дети'!R102)=0,22&lt;='01_Вводные'!$B$297),0,('06_Сеть_и_дети'!R74-'06_Сеть_и_дети'!R102)*IF('01_Вводные'!$B$239="Да",MeanMinAge22+'19_Расчет_аналитики'!R1572*SUMIF(ThresholdAge22,"&lt;"&amp;'19_Расчет_аналитики'!R1572,WeightedRevAge22)-SUMIF(ThresholdAge22,"&lt;"&amp;'19_Расчет_аналитики'!R1572,WeightedMinAge22),MAX(CapacityAge22*'01_Вводные'!$B$218*'19_Расчет_аналитики'!R1572,MeanMinAge22)))</f>
        <v/>
      </c>
      <c r="S1525">
        <f>IF(OR(('06_Сеть_и_дети'!S74-'06_Сеть_и_дети'!S102)=0,22&lt;='01_Вводные'!$B$297),0,('06_Сеть_и_дети'!S74-'06_Сеть_и_дети'!S102)*IF('01_Вводные'!$B$239="Да",MeanMinAge22+'19_Расчет_аналитики'!S1572*SUMIF(ThresholdAge22,"&lt;"&amp;'19_Расчет_аналитики'!S1572,WeightedRevAge22)-SUMIF(ThresholdAge22,"&lt;"&amp;'19_Расчет_аналитики'!S1572,WeightedMinAge22),MAX(CapacityAge22*'01_Вводные'!$B$218*'19_Расчет_аналитики'!S1572,MeanMinAge22)))</f>
        <v/>
      </c>
      <c r="T1525">
        <f>IF(OR(('06_Сеть_и_дети'!T74-'06_Сеть_и_дети'!T102)=0,22&lt;='01_Вводные'!$B$297),0,('06_Сеть_и_дети'!T74-'06_Сеть_и_дети'!T102)*IF('01_Вводные'!$B$239="Да",MeanMinAge22+'19_Расчет_аналитики'!T1572*SUMIF(ThresholdAge22,"&lt;"&amp;'19_Расчет_аналитики'!T1572,WeightedRevAge22)-SUMIF(ThresholdAge22,"&lt;"&amp;'19_Расчет_аналитики'!T1572,WeightedMinAge22),MAX(CapacityAge22*'01_Вводные'!$B$218*'19_Расчет_аналитики'!T1572,MeanMinAge22)))</f>
        <v/>
      </c>
      <c r="U1525">
        <f>IF(OR(('06_Сеть_и_дети'!U74-'06_Сеть_и_дети'!U102)=0,22&lt;='01_Вводные'!$B$297),0,('06_Сеть_и_дети'!U74-'06_Сеть_и_дети'!U102)*IF('01_Вводные'!$B$239="Да",MeanMinAge22+'19_Расчет_аналитики'!U1572*SUMIF(ThresholdAge22,"&lt;"&amp;'19_Расчет_аналитики'!U1572,WeightedRevAge22)-SUMIF(ThresholdAge22,"&lt;"&amp;'19_Расчет_аналитики'!U1572,WeightedMinAge22),MAX(CapacityAge22*'01_Вводные'!$B$218*'19_Расчет_аналитики'!U1572,MeanMinAge22)))</f>
        <v/>
      </c>
      <c r="V1525">
        <f>IF(OR(('06_Сеть_и_дети'!V74-'06_Сеть_и_дети'!V102)=0,22&lt;='01_Вводные'!$B$297),0,('06_Сеть_и_дети'!V74-'06_Сеть_и_дети'!V102)*IF('01_Вводные'!$B$239="Да",MeanMinAge22+'19_Расчет_аналитики'!V1572*SUMIF(ThresholdAge22,"&lt;"&amp;'19_Расчет_аналитики'!V1572,WeightedRevAge22)-SUMIF(ThresholdAge22,"&lt;"&amp;'19_Расчет_аналитики'!V1572,WeightedMinAge22),MAX(CapacityAge22*'01_Вводные'!$B$218*'19_Расчет_аналитики'!V1572,MeanMinAge22)))</f>
        <v/>
      </c>
      <c r="W1525">
        <f>IF(OR(('19_Расчет_аналитики'!W1441-'19_Расчет_аналитики'!W1469)=0,22&lt;='01_Вводные'!$B$297),0,('19_Расчет_аналитики'!W1441-'19_Расчет_аналитики'!W1469)*IF('01_Вводные'!$B$239="Да",MeanMinAge22+'19_Расчет_аналитики'!W1572*SUMIF(ThresholdAge22,"&lt;"&amp;'19_Расчет_аналитики'!W1572,WeightedRevAge22)-SUMIF(ThresholdAge22,"&lt;"&amp;'19_Расчет_аналитики'!W1572,WeightedMinAge22),MAX(CapacityAge22*'01_Вводные'!$B$218*'19_Расчет_аналитики'!W1572,MeanMinAge22)))</f>
        <v/>
      </c>
      <c r="X1525">
        <f>IF(OR(('19_Расчет_аналитики'!X1441-'19_Расчет_аналитики'!X1469)=0,22&lt;='01_Вводные'!$B$297),0,('19_Расчет_аналитики'!X1441-'19_Расчет_аналитики'!X1469)*IF('01_Вводные'!$B$239="Да",MeanMinAge22+'19_Расчет_аналитики'!X1572*SUMIF(ThresholdAge22,"&lt;"&amp;'19_Расчет_аналитики'!X1572,WeightedRevAge22)-SUMIF(ThresholdAge22,"&lt;"&amp;'19_Расчет_аналитики'!X1572,WeightedMinAge22),MAX(CapacityAge22*'01_Вводные'!$B$218*'19_Расчет_аналитики'!X1572,MeanMinAge22)))</f>
        <v/>
      </c>
      <c r="Y1525">
        <f>IF(OR(('19_Расчет_аналитики'!Y1441-'19_Расчет_аналитики'!Y1469)=0,22&lt;='01_Вводные'!$B$297),0,('19_Расчет_аналитики'!Y1441-'19_Расчет_аналитики'!Y1469)*IF('01_Вводные'!$B$239="Да",MeanMinAge22+'19_Расчет_аналитики'!Y1572*SUMIF(ThresholdAge22,"&lt;"&amp;'19_Расчет_аналитики'!Y1572,WeightedRevAge22)-SUMIF(ThresholdAge22,"&lt;"&amp;'19_Расчет_аналитики'!Y1572,WeightedMinAge22),MAX(CapacityAge22*'01_Вводные'!$B$218*'19_Расчет_аналитики'!Y1572,MeanMinAge22)))</f>
        <v/>
      </c>
      <c r="Z1525">
        <f>IF(OR(('19_Расчет_аналитики'!Z1441-'19_Расчет_аналитики'!Z1469)=0,22&lt;='01_Вводные'!$B$297),0,('19_Расчет_аналитики'!Z1441-'19_Расчет_аналитики'!Z1469)*IF('01_Вводные'!$B$239="Да",MeanMinAge22+'19_Расчет_аналитики'!Z1572*SUMIF(ThresholdAge22,"&lt;"&amp;'19_Расчет_аналитики'!Z1572,WeightedRevAge22)-SUMIF(ThresholdAge22,"&lt;"&amp;'19_Расчет_аналитики'!Z1572,WeightedMinAge22),MAX(CapacityAge22*'01_Вводные'!$B$218*'19_Расчет_аналитики'!Z1572,MeanMinAge22)))</f>
        <v/>
      </c>
      <c r="AA1525">
        <f>IF(OR(('19_Расчет_аналитики'!AA1441-'19_Расчет_аналитики'!AA1469)=0,22&lt;='01_Вводные'!$B$297),0,('19_Расчет_аналитики'!AA1441-'19_Расчет_аналитики'!AA1469)*IF('01_Вводные'!$B$239="Да",MeanMinAge22+'19_Расчет_аналитики'!AA1572*SUMIF(ThresholdAge22,"&lt;"&amp;'19_Расчет_аналитики'!AA1572,WeightedRevAge22)-SUMIF(ThresholdAge22,"&lt;"&amp;'19_Расчет_аналитики'!AA1572,WeightedMinAge22),MAX(CapacityAge22*'01_Вводные'!$B$218*'19_Расчет_аналитики'!AA1572,MeanMinAge22)))</f>
        <v/>
      </c>
      <c r="AB1525">
        <f>IF(OR(('19_Расчет_аналитики'!AB1441-'19_Расчет_аналитики'!AB1469)=0,22&lt;='01_Вводные'!$B$297),0,('19_Расчет_аналитики'!AB1441-'19_Расчет_аналитики'!AB1469)*IF('01_Вводные'!$B$239="Да",MeanMinAge22+'19_Расчет_аналитики'!AB1572*SUMIF(ThresholdAge22,"&lt;"&amp;'19_Расчет_аналитики'!AB1572,WeightedRevAge22)-SUMIF(ThresholdAge22,"&lt;"&amp;'19_Расчет_аналитики'!AB1572,WeightedMinAge22),MAX(CapacityAge22*'01_Вводные'!$B$218*'19_Расчет_аналитики'!AB1572,MeanMinAge22)))</f>
        <v/>
      </c>
      <c r="AC1525">
        <f>IF(OR(('19_Расчет_аналитики'!AC1441-'19_Расчет_аналитики'!AC1469)=0,22&lt;='01_Вводные'!$B$297),0,('19_Расчет_аналитики'!AC1441-'19_Расчет_аналитики'!AC1469)*IF('01_Вводные'!$B$239="Да",MeanMinAge22+'19_Расчет_аналитики'!AC1572*SUMIF(ThresholdAge22,"&lt;"&amp;'19_Расчет_аналитики'!AC1572,WeightedRevAge22)-SUMIF(ThresholdAge22,"&lt;"&amp;'19_Расчет_аналитики'!AC1572,WeightedMinAge22),MAX(CapacityAge22*'01_Вводные'!$B$218*'19_Расчет_аналитики'!AC1572,MeanMinAge22)))</f>
        <v/>
      </c>
      <c r="AD1525">
        <f>IF(OR(('19_Расчет_аналитики'!AD1441-'19_Расчет_аналитики'!AD1469)=0,22&lt;='01_Вводные'!$B$297),0,('19_Расчет_аналитики'!AD1441-'19_Расчет_аналитики'!AD1469)*IF('01_Вводные'!$B$239="Да",MeanMinAge22+'19_Расчет_аналитики'!AD1572*SUMIF(ThresholdAge22,"&lt;"&amp;'19_Расчет_аналитики'!AD1572,WeightedRevAge22)-SUMIF(ThresholdAge22,"&lt;"&amp;'19_Расчет_аналитики'!AD1572,WeightedMinAge22),MAX(CapacityAge22*'01_Вводные'!$B$218*'19_Расчет_аналитики'!AD1572,MeanMinAge22)))</f>
        <v/>
      </c>
      <c r="AE1525">
        <f>IF(OR(('19_Расчет_аналитики'!AE1441-'19_Расчет_аналитики'!AE1469)=0,22&lt;='01_Вводные'!$B$297),0,('19_Расчет_аналитики'!AE1441-'19_Расчет_аналитики'!AE1469)*IF('01_Вводные'!$B$239="Да",MeanMinAge22+'19_Расчет_аналитики'!AE1572*SUMIF(ThresholdAge22,"&lt;"&amp;'19_Расчет_аналитики'!AE1572,WeightedRevAge22)-SUMIF(ThresholdAge22,"&lt;"&amp;'19_Расчет_аналитики'!AE1572,WeightedMinAge22),MAX(CapacityAge22*'01_Вводные'!$B$218*'19_Расчет_аналитики'!AE1572,MeanMinAge22)))</f>
        <v/>
      </c>
      <c r="AF1525">
        <f>IF(OR(('19_Расчет_аналитики'!AF1441-'19_Расчет_аналитики'!AF1469)=0,22&lt;='01_Вводные'!$B$297),0,('19_Расчет_аналитики'!AF1441-'19_Расчет_аналитики'!AF1469)*IF('01_Вводные'!$B$239="Да",MeanMinAge22+'19_Расчет_аналитики'!AF1572*SUMIF(ThresholdAge22,"&lt;"&amp;'19_Расчет_аналитики'!AF1572,WeightedRevAge22)-SUMIF(ThresholdAge22,"&lt;"&amp;'19_Расчет_аналитики'!AF1572,WeightedMinAge22),MAX(CapacityAge22*'01_Вводные'!$B$218*'19_Расчет_аналитики'!AF1572,MeanMinAge22)))</f>
        <v/>
      </c>
      <c r="AG1525">
        <f>IF(OR(('19_Расчет_аналитики'!AG1441-'19_Расчет_аналитики'!AG1469)=0,22&lt;='01_Вводные'!$B$297),0,('19_Расчет_аналитики'!AG1441-'19_Расчет_аналитики'!AG1469)*IF('01_Вводные'!$B$239="Да",MeanMinAge22+'19_Расчет_аналитики'!AG1572*SUMIF(ThresholdAge22,"&lt;"&amp;'19_Расчет_аналитики'!AG1572,WeightedRevAge22)-SUMIF(ThresholdAge22,"&lt;"&amp;'19_Расчет_аналитики'!AG1572,WeightedMinAge22),MAX(CapacityAge22*'01_Вводные'!$B$218*'19_Расчет_аналитики'!AG1572,MeanMinAge22)))</f>
        <v/>
      </c>
      <c r="AH1525">
        <f>IF(OR(('19_Расчет_аналитики'!AH1441-'19_Расчет_аналитики'!AH1469)=0,22&lt;='01_Вводные'!$B$297),0,('19_Расчет_аналитики'!AH1441-'19_Расчет_аналитики'!AH1469)*IF('01_Вводные'!$B$239="Да",MeanMinAge22+'19_Расчет_аналитики'!AH1572*SUMIF(ThresholdAge22,"&lt;"&amp;'19_Расчет_аналитики'!AH1572,WeightedRevAge22)-SUMIF(ThresholdAge22,"&lt;"&amp;'19_Расчет_аналитики'!AH1572,WeightedMinAge22),MAX(CapacityAge22*'01_Вводные'!$B$218*'19_Расчет_аналитики'!AH1572,MeanMinAge22)))</f>
        <v/>
      </c>
      <c r="AI1525">
        <f>IF(OR(('19_Расчет_аналитики'!AI1441-'19_Расчет_аналитики'!AI1469)=0,22&lt;='01_Вводные'!$B$297),0,('19_Расчет_аналитики'!AI1441-'19_Расчет_аналитики'!AI1469)*IF('01_Вводные'!$B$239="Да",MeanMinAge22+'19_Расчет_аналитики'!AI1572*SUMIF(ThresholdAge22,"&lt;"&amp;'19_Расчет_аналитики'!AI1572,WeightedRevAge22)-SUMIF(ThresholdAge22,"&lt;"&amp;'19_Расчет_аналитики'!AI1572,WeightedMinAge22),MAX(CapacityAge22*'01_Вводные'!$B$218*'19_Расчет_аналитики'!AI1572,MeanMinAge22)))</f>
        <v/>
      </c>
      <c r="AJ1525">
        <f>IF(OR(('19_Расчет_аналитики'!AJ1441-'19_Расчет_аналитики'!AJ1469)=0,22&lt;='01_Вводные'!$B$297),0,('19_Расчет_аналитики'!AJ1441-'19_Расчет_аналитики'!AJ1469)*IF('01_Вводные'!$B$239="Да",MeanMinAge22+'19_Расчет_аналитики'!AJ1572*SUMIF(ThresholdAge22,"&lt;"&amp;'19_Расчет_аналитики'!AJ1572,WeightedRevAge22)-SUMIF(ThresholdAge22,"&lt;"&amp;'19_Расчет_аналитики'!AJ1572,WeightedMinAge22),MAX(CapacityAge22*'01_Вводные'!$B$218*'19_Расчет_аналитики'!AJ1572,MeanMinAge22)))</f>
        <v/>
      </c>
      <c r="AK1525">
        <f>IF(OR(('19_Расчет_аналитики'!AK1441-'19_Расчет_аналитики'!AK1469)=0,22&lt;='01_Вводные'!$B$297),0,('19_Расчет_аналитики'!AK1441-'19_Расчет_аналитики'!AK1469)*IF('01_Вводные'!$B$239="Да",MeanMinAge22+'19_Расчет_аналитики'!AK1572*SUMIF(ThresholdAge22,"&lt;"&amp;'19_Расчет_аналитики'!AK1572,WeightedRevAge22)-SUMIF(ThresholdAge22,"&lt;"&amp;'19_Расчет_аналитики'!AK1572,WeightedMinAge22),MAX(CapacityAge22*'01_Вводные'!$B$218*'19_Расчет_аналитики'!AK1572,MeanMinAge22)))</f>
        <v/>
      </c>
      <c r="AL1525">
        <f>IF(OR(('19_Расчет_аналитики'!AL1441-'19_Расчет_аналитики'!AL1469)=0,22&lt;='01_Вводные'!$B$297),0,('19_Расчет_аналитики'!AL1441-'19_Расчет_аналитики'!AL1469)*IF('01_Вводные'!$B$239="Да",MeanMinAge22+'19_Расчет_аналитики'!AL1572*SUMIF(ThresholdAge22,"&lt;"&amp;'19_Расчет_аналитики'!AL1572,WeightedRevAge22)-SUMIF(ThresholdAge22,"&lt;"&amp;'19_Расчет_аналитики'!AL1572,WeightedMinAge22),MAX(CapacityAge22*'01_Вводные'!$B$218*'19_Расчет_аналитики'!AL1572,MeanMinAge22)))</f>
        <v/>
      </c>
      <c r="AM1525">
        <f>IF(OR(('19_Расчет_аналитики'!AM1441-'19_Расчет_аналитики'!AM1469)=0,22&lt;='01_Вводные'!$B$297),0,('19_Расчет_аналитики'!AM1441-'19_Расчет_аналитики'!AM1469)*IF('01_Вводные'!$B$239="Да",MeanMinAge22+'19_Расчет_аналитики'!AM1572*SUMIF(ThresholdAge22,"&lt;"&amp;'19_Расчет_аналитики'!AM1572,WeightedRevAge22)-SUMIF(ThresholdAge22,"&lt;"&amp;'19_Расчет_аналитики'!AM1572,WeightedMinAge22),MAX(CapacityAge22*'01_Вводные'!$B$218*'19_Расчет_аналитики'!AM1572,MeanMinAge22)))</f>
        <v/>
      </c>
      <c r="AN1525">
        <f>IF(OR(('19_Расчет_аналитики'!AN1441-'19_Расчет_аналитики'!AN1469)=0,22&lt;='01_Вводные'!$B$297),0,('19_Расчет_аналитики'!AN1441-'19_Расчет_аналитики'!AN1469)*IF('01_Вводные'!$B$239="Да",MeanMinAge22+'19_Расчет_аналитики'!AN1572*SUMIF(ThresholdAge22,"&lt;"&amp;'19_Расчет_аналитики'!AN1572,WeightedRevAge22)-SUMIF(ThresholdAge22,"&lt;"&amp;'19_Расчет_аналитики'!AN1572,WeightedMinAge22),MAX(CapacityAge22*'01_Вводные'!$B$218*'19_Расчет_аналитики'!AN1572,MeanMinAge22)))</f>
        <v/>
      </c>
      <c r="AO1525">
        <f>IF(OR(('19_Расчет_аналитики'!AO1441-'19_Расчет_аналитики'!AO1469)=0,22&lt;='01_Вводные'!$B$297),0,('19_Расчет_аналитики'!AO1441-'19_Расчет_аналитики'!AO1469)*IF('01_Вводные'!$B$239="Да",MeanMinAge22+'19_Расчет_аналитики'!AO1572*SUMIF(ThresholdAge22,"&lt;"&amp;'19_Расчет_аналитики'!AO1572,WeightedRevAge22)-SUMIF(ThresholdAge22,"&lt;"&amp;'19_Расчет_аналитики'!AO1572,WeightedMinAge22),MAX(CapacityAge22*'01_Вводные'!$B$218*'19_Расчет_аналитики'!AO1572,MeanMinAge22)))</f>
        <v/>
      </c>
      <c r="AP1525">
        <f>IF(OR(('19_Расчет_аналитики'!AP1441-'19_Расчет_аналитики'!AP1469)=0,22&lt;='01_Вводные'!$B$297),0,('19_Расчет_аналитики'!AP1441-'19_Расчет_аналитики'!AP1469)*IF('01_Вводные'!$B$239="Да",MeanMinAge22+'19_Расчет_аналитики'!AP1572*SUMIF(ThresholdAge22,"&lt;"&amp;'19_Расчет_аналитики'!AP1572,WeightedRevAge22)-SUMIF(ThresholdAge22,"&lt;"&amp;'19_Расчет_аналитики'!AP1572,WeightedMinAge22),MAX(CapacityAge22*'01_Вводные'!$B$218*'19_Расчет_аналитики'!AP1572,MeanMinAge22)))</f>
        <v/>
      </c>
      <c r="AQ1525">
        <f>IF(OR(('19_Расчет_аналитики'!AQ1441-'19_Расчет_аналитики'!AQ1469)=0,22&lt;='01_Вводные'!$B$297),0,('19_Расчет_аналитики'!AQ1441-'19_Расчет_аналитики'!AQ1469)*IF('01_Вводные'!$B$239="Да",MeanMinAge22+'19_Расчет_аналитики'!AQ1572*SUMIF(ThresholdAge22,"&lt;"&amp;'19_Расчет_аналитики'!AQ1572,WeightedRevAge22)-SUMIF(ThresholdAge22,"&lt;"&amp;'19_Расчет_аналитики'!AQ1572,WeightedMinAge22),MAX(CapacityAge22*'01_Вводные'!$B$218*'19_Расчет_аналитики'!AQ1572,MeanMinAge22)))</f>
        <v/>
      </c>
      <c r="AR1525">
        <f>IF(OR(('19_Расчет_аналитики'!AR1441-'19_Расчет_аналитики'!AR1469)=0,22&lt;='01_Вводные'!$B$297),0,('19_Расчет_аналитики'!AR1441-'19_Расчет_аналитики'!AR1469)*IF('01_Вводные'!$B$239="Да",MeanMinAge22+'19_Расчет_аналитики'!AR1572*SUMIF(ThresholdAge22,"&lt;"&amp;'19_Расчет_аналитики'!AR1572,WeightedRevAge22)-SUMIF(ThresholdAge22,"&lt;"&amp;'19_Расчет_аналитики'!AR1572,WeightedMinAge22),MAX(CapacityAge22*'01_Вводные'!$B$218*'19_Расчет_аналитики'!AR1572,MeanMinAge22)))</f>
        <v/>
      </c>
      <c r="AS1525">
        <f>IF(OR(('19_Расчет_аналитики'!AS1441-'19_Расчет_аналитики'!AS1469)=0,22&lt;='01_Вводные'!$B$297),0,('19_Расчет_аналитики'!AS1441-'19_Расчет_аналитики'!AS1469)*IF('01_Вводные'!$B$239="Да",MeanMinAge22+'19_Расчет_аналитики'!AS1572*SUMIF(ThresholdAge22,"&lt;"&amp;'19_Расчет_аналитики'!AS1572,WeightedRevAge22)-SUMIF(ThresholdAge22,"&lt;"&amp;'19_Расчет_аналитики'!AS1572,WeightedMinAge22),MAX(CapacityAge22*'01_Вводные'!$B$218*'19_Расчет_аналитики'!AS1572,MeanMinAge22)))</f>
        <v/>
      </c>
      <c r="AT1525">
        <f>IF(OR(('19_Расчет_аналитики'!AT1441-'19_Расчет_аналитики'!AT1469)=0,22&lt;='01_Вводные'!$B$297),0,('19_Расчет_аналитики'!AT1441-'19_Расчет_аналитики'!AT1469)*IF('01_Вводные'!$B$239="Да",MeanMinAge22+'19_Расчет_аналитики'!AT1572*SUMIF(ThresholdAge22,"&lt;"&amp;'19_Расчет_аналитики'!AT1572,WeightedRevAge22)-SUMIF(ThresholdAge22,"&lt;"&amp;'19_Расчет_аналитики'!AT1572,WeightedMinAge22),MAX(CapacityAge22*'01_Вводные'!$B$218*'19_Расчет_аналитики'!AT1572,MeanMinAge22)))</f>
        <v/>
      </c>
      <c r="AU1525">
        <f>IF(OR(('19_Расчет_аналитики'!AU1441-'19_Расчет_аналитики'!AU1469)=0,22&lt;='01_Вводные'!$B$297),0,('19_Расчет_аналитики'!AU1441-'19_Расчет_аналитики'!AU1469)*IF('01_Вводные'!$B$239="Да",MeanMinAge22+'19_Расчет_аналитики'!AU1572*SUMIF(ThresholdAge22,"&lt;"&amp;'19_Расчет_аналитики'!AU1572,WeightedRevAge22)-SUMIF(ThresholdAge22,"&lt;"&amp;'19_Расчет_аналитики'!AU1572,WeightedMinAge22),MAX(CapacityAge22*'01_Вводные'!$B$218*'19_Расчет_аналитики'!AU1572,MeanMinAge22)))</f>
        <v/>
      </c>
      <c r="AV1525">
        <f>IF(OR(('19_Расчет_аналитики'!AV1441-'19_Расчет_аналитики'!AV1469)=0,22&lt;='01_Вводные'!$B$297),0,('19_Расчет_аналитики'!AV1441-'19_Расчет_аналитики'!AV1469)*IF('01_Вводные'!$B$239="Да",MeanMinAge22+'19_Расчет_аналитики'!AV1572*SUMIF(ThresholdAge22,"&lt;"&amp;'19_Расчет_аналитики'!AV1572,WeightedRevAge22)-SUMIF(ThresholdAge22,"&lt;"&amp;'19_Расчет_аналитики'!AV1572,WeightedMinAge22),MAX(CapacityAge22*'01_Вводные'!$B$218*'19_Расчет_аналитики'!AV1572,MeanMinAge22)))</f>
        <v/>
      </c>
      <c r="AW1525">
        <f>IF(OR(('19_Расчет_аналитики'!AW1441-'19_Расчет_аналитики'!AW1469)=0,22&lt;='01_Вводные'!$B$297),0,('19_Расчет_аналитики'!AW1441-'19_Расчет_аналитики'!AW1469)*IF('01_Вводные'!$B$239="Да",MeanMinAge22+'19_Расчет_аналитики'!AW1572*SUMIF(ThresholdAge22,"&lt;"&amp;'19_Расчет_аналитики'!AW1572,WeightedRevAge22)-SUMIF(ThresholdAge22,"&lt;"&amp;'19_Расчет_аналитики'!AW1572,WeightedMinAge22),MAX(CapacityAge22*'01_Вводные'!$B$218*'19_Расчет_аналитики'!AW1572,MeanMinAge22)))</f>
        <v/>
      </c>
      <c r="AX1525">
        <f>IF(OR(('19_Расчет_аналитики'!AX1441-'19_Расчет_аналитики'!AX1469)=0,22&lt;='01_Вводные'!$B$297),0,('19_Расчет_аналитики'!AX1441-'19_Расчет_аналитики'!AX1469)*IF('01_Вводные'!$B$239="Да",MeanMinAge22+'19_Расчет_аналитики'!AX1572*SUMIF(ThresholdAge22,"&lt;"&amp;'19_Расчет_аналитики'!AX1572,WeightedRevAge22)-SUMIF(ThresholdAge22,"&lt;"&amp;'19_Расчет_аналитики'!AX1572,WeightedMinAge22),MAX(CapacityAge22*'01_Вводные'!$B$218*'19_Расчет_аналитики'!AX1572,MeanMinAge22)))</f>
        <v/>
      </c>
      <c r="AY1525">
        <f>IF(OR(('19_Расчет_аналитики'!AY1441-'19_Расчет_аналитики'!AY1469)=0,22&lt;='01_Вводные'!$B$297),0,('19_Расчет_аналитики'!AY1441-'19_Расчет_аналитики'!AY1469)*IF('01_Вводные'!$B$239="Да",MeanMinAge22+'19_Расчет_аналитики'!AY1572*SUMIF(ThresholdAge22,"&lt;"&amp;'19_Расчет_аналитики'!AY1572,WeightedRevAge22)-SUMIF(ThresholdAge22,"&lt;"&amp;'19_Расчет_аналитики'!AY1572,WeightedMinAge22),MAX(CapacityAge22*'01_Вводные'!$B$218*'19_Расчет_аналитики'!AY1572,MeanMinAge22)))</f>
        <v/>
      </c>
      <c r="AZ1525">
        <f>IF(OR(('19_Расчет_аналитики'!AZ1441-'19_Расчет_аналитики'!AZ1469)=0,22&lt;='01_Вводные'!$B$297),0,('19_Расчет_аналитики'!AZ1441-'19_Расчет_аналитики'!AZ1469)*IF('01_Вводные'!$B$239="Да",MeanMinAge22+'19_Расчет_аналитики'!AZ1572*SUMIF(ThresholdAge22,"&lt;"&amp;'19_Расчет_аналитики'!AZ1572,WeightedRevAge22)-SUMIF(ThresholdAge22,"&lt;"&amp;'19_Расчет_аналитики'!AZ1572,WeightedMinAge22),MAX(CapacityAge22*'01_Вводные'!$B$218*'19_Расчет_аналитики'!AZ1572,MeanMinAge22)))</f>
        <v/>
      </c>
      <c r="BA1525">
        <f>IF(OR(('19_Расчет_аналитики'!BA1441-'19_Расчет_аналитики'!BA1469)=0,22&lt;='01_Вводные'!$B$297),0,('19_Расчет_аналитики'!BA1441-'19_Расчет_аналитики'!BA1469)*IF('01_Вводные'!$B$239="Да",MeanMinAge22+'19_Расчет_аналитики'!BA1572*SUMIF(ThresholdAge22,"&lt;"&amp;'19_Расчет_аналитики'!BA1572,WeightedRevAge22)-SUMIF(ThresholdAge22,"&lt;"&amp;'19_Расчет_аналитики'!BA1572,WeightedMinAge22),MAX(CapacityAge22*'01_Вводные'!$B$218*'19_Расчет_аналитики'!BA1572,MeanMinAge22)))</f>
        <v/>
      </c>
      <c r="BB1525">
        <f>IF(OR(('19_Расчет_аналитики'!BB1441-'19_Расчет_аналитики'!BB1469)=0,22&lt;='01_Вводные'!$B$297),0,('19_Расчет_аналитики'!BB1441-'19_Расчет_аналитики'!BB1469)*IF('01_Вводные'!$B$239="Да",MeanMinAge22+'19_Расчет_аналитики'!BB1572*SUMIF(ThresholdAge22,"&lt;"&amp;'19_Расчет_аналитики'!BB1572,WeightedRevAge22)-SUMIF(ThresholdAge22,"&lt;"&amp;'19_Расчет_аналитики'!BB1572,WeightedMinAge22),MAX(CapacityAge22*'01_Вводные'!$B$218*'19_Расчет_аналитики'!BB1572,MeanMinAge22)))</f>
        <v/>
      </c>
      <c r="BC1525">
        <f>IF(OR(('19_Расчет_аналитики'!BC1441-'19_Расчет_аналитики'!BC1469)=0,22&lt;='01_Вводные'!$B$297),0,('19_Расчет_аналитики'!BC1441-'19_Расчет_аналитики'!BC1469)*IF('01_Вводные'!$B$239="Да",MeanMinAge22+'19_Расчет_аналитики'!BC1572*SUMIF(ThresholdAge22,"&lt;"&amp;'19_Расчет_аналитики'!BC1572,WeightedRevAge22)-SUMIF(ThresholdAge22,"&lt;"&amp;'19_Расчет_аналитики'!BC1572,WeightedMinAge22),MAX(CapacityAge22*'01_Вводные'!$B$218*'19_Расчет_аналитики'!BC1572,MeanMinAge22)))</f>
        <v/>
      </c>
      <c r="BD1525">
        <f>IF(OR(('19_Расчет_аналитики'!BD1441-'19_Расчет_аналитики'!BD1469)=0,22&lt;='01_Вводные'!$B$297),0,('19_Расчет_аналитики'!BD1441-'19_Расчет_аналитики'!BD1469)*IF('01_Вводные'!$B$239="Да",MeanMinAge22+'19_Расчет_аналитики'!BD1572*SUMIF(ThresholdAge22,"&lt;"&amp;'19_Расчет_аналитики'!BD1572,WeightedRevAge22)-SUMIF(ThresholdAge22,"&lt;"&amp;'19_Расчет_аналитики'!BD1572,WeightedMinAge22),MAX(CapacityAge22*'01_Вводные'!$B$218*'19_Расчет_аналитики'!BD1572,MeanMinAge22)))</f>
        <v/>
      </c>
      <c r="BE1525">
        <f>IF(OR(('19_Расчет_аналитики'!BE1441-'19_Расчет_аналитики'!BE1469)=0,22&lt;='01_Вводные'!$B$297),0,('19_Расчет_аналитики'!BE1441-'19_Расчет_аналитики'!BE1469)*IF('01_Вводные'!$B$239="Да",MeanMinAge22+'19_Расчет_аналитики'!BE1572*SUMIF(ThresholdAge22,"&lt;"&amp;'19_Расчет_аналитики'!BE1572,WeightedRevAge22)-SUMIF(ThresholdAge22,"&lt;"&amp;'19_Расчет_аналитики'!BE1572,WeightedMinAge22),MAX(CapacityAge22*'01_Вводные'!$B$218*'19_Расчет_аналитики'!BE1572,MeanMinAge22)))</f>
        <v/>
      </c>
      <c r="BF1525">
        <f>IF(OR(('19_Расчет_аналитики'!BF1441-'19_Расчет_аналитики'!BF1469)=0,22&lt;='01_Вводные'!$B$297),0,('19_Расчет_аналитики'!BF1441-'19_Расчет_аналитики'!BF1469)*IF('01_Вводные'!$B$239="Да",MeanMinAge22+'19_Расчет_аналитики'!BF1572*SUMIF(ThresholdAge22,"&lt;"&amp;'19_Расчет_аналитики'!BF1572,WeightedRevAge22)-SUMIF(ThresholdAge22,"&lt;"&amp;'19_Расчет_аналитики'!BF1572,WeightedMinAge22),MAX(CapacityAge22*'01_Вводные'!$B$218*'19_Расчет_аналитики'!BF1572,MeanMinAge22)))</f>
        <v/>
      </c>
      <c r="BG1525">
        <f>IF(OR(('19_Расчет_аналитики'!BG1441-'19_Расчет_аналитики'!BG1469)=0,22&lt;='01_Вводные'!$B$297),0,('19_Расчет_аналитики'!BG1441-'19_Расчет_аналитики'!BG1469)*IF('01_Вводные'!$B$239="Да",MeanMinAge22+'19_Расчет_аналитики'!BG1572*SUMIF(ThresholdAge22,"&lt;"&amp;'19_Расчет_аналитики'!BG1572,WeightedRevAge22)-SUMIF(ThresholdAge22,"&lt;"&amp;'19_Расчет_аналитики'!BG1572,WeightedMinAge22),MAX(CapacityAge22*'01_Вводные'!$B$218*'19_Расчет_аналитики'!BG1572,MeanMinAge22)))</f>
        <v/>
      </c>
      <c r="BH1525">
        <f>IF(OR(('19_Расчет_аналитики'!BH1441-'19_Расчет_аналитики'!BH1469)=0,22&lt;='01_Вводные'!$B$297),0,('19_Расчет_аналитики'!BH1441-'19_Расчет_аналитики'!BH1469)*IF('01_Вводные'!$B$239="Да",MeanMinAge22+'19_Расчет_аналитики'!BH1572*SUMIF(ThresholdAge22,"&lt;"&amp;'19_Расчет_аналитики'!BH1572,WeightedRevAge22)-SUMIF(ThresholdAge22,"&lt;"&amp;'19_Расчет_аналитики'!BH1572,WeightedMinAge22),MAX(CapacityAge22*'01_Вводные'!$B$218*'19_Расчет_аналитики'!BH1572,MeanMinAge22)))</f>
        <v/>
      </c>
      <c r="BI1525">
        <f>IF(OR(('19_Расчет_аналитики'!BI1441-'19_Расчет_аналитики'!BI1469)=0,22&lt;='01_Вводные'!$B$297),0,('19_Расчет_аналитики'!BI1441-'19_Расчет_аналитики'!BI1469)*IF('01_Вводные'!$B$239="Да",MeanMinAge22+'19_Расчет_аналитики'!BI1572*SUMIF(ThresholdAge22,"&lt;"&amp;'19_Расчет_аналитики'!BI1572,WeightedRevAge22)-SUMIF(ThresholdAge22,"&lt;"&amp;'19_Расчет_аналитики'!BI1572,WeightedMinAge22),MAX(CapacityAge22*'01_Вводные'!$B$218*'19_Расчет_аналитики'!BI1572,MeanMinAge22)))</f>
        <v/>
      </c>
      <c r="BJ1525">
        <f>IF(OR(('19_Расчет_аналитики'!BJ1441-'19_Расчет_аналитики'!BJ1469)=0,22&lt;='01_Вводные'!$B$297),0,('19_Расчет_аналитики'!BJ1441-'19_Расчет_аналитики'!BJ1469)*IF('01_Вводные'!$B$239="Да",MeanMinAge22+'19_Расчет_аналитики'!BJ1572*SUMIF(ThresholdAge22,"&lt;"&amp;'19_Расчет_аналитики'!BJ1572,WeightedRevAge22)-SUMIF(ThresholdAge22,"&lt;"&amp;'19_Расчет_аналитики'!BJ1572,WeightedMinAge22),MAX(CapacityAge22*'01_Вводные'!$B$218*'19_Расчет_аналитики'!BJ1572,MeanMinAge22)))</f>
        <v/>
      </c>
      <c r="BK1525">
        <f>IF(OR(('19_Расчет_аналитики'!BK1441-'19_Расчет_аналитики'!BK1469)=0,22&lt;='01_Вводные'!$B$297),0,('19_Расчет_аналитики'!BK1441-'19_Расчет_аналитики'!BK1469)*IF('01_Вводные'!$B$239="Да",MeanMinAge22+'19_Расчет_аналитики'!BK1572*SUMIF(ThresholdAge22,"&lt;"&amp;'19_Расчет_аналитики'!BK1572,WeightedRevAge22)-SUMIF(ThresholdAge22,"&lt;"&amp;'19_Расчет_аналитики'!BK1572,WeightedMinAge22),MAX(CapacityAge22*'01_Вводные'!$B$218*'19_Расчет_аналитики'!BK1572,MeanMinAge22)))</f>
        <v/>
      </c>
      <c r="BL1525">
        <f>IF(OR(('19_Расчет_аналитики'!BL1441-'19_Расчет_аналитики'!BL1469)=0,22&lt;='01_Вводные'!$B$297),0,('19_Расчет_аналитики'!BL1441-'19_Расчет_аналитики'!BL1469)*IF('01_Вводные'!$B$239="Да",MeanMinAge22+'19_Расчет_аналитики'!BL1572*SUMIF(ThresholdAge22,"&lt;"&amp;'19_Расчет_аналитики'!BL1572,WeightedRevAge22)-SUMIF(ThresholdAge22,"&lt;"&amp;'19_Расчет_аналитики'!BL1572,WeightedMinAge22),MAX(CapacityAge22*'01_Вводные'!$B$218*'19_Расчет_аналитики'!BL1572,MeanMinAge22)))</f>
        <v/>
      </c>
      <c r="BM1525">
        <f>IF(OR(('19_Расчет_аналитики'!BM1441-'19_Расчет_аналитики'!BM1469)=0,22&lt;='01_Вводные'!$B$297),0,('19_Расчет_аналитики'!BM1441-'19_Расчет_аналитики'!BM1469)*IF('01_Вводные'!$B$239="Да",MeanMinAge22+'19_Расчет_аналитики'!BM1572*SUMIF(ThresholdAge22,"&lt;"&amp;'19_Расчет_аналитики'!BM1572,WeightedRevAge22)-SUMIF(ThresholdAge22,"&lt;"&amp;'19_Расчет_аналитики'!BM1572,WeightedMinAge22),MAX(CapacityAge22*'01_Вводные'!$B$218*'19_Расчет_аналитики'!BM1572,MeanMinAge22)))</f>
        <v/>
      </c>
      <c r="BN1525">
        <f>IF(OR(('19_Расчет_аналитики'!BN1441-'19_Расчет_аналитики'!BN1469)=0,22&lt;='01_Вводные'!$B$297),0,('19_Расчет_аналитики'!BN1441-'19_Расчет_аналитики'!BN1469)*IF('01_Вводные'!$B$239="Да",MeanMinAge22+'19_Расчет_аналитики'!BN1572*SUMIF(ThresholdAge22,"&lt;"&amp;'19_Расчет_аналитики'!BN1572,WeightedRevAge22)-SUMIF(ThresholdAge22,"&lt;"&amp;'19_Расчет_аналитики'!BN1572,WeightedMinAge22),MAX(CapacityAge22*'01_Вводные'!$B$218*'19_Расчет_аналитики'!BN1572,MeanMinAge22)))</f>
        <v/>
      </c>
      <c r="BO1525">
        <f>IF(OR(('19_Расчет_аналитики'!BO1441-'19_Расчет_аналитики'!BO1469)=0,22&lt;='01_Вводные'!$B$297),0,('19_Расчет_аналитики'!BO1441-'19_Расчет_аналитики'!BO1469)*IF('01_Вводные'!$B$239="Да",MeanMinAge22+'19_Расчет_аналитики'!BO1572*SUMIF(ThresholdAge22,"&lt;"&amp;'19_Расчет_аналитики'!BO1572,WeightedRevAge22)-SUMIF(ThresholdAge22,"&lt;"&amp;'19_Расчет_аналитики'!BO1572,WeightedMinAge22),MAX(CapacityAge22*'01_Вводные'!$B$218*'19_Расчет_аналитики'!BO1572,MeanMinAge22)))</f>
        <v/>
      </c>
    </row>
    <row r="1526">
      <c r="B1526">
        <f>IF(OR(('06_Сеть_и_дети'!B75-'06_Сеть_и_дети'!B103)=0,23&lt;='01_Вводные'!$B$297),0,('06_Сеть_и_дети'!B75-'06_Сеть_и_дети'!B103)*IF('01_Вводные'!$B$239="Да",MeanMinAge23+'19_Расчет_аналитики'!B1572*SUMIF(ThresholdAge23,"&lt;"&amp;'19_Расчет_аналитики'!B1572,WeightedRevAge23)-SUMIF(ThresholdAge23,"&lt;"&amp;'19_Расчет_аналитики'!B1572,WeightedMinAge23),MAX(CapacityAge23*'01_Вводные'!$B$218*'19_Расчет_аналитики'!B1572,MeanMinAge23)))</f>
        <v/>
      </c>
      <c r="C1526">
        <f>IF(OR(('06_Сеть_и_дети'!C75-'06_Сеть_и_дети'!C103)=0,23&lt;='01_Вводные'!$B$297),0,('06_Сеть_и_дети'!C75-'06_Сеть_и_дети'!C103)*IF('01_Вводные'!$B$239="Да",MeanMinAge23+'19_Расчет_аналитики'!C1572*SUMIF(ThresholdAge23,"&lt;"&amp;'19_Расчет_аналитики'!C1572,WeightedRevAge23)-SUMIF(ThresholdAge23,"&lt;"&amp;'19_Расчет_аналитики'!C1572,WeightedMinAge23),MAX(CapacityAge23*'01_Вводные'!$B$218*'19_Расчет_аналитики'!C1572,MeanMinAge23)))</f>
        <v/>
      </c>
      <c r="D1526">
        <f>IF(OR(('06_Сеть_и_дети'!D75-'06_Сеть_и_дети'!D103)=0,23&lt;='01_Вводные'!$B$297),0,('06_Сеть_и_дети'!D75-'06_Сеть_и_дети'!D103)*IF('01_Вводные'!$B$239="Да",MeanMinAge23+'19_Расчет_аналитики'!D1572*SUMIF(ThresholdAge23,"&lt;"&amp;'19_Расчет_аналитики'!D1572,WeightedRevAge23)-SUMIF(ThresholdAge23,"&lt;"&amp;'19_Расчет_аналитики'!D1572,WeightedMinAge23),MAX(CapacityAge23*'01_Вводные'!$B$218*'19_Расчет_аналитики'!D1572,MeanMinAge23)))</f>
        <v/>
      </c>
      <c r="E1526">
        <f>IF(OR(('06_Сеть_и_дети'!E75-'06_Сеть_и_дети'!E103)=0,23&lt;='01_Вводные'!$B$297),0,('06_Сеть_и_дети'!E75-'06_Сеть_и_дети'!E103)*IF('01_Вводные'!$B$239="Да",MeanMinAge23+'19_Расчет_аналитики'!E1572*SUMIF(ThresholdAge23,"&lt;"&amp;'19_Расчет_аналитики'!E1572,WeightedRevAge23)-SUMIF(ThresholdAge23,"&lt;"&amp;'19_Расчет_аналитики'!E1572,WeightedMinAge23),MAX(CapacityAge23*'01_Вводные'!$B$218*'19_Расчет_аналитики'!E1572,MeanMinAge23)))</f>
        <v/>
      </c>
      <c r="F1526">
        <f>IF(OR(('06_Сеть_и_дети'!F75-'06_Сеть_и_дети'!F103)=0,23&lt;='01_Вводные'!$B$297),0,('06_Сеть_и_дети'!F75-'06_Сеть_и_дети'!F103)*IF('01_Вводные'!$B$239="Да",MeanMinAge23+'19_Расчет_аналитики'!F1572*SUMIF(ThresholdAge23,"&lt;"&amp;'19_Расчет_аналитики'!F1572,WeightedRevAge23)-SUMIF(ThresholdAge23,"&lt;"&amp;'19_Расчет_аналитики'!F1572,WeightedMinAge23),MAX(CapacityAge23*'01_Вводные'!$B$218*'19_Расчет_аналитики'!F1572,MeanMinAge23)))</f>
        <v/>
      </c>
      <c r="G1526">
        <f>IF(OR(('06_Сеть_и_дети'!G75-'06_Сеть_и_дети'!G103)=0,23&lt;='01_Вводные'!$B$297),0,('06_Сеть_и_дети'!G75-'06_Сеть_и_дети'!G103)*IF('01_Вводные'!$B$239="Да",MeanMinAge23+'19_Расчет_аналитики'!G1572*SUMIF(ThresholdAge23,"&lt;"&amp;'19_Расчет_аналитики'!G1572,WeightedRevAge23)-SUMIF(ThresholdAge23,"&lt;"&amp;'19_Расчет_аналитики'!G1572,WeightedMinAge23),MAX(CapacityAge23*'01_Вводные'!$B$218*'19_Расчет_аналитики'!G1572,MeanMinAge23)))</f>
        <v/>
      </c>
      <c r="H1526">
        <f>IF(OR(('06_Сеть_и_дети'!H75-'06_Сеть_и_дети'!H103)=0,23&lt;='01_Вводные'!$B$297),0,('06_Сеть_и_дети'!H75-'06_Сеть_и_дети'!H103)*IF('01_Вводные'!$B$239="Да",MeanMinAge23+'19_Расчет_аналитики'!H1572*SUMIF(ThresholdAge23,"&lt;"&amp;'19_Расчет_аналитики'!H1572,WeightedRevAge23)-SUMIF(ThresholdAge23,"&lt;"&amp;'19_Расчет_аналитики'!H1572,WeightedMinAge23),MAX(CapacityAge23*'01_Вводные'!$B$218*'19_Расчет_аналитики'!H1572,MeanMinAge23)))</f>
        <v/>
      </c>
      <c r="I1526">
        <f>IF(OR(('06_Сеть_и_дети'!I75-'06_Сеть_и_дети'!I103)=0,23&lt;='01_Вводные'!$B$297),0,('06_Сеть_и_дети'!I75-'06_Сеть_и_дети'!I103)*IF('01_Вводные'!$B$239="Да",MeanMinAge23+'19_Расчет_аналитики'!I1572*SUMIF(ThresholdAge23,"&lt;"&amp;'19_Расчет_аналитики'!I1572,WeightedRevAge23)-SUMIF(ThresholdAge23,"&lt;"&amp;'19_Расчет_аналитики'!I1572,WeightedMinAge23),MAX(CapacityAge23*'01_Вводные'!$B$218*'19_Расчет_аналитики'!I1572,MeanMinAge23)))</f>
        <v/>
      </c>
      <c r="J1526">
        <f>IF(OR(('06_Сеть_и_дети'!J75-'06_Сеть_и_дети'!J103)=0,23&lt;='01_Вводные'!$B$297),0,('06_Сеть_и_дети'!J75-'06_Сеть_и_дети'!J103)*IF('01_Вводные'!$B$239="Да",MeanMinAge23+'19_Расчет_аналитики'!J1572*SUMIF(ThresholdAge23,"&lt;"&amp;'19_Расчет_аналитики'!J1572,WeightedRevAge23)-SUMIF(ThresholdAge23,"&lt;"&amp;'19_Расчет_аналитики'!J1572,WeightedMinAge23),MAX(CapacityAge23*'01_Вводные'!$B$218*'19_Расчет_аналитики'!J1572,MeanMinAge23)))</f>
        <v/>
      </c>
      <c r="K1526">
        <f>IF(OR(('06_Сеть_и_дети'!K75-'06_Сеть_и_дети'!K103)=0,23&lt;='01_Вводные'!$B$297),0,('06_Сеть_и_дети'!K75-'06_Сеть_и_дети'!K103)*IF('01_Вводные'!$B$239="Да",MeanMinAge23+'19_Расчет_аналитики'!K1572*SUMIF(ThresholdAge23,"&lt;"&amp;'19_Расчет_аналитики'!K1572,WeightedRevAge23)-SUMIF(ThresholdAge23,"&lt;"&amp;'19_Расчет_аналитики'!K1572,WeightedMinAge23),MAX(CapacityAge23*'01_Вводные'!$B$218*'19_Расчет_аналитики'!K1572,MeanMinAge23)))</f>
        <v/>
      </c>
      <c r="L1526">
        <f>IF(OR(('06_Сеть_и_дети'!L75-'06_Сеть_и_дети'!L103)=0,23&lt;='01_Вводные'!$B$297),0,('06_Сеть_и_дети'!L75-'06_Сеть_и_дети'!L103)*IF('01_Вводные'!$B$239="Да",MeanMinAge23+'19_Расчет_аналитики'!L1572*SUMIF(ThresholdAge23,"&lt;"&amp;'19_Расчет_аналитики'!L1572,WeightedRevAge23)-SUMIF(ThresholdAge23,"&lt;"&amp;'19_Расчет_аналитики'!L1572,WeightedMinAge23),MAX(CapacityAge23*'01_Вводные'!$B$218*'19_Расчет_аналитики'!L1572,MeanMinAge23)))</f>
        <v/>
      </c>
      <c r="M1526">
        <f>IF(OR(('06_Сеть_и_дети'!M75-'06_Сеть_и_дети'!M103)=0,23&lt;='01_Вводные'!$B$297),0,('06_Сеть_и_дети'!M75-'06_Сеть_и_дети'!M103)*IF('01_Вводные'!$B$239="Да",MeanMinAge23+'19_Расчет_аналитики'!M1572*SUMIF(ThresholdAge23,"&lt;"&amp;'19_Расчет_аналитики'!M1572,WeightedRevAge23)-SUMIF(ThresholdAge23,"&lt;"&amp;'19_Расчет_аналитики'!M1572,WeightedMinAge23),MAX(CapacityAge23*'01_Вводные'!$B$218*'19_Расчет_аналитики'!M1572,MeanMinAge23)))</f>
        <v/>
      </c>
      <c r="N1526">
        <f>IF(OR(('06_Сеть_и_дети'!N75-'06_Сеть_и_дети'!N103)=0,23&lt;='01_Вводные'!$B$297),0,('06_Сеть_и_дети'!N75-'06_Сеть_и_дети'!N103)*IF('01_Вводные'!$B$239="Да",MeanMinAge23+'19_Расчет_аналитики'!N1572*SUMIF(ThresholdAge23,"&lt;"&amp;'19_Расчет_аналитики'!N1572,WeightedRevAge23)-SUMIF(ThresholdAge23,"&lt;"&amp;'19_Расчет_аналитики'!N1572,WeightedMinAge23),MAX(CapacityAge23*'01_Вводные'!$B$218*'19_Расчет_аналитики'!N1572,MeanMinAge23)))</f>
        <v/>
      </c>
      <c r="O1526">
        <f>IF(OR(('06_Сеть_и_дети'!O75-'06_Сеть_и_дети'!O103)=0,23&lt;='01_Вводные'!$B$297),0,('06_Сеть_и_дети'!O75-'06_Сеть_и_дети'!O103)*IF('01_Вводные'!$B$239="Да",MeanMinAge23+'19_Расчет_аналитики'!O1572*SUMIF(ThresholdAge23,"&lt;"&amp;'19_Расчет_аналитики'!O1572,WeightedRevAge23)-SUMIF(ThresholdAge23,"&lt;"&amp;'19_Расчет_аналитики'!O1572,WeightedMinAge23),MAX(CapacityAge23*'01_Вводные'!$B$218*'19_Расчет_аналитики'!O1572,MeanMinAge23)))</f>
        <v/>
      </c>
      <c r="P1526">
        <f>IF(OR(('06_Сеть_и_дети'!P75-'06_Сеть_и_дети'!P103)=0,23&lt;='01_Вводные'!$B$297),0,('06_Сеть_и_дети'!P75-'06_Сеть_и_дети'!P103)*IF('01_Вводные'!$B$239="Да",MeanMinAge23+'19_Расчет_аналитики'!P1572*SUMIF(ThresholdAge23,"&lt;"&amp;'19_Расчет_аналитики'!P1572,WeightedRevAge23)-SUMIF(ThresholdAge23,"&lt;"&amp;'19_Расчет_аналитики'!P1572,WeightedMinAge23),MAX(CapacityAge23*'01_Вводные'!$B$218*'19_Расчет_аналитики'!P1572,MeanMinAge23)))</f>
        <v/>
      </c>
      <c r="Q1526">
        <f>IF(OR(('06_Сеть_и_дети'!Q75-'06_Сеть_и_дети'!Q103)=0,23&lt;='01_Вводные'!$B$297),0,('06_Сеть_и_дети'!Q75-'06_Сеть_и_дети'!Q103)*IF('01_Вводные'!$B$239="Да",MeanMinAge23+'19_Расчет_аналитики'!Q1572*SUMIF(ThresholdAge23,"&lt;"&amp;'19_Расчет_аналитики'!Q1572,WeightedRevAge23)-SUMIF(ThresholdAge23,"&lt;"&amp;'19_Расчет_аналитики'!Q1572,WeightedMinAge23),MAX(CapacityAge23*'01_Вводные'!$B$218*'19_Расчет_аналитики'!Q1572,MeanMinAge23)))</f>
        <v/>
      </c>
      <c r="R1526">
        <f>IF(OR(('06_Сеть_и_дети'!R75-'06_Сеть_и_дети'!R103)=0,23&lt;='01_Вводные'!$B$297),0,('06_Сеть_и_дети'!R75-'06_Сеть_и_дети'!R103)*IF('01_Вводные'!$B$239="Да",MeanMinAge23+'19_Расчет_аналитики'!R1572*SUMIF(ThresholdAge23,"&lt;"&amp;'19_Расчет_аналитики'!R1572,WeightedRevAge23)-SUMIF(ThresholdAge23,"&lt;"&amp;'19_Расчет_аналитики'!R1572,WeightedMinAge23),MAX(CapacityAge23*'01_Вводные'!$B$218*'19_Расчет_аналитики'!R1572,MeanMinAge23)))</f>
        <v/>
      </c>
      <c r="S1526">
        <f>IF(OR(('06_Сеть_и_дети'!S75-'06_Сеть_и_дети'!S103)=0,23&lt;='01_Вводные'!$B$297),0,('06_Сеть_и_дети'!S75-'06_Сеть_и_дети'!S103)*IF('01_Вводные'!$B$239="Да",MeanMinAge23+'19_Расчет_аналитики'!S1572*SUMIF(ThresholdAge23,"&lt;"&amp;'19_Расчет_аналитики'!S1572,WeightedRevAge23)-SUMIF(ThresholdAge23,"&lt;"&amp;'19_Расчет_аналитики'!S1572,WeightedMinAge23),MAX(CapacityAge23*'01_Вводные'!$B$218*'19_Расчет_аналитики'!S1572,MeanMinAge23)))</f>
        <v/>
      </c>
      <c r="T1526">
        <f>IF(OR(('06_Сеть_и_дети'!T75-'06_Сеть_и_дети'!T103)=0,23&lt;='01_Вводные'!$B$297),0,('06_Сеть_и_дети'!T75-'06_Сеть_и_дети'!T103)*IF('01_Вводные'!$B$239="Да",MeanMinAge23+'19_Расчет_аналитики'!T1572*SUMIF(ThresholdAge23,"&lt;"&amp;'19_Расчет_аналитики'!T1572,WeightedRevAge23)-SUMIF(ThresholdAge23,"&lt;"&amp;'19_Расчет_аналитики'!T1572,WeightedMinAge23),MAX(CapacityAge23*'01_Вводные'!$B$218*'19_Расчет_аналитики'!T1572,MeanMinAge23)))</f>
        <v/>
      </c>
      <c r="U1526">
        <f>IF(OR(('06_Сеть_и_дети'!U75-'06_Сеть_и_дети'!U103)=0,23&lt;='01_Вводные'!$B$297),0,('06_Сеть_и_дети'!U75-'06_Сеть_и_дети'!U103)*IF('01_Вводные'!$B$239="Да",MeanMinAge23+'19_Расчет_аналитики'!U1572*SUMIF(ThresholdAge23,"&lt;"&amp;'19_Расчет_аналитики'!U1572,WeightedRevAge23)-SUMIF(ThresholdAge23,"&lt;"&amp;'19_Расчет_аналитики'!U1572,WeightedMinAge23),MAX(CapacityAge23*'01_Вводные'!$B$218*'19_Расчет_аналитики'!U1572,MeanMinAge23)))</f>
        <v/>
      </c>
      <c r="V1526">
        <f>IF(OR(('06_Сеть_и_дети'!V75-'06_Сеть_и_дети'!V103)=0,23&lt;='01_Вводные'!$B$297),0,('06_Сеть_и_дети'!V75-'06_Сеть_и_дети'!V103)*IF('01_Вводные'!$B$239="Да",MeanMinAge23+'19_Расчет_аналитики'!V1572*SUMIF(ThresholdAge23,"&lt;"&amp;'19_Расчет_аналитики'!V1572,WeightedRevAge23)-SUMIF(ThresholdAge23,"&lt;"&amp;'19_Расчет_аналитики'!V1572,WeightedMinAge23),MAX(CapacityAge23*'01_Вводные'!$B$218*'19_Расчет_аналитики'!V1572,MeanMinAge23)))</f>
        <v/>
      </c>
      <c r="W1526">
        <f>IF(OR(('06_Сеть_и_дети'!W75-'06_Сеть_и_дети'!W103)=0,23&lt;='01_Вводные'!$B$297),0,('06_Сеть_и_дети'!W75-'06_Сеть_и_дети'!W103)*IF('01_Вводные'!$B$239="Да",MeanMinAge23+'19_Расчет_аналитики'!W1572*SUMIF(ThresholdAge23,"&lt;"&amp;'19_Расчет_аналитики'!W1572,WeightedRevAge23)-SUMIF(ThresholdAge23,"&lt;"&amp;'19_Расчет_аналитики'!W1572,WeightedMinAge23),MAX(CapacityAge23*'01_Вводные'!$B$218*'19_Расчет_аналитики'!W1572,MeanMinAge23)))</f>
        <v/>
      </c>
      <c r="X1526">
        <f>IF(OR(('19_Расчет_аналитики'!X1442-'19_Расчет_аналитики'!X1470)=0,23&lt;='01_Вводные'!$B$297),0,('19_Расчет_аналитики'!X1442-'19_Расчет_аналитики'!X1470)*IF('01_Вводные'!$B$239="Да",MeanMinAge23+'19_Расчет_аналитики'!X1572*SUMIF(ThresholdAge23,"&lt;"&amp;'19_Расчет_аналитики'!X1572,WeightedRevAge23)-SUMIF(ThresholdAge23,"&lt;"&amp;'19_Расчет_аналитики'!X1572,WeightedMinAge23),MAX(CapacityAge23*'01_Вводные'!$B$218*'19_Расчет_аналитики'!X1572,MeanMinAge23)))</f>
        <v/>
      </c>
      <c r="Y1526">
        <f>IF(OR(('19_Расчет_аналитики'!Y1442-'19_Расчет_аналитики'!Y1470)=0,23&lt;='01_Вводные'!$B$297),0,('19_Расчет_аналитики'!Y1442-'19_Расчет_аналитики'!Y1470)*IF('01_Вводные'!$B$239="Да",MeanMinAge23+'19_Расчет_аналитики'!Y1572*SUMIF(ThresholdAge23,"&lt;"&amp;'19_Расчет_аналитики'!Y1572,WeightedRevAge23)-SUMIF(ThresholdAge23,"&lt;"&amp;'19_Расчет_аналитики'!Y1572,WeightedMinAge23),MAX(CapacityAge23*'01_Вводные'!$B$218*'19_Расчет_аналитики'!Y1572,MeanMinAge23)))</f>
        <v/>
      </c>
      <c r="Z1526">
        <f>IF(OR(('19_Расчет_аналитики'!Z1442-'19_Расчет_аналитики'!Z1470)=0,23&lt;='01_Вводные'!$B$297),0,('19_Расчет_аналитики'!Z1442-'19_Расчет_аналитики'!Z1470)*IF('01_Вводные'!$B$239="Да",MeanMinAge23+'19_Расчет_аналитики'!Z1572*SUMIF(ThresholdAge23,"&lt;"&amp;'19_Расчет_аналитики'!Z1572,WeightedRevAge23)-SUMIF(ThresholdAge23,"&lt;"&amp;'19_Расчет_аналитики'!Z1572,WeightedMinAge23),MAX(CapacityAge23*'01_Вводные'!$B$218*'19_Расчет_аналитики'!Z1572,MeanMinAge23)))</f>
        <v/>
      </c>
      <c r="AA1526">
        <f>IF(OR(('19_Расчет_аналитики'!AA1442-'19_Расчет_аналитики'!AA1470)=0,23&lt;='01_Вводные'!$B$297),0,('19_Расчет_аналитики'!AA1442-'19_Расчет_аналитики'!AA1470)*IF('01_Вводные'!$B$239="Да",MeanMinAge23+'19_Расчет_аналитики'!AA1572*SUMIF(ThresholdAge23,"&lt;"&amp;'19_Расчет_аналитики'!AA1572,WeightedRevAge23)-SUMIF(ThresholdAge23,"&lt;"&amp;'19_Расчет_аналитики'!AA1572,WeightedMinAge23),MAX(CapacityAge23*'01_Вводные'!$B$218*'19_Расчет_аналитики'!AA1572,MeanMinAge23)))</f>
        <v/>
      </c>
      <c r="AB1526">
        <f>IF(OR(('19_Расчет_аналитики'!AB1442-'19_Расчет_аналитики'!AB1470)=0,23&lt;='01_Вводные'!$B$297),0,('19_Расчет_аналитики'!AB1442-'19_Расчет_аналитики'!AB1470)*IF('01_Вводные'!$B$239="Да",MeanMinAge23+'19_Расчет_аналитики'!AB1572*SUMIF(ThresholdAge23,"&lt;"&amp;'19_Расчет_аналитики'!AB1572,WeightedRevAge23)-SUMIF(ThresholdAge23,"&lt;"&amp;'19_Расчет_аналитики'!AB1572,WeightedMinAge23),MAX(CapacityAge23*'01_Вводные'!$B$218*'19_Расчет_аналитики'!AB1572,MeanMinAge23)))</f>
        <v/>
      </c>
      <c r="AC1526">
        <f>IF(OR(('19_Расчет_аналитики'!AC1442-'19_Расчет_аналитики'!AC1470)=0,23&lt;='01_Вводные'!$B$297),0,('19_Расчет_аналитики'!AC1442-'19_Расчет_аналитики'!AC1470)*IF('01_Вводные'!$B$239="Да",MeanMinAge23+'19_Расчет_аналитики'!AC1572*SUMIF(ThresholdAge23,"&lt;"&amp;'19_Расчет_аналитики'!AC1572,WeightedRevAge23)-SUMIF(ThresholdAge23,"&lt;"&amp;'19_Расчет_аналитики'!AC1572,WeightedMinAge23),MAX(CapacityAge23*'01_Вводные'!$B$218*'19_Расчет_аналитики'!AC1572,MeanMinAge23)))</f>
        <v/>
      </c>
      <c r="AD1526">
        <f>IF(OR(('19_Расчет_аналитики'!AD1442-'19_Расчет_аналитики'!AD1470)=0,23&lt;='01_Вводные'!$B$297),0,('19_Расчет_аналитики'!AD1442-'19_Расчет_аналитики'!AD1470)*IF('01_Вводные'!$B$239="Да",MeanMinAge23+'19_Расчет_аналитики'!AD1572*SUMIF(ThresholdAge23,"&lt;"&amp;'19_Расчет_аналитики'!AD1572,WeightedRevAge23)-SUMIF(ThresholdAge23,"&lt;"&amp;'19_Расчет_аналитики'!AD1572,WeightedMinAge23),MAX(CapacityAge23*'01_Вводные'!$B$218*'19_Расчет_аналитики'!AD1572,MeanMinAge23)))</f>
        <v/>
      </c>
      <c r="AE1526">
        <f>IF(OR(('19_Расчет_аналитики'!AE1442-'19_Расчет_аналитики'!AE1470)=0,23&lt;='01_Вводные'!$B$297),0,('19_Расчет_аналитики'!AE1442-'19_Расчет_аналитики'!AE1470)*IF('01_Вводные'!$B$239="Да",MeanMinAge23+'19_Расчет_аналитики'!AE1572*SUMIF(ThresholdAge23,"&lt;"&amp;'19_Расчет_аналитики'!AE1572,WeightedRevAge23)-SUMIF(ThresholdAge23,"&lt;"&amp;'19_Расчет_аналитики'!AE1572,WeightedMinAge23),MAX(CapacityAge23*'01_Вводные'!$B$218*'19_Расчет_аналитики'!AE1572,MeanMinAge23)))</f>
        <v/>
      </c>
      <c r="AF1526">
        <f>IF(OR(('19_Расчет_аналитики'!AF1442-'19_Расчет_аналитики'!AF1470)=0,23&lt;='01_Вводные'!$B$297),0,('19_Расчет_аналитики'!AF1442-'19_Расчет_аналитики'!AF1470)*IF('01_Вводные'!$B$239="Да",MeanMinAge23+'19_Расчет_аналитики'!AF1572*SUMIF(ThresholdAge23,"&lt;"&amp;'19_Расчет_аналитики'!AF1572,WeightedRevAge23)-SUMIF(ThresholdAge23,"&lt;"&amp;'19_Расчет_аналитики'!AF1572,WeightedMinAge23),MAX(CapacityAge23*'01_Вводные'!$B$218*'19_Расчет_аналитики'!AF1572,MeanMinAge23)))</f>
        <v/>
      </c>
      <c r="AG1526">
        <f>IF(OR(('19_Расчет_аналитики'!AG1442-'19_Расчет_аналитики'!AG1470)=0,23&lt;='01_Вводные'!$B$297),0,('19_Расчет_аналитики'!AG1442-'19_Расчет_аналитики'!AG1470)*IF('01_Вводные'!$B$239="Да",MeanMinAge23+'19_Расчет_аналитики'!AG1572*SUMIF(ThresholdAge23,"&lt;"&amp;'19_Расчет_аналитики'!AG1572,WeightedRevAge23)-SUMIF(ThresholdAge23,"&lt;"&amp;'19_Расчет_аналитики'!AG1572,WeightedMinAge23),MAX(CapacityAge23*'01_Вводные'!$B$218*'19_Расчет_аналитики'!AG1572,MeanMinAge23)))</f>
        <v/>
      </c>
      <c r="AH1526">
        <f>IF(OR(('19_Расчет_аналитики'!AH1442-'19_Расчет_аналитики'!AH1470)=0,23&lt;='01_Вводные'!$B$297),0,('19_Расчет_аналитики'!AH1442-'19_Расчет_аналитики'!AH1470)*IF('01_Вводные'!$B$239="Да",MeanMinAge23+'19_Расчет_аналитики'!AH1572*SUMIF(ThresholdAge23,"&lt;"&amp;'19_Расчет_аналитики'!AH1572,WeightedRevAge23)-SUMIF(ThresholdAge23,"&lt;"&amp;'19_Расчет_аналитики'!AH1572,WeightedMinAge23),MAX(CapacityAge23*'01_Вводные'!$B$218*'19_Расчет_аналитики'!AH1572,MeanMinAge23)))</f>
        <v/>
      </c>
      <c r="AI1526">
        <f>IF(OR(('19_Расчет_аналитики'!AI1442-'19_Расчет_аналитики'!AI1470)=0,23&lt;='01_Вводные'!$B$297),0,('19_Расчет_аналитики'!AI1442-'19_Расчет_аналитики'!AI1470)*IF('01_Вводные'!$B$239="Да",MeanMinAge23+'19_Расчет_аналитики'!AI1572*SUMIF(ThresholdAge23,"&lt;"&amp;'19_Расчет_аналитики'!AI1572,WeightedRevAge23)-SUMIF(ThresholdAge23,"&lt;"&amp;'19_Расчет_аналитики'!AI1572,WeightedMinAge23),MAX(CapacityAge23*'01_Вводные'!$B$218*'19_Расчет_аналитики'!AI1572,MeanMinAge23)))</f>
        <v/>
      </c>
      <c r="AJ1526">
        <f>IF(OR(('19_Расчет_аналитики'!AJ1442-'19_Расчет_аналитики'!AJ1470)=0,23&lt;='01_Вводные'!$B$297),0,('19_Расчет_аналитики'!AJ1442-'19_Расчет_аналитики'!AJ1470)*IF('01_Вводные'!$B$239="Да",MeanMinAge23+'19_Расчет_аналитики'!AJ1572*SUMIF(ThresholdAge23,"&lt;"&amp;'19_Расчет_аналитики'!AJ1572,WeightedRevAge23)-SUMIF(ThresholdAge23,"&lt;"&amp;'19_Расчет_аналитики'!AJ1572,WeightedMinAge23),MAX(CapacityAge23*'01_Вводные'!$B$218*'19_Расчет_аналитики'!AJ1572,MeanMinAge23)))</f>
        <v/>
      </c>
      <c r="AK1526">
        <f>IF(OR(('19_Расчет_аналитики'!AK1442-'19_Расчет_аналитики'!AK1470)=0,23&lt;='01_Вводные'!$B$297),0,('19_Расчет_аналитики'!AK1442-'19_Расчет_аналитики'!AK1470)*IF('01_Вводные'!$B$239="Да",MeanMinAge23+'19_Расчет_аналитики'!AK1572*SUMIF(ThresholdAge23,"&lt;"&amp;'19_Расчет_аналитики'!AK1572,WeightedRevAge23)-SUMIF(ThresholdAge23,"&lt;"&amp;'19_Расчет_аналитики'!AK1572,WeightedMinAge23),MAX(CapacityAge23*'01_Вводные'!$B$218*'19_Расчет_аналитики'!AK1572,MeanMinAge23)))</f>
        <v/>
      </c>
      <c r="AL1526">
        <f>IF(OR(('19_Расчет_аналитики'!AL1442-'19_Расчет_аналитики'!AL1470)=0,23&lt;='01_Вводные'!$B$297),0,('19_Расчет_аналитики'!AL1442-'19_Расчет_аналитики'!AL1470)*IF('01_Вводные'!$B$239="Да",MeanMinAge23+'19_Расчет_аналитики'!AL1572*SUMIF(ThresholdAge23,"&lt;"&amp;'19_Расчет_аналитики'!AL1572,WeightedRevAge23)-SUMIF(ThresholdAge23,"&lt;"&amp;'19_Расчет_аналитики'!AL1572,WeightedMinAge23),MAX(CapacityAge23*'01_Вводные'!$B$218*'19_Расчет_аналитики'!AL1572,MeanMinAge23)))</f>
        <v/>
      </c>
      <c r="AM1526">
        <f>IF(OR(('19_Расчет_аналитики'!AM1442-'19_Расчет_аналитики'!AM1470)=0,23&lt;='01_Вводные'!$B$297),0,('19_Расчет_аналитики'!AM1442-'19_Расчет_аналитики'!AM1470)*IF('01_Вводные'!$B$239="Да",MeanMinAge23+'19_Расчет_аналитики'!AM1572*SUMIF(ThresholdAge23,"&lt;"&amp;'19_Расчет_аналитики'!AM1572,WeightedRevAge23)-SUMIF(ThresholdAge23,"&lt;"&amp;'19_Расчет_аналитики'!AM1572,WeightedMinAge23),MAX(CapacityAge23*'01_Вводные'!$B$218*'19_Расчет_аналитики'!AM1572,MeanMinAge23)))</f>
        <v/>
      </c>
      <c r="AN1526">
        <f>IF(OR(('19_Расчет_аналитики'!AN1442-'19_Расчет_аналитики'!AN1470)=0,23&lt;='01_Вводные'!$B$297),0,('19_Расчет_аналитики'!AN1442-'19_Расчет_аналитики'!AN1470)*IF('01_Вводные'!$B$239="Да",MeanMinAge23+'19_Расчет_аналитики'!AN1572*SUMIF(ThresholdAge23,"&lt;"&amp;'19_Расчет_аналитики'!AN1572,WeightedRevAge23)-SUMIF(ThresholdAge23,"&lt;"&amp;'19_Расчет_аналитики'!AN1572,WeightedMinAge23),MAX(CapacityAge23*'01_Вводные'!$B$218*'19_Расчет_аналитики'!AN1572,MeanMinAge23)))</f>
        <v/>
      </c>
      <c r="AO1526">
        <f>IF(OR(('19_Расчет_аналитики'!AO1442-'19_Расчет_аналитики'!AO1470)=0,23&lt;='01_Вводные'!$B$297),0,('19_Расчет_аналитики'!AO1442-'19_Расчет_аналитики'!AO1470)*IF('01_Вводные'!$B$239="Да",MeanMinAge23+'19_Расчет_аналитики'!AO1572*SUMIF(ThresholdAge23,"&lt;"&amp;'19_Расчет_аналитики'!AO1572,WeightedRevAge23)-SUMIF(ThresholdAge23,"&lt;"&amp;'19_Расчет_аналитики'!AO1572,WeightedMinAge23),MAX(CapacityAge23*'01_Вводные'!$B$218*'19_Расчет_аналитики'!AO1572,MeanMinAge23)))</f>
        <v/>
      </c>
      <c r="AP1526">
        <f>IF(OR(('19_Расчет_аналитики'!AP1442-'19_Расчет_аналитики'!AP1470)=0,23&lt;='01_Вводные'!$B$297),0,('19_Расчет_аналитики'!AP1442-'19_Расчет_аналитики'!AP1470)*IF('01_Вводные'!$B$239="Да",MeanMinAge23+'19_Расчет_аналитики'!AP1572*SUMIF(ThresholdAge23,"&lt;"&amp;'19_Расчет_аналитики'!AP1572,WeightedRevAge23)-SUMIF(ThresholdAge23,"&lt;"&amp;'19_Расчет_аналитики'!AP1572,WeightedMinAge23),MAX(CapacityAge23*'01_Вводные'!$B$218*'19_Расчет_аналитики'!AP1572,MeanMinAge23)))</f>
        <v/>
      </c>
      <c r="AQ1526">
        <f>IF(OR(('19_Расчет_аналитики'!AQ1442-'19_Расчет_аналитики'!AQ1470)=0,23&lt;='01_Вводные'!$B$297),0,('19_Расчет_аналитики'!AQ1442-'19_Расчет_аналитики'!AQ1470)*IF('01_Вводные'!$B$239="Да",MeanMinAge23+'19_Расчет_аналитики'!AQ1572*SUMIF(ThresholdAge23,"&lt;"&amp;'19_Расчет_аналитики'!AQ1572,WeightedRevAge23)-SUMIF(ThresholdAge23,"&lt;"&amp;'19_Расчет_аналитики'!AQ1572,WeightedMinAge23),MAX(CapacityAge23*'01_Вводные'!$B$218*'19_Расчет_аналитики'!AQ1572,MeanMinAge23)))</f>
        <v/>
      </c>
      <c r="AR1526">
        <f>IF(OR(('19_Расчет_аналитики'!AR1442-'19_Расчет_аналитики'!AR1470)=0,23&lt;='01_Вводные'!$B$297),0,('19_Расчет_аналитики'!AR1442-'19_Расчет_аналитики'!AR1470)*IF('01_Вводные'!$B$239="Да",MeanMinAge23+'19_Расчет_аналитики'!AR1572*SUMIF(ThresholdAge23,"&lt;"&amp;'19_Расчет_аналитики'!AR1572,WeightedRevAge23)-SUMIF(ThresholdAge23,"&lt;"&amp;'19_Расчет_аналитики'!AR1572,WeightedMinAge23),MAX(CapacityAge23*'01_Вводные'!$B$218*'19_Расчет_аналитики'!AR1572,MeanMinAge23)))</f>
        <v/>
      </c>
      <c r="AS1526">
        <f>IF(OR(('19_Расчет_аналитики'!AS1442-'19_Расчет_аналитики'!AS1470)=0,23&lt;='01_Вводные'!$B$297),0,('19_Расчет_аналитики'!AS1442-'19_Расчет_аналитики'!AS1470)*IF('01_Вводные'!$B$239="Да",MeanMinAge23+'19_Расчет_аналитики'!AS1572*SUMIF(ThresholdAge23,"&lt;"&amp;'19_Расчет_аналитики'!AS1572,WeightedRevAge23)-SUMIF(ThresholdAge23,"&lt;"&amp;'19_Расчет_аналитики'!AS1572,WeightedMinAge23),MAX(CapacityAge23*'01_Вводные'!$B$218*'19_Расчет_аналитики'!AS1572,MeanMinAge23)))</f>
        <v/>
      </c>
      <c r="AT1526">
        <f>IF(OR(('19_Расчет_аналитики'!AT1442-'19_Расчет_аналитики'!AT1470)=0,23&lt;='01_Вводные'!$B$297),0,('19_Расчет_аналитики'!AT1442-'19_Расчет_аналитики'!AT1470)*IF('01_Вводные'!$B$239="Да",MeanMinAge23+'19_Расчет_аналитики'!AT1572*SUMIF(ThresholdAge23,"&lt;"&amp;'19_Расчет_аналитики'!AT1572,WeightedRevAge23)-SUMIF(ThresholdAge23,"&lt;"&amp;'19_Расчет_аналитики'!AT1572,WeightedMinAge23),MAX(CapacityAge23*'01_Вводные'!$B$218*'19_Расчет_аналитики'!AT1572,MeanMinAge23)))</f>
        <v/>
      </c>
      <c r="AU1526">
        <f>IF(OR(('19_Расчет_аналитики'!AU1442-'19_Расчет_аналитики'!AU1470)=0,23&lt;='01_Вводные'!$B$297),0,('19_Расчет_аналитики'!AU1442-'19_Расчет_аналитики'!AU1470)*IF('01_Вводные'!$B$239="Да",MeanMinAge23+'19_Расчет_аналитики'!AU1572*SUMIF(ThresholdAge23,"&lt;"&amp;'19_Расчет_аналитики'!AU1572,WeightedRevAge23)-SUMIF(ThresholdAge23,"&lt;"&amp;'19_Расчет_аналитики'!AU1572,WeightedMinAge23),MAX(CapacityAge23*'01_Вводные'!$B$218*'19_Расчет_аналитики'!AU1572,MeanMinAge23)))</f>
        <v/>
      </c>
      <c r="AV1526">
        <f>IF(OR(('19_Расчет_аналитики'!AV1442-'19_Расчет_аналитики'!AV1470)=0,23&lt;='01_Вводные'!$B$297),0,('19_Расчет_аналитики'!AV1442-'19_Расчет_аналитики'!AV1470)*IF('01_Вводные'!$B$239="Да",MeanMinAge23+'19_Расчет_аналитики'!AV1572*SUMIF(ThresholdAge23,"&lt;"&amp;'19_Расчет_аналитики'!AV1572,WeightedRevAge23)-SUMIF(ThresholdAge23,"&lt;"&amp;'19_Расчет_аналитики'!AV1572,WeightedMinAge23),MAX(CapacityAge23*'01_Вводные'!$B$218*'19_Расчет_аналитики'!AV1572,MeanMinAge23)))</f>
        <v/>
      </c>
      <c r="AW1526">
        <f>IF(OR(('19_Расчет_аналитики'!AW1442-'19_Расчет_аналитики'!AW1470)=0,23&lt;='01_Вводные'!$B$297),0,('19_Расчет_аналитики'!AW1442-'19_Расчет_аналитики'!AW1470)*IF('01_Вводные'!$B$239="Да",MeanMinAge23+'19_Расчет_аналитики'!AW1572*SUMIF(ThresholdAge23,"&lt;"&amp;'19_Расчет_аналитики'!AW1572,WeightedRevAge23)-SUMIF(ThresholdAge23,"&lt;"&amp;'19_Расчет_аналитики'!AW1572,WeightedMinAge23),MAX(CapacityAge23*'01_Вводные'!$B$218*'19_Расчет_аналитики'!AW1572,MeanMinAge23)))</f>
        <v/>
      </c>
      <c r="AX1526">
        <f>IF(OR(('19_Расчет_аналитики'!AX1442-'19_Расчет_аналитики'!AX1470)=0,23&lt;='01_Вводные'!$B$297),0,('19_Расчет_аналитики'!AX1442-'19_Расчет_аналитики'!AX1470)*IF('01_Вводные'!$B$239="Да",MeanMinAge23+'19_Расчет_аналитики'!AX1572*SUMIF(ThresholdAge23,"&lt;"&amp;'19_Расчет_аналитики'!AX1572,WeightedRevAge23)-SUMIF(ThresholdAge23,"&lt;"&amp;'19_Расчет_аналитики'!AX1572,WeightedMinAge23),MAX(CapacityAge23*'01_Вводные'!$B$218*'19_Расчет_аналитики'!AX1572,MeanMinAge23)))</f>
        <v/>
      </c>
      <c r="AY1526">
        <f>IF(OR(('19_Расчет_аналитики'!AY1442-'19_Расчет_аналитики'!AY1470)=0,23&lt;='01_Вводные'!$B$297),0,('19_Расчет_аналитики'!AY1442-'19_Расчет_аналитики'!AY1470)*IF('01_Вводные'!$B$239="Да",MeanMinAge23+'19_Расчет_аналитики'!AY1572*SUMIF(ThresholdAge23,"&lt;"&amp;'19_Расчет_аналитики'!AY1572,WeightedRevAge23)-SUMIF(ThresholdAge23,"&lt;"&amp;'19_Расчет_аналитики'!AY1572,WeightedMinAge23),MAX(CapacityAge23*'01_Вводные'!$B$218*'19_Расчет_аналитики'!AY1572,MeanMinAge23)))</f>
        <v/>
      </c>
      <c r="AZ1526">
        <f>IF(OR(('19_Расчет_аналитики'!AZ1442-'19_Расчет_аналитики'!AZ1470)=0,23&lt;='01_Вводные'!$B$297),0,('19_Расчет_аналитики'!AZ1442-'19_Расчет_аналитики'!AZ1470)*IF('01_Вводные'!$B$239="Да",MeanMinAge23+'19_Расчет_аналитики'!AZ1572*SUMIF(ThresholdAge23,"&lt;"&amp;'19_Расчет_аналитики'!AZ1572,WeightedRevAge23)-SUMIF(ThresholdAge23,"&lt;"&amp;'19_Расчет_аналитики'!AZ1572,WeightedMinAge23),MAX(CapacityAge23*'01_Вводные'!$B$218*'19_Расчет_аналитики'!AZ1572,MeanMinAge23)))</f>
        <v/>
      </c>
      <c r="BA1526">
        <f>IF(OR(('19_Расчет_аналитики'!BA1442-'19_Расчет_аналитики'!BA1470)=0,23&lt;='01_Вводные'!$B$297),0,('19_Расчет_аналитики'!BA1442-'19_Расчет_аналитики'!BA1470)*IF('01_Вводные'!$B$239="Да",MeanMinAge23+'19_Расчет_аналитики'!BA1572*SUMIF(ThresholdAge23,"&lt;"&amp;'19_Расчет_аналитики'!BA1572,WeightedRevAge23)-SUMIF(ThresholdAge23,"&lt;"&amp;'19_Расчет_аналитики'!BA1572,WeightedMinAge23),MAX(CapacityAge23*'01_Вводные'!$B$218*'19_Расчет_аналитики'!BA1572,MeanMinAge23)))</f>
        <v/>
      </c>
      <c r="BB1526">
        <f>IF(OR(('19_Расчет_аналитики'!BB1442-'19_Расчет_аналитики'!BB1470)=0,23&lt;='01_Вводные'!$B$297),0,('19_Расчет_аналитики'!BB1442-'19_Расчет_аналитики'!BB1470)*IF('01_Вводные'!$B$239="Да",MeanMinAge23+'19_Расчет_аналитики'!BB1572*SUMIF(ThresholdAge23,"&lt;"&amp;'19_Расчет_аналитики'!BB1572,WeightedRevAge23)-SUMIF(ThresholdAge23,"&lt;"&amp;'19_Расчет_аналитики'!BB1572,WeightedMinAge23),MAX(CapacityAge23*'01_Вводные'!$B$218*'19_Расчет_аналитики'!BB1572,MeanMinAge23)))</f>
        <v/>
      </c>
      <c r="BC1526">
        <f>IF(OR(('19_Расчет_аналитики'!BC1442-'19_Расчет_аналитики'!BC1470)=0,23&lt;='01_Вводные'!$B$297),0,('19_Расчет_аналитики'!BC1442-'19_Расчет_аналитики'!BC1470)*IF('01_Вводные'!$B$239="Да",MeanMinAge23+'19_Расчет_аналитики'!BC1572*SUMIF(ThresholdAge23,"&lt;"&amp;'19_Расчет_аналитики'!BC1572,WeightedRevAge23)-SUMIF(ThresholdAge23,"&lt;"&amp;'19_Расчет_аналитики'!BC1572,WeightedMinAge23),MAX(CapacityAge23*'01_Вводные'!$B$218*'19_Расчет_аналитики'!BC1572,MeanMinAge23)))</f>
        <v/>
      </c>
      <c r="BD1526">
        <f>IF(OR(('19_Расчет_аналитики'!BD1442-'19_Расчет_аналитики'!BD1470)=0,23&lt;='01_Вводные'!$B$297),0,('19_Расчет_аналитики'!BD1442-'19_Расчет_аналитики'!BD1470)*IF('01_Вводные'!$B$239="Да",MeanMinAge23+'19_Расчет_аналитики'!BD1572*SUMIF(ThresholdAge23,"&lt;"&amp;'19_Расчет_аналитики'!BD1572,WeightedRevAge23)-SUMIF(ThresholdAge23,"&lt;"&amp;'19_Расчет_аналитики'!BD1572,WeightedMinAge23),MAX(CapacityAge23*'01_Вводные'!$B$218*'19_Расчет_аналитики'!BD1572,MeanMinAge23)))</f>
        <v/>
      </c>
      <c r="BE1526">
        <f>IF(OR(('19_Расчет_аналитики'!BE1442-'19_Расчет_аналитики'!BE1470)=0,23&lt;='01_Вводные'!$B$297),0,('19_Расчет_аналитики'!BE1442-'19_Расчет_аналитики'!BE1470)*IF('01_Вводные'!$B$239="Да",MeanMinAge23+'19_Расчет_аналитики'!BE1572*SUMIF(ThresholdAge23,"&lt;"&amp;'19_Расчет_аналитики'!BE1572,WeightedRevAge23)-SUMIF(ThresholdAge23,"&lt;"&amp;'19_Расчет_аналитики'!BE1572,WeightedMinAge23),MAX(CapacityAge23*'01_Вводные'!$B$218*'19_Расчет_аналитики'!BE1572,MeanMinAge23)))</f>
        <v/>
      </c>
      <c r="BF1526">
        <f>IF(OR(('19_Расчет_аналитики'!BF1442-'19_Расчет_аналитики'!BF1470)=0,23&lt;='01_Вводные'!$B$297),0,('19_Расчет_аналитики'!BF1442-'19_Расчет_аналитики'!BF1470)*IF('01_Вводные'!$B$239="Да",MeanMinAge23+'19_Расчет_аналитики'!BF1572*SUMIF(ThresholdAge23,"&lt;"&amp;'19_Расчет_аналитики'!BF1572,WeightedRevAge23)-SUMIF(ThresholdAge23,"&lt;"&amp;'19_Расчет_аналитики'!BF1572,WeightedMinAge23),MAX(CapacityAge23*'01_Вводные'!$B$218*'19_Расчет_аналитики'!BF1572,MeanMinAge23)))</f>
        <v/>
      </c>
      <c r="BG1526">
        <f>IF(OR(('19_Расчет_аналитики'!BG1442-'19_Расчет_аналитики'!BG1470)=0,23&lt;='01_Вводные'!$B$297),0,('19_Расчет_аналитики'!BG1442-'19_Расчет_аналитики'!BG1470)*IF('01_Вводные'!$B$239="Да",MeanMinAge23+'19_Расчет_аналитики'!BG1572*SUMIF(ThresholdAge23,"&lt;"&amp;'19_Расчет_аналитики'!BG1572,WeightedRevAge23)-SUMIF(ThresholdAge23,"&lt;"&amp;'19_Расчет_аналитики'!BG1572,WeightedMinAge23),MAX(CapacityAge23*'01_Вводные'!$B$218*'19_Расчет_аналитики'!BG1572,MeanMinAge23)))</f>
        <v/>
      </c>
      <c r="BH1526">
        <f>IF(OR(('19_Расчет_аналитики'!BH1442-'19_Расчет_аналитики'!BH1470)=0,23&lt;='01_Вводные'!$B$297),0,('19_Расчет_аналитики'!BH1442-'19_Расчет_аналитики'!BH1470)*IF('01_Вводные'!$B$239="Да",MeanMinAge23+'19_Расчет_аналитики'!BH1572*SUMIF(ThresholdAge23,"&lt;"&amp;'19_Расчет_аналитики'!BH1572,WeightedRevAge23)-SUMIF(ThresholdAge23,"&lt;"&amp;'19_Расчет_аналитики'!BH1572,WeightedMinAge23),MAX(CapacityAge23*'01_Вводные'!$B$218*'19_Расчет_аналитики'!BH1572,MeanMinAge23)))</f>
        <v/>
      </c>
      <c r="BI1526">
        <f>IF(OR(('19_Расчет_аналитики'!BI1442-'19_Расчет_аналитики'!BI1470)=0,23&lt;='01_Вводные'!$B$297),0,('19_Расчет_аналитики'!BI1442-'19_Расчет_аналитики'!BI1470)*IF('01_Вводные'!$B$239="Да",MeanMinAge23+'19_Расчет_аналитики'!BI1572*SUMIF(ThresholdAge23,"&lt;"&amp;'19_Расчет_аналитики'!BI1572,WeightedRevAge23)-SUMIF(ThresholdAge23,"&lt;"&amp;'19_Расчет_аналитики'!BI1572,WeightedMinAge23),MAX(CapacityAge23*'01_Вводные'!$B$218*'19_Расчет_аналитики'!BI1572,MeanMinAge23)))</f>
        <v/>
      </c>
      <c r="BJ1526">
        <f>IF(OR(('19_Расчет_аналитики'!BJ1442-'19_Расчет_аналитики'!BJ1470)=0,23&lt;='01_Вводные'!$B$297),0,('19_Расчет_аналитики'!BJ1442-'19_Расчет_аналитики'!BJ1470)*IF('01_Вводные'!$B$239="Да",MeanMinAge23+'19_Расчет_аналитики'!BJ1572*SUMIF(ThresholdAge23,"&lt;"&amp;'19_Расчет_аналитики'!BJ1572,WeightedRevAge23)-SUMIF(ThresholdAge23,"&lt;"&amp;'19_Расчет_аналитики'!BJ1572,WeightedMinAge23),MAX(CapacityAge23*'01_Вводные'!$B$218*'19_Расчет_аналитики'!BJ1572,MeanMinAge23)))</f>
        <v/>
      </c>
      <c r="BK1526">
        <f>IF(OR(('19_Расчет_аналитики'!BK1442-'19_Расчет_аналитики'!BK1470)=0,23&lt;='01_Вводные'!$B$297),0,('19_Расчет_аналитики'!BK1442-'19_Расчет_аналитики'!BK1470)*IF('01_Вводные'!$B$239="Да",MeanMinAge23+'19_Расчет_аналитики'!BK1572*SUMIF(ThresholdAge23,"&lt;"&amp;'19_Расчет_аналитики'!BK1572,WeightedRevAge23)-SUMIF(ThresholdAge23,"&lt;"&amp;'19_Расчет_аналитики'!BK1572,WeightedMinAge23),MAX(CapacityAge23*'01_Вводные'!$B$218*'19_Расчет_аналитики'!BK1572,MeanMinAge23)))</f>
        <v/>
      </c>
      <c r="BL1526">
        <f>IF(OR(('19_Расчет_аналитики'!BL1442-'19_Расчет_аналитики'!BL1470)=0,23&lt;='01_Вводные'!$B$297),0,('19_Расчет_аналитики'!BL1442-'19_Расчет_аналитики'!BL1470)*IF('01_Вводные'!$B$239="Да",MeanMinAge23+'19_Расчет_аналитики'!BL1572*SUMIF(ThresholdAge23,"&lt;"&amp;'19_Расчет_аналитики'!BL1572,WeightedRevAge23)-SUMIF(ThresholdAge23,"&lt;"&amp;'19_Расчет_аналитики'!BL1572,WeightedMinAge23),MAX(CapacityAge23*'01_Вводные'!$B$218*'19_Расчет_аналитики'!BL1572,MeanMinAge23)))</f>
        <v/>
      </c>
      <c r="BM1526">
        <f>IF(OR(('19_Расчет_аналитики'!BM1442-'19_Расчет_аналитики'!BM1470)=0,23&lt;='01_Вводные'!$B$297),0,('19_Расчет_аналитики'!BM1442-'19_Расчет_аналитики'!BM1470)*IF('01_Вводные'!$B$239="Да",MeanMinAge23+'19_Расчет_аналитики'!BM1572*SUMIF(ThresholdAge23,"&lt;"&amp;'19_Расчет_аналитики'!BM1572,WeightedRevAge23)-SUMIF(ThresholdAge23,"&lt;"&amp;'19_Расчет_аналитики'!BM1572,WeightedMinAge23),MAX(CapacityAge23*'01_Вводные'!$B$218*'19_Расчет_аналитики'!BM1572,MeanMinAge23)))</f>
        <v/>
      </c>
      <c r="BN1526">
        <f>IF(OR(('19_Расчет_аналитики'!BN1442-'19_Расчет_аналитики'!BN1470)=0,23&lt;='01_Вводные'!$B$297),0,('19_Расчет_аналитики'!BN1442-'19_Расчет_аналитики'!BN1470)*IF('01_Вводные'!$B$239="Да",MeanMinAge23+'19_Расчет_аналитики'!BN1572*SUMIF(ThresholdAge23,"&lt;"&amp;'19_Расчет_аналитики'!BN1572,WeightedRevAge23)-SUMIF(ThresholdAge23,"&lt;"&amp;'19_Расчет_аналитики'!BN1572,WeightedMinAge23),MAX(CapacityAge23*'01_Вводные'!$B$218*'19_Расчет_аналитики'!BN1572,MeanMinAge23)))</f>
        <v/>
      </c>
      <c r="BO1526">
        <f>IF(OR(('19_Расчет_аналитики'!BO1442-'19_Расчет_аналитики'!BO1470)=0,23&lt;='01_Вводные'!$B$297),0,('19_Расчет_аналитики'!BO1442-'19_Расчет_аналитики'!BO1470)*IF('01_Вводные'!$B$239="Да",MeanMinAge23+'19_Расчет_аналитики'!BO1572*SUMIF(ThresholdAge23,"&lt;"&amp;'19_Расчет_аналитики'!BO1572,WeightedRevAge23)-SUMIF(ThresholdAge23,"&lt;"&amp;'19_Расчет_аналитики'!BO1572,WeightedMinAge23),MAX(CapacityAge23*'01_Вводные'!$B$218*'19_Расчет_аналитики'!BO1572,MeanMinAge23)))</f>
        <v/>
      </c>
    </row>
    <row r="1527">
      <c r="B1527">
        <f>IF(OR(('06_Сеть_и_дети'!B76-'06_Сеть_и_дети'!B104)=0,24&lt;='01_Вводные'!$B$297),0,('06_Сеть_и_дети'!B76-'06_Сеть_и_дети'!B104)*IF('01_Вводные'!$B$239="Да",MeanMinAge24+'19_Расчет_аналитики'!B1572*SUMIF(ThresholdAge24,"&lt;"&amp;'19_Расчет_аналитики'!B1572,WeightedRevAge24)-SUMIF(ThresholdAge24,"&lt;"&amp;'19_Расчет_аналитики'!B1572,WeightedMinAge24),MAX(CapacityAge24*'01_Вводные'!$B$218*'19_Расчет_аналитики'!B1572,MeanMinAge24)))</f>
        <v/>
      </c>
      <c r="C1527">
        <f>IF(OR(('06_Сеть_и_дети'!C76-'06_Сеть_и_дети'!C104)=0,24&lt;='01_Вводные'!$B$297),0,('06_Сеть_и_дети'!C76-'06_Сеть_и_дети'!C104)*IF('01_Вводные'!$B$239="Да",MeanMinAge24+'19_Расчет_аналитики'!C1572*SUMIF(ThresholdAge24,"&lt;"&amp;'19_Расчет_аналитики'!C1572,WeightedRevAge24)-SUMIF(ThresholdAge24,"&lt;"&amp;'19_Расчет_аналитики'!C1572,WeightedMinAge24),MAX(CapacityAge24*'01_Вводные'!$B$218*'19_Расчет_аналитики'!C1572,MeanMinAge24)))</f>
        <v/>
      </c>
      <c r="D1527">
        <f>IF(OR(('06_Сеть_и_дети'!D76-'06_Сеть_и_дети'!D104)=0,24&lt;='01_Вводные'!$B$297),0,('06_Сеть_и_дети'!D76-'06_Сеть_и_дети'!D104)*IF('01_Вводные'!$B$239="Да",MeanMinAge24+'19_Расчет_аналитики'!D1572*SUMIF(ThresholdAge24,"&lt;"&amp;'19_Расчет_аналитики'!D1572,WeightedRevAge24)-SUMIF(ThresholdAge24,"&lt;"&amp;'19_Расчет_аналитики'!D1572,WeightedMinAge24),MAX(CapacityAge24*'01_Вводные'!$B$218*'19_Расчет_аналитики'!D1572,MeanMinAge24)))</f>
        <v/>
      </c>
      <c r="E1527">
        <f>IF(OR(('06_Сеть_и_дети'!E76-'06_Сеть_и_дети'!E104)=0,24&lt;='01_Вводные'!$B$297),0,('06_Сеть_и_дети'!E76-'06_Сеть_и_дети'!E104)*IF('01_Вводные'!$B$239="Да",MeanMinAge24+'19_Расчет_аналитики'!E1572*SUMIF(ThresholdAge24,"&lt;"&amp;'19_Расчет_аналитики'!E1572,WeightedRevAge24)-SUMIF(ThresholdAge24,"&lt;"&amp;'19_Расчет_аналитики'!E1572,WeightedMinAge24),MAX(CapacityAge24*'01_Вводные'!$B$218*'19_Расчет_аналитики'!E1572,MeanMinAge24)))</f>
        <v/>
      </c>
      <c r="F1527">
        <f>IF(OR(('06_Сеть_и_дети'!F76-'06_Сеть_и_дети'!F104)=0,24&lt;='01_Вводные'!$B$297),0,('06_Сеть_и_дети'!F76-'06_Сеть_и_дети'!F104)*IF('01_Вводные'!$B$239="Да",MeanMinAge24+'19_Расчет_аналитики'!F1572*SUMIF(ThresholdAge24,"&lt;"&amp;'19_Расчет_аналитики'!F1572,WeightedRevAge24)-SUMIF(ThresholdAge24,"&lt;"&amp;'19_Расчет_аналитики'!F1572,WeightedMinAge24),MAX(CapacityAge24*'01_Вводные'!$B$218*'19_Расчет_аналитики'!F1572,MeanMinAge24)))</f>
        <v/>
      </c>
      <c r="G1527">
        <f>IF(OR(('06_Сеть_и_дети'!G76-'06_Сеть_и_дети'!G104)=0,24&lt;='01_Вводные'!$B$297),0,('06_Сеть_и_дети'!G76-'06_Сеть_и_дети'!G104)*IF('01_Вводные'!$B$239="Да",MeanMinAge24+'19_Расчет_аналитики'!G1572*SUMIF(ThresholdAge24,"&lt;"&amp;'19_Расчет_аналитики'!G1572,WeightedRevAge24)-SUMIF(ThresholdAge24,"&lt;"&amp;'19_Расчет_аналитики'!G1572,WeightedMinAge24),MAX(CapacityAge24*'01_Вводные'!$B$218*'19_Расчет_аналитики'!G1572,MeanMinAge24)))</f>
        <v/>
      </c>
      <c r="H1527">
        <f>IF(OR(('06_Сеть_и_дети'!H76-'06_Сеть_и_дети'!H104)=0,24&lt;='01_Вводные'!$B$297),0,('06_Сеть_и_дети'!H76-'06_Сеть_и_дети'!H104)*IF('01_Вводные'!$B$239="Да",MeanMinAge24+'19_Расчет_аналитики'!H1572*SUMIF(ThresholdAge24,"&lt;"&amp;'19_Расчет_аналитики'!H1572,WeightedRevAge24)-SUMIF(ThresholdAge24,"&lt;"&amp;'19_Расчет_аналитики'!H1572,WeightedMinAge24),MAX(CapacityAge24*'01_Вводные'!$B$218*'19_Расчет_аналитики'!H1572,MeanMinAge24)))</f>
        <v/>
      </c>
      <c r="I1527">
        <f>IF(OR(('06_Сеть_и_дети'!I76-'06_Сеть_и_дети'!I104)=0,24&lt;='01_Вводные'!$B$297),0,('06_Сеть_и_дети'!I76-'06_Сеть_и_дети'!I104)*IF('01_Вводные'!$B$239="Да",MeanMinAge24+'19_Расчет_аналитики'!I1572*SUMIF(ThresholdAge24,"&lt;"&amp;'19_Расчет_аналитики'!I1572,WeightedRevAge24)-SUMIF(ThresholdAge24,"&lt;"&amp;'19_Расчет_аналитики'!I1572,WeightedMinAge24),MAX(CapacityAge24*'01_Вводные'!$B$218*'19_Расчет_аналитики'!I1572,MeanMinAge24)))</f>
        <v/>
      </c>
      <c r="J1527">
        <f>IF(OR(('06_Сеть_и_дети'!J76-'06_Сеть_и_дети'!J104)=0,24&lt;='01_Вводные'!$B$297),0,('06_Сеть_и_дети'!J76-'06_Сеть_и_дети'!J104)*IF('01_Вводные'!$B$239="Да",MeanMinAge24+'19_Расчет_аналитики'!J1572*SUMIF(ThresholdAge24,"&lt;"&amp;'19_Расчет_аналитики'!J1572,WeightedRevAge24)-SUMIF(ThresholdAge24,"&lt;"&amp;'19_Расчет_аналитики'!J1572,WeightedMinAge24),MAX(CapacityAge24*'01_Вводные'!$B$218*'19_Расчет_аналитики'!J1572,MeanMinAge24)))</f>
        <v/>
      </c>
      <c r="K1527">
        <f>IF(OR(('06_Сеть_и_дети'!K76-'06_Сеть_и_дети'!K104)=0,24&lt;='01_Вводные'!$B$297),0,('06_Сеть_и_дети'!K76-'06_Сеть_и_дети'!K104)*IF('01_Вводные'!$B$239="Да",MeanMinAge24+'19_Расчет_аналитики'!K1572*SUMIF(ThresholdAge24,"&lt;"&amp;'19_Расчет_аналитики'!K1572,WeightedRevAge24)-SUMIF(ThresholdAge24,"&lt;"&amp;'19_Расчет_аналитики'!K1572,WeightedMinAge24),MAX(CapacityAge24*'01_Вводные'!$B$218*'19_Расчет_аналитики'!K1572,MeanMinAge24)))</f>
        <v/>
      </c>
      <c r="L1527">
        <f>IF(OR(('06_Сеть_и_дети'!L76-'06_Сеть_и_дети'!L104)=0,24&lt;='01_Вводные'!$B$297),0,('06_Сеть_и_дети'!L76-'06_Сеть_и_дети'!L104)*IF('01_Вводные'!$B$239="Да",MeanMinAge24+'19_Расчет_аналитики'!L1572*SUMIF(ThresholdAge24,"&lt;"&amp;'19_Расчет_аналитики'!L1572,WeightedRevAge24)-SUMIF(ThresholdAge24,"&lt;"&amp;'19_Расчет_аналитики'!L1572,WeightedMinAge24),MAX(CapacityAge24*'01_Вводные'!$B$218*'19_Расчет_аналитики'!L1572,MeanMinAge24)))</f>
        <v/>
      </c>
      <c r="M1527">
        <f>IF(OR(('06_Сеть_и_дети'!M76-'06_Сеть_и_дети'!M104)=0,24&lt;='01_Вводные'!$B$297),0,('06_Сеть_и_дети'!M76-'06_Сеть_и_дети'!M104)*IF('01_Вводные'!$B$239="Да",MeanMinAge24+'19_Расчет_аналитики'!M1572*SUMIF(ThresholdAge24,"&lt;"&amp;'19_Расчет_аналитики'!M1572,WeightedRevAge24)-SUMIF(ThresholdAge24,"&lt;"&amp;'19_Расчет_аналитики'!M1572,WeightedMinAge24),MAX(CapacityAge24*'01_Вводные'!$B$218*'19_Расчет_аналитики'!M1572,MeanMinAge24)))</f>
        <v/>
      </c>
      <c r="N1527">
        <f>IF(OR(('06_Сеть_и_дети'!N76-'06_Сеть_и_дети'!N104)=0,24&lt;='01_Вводные'!$B$297),0,('06_Сеть_и_дети'!N76-'06_Сеть_и_дети'!N104)*IF('01_Вводные'!$B$239="Да",MeanMinAge24+'19_Расчет_аналитики'!N1572*SUMIF(ThresholdAge24,"&lt;"&amp;'19_Расчет_аналитики'!N1572,WeightedRevAge24)-SUMIF(ThresholdAge24,"&lt;"&amp;'19_Расчет_аналитики'!N1572,WeightedMinAge24),MAX(CapacityAge24*'01_Вводные'!$B$218*'19_Расчет_аналитики'!N1572,MeanMinAge24)))</f>
        <v/>
      </c>
      <c r="O1527">
        <f>IF(OR(('06_Сеть_и_дети'!O76-'06_Сеть_и_дети'!O104)=0,24&lt;='01_Вводные'!$B$297),0,('06_Сеть_и_дети'!O76-'06_Сеть_и_дети'!O104)*IF('01_Вводные'!$B$239="Да",MeanMinAge24+'19_Расчет_аналитики'!O1572*SUMIF(ThresholdAge24,"&lt;"&amp;'19_Расчет_аналитики'!O1572,WeightedRevAge24)-SUMIF(ThresholdAge24,"&lt;"&amp;'19_Расчет_аналитики'!O1572,WeightedMinAge24),MAX(CapacityAge24*'01_Вводные'!$B$218*'19_Расчет_аналитики'!O1572,MeanMinAge24)))</f>
        <v/>
      </c>
      <c r="P1527">
        <f>IF(OR(('06_Сеть_и_дети'!P76-'06_Сеть_и_дети'!P104)=0,24&lt;='01_Вводные'!$B$297),0,('06_Сеть_и_дети'!P76-'06_Сеть_и_дети'!P104)*IF('01_Вводные'!$B$239="Да",MeanMinAge24+'19_Расчет_аналитики'!P1572*SUMIF(ThresholdAge24,"&lt;"&amp;'19_Расчет_аналитики'!P1572,WeightedRevAge24)-SUMIF(ThresholdAge24,"&lt;"&amp;'19_Расчет_аналитики'!P1572,WeightedMinAge24),MAX(CapacityAge24*'01_Вводные'!$B$218*'19_Расчет_аналитики'!P1572,MeanMinAge24)))</f>
        <v/>
      </c>
      <c r="Q1527">
        <f>IF(OR(('06_Сеть_и_дети'!Q76-'06_Сеть_и_дети'!Q104)=0,24&lt;='01_Вводные'!$B$297),0,('06_Сеть_и_дети'!Q76-'06_Сеть_и_дети'!Q104)*IF('01_Вводные'!$B$239="Да",MeanMinAge24+'19_Расчет_аналитики'!Q1572*SUMIF(ThresholdAge24,"&lt;"&amp;'19_Расчет_аналитики'!Q1572,WeightedRevAge24)-SUMIF(ThresholdAge24,"&lt;"&amp;'19_Расчет_аналитики'!Q1572,WeightedMinAge24),MAX(CapacityAge24*'01_Вводные'!$B$218*'19_Расчет_аналитики'!Q1572,MeanMinAge24)))</f>
        <v/>
      </c>
      <c r="R1527">
        <f>IF(OR(('06_Сеть_и_дети'!R76-'06_Сеть_и_дети'!R104)=0,24&lt;='01_Вводные'!$B$297),0,('06_Сеть_и_дети'!R76-'06_Сеть_и_дети'!R104)*IF('01_Вводные'!$B$239="Да",MeanMinAge24+'19_Расчет_аналитики'!R1572*SUMIF(ThresholdAge24,"&lt;"&amp;'19_Расчет_аналитики'!R1572,WeightedRevAge24)-SUMIF(ThresholdAge24,"&lt;"&amp;'19_Расчет_аналитики'!R1572,WeightedMinAge24),MAX(CapacityAge24*'01_Вводные'!$B$218*'19_Расчет_аналитики'!R1572,MeanMinAge24)))</f>
        <v/>
      </c>
      <c r="S1527">
        <f>IF(OR(('06_Сеть_и_дети'!S76-'06_Сеть_и_дети'!S104)=0,24&lt;='01_Вводные'!$B$297),0,('06_Сеть_и_дети'!S76-'06_Сеть_и_дети'!S104)*IF('01_Вводные'!$B$239="Да",MeanMinAge24+'19_Расчет_аналитики'!S1572*SUMIF(ThresholdAge24,"&lt;"&amp;'19_Расчет_аналитики'!S1572,WeightedRevAge24)-SUMIF(ThresholdAge24,"&lt;"&amp;'19_Расчет_аналитики'!S1572,WeightedMinAge24),MAX(CapacityAge24*'01_Вводные'!$B$218*'19_Расчет_аналитики'!S1572,MeanMinAge24)))</f>
        <v/>
      </c>
      <c r="T1527">
        <f>IF(OR(('06_Сеть_и_дети'!T76-'06_Сеть_и_дети'!T104)=0,24&lt;='01_Вводные'!$B$297),0,('06_Сеть_и_дети'!T76-'06_Сеть_и_дети'!T104)*IF('01_Вводные'!$B$239="Да",MeanMinAge24+'19_Расчет_аналитики'!T1572*SUMIF(ThresholdAge24,"&lt;"&amp;'19_Расчет_аналитики'!T1572,WeightedRevAge24)-SUMIF(ThresholdAge24,"&lt;"&amp;'19_Расчет_аналитики'!T1572,WeightedMinAge24),MAX(CapacityAge24*'01_Вводные'!$B$218*'19_Расчет_аналитики'!T1572,MeanMinAge24)))</f>
        <v/>
      </c>
      <c r="U1527">
        <f>IF(OR(('06_Сеть_и_дети'!U76-'06_Сеть_и_дети'!U104)=0,24&lt;='01_Вводные'!$B$297),0,('06_Сеть_и_дети'!U76-'06_Сеть_и_дети'!U104)*IF('01_Вводные'!$B$239="Да",MeanMinAge24+'19_Расчет_аналитики'!U1572*SUMIF(ThresholdAge24,"&lt;"&amp;'19_Расчет_аналитики'!U1572,WeightedRevAge24)-SUMIF(ThresholdAge24,"&lt;"&amp;'19_Расчет_аналитики'!U1572,WeightedMinAge24),MAX(CapacityAge24*'01_Вводные'!$B$218*'19_Расчет_аналитики'!U1572,MeanMinAge24)))</f>
        <v/>
      </c>
      <c r="V1527">
        <f>IF(OR(('06_Сеть_и_дети'!V76-'06_Сеть_и_дети'!V104)=0,24&lt;='01_Вводные'!$B$297),0,('06_Сеть_и_дети'!V76-'06_Сеть_и_дети'!V104)*IF('01_Вводные'!$B$239="Да",MeanMinAge24+'19_Расчет_аналитики'!V1572*SUMIF(ThresholdAge24,"&lt;"&amp;'19_Расчет_аналитики'!V1572,WeightedRevAge24)-SUMIF(ThresholdAge24,"&lt;"&amp;'19_Расчет_аналитики'!V1572,WeightedMinAge24),MAX(CapacityAge24*'01_Вводные'!$B$218*'19_Расчет_аналитики'!V1572,MeanMinAge24)))</f>
        <v/>
      </c>
      <c r="W1527">
        <f>IF(OR(('06_Сеть_и_дети'!W76-'06_Сеть_и_дети'!W104)=0,24&lt;='01_Вводные'!$B$297),0,('06_Сеть_и_дети'!W76-'06_Сеть_и_дети'!W104)*IF('01_Вводные'!$B$239="Да",MeanMinAge24+'19_Расчет_аналитики'!W1572*SUMIF(ThresholdAge24,"&lt;"&amp;'19_Расчет_аналитики'!W1572,WeightedRevAge24)-SUMIF(ThresholdAge24,"&lt;"&amp;'19_Расчет_аналитики'!W1572,WeightedMinAge24),MAX(CapacityAge24*'01_Вводные'!$B$218*'19_Расчет_аналитики'!W1572,MeanMinAge24)))</f>
        <v/>
      </c>
      <c r="X1527">
        <f>IF(OR(('06_Сеть_и_дети'!X76-'06_Сеть_и_дети'!X104)=0,24&lt;='01_Вводные'!$B$297),0,('06_Сеть_и_дети'!X76-'06_Сеть_и_дети'!X104)*IF('01_Вводные'!$B$239="Да",MeanMinAge24+'19_Расчет_аналитики'!X1572*SUMIF(ThresholdAge24,"&lt;"&amp;'19_Расчет_аналитики'!X1572,WeightedRevAge24)-SUMIF(ThresholdAge24,"&lt;"&amp;'19_Расчет_аналитики'!X1572,WeightedMinAge24),MAX(CapacityAge24*'01_Вводные'!$B$218*'19_Расчет_аналитики'!X1572,MeanMinAge24)))</f>
        <v/>
      </c>
      <c r="Y1527">
        <f>IF(OR(('19_Расчет_аналитики'!Y1443-'19_Расчет_аналитики'!Y1471)=0,24&lt;='01_Вводные'!$B$297),0,('19_Расчет_аналитики'!Y1443-'19_Расчет_аналитики'!Y1471)*IF('01_Вводные'!$B$239="Да",MeanMinAge24+'19_Расчет_аналитики'!Y1572*SUMIF(ThresholdAge24,"&lt;"&amp;'19_Расчет_аналитики'!Y1572,WeightedRevAge24)-SUMIF(ThresholdAge24,"&lt;"&amp;'19_Расчет_аналитики'!Y1572,WeightedMinAge24),MAX(CapacityAge24*'01_Вводные'!$B$218*'19_Расчет_аналитики'!Y1572,MeanMinAge24)))</f>
        <v/>
      </c>
      <c r="Z1527">
        <f>IF(OR(('19_Расчет_аналитики'!Z1443-'19_Расчет_аналитики'!Z1471)=0,24&lt;='01_Вводные'!$B$297),0,('19_Расчет_аналитики'!Z1443-'19_Расчет_аналитики'!Z1471)*IF('01_Вводные'!$B$239="Да",MeanMinAge24+'19_Расчет_аналитики'!Z1572*SUMIF(ThresholdAge24,"&lt;"&amp;'19_Расчет_аналитики'!Z1572,WeightedRevAge24)-SUMIF(ThresholdAge24,"&lt;"&amp;'19_Расчет_аналитики'!Z1572,WeightedMinAge24),MAX(CapacityAge24*'01_Вводные'!$B$218*'19_Расчет_аналитики'!Z1572,MeanMinAge24)))</f>
        <v/>
      </c>
      <c r="AA1527">
        <f>IF(OR(('19_Расчет_аналитики'!AA1443-'19_Расчет_аналитики'!AA1471)=0,24&lt;='01_Вводные'!$B$297),0,('19_Расчет_аналитики'!AA1443-'19_Расчет_аналитики'!AA1471)*IF('01_Вводные'!$B$239="Да",MeanMinAge24+'19_Расчет_аналитики'!AA1572*SUMIF(ThresholdAge24,"&lt;"&amp;'19_Расчет_аналитики'!AA1572,WeightedRevAge24)-SUMIF(ThresholdAge24,"&lt;"&amp;'19_Расчет_аналитики'!AA1572,WeightedMinAge24),MAX(CapacityAge24*'01_Вводные'!$B$218*'19_Расчет_аналитики'!AA1572,MeanMinAge24)))</f>
        <v/>
      </c>
      <c r="AB1527">
        <f>IF(OR(('19_Расчет_аналитики'!AB1443-'19_Расчет_аналитики'!AB1471)=0,24&lt;='01_Вводные'!$B$297),0,('19_Расчет_аналитики'!AB1443-'19_Расчет_аналитики'!AB1471)*IF('01_Вводные'!$B$239="Да",MeanMinAge24+'19_Расчет_аналитики'!AB1572*SUMIF(ThresholdAge24,"&lt;"&amp;'19_Расчет_аналитики'!AB1572,WeightedRevAge24)-SUMIF(ThresholdAge24,"&lt;"&amp;'19_Расчет_аналитики'!AB1572,WeightedMinAge24),MAX(CapacityAge24*'01_Вводные'!$B$218*'19_Расчет_аналитики'!AB1572,MeanMinAge24)))</f>
        <v/>
      </c>
      <c r="AC1527">
        <f>IF(OR(('19_Расчет_аналитики'!AC1443-'19_Расчет_аналитики'!AC1471)=0,24&lt;='01_Вводные'!$B$297),0,('19_Расчет_аналитики'!AC1443-'19_Расчет_аналитики'!AC1471)*IF('01_Вводные'!$B$239="Да",MeanMinAge24+'19_Расчет_аналитики'!AC1572*SUMIF(ThresholdAge24,"&lt;"&amp;'19_Расчет_аналитики'!AC1572,WeightedRevAge24)-SUMIF(ThresholdAge24,"&lt;"&amp;'19_Расчет_аналитики'!AC1572,WeightedMinAge24),MAX(CapacityAge24*'01_Вводные'!$B$218*'19_Расчет_аналитики'!AC1572,MeanMinAge24)))</f>
        <v/>
      </c>
      <c r="AD1527">
        <f>IF(OR(('19_Расчет_аналитики'!AD1443-'19_Расчет_аналитики'!AD1471)=0,24&lt;='01_Вводные'!$B$297),0,('19_Расчет_аналитики'!AD1443-'19_Расчет_аналитики'!AD1471)*IF('01_Вводные'!$B$239="Да",MeanMinAge24+'19_Расчет_аналитики'!AD1572*SUMIF(ThresholdAge24,"&lt;"&amp;'19_Расчет_аналитики'!AD1572,WeightedRevAge24)-SUMIF(ThresholdAge24,"&lt;"&amp;'19_Расчет_аналитики'!AD1572,WeightedMinAge24),MAX(CapacityAge24*'01_Вводные'!$B$218*'19_Расчет_аналитики'!AD1572,MeanMinAge24)))</f>
        <v/>
      </c>
      <c r="AE1527">
        <f>IF(OR(('19_Расчет_аналитики'!AE1443-'19_Расчет_аналитики'!AE1471)=0,24&lt;='01_Вводные'!$B$297),0,('19_Расчет_аналитики'!AE1443-'19_Расчет_аналитики'!AE1471)*IF('01_Вводные'!$B$239="Да",MeanMinAge24+'19_Расчет_аналитики'!AE1572*SUMIF(ThresholdAge24,"&lt;"&amp;'19_Расчет_аналитики'!AE1572,WeightedRevAge24)-SUMIF(ThresholdAge24,"&lt;"&amp;'19_Расчет_аналитики'!AE1572,WeightedMinAge24),MAX(CapacityAge24*'01_Вводные'!$B$218*'19_Расчет_аналитики'!AE1572,MeanMinAge24)))</f>
        <v/>
      </c>
      <c r="AF1527">
        <f>IF(OR(('19_Расчет_аналитики'!AF1443-'19_Расчет_аналитики'!AF1471)=0,24&lt;='01_Вводные'!$B$297),0,('19_Расчет_аналитики'!AF1443-'19_Расчет_аналитики'!AF1471)*IF('01_Вводные'!$B$239="Да",MeanMinAge24+'19_Расчет_аналитики'!AF1572*SUMIF(ThresholdAge24,"&lt;"&amp;'19_Расчет_аналитики'!AF1572,WeightedRevAge24)-SUMIF(ThresholdAge24,"&lt;"&amp;'19_Расчет_аналитики'!AF1572,WeightedMinAge24),MAX(CapacityAge24*'01_Вводные'!$B$218*'19_Расчет_аналитики'!AF1572,MeanMinAge24)))</f>
        <v/>
      </c>
      <c r="AG1527">
        <f>IF(OR(('19_Расчет_аналитики'!AG1443-'19_Расчет_аналитики'!AG1471)=0,24&lt;='01_Вводные'!$B$297),0,('19_Расчет_аналитики'!AG1443-'19_Расчет_аналитики'!AG1471)*IF('01_Вводные'!$B$239="Да",MeanMinAge24+'19_Расчет_аналитики'!AG1572*SUMIF(ThresholdAge24,"&lt;"&amp;'19_Расчет_аналитики'!AG1572,WeightedRevAge24)-SUMIF(ThresholdAge24,"&lt;"&amp;'19_Расчет_аналитики'!AG1572,WeightedMinAge24),MAX(CapacityAge24*'01_Вводные'!$B$218*'19_Расчет_аналитики'!AG1572,MeanMinAge24)))</f>
        <v/>
      </c>
      <c r="AH1527">
        <f>IF(OR(('19_Расчет_аналитики'!AH1443-'19_Расчет_аналитики'!AH1471)=0,24&lt;='01_Вводные'!$B$297),0,('19_Расчет_аналитики'!AH1443-'19_Расчет_аналитики'!AH1471)*IF('01_Вводные'!$B$239="Да",MeanMinAge24+'19_Расчет_аналитики'!AH1572*SUMIF(ThresholdAge24,"&lt;"&amp;'19_Расчет_аналитики'!AH1572,WeightedRevAge24)-SUMIF(ThresholdAge24,"&lt;"&amp;'19_Расчет_аналитики'!AH1572,WeightedMinAge24),MAX(CapacityAge24*'01_Вводные'!$B$218*'19_Расчет_аналитики'!AH1572,MeanMinAge24)))</f>
        <v/>
      </c>
      <c r="AI1527">
        <f>IF(OR(('19_Расчет_аналитики'!AI1443-'19_Расчет_аналитики'!AI1471)=0,24&lt;='01_Вводные'!$B$297),0,('19_Расчет_аналитики'!AI1443-'19_Расчет_аналитики'!AI1471)*IF('01_Вводные'!$B$239="Да",MeanMinAge24+'19_Расчет_аналитики'!AI1572*SUMIF(ThresholdAge24,"&lt;"&amp;'19_Расчет_аналитики'!AI1572,WeightedRevAge24)-SUMIF(ThresholdAge24,"&lt;"&amp;'19_Расчет_аналитики'!AI1572,WeightedMinAge24),MAX(CapacityAge24*'01_Вводные'!$B$218*'19_Расчет_аналитики'!AI1572,MeanMinAge24)))</f>
        <v/>
      </c>
      <c r="AJ1527">
        <f>IF(OR(('19_Расчет_аналитики'!AJ1443-'19_Расчет_аналитики'!AJ1471)=0,24&lt;='01_Вводные'!$B$297),0,('19_Расчет_аналитики'!AJ1443-'19_Расчет_аналитики'!AJ1471)*IF('01_Вводные'!$B$239="Да",MeanMinAge24+'19_Расчет_аналитики'!AJ1572*SUMIF(ThresholdAge24,"&lt;"&amp;'19_Расчет_аналитики'!AJ1572,WeightedRevAge24)-SUMIF(ThresholdAge24,"&lt;"&amp;'19_Расчет_аналитики'!AJ1572,WeightedMinAge24),MAX(CapacityAge24*'01_Вводные'!$B$218*'19_Расчет_аналитики'!AJ1572,MeanMinAge24)))</f>
        <v/>
      </c>
      <c r="AK1527">
        <f>IF(OR(('19_Расчет_аналитики'!AK1443-'19_Расчет_аналитики'!AK1471)=0,24&lt;='01_Вводные'!$B$297),0,('19_Расчет_аналитики'!AK1443-'19_Расчет_аналитики'!AK1471)*IF('01_Вводные'!$B$239="Да",MeanMinAge24+'19_Расчет_аналитики'!AK1572*SUMIF(ThresholdAge24,"&lt;"&amp;'19_Расчет_аналитики'!AK1572,WeightedRevAge24)-SUMIF(ThresholdAge24,"&lt;"&amp;'19_Расчет_аналитики'!AK1572,WeightedMinAge24),MAX(CapacityAge24*'01_Вводные'!$B$218*'19_Расчет_аналитики'!AK1572,MeanMinAge24)))</f>
        <v/>
      </c>
      <c r="AL1527">
        <f>IF(OR(('19_Расчет_аналитики'!AL1443-'19_Расчет_аналитики'!AL1471)=0,24&lt;='01_Вводные'!$B$297),0,('19_Расчет_аналитики'!AL1443-'19_Расчет_аналитики'!AL1471)*IF('01_Вводные'!$B$239="Да",MeanMinAge24+'19_Расчет_аналитики'!AL1572*SUMIF(ThresholdAge24,"&lt;"&amp;'19_Расчет_аналитики'!AL1572,WeightedRevAge24)-SUMIF(ThresholdAge24,"&lt;"&amp;'19_Расчет_аналитики'!AL1572,WeightedMinAge24),MAX(CapacityAge24*'01_Вводные'!$B$218*'19_Расчет_аналитики'!AL1572,MeanMinAge24)))</f>
        <v/>
      </c>
      <c r="AM1527">
        <f>IF(OR(('19_Расчет_аналитики'!AM1443-'19_Расчет_аналитики'!AM1471)=0,24&lt;='01_Вводные'!$B$297),0,('19_Расчет_аналитики'!AM1443-'19_Расчет_аналитики'!AM1471)*IF('01_Вводные'!$B$239="Да",MeanMinAge24+'19_Расчет_аналитики'!AM1572*SUMIF(ThresholdAge24,"&lt;"&amp;'19_Расчет_аналитики'!AM1572,WeightedRevAge24)-SUMIF(ThresholdAge24,"&lt;"&amp;'19_Расчет_аналитики'!AM1572,WeightedMinAge24),MAX(CapacityAge24*'01_Вводные'!$B$218*'19_Расчет_аналитики'!AM1572,MeanMinAge24)))</f>
        <v/>
      </c>
      <c r="AN1527">
        <f>IF(OR(('19_Расчет_аналитики'!AN1443-'19_Расчет_аналитики'!AN1471)=0,24&lt;='01_Вводные'!$B$297),0,('19_Расчет_аналитики'!AN1443-'19_Расчет_аналитики'!AN1471)*IF('01_Вводные'!$B$239="Да",MeanMinAge24+'19_Расчет_аналитики'!AN1572*SUMIF(ThresholdAge24,"&lt;"&amp;'19_Расчет_аналитики'!AN1572,WeightedRevAge24)-SUMIF(ThresholdAge24,"&lt;"&amp;'19_Расчет_аналитики'!AN1572,WeightedMinAge24),MAX(CapacityAge24*'01_Вводные'!$B$218*'19_Расчет_аналитики'!AN1572,MeanMinAge24)))</f>
        <v/>
      </c>
      <c r="AO1527">
        <f>IF(OR(('19_Расчет_аналитики'!AO1443-'19_Расчет_аналитики'!AO1471)=0,24&lt;='01_Вводные'!$B$297),0,('19_Расчет_аналитики'!AO1443-'19_Расчет_аналитики'!AO1471)*IF('01_Вводные'!$B$239="Да",MeanMinAge24+'19_Расчет_аналитики'!AO1572*SUMIF(ThresholdAge24,"&lt;"&amp;'19_Расчет_аналитики'!AO1572,WeightedRevAge24)-SUMIF(ThresholdAge24,"&lt;"&amp;'19_Расчет_аналитики'!AO1572,WeightedMinAge24),MAX(CapacityAge24*'01_Вводные'!$B$218*'19_Расчет_аналитики'!AO1572,MeanMinAge24)))</f>
        <v/>
      </c>
      <c r="AP1527">
        <f>IF(OR(('19_Расчет_аналитики'!AP1443-'19_Расчет_аналитики'!AP1471)=0,24&lt;='01_Вводные'!$B$297),0,('19_Расчет_аналитики'!AP1443-'19_Расчет_аналитики'!AP1471)*IF('01_Вводные'!$B$239="Да",MeanMinAge24+'19_Расчет_аналитики'!AP1572*SUMIF(ThresholdAge24,"&lt;"&amp;'19_Расчет_аналитики'!AP1572,WeightedRevAge24)-SUMIF(ThresholdAge24,"&lt;"&amp;'19_Расчет_аналитики'!AP1572,WeightedMinAge24),MAX(CapacityAge24*'01_Вводные'!$B$218*'19_Расчет_аналитики'!AP1572,MeanMinAge24)))</f>
        <v/>
      </c>
      <c r="AQ1527">
        <f>IF(OR(('19_Расчет_аналитики'!AQ1443-'19_Расчет_аналитики'!AQ1471)=0,24&lt;='01_Вводные'!$B$297),0,('19_Расчет_аналитики'!AQ1443-'19_Расчет_аналитики'!AQ1471)*IF('01_Вводные'!$B$239="Да",MeanMinAge24+'19_Расчет_аналитики'!AQ1572*SUMIF(ThresholdAge24,"&lt;"&amp;'19_Расчет_аналитики'!AQ1572,WeightedRevAge24)-SUMIF(ThresholdAge24,"&lt;"&amp;'19_Расчет_аналитики'!AQ1572,WeightedMinAge24),MAX(CapacityAge24*'01_Вводные'!$B$218*'19_Расчет_аналитики'!AQ1572,MeanMinAge24)))</f>
        <v/>
      </c>
      <c r="AR1527">
        <f>IF(OR(('19_Расчет_аналитики'!AR1443-'19_Расчет_аналитики'!AR1471)=0,24&lt;='01_Вводные'!$B$297),0,('19_Расчет_аналитики'!AR1443-'19_Расчет_аналитики'!AR1471)*IF('01_Вводные'!$B$239="Да",MeanMinAge24+'19_Расчет_аналитики'!AR1572*SUMIF(ThresholdAge24,"&lt;"&amp;'19_Расчет_аналитики'!AR1572,WeightedRevAge24)-SUMIF(ThresholdAge24,"&lt;"&amp;'19_Расчет_аналитики'!AR1572,WeightedMinAge24),MAX(CapacityAge24*'01_Вводные'!$B$218*'19_Расчет_аналитики'!AR1572,MeanMinAge24)))</f>
        <v/>
      </c>
      <c r="AS1527">
        <f>IF(OR(('19_Расчет_аналитики'!AS1443-'19_Расчет_аналитики'!AS1471)=0,24&lt;='01_Вводные'!$B$297),0,('19_Расчет_аналитики'!AS1443-'19_Расчет_аналитики'!AS1471)*IF('01_Вводные'!$B$239="Да",MeanMinAge24+'19_Расчет_аналитики'!AS1572*SUMIF(ThresholdAge24,"&lt;"&amp;'19_Расчет_аналитики'!AS1572,WeightedRevAge24)-SUMIF(ThresholdAge24,"&lt;"&amp;'19_Расчет_аналитики'!AS1572,WeightedMinAge24),MAX(CapacityAge24*'01_Вводные'!$B$218*'19_Расчет_аналитики'!AS1572,MeanMinAge24)))</f>
        <v/>
      </c>
      <c r="AT1527">
        <f>IF(OR(('19_Расчет_аналитики'!AT1443-'19_Расчет_аналитики'!AT1471)=0,24&lt;='01_Вводные'!$B$297),0,('19_Расчет_аналитики'!AT1443-'19_Расчет_аналитики'!AT1471)*IF('01_Вводные'!$B$239="Да",MeanMinAge24+'19_Расчет_аналитики'!AT1572*SUMIF(ThresholdAge24,"&lt;"&amp;'19_Расчет_аналитики'!AT1572,WeightedRevAge24)-SUMIF(ThresholdAge24,"&lt;"&amp;'19_Расчет_аналитики'!AT1572,WeightedMinAge24),MAX(CapacityAge24*'01_Вводные'!$B$218*'19_Расчет_аналитики'!AT1572,MeanMinAge24)))</f>
        <v/>
      </c>
      <c r="AU1527">
        <f>IF(OR(('19_Расчет_аналитики'!AU1443-'19_Расчет_аналитики'!AU1471)=0,24&lt;='01_Вводные'!$B$297),0,('19_Расчет_аналитики'!AU1443-'19_Расчет_аналитики'!AU1471)*IF('01_Вводные'!$B$239="Да",MeanMinAge24+'19_Расчет_аналитики'!AU1572*SUMIF(ThresholdAge24,"&lt;"&amp;'19_Расчет_аналитики'!AU1572,WeightedRevAge24)-SUMIF(ThresholdAge24,"&lt;"&amp;'19_Расчет_аналитики'!AU1572,WeightedMinAge24),MAX(CapacityAge24*'01_Вводные'!$B$218*'19_Расчет_аналитики'!AU1572,MeanMinAge24)))</f>
        <v/>
      </c>
      <c r="AV1527">
        <f>IF(OR(('19_Расчет_аналитики'!AV1443-'19_Расчет_аналитики'!AV1471)=0,24&lt;='01_Вводные'!$B$297),0,('19_Расчет_аналитики'!AV1443-'19_Расчет_аналитики'!AV1471)*IF('01_Вводные'!$B$239="Да",MeanMinAge24+'19_Расчет_аналитики'!AV1572*SUMIF(ThresholdAge24,"&lt;"&amp;'19_Расчет_аналитики'!AV1572,WeightedRevAge24)-SUMIF(ThresholdAge24,"&lt;"&amp;'19_Расчет_аналитики'!AV1572,WeightedMinAge24),MAX(CapacityAge24*'01_Вводные'!$B$218*'19_Расчет_аналитики'!AV1572,MeanMinAge24)))</f>
        <v/>
      </c>
      <c r="AW1527">
        <f>IF(OR(('19_Расчет_аналитики'!AW1443-'19_Расчет_аналитики'!AW1471)=0,24&lt;='01_Вводные'!$B$297),0,('19_Расчет_аналитики'!AW1443-'19_Расчет_аналитики'!AW1471)*IF('01_Вводные'!$B$239="Да",MeanMinAge24+'19_Расчет_аналитики'!AW1572*SUMIF(ThresholdAge24,"&lt;"&amp;'19_Расчет_аналитики'!AW1572,WeightedRevAge24)-SUMIF(ThresholdAge24,"&lt;"&amp;'19_Расчет_аналитики'!AW1572,WeightedMinAge24),MAX(CapacityAge24*'01_Вводные'!$B$218*'19_Расчет_аналитики'!AW1572,MeanMinAge24)))</f>
        <v/>
      </c>
      <c r="AX1527">
        <f>IF(OR(('19_Расчет_аналитики'!AX1443-'19_Расчет_аналитики'!AX1471)=0,24&lt;='01_Вводные'!$B$297),0,('19_Расчет_аналитики'!AX1443-'19_Расчет_аналитики'!AX1471)*IF('01_Вводные'!$B$239="Да",MeanMinAge24+'19_Расчет_аналитики'!AX1572*SUMIF(ThresholdAge24,"&lt;"&amp;'19_Расчет_аналитики'!AX1572,WeightedRevAge24)-SUMIF(ThresholdAge24,"&lt;"&amp;'19_Расчет_аналитики'!AX1572,WeightedMinAge24),MAX(CapacityAge24*'01_Вводные'!$B$218*'19_Расчет_аналитики'!AX1572,MeanMinAge24)))</f>
        <v/>
      </c>
      <c r="AY1527">
        <f>IF(OR(('19_Расчет_аналитики'!AY1443-'19_Расчет_аналитики'!AY1471)=0,24&lt;='01_Вводные'!$B$297),0,('19_Расчет_аналитики'!AY1443-'19_Расчет_аналитики'!AY1471)*IF('01_Вводные'!$B$239="Да",MeanMinAge24+'19_Расчет_аналитики'!AY1572*SUMIF(ThresholdAge24,"&lt;"&amp;'19_Расчет_аналитики'!AY1572,WeightedRevAge24)-SUMIF(ThresholdAge24,"&lt;"&amp;'19_Расчет_аналитики'!AY1572,WeightedMinAge24),MAX(CapacityAge24*'01_Вводные'!$B$218*'19_Расчет_аналитики'!AY1572,MeanMinAge24)))</f>
        <v/>
      </c>
      <c r="AZ1527">
        <f>IF(OR(('19_Расчет_аналитики'!AZ1443-'19_Расчет_аналитики'!AZ1471)=0,24&lt;='01_Вводные'!$B$297),0,('19_Расчет_аналитики'!AZ1443-'19_Расчет_аналитики'!AZ1471)*IF('01_Вводные'!$B$239="Да",MeanMinAge24+'19_Расчет_аналитики'!AZ1572*SUMIF(ThresholdAge24,"&lt;"&amp;'19_Расчет_аналитики'!AZ1572,WeightedRevAge24)-SUMIF(ThresholdAge24,"&lt;"&amp;'19_Расчет_аналитики'!AZ1572,WeightedMinAge24),MAX(CapacityAge24*'01_Вводные'!$B$218*'19_Расчет_аналитики'!AZ1572,MeanMinAge24)))</f>
        <v/>
      </c>
      <c r="BA1527">
        <f>IF(OR(('19_Расчет_аналитики'!BA1443-'19_Расчет_аналитики'!BA1471)=0,24&lt;='01_Вводные'!$B$297),0,('19_Расчет_аналитики'!BA1443-'19_Расчет_аналитики'!BA1471)*IF('01_Вводные'!$B$239="Да",MeanMinAge24+'19_Расчет_аналитики'!BA1572*SUMIF(ThresholdAge24,"&lt;"&amp;'19_Расчет_аналитики'!BA1572,WeightedRevAge24)-SUMIF(ThresholdAge24,"&lt;"&amp;'19_Расчет_аналитики'!BA1572,WeightedMinAge24),MAX(CapacityAge24*'01_Вводные'!$B$218*'19_Расчет_аналитики'!BA1572,MeanMinAge24)))</f>
        <v/>
      </c>
      <c r="BB1527">
        <f>IF(OR(('19_Расчет_аналитики'!BB1443-'19_Расчет_аналитики'!BB1471)=0,24&lt;='01_Вводные'!$B$297),0,('19_Расчет_аналитики'!BB1443-'19_Расчет_аналитики'!BB1471)*IF('01_Вводные'!$B$239="Да",MeanMinAge24+'19_Расчет_аналитики'!BB1572*SUMIF(ThresholdAge24,"&lt;"&amp;'19_Расчет_аналитики'!BB1572,WeightedRevAge24)-SUMIF(ThresholdAge24,"&lt;"&amp;'19_Расчет_аналитики'!BB1572,WeightedMinAge24),MAX(CapacityAge24*'01_Вводные'!$B$218*'19_Расчет_аналитики'!BB1572,MeanMinAge24)))</f>
        <v/>
      </c>
      <c r="BC1527">
        <f>IF(OR(('19_Расчет_аналитики'!BC1443-'19_Расчет_аналитики'!BC1471)=0,24&lt;='01_Вводные'!$B$297),0,('19_Расчет_аналитики'!BC1443-'19_Расчет_аналитики'!BC1471)*IF('01_Вводные'!$B$239="Да",MeanMinAge24+'19_Расчет_аналитики'!BC1572*SUMIF(ThresholdAge24,"&lt;"&amp;'19_Расчет_аналитики'!BC1572,WeightedRevAge24)-SUMIF(ThresholdAge24,"&lt;"&amp;'19_Расчет_аналитики'!BC1572,WeightedMinAge24),MAX(CapacityAge24*'01_Вводные'!$B$218*'19_Расчет_аналитики'!BC1572,MeanMinAge24)))</f>
        <v/>
      </c>
      <c r="BD1527">
        <f>IF(OR(('19_Расчет_аналитики'!BD1443-'19_Расчет_аналитики'!BD1471)=0,24&lt;='01_Вводные'!$B$297),0,('19_Расчет_аналитики'!BD1443-'19_Расчет_аналитики'!BD1471)*IF('01_Вводные'!$B$239="Да",MeanMinAge24+'19_Расчет_аналитики'!BD1572*SUMIF(ThresholdAge24,"&lt;"&amp;'19_Расчет_аналитики'!BD1572,WeightedRevAge24)-SUMIF(ThresholdAge24,"&lt;"&amp;'19_Расчет_аналитики'!BD1572,WeightedMinAge24),MAX(CapacityAge24*'01_Вводные'!$B$218*'19_Расчет_аналитики'!BD1572,MeanMinAge24)))</f>
        <v/>
      </c>
      <c r="BE1527">
        <f>IF(OR(('19_Расчет_аналитики'!BE1443-'19_Расчет_аналитики'!BE1471)=0,24&lt;='01_Вводные'!$B$297),0,('19_Расчет_аналитики'!BE1443-'19_Расчет_аналитики'!BE1471)*IF('01_Вводные'!$B$239="Да",MeanMinAge24+'19_Расчет_аналитики'!BE1572*SUMIF(ThresholdAge24,"&lt;"&amp;'19_Расчет_аналитики'!BE1572,WeightedRevAge24)-SUMIF(ThresholdAge24,"&lt;"&amp;'19_Расчет_аналитики'!BE1572,WeightedMinAge24),MAX(CapacityAge24*'01_Вводные'!$B$218*'19_Расчет_аналитики'!BE1572,MeanMinAge24)))</f>
        <v/>
      </c>
      <c r="BF1527">
        <f>IF(OR(('19_Расчет_аналитики'!BF1443-'19_Расчет_аналитики'!BF1471)=0,24&lt;='01_Вводные'!$B$297),0,('19_Расчет_аналитики'!BF1443-'19_Расчет_аналитики'!BF1471)*IF('01_Вводные'!$B$239="Да",MeanMinAge24+'19_Расчет_аналитики'!BF1572*SUMIF(ThresholdAge24,"&lt;"&amp;'19_Расчет_аналитики'!BF1572,WeightedRevAge24)-SUMIF(ThresholdAge24,"&lt;"&amp;'19_Расчет_аналитики'!BF1572,WeightedMinAge24),MAX(CapacityAge24*'01_Вводные'!$B$218*'19_Расчет_аналитики'!BF1572,MeanMinAge24)))</f>
        <v/>
      </c>
      <c r="BG1527">
        <f>IF(OR(('19_Расчет_аналитики'!BG1443-'19_Расчет_аналитики'!BG1471)=0,24&lt;='01_Вводные'!$B$297),0,('19_Расчет_аналитики'!BG1443-'19_Расчет_аналитики'!BG1471)*IF('01_Вводные'!$B$239="Да",MeanMinAge24+'19_Расчет_аналитики'!BG1572*SUMIF(ThresholdAge24,"&lt;"&amp;'19_Расчет_аналитики'!BG1572,WeightedRevAge24)-SUMIF(ThresholdAge24,"&lt;"&amp;'19_Расчет_аналитики'!BG1572,WeightedMinAge24),MAX(CapacityAge24*'01_Вводные'!$B$218*'19_Расчет_аналитики'!BG1572,MeanMinAge24)))</f>
        <v/>
      </c>
      <c r="BH1527">
        <f>IF(OR(('19_Расчет_аналитики'!BH1443-'19_Расчет_аналитики'!BH1471)=0,24&lt;='01_Вводные'!$B$297),0,('19_Расчет_аналитики'!BH1443-'19_Расчет_аналитики'!BH1471)*IF('01_Вводные'!$B$239="Да",MeanMinAge24+'19_Расчет_аналитики'!BH1572*SUMIF(ThresholdAge24,"&lt;"&amp;'19_Расчет_аналитики'!BH1572,WeightedRevAge24)-SUMIF(ThresholdAge24,"&lt;"&amp;'19_Расчет_аналитики'!BH1572,WeightedMinAge24),MAX(CapacityAge24*'01_Вводные'!$B$218*'19_Расчет_аналитики'!BH1572,MeanMinAge24)))</f>
        <v/>
      </c>
      <c r="BI1527">
        <f>IF(OR(('19_Расчет_аналитики'!BI1443-'19_Расчет_аналитики'!BI1471)=0,24&lt;='01_Вводные'!$B$297),0,('19_Расчет_аналитики'!BI1443-'19_Расчет_аналитики'!BI1471)*IF('01_Вводные'!$B$239="Да",MeanMinAge24+'19_Расчет_аналитики'!BI1572*SUMIF(ThresholdAge24,"&lt;"&amp;'19_Расчет_аналитики'!BI1572,WeightedRevAge24)-SUMIF(ThresholdAge24,"&lt;"&amp;'19_Расчет_аналитики'!BI1572,WeightedMinAge24),MAX(CapacityAge24*'01_Вводные'!$B$218*'19_Расчет_аналитики'!BI1572,MeanMinAge24)))</f>
        <v/>
      </c>
      <c r="BJ1527">
        <f>IF(OR(('19_Расчет_аналитики'!BJ1443-'19_Расчет_аналитики'!BJ1471)=0,24&lt;='01_Вводные'!$B$297),0,('19_Расчет_аналитики'!BJ1443-'19_Расчет_аналитики'!BJ1471)*IF('01_Вводные'!$B$239="Да",MeanMinAge24+'19_Расчет_аналитики'!BJ1572*SUMIF(ThresholdAge24,"&lt;"&amp;'19_Расчет_аналитики'!BJ1572,WeightedRevAge24)-SUMIF(ThresholdAge24,"&lt;"&amp;'19_Расчет_аналитики'!BJ1572,WeightedMinAge24),MAX(CapacityAge24*'01_Вводные'!$B$218*'19_Расчет_аналитики'!BJ1572,MeanMinAge24)))</f>
        <v/>
      </c>
      <c r="BK1527">
        <f>IF(OR(('19_Расчет_аналитики'!BK1443-'19_Расчет_аналитики'!BK1471)=0,24&lt;='01_Вводные'!$B$297),0,('19_Расчет_аналитики'!BK1443-'19_Расчет_аналитики'!BK1471)*IF('01_Вводные'!$B$239="Да",MeanMinAge24+'19_Расчет_аналитики'!BK1572*SUMIF(ThresholdAge24,"&lt;"&amp;'19_Расчет_аналитики'!BK1572,WeightedRevAge24)-SUMIF(ThresholdAge24,"&lt;"&amp;'19_Расчет_аналитики'!BK1572,WeightedMinAge24),MAX(CapacityAge24*'01_Вводные'!$B$218*'19_Расчет_аналитики'!BK1572,MeanMinAge24)))</f>
        <v/>
      </c>
      <c r="BL1527">
        <f>IF(OR(('19_Расчет_аналитики'!BL1443-'19_Расчет_аналитики'!BL1471)=0,24&lt;='01_Вводные'!$B$297),0,('19_Расчет_аналитики'!BL1443-'19_Расчет_аналитики'!BL1471)*IF('01_Вводные'!$B$239="Да",MeanMinAge24+'19_Расчет_аналитики'!BL1572*SUMIF(ThresholdAge24,"&lt;"&amp;'19_Расчет_аналитики'!BL1572,WeightedRevAge24)-SUMIF(ThresholdAge24,"&lt;"&amp;'19_Расчет_аналитики'!BL1572,WeightedMinAge24),MAX(CapacityAge24*'01_Вводные'!$B$218*'19_Расчет_аналитики'!BL1572,MeanMinAge24)))</f>
        <v/>
      </c>
      <c r="BM1527">
        <f>IF(OR(('19_Расчет_аналитики'!BM1443-'19_Расчет_аналитики'!BM1471)=0,24&lt;='01_Вводные'!$B$297),0,('19_Расчет_аналитики'!BM1443-'19_Расчет_аналитики'!BM1471)*IF('01_Вводные'!$B$239="Да",MeanMinAge24+'19_Расчет_аналитики'!BM1572*SUMIF(ThresholdAge24,"&lt;"&amp;'19_Расчет_аналитики'!BM1572,WeightedRevAge24)-SUMIF(ThresholdAge24,"&lt;"&amp;'19_Расчет_аналитики'!BM1572,WeightedMinAge24),MAX(CapacityAge24*'01_Вводные'!$B$218*'19_Расчет_аналитики'!BM1572,MeanMinAge24)))</f>
        <v/>
      </c>
      <c r="BN1527">
        <f>IF(OR(('19_Расчет_аналитики'!BN1443-'19_Расчет_аналитики'!BN1471)=0,24&lt;='01_Вводные'!$B$297),0,('19_Расчет_аналитики'!BN1443-'19_Расчет_аналитики'!BN1471)*IF('01_Вводные'!$B$239="Да",MeanMinAge24+'19_Расчет_аналитики'!BN1572*SUMIF(ThresholdAge24,"&lt;"&amp;'19_Расчет_аналитики'!BN1572,WeightedRevAge24)-SUMIF(ThresholdAge24,"&lt;"&amp;'19_Расчет_аналитики'!BN1572,WeightedMinAge24),MAX(CapacityAge24*'01_Вводные'!$B$218*'19_Расчет_аналитики'!BN1572,MeanMinAge24)))</f>
        <v/>
      </c>
      <c r="BO1527">
        <f>IF(OR(('19_Расчет_аналитики'!BO1443-'19_Расчет_аналитики'!BO1471)=0,24&lt;='01_Вводные'!$B$297),0,('19_Расчет_аналитики'!BO1443-'19_Расчет_аналитики'!BO1471)*IF('01_Вводные'!$B$239="Да",MeanMinAge24+'19_Расчет_аналитики'!BO1572*SUMIF(ThresholdAge24,"&lt;"&amp;'19_Расчет_аналитики'!BO1572,WeightedRevAge24)-SUMIF(ThresholdAge24,"&lt;"&amp;'19_Расчет_аналитики'!BO1572,WeightedMinAge24),MAX(CapacityAge24*'01_Вводные'!$B$218*'19_Расчет_аналитики'!BO1572,MeanMinAge24)))</f>
        <v/>
      </c>
    </row>
    <row r="1528">
      <c r="B1528">
        <f>IF(OR(('06_Сеть_и_дети'!B77-'06_Сеть_и_дети'!B105)=0,25&lt;='01_Вводные'!$B$297),0,('06_Сеть_и_дети'!B77-'06_Сеть_и_дети'!B105)*IF('01_Вводные'!$B$239="Да",MeanMinAge25+'19_Расчет_аналитики'!B1572*SUMIF(ThresholdAge25,"&lt;"&amp;'19_Расчет_аналитики'!B1572,WeightedRevAge25)-SUMIF(ThresholdAge25,"&lt;"&amp;'19_Расчет_аналитики'!B1572,WeightedMinAge25),MAX(CapacityAge25*'01_Вводные'!$B$218*'19_Расчет_аналитики'!B1572,MeanMinAge25)))</f>
        <v/>
      </c>
      <c r="C1528">
        <f>IF(OR(('06_Сеть_и_дети'!C77-'06_Сеть_и_дети'!C105)=0,25&lt;='01_Вводные'!$B$297),0,('06_Сеть_и_дети'!C77-'06_Сеть_и_дети'!C105)*IF('01_Вводные'!$B$239="Да",MeanMinAge25+'19_Расчет_аналитики'!C1572*SUMIF(ThresholdAge25,"&lt;"&amp;'19_Расчет_аналитики'!C1572,WeightedRevAge25)-SUMIF(ThresholdAge25,"&lt;"&amp;'19_Расчет_аналитики'!C1572,WeightedMinAge25),MAX(CapacityAge25*'01_Вводные'!$B$218*'19_Расчет_аналитики'!C1572,MeanMinAge25)))</f>
        <v/>
      </c>
      <c r="D1528">
        <f>IF(OR(('06_Сеть_и_дети'!D77-'06_Сеть_и_дети'!D105)=0,25&lt;='01_Вводные'!$B$297),0,('06_Сеть_и_дети'!D77-'06_Сеть_и_дети'!D105)*IF('01_Вводные'!$B$239="Да",MeanMinAge25+'19_Расчет_аналитики'!D1572*SUMIF(ThresholdAge25,"&lt;"&amp;'19_Расчет_аналитики'!D1572,WeightedRevAge25)-SUMIF(ThresholdAge25,"&lt;"&amp;'19_Расчет_аналитики'!D1572,WeightedMinAge25),MAX(CapacityAge25*'01_Вводные'!$B$218*'19_Расчет_аналитики'!D1572,MeanMinAge25)))</f>
        <v/>
      </c>
      <c r="E1528">
        <f>IF(OR(('06_Сеть_и_дети'!E77-'06_Сеть_и_дети'!E105)=0,25&lt;='01_Вводные'!$B$297),0,('06_Сеть_и_дети'!E77-'06_Сеть_и_дети'!E105)*IF('01_Вводные'!$B$239="Да",MeanMinAge25+'19_Расчет_аналитики'!E1572*SUMIF(ThresholdAge25,"&lt;"&amp;'19_Расчет_аналитики'!E1572,WeightedRevAge25)-SUMIF(ThresholdAge25,"&lt;"&amp;'19_Расчет_аналитики'!E1572,WeightedMinAge25),MAX(CapacityAge25*'01_Вводные'!$B$218*'19_Расчет_аналитики'!E1572,MeanMinAge25)))</f>
        <v/>
      </c>
      <c r="F1528">
        <f>IF(OR(('06_Сеть_и_дети'!F77-'06_Сеть_и_дети'!F105)=0,25&lt;='01_Вводные'!$B$297),0,('06_Сеть_и_дети'!F77-'06_Сеть_и_дети'!F105)*IF('01_Вводные'!$B$239="Да",MeanMinAge25+'19_Расчет_аналитики'!F1572*SUMIF(ThresholdAge25,"&lt;"&amp;'19_Расчет_аналитики'!F1572,WeightedRevAge25)-SUMIF(ThresholdAge25,"&lt;"&amp;'19_Расчет_аналитики'!F1572,WeightedMinAge25),MAX(CapacityAge25*'01_Вводные'!$B$218*'19_Расчет_аналитики'!F1572,MeanMinAge25)))</f>
        <v/>
      </c>
      <c r="G1528">
        <f>IF(OR(('06_Сеть_и_дети'!G77-'06_Сеть_и_дети'!G105)=0,25&lt;='01_Вводные'!$B$297),0,('06_Сеть_и_дети'!G77-'06_Сеть_и_дети'!G105)*IF('01_Вводные'!$B$239="Да",MeanMinAge25+'19_Расчет_аналитики'!G1572*SUMIF(ThresholdAge25,"&lt;"&amp;'19_Расчет_аналитики'!G1572,WeightedRevAge25)-SUMIF(ThresholdAge25,"&lt;"&amp;'19_Расчет_аналитики'!G1572,WeightedMinAge25),MAX(CapacityAge25*'01_Вводные'!$B$218*'19_Расчет_аналитики'!G1572,MeanMinAge25)))</f>
        <v/>
      </c>
      <c r="H1528">
        <f>IF(OR(('06_Сеть_и_дети'!H77-'06_Сеть_и_дети'!H105)=0,25&lt;='01_Вводные'!$B$297),0,('06_Сеть_и_дети'!H77-'06_Сеть_и_дети'!H105)*IF('01_Вводные'!$B$239="Да",MeanMinAge25+'19_Расчет_аналитики'!H1572*SUMIF(ThresholdAge25,"&lt;"&amp;'19_Расчет_аналитики'!H1572,WeightedRevAge25)-SUMIF(ThresholdAge25,"&lt;"&amp;'19_Расчет_аналитики'!H1572,WeightedMinAge25),MAX(CapacityAge25*'01_Вводные'!$B$218*'19_Расчет_аналитики'!H1572,MeanMinAge25)))</f>
        <v/>
      </c>
      <c r="I1528">
        <f>IF(OR(('06_Сеть_и_дети'!I77-'06_Сеть_и_дети'!I105)=0,25&lt;='01_Вводные'!$B$297),0,('06_Сеть_и_дети'!I77-'06_Сеть_и_дети'!I105)*IF('01_Вводные'!$B$239="Да",MeanMinAge25+'19_Расчет_аналитики'!I1572*SUMIF(ThresholdAge25,"&lt;"&amp;'19_Расчет_аналитики'!I1572,WeightedRevAge25)-SUMIF(ThresholdAge25,"&lt;"&amp;'19_Расчет_аналитики'!I1572,WeightedMinAge25),MAX(CapacityAge25*'01_Вводные'!$B$218*'19_Расчет_аналитики'!I1572,MeanMinAge25)))</f>
        <v/>
      </c>
      <c r="J1528">
        <f>IF(OR(('06_Сеть_и_дети'!J77-'06_Сеть_и_дети'!J105)=0,25&lt;='01_Вводные'!$B$297),0,('06_Сеть_и_дети'!J77-'06_Сеть_и_дети'!J105)*IF('01_Вводные'!$B$239="Да",MeanMinAge25+'19_Расчет_аналитики'!J1572*SUMIF(ThresholdAge25,"&lt;"&amp;'19_Расчет_аналитики'!J1572,WeightedRevAge25)-SUMIF(ThresholdAge25,"&lt;"&amp;'19_Расчет_аналитики'!J1572,WeightedMinAge25),MAX(CapacityAge25*'01_Вводные'!$B$218*'19_Расчет_аналитики'!J1572,MeanMinAge25)))</f>
        <v/>
      </c>
      <c r="K1528">
        <f>IF(OR(('06_Сеть_и_дети'!K77-'06_Сеть_и_дети'!K105)=0,25&lt;='01_Вводные'!$B$297),0,('06_Сеть_и_дети'!K77-'06_Сеть_и_дети'!K105)*IF('01_Вводные'!$B$239="Да",MeanMinAge25+'19_Расчет_аналитики'!K1572*SUMIF(ThresholdAge25,"&lt;"&amp;'19_Расчет_аналитики'!K1572,WeightedRevAge25)-SUMIF(ThresholdAge25,"&lt;"&amp;'19_Расчет_аналитики'!K1572,WeightedMinAge25),MAX(CapacityAge25*'01_Вводные'!$B$218*'19_Расчет_аналитики'!K1572,MeanMinAge25)))</f>
        <v/>
      </c>
      <c r="L1528">
        <f>IF(OR(('06_Сеть_и_дети'!L77-'06_Сеть_и_дети'!L105)=0,25&lt;='01_Вводные'!$B$297),0,('06_Сеть_и_дети'!L77-'06_Сеть_и_дети'!L105)*IF('01_Вводные'!$B$239="Да",MeanMinAge25+'19_Расчет_аналитики'!L1572*SUMIF(ThresholdAge25,"&lt;"&amp;'19_Расчет_аналитики'!L1572,WeightedRevAge25)-SUMIF(ThresholdAge25,"&lt;"&amp;'19_Расчет_аналитики'!L1572,WeightedMinAge25),MAX(CapacityAge25*'01_Вводные'!$B$218*'19_Расчет_аналитики'!L1572,MeanMinAge25)))</f>
        <v/>
      </c>
      <c r="M1528">
        <f>IF(OR(('06_Сеть_и_дети'!M77-'06_Сеть_и_дети'!M105)=0,25&lt;='01_Вводные'!$B$297),0,('06_Сеть_и_дети'!M77-'06_Сеть_и_дети'!M105)*IF('01_Вводные'!$B$239="Да",MeanMinAge25+'19_Расчет_аналитики'!M1572*SUMIF(ThresholdAge25,"&lt;"&amp;'19_Расчет_аналитики'!M1572,WeightedRevAge25)-SUMIF(ThresholdAge25,"&lt;"&amp;'19_Расчет_аналитики'!M1572,WeightedMinAge25),MAX(CapacityAge25*'01_Вводные'!$B$218*'19_Расчет_аналитики'!M1572,MeanMinAge25)))</f>
        <v/>
      </c>
      <c r="N1528">
        <f>IF(OR(('06_Сеть_и_дети'!N77-'06_Сеть_и_дети'!N105)=0,25&lt;='01_Вводные'!$B$297),0,('06_Сеть_и_дети'!N77-'06_Сеть_и_дети'!N105)*IF('01_Вводные'!$B$239="Да",MeanMinAge25+'19_Расчет_аналитики'!N1572*SUMIF(ThresholdAge25,"&lt;"&amp;'19_Расчет_аналитики'!N1572,WeightedRevAge25)-SUMIF(ThresholdAge25,"&lt;"&amp;'19_Расчет_аналитики'!N1572,WeightedMinAge25),MAX(CapacityAge25*'01_Вводные'!$B$218*'19_Расчет_аналитики'!N1572,MeanMinAge25)))</f>
        <v/>
      </c>
      <c r="O1528">
        <f>IF(OR(('06_Сеть_и_дети'!O77-'06_Сеть_и_дети'!O105)=0,25&lt;='01_Вводные'!$B$297),0,('06_Сеть_и_дети'!O77-'06_Сеть_и_дети'!O105)*IF('01_Вводные'!$B$239="Да",MeanMinAge25+'19_Расчет_аналитики'!O1572*SUMIF(ThresholdAge25,"&lt;"&amp;'19_Расчет_аналитики'!O1572,WeightedRevAge25)-SUMIF(ThresholdAge25,"&lt;"&amp;'19_Расчет_аналитики'!O1572,WeightedMinAge25),MAX(CapacityAge25*'01_Вводные'!$B$218*'19_Расчет_аналитики'!O1572,MeanMinAge25)))</f>
        <v/>
      </c>
      <c r="P1528">
        <f>IF(OR(('06_Сеть_и_дети'!P77-'06_Сеть_и_дети'!P105)=0,25&lt;='01_Вводные'!$B$297),0,('06_Сеть_и_дети'!P77-'06_Сеть_и_дети'!P105)*IF('01_Вводные'!$B$239="Да",MeanMinAge25+'19_Расчет_аналитики'!P1572*SUMIF(ThresholdAge25,"&lt;"&amp;'19_Расчет_аналитики'!P1572,WeightedRevAge25)-SUMIF(ThresholdAge25,"&lt;"&amp;'19_Расчет_аналитики'!P1572,WeightedMinAge25),MAX(CapacityAge25*'01_Вводные'!$B$218*'19_Расчет_аналитики'!P1572,MeanMinAge25)))</f>
        <v/>
      </c>
      <c r="Q1528">
        <f>IF(OR(('06_Сеть_и_дети'!Q77-'06_Сеть_и_дети'!Q105)=0,25&lt;='01_Вводные'!$B$297),0,('06_Сеть_и_дети'!Q77-'06_Сеть_и_дети'!Q105)*IF('01_Вводные'!$B$239="Да",MeanMinAge25+'19_Расчет_аналитики'!Q1572*SUMIF(ThresholdAge25,"&lt;"&amp;'19_Расчет_аналитики'!Q1572,WeightedRevAge25)-SUMIF(ThresholdAge25,"&lt;"&amp;'19_Расчет_аналитики'!Q1572,WeightedMinAge25),MAX(CapacityAge25*'01_Вводные'!$B$218*'19_Расчет_аналитики'!Q1572,MeanMinAge25)))</f>
        <v/>
      </c>
      <c r="R1528">
        <f>IF(OR(('06_Сеть_и_дети'!R77-'06_Сеть_и_дети'!R105)=0,25&lt;='01_Вводные'!$B$297),0,('06_Сеть_и_дети'!R77-'06_Сеть_и_дети'!R105)*IF('01_Вводные'!$B$239="Да",MeanMinAge25+'19_Расчет_аналитики'!R1572*SUMIF(ThresholdAge25,"&lt;"&amp;'19_Расчет_аналитики'!R1572,WeightedRevAge25)-SUMIF(ThresholdAge25,"&lt;"&amp;'19_Расчет_аналитики'!R1572,WeightedMinAge25),MAX(CapacityAge25*'01_Вводные'!$B$218*'19_Расчет_аналитики'!R1572,MeanMinAge25)))</f>
        <v/>
      </c>
      <c r="S1528">
        <f>IF(OR(('06_Сеть_и_дети'!S77-'06_Сеть_и_дети'!S105)=0,25&lt;='01_Вводные'!$B$297),0,('06_Сеть_и_дети'!S77-'06_Сеть_и_дети'!S105)*IF('01_Вводные'!$B$239="Да",MeanMinAge25+'19_Расчет_аналитики'!S1572*SUMIF(ThresholdAge25,"&lt;"&amp;'19_Расчет_аналитики'!S1572,WeightedRevAge25)-SUMIF(ThresholdAge25,"&lt;"&amp;'19_Расчет_аналитики'!S1572,WeightedMinAge25),MAX(CapacityAge25*'01_Вводные'!$B$218*'19_Расчет_аналитики'!S1572,MeanMinAge25)))</f>
        <v/>
      </c>
      <c r="T1528">
        <f>IF(OR(('06_Сеть_и_дети'!T77-'06_Сеть_и_дети'!T105)=0,25&lt;='01_Вводные'!$B$297),0,('06_Сеть_и_дети'!T77-'06_Сеть_и_дети'!T105)*IF('01_Вводные'!$B$239="Да",MeanMinAge25+'19_Расчет_аналитики'!T1572*SUMIF(ThresholdAge25,"&lt;"&amp;'19_Расчет_аналитики'!T1572,WeightedRevAge25)-SUMIF(ThresholdAge25,"&lt;"&amp;'19_Расчет_аналитики'!T1572,WeightedMinAge25),MAX(CapacityAge25*'01_Вводные'!$B$218*'19_Расчет_аналитики'!T1572,MeanMinAge25)))</f>
        <v/>
      </c>
      <c r="U1528">
        <f>IF(OR(('06_Сеть_и_дети'!U77-'06_Сеть_и_дети'!U105)=0,25&lt;='01_Вводные'!$B$297),0,('06_Сеть_и_дети'!U77-'06_Сеть_и_дети'!U105)*IF('01_Вводные'!$B$239="Да",MeanMinAge25+'19_Расчет_аналитики'!U1572*SUMIF(ThresholdAge25,"&lt;"&amp;'19_Расчет_аналитики'!U1572,WeightedRevAge25)-SUMIF(ThresholdAge25,"&lt;"&amp;'19_Расчет_аналитики'!U1572,WeightedMinAge25),MAX(CapacityAge25*'01_Вводные'!$B$218*'19_Расчет_аналитики'!U1572,MeanMinAge25)))</f>
        <v/>
      </c>
      <c r="V1528">
        <f>IF(OR(('06_Сеть_и_дети'!V77-'06_Сеть_и_дети'!V105)=0,25&lt;='01_Вводные'!$B$297),0,('06_Сеть_и_дети'!V77-'06_Сеть_и_дети'!V105)*IF('01_Вводные'!$B$239="Да",MeanMinAge25+'19_Расчет_аналитики'!V1572*SUMIF(ThresholdAge25,"&lt;"&amp;'19_Расчет_аналитики'!V1572,WeightedRevAge25)-SUMIF(ThresholdAge25,"&lt;"&amp;'19_Расчет_аналитики'!V1572,WeightedMinAge25),MAX(CapacityAge25*'01_Вводные'!$B$218*'19_Расчет_аналитики'!V1572,MeanMinAge25)))</f>
        <v/>
      </c>
      <c r="W1528">
        <f>IF(OR(('06_Сеть_и_дети'!W77-'06_Сеть_и_дети'!W105)=0,25&lt;='01_Вводные'!$B$297),0,('06_Сеть_и_дети'!W77-'06_Сеть_и_дети'!W105)*IF('01_Вводные'!$B$239="Да",MeanMinAge25+'19_Расчет_аналитики'!W1572*SUMIF(ThresholdAge25,"&lt;"&amp;'19_Расчет_аналитики'!W1572,WeightedRevAge25)-SUMIF(ThresholdAge25,"&lt;"&amp;'19_Расчет_аналитики'!W1572,WeightedMinAge25),MAX(CapacityAge25*'01_Вводные'!$B$218*'19_Расчет_аналитики'!W1572,MeanMinAge25)))</f>
        <v/>
      </c>
      <c r="X1528">
        <f>IF(OR(('06_Сеть_и_дети'!X77-'06_Сеть_и_дети'!X105)=0,25&lt;='01_Вводные'!$B$297),0,('06_Сеть_и_дети'!X77-'06_Сеть_и_дети'!X105)*IF('01_Вводные'!$B$239="Да",MeanMinAge25+'19_Расчет_аналитики'!X1572*SUMIF(ThresholdAge25,"&lt;"&amp;'19_Расчет_аналитики'!X1572,WeightedRevAge25)-SUMIF(ThresholdAge25,"&lt;"&amp;'19_Расчет_аналитики'!X1572,WeightedMinAge25),MAX(CapacityAge25*'01_Вводные'!$B$218*'19_Расчет_аналитики'!X1572,MeanMinAge25)))</f>
        <v/>
      </c>
      <c r="Y1528">
        <f>IF(OR(('06_Сеть_и_дети'!Y77-'06_Сеть_и_дети'!Y105)=0,25&lt;='01_Вводные'!$B$297),0,('06_Сеть_и_дети'!Y77-'06_Сеть_и_дети'!Y105)*IF('01_Вводные'!$B$239="Да",MeanMinAge25+'19_Расчет_аналитики'!Y1572*SUMIF(ThresholdAge25,"&lt;"&amp;'19_Расчет_аналитики'!Y1572,WeightedRevAge25)-SUMIF(ThresholdAge25,"&lt;"&amp;'19_Расчет_аналитики'!Y1572,WeightedMinAge25),MAX(CapacityAge25*'01_Вводные'!$B$218*'19_Расчет_аналитики'!Y1572,MeanMinAge25)))</f>
        <v/>
      </c>
      <c r="Z1528">
        <f>IF(OR(('19_Расчет_аналитики'!Z1444-'19_Расчет_аналитики'!Z1472)=0,25&lt;='01_Вводные'!$B$297),0,('19_Расчет_аналитики'!Z1444-'19_Расчет_аналитики'!Z1472)*IF('01_Вводные'!$B$239="Да",MeanMinAge25+'19_Расчет_аналитики'!Z1572*SUMIF(ThresholdAge25,"&lt;"&amp;'19_Расчет_аналитики'!Z1572,WeightedRevAge25)-SUMIF(ThresholdAge25,"&lt;"&amp;'19_Расчет_аналитики'!Z1572,WeightedMinAge25),MAX(CapacityAge25*'01_Вводные'!$B$218*'19_Расчет_аналитики'!Z1572,MeanMinAge25)))</f>
        <v/>
      </c>
      <c r="AA1528">
        <f>IF(OR(('19_Расчет_аналитики'!AA1444-'19_Расчет_аналитики'!AA1472)=0,25&lt;='01_Вводные'!$B$297),0,('19_Расчет_аналитики'!AA1444-'19_Расчет_аналитики'!AA1472)*IF('01_Вводные'!$B$239="Да",MeanMinAge25+'19_Расчет_аналитики'!AA1572*SUMIF(ThresholdAge25,"&lt;"&amp;'19_Расчет_аналитики'!AA1572,WeightedRevAge25)-SUMIF(ThresholdAge25,"&lt;"&amp;'19_Расчет_аналитики'!AA1572,WeightedMinAge25),MAX(CapacityAge25*'01_Вводные'!$B$218*'19_Расчет_аналитики'!AA1572,MeanMinAge25)))</f>
        <v/>
      </c>
      <c r="AB1528">
        <f>IF(OR(('19_Расчет_аналитики'!AB1444-'19_Расчет_аналитики'!AB1472)=0,25&lt;='01_Вводные'!$B$297),0,('19_Расчет_аналитики'!AB1444-'19_Расчет_аналитики'!AB1472)*IF('01_Вводные'!$B$239="Да",MeanMinAge25+'19_Расчет_аналитики'!AB1572*SUMIF(ThresholdAge25,"&lt;"&amp;'19_Расчет_аналитики'!AB1572,WeightedRevAge25)-SUMIF(ThresholdAge25,"&lt;"&amp;'19_Расчет_аналитики'!AB1572,WeightedMinAge25),MAX(CapacityAge25*'01_Вводные'!$B$218*'19_Расчет_аналитики'!AB1572,MeanMinAge25)))</f>
        <v/>
      </c>
      <c r="AC1528">
        <f>IF(OR(('19_Расчет_аналитики'!AC1444-'19_Расчет_аналитики'!AC1472)=0,25&lt;='01_Вводные'!$B$297),0,('19_Расчет_аналитики'!AC1444-'19_Расчет_аналитики'!AC1472)*IF('01_Вводные'!$B$239="Да",MeanMinAge25+'19_Расчет_аналитики'!AC1572*SUMIF(ThresholdAge25,"&lt;"&amp;'19_Расчет_аналитики'!AC1572,WeightedRevAge25)-SUMIF(ThresholdAge25,"&lt;"&amp;'19_Расчет_аналитики'!AC1572,WeightedMinAge25),MAX(CapacityAge25*'01_Вводные'!$B$218*'19_Расчет_аналитики'!AC1572,MeanMinAge25)))</f>
        <v/>
      </c>
      <c r="AD1528">
        <f>IF(OR(('19_Расчет_аналитики'!AD1444-'19_Расчет_аналитики'!AD1472)=0,25&lt;='01_Вводные'!$B$297),0,('19_Расчет_аналитики'!AD1444-'19_Расчет_аналитики'!AD1472)*IF('01_Вводные'!$B$239="Да",MeanMinAge25+'19_Расчет_аналитики'!AD1572*SUMIF(ThresholdAge25,"&lt;"&amp;'19_Расчет_аналитики'!AD1572,WeightedRevAge25)-SUMIF(ThresholdAge25,"&lt;"&amp;'19_Расчет_аналитики'!AD1572,WeightedMinAge25),MAX(CapacityAge25*'01_Вводные'!$B$218*'19_Расчет_аналитики'!AD1572,MeanMinAge25)))</f>
        <v/>
      </c>
      <c r="AE1528">
        <f>IF(OR(('19_Расчет_аналитики'!AE1444-'19_Расчет_аналитики'!AE1472)=0,25&lt;='01_Вводные'!$B$297),0,('19_Расчет_аналитики'!AE1444-'19_Расчет_аналитики'!AE1472)*IF('01_Вводные'!$B$239="Да",MeanMinAge25+'19_Расчет_аналитики'!AE1572*SUMIF(ThresholdAge25,"&lt;"&amp;'19_Расчет_аналитики'!AE1572,WeightedRevAge25)-SUMIF(ThresholdAge25,"&lt;"&amp;'19_Расчет_аналитики'!AE1572,WeightedMinAge25),MAX(CapacityAge25*'01_Вводные'!$B$218*'19_Расчет_аналитики'!AE1572,MeanMinAge25)))</f>
        <v/>
      </c>
      <c r="AF1528">
        <f>IF(OR(('19_Расчет_аналитики'!AF1444-'19_Расчет_аналитики'!AF1472)=0,25&lt;='01_Вводные'!$B$297),0,('19_Расчет_аналитики'!AF1444-'19_Расчет_аналитики'!AF1472)*IF('01_Вводные'!$B$239="Да",MeanMinAge25+'19_Расчет_аналитики'!AF1572*SUMIF(ThresholdAge25,"&lt;"&amp;'19_Расчет_аналитики'!AF1572,WeightedRevAge25)-SUMIF(ThresholdAge25,"&lt;"&amp;'19_Расчет_аналитики'!AF1572,WeightedMinAge25),MAX(CapacityAge25*'01_Вводные'!$B$218*'19_Расчет_аналитики'!AF1572,MeanMinAge25)))</f>
        <v/>
      </c>
      <c r="AG1528">
        <f>IF(OR(('19_Расчет_аналитики'!AG1444-'19_Расчет_аналитики'!AG1472)=0,25&lt;='01_Вводные'!$B$297),0,('19_Расчет_аналитики'!AG1444-'19_Расчет_аналитики'!AG1472)*IF('01_Вводные'!$B$239="Да",MeanMinAge25+'19_Расчет_аналитики'!AG1572*SUMIF(ThresholdAge25,"&lt;"&amp;'19_Расчет_аналитики'!AG1572,WeightedRevAge25)-SUMIF(ThresholdAge25,"&lt;"&amp;'19_Расчет_аналитики'!AG1572,WeightedMinAge25),MAX(CapacityAge25*'01_Вводные'!$B$218*'19_Расчет_аналитики'!AG1572,MeanMinAge25)))</f>
        <v/>
      </c>
      <c r="AH1528">
        <f>IF(OR(('19_Расчет_аналитики'!AH1444-'19_Расчет_аналитики'!AH1472)=0,25&lt;='01_Вводные'!$B$297),0,('19_Расчет_аналитики'!AH1444-'19_Расчет_аналитики'!AH1472)*IF('01_Вводные'!$B$239="Да",MeanMinAge25+'19_Расчет_аналитики'!AH1572*SUMIF(ThresholdAge25,"&lt;"&amp;'19_Расчет_аналитики'!AH1572,WeightedRevAge25)-SUMIF(ThresholdAge25,"&lt;"&amp;'19_Расчет_аналитики'!AH1572,WeightedMinAge25),MAX(CapacityAge25*'01_Вводные'!$B$218*'19_Расчет_аналитики'!AH1572,MeanMinAge25)))</f>
        <v/>
      </c>
      <c r="AI1528">
        <f>IF(OR(('19_Расчет_аналитики'!AI1444-'19_Расчет_аналитики'!AI1472)=0,25&lt;='01_Вводные'!$B$297),0,('19_Расчет_аналитики'!AI1444-'19_Расчет_аналитики'!AI1472)*IF('01_Вводные'!$B$239="Да",MeanMinAge25+'19_Расчет_аналитики'!AI1572*SUMIF(ThresholdAge25,"&lt;"&amp;'19_Расчет_аналитики'!AI1572,WeightedRevAge25)-SUMIF(ThresholdAge25,"&lt;"&amp;'19_Расчет_аналитики'!AI1572,WeightedMinAge25),MAX(CapacityAge25*'01_Вводные'!$B$218*'19_Расчет_аналитики'!AI1572,MeanMinAge25)))</f>
        <v/>
      </c>
      <c r="AJ1528">
        <f>IF(OR(('19_Расчет_аналитики'!AJ1444-'19_Расчет_аналитики'!AJ1472)=0,25&lt;='01_Вводные'!$B$297),0,('19_Расчет_аналитики'!AJ1444-'19_Расчет_аналитики'!AJ1472)*IF('01_Вводные'!$B$239="Да",MeanMinAge25+'19_Расчет_аналитики'!AJ1572*SUMIF(ThresholdAge25,"&lt;"&amp;'19_Расчет_аналитики'!AJ1572,WeightedRevAge25)-SUMIF(ThresholdAge25,"&lt;"&amp;'19_Расчет_аналитики'!AJ1572,WeightedMinAge25),MAX(CapacityAge25*'01_Вводные'!$B$218*'19_Расчет_аналитики'!AJ1572,MeanMinAge25)))</f>
        <v/>
      </c>
      <c r="AK1528">
        <f>IF(OR(('19_Расчет_аналитики'!AK1444-'19_Расчет_аналитики'!AK1472)=0,25&lt;='01_Вводные'!$B$297),0,('19_Расчет_аналитики'!AK1444-'19_Расчет_аналитики'!AK1472)*IF('01_Вводные'!$B$239="Да",MeanMinAge25+'19_Расчет_аналитики'!AK1572*SUMIF(ThresholdAge25,"&lt;"&amp;'19_Расчет_аналитики'!AK1572,WeightedRevAge25)-SUMIF(ThresholdAge25,"&lt;"&amp;'19_Расчет_аналитики'!AK1572,WeightedMinAge25),MAX(CapacityAge25*'01_Вводные'!$B$218*'19_Расчет_аналитики'!AK1572,MeanMinAge25)))</f>
        <v/>
      </c>
      <c r="AL1528">
        <f>IF(OR(('19_Расчет_аналитики'!AL1444-'19_Расчет_аналитики'!AL1472)=0,25&lt;='01_Вводные'!$B$297),0,('19_Расчет_аналитики'!AL1444-'19_Расчет_аналитики'!AL1472)*IF('01_Вводные'!$B$239="Да",MeanMinAge25+'19_Расчет_аналитики'!AL1572*SUMIF(ThresholdAge25,"&lt;"&amp;'19_Расчет_аналитики'!AL1572,WeightedRevAge25)-SUMIF(ThresholdAge25,"&lt;"&amp;'19_Расчет_аналитики'!AL1572,WeightedMinAge25),MAX(CapacityAge25*'01_Вводные'!$B$218*'19_Расчет_аналитики'!AL1572,MeanMinAge25)))</f>
        <v/>
      </c>
      <c r="AM1528">
        <f>IF(OR(('19_Расчет_аналитики'!AM1444-'19_Расчет_аналитики'!AM1472)=0,25&lt;='01_Вводные'!$B$297),0,('19_Расчет_аналитики'!AM1444-'19_Расчет_аналитики'!AM1472)*IF('01_Вводные'!$B$239="Да",MeanMinAge25+'19_Расчет_аналитики'!AM1572*SUMIF(ThresholdAge25,"&lt;"&amp;'19_Расчет_аналитики'!AM1572,WeightedRevAge25)-SUMIF(ThresholdAge25,"&lt;"&amp;'19_Расчет_аналитики'!AM1572,WeightedMinAge25),MAX(CapacityAge25*'01_Вводные'!$B$218*'19_Расчет_аналитики'!AM1572,MeanMinAge25)))</f>
        <v/>
      </c>
      <c r="AN1528">
        <f>IF(OR(('19_Расчет_аналитики'!AN1444-'19_Расчет_аналитики'!AN1472)=0,25&lt;='01_Вводные'!$B$297),0,('19_Расчет_аналитики'!AN1444-'19_Расчет_аналитики'!AN1472)*IF('01_Вводные'!$B$239="Да",MeanMinAge25+'19_Расчет_аналитики'!AN1572*SUMIF(ThresholdAge25,"&lt;"&amp;'19_Расчет_аналитики'!AN1572,WeightedRevAge25)-SUMIF(ThresholdAge25,"&lt;"&amp;'19_Расчет_аналитики'!AN1572,WeightedMinAge25),MAX(CapacityAge25*'01_Вводные'!$B$218*'19_Расчет_аналитики'!AN1572,MeanMinAge25)))</f>
        <v/>
      </c>
      <c r="AO1528">
        <f>IF(OR(('19_Расчет_аналитики'!AO1444-'19_Расчет_аналитики'!AO1472)=0,25&lt;='01_Вводные'!$B$297),0,('19_Расчет_аналитики'!AO1444-'19_Расчет_аналитики'!AO1472)*IF('01_Вводные'!$B$239="Да",MeanMinAge25+'19_Расчет_аналитики'!AO1572*SUMIF(ThresholdAge25,"&lt;"&amp;'19_Расчет_аналитики'!AO1572,WeightedRevAge25)-SUMIF(ThresholdAge25,"&lt;"&amp;'19_Расчет_аналитики'!AO1572,WeightedMinAge25),MAX(CapacityAge25*'01_Вводные'!$B$218*'19_Расчет_аналитики'!AO1572,MeanMinAge25)))</f>
        <v/>
      </c>
      <c r="AP1528">
        <f>IF(OR(('19_Расчет_аналитики'!AP1444-'19_Расчет_аналитики'!AP1472)=0,25&lt;='01_Вводные'!$B$297),0,('19_Расчет_аналитики'!AP1444-'19_Расчет_аналитики'!AP1472)*IF('01_Вводные'!$B$239="Да",MeanMinAge25+'19_Расчет_аналитики'!AP1572*SUMIF(ThresholdAge25,"&lt;"&amp;'19_Расчет_аналитики'!AP1572,WeightedRevAge25)-SUMIF(ThresholdAge25,"&lt;"&amp;'19_Расчет_аналитики'!AP1572,WeightedMinAge25),MAX(CapacityAge25*'01_Вводные'!$B$218*'19_Расчет_аналитики'!AP1572,MeanMinAge25)))</f>
        <v/>
      </c>
      <c r="AQ1528">
        <f>IF(OR(('19_Расчет_аналитики'!AQ1444-'19_Расчет_аналитики'!AQ1472)=0,25&lt;='01_Вводные'!$B$297),0,('19_Расчет_аналитики'!AQ1444-'19_Расчет_аналитики'!AQ1472)*IF('01_Вводные'!$B$239="Да",MeanMinAge25+'19_Расчет_аналитики'!AQ1572*SUMIF(ThresholdAge25,"&lt;"&amp;'19_Расчет_аналитики'!AQ1572,WeightedRevAge25)-SUMIF(ThresholdAge25,"&lt;"&amp;'19_Расчет_аналитики'!AQ1572,WeightedMinAge25),MAX(CapacityAge25*'01_Вводные'!$B$218*'19_Расчет_аналитики'!AQ1572,MeanMinAge25)))</f>
        <v/>
      </c>
      <c r="AR1528">
        <f>IF(OR(('19_Расчет_аналитики'!AR1444-'19_Расчет_аналитики'!AR1472)=0,25&lt;='01_Вводные'!$B$297),0,('19_Расчет_аналитики'!AR1444-'19_Расчет_аналитики'!AR1472)*IF('01_Вводные'!$B$239="Да",MeanMinAge25+'19_Расчет_аналитики'!AR1572*SUMIF(ThresholdAge25,"&lt;"&amp;'19_Расчет_аналитики'!AR1572,WeightedRevAge25)-SUMIF(ThresholdAge25,"&lt;"&amp;'19_Расчет_аналитики'!AR1572,WeightedMinAge25),MAX(CapacityAge25*'01_Вводные'!$B$218*'19_Расчет_аналитики'!AR1572,MeanMinAge25)))</f>
        <v/>
      </c>
      <c r="AS1528">
        <f>IF(OR(('19_Расчет_аналитики'!AS1444-'19_Расчет_аналитики'!AS1472)=0,25&lt;='01_Вводные'!$B$297),0,('19_Расчет_аналитики'!AS1444-'19_Расчет_аналитики'!AS1472)*IF('01_Вводные'!$B$239="Да",MeanMinAge25+'19_Расчет_аналитики'!AS1572*SUMIF(ThresholdAge25,"&lt;"&amp;'19_Расчет_аналитики'!AS1572,WeightedRevAge25)-SUMIF(ThresholdAge25,"&lt;"&amp;'19_Расчет_аналитики'!AS1572,WeightedMinAge25),MAX(CapacityAge25*'01_Вводные'!$B$218*'19_Расчет_аналитики'!AS1572,MeanMinAge25)))</f>
        <v/>
      </c>
      <c r="AT1528">
        <f>IF(OR(('19_Расчет_аналитики'!AT1444-'19_Расчет_аналитики'!AT1472)=0,25&lt;='01_Вводные'!$B$297),0,('19_Расчет_аналитики'!AT1444-'19_Расчет_аналитики'!AT1472)*IF('01_Вводные'!$B$239="Да",MeanMinAge25+'19_Расчет_аналитики'!AT1572*SUMIF(ThresholdAge25,"&lt;"&amp;'19_Расчет_аналитики'!AT1572,WeightedRevAge25)-SUMIF(ThresholdAge25,"&lt;"&amp;'19_Расчет_аналитики'!AT1572,WeightedMinAge25),MAX(CapacityAge25*'01_Вводные'!$B$218*'19_Расчет_аналитики'!AT1572,MeanMinAge25)))</f>
        <v/>
      </c>
      <c r="AU1528">
        <f>IF(OR(('19_Расчет_аналитики'!AU1444-'19_Расчет_аналитики'!AU1472)=0,25&lt;='01_Вводные'!$B$297),0,('19_Расчет_аналитики'!AU1444-'19_Расчет_аналитики'!AU1472)*IF('01_Вводные'!$B$239="Да",MeanMinAge25+'19_Расчет_аналитики'!AU1572*SUMIF(ThresholdAge25,"&lt;"&amp;'19_Расчет_аналитики'!AU1572,WeightedRevAge25)-SUMIF(ThresholdAge25,"&lt;"&amp;'19_Расчет_аналитики'!AU1572,WeightedMinAge25),MAX(CapacityAge25*'01_Вводные'!$B$218*'19_Расчет_аналитики'!AU1572,MeanMinAge25)))</f>
        <v/>
      </c>
      <c r="AV1528">
        <f>IF(OR(('19_Расчет_аналитики'!AV1444-'19_Расчет_аналитики'!AV1472)=0,25&lt;='01_Вводные'!$B$297),0,('19_Расчет_аналитики'!AV1444-'19_Расчет_аналитики'!AV1472)*IF('01_Вводные'!$B$239="Да",MeanMinAge25+'19_Расчет_аналитики'!AV1572*SUMIF(ThresholdAge25,"&lt;"&amp;'19_Расчет_аналитики'!AV1572,WeightedRevAge25)-SUMIF(ThresholdAge25,"&lt;"&amp;'19_Расчет_аналитики'!AV1572,WeightedMinAge25),MAX(CapacityAge25*'01_Вводные'!$B$218*'19_Расчет_аналитики'!AV1572,MeanMinAge25)))</f>
        <v/>
      </c>
      <c r="AW1528">
        <f>IF(OR(('19_Расчет_аналитики'!AW1444-'19_Расчет_аналитики'!AW1472)=0,25&lt;='01_Вводные'!$B$297),0,('19_Расчет_аналитики'!AW1444-'19_Расчет_аналитики'!AW1472)*IF('01_Вводные'!$B$239="Да",MeanMinAge25+'19_Расчет_аналитики'!AW1572*SUMIF(ThresholdAge25,"&lt;"&amp;'19_Расчет_аналитики'!AW1572,WeightedRevAge25)-SUMIF(ThresholdAge25,"&lt;"&amp;'19_Расчет_аналитики'!AW1572,WeightedMinAge25),MAX(CapacityAge25*'01_Вводные'!$B$218*'19_Расчет_аналитики'!AW1572,MeanMinAge25)))</f>
        <v/>
      </c>
      <c r="AX1528">
        <f>IF(OR(('19_Расчет_аналитики'!AX1444-'19_Расчет_аналитики'!AX1472)=0,25&lt;='01_Вводные'!$B$297),0,('19_Расчет_аналитики'!AX1444-'19_Расчет_аналитики'!AX1472)*IF('01_Вводные'!$B$239="Да",MeanMinAge25+'19_Расчет_аналитики'!AX1572*SUMIF(ThresholdAge25,"&lt;"&amp;'19_Расчет_аналитики'!AX1572,WeightedRevAge25)-SUMIF(ThresholdAge25,"&lt;"&amp;'19_Расчет_аналитики'!AX1572,WeightedMinAge25),MAX(CapacityAge25*'01_Вводные'!$B$218*'19_Расчет_аналитики'!AX1572,MeanMinAge25)))</f>
        <v/>
      </c>
      <c r="AY1528">
        <f>IF(OR(('19_Расчет_аналитики'!AY1444-'19_Расчет_аналитики'!AY1472)=0,25&lt;='01_Вводные'!$B$297),0,('19_Расчет_аналитики'!AY1444-'19_Расчет_аналитики'!AY1472)*IF('01_Вводные'!$B$239="Да",MeanMinAge25+'19_Расчет_аналитики'!AY1572*SUMIF(ThresholdAge25,"&lt;"&amp;'19_Расчет_аналитики'!AY1572,WeightedRevAge25)-SUMIF(ThresholdAge25,"&lt;"&amp;'19_Расчет_аналитики'!AY1572,WeightedMinAge25),MAX(CapacityAge25*'01_Вводные'!$B$218*'19_Расчет_аналитики'!AY1572,MeanMinAge25)))</f>
        <v/>
      </c>
      <c r="AZ1528">
        <f>IF(OR(('19_Расчет_аналитики'!AZ1444-'19_Расчет_аналитики'!AZ1472)=0,25&lt;='01_Вводные'!$B$297),0,('19_Расчет_аналитики'!AZ1444-'19_Расчет_аналитики'!AZ1472)*IF('01_Вводные'!$B$239="Да",MeanMinAge25+'19_Расчет_аналитики'!AZ1572*SUMIF(ThresholdAge25,"&lt;"&amp;'19_Расчет_аналитики'!AZ1572,WeightedRevAge25)-SUMIF(ThresholdAge25,"&lt;"&amp;'19_Расчет_аналитики'!AZ1572,WeightedMinAge25),MAX(CapacityAge25*'01_Вводные'!$B$218*'19_Расчет_аналитики'!AZ1572,MeanMinAge25)))</f>
        <v/>
      </c>
      <c r="BA1528">
        <f>IF(OR(('19_Расчет_аналитики'!BA1444-'19_Расчет_аналитики'!BA1472)=0,25&lt;='01_Вводные'!$B$297),0,('19_Расчет_аналитики'!BA1444-'19_Расчет_аналитики'!BA1472)*IF('01_Вводные'!$B$239="Да",MeanMinAge25+'19_Расчет_аналитики'!BA1572*SUMIF(ThresholdAge25,"&lt;"&amp;'19_Расчет_аналитики'!BA1572,WeightedRevAge25)-SUMIF(ThresholdAge25,"&lt;"&amp;'19_Расчет_аналитики'!BA1572,WeightedMinAge25),MAX(CapacityAge25*'01_Вводные'!$B$218*'19_Расчет_аналитики'!BA1572,MeanMinAge25)))</f>
        <v/>
      </c>
      <c r="BB1528">
        <f>IF(OR(('19_Расчет_аналитики'!BB1444-'19_Расчет_аналитики'!BB1472)=0,25&lt;='01_Вводные'!$B$297),0,('19_Расчет_аналитики'!BB1444-'19_Расчет_аналитики'!BB1472)*IF('01_Вводные'!$B$239="Да",MeanMinAge25+'19_Расчет_аналитики'!BB1572*SUMIF(ThresholdAge25,"&lt;"&amp;'19_Расчет_аналитики'!BB1572,WeightedRevAge25)-SUMIF(ThresholdAge25,"&lt;"&amp;'19_Расчет_аналитики'!BB1572,WeightedMinAge25),MAX(CapacityAge25*'01_Вводные'!$B$218*'19_Расчет_аналитики'!BB1572,MeanMinAge25)))</f>
        <v/>
      </c>
      <c r="BC1528">
        <f>IF(OR(('19_Расчет_аналитики'!BC1444-'19_Расчет_аналитики'!BC1472)=0,25&lt;='01_Вводные'!$B$297),0,('19_Расчет_аналитики'!BC1444-'19_Расчет_аналитики'!BC1472)*IF('01_Вводные'!$B$239="Да",MeanMinAge25+'19_Расчет_аналитики'!BC1572*SUMIF(ThresholdAge25,"&lt;"&amp;'19_Расчет_аналитики'!BC1572,WeightedRevAge25)-SUMIF(ThresholdAge25,"&lt;"&amp;'19_Расчет_аналитики'!BC1572,WeightedMinAge25),MAX(CapacityAge25*'01_Вводные'!$B$218*'19_Расчет_аналитики'!BC1572,MeanMinAge25)))</f>
        <v/>
      </c>
      <c r="BD1528">
        <f>IF(OR(('19_Расчет_аналитики'!BD1444-'19_Расчет_аналитики'!BD1472)=0,25&lt;='01_Вводные'!$B$297),0,('19_Расчет_аналитики'!BD1444-'19_Расчет_аналитики'!BD1472)*IF('01_Вводные'!$B$239="Да",MeanMinAge25+'19_Расчет_аналитики'!BD1572*SUMIF(ThresholdAge25,"&lt;"&amp;'19_Расчет_аналитики'!BD1572,WeightedRevAge25)-SUMIF(ThresholdAge25,"&lt;"&amp;'19_Расчет_аналитики'!BD1572,WeightedMinAge25),MAX(CapacityAge25*'01_Вводные'!$B$218*'19_Расчет_аналитики'!BD1572,MeanMinAge25)))</f>
        <v/>
      </c>
      <c r="BE1528">
        <f>IF(OR(('19_Расчет_аналитики'!BE1444-'19_Расчет_аналитики'!BE1472)=0,25&lt;='01_Вводные'!$B$297),0,('19_Расчет_аналитики'!BE1444-'19_Расчет_аналитики'!BE1472)*IF('01_Вводные'!$B$239="Да",MeanMinAge25+'19_Расчет_аналитики'!BE1572*SUMIF(ThresholdAge25,"&lt;"&amp;'19_Расчет_аналитики'!BE1572,WeightedRevAge25)-SUMIF(ThresholdAge25,"&lt;"&amp;'19_Расчет_аналитики'!BE1572,WeightedMinAge25),MAX(CapacityAge25*'01_Вводные'!$B$218*'19_Расчет_аналитики'!BE1572,MeanMinAge25)))</f>
        <v/>
      </c>
      <c r="BF1528">
        <f>IF(OR(('19_Расчет_аналитики'!BF1444-'19_Расчет_аналитики'!BF1472)=0,25&lt;='01_Вводные'!$B$297),0,('19_Расчет_аналитики'!BF1444-'19_Расчет_аналитики'!BF1472)*IF('01_Вводные'!$B$239="Да",MeanMinAge25+'19_Расчет_аналитики'!BF1572*SUMIF(ThresholdAge25,"&lt;"&amp;'19_Расчет_аналитики'!BF1572,WeightedRevAge25)-SUMIF(ThresholdAge25,"&lt;"&amp;'19_Расчет_аналитики'!BF1572,WeightedMinAge25),MAX(CapacityAge25*'01_Вводные'!$B$218*'19_Расчет_аналитики'!BF1572,MeanMinAge25)))</f>
        <v/>
      </c>
      <c r="BG1528">
        <f>IF(OR(('19_Расчет_аналитики'!BG1444-'19_Расчет_аналитики'!BG1472)=0,25&lt;='01_Вводные'!$B$297),0,('19_Расчет_аналитики'!BG1444-'19_Расчет_аналитики'!BG1472)*IF('01_Вводные'!$B$239="Да",MeanMinAge25+'19_Расчет_аналитики'!BG1572*SUMIF(ThresholdAge25,"&lt;"&amp;'19_Расчет_аналитики'!BG1572,WeightedRevAge25)-SUMIF(ThresholdAge25,"&lt;"&amp;'19_Расчет_аналитики'!BG1572,WeightedMinAge25),MAX(CapacityAge25*'01_Вводные'!$B$218*'19_Расчет_аналитики'!BG1572,MeanMinAge25)))</f>
        <v/>
      </c>
      <c r="BH1528">
        <f>IF(OR(('19_Расчет_аналитики'!BH1444-'19_Расчет_аналитики'!BH1472)=0,25&lt;='01_Вводные'!$B$297),0,('19_Расчет_аналитики'!BH1444-'19_Расчет_аналитики'!BH1472)*IF('01_Вводные'!$B$239="Да",MeanMinAge25+'19_Расчет_аналитики'!BH1572*SUMIF(ThresholdAge25,"&lt;"&amp;'19_Расчет_аналитики'!BH1572,WeightedRevAge25)-SUMIF(ThresholdAge25,"&lt;"&amp;'19_Расчет_аналитики'!BH1572,WeightedMinAge25),MAX(CapacityAge25*'01_Вводные'!$B$218*'19_Расчет_аналитики'!BH1572,MeanMinAge25)))</f>
        <v/>
      </c>
      <c r="BI1528">
        <f>IF(OR(('19_Расчет_аналитики'!BI1444-'19_Расчет_аналитики'!BI1472)=0,25&lt;='01_Вводные'!$B$297),0,('19_Расчет_аналитики'!BI1444-'19_Расчет_аналитики'!BI1472)*IF('01_Вводные'!$B$239="Да",MeanMinAge25+'19_Расчет_аналитики'!BI1572*SUMIF(ThresholdAge25,"&lt;"&amp;'19_Расчет_аналитики'!BI1572,WeightedRevAge25)-SUMIF(ThresholdAge25,"&lt;"&amp;'19_Расчет_аналитики'!BI1572,WeightedMinAge25),MAX(CapacityAge25*'01_Вводные'!$B$218*'19_Расчет_аналитики'!BI1572,MeanMinAge25)))</f>
        <v/>
      </c>
      <c r="BJ1528">
        <f>IF(OR(('19_Расчет_аналитики'!BJ1444-'19_Расчет_аналитики'!BJ1472)=0,25&lt;='01_Вводные'!$B$297),0,('19_Расчет_аналитики'!BJ1444-'19_Расчет_аналитики'!BJ1472)*IF('01_Вводные'!$B$239="Да",MeanMinAge25+'19_Расчет_аналитики'!BJ1572*SUMIF(ThresholdAge25,"&lt;"&amp;'19_Расчет_аналитики'!BJ1572,WeightedRevAge25)-SUMIF(ThresholdAge25,"&lt;"&amp;'19_Расчет_аналитики'!BJ1572,WeightedMinAge25),MAX(CapacityAge25*'01_Вводные'!$B$218*'19_Расчет_аналитики'!BJ1572,MeanMinAge25)))</f>
        <v/>
      </c>
      <c r="BK1528">
        <f>IF(OR(('19_Расчет_аналитики'!BK1444-'19_Расчет_аналитики'!BK1472)=0,25&lt;='01_Вводные'!$B$297),0,('19_Расчет_аналитики'!BK1444-'19_Расчет_аналитики'!BK1472)*IF('01_Вводные'!$B$239="Да",MeanMinAge25+'19_Расчет_аналитики'!BK1572*SUMIF(ThresholdAge25,"&lt;"&amp;'19_Расчет_аналитики'!BK1572,WeightedRevAge25)-SUMIF(ThresholdAge25,"&lt;"&amp;'19_Расчет_аналитики'!BK1572,WeightedMinAge25),MAX(CapacityAge25*'01_Вводные'!$B$218*'19_Расчет_аналитики'!BK1572,MeanMinAge25)))</f>
        <v/>
      </c>
      <c r="BL1528">
        <f>IF(OR(('19_Расчет_аналитики'!BL1444-'19_Расчет_аналитики'!BL1472)=0,25&lt;='01_Вводные'!$B$297),0,('19_Расчет_аналитики'!BL1444-'19_Расчет_аналитики'!BL1472)*IF('01_Вводные'!$B$239="Да",MeanMinAge25+'19_Расчет_аналитики'!BL1572*SUMIF(ThresholdAge25,"&lt;"&amp;'19_Расчет_аналитики'!BL1572,WeightedRevAge25)-SUMIF(ThresholdAge25,"&lt;"&amp;'19_Расчет_аналитики'!BL1572,WeightedMinAge25),MAX(CapacityAge25*'01_Вводные'!$B$218*'19_Расчет_аналитики'!BL1572,MeanMinAge25)))</f>
        <v/>
      </c>
      <c r="BM1528">
        <f>IF(OR(('19_Расчет_аналитики'!BM1444-'19_Расчет_аналитики'!BM1472)=0,25&lt;='01_Вводные'!$B$297),0,('19_Расчет_аналитики'!BM1444-'19_Расчет_аналитики'!BM1472)*IF('01_Вводные'!$B$239="Да",MeanMinAge25+'19_Расчет_аналитики'!BM1572*SUMIF(ThresholdAge25,"&lt;"&amp;'19_Расчет_аналитики'!BM1572,WeightedRevAge25)-SUMIF(ThresholdAge25,"&lt;"&amp;'19_Расчет_аналитики'!BM1572,WeightedMinAge25),MAX(CapacityAge25*'01_Вводные'!$B$218*'19_Расчет_аналитики'!BM1572,MeanMinAge25)))</f>
        <v/>
      </c>
      <c r="BN1528">
        <f>IF(OR(('19_Расчет_аналитики'!BN1444-'19_Расчет_аналитики'!BN1472)=0,25&lt;='01_Вводные'!$B$297),0,('19_Расчет_аналитики'!BN1444-'19_Расчет_аналитики'!BN1472)*IF('01_Вводные'!$B$239="Да",MeanMinAge25+'19_Расчет_аналитики'!BN1572*SUMIF(ThresholdAge25,"&lt;"&amp;'19_Расчет_аналитики'!BN1572,WeightedRevAge25)-SUMIF(ThresholdAge25,"&lt;"&amp;'19_Расчет_аналитики'!BN1572,WeightedMinAge25),MAX(CapacityAge25*'01_Вводные'!$B$218*'19_Расчет_аналитики'!BN1572,MeanMinAge25)))</f>
        <v/>
      </c>
      <c r="BO1528">
        <f>IF(OR(('19_Расчет_аналитики'!BO1444-'19_Расчет_аналитики'!BO1472)=0,25&lt;='01_Вводные'!$B$297),0,('19_Расчет_аналитики'!BO1444-'19_Расчет_аналитики'!BO1472)*IF('01_Вводные'!$B$239="Да",MeanMinAge25+'19_Расчет_аналитики'!BO1572*SUMIF(ThresholdAge25,"&lt;"&amp;'19_Расчет_аналитики'!BO1572,WeightedRevAge25)-SUMIF(ThresholdAge25,"&lt;"&amp;'19_Расчет_аналитики'!BO1572,WeightedMinAge25),MAX(CapacityAge25*'01_Вводные'!$B$218*'19_Расчет_аналитики'!BO1572,MeanMinAge25)))</f>
        <v/>
      </c>
    </row>
    <row r="1529"/>
    <row r="1530"/>
    <row r="1531"/>
    <row r="1532">
      <c r="B1532">
        <f>IF(IF('01_Вводные'!$B$296="Новый сезон",FALSE,FALSE),'19_Расчет_аналитики'!B1420*CapacityAge01*'19_Расчет_аналитики'!$F$1223,0)</f>
        <v/>
      </c>
      <c r="C1532">
        <f>IF(IF('01_Вводные'!$B$296="Новый сезон",FALSE,FALSE),'19_Расчет_аналитики'!C1420*CapacityAge01*'19_Расчет_аналитики'!$F$1223,0)</f>
        <v/>
      </c>
      <c r="D1532">
        <f>IF(IF('01_Вводные'!$B$296="Новый сезон",FALSE,FALSE),'19_Расчет_аналитики'!D1420*CapacityAge01*'19_Расчет_аналитики'!$F$1223,0)</f>
        <v/>
      </c>
      <c r="E1532">
        <f>IF(IF('01_Вводные'!$B$296="Новый сезон",FALSE,FALSE),'19_Расчет_аналитики'!E1420*CapacityAge01*'19_Расчет_аналитики'!$F$1223,0)</f>
        <v/>
      </c>
      <c r="F1532">
        <f>IF(IF('01_Вводные'!$B$296="Новый сезон",FALSE,FALSE),'19_Расчет_аналитики'!F1420*CapacityAge01*'19_Расчет_аналитики'!$F$1223,0)</f>
        <v/>
      </c>
      <c r="G1532">
        <f>IF(IF('01_Вводные'!$B$296="Новый сезон",FALSE,FALSE),'19_Расчет_аналитики'!G1420*CapacityAge01*'19_Расчет_аналитики'!$F$1223,0)</f>
        <v/>
      </c>
      <c r="H1532">
        <f>IF(IF('01_Вводные'!$B$296="Новый сезон",FALSE,FALSE),'19_Расчет_аналитики'!H1420*CapacityAge01*'19_Расчет_аналитики'!$F$1223,0)</f>
        <v/>
      </c>
      <c r="I1532">
        <f>IF(IF('01_Вводные'!$B$296="Новый сезон",FALSE,FALSE),'19_Расчет_аналитики'!I1420*CapacityAge01*'19_Расчет_аналитики'!$F$1223,0)</f>
        <v/>
      </c>
      <c r="J1532">
        <f>IF(IF('01_Вводные'!$B$296="Новый сезон",FALSE,FALSE),'19_Расчет_аналитики'!J1420*CapacityAge01*'19_Расчет_аналитики'!$F$1223,0)</f>
        <v/>
      </c>
      <c r="K1532">
        <f>IF(IF('01_Вводные'!$B$296="Новый сезон",FALSE,FALSE),'19_Расчет_аналитики'!K1420*CapacityAge01*'19_Расчет_аналитики'!$F$1223,0)</f>
        <v/>
      </c>
      <c r="L1532">
        <f>IF(IF('01_Вводные'!$B$296="Новый сезон",FALSE,FALSE),'19_Расчет_аналитики'!L1420*CapacityAge01*'19_Расчет_аналитики'!$F$1223,0)</f>
        <v/>
      </c>
      <c r="M1532">
        <f>IF(IF('01_Вводные'!$B$296="Новый сезон",FALSE,FALSE),'19_Расчет_аналитики'!M1420*CapacityAge01*'19_Расчет_аналитики'!$F$1223,0)</f>
        <v/>
      </c>
      <c r="N1532">
        <f>IF(IF('01_Вводные'!$B$296="Новый сезон",FALSE,FALSE),'19_Расчет_аналитики'!N1420*CapacityAge01*'19_Расчет_аналитики'!$F$1223,0)</f>
        <v/>
      </c>
      <c r="O1532">
        <f>IF(IF('01_Вводные'!$B$296="Новый сезон",FALSE,FALSE),'19_Расчет_аналитики'!O1420*CapacityAge01*'19_Расчет_аналитики'!$F$1223,0)</f>
        <v/>
      </c>
      <c r="P1532">
        <f>IF(IF('01_Вводные'!$B$296="Новый сезон",FALSE,FALSE),'19_Расчет_аналитики'!P1420*CapacityAge01*'19_Расчет_аналитики'!$F$1223,0)</f>
        <v/>
      </c>
      <c r="Q1532">
        <f>IF(IF('01_Вводные'!$B$296="Новый сезон",FALSE,FALSE),'19_Расчет_аналитики'!Q1420*CapacityAge01*'19_Расчет_аналитики'!$F$1223,0)</f>
        <v/>
      </c>
      <c r="R1532">
        <f>IF(IF('01_Вводные'!$B$296="Новый сезон",FALSE,FALSE),'19_Расчет_аналитики'!R1420*CapacityAge01*'19_Расчет_аналитики'!$F$1223,0)</f>
        <v/>
      </c>
      <c r="S1532">
        <f>IF(IF('01_Вводные'!$B$296="Новый сезон",FALSE,FALSE),'19_Расчет_аналитики'!S1420*CapacityAge01*'19_Расчет_аналитики'!$F$1223,0)</f>
        <v/>
      </c>
      <c r="T1532">
        <f>IF(IF('01_Вводные'!$B$296="Новый сезон",FALSE,FALSE),'19_Расчет_аналитики'!T1420*CapacityAge01*'19_Расчет_аналитики'!$F$1223,0)</f>
        <v/>
      </c>
      <c r="U1532">
        <f>IF(IF('01_Вводные'!$B$296="Новый сезон",FALSE,FALSE),'19_Расчет_аналитики'!U1420*CapacityAge01*'19_Расчет_аналитики'!$F$1223,0)</f>
        <v/>
      </c>
      <c r="V1532">
        <f>IF(IF('01_Вводные'!$B$296="Новый сезон",FALSE,FALSE),'19_Расчет_аналитики'!V1420*CapacityAge01*'19_Расчет_аналитики'!$F$1223,0)</f>
        <v/>
      </c>
      <c r="W1532">
        <f>IF(IF('01_Вводные'!$B$296="Новый сезон",FALSE,FALSE),'19_Расчет_аналитики'!W1420*CapacityAge01*'19_Расчет_аналитики'!$F$1223,0)</f>
        <v/>
      </c>
      <c r="X1532">
        <f>IF(IF('01_Вводные'!$B$296="Новый сезон",FALSE,FALSE),'19_Расчет_аналитики'!X1420*CapacityAge01*'19_Расчет_аналитики'!$F$1223,0)</f>
        <v/>
      </c>
      <c r="Y1532">
        <f>IF(IF('01_Вводные'!$B$296="Новый сезон",FALSE,FALSE),'19_Расчет_аналитики'!Y1420*CapacityAge01*'19_Расчет_аналитики'!$F$1223,0)</f>
        <v/>
      </c>
      <c r="Z1532">
        <f>IF(IF('01_Вводные'!$B$296="Новый сезон",FALSE,FALSE),'19_Расчет_аналитики'!Z1420*CapacityAge01*'19_Расчет_аналитики'!$F$1223,0)</f>
        <v/>
      </c>
      <c r="AA1532">
        <f>IF(IF('01_Вводные'!$B$296="Новый сезон",FALSE,FALSE),'19_Расчет_аналитики'!AA1420*CapacityAge01*'19_Расчет_аналитики'!$F$1223,0)</f>
        <v/>
      </c>
      <c r="AB1532">
        <f>IF(IF('01_Вводные'!$B$296="Новый сезон",FALSE,FALSE),'19_Расчет_аналитики'!AB1420*CapacityAge01*'19_Расчет_аналитики'!$F$1223,0)</f>
        <v/>
      </c>
      <c r="AC1532">
        <f>IF(IF('01_Вводные'!$B$296="Новый сезон",FALSE,FALSE),'19_Расчет_аналитики'!AC1420*CapacityAge01*'19_Расчет_аналитики'!$F$1223,0)</f>
        <v/>
      </c>
      <c r="AD1532">
        <f>IF(IF('01_Вводные'!$B$296="Новый сезон",FALSE,FALSE),'19_Расчет_аналитики'!AD1420*CapacityAge01*'19_Расчет_аналитики'!$F$1223,0)</f>
        <v/>
      </c>
      <c r="AE1532">
        <f>IF(IF('01_Вводные'!$B$296="Новый сезон",FALSE,FALSE),'19_Расчет_аналитики'!AE1420*CapacityAge01*'19_Расчет_аналитики'!$F$1223,0)</f>
        <v/>
      </c>
      <c r="AF1532">
        <f>IF(IF('01_Вводные'!$B$296="Новый сезон",FALSE,FALSE),'19_Расчет_аналитики'!AF1420*CapacityAge01*'19_Расчет_аналитики'!$F$1223,0)</f>
        <v/>
      </c>
      <c r="AG1532">
        <f>IF(IF('01_Вводные'!$B$296="Новый сезон",FALSE,FALSE),'19_Расчет_аналитики'!AG1420*CapacityAge01*'19_Расчет_аналитики'!$F$1223,0)</f>
        <v/>
      </c>
      <c r="AH1532">
        <f>IF(IF('01_Вводные'!$B$296="Новый сезон",FALSE,FALSE),'19_Расчет_аналитики'!AH1420*CapacityAge01*'19_Расчет_аналитики'!$F$1223,0)</f>
        <v/>
      </c>
      <c r="AI1532">
        <f>IF(IF('01_Вводные'!$B$296="Новый сезон",FALSE,FALSE),'19_Расчет_аналитики'!AI1420*CapacityAge01*'19_Расчет_аналитики'!$F$1223,0)</f>
        <v/>
      </c>
      <c r="AJ1532">
        <f>IF(IF('01_Вводные'!$B$296="Новый сезон",FALSE,FALSE),'19_Расчет_аналитики'!AJ1420*CapacityAge01*'19_Расчет_аналитики'!$F$1223,0)</f>
        <v/>
      </c>
      <c r="AK1532">
        <f>IF(IF('01_Вводные'!$B$296="Новый сезон",FALSE,FALSE),'19_Расчет_аналитики'!AK1420*CapacityAge01*'19_Расчет_аналитики'!$F$1223,0)</f>
        <v/>
      </c>
      <c r="AL1532">
        <f>IF(IF('01_Вводные'!$B$296="Новый сезон",FALSE,FALSE),'19_Расчет_аналитики'!AL1420*CapacityAge01*'19_Расчет_аналитики'!$F$1223,0)</f>
        <v/>
      </c>
      <c r="AM1532">
        <f>IF(IF('01_Вводные'!$B$296="Новый сезон",FALSE,FALSE),'19_Расчет_аналитики'!AM1420*CapacityAge01*'19_Расчет_аналитики'!$F$1223,0)</f>
        <v/>
      </c>
      <c r="AN1532">
        <f>IF(IF('01_Вводные'!$B$296="Новый сезон",FALSE,FALSE),'19_Расчет_аналитики'!AN1420*CapacityAge01*'19_Расчет_аналитики'!$F$1223,0)</f>
        <v/>
      </c>
      <c r="AO1532">
        <f>IF(IF('01_Вводные'!$B$296="Новый сезон",FALSE,FALSE),'19_Расчет_аналитики'!AO1420*CapacityAge01*'19_Расчет_аналитики'!$F$1223,0)</f>
        <v/>
      </c>
      <c r="AP1532">
        <f>IF(IF('01_Вводные'!$B$296="Новый сезон",FALSE,FALSE),'19_Расчет_аналитики'!AP1420*CapacityAge01*'19_Расчет_аналитики'!$F$1223,0)</f>
        <v/>
      </c>
      <c r="AQ1532">
        <f>IF(IF('01_Вводные'!$B$296="Новый сезон",FALSE,FALSE),'19_Расчет_аналитики'!AQ1420*CapacityAge01*'19_Расчет_аналитики'!$F$1223,0)</f>
        <v/>
      </c>
      <c r="AR1532">
        <f>IF(IF('01_Вводные'!$B$296="Новый сезон",FALSE,FALSE),'19_Расчет_аналитики'!AR1420*CapacityAge01*'19_Расчет_аналитики'!$F$1223,0)</f>
        <v/>
      </c>
      <c r="AS1532">
        <f>IF(IF('01_Вводные'!$B$296="Новый сезон",FALSE,FALSE),'19_Расчет_аналитики'!AS1420*CapacityAge01*'19_Расчет_аналитики'!$F$1223,0)</f>
        <v/>
      </c>
      <c r="AT1532">
        <f>IF(IF('01_Вводные'!$B$296="Новый сезон",FALSE,FALSE),'19_Расчет_аналитики'!AT1420*CapacityAge01*'19_Расчет_аналитики'!$F$1223,0)</f>
        <v/>
      </c>
      <c r="AU1532">
        <f>IF(IF('01_Вводные'!$B$296="Новый сезон",FALSE,FALSE),'19_Расчет_аналитики'!AU1420*CapacityAge01*'19_Расчет_аналитики'!$F$1223,0)</f>
        <v/>
      </c>
      <c r="AV1532">
        <f>IF(IF('01_Вводные'!$B$296="Новый сезон",FALSE,FALSE),'19_Расчет_аналитики'!AV1420*CapacityAge01*'19_Расчет_аналитики'!$F$1223,0)</f>
        <v/>
      </c>
      <c r="AW1532">
        <f>IF(IF('01_Вводные'!$B$296="Новый сезон",FALSE,FALSE),'19_Расчет_аналитики'!AW1420*CapacityAge01*'19_Расчет_аналитики'!$F$1223,0)</f>
        <v/>
      </c>
      <c r="AX1532">
        <f>IF(IF('01_Вводные'!$B$296="Новый сезон",FALSE,FALSE),'19_Расчет_аналитики'!AX1420*CapacityAge01*'19_Расчет_аналитики'!$F$1223,0)</f>
        <v/>
      </c>
      <c r="AY1532">
        <f>IF(IF('01_Вводные'!$B$296="Новый сезон",FALSE,FALSE),'19_Расчет_аналитики'!AY1420*CapacityAge01*'19_Расчет_аналитики'!$F$1223,0)</f>
        <v/>
      </c>
      <c r="AZ1532">
        <f>IF(IF('01_Вводные'!$B$296="Новый сезон",FALSE,FALSE),'19_Расчет_аналитики'!AZ1420*CapacityAge01*'19_Расчет_аналитики'!$F$1223,0)</f>
        <v/>
      </c>
      <c r="BA1532">
        <f>IF(IF('01_Вводные'!$B$296="Новый сезон",FALSE,FALSE),'19_Расчет_аналитики'!BA1420*CapacityAge01*'19_Расчет_аналитики'!$F$1223,0)</f>
        <v/>
      </c>
      <c r="BB1532">
        <f>IF(IF('01_Вводные'!$B$296="Новый сезон",FALSE,FALSE),'19_Расчет_аналитики'!BB1420*CapacityAge01*'19_Расчет_аналитики'!$F$1223,0)</f>
        <v/>
      </c>
      <c r="BC1532">
        <f>IF(IF('01_Вводные'!$B$296="Новый сезон",FALSE,FALSE),'19_Расчет_аналитики'!BC1420*CapacityAge01*'19_Расчет_аналитики'!$F$1223,0)</f>
        <v/>
      </c>
      <c r="BD1532">
        <f>IF(IF('01_Вводные'!$B$296="Новый сезон",FALSE,FALSE),'19_Расчет_аналитики'!BD1420*CapacityAge01*'19_Расчет_аналитики'!$F$1223,0)</f>
        <v/>
      </c>
      <c r="BE1532">
        <f>IF(IF('01_Вводные'!$B$296="Новый сезон",FALSE,FALSE),'19_Расчет_аналитики'!BE1420*CapacityAge01*'19_Расчет_аналитики'!$F$1223,0)</f>
        <v/>
      </c>
      <c r="BF1532">
        <f>IF(IF('01_Вводные'!$B$296="Новый сезон",FALSE,FALSE),'19_Расчет_аналитики'!BF1420*CapacityAge01*'19_Расчет_аналитики'!$F$1223,0)</f>
        <v/>
      </c>
      <c r="BG1532">
        <f>IF(IF('01_Вводные'!$B$296="Новый сезон",FALSE,FALSE),'19_Расчет_аналитики'!BG1420*CapacityAge01*'19_Расчет_аналитики'!$F$1223,0)</f>
        <v/>
      </c>
      <c r="BH1532">
        <f>IF(IF('01_Вводные'!$B$296="Новый сезон",FALSE,FALSE),'19_Расчет_аналитики'!BH1420*CapacityAge01*'19_Расчет_аналитики'!$F$1223,0)</f>
        <v/>
      </c>
      <c r="BI1532">
        <f>IF(IF('01_Вводные'!$B$296="Новый сезон",FALSE,FALSE),'19_Расчет_аналитики'!BI1420*CapacityAge01*'19_Расчет_аналитики'!$F$1223,0)</f>
        <v/>
      </c>
      <c r="BJ1532">
        <f>IF(IF('01_Вводные'!$B$296="Новый сезон",FALSE,FALSE),'19_Расчет_аналитики'!BJ1420*CapacityAge01*'19_Расчет_аналитики'!$F$1223,0)</f>
        <v/>
      </c>
      <c r="BK1532">
        <f>IF(IF('01_Вводные'!$B$296="Новый сезон",FALSE,FALSE),'19_Расчет_аналитики'!BK1420*CapacityAge01*'19_Расчет_аналитики'!$F$1223,0)</f>
        <v/>
      </c>
      <c r="BL1532">
        <f>IF(IF('01_Вводные'!$B$296="Новый сезон",FALSE,FALSE),'19_Расчет_аналитики'!BL1420*CapacityAge01*'19_Расчет_аналитики'!$F$1223,0)</f>
        <v/>
      </c>
      <c r="BM1532">
        <f>IF(IF('01_Вводные'!$B$296="Новый сезон",FALSE,FALSE),'19_Расчет_аналитики'!BM1420*CapacityAge01*'19_Расчет_аналитики'!$F$1223,0)</f>
        <v/>
      </c>
      <c r="BN1532">
        <f>IF(IF('01_Вводные'!$B$296="Новый сезон",FALSE,FALSE),'19_Расчет_аналитики'!BN1420*CapacityAge01*'19_Расчет_аналитики'!$F$1223,0)</f>
        <v/>
      </c>
      <c r="BO1532">
        <f>IF(IF('01_Вводные'!$B$296="Новый сезон",FALSE,FALSE),'19_Расчет_аналитики'!BO1420*CapacityAge01*'19_Расчет_аналитики'!$F$1223,0)</f>
        <v/>
      </c>
    </row>
    <row r="1533">
      <c r="B1533">
        <f>IF(IF('01_Вводные'!$B$296="Новый сезон",FALSE,FALSE),'06_Сеть_и_дети'!B54*CapacityAge02*'19_Расчет_аналитики'!$F$1223,0)</f>
        <v/>
      </c>
      <c r="C1533">
        <f>IF(IF('01_Вводные'!$B$296="Новый сезон",FALSE,FALSE),'19_Расчет_аналитики'!C1421*CapacityAge02*'19_Расчет_аналитики'!$F$1223,0)</f>
        <v/>
      </c>
      <c r="D1533">
        <f>IF(IF('01_Вводные'!$B$296="Новый сезон",FALSE,FALSE),'19_Расчет_аналитики'!D1421*CapacityAge02*'19_Расчет_аналитики'!$F$1223,0)</f>
        <v/>
      </c>
      <c r="E1533">
        <f>IF(IF('01_Вводные'!$B$296="Новый сезон",FALSE,FALSE),'19_Расчет_аналитики'!E1421*CapacityAge02*'19_Расчет_аналитики'!$F$1223,0)</f>
        <v/>
      </c>
      <c r="F1533">
        <f>IF(IF('01_Вводные'!$B$296="Новый сезон",FALSE,FALSE),'19_Расчет_аналитики'!F1421*CapacityAge02*'19_Расчет_аналитики'!$F$1223,0)</f>
        <v/>
      </c>
      <c r="G1533">
        <f>IF(IF('01_Вводные'!$B$296="Новый сезон",FALSE,FALSE),'19_Расчет_аналитики'!G1421*CapacityAge02*'19_Расчет_аналитики'!$F$1223,0)</f>
        <v/>
      </c>
      <c r="H1533">
        <f>IF(IF('01_Вводные'!$B$296="Новый сезон",FALSE,FALSE),'19_Расчет_аналитики'!H1421*CapacityAge02*'19_Расчет_аналитики'!$F$1223,0)</f>
        <v/>
      </c>
      <c r="I1533">
        <f>IF(IF('01_Вводные'!$B$296="Новый сезон",FALSE,FALSE),'19_Расчет_аналитики'!I1421*CapacityAge02*'19_Расчет_аналитики'!$F$1223,0)</f>
        <v/>
      </c>
      <c r="J1533">
        <f>IF(IF('01_Вводные'!$B$296="Новый сезон",FALSE,FALSE),'19_Расчет_аналитики'!J1421*CapacityAge02*'19_Расчет_аналитики'!$F$1223,0)</f>
        <v/>
      </c>
      <c r="K1533">
        <f>IF(IF('01_Вводные'!$B$296="Новый сезон",FALSE,FALSE),'19_Расчет_аналитики'!K1421*CapacityAge02*'19_Расчет_аналитики'!$F$1223,0)</f>
        <v/>
      </c>
      <c r="L1533">
        <f>IF(IF('01_Вводные'!$B$296="Новый сезон",FALSE,FALSE),'19_Расчет_аналитики'!L1421*CapacityAge02*'19_Расчет_аналитики'!$F$1223,0)</f>
        <v/>
      </c>
      <c r="M1533">
        <f>IF(IF('01_Вводные'!$B$296="Новый сезон",FALSE,FALSE),'19_Расчет_аналитики'!M1421*CapacityAge02*'19_Расчет_аналитики'!$F$1223,0)</f>
        <v/>
      </c>
      <c r="N1533">
        <f>IF(IF('01_Вводные'!$B$296="Новый сезон",FALSE,FALSE),'19_Расчет_аналитики'!N1421*CapacityAge02*'19_Расчет_аналитики'!$F$1223,0)</f>
        <v/>
      </c>
      <c r="O1533">
        <f>IF(IF('01_Вводные'!$B$296="Новый сезон",FALSE,FALSE),'19_Расчет_аналитики'!O1421*CapacityAge02*'19_Расчет_аналитики'!$F$1223,0)</f>
        <v/>
      </c>
      <c r="P1533">
        <f>IF(IF('01_Вводные'!$B$296="Новый сезон",FALSE,FALSE),'19_Расчет_аналитики'!P1421*CapacityAge02*'19_Расчет_аналитики'!$F$1223,0)</f>
        <v/>
      </c>
      <c r="Q1533">
        <f>IF(IF('01_Вводные'!$B$296="Новый сезон",FALSE,FALSE),'19_Расчет_аналитики'!Q1421*CapacityAge02*'19_Расчет_аналитики'!$F$1223,0)</f>
        <v/>
      </c>
      <c r="R1533">
        <f>IF(IF('01_Вводные'!$B$296="Новый сезон",FALSE,FALSE),'19_Расчет_аналитики'!R1421*CapacityAge02*'19_Расчет_аналитики'!$F$1223,0)</f>
        <v/>
      </c>
      <c r="S1533">
        <f>IF(IF('01_Вводные'!$B$296="Новый сезон",FALSE,FALSE),'19_Расчет_аналитики'!S1421*CapacityAge02*'19_Расчет_аналитики'!$F$1223,0)</f>
        <v/>
      </c>
      <c r="T1533">
        <f>IF(IF('01_Вводные'!$B$296="Новый сезон",FALSE,FALSE),'19_Расчет_аналитики'!T1421*CapacityAge02*'19_Расчет_аналитики'!$F$1223,0)</f>
        <v/>
      </c>
      <c r="U1533">
        <f>IF(IF('01_Вводные'!$B$296="Новый сезон",FALSE,FALSE),'19_Расчет_аналитики'!U1421*CapacityAge02*'19_Расчет_аналитики'!$F$1223,0)</f>
        <v/>
      </c>
      <c r="V1533">
        <f>IF(IF('01_Вводные'!$B$296="Новый сезон",FALSE,FALSE),'19_Расчет_аналитики'!V1421*CapacityAge02*'19_Расчет_аналитики'!$F$1223,0)</f>
        <v/>
      </c>
      <c r="W1533">
        <f>IF(IF('01_Вводные'!$B$296="Новый сезон",FALSE,FALSE),'19_Расчет_аналитики'!W1421*CapacityAge02*'19_Расчет_аналитики'!$F$1223,0)</f>
        <v/>
      </c>
      <c r="X1533">
        <f>IF(IF('01_Вводные'!$B$296="Новый сезон",FALSE,FALSE),'19_Расчет_аналитики'!X1421*CapacityAge02*'19_Расчет_аналитики'!$F$1223,0)</f>
        <v/>
      </c>
      <c r="Y1533">
        <f>IF(IF('01_Вводные'!$B$296="Новый сезон",FALSE,FALSE),'19_Расчет_аналитики'!Y1421*CapacityAge02*'19_Расчет_аналитики'!$F$1223,0)</f>
        <v/>
      </c>
      <c r="Z1533">
        <f>IF(IF('01_Вводные'!$B$296="Новый сезон",FALSE,FALSE),'19_Расчет_аналитики'!Z1421*CapacityAge02*'19_Расчет_аналитики'!$F$1223,0)</f>
        <v/>
      </c>
      <c r="AA1533">
        <f>IF(IF('01_Вводные'!$B$296="Новый сезон",FALSE,FALSE),'19_Расчет_аналитики'!AA1421*CapacityAge02*'19_Расчет_аналитики'!$F$1223,0)</f>
        <v/>
      </c>
      <c r="AB1533">
        <f>IF(IF('01_Вводные'!$B$296="Новый сезон",FALSE,FALSE),'19_Расчет_аналитики'!AB1421*CapacityAge02*'19_Расчет_аналитики'!$F$1223,0)</f>
        <v/>
      </c>
      <c r="AC1533">
        <f>IF(IF('01_Вводные'!$B$296="Новый сезон",FALSE,FALSE),'19_Расчет_аналитики'!AC1421*CapacityAge02*'19_Расчет_аналитики'!$F$1223,0)</f>
        <v/>
      </c>
      <c r="AD1533">
        <f>IF(IF('01_Вводные'!$B$296="Новый сезон",FALSE,FALSE),'19_Расчет_аналитики'!AD1421*CapacityAge02*'19_Расчет_аналитики'!$F$1223,0)</f>
        <v/>
      </c>
      <c r="AE1533">
        <f>IF(IF('01_Вводные'!$B$296="Новый сезон",FALSE,FALSE),'19_Расчет_аналитики'!AE1421*CapacityAge02*'19_Расчет_аналитики'!$F$1223,0)</f>
        <v/>
      </c>
      <c r="AF1533">
        <f>IF(IF('01_Вводные'!$B$296="Новый сезон",FALSE,FALSE),'19_Расчет_аналитики'!AF1421*CapacityAge02*'19_Расчет_аналитики'!$F$1223,0)</f>
        <v/>
      </c>
      <c r="AG1533">
        <f>IF(IF('01_Вводные'!$B$296="Новый сезон",FALSE,FALSE),'19_Расчет_аналитики'!AG1421*CapacityAge02*'19_Расчет_аналитики'!$F$1223,0)</f>
        <v/>
      </c>
      <c r="AH1533">
        <f>IF(IF('01_Вводные'!$B$296="Новый сезон",FALSE,FALSE),'19_Расчет_аналитики'!AH1421*CapacityAge02*'19_Расчет_аналитики'!$F$1223,0)</f>
        <v/>
      </c>
      <c r="AI1533">
        <f>IF(IF('01_Вводные'!$B$296="Новый сезон",FALSE,FALSE),'19_Расчет_аналитики'!AI1421*CapacityAge02*'19_Расчет_аналитики'!$F$1223,0)</f>
        <v/>
      </c>
      <c r="AJ1533">
        <f>IF(IF('01_Вводные'!$B$296="Новый сезон",FALSE,FALSE),'19_Расчет_аналитики'!AJ1421*CapacityAge02*'19_Расчет_аналитики'!$F$1223,0)</f>
        <v/>
      </c>
      <c r="AK1533">
        <f>IF(IF('01_Вводные'!$B$296="Новый сезон",FALSE,FALSE),'19_Расчет_аналитики'!AK1421*CapacityAge02*'19_Расчет_аналитики'!$F$1223,0)</f>
        <v/>
      </c>
      <c r="AL1533">
        <f>IF(IF('01_Вводные'!$B$296="Новый сезон",FALSE,FALSE),'19_Расчет_аналитики'!AL1421*CapacityAge02*'19_Расчет_аналитики'!$F$1223,0)</f>
        <v/>
      </c>
      <c r="AM1533">
        <f>IF(IF('01_Вводные'!$B$296="Новый сезон",FALSE,FALSE),'19_Расчет_аналитики'!AM1421*CapacityAge02*'19_Расчет_аналитики'!$F$1223,0)</f>
        <v/>
      </c>
      <c r="AN1533">
        <f>IF(IF('01_Вводные'!$B$296="Новый сезон",FALSE,FALSE),'19_Расчет_аналитики'!AN1421*CapacityAge02*'19_Расчет_аналитики'!$F$1223,0)</f>
        <v/>
      </c>
      <c r="AO1533">
        <f>IF(IF('01_Вводные'!$B$296="Новый сезон",FALSE,FALSE),'19_Расчет_аналитики'!AO1421*CapacityAge02*'19_Расчет_аналитики'!$F$1223,0)</f>
        <v/>
      </c>
      <c r="AP1533">
        <f>IF(IF('01_Вводные'!$B$296="Новый сезон",FALSE,FALSE),'19_Расчет_аналитики'!AP1421*CapacityAge02*'19_Расчет_аналитики'!$F$1223,0)</f>
        <v/>
      </c>
      <c r="AQ1533">
        <f>IF(IF('01_Вводные'!$B$296="Новый сезон",FALSE,FALSE),'19_Расчет_аналитики'!AQ1421*CapacityAge02*'19_Расчет_аналитики'!$F$1223,0)</f>
        <v/>
      </c>
      <c r="AR1533">
        <f>IF(IF('01_Вводные'!$B$296="Новый сезон",FALSE,FALSE),'19_Расчет_аналитики'!AR1421*CapacityAge02*'19_Расчет_аналитики'!$F$1223,0)</f>
        <v/>
      </c>
      <c r="AS1533">
        <f>IF(IF('01_Вводные'!$B$296="Новый сезон",FALSE,FALSE),'19_Расчет_аналитики'!AS1421*CapacityAge02*'19_Расчет_аналитики'!$F$1223,0)</f>
        <v/>
      </c>
      <c r="AT1533">
        <f>IF(IF('01_Вводные'!$B$296="Новый сезон",FALSE,FALSE),'19_Расчет_аналитики'!AT1421*CapacityAge02*'19_Расчет_аналитики'!$F$1223,0)</f>
        <v/>
      </c>
      <c r="AU1533">
        <f>IF(IF('01_Вводные'!$B$296="Новый сезон",FALSE,FALSE),'19_Расчет_аналитики'!AU1421*CapacityAge02*'19_Расчет_аналитики'!$F$1223,0)</f>
        <v/>
      </c>
      <c r="AV1533">
        <f>IF(IF('01_Вводные'!$B$296="Новый сезон",FALSE,FALSE),'19_Расчет_аналитики'!AV1421*CapacityAge02*'19_Расчет_аналитики'!$F$1223,0)</f>
        <v/>
      </c>
      <c r="AW1533">
        <f>IF(IF('01_Вводные'!$B$296="Новый сезон",FALSE,FALSE),'19_Расчет_аналитики'!AW1421*CapacityAge02*'19_Расчет_аналитики'!$F$1223,0)</f>
        <v/>
      </c>
      <c r="AX1533">
        <f>IF(IF('01_Вводные'!$B$296="Новый сезон",FALSE,FALSE),'19_Расчет_аналитики'!AX1421*CapacityAge02*'19_Расчет_аналитики'!$F$1223,0)</f>
        <v/>
      </c>
      <c r="AY1533">
        <f>IF(IF('01_Вводные'!$B$296="Новый сезон",FALSE,FALSE),'19_Расчет_аналитики'!AY1421*CapacityAge02*'19_Расчет_аналитики'!$F$1223,0)</f>
        <v/>
      </c>
      <c r="AZ1533">
        <f>IF(IF('01_Вводные'!$B$296="Новый сезон",FALSE,FALSE),'19_Расчет_аналитики'!AZ1421*CapacityAge02*'19_Расчет_аналитики'!$F$1223,0)</f>
        <v/>
      </c>
      <c r="BA1533">
        <f>IF(IF('01_Вводные'!$B$296="Новый сезон",FALSE,FALSE),'19_Расчет_аналитики'!BA1421*CapacityAge02*'19_Расчет_аналитики'!$F$1223,0)</f>
        <v/>
      </c>
      <c r="BB1533">
        <f>IF(IF('01_Вводные'!$B$296="Новый сезон",FALSE,FALSE),'19_Расчет_аналитики'!BB1421*CapacityAge02*'19_Расчет_аналитики'!$F$1223,0)</f>
        <v/>
      </c>
      <c r="BC1533">
        <f>IF(IF('01_Вводные'!$B$296="Новый сезон",FALSE,FALSE),'19_Расчет_аналитики'!BC1421*CapacityAge02*'19_Расчет_аналитики'!$F$1223,0)</f>
        <v/>
      </c>
      <c r="BD1533">
        <f>IF(IF('01_Вводные'!$B$296="Новый сезон",FALSE,FALSE),'19_Расчет_аналитики'!BD1421*CapacityAge02*'19_Расчет_аналитики'!$F$1223,0)</f>
        <v/>
      </c>
      <c r="BE1533">
        <f>IF(IF('01_Вводные'!$B$296="Новый сезон",FALSE,FALSE),'19_Расчет_аналитики'!BE1421*CapacityAge02*'19_Расчет_аналитики'!$F$1223,0)</f>
        <v/>
      </c>
      <c r="BF1533">
        <f>IF(IF('01_Вводные'!$B$296="Новый сезон",FALSE,FALSE),'19_Расчет_аналитики'!BF1421*CapacityAge02*'19_Расчет_аналитики'!$F$1223,0)</f>
        <v/>
      </c>
      <c r="BG1533">
        <f>IF(IF('01_Вводные'!$B$296="Новый сезон",FALSE,FALSE),'19_Расчет_аналитики'!BG1421*CapacityAge02*'19_Расчет_аналитики'!$F$1223,0)</f>
        <v/>
      </c>
      <c r="BH1533">
        <f>IF(IF('01_Вводные'!$B$296="Новый сезон",FALSE,FALSE),'19_Расчет_аналитики'!BH1421*CapacityAge02*'19_Расчет_аналитики'!$F$1223,0)</f>
        <v/>
      </c>
      <c r="BI1533">
        <f>IF(IF('01_Вводные'!$B$296="Новый сезон",FALSE,FALSE),'19_Расчет_аналитики'!BI1421*CapacityAge02*'19_Расчет_аналитики'!$F$1223,0)</f>
        <v/>
      </c>
      <c r="BJ1533">
        <f>IF(IF('01_Вводные'!$B$296="Новый сезон",FALSE,FALSE),'19_Расчет_аналитики'!BJ1421*CapacityAge02*'19_Расчет_аналитики'!$F$1223,0)</f>
        <v/>
      </c>
      <c r="BK1533">
        <f>IF(IF('01_Вводные'!$B$296="Новый сезон",FALSE,FALSE),'19_Расчет_аналитики'!BK1421*CapacityAge02*'19_Расчет_аналитики'!$F$1223,0)</f>
        <v/>
      </c>
      <c r="BL1533">
        <f>IF(IF('01_Вводные'!$B$296="Новый сезон",FALSE,FALSE),'19_Расчет_аналитики'!BL1421*CapacityAge02*'19_Расчет_аналитики'!$F$1223,0)</f>
        <v/>
      </c>
      <c r="BM1533">
        <f>IF(IF('01_Вводные'!$B$296="Новый сезон",FALSE,FALSE),'19_Расчет_аналитики'!BM1421*CapacityAge02*'19_Расчет_аналитики'!$F$1223,0)</f>
        <v/>
      </c>
      <c r="BN1533">
        <f>IF(IF('01_Вводные'!$B$296="Новый сезон",FALSE,FALSE),'19_Расчет_аналитики'!BN1421*CapacityAge02*'19_Расчет_аналитики'!$F$1223,0)</f>
        <v/>
      </c>
      <c r="BO1533">
        <f>IF(IF('01_Вводные'!$B$296="Новый сезон",FALSE,FALSE),'19_Расчет_аналитики'!BO1421*CapacityAge02*'19_Расчет_аналитики'!$F$1223,0)</f>
        <v/>
      </c>
    </row>
    <row r="1534">
      <c r="B1534">
        <f>IF(IF('01_Вводные'!$B$296="Новый сезон",FALSE,FALSE),'06_Сеть_и_дети'!B55*CapacityAge03*'19_Расчет_аналитики'!$F$1223,0)</f>
        <v/>
      </c>
      <c r="C1534">
        <f>IF(IF('01_Вводные'!$B$296="Новый сезон",FALSE,FALSE),'06_Сеть_и_дети'!C55*CapacityAge03*'19_Расчет_аналитики'!$F$1223,0)</f>
        <v/>
      </c>
      <c r="D1534">
        <f>IF(IF('01_Вводные'!$B$296="Новый сезон",FALSE,FALSE),'19_Расчет_аналитики'!D1422*CapacityAge03*'19_Расчет_аналитики'!$F$1223,0)</f>
        <v/>
      </c>
      <c r="E1534">
        <f>IF(IF('01_Вводные'!$B$296="Новый сезон",FALSE,FALSE),'19_Расчет_аналитики'!E1422*CapacityAge03*'19_Расчет_аналитики'!$F$1223,0)</f>
        <v/>
      </c>
      <c r="F1534">
        <f>IF(IF('01_Вводные'!$B$296="Новый сезон",FALSE,FALSE),'19_Расчет_аналитики'!F1422*CapacityAge03*'19_Расчет_аналитики'!$F$1223,0)</f>
        <v/>
      </c>
      <c r="G1534">
        <f>IF(IF('01_Вводные'!$B$296="Новый сезон",FALSE,FALSE),'19_Расчет_аналитики'!G1422*CapacityAge03*'19_Расчет_аналитики'!$F$1223,0)</f>
        <v/>
      </c>
      <c r="H1534">
        <f>IF(IF('01_Вводные'!$B$296="Новый сезон",FALSE,FALSE),'19_Расчет_аналитики'!H1422*CapacityAge03*'19_Расчет_аналитики'!$F$1223,0)</f>
        <v/>
      </c>
      <c r="I1534">
        <f>IF(IF('01_Вводные'!$B$296="Новый сезон",FALSE,FALSE),'19_Расчет_аналитики'!I1422*CapacityAge03*'19_Расчет_аналитики'!$F$1223,0)</f>
        <v/>
      </c>
      <c r="J1534">
        <f>IF(IF('01_Вводные'!$B$296="Новый сезон",FALSE,FALSE),'19_Расчет_аналитики'!J1422*CapacityAge03*'19_Расчет_аналитики'!$F$1223,0)</f>
        <v/>
      </c>
      <c r="K1534">
        <f>IF(IF('01_Вводные'!$B$296="Новый сезон",FALSE,FALSE),'19_Расчет_аналитики'!K1422*CapacityAge03*'19_Расчет_аналитики'!$F$1223,0)</f>
        <v/>
      </c>
      <c r="L1534">
        <f>IF(IF('01_Вводные'!$B$296="Новый сезон",FALSE,FALSE),'19_Расчет_аналитики'!L1422*CapacityAge03*'19_Расчет_аналитики'!$F$1223,0)</f>
        <v/>
      </c>
      <c r="M1534">
        <f>IF(IF('01_Вводные'!$B$296="Новый сезон",FALSE,FALSE),'19_Расчет_аналитики'!M1422*CapacityAge03*'19_Расчет_аналитики'!$F$1223,0)</f>
        <v/>
      </c>
      <c r="N1534">
        <f>IF(IF('01_Вводные'!$B$296="Новый сезон",FALSE,FALSE),'19_Расчет_аналитики'!N1422*CapacityAge03*'19_Расчет_аналитики'!$F$1223,0)</f>
        <v/>
      </c>
      <c r="O1534">
        <f>IF(IF('01_Вводные'!$B$296="Новый сезон",FALSE,FALSE),'19_Расчет_аналитики'!O1422*CapacityAge03*'19_Расчет_аналитики'!$F$1223,0)</f>
        <v/>
      </c>
      <c r="P1534">
        <f>IF(IF('01_Вводные'!$B$296="Новый сезон",FALSE,FALSE),'19_Расчет_аналитики'!P1422*CapacityAge03*'19_Расчет_аналитики'!$F$1223,0)</f>
        <v/>
      </c>
      <c r="Q1534">
        <f>IF(IF('01_Вводные'!$B$296="Новый сезон",FALSE,FALSE),'19_Расчет_аналитики'!Q1422*CapacityAge03*'19_Расчет_аналитики'!$F$1223,0)</f>
        <v/>
      </c>
      <c r="R1534">
        <f>IF(IF('01_Вводные'!$B$296="Новый сезон",FALSE,FALSE),'19_Расчет_аналитики'!R1422*CapacityAge03*'19_Расчет_аналитики'!$F$1223,0)</f>
        <v/>
      </c>
      <c r="S1534">
        <f>IF(IF('01_Вводные'!$B$296="Новый сезон",FALSE,FALSE),'19_Расчет_аналитики'!S1422*CapacityAge03*'19_Расчет_аналитики'!$F$1223,0)</f>
        <v/>
      </c>
      <c r="T1534">
        <f>IF(IF('01_Вводные'!$B$296="Новый сезон",FALSE,FALSE),'19_Расчет_аналитики'!T1422*CapacityAge03*'19_Расчет_аналитики'!$F$1223,0)</f>
        <v/>
      </c>
      <c r="U1534">
        <f>IF(IF('01_Вводные'!$B$296="Новый сезон",FALSE,FALSE),'19_Расчет_аналитики'!U1422*CapacityAge03*'19_Расчет_аналитики'!$F$1223,0)</f>
        <v/>
      </c>
      <c r="V1534">
        <f>IF(IF('01_Вводные'!$B$296="Новый сезон",FALSE,FALSE),'19_Расчет_аналитики'!V1422*CapacityAge03*'19_Расчет_аналитики'!$F$1223,0)</f>
        <v/>
      </c>
      <c r="W1534">
        <f>IF(IF('01_Вводные'!$B$296="Новый сезон",FALSE,FALSE),'19_Расчет_аналитики'!W1422*CapacityAge03*'19_Расчет_аналитики'!$F$1223,0)</f>
        <v/>
      </c>
      <c r="X1534">
        <f>IF(IF('01_Вводные'!$B$296="Новый сезон",FALSE,FALSE),'19_Расчет_аналитики'!X1422*CapacityAge03*'19_Расчет_аналитики'!$F$1223,0)</f>
        <v/>
      </c>
      <c r="Y1534">
        <f>IF(IF('01_Вводные'!$B$296="Новый сезон",FALSE,FALSE),'19_Расчет_аналитики'!Y1422*CapacityAge03*'19_Расчет_аналитики'!$F$1223,0)</f>
        <v/>
      </c>
      <c r="Z1534">
        <f>IF(IF('01_Вводные'!$B$296="Новый сезон",FALSE,FALSE),'19_Расчет_аналитики'!Z1422*CapacityAge03*'19_Расчет_аналитики'!$F$1223,0)</f>
        <v/>
      </c>
      <c r="AA1534">
        <f>IF(IF('01_Вводные'!$B$296="Новый сезон",FALSE,FALSE),'19_Расчет_аналитики'!AA1422*CapacityAge03*'19_Расчет_аналитики'!$F$1223,0)</f>
        <v/>
      </c>
      <c r="AB1534">
        <f>IF(IF('01_Вводные'!$B$296="Новый сезон",FALSE,FALSE),'19_Расчет_аналитики'!AB1422*CapacityAge03*'19_Расчет_аналитики'!$F$1223,0)</f>
        <v/>
      </c>
      <c r="AC1534">
        <f>IF(IF('01_Вводные'!$B$296="Новый сезон",FALSE,FALSE),'19_Расчет_аналитики'!AC1422*CapacityAge03*'19_Расчет_аналитики'!$F$1223,0)</f>
        <v/>
      </c>
      <c r="AD1534">
        <f>IF(IF('01_Вводные'!$B$296="Новый сезон",FALSE,FALSE),'19_Расчет_аналитики'!AD1422*CapacityAge03*'19_Расчет_аналитики'!$F$1223,0)</f>
        <v/>
      </c>
      <c r="AE1534">
        <f>IF(IF('01_Вводные'!$B$296="Новый сезон",FALSE,FALSE),'19_Расчет_аналитики'!AE1422*CapacityAge03*'19_Расчет_аналитики'!$F$1223,0)</f>
        <v/>
      </c>
      <c r="AF1534">
        <f>IF(IF('01_Вводные'!$B$296="Новый сезон",FALSE,FALSE),'19_Расчет_аналитики'!AF1422*CapacityAge03*'19_Расчет_аналитики'!$F$1223,0)</f>
        <v/>
      </c>
      <c r="AG1534">
        <f>IF(IF('01_Вводные'!$B$296="Новый сезон",FALSE,FALSE),'19_Расчет_аналитики'!AG1422*CapacityAge03*'19_Расчет_аналитики'!$F$1223,0)</f>
        <v/>
      </c>
      <c r="AH1534">
        <f>IF(IF('01_Вводные'!$B$296="Новый сезон",FALSE,FALSE),'19_Расчет_аналитики'!AH1422*CapacityAge03*'19_Расчет_аналитики'!$F$1223,0)</f>
        <v/>
      </c>
      <c r="AI1534">
        <f>IF(IF('01_Вводные'!$B$296="Новый сезон",FALSE,FALSE),'19_Расчет_аналитики'!AI1422*CapacityAge03*'19_Расчет_аналитики'!$F$1223,0)</f>
        <v/>
      </c>
      <c r="AJ1534">
        <f>IF(IF('01_Вводные'!$B$296="Новый сезон",FALSE,FALSE),'19_Расчет_аналитики'!AJ1422*CapacityAge03*'19_Расчет_аналитики'!$F$1223,0)</f>
        <v/>
      </c>
      <c r="AK1534">
        <f>IF(IF('01_Вводные'!$B$296="Новый сезон",FALSE,FALSE),'19_Расчет_аналитики'!AK1422*CapacityAge03*'19_Расчет_аналитики'!$F$1223,0)</f>
        <v/>
      </c>
      <c r="AL1534">
        <f>IF(IF('01_Вводные'!$B$296="Новый сезон",FALSE,FALSE),'19_Расчет_аналитики'!AL1422*CapacityAge03*'19_Расчет_аналитики'!$F$1223,0)</f>
        <v/>
      </c>
      <c r="AM1534">
        <f>IF(IF('01_Вводные'!$B$296="Новый сезон",FALSE,FALSE),'19_Расчет_аналитики'!AM1422*CapacityAge03*'19_Расчет_аналитики'!$F$1223,0)</f>
        <v/>
      </c>
      <c r="AN1534">
        <f>IF(IF('01_Вводные'!$B$296="Новый сезон",FALSE,FALSE),'19_Расчет_аналитики'!AN1422*CapacityAge03*'19_Расчет_аналитики'!$F$1223,0)</f>
        <v/>
      </c>
      <c r="AO1534">
        <f>IF(IF('01_Вводные'!$B$296="Новый сезон",FALSE,FALSE),'19_Расчет_аналитики'!AO1422*CapacityAge03*'19_Расчет_аналитики'!$F$1223,0)</f>
        <v/>
      </c>
      <c r="AP1534">
        <f>IF(IF('01_Вводные'!$B$296="Новый сезон",FALSE,FALSE),'19_Расчет_аналитики'!AP1422*CapacityAge03*'19_Расчет_аналитики'!$F$1223,0)</f>
        <v/>
      </c>
      <c r="AQ1534">
        <f>IF(IF('01_Вводные'!$B$296="Новый сезон",FALSE,FALSE),'19_Расчет_аналитики'!AQ1422*CapacityAge03*'19_Расчет_аналитики'!$F$1223,0)</f>
        <v/>
      </c>
      <c r="AR1534">
        <f>IF(IF('01_Вводные'!$B$296="Новый сезон",FALSE,FALSE),'19_Расчет_аналитики'!AR1422*CapacityAge03*'19_Расчет_аналитики'!$F$1223,0)</f>
        <v/>
      </c>
      <c r="AS1534">
        <f>IF(IF('01_Вводные'!$B$296="Новый сезон",FALSE,FALSE),'19_Расчет_аналитики'!AS1422*CapacityAge03*'19_Расчет_аналитики'!$F$1223,0)</f>
        <v/>
      </c>
      <c r="AT1534">
        <f>IF(IF('01_Вводные'!$B$296="Новый сезон",FALSE,FALSE),'19_Расчет_аналитики'!AT1422*CapacityAge03*'19_Расчет_аналитики'!$F$1223,0)</f>
        <v/>
      </c>
      <c r="AU1534">
        <f>IF(IF('01_Вводные'!$B$296="Новый сезон",FALSE,FALSE),'19_Расчет_аналитики'!AU1422*CapacityAge03*'19_Расчет_аналитики'!$F$1223,0)</f>
        <v/>
      </c>
      <c r="AV1534">
        <f>IF(IF('01_Вводные'!$B$296="Новый сезон",FALSE,FALSE),'19_Расчет_аналитики'!AV1422*CapacityAge03*'19_Расчет_аналитики'!$F$1223,0)</f>
        <v/>
      </c>
      <c r="AW1534">
        <f>IF(IF('01_Вводные'!$B$296="Новый сезон",FALSE,FALSE),'19_Расчет_аналитики'!AW1422*CapacityAge03*'19_Расчет_аналитики'!$F$1223,0)</f>
        <v/>
      </c>
      <c r="AX1534">
        <f>IF(IF('01_Вводные'!$B$296="Новый сезон",FALSE,FALSE),'19_Расчет_аналитики'!AX1422*CapacityAge03*'19_Расчет_аналитики'!$F$1223,0)</f>
        <v/>
      </c>
      <c r="AY1534">
        <f>IF(IF('01_Вводные'!$B$296="Новый сезон",FALSE,FALSE),'19_Расчет_аналитики'!AY1422*CapacityAge03*'19_Расчет_аналитики'!$F$1223,0)</f>
        <v/>
      </c>
      <c r="AZ1534">
        <f>IF(IF('01_Вводные'!$B$296="Новый сезон",FALSE,FALSE),'19_Расчет_аналитики'!AZ1422*CapacityAge03*'19_Расчет_аналитики'!$F$1223,0)</f>
        <v/>
      </c>
      <c r="BA1534">
        <f>IF(IF('01_Вводные'!$B$296="Новый сезон",FALSE,FALSE),'19_Расчет_аналитики'!BA1422*CapacityAge03*'19_Расчет_аналитики'!$F$1223,0)</f>
        <v/>
      </c>
      <c r="BB1534">
        <f>IF(IF('01_Вводные'!$B$296="Новый сезон",FALSE,FALSE),'19_Расчет_аналитики'!BB1422*CapacityAge03*'19_Расчет_аналитики'!$F$1223,0)</f>
        <v/>
      </c>
      <c r="BC1534">
        <f>IF(IF('01_Вводные'!$B$296="Новый сезон",FALSE,FALSE),'19_Расчет_аналитики'!BC1422*CapacityAge03*'19_Расчет_аналитики'!$F$1223,0)</f>
        <v/>
      </c>
      <c r="BD1534">
        <f>IF(IF('01_Вводные'!$B$296="Новый сезон",FALSE,FALSE),'19_Расчет_аналитики'!BD1422*CapacityAge03*'19_Расчет_аналитики'!$F$1223,0)</f>
        <v/>
      </c>
      <c r="BE1534">
        <f>IF(IF('01_Вводные'!$B$296="Новый сезон",FALSE,FALSE),'19_Расчет_аналитики'!BE1422*CapacityAge03*'19_Расчет_аналитики'!$F$1223,0)</f>
        <v/>
      </c>
      <c r="BF1534">
        <f>IF(IF('01_Вводные'!$B$296="Новый сезон",FALSE,FALSE),'19_Расчет_аналитики'!BF1422*CapacityAge03*'19_Расчет_аналитики'!$F$1223,0)</f>
        <v/>
      </c>
      <c r="BG1534">
        <f>IF(IF('01_Вводные'!$B$296="Новый сезон",FALSE,FALSE),'19_Расчет_аналитики'!BG1422*CapacityAge03*'19_Расчет_аналитики'!$F$1223,0)</f>
        <v/>
      </c>
      <c r="BH1534">
        <f>IF(IF('01_Вводные'!$B$296="Новый сезон",FALSE,FALSE),'19_Расчет_аналитики'!BH1422*CapacityAge03*'19_Расчет_аналитики'!$F$1223,0)</f>
        <v/>
      </c>
      <c r="BI1534">
        <f>IF(IF('01_Вводные'!$B$296="Новый сезон",FALSE,FALSE),'19_Расчет_аналитики'!BI1422*CapacityAge03*'19_Расчет_аналитики'!$F$1223,0)</f>
        <v/>
      </c>
      <c r="BJ1534">
        <f>IF(IF('01_Вводные'!$B$296="Новый сезон",FALSE,FALSE),'19_Расчет_аналитики'!BJ1422*CapacityAge03*'19_Расчет_аналитики'!$F$1223,0)</f>
        <v/>
      </c>
      <c r="BK1534">
        <f>IF(IF('01_Вводные'!$B$296="Новый сезон",FALSE,FALSE),'19_Расчет_аналитики'!BK1422*CapacityAge03*'19_Расчет_аналитики'!$F$1223,0)</f>
        <v/>
      </c>
      <c r="BL1534">
        <f>IF(IF('01_Вводные'!$B$296="Новый сезон",FALSE,FALSE),'19_Расчет_аналитики'!BL1422*CapacityAge03*'19_Расчет_аналитики'!$F$1223,0)</f>
        <v/>
      </c>
      <c r="BM1534">
        <f>IF(IF('01_Вводные'!$B$296="Новый сезон",FALSE,FALSE),'19_Расчет_аналитики'!BM1422*CapacityAge03*'19_Расчет_аналитики'!$F$1223,0)</f>
        <v/>
      </c>
      <c r="BN1534">
        <f>IF(IF('01_Вводные'!$B$296="Новый сезон",FALSE,FALSE),'19_Расчет_аналитики'!BN1422*CapacityAge03*'19_Расчет_аналитики'!$F$1223,0)</f>
        <v/>
      </c>
      <c r="BO1534">
        <f>IF(IF('01_Вводные'!$B$296="Новый сезон",FALSE,FALSE),'19_Расчет_аналитики'!BO1422*CapacityAge03*'19_Расчет_аналитики'!$F$1223,0)</f>
        <v/>
      </c>
    </row>
    <row r="1535">
      <c r="B1535">
        <f>IF(IF('01_Вводные'!$B$296="Новый сезон",FALSE,FALSE),'06_Сеть_и_дети'!B56*CapacityAge04*'19_Расчет_аналитики'!$F$1223,0)</f>
        <v/>
      </c>
      <c r="C1535">
        <f>IF(IF('01_Вводные'!$B$296="Новый сезон",FALSE,FALSE),'06_Сеть_и_дети'!C56*CapacityAge04*'19_Расчет_аналитики'!$F$1223,0)</f>
        <v/>
      </c>
      <c r="D1535">
        <f>IF(IF('01_Вводные'!$B$296="Новый сезон",FALSE,FALSE),'06_Сеть_и_дети'!D56*CapacityAge04*'19_Расчет_аналитики'!$F$1223,0)</f>
        <v/>
      </c>
      <c r="E1535">
        <f>IF(IF('01_Вводные'!$B$296="Новый сезон",FALSE,FALSE),'19_Расчет_аналитики'!E1423*CapacityAge04*'19_Расчет_аналитики'!$F$1223,0)</f>
        <v/>
      </c>
      <c r="F1535">
        <f>IF(IF('01_Вводные'!$B$296="Новый сезон",FALSE,FALSE),'19_Расчет_аналитики'!F1423*CapacityAge04*'19_Расчет_аналитики'!$F$1223,0)</f>
        <v/>
      </c>
      <c r="G1535">
        <f>IF(IF('01_Вводные'!$B$296="Новый сезон",FALSE,FALSE),'19_Расчет_аналитики'!G1423*CapacityAge04*'19_Расчет_аналитики'!$F$1223,0)</f>
        <v/>
      </c>
      <c r="H1535">
        <f>IF(IF('01_Вводные'!$B$296="Новый сезон",FALSE,FALSE),'19_Расчет_аналитики'!H1423*CapacityAge04*'19_Расчет_аналитики'!$F$1223,0)</f>
        <v/>
      </c>
      <c r="I1535">
        <f>IF(IF('01_Вводные'!$B$296="Новый сезон",FALSE,FALSE),'19_Расчет_аналитики'!I1423*CapacityAge04*'19_Расчет_аналитики'!$F$1223,0)</f>
        <v/>
      </c>
      <c r="J1535">
        <f>IF(IF('01_Вводные'!$B$296="Новый сезон",FALSE,FALSE),'19_Расчет_аналитики'!J1423*CapacityAge04*'19_Расчет_аналитики'!$F$1223,0)</f>
        <v/>
      </c>
      <c r="K1535">
        <f>IF(IF('01_Вводные'!$B$296="Новый сезон",FALSE,FALSE),'19_Расчет_аналитики'!K1423*CapacityAge04*'19_Расчет_аналитики'!$F$1223,0)</f>
        <v/>
      </c>
      <c r="L1535">
        <f>IF(IF('01_Вводные'!$B$296="Новый сезон",FALSE,FALSE),'19_Расчет_аналитики'!L1423*CapacityAge04*'19_Расчет_аналитики'!$F$1223,0)</f>
        <v/>
      </c>
      <c r="M1535">
        <f>IF(IF('01_Вводные'!$B$296="Новый сезон",FALSE,FALSE),'19_Расчет_аналитики'!M1423*CapacityAge04*'19_Расчет_аналитики'!$F$1223,0)</f>
        <v/>
      </c>
      <c r="N1535">
        <f>IF(IF('01_Вводные'!$B$296="Новый сезон",FALSE,FALSE),'19_Расчет_аналитики'!N1423*CapacityAge04*'19_Расчет_аналитики'!$F$1223,0)</f>
        <v/>
      </c>
      <c r="O1535">
        <f>IF(IF('01_Вводные'!$B$296="Новый сезон",FALSE,FALSE),'19_Расчет_аналитики'!O1423*CapacityAge04*'19_Расчет_аналитики'!$F$1223,0)</f>
        <v/>
      </c>
      <c r="P1535">
        <f>IF(IF('01_Вводные'!$B$296="Новый сезон",FALSE,FALSE),'19_Расчет_аналитики'!P1423*CapacityAge04*'19_Расчет_аналитики'!$F$1223,0)</f>
        <v/>
      </c>
      <c r="Q1535">
        <f>IF(IF('01_Вводные'!$B$296="Новый сезон",FALSE,FALSE),'19_Расчет_аналитики'!Q1423*CapacityAge04*'19_Расчет_аналитики'!$F$1223,0)</f>
        <v/>
      </c>
      <c r="R1535">
        <f>IF(IF('01_Вводные'!$B$296="Новый сезон",FALSE,FALSE),'19_Расчет_аналитики'!R1423*CapacityAge04*'19_Расчет_аналитики'!$F$1223,0)</f>
        <v/>
      </c>
      <c r="S1535">
        <f>IF(IF('01_Вводные'!$B$296="Новый сезон",FALSE,FALSE),'19_Расчет_аналитики'!S1423*CapacityAge04*'19_Расчет_аналитики'!$F$1223,0)</f>
        <v/>
      </c>
      <c r="T1535">
        <f>IF(IF('01_Вводные'!$B$296="Новый сезон",FALSE,FALSE),'19_Расчет_аналитики'!T1423*CapacityAge04*'19_Расчет_аналитики'!$F$1223,0)</f>
        <v/>
      </c>
      <c r="U1535">
        <f>IF(IF('01_Вводные'!$B$296="Новый сезон",FALSE,FALSE),'19_Расчет_аналитики'!U1423*CapacityAge04*'19_Расчет_аналитики'!$F$1223,0)</f>
        <v/>
      </c>
      <c r="V1535">
        <f>IF(IF('01_Вводные'!$B$296="Новый сезон",FALSE,FALSE),'19_Расчет_аналитики'!V1423*CapacityAge04*'19_Расчет_аналитики'!$F$1223,0)</f>
        <v/>
      </c>
      <c r="W1535">
        <f>IF(IF('01_Вводные'!$B$296="Новый сезон",FALSE,FALSE),'19_Расчет_аналитики'!W1423*CapacityAge04*'19_Расчет_аналитики'!$F$1223,0)</f>
        <v/>
      </c>
      <c r="X1535">
        <f>IF(IF('01_Вводные'!$B$296="Новый сезон",FALSE,FALSE),'19_Расчет_аналитики'!X1423*CapacityAge04*'19_Расчет_аналитики'!$F$1223,0)</f>
        <v/>
      </c>
      <c r="Y1535">
        <f>IF(IF('01_Вводные'!$B$296="Новый сезон",FALSE,FALSE),'19_Расчет_аналитики'!Y1423*CapacityAge04*'19_Расчет_аналитики'!$F$1223,0)</f>
        <v/>
      </c>
      <c r="Z1535">
        <f>IF(IF('01_Вводные'!$B$296="Новый сезон",FALSE,FALSE),'19_Расчет_аналитики'!Z1423*CapacityAge04*'19_Расчет_аналитики'!$F$1223,0)</f>
        <v/>
      </c>
      <c r="AA1535">
        <f>IF(IF('01_Вводные'!$B$296="Новый сезон",FALSE,FALSE),'19_Расчет_аналитики'!AA1423*CapacityAge04*'19_Расчет_аналитики'!$F$1223,0)</f>
        <v/>
      </c>
      <c r="AB1535">
        <f>IF(IF('01_Вводные'!$B$296="Новый сезон",FALSE,FALSE),'19_Расчет_аналитики'!AB1423*CapacityAge04*'19_Расчет_аналитики'!$F$1223,0)</f>
        <v/>
      </c>
      <c r="AC1535">
        <f>IF(IF('01_Вводные'!$B$296="Новый сезон",FALSE,FALSE),'19_Расчет_аналитики'!AC1423*CapacityAge04*'19_Расчет_аналитики'!$F$1223,0)</f>
        <v/>
      </c>
      <c r="AD1535">
        <f>IF(IF('01_Вводные'!$B$296="Новый сезон",FALSE,FALSE),'19_Расчет_аналитики'!AD1423*CapacityAge04*'19_Расчет_аналитики'!$F$1223,0)</f>
        <v/>
      </c>
      <c r="AE1535">
        <f>IF(IF('01_Вводные'!$B$296="Новый сезон",FALSE,FALSE),'19_Расчет_аналитики'!AE1423*CapacityAge04*'19_Расчет_аналитики'!$F$1223,0)</f>
        <v/>
      </c>
      <c r="AF1535">
        <f>IF(IF('01_Вводные'!$B$296="Новый сезон",FALSE,FALSE),'19_Расчет_аналитики'!AF1423*CapacityAge04*'19_Расчет_аналитики'!$F$1223,0)</f>
        <v/>
      </c>
      <c r="AG1535">
        <f>IF(IF('01_Вводные'!$B$296="Новый сезон",FALSE,FALSE),'19_Расчет_аналитики'!AG1423*CapacityAge04*'19_Расчет_аналитики'!$F$1223,0)</f>
        <v/>
      </c>
      <c r="AH1535">
        <f>IF(IF('01_Вводные'!$B$296="Новый сезон",FALSE,FALSE),'19_Расчет_аналитики'!AH1423*CapacityAge04*'19_Расчет_аналитики'!$F$1223,0)</f>
        <v/>
      </c>
      <c r="AI1535">
        <f>IF(IF('01_Вводные'!$B$296="Новый сезон",FALSE,FALSE),'19_Расчет_аналитики'!AI1423*CapacityAge04*'19_Расчет_аналитики'!$F$1223,0)</f>
        <v/>
      </c>
      <c r="AJ1535">
        <f>IF(IF('01_Вводные'!$B$296="Новый сезон",FALSE,FALSE),'19_Расчет_аналитики'!AJ1423*CapacityAge04*'19_Расчет_аналитики'!$F$1223,0)</f>
        <v/>
      </c>
      <c r="AK1535">
        <f>IF(IF('01_Вводные'!$B$296="Новый сезон",FALSE,FALSE),'19_Расчет_аналитики'!AK1423*CapacityAge04*'19_Расчет_аналитики'!$F$1223,0)</f>
        <v/>
      </c>
      <c r="AL1535">
        <f>IF(IF('01_Вводные'!$B$296="Новый сезон",FALSE,FALSE),'19_Расчет_аналитики'!AL1423*CapacityAge04*'19_Расчет_аналитики'!$F$1223,0)</f>
        <v/>
      </c>
      <c r="AM1535">
        <f>IF(IF('01_Вводные'!$B$296="Новый сезон",FALSE,FALSE),'19_Расчет_аналитики'!AM1423*CapacityAge04*'19_Расчет_аналитики'!$F$1223,0)</f>
        <v/>
      </c>
      <c r="AN1535">
        <f>IF(IF('01_Вводные'!$B$296="Новый сезон",FALSE,FALSE),'19_Расчет_аналитики'!AN1423*CapacityAge04*'19_Расчет_аналитики'!$F$1223,0)</f>
        <v/>
      </c>
      <c r="AO1535">
        <f>IF(IF('01_Вводные'!$B$296="Новый сезон",FALSE,FALSE),'19_Расчет_аналитики'!AO1423*CapacityAge04*'19_Расчет_аналитики'!$F$1223,0)</f>
        <v/>
      </c>
      <c r="AP1535">
        <f>IF(IF('01_Вводные'!$B$296="Новый сезон",FALSE,FALSE),'19_Расчет_аналитики'!AP1423*CapacityAge04*'19_Расчет_аналитики'!$F$1223,0)</f>
        <v/>
      </c>
      <c r="AQ1535">
        <f>IF(IF('01_Вводные'!$B$296="Новый сезон",FALSE,FALSE),'19_Расчет_аналитики'!AQ1423*CapacityAge04*'19_Расчет_аналитики'!$F$1223,0)</f>
        <v/>
      </c>
      <c r="AR1535">
        <f>IF(IF('01_Вводные'!$B$296="Новый сезон",FALSE,FALSE),'19_Расчет_аналитики'!AR1423*CapacityAge04*'19_Расчет_аналитики'!$F$1223,0)</f>
        <v/>
      </c>
      <c r="AS1535">
        <f>IF(IF('01_Вводные'!$B$296="Новый сезон",FALSE,FALSE),'19_Расчет_аналитики'!AS1423*CapacityAge04*'19_Расчет_аналитики'!$F$1223,0)</f>
        <v/>
      </c>
      <c r="AT1535">
        <f>IF(IF('01_Вводные'!$B$296="Новый сезон",FALSE,FALSE),'19_Расчет_аналитики'!AT1423*CapacityAge04*'19_Расчет_аналитики'!$F$1223,0)</f>
        <v/>
      </c>
      <c r="AU1535">
        <f>IF(IF('01_Вводные'!$B$296="Новый сезон",FALSE,FALSE),'19_Расчет_аналитики'!AU1423*CapacityAge04*'19_Расчет_аналитики'!$F$1223,0)</f>
        <v/>
      </c>
      <c r="AV1535">
        <f>IF(IF('01_Вводные'!$B$296="Новый сезон",FALSE,FALSE),'19_Расчет_аналитики'!AV1423*CapacityAge04*'19_Расчет_аналитики'!$F$1223,0)</f>
        <v/>
      </c>
      <c r="AW1535">
        <f>IF(IF('01_Вводные'!$B$296="Новый сезон",FALSE,FALSE),'19_Расчет_аналитики'!AW1423*CapacityAge04*'19_Расчет_аналитики'!$F$1223,0)</f>
        <v/>
      </c>
      <c r="AX1535">
        <f>IF(IF('01_Вводные'!$B$296="Новый сезон",FALSE,FALSE),'19_Расчет_аналитики'!AX1423*CapacityAge04*'19_Расчет_аналитики'!$F$1223,0)</f>
        <v/>
      </c>
      <c r="AY1535">
        <f>IF(IF('01_Вводные'!$B$296="Новый сезон",FALSE,FALSE),'19_Расчет_аналитики'!AY1423*CapacityAge04*'19_Расчет_аналитики'!$F$1223,0)</f>
        <v/>
      </c>
      <c r="AZ1535">
        <f>IF(IF('01_Вводные'!$B$296="Новый сезон",FALSE,FALSE),'19_Расчет_аналитики'!AZ1423*CapacityAge04*'19_Расчет_аналитики'!$F$1223,0)</f>
        <v/>
      </c>
      <c r="BA1535">
        <f>IF(IF('01_Вводные'!$B$296="Новый сезон",FALSE,FALSE),'19_Расчет_аналитики'!BA1423*CapacityAge04*'19_Расчет_аналитики'!$F$1223,0)</f>
        <v/>
      </c>
      <c r="BB1535">
        <f>IF(IF('01_Вводные'!$B$296="Новый сезон",FALSE,FALSE),'19_Расчет_аналитики'!BB1423*CapacityAge04*'19_Расчет_аналитики'!$F$1223,0)</f>
        <v/>
      </c>
      <c r="BC1535">
        <f>IF(IF('01_Вводные'!$B$296="Новый сезон",FALSE,FALSE),'19_Расчет_аналитики'!BC1423*CapacityAge04*'19_Расчет_аналитики'!$F$1223,0)</f>
        <v/>
      </c>
      <c r="BD1535">
        <f>IF(IF('01_Вводные'!$B$296="Новый сезон",FALSE,FALSE),'19_Расчет_аналитики'!BD1423*CapacityAge04*'19_Расчет_аналитики'!$F$1223,0)</f>
        <v/>
      </c>
      <c r="BE1535">
        <f>IF(IF('01_Вводные'!$B$296="Новый сезон",FALSE,FALSE),'19_Расчет_аналитики'!BE1423*CapacityAge04*'19_Расчет_аналитики'!$F$1223,0)</f>
        <v/>
      </c>
      <c r="BF1535">
        <f>IF(IF('01_Вводные'!$B$296="Новый сезон",FALSE,FALSE),'19_Расчет_аналитики'!BF1423*CapacityAge04*'19_Расчет_аналитики'!$F$1223,0)</f>
        <v/>
      </c>
      <c r="BG1535">
        <f>IF(IF('01_Вводные'!$B$296="Новый сезон",FALSE,FALSE),'19_Расчет_аналитики'!BG1423*CapacityAge04*'19_Расчет_аналитики'!$F$1223,0)</f>
        <v/>
      </c>
      <c r="BH1535">
        <f>IF(IF('01_Вводные'!$B$296="Новый сезон",FALSE,FALSE),'19_Расчет_аналитики'!BH1423*CapacityAge04*'19_Расчет_аналитики'!$F$1223,0)</f>
        <v/>
      </c>
      <c r="BI1535">
        <f>IF(IF('01_Вводные'!$B$296="Новый сезон",FALSE,FALSE),'19_Расчет_аналитики'!BI1423*CapacityAge04*'19_Расчет_аналитики'!$F$1223,0)</f>
        <v/>
      </c>
      <c r="BJ1535">
        <f>IF(IF('01_Вводные'!$B$296="Новый сезон",FALSE,FALSE),'19_Расчет_аналитики'!BJ1423*CapacityAge04*'19_Расчет_аналитики'!$F$1223,0)</f>
        <v/>
      </c>
      <c r="BK1535">
        <f>IF(IF('01_Вводные'!$B$296="Новый сезон",FALSE,FALSE),'19_Расчет_аналитики'!BK1423*CapacityAge04*'19_Расчет_аналитики'!$F$1223,0)</f>
        <v/>
      </c>
      <c r="BL1535">
        <f>IF(IF('01_Вводные'!$B$296="Новый сезон",FALSE,FALSE),'19_Расчет_аналитики'!BL1423*CapacityAge04*'19_Расчет_аналитики'!$F$1223,0)</f>
        <v/>
      </c>
      <c r="BM1535">
        <f>IF(IF('01_Вводные'!$B$296="Новый сезон",FALSE,FALSE),'19_Расчет_аналитики'!BM1423*CapacityAge04*'19_Расчет_аналитики'!$F$1223,0)</f>
        <v/>
      </c>
      <c r="BN1535">
        <f>IF(IF('01_Вводные'!$B$296="Новый сезон",FALSE,FALSE),'19_Расчет_аналитики'!BN1423*CapacityAge04*'19_Расчет_аналитики'!$F$1223,0)</f>
        <v/>
      </c>
      <c r="BO1535">
        <f>IF(IF('01_Вводные'!$B$296="Новый сезон",FALSE,FALSE),'19_Расчет_аналитики'!BO1423*CapacityAge04*'19_Расчет_аналитики'!$F$1223,0)</f>
        <v/>
      </c>
    </row>
    <row r="1536">
      <c r="B1536">
        <f>IF(IF('01_Вводные'!$B$296="Новый сезон",5-1&gt;MOD(MONTH('06_Сеть_и_дети'!B$3)-9,12),FALSE),'06_Сеть_и_дети'!B57*CapacityAge05*'19_Расчет_аналитики'!$F$1223,0)</f>
        <v/>
      </c>
      <c r="C1536">
        <f>IF(IF('01_Вводные'!$B$296="Новый сезон",5-1&gt;MOD(MONTH('06_Сеть_и_дети'!C$3)-9,12),FALSE),'06_Сеть_и_дети'!C57*CapacityAge05*'19_Расчет_аналитики'!$F$1223,0)</f>
        <v/>
      </c>
      <c r="D1536">
        <f>IF(IF('01_Вводные'!$B$296="Новый сезон",5-1&gt;MOD(MONTH('06_Сеть_и_дети'!D$3)-9,12),FALSE),'06_Сеть_и_дети'!D57*CapacityAge05*'19_Расчет_аналитики'!$F$1223,0)</f>
        <v/>
      </c>
      <c r="E1536">
        <f>IF(IF('01_Вводные'!$B$296="Новый сезон",5-1&gt;MOD(MONTH('06_Сеть_и_дети'!E$3)-9,12),FALSE),'06_Сеть_и_дети'!E57*CapacityAge05*'19_Расчет_аналитики'!$F$1223,0)</f>
        <v/>
      </c>
      <c r="F1536">
        <f>IF(IF('01_Вводные'!$B$296="Новый сезон",5-1&gt;MOD(MONTH('06_Сеть_и_дети'!F$3)-9,12),FALSE),'19_Расчет_аналитики'!F1424*CapacityAge05*'19_Расчет_аналитики'!$F$1223,0)</f>
        <v/>
      </c>
      <c r="G1536">
        <f>IF(IF('01_Вводные'!$B$296="Новый сезон",5-1&gt;MOD(MONTH('06_Сеть_и_дети'!G$3)-9,12),FALSE),'19_Расчет_аналитики'!G1424*CapacityAge05*'19_Расчет_аналитики'!$F$1223,0)</f>
        <v/>
      </c>
      <c r="H1536">
        <f>IF(IF('01_Вводные'!$B$296="Новый сезон",5-1&gt;MOD(MONTH('06_Сеть_и_дети'!H$3)-9,12),FALSE),'19_Расчет_аналитики'!H1424*CapacityAge05*'19_Расчет_аналитики'!$F$1223,0)</f>
        <v/>
      </c>
      <c r="I1536">
        <f>IF(IF('01_Вводные'!$B$296="Новый сезон",5-1&gt;MOD(MONTH('06_Сеть_и_дети'!I$3)-9,12),FALSE),'19_Расчет_аналитики'!I1424*CapacityAge05*'19_Расчет_аналитики'!$F$1223,0)</f>
        <v/>
      </c>
      <c r="J1536">
        <f>IF(IF('01_Вводные'!$B$296="Новый сезон",5-1&gt;MOD(MONTH('06_Сеть_и_дети'!J$3)-9,12),FALSE),'19_Расчет_аналитики'!J1424*CapacityAge05*'19_Расчет_аналитики'!$F$1223,0)</f>
        <v/>
      </c>
      <c r="K1536">
        <f>IF(IF('01_Вводные'!$B$296="Новый сезон",5-1&gt;MOD(MONTH('06_Сеть_и_дети'!K$3)-9,12),FALSE),'19_Расчет_аналитики'!K1424*CapacityAge05*'19_Расчет_аналитики'!$F$1223,0)</f>
        <v/>
      </c>
      <c r="L1536">
        <f>IF(IF('01_Вводные'!$B$296="Новый сезон",5-1&gt;MOD(MONTH('06_Сеть_и_дети'!L$3)-9,12),FALSE),'19_Расчет_аналитики'!L1424*CapacityAge05*'19_Расчет_аналитики'!$F$1223,0)</f>
        <v/>
      </c>
      <c r="M1536">
        <f>IF(IF('01_Вводные'!$B$296="Новый сезон",5-1&gt;MOD(MONTH('06_Сеть_и_дети'!M$3)-9,12),FALSE),'19_Расчет_аналитики'!M1424*CapacityAge05*'19_Расчет_аналитики'!$F$1223,0)</f>
        <v/>
      </c>
      <c r="N1536">
        <f>IF(IF('01_Вводные'!$B$296="Новый сезон",5-1&gt;MOD(MONTH('06_Сеть_и_дети'!N$3)-9,12),FALSE),'19_Расчет_аналитики'!N1424*CapacityAge05*'19_Расчет_аналитики'!$F$1223,0)</f>
        <v/>
      </c>
      <c r="O1536">
        <f>IF(IF('01_Вводные'!$B$296="Новый сезон",5-1&gt;MOD(MONTH('06_Сеть_и_дети'!O$3)-9,12),FALSE),'19_Расчет_аналитики'!O1424*CapacityAge05*'19_Расчет_аналитики'!$F$1223,0)</f>
        <v/>
      </c>
      <c r="P1536">
        <f>IF(IF('01_Вводные'!$B$296="Новый сезон",5-1&gt;MOD(MONTH('06_Сеть_и_дети'!P$3)-9,12),FALSE),'19_Расчет_аналитики'!P1424*CapacityAge05*'19_Расчет_аналитики'!$F$1223,0)</f>
        <v/>
      </c>
      <c r="Q1536">
        <f>IF(IF('01_Вводные'!$B$296="Новый сезон",5-1&gt;MOD(MONTH('06_Сеть_и_дети'!Q$3)-9,12),FALSE),'19_Расчет_аналитики'!Q1424*CapacityAge05*'19_Расчет_аналитики'!$F$1223,0)</f>
        <v/>
      </c>
      <c r="R1536">
        <f>IF(IF('01_Вводные'!$B$296="Новый сезон",5-1&gt;MOD(MONTH('06_Сеть_и_дети'!R$3)-9,12),FALSE),'19_Расчет_аналитики'!R1424*CapacityAge05*'19_Расчет_аналитики'!$F$1223,0)</f>
        <v/>
      </c>
      <c r="S1536">
        <f>IF(IF('01_Вводные'!$B$296="Новый сезон",5-1&gt;MOD(MONTH('06_Сеть_и_дети'!S$3)-9,12),FALSE),'19_Расчет_аналитики'!S1424*CapacityAge05*'19_Расчет_аналитики'!$F$1223,0)</f>
        <v/>
      </c>
      <c r="T1536">
        <f>IF(IF('01_Вводные'!$B$296="Новый сезон",5-1&gt;MOD(MONTH('06_Сеть_и_дети'!T$3)-9,12),FALSE),'19_Расчет_аналитики'!T1424*CapacityAge05*'19_Расчет_аналитики'!$F$1223,0)</f>
        <v/>
      </c>
      <c r="U1536">
        <f>IF(IF('01_Вводные'!$B$296="Новый сезон",5-1&gt;MOD(MONTH('06_Сеть_и_дети'!U$3)-9,12),FALSE),'19_Расчет_аналитики'!U1424*CapacityAge05*'19_Расчет_аналитики'!$F$1223,0)</f>
        <v/>
      </c>
      <c r="V1536">
        <f>IF(IF('01_Вводные'!$B$296="Новый сезон",5-1&gt;MOD(MONTH('06_Сеть_и_дети'!V$3)-9,12),FALSE),'19_Расчет_аналитики'!V1424*CapacityAge05*'19_Расчет_аналитики'!$F$1223,0)</f>
        <v/>
      </c>
      <c r="W1536">
        <f>IF(IF('01_Вводные'!$B$296="Новый сезон",5-1&gt;MOD(MONTH('06_Сеть_и_дети'!W$3)-9,12),FALSE),'19_Расчет_аналитики'!W1424*CapacityAge05*'19_Расчет_аналитики'!$F$1223,0)</f>
        <v/>
      </c>
      <c r="X1536">
        <f>IF(IF('01_Вводные'!$B$296="Новый сезон",5-1&gt;MOD(MONTH('06_Сеть_и_дети'!X$3)-9,12),FALSE),'19_Расчет_аналитики'!X1424*CapacityAge05*'19_Расчет_аналитики'!$F$1223,0)</f>
        <v/>
      </c>
      <c r="Y1536">
        <f>IF(IF('01_Вводные'!$B$296="Новый сезон",5-1&gt;MOD(MONTH('06_Сеть_и_дети'!Y$3)-9,12),FALSE),'19_Расчет_аналитики'!Y1424*CapacityAge05*'19_Расчет_аналитики'!$F$1223,0)</f>
        <v/>
      </c>
      <c r="Z1536">
        <f>IF(IF('01_Вводные'!$B$296="Новый сезон",5-1&gt;MOD(MONTH('06_Сеть_и_дети'!Z$3)-9,12),FALSE),'19_Расчет_аналитики'!Z1424*CapacityAge05*'19_Расчет_аналитики'!$F$1223,0)</f>
        <v/>
      </c>
      <c r="AA1536">
        <f>IF(IF('01_Вводные'!$B$296="Новый сезон",5-1&gt;MOD(MONTH('06_Сеть_и_дети'!AA$3)-9,12),FALSE),'19_Расчет_аналитики'!AA1424*CapacityAge05*'19_Расчет_аналитики'!$F$1223,0)</f>
        <v/>
      </c>
      <c r="AB1536">
        <f>IF(IF('01_Вводные'!$B$296="Новый сезон",5-1&gt;MOD(MONTH('06_Сеть_и_дети'!AB$3)-9,12),FALSE),'19_Расчет_аналитики'!AB1424*CapacityAge05*'19_Расчет_аналитики'!$F$1223,0)</f>
        <v/>
      </c>
      <c r="AC1536">
        <f>IF(IF('01_Вводные'!$B$296="Новый сезон",5-1&gt;MOD(MONTH('06_Сеть_и_дети'!AC$3)-9,12),FALSE),'19_Расчет_аналитики'!AC1424*CapacityAge05*'19_Расчет_аналитики'!$F$1223,0)</f>
        <v/>
      </c>
      <c r="AD1536">
        <f>IF(IF('01_Вводные'!$B$296="Новый сезон",5-1&gt;MOD(MONTH('06_Сеть_и_дети'!AD$3)-9,12),FALSE),'19_Расчет_аналитики'!AD1424*CapacityAge05*'19_Расчет_аналитики'!$F$1223,0)</f>
        <v/>
      </c>
      <c r="AE1536">
        <f>IF(IF('01_Вводные'!$B$296="Новый сезон",5-1&gt;MOD(MONTH('06_Сеть_и_дети'!AE$3)-9,12),FALSE),'19_Расчет_аналитики'!AE1424*CapacityAge05*'19_Расчет_аналитики'!$F$1223,0)</f>
        <v/>
      </c>
      <c r="AF1536">
        <f>IF(IF('01_Вводные'!$B$296="Новый сезон",5-1&gt;MOD(MONTH('06_Сеть_и_дети'!AF$3)-9,12),FALSE),'19_Расчет_аналитики'!AF1424*CapacityAge05*'19_Расчет_аналитики'!$F$1223,0)</f>
        <v/>
      </c>
      <c r="AG1536">
        <f>IF(IF('01_Вводные'!$B$296="Новый сезон",5-1&gt;MOD(MONTH('06_Сеть_и_дети'!AG$3)-9,12),FALSE),'19_Расчет_аналитики'!AG1424*CapacityAge05*'19_Расчет_аналитики'!$F$1223,0)</f>
        <v/>
      </c>
      <c r="AH1536">
        <f>IF(IF('01_Вводные'!$B$296="Новый сезон",5-1&gt;MOD(MONTH('06_Сеть_и_дети'!AH$3)-9,12),FALSE),'19_Расчет_аналитики'!AH1424*CapacityAge05*'19_Расчет_аналитики'!$F$1223,0)</f>
        <v/>
      </c>
      <c r="AI1536">
        <f>IF(IF('01_Вводные'!$B$296="Новый сезон",5-1&gt;MOD(MONTH('06_Сеть_и_дети'!AI$3)-9,12),FALSE),'19_Расчет_аналитики'!AI1424*CapacityAge05*'19_Расчет_аналитики'!$F$1223,0)</f>
        <v/>
      </c>
      <c r="AJ1536">
        <f>IF(IF('01_Вводные'!$B$296="Новый сезон",5-1&gt;MOD(MONTH('06_Сеть_и_дети'!AJ$3)-9,12),FALSE),'19_Расчет_аналитики'!AJ1424*CapacityAge05*'19_Расчет_аналитики'!$F$1223,0)</f>
        <v/>
      </c>
      <c r="AK1536">
        <f>IF(IF('01_Вводные'!$B$296="Новый сезон",5-1&gt;MOD(MONTH('06_Сеть_и_дети'!AK$3)-9,12),FALSE),'19_Расчет_аналитики'!AK1424*CapacityAge05*'19_Расчет_аналитики'!$F$1223,0)</f>
        <v/>
      </c>
      <c r="AL1536">
        <f>IF(IF('01_Вводные'!$B$296="Новый сезон",5-1&gt;MOD(MONTH('06_Сеть_и_дети'!AL$3)-9,12),FALSE),'19_Расчет_аналитики'!AL1424*CapacityAge05*'19_Расчет_аналитики'!$F$1223,0)</f>
        <v/>
      </c>
      <c r="AM1536">
        <f>IF(IF('01_Вводные'!$B$296="Новый сезон",5-1&gt;MOD(MONTH('06_Сеть_и_дети'!AM$3)-9,12),FALSE),'19_Расчет_аналитики'!AM1424*CapacityAge05*'19_Расчет_аналитики'!$F$1223,0)</f>
        <v/>
      </c>
      <c r="AN1536">
        <f>IF(IF('01_Вводные'!$B$296="Новый сезон",5-1&gt;MOD(MONTH('06_Сеть_и_дети'!AN$3)-9,12),FALSE),'19_Расчет_аналитики'!AN1424*CapacityAge05*'19_Расчет_аналитики'!$F$1223,0)</f>
        <v/>
      </c>
      <c r="AO1536">
        <f>IF(IF('01_Вводные'!$B$296="Новый сезон",5-1&gt;MOD(MONTH('06_Сеть_и_дети'!AO$3)-9,12),FALSE),'19_Расчет_аналитики'!AO1424*CapacityAge05*'19_Расчет_аналитики'!$F$1223,0)</f>
        <v/>
      </c>
      <c r="AP1536">
        <f>IF(IF('01_Вводные'!$B$296="Новый сезон",5-1&gt;MOD(MONTH('06_Сеть_и_дети'!AP$3)-9,12),FALSE),'19_Расчет_аналитики'!AP1424*CapacityAge05*'19_Расчет_аналитики'!$F$1223,0)</f>
        <v/>
      </c>
      <c r="AQ1536">
        <f>IF(IF('01_Вводные'!$B$296="Новый сезон",5-1&gt;MOD(MONTH('06_Сеть_и_дети'!AQ$3)-9,12),FALSE),'19_Расчет_аналитики'!AQ1424*CapacityAge05*'19_Расчет_аналитики'!$F$1223,0)</f>
        <v/>
      </c>
      <c r="AR1536">
        <f>IF(IF('01_Вводные'!$B$296="Новый сезон",5-1&gt;MOD(MONTH('06_Сеть_и_дети'!AR$3)-9,12),FALSE),'19_Расчет_аналитики'!AR1424*CapacityAge05*'19_Расчет_аналитики'!$F$1223,0)</f>
        <v/>
      </c>
      <c r="AS1536">
        <f>IF(IF('01_Вводные'!$B$296="Новый сезон",5-1&gt;MOD(MONTH('06_Сеть_и_дети'!AS$3)-9,12),FALSE),'19_Расчет_аналитики'!AS1424*CapacityAge05*'19_Расчет_аналитики'!$F$1223,0)</f>
        <v/>
      </c>
      <c r="AT1536">
        <f>IF(IF('01_Вводные'!$B$296="Новый сезон",5-1&gt;MOD(MONTH('06_Сеть_и_дети'!AT$3)-9,12),FALSE),'19_Расчет_аналитики'!AT1424*CapacityAge05*'19_Расчет_аналитики'!$F$1223,0)</f>
        <v/>
      </c>
      <c r="AU1536">
        <f>IF(IF('01_Вводные'!$B$296="Новый сезон",5-1&gt;MOD(MONTH('06_Сеть_и_дети'!AU$3)-9,12),FALSE),'19_Расчет_аналитики'!AU1424*CapacityAge05*'19_Расчет_аналитики'!$F$1223,0)</f>
        <v/>
      </c>
      <c r="AV1536">
        <f>IF(IF('01_Вводные'!$B$296="Новый сезон",5-1&gt;MOD(MONTH('06_Сеть_и_дети'!AV$3)-9,12),FALSE),'19_Расчет_аналитики'!AV1424*CapacityAge05*'19_Расчет_аналитики'!$F$1223,0)</f>
        <v/>
      </c>
      <c r="AW1536">
        <f>IF(IF('01_Вводные'!$B$296="Новый сезон",5-1&gt;MOD(MONTH('06_Сеть_и_дети'!AW$3)-9,12),FALSE),'19_Расчет_аналитики'!AW1424*CapacityAge05*'19_Расчет_аналитики'!$F$1223,0)</f>
        <v/>
      </c>
      <c r="AX1536">
        <f>IF(IF('01_Вводные'!$B$296="Новый сезон",5-1&gt;MOD(MONTH('06_Сеть_и_дети'!AX$3)-9,12),FALSE),'19_Расчет_аналитики'!AX1424*CapacityAge05*'19_Расчет_аналитики'!$F$1223,0)</f>
        <v/>
      </c>
      <c r="AY1536">
        <f>IF(IF('01_Вводные'!$B$296="Новый сезон",5-1&gt;MOD(MONTH('06_Сеть_и_дети'!AY$3)-9,12),FALSE),'19_Расчет_аналитики'!AY1424*CapacityAge05*'19_Расчет_аналитики'!$F$1223,0)</f>
        <v/>
      </c>
      <c r="AZ1536">
        <f>IF(IF('01_Вводные'!$B$296="Новый сезон",5-1&gt;MOD(MONTH('06_Сеть_и_дети'!AZ$3)-9,12),FALSE),'19_Расчет_аналитики'!AZ1424*CapacityAge05*'19_Расчет_аналитики'!$F$1223,0)</f>
        <v/>
      </c>
      <c r="BA1536">
        <f>IF(IF('01_Вводные'!$B$296="Новый сезон",5-1&gt;MOD(MONTH('06_Сеть_и_дети'!BA$3)-9,12),FALSE),'19_Расчет_аналитики'!BA1424*CapacityAge05*'19_Расчет_аналитики'!$F$1223,0)</f>
        <v/>
      </c>
      <c r="BB1536">
        <f>IF(IF('01_Вводные'!$B$296="Новый сезон",5-1&gt;MOD(MONTH('06_Сеть_и_дети'!BB$3)-9,12),FALSE),'19_Расчет_аналитики'!BB1424*CapacityAge05*'19_Расчет_аналитики'!$F$1223,0)</f>
        <v/>
      </c>
      <c r="BC1536">
        <f>IF(IF('01_Вводные'!$B$296="Новый сезон",5-1&gt;MOD(MONTH('06_Сеть_и_дети'!BC$3)-9,12),FALSE),'19_Расчет_аналитики'!BC1424*CapacityAge05*'19_Расчет_аналитики'!$F$1223,0)</f>
        <v/>
      </c>
      <c r="BD1536">
        <f>IF(IF('01_Вводные'!$B$296="Новый сезон",5-1&gt;MOD(MONTH('06_Сеть_и_дети'!BD$3)-9,12),FALSE),'19_Расчет_аналитики'!BD1424*CapacityAge05*'19_Расчет_аналитики'!$F$1223,0)</f>
        <v/>
      </c>
      <c r="BE1536">
        <f>IF(IF('01_Вводные'!$B$296="Новый сезон",5-1&gt;MOD(MONTH('06_Сеть_и_дети'!BE$3)-9,12),FALSE),'19_Расчет_аналитики'!BE1424*CapacityAge05*'19_Расчет_аналитики'!$F$1223,0)</f>
        <v/>
      </c>
      <c r="BF1536">
        <f>IF(IF('01_Вводные'!$B$296="Новый сезон",5-1&gt;MOD(MONTH('06_Сеть_и_дети'!BF$3)-9,12),FALSE),'19_Расчет_аналитики'!BF1424*CapacityAge05*'19_Расчет_аналитики'!$F$1223,0)</f>
        <v/>
      </c>
      <c r="BG1536">
        <f>IF(IF('01_Вводные'!$B$296="Новый сезон",5-1&gt;MOD(MONTH('06_Сеть_и_дети'!BG$3)-9,12),FALSE),'19_Расчет_аналитики'!BG1424*CapacityAge05*'19_Расчет_аналитики'!$F$1223,0)</f>
        <v/>
      </c>
      <c r="BH1536">
        <f>IF(IF('01_Вводные'!$B$296="Новый сезон",5-1&gt;MOD(MONTH('06_Сеть_и_дети'!BH$3)-9,12),FALSE),'19_Расчет_аналитики'!BH1424*CapacityAge05*'19_Расчет_аналитики'!$F$1223,0)</f>
        <v/>
      </c>
      <c r="BI1536">
        <f>IF(IF('01_Вводные'!$B$296="Новый сезон",5-1&gt;MOD(MONTH('06_Сеть_и_дети'!BI$3)-9,12),FALSE),'19_Расчет_аналитики'!BI1424*CapacityAge05*'19_Расчет_аналитики'!$F$1223,0)</f>
        <v/>
      </c>
      <c r="BJ1536">
        <f>IF(IF('01_Вводные'!$B$296="Новый сезон",5-1&gt;MOD(MONTH('06_Сеть_и_дети'!BJ$3)-9,12),FALSE),'19_Расчет_аналитики'!BJ1424*CapacityAge05*'19_Расчет_аналитики'!$F$1223,0)</f>
        <v/>
      </c>
      <c r="BK1536">
        <f>IF(IF('01_Вводные'!$B$296="Новый сезон",5-1&gt;MOD(MONTH('06_Сеть_и_дети'!BK$3)-9,12),FALSE),'19_Расчет_аналитики'!BK1424*CapacityAge05*'19_Расчет_аналитики'!$F$1223,0)</f>
        <v/>
      </c>
      <c r="BL1536">
        <f>IF(IF('01_Вводные'!$B$296="Новый сезон",5-1&gt;MOD(MONTH('06_Сеть_и_дети'!BL$3)-9,12),FALSE),'19_Расчет_аналитики'!BL1424*CapacityAge05*'19_Расчет_аналитики'!$F$1223,0)</f>
        <v/>
      </c>
      <c r="BM1536">
        <f>IF(IF('01_Вводные'!$B$296="Новый сезон",5-1&gt;MOD(MONTH('06_Сеть_и_дети'!BM$3)-9,12),FALSE),'19_Расчет_аналитики'!BM1424*CapacityAge05*'19_Расчет_аналитики'!$F$1223,0)</f>
        <v/>
      </c>
      <c r="BN1536">
        <f>IF(IF('01_Вводные'!$B$296="Новый сезон",5-1&gt;MOD(MONTH('06_Сеть_и_дети'!BN$3)-9,12),FALSE),'19_Расчет_аналитики'!BN1424*CapacityAge05*'19_Расчет_аналитики'!$F$1223,0)</f>
        <v/>
      </c>
      <c r="BO1536">
        <f>IF(IF('01_Вводные'!$B$296="Новый сезон",5-1&gt;MOD(MONTH('06_Сеть_и_дети'!BO$3)-9,12),FALSE),'19_Расчет_аналитики'!BO1424*CapacityAge05*'19_Расчет_аналитики'!$F$1223,0)</f>
        <v/>
      </c>
    </row>
    <row r="1537">
      <c r="B1537">
        <f>IF(IF('01_Вводные'!$B$296="Новый сезон",6-1&gt;MOD(MONTH('06_Сеть_и_дети'!B$3)-9,12),FALSE),'06_Сеть_и_дети'!B58*CapacityAge06*'19_Расчет_аналитики'!$F$1223,0)</f>
        <v/>
      </c>
      <c r="C1537">
        <f>IF(IF('01_Вводные'!$B$296="Новый сезон",6-1&gt;MOD(MONTH('06_Сеть_и_дети'!C$3)-9,12),FALSE),'06_Сеть_и_дети'!C58*CapacityAge06*'19_Расчет_аналитики'!$F$1223,0)</f>
        <v/>
      </c>
      <c r="D1537">
        <f>IF(IF('01_Вводные'!$B$296="Новый сезон",6-1&gt;MOD(MONTH('06_Сеть_и_дети'!D$3)-9,12),FALSE),'06_Сеть_и_дети'!D58*CapacityAge06*'19_Расчет_аналитики'!$F$1223,0)</f>
        <v/>
      </c>
      <c r="E1537">
        <f>IF(IF('01_Вводные'!$B$296="Новый сезон",6-1&gt;MOD(MONTH('06_Сеть_и_дети'!E$3)-9,12),FALSE),'06_Сеть_и_дети'!E58*CapacityAge06*'19_Расчет_аналитики'!$F$1223,0)</f>
        <v/>
      </c>
      <c r="F1537">
        <f>IF(IF('01_Вводные'!$B$296="Новый сезон",6-1&gt;MOD(MONTH('06_Сеть_и_дети'!F$3)-9,12),FALSE),'06_Сеть_и_дети'!F58*CapacityAge06*'19_Расчет_аналитики'!$F$1223,0)</f>
        <v/>
      </c>
      <c r="G1537">
        <f>IF(IF('01_Вводные'!$B$296="Новый сезон",6-1&gt;MOD(MONTH('06_Сеть_и_дети'!G$3)-9,12),FALSE),'19_Расчет_аналитики'!G1425*CapacityAge06*'19_Расчет_аналитики'!$F$1223,0)</f>
        <v/>
      </c>
      <c r="H1537">
        <f>IF(IF('01_Вводные'!$B$296="Новый сезон",6-1&gt;MOD(MONTH('06_Сеть_и_дети'!H$3)-9,12),FALSE),'19_Расчет_аналитики'!H1425*CapacityAge06*'19_Расчет_аналитики'!$F$1223,0)</f>
        <v/>
      </c>
      <c r="I1537">
        <f>IF(IF('01_Вводные'!$B$296="Новый сезон",6-1&gt;MOD(MONTH('06_Сеть_и_дети'!I$3)-9,12),FALSE),'19_Расчет_аналитики'!I1425*CapacityAge06*'19_Расчет_аналитики'!$F$1223,0)</f>
        <v/>
      </c>
      <c r="J1537">
        <f>IF(IF('01_Вводные'!$B$296="Новый сезон",6-1&gt;MOD(MONTH('06_Сеть_и_дети'!J$3)-9,12),FALSE),'19_Расчет_аналитики'!J1425*CapacityAge06*'19_Расчет_аналитики'!$F$1223,0)</f>
        <v/>
      </c>
      <c r="K1537">
        <f>IF(IF('01_Вводные'!$B$296="Новый сезон",6-1&gt;MOD(MONTH('06_Сеть_и_дети'!K$3)-9,12),FALSE),'19_Расчет_аналитики'!K1425*CapacityAge06*'19_Расчет_аналитики'!$F$1223,0)</f>
        <v/>
      </c>
      <c r="L1537">
        <f>IF(IF('01_Вводные'!$B$296="Новый сезон",6-1&gt;MOD(MONTH('06_Сеть_и_дети'!L$3)-9,12),FALSE),'19_Расчет_аналитики'!L1425*CapacityAge06*'19_Расчет_аналитики'!$F$1223,0)</f>
        <v/>
      </c>
      <c r="M1537">
        <f>IF(IF('01_Вводные'!$B$296="Новый сезон",6-1&gt;MOD(MONTH('06_Сеть_и_дети'!M$3)-9,12),FALSE),'19_Расчет_аналитики'!M1425*CapacityAge06*'19_Расчет_аналитики'!$F$1223,0)</f>
        <v/>
      </c>
      <c r="N1537">
        <f>IF(IF('01_Вводные'!$B$296="Новый сезон",6-1&gt;MOD(MONTH('06_Сеть_и_дети'!N$3)-9,12),FALSE),'19_Расчет_аналитики'!N1425*CapacityAge06*'19_Расчет_аналитики'!$F$1223,0)</f>
        <v/>
      </c>
      <c r="O1537">
        <f>IF(IF('01_Вводные'!$B$296="Новый сезон",6-1&gt;MOD(MONTH('06_Сеть_и_дети'!O$3)-9,12),FALSE),'19_Расчет_аналитики'!O1425*CapacityAge06*'19_Расчет_аналитики'!$F$1223,0)</f>
        <v/>
      </c>
      <c r="P1537">
        <f>IF(IF('01_Вводные'!$B$296="Новый сезон",6-1&gt;MOD(MONTH('06_Сеть_и_дети'!P$3)-9,12),FALSE),'19_Расчет_аналитики'!P1425*CapacityAge06*'19_Расчет_аналитики'!$F$1223,0)</f>
        <v/>
      </c>
      <c r="Q1537">
        <f>IF(IF('01_Вводные'!$B$296="Новый сезон",6-1&gt;MOD(MONTH('06_Сеть_и_дети'!Q$3)-9,12),FALSE),'19_Расчет_аналитики'!Q1425*CapacityAge06*'19_Расчет_аналитики'!$F$1223,0)</f>
        <v/>
      </c>
      <c r="R1537">
        <f>IF(IF('01_Вводные'!$B$296="Новый сезон",6-1&gt;MOD(MONTH('06_Сеть_и_дети'!R$3)-9,12),FALSE),'19_Расчет_аналитики'!R1425*CapacityAge06*'19_Расчет_аналитики'!$F$1223,0)</f>
        <v/>
      </c>
      <c r="S1537">
        <f>IF(IF('01_Вводные'!$B$296="Новый сезон",6-1&gt;MOD(MONTH('06_Сеть_и_дети'!S$3)-9,12),FALSE),'19_Расчет_аналитики'!S1425*CapacityAge06*'19_Расчет_аналитики'!$F$1223,0)</f>
        <v/>
      </c>
      <c r="T1537">
        <f>IF(IF('01_Вводные'!$B$296="Новый сезон",6-1&gt;MOD(MONTH('06_Сеть_и_дети'!T$3)-9,12),FALSE),'19_Расчет_аналитики'!T1425*CapacityAge06*'19_Расчет_аналитики'!$F$1223,0)</f>
        <v/>
      </c>
      <c r="U1537">
        <f>IF(IF('01_Вводные'!$B$296="Новый сезон",6-1&gt;MOD(MONTH('06_Сеть_и_дети'!U$3)-9,12),FALSE),'19_Расчет_аналитики'!U1425*CapacityAge06*'19_Расчет_аналитики'!$F$1223,0)</f>
        <v/>
      </c>
      <c r="V1537">
        <f>IF(IF('01_Вводные'!$B$296="Новый сезон",6-1&gt;MOD(MONTH('06_Сеть_и_дети'!V$3)-9,12),FALSE),'19_Расчет_аналитики'!V1425*CapacityAge06*'19_Расчет_аналитики'!$F$1223,0)</f>
        <v/>
      </c>
      <c r="W1537">
        <f>IF(IF('01_Вводные'!$B$296="Новый сезон",6-1&gt;MOD(MONTH('06_Сеть_и_дети'!W$3)-9,12),FALSE),'19_Расчет_аналитики'!W1425*CapacityAge06*'19_Расчет_аналитики'!$F$1223,0)</f>
        <v/>
      </c>
      <c r="X1537">
        <f>IF(IF('01_Вводные'!$B$296="Новый сезон",6-1&gt;MOD(MONTH('06_Сеть_и_дети'!X$3)-9,12),FALSE),'19_Расчет_аналитики'!X1425*CapacityAge06*'19_Расчет_аналитики'!$F$1223,0)</f>
        <v/>
      </c>
      <c r="Y1537">
        <f>IF(IF('01_Вводные'!$B$296="Новый сезон",6-1&gt;MOD(MONTH('06_Сеть_и_дети'!Y$3)-9,12),FALSE),'19_Расчет_аналитики'!Y1425*CapacityAge06*'19_Расчет_аналитики'!$F$1223,0)</f>
        <v/>
      </c>
      <c r="Z1537">
        <f>IF(IF('01_Вводные'!$B$296="Новый сезон",6-1&gt;MOD(MONTH('06_Сеть_и_дети'!Z$3)-9,12),FALSE),'19_Расчет_аналитики'!Z1425*CapacityAge06*'19_Расчет_аналитики'!$F$1223,0)</f>
        <v/>
      </c>
      <c r="AA1537">
        <f>IF(IF('01_Вводные'!$B$296="Новый сезон",6-1&gt;MOD(MONTH('06_Сеть_и_дети'!AA$3)-9,12),FALSE),'19_Расчет_аналитики'!AA1425*CapacityAge06*'19_Расчет_аналитики'!$F$1223,0)</f>
        <v/>
      </c>
      <c r="AB1537">
        <f>IF(IF('01_Вводные'!$B$296="Новый сезон",6-1&gt;MOD(MONTH('06_Сеть_и_дети'!AB$3)-9,12),FALSE),'19_Расчет_аналитики'!AB1425*CapacityAge06*'19_Расчет_аналитики'!$F$1223,0)</f>
        <v/>
      </c>
      <c r="AC1537">
        <f>IF(IF('01_Вводные'!$B$296="Новый сезон",6-1&gt;MOD(MONTH('06_Сеть_и_дети'!AC$3)-9,12),FALSE),'19_Расчет_аналитики'!AC1425*CapacityAge06*'19_Расчет_аналитики'!$F$1223,0)</f>
        <v/>
      </c>
      <c r="AD1537">
        <f>IF(IF('01_Вводные'!$B$296="Новый сезон",6-1&gt;MOD(MONTH('06_Сеть_и_дети'!AD$3)-9,12),FALSE),'19_Расчет_аналитики'!AD1425*CapacityAge06*'19_Расчет_аналитики'!$F$1223,0)</f>
        <v/>
      </c>
      <c r="AE1537">
        <f>IF(IF('01_Вводные'!$B$296="Новый сезон",6-1&gt;MOD(MONTH('06_Сеть_и_дети'!AE$3)-9,12),FALSE),'19_Расчет_аналитики'!AE1425*CapacityAge06*'19_Расчет_аналитики'!$F$1223,0)</f>
        <v/>
      </c>
      <c r="AF1537">
        <f>IF(IF('01_Вводные'!$B$296="Новый сезон",6-1&gt;MOD(MONTH('06_Сеть_и_дети'!AF$3)-9,12),FALSE),'19_Расчет_аналитики'!AF1425*CapacityAge06*'19_Расчет_аналитики'!$F$1223,0)</f>
        <v/>
      </c>
      <c r="AG1537">
        <f>IF(IF('01_Вводные'!$B$296="Новый сезон",6-1&gt;MOD(MONTH('06_Сеть_и_дети'!AG$3)-9,12),FALSE),'19_Расчет_аналитики'!AG1425*CapacityAge06*'19_Расчет_аналитики'!$F$1223,0)</f>
        <v/>
      </c>
      <c r="AH1537">
        <f>IF(IF('01_Вводные'!$B$296="Новый сезон",6-1&gt;MOD(MONTH('06_Сеть_и_дети'!AH$3)-9,12),FALSE),'19_Расчет_аналитики'!AH1425*CapacityAge06*'19_Расчет_аналитики'!$F$1223,0)</f>
        <v/>
      </c>
      <c r="AI1537">
        <f>IF(IF('01_Вводные'!$B$296="Новый сезон",6-1&gt;MOD(MONTH('06_Сеть_и_дети'!AI$3)-9,12),FALSE),'19_Расчет_аналитики'!AI1425*CapacityAge06*'19_Расчет_аналитики'!$F$1223,0)</f>
        <v/>
      </c>
      <c r="AJ1537">
        <f>IF(IF('01_Вводные'!$B$296="Новый сезон",6-1&gt;MOD(MONTH('06_Сеть_и_дети'!AJ$3)-9,12),FALSE),'19_Расчет_аналитики'!AJ1425*CapacityAge06*'19_Расчет_аналитики'!$F$1223,0)</f>
        <v/>
      </c>
      <c r="AK1537">
        <f>IF(IF('01_Вводные'!$B$296="Новый сезон",6-1&gt;MOD(MONTH('06_Сеть_и_дети'!AK$3)-9,12),FALSE),'19_Расчет_аналитики'!AK1425*CapacityAge06*'19_Расчет_аналитики'!$F$1223,0)</f>
        <v/>
      </c>
      <c r="AL1537">
        <f>IF(IF('01_Вводные'!$B$296="Новый сезон",6-1&gt;MOD(MONTH('06_Сеть_и_дети'!AL$3)-9,12),FALSE),'19_Расчет_аналитики'!AL1425*CapacityAge06*'19_Расчет_аналитики'!$F$1223,0)</f>
        <v/>
      </c>
      <c r="AM1537">
        <f>IF(IF('01_Вводные'!$B$296="Новый сезон",6-1&gt;MOD(MONTH('06_Сеть_и_дети'!AM$3)-9,12),FALSE),'19_Расчет_аналитики'!AM1425*CapacityAge06*'19_Расчет_аналитики'!$F$1223,0)</f>
        <v/>
      </c>
      <c r="AN1537">
        <f>IF(IF('01_Вводные'!$B$296="Новый сезон",6-1&gt;MOD(MONTH('06_Сеть_и_дети'!AN$3)-9,12),FALSE),'19_Расчет_аналитики'!AN1425*CapacityAge06*'19_Расчет_аналитики'!$F$1223,0)</f>
        <v/>
      </c>
      <c r="AO1537">
        <f>IF(IF('01_Вводные'!$B$296="Новый сезон",6-1&gt;MOD(MONTH('06_Сеть_и_дети'!AO$3)-9,12),FALSE),'19_Расчет_аналитики'!AO1425*CapacityAge06*'19_Расчет_аналитики'!$F$1223,0)</f>
        <v/>
      </c>
      <c r="AP1537">
        <f>IF(IF('01_Вводные'!$B$296="Новый сезон",6-1&gt;MOD(MONTH('06_Сеть_и_дети'!AP$3)-9,12),FALSE),'19_Расчет_аналитики'!AP1425*CapacityAge06*'19_Расчет_аналитики'!$F$1223,0)</f>
        <v/>
      </c>
      <c r="AQ1537">
        <f>IF(IF('01_Вводные'!$B$296="Новый сезон",6-1&gt;MOD(MONTH('06_Сеть_и_дети'!AQ$3)-9,12),FALSE),'19_Расчет_аналитики'!AQ1425*CapacityAge06*'19_Расчет_аналитики'!$F$1223,0)</f>
        <v/>
      </c>
      <c r="AR1537">
        <f>IF(IF('01_Вводные'!$B$296="Новый сезон",6-1&gt;MOD(MONTH('06_Сеть_и_дети'!AR$3)-9,12),FALSE),'19_Расчет_аналитики'!AR1425*CapacityAge06*'19_Расчет_аналитики'!$F$1223,0)</f>
        <v/>
      </c>
      <c r="AS1537">
        <f>IF(IF('01_Вводные'!$B$296="Новый сезон",6-1&gt;MOD(MONTH('06_Сеть_и_дети'!AS$3)-9,12),FALSE),'19_Расчет_аналитики'!AS1425*CapacityAge06*'19_Расчет_аналитики'!$F$1223,0)</f>
        <v/>
      </c>
      <c r="AT1537">
        <f>IF(IF('01_Вводные'!$B$296="Новый сезон",6-1&gt;MOD(MONTH('06_Сеть_и_дети'!AT$3)-9,12),FALSE),'19_Расчет_аналитики'!AT1425*CapacityAge06*'19_Расчет_аналитики'!$F$1223,0)</f>
        <v/>
      </c>
      <c r="AU1537">
        <f>IF(IF('01_Вводные'!$B$296="Новый сезон",6-1&gt;MOD(MONTH('06_Сеть_и_дети'!AU$3)-9,12),FALSE),'19_Расчет_аналитики'!AU1425*CapacityAge06*'19_Расчет_аналитики'!$F$1223,0)</f>
        <v/>
      </c>
      <c r="AV1537">
        <f>IF(IF('01_Вводные'!$B$296="Новый сезон",6-1&gt;MOD(MONTH('06_Сеть_и_дети'!AV$3)-9,12),FALSE),'19_Расчет_аналитики'!AV1425*CapacityAge06*'19_Расчет_аналитики'!$F$1223,0)</f>
        <v/>
      </c>
      <c r="AW1537">
        <f>IF(IF('01_Вводные'!$B$296="Новый сезон",6-1&gt;MOD(MONTH('06_Сеть_и_дети'!AW$3)-9,12),FALSE),'19_Расчет_аналитики'!AW1425*CapacityAge06*'19_Расчет_аналитики'!$F$1223,0)</f>
        <v/>
      </c>
      <c r="AX1537">
        <f>IF(IF('01_Вводные'!$B$296="Новый сезон",6-1&gt;MOD(MONTH('06_Сеть_и_дети'!AX$3)-9,12),FALSE),'19_Расчет_аналитики'!AX1425*CapacityAge06*'19_Расчет_аналитики'!$F$1223,0)</f>
        <v/>
      </c>
      <c r="AY1537">
        <f>IF(IF('01_Вводные'!$B$296="Новый сезон",6-1&gt;MOD(MONTH('06_Сеть_и_дети'!AY$3)-9,12),FALSE),'19_Расчет_аналитики'!AY1425*CapacityAge06*'19_Расчет_аналитики'!$F$1223,0)</f>
        <v/>
      </c>
      <c r="AZ1537">
        <f>IF(IF('01_Вводные'!$B$296="Новый сезон",6-1&gt;MOD(MONTH('06_Сеть_и_дети'!AZ$3)-9,12),FALSE),'19_Расчет_аналитики'!AZ1425*CapacityAge06*'19_Расчет_аналитики'!$F$1223,0)</f>
        <v/>
      </c>
      <c r="BA1537">
        <f>IF(IF('01_Вводные'!$B$296="Новый сезон",6-1&gt;MOD(MONTH('06_Сеть_и_дети'!BA$3)-9,12),FALSE),'19_Расчет_аналитики'!BA1425*CapacityAge06*'19_Расчет_аналитики'!$F$1223,0)</f>
        <v/>
      </c>
      <c r="BB1537">
        <f>IF(IF('01_Вводные'!$B$296="Новый сезон",6-1&gt;MOD(MONTH('06_Сеть_и_дети'!BB$3)-9,12),FALSE),'19_Расчет_аналитики'!BB1425*CapacityAge06*'19_Расчет_аналитики'!$F$1223,0)</f>
        <v/>
      </c>
      <c r="BC1537">
        <f>IF(IF('01_Вводные'!$B$296="Новый сезон",6-1&gt;MOD(MONTH('06_Сеть_и_дети'!BC$3)-9,12),FALSE),'19_Расчет_аналитики'!BC1425*CapacityAge06*'19_Расчет_аналитики'!$F$1223,0)</f>
        <v/>
      </c>
      <c r="BD1537">
        <f>IF(IF('01_Вводные'!$B$296="Новый сезон",6-1&gt;MOD(MONTH('06_Сеть_и_дети'!BD$3)-9,12),FALSE),'19_Расчет_аналитики'!BD1425*CapacityAge06*'19_Расчет_аналитики'!$F$1223,0)</f>
        <v/>
      </c>
      <c r="BE1537">
        <f>IF(IF('01_Вводные'!$B$296="Новый сезон",6-1&gt;MOD(MONTH('06_Сеть_и_дети'!BE$3)-9,12),FALSE),'19_Расчет_аналитики'!BE1425*CapacityAge06*'19_Расчет_аналитики'!$F$1223,0)</f>
        <v/>
      </c>
      <c r="BF1537">
        <f>IF(IF('01_Вводные'!$B$296="Новый сезон",6-1&gt;MOD(MONTH('06_Сеть_и_дети'!BF$3)-9,12),FALSE),'19_Расчет_аналитики'!BF1425*CapacityAge06*'19_Расчет_аналитики'!$F$1223,0)</f>
        <v/>
      </c>
      <c r="BG1537">
        <f>IF(IF('01_Вводные'!$B$296="Новый сезон",6-1&gt;MOD(MONTH('06_Сеть_и_дети'!BG$3)-9,12),FALSE),'19_Расчет_аналитики'!BG1425*CapacityAge06*'19_Расчет_аналитики'!$F$1223,0)</f>
        <v/>
      </c>
      <c r="BH1537">
        <f>IF(IF('01_Вводные'!$B$296="Новый сезон",6-1&gt;MOD(MONTH('06_Сеть_и_дети'!BH$3)-9,12),FALSE),'19_Расчет_аналитики'!BH1425*CapacityAge06*'19_Расчет_аналитики'!$F$1223,0)</f>
        <v/>
      </c>
      <c r="BI1537">
        <f>IF(IF('01_Вводные'!$B$296="Новый сезон",6-1&gt;MOD(MONTH('06_Сеть_и_дети'!BI$3)-9,12),FALSE),'19_Расчет_аналитики'!BI1425*CapacityAge06*'19_Расчет_аналитики'!$F$1223,0)</f>
        <v/>
      </c>
      <c r="BJ1537">
        <f>IF(IF('01_Вводные'!$B$296="Новый сезон",6-1&gt;MOD(MONTH('06_Сеть_и_дети'!BJ$3)-9,12),FALSE),'19_Расчет_аналитики'!BJ1425*CapacityAge06*'19_Расчет_аналитики'!$F$1223,0)</f>
        <v/>
      </c>
      <c r="BK1537">
        <f>IF(IF('01_Вводные'!$B$296="Новый сезон",6-1&gt;MOD(MONTH('06_Сеть_и_дети'!BK$3)-9,12),FALSE),'19_Расчет_аналитики'!BK1425*CapacityAge06*'19_Расчет_аналитики'!$F$1223,0)</f>
        <v/>
      </c>
      <c r="BL1537">
        <f>IF(IF('01_Вводные'!$B$296="Новый сезон",6-1&gt;MOD(MONTH('06_Сеть_и_дети'!BL$3)-9,12),FALSE),'19_Расчет_аналитики'!BL1425*CapacityAge06*'19_Расчет_аналитики'!$F$1223,0)</f>
        <v/>
      </c>
      <c r="BM1537">
        <f>IF(IF('01_Вводные'!$B$296="Новый сезон",6-1&gt;MOD(MONTH('06_Сеть_и_дети'!BM$3)-9,12),FALSE),'19_Расчет_аналитики'!BM1425*CapacityAge06*'19_Расчет_аналитики'!$F$1223,0)</f>
        <v/>
      </c>
      <c r="BN1537">
        <f>IF(IF('01_Вводные'!$B$296="Новый сезон",6-1&gt;MOD(MONTH('06_Сеть_и_дети'!BN$3)-9,12),FALSE),'19_Расчет_аналитики'!BN1425*CapacityAge06*'19_Расчет_аналитики'!$F$1223,0)</f>
        <v/>
      </c>
      <c r="BO1537">
        <f>IF(IF('01_Вводные'!$B$296="Новый сезон",6-1&gt;MOD(MONTH('06_Сеть_и_дети'!BO$3)-9,12),FALSE),'19_Расчет_аналитики'!BO1425*CapacityAge06*'19_Расчет_аналитики'!$F$1223,0)</f>
        <v/>
      </c>
    </row>
    <row r="1538">
      <c r="B1538">
        <f>IF(IF('01_Вводные'!$B$296="Новый сезон",7-1&gt;MOD(MONTH('06_Сеть_и_дети'!B$3)-9,12),FALSE),'06_Сеть_и_дети'!B59*CapacityAge07*'19_Расчет_аналитики'!$F$1223,0)</f>
        <v/>
      </c>
      <c r="C1538">
        <f>IF(IF('01_Вводные'!$B$296="Новый сезон",7-1&gt;MOD(MONTH('06_Сеть_и_дети'!C$3)-9,12),FALSE),'06_Сеть_и_дети'!C59*CapacityAge07*'19_Расчет_аналитики'!$F$1223,0)</f>
        <v/>
      </c>
      <c r="D1538">
        <f>IF(IF('01_Вводные'!$B$296="Новый сезон",7-1&gt;MOD(MONTH('06_Сеть_и_дети'!D$3)-9,12),FALSE),'06_Сеть_и_дети'!D59*CapacityAge07*'19_Расчет_аналитики'!$F$1223,0)</f>
        <v/>
      </c>
      <c r="E1538">
        <f>IF(IF('01_Вводные'!$B$296="Новый сезон",7-1&gt;MOD(MONTH('06_Сеть_и_дети'!E$3)-9,12),FALSE),'06_Сеть_и_дети'!E59*CapacityAge07*'19_Расчет_аналитики'!$F$1223,0)</f>
        <v/>
      </c>
      <c r="F1538">
        <f>IF(IF('01_Вводные'!$B$296="Новый сезон",7-1&gt;MOD(MONTH('06_Сеть_и_дети'!F$3)-9,12),FALSE),'06_Сеть_и_дети'!F59*CapacityAge07*'19_Расчет_аналитики'!$F$1223,0)</f>
        <v/>
      </c>
      <c r="G1538">
        <f>IF(IF('01_Вводные'!$B$296="Новый сезон",7-1&gt;MOD(MONTH('06_Сеть_и_дети'!G$3)-9,12),FALSE),'06_Сеть_и_дети'!G59*CapacityAge07*'19_Расчет_аналитики'!$F$1223,0)</f>
        <v/>
      </c>
      <c r="H1538">
        <f>IF(IF('01_Вводные'!$B$296="Новый сезон",7-1&gt;MOD(MONTH('06_Сеть_и_дети'!H$3)-9,12),FALSE),'19_Расчет_аналитики'!H1426*CapacityAge07*'19_Расчет_аналитики'!$F$1223,0)</f>
        <v/>
      </c>
      <c r="I1538">
        <f>IF(IF('01_Вводные'!$B$296="Новый сезон",7-1&gt;MOD(MONTH('06_Сеть_и_дети'!I$3)-9,12),FALSE),'19_Расчет_аналитики'!I1426*CapacityAge07*'19_Расчет_аналитики'!$F$1223,0)</f>
        <v/>
      </c>
      <c r="J1538">
        <f>IF(IF('01_Вводные'!$B$296="Новый сезон",7-1&gt;MOD(MONTH('06_Сеть_и_дети'!J$3)-9,12),FALSE),'19_Расчет_аналитики'!J1426*CapacityAge07*'19_Расчет_аналитики'!$F$1223,0)</f>
        <v/>
      </c>
      <c r="K1538">
        <f>IF(IF('01_Вводные'!$B$296="Новый сезон",7-1&gt;MOD(MONTH('06_Сеть_и_дети'!K$3)-9,12),FALSE),'19_Расчет_аналитики'!K1426*CapacityAge07*'19_Расчет_аналитики'!$F$1223,0)</f>
        <v/>
      </c>
      <c r="L1538">
        <f>IF(IF('01_Вводные'!$B$296="Новый сезон",7-1&gt;MOD(MONTH('06_Сеть_и_дети'!L$3)-9,12),FALSE),'19_Расчет_аналитики'!L1426*CapacityAge07*'19_Расчет_аналитики'!$F$1223,0)</f>
        <v/>
      </c>
      <c r="M1538">
        <f>IF(IF('01_Вводные'!$B$296="Новый сезон",7-1&gt;MOD(MONTH('06_Сеть_и_дети'!M$3)-9,12),FALSE),'19_Расчет_аналитики'!M1426*CapacityAge07*'19_Расчет_аналитики'!$F$1223,0)</f>
        <v/>
      </c>
      <c r="N1538">
        <f>IF(IF('01_Вводные'!$B$296="Новый сезон",7-1&gt;MOD(MONTH('06_Сеть_и_дети'!N$3)-9,12),FALSE),'19_Расчет_аналитики'!N1426*CapacityAge07*'19_Расчет_аналитики'!$F$1223,0)</f>
        <v/>
      </c>
      <c r="O1538">
        <f>IF(IF('01_Вводные'!$B$296="Новый сезон",7-1&gt;MOD(MONTH('06_Сеть_и_дети'!O$3)-9,12),FALSE),'19_Расчет_аналитики'!O1426*CapacityAge07*'19_Расчет_аналитики'!$F$1223,0)</f>
        <v/>
      </c>
      <c r="P1538">
        <f>IF(IF('01_Вводные'!$B$296="Новый сезон",7-1&gt;MOD(MONTH('06_Сеть_и_дети'!P$3)-9,12),FALSE),'19_Расчет_аналитики'!P1426*CapacityAge07*'19_Расчет_аналитики'!$F$1223,0)</f>
        <v/>
      </c>
      <c r="Q1538">
        <f>IF(IF('01_Вводные'!$B$296="Новый сезон",7-1&gt;MOD(MONTH('06_Сеть_и_дети'!Q$3)-9,12),FALSE),'19_Расчет_аналитики'!Q1426*CapacityAge07*'19_Расчет_аналитики'!$F$1223,0)</f>
        <v/>
      </c>
      <c r="R1538">
        <f>IF(IF('01_Вводные'!$B$296="Новый сезон",7-1&gt;MOD(MONTH('06_Сеть_и_дети'!R$3)-9,12),FALSE),'19_Расчет_аналитики'!R1426*CapacityAge07*'19_Расчет_аналитики'!$F$1223,0)</f>
        <v/>
      </c>
      <c r="S1538">
        <f>IF(IF('01_Вводные'!$B$296="Новый сезон",7-1&gt;MOD(MONTH('06_Сеть_и_дети'!S$3)-9,12),FALSE),'19_Расчет_аналитики'!S1426*CapacityAge07*'19_Расчет_аналитики'!$F$1223,0)</f>
        <v/>
      </c>
      <c r="T1538">
        <f>IF(IF('01_Вводные'!$B$296="Новый сезон",7-1&gt;MOD(MONTH('06_Сеть_и_дети'!T$3)-9,12),FALSE),'19_Расчет_аналитики'!T1426*CapacityAge07*'19_Расчет_аналитики'!$F$1223,0)</f>
        <v/>
      </c>
      <c r="U1538">
        <f>IF(IF('01_Вводные'!$B$296="Новый сезон",7-1&gt;MOD(MONTH('06_Сеть_и_дети'!U$3)-9,12),FALSE),'19_Расчет_аналитики'!U1426*CapacityAge07*'19_Расчет_аналитики'!$F$1223,0)</f>
        <v/>
      </c>
      <c r="V1538">
        <f>IF(IF('01_Вводные'!$B$296="Новый сезон",7-1&gt;MOD(MONTH('06_Сеть_и_дети'!V$3)-9,12),FALSE),'19_Расчет_аналитики'!V1426*CapacityAge07*'19_Расчет_аналитики'!$F$1223,0)</f>
        <v/>
      </c>
      <c r="W1538">
        <f>IF(IF('01_Вводные'!$B$296="Новый сезон",7-1&gt;MOD(MONTH('06_Сеть_и_дети'!W$3)-9,12),FALSE),'19_Расчет_аналитики'!W1426*CapacityAge07*'19_Расчет_аналитики'!$F$1223,0)</f>
        <v/>
      </c>
      <c r="X1538">
        <f>IF(IF('01_Вводные'!$B$296="Новый сезон",7-1&gt;MOD(MONTH('06_Сеть_и_дети'!X$3)-9,12),FALSE),'19_Расчет_аналитики'!X1426*CapacityAge07*'19_Расчет_аналитики'!$F$1223,0)</f>
        <v/>
      </c>
      <c r="Y1538">
        <f>IF(IF('01_Вводные'!$B$296="Новый сезон",7-1&gt;MOD(MONTH('06_Сеть_и_дети'!Y$3)-9,12),FALSE),'19_Расчет_аналитики'!Y1426*CapacityAge07*'19_Расчет_аналитики'!$F$1223,0)</f>
        <v/>
      </c>
      <c r="Z1538">
        <f>IF(IF('01_Вводные'!$B$296="Новый сезон",7-1&gt;MOD(MONTH('06_Сеть_и_дети'!Z$3)-9,12),FALSE),'19_Расчет_аналитики'!Z1426*CapacityAge07*'19_Расчет_аналитики'!$F$1223,0)</f>
        <v/>
      </c>
      <c r="AA1538">
        <f>IF(IF('01_Вводные'!$B$296="Новый сезон",7-1&gt;MOD(MONTH('06_Сеть_и_дети'!AA$3)-9,12),FALSE),'19_Расчет_аналитики'!AA1426*CapacityAge07*'19_Расчет_аналитики'!$F$1223,0)</f>
        <v/>
      </c>
      <c r="AB1538">
        <f>IF(IF('01_Вводные'!$B$296="Новый сезон",7-1&gt;MOD(MONTH('06_Сеть_и_дети'!AB$3)-9,12),FALSE),'19_Расчет_аналитики'!AB1426*CapacityAge07*'19_Расчет_аналитики'!$F$1223,0)</f>
        <v/>
      </c>
      <c r="AC1538">
        <f>IF(IF('01_Вводные'!$B$296="Новый сезон",7-1&gt;MOD(MONTH('06_Сеть_и_дети'!AC$3)-9,12),FALSE),'19_Расчет_аналитики'!AC1426*CapacityAge07*'19_Расчет_аналитики'!$F$1223,0)</f>
        <v/>
      </c>
      <c r="AD1538">
        <f>IF(IF('01_Вводные'!$B$296="Новый сезон",7-1&gt;MOD(MONTH('06_Сеть_и_дети'!AD$3)-9,12),FALSE),'19_Расчет_аналитики'!AD1426*CapacityAge07*'19_Расчет_аналитики'!$F$1223,0)</f>
        <v/>
      </c>
      <c r="AE1538">
        <f>IF(IF('01_Вводные'!$B$296="Новый сезон",7-1&gt;MOD(MONTH('06_Сеть_и_дети'!AE$3)-9,12),FALSE),'19_Расчет_аналитики'!AE1426*CapacityAge07*'19_Расчет_аналитики'!$F$1223,0)</f>
        <v/>
      </c>
      <c r="AF1538">
        <f>IF(IF('01_Вводные'!$B$296="Новый сезон",7-1&gt;MOD(MONTH('06_Сеть_и_дети'!AF$3)-9,12),FALSE),'19_Расчет_аналитики'!AF1426*CapacityAge07*'19_Расчет_аналитики'!$F$1223,0)</f>
        <v/>
      </c>
      <c r="AG1538">
        <f>IF(IF('01_Вводные'!$B$296="Новый сезон",7-1&gt;MOD(MONTH('06_Сеть_и_дети'!AG$3)-9,12),FALSE),'19_Расчет_аналитики'!AG1426*CapacityAge07*'19_Расчет_аналитики'!$F$1223,0)</f>
        <v/>
      </c>
      <c r="AH1538">
        <f>IF(IF('01_Вводные'!$B$296="Новый сезон",7-1&gt;MOD(MONTH('06_Сеть_и_дети'!AH$3)-9,12),FALSE),'19_Расчет_аналитики'!AH1426*CapacityAge07*'19_Расчет_аналитики'!$F$1223,0)</f>
        <v/>
      </c>
      <c r="AI1538">
        <f>IF(IF('01_Вводные'!$B$296="Новый сезон",7-1&gt;MOD(MONTH('06_Сеть_и_дети'!AI$3)-9,12),FALSE),'19_Расчет_аналитики'!AI1426*CapacityAge07*'19_Расчет_аналитики'!$F$1223,0)</f>
        <v/>
      </c>
      <c r="AJ1538">
        <f>IF(IF('01_Вводные'!$B$296="Новый сезон",7-1&gt;MOD(MONTH('06_Сеть_и_дети'!AJ$3)-9,12),FALSE),'19_Расчет_аналитики'!AJ1426*CapacityAge07*'19_Расчет_аналитики'!$F$1223,0)</f>
        <v/>
      </c>
      <c r="AK1538">
        <f>IF(IF('01_Вводные'!$B$296="Новый сезон",7-1&gt;MOD(MONTH('06_Сеть_и_дети'!AK$3)-9,12),FALSE),'19_Расчет_аналитики'!AK1426*CapacityAge07*'19_Расчет_аналитики'!$F$1223,0)</f>
        <v/>
      </c>
      <c r="AL1538">
        <f>IF(IF('01_Вводные'!$B$296="Новый сезон",7-1&gt;MOD(MONTH('06_Сеть_и_дети'!AL$3)-9,12),FALSE),'19_Расчет_аналитики'!AL1426*CapacityAge07*'19_Расчет_аналитики'!$F$1223,0)</f>
        <v/>
      </c>
      <c r="AM1538">
        <f>IF(IF('01_Вводные'!$B$296="Новый сезон",7-1&gt;MOD(MONTH('06_Сеть_и_дети'!AM$3)-9,12),FALSE),'19_Расчет_аналитики'!AM1426*CapacityAge07*'19_Расчет_аналитики'!$F$1223,0)</f>
        <v/>
      </c>
      <c r="AN1538">
        <f>IF(IF('01_Вводные'!$B$296="Новый сезон",7-1&gt;MOD(MONTH('06_Сеть_и_дети'!AN$3)-9,12),FALSE),'19_Расчет_аналитики'!AN1426*CapacityAge07*'19_Расчет_аналитики'!$F$1223,0)</f>
        <v/>
      </c>
      <c r="AO1538">
        <f>IF(IF('01_Вводные'!$B$296="Новый сезон",7-1&gt;MOD(MONTH('06_Сеть_и_дети'!AO$3)-9,12),FALSE),'19_Расчет_аналитики'!AO1426*CapacityAge07*'19_Расчет_аналитики'!$F$1223,0)</f>
        <v/>
      </c>
      <c r="AP1538">
        <f>IF(IF('01_Вводные'!$B$296="Новый сезон",7-1&gt;MOD(MONTH('06_Сеть_и_дети'!AP$3)-9,12),FALSE),'19_Расчет_аналитики'!AP1426*CapacityAge07*'19_Расчет_аналитики'!$F$1223,0)</f>
        <v/>
      </c>
      <c r="AQ1538">
        <f>IF(IF('01_Вводные'!$B$296="Новый сезон",7-1&gt;MOD(MONTH('06_Сеть_и_дети'!AQ$3)-9,12),FALSE),'19_Расчет_аналитики'!AQ1426*CapacityAge07*'19_Расчет_аналитики'!$F$1223,0)</f>
        <v/>
      </c>
      <c r="AR1538">
        <f>IF(IF('01_Вводные'!$B$296="Новый сезон",7-1&gt;MOD(MONTH('06_Сеть_и_дети'!AR$3)-9,12),FALSE),'19_Расчет_аналитики'!AR1426*CapacityAge07*'19_Расчет_аналитики'!$F$1223,0)</f>
        <v/>
      </c>
      <c r="AS1538">
        <f>IF(IF('01_Вводные'!$B$296="Новый сезон",7-1&gt;MOD(MONTH('06_Сеть_и_дети'!AS$3)-9,12),FALSE),'19_Расчет_аналитики'!AS1426*CapacityAge07*'19_Расчет_аналитики'!$F$1223,0)</f>
        <v/>
      </c>
      <c r="AT1538">
        <f>IF(IF('01_Вводные'!$B$296="Новый сезон",7-1&gt;MOD(MONTH('06_Сеть_и_дети'!AT$3)-9,12),FALSE),'19_Расчет_аналитики'!AT1426*CapacityAge07*'19_Расчет_аналитики'!$F$1223,0)</f>
        <v/>
      </c>
      <c r="AU1538">
        <f>IF(IF('01_Вводные'!$B$296="Новый сезон",7-1&gt;MOD(MONTH('06_Сеть_и_дети'!AU$3)-9,12),FALSE),'19_Расчет_аналитики'!AU1426*CapacityAge07*'19_Расчет_аналитики'!$F$1223,0)</f>
        <v/>
      </c>
      <c r="AV1538">
        <f>IF(IF('01_Вводные'!$B$296="Новый сезон",7-1&gt;MOD(MONTH('06_Сеть_и_дети'!AV$3)-9,12),FALSE),'19_Расчет_аналитики'!AV1426*CapacityAge07*'19_Расчет_аналитики'!$F$1223,0)</f>
        <v/>
      </c>
      <c r="AW1538">
        <f>IF(IF('01_Вводные'!$B$296="Новый сезон",7-1&gt;MOD(MONTH('06_Сеть_и_дети'!AW$3)-9,12),FALSE),'19_Расчет_аналитики'!AW1426*CapacityAge07*'19_Расчет_аналитики'!$F$1223,0)</f>
        <v/>
      </c>
      <c r="AX1538">
        <f>IF(IF('01_Вводные'!$B$296="Новый сезон",7-1&gt;MOD(MONTH('06_Сеть_и_дети'!AX$3)-9,12),FALSE),'19_Расчет_аналитики'!AX1426*CapacityAge07*'19_Расчет_аналитики'!$F$1223,0)</f>
        <v/>
      </c>
      <c r="AY1538">
        <f>IF(IF('01_Вводные'!$B$296="Новый сезон",7-1&gt;MOD(MONTH('06_Сеть_и_дети'!AY$3)-9,12),FALSE),'19_Расчет_аналитики'!AY1426*CapacityAge07*'19_Расчет_аналитики'!$F$1223,0)</f>
        <v/>
      </c>
      <c r="AZ1538">
        <f>IF(IF('01_Вводные'!$B$296="Новый сезон",7-1&gt;MOD(MONTH('06_Сеть_и_дети'!AZ$3)-9,12),FALSE),'19_Расчет_аналитики'!AZ1426*CapacityAge07*'19_Расчет_аналитики'!$F$1223,0)</f>
        <v/>
      </c>
      <c r="BA1538">
        <f>IF(IF('01_Вводные'!$B$296="Новый сезон",7-1&gt;MOD(MONTH('06_Сеть_и_дети'!BA$3)-9,12),FALSE),'19_Расчет_аналитики'!BA1426*CapacityAge07*'19_Расчет_аналитики'!$F$1223,0)</f>
        <v/>
      </c>
      <c r="BB1538">
        <f>IF(IF('01_Вводные'!$B$296="Новый сезон",7-1&gt;MOD(MONTH('06_Сеть_и_дети'!BB$3)-9,12),FALSE),'19_Расчет_аналитики'!BB1426*CapacityAge07*'19_Расчет_аналитики'!$F$1223,0)</f>
        <v/>
      </c>
      <c r="BC1538">
        <f>IF(IF('01_Вводные'!$B$296="Новый сезон",7-1&gt;MOD(MONTH('06_Сеть_и_дети'!BC$3)-9,12),FALSE),'19_Расчет_аналитики'!BC1426*CapacityAge07*'19_Расчет_аналитики'!$F$1223,0)</f>
        <v/>
      </c>
      <c r="BD1538">
        <f>IF(IF('01_Вводные'!$B$296="Новый сезон",7-1&gt;MOD(MONTH('06_Сеть_и_дети'!BD$3)-9,12),FALSE),'19_Расчет_аналитики'!BD1426*CapacityAge07*'19_Расчет_аналитики'!$F$1223,0)</f>
        <v/>
      </c>
      <c r="BE1538">
        <f>IF(IF('01_Вводные'!$B$296="Новый сезон",7-1&gt;MOD(MONTH('06_Сеть_и_дети'!BE$3)-9,12),FALSE),'19_Расчет_аналитики'!BE1426*CapacityAge07*'19_Расчет_аналитики'!$F$1223,0)</f>
        <v/>
      </c>
      <c r="BF1538">
        <f>IF(IF('01_Вводные'!$B$296="Новый сезон",7-1&gt;MOD(MONTH('06_Сеть_и_дети'!BF$3)-9,12),FALSE),'19_Расчет_аналитики'!BF1426*CapacityAge07*'19_Расчет_аналитики'!$F$1223,0)</f>
        <v/>
      </c>
      <c r="BG1538">
        <f>IF(IF('01_Вводные'!$B$296="Новый сезон",7-1&gt;MOD(MONTH('06_Сеть_и_дети'!BG$3)-9,12),FALSE),'19_Расчет_аналитики'!BG1426*CapacityAge07*'19_Расчет_аналитики'!$F$1223,0)</f>
        <v/>
      </c>
      <c r="BH1538">
        <f>IF(IF('01_Вводные'!$B$296="Новый сезон",7-1&gt;MOD(MONTH('06_Сеть_и_дети'!BH$3)-9,12),FALSE),'19_Расчет_аналитики'!BH1426*CapacityAge07*'19_Расчет_аналитики'!$F$1223,0)</f>
        <v/>
      </c>
      <c r="BI1538">
        <f>IF(IF('01_Вводные'!$B$296="Новый сезон",7-1&gt;MOD(MONTH('06_Сеть_и_дети'!BI$3)-9,12),FALSE),'19_Расчет_аналитики'!BI1426*CapacityAge07*'19_Расчет_аналитики'!$F$1223,0)</f>
        <v/>
      </c>
      <c r="BJ1538">
        <f>IF(IF('01_Вводные'!$B$296="Новый сезон",7-1&gt;MOD(MONTH('06_Сеть_и_дети'!BJ$3)-9,12),FALSE),'19_Расчет_аналитики'!BJ1426*CapacityAge07*'19_Расчет_аналитики'!$F$1223,0)</f>
        <v/>
      </c>
      <c r="BK1538">
        <f>IF(IF('01_Вводные'!$B$296="Новый сезон",7-1&gt;MOD(MONTH('06_Сеть_и_дети'!BK$3)-9,12),FALSE),'19_Расчет_аналитики'!BK1426*CapacityAge07*'19_Расчет_аналитики'!$F$1223,0)</f>
        <v/>
      </c>
      <c r="BL1538">
        <f>IF(IF('01_Вводные'!$B$296="Новый сезон",7-1&gt;MOD(MONTH('06_Сеть_и_дети'!BL$3)-9,12),FALSE),'19_Расчет_аналитики'!BL1426*CapacityAge07*'19_Расчет_аналитики'!$F$1223,0)</f>
        <v/>
      </c>
      <c r="BM1538">
        <f>IF(IF('01_Вводные'!$B$296="Новый сезон",7-1&gt;MOD(MONTH('06_Сеть_и_дети'!BM$3)-9,12),FALSE),'19_Расчет_аналитики'!BM1426*CapacityAge07*'19_Расчет_аналитики'!$F$1223,0)</f>
        <v/>
      </c>
      <c r="BN1538">
        <f>IF(IF('01_Вводные'!$B$296="Новый сезон",7-1&gt;MOD(MONTH('06_Сеть_и_дети'!BN$3)-9,12),FALSE),'19_Расчет_аналитики'!BN1426*CapacityAge07*'19_Расчет_аналитики'!$F$1223,0)</f>
        <v/>
      </c>
      <c r="BO1538">
        <f>IF(IF('01_Вводные'!$B$296="Новый сезон",7-1&gt;MOD(MONTH('06_Сеть_и_дети'!BO$3)-9,12),FALSE),'19_Расчет_аналитики'!BO1426*CapacityAge07*'19_Расчет_аналитики'!$F$1223,0)</f>
        <v/>
      </c>
    </row>
    <row r="1539">
      <c r="B1539">
        <f>IF(IF('01_Вводные'!$B$296="Новый сезон",8-1&gt;MOD(MONTH('06_Сеть_и_дети'!B$3)-9,12),FALSE),'06_Сеть_и_дети'!B60*CapacityAge08*'19_Расчет_аналитики'!$F$1223,0)</f>
        <v/>
      </c>
      <c r="C1539">
        <f>IF(IF('01_Вводные'!$B$296="Новый сезон",8-1&gt;MOD(MONTH('06_Сеть_и_дети'!C$3)-9,12),FALSE),'06_Сеть_и_дети'!C60*CapacityAge08*'19_Расчет_аналитики'!$F$1223,0)</f>
        <v/>
      </c>
      <c r="D1539">
        <f>IF(IF('01_Вводные'!$B$296="Новый сезон",8-1&gt;MOD(MONTH('06_Сеть_и_дети'!D$3)-9,12),FALSE),'06_Сеть_и_дети'!D60*CapacityAge08*'19_Расчет_аналитики'!$F$1223,0)</f>
        <v/>
      </c>
      <c r="E1539">
        <f>IF(IF('01_Вводные'!$B$296="Новый сезон",8-1&gt;MOD(MONTH('06_Сеть_и_дети'!E$3)-9,12),FALSE),'06_Сеть_и_дети'!E60*CapacityAge08*'19_Расчет_аналитики'!$F$1223,0)</f>
        <v/>
      </c>
      <c r="F1539">
        <f>IF(IF('01_Вводные'!$B$296="Новый сезон",8-1&gt;MOD(MONTH('06_Сеть_и_дети'!F$3)-9,12),FALSE),'06_Сеть_и_дети'!F60*CapacityAge08*'19_Расчет_аналитики'!$F$1223,0)</f>
        <v/>
      </c>
      <c r="G1539">
        <f>IF(IF('01_Вводные'!$B$296="Новый сезон",8-1&gt;MOD(MONTH('06_Сеть_и_дети'!G$3)-9,12),FALSE),'06_Сеть_и_дети'!G60*CapacityAge08*'19_Расчет_аналитики'!$F$1223,0)</f>
        <v/>
      </c>
      <c r="H1539">
        <f>IF(IF('01_Вводные'!$B$296="Новый сезон",8-1&gt;MOD(MONTH('06_Сеть_и_дети'!H$3)-9,12),FALSE),'06_Сеть_и_дети'!H60*CapacityAge08*'19_Расчет_аналитики'!$F$1223,0)</f>
        <v/>
      </c>
      <c r="I1539">
        <f>IF(IF('01_Вводные'!$B$296="Новый сезон",8-1&gt;MOD(MONTH('06_Сеть_и_дети'!I$3)-9,12),FALSE),'19_Расчет_аналитики'!I1427*CapacityAge08*'19_Расчет_аналитики'!$F$1223,0)</f>
        <v/>
      </c>
      <c r="J1539">
        <f>IF(IF('01_Вводные'!$B$296="Новый сезон",8-1&gt;MOD(MONTH('06_Сеть_и_дети'!J$3)-9,12),FALSE),'19_Расчет_аналитики'!J1427*CapacityAge08*'19_Расчет_аналитики'!$F$1223,0)</f>
        <v/>
      </c>
      <c r="K1539">
        <f>IF(IF('01_Вводные'!$B$296="Новый сезон",8-1&gt;MOD(MONTH('06_Сеть_и_дети'!K$3)-9,12),FALSE),'19_Расчет_аналитики'!K1427*CapacityAge08*'19_Расчет_аналитики'!$F$1223,0)</f>
        <v/>
      </c>
      <c r="L1539">
        <f>IF(IF('01_Вводные'!$B$296="Новый сезон",8-1&gt;MOD(MONTH('06_Сеть_и_дети'!L$3)-9,12),FALSE),'19_Расчет_аналитики'!L1427*CapacityAge08*'19_Расчет_аналитики'!$F$1223,0)</f>
        <v/>
      </c>
      <c r="M1539">
        <f>IF(IF('01_Вводные'!$B$296="Новый сезон",8-1&gt;MOD(MONTH('06_Сеть_и_дети'!M$3)-9,12),FALSE),'19_Расчет_аналитики'!M1427*CapacityAge08*'19_Расчет_аналитики'!$F$1223,0)</f>
        <v/>
      </c>
      <c r="N1539">
        <f>IF(IF('01_Вводные'!$B$296="Новый сезон",8-1&gt;MOD(MONTH('06_Сеть_и_дети'!N$3)-9,12),FALSE),'19_Расчет_аналитики'!N1427*CapacityAge08*'19_Расчет_аналитики'!$F$1223,0)</f>
        <v/>
      </c>
      <c r="O1539">
        <f>IF(IF('01_Вводные'!$B$296="Новый сезон",8-1&gt;MOD(MONTH('06_Сеть_и_дети'!O$3)-9,12),FALSE),'19_Расчет_аналитики'!O1427*CapacityAge08*'19_Расчет_аналитики'!$F$1223,0)</f>
        <v/>
      </c>
      <c r="P1539">
        <f>IF(IF('01_Вводные'!$B$296="Новый сезон",8-1&gt;MOD(MONTH('06_Сеть_и_дети'!P$3)-9,12),FALSE),'19_Расчет_аналитики'!P1427*CapacityAge08*'19_Расчет_аналитики'!$F$1223,0)</f>
        <v/>
      </c>
      <c r="Q1539">
        <f>IF(IF('01_Вводные'!$B$296="Новый сезон",8-1&gt;MOD(MONTH('06_Сеть_и_дети'!Q$3)-9,12),FALSE),'19_Расчет_аналитики'!Q1427*CapacityAge08*'19_Расчет_аналитики'!$F$1223,0)</f>
        <v/>
      </c>
      <c r="R1539">
        <f>IF(IF('01_Вводные'!$B$296="Новый сезон",8-1&gt;MOD(MONTH('06_Сеть_и_дети'!R$3)-9,12),FALSE),'19_Расчет_аналитики'!R1427*CapacityAge08*'19_Расчет_аналитики'!$F$1223,0)</f>
        <v/>
      </c>
      <c r="S1539">
        <f>IF(IF('01_Вводные'!$B$296="Новый сезон",8-1&gt;MOD(MONTH('06_Сеть_и_дети'!S$3)-9,12),FALSE),'19_Расчет_аналитики'!S1427*CapacityAge08*'19_Расчет_аналитики'!$F$1223,0)</f>
        <v/>
      </c>
      <c r="T1539">
        <f>IF(IF('01_Вводные'!$B$296="Новый сезон",8-1&gt;MOD(MONTH('06_Сеть_и_дети'!T$3)-9,12),FALSE),'19_Расчет_аналитики'!T1427*CapacityAge08*'19_Расчет_аналитики'!$F$1223,0)</f>
        <v/>
      </c>
      <c r="U1539">
        <f>IF(IF('01_Вводные'!$B$296="Новый сезон",8-1&gt;MOD(MONTH('06_Сеть_и_дети'!U$3)-9,12),FALSE),'19_Расчет_аналитики'!U1427*CapacityAge08*'19_Расчет_аналитики'!$F$1223,0)</f>
        <v/>
      </c>
      <c r="V1539">
        <f>IF(IF('01_Вводные'!$B$296="Новый сезон",8-1&gt;MOD(MONTH('06_Сеть_и_дети'!V$3)-9,12),FALSE),'19_Расчет_аналитики'!V1427*CapacityAge08*'19_Расчет_аналитики'!$F$1223,0)</f>
        <v/>
      </c>
      <c r="W1539">
        <f>IF(IF('01_Вводные'!$B$296="Новый сезон",8-1&gt;MOD(MONTH('06_Сеть_и_дети'!W$3)-9,12),FALSE),'19_Расчет_аналитики'!W1427*CapacityAge08*'19_Расчет_аналитики'!$F$1223,0)</f>
        <v/>
      </c>
      <c r="X1539">
        <f>IF(IF('01_Вводные'!$B$296="Новый сезон",8-1&gt;MOD(MONTH('06_Сеть_и_дети'!X$3)-9,12),FALSE),'19_Расчет_аналитики'!X1427*CapacityAge08*'19_Расчет_аналитики'!$F$1223,0)</f>
        <v/>
      </c>
      <c r="Y1539">
        <f>IF(IF('01_Вводные'!$B$296="Новый сезон",8-1&gt;MOD(MONTH('06_Сеть_и_дети'!Y$3)-9,12),FALSE),'19_Расчет_аналитики'!Y1427*CapacityAge08*'19_Расчет_аналитики'!$F$1223,0)</f>
        <v/>
      </c>
      <c r="Z1539">
        <f>IF(IF('01_Вводные'!$B$296="Новый сезон",8-1&gt;MOD(MONTH('06_Сеть_и_дети'!Z$3)-9,12),FALSE),'19_Расчет_аналитики'!Z1427*CapacityAge08*'19_Расчет_аналитики'!$F$1223,0)</f>
        <v/>
      </c>
      <c r="AA1539">
        <f>IF(IF('01_Вводные'!$B$296="Новый сезон",8-1&gt;MOD(MONTH('06_Сеть_и_дети'!AA$3)-9,12),FALSE),'19_Расчет_аналитики'!AA1427*CapacityAge08*'19_Расчет_аналитики'!$F$1223,0)</f>
        <v/>
      </c>
      <c r="AB1539">
        <f>IF(IF('01_Вводные'!$B$296="Новый сезон",8-1&gt;MOD(MONTH('06_Сеть_и_дети'!AB$3)-9,12),FALSE),'19_Расчет_аналитики'!AB1427*CapacityAge08*'19_Расчет_аналитики'!$F$1223,0)</f>
        <v/>
      </c>
      <c r="AC1539">
        <f>IF(IF('01_Вводные'!$B$296="Новый сезон",8-1&gt;MOD(MONTH('06_Сеть_и_дети'!AC$3)-9,12),FALSE),'19_Расчет_аналитики'!AC1427*CapacityAge08*'19_Расчет_аналитики'!$F$1223,0)</f>
        <v/>
      </c>
      <c r="AD1539">
        <f>IF(IF('01_Вводные'!$B$296="Новый сезон",8-1&gt;MOD(MONTH('06_Сеть_и_дети'!AD$3)-9,12),FALSE),'19_Расчет_аналитики'!AD1427*CapacityAge08*'19_Расчет_аналитики'!$F$1223,0)</f>
        <v/>
      </c>
      <c r="AE1539">
        <f>IF(IF('01_Вводные'!$B$296="Новый сезон",8-1&gt;MOD(MONTH('06_Сеть_и_дети'!AE$3)-9,12),FALSE),'19_Расчет_аналитики'!AE1427*CapacityAge08*'19_Расчет_аналитики'!$F$1223,0)</f>
        <v/>
      </c>
      <c r="AF1539">
        <f>IF(IF('01_Вводные'!$B$296="Новый сезон",8-1&gt;MOD(MONTH('06_Сеть_и_дети'!AF$3)-9,12),FALSE),'19_Расчет_аналитики'!AF1427*CapacityAge08*'19_Расчет_аналитики'!$F$1223,0)</f>
        <v/>
      </c>
      <c r="AG1539">
        <f>IF(IF('01_Вводные'!$B$296="Новый сезон",8-1&gt;MOD(MONTH('06_Сеть_и_дети'!AG$3)-9,12),FALSE),'19_Расчет_аналитики'!AG1427*CapacityAge08*'19_Расчет_аналитики'!$F$1223,0)</f>
        <v/>
      </c>
      <c r="AH1539">
        <f>IF(IF('01_Вводные'!$B$296="Новый сезон",8-1&gt;MOD(MONTH('06_Сеть_и_дети'!AH$3)-9,12),FALSE),'19_Расчет_аналитики'!AH1427*CapacityAge08*'19_Расчет_аналитики'!$F$1223,0)</f>
        <v/>
      </c>
      <c r="AI1539">
        <f>IF(IF('01_Вводные'!$B$296="Новый сезон",8-1&gt;MOD(MONTH('06_Сеть_и_дети'!AI$3)-9,12),FALSE),'19_Расчет_аналитики'!AI1427*CapacityAge08*'19_Расчет_аналитики'!$F$1223,0)</f>
        <v/>
      </c>
      <c r="AJ1539">
        <f>IF(IF('01_Вводные'!$B$296="Новый сезон",8-1&gt;MOD(MONTH('06_Сеть_и_дети'!AJ$3)-9,12),FALSE),'19_Расчет_аналитики'!AJ1427*CapacityAge08*'19_Расчет_аналитики'!$F$1223,0)</f>
        <v/>
      </c>
      <c r="AK1539">
        <f>IF(IF('01_Вводные'!$B$296="Новый сезон",8-1&gt;MOD(MONTH('06_Сеть_и_дети'!AK$3)-9,12),FALSE),'19_Расчет_аналитики'!AK1427*CapacityAge08*'19_Расчет_аналитики'!$F$1223,0)</f>
        <v/>
      </c>
      <c r="AL1539">
        <f>IF(IF('01_Вводные'!$B$296="Новый сезон",8-1&gt;MOD(MONTH('06_Сеть_и_дети'!AL$3)-9,12),FALSE),'19_Расчет_аналитики'!AL1427*CapacityAge08*'19_Расчет_аналитики'!$F$1223,0)</f>
        <v/>
      </c>
      <c r="AM1539">
        <f>IF(IF('01_Вводные'!$B$296="Новый сезон",8-1&gt;MOD(MONTH('06_Сеть_и_дети'!AM$3)-9,12),FALSE),'19_Расчет_аналитики'!AM1427*CapacityAge08*'19_Расчет_аналитики'!$F$1223,0)</f>
        <v/>
      </c>
      <c r="AN1539">
        <f>IF(IF('01_Вводные'!$B$296="Новый сезон",8-1&gt;MOD(MONTH('06_Сеть_и_дети'!AN$3)-9,12),FALSE),'19_Расчет_аналитики'!AN1427*CapacityAge08*'19_Расчет_аналитики'!$F$1223,0)</f>
        <v/>
      </c>
      <c r="AO1539">
        <f>IF(IF('01_Вводные'!$B$296="Новый сезон",8-1&gt;MOD(MONTH('06_Сеть_и_дети'!AO$3)-9,12),FALSE),'19_Расчет_аналитики'!AO1427*CapacityAge08*'19_Расчет_аналитики'!$F$1223,0)</f>
        <v/>
      </c>
      <c r="AP1539">
        <f>IF(IF('01_Вводные'!$B$296="Новый сезон",8-1&gt;MOD(MONTH('06_Сеть_и_дети'!AP$3)-9,12),FALSE),'19_Расчет_аналитики'!AP1427*CapacityAge08*'19_Расчет_аналитики'!$F$1223,0)</f>
        <v/>
      </c>
      <c r="AQ1539">
        <f>IF(IF('01_Вводные'!$B$296="Новый сезон",8-1&gt;MOD(MONTH('06_Сеть_и_дети'!AQ$3)-9,12),FALSE),'19_Расчет_аналитики'!AQ1427*CapacityAge08*'19_Расчет_аналитики'!$F$1223,0)</f>
        <v/>
      </c>
      <c r="AR1539">
        <f>IF(IF('01_Вводные'!$B$296="Новый сезон",8-1&gt;MOD(MONTH('06_Сеть_и_дети'!AR$3)-9,12),FALSE),'19_Расчет_аналитики'!AR1427*CapacityAge08*'19_Расчет_аналитики'!$F$1223,0)</f>
        <v/>
      </c>
      <c r="AS1539">
        <f>IF(IF('01_Вводные'!$B$296="Новый сезон",8-1&gt;MOD(MONTH('06_Сеть_и_дети'!AS$3)-9,12),FALSE),'19_Расчет_аналитики'!AS1427*CapacityAge08*'19_Расчет_аналитики'!$F$1223,0)</f>
        <v/>
      </c>
      <c r="AT1539">
        <f>IF(IF('01_Вводные'!$B$296="Новый сезон",8-1&gt;MOD(MONTH('06_Сеть_и_дети'!AT$3)-9,12),FALSE),'19_Расчет_аналитики'!AT1427*CapacityAge08*'19_Расчет_аналитики'!$F$1223,0)</f>
        <v/>
      </c>
      <c r="AU1539">
        <f>IF(IF('01_Вводные'!$B$296="Новый сезон",8-1&gt;MOD(MONTH('06_Сеть_и_дети'!AU$3)-9,12),FALSE),'19_Расчет_аналитики'!AU1427*CapacityAge08*'19_Расчет_аналитики'!$F$1223,0)</f>
        <v/>
      </c>
      <c r="AV1539">
        <f>IF(IF('01_Вводные'!$B$296="Новый сезон",8-1&gt;MOD(MONTH('06_Сеть_и_дети'!AV$3)-9,12),FALSE),'19_Расчет_аналитики'!AV1427*CapacityAge08*'19_Расчет_аналитики'!$F$1223,0)</f>
        <v/>
      </c>
      <c r="AW1539">
        <f>IF(IF('01_Вводные'!$B$296="Новый сезон",8-1&gt;MOD(MONTH('06_Сеть_и_дети'!AW$3)-9,12),FALSE),'19_Расчет_аналитики'!AW1427*CapacityAge08*'19_Расчет_аналитики'!$F$1223,0)</f>
        <v/>
      </c>
      <c r="AX1539">
        <f>IF(IF('01_Вводные'!$B$296="Новый сезон",8-1&gt;MOD(MONTH('06_Сеть_и_дети'!AX$3)-9,12),FALSE),'19_Расчет_аналитики'!AX1427*CapacityAge08*'19_Расчет_аналитики'!$F$1223,0)</f>
        <v/>
      </c>
      <c r="AY1539">
        <f>IF(IF('01_Вводные'!$B$296="Новый сезон",8-1&gt;MOD(MONTH('06_Сеть_и_дети'!AY$3)-9,12),FALSE),'19_Расчет_аналитики'!AY1427*CapacityAge08*'19_Расчет_аналитики'!$F$1223,0)</f>
        <v/>
      </c>
      <c r="AZ1539">
        <f>IF(IF('01_Вводные'!$B$296="Новый сезон",8-1&gt;MOD(MONTH('06_Сеть_и_дети'!AZ$3)-9,12),FALSE),'19_Расчет_аналитики'!AZ1427*CapacityAge08*'19_Расчет_аналитики'!$F$1223,0)</f>
        <v/>
      </c>
      <c r="BA1539">
        <f>IF(IF('01_Вводные'!$B$296="Новый сезон",8-1&gt;MOD(MONTH('06_Сеть_и_дети'!BA$3)-9,12),FALSE),'19_Расчет_аналитики'!BA1427*CapacityAge08*'19_Расчет_аналитики'!$F$1223,0)</f>
        <v/>
      </c>
      <c r="BB1539">
        <f>IF(IF('01_Вводные'!$B$296="Новый сезон",8-1&gt;MOD(MONTH('06_Сеть_и_дети'!BB$3)-9,12),FALSE),'19_Расчет_аналитики'!BB1427*CapacityAge08*'19_Расчет_аналитики'!$F$1223,0)</f>
        <v/>
      </c>
      <c r="BC1539">
        <f>IF(IF('01_Вводные'!$B$296="Новый сезон",8-1&gt;MOD(MONTH('06_Сеть_и_дети'!BC$3)-9,12),FALSE),'19_Расчет_аналитики'!BC1427*CapacityAge08*'19_Расчет_аналитики'!$F$1223,0)</f>
        <v/>
      </c>
      <c r="BD1539">
        <f>IF(IF('01_Вводные'!$B$296="Новый сезон",8-1&gt;MOD(MONTH('06_Сеть_и_дети'!BD$3)-9,12),FALSE),'19_Расчет_аналитики'!BD1427*CapacityAge08*'19_Расчет_аналитики'!$F$1223,0)</f>
        <v/>
      </c>
      <c r="BE1539">
        <f>IF(IF('01_Вводные'!$B$296="Новый сезон",8-1&gt;MOD(MONTH('06_Сеть_и_дети'!BE$3)-9,12),FALSE),'19_Расчет_аналитики'!BE1427*CapacityAge08*'19_Расчет_аналитики'!$F$1223,0)</f>
        <v/>
      </c>
      <c r="BF1539">
        <f>IF(IF('01_Вводные'!$B$296="Новый сезон",8-1&gt;MOD(MONTH('06_Сеть_и_дети'!BF$3)-9,12),FALSE),'19_Расчет_аналитики'!BF1427*CapacityAge08*'19_Расчет_аналитики'!$F$1223,0)</f>
        <v/>
      </c>
      <c r="BG1539">
        <f>IF(IF('01_Вводные'!$B$296="Новый сезон",8-1&gt;MOD(MONTH('06_Сеть_и_дети'!BG$3)-9,12),FALSE),'19_Расчет_аналитики'!BG1427*CapacityAge08*'19_Расчет_аналитики'!$F$1223,0)</f>
        <v/>
      </c>
      <c r="BH1539">
        <f>IF(IF('01_Вводные'!$B$296="Новый сезон",8-1&gt;MOD(MONTH('06_Сеть_и_дети'!BH$3)-9,12),FALSE),'19_Расчет_аналитики'!BH1427*CapacityAge08*'19_Расчет_аналитики'!$F$1223,0)</f>
        <v/>
      </c>
      <c r="BI1539">
        <f>IF(IF('01_Вводные'!$B$296="Новый сезон",8-1&gt;MOD(MONTH('06_Сеть_и_дети'!BI$3)-9,12),FALSE),'19_Расчет_аналитики'!BI1427*CapacityAge08*'19_Расчет_аналитики'!$F$1223,0)</f>
        <v/>
      </c>
      <c r="BJ1539">
        <f>IF(IF('01_Вводные'!$B$296="Новый сезон",8-1&gt;MOD(MONTH('06_Сеть_и_дети'!BJ$3)-9,12),FALSE),'19_Расчет_аналитики'!BJ1427*CapacityAge08*'19_Расчет_аналитики'!$F$1223,0)</f>
        <v/>
      </c>
      <c r="BK1539">
        <f>IF(IF('01_Вводные'!$B$296="Новый сезон",8-1&gt;MOD(MONTH('06_Сеть_и_дети'!BK$3)-9,12),FALSE),'19_Расчет_аналитики'!BK1427*CapacityAge08*'19_Расчет_аналитики'!$F$1223,0)</f>
        <v/>
      </c>
      <c r="BL1539">
        <f>IF(IF('01_Вводные'!$B$296="Новый сезон",8-1&gt;MOD(MONTH('06_Сеть_и_дети'!BL$3)-9,12),FALSE),'19_Расчет_аналитики'!BL1427*CapacityAge08*'19_Расчет_аналитики'!$F$1223,0)</f>
        <v/>
      </c>
      <c r="BM1539">
        <f>IF(IF('01_Вводные'!$B$296="Новый сезон",8-1&gt;MOD(MONTH('06_Сеть_и_дети'!BM$3)-9,12),FALSE),'19_Расчет_аналитики'!BM1427*CapacityAge08*'19_Расчет_аналитики'!$F$1223,0)</f>
        <v/>
      </c>
      <c r="BN1539">
        <f>IF(IF('01_Вводные'!$B$296="Новый сезон",8-1&gt;MOD(MONTH('06_Сеть_и_дети'!BN$3)-9,12),FALSE),'19_Расчет_аналитики'!BN1427*CapacityAge08*'19_Расчет_аналитики'!$F$1223,0)</f>
        <v/>
      </c>
      <c r="BO1539">
        <f>IF(IF('01_Вводные'!$B$296="Новый сезон",8-1&gt;MOD(MONTH('06_Сеть_и_дети'!BO$3)-9,12),FALSE),'19_Расчет_аналитики'!BO1427*CapacityAge08*'19_Расчет_аналитики'!$F$1223,0)</f>
        <v/>
      </c>
    </row>
    <row r="1540">
      <c r="B1540">
        <f>IF(IF('01_Вводные'!$B$296="Новый сезон",9-1&gt;MOD(MONTH('06_Сеть_и_дети'!B$3)-9,12),FALSE),'06_Сеть_и_дети'!B61*CapacityAge09*'19_Расчет_аналитики'!$F$1223,0)</f>
        <v/>
      </c>
      <c r="C1540">
        <f>IF(IF('01_Вводные'!$B$296="Новый сезон",9-1&gt;MOD(MONTH('06_Сеть_и_дети'!C$3)-9,12),FALSE),'06_Сеть_и_дети'!C61*CapacityAge09*'19_Расчет_аналитики'!$F$1223,0)</f>
        <v/>
      </c>
      <c r="D1540">
        <f>IF(IF('01_Вводные'!$B$296="Новый сезон",9-1&gt;MOD(MONTH('06_Сеть_и_дети'!D$3)-9,12),FALSE),'06_Сеть_и_дети'!D61*CapacityAge09*'19_Расчет_аналитики'!$F$1223,0)</f>
        <v/>
      </c>
      <c r="E1540">
        <f>IF(IF('01_Вводные'!$B$296="Новый сезон",9-1&gt;MOD(MONTH('06_Сеть_и_дети'!E$3)-9,12),FALSE),'06_Сеть_и_дети'!E61*CapacityAge09*'19_Расчет_аналитики'!$F$1223,0)</f>
        <v/>
      </c>
      <c r="F1540">
        <f>IF(IF('01_Вводные'!$B$296="Новый сезон",9-1&gt;MOD(MONTH('06_Сеть_и_дети'!F$3)-9,12),FALSE),'06_Сеть_и_дети'!F61*CapacityAge09*'19_Расчет_аналитики'!$F$1223,0)</f>
        <v/>
      </c>
      <c r="G1540">
        <f>IF(IF('01_Вводные'!$B$296="Новый сезон",9-1&gt;MOD(MONTH('06_Сеть_и_дети'!G$3)-9,12),FALSE),'06_Сеть_и_дети'!G61*CapacityAge09*'19_Расчет_аналитики'!$F$1223,0)</f>
        <v/>
      </c>
      <c r="H1540">
        <f>IF(IF('01_Вводные'!$B$296="Новый сезон",9-1&gt;MOD(MONTH('06_Сеть_и_дети'!H$3)-9,12),FALSE),'06_Сеть_и_дети'!H61*CapacityAge09*'19_Расчет_аналитики'!$F$1223,0)</f>
        <v/>
      </c>
      <c r="I1540">
        <f>IF(IF('01_Вводные'!$B$296="Новый сезон",9-1&gt;MOD(MONTH('06_Сеть_и_дети'!I$3)-9,12),FALSE),'06_Сеть_и_дети'!I61*CapacityAge09*'19_Расчет_аналитики'!$F$1223,0)</f>
        <v/>
      </c>
      <c r="J1540">
        <f>IF(IF('01_Вводные'!$B$296="Новый сезон",9-1&gt;MOD(MONTH('06_Сеть_и_дети'!J$3)-9,12),FALSE),'19_Расчет_аналитики'!J1428*CapacityAge09*'19_Расчет_аналитики'!$F$1223,0)</f>
        <v/>
      </c>
      <c r="K1540">
        <f>IF(IF('01_Вводные'!$B$296="Новый сезон",9-1&gt;MOD(MONTH('06_Сеть_и_дети'!K$3)-9,12),FALSE),'19_Расчет_аналитики'!K1428*CapacityAge09*'19_Расчет_аналитики'!$F$1223,0)</f>
        <v/>
      </c>
      <c r="L1540">
        <f>IF(IF('01_Вводные'!$B$296="Новый сезон",9-1&gt;MOD(MONTH('06_Сеть_и_дети'!L$3)-9,12),FALSE),'19_Расчет_аналитики'!L1428*CapacityAge09*'19_Расчет_аналитики'!$F$1223,0)</f>
        <v/>
      </c>
      <c r="M1540">
        <f>IF(IF('01_Вводные'!$B$296="Новый сезон",9-1&gt;MOD(MONTH('06_Сеть_и_дети'!M$3)-9,12),FALSE),'19_Расчет_аналитики'!M1428*CapacityAge09*'19_Расчет_аналитики'!$F$1223,0)</f>
        <v/>
      </c>
      <c r="N1540">
        <f>IF(IF('01_Вводные'!$B$296="Новый сезон",9-1&gt;MOD(MONTH('06_Сеть_и_дети'!N$3)-9,12),FALSE),'19_Расчет_аналитики'!N1428*CapacityAge09*'19_Расчет_аналитики'!$F$1223,0)</f>
        <v/>
      </c>
      <c r="O1540">
        <f>IF(IF('01_Вводные'!$B$296="Новый сезон",9-1&gt;MOD(MONTH('06_Сеть_и_дети'!O$3)-9,12),FALSE),'19_Расчет_аналитики'!O1428*CapacityAge09*'19_Расчет_аналитики'!$F$1223,0)</f>
        <v/>
      </c>
      <c r="P1540">
        <f>IF(IF('01_Вводные'!$B$296="Новый сезон",9-1&gt;MOD(MONTH('06_Сеть_и_дети'!P$3)-9,12),FALSE),'19_Расчет_аналитики'!P1428*CapacityAge09*'19_Расчет_аналитики'!$F$1223,0)</f>
        <v/>
      </c>
      <c r="Q1540">
        <f>IF(IF('01_Вводные'!$B$296="Новый сезон",9-1&gt;MOD(MONTH('06_Сеть_и_дети'!Q$3)-9,12),FALSE),'19_Расчет_аналитики'!Q1428*CapacityAge09*'19_Расчет_аналитики'!$F$1223,0)</f>
        <v/>
      </c>
      <c r="R1540">
        <f>IF(IF('01_Вводные'!$B$296="Новый сезон",9-1&gt;MOD(MONTH('06_Сеть_и_дети'!R$3)-9,12),FALSE),'19_Расчет_аналитики'!R1428*CapacityAge09*'19_Расчет_аналитики'!$F$1223,0)</f>
        <v/>
      </c>
      <c r="S1540">
        <f>IF(IF('01_Вводные'!$B$296="Новый сезон",9-1&gt;MOD(MONTH('06_Сеть_и_дети'!S$3)-9,12),FALSE),'19_Расчет_аналитики'!S1428*CapacityAge09*'19_Расчет_аналитики'!$F$1223,0)</f>
        <v/>
      </c>
      <c r="T1540">
        <f>IF(IF('01_Вводные'!$B$296="Новый сезон",9-1&gt;MOD(MONTH('06_Сеть_и_дети'!T$3)-9,12),FALSE),'19_Расчет_аналитики'!T1428*CapacityAge09*'19_Расчет_аналитики'!$F$1223,0)</f>
        <v/>
      </c>
      <c r="U1540">
        <f>IF(IF('01_Вводные'!$B$296="Новый сезон",9-1&gt;MOD(MONTH('06_Сеть_и_дети'!U$3)-9,12),FALSE),'19_Расчет_аналитики'!U1428*CapacityAge09*'19_Расчет_аналитики'!$F$1223,0)</f>
        <v/>
      </c>
      <c r="V1540">
        <f>IF(IF('01_Вводные'!$B$296="Новый сезон",9-1&gt;MOD(MONTH('06_Сеть_и_дети'!V$3)-9,12),FALSE),'19_Расчет_аналитики'!V1428*CapacityAge09*'19_Расчет_аналитики'!$F$1223,0)</f>
        <v/>
      </c>
      <c r="W1540">
        <f>IF(IF('01_Вводные'!$B$296="Новый сезон",9-1&gt;MOD(MONTH('06_Сеть_и_дети'!W$3)-9,12),FALSE),'19_Расчет_аналитики'!W1428*CapacityAge09*'19_Расчет_аналитики'!$F$1223,0)</f>
        <v/>
      </c>
      <c r="X1540">
        <f>IF(IF('01_Вводные'!$B$296="Новый сезон",9-1&gt;MOD(MONTH('06_Сеть_и_дети'!X$3)-9,12),FALSE),'19_Расчет_аналитики'!X1428*CapacityAge09*'19_Расчет_аналитики'!$F$1223,0)</f>
        <v/>
      </c>
      <c r="Y1540">
        <f>IF(IF('01_Вводные'!$B$296="Новый сезон",9-1&gt;MOD(MONTH('06_Сеть_и_дети'!Y$3)-9,12),FALSE),'19_Расчет_аналитики'!Y1428*CapacityAge09*'19_Расчет_аналитики'!$F$1223,0)</f>
        <v/>
      </c>
      <c r="Z1540">
        <f>IF(IF('01_Вводные'!$B$296="Новый сезон",9-1&gt;MOD(MONTH('06_Сеть_и_дети'!Z$3)-9,12),FALSE),'19_Расчет_аналитики'!Z1428*CapacityAge09*'19_Расчет_аналитики'!$F$1223,0)</f>
        <v/>
      </c>
      <c r="AA1540">
        <f>IF(IF('01_Вводные'!$B$296="Новый сезон",9-1&gt;MOD(MONTH('06_Сеть_и_дети'!AA$3)-9,12),FALSE),'19_Расчет_аналитики'!AA1428*CapacityAge09*'19_Расчет_аналитики'!$F$1223,0)</f>
        <v/>
      </c>
      <c r="AB1540">
        <f>IF(IF('01_Вводные'!$B$296="Новый сезон",9-1&gt;MOD(MONTH('06_Сеть_и_дети'!AB$3)-9,12),FALSE),'19_Расчет_аналитики'!AB1428*CapacityAge09*'19_Расчет_аналитики'!$F$1223,0)</f>
        <v/>
      </c>
      <c r="AC1540">
        <f>IF(IF('01_Вводные'!$B$296="Новый сезон",9-1&gt;MOD(MONTH('06_Сеть_и_дети'!AC$3)-9,12),FALSE),'19_Расчет_аналитики'!AC1428*CapacityAge09*'19_Расчет_аналитики'!$F$1223,0)</f>
        <v/>
      </c>
      <c r="AD1540">
        <f>IF(IF('01_Вводные'!$B$296="Новый сезон",9-1&gt;MOD(MONTH('06_Сеть_и_дети'!AD$3)-9,12),FALSE),'19_Расчет_аналитики'!AD1428*CapacityAge09*'19_Расчет_аналитики'!$F$1223,0)</f>
        <v/>
      </c>
      <c r="AE1540">
        <f>IF(IF('01_Вводные'!$B$296="Новый сезон",9-1&gt;MOD(MONTH('06_Сеть_и_дети'!AE$3)-9,12),FALSE),'19_Расчет_аналитики'!AE1428*CapacityAge09*'19_Расчет_аналитики'!$F$1223,0)</f>
        <v/>
      </c>
      <c r="AF1540">
        <f>IF(IF('01_Вводные'!$B$296="Новый сезон",9-1&gt;MOD(MONTH('06_Сеть_и_дети'!AF$3)-9,12),FALSE),'19_Расчет_аналитики'!AF1428*CapacityAge09*'19_Расчет_аналитики'!$F$1223,0)</f>
        <v/>
      </c>
      <c r="AG1540">
        <f>IF(IF('01_Вводные'!$B$296="Новый сезон",9-1&gt;MOD(MONTH('06_Сеть_и_дети'!AG$3)-9,12),FALSE),'19_Расчет_аналитики'!AG1428*CapacityAge09*'19_Расчет_аналитики'!$F$1223,0)</f>
        <v/>
      </c>
      <c r="AH1540">
        <f>IF(IF('01_Вводные'!$B$296="Новый сезон",9-1&gt;MOD(MONTH('06_Сеть_и_дети'!AH$3)-9,12),FALSE),'19_Расчет_аналитики'!AH1428*CapacityAge09*'19_Расчет_аналитики'!$F$1223,0)</f>
        <v/>
      </c>
      <c r="AI1540">
        <f>IF(IF('01_Вводные'!$B$296="Новый сезон",9-1&gt;MOD(MONTH('06_Сеть_и_дети'!AI$3)-9,12),FALSE),'19_Расчет_аналитики'!AI1428*CapacityAge09*'19_Расчет_аналитики'!$F$1223,0)</f>
        <v/>
      </c>
      <c r="AJ1540">
        <f>IF(IF('01_Вводные'!$B$296="Новый сезон",9-1&gt;MOD(MONTH('06_Сеть_и_дети'!AJ$3)-9,12),FALSE),'19_Расчет_аналитики'!AJ1428*CapacityAge09*'19_Расчет_аналитики'!$F$1223,0)</f>
        <v/>
      </c>
      <c r="AK1540">
        <f>IF(IF('01_Вводные'!$B$296="Новый сезон",9-1&gt;MOD(MONTH('06_Сеть_и_дети'!AK$3)-9,12),FALSE),'19_Расчет_аналитики'!AK1428*CapacityAge09*'19_Расчет_аналитики'!$F$1223,0)</f>
        <v/>
      </c>
      <c r="AL1540">
        <f>IF(IF('01_Вводные'!$B$296="Новый сезон",9-1&gt;MOD(MONTH('06_Сеть_и_дети'!AL$3)-9,12),FALSE),'19_Расчет_аналитики'!AL1428*CapacityAge09*'19_Расчет_аналитики'!$F$1223,0)</f>
        <v/>
      </c>
      <c r="AM1540">
        <f>IF(IF('01_Вводные'!$B$296="Новый сезон",9-1&gt;MOD(MONTH('06_Сеть_и_дети'!AM$3)-9,12),FALSE),'19_Расчет_аналитики'!AM1428*CapacityAge09*'19_Расчет_аналитики'!$F$1223,0)</f>
        <v/>
      </c>
      <c r="AN1540">
        <f>IF(IF('01_Вводные'!$B$296="Новый сезон",9-1&gt;MOD(MONTH('06_Сеть_и_дети'!AN$3)-9,12),FALSE),'19_Расчет_аналитики'!AN1428*CapacityAge09*'19_Расчет_аналитики'!$F$1223,0)</f>
        <v/>
      </c>
      <c r="AO1540">
        <f>IF(IF('01_Вводные'!$B$296="Новый сезон",9-1&gt;MOD(MONTH('06_Сеть_и_дети'!AO$3)-9,12),FALSE),'19_Расчет_аналитики'!AO1428*CapacityAge09*'19_Расчет_аналитики'!$F$1223,0)</f>
        <v/>
      </c>
      <c r="AP1540">
        <f>IF(IF('01_Вводные'!$B$296="Новый сезон",9-1&gt;MOD(MONTH('06_Сеть_и_дети'!AP$3)-9,12),FALSE),'19_Расчет_аналитики'!AP1428*CapacityAge09*'19_Расчет_аналитики'!$F$1223,0)</f>
        <v/>
      </c>
      <c r="AQ1540">
        <f>IF(IF('01_Вводные'!$B$296="Новый сезон",9-1&gt;MOD(MONTH('06_Сеть_и_дети'!AQ$3)-9,12),FALSE),'19_Расчет_аналитики'!AQ1428*CapacityAge09*'19_Расчет_аналитики'!$F$1223,0)</f>
        <v/>
      </c>
      <c r="AR1540">
        <f>IF(IF('01_Вводные'!$B$296="Новый сезон",9-1&gt;MOD(MONTH('06_Сеть_и_дети'!AR$3)-9,12),FALSE),'19_Расчет_аналитики'!AR1428*CapacityAge09*'19_Расчет_аналитики'!$F$1223,0)</f>
        <v/>
      </c>
      <c r="AS1540">
        <f>IF(IF('01_Вводные'!$B$296="Новый сезон",9-1&gt;MOD(MONTH('06_Сеть_и_дети'!AS$3)-9,12),FALSE),'19_Расчет_аналитики'!AS1428*CapacityAge09*'19_Расчет_аналитики'!$F$1223,0)</f>
        <v/>
      </c>
      <c r="AT1540">
        <f>IF(IF('01_Вводные'!$B$296="Новый сезон",9-1&gt;MOD(MONTH('06_Сеть_и_дети'!AT$3)-9,12),FALSE),'19_Расчет_аналитики'!AT1428*CapacityAge09*'19_Расчет_аналитики'!$F$1223,0)</f>
        <v/>
      </c>
      <c r="AU1540">
        <f>IF(IF('01_Вводные'!$B$296="Новый сезон",9-1&gt;MOD(MONTH('06_Сеть_и_дети'!AU$3)-9,12),FALSE),'19_Расчет_аналитики'!AU1428*CapacityAge09*'19_Расчет_аналитики'!$F$1223,0)</f>
        <v/>
      </c>
      <c r="AV1540">
        <f>IF(IF('01_Вводные'!$B$296="Новый сезон",9-1&gt;MOD(MONTH('06_Сеть_и_дети'!AV$3)-9,12),FALSE),'19_Расчет_аналитики'!AV1428*CapacityAge09*'19_Расчет_аналитики'!$F$1223,0)</f>
        <v/>
      </c>
      <c r="AW1540">
        <f>IF(IF('01_Вводные'!$B$296="Новый сезон",9-1&gt;MOD(MONTH('06_Сеть_и_дети'!AW$3)-9,12),FALSE),'19_Расчет_аналитики'!AW1428*CapacityAge09*'19_Расчет_аналитики'!$F$1223,0)</f>
        <v/>
      </c>
      <c r="AX1540">
        <f>IF(IF('01_Вводные'!$B$296="Новый сезон",9-1&gt;MOD(MONTH('06_Сеть_и_дети'!AX$3)-9,12),FALSE),'19_Расчет_аналитики'!AX1428*CapacityAge09*'19_Расчет_аналитики'!$F$1223,0)</f>
        <v/>
      </c>
      <c r="AY1540">
        <f>IF(IF('01_Вводные'!$B$296="Новый сезон",9-1&gt;MOD(MONTH('06_Сеть_и_дети'!AY$3)-9,12),FALSE),'19_Расчет_аналитики'!AY1428*CapacityAge09*'19_Расчет_аналитики'!$F$1223,0)</f>
        <v/>
      </c>
      <c r="AZ1540">
        <f>IF(IF('01_Вводные'!$B$296="Новый сезон",9-1&gt;MOD(MONTH('06_Сеть_и_дети'!AZ$3)-9,12),FALSE),'19_Расчет_аналитики'!AZ1428*CapacityAge09*'19_Расчет_аналитики'!$F$1223,0)</f>
        <v/>
      </c>
      <c r="BA1540">
        <f>IF(IF('01_Вводные'!$B$296="Новый сезон",9-1&gt;MOD(MONTH('06_Сеть_и_дети'!BA$3)-9,12),FALSE),'19_Расчет_аналитики'!BA1428*CapacityAge09*'19_Расчет_аналитики'!$F$1223,0)</f>
        <v/>
      </c>
      <c r="BB1540">
        <f>IF(IF('01_Вводные'!$B$296="Новый сезон",9-1&gt;MOD(MONTH('06_Сеть_и_дети'!BB$3)-9,12),FALSE),'19_Расчет_аналитики'!BB1428*CapacityAge09*'19_Расчет_аналитики'!$F$1223,0)</f>
        <v/>
      </c>
      <c r="BC1540">
        <f>IF(IF('01_Вводные'!$B$296="Новый сезон",9-1&gt;MOD(MONTH('06_Сеть_и_дети'!BC$3)-9,12),FALSE),'19_Расчет_аналитики'!BC1428*CapacityAge09*'19_Расчет_аналитики'!$F$1223,0)</f>
        <v/>
      </c>
      <c r="BD1540">
        <f>IF(IF('01_Вводные'!$B$296="Новый сезон",9-1&gt;MOD(MONTH('06_Сеть_и_дети'!BD$3)-9,12),FALSE),'19_Расчет_аналитики'!BD1428*CapacityAge09*'19_Расчет_аналитики'!$F$1223,0)</f>
        <v/>
      </c>
      <c r="BE1540">
        <f>IF(IF('01_Вводные'!$B$296="Новый сезон",9-1&gt;MOD(MONTH('06_Сеть_и_дети'!BE$3)-9,12),FALSE),'19_Расчет_аналитики'!BE1428*CapacityAge09*'19_Расчет_аналитики'!$F$1223,0)</f>
        <v/>
      </c>
      <c r="BF1540">
        <f>IF(IF('01_Вводные'!$B$296="Новый сезон",9-1&gt;MOD(MONTH('06_Сеть_и_дети'!BF$3)-9,12),FALSE),'19_Расчет_аналитики'!BF1428*CapacityAge09*'19_Расчет_аналитики'!$F$1223,0)</f>
        <v/>
      </c>
      <c r="BG1540">
        <f>IF(IF('01_Вводные'!$B$296="Новый сезон",9-1&gt;MOD(MONTH('06_Сеть_и_дети'!BG$3)-9,12),FALSE),'19_Расчет_аналитики'!BG1428*CapacityAge09*'19_Расчет_аналитики'!$F$1223,0)</f>
        <v/>
      </c>
      <c r="BH1540">
        <f>IF(IF('01_Вводные'!$B$296="Новый сезон",9-1&gt;MOD(MONTH('06_Сеть_и_дети'!BH$3)-9,12),FALSE),'19_Расчет_аналитики'!BH1428*CapacityAge09*'19_Расчет_аналитики'!$F$1223,0)</f>
        <v/>
      </c>
      <c r="BI1540">
        <f>IF(IF('01_Вводные'!$B$296="Новый сезон",9-1&gt;MOD(MONTH('06_Сеть_и_дети'!BI$3)-9,12),FALSE),'19_Расчет_аналитики'!BI1428*CapacityAge09*'19_Расчет_аналитики'!$F$1223,0)</f>
        <v/>
      </c>
      <c r="BJ1540">
        <f>IF(IF('01_Вводные'!$B$296="Новый сезон",9-1&gt;MOD(MONTH('06_Сеть_и_дети'!BJ$3)-9,12),FALSE),'19_Расчет_аналитики'!BJ1428*CapacityAge09*'19_Расчет_аналитики'!$F$1223,0)</f>
        <v/>
      </c>
      <c r="BK1540">
        <f>IF(IF('01_Вводные'!$B$296="Новый сезон",9-1&gt;MOD(MONTH('06_Сеть_и_дети'!BK$3)-9,12),FALSE),'19_Расчет_аналитики'!BK1428*CapacityAge09*'19_Расчет_аналитики'!$F$1223,0)</f>
        <v/>
      </c>
      <c r="BL1540">
        <f>IF(IF('01_Вводные'!$B$296="Новый сезон",9-1&gt;MOD(MONTH('06_Сеть_и_дети'!BL$3)-9,12),FALSE),'19_Расчет_аналитики'!BL1428*CapacityAge09*'19_Расчет_аналитики'!$F$1223,0)</f>
        <v/>
      </c>
      <c r="BM1540">
        <f>IF(IF('01_Вводные'!$B$296="Новый сезон",9-1&gt;MOD(MONTH('06_Сеть_и_дети'!BM$3)-9,12),FALSE),'19_Расчет_аналитики'!BM1428*CapacityAge09*'19_Расчет_аналитики'!$F$1223,0)</f>
        <v/>
      </c>
      <c r="BN1540">
        <f>IF(IF('01_Вводные'!$B$296="Новый сезон",9-1&gt;MOD(MONTH('06_Сеть_и_дети'!BN$3)-9,12),FALSE),'19_Расчет_аналитики'!BN1428*CapacityAge09*'19_Расчет_аналитики'!$F$1223,0)</f>
        <v/>
      </c>
      <c r="BO1540">
        <f>IF(IF('01_Вводные'!$B$296="Новый сезон",9-1&gt;MOD(MONTH('06_Сеть_и_дети'!BO$3)-9,12),FALSE),'19_Расчет_аналитики'!BO1428*CapacityAge09*'19_Расчет_аналитики'!$F$1223,0)</f>
        <v/>
      </c>
    </row>
    <row r="1541">
      <c r="B1541">
        <f>IF(IF('01_Вводные'!$B$296="Новый сезон",10-1&gt;MOD(MONTH('06_Сеть_и_дети'!B$3)-9,12),FALSE),'06_Сеть_и_дети'!B62*CapacityAge10*'19_Расчет_аналитики'!$F$1223,0)</f>
        <v/>
      </c>
      <c r="C1541">
        <f>IF(IF('01_Вводные'!$B$296="Новый сезон",10-1&gt;MOD(MONTH('06_Сеть_и_дети'!C$3)-9,12),FALSE),'06_Сеть_и_дети'!C62*CapacityAge10*'19_Расчет_аналитики'!$F$1223,0)</f>
        <v/>
      </c>
      <c r="D1541">
        <f>IF(IF('01_Вводные'!$B$296="Новый сезон",10-1&gt;MOD(MONTH('06_Сеть_и_дети'!D$3)-9,12),FALSE),'06_Сеть_и_дети'!D62*CapacityAge10*'19_Расчет_аналитики'!$F$1223,0)</f>
        <v/>
      </c>
      <c r="E1541">
        <f>IF(IF('01_Вводные'!$B$296="Новый сезон",10-1&gt;MOD(MONTH('06_Сеть_и_дети'!E$3)-9,12),FALSE),'06_Сеть_и_дети'!E62*CapacityAge10*'19_Расчет_аналитики'!$F$1223,0)</f>
        <v/>
      </c>
      <c r="F1541">
        <f>IF(IF('01_Вводные'!$B$296="Новый сезон",10-1&gt;MOD(MONTH('06_Сеть_и_дети'!F$3)-9,12),FALSE),'06_Сеть_и_дети'!F62*CapacityAge10*'19_Расчет_аналитики'!$F$1223,0)</f>
        <v/>
      </c>
      <c r="G1541">
        <f>IF(IF('01_Вводные'!$B$296="Новый сезон",10-1&gt;MOD(MONTH('06_Сеть_и_дети'!G$3)-9,12),FALSE),'06_Сеть_и_дети'!G62*CapacityAge10*'19_Расчет_аналитики'!$F$1223,0)</f>
        <v/>
      </c>
      <c r="H1541">
        <f>IF(IF('01_Вводные'!$B$296="Новый сезон",10-1&gt;MOD(MONTH('06_Сеть_и_дети'!H$3)-9,12),FALSE),'06_Сеть_и_дети'!H62*CapacityAge10*'19_Расчет_аналитики'!$F$1223,0)</f>
        <v/>
      </c>
      <c r="I1541">
        <f>IF(IF('01_Вводные'!$B$296="Новый сезон",10-1&gt;MOD(MONTH('06_Сеть_и_дети'!I$3)-9,12),FALSE),'06_Сеть_и_дети'!I62*CapacityAge10*'19_Расчет_аналитики'!$F$1223,0)</f>
        <v/>
      </c>
      <c r="J1541">
        <f>IF(IF('01_Вводные'!$B$296="Новый сезон",10-1&gt;MOD(MONTH('06_Сеть_и_дети'!J$3)-9,12),FALSE),'06_Сеть_и_дети'!J62*CapacityAge10*'19_Расчет_аналитики'!$F$1223,0)</f>
        <v/>
      </c>
      <c r="K1541">
        <f>IF(IF('01_Вводные'!$B$296="Новый сезон",10-1&gt;MOD(MONTH('06_Сеть_и_дети'!K$3)-9,12),FALSE),'19_Расчет_аналитики'!K1429*CapacityAge10*'19_Расчет_аналитики'!$F$1223,0)</f>
        <v/>
      </c>
      <c r="L1541">
        <f>IF(IF('01_Вводные'!$B$296="Новый сезон",10-1&gt;MOD(MONTH('06_Сеть_и_дети'!L$3)-9,12),FALSE),'19_Расчет_аналитики'!L1429*CapacityAge10*'19_Расчет_аналитики'!$F$1223,0)</f>
        <v/>
      </c>
      <c r="M1541">
        <f>IF(IF('01_Вводные'!$B$296="Новый сезон",10-1&gt;MOD(MONTH('06_Сеть_и_дети'!M$3)-9,12),FALSE),'19_Расчет_аналитики'!M1429*CapacityAge10*'19_Расчет_аналитики'!$F$1223,0)</f>
        <v/>
      </c>
      <c r="N1541">
        <f>IF(IF('01_Вводные'!$B$296="Новый сезон",10-1&gt;MOD(MONTH('06_Сеть_и_дети'!N$3)-9,12),FALSE),'19_Расчет_аналитики'!N1429*CapacityAge10*'19_Расчет_аналитики'!$F$1223,0)</f>
        <v/>
      </c>
      <c r="O1541">
        <f>IF(IF('01_Вводные'!$B$296="Новый сезон",10-1&gt;MOD(MONTH('06_Сеть_и_дети'!O$3)-9,12),FALSE),'19_Расчет_аналитики'!O1429*CapacityAge10*'19_Расчет_аналитики'!$F$1223,0)</f>
        <v/>
      </c>
      <c r="P1541">
        <f>IF(IF('01_Вводные'!$B$296="Новый сезон",10-1&gt;MOD(MONTH('06_Сеть_и_дети'!P$3)-9,12),FALSE),'19_Расчет_аналитики'!P1429*CapacityAge10*'19_Расчет_аналитики'!$F$1223,0)</f>
        <v/>
      </c>
      <c r="Q1541">
        <f>IF(IF('01_Вводные'!$B$296="Новый сезон",10-1&gt;MOD(MONTH('06_Сеть_и_дети'!Q$3)-9,12),FALSE),'19_Расчет_аналитики'!Q1429*CapacityAge10*'19_Расчет_аналитики'!$F$1223,0)</f>
        <v/>
      </c>
      <c r="R1541">
        <f>IF(IF('01_Вводные'!$B$296="Новый сезон",10-1&gt;MOD(MONTH('06_Сеть_и_дети'!R$3)-9,12),FALSE),'19_Расчет_аналитики'!R1429*CapacityAge10*'19_Расчет_аналитики'!$F$1223,0)</f>
        <v/>
      </c>
      <c r="S1541">
        <f>IF(IF('01_Вводные'!$B$296="Новый сезон",10-1&gt;MOD(MONTH('06_Сеть_и_дети'!S$3)-9,12),FALSE),'19_Расчет_аналитики'!S1429*CapacityAge10*'19_Расчет_аналитики'!$F$1223,0)</f>
        <v/>
      </c>
      <c r="T1541">
        <f>IF(IF('01_Вводные'!$B$296="Новый сезон",10-1&gt;MOD(MONTH('06_Сеть_и_дети'!T$3)-9,12),FALSE),'19_Расчет_аналитики'!T1429*CapacityAge10*'19_Расчет_аналитики'!$F$1223,0)</f>
        <v/>
      </c>
      <c r="U1541">
        <f>IF(IF('01_Вводные'!$B$296="Новый сезон",10-1&gt;MOD(MONTH('06_Сеть_и_дети'!U$3)-9,12),FALSE),'19_Расчет_аналитики'!U1429*CapacityAge10*'19_Расчет_аналитики'!$F$1223,0)</f>
        <v/>
      </c>
      <c r="V1541">
        <f>IF(IF('01_Вводные'!$B$296="Новый сезон",10-1&gt;MOD(MONTH('06_Сеть_и_дети'!V$3)-9,12),FALSE),'19_Расчет_аналитики'!V1429*CapacityAge10*'19_Расчет_аналитики'!$F$1223,0)</f>
        <v/>
      </c>
      <c r="W1541">
        <f>IF(IF('01_Вводные'!$B$296="Новый сезон",10-1&gt;MOD(MONTH('06_Сеть_и_дети'!W$3)-9,12),FALSE),'19_Расчет_аналитики'!W1429*CapacityAge10*'19_Расчет_аналитики'!$F$1223,0)</f>
        <v/>
      </c>
      <c r="X1541">
        <f>IF(IF('01_Вводные'!$B$296="Новый сезон",10-1&gt;MOD(MONTH('06_Сеть_и_дети'!X$3)-9,12),FALSE),'19_Расчет_аналитики'!X1429*CapacityAge10*'19_Расчет_аналитики'!$F$1223,0)</f>
        <v/>
      </c>
      <c r="Y1541">
        <f>IF(IF('01_Вводные'!$B$296="Новый сезон",10-1&gt;MOD(MONTH('06_Сеть_и_дети'!Y$3)-9,12),FALSE),'19_Расчет_аналитики'!Y1429*CapacityAge10*'19_Расчет_аналитики'!$F$1223,0)</f>
        <v/>
      </c>
      <c r="Z1541">
        <f>IF(IF('01_Вводные'!$B$296="Новый сезон",10-1&gt;MOD(MONTH('06_Сеть_и_дети'!Z$3)-9,12),FALSE),'19_Расчет_аналитики'!Z1429*CapacityAge10*'19_Расчет_аналитики'!$F$1223,0)</f>
        <v/>
      </c>
      <c r="AA1541">
        <f>IF(IF('01_Вводные'!$B$296="Новый сезон",10-1&gt;MOD(MONTH('06_Сеть_и_дети'!AA$3)-9,12),FALSE),'19_Расчет_аналитики'!AA1429*CapacityAge10*'19_Расчет_аналитики'!$F$1223,0)</f>
        <v/>
      </c>
      <c r="AB1541">
        <f>IF(IF('01_Вводные'!$B$296="Новый сезон",10-1&gt;MOD(MONTH('06_Сеть_и_дети'!AB$3)-9,12),FALSE),'19_Расчет_аналитики'!AB1429*CapacityAge10*'19_Расчет_аналитики'!$F$1223,0)</f>
        <v/>
      </c>
      <c r="AC1541">
        <f>IF(IF('01_Вводные'!$B$296="Новый сезон",10-1&gt;MOD(MONTH('06_Сеть_и_дети'!AC$3)-9,12),FALSE),'19_Расчет_аналитики'!AC1429*CapacityAge10*'19_Расчет_аналитики'!$F$1223,0)</f>
        <v/>
      </c>
      <c r="AD1541">
        <f>IF(IF('01_Вводные'!$B$296="Новый сезон",10-1&gt;MOD(MONTH('06_Сеть_и_дети'!AD$3)-9,12),FALSE),'19_Расчет_аналитики'!AD1429*CapacityAge10*'19_Расчет_аналитики'!$F$1223,0)</f>
        <v/>
      </c>
      <c r="AE1541">
        <f>IF(IF('01_Вводные'!$B$296="Новый сезон",10-1&gt;MOD(MONTH('06_Сеть_и_дети'!AE$3)-9,12),FALSE),'19_Расчет_аналитики'!AE1429*CapacityAge10*'19_Расчет_аналитики'!$F$1223,0)</f>
        <v/>
      </c>
      <c r="AF1541">
        <f>IF(IF('01_Вводные'!$B$296="Новый сезон",10-1&gt;MOD(MONTH('06_Сеть_и_дети'!AF$3)-9,12),FALSE),'19_Расчет_аналитики'!AF1429*CapacityAge10*'19_Расчет_аналитики'!$F$1223,0)</f>
        <v/>
      </c>
      <c r="AG1541">
        <f>IF(IF('01_Вводные'!$B$296="Новый сезон",10-1&gt;MOD(MONTH('06_Сеть_и_дети'!AG$3)-9,12),FALSE),'19_Расчет_аналитики'!AG1429*CapacityAge10*'19_Расчет_аналитики'!$F$1223,0)</f>
        <v/>
      </c>
      <c r="AH1541">
        <f>IF(IF('01_Вводные'!$B$296="Новый сезон",10-1&gt;MOD(MONTH('06_Сеть_и_дети'!AH$3)-9,12),FALSE),'19_Расчет_аналитики'!AH1429*CapacityAge10*'19_Расчет_аналитики'!$F$1223,0)</f>
        <v/>
      </c>
      <c r="AI1541">
        <f>IF(IF('01_Вводные'!$B$296="Новый сезон",10-1&gt;MOD(MONTH('06_Сеть_и_дети'!AI$3)-9,12),FALSE),'19_Расчет_аналитики'!AI1429*CapacityAge10*'19_Расчет_аналитики'!$F$1223,0)</f>
        <v/>
      </c>
      <c r="AJ1541">
        <f>IF(IF('01_Вводные'!$B$296="Новый сезон",10-1&gt;MOD(MONTH('06_Сеть_и_дети'!AJ$3)-9,12),FALSE),'19_Расчет_аналитики'!AJ1429*CapacityAge10*'19_Расчет_аналитики'!$F$1223,0)</f>
        <v/>
      </c>
      <c r="AK1541">
        <f>IF(IF('01_Вводные'!$B$296="Новый сезон",10-1&gt;MOD(MONTH('06_Сеть_и_дети'!AK$3)-9,12),FALSE),'19_Расчет_аналитики'!AK1429*CapacityAge10*'19_Расчет_аналитики'!$F$1223,0)</f>
        <v/>
      </c>
      <c r="AL1541">
        <f>IF(IF('01_Вводные'!$B$296="Новый сезон",10-1&gt;MOD(MONTH('06_Сеть_и_дети'!AL$3)-9,12),FALSE),'19_Расчет_аналитики'!AL1429*CapacityAge10*'19_Расчет_аналитики'!$F$1223,0)</f>
        <v/>
      </c>
      <c r="AM1541">
        <f>IF(IF('01_Вводные'!$B$296="Новый сезон",10-1&gt;MOD(MONTH('06_Сеть_и_дети'!AM$3)-9,12),FALSE),'19_Расчет_аналитики'!AM1429*CapacityAge10*'19_Расчет_аналитики'!$F$1223,0)</f>
        <v/>
      </c>
      <c r="AN1541">
        <f>IF(IF('01_Вводные'!$B$296="Новый сезон",10-1&gt;MOD(MONTH('06_Сеть_и_дети'!AN$3)-9,12),FALSE),'19_Расчет_аналитики'!AN1429*CapacityAge10*'19_Расчет_аналитики'!$F$1223,0)</f>
        <v/>
      </c>
      <c r="AO1541">
        <f>IF(IF('01_Вводные'!$B$296="Новый сезон",10-1&gt;MOD(MONTH('06_Сеть_и_дети'!AO$3)-9,12),FALSE),'19_Расчет_аналитики'!AO1429*CapacityAge10*'19_Расчет_аналитики'!$F$1223,0)</f>
        <v/>
      </c>
      <c r="AP1541">
        <f>IF(IF('01_Вводные'!$B$296="Новый сезон",10-1&gt;MOD(MONTH('06_Сеть_и_дети'!AP$3)-9,12),FALSE),'19_Расчет_аналитики'!AP1429*CapacityAge10*'19_Расчет_аналитики'!$F$1223,0)</f>
        <v/>
      </c>
      <c r="AQ1541">
        <f>IF(IF('01_Вводные'!$B$296="Новый сезон",10-1&gt;MOD(MONTH('06_Сеть_и_дети'!AQ$3)-9,12),FALSE),'19_Расчет_аналитики'!AQ1429*CapacityAge10*'19_Расчет_аналитики'!$F$1223,0)</f>
        <v/>
      </c>
      <c r="AR1541">
        <f>IF(IF('01_Вводные'!$B$296="Новый сезон",10-1&gt;MOD(MONTH('06_Сеть_и_дети'!AR$3)-9,12),FALSE),'19_Расчет_аналитики'!AR1429*CapacityAge10*'19_Расчет_аналитики'!$F$1223,0)</f>
        <v/>
      </c>
      <c r="AS1541">
        <f>IF(IF('01_Вводные'!$B$296="Новый сезон",10-1&gt;MOD(MONTH('06_Сеть_и_дети'!AS$3)-9,12),FALSE),'19_Расчет_аналитики'!AS1429*CapacityAge10*'19_Расчет_аналитики'!$F$1223,0)</f>
        <v/>
      </c>
      <c r="AT1541">
        <f>IF(IF('01_Вводные'!$B$296="Новый сезон",10-1&gt;MOD(MONTH('06_Сеть_и_дети'!AT$3)-9,12),FALSE),'19_Расчет_аналитики'!AT1429*CapacityAge10*'19_Расчет_аналитики'!$F$1223,0)</f>
        <v/>
      </c>
      <c r="AU1541">
        <f>IF(IF('01_Вводные'!$B$296="Новый сезон",10-1&gt;MOD(MONTH('06_Сеть_и_дети'!AU$3)-9,12),FALSE),'19_Расчет_аналитики'!AU1429*CapacityAge10*'19_Расчет_аналитики'!$F$1223,0)</f>
        <v/>
      </c>
      <c r="AV1541">
        <f>IF(IF('01_Вводные'!$B$296="Новый сезон",10-1&gt;MOD(MONTH('06_Сеть_и_дети'!AV$3)-9,12),FALSE),'19_Расчет_аналитики'!AV1429*CapacityAge10*'19_Расчет_аналитики'!$F$1223,0)</f>
        <v/>
      </c>
      <c r="AW1541">
        <f>IF(IF('01_Вводные'!$B$296="Новый сезон",10-1&gt;MOD(MONTH('06_Сеть_и_дети'!AW$3)-9,12),FALSE),'19_Расчет_аналитики'!AW1429*CapacityAge10*'19_Расчет_аналитики'!$F$1223,0)</f>
        <v/>
      </c>
      <c r="AX1541">
        <f>IF(IF('01_Вводные'!$B$296="Новый сезон",10-1&gt;MOD(MONTH('06_Сеть_и_дети'!AX$3)-9,12),FALSE),'19_Расчет_аналитики'!AX1429*CapacityAge10*'19_Расчет_аналитики'!$F$1223,0)</f>
        <v/>
      </c>
      <c r="AY1541">
        <f>IF(IF('01_Вводные'!$B$296="Новый сезон",10-1&gt;MOD(MONTH('06_Сеть_и_дети'!AY$3)-9,12),FALSE),'19_Расчет_аналитики'!AY1429*CapacityAge10*'19_Расчет_аналитики'!$F$1223,0)</f>
        <v/>
      </c>
      <c r="AZ1541">
        <f>IF(IF('01_Вводные'!$B$296="Новый сезон",10-1&gt;MOD(MONTH('06_Сеть_и_дети'!AZ$3)-9,12),FALSE),'19_Расчет_аналитики'!AZ1429*CapacityAge10*'19_Расчет_аналитики'!$F$1223,0)</f>
        <v/>
      </c>
      <c r="BA1541">
        <f>IF(IF('01_Вводные'!$B$296="Новый сезон",10-1&gt;MOD(MONTH('06_Сеть_и_дети'!BA$3)-9,12),FALSE),'19_Расчет_аналитики'!BA1429*CapacityAge10*'19_Расчет_аналитики'!$F$1223,0)</f>
        <v/>
      </c>
      <c r="BB1541">
        <f>IF(IF('01_Вводные'!$B$296="Новый сезон",10-1&gt;MOD(MONTH('06_Сеть_и_дети'!BB$3)-9,12),FALSE),'19_Расчет_аналитики'!BB1429*CapacityAge10*'19_Расчет_аналитики'!$F$1223,0)</f>
        <v/>
      </c>
      <c r="BC1541">
        <f>IF(IF('01_Вводные'!$B$296="Новый сезон",10-1&gt;MOD(MONTH('06_Сеть_и_дети'!BC$3)-9,12),FALSE),'19_Расчет_аналитики'!BC1429*CapacityAge10*'19_Расчет_аналитики'!$F$1223,0)</f>
        <v/>
      </c>
      <c r="BD1541">
        <f>IF(IF('01_Вводные'!$B$296="Новый сезон",10-1&gt;MOD(MONTH('06_Сеть_и_дети'!BD$3)-9,12),FALSE),'19_Расчет_аналитики'!BD1429*CapacityAge10*'19_Расчет_аналитики'!$F$1223,0)</f>
        <v/>
      </c>
      <c r="BE1541">
        <f>IF(IF('01_Вводные'!$B$296="Новый сезон",10-1&gt;MOD(MONTH('06_Сеть_и_дети'!BE$3)-9,12),FALSE),'19_Расчет_аналитики'!BE1429*CapacityAge10*'19_Расчет_аналитики'!$F$1223,0)</f>
        <v/>
      </c>
      <c r="BF1541">
        <f>IF(IF('01_Вводные'!$B$296="Новый сезон",10-1&gt;MOD(MONTH('06_Сеть_и_дети'!BF$3)-9,12),FALSE),'19_Расчет_аналитики'!BF1429*CapacityAge10*'19_Расчет_аналитики'!$F$1223,0)</f>
        <v/>
      </c>
      <c r="BG1541">
        <f>IF(IF('01_Вводные'!$B$296="Новый сезон",10-1&gt;MOD(MONTH('06_Сеть_и_дети'!BG$3)-9,12),FALSE),'19_Расчет_аналитики'!BG1429*CapacityAge10*'19_Расчет_аналитики'!$F$1223,0)</f>
        <v/>
      </c>
      <c r="BH1541">
        <f>IF(IF('01_Вводные'!$B$296="Новый сезон",10-1&gt;MOD(MONTH('06_Сеть_и_дети'!BH$3)-9,12),FALSE),'19_Расчет_аналитики'!BH1429*CapacityAge10*'19_Расчет_аналитики'!$F$1223,0)</f>
        <v/>
      </c>
      <c r="BI1541">
        <f>IF(IF('01_Вводные'!$B$296="Новый сезон",10-1&gt;MOD(MONTH('06_Сеть_и_дети'!BI$3)-9,12),FALSE),'19_Расчет_аналитики'!BI1429*CapacityAge10*'19_Расчет_аналитики'!$F$1223,0)</f>
        <v/>
      </c>
      <c r="BJ1541">
        <f>IF(IF('01_Вводные'!$B$296="Новый сезон",10-1&gt;MOD(MONTH('06_Сеть_и_дети'!BJ$3)-9,12),FALSE),'19_Расчет_аналитики'!BJ1429*CapacityAge10*'19_Расчет_аналитики'!$F$1223,0)</f>
        <v/>
      </c>
      <c r="BK1541">
        <f>IF(IF('01_Вводные'!$B$296="Новый сезон",10-1&gt;MOD(MONTH('06_Сеть_и_дети'!BK$3)-9,12),FALSE),'19_Расчет_аналитики'!BK1429*CapacityAge10*'19_Расчет_аналитики'!$F$1223,0)</f>
        <v/>
      </c>
      <c r="BL1541">
        <f>IF(IF('01_Вводные'!$B$296="Новый сезон",10-1&gt;MOD(MONTH('06_Сеть_и_дети'!BL$3)-9,12),FALSE),'19_Расчет_аналитики'!BL1429*CapacityAge10*'19_Расчет_аналитики'!$F$1223,0)</f>
        <v/>
      </c>
      <c r="BM1541">
        <f>IF(IF('01_Вводные'!$B$296="Новый сезон",10-1&gt;MOD(MONTH('06_Сеть_и_дети'!BM$3)-9,12),FALSE),'19_Расчет_аналитики'!BM1429*CapacityAge10*'19_Расчет_аналитики'!$F$1223,0)</f>
        <v/>
      </c>
      <c r="BN1541">
        <f>IF(IF('01_Вводные'!$B$296="Новый сезон",10-1&gt;MOD(MONTH('06_Сеть_и_дети'!BN$3)-9,12),FALSE),'19_Расчет_аналитики'!BN1429*CapacityAge10*'19_Расчет_аналитики'!$F$1223,0)</f>
        <v/>
      </c>
      <c r="BO1541">
        <f>IF(IF('01_Вводные'!$B$296="Новый сезон",10-1&gt;MOD(MONTH('06_Сеть_и_дети'!BO$3)-9,12),FALSE),'19_Расчет_аналитики'!BO1429*CapacityAge10*'19_Расчет_аналитики'!$F$1223,0)</f>
        <v/>
      </c>
    </row>
    <row r="1542">
      <c r="B1542">
        <f>IF(IF('01_Вводные'!$B$296="Новый сезон",11-1&gt;MOD(MONTH('06_Сеть_и_дети'!B$3)-9,12),FALSE),'06_Сеть_и_дети'!B63*CapacityAge11*'19_Расчет_аналитики'!$F$1223,0)</f>
        <v/>
      </c>
      <c r="C1542">
        <f>IF(IF('01_Вводные'!$B$296="Новый сезон",11-1&gt;MOD(MONTH('06_Сеть_и_дети'!C$3)-9,12),FALSE),'06_Сеть_и_дети'!C63*CapacityAge11*'19_Расчет_аналитики'!$F$1223,0)</f>
        <v/>
      </c>
      <c r="D1542">
        <f>IF(IF('01_Вводные'!$B$296="Новый сезон",11-1&gt;MOD(MONTH('06_Сеть_и_дети'!D$3)-9,12),FALSE),'06_Сеть_и_дети'!D63*CapacityAge11*'19_Расчет_аналитики'!$F$1223,0)</f>
        <v/>
      </c>
      <c r="E1542">
        <f>IF(IF('01_Вводные'!$B$296="Новый сезон",11-1&gt;MOD(MONTH('06_Сеть_и_дети'!E$3)-9,12),FALSE),'06_Сеть_и_дети'!E63*CapacityAge11*'19_Расчет_аналитики'!$F$1223,0)</f>
        <v/>
      </c>
      <c r="F1542">
        <f>IF(IF('01_Вводные'!$B$296="Новый сезон",11-1&gt;MOD(MONTH('06_Сеть_и_дети'!F$3)-9,12),FALSE),'06_Сеть_и_дети'!F63*CapacityAge11*'19_Расчет_аналитики'!$F$1223,0)</f>
        <v/>
      </c>
      <c r="G1542">
        <f>IF(IF('01_Вводные'!$B$296="Новый сезон",11-1&gt;MOD(MONTH('06_Сеть_и_дети'!G$3)-9,12),FALSE),'06_Сеть_и_дети'!G63*CapacityAge11*'19_Расчет_аналитики'!$F$1223,0)</f>
        <v/>
      </c>
      <c r="H1542">
        <f>IF(IF('01_Вводные'!$B$296="Новый сезон",11-1&gt;MOD(MONTH('06_Сеть_и_дети'!H$3)-9,12),FALSE),'06_Сеть_и_дети'!H63*CapacityAge11*'19_Расчет_аналитики'!$F$1223,0)</f>
        <v/>
      </c>
      <c r="I1542">
        <f>IF(IF('01_Вводные'!$B$296="Новый сезон",11-1&gt;MOD(MONTH('06_Сеть_и_дети'!I$3)-9,12),FALSE),'06_Сеть_и_дети'!I63*CapacityAge11*'19_Расчет_аналитики'!$F$1223,0)</f>
        <v/>
      </c>
      <c r="J1542">
        <f>IF(IF('01_Вводные'!$B$296="Новый сезон",11-1&gt;MOD(MONTH('06_Сеть_и_дети'!J$3)-9,12),FALSE),'06_Сеть_и_дети'!J63*CapacityAge11*'19_Расчет_аналитики'!$F$1223,0)</f>
        <v/>
      </c>
      <c r="K1542">
        <f>IF(IF('01_Вводные'!$B$296="Новый сезон",11-1&gt;MOD(MONTH('06_Сеть_и_дети'!K$3)-9,12),FALSE),'06_Сеть_и_дети'!K63*CapacityAge11*'19_Расчет_аналитики'!$F$1223,0)</f>
        <v/>
      </c>
      <c r="L1542">
        <f>IF(IF('01_Вводные'!$B$296="Новый сезон",11-1&gt;MOD(MONTH('06_Сеть_и_дети'!L$3)-9,12),FALSE),'19_Расчет_аналитики'!L1430*CapacityAge11*'19_Расчет_аналитики'!$F$1223,0)</f>
        <v/>
      </c>
      <c r="M1542">
        <f>IF(IF('01_Вводные'!$B$296="Новый сезон",11-1&gt;MOD(MONTH('06_Сеть_и_дети'!M$3)-9,12),FALSE),'19_Расчет_аналитики'!M1430*CapacityAge11*'19_Расчет_аналитики'!$F$1223,0)</f>
        <v/>
      </c>
      <c r="N1542">
        <f>IF(IF('01_Вводные'!$B$296="Новый сезон",11-1&gt;MOD(MONTH('06_Сеть_и_дети'!N$3)-9,12),FALSE),'19_Расчет_аналитики'!N1430*CapacityAge11*'19_Расчет_аналитики'!$F$1223,0)</f>
        <v/>
      </c>
      <c r="O1542">
        <f>IF(IF('01_Вводные'!$B$296="Новый сезон",11-1&gt;MOD(MONTH('06_Сеть_и_дети'!O$3)-9,12),FALSE),'19_Расчет_аналитики'!O1430*CapacityAge11*'19_Расчет_аналитики'!$F$1223,0)</f>
        <v/>
      </c>
      <c r="P1542">
        <f>IF(IF('01_Вводные'!$B$296="Новый сезон",11-1&gt;MOD(MONTH('06_Сеть_и_дети'!P$3)-9,12),FALSE),'19_Расчет_аналитики'!P1430*CapacityAge11*'19_Расчет_аналитики'!$F$1223,0)</f>
        <v/>
      </c>
      <c r="Q1542">
        <f>IF(IF('01_Вводные'!$B$296="Новый сезон",11-1&gt;MOD(MONTH('06_Сеть_и_дети'!Q$3)-9,12),FALSE),'19_Расчет_аналитики'!Q1430*CapacityAge11*'19_Расчет_аналитики'!$F$1223,0)</f>
        <v/>
      </c>
      <c r="R1542">
        <f>IF(IF('01_Вводные'!$B$296="Новый сезон",11-1&gt;MOD(MONTH('06_Сеть_и_дети'!R$3)-9,12),FALSE),'19_Расчет_аналитики'!R1430*CapacityAge11*'19_Расчет_аналитики'!$F$1223,0)</f>
        <v/>
      </c>
      <c r="S1542">
        <f>IF(IF('01_Вводные'!$B$296="Новый сезон",11-1&gt;MOD(MONTH('06_Сеть_и_дети'!S$3)-9,12),FALSE),'19_Расчет_аналитики'!S1430*CapacityAge11*'19_Расчет_аналитики'!$F$1223,0)</f>
        <v/>
      </c>
      <c r="T1542">
        <f>IF(IF('01_Вводные'!$B$296="Новый сезон",11-1&gt;MOD(MONTH('06_Сеть_и_дети'!T$3)-9,12),FALSE),'19_Расчет_аналитики'!T1430*CapacityAge11*'19_Расчет_аналитики'!$F$1223,0)</f>
        <v/>
      </c>
      <c r="U1542">
        <f>IF(IF('01_Вводные'!$B$296="Новый сезон",11-1&gt;MOD(MONTH('06_Сеть_и_дети'!U$3)-9,12),FALSE),'19_Расчет_аналитики'!U1430*CapacityAge11*'19_Расчет_аналитики'!$F$1223,0)</f>
        <v/>
      </c>
      <c r="V1542">
        <f>IF(IF('01_Вводные'!$B$296="Новый сезон",11-1&gt;MOD(MONTH('06_Сеть_и_дети'!V$3)-9,12),FALSE),'19_Расчет_аналитики'!V1430*CapacityAge11*'19_Расчет_аналитики'!$F$1223,0)</f>
        <v/>
      </c>
      <c r="W1542">
        <f>IF(IF('01_Вводные'!$B$296="Новый сезон",11-1&gt;MOD(MONTH('06_Сеть_и_дети'!W$3)-9,12),FALSE),'19_Расчет_аналитики'!W1430*CapacityAge11*'19_Расчет_аналитики'!$F$1223,0)</f>
        <v/>
      </c>
      <c r="X1542">
        <f>IF(IF('01_Вводные'!$B$296="Новый сезон",11-1&gt;MOD(MONTH('06_Сеть_и_дети'!X$3)-9,12),FALSE),'19_Расчет_аналитики'!X1430*CapacityAge11*'19_Расчет_аналитики'!$F$1223,0)</f>
        <v/>
      </c>
      <c r="Y1542">
        <f>IF(IF('01_Вводные'!$B$296="Новый сезон",11-1&gt;MOD(MONTH('06_Сеть_и_дети'!Y$3)-9,12),FALSE),'19_Расчет_аналитики'!Y1430*CapacityAge11*'19_Расчет_аналитики'!$F$1223,0)</f>
        <v/>
      </c>
      <c r="Z1542">
        <f>IF(IF('01_Вводные'!$B$296="Новый сезон",11-1&gt;MOD(MONTH('06_Сеть_и_дети'!Z$3)-9,12),FALSE),'19_Расчет_аналитики'!Z1430*CapacityAge11*'19_Расчет_аналитики'!$F$1223,0)</f>
        <v/>
      </c>
      <c r="AA1542">
        <f>IF(IF('01_Вводные'!$B$296="Новый сезон",11-1&gt;MOD(MONTH('06_Сеть_и_дети'!AA$3)-9,12),FALSE),'19_Расчет_аналитики'!AA1430*CapacityAge11*'19_Расчет_аналитики'!$F$1223,0)</f>
        <v/>
      </c>
      <c r="AB1542">
        <f>IF(IF('01_Вводные'!$B$296="Новый сезон",11-1&gt;MOD(MONTH('06_Сеть_и_дети'!AB$3)-9,12),FALSE),'19_Расчет_аналитики'!AB1430*CapacityAge11*'19_Расчет_аналитики'!$F$1223,0)</f>
        <v/>
      </c>
      <c r="AC1542">
        <f>IF(IF('01_Вводные'!$B$296="Новый сезон",11-1&gt;MOD(MONTH('06_Сеть_и_дети'!AC$3)-9,12),FALSE),'19_Расчет_аналитики'!AC1430*CapacityAge11*'19_Расчет_аналитики'!$F$1223,0)</f>
        <v/>
      </c>
      <c r="AD1542">
        <f>IF(IF('01_Вводные'!$B$296="Новый сезон",11-1&gt;MOD(MONTH('06_Сеть_и_дети'!AD$3)-9,12),FALSE),'19_Расчет_аналитики'!AD1430*CapacityAge11*'19_Расчет_аналитики'!$F$1223,0)</f>
        <v/>
      </c>
      <c r="AE1542">
        <f>IF(IF('01_Вводные'!$B$296="Новый сезон",11-1&gt;MOD(MONTH('06_Сеть_и_дети'!AE$3)-9,12),FALSE),'19_Расчет_аналитики'!AE1430*CapacityAge11*'19_Расчет_аналитики'!$F$1223,0)</f>
        <v/>
      </c>
      <c r="AF1542">
        <f>IF(IF('01_Вводные'!$B$296="Новый сезон",11-1&gt;MOD(MONTH('06_Сеть_и_дети'!AF$3)-9,12),FALSE),'19_Расчет_аналитики'!AF1430*CapacityAge11*'19_Расчет_аналитики'!$F$1223,0)</f>
        <v/>
      </c>
      <c r="AG1542">
        <f>IF(IF('01_Вводные'!$B$296="Новый сезон",11-1&gt;MOD(MONTH('06_Сеть_и_дети'!AG$3)-9,12),FALSE),'19_Расчет_аналитики'!AG1430*CapacityAge11*'19_Расчет_аналитики'!$F$1223,0)</f>
        <v/>
      </c>
      <c r="AH1542">
        <f>IF(IF('01_Вводные'!$B$296="Новый сезон",11-1&gt;MOD(MONTH('06_Сеть_и_дети'!AH$3)-9,12),FALSE),'19_Расчет_аналитики'!AH1430*CapacityAge11*'19_Расчет_аналитики'!$F$1223,0)</f>
        <v/>
      </c>
      <c r="AI1542">
        <f>IF(IF('01_Вводные'!$B$296="Новый сезон",11-1&gt;MOD(MONTH('06_Сеть_и_дети'!AI$3)-9,12),FALSE),'19_Расчет_аналитики'!AI1430*CapacityAge11*'19_Расчет_аналитики'!$F$1223,0)</f>
        <v/>
      </c>
      <c r="AJ1542">
        <f>IF(IF('01_Вводные'!$B$296="Новый сезон",11-1&gt;MOD(MONTH('06_Сеть_и_дети'!AJ$3)-9,12),FALSE),'19_Расчет_аналитики'!AJ1430*CapacityAge11*'19_Расчет_аналитики'!$F$1223,0)</f>
        <v/>
      </c>
      <c r="AK1542">
        <f>IF(IF('01_Вводные'!$B$296="Новый сезон",11-1&gt;MOD(MONTH('06_Сеть_и_дети'!AK$3)-9,12),FALSE),'19_Расчет_аналитики'!AK1430*CapacityAge11*'19_Расчет_аналитики'!$F$1223,0)</f>
        <v/>
      </c>
      <c r="AL1542">
        <f>IF(IF('01_Вводные'!$B$296="Новый сезон",11-1&gt;MOD(MONTH('06_Сеть_и_дети'!AL$3)-9,12),FALSE),'19_Расчет_аналитики'!AL1430*CapacityAge11*'19_Расчет_аналитики'!$F$1223,0)</f>
        <v/>
      </c>
      <c r="AM1542">
        <f>IF(IF('01_Вводные'!$B$296="Новый сезон",11-1&gt;MOD(MONTH('06_Сеть_и_дети'!AM$3)-9,12),FALSE),'19_Расчет_аналитики'!AM1430*CapacityAge11*'19_Расчет_аналитики'!$F$1223,0)</f>
        <v/>
      </c>
      <c r="AN1542">
        <f>IF(IF('01_Вводные'!$B$296="Новый сезон",11-1&gt;MOD(MONTH('06_Сеть_и_дети'!AN$3)-9,12),FALSE),'19_Расчет_аналитики'!AN1430*CapacityAge11*'19_Расчет_аналитики'!$F$1223,0)</f>
        <v/>
      </c>
      <c r="AO1542">
        <f>IF(IF('01_Вводные'!$B$296="Новый сезон",11-1&gt;MOD(MONTH('06_Сеть_и_дети'!AO$3)-9,12),FALSE),'19_Расчет_аналитики'!AO1430*CapacityAge11*'19_Расчет_аналитики'!$F$1223,0)</f>
        <v/>
      </c>
      <c r="AP1542">
        <f>IF(IF('01_Вводные'!$B$296="Новый сезон",11-1&gt;MOD(MONTH('06_Сеть_и_дети'!AP$3)-9,12),FALSE),'19_Расчет_аналитики'!AP1430*CapacityAge11*'19_Расчет_аналитики'!$F$1223,0)</f>
        <v/>
      </c>
      <c r="AQ1542">
        <f>IF(IF('01_Вводные'!$B$296="Новый сезон",11-1&gt;MOD(MONTH('06_Сеть_и_дети'!AQ$3)-9,12),FALSE),'19_Расчет_аналитики'!AQ1430*CapacityAge11*'19_Расчет_аналитики'!$F$1223,0)</f>
        <v/>
      </c>
      <c r="AR1542">
        <f>IF(IF('01_Вводные'!$B$296="Новый сезон",11-1&gt;MOD(MONTH('06_Сеть_и_дети'!AR$3)-9,12),FALSE),'19_Расчет_аналитики'!AR1430*CapacityAge11*'19_Расчет_аналитики'!$F$1223,0)</f>
        <v/>
      </c>
      <c r="AS1542">
        <f>IF(IF('01_Вводные'!$B$296="Новый сезон",11-1&gt;MOD(MONTH('06_Сеть_и_дети'!AS$3)-9,12),FALSE),'19_Расчет_аналитики'!AS1430*CapacityAge11*'19_Расчет_аналитики'!$F$1223,0)</f>
        <v/>
      </c>
      <c r="AT1542">
        <f>IF(IF('01_Вводные'!$B$296="Новый сезон",11-1&gt;MOD(MONTH('06_Сеть_и_дети'!AT$3)-9,12),FALSE),'19_Расчет_аналитики'!AT1430*CapacityAge11*'19_Расчет_аналитики'!$F$1223,0)</f>
        <v/>
      </c>
      <c r="AU1542">
        <f>IF(IF('01_Вводные'!$B$296="Новый сезон",11-1&gt;MOD(MONTH('06_Сеть_и_дети'!AU$3)-9,12),FALSE),'19_Расчет_аналитики'!AU1430*CapacityAge11*'19_Расчет_аналитики'!$F$1223,0)</f>
        <v/>
      </c>
      <c r="AV1542">
        <f>IF(IF('01_Вводные'!$B$296="Новый сезон",11-1&gt;MOD(MONTH('06_Сеть_и_дети'!AV$3)-9,12),FALSE),'19_Расчет_аналитики'!AV1430*CapacityAge11*'19_Расчет_аналитики'!$F$1223,0)</f>
        <v/>
      </c>
      <c r="AW1542">
        <f>IF(IF('01_Вводные'!$B$296="Новый сезон",11-1&gt;MOD(MONTH('06_Сеть_и_дети'!AW$3)-9,12),FALSE),'19_Расчет_аналитики'!AW1430*CapacityAge11*'19_Расчет_аналитики'!$F$1223,0)</f>
        <v/>
      </c>
      <c r="AX1542">
        <f>IF(IF('01_Вводные'!$B$296="Новый сезон",11-1&gt;MOD(MONTH('06_Сеть_и_дети'!AX$3)-9,12),FALSE),'19_Расчет_аналитики'!AX1430*CapacityAge11*'19_Расчет_аналитики'!$F$1223,0)</f>
        <v/>
      </c>
      <c r="AY1542">
        <f>IF(IF('01_Вводные'!$B$296="Новый сезон",11-1&gt;MOD(MONTH('06_Сеть_и_дети'!AY$3)-9,12),FALSE),'19_Расчет_аналитики'!AY1430*CapacityAge11*'19_Расчет_аналитики'!$F$1223,0)</f>
        <v/>
      </c>
      <c r="AZ1542">
        <f>IF(IF('01_Вводные'!$B$296="Новый сезон",11-1&gt;MOD(MONTH('06_Сеть_и_дети'!AZ$3)-9,12),FALSE),'19_Расчет_аналитики'!AZ1430*CapacityAge11*'19_Расчет_аналитики'!$F$1223,0)</f>
        <v/>
      </c>
      <c r="BA1542">
        <f>IF(IF('01_Вводные'!$B$296="Новый сезон",11-1&gt;MOD(MONTH('06_Сеть_и_дети'!BA$3)-9,12),FALSE),'19_Расчет_аналитики'!BA1430*CapacityAge11*'19_Расчет_аналитики'!$F$1223,0)</f>
        <v/>
      </c>
      <c r="BB1542">
        <f>IF(IF('01_Вводные'!$B$296="Новый сезон",11-1&gt;MOD(MONTH('06_Сеть_и_дети'!BB$3)-9,12),FALSE),'19_Расчет_аналитики'!BB1430*CapacityAge11*'19_Расчет_аналитики'!$F$1223,0)</f>
        <v/>
      </c>
      <c r="BC1542">
        <f>IF(IF('01_Вводные'!$B$296="Новый сезон",11-1&gt;MOD(MONTH('06_Сеть_и_дети'!BC$3)-9,12),FALSE),'19_Расчет_аналитики'!BC1430*CapacityAge11*'19_Расчет_аналитики'!$F$1223,0)</f>
        <v/>
      </c>
      <c r="BD1542">
        <f>IF(IF('01_Вводные'!$B$296="Новый сезон",11-1&gt;MOD(MONTH('06_Сеть_и_дети'!BD$3)-9,12),FALSE),'19_Расчет_аналитики'!BD1430*CapacityAge11*'19_Расчет_аналитики'!$F$1223,0)</f>
        <v/>
      </c>
      <c r="BE1542">
        <f>IF(IF('01_Вводные'!$B$296="Новый сезон",11-1&gt;MOD(MONTH('06_Сеть_и_дети'!BE$3)-9,12),FALSE),'19_Расчет_аналитики'!BE1430*CapacityAge11*'19_Расчет_аналитики'!$F$1223,0)</f>
        <v/>
      </c>
      <c r="BF1542">
        <f>IF(IF('01_Вводные'!$B$296="Новый сезон",11-1&gt;MOD(MONTH('06_Сеть_и_дети'!BF$3)-9,12),FALSE),'19_Расчет_аналитики'!BF1430*CapacityAge11*'19_Расчет_аналитики'!$F$1223,0)</f>
        <v/>
      </c>
      <c r="BG1542">
        <f>IF(IF('01_Вводные'!$B$296="Новый сезон",11-1&gt;MOD(MONTH('06_Сеть_и_дети'!BG$3)-9,12),FALSE),'19_Расчет_аналитики'!BG1430*CapacityAge11*'19_Расчет_аналитики'!$F$1223,0)</f>
        <v/>
      </c>
      <c r="BH1542">
        <f>IF(IF('01_Вводные'!$B$296="Новый сезон",11-1&gt;MOD(MONTH('06_Сеть_и_дети'!BH$3)-9,12),FALSE),'19_Расчет_аналитики'!BH1430*CapacityAge11*'19_Расчет_аналитики'!$F$1223,0)</f>
        <v/>
      </c>
      <c r="BI1542">
        <f>IF(IF('01_Вводные'!$B$296="Новый сезон",11-1&gt;MOD(MONTH('06_Сеть_и_дети'!BI$3)-9,12),FALSE),'19_Расчет_аналитики'!BI1430*CapacityAge11*'19_Расчет_аналитики'!$F$1223,0)</f>
        <v/>
      </c>
      <c r="BJ1542">
        <f>IF(IF('01_Вводные'!$B$296="Новый сезон",11-1&gt;MOD(MONTH('06_Сеть_и_дети'!BJ$3)-9,12),FALSE),'19_Расчет_аналитики'!BJ1430*CapacityAge11*'19_Расчет_аналитики'!$F$1223,0)</f>
        <v/>
      </c>
      <c r="BK1542">
        <f>IF(IF('01_Вводные'!$B$296="Новый сезон",11-1&gt;MOD(MONTH('06_Сеть_и_дети'!BK$3)-9,12),FALSE),'19_Расчет_аналитики'!BK1430*CapacityAge11*'19_Расчет_аналитики'!$F$1223,0)</f>
        <v/>
      </c>
      <c r="BL1542">
        <f>IF(IF('01_Вводные'!$B$296="Новый сезон",11-1&gt;MOD(MONTH('06_Сеть_и_дети'!BL$3)-9,12),FALSE),'19_Расчет_аналитики'!BL1430*CapacityAge11*'19_Расчет_аналитики'!$F$1223,0)</f>
        <v/>
      </c>
      <c r="BM1542">
        <f>IF(IF('01_Вводные'!$B$296="Новый сезон",11-1&gt;MOD(MONTH('06_Сеть_и_дети'!BM$3)-9,12),FALSE),'19_Расчет_аналитики'!BM1430*CapacityAge11*'19_Расчет_аналитики'!$F$1223,0)</f>
        <v/>
      </c>
      <c r="BN1542">
        <f>IF(IF('01_Вводные'!$B$296="Новый сезон",11-1&gt;MOD(MONTH('06_Сеть_и_дети'!BN$3)-9,12),FALSE),'19_Расчет_аналитики'!BN1430*CapacityAge11*'19_Расчет_аналитики'!$F$1223,0)</f>
        <v/>
      </c>
      <c r="BO1542">
        <f>IF(IF('01_Вводные'!$B$296="Новый сезон",11-1&gt;MOD(MONTH('06_Сеть_и_дети'!BO$3)-9,12),FALSE),'19_Расчет_аналитики'!BO1430*CapacityAge11*'19_Расчет_аналитики'!$F$1223,0)</f>
        <v/>
      </c>
    </row>
    <row r="1543">
      <c r="B1543">
        <f>IF(IF('01_Вводные'!$B$296="Новый сезон",12-1&gt;MOD(MONTH('06_Сеть_и_дети'!B$3)-9,12),FALSE),'06_Сеть_и_дети'!B64*CapacityAge12*'19_Расчет_аналитики'!$F$1223,0)</f>
        <v/>
      </c>
      <c r="C1543">
        <f>IF(IF('01_Вводные'!$B$296="Новый сезон",12-1&gt;MOD(MONTH('06_Сеть_и_дети'!C$3)-9,12),FALSE),'06_Сеть_и_дети'!C64*CapacityAge12*'19_Расчет_аналитики'!$F$1223,0)</f>
        <v/>
      </c>
      <c r="D1543">
        <f>IF(IF('01_Вводные'!$B$296="Новый сезон",12-1&gt;MOD(MONTH('06_Сеть_и_дети'!D$3)-9,12),FALSE),'06_Сеть_и_дети'!D64*CapacityAge12*'19_Расчет_аналитики'!$F$1223,0)</f>
        <v/>
      </c>
      <c r="E1543">
        <f>IF(IF('01_Вводные'!$B$296="Новый сезон",12-1&gt;MOD(MONTH('06_Сеть_и_дети'!E$3)-9,12),FALSE),'06_Сеть_и_дети'!E64*CapacityAge12*'19_Расчет_аналитики'!$F$1223,0)</f>
        <v/>
      </c>
      <c r="F1543">
        <f>IF(IF('01_Вводные'!$B$296="Новый сезон",12-1&gt;MOD(MONTH('06_Сеть_и_дети'!F$3)-9,12),FALSE),'06_Сеть_и_дети'!F64*CapacityAge12*'19_Расчет_аналитики'!$F$1223,0)</f>
        <v/>
      </c>
      <c r="G1543">
        <f>IF(IF('01_Вводные'!$B$296="Новый сезон",12-1&gt;MOD(MONTH('06_Сеть_и_дети'!G$3)-9,12),FALSE),'06_Сеть_и_дети'!G64*CapacityAge12*'19_Расчет_аналитики'!$F$1223,0)</f>
        <v/>
      </c>
      <c r="H1543">
        <f>IF(IF('01_Вводные'!$B$296="Новый сезон",12-1&gt;MOD(MONTH('06_Сеть_и_дети'!H$3)-9,12),FALSE),'06_Сеть_и_дети'!H64*CapacityAge12*'19_Расчет_аналитики'!$F$1223,0)</f>
        <v/>
      </c>
      <c r="I1543">
        <f>IF(IF('01_Вводные'!$B$296="Новый сезон",12-1&gt;MOD(MONTH('06_Сеть_и_дети'!I$3)-9,12),FALSE),'06_Сеть_и_дети'!I64*CapacityAge12*'19_Расчет_аналитики'!$F$1223,0)</f>
        <v/>
      </c>
      <c r="J1543">
        <f>IF(IF('01_Вводные'!$B$296="Новый сезон",12-1&gt;MOD(MONTH('06_Сеть_и_дети'!J$3)-9,12),FALSE),'06_Сеть_и_дети'!J64*CapacityAge12*'19_Расчет_аналитики'!$F$1223,0)</f>
        <v/>
      </c>
      <c r="K1543">
        <f>IF(IF('01_Вводные'!$B$296="Новый сезон",12-1&gt;MOD(MONTH('06_Сеть_и_дети'!K$3)-9,12),FALSE),'06_Сеть_и_дети'!K64*CapacityAge12*'19_Расчет_аналитики'!$F$1223,0)</f>
        <v/>
      </c>
      <c r="L1543">
        <f>IF(IF('01_Вводные'!$B$296="Новый сезон",12-1&gt;MOD(MONTH('06_Сеть_и_дети'!L$3)-9,12),FALSE),'06_Сеть_и_дети'!L64*CapacityAge12*'19_Расчет_аналитики'!$F$1223,0)</f>
        <v/>
      </c>
      <c r="M1543">
        <f>IF(IF('01_Вводные'!$B$296="Новый сезон",12-1&gt;MOD(MONTH('06_Сеть_и_дети'!M$3)-9,12),FALSE),'19_Расчет_аналитики'!M1431*CapacityAge12*'19_Расчет_аналитики'!$F$1223,0)</f>
        <v/>
      </c>
      <c r="N1543">
        <f>IF(IF('01_Вводные'!$B$296="Новый сезон",12-1&gt;MOD(MONTH('06_Сеть_и_дети'!N$3)-9,12),FALSE),'19_Расчет_аналитики'!N1431*CapacityAge12*'19_Расчет_аналитики'!$F$1223,0)</f>
        <v/>
      </c>
      <c r="O1543">
        <f>IF(IF('01_Вводные'!$B$296="Новый сезон",12-1&gt;MOD(MONTH('06_Сеть_и_дети'!O$3)-9,12),FALSE),'19_Расчет_аналитики'!O1431*CapacityAge12*'19_Расчет_аналитики'!$F$1223,0)</f>
        <v/>
      </c>
      <c r="P1543">
        <f>IF(IF('01_Вводные'!$B$296="Новый сезон",12-1&gt;MOD(MONTH('06_Сеть_и_дети'!P$3)-9,12),FALSE),'19_Расчет_аналитики'!P1431*CapacityAge12*'19_Расчет_аналитики'!$F$1223,0)</f>
        <v/>
      </c>
      <c r="Q1543">
        <f>IF(IF('01_Вводные'!$B$296="Новый сезон",12-1&gt;MOD(MONTH('06_Сеть_и_дети'!Q$3)-9,12),FALSE),'19_Расчет_аналитики'!Q1431*CapacityAge12*'19_Расчет_аналитики'!$F$1223,0)</f>
        <v/>
      </c>
      <c r="R1543">
        <f>IF(IF('01_Вводные'!$B$296="Новый сезон",12-1&gt;MOD(MONTH('06_Сеть_и_дети'!R$3)-9,12),FALSE),'19_Расчет_аналитики'!R1431*CapacityAge12*'19_Расчет_аналитики'!$F$1223,0)</f>
        <v/>
      </c>
      <c r="S1543">
        <f>IF(IF('01_Вводные'!$B$296="Новый сезон",12-1&gt;MOD(MONTH('06_Сеть_и_дети'!S$3)-9,12),FALSE),'19_Расчет_аналитики'!S1431*CapacityAge12*'19_Расчет_аналитики'!$F$1223,0)</f>
        <v/>
      </c>
      <c r="T1543">
        <f>IF(IF('01_Вводные'!$B$296="Новый сезон",12-1&gt;MOD(MONTH('06_Сеть_и_дети'!T$3)-9,12),FALSE),'19_Расчет_аналитики'!T1431*CapacityAge12*'19_Расчет_аналитики'!$F$1223,0)</f>
        <v/>
      </c>
      <c r="U1543">
        <f>IF(IF('01_Вводные'!$B$296="Новый сезон",12-1&gt;MOD(MONTH('06_Сеть_и_дети'!U$3)-9,12),FALSE),'19_Расчет_аналитики'!U1431*CapacityAge12*'19_Расчет_аналитики'!$F$1223,0)</f>
        <v/>
      </c>
      <c r="V1543">
        <f>IF(IF('01_Вводные'!$B$296="Новый сезон",12-1&gt;MOD(MONTH('06_Сеть_и_дети'!V$3)-9,12),FALSE),'19_Расчет_аналитики'!V1431*CapacityAge12*'19_Расчет_аналитики'!$F$1223,0)</f>
        <v/>
      </c>
      <c r="W1543">
        <f>IF(IF('01_Вводные'!$B$296="Новый сезон",12-1&gt;MOD(MONTH('06_Сеть_и_дети'!W$3)-9,12),FALSE),'19_Расчет_аналитики'!W1431*CapacityAge12*'19_Расчет_аналитики'!$F$1223,0)</f>
        <v/>
      </c>
      <c r="X1543">
        <f>IF(IF('01_Вводные'!$B$296="Новый сезон",12-1&gt;MOD(MONTH('06_Сеть_и_дети'!X$3)-9,12),FALSE),'19_Расчет_аналитики'!X1431*CapacityAge12*'19_Расчет_аналитики'!$F$1223,0)</f>
        <v/>
      </c>
      <c r="Y1543">
        <f>IF(IF('01_Вводные'!$B$296="Новый сезон",12-1&gt;MOD(MONTH('06_Сеть_и_дети'!Y$3)-9,12),FALSE),'19_Расчет_аналитики'!Y1431*CapacityAge12*'19_Расчет_аналитики'!$F$1223,0)</f>
        <v/>
      </c>
      <c r="Z1543">
        <f>IF(IF('01_Вводные'!$B$296="Новый сезон",12-1&gt;MOD(MONTH('06_Сеть_и_дети'!Z$3)-9,12),FALSE),'19_Расчет_аналитики'!Z1431*CapacityAge12*'19_Расчет_аналитики'!$F$1223,0)</f>
        <v/>
      </c>
      <c r="AA1543">
        <f>IF(IF('01_Вводные'!$B$296="Новый сезон",12-1&gt;MOD(MONTH('06_Сеть_и_дети'!AA$3)-9,12),FALSE),'19_Расчет_аналитики'!AA1431*CapacityAge12*'19_Расчет_аналитики'!$F$1223,0)</f>
        <v/>
      </c>
      <c r="AB1543">
        <f>IF(IF('01_Вводные'!$B$296="Новый сезон",12-1&gt;MOD(MONTH('06_Сеть_и_дети'!AB$3)-9,12),FALSE),'19_Расчет_аналитики'!AB1431*CapacityAge12*'19_Расчет_аналитики'!$F$1223,0)</f>
        <v/>
      </c>
      <c r="AC1543">
        <f>IF(IF('01_Вводные'!$B$296="Новый сезон",12-1&gt;MOD(MONTH('06_Сеть_и_дети'!AC$3)-9,12),FALSE),'19_Расчет_аналитики'!AC1431*CapacityAge12*'19_Расчет_аналитики'!$F$1223,0)</f>
        <v/>
      </c>
      <c r="AD1543">
        <f>IF(IF('01_Вводные'!$B$296="Новый сезон",12-1&gt;MOD(MONTH('06_Сеть_и_дети'!AD$3)-9,12),FALSE),'19_Расчет_аналитики'!AD1431*CapacityAge12*'19_Расчет_аналитики'!$F$1223,0)</f>
        <v/>
      </c>
      <c r="AE1543">
        <f>IF(IF('01_Вводные'!$B$296="Новый сезон",12-1&gt;MOD(MONTH('06_Сеть_и_дети'!AE$3)-9,12),FALSE),'19_Расчет_аналитики'!AE1431*CapacityAge12*'19_Расчет_аналитики'!$F$1223,0)</f>
        <v/>
      </c>
      <c r="AF1543">
        <f>IF(IF('01_Вводные'!$B$296="Новый сезон",12-1&gt;MOD(MONTH('06_Сеть_и_дети'!AF$3)-9,12),FALSE),'19_Расчет_аналитики'!AF1431*CapacityAge12*'19_Расчет_аналитики'!$F$1223,0)</f>
        <v/>
      </c>
      <c r="AG1543">
        <f>IF(IF('01_Вводные'!$B$296="Новый сезон",12-1&gt;MOD(MONTH('06_Сеть_и_дети'!AG$3)-9,12),FALSE),'19_Расчет_аналитики'!AG1431*CapacityAge12*'19_Расчет_аналитики'!$F$1223,0)</f>
        <v/>
      </c>
      <c r="AH1543">
        <f>IF(IF('01_Вводные'!$B$296="Новый сезон",12-1&gt;MOD(MONTH('06_Сеть_и_дети'!AH$3)-9,12),FALSE),'19_Расчет_аналитики'!AH1431*CapacityAge12*'19_Расчет_аналитики'!$F$1223,0)</f>
        <v/>
      </c>
      <c r="AI1543">
        <f>IF(IF('01_Вводные'!$B$296="Новый сезон",12-1&gt;MOD(MONTH('06_Сеть_и_дети'!AI$3)-9,12),FALSE),'19_Расчет_аналитики'!AI1431*CapacityAge12*'19_Расчет_аналитики'!$F$1223,0)</f>
        <v/>
      </c>
      <c r="AJ1543">
        <f>IF(IF('01_Вводные'!$B$296="Новый сезон",12-1&gt;MOD(MONTH('06_Сеть_и_дети'!AJ$3)-9,12),FALSE),'19_Расчет_аналитики'!AJ1431*CapacityAge12*'19_Расчет_аналитики'!$F$1223,0)</f>
        <v/>
      </c>
      <c r="AK1543">
        <f>IF(IF('01_Вводные'!$B$296="Новый сезон",12-1&gt;MOD(MONTH('06_Сеть_и_дети'!AK$3)-9,12),FALSE),'19_Расчет_аналитики'!AK1431*CapacityAge12*'19_Расчет_аналитики'!$F$1223,0)</f>
        <v/>
      </c>
      <c r="AL1543">
        <f>IF(IF('01_Вводные'!$B$296="Новый сезон",12-1&gt;MOD(MONTH('06_Сеть_и_дети'!AL$3)-9,12),FALSE),'19_Расчет_аналитики'!AL1431*CapacityAge12*'19_Расчет_аналитики'!$F$1223,0)</f>
        <v/>
      </c>
      <c r="AM1543">
        <f>IF(IF('01_Вводные'!$B$296="Новый сезон",12-1&gt;MOD(MONTH('06_Сеть_и_дети'!AM$3)-9,12),FALSE),'19_Расчет_аналитики'!AM1431*CapacityAge12*'19_Расчет_аналитики'!$F$1223,0)</f>
        <v/>
      </c>
      <c r="AN1543">
        <f>IF(IF('01_Вводные'!$B$296="Новый сезон",12-1&gt;MOD(MONTH('06_Сеть_и_дети'!AN$3)-9,12),FALSE),'19_Расчет_аналитики'!AN1431*CapacityAge12*'19_Расчет_аналитики'!$F$1223,0)</f>
        <v/>
      </c>
      <c r="AO1543">
        <f>IF(IF('01_Вводные'!$B$296="Новый сезон",12-1&gt;MOD(MONTH('06_Сеть_и_дети'!AO$3)-9,12),FALSE),'19_Расчет_аналитики'!AO1431*CapacityAge12*'19_Расчет_аналитики'!$F$1223,0)</f>
        <v/>
      </c>
      <c r="AP1543">
        <f>IF(IF('01_Вводные'!$B$296="Новый сезон",12-1&gt;MOD(MONTH('06_Сеть_и_дети'!AP$3)-9,12),FALSE),'19_Расчет_аналитики'!AP1431*CapacityAge12*'19_Расчет_аналитики'!$F$1223,0)</f>
        <v/>
      </c>
      <c r="AQ1543">
        <f>IF(IF('01_Вводные'!$B$296="Новый сезон",12-1&gt;MOD(MONTH('06_Сеть_и_дети'!AQ$3)-9,12),FALSE),'19_Расчет_аналитики'!AQ1431*CapacityAge12*'19_Расчет_аналитики'!$F$1223,0)</f>
        <v/>
      </c>
      <c r="AR1543">
        <f>IF(IF('01_Вводные'!$B$296="Новый сезон",12-1&gt;MOD(MONTH('06_Сеть_и_дети'!AR$3)-9,12),FALSE),'19_Расчет_аналитики'!AR1431*CapacityAge12*'19_Расчет_аналитики'!$F$1223,0)</f>
        <v/>
      </c>
      <c r="AS1543">
        <f>IF(IF('01_Вводные'!$B$296="Новый сезон",12-1&gt;MOD(MONTH('06_Сеть_и_дети'!AS$3)-9,12),FALSE),'19_Расчет_аналитики'!AS1431*CapacityAge12*'19_Расчет_аналитики'!$F$1223,0)</f>
        <v/>
      </c>
      <c r="AT1543">
        <f>IF(IF('01_Вводные'!$B$296="Новый сезон",12-1&gt;MOD(MONTH('06_Сеть_и_дети'!AT$3)-9,12),FALSE),'19_Расчет_аналитики'!AT1431*CapacityAge12*'19_Расчет_аналитики'!$F$1223,0)</f>
        <v/>
      </c>
      <c r="AU1543">
        <f>IF(IF('01_Вводные'!$B$296="Новый сезон",12-1&gt;MOD(MONTH('06_Сеть_и_дети'!AU$3)-9,12),FALSE),'19_Расчет_аналитики'!AU1431*CapacityAge12*'19_Расчет_аналитики'!$F$1223,0)</f>
        <v/>
      </c>
      <c r="AV1543">
        <f>IF(IF('01_Вводные'!$B$296="Новый сезон",12-1&gt;MOD(MONTH('06_Сеть_и_дети'!AV$3)-9,12),FALSE),'19_Расчет_аналитики'!AV1431*CapacityAge12*'19_Расчет_аналитики'!$F$1223,0)</f>
        <v/>
      </c>
      <c r="AW1543">
        <f>IF(IF('01_Вводные'!$B$296="Новый сезон",12-1&gt;MOD(MONTH('06_Сеть_и_дети'!AW$3)-9,12),FALSE),'19_Расчет_аналитики'!AW1431*CapacityAge12*'19_Расчет_аналитики'!$F$1223,0)</f>
        <v/>
      </c>
      <c r="AX1543">
        <f>IF(IF('01_Вводные'!$B$296="Новый сезон",12-1&gt;MOD(MONTH('06_Сеть_и_дети'!AX$3)-9,12),FALSE),'19_Расчет_аналитики'!AX1431*CapacityAge12*'19_Расчет_аналитики'!$F$1223,0)</f>
        <v/>
      </c>
      <c r="AY1543">
        <f>IF(IF('01_Вводные'!$B$296="Новый сезон",12-1&gt;MOD(MONTH('06_Сеть_и_дети'!AY$3)-9,12),FALSE),'19_Расчет_аналитики'!AY1431*CapacityAge12*'19_Расчет_аналитики'!$F$1223,0)</f>
        <v/>
      </c>
      <c r="AZ1543">
        <f>IF(IF('01_Вводные'!$B$296="Новый сезон",12-1&gt;MOD(MONTH('06_Сеть_и_дети'!AZ$3)-9,12),FALSE),'19_Расчет_аналитики'!AZ1431*CapacityAge12*'19_Расчет_аналитики'!$F$1223,0)</f>
        <v/>
      </c>
      <c r="BA1543">
        <f>IF(IF('01_Вводные'!$B$296="Новый сезон",12-1&gt;MOD(MONTH('06_Сеть_и_дети'!BA$3)-9,12),FALSE),'19_Расчет_аналитики'!BA1431*CapacityAge12*'19_Расчет_аналитики'!$F$1223,0)</f>
        <v/>
      </c>
      <c r="BB1543">
        <f>IF(IF('01_Вводные'!$B$296="Новый сезон",12-1&gt;MOD(MONTH('06_Сеть_и_дети'!BB$3)-9,12),FALSE),'19_Расчет_аналитики'!BB1431*CapacityAge12*'19_Расчет_аналитики'!$F$1223,0)</f>
        <v/>
      </c>
      <c r="BC1543">
        <f>IF(IF('01_Вводные'!$B$296="Новый сезон",12-1&gt;MOD(MONTH('06_Сеть_и_дети'!BC$3)-9,12),FALSE),'19_Расчет_аналитики'!BC1431*CapacityAge12*'19_Расчет_аналитики'!$F$1223,0)</f>
        <v/>
      </c>
      <c r="BD1543">
        <f>IF(IF('01_Вводные'!$B$296="Новый сезон",12-1&gt;MOD(MONTH('06_Сеть_и_дети'!BD$3)-9,12),FALSE),'19_Расчет_аналитики'!BD1431*CapacityAge12*'19_Расчет_аналитики'!$F$1223,0)</f>
        <v/>
      </c>
      <c r="BE1543">
        <f>IF(IF('01_Вводные'!$B$296="Новый сезон",12-1&gt;MOD(MONTH('06_Сеть_и_дети'!BE$3)-9,12),FALSE),'19_Расчет_аналитики'!BE1431*CapacityAge12*'19_Расчет_аналитики'!$F$1223,0)</f>
        <v/>
      </c>
      <c r="BF1543">
        <f>IF(IF('01_Вводные'!$B$296="Новый сезон",12-1&gt;MOD(MONTH('06_Сеть_и_дети'!BF$3)-9,12),FALSE),'19_Расчет_аналитики'!BF1431*CapacityAge12*'19_Расчет_аналитики'!$F$1223,0)</f>
        <v/>
      </c>
      <c r="BG1543">
        <f>IF(IF('01_Вводные'!$B$296="Новый сезон",12-1&gt;MOD(MONTH('06_Сеть_и_дети'!BG$3)-9,12),FALSE),'19_Расчет_аналитики'!BG1431*CapacityAge12*'19_Расчет_аналитики'!$F$1223,0)</f>
        <v/>
      </c>
      <c r="BH1543">
        <f>IF(IF('01_Вводные'!$B$296="Новый сезон",12-1&gt;MOD(MONTH('06_Сеть_и_дети'!BH$3)-9,12),FALSE),'19_Расчет_аналитики'!BH1431*CapacityAge12*'19_Расчет_аналитики'!$F$1223,0)</f>
        <v/>
      </c>
      <c r="BI1543">
        <f>IF(IF('01_Вводные'!$B$296="Новый сезон",12-1&gt;MOD(MONTH('06_Сеть_и_дети'!BI$3)-9,12),FALSE),'19_Расчет_аналитики'!BI1431*CapacityAge12*'19_Расчет_аналитики'!$F$1223,0)</f>
        <v/>
      </c>
      <c r="BJ1543">
        <f>IF(IF('01_Вводные'!$B$296="Новый сезон",12-1&gt;MOD(MONTH('06_Сеть_и_дети'!BJ$3)-9,12),FALSE),'19_Расчет_аналитики'!BJ1431*CapacityAge12*'19_Расчет_аналитики'!$F$1223,0)</f>
        <v/>
      </c>
      <c r="BK1543">
        <f>IF(IF('01_Вводные'!$B$296="Новый сезон",12-1&gt;MOD(MONTH('06_Сеть_и_дети'!BK$3)-9,12),FALSE),'19_Расчет_аналитики'!BK1431*CapacityAge12*'19_Расчет_аналитики'!$F$1223,0)</f>
        <v/>
      </c>
      <c r="BL1543">
        <f>IF(IF('01_Вводные'!$B$296="Новый сезон",12-1&gt;MOD(MONTH('06_Сеть_и_дети'!BL$3)-9,12),FALSE),'19_Расчет_аналитики'!BL1431*CapacityAge12*'19_Расчет_аналитики'!$F$1223,0)</f>
        <v/>
      </c>
      <c r="BM1543">
        <f>IF(IF('01_Вводные'!$B$296="Новый сезон",12-1&gt;MOD(MONTH('06_Сеть_и_дети'!BM$3)-9,12),FALSE),'19_Расчет_аналитики'!BM1431*CapacityAge12*'19_Расчет_аналитики'!$F$1223,0)</f>
        <v/>
      </c>
      <c r="BN1543">
        <f>IF(IF('01_Вводные'!$B$296="Новый сезон",12-1&gt;MOD(MONTH('06_Сеть_и_дети'!BN$3)-9,12),FALSE),'19_Расчет_аналитики'!BN1431*CapacityAge12*'19_Расчет_аналитики'!$F$1223,0)</f>
        <v/>
      </c>
      <c r="BO1543">
        <f>IF(IF('01_Вводные'!$B$296="Новый сезон",12-1&gt;MOD(MONTH('06_Сеть_и_дети'!BO$3)-9,12),FALSE),'19_Расчет_аналитики'!BO1431*CapacityAge12*'19_Расчет_аналитики'!$F$1223,0)</f>
        <v/>
      </c>
    </row>
    <row r="1544">
      <c r="B1544">
        <f>IF(IF('01_Вводные'!$B$296="Новый сезон",TRUE,TRUE),'06_Сеть_и_дети'!B65*CapacityAge13*'19_Расчет_аналитики'!$F$1223,0)</f>
        <v/>
      </c>
      <c r="C1544">
        <f>IF(IF('01_Вводные'!$B$296="Новый сезон",TRUE,TRUE),'06_Сеть_и_дети'!C65*CapacityAge13*'19_Расчет_аналитики'!$F$1223,0)</f>
        <v/>
      </c>
      <c r="D1544">
        <f>IF(IF('01_Вводные'!$B$296="Новый сезон",TRUE,TRUE),'06_Сеть_и_дети'!D65*CapacityAge13*'19_Расчет_аналитики'!$F$1223,0)</f>
        <v/>
      </c>
      <c r="E1544">
        <f>IF(IF('01_Вводные'!$B$296="Новый сезон",TRUE,TRUE),'06_Сеть_и_дети'!E65*CapacityAge13*'19_Расчет_аналитики'!$F$1223,0)</f>
        <v/>
      </c>
      <c r="F1544">
        <f>IF(IF('01_Вводные'!$B$296="Новый сезон",TRUE,TRUE),'06_Сеть_и_дети'!F65*CapacityAge13*'19_Расчет_аналитики'!$F$1223,0)</f>
        <v/>
      </c>
      <c r="G1544">
        <f>IF(IF('01_Вводные'!$B$296="Новый сезон",TRUE,TRUE),'06_Сеть_и_дети'!G65*CapacityAge13*'19_Расчет_аналитики'!$F$1223,0)</f>
        <v/>
      </c>
      <c r="H1544">
        <f>IF(IF('01_Вводные'!$B$296="Новый сезон",TRUE,TRUE),'06_Сеть_и_дети'!H65*CapacityAge13*'19_Расчет_аналитики'!$F$1223,0)</f>
        <v/>
      </c>
      <c r="I1544">
        <f>IF(IF('01_Вводные'!$B$296="Новый сезон",TRUE,TRUE),'06_Сеть_и_дети'!I65*CapacityAge13*'19_Расчет_аналитики'!$F$1223,0)</f>
        <v/>
      </c>
      <c r="J1544">
        <f>IF(IF('01_Вводные'!$B$296="Новый сезон",TRUE,TRUE),'06_Сеть_и_дети'!J65*CapacityAge13*'19_Расчет_аналитики'!$F$1223,0)</f>
        <v/>
      </c>
      <c r="K1544">
        <f>IF(IF('01_Вводные'!$B$296="Новый сезон",TRUE,TRUE),'06_Сеть_и_дети'!K65*CapacityAge13*'19_Расчет_аналитики'!$F$1223,0)</f>
        <v/>
      </c>
      <c r="L1544">
        <f>IF(IF('01_Вводные'!$B$296="Новый сезон",TRUE,TRUE),'06_Сеть_и_дети'!L65*CapacityAge13*'19_Расчет_аналитики'!$F$1223,0)</f>
        <v/>
      </c>
      <c r="M1544">
        <f>IF(IF('01_Вводные'!$B$296="Новый сезон",TRUE,TRUE),'06_Сеть_и_дети'!M65*CapacityAge13*'19_Расчет_аналитики'!$F$1223,0)</f>
        <v/>
      </c>
      <c r="N1544">
        <f>IF(IF('01_Вводные'!$B$296="Новый сезон",TRUE,TRUE),'19_Расчет_аналитики'!N1432*CapacityAge13*'19_Расчет_аналитики'!$F$1223,0)</f>
        <v/>
      </c>
      <c r="O1544">
        <f>IF(IF('01_Вводные'!$B$296="Новый сезон",TRUE,TRUE),'19_Расчет_аналитики'!O1432*CapacityAge13*'19_Расчет_аналитики'!$F$1223,0)</f>
        <v/>
      </c>
      <c r="P1544">
        <f>IF(IF('01_Вводные'!$B$296="Новый сезон",TRUE,TRUE),'19_Расчет_аналитики'!P1432*CapacityAge13*'19_Расчет_аналитики'!$F$1223,0)</f>
        <v/>
      </c>
      <c r="Q1544">
        <f>IF(IF('01_Вводные'!$B$296="Новый сезон",TRUE,TRUE),'19_Расчет_аналитики'!Q1432*CapacityAge13*'19_Расчет_аналитики'!$F$1223,0)</f>
        <v/>
      </c>
      <c r="R1544">
        <f>IF(IF('01_Вводные'!$B$296="Новый сезон",TRUE,TRUE),'19_Расчет_аналитики'!R1432*CapacityAge13*'19_Расчет_аналитики'!$F$1223,0)</f>
        <v/>
      </c>
      <c r="S1544">
        <f>IF(IF('01_Вводные'!$B$296="Новый сезон",TRUE,TRUE),'19_Расчет_аналитики'!S1432*CapacityAge13*'19_Расчет_аналитики'!$F$1223,0)</f>
        <v/>
      </c>
      <c r="T1544">
        <f>IF(IF('01_Вводные'!$B$296="Новый сезон",TRUE,TRUE),'19_Расчет_аналитики'!T1432*CapacityAge13*'19_Расчет_аналитики'!$F$1223,0)</f>
        <v/>
      </c>
      <c r="U1544">
        <f>IF(IF('01_Вводные'!$B$296="Новый сезон",TRUE,TRUE),'19_Расчет_аналитики'!U1432*CapacityAge13*'19_Расчет_аналитики'!$F$1223,0)</f>
        <v/>
      </c>
      <c r="V1544">
        <f>IF(IF('01_Вводные'!$B$296="Новый сезон",TRUE,TRUE),'19_Расчет_аналитики'!V1432*CapacityAge13*'19_Расчет_аналитики'!$F$1223,0)</f>
        <v/>
      </c>
      <c r="W1544">
        <f>IF(IF('01_Вводные'!$B$296="Новый сезон",TRUE,TRUE),'19_Расчет_аналитики'!W1432*CapacityAge13*'19_Расчет_аналитики'!$F$1223,0)</f>
        <v/>
      </c>
      <c r="X1544">
        <f>IF(IF('01_Вводные'!$B$296="Новый сезон",TRUE,TRUE),'19_Расчет_аналитики'!X1432*CapacityAge13*'19_Расчет_аналитики'!$F$1223,0)</f>
        <v/>
      </c>
      <c r="Y1544">
        <f>IF(IF('01_Вводные'!$B$296="Новый сезон",TRUE,TRUE),'19_Расчет_аналитики'!Y1432*CapacityAge13*'19_Расчет_аналитики'!$F$1223,0)</f>
        <v/>
      </c>
      <c r="Z1544">
        <f>IF(IF('01_Вводные'!$B$296="Новый сезон",TRUE,TRUE),'19_Расчет_аналитики'!Z1432*CapacityAge13*'19_Расчет_аналитики'!$F$1223,0)</f>
        <v/>
      </c>
      <c r="AA1544">
        <f>IF(IF('01_Вводные'!$B$296="Новый сезон",TRUE,TRUE),'19_Расчет_аналитики'!AA1432*CapacityAge13*'19_Расчет_аналитики'!$F$1223,0)</f>
        <v/>
      </c>
      <c r="AB1544">
        <f>IF(IF('01_Вводные'!$B$296="Новый сезон",TRUE,TRUE),'19_Расчет_аналитики'!AB1432*CapacityAge13*'19_Расчет_аналитики'!$F$1223,0)</f>
        <v/>
      </c>
      <c r="AC1544">
        <f>IF(IF('01_Вводные'!$B$296="Новый сезон",TRUE,TRUE),'19_Расчет_аналитики'!AC1432*CapacityAge13*'19_Расчет_аналитики'!$F$1223,0)</f>
        <v/>
      </c>
      <c r="AD1544">
        <f>IF(IF('01_Вводные'!$B$296="Новый сезон",TRUE,TRUE),'19_Расчет_аналитики'!AD1432*CapacityAge13*'19_Расчет_аналитики'!$F$1223,0)</f>
        <v/>
      </c>
      <c r="AE1544">
        <f>IF(IF('01_Вводные'!$B$296="Новый сезон",TRUE,TRUE),'19_Расчет_аналитики'!AE1432*CapacityAge13*'19_Расчет_аналитики'!$F$1223,0)</f>
        <v/>
      </c>
      <c r="AF1544">
        <f>IF(IF('01_Вводные'!$B$296="Новый сезон",TRUE,TRUE),'19_Расчет_аналитики'!AF1432*CapacityAge13*'19_Расчет_аналитики'!$F$1223,0)</f>
        <v/>
      </c>
      <c r="AG1544">
        <f>IF(IF('01_Вводные'!$B$296="Новый сезон",TRUE,TRUE),'19_Расчет_аналитики'!AG1432*CapacityAge13*'19_Расчет_аналитики'!$F$1223,0)</f>
        <v/>
      </c>
      <c r="AH1544">
        <f>IF(IF('01_Вводные'!$B$296="Новый сезон",TRUE,TRUE),'19_Расчет_аналитики'!AH1432*CapacityAge13*'19_Расчет_аналитики'!$F$1223,0)</f>
        <v/>
      </c>
      <c r="AI1544">
        <f>IF(IF('01_Вводные'!$B$296="Новый сезон",TRUE,TRUE),'19_Расчет_аналитики'!AI1432*CapacityAge13*'19_Расчет_аналитики'!$F$1223,0)</f>
        <v/>
      </c>
      <c r="AJ1544">
        <f>IF(IF('01_Вводные'!$B$296="Новый сезон",TRUE,TRUE),'19_Расчет_аналитики'!AJ1432*CapacityAge13*'19_Расчет_аналитики'!$F$1223,0)</f>
        <v/>
      </c>
      <c r="AK1544">
        <f>IF(IF('01_Вводные'!$B$296="Новый сезон",TRUE,TRUE),'19_Расчет_аналитики'!AK1432*CapacityAge13*'19_Расчет_аналитики'!$F$1223,0)</f>
        <v/>
      </c>
      <c r="AL1544">
        <f>IF(IF('01_Вводные'!$B$296="Новый сезон",TRUE,TRUE),'19_Расчет_аналитики'!AL1432*CapacityAge13*'19_Расчет_аналитики'!$F$1223,0)</f>
        <v/>
      </c>
      <c r="AM1544">
        <f>IF(IF('01_Вводные'!$B$296="Новый сезон",TRUE,TRUE),'19_Расчет_аналитики'!AM1432*CapacityAge13*'19_Расчет_аналитики'!$F$1223,0)</f>
        <v/>
      </c>
      <c r="AN1544">
        <f>IF(IF('01_Вводные'!$B$296="Новый сезон",TRUE,TRUE),'19_Расчет_аналитики'!AN1432*CapacityAge13*'19_Расчет_аналитики'!$F$1223,0)</f>
        <v/>
      </c>
      <c r="AO1544">
        <f>IF(IF('01_Вводные'!$B$296="Новый сезон",TRUE,TRUE),'19_Расчет_аналитики'!AO1432*CapacityAge13*'19_Расчет_аналитики'!$F$1223,0)</f>
        <v/>
      </c>
      <c r="AP1544">
        <f>IF(IF('01_Вводные'!$B$296="Новый сезон",TRUE,TRUE),'19_Расчет_аналитики'!AP1432*CapacityAge13*'19_Расчет_аналитики'!$F$1223,0)</f>
        <v/>
      </c>
      <c r="AQ1544">
        <f>IF(IF('01_Вводные'!$B$296="Новый сезон",TRUE,TRUE),'19_Расчет_аналитики'!AQ1432*CapacityAge13*'19_Расчет_аналитики'!$F$1223,0)</f>
        <v/>
      </c>
      <c r="AR1544">
        <f>IF(IF('01_Вводные'!$B$296="Новый сезон",TRUE,TRUE),'19_Расчет_аналитики'!AR1432*CapacityAge13*'19_Расчет_аналитики'!$F$1223,0)</f>
        <v/>
      </c>
      <c r="AS1544">
        <f>IF(IF('01_Вводные'!$B$296="Новый сезон",TRUE,TRUE),'19_Расчет_аналитики'!AS1432*CapacityAge13*'19_Расчет_аналитики'!$F$1223,0)</f>
        <v/>
      </c>
      <c r="AT1544">
        <f>IF(IF('01_Вводные'!$B$296="Новый сезон",TRUE,TRUE),'19_Расчет_аналитики'!AT1432*CapacityAge13*'19_Расчет_аналитики'!$F$1223,0)</f>
        <v/>
      </c>
      <c r="AU1544">
        <f>IF(IF('01_Вводные'!$B$296="Новый сезон",TRUE,TRUE),'19_Расчет_аналитики'!AU1432*CapacityAge13*'19_Расчет_аналитики'!$F$1223,0)</f>
        <v/>
      </c>
      <c r="AV1544">
        <f>IF(IF('01_Вводные'!$B$296="Новый сезон",TRUE,TRUE),'19_Расчет_аналитики'!AV1432*CapacityAge13*'19_Расчет_аналитики'!$F$1223,0)</f>
        <v/>
      </c>
      <c r="AW1544">
        <f>IF(IF('01_Вводные'!$B$296="Новый сезон",TRUE,TRUE),'19_Расчет_аналитики'!AW1432*CapacityAge13*'19_Расчет_аналитики'!$F$1223,0)</f>
        <v/>
      </c>
      <c r="AX1544">
        <f>IF(IF('01_Вводные'!$B$296="Новый сезон",TRUE,TRUE),'19_Расчет_аналитики'!AX1432*CapacityAge13*'19_Расчет_аналитики'!$F$1223,0)</f>
        <v/>
      </c>
      <c r="AY1544">
        <f>IF(IF('01_Вводные'!$B$296="Новый сезон",TRUE,TRUE),'19_Расчет_аналитики'!AY1432*CapacityAge13*'19_Расчет_аналитики'!$F$1223,0)</f>
        <v/>
      </c>
      <c r="AZ1544">
        <f>IF(IF('01_Вводные'!$B$296="Новый сезон",TRUE,TRUE),'19_Расчет_аналитики'!AZ1432*CapacityAge13*'19_Расчет_аналитики'!$F$1223,0)</f>
        <v/>
      </c>
      <c r="BA1544">
        <f>IF(IF('01_Вводные'!$B$296="Новый сезон",TRUE,TRUE),'19_Расчет_аналитики'!BA1432*CapacityAge13*'19_Расчет_аналитики'!$F$1223,0)</f>
        <v/>
      </c>
      <c r="BB1544">
        <f>IF(IF('01_Вводные'!$B$296="Новый сезон",TRUE,TRUE),'19_Расчет_аналитики'!BB1432*CapacityAge13*'19_Расчет_аналитики'!$F$1223,0)</f>
        <v/>
      </c>
      <c r="BC1544">
        <f>IF(IF('01_Вводные'!$B$296="Новый сезон",TRUE,TRUE),'19_Расчет_аналитики'!BC1432*CapacityAge13*'19_Расчет_аналитики'!$F$1223,0)</f>
        <v/>
      </c>
      <c r="BD1544">
        <f>IF(IF('01_Вводные'!$B$296="Новый сезон",TRUE,TRUE),'19_Расчет_аналитики'!BD1432*CapacityAge13*'19_Расчет_аналитики'!$F$1223,0)</f>
        <v/>
      </c>
      <c r="BE1544">
        <f>IF(IF('01_Вводные'!$B$296="Новый сезон",TRUE,TRUE),'19_Расчет_аналитики'!BE1432*CapacityAge13*'19_Расчет_аналитики'!$F$1223,0)</f>
        <v/>
      </c>
      <c r="BF1544">
        <f>IF(IF('01_Вводные'!$B$296="Новый сезон",TRUE,TRUE),'19_Расчет_аналитики'!BF1432*CapacityAge13*'19_Расчет_аналитики'!$F$1223,0)</f>
        <v/>
      </c>
      <c r="BG1544">
        <f>IF(IF('01_Вводные'!$B$296="Новый сезон",TRUE,TRUE),'19_Расчет_аналитики'!BG1432*CapacityAge13*'19_Расчет_аналитики'!$F$1223,0)</f>
        <v/>
      </c>
      <c r="BH1544">
        <f>IF(IF('01_Вводные'!$B$296="Новый сезон",TRUE,TRUE),'19_Расчет_аналитики'!BH1432*CapacityAge13*'19_Расчет_аналитики'!$F$1223,0)</f>
        <v/>
      </c>
      <c r="BI1544">
        <f>IF(IF('01_Вводные'!$B$296="Новый сезон",TRUE,TRUE),'19_Расчет_аналитики'!BI1432*CapacityAge13*'19_Расчет_аналитики'!$F$1223,0)</f>
        <v/>
      </c>
      <c r="BJ1544">
        <f>IF(IF('01_Вводные'!$B$296="Новый сезон",TRUE,TRUE),'19_Расчет_аналитики'!BJ1432*CapacityAge13*'19_Расчет_аналитики'!$F$1223,0)</f>
        <v/>
      </c>
      <c r="BK1544">
        <f>IF(IF('01_Вводные'!$B$296="Новый сезон",TRUE,TRUE),'19_Расчет_аналитики'!BK1432*CapacityAge13*'19_Расчет_аналитики'!$F$1223,0)</f>
        <v/>
      </c>
      <c r="BL1544">
        <f>IF(IF('01_Вводные'!$B$296="Новый сезон",TRUE,TRUE),'19_Расчет_аналитики'!BL1432*CapacityAge13*'19_Расчет_аналитики'!$F$1223,0)</f>
        <v/>
      </c>
      <c r="BM1544">
        <f>IF(IF('01_Вводные'!$B$296="Новый сезон",TRUE,TRUE),'19_Расчет_аналитики'!BM1432*CapacityAge13*'19_Расчет_аналитики'!$F$1223,0)</f>
        <v/>
      </c>
      <c r="BN1544">
        <f>IF(IF('01_Вводные'!$B$296="Новый сезон",TRUE,TRUE),'19_Расчет_аналитики'!BN1432*CapacityAge13*'19_Расчет_аналитики'!$F$1223,0)</f>
        <v/>
      </c>
      <c r="BO1544">
        <f>IF(IF('01_Вводные'!$B$296="Новый сезон",TRUE,TRUE),'19_Расчет_аналитики'!BO1432*CapacityAge13*'19_Расчет_аналитики'!$F$1223,0)</f>
        <v/>
      </c>
    </row>
    <row r="1545">
      <c r="B1545">
        <f>IF(IF('01_Вводные'!$B$296="Новый сезон",TRUE,TRUE),'06_Сеть_и_дети'!B66*CapacityAge14*'19_Расчет_аналитики'!$F$1223,0)</f>
        <v/>
      </c>
      <c r="C1545">
        <f>IF(IF('01_Вводные'!$B$296="Новый сезон",TRUE,TRUE),'06_Сеть_и_дети'!C66*CapacityAge14*'19_Расчет_аналитики'!$F$1223,0)</f>
        <v/>
      </c>
      <c r="D1545">
        <f>IF(IF('01_Вводные'!$B$296="Новый сезон",TRUE,TRUE),'06_Сеть_и_дети'!D66*CapacityAge14*'19_Расчет_аналитики'!$F$1223,0)</f>
        <v/>
      </c>
      <c r="E1545">
        <f>IF(IF('01_Вводные'!$B$296="Новый сезон",TRUE,TRUE),'06_Сеть_и_дети'!E66*CapacityAge14*'19_Расчет_аналитики'!$F$1223,0)</f>
        <v/>
      </c>
      <c r="F1545">
        <f>IF(IF('01_Вводные'!$B$296="Новый сезон",TRUE,TRUE),'06_Сеть_и_дети'!F66*CapacityAge14*'19_Расчет_аналитики'!$F$1223,0)</f>
        <v/>
      </c>
      <c r="G1545">
        <f>IF(IF('01_Вводные'!$B$296="Новый сезон",TRUE,TRUE),'06_Сеть_и_дети'!G66*CapacityAge14*'19_Расчет_аналитики'!$F$1223,0)</f>
        <v/>
      </c>
      <c r="H1545">
        <f>IF(IF('01_Вводные'!$B$296="Новый сезон",TRUE,TRUE),'06_Сеть_и_дети'!H66*CapacityAge14*'19_Расчет_аналитики'!$F$1223,0)</f>
        <v/>
      </c>
      <c r="I1545">
        <f>IF(IF('01_Вводные'!$B$296="Новый сезон",TRUE,TRUE),'06_Сеть_и_дети'!I66*CapacityAge14*'19_Расчет_аналитики'!$F$1223,0)</f>
        <v/>
      </c>
      <c r="J1545">
        <f>IF(IF('01_Вводные'!$B$296="Новый сезон",TRUE,TRUE),'06_Сеть_и_дети'!J66*CapacityAge14*'19_Расчет_аналитики'!$F$1223,0)</f>
        <v/>
      </c>
      <c r="K1545">
        <f>IF(IF('01_Вводные'!$B$296="Новый сезон",TRUE,TRUE),'06_Сеть_и_дети'!K66*CapacityAge14*'19_Расчет_аналитики'!$F$1223,0)</f>
        <v/>
      </c>
      <c r="L1545">
        <f>IF(IF('01_Вводные'!$B$296="Новый сезон",TRUE,TRUE),'06_Сеть_и_дети'!L66*CapacityAge14*'19_Расчет_аналитики'!$F$1223,0)</f>
        <v/>
      </c>
      <c r="M1545">
        <f>IF(IF('01_Вводные'!$B$296="Новый сезон",TRUE,TRUE),'06_Сеть_и_дети'!M66*CapacityAge14*'19_Расчет_аналитики'!$F$1223,0)</f>
        <v/>
      </c>
      <c r="N1545">
        <f>IF(IF('01_Вводные'!$B$296="Новый сезон",TRUE,TRUE),'06_Сеть_и_дети'!N66*CapacityAge14*'19_Расчет_аналитики'!$F$1223,0)</f>
        <v/>
      </c>
      <c r="O1545">
        <f>IF(IF('01_Вводные'!$B$296="Новый сезон",TRUE,TRUE),'19_Расчет_аналитики'!O1433*CapacityAge14*'19_Расчет_аналитики'!$F$1223,0)</f>
        <v/>
      </c>
      <c r="P1545">
        <f>IF(IF('01_Вводные'!$B$296="Новый сезон",TRUE,TRUE),'19_Расчет_аналитики'!P1433*CapacityAge14*'19_Расчет_аналитики'!$F$1223,0)</f>
        <v/>
      </c>
      <c r="Q1545">
        <f>IF(IF('01_Вводные'!$B$296="Новый сезон",TRUE,TRUE),'19_Расчет_аналитики'!Q1433*CapacityAge14*'19_Расчет_аналитики'!$F$1223,0)</f>
        <v/>
      </c>
      <c r="R1545">
        <f>IF(IF('01_Вводные'!$B$296="Новый сезон",TRUE,TRUE),'19_Расчет_аналитики'!R1433*CapacityAge14*'19_Расчет_аналитики'!$F$1223,0)</f>
        <v/>
      </c>
      <c r="S1545">
        <f>IF(IF('01_Вводные'!$B$296="Новый сезон",TRUE,TRUE),'19_Расчет_аналитики'!S1433*CapacityAge14*'19_Расчет_аналитики'!$F$1223,0)</f>
        <v/>
      </c>
      <c r="T1545">
        <f>IF(IF('01_Вводные'!$B$296="Новый сезон",TRUE,TRUE),'19_Расчет_аналитики'!T1433*CapacityAge14*'19_Расчет_аналитики'!$F$1223,0)</f>
        <v/>
      </c>
      <c r="U1545">
        <f>IF(IF('01_Вводные'!$B$296="Новый сезон",TRUE,TRUE),'19_Расчет_аналитики'!U1433*CapacityAge14*'19_Расчет_аналитики'!$F$1223,0)</f>
        <v/>
      </c>
      <c r="V1545">
        <f>IF(IF('01_Вводные'!$B$296="Новый сезон",TRUE,TRUE),'19_Расчет_аналитики'!V1433*CapacityAge14*'19_Расчет_аналитики'!$F$1223,0)</f>
        <v/>
      </c>
      <c r="W1545">
        <f>IF(IF('01_Вводные'!$B$296="Новый сезон",TRUE,TRUE),'19_Расчет_аналитики'!W1433*CapacityAge14*'19_Расчет_аналитики'!$F$1223,0)</f>
        <v/>
      </c>
      <c r="X1545">
        <f>IF(IF('01_Вводные'!$B$296="Новый сезон",TRUE,TRUE),'19_Расчет_аналитики'!X1433*CapacityAge14*'19_Расчет_аналитики'!$F$1223,0)</f>
        <v/>
      </c>
      <c r="Y1545">
        <f>IF(IF('01_Вводные'!$B$296="Новый сезон",TRUE,TRUE),'19_Расчет_аналитики'!Y1433*CapacityAge14*'19_Расчет_аналитики'!$F$1223,0)</f>
        <v/>
      </c>
      <c r="Z1545">
        <f>IF(IF('01_Вводные'!$B$296="Новый сезон",TRUE,TRUE),'19_Расчет_аналитики'!Z1433*CapacityAge14*'19_Расчет_аналитики'!$F$1223,0)</f>
        <v/>
      </c>
      <c r="AA1545">
        <f>IF(IF('01_Вводные'!$B$296="Новый сезон",TRUE,TRUE),'19_Расчет_аналитики'!AA1433*CapacityAge14*'19_Расчет_аналитики'!$F$1223,0)</f>
        <v/>
      </c>
      <c r="AB1545">
        <f>IF(IF('01_Вводные'!$B$296="Новый сезон",TRUE,TRUE),'19_Расчет_аналитики'!AB1433*CapacityAge14*'19_Расчет_аналитики'!$F$1223,0)</f>
        <v/>
      </c>
      <c r="AC1545">
        <f>IF(IF('01_Вводные'!$B$296="Новый сезон",TRUE,TRUE),'19_Расчет_аналитики'!AC1433*CapacityAge14*'19_Расчет_аналитики'!$F$1223,0)</f>
        <v/>
      </c>
      <c r="AD1545">
        <f>IF(IF('01_Вводные'!$B$296="Новый сезон",TRUE,TRUE),'19_Расчет_аналитики'!AD1433*CapacityAge14*'19_Расчет_аналитики'!$F$1223,0)</f>
        <v/>
      </c>
      <c r="AE1545">
        <f>IF(IF('01_Вводные'!$B$296="Новый сезон",TRUE,TRUE),'19_Расчет_аналитики'!AE1433*CapacityAge14*'19_Расчет_аналитики'!$F$1223,0)</f>
        <v/>
      </c>
      <c r="AF1545">
        <f>IF(IF('01_Вводные'!$B$296="Новый сезон",TRUE,TRUE),'19_Расчет_аналитики'!AF1433*CapacityAge14*'19_Расчет_аналитики'!$F$1223,0)</f>
        <v/>
      </c>
      <c r="AG1545">
        <f>IF(IF('01_Вводные'!$B$296="Новый сезон",TRUE,TRUE),'19_Расчет_аналитики'!AG1433*CapacityAge14*'19_Расчет_аналитики'!$F$1223,0)</f>
        <v/>
      </c>
      <c r="AH1545">
        <f>IF(IF('01_Вводные'!$B$296="Новый сезон",TRUE,TRUE),'19_Расчет_аналитики'!AH1433*CapacityAge14*'19_Расчет_аналитики'!$F$1223,0)</f>
        <v/>
      </c>
      <c r="AI1545">
        <f>IF(IF('01_Вводные'!$B$296="Новый сезон",TRUE,TRUE),'19_Расчет_аналитики'!AI1433*CapacityAge14*'19_Расчет_аналитики'!$F$1223,0)</f>
        <v/>
      </c>
      <c r="AJ1545">
        <f>IF(IF('01_Вводные'!$B$296="Новый сезон",TRUE,TRUE),'19_Расчет_аналитики'!AJ1433*CapacityAge14*'19_Расчет_аналитики'!$F$1223,0)</f>
        <v/>
      </c>
      <c r="AK1545">
        <f>IF(IF('01_Вводные'!$B$296="Новый сезон",TRUE,TRUE),'19_Расчет_аналитики'!AK1433*CapacityAge14*'19_Расчет_аналитики'!$F$1223,0)</f>
        <v/>
      </c>
      <c r="AL1545">
        <f>IF(IF('01_Вводные'!$B$296="Новый сезон",TRUE,TRUE),'19_Расчет_аналитики'!AL1433*CapacityAge14*'19_Расчет_аналитики'!$F$1223,0)</f>
        <v/>
      </c>
      <c r="AM1545">
        <f>IF(IF('01_Вводные'!$B$296="Новый сезон",TRUE,TRUE),'19_Расчет_аналитики'!AM1433*CapacityAge14*'19_Расчет_аналитики'!$F$1223,0)</f>
        <v/>
      </c>
      <c r="AN1545">
        <f>IF(IF('01_Вводные'!$B$296="Новый сезон",TRUE,TRUE),'19_Расчет_аналитики'!AN1433*CapacityAge14*'19_Расчет_аналитики'!$F$1223,0)</f>
        <v/>
      </c>
      <c r="AO1545">
        <f>IF(IF('01_Вводные'!$B$296="Новый сезон",TRUE,TRUE),'19_Расчет_аналитики'!AO1433*CapacityAge14*'19_Расчет_аналитики'!$F$1223,0)</f>
        <v/>
      </c>
      <c r="AP1545">
        <f>IF(IF('01_Вводные'!$B$296="Новый сезон",TRUE,TRUE),'19_Расчет_аналитики'!AP1433*CapacityAge14*'19_Расчет_аналитики'!$F$1223,0)</f>
        <v/>
      </c>
      <c r="AQ1545">
        <f>IF(IF('01_Вводные'!$B$296="Новый сезон",TRUE,TRUE),'19_Расчет_аналитики'!AQ1433*CapacityAge14*'19_Расчет_аналитики'!$F$1223,0)</f>
        <v/>
      </c>
      <c r="AR1545">
        <f>IF(IF('01_Вводные'!$B$296="Новый сезон",TRUE,TRUE),'19_Расчет_аналитики'!AR1433*CapacityAge14*'19_Расчет_аналитики'!$F$1223,0)</f>
        <v/>
      </c>
      <c r="AS1545">
        <f>IF(IF('01_Вводные'!$B$296="Новый сезон",TRUE,TRUE),'19_Расчет_аналитики'!AS1433*CapacityAge14*'19_Расчет_аналитики'!$F$1223,0)</f>
        <v/>
      </c>
      <c r="AT1545">
        <f>IF(IF('01_Вводные'!$B$296="Новый сезон",TRUE,TRUE),'19_Расчет_аналитики'!AT1433*CapacityAge14*'19_Расчет_аналитики'!$F$1223,0)</f>
        <v/>
      </c>
      <c r="AU1545">
        <f>IF(IF('01_Вводные'!$B$296="Новый сезон",TRUE,TRUE),'19_Расчет_аналитики'!AU1433*CapacityAge14*'19_Расчет_аналитики'!$F$1223,0)</f>
        <v/>
      </c>
      <c r="AV1545">
        <f>IF(IF('01_Вводные'!$B$296="Новый сезон",TRUE,TRUE),'19_Расчет_аналитики'!AV1433*CapacityAge14*'19_Расчет_аналитики'!$F$1223,0)</f>
        <v/>
      </c>
      <c r="AW1545">
        <f>IF(IF('01_Вводные'!$B$296="Новый сезон",TRUE,TRUE),'19_Расчет_аналитики'!AW1433*CapacityAge14*'19_Расчет_аналитики'!$F$1223,0)</f>
        <v/>
      </c>
      <c r="AX1545">
        <f>IF(IF('01_Вводные'!$B$296="Новый сезон",TRUE,TRUE),'19_Расчет_аналитики'!AX1433*CapacityAge14*'19_Расчет_аналитики'!$F$1223,0)</f>
        <v/>
      </c>
      <c r="AY1545">
        <f>IF(IF('01_Вводные'!$B$296="Новый сезон",TRUE,TRUE),'19_Расчет_аналитики'!AY1433*CapacityAge14*'19_Расчет_аналитики'!$F$1223,0)</f>
        <v/>
      </c>
      <c r="AZ1545">
        <f>IF(IF('01_Вводные'!$B$296="Новый сезон",TRUE,TRUE),'19_Расчет_аналитики'!AZ1433*CapacityAge14*'19_Расчет_аналитики'!$F$1223,0)</f>
        <v/>
      </c>
      <c r="BA1545">
        <f>IF(IF('01_Вводные'!$B$296="Новый сезон",TRUE,TRUE),'19_Расчет_аналитики'!BA1433*CapacityAge14*'19_Расчет_аналитики'!$F$1223,0)</f>
        <v/>
      </c>
      <c r="BB1545">
        <f>IF(IF('01_Вводные'!$B$296="Новый сезон",TRUE,TRUE),'19_Расчет_аналитики'!BB1433*CapacityAge14*'19_Расчет_аналитики'!$F$1223,0)</f>
        <v/>
      </c>
      <c r="BC1545">
        <f>IF(IF('01_Вводные'!$B$296="Новый сезон",TRUE,TRUE),'19_Расчет_аналитики'!BC1433*CapacityAge14*'19_Расчет_аналитики'!$F$1223,0)</f>
        <v/>
      </c>
      <c r="BD1545">
        <f>IF(IF('01_Вводные'!$B$296="Новый сезон",TRUE,TRUE),'19_Расчет_аналитики'!BD1433*CapacityAge14*'19_Расчет_аналитики'!$F$1223,0)</f>
        <v/>
      </c>
      <c r="BE1545">
        <f>IF(IF('01_Вводные'!$B$296="Новый сезон",TRUE,TRUE),'19_Расчет_аналитики'!BE1433*CapacityAge14*'19_Расчет_аналитики'!$F$1223,0)</f>
        <v/>
      </c>
      <c r="BF1545">
        <f>IF(IF('01_Вводные'!$B$296="Новый сезон",TRUE,TRUE),'19_Расчет_аналитики'!BF1433*CapacityAge14*'19_Расчет_аналитики'!$F$1223,0)</f>
        <v/>
      </c>
      <c r="BG1545">
        <f>IF(IF('01_Вводные'!$B$296="Новый сезон",TRUE,TRUE),'19_Расчет_аналитики'!BG1433*CapacityAge14*'19_Расчет_аналитики'!$F$1223,0)</f>
        <v/>
      </c>
      <c r="BH1545">
        <f>IF(IF('01_Вводные'!$B$296="Новый сезон",TRUE,TRUE),'19_Расчет_аналитики'!BH1433*CapacityAge14*'19_Расчет_аналитики'!$F$1223,0)</f>
        <v/>
      </c>
      <c r="BI1545">
        <f>IF(IF('01_Вводные'!$B$296="Новый сезон",TRUE,TRUE),'19_Расчет_аналитики'!BI1433*CapacityAge14*'19_Расчет_аналитики'!$F$1223,0)</f>
        <v/>
      </c>
      <c r="BJ1545">
        <f>IF(IF('01_Вводные'!$B$296="Новый сезон",TRUE,TRUE),'19_Расчет_аналитики'!BJ1433*CapacityAge14*'19_Расчет_аналитики'!$F$1223,0)</f>
        <v/>
      </c>
      <c r="BK1545">
        <f>IF(IF('01_Вводные'!$B$296="Новый сезон",TRUE,TRUE),'19_Расчет_аналитики'!BK1433*CapacityAge14*'19_Расчет_аналитики'!$F$1223,0)</f>
        <v/>
      </c>
      <c r="BL1545">
        <f>IF(IF('01_Вводные'!$B$296="Новый сезон",TRUE,TRUE),'19_Расчет_аналитики'!BL1433*CapacityAge14*'19_Расчет_аналитики'!$F$1223,0)</f>
        <v/>
      </c>
      <c r="BM1545">
        <f>IF(IF('01_Вводные'!$B$296="Новый сезон",TRUE,TRUE),'19_Расчет_аналитики'!BM1433*CapacityAge14*'19_Расчет_аналитики'!$F$1223,0)</f>
        <v/>
      </c>
      <c r="BN1545">
        <f>IF(IF('01_Вводные'!$B$296="Новый сезон",TRUE,TRUE),'19_Расчет_аналитики'!BN1433*CapacityAge14*'19_Расчет_аналитики'!$F$1223,0)</f>
        <v/>
      </c>
      <c r="BO1545">
        <f>IF(IF('01_Вводные'!$B$296="Новый сезон",TRUE,TRUE),'19_Расчет_аналитики'!BO1433*CapacityAge14*'19_Расчет_аналитики'!$F$1223,0)</f>
        <v/>
      </c>
    </row>
    <row r="1546">
      <c r="B1546">
        <f>IF(IF('01_Вводные'!$B$296="Новый сезон",TRUE,TRUE),'06_Сеть_и_дети'!B67*CapacityAge15*'19_Расчет_аналитики'!$F$1223,0)</f>
        <v/>
      </c>
      <c r="C1546">
        <f>IF(IF('01_Вводные'!$B$296="Новый сезон",TRUE,TRUE),'06_Сеть_и_дети'!C67*CapacityAge15*'19_Расчет_аналитики'!$F$1223,0)</f>
        <v/>
      </c>
      <c r="D1546">
        <f>IF(IF('01_Вводные'!$B$296="Новый сезон",TRUE,TRUE),'06_Сеть_и_дети'!D67*CapacityAge15*'19_Расчет_аналитики'!$F$1223,0)</f>
        <v/>
      </c>
      <c r="E1546">
        <f>IF(IF('01_Вводные'!$B$296="Новый сезон",TRUE,TRUE),'06_Сеть_и_дети'!E67*CapacityAge15*'19_Расчет_аналитики'!$F$1223,0)</f>
        <v/>
      </c>
      <c r="F1546">
        <f>IF(IF('01_Вводные'!$B$296="Новый сезон",TRUE,TRUE),'06_Сеть_и_дети'!F67*CapacityAge15*'19_Расчет_аналитики'!$F$1223,0)</f>
        <v/>
      </c>
      <c r="G1546">
        <f>IF(IF('01_Вводные'!$B$296="Новый сезон",TRUE,TRUE),'06_Сеть_и_дети'!G67*CapacityAge15*'19_Расчет_аналитики'!$F$1223,0)</f>
        <v/>
      </c>
      <c r="H1546">
        <f>IF(IF('01_Вводные'!$B$296="Новый сезон",TRUE,TRUE),'06_Сеть_и_дети'!H67*CapacityAge15*'19_Расчет_аналитики'!$F$1223,0)</f>
        <v/>
      </c>
      <c r="I1546">
        <f>IF(IF('01_Вводные'!$B$296="Новый сезон",TRUE,TRUE),'06_Сеть_и_дети'!I67*CapacityAge15*'19_Расчет_аналитики'!$F$1223,0)</f>
        <v/>
      </c>
      <c r="J1546">
        <f>IF(IF('01_Вводные'!$B$296="Новый сезон",TRUE,TRUE),'06_Сеть_и_дети'!J67*CapacityAge15*'19_Расчет_аналитики'!$F$1223,0)</f>
        <v/>
      </c>
      <c r="K1546">
        <f>IF(IF('01_Вводные'!$B$296="Новый сезон",TRUE,TRUE),'06_Сеть_и_дети'!K67*CapacityAge15*'19_Расчет_аналитики'!$F$1223,0)</f>
        <v/>
      </c>
      <c r="L1546">
        <f>IF(IF('01_Вводные'!$B$296="Новый сезон",TRUE,TRUE),'06_Сеть_и_дети'!L67*CapacityAge15*'19_Расчет_аналитики'!$F$1223,0)</f>
        <v/>
      </c>
      <c r="M1546">
        <f>IF(IF('01_Вводные'!$B$296="Новый сезон",TRUE,TRUE),'06_Сеть_и_дети'!M67*CapacityAge15*'19_Расчет_аналитики'!$F$1223,0)</f>
        <v/>
      </c>
      <c r="N1546">
        <f>IF(IF('01_Вводные'!$B$296="Новый сезон",TRUE,TRUE),'06_Сеть_и_дети'!N67*CapacityAge15*'19_Расчет_аналитики'!$F$1223,0)</f>
        <v/>
      </c>
      <c r="O1546">
        <f>IF(IF('01_Вводные'!$B$296="Новый сезон",TRUE,TRUE),'06_Сеть_и_дети'!O67*CapacityAge15*'19_Расчет_аналитики'!$F$1223,0)</f>
        <v/>
      </c>
      <c r="P1546">
        <f>IF(IF('01_Вводные'!$B$296="Новый сезон",TRUE,TRUE),'19_Расчет_аналитики'!P1434*CapacityAge15*'19_Расчет_аналитики'!$F$1223,0)</f>
        <v/>
      </c>
      <c r="Q1546">
        <f>IF(IF('01_Вводные'!$B$296="Новый сезон",TRUE,TRUE),'19_Расчет_аналитики'!Q1434*CapacityAge15*'19_Расчет_аналитики'!$F$1223,0)</f>
        <v/>
      </c>
      <c r="R1546">
        <f>IF(IF('01_Вводные'!$B$296="Новый сезон",TRUE,TRUE),'19_Расчет_аналитики'!R1434*CapacityAge15*'19_Расчет_аналитики'!$F$1223,0)</f>
        <v/>
      </c>
      <c r="S1546">
        <f>IF(IF('01_Вводные'!$B$296="Новый сезон",TRUE,TRUE),'19_Расчет_аналитики'!S1434*CapacityAge15*'19_Расчет_аналитики'!$F$1223,0)</f>
        <v/>
      </c>
      <c r="T1546">
        <f>IF(IF('01_Вводные'!$B$296="Новый сезон",TRUE,TRUE),'19_Расчет_аналитики'!T1434*CapacityAge15*'19_Расчет_аналитики'!$F$1223,0)</f>
        <v/>
      </c>
      <c r="U1546">
        <f>IF(IF('01_Вводные'!$B$296="Новый сезон",TRUE,TRUE),'19_Расчет_аналитики'!U1434*CapacityAge15*'19_Расчет_аналитики'!$F$1223,0)</f>
        <v/>
      </c>
      <c r="V1546">
        <f>IF(IF('01_Вводные'!$B$296="Новый сезон",TRUE,TRUE),'19_Расчет_аналитики'!V1434*CapacityAge15*'19_Расчет_аналитики'!$F$1223,0)</f>
        <v/>
      </c>
      <c r="W1546">
        <f>IF(IF('01_Вводные'!$B$296="Новый сезон",TRUE,TRUE),'19_Расчет_аналитики'!W1434*CapacityAge15*'19_Расчет_аналитики'!$F$1223,0)</f>
        <v/>
      </c>
      <c r="X1546">
        <f>IF(IF('01_Вводные'!$B$296="Новый сезон",TRUE,TRUE),'19_Расчет_аналитики'!X1434*CapacityAge15*'19_Расчет_аналитики'!$F$1223,0)</f>
        <v/>
      </c>
      <c r="Y1546">
        <f>IF(IF('01_Вводные'!$B$296="Новый сезон",TRUE,TRUE),'19_Расчет_аналитики'!Y1434*CapacityAge15*'19_Расчет_аналитики'!$F$1223,0)</f>
        <v/>
      </c>
      <c r="Z1546">
        <f>IF(IF('01_Вводные'!$B$296="Новый сезон",TRUE,TRUE),'19_Расчет_аналитики'!Z1434*CapacityAge15*'19_Расчет_аналитики'!$F$1223,0)</f>
        <v/>
      </c>
      <c r="AA1546">
        <f>IF(IF('01_Вводные'!$B$296="Новый сезон",TRUE,TRUE),'19_Расчет_аналитики'!AA1434*CapacityAge15*'19_Расчет_аналитики'!$F$1223,0)</f>
        <v/>
      </c>
      <c r="AB1546">
        <f>IF(IF('01_Вводные'!$B$296="Новый сезон",TRUE,TRUE),'19_Расчет_аналитики'!AB1434*CapacityAge15*'19_Расчет_аналитики'!$F$1223,0)</f>
        <v/>
      </c>
      <c r="AC1546">
        <f>IF(IF('01_Вводные'!$B$296="Новый сезон",TRUE,TRUE),'19_Расчет_аналитики'!AC1434*CapacityAge15*'19_Расчет_аналитики'!$F$1223,0)</f>
        <v/>
      </c>
      <c r="AD1546">
        <f>IF(IF('01_Вводные'!$B$296="Новый сезон",TRUE,TRUE),'19_Расчет_аналитики'!AD1434*CapacityAge15*'19_Расчет_аналитики'!$F$1223,0)</f>
        <v/>
      </c>
      <c r="AE1546">
        <f>IF(IF('01_Вводные'!$B$296="Новый сезон",TRUE,TRUE),'19_Расчет_аналитики'!AE1434*CapacityAge15*'19_Расчет_аналитики'!$F$1223,0)</f>
        <v/>
      </c>
      <c r="AF1546">
        <f>IF(IF('01_Вводные'!$B$296="Новый сезон",TRUE,TRUE),'19_Расчет_аналитики'!AF1434*CapacityAge15*'19_Расчет_аналитики'!$F$1223,0)</f>
        <v/>
      </c>
      <c r="AG1546">
        <f>IF(IF('01_Вводные'!$B$296="Новый сезон",TRUE,TRUE),'19_Расчет_аналитики'!AG1434*CapacityAge15*'19_Расчет_аналитики'!$F$1223,0)</f>
        <v/>
      </c>
      <c r="AH1546">
        <f>IF(IF('01_Вводные'!$B$296="Новый сезон",TRUE,TRUE),'19_Расчет_аналитики'!AH1434*CapacityAge15*'19_Расчет_аналитики'!$F$1223,0)</f>
        <v/>
      </c>
      <c r="AI1546">
        <f>IF(IF('01_Вводные'!$B$296="Новый сезон",TRUE,TRUE),'19_Расчет_аналитики'!AI1434*CapacityAge15*'19_Расчет_аналитики'!$F$1223,0)</f>
        <v/>
      </c>
      <c r="AJ1546">
        <f>IF(IF('01_Вводные'!$B$296="Новый сезон",TRUE,TRUE),'19_Расчет_аналитики'!AJ1434*CapacityAge15*'19_Расчет_аналитики'!$F$1223,0)</f>
        <v/>
      </c>
      <c r="AK1546">
        <f>IF(IF('01_Вводные'!$B$296="Новый сезон",TRUE,TRUE),'19_Расчет_аналитики'!AK1434*CapacityAge15*'19_Расчет_аналитики'!$F$1223,0)</f>
        <v/>
      </c>
      <c r="AL1546">
        <f>IF(IF('01_Вводные'!$B$296="Новый сезон",TRUE,TRUE),'19_Расчет_аналитики'!AL1434*CapacityAge15*'19_Расчет_аналитики'!$F$1223,0)</f>
        <v/>
      </c>
      <c r="AM1546">
        <f>IF(IF('01_Вводные'!$B$296="Новый сезон",TRUE,TRUE),'19_Расчет_аналитики'!AM1434*CapacityAge15*'19_Расчет_аналитики'!$F$1223,0)</f>
        <v/>
      </c>
      <c r="AN1546">
        <f>IF(IF('01_Вводные'!$B$296="Новый сезон",TRUE,TRUE),'19_Расчет_аналитики'!AN1434*CapacityAge15*'19_Расчет_аналитики'!$F$1223,0)</f>
        <v/>
      </c>
      <c r="AO1546">
        <f>IF(IF('01_Вводные'!$B$296="Новый сезон",TRUE,TRUE),'19_Расчет_аналитики'!AO1434*CapacityAge15*'19_Расчет_аналитики'!$F$1223,0)</f>
        <v/>
      </c>
      <c r="AP1546">
        <f>IF(IF('01_Вводные'!$B$296="Новый сезон",TRUE,TRUE),'19_Расчет_аналитики'!AP1434*CapacityAge15*'19_Расчет_аналитики'!$F$1223,0)</f>
        <v/>
      </c>
      <c r="AQ1546">
        <f>IF(IF('01_Вводные'!$B$296="Новый сезон",TRUE,TRUE),'19_Расчет_аналитики'!AQ1434*CapacityAge15*'19_Расчет_аналитики'!$F$1223,0)</f>
        <v/>
      </c>
      <c r="AR1546">
        <f>IF(IF('01_Вводные'!$B$296="Новый сезон",TRUE,TRUE),'19_Расчет_аналитики'!AR1434*CapacityAge15*'19_Расчет_аналитики'!$F$1223,0)</f>
        <v/>
      </c>
      <c r="AS1546">
        <f>IF(IF('01_Вводные'!$B$296="Новый сезон",TRUE,TRUE),'19_Расчет_аналитики'!AS1434*CapacityAge15*'19_Расчет_аналитики'!$F$1223,0)</f>
        <v/>
      </c>
      <c r="AT1546">
        <f>IF(IF('01_Вводные'!$B$296="Новый сезон",TRUE,TRUE),'19_Расчет_аналитики'!AT1434*CapacityAge15*'19_Расчет_аналитики'!$F$1223,0)</f>
        <v/>
      </c>
      <c r="AU1546">
        <f>IF(IF('01_Вводные'!$B$296="Новый сезон",TRUE,TRUE),'19_Расчет_аналитики'!AU1434*CapacityAge15*'19_Расчет_аналитики'!$F$1223,0)</f>
        <v/>
      </c>
      <c r="AV1546">
        <f>IF(IF('01_Вводные'!$B$296="Новый сезон",TRUE,TRUE),'19_Расчет_аналитики'!AV1434*CapacityAge15*'19_Расчет_аналитики'!$F$1223,0)</f>
        <v/>
      </c>
      <c r="AW1546">
        <f>IF(IF('01_Вводные'!$B$296="Новый сезон",TRUE,TRUE),'19_Расчет_аналитики'!AW1434*CapacityAge15*'19_Расчет_аналитики'!$F$1223,0)</f>
        <v/>
      </c>
      <c r="AX1546">
        <f>IF(IF('01_Вводные'!$B$296="Новый сезон",TRUE,TRUE),'19_Расчет_аналитики'!AX1434*CapacityAge15*'19_Расчет_аналитики'!$F$1223,0)</f>
        <v/>
      </c>
      <c r="AY1546">
        <f>IF(IF('01_Вводные'!$B$296="Новый сезон",TRUE,TRUE),'19_Расчет_аналитики'!AY1434*CapacityAge15*'19_Расчет_аналитики'!$F$1223,0)</f>
        <v/>
      </c>
      <c r="AZ1546">
        <f>IF(IF('01_Вводные'!$B$296="Новый сезон",TRUE,TRUE),'19_Расчет_аналитики'!AZ1434*CapacityAge15*'19_Расчет_аналитики'!$F$1223,0)</f>
        <v/>
      </c>
      <c r="BA1546">
        <f>IF(IF('01_Вводные'!$B$296="Новый сезон",TRUE,TRUE),'19_Расчет_аналитики'!BA1434*CapacityAge15*'19_Расчет_аналитики'!$F$1223,0)</f>
        <v/>
      </c>
      <c r="BB1546">
        <f>IF(IF('01_Вводные'!$B$296="Новый сезон",TRUE,TRUE),'19_Расчет_аналитики'!BB1434*CapacityAge15*'19_Расчет_аналитики'!$F$1223,0)</f>
        <v/>
      </c>
      <c r="BC1546">
        <f>IF(IF('01_Вводные'!$B$296="Новый сезон",TRUE,TRUE),'19_Расчет_аналитики'!BC1434*CapacityAge15*'19_Расчет_аналитики'!$F$1223,0)</f>
        <v/>
      </c>
      <c r="BD1546">
        <f>IF(IF('01_Вводные'!$B$296="Новый сезон",TRUE,TRUE),'19_Расчет_аналитики'!BD1434*CapacityAge15*'19_Расчет_аналитики'!$F$1223,0)</f>
        <v/>
      </c>
      <c r="BE1546">
        <f>IF(IF('01_Вводные'!$B$296="Новый сезон",TRUE,TRUE),'19_Расчет_аналитики'!BE1434*CapacityAge15*'19_Расчет_аналитики'!$F$1223,0)</f>
        <v/>
      </c>
      <c r="BF1546">
        <f>IF(IF('01_Вводные'!$B$296="Новый сезон",TRUE,TRUE),'19_Расчет_аналитики'!BF1434*CapacityAge15*'19_Расчет_аналитики'!$F$1223,0)</f>
        <v/>
      </c>
      <c r="BG1546">
        <f>IF(IF('01_Вводные'!$B$296="Новый сезон",TRUE,TRUE),'19_Расчет_аналитики'!BG1434*CapacityAge15*'19_Расчет_аналитики'!$F$1223,0)</f>
        <v/>
      </c>
      <c r="BH1546">
        <f>IF(IF('01_Вводные'!$B$296="Новый сезон",TRUE,TRUE),'19_Расчет_аналитики'!BH1434*CapacityAge15*'19_Расчет_аналитики'!$F$1223,0)</f>
        <v/>
      </c>
      <c r="BI1546">
        <f>IF(IF('01_Вводные'!$B$296="Новый сезон",TRUE,TRUE),'19_Расчет_аналитики'!BI1434*CapacityAge15*'19_Расчет_аналитики'!$F$1223,0)</f>
        <v/>
      </c>
      <c r="BJ1546">
        <f>IF(IF('01_Вводные'!$B$296="Новый сезон",TRUE,TRUE),'19_Расчет_аналитики'!BJ1434*CapacityAge15*'19_Расчет_аналитики'!$F$1223,0)</f>
        <v/>
      </c>
      <c r="BK1546">
        <f>IF(IF('01_Вводные'!$B$296="Новый сезон",TRUE,TRUE),'19_Расчет_аналитики'!BK1434*CapacityAge15*'19_Расчет_аналитики'!$F$1223,0)</f>
        <v/>
      </c>
      <c r="BL1546">
        <f>IF(IF('01_Вводные'!$B$296="Новый сезон",TRUE,TRUE),'19_Расчет_аналитики'!BL1434*CapacityAge15*'19_Расчет_аналитики'!$F$1223,0)</f>
        <v/>
      </c>
      <c r="BM1546">
        <f>IF(IF('01_Вводные'!$B$296="Новый сезон",TRUE,TRUE),'19_Расчет_аналитики'!BM1434*CapacityAge15*'19_Расчет_аналитики'!$F$1223,0)</f>
        <v/>
      </c>
      <c r="BN1546">
        <f>IF(IF('01_Вводные'!$B$296="Новый сезон",TRUE,TRUE),'19_Расчет_аналитики'!BN1434*CapacityAge15*'19_Расчет_аналитики'!$F$1223,0)</f>
        <v/>
      </c>
      <c r="BO1546">
        <f>IF(IF('01_Вводные'!$B$296="Новый сезон",TRUE,TRUE),'19_Расчет_аналитики'!BO1434*CapacityAge15*'19_Расчет_аналитики'!$F$1223,0)</f>
        <v/>
      </c>
    </row>
    <row r="1547">
      <c r="B1547">
        <f>IF(IF('01_Вводные'!$B$296="Новый сезон",TRUE,TRUE),'06_Сеть_и_дети'!B68*CapacityAge16*'19_Расчет_аналитики'!$F$1223,0)</f>
        <v/>
      </c>
      <c r="C1547">
        <f>IF(IF('01_Вводные'!$B$296="Новый сезон",TRUE,TRUE),'06_Сеть_и_дети'!C68*CapacityAge16*'19_Расчет_аналитики'!$F$1223,0)</f>
        <v/>
      </c>
      <c r="D1547">
        <f>IF(IF('01_Вводные'!$B$296="Новый сезон",TRUE,TRUE),'06_Сеть_и_дети'!D68*CapacityAge16*'19_Расчет_аналитики'!$F$1223,0)</f>
        <v/>
      </c>
      <c r="E1547">
        <f>IF(IF('01_Вводные'!$B$296="Новый сезон",TRUE,TRUE),'06_Сеть_и_дети'!E68*CapacityAge16*'19_Расчет_аналитики'!$F$1223,0)</f>
        <v/>
      </c>
      <c r="F1547">
        <f>IF(IF('01_Вводные'!$B$296="Новый сезон",TRUE,TRUE),'06_Сеть_и_дети'!F68*CapacityAge16*'19_Расчет_аналитики'!$F$1223,0)</f>
        <v/>
      </c>
      <c r="G1547">
        <f>IF(IF('01_Вводные'!$B$296="Новый сезон",TRUE,TRUE),'06_Сеть_и_дети'!G68*CapacityAge16*'19_Расчет_аналитики'!$F$1223,0)</f>
        <v/>
      </c>
      <c r="H1547">
        <f>IF(IF('01_Вводные'!$B$296="Новый сезон",TRUE,TRUE),'06_Сеть_и_дети'!H68*CapacityAge16*'19_Расчет_аналитики'!$F$1223,0)</f>
        <v/>
      </c>
      <c r="I1547">
        <f>IF(IF('01_Вводные'!$B$296="Новый сезон",TRUE,TRUE),'06_Сеть_и_дети'!I68*CapacityAge16*'19_Расчет_аналитики'!$F$1223,0)</f>
        <v/>
      </c>
      <c r="J1547">
        <f>IF(IF('01_Вводные'!$B$296="Новый сезон",TRUE,TRUE),'06_Сеть_и_дети'!J68*CapacityAge16*'19_Расчет_аналитики'!$F$1223,0)</f>
        <v/>
      </c>
      <c r="K1547">
        <f>IF(IF('01_Вводные'!$B$296="Новый сезон",TRUE,TRUE),'06_Сеть_и_дети'!K68*CapacityAge16*'19_Расчет_аналитики'!$F$1223,0)</f>
        <v/>
      </c>
      <c r="L1547">
        <f>IF(IF('01_Вводные'!$B$296="Новый сезон",TRUE,TRUE),'06_Сеть_и_дети'!L68*CapacityAge16*'19_Расчет_аналитики'!$F$1223,0)</f>
        <v/>
      </c>
      <c r="M1547">
        <f>IF(IF('01_Вводные'!$B$296="Новый сезон",TRUE,TRUE),'06_Сеть_и_дети'!M68*CapacityAge16*'19_Расчет_аналитики'!$F$1223,0)</f>
        <v/>
      </c>
      <c r="N1547">
        <f>IF(IF('01_Вводные'!$B$296="Новый сезон",TRUE,TRUE),'06_Сеть_и_дети'!N68*CapacityAge16*'19_Расчет_аналитики'!$F$1223,0)</f>
        <v/>
      </c>
      <c r="O1547">
        <f>IF(IF('01_Вводные'!$B$296="Новый сезон",TRUE,TRUE),'06_Сеть_и_дети'!O68*CapacityAge16*'19_Расчет_аналитики'!$F$1223,0)</f>
        <v/>
      </c>
      <c r="P1547">
        <f>IF(IF('01_Вводные'!$B$296="Новый сезон",TRUE,TRUE),'06_Сеть_и_дети'!P68*CapacityAge16*'19_Расчет_аналитики'!$F$1223,0)</f>
        <v/>
      </c>
      <c r="Q1547">
        <f>IF(IF('01_Вводные'!$B$296="Новый сезон",TRUE,TRUE),'19_Расчет_аналитики'!Q1435*CapacityAge16*'19_Расчет_аналитики'!$F$1223,0)</f>
        <v/>
      </c>
      <c r="R1547">
        <f>IF(IF('01_Вводные'!$B$296="Новый сезон",TRUE,TRUE),'19_Расчет_аналитики'!R1435*CapacityAge16*'19_Расчет_аналитики'!$F$1223,0)</f>
        <v/>
      </c>
      <c r="S1547">
        <f>IF(IF('01_Вводные'!$B$296="Новый сезон",TRUE,TRUE),'19_Расчет_аналитики'!S1435*CapacityAge16*'19_Расчет_аналитики'!$F$1223,0)</f>
        <v/>
      </c>
      <c r="T1547">
        <f>IF(IF('01_Вводные'!$B$296="Новый сезон",TRUE,TRUE),'19_Расчет_аналитики'!T1435*CapacityAge16*'19_Расчет_аналитики'!$F$1223,0)</f>
        <v/>
      </c>
      <c r="U1547">
        <f>IF(IF('01_Вводные'!$B$296="Новый сезон",TRUE,TRUE),'19_Расчет_аналитики'!U1435*CapacityAge16*'19_Расчет_аналитики'!$F$1223,0)</f>
        <v/>
      </c>
      <c r="V1547">
        <f>IF(IF('01_Вводные'!$B$296="Новый сезон",TRUE,TRUE),'19_Расчет_аналитики'!V1435*CapacityAge16*'19_Расчет_аналитики'!$F$1223,0)</f>
        <v/>
      </c>
      <c r="W1547">
        <f>IF(IF('01_Вводные'!$B$296="Новый сезон",TRUE,TRUE),'19_Расчет_аналитики'!W1435*CapacityAge16*'19_Расчет_аналитики'!$F$1223,0)</f>
        <v/>
      </c>
      <c r="X1547">
        <f>IF(IF('01_Вводные'!$B$296="Новый сезон",TRUE,TRUE),'19_Расчет_аналитики'!X1435*CapacityAge16*'19_Расчет_аналитики'!$F$1223,0)</f>
        <v/>
      </c>
      <c r="Y1547">
        <f>IF(IF('01_Вводные'!$B$296="Новый сезон",TRUE,TRUE),'19_Расчет_аналитики'!Y1435*CapacityAge16*'19_Расчет_аналитики'!$F$1223,0)</f>
        <v/>
      </c>
      <c r="Z1547">
        <f>IF(IF('01_Вводные'!$B$296="Новый сезон",TRUE,TRUE),'19_Расчет_аналитики'!Z1435*CapacityAge16*'19_Расчет_аналитики'!$F$1223,0)</f>
        <v/>
      </c>
      <c r="AA1547">
        <f>IF(IF('01_Вводные'!$B$296="Новый сезон",TRUE,TRUE),'19_Расчет_аналитики'!AA1435*CapacityAge16*'19_Расчет_аналитики'!$F$1223,0)</f>
        <v/>
      </c>
      <c r="AB1547">
        <f>IF(IF('01_Вводные'!$B$296="Новый сезон",TRUE,TRUE),'19_Расчет_аналитики'!AB1435*CapacityAge16*'19_Расчет_аналитики'!$F$1223,0)</f>
        <v/>
      </c>
      <c r="AC1547">
        <f>IF(IF('01_Вводные'!$B$296="Новый сезон",TRUE,TRUE),'19_Расчет_аналитики'!AC1435*CapacityAge16*'19_Расчет_аналитики'!$F$1223,0)</f>
        <v/>
      </c>
      <c r="AD1547">
        <f>IF(IF('01_Вводные'!$B$296="Новый сезон",TRUE,TRUE),'19_Расчет_аналитики'!AD1435*CapacityAge16*'19_Расчет_аналитики'!$F$1223,0)</f>
        <v/>
      </c>
      <c r="AE1547">
        <f>IF(IF('01_Вводные'!$B$296="Новый сезон",TRUE,TRUE),'19_Расчет_аналитики'!AE1435*CapacityAge16*'19_Расчет_аналитики'!$F$1223,0)</f>
        <v/>
      </c>
      <c r="AF1547">
        <f>IF(IF('01_Вводные'!$B$296="Новый сезон",TRUE,TRUE),'19_Расчет_аналитики'!AF1435*CapacityAge16*'19_Расчет_аналитики'!$F$1223,0)</f>
        <v/>
      </c>
      <c r="AG1547">
        <f>IF(IF('01_Вводные'!$B$296="Новый сезон",TRUE,TRUE),'19_Расчет_аналитики'!AG1435*CapacityAge16*'19_Расчет_аналитики'!$F$1223,0)</f>
        <v/>
      </c>
      <c r="AH1547">
        <f>IF(IF('01_Вводные'!$B$296="Новый сезон",TRUE,TRUE),'19_Расчет_аналитики'!AH1435*CapacityAge16*'19_Расчет_аналитики'!$F$1223,0)</f>
        <v/>
      </c>
      <c r="AI1547">
        <f>IF(IF('01_Вводные'!$B$296="Новый сезон",TRUE,TRUE),'19_Расчет_аналитики'!AI1435*CapacityAge16*'19_Расчет_аналитики'!$F$1223,0)</f>
        <v/>
      </c>
      <c r="AJ1547">
        <f>IF(IF('01_Вводные'!$B$296="Новый сезон",TRUE,TRUE),'19_Расчет_аналитики'!AJ1435*CapacityAge16*'19_Расчет_аналитики'!$F$1223,0)</f>
        <v/>
      </c>
      <c r="AK1547">
        <f>IF(IF('01_Вводные'!$B$296="Новый сезон",TRUE,TRUE),'19_Расчет_аналитики'!AK1435*CapacityAge16*'19_Расчет_аналитики'!$F$1223,0)</f>
        <v/>
      </c>
      <c r="AL1547">
        <f>IF(IF('01_Вводные'!$B$296="Новый сезон",TRUE,TRUE),'19_Расчет_аналитики'!AL1435*CapacityAge16*'19_Расчет_аналитики'!$F$1223,0)</f>
        <v/>
      </c>
      <c r="AM1547">
        <f>IF(IF('01_Вводные'!$B$296="Новый сезон",TRUE,TRUE),'19_Расчет_аналитики'!AM1435*CapacityAge16*'19_Расчет_аналитики'!$F$1223,0)</f>
        <v/>
      </c>
      <c r="AN1547">
        <f>IF(IF('01_Вводные'!$B$296="Новый сезон",TRUE,TRUE),'19_Расчет_аналитики'!AN1435*CapacityAge16*'19_Расчет_аналитики'!$F$1223,0)</f>
        <v/>
      </c>
      <c r="AO1547">
        <f>IF(IF('01_Вводные'!$B$296="Новый сезон",TRUE,TRUE),'19_Расчет_аналитики'!AO1435*CapacityAge16*'19_Расчет_аналитики'!$F$1223,0)</f>
        <v/>
      </c>
      <c r="AP1547">
        <f>IF(IF('01_Вводные'!$B$296="Новый сезон",TRUE,TRUE),'19_Расчет_аналитики'!AP1435*CapacityAge16*'19_Расчет_аналитики'!$F$1223,0)</f>
        <v/>
      </c>
      <c r="AQ1547">
        <f>IF(IF('01_Вводные'!$B$296="Новый сезон",TRUE,TRUE),'19_Расчет_аналитики'!AQ1435*CapacityAge16*'19_Расчет_аналитики'!$F$1223,0)</f>
        <v/>
      </c>
      <c r="AR1547">
        <f>IF(IF('01_Вводные'!$B$296="Новый сезон",TRUE,TRUE),'19_Расчет_аналитики'!AR1435*CapacityAge16*'19_Расчет_аналитики'!$F$1223,0)</f>
        <v/>
      </c>
      <c r="AS1547">
        <f>IF(IF('01_Вводные'!$B$296="Новый сезон",TRUE,TRUE),'19_Расчет_аналитики'!AS1435*CapacityAge16*'19_Расчет_аналитики'!$F$1223,0)</f>
        <v/>
      </c>
      <c r="AT1547">
        <f>IF(IF('01_Вводные'!$B$296="Новый сезон",TRUE,TRUE),'19_Расчет_аналитики'!AT1435*CapacityAge16*'19_Расчет_аналитики'!$F$1223,0)</f>
        <v/>
      </c>
      <c r="AU1547">
        <f>IF(IF('01_Вводные'!$B$296="Новый сезон",TRUE,TRUE),'19_Расчет_аналитики'!AU1435*CapacityAge16*'19_Расчет_аналитики'!$F$1223,0)</f>
        <v/>
      </c>
      <c r="AV1547">
        <f>IF(IF('01_Вводные'!$B$296="Новый сезон",TRUE,TRUE),'19_Расчет_аналитики'!AV1435*CapacityAge16*'19_Расчет_аналитики'!$F$1223,0)</f>
        <v/>
      </c>
      <c r="AW1547">
        <f>IF(IF('01_Вводные'!$B$296="Новый сезон",TRUE,TRUE),'19_Расчет_аналитики'!AW1435*CapacityAge16*'19_Расчет_аналитики'!$F$1223,0)</f>
        <v/>
      </c>
      <c r="AX1547">
        <f>IF(IF('01_Вводные'!$B$296="Новый сезон",TRUE,TRUE),'19_Расчет_аналитики'!AX1435*CapacityAge16*'19_Расчет_аналитики'!$F$1223,0)</f>
        <v/>
      </c>
      <c r="AY1547">
        <f>IF(IF('01_Вводные'!$B$296="Новый сезон",TRUE,TRUE),'19_Расчет_аналитики'!AY1435*CapacityAge16*'19_Расчет_аналитики'!$F$1223,0)</f>
        <v/>
      </c>
      <c r="AZ1547">
        <f>IF(IF('01_Вводные'!$B$296="Новый сезон",TRUE,TRUE),'19_Расчет_аналитики'!AZ1435*CapacityAge16*'19_Расчет_аналитики'!$F$1223,0)</f>
        <v/>
      </c>
      <c r="BA1547">
        <f>IF(IF('01_Вводные'!$B$296="Новый сезон",TRUE,TRUE),'19_Расчет_аналитики'!BA1435*CapacityAge16*'19_Расчет_аналитики'!$F$1223,0)</f>
        <v/>
      </c>
      <c r="BB1547">
        <f>IF(IF('01_Вводные'!$B$296="Новый сезон",TRUE,TRUE),'19_Расчет_аналитики'!BB1435*CapacityAge16*'19_Расчет_аналитики'!$F$1223,0)</f>
        <v/>
      </c>
      <c r="BC1547">
        <f>IF(IF('01_Вводные'!$B$296="Новый сезон",TRUE,TRUE),'19_Расчет_аналитики'!BC1435*CapacityAge16*'19_Расчет_аналитики'!$F$1223,0)</f>
        <v/>
      </c>
      <c r="BD1547">
        <f>IF(IF('01_Вводные'!$B$296="Новый сезон",TRUE,TRUE),'19_Расчет_аналитики'!BD1435*CapacityAge16*'19_Расчет_аналитики'!$F$1223,0)</f>
        <v/>
      </c>
      <c r="BE1547">
        <f>IF(IF('01_Вводные'!$B$296="Новый сезон",TRUE,TRUE),'19_Расчет_аналитики'!BE1435*CapacityAge16*'19_Расчет_аналитики'!$F$1223,0)</f>
        <v/>
      </c>
      <c r="BF1547">
        <f>IF(IF('01_Вводные'!$B$296="Новый сезон",TRUE,TRUE),'19_Расчет_аналитики'!BF1435*CapacityAge16*'19_Расчет_аналитики'!$F$1223,0)</f>
        <v/>
      </c>
      <c r="BG1547">
        <f>IF(IF('01_Вводные'!$B$296="Новый сезон",TRUE,TRUE),'19_Расчет_аналитики'!BG1435*CapacityAge16*'19_Расчет_аналитики'!$F$1223,0)</f>
        <v/>
      </c>
      <c r="BH1547">
        <f>IF(IF('01_Вводные'!$B$296="Новый сезон",TRUE,TRUE),'19_Расчет_аналитики'!BH1435*CapacityAge16*'19_Расчет_аналитики'!$F$1223,0)</f>
        <v/>
      </c>
      <c r="BI1547">
        <f>IF(IF('01_Вводные'!$B$296="Новый сезон",TRUE,TRUE),'19_Расчет_аналитики'!BI1435*CapacityAge16*'19_Расчет_аналитики'!$F$1223,0)</f>
        <v/>
      </c>
      <c r="BJ1547">
        <f>IF(IF('01_Вводные'!$B$296="Новый сезон",TRUE,TRUE),'19_Расчет_аналитики'!BJ1435*CapacityAge16*'19_Расчет_аналитики'!$F$1223,0)</f>
        <v/>
      </c>
      <c r="BK1547">
        <f>IF(IF('01_Вводные'!$B$296="Новый сезон",TRUE,TRUE),'19_Расчет_аналитики'!BK1435*CapacityAge16*'19_Расчет_аналитики'!$F$1223,0)</f>
        <v/>
      </c>
      <c r="BL1547">
        <f>IF(IF('01_Вводные'!$B$296="Новый сезон",TRUE,TRUE),'19_Расчет_аналитики'!BL1435*CapacityAge16*'19_Расчет_аналитики'!$F$1223,0)</f>
        <v/>
      </c>
      <c r="BM1547">
        <f>IF(IF('01_Вводные'!$B$296="Новый сезон",TRUE,TRUE),'19_Расчет_аналитики'!BM1435*CapacityAge16*'19_Расчет_аналитики'!$F$1223,0)</f>
        <v/>
      </c>
      <c r="BN1547">
        <f>IF(IF('01_Вводные'!$B$296="Новый сезон",TRUE,TRUE),'19_Расчет_аналитики'!BN1435*CapacityAge16*'19_Расчет_аналитики'!$F$1223,0)</f>
        <v/>
      </c>
      <c r="BO1547">
        <f>IF(IF('01_Вводные'!$B$296="Новый сезон",TRUE,TRUE),'19_Расчет_аналитики'!BO1435*CapacityAge16*'19_Расчет_аналитики'!$F$1223,0)</f>
        <v/>
      </c>
    </row>
    <row r="1548">
      <c r="B1548">
        <f>IF(IF('01_Вводные'!$B$296="Новый сезон",TRUE,TRUE),'06_Сеть_и_дети'!B69*CapacityAge17*'19_Расчет_аналитики'!$F$1223,0)</f>
        <v/>
      </c>
      <c r="C1548">
        <f>IF(IF('01_Вводные'!$B$296="Новый сезон",TRUE,TRUE),'06_Сеть_и_дети'!C69*CapacityAge17*'19_Расчет_аналитики'!$F$1223,0)</f>
        <v/>
      </c>
      <c r="D1548">
        <f>IF(IF('01_Вводные'!$B$296="Новый сезон",TRUE,TRUE),'06_Сеть_и_дети'!D69*CapacityAge17*'19_Расчет_аналитики'!$F$1223,0)</f>
        <v/>
      </c>
      <c r="E1548">
        <f>IF(IF('01_Вводные'!$B$296="Новый сезон",TRUE,TRUE),'06_Сеть_и_дети'!E69*CapacityAge17*'19_Расчет_аналитики'!$F$1223,0)</f>
        <v/>
      </c>
      <c r="F1548">
        <f>IF(IF('01_Вводные'!$B$296="Новый сезон",TRUE,TRUE),'06_Сеть_и_дети'!F69*CapacityAge17*'19_Расчет_аналитики'!$F$1223,0)</f>
        <v/>
      </c>
      <c r="G1548">
        <f>IF(IF('01_Вводные'!$B$296="Новый сезон",TRUE,TRUE),'06_Сеть_и_дети'!G69*CapacityAge17*'19_Расчет_аналитики'!$F$1223,0)</f>
        <v/>
      </c>
      <c r="H1548">
        <f>IF(IF('01_Вводные'!$B$296="Новый сезон",TRUE,TRUE),'06_Сеть_и_дети'!H69*CapacityAge17*'19_Расчет_аналитики'!$F$1223,0)</f>
        <v/>
      </c>
      <c r="I1548">
        <f>IF(IF('01_Вводные'!$B$296="Новый сезон",TRUE,TRUE),'06_Сеть_и_дети'!I69*CapacityAge17*'19_Расчет_аналитики'!$F$1223,0)</f>
        <v/>
      </c>
      <c r="J1548">
        <f>IF(IF('01_Вводные'!$B$296="Новый сезон",TRUE,TRUE),'06_Сеть_и_дети'!J69*CapacityAge17*'19_Расчет_аналитики'!$F$1223,0)</f>
        <v/>
      </c>
      <c r="K1548">
        <f>IF(IF('01_Вводные'!$B$296="Новый сезон",TRUE,TRUE),'06_Сеть_и_дети'!K69*CapacityAge17*'19_Расчет_аналитики'!$F$1223,0)</f>
        <v/>
      </c>
      <c r="L1548">
        <f>IF(IF('01_Вводные'!$B$296="Новый сезон",TRUE,TRUE),'06_Сеть_и_дети'!L69*CapacityAge17*'19_Расчет_аналитики'!$F$1223,0)</f>
        <v/>
      </c>
      <c r="M1548">
        <f>IF(IF('01_Вводные'!$B$296="Новый сезон",TRUE,TRUE),'06_Сеть_и_дети'!M69*CapacityAge17*'19_Расчет_аналитики'!$F$1223,0)</f>
        <v/>
      </c>
      <c r="N1548">
        <f>IF(IF('01_Вводные'!$B$296="Новый сезон",TRUE,TRUE),'06_Сеть_и_дети'!N69*CapacityAge17*'19_Расчет_аналитики'!$F$1223,0)</f>
        <v/>
      </c>
      <c r="O1548">
        <f>IF(IF('01_Вводные'!$B$296="Новый сезон",TRUE,TRUE),'06_Сеть_и_дети'!O69*CapacityAge17*'19_Расчет_аналитики'!$F$1223,0)</f>
        <v/>
      </c>
      <c r="P1548">
        <f>IF(IF('01_Вводные'!$B$296="Новый сезон",TRUE,TRUE),'06_Сеть_и_дети'!P69*CapacityAge17*'19_Расчет_аналитики'!$F$1223,0)</f>
        <v/>
      </c>
      <c r="Q1548">
        <f>IF(IF('01_Вводные'!$B$296="Новый сезон",TRUE,TRUE),'06_Сеть_и_дети'!Q69*CapacityAge17*'19_Расчет_аналитики'!$F$1223,0)</f>
        <v/>
      </c>
      <c r="R1548">
        <f>IF(IF('01_Вводные'!$B$296="Новый сезон",TRUE,TRUE),'19_Расчет_аналитики'!R1436*CapacityAge17*'19_Расчет_аналитики'!$F$1223,0)</f>
        <v/>
      </c>
      <c r="S1548">
        <f>IF(IF('01_Вводные'!$B$296="Новый сезон",TRUE,TRUE),'19_Расчет_аналитики'!S1436*CapacityAge17*'19_Расчет_аналитики'!$F$1223,0)</f>
        <v/>
      </c>
      <c r="T1548">
        <f>IF(IF('01_Вводные'!$B$296="Новый сезон",TRUE,TRUE),'19_Расчет_аналитики'!T1436*CapacityAge17*'19_Расчет_аналитики'!$F$1223,0)</f>
        <v/>
      </c>
      <c r="U1548">
        <f>IF(IF('01_Вводные'!$B$296="Новый сезон",TRUE,TRUE),'19_Расчет_аналитики'!U1436*CapacityAge17*'19_Расчет_аналитики'!$F$1223,0)</f>
        <v/>
      </c>
      <c r="V1548">
        <f>IF(IF('01_Вводные'!$B$296="Новый сезон",TRUE,TRUE),'19_Расчет_аналитики'!V1436*CapacityAge17*'19_Расчет_аналитики'!$F$1223,0)</f>
        <v/>
      </c>
      <c r="W1548">
        <f>IF(IF('01_Вводные'!$B$296="Новый сезон",TRUE,TRUE),'19_Расчет_аналитики'!W1436*CapacityAge17*'19_Расчет_аналитики'!$F$1223,0)</f>
        <v/>
      </c>
      <c r="X1548">
        <f>IF(IF('01_Вводные'!$B$296="Новый сезон",TRUE,TRUE),'19_Расчет_аналитики'!X1436*CapacityAge17*'19_Расчет_аналитики'!$F$1223,0)</f>
        <v/>
      </c>
      <c r="Y1548">
        <f>IF(IF('01_Вводные'!$B$296="Новый сезон",TRUE,TRUE),'19_Расчет_аналитики'!Y1436*CapacityAge17*'19_Расчет_аналитики'!$F$1223,0)</f>
        <v/>
      </c>
      <c r="Z1548">
        <f>IF(IF('01_Вводные'!$B$296="Новый сезон",TRUE,TRUE),'19_Расчет_аналитики'!Z1436*CapacityAge17*'19_Расчет_аналитики'!$F$1223,0)</f>
        <v/>
      </c>
      <c r="AA1548">
        <f>IF(IF('01_Вводные'!$B$296="Новый сезон",TRUE,TRUE),'19_Расчет_аналитики'!AA1436*CapacityAge17*'19_Расчет_аналитики'!$F$1223,0)</f>
        <v/>
      </c>
      <c r="AB1548">
        <f>IF(IF('01_Вводные'!$B$296="Новый сезон",TRUE,TRUE),'19_Расчет_аналитики'!AB1436*CapacityAge17*'19_Расчет_аналитики'!$F$1223,0)</f>
        <v/>
      </c>
      <c r="AC1548">
        <f>IF(IF('01_Вводные'!$B$296="Новый сезон",TRUE,TRUE),'19_Расчет_аналитики'!AC1436*CapacityAge17*'19_Расчет_аналитики'!$F$1223,0)</f>
        <v/>
      </c>
      <c r="AD1548">
        <f>IF(IF('01_Вводные'!$B$296="Новый сезон",TRUE,TRUE),'19_Расчет_аналитики'!AD1436*CapacityAge17*'19_Расчет_аналитики'!$F$1223,0)</f>
        <v/>
      </c>
      <c r="AE1548">
        <f>IF(IF('01_Вводные'!$B$296="Новый сезон",TRUE,TRUE),'19_Расчет_аналитики'!AE1436*CapacityAge17*'19_Расчет_аналитики'!$F$1223,0)</f>
        <v/>
      </c>
      <c r="AF1548">
        <f>IF(IF('01_Вводные'!$B$296="Новый сезон",TRUE,TRUE),'19_Расчет_аналитики'!AF1436*CapacityAge17*'19_Расчет_аналитики'!$F$1223,0)</f>
        <v/>
      </c>
      <c r="AG1548">
        <f>IF(IF('01_Вводные'!$B$296="Новый сезон",TRUE,TRUE),'19_Расчет_аналитики'!AG1436*CapacityAge17*'19_Расчет_аналитики'!$F$1223,0)</f>
        <v/>
      </c>
      <c r="AH1548">
        <f>IF(IF('01_Вводные'!$B$296="Новый сезон",TRUE,TRUE),'19_Расчет_аналитики'!AH1436*CapacityAge17*'19_Расчет_аналитики'!$F$1223,0)</f>
        <v/>
      </c>
      <c r="AI1548">
        <f>IF(IF('01_Вводные'!$B$296="Новый сезон",TRUE,TRUE),'19_Расчет_аналитики'!AI1436*CapacityAge17*'19_Расчет_аналитики'!$F$1223,0)</f>
        <v/>
      </c>
      <c r="AJ1548">
        <f>IF(IF('01_Вводные'!$B$296="Новый сезон",TRUE,TRUE),'19_Расчет_аналитики'!AJ1436*CapacityAge17*'19_Расчет_аналитики'!$F$1223,0)</f>
        <v/>
      </c>
      <c r="AK1548">
        <f>IF(IF('01_Вводные'!$B$296="Новый сезон",TRUE,TRUE),'19_Расчет_аналитики'!AK1436*CapacityAge17*'19_Расчет_аналитики'!$F$1223,0)</f>
        <v/>
      </c>
      <c r="AL1548">
        <f>IF(IF('01_Вводные'!$B$296="Новый сезон",TRUE,TRUE),'19_Расчет_аналитики'!AL1436*CapacityAge17*'19_Расчет_аналитики'!$F$1223,0)</f>
        <v/>
      </c>
      <c r="AM1548">
        <f>IF(IF('01_Вводные'!$B$296="Новый сезон",TRUE,TRUE),'19_Расчет_аналитики'!AM1436*CapacityAge17*'19_Расчет_аналитики'!$F$1223,0)</f>
        <v/>
      </c>
      <c r="AN1548">
        <f>IF(IF('01_Вводные'!$B$296="Новый сезон",TRUE,TRUE),'19_Расчет_аналитики'!AN1436*CapacityAge17*'19_Расчет_аналитики'!$F$1223,0)</f>
        <v/>
      </c>
      <c r="AO1548">
        <f>IF(IF('01_Вводные'!$B$296="Новый сезон",TRUE,TRUE),'19_Расчет_аналитики'!AO1436*CapacityAge17*'19_Расчет_аналитики'!$F$1223,0)</f>
        <v/>
      </c>
      <c r="AP1548">
        <f>IF(IF('01_Вводные'!$B$296="Новый сезон",TRUE,TRUE),'19_Расчет_аналитики'!AP1436*CapacityAge17*'19_Расчет_аналитики'!$F$1223,0)</f>
        <v/>
      </c>
      <c r="AQ1548">
        <f>IF(IF('01_Вводные'!$B$296="Новый сезон",TRUE,TRUE),'19_Расчет_аналитики'!AQ1436*CapacityAge17*'19_Расчет_аналитики'!$F$1223,0)</f>
        <v/>
      </c>
      <c r="AR1548">
        <f>IF(IF('01_Вводные'!$B$296="Новый сезон",TRUE,TRUE),'19_Расчет_аналитики'!AR1436*CapacityAge17*'19_Расчет_аналитики'!$F$1223,0)</f>
        <v/>
      </c>
      <c r="AS1548">
        <f>IF(IF('01_Вводные'!$B$296="Новый сезон",TRUE,TRUE),'19_Расчет_аналитики'!AS1436*CapacityAge17*'19_Расчет_аналитики'!$F$1223,0)</f>
        <v/>
      </c>
      <c r="AT1548">
        <f>IF(IF('01_Вводные'!$B$296="Новый сезон",TRUE,TRUE),'19_Расчет_аналитики'!AT1436*CapacityAge17*'19_Расчет_аналитики'!$F$1223,0)</f>
        <v/>
      </c>
      <c r="AU1548">
        <f>IF(IF('01_Вводные'!$B$296="Новый сезон",TRUE,TRUE),'19_Расчет_аналитики'!AU1436*CapacityAge17*'19_Расчет_аналитики'!$F$1223,0)</f>
        <v/>
      </c>
      <c r="AV1548">
        <f>IF(IF('01_Вводные'!$B$296="Новый сезон",TRUE,TRUE),'19_Расчет_аналитики'!AV1436*CapacityAge17*'19_Расчет_аналитики'!$F$1223,0)</f>
        <v/>
      </c>
      <c r="AW1548">
        <f>IF(IF('01_Вводные'!$B$296="Новый сезон",TRUE,TRUE),'19_Расчет_аналитики'!AW1436*CapacityAge17*'19_Расчет_аналитики'!$F$1223,0)</f>
        <v/>
      </c>
      <c r="AX1548">
        <f>IF(IF('01_Вводные'!$B$296="Новый сезон",TRUE,TRUE),'19_Расчет_аналитики'!AX1436*CapacityAge17*'19_Расчет_аналитики'!$F$1223,0)</f>
        <v/>
      </c>
      <c r="AY1548">
        <f>IF(IF('01_Вводные'!$B$296="Новый сезон",TRUE,TRUE),'19_Расчет_аналитики'!AY1436*CapacityAge17*'19_Расчет_аналитики'!$F$1223,0)</f>
        <v/>
      </c>
      <c r="AZ1548">
        <f>IF(IF('01_Вводные'!$B$296="Новый сезон",TRUE,TRUE),'19_Расчет_аналитики'!AZ1436*CapacityAge17*'19_Расчет_аналитики'!$F$1223,0)</f>
        <v/>
      </c>
      <c r="BA1548">
        <f>IF(IF('01_Вводные'!$B$296="Новый сезон",TRUE,TRUE),'19_Расчет_аналитики'!BA1436*CapacityAge17*'19_Расчет_аналитики'!$F$1223,0)</f>
        <v/>
      </c>
      <c r="BB1548">
        <f>IF(IF('01_Вводные'!$B$296="Новый сезон",TRUE,TRUE),'19_Расчет_аналитики'!BB1436*CapacityAge17*'19_Расчет_аналитики'!$F$1223,0)</f>
        <v/>
      </c>
      <c r="BC1548">
        <f>IF(IF('01_Вводные'!$B$296="Новый сезон",TRUE,TRUE),'19_Расчет_аналитики'!BC1436*CapacityAge17*'19_Расчет_аналитики'!$F$1223,0)</f>
        <v/>
      </c>
      <c r="BD1548">
        <f>IF(IF('01_Вводные'!$B$296="Новый сезон",TRUE,TRUE),'19_Расчет_аналитики'!BD1436*CapacityAge17*'19_Расчет_аналитики'!$F$1223,0)</f>
        <v/>
      </c>
      <c r="BE1548">
        <f>IF(IF('01_Вводные'!$B$296="Новый сезон",TRUE,TRUE),'19_Расчет_аналитики'!BE1436*CapacityAge17*'19_Расчет_аналитики'!$F$1223,0)</f>
        <v/>
      </c>
      <c r="BF1548">
        <f>IF(IF('01_Вводные'!$B$296="Новый сезон",TRUE,TRUE),'19_Расчет_аналитики'!BF1436*CapacityAge17*'19_Расчет_аналитики'!$F$1223,0)</f>
        <v/>
      </c>
      <c r="BG1548">
        <f>IF(IF('01_Вводные'!$B$296="Новый сезон",TRUE,TRUE),'19_Расчет_аналитики'!BG1436*CapacityAge17*'19_Расчет_аналитики'!$F$1223,0)</f>
        <v/>
      </c>
      <c r="BH1548">
        <f>IF(IF('01_Вводные'!$B$296="Новый сезон",TRUE,TRUE),'19_Расчет_аналитики'!BH1436*CapacityAge17*'19_Расчет_аналитики'!$F$1223,0)</f>
        <v/>
      </c>
      <c r="BI1548">
        <f>IF(IF('01_Вводные'!$B$296="Новый сезон",TRUE,TRUE),'19_Расчет_аналитики'!BI1436*CapacityAge17*'19_Расчет_аналитики'!$F$1223,0)</f>
        <v/>
      </c>
      <c r="BJ1548">
        <f>IF(IF('01_Вводные'!$B$296="Новый сезон",TRUE,TRUE),'19_Расчет_аналитики'!BJ1436*CapacityAge17*'19_Расчет_аналитики'!$F$1223,0)</f>
        <v/>
      </c>
      <c r="BK1548">
        <f>IF(IF('01_Вводные'!$B$296="Новый сезон",TRUE,TRUE),'19_Расчет_аналитики'!BK1436*CapacityAge17*'19_Расчет_аналитики'!$F$1223,0)</f>
        <v/>
      </c>
      <c r="BL1548">
        <f>IF(IF('01_Вводные'!$B$296="Новый сезон",TRUE,TRUE),'19_Расчет_аналитики'!BL1436*CapacityAge17*'19_Расчет_аналитики'!$F$1223,0)</f>
        <v/>
      </c>
      <c r="BM1548">
        <f>IF(IF('01_Вводные'!$B$296="Новый сезон",TRUE,TRUE),'19_Расчет_аналитики'!BM1436*CapacityAge17*'19_Расчет_аналитики'!$F$1223,0)</f>
        <v/>
      </c>
      <c r="BN1548">
        <f>IF(IF('01_Вводные'!$B$296="Новый сезон",TRUE,TRUE),'19_Расчет_аналитики'!BN1436*CapacityAge17*'19_Расчет_аналитики'!$F$1223,0)</f>
        <v/>
      </c>
      <c r="BO1548">
        <f>IF(IF('01_Вводные'!$B$296="Новый сезон",TRUE,TRUE),'19_Расчет_аналитики'!BO1436*CapacityAge17*'19_Расчет_аналитики'!$F$1223,0)</f>
        <v/>
      </c>
    </row>
    <row r="1549">
      <c r="B1549">
        <f>IF(IF('01_Вводные'!$B$296="Новый сезон",TRUE,TRUE),'06_Сеть_и_дети'!B70*CapacityAge18*'19_Расчет_аналитики'!$F$1223,0)</f>
        <v/>
      </c>
      <c r="C1549">
        <f>IF(IF('01_Вводные'!$B$296="Новый сезон",TRUE,TRUE),'06_Сеть_и_дети'!C70*CapacityAge18*'19_Расчет_аналитики'!$F$1223,0)</f>
        <v/>
      </c>
      <c r="D1549">
        <f>IF(IF('01_Вводные'!$B$296="Новый сезон",TRUE,TRUE),'06_Сеть_и_дети'!D70*CapacityAge18*'19_Расчет_аналитики'!$F$1223,0)</f>
        <v/>
      </c>
      <c r="E1549">
        <f>IF(IF('01_Вводные'!$B$296="Новый сезон",TRUE,TRUE),'06_Сеть_и_дети'!E70*CapacityAge18*'19_Расчет_аналитики'!$F$1223,0)</f>
        <v/>
      </c>
      <c r="F1549">
        <f>IF(IF('01_Вводные'!$B$296="Новый сезон",TRUE,TRUE),'06_Сеть_и_дети'!F70*CapacityAge18*'19_Расчет_аналитики'!$F$1223,0)</f>
        <v/>
      </c>
      <c r="G1549">
        <f>IF(IF('01_Вводные'!$B$296="Новый сезон",TRUE,TRUE),'06_Сеть_и_дети'!G70*CapacityAge18*'19_Расчет_аналитики'!$F$1223,0)</f>
        <v/>
      </c>
      <c r="H1549">
        <f>IF(IF('01_Вводные'!$B$296="Новый сезон",TRUE,TRUE),'06_Сеть_и_дети'!H70*CapacityAge18*'19_Расчет_аналитики'!$F$1223,0)</f>
        <v/>
      </c>
      <c r="I1549">
        <f>IF(IF('01_Вводные'!$B$296="Новый сезон",TRUE,TRUE),'06_Сеть_и_дети'!I70*CapacityAge18*'19_Расчет_аналитики'!$F$1223,0)</f>
        <v/>
      </c>
      <c r="J1549">
        <f>IF(IF('01_Вводные'!$B$296="Новый сезон",TRUE,TRUE),'06_Сеть_и_дети'!J70*CapacityAge18*'19_Расчет_аналитики'!$F$1223,0)</f>
        <v/>
      </c>
      <c r="K1549">
        <f>IF(IF('01_Вводные'!$B$296="Новый сезон",TRUE,TRUE),'06_Сеть_и_дети'!K70*CapacityAge18*'19_Расчет_аналитики'!$F$1223,0)</f>
        <v/>
      </c>
      <c r="L1549">
        <f>IF(IF('01_Вводные'!$B$296="Новый сезон",TRUE,TRUE),'06_Сеть_и_дети'!L70*CapacityAge18*'19_Расчет_аналитики'!$F$1223,0)</f>
        <v/>
      </c>
      <c r="M1549">
        <f>IF(IF('01_Вводные'!$B$296="Новый сезон",TRUE,TRUE),'06_Сеть_и_дети'!M70*CapacityAge18*'19_Расчет_аналитики'!$F$1223,0)</f>
        <v/>
      </c>
      <c r="N1549">
        <f>IF(IF('01_Вводные'!$B$296="Новый сезон",TRUE,TRUE),'06_Сеть_и_дети'!N70*CapacityAge18*'19_Расчет_аналитики'!$F$1223,0)</f>
        <v/>
      </c>
      <c r="O1549">
        <f>IF(IF('01_Вводные'!$B$296="Новый сезон",TRUE,TRUE),'06_Сеть_и_дети'!O70*CapacityAge18*'19_Расчет_аналитики'!$F$1223,0)</f>
        <v/>
      </c>
      <c r="P1549">
        <f>IF(IF('01_Вводные'!$B$296="Новый сезон",TRUE,TRUE),'06_Сеть_и_дети'!P70*CapacityAge18*'19_Расчет_аналитики'!$F$1223,0)</f>
        <v/>
      </c>
      <c r="Q1549">
        <f>IF(IF('01_Вводные'!$B$296="Новый сезон",TRUE,TRUE),'06_Сеть_и_дети'!Q70*CapacityAge18*'19_Расчет_аналитики'!$F$1223,0)</f>
        <v/>
      </c>
      <c r="R1549">
        <f>IF(IF('01_Вводные'!$B$296="Новый сезон",TRUE,TRUE),'06_Сеть_и_дети'!R70*CapacityAge18*'19_Расчет_аналитики'!$F$1223,0)</f>
        <v/>
      </c>
      <c r="S1549">
        <f>IF(IF('01_Вводные'!$B$296="Новый сезон",TRUE,TRUE),'19_Расчет_аналитики'!S1437*CapacityAge18*'19_Расчет_аналитики'!$F$1223,0)</f>
        <v/>
      </c>
      <c r="T1549">
        <f>IF(IF('01_Вводные'!$B$296="Новый сезон",TRUE,TRUE),'19_Расчет_аналитики'!T1437*CapacityAge18*'19_Расчет_аналитики'!$F$1223,0)</f>
        <v/>
      </c>
      <c r="U1549">
        <f>IF(IF('01_Вводные'!$B$296="Новый сезон",TRUE,TRUE),'19_Расчет_аналитики'!U1437*CapacityAge18*'19_Расчет_аналитики'!$F$1223,0)</f>
        <v/>
      </c>
      <c r="V1549">
        <f>IF(IF('01_Вводные'!$B$296="Новый сезон",TRUE,TRUE),'19_Расчет_аналитики'!V1437*CapacityAge18*'19_Расчет_аналитики'!$F$1223,0)</f>
        <v/>
      </c>
      <c r="W1549">
        <f>IF(IF('01_Вводные'!$B$296="Новый сезон",TRUE,TRUE),'19_Расчет_аналитики'!W1437*CapacityAge18*'19_Расчет_аналитики'!$F$1223,0)</f>
        <v/>
      </c>
      <c r="X1549">
        <f>IF(IF('01_Вводные'!$B$296="Новый сезон",TRUE,TRUE),'19_Расчет_аналитики'!X1437*CapacityAge18*'19_Расчет_аналитики'!$F$1223,0)</f>
        <v/>
      </c>
      <c r="Y1549">
        <f>IF(IF('01_Вводные'!$B$296="Новый сезон",TRUE,TRUE),'19_Расчет_аналитики'!Y1437*CapacityAge18*'19_Расчет_аналитики'!$F$1223,0)</f>
        <v/>
      </c>
      <c r="Z1549">
        <f>IF(IF('01_Вводные'!$B$296="Новый сезон",TRUE,TRUE),'19_Расчет_аналитики'!Z1437*CapacityAge18*'19_Расчет_аналитики'!$F$1223,0)</f>
        <v/>
      </c>
      <c r="AA1549">
        <f>IF(IF('01_Вводные'!$B$296="Новый сезон",TRUE,TRUE),'19_Расчет_аналитики'!AA1437*CapacityAge18*'19_Расчет_аналитики'!$F$1223,0)</f>
        <v/>
      </c>
      <c r="AB1549">
        <f>IF(IF('01_Вводные'!$B$296="Новый сезон",TRUE,TRUE),'19_Расчет_аналитики'!AB1437*CapacityAge18*'19_Расчет_аналитики'!$F$1223,0)</f>
        <v/>
      </c>
      <c r="AC1549">
        <f>IF(IF('01_Вводные'!$B$296="Новый сезон",TRUE,TRUE),'19_Расчет_аналитики'!AC1437*CapacityAge18*'19_Расчет_аналитики'!$F$1223,0)</f>
        <v/>
      </c>
      <c r="AD1549">
        <f>IF(IF('01_Вводные'!$B$296="Новый сезон",TRUE,TRUE),'19_Расчет_аналитики'!AD1437*CapacityAge18*'19_Расчет_аналитики'!$F$1223,0)</f>
        <v/>
      </c>
      <c r="AE1549">
        <f>IF(IF('01_Вводные'!$B$296="Новый сезон",TRUE,TRUE),'19_Расчет_аналитики'!AE1437*CapacityAge18*'19_Расчет_аналитики'!$F$1223,0)</f>
        <v/>
      </c>
      <c r="AF1549">
        <f>IF(IF('01_Вводные'!$B$296="Новый сезон",TRUE,TRUE),'19_Расчет_аналитики'!AF1437*CapacityAge18*'19_Расчет_аналитики'!$F$1223,0)</f>
        <v/>
      </c>
      <c r="AG1549">
        <f>IF(IF('01_Вводные'!$B$296="Новый сезон",TRUE,TRUE),'19_Расчет_аналитики'!AG1437*CapacityAge18*'19_Расчет_аналитики'!$F$1223,0)</f>
        <v/>
      </c>
      <c r="AH1549">
        <f>IF(IF('01_Вводные'!$B$296="Новый сезон",TRUE,TRUE),'19_Расчет_аналитики'!AH1437*CapacityAge18*'19_Расчет_аналитики'!$F$1223,0)</f>
        <v/>
      </c>
      <c r="AI1549">
        <f>IF(IF('01_Вводные'!$B$296="Новый сезон",TRUE,TRUE),'19_Расчет_аналитики'!AI1437*CapacityAge18*'19_Расчет_аналитики'!$F$1223,0)</f>
        <v/>
      </c>
      <c r="AJ1549">
        <f>IF(IF('01_Вводные'!$B$296="Новый сезон",TRUE,TRUE),'19_Расчет_аналитики'!AJ1437*CapacityAge18*'19_Расчет_аналитики'!$F$1223,0)</f>
        <v/>
      </c>
      <c r="AK1549">
        <f>IF(IF('01_Вводные'!$B$296="Новый сезон",TRUE,TRUE),'19_Расчет_аналитики'!AK1437*CapacityAge18*'19_Расчет_аналитики'!$F$1223,0)</f>
        <v/>
      </c>
      <c r="AL1549">
        <f>IF(IF('01_Вводные'!$B$296="Новый сезон",TRUE,TRUE),'19_Расчет_аналитики'!AL1437*CapacityAge18*'19_Расчет_аналитики'!$F$1223,0)</f>
        <v/>
      </c>
      <c r="AM1549">
        <f>IF(IF('01_Вводные'!$B$296="Новый сезон",TRUE,TRUE),'19_Расчет_аналитики'!AM1437*CapacityAge18*'19_Расчет_аналитики'!$F$1223,0)</f>
        <v/>
      </c>
      <c r="AN1549">
        <f>IF(IF('01_Вводные'!$B$296="Новый сезон",TRUE,TRUE),'19_Расчет_аналитики'!AN1437*CapacityAge18*'19_Расчет_аналитики'!$F$1223,0)</f>
        <v/>
      </c>
      <c r="AO1549">
        <f>IF(IF('01_Вводные'!$B$296="Новый сезон",TRUE,TRUE),'19_Расчет_аналитики'!AO1437*CapacityAge18*'19_Расчет_аналитики'!$F$1223,0)</f>
        <v/>
      </c>
      <c r="AP1549">
        <f>IF(IF('01_Вводные'!$B$296="Новый сезон",TRUE,TRUE),'19_Расчет_аналитики'!AP1437*CapacityAge18*'19_Расчет_аналитики'!$F$1223,0)</f>
        <v/>
      </c>
      <c r="AQ1549">
        <f>IF(IF('01_Вводные'!$B$296="Новый сезон",TRUE,TRUE),'19_Расчет_аналитики'!AQ1437*CapacityAge18*'19_Расчет_аналитики'!$F$1223,0)</f>
        <v/>
      </c>
      <c r="AR1549">
        <f>IF(IF('01_Вводные'!$B$296="Новый сезон",TRUE,TRUE),'19_Расчет_аналитики'!AR1437*CapacityAge18*'19_Расчет_аналитики'!$F$1223,0)</f>
        <v/>
      </c>
      <c r="AS1549">
        <f>IF(IF('01_Вводные'!$B$296="Новый сезон",TRUE,TRUE),'19_Расчет_аналитики'!AS1437*CapacityAge18*'19_Расчет_аналитики'!$F$1223,0)</f>
        <v/>
      </c>
      <c r="AT1549">
        <f>IF(IF('01_Вводные'!$B$296="Новый сезон",TRUE,TRUE),'19_Расчет_аналитики'!AT1437*CapacityAge18*'19_Расчет_аналитики'!$F$1223,0)</f>
        <v/>
      </c>
      <c r="AU1549">
        <f>IF(IF('01_Вводные'!$B$296="Новый сезон",TRUE,TRUE),'19_Расчет_аналитики'!AU1437*CapacityAge18*'19_Расчет_аналитики'!$F$1223,0)</f>
        <v/>
      </c>
      <c r="AV1549">
        <f>IF(IF('01_Вводные'!$B$296="Новый сезон",TRUE,TRUE),'19_Расчет_аналитики'!AV1437*CapacityAge18*'19_Расчет_аналитики'!$F$1223,0)</f>
        <v/>
      </c>
      <c r="AW1549">
        <f>IF(IF('01_Вводные'!$B$296="Новый сезон",TRUE,TRUE),'19_Расчет_аналитики'!AW1437*CapacityAge18*'19_Расчет_аналитики'!$F$1223,0)</f>
        <v/>
      </c>
      <c r="AX1549">
        <f>IF(IF('01_Вводные'!$B$296="Новый сезон",TRUE,TRUE),'19_Расчет_аналитики'!AX1437*CapacityAge18*'19_Расчет_аналитики'!$F$1223,0)</f>
        <v/>
      </c>
      <c r="AY1549">
        <f>IF(IF('01_Вводные'!$B$296="Новый сезон",TRUE,TRUE),'19_Расчет_аналитики'!AY1437*CapacityAge18*'19_Расчет_аналитики'!$F$1223,0)</f>
        <v/>
      </c>
      <c r="AZ1549">
        <f>IF(IF('01_Вводные'!$B$296="Новый сезон",TRUE,TRUE),'19_Расчет_аналитики'!AZ1437*CapacityAge18*'19_Расчет_аналитики'!$F$1223,0)</f>
        <v/>
      </c>
      <c r="BA1549">
        <f>IF(IF('01_Вводные'!$B$296="Новый сезон",TRUE,TRUE),'19_Расчет_аналитики'!BA1437*CapacityAge18*'19_Расчет_аналитики'!$F$1223,0)</f>
        <v/>
      </c>
      <c r="BB1549">
        <f>IF(IF('01_Вводные'!$B$296="Новый сезон",TRUE,TRUE),'19_Расчет_аналитики'!BB1437*CapacityAge18*'19_Расчет_аналитики'!$F$1223,0)</f>
        <v/>
      </c>
      <c r="BC1549">
        <f>IF(IF('01_Вводные'!$B$296="Новый сезон",TRUE,TRUE),'19_Расчет_аналитики'!BC1437*CapacityAge18*'19_Расчет_аналитики'!$F$1223,0)</f>
        <v/>
      </c>
      <c r="BD1549">
        <f>IF(IF('01_Вводные'!$B$296="Новый сезон",TRUE,TRUE),'19_Расчет_аналитики'!BD1437*CapacityAge18*'19_Расчет_аналитики'!$F$1223,0)</f>
        <v/>
      </c>
      <c r="BE1549">
        <f>IF(IF('01_Вводные'!$B$296="Новый сезон",TRUE,TRUE),'19_Расчет_аналитики'!BE1437*CapacityAge18*'19_Расчет_аналитики'!$F$1223,0)</f>
        <v/>
      </c>
      <c r="BF1549">
        <f>IF(IF('01_Вводные'!$B$296="Новый сезон",TRUE,TRUE),'19_Расчет_аналитики'!BF1437*CapacityAge18*'19_Расчет_аналитики'!$F$1223,0)</f>
        <v/>
      </c>
      <c r="BG1549">
        <f>IF(IF('01_Вводные'!$B$296="Новый сезон",TRUE,TRUE),'19_Расчет_аналитики'!BG1437*CapacityAge18*'19_Расчет_аналитики'!$F$1223,0)</f>
        <v/>
      </c>
      <c r="BH1549">
        <f>IF(IF('01_Вводные'!$B$296="Новый сезон",TRUE,TRUE),'19_Расчет_аналитики'!BH1437*CapacityAge18*'19_Расчет_аналитики'!$F$1223,0)</f>
        <v/>
      </c>
      <c r="BI1549">
        <f>IF(IF('01_Вводные'!$B$296="Новый сезон",TRUE,TRUE),'19_Расчет_аналитики'!BI1437*CapacityAge18*'19_Расчет_аналитики'!$F$1223,0)</f>
        <v/>
      </c>
      <c r="BJ1549">
        <f>IF(IF('01_Вводные'!$B$296="Новый сезон",TRUE,TRUE),'19_Расчет_аналитики'!BJ1437*CapacityAge18*'19_Расчет_аналитики'!$F$1223,0)</f>
        <v/>
      </c>
      <c r="BK1549">
        <f>IF(IF('01_Вводные'!$B$296="Новый сезон",TRUE,TRUE),'19_Расчет_аналитики'!BK1437*CapacityAge18*'19_Расчет_аналитики'!$F$1223,0)</f>
        <v/>
      </c>
      <c r="BL1549">
        <f>IF(IF('01_Вводные'!$B$296="Новый сезон",TRUE,TRUE),'19_Расчет_аналитики'!BL1437*CapacityAge18*'19_Расчет_аналитики'!$F$1223,0)</f>
        <v/>
      </c>
      <c r="BM1549">
        <f>IF(IF('01_Вводные'!$B$296="Новый сезон",TRUE,TRUE),'19_Расчет_аналитики'!BM1437*CapacityAge18*'19_Расчет_аналитики'!$F$1223,0)</f>
        <v/>
      </c>
      <c r="BN1549">
        <f>IF(IF('01_Вводные'!$B$296="Новый сезон",TRUE,TRUE),'19_Расчет_аналитики'!BN1437*CapacityAge18*'19_Расчет_аналитики'!$F$1223,0)</f>
        <v/>
      </c>
      <c r="BO1549">
        <f>IF(IF('01_Вводные'!$B$296="Новый сезон",TRUE,TRUE),'19_Расчет_аналитики'!BO1437*CapacityAge18*'19_Расчет_аналитики'!$F$1223,0)</f>
        <v/>
      </c>
    </row>
    <row r="1550">
      <c r="B1550">
        <f>IF(IF('01_Вводные'!$B$296="Новый сезон",TRUE,TRUE),'06_Сеть_и_дети'!B71*CapacityAge19*'19_Расчет_аналитики'!$F$1223,0)</f>
        <v/>
      </c>
      <c r="C1550">
        <f>IF(IF('01_Вводные'!$B$296="Новый сезон",TRUE,TRUE),'06_Сеть_и_дети'!C71*CapacityAge19*'19_Расчет_аналитики'!$F$1223,0)</f>
        <v/>
      </c>
      <c r="D1550">
        <f>IF(IF('01_Вводные'!$B$296="Новый сезон",TRUE,TRUE),'06_Сеть_и_дети'!D71*CapacityAge19*'19_Расчет_аналитики'!$F$1223,0)</f>
        <v/>
      </c>
      <c r="E1550">
        <f>IF(IF('01_Вводные'!$B$296="Новый сезон",TRUE,TRUE),'06_Сеть_и_дети'!E71*CapacityAge19*'19_Расчет_аналитики'!$F$1223,0)</f>
        <v/>
      </c>
      <c r="F1550">
        <f>IF(IF('01_Вводные'!$B$296="Новый сезон",TRUE,TRUE),'06_Сеть_и_дети'!F71*CapacityAge19*'19_Расчет_аналитики'!$F$1223,0)</f>
        <v/>
      </c>
      <c r="G1550">
        <f>IF(IF('01_Вводные'!$B$296="Новый сезон",TRUE,TRUE),'06_Сеть_и_дети'!G71*CapacityAge19*'19_Расчет_аналитики'!$F$1223,0)</f>
        <v/>
      </c>
      <c r="H1550">
        <f>IF(IF('01_Вводные'!$B$296="Новый сезон",TRUE,TRUE),'06_Сеть_и_дети'!H71*CapacityAge19*'19_Расчет_аналитики'!$F$1223,0)</f>
        <v/>
      </c>
      <c r="I1550">
        <f>IF(IF('01_Вводные'!$B$296="Новый сезон",TRUE,TRUE),'06_Сеть_и_дети'!I71*CapacityAge19*'19_Расчет_аналитики'!$F$1223,0)</f>
        <v/>
      </c>
      <c r="J1550">
        <f>IF(IF('01_Вводные'!$B$296="Новый сезон",TRUE,TRUE),'06_Сеть_и_дети'!J71*CapacityAge19*'19_Расчет_аналитики'!$F$1223,0)</f>
        <v/>
      </c>
      <c r="K1550">
        <f>IF(IF('01_Вводные'!$B$296="Новый сезон",TRUE,TRUE),'06_Сеть_и_дети'!K71*CapacityAge19*'19_Расчет_аналитики'!$F$1223,0)</f>
        <v/>
      </c>
      <c r="L1550">
        <f>IF(IF('01_Вводные'!$B$296="Новый сезон",TRUE,TRUE),'06_Сеть_и_дети'!L71*CapacityAge19*'19_Расчет_аналитики'!$F$1223,0)</f>
        <v/>
      </c>
      <c r="M1550">
        <f>IF(IF('01_Вводные'!$B$296="Новый сезон",TRUE,TRUE),'06_Сеть_и_дети'!M71*CapacityAge19*'19_Расчет_аналитики'!$F$1223,0)</f>
        <v/>
      </c>
      <c r="N1550">
        <f>IF(IF('01_Вводные'!$B$296="Новый сезон",TRUE,TRUE),'06_Сеть_и_дети'!N71*CapacityAge19*'19_Расчет_аналитики'!$F$1223,0)</f>
        <v/>
      </c>
      <c r="O1550">
        <f>IF(IF('01_Вводные'!$B$296="Новый сезон",TRUE,TRUE),'06_Сеть_и_дети'!O71*CapacityAge19*'19_Расчет_аналитики'!$F$1223,0)</f>
        <v/>
      </c>
      <c r="P1550">
        <f>IF(IF('01_Вводные'!$B$296="Новый сезон",TRUE,TRUE),'06_Сеть_и_дети'!P71*CapacityAge19*'19_Расчет_аналитики'!$F$1223,0)</f>
        <v/>
      </c>
      <c r="Q1550">
        <f>IF(IF('01_Вводные'!$B$296="Новый сезон",TRUE,TRUE),'06_Сеть_и_дети'!Q71*CapacityAge19*'19_Расчет_аналитики'!$F$1223,0)</f>
        <v/>
      </c>
      <c r="R1550">
        <f>IF(IF('01_Вводные'!$B$296="Новый сезон",TRUE,TRUE),'06_Сеть_и_дети'!R71*CapacityAge19*'19_Расчет_аналитики'!$F$1223,0)</f>
        <v/>
      </c>
      <c r="S1550">
        <f>IF(IF('01_Вводные'!$B$296="Новый сезон",TRUE,TRUE),'06_Сеть_и_дети'!S71*CapacityAge19*'19_Расчет_аналитики'!$F$1223,0)</f>
        <v/>
      </c>
      <c r="T1550">
        <f>IF(IF('01_Вводные'!$B$296="Новый сезон",TRUE,TRUE),'19_Расчет_аналитики'!T1438*CapacityAge19*'19_Расчет_аналитики'!$F$1223,0)</f>
        <v/>
      </c>
      <c r="U1550">
        <f>IF(IF('01_Вводные'!$B$296="Новый сезон",TRUE,TRUE),'19_Расчет_аналитики'!U1438*CapacityAge19*'19_Расчет_аналитики'!$F$1223,0)</f>
        <v/>
      </c>
      <c r="V1550">
        <f>IF(IF('01_Вводные'!$B$296="Новый сезон",TRUE,TRUE),'19_Расчет_аналитики'!V1438*CapacityAge19*'19_Расчет_аналитики'!$F$1223,0)</f>
        <v/>
      </c>
      <c r="W1550">
        <f>IF(IF('01_Вводные'!$B$296="Новый сезон",TRUE,TRUE),'19_Расчет_аналитики'!W1438*CapacityAge19*'19_Расчет_аналитики'!$F$1223,0)</f>
        <v/>
      </c>
      <c r="X1550">
        <f>IF(IF('01_Вводные'!$B$296="Новый сезон",TRUE,TRUE),'19_Расчет_аналитики'!X1438*CapacityAge19*'19_Расчет_аналитики'!$F$1223,0)</f>
        <v/>
      </c>
      <c r="Y1550">
        <f>IF(IF('01_Вводные'!$B$296="Новый сезон",TRUE,TRUE),'19_Расчет_аналитики'!Y1438*CapacityAge19*'19_Расчет_аналитики'!$F$1223,0)</f>
        <v/>
      </c>
      <c r="Z1550">
        <f>IF(IF('01_Вводные'!$B$296="Новый сезон",TRUE,TRUE),'19_Расчет_аналитики'!Z1438*CapacityAge19*'19_Расчет_аналитики'!$F$1223,0)</f>
        <v/>
      </c>
      <c r="AA1550">
        <f>IF(IF('01_Вводные'!$B$296="Новый сезон",TRUE,TRUE),'19_Расчет_аналитики'!AA1438*CapacityAge19*'19_Расчет_аналитики'!$F$1223,0)</f>
        <v/>
      </c>
      <c r="AB1550">
        <f>IF(IF('01_Вводные'!$B$296="Новый сезон",TRUE,TRUE),'19_Расчет_аналитики'!AB1438*CapacityAge19*'19_Расчет_аналитики'!$F$1223,0)</f>
        <v/>
      </c>
      <c r="AC1550">
        <f>IF(IF('01_Вводные'!$B$296="Новый сезон",TRUE,TRUE),'19_Расчет_аналитики'!AC1438*CapacityAge19*'19_Расчет_аналитики'!$F$1223,0)</f>
        <v/>
      </c>
      <c r="AD1550">
        <f>IF(IF('01_Вводные'!$B$296="Новый сезон",TRUE,TRUE),'19_Расчет_аналитики'!AD1438*CapacityAge19*'19_Расчет_аналитики'!$F$1223,0)</f>
        <v/>
      </c>
      <c r="AE1550">
        <f>IF(IF('01_Вводные'!$B$296="Новый сезон",TRUE,TRUE),'19_Расчет_аналитики'!AE1438*CapacityAge19*'19_Расчет_аналитики'!$F$1223,0)</f>
        <v/>
      </c>
      <c r="AF1550">
        <f>IF(IF('01_Вводные'!$B$296="Новый сезон",TRUE,TRUE),'19_Расчет_аналитики'!AF1438*CapacityAge19*'19_Расчет_аналитики'!$F$1223,0)</f>
        <v/>
      </c>
      <c r="AG1550">
        <f>IF(IF('01_Вводные'!$B$296="Новый сезон",TRUE,TRUE),'19_Расчет_аналитики'!AG1438*CapacityAge19*'19_Расчет_аналитики'!$F$1223,0)</f>
        <v/>
      </c>
      <c r="AH1550">
        <f>IF(IF('01_Вводные'!$B$296="Новый сезон",TRUE,TRUE),'19_Расчет_аналитики'!AH1438*CapacityAge19*'19_Расчет_аналитики'!$F$1223,0)</f>
        <v/>
      </c>
      <c r="AI1550">
        <f>IF(IF('01_Вводные'!$B$296="Новый сезон",TRUE,TRUE),'19_Расчет_аналитики'!AI1438*CapacityAge19*'19_Расчет_аналитики'!$F$1223,0)</f>
        <v/>
      </c>
      <c r="AJ1550">
        <f>IF(IF('01_Вводные'!$B$296="Новый сезон",TRUE,TRUE),'19_Расчет_аналитики'!AJ1438*CapacityAge19*'19_Расчет_аналитики'!$F$1223,0)</f>
        <v/>
      </c>
      <c r="AK1550">
        <f>IF(IF('01_Вводные'!$B$296="Новый сезон",TRUE,TRUE),'19_Расчет_аналитики'!AK1438*CapacityAge19*'19_Расчет_аналитики'!$F$1223,0)</f>
        <v/>
      </c>
      <c r="AL1550">
        <f>IF(IF('01_Вводные'!$B$296="Новый сезон",TRUE,TRUE),'19_Расчет_аналитики'!AL1438*CapacityAge19*'19_Расчет_аналитики'!$F$1223,0)</f>
        <v/>
      </c>
      <c r="AM1550">
        <f>IF(IF('01_Вводные'!$B$296="Новый сезон",TRUE,TRUE),'19_Расчет_аналитики'!AM1438*CapacityAge19*'19_Расчет_аналитики'!$F$1223,0)</f>
        <v/>
      </c>
      <c r="AN1550">
        <f>IF(IF('01_Вводные'!$B$296="Новый сезон",TRUE,TRUE),'19_Расчет_аналитики'!AN1438*CapacityAge19*'19_Расчет_аналитики'!$F$1223,0)</f>
        <v/>
      </c>
      <c r="AO1550">
        <f>IF(IF('01_Вводные'!$B$296="Новый сезон",TRUE,TRUE),'19_Расчет_аналитики'!AO1438*CapacityAge19*'19_Расчет_аналитики'!$F$1223,0)</f>
        <v/>
      </c>
      <c r="AP1550">
        <f>IF(IF('01_Вводные'!$B$296="Новый сезон",TRUE,TRUE),'19_Расчет_аналитики'!AP1438*CapacityAge19*'19_Расчет_аналитики'!$F$1223,0)</f>
        <v/>
      </c>
      <c r="AQ1550">
        <f>IF(IF('01_Вводные'!$B$296="Новый сезон",TRUE,TRUE),'19_Расчет_аналитики'!AQ1438*CapacityAge19*'19_Расчет_аналитики'!$F$1223,0)</f>
        <v/>
      </c>
      <c r="AR1550">
        <f>IF(IF('01_Вводные'!$B$296="Новый сезон",TRUE,TRUE),'19_Расчет_аналитики'!AR1438*CapacityAge19*'19_Расчет_аналитики'!$F$1223,0)</f>
        <v/>
      </c>
      <c r="AS1550">
        <f>IF(IF('01_Вводные'!$B$296="Новый сезон",TRUE,TRUE),'19_Расчет_аналитики'!AS1438*CapacityAge19*'19_Расчет_аналитики'!$F$1223,0)</f>
        <v/>
      </c>
      <c r="AT1550">
        <f>IF(IF('01_Вводные'!$B$296="Новый сезон",TRUE,TRUE),'19_Расчет_аналитики'!AT1438*CapacityAge19*'19_Расчет_аналитики'!$F$1223,0)</f>
        <v/>
      </c>
      <c r="AU1550">
        <f>IF(IF('01_Вводные'!$B$296="Новый сезон",TRUE,TRUE),'19_Расчет_аналитики'!AU1438*CapacityAge19*'19_Расчет_аналитики'!$F$1223,0)</f>
        <v/>
      </c>
      <c r="AV1550">
        <f>IF(IF('01_Вводные'!$B$296="Новый сезон",TRUE,TRUE),'19_Расчет_аналитики'!AV1438*CapacityAge19*'19_Расчет_аналитики'!$F$1223,0)</f>
        <v/>
      </c>
      <c r="AW1550">
        <f>IF(IF('01_Вводные'!$B$296="Новый сезон",TRUE,TRUE),'19_Расчет_аналитики'!AW1438*CapacityAge19*'19_Расчет_аналитики'!$F$1223,0)</f>
        <v/>
      </c>
      <c r="AX1550">
        <f>IF(IF('01_Вводные'!$B$296="Новый сезон",TRUE,TRUE),'19_Расчет_аналитики'!AX1438*CapacityAge19*'19_Расчет_аналитики'!$F$1223,0)</f>
        <v/>
      </c>
      <c r="AY1550">
        <f>IF(IF('01_Вводные'!$B$296="Новый сезон",TRUE,TRUE),'19_Расчет_аналитики'!AY1438*CapacityAge19*'19_Расчет_аналитики'!$F$1223,0)</f>
        <v/>
      </c>
      <c r="AZ1550">
        <f>IF(IF('01_Вводные'!$B$296="Новый сезон",TRUE,TRUE),'19_Расчет_аналитики'!AZ1438*CapacityAge19*'19_Расчет_аналитики'!$F$1223,0)</f>
        <v/>
      </c>
      <c r="BA1550">
        <f>IF(IF('01_Вводные'!$B$296="Новый сезон",TRUE,TRUE),'19_Расчет_аналитики'!BA1438*CapacityAge19*'19_Расчет_аналитики'!$F$1223,0)</f>
        <v/>
      </c>
      <c r="BB1550">
        <f>IF(IF('01_Вводные'!$B$296="Новый сезон",TRUE,TRUE),'19_Расчет_аналитики'!BB1438*CapacityAge19*'19_Расчет_аналитики'!$F$1223,0)</f>
        <v/>
      </c>
      <c r="BC1550">
        <f>IF(IF('01_Вводные'!$B$296="Новый сезон",TRUE,TRUE),'19_Расчет_аналитики'!BC1438*CapacityAge19*'19_Расчет_аналитики'!$F$1223,0)</f>
        <v/>
      </c>
      <c r="BD1550">
        <f>IF(IF('01_Вводные'!$B$296="Новый сезон",TRUE,TRUE),'19_Расчет_аналитики'!BD1438*CapacityAge19*'19_Расчет_аналитики'!$F$1223,0)</f>
        <v/>
      </c>
      <c r="BE1550">
        <f>IF(IF('01_Вводные'!$B$296="Новый сезон",TRUE,TRUE),'19_Расчет_аналитики'!BE1438*CapacityAge19*'19_Расчет_аналитики'!$F$1223,0)</f>
        <v/>
      </c>
      <c r="BF1550">
        <f>IF(IF('01_Вводные'!$B$296="Новый сезон",TRUE,TRUE),'19_Расчет_аналитики'!BF1438*CapacityAge19*'19_Расчет_аналитики'!$F$1223,0)</f>
        <v/>
      </c>
      <c r="BG1550">
        <f>IF(IF('01_Вводные'!$B$296="Новый сезон",TRUE,TRUE),'19_Расчет_аналитики'!BG1438*CapacityAge19*'19_Расчет_аналитики'!$F$1223,0)</f>
        <v/>
      </c>
      <c r="BH1550">
        <f>IF(IF('01_Вводные'!$B$296="Новый сезон",TRUE,TRUE),'19_Расчет_аналитики'!BH1438*CapacityAge19*'19_Расчет_аналитики'!$F$1223,0)</f>
        <v/>
      </c>
      <c r="BI1550">
        <f>IF(IF('01_Вводные'!$B$296="Новый сезон",TRUE,TRUE),'19_Расчет_аналитики'!BI1438*CapacityAge19*'19_Расчет_аналитики'!$F$1223,0)</f>
        <v/>
      </c>
      <c r="BJ1550">
        <f>IF(IF('01_Вводные'!$B$296="Новый сезон",TRUE,TRUE),'19_Расчет_аналитики'!BJ1438*CapacityAge19*'19_Расчет_аналитики'!$F$1223,0)</f>
        <v/>
      </c>
      <c r="BK1550">
        <f>IF(IF('01_Вводные'!$B$296="Новый сезон",TRUE,TRUE),'19_Расчет_аналитики'!BK1438*CapacityAge19*'19_Расчет_аналитики'!$F$1223,0)</f>
        <v/>
      </c>
      <c r="BL1550">
        <f>IF(IF('01_Вводные'!$B$296="Новый сезон",TRUE,TRUE),'19_Расчет_аналитики'!BL1438*CapacityAge19*'19_Расчет_аналитики'!$F$1223,0)</f>
        <v/>
      </c>
      <c r="BM1550">
        <f>IF(IF('01_Вводные'!$B$296="Новый сезон",TRUE,TRUE),'19_Расчет_аналитики'!BM1438*CapacityAge19*'19_Расчет_аналитики'!$F$1223,0)</f>
        <v/>
      </c>
      <c r="BN1550">
        <f>IF(IF('01_Вводные'!$B$296="Новый сезон",TRUE,TRUE),'19_Расчет_аналитики'!BN1438*CapacityAge19*'19_Расчет_аналитики'!$F$1223,0)</f>
        <v/>
      </c>
      <c r="BO1550">
        <f>IF(IF('01_Вводные'!$B$296="Новый сезон",TRUE,TRUE),'19_Расчет_аналитики'!BO1438*CapacityAge19*'19_Расчет_аналитики'!$F$1223,0)</f>
        <v/>
      </c>
    </row>
    <row r="1551">
      <c r="B1551">
        <f>IF(IF('01_Вводные'!$B$296="Новый сезон",TRUE,TRUE),'06_Сеть_и_дети'!B72*CapacityAge20*'19_Расчет_аналитики'!$F$1223,0)</f>
        <v/>
      </c>
      <c r="C1551">
        <f>IF(IF('01_Вводные'!$B$296="Новый сезон",TRUE,TRUE),'06_Сеть_и_дети'!C72*CapacityAge20*'19_Расчет_аналитики'!$F$1223,0)</f>
        <v/>
      </c>
      <c r="D1551">
        <f>IF(IF('01_Вводные'!$B$296="Новый сезон",TRUE,TRUE),'06_Сеть_и_дети'!D72*CapacityAge20*'19_Расчет_аналитики'!$F$1223,0)</f>
        <v/>
      </c>
      <c r="E1551">
        <f>IF(IF('01_Вводные'!$B$296="Новый сезон",TRUE,TRUE),'06_Сеть_и_дети'!E72*CapacityAge20*'19_Расчет_аналитики'!$F$1223,0)</f>
        <v/>
      </c>
      <c r="F1551">
        <f>IF(IF('01_Вводные'!$B$296="Новый сезон",TRUE,TRUE),'06_Сеть_и_дети'!F72*CapacityAge20*'19_Расчет_аналитики'!$F$1223,0)</f>
        <v/>
      </c>
      <c r="G1551">
        <f>IF(IF('01_Вводные'!$B$296="Новый сезон",TRUE,TRUE),'06_Сеть_и_дети'!G72*CapacityAge20*'19_Расчет_аналитики'!$F$1223,0)</f>
        <v/>
      </c>
      <c r="H1551">
        <f>IF(IF('01_Вводные'!$B$296="Новый сезон",TRUE,TRUE),'06_Сеть_и_дети'!H72*CapacityAge20*'19_Расчет_аналитики'!$F$1223,0)</f>
        <v/>
      </c>
      <c r="I1551">
        <f>IF(IF('01_Вводные'!$B$296="Новый сезон",TRUE,TRUE),'06_Сеть_и_дети'!I72*CapacityAge20*'19_Расчет_аналитики'!$F$1223,0)</f>
        <v/>
      </c>
      <c r="J1551">
        <f>IF(IF('01_Вводные'!$B$296="Новый сезон",TRUE,TRUE),'06_Сеть_и_дети'!J72*CapacityAge20*'19_Расчет_аналитики'!$F$1223,0)</f>
        <v/>
      </c>
      <c r="K1551">
        <f>IF(IF('01_Вводные'!$B$296="Новый сезон",TRUE,TRUE),'06_Сеть_и_дети'!K72*CapacityAge20*'19_Расчет_аналитики'!$F$1223,0)</f>
        <v/>
      </c>
      <c r="L1551">
        <f>IF(IF('01_Вводные'!$B$296="Новый сезон",TRUE,TRUE),'06_Сеть_и_дети'!L72*CapacityAge20*'19_Расчет_аналитики'!$F$1223,0)</f>
        <v/>
      </c>
      <c r="M1551">
        <f>IF(IF('01_Вводные'!$B$296="Новый сезон",TRUE,TRUE),'06_Сеть_и_дети'!M72*CapacityAge20*'19_Расчет_аналитики'!$F$1223,0)</f>
        <v/>
      </c>
      <c r="N1551">
        <f>IF(IF('01_Вводные'!$B$296="Новый сезон",TRUE,TRUE),'06_Сеть_и_дети'!N72*CapacityAge20*'19_Расчет_аналитики'!$F$1223,0)</f>
        <v/>
      </c>
      <c r="O1551">
        <f>IF(IF('01_Вводные'!$B$296="Новый сезон",TRUE,TRUE),'06_Сеть_и_дети'!O72*CapacityAge20*'19_Расчет_аналитики'!$F$1223,0)</f>
        <v/>
      </c>
      <c r="P1551">
        <f>IF(IF('01_Вводные'!$B$296="Новый сезон",TRUE,TRUE),'06_Сеть_и_дети'!P72*CapacityAge20*'19_Расчет_аналитики'!$F$1223,0)</f>
        <v/>
      </c>
      <c r="Q1551">
        <f>IF(IF('01_Вводные'!$B$296="Новый сезон",TRUE,TRUE),'06_Сеть_и_дети'!Q72*CapacityAge20*'19_Расчет_аналитики'!$F$1223,0)</f>
        <v/>
      </c>
      <c r="R1551">
        <f>IF(IF('01_Вводные'!$B$296="Новый сезон",TRUE,TRUE),'06_Сеть_и_дети'!R72*CapacityAge20*'19_Расчет_аналитики'!$F$1223,0)</f>
        <v/>
      </c>
      <c r="S1551">
        <f>IF(IF('01_Вводные'!$B$296="Новый сезон",TRUE,TRUE),'06_Сеть_и_дети'!S72*CapacityAge20*'19_Расчет_аналитики'!$F$1223,0)</f>
        <v/>
      </c>
      <c r="T1551">
        <f>IF(IF('01_Вводные'!$B$296="Новый сезон",TRUE,TRUE),'06_Сеть_и_дети'!T72*CapacityAge20*'19_Расчет_аналитики'!$F$1223,0)</f>
        <v/>
      </c>
      <c r="U1551">
        <f>IF(IF('01_Вводные'!$B$296="Новый сезон",TRUE,TRUE),'19_Расчет_аналитики'!U1439*CapacityAge20*'19_Расчет_аналитики'!$F$1223,0)</f>
        <v/>
      </c>
      <c r="V1551">
        <f>IF(IF('01_Вводные'!$B$296="Новый сезон",TRUE,TRUE),'19_Расчет_аналитики'!V1439*CapacityAge20*'19_Расчет_аналитики'!$F$1223,0)</f>
        <v/>
      </c>
      <c r="W1551">
        <f>IF(IF('01_Вводные'!$B$296="Новый сезон",TRUE,TRUE),'19_Расчет_аналитики'!W1439*CapacityAge20*'19_Расчет_аналитики'!$F$1223,0)</f>
        <v/>
      </c>
      <c r="X1551">
        <f>IF(IF('01_Вводные'!$B$296="Новый сезон",TRUE,TRUE),'19_Расчет_аналитики'!X1439*CapacityAge20*'19_Расчет_аналитики'!$F$1223,0)</f>
        <v/>
      </c>
      <c r="Y1551">
        <f>IF(IF('01_Вводные'!$B$296="Новый сезон",TRUE,TRUE),'19_Расчет_аналитики'!Y1439*CapacityAge20*'19_Расчет_аналитики'!$F$1223,0)</f>
        <v/>
      </c>
      <c r="Z1551">
        <f>IF(IF('01_Вводные'!$B$296="Новый сезон",TRUE,TRUE),'19_Расчет_аналитики'!Z1439*CapacityAge20*'19_Расчет_аналитики'!$F$1223,0)</f>
        <v/>
      </c>
      <c r="AA1551">
        <f>IF(IF('01_Вводные'!$B$296="Новый сезон",TRUE,TRUE),'19_Расчет_аналитики'!AA1439*CapacityAge20*'19_Расчет_аналитики'!$F$1223,0)</f>
        <v/>
      </c>
      <c r="AB1551">
        <f>IF(IF('01_Вводные'!$B$296="Новый сезон",TRUE,TRUE),'19_Расчет_аналитики'!AB1439*CapacityAge20*'19_Расчет_аналитики'!$F$1223,0)</f>
        <v/>
      </c>
      <c r="AC1551">
        <f>IF(IF('01_Вводные'!$B$296="Новый сезон",TRUE,TRUE),'19_Расчет_аналитики'!AC1439*CapacityAge20*'19_Расчет_аналитики'!$F$1223,0)</f>
        <v/>
      </c>
      <c r="AD1551">
        <f>IF(IF('01_Вводные'!$B$296="Новый сезон",TRUE,TRUE),'19_Расчет_аналитики'!AD1439*CapacityAge20*'19_Расчет_аналитики'!$F$1223,0)</f>
        <v/>
      </c>
      <c r="AE1551">
        <f>IF(IF('01_Вводные'!$B$296="Новый сезон",TRUE,TRUE),'19_Расчет_аналитики'!AE1439*CapacityAge20*'19_Расчет_аналитики'!$F$1223,0)</f>
        <v/>
      </c>
      <c r="AF1551">
        <f>IF(IF('01_Вводные'!$B$296="Новый сезон",TRUE,TRUE),'19_Расчет_аналитики'!AF1439*CapacityAge20*'19_Расчет_аналитики'!$F$1223,0)</f>
        <v/>
      </c>
      <c r="AG1551">
        <f>IF(IF('01_Вводные'!$B$296="Новый сезон",TRUE,TRUE),'19_Расчет_аналитики'!AG1439*CapacityAge20*'19_Расчет_аналитики'!$F$1223,0)</f>
        <v/>
      </c>
      <c r="AH1551">
        <f>IF(IF('01_Вводные'!$B$296="Новый сезон",TRUE,TRUE),'19_Расчет_аналитики'!AH1439*CapacityAge20*'19_Расчет_аналитики'!$F$1223,0)</f>
        <v/>
      </c>
      <c r="AI1551">
        <f>IF(IF('01_Вводные'!$B$296="Новый сезон",TRUE,TRUE),'19_Расчет_аналитики'!AI1439*CapacityAge20*'19_Расчет_аналитики'!$F$1223,0)</f>
        <v/>
      </c>
      <c r="AJ1551">
        <f>IF(IF('01_Вводные'!$B$296="Новый сезон",TRUE,TRUE),'19_Расчет_аналитики'!AJ1439*CapacityAge20*'19_Расчет_аналитики'!$F$1223,0)</f>
        <v/>
      </c>
      <c r="AK1551">
        <f>IF(IF('01_Вводные'!$B$296="Новый сезон",TRUE,TRUE),'19_Расчет_аналитики'!AK1439*CapacityAge20*'19_Расчет_аналитики'!$F$1223,0)</f>
        <v/>
      </c>
      <c r="AL1551">
        <f>IF(IF('01_Вводные'!$B$296="Новый сезон",TRUE,TRUE),'19_Расчет_аналитики'!AL1439*CapacityAge20*'19_Расчет_аналитики'!$F$1223,0)</f>
        <v/>
      </c>
      <c r="AM1551">
        <f>IF(IF('01_Вводные'!$B$296="Новый сезон",TRUE,TRUE),'19_Расчет_аналитики'!AM1439*CapacityAge20*'19_Расчет_аналитики'!$F$1223,0)</f>
        <v/>
      </c>
      <c r="AN1551">
        <f>IF(IF('01_Вводные'!$B$296="Новый сезон",TRUE,TRUE),'19_Расчет_аналитики'!AN1439*CapacityAge20*'19_Расчет_аналитики'!$F$1223,0)</f>
        <v/>
      </c>
      <c r="AO1551">
        <f>IF(IF('01_Вводные'!$B$296="Новый сезон",TRUE,TRUE),'19_Расчет_аналитики'!AO1439*CapacityAge20*'19_Расчет_аналитики'!$F$1223,0)</f>
        <v/>
      </c>
      <c r="AP1551">
        <f>IF(IF('01_Вводные'!$B$296="Новый сезон",TRUE,TRUE),'19_Расчет_аналитики'!AP1439*CapacityAge20*'19_Расчет_аналитики'!$F$1223,0)</f>
        <v/>
      </c>
      <c r="AQ1551">
        <f>IF(IF('01_Вводные'!$B$296="Новый сезон",TRUE,TRUE),'19_Расчет_аналитики'!AQ1439*CapacityAge20*'19_Расчет_аналитики'!$F$1223,0)</f>
        <v/>
      </c>
      <c r="AR1551">
        <f>IF(IF('01_Вводные'!$B$296="Новый сезон",TRUE,TRUE),'19_Расчет_аналитики'!AR1439*CapacityAge20*'19_Расчет_аналитики'!$F$1223,0)</f>
        <v/>
      </c>
      <c r="AS1551">
        <f>IF(IF('01_Вводные'!$B$296="Новый сезон",TRUE,TRUE),'19_Расчет_аналитики'!AS1439*CapacityAge20*'19_Расчет_аналитики'!$F$1223,0)</f>
        <v/>
      </c>
      <c r="AT1551">
        <f>IF(IF('01_Вводные'!$B$296="Новый сезон",TRUE,TRUE),'19_Расчет_аналитики'!AT1439*CapacityAge20*'19_Расчет_аналитики'!$F$1223,0)</f>
        <v/>
      </c>
      <c r="AU1551">
        <f>IF(IF('01_Вводные'!$B$296="Новый сезон",TRUE,TRUE),'19_Расчет_аналитики'!AU1439*CapacityAge20*'19_Расчет_аналитики'!$F$1223,0)</f>
        <v/>
      </c>
      <c r="AV1551">
        <f>IF(IF('01_Вводные'!$B$296="Новый сезон",TRUE,TRUE),'19_Расчет_аналитики'!AV1439*CapacityAge20*'19_Расчет_аналитики'!$F$1223,0)</f>
        <v/>
      </c>
      <c r="AW1551">
        <f>IF(IF('01_Вводные'!$B$296="Новый сезон",TRUE,TRUE),'19_Расчет_аналитики'!AW1439*CapacityAge20*'19_Расчет_аналитики'!$F$1223,0)</f>
        <v/>
      </c>
      <c r="AX1551">
        <f>IF(IF('01_Вводные'!$B$296="Новый сезон",TRUE,TRUE),'19_Расчет_аналитики'!AX1439*CapacityAge20*'19_Расчет_аналитики'!$F$1223,0)</f>
        <v/>
      </c>
      <c r="AY1551">
        <f>IF(IF('01_Вводные'!$B$296="Новый сезон",TRUE,TRUE),'19_Расчет_аналитики'!AY1439*CapacityAge20*'19_Расчет_аналитики'!$F$1223,0)</f>
        <v/>
      </c>
      <c r="AZ1551">
        <f>IF(IF('01_Вводные'!$B$296="Новый сезон",TRUE,TRUE),'19_Расчет_аналитики'!AZ1439*CapacityAge20*'19_Расчет_аналитики'!$F$1223,0)</f>
        <v/>
      </c>
      <c r="BA1551">
        <f>IF(IF('01_Вводные'!$B$296="Новый сезон",TRUE,TRUE),'19_Расчет_аналитики'!BA1439*CapacityAge20*'19_Расчет_аналитики'!$F$1223,0)</f>
        <v/>
      </c>
      <c r="BB1551">
        <f>IF(IF('01_Вводные'!$B$296="Новый сезон",TRUE,TRUE),'19_Расчет_аналитики'!BB1439*CapacityAge20*'19_Расчет_аналитики'!$F$1223,0)</f>
        <v/>
      </c>
      <c r="BC1551">
        <f>IF(IF('01_Вводные'!$B$296="Новый сезон",TRUE,TRUE),'19_Расчет_аналитики'!BC1439*CapacityAge20*'19_Расчет_аналитики'!$F$1223,0)</f>
        <v/>
      </c>
      <c r="BD1551">
        <f>IF(IF('01_Вводные'!$B$296="Новый сезон",TRUE,TRUE),'19_Расчет_аналитики'!BD1439*CapacityAge20*'19_Расчет_аналитики'!$F$1223,0)</f>
        <v/>
      </c>
      <c r="BE1551">
        <f>IF(IF('01_Вводные'!$B$296="Новый сезон",TRUE,TRUE),'19_Расчет_аналитики'!BE1439*CapacityAge20*'19_Расчет_аналитики'!$F$1223,0)</f>
        <v/>
      </c>
      <c r="BF1551">
        <f>IF(IF('01_Вводные'!$B$296="Новый сезон",TRUE,TRUE),'19_Расчет_аналитики'!BF1439*CapacityAge20*'19_Расчет_аналитики'!$F$1223,0)</f>
        <v/>
      </c>
      <c r="BG1551">
        <f>IF(IF('01_Вводные'!$B$296="Новый сезон",TRUE,TRUE),'19_Расчет_аналитики'!BG1439*CapacityAge20*'19_Расчет_аналитики'!$F$1223,0)</f>
        <v/>
      </c>
      <c r="BH1551">
        <f>IF(IF('01_Вводные'!$B$296="Новый сезон",TRUE,TRUE),'19_Расчет_аналитики'!BH1439*CapacityAge20*'19_Расчет_аналитики'!$F$1223,0)</f>
        <v/>
      </c>
      <c r="BI1551">
        <f>IF(IF('01_Вводные'!$B$296="Новый сезон",TRUE,TRUE),'19_Расчет_аналитики'!BI1439*CapacityAge20*'19_Расчет_аналитики'!$F$1223,0)</f>
        <v/>
      </c>
      <c r="BJ1551">
        <f>IF(IF('01_Вводные'!$B$296="Новый сезон",TRUE,TRUE),'19_Расчет_аналитики'!BJ1439*CapacityAge20*'19_Расчет_аналитики'!$F$1223,0)</f>
        <v/>
      </c>
      <c r="BK1551">
        <f>IF(IF('01_Вводные'!$B$296="Новый сезон",TRUE,TRUE),'19_Расчет_аналитики'!BK1439*CapacityAge20*'19_Расчет_аналитики'!$F$1223,0)</f>
        <v/>
      </c>
      <c r="BL1551">
        <f>IF(IF('01_Вводные'!$B$296="Новый сезон",TRUE,TRUE),'19_Расчет_аналитики'!BL1439*CapacityAge20*'19_Расчет_аналитики'!$F$1223,0)</f>
        <v/>
      </c>
      <c r="BM1551">
        <f>IF(IF('01_Вводные'!$B$296="Новый сезон",TRUE,TRUE),'19_Расчет_аналитики'!BM1439*CapacityAge20*'19_Расчет_аналитики'!$F$1223,0)</f>
        <v/>
      </c>
      <c r="BN1551">
        <f>IF(IF('01_Вводные'!$B$296="Новый сезон",TRUE,TRUE),'19_Расчет_аналитики'!BN1439*CapacityAge20*'19_Расчет_аналитики'!$F$1223,0)</f>
        <v/>
      </c>
      <c r="BO1551">
        <f>IF(IF('01_Вводные'!$B$296="Новый сезон",TRUE,TRUE),'19_Расчет_аналитики'!BO1439*CapacityAge20*'19_Расчет_аналитики'!$F$1223,0)</f>
        <v/>
      </c>
    </row>
    <row r="1552">
      <c r="B1552">
        <f>IF(IF('01_Вводные'!$B$296="Новый сезон",TRUE,TRUE),'06_Сеть_и_дети'!B73*CapacityAge21*'19_Расчет_аналитики'!$F$1223,0)</f>
        <v/>
      </c>
      <c r="C1552">
        <f>IF(IF('01_Вводные'!$B$296="Новый сезон",TRUE,TRUE),'06_Сеть_и_дети'!C73*CapacityAge21*'19_Расчет_аналитики'!$F$1223,0)</f>
        <v/>
      </c>
      <c r="D1552">
        <f>IF(IF('01_Вводные'!$B$296="Новый сезон",TRUE,TRUE),'06_Сеть_и_дети'!D73*CapacityAge21*'19_Расчет_аналитики'!$F$1223,0)</f>
        <v/>
      </c>
      <c r="E1552">
        <f>IF(IF('01_Вводные'!$B$296="Новый сезон",TRUE,TRUE),'06_Сеть_и_дети'!E73*CapacityAge21*'19_Расчет_аналитики'!$F$1223,0)</f>
        <v/>
      </c>
      <c r="F1552">
        <f>IF(IF('01_Вводные'!$B$296="Новый сезон",TRUE,TRUE),'06_Сеть_и_дети'!F73*CapacityAge21*'19_Расчет_аналитики'!$F$1223,0)</f>
        <v/>
      </c>
      <c r="G1552">
        <f>IF(IF('01_Вводные'!$B$296="Новый сезон",TRUE,TRUE),'06_Сеть_и_дети'!G73*CapacityAge21*'19_Расчет_аналитики'!$F$1223,0)</f>
        <v/>
      </c>
      <c r="H1552">
        <f>IF(IF('01_Вводные'!$B$296="Новый сезон",TRUE,TRUE),'06_Сеть_и_дети'!H73*CapacityAge21*'19_Расчет_аналитики'!$F$1223,0)</f>
        <v/>
      </c>
      <c r="I1552">
        <f>IF(IF('01_Вводные'!$B$296="Новый сезон",TRUE,TRUE),'06_Сеть_и_дети'!I73*CapacityAge21*'19_Расчет_аналитики'!$F$1223,0)</f>
        <v/>
      </c>
      <c r="J1552">
        <f>IF(IF('01_Вводные'!$B$296="Новый сезон",TRUE,TRUE),'06_Сеть_и_дети'!J73*CapacityAge21*'19_Расчет_аналитики'!$F$1223,0)</f>
        <v/>
      </c>
      <c r="K1552">
        <f>IF(IF('01_Вводные'!$B$296="Новый сезон",TRUE,TRUE),'06_Сеть_и_дети'!K73*CapacityAge21*'19_Расчет_аналитики'!$F$1223,0)</f>
        <v/>
      </c>
      <c r="L1552">
        <f>IF(IF('01_Вводные'!$B$296="Новый сезон",TRUE,TRUE),'06_Сеть_и_дети'!L73*CapacityAge21*'19_Расчет_аналитики'!$F$1223,0)</f>
        <v/>
      </c>
      <c r="M1552">
        <f>IF(IF('01_Вводные'!$B$296="Новый сезон",TRUE,TRUE),'06_Сеть_и_дети'!M73*CapacityAge21*'19_Расчет_аналитики'!$F$1223,0)</f>
        <v/>
      </c>
      <c r="N1552">
        <f>IF(IF('01_Вводные'!$B$296="Новый сезон",TRUE,TRUE),'06_Сеть_и_дети'!N73*CapacityAge21*'19_Расчет_аналитики'!$F$1223,0)</f>
        <v/>
      </c>
      <c r="O1552">
        <f>IF(IF('01_Вводные'!$B$296="Новый сезон",TRUE,TRUE),'06_Сеть_и_дети'!O73*CapacityAge21*'19_Расчет_аналитики'!$F$1223,0)</f>
        <v/>
      </c>
      <c r="P1552">
        <f>IF(IF('01_Вводные'!$B$296="Новый сезон",TRUE,TRUE),'06_Сеть_и_дети'!P73*CapacityAge21*'19_Расчет_аналитики'!$F$1223,0)</f>
        <v/>
      </c>
      <c r="Q1552">
        <f>IF(IF('01_Вводные'!$B$296="Новый сезон",TRUE,TRUE),'06_Сеть_и_дети'!Q73*CapacityAge21*'19_Расчет_аналитики'!$F$1223,0)</f>
        <v/>
      </c>
      <c r="R1552">
        <f>IF(IF('01_Вводные'!$B$296="Новый сезон",TRUE,TRUE),'06_Сеть_и_дети'!R73*CapacityAge21*'19_Расчет_аналитики'!$F$1223,0)</f>
        <v/>
      </c>
      <c r="S1552">
        <f>IF(IF('01_Вводные'!$B$296="Новый сезон",TRUE,TRUE),'06_Сеть_и_дети'!S73*CapacityAge21*'19_Расчет_аналитики'!$F$1223,0)</f>
        <v/>
      </c>
      <c r="T1552">
        <f>IF(IF('01_Вводные'!$B$296="Новый сезон",TRUE,TRUE),'06_Сеть_и_дети'!T73*CapacityAge21*'19_Расчет_аналитики'!$F$1223,0)</f>
        <v/>
      </c>
      <c r="U1552">
        <f>IF(IF('01_Вводные'!$B$296="Новый сезон",TRUE,TRUE),'06_Сеть_и_дети'!U73*CapacityAge21*'19_Расчет_аналитики'!$F$1223,0)</f>
        <v/>
      </c>
      <c r="V1552">
        <f>IF(IF('01_Вводные'!$B$296="Новый сезон",TRUE,TRUE),'19_Расчет_аналитики'!V1440*CapacityAge21*'19_Расчет_аналитики'!$F$1223,0)</f>
        <v/>
      </c>
      <c r="W1552">
        <f>IF(IF('01_Вводные'!$B$296="Новый сезон",TRUE,TRUE),'19_Расчет_аналитики'!W1440*CapacityAge21*'19_Расчет_аналитики'!$F$1223,0)</f>
        <v/>
      </c>
      <c r="X1552">
        <f>IF(IF('01_Вводные'!$B$296="Новый сезон",TRUE,TRUE),'19_Расчет_аналитики'!X1440*CapacityAge21*'19_Расчет_аналитики'!$F$1223,0)</f>
        <v/>
      </c>
      <c r="Y1552">
        <f>IF(IF('01_Вводные'!$B$296="Новый сезон",TRUE,TRUE),'19_Расчет_аналитики'!Y1440*CapacityAge21*'19_Расчет_аналитики'!$F$1223,0)</f>
        <v/>
      </c>
      <c r="Z1552">
        <f>IF(IF('01_Вводные'!$B$296="Новый сезон",TRUE,TRUE),'19_Расчет_аналитики'!Z1440*CapacityAge21*'19_Расчет_аналитики'!$F$1223,0)</f>
        <v/>
      </c>
      <c r="AA1552">
        <f>IF(IF('01_Вводные'!$B$296="Новый сезон",TRUE,TRUE),'19_Расчет_аналитики'!AA1440*CapacityAge21*'19_Расчет_аналитики'!$F$1223,0)</f>
        <v/>
      </c>
      <c r="AB1552">
        <f>IF(IF('01_Вводные'!$B$296="Новый сезон",TRUE,TRUE),'19_Расчет_аналитики'!AB1440*CapacityAge21*'19_Расчет_аналитики'!$F$1223,0)</f>
        <v/>
      </c>
      <c r="AC1552">
        <f>IF(IF('01_Вводные'!$B$296="Новый сезон",TRUE,TRUE),'19_Расчет_аналитики'!AC1440*CapacityAge21*'19_Расчет_аналитики'!$F$1223,0)</f>
        <v/>
      </c>
      <c r="AD1552">
        <f>IF(IF('01_Вводные'!$B$296="Новый сезон",TRUE,TRUE),'19_Расчет_аналитики'!AD1440*CapacityAge21*'19_Расчет_аналитики'!$F$1223,0)</f>
        <v/>
      </c>
      <c r="AE1552">
        <f>IF(IF('01_Вводные'!$B$296="Новый сезон",TRUE,TRUE),'19_Расчет_аналитики'!AE1440*CapacityAge21*'19_Расчет_аналитики'!$F$1223,0)</f>
        <v/>
      </c>
      <c r="AF1552">
        <f>IF(IF('01_Вводные'!$B$296="Новый сезон",TRUE,TRUE),'19_Расчет_аналитики'!AF1440*CapacityAge21*'19_Расчет_аналитики'!$F$1223,0)</f>
        <v/>
      </c>
      <c r="AG1552">
        <f>IF(IF('01_Вводные'!$B$296="Новый сезон",TRUE,TRUE),'19_Расчет_аналитики'!AG1440*CapacityAge21*'19_Расчет_аналитики'!$F$1223,0)</f>
        <v/>
      </c>
      <c r="AH1552">
        <f>IF(IF('01_Вводные'!$B$296="Новый сезон",TRUE,TRUE),'19_Расчет_аналитики'!AH1440*CapacityAge21*'19_Расчет_аналитики'!$F$1223,0)</f>
        <v/>
      </c>
      <c r="AI1552">
        <f>IF(IF('01_Вводные'!$B$296="Новый сезон",TRUE,TRUE),'19_Расчет_аналитики'!AI1440*CapacityAge21*'19_Расчет_аналитики'!$F$1223,0)</f>
        <v/>
      </c>
      <c r="AJ1552">
        <f>IF(IF('01_Вводные'!$B$296="Новый сезон",TRUE,TRUE),'19_Расчет_аналитики'!AJ1440*CapacityAge21*'19_Расчет_аналитики'!$F$1223,0)</f>
        <v/>
      </c>
      <c r="AK1552">
        <f>IF(IF('01_Вводные'!$B$296="Новый сезон",TRUE,TRUE),'19_Расчет_аналитики'!AK1440*CapacityAge21*'19_Расчет_аналитики'!$F$1223,0)</f>
        <v/>
      </c>
      <c r="AL1552">
        <f>IF(IF('01_Вводные'!$B$296="Новый сезон",TRUE,TRUE),'19_Расчет_аналитики'!AL1440*CapacityAge21*'19_Расчет_аналитики'!$F$1223,0)</f>
        <v/>
      </c>
      <c r="AM1552">
        <f>IF(IF('01_Вводные'!$B$296="Новый сезон",TRUE,TRUE),'19_Расчет_аналитики'!AM1440*CapacityAge21*'19_Расчет_аналитики'!$F$1223,0)</f>
        <v/>
      </c>
      <c r="AN1552">
        <f>IF(IF('01_Вводные'!$B$296="Новый сезон",TRUE,TRUE),'19_Расчет_аналитики'!AN1440*CapacityAge21*'19_Расчет_аналитики'!$F$1223,0)</f>
        <v/>
      </c>
      <c r="AO1552">
        <f>IF(IF('01_Вводные'!$B$296="Новый сезон",TRUE,TRUE),'19_Расчет_аналитики'!AO1440*CapacityAge21*'19_Расчет_аналитики'!$F$1223,0)</f>
        <v/>
      </c>
      <c r="AP1552">
        <f>IF(IF('01_Вводные'!$B$296="Новый сезон",TRUE,TRUE),'19_Расчет_аналитики'!AP1440*CapacityAge21*'19_Расчет_аналитики'!$F$1223,0)</f>
        <v/>
      </c>
      <c r="AQ1552">
        <f>IF(IF('01_Вводные'!$B$296="Новый сезон",TRUE,TRUE),'19_Расчет_аналитики'!AQ1440*CapacityAge21*'19_Расчет_аналитики'!$F$1223,0)</f>
        <v/>
      </c>
      <c r="AR1552">
        <f>IF(IF('01_Вводные'!$B$296="Новый сезон",TRUE,TRUE),'19_Расчет_аналитики'!AR1440*CapacityAge21*'19_Расчет_аналитики'!$F$1223,0)</f>
        <v/>
      </c>
      <c r="AS1552">
        <f>IF(IF('01_Вводные'!$B$296="Новый сезон",TRUE,TRUE),'19_Расчет_аналитики'!AS1440*CapacityAge21*'19_Расчет_аналитики'!$F$1223,0)</f>
        <v/>
      </c>
      <c r="AT1552">
        <f>IF(IF('01_Вводные'!$B$296="Новый сезон",TRUE,TRUE),'19_Расчет_аналитики'!AT1440*CapacityAge21*'19_Расчет_аналитики'!$F$1223,0)</f>
        <v/>
      </c>
      <c r="AU1552">
        <f>IF(IF('01_Вводные'!$B$296="Новый сезон",TRUE,TRUE),'19_Расчет_аналитики'!AU1440*CapacityAge21*'19_Расчет_аналитики'!$F$1223,0)</f>
        <v/>
      </c>
      <c r="AV1552">
        <f>IF(IF('01_Вводные'!$B$296="Новый сезон",TRUE,TRUE),'19_Расчет_аналитики'!AV1440*CapacityAge21*'19_Расчет_аналитики'!$F$1223,0)</f>
        <v/>
      </c>
      <c r="AW1552">
        <f>IF(IF('01_Вводные'!$B$296="Новый сезон",TRUE,TRUE),'19_Расчет_аналитики'!AW1440*CapacityAge21*'19_Расчет_аналитики'!$F$1223,0)</f>
        <v/>
      </c>
      <c r="AX1552">
        <f>IF(IF('01_Вводные'!$B$296="Новый сезон",TRUE,TRUE),'19_Расчет_аналитики'!AX1440*CapacityAge21*'19_Расчет_аналитики'!$F$1223,0)</f>
        <v/>
      </c>
      <c r="AY1552">
        <f>IF(IF('01_Вводные'!$B$296="Новый сезон",TRUE,TRUE),'19_Расчет_аналитики'!AY1440*CapacityAge21*'19_Расчет_аналитики'!$F$1223,0)</f>
        <v/>
      </c>
      <c r="AZ1552">
        <f>IF(IF('01_Вводные'!$B$296="Новый сезон",TRUE,TRUE),'19_Расчет_аналитики'!AZ1440*CapacityAge21*'19_Расчет_аналитики'!$F$1223,0)</f>
        <v/>
      </c>
      <c r="BA1552">
        <f>IF(IF('01_Вводные'!$B$296="Новый сезон",TRUE,TRUE),'19_Расчет_аналитики'!BA1440*CapacityAge21*'19_Расчет_аналитики'!$F$1223,0)</f>
        <v/>
      </c>
      <c r="BB1552">
        <f>IF(IF('01_Вводные'!$B$296="Новый сезон",TRUE,TRUE),'19_Расчет_аналитики'!BB1440*CapacityAge21*'19_Расчет_аналитики'!$F$1223,0)</f>
        <v/>
      </c>
      <c r="BC1552">
        <f>IF(IF('01_Вводные'!$B$296="Новый сезон",TRUE,TRUE),'19_Расчет_аналитики'!BC1440*CapacityAge21*'19_Расчет_аналитики'!$F$1223,0)</f>
        <v/>
      </c>
      <c r="BD1552">
        <f>IF(IF('01_Вводные'!$B$296="Новый сезон",TRUE,TRUE),'19_Расчет_аналитики'!BD1440*CapacityAge21*'19_Расчет_аналитики'!$F$1223,0)</f>
        <v/>
      </c>
      <c r="BE1552">
        <f>IF(IF('01_Вводные'!$B$296="Новый сезон",TRUE,TRUE),'19_Расчет_аналитики'!BE1440*CapacityAge21*'19_Расчет_аналитики'!$F$1223,0)</f>
        <v/>
      </c>
      <c r="BF1552">
        <f>IF(IF('01_Вводные'!$B$296="Новый сезон",TRUE,TRUE),'19_Расчет_аналитики'!BF1440*CapacityAge21*'19_Расчет_аналитики'!$F$1223,0)</f>
        <v/>
      </c>
      <c r="BG1552">
        <f>IF(IF('01_Вводные'!$B$296="Новый сезон",TRUE,TRUE),'19_Расчет_аналитики'!BG1440*CapacityAge21*'19_Расчет_аналитики'!$F$1223,0)</f>
        <v/>
      </c>
      <c r="BH1552">
        <f>IF(IF('01_Вводные'!$B$296="Новый сезон",TRUE,TRUE),'19_Расчет_аналитики'!BH1440*CapacityAge21*'19_Расчет_аналитики'!$F$1223,0)</f>
        <v/>
      </c>
      <c r="BI1552">
        <f>IF(IF('01_Вводные'!$B$296="Новый сезон",TRUE,TRUE),'19_Расчет_аналитики'!BI1440*CapacityAge21*'19_Расчет_аналитики'!$F$1223,0)</f>
        <v/>
      </c>
      <c r="BJ1552">
        <f>IF(IF('01_Вводные'!$B$296="Новый сезон",TRUE,TRUE),'19_Расчет_аналитики'!BJ1440*CapacityAge21*'19_Расчет_аналитики'!$F$1223,0)</f>
        <v/>
      </c>
      <c r="BK1552">
        <f>IF(IF('01_Вводные'!$B$296="Новый сезон",TRUE,TRUE),'19_Расчет_аналитики'!BK1440*CapacityAge21*'19_Расчет_аналитики'!$F$1223,0)</f>
        <v/>
      </c>
      <c r="BL1552">
        <f>IF(IF('01_Вводные'!$B$296="Новый сезон",TRUE,TRUE),'19_Расчет_аналитики'!BL1440*CapacityAge21*'19_Расчет_аналитики'!$F$1223,0)</f>
        <v/>
      </c>
      <c r="BM1552">
        <f>IF(IF('01_Вводные'!$B$296="Новый сезон",TRUE,TRUE),'19_Расчет_аналитики'!BM1440*CapacityAge21*'19_Расчет_аналитики'!$F$1223,0)</f>
        <v/>
      </c>
      <c r="BN1552">
        <f>IF(IF('01_Вводные'!$B$296="Новый сезон",TRUE,TRUE),'19_Расчет_аналитики'!BN1440*CapacityAge21*'19_Расчет_аналитики'!$F$1223,0)</f>
        <v/>
      </c>
      <c r="BO1552">
        <f>IF(IF('01_Вводные'!$B$296="Новый сезон",TRUE,TRUE),'19_Расчет_аналитики'!BO1440*CapacityAge21*'19_Расчет_аналитики'!$F$1223,0)</f>
        <v/>
      </c>
    </row>
    <row r="1553">
      <c r="B1553">
        <f>IF(IF('01_Вводные'!$B$296="Новый сезон",TRUE,TRUE),'06_Сеть_и_дети'!B74*CapacityAge22*'19_Расчет_аналитики'!$F$1223,0)</f>
        <v/>
      </c>
      <c r="C1553">
        <f>IF(IF('01_Вводные'!$B$296="Новый сезон",TRUE,TRUE),'06_Сеть_и_дети'!C74*CapacityAge22*'19_Расчет_аналитики'!$F$1223,0)</f>
        <v/>
      </c>
      <c r="D1553">
        <f>IF(IF('01_Вводные'!$B$296="Новый сезон",TRUE,TRUE),'06_Сеть_и_дети'!D74*CapacityAge22*'19_Расчет_аналитики'!$F$1223,0)</f>
        <v/>
      </c>
      <c r="E1553">
        <f>IF(IF('01_Вводные'!$B$296="Новый сезон",TRUE,TRUE),'06_Сеть_и_дети'!E74*CapacityAge22*'19_Расчет_аналитики'!$F$1223,0)</f>
        <v/>
      </c>
      <c r="F1553">
        <f>IF(IF('01_Вводные'!$B$296="Новый сезон",TRUE,TRUE),'06_Сеть_и_дети'!F74*CapacityAge22*'19_Расчет_аналитики'!$F$1223,0)</f>
        <v/>
      </c>
      <c r="G1553">
        <f>IF(IF('01_Вводные'!$B$296="Новый сезон",TRUE,TRUE),'06_Сеть_и_дети'!G74*CapacityAge22*'19_Расчет_аналитики'!$F$1223,0)</f>
        <v/>
      </c>
      <c r="H1553">
        <f>IF(IF('01_Вводные'!$B$296="Новый сезон",TRUE,TRUE),'06_Сеть_и_дети'!H74*CapacityAge22*'19_Расчет_аналитики'!$F$1223,0)</f>
        <v/>
      </c>
      <c r="I1553">
        <f>IF(IF('01_Вводные'!$B$296="Новый сезон",TRUE,TRUE),'06_Сеть_и_дети'!I74*CapacityAge22*'19_Расчет_аналитики'!$F$1223,0)</f>
        <v/>
      </c>
      <c r="J1553">
        <f>IF(IF('01_Вводные'!$B$296="Новый сезон",TRUE,TRUE),'06_Сеть_и_дети'!J74*CapacityAge22*'19_Расчет_аналитики'!$F$1223,0)</f>
        <v/>
      </c>
      <c r="K1553">
        <f>IF(IF('01_Вводные'!$B$296="Новый сезон",TRUE,TRUE),'06_Сеть_и_дети'!K74*CapacityAge22*'19_Расчет_аналитики'!$F$1223,0)</f>
        <v/>
      </c>
      <c r="L1553">
        <f>IF(IF('01_Вводные'!$B$296="Новый сезон",TRUE,TRUE),'06_Сеть_и_дети'!L74*CapacityAge22*'19_Расчет_аналитики'!$F$1223,0)</f>
        <v/>
      </c>
      <c r="M1553">
        <f>IF(IF('01_Вводные'!$B$296="Новый сезон",TRUE,TRUE),'06_Сеть_и_дети'!M74*CapacityAge22*'19_Расчет_аналитики'!$F$1223,0)</f>
        <v/>
      </c>
      <c r="N1553">
        <f>IF(IF('01_Вводные'!$B$296="Новый сезон",TRUE,TRUE),'06_Сеть_и_дети'!N74*CapacityAge22*'19_Расчет_аналитики'!$F$1223,0)</f>
        <v/>
      </c>
      <c r="O1553">
        <f>IF(IF('01_Вводные'!$B$296="Новый сезон",TRUE,TRUE),'06_Сеть_и_дети'!O74*CapacityAge22*'19_Расчет_аналитики'!$F$1223,0)</f>
        <v/>
      </c>
      <c r="P1553">
        <f>IF(IF('01_Вводные'!$B$296="Новый сезон",TRUE,TRUE),'06_Сеть_и_дети'!P74*CapacityAge22*'19_Расчет_аналитики'!$F$1223,0)</f>
        <v/>
      </c>
      <c r="Q1553">
        <f>IF(IF('01_Вводные'!$B$296="Новый сезон",TRUE,TRUE),'06_Сеть_и_дети'!Q74*CapacityAge22*'19_Расчет_аналитики'!$F$1223,0)</f>
        <v/>
      </c>
      <c r="R1553">
        <f>IF(IF('01_Вводные'!$B$296="Новый сезон",TRUE,TRUE),'06_Сеть_и_дети'!R74*CapacityAge22*'19_Расчет_аналитики'!$F$1223,0)</f>
        <v/>
      </c>
      <c r="S1553">
        <f>IF(IF('01_Вводные'!$B$296="Новый сезон",TRUE,TRUE),'06_Сеть_и_дети'!S74*CapacityAge22*'19_Расчет_аналитики'!$F$1223,0)</f>
        <v/>
      </c>
      <c r="T1553">
        <f>IF(IF('01_Вводные'!$B$296="Новый сезон",TRUE,TRUE),'06_Сеть_и_дети'!T74*CapacityAge22*'19_Расчет_аналитики'!$F$1223,0)</f>
        <v/>
      </c>
      <c r="U1553">
        <f>IF(IF('01_Вводные'!$B$296="Новый сезон",TRUE,TRUE),'06_Сеть_и_дети'!U74*CapacityAge22*'19_Расчет_аналитики'!$F$1223,0)</f>
        <v/>
      </c>
      <c r="V1553">
        <f>IF(IF('01_Вводные'!$B$296="Новый сезон",TRUE,TRUE),'06_Сеть_и_дети'!V74*CapacityAge22*'19_Расчет_аналитики'!$F$1223,0)</f>
        <v/>
      </c>
      <c r="W1553">
        <f>IF(IF('01_Вводные'!$B$296="Новый сезон",TRUE,TRUE),'19_Расчет_аналитики'!W1441*CapacityAge22*'19_Расчет_аналитики'!$F$1223,0)</f>
        <v/>
      </c>
      <c r="X1553">
        <f>IF(IF('01_Вводные'!$B$296="Новый сезон",TRUE,TRUE),'19_Расчет_аналитики'!X1441*CapacityAge22*'19_Расчет_аналитики'!$F$1223,0)</f>
        <v/>
      </c>
      <c r="Y1553">
        <f>IF(IF('01_Вводные'!$B$296="Новый сезон",TRUE,TRUE),'19_Расчет_аналитики'!Y1441*CapacityAge22*'19_Расчет_аналитики'!$F$1223,0)</f>
        <v/>
      </c>
      <c r="Z1553">
        <f>IF(IF('01_Вводные'!$B$296="Новый сезон",TRUE,TRUE),'19_Расчет_аналитики'!Z1441*CapacityAge22*'19_Расчет_аналитики'!$F$1223,0)</f>
        <v/>
      </c>
      <c r="AA1553">
        <f>IF(IF('01_Вводные'!$B$296="Новый сезон",TRUE,TRUE),'19_Расчет_аналитики'!AA1441*CapacityAge22*'19_Расчет_аналитики'!$F$1223,0)</f>
        <v/>
      </c>
      <c r="AB1553">
        <f>IF(IF('01_Вводные'!$B$296="Новый сезон",TRUE,TRUE),'19_Расчет_аналитики'!AB1441*CapacityAge22*'19_Расчет_аналитики'!$F$1223,0)</f>
        <v/>
      </c>
      <c r="AC1553">
        <f>IF(IF('01_Вводные'!$B$296="Новый сезон",TRUE,TRUE),'19_Расчет_аналитики'!AC1441*CapacityAge22*'19_Расчет_аналитики'!$F$1223,0)</f>
        <v/>
      </c>
      <c r="AD1553">
        <f>IF(IF('01_Вводные'!$B$296="Новый сезон",TRUE,TRUE),'19_Расчет_аналитики'!AD1441*CapacityAge22*'19_Расчет_аналитики'!$F$1223,0)</f>
        <v/>
      </c>
      <c r="AE1553">
        <f>IF(IF('01_Вводные'!$B$296="Новый сезон",TRUE,TRUE),'19_Расчет_аналитики'!AE1441*CapacityAge22*'19_Расчет_аналитики'!$F$1223,0)</f>
        <v/>
      </c>
      <c r="AF1553">
        <f>IF(IF('01_Вводные'!$B$296="Новый сезон",TRUE,TRUE),'19_Расчет_аналитики'!AF1441*CapacityAge22*'19_Расчет_аналитики'!$F$1223,0)</f>
        <v/>
      </c>
      <c r="AG1553">
        <f>IF(IF('01_Вводные'!$B$296="Новый сезон",TRUE,TRUE),'19_Расчет_аналитики'!AG1441*CapacityAge22*'19_Расчет_аналитики'!$F$1223,0)</f>
        <v/>
      </c>
      <c r="AH1553">
        <f>IF(IF('01_Вводные'!$B$296="Новый сезон",TRUE,TRUE),'19_Расчет_аналитики'!AH1441*CapacityAge22*'19_Расчет_аналитики'!$F$1223,0)</f>
        <v/>
      </c>
      <c r="AI1553">
        <f>IF(IF('01_Вводные'!$B$296="Новый сезон",TRUE,TRUE),'19_Расчет_аналитики'!AI1441*CapacityAge22*'19_Расчет_аналитики'!$F$1223,0)</f>
        <v/>
      </c>
      <c r="AJ1553">
        <f>IF(IF('01_Вводные'!$B$296="Новый сезон",TRUE,TRUE),'19_Расчет_аналитики'!AJ1441*CapacityAge22*'19_Расчет_аналитики'!$F$1223,0)</f>
        <v/>
      </c>
      <c r="AK1553">
        <f>IF(IF('01_Вводные'!$B$296="Новый сезон",TRUE,TRUE),'19_Расчет_аналитики'!AK1441*CapacityAge22*'19_Расчет_аналитики'!$F$1223,0)</f>
        <v/>
      </c>
      <c r="AL1553">
        <f>IF(IF('01_Вводные'!$B$296="Новый сезон",TRUE,TRUE),'19_Расчет_аналитики'!AL1441*CapacityAge22*'19_Расчет_аналитики'!$F$1223,0)</f>
        <v/>
      </c>
      <c r="AM1553">
        <f>IF(IF('01_Вводные'!$B$296="Новый сезон",TRUE,TRUE),'19_Расчет_аналитики'!AM1441*CapacityAge22*'19_Расчет_аналитики'!$F$1223,0)</f>
        <v/>
      </c>
      <c r="AN1553">
        <f>IF(IF('01_Вводные'!$B$296="Новый сезон",TRUE,TRUE),'19_Расчет_аналитики'!AN1441*CapacityAge22*'19_Расчет_аналитики'!$F$1223,0)</f>
        <v/>
      </c>
      <c r="AO1553">
        <f>IF(IF('01_Вводные'!$B$296="Новый сезон",TRUE,TRUE),'19_Расчет_аналитики'!AO1441*CapacityAge22*'19_Расчет_аналитики'!$F$1223,0)</f>
        <v/>
      </c>
      <c r="AP1553">
        <f>IF(IF('01_Вводные'!$B$296="Новый сезон",TRUE,TRUE),'19_Расчет_аналитики'!AP1441*CapacityAge22*'19_Расчет_аналитики'!$F$1223,0)</f>
        <v/>
      </c>
      <c r="AQ1553">
        <f>IF(IF('01_Вводные'!$B$296="Новый сезон",TRUE,TRUE),'19_Расчет_аналитики'!AQ1441*CapacityAge22*'19_Расчет_аналитики'!$F$1223,0)</f>
        <v/>
      </c>
      <c r="AR1553">
        <f>IF(IF('01_Вводные'!$B$296="Новый сезон",TRUE,TRUE),'19_Расчет_аналитики'!AR1441*CapacityAge22*'19_Расчет_аналитики'!$F$1223,0)</f>
        <v/>
      </c>
      <c r="AS1553">
        <f>IF(IF('01_Вводные'!$B$296="Новый сезон",TRUE,TRUE),'19_Расчет_аналитики'!AS1441*CapacityAge22*'19_Расчет_аналитики'!$F$1223,0)</f>
        <v/>
      </c>
      <c r="AT1553">
        <f>IF(IF('01_Вводные'!$B$296="Новый сезон",TRUE,TRUE),'19_Расчет_аналитики'!AT1441*CapacityAge22*'19_Расчет_аналитики'!$F$1223,0)</f>
        <v/>
      </c>
      <c r="AU1553">
        <f>IF(IF('01_Вводные'!$B$296="Новый сезон",TRUE,TRUE),'19_Расчет_аналитики'!AU1441*CapacityAge22*'19_Расчет_аналитики'!$F$1223,0)</f>
        <v/>
      </c>
      <c r="AV1553">
        <f>IF(IF('01_Вводные'!$B$296="Новый сезон",TRUE,TRUE),'19_Расчет_аналитики'!AV1441*CapacityAge22*'19_Расчет_аналитики'!$F$1223,0)</f>
        <v/>
      </c>
      <c r="AW1553">
        <f>IF(IF('01_Вводные'!$B$296="Новый сезон",TRUE,TRUE),'19_Расчет_аналитики'!AW1441*CapacityAge22*'19_Расчет_аналитики'!$F$1223,0)</f>
        <v/>
      </c>
      <c r="AX1553">
        <f>IF(IF('01_Вводные'!$B$296="Новый сезон",TRUE,TRUE),'19_Расчет_аналитики'!AX1441*CapacityAge22*'19_Расчет_аналитики'!$F$1223,0)</f>
        <v/>
      </c>
      <c r="AY1553">
        <f>IF(IF('01_Вводные'!$B$296="Новый сезон",TRUE,TRUE),'19_Расчет_аналитики'!AY1441*CapacityAge22*'19_Расчет_аналитики'!$F$1223,0)</f>
        <v/>
      </c>
      <c r="AZ1553">
        <f>IF(IF('01_Вводные'!$B$296="Новый сезон",TRUE,TRUE),'19_Расчет_аналитики'!AZ1441*CapacityAge22*'19_Расчет_аналитики'!$F$1223,0)</f>
        <v/>
      </c>
      <c r="BA1553">
        <f>IF(IF('01_Вводные'!$B$296="Новый сезон",TRUE,TRUE),'19_Расчет_аналитики'!BA1441*CapacityAge22*'19_Расчет_аналитики'!$F$1223,0)</f>
        <v/>
      </c>
      <c r="BB1553">
        <f>IF(IF('01_Вводные'!$B$296="Новый сезон",TRUE,TRUE),'19_Расчет_аналитики'!BB1441*CapacityAge22*'19_Расчет_аналитики'!$F$1223,0)</f>
        <v/>
      </c>
      <c r="BC1553">
        <f>IF(IF('01_Вводные'!$B$296="Новый сезон",TRUE,TRUE),'19_Расчет_аналитики'!BC1441*CapacityAge22*'19_Расчет_аналитики'!$F$1223,0)</f>
        <v/>
      </c>
      <c r="BD1553">
        <f>IF(IF('01_Вводные'!$B$296="Новый сезон",TRUE,TRUE),'19_Расчет_аналитики'!BD1441*CapacityAge22*'19_Расчет_аналитики'!$F$1223,0)</f>
        <v/>
      </c>
      <c r="BE1553">
        <f>IF(IF('01_Вводные'!$B$296="Новый сезон",TRUE,TRUE),'19_Расчет_аналитики'!BE1441*CapacityAge22*'19_Расчет_аналитики'!$F$1223,0)</f>
        <v/>
      </c>
      <c r="BF1553">
        <f>IF(IF('01_Вводные'!$B$296="Новый сезон",TRUE,TRUE),'19_Расчет_аналитики'!BF1441*CapacityAge22*'19_Расчет_аналитики'!$F$1223,0)</f>
        <v/>
      </c>
      <c r="BG1553">
        <f>IF(IF('01_Вводные'!$B$296="Новый сезон",TRUE,TRUE),'19_Расчет_аналитики'!BG1441*CapacityAge22*'19_Расчет_аналитики'!$F$1223,0)</f>
        <v/>
      </c>
      <c r="BH1553">
        <f>IF(IF('01_Вводные'!$B$296="Новый сезон",TRUE,TRUE),'19_Расчет_аналитики'!BH1441*CapacityAge22*'19_Расчет_аналитики'!$F$1223,0)</f>
        <v/>
      </c>
      <c r="BI1553">
        <f>IF(IF('01_Вводные'!$B$296="Новый сезон",TRUE,TRUE),'19_Расчет_аналитики'!BI1441*CapacityAge22*'19_Расчет_аналитики'!$F$1223,0)</f>
        <v/>
      </c>
      <c r="BJ1553">
        <f>IF(IF('01_Вводные'!$B$296="Новый сезон",TRUE,TRUE),'19_Расчет_аналитики'!BJ1441*CapacityAge22*'19_Расчет_аналитики'!$F$1223,0)</f>
        <v/>
      </c>
      <c r="BK1553">
        <f>IF(IF('01_Вводные'!$B$296="Новый сезон",TRUE,TRUE),'19_Расчет_аналитики'!BK1441*CapacityAge22*'19_Расчет_аналитики'!$F$1223,0)</f>
        <v/>
      </c>
      <c r="BL1553">
        <f>IF(IF('01_Вводные'!$B$296="Новый сезон",TRUE,TRUE),'19_Расчет_аналитики'!BL1441*CapacityAge22*'19_Расчет_аналитики'!$F$1223,0)</f>
        <v/>
      </c>
      <c r="BM1553">
        <f>IF(IF('01_Вводные'!$B$296="Новый сезон",TRUE,TRUE),'19_Расчет_аналитики'!BM1441*CapacityAge22*'19_Расчет_аналитики'!$F$1223,0)</f>
        <v/>
      </c>
      <c r="BN1553">
        <f>IF(IF('01_Вводные'!$B$296="Новый сезон",TRUE,TRUE),'19_Расчет_аналитики'!BN1441*CapacityAge22*'19_Расчет_аналитики'!$F$1223,0)</f>
        <v/>
      </c>
      <c r="BO1553">
        <f>IF(IF('01_Вводные'!$B$296="Новый сезон",TRUE,TRUE),'19_Расчет_аналитики'!BO1441*CapacityAge22*'19_Расчет_аналитики'!$F$1223,0)</f>
        <v/>
      </c>
    </row>
    <row r="1554">
      <c r="B1554">
        <f>IF(IF('01_Вводные'!$B$296="Новый сезон",TRUE,TRUE),'06_Сеть_и_дети'!B75*CapacityAge23*'19_Расчет_аналитики'!$F$1223,0)</f>
        <v/>
      </c>
      <c r="C1554">
        <f>IF(IF('01_Вводные'!$B$296="Новый сезон",TRUE,TRUE),'06_Сеть_и_дети'!C75*CapacityAge23*'19_Расчет_аналитики'!$F$1223,0)</f>
        <v/>
      </c>
      <c r="D1554">
        <f>IF(IF('01_Вводные'!$B$296="Новый сезон",TRUE,TRUE),'06_Сеть_и_дети'!D75*CapacityAge23*'19_Расчет_аналитики'!$F$1223,0)</f>
        <v/>
      </c>
      <c r="E1554">
        <f>IF(IF('01_Вводные'!$B$296="Новый сезон",TRUE,TRUE),'06_Сеть_и_дети'!E75*CapacityAge23*'19_Расчет_аналитики'!$F$1223,0)</f>
        <v/>
      </c>
      <c r="F1554">
        <f>IF(IF('01_Вводные'!$B$296="Новый сезон",TRUE,TRUE),'06_Сеть_и_дети'!F75*CapacityAge23*'19_Расчет_аналитики'!$F$1223,0)</f>
        <v/>
      </c>
      <c r="G1554">
        <f>IF(IF('01_Вводные'!$B$296="Новый сезон",TRUE,TRUE),'06_Сеть_и_дети'!G75*CapacityAge23*'19_Расчет_аналитики'!$F$1223,0)</f>
        <v/>
      </c>
      <c r="H1554">
        <f>IF(IF('01_Вводные'!$B$296="Новый сезон",TRUE,TRUE),'06_Сеть_и_дети'!H75*CapacityAge23*'19_Расчет_аналитики'!$F$1223,0)</f>
        <v/>
      </c>
      <c r="I1554">
        <f>IF(IF('01_Вводные'!$B$296="Новый сезон",TRUE,TRUE),'06_Сеть_и_дети'!I75*CapacityAge23*'19_Расчет_аналитики'!$F$1223,0)</f>
        <v/>
      </c>
      <c r="J1554">
        <f>IF(IF('01_Вводные'!$B$296="Новый сезон",TRUE,TRUE),'06_Сеть_и_дети'!J75*CapacityAge23*'19_Расчет_аналитики'!$F$1223,0)</f>
        <v/>
      </c>
      <c r="K1554">
        <f>IF(IF('01_Вводные'!$B$296="Новый сезон",TRUE,TRUE),'06_Сеть_и_дети'!K75*CapacityAge23*'19_Расчет_аналитики'!$F$1223,0)</f>
        <v/>
      </c>
      <c r="L1554">
        <f>IF(IF('01_Вводные'!$B$296="Новый сезон",TRUE,TRUE),'06_Сеть_и_дети'!L75*CapacityAge23*'19_Расчет_аналитики'!$F$1223,0)</f>
        <v/>
      </c>
      <c r="M1554">
        <f>IF(IF('01_Вводные'!$B$296="Новый сезон",TRUE,TRUE),'06_Сеть_и_дети'!M75*CapacityAge23*'19_Расчет_аналитики'!$F$1223,0)</f>
        <v/>
      </c>
      <c r="N1554">
        <f>IF(IF('01_Вводные'!$B$296="Новый сезон",TRUE,TRUE),'06_Сеть_и_дети'!N75*CapacityAge23*'19_Расчет_аналитики'!$F$1223,0)</f>
        <v/>
      </c>
      <c r="O1554">
        <f>IF(IF('01_Вводные'!$B$296="Новый сезон",TRUE,TRUE),'06_Сеть_и_дети'!O75*CapacityAge23*'19_Расчет_аналитики'!$F$1223,0)</f>
        <v/>
      </c>
      <c r="P1554">
        <f>IF(IF('01_Вводные'!$B$296="Новый сезон",TRUE,TRUE),'06_Сеть_и_дети'!P75*CapacityAge23*'19_Расчет_аналитики'!$F$1223,0)</f>
        <v/>
      </c>
      <c r="Q1554">
        <f>IF(IF('01_Вводные'!$B$296="Новый сезон",TRUE,TRUE),'06_Сеть_и_дети'!Q75*CapacityAge23*'19_Расчет_аналитики'!$F$1223,0)</f>
        <v/>
      </c>
      <c r="R1554">
        <f>IF(IF('01_Вводные'!$B$296="Новый сезон",TRUE,TRUE),'06_Сеть_и_дети'!R75*CapacityAge23*'19_Расчет_аналитики'!$F$1223,0)</f>
        <v/>
      </c>
      <c r="S1554">
        <f>IF(IF('01_Вводные'!$B$296="Новый сезон",TRUE,TRUE),'06_Сеть_и_дети'!S75*CapacityAge23*'19_Расчет_аналитики'!$F$1223,0)</f>
        <v/>
      </c>
      <c r="T1554">
        <f>IF(IF('01_Вводные'!$B$296="Новый сезон",TRUE,TRUE),'06_Сеть_и_дети'!T75*CapacityAge23*'19_Расчет_аналитики'!$F$1223,0)</f>
        <v/>
      </c>
      <c r="U1554">
        <f>IF(IF('01_Вводные'!$B$296="Новый сезон",TRUE,TRUE),'06_Сеть_и_дети'!U75*CapacityAge23*'19_Расчет_аналитики'!$F$1223,0)</f>
        <v/>
      </c>
      <c r="V1554">
        <f>IF(IF('01_Вводные'!$B$296="Новый сезон",TRUE,TRUE),'06_Сеть_и_дети'!V75*CapacityAge23*'19_Расчет_аналитики'!$F$1223,0)</f>
        <v/>
      </c>
      <c r="W1554">
        <f>IF(IF('01_Вводные'!$B$296="Новый сезон",TRUE,TRUE),'06_Сеть_и_дети'!W75*CapacityAge23*'19_Расчет_аналитики'!$F$1223,0)</f>
        <v/>
      </c>
      <c r="X1554">
        <f>IF(IF('01_Вводные'!$B$296="Новый сезон",TRUE,TRUE),'19_Расчет_аналитики'!X1442*CapacityAge23*'19_Расчет_аналитики'!$F$1223,0)</f>
        <v/>
      </c>
      <c r="Y1554">
        <f>IF(IF('01_Вводные'!$B$296="Новый сезон",TRUE,TRUE),'19_Расчет_аналитики'!Y1442*CapacityAge23*'19_Расчет_аналитики'!$F$1223,0)</f>
        <v/>
      </c>
      <c r="Z1554">
        <f>IF(IF('01_Вводные'!$B$296="Новый сезон",TRUE,TRUE),'19_Расчет_аналитики'!Z1442*CapacityAge23*'19_Расчет_аналитики'!$F$1223,0)</f>
        <v/>
      </c>
      <c r="AA1554">
        <f>IF(IF('01_Вводные'!$B$296="Новый сезон",TRUE,TRUE),'19_Расчет_аналитики'!AA1442*CapacityAge23*'19_Расчет_аналитики'!$F$1223,0)</f>
        <v/>
      </c>
      <c r="AB1554">
        <f>IF(IF('01_Вводные'!$B$296="Новый сезон",TRUE,TRUE),'19_Расчет_аналитики'!AB1442*CapacityAge23*'19_Расчет_аналитики'!$F$1223,0)</f>
        <v/>
      </c>
      <c r="AC1554">
        <f>IF(IF('01_Вводные'!$B$296="Новый сезон",TRUE,TRUE),'19_Расчет_аналитики'!AC1442*CapacityAge23*'19_Расчет_аналитики'!$F$1223,0)</f>
        <v/>
      </c>
      <c r="AD1554">
        <f>IF(IF('01_Вводные'!$B$296="Новый сезон",TRUE,TRUE),'19_Расчет_аналитики'!AD1442*CapacityAge23*'19_Расчет_аналитики'!$F$1223,0)</f>
        <v/>
      </c>
      <c r="AE1554">
        <f>IF(IF('01_Вводные'!$B$296="Новый сезон",TRUE,TRUE),'19_Расчет_аналитики'!AE1442*CapacityAge23*'19_Расчет_аналитики'!$F$1223,0)</f>
        <v/>
      </c>
      <c r="AF1554">
        <f>IF(IF('01_Вводные'!$B$296="Новый сезон",TRUE,TRUE),'19_Расчет_аналитики'!AF1442*CapacityAge23*'19_Расчет_аналитики'!$F$1223,0)</f>
        <v/>
      </c>
      <c r="AG1554">
        <f>IF(IF('01_Вводные'!$B$296="Новый сезон",TRUE,TRUE),'19_Расчет_аналитики'!AG1442*CapacityAge23*'19_Расчет_аналитики'!$F$1223,0)</f>
        <v/>
      </c>
      <c r="AH1554">
        <f>IF(IF('01_Вводные'!$B$296="Новый сезон",TRUE,TRUE),'19_Расчет_аналитики'!AH1442*CapacityAge23*'19_Расчет_аналитики'!$F$1223,0)</f>
        <v/>
      </c>
      <c r="AI1554">
        <f>IF(IF('01_Вводные'!$B$296="Новый сезон",TRUE,TRUE),'19_Расчет_аналитики'!AI1442*CapacityAge23*'19_Расчет_аналитики'!$F$1223,0)</f>
        <v/>
      </c>
      <c r="AJ1554">
        <f>IF(IF('01_Вводные'!$B$296="Новый сезон",TRUE,TRUE),'19_Расчет_аналитики'!AJ1442*CapacityAge23*'19_Расчет_аналитики'!$F$1223,0)</f>
        <v/>
      </c>
      <c r="AK1554">
        <f>IF(IF('01_Вводные'!$B$296="Новый сезон",TRUE,TRUE),'19_Расчет_аналитики'!AK1442*CapacityAge23*'19_Расчет_аналитики'!$F$1223,0)</f>
        <v/>
      </c>
      <c r="AL1554">
        <f>IF(IF('01_Вводные'!$B$296="Новый сезон",TRUE,TRUE),'19_Расчет_аналитики'!AL1442*CapacityAge23*'19_Расчет_аналитики'!$F$1223,0)</f>
        <v/>
      </c>
      <c r="AM1554">
        <f>IF(IF('01_Вводные'!$B$296="Новый сезон",TRUE,TRUE),'19_Расчет_аналитики'!AM1442*CapacityAge23*'19_Расчет_аналитики'!$F$1223,0)</f>
        <v/>
      </c>
      <c r="AN1554">
        <f>IF(IF('01_Вводные'!$B$296="Новый сезон",TRUE,TRUE),'19_Расчет_аналитики'!AN1442*CapacityAge23*'19_Расчет_аналитики'!$F$1223,0)</f>
        <v/>
      </c>
      <c r="AO1554">
        <f>IF(IF('01_Вводные'!$B$296="Новый сезон",TRUE,TRUE),'19_Расчет_аналитики'!AO1442*CapacityAge23*'19_Расчет_аналитики'!$F$1223,0)</f>
        <v/>
      </c>
      <c r="AP1554">
        <f>IF(IF('01_Вводные'!$B$296="Новый сезон",TRUE,TRUE),'19_Расчет_аналитики'!AP1442*CapacityAge23*'19_Расчет_аналитики'!$F$1223,0)</f>
        <v/>
      </c>
      <c r="AQ1554">
        <f>IF(IF('01_Вводные'!$B$296="Новый сезон",TRUE,TRUE),'19_Расчет_аналитики'!AQ1442*CapacityAge23*'19_Расчет_аналитики'!$F$1223,0)</f>
        <v/>
      </c>
      <c r="AR1554">
        <f>IF(IF('01_Вводные'!$B$296="Новый сезон",TRUE,TRUE),'19_Расчет_аналитики'!AR1442*CapacityAge23*'19_Расчет_аналитики'!$F$1223,0)</f>
        <v/>
      </c>
      <c r="AS1554">
        <f>IF(IF('01_Вводные'!$B$296="Новый сезон",TRUE,TRUE),'19_Расчет_аналитики'!AS1442*CapacityAge23*'19_Расчет_аналитики'!$F$1223,0)</f>
        <v/>
      </c>
      <c r="AT1554">
        <f>IF(IF('01_Вводные'!$B$296="Новый сезон",TRUE,TRUE),'19_Расчет_аналитики'!AT1442*CapacityAge23*'19_Расчет_аналитики'!$F$1223,0)</f>
        <v/>
      </c>
      <c r="AU1554">
        <f>IF(IF('01_Вводные'!$B$296="Новый сезон",TRUE,TRUE),'19_Расчет_аналитики'!AU1442*CapacityAge23*'19_Расчет_аналитики'!$F$1223,0)</f>
        <v/>
      </c>
      <c r="AV1554">
        <f>IF(IF('01_Вводные'!$B$296="Новый сезон",TRUE,TRUE),'19_Расчет_аналитики'!AV1442*CapacityAge23*'19_Расчет_аналитики'!$F$1223,0)</f>
        <v/>
      </c>
      <c r="AW1554">
        <f>IF(IF('01_Вводные'!$B$296="Новый сезон",TRUE,TRUE),'19_Расчет_аналитики'!AW1442*CapacityAge23*'19_Расчет_аналитики'!$F$1223,0)</f>
        <v/>
      </c>
      <c r="AX1554">
        <f>IF(IF('01_Вводные'!$B$296="Новый сезон",TRUE,TRUE),'19_Расчет_аналитики'!AX1442*CapacityAge23*'19_Расчет_аналитики'!$F$1223,0)</f>
        <v/>
      </c>
      <c r="AY1554">
        <f>IF(IF('01_Вводные'!$B$296="Новый сезон",TRUE,TRUE),'19_Расчет_аналитики'!AY1442*CapacityAge23*'19_Расчет_аналитики'!$F$1223,0)</f>
        <v/>
      </c>
      <c r="AZ1554">
        <f>IF(IF('01_Вводные'!$B$296="Новый сезон",TRUE,TRUE),'19_Расчет_аналитики'!AZ1442*CapacityAge23*'19_Расчет_аналитики'!$F$1223,0)</f>
        <v/>
      </c>
      <c r="BA1554">
        <f>IF(IF('01_Вводные'!$B$296="Новый сезон",TRUE,TRUE),'19_Расчет_аналитики'!BA1442*CapacityAge23*'19_Расчет_аналитики'!$F$1223,0)</f>
        <v/>
      </c>
      <c r="BB1554">
        <f>IF(IF('01_Вводные'!$B$296="Новый сезон",TRUE,TRUE),'19_Расчет_аналитики'!BB1442*CapacityAge23*'19_Расчет_аналитики'!$F$1223,0)</f>
        <v/>
      </c>
      <c r="BC1554">
        <f>IF(IF('01_Вводные'!$B$296="Новый сезон",TRUE,TRUE),'19_Расчет_аналитики'!BC1442*CapacityAge23*'19_Расчет_аналитики'!$F$1223,0)</f>
        <v/>
      </c>
      <c r="BD1554">
        <f>IF(IF('01_Вводные'!$B$296="Новый сезон",TRUE,TRUE),'19_Расчет_аналитики'!BD1442*CapacityAge23*'19_Расчет_аналитики'!$F$1223,0)</f>
        <v/>
      </c>
      <c r="BE1554">
        <f>IF(IF('01_Вводные'!$B$296="Новый сезон",TRUE,TRUE),'19_Расчет_аналитики'!BE1442*CapacityAge23*'19_Расчет_аналитики'!$F$1223,0)</f>
        <v/>
      </c>
      <c r="BF1554">
        <f>IF(IF('01_Вводные'!$B$296="Новый сезон",TRUE,TRUE),'19_Расчет_аналитики'!BF1442*CapacityAge23*'19_Расчет_аналитики'!$F$1223,0)</f>
        <v/>
      </c>
      <c r="BG1554">
        <f>IF(IF('01_Вводные'!$B$296="Новый сезон",TRUE,TRUE),'19_Расчет_аналитики'!BG1442*CapacityAge23*'19_Расчет_аналитики'!$F$1223,0)</f>
        <v/>
      </c>
      <c r="BH1554">
        <f>IF(IF('01_Вводные'!$B$296="Новый сезон",TRUE,TRUE),'19_Расчет_аналитики'!BH1442*CapacityAge23*'19_Расчет_аналитики'!$F$1223,0)</f>
        <v/>
      </c>
      <c r="BI1554">
        <f>IF(IF('01_Вводные'!$B$296="Новый сезон",TRUE,TRUE),'19_Расчет_аналитики'!BI1442*CapacityAge23*'19_Расчет_аналитики'!$F$1223,0)</f>
        <v/>
      </c>
      <c r="BJ1554">
        <f>IF(IF('01_Вводные'!$B$296="Новый сезон",TRUE,TRUE),'19_Расчет_аналитики'!BJ1442*CapacityAge23*'19_Расчет_аналитики'!$F$1223,0)</f>
        <v/>
      </c>
      <c r="BK1554">
        <f>IF(IF('01_Вводные'!$B$296="Новый сезон",TRUE,TRUE),'19_Расчет_аналитики'!BK1442*CapacityAge23*'19_Расчет_аналитики'!$F$1223,0)</f>
        <v/>
      </c>
      <c r="BL1554">
        <f>IF(IF('01_Вводные'!$B$296="Новый сезон",TRUE,TRUE),'19_Расчет_аналитики'!BL1442*CapacityAge23*'19_Расчет_аналитики'!$F$1223,0)</f>
        <v/>
      </c>
      <c r="BM1554">
        <f>IF(IF('01_Вводные'!$B$296="Новый сезон",TRUE,TRUE),'19_Расчет_аналитики'!BM1442*CapacityAge23*'19_Расчет_аналитики'!$F$1223,0)</f>
        <v/>
      </c>
      <c r="BN1554">
        <f>IF(IF('01_Вводные'!$B$296="Новый сезон",TRUE,TRUE),'19_Расчет_аналитики'!BN1442*CapacityAge23*'19_Расчет_аналитики'!$F$1223,0)</f>
        <v/>
      </c>
      <c r="BO1554">
        <f>IF(IF('01_Вводные'!$B$296="Новый сезон",TRUE,TRUE),'19_Расчет_аналитики'!BO1442*CapacityAge23*'19_Расчет_аналитики'!$F$1223,0)</f>
        <v/>
      </c>
    </row>
    <row r="1555">
      <c r="B1555">
        <f>IF(IF('01_Вводные'!$B$296="Новый сезон",TRUE,TRUE),'06_Сеть_и_дети'!B76*CapacityAge24*'19_Расчет_аналитики'!$F$1223,0)</f>
        <v/>
      </c>
      <c r="C1555">
        <f>IF(IF('01_Вводные'!$B$296="Новый сезон",TRUE,TRUE),'06_Сеть_и_дети'!C76*CapacityAge24*'19_Расчет_аналитики'!$F$1223,0)</f>
        <v/>
      </c>
      <c r="D1555">
        <f>IF(IF('01_Вводные'!$B$296="Новый сезон",TRUE,TRUE),'06_Сеть_и_дети'!D76*CapacityAge24*'19_Расчет_аналитики'!$F$1223,0)</f>
        <v/>
      </c>
      <c r="E1555">
        <f>IF(IF('01_Вводные'!$B$296="Новый сезон",TRUE,TRUE),'06_Сеть_и_дети'!E76*CapacityAge24*'19_Расчет_аналитики'!$F$1223,0)</f>
        <v/>
      </c>
      <c r="F1555">
        <f>IF(IF('01_Вводные'!$B$296="Новый сезон",TRUE,TRUE),'06_Сеть_и_дети'!F76*CapacityAge24*'19_Расчет_аналитики'!$F$1223,0)</f>
        <v/>
      </c>
      <c r="G1555">
        <f>IF(IF('01_Вводные'!$B$296="Новый сезон",TRUE,TRUE),'06_Сеть_и_дети'!G76*CapacityAge24*'19_Расчет_аналитики'!$F$1223,0)</f>
        <v/>
      </c>
      <c r="H1555">
        <f>IF(IF('01_Вводные'!$B$296="Новый сезон",TRUE,TRUE),'06_Сеть_и_дети'!H76*CapacityAge24*'19_Расчет_аналитики'!$F$1223,0)</f>
        <v/>
      </c>
      <c r="I1555">
        <f>IF(IF('01_Вводные'!$B$296="Новый сезон",TRUE,TRUE),'06_Сеть_и_дети'!I76*CapacityAge24*'19_Расчет_аналитики'!$F$1223,0)</f>
        <v/>
      </c>
      <c r="J1555">
        <f>IF(IF('01_Вводные'!$B$296="Новый сезон",TRUE,TRUE),'06_Сеть_и_дети'!J76*CapacityAge24*'19_Расчет_аналитики'!$F$1223,0)</f>
        <v/>
      </c>
      <c r="K1555">
        <f>IF(IF('01_Вводные'!$B$296="Новый сезон",TRUE,TRUE),'06_Сеть_и_дети'!K76*CapacityAge24*'19_Расчет_аналитики'!$F$1223,0)</f>
        <v/>
      </c>
      <c r="L1555">
        <f>IF(IF('01_Вводные'!$B$296="Новый сезон",TRUE,TRUE),'06_Сеть_и_дети'!L76*CapacityAge24*'19_Расчет_аналитики'!$F$1223,0)</f>
        <v/>
      </c>
      <c r="M1555">
        <f>IF(IF('01_Вводные'!$B$296="Новый сезон",TRUE,TRUE),'06_Сеть_и_дети'!M76*CapacityAge24*'19_Расчет_аналитики'!$F$1223,0)</f>
        <v/>
      </c>
      <c r="N1555">
        <f>IF(IF('01_Вводные'!$B$296="Новый сезон",TRUE,TRUE),'06_Сеть_и_дети'!N76*CapacityAge24*'19_Расчет_аналитики'!$F$1223,0)</f>
        <v/>
      </c>
      <c r="O1555">
        <f>IF(IF('01_Вводные'!$B$296="Новый сезон",TRUE,TRUE),'06_Сеть_и_дети'!O76*CapacityAge24*'19_Расчет_аналитики'!$F$1223,0)</f>
        <v/>
      </c>
      <c r="P1555">
        <f>IF(IF('01_Вводные'!$B$296="Новый сезон",TRUE,TRUE),'06_Сеть_и_дети'!P76*CapacityAge24*'19_Расчет_аналитики'!$F$1223,0)</f>
        <v/>
      </c>
      <c r="Q1555">
        <f>IF(IF('01_Вводные'!$B$296="Новый сезон",TRUE,TRUE),'06_Сеть_и_дети'!Q76*CapacityAge24*'19_Расчет_аналитики'!$F$1223,0)</f>
        <v/>
      </c>
      <c r="R1555">
        <f>IF(IF('01_Вводные'!$B$296="Новый сезон",TRUE,TRUE),'06_Сеть_и_дети'!R76*CapacityAge24*'19_Расчет_аналитики'!$F$1223,0)</f>
        <v/>
      </c>
      <c r="S1555">
        <f>IF(IF('01_Вводные'!$B$296="Новый сезон",TRUE,TRUE),'06_Сеть_и_дети'!S76*CapacityAge24*'19_Расчет_аналитики'!$F$1223,0)</f>
        <v/>
      </c>
      <c r="T1555">
        <f>IF(IF('01_Вводные'!$B$296="Новый сезон",TRUE,TRUE),'06_Сеть_и_дети'!T76*CapacityAge24*'19_Расчет_аналитики'!$F$1223,0)</f>
        <v/>
      </c>
      <c r="U1555">
        <f>IF(IF('01_Вводные'!$B$296="Новый сезон",TRUE,TRUE),'06_Сеть_и_дети'!U76*CapacityAge24*'19_Расчет_аналитики'!$F$1223,0)</f>
        <v/>
      </c>
      <c r="V1555">
        <f>IF(IF('01_Вводные'!$B$296="Новый сезон",TRUE,TRUE),'06_Сеть_и_дети'!V76*CapacityAge24*'19_Расчет_аналитики'!$F$1223,0)</f>
        <v/>
      </c>
      <c r="W1555">
        <f>IF(IF('01_Вводные'!$B$296="Новый сезон",TRUE,TRUE),'06_Сеть_и_дети'!W76*CapacityAge24*'19_Расчет_аналитики'!$F$1223,0)</f>
        <v/>
      </c>
      <c r="X1555">
        <f>IF(IF('01_Вводные'!$B$296="Новый сезон",TRUE,TRUE),'06_Сеть_и_дети'!X76*CapacityAge24*'19_Расчет_аналитики'!$F$1223,0)</f>
        <v/>
      </c>
      <c r="Y1555">
        <f>IF(IF('01_Вводные'!$B$296="Новый сезон",TRUE,TRUE),'19_Расчет_аналитики'!Y1443*CapacityAge24*'19_Расчет_аналитики'!$F$1223,0)</f>
        <v/>
      </c>
      <c r="Z1555">
        <f>IF(IF('01_Вводные'!$B$296="Новый сезон",TRUE,TRUE),'19_Расчет_аналитики'!Z1443*CapacityAge24*'19_Расчет_аналитики'!$F$1223,0)</f>
        <v/>
      </c>
      <c r="AA1555">
        <f>IF(IF('01_Вводные'!$B$296="Новый сезон",TRUE,TRUE),'19_Расчет_аналитики'!AA1443*CapacityAge24*'19_Расчет_аналитики'!$F$1223,0)</f>
        <v/>
      </c>
      <c r="AB1555">
        <f>IF(IF('01_Вводные'!$B$296="Новый сезон",TRUE,TRUE),'19_Расчет_аналитики'!AB1443*CapacityAge24*'19_Расчет_аналитики'!$F$1223,0)</f>
        <v/>
      </c>
      <c r="AC1555">
        <f>IF(IF('01_Вводные'!$B$296="Новый сезон",TRUE,TRUE),'19_Расчет_аналитики'!AC1443*CapacityAge24*'19_Расчет_аналитики'!$F$1223,0)</f>
        <v/>
      </c>
      <c r="AD1555">
        <f>IF(IF('01_Вводные'!$B$296="Новый сезон",TRUE,TRUE),'19_Расчет_аналитики'!AD1443*CapacityAge24*'19_Расчет_аналитики'!$F$1223,0)</f>
        <v/>
      </c>
      <c r="AE1555">
        <f>IF(IF('01_Вводные'!$B$296="Новый сезон",TRUE,TRUE),'19_Расчет_аналитики'!AE1443*CapacityAge24*'19_Расчет_аналитики'!$F$1223,0)</f>
        <v/>
      </c>
      <c r="AF1555">
        <f>IF(IF('01_Вводные'!$B$296="Новый сезон",TRUE,TRUE),'19_Расчет_аналитики'!AF1443*CapacityAge24*'19_Расчет_аналитики'!$F$1223,0)</f>
        <v/>
      </c>
      <c r="AG1555">
        <f>IF(IF('01_Вводные'!$B$296="Новый сезон",TRUE,TRUE),'19_Расчет_аналитики'!AG1443*CapacityAge24*'19_Расчет_аналитики'!$F$1223,0)</f>
        <v/>
      </c>
      <c r="AH1555">
        <f>IF(IF('01_Вводные'!$B$296="Новый сезон",TRUE,TRUE),'19_Расчет_аналитики'!AH1443*CapacityAge24*'19_Расчет_аналитики'!$F$1223,0)</f>
        <v/>
      </c>
      <c r="AI1555">
        <f>IF(IF('01_Вводные'!$B$296="Новый сезон",TRUE,TRUE),'19_Расчет_аналитики'!AI1443*CapacityAge24*'19_Расчет_аналитики'!$F$1223,0)</f>
        <v/>
      </c>
      <c r="AJ1555">
        <f>IF(IF('01_Вводные'!$B$296="Новый сезон",TRUE,TRUE),'19_Расчет_аналитики'!AJ1443*CapacityAge24*'19_Расчет_аналитики'!$F$1223,0)</f>
        <v/>
      </c>
      <c r="AK1555">
        <f>IF(IF('01_Вводные'!$B$296="Новый сезон",TRUE,TRUE),'19_Расчет_аналитики'!AK1443*CapacityAge24*'19_Расчет_аналитики'!$F$1223,0)</f>
        <v/>
      </c>
      <c r="AL1555">
        <f>IF(IF('01_Вводные'!$B$296="Новый сезон",TRUE,TRUE),'19_Расчет_аналитики'!AL1443*CapacityAge24*'19_Расчет_аналитики'!$F$1223,0)</f>
        <v/>
      </c>
      <c r="AM1555">
        <f>IF(IF('01_Вводные'!$B$296="Новый сезон",TRUE,TRUE),'19_Расчет_аналитики'!AM1443*CapacityAge24*'19_Расчет_аналитики'!$F$1223,0)</f>
        <v/>
      </c>
      <c r="AN1555">
        <f>IF(IF('01_Вводные'!$B$296="Новый сезон",TRUE,TRUE),'19_Расчет_аналитики'!AN1443*CapacityAge24*'19_Расчет_аналитики'!$F$1223,0)</f>
        <v/>
      </c>
      <c r="AO1555">
        <f>IF(IF('01_Вводные'!$B$296="Новый сезон",TRUE,TRUE),'19_Расчет_аналитики'!AO1443*CapacityAge24*'19_Расчет_аналитики'!$F$1223,0)</f>
        <v/>
      </c>
      <c r="AP1555">
        <f>IF(IF('01_Вводные'!$B$296="Новый сезон",TRUE,TRUE),'19_Расчет_аналитики'!AP1443*CapacityAge24*'19_Расчет_аналитики'!$F$1223,0)</f>
        <v/>
      </c>
      <c r="AQ1555">
        <f>IF(IF('01_Вводные'!$B$296="Новый сезон",TRUE,TRUE),'19_Расчет_аналитики'!AQ1443*CapacityAge24*'19_Расчет_аналитики'!$F$1223,0)</f>
        <v/>
      </c>
      <c r="AR1555">
        <f>IF(IF('01_Вводные'!$B$296="Новый сезон",TRUE,TRUE),'19_Расчет_аналитики'!AR1443*CapacityAge24*'19_Расчет_аналитики'!$F$1223,0)</f>
        <v/>
      </c>
      <c r="AS1555">
        <f>IF(IF('01_Вводные'!$B$296="Новый сезон",TRUE,TRUE),'19_Расчет_аналитики'!AS1443*CapacityAge24*'19_Расчет_аналитики'!$F$1223,0)</f>
        <v/>
      </c>
      <c r="AT1555">
        <f>IF(IF('01_Вводные'!$B$296="Новый сезон",TRUE,TRUE),'19_Расчет_аналитики'!AT1443*CapacityAge24*'19_Расчет_аналитики'!$F$1223,0)</f>
        <v/>
      </c>
      <c r="AU1555">
        <f>IF(IF('01_Вводные'!$B$296="Новый сезон",TRUE,TRUE),'19_Расчет_аналитики'!AU1443*CapacityAge24*'19_Расчет_аналитики'!$F$1223,0)</f>
        <v/>
      </c>
      <c r="AV1555">
        <f>IF(IF('01_Вводные'!$B$296="Новый сезон",TRUE,TRUE),'19_Расчет_аналитики'!AV1443*CapacityAge24*'19_Расчет_аналитики'!$F$1223,0)</f>
        <v/>
      </c>
      <c r="AW1555">
        <f>IF(IF('01_Вводные'!$B$296="Новый сезон",TRUE,TRUE),'19_Расчет_аналитики'!AW1443*CapacityAge24*'19_Расчет_аналитики'!$F$1223,0)</f>
        <v/>
      </c>
      <c r="AX1555">
        <f>IF(IF('01_Вводные'!$B$296="Новый сезон",TRUE,TRUE),'19_Расчет_аналитики'!AX1443*CapacityAge24*'19_Расчет_аналитики'!$F$1223,0)</f>
        <v/>
      </c>
      <c r="AY1555">
        <f>IF(IF('01_Вводные'!$B$296="Новый сезон",TRUE,TRUE),'19_Расчет_аналитики'!AY1443*CapacityAge24*'19_Расчет_аналитики'!$F$1223,0)</f>
        <v/>
      </c>
      <c r="AZ1555">
        <f>IF(IF('01_Вводные'!$B$296="Новый сезон",TRUE,TRUE),'19_Расчет_аналитики'!AZ1443*CapacityAge24*'19_Расчет_аналитики'!$F$1223,0)</f>
        <v/>
      </c>
      <c r="BA1555">
        <f>IF(IF('01_Вводные'!$B$296="Новый сезон",TRUE,TRUE),'19_Расчет_аналитики'!BA1443*CapacityAge24*'19_Расчет_аналитики'!$F$1223,0)</f>
        <v/>
      </c>
      <c r="BB1555">
        <f>IF(IF('01_Вводные'!$B$296="Новый сезон",TRUE,TRUE),'19_Расчет_аналитики'!BB1443*CapacityAge24*'19_Расчет_аналитики'!$F$1223,0)</f>
        <v/>
      </c>
      <c r="BC1555">
        <f>IF(IF('01_Вводные'!$B$296="Новый сезон",TRUE,TRUE),'19_Расчет_аналитики'!BC1443*CapacityAge24*'19_Расчет_аналитики'!$F$1223,0)</f>
        <v/>
      </c>
      <c r="BD1555">
        <f>IF(IF('01_Вводные'!$B$296="Новый сезон",TRUE,TRUE),'19_Расчет_аналитики'!BD1443*CapacityAge24*'19_Расчет_аналитики'!$F$1223,0)</f>
        <v/>
      </c>
      <c r="BE1555">
        <f>IF(IF('01_Вводные'!$B$296="Новый сезон",TRUE,TRUE),'19_Расчет_аналитики'!BE1443*CapacityAge24*'19_Расчет_аналитики'!$F$1223,0)</f>
        <v/>
      </c>
      <c r="BF1555">
        <f>IF(IF('01_Вводные'!$B$296="Новый сезон",TRUE,TRUE),'19_Расчет_аналитики'!BF1443*CapacityAge24*'19_Расчет_аналитики'!$F$1223,0)</f>
        <v/>
      </c>
      <c r="BG1555">
        <f>IF(IF('01_Вводные'!$B$296="Новый сезон",TRUE,TRUE),'19_Расчет_аналитики'!BG1443*CapacityAge24*'19_Расчет_аналитики'!$F$1223,0)</f>
        <v/>
      </c>
      <c r="BH1555">
        <f>IF(IF('01_Вводные'!$B$296="Новый сезон",TRUE,TRUE),'19_Расчет_аналитики'!BH1443*CapacityAge24*'19_Расчет_аналитики'!$F$1223,0)</f>
        <v/>
      </c>
      <c r="BI1555">
        <f>IF(IF('01_Вводные'!$B$296="Новый сезон",TRUE,TRUE),'19_Расчет_аналитики'!BI1443*CapacityAge24*'19_Расчет_аналитики'!$F$1223,0)</f>
        <v/>
      </c>
      <c r="BJ1555">
        <f>IF(IF('01_Вводные'!$B$296="Новый сезон",TRUE,TRUE),'19_Расчет_аналитики'!BJ1443*CapacityAge24*'19_Расчет_аналитики'!$F$1223,0)</f>
        <v/>
      </c>
      <c r="BK1555">
        <f>IF(IF('01_Вводные'!$B$296="Новый сезон",TRUE,TRUE),'19_Расчет_аналитики'!BK1443*CapacityAge24*'19_Расчет_аналитики'!$F$1223,0)</f>
        <v/>
      </c>
      <c r="BL1555">
        <f>IF(IF('01_Вводные'!$B$296="Новый сезон",TRUE,TRUE),'19_Расчет_аналитики'!BL1443*CapacityAge24*'19_Расчет_аналитики'!$F$1223,0)</f>
        <v/>
      </c>
      <c r="BM1555">
        <f>IF(IF('01_Вводные'!$B$296="Новый сезон",TRUE,TRUE),'19_Расчет_аналитики'!BM1443*CapacityAge24*'19_Расчет_аналитики'!$F$1223,0)</f>
        <v/>
      </c>
      <c r="BN1555">
        <f>IF(IF('01_Вводные'!$B$296="Новый сезон",TRUE,TRUE),'19_Расчет_аналитики'!BN1443*CapacityAge24*'19_Расчет_аналитики'!$F$1223,0)</f>
        <v/>
      </c>
      <c r="BO1555">
        <f>IF(IF('01_Вводные'!$B$296="Новый сезон",TRUE,TRUE),'19_Расчет_аналитики'!BO1443*CapacityAge24*'19_Расчет_аналитики'!$F$1223,0)</f>
        <v/>
      </c>
    </row>
    <row r="1556">
      <c r="B1556">
        <f>IF(IF('01_Вводные'!$B$296="Новый сезон",TRUE,TRUE),'06_Сеть_и_дети'!B77*CapacityAge25*'19_Расчет_аналитики'!$F$1223,0)</f>
        <v/>
      </c>
      <c r="C1556">
        <f>IF(IF('01_Вводные'!$B$296="Новый сезон",TRUE,TRUE),'06_Сеть_и_дети'!C77*CapacityAge25*'19_Расчет_аналитики'!$F$1223,0)</f>
        <v/>
      </c>
      <c r="D1556">
        <f>IF(IF('01_Вводные'!$B$296="Новый сезон",TRUE,TRUE),'06_Сеть_и_дети'!D77*CapacityAge25*'19_Расчет_аналитики'!$F$1223,0)</f>
        <v/>
      </c>
      <c r="E1556">
        <f>IF(IF('01_Вводные'!$B$296="Новый сезон",TRUE,TRUE),'06_Сеть_и_дети'!E77*CapacityAge25*'19_Расчет_аналитики'!$F$1223,0)</f>
        <v/>
      </c>
      <c r="F1556">
        <f>IF(IF('01_Вводные'!$B$296="Новый сезон",TRUE,TRUE),'06_Сеть_и_дети'!F77*CapacityAge25*'19_Расчет_аналитики'!$F$1223,0)</f>
        <v/>
      </c>
      <c r="G1556">
        <f>IF(IF('01_Вводные'!$B$296="Новый сезон",TRUE,TRUE),'06_Сеть_и_дети'!G77*CapacityAge25*'19_Расчет_аналитики'!$F$1223,0)</f>
        <v/>
      </c>
      <c r="H1556">
        <f>IF(IF('01_Вводные'!$B$296="Новый сезон",TRUE,TRUE),'06_Сеть_и_дети'!H77*CapacityAge25*'19_Расчет_аналитики'!$F$1223,0)</f>
        <v/>
      </c>
      <c r="I1556">
        <f>IF(IF('01_Вводные'!$B$296="Новый сезон",TRUE,TRUE),'06_Сеть_и_дети'!I77*CapacityAge25*'19_Расчет_аналитики'!$F$1223,0)</f>
        <v/>
      </c>
      <c r="J1556">
        <f>IF(IF('01_Вводные'!$B$296="Новый сезон",TRUE,TRUE),'06_Сеть_и_дети'!J77*CapacityAge25*'19_Расчет_аналитики'!$F$1223,0)</f>
        <v/>
      </c>
      <c r="K1556">
        <f>IF(IF('01_Вводные'!$B$296="Новый сезон",TRUE,TRUE),'06_Сеть_и_дети'!K77*CapacityAge25*'19_Расчет_аналитики'!$F$1223,0)</f>
        <v/>
      </c>
      <c r="L1556">
        <f>IF(IF('01_Вводные'!$B$296="Новый сезон",TRUE,TRUE),'06_Сеть_и_дети'!L77*CapacityAge25*'19_Расчет_аналитики'!$F$1223,0)</f>
        <v/>
      </c>
      <c r="M1556">
        <f>IF(IF('01_Вводные'!$B$296="Новый сезон",TRUE,TRUE),'06_Сеть_и_дети'!M77*CapacityAge25*'19_Расчет_аналитики'!$F$1223,0)</f>
        <v/>
      </c>
      <c r="N1556">
        <f>IF(IF('01_Вводные'!$B$296="Новый сезон",TRUE,TRUE),'06_Сеть_и_дети'!N77*CapacityAge25*'19_Расчет_аналитики'!$F$1223,0)</f>
        <v/>
      </c>
      <c r="O1556">
        <f>IF(IF('01_Вводные'!$B$296="Новый сезон",TRUE,TRUE),'06_Сеть_и_дети'!O77*CapacityAge25*'19_Расчет_аналитики'!$F$1223,0)</f>
        <v/>
      </c>
      <c r="P1556">
        <f>IF(IF('01_Вводные'!$B$296="Новый сезон",TRUE,TRUE),'06_Сеть_и_дети'!P77*CapacityAge25*'19_Расчет_аналитики'!$F$1223,0)</f>
        <v/>
      </c>
      <c r="Q1556">
        <f>IF(IF('01_Вводные'!$B$296="Новый сезон",TRUE,TRUE),'06_Сеть_и_дети'!Q77*CapacityAge25*'19_Расчет_аналитики'!$F$1223,0)</f>
        <v/>
      </c>
      <c r="R1556">
        <f>IF(IF('01_Вводные'!$B$296="Новый сезон",TRUE,TRUE),'06_Сеть_и_дети'!R77*CapacityAge25*'19_Расчет_аналитики'!$F$1223,0)</f>
        <v/>
      </c>
      <c r="S1556">
        <f>IF(IF('01_Вводные'!$B$296="Новый сезон",TRUE,TRUE),'06_Сеть_и_дети'!S77*CapacityAge25*'19_Расчет_аналитики'!$F$1223,0)</f>
        <v/>
      </c>
      <c r="T1556">
        <f>IF(IF('01_Вводные'!$B$296="Новый сезон",TRUE,TRUE),'06_Сеть_и_дети'!T77*CapacityAge25*'19_Расчет_аналитики'!$F$1223,0)</f>
        <v/>
      </c>
      <c r="U1556">
        <f>IF(IF('01_Вводные'!$B$296="Новый сезон",TRUE,TRUE),'06_Сеть_и_дети'!U77*CapacityAge25*'19_Расчет_аналитики'!$F$1223,0)</f>
        <v/>
      </c>
      <c r="V1556">
        <f>IF(IF('01_Вводные'!$B$296="Новый сезон",TRUE,TRUE),'06_Сеть_и_дети'!V77*CapacityAge25*'19_Расчет_аналитики'!$F$1223,0)</f>
        <v/>
      </c>
      <c r="W1556">
        <f>IF(IF('01_Вводные'!$B$296="Новый сезон",TRUE,TRUE),'06_Сеть_и_дети'!W77*CapacityAge25*'19_Расчет_аналитики'!$F$1223,0)</f>
        <v/>
      </c>
      <c r="X1556">
        <f>IF(IF('01_Вводные'!$B$296="Новый сезон",TRUE,TRUE),'06_Сеть_и_дети'!X77*CapacityAge25*'19_Расчет_аналитики'!$F$1223,0)</f>
        <v/>
      </c>
      <c r="Y1556">
        <f>IF(IF('01_Вводные'!$B$296="Новый сезон",TRUE,TRUE),'06_Сеть_и_дети'!Y77*CapacityAge25*'19_Расчет_аналитики'!$F$1223,0)</f>
        <v/>
      </c>
      <c r="Z1556">
        <f>IF(IF('01_Вводные'!$B$296="Новый сезон",TRUE,TRUE),'19_Расчет_аналитики'!Z1444*CapacityAge25*'19_Расчет_аналитики'!$F$1223,0)</f>
        <v/>
      </c>
      <c r="AA1556">
        <f>IF(IF('01_Вводные'!$B$296="Новый сезон",TRUE,TRUE),'19_Расчет_аналитики'!AA1444*CapacityAge25*'19_Расчет_аналитики'!$F$1223,0)</f>
        <v/>
      </c>
      <c r="AB1556">
        <f>IF(IF('01_Вводные'!$B$296="Новый сезон",TRUE,TRUE),'19_Расчет_аналитики'!AB1444*CapacityAge25*'19_Расчет_аналитики'!$F$1223,0)</f>
        <v/>
      </c>
      <c r="AC1556">
        <f>IF(IF('01_Вводные'!$B$296="Новый сезон",TRUE,TRUE),'19_Расчет_аналитики'!AC1444*CapacityAge25*'19_Расчет_аналитики'!$F$1223,0)</f>
        <v/>
      </c>
      <c r="AD1556">
        <f>IF(IF('01_Вводные'!$B$296="Новый сезон",TRUE,TRUE),'19_Расчет_аналитики'!AD1444*CapacityAge25*'19_Расчет_аналитики'!$F$1223,0)</f>
        <v/>
      </c>
      <c r="AE1556">
        <f>IF(IF('01_Вводные'!$B$296="Новый сезон",TRUE,TRUE),'19_Расчет_аналитики'!AE1444*CapacityAge25*'19_Расчет_аналитики'!$F$1223,0)</f>
        <v/>
      </c>
      <c r="AF1556">
        <f>IF(IF('01_Вводные'!$B$296="Новый сезон",TRUE,TRUE),'19_Расчет_аналитики'!AF1444*CapacityAge25*'19_Расчет_аналитики'!$F$1223,0)</f>
        <v/>
      </c>
      <c r="AG1556">
        <f>IF(IF('01_Вводные'!$B$296="Новый сезон",TRUE,TRUE),'19_Расчет_аналитики'!AG1444*CapacityAge25*'19_Расчет_аналитики'!$F$1223,0)</f>
        <v/>
      </c>
      <c r="AH1556">
        <f>IF(IF('01_Вводные'!$B$296="Новый сезон",TRUE,TRUE),'19_Расчет_аналитики'!AH1444*CapacityAge25*'19_Расчет_аналитики'!$F$1223,0)</f>
        <v/>
      </c>
      <c r="AI1556">
        <f>IF(IF('01_Вводные'!$B$296="Новый сезон",TRUE,TRUE),'19_Расчет_аналитики'!AI1444*CapacityAge25*'19_Расчет_аналитики'!$F$1223,0)</f>
        <v/>
      </c>
      <c r="AJ1556">
        <f>IF(IF('01_Вводные'!$B$296="Новый сезон",TRUE,TRUE),'19_Расчет_аналитики'!AJ1444*CapacityAge25*'19_Расчет_аналитики'!$F$1223,0)</f>
        <v/>
      </c>
      <c r="AK1556">
        <f>IF(IF('01_Вводные'!$B$296="Новый сезон",TRUE,TRUE),'19_Расчет_аналитики'!AK1444*CapacityAge25*'19_Расчет_аналитики'!$F$1223,0)</f>
        <v/>
      </c>
      <c r="AL1556">
        <f>IF(IF('01_Вводные'!$B$296="Новый сезон",TRUE,TRUE),'19_Расчет_аналитики'!AL1444*CapacityAge25*'19_Расчет_аналитики'!$F$1223,0)</f>
        <v/>
      </c>
      <c r="AM1556">
        <f>IF(IF('01_Вводные'!$B$296="Новый сезон",TRUE,TRUE),'19_Расчет_аналитики'!AM1444*CapacityAge25*'19_Расчет_аналитики'!$F$1223,0)</f>
        <v/>
      </c>
      <c r="AN1556">
        <f>IF(IF('01_Вводные'!$B$296="Новый сезон",TRUE,TRUE),'19_Расчет_аналитики'!AN1444*CapacityAge25*'19_Расчет_аналитики'!$F$1223,0)</f>
        <v/>
      </c>
      <c r="AO1556">
        <f>IF(IF('01_Вводные'!$B$296="Новый сезон",TRUE,TRUE),'19_Расчет_аналитики'!AO1444*CapacityAge25*'19_Расчет_аналитики'!$F$1223,0)</f>
        <v/>
      </c>
      <c r="AP1556">
        <f>IF(IF('01_Вводные'!$B$296="Новый сезон",TRUE,TRUE),'19_Расчет_аналитики'!AP1444*CapacityAge25*'19_Расчет_аналитики'!$F$1223,0)</f>
        <v/>
      </c>
      <c r="AQ1556">
        <f>IF(IF('01_Вводные'!$B$296="Новый сезон",TRUE,TRUE),'19_Расчет_аналитики'!AQ1444*CapacityAge25*'19_Расчет_аналитики'!$F$1223,0)</f>
        <v/>
      </c>
      <c r="AR1556">
        <f>IF(IF('01_Вводные'!$B$296="Новый сезон",TRUE,TRUE),'19_Расчет_аналитики'!AR1444*CapacityAge25*'19_Расчет_аналитики'!$F$1223,0)</f>
        <v/>
      </c>
      <c r="AS1556">
        <f>IF(IF('01_Вводные'!$B$296="Новый сезон",TRUE,TRUE),'19_Расчет_аналитики'!AS1444*CapacityAge25*'19_Расчет_аналитики'!$F$1223,0)</f>
        <v/>
      </c>
      <c r="AT1556">
        <f>IF(IF('01_Вводные'!$B$296="Новый сезон",TRUE,TRUE),'19_Расчет_аналитики'!AT1444*CapacityAge25*'19_Расчет_аналитики'!$F$1223,0)</f>
        <v/>
      </c>
      <c r="AU1556">
        <f>IF(IF('01_Вводные'!$B$296="Новый сезон",TRUE,TRUE),'19_Расчет_аналитики'!AU1444*CapacityAge25*'19_Расчет_аналитики'!$F$1223,0)</f>
        <v/>
      </c>
      <c r="AV1556">
        <f>IF(IF('01_Вводные'!$B$296="Новый сезон",TRUE,TRUE),'19_Расчет_аналитики'!AV1444*CapacityAge25*'19_Расчет_аналитики'!$F$1223,0)</f>
        <v/>
      </c>
      <c r="AW1556">
        <f>IF(IF('01_Вводные'!$B$296="Новый сезон",TRUE,TRUE),'19_Расчет_аналитики'!AW1444*CapacityAge25*'19_Расчет_аналитики'!$F$1223,0)</f>
        <v/>
      </c>
      <c r="AX1556">
        <f>IF(IF('01_Вводные'!$B$296="Новый сезон",TRUE,TRUE),'19_Расчет_аналитики'!AX1444*CapacityAge25*'19_Расчет_аналитики'!$F$1223,0)</f>
        <v/>
      </c>
      <c r="AY1556">
        <f>IF(IF('01_Вводные'!$B$296="Новый сезон",TRUE,TRUE),'19_Расчет_аналитики'!AY1444*CapacityAge25*'19_Расчет_аналитики'!$F$1223,0)</f>
        <v/>
      </c>
      <c r="AZ1556">
        <f>IF(IF('01_Вводные'!$B$296="Новый сезон",TRUE,TRUE),'19_Расчет_аналитики'!AZ1444*CapacityAge25*'19_Расчет_аналитики'!$F$1223,0)</f>
        <v/>
      </c>
      <c r="BA1556">
        <f>IF(IF('01_Вводные'!$B$296="Новый сезон",TRUE,TRUE),'19_Расчет_аналитики'!BA1444*CapacityAge25*'19_Расчет_аналитики'!$F$1223,0)</f>
        <v/>
      </c>
      <c r="BB1556">
        <f>IF(IF('01_Вводные'!$B$296="Новый сезон",TRUE,TRUE),'19_Расчет_аналитики'!BB1444*CapacityAge25*'19_Расчет_аналитики'!$F$1223,0)</f>
        <v/>
      </c>
      <c r="BC1556">
        <f>IF(IF('01_Вводные'!$B$296="Новый сезон",TRUE,TRUE),'19_Расчет_аналитики'!BC1444*CapacityAge25*'19_Расчет_аналитики'!$F$1223,0)</f>
        <v/>
      </c>
      <c r="BD1556">
        <f>IF(IF('01_Вводные'!$B$296="Новый сезон",TRUE,TRUE),'19_Расчет_аналитики'!BD1444*CapacityAge25*'19_Расчет_аналитики'!$F$1223,0)</f>
        <v/>
      </c>
      <c r="BE1556">
        <f>IF(IF('01_Вводные'!$B$296="Новый сезон",TRUE,TRUE),'19_Расчет_аналитики'!BE1444*CapacityAge25*'19_Расчет_аналитики'!$F$1223,0)</f>
        <v/>
      </c>
      <c r="BF1556">
        <f>IF(IF('01_Вводные'!$B$296="Новый сезон",TRUE,TRUE),'19_Расчет_аналитики'!BF1444*CapacityAge25*'19_Расчет_аналитики'!$F$1223,0)</f>
        <v/>
      </c>
      <c r="BG1556">
        <f>IF(IF('01_Вводные'!$B$296="Новый сезон",TRUE,TRUE),'19_Расчет_аналитики'!BG1444*CapacityAge25*'19_Расчет_аналитики'!$F$1223,0)</f>
        <v/>
      </c>
      <c r="BH1556">
        <f>IF(IF('01_Вводные'!$B$296="Новый сезон",TRUE,TRUE),'19_Расчет_аналитики'!BH1444*CapacityAge25*'19_Расчет_аналитики'!$F$1223,0)</f>
        <v/>
      </c>
      <c r="BI1556">
        <f>IF(IF('01_Вводные'!$B$296="Новый сезон",TRUE,TRUE),'19_Расчет_аналитики'!BI1444*CapacityAge25*'19_Расчет_аналитики'!$F$1223,0)</f>
        <v/>
      </c>
      <c r="BJ1556">
        <f>IF(IF('01_Вводные'!$B$296="Новый сезон",TRUE,TRUE),'19_Расчет_аналитики'!BJ1444*CapacityAge25*'19_Расчет_аналитики'!$F$1223,0)</f>
        <v/>
      </c>
      <c r="BK1556">
        <f>IF(IF('01_Вводные'!$B$296="Новый сезон",TRUE,TRUE),'19_Расчет_аналитики'!BK1444*CapacityAge25*'19_Расчет_аналитики'!$F$1223,0)</f>
        <v/>
      </c>
      <c r="BL1556">
        <f>IF(IF('01_Вводные'!$B$296="Новый сезон",TRUE,TRUE),'19_Расчет_аналитики'!BL1444*CapacityAge25*'19_Расчет_аналитики'!$F$1223,0)</f>
        <v/>
      </c>
      <c r="BM1556">
        <f>IF(IF('01_Вводные'!$B$296="Новый сезон",TRUE,TRUE),'19_Расчет_аналитики'!BM1444*CapacityAge25*'19_Расчет_аналитики'!$F$1223,0)</f>
        <v/>
      </c>
      <c r="BN1556">
        <f>IF(IF('01_Вводные'!$B$296="Новый сезон",TRUE,TRUE),'19_Расчет_аналитики'!BN1444*CapacityAge25*'19_Расчет_аналитики'!$F$1223,0)</f>
        <v/>
      </c>
      <c r="BO1556">
        <f>IF(IF('01_Вводные'!$B$296="Новый сезон",TRUE,TRUE),'19_Расчет_аналитики'!BO1444*CapacityAge25*'19_Расчет_аналитики'!$F$1223,0)</f>
        <v/>
      </c>
    </row>
    <row r="1557"/>
    <row r="1558">
      <c r="B1558">
        <f>SUM('19_Расчет_аналитики'!B1532:B1556)</f>
        <v/>
      </c>
      <c r="C1558">
        <f>SUM('19_Расчет_аналитики'!C1532:C1556)</f>
        <v/>
      </c>
      <c r="D1558">
        <f>SUM('19_Расчет_аналитики'!D1532:D1556)</f>
        <v/>
      </c>
      <c r="E1558">
        <f>SUM('19_Расчет_аналитики'!E1532:E1556)</f>
        <v/>
      </c>
      <c r="F1558">
        <f>SUM('19_Расчет_аналитики'!F1532:F1556)</f>
        <v/>
      </c>
      <c r="G1558">
        <f>SUM('19_Расчет_аналитики'!G1532:G1556)</f>
        <v/>
      </c>
      <c r="H1558">
        <f>SUM('19_Расчет_аналитики'!H1532:H1556)</f>
        <v/>
      </c>
      <c r="I1558">
        <f>SUM('19_Расчет_аналитики'!I1532:I1556)</f>
        <v/>
      </c>
      <c r="J1558">
        <f>SUM('19_Расчет_аналитики'!J1532:J1556)</f>
        <v/>
      </c>
      <c r="K1558">
        <f>SUM('19_Расчет_аналитики'!K1532:K1556)</f>
        <v/>
      </c>
      <c r="L1558">
        <f>SUM('19_Расчет_аналитики'!L1532:L1556)</f>
        <v/>
      </c>
      <c r="M1558">
        <f>SUM('19_Расчет_аналитики'!M1532:M1556)</f>
        <v/>
      </c>
      <c r="N1558">
        <f>SUM('19_Расчет_аналитики'!N1532:N1556)</f>
        <v/>
      </c>
      <c r="O1558">
        <f>SUM('19_Расчет_аналитики'!O1532:O1556)</f>
        <v/>
      </c>
      <c r="P1558">
        <f>SUM('19_Расчет_аналитики'!P1532:P1556)</f>
        <v/>
      </c>
      <c r="Q1558">
        <f>SUM('19_Расчет_аналитики'!Q1532:Q1556)</f>
        <v/>
      </c>
      <c r="R1558">
        <f>SUM('19_Расчет_аналитики'!R1532:R1556)</f>
        <v/>
      </c>
      <c r="S1558">
        <f>SUM('19_Расчет_аналитики'!S1532:S1556)</f>
        <v/>
      </c>
      <c r="T1558">
        <f>SUM('19_Расчет_аналитики'!T1532:T1556)</f>
        <v/>
      </c>
      <c r="U1558">
        <f>SUM('19_Расчет_аналитики'!U1532:U1556)</f>
        <v/>
      </c>
      <c r="V1558">
        <f>SUM('19_Расчет_аналитики'!V1532:V1556)</f>
        <v/>
      </c>
      <c r="W1558">
        <f>SUM('19_Расчет_аналитики'!W1532:W1556)</f>
        <v/>
      </c>
      <c r="X1558">
        <f>SUM('19_Расчет_аналитики'!X1532:X1556)</f>
        <v/>
      </c>
      <c r="Y1558">
        <f>SUM('19_Расчет_аналитики'!Y1532:Y1556)</f>
        <v/>
      </c>
      <c r="Z1558">
        <f>SUM('19_Расчет_аналитики'!Z1532:Z1556)</f>
        <v/>
      </c>
      <c r="AA1558">
        <f>SUM('19_Расчет_аналитики'!AA1532:AA1556)</f>
        <v/>
      </c>
      <c r="AB1558">
        <f>SUM('19_Расчет_аналитики'!AB1532:AB1556)</f>
        <v/>
      </c>
      <c r="AC1558">
        <f>SUM('19_Расчет_аналитики'!AC1532:AC1556)</f>
        <v/>
      </c>
      <c r="AD1558">
        <f>SUM('19_Расчет_аналитики'!AD1532:AD1556)</f>
        <v/>
      </c>
      <c r="AE1558">
        <f>SUM('19_Расчет_аналитики'!AE1532:AE1556)</f>
        <v/>
      </c>
      <c r="AF1558">
        <f>SUM('19_Расчет_аналитики'!AF1532:AF1556)</f>
        <v/>
      </c>
      <c r="AG1558">
        <f>SUM('19_Расчет_аналитики'!AG1532:AG1556)</f>
        <v/>
      </c>
      <c r="AH1558">
        <f>SUM('19_Расчет_аналитики'!AH1532:AH1556)</f>
        <v/>
      </c>
      <c r="AI1558">
        <f>SUM('19_Расчет_аналитики'!AI1532:AI1556)</f>
        <v/>
      </c>
      <c r="AJ1558">
        <f>SUM('19_Расчет_аналитики'!AJ1532:AJ1556)</f>
        <v/>
      </c>
      <c r="AK1558">
        <f>SUM('19_Расчет_аналитики'!AK1532:AK1556)</f>
        <v/>
      </c>
      <c r="AL1558">
        <f>SUM('19_Расчет_аналитики'!AL1532:AL1556)</f>
        <v/>
      </c>
      <c r="AM1558">
        <f>SUM('19_Расчет_аналитики'!AM1532:AM1556)</f>
        <v/>
      </c>
      <c r="AN1558">
        <f>SUM('19_Расчет_аналитики'!AN1532:AN1556)</f>
        <v/>
      </c>
      <c r="AO1558">
        <f>SUM('19_Расчет_аналитики'!AO1532:AO1556)</f>
        <v/>
      </c>
      <c r="AP1558">
        <f>SUM('19_Расчет_аналитики'!AP1532:AP1556)</f>
        <v/>
      </c>
      <c r="AQ1558">
        <f>SUM('19_Расчет_аналитики'!AQ1532:AQ1556)</f>
        <v/>
      </c>
      <c r="AR1558">
        <f>SUM('19_Расчет_аналитики'!AR1532:AR1556)</f>
        <v/>
      </c>
      <c r="AS1558">
        <f>SUM('19_Расчет_аналитики'!AS1532:AS1556)</f>
        <v/>
      </c>
      <c r="AT1558">
        <f>SUM('19_Расчет_аналитики'!AT1532:AT1556)</f>
        <v/>
      </c>
      <c r="AU1558">
        <f>SUM('19_Расчет_аналитики'!AU1532:AU1556)</f>
        <v/>
      </c>
      <c r="AV1558">
        <f>SUM('19_Расчет_аналитики'!AV1532:AV1556)</f>
        <v/>
      </c>
      <c r="AW1558">
        <f>SUM('19_Расчет_аналитики'!AW1532:AW1556)</f>
        <v/>
      </c>
      <c r="AX1558">
        <f>SUM('19_Расчет_аналитики'!AX1532:AX1556)</f>
        <v/>
      </c>
      <c r="AY1558">
        <f>SUM('19_Расчет_аналитики'!AY1532:AY1556)</f>
        <v/>
      </c>
      <c r="AZ1558">
        <f>SUM('19_Расчет_аналитики'!AZ1532:AZ1556)</f>
        <v/>
      </c>
      <c r="BA1558">
        <f>SUM('19_Расчет_аналитики'!BA1532:BA1556)</f>
        <v/>
      </c>
      <c r="BB1558">
        <f>SUM('19_Расчет_аналитики'!BB1532:BB1556)</f>
        <v/>
      </c>
      <c r="BC1558">
        <f>SUM('19_Расчет_аналитики'!BC1532:BC1556)</f>
        <v/>
      </c>
      <c r="BD1558">
        <f>SUM('19_Расчет_аналитики'!BD1532:BD1556)</f>
        <v/>
      </c>
      <c r="BE1558">
        <f>SUM('19_Расчет_аналитики'!BE1532:BE1556)</f>
        <v/>
      </c>
      <c r="BF1558">
        <f>SUM('19_Расчет_аналитики'!BF1532:BF1556)</f>
        <v/>
      </c>
      <c r="BG1558">
        <f>SUM('19_Расчет_аналитики'!BG1532:BG1556)</f>
        <v/>
      </c>
      <c r="BH1558">
        <f>SUM('19_Расчет_аналитики'!BH1532:BH1556)</f>
        <v/>
      </c>
      <c r="BI1558">
        <f>SUM('19_Расчет_аналитики'!BI1532:BI1556)</f>
        <v/>
      </c>
      <c r="BJ1558">
        <f>SUM('19_Расчет_аналитики'!BJ1532:BJ1556)</f>
        <v/>
      </c>
      <c r="BK1558">
        <f>SUM('19_Расчет_аналитики'!BK1532:BK1556)</f>
        <v/>
      </c>
      <c r="BL1558">
        <f>SUM('19_Расчет_аналитики'!BL1532:BL1556)</f>
        <v/>
      </c>
      <c r="BM1558">
        <f>SUM('19_Расчет_аналитики'!BM1532:BM1556)</f>
        <v/>
      </c>
      <c r="BN1558">
        <f>SUM('19_Расчет_аналитики'!BN1532:BN1556)</f>
        <v/>
      </c>
      <c r="BO1558">
        <f>SUM('19_Расчет_аналитики'!BO1532:BO1556)</f>
        <v/>
      </c>
    </row>
    <row r="1559"/>
    <row r="1560"/>
    <row r="1561"/>
    <row r="1562"/>
    <row r="1563"/>
    <row r="1564"/>
    <row r="1565"/>
    <row r="1566"/>
    <row r="1567"/>
    <row r="1568"/>
    <row r="1569">
      <c r="B1569">
        <f>'06_Сеть_и_дети'!B5*'19_Расчет_аналитики'!$F$1223*'19_Расчет_аналитики'!$F$1224*'18_Календарь_тарифы'!B4</f>
        <v/>
      </c>
      <c r="C1569">
        <f>'06_Сеть_и_дети'!C5*'19_Расчет_аналитики'!$F$1223*'19_Расчет_аналитики'!$F$1224*'18_Календарь_тарифы'!C4</f>
        <v/>
      </c>
      <c r="D1569">
        <f>'06_Сеть_и_дети'!D5*'19_Расчет_аналитики'!$F$1223*'19_Расчет_аналитики'!$F$1224*'18_Календарь_тарифы'!D4</f>
        <v/>
      </c>
      <c r="E1569">
        <f>'06_Сеть_и_дети'!E5*'19_Расчет_аналитики'!$F$1223*'19_Расчет_аналитики'!$F$1224*'18_Календарь_тарифы'!E4</f>
        <v/>
      </c>
      <c r="F1569">
        <f>'06_Сеть_и_дети'!F5*'19_Расчет_аналитики'!$F$1223*'19_Расчет_аналитики'!$F$1224*'18_Календарь_тарифы'!F4</f>
        <v/>
      </c>
      <c r="G1569">
        <f>'06_Сеть_и_дети'!G5*'19_Расчет_аналитики'!$F$1223*'19_Расчет_аналитики'!$F$1224*'18_Календарь_тарифы'!G4</f>
        <v/>
      </c>
      <c r="H1569">
        <f>'06_Сеть_и_дети'!H5*'19_Расчет_аналитики'!$F$1223*'19_Расчет_аналитики'!$F$1224*'18_Календарь_тарифы'!H4</f>
        <v/>
      </c>
      <c r="I1569">
        <f>'06_Сеть_и_дети'!I5*'19_Расчет_аналитики'!$F$1223*'19_Расчет_аналитики'!$F$1224*'18_Календарь_тарифы'!I4</f>
        <v/>
      </c>
      <c r="J1569">
        <f>'06_Сеть_и_дети'!J5*'19_Расчет_аналитики'!$F$1223*'19_Расчет_аналитики'!$F$1224*'18_Календарь_тарифы'!J4</f>
        <v/>
      </c>
      <c r="K1569">
        <f>'06_Сеть_и_дети'!K5*'19_Расчет_аналитики'!$F$1223*'19_Расчет_аналитики'!$F$1224*'18_Календарь_тарифы'!K4</f>
        <v/>
      </c>
      <c r="L1569">
        <f>'06_Сеть_и_дети'!L5*'19_Расчет_аналитики'!$F$1223*'19_Расчет_аналитики'!$F$1224*'18_Календарь_тарифы'!L4</f>
        <v/>
      </c>
      <c r="M1569">
        <f>'06_Сеть_и_дети'!M5*'19_Расчет_аналитики'!$F$1223*'19_Расчет_аналитики'!$F$1224*'18_Календарь_тарифы'!M4</f>
        <v/>
      </c>
      <c r="N1569">
        <f>'06_Сеть_и_дети'!N5*'19_Расчет_аналитики'!$F$1223*'19_Расчет_аналитики'!$F$1224*'18_Календарь_тарифы'!N4</f>
        <v/>
      </c>
      <c r="O1569">
        <f>'06_Сеть_и_дети'!O5*'19_Расчет_аналитики'!$F$1223*'19_Расчет_аналитики'!$F$1224*'18_Календарь_тарифы'!O4</f>
        <v/>
      </c>
      <c r="P1569">
        <f>'06_Сеть_и_дети'!P5*'19_Расчет_аналитики'!$F$1223*'19_Расчет_аналитики'!$F$1224*'18_Календарь_тарифы'!P4</f>
        <v/>
      </c>
      <c r="Q1569">
        <f>'06_Сеть_и_дети'!Q5*'19_Расчет_аналитики'!$F$1223*'19_Расчет_аналитики'!$F$1224*'18_Календарь_тарифы'!Q4</f>
        <v/>
      </c>
      <c r="R1569">
        <f>'06_Сеть_и_дети'!R5*'19_Расчет_аналитики'!$F$1223*'19_Расчет_аналитики'!$F$1224*'18_Календарь_тарифы'!R4</f>
        <v/>
      </c>
      <c r="S1569">
        <f>'06_Сеть_и_дети'!S5*'19_Расчет_аналитики'!$F$1223*'19_Расчет_аналитики'!$F$1224*'18_Календарь_тарифы'!S4</f>
        <v/>
      </c>
      <c r="T1569">
        <f>'06_Сеть_и_дети'!T5*'19_Расчет_аналитики'!$F$1223*'19_Расчет_аналитики'!$F$1224*'18_Календарь_тарифы'!T4</f>
        <v/>
      </c>
      <c r="U1569">
        <f>'06_Сеть_и_дети'!U5*'19_Расчет_аналитики'!$F$1223*'19_Расчет_аналитики'!$F$1224*'18_Календарь_тарифы'!U4</f>
        <v/>
      </c>
      <c r="V1569">
        <f>'06_Сеть_и_дети'!V5*'19_Расчет_аналитики'!$F$1223*'19_Расчет_аналитики'!$F$1224*'18_Календарь_тарифы'!V4</f>
        <v/>
      </c>
      <c r="W1569">
        <f>'06_Сеть_и_дети'!W5*'19_Расчет_аналитики'!$F$1223*'19_Расчет_аналитики'!$F$1224*'18_Календарь_тарифы'!W4</f>
        <v/>
      </c>
      <c r="X1569">
        <f>'06_Сеть_и_дети'!X5*'19_Расчет_аналитики'!$F$1223*'19_Расчет_аналитики'!$F$1224*'18_Календарь_тарифы'!X4</f>
        <v/>
      </c>
      <c r="Y1569">
        <f>'06_Сеть_и_дети'!Y5*'19_Расчет_аналитики'!$F$1223*'19_Расчет_аналитики'!$F$1224*'18_Календарь_тарифы'!Y4</f>
        <v/>
      </c>
      <c r="Z1569">
        <f>'06_Сеть_и_дети'!Z5*'19_Расчет_аналитики'!$F$1223*'19_Расчет_аналитики'!$F$1224*'18_Календарь_тарифы'!Z4</f>
        <v/>
      </c>
      <c r="AA1569">
        <f>'06_Сеть_и_дети'!AA5*'19_Расчет_аналитики'!$F$1223*'19_Расчет_аналитики'!$F$1224*'18_Календарь_тарифы'!AA4</f>
        <v/>
      </c>
      <c r="AB1569">
        <f>'06_Сеть_и_дети'!AB5*'19_Расчет_аналитики'!$F$1223*'19_Расчет_аналитики'!$F$1224*'18_Календарь_тарифы'!AB4</f>
        <v/>
      </c>
      <c r="AC1569">
        <f>'06_Сеть_и_дети'!AC5*'19_Расчет_аналитики'!$F$1223*'19_Расчет_аналитики'!$F$1224*'18_Календарь_тарифы'!AC4</f>
        <v/>
      </c>
      <c r="AD1569">
        <f>'06_Сеть_и_дети'!AD5*'19_Расчет_аналитики'!$F$1223*'19_Расчет_аналитики'!$F$1224*'18_Календарь_тарифы'!AD4</f>
        <v/>
      </c>
      <c r="AE1569">
        <f>'06_Сеть_и_дети'!AE5*'19_Расчет_аналитики'!$F$1223*'19_Расчет_аналитики'!$F$1224*'18_Календарь_тарифы'!AE4</f>
        <v/>
      </c>
      <c r="AF1569">
        <f>'06_Сеть_и_дети'!AF5*'19_Расчет_аналитики'!$F$1223*'19_Расчет_аналитики'!$F$1224*'18_Календарь_тарифы'!AF4</f>
        <v/>
      </c>
      <c r="AG1569">
        <f>'06_Сеть_и_дети'!AG5*'19_Расчет_аналитики'!$F$1223*'19_Расчет_аналитики'!$F$1224*'18_Календарь_тарифы'!AG4</f>
        <v/>
      </c>
      <c r="AH1569">
        <f>'06_Сеть_и_дети'!AH5*'19_Расчет_аналитики'!$F$1223*'19_Расчет_аналитики'!$F$1224*'18_Календарь_тарифы'!AH4</f>
        <v/>
      </c>
      <c r="AI1569">
        <f>'06_Сеть_и_дети'!AI5*'19_Расчет_аналитики'!$F$1223*'19_Расчет_аналитики'!$F$1224*'18_Календарь_тарифы'!AI4</f>
        <v/>
      </c>
      <c r="AJ1569">
        <f>'06_Сеть_и_дети'!AJ5*'19_Расчет_аналитики'!$F$1223*'19_Расчет_аналитики'!$F$1224*'18_Календарь_тарифы'!AJ4</f>
        <v/>
      </c>
      <c r="AK1569">
        <f>'06_Сеть_и_дети'!AK5*'19_Расчет_аналитики'!$F$1223*'19_Расчет_аналитики'!$F$1224*'18_Календарь_тарифы'!AK4</f>
        <v/>
      </c>
      <c r="AL1569">
        <f>'06_Сеть_и_дети'!AL5*'19_Расчет_аналитики'!$F$1223*'19_Расчет_аналитики'!$F$1224*'18_Календарь_тарифы'!AL4</f>
        <v/>
      </c>
      <c r="AM1569">
        <f>'06_Сеть_и_дети'!AM5*'19_Расчет_аналитики'!$F$1223*'19_Расчет_аналитики'!$F$1224*'18_Календарь_тарифы'!AM4</f>
        <v/>
      </c>
      <c r="AN1569">
        <f>'06_Сеть_и_дети'!AN5*'19_Расчет_аналитики'!$F$1223*'19_Расчет_аналитики'!$F$1224*'18_Календарь_тарифы'!AN4</f>
        <v/>
      </c>
      <c r="AO1569">
        <f>'06_Сеть_и_дети'!AO5*'19_Расчет_аналитики'!$F$1223*'19_Расчет_аналитики'!$F$1224*'18_Календарь_тарифы'!AO4</f>
        <v/>
      </c>
      <c r="AP1569">
        <f>'06_Сеть_и_дети'!AP5*'19_Расчет_аналитики'!$F$1223*'19_Расчет_аналитики'!$F$1224*'18_Календарь_тарифы'!AP4</f>
        <v/>
      </c>
      <c r="AQ1569">
        <f>'06_Сеть_и_дети'!AQ5*'19_Расчет_аналитики'!$F$1223*'19_Расчет_аналитики'!$F$1224*'18_Календарь_тарифы'!AQ4</f>
        <v/>
      </c>
      <c r="AR1569">
        <f>'06_Сеть_и_дети'!AR5*'19_Расчет_аналитики'!$F$1223*'19_Расчет_аналитики'!$F$1224*'18_Календарь_тарифы'!AR4</f>
        <v/>
      </c>
      <c r="AS1569">
        <f>'06_Сеть_и_дети'!AS5*'19_Расчет_аналитики'!$F$1223*'19_Расчет_аналитики'!$F$1224*'18_Календарь_тарифы'!AS4</f>
        <v/>
      </c>
      <c r="AT1569">
        <f>'06_Сеть_и_дети'!AT5*'19_Расчет_аналитики'!$F$1223*'19_Расчет_аналитики'!$F$1224*'18_Календарь_тарифы'!AT4</f>
        <v/>
      </c>
      <c r="AU1569">
        <f>'06_Сеть_и_дети'!AU5*'19_Расчет_аналитики'!$F$1223*'19_Расчет_аналитики'!$F$1224*'18_Календарь_тарифы'!AU4</f>
        <v/>
      </c>
      <c r="AV1569">
        <f>'06_Сеть_и_дети'!AV5*'19_Расчет_аналитики'!$F$1223*'19_Расчет_аналитики'!$F$1224*'18_Календарь_тарифы'!AV4</f>
        <v/>
      </c>
      <c r="AW1569">
        <f>'06_Сеть_и_дети'!AW5*'19_Расчет_аналитики'!$F$1223*'19_Расчет_аналитики'!$F$1224*'18_Календарь_тарифы'!AW4</f>
        <v/>
      </c>
      <c r="AX1569">
        <f>'06_Сеть_и_дети'!AX5*'19_Расчет_аналитики'!$F$1223*'19_Расчет_аналитики'!$F$1224*'18_Календарь_тарифы'!AX4</f>
        <v/>
      </c>
      <c r="AY1569">
        <f>'06_Сеть_и_дети'!AY5*'19_Расчет_аналитики'!$F$1223*'19_Расчет_аналитики'!$F$1224*'18_Календарь_тарифы'!AY4</f>
        <v/>
      </c>
      <c r="AZ1569">
        <f>'06_Сеть_и_дети'!AZ5*'19_Расчет_аналитики'!$F$1223*'19_Расчет_аналитики'!$F$1224*'18_Календарь_тарифы'!AZ4</f>
        <v/>
      </c>
      <c r="BA1569">
        <f>'06_Сеть_и_дети'!BA5*'19_Расчет_аналитики'!$F$1223*'19_Расчет_аналитики'!$F$1224*'18_Календарь_тарифы'!BA4</f>
        <v/>
      </c>
      <c r="BB1569">
        <f>'06_Сеть_и_дети'!BB5*'19_Расчет_аналитики'!$F$1223*'19_Расчет_аналитики'!$F$1224*'18_Календарь_тарифы'!BB4</f>
        <v/>
      </c>
      <c r="BC1569">
        <f>'06_Сеть_и_дети'!BC5*'19_Расчет_аналитики'!$F$1223*'19_Расчет_аналитики'!$F$1224*'18_Календарь_тарифы'!BC4</f>
        <v/>
      </c>
      <c r="BD1569">
        <f>'06_Сеть_и_дети'!BD5*'19_Расчет_аналитики'!$F$1223*'19_Расчет_аналитики'!$F$1224*'18_Календарь_тарифы'!BD4</f>
        <v/>
      </c>
      <c r="BE1569">
        <f>'06_Сеть_и_дети'!BE5*'19_Расчет_аналитики'!$F$1223*'19_Расчет_аналитики'!$F$1224*'18_Календарь_тарифы'!BE4</f>
        <v/>
      </c>
      <c r="BF1569">
        <f>'06_Сеть_и_дети'!BF5*'19_Расчет_аналитики'!$F$1223*'19_Расчет_аналитики'!$F$1224*'18_Календарь_тарифы'!BF4</f>
        <v/>
      </c>
      <c r="BG1569">
        <f>'06_Сеть_и_дети'!BG5*'19_Расчет_аналитики'!$F$1223*'19_Расчет_аналитики'!$F$1224*'18_Календарь_тарифы'!BG4</f>
        <v/>
      </c>
      <c r="BH1569">
        <f>'06_Сеть_и_дети'!BH5*'19_Расчет_аналитики'!$F$1223*'19_Расчет_аналитики'!$F$1224*'18_Календарь_тарифы'!BH4</f>
        <v/>
      </c>
      <c r="BI1569">
        <f>'06_Сеть_и_дети'!BI5*'19_Расчет_аналитики'!$F$1223*'19_Расчет_аналитики'!$F$1224*'18_Календарь_тарифы'!BI4</f>
        <v/>
      </c>
      <c r="BJ1569">
        <f>'06_Сеть_и_дети'!BJ5*'19_Расчет_аналитики'!$F$1223*'19_Расчет_аналитики'!$F$1224*'18_Календарь_тарифы'!BJ4</f>
        <v/>
      </c>
      <c r="BK1569">
        <f>'06_Сеть_и_дети'!BK5*'19_Расчет_аналитики'!$F$1223*'19_Расчет_аналитики'!$F$1224*'18_Календарь_тарифы'!BK4</f>
        <v/>
      </c>
      <c r="BL1569">
        <f>'06_Сеть_и_дети'!BL5*'19_Расчет_аналитики'!$F$1223*'19_Расчет_аналитики'!$F$1224*'18_Календарь_тарифы'!BL4</f>
        <v/>
      </c>
      <c r="BM1569">
        <f>'06_Сеть_и_дети'!BM5*'19_Расчет_аналитики'!$F$1223*'19_Расчет_аналитики'!$F$1224*'18_Календарь_тарифы'!BM4</f>
        <v/>
      </c>
      <c r="BN1569">
        <f>'06_Сеть_и_дети'!BN5*'19_Расчет_аналитики'!$F$1223*'19_Расчет_аналитики'!$F$1224*'18_Календарь_тарифы'!BN4</f>
        <v/>
      </c>
      <c r="BO1569">
        <f>'06_Сеть_и_дети'!BO5*'19_Расчет_аналитики'!$F$1223*'19_Расчет_аналитики'!$F$1224*'18_Календарь_тарифы'!BO4</f>
        <v/>
      </c>
    </row>
    <row r="1570"/>
    <row r="1571">
      <c r="B1571">
        <f>'19_Расчет_аналитики'!B1569*IF('06_Сеть_и_дети'!B$3&gt;='01_Вводные'!$B$245,'01_Вводные'!$B$57,'01_Вводные'!$B$55)</f>
        <v/>
      </c>
      <c r="C1571">
        <f>'19_Расчет_аналитики'!C1569*IF('06_Сеть_и_дети'!C$3&gt;='01_Вводные'!$B$245,'01_Вводные'!$B$57,'01_Вводные'!$B$55)</f>
        <v/>
      </c>
      <c r="D1571">
        <f>'19_Расчет_аналитики'!D1569*IF('06_Сеть_и_дети'!D$3&gt;='01_Вводные'!$B$245,'01_Вводные'!$B$57,'01_Вводные'!$B$55)</f>
        <v/>
      </c>
      <c r="E1571">
        <f>'19_Расчет_аналитики'!E1569*IF('06_Сеть_и_дети'!E$3&gt;='01_Вводные'!$B$245,'01_Вводные'!$B$57,'01_Вводные'!$B$55)</f>
        <v/>
      </c>
      <c r="F1571">
        <f>'19_Расчет_аналитики'!F1569*IF('06_Сеть_и_дети'!F$3&gt;='01_Вводные'!$B$245,'01_Вводные'!$B$57,'01_Вводные'!$B$55)</f>
        <v/>
      </c>
      <c r="G1571">
        <f>'19_Расчет_аналитики'!G1569*IF('06_Сеть_и_дети'!G$3&gt;='01_Вводные'!$B$245,'01_Вводные'!$B$57,'01_Вводные'!$B$55)</f>
        <v/>
      </c>
      <c r="H1571">
        <f>'19_Расчет_аналитики'!H1569*IF('06_Сеть_и_дети'!H$3&gt;='01_Вводные'!$B$245,'01_Вводные'!$B$57,'01_Вводные'!$B$55)</f>
        <v/>
      </c>
      <c r="I1571">
        <f>'19_Расчет_аналитики'!I1569*IF('06_Сеть_и_дети'!I$3&gt;='01_Вводные'!$B$245,'01_Вводные'!$B$57,'01_Вводные'!$B$55)</f>
        <v/>
      </c>
      <c r="J1571">
        <f>'19_Расчет_аналитики'!J1569*IF('06_Сеть_и_дети'!J$3&gt;='01_Вводные'!$B$245,'01_Вводные'!$B$57,'01_Вводные'!$B$55)</f>
        <v/>
      </c>
      <c r="K1571">
        <f>'19_Расчет_аналитики'!K1569*IF('06_Сеть_и_дети'!K$3&gt;='01_Вводные'!$B$245,'01_Вводные'!$B$57,'01_Вводные'!$B$55)</f>
        <v/>
      </c>
      <c r="L1571">
        <f>'19_Расчет_аналитики'!L1569*IF('06_Сеть_и_дети'!L$3&gt;='01_Вводные'!$B$245,'01_Вводные'!$B$57,'01_Вводные'!$B$55)</f>
        <v/>
      </c>
      <c r="M1571">
        <f>'19_Расчет_аналитики'!M1569*IF('06_Сеть_и_дети'!M$3&gt;='01_Вводные'!$B$245,'01_Вводные'!$B$57,'01_Вводные'!$B$55)</f>
        <v/>
      </c>
      <c r="N1571">
        <f>'19_Расчет_аналитики'!N1569*IF('06_Сеть_и_дети'!N$3&gt;='01_Вводные'!$B$245,'01_Вводные'!$B$57,'01_Вводные'!$B$55)</f>
        <v/>
      </c>
      <c r="O1571">
        <f>'19_Расчет_аналитики'!O1569*IF('06_Сеть_и_дети'!O$3&gt;='01_Вводные'!$B$245,'01_Вводные'!$B$57,'01_Вводные'!$B$55)</f>
        <v/>
      </c>
      <c r="P1571">
        <f>'19_Расчет_аналитики'!P1569*IF('06_Сеть_и_дети'!P$3&gt;='01_Вводные'!$B$245,'01_Вводные'!$B$57,'01_Вводные'!$B$55)</f>
        <v/>
      </c>
      <c r="Q1571">
        <f>'19_Расчет_аналитики'!Q1569*IF('06_Сеть_и_дети'!Q$3&gt;='01_Вводные'!$B$245,'01_Вводные'!$B$57,'01_Вводные'!$B$55)</f>
        <v/>
      </c>
      <c r="R1571">
        <f>'19_Расчет_аналитики'!R1569*IF('06_Сеть_и_дети'!R$3&gt;='01_Вводные'!$B$245,'01_Вводные'!$B$57,'01_Вводные'!$B$55)</f>
        <v/>
      </c>
      <c r="S1571">
        <f>'19_Расчет_аналитики'!S1569*IF('06_Сеть_и_дети'!S$3&gt;='01_Вводные'!$B$245,'01_Вводные'!$B$57,'01_Вводные'!$B$55)</f>
        <v/>
      </c>
      <c r="T1571">
        <f>'19_Расчет_аналитики'!T1569*IF('06_Сеть_и_дети'!T$3&gt;='01_Вводные'!$B$245,'01_Вводные'!$B$57,'01_Вводные'!$B$55)</f>
        <v/>
      </c>
      <c r="U1571">
        <f>'19_Расчет_аналитики'!U1569*IF('06_Сеть_и_дети'!U$3&gt;='01_Вводные'!$B$245,'01_Вводные'!$B$57,'01_Вводные'!$B$55)</f>
        <v/>
      </c>
      <c r="V1571">
        <f>'19_Расчет_аналитики'!V1569*IF('06_Сеть_и_дети'!V$3&gt;='01_Вводные'!$B$245,'01_Вводные'!$B$57,'01_Вводные'!$B$55)</f>
        <v/>
      </c>
      <c r="W1571">
        <f>'19_Расчет_аналитики'!W1569*IF('06_Сеть_и_дети'!W$3&gt;='01_Вводные'!$B$245,'01_Вводные'!$B$57,'01_Вводные'!$B$55)</f>
        <v/>
      </c>
      <c r="X1571">
        <f>'19_Расчет_аналитики'!X1569*IF('06_Сеть_и_дети'!X$3&gt;='01_Вводные'!$B$245,'01_Вводные'!$B$57,'01_Вводные'!$B$55)</f>
        <v/>
      </c>
      <c r="Y1571">
        <f>'19_Расчет_аналитики'!Y1569*IF('06_Сеть_и_дети'!Y$3&gt;='01_Вводные'!$B$245,'01_Вводные'!$B$57,'01_Вводные'!$B$55)</f>
        <v/>
      </c>
      <c r="Z1571">
        <f>'19_Расчет_аналитики'!Z1569*IF('06_Сеть_и_дети'!Z$3&gt;='01_Вводные'!$B$245,'01_Вводные'!$B$57,'01_Вводные'!$B$55)</f>
        <v/>
      </c>
      <c r="AA1571">
        <f>'19_Расчет_аналитики'!AA1569*IF('06_Сеть_и_дети'!AA$3&gt;='01_Вводные'!$B$245,'01_Вводные'!$B$57,'01_Вводные'!$B$55)</f>
        <v/>
      </c>
      <c r="AB1571">
        <f>'19_Расчет_аналитики'!AB1569*IF('06_Сеть_и_дети'!AB$3&gt;='01_Вводные'!$B$245,'01_Вводные'!$B$57,'01_Вводные'!$B$55)</f>
        <v/>
      </c>
      <c r="AC1571">
        <f>'19_Расчет_аналитики'!AC1569*IF('06_Сеть_и_дети'!AC$3&gt;='01_Вводные'!$B$245,'01_Вводные'!$B$57,'01_Вводные'!$B$55)</f>
        <v/>
      </c>
      <c r="AD1571">
        <f>'19_Расчет_аналитики'!AD1569*IF('06_Сеть_и_дети'!AD$3&gt;='01_Вводные'!$B$245,'01_Вводные'!$B$57,'01_Вводные'!$B$55)</f>
        <v/>
      </c>
      <c r="AE1571">
        <f>'19_Расчет_аналитики'!AE1569*IF('06_Сеть_и_дети'!AE$3&gt;='01_Вводные'!$B$245,'01_Вводные'!$B$57,'01_Вводные'!$B$55)</f>
        <v/>
      </c>
      <c r="AF1571">
        <f>'19_Расчет_аналитики'!AF1569*IF('06_Сеть_и_дети'!AF$3&gt;='01_Вводные'!$B$245,'01_Вводные'!$B$57,'01_Вводные'!$B$55)</f>
        <v/>
      </c>
      <c r="AG1571">
        <f>'19_Расчет_аналитики'!AG1569*IF('06_Сеть_и_дети'!AG$3&gt;='01_Вводные'!$B$245,'01_Вводные'!$B$57,'01_Вводные'!$B$55)</f>
        <v/>
      </c>
      <c r="AH1571">
        <f>'19_Расчет_аналитики'!AH1569*IF('06_Сеть_и_дети'!AH$3&gt;='01_Вводные'!$B$245,'01_Вводные'!$B$57,'01_Вводные'!$B$55)</f>
        <v/>
      </c>
      <c r="AI1571">
        <f>'19_Расчет_аналитики'!AI1569*IF('06_Сеть_и_дети'!AI$3&gt;='01_Вводные'!$B$245,'01_Вводные'!$B$57,'01_Вводные'!$B$55)</f>
        <v/>
      </c>
      <c r="AJ1571">
        <f>'19_Расчет_аналитики'!AJ1569*IF('06_Сеть_и_дети'!AJ$3&gt;='01_Вводные'!$B$245,'01_Вводные'!$B$57,'01_Вводные'!$B$55)</f>
        <v/>
      </c>
      <c r="AK1571">
        <f>'19_Расчет_аналитики'!AK1569*IF('06_Сеть_и_дети'!AK$3&gt;='01_Вводные'!$B$245,'01_Вводные'!$B$57,'01_Вводные'!$B$55)</f>
        <v/>
      </c>
      <c r="AL1571">
        <f>'19_Расчет_аналитики'!AL1569*IF('06_Сеть_и_дети'!AL$3&gt;='01_Вводные'!$B$245,'01_Вводные'!$B$57,'01_Вводные'!$B$55)</f>
        <v/>
      </c>
      <c r="AM1571">
        <f>'19_Расчет_аналитики'!AM1569*IF('06_Сеть_и_дети'!AM$3&gt;='01_Вводные'!$B$245,'01_Вводные'!$B$57,'01_Вводные'!$B$55)</f>
        <v/>
      </c>
      <c r="AN1571">
        <f>'19_Расчет_аналитики'!AN1569*IF('06_Сеть_и_дети'!AN$3&gt;='01_Вводные'!$B$245,'01_Вводные'!$B$57,'01_Вводные'!$B$55)</f>
        <v/>
      </c>
      <c r="AO1571">
        <f>'19_Расчет_аналитики'!AO1569*IF('06_Сеть_и_дети'!AO$3&gt;='01_Вводные'!$B$245,'01_Вводные'!$B$57,'01_Вводные'!$B$55)</f>
        <v/>
      </c>
      <c r="AP1571">
        <f>'19_Расчет_аналитики'!AP1569*IF('06_Сеть_и_дети'!AP$3&gt;='01_Вводные'!$B$245,'01_Вводные'!$B$57,'01_Вводные'!$B$55)</f>
        <v/>
      </c>
      <c r="AQ1571">
        <f>'19_Расчет_аналитики'!AQ1569*IF('06_Сеть_и_дети'!AQ$3&gt;='01_Вводные'!$B$245,'01_Вводные'!$B$57,'01_Вводные'!$B$55)</f>
        <v/>
      </c>
      <c r="AR1571">
        <f>'19_Расчет_аналитики'!AR1569*IF('06_Сеть_и_дети'!AR$3&gt;='01_Вводные'!$B$245,'01_Вводные'!$B$57,'01_Вводные'!$B$55)</f>
        <v/>
      </c>
      <c r="AS1571">
        <f>'19_Расчет_аналитики'!AS1569*IF('06_Сеть_и_дети'!AS$3&gt;='01_Вводные'!$B$245,'01_Вводные'!$B$57,'01_Вводные'!$B$55)</f>
        <v/>
      </c>
      <c r="AT1571">
        <f>'19_Расчет_аналитики'!AT1569*IF('06_Сеть_и_дети'!AT$3&gt;='01_Вводные'!$B$245,'01_Вводные'!$B$57,'01_Вводные'!$B$55)</f>
        <v/>
      </c>
      <c r="AU1571">
        <f>'19_Расчет_аналитики'!AU1569*IF('06_Сеть_и_дети'!AU$3&gt;='01_Вводные'!$B$245,'01_Вводные'!$B$57,'01_Вводные'!$B$55)</f>
        <v/>
      </c>
      <c r="AV1571">
        <f>'19_Расчет_аналитики'!AV1569*IF('06_Сеть_и_дети'!AV$3&gt;='01_Вводные'!$B$245,'01_Вводные'!$B$57,'01_Вводные'!$B$55)</f>
        <v/>
      </c>
      <c r="AW1571">
        <f>'19_Расчет_аналитики'!AW1569*IF('06_Сеть_и_дети'!AW$3&gt;='01_Вводные'!$B$245,'01_Вводные'!$B$57,'01_Вводные'!$B$55)</f>
        <v/>
      </c>
      <c r="AX1571">
        <f>'19_Расчет_аналитики'!AX1569*IF('06_Сеть_и_дети'!AX$3&gt;='01_Вводные'!$B$245,'01_Вводные'!$B$57,'01_Вводные'!$B$55)</f>
        <v/>
      </c>
      <c r="AY1571">
        <f>'19_Расчет_аналитики'!AY1569*IF('06_Сеть_и_дети'!AY$3&gt;='01_Вводные'!$B$245,'01_Вводные'!$B$57,'01_Вводные'!$B$55)</f>
        <v/>
      </c>
      <c r="AZ1571">
        <f>'19_Расчет_аналитики'!AZ1569*IF('06_Сеть_и_дети'!AZ$3&gt;='01_Вводные'!$B$245,'01_Вводные'!$B$57,'01_Вводные'!$B$55)</f>
        <v/>
      </c>
      <c r="BA1571">
        <f>'19_Расчет_аналитики'!BA1569*IF('06_Сеть_и_дети'!BA$3&gt;='01_Вводные'!$B$245,'01_Вводные'!$B$57,'01_Вводные'!$B$55)</f>
        <v/>
      </c>
      <c r="BB1571">
        <f>'19_Расчет_аналитики'!BB1569*IF('06_Сеть_и_дети'!BB$3&gt;='01_Вводные'!$B$245,'01_Вводные'!$B$57,'01_Вводные'!$B$55)</f>
        <v/>
      </c>
      <c r="BC1571">
        <f>'19_Расчет_аналитики'!BC1569*IF('06_Сеть_и_дети'!BC$3&gt;='01_Вводные'!$B$245,'01_Вводные'!$B$57,'01_Вводные'!$B$55)</f>
        <v/>
      </c>
      <c r="BD1571">
        <f>'19_Расчет_аналитики'!BD1569*IF('06_Сеть_и_дети'!BD$3&gt;='01_Вводные'!$B$245,'01_Вводные'!$B$57,'01_Вводные'!$B$55)</f>
        <v/>
      </c>
      <c r="BE1571">
        <f>'19_Расчет_аналитики'!BE1569*IF('06_Сеть_и_дети'!BE$3&gt;='01_Вводные'!$B$245,'01_Вводные'!$B$57,'01_Вводные'!$B$55)</f>
        <v/>
      </c>
      <c r="BF1571">
        <f>'19_Расчет_аналитики'!BF1569*IF('06_Сеть_и_дети'!BF$3&gt;='01_Вводные'!$B$245,'01_Вводные'!$B$57,'01_Вводные'!$B$55)</f>
        <v/>
      </c>
      <c r="BG1571">
        <f>'19_Расчет_аналитики'!BG1569*IF('06_Сеть_и_дети'!BG$3&gt;='01_Вводные'!$B$245,'01_Вводные'!$B$57,'01_Вводные'!$B$55)</f>
        <v/>
      </c>
      <c r="BH1571">
        <f>'19_Расчет_аналитики'!BH1569*IF('06_Сеть_и_дети'!BH$3&gt;='01_Вводные'!$B$245,'01_Вводные'!$B$57,'01_Вводные'!$B$55)</f>
        <v/>
      </c>
      <c r="BI1571">
        <f>'19_Расчет_аналитики'!BI1569*IF('06_Сеть_и_дети'!BI$3&gt;='01_Вводные'!$B$245,'01_Вводные'!$B$57,'01_Вводные'!$B$55)</f>
        <v/>
      </c>
      <c r="BJ1571">
        <f>'19_Расчет_аналитики'!BJ1569*IF('06_Сеть_и_дети'!BJ$3&gt;='01_Вводные'!$B$245,'01_Вводные'!$B$57,'01_Вводные'!$B$55)</f>
        <v/>
      </c>
      <c r="BK1571">
        <f>'19_Расчет_аналитики'!BK1569*IF('06_Сеть_и_дети'!BK$3&gt;='01_Вводные'!$B$245,'01_Вводные'!$B$57,'01_Вводные'!$B$55)</f>
        <v/>
      </c>
      <c r="BL1571">
        <f>'19_Расчет_аналитики'!BL1569*IF('06_Сеть_и_дети'!BL$3&gt;='01_Вводные'!$B$245,'01_Вводные'!$B$57,'01_Вводные'!$B$55)</f>
        <v/>
      </c>
      <c r="BM1571">
        <f>'19_Расчет_аналитики'!BM1569*IF('06_Сеть_и_дети'!BM$3&gt;='01_Вводные'!$B$245,'01_Вводные'!$B$57,'01_Вводные'!$B$55)</f>
        <v/>
      </c>
      <c r="BN1571">
        <f>'19_Расчет_аналитики'!BN1569*IF('06_Сеть_и_дети'!BN$3&gt;='01_Вводные'!$B$245,'01_Вводные'!$B$57,'01_Вводные'!$B$55)</f>
        <v/>
      </c>
      <c r="BO1571">
        <f>'19_Расчет_аналитики'!BO1569*IF('06_Сеть_и_дети'!BO$3&gt;='01_Вводные'!$B$245,'01_Вводные'!$B$57,'01_Вводные'!$B$55)</f>
        <v/>
      </c>
    </row>
    <row r="1572">
      <c r="B1572">
        <f>'19_Расчет_аналитики'!B1569*IF('06_Сеть_и_дети'!B$3&gt;='01_Вводные'!$B$245,'01_Вводные'!$B$57,'01_Вводные'!$B$56)</f>
        <v/>
      </c>
      <c r="C1572">
        <f>'19_Расчет_аналитики'!C1569*IF('06_Сеть_и_дети'!C$3&gt;='01_Вводные'!$B$245,'01_Вводные'!$B$57,'01_Вводные'!$B$56)</f>
        <v/>
      </c>
      <c r="D1572">
        <f>'19_Расчет_аналитики'!D1569*IF('06_Сеть_и_дети'!D$3&gt;='01_Вводные'!$B$245,'01_Вводные'!$B$57,'01_Вводные'!$B$56)</f>
        <v/>
      </c>
      <c r="E1572">
        <f>'19_Расчет_аналитики'!E1569*IF('06_Сеть_и_дети'!E$3&gt;='01_Вводные'!$B$245,'01_Вводные'!$B$57,'01_Вводные'!$B$56)</f>
        <v/>
      </c>
      <c r="F1572">
        <f>'19_Расчет_аналитики'!F1569*IF('06_Сеть_и_дети'!F$3&gt;='01_Вводные'!$B$245,'01_Вводные'!$B$57,'01_Вводные'!$B$56)</f>
        <v/>
      </c>
      <c r="G1572">
        <f>'19_Расчет_аналитики'!G1569*IF('06_Сеть_и_дети'!G$3&gt;='01_Вводные'!$B$245,'01_Вводные'!$B$57,'01_Вводные'!$B$56)</f>
        <v/>
      </c>
      <c r="H1572">
        <f>'19_Расчет_аналитики'!H1569*IF('06_Сеть_и_дети'!H$3&gt;='01_Вводные'!$B$245,'01_Вводные'!$B$57,'01_Вводные'!$B$56)</f>
        <v/>
      </c>
      <c r="I1572">
        <f>'19_Расчет_аналитики'!I1569*IF('06_Сеть_и_дети'!I$3&gt;='01_Вводные'!$B$245,'01_Вводные'!$B$57,'01_Вводные'!$B$56)</f>
        <v/>
      </c>
      <c r="J1572">
        <f>'19_Расчет_аналитики'!J1569*IF('06_Сеть_и_дети'!J$3&gt;='01_Вводные'!$B$245,'01_Вводные'!$B$57,'01_Вводные'!$B$56)</f>
        <v/>
      </c>
      <c r="K1572">
        <f>'19_Расчет_аналитики'!K1569*IF('06_Сеть_и_дети'!K$3&gt;='01_Вводные'!$B$245,'01_Вводные'!$B$57,'01_Вводные'!$B$56)</f>
        <v/>
      </c>
      <c r="L1572">
        <f>'19_Расчет_аналитики'!L1569*IF('06_Сеть_и_дети'!L$3&gt;='01_Вводные'!$B$245,'01_Вводные'!$B$57,'01_Вводные'!$B$56)</f>
        <v/>
      </c>
      <c r="M1572">
        <f>'19_Расчет_аналитики'!M1569*IF('06_Сеть_и_дети'!M$3&gt;='01_Вводные'!$B$245,'01_Вводные'!$B$57,'01_Вводные'!$B$56)</f>
        <v/>
      </c>
      <c r="N1572">
        <f>'19_Расчет_аналитики'!N1569*IF('06_Сеть_и_дети'!N$3&gt;='01_Вводные'!$B$245,'01_Вводные'!$B$57,'01_Вводные'!$B$56)</f>
        <v/>
      </c>
      <c r="O1572">
        <f>'19_Расчет_аналитики'!O1569*IF('06_Сеть_и_дети'!O$3&gt;='01_Вводные'!$B$245,'01_Вводные'!$B$57,'01_Вводные'!$B$56)</f>
        <v/>
      </c>
      <c r="P1572">
        <f>'19_Расчет_аналитики'!P1569*IF('06_Сеть_и_дети'!P$3&gt;='01_Вводные'!$B$245,'01_Вводные'!$B$57,'01_Вводные'!$B$56)</f>
        <v/>
      </c>
      <c r="Q1572">
        <f>'19_Расчет_аналитики'!Q1569*IF('06_Сеть_и_дети'!Q$3&gt;='01_Вводные'!$B$245,'01_Вводные'!$B$57,'01_Вводные'!$B$56)</f>
        <v/>
      </c>
      <c r="R1572">
        <f>'19_Расчет_аналитики'!R1569*IF('06_Сеть_и_дети'!R$3&gt;='01_Вводные'!$B$245,'01_Вводные'!$B$57,'01_Вводные'!$B$56)</f>
        <v/>
      </c>
      <c r="S1572">
        <f>'19_Расчет_аналитики'!S1569*IF('06_Сеть_и_дети'!S$3&gt;='01_Вводные'!$B$245,'01_Вводные'!$B$57,'01_Вводные'!$B$56)</f>
        <v/>
      </c>
      <c r="T1572">
        <f>'19_Расчет_аналитики'!T1569*IF('06_Сеть_и_дети'!T$3&gt;='01_Вводные'!$B$245,'01_Вводные'!$B$57,'01_Вводные'!$B$56)</f>
        <v/>
      </c>
      <c r="U1572">
        <f>'19_Расчет_аналитики'!U1569*IF('06_Сеть_и_дети'!U$3&gt;='01_Вводные'!$B$245,'01_Вводные'!$B$57,'01_Вводные'!$B$56)</f>
        <v/>
      </c>
      <c r="V1572">
        <f>'19_Расчет_аналитики'!V1569*IF('06_Сеть_и_дети'!V$3&gt;='01_Вводные'!$B$245,'01_Вводные'!$B$57,'01_Вводные'!$B$56)</f>
        <v/>
      </c>
      <c r="W1572">
        <f>'19_Расчет_аналитики'!W1569*IF('06_Сеть_и_дети'!W$3&gt;='01_Вводные'!$B$245,'01_Вводные'!$B$57,'01_Вводные'!$B$56)</f>
        <v/>
      </c>
      <c r="X1572">
        <f>'19_Расчет_аналитики'!X1569*IF('06_Сеть_и_дети'!X$3&gt;='01_Вводные'!$B$245,'01_Вводные'!$B$57,'01_Вводные'!$B$56)</f>
        <v/>
      </c>
      <c r="Y1572">
        <f>'19_Расчет_аналитики'!Y1569*IF('06_Сеть_и_дети'!Y$3&gt;='01_Вводные'!$B$245,'01_Вводные'!$B$57,'01_Вводные'!$B$56)</f>
        <v/>
      </c>
      <c r="Z1572">
        <f>'19_Расчет_аналитики'!Z1569*IF('06_Сеть_и_дети'!Z$3&gt;='01_Вводные'!$B$245,'01_Вводные'!$B$57,'01_Вводные'!$B$56)</f>
        <v/>
      </c>
      <c r="AA1572">
        <f>'19_Расчет_аналитики'!AA1569*IF('06_Сеть_и_дети'!AA$3&gt;='01_Вводные'!$B$245,'01_Вводные'!$B$57,'01_Вводные'!$B$56)</f>
        <v/>
      </c>
      <c r="AB1572">
        <f>'19_Расчет_аналитики'!AB1569*IF('06_Сеть_и_дети'!AB$3&gt;='01_Вводные'!$B$245,'01_Вводные'!$B$57,'01_Вводные'!$B$56)</f>
        <v/>
      </c>
      <c r="AC1572">
        <f>'19_Расчет_аналитики'!AC1569*IF('06_Сеть_и_дети'!AC$3&gt;='01_Вводные'!$B$245,'01_Вводные'!$B$57,'01_Вводные'!$B$56)</f>
        <v/>
      </c>
      <c r="AD1572">
        <f>'19_Расчет_аналитики'!AD1569*IF('06_Сеть_и_дети'!AD$3&gt;='01_Вводные'!$B$245,'01_Вводные'!$B$57,'01_Вводные'!$B$56)</f>
        <v/>
      </c>
      <c r="AE1572">
        <f>'19_Расчет_аналитики'!AE1569*IF('06_Сеть_и_дети'!AE$3&gt;='01_Вводные'!$B$245,'01_Вводные'!$B$57,'01_Вводные'!$B$56)</f>
        <v/>
      </c>
      <c r="AF1572">
        <f>'19_Расчет_аналитики'!AF1569*IF('06_Сеть_и_дети'!AF$3&gt;='01_Вводные'!$B$245,'01_Вводные'!$B$57,'01_Вводные'!$B$56)</f>
        <v/>
      </c>
      <c r="AG1572">
        <f>'19_Расчет_аналитики'!AG1569*IF('06_Сеть_и_дети'!AG$3&gt;='01_Вводные'!$B$245,'01_Вводные'!$B$57,'01_Вводные'!$B$56)</f>
        <v/>
      </c>
      <c r="AH1572">
        <f>'19_Расчет_аналитики'!AH1569*IF('06_Сеть_и_дети'!AH$3&gt;='01_Вводные'!$B$245,'01_Вводные'!$B$57,'01_Вводные'!$B$56)</f>
        <v/>
      </c>
      <c r="AI1572">
        <f>'19_Расчет_аналитики'!AI1569*IF('06_Сеть_и_дети'!AI$3&gt;='01_Вводные'!$B$245,'01_Вводные'!$B$57,'01_Вводные'!$B$56)</f>
        <v/>
      </c>
      <c r="AJ1572">
        <f>'19_Расчет_аналитики'!AJ1569*IF('06_Сеть_и_дети'!AJ$3&gt;='01_Вводные'!$B$245,'01_Вводные'!$B$57,'01_Вводные'!$B$56)</f>
        <v/>
      </c>
      <c r="AK1572">
        <f>'19_Расчет_аналитики'!AK1569*IF('06_Сеть_и_дети'!AK$3&gt;='01_Вводные'!$B$245,'01_Вводные'!$B$57,'01_Вводные'!$B$56)</f>
        <v/>
      </c>
      <c r="AL1572">
        <f>'19_Расчет_аналитики'!AL1569*IF('06_Сеть_и_дети'!AL$3&gt;='01_Вводные'!$B$245,'01_Вводные'!$B$57,'01_Вводные'!$B$56)</f>
        <v/>
      </c>
      <c r="AM1572">
        <f>'19_Расчет_аналитики'!AM1569*IF('06_Сеть_и_дети'!AM$3&gt;='01_Вводные'!$B$245,'01_Вводные'!$B$57,'01_Вводные'!$B$56)</f>
        <v/>
      </c>
      <c r="AN1572">
        <f>'19_Расчет_аналитики'!AN1569*IF('06_Сеть_и_дети'!AN$3&gt;='01_Вводные'!$B$245,'01_Вводные'!$B$57,'01_Вводные'!$B$56)</f>
        <v/>
      </c>
      <c r="AO1572">
        <f>'19_Расчет_аналитики'!AO1569*IF('06_Сеть_и_дети'!AO$3&gt;='01_Вводные'!$B$245,'01_Вводные'!$B$57,'01_Вводные'!$B$56)</f>
        <v/>
      </c>
      <c r="AP1572">
        <f>'19_Расчет_аналитики'!AP1569*IF('06_Сеть_и_дети'!AP$3&gt;='01_Вводные'!$B$245,'01_Вводные'!$B$57,'01_Вводные'!$B$56)</f>
        <v/>
      </c>
      <c r="AQ1572">
        <f>'19_Расчет_аналитики'!AQ1569*IF('06_Сеть_и_дети'!AQ$3&gt;='01_Вводные'!$B$245,'01_Вводные'!$B$57,'01_Вводные'!$B$56)</f>
        <v/>
      </c>
      <c r="AR1572">
        <f>'19_Расчет_аналитики'!AR1569*IF('06_Сеть_и_дети'!AR$3&gt;='01_Вводные'!$B$245,'01_Вводные'!$B$57,'01_Вводные'!$B$56)</f>
        <v/>
      </c>
      <c r="AS1572">
        <f>'19_Расчет_аналитики'!AS1569*IF('06_Сеть_и_дети'!AS$3&gt;='01_Вводные'!$B$245,'01_Вводные'!$B$57,'01_Вводные'!$B$56)</f>
        <v/>
      </c>
      <c r="AT1572">
        <f>'19_Расчет_аналитики'!AT1569*IF('06_Сеть_и_дети'!AT$3&gt;='01_Вводные'!$B$245,'01_Вводные'!$B$57,'01_Вводные'!$B$56)</f>
        <v/>
      </c>
      <c r="AU1572">
        <f>'19_Расчет_аналитики'!AU1569*IF('06_Сеть_и_дети'!AU$3&gt;='01_Вводные'!$B$245,'01_Вводные'!$B$57,'01_Вводные'!$B$56)</f>
        <v/>
      </c>
      <c r="AV1572">
        <f>'19_Расчет_аналитики'!AV1569*IF('06_Сеть_и_дети'!AV$3&gt;='01_Вводные'!$B$245,'01_Вводные'!$B$57,'01_Вводные'!$B$56)</f>
        <v/>
      </c>
      <c r="AW1572">
        <f>'19_Расчет_аналитики'!AW1569*IF('06_Сеть_и_дети'!AW$3&gt;='01_Вводные'!$B$245,'01_Вводные'!$B$57,'01_Вводные'!$B$56)</f>
        <v/>
      </c>
      <c r="AX1572">
        <f>'19_Расчет_аналитики'!AX1569*IF('06_Сеть_и_дети'!AX$3&gt;='01_Вводные'!$B$245,'01_Вводные'!$B$57,'01_Вводные'!$B$56)</f>
        <v/>
      </c>
      <c r="AY1572">
        <f>'19_Расчет_аналитики'!AY1569*IF('06_Сеть_и_дети'!AY$3&gt;='01_Вводные'!$B$245,'01_Вводные'!$B$57,'01_Вводные'!$B$56)</f>
        <v/>
      </c>
      <c r="AZ1572">
        <f>'19_Расчет_аналитики'!AZ1569*IF('06_Сеть_и_дети'!AZ$3&gt;='01_Вводные'!$B$245,'01_Вводные'!$B$57,'01_Вводные'!$B$56)</f>
        <v/>
      </c>
      <c r="BA1572">
        <f>'19_Расчет_аналитики'!BA1569*IF('06_Сеть_и_дети'!BA$3&gt;='01_Вводные'!$B$245,'01_Вводные'!$B$57,'01_Вводные'!$B$56)</f>
        <v/>
      </c>
      <c r="BB1572">
        <f>'19_Расчет_аналитики'!BB1569*IF('06_Сеть_и_дети'!BB$3&gt;='01_Вводные'!$B$245,'01_Вводные'!$B$57,'01_Вводные'!$B$56)</f>
        <v/>
      </c>
      <c r="BC1572">
        <f>'19_Расчет_аналитики'!BC1569*IF('06_Сеть_и_дети'!BC$3&gt;='01_Вводные'!$B$245,'01_Вводные'!$B$57,'01_Вводные'!$B$56)</f>
        <v/>
      </c>
      <c r="BD1572">
        <f>'19_Расчет_аналитики'!BD1569*IF('06_Сеть_и_дети'!BD$3&gt;='01_Вводные'!$B$245,'01_Вводные'!$B$57,'01_Вводные'!$B$56)</f>
        <v/>
      </c>
      <c r="BE1572">
        <f>'19_Расчет_аналитики'!BE1569*IF('06_Сеть_и_дети'!BE$3&gt;='01_Вводные'!$B$245,'01_Вводные'!$B$57,'01_Вводные'!$B$56)</f>
        <v/>
      </c>
      <c r="BF1572">
        <f>'19_Расчет_аналитики'!BF1569*IF('06_Сеть_и_дети'!BF$3&gt;='01_Вводные'!$B$245,'01_Вводные'!$B$57,'01_Вводные'!$B$56)</f>
        <v/>
      </c>
      <c r="BG1572">
        <f>'19_Расчет_аналитики'!BG1569*IF('06_Сеть_и_дети'!BG$3&gt;='01_Вводные'!$B$245,'01_Вводные'!$B$57,'01_Вводные'!$B$56)</f>
        <v/>
      </c>
      <c r="BH1572">
        <f>'19_Расчет_аналитики'!BH1569*IF('06_Сеть_и_дети'!BH$3&gt;='01_Вводные'!$B$245,'01_Вводные'!$B$57,'01_Вводные'!$B$56)</f>
        <v/>
      </c>
      <c r="BI1572">
        <f>'19_Расчет_аналитики'!BI1569*IF('06_Сеть_и_дети'!BI$3&gt;='01_Вводные'!$B$245,'01_Вводные'!$B$57,'01_Вводные'!$B$56)</f>
        <v/>
      </c>
      <c r="BJ1572">
        <f>'19_Расчет_аналитики'!BJ1569*IF('06_Сеть_и_дети'!BJ$3&gt;='01_Вводные'!$B$245,'01_Вводные'!$B$57,'01_Вводные'!$B$56)</f>
        <v/>
      </c>
      <c r="BK1572">
        <f>'19_Расчет_аналитики'!BK1569*IF('06_Сеть_и_дети'!BK$3&gt;='01_Вводные'!$B$245,'01_Вводные'!$B$57,'01_Вводные'!$B$56)</f>
        <v/>
      </c>
      <c r="BL1572">
        <f>'19_Расчет_аналитики'!BL1569*IF('06_Сеть_и_дети'!BL$3&gt;='01_Вводные'!$B$245,'01_Вводные'!$B$57,'01_Вводные'!$B$56)</f>
        <v/>
      </c>
      <c r="BM1572">
        <f>'19_Расчет_аналитики'!BM1569*IF('06_Сеть_и_дети'!BM$3&gt;='01_Вводные'!$B$245,'01_Вводные'!$B$57,'01_Вводные'!$B$56)</f>
        <v/>
      </c>
      <c r="BN1572">
        <f>'19_Расчет_аналитики'!BN1569*IF('06_Сеть_и_дети'!BN$3&gt;='01_Вводные'!$B$245,'01_Вводные'!$B$57,'01_Вводные'!$B$56)</f>
        <v/>
      </c>
      <c r="BO1572">
        <f>'19_Расчет_аналитики'!BO1569*IF('06_Сеть_и_дети'!BO$3&gt;='01_Вводные'!$B$245,'01_Вводные'!$B$57,'01_Вводные'!$B$56)</f>
        <v/>
      </c>
    </row>
    <row r="1573">
      <c r="B1573">
        <f>SUM('19_Расчет_аналитики'!B1420:B1444)-'19_Расчет_аналитики'!B1383</f>
        <v/>
      </c>
      <c r="C1573">
        <f>SUM('19_Расчет_аналитики'!C1420:C1444)-'19_Расчет_аналитики'!C1383</f>
        <v/>
      </c>
      <c r="D1573">
        <f>SUM('19_Расчет_аналитики'!D1420:D1444)-'19_Расчет_аналитики'!D1383</f>
        <v/>
      </c>
      <c r="E1573">
        <f>SUM('19_Расчет_аналитики'!E1420:E1444)-'19_Расчет_аналитики'!E1383</f>
        <v/>
      </c>
      <c r="F1573">
        <f>SUM('19_Расчет_аналитики'!F1420:F1444)-'19_Расчет_аналитики'!F1383</f>
        <v/>
      </c>
      <c r="G1573">
        <f>SUM('19_Расчет_аналитики'!G1420:G1444)-'19_Расчет_аналитики'!G1383</f>
        <v/>
      </c>
      <c r="H1573">
        <f>SUM('19_Расчет_аналитики'!H1420:H1444)-'19_Расчет_аналитики'!H1383</f>
        <v/>
      </c>
      <c r="I1573">
        <f>SUM('19_Расчет_аналитики'!I1420:I1444)-'19_Расчет_аналитики'!I1383</f>
        <v/>
      </c>
      <c r="J1573">
        <f>SUM('19_Расчет_аналитики'!J1420:J1444)-'19_Расчет_аналитики'!J1383</f>
        <v/>
      </c>
      <c r="K1573">
        <f>SUM('19_Расчет_аналитики'!K1420:K1444)-'19_Расчет_аналитики'!K1383</f>
        <v/>
      </c>
      <c r="L1573">
        <f>SUM('19_Расчет_аналитики'!L1420:L1444)-'19_Расчет_аналитики'!L1383</f>
        <v/>
      </c>
      <c r="M1573">
        <f>SUM('19_Расчет_аналитики'!M1420:M1444)-'19_Расчет_аналитики'!M1383</f>
        <v/>
      </c>
      <c r="N1573">
        <f>SUM('19_Расчет_аналитики'!N1420:N1444)-'19_Расчет_аналитики'!N1383</f>
        <v/>
      </c>
      <c r="O1573">
        <f>SUM('19_Расчет_аналитики'!O1420:O1444)-'19_Расчет_аналитики'!O1383</f>
        <v/>
      </c>
      <c r="P1573">
        <f>SUM('19_Расчет_аналитики'!P1420:P1444)-'19_Расчет_аналитики'!P1383</f>
        <v/>
      </c>
      <c r="Q1573">
        <f>SUM('19_Расчет_аналитики'!Q1420:Q1444)-'19_Расчет_аналитики'!Q1383</f>
        <v/>
      </c>
      <c r="R1573">
        <f>SUM('19_Расчет_аналитики'!R1420:R1444)-'19_Расчет_аналитики'!R1383</f>
        <v/>
      </c>
      <c r="S1573">
        <f>SUM('19_Расчет_аналитики'!S1420:S1444)-'19_Расчет_аналитики'!S1383</f>
        <v/>
      </c>
      <c r="T1573">
        <f>SUM('19_Расчет_аналитики'!T1420:T1444)-'19_Расчет_аналитики'!T1383</f>
        <v/>
      </c>
      <c r="U1573">
        <f>SUM('19_Расчет_аналитики'!U1420:U1444)-'19_Расчет_аналитики'!U1383</f>
        <v/>
      </c>
      <c r="V1573">
        <f>SUM('19_Расчет_аналитики'!V1420:V1444)-'19_Расчет_аналитики'!V1383</f>
        <v/>
      </c>
      <c r="W1573">
        <f>SUM('19_Расчет_аналитики'!W1420:W1444)-'19_Расчет_аналитики'!W1383</f>
        <v/>
      </c>
      <c r="X1573">
        <f>SUM('19_Расчет_аналитики'!X1420:X1444)-'19_Расчет_аналитики'!X1383</f>
        <v/>
      </c>
      <c r="Y1573">
        <f>SUM('19_Расчет_аналитики'!Y1420:Y1444)-'19_Расчет_аналитики'!Y1383</f>
        <v/>
      </c>
      <c r="Z1573">
        <f>SUM('19_Расчет_аналитики'!Z1420:Z1444)-'19_Расчет_аналитики'!Z1383</f>
        <v/>
      </c>
      <c r="AA1573">
        <f>SUM('19_Расчет_аналитики'!AA1420:AA1444)-'19_Расчет_аналитики'!AA1383</f>
        <v/>
      </c>
      <c r="AB1573">
        <f>SUM('19_Расчет_аналитики'!AB1420:AB1444)-'19_Расчет_аналитики'!AB1383</f>
        <v/>
      </c>
      <c r="AC1573">
        <f>SUM('19_Расчет_аналитики'!AC1420:AC1444)-'19_Расчет_аналитики'!AC1383</f>
        <v/>
      </c>
      <c r="AD1573">
        <f>SUM('19_Расчет_аналитики'!AD1420:AD1444)-'19_Расчет_аналитики'!AD1383</f>
        <v/>
      </c>
      <c r="AE1573">
        <f>SUM('19_Расчет_аналитики'!AE1420:AE1444)-'19_Расчет_аналитики'!AE1383</f>
        <v/>
      </c>
      <c r="AF1573">
        <f>SUM('19_Расчет_аналитики'!AF1420:AF1444)-'19_Расчет_аналитики'!AF1383</f>
        <v/>
      </c>
      <c r="AG1573">
        <f>SUM('19_Расчет_аналитики'!AG1420:AG1444)-'19_Расчет_аналитики'!AG1383</f>
        <v/>
      </c>
      <c r="AH1573">
        <f>SUM('19_Расчет_аналитики'!AH1420:AH1444)-'19_Расчет_аналитики'!AH1383</f>
        <v/>
      </c>
      <c r="AI1573">
        <f>SUM('19_Расчет_аналитики'!AI1420:AI1444)-'19_Расчет_аналитики'!AI1383</f>
        <v/>
      </c>
      <c r="AJ1573">
        <f>SUM('19_Расчет_аналитики'!AJ1420:AJ1444)-'19_Расчет_аналитики'!AJ1383</f>
        <v/>
      </c>
      <c r="AK1573">
        <f>SUM('19_Расчет_аналитики'!AK1420:AK1444)-'19_Расчет_аналитики'!AK1383</f>
        <v/>
      </c>
      <c r="AL1573">
        <f>SUM('19_Расчет_аналитики'!AL1420:AL1444)-'19_Расчет_аналитики'!AL1383</f>
        <v/>
      </c>
      <c r="AM1573">
        <f>SUM('19_Расчет_аналитики'!AM1420:AM1444)-'19_Расчет_аналитики'!AM1383</f>
        <v/>
      </c>
      <c r="AN1573">
        <f>SUM('19_Расчет_аналитики'!AN1420:AN1444)-'19_Расчет_аналитики'!AN1383</f>
        <v/>
      </c>
      <c r="AO1573">
        <f>SUM('19_Расчет_аналитики'!AO1420:AO1444)-'19_Расчет_аналитики'!AO1383</f>
        <v/>
      </c>
      <c r="AP1573">
        <f>SUM('19_Расчет_аналитики'!AP1420:AP1444)-'19_Расчет_аналитики'!AP1383</f>
        <v/>
      </c>
      <c r="AQ1573">
        <f>SUM('19_Расчет_аналитики'!AQ1420:AQ1444)-'19_Расчет_аналитики'!AQ1383</f>
        <v/>
      </c>
      <c r="AR1573">
        <f>SUM('19_Расчет_аналитики'!AR1420:AR1444)-'19_Расчет_аналитики'!AR1383</f>
        <v/>
      </c>
      <c r="AS1573">
        <f>SUM('19_Расчет_аналитики'!AS1420:AS1444)-'19_Расчет_аналитики'!AS1383</f>
        <v/>
      </c>
      <c r="AT1573">
        <f>SUM('19_Расчет_аналитики'!AT1420:AT1444)-'19_Расчет_аналитики'!AT1383</f>
        <v/>
      </c>
      <c r="AU1573">
        <f>SUM('19_Расчет_аналитики'!AU1420:AU1444)-'19_Расчет_аналитики'!AU1383</f>
        <v/>
      </c>
      <c r="AV1573">
        <f>SUM('19_Расчет_аналитики'!AV1420:AV1444)-'19_Расчет_аналитики'!AV1383</f>
        <v/>
      </c>
      <c r="AW1573">
        <f>SUM('19_Расчет_аналитики'!AW1420:AW1444)-'19_Расчет_аналитики'!AW1383</f>
        <v/>
      </c>
      <c r="AX1573">
        <f>SUM('19_Расчет_аналитики'!AX1420:AX1444)-'19_Расчет_аналитики'!AX1383</f>
        <v/>
      </c>
      <c r="AY1573">
        <f>SUM('19_Расчет_аналитики'!AY1420:AY1444)-'19_Расчет_аналитики'!AY1383</f>
        <v/>
      </c>
      <c r="AZ1573">
        <f>SUM('19_Расчет_аналитики'!AZ1420:AZ1444)-'19_Расчет_аналитики'!AZ1383</f>
        <v/>
      </c>
      <c r="BA1573">
        <f>SUM('19_Расчет_аналитики'!BA1420:BA1444)-'19_Расчет_аналитики'!BA1383</f>
        <v/>
      </c>
      <c r="BB1573">
        <f>SUM('19_Расчет_аналитики'!BB1420:BB1444)-'19_Расчет_аналитики'!BB1383</f>
        <v/>
      </c>
      <c r="BC1573">
        <f>SUM('19_Расчет_аналитики'!BC1420:BC1444)-'19_Расчет_аналитики'!BC1383</f>
        <v/>
      </c>
      <c r="BD1573">
        <f>SUM('19_Расчет_аналитики'!BD1420:BD1444)-'19_Расчет_аналитики'!BD1383</f>
        <v/>
      </c>
      <c r="BE1573">
        <f>SUM('19_Расчет_аналитики'!BE1420:BE1444)-'19_Расчет_аналитики'!BE1383</f>
        <v/>
      </c>
      <c r="BF1573">
        <f>SUM('19_Расчет_аналитики'!BF1420:BF1444)-'19_Расчет_аналитики'!BF1383</f>
        <v/>
      </c>
      <c r="BG1573">
        <f>SUM('19_Расчет_аналитики'!BG1420:BG1444)-'19_Расчет_аналитики'!BG1383</f>
        <v/>
      </c>
      <c r="BH1573">
        <f>SUM('19_Расчет_аналитики'!BH1420:BH1444)-'19_Расчет_аналитики'!BH1383</f>
        <v/>
      </c>
      <c r="BI1573">
        <f>SUM('19_Расчет_аналитики'!BI1420:BI1444)-'19_Расчет_аналитики'!BI1383</f>
        <v/>
      </c>
      <c r="BJ1573">
        <f>SUM('19_Расчет_аналитики'!BJ1420:BJ1444)-'19_Расчет_аналитики'!BJ1383</f>
        <v/>
      </c>
      <c r="BK1573">
        <f>SUM('19_Расчет_аналитики'!BK1420:BK1444)-'19_Расчет_аналитики'!BK1383</f>
        <v/>
      </c>
      <c r="BL1573">
        <f>SUM('19_Расчет_аналитики'!BL1420:BL1444)-'19_Расчет_аналитики'!BL1383</f>
        <v/>
      </c>
      <c r="BM1573">
        <f>SUM('19_Расчет_аналитики'!BM1420:BM1444)-'19_Расчет_аналитики'!BM1383</f>
        <v/>
      </c>
      <c r="BN1573">
        <f>SUM('19_Расчет_аналитики'!BN1420:BN1444)-'19_Расчет_аналитики'!BN1383</f>
        <v/>
      </c>
      <c r="BO1573">
        <f>SUM('19_Расчет_аналитики'!BO1420:BO1444)-'19_Расчет_аналитики'!BO1383</f>
        <v/>
      </c>
    </row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>
      <c r="F1618">
        <f>'06_Сеть_и_дети'!F19*'19_Расчет_аналитики'!$B$1098*'07_Мерч'!F4</f>
        <v/>
      </c>
      <c r="G1618">
        <f>'06_Сеть_и_дети'!G19*'19_Расчет_аналитики'!$B$1098*'07_Мерч'!G4</f>
        <v/>
      </c>
      <c r="H1618">
        <f>'06_Сеть_и_дети'!H19*'19_Расчет_аналитики'!$B$1098*'07_Мерч'!H4</f>
        <v/>
      </c>
      <c r="I1618">
        <f>'06_Сеть_и_дети'!I19*'19_Расчет_аналитики'!$B$1098*'07_Мерч'!I4</f>
        <v/>
      </c>
      <c r="J1618">
        <f>'06_Сеть_и_дети'!J19*'19_Расчет_аналитики'!$B$1098*'07_Мерч'!J4</f>
        <v/>
      </c>
      <c r="K1618">
        <f>'06_Сеть_и_дети'!K19*'19_Расчет_аналитики'!$B$1098*'07_Мерч'!K4</f>
        <v/>
      </c>
      <c r="L1618">
        <f>'06_Сеть_и_дети'!L19*'19_Расчет_аналитики'!$B$1098*'07_Мерч'!L4</f>
        <v/>
      </c>
      <c r="M1618">
        <f>'06_Сеть_и_дети'!M19*'19_Расчет_аналитики'!$B$1098*'07_Мерч'!M4</f>
        <v/>
      </c>
      <c r="N1618">
        <f>'06_Сеть_и_дети'!N19*'19_Расчет_аналитики'!$B$1098*'07_Мерч'!N4</f>
        <v/>
      </c>
      <c r="O1618">
        <f>'06_Сеть_и_дети'!O19*'19_Расчет_аналитики'!$B$1098*'07_Мерч'!O4</f>
        <v/>
      </c>
      <c r="P1618">
        <f>'06_Сеть_и_дети'!P19*'19_Расчет_аналитики'!$B$1098*'07_Мерч'!P4</f>
        <v/>
      </c>
      <c r="Q1618">
        <f>'06_Сеть_и_дети'!Q19*'19_Расчет_аналитики'!$B$1098*'07_Мерч'!Q4</f>
        <v/>
      </c>
      <c r="R1618">
        <f>'06_Сеть_и_дети'!R19*'19_Расчет_аналитики'!$B$1098*'07_Мерч'!R4</f>
        <v/>
      </c>
      <c r="S1618">
        <f>'06_Сеть_и_дети'!S19*'19_Расчет_аналитики'!$B$1098*'07_Мерч'!S4</f>
        <v/>
      </c>
      <c r="T1618">
        <f>'06_Сеть_и_дети'!T19*'19_Расчет_аналитики'!$B$1098*'07_Мерч'!T4</f>
        <v/>
      </c>
      <c r="U1618">
        <f>'06_Сеть_и_дети'!U19*'19_Расчет_аналитики'!$B$1098*'07_Мерч'!U4</f>
        <v/>
      </c>
      <c r="V1618">
        <f>'06_Сеть_и_дети'!V19*'19_Расчет_аналитики'!$B$1098*'07_Мерч'!V4</f>
        <v/>
      </c>
      <c r="W1618">
        <f>'06_Сеть_и_дети'!W19*'19_Расчет_аналитики'!$B$1098*'07_Мерч'!W4</f>
        <v/>
      </c>
      <c r="X1618">
        <f>'06_Сеть_и_дети'!X19*'19_Расчет_аналитики'!$B$1098*'07_Мерч'!X4</f>
        <v/>
      </c>
      <c r="Y1618">
        <f>'06_Сеть_и_дети'!Y19*'19_Расчет_аналитики'!$B$1098*'07_Мерч'!Y4</f>
        <v/>
      </c>
      <c r="Z1618">
        <f>'06_Сеть_и_дети'!Z19*'19_Расчет_аналитики'!$B$1098*'07_Мерч'!Z4</f>
        <v/>
      </c>
      <c r="AA1618">
        <f>'06_Сеть_и_дети'!AA19*'19_Расчет_аналитики'!$B$1098*'07_Мерч'!AA4</f>
        <v/>
      </c>
      <c r="AB1618">
        <f>'06_Сеть_и_дети'!AB19*'19_Расчет_аналитики'!$B$1098*'07_Мерч'!AB4</f>
        <v/>
      </c>
      <c r="AC1618">
        <f>'06_Сеть_и_дети'!AC19*'19_Расчет_аналитики'!$B$1098*'07_Мерч'!AC4</f>
        <v/>
      </c>
      <c r="AD1618">
        <f>'06_Сеть_и_дети'!AD19*'19_Расчет_аналитики'!$B$1098*'07_Мерч'!AD4</f>
        <v/>
      </c>
      <c r="AE1618">
        <f>'06_Сеть_и_дети'!AE19*'19_Расчет_аналитики'!$B$1098*'07_Мерч'!AE4</f>
        <v/>
      </c>
      <c r="AF1618">
        <f>'06_Сеть_и_дети'!AF19*'19_Расчет_аналитики'!$B$1098*'07_Мерч'!AF4</f>
        <v/>
      </c>
      <c r="AG1618">
        <f>'06_Сеть_и_дети'!AG19*'19_Расчет_аналитики'!$B$1098*'07_Мерч'!AG4</f>
        <v/>
      </c>
      <c r="AH1618">
        <f>'06_Сеть_и_дети'!AH19*'19_Расчет_аналитики'!$B$1098*'07_Мерч'!AH4</f>
        <v/>
      </c>
      <c r="AI1618">
        <f>'06_Сеть_и_дети'!AI19*'19_Расчет_аналитики'!$B$1098*'07_Мерч'!AI4</f>
        <v/>
      </c>
      <c r="AJ1618">
        <f>'06_Сеть_и_дети'!AJ19*'19_Расчет_аналитики'!$B$1098*'07_Мерч'!AJ4</f>
        <v/>
      </c>
      <c r="AK1618">
        <f>'06_Сеть_и_дети'!AK19*'19_Расчет_аналитики'!$B$1098*'07_Мерч'!AK4</f>
        <v/>
      </c>
      <c r="AL1618">
        <f>'06_Сеть_и_дети'!AL19*'19_Расчет_аналитики'!$B$1098*'07_Мерч'!AL4</f>
        <v/>
      </c>
      <c r="AM1618">
        <f>'06_Сеть_и_дети'!AM19*'19_Расчет_аналитики'!$B$1098*'07_Мерч'!AM4</f>
        <v/>
      </c>
      <c r="AN1618">
        <f>'06_Сеть_и_дети'!AN19*'19_Расчет_аналитики'!$B$1098*'07_Мерч'!AN4</f>
        <v/>
      </c>
      <c r="AO1618">
        <f>'06_Сеть_и_дети'!AO19*'19_Расчет_аналитики'!$B$1098*'07_Мерч'!AO4</f>
        <v/>
      </c>
      <c r="AP1618">
        <f>'06_Сеть_и_дети'!AP19*'19_Расчет_аналитики'!$B$1098*'07_Мерч'!AP4</f>
        <v/>
      </c>
      <c r="AQ1618">
        <f>'06_Сеть_и_дети'!AQ19*'19_Расчет_аналитики'!$B$1098*'07_Мерч'!AQ4</f>
        <v/>
      </c>
      <c r="AR1618">
        <f>'06_Сеть_и_дети'!AR19*'19_Расчет_аналитики'!$B$1098*'07_Мерч'!AR4</f>
        <v/>
      </c>
      <c r="AS1618">
        <f>'06_Сеть_и_дети'!AS19*'19_Расчет_аналитики'!$B$1098*'07_Мерч'!AS4</f>
        <v/>
      </c>
      <c r="AT1618">
        <f>'06_Сеть_и_дети'!AT19*'19_Расчет_аналитики'!$B$1098*'07_Мерч'!AT4</f>
        <v/>
      </c>
      <c r="AU1618">
        <f>'06_Сеть_и_дети'!AU19*'19_Расчет_аналитики'!$B$1098*'07_Мерч'!AU4</f>
        <v/>
      </c>
      <c r="AV1618">
        <f>'06_Сеть_и_дети'!AV19*'19_Расчет_аналитики'!$B$1098*'07_Мерч'!AV4</f>
        <v/>
      </c>
      <c r="AW1618">
        <f>'06_Сеть_и_дети'!AW19*'19_Расчет_аналитики'!$B$1098*'07_Мерч'!AW4</f>
        <v/>
      </c>
      <c r="AX1618">
        <f>'06_Сеть_и_дети'!AX19*'19_Расчет_аналитики'!$B$1098*'07_Мерч'!AX4</f>
        <v/>
      </c>
      <c r="AY1618">
        <f>'06_Сеть_и_дети'!AY19*'19_Расчет_аналитики'!$B$1098*'07_Мерч'!AY4</f>
        <v/>
      </c>
      <c r="AZ1618">
        <f>'06_Сеть_и_дети'!AZ19*'19_Расчет_аналитики'!$B$1098*'07_Мерч'!AZ4</f>
        <v/>
      </c>
      <c r="BA1618">
        <f>'06_Сеть_и_дети'!BA19*'19_Расчет_аналитики'!$B$1098*'07_Мерч'!BA4</f>
        <v/>
      </c>
      <c r="BB1618">
        <f>'06_Сеть_и_дети'!BB19*'19_Расчет_аналитики'!$B$1098*'07_Мерч'!BB4</f>
        <v/>
      </c>
      <c r="BC1618">
        <f>'06_Сеть_и_дети'!BC19*'19_Расчет_аналитики'!$B$1098*'07_Мерч'!BC4</f>
        <v/>
      </c>
      <c r="BD1618">
        <f>'06_Сеть_и_дети'!BD19*'19_Расчет_аналитики'!$B$1098*'07_Мерч'!BD4</f>
        <v/>
      </c>
      <c r="BE1618">
        <f>'06_Сеть_и_дети'!BE19*'19_Расчет_аналитики'!$B$1098*'07_Мерч'!BE4</f>
        <v/>
      </c>
      <c r="BF1618">
        <f>'06_Сеть_и_дети'!BF19*'19_Расчет_аналитики'!$B$1098*'07_Мерч'!BF4</f>
        <v/>
      </c>
      <c r="BG1618">
        <f>'06_Сеть_и_дети'!BG19*'19_Расчет_аналитики'!$B$1098*'07_Мерч'!BG4</f>
        <v/>
      </c>
      <c r="BH1618">
        <f>'06_Сеть_и_дети'!BH19*'19_Расчет_аналитики'!$B$1098*'07_Мерч'!BH4</f>
        <v/>
      </c>
      <c r="BI1618">
        <f>'06_Сеть_и_дети'!BI19*'19_Расчет_аналитики'!$B$1098*'07_Мерч'!BI4</f>
        <v/>
      </c>
      <c r="BJ1618">
        <f>'06_Сеть_и_дети'!BJ19*'19_Расчет_аналитики'!$B$1098*'07_Мерч'!BJ4</f>
        <v/>
      </c>
      <c r="BK1618">
        <f>'06_Сеть_и_дети'!BK19*'19_Расчет_аналитики'!$B$1098*'07_Мерч'!BK4</f>
        <v/>
      </c>
      <c r="BL1618">
        <f>'06_Сеть_и_дети'!BL19*'19_Расчет_аналитики'!$B$1098*'07_Мерч'!BL4</f>
        <v/>
      </c>
      <c r="BM1618">
        <f>'06_Сеть_и_дети'!BM19*'19_Расчет_аналитики'!$B$1098*'07_Мерч'!BM4</f>
        <v/>
      </c>
      <c r="BN1618">
        <f>'06_Сеть_и_дети'!BN19*'19_Расчет_аналитики'!$B$1098*'07_Мерч'!BN4</f>
        <v/>
      </c>
      <c r="BO1618">
        <f>'06_Сеть_и_дети'!BO19*'19_Расчет_аналитики'!$B$1098*'07_Мерч'!BO4</f>
        <v/>
      </c>
    </row>
    <row r="1619">
      <c r="F1619">
        <f>'19_Расчет_аналитики'!F1618*'18_Календарь_тарифы'!F10</f>
        <v/>
      </c>
      <c r="G1619">
        <f>'19_Расчет_аналитики'!G1618*'18_Календарь_тарифы'!G10</f>
        <v/>
      </c>
      <c r="H1619">
        <f>'19_Расчет_аналитики'!H1618*'18_Календарь_тарифы'!H10</f>
        <v/>
      </c>
      <c r="I1619">
        <f>'19_Расчет_аналитики'!I1618*'18_Календарь_тарифы'!I10</f>
        <v/>
      </c>
      <c r="J1619">
        <f>'19_Расчет_аналитики'!J1618*'18_Календарь_тарифы'!J10</f>
        <v/>
      </c>
      <c r="K1619">
        <f>'19_Расчет_аналитики'!K1618*'18_Календарь_тарифы'!K10</f>
        <v/>
      </c>
      <c r="L1619">
        <f>'19_Расчет_аналитики'!L1618*'18_Календарь_тарифы'!L10</f>
        <v/>
      </c>
      <c r="M1619">
        <f>'19_Расчет_аналитики'!M1618*'18_Календарь_тарифы'!M10</f>
        <v/>
      </c>
      <c r="N1619">
        <f>'19_Расчет_аналитики'!N1618*'18_Календарь_тарифы'!N10</f>
        <v/>
      </c>
      <c r="O1619">
        <f>'19_Расчет_аналитики'!O1618*'18_Календарь_тарифы'!O10</f>
        <v/>
      </c>
      <c r="P1619">
        <f>'19_Расчет_аналитики'!P1618*'18_Календарь_тарифы'!P10</f>
        <v/>
      </c>
      <c r="Q1619">
        <f>'19_Расчет_аналитики'!Q1618*'18_Календарь_тарифы'!Q10</f>
        <v/>
      </c>
      <c r="R1619">
        <f>'19_Расчет_аналитики'!R1618*'18_Календарь_тарифы'!R10</f>
        <v/>
      </c>
      <c r="S1619">
        <f>'19_Расчет_аналитики'!S1618*'18_Календарь_тарифы'!S10</f>
        <v/>
      </c>
      <c r="T1619">
        <f>'19_Расчет_аналитики'!T1618*'18_Календарь_тарифы'!T10</f>
        <v/>
      </c>
      <c r="U1619">
        <f>'19_Расчет_аналитики'!U1618*'18_Календарь_тарифы'!U10</f>
        <v/>
      </c>
      <c r="V1619">
        <f>'19_Расчет_аналитики'!V1618*'18_Календарь_тарифы'!V10</f>
        <v/>
      </c>
      <c r="W1619">
        <f>'19_Расчет_аналитики'!W1618*'18_Календарь_тарифы'!W10</f>
        <v/>
      </c>
      <c r="X1619">
        <f>'19_Расчет_аналитики'!X1618*'18_Календарь_тарифы'!X10</f>
        <v/>
      </c>
      <c r="Y1619">
        <f>'19_Расчет_аналитики'!Y1618*'18_Календарь_тарифы'!Y10</f>
        <v/>
      </c>
      <c r="Z1619">
        <f>'19_Расчет_аналитики'!Z1618*'18_Календарь_тарифы'!Z10</f>
        <v/>
      </c>
      <c r="AA1619">
        <f>'19_Расчет_аналитики'!AA1618*'18_Календарь_тарифы'!AA10</f>
        <v/>
      </c>
      <c r="AB1619">
        <f>'19_Расчет_аналитики'!AB1618*'18_Календарь_тарифы'!AB10</f>
        <v/>
      </c>
      <c r="AC1619">
        <f>'19_Расчет_аналитики'!AC1618*'18_Календарь_тарифы'!AC10</f>
        <v/>
      </c>
      <c r="AD1619">
        <f>'19_Расчет_аналитики'!AD1618*'18_Календарь_тарифы'!AD10</f>
        <v/>
      </c>
      <c r="AE1619">
        <f>'19_Расчет_аналитики'!AE1618*'18_Календарь_тарифы'!AE10</f>
        <v/>
      </c>
      <c r="AF1619">
        <f>'19_Расчет_аналитики'!AF1618*'18_Календарь_тарифы'!AF10</f>
        <v/>
      </c>
      <c r="AG1619">
        <f>'19_Расчет_аналитики'!AG1618*'18_Календарь_тарифы'!AG10</f>
        <v/>
      </c>
      <c r="AH1619">
        <f>'19_Расчет_аналитики'!AH1618*'18_Календарь_тарифы'!AH10</f>
        <v/>
      </c>
      <c r="AI1619">
        <f>'19_Расчет_аналитики'!AI1618*'18_Календарь_тарифы'!AI10</f>
        <v/>
      </c>
      <c r="AJ1619">
        <f>'19_Расчет_аналитики'!AJ1618*'18_Календарь_тарифы'!AJ10</f>
        <v/>
      </c>
      <c r="AK1619">
        <f>'19_Расчет_аналитики'!AK1618*'18_Календарь_тарифы'!AK10</f>
        <v/>
      </c>
      <c r="AL1619">
        <f>'19_Расчет_аналитики'!AL1618*'18_Календарь_тарифы'!AL10</f>
        <v/>
      </c>
      <c r="AM1619">
        <f>'19_Расчет_аналитики'!AM1618*'18_Календарь_тарифы'!AM10</f>
        <v/>
      </c>
      <c r="AN1619">
        <f>'19_Расчет_аналитики'!AN1618*'18_Календарь_тарифы'!AN10</f>
        <v/>
      </c>
      <c r="AO1619">
        <f>'19_Расчет_аналитики'!AO1618*'18_Календарь_тарифы'!AO10</f>
        <v/>
      </c>
      <c r="AP1619">
        <f>'19_Расчет_аналитики'!AP1618*'18_Календарь_тарифы'!AP10</f>
        <v/>
      </c>
      <c r="AQ1619">
        <f>'19_Расчет_аналитики'!AQ1618*'18_Календарь_тарифы'!AQ10</f>
        <v/>
      </c>
      <c r="AR1619">
        <f>'19_Расчет_аналитики'!AR1618*'18_Календарь_тарифы'!AR10</f>
        <v/>
      </c>
      <c r="AS1619">
        <f>'19_Расчет_аналитики'!AS1618*'18_Календарь_тарифы'!AS10</f>
        <v/>
      </c>
      <c r="AT1619">
        <f>'19_Расчет_аналитики'!AT1618*'18_Календарь_тарифы'!AT10</f>
        <v/>
      </c>
      <c r="AU1619">
        <f>'19_Расчет_аналитики'!AU1618*'18_Календарь_тарифы'!AU10</f>
        <v/>
      </c>
      <c r="AV1619">
        <f>'19_Расчет_аналитики'!AV1618*'18_Календарь_тарифы'!AV10</f>
        <v/>
      </c>
      <c r="AW1619">
        <f>'19_Расчет_аналитики'!AW1618*'18_Календарь_тарифы'!AW10</f>
        <v/>
      </c>
      <c r="AX1619">
        <f>'19_Расчет_аналитики'!AX1618*'18_Календарь_тарифы'!AX10</f>
        <v/>
      </c>
      <c r="AY1619">
        <f>'19_Расчет_аналитики'!AY1618*'18_Календарь_тарифы'!AY10</f>
        <v/>
      </c>
      <c r="AZ1619">
        <f>'19_Расчет_аналитики'!AZ1618*'18_Календарь_тарифы'!AZ10</f>
        <v/>
      </c>
      <c r="BA1619">
        <f>'19_Расчет_аналитики'!BA1618*'18_Календарь_тарифы'!BA10</f>
        <v/>
      </c>
      <c r="BB1619">
        <f>'19_Расчет_аналитики'!BB1618*'18_Календарь_тарифы'!BB10</f>
        <v/>
      </c>
      <c r="BC1619">
        <f>'19_Расчет_аналитики'!BC1618*'18_Календарь_тарифы'!BC10</f>
        <v/>
      </c>
      <c r="BD1619">
        <f>'19_Расчет_аналитики'!BD1618*'18_Календарь_тарифы'!BD10</f>
        <v/>
      </c>
      <c r="BE1619">
        <f>'19_Расчет_аналитики'!BE1618*'18_Календарь_тарифы'!BE10</f>
        <v/>
      </c>
      <c r="BF1619">
        <f>'19_Расчет_аналитики'!BF1618*'18_Календарь_тарифы'!BF10</f>
        <v/>
      </c>
      <c r="BG1619">
        <f>'19_Расчет_аналитики'!BG1618*'18_Календарь_тарифы'!BG10</f>
        <v/>
      </c>
      <c r="BH1619">
        <f>'19_Расчет_аналитики'!BH1618*'18_Календарь_тарифы'!BH10</f>
        <v/>
      </c>
      <c r="BI1619">
        <f>'19_Расчет_аналитики'!BI1618*'18_Календарь_тарифы'!BI10</f>
        <v/>
      </c>
      <c r="BJ1619">
        <f>'19_Расчет_аналитики'!BJ1618*'18_Календарь_тарифы'!BJ10</f>
        <v/>
      </c>
      <c r="BK1619">
        <f>'19_Расчет_аналитики'!BK1618*'18_Календарь_тарифы'!BK10</f>
        <v/>
      </c>
      <c r="BL1619">
        <f>'19_Расчет_аналитики'!BL1618*'18_Календарь_тарифы'!BL10</f>
        <v/>
      </c>
      <c r="BM1619">
        <f>'19_Расчет_аналитики'!BM1618*'18_Календарь_тарифы'!BM10</f>
        <v/>
      </c>
      <c r="BN1619">
        <f>'19_Расчет_аналитики'!BN1618*'18_Календарь_тарифы'!BN10</f>
        <v/>
      </c>
      <c r="BO1619">
        <f>'19_Расчет_аналитики'!BO1618*'18_Календарь_тарифы'!BO10</f>
        <v/>
      </c>
    </row>
    <row r="1620">
      <c r="F1620">
        <f>'19_Расчет_аналитики'!F1618*'18_Календарь_тарифы'!F9</f>
        <v/>
      </c>
      <c r="G1620">
        <f>'19_Расчет_аналитики'!G1618*'18_Календарь_тарифы'!G9</f>
        <v/>
      </c>
      <c r="H1620">
        <f>'19_Расчет_аналитики'!H1618*'18_Календарь_тарифы'!H9</f>
        <v/>
      </c>
      <c r="I1620">
        <f>'19_Расчет_аналитики'!I1618*'18_Календарь_тарифы'!I9</f>
        <v/>
      </c>
      <c r="J1620">
        <f>'19_Расчет_аналитики'!J1618*'18_Календарь_тарифы'!J9</f>
        <v/>
      </c>
      <c r="K1620">
        <f>'19_Расчет_аналитики'!K1618*'18_Календарь_тарифы'!K9</f>
        <v/>
      </c>
      <c r="L1620">
        <f>'19_Расчет_аналитики'!L1618*'18_Календарь_тарифы'!L9</f>
        <v/>
      </c>
      <c r="M1620">
        <f>'19_Расчет_аналитики'!M1618*'18_Календарь_тарифы'!M9</f>
        <v/>
      </c>
      <c r="N1620">
        <f>'19_Расчет_аналитики'!N1618*'18_Календарь_тарифы'!N9</f>
        <v/>
      </c>
      <c r="O1620">
        <f>'19_Расчет_аналитики'!O1618*'18_Календарь_тарифы'!O9</f>
        <v/>
      </c>
      <c r="P1620">
        <f>'19_Расчет_аналитики'!P1618*'18_Календарь_тарифы'!P9</f>
        <v/>
      </c>
      <c r="Q1620">
        <f>'19_Расчет_аналитики'!Q1618*'18_Календарь_тарифы'!Q9</f>
        <v/>
      </c>
      <c r="R1620">
        <f>'19_Расчет_аналитики'!R1618*'18_Календарь_тарифы'!R9</f>
        <v/>
      </c>
      <c r="S1620">
        <f>'19_Расчет_аналитики'!S1618*'18_Календарь_тарифы'!S9</f>
        <v/>
      </c>
      <c r="T1620">
        <f>'19_Расчет_аналитики'!T1618*'18_Календарь_тарифы'!T9</f>
        <v/>
      </c>
      <c r="U1620">
        <f>'19_Расчет_аналитики'!U1618*'18_Календарь_тарифы'!U9</f>
        <v/>
      </c>
      <c r="V1620">
        <f>'19_Расчет_аналитики'!V1618*'18_Календарь_тарифы'!V9</f>
        <v/>
      </c>
      <c r="W1620">
        <f>'19_Расчет_аналитики'!W1618*'18_Календарь_тарифы'!W9</f>
        <v/>
      </c>
      <c r="X1620">
        <f>'19_Расчет_аналитики'!X1618*'18_Календарь_тарифы'!X9</f>
        <v/>
      </c>
      <c r="Y1620">
        <f>'19_Расчет_аналитики'!Y1618*'18_Календарь_тарифы'!Y9</f>
        <v/>
      </c>
      <c r="Z1620">
        <f>'19_Расчет_аналитики'!Z1618*'18_Календарь_тарифы'!Z9</f>
        <v/>
      </c>
      <c r="AA1620">
        <f>'19_Расчет_аналитики'!AA1618*'18_Календарь_тарифы'!AA9</f>
        <v/>
      </c>
      <c r="AB1620">
        <f>'19_Расчет_аналитики'!AB1618*'18_Календарь_тарифы'!AB9</f>
        <v/>
      </c>
      <c r="AC1620">
        <f>'19_Расчет_аналитики'!AC1618*'18_Календарь_тарифы'!AC9</f>
        <v/>
      </c>
      <c r="AD1620">
        <f>'19_Расчет_аналитики'!AD1618*'18_Календарь_тарифы'!AD9</f>
        <v/>
      </c>
      <c r="AE1620">
        <f>'19_Расчет_аналитики'!AE1618*'18_Календарь_тарифы'!AE9</f>
        <v/>
      </c>
      <c r="AF1620">
        <f>'19_Расчет_аналитики'!AF1618*'18_Календарь_тарифы'!AF9</f>
        <v/>
      </c>
      <c r="AG1620">
        <f>'19_Расчет_аналитики'!AG1618*'18_Календарь_тарифы'!AG9</f>
        <v/>
      </c>
      <c r="AH1620">
        <f>'19_Расчет_аналитики'!AH1618*'18_Календарь_тарифы'!AH9</f>
        <v/>
      </c>
      <c r="AI1620">
        <f>'19_Расчет_аналитики'!AI1618*'18_Календарь_тарифы'!AI9</f>
        <v/>
      </c>
      <c r="AJ1620">
        <f>'19_Расчет_аналитики'!AJ1618*'18_Календарь_тарифы'!AJ9</f>
        <v/>
      </c>
      <c r="AK1620">
        <f>'19_Расчет_аналитики'!AK1618*'18_Календарь_тарифы'!AK9</f>
        <v/>
      </c>
      <c r="AL1620">
        <f>'19_Расчет_аналитики'!AL1618*'18_Календарь_тарифы'!AL9</f>
        <v/>
      </c>
      <c r="AM1620">
        <f>'19_Расчет_аналитики'!AM1618*'18_Календарь_тарифы'!AM9</f>
        <v/>
      </c>
      <c r="AN1620">
        <f>'19_Расчет_аналитики'!AN1618*'18_Календарь_тарифы'!AN9</f>
        <v/>
      </c>
      <c r="AO1620">
        <f>'19_Расчет_аналитики'!AO1618*'18_Календарь_тарифы'!AO9</f>
        <v/>
      </c>
      <c r="AP1620">
        <f>'19_Расчет_аналитики'!AP1618*'18_Календарь_тарифы'!AP9</f>
        <v/>
      </c>
      <c r="AQ1620">
        <f>'19_Расчет_аналитики'!AQ1618*'18_Календарь_тарифы'!AQ9</f>
        <v/>
      </c>
      <c r="AR1620">
        <f>'19_Расчет_аналитики'!AR1618*'18_Календарь_тарифы'!AR9</f>
        <v/>
      </c>
      <c r="AS1620">
        <f>'19_Расчет_аналитики'!AS1618*'18_Календарь_тарифы'!AS9</f>
        <v/>
      </c>
      <c r="AT1620">
        <f>'19_Расчет_аналитики'!AT1618*'18_Календарь_тарифы'!AT9</f>
        <v/>
      </c>
      <c r="AU1620">
        <f>'19_Расчет_аналитики'!AU1618*'18_Календарь_тарифы'!AU9</f>
        <v/>
      </c>
      <c r="AV1620">
        <f>'19_Расчет_аналитики'!AV1618*'18_Календарь_тарифы'!AV9</f>
        <v/>
      </c>
      <c r="AW1620">
        <f>'19_Расчет_аналитики'!AW1618*'18_Календарь_тарифы'!AW9</f>
        <v/>
      </c>
      <c r="AX1620">
        <f>'19_Расчет_аналитики'!AX1618*'18_Календарь_тарифы'!AX9</f>
        <v/>
      </c>
      <c r="AY1620">
        <f>'19_Расчет_аналитики'!AY1618*'18_Календарь_тарифы'!AY9</f>
        <v/>
      </c>
      <c r="AZ1620">
        <f>'19_Расчет_аналитики'!AZ1618*'18_Календарь_тарифы'!AZ9</f>
        <v/>
      </c>
      <c r="BA1620">
        <f>'19_Расчет_аналитики'!BA1618*'18_Календарь_тарифы'!BA9</f>
        <v/>
      </c>
      <c r="BB1620">
        <f>'19_Расчет_аналитики'!BB1618*'18_Календарь_тарифы'!BB9</f>
        <v/>
      </c>
      <c r="BC1620">
        <f>'19_Расчет_аналитики'!BC1618*'18_Календарь_тарифы'!BC9</f>
        <v/>
      </c>
      <c r="BD1620">
        <f>'19_Расчет_аналитики'!BD1618*'18_Календарь_тарифы'!BD9</f>
        <v/>
      </c>
      <c r="BE1620">
        <f>'19_Расчет_аналитики'!BE1618*'18_Календарь_тарифы'!BE9</f>
        <v/>
      </c>
      <c r="BF1620">
        <f>'19_Расчет_аналитики'!BF1618*'18_Календарь_тарифы'!BF9</f>
        <v/>
      </c>
      <c r="BG1620">
        <f>'19_Расчет_аналитики'!BG1618*'18_Календарь_тарифы'!BG9</f>
        <v/>
      </c>
      <c r="BH1620">
        <f>'19_Расчет_аналитики'!BH1618*'18_Календарь_тарифы'!BH9</f>
        <v/>
      </c>
      <c r="BI1620">
        <f>'19_Расчет_аналитики'!BI1618*'18_Календарь_тарифы'!BI9</f>
        <v/>
      </c>
      <c r="BJ1620">
        <f>'19_Расчет_аналитики'!BJ1618*'18_Календарь_тарифы'!BJ9</f>
        <v/>
      </c>
      <c r="BK1620">
        <f>'19_Расчет_аналитики'!BK1618*'18_Календарь_тарифы'!BK9</f>
        <v/>
      </c>
      <c r="BL1620">
        <f>'19_Расчет_аналитики'!BL1618*'18_Календарь_тарифы'!BL9</f>
        <v/>
      </c>
      <c r="BM1620">
        <f>'19_Расчет_аналитики'!BM1618*'18_Календарь_тарифы'!BM9</f>
        <v/>
      </c>
      <c r="BN1620">
        <f>'19_Расчет_аналитики'!BN1618*'18_Календарь_тарифы'!BN9</f>
        <v/>
      </c>
      <c r="BO1620">
        <f>'19_Расчет_аналитики'!BO1618*'18_Календарь_тарифы'!BO9</f>
        <v/>
      </c>
    </row>
    <row r="1621"/>
    <row r="1622">
      <c r="B1622">
        <f>'07_Мерч'!B9</f>
        <v/>
      </c>
      <c r="C1622">
        <f>('19_Расчет_аналитики'!B1375*'01_Вводные'!$B$87*'01_Вводные'!$B$14^1)*'19_Расчет_аналитики'!$B$1070*'19_Расчет_аналитики'!$B$1098</f>
        <v/>
      </c>
      <c r="D1622">
        <f>('19_Расчет_аналитики'!C1375*'01_Вводные'!$B$87*'01_Вводные'!$B$14^1+'19_Расчет_аналитики'!B1375*'01_Вводные'!$B$88*'01_Вводные'!$B$14^2)*'19_Расчет_аналитики'!$B$1070*'19_Расчет_аналитики'!$B$1098</f>
        <v/>
      </c>
      <c r="E1622">
        <f>('19_Расчет_аналитики'!D1375*'01_Вводные'!$B$87*'01_Вводные'!$B$14^1+'19_Расчет_аналитики'!C1375*'01_Вводные'!$B$88*'01_Вводные'!$B$14^2+'19_Расчет_аналитики'!B1375*'01_Вводные'!$B$89*'01_Вводные'!$B$14^3)*'19_Расчет_аналитики'!$B$1070*'19_Расчет_аналитики'!$B$1098</f>
        <v/>
      </c>
      <c r="F1622">
        <f>('19_Расчет_аналитики'!E1375*'01_Вводные'!$B$87*'01_Вводные'!$B$14^1+'19_Расчет_аналитики'!D1375*'01_Вводные'!$B$88*'01_Вводные'!$B$14^2+'19_Расчет_аналитики'!C1375*'01_Вводные'!$B$89*'01_Вводные'!$B$14^3)*'19_Расчет_аналитики'!$B$1070*'19_Расчет_аналитики'!$B$1098</f>
        <v/>
      </c>
      <c r="G1622">
        <f>('19_Расчет_аналитики'!F1375*'01_Вводные'!$B$87*'01_Вводные'!$B$14^1+'19_Расчет_аналитики'!E1375*'01_Вводные'!$B$88*'01_Вводные'!$B$14^2+'19_Расчет_аналитики'!D1375*'01_Вводные'!$B$89*'01_Вводные'!$B$14^3)*'19_Расчет_аналитики'!$B$1070*'19_Расчет_аналитики'!$B$1098</f>
        <v/>
      </c>
      <c r="H1622">
        <f>('19_Расчет_аналитики'!G1375*'01_Вводные'!$B$87*'01_Вводные'!$B$14^1+'19_Расчет_аналитики'!F1375*'01_Вводные'!$B$88*'01_Вводные'!$B$14^2+'19_Расчет_аналитики'!E1375*'01_Вводные'!$B$89*'01_Вводные'!$B$14^3)*'19_Расчет_аналитики'!$B$1070*'19_Расчет_аналитики'!$B$1098</f>
        <v/>
      </c>
      <c r="I1622">
        <f>('19_Расчет_аналитики'!H1375*'01_Вводные'!$B$87*'01_Вводные'!$B$14^1+'19_Расчет_аналитики'!G1375*'01_Вводные'!$B$88*'01_Вводные'!$B$14^2+'19_Расчет_аналитики'!F1375*'01_Вводные'!$B$89*'01_Вводные'!$B$14^3)*'19_Расчет_аналитики'!$B$1070*'19_Расчет_аналитики'!$B$1098</f>
        <v/>
      </c>
      <c r="J1622">
        <f>('19_Расчет_аналитики'!I1375*'01_Вводные'!$B$87*'01_Вводные'!$B$14^1+'19_Расчет_аналитики'!H1375*'01_Вводные'!$B$88*'01_Вводные'!$B$14^2+'19_Расчет_аналитики'!G1375*'01_Вводные'!$B$89*'01_Вводные'!$B$14^3)*'19_Расчет_аналитики'!$B$1070*'19_Расчет_аналитики'!$B$1098</f>
        <v/>
      </c>
      <c r="K1622">
        <f>('19_Расчет_аналитики'!J1375*'01_Вводные'!$B$87*'01_Вводные'!$B$14^1+'19_Расчет_аналитики'!I1375*'01_Вводные'!$B$88*'01_Вводные'!$B$14^2+'19_Расчет_аналитики'!H1375*'01_Вводные'!$B$89*'01_Вводные'!$B$14^3)*'19_Расчет_аналитики'!$B$1070*'19_Расчет_аналитики'!$B$1098</f>
        <v/>
      </c>
      <c r="L1622">
        <f>('19_Расчет_аналитики'!K1375*'01_Вводные'!$B$87*'01_Вводные'!$B$14^1+'19_Расчет_аналитики'!J1375*'01_Вводные'!$B$88*'01_Вводные'!$B$14^2+'19_Расчет_аналитики'!I1375*'01_Вводные'!$B$89*'01_Вводные'!$B$14^3)*'19_Расчет_аналитики'!$B$1070*'19_Расчет_аналитики'!$B$1098</f>
        <v/>
      </c>
      <c r="M1622">
        <f>('19_Расчет_аналитики'!L1375*'01_Вводные'!$B$87*'01_Вводные'!$B$14^1+'19_Расчет_аналитики'!K1375*'01_Вводные'!$B$88*'01_Вводные'!$B$14^2+'19_Расчет_аналитики'!J1375*'01_Вводные'!$B$89*'01_Вводные'!$B$14^3)*'19_Расчет_аналитики'!$B$1070*'19_Расчет_аналитики'!$B$1098</f>
        <v/>
      </c>
      <c r="N1622">
        <f>('19_Расчет_аналитики'!M1375*'01_Вводные'!$B$87*'01_Вводные'!$B$14^1+'19_Расчет_аналитики'!L1375*'01_Вводные'!$B$88*'01_Вводные'!$B$14^2+'19_Расчет_аналитики'!K1375*'01_Вводные'!$B$89*'01_Вводные'!$B$14^3)*'19_Расчет_аналитики'!$B$1070*'19_Расчет_аналитики'!$B$1098</f>
        <v/>
      </c>
      <c r="O1622">
        <f>('19_Расчет_аналитики'!N1375*'01_Вводные'!$B$87*'01_Вводные'!$B$14^1+'19_Расчет_аналитики'!M1375*'01_Вводные'!$B$88*'01_Вводные'!$B$14^2+'19_Расчет_аналитики'!L1375*'01_Вводные'!$B$89*'01_Вводные'!$B$14^3)*'19_Расчет_аналитики'!$B$1070*'19_Расчет_аналитики'!$B$1098</f>
        <v/>
      </c>
      <c r="P1622">
        <f>('19_Расчет_аналитики'!O1375*'01_Вводные'!$B$87*'01_Вводные'!$B$14^1+'19_Расчет_аналитики'!N1375*'01_Вводные'!$B$88*'01_Вводные'!$B$14^2+'19_Расчет_аналитики'!M1375*'01_Вводные'!$B$89*'01_Вводные'!$B$14^3)*'19_Расчет_аналитики'!$B$1070*'19_Расчет_аналитики'!$B$1098</f>
        <v/>
      </c>
      <c r="Q1622">
        <f>('19_Расчет_аналитики'!P1375*'01_Вводные'!$B$87*'01_Вводные'!$B$14^1+'19_Расчет_аналитики'!O1375*'01_Вводные'!$B$88*'01_Вводные'!$B$14^2+'19_Расчет_аналитики'!N1375*'01_Вводные'!$B$89*'01_Вводные'!$B$14^3)*'19_Расчет_аналитики'!$B$1070*'19_Расчет_аналитики'!$B$1098</f>
        <v/>
      </c>
      <c r="R1622">
        <f>('19_Расчет_аналитики'!Q1375*'01_Вводные'!$B$87*'01_Вводные'!$B$14^1+'19_Расчет_аналитики'!P1375*'01_Вводные'!$B$88*'01_Вводные'!$B$14^2+'19_Расчет_аналитики'!O1375*'01_Вводные'!$B$89*'01_Вводные'!$B$14^3)*'19_Расчет_аналитики'!$B$1070*'19_Расчет_аналитики'!$B$1098</f>
        <v/>
      </c>
      <c r="S1622">
        <f>('19_Расчет_аналитики'!R1375*'01_Вводные'!$B$87*'01_Вводные'!$B$14^1+'19_Расчет_аналитики'!Q1375*'01_Вводные'!$B$88*'01_Вводные'!$B$14^2+'19_Расчет_аналитики'!P1375*'01_Вводные'!$B$89*'01_Вводные'!$B$14^3)*'19_Расчет_аналитики'!$B$1070*'19_Расчет_аналитики'!$B$1098</f>
        <v/>
      </c>
      <c r="T1622">
        <f>('19_Расчет_аналитики'!S1375*'01_Вводные'!$B$87*'01_Вводные'!$B$14^1+'19_Расчет_аналитики'!R1375*'01_Вводные'!$B$88*'01_Вводные'!$B$14^2+'19_Расчет_аналитики'!Q1375*'01_Вводные'!$B$89*'01_Вводные'!$B$14^3)*'19_Расчет_аналитики'!$B$1070*'19_Расчет_аналитики'!$B$1098</f>
        <v/>
      </c>
      <c r="U1622">
        <f>('19_Расчет_аналитики'!T1375*'01_Вводные'!$B$87*'01_Вводные'!$B$14^1+'19_Расчет_аналитики'!S1375*'01_Вводные'!$B$88*'01_Вводные'!$B$14^2+'19_Расчет_аналитики'!R1375*'01_Вводные'!$B$89*'01_Вводные'!$B$14^3)*'19_Расчет_аналитики'!$B$1070*'19_Расчет_аналитики'!$B$1098</f>
        <v/>
      </c>
      <c r="V1622">
        <f>('19_Расчет_аналитики'!U1375*'01_Вводные'!$B$87*'01_Вводные'!$B$14^1+'19_Расчет_аналитики'!T1375*'01_Вводные'!$B$88*'01_Вводные'!$B$14^2+'19_Расчет_аналитики'!S1375*'01_Вводные'!$B$89*'01_Вводные'!$B$14^3)*'19_Расчет_аналитики'!$B$1070*'19_Расчет_аналитики'!$B$1098</f>
        <v/>
      </c>
      <c r="W1622">
        <f>('19_Расчет_аналитики'!V1375*'01_Вводные'!$B$87*'01_Вводные'!$B$14^1+'19_Расчет_аналитики'!U1375*'01_Вводные'!$B$88*'01_Вводные'!$B$14^2+'19_Расчет_аналитики'!T1375*'01_Вводные'!$B$89*'01_Вводные'!$B$14^3)*'19_Расчет_аналитики'!$B$1070*'19_Расчет_аналитики'!$B$1098</f>
        <v/>
      </c>
      <c r="X1622">
        <f>('19_Расчет_аналитики'!W1375*'01_Вводные'!$B$87*'01_Вводные'!$B$14^1+'19_Расчет_аналитики'!V1375*'01_Вводные'!$B$88*'01_Вводные'!$B$14^2+'19_Расчет_аналитики'!U1375*'01_Вводные'!$B$89*'01_Вводные'!$B$14^3)*'19_Расчет_аналитики'!$B$1070*'19_Расчет_аналитики'!$B$1098</f>
        <v/>
      </c>
      <c r="Y1622">
        <f>('19_Расчет_аналитики'!X1375*'01_Вводные'!$B$87*'01_Вводные'!$B$14^1+'19_Расчет_аналитики'!W1375*'01_Вводные'!$B$88*'01_Вводные'!$B$14^2+'19_Расчет_аналитики'!V1375*'01_Вводные'!$B$89*'01_Вводные'!$B$14^3)*'19_Расчет_аналитики'!$B$1070*'19_Расчет_аналитики'!$B$1098</f>
        <v/>
      </c>
      <c r="Z1622">
        <f>('19_Расчет_аналитики'!Y1375*'01_Вводные'!$B$87*'01_Вводные'!$B$14^1+'19_Расчет_аналитики'!X1375*'01_Вводные'!$B$88*'01_Вводные'!$B$14^2+'19_Расчет_аналитики'!W1375*'01_Вводные'!$B$89*'01_Вводные'!$B$14^3)*'19_Расчет_аналитики'!$B$1070*'19_Расчет_аналитики'!$B$1098</f>
        <v/>
      </c>
      <c r="AA1622">
        <f>('19_Расчет_аналитики'!Z1375*'01_Вводные'!$B$87*'01_Вводные'!$B$14^1+'19_Расчет_аналитики'!Y1375*'01_Вводные'!$B$88*'01_Вводные'!$B$14^2+'19_Расчет_аналитики'!X1375*'01_Вводные'!$B$89*'01_Вводные'!$B$14^3)*'19_Расчет_аналитики'!$B$1070*'19_Расчет_аналитики'!$B$1098</f>
        <v/>
      </c>
      <c r="AB1622">
        <f>('19_Расчет_аналитики'!AA1375*'01_Вводные'!$B$87*'01_Вводные'!$B$14^1+'19_Расчет_аналитики'!Z1375*'01_Вводные'!$B$88*'01_Вводные'!$B$14^2+'19_Расчет_аналитики'!Y1375*'01_Вводные'!$B$89*'01_Вводные'!$B$14^3)*'19_Расчет_аналитики'!$B$1070*'19_Расчет_аналитики'!$B$1098</f>
        <v/>
      </c>
      <c r="AC1622">
        <f>('19_Расчет_аналитики'!AB1375*'01_Вводные'!$B$87*'01_Вводные'!$B$14^1+'19_Расчет_аналитики'!AA1375*'01_Вводные'!$B$88*'01_Вводные'!$B$14^2+'19_Расчет_аналитики'!Z1375*'01_Вводные'!$B$89*'01_Вводные'!$B$14^3)*'19_Расчет_аналитики'!$B$1070*'19_Расчет_аналитики'!$B$1098</f>
        <v/>
      </c>
      <c r="AD1622">
        <f>('19_Расчет_аналитики'!AC1375*'01_Вводные'!$B$87*'01_Вводные'!$B$14^1+'19_Расчет_аналитики'!AB1375*'01_Вводные'!$B$88*'01_Вводные'!$B$14^2+'19_Расчет_аналитики'!AA1375*'01_Вводные'!$B$89*'01_Вводные'!$B$14^3)*'19_Расчет_аналитики'!$B$1070*'19_Расчет_аналитики'!$B$1098</f>
        <v/>
      </c>
      <c r="AE1622">
        <f>('19_Расчет_аналитики'!AD1375*'01_Вводные'!$B$87*'01_Вводные'!$B$14^1+'19_Расчет_аналитики'!AC1375*'01_Вводные'!$B$88*'01_Вводные'!$B$14^2+'19_Расчет_аналитики'!AB1375*'01_Вводные'!$B$89*'01_Вводные'!$B$14^3)*'19_Расчет_аналитики'!$B$1070*'19_Расчет_аналитики'!$B$1098</f>
        <v/>
      </c>
      <c r="AF1622">
        <f>('19_Расчет_аналитики'!AE1375*'01_Вводные'!$B$87*'01_Вводные'!$B$14^1+'19_Расчет_аналитики'!AD1375*'01_Вводные'!$B$88*'01_Вводные'!$B$14^2+'19_Расчет_аналитики'!AC1375*'01_Вводные'!$B$89*'01_Вводные'!$B$14^3)*'19_Расчет_аналитики'!$B$1070*'19_Расчет_аналитики'!$B$1098</f>
        <v/>
      </c>
      <c r="AG1622">
        <f>('19_Расчет_аналитики'!AF1375*'01_Вводные'!$B$87*'01_Вводные'!$B$14^1+'19_Расчет_аналитики'!AE1375*'01_Вводные'!$B$88*'01_Вводные'!$B$14^2+'19_Расчет_аналитики'!AD1375*'01_Вводные'!$B$89*'01_Вводные'!$B$14^3)*'19_Расчет_аналитики'!$B$1070*'19_Расчет_аналитики'!$B$1098</f>
        <v/>
      </c>
      <c r="AH1622">
        <f>('19_Расчет_аналитики'!AG1375*'01_Вводные'!$B$87*'01_Вводные'!$B$14^1+'19_Расчет_аналитики'!AF1375*'01_Вводные'!$B$88*'01_Вводные'!$B$14^2+'19_Расчет_аналитики'!AE1375*'01_Вводные'!$B$89*'01_Вводные'!$B$14^3)*'19_Расчет_аналитики'!$B$1070*'19_Расчет_аналитики'!$B$1098</f>
        <v/>
      </c>
      <c r="AI1622">
        <f>('19_Расчет_аналитики'!AH1375*'01_Вводные'!$B$87*'01_Вводные'!$B$14^1+'19_Расчет_аналитики'!AG1375*'01_Вводные'!$B$88*'01_Вводные'!$B$14^2+'19_Расчет_аналитики'!AF1375*'01_Вводные'!$B$89*'01_Вводные'!$B$14^3)*'19_Расчет_аналитики'!$B$1070*'19_Расчет_аналитики'!$B$1098</f>
        <v/>
      </c>
      <c r="AJ1622">
        <f>('19_Расчет_аналитики'!AI1375*'01_Вводные'!$B$87*'01_Вводные'!$B$14^1+'19_Расчет_аналитики'!AH1375*'01_Вводные'!$B$88*'01_Вводные'!$B$14^2+'19_Расчет_аналитики'!AG1375*'01_Вводные'!$B$89*'01_Вводные'!$B$14^3)*'19_Расчет_аналитики'!$B$1070*'19_Расчет_аналитики'!$B$1098</f>
        <v/>
      </c>
      <c r="AK1622">
        <f>('19_Расчет_аналитики'!AJ1375*'01_Вводные'!$B$87*'01_Вводные'!$B$14^1+'19_Расчет_аналитики'!AI1375*'01_Вводные'!$B$88*'01_Вводные'!$B$14^2+'19_Расчет_аналитики'!AH1375*'01_Вводные'!$B$89*'01_Вводные'!$B$14^3)*'19_Расчет_аналитики'!$B$1070*'19_Расчет_аналитики'!$B$1098</f>
        <v/>
      </c>
      <c r="AL1622">
        <f>('19_Расчет_аналитики'!AK1375*'01_Вводные'!$B$87*'01_Вводные'!$B$14^1+'19_Расчет_аналитики'!AJ1375*'01_Вводные'!$B$88*'01_Вводные'!$B$14^2+'19_Расчет_аналитики'!AI1375*'01_Вводные'!$B$89*'01_Вводные'!$B$14^3)*'19_Расчет_аналитики'!$B$1070*'19_Расчет_аналитики'!$B$1098</f>
        <v/>
      </c>
      <c r="AM1622">
        <f>('19_Расчет_аналитики'!AL1375*'01_Вводные'!$B$87*'01_Вводные'!$B$14^1+'19_Расчет_аналитики'!AK1375*'01_Вводные'!$B$88*'01_Вводные'!$B$14^2+'19_Расчет_аналитики'!AJ1375*'01_Вводные'!$B$89*'01_Вводные'!$B$14^3)*'19_Расчет_аналитики'!$B$1070*'19_Расчет_аналитики'!$B$1098</f>
        <v/>
      </c>
      <c r="AN1622">
        <f>('19_Расчет_аналитики'!AM1375*'01_Вводные'!$B$87*'01_Вводные'!$B$14^1+'19_Расчет_аналитики'!AL1375*'01_Вводные'!$B$88*'01_Вводные'!$B$14^2+'19_Расчет_аналитики'!AK1375*'01_Вводные'!$B$89*'01_Вводные'!$B$14^3)*'19_Расчет_аналитики'!$B$1070*'19_Расчет_аналитики'!$B$1098</f>
        <v/>
      </c>
      <c r="AO1622">
        <f>('19_Расчет_аналитики'!AN1375*'01_Вводные'!$B$87*'01_Вводные'!$B$14^1+'19_Расчет_аналитики'!AM1375*'01_Вводные'!$B$88*'01_Вводные'!$B$14^2+'19_Расчет_аналитики'!AL1375*'01_Вводные'!$B$89*'01_Вводные'!$B$14^3)*'19_Расчет_аналитики'!$B$1070*'19_Расчет_аналитики'!$B$1098</f>
        <v/>
      </c>
      <c r="AP1622">
        <f>('19_Расчет_аналитики'!AO1375*'01_Вводные'!$B$87*'01_Вводные'!$B$14^1+'19_Расчет_аналитики'!AN1375*'01_Вводные'!$B$88*'01_Вводные'!$B$14^2+'19_Расчет_аналитики'!AM1375*'01_Вводные'!$B$89*'01_Вводные'!$B$14^3)*'19_Расчет_аналитики'!$B$1070*'19_Расчет_аналитики'!$B$1098</f>
        <v/>
      </c>
      <c r="AQ1622">
        <f>('19_Расчет_аналитики'!AP1375*'01_Вводные'!$B$87*'01_Вводные'!$B$14^1+'19_Расчет_аналитики'!AO1375*'01_Вводные'!$B$88*'01_Вводные'!$B$14^2+'19_Расчет_аналитики'!AN1375*'01_Вводные'!$B$89*'01_Вводные'!$B$14^3)*'19_Расчет_аналитики'!$B$1070*'19_Расчет_аналитики'!$B$1098</f>
        <v/>
      </c>
      <c r="AR1622">
        <f>('19_Расчет_аналитики'!AQ1375*'01_Вводные'!$B$87*'01_Вводные'!$B$14^1+'19_Расчет_аналитики'!AP1375*'01_Вводные'!$B$88*'01_Вводные'!$B$14^2+'19_Расчет_аналитики'!AO1375*'01_Вводные'!$B$89*'01_Вводные'!$B$14^3)*'19_Расчет_аналитики'!$B$1070*'19_Расчет_аналитики'!$B$1098</f>
        <v/>
      </c>
      <c r="AS1622">
        <f>('19_Расчет_аналитики'!AR1375*'01_Вводные'!$B$87*'01_Вводные'!$B$14^1+'19_Расчет_аналитики'!AQ1375*'01_Вводные'!$B$88*'01_Вводные'!$B$14^2+'19_Расчет_аналитики'!AP1375*'01_Вводные'!$B$89*'01_Вводные'!$B$14^3)*'19_Расчет_аналитики'!$B$1070*'19_Расчет_аналитики'!$B$1098</f>
        <v/>
      </c>
      <c r="AT1622">
        <f>('19_Расчет_аналитики'!AS1375*'01_Вводные'!$B$87*'01_Вводные'!$B$14^1+'19_Расчет_аналитики'!AR1375*'01_Вводные'!$B$88*'01_Вводные'!$B$14^2+'19_Расчет_аналитики'!AQ1375*'01_Вводные'!$B$89*'01_Вводные'!$B$14^3)*'19_Расчет_аналитики'!$B$1070*'19_Расчет_аналитики'!$B$1098</f>
        <v/>
      </c>
      <c r="AU1622">
        <f>('19_Расчет_аналитики'!AT1375*'01_Вводные'!$B$87*'01_Вводные'!$B$14^1+'19_Расчет_аналитики'!AS1375*'01_Вводные'!$B$88*'01_Вводные'!$B$14^2+'19_Расчет_аналитики'!AR1375*'01_Вводные'!$B$89*'01_Вводные'!$B$14^3)*'19_Расчет_аналитики'!$B$1070*'19_Расчет_аналитики'!$B$1098</f>
        <v/>
      </c>
      <c r="AV1622">
        <f>('19_Расчет_аналитики'!AU1375*'01_Вводные'!$B$87*'01_Вводные'!$B$14^1+'19_Расчет_аналитики'!AT1375*'01_Вводные'!$B$88*'01_Вводные'!$B$14^2+'19_Расчет_аналитики'!AS1375*'01_Вводные'!$B$89*'01_Вводные'!$B$14^3)*'19_Расчет_аналитики'!$B$1070*'19_Расчет_аналитики'!$B$1098</f>
        <v/>
      </c>
      <c r="AW1622">
        <f>('19_Расчет_аналитики'!AV1375*'01_Вводные'!$B$87*'01_Вводные'!$B$14^1+'19_Расчет_аналитики'!AU1375*'01_Вводные'!$B$88*'01_Вводные'!$B$14^2+'19_Расчет_аналитики'!AT1375*'01_Вводные'!$B$89*'01_Вводные'!$B$14^3)*'19_Расчет_аналитики'!$B$1070*'19_Расчет_аналитики'!$B$1098</f>
        <v/>
      </c>
      <c r="AX1622">
        <f>('19_Расчет_аналитики'!AW1375*'01_Вводные'!$B$87*'01_Вводные'!$B$14^1+'19_Расчет_аналитики'!AV1375*'01_Вводные'!$B$88*'01_Вводные'!$B$14^2+'19_Расчет_аналитики'!AU1375*'01_Вводные'!$B$89*'01_Вводные'!$B$14^3)*'19_Расчет_аналитики'!$B$1070*'19_Расчет_аналитики'!$B$1098</f>
        <v/>
      </c>
      <c r="AY1622">
        <f>('19_Расчет_аналитики'!AX1375*'01_Вводные'!$B$87*'01_Вводные'!$B$14^1+'19_Расчет_аналитики'!AW1375*'01_Вводные'!$B$88*'01_Вводные'!$B$14^2+'19_Расчет_аналитики'!AV1375*'01_Вводные'!$B$89*'01_Вводные'!$B$14^3)*'19_Расчет_аналитики'!$B$1070*'19_Расчет_аналитики'!$B$1098</f>
        <v/>
      </c>
      <c r="AZ1622">
        <f>('19_Расчет_аналитики'!AY1375*'01_Вводные'!$B$87*'01_Вводные'!$B$14^1+'19_Расчет_аналитики'!AX1375*'01_Вводные'!$B$88*'01_Вводные'!$B$14^2+'19_Расчет_аналитики'!AW1375*'01_Вводные'!$B$89*'01_Вводные'!$B$14^3)*'19_Расчет_аналитики'!$B$1070*'19_Расчет_аналитики'!$B$1098</f>
        <v/>
      </c>
      <c r="BA1622">
        <f>('19_Расчет_аналитики'!AZ1375*'01_Вводные'!$B$87*'01_Вводные'!$B$14^1+'19_Расчет_аналитики'!AY1375*'01_Вводные'!$B$88*'01_Вводные'!$B$14^2+'19_Расчет_аналитики'!AX1375*'01_Вводные'!$B$89*'01_Вводные'!$B$14^3)*'19_Расчет_аналитики'!$B$1070*'19_Расчет_аналитики'!$B$1098</f>
        <v/>
      </c>
      <c r="BB1622">
        <f>('19_Расчет_аналитики'!BA1375*'01_Вводные'!$B$87*'01_Вводные'!$B$14^1+'19_Расчет_аналитики'!AZ1375*'01_Вводные'!$B$88*'01_Вводные'!$B$14^2+'19_Расчет_аналитики'!AY1375*'01_Вводные'!$B$89*'01_Вводные'!$B$14^3)*'19_Расчет_аналитики'!$B$1070*'19_Расчет_аналитики'!$B$1098</f>
        <v/>
      </c>
      <c r="BC1622">
        <f>('19_Расчет_аналитики'!BB1375*'01_Вводные'!$B$87*'01_Вводные'!$B$14^1+'19_Расчет_аналитики'!BA1375*'01_Вводные'!$B$88*'01_Вводные'!$B$14^2+'19_Расчет_аналитики'!AZ1375*'01_Вводные'!$B$89*'01_Вводные'!$B$14^3)*'19_Расчет_аналитики'!$B$1070*'19_Расчет_аналитики'!$B$1098</f>
        <v/>
      </c>
      <c r="BD1622">
        <f>('19_Расчет_аналитики'!BC1375*'01_Вводные'!$B$87*'01_Вводные'!$B$14^1+'19_Расчет_аналитики'!BB1375*'01_Вводные'!$B$88*'01_Вводные'!$B$14^2+'19_Расчет_аналитики'!BA1375*'01_Вводные'!$B$89*'01_Вводные'!$B$14^3)*'19_Расчет_аналитики'!$B$1070*'19_Расчет_аналитики'!$B$1098</f>
        <v/>
      </c>
      <c r="BE1622">
        <f>('19_Расчет_аналитики'!BD1375*'01_Вводные'!$B$87*'01_Вводные'!$B$14^1+'19_Расчет_аналитики'!BC1375*'01_Вводные'!$B$88*'01_Вводные'!$B$14^2+'19_Расчет_аналитики'!BB1375*'01_Вводные'!$B$89*'01_Вводные'!$B$14^3)*'19_Расчет_аналитики'!$B$1070*'19_Расчет_аналитики'!$B$1098</f>
        <v/>
      </c>
      <c r="BF1622">
        <f>('19_Расчет_аналитики'!BE1375*'01_Вводные'!$B$87*'01_Вводные'!$B$14^1+'19_Расчет_аналитики'!BD1375*'01_Вводные'!$B$88*'01_Вводные'!$B$14^2+'19_Расчет_аналитики'!BC1375*'01_Вводные'!$B$89*'01_Вводные'!$B$14^3)*'19_Расчет_аналитики'!$B$1070*'19_Расчет_аналитики'!$B$1098</f>
        <v/>
      </c>
      <c r="BG1622">
        <f>('19_Расчет_аналитики'!BF1375*'01_Вводные'!$B$87*'01_Вводные'!$B$14^1+'19_Расчет_аналитики'!BE1375*'01_Вводные'!$B$88*'01_Вводные'!$B$14^2+'19_Расчет_аналитики'!BD1375*'01_Вводные'!$B$89*'01_Вводные'!$B$14^3)*'19_Расчет_аналитики'!$B$1070*'19_Расчет_аналитики'!$B$1098</f>
        <v/>
      </c>
      <c r="BH1622">
        <f>('19_Расчет_аналитики'!BG1375*'01_Вводные'!$B$87*'01_Вводные'!$B$14^1+'19_Расчет_аналитики'!BF1375*'01_Вводные'!$B$88*'01_Вводные'!$B$14^2+'19_Расчет_аналитики'!BE1375*'01_Вводные'!$B$89*'01_Вводные'!$B$14^3)*'19_Расчет_аналитики'!$B$1070*'19_Расчет_аналитики'!$B$1098</f>
        <v/>
      </c>
      <c r="BI1622">
        <f>('19_Расчет_аналитики'!BH1375*'01_Вводные'!$B$87*'01_Вводные'!$B$14^1+'19_Расчет_аналитики'!BG1375*'01_Вводные'!$B$88*'01_Вводные'!$B$14^2+'19_Расчет_аналитики'!BF1375*'01_Вводные'!$B$89*'01_Вводные'!$B$14^3)*'19_Расчет_аналитики'!$B$1070*'19_Расчет_аналитики'!$B$1098</f>
        <v/>
      </c>
      <c r="BJ1622">
        <f>('19_Расчет_аналитики'!BI1375*'01_Вводные'!$B$87*'01_Вводные'!$B$14^1+'19_Расчет_аналитики'!BH1375*'01_Вводные'!$B$88*'01_Вводные'!$B$14^2+'19_Расчет_аналитики'!BG1375*'01_Вводные'!$B$89*'01_Вводные'!$B$14^3)*'19_Расчет_аналитики'!$B$1070*'19_Расчет_аналитики'!$B$1098</f>
        <v/>
      </c>
      <c r="BK1622">
        <f>('19_Расчет_аналитики'!BJ1375*'01_Вводные'!$B$87*'01_Вводные'!$B$14^1+'19_Расчет_аналитики'!BI1375*'01_Вводные'!$B$88*'01_Вводные'!$B$14^2+'19_Расчет_аналитики'!BH1375*'01_Вводные'!$B$89*'01_Вводные'!$B$14^3)*'19_Расчет_аналитики'!$B$1070*'19_Расчет_аналитики'!$B$1098</f>
        <v/>
      </c>
      <c r="BL1622">
        <f>('19_Расчет_аналитики'!BK1375*'01_Вводные'!$B$87*'01_Вводные'!$B$14^1+'19_Расчет_аналитики'!BJ1375*'01_Вводные'!$B$88*'01_Вводные'!$B$14^2+'19_Расчет_аналитики'!BI1375*'01_Вводные'!$B$89*'01_Вводные'!$B$14^3)*'19_Расчет_аналитики'!$B$1070*'19_Расчет_аналитики'!$B$1098</f>
        <v/>
      </c>
      <c r="BM1622">
        <f>('19_Расчет_аналитики'!BL1375*'01_Вводные'!$B$87*'01_Вводные'!$B$14^1+'19_Расчет_аналитики'!BK1375*'01_Вводные'!$B$88*'01_Вводные'!$B$14^2+'19_Расчет_аналитики'!BJ1375*'01_Вводные'!$B$89*'01_Вводные'!$B$14^3)*'19_Расчет_аналитики'!$B$1070*'19_Расчет_аналитики'!$B$1098</f>
        <v/>
      </c>
      <c r="BN1622">
        <f>('19_Расчет_аналитики'!BM1375*'01_Вводные'!$B$87*'01_Вводные'!$B$14^1+'19_Расчет_аналитики'!BL1375*'01_Вводные'!$B$88*'01_Вводные'!$B$14^2+'19_Расчет_аналитики'!BK1375*'01_Вводные'!$B$89*'01_Вводные'!$B$14^3)*'19_Расчет_аналитики'!$B$1070*'19_Расчет_аналитики'!$B$1098</f>
        <v/>
      </c>
      <c r="BO1622">
        <f>('19_Расчет_аналитики'!BN1375*'01_Вводные'!$B$87*'01_Вводные'!$B$14^1+'19_Расчет_аналитики'!BM1375*'01_Вводные'!$B$88*'01_Вводные'!$B$14^2+'19_Расчет_аналитики'!BL1375*'01_Вводные'!$B$89*'01_Вводные'!$B$14^3)*'19_Расчет_аналитики'!$B$1070*'19_Расчет_аналитики'!$B$1098</f>
        <v/>
      </c>
    </row>
    <row r="1623">
      <c r="B1623">
        <f>'19_Расчет_аналитики'!B1558*'19_Расчет_аналитики'!$B$1098*'07_Мерч'!B4</f>
        <v/>
      </c>
      <c r="C1623">
        <f>'19_Расчет_аналитики'!C1558*'19_Расчет_аналитики'!$B$1098*'07_Мерч'!C4</f>
        <v/>
      </c>
      <c r="D1623">
        <f>'19_Расчет_аналитики'!D1558*'19_Расчет_аналитики'!$B$1098*'07_Мерч'!D4</f>
        <v/>
      </c>
      <c r="E1623">
        <f>'19_Расчет_аналитики'!E1558*'19_Расчет_аналитики'!$B$1098*'07_Мерч'!E4</f>
        <v/>
      </c>
      <c r="F1623">
        <f>'19_Расчет_аналитики'!F1558*'19_Расчет_аналитики'!$B$1098*'07_Мерч'!F4</f>
        <v/>
      </c>
      <c r="G1623">
        <f>'19_Расчет_аналитики'!G1558*'19_Расчет_аналитики'!$B$1098*'07_Мерч'!G4</f>
        <v/>
      </c>
      <c r="H1623">
        <f>'19_Расчет_аналитики'!H1558*'19_Расчет_аналитики'!$B$1098*'07_Мерч'!H4</f>
        <v/>
      </c>
      <c r="I1623">
        <f>'19_Расчет_аналитики'!I1558*'19_Расчет_аналитики'!$B$1098*'07_Мерч'!I4</f>
        <v/>
      </c>
      <c r="J1623">
        <f>'19_Расчет_аналитики'!J1558*'19_Расчет_аналитики'!$B$1098*'07_Мерч'!J4</f>
        <v/>
      </c>
      <c r="K1623">
        <f>'19_Расчет_аналитики'!K1558*'19_Расчет_аналитики'!$B$1098*'07_Мерч'!K4</f>
        <v/>
      </c>
      <c r="L1623">
        <f>'19_Расчет_аналитики'!L1558*'19_Расчет_аналитики'!$B$1098*'07_Мерч'!L4</f>
        <v/>
      </c>
      <c r="M1623">
        <f>'19_Расчет_аналитики'!M1558*'19_Расчет_аналитики'!$B$1098*'07_Мерч'!M4</f>
        <v/>
      </c>
      <c r="N1623">
        <f>'19_Расчет_аналитики'!N1558*'19_Расчет_аналитики'!$B$1098*'07_Мерч'!N4</f>
        <v/>
      </c>
      <c r="O1623">
        <f>'19_Расчет_аналитики'!O1558*'19_Расчет_аналитики'!$B$1098*'07_Мерч'!O4</f>
        <v/>
      </c>
      <c r="P1623">
        <f>'19_Расчет_аналитики'!P1558*'19_Расчет_аналитики'!$B$1098*'07_Мерч'!P4</f>
        <v/>
      </c>
      <c r="Q1623">
        <f>'19_Расчет_аналитики'!Q1558*'19_Расчет_аналитики'!$B$1098*'07_Мерч'!Q4</f>
        <v/>
      </c>
      <c r="R1623">
        <f>'19_Расчет_аналитики'!R1558*'19_Расчет_аналитики'!$B$1098*'07_Мерч'!R4</f>
        <v/>
      </c>
      <c r="S1623">
        <f>'19_Расчет_аналитики'!S1558*'19_Расчет_аналитики'!$B$1098*'07_Мерч'!S4</f>
        <v/>
      </c>
      <c r="T1623">
        <f>'19_Расчет_аналитики'!T1558*'19_Расчет_аналитики'!$B$1098*'07_Мерч'!T4</f>
        <v/>
      </c>
      <c r="U1623">
        <f>'19_Расчет_аналитики'!U1558*'19_Расчет_аналитики'!$B$1098*'07_Мерч'!U4</f>
        <v/>
      </c>
      <c r="V1623">
        <f>'19_Расчет_аналитики'!V1558*'19_Расчет_аналитики'!$B$1098*'07_Мерч'!V4</f>
        <v/>
      </c>
      <c r="W1623">
        <f>'19_Расчет_аналитики'!W1558*'19_Расчет_аналитики'!$B$1098*'07_Мерч'!W4</f>
        <v/>
      </c>
      <c r="X1623">
        <f>'19_Расчет_аналитики'!X1558*'19_Расчет_аналитики'!$B$1098*'07_Мерч'!X4</f>
        <v/>
      </c>
      <c r="Y1623">
        <f>'19_Расчет_аналитики'!Y1558*'19_Расчет_аналитики'!$B$1098*'07_Мерч'!Y4</f>
        <v/>
      </c>
      <c r="Z1623">
        <f>'19_Расчет_аналитики'!Z1558*'19_Расчет_аналитики'!$B$1098*'07_Мерч'!Z4</f>
        <v/>
      </c>
      <c r="AA1623">
        <f>'19_Расчет_аналитики'!AA1558*'19_Расчет_аналитики'!$B$1098*'07_Мерч'!AA4</f>
        <v/>
      </c>
      <c r="AB1623">
        <f>'19_Расчет_аналитики'!AB1558*'19_Расчет_аналитики'!$B$1098*'07_Мерч'!AB4</f>
        <v/>
      </c>
      <c r="AC1623">
        <f>'19_Расчет_аналитики'!AC1558*'19_Расчет_аналитики'!$B$1098*'07_Мерч'!AC4</f>
        <v/>
      </c>
      <c r="AD1623">
        <f>'19_Расчет_аналитики'!AD1558*'19_Расчет_аналитики'!$B$1098*'07_Мерч'!AD4</f>
        <v/>
      </c>
      <c r="AE1623">
        <f>'19_Расчет_аналитики'!AE1558*'19_Расчет_аналитики'!$B$1098*'07_Мерч'!AE4</f>
        <v/>
      </c>
      <c r="AF1623">
        <f>'19_Расчет_аналитики'!AF1558*'19_Расчет_аналитики'!$B$1098*'07_Мерч'!AF4</f>
        <v/>
      </c>
      <c r="AG1623">
        <f>'19_Расчет_аналитики'!AG1558*'19_Расчет_аналитики'!$B$1098*'07_Мерч'!AG4</f>
        <v/>
      </c>
      <c r="AH1623">
        <f>'19_Расчет_аналитики'!AH1558*'19_Расчет_аналитики'!$B$1098*'07_Мерч'!AH4</f>
        <v/>
      </c>
      <c r="AI1623">
        <f>'19_Расчет_аналитики'!AI1558*'19_Расчет_аналитики'!$B$1098*'07_Мерч'!AI4</f>
        <v/>
      </c>
      <c r="AJ1623">
        <f>'19_Расчет_аналитики'!AJ1558*'19_Расчет_аналитики'!$B$1098*'07_Мерч'!AJ4</f>
        <v/>
      </c>
      <c r="AK1623">
        <f>'19_Расчет_аналитики'!AK1558*'19_Расчет_аналитики'!$B$1098*'07_Мерч'!AK4</f>
        <v/>
      </c>
      <c r="AL1623">
        <f>'19_Расчет_аналитики'!AL1558*'19_Расчет_аналитики'!$B$1098*'07_Мерч'!AL4</f>
        <v/>
      </c>
      <c r="AM1623">
        <f>'19_Расчет_аналитики'!AM1558*'19_Расчет_аналитики'!$B$1098*'07_Мерч'!AM4</f>
        <v/>
      </c>
      <c r="AN1623">
        <f>'19_Расчет_аналитики'!AN1558*'19_Расчет_аналитики'!$B$1098*'07_Мерч'!AN4</f>
        <v/>
      </c>
      <c r="AO1623">
        <f>'19_Расчет_аналитики'!AO1558*'19_Расчет_аналитики'!$B$1098*'07_Мерч'!AO4</f>
        <v/>
      </c>
      <c r="AP1623">
        <f>'19_Расчет_аналитики'!AP1558*'19_Расчет_аналитики'!$B$1098*'07_Мерч'!AP4</f>
        <v/>
      </c>
      <c r="AQ1623">
        <f>'19_Расчет_аналитики'!AQ1558*'19_Расчет_аналитики'!$B$1098*'07_Мерч'!AQ4</f>
        <v/>
      </c>
      <c r="AR1623">
        <f>'19_Расчет_аналитики'!AR1558*'19_Расчет_аналитики'!$B$1098*'07_Мерч'!AR4</f>
        <v/>
      </c>
      <c r="AS1623">
        <f>'19_Расчет_аналитики'!AS1558*'19_Расчет_аналитики'!$B$1098*'07_Мерч'!AS4</f>
        <v/>
      </c>
      <c r="AT1623">
        <f>'19_Расчет_аналитики'!AT1558*'19_Расчет_аналитики'!$B$1098*'07_Мерч'!AT4</f>
        <v/>
      </c>
      <c r="AU1623">
        <f>'19_Расчет_аналитики'!AU1558*'19_Расчет_аналитики'!$B$1098*'07_Мерч'!AU4</f>
        <v/>
      </c>
      <c r="AV1623">
        <f>'19_Расчет_аналитики'!AV1558*'19_Расчет_аналитики'!$B$1098*'07_Мерч'!AV4</f>
        <v/>
      </c>
      <c r="AW1623">
        <f>'19_Расчет_аналитики'!AW1558*'19_Расчет_аналитики'!$B$1098*'07_Мерч'!AW4</f>
        <v/>
      </c>
      <c r="AX1623">
        <f>'19_Расчет_аналитики'!AX1558*'19_Расчет_аналитики'!$B$1098*'07_Мерч'!AX4</f>
        <v/>
      </c>
      <c r="AY1623">
        <f>'19_Расчет_аналитики'!AY1558*'19_Расчет_аналитики'!$B$1098*'07_Мерч'!AY4</f>
        <v/>
      </c>
      <c r="AZ1623">
        <f>'19_Расчет_аналитики'!AZ1558*'19_Расчет_аналитики'!$B$1098*'07_Мерч'!AZ4</f>
        <v/>
      </c>
      <c r="BA1623">
        <f>'19_Расчет_аналитики'!BA1558*'19_Расчет_аналитики'!$B$1098*'07_Мерч'!BA4</f>
        <v/>
      </c>
      <c r="BB1623">
        <f>'19_Расчет_аналитики'!BB1558*'19_Расчет_аналитики'!$B$1098*'07_Мерч'!BB4</f>
        <v/>
      </c>
      <c r="BC1623">
        <f>'19_Расчет_аналитики'!BC1558*'19_Расчет_аналитики'!$B$1098*'07_Мерч'!BC4</f>
        <v/>
      </c>
      <c r="BD1623">
        <f>'19_Расчет_аналитики'!BD1558*'19_Расчет_аналитики'!$B$1098*'07_Мерч'!BD4</f>
        <v/>
      </c>
      <c r="BE1623">
        <f>'19_Расчет_аналитики'!BE1558*'19_Расчет_аналитики'!$B$1098*'07_Мерч'!BE4</f>
        <v/>
      </c>
      <c r="BF1623">
        <f>'19_Расчет_аналитики'!BF1558*'19_Расчет_аналитики'!$B$1098*'07_Мерч'!BF4</f>
        <v/>
      </c>
      <c r="BG1623">
        <f>'19_Расчет_аналитики'!BG1558*'19_Расчет_аналитики'!$B$1098*'07_Мерч'!BG4</f>
        <v/>
      </c>
      <c r="BH1623">
        <f>'19_Расчет_аналитики'!BH1558*'19_Расчет_аналитики'!$B$1098*'07_Мерч'!BH4</f>
        <v/>
      </c>
      <c r="BI1623">
        <f>'19_Расчет_аналитики'!BI1558*'19_Расчет_аналитики'!$B$1098*'07_Мерч'!BI4</f>
        <v/>
      </c>
      <c r="BJ1623">
        <f>'19_Расчет_аналитики'!BJ1558*'19_Расчет_аналитики'!$B$1098*'07_Мерч'!BJ4</f>
        <v/>
      </c>
      <c r="BK1623">
        <f>'19_Расчет_аналитики'!BK1558*'19_Расчет_аналитики'!$B$1098*'07_Мерч'!BK4</f>
        <v/>
      </c>
      <c r="BL1623">
        <f>'19_Расчет_аналитики'!BL1558*'19_Расчет_аналитики'!$B$1098*'07_Мерч'!BL4</f>
        <v/>
      </c>
      <c r="BM1623">
        <f>'19_Расчет_аналитики'!BM1558*'19_Расчет_аналитики'!$B$1098*'07_Мерч'!BM4</f>
        <v/>
      </c>
      <c r="BN1623">
        <f>'19_Расчет_аналитики'!BN1558*'19_Расчет_аналитики'!$B$1098*'07_Мерч'!BN4</f>
        <v/>
      </c>
      <c r="BO1623">
        <f>'19_Расчет_аналитики'!BO1558*'19_Расчет_аналитики'!$B$1098*'07_Мерч'!BO4</f>
        <v/>
      </c>
    </row>
    <row r="1624">
      <c r="B1624">
        <f>SUM('19_Расчет_аналитики'!B1622:B1623)*'18_Календарь_тарифы'!B10</f>
        <v/>
      </c>
      <c r="C1624">
        <f>SUM('19_Расчет_аналитики'!C1622:C1623)*'18_Календарь_тарифы'!C10</f>
        <v/>
      </c>
      <c r="D1624">
        <f>SUM('19_Расчет_аналитики'!D1622:D1623)*'18_Календарь_тарифы'!D10</f>
        <v/>
      </c>
      <c r="E1624">
        <f>SUM('19_Расчет_аналитики'!E1622:E1623)*'18_Календарь_тарифы'!E10</f>
        <v/>
      </c>
      <c r="F1624">
        <f>SUM('19_Расчет_аналитики'!F1622:F1623)*'18_Календарь_тарифы'!F10</f>
        <v/>
      </c>
      <c r="G1624">
        <f>SUM('19_Расчет_аналитики'!G1622:G1623)*'18_Календарь_тарифы'!G10</f>
        <v/>
      </c>
      <c r="H1624">
        <f>SUM('19_Расчет_аналитики'!H1622:H1623)*'18_Календарь_тарифы'!H10</f>
        <v/>
      </c>
      <c r="I1624">
        <f>SUM('19_Расчет_аналитики'!I1622:I1623)*'18_Календарь_тарифы'!I10</f>
        <v/>
      </c>
      <c r="J1624">
        <f>SUM('19_Расчет_аналитики'!J1622:J1623)*'18_Календарь_тарифы'!J10</f>
        <v/>
      </c>
      <c r="K1624">
        <f>SUM('19_Расчет_аналитики'!K1622:K1623)*'18_Календарь_тарифы'!K10</f>
        <v/>
      </c>
      <c r="L1624">
        <f>SUM('19_Расчет_аналитики'!L1622:L1623)*'18_Календарь_тарифы'!L10</f>
        <v/>
      </c>
      <c r="M1624">
        <f>SUM('19_Расчет_аналитики'!M1622:M1623)*'18_Календарь_тарифы'!M10</f>
        <v/>
      </c>
      <c r="N1624">
        <f>SUM('19_Расчет_аналитики'!N1622:N1623)*'18_Календарь_тарифы'!N10</f>
        <v/>
      </c>
      <c r="O1624">
        <f>SUM('19_Расчет_аналитики'!O1622:O1623)*'18_Календарь_тарифы'!O10</f>
        <v/>
      </c>
      <c r="P1624">
        <f>SUM('19_Расчет_аналитики'!P1622:P1623)*'18_Календарь_тарифы'!P10</f>
        <v/>
      </c>
      <c r="Q1624">
        <f>SUM('19_Расчет_аналитики'!Q1622:Q1623)*'18_Календарь_тарифы'!Q10</f>
        <v/>
      </c>
      <c r="R1624">
        <f>SUM('19_Расчет_аналитики'!R1622:R1623)*'18_Календарь_тарифы'!R10</f>
        <v/>
      </c>
      <c r="S1624">
        <f>SUM('19_Расчет_аналитики'!S1622:S1623)*'18_Календарь_тарифы'!S10</f>
        <v/>
      </c>
      <c r="T1624">
        <f>SUM('19_Расчет_аналитики'!T1622:T1623)*'18_Календарь_тарифы'!T10</f>
        <v/>
      </c>
      <c r="U1624">
        <f>SUM('19_Расчет_аналитики'!U1622:U1623)*'18_Календарь_тарифы'!U10</f>
        <v/>
      </c>
      <c r="V1624">
        <f>SUM('19_Расчет_аналитики'!V1622:V1623)*'18_Календарь_тарифы'!V10</f>
        <v/>
      </c>
      <c r="W1624">
        <f>SUM('19_Расчет_аналитики'!W1622:W1623)*'18_Календарь_тарифы'!W10</f>
        <v/>
      </c>
      <c r="X1624">
        <f>SUM('19_Расчет_аналитики'!X1622:X1623)*'18_Календарь_тарифы'!X10</f>
        <v/>
      </c>
      <c r="Y1624">
        <f>SUM('19_Расчет_аналитики'!Y1622:Y1623)*'18_Календарь_тарифы'!Y10</f>
        <v/>
      </c>
      <c r="Z1624">
        <f>SUM('19_Расчет_аналитики'!Z1622:Z1623)*'18_Календарь_тарифы'!Z10</f>
        <v/>
      </c>
      <c r="AA1624">
        <f>SUM('19_Расчет_аналитики'!AA1622:AA1623)*'18_Календарь_тарифы'!AA10</f>
        <v/>
      </c>
      <c r="AB1624">
        <f>SUM('19_Расчет_аналитики'!AB1622:AB1623)*'18_Календарь_тарифы'!AB10</f>
        <v/>
      </c>
      <c r="AC1624">
        <f>SUM('19_Расчет_аналитики'!AC1622:AC1623)*'18_Календарь_тарифы'!AC10</f>
        <v/>
      </c>
      <c r="AD1624">
        <f>SUM('19_Расчет_аналитики'!AD1622:AD1623)*'18_Календарь_тарифы'!AD10</f>
        <v/>
      </c>
      <c r="AE1624">
        <f>SUM('19_Расчет_аналитики'!AE1622:AE1623)*'18_Календарь_тарифы'!AE10</f>
        <v/>
      </c>
      <c r="AF1624">
        <f>SUM('19_Расчет_аналитики'!AF1622:AF1623)*'18_Календарь_тарифы'!AF10</f>
        <v/>
      </c>
      <c r="AG1624">
        <f>SUM('19_Расчет_аналитики'!AG1622:AG1623)*'18_Календарь_тарифы'!AG10</f>
        <v/>
      </c>
      <c r="AH1624">
        <f>SUM('19_Расчет_аналитики'!AH1622:AH1623)*'18_Календарь_тарифы'!AH10</f>
        <v/>
      </c>
      <c r="AI1624">
        <f>SUM('19_Расчет_аналитики'!AI1622:AI1623)*'18_Календарь_тарифы'!AI10</f>
        <v/>
      </c>
      <c r="AJ1624">
        <f>SUM('19_Расчет_аналитики'!AJ1622:AJ1623)*'18_Календарь_тарифы'!AJ10</f>
        <v/>
      </c>
      <c r="AK1624">
        <f>SUM('19_Расчет_аналитики'!AK1622:AK1623)*'18_Календарь_тарифы'!AK10</f>
        <v/>
      </c>
      <c r="AL1624">
        <f>SUM('19_Расчет_аналитики'!AL1622:AL1623)*'18_Календарь_тарифы'!AL10</f>
        <v/>
      </c>
      <c r="AM1624">
        <f>SUM('19_Расчет_аналитики'!AM1622:AM1623)*'18_Календарь_тарифы'!AM10</f>
        <v/>
      </c>
      <c r="AN1624">
        <f>SUM('19_Расчет_аналитики'!AN1622:AN1623)*'18_Календарь_тарифы'!AN10</f>
        <v/>
      </c>
      <c r="AO1624">
        <f>SUM('19_Расчет_аналитики'!AO1622:AO1623)*'18_Календарь_тарифы'!AO10</f>
        <v/>
      </c>
      <c r="AP1624">
        <f>SUM('19_Расчет_аналитики'!AP1622:AP1623)*'18_Календарь_тарифы'!AP10</f>
        <v/>
      </c>
      <c r="AQ1624">
        <f>SUM('19_Расчет_аналитики'!AQ1622:AQ1623)*'18_Календарь_тарифы'!AQ10</f>
        <v/>
      </c>
      <c r="AR1624">
        <f>SUM('19_Расчет_аналитики'!AR1622:AR1623)*'18_Календарь_тарифы'!AR10</f>
        <v/>
      </c>
      <c r="AS1624">
        <f>SUM('19_Расчет_аналитики'!AS1622:AS1623)*'18_Календарь_тарифы'!AS10</f>
        <v/>
      </c>
      <c r="AT1624">
        <f>SUM('19_Расчет_аналитики'!AT1622:AT1623)*'18_Календарь_тарифы'!AT10</f>
        <v/>
      </c>
      <c r="AU1624">
        <f>SUM('19_Расчет_аналитики'!AU1622:AU1623)*'18_Календарь_тарифы'!AU10</f>
        <v/>
      </c>
      <c r="AV1624">
        <f>SUM('19_Расчет_аналитики'!AV1622:AV1623)*'18_Календарь_тарифы'!AV10</f>
        <v/>
      </c>
      <c r="AW1624">
        <f>SUM('19_Расчет_аналитики'!AW1622:AW1623)*'18_Календарь_тарифы'!AW10</f>
        <v/>
      </c>
      <c r="AX1624">
        <f>SUM('19_Расчет_аналитики'!AX1622:AX1623)*'18_Календарь_тарифы'!AX10</f>
        <v/>
      </c>
      <c r="AY1624">
        <f>SUM('19_Расчет_аналитики'!AY1622:AY1623)*'18_Календарь_тарифы'!AY10</f>
        <v/>
      </c>
      <c r="AZ1624">
        <f>SUM('19_Расчет_аналитики'!AZ1622:AZ1623)*'18_Календарь_тарифы'!AZ10</f>
        <v/>
      </c>
      <c r="BA1624">
        <f>SUM('19_Расчет_аналитики'!BA1622:BA1623)*'18_Календарь_тарифы'!BA10</f>
        <v/>
      </c>
      <c r="BB1624">
        <f>SUM('19_Расчет_аналитики'!BB1622:BB1623)*'18_Календарь_тарифы'!BB10</f>
        <v/>
      </c>
      <c r="BC1624">
        <f>SUM('19_Расчет_аналитики'!BC1622:BC1623)*'18_Календарь_тарифы'!BC10</f>
        <v/>
      </c>
      <c r="BD1624">
        <f>SUM('19_Расчет_аналитики'!BD1622:BD1623)*'18_Календарь_тарифы'!BD10</f>
        <v/>
      </c>
      <c r="BE1624">
        <f>SUM('19_Расчет_аналитики'!BE1622:BE1623)*'18_Календарь_тарифы'!BE10</f>
        <v/>
      </c>
      <c r="BF1624">
        <f>SUM('19_Расчет_аналитики'!BF1622:BF1623)*'18_Календарь_тарифы'!BF10</f>
        <v/>
      </c>
      <c r="BG1624">
        <f>SUM('19_Расчет_аналитики'!BG1622:BG1623)*'18_Календарь_тарифы'!BG10</f>
        <v/>
      </c>
      <c r="BH1624">
        <f>SUM('19_Расчет_аналитики'!BH1622:BH1623)*'18_Календарь_тарифы'!BH10</f>
        <v/>
      </c>
      <c r="BI1624">
        <f>SUM('19_Расчет_аналитики'!BI1622:BI1623)*'18_Календарь_тарифы'!BI10</f>
        <v/>
      </c>
      <c r="BJ1624">
        <f>SUM('19_Расчет_аналитики'!BJ1622:BJ1623)*'18_Календарь_тарифы'!BJ10</f>
        <v/>
      </c>
      <c r="BK1624">
        <f>SUM('19_Расчет_аналитики'!BK1622:BK1623)*'18_Календарь_тарифы'!BK10</f>
        <v/>
      </c>
      <c r="BL1624">
        <f>SUM('19_Расчет_аналитики'!BL1622:BL1623)*'18_Календарь_тарифы'!BL10</f>
        <v/>
      </c>
      <c r="BM1624">
        <f>SUM('19_Расчет_аналитики'!BM1622:BM1623)*'18_Календарь_тарифы'!BM10</f>
        <v/>
      </c>
      <c r="BN1624">
        <f>SUM('19_Расчет_аналитики'!BN1622:BN1623)*'18_Календарь_тарифы'!BN10</f>
        <v/>
      </c>
      <c r="BO1624">
        <f>SUM('19_Расчет_аналитики'!BO1622:BO1623)*'18_Календарь_тарифы'!BO10</f>
        <v/>
      </c>
    </row>
    <row r="1625">
      <c r="B1625">
        <f>SUM('19_Расчет_аналитики'!B1622:B1623)*'18_Календарь_тарифы'!B9</f>
        <v/>
      </c>
      <c r="C1625">
        <f>SUM('19_Расчет_аналитики'!C1622:C1623)*'18_Календарь_тарифы'!C9</f>
        <v/>
      </c>
      <c r="D1625">
        <f>SUM('19_Расчет_аналитики'!D1622:D1623)*'18_Календарь_тарифы'!D9</f>
        <v/>
      </c>
      <c r="E1625">
        <f>SUM('19_Расчет_аналитики'!E1622:E1623)*'18_Календарь_тарифы'!E9</f>
        <v/>
      </c>
      <c r="F1625">
        <f>SUM('19_Расчет_аналитики'!F1622:F1623)*'18_Календарь_тарифы'!F9</f>
        <v/>
      </c>
      <c r="G1625">
        <f>SUM('19_Расчет_аналитики'!G1622:G1623)*'18_Календарь_тарифы'!G9</f>
        <v/>
      </c>
      <c r="H1625">
        <f>SUM('19_Расчет_аналитики'!H1622:H1623)*'18_Календарь_тарифы'!H9</f>
        <v/>
      </c>
      <c r="I1625">
        <f>SUM('19_Расчет_аналитики'!I1622:I1623)*'18_Календарь_тарифы'!I9</f>
        <v/>
      </c>
      <c r="J1625">
        <f>SUM('19_Расчет_аналитики'!J1622:J1623)*'18_Календарь_тарифы'!J9</f>
        <v/>
      </c>
      <c r="K1625">
        <f>SUM('19_Расчет_аналитики'!K1622:K1623)*'18_Календарь_тарифы'!K9</f>
        <v/>
      </c>
      <c r="L1625">
        <f>SUM('19_Расчет_аналитики'!L1622:L1623)*'18_Календарь_тарифы'!L9</f>
        <v/>
      </c>
      <c r="M1625">
        <f>SUM('19_Расчет_аналитики'!M1622:M1623)*'18_Календарь_тарифы'!M9</f>
        <v/>
      </c>
      <c r="N1625">
        <f>SUM('19_Расчет_аналитики'!N1622:N1623)*'18_Календарь_тарифы'!N9</f>
        <v/>
      </c>
      <c r="O1625">
        <f>SUM('19_Расчет_аналитики'!O1622:O1623)*'18_Календарь_тарифы'!O9</f>
        <v/>
      </c>
      <c r="P1625">
        <f>SUM('19_Расчет_аналитики'!P1622:P1623)*'18_Календарь_тарифы'!P9</f>
        <v/>
      </c>
      <c r="Q1625">
        <f>SUM('19_Расчет_аналитики'!Q1622:Q1623)*'18_Календарь_тарифы'!Q9</f>
        <v/>
      </c>
      <c r="R1625">
        <f>SUM('19_Расчет_аналитики'!R1622:R1623)*'18_Календарь_тарифы'!R9</f>
        <v/>
      </c>
      <c r="S1625">
        <f>SUM('19_Расчет_аналитики'!S1622:S1623)*'18_Календарь_тарифы'!S9</f>
        <v/>
      </c>
      <c r="T1625">
        <f>SUM('19_Расчет_аналитики'!T1622:T1623)*'18_Календарь_тарифы'!T9</f>
        <v/>
      </c>
      <c r="U1625">
        <f>SUM('19_Расчет_аналитики'!U1622:U1623)*'18_Календарь_тарифы'!U9</f>
        <v/>
      </c>
      <c r="V1625">
        <f>SUM('19_Расчет_аналитики'!V1622:V1623)*'18_Календарь_тарифы'!V9</f>
        <v/>
      </c>
      <c r="W1625">
        <f>SUM('19_Расчет_аналитики'!W1622:W1623)*'18_Календарь_тарифы'!W9</f>
        <v/>
      </c>
      <c r="X1625">
        <f>SUM('19_Расчет_аналитики'!X1622:X1623)*'18_Календарь_тарифы'!X9</f>
        <v/>
      </c>
      <c r="Y1625">
        <f>SUM('19_Расчет_аналитики'!Y1622:Y1623)*'18_Календарь_тарифы'!Y9</f>
        <v/>
      </c>
      <c r="Z1625">
        <f>SUM('19_Расчет_аналитики'!Z1622:Z1623)*'18_Календарь_тарифы'!Z9</f>
        <v/>
      </c>
      <c r="AA1625">
        <f>SUM('19_Расчет_аналитики'!AA1622:AA1623)*'18_Календарь_тарифы'!AA9</f>
        <v/>
      </c>
      <c r="AB1625">
        <f>SUM('19_Расчет_аналитики'!AB1622:AB1623)*'18_Календарь_тарифы'!AB9</f>
        <v/>
      </c>
      <c r="AC1625">
        <f>SUM('19_Расчет_аналитики'!AC1622:AC1623)*'18_Календарь_тарифы'!AC9</f>
        <v/>
      </c>
      <c r="AD1625">
        <f>SUM('19_Расчет_аналитики'!AD1622:AD1623)*'18_Календарь_тарифы'!AD9</f>
        <v/>
      </c>
      <c r="AE1625">
        <f>SUM('19_Расчет_аналитики'!AE1622:AE1623)*'18_Календарь_тарифы'!AE9</f>
        <v/>
      </c>
      <c r="AF1625">
        <f>SUM('19_Расчет_аналитики'!AF1622:AF1623)*'18_Календарь_тарифы'!AF9</f>
        <v/>
      </c>
      <c r="AG1625">
        <f>SUM('19_Расчет_аналитики'!AG1622:AG1623)*'18_Календарь_тарифы'!AG9</f>
        <v/>
      </c>
      <c r="AH1625">
        <f>SUM('19_Расчет_аналитики'!AH1622:AH1623)*'18_Календарь_тарифы'!AH9</f>
        <v/>
      </c>
      <c r="AI1625">
        <f>SUM('19_Расчет_аналитики'!AI1622:AI1623)*'18_Календарь_тарифы'!AI9</f>
        <v/>
      </c>
      <c r="AJ1625">
        <f>SUM('19_Расчет_аналитики'!AJ1622:AJ1623)*'18_Календарь_тарифы'!AJ9</f>
        <v/>
      </c>
      <c r="AK1625">
        <f>SUM('19_Расчет_аналитики'!AK1622:AK1623)*'18_Календарь_тарифы'!AK9</f>
        <v/>
      </c>
      <c r="AL1625">
        <f>SUM('19_Расчет_аналитики'!AL1622:AL1623)*'18_Календарь_тарифы'!AL9</f>
        <v/>
      </c>
      <c r="AM1625">
        <f>SUM('19_Расчет_аналитики'!AM1622:AM1623)*'18_Календарь_тарифы'!AM9</f>
        <v/>
      </c>
      <c r="AN1625">
        <f>SUM('19_Расчет_аналитики'!AN1622:AN1623)*'18_Календарь_тарифы'!AN9</f>
        <v/>
      </c>
      <c r="AO1625">
        <f>SUM('19_Расчет_аналитики'!AO1622:AO1623)*'18_Календарь_тарифы'!AO9</f>
        <v/>
      </c>
      <c r="AP1625">
        <f>SUM('19_Расчет_аналитики'!AP1622:AP1623)*'18_Календарь_тарифы'!AP9</f>
        <v/>
      </c>
      <c r="AQ1625">
        <f>SUM('19_Расчет_аналитики'!AQ1622:AQ1623)*'18_Календарь_тарифы'!AQ9</f>
        <v/>
      </c>
      <c r="AR1625">
        <f>SUM('19_Расчет_аналитики'!AR1622:AR1623)*'18_Календарь_тарифы'!AR9</f>
        <v/>
      </c>
      <c r="AS1625">
        <f>SUM('19_Расчет_аналитики'!AS1622:AS1623)*'18_Календарь_тарифы'!AS9</f>
        <v/>
      </c>
      <c r="AT1625">
        <f>SUM('19_Расчет_аналитики'!AT1622:AT1623)*'18_Календарь_тарифы'!AT9</f>
        <v/>
      </c>
      <c r="AU1625">
        <f>SUM('19_Расчет_аналитики'!AU1622:AU1623)*'18_Календарь_тарифы'!AU9</f>
        <v/>
      </c>
      <c r="AV1625">
        <f>SUM('19_Расчет_аналитики'!AV1622:AV1623)*'18_Календарь_тарифы'!AV9</f>
        <v/>
      </c>
      <c r="AW1625">
        <f>SUM('19_Расчет_аналитики'!AW1622:AW1623)*'18_Календарь_тарифы'!AW9</f>
        <v/>
      </c>
      <c r="AX1625">
        <f>SUM('19_Расчет_аналитики'!AX1622:AX1623)*'18_Календарь_тарифы'!AX9</f>
        <v/>
      </c>
      <c r="AY1625">
        <f>SUM('19_Расчет_аналитики'!AY1622:AY1623)*'18_Календарь_тарифы'!AY9</f>
        <v/>
      </c>
      <c r="AZ1625">
        <f>SUM('19_Расчет_аналитики'!AZ1622:AZ1623)*'18_Календарь_тарифы'!AZ9</f>
        <v/>
      </c>
      <c r="BA1625">
        <f>SUM('19_Расчет_аналитики'!BA1622:BA1623)*'18_Календарь_тарифы'!BA9</f>
        <v/>
      </c>
      <c r="BB1625">
        <f>SUM('19_Расчет_аналитики'!BB1622:BB1623)*'18_Календарь_тарифы'!BB9</f>
        <v/>
      </c>
      <c r="BC1625">
        <f>SUM('19_Расчет_аналитики'!BC1622:BC1623)*'18_Календарь_тарифы'!BC9</f>
        <v/>
      </c>
      <c r="BD1625">
        <f>SUM('19_Расчет_аналитики'!BD1622:BD1623)*'18_Календарь_тарифы'!BD9</f>
        <v/>
      </c>
      <c r="BE1625">
        <f>SUM('19_Расчет_аналитики'!BE1622:BE1623)*'18_Календарь_тарифы'!BE9</f>
        <v/>
      </c>
      <c r="BF1625">
        <f>SUM('19_Расчет_аналитики'!BF1622:BF1623)*'18_Календарь_тарифы'!BF9</f>
        <v/>
      </c>
      <c r="BG1625">
        <f>SUM('19_Расчет_аналитики'!BG1622:BG1623)*'18_Календарь_тарифы'!BG9</f>
        <v/>
      </c>
      <c r="BH1625">
        <f>SUM('19_Расчет_аналитики'!BH1622:BH1623)*'18_Календарь_тарифы'!BH9</f>
        <v/>
      </c>
      <c r="BI1625">
        <f>SUM('19_Расчет_аналитики'!BI1622:BI1623)*'18_Календарь_тарифы'!BI9</f>
        <v/>
      </c>
      <c r="BJ1625">
        <f>SUM('19_Расчет_аналитики'!BJ1622:BJ1623)*'18_Календарь_тарифы'!BJ9</f>
        <v/>
      </c>
      <c r="BK1625">
        <f>SUM('19_Расчет_аналитики'!BK1622:BK1623)*'18_Календарь_тарифы'!BK9</f>
        <v/>
      </c>
      <c r="BL1625">
        <f>SUM('19_Расчет_аналитики'!BL1622:BL1623)*'18_Календарь_тарифы'!BL9</f>
        <v/>
      </c>
      <c r="BM1625">
        <f>SUM('19_Расчет_аналитики'!BM1622:BM1623)*'18_Календарь_тарифы'!BM9</f>
        <v/>
      </c>
      <c r="BN1625">
        <f>SUM('19_Расчет_аналитики'!BN1622:BN1623)*'18_Календарь_тарифы'!BN9</f>
        <v/>
      </c>
      <c r="BO1625">
        <f>SUM('19_Расчет_аналитики'!BO1622:BO1623)*'18_Календарь_тарифы'!BO9</f>
        <v/>
      </c>
    </row>
    <row r="1626"/>
    <row r="1627">
      <c r="B1627">
        <f>'07_Мерч'!B6+'19_Расчет_аналитики'!B1624</f>
        <v/>
      </c>
      <c r="C1627">
        <f>'07_Мерч'!C6+'19_Расчет_аналитики'!C1624</f>
        <v/>
      </c>
      <c r="D1627">
        <f>'07_Мерч'!D6+'19_Расчет_аналитики'!D1624</f>
        <v/>
      </c>
      <c r="E1627">
        <f>'07_Мерч'!E6+'19_Расчет_аналитики'!E1624</f>
        <v/>
      </c>
      <c r="F1627">
        <f>'19_Расчет_аналитики'!F1619+'19_Расчет_аналитики'!F1624</f>
        <v/>
      </c>
      <c r="G1627">
        <f>'19_Расчет_аналитики'!G1619+'19_Расчет_аналитики'!G1624</f>
        <v/>
      </c>
      <c r="H1627">
        <f>'19_Расчет_аналитики'!H1619+'19_Расчет_аналитики'!H1624</f>
        <v/>
      </c>
      <c r="I1627">
        <f>'19_Расчет_аналитики'!I1619+'19_Расчет_аналитики'!I1624</f>
        <v/>
      </c>
      <c r="J1627">
        <f>'19_Расчет_аналитики'!J1619+'19_Расчет_аналитики'!J1624</f>
        <v/>
      </c>
      <c r="K1627">
        <f>'19_Расчет_аналитики'!K1619+'19_Расчет_аналитики'!K1624</f>
        <v/>
      </c>
      <c r="L1627">
        <f>'19_Расчет_аналитики'!L1619+'19_Расчет_аналитики'!L1624</f>
        <v/>
      </c>
      <c r="M1627">
        <f>'19_Расчет_аналитики'!M1619+'19_Расчет_аналитики'!M1624</f>
        <v/>
      </c>
      <c r="N1627">
        <f>'19_Расчет_аналитики'!N1619+'19_Расчет_аналитики'!N1624</f>
        <v/>
      </c>
      <c r="O1627">
        <f>'19_Расчет_аналитики'!O1619+'19_Расчет_аналитики'!O1624</f>
        <v/>
      </c>
      <c r="P1627">
        <f>'19_Расчет_аналитики'!P1619+'19_Расчет_аналитики'!P1624</f>
        <v/>
      </c>
      <c r="Q1627">
        <f>'19_Расчет_аналитики'!Q1619+'19_Расчет_аналитики'!Q1624</f>
        <v/>
      </c>
      <c r="R1627">
        <f>'19_Расчет_аналитики'!R1619+'19_Расчет_аналитики'!R1624</f>
        <v/>
      </c>
      <c r="S1627">
        <f>'19_Расчет_аналитики'!S1619+'19_Расчет_аналитики'!S1624</f>
        <v/>
      </c>
      <c r="T1627">
        <f>'19_Расчет_аналитики'!T1619+'19_Расчет_аналитики'!T1624</f>
        <v/>
      </c>
      <c r="U1627">
        <f>'19_Расчет_аналитики'!U1619+'19_Расчет_аналитики'!U1624</f>
        <v/>
      </c>
      <c r="V1627">
        <f>'19_Расчет_аналитики'!V1619+'19_Расчет_аналитики'!V1624</f>
        <v/>
      </c>
      <c r="W1627">
        <f>'19_Расчет_аналитики'!W1619+'19_Расчет_аналитики'!W1624</f>
        <v/>
      </c>
      <c r="X1627">
        <f>'19_Расчет_аналитики'!X1619+'19_Расчет_аналитики'!X1624</f>
        <v/>
      </c>
      <c r="Y1627">
        <f>'19_Расчет_аналитики'!Y1619+'19_Расчет_аналитики'!Y1624</f>
        <v/>
      </c>
      <c r="Z1627">
        <f>'19_Расчет_аналитики'!Z1619+'19_Расчет_аналитики'!Z1624</f>
        <v/>
      </c>
      <c r="AA1627">
        <f>'19_Расчет_аналитики'!AA1619+'19_Расчет_аналитики'!AA1624</f>
        <v/>
      </c>
      <c r="AB1627">
        <f>'19_Расчет_аналитики'!AB1619+'19_Расчет_аналитики'!AB1624</f>
        <v/>
      </c>
      <c r="AC1627">
        <f>'19_Расчет_аналитики'!AC1619+'19_Расчет_аналитики'!AC1624</f>
        <v/>
      </c>
      <c r="AD1627">
        <f>'19_Расчет_аналитики'!AD1619+'19_Расчет_аналитики'!AD1624</f>
        <v/>
      </c>
      <c r="AE1627">
        <f>'19_Расчет_аналитики'!AE1619+'19_Расчет_аналитики'!AE1624</f>
        <v/>
      </c>
      <c r="AF1627">
        <f>'19_Расчет_аналитики'!AF1619+'19_Расчет_аналитики'!AF1624</f>
        <v/>
      </c>
      <c r="AG1627">
        <f>'19_Расчет_аналитики'!AG1619+'19_Расчет_аналитики'!AG1624</f>
        <v/>
      </c>
      <c r="AH1627">
        <f>'19_Расчет_аналитики'!AH1619+'19_Расчет_аналитики'!AH1624</f>
        <v/>
      </c>
      <c r="AI1627">
        <f>'19_Расчет_аналитики'!AI1619+'19_Расчет_аналитики'!AI1624</f>
        <v/>
      </c>
      <c r="AJ1627">
        <f>'19_Расчет_аналитики'!AJ1619+'19_Расчет_аналитики'!AJ1624</f>
        <v/>
      </c>
      <c r="AK1627">
        <f>'19_Расчет_аналитики'!AK1619+'19_Расчет_аналитики'!AK1624</f>
        <v/>
      </c>
      <c r="AL1627">
        <f>'19_Расчет_аналитики'!AL1619+'19_Расчет_аналитики'!AL1624</f>
        <v/>
      </c>
      <c r="AM1627">
        <f>'19_Расчет_аналитики'!AM1619+'19_Расчет_аналитики'!AM1624</f>
        <v/>
      </c>
      <c r="AN1627">
        <f>'19_Расчет_аналитики'!AN1619+'19_Расчет_аналитики'!AN1624</f>
        <v/>
      </c>
      <c r="AO1627">
        <f>'19_Расчет_аналитики'!AO1619+'19_Расчет_аналитики'!AO1624</f>
        <v/>
      </c>
      <c r="AP1627">
        <f>'19_Расчет_аналитики'!AP1619+'19_Расчет_аналитики'!AP1624</f>
        <v/>
      </c>
      <c r="AQ1627">
        <f>'19_Расчет_аналитики'!AQ1619+'19_Расчет_аналитики'!AQ1624</f>
        <v/>
      </c>
      <c r="AR1627">
        <f>'19_Расчет_аналитики'!AR1619+'19_Расчет_аналитики'!AR1624</f>
        <v/>
      </c>
      <c r="AS1627">
        <f>'19_Расчет_аналитики'!AS1619+'19_Расчет_аналитики'!AS1624</f>
        <v/>
      </c>
      <c r="AT1627">
        <f>'19_Расчет_аналитики'!AT1619+'19_Расчет_аналитики'!AT1624</f>
        <v/>
      </c>
      <c r="AU1627">
        <f>'19_Расчет_аналитики'!AU1619+'19_Расчет_аналитики'!AU1624</f>
        <v/>
      </c>
      <c r="AV1627">
        <f>'19_Расчет_аналитики'!AV1619+'19_Расчет_аналитики'!AV1624</f>
        <v/>
      </c>
      <c r="AW1627">
        <f>'19_Расчет_аналитики'!AW1619+'19_Расчет_аналитики'!AW1624</f>
        <v/>
      </c>
      <c r="AX1627">
        <f>'19_Расчет_аналитики'!AX1619+'19_Расчет_аналитики'!AX1624</f>
        <v/>
      </c>
      <c r="AY1627">
        <f>'19_Расчет_аналитики'!AY1619+'19_Расчет_аналитики'!AY1624</f>
        <v/>
      </c>
      <c r="AZ1627">
        <f>'19_Расчет_аналитики'!AZ1619+'19_Расчет_аналитики'!AZ1624</f>
        <v/>
      </c>
      <c r="BA1627">
        <f>'19_Расчет_аналитики'!BA1619+'19_Расчет_аналитики'!BA1624</f>
        <v/>
      </c>
      <c r="BB1627">
        <f>'19_Расчет_аналитики'!BB1619+'19_Расчет_аналитики'!BB1624</f>
        <v/>
      </c>
      <c r="BC1627">
        <f>'19_Расчет_аналитики'!BC1619+'19_Расчет_аналитики'!BC1624</f>
        <v/>
      </c>
      <c r="BD1627">
        <f>'19_Расчет_аналитики'!BD1619+'19_Расчет_аналитики'!BD1624</f>
        <v/>
      </c>
      <c r="BE1627">
        <f>'19_Расчет_аналитики'!BE1619+'19_Расчет_аналитики'!BE1624</f>
        <v/>
      </c>
      <c r="BF1627">
        <f>'19_Расчет_аналитики'!BF1619+'19_Расчет_аналитики'!BF1624</f>
        <v/>
      </c>
      <c r="BG1627">
        <f>'19_Расчет_аналитики'!BG1619+'19_Расчет_аналитики'!BG1624</f>
        <v/>
      </c>
      <c r="BH1627">
        <f>'19_Расчет_аналитики'!BH1619+'19_Расчет_аналитики'!BH1624</f>
        <v/>
      </c>
      <c r="BI1627">
        <f>'19_Расчет_аналитики'!BI1619+'19_Расчет_аналитики'!BI1624</f>
        <v/>
      </c>
      <c r="BJ1627">
        <f>'19_Расчет_аналитики'!BJ1619+'19_Расчет_аналитики'!BJ1624</f>
        <v/>
      </c>
      <c r="BK1627">
        <f>'19_Расчет_аналитики'!BK1619+'19_Расчет_аналитики'!BK1624</f>
        <v/>
      </c>
      <c r="BL1627">
        <f>'19_Расчет_аналитики'!BL1619+'19_Расчет_аналитики'!BL1624</f>
        <v/>
      </c>
      <c r="BM1627">
        <f>'19_Расчет_аналитики'!BM1619+'19_Расчет_аналитики'!BM1624</f>
        <v/>
      </c>
      <c r="BN1627">
        <f>'19_Расчет_аналитики'!BN1619+'19_Расчет_аналитики'!BN1624</f>
        <v/>
      </c>
      <c r="BO1627">
        <f>'19_Расчет_аналитики'!BO1619+'19_Расчет_аналитики'!BO1624</f>
        <v/>
      </c>
    </row>
    <row r="1628">
      <c r="B1628">
        <f>'19_Расчет_аналитики'!B1627/(1+'01_Вводные'!$B$58)</f>
        <v/>
      </c>
      <c r="C1628">
        <f>'19_Расчет_аналитики'!C1627/(1+'01_Вводные'!$B$58)</f>
        <v/>
      </c>
      <c r="D1628">
        <f>'19_Расчет_аналитики'!D1627/(1+'01_Вводные'!$B$58)</f>
        <v/>
      </c>
      <c r="E1628">
        <f>'19_Расчет_аналитики'!E1627/(1+'01_Вводные'!$B$58)</f>
        <v/>
      </c>
      <c r="F1628">
        <f>'19_Расчет_аналитики'!F1627/(1+'01_Вводные'!$B$58)</f>
        <v/>
      </c>
      <c r="G1628">
        <f>'19_Расчет_аналитики'!G1627/(1+'01_Вводные'!$B$58)</f>
        <v/>
      </c>
      <c r="H1628">
        <f>'19_Расчет_аналитики'!H1627/(1+'01_Вводные'!$B$58)</f>
        <v/>
      </c>
      <c r="I1628">
        <f>'19_Расчет_аналитики'!I1627/(1+'01_Вводные'!$B$58)</f>
        <v/>
      </c>
      <c r="J1628">
        <f>'19_Расчет_аналитики'!J1627/(1+'01_Вводные'!$B$58)</f>
        <v/>
      </c>
      <c r="K1628">
        <f>'19_Расчет_аналитики'!K1627/(1+'01_Вводные'!$B$58)</f>
        <v/>
      </c>
      <c r="L1628">
        <f>'19_Расчет_аналитики'!L1627/(1+'01_Вводные'!$B$58)</f>
        <v/>
      </c>
      <c r="M1628">
        <f>'19_Расчет_аналитики'!M1627/(1+'01_Вводные'!$B$58)</f>
        <v/>
      </c>
      <c r="N1628">
        <f>'19_Расчет_аналитики'!N1627/(1+'01_Вводные'!$B$58)</f>
        <v/>
      </c>
      <c r="O1628">
        <f>'19_Расчет_аналитики'!O1627/(1+'01_Вводные'!$B$58)</f>
        <v/>
      </c>
      <c r="P1628">
        <f>'19_Расчет_аналитики'!P1627/(1+'01_Вводные'!$B$58)</f>
        <v/>
      </c>
      <c r="Q1628">
        <f>'19_Расчет_аналитики'!Q1627/(1+'01_Вводные'!$B$58)</f>
        <v/>
      </c>
      <c r="R1628">
        <f>'19_Расчет_аналитики'!R1627/(1+'01_Вводные'!$B$58)</f>
        <v/>
      </c>
      <c r="S1628">
        <f>'19_Расчет_аналитики'!S1627/(1+'01_Вводные'!$B$58)</f>
        <v/>
      </c>
      <c r="T1628">
        <f>'19_Расчет_аналитики'!T1627/(1+'01_Вводные'!$B$58)</f>
        <v/>
      </c>
      <c r="U1628">
        <f>'19_Расчет_аналитики'!U1627/(1+'01_Вводные'!$B$58)</f>
        <v/>
      </c>
      <c r="V1628">
        <f>'19_Расчет_аналитики'!V1627/(1+'01_Вводные'!$B$58)</f>
        <v/>
      </c>
      <c r="W1628">
        <f>'19_Расчет_аналитики'!W1627/(1+'01_Вводные'!$B$58)</f>
        <v/>
      </c>
      <c r="X1628">
        <f>'19_Расчет_аналитики'!X1627/(1+'01_Вводные'!$B$58)</f>
        <v/>
      </c>
      <c r="Y1628">
        <f>'19_Расчет_аналитики'!Y1627/(1+'01_Вводные'!$B$58)</f>
        <v/>
      </c>
      <c r="Z1628">
        <f>'19_Расчет_аналитики'!Z1627/(1+'01_Вводные'!$B$58)</f>
        <v/>
      </c>
      <c r="AA1628">
        <f>'19_Расчет_аналитики'!AA1627/(1+'01_Вводные'!$B$58)</f>
        <v/>
      </c>
      <c r="AB1628">
        <f>'19_Расчет_аналитики'!AB1627/(1+'01_Вводные'!$B$58)</f>
        <v/>
      </c>
      <c r="AC1628">
        <f>'19_Расчет_аналитики'!AC1627/(1+'01_Вводные'!$B$58)</f>
        <v/>
      </c>
      <c r="AD1628">
        <f>'19_Расчет_аналитики'!AD1627/(1+'01_Вводные'!$B$58)</f>
        <v/>
      </c>
      <c r="AE1628">
        <f>'19_Расчет_аналитики'!AE1627/(1+'01_Вводные'!$B$58)</f>
        <v/>
      </c>
      <c r="AF1628">
        <f>'19_Расчет_аналитики'!AF1627/(1+'01_Вводные'!$B$58)</f>
        <v/>
      </c>
      <c r="AG1628">
        <f>'19_Расчет_аналитики'!AG1627/(1+'01_Вводные'!$B$58)</f>
        <v/>
      </c>
      <c r="AH1628">
        <f>'19_Расчет_аналитики'!AH1627/(1+'01_Вводные'!$B$58)</f>
        <v/>
      </c>
      <c r="AI1628">
        <f>'19_Расчет_аналитики'!AI1627/(1+'01_Вводные'!$B$58)</f>
        <v/>
      </c>
      <c r="AJ1628">
        <f>'19_Расчет_аналитики'!AJ1627/(1+'01_Вводные'!$B$58)</f>
        <v/>
      </c>
      <c r="AK1628">
        <f>'19_Расчет_аналитики'!AK1627/(1+'01_Вводные'!$B$58)</f>
        <v/>
      </c>
      <c r="AL1628">
        <f>'19_Расчет_аналитики'!AL1627/(1+'01_Вводные'!$B$58)</f>
        <v/>
      </c>
      <c r="AM1628">
        <f>'19_Расчет_аналитики'!AM1627/(1+'01_Вводные'!$B$58)</f>
        <v/>
      </c>
      <c r="AN1628">
        <f>'19_Расчет_аналитики'!AN1627/(1+'01_Вводные'!$B$58)</f>
        <v/>
      </c>
      <c r="AO1628">
        <f>'19_Расчет_аналитики'!AO1627/(1+'01_Вводные'!$B$58)</f>
        <v/>
      </c>
      <c r="AP1628">
        <f>'19_Расчет_аналитики'!AP1627/(1+'01_Вводные'!$B$58)</f>
        <v/>
      </c>
      <c r="AQ1628">
        <f>'19_Расчет_аналитики'!AQ1627/(1+'01_Вводные'!$B$58)</f>
        <v/>
      </c>
      <c r="AR1628">
        <f>'19_Расчет_аналитики'!AR1627/(1+'01_Вводные'!$B$58)</f>
        <v/>
      </c>
      <c r="AS1628">
        <f>'19_Расчет_аналитики'!AS1627/(1+'01_Вводные'!$B$58)</f>
        <v/>
      </c>
      <c r="AT1628">
        <f>'19_Расчет_аналитики'!AT1627/(1+'01_Вводные'!$B$58)</f>
        <v/>
      </c>
      <c r="AU1628">
        <f>'19_Расчет_аналитики'!AU1627/(1+'01_Вводные'!$B$58)</f>
        <v/>
      </c>
      <c r="AV1628">
        <f>'19_Расчет_аналитики'!AV1627/(1+'01_Вводные'!$B$58)</f>
        <v/>
      </c>
      <c r="AW1628">
        <f>'19_Расчет_аналитики'!AW1627/(1+'01_Вводные'!$B$58)</f>
        <v/>
      </c>
      <c r="AX1628">
        <f>'19_Расчет_аналитики'!AX1627/(1+'01_Вводные'!$B$58)</f>
        <v/>
      </c>
      <c r="AY1628">
        <f>'19_Расчет_аналитики'!AY1627/(1+'01_Вводные'!$B$58)</f>
        <v/>
      </c>
      <c r="AZ1628">
        <f>'19_Расчет_аналитики'!AZ1627/(1+'01_Вводные'!$B$58)</f>
        <v/>
      </c>
      <c r="BA1628">
        <f>'19_Расчет_аналитики'!BA1627/(1+'01_Вводные'!$B$58)</f>
        <v/>
      </c>
      <c r="BB1628">
        <f>'19_Расчет_аналитики'!BB1627/(1+'01_Вводные'!$B$58)</f>
        <v/>
      </c>
      <c r="BC1628">
        <f>'19_Расчет_аналитики'!BC1627/(1+'01_Вводные'!$B$58)</f>
        <v/>
      </c>
      <c r="BD1628">
        <f>'19_Расчет_аналитики'!BD1627/(1+'01_Вводные'!$B$58)</f>
        <v/>
      </c>
      <c r="BE1628">
        <f>'19_Расчет_аналитики'!BE1627/(1+'01_Вводные'!$B$58)</f>
        <v/>
      </c>
      <c r="BF1628">
        <f>'19_Расчет_аналитики'!BF1627/(1+'01_Вводные'!$B$58)</f>
        <v/>
      </c>
      <c r="BG1628">
        <f>'19_Расчет_аналитики'!BG1627/(1+'01_Вводные'!$B$58)</f>
        <v/>
      </c>
      <c r="BH1628">
        <f>'19_Расчет_аналитики'!BH1627/(1+'01_Вводные'!$B$58)</f>
        <v/>
      </c>
      <c r="BI1628">
        <f>'19_Расчет_аналитики'!BI1627/(1+'01_Вводные'!$B$58)</f>
        <v/>
      </c>
      <c r="BJ1628">
        <f>'19_Расчет_аналитики'!BJ1627/(1+'01_Вводные'!$B$58)</f>
        <v/>
      </c>
      <c r="BK1628">
        <f>'19_Расчет_аналитики'!BK1627/(1+'01_Вводные'!$B$58)</f>
        <v/>
      </c>
      <c r="BL1628">
        <f>'19_Расчет_аналитики'!BL1627/(1+'01_Вводные'!$B$58)</f>
        <v/>
      </c>
      <c r="BM1628">
        <f>'19_Расчет_аналитики'!BM1627/(1+'01_Вводные'!$B$58)</f>
        <v/>
      </c>
      <c r="BN1628">
        <f>'19_Расчет_аналитики'!BN1627/(1+'01_Вводные'!$B$58)</f>
        <v/>
      </c>
      <c r="BO1628">
        <f>'19_Расчет_аналитики'!BO1627/(1+'01_Вводные'!$B$58)</f>
        <v/>
      </c>
    </row>
    <row r="1629">
      <c r="B1629">
        <f>'07_Мерч'!B7+'19_Расчет_аналитики'!B1625</f>
        <v/>
      </c>
      <c r="C1629">
        <f>'07_Мерч'!C7+'19_Расчет_аналитики'!C1625</f>
        <v/>
      </c>
      <c r="D1629">
        <f>'07_Мерч'!D7+'19_Расчет_аналитики'!D1625</f>
        <v/>
      </c>
      <c r="E1629">
        <f>'07_Мерч'!E7+'19_Расчет_аналитики'!E1625</f>
        <v/>
      </c>
      <c r="F1629">
        <f>'19_Расчет_аналитики'!F1620+'19_Расчет_аналитики'!F1625</f>
        <v/>
      </c>
      <c r="G1629">
        <f>'19_Расчет_аналитики'!G1620+'19_Расчет_аналитики'!G1625</f>
        <v/>
      </c>
      <c r="H1629">
        <f>'19_Расчет_аналитики'!H1620+'19_Расчет_аналитики'!H1625</f>
        <v/>
      </c>
      <c r="I1629">
        <f>'19_Расчет_аналитики'!I1620+'19_Расчет_аналитики'!I1625</f>
        <v/>
      </c>
      <c r="J1629">
        <f>'19_Расчет_аналитики'!J1620+'19_Расчет_аналитики'!J1625</f>
        <v/>
      </c>
      <c r="K1629">
        <f>'19_Расчет_аналитики'!K1620+'19_Расчет_аналитики'!K1625</f>
        <v/>
      </c>
      <c r="L1629">
        <f>'19_Расчет_аналитики'!L1620+'19_Расчет_аналитики'!L1625</f>
        <v/>
      </c>
      <c r="M1629">
        <f>'19_Расчет_аналитики'!M1620+'19_Расчет_аналитики'!M1625</f>
        <v/>
      </c>
      <c r="N1629">
        <f>'19_Расчет_аналитики'!N1620+'19_Расчет_аналитики'!N1625</f>
        <v/>
      </c>
      <c r="O1629">
        <f>'19_Расчет_аналитики'!O1620+'19_Расчет_аналитики'!O1625</f>
        <v/>
      </c>
      <c r="P1629">
        <f>'19_Расчет_аналитики'!P1620+'19_Расчет_аналитики'!P1625</f>
        <v/>
      </c>
      <c r="Q1629">
        <f>'19_Расчет_аналитики'!Q1620+'19_Расчет_аналитики'!Q1625</f>
        <v/>
      </c>
      <c r="R1629">
        <f>'19_Расчет_аналитики'!R1620+'19_Расчет_аналитики'!R1625</f>
        <v/>
      </c>
      <c r="S1629">
        <f>'19_Расчет_аналитики'!S1620+'19_Расчет_аналитики'!S1625</f>
        <v/>
      </c>
      <c r="T1629">
        <f>'19_Расчет_аналитики'!T1620+'19_Расчет_аналитики'!T1625</f>
        <v/>
      </c>
      <c r="U1629">
        <f>'19_Расчет_аналитики'!U1620+'19_Расчет_аналитики'!U1625</f>
        <v/>
      </c>
      <c r="V1629">
        <f>'19_Расчет_аналитики'!V1620+'19_Расчет_аналитики'!V1625</f>
        <v/>
      </c>
      <c r="W1629">
        <f>'19_Расчет_аналитики'!W1620+'19_Расчет_аналитики'!W1625</f>
        <v/>
      </c>
      <c r="X1629">
        <f>'19_Расчет_аналитики'!X1620+'19_Расчет_аналитики'!X1625</f>
        <v/>
      </c>
      <c r="Y1629">
        <f>'19_Расчет_аналитики'!Y1620+'19_Расчет_аналитики'!Y1625</f>
        <v/>
      </c>
      <c r="Z1629">
        <f>'19_Расчет_аналитики'!Z1620+'19_Расчет_аналитики'!Z1625</f>
        <v/>
      </c>
      <c r="AA1629">
        <f>'19_Расчет_аналитики'!AA1620+'19_Расчет_аналитики'!AA1625</f>
        <v/>
      </c>
      <c r="AB1629">
        <f>'19_Расчет_аналитики'!AB1620+'19_Расчет_аналитики'!AB1625</f>
        <v/>
      </c>
      <c r="AC1629">
        <f>'19_Расчет_аналитики'!AC1620+'19_Расчет_аналитики'!AC1625</f>
        <v/>
      </c>
      <c r="AD1629">
        <f>'19_Расчет_аналитики'!AD1620+'19_Расчет_аналитики'!AD1625</f>
        <v/>
      </c>
      <c r="AE1629">
        <f>'19_Расчет_аналитики'!AE1620+'19_Расчет_аналитики'!AE1625</f>
        <v/>
      </c>
      <c r="AF1629">
        <f>'19_Расчет_аналитики'!AF1620+'19_Расчет_аналитики'!AF1625</f>
        <v/>
      </c>
      <c r="AG1629">
        <f>'19_Расчет_аналитики'!AG1620+'19_Расчет_аналитики'!AG1625</f>
        <v/>
      </c>
      <c r="AH1629">
        <f>'19_Расчет_аналитики'!AH1620+'19_Расчет_аналитики'!AH1625</f>
        <v/>
      </c>
      <c r="AI1629">
        <f>'19_Расчет_аналитики'!AI1620+'19_Расчет_аналитики'!AI1625</f>
        <v/>
      </c>
      <c r="AJ1629">
        <f>'19_Расчет_аналитики'!AJ1620+'19_Расчет_аналитики'!AJ1625</f>
        <v/>
      </c>
      <c r="AK1629">
        <f>'19_Расчет_аналитики'!AK1620+'19_Расчет_аналитики'!AK1625</f>
        <v/>
      </c>
      <c r="AL1629">
        <f>'19_Расчет_аналитики'!AL1620+'19_Расчет_аналитики'!AL1625</f>
        <v/>
      </c>
      <c r="AM1629">
        <f>'19_Расчет_аналитики'!AM1620+'19_Расчет_аналитики'!AM1625</f>
        <v/>
      </c>
      <c r="AN1629">
        <f>'19_Расчет_аналитики'!AN1620+'19_Расчет_аналитики'!AN1625</f>
        <v/>
      </c>
      <c r="AO1629">
        <f>'19_Расчет_аналитики'!AO1620+'19_Расчет_аналитики'!AO1625</f>
        <v/>
      </c>
      <c r="AP1629">
        <f>'19_Расчет_аналитики'!AP1620+'19_Расчет_аналитики'!AP1625</f>
        <v/>
      </c>
      <c r="AQ1629">
        <f>'19_Расчет_аналитики'!AQ1620+'19_Расчет_аналитики'!AQ1625</f>
        <v/>
      </c>
      <c r="AR1629">
        <f>'19_Расчет_аналитики'!AR1620+'19_Расчет_аналитики'!AR1625</f>
        <v/>
      </c>
      <c r="AS1629">
        <f>'19_Расчет_аналитики'!AS1620+'19_Расчет_аналитики'!AS1625</f>
        <v/>
      </c>
      <c r="AT1629">
        <f>'19_Расчет_аналитики'!AT1620+'19_Расчет_аналитики'!AT1625</f>
        <v/>
      </c>
      <c r="AU1629">
        <f>'19_Расчет_аналитики'!AU1620+'19_Расчет_аналитики'!AU1625</f>
        <v/>
      </c>
      <c r="AV1629">
        <f>'19_Расчет_аналитики'!AV1620+'19_Расчет_аналитики'!AV1625</f>
        <v/>
      </c>
      <c r="AW1629">
        <f>'19_Расчет_аналитики'!AW1620+'19_Расчет_аналитики'!AW1625</f>
        <v/>
      </c>
      <c r="AX1629">
        <f>'19_Расчет_аналитики'!AX1620+'19_Расчет_аналитики'!AX1625</f>
        <v/>
      </c>
      <c r="AY1629">
        <f>'19_Расчет_аналитики'!AY1620+'19_Расчет_аналитики'!AY1625</f>
        <v/>
      </c>
      <c r="AZ1629">
        <f>'19_Расчет_аналитики'!AZ1620+'19_Расчет_аналитики'!AZ1625</f>
        <v/>
      </c>
      <c r="BA1629">
        <f>'19_Расчет_аналитики'!BA1620+'19_Расчет_аналитики'!BA1625</f>
        <v/>
      </c>
      <c r="BB1629">
        <f>'19_Расчет_аналитики'!BB1620+'19_Расчет_аналитики'!BB1625</f>
        <v/>
      </c>
      <c r="BC1629">
        <f>'19_Расчет_аналитики'!BC1620+'19_Расчет_аналитики'!BC1625</f>
        <v/>
      </c>
      <c r="BD1629">
        <f>'19_Расчет_аналитики'!BD1620+'19_Расчет_аналитики'!BD1625</f>
        <v/>
      </c>
      <c r="BE1629">
        <f>'19_Расчет_аналитики'!BE1620+'19_Расчет_аналитики'!BE1625</f>
        <v/>
      </c>
      <c r="BF1629">
        <f>'19_Расчет_аналитики'!BF1620+'19_Расчет_аналитики'!BF1625</f>
        <v/>
      </c>
      <c r="BG1629">
        <f>'19_Расчет_аналитики'!BG1620+'19_Расчет_аналитики'!BG1625</f>
        <v/>
      </c>
      <c r="BH1629">
        <f>'19_Расчет_аналитики'!BH1620+'19_Расчет_аналитики'!BH1625</f>
        <v/>
      </c>
      <c r="BI1629">
        <f>'19_Расчет_аналитики'!BI1620+'19_Расчет_аналитики'!BI1625</f>
        <v/>
      </c>
      <c r="BJ1629">
        <f>'19_Расчет_аналитики'!BJ1620+'19_Расчет_аналитики'!BJ1625</f>
        <v/>
      </c>
      <c r="BK1629">
        <f>'19_Расчет_аналитики'!BK1620+'19_Расчет_аналитики'!BK1625</f>
        <v/>
      </c>
      <c r="BL1629">
        <f>'19_Расчет_аналитики'!BL1620+'19_Расчет_аналитики'!BL1625</f>
        <v/>
      </c>
      <c r="BM1629">
        <f>'19_Расчет_аналитики'!BM1620+'19_Расчет_аналитики'!BM1625</f>
        <v/>
      </c>
      <c r="BN1629">
        <f>'19_Расчет_аналитики'!BN1620+'19_Расчет_аналитики'!BN1625</f>
        <v/>
      </c>
      <c r="BO1629">
        <f>'19_Расчет_аналитики'!BO1620+'19_Расчет_аналитики'!BO1625</f>
        <v/>
      </c>
    </row>
    <row r="1630">
      <c r="B1630">
        <f>'19_Расчет_аналитики'!B1628*'01_Вводные'!$B$75</f>
        <v/>
      </c>
      <c r="C1630">
        <f>'19_Расчет_аналитики'!C1628*'01_Вводные'!$B$75</f>
        <v/>
      </c>
      <c r="D1630">
        <f>'19_Расчет_аналитики'!D1628*'01_Вводные'!$B$75</f>
        <v/>
      </c>
      <c r="E1630">
        <f>'19_Расчет_аналитики'!E1628*'01_Вводные'!$B$75</f>
        <v/>
      </c>
      <c r="F1630">
        <f>'19_Расчет_аналитики'!F1628*'01_Вводные'!$B$75</f>
        <v/>
      </c>
      <c r="G1630">
        <f>'19_Расчет_аналитики'!G1628*'01_Вводные'!$B$75</f>
        <v/>
      </c>
      <c r="H1630">
        <f>'19_Расчет_аналитики'!H1628*'01_Вводные'!$B$75</f>
        <v/>
      </c>
      <c r="I1630">
        <f>'19_Расчет_аналитики'!I1628*'01_Вводные'!$B$75</f>
        <v/>
      </c>
      <c r="J1630">
        <f>'19_Расчет_аналитики'!J1628*'01_Вводные'!$B$75</f>
        <v/>
      </c>
      <c r="K1630">
        <f>'19_Расчет_аналитики'!K1628*'01_Вводные'!$B$75</f>
        <v/>
      </c>
      <c r="L1630">
        <f>'19_Расчет_аналитики'!L1628*'01_Вводные'!$B$75</f>
        <v/>
      </c>
      <c r="M1630">
        <f>'19_Расчет_аналитики'!M1628*'01_Вводные'!$B$75</f>
        <v/>
      </c>
      <c r="N1630">
        <f>'19_Расчет_аналитики'!N1628*'01_Вводные'!$B$75</f>
        <v/>
      </c>
      <c r="O1630">
        <f>'19_Расчет_аналитики'!O1628*'01_Вводные'!$B$75</f>
        <v/>
      </c>
      <c r="P1630">
        <f>'19_Расчет_аналитики'!P1628*'01_Вводные'!$B$75</f>
        <v/>
      </c>
      <c r="Q1630">
        <f>'19_Расчет_аналитики'!Q1628*'01_Вводные'!$B$75</f>
        <v/>
      </c>
      <c r="R1630">
        <f>'19_Расчет_аналитики'!R1628*'01_Вводные'!$B$75</f>
        <v/>
      </c>
      <c r="S1630">
        <f>'19_Расчет_аналитики'!S1628*'01_Вводные'!$B$75</f>
        <v/>
      </c>
      <c r="T1630">
        <f>'19_Расчет_аналитики'!T1628*'01_Вводные'!$B$75</f>
        <v/>
      </c>
      <c r="U1630">
        <f>'19_Расчет_аналитики'!U1628*'01_Вводные'!$B$75</f>
        <v/>
      </c>
      <c r="V1630">
        <f>'19_Расчет_аналитики'!V1628*'01_Вводные'!$B$75</f>
        <v/>
      </c>
      <c r="W1630">
        <f>'19_Расчет_аналитики'!W1628*'01_Вводные'!$B$75</f>
        <v/>
      </c>
      <c r="X1630">
        <f>'19_Расчет_аналитики'!X1628*'01_Вводные'!$B$75</f>
        <v/>
      </c>
      <c r="Y1630">
        <f>'19_Расчет_аналитики'!Y1628*'01_Вводные'!$B$75</f>
        <v/>
      </c>
      <c r="Z1630">
        <f>'19_Расчет_аналитики'!Z1628*'01_Вводные'!$B$75</f>
        <v/>
      </c>
      <c r="AA1630">
        <f>'19_Расчет_аналитики'!AA1628*'01_Вводные'!$B$75</f>
        <v/>
      </c>
      <c r="AB1630">
        <f>'19_Расчет_аналитики'!AB1628*'01_Вводные'!$B$75</f>
        <v/>
      </c>
      <c r="AC1630">
        <f>'19_Расчет_аналитики'!AC1628*'01_Вводные'!$B$75</f>
        <v/>
      </c>
      <c r="AD1630">
        <f>'19_Расчет_аналитики'!AD1628*'01_Вводные'!$B$75</f>
        <v/>
      </c>
      <c r="AE1630">
        <f>'19_Расчет_аналитики'!AE1628*'01_Вводные'!$B$75</f>
        <v/>
      </c>
      <c r="AF1630">
        <f>'19_Расчет_аналитики'!AF1628*'01_Вводные'!$B$75</f>
        <v/>
      </c>
      <c r="AG1630">
        <f>'19_Расчет_аналитики'!AG1628*'01_Вводные'!$B$75</f>
        <v/>
      </c>
      <c r="AH1630">
        <f>'19_Расчет_аналитики'!AH1628*'01_Вводные'!$B$75</f>
        <v/>
      </c>
      <c r="AI1630">
        <f>'19_Расчет_аналитики'!AI1628*'01_Вводные'!$B$75</f>
        <v/>
      </c>
      <c r="AJ1630">
        <f>'19_Расчет_аналитики'!AJ1628*'01_Вводные'!$B$75</f>
        <v/>
      </c>
      <c r="AK1630">
        <f>'19_Расчет_аналитики'!AK1628*'01_Вводные'!$B$75</f>
        <v/>
      </c>
      <c r="AL1630">
        <f>'19_Расчет_аналитики'!AL1628*'01_Вводные'!$B$75</f>
        <v/>
      </c>
      <c r="AM1630">
        <f>'19_Расчет_аналитики'!AM1628*'01_Вводные'!$B$75</f>
        <v/>
      </c>
      <c r="AN1630">
        <f>'19_Расчет_аналитики'!AN1628*'01_Вводные'!$B$75</f>
        <v/>
      </c>
      <c r="AO1630">
        <f>'19_Расчет_аналитики'!AO1628*'01_Вводные'!$B$75</f>
        <v/>
      </c>
      <c r="AP1630">
        <f>'19_Расчет_аналитики'!AP1628*'01_Вводные'!$B$75</f>
        <v/>
      </c>
      <c r="AQ1630">
        <f>'19_Расчет_аналитики'!AQ1628*'01_Вводные'!$B$75</f>
        <v/>
      </c>
      <c r="AR1630">
        <f>'19_Расчет_аналитики'!AR1628*'01_Вводные'!$B$75</f>
        <v/>
      </c>
      <c r="AS1630">
        <f>'19_Расчет_аналитики'!AS1628*'01_Вводные'!$B$75</f>
        <v/>
      </c>
      <c r="AT1630">
        <f>'19_Расчет_аналитики'!AT1628*'01_Вводные'!$B$75</f>
        <v/>
      </c>
      <c r="AU1630">
        <f>'19_Расчет_аналитики'!AU1628*'01_Вводные'!$B$75</f>
        <v/>
      </c>
      <c r="AV1630">
        <f>'19_Расчет_аналитики'!AV1628*'01_Вводные'!$B$75</f>
        <v/>
      </c>
      <c r="AW1630">
        <f>'19_Расчет_аналитики'!AW1628*'01_Вводные'!$B$75</f>
        <v/>
      </c>
      <c r="AX1630">
        <f>'19_Расчет_аналитики'!AX1628*'01_Вводные'!$B$75</f>
        <v/>
      </c>
      <c r="AY1630">
        <f>'19_Расчет_аналитики'!AY1628*'01_Вводные'!$B$75</f>
        <v/>
      </c>
      <c r="AZ1630">
        <f>'19_Расчет_аналитики'!AZ1628*'01_Вводные'!$B$75</f>
        <v/>
      </c>
      <c r="BA1630">
        <f>'19_Расчет_аналитики'!BA1628*'01_Вводные'!$B$75</f>
        <v/>
      </c>
      <c r="BB1630">
        <f>'19_Расчет_аналитики'!BB1628*'01_Вводные'!$B$75</f>
        <v/>
      </c>
      <c r="BC1630">
        <f>'19_Расчет_аналитики'!BC1628*'01_Вводные'!$B$75</f>
        <v/>
      </c>
      <c r="BD1630">
        <f>'19_Расчет_аналитики'!BD1628*'01_Вводные'!$B$75</f>
        <v/>
      </c>
      <c r="BE1630">
        <f>'19_Расчет_аналитики'!BE1628*'01_Вводные'!$B$75</f>
        <v/>
      </c>
      <c r="BF1630">
        <f>'19_Расчет_аналитики'!BF1628*'01_Вводные'!$B$75</f>
        <v/>
      </c>
      <c r="BG1630">
        <f>'19_Расчет_аналитики'!BG1628*'01_Вводные'!$B$75</f>
        <v/>
      </c>
      <c r="BH1630">
        <f>'19_Расчет_аналитики'!BH1628*'01_Вводные'!$B$75</f>
        <v/>
      </c>
      <c r="BI1630">
        <f>'19_Расчет_аналитики'!BI1628*'01_Вводные'!$B$75</f>
        <v/>
      </c>
      <c r="BJ1630">
        <f>'19_Расчет_аналитики'!BJ1628*'01_Вводные'!$B$75</f>
        <v/>
      </c>
      <c r="BK1630">
        <f>'19_Расчет_аналитики'!BK1628*'01_Вводные'!$B$75</f>
        <v/>
      </c>
      <c r="BL1630">
        <f>'19_Расчет_аналитики'!BL1628*'01_Вводные'!$B$75</f>
        <v/>
      </c>
      <c r="BM1630">
        <f>'19_Расчет_аналитики'!BM1628*'01_Вводные'!$B$75</f>
        <v/>
      </c>
      <c r="BN1630">
        <f>'19_Расчет_аналитики'!BN1628*'01_Вводные'!$B$75</f>
        <v/>
      </c>
      <c r="BO1630">
        <f>'19_Расчет_аналитики'!BO1628*'01_Вводные'!$B$75</f>
        <v/>
      </c>
    </row>
    <row r="1631">
      <c r="B1631">
        <f>MAX(0,'19_Расчет_аналитики'!B1628-'19_Расчет_аналитики'!B1629-'19_Расчет_аналитики'!B1630)</f>
        <v/>
      </c>
      <c r="C1631">
        <f>MAX(0,'19_Расчет_аналитики'!C1628-'19_Расчет_аналитики'!C1629-'19_Расчет_аналитики'!C1630)</f>
        <v/>
      </c>
      <c r="D1631">
        <f>MAX(0,'19_Расчет_аналитики'!D1628-'19_Расчет_аналитики'!D1629-'19_Расчет_аналитики'!D1630)</f>
        <v/>
      </c>
      <c r="E1631">
        <f>MAX(0,'19_Расчет_аналитики'!E1628-'19_Расчет_аналитики'!E1629-'19_Расчет_аналитики'!E1630)</f>
        <v/>
      </c>
      <c r="F1631">
        <f>MAX(0,'19_Расчет_аналитики'!F1628-'19_Расчет_аналитики'!F1629-'19_Расчет_аналитики'!F1630)</f>
        <v/>
      </c>
      <c r="G1631">
        <f>MAX(0,'19_Расчет_аналитики'!G1628-'19_Расчет_аналитики'!G1629-'19_Расчет_аналитики'!G1630)</f>
        <v/>
      </c>
      <c r="H1631">
        <f>MAX(0,'19_Расчет_аналитики'!H1628-'19_Расчет_аналитики'!H1629-'19_Расчет_аналитики'!H1630)</f>
        <v/>
      </c>
      <c r="I1631">
        <f>MAX(0,'19_Расчет_аналитики'!I1628-'19_Расчет_аналитики'!I1629-'19_Расчет_аналитики'!I1630)</f>
        <v/>
      </c>
      <c r="J1631">
        <f>MAX(0,'19_Расчет_аналитики'!J1628-'19_Расчет_аналитики'!J1629-'19_Расчет_аналитики'!J1630)</f>
        <v/>
      </c>
      <c r="K1631">
        <f>MAX(0,'19_Расчет_аналитики'!K1628-'19_Расчет_аналитики'!K1629-'19_Расчет_аналитики'!K1630)</f>
        <v/>
      </c>
      <c r="L1631">
        <f>MAX(0,'19_Расчет_аналитики'!L1628-'19_Расчет_аналитики'!L1629-'19_Расчет_аналитики'!L1630)</f>
        <v/>
      </c>
      <c r="M1631">
        <f>MAX(0,'19_Расчет_аналитики'!M1628-'19_Расчет_аналитики'!M1629-'19_Расчет_аналитики'!M1630)</f>
        <v/>
      </c>
      <c r="N1631">
        <f>MAX(0,'19_Расчет_аналитики'!N1628-'19_Расчет_аналитики'!N1629-'19_Расчет_аналитики'!N1630)</f>
        <v/>
      </c>
      <c r="O1631">
        <f>MAX(0,'19_Расчет_аналитики'!O1628-'19_Расчет_аналитики'!O1629-'19_Расчет_аналитики'!O1630)</f>
        <v/>
      </c>
      <c r="P1631">
        <f>MAX(0,'19_Расчет_аналитики'!P1628-'19_Расчет_аналитики'!P1629-'19_Расчет_аналитики'!P1630)</f>
        <v/>
      </c>
      <c r="Q1631">
        <f>MAX(0,'19_Расчет_аналитики'!Q1628-'19_Расчет_аналитики'!Q1629-'19_Расчет_аналитики'!Q1630)</f>
        <v/>
      </c>
      <c r="R1631">
        <f>MAX(0,'19_Расчет_аналитики'!R1628-'19_Расчет_аналитики'!R1629-'19_Расчет_аналитики'!R1630)</f>
        <v/>
      </c>
      <c r="S1631">
        <f>MAX(0,'19_Расчет_аналитики'!S1628-'19_Расчет_аналитики'!S1629-'19_Расчет_аналитики'!S1630)</f>
        <v/>
      </c>
      <c r="T1631">
        <f>MAX(0,'19_Расчет_аналитики'!T1628-'19_Расчет_аналитики'!T1629-'19_Расчет_аналитики'!T1630)</f>
        <v/>
      </c>
      <c r="U1631">
        <f>MAX(0,'19_Расчет_аналитики'!U1628-'19_Расчет_аналитики'!U1629-'19_Расчет_аналитики'!U1630)</f>
        <v/>
      </c>
      <c r="V1631">
        <f>MAX(0,'19_Расчет_аналитики'!V1628-'19_Расчет_аналитики'!V1629-'19_Расчет_аналитики'!V1630)</f>
        <v/>
      </c>
      <c r="W1631">
        <f>MAX(0,'19_Расчет_аналитики'!W1628-'19_Расчет_аналитики'!W1629-'19_Расчет_аналитики'!W1630)</f>
        <v/>
      </c>
      <c r="X1631">
        <f>MAX(0,'19_Расчет_аналитики'!X1628-'19_Расчет_аналитики'!X1629-'19_Расчет_аналитики'!X1630)</f>
        <v/>
      </c>
      <c r="Y1631">
        <f>MAX(0,'19_Расчет_аналитики'!Y1628-'19_Расчет_аналитики'!Y1629-'19_Расчет_аналитики'!Y1630)</f>
        <v/>
      </c>
      <c r="Z1631">
        <f>MAX(0,'19_Расчет_аналитики'!Z1628-'19_Расчет_аналитики'!Z1629-'19_Расчет_аналитики'!Z1630)</f>
        <v/>
      </c>
      <c r="AA1631">
        <f>MAX(0,'19_Расчет_аналитики'!AA1628-'19_Расчет_аналитики'!AA1629-'19_Расчет_аналитики'!AA1630)</f>
        <v/>
      </c>
      <c r="AB1631">
        <f>MAX(0,'19_Расчет_аналитики'!AB1628-'19_Расчет_аналитики'!AB1629-'19_Расчет_аналитики'!AB1630)</f>
        <v/>
      </c>
      <c r="AC1631">
        <f>MAX(0,'19_Расчет_аналитики'!AC1628-'19_Расчет_аналитики'!AC1629-'19_Расчет_аналитики'!AC1630)</f>
        <v/>
      </c>
      <c r="AD1631">
        <f>MAX(0,'19_Расчет_аналитики'!AD1628-'19_Расчет_аналитики'!AD1629-'19_Расчет_аналитики'!AD1630)</f>
        <v/>
      </c>
      <c r="AE1631">
        <f>MAX(0,'19_Расчет_аналитики'!AE1628-'19_Расчет_аналитики'!AE1629-'19_Расчет_аналитики'!AE1630)</f>
        <v/>
      </c>
      <c r="AF1631">
        <f>MAX(0,'19_Расчет_аналитики'!AF1628-'19_Расчет_аналитики'!AF1629-'19_Расчет_аналитики'!AF1630)</f>
        <v/>
      </c>
      <c r="AG1631">
        <f>MAX(0,'19_Расчет_аналитики'!AG1628-'19_Расчет_аналитики'!AG1629-'19_Расчет_аналитики'!AG1630)</f>
        <v/>
      </c>
      <c r="AH1631">
        <f>MAX(0,'19_Расчет_аналитики'!AH1628-'19_Расчет_аналитики'!AH1629-'19_Расчет_аналитики'!AH1630)</f>
        <v/>
      </c>
      <c r="AI1631">
        <f>MAX(0,'19_Расчет_аналитики'!AI1628-'19_Расчет_аналитики'!AI1629-'19_Расчет_аналитики'!AI1630)</f>
        <v/>
      </c>
      <c r="AJ1631">
        <f>MAX(0,'19_Расчет_аналитики'!AJ1628-'19_Расчет_аналитики'!AJ1629-'19_Расчет_аналитики'!AJ1630)</f>
        <v/>
      </c>
      <c r="AK1631">
        <f>MAX(0,'19_Расчет_аналитики'!AK1628-'19_Расчет_аналитики'!AK1629-'19_Расчет_аналитики'!AK1630)</f>
        <v/>
      </c>
      <c r="AL1631">
        <f>MAX(0,'19_Расчет_аналитики'!AL1628-'19_Расчет_аналитики'!AL1629-'19_Расчет_аналитики'!AL1630)</f>
        <v/>
      </c>
      <c r="AM1631">
        <f>MAX(0,'19_Расчет_аналитики'!AM1628-'19_Расчет_аналитики'!AM1629-'19_Расчет_аналитики'!AM1630)</f>
        <v/>
      </c>
      <c r="AN1631">
        <f>MAX(0,'19_Расчет_аналитики'!AN1628-'19_Расчет_аналитики'!AN1629-'19_Расчет_аналитики'!AN1630)</f>
        <v/>
      </c>
      <c r="AO1631">
        <f>MAX(0,'19_Расчет_аналитики'!AO1628-'19_Расчет_аналитики'!AO1629-'19_Расчет_аналитики'!AO1630)</f>
        <v/>
      </c>
      <c r="AP1631">
        <f>MAX(0,'19_Расчет_аналитики'!AP1628-'19_Расчет_аналитики'!AP1629-'19_Расчет_аналитики'!AP1630)</f>
        <v/>
      </c>
      <c r="AQ1631">
        <f>MAX(0,'19_Расчет_аналитики'!AQ1628-'19_Расчет_аналитики'!AQ1629-'19_Расчет_аналитики'!AQ1630)</f>
        <v/>
      </c>
      <c r="AR1631">
        <f>MAX(0,'19_Расчет_аналитики'!AR1628-'19_Расчет_аналитики'!AR1629-'19_Расчет_аналитики'!AR1630)</f>
        <v/>
      </c>
      <c r="AS1631">
        <f>MAX(0,'19_Расчет_аналитики'!AS1628-'19_Расчет_аналитики'!AS1629-'19_Расчет_аналитики'!AS1630)</f>
        <v/>
      </c>
      <c r="AT1631">
        <f>MAX(0,'19_Расчет_аналитики'!AT1628-'19_Расчет_аналитики'!AT1629-'19_Расчет_аналитики'!AT1630)</f>
        <v/>
      </c>
      <c r="AU1631">
        <f>MAX(0,'19_Расчет_аналитики'!AU1628-'19_Расчет_аналитики'!AU1629-'19_Расчет_аналитики'!AU1630)</f>
        <v/>
      </c>
      <c r="AV1631">
        <f>MAX(0,'19_Расчет_аналитики'!AV1628-'19_Расчет_аналитики'!AV1629-'19_Расчет_аналитики'!AV1630)</f>
        <v/>
      </c>
      <c r="AW1631">
        <f>MAX(0,'19_Расчет_аналитики'!AW1628-'19_Расчет_аналитики'!AW1629-'19_Расчет_аналитики'!AW1630)</f>
        <v/>
      </c>
      <c r="AX1631">
        <f>MAX(0,'19_Расчет_аналитики'!AX1628-'19_Расчет_аналитики'!AX1629-'19_Расчет_аналитики'!AX1630)</f>
        <v/>
      </c>
      <c r="AY1631">
        <f>MAX(0,'19_Расчет_аналитики'!AY1628-'19_Расчет_аналитики'!AY1629-'19_Расчет_аналитики'!AY1630)</f>
        <v/>
      </c>
      <c r="AZ1631">
        <f>MAX(0,'19_Расчет_аналитики'!AZ1628-'19_Расчет_аналитики'!AZ1629-'19_Расчет_аналитики'!AZ1630)</f>
        <v/>
      </c>
      <c r="BA1631">
        <f>MAX(0,'19_Расчет_аналитики'!BA1628-'19_Расчет_аналитики'!BA1629-'19_Расчет_аналитики'!BA1630)</f>
        <v/>
      </c>
      <c r="BB1631">
        <f>MAX(0,'19_Расчет_аналитики'!BB1628-'19_Расчет_аналитики'!BB1629-'19_Расчет_аналитики'!BB1630)</f>
        <v/>
      </c>
      <c r="BC1631">
        <f>MAX(0,'19_Расчет_аналитики'!BC1628-'19_Расчет_аналитики'!BC1629-'19_Расчет_аналитики'!BC1630)</f>
        <v/>
      </c>
      <c r="BD1631">
        <f>MAX(0,'19_Расчет_аналитики'!BD1628-'19_Расчет_аналитики'!BD1629-'19_Расчет_аналитики'!BD1630)</f>
        <v/>
      </c>
      <c r="BE1631">
        <f>MAX(0,'19_Расчет_аналитики'!BE1628-'19_Расчет_аналитики'!BE1629-'19_Расчет_аналитики'!BE1630)</f>
        <v/>
      </c>
      <c r="BF1631">
        <f>MAX(0,'19_Расчет_аналитики'!BF1628-'19_Расчет_аналитики'!BF1629-'19_Расчет_аналитики'!BF1630)</f>
        <v/>
      </c>
      <c r="BG1631">
        <f>MAX(0,'19_Расчет_аналитики'!BG1628-'19_Расчет_аналитики'!BG1629-'19_Расчет_аналитики'!BG1630)</f>
        <v/>
      </c>
      <c r="BH1631">
        <f>MAX(0,'19_Расчет_аналитики'!BH1628-'19_Расчет_аналитики'!BH1629-'19_Расчет_аналитики'!BH1630)</f>
        <v/>
      </c>
      <c r="BI1631">
        <f>MAX(0,'19_Расчет_аналитики'!BI1628-'19_Расчет_аналитики'!BI1629-'19_Расчет_аналитики'!BI1630)</f>
        <v/>
      </c>
      <c r="BJ1631">
        <f>MAX(0,'19_Расчет_аналитики'!BJ1628-'19_Расчет_аналитики'!BJ1629-'19_Расчет_аналитики'!BJ1630)</f>
        <v/>
      </c>
      <c r="BK1631">
        <f>MAX(0,'19_Расчет_аналитики'!BK1628-'19_Расчет_аналитики'!BK1629-'19_Расчет_аналитики'!BK1630)</f>
        <v/>
      </c>
      <c r="BL1631">
        <f>MAX(0,'19_Расчет_аналитики'!BL1628-'19_Расчет_аналитики'!BL1629-'19_Расчет_аналитики'!BL1630)</f>
        <v/>
      </c>
      <c r="BM1631">
        <f>MAX(0,'19_Расчет_аналитики'!BM1628-'19_Расчет_аналитики'!BM1629-'19_Расчет_аналитики'!BM1630)</f>
        <v/>
      </c>
      <c r="BN1631">
        <f>MAX(0,'19_Расчет_аналитики'!BN1628-'19_Расчет_аналитики'!BN1629-'19_Расчет_аналитики'!BN1630)</f>
        <v/>
      </c>
      <c r="BO1631">
        <f>MAX(0,'19_Расчет_аналитики'!BO1628-'19_Расчет_аналитики'!BO1629-'19_Расчет_аналитики'!BO1630)</f>
        <v/>
      </c>
    </row>
    <row r="1632">
      <c r="B1632">
        <f>'19_Расчет_аналитики'!B1631*'01_Вводные'!$B$76</f>
        <v/>
      </c>
      <c r="C1632">
        <f>'19_Расчет_аналитики'!C1631*'01_Вводные'!$B$76</f>
        <v/>
      </c>
      <c r="D1632">
        <f>'19_Расчет_аналитики'!D1631*'01_Вводные'!$B$76</f>
        <v/>
      </c>
      <c r="E1632">
        <f>'19_Расчет_аналитики'!E1631*'01_Вводные'!$B$76</f>
        <v/>
      </c>
      <c r="F1632">
        <f>'19_Расчет_аналитики'!F1631*'01_Вводные'!$B$76</f>
        <v/>
      </c>
      <c r="G1632">
        <f>'19_Расчет_аналитики'!G1631*'01_Вводные'!$B$76</f>
        <v/>
      </c>
      <c r="H1632">
        <f>'19_Расчет_аналитики'!H1631*'01_Вводные'!$B$76</f>
        <v/>
      </c>
      <c r="I1632">
        <f>'19_Расчет_аналитики'!I1631*'01_Вводные'!$B$76</f>
        <v/>
      </c>
      <c r="J1632">
        <f>'19_Расчет_аналитики'!J1631*'01_Вводные'!$B$76</f>
        <v/>
      </c>
      <c r="K1632">
        <f>'19_Расчет_аналитики'!K1631*'01_Вводные'!$B$76</f>
        <v/>
      </c>
      <c r="L1632">
        <f>'19_Расчет_аналитики'!L1631*'01_Вводные'!$B$76</f>
        <v/>
      </c>
      <c r="M1632">
        <f>'19_Расчет_аналитики'!M1631*'01_Вводные'!$B$76</f>
        <v/>
      </c>
      <c r="N1632">
        <f>'19_Расчет_аналитики'!N1631*'01_Вводные'!$B$76</f>
        <v/>
      </c>
      <c r="O1632">
        <f>'19_Расчет_аналитики'!O1631*'01_Вводные'!$B$76</f>
        <v/>
      </c>
      <c r="P1632">
        <f>'19_Расчет_аналитики'!P1631*'01_Вводные'!$B$76</f>
        <v/>
      </c>
      <c r="Q1632">
        <f>'19_Расчет_аналитики'!Q1631*'01_Вводные'!$B$76</f>
        <v/>
      </c>
      <c r="R1632">
        <f>'19_Расчет_аналитики'!R1631*'01_Вводные'!$B$76</f>
        <v/>
      </c>
      <c r="S1632">
        <f>'19_Расчет_аналитики'!S1631*'01_Вводные'!$B$76</f>
        <v/>
      </c>
      <c r="T1632">
        <f>'19_Расчет_аналитики'!T1631*'01_Вводные'!$B$76</f>
        <v/>
      </c>
      <c r="U1632">
        <f>'19_Расчет_аналитики'!U1631*'01_Вводные'!$B$76</f>
        <v/>
      </c>
      <c r="V1632">
        <f>'19_Расчет_аналитики'!V1631*'01_Вводные'!$B$76</f>
        <v/>
      </c>
      <c r="W1632">
        <f>'19_Расчет_аналитики'!W1631*'01_Вводные'!$B$76</f>
        <v/>
      </c>
      <c r="X1632">
        <f>'19_Расчет_аналитики'!X1631*'01_Вводные'!$B$76</f>
        <v/>
      </c>
      <c r="Y1632">
        <f>'19_Расчет_аналитики'!Y1631*'01_Вводные'!$B$76</f>
        <v/>
      </c>
      <c r="Z1632">
        <f>'19_Расчет_аналитики'!Z1631*'01_Вводные'!$B$76</f>
        <v/>
      </c>
      <c r="AA1632">
        <f>'19_Расчет_аналитики'!AA1631*'01_Вводные'!$B$76</f>
        <v/>
      </c>
      <c r="AB1632">
        <f>'19_Расчет_аналитики'!AB1631*'01_Вводные'!$B$76</f>
        <v/>
      </c>
      <c r="AC1632">
        <f>'19_Расчет_аналитики'!AC1631*'01_Вводные'!$B$76</f>
        <v/>
      </c>
      <c r="AD1632">
        <f>'19_Расчет_аналитики'!AD1631*'01_Вводные'!$B$76</f>
        <v/>
      </c>
      <c r="AE1632">
        <f>'19_Расчет_аналитики'!AE1631*'01_Вводные'!$B$76</f>
        <v/>
      </c>
      <c r="AF1632">
        <f>'19_Расчет_аналитики'!AF1631*'01_Вводные'!$B$76</f>
        <v/>
      </c>
      <c r="AG1632">
        <f>'19_Расчет_аналитики'!AG1631*'01_Вводные'!$B$76</f>
        <v/>
      </c>
      <c r="AH1632">
        <f>'19_Расчет_аналитики'!AH1631*'01_Вводные'!$B$76</f>
        <v/>
      </c>
      <c r="AI1632">
        <f>'19_Расчет_аналитики'!AI1631*'01_Вводные'!$B$76</f>
        <v/>
      </c>
      <c r="AJ1632">
        <f>'19_Расчет_аналитики'!AJ1631*'01_Вводные'!$B$76</f>
        <v/>
      </c>
      <c r="AK1632">
        <f>'19_Расчет_аналитики'!AK1631*'01_Вводные'!$B$76</f>
        <v/>
      </c>
      <c r="AL1632">
        <f>'19_Расчет_аналитики'!AL1631*'01_Вводные'!$B$76</f>
        <v/>
      </c>
      <c r="AM1632">
        <f>'19_Расчет_аналитики'!AM1631*'01_Вводные'!$B$76</f>
        <v/>
      </c>
      <c r="AN1632">
        <f>'19_Расчет_аналитики'!AN1631*'01_Вводные'!$B$76</f>
        <v/>
      </c>
      <c r="AO1632">
        <f>'19_Расчет_аналитики'!AO1631*'01_Вводные'!$B$76</f>
        <v/>
      </c>
      <c r="AP1632">
        <f>'19_Расчет_аналитики'!AP1631*'01_Вводные'!$B$76</f>
        <v/>
      </c>
      <c r="AQ1632">
        <f>'19_Расчет_аналитики'!AQ1631*'01_Вводные'!$B$76</f>
        <v/>
      </c>
      <c r="AR1632">
        <f>'19_Расчет_аналитики'!AR1631*'01_Вводные'!$B$76</f>
        <v/>
      </c>
      <c r="AS1632">
        <f>'19_Расчет_аналитики'!AS1631*'01_Вводные'!$B$76</f>
        <v/>
      </c>
      <c r="AT1632">
        <f>'19_Расчет_аналитики'!AT1631*'01_Вводные'!$B$76</f>
        <v/>
      </c>
      <c r="AU1632">
        <f>'19_Расчет_аналитики'!AU1631*'01_Вводные'!$B$76</f>
        <v/>
      </c>
      <c r="AV1632">
        <f>'19_Расчет_аналитики'!AV1631*'01_Вводные'!$B$76</f>
        <v/>
      </c>
      <c r="AW1632">
        <f>'19_Расчет_аналитики'!AW1631*'01_Вводные'!$B$76</f>
        <v/>
      </c>
      <c r="AX1632">
        <f>'19_Расчет_аналитики'!AX1631*'01_Вводные'!$B$76</f>
        <v/>
      </c>
      <c r="AY1632">
        <f>'19_Расчет_аналитики'!AY1631*'01_Вводные'!$B$76</f>
        <v/>
      </c>
      <c r="AZ1632">
        <f>'19_Расчет_аналитики'!AZ1631*'01_Вводные'!$B$76</f>
        <v/>
      </c>
      <c r="BA1632">
        <f>'19_Расчет_аналитики'!BA1631*'01_Вводные'!$B$76</f>
        <v/>
      </c>
      <c r="BB1632">
        <f>'19_Расчет_аналитики'!BB1631*'01_Вводные'!$B$76</f>
        <v/>
      </c>
      <c r="BC1632">
        <f>'19_Расчет_аналитики'!BC1631*'01_Вводные'!$B$76</f>
        <v/>
      </c>
      <c r="BD1632">
        <f>'19_Расчет_аналитики'!BD1631*'01_Вводные'!$B$76</f>
        <v/>
      </c>
      <c r="BE1632">
        <f>'19_Расчет_аналитики'!BE1631*'01_Вводные'!$B$76</f>
        <v/>
      </c>
      <c r="BF1632">
        <f>'19_Расчет_аналитики'!BF1631*'01_Вводные'!$B$76</f>
        <v/>
      </c>
      <c r="BG1632">
        <f>'19_Расчет_аналитики'!BG1631*'01_Вводные'!$B$76</f>
        <v/>
      </c>
      <c r="BH1632">
        <f>'19_Расчет_аналитики'!BH1631*'01_Вводные'!$B$76</f>
        <v/>
      </c>
      <c r="BI1632">
        <f>'19_Расчет_аналитики'!BI1631*'01_Вводные'!$B$76</f>
        <v/>
      </c>
      <c r="BJ1632">
        <f>'19_Расчет_аналитики'!BJ1631*'01_Вводные'!$B$76</f>
        <v/>
      </c>
      <c r="BK1632">
        <f>'19_Расчет_аналитики'!BK1631*'01_Вводные'!$B$76</f>
        <v/>
      </c>
      <c r="BL1632">
        <f>'19_Расчет_аналитики'!BL1631*'01_Вводные'!$B$76</f>
        <v/>
      </c>
      <c r="BM1632">
        <f>'19_Расчет_аналитики'!BM1631*'01_Вводные'!$B$76</f>
        <v/>
      </c>
      <c r="BN1632">
        <f>'19_Расчет_аналитики'!BN1631*'01_Вводные'!$B$76</f>
        <v/>
      </c>
      <c r="BO1632">
        <f>'19_Расчет_аналитики'!BO1631*'01_Вводные'!$B$76</f>
        <v/>
      </c>
    </row>
    <row r="1633"/>
    <row r="1634"/>
    <row r="1635">
      <c r="C1635">
        <f>'19_Расчет_аналитики'!B1639</f>
        <v/>
      </c>
      <c r="D1635">
        <f>'19_Расчет_аналитики'!C1639</f>
        <v/>
      </c>
      <c r="E1635">
        <f>'19_Расчет_аналитики'!D1639</f>
        <v/>
      </c>
      <c r="F1635">
        <f>'19_Расчет_аналитики'!E1639</f>
        <v/>
      </c>
      <c r="G1635">
        <f>'19_Расчет_аналитики'!F1639</f>
        <v/>
      </c>
      <c r="H1635">
        <f>'19_Расчет_аналитики'!G1639</f>
        <v/>
      </c>
      <c r="I1635">
        <f>'19_Расчет_аналитики'!H1639</f>
        <v/>
      </c>
      <c r="J1635">
        <f>'19_Расчет_аналитики'!I1639</f>
        <v/>
      </c>
      <c r="K1635">
        <f>'19_Расчет_аналитики'!J1639</f>
        <v/>
      </c>
      <c r="L1635">
        <f>'19_Расчет_аналитики'!K1639</f>
        <v/>
      </c>
      <c r="M1635">
        <f>'19_Расчет_аналитики'!L1639</f>
        <v/>
      </c>
      <c r="N1635">
        <f>'19_Расчет_аналитики'!M1639</f>
        <v/>
      </c>
      <c r="O1635">
        <f>'19_Расчет_аналитики'!N1639</f>
        <v/>
      </c>
      <c r="P1635">
        <f>'19_Расчет_аналитики'!O1639</f>
        <v/>
      </c>
      <c r="Q1635">
        <f>'19_Расчет_аналитики'!P1639</f>
        <v/>
      </c>
      <c r="R1635">
        <f>'19_Расчет_аналитики'!Q1639</f>
        <v/>
      </c>
      <c r="S1635">
        <f>'19_Расчет_аналитики'!R1639</f>
        <v/>
      </c>
      <c r="T1635">
        <f>'19_Расчет_аналитики'!S1639</f>
        <v/>
      </c>
      <c r="U1635">
        <f>'19_Расчет_аналитики'!T1639</f>
        <v/>
      </c>
      <c r="V1635">
        <f>'19_Расчет_аналитики'!U1639</f>
        <v/>
      </c>
      <c r="W1635">
        <f>'19_Расчет_аналитики'!V1639</f>
        <v/>
      </c>
      <c r="X1635">
        <f>'19_Расчет_аналитики'!W1639</f>
        <v/>
      </c>
      <c r="Y1635">
        <f>'19_Расчет_аналитики'!X1639</f>
        <v/>
      </c>
      <c r="Z1635">
        <f>'19_Расчет_аналитики'!Y1639</f>
        <v/>
      </c>
      <c r="AA1635">
        <f>'19_Расчет_аналитики'!Z1639</f>
        <v/>
      </c>
      <c r="AB1635">
        <f>'19_Расчет_аналитики'!AA1639</f>
        <v/>
      </c>
      <c r="AC1635">
        <f>'19_Расчет_аналитики'!AB1639</f>
        <v/>
      </c>
      <c r="AD1635">
        <f>'19_Расчет_аналитики'!AC1639</f>
        <v/>
      </c>
      <c r="AE1635">
        <f>'19_Расчет_аналитики'!AD1639</f>
        <v/>
      </c>
      <c r="AF1635">
        <f>'19_Расчет_аналитики'!AE1639</f>
        <v/>
      </c>
      <c r="AG1635">
        <f>'19_Расчет_аналитики'!AF1639</f>
        <v/>
      </c>
      <c r="AH1635">
        <f>'19_Расчет_аналитики'!AG1639</f>
        <v/>
      </c>
      <c r="AI1635">
        <f>'19_Расчет_аналитики'!AH1639</f>
        <v/>
      </c>
      <c r="AJ1635">
        <f>'19_Расчет_аналитики'!AI1639</f>
        <v/>
      </c>
      <c r="AK1635">
        <f>'19_Расчет_аналитики'!AJ1639</f>
        <v/>
      </c>
      <c r="AL1635">
        <f>'19_Расчет_аналитики'!AK1639</f>
        <v/>
      </c>
      <c r="AM1635">
        <f>'19_Расчет_аналитики'!AL1639</f>
        <v/>
      </c>
      <c r="AN1635">
        <f>'19_Расчет_аналитики'!AM1639</f>
        <v/>
      </c>
      <c r="AO1635">
        <f>'19_Расчет_аналитики'!AN1639</f>
        <v/>
      </c>
      <c r="AP1635">
        <f>'19_Расчет_аналитики'!AO1639</f>
        <v/>
      </c>
      <c r="AQ1635">
        <f>'19_Расчет_аналитики'!AP1639</f>
        <v/>
      </c>
      <c r="AR1635">
        <f>'19_Расчет_аналитики'!AQ1639</f>
        <v/>
      </c>
      <c r="AS1635">
        <f>'19_Расчет_аналитики'!AR1639</f>
        <v/>
      </c>
      <c r="AT1635">
        <f>'19_Расчет_аналитики'!AS1639</f>
        <v/>
      </c>
      <c r="AU1635">
        <f>'19_Расчет_аналитики'!AT1639</f>
        <v/>
      </c>
      <c r="AV1635">
        <f>'19_Расчет_аналитики'!AU1639</f>
        <v/>
      </c>
      <c r="AW1635">
        <f>'19_Расчет_аналитики'!AV1639</f>
        <v/>
      </c>
      <c r="AX1635">
        <f>'19_Расчет_аналитики'!AW1639</f>
        <v/>
      </c>
      <c r="AY1635">
        <f>'19_Расчет_аналитики'!AX1639</f>
        <v/>
      </c>
      <c r="AZ1635">
        <f>'19_Расчет_аналитики'!AY1639</f>
        <v/>
      </c>
      <c r="BA1635">
        <f>'19_Расчет_аналитики'!AZ1639</f>
        <v/>
      </c>
      <c r="BB1635">
        <f>'19_Расчет_аналитики'!BA1639</f>
        <v/>
      </c>
      <c r="BC1635">
        <f>'19_Расчет_аналитики'!BB1639</f>
        <v/>
      </c>
      <c r="BD1635">
        <f>'19_Расчет_аналитики'!BC1639</f>
        <v/>
      </c>
      <c r="BE1635">
        <f>'19_Расчет_аналитики'!BD1639</f>
        <v/>
      </c>
      <c r="BF1635">
        <f>'19_Расчет_аналитики'!BE1639</f>
        <v/>
      </c>
      <c r="BG1635">
        <f>'19_Расчет_аналитики'!BF1639</f>
        <v/>
      </c>
      <c r="BH1635">
        <f>'19_Расчет_аналитики'!BG1639</f>
        <v/>
      </c>
      <c r="BI1635">
        <f>'19_Расчет_аналитики'!BH1639</f>
        <v/>
      </c>
      <c r="BJ1635">
        <f>'19_Расчет_аналитики'!BI1639</f>
        <v/>
      </c>
      <c r="BK1635">
        <f>'19_Расчет_аналитики'!BJ1639</f>
        <v/>
      </c>
      <c r="BL1635">
        <f>'19_Расчет_аналитики'!BK1639</f>
        <v/>
      </c>
      <c r="BM1635">
        <f>'19_Расчет_аналитики'!BL1639</f>
        <v/>
      </c>
      <c r="BN1635">
        <f>'19_Расчет_аналитики'!BM1639</f>
        <v/>
      </c>
      <c r="BO1635">
        <f>'19_Расчет_аналитики'!BN1639</f>
        <v/>
      </c>
    </row>
    <row r="1636">
      <c r="B1636">
        <f>'19_Расчет_аналитики'!B1629</f>
        <v/>
      </c>
      <c r="C1636">
        <f>'19_Расчет_аналитики'!C1629</f>
        <v/>
      </c>
      <c r="D1636">
        <f>'19_Расчет_аналитики'!D1629</f>
        <v/>
      </c>
      <c r="E1636">
        <f>'19_Расчет_аналитики'!E1629</f>
        <v/>
      </c>
      <c r="F1636">
        <f>'19_Расчет_аналитики'!F1629</f>
        <v/>
      </c>
      <c r="G1636">
        <f>'19_Расчет_аналитики'!G1629</f>
        <v/>
      </c>
      <c r="H1636">
        <f>'19_Расчет_аналитики'!H1629</f>
        <v/>
      </c>
      <c r="I1636">
        <f>'19_Расчет_аналитики'!I1629</f>
        <v/>
      </c>
      <c r="J1636">
        <f>'19_Расчет_аналитики'!J1629</f>
        <v/>
      </c>
      <c r="K1636">
        <f>'19_Расчет_аналитики'!K1629</f>
        <v/>
      </c>
      <c r="L1636">
        <f>'19_Расчет_аналитики'!L1629</f>
        <v/>
      </c>
      <c r="M1636">
        <f>'19_Расчет_аналитики'!M1629</f>
        <v/>
      </c>
      <c r="N1636">
        <f>'19_Расчет_аналитики'!N1629</f>
        <v/>
      </c>
      <c r="O1636">
        <f>'19_Расчет_аналитики'!O1629</f>
        <v/>
      </c>
      <c r="P1636">
        <f>'19_Расчет_аналитики'!P1629</f>
        <v/>
      </c>
      <c r="Q1636">
        <f>'19_Расчет_аналитики'!Q1629</f>
        <v/>
      </c>
      <c r="R1636">
        <f>'19_Расчет_аналитики'!R1629</f>
        <v/>
      </c>
      <c r="S1636">
        <f>'19_Расчет_аналитики'!S1629</f>
        <v/>
      </c>
      <c r="T1636">
        <f>'19_Расчет_аналитики'!T1629</f>
        <v/>
      </c>
      <c r="U1636">
        <f>'19_Расчет_аналитики'!U1629</f>
        <v/>
      </c>
      <c r="V1636">
        <f>'19_Расчет_аналитики'!V1629</f>
        <v/>
      </c>
      <c r="W1636">
        <f>'19_Расчет_аналитики'!W1629</f>
        <v/>
      </c>
      <c r="X1636">
        <f>'19_Расчет_аналитики'!X1629</f>
        <v/>
      </c>
      <c r="Y1636">
        <f>'19_Расчет_аналитики'!Y1629</f>
        <v/>
      </c>
      <c r="Z1636">
        <f>'19_Расчет_аналитики'!Z1629</f>
        <v/>
      </c>
      <c r="AA1636">
        <f>'19_Расчет_аналитики'!AA1629</f>
        <v/>
      </c>
      <c r="AB1636">
        <f>'19_Расчет_аналитики'!AB1629</f>
        <v/>
      </c>
      <c r="AC1636">
        <f>'19_Расчет_аналитики'!AC1629</f>
        <v/>
      </c>
      <c r="AD1636">
        <f>'19_Расчет_аналитики'!AD1629</f>
        <v/>
      </c>
      <c r="AE1636">
        <f>'19_Расчет_аналитики'!AE1629</f>
        <v/>
      </c>
      <c r="AF1636">
        <f>'19_Расчет_аналитики'!AF1629</f>
        <v/>
      </c>
      <c r="AG1636">
        <f>'19_Расчет_аналитики'!AG1629</f>
        <v/>
      </c>
      <c r="AH1636">
        <f>'19_Расчет_аналитики'!AH1629</f>
        <v/>
      </c>
      <c r="AI1636">
        <f>'19_Расчет_аналитики'!AI1629</f>
        <v/>
      </c>
      <c r="AJ1636">
        <f>'19_Расчет_аналитики'!AJ1629</f>
        <v/>
      </c>
      <c r="AK1636">
        <f>'19_Расчет_аналитики'!AK1629</f>
        <v/>
      </c>
      <c r="AL1636">
        <f>'19_Расчет_аналитики'!AL1629</f>
        <v/>
      </c>
      <c r="AM1636">
        <f>'19_Расчет_аналитики'!AM1629</f>
        <v/>
      </c>
      <c r="AN1636">
        <f>'19_Расчет_аналитики'!AN1629</f>
        <v/>
      </c>
      <c r="AO1636">
        <f>'19_Расчет_аналитики'!AO1629</f>
        <v/>
      </c>
      <c r="AP1636">
        <f>'19_Расчет_аналитики'!AP1629</f>
        <v/>
      </c>
      <c r="AQ1636">
        <f>'19_Расчет_аналитики'!AQ1629</f>
        <v/>
      </c>
      <c r="AR1636">
        <f>'19_Расчет_аналитики'!AR1629</f>
        <v/>
      </c>
      <c r="AS1636">
        <f>'19_Расчет_аналитики'!AS1629</f>
        <v/>
      </c>
      <c r="AT1636">
        <f>'19_Расчет_аналитики'!AT1629</f>
        <v/>
      </c>
      <c r="AU1636">
        <f>'19_Расчет_аналитики'!AU1629</f>
        <v/>
      </c>
      <c r="AV1636">
        <f>'19_Расчет_аналитики'!AV1629</f>
        <v/>
      </c>
      <c r="AW1636">
        <f>'19_Расчет_аналитики'!AW1629</f>
        <v/>
      </c>
      <c r="AX1636">
        <f>'19_Расчет_аналитики'!AX1629</f>
        <v/>
      </c>
      <c r="AY1636">
        <f>'19_Расчет_аналитики'!AY1629</f>
        <v/>
      </c>
      <c r="AZ1636">
        <f>'19_Расчет_аналитики'!AZ1629</f>
        <v/>
      </c>
      <c r="BA1636">
        <f>'19_Расчет_аналитики'!BA1629</f>
        <v/>
      </c>
      <c r="BB1636">
        <f>'19_Расчет_аналитики'!BB1629</f>
        <v/>
      </c>
      <c r="BC1636">
        <f>'19_Расчет_аналитики'!BC1629</f>
        <v/>
      </c>
      <c r="BD1636">
        <f>'19_Расчет_аналитики'!BD1629</f>
        <v/>
      </c>
      <c r="BE1636">
        <f>'19_Расчет_аналитики'!BE1629</f>
        <v/>
      </c>
      <c r="BF1636">
        <f>'19_Расчет_аналитики'!BF1629</f>
        <v/>
      </c>
      <c r="BG1636">
        <f>'19_Расчет_аналитики'!BG1629</f>
        <v/>
      </c>
      <c r="BH1636">
        <f>'19_Расчет_аналитики'!BH1629</f>
        <v/>
      </c>
      <c r="BI1636">
        <f>'19_Расчет_аналитики'!BI1629</f>
        <v/>
      </c>
      <c r="BJ1636">
        <f>'19_Расчет_аналитики'!BJ1629</f>
        <v/>
      </c>
      <c r="BK1636">
        <f>'19_Расчет_аналитики'!BK1629</f>
        <v/>
      </c>
      <c r="BL1636">
        <f>'19_Расчет_аналитики'!BL1629</f>
        <v/>
      </c>
      <c r="BM1636">
        <f>'19_Расчет_аналитики'!BM1629</f>
        <v/>
      </c>
      <c r="BN1636">
        <f>'19_Расчет_аналитики'!BN1629</f>
        <v/>
      </c>
      <c r="BO1636">
        <f>'19_Расчет_аналитики'!BO1629</f>
        <v/>
      </c>
    </row>
    <row r="1637">
      <c r="B1637">
        <f>SUM(IF('01_Вводные'!$B$80&gt;=1,'19_Расчет_аналитики'!C1629,0),IF('01_Вводные'!$B$80&gt;=2,'19_Расчет_аналитики'!D1629,0),IF('01_Вводные'!$B$80&gt;=3,'19_Расчет_аналитики'!E1629,0),IF('01_Вводные'!$B$80&gt;=4,'19_Расчет_аналитики'!F1629,0),IF('01_Вводные'!$B$80&gt;=5,'19_Расчет_аналитики'!G1629,0),IF('01_Вводные'!$B$80&gt;=6,'19_Расчет_аналитики'!H1629,0))</f>
        <v/>
      </c>
      <c r="C1637">
        <f>SUM(IF('01_Вводные'!$B$80&gt;=1,'19_Расчет_аналитики'!D1629,0),IF('01_Вводные'!$B$80&gt;=2,'19_Расчет_аналитики'!E1629,0),IF('01_Вводные'!$B$80&gt;=3,'19_Расчет_аналитики'!F1629,0),IF('01_Вводные'!$B$80&gt;=4,'19_Расчет_аналитики'!G1629,0),IF('01_Вводные'!$B$80&gt;=5,'19_Расчет_аналитики'!H1629,0),IF('01_Вводные'!$B$80&gt;=6,'19_Расчет_аналитики'!I1629,0))</f>
        <v/>
      </c>
      <c r="D1637">
        <f>SUM(IF('01_Вводные'!$B$80&gt;=1,'19_Расчет_аналитики'!E1629,0),IF('01_Вводные'!$B$80&gt;=2,'19_Расчет_аналитики'!F1629,0),IF('01_Вводные'!$B$80&gt;=3,'19_Расчет_аналитики'!G1629,0),IF('01_Вводные'!$B$80&gt;=4,'19_Расчет_аналитики'!H1629,0),IF('01_Вводные'!$B$80&gt;=5,'19_Расчет_аналитики'!I1629,0),IF('01_Вводные'!$B$80&gt;=6,'19_Расчет_аналитики'!J1629,0))</f>
        <v/>
      </c>
      <c r="E1637">
        <f>SUM(IF('01_Вводные'!$B$80&gt;=1,'19_Расчет_аналитики'!F1629,0),IF('01_Вводные'!$B$80&gt;=2,'19_Расчет_аналитики'!G1629,0),IF('01_Вводные'!$B$80&gt;=3,'19_Расчет_аналитики'!H1629,0),IF('01_Вводные'!$B$80&gt;=4,'19_Расчет_аналитики'!I1629,0),IF('01_Вводные'!$B$80&gt;=5,'19_Расчет_аналитики'!J1629,0),IF('01_Вводные'!$B$80&gt;=6,'19_Расчет_аналитики'!K1629,0))</f>
        <v/>
      </c>
      <c r="F1637">
        <f>SUM(IF('01_Вводные'!$B$80&gt;=1,'19_Расчет_аналитики'!G1629,0),IF('01_Вводные'!$B$80&gt;=2,'19_Расчет_аналитики'!H1629,0),IF('01_Вводные'!$B$80&gt;=3,'19_Расчет_аналитики'!I1629,0),IF('01_Вводные'!$B$80&gt;=4,'19_Расчет_аналитики'!J1629,0),IF('01_Вводные'!$B$80&gt;=5,'19_Расчет_аналитики'!K1629,0),IF('01_Вводные'!$B$80&gt;=6,'19_Расчет_аналитики'!L1629,0))</f>
        <v/>
      </c>
      <c r="G1637">
        <f>SUM(IF('01_Вводные'!$B$80&gt;=1,'19_Расчет_аналитики'!H1629,0),IF('01_Вводные'!$B$80&gt;=2,'19_Расчет_аналитики'!I1629,0),IF('01_Вводные'!$B$80&gt;=3,'19_Расчет_аналитики'!J1629,0),IF('01_Вводные'!$B$80&gt;=4,'19_Расчет_аналитики'!K1629,0),IF('01_Вводные'!$B$80&gt;=5,'19_Расчет_аналитики'!L1629,0),IF('01_Вводные'!$B$80&gt;=6,'19_Расчет_аналитики'!M1629,0))</f>
        <v/>
      </c>
      <c r="H1637">
        <f>SUM(IF('01_Вводные'!$B$80&gt;=1,'19_Расчет_аналитики'!I1629,0),IF('01_Вводные'!$B$80&gt;=2,'19_Расчет_аналитики'!J1629,0),IF('01_Вводные'!$B$80&gt;=3,'19_Расчет_аналитики'!K1629,0),IF('01_Вводные'!$B$80&gt;=4,'19_Расчет_аналитики'!L1629,0),IF('01_Вводные'!$B$80&gt;=5,'19_Расчет_аналитики'!M1629,0),IF('01_Вводные'!$B$80&gt;=6,'19_Расчет_аналитики'!N1629,0))</f>
        <v/>
      </c>
      <c r="I1637">
        <f>SUM(IF('01_Вводные'!$B$80&gt;=1,'19_Расчет_аналитики'!J1629,0),IF('01_Вводные'!$B$80&gt;=2,'19_Расчет_аналитики'!K1629,0),IF('01_Вводные'!$B$80&gt;=3,'19_Расчет_аналитики'!L1629,0),IF('01_Вводные'!$B$80&gt;=4,'19_Расчет_аналитики'!M1629,0),IF('01_Вводные'!$B$80&gt;=5,'19_Расчет_аналитики'!N1629,0),IF('01_Вводные'!$B$80&gt;=6,'19_Расчет_аналитики'!O1629,0))</f>
        <v/>
      </c>
      <c r="J1637">
        <f>SUM(IF('01_Вводные'!$B$80&gt;=1,'19_Расчет_аналитики'!K1629,0),IF('01_Вводные'!$B$80&gt;=2,'19_Расчет_аналитики'!L1629,0),IF('01_Вводные'!$B$80&gt;=3,'19_Расчет_аналитики'!M1629,0),IF('01_Вводные'!$B$80&gt;=4,'19_Расчет_аналитики'!N1629,0),IF('01_Вводные'!$B$80&gt;=5,'19_Расчет_аналитики'!O1629,0),IF('01_Вводные'!$B$80&gt;=6,'19_Расчет_аналитики'!P1629,0))</f>
        <v/>
      </c>
      <c r="K1637">
        <f>SUM(IF('01_Вводные'!$B$80&gt;=1,'19_Расчет_аналитики'!L1629,0),IF('01_Вводные'!$B$80&gt;=2,'19_Расчет_аналитики'!M1629,0),IF('01_Вводные'!$B$80&gt;=3,'19_Расчет_аналитики'!N1629,0),IF('01_Вводные'!$B$80&gt;=4,'19_Расчет_аналитики'!O1629,0),IF('01_Вводные'!$B$80&gt;=5,'19_Расчет_аналитики'!P1629,0),IF('01_Вводные'!$B$80&gt;=6,'19_Расчет_аналитики'!Q1629,0))</f>
        <v/>
      </c>
      <c r="L1637">
        <f>SUM(IF('01_Вводные'!$B$80&gt;=1,'19_Расчет_аналитики'!M1629,0),IF('01_Вводные'!$B$80&gt;=2,'19_Расчет_аналитики'!N1629,0),IF('01_Вводные'!$B$80&gt;=3,'19_Расчет_аналитики'!O1629,0),IF('01_Вводные'!$B$80&gt;=4,'19_Расчет_аналитики'!P1629,0),IF('01_Вводные'!$B$80&gt;=5,'19_Расчет_аналитики'!Q1629,0),IF('01_Вводные'!$B$80&gt;=6,'19_Расчет_аналитики'!R1629,0))</f>
        <v/>
      </c>
      <c r="M1637">
        <f>SUM(IF('01_Вводные'!$B$80&gt;=1,'19_Расчет_аналитики'!N1629,0),IF('01_Вводные'!$B$80&gt;=2,'19_Расчет_аналитики'!O1629,0),IF('01_Вводные'!$B$80&gt;=3,'19_Расчет_аналитики'!P1629,0),IF('01_Вводные'!$B$80&gt;=4,'19_Расчет_аналитики'!Q1629,0),IF('01_Вводные'!$B$80&gt;=5,'19_Расчет_аналитики'!R1629,0),IF('01_Вводные'!$B$80&gt;=6,'19_Расчет_аналитики'!S1629,0))</f>
        <v/>
      </c>
      <c r="N1637">
        <f>SUM(IF('01_Вводные'!$B$80&gt;=1,'19_Расчет_аналитики'!O1629,0),IF('01_Вводные'!$B$80&gt;=2,'19_Расчет_аналитики'!P1629,0),IF('01_Вводные'!$B$80&gt;=3,'19_Расчет_аналитики'!Q1629,0),IF('01_Вводные'!$B$80&gt;=4,'19_Расчет_аналитики'!R1629,0),IF('01_Вводные'!$B$80&gt;=5,'19_Расчет_аналитики'!S1629,0),IF('01_Вводные'!$B$80&gt;=6,'19_Расчет_аналитики'!T1629,0))</f>
        <v/>
      </c>
      <c r="O1637">
        <f>SUM(IF('01_Вводные'!$B$80&gt;=1,'19_Расчет_аналитики'!P1629,0),IF('01_Вводные'!$B$80&gt;=2,'19_Расчет_аналитики'!Q1629,0),IF('01_Вводные'!$B$80&gt;=3,'19_Расчет_аналитики'!R1629,0),IF('01_Вводные'!$B$80&gt;=4,'19_Расчет_аналитики'!S1629,0),IF('01_Вводные'!$B$80&gt;=5,'19_Расчет_аналитики'!T1629,0),IF('01_Вводные'!$B$80&gt;=6,'19_Расчет_аналитики'!U1629,0))</f>
        <v/>
      </c>
      <c r="P1637">
        <f>SUM(IF('01_Вводные'!$B$80&gt;=1,'19_Расчет_аналитики'!Q1629,0),IF('01_Вводные'!$B$80&gt;=2,'19_Расчет_аналитики'!R1629,0),IF('01_Вводные'!$B$80&gt;=3,'19_Расчет_аналитики'!S1629,0),IF('01_Вводные'!$B$80&gt;=4,'19_Расчет_аналитики'!T1629,0),IF('01_Вводные'!$B$80&gt;=5,'19_Расчет_аналитики'!U1629,0),IF('01_Вводные'!$B$80&gt;=6,'19_Расчет_аналитики'!V1629,0))</f>
        <v/>
      </c>
      <c r="Q1637">
        <f>SUM(IF('01_Вводные'!$B$80&gt;=1,'19_Расчет_аналитики'!R1629,0),IF('01_Вводные'!$B$80&gt;=2,'19_Расчет_аналитики'!S1629,0),IF('01_Вводные'!$B$80&gt;=3,'19_Расчет_аналитики'!T1629,0),IF('01_Вводные'!$B$80&gt;=4,'19_Расчет_аналитики'!U1629,0),IF('01_Вводные'!$B$80&gt;=5,'19_Расчет_аналитики'!V1629,0),IF('01_Вводные'!$B$80&gt;=6,'19_Расчет_аналитики'!W1629,0))</f>
        <v/>
      </c>
      <c r="R1637">
        <f>SUM(IF('01_Вводные'!$B$80&gt;=1,'19_Расчет_аналитики'!S1629,0),IF('01_Вводные'!$B$80&gt;=2,'19_Расчет_аналитики'!T1629,0),IF('01_Вводные'!$B$80&gt;=3,'19_Расчет_аналитики'!U1629,0),IF('01_Вводные'!$B$80&gt;=4,'19_Расчет_аналитики'!V1629,0),IF('01_Вводные'!$B$80&gt;=5,'19_Расчет_аналитики'!W1629,0),IF('01_Вводные'!$B$80&gt;=6,'19_Расчет_аналитики'!X1629,0))</f>
        <v/>
      </c>
      <c r="S1637">
        <f>SUM(IF('01_Вводные'!$B$80&gt;=1,'19_Расчет_аналитики'!T1629,0),IF('01_Вводные'!$B$80&gt;=2,'19_Расчет_аналитики'!U1629,0),IF('01_Вводные'!$B$80&gt;=3,'19_Расчет_аналитики'!V1629,0),IF('01_Вводные'!$B$80&gt;=4,'19_Расчет_аналитики'!W1629,0),IF('01_Вводные'!$B$80&gt;=5,'19_Расчет_аналитики'!X1629,0),IF('01_Вводные'!$B$80&gt;=6,'19_Расчет_аналитики'!Y1629,0))</f>
        <v/>
      </c>
      <c r="T1637">
        <f>SUM(IF('01_Вводные'!$B$80&gt;=1,'19_Расчет_аналитики'!U1629,0),IF('01_Вводные'!$B$80&gt;=2,'19_Расчет_аналитики'!V1629,0),IF('01_Вводные'!$B$80&gt;=3,'19_Расчет_аналитики'!W1629,0),IF('01_Вводные'!$B$80&gt;=4,'19_Расчет_аналитики'!X1629,0),IF('01_Вводные'!$B$80&gt;=5,'19_Расчет_аналитики'!Y1629,0),IF('01_Вводные'!$B$80&gt;=6,'19_Расчет_аналитики'!Z1629,0))</f>
        <v/>
      </c>
      <c r="U1637">
        <f>SUM(IF('01_Вводные'!$B$80&gt;=1,'19_Расчет_аналитики'!V1629,0),IF('01_Вводные'!$B$80&gt;=2,'19_Расчет_аналитики'!W1629,0),IF('01_Вводные'!$B$80&gt;=3,'19_Расчет_аналитики'!X1629,0),IF('01_Вводные'!$B$80&gt;=4,'19_Расчет_аналитики'!Y1629,0),IF('01_Вводные'!$B$80&gt;=5,'19_Расчет_аналитики'!Z1629,0),IF('01_Вводные'!$B$80&gt;=6,'19_Расчет_аналитики'!AA1629,0))</f>
        <v/>
      </c>
      <c r="V1637">
        <f>SUM(IF('01_Вводные'!$B$80&gt;=1,'19_Расчет_аналитики'!W1629,0),IF('01_Вводные'!$B$80&gt;=2,'19_Расчет_аналитики'!X1629,0),IF('01_Вводные'!$B$80&gt;=3,'19_Расчет_аналитики'!Y1629,0),IF('01_Вводные'!$B$80&gt;=4,'19_Расчет_аналитики'!Z1629,0),IF('01_Вводные'!$B$80&gt;=5,'19_Расчет_аналитики'!AA1629,0),IF('01_Вводные'!$B$80&gt;=6,'19_Расчет_аналитики'!AB1629,0))</f>
        <v/>
      </c>
      <c r="W1637">
        <f>SUM(IF('01_Вводные'!$B$80&gt;=1,'19_Расчет_аналитики'!X1629,0),IF('01_Вводные'!$B$80&gt;=2,'19_Расчет_аналитики'!Y1629,0),IF('01_Вводные'!$B$80&gt;=3,'19_Расчет_аналитики'!Z1629,0),IF('01_Вводные'!$B$80&gt;=4,'19_Расчет_аналитики'!AA1629,0),IF('01_Вводные'!$B$80&gt;=5,'19_Расчет_аналитики'!AB1629,0),IF('01_Вводные'!$B$80&gt;=6,'19_Расчет_аналитики'!AC1629,0))</f>
        <v/>
      </c>
      <c r="X1637">
        <f>SUM(IF('01_Вводные'!$B$80&gt;=1,'19_Расчет_аналитики'!Y1629,0),IF('01_Вводные'!$B$80&gt;=2,'19_Расчет_аналитики'!Z1629,0),IF('01_Вводные'!$B$80&gt;=3,'19_Расчет_аналитики'!AA1629,0),IF('01_Вводные'!$B$80&gt;=4,'19_Расчет_аналитики'!AB1629,0),IF('01_Вводные'!$B$80&gt;=5,'19_Расчет_аналитики'!AC1629,0),IF('01_Вводные'!$B$80&gt;=6,'19_Расчет_аналитики'!AD1629,0))</f>
        <v/>
      </c>
      <c r="Y1637">
        <f>SUM(IF('01_Вводные'!$B$80&gt;=1,'19_Расчет_аналитики'!Z1629,0),IF('01_Вводные'!$B$80&gt;=2,'19_Расчет_аналитики'!AA1629,0),IF('01_Вводные'!$B$80&gt;=3,'19_Расчет_аналитики'!AB1629,0),IF('01_Вводные'!$B$80&gt;=4,'19_Расчет_аналитики'!AC1629,0),IF('01_Вводные'!$B$80&gt;=5,'19_Расчет_аналитики'!AD1629,0),IF('01_Вводные'!$B$80&gt;=6,'19_Расчет_аналитики'!AE1629,0))</f>
        <v/>
      </c>
      <c r="Z1637">
        <f>SUM(IF('01_Вводные'!$B$80&gt;=1,'19_Расчет_аналитики'!AA1629,0),IF('01_Вводные'!$B$80&gt;=2,'19_Расчет_аналитики'!AB1629,0),IF('01_Вводные'!$B$80&gt;=3,'19_Расчет_аналитики'!AC1629,0),IF('01_Вводные'!$B$80&gt;=4,'19_Расчет_аналитики'!AD1629,0),IF('01_Вводные'!$B$80&gt;=5,'19_Расчет_аналитики'!AE1629,0),IF('01_Вводные'!$B$80&gt;=6,'19_Расчет_аналитики'!AF1629,0))</f>
        <v/>
      </c>
      <c r="AA1637">
        <f>SUM(IF('01_Вводные'!$B$80&gt;=1,'19_Расчет_аналитики'!AB1629,0),IF('01_Вводные'!$B$80&gt;=2,'19_Расчет_аналитики'!AC1629,0),IF('01_Вводные'!$B$80&gt;=3,'19_Расчет_аналитики'!AD1629,0),IF('01_Вводные'!$B$80&gt;=4,'19_Расчет_аналитики'!AE1629,0),IF('01_Вводные'!$B$80&gt;=5,'19_Расчет_аналитики'!AF1629,0),IF('01_Вводные'!$B$80&gt;=6,'19_Расчет_аналитики'!AG1629,0))</f>
        <v/>
      </c>
      <c r="AB1637">
        <f>SUM(IF('01_Вводные'!$B$80&gt;=1,'19_Расчет_аналитики'!AC1629,0),IF('01_Вводные'!$B$80&gt;=2,'19_Расчет_аналитики'!AD1629,0),IF('01_Вводные'!$B$80&gt;=3,'19_Расчет_аналитики'!AE1629,0),IF('01_Вводные'!$B$80&gt;=4,'19_Расчет_аналитики'!AF1629,0),IF('01_Вводные'!$B$80&gt;=5,'19_Расчет_аналитики'!AG1629,0),IF('01_Вводные'!$B$80&gt;=6,'19_Расчет_аналитики'!AH1629,0))</f>
        <v/>
      </c>
      <c r="AC1637">
        <f>SUM(IF('01_Вводные'!$B$80&gt;=1,'19_Расчет_аналитики'!AD1629,0),IF('01_Вводные'!$B$80&gt;=2,'19_Расчет_аналитики'!AE1629,0),IF('01_Вводные'!$B$80&gt;=3,'19_Расчет_аналитики'!AF1629,0),IF('01_Вводные'!$B$80&gt;=4,'19_Расчет_аналитики'!AG1629,0),IF('01_Вводные'!$B$80&gt;=5,'19_Расчет_аналитики'!AH1629,0),IF('01_Вводные'!$B$80&gt;=6,'19_Расчет_аналитики'!AI1629,0))</f>
        <v/>
      </c>
      <c r="AD1637">
        <f>SUM(IF('01_Вводные'!$B$80&gt;=1,'19_Расчет_аналитики'!AE1629,0),IF('01_Вводные'!$B$80&gt;=2,'19_Расчет_аналитики'!AF1629,0),IF('01_Вводные'!$B$80&gt;=3,'19_Расчет_аналитики'!AG1629,0),IF('01_Вводные'!$B$80&gt;=4,'19_Расчет_аналитики'!AH1629,0),IF('01_Вводные'!$B$80&gt;=5,'19_Расчет_аналитики'!AI1629,0),IF('01_Вводные'!$B$80&gt;=6,'19_Расчет_аналитики'!AJ1629,0))</f>
        <v/>
      </c>
      <c r="AE1637">
        <f>SUM(IF('01_Вводные'!$B$80&gt;=1,'19_Расчет_аналитики'!AF1629,0),IF('01_Вводные'!$B$80&gt;=2,'19_Расчет_аналитики'!AG1629,0),IF('01_Вводные'!$B$80&gt;=3,'19_Расчет_аналитики'!AH1629,0),IF('01_Вводные'!$B$80&gt;=4,'19_Расчет_аналитики'!AI1629,0),IF('01_Вводные'!$B$80&gt;=5,'19_Расчет_аналитики'!AJ1629,0),IF('01_Вводные'!$B$80&gt;=6,'19_Расчет_аналитики'!AK1629,0))</f>
        <v/>
      </c>
      <c r="AF1637">
        <f>SUM(IF('01_Вводные'!$B$80&gt;=1,'19_Расчет_аналитики'!AG1629,0),IF('01_Вводные'!$B$80&gt;=2,'19_Расчет_аналитики'!AH1629,0),IF('01_Вводные'!$B$80&gt;=3,'19_Расчет_аналитики'!AI1629,0),IF('01_Вводные'!$B$80&gt;=4,'19_Расчет_аналитики'!AJ1629,0),IF('01_Вводные'!$B$80&gt;=5,'19_Расчет_аналитики'!AK1629,0),IF('01_Вводные'!$B$80&gt;=6,'19_Расчет_аналитики'!AL1629,0))</f>
        <v/>
      </c>
      <c r="AG1637">
        <f>SUM(IF('01_Вводные'!$B$80&gt;=1,'19_Расчет_аналитики'!AH1629,0),IF('01_Вводные'!$B$80&gt;=2,'19_Расчет_аналитики'!AI1629,0),IF('01_Вводные'!$B$80&gt;=3,'19_Расчет_аналитики'!AJ1629,0),IF('01_Вводные'!$B$80&gt;=4,'19_Расчет_аналитики'!AK1629,0),IF('01_Вводные'!$B$80&gt;=5,'19_Расчет_аналитики'!AL1629,0),IF('01_Вводные'!$B$80&gt;=6,'19_Расчет_аналитики'!AM1629,0))</f>
        <v/>
      </c>
      <c r="AH1637">
        <f>SUM(IF('01_Вводные'!$B$80&gt;=1,'19_Расчет_аналитики'!AI1629,0),IF('01_Вводные'!$B$80&gt;=2,'19_Расчет_аналитики'!AJ1629,0),IF('01_Вводные'!$B$80&gt;=3,'19_Расчет_аналитики'!AK1629,0),IF('01_Вводные'!$B$80&gt;=4,'19_Расчет_аналитики'!AL1629,0),IF('01_Вводные'!$B$80&gt;=5,'19_Расчет_аналитики'!AM1629,0),IF('01_Вводные'!$B$80&gt;=6,'19_Расчет_аналитики'!AN1629,0))</f>
        <v/>
      </c>
      <c r="AI1637">
        <f>SUM(IF('01_Вводные'!$B$80&gt;=1,'19_Расчет_аналитики'!AJ1629,0),IF('01_Вводные'!$B$80&gt;=2,'19_Расчет_аналитики'!AK1629,0),IF('01_Вводные'!$B$80&gt;=3,'19_Расчет_аналитики'!AL1629,0),IF('01_Вводные'!$B$80&gt;=4,'19_Расчет_аналитики'!AM1629,0),IF('01_Вводные'!$B$80&gt;=5,'19_Расчет_аналитики'!AN1629,0),IF('01_Вводные'!$B$80&gt;=6,'19_Расчет_аналитики'!AO1629,0))</f>
        <v/>
      </c>
      <c r="AJ1637">
        <f>SUM(IF('01_Вводные'!$B$80&gt;=1,'19_Расчет_аналитики'!AK1629,0),IF('01_Вводные'!$B$80&gt;=2,'19_Расчет_аналитики'!AL1629,0),IF('01_Вводные'!$B$80&gt;=3,'19_Расчет_аналитики'!AM1629,0),IF('01_Вводные'!$B$80&gt;=4,'19_Расчет_аналитики'!AN1629,0),IF('01_Вводные'!$B$80&gt;=5,'19_Расчет_аналитики'!AO1629,0),IF('01_Вводные'!$B$80&gt;=6,'19_Расчет_аналитики'!AP1629,0))</f>
        <v/>
      </c>
      <c r="AK1637">
        <f>SUM(IF('01_Вводные'!$B$80&gt;=1,'19_Расчет_аналитики'!AL1629,0),IF('01_Вводные'!$B$80&gt;=2,'19_Расчет_аналитики'!AM1629,0),IF('01_Вводные'!$B$80&gt;=3,'19_Расчет_аналитики'!AN1629,0),IF('01_Вводные'!$B$80&gt;=4,'19_Расчет_аналитики'!AO1629,0),IF('01_Вводные'!$B$80&gt;=5,'19_Расчет_аналитики'!AP1629,0),IF('01_Вводные'!$B$80&gt;=6,'19_Расчет_аналитики'!AQ1629,0))</f>
        <v/>
      </c>
      <c r="AL1637">
        <f>SUM(IF('01_Вводные'!$B$80&gt;=1,'19_Расчет_аналитики'!AM1629,0),IF('01_Вводные'!$B$80&gt;=2,'19_Расчет_аналитики'!AN1629,0),IF('01_Вводные'!$B$80&gt;=3,'19_Расчет_аналитики'!AO1629,0),IF('01_Вводные'!$B$80&gt;=4,'19_Расчет_аналитики'!AP1629,0),IF('01_Вводные'!$B$80&gt;=5,'19_Расчет_аналитики'!AQ1629,0),IF('01_Вводные'!$B$80&gt;=6,'19_Расчет_аналитики'!AR1629,0))</f>
        <v/>
      </c>
      <c r="AM1637">
        <f>SUM(IF('01_Вводные'!$B$80&gt;=1,'19_Расчет_аналитики'!AN1629,0),IF('01_Вводные'!$B$80&gt;=2,'19_Расчет_аналитики'!AO1629,0),IF('01_Вводные'!$B$80&gt;=3,'19_Расчет_аналитики'!AP1629,0),IF('01_Вводные'!$B$80&gt;=4,'19_Расчет_аналитики'!AQ1629,0),IF('01_Вводные'!$B$80&gt;=5,'19_Расчет_аналитики'!AR1629,0),IF('01_Вводные'!$B$80&gt;=6,'19_Расчет_аналитики'!AS1629,0))</f>
        <v/>
      </c>
      <c r="AN1637">
        <f>SUM(IF('01_Вводные'!$B$80&gt;=1,'19_Расчет_аналитики'!AO1629,0),IF('01_Вводные'!$B$80&gt;=2,'19_Расчет_аналитики'!AP1629,0),IF('01_Вводные'!$B$80&gt;=3,'19_Расчет_аналитики'!AQ1629,0),IF('01_Вводные'!$B$80&gt;=4,'19_Расчет_аналитики'!AR1629,0),IF('01_Вводные'!$B$80&gt;=5,'19_Расчет_аналитики'!AS1629,0),IF('01_Вводные'!$B$80&gt;=6,'19_Расчет_аналитики'!AT1629,0))</f>
        <v/>
      </c>
      <c r="AO1637">
        <f>SUM(IF('01_Вводные'!$B$80&gt;=1,'19_Расчет_аналитики'!AP1629,0),IF('01_Вводные'!$B$80&gt;=2,'19_Расчет_аналитики'!AQ1629,0),IF('01_Вводные'!$B$80&gt;=3,'19_Расчет_аналитики'!AR1629,0),IF('01_Вводные'!$B$80&gt;=4,'19_Расчет_аналитики'!AS1629,0),IF('01_Вводные'!$B$80&gt;=5,'19_Расчет_аналитики'!AT1629,0),IF('01_Вводные'!$B$80&gt;=6,'19_Расчет_аналитики'!AU1629,0))</f>
        <v/>
      </c>
      <c r="AP1637">
        <f>SUM(IF('01_Вводные'!$B$80&gt;=1,'19_Расчет_аналитики'!AQ1629,0),IF('01_Вводные'!$B$80&gt;=2,'19_Расчет_аналитики'!AR1629,0),IF('01_Вводные'!$B$80&gt;=3,'19_Расчет_аналитики'!AS1629,0),IF('01_Вводные'!$B$80&gt;=4,'19_Расчет_аналитики'!AT1629,0),IF('01_Вводные'!$B$80&gt;=5,'19_Расчет_аналитики'!AU1629,0),IF('01_Вводные'!$B$80&gt;=6,'19_Расчет_аналитики'!AV1629,0))</f>
        <v/>
      </c>
      <c r="AQ1637">
        <f>SUM(IF('01_Вводные'!$B$80&gt;=1,'19_Расчет_аналитики'!AR1629,0),IF('01_Вводные'!$B$80&gt;=2,'19_Расчет_аналитики'!AS1629,0),IF('01_Вводные'!$B$80&gt;=3,'19_Расчет_аналитики'!AT1629,0),IF('01_Вводные'!$B$80&gt;=4,'19_Расчет_аналитики'!AU1629,0),IF('01_Вводные'!$B$80&gt;=5,'19_Расчет_аналитики'!AV1629,0),IF('01_Вводные'!$B$80&gt;=6,'19_Расчет_аналитики'!AW1629,0))</f>
        <v/>
      </c>
      <c r="AR1637">
        <f>SUM(IF('01_Вводные'!$B$80&gt;=1,'19_Расчет_аналитики'!AS1629,0),IF('01_Вводные'!$B$80&gt;=2,'19_Расчет_аналитики'!AT1629,0),IF('01_Вводные'!$B$80&gt;=3,'19_Расчет_аналитики'!AU1629,0),IF('01_Вводные'!$B$80&gt;=4,'19_Расчет_аналитики'!AV1629,0),IF('01_Вводные'!$B$80&gt;=5,'19_Расчет_аналитики'!AW1629,0),IF('01_Вводные'!$B$80&gt;=6,'19_Расчет_аналитики'!AX1629,0))</f>
        <v/>
      </c>
      <c r="AS1637">
        <f>SUM(IF('01_Вводные'!$B$80&gt;=1,'19_Расчет_аналитики'!AT1629,0),IF('01_Вводные'!$B$80&gt;=2,'19_Расчет_аналитики'!AU1629,0),IF('01_Вводные'!$B$80&gt;=3,'19_Расчет_аналитики'!AV1629,0),IF('01_Вводные'!$B$80&gt;=4,'19_Расчет_аналитики'!AW1629,0),IF('01_Вводные'!$B$80&gt;=5,'19_Расчет_аналитики'!AX1629,0),IF('01_Вводные'!$B$80&gt;=6,'19_Расчет_аналитики'!AY1629,0))</f>
        <v/>
      </c>
      <c r="AT1637">
        <f>SUM(IF('01_Вводные'!$B$80&gt;=1,'19_Расчет_аналитики'!AU1629,0),IF('01_Вводные'!$B$80&gt;=2,'19_Расчет_аналитики'!AV1629,0),IF('01_Вводные'!$B$80&gt;=3,'19_Расчет_аналитики'!AW1629,0),IF('01_Вводные'!$B$80&gt;=4,'19_Расчет_аналитики'!AX1629,0),IF('01_Вводные'!$B$80&gt;=5,'19_Расчет_аналитики'!AY1629,0),IF('01_Вводные'!$B$80&gt;=6,'19_Расчет_аналитики'!AZ1629,0))</f>
        <v/>
      </c>
      <c r="AU1637">
        <f>SUM(IF('01_Вводные'!$B$80&gt;=1,'19_Расчет_аналитики'!AV1629,0),IF('01_Вводные'!$B$80&gt;=2,'19_Расчет_аналитики'!AW1629,0),IF('01_Вводные'!$B$80&gt;=3,'19_Расчет_аналитики'!AX1629,0),IF('01_Вводные'!$B$80&gt;=4,'19_Расчет_аналитики'!AY1629,0),IF('01_Вводные'!$B$80&gt;=5,'19_Расчет_аналитики'!AZ1629,0),IF('01_Вводные'!$B$80&gt;=6,'19_Расчет_аналитики'!BA1629,0))</f>
        <v/>
      </c>
      <c r="AV1637">
        <f>SUM(IF('01_Вводные'!$B$80&gt;=1,'19_Расчет_аналитики'!AW1629,0),IF('01_Вводные'!$B$80&gt;=2,'19_Расчет_аналитики'!AX1629,0),IF('01_Вводные'!$B$80&gt;=3,'19_Расчет_аналитики'!AY1629,0),IF('01_Вводные'!$B$80&gt;=4,'19_Расчет_аналитики'!AZ1629,0),IF('01_Вводные'!$B$80&gt;=5,'19_Расчет_аналитики'!BA1629,0),IF('01_Вводные'!$B$80&gt;=6,'19_Расчет_аналитики'!BB1629,0))</f>
        <v/>
      </c>
      <c r="AW1637">
        <f>SUM(IF('01_Вводные'!$B$80&gt;=1,'19_Расчет_аналитики'!AX1629,0),IF('01_Вводные'!$B$80&gt;=2,'19_Расчет_аналитики'!AY1629,0),IF('01_Вводные'!$B$80&gt;=3,'19_Расчет_аналитики'!AZ1629,0),IF('01_Вводные'!$B$80&gt;=4,'19_Расчет_аналитики'!BA1629,0),IF('01_Вводные'!$B$80&gt;=5,'19_Расчет_аналитики'!BB1629,0),IF('01_Вводные'!$B$80&gt;=6,'19_Расчет_аналитики'!BC1629,0))</f>
        <v/>
      </c>
      <c r="AX1637">
        <f>SUM(IF('01_Вводные'!$B$80&gt;=1,'19_Расчет_аналитики'!AY1629,0),IF('01_Вводные'!$B$80&gt;=2,'19_Расчет_аналитики'!AZ1629,0),IF('01_Вводные'!$B$80&gt;=3,'19_Расчет_аналитики'!BA1629,0),IF('01_Вводные'!$B$80&gt;=4,'19_Расчет_аналитики'!BB1629,0),IF('01_Вводные'!$B$80&gt;=5,'19_Расчет_аналитики'!BC1629,0),IF('01_Вводные'!$B$80&gt;=6,'19_Расчет_аналитики'!BD1629,0))</f>
        <v/>
      </c>
      <c r="AY1637">
        <f>SUM(IF('01_Вводные'!$B$80&gt;=1,'19_Расчет_аналитики'!AZ1629,0),IF('01_Вводные'!$B$80&gt;=2,'19_Расчет_аналитики'!BA1629,0),IF('01_Вводные'!$B$80&gt;=3,'19_Расчет_аналитики'!BB1629,0),IF('01_Вводные'!$B$80&gt;=4,'19_Расчет_аналитики'!BC1629,0),IF('01_Вводные'!$B$80&gt;=5,'19_Расчет_аналитики'!BD1629,0),IF('01_Вводные'!$B$80&gt;=6,'19_Расчет_аналитики'!BE1629,0))</f>
        <v/>
      </c>
      <c r="AZ1637">
        <f>SUM(IF('01_Вводные'!$B$80&gt;=1,'19_Расчет_аналитики'!BA1629,0),IF('01_Вводные'!$B$80&gt;=2,'19_Расчет_аналитики'!BB1629,0),IF('01_Вводные'!$B$80&gt;=3,'19_Расчет_аналитики'!BC1629,0),IF('01_Вводные'!$B$80&gt;=4,'19_Расчет_аналитики'!BD1629,0),IF('01_Вводные'!$B$80&gt;=5,'19_Расчет_аналитики'!BE1629,0),IF('01_Вводные'!$B$80&gt;=6,'19_Расчет_аналитики'!BF1629,0))</f>
        <v/>
      </c>
      <c r="BA1637">
        <f>SUM(IF('01_Вводные'!$B$80&gt;=1,'19_Расчет_аналитики'!BB1629,0),IF('01_Вводные'!$B$80&gt;=2,'19_Расчет_аналитики'!BC1629,0),IF('01_Вводные'!$B$80&gt;=3,'19_Расчет_аналитики'!BD1629,0),IF('01_Вводные'!$B$80&gt;=4,'19_Расчет_аналитики'!BE1629,0),IF('01_Вводные'!$B$80&gt;=5,'19_Расчет_аналитики'!BF1629,0),IF('01_Вводные'!$B$80&gt;=6,'19_Расчет_аналитики'!BG1629,0))</f>
        <v/>
      </c>
      <c r="BB1637">
        <f>SUM(IF('01_Вводные'!$B$80&gt;=1,'19_Расчет_аналитики'!BC1629,0),IF('01_Вводные'!$B$80&gt;=2,'19_Расчет_аналитики'!BD1629,0),IF('01_Вводные'!$B$80&gt;=3,'19_Расчет_аналитики'!BE1629,0),IF('01_Вводные'!$B$80&gt;=4,'19_Расчет_аналитики'!BF1629,0),IF('01_Вводные'!$B$80&gt;=5,'19_Расчет_аналитики'!BG1629,0),IF('01_Вводные'!$B$80&gt;=6,'19_Расчет_аналитики'!BH1629,0))</f>
        <v/>
      </c>
      <c r="BC1637">
        <f>SUM(IF('01_Вводные'!$B$80&gt;=1,'19_Расчет_аналитики'!BD1629,0),IF('01_Вводные'!$B$80&gt;=2,'19_Расчет_аналитики'!BE1629,0),IF('01_Вводные'!$B$80&gt;=3,'19_Расчет_аналитики'!BF1629,0),IF('01_Вводные'!$B$80&gt;=4,'19_Расчет_аналитики'!BG1629,0),IF('01_Вводные'!$B$80&gt;=5,'19_Расчет_аналитики'!BH1629,0),IF('01_Вводные'!$B$80&gt;=6,'19_Расчет_аналитики'!BI1629,0))</f>
        <v/>
      </c>
      <c r="BD1637">
        <f>SUM(IF('01_Вводные'!$B$80&gt;=1,'19_Расчет_аналитики'!BE1629,0),IF('01_Вводные'!$B$80&gt;=2,'19_Расчет_аналитики'!BF1629,0),IF('01_Вводные'!$B$80&gt;=3,'19_Расчет_аналитики'!BG1629,0),IF('01_Вводные'!$B$80&gt;=4,'19_Расчет_аналитики'!BH1629,0),IF('01_Вводные'!$B$80&gt;=5,'19_Расчет_аналитики'!BI1629,0),IF('01_Вводные'!$B$80&gt;=6,'19_Расчет_аналитики'!BJ1629,0))</f>
        <v/>
      </c>
      <c r="BE1637">
        <f>SUM(IF('01_Вводные'!$B$80&gt;=1,'19_Расчет_аналитики'!BF1629,0),IF('01_Вводные'!$B$80&gt;=2,'19_Расчет_аналитики'!BG1629,0),IF('01_Вводные'!$B$80&gt;=3,'19_Расчет_аналитики'!BH1629,0),IF('01_Вводные'!$B$80&gt;=4,'19_Расчет_аналитики'!BI1629,0),IF('01_Вводные'!$B$80&gt;=5,'19_Расчет_аналитики'!BJ1629,0),IF('01_Вводные'!$B$80&gt;=6,'19_Расчет_аналитики'!BK1629,0))</f>
        <v/>
      </c>
      <c r="BF1637">
        <f>SUM(IF('01_Вводные'!$B$80&gt;=1,'19_Расчет_аналитики'!BG1629,0),IF('01_Вводные'!$B$80&gt;=2,'19_Расчет_аналитики'!BH1629,0),IF('01_Вводные'!$B$80&gt;=3,'19_Расчет_аналитики'!BI1629,0),IF('01_Вводные'!$B$80&gt;=4,'19_Расчет_аналитики'!BJ1629,0),IF('01_Вводные'!$B$80&gt;=5,'19_Расчет_аналитики'!BK1629,0),IF('01_Вводные'!$B$80&gt;=6,'19_Расчет_аналитики'!BL1629,0))</f>
        <v/>
      </c>
      <c r="BG1637">
        <f>SUM(IF('01_Вводные'!$B$80&gt;=1,'19_Расчет_аналитики'!BH1629,0),IF('01_Вводные'!$B$80&gt;=2,'19_Расчет_аналитики'!BI1629,0),IF('01_Вводные'!$B$80&gt;=3,'19_Расчет_аналитики'!BJ1629,0),IF('01_Вводные'!$B$80&gt;=4,'19_Расчет_аналитики'!BK1629,0),IF('01_Вводные'!$B$80&gt;=5,'19_Расчет_аналитики'!BL1629,0),IF('01_Вводные'!$B$80&gt;=6,'19_Расчет_аналитики'!BM1629,0))</f>
        <v/>
      </c>
      <c r="BH1637">
        <f>SUM(IF('01_Вводные'!$B$80&gt;=1,'19_Расчет_аналитики'!BI1629,0),IF('01_Вводные'!$B$80&gt;=2,'19_Расчет_аналитики'!BJ1629,0),IF('01_Вводные'!$B$80&gt;=3,'19_Расчет_аналитики'!BK1629,0),IF('01_Вводные'!$B$80&gt;=4,'19_Расчет_аналитики'!BL1629,0),IF('01_Вводные'!$B$80&gt;=5,'19_Расчет_аналитики'!BM1629,0),IF('01_Вводные'!$B$80&gt;=6,'19_Расчет_аналитики'!BN1629,0))</f>
        <v/>
      </c>
      <c r="BI1637">
        <f>SUM(IF('01_Вводные'!$B$80&gt;=1,'19_Расчет_аналитики'!BJ1629,0),IF('01_Вводные'!$B$80&gt;=2,'19_Расчет_аналитики'!BK1629,0),IF('01_Вводные'!$B$80&gt;=3,'19_Расчет_аналитики'!BL1629,0),IF('01_Вводные'!$B$80&gt;=4,'19_Расчет_аналитики'!BM1629,0),IF('01_Вводные'!$B$80&gt;=5,'19_Расчет_аналитики'!BN1629,0),IF('01_Вводные'!$B$80&gt;=6,'19_Расчет_аналитики'!BO1629,0))</f>
        <v/>
      </c>
    </row>
    <row r="1638">
      <c r="B1638">
        <f>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1637-('07_Мерч'!B22-'19_Расчет_аналитики'!B1636)),0)</f>
        <v/>
      </c>
      <c r="C1638">
        <f>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1637-('19_Расчет_аналитики'!C1635-'19_Расчет_аналитики'!C1636)),0)</f>
        <v/>
      </c>
      <c r="D1638">
        <f>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1637-('19_Расчет_аналитики'!D1635-'19_Расчет_аналитики'!D1636)),0)</f>
        <v/>
      </c>
      <c r="E1638">
        <f>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1637-('19_Расчет_аналитики'!E1635-'19_Расчет_аналитики'!E1636)),0)</f>
        <v/>
      </c>
      <c r="F1638">
        <f>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1637-('19_Расчет_аналитики'!F1635-'19_Расчет_аналитики'!F1636)),0)</f>
        <v/>
      </c>
      <c r="G1638">
        <f>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1637-('19_Расчет_аналитики'!G1635-'19_Расчет_аналитики'!G1636)),0)</f>
        <v/>
      </c>
      <c r="H1638">
        <f>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1637-('19_Расчет_аналитики'!H1635-'19_Расчет_аналитики'!H1636)),0)</f>
        <v/>
      </c>
      <c r="I1638">
        <f>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1637-('19_Расчет_аналитики'!I1635-'19_Расчет_аналитики'!I1636)),0)</f>
        <v/>
      </c>
      <c r="J1638">
        <f>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1637-('19_Расчет_аналитики'!J1635-'19_Расчет_аналитики'!J1636)),0)</f>
        <v/>
      </c>
      <c r="K1638">
        <f>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1637-('19_Расчет_аналитики'!K1635-'19_Расчет_аналитики'!K1636)),0)</f>
        <v/>
      </c>
      <c r="L1638">
        <f>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1637-('19_Расчет_аналитики'!L1635-'19_Расчет_аналитики'!L1636)),0)</f>
        <v/>
      </c>
      <c r="M1638">
        <f>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1637-('19_Расчет_аналитики'!M1635-'19_Расчет_аналитики'!M1636)),0)</f>
        <v/>
      </c>
      <c r="N1638">
        <f>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1637-('19_Расчет_аналитики'!N1635-'19_Расчет_аналитики'!N1636)),0)</f>
        <v/>
      </c>
      <c r="O1638">
        <f>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1637-('19_Расчет_аналитики'!O1635-'19_Расчет_аналитики'!O1636)),0)</f>
        <v/>
      </c>
      <c r="P1638">
        <f>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1637-('19_Расчет_аналитики'!P1635-'19_Расчет_аналитики'!P1636)),0)</f>
        <v/>
      </c>
      <c r="Q1638">
        <f>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1637-('19_Расчет_аналитики'!Q1635-'19_Расчет_аналитики'!Q1636)),0)</f>
        <v/>
      </c>
      <c r="R1638">
        <f>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1637-('19_Расчет_аналитики'!R1635-'19_Расчет_аналитики'!R1636)),0)</f>
        <v/>
      </c>
      <c r="S1638">
        <f>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1637-('19_Расчет_аналитики'!S1635-'19_Расчет_аналитики'!S1636)),0)</f>
        <v/>
      </c>
      <c r="T1638">
        <f>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1637-('19_Расчет_аналитики'!T1635-'19_Расчет_аналитики'!T1636)),0)</f>
        <v/>
      </c>
      <c r="U1638">
        <f>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1637-('19_Расчет_аналитики'!U1635-'19_Расчет_аналитики'!U1636)),0)</f>
        <v/>
      </c>
      <c r="V1638">
        <f>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1637-('19_Расчет_аналитики'!V1635-'19_Расчет_аналитики'!V1636)),0)</f>
        <v/>
      </c>
      <c r="W1638">
        <f>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1637-('19_Расчет_аналитики'!W1635-'19_Расчет_аналитики'!W1636)),0)</f>
        <v/>
      </c>
      <c r="X1638">
        <f>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1637-('19_Расчет_аналитики'!X1635-'19_Расчет_аналитики'!X1636)),0)</f>
        <v/>
      </c>
      <c r="Y1638">
        <f>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1637-('19_Расчет_аналитики'!Y1635-'19_Расчет_аналитики'!Y1636)),0)</f>
        <v/>
      </c>
      <c r="Z1638">
        <f>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1637-('19_Расчет_аналитики'!Z1635-'19_Расчет_аналитики'!Z1636)),0)</f>
        <v/>
      </c>
      <c r="AA1638">
        <f>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1637-('19_Расчет_аналитики'!AA1635-'19_Расчет_аналитики'!AA1636)),0)</f>
        <v/>
      </c>
      <c r="AB1638">
        <f>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1637-('19_Расчет_аналитики'!AB1635-'19_Расчет_аналитики'!AB1636)),0)</f>
        <v/>
      </c>
      <c r="AC1638">
        <f>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1637-('19_Расчет_аналитики'!AC1635-'19_Расчет_аналитики'!AC1636)),0)</f>
        <v/>
      </c>
      <c r="AD1638">
        <f>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1637-('19_Расчет_аналитики'!AD1635-'19_Расчет_аналитики'!AD1636)),0)</f>
        <v/>
      </c>
      <c r="AE1638">
        <f>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1637-('19_Расчет_аналитики'!AE1635-'19_Расчет_аналитики'!AE1636)),0)</f>
        <v/>
      </c>
      <c r="AF1638">
        <f>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1637-('19_Расчет_аналитики'!AF1635-'19_Расчет_аналитики'!AF1636)),0)</f>
        <v/>
      </c>
      <c r="AG1638">
        <f>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1637-('19_Расчет_аналитики'!AG1635-'19_Расчет_аналитики'!AG1636)),0)</f>
        <v/>
      </c>
      <c r="AH1638">
        <f>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1637-('19_Расчет_аналитики'!AH1635-'19_Расчет_аналитики'!AH1636)),0)</f>
        <v/>
      </c>
      <c r="AI1638">
        <f>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1637-('19_Расчет_аналитики'!AI1635-'19_Расчет_аналитики'!AI1636)),0)</f>
        <v/>
      </c>
      <c r="AJ1638">
        <f>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1637-('19_Расчет_аналитики'!AJ1635-'19_Расчет_аналитики'!AJ1636)),0)</f>
        <v/>
      </c>
      <c r="AK1638">
        <f>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1637-('19_Расчет_аналитики'!AK1635-'19_Расчет_аналитики'!AK1636)),0)</f>
        <v/>
      </c>
      <c r="AL1638">
        <f>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1637-('19_Расчет_аналитики'!AL1635-'19_Расчет_аналитики'!AL1636)),0)</f>
        <v/>
      </c>
      <c r="AM1638">
        <f>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1637-('19_Расчет_аналитики'!AM1635-'19_Расчет_аналитики'!AM1636)),0)</f>
        <v/>
      </c>
      <c r="AN1638">
        <f>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1637-('19_Расчет_аналитики'!AN1635-'19_Расчет_аналитики'!AN1636)),0)</f>
        <v/>
      </c>
      <c r="AO1638">
        <f>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1637-('19_Расчет_аналитики'!AO1635-'19_Расчет_аналитики'!AO1636)),0)</f>
        <v/>
      </c>
      <c r="AP1638">
        <f>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1637-('19_Расчет_аналитики'!AP1635-'19_Расчет_аналитики'!AP1636)),0)</f>
        <v/>
      </c>
      <c r="AQ1638">
        <f>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1637-('19_Расчет_аналитики'!AQ1635-'19_Расчет_аналитики'!AQ1636)),0)</f>
        <v/>
      </c>
      <c r="AR1638">
        <f>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1637-('19_Расчет_аналитики'!AR1635-'19_Расчет_аналитики'!AR1636)),0)</f>
        <v/>
      </c>
      <c r="AS1638">
        <f>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1637-('19_Расчет_аналитики'!AS1635-'19_Расчет_аналитики'!AS1636)),0)</f>
        <v/>
      </c>
      <c r="AT1638">
        <f>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1637-('19_Расчет_аналитики'!AT1635-'19_Расчет_аналитики'!AT1636)),0)</f>
        <v/>
      </c>
      <c r="AU1638">
        <f>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1637-('19_Расчет_аналитики'!AU1635-'19_Расчет_аналитики'!AU1636)),0)</f>
        <v/>
      </c>
      <c r="AV1638">
        <f>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1637-('19_Расчет_аналитики'!AV1635-'19_Расчет_аналитики'!AV1636)),0)</f>
        <v/>
      </c>
      <c r="AW1638">
        <f>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1637-('19_Расчет_аналитики'!AW1635-'19_Расчет_аналитики'!AW1636)),0)</f>
        <v/>
      </c>
      <c r="AX1638">
        <f>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1637-('19_Расчет_аналитики'!AX1635-'19_Расчет_аналитики'!AX1636)),0)</f>
        <v/>
      </c>
      <c r="AY1638">
        <f>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1637-('19_Расчет_аналитики'!AY1635-'19_Расчет_аналитики'!AY1636)),0)</f>
        <v/>
      </c>
      <c r="AZ1638">
        <f>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1637-('19_Расчет_аналитики'!AZ1635-'19_Расчет_аналитики'!AZ1636)),0)</f>
        <v/>
      </c>
      <c r="BA1638">
        <f>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1637-('19_Расчет_аналитики'!BA1635-'19_Расчет_аналитики'!BA1636)),0)</f>
        <v/>
      </c>
      <c r="BB1638">
        <f>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1637-('19_Расчет_аналитики'!BB1635-'19_Расчет_аналитики'!BB1636)),0)</f>
        <v/>
      </c>
      <c r="BC1638">
        <f>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1637-('19_Расчет_аналитики'!BC1635-'19_Расчет_аналитики'!BC1636)),0)</f>
        <v/>
      </c>
      <c r="BD1638">
        <f>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1637-('19_Расчет_аналитики'!BD1635-'19_Расчет_аналитики'!BD1636)),0)</f>
        <v/>
      </c>
      <c r="BE1638">
        <f>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1637-('19_Расчет_аналитики'!BE1635-'19_Расчет_аналитики'!BE1636)),0)</f>
        <v/>
      </c>
      <c r="BF1638">
        <f>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1637-('19_Расчет_аналитики'!BF1635-'19_Расчет_аналитики'!BF1636)),0)</f>
        <v/>
      </c>
      <c r="BG1638">
        <f>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1637-('19_Расчет_аналитики'!BG1635-'19_Расчет_аналитики'!BG1636)),0)</f>
        <v/>
      </c>
      <c r="BH1638">
        <f>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1637-('19_Расчет_аналитики'!BH1635-'19_Расчет_аналитики'!BH1636)),0)</f>
        <v/>
      </c>
      <c r="BI1638">
        <f>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1637-('19_Расчет_аналитики'!BI1635-'19_Расчет_аналитики'!BI1636)),0)</f>
        <v/>
      </c>
      <c r="BJ1638">
        <f>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1635-'19_Расчет_аналитики'!BJ1636)),0)</f>
        <v/>
      </c>
      <c r="BK1638">
        <f>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1635-'19_Расчет_аналитики'!BK1636)),0)</f>
        <v/>
      </c>
      <c r="BL1638">
        <f>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1635-'19_Расчет_аналитики'!BL1636)),0)</f>
        <v/>
      </c>
      <c r="BM1638">
        <f>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1635-'19_Расчет_аналитики'!BM1636)),0)</f>
        <v/>
      </c>
      <c r="BN1638">
        <f>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1635-'19_Расчет_аналитики'!BN1636)),0)</f>
        <v/>
      </c>
      <c r="BO1638">
        <f>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1635-'19_Расчет_аналитики'!BO1636)),0)</f>
        <v/>
      </c>
    </row>
    <row r="1639">
      <c r="B1639">
        <f>'07_Мерч'!B22+'19_Расчет_аналитики'!B1638-'19_Расчет_аналитики'!B1636</f>
        <v/>
      </c>
      <c r="C1639">
        <f>'19_Расчет_аналитики'!C1635+'19_Расчет_аналитики'!C1638-'19_Расчет_аналитики'!C1636</f>
        <v/>
      </c>
      <c r="D1639">
        <f>'19_Расчет_аналитики'!D1635+'19_Расчет_аналитики'!D1638-'19_Расчет_аналитики'!D1636</f>
        <v/>
      </c>
      <c r="E1639">
        <f>'19_Расчет_аналитики'!E1635+'19_Расчет_аналитики'!E1638-'19_Расчет_аналитики'!E1636</f>
        <v/>
      </c>
      <c r="F1639">
        <f>'19_Расчет_аналитики'!F1635+'19_Расчет_аналитики'!F1638-'19_Расчет_аналитики'!F1636</f>
        <v/>
      </c>
      <c r="G1639">
        <f>'19_Расчет_аналитики'!G1635+'19_Расчет_аналитики'!G1638-'19_Расчет_аналитики'!G1636</f>
        <v/>
      </c>
      <c r="H1639">
        <f>'19_Расчет_аналитики'!H1635+'19_Расчет_аналитики'!H1638-'19_Расчет_аналитики'!H1636</f>
        <v/>
      </c>
      <c r="I1639">
        <f>'19_Расчет_аналитики'!I1635+'19_Расчет_аналитики'!I1638-'19_Расчет_аналитики'!I1636</f>
        <v/>
      </c>
      <c r="J1639">
        <f>'19_Расчет_аналитики'!J1635+'19_Расчет_аналитики'!J1638-'19_Расчет_аналитики'!J1636</f>
        <v/>
      </c>
      <c r="K1639">
        <f>'19_Расчет_аналитики'!K1635+'19_Расчет_аналитики'!K1638-'19_Расчет_аналитики'!K1636</f>
        <v/>
      </c>
      <c r="L1639">
        <f>'19_Расчет_аналитики'!L1635+'19_Расчет_аналитики'!L1638-'19_Расчет_аналитики'!L1636</f>
        <v/>
      </c>
      <c r="M1639">
        <f>'19_Расчет_аналитики'!M1635+'19_Расчет_аналитики'!M1638-'19_Расчет_аналитики'!M1636</f>
        <v/>
      </c>
      <c r="N1639">
        <f>'19_Расчет_аналитики'!N1635+'19_Расчет_аналитики'!N1638-'19_Расчет_аналитики'!N1636</f>
        <v/>
      </c>
      <c r="O1639">
        <f>'19_Расчет_аналитики'!O1635+'19_Расчет_аналитики'!O1638-'19_Расчет_аналитики'!O1636</f>
        <v/>
      </c>
      <c r="P1639">
        <f>'19_Расчет_аналитики'!P1635+'19_Расчет_аналитики'!P1638-'19_Расчет_аналитики'!P1636</f>
        <v/>
      </c>
      <c r="Q1639">
        <f>'19_Расчет_аналитики'!Q1635+'19_Расчет_аналитики'!Q1638-'19_Расчет_аналитики'!Q1636</f>
        <v/>
      </c>
      <c r="R1639">
        <f>'19_Расчет_аналитики'!R1635+'19_Расчет_аналитики'!R1638-'19_Расчет_аналитики'!R1636</f>
        <v/>
      </c>
      <c r="S1639">
        <f>'19_Расчет_аналитики'!S1635+'19_Расчет_аналитики'!S1638-'19_Расчет_аналитики'!S1636</f>
        <v/>
      </c>
      <c r="T1639">
        <f>'19_Расчет_аналитики'!T1635+'19_Расчет_аналитики'!T1638-'19_Расчет_аналитики'!T1636</f>
        <v/>
      </c>
      <c r="U1639">
        <f>'19_Расчет_аналитики'!U1635+'19_Расчет_аналитики'!U1638-'19_Расчет_аналитики'!U1636</f>
        <v/>
      </c>
      <c r="V1639">
        <f>'19_Расчет_аналитики'!V1635+'19_Расчет_аналитики'!V1638-'19_Расчет_аналитики'!V1636</f>
        <v/>
      </c>
      <c r="W1639">
        <f>'19_Расчет_аналитики'!W1635+'19_Расчет_аналитики'!W1638-'19_Расчет_аналитики'!W1636</f>
        <v/>
      </c>
      <c r="X1639">
        <f>'19_Расчет_аналитики'!X1635+'19_Расчет_аналитики'!X1638-'19_Расчет_аналитики'!X1636</f>
        <v/>
      </c>
      <c r="Y1639">
        <f>'19_Расчет_аналитики'!Y1635+'19_Расчет_аналитики'!Y1638-'19_Расчет_аналитики'!Y1636</f>
        <v/>
      </c>
      <c r="Z1639">
        <f>'19_Расчет_аналитики'!Z1635+'19_Расчет_аналитики'!Z1638-'19_Расчет_аналитики'!Z1636</f>
        <v/>
      </c>
      <c r="AA1639">
        <f>'19_Расчет_аналитики'!AA1635+'19_Расчет_аналитики'!AA1638-'19_Расчет_аналитики'!AA1636</f>
        <v/>
      </c>
      <c r="AB1639">
        <f>'19_Расчет_аналитики'!AB1635+'19_Расчет_аналитики'!AB1638-'19_Расчет_аналитики'!AB1636</f>
        <v/>
      </c>
      <c r="AC1639">
        <f>'19_Расчет_аналитики'!AC1635+'19_Расчет_аналитики'!AC1638-'19_Расчет_аналитики'!AC1636</f>
        <v/>
      </c>
      <c r="AD1639">
        <f>'19_Расчет_аналитики'!AD1635+'19_Расчет_аналитики'!AD1638-'19_Расчет_аналитики'!AD1636</f>
        <v/>
      </c>
      <c r="AE1639">
        <f>'19_Расчет_аналитики'!AE1635+'19_Расчет_аналитики'!AE1638-'19_Расчет_аналитики'!AE1636</f>
        <v/>
      </c>
      <c r="AF1639">
        <f>'19_Расчет_аналитики'!AF1635+'19_Расчет_аналитики'!AF1638-'19_Расчет_аналитики'!AF1636</f>
        <v/>
      </c>
      <c r="AG1639">
        <f>'19_Расчет_аналитики'!AG1635+'19_Расчет_аналитики'!AG1638-'19_Расчет_аналитики'!AG1636</f>
        <v/>
      </c>
      <c r="AH1639">
        <f>'19_Расчет_аналитики'!AH1635+'19_Расчет_аналитики'!AH1638-'19_Расчет_аналитики'!AH1636</f>
        <v/>
      </c>
      <c r="AI1639">
        <f>'19_Расчет_аналитики'!AI1635+'19_Расчет_аналитики'!AI1638-'19_Расчет_аналитики'!AI1636</f>
        <v/>
      </c>
      <c r="AJ1639">
        <f>'19_Расчет_аналитики'!AJ1635+'19_Расчет_аналитики'!AJ1638-'19_Расчет_аналитики'!AJ1636</f>
        <v/>
      </c>
      <c r="AK1639">
        <f>'19_Расчет_аналитики'!AK1635+'19_Расчет_аналитики'!AK1638-'19_Расчет_аналитики'!AK1636</f>
        <v/>
      </c>
      <c r="AL1639">
        <f>'19_Расчет_аналитики'!AL1635+'19_Расчет_аналитики'!AL1638-'19_Расчет_аналитики'!AL1636</f>
        <v/>
      </c>
      <c r="AM1639">
        <f>'19_Расчет_аналитики'!AM1635+'19_Расчет_аналитики'!AM1638-'19_Расчет_аналитики'!AM1636</f>
        <v/>
      </c>
      <c r="AN1639">
        <f>'19_Расчет_аналитики'!AN1635+'19_Расчет_аналитики'!AN1638-'19_Расчет_аналитики'!AN1636</f>
        <v/>
      </c>
      <c r="AO1639">
        <f>'19_Расчет_аналитики'!AO1635+'19_Расчет_аналитики'!AO1638-'19_Расчет_аналитики'!AO1636</f>
        <v/>
      </c>
      <c r="AP1639">
        <f>'19_Расчет_аналитики'!AP1635+'19_Расчет_аналитики'!AP1638-'19_Расчет_аналитики'!AP1636</f>
        <v/>
      </c>
      <c r="AQ1639">
        <f>'19_Расчет_аналитики'!AQ1635+'19_Расчет_аналитики'!AQ1638-'19_Расчет_аналитики'!AQ1636</f>
        <v/>
      </c>
      <c r="AR1639">
        <f>'19_Расчет_аналитики'!AR1635+'19_Расчет_аналитики'!AR1638-'19_Расчет_аналитики'!AR1636</f>
        <v/>
      </c>
      <c r="AS1639">
        <f>'19_Расчет_аналитики'!AS1635+'19_Расчет_аналитики'!AS1638-'19_Расчет_аналитики'!AS1636</f>
        <v/>
      </c>
      <c r="AT1639">
        <f>'19_Расчет_аналитики'!AT1635+'19_Расчет_аналитики'!AT1638-'19_Расчет_аналитики'!AT1636</f>
        <v/>
      </c>
      <c r="AU1639">
        <f>'19_Расчет_аналитики'!AU1635+'19_Расчет_аналитики'!AU1638-'19_Расчет_аналитики'!AU1636</f>
        <v/>
      </c>
      <c r="AV1639">
        <f>'19_Расчет_аналитики'!AV1635+'19_Расчет_аналитики'!AV1638-'19_Расчет_аналитики'!AV1636</f>
        <v/>
      </c>
      <c r="AW1639">
        <f>'19_Расчет_аналитики'!AW1635+'19_Расчет_аналитики'!AW1638-'19_Расчет_аналитики'!AW1636</f>
        <v/>
      </c>
      <c r="AX1639">
        <f>'19_Расчет_аналитики'!AX1635+'19_Расчет_аналитики'!AX1638-'19_Расчет_аналитики'!AX1636</f>
        <v/>
      </c>
      <c r="AY1639">
        <f>'19_Расчет_аналитики'!AY1635+'19_Расчет_аналитики'!AY1638-'19_Расчет_аналитики'!AY1636</f>
        <v/>
      </c>
      <c r="AZ1639">
        <f>'19_Расчет_аналитики'!AZ1635+'19_Расчет_аналитики'!AZ1638-'19_Расчет_аналитики'!AZ1636</f>
        <v/>
      </c>
      <c r="BA1639">
        <f>'19_Расчет_аналитики'!BA1635+'19_Расчет_аналитики'!BA1638-'19_Расчет_аналитики'!BA1636</f>
        <v/>
      </c>
      <c r="BB1639">
        <f>'19_Расчет_аналитики'!BB1635+'19_Расчет_аналитики'!BB1638-'19_Расчет_аналитики'!BB1636</f>
        <v/>
      </c>
      <c r="BC1639">
        <f>'19_Расчет_аналитики'!BC1635+'19_Расчет_аналитики'!BC1638-'19_Расчет_аналитики'!BC1636</f>
        <v/>
      </c>
      <c r="BD1639">
        <f>'19_Расчет_аналитики'!BD1635+'19_Расчет_аналитики'!BD1638-'19_Расчет_аналитики'!BD1636</f>
        <v/>
      </c>
      <c r="BE1639">
        <f>'19_Расчет_аналитики'!BE1635+'19_Расчет_аналитики'!BE1638-'19_Расчет_аналитики'!BE1636</f>
        <v/>
      </c>
      <c r="BF1639">
        <f>'19_Расчет_аналитики'!BF1635+'19_Расчет_аналитики'!BF1638-'19_Расчет_аналитики'!BF1636</f>
        <v/>
      </c>
      <c r="BG1639">
        <f>'19_Расчет_аналитики'!BG1635+'19_Расчет_аналитики'!BG1638-'19_Расчет_аналитики'!BG1636</f>
        <v/>
      </c>
      <c r="BH1639">
        <f>'19_Расчет_аналитики'!BH1635+'19_Расчет_аналитики'!BH1638-'19_Расчет_аналитики'!BH1636</f>
        <v/>
      </c>
      <c r="BI1639">
        <f>'19_Расчет_аналитики'!BI1635+'19_Расчет_аналитики'!BI1638-'19_Расчет_аналитики'!BI1636</f>
        <v/>
      </c>
      <c r="BJ1639">
        <f>'19_Расчет_аналитики'!BJ1635+'19_Расчет_аналитики'!BJ1638-'19_Расчет_аналитики'!BJ1636</f>
        <v/>
      </c>
      <c r="BK1639">
        <f>'19_Расчет_аналитики'!BK1635+'19_Расчет_аналитики'!BK1638-'19_Расчет_аналитики'!BK1636</f>
        <v/>
      </c>
      <c r="BL1639">
        <f>'19_Расчет_аналитики'!BL1635+'19_Расчет_аналитики'!BL1638-'19_Расчет_аналитики'!BL1636</f>
        <v/>
      </c>
      <c r="BM1639">
        <f>'19_Расчет_аналитики'!BM1635+'19_Расчет_аналитики'!BM1638-'19_Расчет_аналитики'!BM1636</f>
        <v/>
      </c>
      <c r="BN1639">
        <f>'19_Расчет_аналитики'!BN1635+'19_Расчет_аналитики'!BN1638-'19_Расчет_аналитики'!BN1636</f>
        <v/>
      </c>
      <c r="BO1639">
        <f>'19_Расчет_аналитики'!BO1635+'19_Расчет_аналитики'!BO1638-'19_Расчет_аналитики'!BO1636</f>
        <v/>
      </c>
    </row>
    <row r="1640">
      <c r="B1640">
        <f>MAX(0,-'19_Расчет_аналитики'!B1639)</f>
        <v/>
      </c>
      <c r="C1640">
        <f>MAX(0,-'19_Расчет_аналитики'!C1639)</f>
        <v/>
      </c>
      <c r="D1640">
        <f>MAX(0,-'19_Расчет_аналитики'!D1639)</f>
        <v/>
      </c>
      <c r="E1640">
        <f>MAX(0,-'19_Расчет_аналитики'!E1639)</f>
        <v/>
      </c>
      <c r="F1640">
        <f>MAX(0,-'19_Расчет_аналитики'!F1639)</f>
        <v/>
      </c>
      <c r="G1640">
        <f>MAX(0,-'19_Расчет_аналитики'!G1639)</f>
        <v/>
      </c>
      <c r="H1640">
        <f>MAX(0,-'19_Расчет_аналитики'!H1639)</f>
        <v/>
      </c>
      <c r="I1640">
        <f>MAX(0,-'19_Расчет_аналитики'!I1639)</f>
        <v/>
      </c>
      <c r="J1640">
        <f>MAX(0,-'19_Расчет_аналитики'!J1639)</f>
        <v/>
      </c>
      <c r="K1640">
        <f>MAX(0,-'19_Расчет_аналитики'!K1639)</f>
        <v/>
      </c>
      <c r="L1640">
        <f>MAX(0,-'19_Расчет_аналитики'!L1639)</f>
        <v/>
      </c>
      <c r="M1640">
        <f>MAX(0,-'19_Расчет_аналитики'!M1639)</f>
        <v/>
      </c>
      <c r="N1640">
        <f>MAX(0,-'19_Расчет_аналитики'!N1639)</f>
        <v/>
      </c>
      <c r="O1640">
        <f>MAX(0,-'19_Расчет_аналитики'!O1639)</f>
        <v/>
      </c>
      <c r="P1640">
        <f>MAX(0,-'19_Расчет_аналитики'!P1639)</f>
        <v/>
      </c>
      <c r="Q1640">
        <f>MAX(0,-'19_Расчет_аналитики'!Q1639)</f>
        <v/>
      </c>
      <c r="R1640">
        <f>MAX(0,-'19_Расчет_аналитики'!R1639)</f>
        <v/>
      </c>
      <c r="S1640">
        <f>MAX(0,-'19_Расчет_аналитики'!S1639)</f>
        <v/>
      </c>
      <c r="T1640">
        <f>MAX(0,-'19_Расчет_аналитики'!T1639)</f>
        <v/>
      </c>
      <c r="U1640">
        <f>MAX(0,-'19_Расчет_аналитики'!U1639)</f>
        <v/>
      </c>
      <c r="V1640">
        <f>MAX(0,-'19_Расчет_аналитики'!V1639)</f>
        <v/>
      </c>
      <c r="W1640">
        <f>MAX(0,-'19_Расчет_аналитики'!W1639)</f>
        <v/>
      </c>
      <c r="X1640">
        <f>MAX(0,-'19_Расчет_аналитики'!X1639)</f>
        <v/>
      </c>
      <c r="Y1640">
        <f>MAX(0,-'19_Расчет_аналитики'!Y1639)</f>
        <v/>
      </c>
      <c r="Z1640">
        <f>MAX(0,-'19_Расчет_аналитики'!Z1639)</f>
        <v/>
      </c>
      <c r="AA1640">
        <f>MAX(0,-'19_Расчет_аналитики'!AA1639)</f>
        <v/>
      </c>
      <c r="AB1640">
        <f>MAX(0,-'19_Расчет_аналитики'!AB1639)</f>
        <v/>
      </c>
      <c r="AC1640">
        <f>MAX(0,-'19_Расчет_аналитики'!AC1639)</f>
        <v/>
      </c>
      <c r="AD1640">
        <f>MAX(0,-'19_Расчет_аналитики'!AD1639)</f>
        <v/>
      </c>
      <c r="AE1640">
        <f>MAX(0,-'19_Расчет_аналитики'!AE1639)</f>
        <v/>
      </c>
      <c r="AF1640">
        <f>MAX(0,-'19_Расчет_аналитики'!AF1639)</f>
        <v/>
      </c>
      <c r="AG1640">
        <f>MAX(0,-'19_Расчет_аналитики'!AG1639)</f>
        <v/>
      </c>
      <c r="AH1640">
        <f>MAX(0,-'19_Расчет_аналитики'!AH1639)</f>
        <v/>
      </c>
      <c r="AI1640">
        <f>MAX(0,-'19_Расчет_аналитики'!AI1639)</f>
        <v/>
      </c>
      <c r="AJ1640">
        <f>MAX(0,-'19_Расчет_аналитики'!AJ1639)</f>
        <v/>
      </c>
      <c r="AK1640">
        <f>MAX(0,-'19_Расчет_аналитики'!AK1639)</f>
        <v/>
      </c>
      <c r="AL1640">
        <f>MAX(0,-'19_Расчет_аналитики'!AL1639)</f>
        <v/>
      </c>
      <c r="AM1640">
        <f>MAX(0,-'19_Расчет_аналитики'!AM1639)</f>
        <v/>
      </c>
      <c r="AN1640">
        <f>MAX(0,-'19_Расчет_аналитики'!AN1639)</f>
        <v/>
      </c>
      <c r="AO1640">
        <f>MAX(0,-'19_Расчет_аналитики'!AO1639)</f>
        <v/>
      </c>
      <c r="AP1640">
        <f>MAX(0,-'19_Расчет_аналитики'!AP1639)</f>
        <v/>
      </c>
      <c r="AQ1640">
        <f>MAX(0,-'19_Расчет_аналитики'!AQ1639)</f>
        <v/>
      </c>
      <c r="AR1640">
        <f>MAX(0,-'19_Расчет_аналитики'!AR1639)</f>
        <v/>
      </c>
      <c r="AS1640">
        <f>MAX(0,-'19_Расчет_аналитики'!AS1639)</f>
        <v/>
      </c>
      <c r="AT1640">
        <f>MAX(0,-'19_Расчет_аналитики'!AT1639)</f>
        <v/>
      </c>
      <c r="AU1640">
        <f>MAX(0,-'19_Расчет_аналитики'!AU1639)</f>
        <v/>
      </c>
      <c r="AV1640">
        <f>MAX(0,-'19_Расчет_аналитики'!AV1639)</f>
        <v/>
      </c>
      <c r="AW1640">
        <f>MAX(0,-'19_Расчет_аналитики'!AW1639)</f>
        <v/>
      </c>
      <c r="AX1640">
        <f>MAX(0,-'19_Расчет_аналитики'!AX1639)</f>
        <v/>
      </c>
      <c r="AY1640">
        <f>MAX(0,-'19_Расчет_аналитики'!AY1639)</f>
        <v/>
      </c>
      <c r="AZ1640">
        <f>MAX(0,-'19_Расчет_аналитики'!AZ1639)</f>
        <v/>
      </c>
      <c r="BA1640">
        <f>MAX(0,-'19_Расчет_аналитики'!BA1639)</f>
        <v/>
      </c>
      <c r="BB1640">
        <f>MAX(0,-'19_Расчет_аналитики'!BB1639)</f>
        <v/>
      </c>
      <c r="BC1640">
        <f>MAX(0,-'19_Расчет_аналитики'!BC1639)</f>
        <v/>
      </c>
      <c r="BD1640">
        <f>MAX(0,-'19_Расчет_аналитики'!BD1639)</f>
        <v/>
      </c>
      <c r="BE1640">
        <f>MAX(0,-'19_Расчет_аналитики'!BE1639)</f>
        <v/>
      </c>
      <c r="BF1640">
        <f>MAX(0,-'19_Расчет_аналитики'!BF1639)</f>
        <v/>
      </c>
      <c r="BG1640">
        <f>MAX(0,-'19_Расчет_аналитики'!BG1639)</f>
        <v/>
      </c>
      <c r="BH1640">
        <f>MAX(0,-'19_Расчет_аналитики'!BH1639)</f>
        <v/>
      </c>
      <c r="BI1640">
        <f>MAX(0,-'19_Расчет_аналитики'!BI1639)</f>
        <v/>
      </c>
      <c r="BJ1640">
        <f>MAX(0,-'19_Расчет_аналитики'!BJ1639)</f>
        <v/>
      </c>
      <c r="BK1640">
        <f>MAX(0,-'19_Расчет_аналитики'!BK1639)</f>
        <v/>
      </c>
      <c r="BL1640">
        <f>MAX(0,-'19_Расчет_аналитики'!BL1639)</f>
        <v/>
      </c>
      <c r="BM1640">
        <f>MAX(0,-'19_Расчет_аналитики'!BM1639)</f>
        <v/>
      </c>
      <c r="BN1640">
        <f>MAX(0,-'19_Расчет_аналитики'!BN1639)</f>
        <v/>
      </c>
      <c r="BO1640">
        <f>MAX(0,-'19_Расчет_аналитики'!BO1639)</f>
        <v/>
      </c>
    </row>
    <row r="1641"/>
    <row r="1642">
      <c r="C1642">
        <f>'19_Расчет_аналитики'!B1645</f>
        <v/>
      </c>
      <c r="D1642">
        <f>'19_Расчет_аналитики'!C1645</f>
        <v/>
      </c>
      <c r="E1642">
        <f>'19_Расчет_аналитики'!D1645</f>
        <v/>
      </c>
      <c r="F1642">
        <f>'19_Расчет_аналитики'!E1645</f>
        <v/>
      </c>
      <c r="G1642">
        <f>'19_Расчет_аналитики'!F1645</f>
        <v/>
      </c>
      <c r="H1642">
        <f>'19_Расчет_аналитики'!G1645</f>
        <v/>
      </c>
      <c r="I1642">
        <f>'19_Расчет_аналитики'!H1645</f>
        <v/>
      </c>
      <c r="J1642">
        <f>'19_Расчет_аналитики'!I1645</f>
        <v/>
      </c>
      <c r="K1642">
        <f>'19_Расчет_аналитики'!J1645</f>
        <v/>
      </c>
      <c r="L1642">
        <f>'19_Расчет_аналитики'!K1645</f>
        <v/>
      </c>
      <c r="M1642">
        <f>'19_Расчет_аналитики'!L1645</f>
        <v/>
      </c>
      <c r="N1642">
        <f>'19_Расчет_аналитики'!M1645</f>
        <v/>
      </c>
      <c r="O1642">
        <f>'19_Расчет_аналитики'!N1645</f>
        <v/>
      </c>
      <c r="P1642">
        <f>'19_Расчет_аналитики'!O1645</f>
        <v/>
      </c>
      <c r="Q1642">
        <f>'19_Расчет_аналитики'!P1645</f>
        <v/>
      </c>
      <c r="R1642">
        <f>'19_Расчет_аналитики'!Q1645</f>
        <v/>
      </c>
      <c r="S1642">
        <f>'19_Расчет_аналитики'!R1645</f>
        <v/>
      </c>
      <c r="T1642">
        <f>'19_Расчет_аналитики'!S1645</f>
        <v/>
      </c>
      <c r="U1642">
        <f>'19_Расчет_аналитики'!T1645</f>
        <v/>
      </c>
      <c r="V1642">
        <f>'19_Расчет_аналитики'!U1645</f>
        <v/>
      </c>
      <c r="W1642">
        <f>'19_Расчет_аналитики'!V1645</f>
        <v/>
      </c>
      <c r="X1642">
        <f>'19_Расчет_аналитики'!W1645</f>
        <v/>
      </c>
      <c r="Y1642">
        <f>'19_Расчет_аналитики'!X1645</f>
        <v/>
      </c>
      <c r="Z1642">
        <f>'19_Расчет_аналитики'!Y1645</f>
        <v/>
      </c>
      <c r="AA1642">
        <f>'19_Расчет_аналитики'!Z1645</f>
        <v/>
      </c>
      <c r="AB1642">
        <f>'19_Расчет_аналитики'!AA1645</f>
        <v/>
      </c>
      <c r="AC1642">
        <f>'19_Расчет_аналитики'!AB1645</f>
        <v/>
      </c>
      <c r="AD1642">
        <f>'19_Расчет_аналитики'!AC1645</f>
        <v/>
      </c>
      <c r="AE1642">
        <f>'19_Расчет_аналитики'!AD1645</f>
        <v/>
      </c>
      <c r="AF1642">
        <f>'19_Расчет_аналитики'!AE1645</f>
        <v/>
      </c>
      <c r="AG1642">
        <f>'19_Расчет_аналитики'!AF1645</f>
        <v/>
      </c>
      <c r="AH1642">
        <f>'19_Расчет_аналитики'!AG1645</f>
        <v/>
      </c>
      <c r="AI1642">
        <f>'19_Расчет_аналитики'!AH1645</f>
        <v/>
      </c>
      <c r="AJ1642">
        <f>'19_Расчет_аналитики'!AI1645</f>
        <v/>
      </c>
      <c r="AK1642">
        <f>'19_Расчет_аналитики'!AJ1645</f>
        <v/>
      </c>
      <c r="AL1642">
        <f>'19_Расчет_аналитики'!AK1645</f>
        <v/>
      </c>
      <c r="AM1642">
        <f>'19_Расчет_аналитики'!AL1645</f>
        <v/>
      </c>
      <c r="AN1642">
        <f>'19_Расчет_аналитики'!AM1645</f>
        <v/>
      </c>
      <c r="AO1642">
        <f>'19_Расчет_аналитики'!AN1645</f>
        <v/>
      </c>
      <c r="AP1642">
        <f>'19_Расчет_аналитики'!AO1645</f>
        <v/>
      </c>
      <c r="AQ1642">
        <f>'19_Расчет_аналитики'!AP1645</f>
        <v/>
      </c>
      <c r="AR1642">
        <f>'19_Расчет_аналитики'!AQ1645</f>
        <v/>
      </c>
      <c r="AS1642">
        <f>'19_Расчет_аналитики'!AR1645</f>
        <v/>
      </c>
      <c r="AT1642">
        <f>'19_Расчет_аналитики'!AS1645</f>
        <v/>
      </c>
      <c r="AU1642">
        <f>'19_Расчет_аналитики'!AT1645</f>
        <v/>
      </c>
      <c r="AV1642">
        <f>'19_Расчет_аналитики'!AU1645</f>
        <v/>
      </c>
      <c r="AW1642">
        <f>'19_Расчет_аналитики'!AV1645</f>
        <v/>
      </c>
      <c r="AX1642">
        <f>'19_Расчет_аналитики'!AW1645</f>
        <v/>
      </c>
      <c r="AY1642">
        <f>'19_Расчет_аналитики'!AX1645</f>
        <v/>
      </c>
      <c r="AZ1642">
        <f>'19_Расчет_аналитики'!AY1645</f>
        <v/>
      </c>
      <c r="BA1642">
        <f>'19_Расчет_аналитики'!AZ1645</f>
        <v/>
      </c>
      <c r="BB1642">
        <f>'19_Расчет_аналитики'!BA1645</f>
        <v/>
      </c>
      <c r="BC1642">
        <f>'19_Расчет_аналитики'!BB1645</f>
        <v/>
      </c>
      <c r="BD1642">
        <f>'19_Расчет_аналитики'!BC1645</f>
        <v/>
      </c>
      <c r="BE1642">
        <f>'19_Расчет_аналитики'!BD1645</f>
        <v/>
      </c>
      <c r="BF1642">
        <f>'19_Расчет_аналитики'!BE1645</f>
        <v/>
      </c>
      <c r="BG1642">
        <f>'19_Расчет_аналитики'!BF1645</f>
        <v/>
      </c>
      <c r="BH1642">
        <f>'19_Расчет_аналитики'!BG1645</f>
        <v/>
      </c>
      <c r="BI1642">
        <f>'19_Расчет_аналитики'!BH1645</f>
        <v/>
      </c>
      <c r="BJ1642">
        <f>'19_Расчет_аналитики'!BI1645</f>
        <v/>
      </c>
      <c r="BK1642">
        <f>'19_Расчет_аналитики'!BJ1645</f>
        <v/>
      </c>
      <c r="BL1642">
        <f>'19_Расчет_аналитики'!BK1645</f>
        <v/>
      </c>
      <c r="BM1642">
        <f>'19_Расчет_аналитики'!BL1645</f>
        <v/>
      </c>
      <c r="BN1642">
        <f>'19_Расчет_аналитики'!BM1645</f>
        <v/>
      </c>
      <c r="BO1642">
        <f>'19_Расчет_аналитики'!BN1645</f>
        <v/>
      </c>
    </row>
    <row r="1643">
      <c r="B1643">
        <f>MIN('07_Мерч'!B29,'19_Расчет_аналитики'!B1629*'01_Вводные'!$B$79)</f>
        <v/>
      </c>
      <c r="C1643">
        <f>MIN('19_Расчет_аналитики'!C1642,'19_Расчет_аналитики'!C1629*'01_Вводные'!$B$79)</f>
        <v/>
      </c>
      <c r="D1643">
        <f>MIN('19_Расчет_аналитики'!D1642,'19_Расчет_аналитики'!D1629*'01_Вводные'!$B$79)</f>
        <v/>
      </c>
      <c r="E1643">
        <f>MIN('19_Расчет_аналитики'!E1642,'19_Расчет_аналитики'!E1629*'01_Вводные'!$B$79)</f>
        <v/>
      </c>
      <c r="F1643">
        <f>MIN('19_Расчет_аналитики'!F1642,'19_Расчет_аналитики'!F1629*'01_Вводные'!$B$79)</f>
        <v/>
      </c>
      <c r="G1643">
        <f>MIN('19_Расчет_аналитики'!G1642,'19_Расчет_аналитики'!G1629*'01_Вводные'!$B$79)</f>
        <v/>
      </c>
      <c r="H1643">
        <f>MIN('19_Расчет_аналитики'!H1642,'19_Расчет_аналитики'!H1629*'01_Вводные'!$B$79)</f>
        <v/>
      </c>
      <c r="I1643">
        <f>MIN('19_Расчет_аналитики'!I1642,'19_Расчет_аналитики'!I1629*'01_Вводные'!$B$79)</f>
        <v/>
      </c>
      <c r="J1643">
        <f>MIN('19_Расчет_аналитики'!J1642,'19_Расчет_аналитики'!J1629*'01_Вводные'!$B$79)</f>
        <v/>
      </c>
      <c r="K1643">
        <f>MIN('19_Расчет_аналитики'!K1642,'19_Расчет_аналитики'!K1629*'01_Вводные'!$B$79)</f>
        <v/>
      </c>
      <c r="L1643">
        <f>MIN('19_Расчет_аналитики'!L1642,'19_Расчет_аналитики'!L1629*'01_Вводные'!$B$79)</f>
        <v/>
      </c>
      <c r="M1643">
        <f>MIN('19_Расчет_аналитики'!M1642,'19_Расчет_аналитики'!M1629*'01_Вводные'!$B$79)</f>
        <v/>
      </c>
      <c r="N1643">
        <f>MIN('19_Расчет_аналитики'!N1642,'19_Расчет_аналитики'!N1629*'01_Вводные'!$B$79)</f>
        <v/>
      </c>
      <c r="O1643">
        <f>MIN('19_Расчет_аналитики'!O1642,'19_Расчет_аналитики'!O1629*'01_Вводные'!$B$79)</f>
        <v/>
      </c>
      <c r="P1643">
        <f>MIN('19_Расчет_аналитики'!P1642,'19_Расчет_аналитики'!P1629*'01_Вводные'!$B$79)</f>
        <v/>
      </c>
      <c r="Q1643">
        <f>MIN('19_Расчет_аналитики'!Q1642,'19_Расчет_аналитики'!Q1629*'01_Вводные'!$B$79)</f>
        <v/>
      </c>
      <c r="R1643">
        <f>MIN('19_Расчет_аналитики'!R1642,'19_Расчет_аналитики'!R1629*'01_Вводные'!$B$79)</f>
        <v/>
      </c>
      <c r="S1643">
        <f>MIN('19_Расчет_аналитики'!S1642,'19_Расчет_аналитики'!S1629*'01_Вводные'!$B$79)</f>
        <v/>
      </c>
      <c r="T1643">
        <f>MIN('19_Расчет_аналитики'!T1642,'19_Расчет_аналитики'!T1629*'01_Вводные'!$B$79)</f>
        <v/>
      </c>
      <c r="U1643">
        <f>MIN('19_Расчет_аналитики'!U1642,'19_Расчет_аналитики'!U1629*'01_Вводные'!$B$79)</f>
        <v/>
      </c>
      <c r="V1643">
        <f>MIN('19_Расчет_аналитики'!V1642,'19_Расчет_аналитики'!V1629*'01_Вводные'!$B$79)</f>
        <v/>
      </c>
      <c r="W1643">
        <f>MIN('19_Расчет_аналитики'!W1642,'19_Расчет_аналитики'!W1629*'01_Вводные'!$B$79)</f>
        <v/>
      </c>
      <c r="X1643">
        <f>MIN('19_Расчет_аналитики'!X1642,'19_Расчет_аналитики'!X1629*'01_Вводные'!$B$79)</f>
        <v/>
      </c>
      <c r="Y1643">
        <f>MIN('19_Расчет_аналитики'!Y1642,'19_Расчет_аналитики'!Y1629*'01_Вводные'!$B$79)</f>
        <v/>
      </c>
      <c r="Z1643">
        <f>MIN('19_Расчет_аналитики'!Z1642,'19_Расчет_аналитики'!Z1629*'01_Вводные'!$B$79)</f>
        <v/>
      </c>
      <c r="AA1643">
        <f>MIN('19_Расчет_аналитики'!AA1642,'19_Расчет_аналитики'!AA1629*'01_Вводные'!$B$79)</f>
        <v/>
      </c>
      <c r="AB1643">
        <f>MIN('19_Расчет_аналитики'!AB1642,'19_Расчет_аналитики'!AB1629*'01_Вводные'!$B$79)</f>
        <v/>
      </c>
      <c r="AC1643">
        <f>MIN('19_Расчет_аналитики'!AC1642,'19_Расчет_аналитики'!AC1629*'01_Вводные'!$B$79)</f>
        <v/>
      </c>
      <c r="AD1643">
        <f>MIN('19_Расчет_аналитики'!AD1642,'19_Расчет_аналитики'!AD1629*'01_Вводные'!$B$79)</f>
        <v/>
      </c>
      <c r="AE1643">
        <f>MIN('19_Расчет_аналитики'!AE1642,'19_Расчет_аналитики'!AE1629*'01_Вводные'!$B$79)</f>
        <v/>
      </c>
      <c r="AF1643">
        <f>MIN('19_Расчет_аналитики'!AF1642,'19_Расчет_аналитики'!AF1629*'01_Вводные'!$B$79)</f>
        <v/>
      </c>
      <c r="AG1643">
        <f>MIN('19_Расчет_аналитики'!AG1642,'19_Расчет_аналитики'!AG1629*'01_Вводные'!$B$79)</f>
        <v/>
      </c>
      <c r="AH1643">
        <f>MIN('19_Расчет_аналитики'!AH1642,'19_Расчет_аналитики'!AH1629*'01_Вводные'!$B$79)</f>
        <v/>
      </c>
      <c r="AI1643">
        <f>MIN('19_Расчет_аналитики'!AI1642,'19_Расчет_аналитики'!AI1629*'01_Вводные'!$B$79)</f>
        <v/>
      </c>
      <c r="AJ1643">
        <f>MIN('19_Расчет_аналитики'!AJ1642,'19_Расчет_аналитики'!AJ1629*'01_Вводные'!$B$79)</f>
        <v/>
      </c>
      <c r="AK1643">
        <f>MIN('19_Расчет_аналитики'!AK1642,'19_Расчет_аналитики'!AK1629*'01_Вводные'!$B$79)</f>
        <v/>
      </c>
      <c r="AL1643">
        <f>MIN('19_Расчет_аналитики'!AL1642,'19_Расчет_аналитики'!AL1629*'01_Вводные'!$B$79)</f>
        <v/>
      </c>
      <c r="AM1643">
        <f>MIN('19_Расчет_аналитики'!AM1642,'19_Расчет_аналитики'!AM1629*'01_Вводные'!$B$79)</f>
        <v/>
      </c>
      <c r="AN1643">
        <f>MIN('19_Расчет_аналитики'!AN1642,'19_Расчет_аналитики'!AN1629*'01_Вводные'!$B$79)</f>
        <v/>
      </c>
      <c r="AO1643">
        <f>MIN('19_Расчет_аналитики'!AO1642,'19_Расчет_аналитики'!AO1629*'01_Вводные'!$B$79)</f>
        <v/>
      </c>
      <c r="AP1643">
        <f>MIN('19_Расчет_аналитики'!AP1642,'19_Расчет_аналитики'!AP1629*'01_Вводные'!$B$79)</f>
        <v/>
      </c>
      <c r="AQ1643">
        <f>MIN('19_Расчет_аналитики'!AQ1642,'19_Расчет_аналитики'!AQ1629*'01_Вводные'!$B$79)</f>
        <v/>
      </c>
      <c r="AR1643">
        <f>MIN('19_Расчет_аналитики'!AR1642,'19_Расчет_аналитики'!AR1629*'01_Вводные'!$B$79)</f>
        <v/>
      </c>
      <c r="AS1643">
        <f>MIN('19_Расчет_аналитики'!AS1642,'19_Расчет_аналитики'!AS1629*'01_Вводные'!$B$79)</f>
        <v/>
      </c>
      <c r="AT1643">
        <f>MIN('19_Расчет_аналитики'!AT1642,'19_Расчет_аналитики'!AT1629*'01_Вводные'!$B$79)</f>
        <v/>
      </c>
      <c r="AU1643">
        <f>MIN('19_Расчет_аналитики'!AU1642,'19_Расчет_аналитики'!AU1629*'01_Вводные'!$B$79)</f>
        <v/>
      </c>
      <c r="AV1643">
        <f>MIN('19_Расчет_аналитики'!AV1642,'19_Расчет_аналитики'!AV1629*'01_Вводные'!$B$79)</f>
        <v/>
      </c>
      <c r="AW1643">
        <f>MIN('19_Расчет_аналитики'!AW1642,'19_Расчет_аналитики'!AW1629*'01_Вводные'!$B$79)</f>
        <v/>
      </c>
      <c r="AX1643">
        <f>MIN('19_Расчет_аналитики'!AX1642,'19_Расчет_аналитики'!AX1629*'01_Вводные'!$B$79)</f>
        <v/>
      </c>
      <c r="AY1643">
        <f>MIN('19_Расчет_аналитики'!AY1642,'19_Расчет_аналитики'!AY1629*'01_Вводные'!$B$79)</f>
        <v/>
      </c>
      <c r="AZ1643">
        <f>MIN('19_Расчет_аналитики'!AZ1642,'19_Расчет_аналитики'!AZ1629*'01_Вводные'!$B$79)</f>
        <v/>
      </c>
      <c r="BA1643">
        <f>MIN('19_Расчет_аналитики'!BA1642,'19_Расчет_аналитики'!BA1629*'01_Вводные'!$B$79)</f>
        <v/>
      </c>
      <c r="BB1643">
        <f>MIN('19_Расчет_аналитики'!BB1642,'19_Расчет_аналитики'!BB1629*'01_Вводные'!$B$79)</f>
        <v/>
      </c>
      <c r="BC1643">
        <f>MIN('19_Расчет_аналитики'!BC1642,'19_Расчет_аналитики'!BC1629*'01_Вводные'!$B$79)</f>
        <v/>
      </c>
      <c r="BD1643">
        <f>MIN('19_Расчет_аналитики'!BD1642,'19_Расчет_аналитики'!BD1629*'01_Вводные'!$B$79)</f>
        <v/>
      </c>
      <c r="BE1643">
        <f>MIN('19_Расчет_аналитики'!BE1642,'19_Расчет_аналитики'!BE1629*'01_Вводные'!$B$79)</f>
        <v/>
      </c>
      <c r="BF1643">
        <f>MIN('19_Расчет_аналитики'!BF1642,'19_Расчет_аналитики'!BF1629*'01_Вводные'!$B$79)</f>
        <v/>
      </c>
      <c r="BG1643">
        <f>MIN('19_Расчет_аналитики'!BG1642,'19_Расчет_аналитики'!BG1629*'01_Вводные'!$B$79)</f>
        <v/>
      </c>
      <c r="BH1643">
        <f>MIN('19_Расчет_аналитики'!BH1642,'19_Расчет_аналитики'!BH1629*'01_Вводные'!$B$79)</f>
        <v/>
      </c>
      <c r="BI1643">
        <f>MIN('19_Расчет_аналитики'!BI1642,'19_Расчет_аналитики'!BI1629*'01_Вводные'!$B$79)</f>
        <v/>
      </c>
      <c r="BJ1643">
        <f>MIN('19_Расчет_аналитики'!BJ1642,'19_Расчет_аналитики'!BJ1629*'01_Вводные'!$B$79)</f>
        <v/>
      </c>
      <c r="BK1643">
        <f>MIN('19_Расчет_аналитики'!BK1642,'19_Расчет_аналитики'!BK1629*'01_Вводные'!$B$79)</f>
        <v/>
      </c>
      <c r="BL1643">
        <f>MIN('19_Расчет_аналитики'!BL1642,'19_Расчет_аналитики'!BL1629*'01_Вводные'!$B$79)</f>
        <v/>
      </c>
      <c r="BM1643">
        <f>MIN('19_Расчет_аналитики'!BM1642,'19_Расчет_аналитики'!BM1629*'01_Вводные'!$B$79)</f>
        <v/>
      </c>
      <c r="BN1643">
        <f>MIN('19_Расчет_аналитики'!BN1642,'19_Расчет_аналитики'!BN1629*'01_Вводные'!$B$79)</f>
        <v/>
      </c>
      <c r="BO1643">
        <f>MIN('19_Расчет_аналитики'!BO1642,'19_Расчет_аналитики'!BO1629*'01_Вводные'!$B$79)</f>
        <v/>
      </c>
    </row>
    <row r="1644">
      <c r="B1644">
        <f>IF(OR('01_Вводные'!$B$238="Нет",'19_Расчет_аналитики'!B1639&gt;='19_Расчет_аналитики'!B1351-0.01),MIN('19_Расчет_аналитики'!B1643,MAX(0,'19_Расчет_аналитики'!B1799)),0)</f>
        <v/>
      </c>
      <c r="C1644">
        <f>IF(OR('01_Вводные'!$B$238="Нет",'19_Расчет_аналитики'!C1639&gt;='19_Расчет_аналитики'!C1351-0.01),MIN('19_Расчет_аналитики'!C1643,MAX(0,'19_Расчет_аналитики'!C1799)),0)</f>
        <v/>
      </c>
      <c r="D1644">
        <f>IF(OR('01_Вводные'!$B$238="Нет",'19_Расчет_аналитики'!D1639&gt;='19_Расчет_аналитики'!D1351-0.01),MIN('19_Расчет_аналитики'!D1643,MAX(0,'19_Расчет_аналитики'!D1799)),0)</f>
        <v/>
      </c>
      <c r="E1644">
        <f>IF(OR('01_Вводные'!$B$238="Нет",'19_Расчет_аналитики'!E1639&gt;='19_Расчет_аналитики'!E1351-0.01),MIN('19_Расчет_аналитики'!E1643,MAX(0,'19_Расчет_аналитики'!E1799)),0)</f>
        <v/>
      </c>
      <c r="F1644">
        <f>IF(OR('01_Вводные'!$B$238="Нет",'19_Расчет_аналитики'!F1639&gt;='19_Расчет_аналитики'!F1351-0.01),MIN('19_Расчет_аналитики'!F1643,MAX(0,'19_Расчет_аналитики'!F1799)),0)</f>
        <v/>
      </c>
      <c r="G1644">
        <f>IF(OR('01_Вводные'!$B$238="Нет",'19_Расчет_аналитики'!G1639&gt;='19_Расчет_аналитики'!G1351-0.01),MIN('19_Расчет_аналитики'!G1643,MAX(0,'19_Расчет_аналитики'!G1799)),0)</f>
        <v/>
      </c>
      <c r="H1644">
        <f>IF(OR('01_Вводные'!$B$238="Нет",'19_Расчет_аналитики'!H1639&gt;='19_Расчет_аналитики'!H1351-0.01),MIN('19_Расчет_аналитики'!H1643,MAX(0,'19_Расчет_аналитики'!H1799)),0)</f>
        <v/>
      </c>
      <c r="I1644">
        <f>IF(OR('01_Вводные'!$B$238="Нет",'19_Расчет_аналитики'!I1639&gt;='19_Расчет_аналитики'!I1351-0.01),MIN('19_Расчет_аналитики'!I1643,MAX(0,'19_Расчет_аналитики'!I1799)),0)</f>
        <v/>
      </c>
      <c r="J1644">
        <f>IF(OR('01_Вводные'!$B$238="Нет",'19_Расчет_аналитики'!J1639&gt;='19_Расчет_аналитики'!J1351-0.01),MIN('19_Расчет_аналитики'!J1643,MAX(0,'19_Расчет_аналитики'!J1799)),0)</f>
        <v/>
      </c>
      <c r="K1644">
        <f>IF(OR('01_Вводные'!$B$238="Нет",'19_Расчет_аналитики'!K1639&gt;='19_Расчет_аналитики'!K1351-0.01),MIN('19_Расчет_аналитики'!K1643,MAX(0,'19_Расчет_аналитики'!K1799)),0)</f>
        <v/>
      </c>
      <c r="L1644">
        <f>IF(OR('01_Вводные'!$B$238="Нет",'19_Расчет_аналитики'!L1639&gt;='19_Расчет_аналитики'!L1351-0.01),MIN('19_Расчет_аналитики'!L1643,MAX(0,'19_Расчет_аналитики'!L1799)),0)</f>
        <v/>
      </c>
      <c r="M1644">
        <f>IF(OR('01_Вводные'!$B$238="Нет",'19_Расчет_аналитики'!M1639&gt;='19_Расчет_аналитики'!M1351-0.01),MIN('19_Расчет_аналитики'!M1643,MAX(0,'19_Расчет_аналитики'!M1799)),0)</f>
        <v/>
      </c>
      <c r="N1644">
        <f>IF(OR('01_Вводные'!$B$238="Нет",'19_Расчет_аналитики'!N1639&gt;='19_Расчет_аналитики'!N1351-0.01),MIN('19_Расчет_аналитики'!N1643,MAX(0,'19_Расчет_аналитики'!N1799)),0)</f>
        <v/>
      </c>
      <c r="O1644">
        <f>IF(OR('01_Вводные'!$B$238="Нет",'19_Расчет_аналитики'!O1639&gt;='19_Расчет_аналитики'!O1351-0.01),MIN('19_Расчет_аналитики'!O1643,MAX(0,'19_Расчет_аналитики'!O1799)),0)</f>
        <v/>
      </c>
      <c r="P1644">
        <f>IF(OR('01_Вводные'!$B$238="Нет",'19_Расчет_аналитики'!P1639&gt;='19_Расчет_аналитики'!P1351-0.01),MIN('19_Расчет_аналитики'!P1643,MAX(0,'19_Расчет_аналитики'!P1799)),0)</f>
        <v/>
      </c>
      <c r="Q1644">
        <f>IF(OR('01_Вводные'!$B$238="Нет",'19_Расчет_аналитики'!Q1639&gt;='19_Расчет_аналитики'!Q1351-0.01),MIN('19_Расчет_аналитики'!Q1643,MAX(0,'19_Расчет_аналитики'!Q1799)),0)</f>
        <v/>
      </c>
      <c r="R1644">
        <f>IF(OR('01_Вводные'!$B$238="Нет",'19_Расчет_аналитики'!R1639&gt;='19_Расчет_аналитики'!R1351-0.01),MIN('19_Расчет_аналитики'!R1643,MAX(0,'19_Расчет_аналитики'!R1799)),0)</f>
        <v/>
      </c>
      <c r="S1644">
        <f>IF(OR('01_Вводные'!$B$238="Нет",'19_Расчет_аналитики'!S1639&gt;='19_Расчет_аналитики'!S1351-0.01),MIN('19_Расчет_аналитики'!S1643,MAX(0,'19_Расчет_аналитики'!S1799)),0)</f>
        <v/>
      </c>
      <c r="T1644">
        <f>IF(OR('01_Вводные'!$B$238="Нет",'19_Расчет_аналитики'!T1639&gt;='19_Расчет_аналитики'!T1351-0.01),MIN('19_Расчет_аналитики'!T1643,MAX(0,'19_Расчет_аналитики'!T1799)),0)</f>
        <v/>
      </c>
      <c r="U1644">
        <f>IF(OR('01_Вводные'!$B$238="Нет",'19_Расчет_аналитики'!U1639&gt;='19_Расчет_аналитики'!U1351-0.01),MIN('19_Расчет_аналитики'!U1643,MAX(0,'19_Расчет_аналитики'!U1799)),0)</f>
        <v/>
      </c>
      <c r="V1644">
        <f>IF(OR('01_Вводные'!$B$238="Нет",'19_Расчет_аналитики'!V1639&gt;='19_Расчет_аналитики'!V1351-0.01),MIN('19_Расчет_аналитики'!V1643,MAX(0,'19_Расчет_аналитики'!V1799)),0)</f>
        <v/>
      </c>
      <c r="W1644">
        <f>IF(OR('01_Вводные'!$B$238="Нет",'19_Расчет_аналитики'!W1639&gt;='19_Расчет_аналитики'!W1351-0.01),MIN('19_Расчет_аналитики'!W1643,MAX(0,'19_Расчет_аналитики'!W1799)),0)</f>
        <v/>
      </c>
      <c r="X1644">
        <f>IF(OR('01_Вводные'!$B$238="Нет",'19_Расчет_аналитики'!X1639&gt;='19_Расчет_аналитики'!X1351-0.01),MIN('19_Расчет_аналитики'!X1643,MAX(0,'19_Расчет_аналитики'!X1799)),0)</f>
        <v/>
      </c>
      <c r="Y1644">
        <f>IF(OR('01_Вводные'!$B$238="Нет",'19_Расчет_аналитики'!Y1639&gt;='19_Расчет_аналитики'!Y1351-0.01),MIN('19_Расчет_аналитики'!Y1643,MAX(0,'19_Расчет_аналитики'!Y1799)),0)</f>
        <v/>
      </c>
      <c r="Z1644">
        <f>IF(OR('01_Вводные'!$B$238="Нет",'19_Расчет_аналитики'!Z1639&gt;='19_Расчет_аналитики'!Z1351-0.01),MIN('19_Расчет_аналитики'!Z1643,MAX(0,'19_Расчет_аналитики'!Z1799)),0)</f>
        <v/>
      </c>
      <c r="AA1644">
        <f>IF(OR('01_Вводные'!$B$238="Нет",'19_Расчет_аналитики'!AA1639&gt;='19_Расчет_аналитики'!AA1351-0.01),MIN('19_Расчет_аналитики'!AA1643,MAX(0,'19_Расчет_аналитики'!AA1799)),0)</f>
        <v/>
      </c>
      <c r="AB1644">
        <f>IF(OR('01_Вводные'!$B$238="Нет",'19_Расчет_аналитики'!AB1639&gt;='19_Расчет_аналитики'!AB1351-0.01),MIN('19_Расчет_аналитики'!AB1643,MAX(0,'19_Расчет_аналитики'!AB1799)),0)</f>
        <v/>
      </c>
      <c r="AC1644">
        <f>IF(OR('01_Вводные'!$B$238="Нет",'19_Расчет_аналитики'!AC1639&gt;='19_Расчет_аналитики'!AC1351-0.01),MIN('19_Расчет_аналитики'!AC1643,MAX(0,'19_Расчет_аналитики'!AC1799)),0)</f>
        <v/>
      </c>
      <c r="AD1644">
        <f>IF(OR('01_Вводные'!$B$238="Нет",'19_Расчет_аналитики'!AD1639&gt;='19_Расчет_аналитики'!AD1351-0.01),MIN('19_Расчет_аналитики'!AD1643,MAX(0,'19_Расчет_аналитики'!AD1799)),0)</f>
        <v/>
      </c>
      <c r="AE1644">
        <f>IF(OR('01_Вводные'!$B$238="Нет",'19_Расчет_аналитики'!AE1639&gt;='19_Расчет_аналитики'!AE1351-0.01),MIN('19_Расчет_аналитики'!AE1643,MAX(0,'19_Расчет_аналитики'!AE1799)),0)</f>
        <v/>
      </c>
      <c r="AF1644">
        <f>IF(OR('01_Вводные'!$B$238="Нет",'19_Расчет_аналитики'!AF1639&gt;='19_Расчет_аналитики'!AF1351-0.01),MIN('19_Расчет_аналитики'!AF1643,MAX(0,'19_Расчет_аналитики'!AF1799)),0)</f>
        <v/>
      </c>
      <c r="AG1644">
        <f>IF(OR('01_Вводные'!$B$238="Нет",'19_Расчет_аналитики'!AG1639&gt;='19_Расчет_аналитики'!AG1351-0.01),MIN('19_Расчет_аналитики'!AG1643,MAX(0,'19_Расчет_аналитики'!AG1799)),0)</f>
        <v/>
      </c>
      <c r="AH1644">
        <f>IF(OR('01_Вводные'!$B$238="Нет",'19_Расчет_аналитики'!AH1639&gt;='19_Расчет_аналитики'!AH1351-0.01),MIN('19_Расчет_аналитики'!AH1643,MAX(0,'19_Расчет_аналитики'!AH1799)),0)</f>
        <v/>
      </c>
      <c r="AI1644">
        <f>IF(OR('01_Вводные'!$B$238="Нет",'19_Расчет_аналитики'!AI1639&gt;='19_Расчет_аналитики'!AI1351-0.01),MIN('19_Расчет_аналитики'!AI1643,MAX(0,'19_Расчет_аналитики'!AI1799)),0)</f>
        <v/>
      </c>
      <c r="AJ1644">
        <f>IF(OR('01_Вводные'!$B$238="Нет",'19_Расчет_аналитики'!AJ1639&gt;='19_Расчет_аналитики'!AJ1351-0.01),MIN('19_Расчет_аналитики'!AJ1643,MAX(0,'19_Расчет_аналитики'!AJ1799)),0)</f>
        <v/>
      </c>
      <c r="AK1644">
        <f>IF(OR('01_Вводные'!$B$238="Нет",'19_Расчет_аналитики'!AK1639&gt;='19_Расчет_аналитики'!AK1351-0.01),MIN('19_Расчет_аналитики'!AK1643,MAX(0,'19_Расчет_аналитики'!AK1799)),0)</f>
        <v/>
      </c>
      <c r="AL1644">
        <f>IF(OR('01_Вводные'!$B$238="Нет",'19_Расчет_аналитики'!AL1639&gt;='19_Расчет_аналитики'!AL1351-0.01),MIN('19_Расчет_аналитики'!AL1643,MAX(0,'19_Расчет_аналитики'!AL1799)),0)</f>
        <v/>
      </c>
      <c r="AM1644">
        <f>IF(OR('01_Вводные'!$B$238="Нет",'19_Расчет_аналитики'!AM1639&gt;='19_Расчет_аналитики'!AM1351-0.01),MIN('19_Расчет_аналитики'!AM1643,MAX(0,'19_Расчет_аналитики'!AM1799)),0)</f>
        <v/>
      </c>
      <c r="AN1644">
        <f>IF(OR('01_Вводные'!$B$238="Нет",'19_Расчет_аналитики'!AN1639&gt;='19_Расчет_аналитики'!AN1351-0.01),MIN('19_Расчет_аналитики'!AN1643,MAX(0,'19_Расчет_аналитики'!AN1799)),0)</f>
        <v/>
      </c>
      <c r="AO1644">
        <f>IF(OR('01_Вводные'!$B$238="Нет",'19_Расчет_аналитики'!AO1639&gt;='19_Расчет_аналитики'!AO1351-0.01),MIN('19_Расчет_аналитики'!AO1643,MAX(0,'19_Расчет_аналитики'!AO1799)),0)</f>
        <v/>
      </c>
      <c r="AP1644">
        <f>IF(OR('01_Вводные'!$B$238="Нет",'19_Расчет_аналитики'!AP1639&gt;='19_Расчет_аналитики'!AP1351-0.01),MIN('19_Расчет_аналитики'!AP1643,MAX(0,'19_Расчет_аналитики'!AP1799)),0)</f>
        <v/>
      </c>
      <c r="AQ1644">
        <f>IF(OR('01_Вводные'!$B$238="Нет",'19_Расчет_аналитики'!AQ1639&gt;='19_Расчет_аналитики'!AQ1351-0.01),MIN('19_Расчет_аналитики'!AQ1643,MAX(0,'19_Расчет_аналитики'!AQ1799)),0)</f>
        <v/>
      </c>
      <c r="AR1644">
        <f>IF(OR('01_Вводные'!$B$238="Нет",'19_Расчет_аналитики'!AR1639&gt;='19_Расчет_аналитики'!AR1351-0.01),MIN('19_Расчет_аналитики'!AR1643,MAX(0,'19_Расчет_аналитики'!AR1799)),0)</f>
        <v/>
      </c>
      <c r="AS1644">
        <f>IF(OR('01_Вводные'!$B$238="Нет",'19_Расчет_аналитики'!AS1639&gt;='19_Расчет_аналитики'!AS1351-0.01),MIN('19_Расчет_аналитики'!AS1643,MAX(0,'19_Расчет_аналитики'!AS1799)),0)</f>
        <v/>
      </c>
      <c r="AT1644">
        <f>IF(OR('01_Вводные'!$B$238="Нет",'19_Расчет_аналитики'!AT1639&gt;='19_Расчет_аналитики'!AT1351-0.01),MIN('19_Расчет_аналитики'!AT1643,MAX(0,'19_Расчет_аналитики'!AT1799)),0)</f>
        <v/>
      </c>
      <c r="AU1644">
        <f>IF(OR('01_Вводные'!$B$238="Нет",'19_Расчет_аналитики'!AU1639&gt;='19_Расчет_аналитики'!AU1351-0.01),MIN('19_Расчет_аналитики'!AU1643,MAX(0,'19_Расчет_аналитики'!AU1799)),0)</f>
        <v/>
      </c>
      <c r="AV1644">
        <f>IF(OR('01_Вводные'!$B$238="Нет",'19_Расчет_аналитики'!AV1639&gt;='19_Расчет_аналитики'!AV1351-0.01),MIN('19_Расчет_аналитики'!AV1643,MAX(0,'19_Расчет_аналитики'!AV1799)),0)</f>
        <v/>
      </c>
      <c r="AW1644">
        <f>IF(OR('01_Вводные'!$B$238="Нет",'19_Расчет_аналитики'!AW1639&gt;='19_Расчет_аналитики'!AW1351-0.01),MIN('19_Расчет_аналитики'!AW1643,MAX(0,'19_Расчет_аналитики'!AW1799)),0)</f>
        <v/>
      </c>
      <c r="AX1644">
        <f>IF(OR('01_Вводные'!$B$238="Нет",'19_Расчет_аналитики'!AX1639&gt;='19_Расчет_аналитики'!AX1351-0.01),MIN('19_Расчет_аналитики'!AX1643,MAX(0,'19_Расчет_аналитики'!AX1799)),0)</f>
        <v/>
      </c>
      <c r="AY1644">
        <f>IF(OR('01_Вводные'!$B$238="Нет",'19_Расчет_аналитики'!AY1639&gt;='19_Расчет_аналитики'!AY1351-0.01),MIN('19_Расчет_аналитики'!AY1643,MAX(0,'19_Расчет_аналитики'!AY1799)),0)</f>
        <v/>
      </c>
      <c r="AZ1644">
        <f>IF(OR('01_Вводные'!$B$238="Нет",'19_Расчет_аналитики'!AZ1639&gt;='19_Расчет_аналитики'!AZ1351-0.01),MIN('19_Расчет_аналитики'!AZ1643,MAX(0,'19_Расчет_аналитики'!AZ1799)),0)</f>
        <v/>
      </c>
      <c r="BA1644">
        <f>IF(OR('01_Вводные'!$B$238="Нет",'19_Расчет_аналитики'!BA1639&gt;='19_Расчет_аналитики'!BA1351-0.01),MIN('19_Расчет_аналитики'!BA1643,MAX(0,'19_Расчет_аналитики'!BA1799)),0)</f>
        <v/>
      </c>
      <c r="BB1644">
        <f>IF(OR('01_Вводные'!$B$238="Нет",'19_Расчет_аналитики'!BB1639&gt;='19_Расчет_аналитики'!BB1351-0.01),MIN('19_Расчет_аналитики'!BB1643,MAX(0,'19_Расчет_аналитики'!BB1799)),0)</f>
        <v/>
      </c>
      <c r="BC1644">
        <f>IF(OR('01_Вводные'!$B$238="Нет",'19_Расчет_аналитики'!BC1639&gt;='19_Расчет_аналитики'!BC1351-0.01),MIN('19_Расчет_аналитики'!BC1643,MAX(0,'19_Расчет_аналитики'!BC1799)),0)</f>
        <v/>
      </c>
      <c r="BD1644">
        <f>IF(OR('01_Вводные'!$B$238="Нет",'19_Расчет_аналитики'!BD1639&gt;='19_Расчет_аналитики'!BD1351-0.01),MIN('19_Расчет_аналитики'!BD1643,MAX(0,'19_Расчет_аналитики'!BD1799)),0)</f>
        <v/>
      </c>
      <c r="BE1644">
        <f>IF(OR('01_Вводные'!$B$238="Нет",'19_Расчет_аналитики'!BE1639&gt;='19_Расчет_аналитики'!BE1351-0.01),MIN('19_Расчет_аналитики'!BE1643,MAX(0,'19_Расчет_аналитики'!BE1799)),0)</f>
        <v/>
      </c>
      <c r="BF1644">
        <f>IF(OR('01_Вводные'!$B$238="Нет",'19_Расчет_аналитики'!BF1639&gt;='19_Расчет_аналитики'!BF1351-0.01),MIN('19_Расчет_аналитики'!BF1643,MAX(0,'19_Расчет_аналитики'!BF1799)),0)</f>
        <v/>
      </c>
      <c r="BG1644">
        <f>IF(OR('01_Вводные'!$B$238="Нет",'19_Расчет_аналитики'!BG1639&gt;='19_Расчет_аналитики'!BG1351-0.01),MIN('19_Расчет_аналитики'!BG1643,MAX(0,'19_Расчет_аналитики'!BG1799)),0)</f>
        <v/>
      </c>
      <c r="BH1644">
        <f>IF(OR('01_Вводные'!$B$238="Нет",'19_Расчет_аналитики'!BH1639&gt;='19_Расчет_аналитики'!BH1351-0.01),MIN('19_Расчет_аналитики'!BH1643,MAX(0,'19_Расчет_аналитики'!BH1799)),0)</f>
        <v/>
      </c>
      <c r="BI1644">
        <f>IF(OR('01_Вводные'!$B$238="Нет",'19_Расчет_аналитики'!BI1639&gt;='19_Расчет_аналитики'!BI1351-0.01),MIN('19_Расчет_аналитики'!BI1643,MAX(0,'19_Расчет_аналитики'!BI1799)),0)</f>
        <v/>
      </c>
    </row>
    <row r="1645">
      <c r="B1645">
        <f>MAX(0,'07_Мерч'!B29-'19_Расчет_аналитики'!B1644)</f>
        <v/>
      </c>
      <c r="C1645">
        <f>MAX(0,'19_Расчет_аналитики'!C1642-'19_Расчет_аналитики'!C1644)</f>
        <v/>
      </c>
      <c r="D1645">
        <f>MAX(0,'19_Расчет_аналитики'!D1642-'19_Расчет_аналитики'!D1644)</f>
        <v/>
      </c>
      <c r="E1645">
        <f>MAX(0,'19_Расчет_аналитики'!E1642-'19_Расчет_аналитики'!E1644)</f>
        <v/>
      </c>
      <c r="F1645">
        <f>MAX(0,'19_Расчет_аналитики'!F1642-'19_Расчет_аналитики'!F1644)</f>
        <v/>
      </c>
      <c r="G1645">
        <f>MAX(0,'19_Расчет_аналитики'!G1642-'19_Расчет_аналитики'!G1644)</f>
        <v/>
      </c>
      <c r="H1645">
        <f>MAX(0,'19_Расчет_аналитики'!H1642-'19_Расчет_аналитики'!H1644)</f>
        <v/>
      </c>
      <c r="I1645">
        <f>MAX(0,'19_Расчет_аналитики'!I1642-'19_Расчет_аналитики'!I1644)</f>
        <v/>
      </c>
      <c r="J1645">
        <f>MAX(0,'19_Расчет_аналитики'!J1642-'19_Расчет_аналитики'!J1644)</f>
        <v/>
      </c>
      <c r="K1645">
        <f>MAX(0,'19_Расчет_аналитики'!K1642-'19_Расчет_аналитики'!K1644)</f>
        <v/>
      </c>
      <c r="L1645">
        <f>MAX(0,'19_Расчет_аналитики'!L1642-'19_Расчет_аналитики'!L1644)</f>
        <v/>
      </c>
      <c r="M1645">
        <f>MAX(0,'19_Расчет_аналитики'!M1642-'19_Расчет_аналитики'!M1644)</f>
        <v/>
      </c>
      <c r="N1645">
        <f>MAX(0,'19_Расчет_аналитики'!N1642-'19_Расчет_аналитики'!N1644)</f>
        <v/>
      </c>
      <c r="O1645">
        <f>MAX(0,'19_Расчет_аналитики'!O1642-'19_Расчет_аналитики'!O1644)</f>
        <v/>
      </c>
      <c r="P1645">
        <f>MAX(0,'19_Расчет_аналитики'!P1642-'19_Расчет_аналитики'!P1644)</f>
        <v/>
      </c>
      <c r="Q1645">
        <f>MAX(0,'19_Расчет_аналитики'!Q1642-'19_Расчет_аналитики'!Q1644)</f>
        <v/>
      </c>
      <c r="R1645">
        <f>MAX(0,'19_Расчет_аналитики'!R1642-'19_Расчет_аналитики'!R1644)</f>
        <v/>
      </c>
      <c r="S1645">
        <f>MAX(0,'19_Расчет_аналитики'!S1642-'19_Расчет_аналитики'!S1644)</f>
        <v/>
      </c>
      <c r="T1645">
        <f>MAX(0,'19_Расчет_аналитики'!T1642-'19_Расчет_аналитики'!T1644)</f>
        <v/>
      </c>
      <c r="U1645">
        <f>MAX(0,'19_Расчет_аналитики'!U1642-'19_Расчет_аналитики'!U1644)</f>
        <v/>
      </c>
      <c r="V1645">
        <f>MAX(0,'19_Расчет_аналитики'!V1642-'19_Расчет_аналитики'!V1644)</f>
        <v/>
      </c>
      <c r="W1645">
        <f>MAX(0,'19_Расчет_аналитики'!W1642-'19_Расчет_аналитики'!W1644)</f>
        <v/>
      </c>
      <c r="X1645">
        <f>MAX(0,'19_Расчет_аналитики'!X1642-'19_Расчет_аналитики'!X1644)</f>
        <v/>
      </c>
      <c r="Y1645">
        <f>MAX(0,'19_Расчет_аналитики'!Y1642-'19_Расчет_аналитики'!Y1644)</f>
        <v/>
      </c>
      <c r="Z1645">
        <f>MAX(0,'19_Расчет_аналитики'!Z1642-'19_Расчет_аналитики'!Z1644)</f>
        <v/>
      </c>
      <c r="AA1645">
        <f>MAX(0,'19_Расчет_аналитики'!AA1642-'19_Расчет_аналитики'!AA1644)</f>
        <v/>
      </c>
      <c r="AB1645">
        <f>MAX(0,'19_Расчет_аналитики'!AB1642-'19_Расчет_аналитики'!AB1644)</f>
        <v/>
      </c>
      <c r="AC1645">
        <f>MAX(0,'19_Расчет_аналитики'!AC1642-'19_Расчет_аналитики'!AC1644)</f>
        <v/>
      </c>
      <c r="AD1645">
        <f>MAX(0,'19_Расчет_аналитики'!AD1642-'19_Расчет_аналитики'!AD1644)</f>
        <v/>
      </c>
      <c r="AE1645">
        <f>MAX(0,'19_Расчет_аналитики'!AE1642-'19_Расчет_аналитики'!AE1644)</f>
        <v/>
      </c>
      <c r="AF1645">
        <f>MAX(0,'19_Расчет_аналитики'!AF1642-'19_Расчет_аналитики'!AF1644)</f>
        <v/>
      </c>
      <c r="AG1645">
        <f>MAX(0,'19_Расчет_аналитики'!AG1642-'19_Расчет_аналитики'!AG1644)</f>
        <v/>
      </c>
      <c r="AH1645">
        <f>MAX(0,'19_Расчет_аналитики'!AH1642-'19_Расчет_аналитики'!AH1644)</f>
        <v/>
      </c>
      <c r="AI1645">
        <f>MAX(0,'19_Расчет_аналитики'!AI1642-'19_Расчет_аналитики'!AI1644)</f>
        <v/>
      </c>
      <c r="AJ1645">
        <f>MAX(0,'19_Расчет_аналитики'!AJ1642-'19_Расчет_аналитики'!AJ1644)</f>
        <v/>
      </c>
      <c r="AK1645">
        <f>MAX(0,'19_Расчет_аналитики'!AK1642-'19_Расчет_аналитики'!AK1644)</f>
        <v/>
      </c>
      <c r="AL1645">
        <f>MAX(0,'19_Расчет_аналитики'!AL1642-'19_Расчет_аналитики'!AL1644)</f>
        <v/>
      </c>
      <c r="AM1645">
        <f>MAX(0,'19_Расчет_аналитики'!AM1642-'19_Расчет_аналитики'!AM1644)</f>
        <v/>
      </c>
      <c r="AN1645">
        <f>MAX(0,'19_Расчет_аналитики'!AN1642-'19_Расчет_аналитики'!AN1644)</f>
        <v/>
      </c>
      <c r="AO1645">
        <f>MAX(0,'19_Расчет_аналитики'!AO1642-'19_Расчет_аналитики'!AO1644)</f>
        <v/>
      </c>
      <c r="AP1645">
        <f>MAX(0,'19_Расчет_аналитики'!AP1642-'19_Расчет_аналитики'!AP1644)</f>
        <v/>
      </c>
      <c r="AQ1645">
        <f>MAX(0,'19_Расчет_аналитики'!AQ1642-'19_Расчет_аналитики'!AQ1644)</f>
        <v/>
      </c>
      <c r="AR1645">
        <f>MAX(0,'19_Расчет_аналитики'!AR1642-'19_Расчет_аналитики'!AR1644)</f>
        <v/>
      </c>
      <c r="AS1645">
        <f>MAX(0,'19_Расчет_аналитики'!AS1642-'19_Расчет_аналитики'!AS1644)</f>
        <v/>
      </c>
      <c r="AT1645">
        <f>MAX(0,'19_Расчет_аналитики'!AT1642-'19_Расчет_аналитики'!AT1644)</f>
        <v/>
      </c>
      <c r="AU1645">
        <f>MAX(0,'19_Расчет_аналитики'!AU1642-'19_Расчет_аналитики'!AU1644)</f>
        <v/>
      </c>
      <c r="AV1645">
        <f>MAX(0,'19_Расчет_аналитики'!AV1642-'19_Расчет_аналитики'!AV1644)</f>
        <v/>
      </c>
      <c r="AW1645">
        <f>MAX(0,'19_Расчет_аналитики'!AW1642-'19_Расчет_аналитики'!AW1644)</f>
        <v/>
      </c>
      <c r="AX1645">
        <f>MAX(0,'19_Расчет_аналитики'!AX1642-'19_Расчет_аналитики'!AX1644)</f>
        <v/>
      </c>
      <c r="AY1645">
        <f>MAX(0,'19_Расчет_аналитики'!AY1642-'19_Расчет_аналитики'!AY1644)</f>
        <v/>
      </c>
      <c r="AZ1645">
        <f>MAX(0,'19_Расчет_аналитики'!AZ1642-'19_Расчет_аналитики'!AZ1644)</f>
        <v/>
      </c>
      <c r="BA1645">
        <f>MAX(0,'19_Расчет_аналитики'!BA1642-'19_Расчет_аналитики'!BA1644)</f>
        <v/>
      </c>
      <c r="BB1645">
        <f>MAX(0,'19_Расчет_аналитики'!BB1642-'19_Расчет_аналитики'!BB1644)</f>
        <v/>
      </c>
      <c r="BC1645">
        <f>MAX(0,'19_Расчет_аналитики'!BC1642-'19_Расчет_аналитики'!BC1644)</f>
        <v/>
      </c>
      <c r="BD1645">
        <f>MAX(0,'19_Расчет_аналитики'!BD1642-'19_Расчет_аналитики'!BD1644)</f>
        <v/>
      </c>
      <c r="BE1645">
        <f>MAX(0,'19_Расчет_аналитики'!BE1642-'19_Расчет_аналитики'!BE1644)</f>
        <v/>
      </c>
      <c r="BF1645">
        <f>MAX(0,'19_Расчет_аналитики'!BF1642-'19_Расчет_аналитики'!BF1644)</f>
        <v/>
      </c>
      <c r="BG1645">
        <f>MAX(0,'19_Расчет_аналитики'!BG1642-'19_Расчет_аналитики'!BG1644)</f>
        <v/>
      </c>
      <c r="BH1645">
        <f>MAX(0,'19_Расчет_аналитики'!BH1642-'19_Расчет_аналитики'!BH1644)</f>
        <v/>
      </c>
      <c r="BI1645">
        <f>MAX(0,'19_Расчет_аналитики'!BI1642-'19_Расчет_аналитики'!BI1644)</f>
        <v/>
      </c>
      <c r="BJ1645">
        <f>MAX(0,'19_Расчет_аналитики'!BJ1642-'07_Мерч'!BJ31)</f>
        <v/>
      </c>
      <c r="BK1645">
        <f>MAX(0,'19_Расчет_аналитики'!BK1642-'07_Мерч'!BK31)</f>
        <v/>
      </c>
      <c r="BL1645">
        <f>MAX(0,'19_Расчет_аналитики'!BL1642-'07_Мерч'!BL31)</f>
        <v/>
      </c>
      <c r="BM1645">
        <f>MAX(0,'19_Расчет_аналитики'!BM1642-'07_Мерч'!BM31)</f>
        <v/>
      </c>
      <c r="BN1645">
        <f>MAX(0,'19_Расчет_аналитики'!BN1642-'07_Мерч'!BN31)</f>
        <v/>
      </c>
      <c r="BO1645">
        <f>MAX(0,'19_Расчет_аналитики'!BO1642-'07_Мерч'!BO31)</f>
        <v/>
      </c>
    </row>
    <row r="1646"/>
    <row r="1647"/>
    <row r="1648"/>
    <row r="1649"/>
    <row r="1650"/>
    <row r="1651"/>
    <row r="1652"/>
    <row r="1653"/>
    <row r="1654"/>
    <row r="1655"/>
    <row r="1656"/>
    <row r="1657"/>
    <row r="1658"/>
    <row r="1659">
      <c r="C1659">
        <f>MAX(0,MAX('01_Вводные'!$B$118,INT('19_Расчет_аналитики'!C1719/'01_Вводные'!$B$117)+1)-'01_Вводные'!$B$118)</f>
        <v/>
      </c>
      <c r="D1659">
        <f>MAX(0,MAX('01_Вводные'!$B$118,INT('19_Расчет_аналитики'!D1719/'01_Вводные'!$B$117)+1)-'01_Вводные'!$B$118)</f>
        <v/>
      </c>
      <c r="E1659">
        <f>MAX(0,MAX('01_Вводные'!$B$118,INT('19_Расчет_аналитики'!E1719/'01_Вводные'!$B$117)+1)-'01_Вводные'!$B$118)</f>
        <v/>
      </c>
      <c r="F1659">
        <f>MAX(0,MAX('01_Вводные'!$B$118,INT('19_Расчет_аналитики'!F1719/'01_Вводные'!$B$117)+1)-'01_Вводные'!$B$118)</f>
        <v/>
      </c>
      <c r="G1659">
        <f>MAX(0,MAX('01_Вводные'!$B$118,INT('19_Расчет_аналитики'!G1719/'01_Вводные'!$B$117)+1)-'01_Вводные'!$B$118)</f>
        <v/>
      </c>
      <c r="H1659">
        <f>MAX(0,MAX('01_Вводные'!$B$118,INT('19_Расчет_аналитики'!H1719/'01_Вводные'!$B$117)+1)-'01_Вводные'!$B$118)</f>
        <v/>
      </c>
      <c r="I1659">
        <f>MAX(0,MAX('01_Вводные'!$B$118,INT('19_Расчет_аналитики'!I1719/'01_Вводные'!$B$117)+1)-'01_Вводные'!$B$118)</f>
        <v/>
      </c>
      <c r="J1659">
        <f>MAX(0,MAX('01_Вводные'!$B$118,INT('19_Расчет_аналитики'!J1719/'01_Вводные'!$B$117)+1)-'01_Вводные'!$B$118)</f>
        <v/>
      </c>
      <c r="K1659">
        <f>MAX(0,MAX('01_Вводные'!$B$118,INT('19_Расчет_аналитики'!K1719/'01_Вводные'!$B$117)+1)-'01_Вводные'!$B$118)</f>
        <v/>
      </c>
      <c r="L1659">
        <f>MAX(0,MAX('01_Вводные'!$B$118,INT('19_Расчет_аналитики'!L1719/'01_Вводные'!$B$117)+1)-'01_Вводные'!$B$118)</f>
        <v/>
      </c>
      <c r="M1659">
        <f>MAX(0,MAX('01_Вводные'!$B$118,INT('19_Расчет_аналитики'!M1719/'01_Вводные'!$B$117)+1)-'01_Вводные'!$B$118)</f>
        <v/>
      </c>
      <c r="N1659">
        <f>MAX(0,MAX('01_Вводные'!$B$118,INT('19_Расчет_аналитики'!N1719/'01_Вводные'!$B$117)+1)-'01_Вводные'!$B$118)</f>
        <v/>
      </c>
      <c r="O1659">
        <f>MAX(0,MAX('01_Вводные'!$B$118,INT('19_Расчет_аналитики'!O1719/'01_Вводные'!$B$117)+1)-'01_Вводные'!$B$118)</f>
        <v/>
      </c>
      <c r="P1659">
        <f>MAX(0,MAX('01_Вводные'!$B$118,INT('19_Расчет_аналитики'!P1719/'01_Вводные'!$B$117)+1)-'01_Вводные'!$B$118)</f>
        <v/>
      </c>
      <c r="Q1659">
        <f>MAX(0,MAX('01_Вводные'!$B$118,INT('19_Расчет_аналитики'!Q1719/'01_Вводные'!$B$117)+1)-'01_Вводные'!$B$118)</f>
        <v/>
      </c>
      <c r="R1659">
        <f>MAX(0,MAX('01_Вводные'!$B$118,INT('19_Расчет_аналитики'!R1719/'01_Вводные'!$B$117)+1)-'01_Вводные'!$B$118)</f>
        <v/>
      </c>
      <c r="S1659">
        <f>MAX(0,MAX('01_Вводные'!$B$118,INT('19_Расчет_аналитики'!S1719/'01_Вводные'!$B$117)+1)-'01_Вводные'!$B$118)</f>
        <v/>
      </c>
      <c r="T1659">
        <f>MAX(0,MAX('01_Вводные'!$B$118,INT('19_Расчет_аналитики'!T1719/'01_Вводные'!$B$117)+1)-'01_Вводные'!$B$118)</f>
        <v/>
      </c>
      <c r="U1659">
        <f>MAX(0,MAX('01_Вводные'!$B$118,INT('19_Расчет_аналитики'!U1719/'01_Вводные'!$B$117)+1)-'01_Вводные'!$B$118)</f>
        <v/>
      </c>
      <c r="V1659">
        <f>MAX(0,MAX('01_Вводные'!$B$118,INT('19_Расчет_аналитики'!V1719/'01_Вводные'!$B$117)+1)-'01_Вводные'!$B$118)</f>
        <v/>
      </c>
      <c r="W1659">
        <f>MAX(0,MAX('01_Вводные'!$B$118,INT('19_Расчет_аналитики'!W1719/'01_Вводные'!$B$117)+1)-'01_Вводные'!$B$118)</f>
        <v/>
      </c>
      <c r="X1659">
        <f>MAX(0,MAX('01_Вводные'!$B$118,INT('19_Расчет_аналитики'!X1719/'01_Вводные'!$B$117)+1)-'01_Вводные'!$B$118)</f>
        <v/>
      </c>
      <c r="Y1659">
        <f>MAX(0,MAX('01_Вводные'!$B$118,INT('19_Расчет_аналитики'!Y1719/'01_Вводные'!$B$117)+1)-'01_Вводные'!$B$118)</f>
        <v/>
      </c>
      <c r="Z1659">
        <f>MAX(0,MAX('01_Вводные'!$B$118,INT('19_Расчет_аналитики'!Z1719/'01_Вводные'!$B$117)+1)-'01_Вводные'!$B$118)</f>
        <v/>
      </c>
      <c r="AA1659">
        <f>MAX(0,MAX('01_Вводные'!$B$118,INT('19_Расчет_аналитики'!AA1719/'01_Вводные'!$B$117)+1)-'01_Вводные'!$B$118)</f>
        <v/>
      </c>
      <c r="AB1659">
        <f>MAX(0,MAX('01_Вводные'!$B$118,INT('19_Расчет_аналитики'!AB1719/'01_Вводные'!$B$117)+1)-'01_Вводные'!$B$118)</f>
        <v/>
      </c>
      <c r="AC1659">
        <f>MAX(0,MAX('01_Вводные'!$B$118,INT('19_Расчет_аналитики'!AC1719/'01_Вводные'!$B$117)+1)-'01_Вводные'!$B$118)</f>
        <v/>
      </c>
      <c r="AD1659">
        <f>MAX(0,MAX('01_Вводные'!$B$118,INT('19_Расчет_аналитики'!AD1719/'01_Вводные'!$B$117)+1)-'01_Вводные'!$B$118)</f>
        <v/>
      </c>
      <c r="AE1659">
        <f>MAX(0,MAX('01_Вводные'!$B$118,INT('19_Расчет_аналитики'!AE1719/'01_Вводные'!$B$117)+1)-'01_Вводные'!$B$118)</f>
        <v/>
      </c>
      <c r="AF1659">
        <f>MAX(0,MAX('01_Вводные'!$B$118,INT('19_Расчет_аналитики'!AF1719/'01_Вводные'!$B$117)+1)-'01_Вводные'!$B$118)</f>
        <v/>
      </c>
      <c r="AG1659">
        <f>MAX(0,MAX('01_Вводные'!$B$118,INT('19_Расчет_аналитики'!AG1719/'01_Вводные'!$B$117)+1)-'01_Вводные'!$B$118)</f>
        <v/>
      </c>
      <c r="AH1659">
        <f>MAX(0,MAX('01_Вводные'!$B$118,INT('19_Расчет_аналитики'!AH1719/'01_Вводные'!$B$117)+1)-'01_Вводные'!$B$118)</f>
        <v/>
      </c>
      <c r="AI1659">
        <f>MAX(0,MAX('01_Вводные'!$B$118,INT('19_Расчет_аналитики'!AI1719/'01_Вводные'!$B$117)+1)-'01_Вводные'!$B$118)</f>
        <v/>
      </c>
      <c r="AJ1659">
        <f>MAX(0,MAX('01_Вводные'!$B$118,INT('19_Расчет_аналитики'!AJ1719/'01_Вводные'!$B$117)+1)-'01_Вводные'!$B$118)</f>
        <v/>
      </c>
      <c r="AK1659">
        <f>MAX(0,MAX('01_Вводные'!$B$118,INT('19_Расчет_аналитики'!AK1719/'01_Вводные'!$B$117)+1)-'01_Вводные'!$B$118)</f>
        <v/>
      </c>
      <c r="AL1659">
        <f>MAX(0,MAX('01_Вводные'!$B$118,INT('19_Расчет_аналитики'!AL1719/'01_Вводные'!$B$117)+1)-'01_Вводные'!$B$118)</f>
        <v/>
      </c>
      <c r="AM1659">
        <f>MAX(0,MAX('01_Вводные'!$B$118,INT('19_Расчет_аналитики'!AM1719/'01_Вводные'!$B$117)+1)-'01_Вводные'!$B$118)</f>
        <v/>
      </c>
      <c r="AN1659">
        <f>MAX(0,MAX('01_Вводные'!$B$118,INT('19_Расчет_аналитики'!AN1719/'01_Вводные'!$B$117)+1)-'01_Вводные'!$B$118)</f>
        <v/>
      </c>
      <c r="AO1659">
        <f>MAX(0,MAX('01_Вводные'!$B$118,INT('19_Расчет_аналитики'!AO1719/'01_Вводные'!$B$117)+1)-'01_Вводные'!$B$118)</f>
        <v/>
      </c>
      <c r="AP1659">
        <f>MAX(0,MAX('01_Вводные'!$B$118,INT('19_Расчет_аналитики'!AP1719/'01_Вводные'!$B$117)+1)-'01_Вводные'!$B$118)</f>
        <v/>
      </c>
      <c r="AQ1659">
        <f>MAX(0,MAX('01_Вводные'!$B$118,INT('19_Расчет_аналитики'!AQ1719/'01_Вводные'!$B$117)+1)-'01_Вводные'!$B$118)</f>
        <v/>
      </c>
      <c r="AR1659">
        <f>MAX(0,MAX('01_Вводные'!$B$118,INT('19_Расчет_аналитики'!AR1719/'01_Вводные'!$B$117)+1)-'01_Вводные'!$B$118)</f>
        <v/>
      </c>
      <c r="AS1659">
        <f>MAX(0,MAX('01_Вводные'!$B$118,INT('19_Расчет_аналитики'!AS1719/'01_Вводные'!$B$117)+1)-'01_Вводные'!$B$118)</f>
        <v/>
      </c>
      <c r="AT1659">
        <f>MAX(0,MAX('01_Вводные'!$B$118,INT('19_Расчет_аналитики'!AT1719/'01_Вводные'!$B$117)+1)-'01_Вводные'!$B$118)</f>
        <v/>
      </c>
      <c r="AU1659">
        <f>MAX(0,MAX('01_Вводные'!$B$118,INT('19_Расчет_аналитики'!AU1719/'01_Вводные'!$B$117)+1)-'01_Вводные'!$B$118)</f>
        <v/>
      </c>
      <c r="AV1659">
        <f>MAX(0,MAX('01_Вводные'!$B$118,INT('19_Расчет_аналитики'!AV1719/'01_Вводные'!$B$117)+1)-'01_Вводные'!$B$118)</f>
        <v/>
      </c>
      <c r="AW1659">
        <f>MAX(0,MAX('01_Вводные'!$B$118,INT('19_Расчет_аналитики'!AW1719/'01_Вводные'!$B$117)+1)-'01_Вводные'!$B$118)</f>
        <v/>
      </c>
      <c r="AX1659">
        <f>MAX(0,MAX('01_Вводные'!$B$118,INT('19_Расчет_аналитики'!AX1719/'01_Вводные'!$B$117)+1)-'01_Вводные'!$B$118)</f>
        <v/>
      </c>
      <c r="AY1659">
        <f>MAX(0,MAX('01_Вводные'!$B$118,INT('19_Расчет_аналитики'!AY1719/'01_Вводные'!$B$117)+1)-'01_Вводные'!$B$118)</f>
        <v/>
      </c>
      <c r="AZ1659">
        <f>MAX(0,MAX('01_Вводные'!$B$118,INT('19_Расчет_аналитики'!AZ1719/'01_Вводные'!$B$117)+1)-'01_Вводные'!$B$118)</f>
        <v/>
      </c>
      <c r="BA1659">
        <f>MAX(0,MAX('01_Вводные'!$B$118,INT('19_Расчет_аналитики'!BA1719/'01_Вводные'!$B$117)+1)-'01_Вводные'!$B$118)</f>
        <v/>
      </c>
      <c r="BB1659">
        <f>MAX(0,MAX('01_Вводные'!$B$118,INT('19_Расчет_аналитики'!BB1719/'01_Вводные'!$B$117)+1)-'01_Вводные'!$B$118)</f>
        <v/>
      </c>
      <c r="BC1659">
        <f>MAX(0,MAX('01_Вводные'!$B$118,INT('19_Расчет_аналитики'!BC1719/'01_Вводные'!$B$117)+1)-'01_Вводные'!$B$118)</f>
        <v/>
      </c>
      <c r="BD1659">
        <f>MAX(0,MAX('01_Вводные'!$B$118,INT('19_Расчет_аналитики'!BD1719/'01_Вводные'!$B$117)+1)-'01_Вводные'!$B$118)</f>
        <v/>
      </c>
      <c r="BE1659">
        <f>MAX(0,MAX('01_Вводные'!$B$118,INT('19_Расчет_аналитики'!BE1719/'01_Вводные'!$B$117)+1)-'01_Вводные'!$B$118)</f>
        <v/>
      </c>
      <c r="BF1659">
        <f>MAX(0,MAX('01_Вводные'!$B$118,INT('19_Расчет_аналитики'!BF1719/'01_Вводные'!$B$117)+1)-'01_Вводные'!$B$118)</f>
        <v/>
      </c>
      <c r="BG1659">
        <f>MAX(0,MAX('01_Вводные'!$B$118,INT('19_Расчет_аналитики'!BG1719/'01_Вводные'!$B$117)+1)-'01_Вводные'!$B$118)</f>
        <v/>
      </c>
      <c r="BH1659">
        <f>MAX(0,MAX('01_Вводные'!$B$118,INT('19_Расчет_аналитики'!BH1719/'01_Вводные'!$B$117)+1)-'01_Вводные'!$B$118)</f>
        <v/>
      </c>
      <c r="BI1659">
        <f>MAX(0,MAX('01_Вводные'!$B$118,INT('19_Расчет_аналитики'!BI1719/'01_Вводные'!$B$117)+1)-'01_Вводные'!$B$118)</f>
        <v/>
      </c>
    </row>
    <row r="1660">
      <c r="C1660">
        <f>'19_Расчет_аналитики'!C1659*'01_Вводные'!$B$119*'08_ФОТ'!C5</f>
        <v/>
      </c>
      <c r="D1660">
        <f>'19_Расчет_аналитики'!D1659*'01_Вводные'!$B$119*'08_ФОТ'!D5</f>
        <v/>
      </c>
      <c r="E1660">
        <f>'19_Расчет_аналитики'!E1659*'01_Вводные'!$B$119*'08_ФОТ'!E5</f>
        <v/>
      </c>
      <c r="F1660">
        <f>'19_Расчет_аналитики'!F1659*'01_Вводные'!$B$119*'08_ФОТ'!F5</f>
        <v/>
      </c>
      <c r="G1660">
        <f>'19_Расчет_аналитики'!G1659*'01_Вводные'!$B$119*'08_ФОТ'!G5</f>
        <v/>
      </c>
      <c r="H1660">
        <f>'19_Расчет_аналитики'!H1659*'01_Вводные'!$B$119*'08_ФОТ'!H5</f>
        <v/>
      </c>
      <c r="I1660">
        <f>'19_Расчет_аналитики'!I1659*'01_Вводные'!$B$119*'08_ФОТ'!I5</f>
        <v/>
      </c>
      <c r="J1660">
        <f>'19_Расчет_аналитики'!J1659*'01_Вводные'!$B$119*'08_ФОТ'!J5</f>
        <v/>
      </c>
      <c r="K1660">
        <f>'19_Расчет_аналитики'!K1659*'01_Вводные'!$B$119*'08_ФОТ'!K5</f>
        <v/>
      </c>
      <c r="L1660">
        <f>'19_Расчет_аналитики'!L1659*'01_Вводные'!$B$119*'08_ФОТ'!L5</f>
        <v/>
      </c>
      <c r="M1660">
        <f>'19_Расчет_аналитики'!M1659*'01_Вводные'!$B$119*'08_ФОТ'!M5</f>
        <v/>
      </c>
      <c r="N1660">
        <f>'19_Расчет_аналитики'!N1659*'01_Вводные'!$B$119*'08_ФОТ'!N5</f>
        <v/>
      </c>
      <c r="O1660">
        <f>'19_Расчет_аналитики'!O1659*'01_Вводные'!$B$119*'08_ФОТ'!O5</f>
        <v/>
      </c>
      <c r="P1660">
        <f>'19_Расчет_аналитики'!P1659*'01_Вводные'!$B$119*'08_ФОТ'!P5</f>
        <v/>
      </c>
      <c r="Q1660">
        <f>'19_Расчет_аналитики'!Q1659*'01_Вводные'!$B$119*'08_ФОТ'!Q5</f>
        <v/>
      </c>
      <c r="R1660">
        <f>'19_Расчет_аналитики'!R1659*'01_Вводные'!$B$119*'08_ФОТ'!R5</f>
        <v/>
      </c>
      <c r="S1660">
        <f>'19_Расчет_аналитики'!S1659*'01_Вводные'!$B$119*'08_ФОТ'!S5</f>
        <v/>
      </c>
      <c r="T1660">
        <f>'19_Расчет_аналитики'!T1659*'01_Вводные'!$B$119*'08_ФОТ'!T5</f>
        <v/>
      </c>
      <c r="U1660">
        <f>'19_Расчет_аналитики'!U1659*'01_Вводные'!$B$119*'08_ФОТ'!U5</f>
        <v/>
      </c>
      <c r="V1660">
        <f>'19_Расчет_аналитики'!V1659*'01_Вводные'!$B$119*'08_ФОТ'!V5</f>
        <v/>
      </c>
      <c r="W1660">
        <f>'19_Расчет_аналитики'!W1659*'01_Вводные'!$B$119*'08_ФОТ'!W5</f>
        <v/>
      </c>
      <c r="X1660">
        <f>'19_Расчет_аналитики'!X1659*'01_Вводные'!$B$119*'08_ФОТ'!X5</f>
        <v/>
      </c>
      <c r="Y1660">
        <f>'19_Расчет_аналитики'!Y1659*'01_Вводные'!$B$119*'08_ФОТ'!Y5</f>
        <v/>
      </c>
      <c r="Z1660">
        <f>'19_Расчет_аналитики'!Z1659*'01_Вводные'!$B$119*'08_ФОТ'!Z5</f>
        <v/>
      </c>
      <c r="AA1660">
        <f>'19_Расчет_аналитики'!AA1659*'01_Вводные'!$B$119*'08_ФОТ'!AA5</f>
        <v/>
      </c>
      <c r="AB1660">
        <f>'19_Расчет_аналитики'!AB1659*'01_Вводные'!$B$119*'08_ФОТ'!AB5</f>
        <v/>
      </c>
      <c r="AC1660">
        <f>'19_Расчет_аналитики'!AC1659*'01_Вводные'!$B$119*'08_ФОТ'!AC5</f>
        <v/>
      </c>
      <c r="AD1660">
        <f>'19_Расчет_аналитики'!AD1659*'01_Вводные'!$B$119*'08_ФОТ'!AD5</f>
        <v/>
      </c>
      <c r="AE1660">
        <f>'19_Расчет_аналитики'!AE1659*'01_Вводные'!$B$119*'08_ФОТ'!AE5</f>
        <v/>
      </c>
      <c r="AF1660">
        <f>'19_Расчет_аналитики'!AF1659*'01_Вводные'!$B$119*'08_ФОТ'!AF5</f>
        <v/>
      </c>
      <c r="AG1660">
        <f>'19_Расчет_аналитики'!AG1659*'01_Вводные'!$B$119*'08_ФОТ'!AG5</f>
        <v/>
      </c>
      <c r="AH1660">
        <f>'19_Расчет_аналитики'!AH1659*'01_Вводные'!$B$119*'08_ФОТ'!AH5</f>
        <v/>
      </c>
      <c r="AI1660">
        <f>'19_Расчет_аналитики'!AI1659*'01_Вводные'!$B$119*'08_ФОТ'!AI5</f>
        <v/>
      </c>
      <c r="AJ1660">
        <f>'19_Расчет_аналитики'!AJ1659*'01_Вводные'!$B$119*'08_ФОТ'!AJ5</f>
        <v/>
      </c>
      <c r="AK1660">
        <f>'19_Расчет_аналитики'!AK1659*'01_Вводные'!$B$119*'08_ФОТ'!AK5</f>
        <v/>
      </c>
      <c r="AL1660">
        <f>'19_Расчет_аналитики'!AL1659*'01_Вводные'!$B$119*'08_ФОТ'!AL5</f>
        <v/>
      </c>
      <c r="AM1660">
        <f>'19_Расчет_аналитики'!AM1659*'01_Вводные'!$B$119*'08_ФОТ'!AM5</f>
        <v/>
      </c>
      <c r="AN1660">
        <f>'19_Расчет_аналитики'!AN1659*'01_Вводные'!$B$119*'08_ФОТ'!AN5</f>
        <v/>
      </c>
      <c r="AO1660">
        <f>'19_Расчет_аналитики'!AO1659*'01_Вводные'!$B$119*'08_ФОТ'!AO5</f>
        <v/>
      </c>
      <c r="AP1660">
        <f>'19_Расчет_аналитики'!AP1659*'01_Вводные'!$B$119*'08_ФОТ'!AP5</f>
        <v/>
      </c>
      <c r="AQ1660">
        <f>'19_Расчет_аналитики'!AQ1659*'01_Вводные'!$B$119*'08_ФОТ'!AQ5</f>
        <v/>
      </c>
      <c r="AR1660">
        <f>'19_Расчет_аналитики'!AR1659*'01_Вводные'!$B$119*'08_ФОТ'!AR5</f>
        <v/>
      </c>
      <c r="AS1660">
        <f>'19_Расчет_аналитики'!AS1659*'01_Вводные'!$B$119*'08_ФОТ'!AS5</f>
        <v/>
      </c>
      <c r="AT1660">
        <f>'19_Расчет_аналитики'!AT1659*'01_Вводные'!$B$119*'08_ФОТ'!AT5</f>
        <v/>
      </c>
      <c r="AU1660">
        <f>'19_Расчет_аналитики'!AU1659*'01_Вводные'!$B$119*'08_ФОТ'!AU5</f>
        <v/>
      </c>
      <c r="AV1660">
        <f>'19_Расчет_аналитики'!AV1659*'01_Вводные'!$B$119*'08_ФОТ'!AV5</f>
        <v/>
      </c>
      <c r="AW1660">
        <f>'19_Расчет_аналитики'!AW1659*'01_Вводные'!$B$119*'08_ФОТ'!AW5</f>
        <v/>
      </c>
      <c r="AX1660">
        <f>'19_Расчет_аналитики'!AX1659*'01_Вводные'!$B$119*'08_ФОТ'!AX5</f>
        <v/>
      </c>
      <c r="AY1660">
        <f>'19_Расчет_аналитики'!AY1659*'01_Вводные'!$B$119*'08_ФОТ'!AY5</f>
        <v/>
      </c>
      <c r="AZ1660">
        <f>'19_Расчет_аналитики'!AZ1659*'01_Вводные'!$B$119*'08_ФОТ'!AZ5</f>
        <v/>
      </c>
      <c r="BA1660">
        <f>'19_Расчет_аналитики'!BA1659*'01_Вводные'!$B$119*'08_ФОТ'!BA5</f>
        <v/>
      </c>
      <c r="BB1660">
        <f>'19_Расчет_аналитики'!BB1659*'01_Вводные'!$B$119*'08_ФОТ'!BB5</f>
        <v/>
      </c>
      <c r="BC1660">
        <f>'19_Расчет_аналитики'!BC1659*'01_Вводные'!$B$119*'08_ФОТ'!BC5</f>
        <v/>
      </c>
      <c r="BD1660">
        <f>'19_Расчет_аналитики'!BD1659*'01_Вводные'!$B$119*'08_ФОТ'!BD5</f>
        <v/>
      </c>
      <c r="BE1660">
        <f>'19_Расчет_аналитики'!BE1659*'01_Вводные'!$B$119*'08_ФОТ'!BE5</f>
        <v/>
      </c>
      <c r="BF1660">
        <f>'19_Расчет_аналитики'!BF1659*'01_Вводные'!$B$119*'08_ФОТ'!BF5</f>
        <v/>
      </c>
      <c r="BG1660">
        <f>'19_Расчет_аналитики'!BG1659*'01_Вводные'!$B$119*'08_ФОТ'!BG5</f>
        <v/>
      </c>
      <c r="BH1660">
        <f>'19_Расчет_аналитики'!BH1659*'01_Вводные'!$B$119*'08_ФОТ'!BH5</f>
        <v/>
      </c>
      <c r="BI1660">
        <f>'19_Расчет_аналитики'!BI1659*'01_Вводные'!$B$119*'08_ФОТ'!BI5</f>
        <v/>
      </c>
    </row>
    <row r="1661">
      <c r="C1661">
        <f>SUM('08_ФОТ'!C7:C9,'19_Расчет_аналитики'!C1660)</f>
        <v/>
      </c>
      <c r="D1661">
        <f>SUM('08_ФОТ'!D7:D9,'19_Расчет_аналитики'!D1660)</f>
        <v/>
      </c>
      <c r="E1661">
        <f>SUM('08_ФОТ'!E7:E9,'19_Расчет_аналитики'!E1660)</f>
        <v/>
      </c>
      <c r="F1661">
        <f>SUM('08_ФОТ'!F7:F9,'19_Расчет_аналитики'!F1660)</f>
        <v/>
      </c>
      <c r="G1661">
        <f>SUM('08_ФОТ'!G7:G9,'19_Расчет_аналитики'!G1660)</f>
        <v/>
      </c>
      <c r="H1661">
        <f>SUM('08_ФОТ'!H7:H9,'19_Расчет_аналитики'!H1660)</f>
        <v/>
      </c>
      <c r="I1661">
        <f>SUM('08_ФОТ'!I7:I9,'19_Расчет_аналитики'!I1660)</f>
        <v/>
      </c>
      <c r="J1661">
        <f>SUM('08_ФОТ'!J7:J9,'19_Расчет_аналитики'!J1660)</f>
        <v/>
      </c>
      <c r="K1661">
        <f>SUM('08_ФОТ'!K7:K9,'19_Расчет_аналитики'!K1660)</f>
        <v/>
      </c>
      <c r="L1661">
        <f>SUM('08_ФОТ'!L7:L9,'19_Расчет_аналитики'!L1660)</f>
        <v/>
      </c>
      <c r="M1661">
        <f>SUM('08_ФОТ'!M7:M9,'19_Расчет_аналитики'!M1660)</f>
        <v/>
      </c>
      <c r="N1661">
        <f>SUM('08_ФОТ'!N7:N9,'19_Расчет_аналитики'!N1660)</f>
        <v/>
      </c>
      <c r="O1661">
        <f>SUM('08_ФОТ'!O7:O9,'19_Расчет_аналитики'!O1660)</f>
        <v/>
      </c>
      <c r="P1661">
        <f>SUM('08_ФОТ'!P7:P9,'19_Расчет_аналитики'!P1660)</f>
        <v/>
      </c>
      <c r="Q1661">
        <f>SUM('08_ФОТ'!Q7:Q9,'19_Расчет_аналитики'!Q1660)</f>
        <v/>
      </c>
      <c r="R1661">
        <f>SUM('08_ФОТ'!R7:R9,'19_Расчет_аналитики'!R1660)</f>
        <v/>
      </c>
      <c r="S1661">
        <f>SUM('08_ФОТ'!S7:S9,'19_Расчет_аналитики'!S1660)</f>
        <v/>
      </c>
      <c r="T1661">
        <f>SUM('08_ФОТ'!T7:T9,'19_Расчет_аналитики'!T1660)</f>
        <v/>
      </c>
      <c r="U1661">
        <f>SUM('08_ФОТ'!U7:U9,'19_Расчет_аналитики'!U1660)</f>
        <v/>
      </c>
      <c r="V1661">
        <f>SUM('08_ФОТ'!V7:V9,'19_Расчет_аналитики'!V1660)</f>
        <v/>
      </c>
      <c r="W1661">
        <f>SUM('08_ФОТ'!W7:W9,'19_Расчет_аналитики'!W1660)</f>
        <v/>
      </c>
      <c r="X1661">
        <f>SUM('08_ФОТ'!X7:X9,'19_Расчет_аналитики'!X1660)</f>
        <v/>
      </c>
      <c r="Y1661">
        <f>SUM('08_ФОТ'!Y7:Y9,'19_Расчет_аналитики'!Y1660)</f>
        <v/>
      </c>
      <c r="Z1661">
        <f>SUM('08_ФОТ'!Z7:Z9,'19_Расчет_аналитики'!Z1660)</f>
        <v/>
      </c>
      <c r="AA1661">
        <f>SUM('08_ФОТ'!AA7:AA9,'19_Расчет_аналитики'!AA1660)</f>
        <v/>
      </c>
      <c r="AB1661">
        <f>SUM('08_ФОТ'!AB7:AB9,'19_Расчет_аналитики'!AB1660)</f>
        <v/>
      </c>
      <c r="AC1661">
        <f>SUM('08_ФОТ'!AC7:AC9,'19_Расчет_аналитики'!AC1660)</f>
        <v/>
      </c>
      <c r="AD1661">
        <f>SUM('08_ФОТ'!AD7:AD9,'19_Расчет_аналитики'!AD1660)</f>
        <v/>
      </c>
      <c r="AE1661">
        <f>SUM('08_ФОТ'!AE7:AE9,'19_Расчет_аналитики'!AE1660)</f>
        <v/>
      </c>
      <c r="AF1661">
        <f>SUM('08_ФОТ'!AF7:AF9,'19_Расчет_аналитики'!AF1660)</f>
        <v/>
      </c>
      <c r="AG1661">
        <f>SUM('08_ФОТ'!AG7:AG9,'19_Расчет_аналитики'!AG1660)</f>
        <v/>
      </c>
      <c r="AH1661">
        <f>SUM('08_ФОТ'!AH7:AH9,'19_Расчет_аналитики'!AH1660)</f>
        <v/>
      </c>
      <c r="AI1661">
        <f>SUM('08_ФОТ'!AI7:AI9,'19_Расчет_аналитики'!AI1660)</f>
        <v/>
      </c>
      <c r="AJ1661">
        <f>SUM('08_ФОТ'!AJ7:AJ9,'19_Расчет_аналитики'!AJ1660)</f>
        <v/>
      </c>
      <c r="AK1661">
        <f>SUM('08_ФОТ'!AK7:AK9,'19_Расчет_аналитики'!AK1660)</f>
        <v/>
      </c>
      <c r="AL1661">
        <f>SUM('08_ФОТ'!AL7:AL9,'19_Расчет_аналитики'!AL1660)</f>
        <v/>
      </c>
      <c r="AM1661">
        <f>SUM('08_ФОТ'!AM7:AM9,'19_Расчет_аналитики'!AM1660)</f>
        <v/>
      </c>
      <c r="AN1661">
        <f>SUM('08_ФОТ'!AN7:AN9,'19_Расчет_аналитики'!AN1660)</f>
        <v/>
      </c>
      <c r="AO1661">
        <f>SUM('08_ФОТ'!AO7:AO9,'19_Расчет_аналитики'!AO1660)</f>
        <v/>
      </c>
      <c r="AP1661">
        <f>SUM('08_ФОТ'!AP7:AP9,'19_Расчет_аналитики'!AP1660)</f>
        <v/>
      </c>
      <c r="AQ1661">
        <f>SUM('08_ФОТ'!AQ7:AQ9,'19_Расчет_аналитики'!AQ1660)</f>
        <v/>
      </c>
      <c r="AR1661">
        <f>SUM('08_ФОТ'!AR7:AR9,'19_Расчет_аналитики'!AR1660)</f>
        <v/>
      </c>
      <c r="AS1661">
        <f>SUM('08_ФОТ'!AS7:AS9,'19_Расчет_аналитики'!AS1660)</f>
        <v/>
      </c>
      <c r="AT1661">
        <f>SUM('08_ФОТ'!AT7:AT9,'19_Расчет_аналитики'!AT1660)</f>
        <v/>
      </c>
      <c r="AU1661">
        <f>SUM('08_ФОТ'!AU7:AU9,'19_Расчет_аналитики'!AU1660)</f>
        <v/>
      </c>
      <c r="AV1661">
        <f>SUM('08_ФОТ'!AV7:AV9,'19_Расчет_аналитики'!AV1660)</f>
        <v/>
      </c>
      <c r="AW1661">
        <f>SUM('08_ФОТ'!AW7:AW9,'19_Расчет_аналитики'!AW1660)</f>
        <v/>
      </c>
      <c r="AX1661">
        <f>SUM('08_ФОТ'!AX7:AX9,'19_Расчет_аналитики'!AX1660)</f>
        <v/>
      </c>
      <c r="AY1661">
        <f>SUM('08_ФОТ'!AY7:AY9,'19_Расчет_аналитики'!AY1660)</f>
        <v/>
      </c>
      <c r="AZ1661">
        <f>SUM('08_ФОТ'!AZ7:AZ9,'19_Расчет_аналитики'!AZ1660)</f>
        <v/>
      </c>
      <c r="BA1661">
        <f>SUM('08_ФОТ'!BA7:BA9,'19_Расчет_аналитики'!BA1660)</f>
        <v/>
      </c>
      <c r="BB1661">
        <f>SUM('08_ФОТ'!BB7:BB9,'19_Расчет_аналитики'!BB1660)</f>
        <v/>
      </c>
      <c r="BC1661">
        <f>SUM('08_ФОТ'!BC7:BC9,'19_Расчет_аналитики'!BC1660)</f>
        <v/>
      </c>
      <c r="BD1661">
        <f>SUM('08_ФОТ'!BD7:BD9,'19_Расчет_аналитики'!BD1660)</f>
        <v/>
      </c>
      <c r="BE1661">
        <f>SUM('08_ФОТ'!BE7:BE9,'19_Расчет_аналитики'!BE1660)</f>
        <v/>
      </c>
      <c r="BF1661">
        <f>SUM('08_ФОТ'!BF7:BF9,'19_Расчет_аналитики'!BF1660)</f>
        <v/>
      </c>
      <c r="BG1661">
        <f>SUM('08_ФОТ'!BG7:BG9,'19_Расчет_аналитики'!BG1660)</f>
        <v/>
      </c>
      <c r="BH1661">
        <f>SUM('08_ФОТ'!BH7:BH9,'19_Расчет_аналитики'!BH1660)</f>
        <v/>
      </c>
      <c r="BI1661">
        <f>SUM('08_ФОТ'!BI7:BI9,'19_Расчет_аналитики'!BI1660)</f>
        <v/>
      </c>
    </row>
    <row r="1662">
      <c r="C1662">
        <f>'19_Расчет_аналитики'!C1661*'01_Вводные'!$B$131</f>
        <v/>
      </c>
      <c r="D1662">
        <f>'19_Расчет_аналитики'!D1661*'01_Вводные'!$B$131</f>
        <v/>
      </c>
      <c r="E1662">
        <f>'19_Расчет_аналитики'!E1661*'01_Вводные'!$B$131</f>
        <v/>
      </c>
      <c r="F1662">
        <f>'19_Расчет_аналитики'!F1661*'01_Вводные'!$B$131</f>
        <v/>
      </c>
      <c r="G1662">
        <f>'19_Расчет_аналитики'!G1661*'01_Вводные'!$B$131</f>
        <v/>
      </c>
      <c r="H1662">
        <f>'19_Расчет_аналитики'!H1661*'01_Вводные'!$B$131</f>
        <v/>
      </c>
      <c r="I1662">
        <f>'19_Расчет_аналитики'!I1661*'01_Вводные'!$B$131</f>
        <v/>
      </c>
      <c r="J1662">
        <f>'19_Расчет_аналитики'!J1661*'01_Вводные'!$B$131</f>
        <v/>
      </c>
      <c r="K1662">
        <f>'19_Расчет_аналитики'!K1661*'01_Вводные'!$B$131</f>
        <v/>
      </c>
      <c r="L1662">
        <f>'19_Расчет_аналитики'!L1661*'01_Вводные'!$B$131</f>
        <v/>
      </c>
      <c r="M1662">
        <f>'19_Расчет_аналитики'!M1661*'01_Вводные'!$B$131</f>
        <v/>
      </c>
      <c r="N1662">
        <f>'19_Расчет_аналитики'!N1661*'01_Вводные'!$B$131</f>
        <v/>
      </c>
      <c r="O1662">
        <f>'19_Расчет_аналитики'!O1661*'01_Вводные'!$B$131</f>
        <v/>
      </c>
      <c r="P1662">
        <f>'19_Расчет_аналитики'!P1661*'01_Вводные'!$B$131</f>
        <v/>
      </c>
      <c r="Q1662">
        <f>'19_Расчет_аналитики'!Q1661*'01_Вводные'!$B$131</f>
        <v/>
      </c>
      <c r="R1662">
        <f>'19_Расчет_аналитики'!R1661*'01_Вводные'!$B$131</f>
        <v/>
      </c>
      <c r="S1662">
        <f>'19_Расчет_аналитики'!S1661*'01_Вводные'!$B$131</f>
        <v/>
      </c>
      <c r="T1662">
        <f>'19_Расчет_аналитики'!T1661*'01_Вводные'!$B$131</f>
        <v/>
      </c>
      <c r="U1662">
        <f>'19_Расчет_аналитики'!U1661*'01_Вводные'!$B$131</f>
        <v/>
      </c>
      <c r="V1662">
        <f>'19_Расчет_аналитики'!V1661*'01_Вводные'!$B$131</f>
        <v/>
      </c>
      <c r="W1662">
        <f>'19_Расчет_аналитики'!W1661*'01_Вводные'!$B$131</f>
        <v/>
      </c>
      <c r="X1662">
        <f>'19_Расчет_аналитики'!X1661*'01_Вводные'!$B$131</f>
        <v/>
      </c>
      <c r="Y1662">
        <f>'19_Расчет_аналитики'!Y1661*'01_Вводные'!$B$131</f>
        <v/>
      </c>
      <c r="Z1662">
        <f>'19_Расчет_аналитики'!Z1661*'01_Вводные'!$B$131</f>
        <v/>
      </c>
      <c r="AA1662">
        <f>'19_Расчет_аналитики'!AA1661*'01_Вводные'!$B$131</f>
        <v/>
      </c>
      <c r="AB1662">
        <f>'19_Расчет_аналитики'!AB1661*'01_Вводные'!$B$131</f>
        <v/>
      </c>
      <c r="AC1662">
        <f>'19_Расчет_аналитики'!AC1661*'01_Вводные'!$B$131</f>
        <v/>
      </c>
      <c r="AD1662">
        <f>'19_Расчет_аналитики'!AD1661*'01_Вводные'!$B$131</f>
        <v/>
      </c>
      <c r="AE1662">
        <f>'19_Расчет_аналитики'!AE1661*'01_Вводные'!$B$131</f>
        <v/>
      </c>
      <c r="AF1662">
        <f>'19_Расчет_аналитики'!AF1661*'01_Вводные'!$B$131</f>
        <v/>
      </c>
      <c r="AG1662">
        <f>'19_Расчет_аналитики'!AG1661*'01_Вводные'!$B$131</f>
        <v/>
      </c>
      <c r="AH1662">
        <f>'19_Расчет_аналитики'!AH1661*'01_Вводные'!$B$131</f>
        <v/>
      </c>
      <c r="AI1662">
        <f>'19_Расчет_аналитики'!AI1661*'01_Вводные'!$B$131</f>
        <v/>
      </c>
      <c r="AJ1662">
        <f>'19_Расчет_аналитики'!AJ1661*'01_Вводные'!$B$131</f>
        <v/>
      </c>
      <c r="AK1662">
        <f>'19_Расчет_аналитики'!AK1661*'01_Вводные'!$B$131</f>
        <v/>
      </c>
      <c r="AL1662">
        <f>'19_Расчет_аналитики'!AL1661*'01_Вводные'!$B$131</f>
        <v/>
      </c>
      <c r="AM1662">
        <f>'19_Расчет_аналитики'!AM1661*'01_Вводные'!$B$131</f>
        <v/>
      </c>
      <c r="AN1662">
        <f>'19_Расчет_аналитики'!AN1661*'01_Вводные'!$B$131</f>
        <v/>
      </c>
      <c r="AO1662">
        <f>'19_Расчет_аналитики'!AO1661*'01_Вводные'!$B$131</f>
        <v/>
      </c>
      <c r="AP1662">
        <f>'19_Расчет_аналитики'!AP1661*'01_Вводные'!$B$131</f>
        <v/>
      </c>
      <c r="AQ1662">
        <f>'19_Расчет_аналитики'!AQ1661*'01_Вводные'!$B$131</f>
        <v/>
      </c>
      <c r="AR1662">
        <f>'19_Расчет_аналитики'!AR1661*'01_Вводные'!$B$131</f>
        <v/>
      </c>
      <c r="AS1662">
        <f>'19_Расчет_аналитики'!AS1661*'01_Вводные'!$B$131</f>
        <v/>
      </c>
      <c r="AT1662">
        <f>'19_Расчет_аналитики'!AT1661*'01_Вводные'!$B$131</f>
        <v/>
      </c>
      <c r="AU1662">
        <f>'19_Расчет_аналитики'!AU1661*'01_Вводные'!$B$131</f>
        <v/>
      </c>
      <c r="AV1662">
        <f>'19_Расчет_аналитики'!AV1661*'01_Вводные'!$B$131</f>
        <v/>
      </c>
      <c r="AW1662">
        <f>'19_Расчет_аналитики'!AW1661*'01_Вводные'!$B$131</f>
        <v/>
      </c>
      <c r="AX1662">
        <f>'19_Расчет_аналитики'!AX1661*'01_Вводные'!$B$131</f>
        <v/>
      </c>
      <c r="AY1662">
        <f>'19_Расчет_аналитики'!AY1661*'01_Вводные'!$B$131</f>
        <v/>
      </c>
      <c r="AZ1662">
        <f>'19_Расчет_аналитики'!AZ1661*'01_Вводные'!$B$131</f>
        <v/>
      </c>
      <c r="BA1662">
        <f>'19_Расчет_аналитики'!BA1661*'01_Вводные'!$B$131</f>
        <v/>
      </c>
      <c r="BB1662">
        <f>'19_Расчет_аналитики'!BB1661*'01_Вводные'!$B$131</f>
        <v/>
      </c>
      <c r="BC1662">
        <f>'19_Расчет_аналитики'!BC1661*'01_Вводные'!$B$131</f>
        <v/>
      </c>
      <c r="BD1662">
        <f>'19_Расчет_аналитики'!BD1661*'01_Вводные'!$B$131</f>
        <v/>
      </c>
      <c r="BE1662">
        <f>'19_Расчет_аналитики'!BE1661*'01_Вводные'!$B$131</f>
        <v/>
      </c>
      <c r="BF1662">
        <f>'19_Расчет_аналитики'!BF1661*'01_Вводные'!$B$131</f>
        <v/>
      </c>
      <c r="BG1662">
        <f>'19_Расчет_аналитики'!BG1661*'01_Вводные'!$B$131</f>
        <v/>
      </c>
      <c r="BH1662">
        <f>'19_Расчет_аналитики'!BH1661*'01_Вводные'!$B$131</f>
        <v/>
      </c>
      <c r="BI1662">
        <f>'19_Расчет_аналитики'!BI1661*'01_Вводные'!$B$131</f>
        <v/>
      </c>
    </row>
    <row r="1663"/>
    <row r="1664">
      <c r="C1664">
        <f>('01_Вводные'!$B$118+'19_Расчет_аналитики'!C1659+1)*IF('08_ФОТ'!C$3&lt;'01_Вводные'!$B$250,'01_Вводные'!$B$123,'01_Вводные'!$B$124)/'01_Вводные'!$B$132</f>
        <v/>
      </c>
      <c r="D1664">
        <f>('01_Вводные'!$B$118+'19_Расчет_аналитики'!D1659+1)*IF('08_ФОТ'!D$3&lt;'01_Вводные'!$B$250,'01_Вводные'!$B$123,'01_Вводные'!$B$124)/'01_Вводные'!$B$132</f>
        <v/>
      </c>
      <c r="E1664">
        <f>('01_Вводные'!$B$118+'19_Расчет_аналитики'!E1659+1)*IF('08_ФОТ'!E$3&lt;'01_Вводные'!$B$250,'01_Вводные'!$B$123,'01_Вводные'!$B$124)/'01_Вводные'!$B$132</f>
        <v/>
      </c>
      <c r="F1664">
        <f>('01_Вводные'!$B$118+'19_Расчет_аналитики'!F1659+1)*IF('08_ФОТ'!F$3&lt;'01_Вводные'!$B$250,'01_Вводные'!$B$123,'01_Вводные'!$B$124)/'01_Вводные'!$B$132</f>
        <v/>
      </c>
      <c r="G1664">
        <f>('01_Вводные'!$B$118+'19_Расчет_аналитики'!G1659+1)*IF('08_ФОТ'!G$3&lt;'01_Вводные'!$B$250,'01_Вводные'!$B$123,'01_Вводные'!$B$124)/'01_Вводные'!$B$132</f>
        <v/>
      </c>
      <c r="H1664">
        <f>('01_Вводные'!$B$118+'19_Расчет_аналитики'!H1659+1)*IF('08_ФОТ'!H$3&lt;'01_Вводные'!$B$250,'01_Вводные'!$B$123,'01_Вводные'!$B$124)/'01_Вводные'!$B$132</f>
        <v/>
      </c>
      <c r="I1664">
        <f>('01_Вводные'!$B$118+'19_Расчет_аналитики'!I1659+1)*IF('08_ФОТ'!I$3&lt;'01_Вводные'!$B$250,'01_Вводные'!$B$123,'01_Вводные'!$B$124)/'01_Вводные'!$B$132</f>
        <v/>
      </c>
      <c r="J1664">
        <f>('01_Вводные'!$B$118+'19_Расчет_аналитики'!J1659+1)*IF('08_ФОТ'!J$3&lt;'01_Вводные'!$B$250,'01_Вводные'!$B$123,'01_Вводные'!$B$124)/'01_Вводные'!$B$132</f>
        <v/>
      </c>
      <c r="K1664">
        <f>('01_Вводные'!$B$118+'19_Расчет_аналитики'!K1659+1)*IF('08_ФОТ'!K$3&lt;'01_Вводные'!$B$250,'01_Вводные'!$B$123,'01_Вводные'!$B$124)/'01_Вводные'!$B$132</f>
        <v/>
      </c>
      <c r="L1664">
        <f>('01_Вводные'!$B$118+'19_Расчет_аналитики'!L1659+1)*IF('08_ФОТ'!L$3&lt;'01_Вводные'!$B$250,'01_Вводные'!$B$123,'01_Вводные'!$B$124)/'01_Вводные'!$B$132</f>
        <v/>
      </c>
      <c r="M1664">
        <f>('01_Вводные'!$B$118+'19_Расчет_аналитики'!M1659+1)*IF('08_ФОТ'!M$3&lt;'01_Вводные'!$B$250,'01_Вводные'!$B$123,'01_Вводные'!$B$124)/'01_Вводные'!$B$132</f>
        <v/>
      </c>
      <c r="N1664">
        <f>('01_Вводные'!$B$118+'19_Расчет_аналитики'!N1659+1)*IF('08_ФОТ'!N$3&lt;'01_Вводные'!$B$250,'01_Вводные'!$B$123,'01_Вводные'!$B$124)/'01_Вводные'!$B$132</f>
        <v/>
      </c>
      <c r="O1664">
        <f>('01_Вводные'!$B$118+'19_Расчет_аналитики'!O1659+1)*IF('08_ФОТ'!O$3&lt;'01_Вводные'!$B$250,'01_Вводные'!$B$123,'01_Вводные'!$B$124)/'01_Вводные'!$B$132</f>
        <v/>
      </c>
      <c r="P1664">
        <f>('01_Вводные'!$B$118+'19_Расчет_аналитики'!P1659+1)*IF('08_ФОТ'!P$3&lt;'01_Вводные'!$B$250,'01_Вводные'!$B$123,'01_Вводные'!$B$124)/'01_Вводные'!$B$132</f>
        <v/>
      </c>
      <c r="Q1664">
        <f>('01_Вводные'!$B$118+'19_Расчет_аналитики'!Q1659+1)*IF('08_ФОТ'!Q$3&lt;'01_Вводные'!$B$250,'01_Вводные'!$B$123,'01_Вводные'!$B$124)/'01_Вводные'!$B$132</f>
        <v/>
      </c>
      <c r="R1664">
        <f>('01_Вводные'!$B$118+'19_Расчет_аналитики'!R1659+1)*IF('08_ФОТ'!R$3&lt;'01_Вводные'!$B$250,'01_Вводные'!$B$123,'01_Вводные'!$B$124)/'01_Вводные'!$B$132</f>
        <v/>
      </c>
      <c r="S1664">
        <f>('01_Вводные'!$B$118+'19_Расчет_аналитики'!S1659+1)*IF('08_ФОТ'!S$3&lt;'01_Вводные'!$B$250,'01_Вводные'!$B$123,'01_Вводные'!$B$124)/'01_Вводные'!$B$132</f>
        <v/>
      </c>
      <c r="T1664">
        <f>('01_Вводные'!$B$118+'19_Расчет_аналитики'!T1659+1)*IF('08_ФОТ'!T$3&lt;'01_Вводные'!$B$250,'01_Вводные'!$B$123,'01_Вводные'!$B$124)/'01_Вводные'!$B$132</f>
        <v/>
      </c>
      <c r="U1664">
        <f>('01_Вводные'!$B$118+'19_Расчет_аналитики'!U1659+1)*IF('08_ФОТ'!U$3&lt;'01_Вводные'!$B$250,'01_Вводные'!$B$123,'01_Вводные'!$B$124)/'01_Вводные'!$B$132</f>
        <v/>
      </c>
      <c r="V1664">
        <f>('01_Вводные'!$B$118+'19_Расчет_аналитики'!V1659+1)*IF('08_ФОТ'!V$3&lt;'01_Вводные'!$B$250,'01_Вводные'!$B$123,'01_Вводные'!$B$124)/'01_Вводные'!$B$132</f>
        <v/>
      </c>
      <c r="W1664">
        <f>('01_Вводные'!$B$118+'19_Расчет_аналитики'!W1659+1)*IF('08_ФОТ'!W$3&lt;'01_Вводные'!$B$250,'01_Вводные'!$B$123,'01_Вводные'!$B$124)/'01_Вводные'!$B$132</f>
        <v/>
      </c>
      <c r="X1664">
        <f>('01_Вводные'!$B$118+'19_Расчет_аналитики'!X1659+1)*IF('08_ФОТ'!X$3&lt;'01_Вводные'!$B$250,'01_Вводные'!$B$123,'01_Вводные'!$B$124)/'01_Вводные'!$B$132</f>
        <v/>
      </c>
      <c r="Y1664">
        <f>('01_Вводные'!$B$118+'19_Расчет_аналитики'!Y1659+1)*IF('08_ФОТ'!Y$3&lt;'01_Вводные'!$B$250,'01_Вводные'!$B$123,'01_Вводные'!$B$124)/'01_Вводные'!$B$132</f>
        <v/>
      </c>
      <c r="Z1664">
        <f>('01_Вводные'!$B$118+'19_Расчет_аналитики'!Z1659+1)*IF('08_ФОТ'!Z$3&lt;'01_Вводные'!$B$250,'01_Вводные'!$B$123,'01_Вводные'!$B$124)/'01_Вводные'!$B$132</f>
        <v/>
      </c>
      <c r="AA1664">
        <f>('01_Вводные'!$B$118+'19_Расчет_аналитики'!AA1659+1)*IF('08_ФОТ'!AA$3&lt;'01_Вводные'!$B$250,'01_Вводные'!$B$123,'01_Вводные'!$B$124)/'01_Вводные'!$B$132</f>
        <v/>
      </c>
      <c r="AB1664">
        <f>('01_Вводные'!$B$118+'19_Расчет_аналитики'!AB1659+1)*IF('08_ФОТ'!AB$3&lt;'01_Вводные'!$B$250,'01_Вводные'!$B$123,'01_Вводные'!$B$124)/'01_Вводные'!$B$132</f>
        <v/>
      </c>
      <c r="AC1664">
        <f>('01_Вводные'!$B$118+'19_Расчет_аналитики'!AC1659+1)*IF('08_ФОТ'!AC$3&lt;'01_Вводные'!$B$250,'01_Вводные'!$B$123,'01_Вводные'!$B$124)/'01_Вводные'!$B$132</f>
        <v/>
      </c>
      <c r="AD1664">
        <f>('01_Вводные'!$B$118+'19_Расчет_аналитики'!AD1659+1)*IF('08_ФОТ'!AD$3&lt;'01_Вводные'!$B$250,'01_Вводные'!$B$123,'01_Вводные'!$B$124)/'01_Вводные'!$B$132</f>
        <v/>
      </c>
      <c r="AE1664">
        <f>('01_Вводные'!$B$118+'19_Расчет_аналитики'!AE1659+1)*IF('08_ФОТ'!AE$3&lt;'01_Вводные'!$B$250,'01_Вводные'!$B$123,'01_Вводные'!$B$124)/'01_Вводные'!$B$132</f>
        <v/>
      </c>
      <c r="AF1664">
        <f>('01_Вводные'!$B$118+'19_Расчет_аналитики'!AF1659+1)*IF('08_ФОТ'!AF$3&lt;'01_Вводные'!$B$250,'01_Вводные'!$B$123,'01_Вводные'!$B$124)/'01_Вводные'!$B$132</f>
        <v/>
      </c>
      <c r="AG1664">
        <f>('01_Вводные'!$B$118+'19_Расчет_аналитики'!AG1659+1)*IF('08_ФОТ'!AG$3&lt;'01_Вводные'!$B$250,'01_Вводные'!$B$123,'01_Вводные'!$B$124)/'01_Вводные'!$B$132</f>
        <v/>
      </c>
      <c r="AH1664">
        <f>('01_Вводные'!$B$118+'19_Расчет_аналитики'!AH1659+1)*IF('08_ФОТ'!AH$3&lt;'01_Вводные'!$B$250,'01_Вводные'!$B$123,'01_Вводные'!$B$124)/'01_Вводные'!$B$132</f>
        <v/>
      </c>
      <c r="AI1664">
        <f>('01_Вводные'!$B$118+'19_Расчет_аналитики'!AI1659+1)*IF('08_ФОТ'!AI$3&lt;'01_Вводные'!$B$250,'01_Вводные'!$B$123,'01_Вводные'!$B$124)/'01_Вводные'!$B$132</f>
        <v/>
      </c>
      <c r="AJ1664">
        <f>('01_Вводные'!$B$118+'19_Расчет_аналитики'!AJ1659+1)*IF('08_ФОТ'!AJ$3&lt;'01_Вводные'!$B$250,'01_Вводные'!$B$123,'01_Вводные'!$B$124)/'01_Вводные'!$B$132</f>
        <v/>
      </c>
      <c r="AK1664">
        <f>('01_Вводные'!$B$118+'19_Расчет_аналитики'!AK1659+1)*IF('08_ФОТ'!AK$3&lt;'01_Вводные'!$B$250,'01_Вводные'!$B$123,'01_Вводные'!$B$124)/'01_Вводные'!$B$132</f>
        <v/>
      </c>
      <c r="AL1664">
        <f>('01_Вводные'!$B$118+'19_Расчет_аналитики'!AL1659+1)*IF('08_ФОТ'!AL$3&lt;'01_Вводные'!$B$250,'01_Вводные'!$B$123,'01_Вводные'!$B$124)/'01_Вводные'!$B$132</f>
        <v/>
      </c>
      <c r="AM1664">
        <f>('01_Вводные'!$B$118+'19_Расчет_аналитики'!AM1659+1)*IF('08_ФОТ'!AM$3&lt;'01_Вводные'!$B$250,'01_Вводные'!$B$123,'01_Вводные'!$B$124)/'01_Вводные'!$B$132</f>
        <v/>
      </c>
      <c r="AN1664">
        <f>('01_Вводные'!$B$118+'19_Расчет_аналитики'!AN1659+1)*IF('08_ФОТ'!AN$3&lt;'01_Вводные'!$B$250,'01_Вводные'!$B$123,'01_Вводные'!$B$124)/'01_Вводные'!$B$132</f>
        <v/>
      </c>
      <c r="AO1664">
        <f>('01_Вводные'!$B$118+'19_Расчет_аналитики'!AO1659+1)*IF('08_ФОТ'!AO$3&lt;'01_Вводные'!$B$250,'01_Вводные'!$B$123,'01_Вводные'!$B$124)/'01_Вводные'!$B$132</f>
        <v/>
      </c>
      <c r="AP1664">
        <f>('01_Вводные'!$B$118+'19_Расчет_аналитики'!AP1659+1)*IF('08_ФОТ'!AP$3&lt;'01_Вводные'!$B$250,'01_Вводные'!$B$123,'01_Вводные'!$B$124)/'01_Вводные'!$B$132</f>
        <v/>
      </c>
      <c r="AQ1664">
        <f>('01_Вводные'!$B$118+'19_Расчет_аналитики'!AQ1659+1)*IF('08_ФОТ'!AQ$3&lt;'01_Вводные'!$B$250,'01_Вводные'!$B$123,'01_Вводные'!$B$124)/'01_Вводные'!$B$132</f>
        <v/>
      </c>
      <c r="AR1664">
        <f>('01_Вводные'!$B$118+'19_Расчет_аналитики'!AR1659+1)*IF('08_ФОТ'!AR$3&lt;'01_Вводные'!$B$250,'01_Вводные'!$B$123,'01_Вводные'!$B$124)/'01_Вводные'!$B$132</f>
        <v/>
      </c>
      <c r="AS1664">
        <f>('01_Вводные'!$B$118+'19_Расчет_аналитики'!AS1659+1)*IF('08_ФОТ'!AS$3&lt;'01_Вводные'!$B$250,'01_Вводные'!$B$123,'01_Вводные'!$B$124)/'01_Вводные'!$B$132</f>
        <v/>
      </c>
      <c r="AT1664">
        <f>('01_Вводные'!$B$118+'19_Расчет_аналитики'!AT1659+1)*IF('08_ФОТ'!AT$3&lt;'01_Вводные'!$B$250,'01_Вводные'!$B$123,'01_Вводные'!$B$124)/'01_Вводные'!$B$132</f>
        <v/>
      </c>
      <c r="AU1664">
        <f>('01_Вводные'!$B$118+'19_Расчет_аналитики'!AU1659+1)*IF('08_ФОТ'!AU$3&lt;'01_Вводные'!$B$250,'01_Вводные'!$B$123,'01_Вводные'!$B$124)/'01_Вводные'!$B$132</f>
        <v/>
      </c>
      <c r="AV1664">
        <f>('01_Вводные'!$B$118+'19_Расчет_аналитики'!AV1659+1)*IF('08_ФОТ'!AV$3&lt;'01_Вводные'!$B$250,'01_Вводные'!$B$123,'01_Вводные'!$B$124)/'01_Вводные'!$B$132</f>
        <v/>
      </c>
      <c r="AW1664">
        <f>('01_Вводные'!$B$118+'19_Расчет_аналитики'!AW1659+1)*IF('08_ФОТ'!AW$3&lt;'01_Вводные'!$B$250,'01_Вводные'!$B$123,'01_Вводные'!$B$124)/'01_Вводные'!$B$132</f>
        <v/>
      </c>
      <c r="AX1664">
        <f>('01_Вводные'!$B$118+'19_Расчет_аналитики'!AX1659+1)*IF('08_ФОТ'!AX$3&lt;'01_Вводные'!$B$250,'01_Вводные'!$B$123,'01_Вводные'!$B$124)/'01_Вводные'!$B$132</f>
        <v/>
      </c>
      <c r="AY1664">
        <f>('01_Вводные'!$B$118+'19_Расчет_аналитики'!AY1659+1)*IF('08_ФОТ'!AY$3&lt;'01_Вводные'!$B$250,'01_Вводные'!$B$123,'01_Вводные'!$B$124)/'01_Вводные'!$B$132</f>
        <v/>
      </c>
      <c r="AZ1664">
        <f>('01_Вводные'!$B$118+'19_Расчет_аналитики'!AZ1659+1)*IF('08_ФОТ'!AZ$3&lt;'01_Вводные'!$B$250,'01_Вводные'!$B$123,'01_Вводные'!$B$124)/'01_Вводные'!$B$132</f>
        <v/>
      </c>
      <c r="BA1664">
        <f>('01_Вводные'!$B$118+'19_Расчет_аналитики'!BA1659+1)*IF('08_ФОТ'!BA$3&lt;'01_Вводные'!$B$250,'01_Вводные'!$B$123,'01_Вводные'!$B$124)/'01_Вводные'!$B$132</f>
        <v/>
      </c>
      <c r="BB1664">
        <f>('01_Вводные'!$B$118+'19_Расчет_аналитики'!BB1659+1)*IF('08_ФОТ'!BB$3&lt;'01_Вводные'!$B$250,'01_Вводные'!$B$123,'01_Вводные'!$B$124)/'01_Вводные'!$B$132</f>
        <v/>
      </c>
      <c r="BC1664">
        <f>('01_Вводные'!$B$118+'19_Расчет_аналитики'!BC1659+1)*IF('08_ФОТ'!BC$3&lt;'01_Вводные'!$B$250,'01_Вводные'!$B$123,'01_Вводные'!$B$124)/'01_Вводные'!$B$132</f>
        <v/>
      </c>
      <c r="BD1664">
        <f>('01_Вводные'!$B$118+'19_Расчет_аналитики'!BD1659+1)*IF('08_ФОТ'!BD$3&lt;'01_Вводные'!$B$250,'01_Вводные'!$B$123,'01_Вводные'!$B$124)/'01_Вводные'!$B$132</f>
        <v/>
      </c>
      <c r="BE1664">
        <f>('01_Вводные'!$B$118+'19_Расчет_аналитики'!BE1659+1)*IF('08_ФОТ'!BE$3&lt;'01_Вводные'!$B$250,'01_Вводные'!$B$123,'01_Вводные'!$B$124)/'01_Вводные'!$B$132</f>
        <v/>
      </c>
      <c r="BF1664">
        <f>('01_Вводные'!$B$118+'19_Расчет_аналитики'!BF1659+1)*IF('08_ФОТ'!BF$3&lt;'01_Вводные'!$B$250,'01_Вводные'!$B$123,'01_Вводные'!$B$124)/'01_Вводные'!$B$132</f>
        <v/>
      </c>
      <c r="BG1664">
        <f>('01_Вводные'!$B$118+'19_Расчет_аналитики'!BG1659+1)*IF('08_ФОТ'!BG$3&lt;'01_Вводные'!$B$250,'01_Вводные'!$B$123,'01_Вводные'!$B$124)/'01_Вводные'!$B$132</f>
        <v/>
      </c>
      <c r="BH1664">
        <f>('01_Вводные'!$B$118+'19_Расчет_аналитики'!BH1659+1)*IF('08_ФОТ'!BH$3&lt;'01_Вводные'!$B$250,'01_Вводные'!$B$123,'01_Вводные'!$B$124)/'01_Вводные'!$B$132</f>
        <v/>
      </c>
      <c r="BI1664">
        <f>('01_Вводные'!$B$118+'19_Расчет_аналитики'!BI1659+1)*IF('08_ФОТ'!BI$3&lt;'01_Вводные'!$B$250,'01_Вводные'!$B$123,'01_Вводные'!$B$124)/'01_Вводные'!$B$132</f>
        <v/>
      </c>
    </row>
    <row r="1665">
      <c r="C1665">
        <f>'19_Расчет_аналитики'!C1664*'01_Вводные'!$B$131</f>
        <v/>
      </c>
      <c r="D1665">
        <f>'19_Расчет_аналитики'!D1664*'01_Вводные'!$B$131</f>
        <v/>
      </c>
      <c r="E1665">
        <f>'19_Расчет_аналитики'!E1664*'01_Вводные'!$B$131</f>
        <v/>
      </c>
      <c r="F1665">
        <f>'19_Расчет_аналитики'!F1664*'01_Вводные'!$B$131</f>
        <v/>
      </c>
      <c r="G1665">
        <f>'19_Расчет_аналитики'!G1664*'01_Вводные'!$B$131</f>
        <v/>
      </c>
      <c r="H1665">
        <f>'19_Расчет_аналитики'!H1664*'01_Вводные'!$B$131</f>
        <v/>
      </c>
      <c r="I1665">
        <f>'19_Расчет_аналитики'!I1664*'01_Вводные'!$B$131</f>
        <v/>
      </c>
      <c r="J1665">
        <f>'19_Расчет_аналитики'!J1664*'01_Вводные'!$B$131</f>
        <v/>
      </c>
      <c r="K1665">
        <f>'19_Расчет_аналитики'!K1664*'01_Вводные'!$B$131</f>
        <v/>
      </c>
      <c r="L1665">
        <f>'19_Расчет_аналитики'!L1664*'01_Вводные'!$B$131</f>
        <v/>
      </c>
      <c r="M1665">
        <f>'19_Расчет_аналитики'!M1664*'01_Вводные'!$B$131</f>
        <v/>
      </c>
      <c r="N1665">
        <f>'19_Расчет_аналитики'!N1664*'01_Вводные'!$B$131</f>
        <v/>
      </c>
      <c r="O1665">
        <f>'19_Расчет_аналитики'!O1664*'01_Вводные'!$B$131</f>
        <v/>
      </c>
      <c r="P1665">
        <f>'19_Расчет_аналитики'!P1664*'01_Вводные'!$B$131</f>
        <v/>
      </c>
      <c r="Q1665">
        <f>'19_Расчет_аналитики'!Q1664*'01_Вводные'!$B$131</f>
        <v/>
      </c>
      <c r="R1665">
        <f>'19_Расчет_аналитики'!R1664*'01_Вводные'!$B$131</f>
        <v/>
      </c>
      <c r="S1665">
        <f>'19_Расчет_аналитики'!S1664*'01_Вводные'!$B$131</f>
        <v/>
      </c>
      <c r="T1665">
        <f>'19_Расчет_аналитики'!T1664*'01_Вводные'!$B$131</f>
        <v/>
      </c>
      <c r="U1665">
        <f>'19_Расчет_аналитики'!U1664*'01_Вводные'!$B$131</f>
        <v/>
      </c>
      <c r="V1665">
        <f>'19_Расчет_аналитики'!V1664*'01_Вводные'!$B$131</f>
        <v/>
      </c>
      <c r="W1665">
        <f>'19_Расчет_аналитики'!W1664*'01_Вводные'!$B$131</f>
        <v/>
      </c>
      <c r="X1665">
        <f>'19_Расчет_аналитики'!X1664*'01_Вводные'!$B$131</f>
        <v/>
      </c>
      <c r="Y1665">
        <f>'19_Расчет_аналитики'!Y1664*'01_Вводные'!$B$131</f>
        <v/>
      </c>
      <c r="Z1665">
        <f>'19_Расчет_аналитики'!Z1664*'01_Вводные'!$B$131</f>
        <v/>
      </c>
      <c r="AA1665">
        <f>'19_Расчет_аналитики'!AA1664*'01_Вводные'!$B$131</f>
        <v/>
      </c>
      <c r="AB1665">
        <f>'19_Расчет_аналитики'!AB1664*'01_Вводные'!$B$131</f>
        <v/>
      </c>
      <c r="AC1665">
        <f>'19_Расчет_аналитики'!AC1664*'01_Вводные'!$B$131</f>
        <v/>
      </c>
      <c r="AD1665">
        <f>'19_Расчет_аналитики'!AD1664*'01_Вводные'!$B$131</f>
        <v/>
      </c>
      <c r="AE1665">
        <f>'19_Расчет_аналитики'!AE1664*'01_Вводные'!$B$131</f>
        <v/>
      </c>
      <c r="AF1665">
        <f>'19_Расчет_аналитики'!AF1664*'01_Вводные'!$B$131</f>
        <v/>
      </c>
      <c r="AG1665">
        <f>'19_Расчет_аналитики'!AG1664*'01_Вводные'!$B$131</f>
        <v/>
      </c>
      <c r="AH1665">
        <f>'19_Расчет_аналитики'!AH1664*'01_Вводные'!$B$131</f>
        <v/>
      </c>
      <c r="AI1665">
        <f>'19_Расчет_аналитики'!AI1664*'01_Вводные'!$B$131</f>
        <v/>
      </c>
      <c r="AJ1665">
        <f>'19_Расчет_аналитики'!AJ1664*'01_Вводные'!$B$131</f>
        <v/>
      </c>
      <c r="AK1665">
        <f>'19_Расчет_аналитики'!AK1664*'01_Вводные'!$B$131</f>
        <v/>
      </c>
      <c r="AL1665">
        <f>'19_Расчет_аналитики'!AL1664*'01_Вводные'!$B$131</f>
        <v/>
      </c>
      <c r="AM1665">
        <f>'19_Расчет_аналитики'!AM1664*'01_Вводные'!$B$131</f>
        <v/>
      </c>
      <c r="AN1665">
        <f>'19_Расчет_аналитики'!AN1664*'01_Вводные'!$B$131</f>
        <v/>
      </c>
      <c r="AO1665">
        <f>'19_Расчет_аналитики'!AO1664*'01_Вводные'!$B$131</f>
        <v/>
      </c>
      <c r="AP1665">
        <f>'19_Расчет_аналитики'!AP1664*'01_Вводные'!$B$131</f>
        <v/>
      </c>
      <c r="AQ1665">
        <f>'19_Расчет_аналитики'!AQ1664*'01_Вводные'!$B$131</f>
        <v/>
      </c>
      <c r="AR1665">
        <f>'19_Расчет_аналитики'!AR1664*'01_Вводные'!$B$131</f>
        <v/>
      </c>
      <c r="AS1665">
        <f>'19_Расчет_аналитики'!AS1664*'01_Вводные'!$B$131</f>
        <v/>
      </c>
      <c r="AT1665">
        <f>'19_Расчет_аналитики'!AT1664*'01_Вводные'!$B$131</f>
        <v/>
      </c>
      <c r="AU1665">
        <f>'19_Расчет_аналитики'!AU1664*'01_Вводные'!$B$131</f>
        <v/>
      </c>
      <c r="AV1665">
        <f>'19_Расчет_аналитики'!AV1664*'01_Вводные'!$B$131</f>
        <v/>
      </c>
      <c r="AW1665">
        <f>'19_Расчет_аналитики'!AW1664*'01_Вводные'!$B$131</f>
        <v/>
      </c>
      <c r="AX1665">
        <f>'19_Расчет_аналитики'!AX1664*'01_Вводные'!$B$131</f>
        <v/>
      </c>
      <c r="AY1665">
        <f>'19_Расчет_аналитики'!AY1664*'01_Вводные'!$B$131</f>
        <v/>
      </c>
      <c r="AZ1665">
        <f>'19_Расчет_аналитики'!AZ1664*'01_Вводные'!$B$131</f>
        <v/>
      </c>
      <c r="BA1665">
        <f>'19_Расчет_аналитики'!BA1664*'01_Вводные'!$B$131</f>
        <v/>
      </c>
      <c r="BB1665">
        <f>'19_Расчет_аналитики'!BB1664*'01_Вводные'!$B$131</f>
        <v/>
      </c>
      <c r="BC1665">
        <f>'19_Расчет_аналитики'!BC1664*'01_Вводные'!$B$131</f>
        <v/>
      </c>
      <c r="BD1665">
        <f>'19_Расчет_аналитики'!BD1664*'01_Вводные'!$B$131</f>
        <v/>
      </c>
      <c r="BE1665">
        <f>'19_Расчет_аналитики'!BE1664*'01_Вводные'!$B$131</f>
        <v/>
      </c>
      <c r="BF1665">
        <f>'19_Расчет_аналитики'!BF1664*'01_Вводные'!$B$131</f>
        <v/>
      </c>
      <c r="BG1665">
        <f>'19_Расчет_аналитики'!BG1664*'01_Вводные'!$B$131</f>
        <v/>
      </c>
      <c r="BH1665">
        <f>'19_Расчет_аналитики'!BH1664*'01_Вводные'!$B$131</f>
        <v/>
      </c>
      <c r="BI1665">
        <f>'19_Расчет_аналитики'!BI1664*'01_Вводные'!$B$131</f>
        <v/>
      </c>
    </row>
    <row r="1666">
      <c r="C1666">
        <f>IF('19_Расчет_аналитики'!C1350&gt;=2,'19_Расчет_аналитики'!C1361*'01_Вводные'!$B$125/(1+'01_Вводные'!$B$131),0)</f>
        <v/>
      </c>
      <c r="D1666">
        <f>IF('19_Расчет_аналитики'!D1350&gt;=2,'19_Расчет_аналитики'!D1361*'01_Вводные'!$B$125/(1+'01_Вводные'!$B$131),0)</f>
        <v/>
      </c>
      <c r="E1666">
        <f>IF('19_Расчет_аналитики'!E1350&gt;=2,'19_Расчет_аналитики'!E1361*'01_Вводные'!$B$125/(1+'01_Вводные'!$B$131),0)</f>
        <v/>
      </c>
      <c r="F1666">
        <f>IF('19_Расчет_аналитики'!F1350&gt;=2,'19_Расчет_аналитики'!F1361*'01_Вводные'!$B$125/(1+'01_Вводные'!$B$131),0)</f>
        <v/>
      </c>
      <c r="G1666">
        <f>IF('19_Расчет_аналитики'!G1350&gt;=2,'19_Расчет_аналитики'!G1361*'01_Вводные'!$B$125/(1+'01_Вводные'!$B$131),0)</f>
        <v/>
      </c>
      <c r="H1666">
        <f>IF('19_Расчет_аналитики'!H1350&gt;=2,'19_Расчет_аналитики'!H1361*'01_Вводные'!$B$125/(1+'01_Вводные'!$B$131),0)</f>
        <v/>
      </c>
      <c r="I1666">
        <f>IF('19_Расчет_аналитики'!I1350&gt;=2,'19_Расчет_аналитики'!I1361*'01_Вводные'!$B$125/(1+'01_Вводные'!$B$131),0)</f>
        <v/>
      </c>
      <c r="J1666">
        <f>IF('19_Расчет_аналитики'!J1350&gt;=2,'19_Расчет_аналитики'!J1361*'01_Вводные'!$B$125/(1+'01_Вводные'!$B$131),0)</f>
        <v/>
      </c>
      <c r="K1666">
        <f>IF('19_Расчет_аналитики'!K1350&gt;=2,'19_Расчет_аналитики'!K1361*'01_Вводные'!$B$125/(1+'01_Вводные'!$B$131),0)</f>
        <v/>
      </c>
      <c r="L1666">
        <f>IF('19_Расчет_аналитики'!L1350&gt;=2,'19_Расчет_аналитики'!L1361*'01_Вводные'!$B$125/(1+'01_Вводные'!$B$131),0)</f>
        <v/>
      </c>
      <c r="M1666">
        <f>IF('19_Расчет_аналитики'!M1350&gt;=2,'19_Расчет_аналитики'!M1361*'01_Вводные'!$B$125/(1+'01_Вводные'!$B$131),0)</f>
        <v/>
      </c>
      <c r="N1666">
        <f>IF('19_Расчет_аналитики'!N1350&gt;=2,'19_Расчет_аналитики'!N1361*'01_Вводные'!$B$125/(1+'01_Вводные'!$B$131),0)</f>
        <v/>
      </c>
      <c r="O1666">
        <f>IF('19_Расчет_аналитики'!O1350&gt;=2,'19_Расчет_аналитики'!O1361*'01_Вводные'!$B$125/(1+'01_Вводные'!$B$131),0)</f>
        <v/>
      </c>
      <c r="P1666">
        <f>IF('19_Расчет_аналитики'!P1350&gt;=2,'19_Расчет_аналитики'!P1361*'01_Вводные'!$B$125/(1+'01_Вводные'!$B$131),0)</f>
        <v/>
      </c>
      <c r="Q1666">
        <f>IF('19_Расчет_аналитики'!Q1350&gt;=2,'19_Расчет_аналитики'!Q1361*'01_Вводные'!$B$125/(1+'01_Вводные'!$B$131),0)</f>
        <v/>
      </c>
      <c r="R1666">
        <f>IF('19_Расчет_аналитики'!R1350&gt;=2,'19_Расчет_аналитики'!R1361*'01_Вводные'!$B$125/(1+'01_Вводные'!$B$131),0)</f>
        <v/>
      </c>
      <c r="S1666">
        <f>IF('19_Расчет_аналитики'!S1350&gt;=2,'19_Расчет_аналитики'!S1361*'01_Вводные'!$B$125/(1+'01_Вводные'!$B$131),0)</f>
        <v/>
      </c>
      <c r="T1666">
        <f>IF('19_Расчет_аналитики'!T1350&gt;=2,'19_Расчет_аналитики'!T1361*'01_Вводные'!$B$125/(1+'01_Вводные'!$B$131),0)</f>
        <v/>
      </c>
      <c r="U1666">
        <f>IF('19_Расчет_аналитики'!U1350&gt;=2,'19_Расчет_аналитики'!U1361*'01_Вводные'!$B$125/(1+'01_Вводные'!$B$131),0)</f>
        <v/>
      </c>
      <c r="V1666">
        <f>IF('19_Расчет_аналитики'!V1350&gt;=2,'19_Расчет_аналитики'!V1361*'01_Вводные'!$B$125/(1+'01_Вводные'!$B$131),0)</f>
        <v/>
      </c>
      <c r="W1666">
        <f>IF('19_Расчет_аналитики'!W1350&gt;=2,'19_Расчет_аналитики'!W1361*'01_Вводные'!$B$125/(1+'01_Вводные'!$B$131),0)</f>
        <v/>
      </c>
      <c r="X1666">
        <f>IF('19_Расчет_аналитики'!X1350&gt;=2,'19_Расчет_аналитики'!X1361*'01_Вводные'!$B$125/(1+'01_Вводные'!$B$131),0)</f>
        <v/>
      </c>
      <c r="Y1666">
        <f>IF('19_Расчет_аналитики'!Y1350&gt;=2,'19_Расчет_аналитики'!Y1361*'01_Вводные'!$B$125/(1+'01_Вводные'!$B$131),0)</f>
        <v/>
      </c>
      <c r="Z1666">
        <f>IF('19_Расчет_аналитики'!Z1350&gt;=2,'19_Расчет_аналитики'!Z1361*'01_Вводные'!$B$125/(1+'01_Вводные'!$B$131),0)</f>
        <v/>
      </c>
      <c r="AA1666">
        <f>IF('19_Расчет_аналитики'!AA1350&gt;=2,'19_Расчет_аналитики'!AA1361*'01_Вводные'!$B$125/(1+'01_Вводные'!$B$131),0)</f>
        <v/>
      </c>
      <c r="AB1666">
        <f>IF('19_Расчет_аналитики'!AB1350&gt;=2,'19_Расчет_аналитики'!AB1361*'01_Вводные'!$B$125/(1+'01_Вводные'!$B$131),0)</f>
        <v/>
      </c>
      <c r="AC1666">
        <f>IF('19_Расчет_аналитики'!AC1350&gt;=2,'19_Расчет_аналитики'!AC1361*'01_Вводные'!$B$125/(1+'01_Вводные'!$B$131),0)</f>
        <v/>
      </c>
      <c r="AD1666">
        <f>IF('19_Расчет_аналитики'!AD1350&gt;=2,'19_Расчет_аналитики'!AD1361*'01_Вводные'!$B$125/(1+'01_Вводные'!$B$131),0)</f>
        <v/>
      </c>
      <c r="AE1666">
        <f>IF('19_Расчет_аналитики'!AE1350&gt;=2,'19_Расчет_аналитики'!AE1361*'01_Вводные'!$B$125/(1+'01_Вводные'!$B$131),0)</f>
        <v/>
      </c>
      <c r="AF1666">
        <f>IF('19_Расчет_аналитики'!AF1350&gt;=2,'19_Расчет_аналитики'!AF1361*'01_Вводные'!$B$125/(1+'01_Вводные'!$B$131),0)</f>
        <v/>
      </c>
      <c r="AG1666">
        <f>IF('19_Расчет_аналитики'!AG1350&gt;=2,'19_Расчет_аналитики'!AG1361*'01_Вводные'!$B$125/(1+'01_Вводные'!$B$131),0)</f>
        <v/>
      </c>
      <c r="AH1666">
        <f>IF('19_Расчет_аналитики'!AH1350&gt;=2,'19_Расчет_аналитики'!AH1361*'01_Вводные'!$B$125/(1+'01_Вводные'!$B$131),0)</f>
        <v/>
      </c>
      <c r="AI1666">
        <f>IF('19_Расчет_аналитики'!AI1350&gt;=2,'19_Расчет_аналитики'!AI1361*'01_Вводные'!$B$125/(1+'01_Вводные'!$B$131),0)</f>
        <v/>
      </c>
      <c r="AJ1666">
        <f>IF('19_Расчет_аналитики'!AJ1350&gt;=2,'19_Расчет_аналитики'!AJ1361*'01_Вводные'!$B$125/(1+'01_Вводные'!$B$131),0)</f>
        <v/>
      </c>
      <c r="AK1666">
        <f>IF('19_Расчет_аналитики'!AK1350&gt;=2,'19_Расчет_аналитики'!AK1361*'01_Вводные'!$B$125/(1+'01_Вводные'!$B$131),0)</f>
        <v/>
      </c>
      <c r="AL1666">
        <f>IF('19_Расчет_аналитики'!AL1350&gt;=2,'19_Расчет_аналитики'!AL1361*'01_Вводные'!$B$125/(1+'01_Вводные'!$B$131),0)</f>
        <v/>
      </c>
      <c r="AM1666">
        <f>IF('19_Расчет_аналитики'!AM1350&gt;=2,'19_Расчет_аналитики'!AM1361*'01_Вводные'!$B$125/(1+'01_Вводные'!$B$131),0)</f>
        <v/>
      </c>
      <c r="AN1666">
        <f>IF('19_Расчет_аналитики'!AN1350&gt;=2,'19_Расчет_аналитики'!AN1361*'01_Вводные'!$B$125/(1+'01_Вводные'!$B$131),0)</f>
        <v/>
      </c>
      <c r="AO1666">
        <f>IF('19_Расчет_аналитики'!AO1350&gt;=2,'19_Расчет_аналитики'!AO1361*'01_Вводные'!$B$125/(1+'01_Вводные'!$B$131),0)</f>
        <v/>
      </c>
      <c r="AP1666">
        <f>IF('19_Расчет_аналитики'!AP1350&gt;=2,'19_Расчет_аналитики'!AP1361*'01_Вводные'!$B$125/(1+'01_Вводные'!$B$131),0)</f>
        <v/>
      </c>
      <c r="AQ1666">
        <f>IF('19_Расчет_аналитики'!AQ1350&gt;=2,'19_Расчет_аналитики'!AQ1361*'01_Вводные'!$B$125/(1+'01_Вводные'!$B$131),0)</f>
        <v/>
      </c>
      <c r="AR1666">
        <f>IF('19_Расчет_аналитики'!AR1350&gt;=2,'19_Расчет_аналитики'!AR1361*'01_Вводные'!$B$125/(1+'01_Вводные'!$B$131),0)</f>
        <v/>
      </c>
      <c r="AS1666">
        <f>IF('19_Расчет_аналитики'!AS1350&gt;=2,'19_Расчет_аналитики'!AS1361*'01_Вводные'!$B$125/(1+'01_Вводные'!$B$131),0)</f>
        <v/>
      </c>
      <c r="AT1666">
        <f>IF('19_Расчет_аналитики'!AT1350&gt;=2,'19_Расчет_аналитики'!AT1361*'01_Вводные'!$B$125/(1+'01_Вводные'!$B$131),0)</f>
        <v/>
      </c>
      <c r="AU1666">
        <f>IF('19_Расчет_аналитики'!AU1350&gt;=2,'19_Расчет_аналитики'!AU1361*'01_Вводные'!$B$125/(1+'01_Вводные'!$B$131),0)</f>
        <v/>
      </c>
      <c r="AV1666">
        <f>IF('19_Расчет_аналитики'!AV1350&gt;=2,'19_Расчет_аналитики'!AV1361*'01_Вводные'!$B$125/(1+'01_Вводные'!$B$131),0)</f>
        <v/>
      </c>
      <c r="AW1666">
        <f>IF('19_Расчет_аналитики'!AW1350&gt;=2,'19_Расчет_аналитики'!AW1361*'01_Вводные'!$B$125/(1+'01_Вводные'!$B$131),0)</f>
        <v/>
      </c>
      <c r="AX1666">
        <f>IF('19_Расчет_аналитики'!AX1350&gt;=2,'19_Расчет_аналитики'!AX1361*'01_Вводные'!$B$125/(1+'01_Вводные'!$B$131),0)</f>
        <v/>
      </c>
      <c r="AY1666">
        <f>IF('19_Расчет_аналитики'!AY1350&gt;=2,'19_Расчет_аналитики'!AY1361*'01_Вводные'!$B$125/(1+'01_Вводные'!$B$131),0)</f>
        <v/>
      </c>
      <c r="AZ1666">
        <f>IF('19_Расчет_аналитики'!AZ1350&gt;=2,'19_Расчет_аналитики'!AZ1361*'01_Вводные'!$B$125/(1+'01_Вводные'!$B$131),0)</f>
        <v/>
      </c>
      <c r="BA1666">
        <f>IF('19_Расчет_аналитики'!BA1350&gt;=2,'19_Расчет_аналитики'!BA1361*'01_Вводные'!$B$125/(1+'01_Вводные'!$B$131),0)</f>
        <v/>
      </c>
      <c r="BB1666">
        <f>IF('19_Расчет_аналитики'!BB1350&gt;=2,'19_Расчет_аналитики'!BB1361*'01_Вводные'!$B$125/(1+'01_Вводные'!$B$131),0)</f>
        <v/>
      </c>
      <c r="BC1666">
        <f>IF('19_Расчет_аналитики'!BC1350&gt;=2,'19_Расчет_аналитики'!BC1361*'01_Вводные'!$B$125/(1+'01_Вводные'!$B$131),0)</f>
        <v/>
      </c>
      <c r="BD1666">
        <f>IF('19_Расчет_аналитики'!BD1350&gt;=2,'19_Расчет_аналитики'!BD1361*'01_Вводные'!$B$125/(1+'01_Вводные'!$B$131),0)</f>
        <v/>
      </c>
      <c r="BE1666">
        <f>IF('19_Расчет_аналитики'!BE1350&gt;=2,'19_Расчет_аналитики'!BE1361*'01_Вводные'!$B$125/(1+'01_Вводные'!$B$131),0)</f>
        <v/>
      </c>
      <c r="BF1666">
        <f>IF('19_Расчет_аналитики'!BF1350&gt;=2,'19_Расчет_аналитики'!BF1361*'01_Вводные'!$B$125/(1+'01_Вводные'!$B$131),0)</f>
        <v/>
      </c>
      <c r="BG1666">
        <f>IF('19_Расчет_аналитики'!BG1350&gt;=2,'19_Расчет_аналитики'!BG1361*'01_Вводные'!$B$125/(1+'01_Вводные'!$B$131),0)</f>
        <v/>
      </c>
      <c r="BH1666">
        <f>IF('19_Расчет_аналитики'!BH1350&gt;=2,'19_Расчет_аналитики'!BH1361*'01_Вводные'!$B$125/(1+'01_Вводные'!$B$131),0)</f>
        <v/>
      </c>
      <c r="BI1666">
        <f>IF('19_Расчет_аналитики'!BI1350&gt;=2,'19_Расчет_аналитики'!BI1361*'01_Вводные'!$B$125/(1+'01_Вводные'!$B$131),0)</f>
        <v/>
      </c>
    </row>
    <row r="1667">
      <c r="C1667">
        <f>'19_Расчет_аналитики'!C1666*'01_Вводные'!$B$131</f>
        <v/>
      </c>
      <c r="D1667">
        <f>'19_Расчет_аналитики'!D1666*'01_Вводные'!$B$131</f>
        <v/>
      </c>
      <c r="E1667">
        <f>'19_Расчет_аналитики'!E1666*'01_Вводные'!$B$131</f>
        <v/>
      </c>
      <c r="F1667">
        <f>'19_Расчет_аналитики'!F1666*'01_Вводные'!$B$131</f>
        <v/>
      </c>
      <c r="G1667">
        <f>'19_Расчет_аналитики'!G1666*'01_Вводные'!$B$131</f>
        <v/>
      </c>
      <c r="H1667">
        <f>'19_Расчет_аналитики'!H1666*'01_Вводные'!$B$131</f>
        <v/>
      </c>
      <c r="I1667">
        <f>'19_Расчет_аналитики'!I1666*'01_Вводные'!$B$131</f>
        <v/>
      </c>
      <c r="J1667">
        <f>'19_Расчет_аналитики'!J1666*'01_Вводные'!$B$131</f>
        <v/>
      </c>
      <c r="K1667">
        <f>'19_Расчет_аналитики'!K1666*'01_Вводные'!$B$131</f>
        <v/>
      </c>
      <c r="L1667">
        <f>'19_Расчет_аналитики'!L1666*'01_Вводные'!$B$131</f>
        <v/>
      </c>
      <c r="M1667">
        <f>'19_Расчет_аналитики'!M1666*'01_Вводные'!$B$131</f>
        <v/>
      </c>
      <c r="N1667">
        <f>'19_Расчет_аналитики'!N1666*'01_Вводные'!$B$131</f>
        <v/>
      </c>
      <c r="O1667">
        <f>'19_Расчет_аналитики'!O1666*'01_Вводные'!$B$131</f>
        <v/>
      </c>
      <c r="P1667">
        <f>'19_Расчет_аналитики'!P1666*'01_Вводные'!$B$131</f>
        <v/>
      </c>
      <c r="Q1667">
        <f>'19_Расчет_аналитики'!Q1666*'01_Вводные'!$B$131</f>
        <v/>
      </c>
      <c r="R1667">
        <f>'19_Расчет_аналитики'!R1666*'01_Вводные'!$B$131</f>
        <v/>
      </c>
      <c r="S1667">
        <f>'19_Расчет_аналитики'!S1666*'01_Вводные'!$B$131</f>
        <v/>
      </c>
      <c r="T1667">
        <f>'19_Расчет_аналитики'!T1666*'01_Вводные'!$B$131</f>
        <v/>
      </c>
      <c r="U1667">
        <f>'19_Расчет_аналитики'!U1666*'01_Вводные'!$B$131</f>
        <v/>
      </c>
      <c r="V1667">
        <f>'19_Расчет_аналитики'!V1666*'01_Вводные'!$B$131</f>
        <v/>
      </c>
      <c r="W1667">
        <f>'19_Расчет_аналитики'!W1666*'01_Вводные'!$B$131</f>
        <v/>
      </c>
      <c r="X1667">
        <f>'19_Расчет_аналитики'!X1666*'01_Вводные'!$B$131</f>
        <v/>
      </c>
      <c r="Y1667">
        <f>'19_Расчет_аналитики'!Y1666*'01_Вводные'!$B$131</f>
        <v/>
      </c>
      <c r="Z1667">
        <f>'19_Расчет_аналитики'!Z1666*'01_Вводные'!$B$131</f>
        <v/>
      </c>
      <c r="AA1667">
        <f>'19_Расчет_аналитики'!AA1666*'01_Вводные'!$B$131</f>
        <v/>
      </c>
      <c r="AB1667">
        <f>'19_Расчет_аналитики'!AB1666*'01_Вводные'!$B$131</f>
        <v/>
      </c>
      <c r="AC1667">
        <f>'19_Расчет_аналитики'!AC1666*'01_Вводные'!$B$131</f>
        <v/>
      </c>
      <c r="AD1667">
        <f>'19_Расчет_аналитики'!AD1666*'01_Вводные'!$B$131</f>
        <v/>
      </c>
      <c r="AE1667">
        <f>'19_Расчет_аналитики'!AE1666*'01_Вводные'!$B$131</f>
        <v/>
      </c>
      <c r="AF1667">
        <f>'19_Расчет_аналитики'!AF1666*'01_Вводные'!$B$131</f>
        <v/>
      </c>
      <c r="AG1667">
        <f>'19_Расчет_аналитики'!AG1666*'01_Вводные'!$B$131</f>
        <v/>
      </c>
      <c r="AH1667">
        <f>'19_Расчет_аналитики'!AH1666*'01_Вводные'!$B$131</f>
        <v/>
      </c>
      <c r="AI1667">
        <f>'19_Расчет_аналитики'!AI1666*'01_Вводные'!$B$131</f>
        <v/>
      </c>
      <c r="AJ1667">
        <f>'19_Расчет_аналитики'!AJ1666*'01_Вводные'!$B$131</f>
        <v/>
      </c>
      <c r="AK1667">
        <f>'19_Расчет_аналитики'!AK1666*'01_Вводные'!$B$131</f>
        <v/>
      </c>
      <c r="AL1667">
        <f>'19_Расчет_аналитики'!AL1666*'01_Вводные'!$B$131</f>
        <v/>
      </c>
      <c r="AM1667">
        <f>'19_Расчет_аналитики'!AM1666*'01_Вводные'!$B$131</f>
        <v/>
      </c>
      <c r="AN1667">
        <f>'19_Расчет_аналитики'!AN1666*'01_Вводные'!$B$131</f>
        <v/>
      </c>
      <c r="AO1667">
        <f>'19_Расчет_аналитики'!AO1666*'01_Вводные'!$B$131</f>
        <v/>
      </c>
      <c r="AP1667">
        <f>'19_Расчет_аналитики'!AP1666*'01_Вводные'!$B$131</f>
        <v/>
      </c>
      <c r="AQ1667">
        <f>'19_Расчет_аналитики'!AQ1666*'01_Вводные'!$B$131</f>
        <v/>
      </c>
      <c r="AR1667">
        <f>'19_Расчет_аналитики'!AR1666*'01_Вводные'!$B$131</f>
        <v/>
      </c>
      <c r="AS1667">
        <f>'19_Расчет_аналитики'!AS1666*'01_Вводные'!$B$131</f>
        <v/>
      </c>
      <c r="AT1667">
        <f>'19_Расчет_аналитики'!AT1666*'01_Вводные'!$B$131</f>
        <v/>
      </c>
      <c r="AU1667">
        <f>'19_Расчет_аналитики'!AU1666*'01_Вводные'!$B$131</f>
        <v/>
      </c>
      <c r="AV1667">
        <f>'19_Расчет_аналитики'!AV1666*'01_Вводные'!$B$131</f>
        <v/>
      </c>
      <c r="AW1667">
        <f>'19_Расчет_аналитики'!AW1666*'01_Вводные'!$B$131</f>
        <v/>
      </c>
      <c r="AX1667">
        <f>'19_Расчет_аналитики'!AX1666*'01_Вводные'!$B$131</f>
        <v/>
      </c>
      <c r="AY1667">
        <f>'19_Расчет_аналитики'!AY1666*'01_Вводные'!$B$131</f>
        <v/>
      </c>
      <c r="AZ1667">
        <f>'19_Расчет_аналитики'!AZ1666*'01_Вводные'!$B$131</f>
        <v/>
      </c>
      <c r="BA1667">
        <f>'19_Расчет_аналитики'!BA1666*'01_Вводные'!$B$131</f>
        <v/>
      </c>
      <c r="BB1667">
        <f>'19_Расчет_аналитики'!BB1666*'01_Вводные'!$B$131</f>
        <v/>
      </c>
      <c r="BC1667">
        <f>'19_Расчет_аналитики'!BC1666*'01_Вводные'!$B$131</f>
        <v/>
      </c>
      <c r="BD1667">
        <f>'19_Расчет_аналитики'!BD1666*'01_Вводные'!$B$131</f>
        <v/>
      </c>
      <c r="BE1667">
        <f>'19_Расчет_аналитики'!BE1666*'01_Вводные'!$B$131</f>
        <v/>
      </c>
      <c r="BF1667">
        <f>'19_Расчет_аналитики'!BF1666*'01_Вводные'!$B$131</f>
        <v/>
      </c>
      <c r="BG1667">
        <f>'19_Расчет_аналитики'!BG1666*'01_Вводные'!$B$131</f>
        <v/>
      </c>
      <c r="BH1667">
        <f>'19_Расчет_аналитики'!BH1666*'01_Вводные'!$B$131</f>
        <v/>
      </c>
      <c r="BI1667">
        <f>'19_Расчет_аналитики'!BI1666*'01_Вводные'!$B$131</f>
        <v/>
      </c>
    </row>
    <row r="1668">
      <c r="C1668">
        <f>IF('19_Расчет_аналитики'!C1350&gt;='01_Вводные'!$B$126,IF('01_Вводные'!$B$129="ИП",'01_Вводные'!$B$127+'19_Расчет_аналитики'!C1361*'01_Вводные'!$B$128,('01_Вводные'!$B$127/'01_Вводные'!$B$132+'19_Расчет_аналитики'!C1361*'01_Вводные'!$B$128)*(1+'01_Вводные'!$B$131)),0)</f>
        <v/>
      </c>
      <c r="D1668">
        <f>IF('19_Расчет_аналитики'!D1350&gt;='01_Вводные'!$B$126,IF('01_Вводные'!$B$129="ИП",'01_Вводные'!$B$127+'19_Расчет_аналитики'!D1361*'01_Вводные'!$B$128,('01_Вводные'!$B$127/'01_Вводные'!$B$132+'19_Расчет_аналитики'!D1361*'01_Вводные'!$B$128)*(1+'01_Вводные'!$B$131)),0)</f>
        <v/>
      </c>
      <c r="E1668">
        <f>IF('19_Расчет_аналитики'!E1350&gt;='01_Вводные'!$B$126,IF('01_Вводные'!$B$129="ИП",'01_Вводные'!$B$127+'19_Расчет_аналитики'!E1361*'01_Вводные'!$B$128,('01_Вводные'!$B$127/'01_Вводные'!$B$132+'19_Расчет_аналитики'!E1361*'01_Вводные'!$B$128)*(1+'01_Вводные'!$B$131)),0)</f>
        <v/>
      </c>
      <c r="F1668">
        <f>IF('19_Расчет_аналитики'!F1350&gt;='01_Вводные'!$B$126,IF('01_Вводные'!$B$129="ИП",'01_Вводные'!$B$127+'19_Расчет_аналитики'!F1361*'01_Вводные'!$B$128,('01_Вводные'!$B$127/'01_Вводные'!$B$132+'19_Расчет_аналитики'!F1361*'01_Вводные'!$B$128)*(1+'01_Вводные'!$B$131)),0)</f>
        <v/>
      </c>
      <c r="G1668">
        <f>IF('19_Расчет_аналитики'!G1350&gt;='01_Вводные'!$B$126,IF('01_Вводные'!$B$129="ИП",'01_Вводные'!$B$127+'19_Расчет_аналитики'!G1361*'01_Вводные'!$B$128,('01_Вводные'!$B$127/'01_Вводные'!$B$132+'19_Расчет_аналитики'!G1361*'01_Вводные'!$B$128)*(1+'01_Вводные'!$B$131)),0)</f>
        <v/>
      </c>
      <c r="H1668">
        <f>IF('19_Расчет_аналитики'!H1350&gt;='01_Вводные'!$B$126,IF('01_Вводные'!$B$129="ИП",'01_Вводные'!$B$127+'19_Расчет_аналитики'!H1361*'01_Вводные'!$B$128,('01_Вводные'!$B$127/'01_Вводные'!$B$132+'19_Расчет_аналитики'!H1361*'01_Вводные'!$B$128)*(1+'01_Вводные'!$B$131)),0)</f>
        <v/>
      </c>
      <c r="I1668">
        <f>IF('19_Расчет_аналитики'!I1350&gt;='01_Вводные'!$B$126,IF('01_Вводные'!$B$129="ИП",'01_Вводные'!$B$127+'19_Расчет_аналитики'!I1361*'01_Вводные'!$B$128,('01_Вводные'!$B$127/'01_Вводные'!$B$132+'19_Расчет_аналитики'!I1361*'01_Вводные'!$B$128)*(1+'01_Вводные'!$B$131)),0)</f>
        <v/>
      </c>
      <c r="J1668">
        <f>IF('19_Расчет_аналитики'!J1350&gt;='01_Вводные'!$B$126,IF('01_Вводные'!$B$129="ИП",'01_Вводные'!$B$127+'19_Расчет_аналитики'!J1361*'01_Вводные'!$B$128,('01_Вводные'!$B$127/'01_Вводные'!$B$132+'19_Расчет_аналитики'!J1361*'01_Вводные'!$B$128)*(1+'01_Вводные'!$B$131)),0)</f>
        <v/>
      </c>
      <c r="K1668">
        <f>IF('19_Расчет_аналитики'!K1350&gt;='01_Вводные'!$B$126,IF('01_Вводные'!$B$129="ИП",'01_Вводные'!$B$127+'19_Расчет_аналитики'!K1361*'01_Вводные'!$B$128,('01_Вводные'!$B$127/'01_Вводные'!$B$132+'19_Расчет_аналитики'!K1361*'01_Вводные'!$B$128)*(1+'01_Вводные'!$B$131)),0)</f>
        <v/>
      </c>
      <c r="L1668">
        <f>IF('19_Расчет_аналитики'!L1350&gt;='01_Вводные'!$B$126,IF('01_Вводные'!$B$129="ИП",'01_Вводные'!$B$127+'19_Расчет_аналитики'!L1361*'01_Вводные'!$B$128,('01_Вводные'!$B$127/'01_Вводные'!$B$132+'19_Расчет_аналитики'!L1361*'01_Вводные'!$B$128)*(1+'01_Вводные'!$B$131)),0)</f>
        <v/>
      </c>
      <c r="M1668">
        <f>IF('19_Расчет_аналитики'!M1350&gt;='01_Вводные'!$B$126,IF('01_Вводные'!$B$129="ИП",'01_Вводные'!$B$127+'19_Расчет_аналитики'!M1361*'01_Вводные'!$B$128,('01_Вводные'!$B$127/'01_Вводные'!$B$132+'19_Расчет_аналитики'!M1361*'01_Вводные'!$B$128)*(1+'01_Вводные'!$B$131)),0)</f>
        <v/>
      </c>
      <c r="N1668">
        <f>IF('19_Расчет_аналитики'!N1350&gt;='01_Вводные'!$B$126,IF('01_Вводные'!$B$129="ИП",'01_Вводные'!$B$127+'19_Расчет_аналитики'!N1361*'01_Вводные'!$B$128,('01_Вводные'!$B$127/'01_Вводные'!$B$132+'19_Расчет_аналитики'!N1361*'01_Вводные'!$B$128)*(1+'01_Вводные'!$B$131)),0)</f>
        <v/>
      </c>
      <c r="O1668">
        <f>IF('19_Расчет_аналитики'!O1350&gt;='01_Вводные'!$B$126,IF('01_Вводные'!$B$129="ИП",'01_Вводные'!$B$127+'19_Расчет_аналитики'!O1361*'01_Вводные'!$B$128,('01_Вводные'!$B$127/'01_Вводные'!$B$132+'19_Расчет_аналитики'!O1361*'01_Вводные'!$B$128)*(1+'01_Вводные'!$B$131)),0)</f>
        <v/>
      </c>
      <c r="P1668">
        <f>IF('19_Расчет_аналитики'!P1350&gt;='01_Вводные'!$B$126,IF('01_Вводные'!$B$129="ИП",'01_Вводные'!$B$127+'19_Расчет_аналитики'!P1361*'01_Вводные'!$B$128,('01_Вводные'!$B$127/'01_Вводные'!$B$132+'19_Расчет_аналитики'!P1361*'01_Вводные'!$B$128)*(1+'01_Вводные'!$B$131)),0)</f>
        <v/>
      </c>
      <c r="Q1668">
        <f>IF('19_Расчет_аналитики'!Q1350&gt;='01_Вводные'!$B$126,IF('01_Вводные'!$B$129="ИП",'01_Вводные'!$B$127+'19_Расчет_аналитики'!Q1361*'01_Вводные'!$B$128,('01_Вводные'!$B$127/'01_Вводные'!$B$132+'19_Расчет_аналитики'!Q1361*'01_Вводные'!$B$128)*(1+'01_Вводные'!$B$131)),0)</f>
        <v/>
      </c>
      <c r="R1668">
        <f>IF('19_Расчет_аналитики'!R1350&gt;='01_Вводные'!$B$126,IF('01_Вводные'!$B$129="ИП",'01_Вводные'!$B$127+'19_Расчет_аналитики'!R1361*'01_Вводные'!$B$128,('01_Вводные'!$B$127/'01_Вводные'!$B$132+'19_Расчет_аналитики'!R1361*'01_Вводные'!$B$128)*(1+'01_Вводные'!$B$131)),0)</f>
        <v/>
      </c>
      <c r="S1668">
        <f>IF('19_Расчет_аналитики'!S1350&gt;='01_Вводные'!$B$126,IF('01_Вводные'!$B$129="ИП",'01_Вводные'!$B$127+'19_Расчет_аналитики'!S1361*'01_Вводные'!$B$128,('01_Вводные'!$B$127/'01_Вводные'!$B$132+'19_Расчет_аналитики'!S1361*'01_Вводные'!$B$128)*(1+'01_Вводные'!$B$131)),0)</f>
        <v/>
      </c>
      <c r="T1668">
        <f>IF('19_Расчет_аналитики'!T1350&gt;='01_Вводные'!$B$126,IF('01_Вводные'!$B$129="ИП",'01_Вводные'!$B$127+'19_Расчет_аналитики'!T1361*'01_Вводные'!$B$128,('01_Вводные'!$B$127/'01_Вводные'!$B$132+'19_Расчет_аналитики'!T1361*'01_Вводные'!$B$128)*(1+'01_Вводные'!$B$131)),0)</f>
        <v/>
      </c>
      <c r="U1668">
        <f>IF('19_Расчет_аналитики'!U1350&gt;='01_Вводные'!$B$126,IF('01_Вводные'!$B$129="ИП",'01_Вводные'!$B$127+'19_Расчет_аналитики'!U1361*'01_Вводные'!$B$128,('01_Вводные'!$B$127/'01_Вводные'!$B$132+'19_Расчет_аналитики'!U1361*'01_Вводные'!$B$128)*(1+'01_Вводные'!$B$131)),0)</f>
        <v/>
      </c>
      <c r="V1668">
        <f>IF('19_Расчет_аналитики'!V1350&gt;='01_Вводные'!$B$126,IF('01_Вводные'!$B$129="ИП",'01_Вводные'!$B$127+'19_Расчет_аналитики'!V1361*'01_Вводные'!$B$128,('01_Вводные'!$B$127/'01_Вводные'!$B$132+'19_Расчет_аналитики'!V1361*'01_Вводные'!$B$128)*(1+'01_Вводные'!$B$131)),0)</f>
        <v/>
      </c>
      <c r="W1668">
        <f>IF('19_Расчет_аналитики'!W1350&gt;='01_Вводные'!$B$126,IF('01_Вводные'!$B$129="ИП",'01_Вводные'!$B$127+'19_Расчет_аналитики'!W1361*'01_Вводные'!$B$128,('01_Вводные'!$B$127/'01_Вводные'!$B$132+'19_Расчет_аналитики'!W1361*'01_Вводные'!$B$128)*(1+'01_Вводные'!$B$131)),0)</f>
        <v/>
      </c>
      <c r="X1668">
        <f>IF('19_Расчет_аналитики'!X1350&gt;='01_Вводные'!$B$126,IF('01_Вводные'!$B$129="ИП",'01_Вводные'!$B$127+'19_Расчет_аналитики'!X1361*'01_Вводные'!$B$128,('01_Вводные'!$B$127/'01_Вводные'!$B$132+'19_Расчет_аналитики'!X1361*'01_Вводные'!$B$128)*(1+'01_Вводные'!$B$131)),0)</f>
        <v/>
      </c>
      <c r="Y1668">
        <f>IF('19_Расчет_аналитики'!Y1350&gt;='01_Вводные'!$B$126,IF('01_Вводные'!$B$129="ИП",'01_Вводные'!$B$127+'19_Расчет_аналитики'!Y1361*'01_Вводные'!$B$128,('01_Вводные'!$B$127/'01_Вводные'!$B$132+'19_Расчет_аналитики'!Y1361*'01_Вводные'!$B$128)*(1+'01_Вводные'!$B$131)),0)</f>
        <v/>
      </c>
      <c r="Z1668">
        <f>IF('19_Расчет_аналитики'!Z1350&gt;='01_Вводные'!$B$126,IF('01_Вводные'!$B$129="ИП",'01_Вводные'!$B$127+'19_Расчет_аналитики'!Z1361*'01_Вводные'!$B$128,('01_Вводные'!$B$127/'01_Вводные'!$B$132+'19_Расчет_аналитики'!Z1361*'01_Вводные'!$B$128)*(1+'01_Вводные'!$B$131)),0)</f>
        <v/>
      </c>
      <c r="AA1668">
        <f>IF('19_Расчет_аналитики'!AA1350&gt;='01_Вводные'!$B$126,IF('01_Вводные'!$B$129="ИП",'01_Вводные'!$B$127+'19_Расчет_аналитики'!AA1361*'01_Вводные'!$B$128,('01_Вводные'!$B$127/'01_Вводные'!$B$132+'19_Расчет_аналитики'!AA1361*'01_Вводные'!$B$128)*(1+'01_Вводные'!$B$131)),0)</f>
        <v/>
      </c>
      <c r="AB1668">
        <f>IF('19_Расчет_аналитики'!AB1350&gt;='01_Вводные'!$B$126,IF('01_Вводные'!$B$129="ИП",'01_Вводные'!$B$127+'19_Расчет_аналитики'!AB1361*'01_Вводные'!$B$128,('01_Вводные'!$B$127/'01_Вводные'!$B$132+'19_Расчет_аналитики'!AB1361*'01_Вводные'!$B$128)*(1+'01_Вводные'!$B$131)),0)</f>
        <v/>
      </c>
      <c r="AC1668">
        <f>IF('19_Расчет_аналитики'!AC1350&gt;='01_Вводные'!$B$126,IF('01_Вводные'!$B$129="ИП",'01_Вводные'!$B$127+'19_Расчет_аналитики'!AC1361*'01_Вводные'!$B$128,('01_Вводные'!$B$127/'01_Вводные'!$B$132+'19_Расчет_аналитики'!AC1361*'01_Вводные'!$B$128)*(1+'01_Вводные'!$B$131)),0)</f>
        <v/>
      </c>
      <c r="AD1668">
        <f>IF('19_Расчет_аналитики'!AD1350&gt;='01_Вводные'!$B$126,IF('01_Вводные'!$B$129="ИП",'01_Вводные'!$B$127+'19_Расчет_аналитики'!AD1361*'01_Вводные'!$B$128,('01_Вводные'!$B$127/'01_Вводные'!$B$132+'19_Расчет_аналитики'!AD1361*'01_Вводные'!$B$128)*(1+'01_Вводные'!$B$131)),0)</f>
        <v/>
      </c>
      <c r="AE1668">
        <f>IF('19_Расчет_аналитики'!AE1350&gt;='01_Вводные'!$B$126,IF('01_Вводные'!$B$129="ИП",'01_Вводные'!$B$127+'19_Расчет_аналитики'!AE1361*'01_Вводные'!$B$128,('01_Вводные'!$B$127/'01_Вводные'!$B$132+'19_Расчет_аналитики'!AE1361*'01_Вводные'!$B$128)*(1+'01_Вводные'!$B$131)),0)</f>
        <v/>
      </c>
      <c r="AF1668">
        <f>IF('19_Расчет_аналитики'!AF1350&gt;='01_Вводные'!$B$126,IF('01_Вводные'!$B$129="ИП",'01_Вводные'!$B$127+'19_Расчет_аналитики'!AF1361*'01_Вводные'!$B$128,('01_Вводные'!$B$127/'01_Вводные'!$B$132+'19_Расчет_аналитики'!AF1361*'01_Вводные'!$B$128)*(1+'01_Вводные'!$B$131)),0)</f>
        <v/>
      </c>
      <c r="AG1668">
        <f>IF('19_Расчет_аналитики'!AG1350&gt;='01_Вводные'!$B$126,IF('01_Вводные'!$B$129="ИП",'01_Вводные'!$B$127+'19_Расчет_аналитики'!AG1361*'01_Вводные'!$B$128,('01_Вводные'!$B$127/'01_Вводные'!$B$132+'19_Расчет_аналитики'!AG1361*'01_Вводные'!$B$128)*(1+'01_Вводные'!$B$131)),0)</f>
        <v/>
      </c>
      <c r="AH1668">
        <f>IF('19_Расчет_аналитики'!AH1350&gt;='01_Вводные'!$B$126,IF('01_Вводные'!$B$129="ИП",'01_Вводные'!$B$127+'19_Расчет_аналитики'!AH1361*'01_Вводные'!$B$128,('01_Вводные'!$B$127/'01_Вводные'!$B$132+'19_Расчет_аналитики'!AH1361*'01_Вводные'!$B$128)*(1+'01_Вводные'!$B$131)),0)</f>
        <v/>
      </c>
      <c r="AI1668">
        <f>IF('19_Расчет_аналитики'!AI1350&gt;='01_Вводные'!$B$126,IF('01_Вводные'!$B$129="ИП",'01_Вводные'!$B$127+'19_Расчет_аналитики'!AI1361*'01_Вводные'!$B$128,('01_Вводные'!$B$127/'01_Вводные'!$B$132+'19_Расчет_аналитики'!AI1361*'01_Вводные'!$B$128)*(1+'01_Вводные'!$B$131)),0)</f>
        <v/>
      </c>
      <c r="AJ1668">
        <f>IF('19_Расчет_аналитики'!AJ1350&gt;='01_Вводные'!$B$126,IF('01_Вводные'!$B$129="ИП",'01_Вводные'!$B$127+'19_Расчет_аналитики'!AJ1361*'01_Вводные'!$B$128,('01_Вводные'!$B$127/'01_Вводные'!$B$132+'19_Расчет_аналитики'!AJ1361*'01_Вводные'!$B$128)*(1+'01_Вводные'!$B$131)),0)</f>
        <v/>
      </c>
      <c r="AK1668">
        <f>IF('19_Расчет_аналитики'!AK1350&gt;='01_Вводные'!$B$126,IF('01_Вводные'!$B$129="ИП",'01_Вводные'!$B$127+'19_Расчет_аналитики'!AK1361*'01_Вводные'!$B$128,('01_Вводные'!$B$127/'01_Вводные'!$B$132+'19_Расчет_аналитики'!AK1361*'01_Вводные'!$B$128)*(1+'01_Вводные'!$B$131)),0)</f>
        <v/>
      </c>
      <c r="AL1668">
        <f>IF('19_Расчет_аналитики'!AL1350&gt;='01_Вводные'!$B$126,IF('01_Вводные'!$B$129="ИП",'01_Вводные'!$B$127+'19_Расчет_аналитики'!AL1361*'01_Вводные'!$B$128,('01_Вводные'!$B$127/'01_Вводные'!$B$132+'19_Расчет_аналитики'!AL1361*'01_Вводные'!$B$128)*(1+'01_Вводные'!$B$131)),0)</f>
        <v/>
      </c>
      <c r="AM1668">
        <f>IF('19_Расчет_аналитики'!AM1350&gt;='01_Вводные'!$B$126,IF('01_Вводные'!$B$129="ИП",'01_Вводные'!$B$127+'19_Расчет_аналитики'!AM1361*'01_Вводные'!$B$128,('01_Вводные'!$B$127/'01_Вводные'!$B$132+'19_Расчет_аналитики'!AM1361*'01_Вводные'!$B$128)*(1+'01_Вводные'!$B$131)),0)</f>
        <v/>
      </c>
      <c r="AN1668">
        <f>IF('19_Расчет_аналитики'!AN1350&gt;='01_Вводные'!$B$126,IF('01_Вводные'!$B$129="ИП",'01_Вводные'!$B$127+'19_Расчет_аналитики'!AN1361*'01_Вводные'!$B$128,('01_Вводные'!$B$127/'01_Вводные'!$B$132+'19_Расчет_аналитики'!AN1361*'01_Вводные'!$B$128)*(1+'01_Вводные'!$B$131)),0)</f>
        <v/>
      </c>
      <c r="AO1668">
        <f>IF('19_Расчет_аналитики'!AO1350&gt;='01_Вводные'!$B$126,IF('01_Вводные'!$B$129="ИП",'01_Вводные'!$B$127+'19_Расчет_аналитики'!AO1361*'01_Вводные'!$B$128,('01_Вводные'!$B$127/'01_Вводные'!$B$132+'19_Расчет_аналитики'!AO1361*'01_Вводные'!$B$128)*(1+'01_Вводные'!$B$131)),0)</f>
        <v/>
      </c>
      <c r="AP1668">
        <f>IF('19_Расчет_аналитики'!AP1350&gt;='01_Вводные'!$B$126,IF('01_Вводные'!$B$129="ИП",'01_Вводные'!$B$127+'19_Расчет_аналитики'!AP1361*'01_Вводные'!$B$128,('01_Вводные'!$B$127/'01_Вводные'!$B$132+'19_Расчет_аналитики'!AP1361*'01_Вводные'!$B$128)*(1+'01_Вводные'!$B$131)),0)</f>
        <v/>
      </c>
      <c r="AQ1668">
        <f>IF('19_Расчет_аналитики'!AQ1350&gt;='01_Вводные'!$B$126,IF('01_Вводные'!$B$129="ИП",'01_Вводные'!$B$127+'19_Расчет_аналитики'!AQ1361*'01_Вводные'!$B$128,('01_Вводные'!$B$127/'01_Вводные'!$B$132+'19_Расчет_аналитики'!AQ1361*'01_Вводные'!$B$128)*(1+'01_Вводные'!$B$131)),0)</f>
        <v/>
      </c>
      <c r="AR1668">
        <f>IF('19_Расчет_аналитики'!AR1350&gt;='01_Вводные'!$B$126,IF('01_Вводные'!$B$129="ИП",'01_Вводные'!$B$127+'19_Расчет_аналитики'!AR1361*'01_Вводные'!$B$128,('01_Вводные'!$B$127/'01_Вводные'!$B$132+'19_Расчет_аналитики'!AR1361*'01_Вводные'!$B$128)*(1+'01_Вводные'!$B$131)),0)</f>
        <v/>
      </c>
      <c r="AS1668">
        <f>IF('19_Расчет_аналитики'!AS1350&gt;='01_Вводные'!$B$126,IF('01_Вводные'!$B$129="ИП",'01_Вводные'!$B$127+'19_Расчет_аналитики'!AS1361*'01_Вводные'!$B$128,('01_Вводные'!$B$127/'01_Вводные'!$B$132+'19_Расчет_аналитики'!AS1361*'01_Вводные'!$B$128)*(1+'01_Вводные'!$B$131)),0)</f>
        <v/>
      </c>
      <c r="AT1668">
        <f>IF('19_Расчет_аналитики'!AT1350&gt;='01_Вводные'!$B$126,IF('01_Вводные'!$B$129="ИП",'01_Вводные'!$B$127+'19_Расчет_аналитики'!AT1361*'01_Вводные'!$B$128,('01_Вводные'!$B$127/'01_Вводные'!$B$132+'19_Расчет_аналитики'!AT1361*'01_Вводные'!$B$128)*(1+'01_Вводные'!$B$131)),0)</f>
        <v/>
      </c>
      <c r="AU1668">
        <f>IF('19_Расчет_аналитики'!AU1350&gt;='01_Вводные'!$B$126,IF('01_Вводные'!$B$129="ИП",'01_Вводные'!$B$127+'19_Расчет_аналитики'!AU1361*'01_Вводные'!$B$128,('01_Вводные'!$B$127/'01_Вводные'!$B$132+'19_Расчет_аналитики'!AU1361*'01_Вводные'!$B$128)*(1+'01_Вводные'!$B$131)),0)</f>
        <v/>
      </c>
      <c r="AV1668">
        <f>IF('19_Расчет_аналитики'!AV1350&gt;='01_Вводные'!$B$126,IF('01_Вводные'!$B$129="ИП",'01_Вводные'!$B$127+'19_Расчет_аналитики'!AV1361*'01_Вводные'!$B$128,('01_Вводные'!$B$127/'01_Вводные'!$B$132+'19_Расчет_аналитики'!AV1361*'01_Вводные'!$B$128)*(1+'01_Вводные'!$B$131)),0)</f>
        <v/>
      </c>
      <c r="AW1668">
        <f>IF('19_Расчет_аналитики'!AW1350&gt;='01_Вводные'!$B$126,IF('01_Вводные'!$B$129="ИП",'01_Вводные'!$B$127+'19_Расчет_аналитики'!AW1361*'01_Вводные'!$B$128,('01_Вводные'!$B$127/'01_Вводные'!$B$132+'19_Расчет_аналитики'!AW1361*'01_Вводные'!$B$128)*(1+'01_Вводные'!$B$131)),0)</f>
        <v/>
      </c>
      <c r="AX1668">
        <f>IF('19_Расчет_аналитики'!AX1350&gt;='01_Вводные'!$B$126,IF('01_Вводные'!$B$129="ИП",'01_Вводные'!$B$127+'19_Расчет_аналитики'!AX1361*'01_Вводные'!$B$128,('01_Вводные'!$B$127/'01_Вводные'!$B$132+'19_Расчет_аналитики'!AX1361*'01_Вводные'!$B$128)*(1+'01_Вводные'!$B$131)),0)</f>
        <v/>
      </c>
      <c r="AY1668">
        <f>IF('19_Расчет_аналитики'!AY1350&gt;='01_Вводные'!$B$126,IF('01_Вводные'!$B$129="ИП",'01_Вводные'!$B$127+'19_Расчет_аналитики'!AY1361*'01_Вводные'!$B$128,('01_Вводные'!$B$127/'01_Вводные'!$B$132+'19_Расчет_аналитики'!AY1361*'01_Вводные'!$B$128)*(1+'01_Вводные'!$B$131)),0)</f>
        <v/>
      </c>
      <c r="AZ1668">
        <f>IF('19_Расчет_аналитики'!AZ1350&gt;='01_Вводные'!$B$126,IF('01_Вводные'!$B$129="ИП",'01_Вводные'!$B$127+'19_Расчет_аналитики'!AZ1361*'01_Вводные'!$B$128,('01_Вводные'!$B$127/'01_Вводные'!$B$132+'19_Расчет_аналитики'!AZ1361*'01_Вводные'!$B$128)*(1+'01_Вводные'!$B$131)),0)</f>
        <v/>
      </c>
      <c r="BA1668">
        <f>IF('19_Расчет_аналитики'!BA1350&gt;='01_Вводные'!$B$126,IF('01_Вводные'!$B$129="ИП",'01_Вводные'!$B$127+'19_Расчет_аналитики'!BA1361*'01_Вводные'!$B$128,('01_Вводные'!$B$127/'01_Вводные'!$B$132+'19_Расчет_аналитики'!BA1361*'01_Вводные'!$B$128)*(1+'01_Вводные'!$B$131)),0)</f>
        <v/>
      </c>
      <c r="BB1668">
        <f>IF('19_Расчет_аналитики'!BB1350&gt;='01_Вводные'!$B$126,IF('01_Вводные'!$B$129="ИП",'01_Вводные'!$B$127+'19_Расчет_аналитики'!BB1361*'01_Вводные'!$B$128,('01_Вводные'!$B$127/'01_Вводные'!$B$132+'19_Расчет_аналитики'!BB1361*'01_Вводные'!$B$128)*(1+'01_Вводные'!$B$131)),0)</f>
        <v/>
      </c>
      <c r="BC1668">
        <f>IF('19_Расчет_аналитики'!BC1350&gt;='01_Вводные'!$B$126,IF('01_Вводные'!$B$129="ИП",'01_Вводные'!$B$127+'19_Расчет_аналитики'!BC1361*'01_Вводные'!$B$128,('01_Вводные'!$B$127/'01_Вводные'!$B$132+'19_Расчет_аналитики'!BC1361*'01_Вводные'!$B$128)*(1+'01_Вводные'!$B$131)),0)</f>
        <v/>
      </c>
      <c r="BD1668">
        <f>IF('19_Расчет_аналитики'!BD1350&gt;='01_Вводные'!$B$126,IF('01_Вводные'!$B$129="ИП",'01_Вводные'!$B$127+'19_Расчет_аналитики'!BD1361*'01_Вводные'!$B$128,('01_Вводные'!$B$127/'01_Вводные'!$B$132+'19_Расчет_аналитики'!BD1361*'01_Вводные'!$B$128)*(1+'01_Вводные'!$B$131)),0)</f>
        <v/>
      </c>
      <c r="BE1668">
        <f>IF('19_Расчет_аналитики'!BE1350&gt;='01_Вводные'!$B$126,IF('01_Вводные'!$B$129="ИП",'01_Вводные'!$B$127+'19_Расчет_аналитики'!BE1361*'01_Вводные'!$B$128,('01_Вводные'!$B$127/'01_Вводные'!$B$132+'19_Расчет_аналитики'!BE1361*'01_Вводные'!$B$128)*(1+'01_Вводные'!$B$131)),0)</f>
        <v/>
      </c>
      <c r="BF1668">
        <f>IF('19_Расчет_аналитики'!BF1350&gt;='01_Вводные'!$B$126,IF('01_Вводные'!$B$129="ИП",'01_Вводные'!$B$127+'19_Расчет_аналитики'!BF1361*'01_Вводные'!$B$128,('01_Вводные'!$B$127/'01_Вводные'!$B$132+'19_Расчет_аналитики'!BF1361*'01_Вводные'!$B$128)*(1+'01_Вводные'!$B$131)),0)</f>
        <v/>
      </c>
      <c r="BG1668">
        <f>IF('19_Расчет_аналитики'!BG1350&gt;='01_Вводные'!$B$126,IF('01_Вводные'!$B$129="ИП",'01_Вводные'!$B$127+'19_Расчет_аналитики'!BG1361*'01_Вводные'!$B$128,('01_Вводные'!$B$127/'01_Вводные'!$B$132+'19_Расчет_аналитики'!BG1361*'01_Вводные'!$B$128)*(1+'01_Вводные'!$B$131)),0)</f>
        <v/>
      </c>
      <c r="BH1668">
        <f>IF('19_Расчет_аналитики'!BH1350&gt;='01_Вводные'!$B$126,IF('01_Вводные'!$B$129="ИП",'01_Вводные'!$B$127+'19_Расчет_аналитики'!BH1361*'01_Вводные'!$B$128,('01_Вводные'!$B$127/'01_Вводные'!$B$132+'19_Расчет_аналитики'!BH1361*'01_Вводные'!$B$128)*(1+'01_Вводные'!$B$131)),0)</f>
        <v/>
      </c>
      <c r="BI1668">
        <f>IF('19_Расчет_аналитики'!BI1350&gt;='01_Вводные'!$B$126,IF('01_Вводные'!$B$129="ИП",'01_Вводные'!$B$127+'19_Расчет_аналитики'!BI1361*'01_Вводные'!$B$128,('01_Вводные'!$B$127/'01_Вводные'!$B$132+'19_Расчет_аналитики'!BI1361*'01_Вводные'!$B$128)*(1+'01_Вводные'!$B$131)),0)</f>
        <v/>
      </c>
    </row>
    <row r="1669"/>
    <row r="1670"/>
    <row r="1671"/>
    <row r="1672"/>
    <row r="1673">
      <c r="C1673">
        <f>(MAX(0,'19_Расчет_аналитики'!C1659-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</f>
        <v/>
      </c>
      <c r="D1673">
        <f>(MAX(0,'19_Расчет_аналитики'!D1659-'19_Расчет_аналитики'!C1659)*'01_Вводные'!$B$119*'08_ФОТ'!D5+IF('08_ФОТ'!D$3='01_Вводные'!$B$247,'01_Вводные'!$B$133/'01_Вводные'!$B$132,0)+IF('08_ФОТ'!D$3='01_Вводные'!$B$248,'01_Вводные'!$B$134/'01_Вводные'!$B$132,0))*'01_Вводные'!$B$120</f>
        <v/>
      </c>
      <c r="E1673">
        <f>(MAX(0,'19_Расчет_аналитики'!E1659-'19_Расчет_аналитики'!D1659)*'01_Вводные'!$B$119*'08_ФОТ'!E5+IF('08_ФОТ'!E$3='01_Вводные'!$B$247,'01_Вводные'!$B$133/'01_Вводные'!$B$132,0)+IF('08_ФОТ'!E$3='01_Вводные'!$B$248,'01_Вводные'!$B$134/'01_Вводные'!$B$132,0))*'01_Вводные'!$B$120</f>
        <v/>
      </c>
      <c r="F1673">
        <f>(MAX(0,'19_Расчет_аналитики'!F1659-'19_Расчет_аналитики'!E1659)*'01_Вводные'!$B$119*'08_ФОТ'!F5+IF('08_ФОТ'!F$3='01_Вводные'!$B$247,'01_Вводные'!$B$133/'01_Вводные'!$B$132,0)+IF('08_ФОТ'!F$3='01_Вводные'!$B$248,'01_Вводные'!$B$134/'01_Вводные'!$B$132,0))*'01_Вводные'!$B$120</f>
        <v/>
      </c>
      <c r="G1673">
        <f>(MAX(0,'19_Расчет_аналитики'!G1659-'19_Расчет_аналитики'!F1659)*'01_Вводные'!$B$119*'08_ФОТ'!G5+IF('08_ФОТ'!G$3='01_Вводные'!$B$247,'01_Вводные'!$B$133/'01_Вводные'!$B$132,0)+IF('08_ФОТ'!G$3='01_Вводные'!$B$248,'01_Вводные'!$B$134/'01_Вводные'!$B$132,0))*'01_Вводные'!$B$120</f>
        <v/>
      </c>
      <c r="H1673">
        <f>(MAX(0,'19_Расчет_аналитики'!H1659-'19_Расчет_аналитики'!G1659)*'01_Вводные'!$B$119*'08_ФОТ'!H5+IF('08_ФОТ'!H$3='01_Вводные'!$B$247,'01_Вводные'!$B$133/'01_Вводные'!$B$132,0)+IF('08_ФОТ'!H$3='01_Вводные'!$B$248,'01_Вводные'!$B$134/'01_Вводные'!$B$132,0))*'01_Вводные'!$B$120</f>
        <v/>
      </c>
      <c r="I1673">
        <f>(MAX(0,'19_Расчет_аналитики'!I1659-'19_Расчет_аналитики'!H1659)*'01_Вводные'!$B$119*'08_ФОТ'!I5+IF('08_ФОТ'!I$3='01_Вводные'!$B$247,'01_Вводные'!$B$133/'01_Вводные'!$B$132,0)+IF('08_ФОТ'!I$3='01_Вводные'!$B$248,'01_Вводные'!$B$134/'01_Вводные'!$B$132,0))*'01_Вводные'!$B$120</f>
        <v/>
      </c>
      <c r="J1673">
        <f>(MAX(0,'19_Расчет_аналитики'!J1659-'19_Расчет_аналитики'!I1659)*'01_Вводные'!$B$119*'08_ФОТ'!J5+IF('08_ФОТ'!J$3='01_Вводные'!$B$247,'01_Вводные'!$B$133/'01_Вводные'!$B$132,0)+IF('08_ФОТ'!J$3='01_Вводные'!$B$248,'01_Вводные'!$B$134/'01_Вводные'!$B$132,0))*'01_Вводные'!$B$120</f>
        <v/>
      </c>
      <c r="K1673">
        <f>(MAX(0,'19_Расчет_аналитики'!K1659-'19_Расчет_аналитики'!J1659)*'01_Вводные'!$B$119*'08_ФОТ'!K5+IF('08_ФОТ'!K$3='01_Вводные'!$B$247,'01_Вводные'!$B$133/'01_Вводные'!$B$132,0)+IF('08_ФОТ'!K$3='01_Вводные'!$B$248,'01_Вводные'!$B$134/'01_Вводные'!$B$132,0))*'01_Вводные'!$B$120</f>
        <v/>
      </c>
      <c r="L1673">
        <f>(MAX(0,'19_Расчет_аналитики'!L1659-'19_Расчет_аналитики'!K1659)*'01_Вводные'!$B$119*'08_ФОТ'!L5+IF('08_ФОТ'!L$3='01_Вводные'!$B$247,'01_Вводные'!$B$133/'01_Вводные'!$B$132,0)+IF('08_ФОТ'!L$3='01_Вводные'!$B$248,'01_Вводные'!$B$134/'01_Вводные'!$B$132,0))*'01_Вводные'!$B$120</f>
        <v/>
      </c>
      <c r="M1673">
        <f>(MAX(0,'19_Расчет_аналитики'!M1659-'19_Расчет_аналитики'!L1659)*'01_Вводные'!$B$119*'08_ФОТ'!M5+IF('08_ФОТ'!M$3='01_Вводные'!$B$247,'01_Вводные'!$B$133/'01_Вводные'!$B$132,0)+IF('08_ФОТ'!M$3='01_Вводные'!$B$248,'01_Вводные'!$B$134/'01_Вводные'!$B$132,0))*'01_Вводные'!$B$120</f>
        <v/>
      </c>
      <c r="N1673">
        <f>(MAX(0,'19_Расчет_аналитики'!N1659-'19_Расчет_аналитики'!M1659)*'01_Вводные'!$B$119*'08_ФОТ'!N5+IF('08_ФОТ'!N$3='01_Вводные'!$B$247,'01_Вводные'!$B$133/'01_Вводные'!$B$132,0)+IF('08_ФОТ'!N$3='01_Вводные'!$B$248,'01_Вводные'!$B$134/'01_Вводные'!$B$132,0))*'01_Вводные'!$B$120</f>
        <v/>
      </c>
      <c r="O1673">
        <f>(MAX(0,'19_Расчет_аналитики'!O1659-'19_Расчет_аналитики'!N1659)*'01_Вводные'!$B$119*'08_ФОТ'!O5+IF('08_ФОТ'!O$3='01_Вводные'!$B$247,'01_Вводные'!$B$133/'01_Вводные'!$B$132,0)+IF('08_ФОТ'!O$3='01_Вводные'!$B$248,'01_Вводные'!$B$134/'01_Вводные'!$B$132,0))*'01_Вводные'!$B$120</f>
        <v/>
      </c>
      <c r="P1673">
        <f>(MAX(0,'19_Расчет_аналитики'!P1659-'19_Расчет_аналитики'!O1659)*'01_Вводные'!$B$119*'08_ФОТ'!P5+IF('08_ФОТ'!P$3='01_Вводные'!$B$247,'01_Вводные'!$B$133/'01_Вводные'!$B$132,0)+IF('08_ФОТ'!P$3='01_Вводные'!$B$248,'01_Вводные'!$B$134/'01_Вводные'!$B$132,0))*'01_Вводные'!$B$120</f>
        <v/>
      </c>
      <c r="Q1673">
        <f>(MAX(0,'19_Расчет_аналитики'!Q1659-'19_Расчет_аналитики'!P1659)*'01_Вводные'!$B$119*'08_ФОТ'!Q5+IF('08_ФОТ'!Q$3='01_Вводные'!$B$247,'01_Вводные'!$B$133/'01_Вводные'!$B$132,0)+IF('08_ФОТ'!Q$3='01_Вводные'!$B$248,'01_Вводные'!$B$134/'01_Вводные'!$B$132,0))*'01_Вводные'!$B$120</f>
        <v/>
      </c>
      <c r="R1673">
        <f>(MAX(0,'19_Расчет_аналитики'!R1659-'19_Расчет_аналитики'!Q1659)*'01_Вводные'!$B$119*'08_ФОТ'!R5+IF('08_ФОТ'!R$3='01_Вводные'!$B$247,'01_Вводные'!$B$133/'01_Вводные'!$B$132,0)+IF('08_ФОТ'!R$3='01_Вводные'!$B$248,'01_Вводные'!$B$134/'01_Вводные'!$B$132,0))*'01_Вводные'!$B$120</f>
        <v/>
      </c>
      <c r="S1673">
        <f>(MAX(0,'19_Расчет_аналитики'!S1659-'19_Расчет_аналитики'!R1659)*'01_Вводные'!$B$119*'08_ФОТ'!S5+IF('08_ФОТ'!S$3='01_Вводные'!$B$247,'01_Вводные'!$B$133/'01_Вводные'!$B$132,0)+IF('08_ФОТ'!S$3='01_Вводные'!$B$248,'01_Вводные'!$B$134/'01_Вводные'!$B$132,0))*'01_Вводные'!$B$120</f>
        <v/>
      </c>
      <c r="T1673">
        <f>(MAX(0,'19_Расчет_аналитики'!T1659-'19_Расчет_аналитики'!S1659)*'01_Вводные'!$B$119*'08_ФОТ'!T5+IF('08_ФОТ'!T$3='01_Вводные'!$B$247,'01_Вводные'!$B$133/'01_Вводные'!$B$132,0)+IF('08_ФОТ'!T$3='01_Вводные'!$B$248,'01_Вводные'!$B$134/'01_Вводные'!$B$132,0))*'01_Вводные'!$B$120</f>
        <v/>
      </c>
      <c r="U1673">
        <f>(MAX(0,'19_Расчет_аналитики'!U1659-'19_Расчет_аналитики'!T1659)*'01_Вводные'!$B$119*'08_ФОТ'!U5+IF('08_ФОТ'!U$3='01_Вводные'!$B$247,'01_Вводные'!$B$133/'01_Вводные'!$B$132,0)+IF('08_ФОТ'!U$3='01_Вводные'!$B$248,'01_Вводные'!$B$134/'01_Вводные'!$B$132,0))*'01_Вводные'!$B$120</f>
        <v/>
      </c>
      <c r="V1673">
        <f>(MAX(0,'19_Расчет_аналитики'!V1659-'19_Расчет_аналитики'!U1659)*'01_Вводные'!$B$119*'08_ФОТ'!V5+IF('08_ФОТ'!V$3='01_Вводные'!$B$247,'01_Вводные'!$B$133/'01_Вводные'!$B$132,0)+IF('08_ФОТ'!V$3='01_Вводные'!$B$248,'01_Вводные'!$B$134/'01_Вводные'!$B$132,0))*'01_Вводные'!$B$120</f>
        <v/>
      </c>
      <c r="W1673">
        <f>(MAX(0,'19_Расчет_аналитики'!W1659-'19_Расчет_аналитики'!V1659)*'01_Вводные'!$B$119*'08_ФОТ'!W5+IF('08_ФОТ'!W$3='01_Вводные'!$B$247,'01_Вводные'!$B$133/'01_Вводные'!$B$132,0)+IF('08_ФОТ'!W$3='01_Вводные'!$B$248,'01_Вводные'!$B$134/'01_Вводные'!$B$132,0))*'01_Вводные'!$B$120</f>
        <v/>
      </c>
      <c r="X1673">
        <f>(MAX(0,'19_Расчет_аналитики'!X1659-'19_Расчет_аналитики'!W1659)*'01_Вводные'!$B$119*'08_ФОТ'!X5+IF('08_ФОТ'!X$3='01_Вводные'!$B$247,'01_Вводные'!$B$133/'01_Вводные'!$B$132,0)+IF('08_ФОТ'!X$3='01_Вводные'!$B$248,'01_Вводные'!$B$134/'01_Вводные'!$B$132,0))*'01_Вводные'!$B$120</f>
        <v/>
      </c>
      <c r="Y1673">
        <f>(MAX(0,'19_Расчет_аналитики'!Y1659-'19_Расчет_аналитики'!X1659)*'01_Вводные'!$B$119*'08_ФОТ'!Y5+IF('08_ФОТ'!Y$3='01_Вводные'!$B$247,'01_Вводные'!$B$133/'01_Вводные'!$B$132,0)+IF('08_ФОТ'!Y$3='01_Вводные'!$B$248,'01_Вводные'!$B$134/'01_Вводные'!$B$132,0))*'01_Вводные'!$B$120</f>
        <v/>
      </c>
      <c r="Z1673">
        <f>(MAX(0,'19_Расчет_аналитики'!Z1659-'19_Расчет_аналитики'!Y1659)*'01_Вводные'!$B$119*'08_ФОТ'!Z5+IF('08_ФОТ'!Z$3='01_Вводные'!$B$247,'01_Вводные'!$B$133/'01_Вводные'!$B$132,0)+IF('08_ФОТ'!Z$3='01_Вводные'!$B$248,'01_Вводные'!$B$134/'01_Вводные'!$B$132,0))*'01_Вводные'!$B$120</f>
        <v/>
      </c>
      <c r="AA1673">
        <f>(MAX(0,'19_Расчет_аналитики'!AA1659-'19_Расчет_аналитики'!Z1659)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</f>
        <v/>
      </c>
      <c r="AB1673">
        <f>(MAX(0,'19_Расчет_аналитики'!AB1659-'19_Расчет_аналитики'!AA1659)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</f>
        <v/>
      </c>
      <c r="AC1673">
        <f>(MAX(0,'19_Расчет_аналитики'!AC1659-'19_Расчет_аналитики'!AB1659)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</f>
        <v/>
      </c>
      <c r="AD1673">
        <f>(MAX(0,'19_Расчет_аналитики'!AD1659-'19_Расчет_аналитики'!AC1659)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</f>
        <v/>
      </c>
      <c r="AE1673">
        <f>(MAX(0,'19_Расчет_аналитики'!AE1659-'19_Расчет_аналитики'!AD1659)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</f>
        <v/>
      </c>
      <c r="AF1673">
        <f>(MAX(0,'19_Расчет_аналитики'!AF1659-'19_Расчет_аналитики'!AE1659)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</f>
        <v/>
      </c>
      <c r="AG1673">
        <f>(MAX(0,'19_Расчет_аналитики'!AG1659-'19_Расчет_аналитики'!AF1659)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</f>
        <v/>
      </c>
      <c r="AH1673">
        <f>(MAX(0,'19_Расчет_аналитики'!AH1659-'19_Расчет_аналитики'!AG1659)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</f>
        <v/>
      </c>
      <c r="AI1673">
        <f>(MAX(0,'19_Расчет_аналитики'!AI1659-'19_Расчет_аналитики'!AH1659)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</f>
        <v/>
      </c>
      <c r="AJ1673">
        <f>(MAX(0,'19_Расчет_аналитики'!AJ1659-'19_Расчет_аналитики'!AI1659)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</f>
        <v/>
      </c>
      <c r="AK1673">
        <f>(MAX(0,'19_Расчет_аналитики'!AK1659-'19_Расчет_аналитики'!AJ1659)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</f>
        <v/>
      </c>
      <c r="AL1673">
        <f>(MAX(0,'19_Расчет_аналитики'!AL1659-'19_Расчет_аналитики'!AK1659)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</f>
        <v/>
      </c>
      <c r="AM1673">
        <f>(MAX(0,'19_Расчет_аналитики'!AM1659-'19_Расчет_аналитики'!AL1659)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</f>
        <v/>
      </c>
      <c r="AN1673">
        <f>(MAX(0,'19_Расчет_аналитики'!AN1659-'19_Расчет_аналитики'!AM1659)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</f>
        <v/>
      </c>
      <c r="AO1673">
        <f>(MAX(0,'19_Расчет_аналитики'!AO1659-'19_Расчет_аналитики'!AN1659)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</f>
        <v/>
      </c>
      <c r="AP1673">
        <f>(MAX(0,'19_Расчет_аналитики'!AP1659-'19_Расчет_аналитики'!AO1659)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</f>
        <v/>
      </c>
      <c r="AQ1673">
        <f>(MAX(0,'19_Расчет_аналитики'!AQ1659-'19_Расчет_аналитики'!AP1659)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</f>
        <v/>
      </c>
      <c r="AR1673">
        <f>(MAX(0,'19_Расчет_аналитики'!AR1659-'19_Расчет_аналитики'!AQ1659)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</f>
        <v/>
      </c>
      <c r="AS1673">
        <f>(MAX(0,'19_Расчет_аналитики'!AS1659-'19_Расчет_аналитики'!AR1659)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</f>
        <v/>
      </c>
      <c r="AT1673">
        <f>(MAX(0,'19_Расчет_аналитики'!AT1659-'19_Расчет_аналитики'!AS1659)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</f>
        <v/>
      </c>
      <c r="AU1673">
        <f>(MAX(0,'19_Расчет_аналитики'!AU1659-'19_Расчет_аналитики'!AT1659)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</f>
        <v/>
      </c>
      <c r="AV1673">
        <f>(MAX(0,'19_Расчет_аналитики'!AV1659-'19_Расчет_аналитики'!AU1659)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</f>
        <v/>
      </c>
      <c r="AW1673">
        <f>(MAX(0,'19_Расчет_аналитики'!AW1659-'19_Расчет_аналитики'!AV1659)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</f>
        <v/>
      </c>
      <c r="AX1673">
        <f>(MAX(0,'19_Расчет_аналитики'!AX1659-'19_Расчет_аналитики'!AW1659)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</f>
        <v/>
      </c>
      <c r="AY1673">
        <f>(MAX(0,'19_Расчет_аналитики'!AY1659-'19_Расчет_аналитики'!AX1659)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</f>
        <v/>
      </c>
      <c r="AZ1673">
        <f>(MAX(0,'19_Расчет_аналитики'!AZ1659-'19_Расчет_аналитики'!AY1659)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</f>
        <v/>
      </c>
      <c r="BA1673">
        <f>(MAX(0,'19_Расчет_аналитики'!BA1659-'19_Расчет_аналитики'!AZ1659)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</f>
        <v/>
      </c>
      <c r="BB1673">
        <f>(MAX(0,'19_Расчет_аналитики'!BB1659-'19_Расчет_аналитики'!BA1659)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</f>
        <v/>
      </c>
      <c r="BC1673">
        <f>(MAX(0,'19_Расчет_аналитики'!BC1659-'19_Расчет_аналитики'!BB1659)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</f>
        <v/>
      </c>
      <c r="BD1673">
        <f>(MAX(0,'19_Расчет_аналитики'!BD1659-'19_Расчет_аналитики'!BC1659)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</f>
        <v/>
      </c>
      <c r="BE1673">
        <f>(MAX(0,'19_Расчет_аналитики'!BE1659-'19_Расчет_аналитики'!BD1659)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</f>
        <v/>
      </c>
      <c r="BF1673">
        <f>(MAX(0,'19_Расчет_аналитики'!BF1659-'19_Расчет_аналитики'!BE1659)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</f>
        <v/>
      </c>
      <c r="BG1673">
        <f>(MAX(0,'19_Расчет_аналитики'!BG1659-'19_Расчет_аналитики'!BF1659)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</f>
        <v/>
      </c>
      <c r="BH1673">
        <f>(MAX(0,'19_Расчет_аналитики'!BH1659-'19_Расчет_аналитики'!BG1659)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</f>
        <v/>
      </c>
      <c r="BI1673">
        <f>(MAX(0,'19_Расчет_аналитики'!BI1659-'19_Расчет_аналитики'!BH1659)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</f>
        <v/>
      </c>
    </row>
    <row r="1674">
      <c r="C1674">
        <f>'08_ФОТ'!C25</f>
        <v/>
      </c>
      <c r="D1674">
        <f>'08_ФОТ'!D25</f>
        <v/>
      </c>
      <c r="E1674">
        <f>'08_ФОТ'!E25</f>
        <v/>
      </c>
      <c r="F1674">
        <f>'08_ФОТ'!F25</f>
        <v/>
      </c>
      <c r="G1674">
        <f>'08_ФОТ'!G25</f>
        <v/>
      </c>
      <c r="H1674">
        <f>'08_ФОТ'!H25</f>
        <v/>
      </c>
      <c r="I1674">
        <f>'08_ФОТ'!I25</f>
        <v/>
      </c>
      <c r="J1674">
        <f>'08_ФОТ'!J25</f>
        <v/>
      </c>
      <c r="K1674">
        <f>'08_ФОТ'!K25</f>
        <v/>
      </c>
      <c r="L1674">
        <f>'08_ФОТ'!L25</f>
        <v/>
      </c>
      <c r="M1674">
        <f>'08_ФОТ'!M25</f>
        <v/>
      </c>
      <c r="N1674">
        <f>'08_ФОТ'!N25</f>
        <v/>
      </c>
      <c r="O1674">
        <f>'08_ФОТ'!O25</f>
        <v/>
      </c>
      <c r="P1674">
        <f>'08_ФОТ'!P25</f>
        <v/>
      </c>
      <c r="Q1674">
        <f>'08_ФОТ'!Q25</f>
        <v/>
      </c>
      <c r="R1674">
        <f>'08_ФОТ'!R25</f>
        <v/>
      </c>
      <c r="S1674">
        <f>'08_ФОТ'!S25</f>
        <v/>
      </c>
      <c r="T1674">
        <f>'08_ФОТ'!T25</f>
        <v/>
      </c>
      <c r="U1674">
        <f>'08_ФОТ'!U25</f>
        <v/>
      </c>
      <c r="V1674">
        <f>'08_ФОТ'!V25</f>
        <v/>
      </c>
      <c r="W1674">
        <f>'08_ФОТ'!W25</f>
        <v/>
      </c>
      <c r="X1674">
        <f>'08_ФОТ'!X25</f>
        <v/>
      </c>
      <c r="Y1674">
        <f>'08_ФОТ'!Y25</f>
        <v/>
      </c>
      <c r="Z1674">
        <f>'08_ФОТ'!Z25</f>
        <v/>
      </c>
      <c r="AA1674">
        <f>'08_ФОТ'!AA25</f>
        <v/>
      </c>
      <c r="AB1674">
        <f>'08_ФОТ'!AB25</f>
        <v/>
      </c>
      <c r="AC1674">
        <f>'08_ФОТ'!AC25</f>
        <v/>
      </c>
      <c r="AD1674">
        <f>'08_ФОТ'!AD25</f>
        <v/>
      </c>
      <c r="AE1674">
        <f>'08_ФОТ'!AE25</f>
        <v/>
      </c>
      <c r="AF1674">
        <f>'08_ФОТ'!AF25</f>
        <v/>
      </c>
      <c r="AG1674">
        <f>'08_ФОТ'!AG25</f>
        <v/>
      </c>
      <c r="AH1674">
        <f>'08_ФОТ'!AH25</f>
        <v/>
      </c>
      <c r="AI1674">
        <f>'08_ФОТ'!AI25</f>
        <v/>
      </c>
      <c r="AJ1674">
        <f>'08_ФОТ'!AJ25</f>
        <v/>
      </c>
      <c r="AK1674">
        <f>'08_ФОТ'!AK25</f>
        <v/>
      </c>
      <c r="AL1674">
        <f>'08_ФОТ'!AL25</f>
        <v/>
      </c>
      <c r="AM1674">
        <f>'08_ФОТ'!AM25</f>
        <v/>
      </c>
      <c r="AN1674">
        <f>'08_ФОТ'!AN25</f>
        <v/>
      </c>
      <c r="AO1674">
        <f>'08_ФОТ'!AO25</f>
        <v/>
      </c>
      <c r="AP1674">
        <f>'08_ФОТ'!AP25</f>
        <v/>
      </c>
      <c r="AQ1674">
        <f>'08_ФОТ'!AQ25</f>
        <v/>
      </c>
      <c r="AR1674">
        <f>'08_ФОТ'!AR25</f>
        <v/>
      </c>
      <c r="AS1674">
        <f>'08_ФОТ'!AS25</f>
        <v/>
      </c>
      <c r="AT1674">
        <f>'08_ФОТ'!AT25</f>
        <v/>
      </c>
      <c r="AU1674">
        <f>'08_ФОТ'!AU25</f>
        <v/>
      </c>
      <c r="AV1674">
        <f>'08_ФОТ'!AV25</f>
        <v/>
      </c>
      <c r="AW1674">
        <f>'08_ФОТ'!AW25</f>
        <v/>
      </c>
      <c r="AX1674">
        <f>'08_ФОТ'!AX25</f>
        <v/>
      </c>
      <c r="AY1674">
        <f>'08_ФОТ'!AY25</f>
        <v/>
      </c>
      <c r="AZ1674">
        <f>'08_ФОТ'!AZ25</f>
        <v/>
      </c>
      <c r="BA1674">
        <f>'08_ФОТ'!BA25</f>
        <v/>
      </c>
      <c r="BB1674">
        <f>'08_ФОТ'!BB25</f>
        <v/>
      </c>
      <c r="BC1674">
        <f>'08_ФОТ'!BC25</f>
        <v/>
      </c>
      <c r="BD1674">
        <f>'08_ФОТ'!BD25</f>
        <v/>
      </c>
      <c r="BE1674">
        <f>'08_ФОТ'!BE25</f>
        <v/>
      </c>
      <c r="BF1674">
        <f>'08_ФОТ'!BF25</f>
        <v/>
      </c>
      <c r="BG1674">
        <f>'08_ФОТ'!BG25</f>
        <v/>
      </c>
      <c r="BH1674">
        <f>'08_ФОТ'!BH25</f>
        <v/>
      </c>
      <c r="BI1674">
        <f>'08_ФОТ'!BI25</f>
        <v/>
      </c>
    </row>
    <row r="1675">
      <c r="C1675">
        <f>'08_ФОТ'!C26</f>
        <v/>
      </c>
      <c r="D1675">
        <f>'08_ФОТ'!D26</f>
        <v/>
      </c>
      <c r="E1675">
        <f>'08_ФОТ'!E26</f>
        <v/>
      </c>
      <c r="F1675">
        <f>'08_ФОТ'!F26</f>
        <v/>
      </c>
      <c r="G1675">
        <f>'08_ФОТ'!G26</f>
        <v/>
      </c>
      <c r="H1675">
        <f>'08_ФОТ'!H26</f>
        <v/>
      </c>
      <c r="I1675">
        <f>'08_ФОТ'!I26</f>
        <v/>
      </c>
      <c r="J1675">
        <f>'08_ФОТ'!J26</f>
        <v/>
      </c>
      <c r="K1675">
        <f>'08_ФОТ'!K26</f>
        <v/>
      </c>
      <c r="L1675">
        <f>'08_ФОТ'!L26</f>
        <v/>
      </c>
      <c r="M1675">
        <f>'08_ФОТ'!M26</f>
        <v/>
      </c>
      <c r="N1675">
        <f>'08_ФОТ'!N26</f>
        <v/>
      </c>
      <c r="O1675">
        <f>'08_ФОТ'!O26</f>
        <v/>
      </c>
      <c r="P1675">
        <f>'08_ФОТ'!P26</f>
        <v/>
      </c>
      <c r="Q1675">
        <f>'08_ФОТ'!Q26</f>
        <v/>
      </c>
      <c r="R1675">
        <f>'08_ФОТ'!R26</f>
        <v/>
      </c>
      <c r="S1675">
        <f>'08_ФОТ'!S26</f>
        <v/>
      </c>
      <c r="T1675">
        <f>'08_ФОТ'!T26</f>
        <v/>
      </c>
      <c r="U1675">
        <f>'08_ФОТ'!U26</f>
        <v/>
      </c>
      <c r="V1675">
        <f>'08_ФОТ'!V26</f>
        <v/>
      </c>
      <c r="W1675">
        <f>'08_ФОТ'!W26</f>
        <v/>
      </c>
      <c r="X1675">
        <f>'08_ФОТ'!X26</f>
        <v/>
      </c>
      <c r="Y1675">
        <f>'08_ФОТ'!Y26</f>
        <v/>
      </c>
      <c r="Z1675">
        <f>'08_ФОТ'!Z26</f>
        <v/>
      </c>
      <c r="AA1675">
        <f>'08_ФОТ'!AA26</f>
        <v/>
      </c>
      <c r="AB1675">
        <f>'08_ФОТ'!AB26</f>
        <v/>
      </c>
      <c r="AC1675">
        <f>'08_ФОТ'!AC26</f>
        <v/>
      </c>
      <c r="AD1675">
        <f>'08_ФОТ'!AD26</f>
        <v/>
      </c>
      <c r="AE1675">
        <f>'08_ФОТ'!AE26</f>
        <v/>
      </c>
      <c r="AF1675">
        <f>'08_ФОТ'!AF26</f>
        <v/>
      </c>
      <c r="AG1675">
        <f>'08_ФОТ'!AG26</f>
        <v/>
      </c>
      <c r="AH1675">
        <f>'08_ФОТ'!AH26</f>
        <v/>
      </c>
      <c r="AI1675">
        <f>'08_ФОТ'!AI26</f>
        <v/>
      </c>
      <c r="AJ1675">
        <f>'08_ФОТ'!AJ26</f>
        <v/>
      </c>
      <c r="AK1675">
        <f>'08_ФОТ'!AK26</f>
        <v/>
      </c>
      <c r="AL1675">
        <f>'08_ФОТ'!AL26</f>
        <v/>
      </c>
      <c r="AM1675">
        <f>'08_ФОТ'!AM26</f>
        <v/>
      </c>
      <c r="AN1675">
        <f>'08_ФОТ'!AN26</f>
        <v/>
      </c>
      <c r="AO1675">
        <f>'08_ФОТ'!AO26</f>
        <v/>
      </c>
      <c r="AP1675">
        <f>'08_ФОТ'!AP26</f>
        <v/>
      </c>
      <c r="AQ1675">
        <f>'08_ФОТ'!AQ26</f>
        <v/>
      </c>
      <c r="AR1675">
        <f>'08_ФОТ'!AR26</f>
        <v/>
      </c>
      <c r="AS1675">
        <f>'08_ФОТ'!AS26</f>
        <v/>
      </c>
      <c r="AT1675">
        <f>'08_ФОТ'!AT26</f>
        <v/>
      </c>
      <c r="AU1675">
        <f>'08_ФОТ'!AU26</f>
        <v/>
      </c>
      <c r="AV1675">
        <f>'08_ФОТ'!AV26</f>
        <v/>
      </c>
      <c r="AW1675">
        <f>'08_ФОТ'!AW26</f>
        <v/>
      </c>
      <c r="AX1675">
        <f>'08_ФОТ'!AX26</f>
        <v/>
      </c>
      <c r="AY1675">
        <f>'08_ФОТ'!AY26</f>
        <v/>
      </c>
      <c r="AZ1675">
        <f>'08_ФОТ'!AZ26</f>
        <v/>
      </c>
      <c r="BA1675">
        <f>'08_ФОТ'!BA26</f>
        <v/>
      </c>
      <c r="BB1675">
        <f>'08_ФОТ'!BB26</f>
        <v/>
      </c>
      <c r="BC1675">
        <f>'08_ФОТ'!BC26</f>
        <v/>
      </c>
      <c r="BD1675">
        <f>'08_ФОТ'!BD26</f>
        <v/>
      </c>
      <c r="BE1675">
        <f>'08_ФОТ'!BE26</f>
        <v/>
      </c>
      <c r="BF1675">
        <f>'08_ФОТ'!BF26</f>
        <v/>
      </c>
      <c r="BG1675">
        <f>'08_ФОТ'!BG26</f>
        <v/>
      </c>
      <c r="BH1675">
        <f>'08_ФОТ'!BH26</f>
        <v/>
      </c>
      <c r="BI1675">
        <f>'08_ФОТ'!BI26</f>
        <v/>
      </c>
    </row>
    <row r="1676"/>
    <row r="1677">
      <c r="C1677">
        <f>SUM('19_Расчет_аналитики'!C1661:C1662,'19_Расчет_аналитики'!C1664:C1668,'08_ФОТ'!C21:C22,'19_Расчет_аналитики'!C1673:C1675)</f>
        <v/>
      </c>
      <c r="D1677">
        <f>SUM('19_Расчет_аналитики'!D1661:D1662,'19_Расчет_аналитики'!D1664:D1668,'08_ФОТ'!D21:D22,'19_Расчет_аналитики'!D1673:D1675)</f>
        <v/>
      </c>
      <c r="E1677">
        <f>SUM('19_Расчет_аналитики'!E1661:E1662,'19_Расчет_аналитики'!E1664:E1668,'08_ФОТ'!E21:E22,'19_Расчет_аналитики'!E1673:E1675)</f>
        <v/>
      </c>
      <c r="F1677">
        <f>SUM('19_Расчет_аналитики'!F1661:F1662,'19_Расчет_аналитики'!F1664:F1668,'08_ФОТ'!F21:F22,'19_Расчет_аналитики'!F1673:F1675)</f>
        <v/>
      </c>
      <c r="G1677">
        <f>SUM('19_Расчет_аналитики'!G1661:G1662,'19_Расчет_аналитики'!G1664:G1668,'08_ФОТ'!G21:G22,'19_Расчет_аналитики'!G1673:G1675)</f>
        <v/>
      </c>
      <c r="H1677">
        <f>SUM('19_Расчет_аналитики'!H1661:H1662,'19_Расчет_аналитики'!H1664:H1668,'08_ФОТ'!H21:H22,'19_Расчет_аналитики'!H1673:H1675)</f>
        <v/>
      </c>
      <c r="I1677">
        <f>SUM('19_Расчет_аналитики'!I1661:I1662,'19_Расчет_аналитики'!I1664:I1668,'08_ФОТ'!I21:I22,'19_Расчет_аналитики'!I1673:I1675)</f>
        <v/>
      </c>
      <c r="J1677">
        <f>SUM('19_Расчет_аналитики'!J1661:J1662,'19_Расчет_аналитики'!J1664:J1668,'08_ФОТ'!J21:J22,'19_Расчет_аналитики'!J1673:J1675)</f>
        <v/>
      </c>
      <c r="K1677">
        <f>SUM('19_Расчет_аналитики'!K1661:K1662,'19_Расчет_аналитики'!K1664:K1668,'08_ФОТ'!K21:K22,'19_Расчет_аналитики'!K1673:K1675)</f>
        <v/>
      </c>
      <c r="L1677">
        <f>SUM('19_Расчет_аналитики'!L1661:L1662,'19_Расчет_аналитики'!L1664:L1668,'08_ФОТ'!L21:L22,'19_Расчет_аналитики'!L1673:L1675)</f>
        <v/>
      </c>
      <c r="M1677">
        <f>SUM('19_Расчет_аналитики'!M1661:M1662,'19_Расчет_аналитики'!M1664:M1668,'08_ФОТ'!M21:M22,'19_Расчет_аналитики'!M1673:M1675)</f>
        <v/>
      </c>
      <c r="N1677">
        <f>SUM('19_Расчет_аналитики'!N1661:N1662,'19_Расчет_аналитики'!N1664:N1668,'08_ФОТ'!N21:N22,'19_Расчет_аналитики'!N1673:N1675)</f>
        <v/>
      </c>
      <c r="O1677">
        <f>SUM('19_Расчет_аналитики'!O1661:O1662,'19_Расчет_аналитики'!O1664:O1668,'08_ФОТ'!O21:O22,'19_Расчет_аналитики'!O1673:O1675)</f>
        <v/>
      </c>
      <c r="P1677">
        <f>SUM('19_Расчет_аналитики'!P1661:P1662,'19_Расчет_аналитики'!P1664:P1668,'08_ФОТ'!P21:P22,'19_Расчет_аналитики'!P1673:P1675)</f>
        <v/>
      </c>
      <c r="Q1677">
        <f>SUM('19_Расчет_аналитики'!Q1661:Q1662,'19_Расчет_аналитики'!Q1664:Q1668,'08_ФОТ'!Q21:Q22,'19_Расчет_аналитики'!Q1673:Q1675)</f>
        <v/>
      </c>
      <c r="R1677">
        <f>SUM('19_Расчет_аналитики'!R1661:R1662,'19_Расчет_аналитики'!R1664:R1668,'08_ФОТ'!R21:R22,'19_Расчет_аналитики'!R1673:R1675)</f>
        <v/>
      </c>
      <c r="S1677">
        <f>SUM('19_Расчет_аналитики'!S1661:S1662,'19_Расчет_аналитики'!S1664:S1668,'08_ФОТ'!S21:S22,'19_Расчет_аналитики'!S1673:S1675)</f>
        <v/>
      </c>
      <c r="T1677">
        <f>SUM('19_Расчет_аналитики'!T1661:T1662,'19_Расчет_аналитики'!T1664:T1668,'08_ФОТ'!T21:T22,'19_Расчет_аналитики'!T1673:T1675)</f>
        <v/>
      </c>
      <c r="U1677">
        <f>SUM('19_Расчет_аналитики'!U1661:U1662,'19_Расчет_аналитики'!U1664:U1668,'08_ФОТ'!U21:U22,'19_Расчет_аналитики'!U1673:U1675)</f>
        <v/>
      </c>
      <c r="V1677">
        <f>SUM('19_Расчет_аналитики'!V1661:V1662,'19_Расчет_аналитики'!V1664:V1668,'08_ФОТ'!V21:V22,'19_Расчет_аналитики'!V1673:V1675)</f>
        <v/>
      </c>
      <c r="W1677">
        <f>SUM('19_Расчет_аналитики'!W1661:W1662,'19_Расчет_аналитики'!W1664:W1668,'08_ФОТ'!W21:W22,'19_Расчет_аналитики'!W1673:W1675)</f>
        <v/>
      </c>
      <c r="X1677">
        <f>SUM('19_Расчет_аналитики'!X1661:X1662,'19_Расчет_аналитики'!X1664:X1668,'08_ФОТ'!X21:X22,'19_Расчет_аналитики'!X1673:X1675)</f>
        <v/>
      </c>
      <c r="Y1677">
        <f>SUM('19_Расчет_аналитики'!Y1661:Y1662,'19_Расчет_аналитики'!Y1664:Y1668,'08_ФОТ'!Y21:Y22,'19_Расчет_аналитики'!Y1673:Y1675)</f>
        <v/>
      </c>
      <c r="Z1677">
        <f>SUM('19_Расчет_аналитики'!Z1661:Z1662,'19_Расчет_аналитики'!Z1664:Z1668,'08_ФОТ'!Z21:Z22,'19_Расчет_аналитики'!Z1673:Z1675)</f>
        <v/>
      </c>
      <c r="AA1677">
        <f>SUM('19_Расчет_аналитики'!AA1661:AA1662,'19_Расчет_аналитики'!AA1664:AA1668,'08_ФОТ'!AA21:AA22,'19_Расчет_аналитики'!AA1673:AA1675)</f>
        <v/>
      </c>
      <c r="AB1677">
        <f>SUM('19_Расчет_аналитики'!AB1661:AB1662,'19_Расчет_аналитики'!AB1664:AB1668,'08_ФОТ'!AB21:AB22,'19_Расчет_аналитики'!AB1673:AB1675)</f>
        <v/>
      </c>
      <c r="AC1677">
        <f>SUM('19_Расчет_аналитики'!AC1661:AC1662,'19_Расчет_аналитики'!AC1664:AC1668,'08_ФОТ'!AC21:AC22,'19_Расчет_аналитики'!AC1673:AC1675)</f>
        <v/>
      </c>
      <c r="AD1677">
        <f>SUM('19_Расчет_аналитики'!AD1661:AD1662,'19_Расчет_аналитики'!AD1664:AD1668,'08_ФОТ'!AD21:AD22,'19_Расчет_аналитики'!AD1673:AD1675)</f>
        <v/>
      </c>
      <c r="AE1677">
        <f>SUM('19_Расчет_аналитики'!AE1661:AE1662,'19_Расчет_аналитики'!AE1664:AE1668,'08_ФОТ'!AE21:AE22,'19_Расчет_аналитики'!AE1673:AE1675)</f>
        <v/>
      </c>
      <c r="AF1677">
        <f>SUM('19_Расчет_аналитики'!AF1661:AF1662,'19_Расчет_аналитики'!AF1664:AF1668,'08_ФОТ'!AF21:AF22,'19_Расчет_аналитики'!AF1673:AF1675)</f>
        <v/>
      </c>
      <c r="AG1677">
        <f>SUM('19_Расчет_аналитики'!AG1661:AG1662,'19_Расчет_аналитики'!AG1664:AG1668,'08_ФОТ'!AG21:AG22,'19_Расчет_аналитики'!AG1673:AG1675)</f>
        <v/>
      </c>
      <c r="AH1677">
        <f>SUM('19_Расчет_аналитики'!AH1661:AH1662,'19_Расчет_аналитики'!AH1664:AH1668,'08_ФОТ'!AH21:AH22,'19_Расчет_аналитики'!AH1673:AH1675)</f>
        <v/>
      </c>
      <c r="AI1677">
        <f>SUM('19_Расчет_аналитики'!AI1661:AI1662,'19_Расчет_аналитики'!AI1664:AI1668,'08_ФОТ'!AI21:AI22,'19_Расчет_аналитики'!AI1673:AI1675)</f>
        <v/>
      </c>
      <c r="AJ1677">
        <f>SUM('19_Расчет_аналитики'!AJ1661:AJ1662,'19_Расчет_аналитики'!AJ1664:AJ1668,'08_ФОТ'!AJ21:AJ22,'19_Расчет_аналитики'!AJ1673:AJ1675)</f>
        <v/>
      </c>
      <c r="AK1677">
        <f>SUM('19_Расчет_аналитики'!AK1661:AK1662,'19_Расчет_аналитики'!AK1664:AK1668,'08_ФОТ'!AK21:AK22,'19_Расчет_аналитики'!AK1673:AK1675)</f>
        <v/>
      </c>
      <c r="AL1677">
        <f>SUM('19_Расчет_аналитики'!AL1661:AL1662,'19_Расчет_аналитики'!AL1664:AL1668,'08_ФОТ'!AL21:AL22,'19_Расчет_аналитики'!AL1673:AL1675)</f>
        <v/>
      </c>
      <c r="AM1677">
        <f>SUM('19_Расчет_аналитики'!AM1661:AM1662,'19_Расчет_аналитики'!AM1664:AM1668,'08_ФОТ'!AM21:AM22,'19_Расчет_аналитики'!AM1673:AM1675)</f>
        <v/>
      </c>
      <c r="AN1677">
        <f>SUM('19_Расчет_аналитики'!AN1661:AN1662,'19_Расчет_аналитики'!AN1664:AN1668,'08_ФОТ'!AN21:AN22,'19_Расчет_аналитики'!AN1673:AN1675)</f>
        <v/>
      </c>
      <c r="AO1677">
        <f>SUM('19_Расчет_аналитики'!AO1661:AO1662,'19_Расчет_аналитики'!AO1664:AO1668,'08_ФОТ'!AO21:AO22,'19_Расчет_аналитики'!AO1673:AO1675)</f>
        <v/>
      </c>
      <c r="AP1677">
        <f>SUM('19_Расчет_аналитики'!AP1661:AP1662,'19_Расчет_аналитики'!AP1664:AP1668,'08_ФОТ'!AP21:AP22,'19_Расчет_аналитики'!AP1673:AP1675)</f>
        <v/>
      </c>
      <c r="AQ1677">
        <f>SUM('19_Расчет_аналитики'!AQ1661:AQ1662,'19_Расчет_аналитики'!AQ1664:AQ1668,'08_ФОТ'!AQ21:AQ22,'19_Расчет_аналитики'!AQ1673:AQ1675)</f>
        <v/>
      </c>
      <c r="AR1677">
        <f>SUM('19_Расчет_аналитики'!AR1661:AR1662,'19_Расчет_аналитики'!AR1664:AR1668,'08_ФОТ'!AR21:AR22,'19_Расчет_аналитики'!AR1673:AR1675)</f>
        <v/>
      </c>
      <c r="AS1677">
        <f>SUM('19_Расчет_аналитики'!AS1661:AS1662,'19_Расчет_аналитики'!AS1664:AS1668,'08_ФОТ'!AS21:AS22,'19_Расчет_аналитики'!AS1673:AS1675)</f>
        <v/>
      </c>
      <c r="AT1677">
        <f>SUM('19_Расчет_аналитики'!AT1661:AT1662,'19_Расчет_аналитики'!AT1664:AT1668,'08_ФОТ'!AT21:AT22,'19_Расчет_аналитики'!AT1673:AT1675)</f>
        <v/>
      </c>
      <c r="AU1677">
        <f>SUM('19_Расчет_аналитики'!AU1661:AU1662,'19_Расчет_аналитики'!AU1664:AU1668,'08_ФОТ'!AU21:AU22,'19_Расчет_аналитики'!AU1673:AU1675)</f>
        <v/>
      </c>
      <c r="AV1677">
        <f>SUM('19_Расчет_аналитики'!AV1661:AV1662,'19_Расчет_аналитики'!AV1664:AV1668,'08_ФОТ'!AV21:AV22,'19_Расчет_аналитики'!AV1673:AV1675)</f>
        <v/>
      </c>
      <c r="AW1677">
        <f>SUM('19_Расчет_аналитики'!AW1661:AW1662,'19_Расчет_аналитики'!AW1664:AW1668,'08_ФОТ'!AW21:AW22,'19_Расчет_аналитики'!AW1673:AW1675)</f>
        <v/>
      </c>
      <c r="AX1677">
        <f>SUM('19_Расчет_аналитики'!AX1661:AX1662,'19_Расчет_аналитики'!AX1664:AX1668,'08_ФОТ'!AX21:AX22,'19_Расчет_аналитики'!AX1673:AX1675)</f>
        <v/>
      </c>
      <c r="AY1677">
        <f>SUM('19_Расчет_аналитики'!AY1661:AY1662,'19_Расчет_аналитики'!AY1664:AY1668,'08_ФОТ'!AY21:AY22,'19_Расчет_аналитики'!AY1673:AY1675)</f>
        <v/>
      </c>
      <c r="AZ1677">
        <f>SUM('19_Расчет_аналитики'!AZ1661:AZ1662,'19_Расчет_аналитики'!AZ1664:AZ1668,'08_ФОТ'!AZ21:AZ22,'19_Расчет_аналитики'!AZ1673:AZ1675)</f>
        <v/>
      </c>
      <c r="BA1677">
        <f>SUM('19_Расчет_аналитики'!BA1661:BA1662,'19_Расчет_аналитики'!BA1664:BA1668,'08_ФОТ'!BA21:BA22,'19_Расчет_аналитики'!BA1673:BA1675)</f>
        <v/>
      </c>
      <c r="BB1677">
        <f>SUM('19_Расчет_аналитики'!BB1661:BB1662,'19_Расчет_аналитики'!BB1664:BB1668,'08_ФОТ'!BB21:BB22,'19_Расчет_аналитики'!BB1673:BB1675)</f>
        <v/>
      </c>
      <c r="BC1677">
        <f>SUM('19_Расчет_аналитики'!BC1661:BC1662,'19_Расчет_аналитики'!BC1664:BC1668,'08_ФОТ'!BC21:BC22,'19_Расчет_аналитики'!BC1673:BC1675)</f>
        <v/>
      </c>
      <c r="BD1677">
        <f>SUM('19_Расчет_аналитики'!BD1661:BD1662,'19_Расчет_аналитики'!BD1664:BD1668,'08_ФОТ'!BD21:BD22,'19_Расчет_аналитики'!BD1673:BD1675)</f>
        <v/>
      </c>
      <c r="BE1677">
        <f>SUM('19_Расчет_аналитики'!BE1661:BE1662,'19_Расчет_аналитики'!BE1664:BE1668,'08_ФОТ'!BE21:BE22,'19_Расчет_аналитики'!BE1673:BE1675)</f>
        <v/>
      </c>
      <c r="BF1677">
        <f>SUM('19_Расчет_аналитики'!BF1661:BF1662,'19_Расчет_аналитики'!BF1664:BF1668,'08_ФОТ'!BF21:BF22,'19_Расчет_аналитики'!BF1673:BF1675)</f>
        <v/>
      </c>
      <c r="BG1677">
        <f>SUM('19_Расчет_аналитики'!BG1661:BG1662,'19_Расчет_аналитики'!BG1664:BG1668,'08_ФОТ'!BG21:BG22,'19_Расчет_аналитики'!BG1673:BG1675)</f>
        <v/>
      </c>
      <c r="BH1677">
        <f>SUM('19_Расчет_аналитики'!BH1661:BH1662,'19_Расчет_аналитики'!BH1664:BH1668,'08_ФОТ'!BH21:BH22,'19_Расчет_аналитики'!BH1673:BH1675)</f>
        <v/>
      </c>
      <c r="BI1677">
        <f>SUM('19_Расчет_аналитики'!BI1661:BI1662,'19_Расчет_аналитики'!BI1664:BI1668,'08_ФОТ'!BI21:BI22,'19_Расчет_аналитики'!BI1673:BI1675)</f>
        <v/>
      </c>
    </row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>
      <c r="C1719">
        <f>'19_Расчет_аналитики'!C1377</f>
        <v/>
      </c>
      <c r="D1719">
        <f>'19_Расчет_аналитики'!D1377</f>
        <v/>
      </c>
      <c r="E1719">
        <f>'19_Расчет_аналитики'!E1377</f>
        <v/>
      </c>
      <c r="F1719">
        <f>'19_Расчет_аналитики'!F1377</f>
        <v/>
      </c>
      <c r="G1719">
        <f>'19_Расчет_аналитики'!G1377</f>
        <v/>
      </c>
      <c r="H1719">
        <f>'19_Расчет_аналитики'!H1377</f>
        <v/>
      </c>
      <c r="I1719">
        <f>'19_Расчет_аналитики'!I1377</f>
        <v/>
      </c>
      <c r="J1719">
        <f>'19_Расчет_аналитики'!J1377</f>
        <v/>
      </c>
      <c r="K1719">
        <f>'19_Расчет_аналитики'!K1377</f>
        <v/>
      </c>
      <c r="L1719">
        <f>'19_Расчет_аналитики'!L1377</f>
        <v/>
      </c>
      <c r="M1719">
        <f>'19_Расчет_аналитики'!M1377</f>
        <v/>
      </c>
      <c r="N1719">
        <f>'19_Расчет_аналитики'!N1377</f>
        <v/>
      </c>
      <c r="O1719">
        <f>'19_Расчет_аналитики'!O1377</f>
        <v/>
      </c>
      <c r="P1719">
        <f>'19_Расчет_аналитики'!P1377</f>
        <v/>
      </c>
      <c r="Q1719">
        <f>'19_Расчет_аналитики'!Q1377</f>
        <v/>
      </c>
      <c r="R1719">
        <f>'19_Расчет_аналитики'!R1377</f>
        <v/>
      </c>
      <c r="S1719">
        <f>'19_Расчет_аналитики'!S1377</f>
        <v/>
      </c>
      <c r="T1719">
        <f>'19_Расчет_аналитики'!T1377</f>
        <v/>
      </c>
      <c r="U1719">
        <f>'19_Расчет_аналитики'!U1377</f>
        <v/>
      </c>
      <c r="V1719">
        <f>'19_Расчет_аналитики'!V1377</f>
        <v/>
      </c>
      <c r="W1719">
        <f>'19_Расчет_аналитики'!W1377</f>
        <v/>
      </c>
      <c r="X1719">
        <f>'19_Расчет_аналитики'!X1377</f>
        <v/>
      </c>
      <c r="Y1719">
        <f>'19_Расчет_аналитики'!Y1377</f>
        <v/>
      </c>
      <c r="Z1719">
        <f>'19_Расчет_аналитики'!Z1377</f>
        <v/>
      </c>
      <c r="AA1719">
        <f>'19_Расчет_аналитики'!AA1377</f>
        <v/>
      </c>
      <c r="AB1719">
        <f>'19_Расчет_аналитики'!AB1377</f>
        <v/>
      </c>
      <c r="AC1719">
        <f>'19_Расчет_аналитики'!AC1377</f>
        <v/>
      </c>
      <c r="AD1719">
        <f>'19_Расчет_аналитики'!AD1377</f>
        <v/>
      </c>
      <c r="AE1719">
        <f>'19_Расчет_аналитики'!AE1377</f>
        <v/>
      </c>
      <c r="AF1719">
        <f>'19_Расчет_аналитики'!AF1377</f>
        <v/>
      </c>
      <c r="AG1719">
        <f>'19_Расчет_аналитики'!AG1377</f>
        <v/>
      </c>
      <c r="AH1719">
        <f>'19_Расчет_аналитики'!AH1377</f>
        <v/>
      </c>
      <c r="AI1719">
        <f>'19_Расчет_аналитики'!AI1377</f>
        <v/>
      </c>
      <c r="AJ1719">
        <f>'19_Расчет_аналитики'!AJ1377</f>
        <v/>
      </c>
      <c r="AK1719">
        <f>'19_Расчет_аналитики'!AK1377</f>
        <v/>
      </c>
      <c r="AL1719">
        <f>'19_Расчет_аналитики'!AL1377</f>
        <v/>
      </c>
      <c r="AM1719">
        <f>'19_Расчет_аналитики'!AM1377</f>
        <v/>
      </c>
      <c r="AN1719">
        <f>'19_Расчет_аналитики'!AN1377</f>
        <v/>
      </c>
      <c r="AO1719">
        <f>'19_Расчет_аналитики'!AO1377</f>
        <v/>
      </c>
      <c r="AP1719">
        <f>'19_Расчет_аналитики'!AP1377</f>
        <v/>
      </c>
      <c r="AQ1719">
        <f>'19_Расчет_аналитики'!AQ1377</f>
        <v/>
      </c>
      <c r="AR1719">
        <f>'19_Расчет_аналитики'!AR1377</f>
        <v/>
      </c>
      <c r="AS1719">
        <f>'19_Расчет_аналитики'!AS1377</f>
        <v/>
      </c>
      <c r="AT1719">
        <f>'19_Расчет_аналитики'!AT1377</f>
        <v/>
      </c>
      <c r="AU1719">
        <f>'19_Расчет_аналитики'!AU1377</f>
        <v/>
      </c>
      <c r="AV1719">
        <f>'19_Расчет_аналитики'!AV1377</f>
        <v/>
      </c>
      <c r="AW1719">
        <f>'19_Расчет_аналитики'!AW1377</f>
        <v/>
      </c>
      <c r="AX1719">
        <f>'19_Расчет_аналитики'!AX1377</f>
        <v/>
      </c>
      <c r="AY1719">
        <f>'19_Расчет_аналитики'!AY1377</f>
        <v/>
      </c>
      <c r="AZ1719">
        <f>'19_Расчет_аналитики'!AZ1377</f>
        <v/>
      </c>
      <c r="BA1719">
        <f>'19_Расчет_аналитики'!BA1377</f>
        <v/>
      </c>
      <c r="BB1719">
        <f>'19_Расчет_аналитики'!BB1377</f>
        <v/>
      </c>
      <c r="BC1719">
        <f>'19_Расчет_аналитики'!BC1377</f>
        <v/>
      </c>
      <c r="BD1719">
        <f>'19_Расчет_аналитики'!BD1377</f>
        <v/>
      </c>
      <c r="BE1719">
        <f>'19_Расчет_аналитики'!BE1377</f>
        <v/>
      </c>
      <c r="BF1719">
        <f>'19_Расчет_аналитики'!BF1377</f>
        <v/>
      </c>
      <c r="BG1719">
        <f>'19_Расчет_аналитики'!BG1377</f>
        <v/>
      </c>
      <c r="BH1719">
        <f>'19_Расчет_аналитики'!BH1377</f>
        <v/>
      </c>
      <c r="BI1719">
        <f>'19_Расчет_аналитики'!BI1377</f>
        <v/>
      </c>
    </row>
    <row r="1720">
      <c r="B1720">
        <f>'19_Расчет_аналитики'!B1391</f>
        <v/>
      </c>
      <c r="C1720">
        <f>'19_Расчет_аналитики'!C1391</f>
        <v/>
      </c>
      <c r="D1720">
        <f>'19_Расчет_аналитики'!D1391</f>
        <v/>
      </c>
      <c r="E1720">
        <f>'19_Расчет_аналитики'!E1391</f>
        <v/>
      </c>
      <c r="F1720">
        <f>'19_Расчет_аналитики'!F1391</f>
        <v/>
      </c>
      <c r="G1720">
        <f>'19_Расчет_аналитики'!G1391</f>
        <v/>
      </c>
      <c r="H1720">
        <f>'19_Расчет_аналитики'!H1391</f>
        <v/>
      </c>
      <c r="I1720">
        <f>'19_Расчет_аналитики'!I1391</f>
        <v/>
      </c>
      <c r="J1720">
        <f>'19_Расчет_аналитики'!J1391</f>
        <v/>
      </c>
      <c r="K1720">
        <f>'19_Расчет_аналитики'!K1391</f>
        <v/>
      </c>
      <c r="L1720">
        <f>'19_Расчет_аналитики'!L1391</f>
        <v/>
      </c>
      <c r="M1720">
        <f>'19_Расчет_аналитики'!M1391</f>
        <v/>
      </c>
      <c r="N1720">
        <f>'19_Расчет_аналитики'!N1391</f>
        <v/>
      </c>
      <c r="O1720">
        <f>'19_Расчет_аналитики'!O1391</f>
        <v/>
      </c>
      <c r="P1720">
        <f>'19_Расчет_аналитики'!P1391</f>
        <v/>
      </c>
      <c r="Q1720">
        <f>'19_Расчет_аналитики'!Q1391</f>
        <v/>
      </c>
      <c r="R1720">
        <f>'19_Расчет_аналитики'!R1391</f>
        <v/>
      </c>
      <c r="S1720">
        <f>'19_Расчет_аналитики'!S1391</f>
        <v/>
      </c>
      <c r="T1720">
        <f>'19_Расчет_аналитики'!T1391</f>
        <v/>
      </c>
      <c r="U1720">
        <f>'19_Расчет_аналитики'!U1391</f>
        <v/>
      </c>
      <c r="V1720">
        <f>'19_Расчет_аналитики'!V1391</f>
        <v/>
      </c>
      <c r="W1720">
        <f>'19_Расчет_аналитики'!W1391</f>
        <v/>
      </c>
      <c r="X1720">
        <f>'19_Расчет_аналитики'!X1391</f>
        <v/>
      </c>
      <c r="Y1720">
        <f>'19_Расчет_аналитики'!Y1391</f>
        <v/>
      </c>
      <c r="Z1720">
        <f>'19_Расчет_аналитики'!Z1391</f>
        <v/>
      </c>
      <c r="AA1720">
        <f>'19_Расчет_аналитики'!AA1391</f>
        <v/>
      </c>
      <c r="AB1720">
        <f>'19_Расчет_аналитики'!AB1391</f>
        <v/>
      </c>
      <c r="AC1720">
        <f>'19_Расчет_аналитики'!AC1391</f>
        <v/>
      </c>
      <c r="AD1720">
        <f>'19_Расчет_аналитики'!AD1391</f>
        <v/>
      </c>
      <c r="AE1720">
        <f>'19_Расчет_аналитики'!AE1391</f>
        <v/>
      </c>
      <c r="AF1720">
        <f>'19_Расчет_аналитики'!AF1391</f>
        <v/>
      </c>
      <c r="AG1720">
        <f>'19_Расчет_аналитики'!AG1391</f>
        <v/>
      </c>
      <c r="AH1720">
        <f>'19_Расчет_аналитики'!AH1391</f>
        <v/>
      </c>
      <c r="AI1720">
        <f>'19_Расчет_аналитики'!AI1391</f>
        <v/>
      </c>
      <c r="AJ1720">
        <f>'19_Расчет_аналитики'!AJ1391</f>
        <v/>
      </c>
      <c r="AK1720">
        <f>'19_Расчет_аналитики'!AK1391</f>
        <v/>
      </c>
      <c r="AL1720">
        <f>'19_Расчет_аналитики'!AL1391</f>
        <v/>
      </c>
      <c r="AM1720">
        <f>'19_Расчет_аналитики'!AM1391</f>
        <v/>
      </c>
      <c r="AN1720">
        <f>'19_Расчет_аналитики'!AN1391</f>
        <v/>
      </c>
      <c r="AO1720">
        <f>'19_Расчет_аналитики'!AO1391</f>
        <v/>
      </c>
      <c r="AP1720">
        <f>'19_Расчет_аналитики'!AP1391</f>
        <v/>
      </c>
      <c r="AQ1720">
        <f>'19_Расчет_аналитики'!AQ1391</f>
        <v/>
      </c>
      <c r="AR1720">
        <f>'19_Расчет_аналитики'!AR1391</f>
        <v/>
      </c>
      <c r="AS1720">
        <f>'19_Расчет_аналитики'!AS1391</f>
        <v/>
      </c>
      <c r="AT1720">
        <f>'19_Расчет_аналитики'!AT1391</f>
        <v/>
      </c>
      <c r="AU1720">
        <f>'19_Расчет_аналитики'!AU1391</f>
        <v/>
      </c>
      <c r="AV1720">
        <f>'19_Расчет_аналитики'!AV1391</f>
        <v/>
      </c>
      <c r="AW1720">
        <f>'19_Расчет_аналитики'!AW1391</f>
        <v/>
      </c>
      <c r="AX1720">
        <f>'19_Расчет_аналитики'!AX1391</f>
        <v/>
      </c>
      <c r="AY1720">
        <f>'19_Расчет_аналитики'!AY1391</f>
        <v/>
      </c>
      <c r="AZ1720">
        <f>'19_Расчет_аналитики'!AZ1391</f>
        <v/>
      </c>
      <c r="BA1720">
        <f>'19_Расчет_аналитики'!BA1391</f>
        <v/>
      </c>
      <c r="BB1720">
        <f>'19_Расчет_аналитики'!BB1391</f>
        <v/>
      </c>
      <c r="BC1720">
        <f>'19_Расчет_аналитики'!BC1391</f>
        <v/>
      </c>
      <c r="BD1720">
        <f>'19_Расчет_аналитики'!BD1391</f>
        <v/>
      </c>
      <c r="BE1720">
        <f>'19_Расчет_аналитики'!BE1391</f>
        <v/>
      </c>
      <c r="BF1720">
        <f>'19_Расчет_аналитики'!BF1391</f>
        <v/>
      </c>
      <c r="BG1720">
        <f>'19_Расчет_аналитики'!BG1391</f>
        <v/>
      </c>
      <c r="BH1720">
        <f>'19_Расчет_аналитики'!BH1391</f>
        <v/>
      </c>
      <c r="BI1720">
        <f>'19_Расчет_аналитики'!BI1391</f>
        <v/>
      </c>
    </row>
    <row r="1721">
      <c r="B1721">
        <f>'19_Расчет_аналитики'!B1392</f>
        <v/>
      </c>
      <c r="C1721">
        <f>'19_Расчет_аналитики'!C1392</f>
        <v/>
      </c>
      <c r="D1721">
        <f>'19_Расчет_аналитики'!D1392</f>
        <v/>
      </c>
      <c r="E1721">
        <f>'19_Расчет_аналитики'!E1392</f>
        <v/>
      </c>
      <c r="F1721">
        <f>'19_Расчет_аналитики'!F1392</f>
        <v/>
      </c>
      <c r="G1721">
        <f>'19_Расчет_аналитики'!G1392</f>
        <v/>
      </c>
      <c r="H1721">
        <f>'19_Расчет_аналитики'!H1392</f>
        <v/>
      </c>
      <c r="I1721">
        <f>'19_Расчет_аналитики'!I1392</f>
        <v/>
      </c>
      <c r="J1721">
        <f>'19_Расчет_аналитики'!J1392</f>
        <v/>
      </c>
      <c r="K1721">
        <f>'19_Расчет_аналитики'!K1392</f>
        <v/>
      </c>
      <c r="L1721">
        <f>'19_Расчет_аналитики'!L1392</f>
        <v/>
      </c>
      <c r="M1721">
        <f>'19_Расчет_аналитики'!M1392</f>
        <v/>
      </c>
      <c r="N1721">
        <f>'19_Расчет_аналитики'!N1392</f>
        <v/>
      </c>
      <c r="O1721">
        <f>'19_Расчет_аналитики'!O1392</f>
        <v/>
      </c>
      <c r="P1721">
        <f>'19_Расчет_аналитики'!P1392</f>
        <v/>
      </c>
      <c r="Q1721">
        <f>'19_Расчет_аналитики'!Q1392</f>
        <v/>
      </c>
      <c r="R1721">
        <f>'19_Расчет_аналитики'!R1392</f>
        <v/>
      </c>
      <c r="S1721">
        <f>'19_Расчет_аналитики'!S1392</f>
        <v/>
      </c>
      <c r="T1721">
        <f>'19_Расчет_аналитики'!T1392</f>
        <v/>
      </c>
      <c r="U1721">
        <f>'19_Расчет_аналитики'!U1392</f>
        <v/>
      </c>
      <c r="V1721">
        <f>'19_Расчет_аналитики'!V1392</f>
        <v/>
      </c>
      <c r="W1721">
        <f>'19_Расчет_аналитики'!W1392</f>
        <v/>
      </c>
      <c r="X1721">
        <f>'19_Расчет_аналитики'!X1392</f>
        <v/>
      </c>
      <c r="Y1721">
        <f>'19_Расчет_аналитики'!Y1392</f>
        <v/>
      </c>
      <c r="Z1721">
        <f>'19_Расчет_аналитики'!Z1392</f>
        <v/>
      </c>
      <c r="AA1721">
        <f>'19_Расчет_аналитики'!AA1392</f>
        <v/>
      </c>
      <c r="AB1721">
        <f>'19_Расчет_аналитики'!AB1392</f>
        <v/>
      </c>
      <c r="AC1721">
        <f>'19_Расчет_аналитики'!AC1392</f>
        <v/>
      </c>
      <c r="AD1721">
        <f>'19_Расчет_аналитики'!AD1392</f>
        <v/>
      </c>
      <c r="AE1721">
        <f>'19_Расчет_аналитики'!AE1392</f>
        <v/>
      </c>
      <c r="AF1721">
        <f>'19_Расчет_аналитики'!AF1392</f>
        <v/>
      </c>
      <c r="AG1721">
        <f>'19_Расчет_аналитики'!AG1392</f>
        <v/>
      </c>
      <c r="AH1721">
        <f>'19_Расчет_аналитики'!AH1392</f>
        <v/>
      </c>
      <c r="AI1721">
        <f>'19_Расчет_аналитики'!AI1392</f>
        <v/>
      </c>
      <c r="AJ1721">
        <f>'19_Расчет_аналитики'!AJ1392</f>
        <v/>
      </c>
      <c r="AK1721">
        <f>'19_Расчет_аналитики'!AK1392</f>
        <v/>
      </c>
      <c r="AL1721">
        <f>'19_Расчет_аналитики'!AL1392</f>
        <v/>
      </c>
      <c r="AM1721">
        <f>'19_Расчет_аналитики'!AM1392</f>
        <v/>
      </c>
      <c r="AN1721">
        <f>'19_Расчет_аналитики'!AN1392</f>
        <v/>
      </c>
      <c r="AO1721">
        <f>'19_Расчет_аналитики'!AO1392</f>
        <v/>
      </c>
      <c r="AP1721">
        <f>'19_Расчет_аналитики'!AP1392</f>
        <v/>
      </c>
      <c r="AQ1721">
        <f>'19_Расчет_аналитики'!AQ1392</f>
        <v/>
      </c>
      <c r="AR1721">
        <f>'19_Расчет_аналитики'!AR1392</f>
        <v/>
      </c>
      <c r="AS1721">
        <f>'19_Расчет_аналитики'!AS1392</f>
        <v/>
      </c>
      <c r="AT1721">
        <f>'19_Расчет_аналитики'!AT1392</f>
        <v/>
      </c>
      <c r="AU1721">
        <f>'19_Расчет_аналитики'!AU1392</f>
        <v/>
      </c>
      <c r="AV1721">
        <f>'19_Расчет_аналитики'!AV1392</f>
        <v/>
      </c>
      <c r="AW1721">
        <f>'19_Расчет_аналитики'!AW1392</f>
        <v/>
      </c>
      <c r="AX1721">
        <f>'19_Расчет_аналитики'!AX1392</f>
        <v/>
      </c>
      <c r="AY1721">
        <f>'19_Расчет_аналитики'!AY1392</f>
        <v/>
      </c>
      <c r="AZ1721">
        <f>'19_Расчет_аналитики'!AZ1392</f>
        <v/>
      </c>
      <c r="BA1721">
        <f>'19_Расчет_аналитики'!BA1392</f>
        <v/>
      </c>
      <c r="BB1721">
        <f>'19_Расчет_аналитики'!BB1392</f>
        <v/>
      </c>
      <c r="BC1721">
        <f>'19_Расчет_аналитики'!BC1392</f>
        <v/>
      </c>
      <c r="BD1721">
        <f>'19_Расчет_аналитики'!BD1392</f>
        <v/>
      </c>
      <c r="BE1721">
        <f>'19_Расчет_аналитики'!BE1392</f>
        <v/>
      </c>
      <c r="BF1721">
        <f>'19_Расчет_аналитики'!BF1392</f>
        <v/>
      </c>
      <c r="BG1721">
        <f>'19_Расчет_аналитики'!BG1392</f>
        <v/>
      </c>
      <c r="BH1721">
        <f>'19_Расчет_аналитики'!BH1392</f>
        <v/>
      </c>
      <c r="BI1721">
        <f>'19_Расчет_аналитики'!BI1392</f>
        <v/>
      </c>
    </row>
    <row r="1722"/>
    <row r="1723"/>
    <row r="1724">
      <c r="B1724">
        <f>'02_Модель'!B18</f>
        <v/>
      </c>
      <c r="C1724">
        <f>'19_Расчет_аналитики'!C1361</f>
        <v/>
      </c>
      <c r="D1724">
        <f>'19_Расчет_аналитики'!D1361</f>
        <v/>
      </c>
      <c r="E1724">
        <f>'19_Расчет_аналитики'!E1361</f>
        <v/>
      </c>
      <c r="F1724">
        <f>'19_Расчет_аналитики'!F1361</f>
        <v/>
      </c>
      <c r="G1724">
        <f>'19_Расчет_аналитики'!G1361</f>
        <v/>
      </c>
      <c r="H1724">
        <f>'19_Расчет_аналитики'!H1361</f>
        <v/>
      </c>
      <c r="I1724">
        <f>'19_Расчет_аналитики'!I1361</f>
        <v/>
      </c>
      <c r="J1724">
        <f>'19_Расчет_аналитики'!J1361</f>
        <v/>
      </c>
      <c r="K1724">
        <f>'19_Расчет_аналитики'!K1361</f>
        <v/>
      </c>
      <c r="L1724">
        <f>'19_Расчет_аналитики'!L1361</f>
        <v/>
      </c>
      <c r="M1724">
        <f>'19_Расчет_аналитики'!M1361</f>
        <v/>
      </c>
      <c r="N1724">
        <f>'19_Расчет_аналитики'!N1361</f>
        <v/>
      </c>
      <c r="O1724">
        <f>'19_Расчет_аналитики'!O1361</f>
        <v/>
      </c>
      <c r="P1724">
        <f>'19_Расчет_аналитики'!P1361</f>
        <v/>
      </c>
      <c r="Q1724">
        <f>'19_Расчет_аналитики'!Q1361</f>
        <v/>
      </c>
      <c r="R1724">
        <f>'19_Расчет_аналитики'!R1361</f>
        <v/>
      </c>
      <c r="S1724">
        <f>'19_Расчет_аналитики'!S1361</f>
        <v/>
      </c>
      <c r="T1724">
        <f>'19_Расчет_аналитики'!T1361</f>
        <v/>
      </c>
      <c r="U1724">
        <f>'19_Расчет_аналитики'!U1361</f>
        <v/>
      </c>
      <c r="V1724">
        <f>'19_Расчет_аналитики'!V1361</f>
        <v/>
      </c>
      <c r="W1724">
        <f>'19_Расчет_аналитики'!W1361</f>
        <v/>
      </c>
      <c r="X1724">
        <f>'19_Расчет_аналитики'!X1361</f>
        <v/>
      </c>
      <c r="Y1724">
        <f>'19_Расчет_аналитики'!Y1361</f>
        <v/>
      </c>
      <c r="Z1724">
        <f>'19_Расчет_аналитики'!Z1361</f>
        <v/>
      </c>
      <c r="AA1724">
        <f>'19_Расчет_аналитики'!AA1361</f>
        <v/>
      </c>
      <c r="AB1724">
        <f>'19_Расчет_аналитики'!AB1361</f>
        <v/>
      </c>
      <c r="AC1724">
        <f>'19_Расчет_аналитики'!AC1361</f>
        <v/>
      </c>
      <c r="AD1724">
        <f>'19_Расчет_аналитики'!AD1361</f>
        <v/>
      </c>
      <c r="AE1724">
        <f>'19_Расчет_аналитики'!AE1361</f>
        <v/>
      </c>
      <c r="AF1724">
        <f>'19_Расчет_аналитики'!AF1361</f>
        <v/>
      </c>
      <c r="AG1724">
        <f>'19_Расчет_аналитики'!AG1361</f>
        <v/>
      </c>
      <c r="AH1724">
        <f>'19_Расчет_аналитики'!AH1361</f>
        <v/>
      </c>
      <c r="AI1724">
        <f>'19_Расчет_аналитики'!AI1361</f>
        <v/>
      </c>
      <c r="AJ1724">
        <f>'19_Расчет_аналитики'!AJ1361</f>
        <v/>
      </c>
      <c r="AK1724">
        <f>'19_Расчет_аналитики'!AK1361</f>
        <v/>
      </c>
      <c r="AL1724">
        <f>'19_Расчет_аналитики'!AL1361</f>
        <v/>
      </c>
      <c r="AM1724">
        <f>'19_Расчет_аналитики'!AM1361</f>
        <v/>
      </c>
      <c r="AN1724">
        <f>'19_Расчет_аналитики'!AN1361</f>
        <v/>
      </c>
      <c r="AO1724">
        <f>'19_Расчет_аналитики'!AO1361</f>
        <v/>
      </c>
      <c r="AP1724">
        <f>'19_Расчет_аналитики'!AP1361</f>
        <v/>
      </c>
      <c r="AQ1724">
        <f>'19_Расчет_аналитики'!AQ1361</f>
        <v/>
      </c>
      <c r="AR1724">
        <f>'19_Расчет_аналитики'!AR1361</f>
        <v/>
      </c>
      <c r="AS1724">
        <f>'19_Расчет_аналитики'!AS1361</f>
        <v/>
      </c>
      <c r="AT1724">
        <f>'19_Расчет_аналитики'!AT1361</f>
        <v/>
      </c>
      <c r="AU1724">
        <f>'19_Расчет_аналитики'!AU1361</f>
        <v/>
      </c>
      <c r="AV1724">
        <f>'19_Расчет_аналитики'!AV1361</f>
        <v/>
      </c>
      <c r="AW1724">
        <f>'19_Расчет_аналитики'!AW1361</f>
        <v/>
      </c>
      <c r="AX1724">
        <f>'19_Расчет_аналитики'!AX1361</f>
        <v/>
      </c>
      <c r="AY1724">
        <f>'19_Расчет_аналитики'!AY1361</f>
        <v/>
      </c>
      <c r="AZ1724">
        <f>'19_Расчет_аналитики'!AZ1361</f>
        <v/>
      </c>
      <c r="BA1724">
        <f>'19_Расчет_аналитики'!BA1361</f>
        <v/>
      </c>
      <c r="BB1724">
        <f>'19_Расчет_аналитики'!BB1361</f>
        <v/>
      </c>
      <c r="BC1724">
        <f>'19_Расчет_аналитики'!BC1361</f>
        <v/>
      </c>
      <c r="BD1724">
        <f>'19_Расчет_аналитики'!BD1361</f>
        <v/>
      </c>
      <c r="BE1724">
        <f>'19_Расчет_аналитики'!BE1361</f>
        <v/>
      </c>
      <c r="BF1724">
        <f>'19_Расчет_аналитики'!BF1361</f>
        <v/>
      </c>
      <c r="BG1724">
        <f>'19_Расчет_аналитики'!BG1361</f>
        <v/>
      </c>
      <c r="BH1724">
        <f>'19_Расчет_аналитики'!BH1361</f>
        <v/>
      </c>
      <c r="BI1724">
        <f>'19_Расчет_аналитики'!BI1361</f>
        <v/>
      </c>
    </row>
    <row r="1725">
      <c r="B1725">
        <f>'19_Расчет_аналитики'!B1395/(1+'01_Вводные'!$B$58)</f>
        <v/>
      </c>
      <c r="C1725">
        <f>'19_Расчет_аналитики'!C1395/(1+'01_Вводные'!$B$58)</f>
        <v/>
      </c>
      <c r="D1725">
        <f>'19_Расчет_аналитики'!D1395/(1+'01_Вводные'!$B$58)</f>
        <v/>
      </c>
      <c r="E1725">
        <f>'19_Расчет_аналитики'!E1395/(1+'01_Вводные'!$B$58)</f>
        <v/>
      </c>
      <c r="F1725">
        <f>'19_Расчет_аналитики'!F1395/(1+'01_Вводные'!$B$58)</f>
        <v/>
      </c>
      <c r="G1725">
        <f>'19_Расчет_аналитики'!G1395/(1+'01_Вводные'!$B$58)</f>
        <v/>
      </c>
      <c r="H1725">
        <f>'19_Расчет_аналитики'!H1395/(1+'01_Вводные'!$B$58)</f>
        <v/>
      </c>
      <c r="I1725">
        <f>'19_Расчет_аналитики'!I1395/(1+'01_Вводные'!$B$58)</f>
        <v/>
      </c>
      <c r="J1725">
        <f>'19_Расчет_аналитики'!J1395/(1+'01_Вводные'!$B$58)</f>
        <v/>
      </c>
      <c r="K1725">
        <f>'19_Расчет_аналитики'!K1395/(1+'01_Вводные'!$B$58)</f>
        <v/>
      </c>
      <c r="L1725">
        <f>'19_Расчет_аналитики'!L1395/(1+'01_Вводные'!$B$58)</f>
        <v/>
      </c>
      <c r="M1725">
        <f>'19_Расчет_аналитики'!M1395/(1+'01_Вводные'!$B$58)</f>
        <v/>
      </c>
      <c r="N1725">
        <f>'19_Расчет_аналитики'!N1395/(1+'01_Вводные'!$B$58)</f>
        <v/>
      </c>
      <c r="O1725">
        <f>'19_Расчет_аналитики'!O1395/(1+'01_Вводные'!$B$58)</f>
        <v/>
      </c>
      <c r="P1725">
        <f>'19_Расчет_аналитики'!P1395/(1+'01_Вводные'!$B$58)</f>
        <v/>
      </c>
      <c r="Q1725">
        <f>'19_Расчет_аналитики'!Q1395/(1+'01_Вводные'!$B$58)</f>
        <v/>
      </c>
      <c r="R1725">
        <f>'19_Расчет_аналитики'!R1395/(1+'01_Вводные'!$B$58)</f>
        <v/>
      </c>
      <c r="S1725">
        <f>'19_Расчет_аналитики'!S1395/(1+'01_Вводные'!$B$58)</f>
        <v/>
      </c>
      <c r="T1725">
        <f>'19_Расчет_аналитики'!T1395/(1+'01_Вводные'!$B$58)</f>
        <v/>
      </c>
      <c r="U1725">
        <f>'19_Расчет_аналитики'!U1395/(1+'01_Вводные'!$B$58)</f>
        <v/>
      </c>
      <c r="V1725">
        <f>'19_Расчет_аналитики'!V1395/(1+'01_Вводные'!$B$58)</f>
        <v/>
      </c>
      <c r="W1725">
        <f>'19_Расчет_аналитики'!W1395/(1+'01_Вводные'!$B$58)</f>
        <v/>
      </c>
      <c r="X1725">
        <f>'19_Расчет_аналитики'!X1395/(1+'01_Вводные'!$B$58)</f>
        <v/>
      </c>
      <c r="Y1725">
        <f>'19_Расчет_аналитики'!Y1395/(1+'01_Вводные'!$B$58)</f>
        <v/>
      </c>
      <c r="Z1725">
        <f>'19_Расчет_аналитики'!Z1395/(1+'01_Вводные'!$B$58)</f>
        <v/>
      </c>
      <c r="AA1725">
        <f>'19_Расчет_аналитики'!AA1395/(1+'01_Вводные'!$B$58)</f>
        <v/>
      </c>
      <c r="AB1725">
        <f>'19_Расчет_аналитики'!AB1395/(1+'01_Вводные'!$B$58)</f>
        <v/>
      </c>
      <c r="AC1725">
        <f>'19_Расчет_аналитики'!AC1395/(1+'01_Вводные'!$B$58)</f>
        <v/>
      </c>
      <c r="AD1725">
        <f>'19_Расчет_аналитики'!AD1395/(1+'01_Вводные'!$B$58)</f>
        <v/>
      </c>
      <c r="AE1725">
        <f>'19_Расчет_аналитики'!AE1395/(1+'01_Вводные'!$B$58)</f>
        <v/>
      </c>
      <c r="AF1725">
        <f>'19_Расчет_аналитики'!AF1395/(1+'01_Вводные'!$B$58)</f>
        <v/>
      </c>
      <c r="AG1725">
        <f>'19_Расчет_аналитики'!AG1395/(1+'01_Вводные'!$B$58)</f>
        <v/>
      </c>
      <c r="AH1725">
        <f>'19_Расчет_аналитики'!AH1395/(1+'01_Вводные'!$B$58)</f>
        <v/>
      </c>
      <c r="AI1725">
        <f>'19_Расчет_аналитики'!AI1395/(1+'01_Вводные'!$B$58)</f>
        <v/>
      </c>
      <c r="AJ1725">
        <f>'19_Расчет_аналитики'!AJ1395/(1+'01_Вводные'!$B$58)</f>
        <v/>
      </c>
      <c r="AK1725">
        <f>'19_Расчет_аналитики'!AK1395/(1+'01_Вводные'!$B$58)</f>
        <v/>
      </c>
      <c r="AL1725">
        <f>'19_Расчет_аналитики'!AL1395/(1+'01_Вводные'!$B$58)</f>
        <v/>
      </c>
      <c r="AM1725">
        <f>'19_Расчет_аналитики'!AM1395/(1+'01_Вводные'!$B$58)</f>
        <v/>
      </c>
      <c r="AN1725">
        <f>'19_Расчет_аналитики'!AN1395/(1+'01_Вводные'!$B$58)</f>
        <v/>
      </c>
      <c r="AO1725">
        <f>'19_Расчет_аналитики'!AO1395/(1+'01_Вводные'!$B$58)</f>
        <v/>
      </c>
      <c r="AP1725">
        <f>'19_Расчет_аналитики'!AP1395/(1+'01_Вводные'!$B$58)</f>
        <v/>
      </c>
      <c r="AQ1725">
        <f>'19_Расчет_аналитики'!AQ1395/(1+'01_Вводные'!$B$58)</f>
        <v/>
      </c>
      <c r="AR1725">
        <f>'19_Расчет_аналитики'!AR1395/(1+'01_Вводные'!$B$58)</f>
        <v/>
      </c>
      <c r="AS1725">
        <f>'19_Расчет_аналитики'!AS1395/(1+'01_Вводные'!$B$58)</f>
        <v/>
      </c>
      <c r="AT1725">
        <f>'19_Расчет_аналитики'!AT1395/(1+'01_Вводные'!$B$58)</f>
        <v/>
      </c>
      <c r="AU1725">
        <f>'19_Расчет_аналитики'!AU1395/(1+'01_Вводные'!$B$58)</f>
        <v/>
      </c>
      <c r="AV1725">
        <f>'19_Расчет_аналитики'!AV1395/(1+'01_Вводные'!$B$58)</f>
        <v/>
      </c>
      <c r="AW1725">
        <f>'19_Расчет_аналитики'!AW1395/(1+'01_Вводные'!$B$58)</f>
        <v/>
      </c>
      <c r="AX1725">
        <f>'19_Расчет_аналитики'!AX1395/(1+'01_Вводные'!$B$58)</f>
        <v/>
      </c>
      <c r="AY1725">
        <f>'19_Расчет_аналитики'!AY1395/(1+'01_Вводные'!$B$58)</f>
        <v/>
      </c>
      <c r="AZ1725">
        <f>'19_Расчет_аналитики'!AZ1395/(1+'01_Вводные'!$B$58)</f>
        <v/>
      </c>
      <c r="BA1725">
        <f>'19_Расчет_аналитики'!BA1395/(1+'01_Вводные'!$B$58)</f>
        <v/>
      </c>
      <c r="BB1725">
        <f>'19_Расчет_аналитики'!BB1395/(1+'01_Вводные'!$B$58)</f>
        <v/>
      </c>
      <c r="BC1725">
        <f>'19_Расчет_аналитики'!BC1395/(1+'01_Вводные'!$B$58)</f>
        <v/>
      </c>
      <c r="BD1725">
        <f>'19_Расчет_аналитики'!BD1395/(1+'01_Вводные'!$B$58)</f>
        <v/>
      </c>
      <c r="BE1725">
        <f>'19_Расчет_аналитики'!BE1395/(1+'01_Вводные'!$B$58)</f>
        <v/>
      </c>
      <c r="BF1725">
        <f>'19_Расчет_аналитики'!BF1395/(1+'01_Вводные'!$B$58)</f>
        <v/>
      </c>
      <c r="BG1725">
        <f>'19_Расчет_аналитики'!BG1395/(1+'01_Вводные'!$B$58)</f>
        <v/>
      </c>
      <c r="BH1725">
        <f>'19_Расчет_аналитики'!BH1395/(1+'01_Вводные'!$B$58)</f>
        <v/>
      </c>
      <c r="BI1725">
        <f>'19_Расчет_аналитики'!BI1395/(1+'01_Вводные'!$B$58)</f>
        <v/>
      </c>
    </row>
    <row r="1726">
      <c r="B1726">
        <f>'19_Расчет_аналитики'!B1396/(1+'01_Вводные'!$B$58)</f>
        <v/>
      </c>
      <c r="C1726">
        <f>'19_Расчет_аналитики'!C1396/(1+'01_Вводные'!$B$58)</f>
        <v/>
      </c>
      <c r="D1726">
        <f>'19_Расчет_аналитики'!D1396/(1+'01_Вводные'!$B$58)</f>
        <v/>
      </c>
      <c r="E1726">
        <f>'19_Расчет_аналитики'!E1396/(1+'01_Вводные'!$B$58)</f>
        <v/>
      </c>
      <c r="F1726">
        <f>'19_Расчет_аналитики'!F1396/(1+'01_Вводные'!$B$58)</f>
        <v/>
      </c>
      <c r="G1726">
        <f>'19_Расчет_аналитики'!G1396/(1+'01_Вводные'!$B$58)</f>
        <v/>
      </c>
      <c r="H1726">
        <f>'19_Расчет_аналитики'!H1396/(1+'01_Вводные'!$B$58)</f>
        <v/>
      </c>
      <c r="I1726">
        <f>'19_Расчет_аналитики'!I1396/(1+'01_Вводные'!$B$58)</f>
        <v/>
      </c>
      <c r="J1726">
        <f>'19_Расчет_аналитики'!J1396/(1+'01_Вводные'!$B$58)</f>
        <v/>
      </c>
      <c r="K1726">
        <f>'19_Расчет_аналитики'!K1396/(1+'01_Вводные'!$B$58)</f>
        <v/>
      </c>
      <c r="L1726">
        <f>'19_Расчет_аналитики'!L1396/(1+'01_Вводные'!$B$58)</f>
        <v/>
      </c>
      <c r="M1726">
        <f>'19_Расчет_аналитики'!M1396/(1+'01_Вводные'!$B$58)</f>
        <v/>
      </c>
      <c r="N1726">
        <f>'19_Расчет_аналитики'!N1396/(1+'01_Вводные'!$B$58)</f>
        <v/>
      </c>
      <c r="O1726">
        <f>'19_Расчет_аналитики'!O1396/(1+'01_Вводные'!$B$58)</f>
        <v/>
      </c>
      <c r="P1726">
        <f>'19_Расчет_аналитики'!P1396/(1+'01_Вводные'!$B$58)</f>
        <v/>
      </c>
      <c r="Q1726">
        <f>'19_Расчет_аналитики'!Q1396/(1+'01_Вводные'!$B$58)</f>
        <v/>
      </c>
      <c r="R1726">
        <f>'19_Расчет_аналитики'!R1396/(1+'01_Вводные'!$B$58)</f>
        <v/>
      </c>
      <c r="S1726">
        <f>'19_Расчет_аналитики'!S1396/(1+'01_Вводные'!$B$58)</f>
        <v/>
      </c>
      <c r="T1726">
        <f>'19_Расчет_аналитики'!T1396/(1+'01_Вводные'!$B$58)</f>
        <v/>
      </c>
      <c r="U1726">
        <f>'19_Расчет_аналитики'!U1396/(1+'01_Вводные'!$B$58)</f>
        <v/>
      </c>
      <c r="V1726">
        <f>'19_Расчет_аналитики'!V1396/(1+'01_Вводные'!$B$58)</f>
        <v/>
      </c>
      <c r="W1726">
        <f>'19_Расчет_аналитики'!W1396/(1+'01_Вводные'!$B$58)</f>
        <v/>
      </c>
      <c r="X1726">
        <f>'19_Расчет_аналитики'!X1396/(1+'01_Вводные'!$B$58)</f>
        <v/>
      </c>
      <c r="Y1726">
        <f>'19_Расчет_аналитики'!Y1396/(1+'01_Вводные'!$B$58)</f>
        <v/>
      </c>
      <c r="Z1726">
        <f>'19_Расчет_аналитики'!Z1396/(1+'01_Вводные'!$B$58)</f>
        <v/>
      </c>
      <c r="AA1726">
        <f>'19_Расчет_аналитики'!AA1396/(1+'01_Вводные'!$B$58)</f>
        <v/>
      </c>
      <c r="AB1726">
        <f>'19_Расчет_аналитики'!AB1396/(1+'01_Вводные'!$B$58)</f>
        <v/>
      </c>
      <c r="AC1726">
        <f>'19_Расчет_аналитики'!AC1396/(1+'01_Вводные'!$B$58)</f>
        <v/>
      </c>
      <c r="AD1726">
        <f>'19_Расчет_аналитики'!AD1396/(1+'01_Вводные'!$B$58)</f>
        <v/>
      </c>
      <c r="AE1726">
        <f>'19_Расчет_аналитики'!AE1396/(1+'01_Вводные'!$B$58)</f>
        <v/>
      </c>
      <c r="AF1726">
        <f>'19_Расчет_аналитики'!AF1396/(1+'01_Вводные'!$B$58)</f>
        <v/>
      </c>
      <c r="AG1726">
        <f>'19_Расчет_аналитики'!AG1396/(1+'01_Вводные'!$B$58)</f>
        <v/>
      </c>
      <c r="AH1726">
        <f>'19_Расчет_аналитики'!AH1396/(1+'01_Вводные'!$B$58)</f>
        <v/>
      </c>
      <c r="AI1726">
        <f>'19_Расчет_аналитики'!AI1396/(1+'01_Вводные'!$B$58)</f>
        <v/>
      </c>
      <c r="AJ1726">
        <f>'19_Расчет_аналитики'!AJ1396/(1+'01_Вводные'!$B$58)</f>
        <v/>
      </c>
      <c r="AK1726">
        <f>'19_Расчет_аналитики'!AK1396/(1+'01_Вводные'!$B$58)</f>
        <v/>
      </c>
      <c r="AL1726">
        <f>'19_Расчет_аналитики'!AL1396/(1+'01_Вводные'!$B$58)</f>
        <v/>
      </c>
      <c r="AM1726">
        <f>'19_Расчет_аналитики'!AM1396/(1+'01_Вводные'!$B$58)</f>
        <v/>
      </c>
      <c r="AN1726">
        <f>'19_Расчет_аналитики'!AN1396/(1+'01_Вводные'!$B$58)</f>
        <v/>
      </c>
      <c r="AO1726">
        <f>'19_Расчет_аналитики'!AO1396/(1+'01_Вводные'!$B$58)</f>
        <v/>
      </c>
      <c r="AP1726">
        <f>'19_Расчет_аналитики'!AP1396/(1+'01_Вводные'!$B$58)</f>
        <v/>
      </c>
      <c r="AQ1726">
        <f>'19_Расчет_аналитики'!AQ1396/(1+'01_Вводные'!$B$58)</f>
        <v/>
      </c>
      <c r="AR1726">
        <f>'19_Расчет_аналитики'!AR1396/(1+'01_Вводные'!$B$58)</f>
        <v/>
      </c>
      <c r="AS1726">
        <f>'19_Расчет_аналитики'!AS1396/(1+'01_Вводные'!$B$58)</f>
        <v/>
      </c>
      <c r="AT1726">
        <f>'19_Расчет_аналитики'!AT1396/(1+'01_Вводные'!$B$58)</f>
        <v/>
      </c>
      <c r="AU1726">
        <f>'19_Расчет_аналитики'!AU1396/(1+'01_Вводные'!$B$58)</f>
        <v/>
      </c>
      <c r="AV1726">
        <f>'19_Расчет_аналитики'!AV1396/(1+'01_Вводные'!$B$58)</f>
        <v/>
      </c>
      <c r="AW1726">
        <f>'19_Расчет_аналитики'!AW1396/(1+'01_Вводные'!$B$58)</f>
        <v/>
      </c>
      <c r="AX1726">
        <f>'19_Расчет_аналитики'!AX1396/(1+'01_Вводные'!$B$58)</f>
        <v/>
      </c>
      <c r="AY1726">
        <f>'19_Расчет_аналитики'!AY1396/(1+'01_Вводные'!$B$58)</f>
        <v/>
      </c>
      <c r="AZ1726">
        <f>'19_Расчет_аналитики'!AZ1396/(1+'01_Вводные'!$B$58)</f>
        <v/>
      </c>
      <c r="BA1726">
        <f>'19_Расчет_аналитики'!BA1396/(1+'01_Вводные'!$B$58)</f>
        <v/>
      </c>
      <c r="BB1726">
        <f>'19_Расчет_аналитики'!BB1396/(1+'01_Вводные'!$B$58)</f>
        <v/>
      </c>
      <c r="BC1726">
        <f>'19_Расчет_аналитики'!BC1396/(1+'01_Вводные'!$B$58)</f>
        <v/>
      </c>
      <c r="BD1726">
        <f>'19_Расчет_аналитики'!BD1396/(1+'01_Вводные'!$B$58)</f>
        <v/>
      </c>
      <c r="BE1726">
        <f>'19_Расчет_аналитики'!BE1396/(1+'01_Вводные'!$B$58)</f>
        <v/>
      </c>
      <c r="BF1726">
        <f>'19_Расчет_аналитики'!BF1396/(1+'01_Вводные'!$B$58)</f>
        <v/>
      </c>
      <c r="BG1726">
        <f>'19_Расчет_аналитики'!BG1396/(1+'01_Вводные'!$B$58)</f>
        <v/>
      </c>
      <c r="BH1726">
        <f>'19_Расчет_аналитики'!BH1396/(1+'01_Вводные'!$B$58)</f>
        <v/>
      </c>
      <c r="BI1726">
        <f>'19_Расчет_аналитики'!BI1396/(1+'01_Вводные'!$B$58)</f>
        <v/>
      </c>
    </row>
    <row r="1727">
      <c r="B1727">
        <f>'19_Расчет_аналитики'!B1628</f>
        <v/>
      </c>
      <c r="C1727">
        <f>'19_Расчет_аналитики'!C1628</f>
        <v/>
      </c>
      <c r="D1727">
        <f>'19_Расчет_аналитики'!D1628</f>
        <v/>
      </c>
      <c r="E1727">
        <f>'19_Расчет_аналитики'!E1628</f>
        <v/>
      </c>
      <c r="F1727">
        <f>'19_Расчет_аналитики'!F1628</f>
        <v/>
      </c>
      <c r="G1727">
        <f>'19_Расчет_аналитики'!G1628</f>
        <v/>
      </c>
      <c r="H1727">
        <f>'19_Расчет_аналитики'!H1628</f>
        <v/>
      </c>
      <c r="I1727">
        <f>'19_Расчет_аналитики'!I1628</f>
        <v/>
      </c>
      <c r="J1727">
        <f>'19_Расчет_аналитики'!J1628</f>
        <v/>
      </c>
      <c r="K1727">
        <f>'19_Расчет_аналитики'!K1628</f>
        <v/>
      </c>
      <c r="L1727">
        <f>'19_Расчет_аналитики'!L1628</f>
        <v/>
      </c>
      <c r="M1727">
        <f>'19_Расчет_аналитики'!M1628</f>
        <v/>
      </c>
      <c r="N1727">
        <f>'19_Расчет_аналитики'!N1628</f>
        <v/>
      </c>
      <c r="O1727">
        <f>'19_Расчет_аналитики'!O1628</f>
        <v/>
      </c>
      <c r="P1727">
        <f>'19_Расчет_аналитики'!P1628</f>
        <v/>
      </c>
      <c r="Q1727">
        <f>'19_Расчет_аналитики'!Q1628</f>
        <v/>
      </c>
      <c r="R1727">
        <f>'19_Расчет_аналитики'!R1628</f>
        <v/>
      </c>
      <c r="S1727">
        <f>'19_Расчет_аналитики'!S1628</f>
        <v/>
      </c>
      <c r="T1727">
        <f>'19_Расчет_аналитики'!T1628</f>
        <v/>
      </c>
      <c r="U1727">
        <f>'19_Расчет_аналитики'!U1628</f>
        <v/>
      </c>
      <c r="V1727">
        <f>'19_Расчет_аналитики'!V1628</f>
        <v/>
      </c>
      <c r="W1727">
        <f>'19_Расчет_аналитики'!W1628</f>
        <v/>
      </c>
      <c r="X1727">
        <f>'19_Расчет_аналитики'!X1628</f>
        <v/>
      </c>
      <c r="Y1727">
        <f>'19_Расчет_аналитики'!Y1628</f>
        <v/>
      </c>
      <c r="Z1727">
        <f>'19_Расчет_аналитики'!Z1628</f>
        <v/>
      </c>
      <c r="AA1727">
        <f>'19_Расчет_аналитики'!AA1628</f>
        <v/>
      </c>
      <c r="AB1727">
        <f>'19_Расчет_аналитики'!AB1628</f>
        <v/>
      </c>
      <c r="AC1727">
        <f>'19_Расчет_аналитики'!AC1628</f>
        <v/>
      </c>
      <c r="AD1727">
        <f>'19_Расчет_аналитики'!AD1628</f>
        <v/>
      </c>
      <c r="AE1727">
        <f>'19_Расчет_аналитики'!AE1628</f>
        <v/>
      </c>
      <c r="AF1727">
        <f>'19_Расчет_аналитики'!AF1628</f>
        <v/>
      </c>
      <c r="AG1727">
        <f>'19_Расчет_аналитики'!AG1628</f>
        <v/>
      </c>
      <c r="AH1727">
        <f>'19_Расчет_аналитики'!AH1628</f>
        <v/>
      </c>
      <c r="AI1727">
        <f>'19_Расчет_аналитики'!AI1628</f>
        <v/>
      </c>
      <c r="AJ1727">
        <f>'19_Расчет_аналитики'!AJ1628</f>
        <v/>
      </c>
      <c r="AK1727">
        <f>'19_Расчет_аналитики'!AK1628</f>
        <v/>
      </c>
      <c r="AL1727">
        <f>'19_Расчет_аналитики'!AL1628</f>
        <v/>
      </c>
      <c r="AM1727">
        <f>'19_Расчет_аналитики'!AM1628</f>
        <v/>
      </c>
      <c r="AN1727">
        <f>'19_Расчет_аналитики'!AN1628</f>
        <v/>
      </c>
      <c r="AO1727">
        <f>'19_Расчет_аналитики'!AO1628</f>
        <v/>
      </c>
      <c r="AP1727">
        <f>'19_Расчет_аналитики'!AP1628</f>
        <v/>
      </c>
      <c r="AQ1727">
        <f>'19_Расчет_аналитики'!AQ1628</f>
        <v/>
      </c>
      <c r="AR1727">
        <f>'19_Расчет_аналитики'!AR1628</f>
        <v/>
      </c>
      <c r="AS1727">
        <f>'19_Расчет_аналитики'!AS1628</f>
        <v/>
      </c>
      <c r="AT1727">
        <f>'19_Расчет_аналитики'!AT1628</f>
        <v/>
      </c>
      <c r="AU1727">
        <f>'19_Расчет_аналитики'!AU1628</f>
        <v/>
      </c>
      <c r="AV1727">
        <f>'19_Расчет_аналитики'!AV1628</f>
        <v/>
      </c>
      <c r="AW1727">
        <f>'19_Расчет_аналитики'!AW1628</f>
        <v/>
      </c>
      <c r="AX1727">
        <f>'19_Расчет_аналитики'!AX1628</f>
        <v/>
      </c>
      <c r="AY1727">
        <f>'19_Расчет_аналитики'!AY1628</f>
        <v/>
      </c>
      <c r="AZ1727">
        <f>'19_Расчет_аналитики'!AZ1628</f>
        <v/>
      </c>
      <c r="BA1727">
        <f>'19_Расчет_аналитики'!BA1628</f>
        <v/>
      </c>
      <c r="BB1727">
        <f>'19_Расчет_аналитики'!BB1628</f>
        <v/>
      </c>
      <c r="BC1727">
        <f>'19_Расчет_аналитики'!BC1628</f>
        <v/>
      </c>
      <c r="BD1727">
        <f>'19_Расчет_аналитики'!BD1628</f>
        <v/>
      </c>
      <c r="BE1727">
        <f>'19_Расчет_аналитики'!BE1628</f>
        <v/>
      </c>
      <c r="BF1727">
        <f>'19_Расчет_аналитики'!BF1628</f>
        <v/>
      </c>
      <c r="BG1727">
        <f>'19_Расчет_аналитики'!BG1628</f>
        <v/>
      </c>
      <c r="BH1727">
        <f>'19_Расчет_аналитики'!BH1628</f>
        <v/>
      </c>
      <c r="BI1727">
        <f>'19_Расчет_аналитики'!BI1628</f>
        <v/>
      </c>
    </row>
    <row r="1728">
      <c r="B1728">
        <f>'02_Модель'!B22</f>
        <v/>
      </c>
      <c r="C1728">
        <f>'02_Модель'!C22</f>
        <v/>
      </c>
      <c r="D1728">
        <f>'02_Модель'!D22</f>
        <v/>
      </c>
      <c r="E1728">
        <f>'02_Модель'!E22</f>
        <v/>
      </c>
      <c r="F1728">
        <f>'02_Модель'!F22</f>
        <v/>
      </c>
      <c r="G1728">
        <f>'02_Модель'!G22</f>
        <v/>
      </c>
      <c r="H1728">
        <f>'02_Модель'!H22</f>
        <v/>
      </c>
      <c r="I1728">
        <f>'02_Модель'!I22</f>
        <v/>
      </c>
      <c r="J1728">
        <f>'02_Модель'!J22</f>
        <v/>
      </c>
      <c r="K1728">
        <f>'02_Модель'!K22</f>
        <v/>
      </c>
      <c r="L1728">
        <f>'02_Модель'!L22</f>
        <v/>
      </c>
      <c r="M1728">
        <f>'02_Модель'!M22</f>
        <v/>
      </c>
      <c r="N1728">
        <f>'02_Модель'!N22</f>
        <v/>
      </c>
      <c r="O1728">
        <f>'02_Модель'!O22</f>
        <v/>
      </c>
      <c r="P1728">
        <f>'02_Модель'!P22</f>
        <v/>
      </c>
      <c r="Q1728">
        <f>'02_Модель'!Q22</f>
        <v/>
      </c>
      <c r="R1728">
        <f>'02_Модель'!R22</f>
        <v/>
      </c>
      <c r="S1728">
        <f>'02_Модель'!S22</f>
        <v/>
      </c>
      <c r="T1728">
        <f>'02_Модель'!T22</f>
        <v/>
      </c>
      <c r="U1728">
        <f>'02_Модель'!U22</f>
        <v/>
      </c>
      <c r="V1728">
        <f>'02_Модель'!V22</f>
        <v/>
      </c>
      <c r="W1728">
        <f>'02_Модель'!W22</f>
        <v/>
      </c>
      <c r="X1728">
        <f>'02_Модель'!X22</f>
        <v/>
      </c>
      <c r="Y1728">
        <f>'02_Модель'!Y22</f>
        <v/>
      </c>
      <c r="Z1728">
        <f>'02_Модель'!Z22</f>
        <v/>
      </c>
      <c r="AA1728">
        <f>'02_Модель'!AA22</f>
        <v/>
      </c>
      <c r="AB1728">
        <f>'02_Модель'!AB22</f>
        <v/>
      </c>
      <c r="AC1728">
        <f>'02_Модель'!AC22</f>
        <v/>
      </c>
      <c r="AD1728">
        <f>'02_Модель'!AD22</f>
        <v/>
      </c>
      <c r="AE1728">
        <f>'02_Модель'!AE22</f>
        <v/>
      </c>
      <c r="AF1728">
        <f>'02_Модель'!AF22</f>
        <v/>
      </c>
      <c r="AG1728">
        <f>'02_Модель'!AG22</f>
        <v/>
      </c>
      <c r="AH1728">
        <f>'02_Модель'!AH22</f>
        <v/>
      </c>
      <c r="AI1728">
        <f>'02_Модель'!AI22</f>
        <v/>
      </c>
      <c r="AJ1728">
        <f>'02_Модель'!AJ22</f>
        <v/>
      </c>
      <c r="AK1728">
        <f>'02_Модель'!AK22</f>
        <v/>
      </c>
      <c r="AL1728">
        <f>'02_Модель'!AL22</f>
        <v/>
      </c>
      <c r="AM1728">
        <f>'02_Модель'!AM22</f>
        <v/>
      </c>
      <c r="AN1728">
        <f>'02_Модель'!AN22</f>
        <v/>
      </c>
      <c r="AO1728">
        <f>'02_Модель'!AO22</f>
        <v/>
      </c>
      <c r="AP1728">
        <f>'02_Модель'!AP22</f>
        <v/>
      </c>
      <c r="AQ1728">
        <f>'02_Модель'!AQ22</f>
        <v/>
      </c>
      <c r="AR1728">
        <f>'02_Модель'!AR22</f>
        <v/>
      </c>
      <c r="AS1728">
        <f>'02_Модель'!AS22</f>
        <v/>
      </c>
      <c r="AT1728">
        <f>'02_Модель'!AT22</f>
        <v/>
      </c>
      <c r="AU1728">
        <f>'02_Модель'!AU22</f>
        <v/>
      </c>
      <c r="AV1728">
        <f>'02_Модель'!AV22</f>
        <v/>
      </c>
      <c r="AW1728">
        <f>'02_Модель'!AW22</f>
        <v/>
      </c>
      <c r="AX1728">
        <f>'02_Модель'!AX22</f>
        <v/>
      </c>
      <c r="AY1728">
        <f>'02_Модель'!AY22</f>
        <v/>
      </c>
      <c r="AZ1728">
        <f>'02_Модель'!AZ22</f>
        <v/>
      </c>
      <c r="BA1728">
        <f>'02_Модель'!BA22</f>
        <v/>
      </c>
      <c r="BB1728">
        <f>'02_Модель'!BB22</f>
        <v/>
      </c>
      <c r="BC1728">
        <f>'02_Модель'!BC22</f>
        <v/>
      </c>
      <c r="BD1728">
        <f>'02_Модель'!BD22</f>
        <v/>
      </c>
      <c r="BE1728">
        <f>'02_Модель'!BE22</f>
        <v/>
      </c>
      <c r="BF1728">
        <f>'02_Модель'!BF22</f>
        <v/>
      </c>
      <c r="BG1728">
        <f>'02_Модель'!BG22</f>
        <v/>
      </c>
      <c r="BH1728">
        <f>'02_Модель'!BH22</f>
        <v/>
      </c>
      <c r="BI1728">
        <f>'02_Модель'!BI22</f>
        <v/>
      </c>
    </row>
    <row r="1729">
      <c r="B1729">
        <f>SUM('19_Расчет_аналитики'!B1724:B1728)</f>
        <v/>
      </c>
      <c r="C1729">
        <f>SUM('19_Расчет_аналитики'!C1724:C1728)</f>
        <v/>
      </c>
      <c r="D1729">
        <f>SUM('19_Расчет_аналитики'!D1724:D1728)</f>
        <v/>
      </c>
      <c r="E1729">
        <f>SUM('19_Расчет_аналитики'!E1724:E1728)</f>
        <v/>
      </c>
      <c r="F1729">
        <f>SUM('19_Расчет_аналитики'!F1724:F1728)</f>
        <v/>
      </c>
      <c r="G1729">
        <f>SUM('19_Расчет_аналитики'!G1724:G1728)</f>
        <v/>
      </c>
      <c r="H1729">
        <f>SUM('19_Расчет_аналитики'!H1724:H1728)</f>
        <v/>
      </c>
      <c r="I1729">
        <f>SUM('19_Расчет_аналитики'!I1724:I1728)</f>
        <v/>
      </c>
      <c r="J1729">
        <f>SUM('19_Расчет_аналитики'!J1724:J1728)</f>
        <v/>
      </c>
      <c r="K1729">
        <f>SUM('19_Расчет_аналитики'!K1724:K1728)</f>
        <v/>
      </c>
      <c r="L1729">
        <f>SUM('19_Расчет_аналитики'!L1724:L1728)</f>
        <v/>
      </c>
      <c r="M1729">
        <f>SUM('19_Расчет_аналитики'!M1724:M1728)</f>
        <v/>
      </c>
      <c r="N1729">
        <f>SUM('19_Расчет_аналитики'!N1724:N1728)</f>
        <v/>
      </c>
      <c r="O1729">
        <f>SUM('19_Расчет_аналитики'!O1724:O1728)</f>
        <v/>
      </c>
      <c r="P1729">
        <f>SUM('19_Расчет_аналитики'!P1724:P1728)</f>
        <v/>
      </c>
      <c r="Q1729">
        <f>SUM('19_Расчет_аналитики'!Q1724:Q1728)</f>
        <v/>
      </c>
      <c r="R1729">
        <f>SUM('19_Расчет_аналитики'!R1724:R1728)</f>
        <v/>
      </c>
      <c r="S1729">
        <f>SUM('19_Расчет_аналитики'!S1724:S1728)</f>
        <v/>
      </c>
      <c r="T1729">
        <f>SUM('19_Расчет_аналитики'!T1724:T1728)</f>
        <v/>
      </c>
      <c r="U1729">
        <f>SUM('19_Расчет_аналитики'!U1724:U1728)</f>
        <v/>
      </c>
      <c r="V1729">
        <f>SUM('19_Расчет_аналитики'!V1724:V1728)</f>
        <v/>
      </c>
      <c r="W1729">
        <f>SUM('19_Расчет_аналитики'!W1724:W1728)</f>
        <v/>
      </c>
      <c r="X1729">
        <f>SUM('19_Расчет_аналитики'!X1724:X1728)</f>
        <v/>
      </c>
      <c r="Y1729">
        <f>SUM('19_Расчет_аналитики'!Y1724:Y1728)</f>
        <v/>
      </c>
      <c r="Z1729">
        <f>SUM('19_Расчет_аналитики'!Z1724:Z1728)</f>
        <v/>
      </c>
      <c r="AA1729">
        <f>SUM('19_Расчет_аналитики'!AA1724:AA1728)</f>
        <v/>
      </c>
      <c r="AB1729">
        <f>SUM('19_Расчет_аналитики'!AB1724:AB1728)</f>
        <v/>
      </c>
      <c r="AC1729">
        <f>SUM('19_Расчет_аналитики'!AC1724:AC1728)</f>
        <v/>
      </c>
      <c r="AD1729">
        <f>SUM('19_Расчет_аналитики'!AD1724:AD1728)</f>
        <v/>
      </c>
      <c r="AE1729">
        <f>SUM('19_Расчет_аналитики'!AE1724:AE1728)</f>
        <v/>
      </c>
      <c r="AF1729">
        <f>SUM('19_Расчет_аналитики'!AF1724:AF1728)</f>
        <v/>
      </c>
      <c r="AG1729">
        <f>SUM('19_Расчет_аналитики'!AG1724:AG1728)</f>
        <v/>
      </c>
      <c r="AH1729">
        <f>SUM('19_Расчет_аналитики'!AH1724:AH1728)</f>
        <v/>
      </c>
      <c r="AI1729">
        <f>SUM('19_Расчет_аналитики'!AI1724:AI1728)</f>
        <v/>
      </c>
      <c r="AJ1729">
        <f>SUM('19_Расчет_аналитики'!AJ1724:AJ1728)</f>
        <v/>
      </c>
      <c r="AK1729">
        <f>SUM('19_Расчет_аналитики'!AK1724:AK1728)</f>
        <v/>
      </c>
      <c r="AL1729">
        <f>SUM('19_Расчет_аналитики'!AL1724:AL1728)</f>
        <v/>
      </c>
      <c r="AM1729">
        <f>SUM('19_Расчет_аналитики'!AM1724:AM1728)</f>
        <v/>
      </c>
      <c r="AN1729">
        <f>SUM('19_Расчет_аналитики'!AN1724:AN1728)</f>
        <v/>
      </c>
      <c r="AO1729">
        <f>SUM('19_Расчет_аналитики'!AO1724:AO1728)</f>
        <v/>
      </c>
      <c r="AP1729">
        <f>SUM('19_Расчет_аналитики'!AP1724:AP1728)</f>
        <v/>
      </c>
      <c r="AQ1729">
        <f>SUM('19_Расчет_аналитики'!AQ1724:AQ1728)</f>
        <v/>
      </c>
      <c r="AR1729">
        <f>SUM('19_Расчет_аналитики'!AR1724:AR1728)</f>
        <v/>
      </c>
      <c r="AS1729">
        <f>SUM('19_Расчет_аналитики'!AS1724:AS1728)</f>
        <v/>
      </c>
      <c r="AT1729">
        <f>SUM('19_Расчет_аналитики'!AT1724:AT1728)</f>
        <v/>
      </c>
      <c r="AU1729">
        <f>SUM('19_Расчет_аналитики'!AU1724:AU1728)</f>
        <v/>
      </c>
      <c r="AV1729">
        <f>SUM('19_Расчет_аналитики'!AV1724:AV1728)</f>
        <v/>
      </c>
      <c r="AW1729">
        <f>SUM('19_Расчет_аналитики'!AW1724:AW1728)</f>
        <v/>
      </c>
      <c r="AX1729">
        <f>SUM('19_Расчет_аналитики'!AX1724:AX1728)</f>
        <v/>
      </c>
      <c r="AY1729">
        <f>SUM('19_Расчет_аналитики'!AY1724:AY1728)</f>
        <v/>
      </c>
      <c r="AZ1729">
        <f>SUM('19_Расчет_аналитики'!AZ1724:AZ1728)</f>
        <v/>
      </c>
      <c r="BA1729">
        <f>SUM('19_Расчет_аналитики'!BA1724:BA1728)</f>
        <v/>
      </c>
      <c r="BB1729">
        <f>SUM('19_Расчет_аналитики'!BB1724:BB1728)</f>
        <v/>
      </c>
      <c r="BC1729">
        <f>SUM('19_Расчет_аналитики'!BC1724:BC1728)</f>
        <v/>
      </c>
      <c r="BD1729">
        <f>SUM('19_Расчет_аналитики'!BD1724:BD1728)</f>
        <v/>
      </c>
      <c r="BE1729">
        <f>SUM('19_Расчет_аналитики'!BE1724:BE1728)</f>
        <v/>
      </c>
      <c r="BF1729">
        <f>SUM('19_Расчет_аналитики'!BF1724:BF1728)</f>
        <v/>
      </c>
      <c r="BG1729">
        <f>SUM('19_Расчет_аналитики'!BG1724:BG1728)</f>
        <v/>
      </c>
      <c r="BH1729">
        <f>SUM('19_Расчет_аналитики'!BH1724:BH1728)</f>
        <v/>
      </c>
      <c r="BI1729">
        <f>SUM('19_Расчет_аналитики'!BI1724:BI1728)</f>
        <v/>
      </c>
    </row>
    <row r="1730"/>
    <row r="1731"/>
    <row r="1732">
      <c r="B1732">
        <f>'19_Расчет_аналитики'!B1629</f>
        <v/>
      </c>
      <c r="C1732">
        <f>'19_Расчет_аналитики'!C1629</f>
        <v/>
      </c>
      <c r="D1732">
        <f>'19_Расчет_аналитики'!D1629</f>
        <v/>
      </c>
      <c r="E1732">
        <f>'19_Расчет_аналитики'!E1629</f>
        <v/>
      </c>
      <c r="F1732">
        <f>'19_Расчет_аналитики'!F1629</f>
        <v/>
      </c>
      <c r="G1732">
        <f>'19_Расчет_аналитики'!G1629</f>
        <v/>
      </c>
      <c r="H1732">
        <f>'19_Расчет_аналитики'!H1629</f>
        <v/>
      </c>
      <c r="I1732">
        <f>'19_Расчет_аналитики'!I1629</f>
        <v/>
      </c>
      <c r="J1732">
        <f>'19_Расчет_аналитики'!J1629</f>
        <v/>
      </c>
      <c r="K1732">
        <f>'19_Расчет_аналитики'!K1629</f>
        <v/>
      </c>
      <c r="L1732">
        <f>'19_Расчет_аналитики'!L1629</f>
        <v/>
      </c>
      <c r="M1732">
        <f>'19_Расчет_аналитики'!M1629</f>
        <v/>
      </c>
      <c r="N1732">
        <f>'19_Расчет_аналитики'!N1629</f>
        <v/>
      </c>
      <c r="O1732">
        <f>'19_Расчет_аналитики'!O1629</f>
        <v/>
      </c>
      <c r="P1732">
        <f>'19_Расчет_аналитики'!P1629</f>
        <v/>
      </c>
      <c r="Q1732">
        <f>'19_Расчет_аналитики'!Q1629</f>
        <v/>
      </c>
      <c r="R1732">
        <f>'19_Расчет_аналитики'!R1629</f>
        <v/>
      </c>
      <c r="S1732">
        <f>'19_Расчет_аналитики'!S1629</f>
        <v/>
      </c>
      <c r="T1732">
        <f>'19_Расчет_аналитики'!T1629</f>
        <v/>
      </c>
      <c r="U1732">
        <f>'19_Расчет_аналитики'!U1629</f>
        <v/>
      </c>
      <c r="V1732">
        <f>'19_Расчет_аналитики'!V1629</f>
        <v/>
      </c>
      <c r="W1732">
        <f>'19_Расчет_аналитики'!W1629</f>
        <v/>
      </c>
      <c r="X1732">
        <f>'19_Расчет_аналитики'!X1629</f>
        <v/>
      </c>
      <c r="Y1732">
        <f>'19_Расчет_аналитики'!Y1629</f>
        <v/>
      </c>
      <c r="Z1732">
        <f>'19_Расчет_аналитики'!Z1629</f>
        <v/>
      </c>
      <c r="AA1732">
        <f>'19_Расчет_аналитики'!AA1629</f>
        <v/>
      </c>
      <c r="AB1732">
        <f>'19_Расчет_аналитики'!AB1629</f>
        <v/>
      </c>
      <c r="AC1732">
        <f>'19_Расчет_аналитики'!AC1629</f>
        <v/>
      </c>
      <c r="AD1732">
        <f>'19_Расчет_аналитики'!AD1629</f>
        <v/>
      </c>
      <c r="AE1732">
        <f>'19_Расчет_аналитики'!AE1629</f>
        <v/>
      </c>
      <c r="AF1732">
        <f>'19_Расчет_аналитики'!AF1629</f>
        <v/>
      </c>
      <c r="AG1732">
        <f>'19_Расчет_аналитики'!AG1629</f>
        <v/>
      </c>
      <c r="AH1732">
        <f>'19_Расчет_аналитики'!AH1629</f>
        <v/>
      </c>
      <c r="AI1732">
        <f>'19_Расчет_аналитики'!AI1629</f>
        <v/>
      </c>
      <c r="AJ1732">
        <f>'19_Расчет_аналитики'!AJ1629</f>
        <v/>
      </c>
      <c r="AK1732">
        <f>'19_Расчет_аналитики'!AK1629</f>
        <v/>
      </c>
      <c r="AL1732">
        <f>'19_Расчет_аналитики'!AL1629</f>
        <v/>
      </c>
      <c r="AM1732">
        <f>'19_Расчет_аналитики'!AM1629</f>
        <v/>
      </c>
      <c r="AN1732">
        <f>'19_Расчет_аналитики'!AN1629</f>
        <v/>
      </c>
      <c r="AO1732">
        <f>'19_Расчет_аналитики'!AO1629</f>
        <v/>
      </c>
      <c r="AP1732">
        <f>'19_Расчет_аналитики'!AP1629</f>
        <v/>
      </c>
      <c r="AQ1732">
        <f>'19_Расчет_аналитики'!AQ1629</f>
        <v/>
      </c>
      <c r="AR1732">
        <f>'19_Расчет_аналитики'!AR1629</f>
        <v/>
      </c>
      <c r="AS1732">
        <f>'19_Расчет_аналитики'!AS1629</f>
        <v/>
      </c>
      <c r="AT1732">
        <f>'19_Расчет_аналитики'!AT1629</f>
        <v/>
      </c>
      <c r="AU1732">
        <f>'19_Расчет_аналитики'!AU1629</f>
        <v/>
      </c>
      <c r="AV1732">
        <f>'19_Расчет_аналитики'!AV1629</f>
        <v/>
      </c>
      <c r="AW1732">
        <f>'19_Расчет_аналитики'!AW1629</f>
        <v/>
      </c>
      <c r="AX1732">
        <f>'19_Расчет_аналитики'!AX1629</f>
        <v/>
      </c>
      <c r="AY1732">
        <f>'19_Расчет_аналитики'!AY1629</f>
        <v/>
      </c>
      <c r="AZ1732">
        <f>'19_Расчет_аналитики'!AZ1629</f>
        <v/>
      </c>
      <c r="BA1732">
        <f>'19_Расчет_аналитики'!BA1629</f>
        <v/>
      </c>
      <c r="BB1732">
        <f>'19_Расчет_аналитики'!BB1629</f>
        <v/>
      </c>
      <c r="BC1732">
        <f>'19_Расчет_аналитики'!BC1629</f>
        <v/>
      </c>
      <c r="BD1732">
        <f>'19_Расчет_аналитики'!BD1629</f>
        <v/>
      </c>
      <c r="BE1732">
        <f>'19_Расчет_аналитики'!BE1629</f>
        <v/>
      </c>
      <c r="BF1732">
        <f>'19_Расчет_аналитики'!BF1629</f>
        <v/>
      </c>
      <c r="BG1732">
        <f>'19_Расчет_аналитики'!BG1629</f>
        <v/>
      </c>
      <c r="BH1732">
        <f>'19_Расчет_аналитики'!BH1629</f>
        <v/>
      </c>
      <c r="BI1732">
        <f>'19_Расчет_аналитики'!BI1629</f>
        <v/>
      </c>
    </row>
    <row r="1733">
      <c r="B1733">
        <f>'19_Расчет_аналитики'!B1630</f>
        <v/>
      </c>
      <c r="C1733">
        <f>'19_Расчет_аналитики'!C1630</f>
        <v/>
      </c>
      <c r="D1733">
        <f>'19_Расчет_аналитики'!D1630</f>
        <v/>
      </c>
      <c r="E1733">
        <f>'19_Расчет_аналитики'!E1630</f>
        <v/>
      </c>
      <c r="F1733">
        <f>'19_Расчет_аналитики'!F1630</f>
        <v/>
      </c>
      <c r="G1733">
        <f>'19_Расчет_аналитики'!G1630</f>
        <v/>
      </c>
      <c r="H1733">
        <f>'19_Расчет_аналитики'!H1630</f>
        <v/>
      </c>
      <c r="I1733">
        <f>'19_Расчет_аналитики'!I1630</f>
        <v/>
      </c>
      <c r="J1733">
        <f>'19_Расчет_аналитики'!J1630</f>
        <v/>
      </c>
      <c r="K1733">
        <f>'19_Расчет_аналитики'!K1630</f>
        <v/>
      </c>
      <c r="L1733">
        <f>'19_Расчет_аналитики'!L1630</f>
        <v/>
      </c>
      <c r="M1733">
        <f>'19_Расчет_аналитики'!M1630</f>
        <v/>
      </c>
      <c r="N1733">
        <f>'19_Расчет_аналитики'!N1630</f>
        <v/>
      </c>
      <c r="O1733">
        <f>'19_Расчет_аналитики'!O1630</f>
        <v/>
      </c>
      <c r="P1733">
        <f>'19_Расчет_аналитики'!P1630</f>
        <v/>
      </c>
      <c r="Q1733">
        <f>'19_Расчет_аналитики'!Q1630</f>
        <v/>
      </c>
      <c r="R1733">
        <f>'19_Расчет_аналитики'!R1630</f>
        <v/>
      </c>
      <c r="S1733">
        <f>'19_Расчет_аналитики'!S1630</f>
        <v/>
      </c>
      <c r="T1733">
        <f>'19_Расчет_аналитики'!T1630</f>
        <v/>
      </c>
      <c r="U1733">
        <f>'19_Расчет_аналитики'!U1630</f>
        <v/>
      </c>
      <c r="V1733">
        <f>'19_Расчет_аналитики'!V1630</f>
        <v/>
      </c>
      <c r="W1733">
        <f>'19_Расчет_аналитики'!W1630</f>
        <v/>
      </c>
      <c r="X1733">
        <f>'19_Расчет_аналитики'!X1630</f>
        <v/>
      </c>
      <c r="Y1733">
        <f>'19_Расчет_аналитики'!Y1630</f>
        <v/>
      </c>
      <c r="Z1733">
        <f>'19_Расчет_аналитики'!Z1630</f>
        <v/>
      </c>
      <c r="AA1733">
        <f>'19_Расчет_аналитики'!AA1630</f>
        <v/>
      </c>
      <c r="AB1733">
        <f>'19_Расчет_аналитики'!AB1630</f>
        <v/>
      </c>
      <c r="AC1733">
        <f>'19_Расчет_аналитики'!AC1630</f>
        <v/>
      </c>
      <c r="AD1733">
        <f>'19_Расчет_аналитики'!AD1630</f>
        <v/>
      </c>
      <c r="AE1733">
        <f>'19_Расчет_аналитики'!AE1630</f>
        <v/>
      </c>
      <c r="AF1733">
        <f>'19_Расчет_аналитики'!AF1630</f>
        <v/>
      </c>
      <c r="AG1733">
        <f>'19_Расчет_аналитики'!AG1630</f>
        <v/>
      </c>
      <c r="AH1733">
        <f>'19_Расчет_аналитики'!AH1630</f>
        <v/>
      </c>
      <c r="AI1733">
        <f>'19_Расчет_аналитики'!AI1630</f>
        <v/>
      </c>
      <c r="AJ1733">
        <f>'19_Расчет_аналитики'!AJ1630</f>
        <v/>
      </c>
      <c r="AK1733">
        <f>'19_Расчет_аналитики'!AK1630</f>
        <v/>
      </c>
      <c r="AL1733">
        <f>'19_Расчет_аналитики'!AL1630</f>
        <v/>
      </c>
      <c r="AM1733">
        <f>'19_Расчет_аналитики'!AM1630</f>
        <v/>
      </c>
      <c r="AN1733">
        <f>'19_Расчет_аналитики'!AN1630</f>
        <v/>
      </c>
      <c r="AO1733">
        <f>'19_Расчет_аналитики'!AO1630</f>
        <v/>
      </c>
      <c r="AP1733">
        <f>'19_Расчет_аналитики'!AP1630</f>
        <v/>
      </c>
      <c r="AQ1733">
        <f>'19_Расчет_аналитики'!AQ1630</f>
        <v/>
      </c>
      <c r="AR1733">
        <f>'19_Расчет_аналитики'!AR1630</f>
        <v/>
      </c>
      <c r="AS1733">
        <f>'19_Расчет_аналитики'!AS1630</f>
        <v/>
      </c>
      <c r="AT1733">
        <f>'19_Расчет_аналитики'!AT1630</f>
        <v/>
      </c>
      <c r="AU1733">
        <f>'19_Расчет_аналитики'!AU1630</f>
        <v/>
      </c>
      <c r="AV1733">
        <f>'19_Расчет_аналитики'!AV1630</f>
        <v/>
      </c>
      <c r="AW1733">
        <f>'19_Расчет_аналитики'!AW1630</f>
        <v/>
      </c>
      <c r="AX1733">
        <f>'19_Расчет_аналитики'!AX1630</f>
        <v/>
      </c>
      <c r="AY1733">
        <f>'19_Расчет_аналитики'!AY1630</f>
        <v/>
      </c>
      <c r="AZ1733">
        <f>'19_Расчет_аналитики'!AZ1630</f>
        <v/>
      </c>
      <c r="BA1733">
        <f>'19_Расчет_аналитики'!BA1630</f>
        <v/>
      </c>
      <c r="BB1733">
        <f>'19_Расчет_аналитики'!BB1630</f>
        <v/>
      </c>
      <c r="BC1733">
        <f>'19_Расчет_аналитики'!BC1630</f>
        <v/>
      </c>
      <c r="BD1733">
        <f>'19_Расчет_аналитики'!BD1630</f>
        <v/>
      </c>
      <c r="BE1733">
        <f>'19_Расчет_аналитики'!BE1630</f>
        <v/>
      </c>
      <c r="BF1733">
        <f>'19_Расчет_аналитики'!BF1630</f>
        <v/>
      </c>
      <c r="BG1733">
        <f>'19_Расчет_аналитики'!BG1630</f>
        <v/>
      </c>
      <c r="BH1733">
        <f>'19_Расчет_аналитики'!BH1630</f>
        <v/>
      </c>
      <c r="BI1733">
        <f>'19_Расчет_аналитики'!BI1630</f>
        <v/>
      </c>
    </row>
    <row r="1734">
      <c r="B1734">
        <f>'19_Расчет_аналитики'!B1632</f>
        <v/>
      </c>
      <c r="C1734">
        <f>'19_Расчет_аналитики'!C1632</f>
        <v/>
      </c>
      <c r="D1734">
        <f>'19_Расчет_аналитики'!D1632</f>
        <v/>
      </c>
      <c r="E1734">
        <f>'19_Расчет_аналитики'!E1632</f>
        <v/>
      </c>
      <c r="F1734">
        <f>'19_Расчет_аналитики'!F1632</f>
        <v/>
      </c>
      <c r="G1734">
        <f>'19_Расчет_аналитики'!G1632</f>
        <v/>
      </c>
      <c r="H1734">
        <f>'19_Расчет_аналитики'!H1632</f>
        <v/>
      </c>
      <c r="I1734">
        <f>'19_Расчет_аналитики'!I1632</f>
        <v/>
      </c>
      <c r="J1734">
        <f>'19_Расчет_аналитики'!J1632</f>
        <v/>
      </c>
      <c r="K1734">
        <f>'19_Расчет_аналитики'!K1632</f>
        <v/>
      </c>
      <c r="L1734">
        <f>'19_Расчет_аналитики'!L1632</f>
        <v/>
      </c>
      <c r="M1734">
        <f>'19_Расчет_аналитики'!M1632</f>
        <v/>
      </c>
      <c r="N1734">
        <f>'19_Расчет_аналитики'!N1632</f>
        <v/>
      </c>
      <c r="O1734">
        <f>'19_Расчет_аналитики'!O1632</f>
        <v/>
      </c>
      <c r="P1734">
        <f>'19_Расчет_аналитики'!P1632</f>
        <v/>
      </c>
      <c r="Q1734">
        <f>'19_Расчет_аналитики'!Q1632</f>
        <v/>
      </c>
      <c r="R1734">
        <f>'19_Расчет_аналитики'!R1632</f>
        <v/>
      </c>
      <c r="S1734">
        <f>'19_Расчет_аналитики'!S1632</f>
        <v/>
      </c>
      <c r="T1734">
        <f>'19_Расчет_аналитики'!T1632</f>
        <v/>
      </c>
      <c r="U1734">
        <f>'19_Расчет_аналитики'!U1632</f>
        <v/>
      </c>
      <c r="V1734">
        <f>'19_Расчет_аналитики'!V1632</f>
        <v/>
      </c>
      <c r="W1734">
        <f>'19_Расчет_аналитики'!W1632</f>
        <v/>
      </c>
      <c r="X1734">
        <f>'19_Расчет_аналитики'!X1632</f>
        <v/>
      </c>
      <c r="Y1734">
        <f>'19_Расчет_аналитики'!Y1632</f>
        <v/>
      </c>
      <c r="Z1734">
        <f>'19_Расчет_аналитики'!Z1632</f>
        <v/>
      </c>
      <c r="AA1734">
        <f>'19_Расчет_аналитики'!AA1632</f>
        <v/>
      </c>
      <c r="AB1734">
        <f>'19_Расчет_аналитики'!AB1632</f>
        <v/>
      </c>
      <c r="AC1734">
        <f>'19_Расчет_аналитики'!AC1632</f>
        <v/>
      </c>
      <c r="AD1734">
        <f>'19_Расчет_аналитики'!AD1632</f>
        <v/>
      </c>
      <c r="AE1734">
        <f>'19_Расчет_аналитики'!AE1632</f>
        <v/>
      </c>
      <c r="AF1734">
        <f>'19_Расчет_аналитики'!AF1632</f>
        <v/>
      </c>
      <c r="AG1734">
        <f>'19_Расчет_аналитики'!AG1632</f>
        <v/>
      </c>
      <c r="AH1734">
        <f>'19_Расчет_аналитики'!AH1632</f>
        <v/>
      </c>
      <c r="AI1734">
        <f>'19_Расчет_аналитики'!AI1632</f>
        <v/>
      </c>
      <c r="AJ1734">
        <f>'19_Расчет_аналитики'!AJ1632</f>
        <v/>
      </c>
      <c r="AK1734">
        <f>'19_Расчет_аналитики'!AK1632</f>
        <v/>
      </c>
      <c r="AL1734">
        <f>'19_Расчет_аналитики'!AL1632</f>
        <v/>
      </c>
      <c r="AM1734">
        <f>'19_Расчет_аналитики'!AM1632</f>
        <v/>
      </c>
      <c r="AN1734">
        <f>'19_Расчет_аналитики'!AN1632</f>
        <v/>
      </c>
      <c r="AO1734">
        <f>'19_Расчет_аналитики'!AO1632</f>
        <v/>
      </c>
      <c r="AP1734">
        <f>'19_Расчет_аналитики'!AP1632</f>
        <v/>
      </c>
      <c r="AQ1734">
        <f>'19_Расчет_аналитики'!AQ1632</f>
        <v/>
      </c>
      <c r="AR1734">
        <f>'19_Расчет_аналитики'!AR1632</f>
        <v/>
      </c>
      <c r="AS1734">
        <f>'19_Расчет_аналитики'!AS1632</f>
        <v/>
      </c>
      <c r="AT1734">
        <f>'19_Расчет_аналитики'!AT1632</f>
        <v/>
      </c>
      <c r="AU1734">
        <f>'19_Расчет_аналитики'!AU1632</f>
        <v/>
      </c>
      <c r="AV1734">
        <f>'19_Расчет_аналитики'!AV1632</f>
        <v/>
      </c>
      <c r="AW1734">
        <f>'19_Расчет_аналитики'!AW1632</f>
        <v/>
      </c>
      <c r="AX1734">
        <f>'19_Расчет_аналитики'!AX1632</f>
        <v/>
      </c>
      <c r="AY1734">
        <f>'19_Расчет_аналитики'!AY1632</f>
        <v/>
      </c>
      <c r="AZ1734">
        <f>'19_Расчет_аналитики'!AZ1632</f>
        <v/>
      </c>
      <c r="BA1734">
        <f>'19_Расчет_аналитики'!BA1632</f>
        <v/>
      </c>
      <c r="BB1734">
        <f>'19_Расчет_аналитики'!BB1632</f>
        <v/>
      </c>
      <c r="BC1734">
        <f>'19_Расчет_аналитики'!BC1632</f>
        <v/>
      </c>
      <c r="BD1734">
        <f>'19_Расчет_аналитики'!BD1632</f>
        <v/>
      </c>
      <c r="BE1734">
        <f>'19_Расчет_аналитики'!BE1632</f>
        <v/>
      </c>
      <c r="BF1734">
        <f>'19_Расчет_аналитики'!BF1632</f>
        <v/>
      </c>
      <c r="BG1734">
        <f>'19_Расчет_аналитики'!BG1632</f>
        <v/>
      </c>
      <c r="BH1734">
        <f>'19_Расчет_аналитики'!BH1632</f>
        <v/>
      </c>
      <c r="BI1734">
        <f>'19_Расчет_аналитики'!BI1632</f>
        <v/>
      </c>
    </row>
    <row r="1735">
      <c r="B1735">
        <f>'02_Модель'!B29</f>
        <v/>
      </c>
      <c r="C1735">
        <f>'19_Расчет_аналитики'!C1724*'01_Вводные'!$B$59</f>
        <v/>
      </c>
      <c r="D1735">
        <f>'19_Расчет_аналитики'!D1724*'01_Вводные'!$B$59</f>
        <v/>
      </c>
      <c r="E1735">
        <f>'19_Расчет_аналитики'!E1724*'01_Вводные'!$B$59</f>
        <v/>
      </c>
      <c r="F1735">
        <f>'19_Расчет_аналитики'!F1724*'01_Вводные'!$B$59</f>
        <v/>
      </c>
      <c r="G1735">
        <f>'19_Расчет_аналитики'!G1724*'01_Вводные'!$B$59</f>
        <v/>
      </c>
      <c r="H1735">
        <f>'19_Расчет_аналитики'!H1724*'01_Вводные'!$B$59</f>
        <v/>
      </c>
      <c r="I1735">
        <f>'19_Расчет_аналитики'!I1724*'01_Вводные'!$B$59</f>
        <v/>
      </c>
      <c r="J1735">
        <f>'19_Расчет_аналитики'!J1724*'01_Вводные'!$B$59</f>
        <v/>
      </c>
      <c r="K1735">
        <f>'19_Расчет_аналитики'!K1724*'01_Вводные'!$B$59</f>
        <v/>
      </c>
      <c r="L1735">
        <f>'19_Расчет_аналитики'!L1724*'01_Вводные'!$B$59</f>
        <v/>
      </c>
      <c r="M1735">
        <f>'19_Расчет_аналитики'!M1724*'01_Вводные'!$B$59</f>
        <v/>
      </c>
      <c r="N1735">
        <f>'19_Расчет_аналитики'!N1724*'01_Вводные'!$B$59</f>
        <v/>
      </c>
      <c r="O1735">
        <f>'19_Расчет_аналитики'!O1724*'01_Вводные'!$B$59</f>
        <v/>
      </c>
      <c r="P1735">
        <f>'19_Расчет_аналитики'!P1724*'01_Вводные'!$B$59</f>
        <v/>
      </c>
      <c r="Q1735">
        <f>'19_Расчет_аналитики'!Q1724*'01_Вводные'!$B$59</f>
        <v/>
      </c>
      <c r="R1735">
        <f>'19_Расчет_аналитики'!R1724*'01_Вводные'!$B$59</f>
        <v/>
      </c>
      <c r="S1735">
        <f>'19_Расчет_аналитики'!S1724*'01_Вводные'!$B$59</f>
        <v/>
      </c>
      <c r="T1735">
        <f>'19_Расчет_аналитики'!T1724*'01_Вводные'!$B$59</f>
        <v/>
      </c>
      <c r="U1735">
        <f>'19_Расчет_аналитики'!U1724*'01_Вводные'!$B$59</f>
        <v/>
      </c>
      <c r="V1735">
        <f>'19_Расчет_аналитики'!V1724*'01_Вводные'!$B$59</f>
        <v/>
      </c>
      <c r="W1735">
        <f>'19_Расчет_аналитики'!W1724*'01_Вводные'!$B$59</f>
        <v/>
      </c>
      <c r="X1735">
        <f>'19_Расчет_аналитики'!X1724*'01_Вводные'!$B$59</f>
        <v/>
      </c>
      <c r="Y1735">
        <f>'19_Расчет_аналитики'!Y1724*'01_Вводные'!$B$59</f>
        <v/>
      </c>
      <c r="Z1735">
        <f>'19_Расчет_аналитики'!Z1724*'01_Вводные'!$B$59</f>
        <v/>
      </c>
      <c r="AA1735">
        <f>'19_Расчет_аналитики'!AA1724*'01_Вводные'!$B$59</f>
        <v/>
      </c>
      <c r="AB1735">
        <f>'19_Расчет_аналитики'!AB1724*'01_Вводные'!$B$59</f>
        <v/>
      </c>
      <c r="AC1735">
        <f>'19_Расчет_аналитики'!AC1724*'01_Вводные'!$B$59</f>
        <v/>
      </c>
      <c r="AD1735">
        <f>'19_Расчет_аналитики'!AD1724*'01_Вводные'!$B$59</f>
        <v/>
      </c>
      <c r="AE1735">
        <f>'19_Расчет_аналитики'!AE1724*'01_Вводные'!$B$59</f>
        <v/>
      </c>
      <c r="AF1735">
        <f>'19_Расчет_аналитики'!AF1724*'01_Вводные'!$B$59</f>
        <v/>
      </c>
      <c r="AG1735">
        <f>'19_Расчет_аналитики'!AG1724*'01_Вводные'!$B$59</f>
        <v/>
      </c>
      <c r="AH1735">
        <f>'19_Расчет_аналитики'!AH1724*'01_Вводные'!$B$59</f>
        <v/>
      </c>
      <c r="AI1735">
        <f>'19_Расчет_аналитики'!AI1724*'01_Вводные'!$B$59</f>
        <v/>
      </c>
      <c r="AJ1735">
        <f>'19_Расчет_аналитики'!AJ1724*'01_Вводные'!$B$59</f>
        <v/>
      </c>
      <c r="AK1735">
        <f>'19_Расчет_аналитики'!AK1724*'01_Вводные'!$B$59</f>
        <v/>
      </c>
      <c r="AL1735">
        <f>'19_Расчет_аналитики'!AL1724*'01_Вводные'!$B$59</f>
        <v/>
      </c>
      <c r="AM1735">
        <f>'19_Расчет_аналитики'!AM1724*'01_Вводные'!$B$59</f>
        <v/>
      </c>
      <c r="AN1735">
        <f>'19_Расчет_аналитики'!AN1724*'01_Вводные'!$B$59</f>
        <v/>
      </c>
      <c r="AO1735">
        <f>'19_Расчет_аналитики'!AO1724*'01_Вводные'!$B$59</f>
        <v/>
      </c>
      <c r="AP1735">
        <f>'19_Расчет_аналитики'!AP1724*'01_Вводные'!$B$59</f>
        <v/>
      </c>
      <c r="AQ1735">
        <f>'19_Расчет_аналитики'!AQ1724*'01_Вводные'!$B$59</f>
        <v/>
      </c>
      <c r="AR1735">
        <f>'19_Расчет_аналитики'!AR1724*'01_Вводные'!$B$59</f>
        <v/>
      </c>
      <c r="AS1735">
        <f>'19_Расчет_аналитики'!AS1724*'01_Вводные'!$B$59</f>
        <v/>
      </c>
      <c r="AT1735">
        <f>'19_Расчет_аналитики'!AT1724*'01_Вводные'!$B$59</f>
        <v/>
      </c>
      <c r="AU1735">
        <f>'19_Расчет_аналитики'!AU1724*'01_Вводные'!$B$59</f>
        <v/>
      </c>
      <c r="AV1735">
        <f>'19_Расчет_аналитики'!AV1724*'01_Вводные'!$B$59</f>
        <v/>
      </c>
      <c r="AW1735">
        <f>'19_Расчет_аналитики'!AW1724*'01_Вводные'!$B$59</f>
        <v/>
      </c>
      <c r="AX1735">
        <f>'19_Расчет_аналитики'!AX1724*'01_Вводные'!$B$59</f>
        <v/>
      </c>
      <c r="AY1735">
        <f>'19_Расчет_аналитики'!AY1724*'01_Вводные'!$B$59</f>
        <v/>
      </c>
      <c r="AZ1735">
        <f>'19_Расчет_аналитики'!AZ1724*'01_Вводные'!$B$59</f>
        <v/>
      </c>
      <c r="BA1735">
        <f>'19_Расчет_аналитики'!BA1724*'01_Вводные'!$B$59</f>
        <v/>
      </c>
      <c r="BB1735">
        <f>'19_Расчет_аналитики'!BB1724*'01_Вводные'!$B$59</f>
        <v/>
      </c>
      <c r="BC1735">
        <f>'19_Расчет_аналитики'!BC1724*'01_Вводные'!$B$59</f>
        <v/>
      </c>
      <c r="BD1735">
        <f>'19_Расчет_аналитики'!BD1724*'01_Вводные'!$B$59</f>
        <v/>
      </c>
      <c r="BE1735">
        <f>'19_Расчет_аналитики'!BE1724*'01_Вводные'!$B$59</f>
        <v/>
      </c>
      <c r="BF1735">
        <f>'19_Расчет_аналитики'!BF1724*'01_Вводные'!$B$59</f>
        <v/>
      </c>
      <c r="BG1735">
        <f>'19_Расчет_аналитики'!BG1724*'01_Вводные'!$B$59</f>
        <v/>
      </c>
      <c r="BH1735">
        <f>'19_Расчет_аналитики'!BH1724*'01_Вводные'!$B$59</f>
        <v/>
      </c>
      <c r="BI1735">
        <f>'19_Расчет_аналитики'!BI1724*'01_Вводные'!$B$59</f>
        <v/>
      </c>
    </row>
    <row r="1736">
      <c r="B1736">
        <f>('19_Расчет_аналитики'!B1725+'19_Расчет_аналитики'!B1726)*'01_Вводные'!$B$60</f>
        <v/>
      </c>
      <c r="C1736">
        <f>('19_Расчет_аналитики'!C1725+'19_Расчет_аналитики'!C1726)*'01_Вводные'!$B$60</f>
        <v/>
      </c>
      <c r="D1736">
        <f>('19_Расчет_аналитики'!D1725+'19_Расчет_аналитики'!D1726)*'01_Вводные'!$B$60</f>
        <v/>
      </c>
      <c r="E1736">
        <f>('19_Расчет_аналитики'!E1725+'19_Расчет_аналитики'!E1726)*'01_Вводные'!$B$60</f>
        <v/>
      </c>
      <c r="F1736">
        <f>('19_Расчет_аналитики'!F1725+'19_Расчет_аналитики'!F1726)*'01_Вводные'!$B$60</f>
        <v/>
      </c>
      <c r="G1736">
        <f>('19_Расчет_аналитики'!G1725+'19_Расчет_аналитики'!G1726)*'01_Вводные'!$B$60</f>
        <v/>
      </c>
      <c r="H1736">
        <f>('19_Расчет_аналитики'!H1725+'19_Расчет_аналитики'!H1726)*'01_Вводные'!$B$60</f>
        <v/>
      </c>
      <c r="I1736">
        <f>('19_Расчет_аналитики'!I1725+'19_Расчет_аналитики'!I1726)*'01_Вводные'!$B$60</f>
        <v/>
      </c>
      <c r="J1736">
        <f>('19_Расчет_аналитики'!J1725+'19_Расчет_аналитики'!J1726)*'01_Вводные'!$B$60</f>
        <v/>
      </c>
      <c r="K1736">
        <f>('19_Расчет_аналитики'!K1725+'19_Расчет_аналитики'!K1726)*'01_Вводные'!$B$60</f>
        <v/>
      </c>
      <c r="L1736">
        <f>('19_Расчет_аналитики'!L1725+'19_Расчет_аналитики'!L1726)*'01_Вводные'!$B$60</f>
        <v/>
      </c>
      <c r="M1736">
        <f>('19_Расчет_аналитики'!M1725+'19_Расчет_аналитики'!M1726)*'01_Вводные'!$B$60</f>
        <v/>
      </c>
      <c r="N1736">
        <f>('19_Расчет_аналитики'!N1725+'19_Расчет_аналитики'!N1726)*'01_Вводные'!$B$60</f>
        <v/>
      </c>
      <c r="O1736">
        <f>('19_Расчет_аналитики'!O1725+'19_Расчет_аналитики'!O1726)*'01_Вводные'!$B$60</f>
        <v/>
      </c>
      <c r="P1736">
        <f>('19_Расчет_аналитики'!P1725+'19_Расчет_аналитики'!P1726)*'01_Вводные'!$B$60</f>
        <v/>
      </c>
      <c r="Q1736">
        <f>('19_Расчет_аналитики'!Q1725+'19_Расчет_аналитики'!Q1726)*'01_Вводные'!$B$60</f>
        <v/>
      </c>
      <c r="R1736">
        <f>('19_Расчет_аналитики'!R1725+'19_Расчет_аналитики'!R1726)*'01_Вводные'!$B$60</f>
        <v/>
      </c>
      <c r="S1736">
        <f>('19_Расчет_аналитики'!S1725+'19_Расчет_аналитики'!S1726)*'01_Вводные'!$B$60</f>
        <v/>
      </c>
      <c r="T1736">
        <f>('19_Расчет_аналитики'!T1725+'19_Расчет_аналитики'!T1726)*'01_Вводные'!$B$60</f>
        <v/>
      </c>
      <c r="U1736">
        <f>('19_Расчет_аналитики'!U1725+'19_Расчет_аналитики'!U1726)*'01_Вводные'!$B$60</f>
        <v/>
      </c>
      <c r="V1736">
        <f>('19_Расчет_аналитики'!V1725+'19_Расчет_аналитики'!V1726)*'01_Вводные'!$B$60</f>
        <v/>
      </c>
      <c r="W1736">
        <f>('19_Расчет_аналитики'!W1725+'19_Расчет_аналитики'!W1726)*'01_Вводные'!$B$60</f>
        <v/>
      </c>
      <c r="X1736">
        <f>('19_Расчет_аналитики'!X1725+'19_Расчет_аналитики'!X1726)*'01_Вводные'!$B$60</f>
        <v/>
      </c>
      <c r="Y1736">
        <f>('19_Расчет_аналитики'!Y1725+'19_Расчет_аналитики'!Y1726)*'01_Вводные'!$B$60</f>
        <v/>
      </c>
      <c r="Z1736">
        <f>('19_Расчет_аналитики'!Z1725+'19_Расчет_аналитики'!Z1726)*'01_Вводные'!$B$60</f>
        <v/>
      </c>
      <c r="AA1736">
        <f>('19_Расчет_аналитики'!AA1725+'19_Расчет_аналитики'!AA1726)*'01_Вводные'!$B$60</f>
        <v/>
      </c>
      <c r="AB1736">
        <f>('19_Расчет_аналитики'!AB1725+'19_Расчет_аналитики'!AB1726)*'01_Вводные'!$B$60</f>
        <v/>
      </c>
      <c r="AC1736">
        <f>('19_Расчет_аналитики'!AC1725+'19_Расчет_аналитики'!AC1726)*'01_Вводные'!$B$60</f>
        <v/>
      </c>
      <c r="AD1736">
        <f>('19_Расчет_аналитики'!AD1725+'19_Расчет_аналитики'!AD1726)*'01_Вводные'!$B$60</f>
        <v/>
      </c>
      <c r="AE1736">
        <f>('19_Расчет_аналитики'!AE1725+'19_Расчет_аналитики'!AE1726)*'01_Вводные'!$B$60</f>
        <v/>
      </c>
      <c r="AF1736">
        <f>('19_Расчет_аналитики'!AF1725+'19_Расчет_аналитики'!AF1726)*'01_Вводные'!$B$60</f>
        <v/>
      </c>
      <c r="AG1736">
        <f>('19_Расчет_аналитики'!AG1725+'19_Расчет_аналитики'!AG1726)*'01_Вводные'!$B$60</f>
        <v/>
      </c>
      <c r="AH1736">
        <f>('19_Расчет_аналитики'!AH1725+'19_Расчет_аналитики'!AH1726)*'01_Вводные'!$B$60</f>
        <v/>
      </c>
      <c r="AI1736">
        <f>('19_Расчет_аналитики'!AI1725+'19_Расчет_аналитики'!AI1726)*'01_Вводные'!$B$60</f>
        <v/>
      </c>
      <c r="AJ1736">
        <f>('19_Расчет_аналитики'!AJ1725+'19_Расчет_аналитики'!AJ1726)*'01_Вводные'!$B$60</f>
        <v/>
      </c>
      <c r="AK1736">
        <f>('19_Расчет_аналитики'!AK1725+'19_Расчет_аналитики'!AK1726)*'01_Вводные'!$B$60</f>
        <v/>
      </c>
      <c r="AL1736">
        <f>('19_Расчет_аналитики'!AL1725+'19_Расчет_аналитики'!AL1726)*'01_Вводные'!$B$60</f>
        <v/>
      </c>
      <c r="AM1736">
        <f>('19_Расчет_аналитики'!AM1725+'19_Расчет_аналитики'!AM1726)*'01_Вводные'!$B$60</f>
        <v/>
      </c>
      <c r="AN1736">
        <f>('19_Расчет_аналитики'!AN1725+'19_Расчет_аналитики'!AN1726)*'01_Вводные'!$B$60</f>
        <v/>
      </c>
      <c r="AO1736">
        <f>('19_Расчет_аналитики'!AO1725+'19_Расчет_аналитики'!AO1726)*'01_Вводные'!$B$60</f>
        <v/>
      </c>
      <c r="AP1736">
        <f>('19_Расчет_аналитики'!AP1725+'19_Расчет_аналитики'!AP1726)*'01_Вводные'!$B$60</f>
        <v/>
      </c>
      <c r="AQ1736">
        <f>('19_Расчет_аналитики'!AQ1725+'19_Расчет_аналитики'!AQ1726)*'01_Вводные'!$B$60</f>
        <v/>
      </c>
      <c r="AR1736">
        <f>('19_Расчет_аналитики'!AR1725+'19_Расчет_аналитики'!AR1726)*'01_Вводные'!$B$60</f>
        <v/>
      </c>
      <c r="AS1736">
        <f>('19_Расчет_аналитики'!AS1725+'19_Расчет_аналитики'!AS1726)*'01_Вводные'!$B$60</f>
        <v/>
      </c>
      <c r="AT1736">
        <f>('19_Расчет_аналитики'!AT1725+'19_Расчет_аналитики'!AT1726)*'01_Вводные'!$B$60</f>
        <v/>
      </c>
      <c r="AU1736">
        <f>('19_Расчет_аналитики'!AU1725+'19_Расчет_аналитики'!AU1726)*'01_Вводные'!$B$60</f>
        <v/>
      </c>
      <c r="AV1736">
        <f>('19_Расчет_аналитики'!AV1725+'19_Расчет_аналитики'!AV1726)*'01_Вводные'!$B$60</f>
        <v/>
      </c>
      <c r="AW1736">
        <f>('19_Расчет_аналитики'!AW1725+'19_Расчет_аналитики'!AW1726)*'01_Вводные'!$B$60</f>
        <v/>
      </c>
      <c r="AX1736">
        <f>('19_Расчет_аналитики'!AX1725+'19_Расчет_аналитики'!AX1726)*'01_Вводные'!$B$60</f>
        <v/>
      </c>
      <c r="AY1736">
        <f>('19_Расчет_аналитики'!AY1725+'19_Расчет_аналитики'!AY1726)*'01_Вводные'!$B$60</f>
        <v/>
      </c>
      <c r="AZ1736">
        <f>('19_Расчет_аналитики'!AZ1725+'19_Расчет_аналитики'!AZ1726)*'01_Вводные'!$B$60</f>
        <v/>
      </c>
      <c r="BA1736">
        <f>('19_Расчет_аналитики'!BA1725+'19_Расчет_аналитики'!BA1726)*'01_Вводные'!$B$60</f>
        <v/>
      </c>
      <c r="BB1736">
        <f>('19_Расчет_аналитики'!BB1725+'19_Расчет_аналитики'!BB1726)*'01_Вводные'!$B$60</f>
        <v/>
      </c>
      <c r="BC1736">
        <f>('19_Расчет_аналитики'!BC1725+'19_Расчет_аналитики'!BC1726)*'01_Вводные'!$B$60</f>
        <v/>
      </c>
      <c r="BD1736">
        <f>('19_Расчет_аналитики'!BD1725+'19_Расчет_аналитики'!BD1726)*'01_Вводные'!$B$60</f>
        <v/>
      </c>
      <c r="BE1736">
        <f>('19_Расчет_аналитики'!BE1725+'19_Расчет_аналитики'!BE1726)*'01_Вводные'!$B$60</f>
        <v/>
      </c>
      <c r="BF1736">
        <f>('19_Расчет_аналитики'!BF1725+'19_Расчет_аналитики'!BF1726)*'01_Вводные'!$B$60</f>
        <v/>
      </c>
      <c r="BG1736">
        <f>('19_Расчет_аналитики'!BG1725+'19_Расчет_аналитики'!BG1726)*'01_Вводные'!$B$60</f>
        <v/>
      </c>
      <c r="BH1736">
        <f>('19_Расчет_аналитики'!BH1725+'19_Расчет_аналитики'!BH1726)*'01_Вводные'!$B$60</f>
        <v/>
      </c>
      <c r="BI1736">
        <f>('19_Расчет_аналитики'!BI1725+'19_Расчет_аналитики'!BI1726)*'01_Вводные'!$B$60</f>
        <v/>
      </c>
    </row>
    <row r="1737">
      <c r="B1737">
        <f>'02_Модель'!B31</f>
        <v/>
      </c>
      <c r="C1737">
        <f>'02_Модель'!C31</f>
        <v/>
      </c>
      <c r="D1737">
        <f>'02_Модель'!D31</f>
        <v/>
      </c>
      <c r="E1737">
        <f>'02_Модель'!E31</f>
        <v/>
      </c>
      <c r="F1737">
        <f>'02_Модель'!F31</f>
        <v/>
      </c>
      <c r="G1737">
        <f>'02_Модель'!G31</f>
        <v/>
      </c>
      <c r="H1737">
        <f>'02_Модель'!H31</f>
        <v/>
      </c>
      <c r="I1737">
        <f>'02_Модель'!I31</f>
        <v/>
      </c>
      <c r="J1737">
        <f>'02_Модель'!J31</f>
        <v/>
      </c>
      <c r="K1737">
        <f>'02_Модель'!K31</f>
        <v/>
      </c>
      <c r="L1737">
        <f>'02_Модель'!L31</f>
        <v/>
      </c>
      <c r="M1737">
        <f>'02_Модель'!M31</f>
        <v/>
      </c>
      <c r="N1737">
        <f>'02_Модель'!N31</f>
        <v/>
      </c>
      <c r="O1737">
        <f>'02_Модель'!O31</f>
        <v/>
      </c>
      <c r="P1737">
        <f>'02_Модель'!P31</f>
        <v/>
      </c>
      <c r="Q1737">
        <f>'02_Модель'!Q31</f>
        <v/>
      </c>
      <c r="R1737">
        <f>'02_Модель'!R31</f>
        <v/>
      </c>
      <c r="S1737">
        <f>'02_Модель'!S31</f>
        <v/>
      </c>
      <c r="T1737">
        <f>'02_Модель'!T31</f>
        <v/>
      </c>
      <c r="U1737">
        <f>'02_Модель'!U31</f>
        <v/>
      </c>
      <c r="V1737">
        <f>'02_Модель'!V31</f>
        <v/>
      </c>
      <c r="W1737">
        <f>'02_Модель'!W31</f>
        <v/>
      </c>
      <c r="X1737">
        <f>'02_Модель'!X31</f>
        <v/>
      </c>
      <c r="Y1737">
        <f>'02_Модель'!Y31</f>
        <v/>
      </c>
      <c r="Z1737">
        <f>'02_Модель'!Z31</f>
        <v/>
      </c>
      <c r="AA1737">
        <f>'02_Модель'!AA31</f>
        <v/>
      </c>
      <c r="AB1737">
        <f>'02_Модель'!AB31</f>
        <v/>
      </c>
      <c r="AC1737">
        <f>'02_Модель'!AC31</f>
        <v/>
      </c>
      <c r="AD1737">
        <f>'02_Модель'!AD31</f>
        <v/>
      </c>
      <c r="AE1737">
        <f>'02_Модель'!AE31</f>
        <v/>
      </c>
      <c r="AF1737">
        <f>'02_Модель'!AF31</f>
        <v/>
      </c>
      <c r="AG1737">
        <f>'02_Модель'!AG31</f>
        <v/>
      </c>
      <c r="AH1737">
        <f>'02_Модель'!AH31</f>
        <v/>
      </c>
      <c r="AI1737">
        <f>'02_Модель'!AI31</f>
        <v/>
      </c>
      <c r="AJ1737">
        <f>'02_Модель'!AJ31</f>
        <v/>
      </c>
      <c r="AK1737">
        <f>'02_Модель'!AK31</f>
        <v/>
      </c>
      <c r="AL1737">
        <f>'02_Модель'!AL31</f>
        <v/>
      </c>
      <c r="AM1737">
        <f>'02_Модель'!AM31</f>
        <v/>
      </c>
      <c r="AN1737">
        <f>'02_Модель'!AN31</f>
        <v/>
      </c>
      <c r="AO1737">
        <f>'02_Модель'!AO31</f>
        <v/>
      </c>
      <c r="AP1737">
        <f>'02_Модель'!AP31</f>
        <v/>
      </c>
      <c r="AQ1737">
        <f>'02_Модель'!AQ31</f>
        <v/>
      </c>
      <c r="AR1737">
        <f>'02_Модель'!AR31</f>
        <v/>
      </c>
      <c r="AS1737">
        <f>'02_Модель'!AS31</f>
        <v/>
      </c>
      <c r="AT1737">
        <f>'02_Модель'!AT31</f>
        <v/>
      </c>
      <c r="AU1737">
        <f>'02_Модель'!AU31</f>
        <v/>
      </c>
      <c r="AV1737">
        <f>'02_Модель'!AV31</f>
        <v/>
      </c>
      <c r="AW1737">
        <f>'02_Модель'!AW31</f>
        <v/>
      </c>
      <c r="AX1737">
        <f>'02_Модель'!AX31</f>
        <v/>
      </c>
      <c r="AY1737">
        <f>'02_Модель'!AY31</f>
        <v/>
      </c>
      <c r="AZ1737">
        <f>'02_Модель'!AZ31</f>
        <v/>
      </c>
      <c r="BA1737">
        <f>'02_Модель'!BA31</f>
        <v/>
      </c>
      <c r="BB1737">
        <f>'02_Модель'!BB31</f>
        <v/>
      </c>
      <c r="BC1737">
        <f>'02_Модель'!BC31</f>
        <v/>
      </c>
      <c r="BD1737">
        <f>'02_Модель'!BD31</f>
        <v/>
      </c>
      <c r="BE1737">
        <f>'02_Модель'!BE31</f>
        <v/>
      </c>
      <c r="BF1737">
        <f>'02_Модель'!BF31</f>
        <v/>
      </c>
      <c r="BG1737">
        <f>'02_Модель'!BG31</f>
        <v/>
      </c>
      <c r="BH1737">
        <f>'02_Модель'!BH31</f>
        <v/>
      </c>
      <c r="BI1737">
        <f>'02_Модель'!BI31</f>
        <v/>
      </c>
    </row>
    <row r="1738">
      <c r="B1738">
        <f>SUM('19_Расчет_аналитики'!B1732:B1737)</f>
        <v/>
      </c>
      <c r="C1738">
        <f>SUM('19_Расчет_аналитики'!C1732:C1737)</f>
        <v/>
      </c>
      <c r="D1738">
        <f>SUM('19_Расчет_аналитики'!D1732:D1737)</f>
        <v/>
      </c>
      <c r="E1738">
        <f>SUM('19_Расчет_аналитики'!E1732:E1737)</f>
        <v/>
      </c>
      <c r="F1738">
        <f>SUM('19_Расчет_аналитики'!F1732:F1737)</f>
        <v/>
      </c>
      <c r="G1738">
        <f>SUM('19_Расчет_аналитики'!G1732:G1737)</f>
        <v/>
      </c>
      <c r="H1738">
        <f>SUM('19_Расчет_аналитики'!H1732:H1737)</f>
        <v/>
      </c>
      <c r="I1738">
        <f>SUM('19_Расчет_аналитики'!I1732:I1737)</f>
        <v/>
      </c>
      <c r="J1738">
        <f>SUM('19_Расчет_аналитики'!J1732:J1737)</f>
        <v/>
      </c>
      <c r="K1738">
        <f>SUM('19_Расчет_аналитики'!K1732:K1737)</f>
        <v/>
      </c>
      <c r="L1738">
        <f>SUM('19_Расчет_аналитики'!L1732:L1737)</f>
        <v/>
      </c>
      <c r="M1738">
        <f>SUM('19_Расчет_аналитики'!M1732:M1737)</f>
        <v/>
      </c>
      <c r="N1738">
        <f>SUM('19_Расчет_аналитики'!N1732:N1737)</f>
        <v/>
      </c>
      <c r="O1738">
        <f>SUM('19_Расчет_аналитики'!O1732:O1737)</f>
        <v/>
      </c>
      <c r="P1738">
        <f>SUM('19_Расчет_аналитики'!P1732:P1737)</f>
        <v/>
      </c>
      <c r="Q1738">
        <f>SUM('19_Расчет_аналитики'!Q1732:Q1737)</f>
        <v/>
      </c>
      <c r="R1738">
        <f>SUM('19_Расчет_аналитики'!R1732:R1737)</f>
        <v/>
      </c>
      <c r="S1738">
        <f>SUM('19_Расчет_аналитики'!S1732:S1737)</f>
        <v/>
      </c>
      <c r="T1738">
        <f>SUM('19_Расчет_аналитики'!T1732:T1737)</f>
        <v/>
      </c>
      <c r="U1738">
        <f>SUM('19_Расчет_аналитики'!U1732:U1737)</f>
        <v/>
      </c>
      <c r="V1738">
        <f>SUM('19_Расчет_аналитики'!V1732:V1737)</f>
        <v/>
      </c>
      <c r="W1738">
        <f>SUM('19_Расчет_аналитики'!W1732:W1737)</f>
        <v/>
      </c>
      <c r="X1738">
        <f>SUM('19_Расчет_аналитики'!X1732:X1737)</f>
        <v/>
      </c>
      <c r="Y1738">
        <f>SUM('19_Расчет_аналитики'!Y1732:Y1737)</f>
        <v/>
      </c>
      <c r="Z1738">
        <f>SUM('19_Расчет_аналитики'!Z1732:Z1737)</f>
        <v/>
      </c>
      <c r="AA1738">
        <f>SUM('19_Расчет_аналитики'!AA1732:AA1737)</f>
        <v/>
      </c>
      <c r="AB1738">
        <f>SUM('19_Расчет_аналитики'!AB1732:AB1737)</f>
        <v/>
      </c>
      <c r="AC1738">
        <f>SUM('19_Расчет_аналитики'!AC1732:AC1737)</f>
        <v/>
      </c>
      <c r="AD1738">
        <f>SUM('19_Расчет_аналитики'!AD1732:AD1737)</f>
        <v/>
      </c>
      <c r="AE1738">
        <f>SUM('19_Расчет_аналитики'!AE1732:AE1737)</f>
        <v/>
      </c>
      <c r="AF1738">
        <f>SUM('19_Расчет_аналитики'!AF1732:AF1737)</f>
        <v/>
      </c>
      <c r="AG1738">
        <f>SUM('19_Расчет_аналитики'!AG1732:AG1737)</f>
        <v/>
      </c>
      <c r="AH1738">
        <f>SUM('19_Расчет_аналитики'!AH1732:AH1737)</f>
        <v/>
      </c>
      <c r="AI1738">
        <f>SUM('19_Расчет_аналитики'!AI1732:AI1737)</f>
        <v/>
      </c>
      <c r="AJ1738">
        <f>SUM('19_Расчет_аналитики'!AJ1732:AJ1737)</f>
        <v/>
      </c>
      <c r="AK1738">
        <f>SUM('19_Расчет_аналитики'!AK1732:AK1737)</f>
        <v/>
      </c>
      <c r="AL1738">
        <f>SUM('19_Расчет_аналитики'!AL1732:AL1737)</f>
        <v/>
      </c>
      <c r="AM1738">
        <f>SUM('19_Расчет_аналитики'!AM1732:AM1737)</f>
        <v/>
      </c>
      <c r="AN1738">
        <f>SUM('19_Расчет_аналитики'!AN1732:AN1737)</f>
        <v/>
      </c>
      <c r="AO1738">
        <f>SUM('19_Расчет_аналитики'!AO1732:AO1737)</f>
        <v/>
      </c>
      <c r="AP1738">
        <f>SUM('19_Расчет_аналитики'!AP1732:AP1737)</f>
        <v/>
      </c>
      <c r="AQ1738">
        <f>SUM('19_Расчет_аналитики'!AQ1732:AQ1737)</f>
        <v/>
      </c>
      <c r="AR1738">
        <f>SUM('19_Расчет_аналитики'!AR1732:AR1737)</f>
        <v/>
      </c>
      <c r="AS1738">
        <f>SUM('19_Расчет_аналитики'!AS1732:AS1737)</f>
        <v/>
      </c>
      <c r="AT1738">
        <f>SUM('19_Расчет_аналитики'!AT1732:AT1737)</f>
        <v/>
      </c>
      <c r="AU1738">
        <f>SUM('19_Расчет_аналитики'!AU1732:AU1737)</f>
        <v/>
      </c>
      <c r="AV1738">
        <f>SUM('19_Расчет_аналитики'!AV1732:AV1737)</f>
        <v/>
      </c>
      <c r="AW1738">
        <f>SUM('19_Расчет_аналитики'!AW1732:AW1737)</f>
        <v/>
      </c>
      <c r="AX1738">
        <f>SUM('19_Расчет_аналитики'!AX1732:AX1737)</f>
        <v/>
      </c>
      <c r="AY1738">
        <f>SUM('19_Расчет_аналитики'!AY1732:AY1737)</f>
        <v/>
      </c>
      <c r="AZ1738">
        <f>SUM('19_Расчет_аналитики'!AZ1732:AZ1737)</f>
        <v/>
      </c>
      <c r="BA1738">
        <f>SUM('19_Расчет_аналитики'!BA1732:BA1737)</f>
        <v/>
      </c>
      <c r="BB1738">
        <f>SUM('19_Расчет_аналитики'!BB1732:BB1737)</f>
        <v/>
      </c>
      <c r="BC1738">
        <f>SUM('19_Расчет_аналитики'!BC1732:BC1737)</f>
        <v/>
      </c>
      <c r="BD1738">
        <f>SUM('19_Расчет_аналитики'!BD1732:BD1737)</f>
        <v/>
      </c>
      <c r="BE1738">
        <f>SUM('19_Расчет_аналитики'!BE1732:BE1737)</f>
        <v/>
      </c>
      <c r="BF1738">
        <f>SUM('19_Расчет_аналитики'!BF1732:BF1737)</f>
        <v/>
      </c>
      <c r="BG1738">
        <f>SUM('19_Расчет_аналитики'!BG1732:BG1737)</f>
        <v/>
      </c>
      <c r="BH1738">
        <f>SUM('19_Расчет_аналитики'!BH1732:BH1737)</f>
        <v/>
      </c>
      <c r="BI1738">
        <f>SUM('19_Расчет_аналитики'!BI1732:BI1737)</f>
        <v/>
      </c>
    </row>
    <row r="1739">
      <c r="B1739">
        <f>'19_Расчет_аналитики'!B1729-'19_Расчет_аналитики'!B1738</f>
        <v/>
      </c>
      <c r="C1739">
        <f>'19_Расчет_аналитики'!C1729-'19_Расчет_аналитики'!C1738</f>
        <v/>
      </c>
      <c r="D1739">
        <f>'19_Расчет_аналитики'!D1729-'19_Расчет_аналитики'!D1738</f>
        <v/>
      </c>
      <c r="E1739">
        <f>'19_Расчет_аналитики'!E1729-'19_Расчет_аналитики'!E1738</f>
        <v/>
      </c>
      <c r="F1739">
        <f>'19_Расчет_аналитики'!F1729-'19_Расчет_аналитики'!F1738</f>
        <v/>
      </c>
      <c r="G1739">
        <f>'19_Расчет_аналитики'!G1729-'19_Расчет_аналитики'!G1738</f>
        <v/>
      </c>
      <c r="H1739">
        <f>'19_Расчет_аналитики'!H1729-'19_Расчет_аналитики'!H1738</f>
        <v/>
      </c>
      <c r="I1739">
        <f>'19_Расчет_аналитики'!I1729-'19_Расчет_аналитики'!I1738</f>
        <v/>
      </c>
      <c r="J1739">
        <f>'19_Расчет_аналитики'!J1729-'19_Расчет_аналитики'!J1738</f>
        <v/>
      </c>
      <c r="K1739">
        <f>'19_Расчет_аналитики'!K1729-'19_Расчет_аналитики'!K1738</f>
        <v/>
      </c>
      <c r="L1739">
        <f>'19_Расчет_аналитики'!L1729-'19_Расчет_аналитики'!L1738</f>
        <v/>
      </c>
      <c r="M1739">
        <f>'19_Расчет_аналитики'!M1729-'19_Расчет_аналитики'!M1738</f>
        <v/>
      </c>
      <c r="N1739">
        <f>'19_Расчет_аналитики'!N1729-'19_Расчет_аналитики'!N1738</f>
        <v/>
      </c>
      <c r="O1739">
        <f>'19_Расчет_аналитики'!O1729-'19_Расчет_аналитики'!O1738</f>
        <v/>
      </c>
      <c r="P1739">
        <f>'19_Расчет_аналитики'!P1729-'19_Расчет_аналитики'!P1738</f>
        <v/>
      </c>
      <c r="Q1739">
        <f>'19_Расчет_аналитики'!Q1729-'19_Расчет_аналитики'!Q1738</f>
        <v/>
      </c>
      <c r="R1739">
        <f>'19_Расчет_аналитики'!R1729-'19_Расчет_аналитики'!R1738</f>
        <v/>
      </c>
      <c r="S1739">
        <f>'19_Расчет_аналитики'!S1729-'19_Расчет_аналитики'!S1738</f>
        <v/>
      </c>
      <c r="T1739">
        <f>'19_Расчет_аналитики'!T1729-'19_Расчет_аналитики'!T1738</f>
        <v/>
      </c>
      <c r="U1739">
        <f>'19_Расчет_аналитики'!U1729-'19_Расчет_аналитики'!U1738</f>
        <v/>
      </c>
      <c r="V1739">
        <f>'19_Расчет_аналитики'!V1729-'19_Расчет_аналитики'!V1738</f>
        <v/>
      </c>
      <c r="W1739">
        <f>'19_Расчет_аналитики'!W1729-'19_Расчет_аналитики'!W1738</f>
        <v/>
      </c>
      <c r="X1739">
        <f>'19_Расчет_аналитики'!X1729-'19_Расчет_аналитики'!X1738</f>
        <v/>
      </c>
      <c r="Y1739">
        <f>'19_Расчет_аналитики'!Y1729-'19_Расчет_аналитики'!Y1738</f>
        <v/>
      </c>
      <c r="Z1739">
        <f>'19_Расчет_аналитики'!Z1729-'19_Расчет_аналитики'!Z1738</f>
        <v/>
      </c>
      <c r="AA1739">
        <f>'19_Расчет_аналитики'!AA1729-'19_Расчет_аналитики'!AA1738</f>
        <v/>
      </c>
      <c r="AB1739">
        <f>'19_Расчет_аналитики'!AB1729-'19_Расчет_аналитики'!AB1738</f>
        <v/>
      </c>
      <c r="AC1739">
        <f>'19_Расчет_аналитики'!AC1729-'19_Расчет_аналитики'!AC1738</f>
        <v/>
      </c>
      <c r="AD1739">
        <f>'19_Расчет_аналитики'!AD1729-'19_Расчет_аналитики'!AD1738</f>
        <v/>
      </c>
      <c r="AE1739">
        <f>'19_Расчет_аналитики'!AE1729-'19_Расчет_аналитики'!AE1738</f>
        <v/>
      </c>
      <c r="AF1739">
        <f>'19_Расчет_аналитики'!AF1729-'19_Расчет_аналитики'!AF1738</f>
        <v/>
      </c>
      <c r="AG1739">
        <f>'19_Расчет_аналитики'!AG1729-'19_Расчет_аналитики'!AG1738</f>
        <v/>
      </c>
      <c r="AH1739">
        <f>'19_Расчет_аналитики'!AH1729-'19_Расчет_аналитики'!AH1738</f>
        <v/>
      </c>
      <c r="AI1739">
        <f>'19_Расчет_аналитики'!AI1729-'19_Расчет_аналитики'!AI1738</f>
        <v/>
      </c>
      <c r="AJ1739">
        <f>'19_Расчет_аналитики'!AJ1729-'19_Расчет_аналитики'!AJ1738</f>
        <v/>
      </c>
      <c r="AK1739">
        <f>'19_Расчет_аналитики'!AK1729-'19_Расчет_аналитики'!AK1738</f>
        <v/>
      </c>
      <c r="AL1739">
        <f>'19_Расчет_аналитики'!AL1729-'19_Расчет_аналитики'!AL1738</f>
        <v/>
      </c>
      <c r="AM1739">
        <f>'19_Расчет_аналитики'!AM1729-'19_Расчет_аналитики'!AM1738</f>
        <v/>
      </c>
      <c r="AN1739">
        <f>'19_Расчет_аналитики'!AN1729-'19_Расчет_аналитики'!AN1738</f>
        <v/>
      </c>
      <c r="AO1739">
        <f>'19_Расчет_аналитики'!AO1729-'19_Расчет_аналитики'!AO1738</f>
        <v/>
      </c>
      <c r="AP1739">
        <f>'19_Расчет_аналитики'!AP1729-'19_Расчет_аналитики'!AP1738</f>
        <v/>
      </c>
      <c r="AQ1739">
        <f>'19_Расчет_аналитики'!AQ1729-'19_Расчет_аналитики'!AQ1738</f>
        <v/>
      </c>
      <c r="AR1739">
        <f>'19_Расчет_аналитики'!AR1729-'19_Расчет_аналитики'!AR1738</f>
        <v/>
      </c>
      <c r="AS1739">
        <f>'19_Расчет_аналитики'!AS1729-'19_Расчет_аналитики'!AS1738</f>
        <v/>
      </c>
      <c r="AT1739">
        <f>'19_Расчет_аналитики'!AT1729-'19_Расчет_аналитики'!AT1738</f>
        <v/>
      </c>
      <c r="AU1739">
        <f>'19_Расчет_аналитики'!AU1729-'19_Расчет_аналитики'!AU1738</f>
        <v/>
      </c>
      <c r="AV1739">
        <f>'19_Расчет_аналитики'!AV1729-'19_Расчет_аналитики'!AV1738</f>
        <v/>
      </c>
      <c r="AW1739">
        <f>'19_Расчет_аналитики'!AW1729-'19_Расчет_аналитики'!AW1738</f>
        <v/>
      </c>
      <c r="AX1739">
        <f>'19_Расчет_аналитики'!AX1729-'19_Расчет_аналитики'!AX1738</f>
        <v/>
      </c>
      <c r="AY1739">
        <f>'19_Расчет_аналитики'!AY1729-'19_Расчет_аналитики'!AY1738</f>
        <v/>
      </c>
      <c r="AZ1739">
        <f>'19_Расчет_аналитики'!AZ1729-'19_Расчет_аналитики'!AZ1738</f>
        <v/>
      </c>
      <c r="BA1739">
        <f>'19_Расчет_аналитики'!BA1729-'19_Расчет_аналитики'!BA1738</f>
        <v/>
      </c>
      <c r="BB1739">
        <f>'19_Расчет_аналитики'!BB1729-'19_Расчет_аналитики'!BB1738</f>
        <v/>
      </c>
      <c r="BC1739">
        <f>'19_Расчет_аналитики'!BC1729-'19_Расчет_аналитики'!BC1738</f>
        <v/>
      </c>
      <c r="BD1739">
        <f>'19_Расчет_аналитики'!BD1729-'19_Расчет_аналитики'!BD1738</f>
        <v/>
      </c>
      <c r="BE1739">
        <f>'19_Расчет_аналитики'!BE1729-'19_Расчет_аналитики'!BE1738</f>
        <v/>
      </c>
      <c r="BF1739">
        <f>'19_Расчет_аналитики'!BF1729-'19_Расчет_аналитики'!BF1738</f>
        <v/>
      </c>
      <c r="BG1739">
        <f>'19_Расчет_аналитики'!BG1729-'19_Расчет_аналитики'!BG1738</f>
        <v/>
      </c>
      <c r="BH1739">
        <f>'19_Расчет_аналитики'!BH1729-'19_Расчет_аналитики'!BH1738</f>
        <v/>
      </c>
      <c r="BI1739">
        <f>'19_Расчет_аналитики'!BI1729-'19_Расчет_аналитики'!BI1738</f>
        <v/>
      </c>
    </row>
    <row r="1740"/>
    <row r="1741"/>
    <row r="1742">
      <c r="B1742">
        <f>'02_Модель'!B36</f>
        <v/>
      </c>
      <c r="C1742">
        <f>'19_Расчет_аналитики'!C1677</f>
        <v/>
      </c>
      <c r="D1742">
        <f>'19_Расчет_аналитики'!D1677</f>
        <v/>
      </c>
      <c r="E1742">
        <f>'19_Расчет_аналитики'!E1677</f>
        <v/>
      </c>
      <c r="F1742">
        <f>'19_Расчет_аналитики'!F1677</f>
        <v/>
      </c>
      <c r="G1742">
        <f>'19_Расчет_аналитики'!G1677</f>
        <v/>
      </c>
      <c r="H1742">
        <f>'19_Расчет_аналитики'!H1677</f>
        <v/>
      </c>
      <c r="I1742">
        <f>'19_Расчет_аналитики'!I1677</f>
        <v/>
      </c>
      <c r="J1742">
        <f>'19_Расчет_аналитики'!J1677</f>
        <v/>
      </c>
      <c r="K1742">
        <f>'19_Расчет_аналитики'!K1677</f>
        <v/>
      </c>
      <c r="L1742">
        <f>'19_Расчет_аналитики'!L1677</f>
        <v/>
      </c>
      <c r="M1742">
        <f>'19_Расчет_аналитики'!M1677</f>
        <v/>
      </c>
      <c r="N1742">
        <f>'19_Расчет_аналитики'!N1677</f>
        <v/>
      </c>
      <c r="O1742">
        <f>'19_Расчет_аналитики'!O1677</f>
        <v/>
      </c>
      <c r="P1742">
        <f>'19_Расчет_аналитики'!P1677</f>
        <v/>
      </c>
      <c r="Q1742">
        <f>'19_Расчет_аналитики'!Q1677</f>
        <v/>
      </c>
      <c r="R1742">
        <f>'19_Расчет_аналитики'!R1677</f>
        <v/>
      </c>
      <c r="S1742">
        <f>'19_Расчет_аналитики'!S1677</f>
        <v/>
      </c>
      <c r="T1742">
        <f>'19_Расчет_аналитики'!T1677</f>
        <v/>
      </c>
      <c r="U1742">
        <f>'19_Расчет_аналитики'!U1677</f>
        <v/>
      </c>
      <c r="V1742">
        <f>'19_Расчет_аналитики'!V1677</f>
        <v/>
      </c>
      <c r="W1742">
        <f>'19_Расчет_аналитики'!W1677</f>
        <v/>
      </c>
      <c r="X1742">
        <f>'19_Расчет_аналитики'!X1677</f>
        <v/>
      </c>
      <c r="Y1742">
        <f>'19_Расчет_аналитики'!Y1677</f>
        <v/>
      </c>
      <c r="Z1742">
        <f>'19_Расчет_аналитики'!Z1677</f>
        <v/>
      </c>
      <c r="AA1742">
        <f>'19_Расчет_аналитики'!AA1677</f>
        <v/>
      </c>
      <c r="AB1742">
        <f>'19_Расчет_аналитики'!AB1677</f>
        <v/>
      </c>
      <c r="AC1742">
        <f>'19_Расчет_аналитики'!AC1677</f>
        <v/>
      </c>
      <c r="AD1742">
        <f>'19_Расчет_аналитики'!AD1677</f>
        <v/>
      </c>
      <c r="AE1742">
        <f>'19_Расчет_аналитики'!AE1677</f>
        <v/>
      </c>
      <c r="AF1742">
        <f>'19_Расчет_аналитики'!AF1677</f>
        <v/>
      </c>
      <c r="AG1742">
        <f>'19_Расчет_аналитики'!AG1677</f>
        <v/>
      </c>
      <c r="AH1742">
        <f>'19_Расчет_аналитики'!AH1677</f>
        <v/>
      </c>
      <c r="AI1742">
        <f>'19_Расчет_аналитики'!AI1677</f>
        <v/>
      </c>
      <c r="AJ1742">
        <f>'19_Расчет_аналитики'!AJ1677</f>
        <v/>
      </c>
      <c r="AK1742">
        <f>'19_Расчет_аналитики'!AK1677</f>
        <v/>
      </c>
      <c r="AL1742">
        <f>'19_Расчет_аналитики'!AL1677</f>
        <v/>
      </c>
      <c r="AM1742">
        <f>'19_Расчет_аналитики'!AM1677</f>
        <v/>
      </c>
      <c r="AN1742">
        <f>'19_Расчет_аналитики'!AN1677</f>
        <v/>
      </c>
      <c r="AO1742">
        <f>'19_Расчет_аналитики'!AO1677</f>
        <v/>
      </c>
      <c r="AP1742">
        <f>'19_Расчет_аналитики'!AP1677</f>
        <v/>
      </c>
      <c r="AQ1742">
        <f>'19_Расчет_аналитики'!AQ1677</f>
        <v/>
      </c>
      <c r="AR1742">
        <f>'19_Расчет_аналитики'!AR1677</f>
        <v/>
      </c>
      <c r="AS1742">
        <f>'19_Расчет_аналитики'!AS1677</f>
        <v/>
      </c>
      <c r="AT1742">
        <f>'19_Расчет_аналитики'!AT1677</f>
        <v/>
      </c>
      <c r="AU1742">
        <f>'19_Расчет_аналитики'!AU1677</f>
        <v/>
      </c>
      <c r="AV1742">
        <f>'19_Расчет_аналитики'!AV1677</f>
        <v/>
      </c>
      <c r="AW1742">
        <f>'19_Расчет_аналитики'!AW1677</f>
        <v/>
      </c>
      <c r="AX1742">
        <f>'19_Расчет_аналитики'!AX1677</f>
        <v/>
      </c>
      <c r="AY1742">
        <f>'19_Расчет_аналитики'!AY1677</f>
        <v/>
      </c>
      <c r="AZ1742">
        <f>'19_Расчет_аналитики'!AZ1677</f>
        <v/>
      </c>
      <c r="BA1742">
        <f>'19_Расчет_аналитики'!BA1677</f>
        <v/>
      </c>
      <c r="BB1742">
        <f>'19_Расчет_аналитики'!BB1677</f>
        <v/>
      </c>
      <c r="BC1742">
        <f>'19_Расчет_аналитики'!BC1677</f>
        <v/>
      </c>
      <c r="BD1742">
        <f>'19_Расчет_аналитики'!BD1677</f>
        <v/>
      </c>
      <c r="BE1742">
        <f>'19_Расчет_аналитики'!BE1677</f>
        <v/>
      </c>
      <c r="BF1742">
        <f>'19_Расчет_аналитики'!BF1677</f>
        <v/>
      </c>
      <c r="BG1742">
        <f>'19_Расчет_аналитики'!BG1677</f>
        <v/>
      </c>
      <c r="BH1742">
        <f>'19_Расчет_аналитики'!BH1677</f>
        <v/>
      </c>
      <c r="BI1742">
        <f>'19_Расчет_аналитики'!BI1677</f>
        <v/>
      </c>
    </row>
    <row r="1743">
      <c r="B1743">
        <f>('01_Вводные'!$B$105+(MAX(0,'06_Сеть_и_дети'!B11-'01_Вводные'!$B$106)+'19_Расчет_аналитики'!B1411)*'01_Вводные'!$B$107)*'18_Календарь_тарифы'!B4</f>
        <v/>
      </c>
      <c r="C1743">
        <f>('01_Вводные'!$B$105+(MAX(0,'06_Сеть_и_дети'!C11-'01_Вводные'!$B$106)+'19_Расчет_аналитики'!C1411)*'01_Вводные'!$B$107)*'18_Календарь_тарифы'!C4</f>
        <v/>
      </c>
      <c r="D1743">
        <f>('01_Вводные'!$B$105+(MAX(0,'06_Сеть_и_дети'!D11-'01_Вводные'!$B$106)+'19_Расчет_аналитики'!D1411)*'01_Вводные'!$B$107)*'18_Календарь_тарифы'!D4</f>
        <v/>
      </c>
      <c r="E1743">
        <f>('01_Вводные'!$B$105+(MAX(0,'06_Сеть_и_дети'!E11-'01_Вводные'!$B$106)+'19_Расчет_аналитики'!E1411)*'01_Вводные'!$B$107)*'18_Календарь_тарифы'!E4</f>
        <v/>
      </c>
      <c r="F1743">
        <f>('01_Вводные'!$B$105+(MAX(0,'06_Сеть_и_дети'!F11-'01_Вводные'!$B$106)+'19_Расчет_аналитики'!F1411)*'01_Вводные'!$B$107)*'18_Календарь_тарифы'!F4</f>
        <v/>
      </c>
      <c r="G1743">
        <f>('01_Вводные'!$B$105+(MAX(0,'06_Сеть_и_дети'!G11-'01_Вводные'!$B$106)+'19_Расчет_аналитики'!G1411)*'01_Вводные'!$B$107)*'18_Календарь_тарифы'!G4</f>
        <v/>
      </c>
      <c r="H1743">
        <f>('01_Вводные'!$B$105+(MAX(0,'06_Сеть_и_дети'!H11-'01_Вводные'!$B$106)+'19_Расчет_аналитики'!H1411)*'01_Вводные'!$B$107)*'18_Календарь_тарифы'!H4</f>
        <v/>
      </c>
      <c r="I1743">
        <f>('01_Вводные'!$B$105+(MAX(0,'06_Сеть_и_дети'!I11-'01_Вводные'!$B$106)+'19_Расчет_аналитики'!I1411)*'01_Вводные'!$B$107)*'18_Календарь_тарифы'!I4</f>
        <v/>
      </c>
      <c r="J1743">
        <f>('01_Вводные'!$B$105+(MAX(0,'06_Сеть_и_дети'!J11-'01_Вводные'!$B$106)+'19_Расчет_аналитики'!J1411)*'01_Вводные'!$B$107)*'18_Календарь_тарифы'!J4</f>
        <v/>
      </c>
      <c r="K1743">
        <f>('01_Вводные'!$B$105+(MAX(0,'06_Сеть_и_дети'!K11-'01_Вводные'!$B$106)+'19_Расчет_аналитики'!K1411)*'01_Вводные'!$B$107)*'18_Календарь_тарифы'!K4</f>
        <v/>
      </c>
      <c r="L1743">
        <f>('01_Вводные'!$B$105+(MAX(0,'06_Сеть_и_дети'!L11-'01_Вводные'!$B$106)+'19_Расчет_аналитики'!L1411)*'01_Вводные'!$B$107)*'18_Календарь_тарифы'!L4</f>
        <v/>
      </c>
      <c r="M1743">
        <f>('01_Вводные'!$B$105+(MAX(0,'06_Сеть_и_дети'!M11-'01_Вводные'!$B$106)+'19_Расчет_аналитики'!M1411)*'01_Вводные'!$B$107)*'18_Календарь_тарифы'!M4</f>
        <v/>
      </c>
      <c r="N1743">
        <f>('01_Вводные'!$B$105+(MAX(0,'06_Сеть_и_дети'!N11-'01_Вводные'!$B$106)+'19_Расчет_аналитики'!N1411)*'01_Вводные'!$B$107)*'18_Календарь_тарифы'!N4</f>
        <v/>
      </c>
      <c r="O1743">
        <f>('01_Вводные'!$B$105+(MAX(0,'06_Сеть_и_дети'!O11-'01_Вводные'!$B$106)+'19_Расчет_аналитики'!O1411)*'01_Вводные'!$B$107)*'18_Календарь_тарифы'!O4</f>
        <v/>
      </c>
      <c r="P1743">
        <f>('01_Вводные'!$B$105+(MAX(0,'06_Сеть_и_дети'!P11-'01_Вводные'!$B$106)+'19_Расчет_аналитики'!P1411)*'01_Вводные'!$B$107)*'18_Календарь_тарифы'!P4</f>
        <v/>
      </c>
      <c r="Q1743">
        <f>('01_Вводные'!$B$105+(MAX(0,'06_Сеть_и_дети'!Q11-'01_Вводные'!$B$106)+'19_Расчет_аналитики'!Q1411)*'01_Вводные'!$B$107)*'18_Календарь_тарифы'!Q4</f>
        <v/>
      </c>
      <c r="R1743">
        <f>('01_Вводные'!$B$105+(MAX(0,'06_Сеть_и_дети'!R11-'01_Вводные'!$B$106)+'19_Расчет_аналитики'!R1411)*'01_Вводные'!$B$107)*'18_Календарь_тарифы'!R4</f>
        <v/>
      </c>
      <c r="S1743">
        <f>('01_Вводные'!$B$105+(MAX(0,'06_Сеть_и_дети'!S11-'01_Вводные'!$B$106)+'19_Расчет_аналитики'!S1411)*'01_Вводные'!$B$107)*'18_Календарь_тарифы'!S4</f>
        <v/>
      </c>
      <c r="T1743">
        <f>('01_Вводные'!$B$105+(MAX(0,'06_Сеть_и_дети'!T11-'01_Вводные'!$B$106)+'19_Расчет_аналитики'!T1411)*'01_Вводные'!$B$107)*'18_Календарь_тарифы'!T4</f>
        <v/>
      </c>
      <c r="U1743">
        <f>('01_Вводные'!$B$105+(MAX(0,'06_Сеть_и_дети'!U11-'01_Вводные'!$B$106)+'19_Расчет_аналитики'!U1411)*'01_Вводные'!$B$107)*'18_Календарь_тарифы'!U4</f>
        <v/>
      </c>
      <c r="V1743">
        <f>('01_Вводные'!$B$105+(MAX(0,'06_Сеть_и_дети'!V11-'01_Вводные'!$B$106)+'19_Расчет_аналитики'!V1411)*'01_Вводные'!$B$107)*'18_Календарь_тарифы'!V4</f>
        <v/>
      </c>
      <c r="W1743">
        <f>('01_Вводные'!$B$105+(MAX(0,'06_Сеть_и_дети'!W11-'01_Вводные'!$B$106)+'19_Расчет_аналитики'!W1411)*'01_Вводные'!$B$107)*'18_Календарь_тарифы'!W4</f>
        <v/>
      </c>
      <c r="X1743">
        <f>('01_Вводные'!$B$105+(MAX(0,'06_Сеть_и_дети'!X11-'01_Вводные'!$B$106)+'19_Расчет_аналитики'!X1411)*'01_Вводные'!$B$107)*'18_Календарь_тарифы'!X4</f>
        <v/>
      </c>
      <c r="Y1743">
        <f>('01_Вводные'!$B$105+(MAX(0,'06_Сеть_и_дети'!Y11-'01_Вводные'!$B$106)+'19_Расчет_аналитики'!Y1411)*'01_Вводные'!$B$107)*'18_Календарь_тарифы'!Y4</f>
        <v/>
      </c>
      <c r="Z1743">
        <f>('01_Вводные'!$B$105+(MAX(0,'06_Сеть_и_дети'!Z11-'01_Вводные'!$B$106)+'19_Расчет_аналитики'!Z1411)*'01_Вводные'!$B$107)*'18_Календарь_тарифы'!Z4</f>
        <v/>
      </c>
      <c r="AA1743">
        <f>('01_Вводные'!$B$105+(MAX(0,'06_Сеть_и_дети'!AA11-'01_Вводные'!$B$106)+'19_Расчет_аналитики'!AA1411)*'01_Вводные'!$B$107)*'18_Календарь_тарифы'!AA4</f>
        <v/>
      </c>
      <c r="AB1743">
        <f>('01_Вводные'!$B$105+(MAX(0,'06_Сеть_и_дети'!AB11-'01_Вводные'!$B$106)+'19_Расчет_аналитики'!AB1411)*'01_Вводные'!$B$107)*'18_Календарь_тарифы'!AB4</f>
        <v/>
      </c>
      <c r="AC1743">
        <f>('01_Вводные'!$B$105+(MAX(0,'06_Сеть_и_дети'!AC11-'01_Вводные'!$B$106)+'19_Расчет_аналитики'!AC1411)*'01_Вводные'!$B$107)*'18_Календарь_тарифы'!AC4</f>
        <v/>
      </c>
      <c r="AD1743">
        <f>('01_Вводные'!$B$105+(MAX(0,'06_Сеть_и_дети'!AD11-'01_Вводные'!$B$106)+'19_Расчет_аналитики'!AD1411)*'01_Вводные'!$B$107)*'18_Календарь_тарифы'!AD4</f>
        <v/>
      </c>
      <c r="AE1743">
        <f>('01_Вводные'!$B$105+(MAX(0,'06_Сеть_и_дети'!AE11-'01_Вводные'!$B$106)+'19_Расчет_аналитики'!AE1411)*'01_Вводные'!$B$107)*'18_Календарь_тарифы'!AE4</f>
        <v/>
      </c>
      <c r="AF1743">
        <f>('01_Вводные'!$B$105+(MAX(0,'06_Сеть_и_дети'!AF11-'01_Вводные'!$B$106)+'19_Расчет_аналитики'!AF1411)*'01_Вводные'!$B$107)*'18_Календарь_тарифы'!AF4</f>
        <v/>
      </c>
      <c r="AG1743">
        <f>('01_Вводные'!$B$105+(MAX(0,'06_Сеть_и_дети'!AG11-'01_Вводные'!$B$106)+'19_Расчет_аналитики'!AG1411)*'01_Вводные'!$B$107)*'18_Календарь_тарифы'!AG4</f>
        <v/>
      </c>
      <c r="AH1743">
        <f>('01_Вводные'!$B$105+(MAX(0,'06_Сеть_и_дети'!AH11-'01_Вводные'!$B$106)+'19_Расчет_аналитики'!AH1411)*'01_Вводные'!$B$107)*'18_Календарь_тарифы'!AH4</f>
        <v/>
      </c>
      <c r="AI1743">
        <f>('01_Вводные'!$B$105+(MAX(0,'06_Сеть_и_дети'!AI11-'01_Вводные'!$B$106)+'19_Расчет_аналитики'!AI1411)*'01_Вводные'!$B$107)*'18_Календарь_тарифы'!AI4</f>
        <v/>
      </c>
      <c r="AJ1743">
        <f>('01_Вводные'!$B$105+(MAX(0,'06_Сеть_и_дети'!AJ11-'01_Вводные'!$B$106)+'19_Расчет_аналитики'!AJ1411)*'01_Вводные'!$B$107)*'18_Календарь_тарифы'!AJ4</f>
        <v/>
      </c>
      <c r="AK1743">
        <f>('01_Вводные'!$B$105+(MAX(0,'06_Сеть_и_дети'!AK11-'01_Вводные'!$B$106)+'19_Расчет_аналитики'!AK1411)*'01_Вводные'!$B$107)*'18_Календарь_тарифы'!AK4</f>
        <v/>
      </c>
      <c r="AL1743">
        <f>('01_Вводные'!$B$105+(MAX(0,'06_Сеть_и_дети'!AL11-'01_Вводные'!$B$106)+'19_Расчет_аналитики'!AL1411)*'01_Вводные'!$B$107)*'18_Календарь_тарифы'!AL4</f>
        <v/>
      </c>
      <c r="AM1743">
        <f>('01_Вводные'!$B$105+(MAX(0,'06_Сеть_и_дети'!AM11-'01_Вводные'!$B$106)+'19_Расчет_аналитики'!AM1411)*'01_Вводные'!$B$107)*'18_Календарь_тарифы'!AM4</f>
        <v/>
      </c>
      <c r="AN1743">
        <f>('01_Вводные'!$B$105+(MAX(0,'06_Сеть_и_дети'!AN11-'01_Вводные'!$B$106)+'19_Расчет_аналитики'!AN1411)*'01_Вводные'!$B$107)*'18_Календарь_тарифы'!AN4</f>
        <v/>
      </c>
      <c r="AO1743">
        <f>('01_Вводные'!$B$105+(MAX(0,'06_Сеть_и_дети'!AO11-'01_Вводные'!$B$106)+'19_Расчет_аналитики'!AO1411)*'01_Вводные'!$B$107)*'18_Календарь_тарифы'!AO4</f>
        <v/>
      </c>
      <c r="AP1743">
        <f>('01_Вводные'!$B$105+(MAX(0,'06_Сеть_и_дети'!AP11-'01_Вводные'!$B$106)+'19_Расчет_аналитики'!AP1411)*'01_Вводные'!$B$107)*'18_Календарь_тарифы'!AP4</f>
        <v/>
      </c>
      <c r="AQ1743">
        <f>('01_Вводные'!$B$105+(MAX(0,'06_Сеть_и_дети'!AQ11-'01_Вводные'!$B$106)+'19_Расчет_аналитики'!AQ1411)*'01_Вводные'!$B$107)*'18_Календарь_тарифы'!AQ4</f>
        <v/>
      </c>
      <c r="AR1743">
        <f>('01_Вводные'!$B$105+(MAX(0,'06_Сеть_и_дети'!AR11-'01_Вводные'!$B$106)+'19_Расчет_аналитики'!AR1411)*'01_Вводные'!$B$107)*'18_Календарь_тарифы'!AR4</f>
        <v/>
      </c>
      <c r="AS1743">
        <f>('01_Вводные'!$B$105+(MAX(0,'06_Сеть_и_дети'!AS11-'01_Вводные'!$B$106)+'19_Расчет_аналитики'!AS1411)*'01_Вводные'!$B$107)*'18_Календарь_тарифы'!AS4</f>
        <v/>
      </c>
      <c r="AT1743">
        <f>('01_Вводные'!$B$105+(MAX(0,'06_Сеть_и_дети'!AT11-'01_Вводные'!$B$106)+'19_Расчет_аналитики'!AT1411)*'01_Вводные'!$B$107)*'18_Календарь_тарифы'!AT4</f>
        <v/>
      </c>
      <c r="AU1743">
        <f>('01_Вводные'!$B$105+(MAX(0,'06_Сеть_и_дети'!AU11-'01_Вводные'!$B$106)+'19_Расчет_аналитики'!AU1411)*'01_Вводные'!$B$107)*'18_Календарь_тарифы'!AU4</f>
        <v/>
      </c>
      <c r="AV1743">
        <f>('01_Вводные'!$B$105+(MAX(0,'06_Сеть_и_дети'!AV11-'01_Вводные'!$B$106)+'19_Расчет_аналитики'!AV1411)*'01_Вводные'!$B$107)*'18_Календарь_тарифы'!AV4</f>
        <v/>
      </c>
      <c r="AW1743">
        <f>('01_Вводные'!$B$105+(MAX(0,'06_Сеть_и_дети'!AW11-'01_Вводные'!$B$106)+'19_Расчет_аналитики'!AW1411)*'01_Вводные'!$B$107)*'18_Календарь_тарифы'!AW4</f>
        <v/>
      </c>
      <c r="AX1743">
        <f>('01_Вводные'!$B$105+(MAX(0,'06_Сеть_и_дети'!AX11-'01_Вводные'!$B$106)+'19_Расчет_аналитики'!AX1411)*'01_Вводные'!$B$107)*'18_Календарь_тарифы'!AX4</f>
        <v/>
      </c>
      <c r="AY1743">
        <f>('01_Вводные'!$B$105+(MAX(0,'06_Сеть_и_дети'!AY11-'01_Вводные'!$B$106)+'19_Расчет_аналитики'!AY1411)*'01_Вводные'!$B$107)*'18_Календарь_тарифы'!AY4</f>
        <v/>
      </c>
      <c r="AZ1743">
        <f>('01_Вводные'!$B$105+(MAX(0,'06_Сеть_и_дети'!AZ11-'01_Вводные'!$B$106)+'19_Расчет_аналитики'!AZ1411)*'01_Вводные'!$B$107)*'18_Календарь_тарифы'!AZ4</f>
        <v/>
      </c>
      <c r="BA1743">
        <f>('01_Вводные'!$B$105+(MAX(0,'06_Сеть_и_дети'!BA11-'01_Вводные'!$B$106)+'19_Расчет_аналитики'!BA1411)*'01_Вводные'!$B$107)*'18_Календарь_тарифы'!BA4</f>
        <v/>
      </c>
      <c r="BB1743">
        <f>('01_Вводные'!$B$105+(MAX(0,'06_Сеть_и_дети'!BB11-'01_Вводные'!$B$106)+'19_Расчет_аналитики'!BB1411)*'01_Вводные'!$B$107)*'18_Календарь_тарифы'!BB4</f>
        <v/>
      </c>
      <c r="BC1743">
        <f>('01_Вводные'!$B$105+(MAX(0,'06_Сеть_и_дети'!BC11-'01_Вводные'!$B$106)+'19_Расчет_аналитики'!BC1411)*'01_Вводные'!$B$107)*'18_Календарь_тарифы'!BC4</f>
        <v/>
      </c>
      <c r="BD1743">
        <f>('01_Вводные'!$B$105+(MAX(0,'06_Сеть_и_дети'!BD11-'01_Вводные'!$B$106)+'19_Расчет_аналитики'!BD1411)*'01_Вводные'!$B$107)*'18_Календарь_тарифы'!BD4</f>
        <v/>
      </c>
      <c r="BE1743">
        <f>('01_Вводные'!$B$105+(MAX(0,'06_Сеть_и_дети'!BE11-'01_Вводные'!$B$106)+'19_Расчет_аналитики'!BE1411)*'01_Вводные'!$B$107)*'18_Календарь_тарифы'!BE4</f>
        <v/>
      </c>
      <c r="BF1743">
        <f>('01_Вводные'!$B$105+(MAX(0,'06_Сеть_и_дети'!BF11-'01_Вводные'!$B$106)+'19_Расчет_аналитики'!BF1411)*'01_Вводные'!$B$107)*'18_Календарь_тарифы'!BF4</f>
        <v/>
      </c>
      <c r="BG1743">
        <f>('01_Вводные'!$B$105+(MAX(0,'06_Сеть_и_дети'!BG11-'01_Вводные'!$B$106)+'19_Расчет_аналитики'!BG1411)*'01_Вводные'!$B$107)*'18_Календарь_тарифы'!BG4</f>
        <v/>
      </c>
      <c r="BH1743">
        <f>('01_Вводные'!$B$105+(MAX(0,'06_Сеть_и_дети'!BH11-'01_Вводные'!$B$106)+'19_Расчет_аналитики'!BH1411)*'01_Вводные'!$B$107)*'18_Календарь_тарифы'!BH4</f>
        <v/>
      </c>
      <c r="BI1743">
        <f>('01_Вводные'!$B$105+(MAX(0,'06_Сеть_и_дети'!BI11-'01_Вводные'!$B$106)+'19_Расчет_аналитики'!BI1411)*'01_Вводные'!$B$107)*'18_Календарь_тарифы'!BI4</f>
        <v/>
      </c>
    </row>
    <row r="1744">
      <c r="B1744">
        <f>'02_Модель'!B38</f>
        <v/>
      </c>
      <c r="C1744">
        <f>'02_Модель'!C38</f>
        <v/>
      </c>
      <c r="D1744">
        <f>'02_Модель'!D38</f>
        <v/>
      </c>
      <c r="E1744">
        <f>'02_Модель'!E38</f>
        <v/>
      </c>
      <c r="F1744">
        <f>'02_Модель'!F38</f>
        <v/>
      </c>
      <c r="G1744">
        <f>'02_Модель'!G38</f>
        <v/>
      </c>
      <c r="H1744">
        <f>'02_Модель'!H38</f>
        <v/>
      </c>
      <c r="I1744">
        <f>'02_Модель'!I38</f>
        <v/>
      </c>
      <c r="J1744">
        <f>'02_Модель'!J38</f>
        <v/>
      </c>
      <c r="K1744">
        <f>'02_Модель'!K38</f>
        <v/>
      </c>
      <c r="L1744">
        <f>'02_Модель'!L38</f>
        <v/>
      </c>
      <c r="M1744">
        <f>'02_Модель'!M38</f>
        <v/>
      </c>
      <c r="N1744">
        <f>'02_Модель'!N38</f>
        <v/>
      </c>
      <c r="O1744">
        <f>'02_Модель'!O38</f>
        <v/>
      </c>
      <c r="P1744">
        <f>'02_Модель'!P38</f>
        <v/>
      </c>
      <c r="Q1744">
        <f>'02_Модель'!Q38</f>
        <v/>
      </c>
      <c r="R1744">
        <f>'02_Модель'!R38</f>
        <v/>
      </c>
      <c r="S1744">
        <f>'02_Модель'!S38</f>
        <v/>
      </c>
      <c r="T1744">
        <f>'02_Модель'!T38</f>
        <v/>
      </c>
      <c r="U1744">
        <f>'02_Модель'!U38</f>
        <v/>
      </c>
      <c r="V1744">
        <f>'02_Модель'!V38</f>
        <v/>
      </c>
      <c r="W1744">
        <f>'02_Модель'!W38</f>
        <v/>
      </c>
      <c r="X1744">
        <f>'02_Модель'!X38</f>
        <v/>
      </c>
      <c r="Y1744">
        <f>'02_Модель'!Y38</f>
        <v/>
      </c>
      <c r="Z1744">
        <f>'02_Модель'!Z38</f>
        <v/>
      </c>
      <c r="AA1744">
        <f>'02_Модель'!AA38</f>
        <v/>
      </c>
      <c r="AB1744">
        <f>'02_Модель'!AB38</f>
        <v/>
      </c>
      <c r="AC1744">
        <f>'02_Модель'!AC38</f>
        <v/>
      </c>
      <c r="AD1744">
        <f>'02_Модель'!AD38</f>
        <v/>
      </c>
      <c r="AE1744">
        <f>'02_Модель'!AE38</f>
        <v/>
      </c>
      <c r="AF1744">
        <f>'02_Модель'!AF38</f>
        <v/>
      </c>
      <c r="AG1744">
        <f>'02_Модель'!AG38</f>
        <v/>
      </c>
      <c r="AH1744">
        <f>'02_Модель'!AH38</f>
        <v/>
      </c>
      <c r="AI1744">
        <f>'02_Модель'!AI38</f>
        <v/>
      </c>
      <c r="AJ1744">
        <f>'02_Модель'!AJ38</f>
        <v/>
      </c>
      <c r="AK1744">
        <f>'02_Модель'!AK38</f>
        <v/>
      </c>
      <c r="AL1744">
        <f>'02_Модель'!AL38</f>
        <v/>
      </c>
      <c r="AM1744">
        <f>'02_Модель'!AM38</f>
        <v/>
      </c>
      <c r="AN1744">
        <f>'02_Модель'!AN38</f>
        <v/>
      </c>
      <c r="AO1744">
        <f>'02_Модель'!AO38</f>
        <v/>
      </c>
      <c r="AP1744">
        <f>'02_Модель'!AP38</f>
        <v/>
      </c>
      <c r="AQ1744">
        <f>'02_Модель'!AQ38</f>
        <v/>
      </c>
      <c r="AR1744">
        <f>'02_Модель'!AR38</f>
        <v/>
      </c>
      <c r="AS1744">
        <f>'02_Модель'!AS38</f>
        <v/>
      </c>
      <c r="AT1744">
        <f>'02_Модель'!AT38</f>
        <v/>
      </c>
      <c r="AU1744">
        <f>'02_Модель'!AU38</f>
        <v/>
      </c>
      <c r="AV1744">
        <f>'02_Модель'!AV38</f>
        <v/>
      </c>
      <c r="AW1744">
        <f>'02_Модель'!AW38</f>
        <v/>
      </c>
      <c r="AX1744">
        <f>'02_Модель'!AX38</f>
        <v/>
      </c>
      <c r="AY1744">
        <f>'02_Модель'!AY38</f>
        <v/>
      </c>
      <c r="AZ1744">
        <f>'02_Модель'!AZ38</f>
        <v/>
      </c>
      <c r="BA1744">
        <f>'02_Модель'!BA38</f>
        <v/>
      </c>
      <c r="BB1744">
        <f>'02_Модель'!BB38</f>
        <v/>
      </c>
      <c r="BC1744">
        <f>'02_Модель'!BC38</f>
        <v/>
      </c>
      <c r="BD1744">
        <f>'02_Модель'!BD38</f>
        <v/>
      </c>
      <c r="BE1744">
        <f>'02_Модель'!BE38</f>
        <v/>
      </c>
      <c r="BF1744">
        <f>'02_Модель'!BF38</f>
        <v/>
      </c>
      <c r="BG1744">
        <f>'02_Модель'!BG38</f>
        <v/>
      </c>
      <c r="BH1744">
        <f>'02_Модель'!BH38</f>
        <v/>
      </c>
      <c r="BI1744">
        <f>'02_Модель'!BI38</f>
        <v/>
      </c>
    </row>
    <row r="1745">
      <c r="B1745">
        <f>'02_Модель'!B39</f>
        <v/>
      </c>
      <c r="C1745">
        <f>'02_Модель'!C39</f>
        <v/>
      </c>
      <c r="D1745">
        <f>'02_Модель'!D39</f>
        <v/>
      </c>
      <c r="E1745">
        <f>'02_Модель'!E39</f>
        <v/>
      </c>
      <c r="F1745">
        <f>'02_Модель'!F39</f>
        <v/>
      </c>
      <c r="G1745">
        <f>'02_Модель'!G39</f>
        <v/>
      </c>
      <c r="H1745">
        <f>'02_Модель'!H39</f>
        <v/>
      </c>
      <c r="I1745">
        <f>'02_Модель'!I39</f>
        <v/>
      </c>
      <c r="J1745">
        <f>'02_Модель'!J39</f>
        <v/>
      </c>
      <c r="K1745">
        <f>'02_Модель'!K39</f>
        <v/>
      </c>
      <c r="L1745">
        <f>'02_Модель'!L39</f>
        <v/>
      </c>
      <c r="M1745">
        <f>'02_Модель'!M39</f>
        <v/>
      </c>
      <c r="N1745">
        <f>'02_Модель'!N39</f>
        <v/>
      </c>
      <c r="O1745">
        <f>'02_Модель'!O39</f>
        <v/>
      </c>
      <c r="P1745">
        <f>'02_Модель'!P39</f>
        <v/>
      </c>
      <c r="Q1745">
        <f>'02_Модель'!Q39</f>
        <v/>
      </c>
      <c r="R1745">
        <f>'02_Модель'!R39</f>
        <v/>
      </c>
      <c r="S1745">
        <f>'02_Модель'!S39</f>
        <v/>
      </c>
      <c r="T1745">
        <f>'02_Модель'!T39</f>
        <v/>
      </c>
      <c r="U1745">
        <f>'02_Модель'!U39</f>
        <v/>
      </c>
      <c r="V1745">
        <f>'02_Модель'!V39</f>
        <v/>
      </c>
      <c r="W1745">
        <f>'02_Модель'!W39</f>
        <v/>
      </c>
      <c r="X1745">
        <f>'02_Модель'!X39</f>
        <v/>
      </c>
      <c r="Y1745">
        <f>'02_Модель'!Y39</f>
        <v/>
      </c>
      <c r="Z1745">
        <f>'02_Модель'!Z39</f>
        <v/>
      </c>
      <c r="AA1745">
        <f>'02_Модель'!AA39</f>
        <v/>
      </c>
      <c r="AB1745">
        <f>'02_Модель'!AB39</f>
        <v/>
      </c>
      <c r="AC1745">
        <f>'02_Модель'!AC39</f>
        <v/>
      </c>
      <c r="AD1745">
        <f>'02_Модель'!AD39</f>
        <v/>
      </c>
      <c r="AE1745">
        <f>'02_Модель'!AE39</f>
        <v/>
      </c>
      <c r="AF1745">
        <f>'02_Модель'!AF39</f>
        <v/>
      </c>
      <c r="AG1745">
        <f>'02_Модель'!AG39</f>
        <v/>
      </c>
      <c r="AH1745">
        <f>'02_Модель'!AH39</f>
        <v/>
      </c>
      <c r="AI1745">
        <f>'02_Модель'!AI39</f>
        <v/>
      </c>
      <c r="AJ1745">
        <f>'02_Модель'!AJ39</f>
        <v/>
      </c>
      <c r="AK1745">
        <f>'02_Модель'!AK39</f>
        <v/>
      </c>
      <c r="AL1745">
        <f>'02_Модель'!AL39</f>
        <v/>
      </c>
      <c r="AM1745">
        <f>'02_Модель'!AM39</f>
        <v/>
      </c>
      <c r="AN1745">
        <f>'02_Модель'!AN39</f>
        <v/>
      </c>
      <c r="AO1745">
        <f>'02_Модель'!AO39</f>
        <v/>
      </c>
      <c r="AP1745">
        <f>'02_Модель'!AP39</f>
        <v/>
      </c>
      <c r="AQ1745">
        <f>'02_Модель'!AQ39</f>
        <v/>
      </c>
      <c r="AR1745">
        <f>'02_Модель'!AR39</f>
        <v/>
      </c>
      <c r="AS1745">
        <f>'02_Модель'!AS39</f>
        <v/>
      </c>
      <c r="AT1745">
        <f>'02_Модель'!AT39</f>
        <v/>
      </c>
      <c r="AU1745">
        <f>'02_Модель'!AU39</f>
        <v/>
      </c>
      <c r="AV1745">
        <f>'02_Модель'!AV39</f>
        <v/>
      </c>
      <c r="AW1745">
        <f>'02_Модель'!AW39</f>
        <v/>
      </c>
      <c r="AX1745">
        <f>'02_Модель'!AX39</f>
        <v/>
      </c>
      <c r="AY1745">
        <f>'02_Модель'!AY39</f>
        <v/>
      </c>
      <c r="AZ1745">
        <f>'02_Модель'!AZ39</f>
        <v/>
      </c>
      <c r="BA1745">
        <f>'02_Модель'!BA39</f>
        <v/>
      </c>
      <c r="BB1745">
        <f>'02_Модель'!BB39</f>
        <v/>
      </c>
      <c r="BC1745">
        <f>'02_Модель'!BC39</f>
        <v/>
      </c>
      <c r="BD1745">
        <f>'02_Модель'!BD39</f>
        <v/>
      </c>
      <c r="BE1745">
        <f>'02_Модель'!BE39</f>
        <v/>
      </c>
      <c r="BF1745">
        <f>'02_Модель'!BF39</f>
        <v/>
      </c>
      <c r="BG1745">
        <f>'02_Модель'!BG39</f>
        <v/>
      </c>
      <c r="BH1745">
        <f>'02_Модель'!BH39</f>
        <v/>
      </c>
      <c r="BI1745">
        <f>'02_Модель'!BI39</f>
        <v/>
      </c>
    </row>
    <row r="1746">
      <c r="B1746">
        <f>'02_Модель'!B40</f>
        <v/>
      </c>
      <c r="C1746">
        <f>'02_Модель'!C40</f>
        <v/>
      </c>
      <c r="D1746">
        <f>'02_Модель'!D40</f>
        <v/>
      </c>
      <c r="E1746">
        <f>'02_Модель'!E40</f>
        <v/>
      </c>
      <c r="F1746">
        <f>'02_Модель'!F40</f>
        <v/>
      </c>
      <c r="G1746">
        <f>'02_Модель'!G40</f>
        <v/>
      </c>
      <c r="H1746">
        <f>'02_Модель'!H40</f>
        <v/>
      </c>
      <c r="I1746">
        <f>'02_Модель'!I40</f>
        <v/>
      </c>
      <c r="J1746">
        <f>'02_Модель'!J40</f>
        <v/>
      </c>
      <c r="K1746">
        <f>'02_Модель'!K40</f>
        <v/>
      </c>
      <c r="L1746">
        <f>'02_Модель'!L40</f>
        <v/>
      </c>
      <c r="M1746">
        <f>'02_Модель'!M40</f>
        <v/>
      </c>
      <c r="N1746">
        <f>'02_Модель'!N40</f>
        <v/>
      </c>
      <c r="O1746">
        <f>'02_Модель'!O40</f>
        <v/>
      </c>
      <c r="P1746">
        <f>'02_Модель'!P40</f>
        <v/>
      </c>
      <c r="Q1746">
        <f>'02_Модель'!Q40</f>
        <v/>
      </c>
      <c r="R1746">
        <f>'02_Модель'!R40</f>
        <v/>
      </c>
      <c r="S1746">
        <f>'02_Модель'!S40</f>
        <v/>
      </c>
      <c r="T1746">
        <f>'02_Модель'!T40</f>
        <v/>
      </c>
      <c r="U1746">
        <f>'02_Модель'!U40</f>
        <v/>
      </c>
      <c r="V1746">
        <f>'02_Модель'!V40</f>
        <v/>
      </c>
      <c r="W1746">
        <f>'02_Модель'!W40</f>
        <v/>
      </c>
      <c r="X1746">
        <f>'02_Модель'!X40</f>
        <v/>
      </c>
      <c r="Y1746">
        <f>'02_Модель'!Y40</f>
        <v/>
      </c>
      <c r="Z1746">
        <f>'02_Модель'!Z40</f>
        <v/>
      </c>
      <c r="AA1746">
        <f>'02_Модель'!AA40</f>
        <v/>
      </c>
      <c r="AB1746">
        <f>'02_Модель'!AB40</f>
        <v/>
      </c>
      <c r="AC1746">
        <f>'02_Модель'!AC40</f>
        <v/>
      </c>
      <c r="AD1746">
        <f>'02_Модель'!AD40</f>
        <v/>
      </c>
      <c r="AE1746">
        <f>'02_Модель'!AE40</f>
        <v/>
      </c>
      <c r="AF1746">
        <f>'02_Модель'!AF40</f>
        <v/>
      </c>
      <c r="AG1746">
        <f>'02_Модель'!AG40</f>
        <v/>
      </c>
      <c r="AH1746">
        <f>'02_Модель'!AH40</f>
        <v/>
      </c>
      <c r="AI1746">
        <f>'02_Модель'!AI40</f>
        <v/>
      </c>
      <c r="AJ1746">
        <f>'02_Модель'!AJ40</f>
        <v/>
      </c>
      <c r="AK1746">
        <f>'02_Модель'!AK40</f>
        <v/>
      </c>
      <c r="AL1746">
        <f>'02_Модель'!AL40</f>
        <v/>
      </c>
      <c r="AM1746">
        <f>'02_Модель'!AM40</f>
        <v/>
      </c>
      <c r="AN1746">
        <f>'02_Модель'!AN40</f>
        <v/>
      </c>
      <c r="AO1746">
        <f>'02_Модель'!AO40</f>
        <v/>
      </c>
      <c r="AP1746">
        <f>'02_Модель'!AP40</f>
        <v/>
      </c>
      <c r="AQ1746">
        <f>'02_Модель'!AQ40</f>
        <v/>
      </c>
      <c r="AR1746">
        <f>'02_Модель'!AR40</f>
        <v/>
      </c>
      <c r="AS1746">
        <f>'02_Модель'!AS40</f>
        <v/>
      </c>
      <c r="AT1746">
        <f>'02_Модель'!AT40</f>
        <v/>
      </c>
      <c r="AU1746">
        <f>'02_Модель'!AU40</f>
        <v/>
      </c>
      <c r="AV1746">
        <f>'02_Модель'!AV40</f>
        <v/>
      </c>
      <c r="AW1746">
        <f>'02_Модель'!AW40</f>
        <v/>
      </c>
      <c r="AX1746">
        <f>'02_Модель'!AX40</f>
        <v/>
      </c>
      <c r="AY1746">
        <f>'02_Модель'!AY40</f>
        <v/>
      </c>
      <c r="AZ1746">
        <f>'02_Модель'!AZ40</f>
        <v/>
      </c>
      <c r="BA1746">
        <f>'02_Модель'!BA40</f>
        <v/>
      </c>
      <c r="BB1746">
        <f>'02_Модель'!BB40</f>
        <v/>
      </c>
      <c r="BC1746">
        <f>'02_Модель'!BC40</f>
        <v/>
      </c>
      <c r="BD1746">
        <f>'02_Модель'!BD40</f>
        <v/>
      </c>
      <c r="BE1746">
        <f>'02_Модель'!BE40</f>
        <v/>
      </c>
      <c r="BF1746">
        <f>'02_Модель'!BF40</f>
        <v/>
      </c>
      <c r="BG1746">
        <f>'02_Модель'!BG40</f>
        <v/>
      </c>
      <c r="BH1746">
        <f>'02_Модель'!BH40</f>
        <v/>
      </c>
      <c r="BI1746">
        <f>'02_Модель'!BI40</f>
        <v/>
      </c>
    </row>
    <row r="1747">
      <c r="B1747">
        <f>'02_Модель'!B41</f>
        <v/>
      </c>
      <c r="C1747">
        <f>'02_Модель'!C41</f>
        <v/>
      </c>
      <c r="D1747">
        <f>'02_Модель'!D41</f>
        <v/>
      </c>
      <c r="E1747">
        <f>'02_Модель'!E41</f>
        <v/>
      </c>
      <c r="F1747">
        <f>'02_Модель'!F41</f>
        <v/>
      </c>
      <c r="G1747">
        <f>'02_Модель'!G41</f>
        <v/>
      </c>
      <c r="H1747">
        <f>'02_Модель'!H41</f>
        <v/>
      </c>
      <c r="I1747">
        <f>'02_Модель'!I41</f>
        <v/>
      </c>
      <c r="J1747">
        <f>'02_Модель'!J41</f>
        <v/>
      </c>
      <c r="K1747">
        <f>'02_Модель'!K41</f>
        <v/>
      </c>
      <c r="L1747">
        <f>'02_Модель'!L41</f>
        <v/>
      </c>
      <c r="M1747">
        <f>'02_Модель'!M41</f>
        <v/>
      </c>
      <c r="N1747">
        <f>'02_Модель'!N41</f>
        <v/>
      </c>
      <c r="O1747">
        <f>'02_Модель'!O41</f>
        <v/>
      </c>
      <c r="P1747">
        <f>'02_Модель'!P41</f>
        <v/>
      </c>
      <c r="Q1747">
        <f>'02_Модель'!Q41</f>
        <v/>
      </c>
      <c r="R1747">
        <f>'02_Модель'!R41</f>
        <v/>
      </c>
      <c r="S1747">
        <f>'02_Модель'!S41</f>
        <v/>
      </c>
      <c r="T1747">
        <f>'02_Модель'!T41</f>
        <v/>
      </c>
      <c r="U1747">
        <f>'02_Модель'!U41</f>
        <v/>
      </c>
      <c r="V1747">
        <f>'02_Модель'!V41</f>
        <v/>
      </c>
      <c r="W1747">
        <f>'02_Модель'!W41</f>
        <v/>
      </c>
      <c r="X1747">
        <f>'02_Модель'!X41</f>
        <v/>
      </c>
      <c r="Y1747">
        <f>'02_Модель'!Y41</f>
        <v/>
      </c>
      <c r="Z1747">
        <f>'02_Модель'!Z41</f>
        <v/>
      </c>
      <c r="AA1747">
        <f>'02_Модель'!AA41</f>
        <v/>
      </c>
      <c r="AB1747">
        <f>'02_Модель'!AB41</f>
        <v/>
      </c>
      <c r="AC1747">
        <f>'02_Модель'!AC41</f>
        <v/>
      </c>
      <c r="AD1747">
        <f>'02_Модель'!AD41</f>
        <v/>
      </c>
      <c r="AE1747">
        <f>'02_Модель'!AE41</f>
        <v/>
      </c>
      <c r="AF1747">
        <f>'02_Модель'!AF41</f>
        <v/>
      </c>
      <c r="AG1747">
        <f>'02_Модель'!AG41</f>
        <v/>
      </c>
      <c r="AH1747">
        <f>'02_Модель'!AH41</f>
        <v/>
      </c>
      <c r="AI1747">
        <f>'02_Модель'!AI41</f>
        <v/>
      </c>
      <c r="AJ1747">
        <f>'02_Модель'!AJ41</f>
        <v/>
      </c>
      <c r="AK1747">
        <f>'02_Модель'!AK41</f>
        <v/>
      </c>
      <c r="AL1747">
        <f>'02_Модель'!AL41</f>
        <v/>
      </c>
      <c r="AM1747">
        <f>'02_Модель'!AM41</f>
        <v/>
      </c>
      <c r="AN1747">
        <f>'02_Модель'!AN41</f>
        <v/>
      </c>
      <c r="AO1747">
        <f>'02_Модель'!AO41</f>
        <v/>
      </c>
      <c r="AP1747">
        <f>'02_Модель'!AP41</f>
        <v/>
      </c>
      <c r="AQ1747">
        <f>'02_Модель'!AQ41</f>
        <v/>
      </c>
      <c r="AR1747">
        <f>'02_Модель'!AR41</f>
        <v/>
      </c>
      <c r="AS1747">
        <f>'02_Модель'!AS41</f>
        <v/>
      </c>
      <c r="AT1747">
        <f>'02_Модель'!AT41</f>
        <v/>
      </c>
      <c r="AU1747">
        <f>'02_Модель'!AU41</f>
        <v/>
      </c>
      <c r="AV1747">
        <f>'02_Модель'!AV41</f>
        <v/>
      </c>
      <c r="AW1747">
        <f>'02_Модель'!AW41</f>
        <v/>
      </c>
      <c r="AX1747">
        <f>'02_Модель'!AX41</f>
        <v/>
      </c>
      <c r="AY1747">
        <f>'02_Модель'!AY41</f>
        <v/>
      </c>
      <c r="AZ1747">
        <f>'02_Модель'!AZ41</f>
        <v/>
      </c>
      <c r="BA1747">
        <f>'02_Модель'!BA41</f>
        <v/>
      </c>
      <c r="BB1747">
        <f>'02_Модель'!BB41</f>
        <v/>
      </c>
      <c r="BC1747">
        <f>'02_Модель'!BC41</f>
        <v/>
      </c>
      <c r="BD1747">
        <f>'02_Модель'!BD41</f>
        <v/>
      </c>
      <c r="BE1747">
        <f>'02_Модель'!BE41</f>
        <v/>
      </c>
      <c r="BF1747">
        <f>'02_Модель'!BF41</f>
        <v/>
      </c>
      <c r="BG1747">
        <f>'02_Модель'!BG41</f>
        <v/>
      </c>
      <c r="BH1747">
        <f>'02_Модель'!BH41</f>
        <v/>
      </c>
      <c r="BI1747">
        <f>'02_Модель'!BI41</f>
        <v/>
      </c>
    </row>
    <row r="1748">
      <c r="B1748">
        <f>'19_Расчет_аналитики'!B1358</f>
        <v/>
      </c>
      <c r="C1748">
        <f>'19_Расчет_аналитики'!C1358</f>
        <v/>
      </c>
      <c r="D1748">
        <f>'19_Расчет_аналитики'!D1358</f>
        <v/>
      </c>
      <c r="E1748">
        <f>'19_Расчет_аналитики'!E1358</f>
        <v/>
      </c>
      <c r="F1748">
        <f>'19_Расчет_аналитики'!F1358</f>
        <v/>
      </c>
      <c r="G1748">
        <f>'19_Расчет_аналитики'!G1358</f>
        <v/>
      </c>
      <c r="H1748">
        <f>'19_Расчет_аналитики'!H1358</f>
        <v/>
      </c>
      <c r="I1748">
        <f>'19_Расчет_аналитики'!I1358</f>
        <v/>
      </c>
      <c r="J1748">
        <f>'19_Расчет_аналитики'!J1358</f>
        <v/>
      </c>
      <c r="K1748">
        <f>'19_Расчет_аналитики'!K1358</f>
        <v/>
      </c>
      <c r="L1748">
        <f>'19_Расчет_аналитики'!L1358</f>
        <v/>
      </c>
      <c r="M1748">
        <f>'19_Расчет_аналитики'!M1358</f>
        <v/>
      </c>
      <c r="N1748">
        <f>'19_Расчет_аналитики'!N1358</f>
        <v/>
      </c>
      <c r="O1748">
        <f>'19_Расчет_аналитики'!O1358</f>
        <v/>
      </c>
      <c r="P1748">
        <f>'19_Расчет_аналитики'!P1358</f>
        <v/>
      </c>
      <c r="Q1748">
        <f>'19_Расчет_аналитики'!Q1358</f>
        <v/>
      </c>
      <c r="R1748">
        <f>'19_Расчет_аналитики'!R1358</f>
        <v/>
      </c>
      <c r="S1748">
        <f>'19_Расчет_аналитики'!S1358</f>
        <v/>
      </c>
      <c r="T1748">
        <f>'19_Расчет_аналитики'!T1358</f>
        <v/>
      </c>
      <c r="U1748">
        <f>'19_Расчет_аналитики'!U1358</f>
        <v/>
      </c>
      <c r="V1748">
        <f>'19_Расчет_аналитики'!V1358</f>
        <v/>
      </c>
      <c r="W1748">
        <f>'19_Расчет_аналитики'!W1358</f>
        <v/>
      </c>
      <c r="X1748">
        <f>'19_Расчет_аналитики'!X1358</f>
        <v/>
      </c>
      <c r="Y1748">
        <f>'19_Расчет_аналитики'!Y1358</f>
        <v/>
      </c>
      <c r="Z1748">
        <f>'19_Расчет_аналитики'!Z1358</f>
        <v/>
      </c>
      <c r="AA1748">
        <f>'19_Расчет_аналитики'!AA1358</f>
        <v/>
      </c>
      <c r="AB1748">
        <f>'19_Расчет_аналитики'!AB1358</f>
        <v/>
      </c>
      <c r="AC1748">
        <f>'19_Расчет_аналитики'!AC1358</f>
        <v/>
      </c>
      <c r="AD1748">
        <f>'19_Расчет_аналитики'!AD1358</f>
        <v/>
      </c>
      <c r="AE1748">
        <f>'19_Расчет_аналитики'!AE1358</f>
        <v/>
      </c>
      <c r="AF1748">
        <f>'19_Расчет_аналитики'!AF1358</f>
        <v/>
      </c>
      <c r="AG1748">
        <f>'19_Расчет_аналитики'!AG1358</f>
        <v/>
      </c>
      <c r="AH1748">
        <f>'19_Расчет_аналитики'!AH1358</f>
        <v/>
      </c>
      <c r="AI1748">
        <f>'19_Расчет_аналитики'!AI1358</f>
        <v/>
      </c>
      <c r="AJ1748">
        <f>'19_Расчет_аналитики'!AJ1358</f>
        <v/>
      </c>
      <c r="AK1748">
        <f>'19_Расчет_аналитики'!AK1358</f>
        <v/>
      </c>
      <c r="AL1748">
        <f>'19_Расчет_аналитики'!AL1358</f>
        <v/>
      </c>
      <c r="AM1748">
        <f>'19_Расчет_аналитики'!AM1358</f>
        <v/>
      </c>
      <c r="AN1748">
        <f>'19_Расчет_аналитики'!AN1358</f>
        <v/>
      </c>
      <c r="AO1748">
        <f>'19_Расчет_аналитики'!AO1358</f>
        <v/>
      </c>
      <c r="AP1748">
        <f>'19_Расчет_аналитики'!AP1358</f>
        <v/>
      </c>
      <c r="AQ1748">
        <f>'19_Расчет_аналитики'!AQ1358</f>
        <v/>
      </c>
      <c r="AR1748">
        <f>'19_Расчет_аналитики'!AR1358</f>
        <v/>
      </c>
      <c r="AS1748">
        <f>'19_Расчет_аналитики'!AS1358</f>
        <v/>
      </c>
      <c r="AT1748">
        <f>'19_Расчет_аналитики'!AT1358</f>
        <v/>
      </c>
      <c r="AU1748">
        <f>'19_Расчет_аналитики'!AU1358</f>
        <v/>
      </c>
      <c r="AV1748">
        <f>'19_Расчет_аналитики'!AV1358</f>
        <v/>
      </c>
      <c r="AW1748">
        <f>'19_Расчет_аналитики'!AW1358</f>
        <v/>
      </c>
      <c r="AX1748">
        <f>'19_Расчет_аналитики'!AX1358</f>
        <v/>
      </c>
      <c r="AY1748">
        <f>'19_Расчет_аналитики'!AY1358</f>
        <v/>
      </c>
      <c r="AZ1748">
        <f>'19_Расчет_аналитики'!AZ1358</f>
        <v/>
      </c>
      <c r="BA1748">
        <f>'19_Расчет_аналитики'!BA1358</f>
        <v/>
      </c>
      <c r="BB1748">
        <f>'19_Расчет_аналитики'!BB1358</f>
        <v/>
      </c>
      <c r="BC1748">
        <f>'19_Расчет_аналитики'!BC1358</f>
        <v/>
      </c>
      <c r="BD1748">
        <f>'19_Расчет_аналитики'!BD1358</f>
        <v/>
      </c>
      <c r="BE1748">
        <f>'19_Расчет_аналитики'!BE1358</f>
        <v/>
      </c>
      <c r="BF1748">
        <f>'19_Расчет_аналитики'!BF1358</f>
        <v/>
      </c>
      <c r="BG1748">
        <f>'19_Расчет_аналитики'!BG1358</f>
        <v/>
      </c>
      <c r="BH1748">
        <f>'19_Расчет_аналитики'!BH1358</f>
        <v/>
      </c>
      <c r="BI1748">
        <f>'19_Расчет_аналитики'!BI1358</f>
        <v/>
      </c>
    </row>
    <row r="1749">
      <c r="B1749">
        <f>SUM('19_Расчет_аналитики'!B1742:B1748)</f>
        <v/>
      </c>
      <c r="C1749">
        <f>SUM('19_Расчет_аналитики'!C1742:C1748)</f>
        <v/>
      </c>
      <c r="D1749">
        <f>SUM('19_Расчет_аналитики'!D1742:D1748)</f>
        <v/>
      </c>
      <c r="E1749">
        <f>SUM('19_Расчет_аналитики'!E1742:E1748)</f>
        <v/>
      </c>
      <c r="F1749">
        <f>SUM('19_Расчет_аналитики'!F1742:F1748)</f>
        <v/>
      </c>
      <c r="G1749">
        <f>SUM('19_Расчет_аналитики'!G1742:G1748)</f>
        <v/>
      </c>
      <c r="H1749">
        <f>SUM('19_Расчет_аналитики'!H1742:H1748)</f>
        <v/>
      </c>
      <c r="I1749">
        <f>SUM('19_Расчет_аналитики'!I1742:I1748)</f>
        <v/>
      </c>
      <c r="J1749">
        <f>SUM('19_Расчет_аналитики'!J1742:J1748)</f>
        <v/>
      </c>
      <c r="K1749">
        <f>SUM('19_Расчет_аналитики'!K1742:K1748)</f>
        <v/>
      </c>
      <c r="L1749">
        <f>SUM('19_Расчет_аналитики'!L1742:L1748)</f>
        <v/>
      </c>
      <c r="M1749">
        <f>SUM('19_Расчет_аналитики'!M1742:M1748)</f>
        <v/>
      </c>
      <c r="N1749">
        <f>SUM('19_Расчет_аналитики'!N1742:N1748)</f>
        <v/>
      </c>
      <c r="O1749">
        <f>SUM('19_Расчет_аналитики'!O1742:O1748)</f>
        <v/>
      </c>
      <c r="P1749">
        <f>SUM('19_Расчет_аналитики'!P1742:P1748)</f>
        <v/>
      </c>
      <c r="Q1749">
        <f>SUM('19_Расчет_аналитики'!Q1742:Q1748)</f>
        <v/>
      </c>
      <c r="R1749">
        <f>SUM('19_Расчет_аналитики'!R1742:R1748)</f>
        <v/>
      </c>
      <c r="S1749">
        <f>SUM('19_Расчет_аналитики'!S1742:S1748)</f>
        <v/>
      </c>
      <c r="T1749">
        <f>SUM('19_Расчет_аналитики'!T1742:T1748)</f>
        <v/>
      </c>
      <c r="U1749">
        <f>SUM('19_Расчет_аналитики'!U1742:U1748)</f>
        <v/>
      </c>
      <c r="V1749">
        <f>SUM('19_Расчет_аналитики'!V1742:V1748)</f>
        <v/>
      </c>
      <c r="W1749">
        <f>SUM('19_Расчет_аналитики'!W1742:W1748)</f>
        <v/>
      </c>
      <c r="X1749">
        <f>SUM('19_Расчет_аналитики'!X1742:X1748)</f>
        <v/>
      </c>
      <c r="Y1749">
        <f>SUM('19_Расчет_аналитики'!Y1742:Y1748)</f>
        <v/>
      </c>
      <c r="Z1749">
        <f>SUM('19_Расчет_аналитики'!Z1742:Z1748)</f>
        <v/>
      </c>
      <c r="AA1749">
        <f>SUM('19_Расчет_аналитики'!AA1742:AA1748)</f>
        <v/>
      </c>
      <c r="AB1749">
        <f>SUM('19_Расчет_аналитики'!AB1742:AB1748)</f>
        <v/>
      </c>
      <c r="AC1749">
        <f>SUM('19_Расчет_аналитики'!AC1742:AC1748)</f>
        <v/>
      </c>
      <c r="AD1749">
        <f>SUM('19_Расчет_аналитики'!AD1742:AD1748)</f>
        <v/>
      </c>
      <c r="AE1749">
        <f>SUM('19_Расчет_аналитики'!AE1742:AE1748)</f>
        <v/>
      </c>
      <c r="AF1749">
        <f>SUM('19_Расчет_аналитики'!AF1742:AF1748)</f>
        <v/>
      </c>
      <c r="AG1749">
        <f>SUM('19_Расчет_аналитики'!AG1742:AG1748)</f>
        <v/>
      </c>
      <c r="AH1749">
        <f>SUM('19_Расчет_аналитики'!AH1742:AH1748)</f>
        <v/>
      </c>
      <c r="AI1749">
        <f>SUM('19_Расчет_аналитики'!AI1742:AI1748)</f>
        <v/>
      </c>
      <c r="AJ1749">
        <f>SUM('19_Расчет_аналитики'!AJ1742:AJ1748)</f>
        <v/>
      </c>
      <c r="AK1749">
        <f>SUM('19_Расчет_аналитики'!AK1742:AK1748)</f>
        <v/>
      </c>
      <c r="AL1749">
        <f>SUM('19_Расчет_аналитики'!AL1742:AL1748)</f>
        <v/>
      </c>
      <c r="AM1749">
        <f>SUM('19_Расчет_аналитики'!AM1742:AM1748)</f>
        <v/>
      </c>
      <c r="AN1749">
        <f>SUM('19_Расчет_аналитики'!AN1742:AN1748)</f>
        <v/>
      </c>
      <c r="AO1749">
        <f>SUM('19_Расчет_аналитики'!AO1742:AO1748)</f>
        <v/>
      </c>
      <c r="AP1749">
        <f>SUM('19_Расчет_аналитики'!AP1742:AP1748)</f>
        <v/>
      </c>
      <c r="AQ1749">
        <f>SUM('19_Расчет_аналитики'!AQ1742:AQ1748)</f>
        <v/>
      </c>
      <c r="AR1749">
        <f>SUM('19_Расчет_аналитики'!AR1742:AR1748)</f>
        <v/>
      </c>
      <c r="AS1749">
        <f>SUM('19_Расчет_аналитики'!AS1742:AS1748)</f>
        <v/>
      </c>
      <c r="AT1749">
        <f>SUM('19_Расчет_аналитики'!AT1742:AT1748)</f>
        <v/>
      </c>
      <c r="AU1749">
        <f>SUM('19_Расчет_аналитики'!AU1742:AU1748)</f>
        <v/>
      </c>
      <c r="AV1749">
        <f>SUM('19_Расчет_аналитики'!AV1742:AV1748)</f>
        <v/>
      </c>
      <c r="AW1749">
        <f>SUM('19_Расчет_аналитики'!AW1742:AW1748)</f>
        <v/>
      </c>
      <c r="AX1749">
        <f>SUM('19_Расчет_аналитики'!AX1742:AX1748)</f>
        <v/>
      </c>
      <c r="AY1749">
        <f>SUM('19_Расчет_аналитики'!AY1742:AY1748)</f>
        <v/>
      </c>
      <c r="AZ1749">
        <f>SUM('19_Расчет_аналитики'!AZ1742:AZ1748)</f>
        <v/>
      </c>
      <c r="BA1749">
        <f>SUM('19_Расчет_аналитики'!BA1742:BA1748)</f>
        <v/>
      </c>
      <c r="BB1749">
        <f>SUM('19_Расчет_аналитики'!BB1742:BB1748)</f>
        <v/>
      </c>
      <c r="BC1749">
        <f>SUM('19_Расчет_аналитики'!BC1742:BC1748)</f>
        <v/>
      </c>
      <c r="BD1749">
        <f>SUM('19_Расчет_аналитики'!BD1742:BD1748)</f>
        <v/>
      </c>
      <c r="BE1749">
        <f>SUM('19_Расчет_аналитики'!BE1742:BE1748)</f>
        <v/>
      </c>
      <c r="BF1749">
        <f>SUM('19_Расчет_аналитики'!BF1742:BF1748)</f>
        <v/>
      </c>
      <c r="BG1749">
        <f>SUM('19_Расчет_аналитики'!BG1742:BG1748)</f>
        <v/>
      </c>
      <c r="BH1749">
        <f>SUM('19_Расчет_аналитики'!BH1742:BH1748)</f>
        <v/>
      </c>
      <c r="BI1749">
        <f>SUM('19_Расчет_аналитики'!BI1742:BI1748)</f>
        <v/>
      </c>
    </row>
    <row r="1750">
      <c r="B1750">
        <f>'19_Расчет_аналитики'!B1739-'19_Расчет_аналитики'!B1749</f>
        <v/>
      </c>
      <c r="C1750">
        <f>'19_Расчет_аналитики'!C1739-'19_Расчет_аналитики'!C1749</f>
        <v/>
      </c>
      <c r="D1750">
        <f>'19_Расчет_аналитики'!D1739-'19_Расчет_аналитики'!D1749</f>
        <v/>
      </c>
      <c r="E1750">
        <f>'19_Расчет_аналитики'!E1739-'19_Расчет_аналитики'!E1749</f>
        <v/>
      </c>
      <c r="F1750">
        <f>'19_Расчет_аналитики'!F1739-'19_Расчет_аналитики'!F1749</f>
        <v/>
      </c>
      <c r="G1750">
        <f>'19_Расчет_аналитики'!G1739-'19_Расчет_аналитики'!G1749</f>
        <v/>
      </c>
      <c r="H1750">
        <f>'19_Расчет_аналитики'!H1739-'19_Расчет_аналитики'!H1749</f>
        <v/>
      </c>
      <c r="I1750">
        <f>'19_Расчет_аналитики'!I1739-'19_Расчет_аналитики'!I1749</f>
        <v/>
      </c>
      <c r="J1750">
        <f>'19_Расчет_аналитики'!J1739-'19_Расчет_аналитики'!J1749</f>
        <v/>
      </c>
      <c r="K1750">
        <f>'19_Расчет_аналитики'!K1739-'19_Расчет_аналитики'!K1749</f>
        <v/>
      </c>
      <c r="L1750">
        <f>'19_Расчет_аналитики'!L1739-'19_Расчет_аналитики'!L1749</f>
        <v/>
      </c>
      <c r="M1750">
        <f>'19_Расчет_аналитики'!M1739-'19_Расчет_аналитики'!M1749</f>
        <v/>
      </c>
      <c r="N1750">
        <f>'19_Расчет_аналитики'!N1739-'19_Расчет_аналитики'!N1749</f>
        <v/>
      </c>
      <c r="O1750">
        <f>'19_Расчет_аналитики'!O1739-'19_Расчет_аналитики'!O1749</f>
        <v/>
      </c>
      <c r="P1750">
        <f>'19_Расчет_аналитики'!P1739-'19_Расчет_аналитики'!P1749</f>
        <v/>
      </c>
      <c r="Q1750">
        <f>'19_Расчет_аналитики'!Q1739-'19_Расчет_аналитики'!Q1749</f>
        <v/>
      </c>
      <c r="R1750">
        <f>'19_Расчет_аналитики'!R1739-'19_Расчет_аналитики'!R1749</f>
        <v/>
      </c>
      <c r="S1750">
        <f>'19_Расчет_аналитики'!S1739-'19_Расчет_аналитики'!S1749</f>
        <v/>
      </c>
      <c r="T1750">
        <f>'19_Расчет_аналитики'!T1739-'19_Расчет_аналитики'!T1749</f>
        <v/>
      </c>
      <c r="U1750">
        <f>'19_Расчет_аналитики'!U1739-'19_Расчет_аналитики'!U1749</f>
        <v/>
      </c>
      <c r="V1750">
        <f>'19_Расчет_аналитики'!V1739-'19_Расчет_аналитики'!V1749</f>
        <v/>
      </c>
      <c r="W1750">
        <f>'19_Расчет_аналитики'!W1739-'19_Расчет_аналитики'!W1749</f>
        <v/>
      </c>
      <c r="X1750">
        <f>'19_Расчет_аналитики'!X1739-'19_Расчет_аналитики'!X1749</f>
        <v/>
      </c>
      <c r="Y1750">
        <f>'19_Расчет_аналитики'!Y1739-'19_Расчет_аналитики'!Y1749</f>
        <v/>
      </c>
      <c r="Z1750">
        <f>'19_Расчет_аналитики'!Z1739-'19_Расчет_аналитики'!Z1749</f>
        <v/>
      </c>
      <c r="AA1750">
        <f>'19_Расчет_аналитики'!AA1739-'19_Расчет_аналитики'!AA1749</f>
        <v/>
      </c>
      <c r="AB1750">
        <f>'19_Расчет_аналитики'!AB1739-'19_Расчет_аналитики'!AB1749</f>
        <v/>
      </c>
      <c r="AC1750">
        <f>'19_Расчет_аналитики'!AC1739-'19_Расчет_аналитики'!AC1749</f>
        <v/>
      </c>
      <c r="AD1750">
        <f>'19_Расчет_аналитики'!AD1739-'19_Расчет_аналитики'!AD1749</f>
        <v/>
      </c>
      <c r="AE1750">
        <f>'19_Расчет_аналитики'!AE1739-'19_Расчет_аналитики'!AE1749</f>
        <v/>
      </c>
      <c r="AF1750">
        <f>'19_Расчет_аналитики'!AF1739-'19_Расчет_аналитики'!AF1749</f>
        <v/>
      </c>
      <c r="AG1750">
        <f>'19_Расчет_аналитики'!AG1739-'19_Расчет_аналитики'!AG1749</f>
        <v/>
      </c>
      <c r="AH1750">
        <f>'19_Расчет_аналитики'!AH1739-'19_Расчет_аналитики'!AH1749</f>
        <v/>
      </c>
      <c r="AI1750">
        <f>'19_Расчет_аналитики'!AI1739-'19_Расчет_аналитики'!AI1749</f>
        <v/>
      </c>
      <c r="AJ1750">
        <f>'19_Расчет_аналитики'!AJ1739-'19_Расчет_аналитики'!AJ1749</f>
        <v/>
      </c>
      <c r="AK1750">
        <f>'19_Расчет_аналитики'!AK1739-'19_Расчет_аналитики'!AK1749</f>
        <v/>
      </c>
      <c r="AL1750">
        <f>'19_Расчет_аналитики'!AL1739-'19_Расчет_аналитики'!AL1749</f>
        <v/>
      </c>
      <c r="AM1750">
        <f>'19_Расчет_аналитики'!AM1739-'19_Расчет_аналитики'!AM1749</f>
        <v/>
      </c>
      <c r="AN1750">
        <f>'19_Расчет_аналитики'!AN1739-'19_Расчет_аналитики'!AN1749</f>
        <v/>
      </c>
      <c r="AO1750">
        <f>'19_Расчет_аналитики'!AO1739-'19_Расчет_аналитики'!AO1749</f>
        <v/>
      </c>
      <c r="AP1750">
        <f>'19_Расчет_аналитики'!AP1739-'19_Расчет_аналитики'!AP1749</f>
        <v/>
      </c>
      <c r="AQ1750">
        <f>'19_Расчет_аналитики'!AQ1739-'19_Расчет_аналитики'!AQ1749</f>
        <v/>
      </c>
      <c r="AR1750">
        <f>'19_Расчет_аналитики'!AR1739-'19_Расчет_аналитики'!AR1749</f>
        <v/>
      </c>
      <c r="AS1750">
        <f>'19_Расчет_аналитики'!AS1739-'19_Расчет_аналитики'!AS1749</f>
        <v/>
      </c>
      <c r="AT1750">
        <f>'19_Расчет_аналитики'!AT1739-'19_Расчет_аналитики'!AT1749</f>
        <v/>
      </c>
      <c r="AU1750">
        <f>'19_Расчет_аналитики'!AU1739-'19_Расчет_аналитики'!AU1749</f>
        <v/>
      </c>
      <c r="AV1750">
        <f>'19_Расчет_аналитики'!AV1739-'19_Расчет_аналитики'!AV1749</f>
        <v/>
      </c>
      <c r="AW1750">
        <f>'19_Расчет_аналитики'!AW1739-'19_Расчет_аналитики'!AW1749</f>
        <v/>
      </c>
      <c r="AX1750">
        <f>'19_Расчет_аналитики'!AX1739-'19_Расчет_аналитики'!AX1749</f>
        <v/>
      </c>
      <c r="AY1750">
        <f>'19_Расчет_аналитики'!AY1739-'19_Расчет_аналитики'!AY1749</f>
        <v/>
      </c>
      <c r="AZ1750">
        <f>'19_Расчет_аналитики'!AZ1739-'19_Расчет_аналитики'!AZ1749</f>
        <v/>
      </c>
      <c r="BA1750">
        <f>'19_Расчет_аналитики'!BA1739-'19_Расчет_аналитики'!BA1749</f>
        <v/>
      </c>
      <c r="BB1750">
        <f>'19_Расчет_аналитики'!BB1739-'19_Расчет_аналитики'!BB1749</f>
        <v/>
      </c>
      <c r="BC1750">
        <f>'19_Расчет_аналитики'!BC1739-'19_Расчет_аналитики'!BC1749</f>
        <v/>
      </c>
      <c r="BD1750">
        <f>'19_Расчет_аналитики'!BD1739-'19_Расчет_аналитики'!BD1749</f>
        <v/>
      </c>
      <c r="BE1750">
        <f>'19_Расчет_аналитики'!BE1739-'19_Расчет_аналитики'!BE1749</f>
        <v/>
      </c>
      <c r="BF1750">
        <f>'19_Расчет_аналитики'!BF1739-'19_Расчет_аналитики'!BF1749</f>
        <v/>
      </c>
      <c r="BG1750">
        <f>'19_Расчет_аналитики'!BG1739-'19_Расчет_аналитики'!BG1749</f>
        <v/>
      </c>
      <c r="BH1750">
        <f>'19_Расчет_аналитики'!BH1739-'19_Расчет_аналитики'!BH1749</f>
        <v/>
      </c>
      <c r="BI1750">
        <f>'19_Расчет_аналитики'!BI1739-'19_Расчет_аналитики'!BI1749</f>
        <v/>
      </c>
    </row>
    <row r="1751">
      <c r="B1751">
        <f>IF('19_Расчет_аналитики'!B1729=0,0,'19_Расчет_аналитики'!B1750/'19_Расчет_аналитики'!B1729)</f>
        <v/>
      </c>
      <c r="C1751">
        <f>IF('19_Расчет_аналитики'!C1729=0,0,'19_Расчет_аналитики'!C1750/'19_Расчет_аналитики'!C1729)</f>
        <v/>
      </c>
      <c r="D1751">
        <f>IF('19_Расчет_аналитики'!D1729=0,0,'19_Расчет_аналитики'!D1750/'19_Расчет_аналитики'!D1729)</f>
        <v/>
      </c>
      <c r="E1751">
        <f>IF('19_Расчет_аналитики'!E1729=0,0,'19_Расчет_аналитики'!E1750/'19_Расчет_аналитики'!E1729)</f>
        <v/>
      </c>
      <c r="F1751">
        <f>IF('19_Расчет_аналитики'!F1729=0,0,'19_Расчет_аналитики'!F1750/'19_Расчет_аналитики'!F1729)</f>
        <v/>
      </c>
      <c r="G1751">
        <f>IF('19_Расчет_аналитики'!G1729=0,0,'19_Расчет_аналитики'!G1750/'19_Расчет_аналитики'!G1729)</f>
        <v/>
      </c>
      <c r="H1751">
        <f>IF('19_Расчет_аналитики'!H1729=0,0,'19_Расчет_аналитики'!H1750/'19_Расчет_аналитики'!H1729)</f>
        <v/>
      </c>
      <c r="I1751">
        <f>IF('19_Расчет_аналитики'!I1729=0,0,'19_Расчет_аналитики'!I1750/'19_Расчет_аналитики'!I1729)</f>
        <v/>
      </c>
      <c r="J1751">
        <f>IF('19_Расчет_аналитики'!J1729=0,0,'19_Расчет_аналитики'!J1750/'19_Расчет_аналитики'!J1729)</f>
        <v/>
      </c>
      <c r="K1751">
        <f>IF('19_Расчет_аналитики'!K1729=0,0,'19_Расчет_аналитики'!K1750/'19_Расчет_аналитики'!K1729)</f>
        <v/>
      </c>
      <c r="L1751">
        <f>IF('19_Расчет_аналитики'!L1729=0,0,'19_Расчет_аналитики'!L1750/'19_Расчет_аналитики'!L1729)</f>
        <v/>
      </c>
      <c r="M1751">
        <f>IF('19_Расчет_аналитики'!M1729=0,0,'19_Расчет_аналитики'!M1750/'19_Расчет_аналитики'!M1729)</f>
        <v/>
      </c>
      <c r="N1751">
        <f>IF('19_Расчет_аналитики'!N1729=0,0,'19_Расчет_аналитики'!N1750/'19_Расчет_аналитики'!N1729)</f>
        <v/>
      </c>
      <c r="O1751">
        <f>IF('19_Расчет_аналитики'!O1729=0,0,'19_Расчет_аналитики'!O1750/'19_Расчет_аналитики'!O1729)</f>
        <v/>
      </c>
      <c r="P1751">
        <f>IF('19_Расчет_аналитики'!P1729=0,0,'19_Расчет_аналитики'!P1750/'19_Расчет_аналитики'!P1729)</f>
        <v/>
      </c>
      <c r="Q1751">
        <f>IF('19_Расчет_аналитики'!Q1729=0,0,'19_Расчет_аналитики'!Q1750/'19_Расчет_аналитики'!Q1729)</f>
        <v/>
      </c>
      <c r="R1751">
        <f>IF('19_Расчет_аналитики'!R1729=0,0,'19_Расчет_аналитики'!R1750/'19_Расчет_аналитики'!R1729)</f>
        <v/>
      </c>
      <c r="S1751">
        <f>IF('19_Расчет_аналитики'!S1729=0,0,'19_Расчет_аналитики'!S1750/'19_Расчет_аналитики'!S1729)</f>
        <v/>
      </c>
      <c r="T1751">
        <f>IF('19_Расчет_аналитики'!T1729=0,0,'19_Расчет_аналитики'!T1750/'19_Расчет_аналитики'!T1729)</f>
        <v/>
      </c>
      <c r="U1751">
        <f>IF('19_Расчет_аналитики'!U1729=0,0,'19_Расчет_аналитики'!U1750/'19_Расчет_аналитики'!U1729)</f>
        <v/>
      </c>
      <c r="V1751">
        <f>IF('19_Расчет_аналитики'!V1729=0,0,'19_Расчет_аналитики'!V1750/'19_Расчет_аналитики'!V1729)</f>
        <v/>
      </c>
      <c r="W1751">
        <f>IF('19_Расчет_аналитики'!W1729=0,0,'19_Расчет_аналитики'!W1750/'19_Расчет_аналитики'!W1729)</f>
        <v/>
      </c>
      <c r="X1751">
        <f>IF('19_Расчет_аналитики'!X1729=0,0,'19_Расчет_аналитики'!X1750/'19_Расчет_аналитики'!X1729)</f>
        <v/>
      </c>
      <c r="Y1751">
        <f>IF('19_Расчет_аналитики'!Y1729=0,0,'19_Расчет_аналитики'!Y1750/'19_Расчет_аналитики'!Y1729)</f>
        <v/>
      </c>
      <c r="Z1751">
        <f>IF('19_Расчет_аналитики'!Z1729=0,0,'19_Расчет_аналитики'!Z1750/'19_Расчет_аналитики'!Z1729)</f>
        <v/>
      </c>
      <c r="AA1751">
        <f>IF('19_Расчет_аналитики'!AA1729=0,0,'19_Расчет_аналитики'!AA1750/'19_Расчет_аналитики'!AA1729)</f>
        <v/>
      </c>
      <c r="AB1751">
        <f>IF('19_Расчет_аналитики'!AB1729=0,0,'19_Расчет_аналитики'!AB1750/'19_Расчет_аналитики'!AB1729)</f>
        <v/>
      </c>
      <c r="AC1751">
        <f>IF('19_Расчет_аналитики'!AC1729=0,0,'19_Расчет_аналитики'!AC1750/'19_Расчет_аналитики'!AC1729)</f>
        <v/>
      </c>
      <c r="AD1751">
        <f>IF('19_Расчет_аналитики'!AD1729=0,0,'19_Расчет_аналитики'!AD1750/'19_Расчет_аналитики'!AD1729)</f>
        <v/>
      </c>
      <c r="AE1751">
        <f>IF('19_Расчет_аналитики'!AE1729=0,0,'19_Расчет_аналитики'!AE1750/'19_Расчет_аналитики'!AE1729)</f>
        <v/>
      </c>
      <c r="AF1751">
        <f>IF('19_Расчет_аналитики'!AF1729=0,0,'19_Расчет_аналитики'!AF1750/'19_Расчет_аналитики'!AF1729)</f>
        <v/>
      </c>
      <c r="AG1751">
        <f>IF('19_Расчет_аналитики'!AG1729=0,0,'19_Расчет_аналитики'!AG1750/'19_Расчет_аналитики'!AG1729)</f>
        <v/>
      </c>
      <c r="AH1751">
        <f>IF('19_Расчет_аналитики'!AH1729=0,0,'19_Расчет_аналитики'!AH1750/'19_Расчет_аналитики'!AH1729)</f>
        <v/>
      </c>
      <c r="AI1751">
        <f>IF('19_Расчет_аналитики'!AI1729=0,0,'19_Расчет_аналитики'!AI1750/'19_Расчет_аналитики'!AI1729)</f>
        <v/>
      </c>
      <c r="AJ1751">
        <f>IF('19_Расчет_аналитики'!AJ1729=0,0,'19_Расчет_аналитики'!AJ1750/'19_Расчет_аналитики'!AJ1729)</f>
        <v/>
      </c>
      <c r="AK1751">
        <f>IF('19_Расчет_аналитики'!AK1729=0,0,'19_Расчет_аналитики'!AK1750/'19_Расчет_аналитики'!AK1729)</f>
        <v/>
      </c>
      <c r="AL1751">
        <f>IF('19_Расчет_аналитики'!AL1729=0,0,'19_Расчет_аналитики'!AL1750/'19_Расчет_аналитики'!AL1729)</f>
        <v/>
      </c>
      <c r="AM1751">
        <f>IF('19_Расчет_аналитики'!AM1729=0,0,'19_Расчет_аналитики'!AM1750/'19_Расчет_аналитики'!AM1729)</f>
        <v/>
      </c>
      <c r="AN1751">
        <f>IF('19_Расчет_аналитики'!AN1729=0,0,'19_Расчет_аналитики'!AN1750/'19_Расчет_аналитики'!AN1729)</f>
        <v/>
      </c>
      <c r="AO1751">
        <f>IF('19_Расчет_аналитики'!AO1729=0,0,'19_Расчет_аналитики'!AO1750/'19_Расчет_аналитики'!AO1729)</f>
        <v/>
      </c>
      <c r="AP1751">
        <f>IF('19_Расчет_аналитики'!AP1729=0,0,'19_Расчет_аналитики'!AP1750/'19_Расчет_аналитики'!AP1729)</f>
        <v/>
      </c>
      <c r="AQ1751">
        <f>IF('19_Расчет_аналитики'!AQ1729=0,0,'19_Расчет_аналитики'!AQ1750/'19_Расчет_аналитики'!AQ1729)</f>
        <v/>
      </c>
      <c r="AR1751">
        <f>IF('19_Расчет_аналитики'!AR1729=0,0,'19_Расчет_аналитики'!AR1750/'19_Расчет_аналитики'!AR1729)</f>
        <v/>
      </c>
      <c r="AS1751">
        <f>IF('19_Расчет_аналитики'!AS1729=0,0,'19_Расчет_аналитики'!AS1750/'19_Расчет_аналитики'!AS1729)</f>
        <v/>
      </c>
      <c r="AT1751">
        <f>IF('19_Расчет_аналитики'!AT1729=0,0,'19_Расчет_аналитики'!AT1750/'19_Расчет_аналитики'!AT1729)</f>
        <v/>
      </c>
      <c r="AU1751">
        <f>IF('19_Расчет_аналитики'!AU1729=0,0,'19_Расчет_аналитики'!AU1750/'19_Расчет_аналитики'!AU1729)</f>
        <v/>
      </c>
      <c r="AV1751">
        <f>IF('19_Расчет_аналитики'!AV1729=0,0,'19_Расчет_аналитики'!AV1750/'19_Расчет_аналитики'!AV1729)</f>
        <v/>
      </c>
      <c r="AW1751">
        <f>IF('19_Расчет_аналитики'!AW1729=0,0,'19_Расчет_аналитики'!AW1750/'19_Расчет_аналитики'!AW1729)</f>
        <v/>
      </c>
      <c r="AX1751">
        <f>IF('19_Расчет_аналитики'!AX1729=0,0,'19_Расчет_аналитики'!AX1750/'19_Расчет_аналитики'!AX1729)</f>
        <v/>
      </c>
      <c r="AY1751">
        <f>IF('19_Расчет_аналитики'!AY1729=0,0,'19_Расчет_аналитики'!AY1750/'19_Расчет_аналитики'!AY1729)</f>
        <v/>
      </c>
      <c r="AZ1751">
        <f>IF('19_Расчет_аналитики'!AZ1729=0,0,'19_Расчет_аналитики'!AZ1750/'19_Расчет_аналитики'!AZ1729)</f>
        <v/>
      </c>
      <c r="BA1751">
        <f>IF('19_Расчет_аналитики'!BA1729=0,0,'19_Расчет_аналитики'!BA1750/'19_Расчет_аналитики'!BA1729)</f>
        <v/>
      </c>
      <c r="BB1751">
        <f>IF('19_Расчет_аналитики'!BB1729=0,0,'19_Расчет_аналитики'!BB1750/'19_Расчет_аналитики'!BB1729)</f>
        <v/>
      </c>
      <c r="BC1751">
        <f>IF('19_Расчет_аналитики'!BC1729=0,0,'19_Расчет_аналитики'!BC1750/'19_Расчет_аналитики'!BC1729)</f>
        <v/>
      </c>
      <c r="BD1751">
        <f>IF('19_Расчет_аналитики'!BD1729=0,0,'19_Расчет_аналитики'!BD1750/'19_Расчет_аналитики'!BD1729)</f>
        <v/>
      </c>
      <c r="BE1751">
        <f>IF('19_Расчет_аналитики'!BE1729=0,0,'19_Расчет_аналитики'!BE1750/'19_Расчет_аналитики'!BE1729)</f>
        <v/>
      </c>
      <c r="BF1751">
        <f>IF('19_Расчет_аналитики'!BF1729=0,0,'19_Расчет_аналитики'!BF1750/'19_Расчет_аналитики'!BF1729)</f>
        <v/>
      </c>
      <c r="BG1751">
        <f>IF('19_Расчет_аналитики'!BG1729=0,0,'19_Расчет_аналитики'!BG1750/'19_Расчет_аналитики'!BG1729)</f>
        <v/>
      </c>
      <c r="BH1751">
        <f>IF('19_Расчет_аналитики'!BH1729=0,0,'19_Расчет_аналитики'!BH1750/'19_Расчет_аналитики'!BH1729)</f>
        <v/>
      </c>
      <c r="BI1751">
        <f>IF('19_Расчет_аналитики'!BI1729=0,0,'19_Расчет_аналитики'!BI1750/'19_Расчет_аналитики'!BI1729)</f>
        <v/>
      </c>
    </row>
    <row r="1752">
      <c r="B1752">
        <f>MAX('01_Вводные'!$B$157*'19_Расчет_аналитики'!B1729,'01_Вводные'!$B$156*MAX(0,'19_Расчет_аналитики'!B1750))</f>
        <v/>
      </c>
      <c r="C1752">
        <f>MAX('01_Вводные'!$B$157*'19_Расчет_аналитики'!C1729,'01_Вводные'!$B$156*MAX(0,'19_Расчет_аналитики'!C1750))</f>
        <v/>
      </c>
      <c r="D1752">
        <f>MAX('01_Вводные'!$B$157*'19_Расчет_аналитики'!D1729,'01_Вводные'!$B$156*MAX(0,'19_Расчет_аналитики'!D1750))</f>
        <v/>
      </c>
      <c r="E1752">
        <f>MAX('01_Вводные'!$B$157*'19_Расчет_аналитики'!E1729,'01_Вводные'!$B$156*MAX(0,'19_Расчет_аналитики'!E1750))</f>
        <v/>
      </c>
      <c r="F1752">
        <f>MAX('01_Вводные'!$B$157*'19_Расчет_аналитики'!F1729,'01_Вводные'!$B$156*MAX(0,'19_Расчет_аналитики'!F1750))</f>
        <v/>
      </c>
      <c r="G1752">
        <f>MAX('01_Вводные'!$B$157*'19_Расчет_аналитики'!G1729,'01_Вводные'!$B$156*MAX(0,'19_Расчет_аналитики'!G1750))</f>
        <v/>
      </c>
      <c r="H1752">
        <f>MAX('01_Вводные'!$B$157*'19_Расчет_аналитики'!H1729,'01_Вводные'!$B$156*MAX(0,'19_Расчет_аналитики'!H1750))</f>
        <v/>
      </c>
      <c r="I1752">
        <f>MAX('01_Вводные'!$B$157*'19_Расчет_аналитики'!I1729,'01_Вводные'!$B$156*MAX(0,'19_Расчет_аналитики'!I1750))</f>
        <v/>
      </c>
      <c r="J1752">
        <f>MAX('01_Вводные'!$B$157*'19_Расчет_аналитики'!J1729,'01_Вводные'!$B$156*MAX(0,'19_Расчет_аналитики'!J1750))</f>
        <v/>
      </c>
      <c r="K1752">
        <f>MAX('01_Вводные'!$B$157*'19_Расчет_аналитики'!K1729,'01_Вводные'!$B$156*MAX(0,'19_Расчет_аналитики'!K1750))</f>
        <v/>
      </c>
      <c r="L1752">
        <f>MAX('01_Вводные'!$B$157*'19_Расчет_аналитики'!L1729,'01_Вводные'!$B$156*MAX(0,'19_Расчет_аналитики'!L1750))</f>
        <v/>
      </c>
      <c r="M1752">
        <f>MAX('01_Вводные'!$B$157*'19_Расчет_аналитики'!M1729,'01_Вводные'!$B$156*MAX(0,'19_Расчет_аналитики'!M1750))</f>
        <v/>
      </c>
      <c r="N1752">
        <f>MAX('01_Вводные'!$B$157*'19_Расчет_аналитики'!N1729,'01_Вводные'!$B$156*MAX(0,'19_Расчет_аналитики'!N1750))</f>
        <v/>
      </c>
      <c r="O1752">
        <f>MAX('01_Вводные'!$B$157*'19_Расчет_аналитики'!O1729,'01_Вводные'!$B$156*MAX(0,'19_Расчет_аналитики'!O1750))</f>
        <v/>
      </c>
      <c r="P1752">
        <f>MAX('01_Вводные'!$B$157*'19_Расчет_аналитики'!P1729,'01_Вводные'!$B$156*MAX(0,'19_Расчет_аналитики'!P1750))</f>
        <v/>
      </c>
      <c r="Q1752">
        <f>MAX('01_Вводные'!$B$157*'19_Расчет_аналитики'!Q1729,'01_Вводные'!$B$156*MAX(0,'19_Расчет_аналитики'!Q1750))</f>
        <v/>
      </c>
      <c r="R1752">
        <f>MAX('01_Вводные'!$B$157*'19_Расчет_аналитики'!R1729,'01_Вводные'!$B$156*MAX(0,'19_Расчет_аналитики'!R1750))</f>
        <v/>
      </c>
      <c r="S1752">
        <f>MAX('01_Вводные'!$B$157*'19_Расчет_аналитики'!S1729,'01_Вводные'!$B$156*MAX(0,'19_Расчет_аналитики'!S1750))</f>
        <v/>
      </c>
      <c r="T1752">
        <f>MAX('01_Вводные'!$B$157*'19_Расчет_аналитики'!T1729,'01_Вводные'!$B$156*MAX(0,'19_Расчет_аналитики'!T1750))</f>
        <v/>
      </c>
      <c r="U1752">
        <f>MAX('01_Вводные'!$B$157*'19_Расчет_аналитики'!U1729,'01_Вводные'!$B$156*MAX(0,'19_Расчет_аналитики'!U1750))</f>
        <v/>
      </c>
      <c r="V1752">
        <f>MAX('01_Вводные'!$B$157*'19_Расчет_аналитики'!V1729,'01_Вводные'!$B$156*MAX(0,'19_Расчет_аналитики'!V1750))</f>
        <v/>
      </c>
      <c r="W1752">
        <f>MAX('01_Вводные'!$B$157*'19_Расчет_аналитики'!W1729,'01_Вводные'!$B$156*MAX(0,'19_Расчет_аналитики'!W1750))</f>
        <v/>
      </c>
      <c r="X1752">
        <f>MAX('01_Вводные'!$B$157*'19_Расчет_аналитики'!X1729,'01_Вводные'!$B$156*MAX(0,'19_Расчет_аналитики'!X1750))</f>
        <v/>
      </c>
      <c r="Y1752">
        <f>MAX('01_Вводные'!$B$157*'19_Расчет_аналитики'!Y1729,'01_Вводные'!$B$156*MAX(0,'19_Расчет_аналитики'!Y1750))</f>
        <v/>
      </c>
      <c r="Z1752">
        <f>MAX('01_Вводные'!$B$157*'19_Расчет_аналитики'!Z1729,'01_Вводные'!$B$156*MAX(0,'19_Расчет_аналитики'!Z1750))</f>
        <v/>
      </c>
      <c r="AA1752">
        <f>MAX('01_Вводные'!$B$157*'19_Расчет_аналитики'!AA1729,'01_Вводные'!$B$156*MAX(0,'19_Расчет_аналитики'!AA1750))</f>
        <v/>
      </c>
      <c r="AB1752">
        <f>MAX('01_Вводные'!$B$157*'19_Расчет_аналитики'!AB1729,'01_Вводные'!$B$156*MAX(0,'19_Расчет_аналитики'!AB1750))</f>
        <v/>
      </c>
      <c r="AC1752">
        <f>MAX('01_Вводные'!$B$157*'19_Расчет_аналитики'!AC1729,'01_Вводные'!$B$156*MAX(0,'19_Расчет_аналитики'!AC1750))</f>
        <v/>
      </c>
      <c r="AD1752">
        <f>MAX('01_Вводные'!$B$157*'19_Расчет_аналитики'!AD1729,'01_Вводные'!$B$156*MAX(0,'19_Расчет_аналитики'!AD1750))</f>
        <v/>
      </c>
      <c r="AE1752">
        <f>MAX('01_Вводные'!$B$157*'19_Расчет_аналитики'!AE1729,'01_Вводные'!$B$156*MAX(0,'19_Расчет_аналитики'!AE1750))</f>
        <v/>
      </c>
      <c r="AF1752">
        <f>MAX('01_Вводные'!$B$157*'19_Расчет_аналитики'!AF1729,'01_Вводные'!$B$156*MAX(0,'19_Расчет_аналитики'!AF1750))</f>
        <v/>
      </c>
      <c r="AG1752">
        <f>MAX('01_Вводные'!$B$157*'19_Расчет_аналитики'!AG1729,'01_Вводные'!$B$156*MAX(0,'19_Расчет_аналитики'!AG1750))</f>
        <v/>
      </c>
      <c r="AH1752">
        <f>MAX('01_Вводные'!$B$157*'19_Расчет_аналитики'!AH1729,'01_Вводные'!$B$156*MAX(0,'19_Расчет_аналитики'!AH1750))</f>
        <v/>
      </c>
      <c r="AI1752">
        <f>MAX('01_Вводные'!$B$157*'19_Расчет_аналитики'!AI1729,'01_Вводные'!$B$156*MAX(0,'19_Расчет_аналитики'!AI1750))</f>
        <v/>
      </c>
      <c r="AJ1752">
        <f>MAX('01_Вводные'!$B$157*'19_Расчет_аналитики'!AJ1729,'01_Вводные'!$B$156*MAX(0,'19_Расчет_аналитики'!AJ1750))</f>
        <v/>
      </c>
      <c r="AK1752">
        <f>MAX('01_Вводные'!$B$157*'19_Расчет_аналитики'!AK1729,'01_Вводные'!$B$156*MAX(0,'19_Расчет_аналитики'!AK1750))</f>
        <v/>
      </c>
      <c r="AL1752">
        <f>MAX('01_Вводные'!$B$157*'19_Расчет_аналитики'!AL1729,'01_Вводные'!$B$156*MAX(0,'19_Расчет_аналитики'!AL1750))</f>
        <v/>
      </c>
      <c r="AM1752">
        <f>MAX('01_Вводные'!$B$157*'19_Расчет_аналитики'!AM1729,'01_Вводные'!$B$156*MAX(0,'19_Расчет_аналитики'!AM1750))</f>
        <v/>
      </c>
      <c r="AN1752">
        <f>MAX('01_Вводные'!$B$157*'19_Расчет_аналитики'!AN1729,'01_Вводные'!$B$156*MAX(0,'19_Расчет_аналитики'!AN1750))</f>
        <v/>
      </c>
      <c r="AO1752">
        <f>MAX('01_Вводные'!$B$157*'19_Расчет_аналитики'!AO1729,'01_Вводные'!$B$156*MAX(0,'19_Расчет_аналитики'!AO1750))</f>
        <v/>
      </c>
      <c r="AP1752">
        <f>MAX('01_Вводные'!$B$157*'19_Расчет_аналитики'!AP1729,'01_Вводные'!$B$156*MAX(0,'19_Расчет_аналитики'!AP1750))</f>
        <v/>
      </c>
      <c r="AQ1752">
        <f>MAX('01_Вводные'!$B$157*'19_Расчет_аналитики'!AQ1729,'01_Вводные'!$B$156*MAX(0,'19_Расчет_аналитики'!AQ1750))</f>
        <v/>
      </c>
      <c r="AR1752">
        <f>MAX('01_Вводные'!$B$157*'19_Расчет_аналитики'!AR1729,'01_Вводные'!$B$156*MAX(0,'19_Расчет_аналитики'!AR1750))</f>
        <v/>
      </c>
      <c r="AS1752">
        <f>MAX('01_Вводные'!$B$157*'19_Расчет_аналитики'!AS1729,'01_Вводные'!$B$156*MAX(0,'19_Расчет_аналитики'!AS1750))</f>
        <v/>
      </c>
      <c r="AT1752">
        <f>MAX('01_Вводные'!$B$157*'19_Расчет_аналитики'!AT1729,'01_Вводные'!$B$156*MAX(0,'19_Расчет_аналитики'!AT1750))</f>
        <v/>
      </c>
      <c r="AU1752">
        <f>MAX('01_Вводные'!$B$157*'19_Расчет_аналитики'!AU1729,'01_Вводные'!$B$156*MAX(0,'19_Расчет_аналитики'!AU1750))</f>
        <v/>
      </c>
      <c r="AV1752">
        <f>MAX('01_Вводные'!$B$157*'19_Расчет_аналитики'!AV1729,'01_Вводные'!$B$156*MAX(0,'19_Расчет_аналитики'!AV1750))</f>
        <v/>
      </c>
      <c r="AW1752">
        <f>MAX('01_Вводные'!$B$157*'19_Расчет_аналитики'!AW1729,'01_Вводные'!$B$156*MAX(0,'19_Расчет_аналитики'!AW1750))</f>
        <v/>
      </c>
      <c r="AX1752">
        <f>MAX('01_Вводные'!$B$157*'19_Расчет_аналитики'!AX1729,'01_Вводные'!$B$156*MAX(0,'19_Расчет_аналитики'!AX1750))</f>
        <v/>
      </c>
      <c r="AY1752">
        <f>MAX('01_Вводные'!$B$157*'19_Расчет_аналитики'!AY1729,'01_Вводные'!$B$156*MAX(0,'19_Расчет_аналитики'!AY1750))</f>
        <v/>
      </c>
      <c r="AZ1752">
        <f>MAX('01_Вводные'!$B$157*'19_Расчет_аналитики'!AZ1729,'01_Вводные'!$B$156*MAX(0,'19_Расчет_аналитики'!AZ1750))</f>
        <v/>
      </c>
      <c r="BA1752">
        <f>MAX('01_Вводные'!$B$157*'19_Расчет_аналитики'!BA1729,'01_Вводные'!$B$156*MAX(0,'19_Расчет_аналитики'!BA1750))</f>
        <v/>
      </c>
      <c r="BB1752">
        <f>MAX('01_Вводные'!$B$157*'19_Расчет_аналитики'!BB1729,'01_Вводные'!$B$156*MAX(0,'19_Расчет_аналитики'!BB1750))</f>
        <v/>
      </c>
      <c r="BC1752">
        <f>MAX('01_Вводные'!$B$157*'19_Расчет_аналитики'!BC1729,'01_Вводные'!$B$156*MAX(0,'19_Расчет_аналитики'!BC1750))</f>
        <v/>
      </c>
      <c r="BD1752">
        <f>MAX('01_Вводные'!$B$157*'19_Расчет_аналитики'!BD1729,'01_Вводные'!$B$156*MAX(0,'19_Расчет_аналитики'!BD1750))</f>
        <v/>
      </c>
      <c r="BE1752">
        <f>MAX('01_Вводные'!$B$157*'19_Расчет_аналитики'!BE1729,'01_Вводные'!$B$156*MAX(0,'19_Расчет_аналитики'!BE1750))</f>
        <v/>
      </c>
      <c r="BF1752">
        <f>MAX('01_Вводные'!$B$157*'19_Расчет_аналитики'!BF1729,'01_Вводные'!$B$156*MAX(0,'19_Расчет_аналитики'!BF1750))</f>
        <v/>
      </c>
      <c r="BG1752">
        <f>MAX('01_Вводные'!$B$157*'19_Расчет_аналитики'!BG1729,'01_Вводные'!$B$156*MAX(0,'19_Расчет_аналитики'!BG1750))</f>
        <v/>
      </c>
      <c r="BH1752">
        <f>MAX('01_Вводные'!$B$157*'19_Расчет_аналитики'!BH1729,'01_Вводные'!$B$156*MAX(0,'19_Расчет_аналитики'!BH1750))</f>
        <v/>
      </c>
      <c r="BI1752">
        <f>MAX('01_Вводные'!$B$157*'19_Расчет_аналитики'!BI1729,'01_Вводные'!$B$156*MAX(0,'19_Расчет_аналитики'!BI1750))</f>
        <v/>
      </c>
    </row>
    <row r="1753">
      <c r="B1753">
        <f>'19_Расчет_аналитики'!B1750-'19_Расчет_аналитики'!B1752</f>
        <v/>
      </c>
      <c r="C1753">
        <f>'19_Расчет_аналитики'!C1750-'19_Расчет_аналитики'!C1752</f>
        <v/>
      </c>
      <c r="D1753">
        <f>'19_Расчет_аналитики'!D1750-'19_Расчет_аналитики'!D1752</f>
        <v/>
      </c>
      <c r="E1753">
        <f>'19_Расчет_аналитики'!E1750-'19_Расчет_аналитики'!E1752</f>
        <v/>
      </c>
      <c r="F1753">
        <f>'19_Расчет_аналитики'!F1750-'19_Расчет_аналитики'!F1752</f>
        <v/>
      </c>
      <c r="G1753">
        <f>'19_Расчет_аналитики'!G1750-'19_Расчет_аналитики'!G1752</f>
        <v/>
      </c>
      <c r="H1753">
        <f>'19_Расчет_аналитики'!H1750-'19_Расчет_аналитики'!H1752</f>
        <v/>
      </c>
      <c r="I1753">
        <f>'19_Расчет_аналитики'!I1750-'19_Расчет_аналитики'!I1752</f>
        <v/>
      </c>
      <c r="J1753">
        <f>'19_Расчет_аналитики'!J1750-'19_Расчет_аналитики'!J1752</f>
        <v/>
      </c>
      <c r="K1753">
        <f>'19_Расчет_аналитики'!K1750-'19_Расчет_аналитики'!K1752</f>
        <v/>
      </c>
      <c r="L1753">
        <f>'19_Расчет_аналитики'!L1750-'19_Расчет_аналитики'!L1752</f>
        <v/>
      </c>
      <c r="M1753">
        <f>'19_Расчет_аналитики'!M1750-'19_Расчет_аналитики'!M1752</f>
        <v/>
      </c>
      <c r="N1753">
        <f>'19_Расчет_аналитики'!N1750-'19_Расчет_аналитики'!N1752</f>
        <v/>
      </c>
      <c r="O1753">
        <f>'19_Расчет_аналитики'!O1750-'19_Расчет_аналитики'!O1752</f>
        <v/>
      </c>
      <c r="P1753">
        <f>'19_Расчет_аналитики'!P1750-'19_Расчет_аналитики'!P1752</f>
        <v/>
      </c>
      <c r="Q1753">
        <f>'19_Расчет_аналитики'!Q1750-'19_Расчет_аналитики'!Q1752</f>
        <v/>
      </c>
      <c r="R1753">
        <f>'19_Расчет_аналитики'!R1750-'19_Расчет_аналитики'!R1752</f>
        <v/>
      </c>
      <c r="S1753">
        <f>'19_Расчет_аналитики'!S1750-'19_Расчет_аналитики'!S1752</f>
        <v/>
      </c>
      <c r="T1753">
        <f>'19_Расчет_аналитики'!T1750-'19_Расчет_аналитики'!T1752</f>
        <v/>
      </c>
      <c r="U1753">
        <f>'19_Расчет_аналитики'!U1750-'19_Расчет_аналитики'!U1752</f>
        <v/>
      </c>
      <c r="V1753">
        <f>'19_Расчет_аналитики'!V1750-'19_Расчет_аналитики'!V1752</f>
        <v/>
      </c>
      <c r="W1753">
        <f>'19_Расчет_аналитики'!W1750-'19_Расчет_аналитики'!W1752</f>
        <v/>
      </c>
      <c r="X1753">
        <f>'19_Расчет_аналитики'!X1750-'19_Расчет_аналитики'!X1752</f>
        <v/>
      </c>
      <c r="Y1753">
        <f>'19_Расчет_аналитики'!Y1750-'19_Расчет_аналитики'!Y1752</f>
        <v/>
      </c>
      <c r="Z1753">
        <f>'19_Расчет_аналитики'!Z1750-'19_Расчет_аналитики'!Z1752</f>
        <v/>
      </c>
      <c r="AA1753">
        <f>'19_Расчет_аналитики'!AA1750-'19_Расчет_аналитики'!AA1752</f>
        <v/>
      </c>
      <c r="AB1753">
        <f>'19_Расчет_аналитики'!AB1750-'19_Расчет_аналитики'!AB1752</f>
        <v/>
      </c>
      <c r="AC1753">
        <f>'19_Расчет_аналитики'!AC1750-'19_Расчет_аналитики'!AC1752</f>
        <v/>
      </c>
      <c r="AD1753">
        <f>'19_Расчет_аналитики'!AD1750-'19_Расчет_аналитики'!AD1752</f>
        <v/>
      </c>
      <c r="AE1753">
        <f>'19_Расчет_аналитики'!AE1750-'19_Расчет_аналитики'!AE1752</f>
        <v/>
      </c>
      <c r="AF1753">
        <f>'19_Расчет_аналитики'!AF1750-'19_Расчет_аналитики'!AF1752</f>
        <v/>
      </c>
      <c r="AG1753">
        <f>'19_Расчет_аналитики'!AG1750-'19_Расчет_аналитики'!AG1752</f>
        <v/>
      </c>
      <c r="AH1753">
        <f>'19_Расчет_аналитики'!AH1750-'19_Расчет_аналитики'!AH1752</f>
        <v/>
      </c>
      <c r="AI1753">
        <f>'19_Расчет_аналитики'!AI1750-'19_Расчет_аналитики'!AI1752</f>
        <v/>
      </c>
      <c r="AJ1753">
        <f>'19_Расчет_аналитики'!AJ1750-'19_Расчет_аналитики'!AJ1752</f>
        <v/>
      </c>
      <c r="AK1753">
        <f>'19_Расчет_аналитики'!AK1750-'19_Расчет_аналитики'!AK1752</f>
        <v/>
      </c>
      <c r="AL1753">
        <f>'19_Расчет_аналитики'!AL1750-'19_Расчет_аналитики'!AL1752</f>
        <v/>
      </c>
      <c r="AM1753">
        <f>'19_Расчет_аналитики'!AM1750-'19_Расчет_аналитики'!AM1752</f>
        <v/>
      </c>
      <c r="AN1753">
        <f>'19_Расчет_аналитики'!AN1750-'19_Расчет_аналитики'!AN1752</f>
        <v/>
      </c>
      <c r="AO1753">
        <f>'19_Расчет_аналитики'!AO1750-'19_Расчет_аналитики'!AO1752</f>
        <v/>
      </c>
      <c r="AP1753">
        <f>'19_Расчет_аналитики'!AP1750-'19_Расчет_аналитики'!AP1752</f>
        <v/>
      </c>
      <c r="AQ1753">
        <f>'19_Расчет_аналитики'!AQ1750-'19_Расчет_аналитики'!AQ1752</f>
        <v/>
      </c>
      <c r="AR1753">
        <f>'19_Расчет_аналитики'!AR1750-'19_Расчет_аналитики'!AR1752</f>
        <v/>
      </c>
      <c r="AS1753">
        <f>'19_Расчет_аналитики'!AS1750-'19_Расчет_аналитики'!AS1752</f>
        <v/>
      </c>
      <c r="AT1753">
        <f>'19_Расчет_аналитики'!AT1750-'19_Расчет_аналитики'!AT1752</f>
        <v/>
      </c>
      <c r="AU1753">
        <f>'19_Расчет_аналитики'!AU1750-'19_Расчет_аналитики'!AU1752</f>
        <v/>
      </c>
      <c r="AV1753">
        <f>'19_Расчет_аналитики'!AV1750-'19_Расчет_аналитики'!AV1752</f>
        <v/>
      </c>
      <c r="AW1753">
        <f>'19_Расчет_аналитики'!AW1750-'19_Расчет_аналитики'!AW1752</f>
        <v/>
      </c>
      <c r="AX1753">
        <f>'19_Расчет_аналитики'!AX1750-'19_Расчет_аналитики'!AX1752</f>
        <v/>
      </c>
      <c r="AY1753">
        <f>'19_Расчет_аналитики'!AY1750-'19_Расчет_аналитики'!AY1752</f>
        <v/>
      </c>
      <c r="AZ1753">
        <f>'19_Расчет_аналитики'!AZ1750-'19_Расчет_аналитики'!AZ1752</f>
        <v/>
      </c>
      <c r="BA1753">
        <f>'19_Расчет_аналитики'!BA1750-'19_Расчет_аналитики'!BA1752</f>
        <v/>
      </c>
      <c r="BB1753">
        <f>'19_Расчет_аналитики'!BB1750-'19_Расчет_аналитики'!BB1752</f>
        <v/>
      </c>
      <c r="BC1753">
        <f>'19_Расчет_аналитики'!BC1750-'19_Расчет_аналитики'!BC1752</f>
        <v/>
      </c>
      <c r="BD1753">
        <f>'19_Расчет_аналитики'!BD1750-'19_Расчет_аналитики'!BD1752</f>
        <v/>
      </c>
      <c r="BE1753">
        <f>'19_Расчет_аналитики'!BE1750-'19_Расчет_аналитики'!BE1752</f>
        <v/>
      </c>
      <c r="BF1753">
        <f>'19_Расчет_аналитики'!BF1750-'19_Расчет_аналитики'!BF1752</f>
        <v/>
      </c>
      <c r="BG1753">
        <f>'19_Расчет_аналитики'!BG1750-'19_Расчет_аналитики'!BG1752</f>
        <v/>
      </c>
      <c r="BH1753">
        <f>'19_Расчет_аналитики'!BH1750-'19_Расчет_аналитики'!BH1752</f>
        <v/>
      </c>
      <c r="BI1753">
        <f>'19_Расчет_аналитики'!BI1750-'19_Расчет_аналитики'!BI1752</f>
        <v/>
      </c>
    </row>
    <row r="1754"/>
    <row r="1755"/>
    <row r="1756"/>
    <row r="1757">
      <c r="C1757">
        <f>'19_Расчет_аналитики'!B1778</f>
        <v/>
      </c>
      <c r="D1757">
        <f>'19_Расчет_аналитики'!C1778</f>
        <v/>
      </c>
      <c r="E1757">
        <f>'19_Расчет_аналитики'!D1778</f>
        <v/>
      </c>
      <c r="F1757">
        <f>'19_Расчет_аналитики'!E1778</f>
        <v/>
      </c>
      <c r="G1757">
        <f>'19_Расчет_аналитики'!F1778</f>
        <v/>
      </c>
      <c r="H1757">
        <f>'19_Расчет_аналитики'!G1778</f>
        <v/>
      </c>
      <c r="I1757">
        <f>'19_Расчет_аналитики'!H1778</f>
        <v/>
      </c>
      <c r="J1757">
        <f>'19_Расчет_аналитики'!I1778</f>
        <v/>
      </c>
      <c r="K1757">
        <f>'19_Расчет_аналитики'!J1778</f>
        <v/>
      </c>
      <c r="L1757">
        <f>'19_Расчет_аналитики'!K1778</f>
        <v/>
      </c>
      <c r="M1757">
        <f>'19_Расчет_аналитики'!L1778</f>
        <v/>
      </c>
      <c r="N1757">
        <f>'19_Расчет_аналитики'!M1778</f>
        <v/>
      </c>
      <c r="O1757">
        <f>'19_Расчет_аналитики'!N1778</f>
        <v/>
      </c>
      <c r="P1757">
        <f>'19_Расчет_аналитики'!O1778</f>
        <v/>
      </c>
      <c r="Q1757">
        <f>'19_Расчет_аналитики'!P1778</f>
        <v/>
      </c>
      <c r="R1757">
        <f>'19_Расчет_аналитики'!Q1778</f>
        <v/>
      </c>
      <c r="S1757">
        <f>'19_Расчет_аналитики'!R1778</f>
        <v/>
      </c>
      <c r="T1757">
        <f>'19_Расчет_аналитики'!S1778</f>
        <v/>
      </c>
      <c r="U1757">
        <f>'19_Расчет_аналитики'!T1778</f>
        <v/>
      </c>
      <c r="V1757">
        <f>'19_Расчет_аналитики'!U1778</f>
        <v/>
      </c>
      <c r="W1757">
        <f>'19_Расчет_аналитики'!V1778</f>
        <v/>
      </c>
      <c r="X1757">
        <f>'19_Расчет_аналитики'!W1778</f>
        <v/>
      </c>
      <c r="Y1757">
        <f>'19_Расчет_аналитики'!X1778</f>
        <v/>
      </c>
      <c r="Z1757">
        <f>'19_Расчет_аналитики'!Y1778</f>
        <v/>
      </c>
      <c r="AA1757">
        <f>'19_Расчет_аналитики'!Z1778</f>
        <v/>
      </c>
      <c r="AB1757">
        <f>'19_Расчет_аналитики'!AA1778</f>
        <v/>
      </c>
      <c r="AC1757">
        <f>'19_Расчет_аналитики'!AB1778</f>
        <v/>
      </c>
      <c r="AD1757">
        <f>'19_Расчет_аналитики'!AC1778</f>
        <v/>
      </c>
      <c r="AE1757">
        <f>'19_Расчет_аналитики'!AD1778</f>
        <v/>
      </c>
      <c r="AF1757">
        <f>'19_Расчет_аналитики'!AE1778</f>
        <v/>
      </c>
      <c r="AG1757">
        <f>'19_Расчет_аналитики'!AF1778</f>
        <v/>
      </c>
      <c r="AH1757">
        <f>'19_Расчет_аналитики'!AG1778</f>
        <v/>
      </c>
      <c r="AI1757">
        <f>'19_Расчет_аналитики'!AH1778</f>
        <v/>
      </c>
      <c r="AJ1757">
        <f>'19_Расчет_аналитики'!AI1778</f>
        <v/>
      </c>
      <c r="AK1757">
        <f>'19_Расчет_аналитики'!AJ1778</f>
        <v/>
      </c>
      <c r="AL1757">
        <f>'19_Расчет_аналитики'!AK1778</f>
        <v/>
      </c>
      <c r="AM1757">
        <f>'19_Расчет_аналитики'!AL1778</f>
        <v/>
      </c>
      <c r="AN1757">
        <f>'19_Расчет_аналитики'!AM1778</f>
        <v/>
      </c>
      <c r="AO1757">
        <f>'19_Расчет_аналитики'!AN1778</f>
        <v/>
      </c>
      <c r="AP1757">
        <f>'19_Расчет_аналитики'!AO1778</f>
        <v/>
      </c>
      <c r="AQ1757">
        <f>'19_Расчет_аналитики'!AP1778</f>
        <v/>
      </c>
      <c r="AR1757">
        <f>'19_Расчет_аналитики'!AQ1778</f>
        <v/>
      </c>
      <c r="AS1757">
        <f>'19_Расчет_аналитики'!AR1778</f>
        <v/>
      </c>
      <c r="AT1757">
        <f>'19_Расчет_аналитики'!AS1778</f>
        <v/>
      </c>
      <c r="AU1757">
        <f>'19_Расчет_аналитики'!AT1778</f>
        <v/>
      </c>
      <c r="AV1757">
        <f>'19_Расчет_аналитики'!AU1778</f>
        <v/>
      </c>
      <c r="AW1757">
        <f>'19_Расчет_аналитики'!AV1778</f>
        <v/>
      </c>
      <c r="AX1757">
        <f>'19_Расчет_аналитики'!AW1778</f>
        <v/>
      </c>
      <c r="AY1757">
        <f>'19_Расчет_аналитики'!AX1778</f>
        <v/>
      </c>
      <c r="AZ1757">
        <f>'19_Расчет_аналитики'!AY1778</f>
        <v/>
      </c>
      <c r="BA1757">
        <f>'19_Расчет_аналитики'!AZ1778</f>
        <v/>
      </c>
      <c r="BB1757">
        <f>'19_Расчет_аналитики'!BA1778</f>
        <v/>
      </c>
      <c r="BC1757">
        <f>'19_Расчет_аналитики'!BB1778</f>
        <v/>
      </c>
      <c r="BD1757">
        <f>'19_Расчет_аналитики'!BC1778</f>
        <v/>
      </c>
      <c r="BE1757">
        <f>'19_Расчет_аналитики'!BD1778</f>
        <v/>
      </c>
      <c r="BF1757">
        <f>'19_Расчет_аналитики'!BE1778</f>
        <v/>
      </c>
      <c r="BG1757">
        <f>'19_Расчет_аналитики'!BF1778</f>
        <v/>
      </c>
      <c r="BH1757">
        <f>'19_Расчет_аналитики'!BG1778</f>
        <v/>
      </c>
      <c r="BI1757">
        <f>'19_Расчет_аналитики'!BH1778</f>
        <v/>
      </c>
    </row>
    <row r="1758">
      <c r="B1758">
        <f>'02_Модель'!B52</f>
        <v/>
      </c>
      <c r="C1758">
        <f>'19_Расчет_аналитики'!C1360</f>
        <v/>
      </c>
      <c r="D1758">
        <f>'19_Расчет_аналитики'!D1360</f>
        <v/>
      </c>
      <c r="E1758">
        <f>'19_Расчет_аналитики'!E1360</f>
        <v/>
      </c>
      <c r="F1758">
        <f>'19_Расчет_аналитики'!F1360</f>
        <v/>
      </c>
      <c r="G1758">
        <f>'19_Расчет_аналитики'!G1360</f>
        <v/>
      </c>
      <c r="H1758">
        <f>'19_Расчет_аналитики'!H1360</f>
        <v/>
      </c>
      <c r="I1758">
        <f>'19_Расчет_аналитики'!I1360</f>
        <v/>
      </c>
      <c r="J1758">
        <f>'19_Расчет_аналитики'!J1360</f>
        <v/>
      </c>
      <c r="K1758">
        <f>'19_Расчет_аналитики'!K1360</f>
        <v/>
      </c>
      <c r="L1758">
        <f>'19_Расчет_аналитики'!L1360</f>
        <v/>
      </c>
      <c r="M1758">
        <f>'19_Расчет_аналитики'!M1360</f>
        <v/>
      </c>
      <c r="N1758">
        <f>'19_Расчет_аналитики'!N1360</f>
        <v/>
      </c>
      <c r="O1758">
        <f>'19_Расчет_аналитики'!O1360</f>
        <v/>
      </c>
      <c r="P1758">
        <f>'19_Расчет_аналитики'!P1360</f>
        <v/>
      </c>
      <c r="Q1758">
        <f>'19_Расчет_аналитики'!Q1360</f>
        <v/>
      </c>
      <c r="R1758">
        <f>'19_Расчет_аналитики'!R1360</f>
        <v/>
      </c>
      <c r="S1758">
        <f>'19_Расчет_аналитики'!S1360</f>
        <v/>
      </c>
      <c r="T1758">
        <f>'19_Расчет_аналитики'!T1360</f>
        <v/>
      </c>
      <c r="U1758">
        <f>'19_Расчет_аналитики'!U1360</f>
        <v/>
      </c>
      <c r="V1758">
        <f>'19_Расчет_аналитики'!V1360</f>
        <v/>
      </c>
      <c r="W1758">
        <f>'19_Расчет_аналитики'!W1360</f>
        <v/>
      </c>
      <c r="X1758">
        <f>'19_Расчет_аналитики'!X1360</f>
        <v/>
      </c>
      <c r="Y1758">
        <f>'19_Расчет_аналитики'!Y1360</f>
        <v/>
      </c>
      <c r="Z1758">
        <f>'19_Расчет_аналитики'!Z1360</f>
        <v/>
      </c>
      <c r="AA1758">
        <f>'19_Расчет_аналитики'!AA1360</f>
        <v/>
      </c>
      <c r="AB1758">
        <f>'19_Расчет_аналитики'!AB1360</f>
        <v/>
      </c>
      <c r="AC1758">
        <f>'19_Расчет_аналитики'!AC1360</f>
        <v/>
      </c>
      <c r="AD1758">
        <f>'19_Расчет_аналитики'!AD1360</f>
        <v/>
      </c>
      <c r="AE1758">
        <f>'19_Расчет_аналитики'!AE1360</f>
        <v/>
      </c>
      <c r="AF1758">
        <f>'19_Расчет_аналитики'!AF1360</f>
        <v/>
      </c>
      <c r="AG1758">
        <f>'19_Расчет_аналитики'!AG1360</f>
        <v/>
      </c>
      <c r="AH1758">
        <f>'19_Расчет_аналитики'!AH1360</f>
        <v/>
      </c>
      <c r="AI1758">
        <f>'19_Расчет_аналитики'!AI1360</f>
        <v/>
      </c>
      <c r="AJ1758">
        <f>'19_Расчет_аналитики'!AJ1360</f>
        <v/>
      </c>
      <c r="AK1758">
        <f>'19_Расчет_аналитики'!AK1360</f>
        <v/>
      </c>
      <c r="AL1758">
        <f>'19_Расчет_аналитики'!AL1360</f>
        <v/>
      </c>
      <c r="AM1758">
        <f>'19_Расчет_аналитики'!AM1360</f>
        <v/>
      </c>
      <c r="AN1758">
        <f>'19_Расчет_аналитики'!AN1360</f>
        <v/>
      </c>
      <c r="AO1758">
        <f>'19_Расчет_аналитики'!AO1360</f>
        <v/>
      </c>
      <c r="AP1758">
        <f>'19_Расчет_аналитики'!AP1360</f>
        <v/>
      </c>
      <c r="AQ1758">
        <f>'19_Расчет_аналитики'!AQ1360</f>
        <v/>
      </c>
      <c r="AR1758">
        <f>'19_Расчет_аналитики'!AR1360</f>
        <v/>
      </c>
      <c r="AS1758">
        <f>'19_Расчет_аналитики'!AS1360</f>
        <v/>
      </c>
      <c r="AT1758">
        <f>'19_Расчет_аналитики'!AT1360</f>
        <v/>
      </c>
      <c r="AU1758">
        <f>'19_Расчет_аналитики'!AU1360</f>
        <v/>
      </c>
      <c r="AV1758">
        <f>'19_Расчет_аналитики'!AV1360</f>
        <v/>
      </c>
      <c r="AW1758">
        <f>'19_Расчет_аналитики'!AW1360</f>
        <v/>
      </c>
      <c r="AX1758">
        <f>'19_Расчет_аналитики'!AX1360</f>
        <v/>
      </c>
      <c r="AY1758">
        <f>'19_Расчет_аналитики'!AY1360</f>
        <v/>
      </c>
      <c r="AZ1758">
        <f>'19_Расчет_аналитики'!AZ1360</f>
        <v/>
      </c>
      <c r="BA1758">
        <f>'19_Расчет_аналитики'!BA1360</f>
        <v/>
      </c>
      <c r="BB1758">
        <f>'19_Расчет_аналитики'!BB1360</f>
        <v/>
      </c>
      <c r="BC1758">
        <f>'19_Расчет_аналитики'!BC1360</f>
        <v/>
      </c>
      <c r="BD1758">
        <f>'19_Расчет_аналитики'!BD1360</f>
        <v/>
      </c>
      <c r="BE1758">
        <f>'19_Расчет_аналитики'!BE1360</f>
        <v/>
      </c>
      <c r="BF1758">
        <f>'19_Расчет_аналитики'!BF1360</f>
        <v/>
      </c>
      <c r="BG1758">
        <f>'19_Расчет_аналитики'!BG1360</f>
        <v/>
      </c>
      <c r="BH1758">
        <f>'19_Расчет_аналитики'!BH1360</f>
        <v/>
      </c>
      <c r="BI1758">
        <f>'19_Расчет_аналитики'!BI1360</f>
        <v/>
      </c>
    </row>
    <row r="1759">
      <c r="B1759">
        <f>'19_Расчет_аналитики'!$B$1044*('19_Расчет_аналитики'!B1725+'19_Расчет_аналитики'!B1726)*(1+'01_Вводные'!$B$58)+(1-'19_Расчет_аналитики'!$B$1044)*0</f>
        <v/>
      </c>
      <c r="C1759">
        <f>'19_Расчет_аналитики'!$B$1044*('19_Расчет_аналитики'!C1725+'19_Расчет_аналитики'!C1726)*(1+'01_Вводные'!$B$58)+(1-'19_Расчет_аналитики'!$B$1044)*('19_Расчет_аналитики'!B1725+'19_Расчет_аналитики'!B1726)*(1+'01_Вводные'!$B$58)</f>
        <v/>
      </c>
      <c r="D1759">
        <f>'19_Расчет_аналитики'!$B$1044*('19_Расчет_аналитики'!D1725+'19_Расчет_аналитики'!D1726)*(1+'01_Вводные'!$B$58)+(1-'19_Расчет_аналитики'!$B$1044)*('19_Расчет_аналитики'!C1725+'19_Расчет_аналитики'!C1726)*(1+'01_Вводные'!$B$58)</f>
        <v/>
      </c>
      <c r="E1759">
        <f>'19_Расчет_аналитики'!$B$1044*('19_Расчет_аналитики'!E1725+'19_Расчет_аналитики'!E1726)*(1+'01_Вводные'!$B$58)+(1-'19_Расчет_аналитики'!$B$1044)*('19_Расчет_аналитики'!D1725+'19_Расчет_аналитики'!D1726)*(1+'01_Вводные'!$B$58)</f>
        <v/>
      </c>
      <c r="F1759">
        <f>'19_Расчет_аналитики'!$B$1044*('19_Расчет_аналитики'!F1725+'19_Расчет_аналитики'!F1726)*(1+'01_Вводные'!$B$58)+(1-'19_Расчет_аналитики'!$B$1044)*('19_Расчет_аналитики'!E1725+'19_Расчет_аналитики'!E1726)*(1+'01_Вводные'!$B$58)</f>
        <v/>
      </c>
      <c r="G1759">
        <f>'19_Расчет_аналитики'!$B$1044*('19_Расчет_аналитики'!G1725+'19_Расчет_аналитики'!G1726)*(1+'01_Вводные'!$B$58)+(1-'19_Расчет_аналитики'!$B$1044)*('19_Расчет_аналитики'!F1725+'19_Расчет_аналитики'!F1726)*(1+'01_Вводные'!$B$58)</f>
        <v/>
      </c>
      <c r="H1759">
        <f>'19_Расчет_аналитики'!$B$1044*('19_Расчет_аналитики'!H1725+'19_Расчет_аналитики'!H1726)*(1+'01_Вводные'!$B$58)+(1-'19_Расчет_аналитики'!$B$1044)*('19_Расчет_аналитики'!G1725+'19_Расчет_аналитики'!G1726)*(1+'01_Вводные'!$B$58)</f>
        <v/>
      </c>
      <c r="I1759">
        <f>'19_Расчет_аналитики'!$B$1044*('19_Расчет_аналитики'!I1725+'19_Расчет_аналитики'!I1726)*(1+'01_Вводные'!$B$58)+(1-'19_Расчет_аналитики'!$B$1044)*('19_Расчет_аналитики'!H1725+'19_Расчет_аналитики'!H1726)*(1+'01_Вводные'!$B$58)</f>
        <v/>
      </c>
      <c r="J1759">
        <f>'19_Расчет_аналитики'!$B$1044*('19_Расчет_аналитики'!J1725+'19_Расчет_аналитики'!J1726)*(1+'01_Вводные'!$B$58)+(1-'19_Расчет_аналитики'!$B$1044)*('19_Расчет_аналитики'!I1725+'19_Расчет_аналитики'!I1726)*(1+'01_Вводные'!$B$58)</f>
        <v/>
      </c>
      <c r="K1759">
        <f>'19_Расчет_аналитики'!$B$1044*('19_Расчет_аналитики'!K1725+'19_Расчет_аналитики'!K1726)*(1+'01_Вводные'!$B$58)+(1-'19_Расчет_аналитики'!$B$1044)*('19_Расчет_аналитики'!J1725+'19_Расчет_аналитики'!J1726)*(1+'01_Вводные'!$B$58)</f>
        <v/>
      </c>
      <c r="L1759">
        <f>'19_Расчет_аналитики'!$B$1044*('19_Расчет_аналитики'!L1725+'19_Расчет_аналитики'!L1726)*(1+'01_Вводные'!$B$58)+(1-'19_Расчет_аналитики'!$B$1044)*('19_Расчет_аналитики'!K1725+'19_Расчет_аналитики'!K1726)*(1+'01_Вводные'!$B$58)</f>
        <v/>
      </c>
      <c r="M1759">
        <f>'19_Расчет_аналитики'!$B$1044*('19_Расчет_аналитики'!M1725+'19_Расчет_аналитики'!M1726)*(1+'01_Вводные'!$B$58)+(1-'19_Расчет_аналитики'!$B$1044)*('19_Расчет_аналитики'!L1725+'19_Расчет_аналитики'!L1726)*(1+'01_Вводные'!$B$58)</f>
        <v/>
      </c>
      <c r="N1759">
        <f>'19_Расчет_аналитики'!$B$1044*('19_Расчет_аналитики'!N1725+'19_Расчет_аналитики'!N1726)*(1+'01_Вводные'!$B$58)+(1-'19_Расчет_аналитики'!$B$1044)*('19_Расчет_аналитики'!M1725+'19_Расчет_аналитики'!M1726)*(1+'01_Вводные'!$B$58)</f>
        <v/>
      </c>
      <c r="O1759">
        <f>'19_Расчет_аналитики'!$B$1044*('19_Расчет_аналитики'!O1725+'19_Расчет_аналитики'!O1726)*(1+'01_Вводные'!$B$58)+(1-'19_Расчет_аналитики'!$B$1044)*('19_Расчет_аналитики'!N1725+'19_Расчет_аналитики'!N1726)*(1+'01_Вводные'!$B$58)</f>
        <v/>
      </c>
      <c r="P1759">
        <f>'19_Расчет_аналитики'!$B$1044*('19_Расчет_аналитики'!P1725+'19_Расчет_аналитики'!P1726)*(1+'01_Вводные'!$B$58)+(1-'19_Расчет_аналитики'!$B$1044)*('19_Расчет_аналитики'!O1725+'19_Расчет_аналитики'!O1726)*(1+'01_Вводные'!$B$58)</f>
        <v/>
      </c>
      <c r="Q1759">
        <f>'19_Расчет_аналитики'!$B$1044*('19_Расчет_аналитики'!Q1725+'19_Расчет_аналитики'!Q1726)*(1+'01_Вводные'!$B$58)+(1-'19_Расчет_аналитики'!$B$1044)*('19_Расчет_аналитики'!P1725+'19_Расчет_аналитики'!P1726)*(1+'01_Вводные'!$B$58)</f>
        <v/>
      </c>
      <c r="R1759">
        <f>'19_Расчет_аналитики'!$B$1044*('19_Расчет_аналитики'!R1725+'19_Расчет_аналитики'!R1726)*(1+'01_Вводные'!$B$58)+(1-'19_Расчет_аналитики'!$B$1044)*('19_Расчет_аналитики'!Q1725+'19_Расчет_аналитики'!Q1726)*(1+'01_Вводные'!$B$58)</f>
        <v/>
      </c>
      <c r="S1759">
        <f>'19_Расчет_аналитики'!$B$1044*('19_Расчет_аналитики'!S1725+'19_Расчет_аналитики'!S1726)*(1+'01_Вводные'!$B$58)+(1-'19_Расчет_аналитики'!$B$1044)*('19_Расчет_аналитики'!R1725+'19_Расчет_аналитики'!R1726)*(1+'01_Вводные'!$B$58)</f>
        <v/>
      </c>
      <c r="T1759">
        <f>'19_Расчет_аналитики'!$B$1044*('19_Расчет_аналитики'!T1725+'19_Расчет_аналитики'!T1726)*(1+'01_Вводные'!$B$58)+(1-'19_Расчет_аналитики'!$B$1044)*('19_Расчет_аналитики'!S1725+'19_Расчет_аналитики'!S1726)*(1+'01_Вводные'!$B$58)</f>
        <v/>
      </c>
      <c r="U1759">
        <f>'19_Расчет_аналитики'!$B$1044*('19_Расчет_аналитики'!U1725+'19_Расчет_аналитики'!U1726)*(1+'01_Вводные'!$B$58)+(1-'19_Расчет_аналитики'!$B$1044)*('19_Расчет_аналитики'!T1725+'19_Расчет_аналитики'!T1726)*(1+'01_Вводные'!$B$58)</f>
        <v/>
      </c>
      <c r="V1759">
        <f>'19_Расчет_аналитики'!$B$1044*('19_Расчет_аналитики'!V1725+'19_Расчет_аналитики'!V1726)*(1+'01_Вводные'!$B$58)+(1-'19_Расчет_аналитики'!$B$1044)*('19_Расчет_аналитики'!U1725+'19_Расчет_аналитики'!U1726)*(1+'01_Вводные'!$B$58)</f>
        <v/>
      </c>
      <c r="W1759">
        <f>'19_Расчет_аналитики'!$B$1044*('19_Расчет_аналитики'!W1725+'19_Расчет_аналитики'!W1726)*(1+'01_Вводные'!$B$58)+(1-'19_Расчет_аналитики'!$B$1044)*('19_Расчет_аналитики'!V1725+'19_Расчет_аналитики'!V1726)*(1+'01_Вводные'!$B$58)</f>
        <v/>
      </c>
      <c r="X1759">
        <f>'19_Расчет_аналитики'!$B$1044*('19_Расчет_аналитики'!X1725+'19_Расчет_аналитики'!X1726)*(1+'01_Вводные'!$B$58)+(1-'19_Расчет_аналитики'!$B$1044)*('19_Расчет_аналитики'!W1725+'19_Расчет_аналитики'!W1726)*(1+'01_Вводные'!$B$58)</f>
        <v/>
      </c>
      <c r="Y1759">
        <f>'19_Расчет_аналитики'!$B$1044*('19_Расчет_аналитики'!Y1725+'19_Расчет_аналитики'!Y1726)*(1+'01_Вводные'!$B$58)+(1-'19_Расчет_аналитики'!$B$1044)*('19_Расчет_аналитики'!X1725+'19_Расчет_аналитики'!X1726)*(1+'01_Вводные'!$B$58)</f>
        <v/>
      </c>
      <c r="Z1759">
        <f>'19_Расчет_аналитики'!$B$1044*('19_Расчет_аналитики'!Z1725+'19_Расчет_аналитики'!Z1726)*(1+'01_Вводные'!$B$58)+(1-'19_Расчет_аналитики'!$B$1044)*('19_Расчет_аналитики'!Y1725+'19_Расчет_аналитики'!Y1726)*(1+'01_Вводные'!$B$58)</f>
        <v/>
      </c>
      <c r="AA1759">
        <f>'19_Расчет_аналитики'!$B$1044*('19_Расчет_аналитики'!AA1725+'19_Расчет_аналитики'!AA1726)*(1+'01_Вводные'!$B$58)+(1-'19_Расчет_аналитики'!$B$1044)*('19_Расчет_аналитики'!Z1725+'19_Расчет_аналитики'!Z1726)*(1+'01_Вводные'!$B$58)</f>
        <v/>
      </c>
      <c r="AB1759">
        <f>'19_Расчет_аналитики'!$B$1044*('19_Расчет_аналитики'!AB1725+'19_Расчет_аналитики'!AB1726)*(1+'01_Вводные'!$B$58)+(1-'19_Расчет_аналитики'!$B$1044)*('19_Расчет_аналитики'!AA1725+'19_Расчет_аналитики'!AA1726)*(1+'01_Вводные'!$B$58)</f>
        <v/>
      </c>
      <c r="AC1759">
        <f>'19_Расчет_аналитики'!$B$1044*('19_Расчет_аналитики'!AC1725+'19_Расчет_аналитики'!AC1726)*(1+'01_Вводные'!$B$58)+(1-'19_Расчет_аналитики'!$B$1044)*('19_Расчет_аналитики'!AB1725+'19_Расчет_аналитики'!AB1726)*(1+'01_Вводные'!$B$58)</f>
        <v/>
      </c>
      <c r="AD1759">
        <f>'19_Расчет_аналитики'!$B$1044*('19_Расчет_аналитики'!AD1725+'19_Расчет_аналитики'!AD1726)*(1+'01_Вводные'!$B$58)+(1-'19_Расчет_аналитики'!$B$1044)*('19_Расчет_аналитики'!AC1725+'19_Расчет_аналитики'!AC1726)*(1+'01_Вводные'!$B$58)</f>
        <v/>
      </c>
      <c r="AE1759">
        <f>'19_Расчет_аналитики'!$B$1044*('19_Расчет_аналитики'!AE1725+'19_Расчет_аналитики'!AE1726)*(1+'01_Вводные'!$B$58)+(1-'19_Расчет_аналитики'!$B$1044)*('19_Расчет_аналитики'!AD1725+'19_Расчет_аналитики'!AD1726)*(1+'01_Вводные'!$B$58)</f>
        <v/>
      </c>
      <c r="AF1759">
        <f>'19_Расчет_аналитики'!$B$1044*('19_Расчет_аналитики'!AF1725+'19_Расчет_аналитики'!AF1726)*(1+'01_Вводные'!$B$58)+(1-'19_Расчет_аналитики'!$B$1044)*('19_Расчет_аналитики'!AE1725+'19_Расчет_аналитики'!AE1726)*(1+'01_Вводные'!$B$58)</f>
        <v/>
      </c>
      <c r="AG1759">
        <f>'19_Расчет_аналитики'!$B$1044*('19_Расчет_аналитики'!AG1725+'19_Расчет_аналитики'!AG1726)*(1+'01_Вводные'!$B$58)+(1-'19_Расчет_аналитики'!$B$1044)*('19_Расчет_аналитики'!AF1725+'19_Расчет_аналитики'!AF1726)*(1+'01_Вводные'!$B$58)</f>
        <v/>
      </c>
      <c r="AH1759">
        <f>'19_Расчет_аналитики'!$B$1044*('19_Расчет_аналитики'!AH1725+'19_Расчет_аналитики'!AH1726)*(1+'01_Вводные'!$B$58)+(1-'19_Расчет_аналитики'!$B$1044)*('19_Расчет_аналитики'!AG1725+'19_Расчет_аналитики'!AG1726)*(1+'01_Вводные'!$B$58)</f>
        <v/>
      </c>
      <c r="AI1759">
        <f>'19_Расчет_аналитики'!$B$1044*('19_Расчет_аналитики'!AI1725+'19_Расчет_аналитики'!AI1726)*(1+'01_Вводные'!$B$58)+(1-'19_Расчет_аналитики'!$B$1044)*('19_Расчет_аналитики'!AH1725+'19_Расчет_аналитики'!AH1726)*(1+'01_Вводные'!$B$58)</f>
        <v/>
      </c>
      <c r="AJ1759">
        <f>'19_Расчет_аналитики'!$B$1044*('19_Расчет_аналитики'!AJ1725+'19_Расчет_аналитики'!AJ1726)*(1+'01_Вводные'!$B$58)+(1-'19_Расчет_аналитики'!$B$1044)*('19_Расчет_аналитики'!AI1725+'19_Расчет_аналитики'!AI1726)*(1+'01_Вводные'!$B$58)</f>
        <v/>
      </c>
      <c r="AK1759">
        <f>'19_Расчет_аналитики'!$B$1044*('19_Расчет_аналитики'!AK1725+'19_Расчет_аналитики'!AK1726)*(1+'01_Вводные'!$B$58)+(1-'19_Расчет_аналитики'!$B$1044)*('19_Расчет_аналитики'!AJ1725+'19_Расчет_аналитики'!AJ1726)*(1+'01_Вводные'!$B$58)</f>
        <v/>
      </c>
      <c r="AL1759">
        <f>'19_Расчет_аналитики'!$B$1044*('19_Расчет_аналитики'!AL1725+'19_Расчет_аналитики'!AL1726)*(1+'01_Вводные'!$B$58)+(1-'19_Расчет_аналитики'!$B$1044)*('19_Расчет_аналитики'!AK1725+'19_Расчет_аналитики'!AK1726)*(1+'01_Вводные'!$B$58)</f>
        <v/>
      </c>
      <c r="AM1759">
        <f>'19_Расчет_аналитики'!$B$1044*('19_Расчет_аналитики'!AM1725+'19_Расчет_аналитики'!AM1726)*(1+'01_Вводные'!$B$58)+(1-'19_Расчет_аналитики'!$B$1044)*('19_Расчет_аналитики'!AL1725+'19_Расчет_аналитики'!AL1726)*(1+'01_Вводные'!$B$58)</f>
        <v/>
      </c>
      <c r="AN1759">
        <f>'19_Расчет_аналитики'!$B$1044*('19_Расчет_аналитики'!AN1725+'19_Расчет_аналитики'!AN1726)*(1+'01_Вводные'!$B$58)+(1-'19_Расчет_аналитики'!$B$1044)*('19_Расчет_аналитики'!AM1725+'19_Расчет_аналитики'!AM1726)*(1+'01_Вводные'!$B$58)</f>
        <v/>
      </c>
      <c r="AO1759">
        <f>'19_Расчет_аналитики'!$B$1044*('19_Расчет_аналитики'!AO1725+'19_Расчет_аналитики'!AO1726)*(1+'01_Вводные'!$B$58)+(1-'19_Расчет_аналитики'!$B$1044)*('19_Расчет_аналитики'!AN1725+'19_Расчет_аналитики'!AN1726)*(1+'01_Вводные'!$B$58)</f>
        <v/>
      </c>
      <c r="AP1759">
        <f>'19_Расчет_аналитики'!$B$1044*('19_Расчет_аналитики'!AP1725+'19_Расчет_аналитики'!AP1726)*(1+'01_Вводные'!$B$58)+(1-'19_Расчет_аналитики'!$B$1044)*('19_Расчет_аналитики'!AO1725+'19_Расчет_аналитики'!AO1726)*(1+'01_Вводные'!$B$58)</f>
        <v/>
      </c>
      <c r="AQ1759">
        <f>'19_Расчет_аналитики'!$B$1044*('19_Расчет_аналитики'!AQ1725+'19_Расчет_аналитики'!AQ1726)*(1+'01_Вводные'!$B$58)+(1-'19_Расчет_аналитики'!$B$1044)*('19_Расчет_аналитики'!AP1725+'19_Расчет_аналитики'!AP1726)*(1+'01_Вводные'!$B$58)</f>
        <v/>
      </c>
      <c r="AR1759">
        <f>'19_Расчет_аналитики'!$B$1044*('19_Расчет_аналитики'!AR1725+'19_Расчет_аналитики'!AR1726)*(1+'01_Вводные'!$B$58)+(1-'19_Расчет_аналитики'!$B$1044)*('19_Расчет_аналитики'!AQ1725+'19_Расчет_аналитики'!AQ1726)*(1+'01_Вводные'!$B$58)</f>
        <v/>
      </c>
      <c r="AS1759">
        <f>'19_Расчет_аналитики'!$B$1044*('19_Расчет_аналитики'!AS1725+'19_Расчет_аналитики'!AS1726)*(1+'01_Вводные'!$B$58)+(1-'19_Расчет_аналитики'!$B$1044)*('19_Расчет_аналитики'!AR1725+'19_Расчет_аналитики'!AR1726)*(1+'01_Вводные'!$B$58)</f>
        <v/>
      </c>
      <c r="AT1759">
        <f>'19_Расчет_аналитики'!$B$1044*('19_Расчет_аналитики'!AT1725+'19_Расчет_аналитики'!AT1726)*(1+'01_Вводные'!$B$58)+(1-'19_Расчет_аналитики'!$B$1044)*('19_Расчет_аналитики'!AS1725+'19_Расчет_аналитики'!AS1726)*(1+'01_Вводные'!$B$58)</f>
        <v/>
      </c>
      <c r="AU1759">
        <f>'19_Расчет_аналитики'!$B$1044*('19_Расчет_аналитики'!AU1725+'19_Расчет_аналитики'!AU1726)*(1+'01_Вводные'!$B$58)+(1-'19_Расчет_аналитики'!$B$1044)*('19_Расчет_аналитики'!AT1725+'19_Расчет_аналитики'!AT1726)*(1+'01_Вводные'!$B$58)</f>
        <v/>
      </c>
      <c r="AV1759">
        <f>'19_Расчет_аналитики'!$B$1044*('19_Расчет_аналитики'!AV1725+'19_Расчет_аналитики'!AV1726)*(1+'01_Вводные'!$B$58)+(1-'19_Расчет_аналитики'!$B$1044)*('19_Расчет_аналитики'!AU1725+'19_Расчет_аналитики'!AU1726)*(1+'01_Вводные'!$B$58)</f>
        <v/>
      </c>
      <c r="AW1759">
        <f>'19_Расчет_аналитики'!$B$1044*('19_Расчет_аналитики'!AW1725+'19_Расчет_аналитики'!AW1726)*(1+'01_Вводные'!$B$58)+(1-'19_Расчет_аналитики'!$B$1044)*('19_Расчет_аналитики'!AV1725+'19_Расчет_аналитики'!AV1726)*(1+'01_Вводные'!$B$58)</f>
        <v/>
      </c>
      <c r="AX1759">
        <f>'19_Расчет_аналитики'!$B$1044*('19_Расчет_аналитики'!AX1725+'19_Расчет_аналитики'!AX1726)*(1+'01_Вводные'!$B$58)+(1-'19_Расчет_аналитики'!$B$1044)*('19_Расчет_аналитики'!AW1725+'19_Расчет_аналитики'!AW1726)*(1+'01_Вводные'!$B$58)</f>
        <v/>
      </c>
      <c r="AY1759">
        <f>'19_Расчет_аналитики'!$B$1044*('19_Расчет_аналитики'!AY1725+'19_Расчет_аналитики'!AY1726)*(1+'01_Вводные'!$B$58)+(1-'19_Расчет_аналитики'!$B$1044)*('19_Расчет_аналитики'!AX1725+'19_Расчет_аналитики'!AX1726)*(1+'01_Вводные'!$B$58)</f>
        <v/>
      </c>
      <c r="AZ1759">
        <f>'19_Расчет_аналитики'!$B$1044*('19_Расчет_аналитики'!AZ1725+'19_Расчет_аналитики'!AZ1726)*(1+'01_Вводные'!$B$58)+(1-'19_Расчет_аналитики'!$B$1044)*('19_Расчет_аналитики'!AY1725+'19_Расчет_аналитики'!AY1726)*(1+'01_Вводные'!$B$58)</f>
        <v/>
      </c>
      <c r="BA1759">
        <f>'19_Расчет_аналитики'!$B$1044*('19_Расчет_аналитики'!BA1725+'19_Расчет_аналитики'!BA1726)*(1+'01_Вводные'!$B$58)+(1-'19_Расчет_аналитики'!$B$1044)*('19_Расчет_аналитики'!AZ1725+'19_Расчет_аналитики'!AZ1726)*(1+'01_Вводные'!$B$58)</f>
        <v/>
      </c>
      <c r="BB1759">
        <f>'19_Расчет_аналитики'!$B$1044*('19_Расчет_аналитики'!BB1725+'19_Расчет_аналитики'!BB1726)*(1+'01_Вводные'!$B$58)+(1-'19_Расчет_аналитики'!$B$1044)*('19_Расчет_аналитики'!BA1725+'19_Расчет_аналитики'!BA1726)*(1+'01_Вводные'!$B$58)</f>
        <v/>
      </c>
      <c r="BC1759">
        <f>'19_Расчет_аналитики'!$B$1044*('19_Расчет_аналитики'!BC1725+'19_Расчет_аналитики'!BC1726)*(1+'01_Вводные'!$B$58)+(1-'19_Расчет_аналитики'!$B$1044)*('19_Расчет_аналитики'!BB1725+'19_Расчет_аналитики'!BB1726)*(1+'01_Вводные'!$B$58)</f>
        <v/>
      </c>
      <c r="BD1759">
        <f>'19_Расчет_аналитики'!$B$1044*('19_Расчет_аналитики'!BD1725+'19_Расчет_аналитики'!BD1726)*(1+'01_Вводные'!$B$58)+(1-'19_Расчет_аналитики'!$B$1044)*('19_Расчет_аналитики'!BC1725+'19_Расчет_аналитики'!BC1726)*(1+'01_Вводные'!$B$58)</f>
        <v/>
      </c>
      <c r="BE1759">
        <f>'19_Расчет_аналитики'!$B$1044*('19_Расчет_аналитики'!BE1725+'19_Расчет_аналитики'!BE1726)*(1+'01_Вводные'!$B$58)+(1-'19_Расчет_аналитики'!$B$1044)*('19_Расчет_аналитики'!BD1725+'19_Расчет_аналитики'!BD1726)*(1+'01_Вводные'!$B$58)</f>
        <v/>
      </c>
      <c r="BF1759">
        <f>'19_Расчет_аналитики'!$B$1044*('19_Расчет_аналитики'!BF1725+'19_Расчет_аналитики'!BF1726)*(1+'01_Вводные'!$B$58)+(1-'19_Расчет_аналитики'!$B$1044)*('19_Расчет_аналитики'!BE1725+'19_Расчет_аналитики'!BE1726)*(1+'01_Вводные'!$B$58)</f>
        <v/>
      </c>
      <c r="BG1759">
        <f>'19_Расчет_аналитики'!$B$1044*('19_Расчет_аналитики'!BG1725+'19_Расчет_аналитики'!BG1726)*(1+'01_Вводные'!$B$58)+(1-'19_Расчет_аналитики'!$B$1044)*('19_Расчет_аналитики'!BF1725+'19_Расчет_аналитики'!BF1726)*(1+'01_Вводные'!$B$58)</f>
        <v/>
      </c>
      <c r="BH1759">
        <f>'19_Расчет_аналитики'!$B$1044*('19_Расчет_аналитики'!BH1725+'19_Расчет_аналитики'!BH1726)*(1+'01_Вводные'!$B$58)+(1-'19_Расчет_аналитики'!$B$1044)*('19_Расчет_аналитики'!BG1725+'19_Расчет_аналитики'!BG1726)*(1+'01_Вводные'!$B$58)</f>
        <v/>
      </c>
      <c r="BI1759">
        <f>'19_Расчет_аналитики'!$B$1044*('19_Расчет_аналитики'!BI1725+'19_Расчет_аналитики'!BI1726)*(1+'01_Вводные'!$B$58)+(1-'19_Расчет_аналитики'!$B$1044)*('19_Расчет_аналитики'!BH1725+'19_Расчет_аналитики'!BH1726)*(1+'01_Вводные'!$B$58)</f>
        <v/>
      </c>
    </row>
    <row r="1760">
      <c r="B1760">
        <f>'19_Расчет_аналитики'!B1627</f>
        <v/>
      </c>
      <c r="C1760">
        <f>'19_Расчет_аналитики'!C1627</f>
        <v/>
      </c>
      <c r="D1760">
        <f>'19_Расчет_аналитики'!D1627</f>
        <v/>
      </c>
      <c r="E1760">
        <f>'19_Расчет_аналитики'!E1627</f>
        <v/>
      </c>
      <c r="F1760">
        <f>'19_Расчет_аналитики'!F1627</f>
        <v/>
      </c>
      <c r="G1760">
        <f>'19_Расчет_аналитики'!G1627</f>
        <v/>
      </c>
      <c r="H1760">
        <f>'19_Расчет_аналитики'!H1627</f>
        <v/>
      </c>
      <c r="I1760">
        <f>'19_Расчет_аналитики'!I1627</f>
        <v/>
      </c>
      <c r="J1760">
        <f>'19_Расчет_аналитики'!J1627</f>
        <v/>
      </c>
      <c r="K1760">
        <f>'19_Расчет_аналитики'!K1627</f>
        <v/>
      </c>
      <c r="L1760">
        <f>'19_Расчет_аналитики'!L1627</f>
        <v/>
      </c>
      <c r="M1760">
        <f>'19_Расчет_аналитики'!M1627</f>
        <v/>
      </c>
      <c r="N1760">
        <f>'19_Расчет_аналитики'!N1627</f>
        <v/>
      </c>
      <c r="O1760">
        <f>'19_Расчет_аналитики'!O1627</f>
        <v/>
      </c>
      <c r="P1760">
        <f>'19_Расчет_аналитики'!P1627</f>
        <v/>
      </c>
      <c r="Q1760">
        <f>'19_Расчет_аналитики'!Q1627</f>
        <v/>
      </c>
      <c r="R1760">
        <f>'19_Расчет_аналитики'!R1627</f>
        <v/>
      </c>
      <c r="S1760">
        <f>'19_Расчет_аналитики'!S1627</f>
        <v/>
      </c>
      <c r="T1760">
        <f>'19_Расчет_аналитики'!T1627</f>
        <v/>
      </c>
      <c r="U1760">
        <f>'19_Расчет_аналитики'!U1627</f>
        <v/>
      </c>
      <c r="V1760">
        <f>'19_Расчет_аналитики'!V1627</f>
        <v/>
      </c>
      <c r="W1760">
        <f>'19_Расчет_аналитики'!W1627</f>
        <v/>
      </c>
      <c r="X1760">
        <f>'19_Расчет_аналитики'!X1627</f>
        <v/>
      </c>
      <c r="Y1760">
        <f>'19_Расчет_аналитики'!Y1627</f>
        <v/>
      </c>
      <c r="Z1760">
        <f>'19_Расчет_аналитики'!Z1627</f>
        <v/>
      </c>
      <c r="AA1760">
        <f>'19_Расчет_аналитики'!AA1627</f>
        <v/>
      </c>
      <c r="AB1760">
        <f>'19_Расчет_аналитики'!AB1627</f>
        <v/>
      </c>
      <c r="AC1760">
        <f>'19_Расчет_аналитики'!AC1627</f>
        <v/>
      </c>
      <c r="AD1760">
        <f>'19_Расчет_аналитики'!AD1627</f>
        <v/>
      </c>
      <c r="AE1760">
        <f>'19_Расчет_аналитики'!AE1627</f>
        <v/>
      </c>
      <c r="AF1760">
        <f>'19_Расчет_аналитики'!AF1627</f>
        <v/>
      </c>
      <c r="AG1760">
        <f>'19_Расчет_аналитики'!AG1627</f>
        <v/>
      </c>
      <c r="AH1760">
        <f>'19_Расчет_аналитики'!AH1627</f>
        <v/>
      </c>
      <c r="AI1760">
        <f>'19_Расчет_аналитики'!AI1627</f>
        <v/>
      </c>
      <c r="AJ1760">
        <f>'19_Расчет_аналитики'!AJ1627</f>
        <v/>
      </c>
      <c r="AK1760">
        <f>'19_Расчет_аналитики'!AK1627</f>
        <v/>
      </c>
      <c r="AL1760">
        <f>'19_Расчет_аналитики'!AL1627</f>
        <v/>
      </c>
      <c r="AM1760">
        <f>'19_Расчет_аналитики'!AM1627</f>
        <v/>
      </c>
      <c r="AN1760">
        <f>'19_Расчет_аналитики'!AN1627</f>
        <v/>
      </c>
      <c r="AO1760">
        <f>'19_Расчет_аналитики'!AO1627</f>
        <v/>
      </c>
      <c r="AP1760">
        <f>'19_Расчет_аналитики'!AP1627</f>
        <v/>
      </c>
      <c r="AQ1760">
        <f>'19_Расчет_аналитики'!AQ1627</f>
        <v/>
      </c>
      <c r="AR1760">
        <f>'19_Расчет_аналитики'!AR1627</f>
        <v/>
      </c>
      <c r="AS1760">
        <f>'19_Расчет_аналитики'!AS1627</f>
        <v/>
      </c>
      <c r="AT1760">
        <f>'19_Расчет_аналитики'!AT1627</f>
        <v/>
      </c>
      <c r="AU1760">
        <f>'19_Расчет_аналитики'!AU1627</f>
        <v/>
      </c>
      <c r="AV1760">
        <f>'19_Расчет_аналитики'!AV1627</f>
        <v/>
      </c>
      <c r="AW1760">
        <f>'19_Расчет_аналитики'!AW1627</f>
        <v/>
      </c>
      <c r="AX1760">
        <f>'19_Расчет_аналитики'!AX1627</f>
        <v/>
      </c>
      <c r="AY1760">
        <f>'19_Расчет_аналитики'!AY1627</f>
        <v/>
      </c>
      <c r="AZ1760">
        <f>'19_Расчет_аналитики'!AZ1627</f>
        <v/>
      </c>
      <c r="BA1760">
        <f>'19_Расчет_аналитики'!BA1627</f>
        <v/>
      </c>
      <c r="BB1760">
        <f>'19_Расчет_аналитики'!BB1627</f>
        <v/>
      </c>
      <c r="BC1760">
        <f>'19_Расчет_аналитики'!BC1627</f>
        <v/>
      </c>
      <c r="BD1760">
        <f>'19_Расчет_аналитики'!BD1627</f>
        <v/>
      </c>
      <c r="BE1760">
        <f>'19_Расчет_аналитики'!BE1627</f>
        <v/>
      </c>
      <c r="BF1760">
        <f>'19_Расчет_аналитики'!BF1627</f>
        <v/>
      </c>
      <c r="BG1760">
        <f>'19_Расчет_аналитики'!BG1627</f>
        <v/>
      </c>
      <c r="BH1760">
        <f>'19_Расчет_аналитики'!BH1627</f>
        <v/>
      </c>
      <c r="BI1760">
        <f>'19_Расчет_аналитики'!BI1627</f>
        <v/>
      </c>
    </row>
    <row r="1761">
      <c r="B1761">
        <f>'02_Модель'!B55</f>
        <v/>
      </c>
      <c r="C1761">
        <f>'02_Модель'!C55</f>
        <v/>
      </c>
      <c r="D1761">
        <f>'02_Модель'!D55</f>
        <v/>
      </c>
      <c r="E1761">
        <f>'02_Модель'!E55</f>
        <v/>
      </c>
      <c r="F1761">
        <f>'02_Модель'!F55</f>
        <v/>
      </c>
      <c r="G1761">
        <f>'02_Модель'!G55</f>
        <v/>
      </c>
      <c r="H1761">
        <f>'02_Модель'!H55</f>
        <v/>
      </c>
      <c r="I1761">
        <f>'02_Модель'!I55</f>
        <v/>
      </c>
      <c r="J1761">
        <f>'02_Модель'!J55</f>
        <v/>
      </c>
      <c r="K1761">
        <f>'02_Модель'!K55</f>
        <v/>
      </c>
      <c r="L1761">
        <f>'02_Модель'!L55</f>
        <v/>
      </c>
      <c r="M1761">
        <f>'02_Модель'!M55</f>
        <v/>
      </c>
      <c r="N1761">
        <f>'02_Модель'!N55</f>
        <v/>
      </c>
      <c r="O1761">
        <f>'02_Модель'!O55</f>
        <v/>
      </c>
      <c r="P1761">
        <f>'02_Модель'!P55</f>
        <v/>
      </c>
      <c r="Q1761">
        <f>'02_Модель'!Q55</f>
        <v/>
      </c>
      <c r="R1761">
        <f>'02_Модель'!R55</f>
        <v/>
      </c>
      <c r="S1761">
        <f>'02_Модель'!S55</f>
        <v/>
      </c>
      <c r="T1761">
        <f>'02_Модель'!T55</f>
        <v/>
      </c>
      <c r="U1761">
        <f>'02_Модель'!U55</f>
        <v/>
      </c>
      <c r="V1761">
        <f>'02_Модель'!V55</f>
        <v/>
      </c>
      <c r="W1761">
        <f>'02_Модель'!W55</f>
        <v/>
      </c>
      <c r="X1761">
        <f>'02_Модель'!X55</f>
        <v/>
      </c>
      <c r="Y1761">
        <f>'02_Модель'!Y55</f>
        <v/>
      </c>
      <c r="Z1761">
        <f>'02_Модель'!Z55</f>
        <v/>
      </c>
      <c r="AA1761">
        <f>'02_Модель'!AA55</f>
        <v/>
      </c>
      <c r="AB1761">
        <f>'02_Модель'!AB55</f>
        <v/>
      </c>
      <c r="AC1761">
        <f>'02_Модель'!AC55</f>
        <v/>
      </c>
      <c r="AD1761">
        <f>'02_Модель'!AD55</f>
        <v/>
      </c>
      <c r="AE1761">
        <f>'02_Модель'!AE55</f>
        <v/>
      </c>
      <c r="AF1761">
        <f>'02_Модель'!AF55</f>
        <v/>
      </c>
      <c r="AG1761">
        <f>'02_Модель'!AG55</f>
        <v/>
      </c>
      <c r="AH1761">
        <f>'02_Модель'!AH55</f>
        <v/>
      </c>
      <c r="AI1761">
        <f>'02_Модель'!AI55</f>
        <v/>
      </c>
      <c r="AJ1761">
        <f>'02_Модель'!AJ55</f>
        <v/>
      </c>
      <c r="AK1761">
        <f>'02_Модель'!AK55</f>
        <v/>
      </c>
      <c r="AL1761">
        <f>'02_Модель'!AL55</f>
        <v/>
      </c>
      <c r="AM1761">
        <f>'02_Модель'!AM55</f>
        <v/>
      </c>
      <c r="AN1761">
        <f>'02_Модель'!AN55</f>
        <v/>
      </c>
      <c r="AO1761">
        <f>'02_Модель'!AO55</f>
        <v/>
      </c>
      <c r="AP1761">
        <f>'02_Модель'!AP55</f>
        <v/>
      </c>
      <c r="AQ1761">
        <f>'02_Модель'!AQ55</f>
        <v/>
      </c>
      <c r="AR1761">
        <f>'02_Модель'!AR55</f>
        <v/>
      </c>
      <c r="AS1761">
        <f>'02_Модель'!AS55</f>
        <v/>
      </c>
      <c r="AT1761">
        <f>'02_Модель'!AT55</f>
        <v/>
      </c>
      <c r="AU1761">
        <f>'02_Модель'!AU55</f>
        <v/>
      </c>
      <c r="AV1761">
        <f>'02_Модель'!AV55</f>
        <v/>
      </c>
      <c r="AW1761">
        <f>'02_Модель'!AW55</f>
        <v/>
      </c>
      <c r="AX1761">
        <f>'02_Модель'!AX55</f>
        <v/>
      </c>
      <c r="AY1761">
        <f>'02_Модель'!AY55</f>
        <v/>
      </c>
      <c r="AZ1761">
        <f>'02_Модель'!AZ55</f>
        <v/>
      </c>
      <c r="BA1761">
        <f>'02_Модель'!BA55</f>
        <v/>
      </c>
      <c r="BB1761">
        <f>'02_Модель'!BB55</f>
        <v/>
      </c>
      <c r="BC1761">
        <f>'02_Модель'!BC55</f>
        <v/>
      </c>
      <c r="BD1761">
        <f>'02_Модель'!BD55</f>
        <v/>
      </c>
      <c r="BE1761">
        <f>'02_Модель'!BE55</f>
        <v/>
      </c>
      <c r="BF1761">
        <f>'02_Модель'!BF55</f>
        <v/>
      </c>
      <c r="BG1761">
        <f>'02_Модель'!BG55</f>
        <v/>
      </c>
      <c r="BH1761">
        <f>'02_Модель'!BH55</f>
        <v/>
      </c>
      <c r="BI1761">
        <f>'02_Модель'!BI55</f>
        <v/>
      </c>
    </row>
    <row r="1762">
      <c r="B1762">
        <f>SUM('19_Расчет_аналитики'!B1758:B1761)</f>
        <v/>
      </c>
      <c r="C1762">
        <f>SUM('19_Расчет_аналитики'!C1758:C1761)</f>
        <v/>
      </c>
      <c r="D1762">
        <f>SUM('19_Расчет_аналитики'!D1758:D1761)</f>
        <v/>
      </c>
      <c r="E1762">
        <f>SUM('19_Расчет_аналитики'!E1758:E1761)</f>
        <v/>
      </c>
      <c r="F1762">
        <f>SUM('19_Расчет_аналитики'!F1758:F1761)</f>
        <v/>
      </c>
      <c r="G1762">
        <f>SUM('19_Расчет_аналитики'!G1758:G1761)</f>
        <v/>
      </c>
      <c r="H1762">
        <f>SUM('19_Расчет_аналитики'!H1758:H1761)</f>
        <v/>
      </c>
      <c r="I1762">
        <f>SUM('19_Расчет_аналитики'!I1758:I1761)</f>
        <v/>
      </c>
      <c r="J1762">
        <f>SUM('19_Расчет_аналитики'!J1758:J1761)</f>
        <v/>
      </c>
      <c r="K1762">
        <f>SUM('19_Расчет_аналитики'!K1758:K1761)</f>
        <v/>
      </c>
      <c r="L1762">
        <f>SUM('19_Расчет_аналитики'!L1758:L1761)</f>
        <v/>
      </c>
      <c r="M1762">
        <f>SUM('19_Расчет_аналитики'!M1758:M1761)</f>
        <v/>
      </c>
      <c r="N1762">
        <f>SUM('19_Расчет_аналитики'!N1758:N1761)</f>
        <v/>
      </c>
      <c r="O1762">
        <f>SUM('19_Расчет_аналитики'!O1758:O1761)</f>
        <v/>
      </c>
      <c r="P1762">
        <f>SUM('19_Расчет_аналитики'!P1758:P1761)</f>
        <v/>
      </c>
      <c r="Q1762">
        <f>SUM('19_Расчет_аналитики'!Q1758:Q1761)</f>
        <v/>
      </c>
      <c r="R1762">
        <f>SUM('19_Расчет_аналитики'!R1758:R1761)</f>
        <v/>
      </c>
      <c r="S1762">
        <f>SUM('19_Расчет_аналитики'!S1758:S1761)</f>
        <v/>
      </c>
      <c r="T1762">
        <f>SUM('19_Расчет_аналитики'!T1758:T1761)</f>
        <v/>
      </c>
      <c r="U1762">
        <f>SUM('19_Расчет_аналитики'!U1758:U1761)</f>
        <v/>
      </c>
      <c r="V1762">
        <f>SUM('19_Расчет_аналитики'!V1758:V1761)</f>
        <v/>
      </c>
      <c r="W1762">
        <f>SUM('19_Расчет_аналитики'!W1758:W1761)</f>
        <v/>
      </c>
      <c r="X1762">
        <f>SUM('19_Расчет_аналитики'!X1758:X1761)</f>
        <v/>
      </c>
      <c r="Y1762">
        <f>SUM('19_Расчет_аналитики'!Y1758:Y1761)</f>
        <v/>
      </c>
      <c r="Z1762">
        <f>SUM('19_Расчет_аналитики'!Z1758:Z1761)</f>
        <v/>
      </c>
      <c r="AA1762">
        <f>SUM('19_Расчет_аналитики'!AA1758:AA1761)</f>
        <v/>
      </c>
      <c r="AB1762">
        <f>SUM('19_Расчет_аналитики'!AB1758:AB1761)</f>
        <v/>
      </c>
      <c r="AC1762">
        <f>SUM('19_Расчет_аналитики'!AC1758:AC1761)</f>
        <v/>
      </c>
      <c r="AD1762">
        <f>SUM('19_Расчет_аналитики'!AD1758:AD1761)</f>
        <v/>
      </c>
      <c r="AE1762">
        <f>SUM('19_Расчет_аналитики'!AE1758:AE1761)</f>
        <v/>
      </c>
      <c r="AF1762">
        <f>SUM('19_Расчет_аналитики'!AF1758:AF1761)</f>
        <v/>
      </c>
      <c r="AG1762">
        <f>SUM('19_Расчет_аналитики'!AG1758:AG1761)</f>
        <v/>
      </c>
      <c r="AH1762">
        <f>SUM('19_Расчет_аналитики'!AH1758:AH1761)</f>
        <v/>
      </c>
      <c r="AI1762">
        <f>SUM('19_Расчет_аналитики'!AI1758:AI1761)</f>
        <v/>
      </c>
      <c r="AJ1762">
        <f>SUM('19_Расчет_аналитики'!AJ1758:AJ1761)</f>
        <v/>
      </c>
      <c r="AK1762">
        <f>SUM('19_Расчет_аналитики'!AK1758:AK1761)</f>
        <v/>
      </c>
      <c r="AL1762">
        <f>SUM('19_Расчет_аналитики'!AL1758:AL1761)</f>
        <v/>
      </c>
      <c r="AM1762">
        <f>SUM('19_Расчет_аналитики'!AM1758:AM1761)</f>
        <v/>
      </c>
      <c r="AN1762">
        <f>SUM('19_Расчет_аналитики'!AN1758:AN1761)</f>
        <v/>
      </c>
      <c r="AO1762">
        <f>SUM('19_Расчет_аналитики'!AO1758:AO1761)</f>
        <v/>
      </c>
      <c r="AP1762">
        <f>SUM('19_Расчет_аналитики'!AP1758:AP1761)</f>
        <v/>
      </c>
      <c r="AQ1762">
        <f>SUM('19_Расчет_аналитики'!AQ1758:AQ1761)</f>
        <v/>
      </c>
      <c r="AR1762">
        <f>SUM('19_Расчет_аналитики'!AR1758:AR1761)</f>
        <v/>
      </c>
      <c r="AS1762">
        <f>SUM('19_Расчет_аналитики'!AS1758:AS1761)</f>
        <v/>
      </c>
      <c r="AT1762">
        <f>SUM('19_Расчет_аналитики'!AT1758:AT1761)</f>
        <v/>
      </c>
      <c r="AU1762">
        <f>SUM('19_Расчет_аналитики'!AU1758:AU1761)</f>
        <v/>
      </c>
      <c r="AV1762">
        <f>SUM('19_Расчет_аналитики'!AV1758:AV1761)</f>
        <v/>
      </c>
      <c r="AW1762">
        <f>SUM('19_Расчет_аналитики'!AW1758:AW1761)</f>
        <v/>
      </c>
      <c r="AX1762">
        <f>SUM('19_Расчет_аналитики'!AX1758:AX1761)</f>
        <v/>
      </c>
      <c r="AY1762">
        <f>SUM('19_Расчет_аналитики'!AY1758:AY1761)</f>
        <v/>
      </c>
      <c r="AZ1762">
        <f>SUM('19_Расчет_аналитики'!AZ1758:AZ1761)</f>
        <v/>
      </c>
      <c r="BA1762">
        <f>SUM('19_Расчет_аналитики'!BA1758:BA1761)</f>
        <v/>
      </c>
      <c r="BB1762">
        <f>SUM('19_Расчет_аналитики'!BB1758:BB1761)</f>
        <v/>
      </c>
      <c r="BC1762">
        <f>SUM('19_Расчет_аналитики'!BC1758:BC1761)</f>
        <v/>
      </c>
      <c r="BD1762">
        <f>SUM('19_Расчет_аналитики'!BD1758:BD1761)</f>
        <v/>
      </c>
      <c r="BE1762">
        <f>SUM('19_Расчет_аналитики'!BE1758:BE1761)</f>
        <v/>
      </c>
      <c r="BF1762">
        <f>SUM('19_Расчет_аналитики'!BF1758:BF1761)</f>
        <v/>
      </c>
      <c r="BG1762">
        <f>SUM('19_Расчет_аналитики'!BG1758:BG1761)</f>
        <v/>
      </c>
      <c r="BH1762">
        <f>SUM('19_Расчет_аналитики'!BH1758:BH1761)</f>
        <v/>
      </c>
      <c r="BI1762">
        <f>SUM('19_Расчет_аналитики'!BI1758:BI1761)</f>
        <v/>
      </c>
    </row>
    <row r="1763">
      <c r="B1763">
        <f>'19_Расчет_аналитики'!B1805</f>
        <v/>
      </c>
      <c r="C1763">
        <f>'19_Расчет_аналитики'!C1805</f>
        <v/>
      </c>
      <c r="D1763">
        <f>'19_Расчет_аналитики'!D1805</f>
        <v/>
      </c>
      <c r="E1763">
        <f>'19_Расчет_аналитики'!E1805</f>
        <v/>
      </c>
      <c r="F1763">
        <f>'19_Расчет_аналитики'!F1805</f>
        <v/>
      </c>
      <c r="G1763">
        <f>'19_Расчет_аналитики'!G1805</f>
        <v/>
      </c>
      <c r="H1763">
        <f>'19_Расчет_аналитики'!H1805</f>
        <v/>
      </c>
      <c r="I1763">
        <f>'19_Расчет_аналитики'!I1805</f>
        <v/>
      </c>
      <c r="J1763">
        <f>'19_Расчет_аналитики'!J1805</f>
        <v/>
      </c>
      <c r="K1763">
        <f>'19_Расчет_аналитики'!K1805</f>
        <v/>
      </c>
      <c r="L1763">
        <f>'19_Расчет_аналитики'!L1805</f>
        <v/>
      </c>
      <c r="M1763">
        <f>'19_Расчет_аналитики'!M1805</f>
        <v/>
      </c>
      <c r="N1763">
        <f>'19_Расчет_аналитики'!N1805</f>
        <v/>
      </c>
      <c r="O1763">
        <f>'19_Расчет_аналитики'!O1805</f>
        <v/>
      </c>
      <c r="P1763">
        <f>'19_Расчет_аналитики'!P1805</f>
        <v/>
      </c>
      <c r="Q1763">
        <f>'19_Расчет_аналитики'!Q1805</f>
        <v/>
      </c>
      <c r="R1763">
        <f>'19_Расчет_аналитики'!R1805</f>
        <v/>
      </c>
      <c r="S1763">
        <f>'19_Расчет_аналитики'!S1805</f>
        <v/>
      </c>
      <c r="T1763">
        <f>'19_Расчет_аналитики'!T1805</f>
        <v/>
      </c>
      <c r="U1763">
        <f>'19_Расчет_аналитики'!U1805</f>
        <v/>
      </c>
      <c r="V1763">
        <f>'19_Расчет_аналитики'!V1805</f>
        <v/>
      </c>
      <c r="W1763">
        <f>'19_Расчет_аналитики'!W1805</f>
        <v/>
      </c>
      <c r="X1763">
        <f>'19_Расчет_аналитики'!X1805</f>
        <v/>
      </c>
      <c r="Y1763">
        <f>'19_Расчет_аналитики'!Y1805</f>
        <v/>
      </c>
      <c r="Z1763">
        <f>'19_Расчет_аналитики'!Z1805</f>
        <v/>
      </c>
      <c r="AA1763">
        <f>'19_Расчет_аналитики'!AA1805</f>
        <v/>
      </c>
      <c r="AB1763">
        <f>'19_Расчет_аналитики'!AB1805</f>
        <v/>
      </c>
      <c r="AC1763">
        <f>'19_Расчет_аналитики'!AC1805</f>
        <v/>
      </c>
      <c r="AD1763">
        <f>'19_Расчет_аналитики'!AD1805</f>
        <v/>
      </c>
      <c r="AE1763">
        <f>'19_Расчет_аналитики'!AE1805</f>
        <v/>
      </c>
      <c r="AF1763">
        <f>'19_Расчет_аналитики'!AF1805</f>
        <v/>
      </c>
      <c r="AG1763">
        <f>'19_Расчет_аналитики'!AG1805</f>
        <v/>
      </c>
      <c r="AH1763">
        <f>'19_Расчет_аналитики'!AH1805</f>
        <v/>
      </c>
      <c r="AI1763">
        <f>'19_Расчет_аналитики'!AI1805</f>
        <v/>
      </c>
      <c r="AJ1763">
        <f>'19_Расчет_аналитики'!AJ1805</f>
        <v/>
      </c>
      <c r="AK1763">
        <f>'19_Расчет_аналитики'!AK1805</f>
        <v/>
      </c>
      <c r="AL1763">
        <f>'19_Расчет_аналитики'!AL1805</f>
        <v/>
      </c>
      <c r="AM1763">
        <f>'19_Расчет_аналитики'!AM1805</f>
        <v/>
      </c>
      <c r="AN1763">
        <f>'19_Расчет_аналитики'!AN1805</f>
        <v/>
      </c>
      <c r="AO1763">
        <f>'19_Расчет_аналитики'!AO1805</f>
        <v/>
      </c>
      <c r="AP1763">
        <f>'19_Расчет_аналитики'!AP1805</f>
        <v/>
      </c>
      <c r="AQ1763">
        <f>'19_Расчет_аналитики'!AQ1805</f>
        <v/>
      </c>
      <c r="AR1763">
        <f>'19_Расчет_аналитики'!AR1805</f>
        <v/>
      </c>
      <c r="AS1763">
        <f>'19_Расчет_аналитики'!AS1805</f>
        <v/>
      </c>
      <c r="AT1763">
        <f>'19_Расчет_аналитики'!AT1805</f>
        <v/>
      </c>
      <c r="AU1763">
        <f>'19_Расчет_аналитики'!AU1805</f>
        <v/>
      </c>
      <c r="AV1763">
        <f>'19_Расчет_аналитики'!AV1805</f>
        <v/>
      </c>
      <c r="AW1763">
        <f>'19_Расчет_аналитики'!AW1805</f>
        <v/>
      </c>
      <c r="AX1763">
        <f>'19_Расчет_аналитики'!AX1805</f>
        <v/>
      </c>
      <c r="AY1763">
        <f>'19_Расчет_аналитики'!AY1805</f>
        <v/>
      </c>
      <c r="AZ1763">
        <f>'19_Расчет_аналитики'!AZ1805</f>
        <v/>
      </c>
      <c r="BA1763">
        <f>'19_Расчет_аналитики'!BA1805</f>
        <v/>
      </c>
      <c r="BB1763">
        <f>'19_Расчет_аналитики'!BB1805</f>
        <v/>
      </c>
      <c r="BC1763">
        <f>'19_Расчет_аналитики'!BC1805</f>
        <v/>
      </c>
      <c r="BD1763">
        <f>'19_Расчет_аналитики'!BD1805</f>
        <v/>
      </c>
      <c r="BE1763">
        <f>'19_Расчет_аналитики'!BE1805</f>
        <v/>
      </c>
      <c r="BF1763">
        <f>'19_Расчет_аналитики'!BF1805</f>
        <v/>
      </c>
      <c r="BG1763">
        <f>'19_Расчет_аналитики'!BG1805</f>
        <v/>
      </c>
      <c r="BH1763">
        <f>'19_Расчет_аналитики'!BH1805</f>
        <v/>
      </c>
      <c r="BI1763">
        <f>'19_Расчет_аналитики'!BI1805</f>
        <v/>
      </c>
    </row>
    <row r="1764">
      <c r="B1764">
        <f>'19_Расчет_аналитики'!B1733</f>
        <v/>
      </c>
      <c r="C1764">
        <f>'19_Расчет_аналитики'!C1733</f>
        <v/>
      </c>
      <c r="D1764">
        <f>'19_Расчет_аналитики'!D1733</f>
        <v/>
      </c>
      <c r="E1764">
        <f>'19_Расчет_аналитики'!E1733</f>
        <v/>
      </c>
      <c r="F1764">
        <f>'19_Расчет_аналитики'!F1733</f>
        <v/>
      </c>
      <c r="G1764">
        <f>'19_Расчет_аналитики'!G1733</f>
        <v/>
      </c>
      <c r="H1764">
        <f>'19_Расчет_аналитики'!H1733</f>
        <v/>
      </c>
      <c r="I1764">
        <f>'19_Расчет_аналитики'!I1733</f>
        <v/>
      </c>
      <c r="J1764">
        <f>'19_Расчет_аналитики'!J1733</f>
        <v/>
      </c>
      <c r="K1764">
        <f>'19_Расчет_аналитики'!K1733</f>
        <v/>
      </c>
      <c r="L1764">
        <f>'19_Расчет_аналитики'!L1733</f>
        <v/>
      </c>
      <c r="M1764">
        <f>'19_Расчет_аналитики'!M1733</f>
        <v/>
      </c>
      <c r="N1764">
        <f>'19_Расчет_аналитики'!N1733</f>
        <v/>
      </c>
      <c r="O1764">
        <f>'19_Расчет_аналитики'!O1733</f>
        <v/>
      </c>
      <c r="P1764">
        <f>'19_Расчет_аналитики'!P1733</f>
        <v/>
      </c>
      <c r="Q1764">
        <f>'19_Расчет_аналитики'!Q1733</f>
        <v/>
      </c>
      <c r="R1764">
        <f>'19_Расчет_аналитики'!R1733</f>
        <v/>
      </c>
      <c r="S1764">
        <f>'19_Расчет_аналитики'!S1733</f>
        <v/>
      </c>
      <c r="T1764">
        <f>'19_Расчет_аналитики'!T1733</f>
        <v/>
      </c>
      <c r="U1764">
        <f>'19_Расчет_аналитики'!U1733</f>
        <v/>
      </c>
      <c r="V1764">
        <f>'19_Расчет_аналитики'!V1733</f>
        <v/>
      </c>
      <c r="W1764">
        <f>'19_Расчет_аналитики'!W1733</f>
        <v/>
      </c>
      <c r="X1764">
        <f>'19_Расчет_аналитики'!X1733</f>
        <v/>
      </c>
      <c r="Y1764">
        <f>'19_Расчет_аналитики'!Y1733</f>
        <v/>
      </c>
      <c r="Z1764">
        <f>'19_Расчет_аналитики'!Z1733</f>
        <v/>
      </c>
      <c r="AA1764">
        <f>'19_Расчет_аналитики'!AA1733</f>
        <v/>
      </c>
      <c r="AB1764">
        <f>'19_Расчет_аналитики'!AB1733</f>
        <v/>
      </c>
      <c r="AC1764">
        <f>'19_Расчет_аналитики'!AC1733</f>
        <v/>
      </c>
      <c r="AD1764">
        <f>'19_Расчет_аналитики'!AD1733</f>
        <v/>
      </c>
      <c r="AE1764">
        <f>'19_Расчет_аналитики'!AE1733</f>
        <v/>
      </c>
      <c r="AF1764">
        <f>'19_Расчет_аналитики'!AF1733</f>
        <v/>
      </c>
      <c r="AG1764">
        <f>'19_Расчет_аналитики'!AG1733</f>
        <v/>
      </c>
      <c r="AH1764">
        <f>'19_Расчет_аналитики'!AH1733</f>
        <v/>
      </c>
      <c r="AI1764">
        <f>'19_Расчет_аналитики'!AI1733</f>
        <v/>
      </c>
      <c r="AJ1764">
        <f>'19_Расчет_аналитики'!AJ1733</f>
        <v/>
      </c>
      <c r="AK1764">
        <f>'19_Расчет_аналитики'!AK1733</f>
        <v/>
      </c>
      <c r="AL1764">
        <f>'19_Расчет_аналитики'!AL1733</f>
        <v/>
      </c>
      <c r="AM1764">
        <f>'19_Расчет_аналитики'!AM1733</f>
        <v/>
      </c>
      <c r="AN1764">
        <f>'19_Расчет_аналитики'!AN1733</f>
        <v/>
      </c>
      <c r="AO1764">
        <f>'19_Расчет_аналитики'!AO1733</f>
        <v/>
      </c>
      <c r="AP1764">
        <f>'19_Расчет_аналитики'!AP1733</f>
        <v/>
      </c>
      <c r="AQ1764">
        <f>'19_Расчет_аналитики'!AQ1733</f>
        <v/>
      </c>
      <c r="AR1764">
        <f>'19_Расчет_аналитики'!AR1733</f>
        <v/>
      </c>
      <c r="AS1764">
        <f>'19_Расчет_аналитики'!AS1733</f>
        <v/>
      </c>
      <c r="AT1764">
        <f>'19_Расчет_аналитики'!AT1733</f>
        <v/>
      </c>
      <c r="AU1764">
        <f>'19_Расчет_аналитики'!AU1733</f>
        <v/>
      </c>
      <c r="AV1764">
        <f>'19_Расчет_аналитики'!AV1733</f>
        <v/>
      </c>
      <c r="AW1764">
        <f>'19_Расчет_аналитики'!AW1733</f>
        <v/>
      </c>
      <c r="AX1764">
        <f>'19_Расчет_аналитики'!AX1733</f>
        <v/>
      </c>
      <c r="AY1764">
        <f>'19_Расчет_аналитики'!AY1733</f>
        <v/>
      </c>
      <c r="AZ1764">
        <f>'19_Расчет_аналитики'!AZ1733</f>
        <v/>
      </c>
      <c r="BA1764">
        <f>'19_Расчет_аналитики'!BA1733</f>
        <v/>
      </c>
      <c r="BB1764">
        <f>'19_Расчет_аналитики'!BB1733</f>
        <v/>
      </c>
      <c r="BC1764">
        <f>'19_Расчет_аналитики'!BC1733</f>
        <v/>
      </c>
      <c r="BD1764">
        <f>'19_Расчет_аналитики'!BD1733</f>
        <v/>
      </c>
      <c r="BE1764">
        <f>'19_Расчет_аналитики'!BE1733</f>
        <v/>
      </c>
      <c r="BF1764">
        <f>'19_Расчет_аналитики'!BF1733</f>
        <v/>
      </c>
      <c r="BG1764">
        <f>'19_Расчет_аналитики'!BG1733</f>
        <v/>
      </c>
      <c r="BH1764">
        <f>'19_Расчет_аналитики'!BH1733</f>
        <v/>
      </c>
      <c r="BI1764">
        <f>'19_Расчет_аналитики'!BI1733</f>
        <v/>
      </c>
    </row>
    <row r="1765">
      <c r="B1765">
        <f>'01_Вводные'!$B$21*('19_Расчет_аналитики'!B1743+'02_Модель'!B38+'02_Модель'!B39+'02_Модель'!B40+'02_Модель'!B41+'19_Расчет_аналитики'!B1748+'19_Расчет_аналитики'!B1638)+(1-'01_Вводные'!$B$21)*0</f>
        <v/>
      </c>
      <c r="C1765">
        <f>'01_Вводные'!$B$21*('19_Расчет_аналитики'!C1743+'02_Модель'!C38+'02_Модель'!C39+'02_Модель'!C40+'02_Модель'!C41+'19_Расчет_аналитики'!C1748+'19_Расчет_аналитики'!C1638)+(1-'01_Вводные'!$B$21)*('19_Расчет_аналитики'!B1743+'02_Модель'!B38+'02_Модель'!B39+'02_Модель'!B40+'02_Модель'!B41+'19_Расчет_аналитики'!B1748+'19_Расчет_аналитики'!B1638)</f>
        <v/>
      </c>
      <c r="D1765">
        <f>'01_Вводные'!$B$21*('19_Расчет_аналитики'!D1743+'02_Модель'!D38+'02_Модель'!D39+'02_Модель'!D40+'02_Модель'!D41+'19_Расчет_аналитики'!D1748+'19_Расчет_аналитики'!D1638)+(1-'01_Вводные'!$B$21)*('19_Расчет_аналитики'!C1743+'02_Модель'!C38+'02_Модель'!C39+'02_Модель'!C40+'02_Модель'!C41+'19_Расчет_аналитики'!C1748+'19_Расчет_аналитики'!C1638)</f>
        <v/>
      </c>
      <c r="E1765">
        <f>'01_Вводные'!$B$21*('19_Расчет_аналитики'!E1743+'02_Модель'!E38+'02_Модель'!E39+'02_Модель'!E40+'02_Модель'!E41+'19_Расчет_аналитики'!E1748+'19_Расчет_аналитики'!E1638)+(1-'01_Вводные'!$B$21)*('19_Расчет_аналитики'!D1743+'02_Модель'!D38+'02_Модель'!D39+'02_Модель'!D40+'02_Модель'!D41+'19_Расчет_аналитики'!D1748+'19_Расчет_аналитики'!D1638)</f>
        <v/>
      </c>
      <c r="F1765">
        <f>'01_Вводные'!$B$21*('19_Расчет_аналитики'!F1743+'02_Модель'!F38+'02_Модель'!F39+'02_Модель'!F40+'02_Модель'!F41+'19_Расчет_аналитики'!F1748+'19_Расчет_аналитики'!F1638)+(1-'01_Вводные'!$B$21)*('19_Расчет_аналитики'!E1743+'02_Модель'!E38+'02_Модель'!E39+'02_Модель'!E40+'02_Модель'!E41+'19_Расчет_аналитики'!E1748+'19_Расчет_аналитики'!E1638)</f>
        <v/>
      </c>
      <c r="G1765">
        <f>'01_Вводные'!$B$21*('19_Расчет_аналитики'!G1743+'02_Модель'!G38+'02_Модель'!G39+'02_Модель'!G40+'02_Модель'!G41+'19_Расчет_аналитики'!G1748+'19_Расчет_аналитики'!G1638)+(1-'01_Вводные'!$B$21)*('19_Расчет_аналитики'!F1743+'02_Модель'!F38+'02_Модель'!F39+'02_Модель'!F40+'02_Модель'!F41+'19_Расчет_аналитики'!F1748+'19_Расчет_аналитики'!F1638)</f>
        <v/>
      </c>
      <c r="H1765">
        <f>'01_Вводные'!$B$21*('19_Расчет_аналитики'!H1743+'02_Модель'!H38+'02_Модель'!H39+'02_Модель'!H40+'02_Модель'!H41+'19_Расчет_аналитики'!H1748+'19_Расчет_аналитики'!H1638)+(1-'01_Вводные'!$B$21)*('19_Расчет_аналитики'!G1743+'02_Модель'!G38+'02_Модель'!G39+'02_Модель'!G40+'02_Модель'!G41+'19_Расчет_аналитики'!G1748+'19_Расчет_аналитики'!G1638)</f>
        <v/>
      </c>
      <c r="I1765">
        <f>'01_Вводные'!$B$21*('19_Расчет_аналитики'!I1743+'02_Модель'!I38+'02_Модель'!I39+'02_Модель'!I40+'02_Модель'!I41+'19_Расчет_аналитики'!I1748+'19_Расчет_аналитики'!I1638)+(1-'01_Вводные'!$B$21)*('19_Расчет_аналитики'!H1743+'02_Модель'!H38+'02_Модель'!H39+'02_Модель'!H40+'02_Модель'!H41+'19_Расчет_аналитики'!H1748+'19_Расчет_аналитики'!H1638)</f>
        <v/>
      </c>
      <c r="J1765">
        <f>'01_Вводные'!$B$21*('19_Расчет_аналитики'!J1743+'02_Модель'!J38+'02_Модель'!J39+'02_Модель'!J40+'02_Модель'!J41+'19_Расчет_аналитики'!J1748+'19_Расчет_аналитики'!J1638)+(1-'01_Вводные'!$B$21)*('19_Расчет_аналитики'!I1743+'02_Модель'!I38+'02_Модель'!I39+'02_Модель'!I40+'02_Модель'!I41+'19_Расчет_аналитики'!I1748+'19_Расчет_аналитики'!I1638)</f>
        <v/>
      </c>
      <c r="K1765">
        <f>'01_Вводные'!$B$21*('19_Расчет_аналитики'!K1743+'02_Модель'!K38+'02_Модель'!K39+'02_Модель'!K40+'02_Модель'!K41+'19_Расчет_аналитики'!K1748+'19_Расчет_аналитики'!K1638)+(1-'01_Вводные'!$B$21)*('19_Расчет_аналитики'!J1743+'02_Модель'!J38+'02_Модель'!J39+'02_Модель'!J40+'02_Модель'!J41+'19_Расчет_аналитики'!J1748+'19_Расчет_аналитики'!J1638)</f>
        <v/>
      </c>
      <c r="L1765">
        <f>'01_Вводные'!$B$21*('19_Расчет_аналитики'!L1743+'02_Модель'!L38+'02_Модель'!L39+'02_Модель'!L40+'02_Модель'!L41+'19_Расчет_аналитики'!L1748+'19_Расчет_аналитики'!L1638)+(1-'01_Вводные'!$B$21)*('19_Расчет_аналитики'!K1743+'02_Модель'!K38+'02_Модель'!K39+'02_Модель'!K40+'02_Модель'!K41+'19_Расчет_аналитики'!K1748+'19_Расчет_аналитики'!K1638)</f>
        <v/>
      </c>
      <c r="M1765">
        <f>'01_Вводные'!$B$21*('19_Расчет_аналитики'!M1743+'02_Модель'!M38+'02_Модель'!M39+'02_Модель'!M40+'02_Модель'!M41+'19_Расчет_аналитики'!M1748+'19_Расчет_аналитики'!M1638)+(1-'01_Вводные'!$B$21)*('19_Расчет_аналитики'!L1743+'02_Модель'!L38+'02_Модель'!L39+'02_Модель'!L40+'02_Модель'!L41+'19_Расчет_аналитики'!L1748+'19_Расчет_аналитики'!L1638)</f>
        <v/>
      </c>
      <c r="N1765">
        <f>'01_Вводные'!$B$21*('19_Расчет_аналитики'!N1743+'02_Модель'!N38+'02_Модель'!N39+'02_Модель'!N40+'02_Модель'!N41+'19_Расчет_аналитики'!N1748+'19_Расчет_аналитики'!N1638)+(1-'01_Вводные'!$B$21)*('19_Расчет_аналитики'!M1743+'02_Модель'!M38+'02_Модель'!M39+'02_Модель'!M40+'02_Модель'!M41+'19_Расчет_аналитики'!M1748+'19_Расчет_аналитики'!M1638)</f>
        <v/>
      </c>
      <c r="O1765">
        <f>'01_Вводные'!$B$21*('19_Расчет_аналитики'!O1743+'02_Модель'!O38+'02_Модель'!O39+'02_Модель'!O40+'02_Модель'!O41+'19_Расчет_аналитики'!O1748+'19_Расчет_аналитики'!O1638)+(1-'01_Вводные'!$B$21)*('19_Расчет_аналитики'!N1743+'02_Модель'!N38+'02_Модель'!N39+'02_Модель'!N40+'02_Модель'!N41+'19_Расчет_аналитики'!N1748+'19_Расчет_аналитики'!N1638)</f>
        <v/>
      </c>
      <c r="P1765">
        <f>'01_Вводные'!$B$21*('19_Расчет_аналитики'!P1743+'02_Модель'!P38+'02_Модель'!P39+'02_Модель'!P40+'02_Модель'!P41+'19_Расчет_аналитики'!P1748+'19_Расчет_аналитики'!P1638)+(1-'01_Вводные'!$B$21)*('19_Расчет_аналитики'!O1743+'02_Модель'!O38+'02_Модель'!O39+'02_Модель'!O40+'02_Модель'!O41+'19_Расчет_аналитики'!O1748+'19_Расчет_аналитики'!O1638)</f>
        <v/>
      </c>
      <c r="Q1765">
        <f>'01_Вводные'!$B$21*('19_Расчет_аналитики'!Q1743+'02_Модель'!Q38+'02_Модель'!Q39+'02_Модель'!Q40+'02_Модель'!Q41+'19_Расчет_аналитики'!Q1748+'19_Расчет_аналитики'!Q1638)+(1-'01_Вводные'!$B$21)*('19_Расчет_аналитики'!P1743+'02_Модель'!P38+'02_Модель'!P39+'02_Модель'!P40+'02_Модель'!P41+'19_Расчет_аналитики'!P1748+'19_Расчет_аналитики'!P1638)</f>
        <v/>
      </c>
      <c r="R1765">
        <f>'01_Вводные'!$B$21*('19_Расчет_аналитики'!R1743+'02_Модель'!R38+'02_Модель'!R39+'02_Модель'!R40+'02_Модель'!R41+'19_Расчет_аналитики'!R1748+'19_Расчет_аналитики'!R1638)+(1-'01_Вводные'!$B$21)*('19_Расчет_аналитики'!Q1743+'02_Модель'!Q38+'02_Модель'!Q39+'02_Модель'!Q40+'02_Модель'!Q41+'19_Расчет_аналитики'!Q1748+'19_Расчет_аналитики'!Q1638)</f>
        <v/>
      </c>
      <c r="S1765">
        <f>'01_Вводные'!$B$21*('19_Расчет_аналитики'!S1743+'02_Модель'!S38+'02_Модель'!S39+'02_Модель'!S40+'02_Модель'!S41+'19_Расчет_аналитики'!S1748+'19_Расчет_аналитики'!S1638)+(1-'01_Вводные'!$B$21)*('19_Расчет_аналитики'!R1743+'02_Модель'!R38+'02_Модель'!R39+'02_Модель'!R40+'02_Модель'!R41+'19_Расчет_аналитики'!R1748+'19_Расчет_аналитики'!R1638)</f>
        <v/>
      </c>
      <c r="T1765">
        <f>'01_Вводные'!$B$21*('19_Расчет_аналитики'!T1743+'02_Модель'!T38+'02_Модель'!T39+'02_Модель'!T40+'02_Модель'!T41+'19_Расчет_аналитики'!T1748+'19_Расчет_аналитики'!T1638)+(1-'01_Вводные'!$B$21)*('19_Расчет_аналитики'!S1743+'02_Модель'!S38+'02_Модель'!S39+'02_Модель'!S40+'02_Модель'!S41+'19_Расчет_аналитики'!S1748+'19_Расчет_аналитики'!S1638)</f>
        <v/>
      </c>
      <c r="U1765">
        <f>'01_Вводные'!$B$21*('19_Расчет_аналитики'!U1743+'02_Модель'!U38+'02_Модель'!U39+'02_Модель'!U40+'02_Модель'!U41+'19_Расчет_аналитики'!U1748+'19_Расчет_аналитики'!U1638)+(1-'01_Вводные'!$B$21)*('19_Расчет_аналитики'!T1743+'02_Модель'!T38+'02_Модель'!T39+'02_Модель'!T40+'02_Модель'!T41+'19_Расчет_аналитики'!T1748+'19_Расчет_аналитики'!T1638)</f>
        <v/>
      </c>
      <c r="V1765">
        <f>'01_Вводные'!$B$21*('19_Расчет_аналитики'!V1743+'02_Модель'!V38+'02_Модель'!V39+'02_Модель'!V40+'02_Модель'!V41+'19_Расчет_аналитики'!V1748+'19_Расчет_аналитики'!V1638)+(1-'01_Вводные'!$B$21)*('19_Расчет_аналитики'!U1743+'02_Модель'!U38+'02_Модель'!U39+'02_Модель'!U40+'02_Модель'!U41+'19_Расчет_аналитики'!U1748+'19_Расчет_аналитики'!U1638)</f>
        <v/>
      </c>
      <c r="W1765">
        <f>'01_Вводные'!$B$21*('19_Расчет_аналитики'!W1743+'02_Модель'!W38+'02_Модель'!W39+'02_Модель'!W40+'02_Модель'!W41+'19_Расчет_аналитики'!W1748+'19_Расчет_аналитики'!W1638)+(1-'01_Вводные'!$B$21)*('19_Расчет_аналитики'!V1743+'02_Модель'!V38+'02_Модель'!V39+'02_Модель'!V40+'02_Модель'!V41+'19_Расчет_аналитики'!V1748+'19_Расчет_аналитики'!V1638)</f>
        <v/>
      </c>
      <c r="X1765">
        <f>'01_Вводные'!$B$21*('19_Расчет_аналитики'!X1743+'02_Модель'!X38+'02_Модель'!X39+'02_Модель'!X40+'02_Модель'!X41+'19_Расчет_аналитики'!X1748+'19_Расчет_аналитики'!X1638)+(1-'01_Вводные'!$B$21)*('19_Расчет_аналитики'!W1743+'02_Модель'!W38+'02_Модель'!W39+'02_Модель'!W40+'02_Модель'!W41+'19_Расчет_аналитики'!W1748+'19_Расчет_аналитики'!W1638)</f>
        <v/>
      </c>
      <c r="Y1765">
        <f>'01_Вводные'!$B$21*('19_Расчет_аналитики'!Y1743+'02_Модель'!Y38+'02_Модель'!Y39+'02_Модель'!Y40+'02_Модель'!Y41+'19_Расчет_аналитики'!Y1748+'19_Расчет_аналитики'!Y1638)+(1-'01_Вводные'!$B$21)*('19_Расчет_аналитики'!X1743+'02_Модель'!X38+'02_Модель'!X39+'02_Модель'!X40+'02_Модель'!X41+'19_Расчет_аналитики'!X1748+'19_Расчет_аналитики'!X1638)</f>
        <v/>
      </c>
      <c r="Z1765">
        <f>'01_Вводные'!$B$21*('19_Расчет_аналитики'!Z1743+'02_Модель'!Z38+'02_Модель'!Z39+'02_Модель'!Z40+'02_Модель'!Z41+'19_Расчет_аналитики'!Z1748+'19_Расчет_аналитики'!Z1638)+(1-'01_Вводные'!$B$21)*('19_Расчет_аналитики'!Y1743+'02_Модель'!Y38+'02_Модель'!Y39+'02_Модель'!Y40+'02_Модель'!Y41+'19_Расчет_аналитики'!Y1748+'19_Расчет_аналитики'!Y1638)</f>
        <v/>
      </c>
      <c r="AA1765">
        <f>'01_Вводные'!$B$21*('19_Расчет_аналитики'!AA1743+'02_Модель'!AA38+'02_Модель'!AA39+'02_Модель'!AA40+'02_Модель'!AA41+'19_Расчет_аналитики'!AA1748+'19_Расчет_аналитики'!AA1638)+(1-'01_Вводные'!$B$21)*('19_Расчет_аналитики'!Z1743+'02_Модель'!Z38+'02_Модель'!Z39+'02_Модель'!Z40+'02_Модель'!Z41+'19_Расчет_аналитики'!Z1748+'19_Расчет_аналитики'!Z1638)</f>
        <v/>
      </c>
      <c r="AB1765">
        <f>'01_Вводные'!$B$21*('19_Расчет_аналитики'!AB1743+'02_Модель'!AB38+'02_Модель'!AB39+'02_Модель'!AB40+'02_Модель'!AB41+'19_Расчет_аналитики'!AB1748+'19_Расчет_аналитики'!AB1638)+(1-'01_Вводные'!$B$21)*('19_Расчет_аналитики'!AA1743+'02_Модель'!AA38+'02_Модель'!AA39+'02_Модель'!AA40+'02_Модель'!AA41+'19_Расчет_аналитики'!AA1748+'19_Расчет_аналитики'!AA1638)</f>
        <v/>
      </c>
      <c r="AC1765">
        <f>'01_Вводные'!$B$21*('19_Расчет_аналитики'!AC1743+'02_Модель'!AC38+'02_Модель'!AC39+'02_Модель'!AC40+'02_Модель'!AC41+'19_Расчет_аналитики'!AC1748+'19_Расчет_аналитики'!AC1638)+(1-'01_Вводные'!$B$21)*('19_Расчет_аналитики'!AB1743+'02_Модель'!AB38+'02_Модель'!AB39+'02_Модель'!AB40+'02_Модель'!AB41+'19_Расчет_аналитики'!AB1748+'19_Расчет_аналитики'!AB1638)</f>
        <v/>
      </c>
      <c r="AD1765">
        <f>'01_Вводные'!$B$21*('19_Расчет_аналитики'!AD1743+'02_Модель'!AD38+'02_Модель'!AD39+'02_Модель'!AD40+'02_Модель'!AD41+'19_Расчет_аналитики'!AD1748+'19_Расчет_аналитики'!AD1638)+(1-'01_Вводные'!$B$21)*('19_Расчет_аналитики'!AC1743+'02_Модель'!AC38+'02_Модель'!AC39+'02_Модель'!AC40+'02_Модель'!AC41+'19_Расчет_аналитики'!AC1748+'19_Расчет_аналитики'!AC1638)</f>
        <v/>
      </c>
      <c r="AE1765">
        <f>'01_Вводные'!$B$21*('19_Расчет_аналитики'!AE1743+'02_Модель'!AE38+'02_Модель'!AE39+'02_Модель'!AE40+'02_Модель'!AE41+'19_Расчет_аналитики'!AE1748+'19_Расчет_аналитики'!AE1638)+(1-'01_Вводные'!$B$21)*('19_Расчет_аналитики'!AD1743+'02_Модель'!AD38+'02_Модель'!AD39+'02_Модель'!AD40+'02_Модель'!AD41+'19_Расчет_аналитики'!AD1748+'19_Расчет_аналитики'!AD1638)</f>
        <v/>
      </c>
      <c r="AF1765">
        <f>'01_Вводные'!$B$21*('19_Расчет_аналитики'!AF1743+'02_Модель'!AF38+'02_Модель'!AF39+'02_Модель'!AF40+'02_Модель'!AF41+'19_Расчет_аналитики'!AF1748+'19_Расчет_аналитики'!AF1638)+(1-'01_Вводные'!$B$21)*('19_Расчет_аналитики'!AE1743+'02_Модель'!AE38+'02_Модель'!AE39+'02_Модель'!AE40+'02_Модель'!AE41+'19_Расчет_аналитики'!AE1748+'19_Расчет_аналитики'!AE1638)</f>
        <v/>
      </c>
      <c r="AG1765">
        <f>'01_Вводные'!$B$21*('19_Расчет_аналитики'!AG1743+'02_Модель'!AG38+'02_Модель'!AG39+'02_Модель'!AG40+'02_Модель'!AG41+'19_Расчет_аналитики'!AG1748+'19_Расчет_аналитики'!AG1638)+(1-'01_Вводные'!$B$21)*('19_Расчет_аналитики'!AF1743+'02_Модель'!AF38+'02_Модель'!AF39+'02_Модель'!AF40+'02_Модель'!AF41+'19_Расчет_аналитики'!AF1748+'19_Расчет_аналитики'!AF1638)</f>
        <v/>
      </c>
      <c r="AH1765">
        <f>'01_Вводные'!$B$21*('19_Расчет_аналитики'!AH1743+'02_Модель'!AH38+'02_Модель'!AH39+'02_Модель'!AH40+'02_Модель'!AH41+'19_Расчет_аналитики'!AH1748+'19_Расчет_аналитики'!AH1638)+(1-'01_Вводные'!$B$21)*('19_Расчет_аналитики'!AG1743+'02_Модель'!AG38+'02_Модель'!AG39+'02_Модель'!AG40+'02_Модель'!AG41+'19_Расчет_аналитики'!AG1748+'19_Расчет_аналитики'!AG1638)</f>
        <v/>
      </c>
      <c r="AI1765">
        <f>'01_Вводные'!$B$21*('19_Расчет_аналитики'!AI1743+'02_Модель'!AI38+'02_Модель'!AI39+'02_Модель'!AI40+'02_Модель'!AI41+'19_Расчет_аналитики'!AI1748+'19_Расчет_аналитики'!AI1638)+(1-'01_Вводные'!$B$21)*('19_Расчет_аналитики'!AH1743+'02_Модель'!AH38+'02_Модель'!AH39+'02_Модель'!AH40+'02_Модель'!AH41+'19_Расчет_аналитики'!AH1748+'19_Расчет_аналитики'!AH1638)</f>
        <v/>
      </c>
      <c r="AJ1765">
        <f>'01_Вводные'!$B$21*('19_Расчет_аналитики'!AJ1743+'02_Модель'!AJ38+'02_Модель'!AJ39+'02_Модель'!AJ40+'02_Модель'!AJ41+'19_Расчет_аналитики'!AJ1748+'19_Расчет_аналитики'!AJ1638)+(1-'01_Вводные'!$B$21)*('19_Расчет_аналитики'!AI1743+'02_Модель'!AI38+'02_Модель'!AI39+'02_Модель'!AI40+'02_Модель'!AI41+'19_Расчет_аналитики'!AI1748+'19_Расчет_аналитики'!AI1638)</f>
        <v/>
      </c>
      <c r="AK1765">
        <f>'01_Вводные'!$B$21*('19_Расчет_аналитики'!AK1743+'02_Модель'!AK38+'02_Модель'!AK39+'02_Модель'!AK40+'02_Модель'!AK41+'19_Расчет_аналитики'!AK1748+'19_Расчет_аналитики'!AK1638)+(1-'01_Вводные'!$B$21)*('19_Расчет_аналитики'!AJ1743+'02_Модель'!AJ38+'02_Модель'!AJ39+'02_Модель'!AJ40+'02_Модель'!AJ41+'19_Расчет_аналитики'!AJ1748+'19_Расчет_аналитики'!AJ1638)</f>
        <v/>
      </c>
      <c r="AL1765">
        <f>'01_Вводные'!$B$21*('19_Расчет_аналитики'!AL1743+'02_Модель'!AL38+'02_Модель'!AL39+'02_Модель'!AL40+'02_Модель'!AL41+'19_Расчет_аналитики'!AL1748+'19_Расчет_аналитики'!AL1638)+(1-'01_Вводные'!$B$21)*('19_Расчет_аналитики'!AK1743+'02_Модель'!AK38+'02_Модель'!AK39+'02_Модель'!AK40+'02_Модель'!AK41+'19_Расчет_аналитики'!AK1748+'19_Расчет_аналитики'!AK1638)</f>
        <v/>
      </c>
      <c r="AM1765">
        <f>'01_Вводные'!$B$21*('19_Расчет_аналитики'!AM1743+'02_Модель'!AM38+'02_Модель'!AM39+'02_Модель'!AM40+'02_Модель'!AM41+'19_Расчет_аналитики'!AM1748+'19_Расчет_аналитики'!AM1638)+(1-'01_Вводные'!$B$21)*('19_Расчет_аналитики'!AL1743+'02_Модель'!AL38+'02_Модель'!AL39+'02_Модель'!AL40+'02_Модель'!AL41+'19_Расчет_аналитики'!AL1748+'19_Расчет_аналитики'!AL1638)</f>
        <v/>
      </c>
      <c r="AN1765">
        <f>'01_Вводные'!$B$21*('19_Расчет_аналитики'!AN1743+'02_Модель'!AN38+'02_Модель'!AN39+'02_Модель'!AN40+'02_Модель'!AN41+'19_Расчет_аналитики'!AN1748+'19_Расчет_аналитики'!AN1638)+(1-'01_Вводные'!$B$21)*('19_Расчет_аналитики'!AM1743+'02_Модель'!AM38+'02_Модель'!AM39+'02_Модель'!AM40+'02_Модель'!AM41+'19_Расчет_аналитики'!AM1748+'19_Расчет_аналитики'!AM1638)</f>
        <v/>
      </c>
      <c r="AO1765">
        <f>'01_Вводные'!$B$21*('19_Расчет_аналитики'!AO1743+'02_Модель'!AO38+'02_Модель'!AO39+'02_Модель'!AO40+'02_Модель'!AO41+'19_Расчет_аналитики'!AO1748+'19_Расчет_аналитики'!AO1638)+(1-'01_Вводные'!$B$21)*('19_Расчет_аналитики'!AN1743+'02_Модель'!AN38+'02_Модель'!AN39+'02_Модель'!AN40+'02_Модель'!AN41+'19_Расчет_аналитики'!AN1748+'19_Расчет_аналитики'!AN1638)</f>
        <v/>
      </c>
      <c r="AP1765">
        <f>'01_Вводные'!$B$21*('19_Расчет_аналитики'!AP1743+'02_Модель'!AP38+'02_Модель'!AP39+'02_Модель'!AP40+'02_Модель'!AP41+'19_Расчет_аналитики'!AP1748+'19_Расчет_аналитики'!AP1638)+(1-'01_Вводные'!$B$21)*('19_Расчет_аналитики'!AO1743+'02_Модель'!AO38+'02_Модель'!AO39+'02_Модель'!AO40+'02_Модель'!AO41+'19_Расчет_аналитики'!AO1748+'19_Расчет_аналитики'!AO1638)</f>
        <v/>
      </c>
      <c r="AQ1765">
        <f>'01_Вводные'!$B$21*('19_Расчет_аналитики'!AQ1743+'02_Модель'!AQ38+'02_Модель'!AQ39+'02_Модель'!AQ40+'02_Модель'!AQ41+'19_Расчет_аналитики'!AQ1748+'19_Расчет_аналитики'!AQ1638)+(1-'01_Вводные'!$B$21)*('19_Расчет_аналитики'!AP1743+'02_Модель'!AP38+'02_Модель'!AP39+'02_Модель'!AP40+'02_Модель'!AP41+'19_Расчет_аналитики'!AP1748+'19_Расчет_аналитики'!AP1638)</f>
        <v/>
      </c>
      <c r="AR1765">
        <f>'01_Вводные'!$B$21*('19_Расчет_аналитики'!AR1743+'02_Модель'!AR38+'02_Модель'!AR39+'02_Модель'!AR40+'02_Модель'!AR41+'19_Расчет_аналитики'!AR1748+'19_Расчет_аналитики'!AR1638)+(1-'01_Вводные'!$B$21)*('19_Расчет_аналитики'!AQ1743+'02_Модель'!AQ38+'02_Модель'!AQ39+'02_Модель'!AQ40+'02_Модель'!AQ41+'19_Расчет_аналитики'!AQ1748+'19_Расчет_аналитики'!AQ1638)</f>
        <v/>
      </c>
      <c r="AS1765">
        <f>'01_Вводные'!$B$21*('19_Расчет_аналитики'!AS1743+'02_Модель'!AS38+'02_Модель'!AS39+'02_Модель'!AS40+'02_Модель'!AS41+'19_Расчет_аналитики'!AS1748+'19_Расчет_аналитики'!AS1638)+(1-'01_Вводные'!$B$21)*('19_Расчет_аналитики'!AR1743+'02_Модель'!AR38+'02_Модель'!AR39+'02_Модель'!AR40+'02_Модель'!AR41+'19_Расчет_аналитики'!AR1748+'19_Расчет_аналитики'!AR1638)</f>
        <v/>
      </c>
      <c r="AT1765">
        <f>'01_Вводные'!$B$21*('19_Расчет_аналитики'!AT1743+'02_Модель'!AT38+'02_Модель'!AT39+'02_Модель'!AT40+'02_Модель'!AT41+'19_Расчет_аналитики'!AT1748+'19_Расчет_аналитики'!AT1638)+(1-'01_Вводные'!$B$21)*('19_Расчет_аналитики'!AS1743+'02_Модель'!AS38+'02_Модель'!AS39+'02_Модель'!AS40+'02_Модель'!AS41+'19_Расчет_аналитики'!AS1748+'19_Расчет_аналитики'!AS1638)</f>
        <v/>
      </c>
      <c r="AU1765">
        <f>'01_Вводные'!$B$21*('19_Расчет_аналитики'!AU1743+'02_Модель'!AU38+'02_Модель'!AU39+'02_Модель'!AU40+'02_Модель'!AU41+'19_Расчет_аналитики'!AU1748+'19_Расчет_аналитики'!AU1638)+(1-'01_Вводные'!$B$21)*('19_Расчет_аналитики'!AT1743+'02_Модель'!AT38+'02_Модель'!AT39+'02_Модель'!AT40+'02_Модель'!AT41+'19_Расчет_аналитики'!AT1748+'19_Расчет_аналитики'!AT1638)</f>
        <v/>
      </c>
      <c r="AV1765">
        <f>'01_Вводные'!$B$21*('19_Расчет_аналитики'!AV1743+'02_Модель'!AV38+'02_Модель'!AV39+'02_Модель'!AV40+'02_Модель'!AV41+'19_Расчет_аналитики'!AV1748+'19_Расчет_аналитики'!AV1638)+(1-'01_Вводные'!$B$21)*('19_Расчет_аналитики'!AU1743+'02_Модель'!AU38+'02_Модель'!AU39+'02_Модель'!AU40+'02_Модель'!AU41+'19_Расчет_аналитики'!AU1748+'19_Расчет_аналитики'!AU1638)</f>
        <v/>
      </c>
      <c r="AW1765">
        <f>'01_Вводные'!$B$21*('19_Расчет_аналитики'!AW1743+'02_Модель'!AW38+'02_Модель'!AW39+'02_Модель'!AW40+'02_Модель'!AW41+'19_Расчет_аналитики'!AW1748+'19_Расчет_аналитики'!AW1638)+(1-'01_Вводные'!$B$21)*('19_Расчет_аналитики'!AV1743+'02_Модель'!AV38+'02_Модель'!AV39+'02_Модель'!AV40+'02_Модель'!AV41+'19_Расчет_аналитики'!AV1748+'19_Расчет_аналитики'!AV1638)</f>
        <v/>
      </c>
      <c r="AX1765">
        <f>'01_Вводные'!$B$21*('19_Расчет_аналитики'!AX1743+'02_Модель'!AX38+'02_Модель'!AX39+'02_Модель'!AX40+'02_Модель'!AX41+'19_Расчет_аналитики'!AX1748+'19_Расчет_аналитики'!AX1638)+(1-'01_Вводные'!$B$21)*('19_Расчет_аналитики'!AW1743+'02_Модель'!AW38+'02_Модель'!AW39+'02_Модель'!AW40+'02_Модель'!AW41+'19_Расчет_аналитики'!AW1748+'19_Расчет_аналитики'!AW1638)</f>
        <v/>
      </c>
      <c r="AY1765">
        <f>'01_Вводные'!$B$21*('19_Расчет_аналитики'!AY1743+'02_Модель'!AY38+'02_Модель'!AY39+'02_Модель'!AY40+'02_Модель'!AY41+'19_Расчет_аналитики'!AY1748+'19_Расчет_аналитики'!AY1638)+(1-'01_Вводные'!$B$21)*('19_Расчет_аналитики'!AX1743+'02_Модель'!AX38+'02_Модель'!AX39+'02_Модель'!AX40+'02_Модель'!AX41+'19_Расчет_аналитики'!AX1748+'19_Расчет_аналитики'!AX1638)</f>
        <v/>
      </c>
      <c r="AZ1765">
        <f>'01_Вводные'!$B$21*('19_Расчет_аналитики'!AZ1743+'02_Модель'!AZ38+'02_Модель'!AZ39+'02_Модель'!AZ40+'02_Модель'!AZ41+'19_Расчет_аналитики'!AZ1748+'19_Расчет_аналитики'!AZ1638)+(1-'01_Вводные'!$B$21)*('19_Расчет_аналитики'!AY1743+'02_Модель'!AY38+'02_Модель'!AY39+'02_Модель'!AY40+'02_Модель'!AY41+'19_Расчет_аналитики'!AY1748+'19_Расчет_аналитики'!AY1638)</f>
        <v/>
      </c>
      <c r="BA1765">
        <f>'01_Вводные'!$B$21*('19_Расчет_аналитики'!BA1743+'02_Модель'!BA38+'02_Модель'!BA39+'02_Модель'!BA40+'02_Модель'!BA41+'19_Расчет_аналитики'!BA1748+'19_Расчет_аналитики'!BA1638)+(1-'01_Вводные'!$B$21)*('19_Расчет_аналитики'!AZ1743+'02_Модель'!AZ38+'02_Модель'!AZ39+'02_Модель'!AZ40+'02_Модель'!AZ41+'19_Расчет_аналитики'!AZ1748+'19_Расчет_аналитики'!AZ1638)</f>
        <v/>
      </c>
      <c r="BB1765">
        <f>'01_Вводные'!$B$21*('19_Расчет_аналитики'!BB1743+'02_Модель'!BB38+'02_Модель'!BB39+'02_Модель'!BB40+'02_Модель'!BB41+'19_Расчет_аналитики'!BB1748+'19_Расчет_аналитики'!BB1638)+(1-'01_Вводные'!$B$21)*('19_Расчет_аналитики'!BA1743+'02_Модель'!BA38+'02_Модель'!BA39+'02_Модель'!BA40+'02_Модель'!BA41+'19_Расчет_аналитики'!BA1748+'19_Расчет_аналитики'!BA1638)</f>
        <v/>
      </c>
      <c r="BC1765">
        <f>'01_Вводные'!$B$21*('19_Расчет_аналитики'!BC1743+'02_Модель'!BC38+'02_Модель'!BC39+'02_Модель'!BC40+'02_Модель'!BC41+'19_Расчет_аналитики'!BC1748+'19_Расчет_аналитики'!BC1638)+(1-'01_Вводные'!$B$21)*('19_Расчет_аналитики'!BB1743+'02_Модель'!BB38+'02_Модель'!BB39+'02_Модель'!BB40+'02_Модель'!BB41+'19_Расчет_аналитики'!BB1748+'19_Расчет_аналитики'!BB1638)</f>
        <v/>
      </c>
      <c r="BD1765">
        <f>'01_Вводные'!$B$21*('19_Расчет_аналитики'!BD1743+'02_Модель'!BD38+'02_Модель'!BD39+'02_Модель'!BD40+'02_Модель'!BD41+'19_Расчет_аналитики'!BD1748+'19_Расчет_аналитики'!BD1638)+(1-'01_Вводные'!$B$21)*('19_Расчет_аналитики'!BC1743+'02_Модель'!BC38+'02_Модель'!BC39+'02_Модель'!BC40+'02_Модель'!BC41+'19_Расчет_аналитики'!BC1748+'19_Расчет_аналитики'!BC1638)</f>
        <v/>
      </c>
      <c r="BE1765">
        <f>'01_Вводные'!$B$21*('19_Расчет_аналитики'!BE1743+'02_Модель'!BE38+'02_Модель'!BE39+'02_Модель'!BE40+'02_Модель'!BE41+'19_Расчет_аналитики'!BE1748+'19_Расчет_аналитики'!BE1638)+(1-'01_Вводные'!$B$21)*('19_Расчет_аналитики'!BD1743+'02_Модель'!BD38+'02_Модель'!BD39+'02_Модель'!BD40+'02_Модель'!BD41+'19_Расчет_аналитики'!BD1748+'19_Расчет_аналитики'!BD1638)</f>
        <v/>
      </c>
      <c r="BF1765">
        <f>'01_Вводные'!$B$21*('19_Расчет_аналитики'!BF1743+'02_Модель'!BF38+'02_Модель'!BF39+'02_Модель'!BF40+'02_Модель'!BF41+'19_Расчет_аналитики'!BF1748+'19_Расчет_аналитики'!BF1638)+(1-'01_Вводные'!$B$21)*('19_Расчет_аналитики'!BE1743+'02_Модель'!BE38+'02_Модель'!BE39+'02_Модель'!BE40+'02_Модель'!BE41+'19_Расчет_аналитики'!BE1748+'19_Расчет_аналитики'!BE1638)</f>
        <v/>
      </c>
      <c r="BG1765">
        <f>'01_Вводные'!$B$21*('19_Расчет_аналитики'!BG1743+'02_Модель'!BG38+'02_Модель'!BG39+'02_Модель'!BG40+'02_Модель'!BG41+'19_Расчет_аналитики'!BG1748+'19_Расчет_аналитики'!BG1638)+(1-'01_Вводные'!$B$21)*('19_Расчет_аналитики'!BF1743+'02_Модель'!BF38+'02_Модель'!BF39+'02_Модель'!BF40+'02_Модель'!BF41+'19_Расчет_аналитики'!BF1748+'19_Расчет_аналитики'!BF1638)</f>
        <v/>
      </c>
      <c r="BH1765">
        <f>'01_Вводные'!$B$21*('19_Расчет_аналитики'!BH1743+'02_Модель'!BH38+'02_Модель'!BH39+'02_Модель'!BH40+'02_Модель'!BH41+'19_Расчет_аналитики'!BH1748+'19_Расчет_аналитики'!BH1638)+(1-'01_Вводные'!$B$21)*('19_Расчет_аналитики'!BG1743+'02_Модель'!BG38+'02_Модель'!BG39+'02_Модель'!BG40+'02_Модель'!BG41+'19_Расчет_аналитики'!BG1748+'19_Расчет_аналитики'!BG1638)</f>
        <v/>
      </c>
      <c r="BI1765">
        <f>'01_Вводные'!$B$21*('19_Расчет_аналитики'!BI1743+'02_Модель'!BI38+'02_Модель'!BI39+'02_Модель'!BI40+'02_Модель'!BI41+'19_Расчет_аналитики'!BI1748+'19_Расчет_аналитики'!BI1638)+(1-'01_Вводные'!$B$21)*('19_Расчет_аналитики'!BH1743+'02_Модель'!BH38+'02_Модель'!BH39+'02_Модель'!BH40+'02_Модель'!BH41+'19_Расчет_аналитики'!BH1748+'19_Расчет_аналитики'!BH1638)</f>
        <v/>
      </c>
    </row>
    <row r="1766">
      <c r="B1766">
        <f>'02_Модель'!B60</f>
        <v/>
      </c>
      <c r="C1766">
        <f>'19_Расчет_аналитики'!C1742</f>
        <v/>
      </c>
      <c r="D1766">
        <f>'19_Расчет_аналитики'!D1742</f>
        <v/>
      </c>
      <c r="E1766">
        <f>'19_Расчет_аналитики'!E1742</f>
        <v/>
      </c>
      <c r="F1766">
        <f>'19_Расчет_аналитики'!F1742</f>
        <v/>
      </c>
      <c r="G1766">
        <f>'19_Расчет_аналитики'!G1742</f>
        <v/>
      </c>
      <c r="H1766">
        <f>'19_Расчет_аналитики'!H1742</f>
        <v/>
      </c>
      <c r="I1766">
        <f>'19_Расчет_аналитики'!I1742</f>
        <v/>
      </c>
      <c r="J1766">
        <f>'19_Расчет_аналитики'!J1742</f>
        <v/>
      </c>
      <c r="K1766">
        <f>'19_Расчет_аналитики'!K1742</f>
        <v/>
      </c>
      <c r="L1766">
        <f>'19_Расчет_аналитики'!L1742</f>
        <v/>
      </c>
      <c r="M1766">
        <f>'19_Расчет_аналитики'!M1742</f>
        <v/>
      </c>
      <c r="N1766">
        <f>'19_Расчет_аналитики'!N1742</f>
        <v/>
      </c>
      <c r="O1766">
        <f>'19_Расчет_аналитики'!O1742</f>
        <v/>
      </c>
      <c r="P1766">
        <f>'19_Расчет_аналитики'!P1742</f>
        <v/>
      </c>
      <c r="Q1766">
        <f>'19_Расчет_аналитики'!Q1742</f>
        <v/>
      </c>
      <c r="R1766">
        <f>'19_Расчет_аналитики'!R1742</f>
        <v/>
      </c>
      <c r="S1766">
        <f>'19_Расчет_аналитики'!S1742</f>
        <v/>
      </c>
      <c r="T1766">
        <f>'19_Расчет_аналитики'!T1742</f>
        <v/>
      </c>
      <c r="U1766">
        <f>'19_Расчет_аналитики'!U1742</f>
        <v/>
      </c>
      <c r="V1766">
        <f>'19_Расчет_аналитики'!V1742</f>
        <v/>
      </c>
      <c r="W1766">
        <f>'19_Расчет_аналитики'!W1742</f>
        <v/>
      </c>
      <c r="X1766">
        <f>'19_Расчет_аналитики'!X1742</f>
        <v/>
      </c>
      <c r="Y1766">
        <f>'19_Расчет_аналитики'!Y1742</f>
        <v/>
      </c>
      <c r="Z1766">
        <f>'19_Расчет_аналитики'!Z1742</f>
        <v/>
      </c>
      <c r="AA1766">
        <f>'19_Расчет_аналитики'!AA1742</f>
        <v/>
      </c>
      <c r="AB1766">
        <f>'19_Расчет_аналитики'!AB1742</f>
        <v/>
      </c>
      <c r="AC1766">
        <f>'19_Расчет_аналитики'!AC1742</f>
        <v/>
      </c>
      <c r="AD1766">
        <f>'19_Расчет_аналитики'!AD1742</f>
        <v/>
      </c>
      <c r="AE1766">
        <f>'19_Расчет_аналитики'!AE1742</f>
        <v/>
      </c>
      <c r="AF1766">
        <f>'19_Расчет_аналитики'!AF1742</f>
        <v/>
      </c>
      <c r="AG1766">
        <f>'19_Расчет_аналитики'!AG1742</f>
        <v/>
      </c>
      <c r="AH1766">
        <f>'19_Расчет_аналитики'!AH1742</f>
        <v/>
      </c>
      <c r="AI1766">
        <f>'19_Расчет_аналитики'!AI1742</f>
        <v/>
      </c>
      <c r="AJ1766">
        <f>'19_Расчет_аналитики'!AJ1742</f>
        <v/>
      </c>
      <c r="AK1766">
        <f>'19_Расчет_аналитики'!AK1742</f>
        <v/>
      </c>
      <c r="AL1766">
        <f>'19_Расчет_аналитики'!AL1742</f>
        <v/>
      </c>
      <c r="AM1766">
        <f>'19_Расчет_аналитики'!AM1742</f>
        <v/>
      </c>
      <c r="AN1766">
        <f>'19_Расчет_аналитики'!AN1742</f>
        <v/>
      </c>
      <c r="AO1766">
        <f>'19_Расчет_аналитики'!AO1742</f>
        <v/>
      </c>
      <c r="AP1766">
        <f>'19_Расчет_аналитики'!AP1742</f>
        <v/>
      </c>
      <c r="AQ1766">
        <f>'19_Расчет_аналитики'!AQ1742</f>
        <v/>
      </c>
      <c r="AR1766">
        <f>'19_Расчет_аналитики'!AR1742</f>
        <v/>
      </c>
      <c r="AS1766">
        <f>'19_Расчет_аналитики'!AS1742</f>
        <v/>
      </c>
      <c r="AT1766">
        <f>'19_Расчет_аналитики'!AT1742</f>
        <v/>
      </c>
      <c r="AU1766">
        <f>'19_Расчет_аналитики'!AU1742</f>
        <v/>
      </c>
      <c r="AV1766">
        <f>'19_Расчет_аналитики'!AV1742</f>
        <v/>
      </c>
      <c r="AW1766">
        <f>'19_Расчет_аналитики'!AW1742</f>
        <v/>
      </c>
      <c r="AX1766">
        <f>'19_Расчет_аналитики'!AX1742</f>
        <v/>
      </c>
      <c r="AY1766">
        <f>'19_Расчет_аналитики'!AY1742</f>
        <v/>
      </c>
      <c r="AZ1766">
        <f>'19_Расчет_аналитики'!AZ1742</f>
        <v/>
      </c>
      <c r="BA1766">
        <f>'19_Расчет_аналитики'!BA1742</f>
        <v/>
      </c>
      <c r="BB1766">
        <f>'19_Расчет_аналитики'!BB1742</f>
        <v/>
      </c>
      <c r="BC1766">
        <f>'19_Расчет_аналитики'!BC1742</f>
        <v/>
      </c>
      <c r="BD1766">
        <f>'19_Расчет_аналитики'!BD1742</f>
        <v/>
      </c>
      <c r="BE1766">
        <f>'19_Расчет_аналитики'!BE1742</f>
        <v/>
      </c>
      <c r="BF1766">
        <f>'19_Расчет_аналитики'!BF1742</f>
        <v/>
      </c>
      <c r="BG1766">
        <f>'19_Расчет_аналитики'!BG1742</f>
        <v/>
      </c>
      <c r="BH1766">
        <f>'19_Расчет_аналитики'!BH1742</f>
        <v/>
      </c>
      <c r="BI1766">
        <f>'19_Расчет_аналитики'!BI1742</f>
        <v/>
      </c>
    </row>
    <row r="1767">
      <c r="B1767">
        <f>'02_Модель'!B29+('19_Расчет_аналитики'!B1759/(1+'01_Вводные'!$B$58))*'01_Вводные'!$B$60+'19_Расчет_аналитики'!B1734</f>
        <v/>
      </c>
      <c r="C1767">
        <f>'19_Расчет_аналитики'!C1735+('19_Расчет_аналитики'!C1759/(1+'01_Вводные'!$B$58))*'01_Вводные'!$B$60+'19_Расчет_аналитики'!C1734</f>
        <v/>
      </c>
      <c r="D1767">
        <f>'19_Расчет_аналитики'!D1735+('19_Расчет_аналитики'!D1759/(1+'01_Вводные'!$B$58))*'01_Вводные'!$B$60+'19_Расчет_аналитики'!D1734</f>
        <v/>
      </c>
      <c r="E1767">
        <f>'19_Расчет_аналитики'!E1735+('19_Расчет_аналитики'!E1759/(1+'01_Вводные'!$B$58))*'01_Вводные'!$B$60+'19_Расчет_аналитики'!E1734</f>
        <v/>
      </c>
      <c r="F1767">
        <f>'19_Расчет_аналитики'!F1735+('19_Расчет_аналитики'!F1759/(1+'01_Вводные'!$B$58))*'01_Вводные'!$B$60+'19_Расчет_аналитики'!F1734</f>
        <v/>
      </c>
      <c r="G1767">
        <f>'19_Расчет_аналитики'!G1735+('19_Расчет_аналитики'!G1759/(1+'01_Вводные'!$B$58))*'01_Вводные'!$B$60+'19_Расчет_аналитики'!G1734</f>
        <v/>
      </c>
      <c r="H1767">
        <f>'19_Расчет_аналитики'!H1735+('19_Расчет_аналитики'!H1759/(1+'01_Вводные'!$B$58))*'01_Вводные'!$B$60+'19_Расчет_аналитики'!H1734</f>
        <v/>
      </c>
      <c r="I1767">
        <f>'19_Расчет_аналитики'!I1735+('19_Расчет_аналитики'!I1759/(1+'01_Вводные'!$B$58))*'01_Вводные'!$B$60+'19_Расчет_аналитики'!I1734</f>
        <v/>
      </c>
      <c r="J1767">
        <f>'19_Расчет_аналитики'!J1735+('19_Расчет_аналитики'!J1759/(1+'01_Вводные'!$B$58))*'01_Вводные'!$B$60+'19_Расчет_аналитики'!J1734</f>
        <v/>
      </c>
      <c r="K1767">
        <f>'19_Расчет_аналитики'!K1735+('19_Расчет_аналитики'!K1759/(1+'01_Вводные'!$B$58))*'01_Вводные'!$B$60+'19_Расчет_аналитики'!K1734</f>
        <v/>
      </c>
      <c r="L1767">
        <f>'19_Расчет_аналитики'!L1735+('19_Расчет_аналитики'!L1759/(1+'01_Вводные'!$B$58))*'01_Вводные'!$B$60+'19_Расчет_аналитики'!L1734</f>
        <v/>
      </c>
      <c r="M1767">
        <f>'19_Расчет_аналитики'!M1735+('19_Расчет_аналитики'!M1759/(1+'01_Вводные'!$B$58))*'01_Вводные'!$B$60+'19_Расчет_аналитики'!M1734</f>
        <v/>
      </c>
      <c r="N1767">
        <f>'19_Расчет_аналитики'!N1735+('19_Расчет_аналитики'!N1759/(1+'01_Вводные'!$B$58))*'01_Вводные'!$B$60+'19_Расчет_аналитики'!N1734</f>
        <v/>
      </c>
      <c r="O1767">
        <f>'19_Расчет_аналитики'!O1735+('19_Расчет_аналитики'!O1759/(1+'01_Вводные'!$B$58))*'01_Вводные'!$B$60+'19_Расчет_аналитики'!O1734</f>
        <v/>
      </c>
      <c r="P1767">
        <f>'19_Расчет_аналитики'!P1735+('19_Расчет_аналитики'!P1759/(1+'01_Вводные'!$B$58))*'01_Вводные'!$B$60+'19_Расчет_аналитики'!P1734</f>
        <v/>
      </c>
      <c r="Q1767">
        <f>'19_Расчет_аналитики'!Q1735+('19_Расчет_аналитики'!Q1759/(1+'01_Вводные'!$B$58))*'01_Вводные'!$B$60+'19_Расчет_аналитики'!Q1734</f>
        <v/>
      </c>
      <c r="R1767">
        <f>'19_Расчет_аналитики'!R1735+('19_Расчет_аналитики'!R1759/(1+'01_Вводные'!$B$58))*'01_Вводные'!$B$60+'19_Расчет_аналитики'!R1734</f>
        <v/>
      </c>
      <c r="S1767">
        <f>'19_Расчет_аналитики'!S1735+('19_Расчет_аналитики'!S1759/(1+'01_Вводные'!$B$58))*'01_Вводные'!$B$60+'19_Расчет_аналитики'!S1734</f>
        <v/>
      </c>
      <c r="T1767">
        <f>'19_Расчет_аналитики'!T1735+('19_Расчет_аналитики'!T1759/(1+'01_Вводные'!$B$58))*'01_Вводные'!$B$60+'19_Расчет_аналитики'!T1734</f>
        <v/>
      </c>
      <c r="U1767">
        <f>'19_Расчет_аналитики'!U1735+('19_Расчет_аналитики'!U1759/(1+'01_Вводные'!$B$58))*'01_Вводные'!$B$60+'19_Расчет_аналитики'!U1734</f>
        <v/>
      </c>
      <c r="V1767">
        <f>'19_Расчет_аналитики'!V1735+('19_Расчет_аналитики'!V1759/(1+'01_Вводные'!$B$58))*'01_Вводные'!$B$60+'19_Расчет_аналитики'!V1734</f>
        <v/>
      </c>
      <c r="W1767">
        <f>'19_Расчет_аналитики'!W1735+('19_Расчет_аналитики'!W1759/(1+'01_Вводные'!$B$58))*'01_Вводные'!$B$60+'19_Расчет_аналитики'!W1734</f>
        <v/>
      </c>
      <c r="X1767">
        <f>'19_Расчет_аналитики'!X1735+('19_Расчет_аналитики'!X1759/(1+'01_Вводные'!$B$58))*'01_Вводные'!$B$60+'19_Расчет_аналитики'!X1734</f>
        <v/>
      </c>
      <c r="Y1767">
        <f>'19_Расчет_аналитики'!Y1735+('19_Расчет_аналитики'!Y1759/(1+'01_Вводные'!$B$58))*'01_Вводные'!$B$60+'19_Расчет_аналитики'!Y1734</f>
        <v/>
      </c>
      <c r="Z1767">
        <f>'19_Расчет_аналитики'!Z1735+('19_Расчет_аналитики'!Z1759/(1+'01_Вводные'!$B$58))*'01_Вводные'!$B$60+'19_Расчет_аналитики'!Z1734</f>
        <v/>
      </c>
      <c r="AA1767">
        <f>'19_Расчет_аналитики'!AA1735+('19_Расчет_аналитики'!AA1759/(1+'01_Вводные'!$B$58))*'01_Вводные'!$B$60+'19_Расчет_аналитики'!AA1734</f>
        <v/>
      </c>
      <c r="AB1767">
        <f>'19_Расчет_аналитики'!AB1735+('19_Расчет_аналитики'!AB1759/(1+'01_Вводные'!$B$58))*'01_Вводные'!$B$60+'19_Расчет_аналитики'!AB1734</f>
        <v/>
      </c>
      <c r="AC1767">
        <f>'19_Расчет_аналитики'!AC1735+('19_Расчет_аналитики'!AC1759/(1+'01_Вводные'!$B$58))*'01_Вводные'!$B$60+'19_Расчет_аналитики'!AC1734</f>
        <v/>
      </c>
      <c r="AD1767">
        <f>'19_Расчет_аналитики'!AD1735+('19_Расчет_аналитики'!AD1759/(1+'01_Вводные'!$B$58))*'01_Вводные'!$B$60+'19_Расчет_аналитики'!AD1734</f>
        <v/>
      </c>
      <c r="AE1767">
        <f>'19_Расчет_аналитики'!AE1735+('19_Расчет_аналитики'!AE1759/(1+'01_Вводные'!$B$58))*'01_Вводные'!$B$60+'19_Расчет_аналитики'!AE1734</f>
        <v/>
      </c>
      <c r="AF1767">
        <f>'19_Расчет_аналитики'!AF1735+('19_Расчет_аналитики'!AF1759/(1+'01_Вводные'!$B$58))*'01_Вводные'!$B$60+'19_Расчет_аналитики'!AF1734</f>
        <v/>
      </c>
      <c r="AG1767">
        <f>'19_Расчет_аналитики'!AG1735+('19_Расчет_аналитики'!AG1759/(1+'01_Вводные'!$B$58))*'01_Вводные'!$B$60+'19_Расчет_аналитики'!AG1734</f>
        <v/>
      </c>
      <c r="AH1767">
        <f>'19_Расчет_аналитики'!AH1735+('19_Расчет_аналитики'!AH1759/(1+'01_Вводные'!$B$58))*'01_Вводные'!$B$60+'19_Расчет_аналитики'!AH1734</f>
        <v/>
      </c>
      <c r="AI1767">
        <f>'19_Расчет_аналитики'!AI1735+('19_Расчет_аналитики'!AI1759/(1+'01_Вводные'!$B$58))*'01_Вводные'!$B$60+'19_Расчет_аналитики'!AI1734</f>
        <v/>
      </c>
      <c r="AJ1767">
        <f>'19_Расчет_аналитики'!AJ1735+('19_Расчет_аналитики'!AJ1759/(1+'01_Вводные'!$B$58))*'01_Вводные'!$B$60+'19_Расчет_аналитики'!AJ1734</f>
        <v/>
      </c>
      <c r="AK1767">
        <f>'19_Расчет_аналитики'!AK1735+('19_Расчет_аналитики'!AK1759/(1+'01_Вводные'!$B$58))*'01_Вводные'!$B$60+'19_Расчет_аналитики'!AK1734</f>
        <v/>
      </c>
      <c r="AL1767">
        <f>'19_Расчет_аналитики'!AL1735+('19_Расчет_аналитики'!AL1759/(1+'01_Вводные'!$B$58))*'01_Вводные'!$B$60+'19_Расчет_аналитики'!AL1734</f>
        <v/>
      </c>
      <c r="AM1767">
        <f>'19_Расчет_аналитики'!AM1735+('19_Расчет_аналитики'!AM1759/(1+'01_Вводные'!$B$58))*'01_Вводные'!$B$60+'19_Расчет_аналитики'!AM1734</f>
        <v/>
      </c>
      <c r="AN1767">
        <f>'19_Расчет_аналитики'!AN1735+('19_Расчет_аналитики'!AN1759/(1+'01_Вводные'!$B$58))*'01_Вводные'!$B$60+'19_Расчет_аналитики'!AN1734</f>
        <v/>
      </c>
      <c r="AO1767">
        <f>'19_Расчет_аналитики'!AO1735+('19_Расчет_аналитики'!AO1759/(1+'01_Вводные'!$B$58))*'01_Вводные'!$B$60+'19_Расчет_аналитики'!AO1734</f>
        <v/>
      </c>
      <c r="AP1767">
        <f>'19_Расчет_аналитики'!AP1735+('19_Расчет_аналитики'!AP1759/(1+'01_Вводные'!$B$58))*'01_Вводные'!$B$60+'19_Расчет_аналитики'!AP1734</f>
        <v/>
      </c>
      <c r="AQ1767">
        <f>'19_Расчет_аналитики'!AQ1735+('19_Расчет_аналитики'!AQ1759/(1+'01_Вводные'!$B$58))*'01_Вводные'!$B$60+'19_Расчет_аналитики'!AQ1734</f>
        <v/>
      </c>
      <c r="AR1767">
        <f>'19_Расчет_аналитики'!AR1735+('19_Расчет_аналитики'!AR1759/(1+'01_Вводные'!$B$58))*'01_Вводные'!$B$60+'19_Расчет_аналитики'!AR1734</f>
        <v/>
      </c>
      <c r="AS1767">
        <f>'19_Расчет_аналитики'!AS1735+('19_Расчет_аналитики'!AS1759/(1+'01_Вводные'!$B$58))*'01_Вводные'!$B$60+'19_Расчет_аналитики'!AS1734</f>
        <v/>
      </c>
      <c r="AT1767">
        <f>'19_Расчет_аналитики'!AT1735+('19_Расчет_аналитики'!AT1759/(1+'01_Вводные'!$B$58))*'01_Вводные'!$B$60+'19_Расчет_аналитики'!AT1734</f>
        <v/>
      </c>
      <c r="AU1767">
        <f>'19_Расчет_аналитики'!AU1735+('19_Расчет_аналитики'!AU1759/(1+'01_Вводные'!$B$58))*'01_Вводные'!$B$60+'19_Расчет_аналитики'!AU1734</f>
        <v/>
      </c>
      <c r="AV1767">
        <f>'19_Расчет_аналитики'!AV1735+('19_Расчет_аналитики'!AV1759/(1+'01_Вводные'!$B$58))*'01_Вводные'!$B$60+'19_Расчет_аналитики'!AV1734</f>
        <v/>
      </c>
      <c r="AW1767">
        <f>'19_Расчет_аналитики'!AW1735+('19_Расчет_аналитики'!AW1759/(1+'01_Вводные'!$B$58))*'01_Вводные'!$B$60+'19_Расчет_аналитики'!AW1734</f>
        <v/>
      </c>
      <c r="AX1767">
        <f>'19_Расчет_аналитики'!AX1735+('19_Расчет_аналитики'!AX1759/(1+'01_Вводные'!$B$58))*'01_Вводные'!$B$60+'19_Расчет_аналитики'!AX1734</f>
        <v/>
      </c>
      <c r="AY1767">
        <f>'19_Расчет_аналитики'!AY1735+('19_Расчет_аналитики'!AY1759/(1+'01_Вводные'!$B$58))*'01_Вводные'!$B$60+'19_Расчет_аналитики'!AY1734</f>
        <v/>
      </c>
      <c r="AZ1767">
        <f>'19_Расчет_аналитики'!AZ1735+('19_Расчет_аналитики'!AZ1759/(1+'01_Вводные'!$B$58))*'01_Вводные'!$B$60+'19_Расчет_аналитики'!AZ1734</f>
        <v/>
      </c>
      <c r="BA1767">
        <f>'19_Расчет_аналитики'!BA1735+('19_Расчет_аналитики'!BA1759/(1+'01_Вводные'!$B$58))*'01_Вводные'!$B$60+'19_Расчет_аналитики'!BA1734</f>
        <v/>
      </c>
      <c r="BB1767">
        <f>'19_Расчет_аналитики'!BB1735+('19_Расчет_аналитики'!BB1759/(1+'01_Вводные'!$B$58))*'01_Вводные'!$B$60+'19_Расчет_аналитики'!BB1734</f>
        <v/>
      </c>
      <c r="BC1767">
        <f>'19_Расчет_аналитики'!BC1735+('19_Расчет_аналитики'!BC1759/(1+'01_Вводные'!$B$58))*'01_Вводные'!$B$60+'19_Расчет_аналитики'!BC1734</f>
        <v/>
      </c>
      <c r="BD1767">
        <f>'19_Расчет_аналитики'!BD1735+('19_Расчет_аналитики'!BD1759/(1+'01_Вводные'!$B$58))*'01_Вводные'!$B$60+'19_Расчет_аналитики'!BD1734</f>
        <v/>
      </c>
      <c r="BE1767">
        <f>'19_Расчет_аналитики'!BE1735+('19_Расчет_аналитики'!BE1759/(1+'01_Вводные'!$B$58))*'01_Вводные'!$B$60+'19_Расчет_аналитики'!BE1734</f>
        <v/>
      </c>
      <c r="BF1767">
        <f>'19_Расчет_аналитики'!BF1735+('19_Расчет_аналитики'!BF1759/(1+'01_Вводные'!$B$58))*'01_Вводные'!$B$60+'19_Расчет_аналитики'!BF1734</f>
        <v/>
      </c>
      <c r="BG1767">
        <f>'19_Расчет_аналитики'!BG1735+('19_Расчет_аналитики'!BG1759/(1+'01_Вводные'!$B$58))*'01_Вводные'!$B$60+'19_Расчет_аналитики'!BG1734</f>
        <v/>
      </c>
      <c r="BH1767">
        <f>'19_Расчет_аналитики'!BH1735+('19_Расчет_аналитики'!BH1759/(1+'01_Вводные'!$B$58))*'01_Вводные'!$B$60+'19_Расчет_аналитики'!BH1734</f>
        <v/>
      </c>
      <c r="BI1767">
        <f>'19_Расчет_аналитики'!BI1735+('19_Расчет_аналитики'!BI1759/(1+'01_Вводные'!$B$58))*'01_Вводные'!$B$60+'19_Расчет_аналитики'!BI1734</f>
        <v/>
      </c>
    </row>
    <row r="1768">
      <c r="B1768">
        <f>('02_Модель'!B52+'19_Расчет_аналитики'!B1759+'19_Расчет_аналитики'!B1760)-('02_Модель'!B52+'19_Расчет_аналитики'!B1759+'19_Расчет_аналитики'!B1760)/(1+'01_Вводные'!$B$58)</f>
        <v/>
      </c>
      <c r="C1768">
        <f>('19_Расчет_аналитики'!C1758+'19_Расчет_аналитики'!C1759+'19_Расчет_аналитики'!C1760)-('19_Расчет_аналитики'!C1758+'19_Расчет_аналитики'!C1759+'19_Расчет_аналитики'!C1760)/(1+'01_Вводные'!$B$58)</f>
        <v/>
      </c>
      <c r="D1768">
        <f>('19_Расчет_аналитики'!D1758+'19_Расчет_аналитики'!D1759+'19_Расчет_аналитики'!D1760)-('19_Расчет_аналитики'!D1758+'19_Расчет_аналитики'!D1759+'19_Расчет_аналитики'!D1760)/(1+'01_Вводные'!$B$58)</f>
        <v/>
      </c>
      <c r="E1768">
        <f>('19_Расчет_аналитики'!E1758+'19_Расчет_аналитики'!E1759+'19_Расчет_аналитики'!E1760)-('19_Расчет_аналитики'!E1758+'19_Расчет_аналитики'!E1759+'19_Расчет_аналитики'!E1760)/(1+'01_Вводные'!$B$58)</f>
        <v/>
      </c>
      <c r="F1768">
        <f>('19_Расчет_аналитики'!F1758+'19_Расчет_аналитики'!F1759+'19_Расчет_аналитики'!F1760)-('19_Расчет_аналитики'!F1758+'19_Расчет_аналитики'!F1759+'19_Расчет_аналитики'!F1760)/(1+'01_Вводные'!$B$58)</f>
        <v/>
      </c>
      <c r="G1768">
        <f>('19_Расчет_аналитики'!G1758+'19_Расчет_аналитики'!G1759+'19_Расчет_аналитики'!G1760)-('19_Расчет_аналитики'!G1758+'19_Расчет_аналитики'!G1759+'19_Расчет_аналитики'!G1760)/(1+'01_Вводные'!$B$58)</f>
        <v/>
      </c>
      <c r="H1768">
        <f>('19_Расчет_аналитики'!H1758+'19_Расчет_аналитики'!H1759+'19_Расчет_аналитики'!H1760)-('19_Расчет_аналитики'!H1758+'19_Расчет_аналитики'!H1759+'19_Расчет_аналитики'!H1760)/(1+'01_Вводные'!$B$58)</f>
        <v/>
      </c>
      <c r="I1768">
        <f>('19_Расчет_аналитики'!I1758+'19_Расчет_аналитики'!I1759+'19_Расчет_аналитики'!I1760)-('19_Расчет_аналитики'!I1758+'19_Расчет_аналитики'!I1759+'19_Расчет_аналитики'!I1760)/(1+'01_Вводные'!$B$58)</f>
        <v/>
      </c>
      <c r="J1768">
        <f>('19_Расчет_аналитики'!J1758+'19_Расчет_аналитики'!J1759+'19_Расчет_аналитики'!J1760)-('19_Расчет_аналитики'!J1758+'19_Расчет_аналитики'!J1759+'19_Расчет_аналитики'!J1760)/(1+'01_Вводные'!$B$58)</f>
        <v/>
      </c>
      <c r="K1768">
        <f>('19_Расчет_аналитики'!K1758+'19_Расчет_аналитики'!K1759+'19_Расчет_аналитики'!K1760)-('19_Расчет_аналитики'!K1758+'19_Расчет_аналитики'!K1759+'19_Расчет_аналитики'!K1760)/(1+'01_Вводные'!$B$58)</f>
        <v/>
      </c>
      <c r="L1768">
        <f>('19_Расчет_аналитики'!L1758+'19_Расчет_аналитики'!L1759+'19_Расчет_аналитики'!L1760)-('19_Расчет_аналитики'!L1758+'19_Расчет_аналитики'!L1759+'19_Расчет_аналитики'!L1760)/(1+'01_Вводные'!$B$58)</f>
        <v/>
      </c>
      <c r="M1768">
        <f>('19_Расчет_аналитики'!M1758+'19_Расчет_аналитики'!M1759+'19_Расчет_аналитики'!M1760)-('19_Расчет_аналитики'!M1758+'19_Расчет_аналитики'!M1759+'19_Расчет_аналитики'!M1760)/(1+'01_Вводные'!$B$58)</f>
        <v/>
      </c>
      <c r="N1768">
        <f>('19_Расчет_аналитики'!N1758+'19_Расчет_аналитики'!N1759+'19_Расчет_аналитики'!N1760)-('19_Расчет_аналитики'!N1758+'19_Расчет_аналитики'!N1759+'19_Расчет_аналитики'!N1760)/(1+'01_Вводные'!$B$58)</f>
        <v/>
      </c>
      <c r="O1768">
        <f>('19_Расчет_аналитики'!O1758+'19_Расчет_аналитики'!O1759+'19_Расчет_аналитики'!O1760)-('19_Расчет_аналитики'!O1758+'19_Расчет_аналитики'!O1759+'19_Расчет_аналитики'!O1760)/(1+'01_Вводные'!$B$58)</f>
        <v/>
      </c>
      <c r="P1768">
        <f>('19_Расчет_аналитики'!P1758+'19_Расчет_аналитики'!P1759+'19_Расчет_аналитики'!P1760)-('19_Расчет_аналитики'!P1758+'19_Расчет_аналитики'!P1759+'19_Расчет_аналитики'!P1760)/(1+'01_Вводные'!$B$58)</f>
        <v/>
      </c>
      <c r="Q1768">
        <f>('19_Расчет_аналитики'!Q1758+'19_Расчет_аналитики'!Q1759+'19_Расчет_аналитики'!Q1760)-('19_Расчет_аналитики'!Q1758+'19_Расчет_аналитики'!Q1759+'19_Расчет_аналитики'!Q1760)/(1+'01_Вводные'!$B$58)</f>
        <v/>
      </c>
      <c r="R1768">
        <f>('19_Расчет_аналитики'!R1758+'19_Расчет_аналитики'!R1759+'19_Расчет_аналитики'!R1760)-('19_Расчет_аналитики'!R1758+'19_Расчет_аналитики'!R1759+'19_Расчет_аналитики'!R1760)/(1+'01_Вводные'!$B$58)</f>
        <v/>
      </c>
      <c r="S1768">
        <f>('19_Расчет_аналитики'!S1758+'19_Расчет_аналитики'!S1759+'19_Расчет_аналитики'!S1760)-('19_Расчет_аналитики'!S1758+'19_Расчет_аналитики'!S1759+'19_Расчет_аналитики'!S1760)/(1+'01_Вводные'!$B$58)</f>
        <v/>
      </c>
      <c r="T1768">
        <f>('19_Расчет_аналитики'!T1758+'19_Расчет_аналитики'!T1759+'19_Расчет_аналитики'!T1760)-('19_Расчет_аналитики'!T1758+'19_Расчет_аналитики'!T1759+'19_Расчет_аналитики'!T1760)/(1+'01_Вводные'!$B$58)</f>
        <v/>
      </c>
      <c r="U1768">
        <f>('19_Расчет_аналитики'!U1758+'19_Расчет_аналитики'!U1759+'19_Расчет_аналитики'!U1760)-('19_Расчет_аналитики'!U1758+'19_Расчет_аналитики'!U1759+'19_Расчет_аналитики'!U1760)/(1+'01_Вводные'!$B$58)</f>
        <v/>
      </c>
      <c r="V1768">
        <f>('19_Расчет_аналитики'!V1758+'19_Расчет_аналитики'!V1759+'19_Расчет_аналитики'!V1760)-('19_Расчет_аналитики'!V1758+'19_Расчет_аналитики'!V1759+'19_Расчет_аналитики'!V1760)/(1+'01_Вводные'!$B$58)</f>
        <v/>
      </c>
      <c r="W1768">
        <f>('19_Расчет_аналитики'!W1758+'19_Расчет_аналитики'!W1759+'19_Расчет_аналитики'!W1760)-('19_Расчет_аналитики'!W1758+'19_Расчет_аналитики'!W1759+'19_Расчет_аналитики'!W1760)/(1+'01_Вводные'!$B$58)</f>
        <v/>
      </c>
      <c r="X1768">
        <f>('19_Расчет_аналитики'!X1758+'19_Расчет_аналитики'!X1759+'19_Расчет_аналитики'!X1760)-('19_Расчет_аналитики'!X1758+'19_Расчет_аналитики'!X1759+'19_Расчет_аналитики'!X1760)/(1+'01_Вводные'!$B$58)</f>
        <v/>
      </c>
      <c r="Y1768">
        <f>('19_Расчет_аналитики'!Y1758+'19_Расчет_аналитики'!Y1759+'19_Расчет_аналитики'!Y1760)-('19_Расчет_аналитики'!Y1758+'19_Расчет_аналитики'!Y1759+'19_Расчет_аналитики'!Y1760)/(1+'01_Вводные'!$B$58)</f>
        <v/>
      </c>
      <c r="Z1768">
        <f>('19_Расчет_аналитики'!Z1758+'19_Расчет_аналитики'!Z1759+'19_Расчет_аналитики'!Z1760)-('19_Расчет_аналитики'!Z1758+'19_Расчет_аналитики'!Z1759+'19_Расчет_аналитики'!Z1760)/(1+'01_Вводные'!$B$58)</f>
        <v/>
      </c>
      <c r="AA1768">
        <f>('19_Расчет_аналитики'!AA1758+'19_Расчет_аналитики'!AA1759+'19_Расчет_аналитики'!AA1760)-('19_Расчет_аналитики'!AA1758+'19_Расчет_аналитики'!AA1759+'19_Расчет_аналитики'!AA1760)/(1+'01_Вводные'!$B$58)</f>
        <v/>
      </c>
      <c r="AB1768">
        <f>('19_Расчет_аналитики'!AB1758+'19_Расчет_аналитики'!AB1759+'19_Расчет_аналитики'!AB1760)-('19_Расчет_аналитики'!AB1758+'19_Расчет_аналитики'!AB1759+'19_Расчет_аналитики'!AB1760)/(1+'01_Вводные'!$B$58)</f>
        <v/>
      </c>
      <c r="AC1768">
        <f>('19_Расчет_аналитики'!AC1758+'19_Расчет_аналитики'!AC1759+'19_Расчет_аналитики'!AC1760)-('19_Расчет_аналитики'!AC1758+'19_Расчет_аналитики'!AC1759+'19_Расчет_аналитики'!AC1760)/(1+'01_Вводные'!$B$58)</f>
        <v/>
      </c>
      <c r="AD1768">
        <f>('19_Расчет_аналитики'!AD1758+'19_Расчет_аналитики'!AD1759+'19_Расчет_аналитики'!AD1760)-('19_Расчет_аналитики'!AD1758+'19_Расчет_аналитики'!AD1759+'19_Расчет_аналитики'!AD1760)/(1+'01_Вводные'!$B$58)</f>
        <v/>
      </c>
      <c r="AE1768">
        <f>('19_Расчет_аналитики'!AE1758+'19_Расчет_аналитики'!AE1759+'19_Расчет_аналитики'!AE1760)-('19_Расчет_аналитики'!AE1758+'19_Расчет_аналитики'!AE1759+'19_Расчет_аналитики'!AE1760)/(1+'01_Вводные'!$B$58)</f>
        <v/>
      </c>
      <c r="AF1768">
        <f>('19_Расчет_аналитики'!AF1758+'19_Расчет_аналитики'!AF1759+'19_Расчет_аналитики'!AF1760)-('19_Расчет_аналитики'!AF1758+'19_Расчет_аналитики'!AF1759+'19_Расчет_аналитики'!AF1760)/(1+'01_Вводные'!$B$58)</f>
        <v/>
      </c>
      <c r="AG1768">
        <f>('19_Расчет_аналитики'!AG1758+'19_Расчет_аналитики'!AG1759+'19_Расчет_аналитики'!AG1760)-('19_Расчет_аналитики'!AG1758+'19_Расчет_аналитики'!AG1759+'19_Расчет_аналитики'!AG1760)/(1+'01_Вводные'!$B$58)</f>
        <v/>
      </c>
      <c r="AH1768">
        <f>('19_Расчет_аналитики'!AH1758+'19_Расчет_аналитики'!AH1759+'19_Расчет_аналитики'!AH1760)-('19_Расчет_аналитики'!AH1758+'19_Расчет_аналитики'!AH1759+'19_Расчет_аналитики'!AH1760)/(1+'01_Вводные'!$B$58)</f>
        <v/>
      </c>
      <c r="AI1768">
        <f>('19_Расчет_аналитики'!AI1758+'19_Расчет_аналитики'!AI1759+'19_Расчет_аналитики'!AI1760)-('19_Расчет_аналитики'!AI1758+'19_Расчет_аналитики'!AI1759+'19_Расчет_аналитики'!AI1760)/(1+'01_Вводные'!$B$58)</f>
        <v/>
      </c>
      <c r="AJ1768">
        <f>('19_Расчет_аналитики'!AJ1758+'19_Расчет_аналитики'!AJ1759+'19_Расчет_аналитики'!AJ1760)-('19_Расчет_аналитики'!AJ1758+'19_Расчет_аналитики'!AJ1759+'19_Расчет_аналитики'!AJ1760)/(1+'01_Вводные'!$B$58)</f>
        <v/>
      </c>
      <c r="AK1768">
        <f>('19_Расчет_аналитики'!AK1758+'19_Расчет_аналитики'!AK1759+'19_Расчет_аналитики'!AK1760)-('19_Расчет_аналитики'!AK1758+'19_Расчет_аналитики'!AK1759+'19_Расчет_аналитики'!AK1760)/(1+'01_Вводные'!$B$58)</f>
        <v/>
      </c>
      <c r="AL1768">
        <f>('19_Расчет_аналитики'!AL1758+'19_Расчет_аналитики'!AL1759+'19_Расчет_аналитики'!AL1760)-('19_Расчет_аналитики'!AL1758+'19_Расчет_аналитики'!AL1759+'19_Расчет_аналитики'!AL1760)/(1+'01_Вводные'!$B$58)</f>
        <v/>
      </c>
      <c r="AM1768">
        <f>('19_Расчет_аналитики'!AM1758+'19_Расчет_аналитики'!AM1759+'19_Расчет_аналитики'!AM1760)-('19_Расчет_аналитики'!AM1758+'19_Расчет_аналитики'!AM1759+'19_Расчет_аналитики'!AM1760)/(1+'01_Вводные'!$B$58)</f>
        <v/>
      </c>
      <c r="AN1768">
        <f>('19_Расчет_аналитики'!AN1758+'19_Расчет_аналитики'!AN1759+'19_Расчет_аналитики'!AN1760)-('19_Расчет_аналитики'!AN1758+'19_Расчет_аналитики'!AN1759+'19_Расчет_аналитики'!AN1760)/(1+'01_Вводные'!$B$58)</f>
        <v/>
      </c>
      <c r="AO1768">
        <f>('19_Расчет_аналитики'!AO1758+'19_Расчет_аналитики'!AO1759+'19_Расчет_аналитики'!AO1760)-('19_Расчет_аналитики'!AO1758+'19_Расчет_аналитики'!AO1759+'19_Расчет_аналитики'!AO1760)/(1+'01_Вводные'!$B$58)</f>
        <v/>
      </c>
      <c r="AP1768">
        <f>('19_Расчет_аналитики'!AP1758+'19_Расчет_аналитики'!AP1759+'19_Расчет_аналитики'!AP1760)-('19_Расчет_аналитики'!AP1758+'19_Расчет_аналитики'!AP1759+'19_Расчет_аналитики'!AP1760)/(1+'01_Вводные'!$B$58)</f>
        <v/>
      </c>
      <c r="AQ1768">
        <f>('19_Расчет_аналитики'!AQ1758+'19_Расчет_аналитики'!AQ1759+'19_Расчет_аналитики'!AQ1760)-('19_Расчет_аналитики'!AQ1758+'19_Расчет_аналитики'!AQ1759+'19_Расчет_аналитики'!AQ1760)/(1+'01_Вводные'!$B$58)</f>
        <v/>
      </c>
      <c r="AR1768">
        <f>('19_Расчет_аналитики'!AR1758+'19_Расчет_аналитики'!AR1759+'19_Расчет_аналитики'!AR1760)-('19_Расчет_аналитики'!AR1758+'19_Расчет_аналитики'!AR1759+'19_Расчет_аналитики'!AR1760)/(1+'01_Вводные'!$B$58)</f>
        <v/>
      </c>
      <c r="AS1768">
        <f>('19_Расчет_аналитики'!AS1758+'19_Расчет_аналитики'!AS1759+'19_Расчет_аналитики'!AS1760)-('19_Расчет_аналитики'!AS1758+'19_Расчет_аналитики'!AS1759+'19_Расчет_аналитики'!AS1760)/(1+'01_Вводные'!$B$58)</f>
        <v/>
      </c>
      <c r="AT1768">
        <f>('19_Расчет_аналитики'!AT1758+'19_Расчет_аналитики'!AT1759+'19_Расчет_аналитики'!AT1760)-('19_Расчет_аналитики'!AT1758+'19_Расчет_аналитики'!AT1759+'19_Расчет_аналитики'!AT1760)/(1+'01_Вводные'!$B$58)</f>
        <v/>
      </c>
      <c r="AU1768">
        <f>('19_Расчет_аналитики'!AU1758+'19_Расчет_аналитики'!AU1759+'19_Расчет_аналитики'!AU1760)-('19_Расчет_аналитики'!AU1758+'19_Расчет_аналитики'!AU1759+'19_Расчет_аналитики'!AU1760)/(1+'01_Вводные'!$B$58)</f>
        <v/>
      </c>
      <c r="AV1768">
        <f>('19_Расчет_аналитики'!AV1758+'19_Расчет_аналитики'!AV1759+'19_Расчет_аналитики'!AV1760)-('19_Расчет_аналитики'!AV1758+'19_Расчет_аналитики'!AV1759+'19_Расчет_аналитики'!AV1760)/(1+'01_Вводные'!$B$58)</f>
        <v/>
      </c>
      <c r="AW1768">
        <f>('19_Расчет_аналитики'!AW1758+'19_Расчет_аналитики'!AW1759+'19_Расчет_аналитики'!AW1760)-('19_Расчет_аналитики'!AW1758+'19_Расчет_аналитики'!AW1759+'19_Расчет_аналитики'!AW1760)/(1+'01_Вводные'!$B$58)</f>
        <v/>
      </c>
      <c r="AX1768">
        <f>('19_Расчет_аналитики'!AX1758+'19_Расчет_аналитики'!AX1759+'19_Расчет_аналитики'!AX1760)-('19_Расчет_аналитики'!AX1758+'19_Расчет_аналитики'!AX1759+'19_Расчет_аналитики'!AX1760)/(1+'01_Вводные'!$B$58)</f>
        <v/>
      </c>
      <c r="AY1768">
        <f>('19_Расчет_аналитики'!AY1758+'19_Расчет_аналитики'!AY1759+'19_Расчет_аналитики'!AY1760)-('19_Расчет_аналитики'!AY1758+'19_Расчет_аналитики'!AY1759+'19_Расчет_аналитики'!AY1760)/(1+'01_Вводные'!$B$58)</f>
        <v/>
      </c>
      <c r="AZ1768">
        <f>('19_Расчет_аналитики'!AZ1758+'19_Расчет_аналитики'!AZ1759+'19_Расчет_аналитики'!AZ1760)-('19_Расчет_аналитики'!AZ1758+'19_Расчет_аналитики'!AZ1759+'19_Расчет_аналитики'!AZ1760)/(1+'01_Вводные'!$B$58)</f>
        <v/>
      </c>
      <c r="BA1768">
        <f>('19_Расчет_аналитики'!BA1758+'19_Расчет_аналитики'!BA1759+'19_Расчет_аналитики'!BA1760)-('19_Расчет_аналитики'!BA1758+'19_Расчет_аналитики'!BA1759+'19_Расчет_аналитики'!BA1760)/(1+'01_Вводные'!$B$58)</f>
        <v/>
      </c>
      <c r="BB1768">
        <f>('19_Расчет_аналитики'!BB1758+'19_Расчет_аналитики'!BB1759+'19_Расчет_аналитики'!BB1760)-('19_Расчет_аналитики'!BB1758+'19_Расчет_аналитики'!BB1759+'19_Расчет_аналитики'!BB1760)/(1+'01_Вводные'!$B$58)</f>
        <v/>
      </c>
      <c r="BC1768">
        <f>('19_Расчет_аналитики'!BC1758+'19_Расчет_аналитики'!BC1759+'19_Расчет_аналитики'!BC1760)-('19_Расчет_аналитики'!BC1758+'19_Расчет_аналитики'!BC1759+'19_Расчет_аналитики'!BC1760)/(1+'01_Вводные'!$B$58)</f>
        <v/>
      </c>
      <c r="BD1768">
        <f>('19_Расчет_аналитики'!BD1758+'19_Расчет_аналитики'!BD1759+'19_Расчет_аналитики'!BD1760)-('19_Расчет_аналитики'!BD1758+'19_Расчет_аналитики'!BD1759+'19_Расчет_аналитики'!BD1760)/(1+'01_Вводные'!$B$58)</f>
        <v/>
      </c>
      <c r="BE1768">
        <f>('19_Расчет_аналитики'!BE1758+'19_Расчет_аналитики'!BE1759+'19_Расчет_аналитики'!BE1760)-('19_Расчет_аналитики'!BE1758+'19_Расчет_аналитики'!BE1759+'19_Расчет_аналитики'!BE1760)/(1+'01_Вводные'!$B$58)</f>
        <v/>
      </c>
      <c r="BF1768">
        <f>('19_Расчет_аналитики'!BF1758+'19_Расчет_аналитики'!BF1759+'19_Расчет_аналитики'!BF1760)-('19_Расчет_аналитики'!BF1758+'19_Расчет_аналитики'!BF1759+'19_Расчет_аналитики'!BF1760)/(1+'01_Вводные'!$B$58)</f>
        <v/>
      </c>
      <c r="BG1768">
        <f>('19_Расчет_аналитики'!BG1758+'19_Расчет_аналитики'!BG1759+'19_Расчет_аналитики'!BG1760)-('19_Расчет_аналитики'!BG1758+'19_Расчет_аналитики'!BG1759+'19_Расчет_аналитики'!BG1760)/(1+'01_Вводные'!$B$58)</f>
        <v/>
      </c>
      <c r="BH1768">
        <f>('19_Расчет_аналитики'!BH1758+'19_Расчет_аналитики'!BH1759+'19_Расчет_аналитики'!BH1760)-('19_Расчет_аналитики'!BH1758+'19_Расчет_аналитики'!BH1759+'19_Расчет_аналитики'!BH1760)/(1+'01_Вводные'!$B$58)</f>
        <v/>
      </c>
      <c r="BI1768">
        <f>('19_Расчет_аналитики'!BI1758+'19_Расчет_аналитики'!BI1759+'19_Расчет_аналитики'!BI1760)-('19_Расчет_аналитики'!BI1758+'19_Расчет_аналитики'!BI1759+'19_Расчет_аналитики'!BI1760)/(1+'01_Вводные'!$B$58)</f>
        <v/>
      </c>
    </row>
    <row r="1769">
      <c r="B1769">
        <f>'02_Модель'!B63</f>
        <v/>
      </c>
      <c r="C1769">
        <f>'02_Модель'!C63</f>
        <v/>
      </c>
      <c r="D1769">
        <f>'02_Модель'!D63</f>
        <v/>
      </c>
      <c r="E1769">
        <f>'02_Модель'!E63</f>
        <v/>
      </c>
      <c r="F1769">
        <f>'02_Модель'!F63</f>
        <v/>
      </c>
      <c r="G1769">
        <f>'02_Модель'!G63</f>
        <v/>
      </c>
      <c r="H1769">
        <f>'02_Модель'!H63</f>
        <v/>
      </c>
      <c r="I1769">
        <f>'02_Модель'!I63</f>
        <v/>
      </c>
      <c r="J1769">
        <f>'02_Модель'!J63</f>
        <v/>
      </c>
      <c r="K1769">
        <f>'02_Модель'!K63</f>
        <v/>
      </c>
      <c r="L1769">
        <f>'02_Модель'!L63</f>
        <v/>
      </c>
      <c r="M1769">
        <f>'02_Модель'!M63</f>
        <v/>
      </c>
      <c r="N1769">
        <f>'02_Модель'!N63</f>
        <v/>
      </c>
      <c r="O1769">
        <f>'02_Модель'!O63</f>
        <v/>
      </c>
      <c r="P1769">
        <f>'02_Модель'!P63</f>
        <v/>
      </c>
      <c r="Q1769">
        <f>'02_Модель'!Q63</f>
        <v/>
      </c>
      <c r="R1769">
        <f>'02_Модель'!R63</f>
        <v/>
      </c>
      <c r="S1769">
        <f>'02_Модель'!S63</f>
        <v/>
      </c>
      <c r="T1769">
        <f>'02_Модель'!T63</f>
        <v/>
      </c>
      <c r="U1769">
        <f>'02_Модель'!U63</f>
        <v/>
      </c>
      <c r="V1769">
        <f>'02_Модель'!V63</f>
        <v/>
      </c>
      <c r="W1769">
        <f>'02_Модель'!W63</f>
        <v/>
      </c>
      <c r="X1769">
        <f>'02_Модель'!X63</f>
        <v/>
      </c>
      <c r="Y1769">
        <f>'02_Модель'!Y63</f>
        <v/>
      </c>
      <c r="Z1769">
        <f>'02_Модель'!Z63</f>
        <v/>
      </c>
      <c r="AA1769">
        <f>'02_Модель'!AA63</f>
        <v/>
      </c>
      <c r="AB1769">
        <f>'02_Модель'!AB63</f>
        <v/>
      </c>
      <c r="AC1769">
        <f>'02_Модель'!AC63</f>
        <v/>
      </c>
      <c r="AD1769">
        <f>'02_Модель'!AD63</f>
        <v/>
      </c>
      <c r="AE1769">
        <f>'02_Модель'!AE63</f>
        <v/>
      </c>
      <c r="AF1769">
        <f>'02_Модель'!AF63</f>
        <v/>
      </c>
      <c r="AG1769">
        <f>'02_Модель'!AG63</f>
        <v/>
      </c>
      <c r="AH1769">
        <f>'02_Модель'!AH63</f>
        <v/>
      </c>
      <c r="AI1769">
        <f>'02_Модель'!AI63</f>
        <v/>
      </c>
      <c r="AJ1769">
        <f>'02_Модель'!AJ63</f>
        <v/>
      </c>
      <c r="AK1769">
        <f>'02_Модель'!AK63</f>
        <v/>
      </c>
      <c r="AL1769">
        <f>'02_Модель'!AL63</f>
        <v/>
      </c>
      <c r="AM1769">
        <f>'02_Модель'!AM63</f>
        <v/>
      </c>
      <c r="AN1769">
        <f>'02_Модель'!AN63</f>
        <v/>
      </c>
      <c r="AO1769">
        <f>'02_Модель'!AO63</f>
        <v/>
      </c>
      <c r="AP1769">
        <f>'02_Модель'!AP63</f>
        <v/>
      </c>
      <c r="AQ1769">
        <f>'02_Модель'!AQ63</f>
        <v/>
      </c>
      <c r="AR1769">
        <f>'02_Модель'!AR63</f>
        <v/>
      </c>
      <c r="AS1769">
        <f>'02_Модель'!AS63</f>
        <v/>
      </c>
      <c r="AT1769">
        <f>'02_Модель'!AT63</f>
        <v/>
      </c>
      <c r="AU1769">
        <f>'02_Модель'!AU63</f>
        <v/>
      </c>
      <c r="AV1769">
        <f>'02_Модель'!AV63</f>
        <v/>
      </c>
      <c r="AW1769">
        <f>'02_Модель'!AW63</f>
        <v/>
      </c>
      <c r="AX1769">
        <f>'02_Модель'!AX63</f>
        <v/>
      </c>
      <c r="AY1769">
        <f>'02_Модель'!AY63</f>
        <v/>
      </c>
      <c r="AZ1769">
        <f>'02_Модель'!AZ63</f>
        <v/>
      </c>
      <c r="BA1769">
        <f>'02_Модель'!BA63</f>
        <v/>
      </c>
      <c r="BB1769">
        <f>'02_Модель'!BB63</f>
        <v/>
      </c>
      <c r="BC1769">
        <f>'02_Модель'!BC63</f>
        <v/>
      </c>
      <c r="BD1769">
        <f>'02_Модель'!BD63</f>
        <v/>
      </c>
      <c r="BE1769">
        <f>'02_Модель'!BE63</f>
        <v/>
      </c>
      <c r="BF1769">
        <f>'02_Модель'!BF63</f>
        <v/>
      </c>
      <c r="BG1769">
        <f>'02_Модель'!BG63</f>
        <v/>
      </c>
      <c r="BH1769">
        <f>'02_Модель'!BH63</f>
        <v/>
      </c>
      <c r="BI1769">
        <f>'02_Модель'!BI63</f>
        <v/>
      </c>
    </row>
    <row r="1770">
      <c r="B1770">
        <f>'19_Расчет_аналитики'!B1752</f>
        <v/>
      </c>
      <c r="C1770">
        <f>'19_Расчет_аналитики'!C1752</f>
        <v/>
      </c>
      <c r="D1770">
        <f>'19_Расчет_аналитики'!D1752</f>
        <v/>
      </c>
      <c r="E1770">
        <f>'19_Расчет_аналитики'!E1752</f>
        <v/>
      </c>
      <c r="F1770">
        <f>'19_Расчет_аналитики'!F1752</f>
        <v/>
      </c>
      <c r="G1770">
        <f>'19_Расчет_аналитики'!G1752</f>
        <v/>
      </c>
      <c r="H1770">
        <f>'19_Расчет_аналитики'!H1752</f>
        <v/>
      </c>
      <c r="I1770">
        <f>'19_Расчет_аналитики'!I1752</f>
        <v/>
      </c>
      <c r="J1770">
        <f>'19_Расчет_аналитики'!J1752</f>
        <v/>
      </c>
      <c r="K1770">
        <f>'19_Расчет_аналитики'!K1752</f>
        <v/>
      </c>
      <c r="L1770">
        <f>'19_Расчет_аналитики'!L1752</f>
        <v/>
      </c>
      <c r="M1770">
        <f>'19_Расчет_аналитики'!M1752</f>
        <v/>
      </c>
      <c r="N1770">
        <f>'19_Расчет_аналитики'!N1752</f>
        <v/>
      </c>
      <c r="O1770">
        <f>'19_Расчет_аналитики'!O1752</f>
        <v/>
      </c>
      <c r="P1770">
        <f>'19_Расчет_аналитики'!P1752</f>
        <v/>
      </c>
      <c r="Q1770">
        <f>'19_Расчет_аналитики'!Q1752</f>
        <v/>
      </c>
      <c r="R1770">
        <f>'19_Расчет_аналитики'!R1752</f>
        <v/>
      </c>
      <c r="S1770">
        <f>'19_Расчет_аналитики'!S1752</f>
        <v/>
      </c>
      <c r="T1770">
        <f>'19_Расчет_аналитики'!T1752</f>
        <v/>
      </c>
      <c r="U1770">
        <f>'19_Расчет_аналитики'!U1752</f>
        <v/>
      </c>
      <c r="V1770">
        <f>'19_Расчет_аналитики'!V1752</f>
        <v/>
      </c>
      <c r="W1770">
        <f>'19_Расчет_аналитики'!W1752</f>
        <v/>
      </c>
      <c r="X1770">
        <f>'19_Расчет_аналитики'!X1752</f>
        <v/>
      </c>
      <c r="Y1770">
        <f>'19_Расчет_аналитики'!Y1752</f>
        <v/>
      </c>
      <c r="Z1770">
        <f>'19_Расчет_аналитики'!Z1752</f>
        <v/>
      </c>
      <c r="AA1770">
        <f>'19_Расчет_аналитики'!AA1752</f>
        <v/>
      </c>
      <c r="AB1770">
        <f>'19_Расчет_аналитики'!AB1752</f>
        <v/>
      </c>
      <c r="AC1770">
        <f>'19_Расчет_аналитики'!AC1752</f>
        <v/>
      </c>
      <c r="AD1770">
        <f>'19_Расчет_аналитики'!AD1752</f>
        <v/>
      </c>
      <c r="AE1770">
        <f>'19_Расчет_аналитики'!AE1752</f>
        <v/>
      </c>
      <c r="AF1770">
        <f>'19_Расчет_аналитики'!AF1752</f>
        <v/>
      </c>
      <c r="AG1770">
        <f>'19_Расчет_аналитики'!AG1752</f>
        <v/>
      </c>
      <c r="AH1770">
        <f>'19_Расчет_аналитики'!AH1752</f>
        <v/>
      </c>
      <c r="AI1770">
        <f>'19_Расчет_аналитики'!AI1752</f>
        <v/>
      </c>
      <c r="AJ1770">
        <f>'19_Расчет_аналитики'!AJ1752</f>
        <v/>
      </c>
      <c r="AK1770">
        <f>'19_Расчет_аналитики'!AK1752</f>
        <v/>
      </c>
      <c r="AL1770">
        <f>'19_Расчет_аналитики'!AL1752</f>
        <v/>
      </c>
      <c r="AM1770">
        <f>'19_Расчет_аналитики'!AM1752</f>
        <v/>
      </c>
      <c r="AN1770">
        <f>'19_Расчет_аналитики'!AN1752</f>
        <v/>
      </c>
      <c r="AO1770">
        <f>'19_Расчет_аналитики'!AO1752</f>
        <v/>
      </c>
      <c r="AP1770">
        <f>'19_Расчет_аналитики'!AP1752</f>
        <v/>
      </c>
      <c r="AQ1770">
        <f>'19_Расчет_аналитики'!AQ1752</f>
        <v/>
      </c>
      <c r="AR1770">
        <f>'19_Расчет_аналитики'!AR1752</f>
        <v/>
      </c>
      <c r="AS1770">
        <f>'19_Расчет_аналитики'!AS1752</f>
        <v/>
      </c>
      <c r="AT1770">
        <f>'19_Расчет_аналитики'!AT1752</f>
        <v/>
      </c>
      <c r="AU1770">
        <f>'19_Расчет_аналитики'!AU1752</f>
        <v/>
      </c>
      <c r="AV1770">
        <f>'19_Расчет_аналитики'!AV1752</f>
        <v/>
      </c>
      <c r="AW1770">
        <f>'19_Расчет_аналитики'!AW1752</f>
        <v/>
      </c>
      <c r="AX1770">
        <f>'19_Расчет_аналитики'!AX1752</f>
        <v/>
      </c>
      <c r="AY1770">
        <f>'19_Расчет_аналитики'!AY1752</f>
        <v/>
      </c>
      <c r="AZ1770">
        <f>'19_Расчет_аналитики'!AZ1752</f>
        <v/>
      </c>
      <c r="BA1770">
        <f>'19_Расчет_аналитики'!BA1752</f>
        <v/>
      </c>
      <c r="BB1770">
        <f>'19_Расчет_аналитики'!BB1752</f>
        <v/>
      </c>
      <c r="BC1770">
        <f>'19_Расчет_аналитики'!BC1752</f>
        <v/>
      </c>
      <c r="BD1770">
        <f>'19_Расчет_аналитики'!BD1752</f>
        <v/>
      </c>
      <c r="BE1770">
        <f>'19_Расчет_аналитики'!BE1752</f>
        <v/>
      </c>
      <c r="BF1770">
        <f>'19_Расчет_аналитики'!BF1752</f>
        <v/>
      </c>
      <c r="BG1770">
        <f>'19_Расчет_аналитики'!BG1752</f>
        <v/>
      </c>
      <c r="BH1770">
        <f>'19_Расчет_аналитики'!BH1752</f>
        <v/>
      </c>
      <c r="BI1770">
        <f>'19_Расчет_аналитики'!BI1752</f>
        <v/>
      </c>
    </row>
    <row r="1771">
      <c r="B1771">
        <f>'19_Расчет_аналитики'!B1638</f>
        <v/>
      </c>
      <c r="C1771">
        <f>'19_Расчет_аналитики'!C1638</f>
        <v/>
      </c>
      <c r="D1771">
        <f>'19_Расчет_аналитики'!D1638</f>
        <v/>
      </c>
      <c r="E1771">
        <f>'19_Расчет_аналитики'!E1638</f>
        <v/>
      </c>
      <c r="F1771">
        <f>'19_Расчет_аналитики'!F1638</f>
        <v/>
      </c>
      <c r="G1771">
        <f>'19_Расчет_аналитики'!G1638</f>
        <v/>
      </c>
      <c r="H1771">
        <f>'19_Расчет_аналитики'!H1638</f>
        <v/>
      </c>
      <c r="I1771">
        <f>'19_Расчет_аналитики'!I1638</f>
        <v/>
      </c>
      <c r="J1771">
        <f>'19_Расчет_аналитики'!J1638</f>
        <v/>
      </c>
      <c r="K1771">
        <f>'19_Расчет_аналитики'!K1638</f>
        <v/>
      </c>
      <c r="L1771">
        <f>'19_Расчет_аналитики'!L1638</f>
        <v/>
      </c>
      <c r="M1771">
        <f>'19_Расчет_аналитики'!M1638</f>
        <v/>
      </c>
      <c r="N1771">
        <f>'19_Расчет_аналитики'!N1638</f>
        <v/>
      </c>
      <c r="O1771">
        <f>'19_Расчет_аналитики'!O1638</f>
        <v/>
      </c>
      <c r="P1771">
        <f>'19_Расчет_аналитики'!P1638</f>
        <v/>
      </c>
      <c r="Q1771">
        <f>'19_Расчет_аналитики'!Q1638</f>
        <v/>
      </c>
      <c r="R1771">
        <f>'19_Расчет_аналитики'!R1638</f>
        <v/>
      </c>
      <c r="S1771">
        <f>'19_Расчет_аналитики'!S1638</f>
        <v/>
      </c>
      <c r="T1771">
        <f>'19_Расчет_аналитики'!T1638</f>
        <v/>
      </c>
      <c r="U1771">
        <f>'19_Расчет_аналитики'!U1638</f>
        <v/>
      </c>
      <c r="V1771">
        <f>'19_Расчет_аналитики'!V1638</f>
        <v/>
      </c>
      <c r="W1771">
        <f>'19_Расчет_аналитики'!W1638</f>
        <v/>
      </c>
      <c r="X1771">
        <f>'19_Расчет_аналитики'!X1638</f>
        <v/>
      </c>
      <c r="Y1771">
        <f>'19_Расчет_аналитики'!Y1638</f>
        <v/>
      </c>
      <c r="Z1771">
        <f>'19_Расчет_аналитики'!Z1638</f>
        <v/>
      </c>
      <c r="AA1771">
        <f>'19_Расчет_аналитики'!AA1638</f>
        <v/>
      </c>
      <c r="AB1771">
        <f>'19_Расчет_аналитики'!AB1638</f>
        <v/>
      </c>
      <c r="AC1771">
        <f>'19_Расчет_аналитики'!AC1638</f>
        <v/>
      </c>
      <c r="AD1771">
        <f>'19_Расчет_аналитики'!AD1638</f>
        <v/>
      </c>
      <c r="AE1771">
        <f>'19_Расчет_аналитики'!AE1638</f>
        <v/>
      </c>
      <c r="AF1771">
        <f>'19_Расчет_аналитики'!AF1638</f>
        <v/>
      </c>
      <c r="AG1771">
        <f>'19_Расчет_аналитики'!AG1638</f>
        <v/>
      </c>
      <c r="AH1771">
        <f>'19_Расчет_аналитики'!AH1638</f>
        <v/>
      </c>
      <c r="AI1771">
        <f>'19_Расчет_аналитики'!AI1638</f>
        <v/>
      </c>
      <c r="AJ1771">
        <f>'19_Расчет_аналитики'!AJ1638</f>
        <v/>
      </c>
      <c r="AK1771">
        <f>'19_Расчет_аналитики'!AK1638</f>
        <v/>
      </c>
      <c r="AL1771">
        <f>'19_Расчет_аналитики'!AL1638</f>
        <v/>
      </c>
      <c r="AM1771">
        <f>'19_Расчет_аналитики'!AM1638</f>
        <v/>
      </c>
      <c r="AN1771">
        <f>'19_Расчет_аналитики'!AN1638</f>
        <v/>
      </c>
      <c r="AO1771">
        <f>'19_Расчет_аналитики'!AO1638</f>
        <v/>
      </c>
      <c r="AP1771">
        <f>'19_Расчет_аналитики'!AP1638</f>
        <v/>
      </c>
      <c r="AQ1771">
        <f>'19_Расчет_аналитики'!AQ1638</f>
        <v/>
      </c>
      <c r="AR1771">
        <f>'19_Расчет_аналитики'!AR1638</f>
        <v/>
      </c>
      <c r="AS1771">
        <f>'19_Расчет_аналитики'!AS1638</f>
        <v/>
      </c>
      <c r="AT1771">
        <f>'19_Расчет_аналитики'!AT1638</f>
        <v/>
      </c>
      <c r="AU1771">
        <f>'19_Расчет_аналитики'!AU1638</f>
        <v/>
      </c>
      <c r="AV1771">
        <f>'19_Расчет_аналитики'!AV1638</f>
        <v/>
      </c>
      <c r="AW1771">
        <f>'19_Расчет_аналитики'!AW1638</f>
        <v/>
      </c>
      <c r="AX1771">
        <f>'19_Расчет_аналитики'!AX1638</f>
        <v/>
      </c>
      <c r="AY1771">
        <f>'19_Расчет_аналитики'!AY1638</f>
        <v/>
      </c>
      <c r="AZ1771">
        <f>'19_Расчет_аналитики'!AZ1638</f>
        <v/>
      </c>
      <c r="BA1771">
        <f>'19_Расчет_аналитики'!BA1638</f>
        <v/>
      </c>
      <c r="BB1771">
        <f>'19_Расчет_аналитики'!BB1638</f>
        <v/>
      </c>
      <c r="BC1771">
        <f>'19_Расчет_аналитики'!BC1638</f>
        <v/>
      </c>
      <c r="BD1771">
        <f>'19_Расчет_аналитики'!BD1638</f>
        <v/>
      </c>
      <c r="BE1771">
        <f>'19_Расчет_аналитики'!BE1638</f>
        <v/>
      </c>
      <c r="BF1771">
        <f>'19_Расчет_аналитики'!BF1638</f>
        <v/>
      </c>
      <c r="BG1771">
        <f>'19_Расчет_аналитики'!BG1638</f>
        <v/>
      </c>
      <c r="BH1771">
        <f>'19_Расчет_аналитики'!BH1638</f>
        <v/>
      </c>
      <c r="BI1771">
        <f>'19_Расчет_аналитики'!BI1638</f>
        <v/>
      </c>
    </row>
    <row r="1772"/>
    <row r="1773">
      <c r="B1773">
        <f>SUM('19_Расчет_аналитики'!B1763:B1770)+'02_Модель'!B66</f>
        <v/>
      </c>
      <c r="C1773">
        <f>SUM('19_Расчет_аналитики'!C1763:C1770)+'02_Модель'!C66</f>
        <v/>
      </c>
      <c r="D1773">
        <f>SUM('19_Расчет_аналитики'!D1763:D1770)+'02_Модель'!D66</f>
        <v/>
      </c>
      <c r="E1773">
        <f>SUM('19_Расчет_аналитики'!E1763:E1770)+'02_Модель'!E66</f>
        <v/>
      </c>
      <c r="F1773">
        <f>SUM('19_Расчет_аналитики'!F1763:F1770)+'02_Модель'!F66</f>
        <v/>
      </c>
      <c r="G1773">
        <f>SUM('19_Расчет_аналитики'!G1763:G1770)+'02_Модель'!G66</f>
        <v/>
      </c>
      <c r="H1773">
        <f>SUM('19_Расчет_аналитики'!H1763:H1770)+'02_Модель'!H66</f>
        <v/>
      </c>
      <c r="I1773">
        <f>SUM('19_Расчет_аналитики'!I1763:I1770)+'02_Модель'!I66</f>
        <v/>
      </c>
      <c r="J1773">
        <f>SUM('19_Расчет_аналитики'!J1763:J1770)+'02_Модель'!J66</f>
        <v/>
      </c>
      <c r="K1773">
        <f>SUM('19_Расчет_аналитики'!K1763:K1770)+'02_Модель'!K66</f>
        <v/>
      </c>
      <c r="L1773">
        <f>SUM('19_Расчет_аналитики'!L1763:L1770)+'02_Модель'!L66</f>
        <v/>
      </c>
      <c r="M1773">
        <f>SUM('19_Расчет_аналитики'!M1763:M1770)+'02_Модель'!M66</f>
        <v/>
      </c>
      <c r="N1773">
        <f>SUM('19_Расчет_аналитики'!N1763:N1770)+'02_Модель'!N66</f>
        <v/>
      </c>
      <c r="O1773">
        <f>SUM('19_Расчет_аналитики'!O1763:O1770)+'02_Модель'!O66</f>
        <v/>
      </c>
      <c r="P1773">
        <f>SUM('19_Расчет_аналитики'!P1763:P1770)+'02_Модель'!P66</f>
        <v/>
      </c>
      <c r="Q1773">
        <f>SUM('19_Расчет_аналитики'!Q1763:Q1770)+'02_Модель'!Q66</f>
        <v/>
      </c>
      <c r="R1773">
        <f>SUM('19_Расчет_аналитики'!R1763:R1770)+'02_Модель'!R66</f>
        <v/>
      </c>
      <c r="S1773">
        <f>SUM('19_Расчет_аналитики'!S1763:S1770)+'02_Модель'!S66</f>
        <v/>
      </c>
      <c r="T1773">
        <f>SUM('19_Расчет_аналитики'!T1763:T1770)+'02_Модель'!T66</f>
        <v/>
      </c>
      <c r="U1773">
        <f>SUM('19_Расчет_аналитики'!U1763:U1770)+'02_Модель'!U66</f>
        <v/>
      </c>
      <c r="V1773">
        <f>SUM('19_Расчет_аналитики'!V1763:V1770)+'02_Модель'!V66</f>
        <v/>
      </c>
      <c r="W1773">
        <f>SUM('19_Расчет_аналитики'!W1763:W1770)+'02_Модель'!W66</f>
        <v/>
      </c>
      <c r="X1773">
        <f>SUM('19_Расчет_аналитики'!X1763:X1770)+'02_Модель'!X66</f>
        <v/>
      </c>
      <c r="Y1773">
        <f>SUM('19_Расчет_аналитики'!Y1763:Y1770)+'02_Модель'!Y66</f>
        <v/>
      </c>
      <c r="Z1773">
        <f>SUM('19_Расчет_аналитики'!Z1763:Z1770)+'02_Модель'!Z66</f>
        <v/>
      </c>
      <c r="AA1773">
        <f>SUM('19_Расчет_аналитики'!AA1763:AA1770)+'02_Модель'!AA66</f>
        <v/>
      </c>
      <c r="AB1773">
        <f>SUM('19_Расчет_аналитики'!AB1763:AB1770)+'02_Модель'!AB66</f>
        <v/>
      </c>
      <c r="AC1773">
        <f>SUM('19_Расчет_аналитики'!AC1763:AC1770)+'02_Модель'!AC66</f>
        <v/>
      </c>
      <c r="AD1773">
        <f>SUM('19_Расчет_аналитики'!AD1763:AD1770)+'02_Модель'!AD66</f>
        <v/>
      </c>
      <c r="AE1773">
        <f>SUM('19_Расчет_аналитики'!AE1763:AE1770)+'02_Модель'!AE66</f>
        <v/>
      </c>
      <c r="AF1773">
        <f>SUM('19_Расчет_аналитики'!AF1763:AF1770)+'02_Модель'!AF66</f>
        <v/>
      </c>
      <c r="AG1773">
        <f>SUM('19_Расчет_аналитики'!AG1763:AG1770)+'02_Модель'!AG66</f>
        <v/>
      </c>
      <c r="AH1773">
        <f>SUM('19_Расчет_аналитики'!AH1763:AH1770)+'02_Модель'!AH66</f>
        <v/>
      </c>
      <c r="AI1773">
        <f>SUM('19_Расчет_аналитики'!AI1763:AI1770)+'02_Модель'!AI66</f>
        <v/>
      </c>
      <c r="AJ1773">
        <f>SUM('19_Расчет_аналитики'!AJ1763:AJ1770)+'02_Модель'!AJ66</f>
        <v/>
      </c>
      <c r="AK1773">
        <f>SUM('19_Расчет_аналитики'!AK1763:AK1770)+'02_Модель'!AK66</f>
        <v/>
      </c>
      <c r="AL1773">
        <f>SUM('19_Расчет_аналитики'!AL1763:AL1770)+'02_Модель'!AL66</f>
        <v/>
      </c>
      <c r="AM1773">
        <f>SUM('19_Расчет_аналитики'!AM1763:AM1770)+'02_Модель'!AM66</f>
        <v/>
      </c>
      <c r="AN1773">
        <f>SUM('19_Расчет_аналитики'!AN1763:AN1770)+'02_Модель'!AN66</f>
        <v/>
      </c>
      <c r="AO1773">
        <f>SUM('19_Расчет_аналитики'!AO1763:AO1770)+'02_Модель'!AO66</f>
        <v/>
      </c>
      <c r="AP1773">
        <f>SUM('19_Расчет_аналитики'!AP1763:AP1770)+'02_Модель'!AP66</f>
        <v/>
      </c>
      <c r="AQ1773">
        <f>SUM('19_Расчет_аналитики'!AQ1763:AQ1770)+'02_Модель'!AQ66</f>
        <v/>
      </c>
      <c r="AR1773">
        <f>SUM('19_Расчет_аналитики'!AR1763:AR1770)+'02_Модель'!AR66</f>
        <v/>
      </c>
      <c r="AS1773">
        <f>SUM('19_Расчет_аналитики'!AS1763:AS1770)+'02_Модель'!AS66</f>
        <v/>
      </c>
      <c r="AT1773">
        <f>SUM('19_Расчет_аналитики'!AT1763:AT1770)+'02_Модель'!AT66</f>
        <v/>
      </c>
      <c r="AU1773">
        <f>SUM('19_Расчет_аналитики'!AU1763:AU1770)+'02_Модель'!AU66</f>
        <v/>
      </c>
      <c r="AV1773">
        <f>SUM('19_Расчет_аналитики'!AV1763:AV1770)+'02_Модель'!AV66</f>
        <v/>
      </c>
      <c r="AW1773">
        <f>SUM('19_Расчет_аналитики'!AW1763:AW1770)+'02_Модель'!AW66</f>
        <v/>
      </c>
      <c r="AX1773">
        <f>SUM('19_Расчет_аналитики'!AX1763:AX1770)+'02_Модель'!AX66</f>
        <v/>
      </c>
      <c r="AY1773">
        <f>SUM('19_Расчет_аналитики'!AY1763:AY1770)+'02_Модель'!AY66</f>
        <v/>
      </c>
      <c r="AZ1773">
        <f>SUM('19_Расчет_аналитики'!AZ1763:AZ1770)+'02_Модель'!AZ66</f>
        <v/>
      </c>
      <c r="BA1773">
        <f>SUM('19_Расчет_аналитики'!BA1763:BA1770)+'02_Модель'!BA66</f>
        <v/>
      </c>
      <c r="BB1773">
        <f>SUM('19_Расчет_аналитики'!BB1763:BB1770)+'02_Модель'!BB66</f>
        <v/>
      </c>
      <c r="BC1773">
        <f>SUM('19_Расчет_аналитики'!BC1763:BC1770)+'02_Модель'!BC66</f>
        <v/>
      </c>
      <c r="BD1773">
        <f>SUM('19_Расчет_аналитики'!BD1763:BD1770)+'02_Модель'!BD66</f>
        <v/>
      </c>
      <c r="BE1773">
        <f>SUM('19_Расчет_аналитики'!BE1763:BE1770)+'02_Модель'!BE66</f>
        <v/>
      </c>
      <c r="BF1773">
        <f>SUM('19_Расчет_аналитики'!BF1763:BF1770)+'02_Модель'!BF66</f>
        <v/>
      </c>
      <c r="BG1773">
        <f>SUM('19_Расчет_аналитики'!BG1763:BG1770)+'02_Модель'!BG66</f>
        <v/>
      </c>
      <c r="BH1773">
        <f>SUM('19_Расчет_аналитики'!BH1763:BH1770)+'02_Модель'!BH66</f>
        <v/>
      </c>
      <c r="BI1773">
        <f>SUM('19_Расчет_аналитики'!BI1763:BI1770)+'02_Модель'!BI66</f>
        <v/>
      </c>
    </row>
    <row r="1774">
      <c r="B1774">
        <f>'19_Расчет_аналитики'!B1762-'19_Расчет_аналитики'!B1773</f>
        <v/>
      </c>
      <c r="C1774">
        <f>'19_Расчет_аналитики'!C1762-'19_Расчет_аналитики'!C1773</f>
        <v/>
      </c>
      <c r="D1774">
        <f>'19_Расчет_аналитики'!D1762-'19_Расчет_аналитики'!D1773</f>
        <v/>
      </c>
      <c r="E1774">
        <f>'19_Расчет_аналитики'!E1762-'19_Расчет_аналитики'!E1773</f>
        <v/>
      </c>
      <c r="F1774">
        <f>'19_Расчет_аналитики'!F1762-'19_Расчет_аналитики'!F1773</f>
        <v/>
      </c>
      <c r="G1774">
        <f>'19_Расчет_аналитики'!G1762-'19_Расчет_аналитики'!G1773</f>
        <v/>
      </c>
      <c r="H1774">
        <f>'19_Расчет_аналитики'!H1762-'19_Расчет_аналитики'!H1773</f>
        <v/>
      </c>
      <c r="I1774">
        <f>'19_Расчет_аналитики'!I1762-'19_Расчет_аналитики'!I1773</f>
        <v/>
      </c>
      <c r="J1774">
        <f>'19_Расчет_аналитики'!J1762-'19_Расчет_аналитики'!J1773</f>
        <v/>
      </c>
      <c r="K1774">
        <f>'19_Расчет_аналитики'!K1762-'19_Расчет_аналитики'!K1773</f>
        <v/>
      </c>
      <c r="L1774">
        <f>'19_Расчет_аналитики'!L1762-'19_Расчет_аналитики'!L1773</f>
        <v/>
      </c>
      <c r="M1774">
        <f>'19_Расчет_аналитики'!M1762-'19_Расчет_аналитики'!M1773</f>
        <v/>
      </c>
      <c r="N1774">
        <f>'19_Расчет_аналитики'!N1762-'19_Расчет_аналитики'!N1773</f>
        <v/>
      </c>
      <c r="O1774">
        <f>'19_Расчет_аналитики'!O1762-'19_Расчет_аналитики'!O1773</f>
        <v/>
      </c>
      <c r="P1774">
        <f>'19_Расчет_аналитики'!P1762-'19_Расчет_аналитики'!P1773</f>
        <v/>
      </c>
      <c r="Q1774">
        <f>'19_Расчет_аналитики'!Q1762-'19_Расчет_аналитики'!Q1773</f>
        <v/>
      </c>
      <c r="R1774">
        <f>'19_Расчет_аналитики'!R1762-'19_Расчет_аналитики'!R1773</f>
        <v/>
      </c>
      <c r="S1774">
        <f>'19_Расчет_аналитики'!S1762-'19_Расчет_аналитики'!S1773</f>
        <v/>
      </c>
      <c r="T1774">
        <f>'19_Расчет_аналитики'!T1762-'19_Расчет_аналитики'!T1773</f>
        <v/>
      </c>
      <c r="U1774">
        <f>'19_Расчет_аналитики'!U1762-'19_Расчет_аналитики'!U1773</f>
        <v/>
      </c>
      <c r="V1774">
        <f>'19_Расчет_аналитики'!V1762-'19_Расчет_аналитики'!V1773</f>
        <v/>
      </c>
      <c r="W1774">
        <f>'19_Расчет_аналитики'!W1762-'19_Расчет_аналитики'!W1773</f>
        <v/>
      </c>
      <c r="X1774">
        <f>'19_Расчет_аналитики'!X1762-'19_Расчет_аналитики'!X1773</f>
        <v/>
      </c>
      <c r="Y1774">
        <f>'19_Расчет_аналитики'!Y1762-'19_Расчет_аналитики'!Y1773</f>
        <v/>
      </c>
      <c r="Z1774">
        <f>'19_Расчет_аналитики'!Z1762-'19_Расчет_аналитики'!Z1773</f>
        <v/>
      </c>
      <c r="AA1774">
        <f>'19_Расчет_аналитики'!AA1762-'19_Расчет_аналитики'!AA1773</f>
        <v/>
      </c>
      <c r="AB1774">
        <f>'19_Расчет_аналитики'!AB1762-'19_Расчет_аналитики'!AB1773</f>
        <v/>
      </c>
      <c r="AC1774">
        <f>'19_Расчет_аналитики'!AC1762-'19_Расчет_аналитики'!AC1773</f>
        <v/>
      </c>
      <c r="AD1774">
        <f>'19_Расчет_аналитики'!AD1762-'19_Расчет_аналитики'!AD1773</f>
        <v/>
      </c>
      <c r="AE1774">
        <f>'19_Расчет_аналитики'!AE1762-'19_Расчет_аналитики'!AE1773</f>
        <v/>
      </c>
      <c r="AF1774">
        <f>'19_Расчет_аналитики'!AF1762-'19_Расчет_аналитики'!AF1773</f>
        <v/>
      </c>
      <c r="AG1774">
        <f>'19_Расчет_аналитики'!AG1762-'19_Расчет_аналитики'!AG1773</f>
        <v/>
      </c>
      <c r="AH1774">
        <f>'19_Расчет_аналитики'!AH1762-'19_Расчет_аналитики'!AH1773</f>
        <v/>
      </c>
      <c r="AI1774">
        <f>'19_Расчет_аналитики'!AI1762-'19_Расчет_аналитики'!AI1773</f>
        <v/>
      </c>
      <c r="AJ1774">
        <f>'19_Расчет_аналитики'!AJ1762-'19_Расчет_аналитики'!AJ1773</f>
        <v/>
      </c>
      <c r="AK1774">
        <f>'19_Расчет_аналитики'!AK1762-'19_Расчет_аналитики'!AK1773</f>
        <v/>
      </c>
      <c r="AL1774">
        <f>'19_Расчет_аналитики'!AL1762-'19_Расчет_аналитики'!AL1773</f>
        <v/>
      </c>
      <c r="AM1774">
        <f>'19_Расчет_аналитики'!AM1762-'19_Расчет_аналитики'!AM1773</f>
        <v/>
      </c>
      <c r="AN1774">
        <f>'19_Расчет_аналитики'!AN1762-'19_Расчет_аналитики'!AN1773</f>
        <v/>
      </c>
      <c r="AO1774">
        <f>'19_Расчет_аналитики'!AO1762-'19_Расчет_аналитики'!AO1773</f>
        <v/>
      </c>
      <c r="AP1774">
        <f>'19_Расчет_аналитики'!AP1762-'19_Расчет_аналитики'!AP1773</f>
        <v/>
      </c>
      <c r="AQ1774">
        <f>'19_Расчет_аналитики'!AQ1762-'19_Расчет_аналитики'!AQ1773</f>
        <v/>
      </c>
      <c r="AR1774">
        <f>'19_Расчет_аналитики'!AR1762-'19_Расчет_аналитики'!AR1773</f>
        <v/>
      </c>
      <c r="AS1774">
        <f>'19_Расчет_аналитики'!AS1762-'19_Расчет_аналитики'!AS1773</f>
        <v/>
      </c>
      <c r="AT1774">
        <f>'19_Расчет_аналитики'!AT1762-'19_Расчет_аналитики'!AT1773</f>
        <v/>
      </c>
      <c r="AU1774">
        <f>'19_Расчет_аналитики'!AU1762-'19_Расчет_аналитики'!AU1773</f>
        <v/>
      </c>
      <c r="AV1774">
        <f>'19_Расчет_аналитики'!AV1762-'19_Расчет_аналитики'!AV1773</f>
        <v/>
      </c>
      <c r="AW1774">
        <f>'19_Расчет_аналитики'!AW1762-'19_Расчет_аналитики'!AW1773</f>
        <v/>
      </c>
      <c r="AX1774">
        <f>'19_Расчет_аналитики'!AX1762-'19_Расчет_аналитики'!AX1773</f>
        <v/>
      </c>
      <c r="AY1774">
        <f>'19_Расчет_аналитики'!AY1762-'19_Расчет_аналитики'!AY1773</f>
        <v/>
      </c>
      <c r="AZ1774">
        <f>'19_Расчет_аналитики'!AZ1762-'19_Расчет_аналитики'!AZ1773</f>
        <v/>
      </c>
      <c r="BA1774">
        <f>'19_Расчет_аналитики'!BA1762-'19_Расчет_аналитики'!BA1773</f>
        <v/>
      </c>
      <c r="BB1774">
        <f>'19_Расчет_аналитики'!BB1762-'19_Расчет_аналитики'!BB1773</f>
        <v/>
      </c>
      <c r="BC1774">
        <f>'19_Расчет_аналитики'!BC1762-'19_Расчет_аналитики'!BC1773</f>
        <v/>
      </c>
      <c r="BD1774">
        <f>'19_Расчет_аналитики'!BD1762-'19_Расчет_аналитики'!BD1773</f>
        <v/>
      </c>
      <c r="BE1774">
        <f>'19_Расчет_аналитики'!BE1762-'19_Расчет_аналитики'!BE1773</f>
        <v/>
      </c>
      <c r="BF1774">
        <f>'19_Расчет_аналитики'!BF1762-'19_Расчет_аналитики'!BF1773</f>
        <v/>
      </c>
      <c r="BG1774">
        <f>'19_Расчет_аналитики'!BG1762-'19_Расчет_аналитики'!BG1773</f>
        <v/>
      </c>
      <c r="BH1774">
        <f>'19_Расчет_аналитики'!BH1762-'19_Расчет_аналитики'!BH1773</f>
        <v/>
      </c>
      <c r="BI1774">
        <f>'19_Расчет_аналитики'!BI1762-'19_Расчет_аналитики'!BI1773</f>
        <v/>
      </c>
    </row>
    <row r="1775">
      <c r="B1775">
        <f>'02_Модель'!B51+'19_Расчет_аналитики'!B1774</f>
        <v/>
      </c>
      <c r="C1775">
        <f>'19_Расчет_аналитики'!C1757+'19_Расчет_аналитики'!C1774</f>
        <v/>
      </c>
      <c r="D1775">
        <f>'19_Расчет_аналитики'!D1757+'19_Расчет_аналитики'!D1774</f>
        <v/>
      </c>
      <c r="E1775">
        <f>'19_Расчет_аналитики'!E1757+'19_Расчет_аналитики'!E1774</f>
        <v/>
      </c>
      <c r="F1775">
        <f>'19_Расчет_аналитики'!F1757+'19_Расчет_аналитики'!F1774</f>
        <v/>
      </c>
      <c r="G1775">
        <f>'19_Расчет_аналитики'!G1757+'19_Расчет_аналитики'!G1774</f>
        <v/>
      </c>
      <c r="H1775">
        <f>'19_Расчет_аналитики'!H1757+'19_Расчет_аналитики'!H1774</f>
        <v/>
      </c>
      <c r="I1775">
        <f>'19_Расчет_аналитики'!I1757+'19_Расчет_аналитики'!I1774</f>
        <v/>
      </c>
      <c r="J1775">
        <f>'19_Расчет_аналитики'!J1757+'19_Расчет_аналитики'!J1774</f>
        <v/>
      </c>
      <c r="K1775">
        <f>'19_Расчет_аналитики'!K1757+'19_Расчет_аналитики'!K1774</f>
        <v/>
      </c>
      <c r="L1775">
        <f>'19_Расчет_аналитики'!L1757+'19_Расчет_аналитики'!L1774</f>
        <v/>
      </c>
      <c r="M1775">
        <f>'19_Расчет_аналитики'!M1757+'19_Расчет_аналитики'!M1774</f>
        <v/>
      </c>
      <c r="N1775">
        <f>'19_Расчет_аналитики'!N1757+'19_Расчет_аналитики'!N1774</f>
        <v/>
      </c>
      <c r="O1775">
        <f>'19_Расчет_аналитики'!O1757+'19_Расчет_аналитики'!O1774</f>
        <v/>
      </c>
      <c r="P1775">
        <f>'19_Расчет_аналитики'!P1757+'19_Расчет_аналитики'!P1774</f>
        <v/>
      </c>
      <c r="Q1775">
        <f>'19_Расчет_аналитики'!Q1757+'19_Расчет_аналитики'!Q1774</f>
        <v/>
      </c>
      <c r="R1775">
        <f>'19_Расчет_аналитики'!R1757+'19_Расчет_аналитики'!R1774</f>
        <v/>
      </c>
      <c r="S1775">
        <f>'19_Расчет_аналитики'!S1757+'19_Расчет_аналитики'!S1774</f>
        <v/>
      </c>
      <c r="T1775">
        <f>'19_Расчет_аналитики'!T1757+'19_Расчет_аналитики'!T1774</f>
        <v/>
      </c>
      <c r="U1775">
        <f>'19_Расчет_аналитики'!U1757+'19_Расчет_аналитики'!U1774</f>
        <v/>
      </c>
      <c r="V1775">
        <f>'19_Расчет_аналитики'!V1757+'19_Расчет_аналитики'!V1774</f>
        <v/>
      </c>
      <c r="W1775">
        <f>'19_Расчет_аналитики'!W1757+'19_Расчет_аналитики'!W1774</f>
        <v/>
      </c>
      <c r="X1775">
        <f>'19_Расчет_аналитики'!X1757+'19_Расчет_аналитики'!X1774</f>
        <v/>
      </c>
      <c r="Y1775">
        <f>'19_Расчет_аналитики'!Y1757+'19_Расчет_аналитики'!Y1774</f>
        <v/>
      </c>
      <c r="Z1775">
        <f>'19_Расчет_аналитики'!Z1757+'19_Расчет_аналитики'!Z1774</f>
        <v/>
      </c>
      <c r="AA1775">
        <f>'19_Расчет_аналитики'!AA1757+'19_Расчет_аналитики'!AA1774</f>
        <v/>
      </c>
      <c r="AB1775">
        <f>'19_Расчет_аналитики'!AB1757+'19_Расчет_аналитики'!AB1774</f>
        <v/>
      </c>
      <c r="AC1775">
        <f>'19_Расчет_аналитики'!AC1757+'19_Расчет_аналитики'!AC1774</f>
        <v/>
      </c>
      <c r="AD1775">
        <f>'19_Расчет_аналитики'!AD1757+'19_Расчет_аналитики'!AD1774</f>
        <v/>
      </c>
      <c r="AE1775">
        <f>'19_Расчет_аналитики'!AE1757+'19_Расчет_аналитики'!AE1774</f>
        <v/>
      </c>
      <c r="AF1775">
        <f>'19_Расчет_аналитики'!AF1757+'19_Расчет_аналитики'!AF1774</f>
        <v/>
      </c>
      <c r="AG1775">
        <f>'19_Расчет_аналитики'!AG1757+'19_Расчет_аналитики'!AG1774</f>
        <v/>
      </c>
      <c r="AH1775">
        <f>'19_Расчет_аналитики'!AH1757+'19_Расчет_аналитики'!AH1774</f>
        <v/>
      </c>
      <c r="AI1775">
        <f>'19_Расчет_аналитики'!AI1757+'19_Расчет_аналитики'!AI1774</f>
        <v/>
      </c>
      <c r="AJ1775">
        <f>'19_Расчет_аналитики'!AJ1757+'19_Расчет_аналитики'!AJ1774</f>
        <v/>
      </c>
      <c r="AK1775">
        <f>'19_Расчет_аналитики'!AK1757+'19_Расчет_аналитики'!AK1774</f>
        <v/>
      </c>
      <c r="AL1775">
        <f>'19_Расчет_аналитики'!AL1757+'19_Расчет_аналитики'!AL1774</f>
        <v/>
      </c>
      <c r="AM1775">
        <f>'19_Расчет_аналитики'!AM1757+'19_Расчет_аналитики'!AM1774</f>
        <v/>
      </c>
      <c r="AN1775">
        <f>'19_Расчет_аналитики'!AN1757+'19_Расчет_аналитики'!AN1774</f>
        <v/>
      </c>
      <c r="AO1775">
        <f>'19_Расчет_аналитики'!AO1757+'19_Расчет_аналитики'!AO1774</f>
        <v/>
      </c>
      <c r="AP1775">
        <f>'19_Расчет_аналитики'!AP1757+'19_Расчет_аналитики'!AP1774</f>
        <v/>
      </c>
      <c r="AQ1775">
        <f>'19_Расчет_аналитики'!AQ1757+'19_Расчет_аналитики'!AQ1774</f>
        <v/>
      </c>
      <c r="AR1775">
        <f>'19_Расчет_аналитики'!AR1757+'19_Расчет_аналитики'!AR1774</f>
        <v/>
      </c>
      <c r="AS1775">
        <f>'19_Расчет_аналитики'!AS1757+'19_Расчет_аналитики'!AS1774</f>
        <v/>
      </c>
      <c r="AT1775">
        <f>'19_Расчет_аналитики'!AT1757+'19_Расчет_аналитики'!AT1774</f>
        <v/>
      </c>
      <c r="AU1775">
        <f>'19_Расчет_аналитики'!AU1757+'19_Расчет_аналитики'!AU1774</f>
        <v/>
      </c>
      <c r="AV1775">
        <f>'19_Расчет_аналитики'!AV1757+'19_Расчет_аналитики'!AV1774</f>
        <v/>
      </c>
      <c r="AW1775">
        <f>'19_Расчет_аналитики'!AW1757+'19_Расчет_аналитики'!AW1774</f>
        <v/>
      </c>
      <c r="AX1775">
        <f>'19_Расчет_аналитики'!AX1757+'19_Расчет_аналитики'!AX1774</f>
        <v/>
      </c>
      <c r="AY1775">
        <f>'19_Расчет_аналитики'!AY1757+'19_Расчет_аналитики'!AY1774</f>
        <v/>
      </c>
      <c r="AZ1775">
        <f>'19_Расчет_аналитики'!AZ1757+'19_Расчет_аналитики'!AZ1774</f>
        <v/>
      </c>
      <c r="BA1775">
        <f>'19_Расчет_аналитики'!BA1757+'19_Расчет_аналитики'!BA1774</f>
        <v/>
      </c>
      <c r="BB1775">
        <f>'19_Расчет_аналитики'!BB1757+'19_Расчет_аналитики'!BB1774</f>
        <v/>
      </c>
      <c r="BC1775">
        <f>'19_Расчет_аналитики'!BC1757+'19_Расчет_аналитики'!BC1774</f>
        <v/>
      </c>
      <c r="BD1775">
        <f>'19_Расчет_аналитики'!BD1757+'19_Расчет_аналитики'!BD1774</f>
        <v/>
      </c>
      <c r="BE1775">
        <f>'19_Расчет_аналитики'!BE1757+'19_Расчет_аналитики'!BE1774</f>
        <v/>
      </c>
      <c r="BF1775">
        <f>'19_Расчет_аналитики'!BF1757+'19_Расчет_аналитики'!BF1774</f>
        <v/>
      </c>
      <c r="BG1775">
        <f>'19_Расчет_аналитики'!BG1757+'19_Расчет_аналитики'!BG1774</f>
        <v/>
      </c>
      <c r="BH1775">
        <f>'19_Расчет_аналитики'!BH1757+'19_Расчет_аналитики'!BH1774</f>
        <v/>
      </c>
      <c r="BI1775">
        <f>'19_Расчет_аналитики'!BI1757+'19_Расчет_аналитики'!BI1774</f>
        <v/>
      </c>
    </row>
    <row r="1776">
      <c r="B1776">
        <f>'19_Расчет_аналитики'!B1644</f>
        <v/>
      </c>
      <c r="C1776">
        <f>'19_Расчет_аналитики'!C1644</f>
        <v/>
      </c>
      <c r="D1776">
        <f>'19_Расчет_аналитики'!D1644</f>
        <v/>
      </c>
      <c r="E1776">
        <f>'19_Расчет_аналитики'!E1644</f>
        <v/>
      </c>
      <c r="F1776">
        <f>'19_Расчет_аналитики'!F1644</f>
        <v/>
      </c>
      <c r="G1776">
        <f>'19_Расчет_аналитики'!G1644</f>
        <v/>
      </c>
      <c r="H1776">
        <f>'19_Расчет_аналитики'!H1644</f>
        <v/>
      </c>
      <c r="I1776">
        <f>'19_Расчет_аналитики'!I1644</f>
        <v/>
      </c>
      <c r="J1776">
        <f>'19_Расчет_аналитики'!J1644</f>
        <v/>
      </c>
      <c r="K1776">
        <f>'19_Расчет_аналитики'!K1644</f>
        <v/>
      </c>
      <c r="L1776">
        <f>'19_Расчет_аналитики'!L1644</f>
        <v/>
      </c>
      <c r="M1776">
        <f>'19_Расчет_аналитики'!M1644</f>
        <v/>
      </c>
      <c r="N1776">
        <f>'19_Расчет_аналитики'!N1644</f>
        <v/>
      </c>
      <c r="O1776">
        <f>'19_Расчет_аналитики'!O1644</f>
        <v/>
      </c>
      <c r="P1776">
        <f>'19_Расчет_аналитики'!P1644</f>
        <v/>
      </c>
      <c r="Q1776">
        <f>'19_Расчет_аналитики'!Q1644</f>
        <v/>
      </c>
      <c r="R1776">
        <f>'19_Расчет_аналитики'!R1644</f>
        <v/>
      </c>
      <c r="S1776">
        <f>'19_Расчет_аналитики'!S1644</f>
        <v/>
      </c>
      <c r="T1776">
        <f>'19_Расчет_аналитики'!T1644</f>
        <v/>
      </c>
      <c r="U1776">
        <f>'19_Расчет_аналитики'!U1644</f>
        <v/>
      </c>
      <c r="V1776">
        <f>'19_Расчет_аналитики'!V1644</f>
        <v/>
      </c>
      <c r="W1776">
        <f>'19_Расчет_аналитики'!W1644</f>
        <v/>
      </c>
      <c r="X1776">
        <f>'19_Расчет_аналитики'!X1644</f>
        <v/>
      </c>
      <c r="Y1776">
        <f>'19_Расчет_аналитики'!Y1644</f>
        <v/>
      </c>
      <c r="Z1776">
        <f>'19_Расчет_аналитики'!Z1644</f>
        <v/>
      </c>
      <c r="AA1776">
        <f>'19_Расчет_аналитики'!AA1644</f>
        <v/>
      </c>
      <c r="AB1776">
        <f>'19_Расчет_аналитики'!AB1644</f>
        <v/>
      </c>
      <c r="AC1776">
        <f>'19_Расчет_аналитики'!AC1644</f>
        <v/>
      </c>
      <c r="AD1776">
        <f>'19_Расчет_аналитики'!AD1644</f>
        <v/>
      </c>
      <c r="AE1776">
        <f>'19_Расчет_аналитики'!AE1644</f>
        <v/>
      </c>
      <c r="AF1776">
        <f>'19_Расчет_аналитики'!AF1644</f>
        <v/>
      </c>
      <c r="AG1776">
        <f>'19_Расчет_аналитики'!AG1644</f>
        <v/>
      </c>
      <c r="AH1776">
        <f>'19_Расчет_аналитики'!AH1644</f>
        <v/>
      </c>
      <c r="AI1776">
        <f>'19_Расчет_аналитики'!AI1644</f>
        <v/>
      </c>
      <c r="AJ1776">
        <f>'19_Расчет_аналитики'!AJ1644</f>
        <v/>
      </c>
      <c r="AK1776">
        <f>'19_Расчет_аналитики'!AK1644</f>
        <v/>
      </c>
      <c r="AL1776">
        <f>'19_Расчет_аналитики'!AL1644</f>
        <v/>
      </c>
      <c r="AM1776">
        <f>'19_Расчет_аналитики'!AM1644</f>
        <v/>
      </c>
      <c r="AN1776">
        <f>'19_Расчет_аналитики'!AN1644</f>
        <v/>
      </c>
      <c r="AO1776">
        <f>'19_Расчет_аналитики'!AO1644</f>
        <v/>
      </c>
      <c r="AP1776">
        <f>'19_Расчет_аналитики'!AP1644</f>
        <v/>
      </c>
      <c r="AQ1776">
        <f>'19_Расчет_аналитики'!AQ1644</f>
        <v/>
      </c>
      <c r="AR1776">
        <f>'19_Расчет_аналитики'!AR1644</f>
        <v/>
      </c>
      <c r="AS1776">
        <f>'19_Расчет_аналитики'!AS1644</f>
        <v/>
      </c>
      <c r="AT1776">
        <f>'19_Расчет_аналитики'!AT1644</f>
        <v/>
      </c>
      <c r="AU1776">
        <f>'19_Расчет_аналитики'!AU1644</f>
        <v/>
      </c>
      <c r="AV1776">
        <f>'19_Расчет_аналитики'!AV1644</f>
        <v/>
      </c>
      <c r="AW1776">
        <f>'19_Расчет_аналитики'!AW1644</f>
        <v/>
      </c>
      <c r="AX1776">
        <f>'19_Расчет_аналитики'!AX1644</f>
        <v/>
      </c>
      <c r="AY1776">
        <f>'19_Расчет_аналитики'!AY1644</f>
        <v/>
      </c>
      <c r="AZ1776">
        <f>'19_Расчет_аналитики'!AZ1644</f>
        <v/>
      </c>
      <c r="BA1776">
        <f>'19_Расчет_аналитики'!BA1644</f>
        <v/>
      </c>
      <c r="BB1776">
        <f>'19_Расчет_аналитики'!BB1644</f>
        <v/>
      </c>
      <c r="BC1776">
        <f>'19_Расчет_аналитики'!BC1644</f>
        <v/>
      </c>
      <c r="BD1776">
        <f>'19_Расчет_аналитики'!BD1644</f>
        <v/>
      </c>
      <c r="BE1776">
        <f>'19_Расчет_аналитики'!BE1644</f>
        <v/>
      </c>
      <c r="BF1776">
        <f>'19_Расчет_аналитики'!BF1644</f>
        <v/>
      </c>
      <c r="BG1776">
        <f>'19_Расчет_аналитики'!BG1644</f>
        <v/>
      </c>
      <c r="BH1776">
        <f>'19_Расчет_аналитики'!BH1644</f>
        <v/>
      </c>
      <c r="BI1776">
        <f>'19_Расчет_аналитики'!BI1644</f>
        <v/>
      </c>
    </row>
    <row r="1777">
      <c r="B1777">
        <f>'19_Расчет_аналитики'!B1774-'19_Расчет_аналитики'!B1776</f>
        <v/>
      </c>
      <c r="C1777">
        <f>'19_Расчет_аналитики'!C1774-'19_Расчет_аналитики'!C1776</f>
        <v/>
      </c>
      <c r="D1777">
        <f>'19_Расчет_аналитики'!D1774-'19_Расчет_аналитики'!D1776</f>
        <v/>
      </c>
      <c r="E1777">
        <f>'19_Расчет_аналитики'!E1774-'19_Расчет_аналитики'!E1776</f>
        <v/>
      </c>
      <c r="F1777">
        <f>'19_Расчет_аналитики'!F1774-'19_Расчет_аналитики'!F1776</f>
        <v/>
      </c>
      <c r="G1777">
        <f>'19_Расчет_аналитики'!G1774-'19_Расчет_аналитики'!G1776</f>
        <v/>
      </c>
      <c r="H1777">
        <f>'19_Расчет_аналитики'!H1774-'19_Расчет_аналитики'!H1776</f>
        <v/>
      </c>
      <c r="I1777">
        <f>'19_Расчет_аналитики'!I1774-'19_Расчет_аналитики'!I1776</f>
        <v/>
      </c>
      <c r="J1777">
        <f>'19_Расчет_аналитики'!J1774-'19_Расчет_аналитики'!J1776</f>
        <v/>
      </c>
      <c r="K1777">
        <f>'19_Расчет_аналитики'!K1774-'19_Расчет_аналитики'!K1776</f>
        <v/>
      </c>
      <c r="L1777">
        <f>'19_Расчет_аналитики'!L1774-'19_Расчет_аналитики'!L1776</f>
        <v/>
      </c>
      <c r="M1777">
        <f>'19_Расчет_аналитики'!M1774-'19_Расчет_аналитики'!M1776</f>
        <v/>
      </c>
      <c r="N1777">
        <f>'19_Расчет_аналитики'!N1774-'19_Расчет_аналитики'!N1776</f>
        <v/>
      </c>
      <c r="O1777">
        <f>'19_Расчет_аналитики'!O1774-'19_Расчет_аналитики'!O1776</f>
        <v/>
      </c>
      <c r="P1777">
        <f>'19_Расчет_аналитики'!P1774-'19_Расчет_аналитики'!P1776</f>
        <v/>
      </c>
      <c r="Q1777">
        <f>'19_Расчет_аналитики'!Q1774-'19_Расчет_аналитики'!Q1776</f>
        <v/>
      </c>
      <c r="R1777">
        <f>'19_Расчет_аналитики'!R1774-'19_Расчет_аналитики'!R1776</f>
        <v/>
      </c>
      <c r="S1777">
        <f>'19_Расчет_аналитики'!S1774-'19_Расчет_аналитики'!S1776</f>
        <v/>
      </c>
      <c r="T1777">
        <f>'19_Расчет_аналитики'!T1774-'19_Расчет_аналитики'!T1776</f>
        <v/>
      </c>
      <c r="U1777">
        <f>'19_Расчет_аналитики'!U1774-'19_Расчет_аналитики'!U1776</f>
        <v/>
      </c>
      <c r="V1777">
        <f>'19_Расчет_аналитики'!V1774-'19_Расчет_аналитики'!V1776</f>
        <v/>
      </c>
      <c r="W1777">
        <f>'19_Расчет_аналитики'!W1774-'19_Расчет_аналитики'!W1776</f>
        <v/>
      </c>
      <c r="X1777">
        <f>'19_Расчет_аналитики'!X1774-'19_Расчет_аналитики'!X1776</f>
        <v/>
      </c>
      <c r="Y1777">
        <f>'19_Расчет_аналитики'!Y1774-'19_Расчет_аналитики'!Y1776</f>
        <v/>
      </c>
      <c r="Z1777">
        <f>'19_Расчет_аналитики'!Z1774-'19_Расчет_аналитики'!Z1776</f>
        <v/>
      </c>
      <c r="AA1777">
        <f>'19_Расчет_аналитики'!AA1774-'19_Расчет_аналитики'!AA1776</f>
        <v/>
      </c>
      <c r="AB1777">
        <f>'19_Расчет_аналитики'!AB1774-'19_Расчет_аналитики'!AB1776</f>
        <v/>
      </c>
      <c r="AC1777">
        <f>'19_Расчет_аналитики'!AC1774-'19_Расчет_аналитики'!AC1776</f>
        <v/>
      </c>
      <c r="AD1777">
        <f>'19_Расчет_аналитики'!AD1774-'19_Расчет_аналитики'!AD1776</f>
        <v/>
      </c>
      <c r="AE1777">
        <f>'19_Расчет_аналитики'!AE1774-'19_Расчет_аналитики'!AE1776</f>
        <v/>
      </c>
      <c r="AF1777">
        <f>'19_Расчет_аналитики'!AF1774-'19_Расчет_аналитики'!AF1776</f>
        <v/>
      </c>
      <c r="AG1777">
        <f>'19_Расчет_аналитики'!AG1774-'19_Расчет_аналитики'!AG1776</f>
        <v/>
      </c>
      <c r="AH1777">
        <f>'19_Расчет_аналитики'!AH1774-'19_Расчет_аналитики'!AH1776</f>
        <v/>
      </c>
      <c r="AI1777">
        <f>'19_Расчет_аналитики'!AI1774-'19_Расчет_аналитики'!AI1776</f>
        <v/>
      </c>
      <c r="AJ1777">
        <f>'19_Расчет_аналитики'!AJ1774-'19_Расчет_аналитики'!AJ1776</f>
        <v/>
      </c>
      <c r="AK1777">
        <f>'19_Расчет_аналитики'!AK1774-'19_Расчет_аналитики'!AK1776</f>
        <v/>
      </c>
      <c r="AL1777">
        <f>'19_Расчет_аналитики'!AL1774-'19_Расчет_аналитики'!AL1776</f>
        <v/>
      </c>
      <c r="AM1777">
        <f>'19_Расчет_аналитики'!AM1774-'19_Расчет_аналитики'!AM1776</f>
        <v/>
      </c>
      <c r="AN1777">
        <f>'19_Расчет_аналитики'!AN1774-'19_Расчет_аналитики'!AN1776</f>
        <v/>
      </c>
      <c r="AO1777">
        <f>'19_Расчет_аналитики'!AO1774-'19_Расчет_аналитики'!AO1776</f>
        <v/>
      </c>
      <c r="AP1777">
        <f>'19_Расчет_аналитики'!AP1774-'19_Расчет_аналитики'!AP1776</f>
        <v/>
      </c>
      <c r="AQ1777">
        <f>'19_Расчет_аналитики'!AQ1774-'19_Расчет_аналитики'!AQ1776</f>
        <v/>
      </c>
      <c r="AR1777">
        <f>'19_Расчет_аналитики'!AR1774-'19_Расчет_аналитики'!AR1776</f>
        <v/>
      </c>
      <c r="AS1777">
        <f>'19_Расчет_аналитики'!AS1774-'19_Расчет_аналитики'!AS1776</f>
        <v/>
      </c>
      <c r="AT1777">
        <f>'19_Расчет_аналитики'!AT1774-'19_Расчет_аналитики'!AT1776</f>
        <v/>
      </c>
      <c r="AU1777">
        <f>'19_Расчет_аналитики'!AU1774-'19_Расчет_аналитики'!AU1776</f>
        <v/>
      </c>
      <c r="AV1777">
        <f>'19_Расчет_аналитики'!AV1774-'19_Расчет_аналитики'!AV1776</f>
        <v/>
      </c>
      <c r="AW1777">
        <f>'19_Расчет_аналитики'!AW1774-'19_Расчет_аналитики'!AW1776</f>
        <v/>
      </c>
      <c r="AX1777">
        <f>'19_Расчет_аналитики'!AX1774-'19_Расчет_аналитики'!AX1776</f>
        <v/>
      </c>
      <c r="AY1777">
        <f>'19_Расчет_аналитики'!AY1774-'19_Расчет_аналитики'!AY1776</f>
        <v/>
      </c>
      <c r="AZ1777">
        <f>'19_Расчет_аналитики'!AZ1774-'19_Расчет_аналитики'!AZ1776</f>
        <v/>
      </c>
      <c r="BA1777">
        <f>'19_Расчет_аналитики'!BA1774-'19_Расчет_аналитики'!BA1776</f>
        <v/>
      </c>
      <c r="BB1777">
        <f>'19_Расчет_аналитики'!BB1774-'19_Расчет_аналитики'!BB1776</f>
        <v/>
      </c>
      <c r="BC1777">
        <f>'19_Расчет_аналитики'!BC1774-'19_Расчет_аналитики'!BC1776</f>
        <v/>
      </c>
      <c r="BD1777">
        <f>'19_Расчет_аналитики'!BD1774-'19_Расчет_аналитики'!BD1776</f>
        <v/>
      </c>
      <c r="BE1777">
        <f>'19_Расчет_аналитики'!BE1774-'19_Расчет_аналитики'!BE1776</f>
        <v/>
      </c>
      <c r="BF1777">
        <f>'19_Расчет_аналитики'!BF1774-'19_Расчет_аналитики'!BF1776</f>
        <v/>
      </c>
      <c r="BG1777">
        <f>'19_Расчет_аналитики'!BG1774-'19_Расчет_аналитики'!BG1776</f>
        <v/>
      </c>
      <c r="BH1777">
        <f>'19_Расчет_аналитики'!BH1774-'19_Расчет_аналитики'!BH1776</f>
        <v/>
      </c>
      <c r="BI1777">
        <f>'19_Расчет_аналитики'!BI1774-'19_Расчет_аналитики'!BI1776</f>
        <v/>
      </c>
    </row>
    <row r="1778">
      <c r="B1778">
        <f>'02_Модель'!B51+'19_Расчет_аналитики'!B1777</f>
        <v/>
      </c>
      <c r="C1778">
        <f>'19_Расчет_аналитики'!C1757+'19_Расчет_аналитики'!C1777</f>
        <v/>
      </c>
      <c r="D1778">
        <f>'19_Расчет_аналитики'!D1757+'19_Расчет_аналитики'!D1777</f>
        <v/>
      </c>
      <c r="E1778">
        <f>'19_Расчет_аналитики'!E1757+'19_Расчет_аналитики'!E1777</f>
        <v/>
      </c>
      <c r="F1778">
        <f>'19_Расчет_аналитики'!F1757+'19_Расчет_аналитики'!F1777</f>
        <v/>
      </c>
      <c r="G1778">
        <f>'19_Расчет_аналитики'!G1757+'19_Расчет_аналитики'!G1777</f>
        <v/>
      </c>
      <c r="H1778">
        <f>'19_Расчет_аналитики'!H1757+'19_Расчет_аналитики'!H1777</f>
        <v/>
      </c>
      <c r="I1778">
        <f>'19_Расчет_аналитики'!I1757+'19_Расчет_аналитики'!I1777</f>
        <v/>
      </c>
      <c r="J1778">
        <f>'19_Расчет_аналитики'!J1757+'19_Расчет_аналитики'!J1777</f>
        <v/>
      </c>
      <c r="K1778">
        <f>'19_Расчет_аналитики'!K1757+'19_Расчет_аналитики'!K1777</f>
        <v/>
      </c>
      <c r="L1778">
        <f>'19_Расчет_аналитики'!L1757+'19_Расчет_аналитики'!L1777</f>
        <v/>
      </c>
      <c r="M1778">
        <f>'19_Расчет_аналитики'!M1757+'19_Расчет_аналитики'!M1777</f>
        <v/>
      </c>
      <c r="N1778">
        <f>'19_Расчет_аналитики'!N1757+'19_Расчет_аналитики'!N1777</f>
        <v/>
      </c>
      <c r="O1778">
        <f>'19_Расчет_аналитики'!O1757+'19_Расчет_аналитики'!O1777</f>
        <v/>
      </c>
      <c r="P1778">
        <f>'19_Расчет_аналитики'!P1757+'19_Расчет_аналитики'!P1777</f>
        <v/>
      </c>
      <c r="Q1778">
        <f>'19_Расчет_аналитики'!Q1757+'19_Расчет_аналитики'!Q1777</f>
        <v/>
      </c>
      <c r="R1778">
        <f>'19_Расчет_аналитики'!R1757+'19_Расчет_аналитики'!R1777</f>
        <v/>
      </c>
      <c r="S1778">
        <f>'19_Расчет_аналитики'!S1757+'19_Расчет_аналитики'!S1777</f>
        <v/>
      </c>
      <c r="T1778">
        <f>'19_Расчет_аналитики'!T1757+'19_Расчет_аналитики'!T1777</f>
        <v/>
      </c>
      <c r="U1778">
        <f>'19_Расчет_аналитики'!U1757+'19_Расчет_аналитики'!U1777</f>
        <v/>
      </c>
      <c r="V1778">
        <f>'19_Расчет_аналитики'!V1757+'19_Расчет_аналитики'!V1777</f>
        <v/>
      </c>
      <c r="W1778">
        <f>'19_Расчет_аналитики'!W1757+'19_Расчет_аналитики'!W1777</f>
        <v/>
      </c>
      <c r="X1778">
        <f>'19_Расчет_аналитики'!X1757+'19_Расчет_аналитики'!X1777</f>
        <v/>
      </c>
      <c r="Y1778">
        <f>'19_Расчет_аналитики'!Y1757+'19_Расчет_аналитики'!Y1777</f>
        <v/>
      </c>
      <c r="Z1778">
        <f>'19_Расчет_аналитики'!Z1757+'19_Расчет_аналитики'!Z1777</f>
        <v/>
      </c>
      <c r="AA1778">
        <f>'19_Расчет_аналитики'!AA1757+'19_Расчет_аналитики'!AA1777</f>
        <v/>
      </c>
      <c r="AB1778">
        <f>'19_Расчет_аналитики'!AB1757+'19_Расчет_аналитики'!AB1777</f>
        <v/>
      </c>
      <c r="AC1778">
        <f>'19_Расчет_аналитики'!AC1757+'19_Расчет_аналитики'!AC1777</f>
        <v/>
      </c>
      <c r="AD1778">
        <f>'19_Расчет_аналитики'!AD1757+'19_Расчет_аналитики'!AD1777</f>
        <v/>
      </c>
      <c r="AE1778">
        <f>'19_Расчет_аналитики'!AE1757+'19_Расчет_аналитики'!AE1777</f>
        <v/>
      </c>
      <c r="AF1778">
        <f>'19_Расчет_аналитики'!AF1757+'19_Расчет_аналитики'!AF1777</f>
        <v/>
      </c>
      <c r="AG1778">
        <f>'19_Расчет_аналитики'!AG1757+'19_Расчет_аналитики'!AG1777</f>
        <v/>
      </c>
      <c r="AH1778">
        <f>'19_Расчет_аналитики'!AH1757+'19_Расчет_аналитики'!AH1777</f>
        <v/>
      </c>
      <c r="AI1778">
        <f>'19_Расчет_аналитики'!AI1757+'19_Расчет_аналитики'!AI1777</f>
        <v/>
      </c>
      <c r="AJ1778">
        <f>'19_Расчет_аналитики'!AJ1757+'19_Расчет_аналитики'!AJ1777</f>
        <v/>
      </c>
      <c r="AK1778">
        <f>'19_Расчет_аналитики'!AK1757+'19_Расчет_аналитики'!AK1777</f>
        <v/>
      </c>
      <c r="AL1778">
        <f>'19_Расчет_аналитики'!AL1757+'19_Расчет_аналитики'!AL1777</f>
        <v/>
      </c>
      <c r="AM1778">
        <f>'19_Расчет_аналитики'!AM1757+'19_Расчет_аналитики'!AM1777</f>
        <v/>
      </c>
      <c r="AN1778">
        <f>'19_Расчет_аналитики'!AN1757+'19_Расчет_аналитики'!AN1777</f>
        <v/>
      </c>
      <c r="AO1778">
        <f>'19_Расчет_аналитики'!AO1757+'19_Расчет_аналитики'!AO1777</f>
        <v/>
      </c>
      <c r="AP1778">
        <f>'19_Расчет_аналитики'!AP1757+'19_Расчет_аналитики'!AP1777</f>
        <v/>
      </c>
      <c r="AQ1778">
        <f>'19_Расчет_аналитики'!AQ1757+'19_Расчет_аналитики'!AQ1777</f>
        <v/>
      </c>
      <c r="AR1778">
        <f>'19_Расчет_аналитики'!AR1757+'19_Расчет_аналитики'!AR1777</f>
        <v/>
      </c>
      <c r="AS1778">
        <f>'19_Расчет_аналитики'!AS1757+'19_Расчет_аналитики'!AS1777</f>
        <v/>
      </c>
      <c r="AT1778">
        <f>'19_Расчет_аналитики'!AT1757+'19_Расчет_аналитики'!AT1777</f>
        <v/>
      </c>
      <c r="AU1778">
        <f>'19_Расчет_аналитики'!AU1757+'19_Расчет_аналитики'!AU1777</f>
        <v/>
      </c>
      <c r="AV1778">
        <f>'19_Расчет_аналитики'!AV1757+'19_Расчет_аналитики'!AV1777</f>
        <v/>
      </c>
      <c r="AW1778">
        <f>'19_Расчет_аналитики'!AW1757+'19_Расчет_аналитики'!AW1777</f>
        <v/>
      </c>
      <c r="AX1778">
        <f>'19_Расчет_аналитики'!AX1757+'19_Расчет_аналитики'!AX1777</f>
        <v/>
      </c>
      <c r="AY1778">
        <f>'19_Расчет_аналитики'!AY1757+'19_Расчет_аналитики'!AY1777</f>
        <v/>
      </c>
      <c r="AZ1778">
        <f>'19_Расчет_аналитики'!AZ1757+'19_Расчет_аналитики'!AZ1777</f>
        <v/>
      </c>
      <c r="BA1778">
        <f>'19_Расчет_аналитики'!BA1757+'19_Расчет_аналитики'!BA1777</f>
        <v/>
      </c>
      <c r="BB1778">
        <f>'19_Расчет_аналитики'!BB1757+'19_Расчет_аналитики'!BB1777</f>
        <v/>
      </c>
      <c r="BC1778">
        <f>'19_Расчет_аналитики'!BC1757+'19_Расчет_аналитики'!BC1777</f>
        <v/>
      </c>
      <c r="BD1778">
        <f>'19_Расчет_аналитики'!BD1757+'19_Расчет_аналитики'!BD1777</f>
        <v/>
      </c>
      <c r="BE1778">
        <f>'19_Расчет_аналитики'!BE1757+'19_Расчет_аналитики'!BE1777</f>
        <v/>
      </c>
      <c r="BF1778">
        <f>'19_Расчет_аналитики'!BF1757+'19_Расчет_аналитики'!BF1777</f>
        <v/>
      </c>
      <c r="BG1778">
        <f>'19_Расчет_аналитики'!BG1757+'19_Расчет_аналитики'!BG1777</f>
        <v/>
      </c>
      <c r="BH1778">
        <f>'19_Расчет_аналитики'!BH1757+'19_Расчет_аналитики'!BH1777</f>
        <v/>
      </c>
      <c r="BI1778">
        <f>'19_Расчет_аналитики'!BI1757+'19_Расчет_аналитики'!BI1777</f>
        <v/>
      </c>
    </row>
    <row r="1779"/>
    <row r="1780"/>
    <row r="1781">
      <c r="B1781">
        <f>'19_Расчет_аналитики'!B1645</f>
        <v/>
      </c>
      <c r="C1781">
        <f>'19_Расчет_аналитики'!C1645</f>
        <v/>
      </c>
      <c r="D1781">
        <f>'19_Расчет_аналитики'!D1645</f>
        <v/>
      </c>
      <c r="E1781">
        <f>'19_Расчет_аналитики'!E1645</f>
        <v/>
      </c>
      <c r="F1781">
        <f>'19_Расчет_аналитики'!F1645</f>
        <v/>
      </c>
      <c r="G1781">
        <f>'19_Расчет_аналитики'!G1645</f>
        <v/>
      </c>
      <c r="H1781">
        <f>'19_Расчет_аналитики'!H1645</f>
        <v/>
      </c>
      <c r="I1781">
        <f>'19_Расчет_аналитики'!I1645</f>
        <v/>
      </c>
      <c r="J1781">
        <f>'19_Расчет_аналитики'!J1645</f>
        <v/>
      </c>
      <c r="K1781">
        <f>'19_Расчет_аналитики'!K1645</f>
        <v/>
      </c>
      <c r="L1781">
        <f>'19_Расчет_аналитики'!L1645</f>
        <v/>
      </c>
      <c r="M1781">
        <f>'19_Расчет_аналитики'!M1645</f>
        <v/>
      </c>
      <c r="N1781">
        <f>'19_Расчет_аналитики'!N1645</f>
        <v/>
      </c>
      <c r="O1781">
        <f>'19_Расчет_аналитики'!O1645</f>
        <v/>
      </c>
      <c r="P1781">
        <f>'19_Расчет_аналитики'!P1645</f>
        <v/>
      </c>
      <c r="Q1781">
        <f>'19_Расчет_аналитики'!Q1645</f>
        <v/>
      </c>
      <c r="R1781">
        <f>'19_Расчет_аналитики'!R1645</f>
        <v/>
      </c>
      <c r="S1781">
        <f>'19_Расчет_аналитики'!S1645</f>
        <v/>
      </c>
      <c r="T1781">
        <f>'19_Расчет_аналитики'!T1645</f>
        <v/>
      </c>
      <c r="U1781">
        <f>'19_Расчет_аналитики'!U1645</f>
        <v/>
      </c>
      <c r="V1781">
        <f>'19_Расчет_аналитики'!V1645</f>
        <v/>
      </c>
      <c r="W1781">
        <f>'19_Расчет_аналитики'!W1645</f>
        <v/>
      </c>
      <c r="X1781">
        <f>'19_Расчет_аналитики'!X1645</f>
        <v/>
      </c>
      <c r="Y1781">
        <f>'19_Расчет_аналитики'!Y1645</f>
        <v/>
      </c>
      <c r="Z1781">
        <f>'19_Расчет_аналитики'!Z1645</f>
        <v/>
      </c>
      <c r="AA1781">
        <f>'19_Расчет_аналитики'!AA1645</f>
        <v/>
      </c>
      <c r="AB1781">
        <f>'19_Расчет_аналитики'!AB1645</f>
        <v/>
      </c>
      <c r="AC1781">
        <f>'19_Расчет_аналитики'!AC1645</f>
        <v/>
      </c>
      <c r="AD1781">
        <f>'19_Расчет_аналитики'!AD1645</f>
        <v/>
      </c>
      <c r="AE1781">
        <f>'19_Расчет_аналитики'!AE1645</f>
        <v/>
      </c>
      <c r="AF1781">
        <f>'19_Расчет_аналитики'!AF1645</f>
        <v/>
      </c>
      <c r="AG1781">
        <f>'19_Расчет_аналитики'!AG1645</f>
        <v/>
      </c>
      <c r="AH1781">
        <f>'19_Расчет_аналитики'!AH1645</f>
        <v/>
      </c>
      <c r="AI1781">
        <f>'19_Расчет_аналитики'!AI1645</f>
        <v/>
      </c>
      <c r="AJ1781">
        <f>'19_Расчет_аналитики'!AJ1645</f>
        <v/>
      </c>
      <c r="AK1781">
        <f>'19_Расчет_аналитики'!AK1645</f>
        <v/>
      </c>
      <c r="AL1781">
        <f>'19_Расчет_аналитики'!AL1645</f>
        <v/>
      </c>
      <c r="AM1781">
        <f>'19_Расчет_аналитики'!AM1645</f>
        <v/>
      </c>
      <c r="AN1781">
        <f>'19_Расчет_аналитики'!AN1645</f>
        <v/>
      </c>
      <c r="AO1781">
        <f>'19_Расчет_аналитики'!AO1645</f>
        <v/>
      </c>
      <c r="AP1781">
        <f>'19_Расчет_аналитики'!AP1645</f>
        <v/>
      </c>
      <c r="AQ1781">
        <f>'19_Расчет_аналитики'!AQ1645</f>
        <v/>
      </c>
      <c r="AR1781">
        <f>'19_Расчет_аналитики'!AR1645</f>
        <v/>
      </c>
      <c r="AS1781">
        <f>'19_Расчет_аналитики'!AS1645</f>
        <v/>
      </c>
      <c r="AT1781">
        <f>'19_Расчет_аналитики'!AT1645</f>
        <v/>
      </c>
      <c r="AU1781">
        <f>'19_Расчет_аналитики'!AU1645</f>
        <v/>
      </c>
      <c r="AV1781">
        <f>'19_Расчет_аналитики'!AV1645</f>
        <v/>
      </c>
      <c r="AW1781">
        <f>'19_Расчет_аналитики'!AW1645</f>
        <v/>
      </c>
      <c r="AX1781">
        <f>'19_Расчет_аналитики'!AX1645</f>
        <v/>
      </c>
      <c r="AY1781">
        <f>'19_Расчет_аналитики'!AY1645</f>
        <v/>
      </c>
      <c r="AZ1781">
        <f>'19_Расчет_аналитики'!AZ1645</f>
        <v/>
      </c>
      <c r="BA1781">
        <f>'19_Расчет_аналитики'!BA1645</f>
        <v/>
      </c>
      <c r="BB1781">
        <f>'19_Расчет_аналитики'!BB1645</f>
        <v/>
      </c>
      <c r="BC1781">
        <f>'19_Расчет_аналитики'!BC1645</f>
        <v/>
      </c>
      <c r="BD1781">
        <f>'19_Расчет_аналитики'!BD1645</f>
        <v/>
      </c>
      <c r="BE1781">
        <f>'19_Расчет_аналитики'!BE1645</f>
        <v/>
      </c>
      <c r="BF1781">
        <f>'19_Расчет_аналитики'!BF1645</f>
        <v/>
      </c>
      <c r="BG1781">
        <f>'19_Расчет_аналитики'!BG1645</f>
        <v/>
      </c>
      <c r="BH1781">
        <f>'19_Расчет_аналитики'!BH1645</f>
        <v/>
      </c>
      <c r="BI1781">
        <f>'19_Расчет_аналитики'!BI1645</f>
        <v/>
      </c>
    </row>
    <row r="1782">
      <c r="B1782">
        <f>'19_Расчет_аналитики'!B1639</f>
        <v/>
      </c>
      <c r="C1782">
        <f>'19_Расчет_аналитики'!C1639</f>
        <v/>
      </c>
      <c r="D1782">
        <f>'19_Расчет_аналитики'!D1639</f>
        <v/>
      </c>
      <c r="E1782">
        <f>'19_Расчет_аналитики'!E1639</f>
        <v/>
      </c>
      <c r="F1782">
        <f>'19_Расчет_аналитики'!F1639</f>
        <v/>
      </c>
      <c r="G1782">
        <f>'19_Расчет_аналитики'!G1639</f>
        <v/>
      </c>
      <c r="H1782">
        <f>'19_Расчет_аналитики'!H1639</f>
        <v/>
      </c>
      <c r="I1782">
        <f>'19_Расчет_аналитики'!I1639</f>
        <v/>
      </c>
      <c r="J1782">
        <f>'19_Расчет_аналитики'!J1639</f>
        <v/>
      </c>
      <c r="K1782">
        <f>'19_Расчет_аналитики'!K1639</f>
        <v/>
      </c>
      <c r="L1782">
        <f>'19_Расчет_аналитики'!L1639</f>
        <v/>
      </c>
      <c r="M1782">
        <f>'19_Расчет_аналитики'!M1639</f>
        <v/>
      </c>
      <c r="N1782">
        <f>'19_Расчет_аналитики'!N1639</f>
        <v/>
      </c>
      <c r="O1782">
        <f>'19_Расчет_аналитики'!O1639</f>
        <v/>
      </c>
      <c r="P1782">
        <f>'19_Расчет_аналитики'!P1639</f>
        <v/>
      </c>
      <c r="Q1782">
        <f>'19_Расчет_аналитики'!Q1639</f>
        <v/>
      </c>
      <c r="R1782">
        <f>'19_Расчет_аналитики'!R1639</f>
        <v/>
      </c>
      <c r="S1782">
        <f>'19_Расчет_аналитики'!S1639</f>
        <v/>
      </c>
      <c r="T1782">
        <f>'19_Расчет_аналитики'!T1639</f>
        <v/>
      </c>
      <c r="U1782">
        <f>'19_Расчет_аналитики'!U1639</f>
        <v/>
      </c>
      <c r="V1782">
        <f>'19_Расчет_аналитики'!V1639</f>
        <v/>
      </c>
      <c r="W1782">
        <f>'19_Расчет_аналитики'!W1639</f>
        <v/>
      </c>
      <c r="X1782">
        <f>'19_Расчет_аналитики'!X1639</f>
        <v/>
      </c>
      <c r="Y1782">
        <f>'19_Расчет_аналитики'!Y1639</f>
        <v/>
      </c>
      <c r="Z1782">
        <f>'19_Расчет_аналитики'!Z1639</f>
        <v/>
      </c>
      <c r="AA1782">
        <f>'19_Расчет_аналитики'!AA1639</f>
        <v/>
      </c>
      <c r="AB1782">
        <f>'19_Расчет_аналитики'!AB1639</f>
        <v/>
      </c>
      <c r="AC1782">
        <f>'19_Расчет_аналитики'!AC1639</f>
        <v/>
      </c>
      <c r="AD1782">
        <f>'19_Расчет_аналитики'!AD1639</f>
        <v/>
      </c>
      <c r="AE1782">
        <f>'19_Расчет_аналитики'!AE1639</f>
        <v/>
      </c>
      <c r="AF1782">
        <f>'19_Расчет_аналитики'!AF1639</f>
        <v/>
      </c>
      <c r="AG1782">
        <f>'19_Расчет_аналитики'!AG1639</f>
        <v/>
      </c>
      <c r="AH1782">
        <f>'19_Расчет_аналитики'!AH1639</f>
        <v/>
      </c>
      <c r="AI1782">
        <f>'19_Расчет_аналитики'!AI1639</f>
        <v/>
      </c>
      <c r="AJ1782">
        <f>'19_Расчет_аналитики'!AJ1639</f>
        <v/>
      </c>
      <c r="AK1782">
        <f>'19_Расчет_аналитики'!AK1639</f>
        <v/>
      </c>
      <c r="AL1782">
        <f>'19_Расчет_аналитики'!AL1639</f>
        <v/>
      </c>
      <c r="AM1782">
        <f>'19_Расчет_аналитики'!AM1639</f>
        <v/>
      </c>
      <c r="AN1782">
        <f>'19_Расчет_аналитики'!AN1639</f>
        <v/>
      </c>
      <c r="AO1782">
        <f>'19_Расчет_аналитики'!AO1639</f>
        <v/>
      </c>
      <c r="AP1782">
        <f>'19_Расчет_аналитики'!AP1639</f>
        <v/>
      </c>
      <c r="AQ1782">
        <f>'19_Расчет_аналитики'!AQ1639</f>
        <v/>
      </c>
      <c r="AR1782">
        <f>'19_Расчет_аналитики'!AR1639</f>
        <v/>
      </c>
      <c r="AS1782">
        <f>'19_Расчет_аналитики'!AS1639</f>
        <v/>
      </c>
      <c r="AT1782">
        <f>'19_Расчет_аналитики'!AT1639</f>
        <v/>
      </c>
      <c r="AU1782">
        <f>'19_Расчет_аналитики'!AU1639</f>
        <v/>
      </c>
      <c r="AV1782">
        <f>'19_Расчет_аналитики'!AV1639</f>
        <v/>
      </c>
      <c r="AW1782">
        <f>'19_Расчет_аналитики'!AW1639</f>
        <v/>
      </c>
      <c r="AX1782">
        <f>'19_Расчет_аналитики'!AX1639</f>
        <v/>
      </c>
      <c r="AY1782">
        <f>'19_Расчет_аналитики'!AY1639</f>
        <v/>
      </c>
      <c r="AZ1782">
        <f>'19_Расчет_аналитики'!AZ1639</f>
        <v/>
      </c>
      <c r="BA1782">
        <f>'19_Расчет_аналитики'!BA1639</f>
        <v/>
      </c>
      <c r="BB1782">
        <f>'19_Расчет_аналитики'!BB1639</f>
        <v/>
      </c>
      <c r="BC1782">
        <f>'19_Расчет_аналитики'!BC1639</f>
        <v/>
      </c>
      <c r="BD1782">
        <f>'19_Расчет_аналитики'!BD1639</f>
        <v/>
      </c>
      <c r="BE1782">
        <f>'19_Расчет_аналитики'!BE1639</f>
        <v/>
      </c>
      <c r="BF1782">
        <f>'19_Расчет_аналитики'!BF1639</f>
        <v/>
      </c>
      <c r="BG1782">
        <f>'19_Расчет_аналитики'!BG1639</f>
        <v/>
      </c>
      <c r="BH1782">
        <f>'19_Расчет_аналитики'!BH1639</f>
        <v/>
      </c>
      <c r="BI1782">
        <f>'19_Расчет_аналитики'!BI1639</f>
        <v/>
      </c>
    </row>
    <row r="1783">
      <c r="B1783">
        <f>'19_Расчет_аналитики'!B1637</f>
        <v/>
      </c>
      <c r="C1783">
        <f>'19_Расчет_аналитики'!C1637</f>
        <v/>
      </c>
      <c r="D1783">
        <f>'19_Расчет_аналитики'!D1637</f>
        <v/>
      </c>
      <c r="E1783">
        <f>'19_Расчет_аналитики'!E1637</f>
        <v/>
      </c>
      <c r="F1783">
        <f>'19_Расчет_аналитики'!F1637</f>
        <v/>
      </c>
      <c r="G1783">
        <f>'19_Расчет_аналитики'!G1637</f>
        <v/>
      </c>
      <c r="H1783">
        <f>'19_Расчет_аналитики'!H1637</f>
        <v/>
      </c>
      <c r="I1783">
        <f>'19_Расчет_аналитики'!I1637</f>
        <v/>
      </c>
      <c r="J1783">
        <f>'19_Расчет_аналитики'!J1637</f>
        <v/>
      </c>
      <c r="K1783">
        <f>'19_Расчет_аналитики'!K1637</f>
        <v/>
      </c>
      <c r="L1783">
        <f>'19_Расчет_аналитики'!L1637</f>
        <v/>
      </c>
      <c r="M1783">
        <f>'19_Расчет_аналитики'!M1637</f>
        <v/>
      </c>
      <c r="N1783">
        <f>'19_Расчет_аналитики'!N1637</f>
        <v/>
      </c>
      <c r="O1783">
        <f>'19_Расчет_аналитики'!O1637</f>
        <v/>
      </c>
      <c r="P1783">
        <f>'19_Расчет_аналитики'!P1637</f>
        <v/>
      </c>
      <c r="Q1783">
        <f>'19_Расчет_аналитики'!Q1637</f>
        <v/>
      </c>
      <c r="R1783">
        <f>'19_Расчет_аналитики'!R1637</f>
        <v/>
      </c>
      <c r="S1783">
        <f>'19_Расчет_аналитики'!S1637</f>
        <v/>
      </c>
      <c r="T1783">
        <f>'19_Расчет_аналитики'!T1637</f>
        <v/>
      </c>
      <c r="U1783">
        <f>'19_Расчет_аналитики'!U1637</f>
        <v/>
      </c>
      <c r="V1783">
        <f>'19_Расчет_аналитики'!V1637</f>
        <v/>
      </c>
      <c r="W1783">
        <f>'19_Расчет_аналитики'!W1637</f>
        <v/>
      </c>
      <c r="X1783">
        <f>'19_Расчет_аналитики'!X1637</f>
        <v/>
      </c>
      <c r="Y1783">
        <f>'19_Расчет_аналитики'!Y1637</f>
        <v/>
      </c>
      <c r="Z1783">
        <f>'19_Расчет_аналитики'!Z1637</f>
        <v/>
      </c>
      <c r="AA1783">
        <f>'19_Расчет_аналитики'!AA1637</f>
        <v/>
      </c>
      <c r="AB1783">
        <f>'19_Расчет_аналитики'!AB1637</f>
        <v/>
      </c>
      <c r="AC1783">
        <f>'19_Расчет_аналитики'!AC1637</f>
        <v/>
      </c>
      <c r="AD1783">
        <f>'19_Расчет_аналитики'!AD1637</f>
        <v/>
      </c>
      <c r="AE1783">
        <f>'19_Расчет_аналитики'!AE1637</f>
        <v/>
      </c>
      <c r="AF1783">
        <f>'19_Расчет_аналитики'!AF1637</f>
        <v/>
      </c>
      <c r="AG1783">
        <f>'19_Расчет_аналитики'!AG1637</f>
        <v/>
      </c>
      <c r="AH1783">
        <f>'19_Расчет_аналитики'!AH1637</f>
        <v/>
      </c>
      <c r="AI1783">
        <f>'19_Расчет_аналитики'!AI1637</f>
        <v/>
      </c>
      <c r="AJ1783">
        <f>'19_Расчет_аналитики'!AJ1637</f>
        <v/>
      </c>
      <c r="AK1783">
        <f>'19_Расчет_аналитики'!AK1637</f>
        <v/>
      </c>
      <c r="AL1783">
        <f>'19_Расчет_аналитики'!AL1637</f>
        <v/>
      </c>
      <c r="AM1783">
        <f>'19_Расчет_аналитики'!AM1637</f>
        <v/>
      </c>
      <c r="AN1783">
        <f>'19_Расчет_аналитики'!AN1637</f>
        <v/>
      </c>
      <c r="AO1783">
        <f>'19_Расчет_аналитики'!AO1637</f>
        <v/>
      </c>
      <c r="AP1783">
        <f>'19_Расчет_аналитики'!AP1637</f>
        <v/>
      </c>
      <c r="AQ1783">
        <f>'19_Расчет_аналитики'!AQ1637</f>
        <v/>
      </c>
      <c r="AR1783">
        <f>'19_Расчет_аналитики'!AR1637</f>
        <v/>
      </c>
      <c r="AS1783">
        <f>'19_Расчет_аналитики'!AS1637</f>
        <v/>
      </c>
      <c r="AT1783">
        <f>'19_Расчет_аналитики'!AT1637</f>
        <v/>
      </c>
      <c r="AU1783">
        <f>'19_Расчет_аналитики'!AU1637</f>
        <v/>
      </c>
      <c r="AV1783">
        <f>'19_Расчет_аналитики'!AV1637</f>
        <v/>
      </c>
      <c r="AW1783">
        <f>'19_Расчет_аналитики'!AW1637</f>
        <v/>
      </c>
      <c r="AX1783">
        <f>'19_Расчет_аналитики'!AX1637</f>
        <v/>
      </c>
      <c r="AY1783">
        <f>'19_Расчет_аналитики'!AY1637</f>
        <v/>
      </c>
      <c r="AZ1783">
        <f>'19_Расчет_аналитики'!AZ1637</f>
        <v/>
      </c>
      <c r="BA1783">
        <f>'19_Расчет_аналитики'!BA1637</f>
        <v/>
      </c>
      <c r="BB1783">
        <f>'19_Расчет_аналитики'!BB1637</f>
        <v/>
      </c>
      <c r="BC1783">
        <f>'19_Расчет_аналитики'!BC1637</f>
        <v/>
      </c>
      <c r="BD1783">
        <f>'19_Расчет_аналитики'!BD1637</f>
        <v/>
      </c>
      <c r="BE1783">
        <f>'19_Расчет_аналитики'!BE1637</f>
        <v/>
      </c>
      <c r="BF1783">
        <f>'19_Расчет_аналитики'!BF1637</f>
        <v/>
      </c>
      <c r="BG1783">
        <f>'19_Расчет_аналитики'!BG1637</f>
        <v/>
      </c>
      <c r="BH1783">
        <f>'19_Расчет_аналитики'!BH1637</f>
        <v/>
      </c>
      <c r="BI1783">
        <f>'19_Расчет_аналитики'!BI1637</f>
        <v/>
      </c>
    </row>
    <row r="1784">
      <c r="B1784">
        <f>'19_Расчет_аналитики'!B1640</f>
        <v/>
      </c>
      <c r="C1784">
        <f>'19_Расчет_аналитики'!C1640</f>
        <v/>
      </c>
      <c r="D1784">
        <f>'19_Расчет_аналитики'!D1640</f>
        <v/>
      </c>
      <c r="E1784">
        <f>'19_Расчет_аналитики'!E1640</f>
        <v/>
      </c>
      <c r="F1784">
        <f>'19_Расчет_аналитики'!F1640</f>
        <v/>
      </c>
      <c r="G1784">
        <f>'19_Расчет_аналитики'!G1640</f>
        <v/>
      </c>
      <c r="H1784">
        <f>'19_Расчет_аналитики'!H1640</f>
        <v/>
      </c>
      <c r="I1784">
        <f>'19_Расчет_аналитики'!I1640</f>
        <v/>
      </c>
      <c r="J1784">
        <f>'19_Расчет_аналитики'!J1640</f>
        <v/>
      </c>
      <c r="K1784">
        <f>'19_Расчет_аналитики'!K1640</f>
        <v/>
      </c>
      <c r="L1784">
        <f>'19_Расчет_аналитики'!L1640</f>
        <v/>
      </c>
      <c r="M1784">
        <f>'19_Расчет_аналитики'!M1640</f>
        <v/>
      </c>
      <c r="N1784">
        <f>'19_Расчет_аналитики'!N1640</f>
        <v/>
      </c>
      <c r="O1784">
        <f>'19_Расчет_аналитики'!O1640</f>
        <v/>
      </c>
      <c r="P1784">
        <f>'19_Расчет_аналитики'!P1640</f>
        <v/>
      </c>
      <c r="Q1784">
        <f>'19_Расчет_аналитики'!Q1640</f>
        <v/>
      </c>
      <c r="R1784">
        <f>'19_Расчет_аналитики'!R1640</f>
        <v/>
      </c>
      <c r="S1784">
        <f>'19_Расчет_аналитики'!S1640</f>
        <v/>
      </c>
      <c r="T1784">
        <f>'19_Расчет_аналитики'!T1640</f>
        <v/>
      </c>
      <c r="U1784">
        <f>'19_Расчет_аналитики'!U1640</f>
        <v/>
      </c>
      <c r="V1784">
        <f>'19_Расчет_аналитики'!V1640</f>
        <v/>
      </c>
      <c r="W1784">
        <f>'19_Расчет_аналитики'!W1640</f>
        <v/>
      </c>
      <c r="X1784">
        <f>'19_Расчет_аналитики'!X1640</f>
        <v/>
      </c>
      <c r="Y1784">
        <f>'19_Расчет_аналитики'!Y1640</f>
        <v/>
      </c>
      <c r="Z1784">
        <f>'19_Расчет_аналитики'!Z1640</f>
        <v/>
      </c>
      <c r="AA1784">
        <f>'19_Расчет_аналитики'!AA1640</f>
        <v/>
      </c>
      <c r="AB1784">
        <f>'19_Расчет_аналитики'!AB1640</f>
        <v/>
      </c>
      <c r="AC1784">
        <f>'19_Расчет_аналитики'!AC1640</f>
        <v/>
      </c>
      <c r="AD1784">
        <f>'19_Расчет_аналитики'!AD1640</f>
        <v/>
      </c>
      <c r="AE1784">
        <f>'19_Расчет_аналитики'!AE1640</f>
        <v/>
      </c>
      <c r="AF1784">
        <f>'19_Расчет_аналитики'!AF1640</f>
        <v/>
      </c>
      <c r="AG1784">
        <f>'19_Расчет_аналитики'!AG1640</f>
        <v/>
      </c>
      <c r="AH1784">
        <f>'19_Расчет_аналитики'!AH1640</f>
        <v/>
      </c>
      <c r="AI1784">
        <f>'19_Расчет_аналитики'!AI1640</f>
        <v/>
      </c>
      <c r="AJ1784">
        <f>'19_Расчет_аналитики'!AJ1640</f>
        <v/>
      </c>
      <c r="AK1784">
        <f>'19_Расчет_аналитики'!AK1640</f>
        <v/>
      </c>
      <c r="AL1784">
        <f>'19_Расчет_аналитики'!AL1640</f>
        <v/>
      </c>
      <c r="AM1784">
        <f>'19_Расчет_аналитики'!AM1640</f>
        <v/>
      </c>
      <c r="AN1784">
        <f>'19_Расчет_аналитики'!AN1640</f>
        <v/>
      </c>
      <c r="AO1784">
        <f>'19_Расчет_аналитики'!AO1640</f>
        <v/>
      </c>
      <c r="AP1784">
        <f>'19_Расчет_аналитики'!AP1640</f>
        <v/>
      </c>
      <c r="AQ1784">
        <f>'19_Расчет_аналитики'!AQ1640</f>
        <v/>
      </c>
      <c r="AR1784">
        <f>'19_Расчет_аналитики'!AR1640</f>
        <v/>
      </c>
      <c r="AS1784">
        <f>'19_Расчет_аналитики'!AS1640</f>
        <v/>
      </c>
      <c r="AT1784">
        <f>'19_Расчет_аналитики'!AT1640</f>
        <v/>
      </c>
      <c r="AU1784">
        <f>'19_Расчет_аналитики'!AU1640</f>
        <v/>
      </c>
      <c r="AV1784">
        <f>'19_Расчет_аналитики'!AV1640</f>
        <v/>
      </c>
      <c r="AW1784">
        <f>'19_Расчет_аналитики'!AW1640</f>
        <v/>
      </c>
      <c r="AX1784">
        <f>'19_Расчет_аналитики'!AX1640</f>
        <v/>
      </c>
      <c r="AY1784">
        <f>'19_Расчет_аналитики'!AY1640</f>
        <v/>
      </c>
      <c r="AZ1784">
        <f>'19_Расчет_аналитики'!AZ1640</f>
        <v/>
      </c>
      <c r="BA1784">
        <f>'19_Расчет_аналитики'!BA1640</f>
        <v/>
      </c>
      <c r="BB1784">
        <f>'19_Расчет_аналитики'!BB1640</f>
        <v/>
      </c>
      <c r="BC1784">
        <f>'19_Расчет_аналитики'!BC1640</f>
        <v/>
      </c>
      <c r="BD1784">
        <f>'19_Расчет_аналитики'!BD1640</f>
        <v/>
      </c>
      <c r="BE1784">
        <f>'19_Расчет_аналитики'!BE1640</f>
        <v/>
      </c>
      <c r="BF1784">
        <f>'19_Расчет_аналитики'!BF1640</f>
        <v/>
      </c>
      <c r="BG1784">
        <f>'19_Расчет_аналитики'!BG1640</f>
        <v/>
      </c>
      <c r="BH1784">
        <f>'19_Расчет_аналитики'!BH1640</f>
        <v/>
      </c>
      <c r="BI1784">
        <f>'19_Расчет_аналитики'!BI1640</f>
        <v/>
      </c>
    </row>
    <row r="1785"/>
    <row r="1786">
      <c r="B1786">
        <f>0+'19_Расчет_аналитики'!B1725+'19_Расчет_аналитики'!B1726-'19_Расчет_аналитики'!B1759/(1+'01_Вводные'!$B$58)</f>
        <v/>
      </c>
      <c r="C1786">
        <f>'19_Расчет_аналитики'!B1786+'19_Расчет_аналитики'!C1725+'19_Расчет_аналитики'!C1726-'19_Расчет_аналитики'!C1759/(1+'01_Вводные'!$B$58)</f>
        <v/>
      </c>
      <c r="D1786">
        <f>'19_Расчет_аналитики'!C1786+'19_Расчет_аналитики'!D1725+'19_Расчет_аналитики'!D1726-'19_Расчет_аналитики'!D1759/(1+'01_Вводные'!$B$58)</f>
        <v/>
      </c>
      <c r="E1786">
        <f>'19_Расчет_аналитики'!D1786+'19_Расчет_аналитики'!E1725+'19_Расчет_аналитики'!E1726-'19_Расчет_аналитики'!E1759/(1+'01_Вводные'!$B$58)</f>
        <v/>
      </c>
      <c r="F1786">
        <f>'19_Расчет_аналитики'!E1786+'19_Расчет_аналитики'!F1725+'19_Расчет_аналитики'!F1726-'19_Расчет_аналитики'!F1759/(1+'01_Вводные'!$B$58)</f>
        <v/>
      </c>
      <c r="G1786">
        <f>'19_Расчет_аналитики'!F1786+'19_Расчет_аналитики'!G1725+'19_Расчет_аналитики'!G1726-'19_Расчет_аналитики'!G1759/(1+'01_Вводные'!$B$58)</f>
        <v/>
      </c>
      <c r="H1786">
        <f>'19_Расчет_аналитики'!G1786+'19_Расчет_аналитики'!H1725+'19_Расчет_аналитики'!H1726-'19_Расчет_аналитики'!H1759/(1+'01_Вводные'!$B$58)</f>
        <v/>
      </c>
      <c r="I1786">
        <f>'19_Расчет_аналитики'!H1786+'19_Расчет_аналитики'!I1725+'19_Расчет_аналитики'!I1726-'19_Расчет_аналитики'!I1759/(1+'01_Вводные'!$B$58)</f>
        <v/>
      </c>
      <c r="J1786">
        <f>'19_Расчет_аналитики'!I1786+'19_Расчет_аналитики'!J1725+'19_Расчет_аналитики'!J1726-'19_Расчет_аналитики'!J1759/(1+'01_Вводные'!$B$58)</f>
        <v/>
      </c>
      <c r="K1786">
        <f>'19_Расчет_аналитики'!J1786+'19_Расчет_аналитики'!K1725+'19_Расчет_аналитики'!K1726-'19_Расчет_аналитики'!K1759/(1+'01_Вводные'!$B$58)</f>
        <v/>
      </c>
      <c r="L1786">
        <f>'19_Расчет_аналитики'!K1786+'19_Расчет_аналитики'!L1725+'19_Расчет_аналитики'!L1726-'19_Расчет_аналитики'!L1759/(1+'01_Вводные'!$B$58)</f>
        <v/>
      </c>
      <c r="M1786">
        <f>'19_Расчет_аналитики'!L1786+'19_Расчет_аналитики'!M1725+'19_Расчет_аналитики'!M1726-'19_Расчет_аналитики'!M1759/(1+'01_Вводные'!$B$58)</f>
        <v/>
      </c>
      <c r="N1786">
        <f>'19_Расчет_аналитики'!M1786+'19_Расчет_аналитики'!N1725+'19_Расчет_аналитики'!N1726-'19_Расчет_аналитики'!N1759/(1+'01_Вводные'!$B$58)</f>
        <v/>
      </c>
      <c r="O1786">
        <f>'19_Расчет_аналитики'!N1786+'19_Расчет_аналитики'!O1725+'19_Расчет_аналитики'!O1726-'19_Расчет_аналитики'!O1759/(1+'01_Вводные'!$B$58)</f>
        <v/>
      </c>
      <c r="P1786">
        <f>'19_Расчет_аналитики'!O1786+'19_Расчет_аналитики'!P1725+'19_Расчет_аналитики'!P1726-'19_Расчет_аналитики'!P1759/(1+'01_Вводные'!$B$58)</f>
        <v/>
      </c>
      <c r="Q1786">
        <f>'19_Расчет_аналитики'!P1786+'19_Расчет_аналитики'!Q1725+'19_Расчет_аналитики'!Q1726-'19_Расчет_аналитики'!Q1759/(1+'01_Вводные'!$B$58)</f>
        <v/>
      </c>
      <c r="R1786">
        <f>'19_Расчет_аналитики'!Q1786+'19_Расчет_аналитики'!R1725+'19_Расчет_аналитики'!R1726-'19_Расчет_аналитики'!R1759/(1+'01_Вводные'!$B$58)</f>
        <v/>
      </c>
      <c r="S1786">
        <f>'19_Расчет_аналитики'!R1786+'19_Расчет_аналитики'!S1725+'19_Расчет_аналитики'!S1726-'19_Расчет_аналитики'!S1759/(1+'01_Вводные'!$B$58)</f>
        <v/>
      </c>
      <c r="T1786">
        <f>'19_Расчет_аналитики'!S1786+'19_Расчет_аналитики'!T1725+'19_Расчет_аналитики'!T1726-'19_Расчет_аналитики'!T1759/(1+'01_Вводные'!$B$58)</f>
        <v/>
      </c>
      <c r="U1786">
        <f>'19_Расчет_аналитики'!T1786+'19_Расчет_аналитики'!U1725+'19_Расчет_аналитики'!U1726-'19_Расчет_аналитики'!U1759/(1+'01_Вводные'!$B$58)</f>
        <v/>
      </c>
      <c r="V1786">
        <f>'19_Расчет_аналитики'!U1786+'19_Расчет_аналитики'!V1725+'19_Расчет_аналитики'!V1726-'19_Расчет_аналитики'!V1759/(1+'01_Вводные'!$B$58)</f>
        <v/>
      </c>
      <c r="W1786">
        <f>'19_Расчет_аналитики'!V1786+'19_Расчет_аналитики'!W1725+'19_Расчет_аналитики'!W1726-'19_Расчет_аналитики'!W1759/(1+'01_Вводные'!$B$58)</f>
        <v/>
      </c>
      <c r="X1786">
        <f>'19_Расчет_аналитики'!W1786+'19_Расчет_аналитики'!X1725+'19_Расчет_аналитики'!X1726-'19_Расчет_аналитики'!X1759/(1+'01_Вводные'!$B$58)</f>
        <v/>
      </c>
      <c r="Y1786">
        <f>'19_Расчет_аналитики'!X1786+'19_Расчет_аналитики'!Y1725+'19_Расчет_аналитики'!Y1726-'19_Расчет_аналитики'!Y1759/(1+'01_Вводные'!$B$58)</f>
        <v/>
      </c>
      <c r="Z1786">
        <f>'19_Расчет_аналитики'!Y1786+'19_Расчет_аналитики'!Z1725+'19_Расчет_аналитики'!Z1726-'19_Расчет_аналитики'!Z1759/(1+'01_Вводные'!$B$58)</f>
        <v/>
      </c>
      <c r="AA1786">
        <f>'19_Расчет_аналитики'!Z1786+'19_Расчет_аналитики'!AA1725+'19_Расчет_аналитики'!AA1726-'19_Расчет_аналитики'!AA1759/(1+'01_Вводные'!$B$58)</f>
        <v/>
      </c>
      <c r="AB1786">
        <f>'19_Расчет_аналитики'!AA1786+'19_Расчет_аналитики'!AB1725+'19_Расчет_аналитики'!AB1726-'19_Расчет_аналитики'!AB1759/(1+'01_Вводные'!$B$58)</f>
        <v/>
      </c>
      <c r="AC1786">
        <f>'19_Расчет_аналитики'!AB1786+'19_Расчет_аналитики'!AC1725+'19_Расчет_аналитики'!AC1726-'19_Расчет_аналитики'!AC1759/(1+'01_Вводные'!$B$58)</f>
        <v/>
      </c>
      <c r="AD1786">
        <f>'19_Расчет_аналитики'!AC1786+'19_Расчет_аналитики'!AD1725+'19_Расчет_аналитики'!AD1726-'19_Расчет_аналитики'!AD1759/(1+'01_Вводные'!$B$58)</f>
        <v/>
      </c>
      <c r="AE1786">
        <f>'19_Расчет_аналитики'!AD1786+'19_Расчет_аналитики'!AE1725+'19_Расчет_аналитики'!AE1726-'19_Расчет_аналитики'!AE1759/(1+'01_Вводные'!$B$58)</f>
        <v/>
      </c>
      <c r="AF1786">
        <f>'19_Расчет_аналитики'!AE1786+'19_Расчет_аналитики'!AF1725+'19_Расчет_аналитики'!AF1726-'19_Расчет_аналитики'!AF1759/(1+'01_Вводные'!$B$58)</f>
        <v/>
      </c>
      <c r="AG1786">
        <f>'19_Расчет_аналитики'!AF1786+'19_Расчет_аналитики'!AG1725+'19_Расчет_аналитики'!AG1726-'19_Расчет_аналитики'!AG1759/(1+'01_Вводные'!$B$58)</f>
        <v/>
      </c>
      <c r="AH1786">
        <f>'19_Расчет_аналитики'!AG1786+'19_Расчет_аналитики'!AH1725+'19_Расчет_аналитики'!AH1726-'19_Расчет_аналитики'!AH1759/(1+'01_Вводные'!$B$58)</f>
        <v/>
      </c>
      <c r="AI1786">
        <f>'19_Расчет_аналитики'!AH1786+'19_Расчет_аналитики'!AI1725+'19_Расчет_аналитики'!AI1726-'19_Расчет_аналитики'!AI1759/(1+'01_Вводные'!$B$58)</f>
        <v/>
      </c>
      <c r="AJ1786">
        <f>'19_Расчет_аналитики'!AI1786+'19_Расчет_аналитики'!AJ1725+'19_Расчет_аналитики'!AJ1726-'19_Расчет_аналитики'!AJ1759/(1+'01_Вводные'!$B$58)</f>
        <v/>
      </c>
      <c r="AK1786">
        <f>'19_Расчет_аналитики'!AJ1786+'19_Расчет_аналитики'!AK1725+'19_Расчет_аналитики'!AK1726-'19_Расчет_аналитики'!AK1759/(1+'01_Вводные'!$B$58)</f>
        <v/>
      </c>
      <c r="AL1786">
        <f>'19_Расчет_аналитики'!AK1786+'19_Расчет_аналитики'!AL1725+'19_Расчет_аналитики'!AL1726-'19_Расчет_аналитики'!AL1759/(1+'01_Вводные'!$B$58)</f>
        <v/>
      </c>
      <c r="AM1786">
        <f>'19_Расчет_аналитики'!AL1786+'19_Расчет_аналитики'!AM1725+'19_Расчет_аналитики'!AM1726-'19_Расчет_аналитики'!AM1759/(1+'01_Вводные'!$B$58)</f>
        <v/>
      </c>
      <c r="AN1786">
        <f>'19_Расчет_аналитики'!AM1786+'19_Расчет_аналитики'!AN1725+'19_Расчет_аналитики'!AN1726-'19_Расчет_аналитики'!AN1759/(1+'01_Вводные'!$B$58)</f>
        <v/>
      </c>
      <c r="AO1786">
        <f>'19_Расчет_аналитики'!AN1786+'19_Расчет_аналитики'!AO1725+'19_Расчет_аналитики'!AO1726-'19_Расчет_аналитики'!AO1759/(1+'01_Вводные'!$B$58)</f>
        <v/>
      </c>
      <c r="AP1786">
        <f>'19_Расчет_аналитики'!AO1786+'19_Расчет_аналитики'!AP1725+'19_Расчет_аналитики'!AP1726-'19_Расчет_аналитики'!AP1759/(1+'01_Вводные'!$B$58)</f>
        <v/>
      </c>
      <c r="AQ1786">
        <f>'19_Расчет_аналитики'!AP1786+'19_Расчет_аналитики'!AQ1725+'19_Расчет_аналитики'!AQ1726-'19_Расчет_аналитики'!AQ1759/(1+'01_Вводные'!$B$58)</f>
        <v/>
      </c>
      <c r="AR1786">
        <f>'19_Расчет_аналитики'!AQ1786+'19_Расчет_аналитики'!AR1725+'19_Расчет_аналитики'!AR1726-'19_Расчет_аналитики'!AR1759/(1+'01_Вводные'!$B$58)</f>
        <v/>
      </c>
      <c r="AS1786">
        <f>'19_Расчет_аналитики'!AR1786+'19_Расчет_аналитики'!AS1725+'19_Расчет_аналитики'!AS1726-'19_Расчет_аналитики'!AS1759/(1+'01_Вводные'!$B$58)</f>
        <v/>
      </c>
      <c r="AT1786">
        <f>'19_Расчет_аналитики'!AS1786+'19_Расчет_аналитики'!AT1725+'19_Расчет_аналитики'!AT1726-'19_Расчет_аналитики'!AT1759/(1+'01_Вводные'!$B$58)</f>
        <v/>
      </c>
      <c r="AU1786">
        <f>'19_Расчет_аналитики'!AT1786+'19_Расчет_аналитики'!AU1725+'19_Расчет_аналитики'!AU1726-'19_Расчет_аналитики'!AU1759/(1+'01_Вводные'!$B$58)</f>
        <v/>
      </c>
      <c r="AV1786">
        <f>'19_Расчет_аналитики'!AU1786+'19_Расчет_аналитики'!AV1725+'19_Расчет_аналитики'!AV1726-'19_Расчет_аналитики'!AV1759/(1+'01_Вводные'!$B$58)</f>
        <v/>
      </c>
      <c r="AW1786">
        <f>'19_Расчет_аналитики'!AV1786+'19_Расчет_аналитики'!AW1725+'19_Расчет_аналитики'!AW1726-'19_Расчет_аналитики'!AW1759/(1+'01_Вводные'!$B$58)</f>
        <v/>
      </c>
      <c r="AX1786">
        <f>'19_Расчет_аналитики'!AW1786+'19_Расчет_аналитики'!AX1725+'19_Расчет_аналитики'!AX1726-'19_Расчет_аналитики'!AX1759/(1+'01_Вводные'!$B$58)</f>
        <v/>
      </c>
      <c r="AY1786">
        <f>'19_Расчет_аналитики'!AX1786+'19_Расчет_аналитики'!AY1725+'19_Расчет_аналитики'!AY1726-'19_Расчет_аналитики'!AY1759/(1+'01_Вводные'!$B$58)</f>
        <v/>
      </c>
      <c r="AZ1786">
        <f>'19_Расчет_аналитики'!AY1786+'19_Расчет_аналитики'!AZ1725+'19_Расчет_аналитики'!AZ1726-'19_Расчет_аналитики'!AZ1759/(1+'01_Вводные'!$B$58)</f>
        <v/>
      </c>
      <c r="BA1786">
        <f>'19_Расчет_аналитики'!AZ1786+'19_Расчет_аналитики'!BA1725+'19_Расчет_аналитики'!BA1726-'19_Расчет_аналитики'!BA1759/(1+'01_Вводные'!$B$58)</f>
        <v/>
      </c>
      <c r="BB1786">
        <f>'19_Расчет_аналитики'!BA1786+'19_Расчет_аналитики'!BB1725+'19_Расчет_аналитики'!BB1726-'19_Расчет_аналитики'!BB1759/(1+'01_Вводные'!$B$58)</f>
        <v/>
      </c>
      <c r="BC1786">
        <f>'19_Расчет_аналитики'!BB1786+'19_Расчет_аналитики'!BC1725+'19_Расчет_аналитики'!BC1726-'19_Расчет_аналитики'!BC1759/(1+'01_Вводные'!$B$58)</f>
        <v/>
      </c>
      <c r="BD1786">
        <f>'19_Расчет_аналитики'!BC1786+'19_Расчет_аналитики'!BD1725+'19_Расчет_аналитики'!BD1726-'19_Расчет_аналитики'!BD1759/(1+'01_Вводные'!$B$58)</f>
        <v/>
      </c>
      <c r="BE1786">
        <f>'19_Расчет_аналитики'!BD1786+'19_Расчет_аналитики'!BE1725+'19_Расчет_аналитики'!BE1726-'19_Расчет_аналитики'!BE1759/(1+'01_Вводные'!$B$58)</f>
        <v/>
      </c>
      <c r="BF1786">
        <f>'19_Расчет_аналитики'!BE1786+'19_Расчет_аналитики'!BF1725+'19_Расчет_аналитики'!BF1726-'19_Расчет_аналитики'!BF1759/(1+'01_Вводные'!$B$58)</f>
        <v/>
      </c>
      <c r="BG1786">
        <f>'19_Расчет_аналитики'!BF1786+'19_Расчет_аналитики'!BG1725+'19_Расчет_аналитики'!BG1726-'19_Расчет_аналитики'!BG1759/(1+'01_Вводные'!$B$58)</f>
        <v/>
      </c>
      <c r="BH1786">
        <f>'19_Расчет_аналитики'!BG1786+'19_Расчет_аналитики'!BH1725+'19_Расчет_аналитики'!BH1726-'19_Расчет_аналитики'!BH1759/(1+'01_Вводные'!$B$58)</f>
        <v/>
      </c>
      <c r="BI1786">
        <f>'19_Расчет_аналитики'!BH1786+'19_Расчет_аналитики'!BI1725+'19_Расчет_аналитики'!BI1726-'19_Расчет_аналитики'!BI1759/(1+'01_Вводные'!$B$58)</f>
        <v/>
      </c>
    </row>
    <row r="1787">
      <c r="B1787">
        <f>0+SUM('19_Расчет_аналитики'!B1743:B1748)+'19_Расчет_аналитики'!B1638-'19_Расчет_аналитики'!B1765</f>
        <v/>
      </c>
      <c r="C1787">
        <f>'19_Расчет_аналитики'!B1787+SUM('19_Расчет_аналитики'!C1743:C1748)+'19_Расчет_аналитики'!C1638-'19_Расчет_аналитики'!C1765</f>
        <v/>
      </c>
      <c r="D1787">
        <f>'19_Расчет_аналитики'!C1787+SUM('19_Расчет_аналитики'!D1743:D1748)+'19_Расчет_аналитики'!D1638-'19_Расчет_аналитики'!D1765</f>
        <v/>
      </c>
      <c r="E1787">
        <f>'19_Расчет_аналитики'!D1787+SUM('19_Расчет_аналитики'!E1743:E1748)+'19_Расчет_аналитики'!E1638-'19_Расчет_аналитики'!E1765</f>
        <v/>
      </c>
      <c r="F1787">
        <f>'19_Расчет_аналитики'!E1787+SUM('19_Расчет_аналитики'!F1743:F1748)+'19_Расчет_аналитики'!F1638-'19_Расчет_аналитики'!F1765</f>
        <v/>
      </c>
      <c r="G1787">
        <f>'19_Расчет_аналитики'!F1787+SUM('19_Расчет_аналитики'!G1743:G1748)+'19_Расчет_аналитики'!G1638-'19_Расчет_аналитики'!G1765</f>
        <v/>
      </c>
      <c r="H1787">
        <f>'19_Расчет_аналитики'!G1787+SUM('19_Расчет_аналитики'!H1743:H1748)+'19_Расчет_аналитики'!H1638-'19_Расчет_аналитики'!H1765</f>
        <v/>
      </c>
      <c r="I1787">
        <f>'19_Расчет_аналитики'!H1787+SUM('19_Расчет_аналитики'!I1743:I1748)+'19_Расчет_аналитики'!I1638-'19_Расчет_аналитики'!I1765</f>
        <v/>
      </c>
      <c r="J1787">
        <f>'19_Расчет_аналитики'!I1787+SUM('19_Расчет_аналитики'!J1743:J1748)+'19_Расчет_аналитики'!J1638-'19_Расчет_аналитики'!J1765</f>
        <v/>
      </c>
      <c r="K1787">
        <f>'19_Расчет_аналитики'!J1787+SUM('19_Расчет_аналитики'!K1743:K1748)+'19_Расчет_аналитики'!K1638-'19_Расчет_аналитики'!K1765</f>
        <v/>
      </c>
      <c r="L1787">
        <f>'19_Расчет_аналитики'!K1787+SUM('19_Расчет_аналитики'!L1743:L1748)+'19_Расчет_аналитики'!L1638-'19_Расчет_аналитики'!L1765</f>
        <v/>
      </c>
      <c r="M1787">
        <f>'19_Расчет_аналитики'!L1787+SUM('19_Расчет_аналитики'!M1743:M1748)+'19_Расчет_аналитики'!M1638-'19_Расчет_аналитики'!M1765</f>
        <v/>
      </c>
      <c r="N1787">
        <f>'19_Расчет_аналитики'!M1787+SUM('19_Расчет_аналитики'!N1743:N1748)+'19_Расчет_аналитики'!N1638-'19_Расчет_аналитики'!N1765</f>
        <v/>
      </c>
      <c r="O1787">
        <f>'19_Расчет_аналитики'!N1787+SUM('19_Расчет_аналитики'!O1743:O1748)+'19_Расчет_аналитики'!O1638-'19_Расчет_аналитики'!O1765</f>
        <v/>
      </c>
      <c r="P1787">
        <f>'19_Расчет_аналитики'!O1787+SUM('19_Расчет_аналитики'!P1743:P1748)+'19_Расчет_аналитики'!P1638-'19_Расчет_аналитики'!P1765</f>
        <v/>
      </c>
      <c r="Q1787">
        <f>'19_Расчет_аналитики'!P1787+SUM('19_Расчет_аналитики'!Q1743:Q1748)+'19_Расчет_аналитики'!Q1638-'19_Расчет_аналитики'!Q1765</f>
        <v/>
      </c>
      <c r="R1787">
        <f>'19_Расчет_аналитики'!Q1787+SUM('19_Расчет_аналитики'!R1743:R1748)+'19_Расчет_аналитики'!R1638-'19_Расчет_аналитики'!R1765</f>
        <v/>
      </c>
      <c r="S1787">
        <f>'19_Расчет_аналитики'!R1787+SUM('19_Расчет_аналитики'!S1743:S1748)+'19_Расчет_аналитики'!S1638-'19_Расчет_аналитики'!S1765</f>
        <v/>
      </c>
      <c r="T1787">
        <f>'19_Расчет_аналитики'!S1787+SUM('19_Расчет_аналитики'!T1743:T1748)+'19_Расчет_аналитики'!T1638-'19_Расчет_аналитики'!T1765</f>
        <v/>
      </c>
      <c r="U1787">
        <f>'19_Расчет_аналитики'!T1787+SUM('19_Расчет_аналитики'!U1743:U1748)+'19_Расчет_аналитики'!U1638-'19_Расчет_аналитики'!U1765</f>
        <v/>
      </c>
      <c r="V1787">
        <f>'19_Расчет_аналитики'!U1787+SUM('19_Расчет_аналитики'!V1743:V1748)+'19_Расчет_аналитики'!V1638-'19_Расчет_аналитики'!V1765</f>
        <v/>
      </c>
      <c r="W1787">
        <f>'19_Расчет_аналитики'!V1787+SUM('19_Расчет_аналитики'!W1743:W1748)+'19_Расчет_аналитики'!W1638-'19_Расчет_аналитики'!W1765</f>
        <v/>
      </c>
      <c r="X1787">
        <f>'19_Расчет_аналитики'!W1787+SUM('19_Расчет_аналитики'!X1743:X1748)+'19_Расчет_аналитики'!X1638-'19_Расчет_аналитики'!X1765</f>
        <v/>
      </c>
      <c r="Y1787">
        <f>'19_Расчет_аналитики'!X1787+SUM('19_Расчет_аналитики'!Y1743:Y1748)+'19_Расчет_аналитики'!Y1638-'19_Расчет_аналитики'!Y1765</f>
        <v/>
      </c>
      <c r="Z1787">
        <f>'19_Расчет_аналитики'!Y1787+SUM('19_Расчет_аналитики'!Z1743:Z1748)+'19_Расчет_аналитики'!Z1638-'19_Расчет_аналитики'!Z1765</f>
        <v/>
      </c>
      <c r="AA1787">
        <f>'19_Расчет_аналитики'!Z1787+SUM('19_Расчет_аналитики'!AA1743:AA1748)+'19_Расчет_аналитики'!AA1638-'19_Расчет_аналитики'!AA1765</f>
        <v/>
      </c>
      <c r="AB1787">
        <f>'19_Расчет_аналитики'!AA1787+SUM('19_Расчет_аналитики'!AB1743:AB1748)+'19_Расчет_аналитики'!AB1638-'19_Расчет_аналитики'!AB1765</f>
        <v/>
      </c>
      <c r="AC1787">
        <f>'19_Расчет_аналитики'!AB1787+SUM('19_Расчет_аналитики'!AC1743:AC1748)+'19_Расчет_аналитики'!AC1638-'19_Расчет_аналитики'!AC1765</f>
        <v/>
      </c>
      <c r="AD1787">
        <f>'19_Расчет_аналитики'!AC1787+SUM('19_Расчет_аналитики'!AD1743:AD1748)+'19_Расчет_аналитики'!AD1638-'19_Расчет_аналитики'!AD1765</f>
        <v/>
      </c>
      <c r="AE1787">
        <f>'19_Расчет_аналитики'!AD1787+SUM('19_Расчет_аналитики'!AE1743:AE1748)+'19_Расчет_аналитики'!AE1638-'19_Расчет_аналитики'!AE1765</f>
        <v/>
      </c>
      <c r="AF1787">
        <f>'19_Расчет_аналитики'!AE1787+SUM('19_Расчет_аналитики'!AF1743:AF1748)+'19_Расчет_аналитики'!AF1638-'19_Расчет_аналитики'!AF1765</f>
        <v/>
      </c>
      <c r="AG1787">
        <f>'19_Расчет_аналитики'!AF1787+SUM('19_Расчет_аналитики'!AG1743:AG1748)+'19_Расчет_аналитики'!AG1638-'19_Расчет_аналитики'!AG1765</f>
        <v/>
      </c>
      <c r="AH1787">
        <f>'19_Расчет_аналитики'!AG1787+SUM('19_Расчет_аналитики'!AH1743:AH1748)+'19_Расчет_аналитики'!AH1638-'19_Расчет_аналитики'!AH1765</f>
        <v/>
      </c>
      <c r="AI1787">
        <f>'19_Расчет_аналитики'!AH1787+SUM('19_Расчет_аналитики'!AI1743:AI1748)+'19_Расчет_аналитики'!AI1638-'19_Расчет_аналитики'!AI1765</f>
        <v/>
      </c>
      <c r="AJ1787">
        <f>'19_Расчет_аналитики'!AI1787+SUM('19_Расчет_аналитики'!AJ1743:AJ1748)+'19_Расчет_аналитики'!AJ1638-'19_Расчет_аналитики'!AJ1765</f>
        <v/>
      </c>
      <c r="AK1787">
        <f>'19_Расчет_аналитики'!AJ1787+SUM('19_Расчет_аналитики'!AK1743:AK1748)+'19_Расчет_аналитики'!AK1638-'19_Расчет_аналитики'!AK1765</f>
        <v/>
      </c>
      <c r="AL1787">
        <f>'19_Расчет_аналитики'!AK1787+SUM('19_Расчет_аналитики'!AL1743:AL1748)+'19_Расчет_аналитики'!AL1638-'19_Расчет_аналитики'!AL1765</f>
        <v/>
      </c>
      <c r="AM1787">
        <f>'19_Расчет_аналитики'!AL1787+SUM('19_Расчет_аналитики'!AM1743:AM1748)+'19_Расчет_аналитики'!AM1638-'19_Расчет_аналитики'!AM1765</f>
        <v/>
      </c>
      <c r="AN1787">
        <f>'19_Расчет_аналитики'!AM1787+SUM('19_Расчет_аналитики'!AN1743:AN1748)+'19_Расчет_аналитики'!AN1638-'19_Расчет_аналитики'!AN1765</f>
        <v/>
      </c>
      <c r="AO1787">
        <f>'19_Расчет_аналитики'!AN1787+SUM('19_Расчет_аналитики'!AO1743:AO1748)+'19_Расчет_аналитики'!AO1638-'19_Расчет_аналитики'!AO1765</f>
        <v/>
      </c>
      <c r="AP1787">
        <f>'19_Расчет_аналитики'!AO1787+SUM('19_Расчет_аналитики'!AP1743:AP1748)+'19_Расчет_аналитики'!AP1638-'19_Расчет_аналитики'!AP1765</f>
        <v/>
      </c>
      <c r="AQ1787">
        <f>'19_Расчет_аналитики'!AP1787+SUM('19_Расчет_аналитики'!AQ1743:AQ1748)+'19_Расчет_аналитики'!AQ1638-'19_Расчет_аналитики'!AQ1765</f>
        <v/>
      </c>
      <c r="AR1787">
        <f>'19_Расчет_аналитики'!AQ1787+SUM('19_Расчет_аналитики'!AR1743:AR1748)+'19_Расчет_аналитики'!AR1638-'19_Расчет_аналитики'!AR1765</f>
        <v/>
      </c>
      <c r="AS1787">
        <f>'19_Расчет_аналитики'!AR1787+SUM('19_Расчет_аналитики'!AS1743:AS1748)+'19_Расчет_аналитики'!AS1638-'19_Расчет_аналитики'!AS1765</f>
        <v/>
      </c>
      <c r="AT1787">
        <f>'19_Расчет_аналитики'!AS1787+SUM('19_Расчет_аналитики'!AT1743:AT1748)+'19_Расчет_аналитики'!AT1638-'19_Расчет_аналитики'!AT1765</f>
        <v/>
      </c>
      <c r="AU1787">
        <f>'19_Расчет_аналитики'!AT1787+SUM('19_Расчет_аналитики'!AU1743:AU1748)+'19_Расчет_аналитики'!AU1638-'19_Расчет_аналитики'!AU1765</f>
        <v/>
      </c>
      <c r="AV1787">
        <f>'19_Расчет_аналитики'!AU1787+SUM('19_Расчет_аналитики'!AV1743:AV1748)+'19_Расчет_аналитики'!AV1638-'19_Расчет_аналитики'!AV1765</f>
        <v/>
      </c>
      <c r="AW1787">
        <f>'19_Расчет_аналитики'!AV1787+SUM('19_Расчет_аналитики'!AW1743:AW1748)+'19_Расчет_аналитики'!AW1638-'19_Расчет_аналитики'!AW1765</f>
        <v/>
      </c>
      <c r="AX1787">
        <f>'19_Расчет_аналитики'!AW1787+SUM('19_Расчет_аналитики'!AX1743:AX1748)+'19_Расчет_аналитики'!AX1638-'19_Расчет_аналитики'!AX1765</f>
        <v/>
      </c>
      <c r="AY1787">
        <f>'19_Расчет_аналитики'!AX1787+SUM('19_Расчет_аналитики'!AY1743:AY1748)+'19_Расчет_аналитики'!AY1638-'19_Расчет_аналитики'!AY1765</f>
        <v/>
      </c>
      <c r="AZ1787">
        <f>'19_Расчет_аналитики'!AY1787+SUM('19_Расчет_аналитики'!AZ1743:AZ1748)+'19_Расчет_аналитики'!AZ1638-'19_Расчет_аналитики'!AZ1765</f>
        <v/>
      </c>
      <c r="BA1787">
        <f>'19_Расчет_аналитики'!AZ1787+SUM('19_Расчет_аналитики'!BA1743:BA1748)+'19_Расчет_аналитики'!BA1638-'19_Расчет_аналитики'!BA1765</f>
        <v/>
      </c>
      <c r="BB1787">
        <f>'19_Расчет_аналитики'!BA1787+SUM('19_Расчет_аналитики'!BB1743:BB1748)+'19_Расчет_аналитики'!BB1638-'19_Расчет_аналитики'!BB1765</f>
        <v/>
      </c>
      <c r="BC1787">
        <f>'19_Расчет_аналитики'!BB1787+SUM('19_Расчет_аналитики'!BC1743:BC1748)+'19_Расчет_аналитики'!BC1638-'19_Расчет_аналитики'!BC1765</f>
        <v/>
      </c>
      <c r="BD1787">
        <f>'19_Расчет_аналитики'!BC1787+SUM('19_Расчет_аналитики'!BD1743:BD1748)+'19_Расчет_аналитики'!BD1638-'19_Расчет_аналитики'!BD1765</f>
        <v/>
      </c>
      <c r="BE1787">
        <f>'19_Расчет_аналитики'!BD1787+SUM('19_Расчет_аналитики'!BE1743:BE1748)+'19_Расчет_аналитики'!BE1638-'19_Расчет_аналитики'!BE1765</f>
        <v/>
      </c>
      <c r="BF1787">
        <f>'19_Расчет_аналитики'!BE1787+SUM('19_Расчет_аналитики'!BF1743:BF1748)+'19_Расчет_аналитики'!BF1638-'19_Расчет_аналитики'!BF1765</f>
        <v/>
      </c>
      <c r="BG1787">
        <f>'19_Расчет_аналитики'!BF1787+SUM('19_Расчет_аналитики'!BG1743:BG1748)+'19_Расчет_аналитики'!BG1638-'19_Расчет_аналитики'!BG1765</f>
        <v/>
      </c>
      <c r="BH1787">
        <f>'19_Расчет_аналитики'!BG1787+SUM('19_Расчет_аналитики'!BH1743:BH1748)+'19_Расчет_аналитики'!BH1638-'19_Расчет_аналитики'!BH1765</f>
        <v/>
      </c>
      <c r="BI1787">
        <f>'19_Расчет_аналитики'!BH1787+SUM('19_Расчет_аналитики'!BI1743:BI1748)+'19_Расчет_аналитики'!BI1638-'19_Расчет_аналитики'!BI1765</f>
        <v/>
      </c>
    </row>
    <row r="1788"/>
    <row r="1789"/>
    <row r="1790">
      <c r="B1790">
        <f>'19_Расчет_аналитики'!B1639-'07_Мерч'!B22</f>
        <v/>
      </c>
      <c r="C1790">
        <f>'19_Расчет_аналитики'!C1639-'19_Расчет_аналитики'!C1635</f>
        <v/>
      </c>
      <c r="D1790">
        <f>'19_Расчет_аналитики'!D1639-'19_Расчет_аналитики'!D1635</f>
        <v/>
      </c>
      <c r="E1790">
        <f>'19_Расчет_аналитики'!E1639-'19_Расчет_аналитики'!E1635</f>
        <v/>
      </c>
      <c r="F1790">
        <f>'19_Расчет_аналитики'!F1639-'19_Расчет_аналитики'!F1635</f>
        <v/>
      </c>
      <c r="G1790">
        <f>'19_Расчет_аналитики'!G1639-'19_Расчет_аналитики'!G1635</f>
        <v/>
      </c>
      <c r="H1790">
        <f>'19_Расчет_аналитики'!H1639-'19_Расчет_аналитики'!H1635</f>
        <v/>
      </c>
      <c r="I1790">
        <f>'19_Расчет_аналитики'!I1639-'19_Расчет_аналитики'!I1635</f>
        <v/>
      </c>
      <c r="J1790">
        <f>'19_Расчет_аналитики'!J1639-'19_Расчет_аналитики'!J1635</f>
        <v/>
      </c>
      <c r="K1790">
        <f>'19_Расчет_аналитики'!K1639-'19_Расчет_аналитики'!K1635</f>
        <v/>
      </c>
      <c r="L1790">
        <f>'19_Расчет_аналитики'!L1639-'19_Расчет_аналитики'!L1635</f>
        <v/>
      </c>
      <c r="M1790">
        <f>'19_Расчет_аналитики'!M1639-'19_Расчет_аналитики'!M1635</f>
        <v/>
      </c>
      <c r="N1790">
        <f>'19_Расчет_аналитики'!N1639-'19_Расчет_аналитики'!N1635</f>
        <v/>
      </c>
      <c r="O1790">
        <f>'19_Расчет_аналитики'!O1639-'19_Расчет_аналитики'!O1635</f>
        <v/>
      </c>
      <c r="P1790">
        <f>'19_Расчет_аналитики'!P1639-'19_Расчет_аналитики'!P1635</f>
        <v/>
      </c>
      <c r="Q1790">
        <f>'19_Расчет_аналитики'!Q1639-'19_Расчет_аналитики'!Q1635</f>
        <v/>
      </c>
      <c r="R1790">
        <f>'19_Расчет_аналитики'!R1639-'19_Расчет_аналитики'!R1635</f>
        <v/>
      </c>
      <c r="S1790">
        <f>'19_Расчет_аналитики'!S1639-'19_Расчет_аналитики'!S1635</f>
        <v/>
      </c>
      <c r="T1790">
        <f>'19_Расчет_аналитики'!T1639-'19_Расчет_аналитики'!T1635</f>
        <v/>
      </c>
      <c r="U1790">
        <f>'19_Расчет_аналитики'!U1639-'19_Расчет_аналитики'!U1635</f>
        <v/>
      </c>
      <c r="V1790">
        <f>'19_Расчет_аналитики'!V1639-'19_Расчет_аналитики'!V1635</f>
        <v/>
      </c>
      <c r="W1790">
        <f>'19_Расчет_аналитики'!W1639-'19_Расчет_аналитики'!W1635</f>
        <v/>
      </c>
      <c r="X1790">
        <f>'19_Расчет_аналитики'!X1639-'19_Расчет_аналитики'!X1635</f>
        <v/>
      </c>
      <c r="Y1790">
        <f>'19_Расчет_аналитики'!Y1639-'19_Расчет_аналитики'!Y1635</f>
        <v/>
      </c>
      <c r="Z1790">
        <f>'19_Расчет_аналитики'!Z1639-'19_Расчет_аналитики'!Z1635</f>
        <v/>
      </c>
      <c r="AA1790">
        <f>'19_Расчет_аналитики'!AA1639-'19_Расчет_аналитики'!AA1635</f>
        <v/>
      </c>
      <c r="AB1790">
        <f>'19_Расчет_аналитики'!AB1639-'19_Расчет_аналитики'!AB1635</f>
        <v/>
      </c>
      <c r="AC1790">
        <f>'19_Расчет_аналитики'!AC1639-'19_Расчет_аналитики'!AC1635</f>
        <v/>
      </c>
      <c r="AD1790">
        <f>'19_Расчет_аналитики'!AD1639-'19_Расчет_аналитики'!AD1635</f>
        <v/>
      </c>
      <c r="AE1790">
        <f>'19_Расчет_аналитики'!AE1639-'19_Расчет_аналитики'!AE1635</f>
        <v/>
      </c>
      <c r="AF1790">
        <f>'19_Расчет_аналитики'!AF1639-'19_Расчет_аналитики'!AF1635</f>
        <v/>
      </c>
      <c r="AG1790">
        <f>'19_Расчет_аналитики'!AG1639-'19_Расчет_аналитики'!AG1635</f>
        <v/>
      </c>
      <c r="AH1790">
        <f>'19_Расчет_аналитики'!AH1639-'19_Расчет_аналитики'!AH1635</f>
        <v/>
      </c>
      <c r="AI1790">
        <f>'19_Расчет_аналитики'!AI1639-'19_Расчет_аналитики'!AI1635</f>
        <v/>
      </c>
      <c r="AJ1790">
        <f>'19_Расчет_аналитики'!AJ1639-'19_Расчет_аналитики'!AJ1635</f>
        <v/>
      </c>
      <c r="AK1790">
        <f>'19_Расчет_аналитики'!AK1639-'19_Расчет_аналитики'!AK1635</f>
        <v/>
      </c>
      <c r="AL1790">
        <f>'19_Расчет_аналитики'!AL1639-'19_Расчет_аналитики'!AL1635</f>
        <v/>
      </c>
      <c r="AM1790">
        <f>'19_Расчет_аналитики'!AM1639-'19_Расчет_аналитики'!AM1635</f>
        <v/>
      </c>
      <c r="AN1790">
        <f>'19_Расчет_аналитики'!AN1639-'19_Расчет_аналитики'!AN1635</f>
        <v/>
      </c>
      <c r="AO1790">
        <f>'19_Расчет_аналитики'!AO1639-'19_Расчет_аналитики'!AO1635</f>
        <v/>
      </c>
      <c r="AP1790">
        <f>'19_Расчет_аналитики'!AP1639-'19_Расчет_аналитики'!AP1635</f>
        <v/>
      </c>
      <c r="AQ1790">
        <f>'19_Расчет_аналитики'!AQ1639-'19_Расчет_аналитики'!AQ1635</f>
        <v/>
      </c>
      <c r="AR1790">
        <f>'19_Расчет_аналитики'!AR1639-'19_Расчет_аналитики'!AR1635</f>
        <v/>
      </c>
      <c r="AS1790">
        <f>'19_Расчет_аналитики'!AS1639-'19_Расчет_аналитики'!AS1635</f>
        <v/>
      </c>
      <c r="AT1790">
        <f>'19_Расчет_аналитики'!AT1639-'19_Расчет_аналитики'!AT1635</f>
        <v/>
      </c>
      <c r="AU1790">
        <f>'19_Расчет_аналитики'!AU1639-'19_Расчет_аналитики'!AU1635</f>
        <v/>
      </c>
      <c r="AV1790">
        <f>'19_Расчет_аналитики'!AV1639-'19_Расчет_аналитики'!AV1635</f>
        <v/>
      </c>
      <c r="AW1790">
        <f>'19_Расчет_аналитики'!AW1639-'19_Расчет_аналитики'!AW1635</f>
        <v/>
      </c>
      <c r="AX1790">
        <f>'19_Расчет_аналитики'!AX1639-'19_Расчет_аналитики'!AX1635</f>
        <v/>
      </c>
      <c r="AY1790">
        <f>'19_Расчет_аналитики'!AY1639-'19_Расчет_аналитики'!AY1635</f>
        <v/>
      </c>
      <c r="AZ1790">
        <f>'19_Расчет_аналитики'!AZ1639-'19_Расчет_аналитики'!AZ1635</f>
        <v/>
      </c>
      <c r="BA1790">
        <f>'19_Расчет_аналитики'!BA1639-'19_Расчет_аналитики'!BA1635</f>
        <v/>
      </c>
      <c r="BB1790">
        <f>'19_Расчет_аналитики'!BB1639-'19_Расчет_аналитики'!BB1635</f>
        <v/>
      </c>
      <c r="BC1790">
        <f>'19_Расчет_аналитики'!BC1639-'19_Расчет_аналитики'!BC1635</f>
        <v/>
      </c>
      <c r="BD1790">
        <f>'19_Расчет_аналитики'!BD1639-'19_Расчет_аналитики'!BD1635</f>
        <v/>
      </c>
      <c r="BE1790">
        <f>'19_Расчет_аналитики'!BE1639-'19_Расчет_аналитики'!BE1635</f>
        <v/>
      </c>
      <c r="BF1790">
        <f>'19_Расчет_аналитики'!BF1639-'19_Расчет_аналитики'!BF1635</f>
        <v/>
      </c>
      <c r="BG1790">
        <f>'19_Расчет_аналитики'!BG1639-'19_Расчет_аналитики'!BG1635</f>
        <v/>
      </c>
      <c r="BH1790">
        <f>'19_Расчет_аналитики'!BH1639-'19_Расчет_аналитики'!BH1635</f>
        <v/>
      </c>
      <c r="BI1790">
        <f>'19_Расчет_аналитики'!BI1639-'19_Расчет_аналитики'!BI1635</f>
        <v/>
      </c>
    </row>
    <row r="1791">
      <c r="B1791">
        <f>'19_Расчет_аналитики'!B1750-'19_Расчет_аналитики'!B1752-('19_Расчет_аналитики'!B1786-0)+('19_Расчет_аналитики'!B1787-0)+('02_Модель'!B82-0)-('02_Модель'!B83-0)-'19_Расчет_аналитики'!B1790-'19_Расчет_аналитики'!B1776+('19_Расчет_аналитики'!B1794-0)-'19_Расчет_аналитики'!B1763</f>
        <v/>
      </c>
      <c r="C1791">
        <f>'19_Расчет_аналитики'!C1750-'19_Расчет_аналитики'!C1752-('19_Расчет_аналитики'!C1786-'19_Расчет_аналитики'!B1786)+('19_Расчет_аналитики'!C1787-'19_Расчет_аналитики'!B1787)+('02_Модель'!C82-'02_Модель'!B82)-('02_Модель'!C83-'02_Модель'!B83)-'19_Расчет_аналитики'!C1790-'19_Расчет_аналитики'!C1776+('19_Расчет_аналитики'!C1794-'19_Расчет_аналитики'!B1794)-'19_Расчет_аналитики'!C1763</f>
        <v/>
      </c>
      <c r="D1791">
        <f>'19_Расчет_аналитики'!D1750-'19_Расчет_аналитики'!D1752-('19_Расчет_аналитики'!D1786-'19_Расчет_аналитики'!C1786)+('19_Расчет_аналитики'!D1787-'19_Расчет_аналитики'!C1787)+('02_Модель'!D82-'02_Модель'!C82)-('02_Модель'!D83-'02_Модель'!C83)-'19_Расчет_аналитики'!D1790-'19_Расчет_аналитики'!D1776+('19_Расчет_аналитики'!D1794-'19_Расчет_аналитики'!C1794)-'19_Расчет_аналитики'!D1763</f>
        <v/>
      </c>
      <c r="E1791">
        <f>'19_Расчет_аналитики'!E1750-'19_Расчет_аналитики'!E1752-('19_Расчет_аналитики'!E1786-'19_Расчет_аналитики'!D1786)+('19_Расчет_аналитики'!E1787-'19_Расчет_аналитики'!D1787)+('02_Модель'!E82-'02_Модель'!D82)-('02_Модель'!E83-'02_Модель'!D83)-'19_Расчет_аналитики'!E1790-'19_Расчет_аналитики'!E1776+('19_Расчет_аналитики'!E1794-'19_Расчет_аналитики'!D1794)-'19_Расчет_аналитики'!E1763</f>
        <v/>
      </c>
      <c r="F1791">
        <f>'19_Расчет_аналитики'!F1750-'19_Расчет_аналитики'!F1752-('19_Расчет_аналитики'!F1786-'19_Расчет_аналитики'!E1786)+('19_Расчет_аналитики'!F1787-'19_Расчет_аналитики'!E1787)+('02_Модель'!F82-'02_Модель'!E82)-('02_Модель'!F83-'02_Модель'!E83)-'19_Расчет_аналитики'!F1790-'19_Расчет_аналитики'!F1776+('19_Расчет_аналитики'!F1794-'19_Расчет_аналитики'!E1794)-'19_Расчет_аналитики'!F1763</f>
        <v/>
      </c>
      <c r="G1791">
        <f>'19_Расчет_аналитики'!G1750-'19_Расчет_аналитики'!G1752-('19_Расчет_аналитики'!G1786-'19_Расчет_аналитики'!F1786)+('19_Расчет_аналитики'!G1787-'19_Расчет_аналитики'!F1787)+('02_Модель'!G82-'02_Модель'!F82)-('02_Модель'!G83-'02_Модель'!F83)-'19_Расчет_аналитики'!G1790-'19_Расчет_аналитики'!G1776+('19_Расчет_аналитики'!G1794-'19_Расчет_аналитики'!F1794)-'19_Расчет_аналитики'!G1763</f>
        <v/>
      </c>
      <c r="H1791">
        <f>'19_Расчет_аналитики'!H1750-'19_Расчет_аналитики'!H1752-('19_Расчет_аналитики'!H1786-'19_Расчет_аналитики'!G1786)+('19_Расчет_аналитики'!H1787-'19_Расчет_аналитики'!G1787)+('02_Модель'!H82-'02_Модель'!G82)-('02_Модель'!H83-'02_Модель'!G83)-'19_Расчет_аналитики'!H1790-'19_Расчет_аналитики'!H1776+('19_Расчет_аналитики'!H1794-'19_Расчет_аналитики'!G1794)-'19_Расчет_аналитики'!H1763</f>
        <v/>
      </c>
      <c r="I1791">
        <f>'19_Расчет_аналитики'!I1750-'19_Расчет_аналитики'!I1752-('19_Расчет_аналитики'!I1786-'19_Расчет_аналитики'!H1786)+('19_Расчет_аналитики'!I1787-'19_Расчет_аналитики'!H1787)+('02_Модель'!I82-'02_Модель'!H82)-('02_Модель'!I83-'02_Модель'!H83)-'19_Расчет_аналитики'!I1790-'19_Расчет_аналитики'!I1776+('19_Расчет_аналитики'!I1794-'19_Расчет_аналитики'!H1794)-'19_Расчет_аналитики'!I1763</f>
        <v/>
      </c>
      <c r="J1791">
        <f>'19_Расчет_аналитики'!J1750-'19_Расчет_аналитики'!J1752-('19_Расчет_аналитики'!J1786-'19_Расчет_аналитики'!I1786)+('19_Расчет_аналитики'!J1787-'19_Расчет_аналитики'!I1787)+('02_Модель'!J82-'02_Модель'!I82)-('02_Модель'!J83-'02_Модель'!I83)-'19_Расчет_аналитики'!J1790-'19_Расчет_аналитики'!J1776+('19_Расчет_аналитики'!J1794-'19_Расчет_аналитики'!I1794)-'19_Расчет_аналитики'!J1763</f>
        <v/>
      </c>
      <c r="K1791">
        <f>'19_Расчет_аналитики'!K1750-'19_Расчет_аналитики'!K1752-('19_Расчет_аналитики'!K1786-'19_Расчет_аналитики'!J1786)+('19_Расчет_аналитики'!K1787-'19_Расчет_аналитики'!J1787)+('02_Модель'!K82-'02_Модель'!J82)-('02_Модель'!K83-'02_Модель'!J83)-'19_Расчет_аналитики'!K1790-'19_Расчет_аналитики'!K1776+('19_Расчет_аналитики'!K1794-'19_Расчет_аналитики'!J1794)-'19_Расчет_аналитики'!K1763</f>
        <v/>
      </c>
      <c r="L1791">
        <f>'19_Расчет_аналитики'!L1750-'19_Расчет_аналитики'!L1752-('19_Расчет_аналитики'!L1786-'19_Расчет_аналитики'!K1786)+('19_Расчет_аналитики'!L1787-'19_Расчет_аналитики'!K1787)+('02_Модель'!L82-'02_Модель'!K82)-('02_Модель'!L83-'02_Модель'!K83)-'19_Расчет_аналитики'!L1790-'19_Расчет_аналитики'!L1776+('19_Расчет_аналитики'!L1794-'19_Расчет_аналитики'!K1794)-'19_Расчет_аналитики'!L1763</f>
        <v/>
      </c>
      <c r="M1791">
        <f>'19_Расчет_аналитики'!M1750-'19_Расчет_аналитики'!M1752-('19_Расчет_аналитики'!M1786-'19_Расчет_аналитики'!L1786)+('19_Расчет_аналитики'!M1787-'19_Расчет_аналитики'!L1787)+('02_Модель'!M82-'02_Модель'!L82)-('02_Модель'!M83-'02_Модель'!L83)-'19_Расчет_аналитики'!M1790-'19_Расчет_аналитики'!M1776+('19_Расчет_аналитики'!M1794-'19_Расчет_аналитики'!L1794)-'19_Расчет_аналитики'!M1763</f>
        <v/>
      </c>
      <c r="N1791">
        <f>'19_Расчет_аналитики'!N1750-'19_Расчет_аналитики'!N1752-('19_Расчет_аналитики'!N1786-'19_Расчет_аналитики'!M1786)+('19_Расчет_аналитики'!N1787-'19_Расчет_аналитики'!M1787)+('02_Модель'!N82-'02_Модель'!M82)-('02_Модель'!N83-'02_Модель'!M83)-'19_Расчет_аналитики'!N1790-'19_Расчет_аналитики'!N1776+('19_Расчет_аналитики'!N1794-'19_Расчет_аналитики'!M1794)-'19_Расчет_аналитики'!N1763</f>
        <v/>
      </c>
      <c r="O1791">
        <f>'19_Расчет_аналитики'!O1750-'19_Расчет_аналитики'!O1752-('19_Расчет_аналитики'!O1786-'19_Расчет_аналитики'!N1786)+('19_Расчет_аналитики'!O1787-'19_Расчет_аналитики'!N1787)+('02_Модель'!O82-'02_Модель'!N82)-('02_Модель'!O83-'02_Модель'!N83)-'19_Расчет_аналитики'!O1790-'19_Расчет_аналитики'!O1776+('19_Расчет_аналитики'!O1794-'19_Расчет_аналитики'!N1794)-'19_Расчет_аналитики'!O1763</f>
        <v/>
      </c>
      <c r="P1791">
        <f>'19_Расчет_аналитики'!P1750-'19_Расчет_аналитики'!P1752-('19_Расчет_аналитики'!P1786-'19_Расчет_аналитики'!O1786)+('19_Расчет_аналитики'!P1787-'19_Расчет_аналитики'!O1787)+('02_Модель'!P82-'02_Модель'!O82)-('02_Модель'!P83-'02_Модель'!O83)-'19_Расчет_аналитики'!P1790-'19_Расчет_аналитики'!P1776+('19_Расчет_аналитики'!P1794-'19_Расчет_аналитики'!O1794)-'19_Расчет_аналитики'!P1763</f>
        <v/>
      </c>
      <c r="Q1791">
        <f>'19_Расчет_аналитики'!Q1750-'19_Расчет_аналитики'!Q1752-('19_Расчет_аналитики'!Q1786-'19_Расчет_аналитики'!P1786)+('19_Расчет_аналитики'!Q1787-'19_Расчет_аналитики'!P1787)+('02_Модель'!Q82-'02_Модель'!P82)-('02_Модель'!Q83-'02_Модель'!P83)-'19_Расчет_аналитики'!Q1790-'19_Расчет_аналитики'!Q1776+('19_Расчет_аналитики'!Q1794-'19_Расчет_аналитики'!P1794)-'19_Расчет_аналитики'!Q1763</f>
        <v/>
      </c>
      <c r="R1791">
        <f>'19_Расчет_аналитики'!R1750-'19_Расчет_аналитики'!R1752-('19_Расчет_аналитики'!R1786-'19_Расчет_аналитики'!Q1786)+('19_Расчет_аналитики'!R1787-'19_Расчет_аналитики'!Q1787)+('02_Модель'!R82-'02_Модель'!Q82)-('02_Модель'!R83-'02_Модель'!Q83)-'19_Расчет_аналитики'!R1790-'19_Расчет_аналитики'!R1776+('19_Расчет_аналитики'!R1794-'19_Расчет_аналитики'!Q1794)-'19_Расчет_аналитики'!R1763</f>
        <v/>
      </c>
      <c r="S1791">
        <f>'19_Расчет_аналитики'!S1750-'19_Расчет_аналитики'!S1752-('19_Расчет_аналитики'!S1786-'19_Расчет_аналитики'!R1786)+('19_Расчет_аналитики'!S1787-'19_Расчет_аналитики'!R1787)+('02_Модель'!S82-'02_Модель'!R82)-('02_Модель'!S83-'02_Модель'!R83)-'19_Расчет_аналитики'!S1790-'19_Расчет_аналитики'!S1776+('19_Расчет_аналитики'!S1794-'19_Расчет_аналитики'!R1794)-'19_Расчет_аналитики'!S1763</f>
        <v/>
      </c>
      <c r="T1791">
        <f>'19_Расчет_аналитики'!T1750-'19_Расчет_аналитики'!T1752-('19_Расчет_аналитики'!T1786-'19_Расчет_аналитики'!S1786)+('19_Расчет_аналитики'!T1787-'19_Расчет_аналитики'!S1787)+('02_Модель'!T82-'02_Модель'!S82)-('02_Модель'!T83-'02_Модель'!S83)-'19_Расчет_аналитики'!T1790-'19_Расчет_аналитики'!T1776+('19_Расчет_аналитики'!T1794-'19_Расчет_аналитики'!S1794)-'19_Расчет_аналитики'!T1763</f>
        <v/>
      </c>
      <c r="U1791">
        <f>'19_Расчет_аналитики'!U1750-'19_Расчет_аналитики'!U1752-('19_Расчет_аналитики'!U1786-'19_Расчет_аналитики'!T1786)+('19_Расчет_аналитики'!U1787-'19_Расчет_аналитики'!T1787)+('02_Модель'!U82-'02_Модель'!T82)-('02_Модель'!U83-'02_Модель'!T83)-'19_Расчет_аналитики'!U1790-'19_Расчет_аналитики'!U1776+('19_Расчет_аналитики'!U1794-'19_Расчет_аналитики'!T1794)-'19_Расчет_аналитики'!U1763</f>
        <v/>
      </c>
      <c r="V1791">
        <f>'19_Расчет_аналитики'!V1750-'19_Расчет_аналитики'!V1752-('19_Расчет_аналитики'!V1786-'19_Расчет_аналитики'!U1786)+('19_Расчет_аналитики'!V1787-'19_Расчет_аналитики'!U1787)+('02_Модель'!V82-'02_Модель'!U82)-('02_Модель'!V83-'02_Модель'!U83)-'19_Расчет_аналитики'!V1790-'19_Расчет_аналитики'!V1776+('19_Расчет_аналитики'!V1794-'19_Расчет_аналитики'!U1794)-'19_Расчет_аналитики'!V1763</f>
        <v/>
      </c>
      <c r="W1791">
        <f>'19_Расчет_аналитики'!W1750-'19_Расчет_аналитики'!W1752-('19_Расчет_аналитики'!W1786-'19_Расчет_аналитики'!V1786)+('19_Расчет_аналитики'!W1787-'19_Расчет_аналитики'!V1787)+('02_Модель'!W82-'02_Модель'!V82)-('02_Модель'!W83-'02_Модель'!V83)-'19_Расчет_аналитики'!W1790-'19_Расчет_аналитики'!W1776+('19_Расчет_аналитики'!W1794-'19_Расчет_аналитики'!V1794)-'19_Расчет_аналитики'!W1763</f>
        <v/>
      </c>
      <c r="X1791">
        <f>'19_Расчет_аналитики'!X1750-'19_Расчет_аналитики'!X1752-('19_Расчет_аналитики'!X1786-'19_Расчет_аналитики'!W1786)+('19_Расчет_аналитики'!X1787-'19_Расчет_аналитики'!W1787)+('02_Модель'!X82-'02_Модель'!W82)-('02_Модель'!X83-'02_Модель'!W83)-'19_Расчет_аналитики'!X1790-'19_Расчет_аналитики'!X1776+('19_Расчет_аналитики'!X1794-'19_Расчет_аналитики'!W1794)-'19_Расчет_аналитики'!X1763</f>
        <v/>
      </c>
      <c r="Y1791">
        <f>'19_Расчет_аналитики'!Y1750-'19_Расчет_аналитики'!Y1752-('19_Расчет_аналитики'!Y1786-'19_Расчет_аналитики'!X1786)+('19_Расчет_аналитики'!Y1787-'19_Расчет_аналитики'!X1787)+('02_Модель'!Y82-'02_Модель'!X82)-('02_Модель'!Y83-'02_Модель'!X83)-'19_Расчет_аналитики'!Y1790-'19_Расчет_аналитики'!Y1776+('19_Расчет_аналитики'!Y1794-'19_Расчет_аналитики'!X1794)-'19_Расчет_аналитики'!Y1763</f>
        <v/>
      </c>
      <c r="Z1791">
        <f>'19_Расчет_аналитики'!Z1750-'19_Расчет_аналитики'!Z1752-('19_Расчет_аналитики'!Z1786-'19_Расчет_аналитики'!Y1786)+('19_Расчет_аналитики'!Z1787-'19_Расчет_аналитики'!Y1787)+('02_Модель'!Z82-'02_Модель'!Y82)-('02_Модель'!Z83-'02_Модель'!Y83)-'19_Расчет_аналитики'!Z1790-'19_Расчет_аналитики'!Z1776+('19_Расчет_аналитики'!Z1794-'19_Расчет_аналитики'!Y1794)-'19_Расчет_аналитики'!Z1763</f>
        <v/>
      </c>
      <c r="AA1791">
        <f>'19_Расчет_аналитики'!AA1750-'19_Расчет_аналитики'!AA1752-('19_Расчет_аналитики'!AA1786-'19_Расчет_аналитики'!Z1786)+('19_Расчет_аналитики'!AA1787-'19_Расчет_аналитики'!Z1787)+('02_Модель'!AA82-'02_Модель'!Z82)-('02_Модель'!AA83-'02_Модель'!Z83)-'19_Расчет_аналитики'!AA1790-'19_Расчет_аналитики'!AA1776+('19_Расчет_аналитики'!AA1794-'19_Расчет_аналитики'!Z1794)-'19_Расчет_аналитики'!AA1763</f>
        <v/>
      </c>
      <c r="AB1791">
        <f>'19_Расчет_аналитики'!AB1750-'19_Расчет_аналитики'!AB1752-('19_Расчет_аналитики'!AB1786-'19_Расчет_аналитики'!AA1786)+('19_Расчет_аналитики'!AB1787-'19_Расчет_аналитики'!AA1787)+('02_Модель'!AB82-'02_Модель'!AA82)-('02_Модель'!AB83-'02_Модель'!AA83)-'19_Расчет_аналитики'!AB1790-'19_Расчет_аналитики'!AB1776+('19_Расчет_аналитики'!AB1794-'19_Расчет_аналитики'!AA1794)-'19_Расчет_аналитики'!AB1763</f>
        <v/>
      </c>
      <c r="AC1791">
        <f>'19_Расчет_аналитики'!AC1750-'19_Расчет_аналитики'!AC1752-('19_Расчет_аналитики'!AC1786-'19_Расчет_аналитики'!AB1786)+('19_Расчет_аналитики'!AC1787-'19_Расчет_аналитики'!AB1787)+('02_Модель'!AC82-'02_Модель'!AB82)-('02_Модель'!AC83-'02_Модель'!AB83)-'19_Расчет_аналитики'!AC1790-'19_Расчет_аналитики'!AC1776+('19_Расчет_аналитики'!AC1794-'19_Расчет_аналитики'!AB1794)-'19_Расчет_аналитики'!AC1763</f>
        <v/>
      </c>
      <c r="AD1791">
        <f>'19_Расчет_аналитики'!AD1750-'19_Расчет_аналитики'!AD1752-('19_Расчет_аналитики'!AD1786-'19_Расчет_аналитики'!AC1786)+('19_Расчет_аналитики'!AD1787-'19_Расчет_аналитики'!AC1787)+('02_Модель'!AD82-'02_Модель'!AC82)-('02_Модель'!AD83-'02_Модель'!AC83)-'19_Расчет_аналитики'!AD1790-'19_Расчет_аналитики'!AD1776+('19_Расчет_аналитики'!AD1794-'19_Расчет_аналитики'!AC1794)-'19_Расчет_аналитики'!AD1763</f>
        <v/>
      </c>
      <c r="AE1791">
        <f>'19_Расчет_аналитики'!AE1750-'19_Расчет_аналитики'!AE1752-('19_Расчет_аналитики'!AE1786-'19_Расчет_аналитики'!AD1786)+('19_Расчет_аналитики'!AE1787-'19_Расчет_аналитики'!AD1787)+('02_Модель'!AE82-'02_Модель'!AD82)-('02_Модель'!AE83-'02_Модель'!AD83)-'19_Расчет_аналитики'!AE1790-'19_Расчет_аналитики'!AE1776+('19_Расчет_аналитики'!AE1794-'19_Расчет_аналитики'!AD1794)-'19_Расчет_аналитики'!AE1763</f>
        <v/>
      </c>
      <c r="AF1791">
        <f>'19_Расчет_аналитики'!AF1750-'19_Расчет_аналитики'!AF1752-('19_Расчет_аналитики'!AF1786-'19_Расчет_аналитики'!AE1786)+('19_Расчет_аналитики'!AF1787-'19_Расчет_аналитики'!AE1787)+('02_Модель'!AF82-'02_Модель'!AE82)-('02_Модель'!AF83-'02_Модель'!AE83)-'19_Расчет_аналитики'!AF1790-'19_Расчет_аналитики'!AF1776+('19_Расчет_аналитики'!AF1794-'19_Расчет_аналитики'!AE1794)-'19_Расчет_аналитики'!AF1763</f>
        <v/>
      </c>
      <c r="AG1791">
        <f>'19_Расчет_аналитики'!AG1750-'19_Расчет_аналитики'!AG1752-('19_Расчет_аналитики'!AG1786-'19_Расчет_аналитики'!AF1786)+('19_Расчет_аналитики'!AG1787-'19_Расчет_аналитики'!AF1787)+('02_Модель'!AG82-'02_Модель'!AF82)-('02_Модель'!AG83-'02_Модель'!AF83)-'19_Расчет_аналитики'!AG1790-'19_Расчет_аналитики'!AG1776+('19_Расчет_аналитики'!AG1794-'19_Расчет_аналитики'!AF1794)-'19_Расчет_аналитики'!AG1763</f>
        <v/>
      </c>
      <c r="AH1791">
        <f>'19_Расчет_аналитики'!AH1750-'19_Расчет_аналитики'!AH1752-('19_Расчет_аналитики'!AH1786-'19_Расчет_аналитики'!AG1786)+('19_Расчет_аналитики'!AH1787-'19_Расчет_аналитики'!AG1787)+('02_Модель'!AH82-'02_Модель'!AG82)-('02_Модель'!AH83-'02_Модель'!AG83)-'19_Расчет_аналитики'!AH1790-'19_Расчет_аналитики'!AH1776+('19_Расчет_аналитики'!AH1794-'19_Расчет_аналитики'!AG1794)-'19_Расчет_аналитики'!AH1763</f>
        <v/>
      </c>
      <c r="AI1791">
        <f>'19_Расчет_аналитики'!AI1750-'19_Расчет_аналитики'!AI1752-('19_Расчет_аналитики'!AI1786-'19_Расчет_аналитики'!AH1786)+('19_Расчет_аналитики'!AI1787-'19_Расчет_аналитики'!AH1787)+('02_Модель'!AI82-'02_Модель'!AH82)-('02_Модель'!AI83-'02_Модель'!AH83)-'19_Расчет_аналитики'!AI1790-'19_Расчет_аналитики'!AI1776+('19_Расчет_аналитики'!AI1794-'19_Расчет_аналитики'!AH1794)-'19_Расчет_аналитики'!AI1763</f>
        <v/>
      </c>
      <c r="AJ1791">
        <f>'19_Расчет_аналитики'!AJ1750-'19_Расчет_аналитики'!AJ1752-('19_Расчет_аналитики'!AJ1786-'19_Расчет_аналитики'!AI1786)+('19_Расчет_аналитики'!AJ1787-'19_Расчет_аналитики'!AI1787)+('02_Модель'!AJ82-'02_Модель'!AI82)-('02_Модель'!AJ83-'02_Модель'!AI83)-'19_Расчет_аналитики'!AJ1790-'19_Расчет_аналитики'!AJ1776+('19_Расчет_аналитики'!AJ1794-'19_Расчет_аналитики'!AI1794)-'19_Расчет_аналитики'!AJ1763</f>
        <v/>
      </c>
      <c r="AK1791">
        <f>'19_Расчет_аналитики'!AK1750-'19_Расчет_аналитики'!AK1752-('19_Расчет_аналитики'!AK1786-'19_Расчет_аналитики'!AJ1786)+('19_Расчет_аналитики'!AK1787-'19_Расчет_аналитики'!AJ1787)+('02_Модель'!AK82-'02_Модель'!AJ82)-('02_Модель'!AK83-'02_Модель'!AJ83)-'19_Расчет_аналитики'!AK1790-'19_Расчет_аналитики'!AK1776+('19_Расчет_аналитики'!AK1794-'19_Расчет_аналитики'!AJ1794)-'19_Расчет_аналитики'!AK1763</f>
        <v/>
      </c>
      <c r="AL1791">
        <f>'19_Расчет_аналитики'!AL1750-'19_Расчет_аналитики'!AL1752-('19_Расчет_аналитики'!AL1786-'19_Расчет_аналитики'!AK1786)+('19_Расчет_аналитики'!AL1787-'19_Расчет_аналитики'!AK1787)+('02_Модель'!AL82-'02_Модель'!AK82)-('02_Модель'!AL83-'02_Модель'!AK83)-'19_Расчет_аналитики'!AL1790-'19_Расчет_аналитики'!AL1776+('19_Расчет_аналитики'!AL1794-'19_Расчет_аналитики'!AK1794)-'19_Расчет_аналитики'!AL1763</f>
        <v/>
      </c>
      <c r="AM1791">
        <f>'19_Расчет_аналитики'!AM1750-'19_Расчет_аналитики'!AM1752-('19_Расчет_аналитики'!AM1786-'19_Расчет_аналитики'!AL1786)+('19_Расчет_аналитики'!AM1787-'19_Расчет_аналитики'!AL1787)+('02_Модель'!AM82-'02_Модель'!AL82)-('02_Модель'!AM83-'02_Модель'!AL83)-'19_Расчет_аналитики'!AM1790-'19_Расчет_аналитики'!AM1776+('19_Расчет_аналитики'!AM1794-'19_Расчет_аналитики'!AL1794)-'19_Расчет_аналитики'!AM1763</f>
        <v/>
      </c>
      <c r="AN1791">
        <f>'19_Расчет_аналитики'!AN1750-'19_Расчет_аналитики'!AN1752-('19_Расчет_аналитики'!AN1786-'19_Расчет_аналитики'!AM1786)+('19_Расчет_аналитики'!AN1787-'19_Расчет_аналитики'!AM1787)+('02_Модель'!AN82-'02_Модель'!AM82)-('02_Модель'!AN83-'02_Модель'!AM83)-'19_Расчет_аналитики'!AN1790-'19_Расчет_аналитики'!AN1776+('19_Расчет_аналитики'!AN1794-'19_Расчет_аналитики'!AM1794)-'19_Расчет_аналитики'!AN1763</f>
        <v/>
      </c>
      <c r="AO1791">
        <f>'19_Расчет_аналитики'!AO1750-'19_Расчет_аналитики'!AO1752-('19_Расчет_аналитики'!AO1786-'19_Расчет_аналитики'!AN1786)+('19_Расчет_аналитики'!AO1787-'19_Расчет_аналитики'!AN1787)+('02_Модель'!AO82-'02_Модель'!AN82)-('02_Модель'!AO83-'02_Модель'!AN83)-'19_Расчет_аналитики'!AO1790-'19_Расчет_аналитики'!AO1776+('19_Расчет_аналитики'!AO1794-'19_Расчет_аналитики'!AN1794)-'19_Расчет_аналитики'!AO1763</f>
        <v/>
      </c>
      <c r="AP1791">
        <f>'19_Расчет_аналитики'!AP1750-'19_Расчет_аналитики'!AP1752-('19_Расчет_аналитики'!AP1786-'19_Расчет_аналитики'!AO1786)+('19_Расчет_аналитики'!AP1787-'19_Расчет_аналитики'!AO1787)+('02_Модель'!AP82-'02_Модель'!AO82)-('02_Модель'!AP83-'02_Модель'!AO83)-'19_Расчет_аналитики'!AP1790-'19_Расчет_аналитики'!AP1776+('19_Расчет_аналитики'!AP1794-'19_Расчет_аналитики'!AO1794)-'19_Расчет_аналитики'!AP1763</f>
        <v/>
      </c>
      <c r="AQ1791">
        <f>'19_Расчет_аналитики'!AQ1750-'19_Расчет_аналитики'!AQ1752-('19_Расчет_аналитики'!AQ1786-'19_Расчет_аналитики'!AP1786)+('19_Расчет_аналитики'!AQ1787-'19_Расчет_аналитики'!AP1787)+('02_Модель'!AQ82-'02_Модель'!AP82)-('02_Модель'!AQ83-'02_Модель'!AP83)-'19_Расчет_аналитики'!AQ1790-'19_Расчет_аналитики'!AQ1776+('19_Расчет_аналитики'!AQ1794-'19_Расчет_аналитики'!AP1794)-'19_Расчет_аналитики'!AQ1763</f>
        <v/>
      </c>
      <c r="AR1791">
        <f>'19_Расчет_аналитики'!AR1750-'19_Расчет_аналитики'!AR1752-('19_Расчет_аналитики'!AR1786-'19_Расчет_аналитики'!AQ1786)+('19_Расчет_аналитики'!AR1787-'19_Расчет_аналитики'!AQ1787)+('02_Модель'!AR82-'02_Модель'!AQ82)-('02_Модель'!AR83-'02_Модель'!AQ83)-'19_Расчет_аналитики'!AR1790-'19_Расчет_аналитики'!AR1776+('19_Расчет_аналитики'!AR1794-'19_Расчет_аналитики'!AQ1794)-'19_Расчет_аналитики'!AR1763</f>
        <v/>
      </c>
      <c r="AS1791">
        <f>'19_Расчет_аналитики'!AS1750-'19_Расчет_аналитики'!AS1752-('19_Расчет_аналитики'!AS1786-'19_Расчет_аналитики'!AR1786)+('19_Расчет_аналитики'!AS1787-'19_Расчет_аналитики'!AR1787)+('02_Модель'!AS82-'02_Модель'!AR82)-('02_Модель'!AS83-'02_Модель'!AR83)-'19_Расчет_аналитики'!AS1790-'19_Расчет_аналитики'!AS1776+('19_Расчет_аналитики'!AS1794-'19_Расчет_аналитики'!AR1794)-'19_Расчет_аналитики'!AS1763</f>
        <v/>
      </c>
      <c r="AT1791">
        <f>'19_Расчет_аналитики'!AT1750-'19_Расчет_аналитики'!AT1752-('19_Расчет_аналитики'!AT1786-'19_Расчет_аналитики'!AS1786)+('19_Расчет_аналитики'!AT1787-'19_Расчет_аналитики'!AS1787)+('02_Модель'!AT82-'02_Модель'!AS82)-('02_Модель'!AT83-'02_Модель'!AS83)-'19_Расчет_аналитики'!AT1790-'19_Расчет_аналитики'!AT1776+('19_Расчет_аналитики'!AT1794-'19_Расчет_аналитики'!AS1794)-'19_Расчет_аналитики'!AT1763</f>
        <v/>
      </c>
      <c r="AU1791">
        <f>'19_Расчет_аналитики'!AU1750-'19_Расчет_аналитики'!AU1752-('19_Расчет_аналитики'!AU1786-'19_Расчет_аналитики'!AT1786)+('19_Расчет_аналитики'!AU1787-'19_Расчет_аналитики'!AT1787)+('02_Модель'!AU82-'02_Модель'!AT82)-('02_Модель'!AU83-'02_Модель'!AT83)-'19_Расчет_аналитики'!AU1790-'19_Расчет_аналитики'!AU1776+('19_Расчет_аналитики'!AU1794-'19_Расчет_аналитики'!AT1794)-'19_Расчет_аналитики'!AU1763</f>
        <v/>
      </c>
      <c r="AV1791">
        <f>'19_Расчет_аналитики'!AV1750-'19_Расчет_аналитики'!AV1752-('19_Расчет_аналитики'!AV1786-'19_Расчет_аналитики'!AU1786)+('19_Расчет_аналитики'!AV1787-'19_Расчет_аналитики'!AU1787)+('02_Модель'!AV82-'02_Модель'!AU82)-('02_Модель'!AV83-'02_Модель'!AU83)-'19_Расчет_аналитики'!AV1790-'19_Расчет_аналитики'!AV1776+('19_Расчет_аналитики'!AV1794-'19_Расчет_аналитики'!AU1794)-'19_Расчет_аналитики'!AV1763</f>
        <v/>
      </c>
      <c r="AW1791">
        <f>'19_Расчет_аналитики'!AW1750-'19_Расчет_аналитики'!AW1752-('19_Расчет_аналитики'!AW1786-'19_Расчет_аналитики'!AV1786)+('19_Расчет_аналитики'!AW1787-'19_Расчет_аналитики'!AV1787)+('02_Модель'!AW82-'02_Модель'!AV82)-('02_Модель'!AW83-'02_Модель'!AV83)-'19_Расчет_аналитики'!AW1790-'19_Расчет_аналитики'!AW1776+('19_Расчет_аналитики'!AW1794-'19_Расчет_аналитики'!AV1794)-'19_Расчет_аналитики'!AW1763</f>
        <v/>
      </c>
      <c r="AX1791">
        <f>'19_Расчет_аналитики'!AX1750-'19_Расчет_аналитики'!AX1752-('19_Расчет_аналитики'!AX1786-'19_Расчет_аналитики'!AW1786)+('19_Расчет_аналитики'!AX1787-'19_Расчет_аналитики'!AW1787)+('02_Модель'!AX82-'02_Модель'!AW82)-('02_Модель'!AX83-'02_Модель'!AW83)-'19_Расчет_аналитики'!AX1790-'19_Расчет_аналитики'!AX1776+('19_Расчет_аналитики'!AX1794-'19_Расчет_аналитики'!AW1794)-'19_Расчет_аналитики'!AX1763</f>
        <v/>
      </c>
      <c r="AY1791">
        <f>'19_Расчет_аналитики'!AY1750-'19_Расчет_аналитики'!AY1752-('19_Расчет_аналитики'!AY1786-'19_Расчет_аналитики'!AX1786)+('19_Расчет_аналитики'!AY1787-'19_Расчет_аналитики'!AX1787)+('02_Модель'!AY82-'02_Модель'!AX82)-('02_Модель'!AY83-'02_Модель'!AX83)-'19_Расчет_аналитики'!AY1790-'19_Расчет_аналитики'!AY1776+('19_Расчет_аналитики'!AY1794-'19_Расчет_аналитики'!AX1794)-'19_Расчет_аналитики'!AY1763</f>
        <v/>
      </c>
      <c r="AZ1791">
        <f>'19_Расчет_аналитики'!AZ1750-'19_Расчет_аналитики'!AZ1752-('19_Расчет_аналитики'!AZ1786-'19_Расчет_аналитики'!AY1786)+('19_Расчет_аналитики'!AZ1787-'19_Расчет_аналитики'!AY1787)+('02_Модель'!AZ82-'02_Модель'!AY82)-('02_Модель'!AZ83-'02_Модель'!AY83)-'19_Расчет_аналитики'!AZ1790-'19_Расчет_аналитики'!AZ1776+('19_Расчет_аналитики'!AZ1794-'19_Расчет_аналитики'!AY1794)-'19_Расчет_аналитики'!AZ1763</f>
        <v/>
      </c>
      <c r="BA1791">
        <f>'19_Расчет_аналитики'!BA1750-'19_Расчет_аналитики'!BA1752-('19_Расчет_аналитики'!BA1786-'19_Расчет_аналитики'!AZ1786)+('19_Расчет_аналитики'!BA1787-'19_Расчет_аналитики'!AZ1787)+('02_Модель'!BA82-'02_Модель'!AZ82)-('02_Модель'!BA83-'02_Модель'!AZ83)-'19_Расчет_аналитики'!BA1790-'19_Расчет_аналитики'!BA1776+('19_Расчет_аналитики'!BA1794-'19_Расчет_аналитики'!AZ1794)-'19_Расчет_аналитики'!BA1763</f>
        <v/>
      </c>
      <c r="BB1791">
        <f>'19_Расчет_аналитики'!BB1750-'19_Расчет_аналитики'!BB1752-('19_Расчет_аналитики'!BB1786-'19_Расчет_аналитики'!BA1786)+('19_Расчет_аналитики'!BB1787-'19_Расчет_аналитики'!BA1787)+('02_Модель'!BB82-'02_Модель'!BA82)-('02_Модель'!BB83-'02_Модель'!BA83)-'19_Расчет_аналитики'!BB1790-'19_Расчет_аналитики'!BB1776+('19_Расчет_аналитики'!BB1794-'19_Расчет_аналитики'!BA1794)-'19_Расчет_аналитики'!BB1763</f>
        <v/>
      </c>
      <c r="BC1791">
        <f>'19_Расчет_аналитики'!BC1750-'19_Расчет_аналитики'!BC1752-('19_Расчет_аналитики'!BC1786-'19_Расчет_аналитики'!BB1786)+('19_Расчет_аналитики'!BC1787-'19_Расчет_аналитики'!BB1787)+('02_Модель'!BC82-'02_Модель'!BB82)-('02_Модель'!BC83-'02_Модель'!BB83)-'19_Расчет_аналитики'!BC1790-'19_Расчет_аналитики'!BC1776+('19_Расчет_аналитики'!BC1794-'19_Расчет_аналитики'!BB1794)-'19_Расчет_аналитики'!BC1763</f>
        <v/>
      </c>
      <c r="BD1791">
        <f>'19_Расчет_аналитики'!BD1750-'19_Расчет_аналитики'!BD1752-('19_Расчет_аналитики'!BD1786-'19_Расчет_аналитики'!BC1786)+('19_Расчет_аналитики'!BD1787-'19_Расчет_аналитики'!BC1787)+('02_Модель'!BD82-'02_Модель'!BC82)-('02_Модель'!BD83-'02_Модель'!BC83)-'19_Расчет_аналитики'!BD1790-'19_Расчет_аналитики'!BD1776+('19_Расчет_аналитики'!BD1794-'19_Расчет_аналитики'!BC1794)-'19_Расчет_аналитики'!BD1763</f>
        <v/>
      </c>
      <c r="BE1791">
        <f>'19_Расчет_аналитики'!BE1750-'19_Расчет_аналитики'!BE1752-('19_Расчет_аналитики'!BE1786-'19_Расчет_аналитики'!BD1786)+('19_Расчет_аналитики'!BE1787-'19_Расчет_аналитики'!BD1787)+('02_Модель'!BE82-'02_Модель'!BD82)-('02_Модель'!BE83-'02_Модель'!BD83)-'19_Расчет_аналитики'!BE1790-'19_Расчет_аналитики'!BE1776+('19_Расчет_аналитики'!BE1794-'19_Расчет_аналитики'!BD1794)-'19_Расчет_аналитики'!BE1763</f>
        <v/>
      </c>
      <c r="BF1791">
        <f>'19_Расчет_аналитики'!BF1750-'19_Расчет_аналитики'!BF1752-('19_Расчет_аналитики'!BF1786-'19_Расчет_аналитики'!BE1786)+('19_Расчет_аналитики'!BF1787-'19_Расчет_аналитики'!BE1787)+('02_Модель'!BF82-'02_Модель'!BE82)-('02_Модель'!BF83-'02_Модель'!BE83)-'19_Расчет_аналитики'!BF1790-'19_Расчет_аналитики'!BF1776+('19_Расчет_аналитики'!BF1794-'19_Расчет_аналитики'!BE1794)-'19_Расчет_аналитики'!BF1763</f>
        <v/>
      </c>
      <c r="BG1791">
        <f>'19_Расчет_аналитики'!BG1750-'19_Расчет_аналитики'!BG1752-('19_Расчет_аналитики'!BG1786-'19_Расчет_аналитики'!BF1786)+('19_Расчет_аналитики'!BG1787-'19_Расчет_аналитики'!BF1787)+('02_Модель'!BG82-'02_Модель'!BF82)-('02_Модель'!BG83-'02_Модель'!BF83)-'19_Расчет_аналитики'!BG1790-'19_Расчет_аналитики'!BG1776+('19_Расчет_аналитики'!BG1794-'19_Расчет_аналитики'!BF1794)-'19_Расчет_аналитики'!BG1763</f>
        <v/>
      </c>
      <c r="BH1791">
        <f>'19_Расчет_аналитики'!BH1750-'19_Расчет_аналитики'!BH1752-('19_Расчет_аналитики'!BH1786-'19_Расчет_аналитики'!BG1786)+('19_Расчет_аналитики'!BH1787-'19_Расчет_аналитики'!BG1787)+('02_Модель'!BH82-'02_Модель'!BG82)-('02_Модель'!BH83-'02_Модель'!BG83)-'19_Расчет_аналитики'!BH1790-'19_Расчет_аналитики'!BH1776+('19_Расчет_аналитики'!BH1794-'19_Расчет_аналитики'!BG1794)-'19_Расчет_аналитики'!BH1763</f>
        <v/>
      </c>
      <c r="BI1791">
        <f>'19_Расчет_аналитики'!BI1750-'19_Расчет_аналитики'!BI1752-('19_Расчет_аналитики'!BI1786-'19_Расчет_аналитики'!BH1786)+('19_Расчет_аналитики'!BI1787-'19_Расчет_аналитики'!BH1787)+('02_Модель'!BI82-'02_Модель'!BH82)-('02_Модель'!BI83-'02_Модель'!BH83)-'19_Расчет_аналитики'!BI1790-'19_Расчет_аналитики'!BI1776+('19_Расчет_аналитики'!BI1794-'19_Расчет_аналитики'!BH1794)-'19_Расчет_аналитики'!BI1763</f>
        <v/>
      </c>
    </row>
    <row r="1792">
      <c r="B1792">
        <f>'19_Расчет_аналитики'!B1791-'19_Расчет_аналитики'!B1777</f>
        <v/>
      </c>
      <c r="C1792">
        <f>'19_Расчет_аналитики'!C1791-'19_Расчет_аналитики'!C1777</f>
        <v/>
      </c>
      <c r="D1792">
        <f>'19_Расчет_аналитики'!D1791-'19_Расчет_аналитики'!D1777</f>
        <v/>
      </c>
      <c r="E1792">
        <f>'19_Расчет_аналитики'!E1791-'19_Расчет_аналитики'!E1777</f>
        <v/>
      </c>
      <c r="F1792">
        <f>'19_Расчет_аналитики'!F1791-'19_Расчет_аналитики'!F1777</f>
        <v/>
      </c>
      <c r="G1792">
        <f>'19_Расчет_аналитики'!G1791-'19_Расчет_аналитики'!G1777</f>
        <v/>
      </c>
      <c r="H1792">
        <f>'19_Расчет_аналитики'!H1791-'19_Расчет_аналитики'!H1777</f>
        <v/>
      </c>
      <c r="I1792">
        <f>'19_Расчет_аналитики'!I1791-'19_Расчет_аналитики'!I1777</f>
        <v/>
      </c>
      <c r="J1792">
        <f>'19_Расчет_аналитики'!J1791-'19_Расчет_аналитики'!J1777</f>
        <v/>
      </c>
      <c r="K1792">
        <f>'19_Расчет_аналитики'!K1791-'19_Расчет_аналитики'!K1777</f>
        <v/>
      </c>
      <c r="L1792">
        <f>'19_Расчет_аналитики'!L1791-'19_Расчет_аналитики'!L1777</f>
        <v/>
      </c>
      <c r="M1792">
        <f>'19_Расчет_аналитики'!M1791-'19_Расчет_аналитики'!M1777</f>
        <v/>
      </c>
      <c r="N1792">
        <f>'19_Расчет_аналитики'!N1791-'19_Расчет_аналитики'!N1777</f>
        <v/>
      </c>
      <c r="O1792">
        <f>'19_Расчет_аналитики'!O1791-'19_Расчет_аналитики'!O1777</f>
        <v/>
      </c>
      <c r="P1792">
        <f>'19_Расчет_аналитики'!P1791-'19_Расчет_аналитики'!P1777</f>
        <v/>
      </c>
      <c r="Q1792">
        <f>'19_Расчет_аналитики'!Q1791-'19_Расчет_аналитики'!Q1777</f>
        <v/>
      </c>
      <c r="R1792">
        <f>'19_Расчет_аналитики'!R1791-'19_Расчет_аналитики'!R1777</f>
        <v/>
      </c>
      <c r="S1792">
        <f>'19_Расчет_аналитики'!S1791-'19_Расчет_аналитики'!S1777</f>
        <v/>
      </c>
      <c r="T1792">
        <f>'19_Расчет_аналитики'!T1791-'19_Расчет_аналитики'!T1777</f>
        <v/>
      </c>
      <c r="U1792">
        <f>'19_Расчет_аналитики'!U1791-'19_Расчет_аналитики'!U1777</f>
        <v/>
      </c>
      <c r="V1792">
        <f>'19_Расчет_аналитики'!V1791-'19_Расчет_аналитики'!V1777</f>
        <v/>
      </c>
      <c r="W1792">
        <f>'19_Расчет_аналитики'!W1791-'19_Расчет_аналитики'!W1777</f>
        <v/>
      </c>
      <c r="X1792">
        <f>'19_Расчет_аналитики'!X1791-'19_Расчет_аналитики'!X1777</f>
        <v/>
      </c>
      <c r="Y1792">
        <f>'19_Расчет_аналитики'!Y1791-'19_Расчет_аналитики'!Y1777</f>
        <v/>
      </c>
      <c r="Z1792">
        <f>'19_Расчет_аналитики'!Z1791-'19_Расчет_аналитики'!Z1777</f>
        <v/>
      </c>
      <c r="AA1792">
        <f>'19_Расчет_аналитики'!AA1791-'19_Расчет_аналитики'!AA1777</f>
        <v/>
      </c>
      <c r="AB1792">
        <f>'19_Расчет_аналитики'!AB1791-'19_Расчет_аналитики'!AB1777</f>
        <v/>
      </c>
      <c r="AC1792">
        <f>'19_Расчет_аналитики'!AC1791-'19_Расчет_аналитики'!AC1777</f>
        <v/>
      </c>
      <c r="AD1792">
        <f>'19_Расчет_аналитики'!AD1791-'19_Расчет_аналитики'!AD1777</f>
        <v/>
      </c>
      <c r="AE1792">
        <f>'19_Расчет_аналитики'!AE1791-'19_Расчет_аналитики'!AE1777</f>
        <v/>
      </c>
      <c r="AF1792">
        <f>'19_Расчет_аналитики'!AF1791-'19_Расчет_аналитики'!AF1777</f>
        <v/>
      </c>
      <c r="AG1792">
        <f>'19_Расчет_аналитики'!AG1791-'19_Расчет_аналитики'!AG1777</f>
        <v/>
      </c>
      <c r="AH1792">
        <f>'19_Расчет_аналитики'!AH1791-'19_Расчет_аналитики'!AH1777</f>
        <v/>
      </c>
      <c r="AI1792">
        <f>'19_Расчет_аналитики'!AI1791-'19_Расчет_аналитики'!AI1777</f>
        <v/>
      </c>
      <c r="AJ1792">
        <f>'19_Расчет_аналитики'!AJ1791-'19_Расчет_аналитики'!AJ1777</f>
        <v/>
      </c>
      <c r="AK1792">
        <f>'19_Расчет_аналитики'!AK1791-'19_Расчет_аналитики'!AK1777</f>
        <v/>
      </c>
      <c r="AL1792">
        <f>'19_Расчет_аналитики'!AL1791-'19_Расчет_аналитики'!AL1777</f>
        <v/>
      </c>
      <c r="AM1792">
        <f>'19_Расчет_аналитики'!AM1791-'19_Расчет_аналитики'!AM1777</f>
        <v/>
      </c>
      <c r="AN1792">
        <f>'19_Расчет_аналитики'!AN1791-'19_Расчет_аналитики'!AN1777</f>
        <v/>
      </c>
      <c r="AO1792">
        <f>'19_Расчет_аналитики'!AO1791-'19_Расчет_аналитики'!AO1777</f>
        <v/>
      </c>
      <c r="AP1792">
        <f>'19_Расчет_аналитики'!AP1791-'19_Расчет_аналитики'!AP1777</f>
        <v/>
      </c>
      <c r="AQ1792">
        <f>'19_Расчет_аналитики'!AQ1791-'19_Расчет_аналитики'!AQ1777</f>
        <v/>
      </c>
      <c r="AR1792">
        <f>'19_Расчет_аналитики'!AR1791-'19_Расчет_аналитики'!AR1777</f>
        <v/>
      </c>
      <c r="AS1792">
        <f>'19_Расчет_аналитики'!AS1791-'19_Расчет_аналитики'!AS1777</f>
        <v/>
      </c>
      <c r="AT1792">
        <f>'19_Расчет_аналитики'!AT1791-'19_Расчет_аналитики'!AT1777</f>
        <v/>
      </c>
      <c r="AU1792">
        <f>'19_Расчет_аналитики'!AU1791-'19_Расчет_аналитики'!AU1777</f>
        <v/>
      </c>
      <c r="AV1792">
        <f>'19_Расчет_аналитики'!AV1791-'19_Расчет_аналитики'!AV1777</f>
        <v/>
      </c>
      <c r="AW1792">
        <f>'19_Расчет_аналитики'!AW1791-'19_Расчет_аналитики'!AW1777</f>
        <v/>
      </c>
      <c r="AX1792">
        <f>'19_Расчет_аналитики'!AX1791-'19_Расчет_аналитики'!AX1777</f>
        <v/>
      </c>
      <c r="AY1792">
        <f>'19_Расчет_аналитики'!AY1791-'19_Расчет_аналитики'!AY1777</f>
        <v/>
      </c>
      <c r="AZ1792">
        <f>'19_Расчет_аналитики'!AZ1791-'19_Расчет_аналитики'!AZ1777</f>
        <v/>
      </c>
      <c r="BA1792">
        <f>'19_Расчет_аналитики'!BA1791-'19_Расчет_аналитики'!BA1777</f>
        <v/>
      </c>
      <c r="BB1792">
        <f>'19_Расчет_аналитики'!BB1791-'19_Расчет_аналитики'!BB1777</f>
        <v/>
      </c>
      <c r="BC1792">
        <f>'19_Расчет_аналитики'!BC1791-'19_Расчет_аналитики'!BC1777</f>
        <v/>
      </c>
      <c r="BD1792">
        <f>'19_Расчет_аналитики'!BD1791-'19_Расчет_аналитики'!BD1777</f>
        <v/>
      </c>
      <c r="BE1792">
        <f>'19_Расчет_аналитики'!BE1791-'19_Расчет_аналитики'!BE1777</f>
        <v/>
      </c>
      <c r="BF1792">
        <f>'19_Расчет_аналитики'!BF1791-'19_Расчет_аналитики'!BF1777</f>
        <v/>
      </c>
      <c r="BG1792">
        <f>'19_Расчет_аналитики'!BG1791-'19_Расчет_аналитики'!BG1777</f>
        <v/>
      </c>
      <c r="BH1792">
        <f>'19_Расчет_аналитики'!BH1791-'19_Расчет_аналитики'!BH1777</f>
        <v/>
      </c>
      <c r="BI1792">
        <f>'19_Расчет_аналитики'!BI1791-'19_Расчет_аналитики'!BI1777</f>
        <v/>
      </c>
    </row>
    <row r="1793">
      <c r="B1793">
        <f>'07_Мерч'!B22+'19_Расчет_аналитики'!B1638-'19_Расчет_аналитики'!B1636-'19_Расчет_аналитики'!B1639</f>
        <v/>
      </c>
      <c r="C1793">
        <f>'19_Расчет_аналитики'!C1635+'19_Расчет_аналитики'!C1638-'19_Расчет_аналитики'!C1636-'19_Расчет_аналитики'!C1639</f>
        <v/>
      </c>
      <c r="D1793">
        <f>'19_Расчет_аналитики'!D1635+'19_Расчет_аналитики'!D1638-'19_Расчет_аналитики'!D1636-'19_Расчет_аналитики'!D1639</f>
        <v/>
      </c>
      <c r="E1793">
        <f>'19_Расчет_аналитики'!E1635+'19_Расчет_аналитики'!E1638-'19_Расчет_аналитики'!E1636-'19_Расчет_аналитики'!E1639</f>
        <v/>
      </c>
      <c r="F1793">
        <f>'19_Расчет_аналитики'!F1635+'19_Расчет_аналитики'!F1638-'19_Расчет_аналитики'!F1636-'19_Расчет_аналитики'!F1639</f>
        <v/>
      </c>
      <c r="G1793">
        <f>'19_Расчет_аналитики'!G1635+'19_Расчет_аналитики'!G1638-'19_Расчет_аналитики'!G1636-'19_Расчет_аналитики'!G1639</f>
        <v/>
      </c>
      <c r="H1793">
        <f>'19_Расчет_аналитики'!H1635+'19_Расчет_аналитики'!H1638-'19_Расчет_аналитики'!H1636-'19_Расчет_аналитики'!H1639</f>
        <v/>
      </c>
      <c r="I1793">
        <f>'19_Расчет_аналитики'!I1635+'19_Расчет_аналитики'!I1638-'19_Расчет_аналитики'!I1636-'19_Расчет_аналитики'!I1639</f>
        <v/>
      </c>
      <c r="J1793">
        <f>'19_Расчет_аналитики'!J1635+'19_Расчет_аналитики'!J1638-'19_Расчет_аналитики'!J1636-'19_Расчет_аналитики'!J1639</f>
        <v/>
      </c>
      <c r="K1793">
        <f>'19_Расчет_аналитики'!K1635+'19_Расчет_аналитики'!K1638-'19_Расчет_аналитики'!K1636-'19_Расчет_аналитики'!K1639</f>
        <v/>
      </c>
      <c r="L1793">
        <f>'19_Расчет_аналитики'!L1635+'19_Расчет_аналитики'!L1638-'19_Расчет_аналитики'!L1636-'19_Расчет_аналитики'!L1639</f>
        <v/>
      </c>
      <c r="M1793">
        <f>'19_Расчет_аналитики'!M1635+'19_Расчет_аналитики'!M1638-'19_Расчет_аналитики'!M1636-'19_Расчет_аналитики'!M1639</f>
        <v/>
      </c>
      <c r="N1793">
        <f>'19_Расчет_аналитики'!N1635+'19_Расчет_аналитики'!N1638-'19_Расчет_аналитики'!N1636-'19_Расчет_аналитики'!N1639</f>
        <v/>
      </c>
      <c r="O1793">
        <f>'19_Расчет_аналитики'!O1635+'19_Расчет_аналитики'!O1638-'19_Расчет_аналитики'!O1636-'19_Расчет_аналитики'!O1639</f>
        <v/>
      </c>
      <c r="P1793">
        <f>'19_Расчет_аналитики'!P1635+'19_Расчет_аналитики'!P1638-'19_Расчет_аналитики'!P1636-'19_Расчет_аналитики'!P1639</f>
        <v/>
      </c>
      <c r="Q1793">
        <f>'19_Расчет_аналитики'!Q1635+'19_Расчет_аналитики'!Q1638-'19_Расчет_аналитики'!Q1636-'19_Расчет_аналитики'!Q1639</f>
        <v/>
      </c>
      <c r="R1793">
        <f>'19_Расчет_аналитики'!R1635+'19_Расчет_аналитики'!R1638-'19_Расчет_аналитики'!R1636-'19_Расчет_аналитики'!R1639</f>
        <v/>
      </c>
      <c r="S1793">
        <f>'19_Расчет_аналитики'!S1635+'19_Расчет_аналитики'!S1638-'19_Расчет_аналитики'!S1636-'19_Расчет_аналитики'!S1639</f>
        <v/>
      </c>
      <c r="T1793">
        <f>'19_Расчет_аналитики'!T1635+'19_Расчет_аналитики'!T1638-'19_Расчет_аналитики'!T1636-'19_Расчет_аналитики'!T1639</f>
        <v/>
      </c>
      <c r="U1793">
        <f>'19_Расчет_аналитики'!U1635+'19_Расчет_аналитики'!U1638-'19_Расчет_аналитики'!U1636-'19_Расчет_аналитики'!U1639</f>
        <v/>
      </c>
      <c r="V1793">
        <f>'19_Расчет_аналитики'!V1635+'19_Расчет_аналитики'!V1638-'19_Расчет_аналитики'!V1636-'19_Расчет_аналитики'!V1639</f>
        <v/>
      </c>
      <c r="W1793">
        <f>'19_Расчет_аналитики'!W1635+'19_Расчет_аналитики'!W1638-'19_Расчет_аналитики'!W1636-'19_Расчет_аналитики'!W1639</f>
        <v/>
      </c>
      <c r="X1793">
        <f>'19_Расчет_аналитики'!X1635+'19_Расчет_аналитики'!X1638-'19_Расчет_аналитики'!X1636-'19_Расчет_аналитики'!X1639</f>
        <v/>
      </c>
      <c r="Y1793">
        <f>'19_Расчет_аналитики'!Y1635+'19_Расчет_аналитики'!Y1638-'19_Расчет_аналитики'!Y1636-'19_Расчет_аналитики'!Y1639</f>
        <v/>
      </c>
      <c r="Z1793">
        <f>'19_Расчет_аналитики'!Z1635+'19_Расчет_аналитики'!Z1638-'19_Расчет_аналитики'!Z1636-'19_Расчет_аналитики'!Z1639</f>
        <v/>
      </c>
      <c r="AA1793">
        <f>'19_Расчет_аналитики'!AA1635+'19_Расчет_аналитики'!AA1638-'19_Расчет_аналитики'!AA1636-'19_Расчет_аналитики'!AA1639</f>
        <v/>
      </c>
      <c r="AB1793">
        <f>'19_Расчет_аналитики'!AB1635+'19_Расчет_аналитики'!AB1638-'19_Расчет_аналитики'!AB1636-'19_Расчет_аналитики'!AB1639</f>
        <v/>
      </c>
      <c r="AC1793">
        <f>'19_Расчет_аналитики'!AC1635+'19_Расчет_аналитики'!AC1638-'19_Расчет_аналитики'!AC1636-'19_Расчет_аналитики'!AC1639</f>
        <v/>
      </c>
      <c r="AD1793">
        <f>'19_Расчет_аналитики'!AD1635+'19_Расчет_аналитики'!AD1638-'19_Расчет_аналитики'!AD1636-'19_Расчет_аналитики'!AD1639</f>
        <v/>
      </c>
      <c r="AE1793">
        <f>'19_Расчет_аналитики'!AE1635+'19_Расчет_аналитики'!AE1638-'19_Расчет_аналитики'!AE1636-'19_Расчет_аналитики'!AE1639</f>
        <v/>
      </c>
      <c r="AF1793">
        <f>'19_Расчет_аналитики'!AF1635+'19_Расчет_аналитики'!AF1638-'19_Расчет_аналитики'!AF1636-'19_Расчет_аналитики'!AF1639</f>
        <v/>
      </c>
      <c r="AG1793">
        <f>'19_Расчет_аналитики'!AG1635+'19_Расчет_аналитики'!AG1638-'19_Расчет_аналитики'!AG1636-'19_Расчет_аналитики'!AG1639</f>
        <v/>
      </c>
      <c r="AH1793">
        <f>'19_Расчет_аналитики'!AH1635+'19_Расчет_аналитики'!AH1638-'19_Расчет_аналитики'!AH1636-'19_Расчет_аналитики'!AH1639</f>
        <v/>
      </c>
      <c r="AI1793">
        <f>'19_Расчет_аналитики'!AI1635+'19_Расчет_аналитики'!AI1638-'19_Расчет_аналитики'!AI1636-'19_Расчет_аналитики'!AI1639</f>
        <v/>
      </c>
      <c r="AJ1793">
        <f>'19_Расчет_аналитики'!AJ1635+'19_Расчет_аналитики'!AJ1638-'19_Расчет_аналитики'!AJ1636-'19_Расчет_аналитики'!AJ1639</f>
        <v/>
      </c>
      <c r="AK1793">
        <f>'19_Расчет_аналитики'!AK1635+'19_Расчет_аналитики'!AK1638-'19_Расчет_аналитики'!AK1636-'19_Расчет_аналитики'!AK1639</f>
        <v/>
      </c>
      <c r="AL1793">
        <f>'19_Расчет_аналитики'!AL1635+'19_Расчет_аналитики'!AL1638-'19_Расчет_аналитики'!AL1636-'19_Расчет_аналитики'!AL1639</f>
        <v/>
      </c>
      <c r="AM1793">
        <f>'19_Расчет_аналитики'!AM1635+'19_Расчет_аналитики'!AM1638-'19_Расчет_аналитики'!AM1636-'19_Расчет_аналитики'!AM1639</f>
        <v/>
      </c>
      <c r="AN1793">
        <f>'19_Расчет_аналитики'!AN1635+'19_Расчет_аналитики'!AN1638-'19_Расчет_аналитики'!AN1636-'19_Расчет_аналитики'!AN1639</f>
        <v/>
      </c>
      <c r="AO1793">
        <f>'19_Расчет_аналитики'!AO1635+'19_Расчет_аналитики'!AO1638-'19_Расчет_аналитики'!AO1636-'19_Расчет_аналитики'!AO1639</f>
        <v/>
      </c>
      <c r="AP1793">
        <f>'19_Расчет_аналитики'!AP1635+'19_Расчет_аналитики'!AP1638-'19_Расчет_аналитики'!AP1636-'19_Расчет_аналитики'!AP1639</f>
        <v/>
      </c>
      <c r="AQ1793">
        <f>'19_Расчет_аналитики'!AQ1635+'19_Расчет_аналитики'!AQ1638-'19_Расчет_аналитики'!AQ1636-'19_Расчет_аналитики'!AQ1639</f>
        <v/>
      </c>
      <c r="AR1793">
        <f>'19_Расчет_аналитики'!AR1635+'19_Расчет_аналитики'!AR1638-'19_Расчет_аналитики'!AR1636-'19_Расчет_аналитики'!AR1639</f>
        <v/>
      </c>
      <c r="AS1793">
        <f>'19_Расчет_аналитики'!AS1635+'19_Расчет_аналитики'!AS1638-'19_Расчет_аналитики'!AS1636-'19_Расчет_аналитики'!AS1639</f>
        <v/>
      </c>
      <c r="AT1793">
        <f>'19_Расчет_аналитики'!AT1635+'19_Расчет_аналитики'!AT1638-'19_Расчет_аналитики'!AT1636-'19_Расчет_аналитики'!AT1639</f>
        <v/>
      </c>
      <c r="AU1793">
        <f>'19_Расчет_аналитики'!AU1635+'19_Расчет_аналитики'!AU1638-'19_Расчет_аналитики'!AU1636-'19_Расчет_аналитики'!AU1639</f>
        <v/>
      </c>
      <c r="AV1793">
        <f>'19_Расчет_аналитики'!AV1635+'19_Расчет_аналитики'!AV1638-'19_Расчет_аналитики'!AV1636-'19_Расчет_аналитики'!AV1639</f>
        <v/>
      </c>
      <c r="AW1793">
        <f>'19_Расчет_аналитики'!AW1635+'19_Расчет_аналитики'!AW1638-'19_Расчет_аналитики'!AW1636-'19_Расчет_аналитики'!AW1639</f>
        <v/>
      </c>
      <c r="AX1793">
        <f>'19_Расчет_аналитики'!AX1635+'19_Расчет_аналитики'!AX1638-'19_Расчет_аналитики'!AX1636-'19_Расчет_аналитики'!AX1639</f>
        <v/>
      </c>
      <c r="AY1793">
        <f>'19_Расчет_аналитики'!AY1635+'19_Расчет_аналитики'!AY1638-'19_Расчет_аналитики'!AY1636-'19_Расчет_аналитики'!AY1639</f>
        <v/>
      </c>
      <c r="AZ1793">
        <f>'19_Расчет_аналитики'!AZ1635+'19_Расчет_аналитики'!AZ1638-'19_Расчет_аналитики'!AZ1636-'19_Расчет_аналитики'!AZ1639</f>
        <v/>
      </c>
      <c r="BA1793">
        <f>'19_Расчет_аналитики'!BA1635+'19_Расчет_аналитики'!BA1638-'19_Расчет_аналитики'!BA1636-'19_Расчет_аналитики'!BA1639</f>
        <v/>
      </c>
      <c r="BB1793">
        <f>'19_Расчет_аналитики'!BB1635+'19_Расчет_аналитики'!BB1638-'19_Расчет_аналитики'!BB1636-'19_Расчет_аналитики'!BB1639</f>
        <v/>
      </c>
      <c r="BC1793">
        <f>'19_Расчет_аналитики'!BC1635+'19_Расчет_аналитики'!BC1638-'19_Расчет_аналитики'!BC1636-'19_Расчет_аналитики'!BC1639</f>
        <v/>
      </c>
      <c r="BD1793">
        <f>'19_Расчет_аналитики'!BD1635+'19_Расчет_аналитики'!BD1638-'19_Расчет_аналитики'!BD1636-'19_Расчет_аналитики'!BD1639</f>
        <v/>
      </c>
      <c r="BE1793">
        <f>'19_Расчет_аналитики'!BE1635+'19_Расчет_аналитики'!BE1638-'19_Расчет_аналитики'!BE1636-'19_Расчет_аналитики'!BE1639</f>
        <v/>
      </c>
      <c r="BF1793">
        <f>'19_Расчет_аналитики'!BF1635+'19_Расчет_аналитики'!BF1638-'19_Расчет_аналитики'!BF1636-'19_Расчет_аналитики'!BF1639</f>
        <v/>
      </c>
      <c r="BG1793">
        <f>'19_Расчет_аналитики'!BG1635+'19_Расчет_аналитики'!BG1638-'19_Расчет_аналитики'!BG1636-'19_Расчет_аналитики'!BG1639</f>
        <v/>
      </c>
      <c r="BH1793">
        <f>'19_Расчет_аналитики'!BH1635+'19_Расчет_аналитики'!BH1638-'19_Расчет_аналитики'!BH1636-'19_Расчет_аналитики'!BH1639</f>
        <v/>
      </c>
      <c r="BI1793">
        <f>'19_Расчет_аналитики'!BI1635+'19_Расчет_аналитики'!BI1638-'19_Расчет_аналитики'!BI1636-'19_Расчет_аналитики'!BI1639</f>
        <v/>
      </c>
    </row>
    <row r="1794">
      <c r="B1794">
        <f>0+SUM('19_Расчет_аналитики'!B1734:B1736)-'19_Расчет_аналитики'!B1767</f>
        <v/>
      </c>
      <c r="C1794">
        <f>'19_Расчет_аналитики'!B1794+SUM('19_Расчет_аналитики'!C1734:C1736)-'19_Расчет_аналитики'!C1767</f>
        <v/>
      </c>
      <c r="D1794">
        <f>'19_Расчет_аналитики'!C1794+SUM('19_Расчет_аналитики'!D1734:D1736)-'19_Расчет_аналитики'!D1767</f>
        <v/>
      </c>
      <c r="E1794">
        <f>'19_Расчет_аналитики'!D1794+SUM('19_Расчет_аналитики'!E1734:E1736)-'19_Расчет_аналитики'!E1767</f>
        <v/>
      </c>
      <c r="F1794">
        <f>'19_Расчет_аналитики'!E1794+SUM('19_Расчет_аналитики'!F1734:F1736)-'19_Расчет_аналитики'!F1767</f>
        <v/>
      </c>
      <c r="G1794">
        <f>'19_Расчет_аналитики'!F1794+SUM('19_Расчет_аналитики'!G1734:G1736)-'19_Расчет_аналитики'!G1767</f>
        <v/>
      </c>
      <c r="H1794">
        <f>'19_Расчет_аналитики'!G1794+SUM('19_Расчет_аналитики'!H1734:H1736)-'19_Расчет_аналитики'!H1767</f>
        <v/>
      </c>
      <c r="I1794">
        <f>'19_Расчет_аналитики'!H1794+SUM('19_Расчет_аналитики'!I1734:I1736)-'19_Расчет_аналитики'!I1767</f>
        <v/>
      </c>
      <c r="J1794">
        <f>'19_Расчет_аналитики'!I1794+SUM('19_Расчет_аналитики'!J1734:J1736)-'19_Расчет_аналитики'!J1767</f>
        <v/>
      </c>
      <c r="K1794">
        <f>'19_Расчет_аналитики'!J1794+SUM('19_Расчет_аналитики'!K1734:K1736)-'19_Расчет_аналитики'!K1767</f>
        <v/>
      </c>
      <c r="L1794">
        <f>'19_Расчет_аналитики'!K1794+SUM('19_Расчет_аналитики'!L1734:L1736)-'19_Расчет_аналитики'!L1767</f>
        <v/>
      </c>
      <c r="M1794">
        <f>'19_Расчет_аналитики'!L1794+SUM('19_Расчет_аналитики'!M1734:M1736)-'19_Расчет_аналитики'!M1767</f>
        <v/>
      </c>
      <c r="N1794">
        <f>'19_Расчет_аналитики'!M1794+SUM('19_Расчет_аналитики'!N1734:N1736)-'19_Расчет_аналитики'!N1767</f>
        <v/>
      </c>
      <c r="O1794">
        <f>'19_Расчет_аналитики'!N1794+SUM('19_Расчет_аналитики'!O1734:O1736)-'19_Расчет_аналитики'!O1767</f>
        <v/>
      </c>
      <c r="P1794">
        <f>'19_Расчет_аналитики'!O1794+SUM('19_Расчет_аналитики'!P1734:P1736)-'19_Расчет_аналитики'!P1767</f>
        <v/>
      </c>
      <c r="Q1794">
        <f>'19_Расчет_аналитики'!P1794+SUM('19_Расчет_аналитики'!Q1734:Q1736)-'19_Расчет_аналитики'!Q1767</f>
        <v/>
      </c>
      <c r="R1794">
        <f>'19_Расчет_аналитики'!Q1794+SUM('19_Расчет_аналитики'!R1734:R1736)-'19_Расчет_аналитики'!R1767</f>
        <v/>
      </c>
      <c r="S1794">
        <f>'19_Расчет_аналитики'!R1794+SUM('19_Расчет_аналитики'!S1734:S1736)-'19_Расчет_аналитики'!S1767</f>
        <v/>
      </c>
      <c r="T1794">
        <f>'19_Расчет_аналитики'!S1794+SUM('19_Расчет_аналитики'!T1734:T1736)-'19_Расчет_аналитики'!T1767</f>
        <v/>
      </c>
      <c r="U1794">
        <f>'19_Расчет_аналитики'!T1794+SUM('19_Расчет_аналитики'!U1734:U1736)-'19_Расчет_аналитики'!U1767</f>
        <v/>
      </c>
      <c r="V1794">
        <f>'19_Расчет_аналитики'!U1794+SUM('19_Расчет_аналитики'!V1734:V1736)-'19_Расчет_аналитики'!V1767</f>
        <v/>
      </c>
      <c r="W1794">
        <f>'19_Расчет_аналитики'!V1794+SUM('19_Расчет_аналитики'!W1734:W1736)-'19_Расчет_аналитики'!W1767</f>
        <v/>
      </c>
      <c r="X1794">
        <f>'19_Расчет_аналитики'!W1794+SUM('19_Расчет_аналитики'!X1734:X1736)-'19_Расчет_аналитики'!X1767</f>
        <v/>
      </c>
      <c r="Y1794">
        <f>'19_Расчет_аналитики'!X1794+SUM('19_Расчет_аналитики'!Y1734:Y1736)-'19_Расчет_аналитики'!Y1767</f>
        <v/>
      </c>
      <c r="Z1794">
        <f>'19_Расчет_аналитики'!Y1794+SUM('19_Расчет_аналитики'!Z1734:Z1736)-'19_Расчет_аналитики'!Z1767</f>
        <v/>
      </c>
      <c r="AA1794">
        <f>'19_Расчет_аналитики'!Z1794+SUM('19_Расчет_аналитики'!AA1734:AA1736)-'19_Расчет_аналитики'!AA1767</f>
        <v/>
      </c>
      <c r="AB1794">
        <f>'19_Расчет_аналитики'!AA1794+SUM('19_Расчет_аналитики'!AB1734:AB1736)-'19_Расчет_аналитики'!AB1767</f>
        <v/>
      </c>
      <c r="AC1794">
        <f>'19_Расчет_аналитики'!AB1794+SUM('19_Расчет_аналитики'!AC1734:AC1736)-'19_Расчет_аналитики'!AC1767</f>
        <v/>
      </c>
      <c r="AD1794">
        <f>'19_Расчет_аналитики'!AC1794+SUM('19_Расчет_аналитики'!AD1734:AD1736)-'19_Расчет_аналитики'!AD1767</f>
        <v/>
      </c>
      <c r="AE1794">
        <f>'19_Расчет_аналитики'!AD1794+SUM('19_Расчет_аналитики'!AE1734:AE1736)-'19_Расчет_аналитики'!AE1767</f>
        <v/>
      </c>
      <c r="AF1794">
        <f>'19_Расчет_аналитики'!AE1794+SUM('19_Расчет_аналитики'!AF1734:AF1736)-'19_Расчет_аналитики'!AF1767</f>
        <v/>
      </c>
      <c r="AG1794">
        <f>'19_Расчет_аналитики'!AF1794+SUM('19_Расчет_аналитики'!AG1734:AG1736)-'19_Расчет_аналитики'!AG1767</f>
        <v/>
      </c>
      <c r="AH1794">
        <f>'19_Расчет_аналитики'!AG1794+SUM('19_Расчет_аналитики'!AH1734:AH1736)-'19_Расчет_аналитики'!AH1767</f>
        <v/>
      </c>
      <c r="AI1794">
        <f>'19_Расчет_аналитики'!AH1794+SUM('19_Расчет_аналитики'!AI1734:AI1736)-'19_Расчет_аналитики'!AI1767</f>
        <v/>
      </c>
      <c r="AJ1794">
        <f>'19_Расчет_аналитики'!AI1794+SUM('19_Расчет_аналитики'!AJ1734:AJ1736)-'19_Расчет_аналитики'!AJ1767</f>
        <v/>
      </c>
      <c r="AK1794">
        <f>'19_Расчет_аналитики'!AJ1794+SUM('19_Расчет_аналитики'!AK1734:AK1736)-'19_Расчет_аналитики'!AK1767</f>
        <v/>
      </c>
      <c r="AL1794">
        <f>'19_Расчет_аналитики'!AK1794+SUM('19_Расчет_аналитики'!AL1734:AL1736)-'19_Расчет_аналитики'!AL1767</f>
        <v/>
      </c>
      <c r="AM1794">
        <f>'19_Расчет_аналитики'!AL1794+SUM('19_Расчет_аналитики'!AM1734:AM1736)-'19_Расчет_аналитики'!AM1767</f>
        <v/>
      </c>
      <c r="AN1794">
        <f>'19_Расчет_аналитики'!AM1794+SUM('19_Расчет_аналитики'!AN1734:AN1736)-'19_Расчет_аналитики'!AN1767</f>
        <v/>
      </c>
      <c r="AO1794">
        <f>'19_Расчет_аналитики'!AN1794+SUM('19_Расчет_аналитики'!AO1734:AO1736)-'19_Расчет_аналитики'!AO1767</f>
        <v/>
      </c>
      <c r="AP1794">
        <f>'19_Расчет_аналитики'!AO1794+SUM('19_Расчет_аналитики'!AP1734:AP1736)-'19_Расчет_аналитики'!AP1767</f>
        <v/>
      </c>
      <c r="AQ1794">
        <f>'19_Расчет_аналитики'!AP1794+SUM('19_Расчет_аналитики'!AQ1734:AQ1736)-'19_Расчет_аналитики'!AQ1767</f>
        <v/>
      </c>
      <c r="AR1794">
        <f>'19_Расчет_аналитики'!AQ1794+SUM('19_Расчет_аналитики'!AR1734:AR1736)-'19_Расчет_аналитики'!AR1767</f>
        <v/>
      </c>
      <c r="AS1794">
        <f>'19_Расчет_аналитики'!AR1794+SUM('19_Расчет_аналитики'!AS1734:AS1736)-'19_Расчет_аналитики'!AS1767</f>
        <v/>
      </c>
      <c r="AT1794">
        <f>'19_Расчет_аналитики'!AS1794+SUM('19_Расчет_аналитики'!AT1734:AT1736)-'19_Расчет_аналитики'!AT1767</f>
        <v/>
      </c>
      <c r="AU1794">
        <f>'19_Расчет_аналитики'!AT1794+SUM('19_Расчет_аналитики'!AU1734:AU1736)-'19_Расчет_аналитики'!AU1767</f>
        <v/>
      </c>
      <c r="AV1794">
        <f>'19_Расчет_аналитики'!AU1794+SUM('19_Расчет_аналитики'!AV1734:AV1736)-'19_Расчет_аналитики'!AV1767</f>
        <v/>
      </c>
      <c r="AW1794">
        <f>'19_Расчет_аналитики'!AV1794+SUM('19_Расчет_аналитики'!AW1734:AW1736)-'19_Расчет_аналитики'!AW1767</f>
        <v/>
      </c>
      <c r="AX1794">
        <f>'19_Расчет_аналитики'!AW1794+SUM('19_Расчет_аналитики'!AX1734:AX1736)-'19_Расчет_аналитики'!AX1767</f>
        <v/>
      </c>
      <c r="AY1794">
        <f>'19_Расчет_аналитики'!AX1794+SUM('19_Расчет_аналитики'!AY1734:AY1736)-'19_Расчет_аналитики'!AY1767</f>
        <v/>
      </c>
      <c r="AZ1794">
        <f>'19_Расчет_аналитики'!AY1794+SUM('19_Расчет_аналитики'!AZ1734:AZ1736)-'19_Расчет_аналитики'!AZ1767</f>
        <v/>
      </c>
      <c r="BA1794">
        <f>'19_Расчет_аналитики'!AZ1794+SUM('19_Расчет_аналитики'!BA1734:BA1736)-'19_Расчет_аналитики'!BA1767</f>
        <v/>
      </c>
      <c r="BB1794">
        <f>'19_Расчет_аналитики'!BA1794+SUM('19_Расчет_аналитики'!BB1734:BB1736)-'19_Расчет_аналитики'!BB1767</f>
        <v/>
      </c>
      <c r="BC1794">
        <f>'19_Расчет_аналитики'!BB1794+SUM('19_Расчет_аналитики'!BC1734:BC1736)-'19_Расчет_аналитики'!BC1767</f>
        <v/>
      </c>
      <c r="BD1794">
        <f>'19_Расчет_аналитики'!BC1794+SUM('19_Расчет_аналитики'!BD1734:BD1736)-'19_Расчет_аналитики'!BD1767</f>
        <v/>
      </c>
      <c r="BE1794">
        <f>'19_Расчет_аналитики'!BD1794+SUM('19_Расчет_аналитики'!BE1734:BE1736)-'19_Расчет_аналитики'!BE1767</f>
        <v/>
      </c>
      <c r="BF1794">
        <f>'19_Расчет_аналитики'!BE1794+SUM('19_Расчет_аналитики'!BF1734:BF1736)-'19_Расчет_аналитики'!BF1767</f>
        <v/>
      </c>
      <c r="BG1794">
        <f>'19_Расчет_аналитики'!BF1794+SUM('19_Расчет_аналитики'!BG1734:BG1736)-'19_Расчет_аналитики'!BG1767</f>
        <v/>
      </c>
      <c r="BH1794">
        <f>'19_Расчет_аналитики'!BG1794+SUM('19_Расчет_аналитики'!BH1734:BH1736)-'19_Расчет_аналитики'!BH1767</f>
        <v/>
      </c>
      <c r="BI1794">
        <f>'19_Расчет_аналитики'!BH1794+SUM('19_Расчет_аналитики'!BI1734:BI1736)-'19_Расчет_аналитики'!BI1767</f>
        <v/>
      </c>
    </row>
    <row r="1795"/>
    <row r="1796"/>
    <row r="1797"/>
    <row r="1798"/>
    <row r="1799">
      <c r="B1799">
        <f>MAX(0,'19_Расчет_аналитики'!B1775-'01_Вводные'!$B$237-'19_Расчет_аналитики'!B1800)</f>
        <v/>
      </c>
      <c r="C1799">
        <f>MAX(0,'19_Расчет_аналитики'!C1775-'01_Вводные'!$B$237-'19_Расчет_аналитики'!C1800)</f>
        <v/>
      </c>
      <c r="D1799">
        <f>MAX(0,'19_Расчет_аналитики'!D1775-'01_Вводные'!$B$237-'19_Расчет_аналитики'!D1800)</f>
        <v/>
      </c>
      <c r="E1799">
        <f>MAX(0,'19_Расчет_аналитики'!E1775-'01_Вводные'!$B$237-'19_Расчет_аналитики'!E1800)</f>
        <v/>
      </c>
      <c r="F1799">
        <f>MAX(0,'19_Расчет_аналитики'!F1775-'01_Вводные'!$B$237-'19_Расчет_аналитики'!F1800)</f>
        <v/>
      </c>
      <c r="G1799">
        <f>MAX(0,'19_Расчет_аналитики'!G1775-'01_Вводные'!$B$237-'19_Расчет_аналитики'!G1800)</f>
        <v/>
      </c>
      <c r="H1799">
        <f>MAX(0,'19_Расчет_аналитики'!H1775-'01_Вводные'!$B$237-'19_Расчет_аналитики'!H1800)</f>
        <v/>
      </c>
      <c r="I1799">
        <f>MAX(0,'19_Расчет_аналитики'!I1775-'01_Вводные'!$B$237-'19_Расчет_аналитики'!I1800)</f>
        <v/>
      </c>
      <c r="J1799">
        <f>MAX(0,'19_Расчет_аналитики'!J1775-'01_Вводные'!$B$237-'19_Расчет_аналитики'!J1800)</f>
        <v/>
      </c>
      <c r="K1799">
        <f>MAX(0,'19_Расчет_аналитики'!K1775-'01_Вводные'!$B$237-'19_Расчет_аналитики'!K1800)</f>
        <v/>
      </c>
      <c r="L1799">
        <f>MAX(0,'19_Расчет_аналитики'!L1775-'01_Вводные'!$B$237-'19_Расчет_аналитики'!L1800)</f>
        <v/>
      </c>
      <c r="M1799">
        <f>MAX(0,'19_Расчет_аналитики'!M1775-'01_Вводные'!$B$237-'19_Расчет_аналитики'!M1800)</f>
        <v/>
      </c>
      <c r="N1799">
        <f>MAX(0,'19_Расчет_аналитики'!N1775-'01_Вводные'!$B$237-'19_Расчет_аналитики'!N1800)</f>
        <v/>
      </c>
      <c r="O1799">
        <f>MAX(0,'19_Расчет_аналитики'!O1775-'01_Вводные'!$B$237-'19_Расчет_аналитики'!O1800)</f>
        <v/>
      </c>
      <c r="P1799">
        <f>MAX(0,'19_Расчет_аналитики'!P1775-'01_Вводные'!$B$237-'19_Расчет_аналитики'!P1800)</f>
        <v/>
      </c>
      <c r="Q1799">
        <f>MAX(0,'19_Расчет_аналитики'!Q1775-'01_Вводные'!$B$237-'19_Расчет_аналитики'!Q1800)</f>
        <v/>
      </c>
      <c r="R1799">
        <f>MAX(0,'19_Расчет_аналитики'!R1775-'01_Вводные'!$B$237-'19_Расчет_аналитики'!R1800)</f>
        <v/>
      </c>
      <c r="S1799">
        <f>MAX(0,'19_Расчет_аналитики'!S1775-'01_Вводные'!$B$237-'19_Расчет_аналитики'!S1800)</f>
        <v/>
      </c>
      <c r="T1799">
        <f>MAX(0,'19_Расчет_аналитики'!T1775-'01_Вводные'!$B$237-'19_Расчет_аналитики'!T1800)</f>
        <v/>
      </c>
      <c r="U1799">
        <f>MAX(0,'19_Расчет_аналитики'!U1775-'01_Вводные'!$B$237-'19_Расчет_аналитики'!U1800)</f>
        <v/>
      </c>
      <c r="V1799">
        <f>MAX(0,'19_Расчет_аналитики'!V1775-'01_Вводные'!$B$237-'19_Расчет_аналитики'!V1800)</f>
        <v/>
      </c>
      <c r="W1799">
        <f>MAX(0,'19_Расчет_аналитики'!W1775-'01_Вводные'!$B$237-'19_Расчет_аналитики'!W1800)</f>
        <v/>
      </c>
      <c r="X1799">
        <f>MAX(0,'19_Расчет_аналитики'!X1775-'01_Вводные'!$B$237-'19_Расчет_аналитики'!X1800)</f>
        <v/>
      </c>
      <c r="Y1799">
        <f>MAX(0,'19_Расчет_аналитики'!Y1775-'01_Вводные'!$B$237-'19_Расчет_аналитики'!Y1800)</f>
        <v/>
      </c>
      <c r="Z1799">
        <f>MAX(0,'19_Расчет_аналитики'!Z1775-'01_Вводные'!$B$237-'19_Расчет_аналитики'!Z1800)</f>
        <v/>
      </c>
      <c r="AA1799">
        <f>MAX(0,'19_Расчет_аналитики'!AA1775-'01_Вводные'!$B$237-'19_Расчет_аналитики'!AA1800)</f>
        <v/>
      </c>
      <c r="AB1799">
        <f>MAX(0,'19_Расчет_аналитики'!AB1775-'01_Вводные'!$B$237-'19_Расчет_аналитики'!AB1800)</f>
        <v/>
      </c>
      <c r="AC1799">
        <f>MAX(0,'19_Расчет_аналитики'!AC1775-'01_Вводные'!$B$237-'19_Расчет_аналитики'!AC1800)</f>
        <v/>
      </c>
      <c r="AD1799">
        <f>MAX(0,'19_Расчет_аналитики'!AD1775-'01_Вводные'!$B$237-'19_Расчет_аналитики'!AD1800)</f>
        <v/>
      </c>
      <c r="AE1799">
        <f>MAX(0,'19_Расчет_аналитики'!AE1775-'01_Вводные'!$B$237-'19_Расчет_аналитики'!AE1800)</f>
        <v/>
      </c>
      <c r="AF1799">
        <f>MAX(0,'19_Расчет_аналитики'!AF1775-'01_Вводные'!$B$237-'19_Расчет_аналитики'!AF1800)</f>
        <v/>
      </c>
      <c r="AG1799">
        <f>MAX(0,'19_Расчет_аналитики'!AG1775-'01_Вводные'!$B$237-'19_Расчет_аналитики'!AG1800)</f>
        <v/>
      </c>
      <c r="AH1799">
        <f>MAX(0,'19_Расчет_аналитики'!AH1775-'01_Вводные'!$B$237-'19_Расчет_аналитики'!AH1800)</f>
        <v/>
      </c>
      <c r="AI1799">
        <f>MAX(0,'19_Расчет_аналитики'!AI1775-'01_Вводные'!$B$237-'19_Расчет_аналитики'!AI1800)</f>
        <v/>
      </c>
      <c r="AJ1799">
        <f>MAX(0,'19_Расчет_аналитики'!AJ1775-'01_Вводные'!$B$237-'19_Расчет_аналитики'!AJ1800)</f>
        <v/>
      </c>
      <c r="AK1799">
        <f>MAX(0,'19_Расчет_аналитики'!AK1775-'01_Вводные'!$B$237-'19_Расчет_аналитики'!AK1800)</f>
        <v/>
      </c>
      <c r="AL1799">
        <f>MAX(0,'19_Расчет_аналитики'!AL1775-'01_Вводные'!$B$237-'19_Расчет_аналитики'!AL1800)</f>
        <v/>
      </c>
      <c r="AM1799">
        <f>MAX(0,'19_Расчет_аналитики'!AM1775-'01_Вводные'!$B$237-'19_Расчет_аналитики'!AM1800)</f>
        <v/>
      </c>
      <c r="AN1799">
        <f>MAX(0,'19_Расчет_аналитики'!AN1775-'01_Вводные'!$B$237-'19_Расчет_аналитики'!AN1800)</f>
        <v/>
      </c>
      <c r="AO1799">
        <f>MAX(0,'19_Расчет_аналитики'!AO1775-'01_Вводные'!$B$237-'19_Расчет_аналитики'!AO1800)</f>
        <v/>
      </c>
      <c r="AP1799">
        <f>MAX(0,'19_Расчет_аналитики'!AP1775-'01_Вводные'!$B$237-'19_Расчет_аналитики'!AP1800)</f>
        <v/>
      </c>
      <c r="AQ1799">
        <f>MAX(0,'19_Расчет_аналитики'!AQ1775-'01_Вводные'!$B$237-'19_Расчет_аналитики'!AQ1800)</f>
        <v/>
      </c>
      <c r="AR1799">
        <f>MAX(0,'19_Расчет_аналитики'!AR1775-'01_Вводные'!$B$237-'19_Расчет_аналитики'!AR1800)</f>
        <v/>
      </c>
      <c r="AS1799">
        <f>MAX(0,'19_Расчет_аналитики'!AS1775-'01_Вводные'!$B$237-'19_Расчет_аналитики'!AS1800)</f>
        <v/>
      </c>
      <c r="AT1799">
        <f>MAX(0,'19_Расчет_аналитики'!AT1775-'01_Вводные'!$B$237-'19_Расчет_аналитики'!AT1800)</f>
        <v/>
      </c>
      <c r="AU1799">
        <f>MAX(0,'19_Расчет_аналитики'!AU1775-'01_Вводные'!$B$237-'19_Расчет_аналитики'!AU1800)</f>
        <v/>
      </c>
      <c r="AV1799">
        <f>MAX(0,'19_Расчет_аналитики'!AV1775-'01_Вводные'!$B$237-'19_Расчет_аналитики'!AV1800)</f>
        <v/>
      </c>
      <c r="AW1799">
        <f>MAX(0,'19_Расчет_аналитики'!AW1775-'01_Вводные'!$B$237-'19_Расчет_аналитики'!AW1800)</f>
        <v/>
      </c>
      <c r="AX1799">
        <f>MAX(0,'19_Расчет_аналитики'!AX1775-'01_Вводные'!$B$237-'19_Расчет_аналитики'!AX1800)</f>
        <v/>
      </c>
      <c r="AY1799">
        <f>MAX(0,'19_Расчет_аналитики'!AY1775-'01_Вводные'!$B$237-'19_Расчет_аналитики'!AY1800)</f>
        <v/>
      </c>
      <c r="AZ1799">
        <f>MAX(0,'19_Расчет_аналитики'!AZ1775-'01_Вводные'!$B$237-'19_Расчет_аналитики'!AZ1800)</f>
        <v/>
      </c>
      <c r="BA1799">
        <f>MAX(0,'19_Расчет_аналитики'!BA1775-'01_Вводные'!$B$237-'19_Расчет_аналитики'!BA1800)</f>
        <v/>
      </c>
      <c r="BB1799">
        <f>MAX(0,'19_Расчет_аналитики'!BB1775-'01_Вводные'!$B$237-'19_Расчет_аналитики'!BB1800)</f>
        <v/>
      </c>
      <c r="BC1799">
        <f>MAX(0,'19_Расчет_аналитики'!BC1775-'01_Вводные'!$B$237-'19_Расчет_аналитики'!BC1800)</f>
        <v/>
      </c>
      <c r="BD1799">
        <f>MAX(0,'19_Расчет_аналитики'!BD1775-'01_Вводные'!$B$237-'19_Расчет_аналитики'!BD1800)</f>
        <v/>
      </c>
      <c r="BE1799">
        <f>MAX(0,'19_Расчет_аналитики'!BE1775-'01_Вводные'!$B$237-'19_Расчет_аналитики'!BE1800)</f>
        <v/>
      </c>
      <c r="BF1799">
        <f>MAX(0,'19_Расчет_аналитики'!BF1775-'01_Вводные'!$B$237-'19_Расчет_аналитики'!BF1800)</f>
        <v/>
      </c>
      <c r="BG1799">
        <f>MAX(0,'19_Расчет_аналитики'!BG1775-'01_Вводные'!$B$237-'19_Расчет_аналитики'!BG1800)</f>
        <v/>
      </c>
      <c r="BH1799">
        <f>MAX(0,'19_Расчет_аналитики'!BH1775-'01_Вводные'!$B$237-'19_Расчет_аналитики'!BH1800)</f>
        <v/>
      </c>
      <c r="BI1799">
        <f>MAX(0,'19_Расчет_аналитики'!BI1775-'01_Вводные'!$B$237-'19_Расчет_аналитики'!BI1800)</f>
        <v/>
      </c>
    </row>
    <row r="1800">
      <c r="B1800">
        <f>MAX(0,'19_Расчет_аналитики'!C1800-'19_Расчет_аналитики'!C1774)</f>
        <v/>
      </c>
      <c r="C1800">
        <f>MAX(0,'19_Расчет_аналитики'!D1800-'19_Расчет_аналитики'!D1774)</f>
        <v/>
      </c>
      <c r="D1800">
        <f>MAX(0,'19_Расчет_аналитики'!E1800-'19_Расчет_аналитики'!E1774)</f>
        <v/>
      </c>
      <c r="E1800">
        <f>MAX(0,'19_Расчет_аналитики'!F1800-'19_Расчет_аналитики'!F1774)</f>
        <v/>
      </c>
      <c r="F1800">
        <f>MAX(0,'19_Расчет_аналитики'!G1800-'19_Расчет_аналитики'!G1774)</f>
        <v/>
      </c>
      <c r="G1800">
        <f>MAX(0,'19_Расчет_аналитики'!H1800-'19_Расчет_аналитики'!H1774)</f>
        <v/>
      </c>
      <c r="H1800">
        <f>MAX(0,'19_Расчет_аналитики'!I1800-'19_Расчет_аналитики'!I1774)</f>
        <v/>
      </c>
      <c r="I1800">
        <f>MAX(0,'19_Расчет_аналитики'!J1800-'19_Расчет_аналитики'!J1774)</f>
        <v/>
      </c>
      <c r="J1800">
        <f>MAX(0,'19_Расчет_аналитики'!K1800-'19_Расчет_аналитики'!K1774)</f>
        <v/>
      </c>
      <c r="K1800">
        <f>MAX(0,'19_Расчет_аналитики'!L1800-'19_Расчет_аналитики'!L1774)</f>
        <v/>
      </c>
      <c r="L1800">
        <f>MAX(0,'19_Расчет_аналитики'!M1800-'19_Расчет_аналитики'!M1774)</f>
        <v/>
      </c>
      <c r="M1800">
        <f>MAX(0,'19_Расчет_аналитики'!N1800-'19_Расчет_аналитики'!N1774)</f>
        <v/>
      </c>
      <c r="N1800">
        <f>MAX(0,'19_Расчет_аналитики'!O1800-'19_Расчет_аналитики'!O1774)</f>
        <v/>
      </c>
      <c r="O1800">
        <f>MAX(0,'19_Расчет_аналитики'!P1800-'19_Расчет_аналитики'!P1774)</f>
        <v/>
      </c>
      <c r="P1800">
        <f>MAX(0,'19_Расчет_аналитики'!Q1800-'19_Расчет_аналитики'!Q1774)</f>
        <v/>
      </c>
      <c r="Q1800">
        <f>MAX(0,'19_Расчет_аналитики'!R1800-'19_Расчет_аналитики'!R1774)</f>
        <v/>
      </c>
      <c r="R1800">
        <f>MAX(0,'19_Расчет_аналитики'!S1800-'19_Расчет_аналитики'!S1774)</f>
        <v/>
      </c>
      <c r="S1800">
        <f>MAX(0,'19_Расчет_аналитики'!T1800-'19_Расчет_аналитики'!T1774)</f>
        <v/>
      </c>
      <c r="T1800">
        <f>MAX(0,'19_Расчет_аналитики'!U1800-'19_Расчет_аналитики'!U1774)</f>
        <v/>
      </c>
      <c r="U1800">
        <f>MAX(0,'19_Расчет_аналитики'!V1800-'19_Расчет_аналитики'!V1774)</f>
        <v/>
      </c>
      <c r="V1800">
        <f>MAX(0,'19_Расчет_аналитики'!W1800-'19_Расчет_аналитики'!W1774)</f>
        <v/>
      </c>
      <c r="W1800">
        <f>MAX(0,'19_Расчет_аналитики'!X1800-'19_Расчет_аналитики'!X1774)</f>
        <v/>
      </c>
      <c r="X1800">
        <f>MAX(0,'19_Расчет_аналитики'!Y1800-'19_Расчет_аналитики'!Y1774)</f>
        <v/>
      </c>
      <c r="Y1800">
        <f>MAX(0,'19_Расчет_аналитики'!Z1800-'19_Расчет_аналитики'!Z1774)</f>
        <v/>
      </c>
      <c r="Z1800">
        <f>MAX(0,'19_Расчет_аналитики'!AA1800-'19_Расчет_аналитики'!AA1774)</f>
        <v/>
      </c>
      <c r="AA1800">
        <f>MAX(0,'19_Расчет_аналитики'!AB1800-'19_Расчет_аналитики'!AB1774)</f>
        <v/>
      </c>
      <c r="AB1800">
        <f>MAX(0,'19_Расчет_аналитики'!AC1800-'19_Расчет_аналитики'!AC1774)</f>
        <v/>
      </c>
      <c r="AC1800">
        <f>MAX(0,'19_Расчет_аналитики'!AD1800-'19_Расчет_аналитики'!AD1774)</f>
        <v/>
      </c>
      <c r="AD1800">
        <f>MAX(0,'19_Расчет_аналитики'!AE1800-'19_Расчет_аналитики'!AE1774)</f>
        <v/>
      </c>
      <c r="AE1800">
        <f>MAX(0,'19_Расчет_аналитики'!AF1800-'19_Расчет_аналитики'!AF1774)</f>
        <v/>
      </c>
      <c r="AF1800">
        <f>MAX(0,'19_Расчет_аналитики'!AG1800-'19_Расчет_аналитики'!AG1774)</f>
        <v/>
      </c>
      <c r="AG1800">
        <f>MAX(0,'19_Расчет_аналитики'!AH1800-'19_Расчет_аналитики'!AH1774)</f>
        <v/>
      </c>
      <c r="AH1800">
        <f>MAX(0,'19_Расчет_аналитики'!AI1800-'19_Расчет_аналитики'!AI1774)</f>
        <v/>
      </c>
      <c r="AI1800">
        <f>MAX(0,'19_Расчет_аналитики'!AJ1800-'19_Расчет_аналитики'!AJ1774)</f>
        <v/>
      </c>
      <c r="AJ1800">
        <f>MAX(0,'19_Расчет_аналитики'!AK1800-'19_Расчет_аналитики'!AK1774)</f>
        <v/>
      </c>
      <c r="AK1800">
        <f>MAX(0,'19_Расчет_аналитики'!AL1800-'19_Расчет_аналитики'!AL1774)</f>
        <v/>
      </c>
      <c r="AL1800">
        <f>MAX(0,'19_Расчет_аналитики'!AM1800-'19_Расчет_аналитики'!AM1774)</f>
        <v/>
      </c>
      <c r="AM1800">
        <f>MAX(0,'19_Расчет_аналитики'!AN1800-'19_Расчет_аналитики'!AN1774)</f>
        <v/>
      </c>
      <c r="AN1800">
        <f>MAX(0,'19_Расчет_аналитики'!AO1800-'19_Расчет_аналитики'!AO1774)</f>
        <v/>
      </c>
      <c r="AO1800">
        <f>MAX(0,'19_Расчет_аналитики'!AP1800-'19_Расчет_аналитики'!AP1774)</f>
        <v/>
      </c>
      <c r="AP1800">
        <f>MAX(0,'19_Расчет_аналитики'!AQ1800-'19_Расчет_аналитики'!AQ1774)</f>
        <v/>
      </c>
      <c r="AQ1800">
        <f>MAX(0,'19_Расчет_аналитики'!AR1800-'19_Расчет_аналитики'!AR1774)</f>
        <v/>
      </c>
      <c r="AR1800">
        <f>MAX(0,'19_Расчет_аналитики'!AS1800-'19_Расчет_аналитики'!AS1774)</f>
        <v/>
      </c>
      <c r="AS1800">
        <f>MAX(0,'19_Расчет_аналитики'!AT1800-'19_Расчет_аналитики'!AT1774)</f>
        <v/>
      </c>
      <c r="AT1800">
        <f>MAX(0,'19_Расчет_аналитики'!AU1800-'19_Расчет_аналитики'!AU1774)</f>
        <v/>
      </c>
      <c r="AU1800">
        <f>MAX(0,'19_Расчет_аналитики'!AV1800-'19_Расчет_аналитики'!AV1774)</f>
        <v/>
      </c>
      <c r="AV1800">
        <f>MAX(0,'19_Расчет_аналитики'!AW1800-'19_Расчет_аналитики'!AW1774)</f>
        <v/>
      </c>
      <c r="AW1800">
        <f>MAX(0,'19_Расчет_аналитики'!AX1800-'19_Расчет_аналитики'!AX1774)</f>
        <v/>
      </c>
      <c r="AX1800">
        <f>MAX(0,'19_Расчет_аналитики'!AY1800-'19_Расчет_аналитики'!AY1774)</f>
        <v/>
      </c>
      <c r="AY1800">
        <f>MAX(0,'19_Расчет_аналитики'!AZ1800-'19_Расчет_аналитики'!AZ1774)</f>
        <v/>
      </c>
      <c r="AZ1800">
        <f>MAX(0,'19_Расчет_аналитики'!BA1800-'19_Расчет_аналитики'!BA1774)</f>
        <v/>
      </c>
      <c r="BA1800">
        <f>MAX(0,'19_Расчет_аналитики'!BB1800-'19_Расчет_аналитики'!BB1774)</f>
        <v/>
      </c>
      <c r="BB1800">
        <f>MAX(0,'19_Расчет_аналитики'!BC1800-'19_Расчет_аналитики'!BC1774)</f>
        <v/>
      </c>
      <c r="BC1800">
        <f>MAX(0,'19_Расчет_аналитики'!BD1800-'19_Расчет_аналитики'!BD1774)</f>
        <v/>
      </c>
      <c r="BD1800">
        <f>MAX(0,'19_Расчет_аналитики'!BE1800-'19_Расчет_аналитики'!BE1774)</f>
        <v/>
      </c>
      <c r="BE1800">
        <f>MAX(0,'19_Расчет_аналитики'!BF1800-'19_Расчет_аналитики'!BF1774)</f>
        <v/>
      </c>
      <c r="BF1800">
        <f>MAX(0,'19_Расчет_аналитики'!BG1800-'19_Расчет_аналитики'!BG1774)</f>
        <v/>
      </c>
      <c r="BG1800">
        <f>MAX(0,'19_Расчет_аналитики'!BH1800-'19_Расчет_аналитики'!BH1774)</f>
        <v/>
      </c>
      <c r="BH1800">
        <f>MAX(0,'19_Расчет_аналитики'!BI1800-'19_Расчет_аналитики'!BI1774)</f>
        <v/>
      </c>
      <c r="BI1800" t="n">
        <v>0</v>
      </c>
    </row>
    <row r="1801"/>
    <row r="1802">
      <c r="B1802">
        <f>IF('01_Вводные'!$B$288="С НДС",SUM('19_Расчет_аналитики'!B1724:B1727)*(1+'01_Вводные'!$B$58)+'09_Лагеря'!B10,'19_Расчет_аналитики'!B1729)</f>
        <v/>
      </c>
      <c r="C1802">
        <f>IF('01_Вводные'!$B$288="С НДС",SUM('19_Расчет_аналитики'!C1724:C1727)*(1+'01_Вводные'!$B$58)+'09_Лагеря'!C10,'19_Расчет_аналитики'!C1729)</f>
        <v/>
      </c>
      <c r="D1802">
        <f>IF('01_Вводные'!$B$288="С НДС",SUM('19_Расчет_аналитики'!D1724:D1727)*(1+'01_Вводные'!$B$58)+'09_Лагеря'!D10,'19_Расчет_аналитики'!D1729)</f>
        <v/>
      </c>
      <c r="E1802">
        <f>IF('01_Вводные'!$B$288="С НДС",SUM('19_Расчет_аналитики'!E1724:E1727)*(1+'01_Вводные'!$B$58)+'09_Лагеря'!E10,'19_Расчет_аналитики'!E1729)</f>
        <v/>
      </c>
      <c r="F1802">
        <f>IF('01_Вводные'!$B$288="С НДС",SUM('19_Расчет_аналитики'!F1724:F1727)*(1+'01_Вводные'!$B$58)+'09_Лагеря'!F10,'19_Расчет_аналитики'!F1729)</f>
        <v/>
      </c>
      <c r="G1802">
        <f>IF('01_Вводные'!$B$288="С НДС",SUM('19_Расчет_аналитики'!G1724:G1727)*(1+'01_Вводные'!$B$58)+'09_Лагеря'!G10,'19_Расчет_аналитики'!G1729)</f>
        <v/>
      </c>
      <c r="H1802">
        <f>IF('01_Вводные'!$B$288="С НДС",SUM('19_Расчет_аналитики'!H1724:H1727)*(1+'01_Вводные'!$B$58)+'09_Лагеря'!H10,'19_Расчет_аналитики'!H1729)</f>
        <v/>
      </c>
      <c r="I1802">
        <f>IF('01_Вводные'!$B$288="С НДС",SUM('19_Расчет_аналитики'!I1724:I1727)*(1+'01_Вводные'!$B$58)+'09_Лагеря'!I10,'19_Расчет_аналитики'!I1729)</f>
        <v/>
      </c>
      <c r="J1802">
        <f>IF('01_Вводные'!$B$288="С НДС",SUM('19_Расчет_аналитики'!J1724:J1727)*(1+'01_Вводные'!$B$58)+'09_Лагеря'!J10,'19_Расчет_аналитики'!J1729)</f>
        <v/>
      </c>
      <c r="K1802">
        <f>IF('01_Вводные'!$B$288="С НДС",SUM('19_Расчет_аналитики'!K1724:K1727)*(1+'01_Вводные'!$B$58)+'09_Лагеря'!K10,'19_Расчет_аналитики'!K1729)</f>
        <v/>
      </c>
      <c r="L1802">
        <f>IF('01_Вводные'!$B$288="С НДС",SUM('19_Расчет_аналитики'!L1724:L1727)*(1+'01_Вводные'!$B$58)+'09_Лагеря'!L10,'19_Расчет_аналитики'!L1729)</f>
        <v/>
      </c>
      <c r="M1802">
        <f>IF('01_Вводные'!$B$288="С НДС",SUM('19_Расчет_аналитики'!M1724:M1727)*(1+'01_Вводные'!$B$58)+'09_Лагеря'!M10,'19_Расчет_аналитики'!M1729)</f>
        <v/>
      </c>
      <c r="N1802">
        <f>IF('01_Вводные'!$B$288="С НДС",SUM('19_Расчет_аналитики'!N1724:N1727)*(1+'01_Вводные'!$B$58)+'09_Лагеря'!N10,'19_Расчет_аналитики'!N1729)</f>
        <v/>
      </c>
      <c r="O1802">
        <f>IF('01_Вводные'!$B$288="С НДС",SUM('19_Расчет_аналитики'!O1724:O1727)*(1+'01_Вводные'!$B$58)+'09_Лагеря'!O10,'19_Расчет_аналитики'!O1729)</f>
        <v/>
      </c>
      <c r="P1802">
        <f>IF('01_Вводные'!$B$288="С НДС",SUM('19_Расчет_аналитики'!P1724:P1727)*(1+'01_Вводные'!$B$58)+'09_Лагеря'!P10,'19_Расчет_аналитики'!P1729)</f>
        <v/>
      </c>
      <c r="Q1802">
        <f>IF('01_Вводные'!$B$288="С НДС",SUM('19_Расчет_аналитики'!Q1724:Q1727)*(1+'01_Вводные'!$B$58)+'09_Лагеря'!Q10,'19_Расчет_аналитики'!Q1729)</f>
        <v/>
      </c>
      <c r="R1802">
        <f>IF('01_Вводные'!$B$288="С НДС",SUM('19_Расчет_аналитики'!R1724:R1727)*(1+'01_Вводные'!$B$58)+'09_Лагеря'!R10,'19_Расчет_аналитики'!R1729)</f>
        <v/>
      </c>
      <c r="S1802">
        <f>IF('01_Вводные'!$B$288="С НДС",SUM('19_Расчет_аналитики'!S1724:S1727)*(1+'01_Вводные'!$B$58)+'09_Лагеря'!S10,'19_Расчет_аналитики'!S1729)</f>
        <v/>
      </c>
      <c r="T1802">
        <f>IF('01_Вводные'!$B$288="С НДС",SUM('19_Расчет_аналитики'!T1724:T1727)*(1+'01_Вводные'!$B$58)+'09_Лагеря'!T10,'19_Расчет_аналитики'!T1729)</f>
        <v/>
      </c>
      <c r="U1802">
        <f>IF('01_Вводные'!$B$288="С НДС",SUM('19_Расчет_аналитики'!U1724:U1727)*(1+'01_Вводные'!$B$58)+'09_Лагеря'!U10,'19_Расчет_аналитики'!U1729)</f>
        <v/>
      </c>
      <c r="V1802">
        <f>IF('01_Вводные'!$B$288="С НДС",SUM('19_Расчет_аналитики'!V1724:V1727)*(1+'01_Вводные'!$B$58)+'09_Лагеря'!V10,'19_Расчет_аналитики'!V1729)</f>
        <v/>
      </c>
      <c r="W1802">
        <f>IF('01_Вводные'!$B$288="С НДС",SUM('19_Расчет_аналитики'!W1724:W1727)*(1+'01_Вводные'!$B$58)+'09_Лагеря'!W10,'19_Расчет_аналитики'!W1729)</f>
        <v/>
      </c>
      <c r="X1802">
        <f>IF('01_Вводные'!$B$288="С НДС",SUM('19_Расчет_аналитики'!X1724:X1727)*(1+'01_Вводные'!$B$58)+'09_Лагеря'!X10,'19_Расчет_аналитики'!X1729)</f>
        <v/>
      </c>
      <c r="Y1802">
        <f>IF('01_Вводные'!$B$288="С НДС",SUM('19_Расчет_аналитики'!Y1724:Y1727)*(1+'01_Вводные'!$B$58)+'09_Лагеря'!Y10,'19_Расчет_аналитики'!Y1729)</f>
        <v/>
      </c>
      <c r="Z1802">
        <f>IF('01_Вводные'!$B$288="С НДС",SUM('19_Расчет_аналитики'!Z1724:Z1727)*(1+'01_Вводные'!$B$58)+'09_Лагеря'!Z10,'19_Расчет_аналитики'!Z1729)</f>
        <v/>
      </c>
      <c r="AA1802">
        <f>IF('01_Вводные'!$B$288="С НДС",SUM('19_Расчет_аналитики'!AA1724:AA1727)*(1+'01_Вводные'!$B$58)+'09_Лагеря'!AA10,'19_Расчет_аналитики'!AA1729)</f>
        <v/>
      </c>
      <c r="AB1802">
        <f>IF('01_Вводные'!$B$288="С НДС",SUM('19_Расчет_аналитики'!AB1724:AB1727)*(1+'01_Вводные'!$B$58)+'09_Лагеря'!AB10,'19_Расчет_аналитики'!AB1729)</f>
        <v/>
      </c>
      <c r="AC1802">
        <f>IF('01_Вводные'!$B$288="С НДС",SUM('19_Расчет_аналитики'!AC1724:AC1727)*(1+'01_Вводные'!$B$58)+'09_Лагеря'!AC10,'19_Расчет_аналитики'!AC1729)</f>
        <v/>
      </c>
      <c r="AD1802">
        <f>IF('01_Вводные'!$B$288="С НДС",SUM('19_Расчет_аналитики'!AD1724:AD1727)*(1+'01_Вводные'!$B$58)+'09_Лагеря'!AD10,'19_Расчет_аналитики'!AD1729)</f>
        <v/>
      </c>
      <c r="AE1802">
        <f>IF('01_Вводные'!$B$288="С НДС",SUM('19_Расчет_аналитики'!AE1724:AE1727)*(1+'01_Вводные'!$B$58)+'09_Лагеря'!AE10,'19_Расчет_аналитики'!AE1729)</f>
        <v/>
      </c>
      <c r="AF1802">
        <f>IF('01_Вводные'!$B$288="С НДС",SUM('19_Расчет_аналитики'!AF1724:AF1727)*(1+'01_Вводные'!$B$58)+'09_Лагеря'!AF10,'19_Расчет_аналитики'!AF1729)</f>
        <v/>
      </c>
      <c r="AG1802">
        <f>IF('01_Вводные'!$B$288="С НДС",SUM('19_Расчет_аналитики'!AG1724:AG1727)*(1+'01_Вводные'!$B$58)+'09_Лагеря'!AG10,'19_Расчет_аналитики'!AG1729)</f>
        <v/>
      </c>
      <c r="AH1802">
        <f>IF('01_Вводные'!$B$288="С НДС",SUM('19_Расчет_аналитики'!AH1724:AH1727)*(1+'01_Вводные'!$B$58)+'09_Лагеря'!AH10,'19_Расчет_аналитики'!AH1729)</f>
        <v/>
      </c>
      <c r="AI1802">
        <f>IF('01_Вводные'!$B$288="С НДС",SUM('19_Расчет_аналитики'!AI1724:AI1727)*(1+'01_Вводные'!$B$58)+'09_Лагеря'!AI10,'19_Расчет_аналитики'!AI1729)</f>
        <v/>
      </c>
      <c r="AJ1802">
        <f>IF('01_Вводные'!$B$288="С НДС",SUM('19_Расчет_аналитики'!AJ1724:AJ1727)*(1+'01_Вводные'!$B$58)+'09_Лагеря'!AJ10,'19_Расчет_аналитики'!AJ1729)</f>
        <v/>
      </c>
      <c r="AK1802">
        <f>IF('01_Вводные'!$B$288="С НДС",SUM('19_Расчет_аналитики'!AK1724:AK1727)*(1+'01_Вводные'!$B$58)+'09_Лагеря'!AK10,'19_Расчет_аналитики'!AK1729)</f>
        <v/>
      </c>
      <c r="AL1802">
        <f>IF('01_Вводные'!$B$288="С НДС",SUM('19_Расчет_аналитики'!AL1724:AL1727)*(1+'01_Вводные'!$B$58)+'09_Лагеря'!AL10,'19_Расчет_аналитики'!AL1729)</f>
        <v/>
      </c>
      <c r="AM1802">
        <f>IF('01_Вводные'!$B$288="С НДС",SUM('19_Расчет_аналитики'!AM1724:AM1727)*(1+'01_Вводные'!$B$58)+'09_Лагеря'!AM10,'19_Расчет_аналитики'!AM1729)</f>
        <v/>
      </c>
      <c r="AN1802">
        <f>IF('01_Вводные'!$B$288="С НДС",SUM('19_Расчет_аналитики'!AN1724:AN1727)*(1+'01_Вводные'!$B$58)+'09_Лагеря'!AN10,'19_Расчет_аналитики'!AN1729)</f>
        <v/>
      </c>
      <c r="AO1802">
        <f>IF('01_Вводные'!$B$288="С НДС",SUM('19_Расчет_аналитики'!AO1724:AO1727)*(1+'01_Вводные'!$B$58)+'09_Лагеря'!AO10,'19_Расчет_аналитики'!AO1729)</f>
        <v/>
      </c>
      <c r="AP1802">
        <f>IF('01_Вводные'!$B$288="С НДС",SUM('19_Расчет_аналитики'!AP1724:AP1727)*(1+'01_Вводные'!$B$58)+'09_Лагеря'!AP10,'19_Расчет_аналитики'!AP1729)</f>
        <v/>
      </c>
      <c r="AQ1802">
        <f>IF('01_Вводные'!$B$288="С НДС",SUM('19_Расчет_аналитики'!AQ1724:AQ1727)*(1+'01_Вводные'!$B$58)+'09_Лагеря'!AQ10,'19_Расчет_аналитики'!AQ1729)</f>
        <v/>
      </c>
      <c r="AR1802">
        <f>IF('01_Вводные'!$B$288="С НДС",SUM('19_Расчет_аналитики'!AR1724:AR1727)*(1+'01_Вводные'!$B$58)+'09_Лагеря'!AR10,'19_Расчет_аналитики'!AR1729)</f>
        <v/>
      </c>
      <c r="AS1802">
        <f>IF('01_Вводные'!$B$288="С НДС",SUM('19_Расчет_аналитики'!AS1724:AS1727)*(1+'01_Вводные'!$B$58)+'09_Лагеря'!AS10,'19_Расчет_аналитики'!AS1729)</f>
        <v/>
      </c>
      <c r="AT1802">
        <f>IF('01_Вводные'!$B$288="С НДС",SUM('19_Расчет_аналитики'!AT1724:AT1727)*(1+'01_Вводные'!$B$58)+'09_Лагеря'!AT10,'19_Расчет_аналитики'!AT1729)</f>
        <v/>
      </c>
      <c r="AU1802">
        <f>IF('01_Вводные'!$B$288="С НДС",SUM('19_Расчет_аналитики'!AU1724:AU1727)*(1+'01_Вводные'!$B$58)+'09_Лагеря'!AU10,'19_Расчет_аналитики'!AU1729)</f>
        <v/>
      </c>
      <c r="AV1802">
        <f>IF('01_Вводные'!$B$288="С НДС",SUM('19_Расчет_аналитики'!AV1724:AV1727)*(1+'01_Вводные'!$B$58)+'09_Лагеря'!AV10,'19_Расчет_аналитики'!AV1729)</f>
        <v/>
      </c>
      <c r="AW1802">
        <f>IF('01_Вводные'!$B$288="С НДС",SUM('19_Расчет_аналитики'!AW1724:AW1727)*(1+'01_Вводные'!$B$58)+'09_Лагеря'!AW10,'19_Расчет_аналитики'!AW1729)</f>
        <v/>
      </c>
      <c r="AX1802">
        <f>IF('01_Вводные'!$B$288="С НДС",SUM('19_Расчет_аналитики'!AX1724:AX1727)*(1+'01_Вводные'!$B$58)+'09_Лагеря'!AX10,'19_Расчет_аналитики'!AX1729)</f>
        <v/>
      </c>
      <c r="AY1802">
        <f>IF('01_Вводные'!$B$288="С НДС",SUM('19_Расчет_аналитики'!AY1724:AY1727)*(1+'01_Вводные'!$B$58)+'09_Лагеря'!AY10,'19_Расчет_аналитики'!AY1729)</f>
        <v/>
      </c>
      <c r="AZ1802">
        <f>IF('01_Вводные'!$B$288="С НДС",SUM('19_Расчет_аналитики'!AZ1724:AZ1727)*(1+'01_Вводные'!$B$58)+'09_Лагеря'!AZ10,'19_Расчет_аналитики'!AZ1729)</f>
        <v/>
      </c>
      <c r="BA1802">
        <f>IF('01_Вводные'!$B$288="С НДС",SUM('19_Расчет_аналитики'!BA1724:BA1727)*(1+'01_Вводные'!$B$58)+'09_Лагеря'!BA10,'19_Расчет_аналитики'!BA1729)</f>
        <v/>
      </c>
      <c r="BB1802">
        <f>IF('01_Вводные'!$B$288="С НДС",SUM('19_Расчет_аналитики'!BB1724:BB1727)*(1+'01_Вводные'!$B$58)+'09_Лагеря'!BB10,'19_Расчет_аналитики'!BB1729)</f>
        <v/>
      </c>
      <c r="BC1802">
        <f>IF('01_Вводные'!$B$288="С НДС",SUM('19_Расчет_аналитики'!BC1724:BC1727)*(1+'01_Вводные'!$B$58)+'09_Лагеря'!BC10,'19_Расчет_аналитики'!BC1729)</f>
        <v/>
      </c>
      <c r="BD1802">
        <f>IF('01_Вводные'!$B$288="С НДС",SUM('19_Расчет_аналитики'!BD1724:BD1727)*(1+'01_Вводные'!$B$58)+'09_Лагеря'!BD10,'19_Расчет_аналитики'!BD1729)</f>
        <v/>
      </c>
      <c r="BE1802">
        <f>IF('01_Вводные'!$B$288="С НДС",SUM('19_Расчет_аналитики'!BE1724:BE1727)*(1+'01_Вводные'!$B$58)+'09_Лагеря'!BE10,'19_Расчет_аналитики'!BE1729)</f>
        <v/>
      </c>
      <c r="BF1802">
        <f>IF('01_Вводные'!$B$288="С НДС",SUM('19_Расчет_аналитики'!BF1724:BF1727)*(1+'01_Вводные'!$B$58)+'09_Лагеря'!BF10,'19_Расчет_аналитики'!BF1729)</f>
        <v/>
      </c>
      <c r="BG1802">
        <f>IF('01_Вводные'!$B$288="С НДС",SUM('19_Расчет_аналитики'!BG1724:BG1727)*(1+'01_Вводные'!$B$58)+'09_Лагеря'!BG10,'19_Расчет_аналитики'!BG1729)</f>
        <v/>
      </c>
      <c r="BH1802">
        <f>IF('01_Вводные'!$B$288="С НДС",SUM('19_Расчет_аналитики'!BH1724:BH1727)*(1+'01_Вводные'!$B$58)+'09_Лагеря'!BH10,'19_Расчет_аналитики'!BH1729)</f>
        <v/>
      </c>
      <c r="BI1802">
        <f>IF('01_Вводные'!$B$288="С НДС",SUM('19_Расчет_аналитики'!BI1724:BI1727)*(1+'01_Вводные'!$B$58)+'09_Лагеря'!BI10,'19_Расчет_аналитики'!BI1729)</f>
        <v/>
      </c>
    </row>
    <row r="1803">
      <c r="B1803">
        <f>IF('01_Вводные'!$B$290="Да",'19_Расчет_аналитики'!B1802*'01_Вводные'!$B$286,0)</f>
        <v/>
      </c>
      <c r="C1803">
        <f>IF('01_Вводные'!$B$290="Да",'19_Расчет_аналитики'!C1802*'01_Вводные'!$B$286,0)</f>
        <v/>
      </c>
      <c r="D1803">
        <f>IF('01_Вводные'!$B$290="Да",'19_Расчет_аналитики'!D1802*'01_Вводные'!$B$286,0)</f>
        <v/>
      </c>
      <c r="E1803">
        <f>IF('01_Вводные'!$B$290="Да",'19_Расчет_аналитики'!E1802*'01_Вводные'!$B$286,0)</f>
        <v/>
      </c>
      <c r="F1803">
        <f>IF('01_Вводные'!$B$290="Да",'19_Расчет_аналитики'!F1802*'01_Вводные'!$B$286,0)</f>
        <v/>
      </c>
      <c r="G1803">
        <f>IF('01_Вводные'!$B$290="Да",'19_Расчет_аналитики'!G1802*'01_Вводные'!$B$286,0)</f>
        <v/>
      </c>
      <c r="H1803">
        <f>IF('01_Вводные'!$B$290="Да",'19_Расчет_аналитики'!H1802*'01_Вводные'!$B$286,0)</f>
        <v/>
      </c>
      <c r="I1803">
        <f>IF('01_Вводные'!$B$290="Да",'19_Расчет_аналитики'!I1802*'01_Вводные'!$B$286,0)</f>
        <v/>
      </c>
      <c r="J1803">
        <f>IF('01_Вводные'!$B$290="Да",'19_Расчет_аналитики'!J1802*'01_Вводные'!$B$286,0)</f>
        <v/>
      </c>
      <c r="K1803">
        <f>IF('01_Вводные'!$B$290="Да",'19_Расчет_аналитики'!K1802*'01_Вводные'!$B$286,0)</f>
        <v/>
      </c>
      <c r="L1803">
        <f>IF('01_Вводные'!$B$290="Да",'19_Расчет_аналитики'!L1802*'01_Вводные'!$B$286,0)</f>
        <v/>
      </c>
      <c r="M1803">
        <f>IF('01_Вводные'!$B$290="Да",'19_Расчет_аналитики'!M1802*'01_Вводные'!$B$286,0)</f>
        <v/>
      </c>
      <c r="N1803">
        <f>IF('01_Вводные'!$B$290="Да",'19_Расчет_аналитики'!N1802*'01_Вводные'!$B$286,0)</f>
        <v/>
      </c>
      <c r="O1803">
        <f>IF('01_Вводные'!$B$290="Да",'19_Расчет_аналитики'!O1802*'01_Вводные'!$B$286,0)</f>
        <v/>
      </c>
      <c r="P1803">
        <f>IF('01_Вводные'!$B$290="Да",'19_Расчет_аналитики'!P1802*'01_Вводные'!$B$286,0)</f>
        <v/>
      </c>
      <c r="Q1803">
        <f>IF('01_Вводные'!$B$290="Да",'19_Расчет_аналитики'!Q1802*'01_Вводные'!$B$286,0)</f>
        <v/>
      </c>
      <c r="R1803">
        <f>IF('01_Вводные'!$B$290="Да",'19_Расчет_аналитики'!R1802*'01_Вводные'!$B$286,0)</f>
        <v/>
      </c>
      <c r="S1803">
        <f>IF('01_Вводные'!$B$290="Да",'19_Расчет_аналитики'!S1802*'01_Вводные'!$B$286,0)</f>
        <v/>
      </c>
      <c r="T1803">
        <f>IF('01_Вводные'!$B$290="Да",'19_Расчет_аналитики'!T1802*'01_Вводные'!$B$286,0)</f>
        <v/>
      </c>
      <c r="U1803">
        <f>IF('01_Вводные'!$B$290="Да",'19_Расчет_аналитики'!U1802*'01_Вводные'!$B$286,0)</f>
        <v/>
      </c>
      <c r="V1803">
        <f>IF('01_Вводные'!$B$290="Да",'19_Расчет_аналитики'!V1802*'01_Вводные'!$B$286,0)</f>
        <v/>
      </c>
      <c r="W1803">
        <f>IF('01_Вводные'!$B$290="Да",'19_Расчет_аналитики'!W1802*'01_Вводные'!$B$286,0)</f>
        <v/>
      </c>
      <c r="X1803">
        <f>IF('01_Вводные'!$B$290="Да",'19_Расчет_аналитики'!X1802*'01_Вводные'!$B$286,0)</f>
        <v/>
      </c>
      <c r="Y1803">
        <f>IF('01_Вводные'!$B$290="Да",'19_Расчет_аналитики'!Y1802*'01_Вводные'!$B$286,0)</f>
        <v/>
      </c>
      <c r="Z1803">
        <f>IF('01_Вводные'!$B$290="Да",'19_Расчет_аналитики'!Z1802*'01_Вводные'!$B$286,0)</f>
        <v/>
      </c>
      <c r="AA1803">
        <f>IF('01_Вводные'!$B$290="Да",'19_Расчет_аналитики'!AA1802*'01_Вводные'!$B$286,0)</f>
        <v/>
      </c>
      <c r="AB1803">
        <f>IF('01_Вводные'!$B$290="Да",'19_Расчет_аналитики'!AB1802*'01_Вводные'!$B$286,0)</f>
        <v/>
      </c>
      <c r="AC1803">
        <f>IF('01_Вводные'!$B$290="Да",'19_Расчет_аналитики'!AC1802*'01_Вводные'!$B$286,0)</f>
        <v/>
      </c>
      <c r="AD1803">
        <f>IF('01_Вводные'!$B$290="Да",'19_Расчет_аналитики'!AD1802*'01_Вводные'!$B$286,0)</f>
        <v/>
      </c>
      <c r="AE1803">
        <f>IF('01_Вводные'!$B$290="Да",'19_Расчет_аналитики'!AE1802*'01_Вводные'!$B$286,0)</f>
        <v/>
      </c>
      <c r="AF1803">
        <f>IF('01_Вводные'!$B$290="Да",'19_Расчет_аналитики'!AF1802*'01_Вводные'!$B$286,0)</f>
        <v/>
      </c>
      <c r="AG1803">
        <f>IF('01_Вводные'!$B$290="Да",'19_Расчет_аналитики'!AG1802*'01_Вводные'!$B$286,0)</f>
        <v/>
      </c>
      <c r="AH1803">
        <f>IF('01_Вводные'!$B$290="Да",'19_Расчет_аналитики'!AH1802*'01_Вводные'!$B$286,0)</f>
        <v/>
      </c>
      <c r="AI1803">
        <f>IF('01_Вводные'!$B$290="Да",'19_Расчет_аналитики'!AI1802*'01_Вводные'!$B$286,0)</f>
        <v/>
      </c>
      <c r="AJ1803">
        <f>IF('01_Вводные'!$B$290="Да",'19_Расчет_аналитики'!AJ1802*'01_Вводные'!$B$286,0)</f>
        <v/>
      </c>
      <c r="AK1803">
        <f>IF('01_Вводные'!$B$290="Да",'19_Расчет_аналитики'!AK1802*'01_Вводные'!$B$286,0)</f>
        <v/>
      </c>
      <c r="AL1803">
        <f>IF('01_Вводные'!$B$290="Да",'19_Расчет_аналитики'!AL1802*'01_Вводные'!$B$286,0)</f>
        <v/>
      </c>
      <c r="AM1803">
        <f>IF('01_Вводные'!$B$290="Да",'19_Расчет_аналитики'!AM1802*'01_Вводные'!$B$286,0)</f>
        <v/>
      </c>
      <c r="AN1803">
        <f>IF('01_Вводные'!$B$290="Да",'19_Расчет_аналитики'!AN1802*'01_Вводные'!$B$286,0)</f>
        <v/>
      </c>
      <c r="AO1803">
        <f>IF('01_Вводные'!$B$290="Да",'19_Расчет_аналитики'!AO1802*'01_Вводные'!$B$286,0)</f>
        <v/>
      </c>
      <c r="AP1803">
        <f>IF('01_Вводные'!$B$290="Да",'19_Расчет_аналитики'!AP1802*'01_Вводные'!$B$286,0)</f>
        <v/>
      </c>
      <c r="AQ1803">
        <f>IF('01_Вводные'!$B$290="Да",'19_Расчет_аналитики'!AQ1802*'01_Вводные'!$B$286,0)</f>
        <v/>
      </c>
      <c r="AR1803">
        <f>IF('01_Вводные'!$B$290="Да",'19_Расчет_аналитики'!AR1802*'01_Вводные'!$B$286,0)</f>
        <v/>
      </c>
      <c r="AS1803">
        <f>IF('01_Вводные'!$B$290="Да",'19_Расчет_аналитики'!AS1802*'01_Вводные'!$B$286,0)</f>
        <v/>
      </c>
      <c r="AT1803">
        <f>IF('01_Вводные'!$B$290="Да",'19_Расчет_аналитики'!AT1802*'01_Вводные'!$B$286,0)</f>
        <v/>
      </c>
      <c r="AU1803">
        <f>IF('01_Вводные'!$B$290="Да",'19_Расчет_аналитики'!AU1802*'01_Вводные'!$B$286,0)</f>
        <v/>
      </c>
      <c r="AV1803">
        <f>IF('01_Вводные'!$B$290="Да",'19_Расчет_аналитики'!AV1802*'01_Вводные'!$B$286,0)</f>
        <v/>
      </c>
      <c r="AW1803">
        <f>IF('01_Вводные'!$B$290="Да",'19_Расчет_аналитики'!AW1802*'01_Вводные'!$B$286,0)</f>
        <v/>
      </c>
      <c r="AX1803">
        <f>IF('01_Вводные'!$B$290="Да",'19_Расчет_аналитики'!AX1802*'01_Вводные'!$B$286,0)</f>
        <v/>
      </c>
      <c r="AY1803">
        <f>IF('01_Вводные'!$B$290="Да",'19_Расчет_аналитики'!AY1802*'01_Вводные'!$B$286,0)</f>
        <v/>
      </c>
      <c r="AZ1803">
        <f>IF('01_Вводные'!$B$290="Да",'19_Расчет_аналитики'!AZ1802*'01_Вводные'!$B$286,0)</f>
        <v/>
      </c>
      <c r="BA1803">
        <f>IF('01_Вводные'!$B$290="Да",'19_Расчет_аналитики'!BA1802*'01_Вводные'!$B$286,0)</f>
        <v/>
      </c>
      <c r="BB1803">
        <f>IF('01_Вводные'!$B$290="Да",'19_Расчет_аналитики'!BB1802*'01_Вводные'!$B$286,0)</f>
        <v/>
      </c>
      <c r="BC1803">
        <f>IF('01_Вводные'!$B$290="Да",'19_Расчет_аналитики'!BC1802*'01_Вводные'!$B$286,0)</f>
        <v/>
      </c>
      <c r="BD1803">
        <f>IF('01_Вводные'!$B$290="Да",'19_Расчет_аналитики'!BD1802*'01_Вводные'!$B$286,0)</f>
        <v/>
      </c>
      <c r="BE1803">
        <f>IF('01_Вводные'!$B$290="Да",'19_Расчет_аналитики'!BE1802*'01_Вводные'!$B$286,0)</f>
        <v/>
      </c>
      <c r="BF1803">
        <f>IF('01_Вводные'!$B$290="Да",'19_Расчет_аналитики'!BF1802*'01_Вводные'!$B$286,0)</f>
        <v/>
      </c>
      <c r="BG1803">
        <f>IF('01_Вводные'!$B$290="Да",'19_Расчет_аналитики'!BG1802*'01_Вводные'!$B$286,0)</f>
        <v/>
      </c>
      <c r="BH1803">
        <f>IF('01_Вводные'!$B$290="Да",'19_Расчет_аналитики'!BH1802*'01_Вводные'!$B$286,0)</f>
        <v/>
      </c>
      <c r="BI1803">
        <f>IF('01_Вводные'!$B$290="Да",'19_Расчет_аналитики'!BI1802*'01_Вводные'!$B$286,0)</f>
        <v/>
      </c>
    </row>
    <row r="1804">
      <c r="B1804">
        <f>'02_Модель'!B98</f>
        <v/>
      </c>
      <c r="C1804">
        <f>'02_Модель'!C98</f>
        <v/>
      </c>
      <c r="D1804">
        <f>'02_Модель'!D98</f>
        <v/>
      </c>
      <c r="E1804">
        <f>'02_Модель'!E98</f>
        <v/>
      </c>
      <c r="F1804">
        <f>'02_Модель'!F98</f>
        <v/>
      </c>
      <c r="G1804">
        <f>'02_Модель'!G98</f>
        <v/>
      </c>
      <c r="H1804">
        <f>'02_Модель'!H98</f>
        <v/>
      </c>
      <c r="I1804">
        <f>'02_Модель'!I98</f>
        <v/>
      </c>
      <c r="J1804">
        <f>'02_Модель'!J98</f>
        <v/>
      </c>
      <c r="K1804">
        <f>'02_Модель'!K98</f>
        <v/>
      </c>
      <c r="L1804">
        <f>'02_Модель'!L98</f>
        <v/>
      </c>
      <c r="M1804">
        <f>'02_Модель'!M98</f>
        <v/>
      </c>
      <c r="N1804">
        <f>'02_Модель'!N98</f>
        <v/>
      </c>
      <c r="O1804">
        <f>'02_Модель'!O98</f>
        <v/>
      </c>
      <c r="P1804">
        <f>'02_Модель'!P98</f>
        <v/>
      </c>
      <c r="Q1804">
        <f>'02_Модель'!Q98</f>
        <v/>
      </c>
      <c r="R1804">
        <f>'02_Модель'!R98</f>
        <v/>
      </c>
      <c r="S1804">
        <f>'02_Модель'!S98</f>
        <v/>
      </c>
      <c r="T1804">
        <f>'02_Модель'!T98</f>
        <v/>
      </c>
      <c r="U1804">
        <f>'02_Модель'!U98</f>
        <v/>
      </c>
      <c r="V1804">
        <f>'02_Модель'!V98</f>
        <v/>
      </c>
      <c r="W1804">
        <f>'02_Модель'!W98</f>
        <v/>
      </c>
      <c r="X1804">
        <f>'02_Модель'!X98</f>
        <v/>
      </c>
      <c r="Y1804">
        <f>'02_Модель'!Y98</f>
        <v/>
      </c>
      <c r="Z1804">
        <f>'02_Модель'!Z98</f>
        <v/>
      </c>
      <c r="AA1804">
        <f>'02_Модель'!AA98</f>
        <v/>
      </c>
      <c r="AB1804">
        <f>'02_Модель'!AB98</f>
        <v/>
      </c>
      <c r="AC1804">
        <f>'02_Модель'!AC98</f>
        <v/>
      </c>
      <c r="AD1804">
        <f>'02_Модель'!AD98</f>
        <v/>
      </c>
      <c r="AE1804">
        <f>'02_Модель'!AE98</f>
        <v/>
      </c>
      <c r="AF1804">
        <f>'02_Модель'!AF98</f>
        <v/>
      </c>
      <c r="AG1804">
        <f>'02_Модель'!AG98</f>
        <v/>
      </c>
      <c r="AH1804">
        <f>'02_Модель'!AH98</f>
        <v/>
      </c>
      <c r="AI1804">
        <f>'02_Модель'!AI98</f>
        <v/>
      </c>
      <c r="AJ1804">
        <f>'02_Модель'!AJ98</f>
        <v/>
      </c>
      <c r="AK1804">
        <f>'02_Модель'!AK98</f>
        <v/>
      </c>
      <c r="AL1804">
        <f>'02_Модель'!AL98</f>
        <v/>
      </c>
      <c r="AM1804">
        <f>'02_Модель'!AM98</f>
        <v/>
      </c>
      <c r="AN1804">
        <f>'02_Модель'!AN98</f>
        <v/>
      </c>
      <c r="AO1804">
        <f>'02_Модель'!AO98</f>
        <v/>
      </c>
      <c r="AP1804">
        <f>'02_Модель'!AP98</f>
        <v/>
      </c>
      <c r="AQ1804">
        <f>'02_Модель'!AQ98</f>
        <v/>
      </c>
      <c r="AR1804">
        <f>'02_Модель'!AR98</f>
        <v/>
      </c>
      <c r="AS1804">
        <f>'02_Модель'!AS98</f>
        <v/>
      </c>
      <c r="AT1804">
        <f>'02_Модель'!AT98</f>
        <v/>
      </c>
      <c r="AU1804">
        <f>'02_Модель'!AU98</f>
        <v/>
      </c>
      <c r="AV1804">
        <f>'02_Модель'!AV98</f>
        <v/>
      </c>
      <c r="AW1804">
        <f>'02_Модель'!AW98</f>
        <v/>
      </c>
      <c r="AX1804">
        <f>'02_Модель'!AX98</f>
        <v/>
      </c>
      <c r="AY1804">
        <f>'02_Модель'!AY98</f>
        <v/>
      </c>
      <c r="AZ1804">
        <f>'02_Модель'!AZ98</f>
        <v/>
      </c>
      <c r="BA1804">
        <f>'02_Модель'!BA98</f>
        <v/>
      </c>
      <c r="BB1804">
        <f>'02_Модель'!BB98</f>
        <v/>
      </c>
      <c r="BC1804">
        <f>'02_Модель'!BC98</f>
        <v/>
      </c>
      <c r="BD1804">
        <f>'02_Модель'!BD98</f>
        <v/>
      </c>
      <c r="BE1804">
        <f>'02_Модель'!BE98</f>
        <v/>
      </c>
      <c r="BF1804">
        <f>'02_Модель'!BF98</f>
        <v/>
      </c>
      <c r="BG1804">
        <f>'02_Модель'!BG98</f>
        <v/>
      </c>
      <c r="BH1804">
        <f>'02_Модель'!BH98</f>
        <v/>
      </c>
      <c r="BI1804">
        <f>'02_Модель'!BI98</f>
        <v/>
      </c>
    </row>
    <row r="1805">
      <c r="B1805">
        <f>SUM('19_Расчет_аналитики'!B1803:B1804)</f>
        <v/>
      </c>
      <c r="C1805">
        <f>SUM('19_Расчет_аналитики'!C1803:C1804)</f>
        <v/>
      </c>
      <c r="D1805">
        <f>SUM('19_Расчет_аналитики'!D1803:D1804)</f>
        <v/>
      </c>
      <c r="E1805">
        <f>SUM('19_Расчет_аналитики'!E1803:E1804)</f>
        <v/>
      </c>
      <c r="F1805">
        <f>SUM('19_Расчет_аналитики'!F1803:F1804)</f>
        <v/>
      </c>
      <c r="G1805">
        <f>SUM('19_Расчет_аналитики'!G1803:G1804)</f>
        <v/>
      </c>
      <c r="H1805">
        <f>SUM('19_Расчет_аналитики'!H1803:H1804)</f>
        <v/>
      </c>
      <c r="I1805">
        <f>SUM('19_Расчет_аналитики'!I1803:I1804)</f>
        <v/>
      </c>
      <c r="J1805">
        <f>SUM('19_Расчет_аналитики'!J1803:J1804)</f>
        <v/>
      </c>
      <c r="K1805">
        <f>SUM('19_Расчет_аналитики'!K1803:K1804)</f>
        <v/>
      </c>
      <c r="L1805">
        <f>SUM('19_Расчет_аналитики'!L1803:L1804)</f>
        <v/>
      </c>
      <c r="M1805">
        <f>SUM('19_Расчет_аналитики'!M1803:M1804)</f>
        <v/>
      </c>
      <c r="N1805">
        <f>SUM('19_Расчет_аналитики'!N1803:N1804)</f>
        <v/>
      </c>
      <c r="O1805">
        <f>SUM('19_Расчет_аналитики'!O1803:O1804)</f>
        <v/>
      </c>
      <c r="P1805">
        <f>SUM('19_Расчет_аналитики'!P1803:P1804)</f>
        <v/>
      </c>
      <c r="Q1805">
        <f>SUM('19_Расчет_аналитики'!Q1803:Q1804)</f>
        <v/>
      </c>
      <c r="R1805">
        <f>SUM('19_Расчет_аналитики'!R1803:R1804)</f>
        <v/>
      </c>
      <c r="S1805">
        <f>SUM('19_Расчет_аналитики'!S1803:S1804)</f>
        <v/>
      </c>
      <c r="T1805">
        <f>SUM('19_Расчет_аналитики'!T1803:T1804)</f>
        <v/>
      </c>
      <c r="U1805">
        <f>SUM('19_Расчет_аналитики'!U1803:U1804)</f>
        <v/>
      </c>
      <c r="V1805">
        <f>SUM('19_Расчет_аналитики'!V1803:V1804)</f>
        <v/>
      </c>
      <c r="W1805">
        <f>SUM('19_Расчет_аналитики'!W1803:W1804)</f>
        <v/>
      </c>
      <c r="X1805">
        <f>SUM('19_Расчет_аналитики'!X1803:X1804)</f>
        <v/>
      </c>
      <c r="Y1805">
        <f>SUM('19_Расчет_аналитики'!Y1803:Y1804)</f>
        <v/>
      </c>
      <c r="Z1805">
        <f>SUM('19_Расчет_аналитики'!Z1803:Z1804)</f>
        <v/>
      </c>
      <c r="AA1805">
        <f>SUM('19_Расчет_аналитики'!AA1803:AA1804)</f>
        <v/>
      </c>
      <c r="AB1805">
        <f>SUM('19_Расчет_аналитики'!AB1803:AB1804)</f>
        <v/>
      </c>
      <c r="AC1805">
        <f>SUM('19_Расчет_аналитики'!AC1803:AC1804)</f>
        <v/>
      </c>
      <c r="AD1805">
        <f>SUM('19_Расчет_аналитики'!AD1803:AD1804)</f>
        <v/>
      </c>
      <c r="AE1805">
        <f>SUM('19_Расчет_аналитики'!AE1803:AE1804)</f>
        <v/>
      </c>
      <c r="AF1805">
        <f>SUM('19_Расчет_аналитики'!AF1803:AF1804)</f>
        <v/>
      </c>
      <c r="AG1805">
        <f>SUM('19_Расчет_аналитики'!AG1803:AG1804)</f>
        <v/>
      </c>
      <c r="AH1805">
        <f>SUM('19_Расчет_аналитики'!AH1803:AH1804)</f>
        <v/>
      </c>
      <c r="AI1805">
        <f>SUM('19_Расчет_аналитики'!AI1803:AI1804)</f>
        <v/>
      </c>
      <c r="AJ1805">
        <f>SUM('19_Расчет_аналитики'!AJ1803:AJ1804)</f>
        <v/>
      </c>
      <c r="AK1805">
        <f>SUM('19_Расчет_аналитики'!AK1803:AK1804)</f>
        <v/>
      </c>
      <c r="AL1805">
        <f>SUM('19_Расчет_аналитики'!AL1803:AL1804)</f>
        <v/>
      </c>
      <c r="AM1805">
        <f>SUM('19_Расчет_аналитики'!AM1803:AM1804)</f>
        <v/>
      </c>
      <c r="AN1805">
        <f>SUM('19_Расчет_аналитики'!AN1803:AN1804)</f>
        <v/>
      </c>
      <c r="AO1805">
        <f>SUM('19_Расчет_аналитики'!AO1803:AO1804)</f>
        <v/>
      </c>
      <c r="AP1805">
        <f>SUM('19_Расчет_аналитики'!AP1803:AP1804)</f>
        <v/>
      </c>
      <c r="AQ1805">
        <f>SUM('19_Расчет_аналитики'!AQ1803:AQ1804)</f>
        <v/>
      </c>
      <c r="AR1805">
        <f>SUM('19_Расчет_аналитики'!AR1803:AR1804)</f>
        <v/>
      </c>
      <c r="AS1805">
        <f>SUM('19_Расчет_аналитики'!AS1803:AS1804)</f>
        <v/>
      </c>
      <c r="AT1805">
        <f>SUM('19_Расчет_аналитики'!AT1803:AT1804)</f>
        <v/>
      </c>
      <c r="AU1805">
        <f>SUM('19_Расчет_аналитики'!AU1803:AU1804)</f>
        <v/>
      </c>
      <c r="AV1805">
        <f>SUM('19_Расчет_аналитики'!AV1803:AV1804)</f>
        <v/>
      </c>
      <c r="AW1805">
        <f>SUM('19_Расчет_аналитики'!AW1803:AW1804)</f>
        <v/>
      </c>
      <c r="AX1805">
        <f>SUM('19_Расчет_аналитики'!AX1803:AX1804)</f>
        <v/>
      </c>
      <c r="AY1805">
        <f>SUM('19_Расчет_аналитики'!AY1803:AY1804)</f>
        <v/>
      </c>
      <c r="AZ1805">
        <f>SUM('19_Расчет_аналитики'!AZ1803:AZ1804)</f>
        <v/>
      </c>
      <c r="BA1805">
        <f>SUM('19_Расчет_аналитики'!BA1803:BA1804)</f>
        <v/>
      </c>
      <c r="BB1805">
        <f>SUM('19_Расчет_аналитики'!BB1803:BB1804)</f>
        <v/>
      </c>
      <c r="BC1805">
        <f>SUM('19_Расчет_аналитики'!BC1803:BC1804)</f>
        <v/>
      </c>
      <c r="BD1805">
        <f>SUM('19_Расчет_аналитики'!BD1803:BD1804)</f>
        <v/>
      </c>
      <c r="BE1805">
        <f>SUM('19_Расчет_аналитики'!BE1803:BE1804)</f>
        <v/>
      </c>
      <c r="BF1805">
        <f>SUM('19_Расчет_аналитики'!BF1803:BF1804)</f>
        <v/>
      </c>
      <c r="BG1805">
        <f>SUM('19_Расчет_аналитики'!BG1803:BG1804)</f>
        <v/>
      </c>
      <c r="BH1805">
        <f>SUM('19_Расчет_аналитики'!BH1803:BH1804)</f>
        <v/>
      </c>
      <c r="BI1805">
        <f>SUM('19_Расчет_аналитики'!BI1803:BI1804)</f>
        <v/>
      </c>
    </row>
    <row r="1806">
      <c r="B1806">
        <f>SUM('19_Расчет_аналитики'!$B1805:B1805)</f>
        <v/>
      </c>
      <c r="C1806">
        <f>SUM('19_Расчет_аналитики'!$B1805:C1805)</f>
        <v/>
      </c>
      <c r="D1806">
        <f>SUM('19_Расчет_аналитики'!$B1805:D1805)</f>
        <v/>
      </c>
      <c r="E1806">
        <f>SUM('19_Расчет_аналитики'!$B1805:E1805)</f>
        <v/>
      </c>
      <c r="F1806">
        <f>SUM('19_Расчет_аналитики'!$B1805:F1805)</f>
        <v/>
      </c>
      <c r="G1806">
        <f>SUM('19_Расчет_аналитики'!$B1805:G1805)</f>
        <v/>
      </c>
      <c r="H1806">
        <f>SUM('19_Расчет_аналитики'!$B1805:H1805)</f>
        <v/>
      </c>
      <c r="I1806">
        <f>SUM('19_Расчет_аналитики'!$B1805:I1805)</f>
        <v/>
      </c>
      <c r="J1806">
        <f>SUM('19_Расчет_аналитики'!$B1805:J1805)</f>
        <v/>
      </c>
      <c r="K1806">
        <f>SUM('19_Расчет_аналитики'!$B1805:K1805)</f>
        <v/>
      </c>
      <c r="L1806">
        <f>SUM('19_Расчет_аналитики'!$B1805:L1805)</f>
        <v/>
      </c>
      <c r="M1806">
        <f>SUM('19_Расчет_аналитики'!$B1805:M1805)</f>
        <v/>
      </c>
      <c r="N1806">
        <f>SUM('19_Расчет_аналитики'!$B1805:N1805)</f>
        <v/>
      </c>
      <c r="O1806">
        <f>SUM('19_Расчет_аналитики'!$B1805:O1805)</f>
        <v/>
      </c>
      <c r="P1806">
        <f>SUM('19_Расчет_аналитики'!$B1805:P1805)</f>
        <v/>
      </c>
      <c r="Q1806">
        <f>SUM('19_Расчет_аналитики'!$B1805:Q1805)</f>
        <v/>
      </c>
      <c r="R1806">
        <f>SUM('19_Расчет_аналитики'!$B1805:R1805)</f>
        <v/>
      </c>
      <c r="S1806">
        <f>SUM('19_Расчет_аналитики'!$B1805:S1805)</f>
        <v/>
      </c>
      <c r="T1806">
        <f>SUM('19_Расчет_аналитики'!$B1805:T1805)</f>
        <v/>
      </c>
      <c r="U1806">
        <f>SUM('19_Расчет_аналитики'!$B1805:U1805)</f>
        <v/>
      </c>
      <c r="V1806">
        <f>SUM('19_Расчет_аналитики'!$B1805:V1805)</f>
        <v/>
      </c>
      <c r="W1806">
        <f>SUM('19_Расчет_аналитики'!$B1805:W1805)</f>
        <v/>
      </c>
      <c r="X1806">
        <f>SUM('19_Расчет_аналитики'!$B1805:X1805)</f>
        <v/>
      </c>
      <c r="Y1806">
        <f>SUM('19_Расчет_аналитики'!$B1805:Y1805)</f>
        <v/>
      </c>
      <c r="Z1806">
        <f>SUM('19_Расчет_аналитики'!$B1805:Z1805)</f>
        <v/>
      </c>
      <c r="AA1806">
        <f>SUM('19_Расчет_аналитики'!$B1805:AA1805)</f>
        <v/>
      </c>
      <c r="AB1806">
        <f>SUM('19_Расчет_аналитики'!$B1805:AB1805)</f>
        <v/>
      </c>
      <c r="AC1806">
        <f>SUM('19_Расчет_аналитики'!$B1805:AC1805)</f>
        <v/>
      </c>
      <c r="AD1806">
        <f>SUM('19_Расчет_аналитики'!$B1805:AD1805)</f>
        <v/>
      </c>
      <c r="AE1806">
        <f>SUM('19_Расчет_аналитики'!$B1805:AE1805)</f>
        <v/>
      </c>
      <c r="AF1806">
        <f>SUM('19_Расчет_аналитики'!$B1805:AF1805)</f>
        <v/>
      </c>
      <c r="AG1806">
        <f>SUM('19_Расчет_аналитики'!$B1805:AG1805)</f>
        <v/>
      </c>
      <c r="AH1806">
        <f>SUM('19_Расчет_аналитики'!$B1805:AH1805)</f>
        <v/>
      </c>
      <c r="AI1806">
        <f>SUM('19_Расчет_аналитики'!$B1805:AI1805)</f>
        <v/>
      </c>
      <c r="AJ1806">
        <f>SUM('19_Расчет_аналитики'!$B1805:AJ1805)</f>
        <v/>
      </c>
      <c r="AK1806">
        <f>SUM('19_Расчет_аналитики'!$B1805:AK1805)</f>
        <v/>
      </c>
      <c r="AL1806">
        <f>SUM('19_Расчет_аналитики'!$B1805:AL1805)</f>
        <v/>
      </c>
      <c r="AM1806">
        <f>SUM('19_Расчет_аналитики'!$B1805:AM1805)</f>
        <v/>
      </c>
      <c r="AN1806">
        <f>SUM('19_Расчет_аналитики'!$B1805:AN1805)</f>
        <v/>
      </c>
      <c r="AO1806">
        <f>SUM('19_Расчет_аналитики'!$B1805:AO1805)</f>
        <v/>
      </c>
      <c r="AP1806">
        <f>SUM('19_Расчет_аналитики'!$B1805:AP1805)</f>
        <v/>
      </c>
      <c r="AQ1806">
        <f>SUM('19_Расчет_аналитики'!$B1805:AQ1805)</f>
        <v/>
      </c>
      <c r="AR1806">
        <f>SUM('19_Расчет_аналитики'!$B1805:AR1805)</f>
        <v/>
      </c>
      <c r="AS1806">
        <f>SUM('19_Расчет_аналитики'!$B1805:AS1805)</f>
        <v/>
      </c>
      <c r="AT1806">
        <f>SUM('19_Расчет_аналитики'!$B1805:AT1805)</f>
        <v/>
      </c>
      <c r="AU1806">
        <f>SUM('19_Расчет_аналитики'!$B1805:AU1805)</f>
        <v/>
      </c>
      <c r="AV1806">
        <f>SUM('19_Расчет_аналитики'!$B1805:AV1805)</f>
        <v/>
      </c>
      <c r="AW1806">
        <f>SUM('19_Расчет_аналитики'!$B1805:AW1805)</f>
        <v/>
      </c>
      <c r="AX1806">
        <f>SUM('19_Расчет_аналитики'!$B1805:AX1805)</f>
        <v/>
      </c>
      <c r="AY1806">
        <f>SUM('19_Расчет_аналитики'!$B1805:AY1805)</f>
        <v/>
      </c>
      <c r="AZ1806">
        <f>SUM('19_Расчет_аналитики'!$B1805:AZ1805)</f>
        <v/>
      </c>
      <c r="BA1806">
        <f>SUM('19_Расчет_аналитики'!$B1805:BA1805)</f>
        <v/>
      </c>
      <c r="BB1806">
        <f>SUM('19_Расчет_аналитики'!$B1805:BB1805)</f>
        <v/>
      </c>
      <c r="BC1806">
        <f>SUM('19_Расчет_аналитики'!$B1805:BC1805)</f>
        <v/>
      </c>
      <c r="BD1806">
        <f>SUM('19_Расчет_аналитики'!$B1805:BD1805)</f>
        <v/>
      </c>
      <c r="BE1806">
        <f>SUM('19_Расчет_аналитики'!$B1805:BE1805)</f>
        <v/>
      </c>
      <c r="BF1806">
        <f>SUM('19_Расчет_аналитики'!$B1805:BF1805)</f>
        <v/>
      </c>
      <c r="BG1806">
        <f>SUM('19_Расчет_аналитики'!$B1805:BG1805)</f>
        <v/>
      </c>
      <c r="BH1806">
        <f>SUM('19_Расчет_аналитики'!$B1805:BH1805)</f>
        <v/>
      </c>
      <c r="BI1806">
        <f>SUM('19_Расчет_аналитики'!$B1805:BI1805)</f>
        <v/>
      </c>
    </row>
    <row r="1807"/>
    <row r="1808"/>
    <row r="1809"/>
    <row r="1810"/>
    <row r="1811"/>
    <row r="1812"/>
    <row r="1813"/>
    <row r="1814"/>
    <row r="1815"/>
    <row r="1816"/>
    <row r="1817">
      <c r="B1817">
        <f>INDEX('19_Расчет_аналитики'!$C$1087:$C$1091,MIN(5,INT(0/12)+1),1)*'18_Календарь_тарифы'!B4</f>
        <v/>
      </c>
      <c r="C1817">
        <f>INDEX('19_Расчет_аналитики'!$C$1087:$C$1091,MIN(5,INT(1/12)+1),1)*'18_Календарь_тарифы'!C4</f>
        <v/>
      </c>
      <c r="D1817">
        <f>INDEX('19_Расчет_аналитики'!$C$1087:$C$1091,MIN(5,INT(2/12)+1),1)*'18_Календарь_тарифы'!D4</f>
        <v/>
      </c>
      <c r="E1817">
        <f>INDEX('19_Расчет_аналитики'!$C$1087:$C$1091,MIN(5,INT(3/12)+1),1)*'18_Календарь_тарифы'!E4</f>
        <v/>
      </c>
      <c r="F1817">
        <f>INDEX('19_Расчет_аналитики'!$C$1087:$C$1091,MIN(5,INT(4/12)+1),1)*'18_Календарь_тарифы'!F4</f>
        <v/>
      </c>
      <c r="G1817">
        <f>INDEX('19_Расчет_аналитики'!$C$1087:$C$1091,MIN(5,INT(5/12)+1),1)*'18_Календарь_тарифы'!G4</f>
        <v/>
      </c>
      <c r="H1817">
        <f>INDEX('19_Расчет_аналитики'!$C$1087:$C$1091,MIN(5,INT(6/12)+1),1)*'18_Календарь_тарифы'!H4</f>
        <v/>
      </c>
      <c r="I1817">
        <f>INDEX('19_Расчет_аналитики'!$C$1087:$C$1091,MIN(5,INT(7/12)+1),1)*'18_Календарь_тарифы'!I4</f>
        <v/>
      </c>
      <c r="J1817">
        <f>INDEX('19_Расчет_аналитики'!$C$1087:$C$1091,MIN(5,INT(8/12)+1),1)*'18_Календарь_тарифы'!J4</f>
        <v/>
      </c>
      <c r="K1817">
        <f>INDEX('19_Расчет_аналитики'!$C$1087:$C$1091,MIN(5,INT(9/12)+1),1)*'18_Календарь_тарифы'!K4</f>
        <v/>
      </c>
      <c r="L1817">
        <f>INDEX('19_Расчет_аналитики'!$C$1087:$C$1091,MIN(5,INT(10/12)+1),1)*'18_Календарь_тарифы'!L4</f>
        <v/>
      </c>
      <c r="M1817">
        <f>INDEX('19_Расчет_аналитики'!$C$1087:$C$1091,MIN(5,INT(11/12)+1),1)*'18_Календарь_тарифы'!M4</f>
        <v/>
      </c>
      <c r="N1817">
        <f>INDEX('19_Расчет_аналитики'!$C$1087:$C$1091,MIN(5,INT(12/12)+1),1)*'18_Календарь_тарифы'!N4</f>
        <v/>
      </c>
      <c r="O1817">
        <f>INDEX('19_Расчет_аналитики'!$C$1087:$C$1091,MIN(5,INT(13/12)+1),1)*'18_Календарь_тарифы'!O4</f>
        <v/>
      </c>
      <c r="P1817">
        <f>INDEX('19_Расчет_аналитики'!$C$1087:$C$1091,MIN(5,INT(14/12)+1),1)*'18_Календарь_тарифы'!P4</f>
        <v/>
      </c>
      <c r="Q1817">
        <f>INDEX('19_Расчет_аналитики'!$C$1087:$C$1091,MIN(5,INT(15/12)+1),1)*'18_Календарь_тарифы'!Q4</f>
        <v/>
      </c>
      <c r="R1817">
        <f>INDEX('19_Расчет_аналитики'!$C$1087:$C$1091,MIN(5,INT(16/12)+1),1)*'18_Календарь_тарифы'!R4</f>
        <v/>
      </c>
      <c r="S1817">
        <f>INDEX('19_Расчет_аналитики'!$C$1087:$C$1091,MIN(5,INT(17/12)+1),1)*'18_Календарь_тарифы'!S4</f>
        <v/>
      </c>
      <c r="T1817">
        <f>INDEX('19_Расчет_аналитики'!$C$1087:$C$1091,MIN(5,INT(18/12)+1),1)*'18_Календарь_тарифы'!T4</f>
        <v/>
      </c>
      <c r="U1817">
        <f>INDEX('19_Расчет_аналитики'!$C$1087:$C$1091,MIN(5,INT(19/12)+1),1)*'18_Календарь_тарифы'!U4</f>
        <v/>
      </c>
      <c r="V1817">
        <f>INDEX('19_Расчет_аналитики'!$C$1087:$C$1091,MIN(5,INT(20/12)+1),1)*'18_Календарь_тарифы'!V4</f>
        <v/>
      </c>
      <c r="W1817">
        <f>INDEX('19_Расчет_аналитики'!$C$1087:$C$1091,MIN(5,INT(21/12)+1),1)*'18_Календарь_тарифы'!W4</f>
        <v/>
      </c>
      <c r="X1817">
        <f>INDEX('19_Расчет_аналитики'!$C$1087:$C$1091,MIN(5,INT(22/12)+1),1)*'18_Календарь_тарифы'!X4</f>
        <v/>
      </c>
      <c r="Y1817">
        <f>INDEX('19_Расчет_аналитики'!$C$1087:$C$1091,MIN(5,INT(23/12)+1),1)*'18_Календарь_тарифы'!Y4</f>
        <v/>
      </c>
      <c r="Z1817">
        <f>INDEX('19_Расчет_аналитики'!$C$1087:$C$1091,MIN(5,INT(24/12)+1),1)*'18_Календарь_тарифы'!Z4</f>
        <v/>
      </c>
      <c r="AA1817">
        <f>INDEX('19_Расчет_аналитики'!$C$1087:$C$1091,MIN(5,INT(25/12)+1),1)*'18_Календарь_тарифы'!AA4</f>
        <v/>
      </c>
      <c r="AB1817">
        <f>INDEX('19_Расчет_аналитики'!$C$1087:$C$1091,MIN(5,INT(26/12)+1),1)*'18_Календарь_тарифы'!AB4</f>
        <v/>
      </c>
      <c r="AC1817">
        <f>INDEX('19_Расчет_аналитики'!$C$1087:$C$1091,MIN(5,INT(27/12)+1),1)*'18_Календарь_тарифы'!AC4</f>
        <v/>
      </c>
      <c r="AD1817">
        <f>INDEX('19_Расчет_аналитики'!$C$1087:$C$1091,MIN(5,INT(28/12)+1),1)*'18_Календарь_тарифы'!AD4</f>
        <v/>
      </c>
      <c r="AE1817">
        <f>INDEX('19_Расчет_аналитики'!$C$1087:$C$1091,MIN(5,INT(29/12)+1),1)*'18_Календарь_тарифы'!AE4</f>
        <v/>
      </c>
      <c r="AF1817">
        <f>INDEX('19_Расчет_аналитики'!$C$1087:$C$1091,MIN(5,INT(30/12)+1),1)*'18_Календарь_тарифы'!AF4</f>
        <v/>
      </c>
      <c r="AG1817">
        <f>INDEX('19_Расчет_аналитики'!$C$1087:$C$1091,MIN(5,INT(31/12)+1),1)*'18_Календарь_тарифы'!AG4</f>
        <v/>
      </c>
      <c r="AH1817">
        <f>INDEX('19_Расчет_аналитики'!$C$1087:$C$1091,MIN(5,INT(32/12)+1),1)*'18_Календарь_тарифы'!AH4</f>
        <v/>
      </c>
      <c r="AI1817">
        <f>INDEX('19_Расчет_аналитики'!$C$1087:$C$1091,MIN(5,INT(33/12)+1),1)*'18_Календарь_тарифы'!AI4</f>
        <v/>
      </c>
      <c r="AJ1817">
        <f>INDEX('19_Расчет_аналитики'!$C$1087:$C$1091,MIN(5,INT(34/12)+1),1)*'18_Календарь_тарифы'!AJ4</f>
        <v/>
      </c>
      <c r="AK1817">
        <f>INDEX('19_Расчет_аналитики'!$C$1087:$C$1091,MIN(5,INT(35/12)+1),1)*'18_Календарь_тарифы'!AK4</f>
        <v/>
      </c>
      <c r="AL1817">
        <f>INDEX('19_Расчет_аналитики'!$C$1087:$C$1091,MIN(5,INT(36/12)+1),1)*'18_Календарь_тарифы'!AL4</f>
        <v/>
      </c>
      <c r="AM1817">
        <f>INDEX('19_Расчет_аналитики'!$C$1087:$C$1091,MIN(5,INT(37/12)+1),1)*'18_Календарь_тарифы'!AM4</f>
        <v/>
      </c>
      <c r="AN1817">
        <f>INDEX('19_Расчет_аналитики'!$C$1087:$C$1091,MIN(5,INT(38/12)+1),1)*'18_Календарь_тарифы'!AN4</f>
        <v/>
      </c>
      <c r="AO1817">
        <f>INDEX('19_Расчет_аналитики'!$C$1087:$C$1091,MIN(5,INT(39/12)+1),1)*'18_Календарь_тарифы'!AO4</f>
        <v/>
      </c>
      <c r="AP1817">
        <f>INDEX('19_Расчет_аналитики'!$C$1087:$C$1091,MIN(5,INT(40/12)+1),1)*'18_Календарь_тарифы'!AP4</f>
        <v/>
      </c>
      <c r="AQ1817">
        <f>INDEX('19_Расчет_аналитики'!$C$1087:$C$1091,MIN(5,INT(41/12)+1),1)*'18_Календарь_тарифы'!AQ4</f>
        <v/>
      </c>
      <c r="AR1817">
        <f>INDEX('19_Расчет_аналитики'!$C$1087:$C$1091,MIN(5,INT(42/12)+1),1)*'18_Календарь_тарифы'!AR4</f>
        <v/>
      </c>
      <c r="AS1817">
        <f>INDEX('19_Расчет_аналитики'!$C$1087:$C$1091,MIN(5,INT(43/12)+1),1)*'18_Календарь_тарифы'!AS4</f>
        <v/>
      </c>
      <c r="AT1817">
        <f>INDEX('19_Расчет_аналитики'!$C$1087:$C$1091,MIN(5,INT(44/12)+1),1)*'18_Календарь_тарифы'!AT4</f>
        <v/>
      </c>
      <c r="AU1817">
        <f>INDEX('19_Расчет_аналитики'!$C$1087:$C$1091,MIN(5,INT(45/12)+1),1)*'18_Календарь_тарифы'!AU4</f>
        <v/>
      </c>
      <c r="AV1817">
        <f>INDEX('19_Расчет_аналитики'!$C$1087:$C$1091,MIN(5,INT(46/12)+1),1)*'18_Календарь_тарифы'!AV4</f>
        <v/>
      </c>
      <c r="AW1817">
        <f>INDEX('19_Расчет_аналитики'!$C$1087:$C$1091,MIN(5,INT(47/12)+1),1)*'18_Календарь_тарифы'!AW4</f>
        <v/>
      </c>
      <c r="AX1817">
        <f>INDEX('19_Расчет_аналитики'!$C$1087:$C$1091,MIN(5,INT(48/12)+1),1)*'18_Календарь_тарифы'!AX4</f>
        <v/>
      </c>
      <c r="AY1817">
        <f>INDEX('19_Расчет_аналитики'!$C$1087:$C$1091,MIN(5,INT(49/12)+1),1)*'18_Календарь_тарифы'!AY4</f>
        <v/>
      </c>
      <c r="AZ1817">
        <f>INDEX('19_Расчет_аналитики'!$C$1087:$C$1091,MIN(5,INT(50/12)+1),1)*'18_Календарь_тарифы'!AZ4</f>
        <v/>
      </c>
      <c r="BA1817">
        <f>INDEX('19_Расчет_аналитики'!$C$1087:$C$1091,MIN(5,INT(51/12)+1),1)*'18_Календарь_тарифы'!BA4</f>
        <v/>
      </c>
      <c r="BB1817">
        <f>INDEX('19_Расчет_аналитики'!$C$1087:$C$1091,MIN(5,INT(52/12)+1),1)*'18_Календарь_тарифы'!BB4</f>
        <v/>
      </c>
      <c r="BC1817">
        <f>INDEX('19_Расчет_аналитики'!$C$1087:$C$1091,MIN(5,INT(53/12)+1),1)*'18_Календарь_тарифы'!BC4</f>
        <v/>
      </c>
      <c r="BD1817">
        <f>INDEX('19_Расчет_аналитики'!$C$1087:$C$1091,MIN(5,INT(54/12)+1),1)*'18_Календарь_тарифы'!BD4</f>
        <v/>
      </c>
      <c r="BE1817">
        <f>INDEX('19_Расчет_аналитики'!$C$1087:$C$1091,MIN(5,INT(55/12)+1),1)*'18_Календарь_тарифы'!BE4</f>
        <v/>
      </c>
      <c r="BF1817">
        <f>INDEX('19_Расчет_аналитики'!$C$1087:$C$1091,MIN(5,INT(56/12)+1),1)*'18_Календарь_тарифы'!BF4</f>
        <v/>
      </c>
      <c r="BG1817">
        <f>INDEX('19_Расчет_аналитики'!$C$1087:$C$1091,MIN(5,INT(57/12)+1),1)*'18_Календарь_тарифы'!BG4</f>
        <v/>
      </c>
      <c r="BH1817">
        <f>INDEX('19_Расчет_аналитики'!$C$1087:$C$1091,MIN(5,INT(58/12)+1),1)*'18_Календарь_тарифы'!BH4</f>
        <v/>
      </c>
      <c r="BI1817">
        <f>INDEX('19_Расчет_аналитики'!$C$1087:$C$1091,MIN(5,INT(59/12)+1),1)*'18_Календарь_тарифы'!BI4</f>
        <v/>
      </c>
      <c r="BJ1817">
        <f>INDEX('19_Расчет_аналитики'!$C$1087:$C$1091,MIN(5,INT(60/12)+1),1)*'18_Календарь_тарифы'!BJ4</f>
        <v/>
      </c>
      <c r="BK1817">
        <f>INDEX('19_Расчет_аналитики'!$C$1087:$C$1091,MIN(5,INT(61/12)+1),1)*'18_Календарь_тарифы'!BK4</f>
        <v/>
      </c>
      <c r="BL1817">
        <f>INDEX('19_Расчет_аналитики'!$C$1087:$C$1091,MIN(5,INT(62/12)+1),1)*'18_Календарь_тарифы'!BL4</f>
        <v/>
      </c>
      <c r="BM1817">
        <f>INDEX('19_Расчет_аналитики'!$C$1087:$C$1091,MIN(5,INT(63/12)+1),1)*'18_Календарь_тарифы'!BM4</f>
        <v/>
      </c>
      <c r="BN1817">
        <f>INDEX('19_Расчет_аналитики'!$C$1087:$C$1091,MIN(5,INT(64/12)+1),1)*'18_Календарь_тарифы'!BN4</f>
        <v/>
      </c>
      <c r="BO1817">
        <f>INDEX('19_Расчет_аналитики'!$C$1087:$C$1091,MIN(5,INT(65/12)+1),1)*'18_Календарь_тарифы'!BO4</f>
        <v/>
      </c>
    </row>
    <row r="1818">
      <c r="B1818">
        <f>'19_Расчет_аналитики'!$B$1075*'18_Календарь_тарифы'!B4</f>
        <v/>
      </c>
      <c r="C1818">
        <f>'19_Расчет_аналитики'!$B$1075*'18_Календарь_тарифы'!C4</f>
        <v/>
      </c>
      <c r="D1818">
        <f>'19_Расчет_аналитики'!$B$1075*'18_Календарь_тарифы'!D4</f>
        <v/>
      </c>
      <c r="E1818">
        <f>'19_Расчет_аналитики'!$B$1075*'18_Календарь_тарифы'!E4</f>
        <v/>
      </c>
      <c r="F1818">
        <f>'19_Расчет_аналитики'!$B$1075*'18_Календарь_тарифы'!F4</f>
        <v/>
      </c>
      <c r="G1818">
        <f>'19_Расчет_аналитики'!$B$1075*'18_Календарь_тарифы'!G4</f>
        <v/>
      </c>
      <c r="H1818">
        <f>'19_Расчет_аналитики'!$B$1075*'18_Календарь_тарифы'!H4</f>
        <v/>
      </c>
      <c r="I1818">
        <f>'19_Расчет_аналитики'!$B$1075*'18_Календарь_тарифы'!I4</f>
        <v/>
      </c>
      <c r="J1818">
        <f>'19_Расчет_аналитики'!$B$1075*'18_Календарь_тарифы'!J4</f>
        <v/>
      </c>
      <c r="K1818">
        <f>'19_Расчет_аналитики'!$B$1075*'18_Календарь_тарифы'!K4</f>
        <v/>
      </c>
      <c r="L1818">
        <f>'19_Расчет_аналитики'!$B$1075*'18_Календарь_тарифы'!L4</f>
        <v/>
      </c>
      <c r="M1818">
        <f>'19_Расчет_аналитики'!$B$1075*'18_Календарь_тарифы'!M4</f>
        <v/>
      </c>
      <c r="N1818">
        <f>'19_Расчет_аналитики'!$B$1075*'18_Календарь_тарифы'!N4</f>
        <v/>
      </c>
      <c r="O1818">
        <f>'19_Расчет_аналитики'!$B$1075*'18_Календарь_тарифы'!O4</f>
        <v/>
      </c>
      <c r="P1818">
        <f>'19_Расчет_аналитики'!$B$1075*'18_Календарь_тарифы'!P4</f>
        <v/>
      </c>
      <c r="Q1818">
        <f>'19_Расчет_аналитики'!$B$1075*'18_Календарь_тарифы'!Q4</f>
        <v/>
      </c>
      <c r="R1818">
        <f>'19_Расчет_аналитики'!$B$1075*'18_Календарь_тарифы'!R4</f>
        <v/>
      </c>
      <c r="S1818">
        <f>'19_Расчет_аналитики'!$B$1075*'18_Календарь_тарифы'!S4</f>
        <v/>
      </c>
      <c r="T1818">
        <f>'19_Расчет_аналитики'!$B$1075*'18_Календарь_тарифы'!T4</f>
        <v/>
      </c>
      <c r="U1818">
        <f>'19_Расчет_аналитики'!$B$1075*'18_Календарь_тарифы'!U4</f>
        <v/>
      </c>
      <c r="V1818">
        <f>'19_Расчет_аналитики'!$B$1075*'18_Календарь_тарифы'!V4</f>
        <v/>
      </c>
      <c r="W1818">
        <f>'19_Расчет_аналитики'!$B$1075*'18_Календарь_тарифы'!W4</f>
        <v/>
      </c>
      <c r="X1818">
        <f>'19_Расчет_аналитики'!$B$1075*'18_Календарь_тарифы'!X4</f>
        <v/>
      </c>
      <c r="Y1818">
        <f>'19_Расчет_аналитики'!$B$1075*'18_Календарь_тарифы'!Y4</f>
        <v/>
      </c>
      <c r="Z1818">
        <f>'19_Расчет_аналитики'!$B$1075*'18_Календарь_тарифы'!Z4</f>
        <v/>
      </c>
      <c r="AA1818">
        <f>'19_Расчет_аналитики'!$B$1075*'18_Календарь_тарифы'!AA4</f>
        <v/>
      </c>
      <c r="AB1818">
        <f>'19_Расчет_аналитики'!$B$1075*'18_Календарь_тарифы'!AB4</f>
        <v/>
      </c>
      <c r="AC1818">
        <f>'19_Расчет_аналитики'!$B$1075*'18_Календарь_тарифы'!AC4</f>
        <v/>
      </c>
      <c r="AD1818">
        <f>'19_Расчет_аналитики'!$B$1075*'18_Календарь_тарифы'!AD4</f>
        <v/>
      </c>
      <c r="AE1818">
        <f>'19_Расчет_аналитики'!$B$1075*'18_Календарь_тарифы'!AE4</f>
        <v/>
      </c>
      <c r="AF1818">
        <f>'19_Расчет_аналитики'!$B$1075*'18_Календарь_тарифы'!AF4</f>
        <v/>
      </c>
      <c r="AG1818">
        <f>'19_Расчет_аналитики'!$B$1075*'18_Календарь_тарифы'!AG4</f>
        <v/>
      </c>
      <c r="AH1818">
        <f>'19_Расчет_аналитики'!$B$1075*'18_Календарь_тарифы'!AH4</f>
        <v/>
      </c>
      <c r="AI1818">
        <f>'19_Расчет_аналитики'!$B$1075*'18_Календарь_тарифы'!AI4</f>
        <v/>
      </c>
      <c r="AJ1818">
        <f>'19_Расчет_аналитики'!$B$1075*'18_Календарь_тарифы'!AJ4</f>
        <v/>
      </c>
      <c r="AK1818">
        <f>'19_Расчет_аналитики'!$B$1075*'18_Календарь_тарифы'!AK4</f>
        <v/>
      </c>
      <c r="AL1818">
        <f>'19_Расчет_аналитики'!$B$1075*'18_Календарь_тарифы'!AL4</f>
        <v/>
      </c>
      <c r="AM1818">
        <f>'19_Расчет_аналитики'!$B$1075*'18_Календарь_тарифы'!AM4</f>
        <v/>
      </c>
      <c r="AN1818">
        <f>'19_Расчет_аналитики'!$B$1075*'18_Календарь_тарифы'!AN4</f>
        <v/>
      </c>
      <c r="AO1818">
        <f>'19_Расчет_аналитики'!$B$1075*'18_Календарь_тарифы'!AO4</f>
        <v/>
      </c>
      <c r="AP1818">
        <f>'19_Расчет_аналитики'!$B$1075*'18_Календарь_тарифы'!AP4</f>
        <v/>
      </c>
      <c r="AQ1818">
        <f>'19_Расчет_аналитики'!$B$1075*'18_Календарь_тарифы'!AQ4</f>
        <v/>
      </c>
      <c r="AR1818">
        <f>'19_Расчет_аналитики'!$B$1075*'18_Календарь_тарифы'!AR4</f>
        <v/>
      </c>
      <c r="AS1818">
        <f>'19_Расчет_аналитики'!$B$1075*'18_Календарь_тарифы'!AS4</f>
        <v/>
      </c>
      <c r="AT1818">
        <f>'19_Расчет_аналитики'!$B$1075*'18_Календарь_тарифы'!AT4</f>
        <v/>
      </c>
      <c r="AU1818">
        <f>'19_Расчет_аналитики'!$B$1075*'18_Календарь_тарифы'!AU4</f>
        <v/>
      </c>
      <c r="AV1818">
        <f>'19_Расчет_аналитики'!$B$1075*'18_Календарь_тарифы'!AV4</f>
        <v/>
      </c>
      <c r="AW1818">
        <f>'19_Расчет_аналитики'!$B$1075*'18_Календарь_тарифы'!AW4</f>
        <v/>
      </c>
      <c r="AX1818">
        <f>'19_Расчет_аналитики'!$B$1075*'18_Календарь_тарифы'!AX4</f>
        <v/>
      </c>
      <c r="AY1818">
        <f>'19_Расчет_аналитики'!$B$1075*'18_Календарь_тарифы'!AY4</f>
        <v/>
      </c>
      <c r="AZ1818">
        <f>'19_Расчет_аналитики'!$B$1075*'18_Календарь_тарифы'!AZ4</f>
        <v/>
      </c>
      <c r="BA1818">
        <f>'19_Расчет_аналитики'!$B$1075*'18_Календарь_тарифы'!BA4</f>
        <v/>
      </c>
      <c r="BB1818">
        <f>'19_Расчет_аналитики'!$B$1075*'18_Календарь_тарифы'!BB4</f>
        <v/>
      </c>
      <c r="BC1818">
        <f>'19_Расчет_аналитики'!$B$1075*'18_Календарь_тарифы'!BC4</f>
        <v/>
      </c>
      <c r="BD1818">
        <f>'19_Расчет_аналитики'!$B$1075*'18_Календарь_тарифы'!BD4</f>
        <v/>
      </c>
      <c r="BE1818">
        <f>'19_Расчет_аналитики'!$B$1075*'18_Календарь_тарифы'!BE4</f>
        <v/>
      </c>
      <c r="BF1818">
        <f>'19_Расчет_аналитики'!$B$1075*'18_Календарь_тарифы'!BF4</f>
        <v/>
      </c>
      <c r="BG1818">
        <f>'19_Расчет_аналитики'!$B$1075*'18_Календарь_тарифы'!BG4</f>
        <v/>
      </c>
      <c r="BH1818">
        <f>'19_Расчет_аналитики'!$B$1075*'18_Календарь_тарифы'!BH4</f>
        <v/>
      </c>
      <c r="BI1818">
        <f>'19_Расчет_аналитики'!$B$1075*'18_Календарь_тарифы'!BI4</f>
        <v/>
      </c>
      <c r="BJ1818">
        <f>'19_Расчет_аналитики'!$B$1075*'18_Календарь_тарифы'!BJ4</f>
        <v/>
      </c>
      <c r="BK1818">
        <f>'19_Расчет_аналитики'!$B$1075*'18_Календарь_тарифы'!BK4</f>
        <v/>
      </c>
      <c r="BL1818">
        <f>'19_Расчет_аналитики'!$B$1075*'18_Календарь_тарифы'!BL4</f>
        <v/>
      </c>
      <c r="BM1818">
        <f>'19_Расчет_аналитики'!$B$1075*'18_Календарь_тарифы'!BM4</f>
        <v/>
      </c>
      <c r="BN1818">
        <f>'19_Расчет_аналитики'!$B$1075*'18_Календарь_тарифы'!BN4</f>
        <v/>
      </c>
      <c r="BO1818">
        <f>'19_Расчет_аналитики'!$B$1075*'18_Календарь_тарифы'!BO4</f>
        <v/>
      </c>
    </row>
    <row r="1819"/>
    <row r="1820"/>
    <row r="1821">
      <c r="B1821">
        <f>'19_Расчет_аналитики'!$B$1050*'18_Календарь_тарифы'!B4</f>
        <v/>
      </c>
      <c r="C1821">
        <f>'19_Расчет_аналитики'!$B$1050*'18_Календарь_тарифы'!C4</f>
        <v/>
      </c>
      <c r="D1821">
        <f>'19_Расчет_аналитики'!$B$1050*'18_Календарь_тарифы'!D4</f>
        <v/>
      </c>
      <c r="E1821">
        <f>'19_Расчет_аналитики'!$B$1050*'18_Календарь_тарифы'!E4</f>
        <v/>
      </c>
      <c r="F1821">
        <f>'19_Расчет_аналитики'!$B$1050*'18_Календарь_тарифы'!F4</f>
        <v/>
      </c>
      <c r="G1821">
        <f>'19_Расчет_аналитики'!$B$1050*'18_Календарь_тарифы'!G4</f>
        <v/>
      </c>
      <c r="H1821">
        <f>'19_Расчет_аналитики'!$B$1050*'18_Календарь_тарифы'!H4</f>
        <v/>
      </c>
      <c r="I1821">
        <f>'19_Расчет_аналитики'!$B$1050*'18_Календарь_тарифы'!I4</f>
        <v/>
      </c>
      <c r="J1821">
        <f>'19_Расчет_аналитики'!$B$1050*'18_Календарь_тарифы'!J4</f>
        <v/>
      </c>
      <c r="K1821">
        <f>'19_Расчет_аналитики'!$B$1050*'18_Календарь_тарифы'!K4</f>
        <v/>
      </c>
      <c r="L1821">
        <f>'19_Расчет_аналитики'!$B$1050*'18_Календарь_тарифы'!L4</f>
        <v/>
      </c>
      <c r="M1821">
        <f>'19_Расчет_аналитики'!$B$1050*'18_Календарь_тарифы'!M4</f>
        <v/>
      </c>
      <c r="N1821">
        <f>'19_Расчет_аналитики'!$B$1050*'18_Календарь_тарифы'!N4</f>
        <v/>
      </c>
      <c r="O1821">
        <f>'19_Расчет_аналитики'!$B$1050*'18_Календарь_тарифы'!O4</f>
        <v/>
      </c>
      <c r="P1821">
        <f>'19_Расчет_аналитики'!$B$1050*'18_Календарь_тарифы'!P4</f>
        <v/>
      </c>
      <c r="Q1821">
        <f>'19_Расчет_аналитики'!$B$1050*'18_Календарь_тарифы'!Q4</f>
        <v/>
      </c>
      <c r="R1821">
        <f>'19_Расчет_аналитики'!$B$1050*'18_Календарь_тарифы'!R4</f>
        <v/>
      </c>
      <c r="S1821">
        <f>'19_Расчет_аналитики'!$B$1050*'18_Календарь_тарифы'!S4</f>
        <v/>
      </c>
      <c r="T1821">
        <f>'19_Расчет_аналитики'!$B$1050*'18_Календарь_тарифы'!T4</f>
        <v/>
      </c>
      <c r="U1821">
        <f>'19_Расчет_аналитики'!$B$1050*'18_Календарь_тарифы'!U4</f>
        <v/>
      </c>
      <c r="V1821">
        <f>'19_Расчет_аналитики'!$B$1050*'18_Календарь_тарифы'!V4</f>
        <v/>
      </c>
      <c r="W1821">
        <f>'19_Расчет_аналитики'!$B$1050*'18_Календарь_тарифы'!W4</f>
        <v/>
      </c>
      <c r="X1821">
        <f>'19_Расчет_аналитики'!$B$1050*'18_Календарь_тарифы'!X4</f>
        <v/>
      </c>
      <c r="Y1821">
        <f>'19_Расчет_аналитики'!$B$1050*'18_Календарь_тарифы'!Y4</f>
        <v/>
      </c>
      <c r="Z1821">
        <f>'19_Расчет_аналитики'!$B$1050*'18_Календарь_тарифы'!Z4</f>
        <v/>
      </c>
      <c r="AA1821">
        <f>'19_Расчет_аналитики'!$B$1050*'18_Календарь_тарифы'!AA4</f>
        <v/>
      </c>
      <c r="AB1821">
        <f>'19_Расчет_аналитики'!$B$1050*'18_Календарь_тарифы'!AB4</f>
        <v/>
      </c>
      <c r="AC1821">
        <f>'19_Расчет_аналитики'!$B$1050*'18_Календарь_тарифы'!AC4</f>
        <v/>
      </c>
      <c r="AD1821">
        <f>'19_Расчет_аналитики'!$B$1050*'18_Календарь_тарифы'!AD4</f>
        <v/>
      </c>
      <c r="AE1821">
        <f>'19_Расчет_аналитики'!$B$1050*'18_Календарь_тарифы'!AE4</f>
        <v/>
      </c>
      <c r="AF1821">
        <f>'19_Расчет_аналитики'!$B$1050*'18_Календарь_тарифы'!AF4</f>
        <v/>
      </c>
      <c r="AG1821">
        <f>'19_Расчет_аналитики'!$B$1050*'18_Календарь_тарифы'!AG4</f>
        <v/>
      </c>
      <c r="AH1821">
        <f>'19_Расчет_аналитики'!$B$1050*'18_Календарь_тарифы'!AH4</f>
        <v/>
      </c>
      <c r="AI1821">
        <f>'19_Расчет_аналитики'!$B$1050*'18_Календарь_тарифы'!AI4</f>
        <v/>
      </c>
      <c r="AJ1821">
        <f>'19_Расчет_аналитики'!$B$1050*'18_Календарь_тарифы'!AJ4</f>
        <v/>
      </c>
      <c r="AK1821">
        <f>'19_Расчет_аналитики'!$B$1050*'18_Календарь_тарифы'!AK4</f>
        <v/>
      </c>
      <c r="AL1821">
        <f>'19_Расчет_аналитики'!$B$1050*'18_Календарь_тарифы'!AL4</f>
        <v/>
      </c>
      <c r="AM1821">
        <f>'19_Расчет_аналитики'!$B$1050*'18_Календарь_тарифы'!AM4</f>
        <v/>
      </c>
      <c r="AN1821">
        <f>'19_Расчет_аналитики'!$B$1050*'18_Календарь_тарифы'!AN4</f>
        <v/>
      </c>
      <c r="AO1821">
        <f>'19_Расчет_аналитики'!$B$1050*'18_Календарь_тарифы'!AO4</f>
        <v/>
      </c>
      <c r="AP1821">
        <f>'19_Расчет_аналитики'!$B$1050*'18_Календарь_тарифы'!AP4</f>
        <v/>
      </c>
      <c r="AQ1821">
        <f>'19_Расчет_аналитики'!$B$1050*'18_Календарь_тарифы'!AQ4</f>
        <v/>
      </c>
      <c r="AR1821">
        <f>'19_Расчет_аналитики'!$B$1050*'18_Календарь_тарифы'!AR4</f>
        <v/>
      </c>
      <c r="AS1821">
        <f>'19_Расчет_аналитики'!$B$1050*'18_Календарь_тарифы'!AS4</f>
        <v/>
      </c>
      <c r="AT1821">
        <f>'19_Расчет_аналитики'!$B$1050*'18_Календарь_тарифы'!AT4</f>
        <v/>
      </c>
      <c r="AU1821">
        <f>'19_Расчет_аналитики'!$B$1050*'18_Календарь_тарифы'!AU4</f>
        <v/>
      </c>
      <c r="AV1821">
        <f>'19_Расчет_аналитики'!$B$1050*'18_Календарь_тарифы'!AV4</f>
        <v/>
      </c>
      <c r="AW1821">
        <f>'19_Расчет_аналитики'!$B$1050*'18_Календарь_тарифы'!AW4</f>
        <v/>
      </c>
      <c r="AX1821">
        <f>'19_Расчет_аналитики'!$B$1050*'18_Календарь_тарифы'!AX4</f>
        <v/>
      </c>
      <c r="AY1821">
        <f>'19_Расчет_аналитики'!$B$1050*'18_Календарь_тарифы'!AY4</f>
        <v/>
      </c>
      <c r="AZ1821">
        <f>'19_Расчет_аналитики'!$B$1050*'18_Календарь_тарифы'!AZ4</f>
        <v/>
      </c>
      <c r="BA1821">
        <f>'19_Расчет_аналитики'!$B$1050*'18_Календарь_тарифы'!BA4</f>
        <v/>
      </c>
      <c r="BB1821">
        <f>'19_Расчет_аналитики'!$B$1050*'18_Календарь_тарифы'!BB4</f>
        <v/>
      </c>
      <c r="BC1821">
        <f>'19_Расчет_аналитики'!$B$1050*'18_Календарь_тарифы'!BC4</f>
        <v/>
      </c>
      <c r="BD1821">
        <f>'19_Расчет_аналитики'!$B$1050*'18_Календарь_тарифы'!BD4</f>
        <v/>
      </c>
      <c r="BE1821">
        <f>'19_Расчет_аналитики'!$B$1050*'18_Календарь_тарифы'!BE4</f>
        <v/>
      </c>
      <c r="BF1821">
        <f>'19_Расчет_аналитики'!$B$1050*'18_Календарь_тарифы'!BF4</f>
        <v/>
      </c>
      <c r="BG1821">
        <f>'19_Расчет_аналитики'!$B$1050*'18_Календарь_тарифы'!BG4</f>
        <v/>
      </c>
      <c r="BH1821">
        <f>'19_Расчет_аналитики'!$B$1050*'18_Календарь_тарифы'!BH4</f>
        <v/>
      </c>
      <c r="BI1821">
        <f>'19_Расчет_аналитики'!$B$1050*'18_Календарь_тарифы'!BI4</f>
        <v/>
      </c>
      <c r="BJ1821">
        <f>'19_Расчет_аналитики'!$B$1050*'18_Календарь_тарифы'!BJ4</f>
        <v/>
      </c>
      <c r="BK1821">
        <f>'19_Расчет_аналитики'!$B$1050*'18_Календарь_тарифы'!BK4</f>
        <v/>
      </c>
      <c r="BL1821">
        <f>'19_Расчет_аналитики'!$B$1050*'18_Календарь_тарифы'!BL4</f>
        <v/>
      </c>
      <c r="BM1821">
        <f>'19_Расчет_аналитики'!$B$1050*'18_Календарь_тарифы'!BM4</f>
        <v/>
      </c>
      <c r="BN1821">
        <f>'19_Расчет_аналитики'!$B$1050*'18_Календарь_тарифы'!BN4</f>
        <v/>
      </c>
      <c r="BO1821">
        <f>'19_Расчет_аналитики'!$B$1050*'18_Календарь_тарифы'!BO4</f>
        <v/>
      </c>
    </row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>
      <c r="A2027" t="inlineStr">
        <is>
          <t>Positive</t>
        </is>
      </c>
    </row>
    <row r="2028"/>
    <row r="2029">
      <c r="B2029">
        <f>'01_Вводные'!E198</f>
        <v/>
      </c>
      <c r="C2029">
        <f>'01_Вводные'!E199</f>
        <v/>
      </c>
      <c r="D2029">
        <f>'01_Вводные'!E200</f>
        <v/>
      </c>
      <c r="E2029">
        <f>'01_Вводные'!E201</f>
        <v/>
      </c>
      <c r="F2029">
        <f>'01_Вводные'!E202</f>
        <v/>
      </c>
      <c r="G2029">
        <f>'01_Вводные'!E203</f>
        <v/>
      </c>
    </row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>
      <c r="B2054">
        <f>'01_Вводные'!$B$225*'19_Расчет_аналитики'!$F$2239</f>
        <v/>
      </c>
    </row>
    <row r="2055"/>
    <row r="2056">
      <c r="B2056">
        <f>MAX(0,MIN(1,(30-'19_Расчет_аналитики'!B2054)/30))</f>
        <v/>
      </c>
    </row>
    <row r="2057"/>
    <row r="2058"/>
    <row r="2059"/>
    <row r="2060"/>
    <row r="2061"/>
    <row r="2062">
      <c r="B2062">
        <f>'01_Вводные'!$B$224*'19_Расчет_аналитики'!$F$2238</f>
        <v/>
      </c>
    </row>
    <row r="2063"/>
    <row r="2064"/>
    <row r="2065"/>
    <row r="2066"/>
    <row r="2067"/>
    <row r="2068"/>
    <row r="2069"/>
    <row r="2070"/>
    <row r="2071"/>
    <row r="2072">
      <c r="B2072">
        <f>'01_Вводные'!$B$210*'19_Расчет_аналитики'!$F$2234</f>
        <v/>
      </c>
    </row>
    <row r="2073">
      <c r="B2073">
        <f>'01_Вводные'!$B$211*'19_Расчет_аналитики'!$F$2234</f>
        <v/>
      </c>
    </row>
    <row r="2074">
      <c r="B2074">
        <f>'01_Вводные'!$B$212*'19_Расчет_аналитики'!$F$2234</f>
        <v/>
      </c>
    </row>
    <row r="2075">
      <c r="B2075">
        <f>'01_Вводные'!$B$213*'19_Расчет_аналитики'!$F$2234</f>
        <v/>
      </c>
    </row>
    <row r="2076">
      <c r="B2076">
        <f>'01_Вводные'!$B$214*'19_Расчет_аналитики'!$F$2234</f>
        <v/>
      </c>
    </row>
    <row r="2077"/>
    <row r="2078"/>
    <row r="2079"/>
    <row r="2080"/>
    <row r="2081"/>
    <row r="2082">
      <c r="B2082">
        <f>'01_Вводные'!$B$215*'19_Расчет_аналитики'!$F$2235</f>
        <v/>
      </c>
    </row>
    <row r="2083">
      <c r="B2083">
        <f>'01_Вводные'!$B$216*'19_Расчет_аналитики'!$F$2235</f>
        <v/>
      </c>
    </row>
    <row r="2084"/>
    <row r="2085"/>
    <row r="2086"/>
    <row r="2087">
      <c r="B2087">
        <f>'01_Вводные'!$B$217*'19_Расчет_аналитики'!$F$2236</f>
        <v/>
      </c>
    </row>
    <row r="2088"/>
    <row r="2089"/>
    <row r="2090"/>
    <row r="2091"/>
    <row r="2092"/>
    <row r="2093"/>
    <row r="2094"/>
    <row r="2095"/>
    <row r="2096"/>
    <row r="2097"/>
    <row r="2098"/>
    <row r="2099">
      <c r="C2099">
        <f>'01_Вводные'!$B$218*'19_Расчет_аналитики'!$F$2236</f>
        <v/>
      </c>
    </row>
    <row r="2100">
      <c r="C2100">
        <f>'01_Вводные'!$B$219*'19_Расчет_аналитики'!$F$2236</f>
        <v/>
      </c>
    </row>
    <row r="2101">
      <c r="C2101">
        <f>'01_Вводные'!$B$220*'19_Расчет_аналитики'!$F$2236</f>
        <v/>
      </c>
    </row>
    <row r="2102">
      <c r="C2102">
        <f>'01_Вводные'!$B$221*'19_Расчет_аналитики'!$F$2236</f>
        <v/>
      </c>
    </row>
    <row r="2103">
      <c r="C2103">
        <f>'01_Вводные'!$B$222*'19_Расчет_аналитики'!$F$2236</f>
        <v/>
      </c>
    </row>
    <row r="2104"/>
    <row r="2105"/>
    <row r="2106"/>
    <row r="2107"/>
    <row r="2108"/>
    <row r="2109"/>
    <row r="2110">
      <c r="B2110">
        <f>'01_Вводные'!$B$223*'19_Расчет_аналитики'!$F$2237</f>
        <v/>
      </c>
    </row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>
      <c r="F2234">
        <f>'19_Расчет_аналитики'!$B$2029</f>
        <v/>
      </c>
    </row>
    <row r="2235">
      <c r="F2235">
        <f>'19_Расчет_аналитики'!$C$2029</f>
        <v/>
      </c>
    </row>
    <row r="2236">
      <c r="F2236">
        <f>'19_Расчет_аналитики'!$D$2029</f>
        <v/>
      </c>
    </row>
    <row r="2237">
      <c r="F2237">
        <f>'19_Расчет_аналитики'!$E$2029</f>
        <v/>
      </c>
    </row>
    <row r="2238">
      <c r="F2238">
        <f>'19_Расчет_аналитики'!$F$2029</f>
        <v/>
      </c>
    </row>
    <row r="2239">
      <c r="F2239">
        <f>'19_Расчет_аналитики'!$G$2029</f>
        <v/>
      </c>
    </row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>
      <c r="B2352">
        <f>'19_Расчет_аналитики'!B2072</f>
        <v/>
      </c>
      <c r="D2352">
        <f>SUM('19_Расчет_аналитики'!B2362:M2362)</f>
        <v/>
      </c>
      <c r="E2352">
        <f>ROUND('19_Расчет_аналитики'!D2352-'19_Расчет_аналитики'!B2352,8)</f>
        <v/>
      </c>
    </row>
    <row r="2353">
      <c r="B2353">
        <f>'19_Расчет_аналитики'!B2073</f>
        <v/>
      </c>
      <c r="D2353">
        <f>SUM('19_Расчет_аналитики'!N2362:Y2362)</f>
        <v/>
      </c>
      <c r="E2353">
        <f>ROUND('19_Расчет_аналитики'!D2353-'19_Расчет_аналитики'!B2353,8)</f>
        <v/>
      </c>
    </row>
    <row r="2354">
      <c r="B2354">
        <f>'19_Расчет_аналитики'!B2074</f>
        <v/>
      </c>
      <c r="D2354">
        <f>SUM('19_Расчет_аналитики'!Z2362:AK2362)</f>
        <v/>
      </c>
      <c r="E2354">
        <f>ROUND('19_Расчет_аналитики'!D2354-'19_Расчет_аналитики'!B2354,8)</f>
        <v/>
      </c>
    </row>
    <row r="2355">
      <c r="B2355">
        <f>'19_Расчет_аналитики'!B2075</f>
        <v/>
      </c>
      <c r="D2355">
        <f>SUM('19_Расчет_аналитики'!AL2362:AW2362)</f>
        <v/>
      </c>
      <c r="E2355">
        <f>ROUND('19_Расчет_аналитики'!D2355-'19_Расчет_аналитики'!B2355,8)</f>
        <v/>
      </c>
    </row>
    <row r="2356">
      <c r="B2356">
        <f>'19_Расчет_аналитики'!B2076</f>
        <v/>
      </c>
      <c r="D2356">
        <f>SUM('19_Расчет_аналитики'!AX2362:BI2362)</f>
        <v/>
      </c>
      <c r="E2356">
        <f>ROUND('19_Расчет_аналитики'!D2356-'19_Расчет_аналитики'!B2356,8)</f>
        <v/>
      </c>
    </row>
    <row r="2357"/>
    <row r="2358"/>
    <row r="2359"/>
    <row r="2360"/>
    <row r="2361"/>
    <row r="2362">
      <c r="B2362">
        <f>0</f>
        <v/>
      </c>
      <c r="C2362">
        <f>'19_Расчет_аналитики'!$B$2072*INDEX('01_Вводные'!$C$36:$N$36,1,MOD(MONTH('06_Сеть_и_дети'!C$3)-9,12)+1)/(SUM('01_Вводные'!$C$36:$N$36)-INDEX('01_Вводные'!$C$36:$N$36,1,MOD(MONTH('01_Вводные'!$B$7)-9,12)+1))</f>
        <v/>
      </c>
      <c r="D2362">
        <f>'19_Расчет_аналитики'!$B$2072*INDEX('01_Вводные'!$C$36:$N$36,1,MOD(MONTH('06_Сеть_и_дети'!D$3)-9,12)+1)/(SUM('01_Вводные'!$C$36:$N$36)-INDEX('01_Вводные'!$C$36:$N$36,1,MOD(MONTH('01_Вводные'!$B$7)-9,12)+1))</f>
        <v/>
      </c>
      <c r="E2362">
        <f>'19_Расчет_аналитики'!$B$2072*INDEX('01_Вводные'!$C$36:$N$36,1,MOD(MONTH('06_Сеть_и_дети'!E$3)-9,12)+1)/(SUM('01_Вводные'!$C$36:$N$36)-INDEX('01_Вводные'!$C$36:$N$36,1,MOD(MONTH('01_Вводные'!$B$7)-9,12)+1))</f>
        <v/>
      </c>
      <c r="F2362">
        <f>'19_Расчет_аналитики'!$B$2072*INDEX('01_Вводные'!$C$36:$N$36,1,MOD(MONTH('06_Сеть_и_дети'!F$3)-9,12)+1)/(SUM('01_Вводные'!$C$36:$N$36)-INDEX('01_Вводные'!$C$36:$N$36,1,MOD(MONTH('01_Вводные'!$B$7)-9,12)+1))</f>
        <v/>
      </c>
      <c r="G2362">
        <f>'19_Расчет_аналитики'!$B$2072*INDEX('01_Вводные'!$C$36:$N$36,1,MOD(MONTH('06_Сеть_и_дети'!G$3)-9,12)+1)/(SUM('01_Вводные'!$C$36:$N$36)-INDEX('01_Вводные'!$C$36:$N$36,1,MOD(MONTH('01_Вводные'!$B$7)-9,12)+1))</f>
        <v/>
      </c>
      <c r="H2362">
        <f>'19_Расчет_аналитики'!$B$2072*INDEX('01_Вводные'!$C$36:$N$36,1,MOD(MONTH('06_Сеть_и_дети'!H$3)-9,12)+1)/(SUM('01_Вводные'!$C$36:$N$36)-INDEX('01_Вводные'!$C$36:$N$36,1,MOD(MONTH('01_Вводные'!$B$7)-9,12)+1))</f>
        <v/>
      </c>
      <c r="I2362">
        <f>'19_Расчет_аналитики'!$B$2072*INDEX('01_Вводные'!$C$36:$N$36,1,MOD(MONTH('06_Сеть_и_дети'!I$3)-9,12)+1)/(SUM('01_Вводные'!$C$36:$N$36)-INDEX('01_Вводные'!$C$36:$N$36,1,MOD(MONTH('01_Вводные'!$B$7)-9,12)+1))</f>
        <v/>
      </c>
      <c r="J2362">
        <f>'19_Расчет_аналитики'!$B$2072*INDEX('01_Вводные'!$C$36:$N$36,1,MOD(MONTH('06_Сеть_и_дети'!J$3)-9,12)+1)/(SUM('01_Вводные'!$C$36:$N$36)-INDEX('01_Вводные'!$C$36:$N$36,1,MOD(MONTH('01_Вводные'!$B$7)-9,12)+1))</f>
        <v/>
      </c>
      <c r="K2362">
        <f>'19_Расчет_аналитики'!$B$2072*INDEX('01_Вводные'!$C$36:$N$36,1,MOD(MONTH('06_Сеть_и_дети'!K$3)-9,12)+1)/(SUM('01_Вводные'!$C$36:$N$36)-INDEX('01_Вводные'!$C$36:$N$36,1,MOD(MONTH('01_Вводные'!$B$7)-9,12)+1))</f>
        <v/>
      </c>
      <c r="L2362">
        <f>'19_Расчет_аналитики'!$B$2072*INDEX('01_Вводные'!$C$36:$N$36,1,MOD(MONTH('06_Сеть_и_дети'!L$3)-9,12)+1)/(SUM('01_Вводные'!$C$36:$N$36)-INDEX('01_Вводные'!$C$36:$N$36,1,MOD(MONTH('01_Вводные'!$B$7)-9,12)+1))</f>
        <v/>
      </c>
      <c r="M2362">
        <f>'19_Расчет_аналитики'!$B$2072*INDEX('01_Вводные'!$C$36:$N$36,1,MOD(MONTH('06_Сеть_и_дети'!M$3)-9,12)+1)/(SUM('01_Вводные'!$C$36:$N$36)-INDEX('01_Вводные'!$C$36:$N$36,1,MOD(MONTH('01_Вводные'!$B$7)-9,12)+1))</f>
        <v/>
      </c>
      <c r="N2362">
        <f>'19_Расчет_аналитики'!$B$2073*INDEX('01_Вводные'!$C$37:$N$37,1,MOD(MONTH('06_Сеть_и_дети'!N$3)-9,12)+1)/SUM('01_Вводные'!$C$37:$N$37)</f>
        <v/>
      </c>
      <c r="O2362">
        <f>'19_Расчет_аналитики'!$B$2073*INDEX('01_Вводные'!$C$37:$N$37,1,MOD(MONTH('06_Сеть_и_дети'!O$3)-9,12)+1)/SUM('01_Вводные'!$C$37:$N$37)</f>
        <v/>
      </c>
      <c r="P2362">
        <f>'19_Расчет_аналитики'!$B$2073*INDEX('01_Вводные'!$C$37:$N$37,1,MOD(MONTH('06_Сеть_и_дети'!P$3)-9,12)+1)/SUM('01_Вводные'!$C$37:$N$37)</f>
        <v/>
      </c>
      <c r="Q2362">
        <f>'19_Расчет_аналитики'!$B$2073*INDEX('01_Вводные'!$C$37:$N$37,1,MOD(MONTH('06_Сеть_и_дети'!Q$3)-9,12)+1)/SUM('01_Вводные'!$C$37:$N$37)</f>
        <v/>
      </c>
      <c r="R2362">
        <f>'19_Расчет_аналитики'!$B$2073*INDEX('01_Вводные'!$C$37:$N$37,1,MOD(MONTH('06_Сеть_и_дети'!R$3)-9,12)+1)/SUM('01_Вводные'!$C$37:$N$37)</f>
        <v/>
      </c>
      <c r="S2362">
        <f>'19_Расчет_аналитики'!$B$2073*INDEX('01_Вводные'!$C$37:$N$37,1,MOD(MONTH('06_Сеть_и_дети'!S$3)-9,12)+1)/SUM('01_Вводные'!$C$37:$N$37)</f>
        <v/>
      </c>
      <c r="T2362">
        <f>'19_Расчет_аналитики'!$B$2073*INDEX('01_Вводные'!$C$37:$N$37,1,MOD(MONTH('06_Сеть_и_дети'!T$3)-9,12)+1)/SUM('01_Вводные'!$C$37:$N$37)</f>
        <v/>
      </c>
      <c r="U2362">
        <f>'19_Расчет_аналитики'!$B$2073*INDEX('01_Вводные'!$C$37:$N$37,1,MOD(MONTH('06_Сеть_и_дети'!U$3)-9,12)+1)/SUM('01_Вводные'!$C$37:$N$37)</f>
        <v/>
      </c>
      <c r="V2362">
        <f>'19_Расчет_аналитики'!$B$2073*INDEX('01_Вводные'!$C$37:$N$37,1,MOD(MONTH('06_Сеть_и_дети'!V$3)-9,12)+1)/SUM('01_Вводные'!$C$37:$N$37)</f>
        <v/>
      </c>
      <c r="W2362">
        <f>'19_Расчет_аналитики'!$B$2073*INDEX('01_Вводные'!$C$37:$N$37,1,MOD(MONTH('06_Сеть_и_дети'!W$3)-9,12)+1)/SUM('01_Вводные'!$C$37:$N$37)</f>
        <v/>
      </c>
      <c r="X2362">
        <f>'19_Расчет_аналитики'!$B$2073*INDEX('01_Вводные'!$C$37:$N$37,1,MOD(MONTH('06_Сеть_и_дети'!X$3)-9,12)+1)/SUM('01_Вводные'!$C$37:$N$37)</f>
        <v/>
      </c>
      <c r="Y2362">
        <f>'19_Расчет_аналитики'!$B$2073*INDEX('01_Вводные'!$C$37:$N$37,1,MOD(MONTH('06_Сеть_и_дети'!Y$3)-9,12)+1)/SUM('01_Вводные'!$C$37:$N$37)</f>
        <v/>
      </c>
      <c r="Z2362">
        <f>'19_Расчет_аналитики'!$B$2074*INDEX('01_Вводные'!$C$38:$N$38,1,MOD(MONTH('06_Сеть_и_дети'!Z$3)-9,12)+1)/SUM('01_Вводные'!$C$38:$N$38)</f>
        <v/>
      </c>
      <c r="AA2362">
        <f>'19_Расчет_аналитики'!$B$2074*INDEX('01_Вводные'!$C$38:$N$38,1,MOD(MONTH('06_Сеть_и_дети'!AA$3)-9,12)+1)/SUM('01_Вводные'!$C$38:$N$38)</f>
        <v/>
      </c>
      <c r="AB2362">
        <f>'19_Расчет_аналитики'!$B$2074*INDEX('01_Вводные'!$C$38:$N$38,1,MOD(MONTH('06_Сеть_и_дети'!AB$3)-9,12)+1)/SUM('01_Вводные'!$C$38:$N$38)</f>
        <v/>
      </c>
      <c r="AC2362">
        <f>'19_Расчет_аналитики'!$B$2074*INDEX('01_Вводные'!$C$38:$N$38,1,MOD(MONTH('06_Сеть_и_дети'!AC$3)-9,12)+1)/SUM('01_Вводные'!$C$38:$N$38)</f>
        <v/>
      </c>
      <c r="AD2362">
        <f>'19_Расчет_аналитики'!$B$2074*INDEX('01_Вводные'!$C$38:$N$38,1,MOD(MONTH('06_Сеть_и_дети'!AD$3)-9,12)+1)/SUM('01_Вводные'!$C$38:$N$38)</f>
        <v/>
      </c>
      <c r="AE2362">
        <f>'19_Расчет_аналитики'!$B$2074*INDEX('01_Вводные'!$C$38:$N$38,1,MOD(MONTH('06_Сеть_и_дети'!AE$3)-9,12)+1)/SUM('01_Вводные'!$C$38:$N$38)</f>
        <v/>
      </c>
      <c r="AF2362">
        <f>'19_Расчет_аналитики'!$B$2074*INDEX('01_Вводные'!$C$38:$N$38,1,MOD(MONTH('06_Сеть_и_дети'!AF$3)-9,12)+1)/SUM('01_Вводные'!$C$38:$N$38)</f>
        <v/>
      </c>
      <c r="AG2362">
        <f>'19_Расчет_аналитики'!$B$2074*INDEX('01_Вводные'!$C$38:$N$38,1,MOD(MONTH('06_Сеть_и_дети'!AG$3)-9,12)+1)/SUM('01_Вводные'!$C$38:$N$38)</f>
        <v/>
      </c>
      <c r="AH2362">
        <f>'19_Расчет_аналитики'!$B$2074*INDEX('01_Вводные'!$C$38:$N$38,1,MOD(MONTH('06_Сеть_и_дети'!AH$3)-9,12)+1)/SUM('01_Вводные'!$C$38:$N$38)</f>
        <v/>
      </c>
      <c r="AI2362">
        <f>'19_Расчет_аналитики'!$B$2074*INDEX('01_Вводные'!$C$38:$N$38,1,MOD(MONTH('06_Сеть_и_дети'!AI$3)-9,12)+1)/SUM('01_Вводные'!$C$38:$N$38)</f>
        <v/>
      </c>
      <c r="AJ2362">
        <f>'19_Расчет_аналитики'!$B$2074*INDEX('01_Вводные'!$C$38:$N$38,1,MOD(MONTH('06_Сеть_и_дети'!AJ$3)-9,12)+1)/SUM('01_Вводные'!$C$38:$N$38)</f>
        <v/>
      </c>
      <c r="AK2362">
        <f>'19_Расчет_аналитики'!$B$2074*INDEX('01_Вводные'!$C$38:$N$38,1,MOD(MONTH('06_Сеть_и_дети'!AK$3)-9,12)+1)/SUM('01_Вводные'!$C$38:$N$38)</f>
        <v/>
      </c>
      <c r="AL2362">
        <f>'19_Расчет_аналитики'!$B$2075*INDEX('01_Вводные'!$C$39:$N$39,1,MOD(MONTH('06_Сеть_и_дети'!AL$3)-9,12)+1)/SUM('01_Вводные'!$C$39:$N$39)</f>
        <v/>
      </c>
      <c r="AM2362">
        <f>'19_Расчет_аналитики'!$B$2075*INDEX('01_Вводные'!$C$39:$N$39,1,MOD(MONTH('06_Сеть_и_дети'!AM$3)-9,12)+1)/SUM('01_Вводные'!$C$39:$N$39)</f>
        <v/>
      </c>
      <c r="AN2362">
        <f>'19_Расчет_аналитики'!$B$2075*INDEX('01_Вводные'!$C$39:$N$39,1,MOD(MONTH('06_Сеть_и_дети'!AN$3)-9,12)+1)/SUM('01_Вводные'!$C$39:$N$39)</f>
        <v/>
      </c>
      <c r="AO2362">
        <f>'19_Расчет_аналитики'!$B$2075*INDEX('01_Вводные'!$C$39:$N$39,1,MOD(MONTH('06_Сеть_и_дети'!AO$3)-9,12)+1)/SUM('01_Вводные'!$C$39:$N$39)</f>
        <v/>
      </c>
      <c r="AP2362">
        <f>'19_Расчет_аналитики'!$B$2075*INDEX('01_Вводные'!$C$39:$N$39,1,MOD(MONTH('06_Сеть_и_дети'!AP$3)-9,12)+1)/SUM('01_Вводные'!$C$39:$N$39)</f>
        <v/>
      </c>
      <c r="AQ2362">
        <f>'19_Расчет_аналитики'!$B$2075*INDEX('01_Вводные'!$C$39:$N$39,1,MOD(MONTH('06_Сеть_и_дети'!AQ$3)-9,12)+1)/SUM('01_Вводные'!$C$39:$N$39)</f>
        <v/>
      </c>
      <c r="AR2362">
        <f>'19_Расчет_аналитики'!$B$2075*INDEX('01_Вводные'!$C$39:$N$39,1,MOD(MONTH('06_Сеть_и_дети'!AR$3)-9,12)+1)/SUM('01_Вводные'!$C$39:$N$39)</f>
        <v/>
      </c>
      <c r="AS2362">
        <f>'19_Расчет_аналитики'!$B$2075*INDEX('01_Вводные'!$C$39:$N$39,1,MOD(MONTH('06_Сеть_и_дети'!AS$3)-9,12)+1)/SUM('01_Вводные'!$C$39:$N$39)</f>
        <v/>
      </c>
      <c r="AT2362">
        <f>'19_Расчет_аналитики'!$B$2075*INDEX('01_Вводные'!$C$39:$N$39,1,MOD(MONTH('06_Сеть_и_дети'!AT$3)-9,12)+1)/SUM('01_Вводные'!$C$39:$N$39)</f>
        <v/>
      </c>
      <c r="AU2362">
        <f>'19_Расчет_аналитики'!$B$2075*INDEX('01_Вводные'!$C$39:$N$39,1,MOD(MONTH('06_Сеть_и_дети'!AU$3)-9,12)+1)/SUM('01_Вводные'!$C$39:$N$39)</f>
        <v/>
      </c>
      <c r="AV2362">
        <f>'19_Расчет_аналитики'!$B$2075*INDEX('01_Вводные'!$C$39:$N$39,1,MOD(MONTH('06_Сеть_и_дети'!AV$3)-9,12)+1)/SUM('01_Вводные'!$C$39:$N$39)</f>
        <v/>
      </c>
      <c r="AW2362">
        <f>'19_Расчет_аналитики'!$B$2075*INDEX('01_Вводные'!$C$39:$N$39,1,MOD(MONTH('06_Сеть_и_дети'!AW$3)-9,12)+1)/SUM('01_Вводные'!$C$39:$N$39)</f>
        <v/>
      </c>
      <c r="AX2362">
        <f>'19_Расчет_аналитики'!$B$2076*INDEX('01_Вводные'!$C$40:$N$40,1,MOD(MONTH('06_Сеть_и_дети'!AX$3)-9,12)+1)/SUM('01_Вводные'!$C$40:$N$40)</f>
        <v/>
      </c>
      <c r="AY2362">
        <f>'19_Расчет_аналитики'!$B$2076*INDEX('01_Вводные'!$C$40:$N$40,1,MOD(MONTH('06_Сеть_и_дети'!AY$3)-9,12)+1)/SUM('01_Вводные'!$C$40:$N$40)</f>
        <v/>
      </c>
      <c r="AZ2362">
        <f>'19_Расчет_аналитики'!$B$2076*INDEX('01_Вводные'!$C$40:$N$40,1,MOD(MONTH('06_Сеть_и_дети'!AZ$3)-9,12)+1)/SUM('01_Вводные'!$C$40:$N$40)</f>
        <v/>
      </c>
      <c r="BA2362">
        <f>'19_Расчет_аналитики'!$B$2076*INDEX('01_Вводные'!$C$40:$N$40,1,MOD(MONTH('06_Сеть_и_дети'!BA$3)-9,12)+1)/SUM('01_Вводные'!$C$40:$N$40)</f>
        <v/>
      </c>
      <c r="BB2362">
        <f>'19_Расчет_аналитики'!$B$2076*INDEX('01_Вводные'!$C$40:$N$40,1,MOD(MONTH('06_Сеть_и_дети'!BB$3)-9,12)+1)/SUM('01_Вводные'!$C$40:$N$40)</f>
        <v/>
      </c>
      <c r="BC2362">
        <f>'19_Расчет_аналитики'!$B$2076*INDEX('01_Вводные'!$C$40:$N$40,1,MOD(MONTH('06_Сеть_и_дети'!BC$3)-9,12)+1)/SUM('01_Вводные'!$C$40:$N$40)</f>
        <v/>
      </c>
      <c r="BD2362">
        <f>'19_Расчет_аналитики'!$B$2076*INDEX('01_Вводные'!$C$40:$N$40,1,MOD(MONTH('06_Сеть_и_дети'!BD$3)-9,12)+1)/SUM('01_Вводные'!$C$40:$N$40)</f>
        <v/>
      </c>
      <c r="BE2362">
        <f>'19_Расчет_аналитики'!$B$2076*INDEX('01_Вводные'!$C$40:$N$40,1,MOD(MONTH('06_Сеть_и_дети'!BE$3)-9,12)+1)/SUM('01_Вводные'!$C$40:$N$40)</f>
        <v/>
      </c>
      <c r="BF2362">
        <f>'19_Расчет_аналитики'!$B$2076*INDEX('01_Вводные'!$C$40:$N$40,1,MOD(MONTH('06_Сеть_и_дети'!BF$3)-9,12)+1)/SUM('01_Вводные'!$C$40:$N$40)</f>
        <v/>
      </c>
      <c r="BG2362">
        <f>'19_Расчет_аналитики'!$B$2076*INDEX('01_Вводные'!$C$40:$N$40,1,MOD(MONTH('06_Сеть_и_дети'!BG$3)-9,12)+1)/SUM('01_Вводные'!$C$40:$N$40)</f>
        <v/>
      </c>
      <c r="BH2362">
        <f>'19_Расчет_аналитики'!$B$2076*INDEX('01_Вводные'!$C$40:$N$40,1,MOD(MONTH('06_Сеть_и_дети'!BH$3)-9,12)+1)/SUM('01_Вводные'!$C$40:$N$40)</f>
        <v/>
      </c>
      <c r="BI2362">
        <f>'19_Расчет_аналитики'!$B$2076*INDEX('01_Вводные'!$C$40:$N$40,1,MOD(MONTH('06_Сеть_и_дети'!BI$3)-9,12)+1)/SUM('01_Вводные'!$C$40:$N$40)</f>
        <v/>
      </c>
    </row>
    <row r="2363">
      <c r="A2363" t="inlineStr">
        <is>
          <t>Минимальный запас для возврата займа</t>
        </is>
      </c>
      <c r="B2363">
        <f>SUM(IF('01_Вводные'!$B$310&gt;=1,'19_Расчет_аналитики'!C2641,0),IF('01_Вводные'!$B$310&gt;=2,'19_Расчет_аналитики'!D2641,0),IF('01_Вводные'!$B$310&gt;=3,'19_Расчет_аналитики'!E2641,0),IF('01_Вводные'!$B$310&gt;=4,'19_Расчет_аналитики'!F2641,0),IF('01_Вводные'!$B$310&gt;=5,'19_Расчет_аналитики'!G2641,0),IF('01_Вводные'!$B$310&gt;=6,'19_Расчет_аналитики'!H2641,0))</f>
        <v/>
      </c>
      <c r="C2363">
        <f>SUM(IF('01_Вводные'!$B$310&gt;=1,'19_Расчет_аналитики'!D2641,0),IF('01_Вводные'!$B$310&gt;=2,'19_Расчет_аналитики'!E2641,0),IF('01_Вводные'!$B$310&gt;=3,'19_Расчет_аналитики'!F2641,0),IF('01_Вводные'!$B$310&gt;=4,'19_Расчет_аналитики'!G2641,0),IF('01_Вводные'!$B$310&gt;=5,'19_Расчет_аналитики'!H2641,0),IF('01_Вводные'!$B$310&gt;=6,'19_Расчет_аналитики'!I2641,0))</f>
        <v/>
      </c>
      <c r="D2363">
        <f>SUM(IF('01_Вводные'!$B$310&gt;=1,'19_Расчет_аналитики'!E2641,0),IF('01_Вводные'!$B$310&gt;=2,'19_Расчет_аналитики'!F2641,0),IF('01_Вводные'!$B$310&gt;=3,'19_Расчет_аналитики'!G2641,0),IF('01_Вводные'!$B$310&gt;=4,'19_Расчет_аналитики'!H2641,0),IF('01_Вводные'!$B$310&gt;=5,'19_Расчет_аналитики'!I2641,0),IF('01_Вводные'!$B$310&gt;=6,'19_Расчет_аналитики'!J2641,0))</f>
        <v/>
      </c>
      <c r="E2363">
        <f>SUM(IF('01_Вводные'!$B$310&gt;=1,'19_Расчет_аналитики'!F2641,0),IF('01_Вводные'!$B$310&gt;=2,'19_Расчет_аналитики'!G2641,0),IF('01_Вводные'!$B$310&gt;=3,'19_Расчет_аналитики'!H2641,0),IF('01_Вводные'!$B$310&gt;=4,'19_Расчет_аналитики'!I2641,0),IF('01_Вводные'!$B$310&gt;=5,'19_Расчет_аналитики'!J2641,0),IF('01_Вводные'!$B$310&gt;=6,'19_Расчет_аналитики'!K2641,0))</f>
        <v/>
      </c>
      <c r="F2363">
        <f>SUM(IF('01_Вводные'!$B$310&gt;=1,'19_Расчет_аналитики'!G2641,0),IF('01_Вводные'!$B$310&gt;=2,'19_Расчет_аналитики'!H2641,0),IF('01_Вводные'!$B$310&gt;=3,'19_Расчет_аналитики'!I2641,0),IF('01_Вводные'!$B$310&gt;=4,'19_Расчет_аналитики'!J2641,0),IF('01_Вводные'!$B$310&gt;=5,'19_Расчет_аналитики'!K2641,0),IF('01_Вводные'!$B$310&gt;=6,'19_Расчет_аналитики'!L2641,0))</f>
        <v/>
      </c>
      <c r="G2363">
        <f>SUM(IF('01_Вводные'!$B$310&gt;=1,'19_Расчет_аналитики'!H2641,0),IF('01_Вводные'!$B$310&gt;=2,'19_Расчет_аналитики'!I2641,0),IF('01_Вводные'!$B$310&gt;=3,'19_Расчет_аналитики'!J2641,0),IF('01_Вводные'!$B$310&gt;=4,'19_Расчет_аналитики'!K2641,0),IF('01_Вводные'!$B$310&gt;=5,'19_Расчет_аналитики'!L2641,0),IF('01_Вводные'!$B$310&gt;=6,'19_Расчет_аналитики'!M2641,0))</f>
        <v/>
      </c>
      <c r="H2363">
        <f>SUM(IF('01_Вводные'!$B$310&gt;=1,'19_Расчет_аналитики'!I2641,0),IF('01_Вводные'!$B$310&gt;=2,'19_Расчет_аналитики'!J2641,0),IF('01_Вводные'!$B$310&gt;=3,'19_Расчет_аналитики'!K2641,0),IF('01_Вводные'!$B$310&gt;=4,'19_Расчет_аналитики'!L2641,0),IF('01_Вводные'!$B$310&gt;=5,'19_Расчет_аналитики'!M2641,0),IF('01_Вводные'!$B$310&gt;=6,'19_Расчет_аналитики'!N2641,0))</f>
        <v/>
      </c>
      <c r="I2363">
        <f>SUM(IF('01_Вводные'!$B$310&gt;=1,'19_Расчет_аналитики'!J2641,0),IF('01_Вводные'!$B$310&gt;=2,'19_Расчет_аналитики'!K2641,0),IF('01_Вводные'!$B$310&gt;=3,'19_Расчет_аналитики'!L2641,0),IF('01_Вводные'!$B$310&gt;=4,'19_Расчет_аналитики'!M2641,0),IF('01_Вводные'!$B$310&gt;=5,'19_Расчет_аналитики'!N2641,0),IF('01_Вводные'!$B$310&gt;=6,'19_Расчет_аналитики'!O2641,0))</f>
        <v/>
      </c>
      <c r="J2363">
        <f>SUM(IF('01_Вводные'!$B$310&gt;=1,'19_Расчет_аналитики'!K2641,0),IF('01_Вводные'!$B$310&gt;=2,'19_Расчет_аналитики'!L2641,0),IF('01_Вводные'!$B$310&gt;=3,'19_Расчет_аналитики'!M2641,0),IF('01_Вводные'!$B$310&gt;=4,'19_Расчет_аналитики'!N2641,0),IF('01_Вводные'!$B$310&gt;=5,'19_Расчет_аналитики'!O2641,0),IF('01_Вводные'!$B$310&gt;=6,'19_Расчет_аналитики'!P2641,0))</f>
        <v/>
      </c>
      <c r="K2363">
        <f>SUM(IF('01_Вводные'!$B$310&gt;=1,'19_Расчет_аналитики'!L2641,0),IF('01_Вводные'!$B$310&gt;=2,'19_Расчет_аналитики'!M2641,0),IF('01_Вводные'!$B$310&gt;=3,'19_Расчет_аналитики'!N2641,0),IF('01_Вводные'!$B$310&gt;=4,'19_Расчет_аналитики'!O2641,0),IF('01_Вводные'!$B$310&gt;=5,'19_Расчет_аналитики'!P2641,0),IF('01_Вводные'!$B$310&gt;=6,'19_Расчет_аналитики'!Q2641,0))</f>
        <v/>
      </c>
      <c r="L2363">
        <f>SUM(IF('01_Вводные'!$B$310&gt;=1,'19_Расчет_аналитики'!M2641,0),IF('01_Вводные'!$B$310&gt;=2,'19_Расчет_аналитики'!N2641,0),IF('01_Вводные'!$B$310&gt;=3,'19_Расчет_аналитики'!O2641,0),IF('01_Вводные'!$B$310&gt;=4,'19_Расчет_аналитики'!P2641,0),IF('01_Вводные'!$B$310&gt;=5,'19_Расчет_аналитики'!Q2641,0),IF('01_Вводные'!$B$310&gt;=6,'19_Расчет_аналитики'!R2641,0))</f>
        <v/>
      </c>
      <c r="M2363">
        <f>SUM(IF('01_Вводные'!$B$310&gt;=1,'19_Расчет_аналитики'!N2641,0),IF('01_Вводные'!$B$310&gt;=2,'19_Расчет_аналитики'!O2641,0),IF('01_Вводные'!$B$310&gt;=3,'19_Расчет_аналитики'!P2641,0),IF('01_Вводные'!$B$310&gt;=4,'19_Расчет_аналитики'!Q2641,0),IF('01_Вводные'!$B$310&gt;=5,'19_Расчет_аналитики'!R2641,0),IF('01_Вводные'!$B$310&gt;=6,'19_Расчет_аналитики'!S2641,0))</f>
        <v/>
      </c>
      <c r="N2363">
        <f>SUM(IF('01_Вводные'!$B$310&gt;=1,'19_Расчет_аналитики'!O2641,0),IF('01_Вводные'!$B$310&gt;=2,'19_Расчет_аналитики'!P2641,0),IF('01_Вводные'!$B$310&gt;=3,'19_Расчет_аналитики'!Q2641,0),IF('01_Вводные'!$B$310&gt;=4,'19_Расчет_аналитики'!R2641,0),IF('01_Вводные'!$B$310&gt;=5,'19_Расчет_аналитики'!S2641,0),IF('01_Вводные'!$B$310&gt;=6,'19_Расчет_аналитики'!T2641,0))</f>
        <v/>
      </c>
      <c r="O2363">
        <f>SUM(IF('01_Вводные'!$B$310&gt;=1,'19_Расчет_аналитики'!P2641,0),IF('01_Вводные'!$B$310&gt;=2,'19_Расчет_аналитики'!Q2641,0),IF('01_Вводные'!$B$310&gt;=3,'19_Расчет_аналитики'!R2641,0),IF('01_Вводные'!$B$310&gt;=4,'19_Расчет_аналитики'!S2641,0),IF('01_Вводные'!$B$310&gt;=5,'19_Расчет_аналитики'!T2641,0),IF('01_Вводные'!$B$310&gt;=6,'19_Расчет_аналитики'!U2641,0))</f>
        <v/>
      </c>
      <c r="P2363">
        <f>SUM(IF('01_Вводные'!$B$310&gt;=1,'19_Расчет_аналитики'!Q2641,0),IF('01_Вводные'!$B$310&gt;=2,'19_Расчет_аналитики'!R2641,0),IF('01_Вводные'!$B$310&gt;=3,'19_Расчет_аналитики'!S2641,0),IF('01_Вводные'!$B$310&gt;=4,'19_Расчет_аналитики'!T2641,0),IF('01_Вводные'!$B$310&gt;=5,'19_Расчет_аналитики'!U2641,0),IF('01_Вводные'!$B$310&gt;=6,'19_Расчет_аналитики'!V2641,0))</f>
        <v/>
      </c>
      <c r="Q2363">
        <f>SUM(IF('01_Вводные'!$B$310&gt;=1,'19_Расчет_аналитики'!R2641,0),IF('01_Вводные'!$B$310&gt;=2,'19_Расчет_аналитики'!S2641,0),IF('01_Вводные'!$B$310&gt;=3,'19_Расчет_аналитики'!T2641,0),IF('01_Вводные'!$B$310&gt;=4,'19_Расчет_аналитики'!U2641,0),IF('01_Вводные'!$B$310&gt;=5,'19_Расчет_аналитики'!V2641,0),IF('01_Вводные'!$B$310&gt;=6,'19_Расчет_аналитики'!W2641,0))</f>
        <v/>
      </c>
      <c r="R2363">
        <f>SUM(IF('01_Вводные'!$B$310&gt;=1,'19_Расчет_аналитики'!S2641,0),IF('01_Вводные'!$B$310&gt;=2,'19_Расчет_аналитики'!T2641,0),IF('01_Вводные'!$B$310&gt;=3,'19_Расчет_аналитики'!U2641,0),IF('01_Вводные'!$B$310&gt;=4,'19_Расчет_аналитики'!V2641,0),IF('01_Вводные'!$B$310&gt;=5,'19_Расчет_аналитики'!W2641,0),IF('01_Вводные'!$B$310&gt;=6,'19_Расчет_аналитики'!X2641,0))</f>
        <v/>
      </c>
      <c r="S2363">
        <f>SUM(IF('01_Вводные'!$B$310&gt;=1,'19_Расчет_аналитики'!T2641,0),IF('01_Вводные'!$B$310&gt;=2,'19_Расчет_аналитики'!U2641,0),IF('01_Вводные'!$B$310&gt;=3,'19_Расчет_аналитики'!V2641,0),IF('01_Вводные'!$B$310&gt;=4,'19_Расчет_аналитики'!W2641,0),IF('01_Вводные'!$B$310&gt;=5,'19_Расчет_аналитики'!X2641,0),IF('01_Вводные'!$B$310&gt;=6,'19_Расчет_аналитики'!Y2641,0))</f>
        <v/>
      </c>
      <c r="T2363">
        <f>SUM(IF('01_Вводные'!$B$310&gt;=1,'19_Расчет_аналитики'!U2641,0),IF('01_Вводные'!$B$310&gt;=2,'19_Расчет_аналитики'!V2641,0),IF('01_Вводные'!$B$310&gt;=3,'19_Расчет_аналитики'!W2641,0),IF('01_Вводные'!$B$310&gt;=4,'19_Расчет_аналитики'!X2641,0),IF('01_Вводные'!$B$310&gt;=5,'19_Расчет_аналитики'!Y2641,0),IF('01_Вводные'!$B$310&gt;=6,'19_Расчет_аналитики'!Z2641,0))</f>
        <v/>
      </c>
      <c r="U2363">
        <f>SUM(IF('01_Вводные'!$B$310&gt;=1,'19_Расчет_аналитики'!V2641,0),IF('01_Вводные'!$B$310&gt;=2,'19_Расчет_аналитики'!W2641,0),IF('01_Вводные'!$B$310&gt;=3,'19_Расчет_аналитики'!X2641,0),IF('01_Вводные'!$B$310&gt;=4,'19_Расчет_аналитики'!Y2641,0),IF('01_Вводные'!$B$310&gt;=5,'19_Расчет_аналитики'!Z2641,0),IF('01_Вводные'!$B$310&gt;=6,'19_Расчет_аналитики'!AA2641,0))</f>
        <v/>
      </c>
      <c r="V2363">
        <f>SUM(IF('01_Вводные'!$B$310&gt;=1,'19_Расчет_аналитики'!W2641,0),IF('01_Вводные'!$B$310&gt;=2,'19_Расчет_аналитики'!X2641,0),IF('01_Вводные'!$B$310&gt;=3,'19_Расчет_аналитики'!Y2641,0),IF('01_Вводные'!$B$310&gt;=4,'19_Расчет_аналитики'!Z2641,0),IF('01_Вводные'!$B$310&gt;=5,'19_Расчет_аналитики'!AA2641,0),IF('01_Вводные'!$B$310&gt;=6,'19_Расчет_аналитики'!AB2641,0))</f>
        <v/>
      </c>
      <c r="W2363">
        <f>SUM(IF('01_Вводные'!$B$310&gt;=1,'19_Расчет_аналитики'!X2641,0),IF('01_Вводные'!$B$310&gt;=2,'19_Расчет_аналитики'!Y2641,0),IF('01_Вводные'!$B$310&gt;=3,'19_Расчет_аналитики'!Z2641,0),IF('01_Вводные'!$B$310&gt;=4,'19_Расчет_аналитики'!AA2641,0),IF('01_Вводные'!$B$310&gt;=5,'19_Расчет_аналитики'!AB2641,0),IF('01_Вводные'!$B$310&gt;=6,'19_Расчет_аналитики'!AC2641,0))</f>
        <v/>
      </c>
      <c r="X2363">
        <f>SUM(IF('01_Вводные'!$B$310&gt;=1,'19_Расчет_аналитики'!Y2641,0),IF('01_Вводные'!$B$310&gt;=2,'19_Расчет_аналитики'!Z2641,0),IF('01_Вводные'!$B$310&gt;=3,'19_Расчет_аналитики'!AA2641,0),IF('01_Вводные'!$B$310&gt;=4,'19_Расчет_аналитики'!AB2641,0),IF('01_Вводные'!$B$310&gt;=5,'19_Расчет_аналитики'!AC2641,0),IF('01_Вводные'!$B$310&gt;=6,'19_Расчет_аналитики'!AD2641,0))</f>
        <v/>
      </c>
      <c r="Y2363">
        <f>SUM(IF('01_Вводные'!$B$310&gt;=1,'19_Расчет_аналитики'!Z2641,0),IF('01_Вводные'!$B$310&gt;=2,'19_Расчет_аналитики'!AA2641,0),IF('01_Вводные'!$B$310&gt;=3,'19_Расчет_аналитики'!AB2641,0),IF('01_Вводные'!$B$310&gt;=4,'19_Расчет_аналитики'!AC2641,0),IF('01_Вводные'!$B$310&gt;=5,'19_Расчет_аналитики'!AD2641,0),IF('01_Вводные'!$B$310&gt;=6,'19_Расчет_аналитики'!AE2641,0))</f>
        <v/>
      </c>
      <c r="Z2363">
        <f>SUM(IF('01_Вводные'!$B$310&gt;=1,'19_Расчет_аналитики'!AA2641,0),IF('01_Вводные'!$B$310&gt;=2,'19_Расчет_аналитики'!AB2641,0),IF('01_Вводные'!$B$310&gt;=3,'19_Расчет_аналитики'!AC2641,0),IF('01_Вводные'!$B$310&gt;=4,'19_Расчет_аналитики'!AD2641,0),IF('01_Вводные'!$B$310&gt;=5,'19_Расчет_аналитики'!AE2641,0),IF('01_Вводные'!$B$310&gt;=6,'19_Расчет_аналитики'!AF2641,0))</f>
        <v/>
      </c>
      <c r="AA2363">
        <f>SUM(IF('01_Вводные'!$B$310&gt;=1,'19_Расчет_аналитики'!AB2641,0),IF('01_Вводные'!$B$310&gt;=2,'19_Расчет_аналитики'!AC2641,0),IF('01_Вводные'!$B$310&gt;=3,'19_Расчет_аналитики'!AD2641,0),IF('01_Вводные'!$B$310&gt;=4,'19_Расчет_аналитики'!AE2641,0),IF('01_Вводные'!$B$310&gt;=5,'19_Расчет_аналитики'!AF2641,0),IF('01_Вводные'!$B$310&gt;=6,'19_Расчет_аналитики'!AG2641,0))</f>
        <v/>
      </c>
      <c r="AB2363">
        <f>SUM(IF('01_Вводные'!$B$310&gt;=1,'19_Расчет_аналитики'!AC2641,0),IF('01_Вводные'!$B$310&gt;=2,'19_Расчет_аналитики'!AD2641,0),IF('01_Вводные'!$B$310&gt;=3,'19_Расчет_аналитики'!AE2641,0),IF('01_Вводные'!$B$310&gt;=4,'19_Расчет_аналитики'!AF2641,0),IF('01_Вводные'!$B$310&gt;=5,'19_Расчет_аналитики'!AG2641,0),IF('01_Вводные'!$B$310&gt;=6,'19_Расчет_аналитики'!AH2641,0))</f>
        <v/>
      </c>
      <c r="AC2363">
        <f>SUM(IF('01_Вводные'!$B$310&gt;=1,'19_Расчет_аналитики'!AD2641,0),IF('01_Вводные'!$B$310&gt;=2,'19_Расчет_аналитики'!AE2641,0),IF('01_Вводные'!$B$310&gt;=3,'19_Расчет_аналитики'!AF2641,0),IF('01_Вводные'!$B$310&gt;=4,'19_Расчет_аналитики'!AG2641,0),IF('01_Вводные'!$B$310&gt;=5,'19_Расчет_аналитики'!AH2641,0),IF('01_Вводные'!$B$310&gt;=6,'19_Расчет_аналитики'!AI2641,0))</f>
        <v/>
      </c>
      <c r="AD2363">
        <f>SUM(IF('01_Вводные'!$B$310&gt;=1,'19_Расчет_аналитики'!AE2641,0),IF('01_Вводные'!$B$310&gt;=2,'19_Расчет_аналитики'!AF2641,0),IF('01_Вводные'!$B$310&gt;=3,'19_Расчет_аналитики'!AG2641,0),IF('01_Вводные'!$B$310&gt;=4,'19_Расчет_аналитики'!AH2641,0),IF('01_Вводные'!$B$310&gt;=5,'19_Расчет_аналитики'!AI2641,0),IF('01_Вводные'!$B$310&gt;=6,'19_Расчет_аналитики'!AJ2641,0))</f>
        <v/>
      </c>
      <c r="AE2363">
        <f>SUM(IF('01_Вводные'!$B$310&gt;=1,'19_Расчет_аналитики'!AF2641,0),IF('01_Вводные'!$B$310&gt;=2,'19_Расчет_аналитики'!AG2641,0),IF('01_Вводные'!$B$310&gt;=3,'19_Расчет_аналитики'!AH2641,0),IF('01_Вводные'!$B$310&gt;=4,'19_Расчет_аналитики'!AI2641,0),IF('01_Вводные'!$B$310&gt;=5,'19_Расчет_аналитики'!AJ2641,0),IF('01_Вводные'!$B$310&gt;=6,'19_Расчет_аналитики'!AK2641,0))</f>
        <v/>
      </c>
      <c r="AF2363">
        <f>SUM(IF('01_Вводные'!$B$310&gt;=1,'19_Расчет_аналитики'!AG2641,0),IF('01_Вводные'!$B$310&gt;=2,'19_Расчет_аналитики'!AH2641,0),IF('01_Вводные'!$B$310&gt;=3,'19_Расчет_аналитики'!AI2641,0),IF('01_Вводные'!$B$310&gt;=4,'19_Расчет_аналитики'!AJ2641,0),IF('01_Вводные'!$B$310&gt;=5,'19_Расчет_аналитики'!AK2641,0),IF('01_Вводные'!$B$310&gt;=6,'19_Расчет_аналитики'!AL2641,0))</f>
        <v/>
      </c>
      <c r="AG2363">
        <f>SUM(IF('01_Вводные'!$B$310&gt;=1,'19_Расчет_аналитики'!AH2641,0),IF('01_Вводные'!$B$310&gt;=2,'19_Расчет_аналитики'!AI2641,0),IF('01_Вводные'!$B$310&gt;=3,'19_Расчет_аналитики'!AJ2641,0),IF('01_Вводные'!$B$310&gt;=4,'19_Расчет_аналитики'!AK2641,0),IF('01_Вводные'!$B$310&gt;=5,'19_Расчет_аналитики'!AL2641,0),IF('01_Вводные'!$B$310&gt;=6,'19_Расчет_аналитики'!AM2641,0))</f>
        <v/>
      </c>
      <c r="AH2363">
        <f>SUM(IF('01_Вводные'!$B$310&gt;=1,'19_Расчет_аналитики'!AI2641,0),IF('01_Вводные'!$B$310&gt;=2,'19_Расчет_аналитики'!AJ2641,0),IF('01_Вводные'!$B$310&gt;=3,'19_Расчет_аналитики'!AK2641,0),IF('01_Вводные'!$B$310&gt;=4,'19_Расчет_аналитики'!AL2641,0),IF('01_Вводные'!$B$310&gt;=5,'19_Расчет_аналитики'!AM2641,0),IF('01_Вводные'!$B$310&gt;=6,'19_Расчет_аналитики'!AN2641,0))</f>
        <v/>
      </c>
      <c r="AI2363">
        <f>SUM(IF('01_Вводные'!$B$310&gt;=1,'19_Расчет_аналитики'!AJ2641,0),IF('01_Вводные'!$B$310&gt;=2,'19_Расчет_аналитики'!AK2641,0),IF('01_Вводные'!$B$310&gt;=3,'19_Расчет_аналитики'!AL2641,0),IF('01_Вводные'!$B$310&gt;=4,'19_Расчет_аналитики'!AM2641,0),IF('01_Вводные'!$B$310&gt;=5,'19_Расчет_аналитики'!AN2641,0),IF('01_Вводные'!$B$310&gt;=6,'19_Расчет_аналитики'!AO2641,0))</f>
        <v/>
      </c>
      <c r="AJ2363">
        <f>SUM(IF('01_Вводные'!$B$310&gt;=1,'19_Расчет_аналитики'!AK2641,0),IF('01_Вводные'!$B$310&gt;=2,'19_Расчет_аналитики'!AL2641,0),IF('01_Вводные'!$B$310&gt;=3,'19_Расчет_аналитики'!AM2641,0),IF('01_Вводные'!$B$310&gt;=4,'19_Расчет_аналитики'!AN2641,0),IF('01_Вводные'!$B$310&gt;=5,'19_Расчет_аналитики'!AO2641,0),IF('01_Вводные'!$B$310&gt;=6,'19_Расчет_аналитики'!AP2641,0))</f>
        <v/>
      </c>
      <c r="AK2363">
        <f>SUM(IF('01_Вводные'!$B$310&gt;=1,'19_Расчет_аналитики'!AL2641,0),IF('01_Вводные'!$B$310&gt;=2,'19_Расчет_аналитики'!AM2641,0),IF('01_Вводные'!$B$310&gt;=3,'19_Расчет_аналитики'!AN2641,0),IF('01_Вводные'!$B$310&gt;=4,'19_Расчет_аналитики'!AO2641,0),IF('01_Вводные'!$B$310&gt;=5,'19_Расчет_аналитики'!AP2641,0),IF('01_Вводные'!$B$310&gt;=6,'19_Расчет_аналитики'!AQ2641,0))</f>
        <v/>
      </c>
      <c r="AL2363">
        <f>SUM(IF('01_Вводные'!$B$310&gt;=1,'19_Расчет_аналитики'!AM2641,0),IF('01_Вводные'!$B$310&gt;=2,'19_Расчет_аналитики'!AN2641,0),IF('01_Вводные'!$B$310&gt;=3,'19_Расчет_аналитики'!AO2641,0),IF('01_Вводные'!$B$310&gt;=4,'19_Расчет_аналитики'!AP2641,0),IF('01_Вводные'!$B$310&gt;=5,'19_Расчет_аналитики'!AQ2641,0),IF('01_Вводные'!$B$310&gt;=6,'19_Расчет_аналитики'!AR2641,0))</f>
        <v/>
      </c>
      <c r="AM2363">
        <f>SUM(IF('01_Вводные'!$B$310&gt;=1,'19_Расчет_аналитики'!AN2641,0),IF('01_Вводные'!$B$310&gt;=2,'19_Расчет_аналитики'!AO2641,0),IF('01_Вводные'!$B$310&gt;=3,'19_Расчет_аналитики'!AP2641,0),IF('01_Вводные'!$B$310&gt;=4,'19_Расчет_аналитики'!AQ2641,0),IF('01_Вводные'!$B$310&gt;=5,'19_Расчет_аналитики'!AR2641,0),IF('01_Вводные'!$B$310&gt;=6,'19_Расчет_аналитики'!AS2641,0))</f>
        <v/>
      </c>
      <c r="AN2363">
        <f>SUM(IF('01_Вводные'!$B$310&gt;=1,'19_Расчет_аналитики'!AO2641,0),IF('01_Вводные'!$B$310&gt;=2,'19_Расчет_аналитики'!AP2641,0),IF('01_Вводные'!$B$310&gt;=3,'19_Расчет_аналитики'!AQ2641,0),IF('01_Вводные'!$B$310&gt;=4,'19_Расчет_аналитики'!AR2641,0),IF('01_Вводные'!$B$310&gt;=5,'19_Расчет_аналитики'!AS2641,0),IF('01_Вводные'!$B$310&gt;=6,'19_Расчет_аналитики'!AT2641,0))</f>
        <v/>
      </c>
      <c r="AO2363">
        <f>SUM(IF('01_Вводные'!$B$310&gt;=1,'19_Расчет_аналитики'!AP2641,0),IF('01_Вводные'!$B$310&gt;=2,'19_Расчет_аналитики'!AQ2641,0),IF('01_Вводные'!$B$310&gt;=3,'19_Расчет_аналитики'!AR2641,0),IF('01_Вводные'!$B$310&gt;=4,'19_Расчет_аналитики'!AS2641,0),IF('01_Вводные'!$B$310&gt;=5,'19_Расчет_аналитики'!AT2641,0),IF('01_Вводные'!$B$310&gt;=6,'19_Расчет_аналитики'!AU2641,0))</f>
        <v/>
      </c>
      <c r="AP2363">
        <f>SUM(IF('01_Вводные'!$B$310&gt;=1,'19_Расчет_аналитики'!AQ2641,0),IF('01_Вводные'!$B$310&gt;=2,'19_Расчет_аналитики'!AR2641,0),IF('01_Вводные'!$B$310&gt;=3,'19_Расчет_аналитики'!AS2641,0),IF('01_Вводные'!$B$310&gt;=4,'19_Расчет_аналитики'!AT2641,0),IF('01_Вводные'!$B$310&gt;=5,'19_Расчет_аналитики'!AU2641,0),IF('01_Вводные'!$B$310&gt;=6,'19_Расчет_аналитики'!AV2641,0))</f>
        <v/>
      </c>
      <c r="AQ2363">
        <f>SUM(IF('01_Вводные'!$B$310&gt;=1,'19_Расчет_аналитики'!AR2641,0),IF('01_Вводные'!$B$310&gt;=2,'19_Расчет_аналитики'!AS2641,0),IF('01_Вводные'!$B$310&gt;=3,'19_Расчет_аналитики'!AT2641,0),IF('01_Вводные'!$B$310&gt;=4,'19_Расчет_аналитики'!AU2641,0),IF('01_Вводные'!$B$310&gt;=5,'19_Расчет_аналитики'!AV2641,0),IF('01_Вводные'!$B$310&gt;=6,'19_Расчет_аналитики'!AW2641,0))</f>
        <v/>
      </c>
      <c r="AR2363">
        <f>SUM(IF('01_Вводные'!$B$310&gt;=1,'19_Расчет_аналитики'!AS2641,0),IF('01_Вводные'!$B$310&gt;=2,'19_Расчет_аналитики'!AT2641,0),IF('01_Вводные'!$B$310&gt;=3,'19_Расчет_аналитики'!AU2641,0),IF('01_Вводные'!$B$310&gt;=4,'19_Расчет_аналитики'!AV2641,0),IF('01_Вводные'!$B$310&gt;=5,'19_Расчет_аналитики'!AW2641,0),IF('01_Вводные'!$B$310&gt;=6,'19_Расчет_аналитики'!AX2641,0))</f>
        <v/>
      </c>
      <c r="AS2363">
        <f>SUM(IF('01_Вводные'!$B$310&gt;=1,'19_Расчет_аналитики'!AT2641,0),IF('01_Вводные'!$B$310&gt;=2,'19_Расчет_аналитики'!AU2641,0),IF('01_Вводные'!$B$310&gt;=3,'19_Расчет_аналитики'!AV2641,0),IF('01_Вводные'!$B$310&gt;=4,'19_Расчет_аналитики'!AW2641,0),IF('01_Вводные'!$B$310&gt;=5,'19_Расчет_аналитики'!AX2641,0),IF('01_Вводные'!$B$310&gt;=6,'19_Расчет_аналитики'!AY2641,0))</f>
        <v/>
      </c>
      <c r="AT2363">
        <f>SUM(IF('01_Вводные'!$B$310&gt;=1,'19_Расчет_аналитики'!AU2641,0),IF('01_Вводные'!$B$310&gt;=2,'19_Расчет_аналитики'!AV2641,0),IF('01_Вводные'!$B$310&gt;=3,'19_Расчет_аналитики'!AW2641,0),IF('01_Вводные'!$B$310&gt;=4,'19_Расчет_аналитики'!AX2641,0),IF('01_Вводные'!$B$310&gt;=5,'19_Расчет_аналитики'!AY2641,0),IF('01_Вводные'!$B$310&gt;=6,'19_Расчет_аналитики'!AZ2641,0))</f>
        <v/>
      </c>
      <c r="AU2363">
        <f>SUM(IF('01_Вводные'!$B$310&gt;=1,'19_Расчет_аналитики'!AV2641,0),IF('01_Вводные'!$B$310&gt;=2,'19_Расчет_аналитики'!AW2641,0),IF('01_Вводные'!$B$310&gt;=3,'19_Расчет_аналитики'!AX2641,0),IF('01_Вводные'!$B$310&gt;=4,'19_Расчет_аналитики'!AY2641,0),IF('01_Вводные'!$B$310&gt;=5,'19_Расчет_аналитики'!AZ2641,0),IF('01_Вводные'!$B$310&gt;=6,'19_Расчет_аналитики'!BA2641,0))</f>
        <v/>
      </c>
      <c r="AV2363">
        <f>SUM(IF('01_Вводные'!$B$310&gt;=1,'19_Расчет_аналитики'!AW2641,0),IF('01_Вводные'!$B$310&gt;=2,'19_Расчет_аналитики'!AX2641,0),IF('01_Вводные'!$B$310&gt;=3,'19_Расчет_аналитики'!AY2641,0),IF('01_Вводные'!$B$310&gt;=4,'19_Расчет_аналитики'!AZ2641,0),IF('01_Вводные'!$B$310&gt;=5,'19_Расчет_аналитики'!BA2641,0),IF('01_Вводные'!$B$310&gt;=6,'19_Расчет_аналитики'!BB2641,0))</f>
        <v/>
      </c>
      <c r="AW2363">
        <f>SUM(IF('01_Вводные'!$B$310&gt;=1,'19_Расчет_аналитики'!AX2641,0),IF('01_Вводные'!$B$310&gt;=2,'19_Расчет_аналитики'!AY2641,0),IF('01_Вводные'!$B$310&gt;=3,'19_Расчет_аналитики'!AZ2641,0),IF('01_Вводные'!$B$310&gt;=4,'19_Расчет_аналитики'!BA2641,0),IF('01_Вводные'!$B$310&gt;=5,'19_Расчет_аналитики'!BB2641,0),IF('01_Вводные'!$B$310&gt;=6,'19_Расчет_аналитики'!BC2641,0))</f>
        <v/>
      </c>
      <c r="AX2363">
        <f>SUM(IF('01_Вводные'!$B$310&gt;=1,'19_Расчет_аналитики'!AY2641,0),IF('01_Вводные'!$B$310&gt;=2,'19_Расчет_аналитики'!AZ2641,0),IF('01_Вводные'!$B$310&gt;=3,'19_Расчет_аналитики'!BA2641,0),IF('01_Вводные'!$B$310&gt;=4,'19_Расчет_аналитики'!BB2641,0),IF('01_Вводные'!$B$310&gt;=5,'19_Расчет_аналитики'!BC2641,0),IF('01_Вводные'!$B$310&gt;=6,'19_Расчет_аналитики'!BD2641,0))</f>
        <v/>
      </c>
      <c r="AY2363">
        <f>SUM(IF('01_Вводные'!$B$310&gt;=1,'19_Расчет_аналитики'!AZ2641,0),IF('01_Вводные'!$B$310&gt;=2,'19_Расчет_аналитики'!BA2641,0),IF('01_Вводные'!$B$310&gt;=3,'19_Расчет_аналитики'!BB2641,0),IF('01_Вводные'!$B$310&gt;=4,'19_Расчет_аналитики'!BC2641,0),IF('01_Вводные'!$B$310&gt;=5,'19_Расчет_аналитики'!BD2641,0),IF('01_Вводные'!$B$310&gt;=6,'19_Расчет_аналитики'!BE2641,0))</f>
        <v/>
      </c>
      <c r="AZ2363">
        <f>SUM(IF('01_Вводные'!$B$310&gt;=1,'19_Расчет_аналитики'!BA2641,0),IF('01_Вводные'!$B$310&gt;=2,'19_Расчет_аналитики'!BB2641,0),IF('01_Вводные'!$B$310&gt;=3,'19_Расчет_аналитики'!BC2641,0),IF('01_Вводные'!$B$310&gt;=4,'19_Расчет_аналитики'!BD2641,0),IF('01_Вводные'!$B$310&gt;=5,'19_Расчет_аналитики'!BE2641,0),IF('01_Вводные'!$B$310&gt;=6,'19_Расчет_аналитики'!BF2641,0))</f>
        <v/>
      </c>
      <c r="BA2363">
        <f>SUM(IF('01_Вводные'!$B$310&gt;=1,'19_Расчет_аналитики'!BB2641,0),IF('01_Вводные'!$B$310&gt;=2,'19_Расчет_аналитики'!BC2641,0),IF('01_Вводные'!$B$310&gt;=3,'19_Расчет_аналитики'!BD2641,0),IF('01_Вводные'!$B$310&gt;=4,'19_Расчет_аналитики'!BE2641,0),IF('01_Вводные'!$B$310&gt;=5,'19_Расчет_аналитики'!BF2641,0),IF('01_Вводные'!$B$310&gt;=6,'19_Расчет_аналитики'!BG2641,0))</f>
        <v/>
      </c>
      <c r="BB2363">
        <f>SUM(IF('01_Вводные'!$B$310&gt;=1,'19_Расчет_аналитики'!BC2641,0),IF('01_Вводные'!$B$310&gt;=2,'19_Расчет_аналитики'!BD2641,0),IF('01_Вводные'!$B$310&gt;=3,'19_Расчет_аналитики'!BE2641,0),IF('01_Вводные'!$B$310&gt;=4,'19_Расчет_аналитики'!BF2641,0),IF('01_Вводные'!$B$310&gt;=5,'19_Расчет_аналитики'!BG2641,0),IF('01_Вводные'!$B$310&gt;=6,'19_Расчет_аналитики'!BH2641,0))</f>
        <v/>
      </c>
      <c r="BC2363">
        <f>SUM(IF('01_Вводные'!$B$310&gt;=1,'19_Расчет_аналитики'!BD2641,0),IF('01_Вводные'!$B$310&gt;=2,'19_Расчет_аналитики'!BE2641,0),IF('01_Вводные'!$B$310&gt;=3,'19_Расчет_аналитики'!BF2641,0),IF('01_Вводные'!$B$310&gt;=4,'19_Расчет_аналитики'!BG2641,0),IF('01_Вводные'!$B$310&gt;=5,'19_Расчет_аналитики'!BH2641,0),IF('01_Вводные'!$B$310&gt;=6,'19_Расчет_аналитики'!BI2641,0))</f>
        <v/>
      </c>
      <c r="BD2363">
        <f>SUM(IF('01_Вводные'!$B$310&gt;=1,'19_Расчет_аналитики'!BE2641,0),IF('01_Вводные'!$B$310&gt;=2,'19_Расчет_аналитики'!BF2641,0),IF('01_Вводные'!$B$310&gt;=3,'19_Расчет_аналитики'!BG2641,0),IF('01_Вводные'!$B$310&gt;=4,'19_Расчет_аналитики'!BH2641,0),IF('01_Вводные'!$B$310&gt;=5,'19_Расчет_аналитики'!BI2641,0),IF('01_Вводные'!$B$310&gt;=6,'19_Расчет_аналитики'!BJ2641,0))</f>
        <v/>
      </c>
      <c r="BE2363">
        <f>SUM(IF('01_Вводные'!$B$310&gt;=1,'19_Расчет_аналитики'!BF2641,0),IF('01_Вводные'!$B$310&gt;=2,'19_Расчет_аналитики'!BG2641,0),IF('01_Вводные'!$B$310&gt;=3,'19_Расчет_аналитики'!BH2641,0),IF('01_Вводные'!$B$310&gt;=4,'19_Расчет_аналитики'!BI2641,0),IF('01_Вводные'!$B$310&gt;=5,'19_Расчет_аналитики'!BJ2641,0),IF('01_Вводные'!$B$310&gt;=6,'19_Расчет_аналитики'!BK2641,0))</f>
        <v/>
      </c>
      <c r="BF2363">
        <f>SUM(IF('01_Вводные'!$B$310&gt;=1,'19_Расчет_аналитики'!BG2641,0),IF('01_Вводные'!$B$310&gt;=2,'19_Расчет_аналитики'!BH2641,0),IF('01_Вводные'!$B$310&gt;=3,'19_Расчет_аналитики'!BI2641,0),IF('01_Вводные'!$B$310&gt;=4,'19_Расчет_аналитики'!BJ2641,0),IF('01_Вводные'!$B$310&gt;=5,'19_Расчет_аналитики'!BK2641,0),IF('01_Вводные'!$B$310&gt;=6,'19_Расчет_аналитики'!BL2641,0))</f>
        <v/>
      </c>
      <c r="BG2363">
        <f>SUM(IF('01_Вводные'!$B$310&gt;=1,'19_Расчет_аналитики'!BH2641,0),IF('01_Вводные'!$B$310&gt;=2,'19_Расчет_аналитики'!BI2641,0),IF('01_Вводные'!$B$310&gt;=3,'19_Расчет_аналитики'!BJ2641,0),IF('01_Вводные'!$B$310&gt;=4,'19_Расчет_аналитики'!BK2641,0),IF('01_Вводные'!$B$310&gt;=5,'19_Расчет_аналитики'!BL2641,0),IF('01_Вводные'!$B$310&gt;=6,'19_Расчет_аналитики'!BM2641,0))</f>
        <v/>
      </c>
      <c r="BH2363">
        <f>SUM(IF('01_Вводные'!$B$310&gt;=1,'19_Расчет_аналитики'!BI2641,0),IF('01_Вводные'!$B$310&gt;=2,'19_Расчет_аналитики'!BJ2641,0),IF('01_Вводные'!$B$310&gt;=3,'19_Расчет_аналитики'!BK2641,0),IF('01_Вводные'!$B$310&gt;=4,'19_Расчет_аналитики'!BL2641,0),IF('01_Вводные'!$B$310&gt;=5,'19_Расчет_аналитики'!BM2641,0),IF('01_Вводные'!$B$310&gt;=6,'19_Расчет_аналитики'!BN2641,0))</f>
        <v/>
      </c>
      <c r="BI2363">
        <f>SUM(IF('01_Вводные'!$B$310&gt;=1,'19_Расчет_аналитики'!BJ2641,0),IF('01_Вводные'!$B$310&gt;=2,'19_Расчет_аналитики'!BK2641,0),IF('01_Вводные'!$B$310&gt;=3,'19_Расчет_аналитики'!BL2641,0),IF('01_Вводные'!$B$310&gt;=4,'19_Расчет_аналитики'!BM2641,0),IF('01_Вводные'!$B$310&gt;=5,'19_Расчет_аналитики'!BN2641,0),IF('01_Вводные'!$B$310&gt;=6,'19_Расчет_аналитики'!BO2641,0))</f>
        <v/>
      </c>
      <c r="BJ2363">
        <f>SUM(IF('01_Вводные'!$B$310&gt;=1,'19_Расчет_аналитики'!BK2641,0),IF('01_Вводные'!$B$310&gt;=2,'19_Расчет_аналитики'!BL2641,0),IF('01_Вводные'!$B$310&gt;=3,'19_Расчет_аналитики'!BM2641,0),IF('01_Вводные'!$B$310&gt;=4,'19_Расчет_аналитики'!BN2641,0),IF('01_Вводные'!$B$310&gt;=5,'19_Расчет_аналитики'!BO2641,0),IF('01_Вводные'!$B$310&gt;=6,'19_Расчет_аналитики'!BP2641,0))</f>
        <v/>
      </c>
      <c r="BK2363">
        <f>SUM(IF('01_Вводные'!$B$310&gt;=1,'19_Расчет_аналитики'!BL2641,0),IF('01_Вводные'!$B$310&gt;=2,'19_Расчет_аналитики'!BM2641,0),IF('01_Вводные'!$B$310&gt;=3,'19_Расчет_аналитики'!BN2641,0),IF('01_Вводные'!$B$310&gt;=4,'19_Расчет_аналитики'!BO2641,0),IF('01_Вводные'!$B$310&gt;=5,'19_Расчет_аналитики'!BP2641,0),IF('01_Вводные'!$B$310&gt;=6,'19_Расчет_аналитики'!BQ2641,0))</f>
        <v/>
      </c>
      <c r="BL2363">
        <f>SUM(IF('01_Вводные'!$B$310&gt;=1,'19_Расчет_аналитики'!BM2641,0),IF('01_Вводные'!$B$310&gt;=2,'19_Расчет_аналитики'!BN2641,0),IF('01_Вводные'!$B$310&gt;=3,'19_Расчет_аналитики'!BO2641,0),IF('01_Вводные'!$B$310&gt;=4,'19_Расчет_аналитики'!BP2641,0),IF('01_Вводные'!$B$310&gt;=5,'19_Расчет_аналитики'!BQ2641,0),IF('01_Вводные'!$B$310&gt;=6,'19_Расчет_аналитики'!BR2641,0))</f>
        <v/>
      </c>
      <c r="BM2363">
        <f>SUM(IF('01_Вводные'!$B$310&gt;=1,'19_Расчет_аналитики'!BN2641,0),IF('01_Вводные'!$B$310&gt;=2,'19_Расчет_аналитики'!BO2641,0),IF('01_Вводные'!$B$310&gt;=3,'19_Расчет_аналитики'!BP2641,0),IF('01_Вводные'!$B$310&gt;=4,'19_Расчет_аналитики'!BQ2641,0),IF('01_Вводные'!$B$310&gt;=5,'19_Расчет_аналитики'!BR2641,0),IF('01_Вводные'!$B$310&gt;=6,'19_Расчет_аналитики'!BS2641,0))</f>
        <v/>
      </c>
      <c r="BN2363">
        <f>SUM(IF('01_Вводные'!$B$310&gt;=1,'19_Расчет_аналитики'!BO2641,0),IF('01_Вводные'!$B$310&gt;=2,'19_Расчет_аналитики'!BP2641,0),IF('01_Вводные'!$B$310&gt;=3,'19_Расчет_аналитики'!BQ2641,0),IF('01_Вводные'!$B$310&gt;=4,'19_Расчет_аналитики'!BR2641,0),IF('01_Вводные'!$B$310&gt;=5,'19_Расчет_аналитики'!BS2641,0),IF('01_Вводные'!$B$310&gt;=6,'19_Расчет_аналитики'!BT2641,0))</f>
        <v/>
      </c>
      <c r="BO2363">
        <f>SUM(IF('01_Вводные'!$B$310&gt;=1,'19_Расчет_аналитики'!BP2641,0),IF('01_Вводные'!$B$310&gt;=2,'19_Расчет_аналитики'!BQ2641,0),IF('01_Вводные'!$B$310&gt;=3,'19_Расчет_аналитики'!BR2641,0),IF('01_Вводные'!$B$310&gt;=4,'19_Расчет_аналитики'!BS2641,0),IF('01_Вводные'!$B$310&gt;=5,'19_Расчет_аналитики'!BT2641,0),IF('01_Вводные'!$B$310&gt;=6,'19_Расчет_аналитики'!BU2641,0))</f>
        <v/>
      </c>
    </row>
    <row r="2364">
      <c r="C2364">
        <f>IF('01_Вводные'!$B$25&gt;0,ROUNDUP(ROUND('19_Расчет_аналитики'!C2362/'01_Вводные'!$B$25,10),0),0)</f>
        <v/>
      </c>
      <c r="D2364">
        <f>IF('01_Вводные'!$B$25&gt;0,ROUNDUP(ROUND('19_Расчет_аналитики'!D2362/'01_Вводные'!$B$25,10),0),0)</f>
        <v/>
      </c>
      <c r="E2364">
        <f>IF('01_Вводные'!$B$25&gt;0,ROUNDUP(ROUND('19_Расчет_аналитики'!E2362/'01_Вводные'!$B$25,10),0),0)</f>
        <v/>
      </c>
      <c r="F2364">
        <f>IF('01_Вводные'!$B$25&gt;0,ROUNDUP(ROUND('19_Расчет_аналитики'!F2362/'01_Вводные'!$B$25,10),0),0)</f>
        <v/>
      </c>
      <c r="G2364">
        <f>IF('01_Вводные'!$B$25&gt;0,ROUNDUP(ROUND('19_Расчет_аналитики'!G2362/'01_Вводные'!$B$25,10),0),0)</f>
        <v/>
      </c>
      <c r="H2364">
        <f>IF('01_Вводные'!$B$25&gt;0,ROUNDUP(ROUND('19_Расчет_аналитики'!H2362/'01_Вводные'!$B$25,10),0),0)</f>
        <v/>
      </c>
      <c r="I2364">
        <f>IF('01_Вводные'!$B$25&gt;0,ROUNDUP(ROUND('19_Расчет_аналитики'!I2362/'01_Вводные'!$B$25,10),0),0)</f>
        <v/>
      </c>
      <c r="J2364">
        <f>IF('01_Вводные'!$B$25&gt;0,ROUNDUP(ROUND('19_Расчет_аналитики'!J2362/'01_Вводные'!$B$25,10),0),0)</f>
        <v/>
      </c>
      <c r="K2364">
        <f>IF('01_Вводные'!$B$25&gt;0,ROUNDUP(ROUND('19_Расчет_аналитики'!K2362/'01_Вводные'!$B$25,10),0),0)</f>
        <v/>
      </c>
      <c r="L2364">
        <f>IF('01_Вводные'!$B$25&gt;0,ROUNDUP(ROUND('19_Расчет_аналитики'!L2362/'01_Вводные'!$B$25,10),0),0)</f>
        <v/>
      </c>
      <c r="M2364">
        <f>IF('01_Вводные'!$B$25&gt;0,ROUNDUP(ROUND('19_Расчет_аналитики'!M2362/'01_Вводные'!$B$25,10),0),0)</f>
        <v/>
      </c>
      <c r="N2364">
        <f>IF('01_Вводные'!$B$25&gt;0,ROUNDUP(ROUND('19_Расчет_аналитики'!N2362/'01_Вводные'!$B$25,10),0),0)</f>
        <v/>
      </c>
      <c r="O2364">
        <f>IF('01_Вводные'!$B$25&gt;0,ROUNDUP(ROUND('19_Расчет_аналитики'!O2362/'01_Вводные'!$B$25,10),0),0)</f>
        <v/>
      </c>
      <c r="P2364">
        <f>IF('01_Вводные'!$B$25&gt;0,ROUNDUP(ROUND('19_Расчет_аналитики'!P2362/'01_Вводные'!$B$25,10),0),0)</f>
        <v/>
      </c>
      <c r="Q2364">
        <f>IF('01_Вводные'!$B$25&gt;0,ROUNDUP(ROUND('19_Расчет_аналитики'!Q2362/'01_Вводные'!$B$25,10),0),0)</f>
        <v/>
      </c>
      <c r="R2364">
        <f>IF('01_Вводные'!$B$25&gt;0,ROUNDUP(ROUND('19_Расчет_аналитики'!R2362/'01_Вводные'!$B$25,10),0),0)</f>
        <v/>
      </c>
      <c r="S2364">
        <f>IF('01_Вводные'!$B$25&gt;0,ROUNDUP(ROUND('19_Расчет_аналитики'!S2362/'01_Вводные'!$B$25,10),0),0)</f>
        <v/>
      </c>
      <c r="T2364">
        <f>IF('01_Вводные'!$B$25&gt;0,ROUNDUP(ROUND('19_Расчет_аналитики'!T2362/'01_Вводные'!$B$25,10),0),0)</f>
        <v/>
      </c>
      <c r="U2364">
        <f>IF('01_Вводные'!$B$25&gt;0,ROUNDUP(ROUND('19_Расчет_аналитики'!U2362/'01_Вводные'!$B$25,10),0),0)</f>
        <v/>
      </c>
      <c r="V2364">
        <f>IF('01_Вводные'!$B$25&gt;0,ROUNDUP(ROUND('19_Расчет_аналитики'!V2362/'01_Вводные'!$B$25,10),0),0)</f>
        <v/>
      </c>
      <c r="W2364">
        <f>IF('01_Вводные'!$B$25&gt;0,ROUNDUP(ROUND('19_Расчет_аналитики'!W2362/'01_Вводные'!$B$25,10),0),0)</f>
        <v/>
      </c>
      <c r="X2364">
        <f>IF('01_Вводные'!$B$25&gt;0,ROUNDUP(ROUND('19_Расчет_аналитики'!X2362/'01_Вводные'!$B$25,10),0),0)</f>
        <v/>
      </c>
      <c r="Y2364">
        <f>IF('01_Вводные'!$B$25&gt;0,ROUNDUP(ROUND('19_Расчет_аналитики'!Y2362/'01_Вводные'!$B$25,10),0),0)</f>
        <v/>
      </c>
      <c r="Z2364">
        <f>IF('01_Вводные'!$B$25&gt;0,ROUNDUP(ROUND('19_Расчет_аналитики'!Z2362/'01_Вводные'!$B$25,10),0),0)</f>
        <v/>
      </c>
      <c r="AA2364">
        <f>IF('01_Вводные'!$B$25&gt;0,ROUNDUP(ROUND('19_Расчет_аналитики'!AA2362/'01_Вводные'!$B$25,10),0),0)</f>
        <v/>
      </c>
      <c r="AB2364">
        <f>IF('01_Вводные'!$B$25&gt;0,ROUNDUP(ROUND('19_Расчет_аналитики'!AB2362/'01_Вводные'!$B$25,10),0),0)</f>
        <v/>
      </c>
      <c r="AC2364">
        <f>IF('01_Вводные'!$B$25&gt;0,ROUNDUP(ROUND('19_Расчет_аналитики'!AC2362/'01_Вводные'!$B$25,10),0),0)</f>
        <v/>
      </c>
      <c r="AD2364">
        <f>IF('01_Вводные'!$B$25&gt;0,ROUNDUP(ROUND('19_Расчет_аналитики'!AD2362/'01_Вводные'!$B$25,10),0),0)</f>
        <v/>
      </c>
      <c r="AE2364">
        <f>IF('01_Вводные'!$B$25&gt;0,ROUNDUP(ROUND('19_Расчет_аналитики'!AE2362/'01_Вводные'!$B$25,10),0),0)</f>
        <v/>
      </c>
      <c r="AF2364">
        <f>IF('01_Вводные'!$B$25&gt;0,ROUNDUP(ROUND('19_Расчет_аналитики'!AF2362/'01_Вводные'!$B$25,10),0),0)</f>
        <v/>
      </c>
      <c r="AG2364">
        <f>IF('01_Вводные'!$B$25&gt;0,ROUNDUP(ROUND('19_Расчет_аналитики'!AG2362/'01_Вводные'!$B$25,10),0),0)</f>
        <v/>
      </c>
      <c r="AH2364">
        <f>IF('01_Вводные'!$B$25&gt;0,ROUNDUP(ROUND('19_Расчет_аналитики'!AH2362/'01_Вводные'!$B$25,10),0),0)</f>
        <v/>
      </c>
      <c r="AI2364">
        <f>IF('01_Вводные'!$B$25&gt;0,ROUNDUP(ROUND('19_Расчет_аналитики'!AI2362/'01_Вводные'!$B$25,10),0),0)</f>
        <v/>
      </c>
      <c r="AJ2364">
        <f>IF('01_Вводные'!$B$25&gt;0,ROUNDUP(ROUND('19_Расчет_аналитики'!AJ2362/'01_Вводные'!$B$25,10),0),0)</f>
        <v/>
      </c>
      <c r="AK2364">
        <f>IF('01_Вводные'!$B$25&gt;0,ROUNDUP(ROUND('19_Расчет_аналитики'!AK2362/'01_Вводные'!$B$25,10),0),0)</f>
        <v/>
      </c>
      <c r="AL2364">
        <f>IF('01_Вводные'!$B$25&gt;0,ROUNDUP(ROUND('19_Расчет_аналитики'!AL2362/'01_Вводные'!$B$25,10),0),0)</f>
        <v/>
      </c>
      <c r="AM2364">
        <f>IF('01_Вводные'!$B$25&gt;0,ROUNDUP(ROUND('19_Расчет_аналитики'!AM2362/'01_Вводные'!$B$25,10),0),0)</f>
        <v/>
      </c>
      <c r="AN2364">
        <f>IF('01_Вводные'!$B$25&gt;0,ROUNDUP(ROUND('19_Расчет_аналитики'!AN2362/'01_Вводные'!$B$25,10),0),0)</f>
        <v/>
      </c>
      <c r="AO2364">
        <f>IF('01_Вводные'!$B$25&gt;0,ROUNDUP(ROUND('19_Расчет_аналитики'!AO2362/'01_Вводные'!$B$25,10),0),0)</f>
        <v/>
      </c>
      <c r="AP2364">
        <f>IF('01_Вводные'!$B$25&gt;0,ROUNDUP(ROUND('19_Расчет_аналитики'!AP2362/'01_Вводные'!$B$25,10),0),0)</f>
        <v/>
      </c>
      <c r="AQ2364">
        <f>IF('01_Вводные'!$B$25&gt;0,ROUNDUP(ROUND('19_Расчет_аналитики'!AQ2362/'01_Вводные'!$B$25,10),0),0)</f>
        <v/>
      </c>
      <c r="AR2364">
        <f>IF('01_Вводные'!$B$25&gt;0,ROUNDUP(ROUND('19_Расчет_аналитики'!AR2362/'01_Вводные'!$B$25,10),0),0)</f>
        <v/>
      </c>
      <c r="AS2364">
        <f>IF('01_Вводные'!$B$25&gt;0,ROUNDUP(ROUND('19_Расчет_аналитики'!AS2362/'01_Вводные'!$B$25,10),0),0)</f>
        <v/>
      </c>
      <c r="AT2364">
        <f>IF('01_Вводные'!$B$25&gt;0,ROUNDUP(ROUND('19_Расчет_аналитики'!AT2362/'01_Вводные'!$B$25,10),0),0)</f>
        <v/>
      </c>
      <c r="AU2364">
        <f>IF('01_Вводные'!$B$25&gt;0,ROUNDUP(ROUND('19_Расчет_аналитики'!AU2362/'01_Вводные'!$B$25,10),0),0)</f>
        <v/>
      </c>
      <c r="AV2364">
        <f>IF('01_Вводные'!$B$25&gt;0,ROUNDUP(ROUND('19_Расчет_аналитики'!AV2362/'01_Вводные'!$B$25,10),0),0)</f>
        <v/>
      </c>
      <c r="AW2364">
        <f>IF('01_Вводные'!$B$25&gt;0,ROUNDUP(ROUND('19_Расчет_аналитики'!AW2362/'01_Вводные'!$B$25,10),0),0)</f>
        <v/>
      </c>
      <c r="AX2364">
        <f>IF('01_Вводные'!$B$25&gt;0,ROUNDUP(ROUND('19_Расчет_аналитики'!AX2362/'01_Вводные'!$B$25,10),0),0)</f>
        <v/>
      </c>
      <c r="AY2364">
        <f>IF('01_Вводные'!$B$25&gt;0,ROUNDUP(ROUND('19_Расчет_аналитики'!AY2362/'01_Вводные'!$B$25,10),0),0)</f>
        <v/>
      </c>
      <c r="AZ2364">
        <f>IF('01_Вводные'!$B$25&gt;0,ROUNDUP(ROUND('19_Расчет_аналитики'!AZ2362/'01_Вводные'!$B$25,10),0),0)</f>
        <v/>
      </c>
      <c r="BA2364">
        <f>IF('01_Вводные'!$B$25&gt;0,ROUNDUP(ROUND('19_Расчет_аналитики'!BA2362/'01_Вводные'!$B$25,10),0),0)</f>
        <v/>
      </c>
      <c r="BB2364">
        <f>IF('01_Вводные'!$B$25&gt;0,ROUNDUP(ROUND('19_Расчет_аналитики'!BB2362/'01_Вводные'!$B$25,10),0),0)</f>
        <v/>
      </c>
      <c r="BC2364">
        <f>IF('01_Вводные'!$B$25&gt;0,ROUNDUP(ROUND('19_Расчет_аналитики'!BC2362/'01_Вводные'!$B$25,10),0),0)</f>
        <v/>
      </c>
      <c r="BD2364">
        <f>IF('01_Вводные'!$B$25&gt;0,ROUNDUP(ROUND('19_Расчет_аналитики'!BD2362/'01_Вводные'!$B$25,10),0),0)</f>
        <v/>
      </c>
      <c r="BE2364">
        <f>IF('01_Вводные'!$B$25&gt;0,ROUNDUP(ROUND('19_Расчет_аналитики'!BE2362/'01_Вводные'!$B$25,10),0),0)</f>
        <v/>
      </c>
      <c r="BF2364">
        <f>IF('01_Вводные'!$B$25&gt;0,ROUNDUP(ROUND('19_Расчет_аналитики'!BF2362/'01_Вводные'!$B$25,10),0),0)</f>
        <v/>
      </c>
      <c r="BG2364">
        <f>IF('01_Вводные'!$B$25&gt;0,ROUNDUP(ROUND('19_Расчет_аналитики'!BG2362/'01_Вводные'!$B$25,10),0),0)</f>
        <v/>
      </c>
      <c r="BH2364">
        <f>IF('01_Вводные'!$B$25&gt;0,ROUNDUP(ROUND('19_Расчет_аналитики'!BH2362/'01_Вводные'!$B$25,10),0),0)</f>
        <v/>
      </c>
      <c r="BI2364">
        <f>IF('01_Вводные'!$B$25&gt;0,ROUNDUP(ROUND('19_Расчет_аналитики'!BI2362/'01_Вводные'!$B$25,10),0),0)</f>
        <v/>
      </c>
    </row>
    <row r="2365">
      <c r="B2365">
        <f>IF(1&lt;='01_Вводные'!$B$15,0,INDEX('19_Расчет_аналитики'!$B$2362:$BI$2362,1,1-'01_Вводные'!$B$15))*'01_Вводные'!$B$298</f>
        <v/>
      </c>
      <c r="C2365">
        <f>IF(2&lt;='01_Вводные'!$B$15,0,INDEX('19_Расчет_аналитики'!$B$2362:$BI$2362,1,2-'01_Вводные'!$B$15))*'01_Вводные'!$B$298</f>
        <v/>
      </c>
      <c r="D2365">
        <f>IF(3&lt;='01_Вводные'!$B$15,0,INDEX('19_Расчет_аналитики'!$B$2362:$BI$2362,1,3-'01_Вводные'!$B$15))*'01_Вводные'!$B$298</f>
        <v/>
      </c>
      <c r="E2365">
        <f>IF(4&lt;='01_Вводные'!$B$15,0,INDEX('19_Расчет_аналитики'!$B$2362:$BI$2362,1,4-'01_Вводные'!$B$15))*'01_Вводные'!$B$298</f>
        <v/>
      </c>
      <c r="F2365">
        <f>IF(5&lt;='01_Вводные'!$B$15,0,INDEX('19_Расчет_аналитики'!$B$2362:$BI$2362,1,5-'01_Вводные'!$B$15))*'01_Вводные'!$B$298</f>
        <v/>
      </c>
      <c r="G2365">
        <f>IF(6&lt;='01_Вводные'!$B$15,0,INDEX('19_Расчет_аналитики'!$B$2362:$BI$2362,1,6-'01_Вводные'!$B$15))*'01_Вводные'!$B$298</f>
        <v/>
      </c>
      <c r="H2365">
        <f>IF(7&lt;='01_Вводные'!$B$15,0,INDEX('19_Расчет_аналитики'!$B$2362:$BI$2362,1,7-'01_Вводные'!$B$15))*'01_Вводные'!$B$298</f>
        <v/>
      </c>
      <c r="I2365">
        <f>IF(8&lt;='01_Вводные'!$B$15,0,INDEX('19_Расчет_аналитики'!$B$2362:$BI$2362,1,8-'01_Вводные'!$B$15))*'01_Вводные'!$B$298</f>
        <v/>
      </c>
      <c r="J2365">
        <f>IF(9&lt;='01_Вводные'!$B$15,0,INDEX('19_Расчет_аналитики'!$B$2362:$BI$2362,1,9-'01_Вводные'!$B$15))*'01_Вводные'!$B$298</f>
        <v/>
      </c>
      <c r="K2365">
        <f>IF(10&lt;='01_Вводные'!$B$15,0,INDEX('19_Расчет_аналитики'!$B$2362:$BI$2362,1,10-'01_Вводные'!$B$15))*'01_Вводные'!$B$298</f>
        <v/>
      </c>
      <c r="L2365">
        <f>IF(11&lt;='01_Вводные'!$B$15,0,INDEX('19_Расчет_аналитики'!$B$2362:$BI$2362,1,11-'01_Вводные'!$B$15))*'01_Вводные'!$B$298</f>
        <v/>
      </c>
      <c r="M2365">
        <f>IF(12&lt;='01_Вводные'!$B$15,0,INDEX('19_Расчет_аналитики'!$B$2362:$BI$2362,1,12-'01_Вводные'!$B$15))*'01_Вводные'!$B$298</f>
        <v/>
      </c>
      <c r="N2365">
        <f>IF(13&lt;='01_Вводные'!$B$15,0,INDEX('19_Расчет_аналитики'!$B$2362:$BI$2362,1,13-'01_Вводные'!$B$15))*'01_Вводные'!$B$298</f>
        <v/>
      </c>
      <c r="O2365">
        <f>IF(14&lt;='01_Вводные'!$B$15,0,INDEX('19_Расчет_аналитики'!$B$2362:$BI$2362,1,14-'01_Вводные'!$B$15))*'01_Вводные'!$B$298</f>
        <v/>
      </c>
      <c r="P2365">
        <f>IF(15&lt;='01_Вводные'!$B$15,0,INDEX('19_Расчет_аналитики'!$B$2362:$BI$2362,1,15-'01_Вводные'!$B$15))*'01_Вводные'!$B$298</f>
        <v/>
      </c>
      <c r="Q2365">
        <f>IF(16&lt;='01_Вводные'!$B$15,0,INDEX('19_Расчет_аналитики'!$B$2362:$BI$2362,1,16-'01_Вводные'!$B$15))*'01_Вводные'!$B$298</f>
        <v/>
      </c>
      <c r="R2365">
        <f>IF(17&lt;='01_Вводные'!$B$15,0,INDEX('19_Расчет_аналитики'!$B$2362:$BI$2362,1,17-'01_Вводные'!$B$15))*'01_Вводные'!$B$298</f>
        <v/>
      </c>
      <c r="S2365">
        <f>IF(18&lt;='01_Вводные'!$B$15,0,INDEX('19_Расчет_аналитики'!$B$2362:$BI$2362,1,18-'01_Вводные'!$B$15))*'01_Вводные'!$B$298</f>
        <v/>
      </c>
      <c r="T2365">
        <f>IF(19&lt;='01_Вводные'!$B$15,0,INDEX('19_Расчет_аналитики'!$B$2362:$BI$2362,1,19-'01_Вводные'!$B$15))*'01_Вводные'!$B$298</f>
        <v/>
      </c>
      <c r="U2365">
        <f>IF(20&lt;='01_Вводные'!$B$15,0,INDEX('19_Расчет_аналитики'!$B$2362:$BI$2362,1,20-'01_Вводные'!$B$15))*'01_Вводные'!$B$298</f>
        <v/>
      </c>
      <c r="V2365">
        <f>IF(21&lt;='01_Вводные'!$B$15,0,INDEX('19_Расчет_аналитики'!$B$2362:$BI$2362,1,21-'01_Вводные'!$B$15))*'01_Вводные'!$B$298</f>
        <v/>
      </c>
      <c r="W2365">
        <f>IF(22&lt;='01_Вводные'!$B$15,0,INDEX('19_Расчет_аналитики'!$B$2362:$BI$2362,1,22-'01_Вводные'!$B$15))*'01_Вводные'!$B$298</f>
        <v/>
      </c>
      <c r="X2365">
        <f>IF(23&lt;='01_Вводные'!$B$15,0,INDEX('19_Расчет_аналитики'!$B$2362:$BI$2362,1,23-'01_Вводные'!$B$15))*'01_Вводные'!$B$298</f>
        <v/>
      </c>
      <c r="Y2365">
        <f>IF(24&lt;='01_Вводные'!$B$15,0,INDEX('19_Расчет_аналитики'!$B$2362:$BI$2362,1,24-'01_Вводные'!$B$15))*'01_Вводные'!$B$298</f>
        <v/>
      </c>
      <c r="Z2365">
        <f>IF(25&lt;='01_Вводные'!$B$15,0,INDEX('19_Расчет_аналитики'!$B$2362:$BI$2362,1,25-'01_Вводные'!$B$15))*'01_Вводные'!$B$298</f>
        <v/>
      </c>
      <c r="AA2365">
        <f>IF(26&lt;='01_Вводные'!$B$15,0,INDEX('19_Расчет_аналитики'!$B$2362:$BI$2362,1,26-'01_Вводные'!$B$15))*'01_Вводные'!$B$298</f>
        <v/>
      </c>
      <c r="AB2365">
        <f>IF(27&lt;='01_Вводные'!$B$15,0,INDEX('19_Расчет_аналитики'!$B$2362:$BI$2362,1,27-'01_Вводные'!$B$15))*'01_Вводные'!$B$298</f>
        <v/>
      </c>
      <c r="AC2365">
        <f>IF(28&lt;='01_Вводные'!$B$15,0,INDEX('19_Расчет_аналитики'!$B$2362:$BI$2362,1,28-'01_Вводные'!$B$15))*'01_Вводные'!$B$298</f>
        <v/>
      </c>
      <c r="AD2365">
        <f>IF(29&lt;='01_Вводные'!$B$15,0,INDEX('19_Расчет_аналитики'!$B$2362:$BI$2362,1,29-'01_Вводные'!$B$15))*'01_Вводные'!$B$298</f>
        <v/>
      </c>
      <c r="AE2365">
        <f>IF(30&lt;='01_Вводные'!$B$15,0,INDEX('19_Расчет_аналитики'!$B$2362:$BI$2362,1,30-'01_Вводные'!$B$15))*'01_Вводные'!$B$298</f>
        <v/>
      </c>
      <c r="AF2365">
        <f>IF(31&lt;='01_Вводные'!$B$15,0,INDEX('19_Расчет_аналитики'!$B$2362:$BI$2362,1,31-'01_Вводные'!$B$15))*'01_Вводные'!$B$298</f>
        <v/>
      </c>
      <c r="AG2365">
        <f>IF(32&lt;='01_Вводные'!$B$15,0,INDEX('19_Расчет_аналитики'!$B$2362:$BI$2362,1,32-'01_Вводные'!$B$15))*'01_Вводные'!$B$298</f>
        <v/>
      </c>
      <c r="AH2365">
        <f>IF(33&lt;='01_Вводные'!$B$15,0,INDEX('19_Расчет_аналитики'!$B$2362:$BI$2362,1,33-'01_Вводные'!$B$15))*'01_Вводные'!$B$298</f>
        <v/>
      </c>
      <c r="AI2365">
        <f>IF(34&lt;='01_Вводные'!$B$15,0,INDEX('19_Расчет_аналитики'!$B$2362:$BI$2362,1,34-'01_Вводные'!$B$15))*'01_Вводные'!$B$298</f>
        <v/>
      </c>
      <c r="AJ2365">
        <f>IF(35&lt;='01_Вводные'!$B$15,0,INDEX('19_Расчет_аналитики'!$B$2362:$BI$2362,1,35-'01_Вводные'!$B$15))*'01_Вводные'!$B$298</f>
        <v/>
      </c>
      <c r="AK2365">
        <f>IF(36&lt;='01_Вводные'!$B$15,0,INDEX('19_Расчет_аналитики'!$B$2362:$BI$2362,1,36-'01_Вводные'!$B$15))*'01_Вводные'!$B$298</f>
        <v/>
      </c>
      <c r="AL2365">
        <f>IF(37&lt;='01_Вводные'!$B$15,0,INDEX('19_Расчет_аналитики'!$B$2362:$BI$2362,1,37-'01_Вводные'!$B$15))*'01_Вводные'!$B$298</f>
        <v/>
      </c>
      <c r="AM2365">
        <f>IF(38&lt;='01_Вводные'!$B$15,0,INDEX('19_Расчет_аналитики'!$B$2362:$BI$2362,1,38-'01_Вводные'!$B$15))*'01_Вводные'!$B$298</f>
        <v/>
      </c>
      <c r="AN2365">
        <f>IF(39&lt;='01_Вводные'!$B$15,0,INDEX('19_Расчет_аналитики'!$B$2362:$BI$2362,1,39-'01_Вводные'!$B$15))*'01_Вводные'!$B$298</f>
        <v/>
      </c>
      <c r="AO2365">
        <f>IF(40&lt;='01_Вводные'!$B$15,0,INDEX('19_Расчет_аналитики'!$B$2362:$BI$2362,1,40-'01_Вводные'!$B$15))*'01_Вводные'!$B$298</f>
        <v/>
      </c>
      <c r="AP2365">
        <f>IF(41&lt;='01_Вводные'!$B$15,0,INDEX('19_Расчет_аналитики'!$B$2362:$BI$2362,1,41-'01_Вводные'!$B$15))*'01_Вводные'!$B$298</f>
        <v/>
      </c>
      <c r="AQ2365">
        <f>IF(42&lt;='01_Вводные'!$B$15,0,INDEX('19_Расчет_аналитики'!$B$2362:$BI$2362,1,42-'01_Вводные'!$B$15))*'01_Вводные'!$B$298</f>
        <v/>
      </c>
      <c r="AR2365">
        <f>IF(43&lt;='01_Вводные'!$B$15,0,INDEX('19_Расчет_аналитики'!$B$2362:$BI$2362,1,43-'01_Вводные'!$B$15))*'01_Вводные'!$B$298</f>
        <v/>
      </c>
      <c r="AS2365">
        <f>IF(44&lt;='01_Вводные'!$B$15,0,INDEX('19_Расчет_аналитики'!$B$2362:$BI$2362,1,44-'01_Вводные'!$B$15))*'01_Вводные'!$B$298</f>
        <v/>
      </c>
      <c r="AT2365">
        <f>IF(45&lt;='01_Вводные'!$B$15,0,INDEX('19_Расчет_аналитики'!$B$2362:$BI$2362,1,45-'01_Вводные'!$B$15))*'01_Вводные'!$B$298</f>
        <v/>
      </c>
      <c r="AU2365">
        <f>IF(46&lt;='01_Вводные'!$B$15,0,INDEX('19_Расчет_аналитики'!$B$2362:$BI$2362,1,46-'01_Вводные'!$B$15))*'01_Вводные'!$B$298</f>
        <v/>
      </c>
      <c r="AV2365">
        <f>IF(47&lt;='01_Вводные'!$B$15,0,INDEX('19_Расчет_аналитики'!$B$2362:$BI$2362,1,47-'01_Вводные'!$B$15))*'01_Вводные'!$B$298</f>
        <v/>
      </c>
      <c r="AW2365">
        <f>IF(48&lt;='01_Вводные'!$B$15,0,INDEX('19_Расчет_аналитики'!$B$2362:$BI$2362,1,48-'01_Вводные'!$B$15))*'01_Вводные'!$B$298</f>
        <v/>
      </c>
      <c r="AX2365">
        <f>IF(49&lt;='01_Вводные'!$B$15,0,INDEX('19_Расчет_аналитики'!$B$2362:$BI$2362,1,49-'01_Вводные'!$B$15))*'01_Вводные'!$B$298</f>
        <v/>
      </c>
      <c r="AY2365">
        <f>IF(50&lt;='01_Вводные'!$B$15,0,INDEX('19_Расчет_аналитики'!$B$2362:$BI$2362,1,50-'01_Вводные'!$B$15))*'01_Вводные'!$B$298</f>
        <v/>
      </c>
      <c r="AZ2365">
        <f>IF(51&lt;='01_Вводные'!$B$15,0,INDEX('19_Расчет_аналитики'!$B$2362:$BI$2362,1,51-'01_Вводные'!$B$15))*'01_Вводные'!$B$298</f>
        <v/>
      </c>
      <c r="BA2365">
        <f>IF(52&lt;='01_Вводные'!$B$15,0,INDEX('19_Расчет_аналитики'!$B$2362:$BI$2362,1,52-'01_Вводные'!$B$15))*'01_Вводные'!$B$298</f>
        <v/>
      </c>
      <c r="BB2365">
        <f>IF(53&lt;='01_Вводные'!$B$15,0,INDEX('19_Расчет_аналитики'!$B$2362:$BI$2362,1,53-'01_Вводные'!$B$15))*'01_Вводные'!$B$298</f>
        <v/>
      </c>
      <c r="BC2365">
        <f>IF(54&lt;='01_Вводные'!$B$15,0,INDEX('19_Расчет_аналитики'!$B$2362:$BI$2362,1,54-'01_Вводные'!$B$15))*'01_Вводные'!$B$298</f>
        <v/>
      </c>
      <c r="BD2365">
        <f>IF(55&lt;='01_Вводные'!$B$15,0,INDEX('19_Расчет_аналитики'!$B$2362:$BI$2362,1,55-'01_Вводные'!$B$15))*'01_Вводные'!$B$298</f>
        <v/>
      </c>
      <c r="BE2365">
        <f>IF(56&lt;='01_Вводные'!$B$15,0,INDEX('19_Расчет_аналитики'!$B$2362:$BI$2362,1,56-'01_Вводные'!$B$15))*'01_Вводные'!$B$298</f>
        <v/>
      </c>
      <c r="BF2365">
        <f>IF(57&lt;='01_Вводные'!$B$15,0,INDEX('19_Расчет_аналитики'!$B$2362:$BI$2362,1,57-'01_Вводные'!$B$15))*'01_Вводные'!$B$298</f>
        <v/>
      </c>
      <c r="BG2365">
        <f>IF(58&lt;='01_Вводные'!$B$15,0,INDEX('19_Расчет_аналитики'!$B$2362:$BI$2362,1,58-'01_Вводные'!$B$15))*'01_Вводные'!$B$298</f>
        <v/>
      </c>
      <c r="BH2365">
        <f>IF(59&lt;='01_Вводные'!$B$15,0,INDEX('19_Расчет_аналитики'!$B$2362:$BI$2362,1,59-'01_Вводные'!$B$15))*'01_Вводные'!$B$298</f>
        <v/>
      </c>
      <c r="BI2365">
        <f>IF(60&lt;='01_Вводные'!$B$15,0,INDEX('19_Расчет_аналитики'!$B$2362:$BI$2362,1,60-'01_Вводные'!$B$15))*'01_Вводные'!$B$298</f>
        <v/>
      </c>
    </row>
    <row r="2366"/>
    <row r="2367"/>
    <row r="2368">
      <c r="B2368">
        <f>SUMIF('04_Продажи'!$B$28:$BI$28,'04_Продажи'!B$11,'19_Расчет_аналитики'!$B$2362:$BI$2362)*'19_Расчет_аналитики'!B2833</f>
        <v/>
      </c>
      <c r="C2368">
        <f>SUMIF('04_Продажи'!$B$28:$BI$28,'04_Продажи'!C$11,'19_Расчет_аналитики'!$B$2362:$BI$2362)*'19_Расчет_аналитики'!C2833</f>
        <v/>
      </c>
      <c r="D2368">
        <f>SUMIF('04_Продажи'!$B$28:$BI$28,'04_Продажи'!D$11,'19_Расчет_аналитики'!$B$2362:$BI$2362)*'19_Расчет_аналитики'!D2833</f>
        <v/>
      </c>
      <c r="E2368">
        <f>SUMIF('04_Продажи'!$B$28:$BI$28,'04_Продажи'!E$11,'19_Расчет_аналитики'!$B$2362:$BI$2362)*'19_Расчет_аналитики'!E2833</f>
        <v/>
      </c>
      <c r="F2368">
        <f>SUMIF('04_Продажи'!$B$28:$BI$28,'04_Продажи'!F$11,'19_Расчет_аналитики'!$B$2362:$BI$2362)*'19_Расчет_аналитики'!F2833</f>
        <v/>
      </c>
      <c r="G2368">
        <f>SUMIF('04_Продажи'!$B$28:$BI$28,'04_Продажи'!G$11,'19_Расчет_аналитики'!$B$2362:$BI$2362)*'19_Расчет_аналитики'!G2833</f>
        <v/>
      </c>
      <c r="H2368">
        <f>SUMIF('04_Продажи'!$B$28:$BI$28,'04_Продажи'!H$11,'19_Расчет_аналитики'!$B$2362:$BI$2362)*'19_Расчет_аналитики'!H2833</f>
        <v/>
      </c>
      <c r="I2368">
        <f>SUMIF('04_Продажи'!$B$28:$BI$28,'04_Продажи'!I$11,'19_Расчет_аналитики'!$B$2362:$BI$2362)*'19_Расчет_аналитики'!I2833</f>
        <v/>
      </c>
      <c r="J2368">
        <f>SUMIF('04_Продажи'!$B$28:$BI$28,'04_Продажи'!J$11,'19_Расчет_аналитики'!$B$2362:$BI$2362)*'19_Расчет_аналитики'!J2833</f>
        <v/>
      </c>
      <c r="K2368">
        <f>SUMIF('04_Продажи'!$B$28:$BI$28,'04_Продажи'!K$11,'19_Расчет_аналитики'!$B$2362:$BI$2362)*'19_Расчет_аналитики'!K2833</f>
        <v/>
      </c>
      <c r="L2368">
        <f>SUMIF('04_Продажи'!$B$28:$BI$28,'04_Продажи'!L$11,'19_Расчет_аналитики'!$B$2362:$BI$2362)*'19_Расчет_аналитики'!L2833</f>
        <v/>
      </c>
      <c r="M2368">
        <f>SUMIF('04_Продажи'!$B$28:$BI$28,'04_Продажи'!M$11,'19_Расчет_аналитики'!$B$2362:$BI$2362)*'19_Расчет_аналитики'!M2833</f>
        <v/>
      </c>
      <c r="N2368">
        <f>SUMIF('04_Продажи'!$B$28:$BI$28,'04_Продажи'!N$11,'19_Расчет_аналитики'!$B$2362:$BI$2362)*'19_Расчет_аналитики'!N2833</f>
        <v/>
      </c>
      <c r="O2368">
        <f>SUMIF('04_Продажи'!$B$28:$BI$28,'04_Продажи'!O$11,'19_Расчет_аналитики'!$B$2362:$BI$2362)*'19_Расчет_аналитики'!O2833</f>
        <v/>
      </c>
      <c r="P2368">
        <f>SUMIF('04_Продажи'!$B$28:$BI$28,'04_Продажи'!P$11,'19_Расчет_аналитики'!$B$2362:$BI$2362)*'19_Расчет_аналитики'!P2833</f>
        <v/>
      </c>
      <c r="Q2368">
        <f>SUMIF('04_Продажи'!$B$28:$BI$28,'04_Продажи'!Q$11,'19_Расчет_аналитики'!$B$2362:$BI$2362)*'19_Расчет_аналитики'!Q2833</f>
        <v/>
      </c>
      <c r="R2368">
        <f>SUMIF('04_Продажи'!$B$28:$BI$28,'04_Продажи'!R$11,'19_Расчет_аналитики'!$B$2362:$BI$2362)*'19_Расчет_аналитики'!R2833</f>
        <v/>
      </c>
      <c r="S2368">
        <f>SUMIF('04_Продажи'!$B$28:$BI$28,'04_Продажи'!S$11,'19_Расчет_аналитики'!$B$2362:$BI$2362)*'19_Расчет_аналитики'!S2833</f>
        <v/>
      </c>
      <c r="T2368">
        <f>SUMIF('04_Продажи'!$B$28:$BI$28,'04_Продажи'!T$11,'19_Расчет_аналитики'!$B$2362:$BI$2362)*'19_Расчет_аналитики'!T2833</f>
        <v/>
      </c>
      <c r="U2368">
        <f>SUMIF('04_Продажи'!$B$28:$BI$28,'04_Продажи'!U$11,'19_Расчет_аналитики'!$B$2362:$BI$2362)*'19_Расчет_аналитики'!U2833</f>
        <v/>
      </c>
      <c r="V2368">
        <f>SUMIF('04_Продажи'!$B$28:$BI$28,'04_Продажи'!V$11,'19_Расчет_аналитики'!$B$2362:$BI$2362)*'19_Расчет_аналитики'!V2833</f>
        <v/>
      </c>
      <c r="W2368">
        <f>SUMIF('04_Продажи'!$B$28:$BI$28,'04_Продажи'!W$11,'19_Расчет_аналитики'!$B$2362:$BI$2362)*'19_Расчет_аналитики'!W2833</f>
        <v/>
      </c>
      <c r="X2368">
        <f>SUMIF('04_Продажи'!$B$28:$BI$28,'04_Продажи'!X$11,'19_Расчет_аналитики'!$B$2362:$BI$2362)*'19_Расчет_аналитики'!X2833</f>
        <v/>
      </c>
      <c r="Y2368">
        <f>SUMIF('04_Продажи'!$B$28:$BI$28,'04_Продажи'!Y$11,'19_Расчет_аналитики'!$B$2362:$BI$2362)*'19_Расчет_аналитики'!Y2833</f>
        <v/>
      </c>
      <c r="Z2368">
        <f>SUMIF('04_Продажи'!$B$28:$BI$28,'04_Продажи'!Z$11,'19_Расчет_аналитики'!$B$2362:$BI$2362)*'19_Расчет_аналитики'!Z2833</f>
        <v/>
      </c>
      <c r="AA2368">
        <f>SUMIF('04_Продажи'!$B$28:$BI$28,'04_Продажи'!AA$11,'19_Расчет_аналитики'!$B$2362:$BI$2362)*'19_Расчет_аналитики'!AA2833</f>
        <v/>
      </c>
      <c r="AB2368">
        <f>SUMIF('04_Продажи'!$B$28:$BI$28,'04_Продажи'!AB$11,'19_Расчет_аналитики'!$B$2362:$BI$2362)*'19_Расчет_аналитики'!AB2833</f>
        <v/>
      </c>
      <c r="AC2368">
        <f>SUMIF('04_Продажи'!$B$28:$BI$28,'04_Продажи'!AC$11,'19_Расчет_аналитики'!$B$2362:$BI$2362)*'19_Расчет_аналитики'!AC2833</f>
        <v/>
      </c>
      <c r="AD2368">
        <f>SUMIF('04_Продажи'!$B$28:$BI$28,'04_Продажи'!AD$11,'19_Расчет_аналитики'!$B$2362:$BI$2362)*'19_Расчет_аналитики'!AD2833</f>
        <v/>
      </c>
      <c r="AE2368">
        <f>SUMIF('04_Продажи'!$B$28:$BI$28,'04_Продажи'!AE$11,'19_Расчет_аналитики'!$B$2362:$BI$2362)*'19_Расчет_аналитики'!AE2833</f>
        <v/>
      </c>
      <c r="AF2368">
        <f>SUMIF('04_Продажи'!$B$28:$BI$28,'04_Продажи'!AF$11,'19_Расчет_аналитики'!$B$2362:$BI$2362)*'19_Расчет_аналитики'!AF2833</f>
        <v/>
      </c>
      <c r="AG2368">
        <f>SUMIF('04_Продажи'!$B$28:$BI$28,'04_Продажи'!AG$11,'19_Расчет_аналитики'!$B$2362:$BI$2362)*'19_Расчет_аналитики'!AG2833</f>
        <v/>
      </c>
      <c r="AH2368">
        <f>SUMIF('04_Продажи'!$B$28:$BI$28,'04_Продажи'!AH$11,'19_Расчет_аналитики'!$B$2362:$BI$2362)*'19_Расчет_аналитики'!AH2833</f>
        <v/>
      </c>
      <c r="AI2368">
        <f>SUMIF('04_Продажи'!$B$28:$BI$28,'04_Продажи'!AI$11,'19_Расчет_аналитики'!$B$2362:$BI$2362)*'19_Расчет_аналитики'!AI2833</f>
        <v/>
      </c>
      <c r="AJ2368">
        <f>SUMIF('04_Продажи'!$B$28:$BI$28,'04_Продажи'!AJ$11,'19_Расчет_аналитики'!$B$2362:$BI$2362)*'19_Расчет_аналитики'!AJ2833</f>
        <v/>
      </c>
      <c r="AK2368">
        <f>SUMIF('04_Продажи'!$B$28:$BI$28,'04_Продажи'!AK$11,'19_Расчет_аналитики'!$B$2362:$BI$2362)*'19_Расчет_аналитики'!AK2833</f>
        <v/>
      </c>
      <c r="AL2368">
        <f>SUMIF('04_Продажи'!$B$28:$BI$28,'04_Продажи'!AL$11,'19_Расчет_аналитики'!$B$2362:$BI$2362)*'19_Расчет_аналитики'!AL2833</f>
        <v/>
      </c>
      <c r="AM2368">
        <f>SUMIF('04_Продажи'!$B$28:$BI$28,'04_Продажи'!AM$11,'19_Расчет_аналитики'!$B$2362:$BI$2362)*'19_Расчет_аналитики'!AM2833</f>
        <v/>
      </c>
      <c r="AN2368">
        <f>SUMIF('04_Продажи'!$B$28:$BI$28,'04_Продажи'!AN$11,'19_Расчет_аналитики'!$B$2362:$BI$2362)*'19_Расчет_аналитики'!AN2833</f>
        <v/>
      </c>
      <c r="AO2368">
        <f>SUMIF('04_Продажи'!$B$28:$BI$28,'04_Продажи'!AO$11,'19_Расчет_аналитики'!$B$2362:$BI$2362)*'19_Расчет_аналитики'!AO2833</f>
        <v/>
      </c>
      <c r="AP2368">
        <f>SUMIF('04_Продажи'!$B$28:$BI$28,'04_Продажи'!AP$11,'19_Расчет_аналитики'!$B$2362:$BI$2362)*'19_Расчет_аналитики'!AP2833</f>
        <v/>
      </c>
      <c r="AQ2368">
        <f>SUMIF('04_Продажи'!$B$28:$BI$28,'04_Продажи'!AQ$11,'19_Расчет_аналитики'!$B$2362:$BI$2362)*'19_Расчет_аналитики'!AQ2833</f>
        <v/>
      </c>
      <c r="AR2368">
        <f>SUMIF('04_Продажи'!$B$28:$BI$28,'04_Продажи'!AR$11,'19_Расчет_аналитики'!$B$2362:$BI$2362)*'19_Расчет_аналитики'!AR2833</f>
        <v/>
      </c>
      <c r="AS2368">
        <f>SUMIF('04_Продажи'!$B$28:$BI$28,'04_Продажи'!AS$11,'19_Расчет_аналитики'!$B$2362:$BI$2362)*'19_Расчет_аналитики'!AS2833</f>
        <v/>
      </c>
      <c r="AT2368">
        <f>SUMIF('04_Продажи'!$B$28:$BI$28,'04_Продажи'!AT$11,'19_Расчет_аналитики'!$B$2362:$BI$2362)*'19_Расчет_аналитики'!AT2833</f>
        <v/>
      </c>
      <c r="AU2368">
        <f>SUMIF('04_Продажи'!$B$28:$BI$28,'04_Продажи'!AU$11,'19_Расчет_аналитики'!$B$2362:$BI$2362)*'19_Расчет_аналитики'!AU2833</f>
        <v/>
      </c>
      <c r="AV2368">
        <f>SUMIF('04_Продажи'!$B$28:$BI$28,'04_Продажи'!AV$11,'19_Расчет_аналитики'!$B$2362:$BI$2362)*'19_Расчет_аналитики'!AV2833</f>
        <v/>
      </c>
      <c r="AW2368">
        <f>SUMIF('04_Продажи'!$B$28:$BI$28,'04_Продажи'!AW$11,'19_Расчет_аналитики'!$B$2362:$BI$2362)*'19_Расчет_аналитики'!AW2833</f>
        <v/>
      </c>
      <c r="AX2368">
        <f>SUMIF('04_Продажи'!$B$28:$BI$28,'04_Продажи'!AX$11,'19_Расчет_аналитики'!$B$2362:$BI$2362)*'19_Расчет_аналитики'!AX2833</f>
        <v/>
      </c>
      <c r="AY2368">
        <f>SUMIF('04_Продажи'!$B$28:$BI$28,'04_Продажи'!AY$11,'19_Расчет_аналитики'!$B$2362:$BI$2362)*'19_Расчет_аналитики'!AY2833</f>
        <v/>
      </c>
      <c r="AZ2368">
        <f>SUMIF('04_Продажи'!$B$28:$BI$28,'04_Продажи'!AZ$11,'19_Расчет_аналитики'!$B$2362:$BI$2362)*'19_Расчет_аналитики'!AZ2833</f>
        <v/>
      </c>
      <c r="BA2368">
        <f>SUMIF('04_Продажи'!$B$28:$BI$28,'04_Продажи'!BA$11,'19_Расчет_аналитики'!$B$2362:$BI$2362)*'19_Расчет_аналитики'!BA2833</f>
        <v/>
      </c>
      <c r="BB2368">
        <f>SUMIF('04_Продажи'!$B$28:$BI$28,'04_Продажи'!BB$11,'19_Расчет_аналитики'!$B$2362:$BI$2362)*'19_Расчет_аналитики'!BB2833</f>
        <v/>
      </c>
      <c r="BC2368">
        <f>SUMIF('04_Продажи'!$B$28:$BI$28,'04_Продажи'!BC$11,'19_Расчет_аналитики'!$B$2362:$BI$2362)*'19_Расчет_аналитики'!BC2833</f>
        <v/>
      </c>
      <c r="BD2368">
        <f>SUMIF('04_Продажи'!$B$28:$BI$28,'04_Продажи'!BD$11,'19_Расчет_аналитики'!$B$2362:$BI$2362)*'19_Расчет_аналитики'!BD2833</f>
        <v/>
      </c>
      <c r="BE2368">
        <f>SUMIF('04_Продажи'!$B$28:$BI$28,'04_Продажи'!BE$11,'19_Расчет_аналитики'!$B$2362:$BI$2362)*'19_Расчет_аналитики'!BE2833</f>
        <v/>
      </c>
      <c r="BF2368">
        <f>SUMIF('04_Продажи'!$B$28:$BI$28,'04_Продажи'!BF$11,'19_Расчет_аналитики'!$B$2362:$BI$2362)*'19_Расчет_аналитики'!BF2833</f>
        <v/>
      </c>
      <c r="BG2368">
        <f>SUMIF('04_Продажи'!$B$28:$BI$28,'04_Продажи'!BG$11,'19_Расчет_аналитики'!$B$2362:$BI$2362)*'19_Расчет_аналитики'!BG2833</f>
        <v/>
      </c>
      <c r="BH2368">
        <f>SUMIF('04_Продажи'!$B$28:$BI$28,'04_Продажи'!BH$11,'19_Расчет_аналитики'!$B$2362:$BI$2362)*'19_Расчет_аналитики'!BH2833</f>
        <v/>
      </c>
      <c r="BI2368">
        <f>SUMIF('04_Продажи'!$B$28:$BI$28,'04_Продажи'!BI$11,'19_Расчет_аналитики'!$B$2362:$BI$2362)*'19_Расчет_аналитики'!BI2833</f>
        <v/>
      </c>
    </row>
    <row r="2369"/>
    <row r="2370">
      <c r="B2370">
        <f>'19_Расчет_аналитики'!B2368+'04_Продажи'!B22</f>
        <v/>
      </c>
      <c r="C2370">
        <f>'19_Расчет_аналитики'!C2368+'04_Продажи'!C22</f>
        <v/>
      </c>
      <c r="D2370">
        <f>'19_Расчет_аналитики'!D2368+'04_Продажи'!D22</f>
        <v/>
      </c>
      <c r="E2370">
        <f>'19_Расчет_аналитики'!E2368+'04_Продажи'!E22</f>
        <v/>
      </c>
      <c r="F2370">
        <f>'19_Расчет_аналитики'!F2368+'04_Продажи'!F22</f>
        <v/>
      </c>
      <c r="G2370">
        <f>'19_Расчет_аналитики'!G2368+'04_Продажи'!G22</f>
        <v/>
      </c>
      <c r="H2370">
        <f>'19_Расчет_аналитики'!H2368+'04_Продажи'!H22</f>
        <v/>
      </c>
      <c r="I2370">
        <f>'19_Расчет_аналитики'!I2368+'04_Продажи'!I22</f>
        <v/>
      </c>
      <c r="J2370">
        <f>'19_Расчет_аналитики'!J2368+'04_Продажи'!J22</f>
        <v/>
      </c>
      <c r="K2370">
        <f>'19_Расчет_аналитики'!K2368+'04_Продажи'!K22</f>
        <v/>
      </c>
      <c r="L2370">
        <f>'19_Расчет_аналитики'!L2368+'04_Продажи'!L22</f>
        <v/>
      </c>
      <c r="M2370">
        <f>'19_Расчет_аналитики'!M2368+'04_Продажи'!M22</f>
        <v/>
      </c>
      <c r="N2370">
        <f>'19_Расчет_аналитики'!N2368+'04_Продажи'!N22</f>
        <v/>
      </c>
      <c r="O2370">
        <f>'19_Расчет_аналитики'!O2368+'04_Продажи'!O22</f>
        <v/>
      </c>
      <c r="P2370">
        <f>'19_Расчет_аналитики'!P2368+'04_Продажи'!P22</f>
        <v/>
      </c>
      <c r="Q2370">
        <f>'19_Расчет_аналитики'!Q2368+'04_Продажи'!Q22</f>
        <v/>
      </c>
      <c r="R2370">
        <f>'19_Расчет_аналитики'!R2368+'04_Продажи'!R22</f>
        <v/>
      </c>
      <c r="S2370">
        <f>'19_Расчет_аналитики'!S2368+'04_Продажи'!S22</f>
        <v/>
      </c>
      <c r="T2370">
        <f>'19_Расчет_аналитики'!T2368+'04_Продажи'!T22</f>
        <v/>
      </c>
      <c r="U2370">
        <f>'19_Расчет_аналитики'!U2368+'04_Продажи'!U22</f>
        <v/>
      </c>
      <c r="V2370">
        <f>'19_Расчет_аналитики'!V2368+'04_Продажи'!V22</f>
        <v/>
      </c>
      <c r="W2370">
        <f>'19_Расчет_аналитики'!W2368+'04_Продажи'!W22</f>
        <v/>
      </c>
      <c r="X2370">
        <f>'19_Расчет_аналитики'!X2368+'04_Продажи'!X22</f>
        <v/>
      </c>
      <c r="Y2370">
        <f>'19_Расчет_аналитики'!Y2368+'04_Продажи'!Y22</f>
        <v/>
      </c>
      <c r="Z2370">
        <f>'19_Расчет_аналитики'!Z2368+'04_Продажи'!Z22</f>
        <v/>
      </c>
      <c r="AA2370">
        <f>'19_Расчет_аналитики'!AA2368+'04_Продажи'!AA22</f>
        <v/>
      </c>
      <c r="AB2370">
        <f>'19_Расчет_аналитики'!AB2368+'04_Продажи'!AB22</f>
        <v/>
      </c>
      <c r="AC2370">
        <f>'19_Расчет_аналитики'!AC2368+'04_Продажи'!AC22</f>
        <v/>
      </c>
      <c r="AD2370">
        <f>'19_Расчет_аналитики'!AD2368+'04_Продажи'!AD22</f>
        <v/>
      </c>
      <c r="AE2370">
        <f>'19_Расчет_аналитики'!AE2368+'04_Продажи'!AE22</f>
        <v/>
      </c>
      <c r="AF2370">
        <f>'19_Расчет_аналитики'!AF2368+'04_Продажи'!AF22</f>
        <v/>
      </c>
      <c r="AG2370">
        <f>'19_Расчет_аналитики'!AG2368+'04_Продажи'!AG22</f>
        <v/>
      </c>
      <c r="AH2370">
        <f>'19_Расчет_аналитики'!AH2368+'04_Продажи'!AH22</f>
        <v/>
      </c>
      <c r="AI2370">
        <f>'19_Расчет_аналитики'!AI2368+'04_Продажи'!AI22</f>
        <v/>
      </c>
      <c r="AJ2370">
        <f>'19_Расчет_аналитики'!AJ2368+'04_Продажи'!AJ22</f>
        <v/>
      </c>
      <c r="AK2370">
        <f>'19_Расчет_аналитики'!AK2368+'04_Продажи'!AK22</f>
        <v/>
      </c>
      <c r="AL2370">
        <f>'19_Расчет_аналитики'!AL2368+'04_Продажи'!AL22</f>
        <v/>
      </c>
      <c r="AM2370">
        <f>'19_Расчет_аналитики'!AM2368+'04_Продажи'!AM22</f>
        <v/>
      </c>
      <c r="AN2370">
        <f>'19_Расчет_аналитики'!AN2368+'04_Продажи'!AN22</f>
        <v/>
      </c>
      <c r="AO2370">
        <f>'19_Расчет_аналитики'!AO2368+'04_Продажи'!AO22</f>
        <v/>
      </c>
      <c r="AP2370">
        <f>'19_Расчет_аналитики'!AP2368+'04_Продажи'!AP22</f>
        <v/>
      </c>
      <c r="AQ2370">
        <f>'19_Расчет_аналитики'!AQ2368+'04_Продажи'!AQ22</f>
        <v/>
      </c>
      <c r="AR2370">
        <f>'19_Расчет_аналитики'!AR2368+'04_Продажи'!AR22</f>
        <v/>
      </c>
      <c r="AS2370">
        <f>'19_Расчет_аналитики'!AS2368+'04_Продажи'!AS22</f>
        <v/>
      </c>
      <c r="AT2370">
        <f>'19_Расчет_аналитики'!AT2368+'04_Продажи'!AT22</f>
        <v/>
      </c>
      <c r="AU2370">
        <f>'19_Расчет_аналитики'!AU2368+'04_Продажи'!AU22</f>
        <v/>
      </c>
      <c r="AV2370">
        <f>'19_Расчет_аналитики'!AV2368+'04_Продажи'!AV22</f>
        <v/>
      </c>
      <c r="AW2370">
        <f>'19_Расчет_аналитики'!AW2368+'04_Продажи'!AW22</f>
        <v/>
      </c>
      <c r="AX2370">
        <f>'19_Расчет_аналитики'!AX2368+'04_Продажи'!AX22</f>
        <v/>
      </c>
      <c r="AY2370">
        <f>'19_Расчет_аналитики'!AY2368+'04_Продажи'!AY22</f>
        <v/>
      </c>
      <c r="AZ2370">
        <f>'19_Расчет_аналитики'!AZ2368+'04_Продажи'!AZ22</f>
        <v/>
      </c>
      <c r="BA2370">
        <f>'19_Расчет_аналитики'!BA2368+'04_Продажи'!BA22</f>
        <v/>
      </c>
      <c r="BB2370">
        <f>'19_Расчет_аналитики'!BB2368+'04_Продажи'!BB22</f>
        <v/>
      </c>
      <c r="BC2370">
        <f>'19_Расчет_аналитики'!BC2368+'04_Продажи'!BC22</f>
        <v/>
      </c>
      <c r="BD2370">
        <f>'19_Расчет_аналитики'!BD2368+'04_Продажи'!BD22</f>
        <v/>
      </c>
      <c r="BE2370">
        <f>'19_Расчет_аналитики'!BE2368+'04_Продажи'!BE22</f>
        <v/>
      </c>
      <c r="BF2370">
        <f>'19_Расчет_аналитики'!BF2368+'04_Продажи'!BF22</f>
        <v/>
      </c>
      <c r="BG2370">
        <f>'19_Расчет_аналитики'!BG2368+'04_Продажи'!BG22</f>
        <v/>
      </c>
      <c r="BH2370">
        <f>'19_Расчет_аналитики'!BH2368+'04_Продажи'!BH22</f>
        <v/>
      </c>
      <c r="BI2370">
        <f>'19_Расчет_аналитики'!BI2368+'04_Продажи'!BI22</f>
        <v/>
      </c>
    </row>
    <row r="2371"/>
    <row r="2372">
      <c r="C2372">
        <f>'19_Расчет_аналитики'!C2362*'18_Календарь_тарифы'!C6</f>
        <v/>
      </c>
      <c r="D2372">
        <f>'19_Расчет_аналитики'!D2362*'18_Календарь_тарифы'!D6</f>
        <v/>
      </c>
      <c r="E2372">
        <f>'19_Расчет_аналитики'!E2362*'18_Календарь_тарифы'!E6</f>
        <v/>
      </c>
      <c r="F2372">
        <f>'19_Расчет_аналитики'!F2362*'18_Календарь_тарифы'!F6</f>
        <v/>
      </c>
      <c r="G2372">
        <f>'19_Расчет_аналитики'!G2362*'18_Календарь_тарифы'!G6</f>
        <v/>
      </c>
      <c r="H2372">
        <f>'19_Расчет_аналитики'!H2362*'18_Календарь_тарифы'!H6</f>
        <v/>
      </c>
      <c r="I2372">
        <f>'19_Расчет_аналитики'!I2362*'18_Календарь_тарифы'!I6</f>
        <v/>
      </c>
      <c r="J2372">
        <f>'19_Расчет_аналитики'!J2362*'18_Календарь_тарифы'!J6</f>
        <v/>
      </c>
      <c r="K2372">
        <f>'19_Расчет_аналитики'!K2362*'18_Календарь_тарифы'!K6</f>
        <v/>
      </c>
      <c r="L2372">
        <f>'19_Расчет_аналитики'!L2362*'18_Календарь_тарифы'!L6</f>
        <v/>
      </c>
      <c r="M2372">
        <f>'19_Расчет_аналитики'!M2362*'18_Календарь_тарифы'!M6</f>
        <v/>
      </c>
      <c r="N2372">
        <f>'19_Расчет_аналитики'!N2362*'18_Календарь_тарифы'!N6</f>
        <v/>
      </c>
      <c r="O2372">
        <f>'19_Расчет_аналитики'!O2362*'18_Календарь_тарифы'!O6</f>
        <v/>
      </c>
      <c r="P2372">
        <f>'19_Расчет_аналитики'!P2362*'18_Календарь_тарифы'!P6</f>
        <v/>
      </c>
      <c r="Q2372">
        <f>'19_Расчет_аналитики'!Q2362*'18_Календарь_тарифы'!Q6</f>
        <v/>
      </c>
      <c r="R2372">
        <f>'19_Расчет_аналитики'!R2362*'18_Календарь_тарифы'!R6</f>
        <v/>
      </c>
      <c r="S2372">
        <f>'19_Расчет_аналитики'!S2362*'18_Календарь_тарифы'!S6</f>
        <v/>
      </c>
      <c r="T2372">
        <f>'19_Расчет_аналитики'!T2362*'18_Календарь_тарифы'!T6</f>
        <v/>
      </c>
      <c r="U2372">
        <f>'19_Расчет_аналитики'!U2362*'18_Календарь_тарифы'!U6</f>
        <v/>
      </c>
      <c r="V2372">
        <f>'19_Расчет_аналитики'!V2362*'18_Календарь_тарифы'!V6</f>
        <v/>
      </c>
      <c r="W2372">
        <f>'19_Расчет_аналитики'!W2362*'18_Календарь_тарифы'!W6</f>
        <v/>
      </c>
      <c r="X2372">
        <f>'19_Расчет_аналитики'!X2362*'18_Календарь_тарифы'!X6</f>
        <v/>
      </c>
      <c r="Y2372">
        <f>'19_Расчет_аналитики'!Y2362*'18_Календарь_тарифы'!Y6</f>
        <v/>
      </c>
      <c r="Z2372">
        <f>'19_Расчет_аналитики'!Z2362*'18_Календарь_тарифы'!Z6</f>
        <v/>
      </c>
      <c r="AA2372">
        <f>'19_Расчет_аналитики'!AA2362*'18_Календарь_тарифы'!AA6</f>
        <v/>
      </c>
      <c r="AB2372">
        <f>'19_Расчет_аналитики'!AB2362*'18_Календарь_тарифы'!AB6</f>
        <v/>
      </c>
      <c r="AC2372">
        <f>'19_Расчет_аналитики'!AC2362*'18_Календарь_тарифы'!AC6</f>
        <v/>
      </c>
      <c r="AD2372">
        <f>'19_Расчет_аналитики'!AD2362*'18_Календарь_тарифы'!AD6</f>
        <v/>
      </c>
      <c r="AE2372">
        <f>'19_Расчет_аналитики'!AE2362*'18_Календарь_тарифы'!AE6</f>
        <v/>
      </c>
      <c r="AF2372">
        <f>'19_Расчет_аналитики'!AF2362*'18_Календарь_тарифы'!AF6</f>
        <v/>
      </c>
      <c r="AG2372">
        <f>'19_Расчет_аналитики'!AG2362*'18_Календарь_тарифы'!AG6</f>
        <v/>
      </c>
      <c r="AH2372">
        <f>'19_Расчет_аналитики'!AH2362*'18_Календарь_тарифы'!AH6</f>
        <v/>
      </c>
      <c r="AI2372">
        <f>'19_Расчет_аналитики'!AI2362*'18_Календарь_тарифы'!AI6</f>
        <v/>
      </c>
      <c r="AJ2372">
        <f>'19_Расчет_аналитики'!AJ2362*'18_Календарь_тарифы'!AJ6</f>
        <v/>
      </c>
      <c r="AK2372">
        <f>'19_Расчет_аналитики'!AK2362*'18_Календарь_тарифы'!AK6</f>
        <v/>
      </c>
      <c r="AL2372">
        <f>'19_Расчет_аналитики'!AL2362*'18_Календарь_тарифы'!AL6</f>
        <v/>
      </c>
      <c r="AM2372">
        <f>'19_Расчет_аналитики'!AM2362*'18_Календарь_тарифы'!AM6</f>
        <v/>
      </c>
      <c r="AN2372">
        <f>'19_Расчет_аналитики'!AN2362*'18_Календарь_тарифы'!AN6</f>
        <v/>
      </c>
      <c r="AO2372">
        <f>'19_Расчет_аналитики'!AO2362*'18_Календарь_тарифы'!AO6</f>
        <v/>
      </c>
      <c r="AP2372">
        <f>'19_Расчет_аналитики'!AP2362*'18_Календарь_тарифы'!AP6</f>
        <v/>
      </c>
      <c r="AQ2372">
        <f>'19_Расчет_аналитики'!AQ2362*'18_Календарь_тарифы'!AQ6</f>
        <v/>
      </c>
      <c r="AR2372">
        <f>'19_Расчет_аналитики'!AR2362*'18_Календарь_тарифы'!AR6</f>
        <v/>
      </c>
      <c r="AS2372">
        <f>'19_Расчет_аналитики'!AS2362*'18_Календарь_тарифы'!AS6</f>
        <v/>
      </c>
      <c r="AT2372">
        <f>'19_Расчет_аналитики'!AT2362*'18_Календарь_тарифы'!AT6</f>
        <v/>
      </c>
      <c r="AU2372">
        <f>'19_Расчет_аналитики'!AU2362*'18_Календарь_тарифы'!AU6</f>
        <v/>
      </c>
      <c r="AV2372">
        <f>'19_Расчет_аналитики'!AV2362*'18_Календарь_тарифы'!AV6</f>
        <v/>
      </c>
      <c r="AW2372">
        <f>'19_Расчет_аналитики'!AW2362*'18_Календарь_тарифы'!AW6</f>
        <v/>
      </c>
      <c r="AX2372">
        <f>'19_Расчет_аналитики'!AX2362*'18_Календарь_тарифы'!AX6</f>
        <v/>
      </c>
      <c r="AY2372">
        <f>'19_Расчет_аналитики'!AY2362*'18_Календарь_тарифы'!AY6</f>
        <v/>
      </c>
      <c r="AZ2372">
        <f>'19_Расчет_аналитики'!AZ2362*'18_Календарь_тарифы'!AZ6</f>
        <v/>
      </c>
      <c r="BA2372">
        <f>'19_Расчет_аналитики'!BA2362*'18_Календарь_тарифы'!BA6</f>
        <v/>
      </c>
      <c r="BB2372">
        <f>'19_Расчет_аналитики'!BB2362*'18_Календарь_тарифы'!BB6</f>
        <v/>
      </c>
      <c r="BC2372">
        <f>'19_Расчет_аналитики'!BC2362*'18_Календарь_тарифы'!BC6</f>
        <v/>
      </c>
      <c r="BD2372">
        <f>'19_Расчет_аналитики'!BD2362*'18_Календарь_тарифы'!BD6</f>
        <v/>
      </c>
      <c r="BE2372">
        <f>'19_Расчет_аналитики'!BE2362*'18_Календарь_тарифы'!BE6</f>
        <v/>
      </c>
      <c r="BF2372">
        <f>'19_Расчет_аналитики'!BF2362*'18_Календарь_тарифы'!BF6</f>
        <v/>
      </c>
      <c r="BG2372">
        <f>'19_Расчет_аналитики'!BG2362*'18_Календарь_тарифы'!BG6</f>
        <v/>
      </c>
      <c r="BH2372">
        <f>'19_Расчет_аналитики'!BH2362*'18_Календарь_тарифы'!BH6</f>
        <v/>
      </c>
      <c r="BI2372">
        <f>'19_Расчет_аналитики'!BI2362*'18_Календарь_тарифы'!BI6</f>
        <v/>
      </c>
    </row>
    <row r="2373">
      <c r="C2373">
        <f>'19_Расчет_аналитики'!C2372/(1+'01_Вводные'!$B$58)</f>
        <v/>
      </c>
      <c r="D2373">
        <f>'19_Расчет_аналитики'!D2372/(1+'01_Вводные'!$B$58)</f>
        <v/>
      </c>
      <c r="E2373">
        <f>'19_Расчет_аналитики'!E2372/(1+'01_Вводные'!$B$58)</f>
        <v/>
      </c>
      <c r="F2373">
        <f>'19_Расчет_аналитики'!F2372/(1+'01_Вводные'!$B$58)</f>
        <v/>
      </c>
      <c r="G2373">
        <f>'19_Расчет_аналитики'!G2372/(1+'01_Вводные'!$B$58)</f>
        <v/>
      </c>
      <c r="H2373">
        <f>'19_Расчет_аналитики'!H2372/(1+'01_Вводные'!$B$58)</f>
        <v/>
      </c>
      <c r="I2373">
        <f>'19_Расчет_аналитики'!I2372/(1+'01_Вводные'!$B$58)</f>
        <v/>
      </c>
      <c r="J2373">
        <f>'19_Расчет_аналитики'!J2372/(1+'01_Вводные'!$B$58)</f>
        <v/>
      </c>
      <c r="K2373">
        <f>'19_Расчет_аналитики'!K2372/(1+'01_Вводные'!$B$58)</f>
        <v/>
      </c>
      <c r="L2373">
        <f>'19_Расчет_аналитики'!L2372/(1+'01_Вводные'!$B$58)</f>
        <v/>
      </c>
      <c r="M2373">
        <f>'19_Расчет_аналитики'!M2372/(1+'01_Вводные'!$B$58)</f>
        <v/>
      </c>
      <c r="N2373">
        <f>'19_Расчет_аналитики'!N2372/(1+'01_Вводные'!$B$58)</f>
        <v/>
      </c>
      <c r="O2373">
        <f>'19_Расчет_аналитики'!O2372/(1+'01_Вводные'!$B$58)</f>
        <v/>
      </c>
      <c r="P2373">
        <f>'19_Расчет_аналитики'!P2372/(1+'01_Вводные'!$B$58)</f>
        <v/>
      </c>
      <c r="Q2373">
        <f>'19_Расчет_аналитики'!Q2372/(1+'01_Вводные'!$B$58)</f>
        <v/>
      </c>
      <c r="R2373">
        <f>'19_Расчет_аналитики'!R2372/(1+'01_Вводные'!$B$58)</f>
        <v/>
      </c>
      <c r="S2373">
        <f>'19_Расчет_аналитики'!S2372/(1+'01_Вводные'!$B$58)</f>
        <v/>
      </c>
      <c r="T2373">
        <f>'19_Расчет_аналитики'!T2372/(1+'01_Вводные'!$B$58)</f>
        <v/>
      </c>
      <c r="U2373">
        <f>'19_Расчет_аналитики'!U2372/(1+'01_Вводные'!$B$58)</f>
        <v/>
      </c>
      <c r="V2373">
        <f>'19_Расчет_аналитики'!V2372/(1+'01_Вводные'!$B$58)</f>
        <v/>
      </c>
      <c r="W2373">
        <f>'19_Расчет_аналитики'!W2372/(1+'01_Вводные'!$B$58)</f>
        <v/>
      </c>
      <c r="X2373">
        <f>'19_Расчет_аналитики'!X2372/(1+'01_Вводные'!$B$58)</f>
        <v/>
      </c>
      <c r="Y2373">
        <f>'19_Расчет_аналитики'!Y2372/(1+'01_Вводные'!$B$58)</f>
        <v/>
      </c>
      <c r="Z2373">
        <f>'19_Расчет_аналитики'!Z2372/(1+'01_Вводные'!$B$58)</f>
        <v/>
      </c>
      <c r="AA2373">
        <f>'19_Расчет_аналитики'!AA2372/(1+'01_Вводные'!$B$58)</f>
        <v/>
      </c>
      <c r="AB2373">
        <f>'19_Расчет_аналитики'!AB2372/(1+'01_Вводные'!$B$58)</f>
        <v/>
      </c>
      <c r="AC2373">
        <f>'19_Расчет_аналитики'!AC2372/(1+'01_Вводные'!$B$58)</f>
        <v/>
      </c>
      <c r="AD2373">
        <f>'19_Расчет_аналитики'!AD2372/(1+'01_Вводные'!$B$58)</f>
        <v/>
      </c>
      <c r="AE2373">
        <f>'19_Расчет_аналитики'!AE2372/(1+'01_Вводные'!$B$58)</f>
        <v/>
      </c>
      <c r="AF2373">
        <f>'19_Расчет_аналитики'!AF2372/(1+'01_Вводные'!$B$58)</f>
        <v/>
      </c>
      <c r="AG2373">
        <f>'19_Расчет_аналитики'!AG2372/(1+'01_Вводные'!$B$58)</f>
        <v/>
      </c>
      <c r="AH2373">
        <f>'19_Расчет_аналитики'!AH2372/(1+'01_Вводные'!$B$58)</f>
        <v/>
      </c>
      <c r="AI2373">
        <f>'19_Расчет_аналитики'!AI2372/(1+'01_Вводные'!$B$58)</f>
        <v/>
      </c>
      <c r="AJ2373">
        <f>'19_Расчет_аналитики'!AJ2372/(1+'01_Вводные'!$B$58)</f>
        <v/>
      </c>
      <c r="AK2373">
        <f>'19_Расчет_аналитики'!AK2372/(1+'01_Вводные'!$B$58)</f>
        <v/>
      </c>
      <c r="AL2373">
        <f>'19_Расчет_аналитики'!AL2372/(1+'01_Вводные'!$B$58)</f>
        <v/>
      </c>
      <c r="AM2373">
        <f>'19_Расчет_аналитики'!AM2372/(1+'01_Вводные'!$B$58)</f>
        <v/>
      </c>
      <c r="AN2373">
        <f>'19_Расчет_аналитики'!AN2372/(1+'01_Вводные'!$B$58)</f>
        <v/>
      </c>
      <c r="AO2373">
        <f>'19_Расчет_аналитики'!AO2372/(1+'01_Вводные'!$B$58)</f>
        <v/>
      </c>
      <c r="AP2373">
        <f>'19_Расчет_аналитики'!AP2372/(1+'01_Вводные'!$B$58)</f>
        <v/>
      </c>
      <c r="AQ2373">
        <f>'19_Расчет_аналитики'!AQ2372/(1+'01_Вводные'!$B$58)</f>
        <v/>
      </c>
      <c r="AR2373">
        <f>'19_Расчет_аналитики'!AR2372/(1+'01_Вводные'!$B$58)</f>
        <v/>
      </c>
      <c r="AS2373">
        <f>'19_Расчет_аналитики'!AS2372/(1+'01_Вводные'!$B$58)</f>
        <v/>
      </c>
      <c r="AT2373">
        <f>'19_Расчет_аналитики'!AT2372/(1+'01_Вводные'!$B$58)</f>
        <v/>
      </c>
      <c r="AU2373">
        <f>'19_Расчет_аналитики'!AU2372/(1+'01_Вводные'!$B$58)</f>
        <v/>
      </c>
      <c r="AV2373">
        <f>'19_Расчет_аналитики'!AV2372/(1+'01_Вводные'!$B$58)</f>
        <v/>
      </c>
      <c r="AW2373">
        <f>'19_Расчет_аналитики'!AW2372/(1+'01_Вводные'!$B$58)</f>
        <v/>
      </c>
      <c r="AX2373">
        <f>'19_Расчет_аналитики'!AX2372/(1+'01_Вводные'!$B$58)</f>
        <v/>
      </c>
      <c r="AY2373">
        <f>'19_Расчет_аналитики'!AY2372/(1+'01_Вводные'!$B$58)</f>
        <v/>
      </c>
      <c r="AZ2373">
        <f>'19_Расчет_аналитики'!AZ2372/(1+'01_Вводные'!$B$58)</f>
        <v/>
      </c>
      <c r="BA2373">
        <f>'19_Расчет_аналитики'!BA2372/(1+'01_Вводные'!$B$58)</f>
        <v/>
      </c>
      <c r="BB2373">
        <f>'19_Расчет_аналитики'!BB2372/(1+'01_Вводные'!$B$58)</f>
        <v/>
      </c>
      <c r="BC2373">
        <f>'19_Расчет_аналитики'!BC2372/(1+'01_Вводные'!$B$58)</f>
        <v/>
      </c>
      <c r="BD2373">
        <f>'19_Расчет_аналитики'!BD2372/(1+'01_Вводные'!$B$58)</f>
        <v/>
      </c>
      <c r="BE2373">
        <f>'19_Расчет_аналитики'!BE2372/(1+'01_Вводные'!$B$58)</f>
        <v/>
      </c>
      <c r="BF2373">
        <f>'19_Расчет_аналитики'!BF2372/(1+'01_Вводные'!$B$58)</f>
        <v/>
      </c>
      <c r="BG2373">
        <f>'19_Расчет_аналитики'!BG2372/(1+'01_Вводные'!$B$58)</f>
        <v/>
      </c>
      <c r="BH2373">
        <f>'19_Расчет_аналитики'!BH2372/(1+'01_Вводные'!$B$58)</f>
        <v/>
      </c>
      <c r="BI2373">
        <f>'19_Расчет_аналитики'!BI2372/(1+'01_Вводные'!$B$58)</f>
        <v/>
      </c>
    </row>
    <row r="2374"/>
    <row r="2375"/>
    <row r="2376"/>
    <row r="2377"/>
    <row r="2378"/>
    <row r="2379"/>
    <row r="2380"/>
    <row r="2381"/>
    <row r="2382"/>
    <row r="2383"/>
    <row r="2384"/>
    <row r="2385"/>
    <row r="2386">
      <c r="C2386">
        <f>'19_Расчет_аналитики'!C2362</f>
        <v/>
      </c>
      <c r="D2386">
        <f>'19_Расчет_аналитики'!D2362</f>
        <v/>
      </c>
      <c r="E2386">
        <f>'19_Расчет_аналитики'!E2362</f>
        <v/>
      </c>
      <c r="F2386">
        <f>'19_Расчет_аналитики'!F2362</f>
        <v/>
      </c>
      <c r="G2386">
        <f>'19_Расчет_аналитики'!G2362</f>
        <v/>
      </c>
      <c r="H2386">
        <f>'19_Расчет_аналитики'!H2362</f>
        <v/>
      </c>
      <c r="I2386">
        <f>'19_Расчет_аналитики'!I2362</f>
        <v/>
      </c>
      <c r="J2386">
        <f>'19_Расчет_аналитики'!J2362</f>
        <v/>
      </c>
      <c r="K2386">
        <f>'19_Расчет_аналитики'!K2362</f>
        <v/>
      </c>
      <c r="L2386">
        <f>'19_Расчет_аналитики'!L2362</f>
        <v/>
      </c>
      <c r="M2386">
        <f>'19_Расчет_аналитики'!M2362</f>
        <v/>
      </c>
      <c r="N2386">
        <f>'19_Расчет_аналитики'!N2362</f>
        <v/>
      </c>
      <c r="O2386">
        <f>'19_Расчет_аналитики'!O2362</f>
        <v/>
      </c>
      <c r="P2386">
        <f>'19_Расчет_аналитики'!P2362</f>
        <v/>
      </c>
      <c r="Q2386">
        <f>'19_Расчет_аналитики'!Q2362</f>
        <v/>
      </c>
      <c r="R2386">
        <f>'19_Расчет_аналитики'!R2362</f>
        <v/>
      </c>
      <c r="S2386">
        <f>'19_Расчет_аналитики'!S2362</f>
        <v/>
      </c>
      <c r="T2386">
        <f>'19_Расчет_аналитики'!T2362</f>
        <v/>
      </c>
      <c r="U2386">
        <f>'19_Расчет_аналитики'!U2362</f>
        <v/>
      </c>
      <c r="V2386">
        <f>'19_Расчет_аналитики'!V2362</f>
        <v/>
      </c>
      <c r="W2386">
        <f>'19_Расчет_аналитики'!W2362</f>
        <v/>
      </c>
      <c r="X2386">
        <f>'19_Расчет_аналитики'!X2362</f>
        <v/>
      </c>
      <c r="Y2386">
        <f>'19_Расчет_аналитики'!Y2362</f>
        <v/>
      </c>
      <c r="Z2386">
        <f>'19_Расчет_аналитики'!Z2362</f>
        <v/>
      </c>
      <c r="AA2386">
        <f>'19_Расчет_аналитики'!AA2362</f>
        <v/>
      </c>
      <c r="AB2386">
        <f>'19_Расчет_аналитики'!AB2362</f>
        <v/>
      </c>
      <c r="AC2386">
        <f>'19_Расчет_аналитики'!AC2362</f>
        <v/>
      </c>
      <c r="AD2386">
        <f>'19_Расчет_аналитики'!AD2362</f>
        <v/>
      </c>
      <c r="AE2386">
        <f>'19_Расчет_аналитики'!AE2362</f>
        <v/>
      </c>
      <c r="AF2386">
        <f>'19_Расчет_аналитики'!AF2362</f>
        <v/>
      </c>
      <c r="AG2386">
        <f>'19_Расчет_аналитики'!AG2362</f>
        <v/>
      </c>
      <c r="AH2386">
        <f>'19_Расчет_аналитики'!AH2362</f>
        <v/>
      </c>
      <c r="AI2386">
        <f>'19_Расчет_аналитики'!AI2362</f>
        <v/>
      </c>
      <c r="AJ2386">
        <f>'19_Расчет_аналитики'!AJ2362</f>
        <v/>
      </c>
      <c r="AK2386">
        <f>'19_Расчет_аналитики'!AK2362</f>
        <v/>
      </c>
      <c r="AL2386">
        <f>'19_Расчет_аналитики'!AL2362</f>
        <v/>
      </c>
      <c r="AM2386">
        <f>'19_Расчет_аналитики'!AM2362</f>
        <v/>
      </c>
      <c r="AN2386">
        <f>'19_Расчет_аналитики'!AN2362</f>
        <v/>
      </c>
      <c r="AO2386">
        <f>'19_Расчет_аналитики'!AO2362</f>
        <v/>
      </c>
      <c r="AP2386">
        <f>'19_Расчет_аналитики'!AP2362</f>
        <v/>
      </c>
      <c r="AQ2386">
        <f>'19_Расчет_аналитики'!AQ2362</f>
        <v/>
      </c>
      <c r="AR2386">
        <f>'19_Расчет_аналитики'!AR2362</f>
        <v/>
      </c>
      <c r="AS2386">
        <f>'19_Расчет_аналитики'!AS2362</f>
        <v/>
      </c>
      <c r="AT2386">
        <f>'19_Расчет_аналитики'!AT2362</f>
        <v/>
      </c>
      <c r="AU2386">
        <f>'19_Расчет_аналитики'!AU2362</f>
        <v/>
      </c>
      <c r="AV2386">
        <f>'19_Расчет_аналитики'!AV2362</f>
        <v/>
      </c>
      <c r="AW2386">
        <f>'19_Расчет_аналитики'!AW2362</f>
        <v/>
      </c>
      <c r="AX2386">
        <f>'19_Расчет_аналитики'!AX2362</f>
        <v/>
      </c>
      <c r="AY2386">
        <f>'19_Расчет_аналитики'!AY2362</f>
        <v/>
      </c>
      <c r="AZ2386">
        <f>'19_Расчет_аналитики'!AZ2362</f>
        <v/>
      </c>
      <c r="BA2386">
        <f>'19_Расчет_аналитики'!BA2362</f>
        <v/>
      </c>
      <c r="BB2386">
        <f>'19_Расчет_аналитики'!BB2362</f>
        <v/>
      </c>
      <c r="BC2386">
        <f>'19_Расчет_аналитики'!BC2362</f>
        <v/>
      </c>
      <c r="BD2386">
        <f>'19_Расчет_аналитики'!BD2362</f>
        <v/>
      </c>
      <c r="BE2386">
        <f>'19_Расчет_аналитики'!BE2362</f>
        <v/>
      </c>
      <c r="BF2386">
        <f>'19_Расчет_аналитики'!BF2362</f>
        <v/>
      </c>
      <c r="BG2386">
        <f>'19_Расчет_аналитики'!BG2362</f>
        <v/>
      </c>
      <c r="BH2386">
        <f>'19_Расчет_аналитики'!BH2362</f>
        <v/>
      </c>
      <c r="BI2386">
        <f>'19_Расчет_аналитики'!BI2362</f>
        <v/>
      </c>
    </row>
    <row r="2387">
      <c r="B2387">
        <f>IF(OR(1&lt;='01_Вводные'!$B$15,1-'01_Вводные'!$B$15&gt;60),0,INDEX('19_Расчет_аналитики'!$B$2362:$BI$2362,1,1-'01_Вводные'!$B$15))*'01_Вводные'!$B$298*MIN(1,'01_Вводные'!$B$22)+IF(OR(1&lt;=('01_Вводные'!$B$15+'01_Вводные'!$B$311),1-('01_Вводные'!$B$15+'01_Вводные'!$B$311)&gt;60),0,INDEX('19_Расчет_аналитики'!$B$2362:$BI$2362,1,1-('01_Вводные'!$B$15+'01_Вводные'!$B$311)))*'01_Вводные'!$B$298*MAX(0,'01_Вводные'!$B$22-1)</f>
        <v/>
      </c>
      <c r="C2387">
        <f>IF(OR(2&lt;='01_Вводные'!$B$15,2-'01_Вводные'!$B$15&gt;60),0,INDEX('19_Расчет_аналитики'!$B$2362:$BI$2362,1,2-'01_Вводные'!$B$15))*'01_Вводные'!$B$298*MIN(1,'01_Вводные'!$B$22)+IF(OR(2&lt;=('01_Вводные'!$B$15+'01_Вводные'!$B$311),2-('01_Вводные'!$B$15+'01_Вводные'!$B$311)&gt;60),0,INDEX('19_Расчет_аналитики'!$B$2362:$BI$2362,1,2-('01_Вводные'!$B$15+'01_Вводные'!$B$311)))*'01_Вводные'!$B$298*MAX(0,'01_Вводные'!$B$22-1)</f>
        <v/>
      </c>
      <c r="D2387">
        <f>IF(OR(3&lt;='01_Вводные'!$B$15,3-'01_Вводные'!$B$15&gt;60),0,INDEX('19_Расчет_аналитики'!$B$2362:$BI$2362,1,3-'01_Вводные'!$B$15))*'01_Вводные'!$B$298*MIN(1,'01_Вводные'!$B$22)+IF(OR(3&lt;=('01_Вводные'!$B$15+'01_Вводные'!$B$311),3-('01_Вводные'!$B$15+'01_Вводные'!$B$311)&gt;60),0,INDEX('19_Расчет_аналитики'!$B$2362:$BI$2362,1,3-('01_Вводные'!$B$15+'01_Вводные'!$B$311)))*'01_Вводные'!$B$298*MAX(0,'01_Вводные'!$B$22-1)</f>
        <v/>
      </c>
      <c r="E2387">
        <f>IF(OR(4&lt;='01_Вводные'!$B$15,4-'01_Вводные'!$B$15&gt;60),0,INDEX('19_Расчет_аналитики'!$B$2362:$BI$2362,1,4-'01_Вводные'!$B$15))*'01_Вводные'!$B$298*MIN(1,'01_Вводные'!$B$22)+IF(OR(4&lt;=('01_Вводные'!$B$15+'01_Вводные'!$B$311),4-('01_Вводные'!$B$15+'01_Вводные'!$B$311)&gt;60),0,INDEX('19_Расчет_аналитики'!$B$2362:$BI$2362,1,4-('01_Вводные'!$B$15+'01_Вводные'!$B$311)))*'01_Вводные'!$B$298*MAX(0,'01_Вводные'!$B$22-1)</f>
        <v/>
      </c>
      <c r="F2387">
        <f>IF(OR(5&lt;='01_Вводные'!$B$15,5-'01_Вводные'!$B$15&gt;60),0,INDEX('19_Расчет_аналитики'!$B$2362:$BI$2362,1,5-'01_Вводные'!$B$15))*'01_Вводные'!$B$298*MIN(1,'01_Вводные'!$B$22)+IF(OR(5&lt;=('01_Вводные'!$B$15+'01_Вводные'!$B$311),5-('01_Вводные'!$B$15+'01_Вводные'!$B$311)&gt;60),0,INDEX('19_Расчет_аналитики'!$B$2362:$BI$2362,1,5-('01_Вводные'!$B$15+'01_Вводные'!$B$311)))*'01_Вводные'!$B$298*MAX(0,'01_Вводные'!$B$22-1)</f>
        <v/>
      </c>
      <c r="G2387">
        <f>IF(OR(6&lt;='01_Вводные'!$B$15,6-'01_Вводные'!$B$15&gt;60),0,INDEX('19_Расчет_аналитики'!$B$2362:$BI$2362,1,6-'01_Вводные'!$B$15))*'01_Вводные'!$B$298*MIN(1,'01_Вводные'!$B$22)+IF(OR(6&lt;=('01_Вводные'!$B$15+'01_Вводные'!$B$311),6-('01_Вводные'!$B$15+'01_Вводные'!$B$311)&gt;60),0,INDEX('19_Расчет_аналитики'!$B$2362:$BI$2362,1,6-('01_Вводные'!$B$15+'01_Вводные'!$B$311)))*'01_Вводные'!$B$298*MAX(0,'01_Вводные'!$B$22-1)</f>
        <v/>
      </c>
      <c r="H2387">
        <f>IF(OR(7&lt;='01_Вводные'!$B$15,7-'01_Вводные'!$B$15&gt;60),0,INDEX('19_Расчет_аналитики'!$B$2362:$BI$2362,1,7-'01_Вводные'!$B$15))*'01_Вводные'!$B$298*MIN(1,'01_Вводные'!$B$22)+IF(OR(7&lt;=('01_Вводные'!$B$15+'01_Вводные'!$B$311),7-('01_Вводные'!$B$15+'01_Вводные'!$B$311)&gt;60),0,INDEX('19_Расчет_аналитики'!$B$2362:$BI$2362,1,7-('01_Вводные'!$B$15+'01_Вводные'!$B$311)))*'01_Вводные'!$B$298*MAX(0,'01_Вводные'!$B$22-1)</f>
        <v/>
      </c>
      <c r="I2387">
        <f>IF(OR(8&lt;='01_Вводные'!$B$15,8-'01_Вводные'!$B$15&gt;60),0,INDEX('19_Расчет_аналитики'!$B$2362:$BI$2362,1,8-'01_Вводные'!$B$15))*'01_Вводные'!$B$298*MIN(1,'01_Вводные'!$B$22)+IF(OR(8&lt;=('01_Вводные'!$B$15+'01_Вводные'!$B$311),8-('01_Вводные'!$B$15+'01_Вводные'!$B$311)&gt;60),0,INDEX('19_Расчет_аналитики'!$B$2362:$BI$2362,1,8-('01_Вводные'!$B$15+'01_Вводные'!$B$311)))*'01_Вводные'!$B$298*MAX(0,'01_Вводные'!$B$22-1)</f>
        <v/>
      </c>
      <c r="J2387">
        <f>IF(OR(9&lt;='01_Вводные'!$B$15,9-'01_Вводные'!$B$15&gt;60),0,INDEX('19_Расчет_аналитики'!$B$2362:$BI$2362,1,9-'01_Вводные'!$B$15))*'01_Вводные'!$B$298*MIN(1,'01_Вводные'!$B$22)+IF(OR(9&lt;=('01_Вводные'!$B$15+'01_Вводные'!$B$311),9-('01_Вводные'!$B$15+'01_Вводные'!$B$311)&gt;60),0,INDEX('19_Расчет_аналитики'!$B$2362:$BI$2362,1,9-('01_Вводные'!$B$15+'01_Вводные'!$B$311)))*'01_Вводные'!$B$298*MAX(0,'01_Вводные'!$B$22-1)</f>
        <v/>
      </c>
      <c r="K2387">
        <f>IF(OR(10&lt;='01_Вводные'!$B$15,10-'01_Вводные'!$B$15&gt;60),0,INDEX('19_Расчет_аналитики'!$B$2362:$BI$2362,1,10-'01_Вводные'!$B$15))*'01_Вводные'!$B$298*MIN(1,'01_Вводные'!$B$22)+IF(OR(10&lt;=('01_Вводные'!$B$15+'01_Вводные'!$B$311),10-('01_Вводные'!$B$15+'01_Вводные'!$B$311)&gt;60),0,INDEX('19_Расчет_аналитики'!$B$2362:$BI$2362,1,10-('01_Вводные'!$B$15+'01_Вводные'!$B$311)))*'01_Вводные'!$B$298*MAX(0,'01_Вводные'!$B$22-1)</f>
        <v/>
      </c>
      <c r="L2387">
        <f>IF(OR(11&lt;='01_Вводные'!$B$15,11-'01_Вводные'!$B$15&gt;60),0,INDEX('19_Расчет_аналитики'!$B$2362:$BI$2362,1,11-'01_Вводные'!$B$15))*'01_Вводные'!$B$298*MIN(1,'01_Вводные'!$B$22)+IF(OR(11&lt;=('01_Вводные'!$B$15+'01_Вводные'!$B$311),11-('01_Вводные'!$B$15+'01_Вводные'!$B$311)&gt;60),0,INDEX('19_Расчет_аналитики'!$B$2362:$BI$2362,1,11-('01_Вводные'!$B$15+'01_Вводные'!$B$311)))*'01_Вводные'!$B$298*MAX(0,'01_Вводные'!$B$22-1)</f>
        <v/>
      </c>
      <c r="M2387">
        <f>IF(OR(12&lt;='01_Вводные'!$B$15,12-'01_Вводные'!$B$15&gt;60),0,INDEX('19_Расчет_аналитики'!$B$2362:$BI$2362,1,12-'01_Вводные'!$B$15))*'01_Вводные'!$B$298*MIN(1,'01_Вводные'!$B$22)+IF(OR(12&lt;=('01_Вводные'!$B$15+'01_Вводные'!$B$311),12-('01_Вводные'!$B$15+'01_Вводные'!$B$311)&gt;60),0,INDEX('19_Расчет_аналитики'!$B$2362:$BI$2362,1,12-('01_Вводные'!$B$15+'01_Вводные'!$B$311)))*'01_Вводные'!$B$298*MAX(0,'01_Вводные'!$B$22-1)</f>
        <v/>
      </c>
      <c r="N2387">
        <f>IF(OR(13&lt;='01_Вводные'!$B$15,13-'01_Вводные'!$B$15&gt;60),0,INDEX('19_Расчет_аналитики'!$B$2362:$BI$2362,1,13-'01_Вводные'!$B$15))*'01_Вводные'!$B$298*MIN(1,'01_Вводные'!$B$22)+IF(OR(13&lt;=('01_Вводные'!$B$15+'01_Вводные'!$B$311),13-('01_Вводные'!$B$15+'01_Вводные'!$B$311)&gt;60),0,INDEX('19_Расчет_аналитики'!$B$2362:$BI$2362,1,13-('01_Вводные'!$B$15+'01_Вводные'!$B$311)))*'01_Вводные'!$B$298*MAX(0,'01_Вводные'!$B$22-1)</f>
        <v/>
      </c>
      <c r="O2387">
        <f>IF(OR(14&lt;='01_Вводные'!$B$15,14-'01_Вводные'!$B$15&gt;60),0,INDEX('19_Расчет_аналитики'!$B$2362:$BI$2362,1,14-'01_Вводные'!$B$15))*'01_Вводные'!$B$298*MIN(1,'01_Вводные'!$B$22)+IF(OR(14&lt;=('01_Вводные'!$B$15+'01_Вводные'!$B$311),14-('01_Вводные'!$B$15+'01_Вводные'!$B$311)&gt;60),0,INDEX('19_Расчет_аналитики'!$B$2362:$BI$2362,1,14-('01_Вводные'!$B$15+'01_Вводные'!$B$311)))*'01_Вводные'!$B$298*MAX(0,'01_Вводные'!$B$22-1)</f>
        <v/>
      </c>
      <c r="P2387">
        <f>IF(OR(15&lt;='01_Вводные'!$B$15,15-'01_Вводные'!$B$15&gt;60),0,INDEX('19_Расчет_аналитики'!$B$2362:$BI$2362,1,15-'01_Вводные'!$B$15))*'01_Вводные'!$B$298*MIN(1,'01_Вводные'!$B$22)+IF(OR(15&lt;=('01_Вводные'!$B$15+'01_Вводные'!$B$311),15-('01_Вводные'!$B$15+'01_Вводные'!$B$311)&gt;60),0,INDEX('19_Расчет_аналитики'!$B$2362:$BI$2362,1,15-('01_Вводные'!$B$15+'01_Вводные'!$B$311)))*'01_Вводные'!$B$298*MAX(0,'01_Вводные'!$B$22-1)</f>
        <v/>
      </c>
      <c r="Q2387">
        <f>IF(OR(16&lt;='01_Вводные'!$B$15,16-'01_Вводные'!$B$15&gt;60),0,INDEX('19_Расчет_аналитики'!$B$2362:$BI$2362,1,16-'01_Вводные'!$B$15))*'01_Вводные'!$B$298*MIN(1,'01_Вводные'!$B$22)+IF(OR(16&lt;=('01_Вводные'!$B$15+'01_Вводные'!$B$311),16-('01_Вводные'!$B$15+'01_Вводные'!$B$311)&gt;60),0,INDEX('19_Расчет_аналитики'!$B$2362:$BI$2362,1,16-('01_Вводные'!$B$15+'01_Вводные'!$B$311)))*'01_Вводные'!$B$298*MAX(0,'01_Вводные'!$B$22-1)</f>
        <v/>
      </c>
      <c r="R2387">
        <f>IF(OR(17&lt;='01_Вводные'!$B$15,17-'01_Вводные'!$B$15&gt;60),0,INDEX('19_Расчет_аналитики'!$B$2362:$BI$2362,1,17-'01_Вводные'!$B$15))*'01_Вводные'!$B$298*MIN(1,'01_Вводные'!$B$22)+IF(OR(17&lt;=('01_Вводные'!$B$15+'01_Вводные'!$B$311),17-('01_Вводные'!$B$15+'01_Вводные'!$B$311)&gt;60),0,INDEX('19_Расчет_аналитики'!$B$2362:$BI$2362,1,17-('01_Вводные'!$B$15+'01_Вводные'!$B$311)))*'01_Вводные'!$B$298*MAX(0,'01_Вводные'!$B$22-1)</f>
        <v/>
      </c>
      <c r="S2387">
        <f>IF(OR(18&lt;='01_Вводные'!$B$15,18-'01_Вводные'!$B$15&gt;60),0,INDEX('19_Расчет_аналитики'!$B$2362:$BI$2362,1,18-'01_Вводные'!$B$15))*'01_Вводные'!$B$298*MIN(1,'01_Вводные'!$B$22)+IF(OR(18&lt;=('01_Вводные'!$B$15+'01_Вводные'!$B$311),18-('01_Вводные'!$B$15+'01_Вводные'!$B$311)&gt;60),0,INDEX('19_Расчет_аналитики'!$B$2362:$BI$2362,1,18-('01_Вводные'!$B$15+'01_Вводные'!$B$311)))*'01_Вводные'!$B$298*MAX(0,'01_Вводные'!$B$22-1)</f>
        <v/>
      </c>
      <c r="T2387">
        <f>IF(OR(19&lt;='01_Вводные'!$B$15,19-'01_Вводные'!$B$15&gt;60),0,INDEX('19_Расчет_аналитики'!$B$2362:$BI$2362,1,19-'01_Вводные'!$B$15))*'01_Вводные'!$B$298*MIN(1,'01_Вводные'!$B$22)+IF(OR(19&lt;=('01_Вводные'!$B$15+'01_Вводные'!$B$311),19-('01_Вводные'!$B$15+'01_Вводные'!$B$311)&gt;60),0,INDEX('19_Расчет_аналитики'!$B$2362:$BI$2362,1,19-('01_Вводные'!$B$15+'01_Вводные'!$B$311)))*'01_Вводные'!$B$298*MAX(0,'01_Вводные'!$B$22-1)</f>
        <v/>
      </c>
      <c r="U2387">
        <f>IF(OR(20&lt;='01_Вводные'!$B$15,20-'01_Вводные'!$B$15&gt;60),0,INDEX('19_Расчет_аналитики'!$B$2362:$BI$2362,1,20-'01_Вводные'!$B$15))*'01_Вводные'!$B$298*MIN(1,'01_Вводные'!$B$22)+IF(OR(20&lt;=('01_Вводные'!$B$15+'01_Вводные'!$B$311),20-('01_Вводные'!$B$15+'01_Вводные'!$B$311)&gt;60),0,INDEX('19_Расчет_аналитики'!$B$2362:$BI$2362,1,20-('01_Вводные'!$B$15+'01_Вводные'!$B$311)))*'01_Вводные'!$B$298*MAX(0,'01_Вводные'!$B$22-1)</f>
        <v/>
      </c>
      <c r="V2387">
        <f>IF(OR(21&lt;='01_Вводные'!$B$15,21-'01_Вводные'!$B$15&gt;60),0,INDEX('19_Расчет_аналитики'!$B$2362:$BI$2362,1,21-'01_Вводные'!$B$15))*'01_Вводные'!$B$298*MIN(1,'01_Вводные'!$B$22)+IF(OR(21&lt;=('01_Вводные'!$B$15+'01_Вводные'!$B$311),21-('01_Вводные'!$B$15+'01_Вводные'!$B$311)&gt;60),0,INDEX('19_Расчет_аналитики'!$B$2362:$BI$2362,1,21-('01_Вводные'!$B$15+'01_Вводные'!$B$311)))*'01_Вводные'!$B$298*MAX(0,'01_Вводные'!$B$22-1)</f>
        <v/>
      </c>
      <c r="W2387">
        <f>IF(OR(22&lt;='01_Вводные'!$B$15,22-'01_Вводные'!$B$15&gt;60),0,INDEX('19_Расчет_аналитики'!$B$2362:$BI$2362,1,22-'01_Вводные'!$B$15))*'01_Вводные'!$B$298*MIN(1,'01_Вводные'!$B$22)+IF(OR(22&lt;=('01_Вводные'!$B$15+'01_Вводные'!$B$311),22-('01_Вводные'!$B$15+'01_Вводные'!$B$311)&gt;60),0,INDEX('19_Расчет_аналитики'!$B$2362:$BI$2362,1,22-('01_Вводные'!$B$15+'01_Вводные'!$B$311)))*'01_Вводные'!$B$298*MAX(0,'01_Вводные'!$B$22-1)</f>
        <v/>
      </c>
      <c r="X2387">
        <f>IF(OR(23&lt;='01_Вводные'!$B$15,23-'01_Вводные'!$B$15&gt;60),0,INDEX('19_Расчет_аналитики'!$B$2362:$BI$2362,1,23-'01_Вводные'!$B$15))*'01_Вводные'!$B$298*MIN(1,'01_Вводные'!$B$22)+IF(OR(23&lt;=('01_Вводные'!$B$15+'01_Вводные'!$B$311),23-('01_Вводные'!$B$15+'01_Вводные'!$B$311)&gt;60),0,INDEX('19_Расчет_аналитики'!$B$2362:$BI$2362,1,23-('01_Вводные'!$B$15+'01_Вводные'!$B$311)))*'01_Вводные'!$B$298*MAX(0,'01_Вводные'!$B$22-1)</f>
        <v/>
      </c>
      <c r="Y2387">
        <f>IF(OR(24&lt;='01_Вводные'!$B$15,24-'01_Вводные'!$B$15&gt;60),0,INDEX('19_Расчет_аналитики'!$B$2362:$BI$2362,1,24-'01_Вводные'!$B$15))*'01_Вводные'!$B$298*MIN(1,'01_Вводные'!$B$22)+IF(OR(24&lt;=('01_Вводные'!$B$15+'01_Вводные'!$B$311),24-('01_Вводные'!$B$15+'01_Вводные'!$B$311)&gt;60),0,INDEX('19_Расчет_аналитики'!$B$2362:$BI$2362,1,24-('01_Вводные'!$B$15+'01_Вводные'!$B$311)))*'01_Вводные'!$B$298*MAX(0,'01_Вводные'!$B$22-1)</f>
        <v/>
      </c>
      <c r="Z2387">
        <f>IF(OR(25&lt;='01_Вводные'!$B$15,25-'01_Вводные'!$B$15&gt;60),0,INDEX('19_Расчет_аналитики'!$B$2362:$BI$2362,1,25-'01_Вводные'!$B$15))*'01_Вводные'!$B$298*MIN(1,'01_Вводные'!$B$22)+IF(OR(25&lt;=('01_Вводные'!$B$15+'01_Вводные'!$B$311),25-('01_Вводные'!$B$15+'01_Вводные'!$B$311)&gt;60),0,INDEX('19_Расчет_аналитики'!$B$2362:$BI$2362,1,25-('01_Вводные'!$B$15+'01_Вводные'!$B$311)))*'01_Вводные'!$B$298*MAX(0,'01_Вводные'!$B$22-1)</f>
        <v/>
      </c>
      <c r="AA2387">
        <f>IF(OR(26&lt;='01_Вводные'!$B$15,26-'01_Вводные'!$B$15&gt;60),0,INDEX('19_Расчет_аналитики'!$B$2362:$BI$2362,1,26-'01_Вводные'!$B$15))*'01_Вводные'!$B$298*MIN(1,'01_Вводные'!$B$22)+IF(OR(26&lt;=('01_Вводные'!$B$15+'01_Вводные'!$B$311),26-('01_Вводные'!$B$15+'01_Вводные'!$B$311)&gt;60),0,INDEX('19_Расчет_аналитики'!$B$2362:$BI$2362,1,26-('01_Вводные'!$B$15+'01_Вводные'!$B$311)))*'01_Вводные'!$B$298*MAX(0,'01_Вводные'!$B$22-1)</f>
        <v/>
      </c>
      <c r="AB2387">
        <f>IF(OR(27&lt;='01_Вводные'!$B$15,27-'01_Вводные'!$B$15&gt;60),0,INDEX('19_Расчет_аналитики'!$B$2362:$BI$2362,1,27-'01_Вводные'!$B$15))*'01_Вводные'!$B$298*MIN(1,'01_Вводные'!$B$22)+IF(OR(27&lt;=('01_Вводные'!$B$15+'01_Вводные'!$B$311),27-('01_Вводные'!$B$15+'01_Вводные'!$B$311)&gt;60),0,INDEX('19_Расчет_аналитики'!$B$2362:$BI$2362,1,27-('01_Вводные'!$B$15+'01_Вводные'!$B$311)))*'01_Вводные'!$B$298*MAX(0,'01_Вводные'!$B$22-1)</f>
        <v/>
      </c>
      <c r="AC2387">
        <f>IF(OR(28&lt;='01_Вводные'!$B$15,28-'01_Вводные'!$B$15&gt;60),0,INDEX('19_Расчет_аналитики'!$B$2362:$BI$2362,1,28-'01_Вводные'!$B$15))*'01_Вводные'!$B$298*MIN(1,'01_Вводные'!$B$22)+IF(OR(28&lt;=('01_Вводные'!$B$15+'01_Вводные'!$B$311),28-('01_Вводные'!$B$15+'01_Вводные'!$B$311)&gt;60),0,INDEX('19_Расчет_аналитики'!$B$2362:$BI$2362,1,28-('01_Вводные'!$B$15+'01_Вводные'!$B$311)))*'01_Вводные'!$B$298*MAX(0,'01_Вводные'!$B$22-1)</f>
        <v/>
      </c>
      <c r="AD2387">
        <f>IF(OR(29&lt;='01_Вводные'!$B$15,29-'01_Вводные'!$B$15&gt;60),0,INDEX('19_Расчет_аналитики'!$B$2362:$BI$2362,1,29-'01_Вводные'!$B$15))*'01_Вводные'!$B$298*MIN(1,'01_Вводные'!$B$22)+IF(OR(29&lt;=('01_Вводные'!$B$15+'01_Вводные'!$B$311),29-('01_Вводные'!$B$15+'01_Вводные'!$B$311)&gt;60),0,INDEX('19_Расчет_аналитики'!$B$2362:$BI$2362,1,29-('01_Вводные'!$B$15+'01_Вводные'!$B$311)))*'01_Вводные'!$B$298*MAX(0,'01_Вводные'!$B$22-1)</f>
        <v/>
      </c>
      <c r="AE2387">
        <f>IF(OR(30&lt;='01_Вводные'!$B$15,30-'01_Вводные'!$B$15&gt;60),0,INDEX('19_Расчет_аналитики'!$B$2362:$BI$2362,1,30-'01_Вводные'!$B$15))*'01_Вводные'!$B$298*MIN(1,'01_Вводные'!$B$22)+IF(OR(30&lt;=('01_Вводные'!$B$15+'01_Вводные'!$B$311),30-('01_Вводные'!$B$15+'01_Вводные'!$B$311)&gt;60),0,INDEX('19_Расчет_аналитики'!$B$2362:$BI$2362,1,30-('01_Вводные'!$B$15+'01_Вводные'!$B$311)))*'01_Вводные'!$B$298*MAX(0,'01_Вводные'!$B$22-1)</f>
        <v/>
      </c>
      <c r="AF2387">
        <f>IF(OR(31&lt;='01_Вводные'!$B$15,31-'01_Вводные'!$B$15&gt;60),0,INDEX('19_Расчет_аналитики'!$B$2362:$BI$2362,1,31-'01_Вводные'!$B$15))*'01_Вводные'!$B$298*MIN(1,'01_Вводные'!$B$22)+IF(OR(31&lt;=('01_Вводные'!$B$15+'01_Вводные'!$B$311),31-('01_Вводные'!$B$15+'01_Вводные'!$B$311)&gt;60),0,INDEX('19_Расчет_аналитики'!$B$2362:$BI$2362,1,31-('01_Вводные'!$B$15+'01_Вводные'!$B$311)))*'01_Вводные'!$B$298*MAX(0,'01_Вводные'!$B$22-1)</f>
        <v/>
      </c>
      <c r="AG2387">
        <f>IF(OR(32&lt;='01_Вводные'!$B$15,32-'01_Вводные'!$B$15&gt;60),0,INDEX('19_Расчет_аналитики'!$B$2362:$BI$2362,1,32-'01_Вводные'!$B$15))*'01_Вводные'!$B$298*MIN(1,'01_Вводные'!$B$22)+IF(OR(32&lt;=('01_Вводные'!$B$15+'01_Вводные'!$B$311),32-('01_Вводные'!$B$15+'01_Вводные'!$B$311)&gt;60),0,INDEX('19_Расчет_аналитики'!$B$2362:$BI$2362,1,32-('01_Вводные'!$B$15+'01_Вводные'!$B$311)))*'01_Вводные'!$B$298*MAX(0,'01_Вводные'!$B$22-1)</f>
        <v/>
      </c>
      <c r="AH2387">
        <f>IF(OR(33&lt;='01_Вводные'!$B$15,33-'01_Вводные'!$B$15&gt;60),0,INDEX('19_Расчет_аналитики'!$B$2362:$BI$2362,1,33-'01_Вводные'!$B$15))*'01_Вводные'!$B$298*MIN(1,'01_Вводные'!$B$22)+IF(OR(33&lt;=('01_Вводные'!$B$15+'01_Вводные'!$B$311),33-('01_Вводные'!$B$15+'01_Вводные'!$B$311)&gt;60),0,INDEX('19_Расчет_аналитики'!$B$2362:$BI$2362,1,33-('01_Вводные'!$B$15+'01_Вводные'!$B$311)))*'01_Вводные'!$B$298*MAX(0,'01_Вводные'!$B$22-1)</f>
        <v/>
      </c>
      <c r="AI2387">
        <f>IF(OR(34&lt;='01_Вводные'!$B$15,34-'01_Вводные'!$B$15&gt;60),0,INDEX('19_Расчет_аналитики'!$B$2362:$BI$2362,1,34-'01_Вводные'!$B$15))*'01_Вводные'!$B$298*MIN(1,'01_Вводные'!$B$22)+IF(OR(34&lt;=('01_Вводные'!$B$15+'01_Вводные'!$B$311),34-('01_Вводные'!$B$15+'01_Вводные'!$B$311)&gt;60),0,INDEX('19_Расчет_аналитики'!$B$2362:$BI$2362,1,34-('01_Вводные'!$B$15+'01_Вводные'!$B$311)))*'01_Вводные'!$B$298*MAX(0,'01_Вводные'!$B$22-1)</f>
        <v/>
      </c>
      <c r="AJ2387">
        <f>IF(OR(35&lt;='01_Вводные'!$B$15,35-'01_Вводные'!$B$15&gt;60),0,INDEX('19_Расчет_аналитики'!$B$2362:$BI$2362,1,35-'01_Вводные'!$B$15))*'01_Вводные'!$B$298*MIN(1,'01_Вводные'!$B$22)+IF(OR(35&lt;=('01_Вводные'!$B$15+'01_Вводные'!$B$311),35-('01_Вводные'!$B$15+'01_Вводные'!$B$311)&gt;60),0,INDEX('19_Расчет_аналитики'!$B$2362:$BI$2362,1,35-('01_Вводные'!$B$15+'01_Вводные'!$B$311)))*'01_Вводные'!$B$298*MAX(0,'01_Вводные'!$B$22-1)</f>
        <v/>
      </c>
      <c r="AK2387">
        <f>IF(OR(36&lt;='01_Вводные'!$B$15,36-'01_Вводные'!$B$15&gt;60),0,INDEX('19_Расчет_аналитики'!$B$2362:$BI$2362,1,36-'01_Вводные'!$B$15))*'01_Вводные'!$B$298*MIN(1,'01_Вводные'!$B$22)+IF(OR(36&lt;=('01_Вводные'!$B$15+'01_Вводные'!$B$311),36-('01_Вводные'!$B$15+'01_Вводные'!$B$311)&gt;60),0,INDEX('19_Расчет_аналитики'!$B$2362:$BI$2362,1,36-('01_Вводные'!$B$15+'01_Вводные'!$B$311)))*'01_Вводные'!$B$298*MAX(0,'01_Вводные'!$B$22-1)</f>
        <v/>
      </c>
      <c r="AL2387">
        <f>IF(OR(37&lt;='01_Вводные'!$B$15,37-'01_Вводные'!$B$15&gt;60),0,INDEX('19_Расчет_аналитики'!$B$2362:$BI$2362,1,37-'01_Вводные'!$B$15))*'01_Вводные'!$B$298*MIN(1,'01_Вводные'!$B$22)+IF(OR(37&lt;=('01_Вводные'!$B$15+'01_Вводные'!$B$311),37-('01_Вводные'!$B$15+'01_Вводные'!$B$311)&gt;60),0,INDEX('19_Расчет_аналитики'!$B$2362:$BI$2362,1,37-('01_Вводные'!$B$15+'01_Вводные'!$B$311)))*'01_Вводные'!$B$298*MAX(0,'01_Вводные'!$B$22-1)</f>
        <v/>
      </c>
      <c r="AM2387">
        <f>IF(OR(38&lt;='01_Вводные'!$B$15,38-'01_Вводные'!$B$15&gt;60),0,INDEX('19_Расчет_аналитики'!$B$2362:$BI$2362,1,38-'01_Вводные'!$B$15))*'01_Вводные'!$B$298*MIN(1,'01_Вводные'!$B$22)+IF(OR(38&lt;=('01_Вводные'!$B$15+'01_Вводные'!$B$311),38-('01_Вводные'!$B$15+'01_Вводные'!$B$311)&gt;60),0,INDEX('19_Расчет_аналитики'!$B$2362:$BI$2362,1,38-('01_Вводные'!$B$15+'01_Вводные'!$B$311)))*'01_Вводные'!$B$298*MAX(0,'01_Вводные'!$B$22-1)</f>
        <v/>
      </c>
      <c r="AN2387">
        <f>IF(OR(39&lt;='01_Вводные'!$B$15,39-'01_Вводные'!$B$15&gt;60),0,INDEX('19_Расчет_аналитики'!$B$2362:$BI$2362,1,39-'01_Вводные'!$B$15))*'01_Вводные'!$B$298*MIN(1,'01_Вводные'!$B$22)+IF(OR(39&lt;=('01_Вводные'!$B$15+'01_Вводные'!$B$311),39-('01_Вводные'!$B$15+'01_Вводные'!$B$311)&gt;60),0,INDEX('19_Расчет_аналитики'!$B$2362:$BI$2362,1,39-('01_Вводные'!$B$15+'01_Вводные'!$B$311)))*'01_Вводные'!$B$298*MAX(0,'01_Вводные'!$B$22-1)</f>
        <v/>
      </c>
      <c r="AO2387">
        <f>IF(OR(40&lt;='01_Вводные'!$B$15,40-'01_Вводные'!$B$15&gt;60),0,INDEX('19_Расчет_аналитики'!$B$2362:$BI$2362,1,40-'01_Вводные'!$B$15))*'01_Вводные'!$B$298*MIN(1,'01_Вводные'!$B$22)+IF(OR(40&lt;=('01_Вводные'!$B$15+'01_Вводные'!$B$311),40-('01_Вводные'!$B$15+'01_Вводные'!$B$311)&gt;60),0,INDEX('19_Расчет_аналитики'!$B$2362:$BI$2362,1,40-('01_Вводные'!$B$15+'01_Вводные'!$B$311)))*'01_Вводные'!$B$298*MAX(0,'01_Вводные'!$B$22-1)</f>
        <v/>
      </c>
      <c r="AP2387">
        <f>IF(OR(41&lt;='01_Вводные'!$B$15,41-'01_Вводные'!$B$15&gt;60),0,INDEX('19_Расчет_аналитики'!$B$2362:$BI$2362,1,41-'01_Вводные'!$B$15))*'01_Вводные'!$B$298*MIN(1,'01_Вводные'!$B$22)+IF(OR(41&lt;=('01_Вводные'!$B$15+'01_Вводные'!$B$311),41-('01_Вводные'!$B$15+'01_Вводные'!$B$311)&gt;60),0,INDEX('19_Расчет_аналитики'!$B$2362:$BI$2362,1,41-('01_Вводные'!$B$15+'01_Вводные'!$B$311)))*'01_Вводные'!$B$298*MAX(0,'01_Вводные'!$B$22-1)</f>
        <v/>
      </c>
      <c r="AQ2387">
        <f>IF(OR(42&lt;='01_Вводные'!$B$15,42-'01_Вводные'!$B$15&gt;60),0,INDEX('19_Расчет_аналитики'!$B$2362:$BI$2362,1,42-'01_Вводные'!$B$15))*'01_Вводные'!$B$298*MIN(1,'01_Вводные'!$B$22)+IF(OR(42&lt;=('01_Вводные'!$B$15+'01_Вводные'!$B$311),42-('01_Вводные'!$B$15+'01_Вводные'!$B$311)&gt;60),0,INDEX('19_Расчет_аналитики'!$B$2362:$BI$2362,1,42-('01_Вводные'!$B$15+'01_Вводные'!$B$311)))*'01_Вводные'!$B$298*MAX(0,'01_Вводные'!$B$22-1)</f>
        <v/>
      </c>
      <c r="AR2387">
        <f>IF(OR(43&lt;='01_Вводные'!$B$15,43-'01_Вводные'!$B$15&gt;60),0,INDEX('19_Расчет_аналитики'!$B$2362:$BI$2362,1,43-'01_Вводные'!$B$15))*'01_Вводные'!$B$298*MIN(1,'01_Вводные'!$B$22)+IF(OR(43&lt;=('01_Вводные'!$B$15+'01_Вводные'!$B$311),43-('01_Вводные'!$B$15+'01_Вводные'!$B$311)&gt;60),0,INDEX('19_Расчет_аналитики'!$B$2362:$BI$2362,1,43-('01_Вводные'!$B$15+'01_Вводные'!$B$311)))*'01_Вводные'!$B$298*MAX(0,'01_Вводные'!$B$22-1)</f>
        <v/>
      </c>
      <c r="AS2387">
        <f>IF(OR(44&lt;='01_Вводные'!$B$15,44-'01_Вводные'!$B$15&gt;60),0,INDEX('19_Расчет_аналитики'!$B$2362:$BI$2362,1,44-'01_Вводные'!$B$15))*'01_Вводные'!$B$298*MIN(1,'01_Вводные'!$B$22)+IF(OR(44&lt;=('01_Вводные'!$B$15+'01_Вводные'!$B$311),44-('01_Вводные'!$B$15+'01_Вводные'!$B$311)&gt;60),0,INDEX('19_Расчет_аналитики'!$B$2362:$BI$2362,1,44-('01_Вводные'!$B$15+'01_Вводные'!$B$311)))*'01_Вводные'!$B$298*MAX(0,'01_Вводные'!$B$22-1)</f>
        <v/>
      </c>
      <c r="AT2387">
        <f>IF(OR(45&lt;='01_Вводные'!$B$15,45-'01_Вводные'!$B$15&gt;60),0,INDEX('19_Расчет_аналитики'!$B$2362:$BI$2362,1,45-'01_Вводные'!$B$15))*'01_Вводные'!$B$298*MIN(1,'01_Вводные'!$B$22)+IF(OR(45&lt;=('01_Вводные'!$B$15+'01_Вводные'!$B$311),45-('01_Вводные'!$B$15+'01_Вводные'!$B$311)&gt;60),0,INDEX('19_Расчет_аналитики'!$B$2362:$BI$2362,1,45-('01_Вводные'!$B$15+'01_Вводные'!$B$311)))*'01_Вводные'!$B$298*MAX(0,'01_Вводные'!$B$22-1)</f>
        <v/>
      </c>
      <c r="AU2387">
        <f>IF(OR(46&lt;='01_Вводные'!$B$15,46-'01_Вводные'!$B$15&gt;60),0,INDEX('19_Расчет_аналитики'!$B$2362:$BI$2362,1,46-'01_Вводные'!$B$15))*'01_Вводные'!$B$298*MIN(1,'01_Вводные'!$B$22)+IF(OR(46&lt;=('01_Вводные'!$B$15+'01_Вводные'!$B$311),46-('01_Вводные'!$B$15+'01_Вводные'!$B$311)&gt;60),0,INDEX('19_Расчет_аналитики'!$B$2362:$BI$2362,1,46-('01_Вводные'!$B$15+'01_Вводные'!$B$311)))*'01_Вводные'!$B$298*MAX(0,'01_Вводные'!$B$22-1)</f>
        <v/>
      </c>
      <c r="AV2387">
        <f>IF(OR(47&lt;='01_Вводные'!$B$15,47-'01_Вводные'!$B$15&gt;60),0,INDEX('19_Расчет_аналитики'!$B$2362:$BI$2362,1,47-'01_Вводные'!$B$15))*'01_Вводные'!$B$298*MIN(1,'01_Вводные'!$B$22)+IF(OR(47&lt;=('01_Вводные'!$B$15+'01_Вводные'!$B$311),47-('01_Вводные'!$B$15+'01_Вводные'!$B$311)&gt;60),0,INDEX('19_Расчет_аналитики'!$B$2362:$BI$2362,1,47-('01_Вводные'!$B$15+'01_Вводные'!$B$311)))*'01_Вводные'!$B$298*MAX(0,'01_Вводные'!$B$22-1)</f>
        <v/>
      </c>
      <c r="AW2387">
        <f>IF(OR(48&lt;='01_Вводные'!$B$15,48-'01_Вводные'!$B$15&gt;60),0,INDEX('19_Расчет_аналитики'!$B$2362:$BI$2362,1,48-'01_Вводные'!$B$15))*'01_Вводные'!$B$298*MIN(1,'01_Вводные'!$B$22)+IF(OR(48&lt;=('01_Вводные'!$B$15+'01_Вводные'!$B$311),48-('01_Вводные'!$B$15+'01_Вводные'!$B$311)&gt;60),0,INDEX('19_Расчет_аналитики'!$B$2362:$BI$2362,1,48-('01_Вводные'!$B$15+'01_Вводные'!$B$311)))*'01_Вводные'!$B$298*MAX(0,'01_Вводные'!$B$22-1)</f>
        <v/>
      </c>
      <c r="AX2387">
        <f>IF(OR(49&lt;='01_Вводные'!$B$15,49-'01_Вводные'!$B$15&gt;60),0,INDEX('19_Расчет_аналитики'!$B$2362:$BI$2362,1,49-'01_Вводные'!$B$15))*'01_Вводные'!$B$298*MIN(1,'01_Вводные'!$B$22)+IF(OR(49&lt;=('01_Вводные'!$B$15+'01_Вводные'!$B$311),49-('01_Вводные'!$B$15+'01_Вводные'!$B$311)&gt;60),0,INDEX('19_Расчет_аналитики'!$B$2362:$BI$2362,1,49-('01_Вводные'!$B$15+'01_Вводные'!$B$311)))*'01_Вводные'!$B$298*MAX(0,'01_Вводные'!$B$22-1)</f>
        <v/>
      </c>
      <c r="AY2387">
        <f>IF(OR(50&lt;='01_Вводные'!$B$15,50-'01_Вводные'!$B$15&gt;60),0,INDEX('19_Расчет_аналитики'!$B$2362:$BI$2362,1,50-'01_Вводные'!$B$15))*'01_Вводные'!$B$298*MIN(1,'01_Вводные'!$B$22)+IF(OR(50&lt;=('01_Вводные'!$B$15+'01_Вводные'!$B$311),50-('01_Вводные'!$B$15+'01_Вводные'!$B$311)&gt;60),0,INDEX('19_Расчет_аналитики'!$B$2362:$BI$2362,1,50-('01_Вводные'!$B$15+'01_Вводные'!$B$311)))*'01_Вводные'!$B$298*MAX(0,'01_Вводные'!$B$22-1)</f>
        <v/>
      </c>
      <c r="AZ2387">
        <f>IF(OR(51&lt;='01_Вводные'!$B$15,51-'01_Вводные'!$B$15&gt;60),0,INDEX('19_Расчет_аналитики'!$B$2362:$BI$2362,1,51-'01_Вводные'!$B$15))*'01_Вводные'!$B$298*MIN(1,'01_Вводные'!$B$22)+IF(OR(51&lt;=('01_Вводные'!$B$15+'01_Вводные'!$B$311),51-('01_Вводные'!$B$15+'01_Вводные'!$B$311)&gt;60),0,INDEX('19_Расчет_аналитики'!$B$2362:$BI$2362,1,51-('01_Вводные'!$B$15+'01_Вводные'!$B$311)))*'01_Вводные'!$B$298*MAX(0,'01_Вводные'!$B$22-1)</f>
        <v/>
      </c>
      <c r="BA2387">
        <f>IF(OR(52&lt;='01_Вводные'!$B$15,52-'01_Вводные'!$B$15&gt;60),0,INDEX('19_Расчет_аналитики'!$B$2362:$BI$2362,1,52-'01_Вводные'!$B$15))*'01_Вводные'!$B$298*MIN(1,'01_Вводные'!$B$22)+IF(OR(52&lt;=('01_Вводные'!$B$15+'01_Вводные'!$B$311),52-('01_Вводные'!$B$15+'01_Вводные'!$B$311)&gt;60),0,INDEX('19_Расчет_аналитики'!$B$2362:$BI$2362,1,52-('01_Вводные'!$B$15+'01_Вводные'!$B$311)))*'01_Вводные'!$B$298*MAX(0,'01_Вводные'!$B$22-1)</f>
        <v/>
      </c>
      <c r="BB2387">
        <f>IF(OR(53&lt;='01_Вводные'!$B$15,53-'01_Вводные'!$B$15&gt;60),0,INDEX('19_Расчет_аналитики'!$B$2362:$BI$2362,1,53-'01_Вводные'!$B$15))*'01_Вводные'!$B$298*MIN(1,'01_Вводные'!$B$22)+IF(OR(53&lt;=('01_Вводные'!$B$15+'01_Вводные'!$B$311),53-('01_Вводные'!$B$15+'01_Вводные'!$B$311)&gt;60),0,INDEX('19_Расчет_аналитики'!$B$2362:$BI$2362,1,53-('01_Вводные'!$B$15+'01_Вводные'!$B$311)))*'01_Вводные'!$B$298*MAX(0,'01_Вводные'!$B$22-1)</f>
        <v/>
      </c>
      <c r="BC2387">
        <f>IF(OR(54&lt;='01_Вводные'!$B$15,54-'01_Вводные'!$B$15&gt;60),0,INDEX('19_Расчет_аналитики'!$B$2362:$BI$2362,1,54-'01_Вводные'!$B$15))*'01_Вводные'!$B$298*MIN(1,'01_Вводные'!$B$22)+IF(OR(54&lt;=('01_Вводные'!$B$15+'01_Вводные'!$B$311),54-('01_Вводные'!$B$15+'01_Вводные'!$B$311)&gt;60),0,INDEX('19_Расчет_аналитики'!$B$2362:$BI$2362,1,54-('01_Вводные'!$B$15+'01_Вводные'!$B$311)))*'01_Вводные'!$B$298*MAX(0,'01_Вводные'!$B$22-1)</f>
        <v/>
      </c>
      <c r="BD2387">
        <f>IF(OR(55&lt;='01_Вводные'!$B$15,55-'01_Вводные'!$B$15&gt;60),0,INDEX('19_Расчет_аналитики'!$B$2362:$BI$2362,1,55-'01_Вводные'!$B$15))*'01_Вводные'!$B$298*MIN(1,'01_Вводные'!$B$22)+IF(OR(55&lt;=('01_Вводные'!$B$15+'01_Вводные'!$B$311),55-('01_Вводные'!$B$15+'01_Вводные'!$B$311)&gt;60),0,INDEX('19_Расчет_аналитики'!$B$2362:$BI$2362,1,55-('01_Вводные'!$B$15+'01_Вводные'!$B$311)))*'01_Вводные'!$B$298*MAX(0,'01_Вводные'!$B$22-1)</f>
        <v/>
      </c>
      <c r="BE2387">
        <f>IF(OR(56&lt;='01_Вводные'!$B$15,56-'01_Вводные'!$B$15&gt;60),0,INDEX('19_Расчет_аналитики'!$B$2362:$BI$2362,1,56-'01_Вводные'!$B$15))*'01_Вводные'!$B$298*MIN(1,'01_Вводные'!$B$22)+IF(OR(56&lt;=('01_Вводные'!$B$15+'01_Вводные'!$B$311),56-('01_Вводные'!$B$15+'01_Вводные'!$B$311)&gt;60),0,INDEX('19_Расчет_аналитики'!$B$2362:$BI$2362,1,56-('01_Вводные'!$B$15+'01_Вводные'!$B$311)))*'01_Вводные'!$B$298*MAX(0,'01_Вводные'!$B$22-1)</f>
        <v/>
      </c>
      <c r="BF2387">
        <f>IF(OR(57&lt;='01_Вводные'!$B$15,57-'01_Вводные'!$B$15&gt;60),0,INDEX('19_Расчет_аналитики'!$B$2362:$BI$2362,1,57-'01_Вводные'!$B$15))*'01_Вводные'!$B$298*MIN(1,'01_Вводные'!$B$22)+IF(OR(57&lt;=('01_Вводные'!$B$15+'01_Вводные'!$B$311),57-('01_Вводные'!$B$15+'01_Вводные'!$B$311)&gt;60),0,INDEX('19_Расчет_аналитики'!$B$2362:$BI$2362,1,57-('01_Вводные'!$B$15+'01_Вводные'!$B$311)))*'01_Вводные'!$B$298*MAX(0,'01_Вводные'!$B$22-1)</f>
        <v/>
      </c>
      <c r="BG2387">
        <f>IF(OR(58&lt;='01_Вводные'!$B$15,58-'01_Вводные'!$B$15&gt;60),0,INDEX('19_Расчет_аналитики'!$B$2362:$BI$2362,1,58-'01_Вводные'!$B$15))*'01_Вводные'!$B$298*MIN(1,'01_Вводные'!$B$22)+IF(OR(58&lt;=('01_Вводные'!$B$15+'01_Вводные'!$B$311),58-('01_Вводные'!$B$15+'01_Вводные'!$B$311)&gt;60),0,INDEX('19_Расчет_аналитики'!$B$2362:$BI$2362,1,58-('01_Вводные'!$B$15+'01_Вводные'!$B$311)))*'01_Вводные'!$B$298*MAX(0,'01_Вводные'!$B$22-1)</f>
        <v/>
      </c>
      <c r="BH2387">
        <f>IF(OR(59&lt;='01_Вводные'!$B$15,59-'01_Вводные'!$B$15&gt;60),0,INDEX('19_Расчет_аналитики'!$B$2362:$BI$2362,1,59-'01_Вводные'!$B$15))*'01_Вводные'!$B$298*MIN(1,'01_Вводные'!$B$22)+IF(OR(59&lt;=('01_Вводные'!$B$15+'01_Вводные'!$B$311),59-('01_Вводные'!$B$15+'01_Вводные'!$B$311)&gt;60),0,INDEX('19_Расчет_аналитики'!$B$2362:$BI$2362,1,59-('01_Вводные'!$B$15+'01_Вводные'!$B$311)))*'01_Вводные'!$B$298*MAX(0,'01_Вводные'!$B$22-1)</f>
        <v/>
      </c>
      <c r="BI2387">
        <f>IF(OR(60&lt;='01_Вводные'!$B$15,60-'01_Вводные'!$B$15&gt;60),0,INDEX('19_Расчет_аналитики'!$B$2362:$BI$2362,1,60-'01_Вводные'!$B$15))*'01_Вводные'!$B$298*MIN(1,'01_Вводные'!$B$22)+IF(OR(60&lt;=('01_Вводные'!$B$15+'01_Вводные'!$B$311),60-('01_Вводные'!$B$15+'01_Вводные'!$B$311)&gt;60),0,INDEX('19_Расчет_аналитики'!$B$2362:$BI$2362,1,60-('01_Вводные'!$B$15+'01_Вводные'!$B$311)))*'01_Вводные'!$B$298*MAX(0,'01_Вводные'!$B$22-1)</f>
        <v/>
      </c>
      <c r="BJ2387">
        <f>IF(OR(61&lt;='01_Вводные'!$B$15,61-'01_Вводные'!$B$15&gt;60),0,INDEX('19_Расчет_аналитики'!$B$2362:$BI$2362,1,61-'01_Вводные'!$B$15))*'01_Вводные'!$B$298*MIN(1,'01_Вводные'!$B$22)+IF(OR(61&lt;=('01_Вводные'!$B$15+'01_Вводные'!$B$311),61-('01_Вводные'!$B$15+'01_Вводные'!$B$311)&gt;60),0,INDEX('19_Расчет_аналитики'!$B$2362:$BI$2362,1,61-('01_Вводные'!$B$15+'01_Вводные'!$B$311)))*'01_Вводные'!$B$298*MAX(0,'01_Вводные'!$B$22-1)</f>
        <v/>
      </c>
      <c r="BK2387">
        <f>IF(OR(62&lt;='01_Вводные'!$B$15,62-'01_Вводные'!$B$15&gt;60),0,INDEX('19_Расчет_аналитики'!$B$2362:$BI$2362,1,62-'01_Вводные'!$B$15))*'01_Вводные'!$B$298*MIN(1,'01_Вводные'!$B$22)+IF(OR(62&lt;=('01_Вводные'!$B$15+'01_Вводные'!$B$311),62-('01_Вводные'!$B$15+'01_Вводные'!$B$311)&gt;60),0,INDEX('19_Расчет_аналитики'!$B$2362:$BI$2362,1,62-('01_Вводные'!$B$15+'01_Вводные'!$B$311)))*'01_Вводные'!$B$298*MAX(0,'01_Вводные'!$B$22-1)</f>
        <v/>
      </c>
      <c r="BL2387">
        <f>IF(OR(63&lt;='01_Вводные'!$B$15,63-'01_Вводные'!$B$15&gt;60),0,INDEX('19_Расчет_аналитики'!$B$2362:$BI$2362,1,63-'01_Вводные'!$B$15))*'01_Вводные'!$B$298*MIN(1,'01_Вводные'!$B$22)+IF(OR(63&lt;=('01_Вводные'!$B$15+'01_Вводные'!$B$311),63-('01_Вводные'!$B$15+'01_Вводные'!$B$311)&gt;60),0,INDEX('19_Расчет_аналитики'!$B$2362:$BI$2362,1,63-('01_Вводные'!$B$15+'01_Вводные'!$B$311)))*'01_Вводные'!$B$298*MAX(0,'01_Вводные'!$B$22-1)</f>
        <v/>
      </c>
      <c r="BM2387">
        <f>IF(OR(64&lt;='01_Вводные'!$B$15,64-'01_Вводные'!$B$15&gt;60),0,INDEX('19_Расчет_аналитики'!$B$2362:$BI$2362,1,64-'01_Вводные'!$B$15))*'01_Вводные'!$B$298*MIN(1,'01_Вводные'!$B$22)+IF(OR(64&lt;=('01_Вводные'!$B$15+'01_Вводные'!$B$311),64-('01_Вводные'!$B$15+'01_Вводные'!$B$311)&gt;60),0,INDEX('19_Расчет_аналитики'!$B$2362:$BI$2362,1,64-('01_Вводные'!$B$15+'01_Вводные'!$B$311)))*'01_Вводные'!$B$298*MAX(0,'01_Вводные'!$B$22-1)</f>
        <v/>
      </c>
      <c r="BN2387">
        <f>IF(OR(65&lt;='01_Вводные'!$B$15,65-'01_Вводные'!$B$15&gt;60),0,INDEX('19_Расчет_аналитики'!$B$2362:$BI$2362,1,65-'01_Вводные'!$B$15))*'01_Вводные'!$B$298*MIN(1,'01_Вводные'!$B$22)+IF(OR(65&lt;=('01_Вводные'!$B$15+'01_Вводные'!$B$311),65-('01_Вводные'!$B$15+'01_Вводные'!$B$311)&gt;60),0,INDEX('19_Расчет_аналитики'!$B$2362:$BI$2362,1,65-('01_Вводные'!$B$15+'01_Вводные'!$B$311)))*'01_Вводные'!$B$298*MAX(0,'01_Вводные'!$B$22-1)</f>
        <v/>
      </c>
      <c r="BO2387">
        <f>IF(OR(66&lt;='01_Вводные'!$B$15,66-'01_Вводные'!$B$15&gt;60),0,INDEX('19_Расчет_аналитики'!$B$2362:$BI$2362,1,66-'01_Вводные'!$B$15))*'01_Вводные'!$B$298*MIN(1,'01_Вводные'!$B$22)+IF(OR(66&lt;=('01_Вводные'!$B$15+'01_Вводные'!$B$311),66-('01_Вводные'!$B$15+'01_Вводные'!$B$311)&gt;60),0,INDEX('19_Расчет_аналитики'!$B$2362:$BI$2362,1,66-('01_Вводные'!$B$15+'01_Вводные'!$B$311)))*'01_Вводные'!$B$298*MAX(0,'01_Вводные'!$B$22-1)</f>
        <v/>
      </c>
    </row>
    <row r="2388">
      <c r="C2388">
        <f>'19_Расчет_аналитики'!C2386*'01_Вводные'!$B$16</f>
        <v/>
      </c>
      <c r="D2388">
        <f>'19_Расчет_аналитики'!D2386*'01_Вводные'!$B$16</f>
        <v/>
      </c>
      <c r="E2388">
        <f>'19_Расчет_аналитики'!E2386*'01_Вводные'!$B$16</f>
        <v/>
      </c>
      <c r="F2388">
        <f>'19_Расчет_аналитики'!F2386*'01_Вводные'!$B$16</f>
        <v/>
      </c>
      <c r="G2388">
        <f>'19_Расчет_аналитики'!G2386*'01_Вводные'!$B$16</f>
        <v/>
      </c>
      <c r="H2388">
        <f>'19_Расчет_аналитики'!H2386*'01_Вводные'!$B$16</f>
        <v/>
      </c>
      <c r="I2388">
        <f>'19_Расчет_аналитики'!I2386*'01_Вводные'!$B$16</f>
        <v/>
      </c>
      <c r="J2388">
        <f>'19_Расчет_аналитики'!J2386*'01_Вводные'!$B$16</f>
        <v/>
      </c>
      <c r="K2388">
        <f>'19_Расчет_аналитики'!K2386*'01_Вводные'!$B$16</f>
        <v/>
      </c>
      <c r="L2388">
        <f>'19_Расчет_аналитики'!L2386*'01_Вводные'!$B$16</f>
        <v/>
      </c>
      <c r="M2388">
        <f>'19_Расчет_аналитики'!M2386*'01_Вводные'!$B$16</f>
        <v/>
      </c>
      <c r="N2388">
        <f>'19_Расчет_аналитики'!N2386*'01_Вводные'!$B$16</f>
        <v/>
      </c>
      <c r="O2388">
        <f>'19_Расчет_аналитики'!O2386*'01_Вводные'!$B$16</f>
        <v/>
      </c>
      <c r="P2388">
        <f>'19_Расчет_аналитики'!P2386*'01_Вводные'!$B$16</f>
        <v/>
      </c>
      <c r="Q2388">
        <f>'19_Расчет_аналитики'!Q2386*'01_Вводные'!$B$16</f>
        <v/>
      </c>
      <c r="R2388">
        <f>'19_Расчет_аналитики'!R2386*'01_Вводные'!$B$16</f>
        <v/>
      </c>
      <c r="S2388">
        <f>'19_Расчет_аналитики'!S2386*'01_Вводные'!$B$16</f>
        <v/>
      </c>
      <c r="T2388">
        <f>'19_Расчет_аналитики'!T2386*'01_Вводные'!$B$16</f>
        <v/>
      </c>
      <c r="U2388">
        <f>'19_Расчет_аналитики'!U2386*'01_Вводные'!$B$16</f>
        <v/>
      </c>
      <c r="V2388">
        <f>'19_Расчет_аналитики'!V2386*'01_Вводные'!$B$16</f>
        <v/>
      </c>
      <c r="W2388">
        <f>'19_Расчет_аналитики'!W2386*'01_Вводные'!$B$16</f>
        <v/>
      </c>
      <c r="X2388">
        <f>'19_Расчет_аналитики'!X2386*'01_Вводные'!$B$16</f>
        <v/>
      </c>
      <c r="Y2388">
        <f>'19_Расчет_аналитики'!Y2386*'01_Вводные'!$B$16</f>
        <v/>
      </c>
      <c r="Z2388">
        <f>'19_Расчет_аналитики'!Z2386*'01_Вводные'!$B$16</f>
        <v/>
      </c>
      <c r="AA2388">
        <f>'19_Расчет_аналитики'!AA2386*'01_Вводные'!$B$16</f>
        <v/>
      </c>
      <c r="AB2388">
        <f>'19_Расчет_аналитики'!AB2386*'01_Вводные'!$B$16</f>
        <v/>
      </c>
      <c r="AC2388">
        <f>'19_Расчет_аналитики'!AC2386*'01_Вводные'!$B$16</f>
        <v/>
      </c>
      <c r="AD2388">
        <f>'19_Расчет_аналитики'!AD2386*'01_Вводные'!$B$16</f>
        <v/>
      </c>
      <c r="AE2388">
        <f>'19_Расчет_аналитики'!AE2386*'01_Вводные'!$B$16</f>
        <v/>
      </c>
      <c r="AF2388">
        <f>'19_Расчет_аналитики'!AF2386*'01_Вводные'!$B$16</f>
        <v/>
      </c>
      <c r="AG2388">
        <f>'19_Расчет_аналитики'!AG2386*'01_Вводные'!$B$16</f>
        <v/>
      </c>
      <c r="AH2388">
        <f>'19_Расчет_аналитики'!AH2386*'01_Вводные'!$B$16</f>
        <v/>
      </c>
      <c r="AI2388">
        <f>'19_Расчет_аналитики'!AI2386*'01_Вводные'!$B$16</f>
        <v/>
      </c>
      <c r="AJ2388">
        <f>'19_Расчет_аналитики'!AJ2386*'01_Вводные'!$B$16</f>
        <v/>
      </c>
      <c r="AK2388">
        <f>'19_Расчет_аналитики'!AK2386*'01_Вводные'!$B$16</f>
        <v/>
      </c>
      <c r="AL2388">
        <f>'19_Расчет_аналитики'!AL2386*'01_Вводные'!$B$16</f>
        <v/>
      </c>
      <c r="AM2388">
        <f>'19_Расчет_аналитики'!AM2386*'01_Вводные'!$B$16</f>
        <v/>
      </c>
      <c r="AN2388">
        <f>'19_Расчет_аналитики'!AN2386*'01_Вводные'!$B$16</f>
        <v/>
      </c>
      <c r="AO2388">
        <f>'19_Расчет_аналитики'!AO2386*'01_Вводные'!$B$16</f>
        <v/>
      </c>
      <c r="AP2388">
        <f>'19_Расчет_аналитики'!AP2386*'01_Вводные'!$B$16</f>
        <v/>
      </c>
      <c r="AQ2388">
        <f>'19_Расчет_аналитики'!AQ2386*'01_Вводные'!$B$16</f>
        <v/>
      </c>
      <c r="AR2388">
        <f>'19_Расчет_аналитики'!AR2386*'01_Вводные'!$B$16</f>
        <v/>
      </c>
      <c r="AS2388">
        <f>'19_Расчет_аналитики'!AS2386*'01_Вводные'!$B$16</f>
        <v/>
      </c>
      <c r="AT2388">
        <f>'19_Расчет_аналитики'!AT2386*'01_Вводные'!$B$16</f>
        <v/>
      </c>
      <c r="AU2388">
        <f>'19_Расчет_аналитики'!AU2386*'01_Вводные'!$B$16</f>
        <v/>
      </c>
      <c r="AV2388">
        <f>'19_Расчет_аналитики'!AV2386*'01_Вводные'!$B$16</f>
        <v/>
      </c>
      <c r="AW2388">
        <f>'19_Расчет_аналитики'!AW2386*'01_Вводные'!$B$16</f>
        <v/>
      </c>
      <c r="AX2388">
        <f>'19_Расчет_аналитики'!AX2386*'01_Вводные'!$B$16</f>
        <v/>
      </c>
      <c r="AY2388">
        <f>'19_Расчет_аналитики'!AY2386*'01_Вводные'!$B$16</f>
        <v/>
      </c>
      <c r="AZ2388">
        <f>'19_Расчет_аналитики'!AZ2386*'01_Вводные'!$B$16</f>
        <v/>
      </c>
      <c r="BA2388">
        <f>'19_Расчет_аналитики'!BA2386*'01_Вводные'!$B$16</f>
        <v/>
      </c>
      <c r="BB2388">
        <f>'19_Расчет_аналитики'!BB2386*'01_Вводные'!$B$16</f>
        <v/>
      </c>
      <c r="BC2388">
        <f>'19_Расчет_аналитики'!BC2386*'01_Вводные'!$B$16</f>
        <v/>
      </c>
      <c r="BD2388">
        <f>'19_Расчет_аналитики'!BD2386*'01_Вводные'!$B$16</f>
        <v/>
      </c>
      <c r="BE2388">
        <f>'19_Расчет_аналитики'!BE2386*'01_Вводные'!$B$16</f>
        <v/>
      </c>
      <c r="BF2388">
        <f>'19_Расчет_аналитики'!BF2386*'01_Вводные'!$B$16</f>
        <v/>
      </c>
      <c r="BG2388">
        <f>'19_Расчет_аналитики'!BG2386*'01_Вводные'!$B$16</f>
        <v/>
      </c>
      <c r="BH2388">
        <f>'19_Расчет_аналитики'!BH2386*'01_Вводные'!$B$16</f>
        <v/>
      </c>
      <c r="BI2388">
        <f>'19_Расчет_аналитики'!BI2386*'01_Вводные'!$B$16</f>
        <v/>
      </c>
    </row>
    <row r="2389">
      <c r="C2389">
        <f>'06_Сеть_и_дети'!B10*'01_Вводные'!$B$14+'19_Расчет_аналитики'!C2388</f>
        <v/>
      </c>
      <c r="D2389">
        <f>'19_Расчет_аналитики'!C2389*'01_Вводные'!$B$14+'19_Расчет_аналитики'!D2388</f>
        <v/>
      </c>
      <c r="E2389">
        <f>'19_Расчет_аналитики'!D2389*'01_Вводные'!$B$14+'19_Расчет_аналитики'!E2388</f>
        <v/>
      </c>
      <c r="F2389">
        <f>'19_Расчет_аналитики'!E2389*'01_Вводные'!$B$14+'19_Расчет_аналитики'!F2388</f>
        <v/>
      </c>
      <c r="G2389">
        <f>'19_Расчет_аналитики'!F2389*'01_Вводные'!$B$14+'19_Расчет_аналитики'!G2388</f>
        <v/>
      </c>
      <c r="H2389">
        <f>'19_Расчет_аналитики'!G2389*'01_Вводные'!$B$14+'19_Расчет_аналитики'!H2388</f>
        <v/>
      </c>
      <c r="I2389">
        <f>'19_Расчет_аналитики'!H2389*'01_Вводные'!$B$14+'19_Расчет_аналитики'!I2388</f>
        <v/>
      </c>
      <c r="J2389">
        <f>'19_Расчет_аналитики'!I2389*'01_Вводные'!$B$14+'19_Расчет_аналитики'!J2388</f>
        <v/>
      </c>
      <c r="K2389">
        <f>'19_Расчет_аналитики'!J2389*'01_Вводные'!$B$14+'19_Расчет_аналитики'!K2388</f>
        <v/>
      </c>
      <c r="L2389">
        <f>'19_Расчет_аналитики'!K2389*'01_Вводные'!$B$14+'19_Расчет_аналитики'!L2388</f>
        <v/>
      </c>
      <c r="M2389">
        <f>'19_Расчет_аналитики'!L2389*'01_Вводные'!$B$14+'19_Расчет_аналитики'!M2388</f>
        <v/>
      </c>
      <c r="N2389">
        <f>'19_Расчет_аналитики'!M2389*'01_Вводные'!$B$14+'19_Расчет_аналитики'!N2388</f>
        <v/>
      </c>
      <c r="O2389">
        <f>'19_Расчет_аналитики'!N2389*'01_Вводные'!$B$14+'19_Расчет_аналитики'!O2388</f>
        <v/>
      </c>
      <c r="P2389">
        <f>'19_Расчет_аналитики'!O2389*'01_Вводные'!$B$14+'19_Расчет_аналитики'!P2388</f>
        <v/>
      </c>
      <c r="Q2389">
        <f>'19_Расчет_аналитики'!P2389*'01_Вводные'!$B$14+'19_Расчет_аналитики'!Q2388</f>
        <v/>
      </c>
      <c r="R2389">
        <f>'19_Расчет_аналитики'!Q2389*'01_Вводные'!$B$14+'19_Расчет_аналитики'!R2388</f>
        <v/>
      </c>
      <c r="S2389">
        <f>'19_Расчет_аналитики'!R2389*'01_Вводные'!$B$14+'19_Расчет_аналитики'!S2388</f>
        <v/>
      </c>
      <c r="T2389">
        <f>'19_Расчет_аналитики'!S2389*'01_Вводные'!$B$14+'19_Расчет_аналитики'!T2388</f>
        <v/>
      </c>
      <c r="U2389">
        <f>'19_Расчет_аналитики'!T2389*'01_Вводные'!$B$14+'19_Расчет_аналитики'!U2388</f>
        <v/>
      </c>
      <c r="V2389">
        <f>'19_Расчет_аналитики'!U2389*'01_Вводные'!$B$14+'19_Расчет_аналитики'!V2388</f>
        <v/>
      </c>
      <c r="W2389">
        <f>'19_Расчет_аналитики'!V2389*'01_Вводные'!$B$14+'19_Расчет_аналитики'!W2388</f>
        <v/>
      </c>
      <c r="X2389">
        <f>'19_Расчет_аналитики'!W2389*'01_Вводные'!$B$14+'19_Расчет_аналитики'!X2388</f>
        <v/>
      </c>
      <c r="Y2389">
        <f>'19_Расчет_аналитики'!X2389*'01_Вводные'!$B$14+'19_Расчет_аналитики'!Y2388</f>
        <v/>
      </c>
      <c r="Z2389">
        <f>'19_Расчет_аналитики'!Y2389*'01_Вводные'!$B$14+'19_Расчет_аналитики'!Z2388</f>
        <v/>
      </c>
      <c r="AA2389">
        <f>'19_Расчет_аналитики'!Z2389*'01_Вводные'!$B$14+'19_Расчет_аналитики'!AA2388</f>
        <v/>
      </c>
      <c r="AB2389">
        <f>'19_Расчет_аналитики'!AA2389*'01_Вводные'!$B$14+'19_Расчет_аналитики'!AB2388</f>
        <v/>
      </c>
      <c r="AC2389">
        <f>'19_Расчет_аналитики'!AB2389*'01_Вводные'!$B$14+'19_Расчет_аналитики'!AC2388</f>
        <v/>
      </c>
      <c r="AD2389">
        <f>'19_Расчет_аналитики'!AC2389*'01_Вводные'!$B$14+'19_Расчет_аналитики'!AD2388</f>
        <v/>
      </c>
      <c r="AE2389">
        <f>'19_Расчет_аналитики'!AD2389*'01_Вводные'!$B$14+'19_Расчет_аналитики'!AE2388</f>
        <v/>
      </c>
      <c r="AF2389">
        <f>'19_Расчет_аналитики'!AE2389*'01_Вводные'!$B$14+'19_Расчет_аналитики'!AF2388</f>
        <v/>
      </c>
      <c r="AG2389">
        <f>'19_Расчет_аналитики'!AF2389*'01_Вводные'!$B$14+'19_Расчет_аналитики'!AG2388</f>
        <v/>
      </c>
      <c r="AH2389">
        <f>'19_Расчет_аналитики'!AG2389*'01_Вводные'!$B$14+'19_Расчет_аналитики'!AH2388</f>
        <v/>
      </c>
      <c r="AI2389">
        <f>'19_Расчет_аналитики'!AH2389*'01_Вводные'!$B$14+'19_Расчет_аналитики'!AI2388</f>
        <v/>
      </c>
      <c r="AJ2389">
        <f>'19_Расчет_аналитики'!AI2389*'01_Вводные'!$B$14+'19_Расчет_аналитики'!AJ2388</f>
        <v/>
      </c>
      <c r="AK2389">
        <f>'19_Расчет_аналитики'!AJ2389*'01_Вводные'!$B$14+'19_Расчет_аналитики'!AK2388</f>
        <v/>
      </c>
      <c r="AL2389">
        <f>'19_Расчет_аналитики'!AK2389*'01_Вводные'!$B$14+'19_Расчет_аналитики'!AL2388</f>
        <v/>
      </c>
      <c r="AM2389">
        <f>'19_Расчет_аналитики'!AL2389*'01_Вводные'!$B$14+'19_Расчет_аналитики'!AM2388</f>
        <v/>
      </c>
      <c r="AN2389">
        <f>'19_Расчет_аналитики'!AM2389*'01_Вводные'!$B$14+'19_Расчет_аналитики'!AN2388</f>
        <v/>
      </c>
      <c r="AO2389">
        <f>'19_Расчет_аналитики'!AN2389*'01_Вводные'!$B$14+'19_Расчет_аналитики'!AO2388</f>
        <v/>
      </c>
      <c r="AP2389">
        <f>'19_Расчет_аналитики'!AO2389*'01_Вводные'!$B$14+'19_Расчет_аналитики'!AP2388</f>
        <v/>
      </c>
      <c r="AQ2389">
        <f>'19_Расчет_аналитики'!AP2389*'01_Вводные'!$B$14+'19_Расчет_аналитики'!AQ2388</f>
        <v/>
      </c>
      <c r="AR2389">
        <f>'19_Расчет_аналитики'!AQ2389*'01_Вводные'!$B$14+'19_Расчет_аналитики'!AR2388</f>
        <v/>
      </c>
      <c r="AS2389">
        <f>'19_Расчет_аналитики'!AR2389*'01_Вводные'!$B$14+'19_Расчет_аналитики'!AS2388</f>
        <v/>
      </c>
      <c r="AT2389">
        <f>'19_Расчет_аналитики'!AS2389*'01_Вводные'!$B$14+'19_Расчет_аналитики'!AT2388</f>
        <v/>
      </c>
      <c r="AU2389">
        <f>'19_Расчет_аналитики'!AT2389*'01_Вводные'!$B$14+'19_Расчет_аналитики'!AU2388</f>
        <v/>
      </c>
      <c r="AV2389">
        <f>'19_Расчет_аналитики'!AU2389*'01_Вводные'!$B$14+'19_Расчет_аналитики'!AV2388</f>
        <v/>
      </c>
      <c r="AW2389">
        <f>'19_Расчет_аналитики'!AV2389*'01_Вводные'!$B$14+'19_Расчет_аналитики'!AW2388</f>
        <v/>
      </c>
      <c r="AX2389">
        <f>'19_Расчет_аналитики'!AW2389*'01_Вводные'!$B$14+'19_Расчет_аналитики'!AX2388</f>
        <v/>
      </c>
      <c r="AY2389">
        <f>'19_Расчет_аналитики'!AX2389*'01_Вводные'!$B$14+'19_Расчет_аналитики'!AY2388</f>
        <v/>
      </c>
      <c r="AZ2389">
        <f>'19_Расчет_аналитики'!AY2389*'01_Вводные'!$B$14+'19_Расчет_аналитики'!AZ2388</f>
        <v/>
      </c>
      <c r="BA2389">
        <f>'19_Расчет_аналитики'!AZ2389*'01_Вводные'!$B$14+'19_Расчет_аналитики'!BA2388</f>
        <v/>
      </c>
      <c r="BB2389">
        <f>'19_Расчет_аналитики'!BA2389*'01_Вводные'!$B$14+'19_Расчет_аналитики'!BB2388</f>
        <v/>
      </c>
      <c r="BC2389">
        <f>'19_Расчет_аналитики'!BB2389*'01_Вводные'!$B$14+'19_Расчет_аналитики'!BC2388</f>
        <v/>
      </c>
      <c r="BD2389">
        <f>'19_Расчет_аналитики'!BC2389*'01_Вводные'!$B$14+'19_Расчет_аналитики'!BD2388</f>
        <v/>
      </c>
      <c r="BE2389">
        <f>'19_Расчет_аналитики'!BD2389*'01_Вводные'!$B$14+'19_Расчет_аналитики'!BE2388</f>
        <v/>
      </c>
      <c r="BF2389">
        <f>'19_Расчет_аналитики'!BE2389*'01_Вводные'!$B$14+'19_Расчет_аналитики'!BF2388</f>
        <v/>
      </c>
      <c r="BG2389">
        <f>'19_Расчет_аналитики'!BF2389*'01_Вводные'!$B$14+'19_Расчет_аналитики'!BG2388</f>
        <v/>
      </c>
      <c r="BH2389">
        <f>'19_Расчет_аналитики'!BG2389*'01_Вводные'!$B$14+'19_Расчет_аналитики'!BH2388</f>
        <v/>
      </c>
      <c r="BI2389">
        <f>'19_Расчет_аналитики'!BH2389*'01_Вводные'!$B$14+'19_Расчет_аналитики'!BI2388</f>
        <v/>
      </c>
      <c r="BJ2389">
        <f>'19_Расчет_аналитики'!BI2389*'01_Вводные'!$B$14+'06_Сеть_и_дети'!BJ9</f>
        <v/>
      </c>
      <c r="BK2389">
        <f>'19_Расчет_аналитики'!BJ2389*'01_Вводные'!$B$14+'06_Сеть_и_дети'!BK9</f>
        <v/>
      </c>
      <c r="BL2389">
        <f>'19_Расчет_аналитики'!BK2389*'01_Вводные'!$B$14+'06_Сеть_и_дети'!BL9</f>
        <v/>
      </c>
      <c r="BM2389">
        <f>'19_Расчет_аналитики'!BL2389*'01_Вводные'!$B$14+'06_Сеть_и_дети'!BM9</f>
        <v/>
      </c>
      <c r="BN2389">
        <f>'19_Расчет_аналитики'!BM2389*'01_Вводные'!$B$14+'06_Сеть_и_дети'!BN9</f>
        <v/>
      </c>
      <c r="BO2389">
        <f>'19_Расчет_аналитики'!BN2389*'01_Вводные'!$B$14+'06_Сеть_и_дети'!BO9</f>
        <v/>
      </c>
    </row>
    <row r="2390"/>
    <row r="2391"/>
    <row r="2392">
      <c r="B2392">
        <f>SUM('19_Расчет_аналитики'!B2432:B2443)</f>
        <v/>
      </c>
      <c r="C2392">
        <f>SUM('19_Расчет_аналитики'!C2432:C2443)</f>
        <v/>
      </c>
      <c r="D2392">
        <f>SUM('19_Расчет_аналитики'!D2432:D2443)</f>
        <v/>
      </c>
      <c r="E2392">
        <f>SUM('19_Расчет_аналитики'!E2432:E2443)</f>
        <v/>
      </c>
      <c r="F2392">
        <f>SUM('19_Расчет_аналитики'!F2432:F2443)</f>
        <v/>
      </c>
      <c r="G2392">
        <f>SUM('19_Расчет_аналитики'!G2432:G2443)</f>
        <v/>
      </c>
      <c r="H2392">
        <f>SUM('19_Расчет_аналитики'!H2432:H2443)</f>
        <v/>
      </c>
      <c r="I2392">
        <f>SUM('19_Расчет_аналитики'!I2432:I2443)</f>
        <v/>
      </c>
      <c r="J2392">
        <f>SUM('19_Расчет_аналитики'!J2432:J2443)</f>
        <v/>
      </c>
      <c r="K2392">
        <f>SUM('19_Расчет_аналитики'!K2432:K2443)</f>
        <v/>
      </c>
      <c r="L2392">
        <f>SUM('19_Расчет_аналитики'!L2432:L2443)</f>
        <v/>
      </c>
      <c r="M2392">
        <f>SUM('19_Расчет_аналитики'!M2432:M2443)</f>
        <v/>
      </c>
      <c r="N2392">
        <f>SUM('19_Расчет_аналитики'!N2432:N2443)</f>
        <v/>
      </c>
      <c r="O2392">
        <f>SUM('19_Расчет_аналитики'!O2432:O2443)</f>
        <v/>
      </c>
      <c r="P2392">
        <f>SUM('19_Расчет_аналитики'!P2432:P2443)</f>
        <v/>
      </c>
      <c r="Q2392">
        <f>SUM('19_Расчет_аналитики'!Q2432:Q2443)</f>
        <v/>
      </c>
      <c r="R2392">
        <f>SUM('19_Расчет_аналитики'!R2432:R2443)</f>
        <v/>
      </c>
      <c r="S2392">
        <f>SUM('19_Расчет_аналитики'!S2432:S2443)</f>
        <v/>
      </c>
      <c r="T2392">
        <f>SUM('19_Расчет_аналитики'!T2432:T2443)</f>
        <v/>
      </c>
      <c r="U2392">
        <f>SUM('19_Расчет_аналитики'!U2432:U2443)</f>
        <v/>
      </c>
      <c r="V2392">
        <f>SUM('19_Расчет_аналитики'!V2432:V2443)</f>
        <v/>
      </c>
      <c r="W2392">
        <f>SUM('19_Расчет_аналитики'!W2432:W2443)</f>
        <v/>
      </c>
      <c r="X2392">
        <f>SUM('19_Расчет_аналитики'!X2432:X2443)</f>
        <v/>
      </c>
      <c r="Y2392">
        <f>SUM('19_Расчет_аналитики'!Y2432:Y2443)</f>
        <v/>
      </c>
      <c r="Z2392">
        <f>SUM('19_Расчет_аналитики'!Z2432:Z2443)</f>
        <v/>
      </c>
      <c r="AA2392">
        <f>SUM('19_Расчет_аналитики'!AA2432:AA2443)</f>
        <v/>
      </c>
      <c r="AB2392">
        <f>SUM('19_Расчет_аналитики'!AB2432:AB2443)</f>
        <v/>
      </c>
      <c r="AC2392">
        <f>SUM('19_Расчет_аналитики'!AC2432:AC2443)</f>
        <v/>
      </c>
      <c r="AD2392">
        <f>SUM('19_Расчет_аналитики'!AD2432:AD2443)</f>
        <v/>
      </c>
      <c r="AE2392">
        <f>SUM('19_Расчет_аналитики'!AE2432:AE2443)</f>
        <v/>
      </c>
      <c r="AF2392">
        <f>SUM('19_Расчет_аналитики'!AF2432:AF2443)</f>
        <v/>
      </c>
      <c r="AG2392">
        <f>SUM('19_Расчет_аналитики'!AG2432:AG2443)</f>
        <v/>
      </c>
      <c r="AH2392">
        <f>SUM('19_Расчет_аналитики'!AH2432:AH2443)</f>
        <v/>
      </c>
      <c r="AI2392">
        <f>SUM('19_Расчет_аналитики'!AI2432:AI2443)</f>
        <v/>
      </c>
      <c r="AJ2392">
        <f>SUM('19_Расчет_аналитики'!AJ2432:AJ2443)</f>
        <v/>
      </c>
      <c r="AK2392">
        <f>SUM('19_Расчет_аналитики'!AK2432:AK2443)</f>
        <v/>
      </c>
      <c r="AL2392">
        <f>SUM('19_Расчет_аналитики'!AL2432:AL2443)</f>
        <v/>
      </c>
      <c r="AM2392">
        <f>SUM('19_Расчет_аналитики'!AM2432:AM2443)</f>
        <v/>
      </c>
      <c r="AN2392">
        <f>SUM('19_Расчет_аналитики'!AN2432:AN2443)</f>
        <v/>
      </c>
      <c r="AO2392">
        <f>SUM('19_Расчет_аналитики'!AO2432:AO2443)</f>
        <v/>
      </c>
      <c r="AP2392">
        <f>SUM('19_Расчет_аналитики'!AP2432:AP2443)</f>
        <v/>
      </c>
      <c r="AQ2392">
        <f>SUM('19_Расчет_аналитики'!AQ2432:AQ2443)</f>
        <v/>
      </c>
      <c r="AR2392">
        <f>SUM('19_Расчет_аналитики'!AR2432:AR2443)</f>
        <v/>
      </c>
      <c r="AS2392">
        <f>SUM('19_Расчет_аналитики'!AS2432:AS2443)</f>
        <v/>
      </c>
      <c r="AT2392">
        <f>SUM('19_Расчет_аналитики'!AT2432:AT2443)</f>
        <v/>
      </c>
      <c r="AU2392">
        <f>SUM('19_Расчет_аналитики'!AU2432:AU2443)</f>
        <v/>
      </c>
      <c r="AV2392">
        <f>SUM('19_Расчет_аналитики'!AV2432:AV2443)</f>
        <v/>
      </c>
      <c r="AW2392">
        <f>SUM('19_Расчет_аналитики'!AW2432:AW2443)</f>
        <v/>
      </c>
      <c r="AX2392">
        <f>SUM('19_Расчет_аналитики'!AX2432:AX2443)</f>
        <v/>
      </c>
      <c r="AY2392">
        <f>SUM('19_Расчет_аналитики'!AY2432:AY2443)</f>
        <v/>
      </c>
      <c r="AZ2392">
        <f>SUM('19_Расчет_аналитики'!AZ2432:AZ2443)</f>
        <v/>
      </c>
      <c r="BA2392">
        <f>SUM('19_Расчет_аналитики'!BA2432:BA2443)</f>
        <v/>
      </c>
      <c r="BB2392">
        <f>SUM('19_Расчет_аналитики'!BB2432:BB2443)</f>
        <v/>
      </c>
      <c r="BC2392">
        <f>SUM('19_Расчет_аналитики'!BC2432:BC2443)</f>
        <v/>
      </c>
      <c r="BD2392">
        <f>SUM('19_Расчет_аналитики'!BD2432:BD2443)</f>
        <v/>
      </c>
      <c r="BE2392">
        <f>SUM('19_Расчет_аналитики'!BE2432:BE2443)</f>
        <v/>
      </c>
      <c r="BF2392">
        <f>SUM('19_Расчет_аналитики'!BF2432:BF2443)</f>
        <v/>
      </c>
      <c r="BG2392">
        <f>SUM('19_Расчет_аналитики'!BG2432:BG2443)</f>
        <v/>
      </c>
      <c r="BH2392">
        <f>SUM('19_Расчет_аналитики'!BH2432:BH2443)</f>
        <v/>
      </c>
      <c r="BI2392">
        <f>SUM('19_Расчет_аналитики'!BI2432:BI2443)</f>
        <v/>
      </c>
      <c r="BJ2392">
        <f>SUM('19_Расчет_аналитики'!BJ2432:BJ2443)</f>
        <v/>
      </c>
      <c r="BK2392">
        <f>SUM('19_Расчет_аналитики'!BK2432:BK2443)</f>
        <v/>
      </c>
      <c r="BL2392">
        <f>SUM('19_Расчет_аналитики'!BL2432:BL2443)</f>
        <v/>
      </c>
      <c r="BM2392">
        <f>SUM('19_Расчет_аналитики'!BM2432:BM2443)</f>
        <v/>
      </c>
      <c r="BN2392">
        <f>SUM('19_Расчет_аналитики'!BN2432:BN2443)</f>
        <v/>
      </c>
      <c r="BO2392">
        <f>SUM('19_Расчет_аналитики'!BO2432:BO2443)</f>
        <v/>
      </c>
    </row>
    <row r="2393">
      <c r="B2393">
        <f>'06_Сеть_и_дети'!B14</f>
        <v/>
      </c>
      <c r="C2393">
        <f>'06_Сеть_и_дети'!C14</f>
        <v/>
      </c>
      <c r="D2393">
        <f>'06_Сеть_и_дети'!D14</f>
        <v/>
      </c>
      <c r="E2393">
        <f>'06_Сеть_и_дети'!E14</f>
        <v/>
      </c>
      <c r="F2393">
        <f>'06_Сеть_и_дети'!F14</f>
        <v/>
      </c>
      <c r="G2393">
        <f>'06_Сеть_и_дети'!G14</f>
        <v/>
      </c>
      <c r="H2393">
        <f>'06_Сеть_и_дети'!H14</f>
        <v/>
      </c>
      <c r="I2393">
        <f>'06_Сеть_и_дети'!I14</f>
        <v/>
      </c>
      <c r="J2393">
        <f>'06_Сеть_и_дети'!J14</f>
        <v/>
      </c>
      <c r="K2393">
        <f>'06_Сеть_и_дети'!K14</f>
        <v/>
      </c>
      <c r="L2393">
        <f>'06_Сеть_и_дети'!L14</f>
        <v/>
      </c>
      <c r="M2393">
        <f>'06_Сеть_и_дети'!M14</f>
        <v/>
      </c>
      <c r="N2393">
        <f>SUM('19_Расчет_аналитики'!N2444:N2455)</f>
        <v/>
      </c>
      <c r="O2393">
        <f>SUM('19_Расчет_аналитики'!O2444:O2455)</f>
        <v/>
      </c>
      <c r="P2393">
        <f>SUM('19_Расчет_аналитики'!P2444:P2455)</f>
        <v/>
      </c>
      <c r="Q2393">
        <f>SUM('19_Расчет_аналитики'!Q2444:Q2455)</f>
        <v/>
      </c>
      <c r="R2393">
        <f>SUM('19_Расчет_аналитики'!R2444:R2455)</f>
        <v/>
      </c>
      <c r="S2393">
        <f>SUM('19_Расчет_аналитики'!S2444:S2455)</f>
        <v/>
      </c>
      <c r="T2393">
        <f>SUM('19_Расчет_аналитики'!T2444:T2455)</f>
        <v/>
      </c>
      <c r="U2393">
        <f>SUM('19_Расчет_аналитики'!U2444:U2455)</f>
        <v/>
      </c>
      <c r="V2393">
        <f>SUM('19_Расчет_аналитики'!V2444:V2455)</f>
        <v/>
      </c>
      <c r="W2393">
        <f>SUM('19_Расчет_аналитики'!W2444:W2455)</f>
        <v/>
      </c>
      <c r="X2393">
        <f>SUM('19_Расчет_аналитики'!X2444:X2455)</f>
        <v/>
      </c>
      <c r="Y2393">
        <f>SUM('19_Расчет_аналитики'!Y2444:Y2455)</f>
        <v/>
      </c>
      <c r="Z2393">
        <f>SUM('19_Расчет_аналитики'!Z2444:Z2455)</f>
        <v/>
      </c>
      <c r="AA2393">
        <f>SUM('19_Расчет_аналитики'!AA2444:AA2455)</f>
        <v/>
      </c>
      <c r="AB2393">
        <f>SUM('19_Расчет_аналитики'!AB2444:AB2455)</f>
        <v/>
      </c>
      <c r="AC2393">
        <f>SUM('19_Расчет_аналитики'!AC2444:AC2455)</f>
        <v/>
      </c>
      <c r="AD2393">
        <f>SUM('19_Расчет_аналитики'!AD2444:AD2455)</f>
        <v/>
      </c>
      <c r="AE2393">
        <f>SUM('19_Расчет_аналитики'!AE2444:AE2455)</f>
        <v/>
      </c>
      <c r="AF2393">
        <f>SUM('19_Расчет_аналитики'!AF2444:AF2455)</f>
        <v/>
      </c>
      <c r="AG2393">
        <f>SUM('19_Расчет_аналитики'!AG2444:AG2455)</f>
        <v/>
      </c>
      <c r="AH2393">
        <f>SUM('19_Расчет_аналитики'!AH2444:AH2455)</f>
        <v/>
      </c>
      <c r="AI2393">
        <f>SUM('19_Расчет_аналитики'!AI2444:AI2455)</f>
        <v/>
      </c>
      <c r="AJ2393">
        <f>SUM('19_Расчет_аналитики'!AJ2444:AJ2455)</f>
        <v/>
      </c>
      <c r="AK2393">
        <f>SUM('19_Расчет_аналитики'!AK2444:AK2455)</f>
        <v/>
      </c>
      <c r="AL2393">
        <f>SUM('19_Расчет_аналитики'!AL2444:AL2455)</f>
        <v/>
      </c>
      <c r="AM2393">
        <f>SUM('19_Расчет_аналитики'!AM2444:AM2455)</f>
        <v/>
      </c>
      <c r="AN2393">
        <f>SUM('19_Расчет_аналитики'!AN2444:AN2455)</f>
        <v/>
      </c>
      <c r="AO2393">
        <f>SUM('19_Расчет_аналитики'!AO2444:AO2455)</f>
        <v/>
      </c>
      <c r="AP2393">
        <f>SUM('19_Расчет_аналитики'!AP2444:AP2455)</f>
        <v/>
      </c>
      <c r="AQ2393">
        <f>SUM('19_Расчет_аналитики'!AQ2444:AQ2455)</f>
        <v/>
      </c>
      <c r="AR2393">
        <f>SUM('19_Расчет_аналитики'!AR2444:AR2455)</f>
        <v/>
      </c>
      <c r="AS2393">
        <f>SUM('19_Расчет_аналитики'!AS2444:AS2455)</f>
        <v/>
      </c>
      <c r="AT2393">
        <f>SUM('19_Расчет_аналитики'!AT2444:AT2455)</f>
        <v/>
      </c>
      <c r="AU2393">
        <f>SUM('19_Расчет_аналитики'!AU2444:AU2455)</f>
        <v/>
      </c>
      <c r="AV2393">
        <f>SUM('19_Расчет_аналитики'!AV2444:AV2455)</f>
        <v/>
      </c>
      <c r="AW2393">
        <f>SUM('19_Расчет_аналитики'!AW2444:AW2455)</f>
        <v/>
      </c>
      <c r="AX2393">
        <f>SUM('19_Расчет_аналитики'!AX2444:AX2455)</f>
        <v/>
      </c>
      <c r="AY2393">
        <f>SUM('19_Расчет_аналитики'!AY2444:AY2455)</f>
        <v/>
      </c>
      <c r="AZ2393">
        <f>SUM('19_Расчет_аналитики'!AZ2444:AZ2455)</f>
        <v/>
      </c>
      <c r="BA2393">
        <f>SUM('19_Расчет_аналитики'!BA2444:BA2455)</f>
        <v/>
      </c>
      <c r="BB2393">
        <f>SUM('19_Расчет_аналитики'!BB2444:BB2455)</f>
        <v/>
      </c>
      <c r="BC2393">
        <f>SUM('19_Расчет_аналитики'!BC2444:BC2455)</f>
        <v/>
      </c>
      <c r="BD2393">
        <f>SUM('19_Расчет_аналитики'!BD2444:BD2455)</f>
        <v/>
      </c>
      <c r="BE2393">
        <f>SUM('19_Расчет_аналитики'!BE2444:BE2455)</f>
        <v/>
      </c>
      <c r="BF2393">
        <f>SUM('19_Расчет_аналитики'!BF2444:BF2455)</f>
        <v/>
      </c>
      <c r="BG2393">
        <f>SUM('19_Расчет_аналитики'!BG2444:BG2455)</f>
        <v/>
      </c>
      <c r="BH2393">
        <f>SUM('19_Расчет_аналитики'!BH2444:BH2455)</f>
        <v/>
      </c>
      <c r="BI2393">
        <f>SUM('19_Расчет_аналитики'!BI2444:BI2455)</f>
        <v/>
      </c>
      <c r="BJ2393">
        <f>SUM('19_Расчет_аналитики'!BJ2444:BJ2455)</f>
        <v/>
      </c>
      <c r="BK2393">
        <f>SUM('19_Расчет_аналитики'!BK2444:BK2455)</f>
        <v/>
      </c>
      <c r="BL2393">
        <f>SUM('19_Расчет_аналитики'!BL2444:BL2455)</f>
        <v/>
      </c>
      <c r="BM2393">
        <f>SUM('19_Расчет_аналитики'!BM2444:BM2455)</f>
        <v/>
      </c>
      <c r="BN2393">
        <f>SUM('19_Расчет_аналитики'!BN2444:BN2455)</f>
        <v/>
      </c>
      <c r="BO2393">
        <f>SUM('19_Расчет_аналитики'!BO2444:BO2455)</f>
        <v/>
      </c>
    </row>
    <row r="2394">
      <c r="B2394">
        <f>'06_Сеть_и_дети'!B15</f>
        <v/>
      </c>
      <c r="C2394">
        <f>'06_Сеть_и_дети'!C15</f>
        <v/>
      </c>
      <c r="D2394">
        <f>'06_Сеть_и_дети'!D15</f>
        <v/>
      </c>
      <c r="E2394">
        <f>'06_Сеть_и_дети'!E15</f>
        <v/>
      </c>
      <c r="F2394">
        <f>'06_Сеть_и_дети'!F15</f>
        <v/>
      </c>
      <c r="G2394">
        <f>'06_Сеть_и_дети'!G15</f>
        <v/>
      </c>
      <c r="H2394">
        <f>'06_Сеть_и_дети'!H15</f>
        <v/>
      </c>
      <c r="I2394">
        <f>'06_Сеть_и_дети'!I15</f>
        <v/>
      </c>
      <c r="J2394">
        <f>'06_Сеть_и_дети'!J15</f>
        <v/>
      </c>
      <c r="K2394">
        <f>'06_Сеть_и_дети'!K15</f>
        <v/>
      </c>
      <c r="L2394">
        <f>'06_Сеть_и_дети'!L15</f>
        <v/>
      </c>
      <c r="M2394">
        <f>'06_Сеть_и_дети'!M15</f>
        <v/>
      </c>
      <c r="N2394">
        <f>'06_Сеть_и_дети'!N15</f>
        <v/>
      </c>
      <c r="O2394">
        <f>'06_Сеть_и_дети'!O15</f>
        <v/>
      </c>
      <c r="P2394">
        <f>'06_Сеть_и_дети'!P15</f>
        <v/>
      </c>
      <c r="Q2394">
        <f>'06_Сеть_и_дети'!Q15</f>
        <v/>
      </c>
      <c r="R2394">
        <f>'06_Сеть_и_дети'!R15</f>
        <v/>
      </c>
      <c r="S2394">
        <f>'06_Сеть_и_дети'!S15</f>
        <v/>
      </c>
      <c r="T2394">
        <f>'06_Сеть_и_дети'!T15</f>
        <v/>
      </c>
      <c r="U2394">
        <f>'06_Сеть_и_дети'!U15</f>
        <v/>
      </c>
      <c r="V2394">
        <f>'06_Сеть_и_дети'!V15</f>
        <v/>
      </c>
      <c r="W2394">
        <f>'06_Сеть_и_дети'!W15</f>
        <v/>
      </c>
      <c r="X2394">
        <f>'06_Сеть_и_дети'!X15</f>
        <v/>
      </c>
      <c r="Y2394">
        <f>'06_Сеть_и_дети'!Y15</f>
        <v/>
      </c>
      <c r="Z2394">
        <f>'19_Расчет_аналитики'!Z2456</f>
        <v/>
      </c>
      <c r="AA2394">
        <f>'19_Расчет_аналитики'!AA2456</f>
        <v/>
      </c>
      <c r="AB2394">
        <f>'19_Расчет_аналитики'!AB2456</f>
        <v/>
      </c>
      <c r="AC2394">
        <f>'19_Расчет_аналитики'!AC2456</f>
        <v/>
      </c>
      <c r="AD2394">
        <f>'19_Расчет_аналитики'!AD2456</f>
        <v/>
      </c>
      <c r="AE2394">
        <f>'19_Расчет_аналитики'!AE2456</f>
        <v/>
      </c>
      <c r="AF2394">
        <f>'19_Расчет_аналитики'!AF2456</f>
        <v/>
      </c>
      <c r="AG2394">
        <f>'19_Расчет_аналитики'!AG2456</f>
        <v/>
      </c>
      <c r="AH2394">
        <f>'19_Расчет_аналитики'!AH2456</f>
        <v/>
      </c>
      <c r="AI2394">
        <f>'19_Расчет_аналитики'!AI2456</f>
        <v/>
      </c>
      <c r="AJ2394">
        <f>'19_Расчет_аналитики'!AJ2456</f>
        <v/>
      </c>
      <c r="AK2394">
        <f>'19_Расчет_аналитики'!AK2456</f>
        <v/>
      </c>
      <c r="AL2394">
        <f>'19_Расчет_аналитики'!AL2456</f>
        <v/>
      </c>
      <c r="AM2394">
        <f>'19_Расчет_аналитики'!AM2456</f>
        <v/>
      </c>
      <c r="AN2394">
        <f>'19_Расчет_аналитики'!AN2456</f>
        <v/>
      </c>
      <c r="AO2394">
        <f>'19_Расчет_аналитики'!AO2456</f>
        <v/>
      </c>
      <c r="AP2394">
        <f>'19_Расчет_аналитики'!AP2456</f>
        <v/>
      </c>
      <c r="AQ2394">
        <f>'19_Расчет_аналитики'!AQ2456</f>
        <v/>
      </c>
      <c r="AR2394">
        <f>'19_Расчет_аналитики'!AR2456</f>
        <v/>
      </c>
      <c r="AS2394">
        <f>'19_Расчет_аналитики'!AS2456</f>
        <v/>
      </c>
      <c r="AT2394">
        <f>'19_Расчет_аналитики'!AT2456</f>
        <v/>
      </c>
      <c r="AU2394">
        <f>'19_Расчет_аналитики'!AU2456</f>
        <v/>
      </c>
      <c r="AV2394">
        <f>'19_Расчет_аналитики'!AV2456</f>
        <v/>
      </c>
      <c r="AW2394">
        <f>'19_Расчет_аналитики'!AW2456</f>
        <v/>
      </c>
      <c r="AX2394">
        <f>'19_Расчет_аналитики'!AX2456</f>
        <v/>
      </c>
      <c r="AY2394">
        <f>'19_Расчет_аналитики'!AY2456</f>
        <v/>
      </c>
      <c r="AZ2394">
        <f>'19_Расчет_аналитики'!AZ2456</f>
        <v/>
      </c>
      <c r="BA2394">
        <f>'19_Расчет_аналитики'!BA2456</f>
        <v/>
      </c>
      <c r="BB2394">
        <f>'19_Расчет_аналитики'!BB2456</f>
        <v/>
      </c>
      <c r="BC2394">
        <f>'19_Расчет_аналитики'!BC2456</f>
        <v/>
      </c>
      <c r="BD2394">
        <f>'19_Расчет_аналитики'!BD2456</f>
        <v/>
      </c>
      <c r="BE2394">
        <f>'19_Расчет_аналитики'!BE2456</f>
        <v/>
      </c>
      <c r="BF2394">
        <f>'19_Расчет_аналитики'!BF2456</f>
        <v/>
      </c>
      <c r="BG2394">
        <f>'19_Расчет_аналитики'!BG2456</f>
        <v/>
      </c>
      <c r="BH2394">
        <f>'19_Расчет_аналитики'!BH2456</f>
        <v/>
      </c>
      <c r="BI2394">
        <f>'19_Расчет_аналитики'!BI2456</f>
        <v/>
      </c>
      <c r="BJ2394">
        <f>'19_Расчет_аналитики'!BJ2456</f>
        <v/>
      </c>
      <c r="BK2394">
        <f>'19_Расчет_аналитики'!BK2456</f>
        <v/>
      </c>
      <c r="BL2394">
        <f>'19_Расчет_аналитики'!BL2456</f>
        <v/>
      </c>
      <c r="BM2394">
        <f>'19_Расчет_аналитики'!BM2456</f>
        <v/>
      </c>
      <c r="BN2394">
        <f>'19_Расчет_аналитики'!BN2456</f>
        <v/>
      </c>
      <c r="BO2394">
        <f>'19_Расчет_аналитики'!BO2456</f>
        <v/>
      </c>
    </row>
    <row r="2395">
      <c r="B2395">
        <f>SUM('19_Расчет_аналитики'!B2392:B2394)</f>
        <v/>
      </c>
      <c r="C2395">
        <f>SUM('19_Расчет_аналитики'!C2392:C2394)</f>
        <v/>
      </c>
      <c r="D2395">
        <f>SUM('19_Расчет_аналитики'!D2392:D2394)</f>
        <v/>
      </c>
      <c r="E2395">
        <f>SUM('19_Расчет_аналитики'!E2392:E2394)</f>
        <v/>
      </c>
      <c r="F2395">
        <f>SUM('19_Расчет_аналитики'!F2392:F2394)</f>
        <v/>
      </c>
      <c r="G2395">
        <f>SUM('19_Расчет_аналитики'!G2392:G2394)</f>
        <v/>
      </c>
      <c r="H2395">
        <f>SUM('19_Расчет_аналитики'!H2392:H2394)</f>
        <v/>
      </c>
      <c r="I2395">
        <f>SUM('19_Расчет_аналитики'!I2392:I2394)</f>
        <v/>
      </c>
      <c r="J2395">
        <f>SUM('19_Расчет_аналитики'!J2392:J2394)</f>
        <v/>
      </c>
      <c r="K2395">
        <f>SUM('19_Расчет_аналитики'!K2392:K2394)</f>
        <v/>
      </c>
      <c r="L2395">
        <f>SUM('19_Расчет_аналитики'!L2392:L2394)</f>
        <v/>
      </c>
      <c r="M2395">
        <f>SUM('19_Расчет_аналитики'!M2392:M2394)</f>
        <v/>
      </c>
      <c r="N2395">
        <f>SUM('19_Расчет_аналитики'!N2392:N2394)</f>
        <v/>
      </c>
      <c r="O2395">
        <f>SUM('19_Расчет_аналитики'!O2392:O2394)</f>
        <v/>
      </c>
      <c r="P2395">
        <f>SUM('19_Расчет_аналитики'!P2392:P2394)</f>
        <v/>
      </c>
      <c r="Q2395">
        <f>SUM('19_Расчет_аналитики'!Q2392:Q2394)</f>
        <v/>
      </c>
      <c r="R2395">
        <f>SUM('19_Расчет_аналитики'!R2392:R2394)</f>
        <v/>
      </c>
      <c r="S2395">
        <f>SUM('19_Расчет_аналитики'!S2392:S2394)</f>
        <v/>
      </c>
      <c r="T2395">
        <f>SUM('19_Расчет_аналитики'!T2392:T2394)</f>
        <v/>
      </c>
      <c r="U2395">
        <f>SUM('19_Расчет_аналитики'!U2392:U2394)</f>
        <v/>
      </c>
      <c r="V2395">
        <f>SUM('19_Расчет_аналитики'!V2392:V2394)</f>
        <v/>
      </c>
      <c r="W2395">
        <f>SUM('19_Расчет_аналитики'!W2392:W2394)</f>
        <v/>
      </c>
      <c r="X2395">
        <f>SUM('19_Расчет_аналитики'!X2392:X2394)</f>
        <v/>
      </c>
      <c r="Y2395">
        <f>SUM('19_Расчет_аналитики'!Y2392:Y2394)</f>
        <v/>
      </c>
      <c r="Z2395">
        <f>SUM('19_Расчет_аналитики'!Z2392:Z2394)</f>
        <v/>
      </c>
      <c r="AA2395">
        <f>SUM('19_Расчет_аналитики'!AA2392:AA2394)</f>
        <v/>
      </c>
      <c r="AB2395">
        <f>SUM('19_Расчет_аналитики'!AB2392:AB2394)</f>
        <v/>
      </c>
      <c r="AC2395">
        <f>SUM('19_Расчет_аналитики'!AC2392:AC2394)</f>
        <v/>
      </c>
      <c r="AD2395">
        <f>SUM('19_Расчет_аналитики'!AD2392:AD2394)</f>
        <v/>
      </c>
      <c r="AE2395">
        <f>SUM('19_Расчет_аналитики'!AE2392:AE2394)</f>
        <v/>
      </c>
      <c r="AF2395">
        <f>SUM('19_Расчет_аналитики'!AF2392:AF2394)</f>
        <v/>
      </c>
      <c r="AG2395">
        <f>SUM('19_Расчет_аналитики'!AG2392:AG2394)</f>
        <v/>
      </c>
      <c r="AH2395">
        <f>SUM('19_Расчет_аналитики'!AH2392:AH2394)</f>
        <v/>
      </c>
      <c r="AI2395">
        <f>SUM('19_Расчет_аналитики'!AI2392:AI2394)</f>
        <v/>
      </c>
      <c r="AJ2395">
        <f>SUM('19_Расчет_аналитики'!AJ2392:AJ2394)</f>
        <v/>
      </c>
      <c r="AK2395">
        <f>SUM('19_Расчет_аналитики'!AK2392:AK2394)</f>
        <v/>
      </c>
      <c r="AL2395">
        <f>SUM('19_Расчет_аналитики'!AL2392:AL2394)</f>
        <v/>
      </c>
      <c r="AM2395">
        <f>SUM('19_Расчет_аналитики'!AM2392:AM2394)</f>
        <v/>
      </c>
      <c r="AN2395">
        <f>SUM('19_Расчет_аналитики'!AN2392:AN2394)</f>
        <v/>
      </c>
      <c r="AO2395">
        <f>SUM('19_Расчет_аналитики'!AO2392:AO2394)</f>
        <v/>
      </c>
      <c r="AP2395">
        <f>SUM('19_Расчет_аналитики'!AP2392:AP2394)</f>
        <v/>
      </c>
      <c r="AQ2395">
        <f>SUM('19_Расчет_аналитики'!AQ2392:AQ2394)</f>
        <v/>
      </c>
      <c r="AR2395">
        <f>SUM('19_Расчет_аналитики'!AR2392:AR2394)</f>
        <v/>
      </c>
      <c r="AS2395">
        <f>SUM('19_Расчет_аналитики'!AS2392:AS2394)</f>
        <v/>
      </c>
      <c r="AT2395">
        <f>SUM('19_Расчет_аналитики'!AT2392:AT2394)</f>
        <v/>
      </c>
      <c r="AU2395">
        <f>SUM('19_Расчет_аналитики'!AU2392:AU2394)</f>
        <v/>
      </c>
      <c r="AV2395">
        <f>SUM('19_Расчет_аналитики'!AV2392:AV2394)</f>
        <v/>
      </c>
      <c r="AW2395">
        <f>SUM('19_Расчет_аналитики'!AW2392:AW2394)</f>
        <v/>
      </c>
      <c r="AX2395">
        <f>SUM('19_Расчет_аналитики'!AX2392:AX2394)</f>
        <v/>
      </c>
      <c r="AY2395">
        <f>SUM('19_Расчет_аналитики'!AY2392:AY2394)</f>
        <v/>
      </c>
      <c r="AZ2395">
        <f>SUM('19_Расчет_аналитики'!AZ2392:AZ2394)</f>
        <v/>
      </c>
      <c r="BA2395">
        <f>SUM('19_Расчет_аналитики'!BA2392:BA2394)</f>
        <v/>
      </c>
      <c r="BB2395">
        <f>SUM('19_Расчет_аналитики'!BB2392:BB2394)</f>
        <v/>
      </c>
      <c r="BC2395">
        <f>SUM('19_Расчет_аналитики'!BC2392:BC2394)</f>
        <v/>
      </c>
      <c r="BD2395">
        <f>SUM('19_Расчет_аналитики'!BD2392:BD2394)</f>
        <v/>
      </c>
      <c r="BE2395">
        <f>SUM('19_Расчет_аналитики'!BE2392:BE2394)</f>
        <v/>
      </c>
      <c r="BF2395">
        <f>SUM('19_Расчет_аналитики'!BF2392:BF2394)</f>
        <v/>
      </c>
      <c r="BG2395">
        <f>SUM('19_Расчет_аналитики'!BG2392:BG2394)</f>
        <v/>
      </c>
      <c r="BH2395">
        <f>SUM('19_Расчет_аналитики'!BH2392:BH2394)</f>
        <v/>
      </c>
      <c r="BI2395">
        <f>SUM('19_Расчет_аналитики'!BI2392:BI2394)</f>
        <v/>
      </c>
      <c r="BJ2395">
        <f>SUM('19_Расчет_аналитики'!BJ2392:BJ2394)</f>
        <v/>
      </c>
      <c r="BK2395">
        <f>SUM('19_Расчет_аналитики'!BK2392:BK2394)</f>
        <v/>
      </c>
      <c r="BL2395">
        <f>SUM('19_Расчет_аналитики'!BL2392:BL2394)</f>
        <v/>
      </c>
      <c r="BM2395">
        <f>SUM('19_Расчет_аналитики'!BM2392:BM2394)</f>
        <v/>
      </c>
      <c r="BN2395">
        <f>SUM('19_Расчет_аналитики'!BN2392:BN2394)</f>
        <v/>
      </c>
      <c r="BO2395">
        <f>SUM('19_Расчет_аналитики'!BO2392:BO2394)</f>
        <v/>
      </c>
    </row>
    <row r="2396">
      <c r="B2396">
        <f>'06_Сеть_и_дети'!B11+'19_Расчет_аналитики'!B2395</f>
        <v/>
      </c>
      <c r="C2396">
        <f>'06_Сеть_и_дети'!C11+'19_Расчет_аналитики'!C2395</f>
        <v/>
      </c>
      <c r="D2396">
        <f>'06_Сеть_и_дети'!D11+'19_Расчет_аналитики'!D2395</f>
        <v/>
      </c>
      <c r="E2396">
        <f>'06_Сеть_и_дети'!E11+'19_Расчет_аналитики'!E2395</f>
        <v/>
      </c>
      <c r="F2396">
        <f>'06_Сеть_и_дети'!F11+'19_Расчет_аналитики'!F2395</f>
        <v/>
      </c>
      <c r="G2396">
        <f>'06_Сеть_и_дети'!G11+'19_Расчет_аналитики'!G2395</f>
        <v/>
      </c>
      <c r="H2396">
        <f>'06_Сеть_и_дети'!H11+'19_Расчет_аналитики'!H2395</f>
        <v/>
      </c>
      <c r="I2396">
        <f>'06_Сеть_и_дети'!I11+'19_Расчет_аналитики'!I2395</f>
        <v/>
      </c>
      <c r="J2396">
        <f>'06_Сеть_и_дети'!J11+'19_Расчет_аналитики'!J2395</f>
        <v/>
      </c>
      <c r="K2396">
        <f>'06_Сеть_и_дети'!K11+'19_Расчет_аналитики'!K2395</f>
        <v/>
      </c>
      <c r="L2396">
        <f>'06_Сеть_и_дети'!L11+'19_Расчет_аналитики'!L2395</f>
        <v/>
      </c>
      <c r="M2396">
        <f>'06_Сеть_и_дети'!M11+'19_Расчет_аналитики'!M2395</f>
        <v/>
      </c>
      <c r="N2396">
        <f>'06_Сеть_и_дети'!N11+'19_Расчет_аналитики'!N2395</f>
        <v/>
      </c>
      <c r="O2396">
        <f>'06_Сеть_и_дети'!O11+'19_Расчет_аналитики'!O2395</f>
        <v/>
      </c>
      <c r="P2396">
        <f>'06_Сеть_и_дети'!P11+'19_Расчет_аналитики'!P2395</f>
        <v/>
      </c>
      <c r="Q2396">
        <f>'06_Сеть_и_дети'!Q11+'19_Расчет_аналитики'!Q2395</f>
        <v/>
      </c>
      <c r="R2396">
        <f>'06_Сеть_и_дети'!R11+'19_Расчет_аналитики'!R2395</f>
        <v/>
      </c>
      <c r="S2396">
        <f>'06_Сеть_и_дети'!S11+'19_Расчет_аналитики'!S2395</f>
        <v/>
      </c>
      <c r="T2396">
        <f>'06_Сеть_и_дети'!T11+'19_Расчет_аналитики'!T2395</f>
        <v/>
      </c>
      <c r="U2396">
        <f>'06_Сеть_и_дети'!U11+'19_Расчет_аналитики'!U2395</f>
        <v/>
      </c>
      <c r="V2396">
        <f>'06_Сеть_и_дети'!V11+'19_Расчет_аналитики'!V2395</f>
        <v/>
      </c>
      <c r="W2396">
        <f>'06_Сеть_и_дети'!W11+'19_Расчет_аналитики'!W2395</f>
        <v/>
      </c>
      <c r="X2396">
        <f>'06_Сеть_и_дети'!X11+'19_Расчет_аналитики'!X2395</f>
        <v/>
      </c>
      <c r="Y2396">
        <f>'06_Сеть_и_дети'!Y11+'19_Расчет_аналитики'!Y2395</f>
        <v/>
      </c>
      <c r="Z2396">
        <f>'06_Сеть_и_дети'!Z11+'19_Расчет_аналитики'!Z2395</f>
        <v/>
      </c>
      <c r="AA2396">
        <f>'06_Сеть_и_дети'!AA11+'19_Расчет_аналитики'!AA2395</f>
        <v/>
      </c>
      <c r="AB2396">
        <f>'06_Сеть_и_дети'!AB11+'19_Расчет_аналитики'!AB2395</f>
        <v/>
      </c>
      <c r="AC2396">
        <f>'06_Сеть_и_дети'!AC11+'19_Расчет_аналитики'!AC2395</f>
        <v/>
      </c>
      <c r="AD2396">
        <f>'06_Сеть_и_дети'!AD11+'19_Расчет_аналитики'!AD2395</f>
        <v/>
      </c>
      <c r="AE2396">
        <f>'06_Сеть_и_дети'!AE11+'19_Расчет_аналитики'!AE2395</f>
        <v/>
      </c>
      <c r="AF2396">
        <f>'06_Сеть_и_дети'!AF11+'19_Расчет_аналитики'!AF2395</f>
        <v/>
      </c>
      <c r="AG2396">
        <f>'06_Сеть_и_дети'!AG11+'19_Расчет_аналитики'!AG2395</f>
        <v/>
      </c>
      <c r="AH2396">
        <f>'06_Сеть_и_дети'!AH11+'19_Расчет_аналитики'!AH2395</f>
        <v/>
      </c>
      <c r="AI2396">
        <f>'06_Сеть_и_дети'!AI11+'19_Расчет_аналитики'!AI2395</f>
        <v/>
      </c>
      <c r="AJ2396">
        <f>'06_Сеть_и_дети'!AJ11+'19_Расчет_аналитики'!AJ2395</f>
        <v/>
      </c>
      <c r="AK2396">
        <f>'06_Сеть_и_дети'!AK11+'19_Расчет_аналитики'!AK2395</f>
        <v/>
      </c>
      <c r="AL2396">
        <f>'06_Сеть_и_дети'!AL11+'19_Расчет_аналитики'!AL2395</f>
        <v/>
      </c>
      <c r="AM2396">
        <f>'06_Сеть_и_дети'!AM11+'19_Расчет_аналитики'!AM2395</f>
        <v/>
      </c>
      <c r="AN2396">
        <f>'06_Сеть_и_дети'!AN11+'19_Расчет_аналитики'!AN2395</f>
        <v/>
      </c>
      <c r="AO2396">
        <f>'06_Сеть_и_дети'!AO11+'19_Расчет_аналитики'!AO2395</f>
        <v/>
      </c>
      <c r="AP2396">
        <f>'06_Сеть_и_дети'!AP11+'19_Расчет_аналитики'!AP2395</f>
        <v/>
      </c>
      <c r="AQ2396">
        <f>'06_Сеть_и_дети'!AQ11+'19_Расчет_аналитики'!AQ2395</f>
        <v/>
      </c>
      <c r="AR2396">
        <f>'06_Сеть_и_дети'!AR11+'19_Расчет_аналитики'!AR2395</f>
        <v/>
      </c>
      <c r="AS2396">
        <f>'06_Сеть_и_дети'!AS11+'19_Расчет_аналитики'!AS2395</f>
        <v/>
      </c>
      <c r="AT2396">
        <f>'06_Сеть_и_дети'!AT11+'19_Расчет_аналитики'!AT2395</f>
        <v/>
      </c>
      <c r="AU2396">
        <f>'06_Сеть_и_дети'!AU11+'19_Расчет_аналитики'!AU2395</f>
        <v/>
      </c>
      <c r="AV2396">
        <f>'06_Сеть_и_дети'!AV11+'19_Расчет_аналитики'!AV2395</f>
        <v/>
      </c>
      <c r="AW2396">
        <f>'06_Сеть_и_дети'!AW11+'19_Расчет_аналитики'!AW2395</f>
        <v/>
      </c>
      <c r="AX2396">
        <f>'06_Сеть_и_дети'!AX11+'19_Расчет_аналитики'!AX2395</f>
        <v/>
      </c>
      <c r="AY2396">
        <f>'06_Сеть_и_дети'!AY11+'19_Расчет_аналитики'!AY2395</f>
        <v/>
      </c>
      <c r="AZ2396">
        <f>'06_Сеть_и_дети'!AZ11+'19_Расчет_аналитики'!AZ2395</f>
        <v/>
      </c>
      <c r="BA2396">
        <f>'06_Сеть_и_дети'!BA11+'19_Расчет_аналитики'!BA2395</f>
        <v/>
      </c>
      <c r="BB2396">
        <f>'06_Сеть_и_дети'!BB11+'19_Расчет_аналитики'!BB2395</f>
        <v/>
      </c>
      <c r="BC2396">
        <f>'06_Сеть_и_дети'!BC11+'19_Расчет_аналитики'!BC2395</f>
        <v/>
      </c>
      <c r="BD2396">
        <f>'06_Сеть_и_дети'!BD11+'19_Расчет_аналитики'!BD2395</f>
        <v/>
      </c>
      <c r="BE2396">
        <f>'06_Сеть_и_дети'!BE11+'19_Расчет_аналитики'!BE2395</f>
        <v/>
      </c>
      <c r="BF2396">
        <f>'06_Сеть_и_дети'!BF11+'19_Расчет_аналитики'!BF2395</f>
        <v/>
      </c>
      <c r="BG2396">
        <f>'06_Сеть_и_дети'!BG11+'19_Расчет_аналитики'!BG2395</f>
        <v/>
      </c>
      <c r="BH2396">
        <f>'06_Сеть_и_дети'!BH11+'19_Расчет_аналитики'!BH2395</f>
        <v/>
      </c>
      <c r="BI2396">
        <f>'06_Сеть_и_дети'!BI11+'19_Расчет_аналитики'!BI2395</f>
        <v/>
      </c>
      <c r="BJ2396">
        <f>'06_Сеть_и_дети'!BJ11+'19_Расчет_аналитики'!BJ2395</f>
        <v/>
      </c>
      <c r="BK2396">
        <f>'06_Сеть_и_дети'!BK11+'19_Расчет_аналитики'!BK2395</f>
        <v/>
      </c>
      <c r="BL2396">
        <f>'06_Сеть_и_дети'!BL11+'19_Расчет_аналитики'!BL2395</f>
        <v/>
      </c>
      <c r="BM2396">
        <f>'06_Сеть_и_дети'!BM11+'19_Расчет_аналитики'!BM2395</f>
        <v/>
      </c>
      <c r="BN2396">
        <f>'06_Сеть_и_дети'!BN11+'19_Расчет_аналитики'!BN2395</f>
        <v/>
      </c>
      <c r="BO2396">
        <f>'06_Сеть_и_дети'!BO11+'19_Расчет_аналитики'!BO2395</f>
        <v/>
      </c>
    </row>
    <row r="2397"/>
    <row r="2398"/>
    <row r="2399"/>
    <row r="2400">
      <c r="B2400">
        <f>SUMPRODUCT('19_Расчет_аналитики'!B2432:B2443,CapacityYear1)*'19_Расчет_аналитики'!$F$2235*'06_Сеть_и_дети'!B5</f>
        <v/>
      </c>
      <c r="C2400">
        <f>SUMPRODUCT('19_Расчет_аналитики'!C2432:C2443,CapacityYear1)*'19_Расчет_аналитики'!$F$2235*'06_Сеть_и_дети'!C5</f>
        <v/>
      </c>
      <c r="D2400">
        <f>SUMPRODUCT('19_Расчет_аналитики'!D2432:D2443,CapacityYear1)*'19_Расчет_аналитики'!$F$2235*'06_Сеть_и_дети'!D5</f>
        <v/>
      </c>
      <c r="E2400">
        <f>SUMPRODUCT('19_Расчет_аналитики'!E2432:E2443,CapacityYear1)*'19_Расчет_аналитики'!$F$2235*'06_Сеть_и_дети'!E5</f>
        <v/>
      </c>
      <c r="F2400">
        <f>SUMPRODUCT('19_Расчет_аналитики'!F2432:F2443,CapacityYear1)*'19_Расчет_аналитики'!$F$2235*'06_Сеть_и_дети'!F5</f>
        <v/>
      </c>
      <c r="G2400">
        <f>SUMPRODUCT('19_Расчет_аналитики'!G2432:G2443,CapacityYear1)*'19_Расчет_аналитики'!$F$2235*'06_Сеть_и_дети'!G5</f>
        <v/>
      </c>
      <c r="H2400">
        <f>SUMPRODUCT('19_Расчет_аналитики'!H2432:H2443,CapacityYear1)*'19_Расчет_аналитики'!$F$2235*'06_Сеть_и_дети'!H5</f>
        <v/>
      </c>
      <c r="I2400">
        <f>SUMPRODUCT('19_Расчет_аналитики'!I2432:I2443,CapacityYear1)*'19_Расчет_аналитики'!$F$2235*'06_Сеть_и_дети'!I5</f>
        <v/>
      </c>
      <c r="J2400">
        <f>SUMPRODUCT('19_Расчет_аналитики'!J2432:J2443,CapacityYear1)*'19_Расчет_аналитики'!$F$2235*'06_Сеть_и_дети'!J5</f>
        <v/>
      </c>
      <c r="K2400">
        <f>SUMPRODUCT('19_Расчет_аналитики'!K2432:K2443,CapacityYear1)*'19_Расчет_аналитики'!$F$2235*'06_Сеть_и_дети'!K5</f>
        <v/>
      </c>
      <c r="L2400">
        <f>SUMPRODUCT('19_Расчет_аналитики'!L2432:L2443,CapacityYear1)*'19_Расчет_аналитики'!$F$2235*'06_Сеть_и_дети'!L5</f>
        <v/>
      </c>
      <c r="M2400">
        <f>SUMPRODUCT('19_Расчет_аналитики'!M2432:M2443,CapacityYear1)*'19_Расчет_аналитики'!$F$2235*'06_Сеть_и_дети'!M5</f>
        <v/>
      </c>
      <c r="N2400">
        <f>SUMPRODUCT('19_Расчет_аналитики'!N2432:N2443,CapacityYear1)*'19_Расчет_аналитики'!$F$2235*'06_Сеть_и_дети'!N5</f>
        <v/>
      </c>
      <c r="O2400">
        <f>SUMPRODUCT('19_Расчет_аналитики'!O2432:O2443,CapacityYear1)*'19_Расчет_аналитики'!$F$2235*'06_Сеть_и_дети'!O5</f>
        <v/>
      </c>
      <c r="P2400">
        <f>SUMPRODUCT('19_Расчет_аналитики'!P2432:P2443,CapacityYear1)*'19_Расчет_аналитики'!$F$2235*'06_Сеть_и_дети'!P5</f>
        <v/>
      </c>
      <c r="Q2400">
        <f>SUMPRODUCT('19_Расчет_аналитики'!Q2432:Q2443,CapacityYear1)*'19_Расчет_аналитики'!$F$2235*'06_Сеть_и_дети'!Q5</f>
        <v/>
      </c>
      <c r="R2400">
        <f>SUMPRODUCT('19_Расчет_аналитики'!R2432:R2443,CapacityYear1)*'19_Расчет_аналитики'!$F$2235*'06_Сеть_и_дети'!R5</f>
        <v/>
      </c>
      <c r="S2400">
        <f>SUMPRODUCT('19_Расчет_аналитики'!S2432:S2443,CapacityYear1)*'19_Расчет_аналитики'!$F$2235*'06_Сеть_и_дети'!S5</f>
        <v/>
      </c>
      <c r="T2400">
        <f>SUMPRODUCT('19_Расчет_аналитики'!T2432:T2443,CapacityYear1)*'19_Расчет_аналитики'!$F$2235*'06_Сеть_и_дети'!T5</f>
        <v/>
      </c>
      <c r="U2400">
        <f>SUMPRODUCT('19_Расчет_аналитики'!U2432:U2443,CapacityYear1)*'19_Расчет_аналитики'!$F$2235*'06_Сеть_и_дети'!U5</f>
        <v/>
      </c>
      <c r="V2400">
        <f>SUMPRODUCT('19_Расчет_аналитики'!V2432:V2443,CapacityYear1)*'19_Расчет_аналитики'!$F$2235*'06_Сеть_и_дети'!V5</f>
        <v/>
      </c>
      <c r="W2400">
        <f>SUMPRODUCT('19_Расчет_аналитики'!W2432:W2443,CapacityYear1)*'19_Расчет_аналитики'!$F$2235*'06_Сеть_и_дети'!W5</f>
        <v/>
      </c>
      <c r="X2400">
        <f>SUMPRODUCT('19_Расчет_аналитики'!X2432:X2443,CapacityYear1)*'19_Расчет_аналитики'!$F$2235*'06_Сеть_и_дети'!X5</f>
        <v/>
      </c>
      <c r="Y2400">
        <f>SUMPRODUCT('19_Расчет_аналитики'!Y2432:Y2443,CapacityYear1)*'19_Расчет_аналитики'!$F$2235*'06_Сеть_и_дети'!Y5</f>
        <v/>
      </c>
      <c r="Z2400">
        <f>SUMPRODUCT('19_Расчет_аналитики'!Z2432:Z2443,CapacityYear1)*'19_Расчет_аналитики'!$F$2235*'06_Сеть_и_дети'!Z5</f>
        <v/>
      </c>
      <c r="AA2400">
        <f>SUMPRODUCT('19_Расчет_аналитики'!AA2432:AA2443,CapacityYear1)*'19_Расчет_аналитики'!$F$2235*'06_Сеть_и_дети'!AA5</f>
        <v/>
      </c>
      <c r="AB2400">
        <f>SUMPRODUCT('19_Расчет_аналитики'!AB2432:AB2443,CapacityYear1)*'19_Расчет_аналитики'!$F$2235*'06_Сеть_и_дети'!AB5</f>
        <v/>
      </c>
      <c r="AC2400">
        <f>SUMPRODUCT('19_Расчет_аналитики'!AC2432:AC2443,CapacityYear1)*'19_Расчет_аналитики'!$F$2235*'06_Сеть_и_дети'!AC5</f>
        <v/>
      </c>
      <c r="AD2400">
        <f>SUMPRODUCT('19_Расчет_аналитики'!AD2432:AD2443,CapacityYear1)*'19_Расчет_аналитики'!$F$2235*'06_Сеть_и_дети'!AD5</f>
        <v/>
      </c>
      <c r="AE2400">
        <f>SUMPRODUCT('19_Расчет_аналитики'!AE2432:AE2443,CapacityYear1)*'19_Расчет_аналитики'!$F$2235*'06_Сеть_и_дети'!AE5</f>
        <v/>
      </c>
      <c r="AF2400">
        <f>SUMPRODUCT('19_Расчет_аналитики'!AF2432:AF2443,CapacityYear1)*'19_Расчет_аналитики'!$F$2235*'06_Сеть_и_дети'!AF5</f>
        <v/>
      </c>
      <c r="AG2400">
        <f>SUMPRODUCT('19_Расчет_аналитики'!AG2432:AG2443,CapacityYear1)*'19_Расчет_аналитики'!$F$2235*'06_Сеть_и_дети'!AG5</f>
        <v/>
      </c>
      <c r="AH2400">
        <f>SUMPRODUCT('19_Расчет_аналитики'!AH2432:AH2443,CapacityYear1)*'19_Расчет_аналитики'!$F$2235*'06_Сеть_и_дети'!AH5</f>
        <v/>
      </c>
      <c r="AI2400">
        <f>SUMPRODUCT('19_Расчет_аналитики'!AI2432:AI2443,CapacityYear1)*'19_Расчет_аналитики'!$F$2235*'06_Сеть_и_дети'!AI5</f>
        <v/>
      </c>
      <c r="AJ2400">
        <f>SUMPRODUCT('19_Расчет_аналитики'!AJ2432:AJ2443,CapacityYear1)*'19_Расчет_аналитики'!$F$2235*'06_Сеть_и_дети'!AJ5</f>
        <v/>
      </c>
      <c r="AK2400">
        <f>SUMPRODUCT('19_Расчет_аналитики'!AK2432:AK2443,CapacityYear1)*'19_Расчет_аналитики'!$F$2235*'06_Сеть_и_дети'!AK5</f>
        <v/>
      </c>
      <c r="AL2400">
        <f>SUMPRODUCT('19_Расчет_аналитики'!AL2432:AL2443,CapacityYear1)*'19_Расчет_аналитики'!$F$2235*'06_Сеть_и_дети'!AL5</f>
        <v/>
      </c>
      <c r="AM2400">
        <f>SUMPRODUCT('19_Расчет_аналитики'!AM2432:AM2443,CapacityYear1)*'19_Расчет_аналитики'!$F$2235*'06_Сеть_и_дети'!AM5</f>
        <v/>
      </c>
      <c r="AN2400">
        <f>SUMPRODUCT('19_Расчет_аналитики'!AN2432:AN2443,CapacityYear1)*'19_Расчет_аналитики'!$F$2235*'06_Сеть_и_дети'!AN5</f>
        <v/>
      </c>
      <c r="AO2400">
        <f>SUMPRODUCT('19_Расчет_аналитики'!AO2432:AO2443,CapacityYear1)*'19_Расчет_аналитики'!$F$2235*'06_Сеть_и_дети'!AO5</f>
        <v/>
      </c>
      <c r="AP2400">
        <f>SUMPRODUCT('19_Расчет_аналитики'!AP2432:AP2443,CapacityYear1)*'19_Расчет_аналитики'!$F$2235*'06_Сеть_и_дети'!AP5</f>
        <v/>
      </c>
      <c r="AQ2400">
        <f>SUMPRODUCT('19_Расчет_аналитики'!AQ2432:AQ2443,CapacityYear1)*'19_Расчет_аналитики'!$F$2235*'06_Сеть_и_дети'!AQ5</f>
        <v/>
      </c>
      <c r="AR2400">
        <f>SUMPRODUCT('19_Расчет_аналитики'!AR2432:AR2443,CapacityYear1)*'19_Расчет_аналитики'!$F$2235*'06_Сеть_и_дети'!AR5</f>
        <v/>
      </c>
      <c r="AS2400">
        <f>SUMPRODUCT('19_Расчет_аналитики'!AS2432:AS2443,CapacityYear1)*'19_Расчет_аналитики'!$F$2235*'06_Сеть_и_дети'!AS5</f>
        <v/>
      </c>
      <c r="AT2400">
        <f>SUMPRODUCT('19_Расчет_аналитики'!AT2432:AT2443,CapacityYear1)*'19_Расчет_аналитики'!$F$2235*'06_Сеть_и_дети'!AT5</f>
        <v/>
      </c>
      <c r="AU2400">
        <f>SUMPRODUCT('19_Расчет_аналитики'!AU2432:AU2443,CapacityYear1)*'19_Расчет_аналитики'!$F$2235*'06_Сеть_и_дети'!AU5</f>
        <v/>
      </c>
      <c r="AV2400">
        <f>SUMPRODUCT('19_Расчет_аналитики'!AV2432:AV2443,CapacityYear1)*'19_Расчет_аналитики'!$F$2235*'06_Сеть_и_дети'!AV5</f>
        <v/>
      </c>
      <c r="AW2400">
        <f>SUMPRODUCT('19_Расчет_аналитики'!AW2432:AW2443,CapacityYear1)*'19_Расчет_аналитики'!$F$2235*'06_Сеть_и_дети'!AW5</f>
        <v/>
      </c>
      <c r="AX2400">
        <f>SUMPRODUCT('19_Расчет_аналитики'!AX2432:AX2443,CapacityYear1)*'19_Расчет_аналитики'!$F$2235*'06_Сеть_и_дети'!AX5</f>
        <v/>
      </c>
      <c r="AY2400">
        <f>SUMPRODUCT('19_Расчет_аналитики'!AY2432:AY2443,CapacityYear1)*'19_Расчет_аналитики'!$F$2235*'06_Сеть_и_дети'!AY5</f>
        <v/>
      </c>
      <c r="AZ2400">
        <f>SUMPRODUCT('19_Расчет_аналитики'!AZ2432:AZ2443,CapacityYear1)*'19_Расчет_аналитики'!$F$2235*'06_Сеть_и_дети'!AZ5</f>
        <v/>
      </c>
      <c r="BA2400">
        <f>SUMPRODUCT('19_Расчет_аналитики'!BA2432:BA2443,CapacityYear1)*'19_Расчет_аналитики'!$F$2235*'06_Сеть_и_дети'!BA5</f>
        <v/>
      </c>
      <c r="BB2400">
        <f>SUMPRODUCT('19_Расчет_аналитики'!BB2432:BB2443,CapacityYear1)*'19_Расчет_аналитики'!$F$2235*'06_Сеть_и_дети'!BB5</f>
        <v/>
      </c>
      <c r="BC2400">
        <f>SUMPRODUCT('19_Расчет_аналитики'!BC2432:BC2443,CapacityYear1)*'19_Расчет_аналитики'!$F$2235*'06_Сеть_и_дети'!BC5</f>
        <v/>
      </c>
      <c r="BD2400">
        <f>SUMPRODUCT('19_Расчет_аналитики'!BD2432:BD2443,CapacityYear1)*'19_Расчет_аналитики'!$F$2235*'06_Сеть_и_дети'!BD5</f>
        <v/>
      </c>
      <c r="BE2400">
        <f>SUMPRODUCT('19_Расчет_аналитики'!BE2432:BE2443,CapacityYear1)*'19_Расчет_аналитики'!$F$2235*'06_Сеть_и_дети'!BE5</f>
        <v/>
      </c>
      <c r="BF2400">
        <f>SUMPRODUCT('19_Расчет_аналитики'!BF2432:BF2443,CapacityYear1)*'19_Расчет_аналитики'!$F$2235*'06_Сеть_и_дети'!BF5</f>
        <v/>
      </c>
      <c r="BG2400">
        <f>SUMPRODUCT('19_Расчет_аналитики'!BG2432:BG2443,CapacityYear1)*'19_Расчет_аналитики'!$F$2235*'06_Сеть_и_дети'!BG5</f>
        <v/>
      </c>
      <c r="BH2400">
        <f>SUMPRODUCT('19_Расчет_аналитики'!BH2432:BH2443,CapacityYear1)*'19_Расчет_аналитики'!$F$2235*'06_Сеть_и_дети'!BH5</f>
        <v/>
      </c>
      <c r="BI2400">
        <f>SUMPRODUCT('19_Расчет_аналитики'!BI2432:BI2443,CapacityYear1)*'19_Расчет_аналитики'!$F$2235*'06_Сеть_и_дети'!BI5</f>
        <v/>
      </c>
      <c r="BJ2400">
        <f>SUMPRODUCT('19_Расчет_аналитики'!BJ2432:BJ2443,CapacityYear1)*'19_Расчет_аналитики'!$F$2235*'06_Сеть_и_дети'!BJ5</f>
        <v/>
      </c>
      <c r="BK2400">
        <f>SUMPRODUCT('19_Расчет_аналитики'!BK2432:BK2443,CapacityYear1)*'19_Расчет_аналитики'!$F$2235*'06_Сеть_и_дети'!BK5</f>
        <v/>
      </c>
      <c r="BL2400">
        <f>SUMPRODUCT('19_Расчет_аналитики'!BL2432:BL2443,CapacityYear1)*'19_Расчет_аналитики'!$F$2235*'06_Сеть_и_дети'!BL5</f>
        <v/>
      </c>
      <c r="BM2400">
        <f>SUMPRODUCT('19_Расчет_аналитики'!BM2432:BM2443,CapacityYear1)*'19_Расчет_аналитики'!$F$2235*'06_Сеть_и_дети'!BM5</f>
        <v/>
      </c>
      <c r="BN2400">
        <f>SUMPRODUCT('19_Расчет_аналитики'!BN2432:BN2443,CapacityYear1)*'19_Расчет_аналитики'!$F$2235*'06_Сеть_и_дети'!BN5</f>
        <v/>
      </c>
      <c r="BO2400">
        <f>SUMPRODUCT('19_Расчет_аналитики'!BO2432:BO2443,CapacityYear1)*'19_Расчет_аналитики'!$F$2235*'06_Сеть_и_дети'!BO5</f>
        <v/>
      </c>
    </row>
    <row r="2401">
      <c r="B2401">
        <f>SUMPRODUCT('06_Сеть_и_дети'!B65:B76,CapacityYear2)*'19_Расчет_аналитики'!$F$2235*'06_Сеть_и_дети'!B5</f>
        <v/>
      </c>
      <c r="C2401">
        <f>SUMPRODUCT('06_Сеть_и_дети'!C65:C76,CapacityYear2)*'19_Расчет_аналитики'!$F$2235*'06_Сеть_и_дети'!C5</f>
        <v/>
      </c>
      <c r="D2401">
        <f>SUMPRODUCT('06_Сеть_и_дети'!D65:D76,CapacityYear2)*'19_Расчет_аналитики'!$F$2235*'06_Сеть_и_дети'!D5</f>
        <v/>
      </c>
      <c r="E2401">
        <f>SUMPRODUCT('06_Сеть_и_дети'!E65:E76,CapacityYear2)*'19_Расчет_аналитики'!$F$2235*'06_Сеть_и_дети'!E5</f>
        <v/>
      </c>
      <c r="F2401">
        <f>SUMPRODUCT('06_Сеть_и_дети'!F65:F76,CapacityYear2)*'19_Расчет_аналитики'!$F$2235*'06_Сеть_и_дети'!F5</f>
        <v/>
      </c>
      <c r="G2401">
        <f>SUMPRODUCT('06_Сеть_и_дети'!G65:G76,CapacityYear2)*'19_Расчет_аналитики'!$F$2235*'06_Сеть_и_дети'!G5</f>
        <v/>
      </c>
      <c r="H2401">
        <f>SUMPRODUCT('06_Сеть_и_дети'!H65:H76,CapacityYear2)*'19_Расчет_аналитики'!$F$2235*'06_Сеть_и_дети'!H5</f>
        <v/>
      </c>
      <c r="I2401">
        <f>SUMPRODUCT('06_Сеть_и_дети'!I65:I76,CapacityYear2)*'19_Расчет_аналитики'!$F$2235*'06_Сеть_и_дети'!I5</f>
        <v/>
      </c>
      <c r="J2401">
        <f>SUMPRODUCT('06_Сеть_и_дети'!J65:J76,CapacityYear2)*'19_Расчет_аналитики'!$F$2235*'06_Сеть_и_дети'!J5</f>
        <v/>
      </c>
      <c r="K2401">
        <f>SUMPRODUCT('06_Сеть_и_дети'!K65:K76,CapacityYear2)*'19_Расчет_аналитики'!$F$2235*'06_Сеть_и_дети'!K5</f>
        <v/>
      </c>
      <c r="L2401">
        <f>SUMPRODUCT('06_Сеть_и_дети'!L65:L76,CapacityYear2)*'19_Расчет_аналитики'!$F$2235*'06_Сеть_и_дети'!L5</f>
        <v/>
      </c>
      <c r="M2401">
        <f>SUMPRODUCT('06_Сеть_и_дети'!M65:M76,CapacityYear2)*'19_Расчет_аналитики'!$F$2235*'06_Сеть_и_дети'!M5</f>
        <v/>
      </c>
      <c r="N2401">
        <f>SUMPRODUCT('19_Расчет_аналитики'!N2444:N2455,CapacityYear2)*'19_Расчет_аналитики'!$F$2235*'06_Сеть_и_дети'!N5</f>
        <v/>
      </c>
      <c r="O2401">
        <f>SUMPRODUCT('19_Расчет_аналитики'!O2444:O2455,CapacityYear2)*'19_Расчет_аналитики'!$F$2235*'06_Сеть_и_дети'!O5</f>
        <v/>
      </c>
      <c r="P2401">
        <f>SUMPRODUCT('19_Расчет_аналитики'!P2444:P2455,CapacityYear2)*'19_Расчет_аналитики'!$F$2235*'06_Сеть_и_дети'!P5</f>
        <v/>
      </c>
      <c r="Q2401">
        <f>SUMPRODUCT('19_Расчет_аналитики'!Q2444:Q2455,CapacityYear2)*'19_Расчет_аналитики'!$F$2235*'06_Сеть_и_дети'!Q5</f>
        <v/>
      </c>
      <c r="R2401">
        <f>SUMPRODUCT('19_Расчет_аналитики'!R2444:R2455,CapacityYear2)*'19_Расчет_аналитики'!$F$2235*'06_Сеть_и_дети'!R5</f>
        <v/>
      </c>
      <c r="S2401">
        <f>SUMPRODUCT('19_Расчет_аналитики'!S2444:S2455,CapacityYear2)*'19_Расчет_аналитики'!$F$2235*'06_Сеть_и_дети'!S5</f>
        <v/>
      </c>
      <c r="T2401">
        <f>SUMPRODUCT('19_Расчет_аналитики'!T2444:T2455,CapacityYear2)*'19_Расчет_аналитики'!$F$2235*'06_Сеть_и_дети'!T5</f>
        <v/>
      </c>
      <c r="U2401">
        <f>SUMPRODUCT('19_Расчет_аналитики'!U2444:U2455,CapacityYear2)*'19_Расчет_аналитики'!$F$2235*'06_Сеть_и_дети'!U5</f>
        <v/>
      </c>
      <c r="V2401">
        <f>SUMPRODUCT('19_Расчет_аналитики'!V2444:V2455,CapacityYear2)*'19_Расчет_аналитики'!$F$2235*'06_Сеть_и_дети'!V5</f>
        <v/>
      </c>
      <c r="W2401">
        <f>SUMPRODUCT('19_Расчет_аналитики'!W2444:W2455,CapacityYear2)*'19_Расчет_аналитики'!$F$2235*'06_Сеть_и_дети'!W5</f>
        <v/>
      </c>
      <c r="X2401">
        <f>SUMPRODUCT('19_Расчет_аналитики'!X2444:X2455,CapacityYear2)*'19_Расчет_аналитики'!$F$2235*'06_Сеть_и_дети'!X5</f>
        <v/>
      </c>
      <c r="Y2401">
        <f>SUMPRODUCT('19_Расчет_аналитики'!Y2444:Y2455,CapacityYear2)*'19_Расчет_аналитики'!$F$2235*'06_Сеть_и_дети'!Y5</f>
        <v/>
      </c>
      <c r="Z2401">
        <f>SUMPRODUCT('19_Расчет_аналитики'!Z2444:Z2455,CapacityYear2)*'19_Расчет_аналитики'!$F$2235*'06_Сеть_и_дети'!Z5</f>
        <v/>
      </c>
      <c r="AA2401">
        <f>SUMPRODUCT('19_Расчет_аналитики'!AA2444:AA2455,CapacityYear2)*'19_Расчет_аналитики'!$F$2235*'06_Сеть_и_дети'!AA5</f>
        <v/>
      </c>
      <c r="AB2401">
        <f>SUMPRODUCT('19_Расчет_аналитики'!AB2444:AB2455,CapacityYear2)*'19_Расчет_аналитики'!$F$2235*'06_Сеть_и_дети'!AB5</f>
        <v/>
      </c>
      <c r="AC2401">
        <f>SUMPRODUCT('19_Расчет_аналитики'!AC2444:AC2455,CapacityYear2)*'19_Расчет_аналитики'!$F$2235*'06_Сеть_и_дети'!AC5</f>
        <v/>
      </c>
      <c r="AD2401">
        <f>SUMPRODUCT('19_Расчет_аналитики'!AD2444:AD2455,CapacityYear2)*'19_Расчет_аналитики'!$F$2235*'06_Сеть_и_дети'!AD5</f>
        <v/>
      </c>
      <c r="AE2401">
        <f>SUMPRODUCT('19_Расчет_аналитики'!AE2444:AE2455,CapacityYear2)*'19_Расчет_аналитики'!$F$2235*'06_Сеть_и_дети'!AE5</f>
        <v/>
      </c>
      <c r="AF2401">
        <f>SUMPRODUCT('19_Расчет_аналитики'!AF2444:AF2455,CapacityYear2)*'19_Расчет_аналитики'!$F$2235*'06_Сеть_и_дети'!AF5</f>
        <v/>
      </c>
      <c r="AG2401">
        <f>SUMPRODUCT('19_Расчет_аналитики'!AG2444:AG2455,CapacityYear2)*'19_Расчет_аналитики'!$F$2235*'06_Сеть_и_дети'!AG5</f>
        <v/>
      </c>
      <c r="AH2401">
        <f>SUMPRODUCT('19_Расчет_аналитики'!AH2444:AH2455,CapacityYear2)*'19_Расчет_аналитики'!$F$2235*'06_Сеть_и_дети'!AH5</f>
        <v/>
      </c>
      <c r="AI2401">
        <f>SUMPRODUCT('19_Расчет_аналитики'!AI2444:AI2455,CapacityYear2)*'19_Расчет_аналитики'!$F$2235*'06_Сеть_и_дети'!AI5</f>
        <v/>
      </c>
      <c r="AJ2401">
        <f>SUMPRODUCT('19_Расчет_аналитики'!AJ2444:AJ2455,CapacityYear2)*'19_Расчет_аналитики'!$F$2235*'06_Сеть_и_дети'!AJ5</f>
        <v/>
      </c>
      <c r="AK2401">
        <f>SUMPRODUCT('19_Расчет_аналитики'!AK2444:AK2455,CapacityYear2)*'19_Расчет_аналитики'!$F$2235*'06_Сеть_и_дети'!AK5</f>
        <v/>
      </c>
      <c r="AL2401">
        <f>SUMPRODUCT('19_Расчет_аналитики'!AL2444:AL2455,CapacityYear2)*'19_Расчет_аналитики'!$F$2235*'06_Сеть_и_дети'!AL5</f>
        <v/>
      </c>
      <c r="AM2401">
        <f>SUMPRODUCT('19_Расчет_аналитики'!AM2444:AM2455,CapacityYear2)*'19_Расчет_аналитики'!$F$2235*'06_Сеть_и_дети'!AM5</f>
        <v/>
      </c>
      <c r="AN2401">
        <f>SUMPRODUCT('19_Расчет_аналитики'!AN2444:AN2455,CapacityYear2)*'19_Расчет_аналитики'!$F$2235*'06_Сеть_и_дети'!AN5</f>
        <v/>
      </c>
      <c r="AO2401">
        <f>SUMPRODUCT('19_Расчет_аналитики'!AO2444:AO2455,CapacityYear2)*'19_Расчет_аналитики'!$F$2235*'06_Сеть_и_дети'!AO5</f>
        <v/>
      </c>
      <c r="AP2401">
        <f>SUMPRODUCT('19_Расчет_аналитики'!AP2444:AP2455,CapacityYear2)*'19_Расчет_аналитики'!$F$2235*'06_Сеть_и_дети'!AP5</f>
        <v/>
      </c>
      <c r="AQ2401">
        <f>SUMPRODUCT('19_Расчет_аналитики'!AQ2444:AQ2455,CapacityYear2)*'19_Расчет_аналитики'!$F$2235*'06_Сеть_и_дети'!AQ5</f>
        <v/>
      </c>
      <c r="AR2401">
        <f>SUMPRODUCT('19_Расчет_аналитики'!AR2444:AR2455,CapacityYear2)*'19_Расчет_аналитики'!$F$2235*'06_Сеть_и_дети'!AR5</f>
        <v/>
      </c>
      <c r="AS2401">
        <f>SUMPRODUCT('19_Расчет_аналитики'!AS2444:AS2455,CapacityYear2)*'19_Расчет_аналитики'!$F$2235*'06_Сеть_и_дети'!AS5</f>
        <v/>
      </c>
      <c r="AT2401">
        <f>SUMPRODUCT('19_Расчет_аналитики'!AT2444:AT2455,CapacityYear2)*'19_Расчет_аналитики'!$F$2235*'06_Сеть_и_дети'!AT5</f>
        <v/>
      </c>
      <c r="AU2401">
        <f>SUMPRODUCT('19_Расчет_аналитики'!AU2444:AU2455,CapacityYear2)*'19_Расчет_аналитики'!$F$2235*'06_Сеть_и_дети'!AU5</f>
        <v/>
      </c>
      <c r="AV2401">
        <f>SUMPRODUCT('19_Расчет_аналитики'!AV2444:AV2455,CapacityYear2)*'19_Расчет_аналитики'!$F$2235*'06_Сеть_и_дети'!AV5</f>
        <v/>
      </c>
      <c r="AW2401">
        <f>SUMPRODUCT('19_Расчет_аналитики'!AW2444:AW2455,CapacityYear2)*'19_Расчет_аналитики'!$F$2235*'06_Сеть_и_дети'!AW5</f>
        <v/>
      </c>
      <c r="AX2401">
        <f>SUMPRODUCT('19_Расчет_аналитики'!AX2444:AX2455,CapacityYear2)*'19_Расчет_аналитики'!$F$2235*'06_Сеть_и_дети'!AX5</f>
        <v/>
      </c>
      <c r="AY2401">
        <f>SUMPRODUCT('19_Расчет_аналитики'!AY2444:AY2455,CapacityYear2)*'19_Расчет_аналитики'!$F$2235*'06_Сеть_и_дети'!AY5</f>
        <v/>
      </c>
      <c r="AZ2401">
        <f>SUMPRODUCT('19_Расчет_аналитики'!AZ2444:AZ2455,CapacityYear2)*'19_Расчет_аналитики'!$F$2235*'06_Сеть_и_дети'!AZ5</f>
        <v/>
      </c>
      <c r="BA2401">
        <f>SUMPRODUCT('19_Расчет_аналитики'!BA2444:BA2455,CapacityYear2)*'19_Расчет_аналитики'!$F$2235*'06_Сеть_и_дети'!BA5</f>
        <v/>
      </c>
      <c r="BB2401">
        <f>SUMPRODUCT('19_Расчет_аналитики'!BB2444:BB2455,CapacityYear2)*'19_Расчет_аналитики'!$F$2235*'06_Сеть_и_дети'!BB5</f>
        <v/>
      </c>
      <c r="BC2401">
        <f>SUMPRODUCT('19_Расчет_аналитики'!BC2444:BC2455,CapacityYear2)*'19_Расчет_аналитики'!$F$2235*'06_Сеть_и_дети'!BC5</f>
        <v/>
      </c>
      <c r="BD2401">
        <f>SUMPRODUCT('19_Расчет_аналитики'!BD2444:BD2455,CapacityYear2)*'19_Расчет_аналитики'!$F$2235*'06_Сеть_и_дети'!BD5</f>
        <v/>
      </c>
      <c r="BE2401">
        <f>SUMPRODUCT('19_Расчет_аналитики'!BE2444:BE2455,CapacityYear2)*'19_Расчет_аналитики'!$F$2235*'06_Сеть_и_дети'!BE5</f>
        <v/>
      </c>
      <c r="BF2401">
        <f>SUMPRODUCT('19_Расчет_аналитики'!BF2444:BF2455,CapacityYear2)*'19_Расчет_аналитики'!$F$2235*'06_Сеть_и_дети'!BF5</f>
        <v/>
      </c>
      <c r="BG2401">
        <f>SUMPRODUCT('19_Расчет_аналитики'!BG2444:BG2455,CapacityYear2)*'19_Расчет_аналитики'!$F$2235*'06_Сеть_и_дети'!BG5</f>
        <v/>
      </c>
      <c r="BH2401">
        <f>SUMPRODUCT('19_Расчет_аналитики'!BH2444:BH2455,CapacityYear2)*'19_Расчет_аналитики'!$F$2235*'06_Сеть_и_дети'!BH5</f>
        <v/>
      </c>
      <c r="BI2401">
        <f>SUMPRODUCT('19_Расчет_аналитики'!BI2444:BI2455,CapacityYear2)*'19_Расчет_аналитики'!$F$2235*'06_Сеть_и_дети'!BI5</f>
        <v/>
      </c>
      <c r="BJ2401">
        <f>SUMPRODUCT('19_Расчет_аналитики'!BJ2444:BJ2455,CapacityYear2)*'19_Расчет_аналитики'!$F$2235*'06_Сеть_и_дети'!BJ5</f>
        <v/>
      </c>
      <c r="BK2401">
        <f>SUMPRODUCT('19_Расчет_аналитики'!BK2444:BK2455,CapacityYear2)*'19_Расчет_аналитики'!$F$2235*'06_Сеть_и_дети'!BK5</f>
        <v/>
      </c>
      <c r="BL2401">
        <f>SUMPRODUCT('19_Расчет_аналитики'!BL2444:BL2455,CapacityYear2)*'19_Расчет_аналитики'!$F$2235*'06_Сеть_и_дети'!BL5</f>
        <v/>
      </c>
      <c r="BM2401">
        <f>SUMPRODUCT('19_Расчет_аналитики'!BM2444:BM2455,CapacityYear2)*'19_Расчет_аналитики'!$F$2235*'06_Сеть_и_дети'!BM5</f>
        <v/>
      </c>
      <c r="BN2401">
        <f>SUMPRODUCT('19_Расчет_аналитики'!BN2444:BN2455,CapacityYear2)*'19_Расчет_аналитики'!$F$2235*'06_Сеть_и_дети'!BN5</f>
        <v/>
      </c>
      <c r="BO2401">
        <f>SUMPRODUCT('19_Расчет_аналитики'!BO2444:BO2455,CapacityYear2)*'19_Расчет_аналитики'!$F$2235*'06_Сеть_и_дети'!BO5</f>
        <v/>
      </c>
    </row>
    <row r="2402">
      <c r="B2402">
        <f>'06_Сеть_и_дети'!B77*CapacityAge25*'19_Расчет_аналитики'!$F$2235*'06_Сеть_и_дети'!B5</f>
        <v/>
      </c>
      <c r="C2402">
        <f>'06_Сеть_и_дети'!C77*CapacityAge25*'19_Расчет_аналитики'!$F$2235*'06_Сеть_и_дети'!C5</f>
        <v/>
      </c>
      <c r="D2402">
        <f>'06_Сеть_и_дети'!D77*CapacityAge25*'19_Расчет_аналитики'!$F$2235*'06_Сеть_и_дети'!D5</f>
        <v/>
      </c>
      <c r="E2402">
        <f>'06_Сеть_и_дети'!E77*CapacityAge25*'19_Расчет_аналитики'!$F$2235*'06_Сеть_и_дети'!E5</f>
        <v/>
      </c>
      <c r="F2402">
        <f>'06_Сеть_и_дети'!F77*CapacityAge25*'19_Расчет_аналитики'!$F$2235*'06_Сеть_и_дети'!F5</f>
        <v/>
      </c>
      <c r="G2402">
        <f>'06_Сеть_и_дети'!G77*CapacityAge25*'19_Расчет_аналитики'!$F$2235*'06_Сеть_и_дети'!G5</f>
        <v/>
      </c>
      <c r="H2402">
        <f>'06_Сеть_и_дети'!H77*CapacityAge25*'19_Расчет_аналитики'!$F$2235*'06_Сеть_и_дети'!H5</f>
        <v/>
      </c>
      <c r="I2402">
        <f>'06_Сеть_и_дети'!I77*CapacityAge25*'19_Расчет_аналитики'!$F$2235*'06_Сеть_и_дети'!I5</f>
        <v/>
      </c>
      <c r="J2402">
        <f>'06_Сеть_и_дети'!J77*CapacityAge25*'19_Расчет_аналитики'!$F$2235*'06_Сеть_и_дети'!J5</f>
        <v/>
      </c>
      <c r="K2402">
        <f>'06_Сеть_и_дети'!K77*CapacityAge25*'19_Расчет_аналитики'!$F$2235*'06_Сеть_и_дети'!K5</f>
        <v/>
      </c>
      <c r="L2402">
        <f>'06_Сеть_и_дети'!L77*CapacityAge25*'19_Расчет_аналитики'!$F$2235*'06_Сеть_и_дети'!L5</f>
        <v/>
      </c>
      <c r="M2402">
        <f>'06_Сеть_и_дети'!M77*CapacityAge25*'19_Расчет_аналитики'!$F$2235*'06_Сеть_и_дети'!M5</f>
        <v/>
      </c>
      <c r="N2402">
        <f>'06_Сеть_и_дети'!N77*CapacityAge25*'19_Расчет_аналитики'!$F$2235*'06_Сеть_и_дети'!N5</f>
        <v/>
      </c>
      <c r="O2402">
        <f>'06_Сеть_и_дети'!O77*CapacityAge25*'19_Расчет_аналитики'!$F$2235*'06_Сеть_и_дети'!O5</f>
        <v/>
      </c>
      <c r="P2402">
        <f>'06_Сеть_и_дети'!P77*CapacityAge25*'19_Расчет_аналитики'!$F$2235*'06_Сеть_и_дети'!P5</f>
        <v/>
      </c>
      <c r="Q2402">
        <f>'06_Сеть_и_дети'!Q77*CapacityAge25*'19_Расчет_аналитики'!$F$2235*'06_Сеть_и_дети'!Q5</f>
        <v/>
      </c>
      <c r="R2402">
        <f>'06_Сеть_и_дети'!R77*CapacityAge25*'19_Расчет_аналитики'!$F$2235*'06_Сеть_и_дети'!R5</f>
        <v/>
      </c>
      <c r="S2402">
        <f>'06_Сеть_и_дети'!S77*CapacityAge25*'19_Расчет_аналитики'!$F$2235*'06_Сеть_и_дети'!S5</f>
        <v/>
      </c>
      <c r="T2402">
        <f>'06_Сеть_и_дети'!T77*CapacityAge25*'19_Расчет_аналитики'!$F$2235*'06_Сеть_и_дети'!T5</f>
        <v/>
      </c>
      <c r="U2402">
        <f>'06_Сеть_и_дети'!U77*CapacityAge25*'19_Расчет_аналитики'!$F$2235*'06_Сеть_и_дети'!U5</f>
        <v/>
      </c>
      <c r="V2402">
        <f>'06_Сеть_и_дети'!V77*CapacityAge25*'19_Расчет_аналитики'!$F$2235*'06_Сеть_и_дети'!V5</f>
        <v/>
      </c>
      <c r="W2402">
        <f>'06_Сеть_и_дети'!W77*CapacityAge25*'19_Расчет_аналитики'!$F$2235*'06_Сеть_и_дети'!W5</f>
        <v/>
      </c>
      <c r="X2402">
        <f>'06_Сеть_и_дети'!X77*CapacityAge25*'19_Расчет_аналитики'!$F$2235*'06_Сеть_и_дети'!X5</f>
        <v/>
      </c>
      <c r="Y2402">
        <f>'06_Сеть_и_дети'!Y77*CapacityAge25*'19_Расчет_аналитики'!$F$2235*'06_Сеть_и_дети'!Y5</f>
        <v/>
      </c>
      <c r="Z2402">
        <f>'19_Расчет_аналитики'!Z2456*CapacityAge25*'19_Расчет_аналитики'!$F$2235*'06_Сеть_и_дети'!Z5</f>
        <v/>
      </c>
      <c r="AA2402">
        <f>'19_Расчет_аналитики'!AA2456*CapacityAge25*'19_Расчет_аналитики'!$F$2235*'06_Сеть_и_дети'!AA5</f>
        <v/>
      </c>
      <c r="AB2402">
        <f>'19_Расчет_аналитики'!AB2456*CapacityAge25*'19_Расчет_аналитики'!$F$2235*'06_Сеть_и_дети'!AB5</f>
        <v/>
      </c>
      <c r="AC2402">
        <f>'19_Расчет_аналитики'!AC2456*CapacityAge25*'19_Расчет_аналитики'!$F$2235*'06_Сеть_и_дети'!AC5</f>
        <v/>
      </c>
      <c r="AD2402">
        <f>'19_Расчет_аналитики'!AD2456*CapacityAge25*'19_Расчет_аналитики'!$F$2235*'06_Сеть_и_дети'!AD5</f>
        <v/>
      </c>
      <c r="AE2402">
        <f>'19_Расчет_аналитики'!AE2456*CapacityAge25*'19_Расчет_аналитики'!$F$2235*'06_Сеть_и_дети'!AE5</f>
        <v/>
      </c>
      <c r="AF2402">
        <f>'19_Расчет_аналитики'!AF2456*CapacityAge25*'19_Расчет_аналитики'!$F$2235*'06_Сеть_и_дети'!AF5</f>
        <v/>
      </c>
      <c r="AG2402">
        <f>'19_Расчет_аналитики'!AG2456*CapacityAge25*'19_Расчет_аналитики'!$F$2235*'06_Сеть_и_дети'!AG5</f>
        <v/>
      </c>
      <c r="AH2402">
        <f>'19_Расчет_аналитики'!AH2456*CapacityAge25*'19_Расчет_аналитики'!$F$2235*'06_Сеть_и_дети'!AH5</f>
        <v/>
      </c>
      <c r="AI2402">
        <f>'19_Расчет_аналитики'!AI2456*CapacityAge25*'19_Расчет_аналитики'!$F$2235*'06_Сеть_и_дети'!AI5</f>
        <v/>
      </c>
      <c r="AJ2402">
        <f>'19_Расчет_аналитики'!AJ2456*CapacityAge25*'19_Расчет_аналитики'!$F$2235*'06_Сеть_и_дети'!AJ5</f>
        <v/>
      </c>
      <c r="AK2402">
        <f>'19_Расчет_аналитики'!AK2456*CapacityAge25*'19_Расчет_аналитики'!$F$2235*'06_Сеть_и_дети'!AK5</f>
        <v/>
      </c>
      <c r="AL2402">
        <f>'19_Расчет_аналитики'!AL2456*CapacityAge25*'19_Расчет_аналитики'!$F$2235*'06_Сеть_и_дети'!AL5</f>
        <v/>
      </c>
      <c r="AM2402">
        <f>'19_Расчет_аналитики'!AM2456*CapacityAge25*'19_Расчет_аналитики'!$F$2235*'06_Сеть_и_дети'!AM5</f>
        <v/>
      </c>
      <c r="AN2402">
        <f>'19_Расчет_аналитики'!AN2456*CapacityAge25*'19_Расчет_аналитики'!$F$2235*'06_Сеть_и_дети'!AN5</f>
        <v/>
      </c>
      <c r="AO2402">
        <f>'19_Расчет_аналитики'!AO2456*CapacityAge25*'19_Расчет_аналитики'!$F$2235*'06_Сеть_и_дети'!AO5</f>
        <v/>
      </c>
      <c r="AP2402">
        <f>'19_Расчет_аналитики'!AP2456*CapacityAge25*'19_Расчет_аналитики'!$F$2235*'06_Сеть_и_дети'!AP5</f>
        <v/>
      </c>
      <c r="AQ2402">
        <f>'19_Расчет_аналитики'!AQ2456*CapacityAge25*'19_Расчет_аналитики'!$F$2235*'06_Сеть_и_дети'!AQ5</f>
        <v/>
      </c>
      <c r="AR2402">
        <f>'19_Расчет_аналитики'!AR2456*CapacityAge25*'19_Расчет_аналитики'!$F$2235*'06_Сеть_и_дети'!AR5</f>
        <v/>
      </c>
      <c r="AS2402">
        <f>'19_Расчет_аналитики'!AS2456*CapacityAge25*'19_Расчет_аналитики'!$F$2235*'06_Сеть_и_дети'!AS5</f>
        <v/>
      </c>
      <c r="AT2402">
        <f>'19_Расчет_аналитики'!AT2456*CapacityAge25*'19_Расчет_аналитики'!$F$2235*'06_Сеть_и_дети'!AT5</f>
        <v/>
      </c>
      <c r="AU2402">
        <f>'19_Расчет_аналитики'!AU2456*CapacityAge25*'19_Расчет_аналитики'!$F$2235*'06_Сеть_и_дети'!AU5</f>
        <v/>
      </c>
      <c r="AV2402">
        <f>'19_Расчет_аналитики'!AV2456*CapacityAge25*'19_Расчет_аналитики'!$F$2235*'06_Сеть_и_дети'!AV5</f>
        <v/>
      </c>
      <c r="AW2402">
        <f>'19_Расчет_аналитики'!AW2456*CapacityAge25*'19_Расчет_аналитики'!$F$2235*'06_Сеть_и_дети'!AW5</f>
        <v/>
      </c>
      <c r="AX2402">
        <f>'19_Расчет_аналитики'!AX2456*CapacityAge25*'19_Расчет_аналитики'!$F$2235*'06_Сеть_и_дети'!AX5</f>
        <v/>
      </c>
      <c r="AY2402">
        <f>'19_Расчет_аналитики'!AY2456*CapacityAge25*'19_Расчет_аналитики'!$F$2235*'06_Сеть_и_дети'!AY5</f>
        <v/>
      </c>
      <c r="AZ2402">
        <f>'19_Расчет_аналитики'!AZ2456*CapacityAge25*'19_Расчет_аналитики'!$F$2235*'06_Сеть_и_дети'!AZ5</f>
        <v/>
      </c>
      <c r="BA2402">
        <f>'19_Расчет_аналитики'!BA2456*CapacityAge25*'19_Расчет_аналитики'!$F$2235*'06_Сеть_и_дети'!BA5</f>
        <v/>
      </c>
      <c r="BB2402">
        <f>'19_Расчет_аналитики'!BB2456*CapacityAge25*'19_Расчет_аналитики'!$F$2235*'06_Сеть_и_дети'!BB5</f>
        <v/>
      </c>
      <c r="BC2402">
        <f>'19_Расчет_аналитики'!BC2456*CapacityAge25*'19_Расчет_аналитики'!$F$2235*'06_Сеть_и_дети'!BC5</f>
        <v/>
      </c>
      <c r="BD2402">
        <f>'19_Расчет_аналитики'!BD2456*CapacityAge25*'19_Расчет_аналитики'!$F$2235*'06_Сеть_и_дети'!BD5</f>
        <v/>
      </c>
      <c r="BE2402">
        <f>'19_Расчет_аналитики'!BE2456*CapacityAge25*'19_Расчет_аналитики'!$F$2235*'06_Сеть_и_дети'!BE5</f>
        <v/>
      </c>
      <c r="BF2402">
        <f>'19_Расчет_аналитики'!BF2456*CapacityAge25*'19_Расчет_аналитики'!$F$2235*'06_Сеть_и_дети'!BF5</f>
        <v/>
      </c>
      <c r="BG2402">
        <f>'19_Расчет_аналитики'!BG2456*CapacityAge25*'19_Расчет_аналитики'!$F$2235*'06_Сеть_и_дети'!BG5</f>
        <v/>
      </c>
      <c r="BH2402">
        <f>'19_Расчет_аналитики'!BH2456*CapacityAge25*'19_Расчет_аналитики'!$F$2235*'06_Сеть_и_дети'!BH5</f>
        <v/>
      </c>
      <c r="BI2402">
        <f>'19_Расчет_аналитики'!BI2456*CapacityAge25*'19_Расчет_аналитики'!$F$2235*'06_Сеть_и_дети'!BI5</f>
        <v/>
      </c>
      <c r="BJ2402">
        <f>'19_Расчет_аналитики'!BJ2456*CapacityAge25*'19_Расчет_аналитики'!$F$2235*'06_Сеть_и_дети'!BJ5</f>
        <v/>
      </c>
      <c r="BK2402">
        <f>'19_Расчет_аналитики'!BK2456*CapacityAge25*'19_Расчет_аналитики'!$F$2235*'06_Сеть_и_дети'!BK5</f>
        <v/>
      </c>
      <c r="BL2402">
        <f>'19_Расчет_аналитики'!BL2456*CapacityAge25*'19_Расчет_аналитики'!$F$2235*'06_Сеть_и_дети'!BL5</f>
        <v/>
      </c>
      <c r="BM2402">
        <f>'19_Расчет_аналитики'!BM2456*CapacityAge25*'19_Расчет_аналитики'!$F$2235*'06_Сеть_и_дети'!BM5</f>
        <v/>
      </c>
      <c r="BN2402">
        <f>'19_Расчет_аналитики'!BN2456*CapacityAge25*'19_Расчет_аналитики'!$F$2235*'06_Сеть_и_дети'!BN5</f>
        <v/>
      </c>
      <c r="BO2402">
        <f>'19_Расчет_аналитики'!BO2456*CapacityAge25*'19_Расчет_аналитики'!$F$2235*'06_Сеть_и_дети'!BO5</f>
        <v/>
      </c>
    </row>
    <row r="2403">
      <c r="B2403">
        <f>SUM('19_Расчет_аналитики'!B2400:B2402)</f>
        <v/>
      </c>
      <c r="C2403">
        <f>SUM('19_Расчет_аналитики'!C2400:C2402)</f>
        <v/>
      </c>
      <c r="D2403">
        <f>SUM('19_Расчет_аналитики'!D2400:D2402)</f>
        <v/>
      </c>
      <c r="E2403">
        <f>SUM('19_Расчет_аналитики'!E2400:E2402)</f>
        <v/>
      </c>
      <c r="F2403">
        <f>SUM('19_Расчет_аналитики'!F2400:F2402)</f>
        <v/>
      </c>
      <c r="G2403">
        <f>SUM('19_Расчет_аналитики'!G2400:G2402)</f>
        <v/>
      </c>
      <c r="H2403">
        <f>SUM('19_Расчет_аналитики'!H2400:H2402)</f>
        <v/>
      </c>
      <c r="I2403">
        <f>SUM('19_Расчет_аналитики'!I2400:I2402)</f>
        <v/>
      </c>
      <c r="J2403">
        <f>SUM('19_Расчет_аналитики'!J2400:J2402)</f>
        <v/>
      </c>
      <c r="K2403">
        <f>SUM('19_Расчет_аналитики'!K2400:K2402)</f>
        <v/>
      </c>
      <c r="L2403">
        <f>SUM('19_Расчет_аналитики'!L2400:L2402)</f>
        <v/>
      </c>
      <c r="M2403">
        <f>SUM('19_Расчет_аналитики'!M2400:M2402)</f>
        <v/>
      </c>
      <c r="N2403">
        <f>SUM('19_Расчет_аналитики'!N2400:N2402)</f>
        <v/>
      </c>
      <c r="O2403">
        <f>SUM('19_Расчет_аналитики'!O2400:O2402)</f>
        <v/>
      </c>
      <c r="P2403">
        <f>SUM('19_Расчет_аналитики'!P2400:P2402)</f>
        <v/>
      </c>
      <c r="Q2403">
        <f>SUM('19_Расчет_аналитики'!Q2400:Q2402)</f>
        <v/>
      </c>
      <c r="R2403">
        <f>SUM('19_Расчет_аналитики'!R2400:R2402)</f>
        <v/>
      </c>
      <c r="S2403">
        <f>SUM('19_Расчет_аналитики'!S2400:S2402)</f>
        <v/>
      </c>
      <c r="T2403">
        <f>SUM('19_Расчет_аналитики'!T2400:T2402)</f>
        <v/>
      </c>
      <c r="U2403">
        <f>SUM('19_Расчет_аналитики'!U2400:U2402)</f>
        <v/>
      </c>
      <c r="V2403">
        <f>SUM('19_Расчет_аналитики'!V2400:V2402)</f>
        <v/>
      </c>
      <c r="W2403">
        <f>SUM('19_Расчет_аналитики'!W2400:W2402)</f>
        <v/>
      </c>
      <c r="X2403">
        <f>SUM('19_Расчет_аналитики'!X2400:X2402)</f>
        <v/>
      </c>
      <c r="Y2403">
        <f>SUM('19_Расчет_аналитики'!Y2400:Y2402)</f>
        <v/>
      </c>
      <c r="Z2403">
        <f>SUM('19_Расчет_аналитики'!Z2400:Z2402)</f>
        <v/>
      </c>
      <c r="AA2403">
        <f>SUM('19_Расчет_аналитики'!AA2400:AA2402)</f>
        <v/>
      </c>
      <c r="AB2403">
        <f>SUM('19_Расчет_аналитики'!AB2400:AB2402)</f>
        <v/>
      </c>
      <c r="AC2403">
        <f>SUM('19_Расчет_аналитики'!AC2400:AC2402)</f>
        <v/>
      </c>
      <c r="AD2403">
        <f>SUM('19_Расчет_аналитики'!AD2400:AD2402)</f>
        <v/>
      </c>
      <c r="AE2403">
        <f>SUM('19_Расчет_аналитики'!AE2400:AE2402)</f>
        <v/>
      </c>
      <c r="AF2403">
        <f>SUM('19_Расчет_аналитики'!AF2400:AF2402)</f>
        <v/>
      </c>
      <c r="AG2403">
        <f>SUM('19_Расчет_аналитики'!AG2400:AG2402)</f>
        <v/>
      </c>
      <c r="AH2403">
        <f>SUM('19_Расчет_аналитики'!AH2400:AH2402)</f>
        <v/>
      </c>
      <c r="AI2403">
        <f>SUM('19_Расчет_аналитики'!AI2400:AI2402)</f>
        <v/>
      </c>
      <c r="AJ2403">
        <f>SUM('19_Расчет_аналитики'!AJ2400:AJ2402)</f>
        <v/>
      </c>
      <c r="AK2403">
        <f>SUM('19_Расчет_аналитики'!AK2400:AK2402)</f>
        <v/>
      </c>
      <c r="AL2403">
        <f>SUM('19_Расчет_аналитики'!AL2400:AL2402)</f>
        <v/>
      </c>
      <c r="AM2403">
        <f>SUM('19_Расчет_аналитики'!AM2400:AM2402)</f>
        <v/>
      </c>
      <c r="AN2403">
        <f>SUM('19_Расчет_аналитики'!AN2400:AN2402)</f>
        <v/>
      </c>
      <c r="AO2403">
        <f>SUM('19_Расчет_аналитики'!AO2400:AO2402)</f>
        <v/>
      </c>
      <c r="AP2403">
        <f>SUM('19_Расчет_аналитики'!AP2400:AP2402)</f>
        <v/>
      </c>
      <c r="AQ2403">
        <f>SUM('19_Расчет_аналитики'!AQ2400:AQ2402)</f>
        <v/>
      </c>
      <c r="AR2403">
        <f>SUM('19_Расчет_аналитики'!AR2400:AR2402)</f>
        <v/>
      </c>
      <c r="AS2403">
        <f>SUM('19_Расчет_аналитики'!AS2400:AS2402)</f>
        <v/>
      </c>
      <c r="AT2403">
        <f>SUM('19_Расчет_аналитики'!AT2400:AT2402)</f>
        <v/>
      </c>
      <c r="AU2403">
        <f>SUM('19_Расчет_аналитики'!AU2400:AU2402)</f>
        <v/>
      </c>
      <c r="AV2403">
        <f>SUM('19_Расчет_аналитики'!AV2400:AV2402)</f>
        <v/>
      </c>
      <c r="AW2403">
        <f>SUM('19_Расчет_аналитики'!AW2400:AW2402)</f>
        <v/>
      </c>
      <c r="AX2403">
        <f>SUM('19_Расчет_аналитики'!AX2400:AX2402)</f>
        <v/>
      </c>
      <c r="AY2403">
        <f>SUM('19_Расчет_аналитики'!AY2400:AY2402)</f>
        <v/>
      </c>
      <c r="AZ2403">
        <f>SUM('19_Расчет_аналитики'!AZ2400:AZ2402)</f>
        <v/>
      </c>
      <c r="BA2403">
        <f>SUM('19_Расчет_аналитики'!BA2400:BA2402)</f>
        <v/>
      </c>
      <c r="BB2403">
        <f>SUM('19_Расчет_аналитики'!BB2400:BB2402)</f>
        <v/>
      </c>
      <c r="BC2403">
        <f>SUM('19_Расчет_аналитики'!BC2400:BC2402)</f>
        <v/>
      </c>
      <c r="BD2403">
        <f>SUM('19_Расчет_аналитики'!BD2400:BD2402)</f>
        <v/>
      </c>
      <c r="BE2403">
        <f>SUM('19_Расчет_аналитики'!BE2400:BE2402)</f>
        <v/>
      </c>
      <c r="BF2403">
        <f>SUM('19_Расчет_аналитики'!BF2400:BF2402)</f>
        <v/>
      </c>
      <c r="BG2403">
        <f>SUM('19_Расчет_аналитики'!BG2400:BG2402)</f>
        <v/>
      </c>
      <c r="BH2403">
        <f>SUM('19_Расчет_аналитики'!BH2400:BH2402)</f>
        <v/>
      </c>
      <c r="BI2403">
        <f>SUM('19_Расчет_аналитики'!BI2400:BI2402)</f>
        <v/>
      </c>
      <c r="BJ2403">
        <f>SUM('19_Расчет_аналитики'!BJ2400:BJ2402)</f>
        <v/>
      </c>
      <c r="BK2403">
        <f>SUM('19_Расчет_аналитики'!BK2400:BK2402)</f>
        <v/>
      </c>
      <c r="BL2403">
        <f>SUM('19_Расчет_аналитики'!BL2400:BL2402)</f>
        <v/>
      </c>
      <c r="BM2403">
        <f>SUM('19_Расчет_аналитики'!BM2400:BM2402)</f>
        <v/>
      </c>
      <c r="BN2403">
        <f>SUM('19_Расчет_аналитики'!BN2400:BN2402)</f>
        <v/>
      </c>
      <c r="BO2403">
        <f>SUM('19_Расчет_аналитики'!BO2400:BO2402)</f>
        <v/>
      </c>
    </row>
    <row r="2404">
      <c r="B2404">
        <f>'06_Сеть_и_дети'!B20+'19_Расчет_аналитики'!B2403</f>
        <v/>
      </c>
      <c r="C2404">
        <f>'06_Сеть_и_дети'!C20+'19_Расчет_аналитики'!C2403</f>
        <v/>
      </c>
      <c r="D2404">
        <f>'06_Сеть_и_дети'!D20+'19_Расчет_аналитики'!D2403</f>
        <v/>
      </c>
      <c r="E2404">
        <f>'06_Сеть_и_дети'!E20+'19_Расчет_аналитики'!E2403</f>
        <v/>
      </c>
      <c r="F2404">
        <f>'06_Сеть_и_дети'!F20+'19_Расчет_аналитики'!F2403</f>
        <v/>
      </c>
      <c r="G2404">
        <f>'06_Сеть_и_дети'!G20+'19_Расчет_аналитики'!G2403</f>
        <v/>
      </c>
      <c r="H2404">
        <f>'06_Сеть_и_дети'!H20+'19_Расчет_аналитики'!H2403</f>
        <v/>
      </c>
      <c r="I2404">
        <f>'06_Сеть_и_дети'!I20+'19_Расчет_аналитики'!I2403</f>
        <v/>
      </c>
      <c r="J2404">
        <f>'06_Сеть_и_дети'!J20+'19_Расчет_аналитики'!J2403</f>
        <v/>
      </c>
      <c r="K2404">
        <f>'06_Сеть_и_дети'!K20+'19_Расчет_аналитики'!K2403</f>
        <v/>
      </c>
      <c r="L2404">
        <f>'06_Сеть_и_дети'!L20+'19_Расчет_аналитики'!L2403</f>
        <v/>
      </c>
      <c r="M2404">
        <f>'06_Сеть_и_дети'!M20+'19_Расчет_аналитики'!M2403</f>
        <v/>
      </c>
      <c r="N2404">
        <f>'06_Сеть_и_дети'!N20+'19_Расчет_аналитики'!N2403</f>
        <v/>
      </c>
      <c r="O2404">
        <f>'06_Сеть_и_дети'!O20+'19_Расчет_аналитики'!O2403</f>
        <v/>
      </c>
      <c r="P2404">
        <f>'06_Сеть_и_дети'!P20+'19_Расчет_аналитики'!P2403</f>
        <v/>
      </c>
      <c r="Q2404">
        <f>'06_Сеть_и_дети'!Q20+'19_Расчет_аналитики'!Q2403</f>
        <v/>
      </c>
      <c r="R2404">
        <f>'06_Сеть_и_дети'!R20+'19_Расчет_аналитики'!R2403</f>
        <v/>
      </c>
      <c r="S2404">
        <f>'06_Сеть_и_дети'!S20+'19_Расчет_аналитики'!S2403</f>
        <v/>
      </c>
      <c r="T2404">
        <f>'06_Сеть_и_дети'!T20+'19_Расчет_аналитики'!T2403</f>
        <v/>
      </c>
      <c r="U2404">
        <f>'06_Сеть_и_дети'!U20+'19_Расчет_аналитики'!U2403</f>
        <v/>
      </c>
      <c r="V2404">
        <f>'06_Сеть_и_дети'!V20+'19_Расчет_аналитики'!V2403</f>
        <v/>
      </c>
      <c r="W2404">
        <f>'06_Сеть_и_дети'!W20+'19_Расчет_аналитики'!W2403</f>
        <v/>
      </c>
      <c r="X2404">
        <f>'06_Сеть_и_дети'!X20+'19_Расчет_аналитики'!X2403</f>
        <v/>
      </c>
      <c r="Y2404">
        <f>'06_Сеть_и_дети'!Y20+'19_Расчет_аналитики'!Y2403</f>
        <v/>
      </c>
      <c r="Z2404">
        <f>'06_Сеть_и_дети'!Z20+'19_Расчет_аналитики'!Z2403</f>
        <v/>
      </c>
      <c r="AA2404">
        <f>'06_Сеть_и_дети'!AA20+'19_Расчет_аналитики'!AA2403</f>
        <v/>
      </c>
      <c r="AB2404">
        <f>'06_Сеть_и_дети'!AB20+'19_Расчет_аналитики'!AB2403</f>
        <v/>
      </c>
      <c r="AC2404">
        <f>'06_Сеть_и_дети'!AC20+'19_Расчет_аналитики'!AC2403</f>
        <v/>
      </c>
      <c r="AD2404">
        <f>'06_Сеть_и_дети'!AD20+'19_Расчет_аналитики'!AD2403</f>
        <v/>
      </c>
      <c r="AE2404">
        <f>'06_Сеть_и_дети'!AE20+'19_Расчет_аналитики'!AE2403</f>
        <v/>
      </c>
      <c r="AF2404">
        <f>'06_Сеть_и_дети'!AF20+'19_Расчет_аналитики'!AF2403</f>
        <v/>
      </c>
      <c r="AG2404">
        <f>'06_Сеть_и_дети'!AG20+'19_Расчет_аналитики'!AG2403</f>
        <v/>
      </c>
      <c r="AH2404">
        <f>'06_Сеть_и_дети'!AH20+'19_Расчет_аналитики'!AH2403</f>
        <v/>
      </c>
      <c r="AI2404">
        <f>'06_Сеть_и_дети'!AI20+'19_Расчет_аналитики'!AI2403</f>
        <v/>
      </c>
      <c r="AJ2404">
        <f>'06_Сеть_и_дети'!AJ20+'19_Расчет_аналитики'!AJ2403</f>
        <v/>
      </c>
      <c r="AK2404">
        <f>'06_Сеть_и_дети'!AK20+'19_Расчет_аналитики'!AK2403</f>
        <v/>
      </c>
      <c r="AL2404">
        <f>'06_Сеть_и_дети'!AL20+'19_Расчет_аналитики'!AL2403</f>
        <v/>
      </c>
      <c r="AM2404">
        <f>'06_Сеть_и_дети'!AM20+'19_Расчет_аналитики'!AM2403</f>
        <v/>
      </c>
      <c r="AN2404">
        <f>'06_Сеть_и_дети'!AN20+'19_Расчет_аналитики'!AN2403</f>
        <v/>
      </c>
      <c r="AO2404">
        <f>'06_Сеть_и_дети'!AO20+'19_Расчет_аналитики'!AO2403</f>
        <v/>
      </c>
      <c r="AP2404">
        <f>'06_Сеть_и_дети'!AP20+'19_Расчет_аналитики'!AP2403</f>
        <v/>
      </c>
      <c r="AQ2404">
        <f>'06_Сеть_и_дети'!AQ20+'19_Расчет_аналитики'!AQ2403</f>
        <v/>
      </c>
      <c r="AR2404">
        <f>'06_Сеть_и_дети'!AR20+'19_Расчет_аналитики'!AR2403</f>
        <v/>
      </c>
      <c r="AS2404">
        <f>'06_Сеть_и_дети'!AS20+'19_Расчет_аналитики'!AS2403</f>
        <v/>
      </c>
      <c r="AT2404">
        <f>'06_Сеть_и_дети'!AT20+'19_Расчет_аналитики'!AT2403</f>
        <v/>
      </c>
      <c r="AU2404">
        <f>'06_Сеть_и_дети'!AU20+'19_Расчет_аналитики'!AU2403</f>
        <v/>
      </c>
      <c r="AV2404">
        <f>'06_Сеть_и_дети'!AV20+'19_Расчет_аналитики'!AV2403</f>
        <v/>
      </c>
      <c r="AW2404">
        <f>'06_Сеть_и_дети'!AW20+'19_Расчет_аналитики'!AW2403</f>
        <v/>
      </c>
      <c r="AX2404">
        <f>'06_Сеть_и_дети'!AX20+'19_Расчет_аналитики'!AX2403</f>
        <v/>
      </c>
      <c r="AY2404">
        <f>'06_Сеть_и_дети'!AY20+'19_Расчет_аналитики'!AY2403</f>
        <v/>
      </c>
      <c r="AZ2404">
        <f>'06_Сеть_и_дети'!AZ20+'19_Расчет_аналитики'!AZ2403</f>
        <v/>
      </c>
      <c r="BA2404">
        <f>'06_Сеть_и_дети'!BA20+'19_Расчет_аналитики'!BA2403</f>
        <v/>
      </c>
      <c r="BB2404">
        <f>'06_Сеть_и_дети'!BB20+'19_Расчет_аналитики'!BB2403</f>
        <v/>
      </c>
      <c r="BC2404">
        <f>'06_Сеть_и_дети'!BC20+'19_Расчет_аналитики'!BC2403</f>
        <v/>
      </c>
      <c r="BD2404">
        <f>'06_Сеть_и_дети'!BD20+'19_Расчет_аналитики'!BD2403</f>
        <v/>
      </c>
      <c r="BE2404">
        <f>'06_Сеть_и_дети'!BE20+'19_Расчет_аналитики'!BE2403</f>
        <v/>
      </c>
      <c r="BF2404">
        <f>'06_Сеть_и_дети'!BF20+'19_Расчет_аналитики'!BF2403</f>
        <v/>
      </c>
      <c r="BG2404">
        <f>'06_Сеть_и_дети'!BG20+'19_Расчет_аналитики'!BG2403</f>
        <v/>
      </c>
      <c r="BH2404">
        <f>'06_Сеть_и_дети'!BH20+'19_Расчет_аналитики'!BH2403</f>
        <v/>
      </c>
      <c r="BI2404">
        <f>'06_Сеть_и_дети'!BI20+'19_Расчет_аналитики'!BI2403</f>
        <v/>
      </c>
      <c r="BJ2404">
        <f>'06_Сеть_и_дети'!BJ20+'19_Расчет_аналитики'!BJ2403</f>
        <v/>
      </c>
      <c r="BK2404">
        <f>'06_Сеть_и_дети'!BK20+'19_Расчет_аналитики'!BK2403</f>
        <v/>
      </c>
      <c r="BL2404">
        <f>'06_Сеть_и_дети'!BL20+'19_Расчет_аналитики'!BL2403</f>
        <v/>
      </c>
      <c r="BM2404">
        <f>'06_Сеть_и_дети'!BM20+'19_Расчет_аналитики'!BM2403</f>
        <v/>
      </c>
      <c r="BN2404">
        <f>'06_Сеть_и_дети'!BN20+'19_Расчет_аналитики'!BN2403</f>
        <v/>
      </c>
      <c r="BO2404">
        <f>'06_Сеть_и_дети'!BO20+'19_Расчет_аналитики'!BO2403</f>
        <v/>
      </c>
    </row>
    <row r="2405"/>
    <row r="2406"/>
    <row r="2407">
      <c r="B2407">
        <f>SUMPRODUCT(('01_Вводные'!$D$314:$D$318*'01_Вводные'!$B$314:$B$318*IF('01_Вводные'!$B$9=0,0,'06_Сеть_и_дети'!B11/'01_Вводные'!$B$9)+'06_Сеть_и_дети'!B20*'19_Расчет_аналитики'!B2830*'01_Вводные'!$C$314:$C$318*('01_Вводные'!$E$314:$E$318*('06_Сеть_и_дети'!B$3&lt;'01_Вводные'!$B$245)+'01_Вводные'!$B$57*('06_Сеть_и_дети'!B$3&gt;='01_Вводные'!$B$245))+ABS('01_Вводные'!$D$314:$D$318*'01_Вводные'!$B$314:$B$318*IF('01_Вводные'!$B$9=0,0,'06_Сеть_и_дети'!B11/'01_Вводные'!$B$9)-'06_Сеть_и_дети'!B20*'19_Расчет_аналитики'!B2830*'01_Вводные'!$C$314:$C$318*('01_Вводные'!$E$314:$E$318*('06_Сеть_и_дети'!B$3&lt;'01_Вводные'!$B$245)+'01_Вводные'!$B$57*('06_Сеть_и_дети'!B$3&gt;='01_Вводные'!$B$245))))/2)</f>
        <v/>
      </c>
      <c r="C2407">
        <f>SUMPRODUCT(('01_Вводные'!$D$314:$D$318*'01_Вводные'!$B$314:$B$318*IF('01_Вводные'!$B$9=0,0,'06_Сеть_и_дети'!C11/'01_Вводные'!$B$9)+'06_Сеть_и_дети'!C20*'19_Расчет_аналитики'!C2830*'01_Вводные'!$C$314:$C$318*('01_Вводные'!$E$314:$E$318*('06_Сеть_и_дети'!C$3&lt;'01_Вводные'!$B$245)+'01_Вводные'!$B$57*('06_Сеть_и_дети'!C$3&gt;='01_Вводные'!$B$245))+ABS('01_Вводные'!$D$314:$D$318*'01_Вводные'!$B$314:$B$318*IF('01_Вводные'!$B$9=0,0,'06_Сеть_и_дети'!C11/'01_Вводные'!$B$9)-'06_Сеть_и_дети'!C20*'19_Расчет_аналитики'!C2830*'01_Вводные'!$C$314:$C$318*('01_Вводные'!$E$314:$E$318*('06_Сеть_и_дети'!C$3&lt;'01_Вводные'!$B$245)+'01_Вводные'!$B$57*('06_Сеть_и_дети'!C$3&gt;='01_Вводные'!$B$245))))/2)</f>
        <v/>
      </c>
      <c r="D2407">
        <f>SUMPRODUCT(('01_Вводные'!$D$314:$D$318*'01_Вводные'!$B$314:$B$318*IF('01_Вводные'!$B$9=0,0,'06_Сеть_и_дети'!D11/'01_Вводные'!$B$9)+'06_Сеть_и_дети'!D20*'19_Расчет_аналитики'!D2830*'01_Вводные'!$C$314:$C$318*('01_Вводные'!$E$314:$E$318*('06_Сеть_и_дети'!D$3&lt;'01_Вводные'!$B$245)+'01_Вводные'!$B$57*('06_Сеть_и_дети'!D$3&gt;='01_Вводные'!$B$245))+ABS('01_Вводные'!$D$314:$D$318*'01_Вводные'!$B$314:$B$318*IF('01_Вводные'!$B$9=0,0,'06_Сеть_и_дети'!D11/'01_Вводные'!$B$9)-'06_Сеть_и_дети'!D20*'19_Расчет_аналитики'!D2830*'01_Вводные'!$C$314:$C$318*('01_Вводные'!$E$314:$E$318*('06_Сеть_и_дети'!D$3&lt;'01_Вводные'!$B$245)+'01_Вводные'!$B$57*('06_Сеть_и_дети'!D$3&gt;='01_Вводные'!$B$245))))/2)</f>
        <v/>
      </c>
      <c r="E2407">
        <f>SUMPRODUCT(('01_Вводные'!$D$314:$D$318*'01_Вводные'!$B$314:$B$318*IF('01_Вводные'!$B$9=0,0,'06_Сеть_и_дети'!E11/'01_Вводные'!$B$9)+'06_Сеть_и_дети'!E20*'19_Расчет_аналитики'!E2830*'01_Вводные'!$C$314:$C$318*('01_Вводные'!$E$314:$E$318*('06_Сеть_и_дети'!E$3&lt;'01_Вводные'!$B$245)+'01_Вводные'!$B$57*('06_Сеть_и_дети'!E$3&gt;='01_Вводные'!$B$245))+ABS('01_Вводные'!$D$314:$D$318*'01_Вводные'!$B$314:$B$318*IF('01_Вводные'!$B$9=0,0,'06_Сеть_и_дети'!E11/'01_Вводные'!$B$9)-'06_Сеть_и_дети'!E20*'19_Расчет_аналитики'!E2830*'01_Вводные'!$C$314:$C$318*('01_Вводные'!$E$314:$E$318*('06_Сеть_и_дети'!E$3&lt;'01_Вводные'!$B$245)+'01_Вводные'!$B$57*('06_Сеть_и_дети'!E$3&gt;='01_Вводные'!$B$245))))/2)</f>
        <v/>
      </c>
      <c r="F2407">
        <f>SUMPRODUCT(('01_Вводные'!$D$314:$D$318*'01_Вводные'!$B$314:$B$318*IF('01_Вводные'!$B$9=0,0,'06_Сеть_и_дети'!F11/'01_Вводные'!$B$9)+'06_Сеть_и_дети'!F20*'19_Расчет_аналитики'!F2830*'01_Вводные'!$C$314:$C$318*('01_Вводные'!$E$314:$E$318*('06_Сеть_и_дети'!F$3&lt;'01_Вводные'!$B$245)+'01_Вводные'!$B$57*('06_Сеть_и_дети'!F$3&gt;='01_Вводные'!$B$245))+ABS('01_Вводные'!$D$314:$D$318*'01_Вводные'!$B$314:$B$318*IF('01_Вводные'!$B$9=0,0,'06_Сеть_и_дети'!F11/'01_Вводные'!$B$9)-'06_Сеть_и_дети'!F20*'19_Расчет_аналитики'!F2830*'01_Вводные'!$C$314:$C$318*('01_Вводные'!$E$314:$E$318*('06_Сеть_и_дети'!F$3&lt;'01_Вводные'!$B$245)+'01_Вводные'!$B$57*('06_Сеть_и_дети'!F$3&gt;='01_Вводные'!$B$245))))/2)</f>
        <v/>
      </c>
      <c r="G2407">
        <f>SUMPRODUCT(('01_Вводные'!$D$314:$D$318*'01_Вводные'!$B$314:$B$318*IF('01_Вводные'!$B$9=0,0,'06_Сеть_и_дети'!G11/'01_Вводные'!$B$9)+'06_Сеть_и_дети'!G20*'19_Расчет_аналитики'!G2830*'01_Вводные'!$C$314:$C$318*('01_Вводные'!$E$314:$E$318*('06_Сеть_и_дети'!G$3&lt;'01_Вводные'!$B$245)+'01_Вводные'!$B$57*('06_Сеть_и_дети'!G$3&gt;='01_Вводные'!$B$245))+ABS('01_Вводные'!$D$314:$D$318*'01_Вводные'!$B$314:$B$318*IF('01_Вводные'!$B$9=0,0,'06_Сеть_и_дети'!G11/'01_Вводные'!$B$9)-'06_Сеть_и_дети'!G20*'19_Расчет_аналитики'!G2830*'01_Вводные'!$C$314:$C$318*('01_Вводные'!$E$314:$E$318*('06_Сеть_и_дети'!G$3&lt;'01_Вводные'!$B$245)+'01_Вводные'!$B$57*('06_Сеть_и_дети'!G$3&gt;='01_Вводные'!$B$245))))/2)</f>
        <v/>
      </c>
      <c r="H2407">
        <f>SUMPRODUCT(('01_Вводные'!$D$314:$D$318*'01_Вводные'!$B$314:$B$318*IF('01_Вводные'!$B$9=0,0,'06_Сеть_и_дети'!H11/'01_Вводные'!$B$9)+'06_Сеть_и_дети'!H20*'19_Расчет_аналитики'!H2830*'01_Вводные'!$C$314:$C$318*('01_Вводные'!$E$314:$E$318*('06_Сеть_и_дети'!H$3&lt;'01_Вводные'!$B$245)+'01_Вводные'!$B$57*('06_Сеть_и_дети'!H$3&gt;='01_Вводные'!$B$245))+ABS('01_Вводные'!$D$314:$D$318*'01_Вводные'!$B$314:$B$318*IF('01_Вводные'!$B$9=0,0,'06_Сеть_и_дети'!H11/'01_Вводные'!$B$9)-'06_Сеть_и_дети'!H20*'19_Расчет_аналитики'!H2830*'01_Вводные'!$C$314:$C$318*('01_Вводные'!$E$314:$E$318*('06_Сеть_и_дети'!H$3&lt;'01_Вводные'!$B$245)+'01_Вводные'!$B$57*('06_Сеть_и_дети'!H$3&gt;='01_Вводные'!$B$245))))/2)</f>
        <v/>
      </c>
      <c r="I2407">
        <f>SUMPRODUCT(('01_Вводные'!$D$314:$D$318*'01_Вводные'!$B$314:$B$318*IF('01_Вводные'!$B$9=0,0,'06_Сеть_и_дети'!I11/'01_Вводные'!$B$9)+'06_Сеть_и_дети'!I20*'19_Расчет_аналитики'!I2830*'01_Вводные'!$C$314:$C$318*('01_Вводные'!$E$314:$E$318*('06_Сеть_и_дети'!I$3&lt;'01_Вводные'!$B$245)+'01_Вводные'!$B$57*('06_Сеть_и_дети'!I$3&gt;='01_Вводные'!$B$245))+ABS('01_Вводные'!$D$314:$D$318*'01_Вводные'!$B$314:$B$318*IF('01_Вводные'!$B$9=0,0,'06_Сеть_и_дети'!I11/'01_Вводные'!$B$9)-'06_Сеть_и_дети'!I20*'19_Расчет_аналитики'!I2830*'01_Вводные'!$C$314:$C$318*('01_Вводные'!$E$314:$E$318*('06_Сеть_и_дети'!I$3&lt;'01_Вводные'!$B$245)+'01_Вводные'!$B$57*('06_Сеть_и_дети'!I$3&gt;='01_Вводные'!$B$245))))/2)</f>
        <v/>
      </c>
      <c r="J2407">
        <f>SUMPRODUCT(('01_Вводные'!$D$314:$D$318*'01_Вводные'!$B$314:$B$318*IF('01_Вводные'!$B$9=0,0,'06_Сеть_и_дети'!J11/'01_Вводные'!$B$9)+'06_Сеть_и_дети'!J20*'19_Расчет_аналитики'!J2830*'01_Вводные'!$C$314:$C$318*('01_Вводные'!$E$314:$E$318*('06_Сеть_и_дети'!J$3&lt;'01_Вводные'!$B$245)+'01_Вводные'!$B$57*('06_Сеть_и_дети'!J$3&gt;='01_Вводные'!$B$245))+ABS('01_Вводные'!$D$314:$D$318*'01_Вводные'!$B$314:$B$318*IF('01_Вводные'!$B$9=0,0,'06_Сеть_и_дети'!J11/'01_Вводные'!$B$9)-'06_Сеть_и_дети'!J20*'19_Расчет_аналитики'!J2830*'01_Вводные'!$C$314:$C$318*('01_Вводные'!$E$314:$E$318*('06_Сеть_и_дети'!J$3&lt;'01_Вводные'!$B$245)+'01_Вводные'!$B$57*('06_Сеть_и_дети'!J$3&gt;='01_Вводные'!$B$245))))/2)</f>
        <v/>
      </c>
      <c r="K2407">
        <f>SUMPRODUCT(('01_Вводные'!$D$314:$D$318*'01_Вводные'!$B$314:$B$318*IF('01_Вводные'!$B$9=0,0,'06_Сеть_и_дети'!K11/'01_Вводные'!$B$9)+'06_Сеть_и_дети'!K20*'19_Расчет_аналитики'!K2830*'01_Вводные'!$C$314:$C$318*('01_Вводные'!$E$314:$E$318*('06_Сеть_и_дети'!K$3&lt;'01_Вводные'!$B$245)+'01_Вводные'!$B$57*('06_Сеть_и_дети'!K$3&gt;='01_Вводные'!$B$245))+ABS('01_Вводные'!$D$314:$D$318*'01_Вводные'!$B$314:$B$318*IF('01_Вводные'!$B$9=0,0,'06_Сеть_и_дети'!K11/'01_Вводные'!$B$9)-'06_Сеть_и_дети'!K20*'19_Расчет_аналитики'!K2830*'01_Вводные'!$C$314:$C$318*('01_Вводные'!$E$314:$E$318*('06_Сеть_и_дети'!K$3&lt;'01_Вводные'!$B$245)+'01_Вводные'!$B$57*('06_Сеть_и_дети'!K$3&gt;='01_Вводные'!$B$245))))/2)</f>
        <v/>
      </c>
      <c r="L2407">
        <f>SUMPRODUCT(('01_Вводные'!$D$314:$D$318*'01_Вводные'!$B$314:$B$318*IF('01_Вводные'!$B$9=0,0,'06_Сеть_и_дети'!L11/'01_Вводные'!$B$9)+'06_Сеть_и_дети'!L20*'19_Расчет_аналитики'!L2830*'01_Вводные'!$C$314:$C$318*('01_Вводные'!$E$314:$E$318*('06_Сеть_и_дети'!L$3&lt;'01_Вводные'!$B$245)+'01_Вводные'!$B$57*('06_Сеть_и_дети'!L$3&gt;='01_Вводные'!$B$245))+ABS('01_Вводные'!$D$314:$D$318*'01_Вводные'!$B$314:$B$318*IF('01_Вводные'!$B$9=0,0,'06_Сеть_и_дети'!L11/'01_Вводные'!$B$9)-'06_Сеть_и_дети'!L20*'19_Расчет_аналитики'!L2830*'01_Вводные'!$C$314:$C$318*('01_Вводные'!$E$314:$E$318*('06_Сеть_и_дети'!L$3&lt;'01_Вводные'!$B$245)+'01_Вводные'!$B$57*('06_Сеть_и_дети'!L$3&gt;='01_Вводные'!$B$245))))/2)</f>
        <v/>
      </c>
      <c r="M2407">
        <f>SUMPRODUCT(('01_Вводные'!$D$314:$D$318*'01_Вводные'!$B$314:$B$318*IF('01_Вводные'!$B$9=0,0,'06_Сеть_и_дети'!M11/'01_Вводные'!$B$9)+'06_Сеть_и_дети'!M20*'19_Расчет_аналитики'!M2830*'01_Вводные'!$C$314:$C$318*('01_Вводные'!$E$314:$E$318*('06_Сеть_и_дети'!M$3&lt;'01_Вводные'!$B$245)+'01_Вводные'!$B$57*('06_Сеть_и_дети'!M$3&gt;='01_Вводные'!$B$245))+ABS('01_Вводные'!$D$314:$D$318*'01_Вводные'!$B$314:$B$318*IF('01_Вводные'!$B$9=0,0,'06_Сеть_и_дети'!M11/'01_Вводные'!$B$9)-'06_Сеть_и_дети'!M20*'19_Расчет_аналитики'!M2830*'01_Вводные'!$C$314:$C$318*('01_Вводные'!$E$314:$E$318*('06_Сеть_и_дети'!M$3&lt;'01_Вводные'!$B$245)+'01_Вводные'!$B$57*('06_Сеть_и_дети'!M$3&gt;='01_Вводные'!$B$245))))/2)</f>
        <v/>
      </c>
      <c r="N2407">
        <f>SUMPRODUCT(('01_Вводные'!$D$314:$D$318*'01_Вводные'!$B$314:$B$318*IF('01_Вводные'!$B$9=0,0,'06_Сеть_и_дети'!N11/'01_Вводные'!$B$9)+'06_Сеть_и_дети'!N20*'19_Расчет_аналитики'!N2830*'01_Вводные'!$C$314:$C$318*('01_Вводные'!$E$314:$E$318*('06_Сеть_и_дети'!N$3&lt;'01_Вводные'!$B$245)+'01_Вводные'!$B$57*('06_Сеть_и_дети'!N$3&gt;='01_Вводные'!$B$245))+ABS('01_Вводные'!$D$314:$D$318*'01_Вводные'!$B$314:$B$318*IF('01_Вводные'!$B$9=0,0,'06_Сеть_и_дети'!N11/'01_Вводные'!$B$9)-'06_Сеть_и_дети'!N20*'19_Расчет_аналитики'!N2830*'01_Вводные'!$C$314:$C$318*('01_Вводные'!$E$314:$E$318*('06_Сеть_и_дети'!N$3&lt;'01_Вводные'!$B$245)+'01_Вводные'!$B$57*('06_Сеть_и_дети'!N$3&gt;='01_Вводные'!$B$245))))/2)</f>
        <v/>
      </c>
      <c r="O2407">
        <f>SUMPRODUCT(('01_Вводные'!$D$314:$D$318*'01_Вводные'!$B$314:$B$318*IF('01_Вводные'!$B$9=0,0,'06_Сеть_и_дети'!O11/'01_Вводные'!$B$9)+'06_Сеть_и_дети'!O20*'19_Расчет_аналитики'!O2830*'01_Вводные'!$C$314:$C$318*('01_Вводные'!$E$314:$E$318*('06_Сеть_и_дети'!O$3&lt;'01_Вводные'!$B$245)+'01_Вводные'!$B$57*('06_Сеть_и_дети'!O$3&gt;='01_Вводные'!$B$245))+ABS('01_Вводные'!$D$314:$D$318*'01_Вводные'!$B$314:$B$318*IF('01_Вводные'!$B$9=0,0,'06_Сеть_и_дети'!O11/'01_Вводные'!$B$9)-'06_Сеть_и_дети'!O20*'19_Расчет_аналитики'!O2830*'01_Вводные'!$C$314:$C$318*('01_Вводные'!$E$314:$E$318*('06_Сеть_и_дети'!O$3&lt;'01_Вводные'!$B$245)+'01_Вводные'!$B$57*('06_Сеть_и_дети'!O$3&gt;='01_Вводные'!$B$245))))/2)</f>
        <v/>
      </c>
      <c r="P2407">
        <f>SUMPRODUCT(('01_Вводные'!$D$314:$D$318*'01_Вводные'!$B$314:$B$318*IF('01_Вводные'!$B$9=0,0,'06_Сеть_и_дети'!P11/'01_Вводные'!$B$9)+'06_Сеть_и_дети'!P20*'19_Расчет_аналитики'!P2830*'01_Вводные'!$C$314:$C$318*('01_Вводные'!$E$314:$E$318*('06_Сеть_и_дети'!P$3&lt;'01_Вводные'!$B$245)+'01_Вводные'!$B$57*('06_Сеть_и_дети'!P$3&gt;='01_Вводные'!$B$245))+ABS('01_Вводные'!$D$314:$D$318*'01_Вводные'!$B$314:$B$318*IF('01_Вводные'!$B$9=0,0,'06_Сеть_и_дети'!P11/'01_Вводные'!$B$9)-'06_Сеть_и_дети'!P20*'19_Расчет_аналитики'!P2830*'01_Вводные'!$C$314:$C$318*('01_Вводные'!$E$314:$E$318*('06_Сеть_и_дети'!P$3&lt;'01_Вводные'!$B$245)+'01_Вводные'!$B$57*('06_Сеть_и_дети'!P$3&gt;='01_Вводные'!$B$245))))/2)</f>
        <v/>
      </c>
      <c r="Q2407">
        <f>SUMPRODUCT(('01_Вводные'!$D$314:$D$318*'01_Вводные'!$B$314:$B$318*IF('01_Вводные'!$B$9=0,0,'06_Сеть_и_дети'!Q11/'01_Вводные'!$B$9)+'06_Сеть_и_дети'!Q20*'19_Расчет_аналитики'!Q2830*'01_Вводные'!$C$314:$C$318*('01_Вводные'!$E$314:$E$318*('06_Сеть_и_дети'!Q$3&lt;'01_Вводные'!$B$245)+'01_Вводные'!$B$57*('06_Сеть_и_дети'!Q$3&gt;='01_Вводные'!$B$245))+ABS('01_Вводные'!$D$314:$D$318*'01_Вводные'!$B$314:$B$318*IF('01_Вводные'!$B$9=0,0,'06_Сеть_и_дети'!Q11/'01_Вводные'!$B$9)-'06_Сеть_и_дети'!Q20*'19_Расчет_аналитики'!Q2830*'01_Вводные'!$C$314:$C$318*('01_Вводные'!$E$314:$E$318*('06_Сеть_и_дети'!Q$3&lt;'01_Вводные'!$B$245)+'01_Вводные'!$B$57*('06_Сеть_и_дети'!Q$3&gt;='01_Вводные'!$B$245))))/2)</f>
        <v/>
      </c>
      <c r="R2407">
        <f>SUMPRODUCT(('01_Вводные'!$D$314:$D$318*'01_Вводные'!$B$314:$B$318*IF('01_Вводные'!$B$9=0,0,'06_Сеть_и_дети'!R11/'01_Вводные'!$B$9)+'06_Сеть_и_дети'!R20*'19_Расчет_аналитики'!R2830*'01_Вводные'!$C$314:$C$318*('01_Вводные'!$E$314:$E$318*('06_Сеть_и_дети'!R$3&lt;'01_Вводные'!$B$245)+'01_Вводные'!$B$57*('06_Сеть_и_дети'!R$3&gt;='01_Вводные'!$B$245))+ABS('01_Вводные'!$D$314:$D$318*'01_Вводные'!$B$314:$B$318*IF('01_Вводные'!$B$9=0,0,'06_Сеть_и_дети'!R11/'01_Вводные'!$B$9)-'06_Сеть_и_дети'!R20*'19_Расчет_аналитики'!R2830*'01_Вводные'!$C$314:$C$318*('01_Вводные'!$E$314:$E$318*('06_Сеть_и_дети'!R$3&lt;'01_Вводные'!$B$245)+'01_Вводные'!$B$57*('06_Сеть_и_дети'!R$3&gt;='01_Вводные'!$B$245))))/2)</f>
        <v/>
      </c>
      <c r="S2407">
        <f>SUMPRODUCT(('01_Вводные'!$D$314:$D$318*'01_Вводные'!$B$314:$B$318*IF('01_Вводные'!$B$9=0,0,'06_Сеть_и_дети'!S11/'01_Вводные'!$B$9)+'06_Сеть_и_дети'!S20*'19_Расчет_аналитики'!S2830*'01_Вводные'!$C$314:$C$318*('01_Вводные'!$E$314:$E$318*('06_Сеть_и_дети'!S$3&lt;'01_Вводные'!$B$245)+'01_Вводные'!$B$57*('06_Сеть_и_дети'!S$3&gt;='01_Вводные'!$B$245))+ABS('01_Вводные'!$D$314:$D$318*'01_Вводные'!$B$314:$B$318*IF('01_Вводные'!$B$9=0,0,'06_Сеть_и_дети'!S11/'01_Вводные'!$B$9)-'06_Сеть_и_дети'!S20*'19_Расчет_аналитики'!S2830*'01_Вводные'!$C$314:$C$318*('01_Вводные'!$E$314:$E$318*('06_Сеть_и_дети'!S$3&lt;'01_Вводные'!$B$245)+'01_Вводные'!$B$57*('06_Сеть_и_дети'!S$3&gt;='01_Вводные'!$B$245))))/2)</f>
        <v/>
      </c>
      <c r="T2407">
        <f>SUMPRODUCT(('01_Вводные'!$D$314:$D$318*'01_Вводные'!$B$314:$B$318*IF('01_Вводные'!$B$9=0,0,'06_Сеть_и_дети'!T11/'01_Вводные'!$B$9)+'06_Сеть_и_дети'!T20*'19_Расчет_аналитики'!T2830*'01_Вводные'!$C$314:$C$318*('01_Вводные'!$E$314:$E$318*('06_Сеть_и_дети'!T$3&lt;'01_Вводные'!$B$245)+'01_Вводные'!$B$57*('06_Сеть_и_дети'!T$3&gt;='01_Вводные'!$B$245))+ABS('01_Вводные'!$D$314:$D$318*'01_Вводные'!$B$314:$B$318*IF('01_Вводные'!$B$9=0,0,'06_Сеть_и_дети'!T11/'01_Вводные'!$B$9)-'06_Сеть_и_дети'!T20*'19_Расчет_аналитики'!T2830*'01_Вводные'!$C$314:$C$318*('01_Вводные'!$E$314:$E$318*('06_Сеть_и_дети'!T$3&lt;'01_Вводные'!$B$245)+'01_Вводные'!$B$57*('06_Сеть_и_дети'!T$3&gt;='01_Вводные'!$B$245))))/2)</f>
        <v/>
      </c>
      <c r="U2407">
        <f>SUMPRODUCT(('01_Вводные'!$D$314:$D$318*'01_Вводные'!$B$314:$B$318*IF('01_Вводные'!$B$9=0,0,'06_Сеть_и_дети'!U11/'01_Вводные'!$B$9)+'06_Сеть_и_дети'!U20*'19_Расчет_аналитики'!U2830*'01_Вводные'!$C$314:$C$318*('01_Вводные'!$E$314:$E$318*('06_Сеть_и_дети'!U$3&lt;'01_Вводные'!$B$245)+'01_Вводные'!$B$57*('06_Сеть_и_дети'!U$3&gt;='01_Вводные'!$B$245))+ABS('01_Вводные'!$D$314:$D$318*'01_Вводные'!$B$314:$B$318*IF('01_Вводные'!$B$9=0,0,'06_Сеть_и_дети'!U11/'01_Вводные'!$B$9)-'06_Сеть_и_дети'!U20*'19_Расчет_аналитики'!U2830*'01_Вводные'!$C$314:$C$318*('01_Вводные'!$E$314:$E$318*('06_Сеть_и_дети'!U$3&lt;'01_Вводные'!$B$245)+'01_Вводные'!$B$57*('06_Сеть_и_дети'!U$3&gt;='01_Вводные'!$B$245))))/2)</f>
        <v/>
      </c>
      <c r="V2407">
        <f>SUMPRODUCT(('01_Вводные'!$D$314:$D$318*'01_Вводные'!$B$314:$B$318*IF('01_Вводные'!$B$9=0,0,'06_Сеть_и_дети'!V11/'01_Вводные'!$B$9)+'06_Сеть_и_дети'!V20*'19_Расчет_аналитики'!V2830*'01_Вводные'!$C$314:$C$318*('01_Вводные'!$E$314:$E$318*('06_Сеть_и_дети'!V$3&lt;'01_Вводные'!$B$245)+'01_Вводные'!$B$57*('06_Сеть_и_дети'!V$3&gt;='01_Вводные'!$B$245))+ABS('01_Вводные'!$D$314:$D$318*'01_Вводные'!$B$314:$B$318*IF('01_Вводные'!$B$9=0,0,'06_Сеть_и_дети'!V11/'01_Вводные'!$B$9)-'06_Сеть_и_дети'!V20*'19_Расчет_аналитики'!V2830*'01_Вводные'!$C$314:$C$318*('01_Вводные'!$E$314:$E$318*('06_Сеть_и_дети'!V$3&lt;'01_Вводные'!$B$245)+'01_Вводные'!$B$57*('06_Сеть_и_дети'!V$3&gt;='01_Вводные'!$B$245))))/2)</f>
        <v/>
      </c>
      <c r="W2407">
        <f>SUMPRODUCT(('01_Вводные'!$D$314:$D$318*'01_Вводные'!$B$314:$B$318*IF('01_Вводные'!$B$9=0,0,'06_Сеть_и_дети'!W11/'01_Вводные'!$B$9)+'06_Сеть_и_дети'!W20*'19_Расчет_аналитики'!W2830*'01_Вводные'!$C$314:$C$318*('01_Вводные'!$E$314:$E$318*('06_Сеть_и_дети'!W$3&lt;'01_Вводные'!$B$245)+'01_Вводные'!$B$57*('06_Сеть_и_дети'!W$3&gt;='01_Вводные'!$B$245))+ABS('01_Вводные'!$D$314:$D$318*'01_Вводные'!$B$314:$B$318*IF('01_Вводные'!$B$9=0,0,'06_Сеть_и_дети'!W11/'01_Вводные'!$B$9)-'06_Сеть_и_дети'!W20*'19_Расчет_аналитики'!W2830*'01_Вводные'!$C$314:$C$318*('01_Вводные'!$E$314:$E$318*('06_Сеть_и_дети'!W$3&lt;'01_Вводные'!$B$245)+'01_Вводные'!$B$57*('06_Сеть_и_дети'!W$3&gt;='01_Вводные'!$B$245))))/2)</f>
        <v/>
      </c>
      <c r="X2407">
        <f>SUMPRODUCT(('01_Вводные'!$D$314:$D$318*'01_Вводные'!$B$314:$B$318*IF('01_Вводные'!$B$9=0,0,'06_Сеть_и_дети'!X11/'01_Вводные'!$B$9)+'06_Сеть_и_дети'!X20*'19_Расчет_аналитики'!X2830*'01_Вводные'!$C$314:$C$318*('01_Вводные'!$E$314:$E$318*('06_Сеть_и_дети'!X$3&lt;'01_Вводные'!$B$245)+'01_Вводные'!$B$57*('06_Сеть_и_дети'!X$3&gt;='01_Вводные'!$B$245))+ABS('01_Вводные'!$D$314:$D$318*'01_Вводные'!$B$314:$B$318*IF('01_Вводные'!$B$9=0,0,'06_Сеть_и_дети'!X11/'01_Вводные'!$B$9)-'06_Сеть_и_дети'!X20*'19_Расчет_аналитики'!X2830*'01_Вводные'!$C$314:$C$318*('01_Вводные'!$E$314:$E$318*('06_Сеть_и_дети'!X$3&lt;'01_Вводные'!$B$245)+'01_Вводные'!$B$57*('06_Сеть_и_дети'!X$3&gt;='01_Вводные'!$B$245))))/2)</f>
        <v/>
      </c>
      <c r="Y2407">
        <f>SUMPRODUCT(('01_Вводные'!$D$314:$D$318*'01_Вводные'!$B$314:$B$318*IF('01_Вводные'!$B$9=0,0,'06_Сеть_и_дети'!Y11/'01_Вводные'!$B$9)+'06_Сеть_и_дети'!Y20*'19_Расчет_аналитики'!Y2830*'01_Вводные'!$C$314:$C$318*('01_Вводные'!$E$314:$E$318*('06_Сеть_и_дети'!Y$3&lt;'01_Вводные'!$B$245)+'01_Вводные'!$B$57*('06_Сеть_и_дети'!Y$3&gt;='01_Вводные'!$B$245))+ABS('01_Вводные'!$D$314:$D$318*'01_Вводные'!$B$314:$B$318*IF('01_Вводные'!$B$9=0,0,'06_Сеть_и_дети'!Y11/'01_Вводные'!$B$9)-'06_Сеть_и_дети'!Y20*'19_Расчет_аналитики'!Y2830*'01_Вводные'!$C$314:$C$318*('01_Вводные'!$E$314:$E$318*('06_Сеть_и_дети'!Y$3&lt;'01_Вводные'!$B$245)+'01_Вводные'!$B$57*('06_Сеть_и_дети'!Y$3&gt;='01_Вводные'!$B$245))))/2)</f>
        <v/>
      </c>
      <c r="Z2407">
        <f>SUMPRODUCT(('01_Вводные'!$D$314:$D$318*'01_Вводные'!$B$314:$B$318*IF('01_Вводные'!$B$9=0,0,'06_Сеть_и_дети'!Z11/'01_Вводные'!$B$9)+'06_Сеть_и_дети'!Z20*'19_Расчет_аналитики'!Z2830*'01_Вводные'!$C$314:$C$318*('01_Вводные'!$E$314:$E$318*('06_Сеть_и_дети'!Z$3&lt;'01_Вводные'!$B$245)+'01_Вводные'!$B$57*('06_Сеть_и_дети'!Z$3&gt;='01_Вводные'!$B$245))+ABS('01_Вводные'!$D$314:$D$318*'01_Вводные'!$B$314:$B$318*IF('01_Вводные'!$B$9=0,0,'06_Сеть_и_дети'!Z11/'01_Вводные'!$B$9)-'06_Сеть_и_дети'!Z20*'19_Расчет_аналитики'!Z2830*'01_Вводные'!$C$314:$C$318*('01_Вводные'!$E$314:$E$318*('06_Сеть_и_дети'!Z$3&lt;'01_Вводные'!$B$245)+'01_Вводные'!$B$57*('06_Сеть_и_дети'!Z$3&gt;='01_Вводные'!$B$245))))/2)</f>
        <v/>
      </c>
      <c r="AA2407">
        <f>SUMPRODUCT(('01_Вводные'!$D$314:$D$318*'01_Вводные'!$B$314:$B$318*IF('01_Вводные'!$B$9=0,0,'06_Сеть_и_дети'!AA11/'01_Вводные'!$B$9)+'06_Сеть_и_дети'!AA20*'19_Расчет_аналитики'!AA2830*'01_Вводные'!$C$314:$C$318*('01_Вводные'!$E$314:$E$318*('06_Сеть_и_дети'!AA$3&lt;'01_Вводные'!$B$245)+'01_Вводные'!$B$57*('06_Сеть_и_дети'!AA$3&gt;='01_Вводные'!$B$245))+ABS('01_Вводные'!$D$314:$D$318*'01_Вводные'!$B$314:$B$318*IF('01_Вводные'!$B$9=0,0,'06_Сеть_и_дети'!AA11/'01_Вводные'!$B$9)-'06_Сеть_и_дети'!AA20*'19_Расчет_аналитики'!AA2830*'01_Вводные'!$C$314:$C$318*('01_Вводные'!$E$314:$E$318*('06_Сеть_и_дети'!AA$3&lt;'01_Вводные'!$B$245)+'01_Вводные'!$B$57*('06_Сеть_и_дети'!AA$3&gt;='01_Вводные'!$B$245))))/2)</f>
        <v/>
      </c>
      <c r="AB2407">
        <f>SUMPRODUCT(('01_Вводные'!$D$314:$D$318*'01_Вводные'!$B$314:$B$318*IF('01_Вводные'!$B$9=0,0,'06_Сеть_и_дети'!AB11/'01_Вводные'!$B$9)+'06_Сеть_и_дети'!AB20*'19_Расчет_аналитики'!AB2830*'01_Вводные'!$C$314:$C$318*('01_Вводные'!$E$314:$E$318*('06_Сеть_и_дети'!AB$3&lt;'01_Вводные'!$B$245)+'01_Вводные'!$B$57*('06_Сеть_и_дети'!AB$3&gt;='01_Вводные'!$B$245))+ABS('01_Вводные'!$D$314:$D$318*'01_Вводные'!$B$314:$B$318*IF('01_Вводные'!$B$9=0,0,'06_Сеть_и_дети'!AB11/'01_Вводные'!$B$9)-'06_Сеть_и_дети'!AB20*'19_Расчет_аналитики'!AB2830*'01_Вводные'!$C$314:$C$318*('01_Вводные'!$E$314:$E$318*('06_Сеть_и_дети'!AB$3&lt;'01_Вводные'!$B$245)+'01_Вводные'!$B$57*('06_Сеть_и_дети'!AB$3&gt;='01_Вводные'!$B$245))))/2)</f>
        <v/>
      </c>
      <c r="AC2407">
        <f>SUMPRODUCT(('01_Вводные'!$D$314:$D$318*'01_Вводные'!$B$314:$B$318*IF('01_Вводные'!$B$9=0,0,'06_Сеть_и_дети'!AC11/'01_Вводные'!$B$9)+'06_Сеть_и_дети'!AC20*'19_Расчет_аналитики'!AC2830*'01_Вводные'!$C$314:$C$318*('01_Вводные'!$E$314:$E$318*('06_Сеть_и_дети'!AC$3&lt;'01_Вводные'!$B$245)+'01_Вводные'!$B$57*('06_Сеть_и_дети'!AC$3&gt;='01_Вводные'!$B$245))+ABS('01_Вводные'!$D$314:$D$318*'01_Вводные'!$B$314:$B$318*IF('01_Вводные'!$B$9=0,0,'06_Сеть_и_дети'!AC11/'01_Вводные'!$B$9)-'06_Сеть_и_дети'!AC20*'19_Расчет_аналитики'!AC2830*'01_Вводные'!$C$314:$C$318*('01_Вводные'!$E$314:$E$318*('06_Сеть_и_дети'!AC$3&lt;'01_Вводные'!$B$245)+'01_Вводные'!$B$57*('06_Сеть_и_дети'!AC$3&gt;='01_Вводные'!$B$245))))/2)</f>
        <v/>
      </c>
      <c r="AD2407">
        <f>SUMPRODUCT(('01_Вводные'!$D$314:$D$318*'01_Вводные'!$B$314:$B$318*IF('01_Вводные'!$B$9=0,0,'06_Сеть_и_дети'!AD11/'01_Вводные'!$B$9)+'06_Сеть_и_дети'!AD20*'19_Расчет_аналитики'!AD2830*'01_Вводные'!$C$314:$C$318*('01_Вводные'!$E$314:$E$318*('06_Сеть_и_дети'!AD$3&lt;'01_Вводные'!$B$245)+'01_Вводные'!$B$57*('06_Сеть_и_дети'!AD$3&gt;='01_Вводные'!$B$245))+ABS('01_Вводные'!$D$314:$D$318*'01_Вводные'!$B$314:$B$318*IF('01_Вводные'!$B$9=0,0,'06_Сеть_и_дети'!AD11/'01_Вводные'!$B$9)-'06_Сеть_и_дети'!AD20*'19_Расчет_аналитики'!AD2830*'01_Вводные'!$C$314:$C$318*('01_Вводные'!$E$314:$E$318*('06_Сеть_и_дети'!AD$3&lt;'01_Вводные'!$B$245)+'01_Вводные'!$B$57*('06_Сеть_и_дети'!AD$3&gt;='01_Вводные'!$B$245))))/2)</f>
        <v/>
      </c>
      <c r="AE2407">
        <f>SUMPRODUCT(('01_Вводные'!$D$314:$D$318*'01_Вводные'!$B$314:$B$318*IF('01_Вводные'!$B$9=0,0,'06_Сеть_и_дети'!AE11/'01_Вводные'!$B$9)+'06_Сеть_и_дети'!AE20*'19_Расчет_аналитики'!AE2830*'01_Вводные'!$C$314:$C$318*('01_Вводные'!$E$314:$E$318*('06_Сеть_и_дети'!AE$3&lt;'01_Вводные'!$B$245)+'01_Вводные'!$B$57*('06_Сеть_и_дети'!AE$3&gt;='01_Вводные'!$B$245))+ABS('01_Вводные'!$D$314:$D$318*'01_Вводные'!$B$314:$B$318*IF('01_Вводные'!$B$9=0,0,'06_Сеть_и_дети'!AE11/'01_Вводные'!$B$9)-'06_Сеть_и_дети'!AE20*'19_Расчет_аналитики'!AE2830*'01_Вводные'!$C$314:$C$318*('01_Вводные'!$E$314:$E$318*('06_Сеть_и_дети'!AE$3&lt;'01_Вводные'!$B$245)+'01_Вводные'!$B$57*('06_Сеть_и_дети'!AE$3&gt;='01_Вводные'!$B$245))))/2)</f>
        <v/>
      </c>
      <c r="AF2407">
        <f>SUMPRODUCT(('01_Вводные'!$D$314:$D$318*'01_Вводные'!$B$314:$B$318*IF('01_Вводные'!$B$9=0,0,'06_Сеть_и_дети'!AF11/'01_Вводные'!$B$9)+'06_Сеть_и_дети'!AF20*'19_Расчет_аналитики'!AF2830*'01_Вводные'!$C$314:$C$318*('01_Вводные'!$E$314:$E$318*('06_Сеть_и_дети'!AF$3&lt;'01_Вводные'!$B$245)+'01_Вводные'!$B$57*('06_Сеть_и_дети'!AF$3&gt;='01_Вводные'!$B$245))+ABS('01_Вводные'!$D$314:$D$318*'01_Вводные'!$B$314:$B$318*IF('01_Вводные'!$B$9=0,0,'06_Сеть_и_дети'!AF11/'01_Вводные'!$B$9)-'06_Сеть_и_дети'!AF20*'19_Расчет_аналитики'!AF2830*'01_Вводные'!$C$314:$C$318*('01_Вводные'!$E$314:$E$318*('06_Сеть_и_дети'!AF$3&lt;'01_Вводные'!$B$245)+'01_Вводные'!$B$57*('06_Сеть_и_дети'!AF$3&gt;='01_Вводные'!$B$245))))/2)</f>
        <v/>
      </c>
      <c r="AG2407">
        <f>SUMPRODUCT(('01_Вводные'!$D$314:$D$318*'01_Вводные'!$B$314:$B$318*IF('01_Вводные'!$B$9=0,0,'06_Сеть_и_дети'!AG11/'01_Вводные'!$B$9)+'06_Сеть_и_дети'!AG20*'19_Расчет_аналитики'!AG2830*'01_Вводные'!$C$314:$C$318*('01_Вводные'!$E$314:$E$318*('06_Сеть_и_дети'!AG$3&lt;'01_Вводные'!$B$245)+'01_Вводные'!$B$57*('06_Сеть_и_дети'!AG$3&gt;='01_Вводные'!$B$245))+ABS('01_Вводные'!$D$314:$D$318*'01_Вводные'!$B$314:$B$318*IF('01_Вводные'!$B$9=0,0,'06_Сеть_и_дети'!AG11/'01_Вводные'!$B$9)-'06_Сеть_и_дети'!AG20*'19_Расчет_аналитики'!AG2830*'01_Вводные'!$C$314:$C$318*('01_Вводные'!$E$314:$E$318*('06_Сеть_и_дети'!AG$3&lt;'01_Вводные'!$B$245)+'01_Вводные'!$B$57*('06_Сеть_и_дети'!AG$3&gt;='01_Вводные'!$B$245))))/2)</f>
        <v/>
      </c>
      <c r="AH2407">
        <f>SUMPRODUCT(('01_Вводные'!$D$314:$D$318*'01_Вводные'!$B$314:$B$318*IF('01_Вводные'!$B$9=0,0,'06_Сеть_и_дети'!AH11/'01_Вводные'!$B$9)+'06_Сеть_и_дети'!AH20*'19_Расчет_аналитики'!AH2830*'01_Вводные'!$C$314:$C$318*('01_Вводные'!$E$314:$E$318*('06_Сеть_и_дети'!AH$3&lt;'01_Вводные'!$B$245)+'01_Вводные'!$B$57*('06_Сеть_и_дети'!AH$3&gt;='01_Вводные'!$B$245))+ABS('01_Вводные'!$D$314:$D$318*'01_Вводные'!$B$314:$B$318*IF('01_Вводные'!$B$9=0,0,'06_Сеть_и_дети'!AH11/'01_Вводные'!$B$9)-'06_Сеть_и_дети'!AH20*'19_Расчет_аналитики'!AH2830*'01_Вводные'!$C$314:$C$318*('01_Вводные'!$E$314:$E$318*('06_Сеть_и_дети'!AH$3&lt;'01_Вводные'!$B$245)+'01_Вводные'!$B$57*('06_Сеть_и_дети'!AH$3&gt;='01_Вводные'!$B$245))))/2)</f>
        <v/>
      </c>
      <c r="AI2407">
        <f>SUMPRODUCT(('01_Вводные'!$D$314:$D$318*'01_Вводные'!$B$314:$B$318*IF('01_Вводные'!$B$9=0,0,'06_Сеть_и_дети'!AI11/'01_Вводные'!$B$9)+'06_Сеть_и_дети'!AI20*'19_Расчет_аналитики'!AI2830*'01_Вводные'!$C$314:$C$318*('01_Вводные'!$E$314:$E$318*('06_Сеть_и_дети'!AI$3&lt;'01_Вводные'!$B$245)+'01_Вводные'!$B$57*('06_Сеть_и_дети'!AI$3&gt;='01_Вводные'!$B$245))+ABS('01_Вводные'!$D$314:$D$318*'01_Вводные'!$B$314:$B$318*IF('01_Вводные'!$B$9=0,0,'06_Сеть_и_дети'!AI11/'01_Вводные'!$B$9)-'06_Сеть_и_дети'!AI20*'19_Расчет_аналитики'!AI2830*'01_Вводные'!$C$314:$C$318*('01_Вводные'!$E$314:$E$318*('06_Сеть_и_дети'!AI$3&lt;'01_Вводные'!$B$245)+'01_Вводные'!$B$57*('06_Сеть_и_дети'!AI$3&gt;='01_Вводные'!$B$245))))/2)</f>
        <v/>
      </c>
      <c r="AJ2407">
        <f>SUMPRODUCT(('01_Вводные'!$D$314:$D$318*'01_Вводные'!$B$314:$B$318*IF('01_Вводные'!$B$9=0,0,'06_Сеть_и_дети'!AJ11/'01_Вводные'!$B$9)+'06_Сеть_и_дети'!AJ20*'19_Расчет_аналитики'!AJ2830*'01_Вводные'!$C$314:$C$318*('01_Вводные'!$E$314:$E$318*('06_Сеть_и_дети'!AJ$3&lt;'01_Вводные'!$B$245)+'01_Вводные'!$B$57*('06_Сеть_и_дети'!AJ$3&gt;='01_Вводные'!$B$245))+ABS('01_Вводные'!$D$314:$D$318*'01_Вводные'!$B$314:$B$318*IF('01_Вводные'!$B$9=0,0,'06_Сеть_и_дети'!AJ11/'01_Вводные'!$B$9)-'06_Сеть_и_дети'!AJ20*'19_Расчет_аналитики'!AJ2830*'01_Вводные'!$C$314:$C$318*('01_Вводные'!$E$314:$E$318*('06_Сеть_и_дети'!AJ$3&lt;'01_Вводные'!$B$245)+'01_Вводные'!$B$57*('06_Сеть_и_дети'!AJ$3&gt;='01_Вводные'!$B$245))))/2)</f>
        <v/>
      </c>
      <c r="AK2407">
        <f>SUMPRODUCT(('01_Вводные'!$D$314:$D$318*'01_Вводные'!$B$314:$B$318*IF('01_Вводные'!$B$9=0,0,'06_Сеть_и_дети'!AK11/'01_Вводные'!$B$9)+'06_Сеть_и_дети'!AK20*'19_Расчет_аналитики'!AK2830*'01_Вводные'!$C$314:$C$318*('01_Вводные'!$E$314:$E$318*('06_Сеть_и_дети'!AK$3&lt;'01_Вводные'!$B$245)+'01_Вводные'!$B$57*('06_Сеть_и_дети'!AK$3&gt;='01_Вводные'!$B$245))+ABS('01_Вводные'!$D$314:$D$318*'01_Вводные'!$B$314:$B$318*IF('01_Вводные'!$B$9=0,0,'06_Сеть_и_дети'!AK11/'01_Вводные'!$B$9)-'06_Сеть_и_дети'!AK20*'19_Расчет_аналитики'!AK2830*'01_Вводные'!$C$314:$C$318*('01_Вводные'!$E$314:$E$318*('06_Сеть_и_дети'!AK$3&lt;'01_Вводные'!$B$245)+'01_Вводные'!$B$57*('06_Сеть_и_дети'!AK$3&gt;='01_Вводные'!$B$245))))/2)</f>
        <v/>
      </c>
      <c r="AL2407">
        <f>SUMPRODUCT(('01_Вводные'!$D$314:$D$318*'01_Вводные'!$B$314:$B$318*IF('01_Вводные'!$B$9=0,0,'06_Сеть_и_дети'!AL11/'01_Вводные'!$B$9)+'06_Сеть_и_дети'!AL20*'19_Расчет_аналитики'!AL2830*'01_Вводные'!$C$314:$C$318*('01_Вводные'!$E$314:$E$318*('06_Сеть_и_дети'!AL$3&lt;'01_Вводные'!$B$245)+'01_Вводные'!$B$57*('06_Сеть_и_дети'!AL$3&gt;='01_Вводные'!$B$245))+ABS('01_Вводные'!$D$314:$D$318*'01_Вводные'!$B$314:$B$318*IF('01_Вводные'!$B$9=0,0,'06_Сеть_и_дети'!AL11/'01_Вводные'!$B$9)-'06_Сеть_и_дети'!AL20*'19_Расчет_аналитики'!AL2830*'01_Вводные'!$C$314:$C$318*('01_Вводные'!$E$314:$E$318*('06_Сеть_и_дети'!AL$3&lt;'01_Вводные'!$B$245)+'01_Вводные'!$B$57*('06_Сеть_и_дети'!AL$3&gt;='01_Вводные'!$B$245))))/2)</f>
        <v/>
      </c>
      <c r="AM2407">
        <f>SUMPRODUCT(('01_Вводные'!$D$314:$D$318*'01_Вводные'!$B$314:$B$318*IF('01_Вводные'!$B$9=0,0,'06_Сеть_и_дети'!AM11/'01_Вводные'!$B$9)+'06_Сеть_и_дети'!AM20*'19_Расчет_аналитики'!AM2830*'01_Вводные'!$C$314:$C$318*('01_Вводные'!$E$314:$E$318*('06_Сеть_и_дети'!AM$3&lt;'01_Вводные'!$B$245)+'01_Вводные'!$B$57*('06_Сеть_и_дети'!AM$3&gt;='01_Вводные'!$B$245))+ABS('01_Вводные'!$D$314:$D$318*'01_Вводные'!$B$314:$B$318*IF('01_Вводные'!$B$9=0,0,'06_Сеть_и_дети'!AM11/'01_Вводные'!$B$9)-'06_Сеть_и_дети'!AM20*'19_Расчет_аналитики'!AM2830*'01_Вводные'!$C$314:$C$318*('01_Вводные'!$E$314:$E$318*('06_Сеть_и_дети'!AM$3&lt;'01_Вводные'!$B$245)+'01_Вводные'!$B$57*('06_Сеть_и_дети'!AM$3&gt;='01_Вводные'!$B$245))))/2)</f>
        <v/>
      </c>
      <c r="AN2407">
        <f>SUMPRODUCT(('01_Вводные'!$D$314:$D$318*'01_Вводные'!$B$314:$B$318*IF('01_Вводные'!$B$9=0,0,'06_Сеть_и_дети'!AN11/'01_Вводные'!$B$9)+'06_Сеть_и_дети'!AN20*'19_Расчет_аналитики'!AN2830*'01_Вводные'!$C$314:$C$318*('01_Вводные'!$E$314:$E$318*('06_Сеть_и_дети'!AN$3&lt;'01_Вводные'!$B$245)+'01_Вводные'!$B$57*('06_Сеть_и_дети'!AN$3&gt;='01_Вводные'!$B$245))+ABS('01_Вводные'!$D$314:$D$318*'01_Вводные'!$B$314:$B$318*IF('01_Вводные'!$B$9=0,0,'06_Сеть_и_дети'!AN11/'01_Вводные'!$B$9)-'06_Сеть_и_дети'!AN20*'19_Расчет_аналитики'!AN2830*'01_Вводные'!$C$314:$C$318*('01_Вводные'!$E$314:$E$318*('06_Сеть_и_дети'!AN$3&lt;'01_Вводные'!$B$245)+'01_Вводные'!$B$57*('06_Сеть_и_дети'!AN$3&gt;='01_Вводные'!$B$245))))/2)</f>
        <v/>
      </c>
      <c r="AO2407">
        <f>SUMPRODUCT(('01_Вводные'!$D$314:$D$318*'01_Вводные'!$B$314:$B$318*IF('01_Вводные'!$B$9=0,0,'06_Сеть_и_дети'!AO11/'01_Вводные'!$B$9)+'06_Сеть_и_дети'!AO20*'19_Расчет_аналитики'!AO2830*'01_Вводные'!$C$314:$C$318*('01_Вводные'!$E$314:$E$318*('06_Сеть_и_дети'!AO$3&lt;'01_Вводные'!$B$245)+'01_Вводные'!$B$57*('06_Сеть_и_дети'!AO$3&gt;='01_Вводные'!$B$245))+ABS('01_Вводные'!$D$314:$D$318*'01_Вводные'!$B$314:$B$318*IF('01_Вводные'!$B$9=0,0,'06_Сеть_и_дети'!AO11/'01_Вводные'!$B$9)-'06_Сеть_и_дети'!AO20*'19_Расчет_аналитики'!AO2830*'01_Вводные'!$C$314:$C$318*('01_Вводные'!$E$314:$E$318*('06_Сеть_и_дети'!AO$3&lt;'01_Вводные'!$B$245)+'01_Вводные'!$B$57*('06_Сеть_и_дети'!AO$3&gt;='01_Вводные'!$B$245))))/2)</f>
        <v/>
      </c>
      <c r="AP2407">
        <f>SUMPRODUCT(('01_Вводные'!$D$314:$D$318*'01_Вводные'!$B$314:$B$318*IF('01_Вводные'!$B$9=0,0,'06_Сеть_и_дети'!AP11/'01_Вводные'!$B$9)+'06_Сеть_и_дети'!AP20*'19_Расчет_аналитики'!AP2830*'01_Вводные'!$C$314:$C$318*('01_Вводные'!$E$314:$E$318*('06_Сеть_и_дети'!AP$3&lt;'01_Вводные'!$B$245)+'01_Вводные'!$B$57*('06_Сеть_и_дети'!AP$3&gt;='01_Вводные'!$B$245))+ABS('01_Вводные'!$D$314:$D$318*'01_Вводные'!$B$314:$B$318*IF('01_Вводные'!$B$9=0,0,'06_Сеть_и_дети'!AP11/'01_Вводные'!$B$9)-'06_Сеть_и_дети'!AP20*'19_Расчет_аналитики'!AP2830*'01_Вводные'!$C$314:$C$318*('01_Вводные'!$E$314:$E$318*('06_Сеть_и_дети'!AP$3&lt;'01_Вводные'!$B$245)+'01_Вводные'!$B$57*('06_Сеть_и_дети'!AP$3&gt;='01_Вводные'!$B$245))))/2)</f>
        <v/>
      </c>
      <c r="AQ2407">
        <f>SUMPRODUCT(('01_Вводные'!$D$314:$D$318*'01_Вводные'!$B$314:$B$318*IF('01_Вводные'!$B$9=0,0,'06_Сеть_и_дети'!AQ11/'01_Вводные'!$B$9)+'06_Сеть_и_дети'!AQ20*'19_Расчет_аналитики'!AQ2830*'01_Вводные'!$C$314:$C$318*('01_Вводные'!$E$314:$E$318*('06_Сеть_и_дети'!AQ$3&lt;'01_Вводные'!$B$245)+'01_Вводные'!$B$57*('06_Сеть_и_дети'!AQ$3&gt;='01_Вводные'!$B$245))+ABS('01_Вводные'!$D$314:$D$318*'01_Вводные'!$B$314:$B$318*IF('01_Вводные'!$B$9=0,0,'06_Сеть_и_дети'!AQ11/'01_Вводные'!$B$9)-'06_Сеть_и_дети'!AQ20*'19_Расчет_аналитики'!AQ2830*'01_Вводные'!$C$314:$C$318*('01_Вводные'!$E$314:$E$318*('06_Сеть_и_дети'!AQ$3&lt;'01_Вводные'!$B$245)+'01_Вводные'!$B$57*('06_Сеть_и_дети'!AQ$3&gt;='01_Вводные'!$B$245))))/2)</f>
        <v/>
      </c>
      <c r="AR2407">
        <f>SUMPRODUCT(('01_Вводные'!$D$314:$D$318*'01_Вводные'!$B$314:$B$318*IF('01_Вводные'!$B$9=0,0,'06_Сеть_и_дети'!AR11/'01_Вводные'!$B$9)+'06_Сеть_и_дети'!AR20*'19_Расчет_аналитики'!AR2830*'01_Вводные'!$C$314:$C$318*('01_Вводные'!$E$314:$E$318*('06_Сеть_и_дети'!AR$3&lt;'01_Вводные'!$B$245)+'01_Вводные'!$B$57*('06_Сеть_и_дети'!AR$3&gt;='01_Вводные'!$B$245))+ABS('01_Вводные'!$D$314:$D$318*'01_Вводные'!$B$314:$B$318*IF('01_Вводные'!$B$9=0,0,'06_Сеть_и_дети'!AR11/'01_Вводные'!$B$9)-'06_Сеть_и_дети'!AR20*'19_Расчет_аналитики'!AR2830*'01_Вводные'!$C$314:$C$318*('01_Вводные'!$E$314:$E$318*('06_Сеть_и_дети'!AR$3&lt;'01_Вводные'!$B$245)+'01_Вводные'!$B$57*('06_Сеть_и_дети'!AR$3&gt;='01_Вводные'!$B$245))))/2)</f>
        <v/>
      </c>
      <c r="AS2407">
        <f>SUMPRODUCT(('01_Вводные'!$D$314:$D$318*'01_Вводные'!$B$314:$B$318*IF('01_Вводные'!$B$9=0,0,'06_Сеть_и_дети'!AS11/'01_Вводные'!$B$9)+'06_Сеть_и_дети'!AS20*'19_Расчет_аналитики'!AS2830*'01_Вводные'!$C$314:$C$318*('01_Вводные'!$E$314:$E$318*('06_Сеть_и_дети'!AS$3&lt;'01_Вводные'!$B$245)+'01_Вводные'!$B$57*('06_Сеть_и_дети'!AS$3&gt;='01_Вводные'!$B$245))+ABS('01_Вводные'!$D$314:$D$318*'01_Вводные'!$B$314:$B$318*IF('01_Вводные'!$B$9=0,0,'06_Сеть_и_дети'!AS11/'01_Вводные'!$B$9)-'06_Сеть_и_дети'!AS20*'19_Расчет_аналитики'!AS2830*'01_Вводные'!$C$314:$C$318*('01_Вводные'!$E$314:$E$318*('06_Сеть_и_дети'!AS$3&lt;'01_Вводные'!$B$245)+'01_Вводные'!$B$57*('06_Сеть_и_дети'!AS$3&gt;='01_Вводные'!$B$245))))/2)</f>
        <v/>
      </c>
      <c r="AT2407">
        <f>SUMPRODUCT(('01_Вводные'!$D$314:$D$318*'01_Вводные'!$B$314:$B$318*IF('01_Вводные'!$B$9=0,0,'06_Сеть_и_дети'!AT11/'01_Вводные'!$B$9)+'06_Сеть_и_дети'!AT20*'19_Расчет_аналитики'!AT2830*'01_Вводные'!$C$314:$C$318*('01_Вводные'!$E$314:$E$318*('06_Сеть_и_дети'!AT$3&lt;'01_Вводные'!$B$245)+'01_Вводные'!$B$57*('06_Сеть_и_дети'!AT$3&gt;='01_Вводные'!$B$245))+ABS('01_Вводные'!$D$314:$D$318*'01_Вводные'!$B$314:$B$318*IF('01_Вводные'!$B$9=0,0,'06_Сеть_и_дети'!AT11/'01_Вводные'!$B$9)-'06_Сеть_и_дети'!AT20*'19_Расчет_аналитики'!AT2830*'01_Вводные'!$C$314:$C$318*('01_Вводные'!$E$314:$E$318*('06_Сеть_и_дети'!AT$3&lt;'01_Вводные'!$B$245)+'01_Вводные'!$B$57*('06_Сеть_и_дети'!AT$3&gt;='01_Вводные'!$B$245))))/2)</f>
        <v/>
      </c>
      <c r="AU2407">
        <f>SUMPRODUCT(('01_Вводные'!$D$314:$D$318*'01_Вводные'!$B$314:$B$318*IF('01_Вводные'!$B$9=0,0,'06_Сеть_и_дети'!AU11/'01_Вводные'!$B$9)+'06_Сеть_и_дети'!AU20*'19_Расчет_аналитики'!AU2830*'01_Вводные'!$C$314:$C$318*('01_Вводные'!$E$314:$E$318*('06_Сеть_и_дети'!AU$3&lt;'01_Вводные'!$B$245)+'01_Вводные'!$B$57*('06_Сеть_и_дети'!AU$3&gt;='01_Вводные'!$B$245))+ABS('01_Вводные'!$D$314:$D$318*'01_Вводные'!$B$314:$B$318*IF('01_Вводные'!$B$9=0,0,'06_Сеть_и_дети'!AU11/'01_Вводные'!$B$9)-'06_Сеть_и_дети'!AU20*'19_Расчет_аналитики'!AU2830*'01_Вводные'!$C$314:$C$318*('01_Вводные'!$E$314:$E$318*('06_Сеть_и_дети'!AU$3&lt;'01_Вводные'!$B$245)+'01_Вводные'!$B$57*('06_Сеть_и_дети'!AU$3&gt;='01_Вводные'!$B$245))))/2)</f>
        <v/>
      </c>
      <c r="AV2407">
        <f>SUMPRODUCT(('01_Вводные'!$D$314:$D$318*'01_Вводные'!$B$314:$B$318*IF('01_Вводные'!$B$9=0,0,'06_Сеть_и_дети'!AV11/'01_Вводные'!$B$9)+'06_Сеть_и_дети'!AV20*'19_Расчет_аналитики'!AV2830*'01_Вводные'!$C$314:$C$318*('01_Вводные'!$E$314:$E$318*('06_Сеть_и_дети'!AV$3&lt;'01_Вводные'!$B$245)+'01_Вводные'!$B$57*('06_Сеть_и_дети'!AV$3&gt;='01_Вводные'!$B$245))+ABS('01_Вводные'!$D$314:$D$318*'01_Вводные'!$B$314:$B$318*IF('01_Вводные'!$B$9=0,0,'06_Сеть_и_дети'!AV11/'01_Вводные'!$B$9)-'06_Сеть_и_дети'!AV20*'19_Расчет_аналитики'!AV2830*'01_Вводные'!$C$314:$C$318*('01_Вводные'!$E$314:$E$318*('06_Сеть_и_дети'!AV$3&lt;'01_Вводные'!$B$245)+'01_Вводные'!$B$57*('06_Сеть_и_дети'!AV$3&gt;='01_Вводные'!$B$245))))/2)</f>
        <v/>
      </c>
      <c r="AW2407">
        <f>SUMPRODUCT(('01_Вводные'!$D$314:$D$318*'01_Вводные'!$B$314:$B$318*IF('01_Вводные'!$B$9=0,0,'06_Сеть_и_дети'!AW11/'01_Вводные'!$B$9)+'06_Сеть_и_дети'!AW20*'19_Расчет_аналитики'!AW2830*'01_Вводные'!$C$314:$C$318*('01_Вводные'!$E$314:$E$318*('06_Сеть_и_дети'!AW$3&lt;'01_Вводные'!$B$245)+'01_Вводные'!$B$57*('06_Сеть_и_дети'!AW$3&gt;='01_Вводные'!$B$245))+ABS('01_Вводные'!$D$314:$D$318*'01_Вводные'!$B$314:$B$318*IF('01_Вводные'!$B$9=0,0,'06_Сеть_и_дети'!AW11/'01_Вводные'!$B$9)-'06_Сеть_и_дети'!AW20*'19_Расчет_аналитики'!AW2830*'01_Вводные'!$C$314:$C$318*('01_Вводные'!$E$314:$E$318*('06_Сеть_и_дети'!AW$3&lt;'01_Вводные'!$B$245)+'01_Вводные'!$B$57*('06_Сеть_и_дети'!AW$3&gt;='01_Вводные'!$B$245))))/2)</f>
        <v/>
      </c>
      <c r="AX2407">
        <f>SUMPRODUCT(('01_Вводные'!$D$314:$D$318*'01_Вводные'!$B$314:$B$318*IF('01_Вводные'!$B$9=0,0,'06_Сеть_и_дети'!AX11/'01_Вводные'!$B$9)+'06_Сеть_и_дети'!AX20*'19_Расчет_аналитики'!AX2830*'01_Вводные'!$C$314:$C$318*('01_Вводные'!$E$314:$E$318*('06_Сеть_и_дети'!AX$3&lt;'01_Вводные'!$B$245)+'01_Вводные'!$B$57*('06_Сеть_и_дети'!AX$3&gt;='01_Вводные'!$B$245))+ABS('01_Вводные'!$D$314:$D$318*'01_Вводные'!$B$314:$B$318*IF('01_Вводные'!$B$9=0,0,'06_Сеть_и_дети'!AX11/'01_Вводные'!$B$9)-'06_Сеть_и_дети'!AX20*'19_Расчет_аналитики'!AX2830*'01_Вводные'!$C$314:$C$318*('01_Вводные'!$E$314:$E$318*('06_Сеть_и_дети'!AX$3&lt;'01_Вводные'!$B$245)+'01_Вводные'!$B$57*('06_Сеть_и_дети'!AX$3&gt;='01_Вводные'!$B$245))))/2)</f>
        <v/>
      </c>
      <c r="AY2407">
        <f>SUMPRODUCT(('01_Вводные'!$D$314:$D$318*'01_Вводные'!$B$314:$B$318*IF('01_Вводные'!$B$9=0,0,'06_Сеть_и_дети'!AY11/'01_Вводные'!$B$9)+'06_Сеть_и_дети'!AY20*'19_Расчет_аналитики'!AY2830*'01_Вводные'!$C$314:$C$318*('01_Вводные'!$E$314:$E$318*('06_Сеть_и_дети'!AY$3&lt;'01_Вводные'!$B$245)+'01_Вводные'!$B$57*('06_Сеть_и_дети'!AY$3&gt;='01_Вводные'!$B$245))+ABS('01_Вводные'!$D$314:$D$318*'01_Вводные'!$B$314:$B$318*IF('01_Вводные'!$B$9=0,0,'06_Сеть_и_дети'!AY11/'01_Вводные'!$B$9)-'06_Сеть_и_дети'!AY20*'19_Расчет_аналитики'!AY2830*'01_Вводные'!$C$314:$C$318*('01_Вводные'!$E$314:$E$318*('06_Сеть_и_дети'!AY$3&lt;'01_Вводные'!$B$245)+'01_Вводные'!$B$57*('06_Сеть_и_дети'!AY$3&gt;='01_Вводные'!$B$245))))/2)</f>
        <v/>
      </c>
      <c r="AZ2407">
        <f>SUMPRODUCT(('01_Вводные'!$D$314:$D$318*'01_Вводные'!$B$314:$B$318*IF('01_Вводные'!$B$9=0,0,'06_Сеть_и_дети'!AZ11/'01_Вводные'!$B$9)+'06_Сеть_и_дети'!AZ20*'19_Расчет_аналитики'!AZ2830*'01_Вводные'!$C$314:$C$318*('01_Вводные'!$E$314:$E$318*('06_Сеть_и_дети'!AZ$3&lt;'01_Вводные'!$B$245)+'01_Вводные'!$B$57*('06_Сеть_и_дети'!AZ$3&gt;='01_Вводные'!$B$245))+ABS('01_Вводные'!$D$314:$D$318*'01_Вводные'!$B$314:$B$318*IF('01_Вводные'!$B$9=0,0,'06_Сеть_и_дети'!AZ11/'01_Вводные'!$B$9)-'06_Сеть_и_дети'!AZ20*'19_Расчет_аналитики'!AZ2830*'01_Вводные'!$C$314:$C$318*('01_Вводные'!$E$314:$E$318*('06_Сеть_и_дети'!AZ$3&lt;'01_Вводные'!$B$245)+'01_Вводные'!$B$57*('06_Сеть_и_дети'!AZ$3&gt;='01_Вводные'!$B$245))))/2)</f>
        <v/>
      </c>
      <c r="BA2407">
        <f>SUMPRODUCT(('01_Вводные'!$D$314:$D$318*'01_Вводные'!$B$314:$B$318*IF('01_Вводные'!$B$9=0,0,'06_Сеть_и_дети'!BA11/'01_Вводные'!$B$9)+'06_Сеть_и_дети'!BA20*'19_Расчет_аналитики'!BA2830*'01_Вводные'!$C$314:$C$318*('01_Вводные'!$E$314:$E$318*('06_Сеть_и_дети'!BA$3&lt;'01_Вводные'!$B$245)+'01_Вводные'!$B$57*('06_Сеть_и_дети'!BA$3&gt;='01_Вводные'!$B$245))+ABS('01_Вводные'!$D$314:$D$318*'01_Вводные'!$B$314:$B$318*IF('01_Вводные'!$B$9=0,0,'06_Сеть_и_дети'!BA11/'01_Вводные'!$B$9)-'06_Сеть_и_дети'!BA20*'19_Расчет_аналитики'!BA2830*'01_Вводные'!$C$314:$C$318*('01_Вводные'!$E$314:$E$318*('06_Сеть_и_дети'!BA$3&lt;'01_Вводные'!$B$245)+'01_Вводные'!$B$57*('06_Сеть_и_дети'!BA$3&gt;='01_Вводные'!$B$245))))/2)</f>
        <v/>
      </c>
      <c r="BB2407">
        <f>SUMPRODUCT(('01_Вводные'!$D$314:$D$318*'01_Вводные'!$B$314:$B$318*IF('01_Вводные'!$B$9=0,0,'06_Сеть_и_дети'!BB11/'01_Вводные'!$B$9)+'06_Сеть_и_дети'!BB20*'19_Расчет_аналитики'!BB2830*'01_Вводные'!$C$314:$C$318*('01_Вводные'!$E$314:$E$318*('06_Сеть_и_дети'!BB$3&lt;'01_Вводные'!$B$245)+'01_Вводные'!$B$57*('06_Сеть_и_дети'!BB$3&gt;='01_Вводные'!$B$245))+ABS('01_Вводные'!$D$314:$D$318*'01_Вводные'!$B$314:$B$318*IF('01_Вводные'!$B$9=0,0,'06_Сеть_и_дети'!BB11/'01_Вводные'!$B$9)-'06_Сеть_и_дети'!BB20*'19_Расчет_аналитики'!BB2830*'01_Вводные'!$C$314:$C$318*('01_Вводные'!$E$314:$E$318*('06_Сеть_и_дети'!BB$3&lt;'01_Вводные'!$B$245)+'01_Вводные'!$B$57*('06_Сеть_и_дети'!BB$3&gt;='01_Вводные'!$B$245))))/2)</f>
        <v/>
      </c>
      <c r="BC2407">
        <f>SUMPRODUCT(('01_Вводные'!$D$314:$D$318*'01_Вводные'!$B$314:$B$318*IF('01_Вводные'!$B$9=0,0,'06_Сеть_и_дети'!BC11/'01_Вводные'!$B$9)+'06_Сеть_и_дети'!BC20*'19_Расчет_аналитики'!BC2830*'01_Вводные'!$C$314:$C$318*('01_Вводные'!$E$314:$E$318*('06_Сеть_и_дети'!BC$3&lt;'01_Вводные'!$B$245)+'01_Вводные'!$B$57*('06_Сеть_и_дети'!BC$3&gt;='01_Вводные'!$B$245))+ABS('01_Вводные'!$D$314:$D$318*'01_Вводные'!$B$314:$B$318*IF('01_Вводные'!$B$9=0,0,'06_Сеть_и_дети'!BC11/'01_Вводные'!$B$9)-'06_Сеть_и_дети'!BC20*'19_Расчет_аналитики'!BC2830*'01_Вводные'!$C$314:$C$318*('01_Вводные'!$E$314:$E$318*('06_Сеть_и_дети'!BC$3&lt;'01_Вводные'!$B$245)+'01_Вводные'!$B$57*('06_Сеть_и_дети'!BC$3&gt;='01_Вводные'!$B$245))))/2)</f>
        <v/>
      </c>
      <c r="BD2407">
        <f>SUMPRODUCT(('01_Вводные'!$D$314:$D$318*'01_Вводные'!$B$314:$B$318*IF('01_Вводные'!$B$9=0,0,'06_Сеть_и_дети'!BD11/'01_Вводные'!$B$9)+'06_Сеть_и_дети'!BD20*'19_Расчет_аналитики'!BD2830*'01_Вводные'!$C$314:$C$318*('01_Вводные'!$E$314:$E$318*('06_Сеть_и_дети'!BD$3&lt;'01_Вводные'!$B$245)+'01_Вводные'!$B$57*('06_Сеть_и_дети'!BD$3&gt;='01_Вводные'!$B$245))+ABS('01_Вводные'!$D$314:$D$318*'01_Вводные'!$B$314:$B$318*IF('01_Вводные'!$B$9=0,0,'06_Сеть_и_дети'!BD11/'01_Вводные'!$B$9)-'06_Сеть_и_дети'!BD20*'19_Расчет_аналитики'!BD2830*'01_Вводные'!$C$314:$C$318*('01_Вводные'!$E$314:$E$318*('06_Сеть_и_дети'!BD$3&lt;'01_Вводные'!$B$245)+'01_Вводные'!$B$57*('06_Сеть_и_дети'!BD$3&gt;='01_Вводные'!$B$245))))/2)</f>
        <v/>
      </c>
      <c r="BE2407">
        <f>SUMPRODUCT(('01_Вводные'!$D$314:$D$318*'01_Вводные'!$B$314:$B$318*IF('01_Вводные'!$B$9=0,0,'06_Сеть_и_дети'!BE11/'01_Вводные'!$B$9)+'06_Сеть_и_дети'!BE20*'19_Расчет_аналитики'!BE2830*'01_Вводные'!$C$314:$C$318*('01_Вводные'!$E$314:$E$318*('06_Сеть_и_дети'!BE$3&lt;'01_Вводные'!$B$245)+'01_Вводные'!$B$57*('06_Сеть_и_дети'!BE$3&gt;='01_Вводные'!$B$245))+ABS('01_Вводные'!$D$314:$D$318*'01_Вводные'!$B$314:$B$318*IF('01_Вводные'!$B$9=0,0,'06_Сеть_и_дети'!BE11/'01_Вводные'!$B$9)-'06_Сеть_и_дети'!BE20*'19_Расчет_аналитики'!BE2830*'01_Вводные'!$C$314:$C$318*('01_Вводные'!$E$314:$E$318*('06_Сеть_и_дети'!BE$3&lt;'01_Вводные'!$B$245)+'01_Вводные'!$B$57*('06_Сеть_и_дети'!BE$3&gt;='01_Вводные'!$B$245))))/2)</f>
        <v/>
      </c>
      <c r="BF2407">
        <f>SUMPRODUCT(('01_Вводные'!$D$314:$D$318*'01_Вводные'!$B$314:$B$318*IF('01_Вводные'!$B$9=0,0,'06_Сеть_и_дети'!BF11/'01_Вводные'!$B$9)+'06_Сеть_и_дети'!BF20*'19_Расчет_аналитики'!BF2830*'01_Вводные'!$C$314:$C$318*('01_Вводные'!$E$314:$E$318*('06_Сеть_и_дети'!BF$3&lt;'01_Вводные'!$B$245)+'01_Вводные'!$B$57*('06_Сеть_и_дети'!BF$3&gt;='01_Вводные'!$B$245))+ABS('01_Вводные'!$D$314:$D$318*'01_Вводные'!$B$314:$B$318*IF('01_Вводные'!$B$9=0,0,'06_Сеть_и_дети'!BF11/'01_Вводные'!$B$9)-'06_Сеть_и_дети'!BF20*'19_Расчет_аналитики'!BF2830*'01_Вводные'!$C$314:$C$318*('01_Вводные'!$E$314:$E$318*('06_Сеть_и_дети'!BF$3&lt;'01_Вводные'!$B$245)+'01_Вводные'!$B$57*('06_Сеть_и_дети'!BF$3&gt;='01_Вводные'!$B$245))))/2)</f>
        <v/>
      </c>
      <c r="BG2407">
        <f>SUMPRODUCT(('01_Вводные'!$D$314:$D$318*'01_Вводные'!$B$314:$B$318*IF('01_Вводные'!$B$9=0,0,'06_Сеть_и_дети'!BG11/'01_Вводные'!$B$9)+'06_Сеть_и_дети'!BG20*'19_Расчет_аналитики'!BG2830*'01_Вводные'!$C$314:$C$318*('01_Вводные'!$E$314:$E$318*('06_Сеть_и_дети'!BG$3&lt;'01_Вводные'!$B$245)+'01_Вводные'!$B$57*('06_Сеть_и_дети'!BG$3&gt;='01_Вводные'!$B$245))+ABS('01_Вводные'!$D$314:$D$318*'01_Вводные'!$B$314:$B$318*IF('01_Вводные'!$B$9=0,0,'06_Сеть_и_дети'!BG11/'01_Вводные'!$B$9)-'06_Сеть_и_дети'!BG20*'19_Расчет_аналитики'!BG2830*'01_Вводные'!$C$314:$C$318*('01_Вводные'!$E$314:$E$318*('06_Сеть_и_дети'!BG$3&lt;'01_Вводные'!$B$245)+'01_Вводные'!$B$57*('06_Сеть_и_дети'!BG$3&gt;='01_Вводные'!$B$245))))/2)</f>
        <v/>
      </c>
      <c r="BH2407">
        <f>SUMPRODUCT(('01_Вводные'!$D$314:$D$318*'01_Вводные'!$B$314:$B$318*IF('01_Вводные'!$B$9=0,0,'06_Сеть_и_дети'!BH11/'01_Вводные'!$B$9)+'06_Сеть_и_дети'!BH20*'19_Расчет_аналитики'!BH2830*'01_Вводные'!$C$314:$C$318*('01_Вводные'!$E$314:$E$318*('06_Сеть_и_дети'!BH$3&lt;'01_Вводные'!$B$245)+'01_Вводные'!$B$57*('06_Сеть_и_дети'!BH$3&gt;='01_Вводные'!$B$245))+ABS('01_Вводные'!$D$314:$D$318*'01_Вводные'!$B$314:$B$318*IF('01_Вводные'!$B$9=0,0,'06_Сеть_и_дети'!BH11/'01_Вводные'!$B$9)-'06_Сеть_и_дети'!BH20*'19_Расчет_аналитики'!BH2830*'01_Вводные'!$C$314:$C$318*('01_Вводные'!$E$314:$E$318*('06_Сеть_и_дети'!BH$3&lt;'01_Вводные'!$B$245)+'01_Вводные'!$B$57*('06_Сеть_и_дети'!BH$3&gt;='01_Вводные'!$B$245))))/2)</f>
        <v/>
      </c>
      <c r="BI2407">
        <f>SUMPRODUCT(('01_Вводные'!$D$314:$D$318*'01_Вводные'!$B$314:$B$318*IF('01_Вводные'!$B$9=0,0,'06_Сеть_и_дети'!BI11/'01_Вводные'!$B$9)+'06_Сеть_и_дети'!BI20*'19_Расчет_аналитики'!BI2830*'01_Вводные'!$C$314:$C$318*('01_Вводные'!$E$314:$E$318*('06_Сеть_и_дети'!BI$3&lt;'01_Вводные'!$B$245)+'01_Вводные'!$B$57*('06_Сеть_и_дети'!BI$3&gt;='01_Вводные'!$B$245))+ABS('01_Вводные'!$D$314:$D$318*'01_Вводные'!$B$314:$B$318*IF('01_Вводные'!$B$9=0,0,'06_Сеть_и_дети'!BI11/'01_Вводные'!$B$9)-'06_Сеть_и_дети'!BI20*'19_Расчет_аналитики'!BI2830*'01_Вводные'!$C$314:$C$318*('01_Вводные'!$E$314:$E$318*('06_Сеть_и_дети'!BI$3&lt;'01_Вводные'!$B$245)+'01_Вводные'!$B$57*('06_Сеть_и_дети'!BI$3&gt;='01_Вводные'!$B$245))))/2)</f>
        <v/>
      </c>
      <c r="BJ2407">
        <f>SUMPRODUCT(('01_Вводные'!$D$314:$D$318*'01_Вводные'!$B$314:$B$318*IF('01_Вводные'!$B$9=0,0,'06_Сеть_и_дети'!BJ11/'01_Вводные'!$B$9)+'06_Сеть_и_дети'!BJ20*'19_Расчет_аналитики'!BJ2830*'01_Вводные'!$C$314:$C$318*('01_Вводные'!$E$314:$E$318*('06_Сеть_и_дети'!BJ$3&lt;'01_Вводные'!$B$245)+'01_Вводные'!$B$57*('06_Сеть_и_дети'!BJ$3&gt;='01_Вводные'!$B$245))+ABS('01_Вводные'!$D$314:$D$318*'01_Вводные'!$B$314:$B$318*IF('01_Вводные'!$B$9=0,0,'06_Сеть_и_дети'!BJ11/'01_Вводные'!$B$9)-'06_Сеть_и_дети'!BJ20*'19_Расчет_аналитики'!BJ2830*'01_Вводные'!$C$314:$C$318*('01_Вводные'!$E$314:$E$318*('06_Сеть_и_дети'!BJ$3&lt;'01_Вводные'!$B$245)+'01_Вводные'!$B$57*('06_Сеть_и_дети'!BJ$3&gt;='01_Вводные'!$B$245))))/2)</f>
        <v/>
      </c>
      <c r="BK2407">
        <f>SUMPRODUCT(('01_Вводные'!$D$314:$D$318*'01_Вводные'!$B$314:$B$318*IF('01_Вводные'!$B$9=0,0,'06_Сеть_и_дети'!BK11/'01_Вводные'!$B$9)+'06_Сеть_и_дети'!BK20*'19_Расчет_аналитики'!BK2830*'01_Вводные'!$C$314:$C$318*('01_Вводные'!$E$314:$E$318*('06_Сеть_и_дети'!BK$3&lt;'01_Вводные'!$B$245)+'01_Вводные'!$B$57*('06_Сеть_и_дети'!BK$3&gt;='01_Вводные'!$B$245))+ABS('01_Вводные'!$D$314:$D$318*'01_Вводные'!$B$314:$B$318*IF('01_Вводные'!$B$9=0,0,'06_Сеть_и_дети'!BK11/'01_Вводные'!$B$9)-'06_Сеть_и_дети'!BK20*'19_Расчет_аналитики'!BK2830*'01_Вводные'!$C$314:$C$318*('01_Вводные'!$E$314:$E$318*('06_Сеть_и_дети'!BK$3&lt;'01_Вводные'!$B$245)+'01_Вводные'!$B$57*('06_Сеть_и_дети'!BK$3&gt;='01_Вводные'!$B$245))))/2)</f>
        <v/>
      </c>
      <c r="BL2407">
        <f>SUMPRODUCT(('01_Вводные'!$D$314:$D$318*'01_Вводные'!$B$314:$B$318*IF('01_Вводные'!$B$9=0,0,'06_Сеть_и_дети'!BL11/'01_Вводные'!$B$9)+'06_Сеть_и_дети'!BL20*'19_Расчет_аналитики'!BL2830*'01_Вводные'!$C$314:$C$318*('01_Вводные'!$E$314:$E$318*('06_Сеть_и_дети'!BL$3&lt;'01_Вводные'!$B$245)+'01_Вводные'!$B$57*('06_Сеть_и_дети'!BL$3&gt;='01_Вводные'!$B$245))+ABS('01_Вводные'!$D$314:$D$318*'01_Вводные'!$B$314:$B$318*IF('01_Вводные'!$B$9=0,0,'06_Сеть_и_дети'!BL11/'01_Вводные'!$B$9)-'06_Сеть_и_дети'!BL20*'19_Расчет_аналитики'!BL2830*'01_Вводные'!$C$314:$C$318*('01_Вводные'!$E$314:$E$318*('06_Сеть_и_дети'!BL$3&lt;'01_Вводные'!$B$245)+'01_Вводные'!$B$57*('06_Сеть_и_дети'!BL$3&gt;='01_Вводные'!$B$245))))/2)</f>
        <v/>
      </c>
      <c r="BM2407">
        <f>SUMPRODUCT(('01_Вводные'!$D$314:$D$318*'01_Вводные'!$B$314:$B$318*IF('01_Вводные'!$B$9=0,0,'06_Сеть_и_дети'!BM11/'01_Вводные'!$B$9)+'06_Сеть_и_дети'!BM20*'19_Расчет_аналитики'!BM2830*'01_Вводные'!$C$314:$C$318*('01_Вводные'!$E$314:$E$318*('06_Сеть_и_дети'!BM$3&lt;'01_Вводные'!$B$245)+'01_Вводные'!$B$57*('06_Сеть_и_дети'!BM$3&gt;='01_Вводные'!$B$245))+ABS('01_Вводные'!$D$314:$D$318*'01_Вводные'!$B$314:$B$318*IF('01_Вводные'!$B$9=0,0,'06_Сеть_и_дети'!BM11/'01_Вводные'!$B$9)-'06_Сеть_и_дети'!BM20*'19_Расчет_аналитики'!BM2830*'01_Вводные'!$C$314:$C$318*('01_Вводные'!$E$314:$E$318*('06_Сеть_и_дети'!BM$3&lt;'01_Вводные'!$B$245)+'01_Вводные'!$B$57*('06_Сеть_и_дети'!BM$3&gt;='01_Вводные'!$B$245))))/2)</f>
        <v/>
      </c>
      <c r="BN2407">
        <f>SUMPRODUCT(('01_Вводные'!$D$314:$D$318*'01_Вводные'!$B$314:$B$318*IF('01_Вводные'!$B$9=0,0,'06_Сеть_и_дети'!BN11/'01_Вводные'!$B$9)+'06_Сеть_и_дети'!BN20*'19_Расчет_аналитики'!BN2830*'01_Вводные'!$C$314:$C$318*('01_Вводные'!$E$314:$E$318*('06_Сеть_и_дети'!BN$3&lt;'01_Вводные'!$B$245)+'01_Вводные'!$B$57*('06_Сеть_и_дети'!BN$3&gt;='01_Вводные'!$B$245))+ABS('01_Вводные'!$D$314:$D$318*'01_Вводные'!$B$314:$B$318*IF('01_Вводные'!$B$9=0,0,'06_Сеть_и_дети'!BN11/'01_Вводные'!$B$9)-'06_Сеть_и_дети'!BN20*'19_Расчет_аналитики'!BN2830*'01_Вводные'!$C$314:$C$318*('01_Вводные'!$E$314:$E$318*('06_Сеть_и_дети'!BN$3&lt;'01_Вводные'!$B$245)+'01_Вводные'!$B$57*('06_Сеть_и_дети'!BN$3&gt;='01_Вводные'!$B$245))))/2)</f>
        <v/>
      </c>
      <c r="BO2407">
        <f>SUMPRODUCT(('01_Вводные'!$D$314:$D$318*'01_Вводные'!$B$314:$B$318*IF('01_Вводные'!$B$9=0,0,'06_Сеть_и_дети'!BO11/'01_Вводные'!$B$9)+'06_Сеть_и_дети'!BO20*'19_Расчет_аналитики'!BO2830*'01_Вводные'!$C$314:$C$318*('01_Вводные'!$E$314:$E$318*('06_Сеть_и_дети'!BO$3&lt;'01_Вводные'!$B$245)+'01_Вводные'!$B$57*('06_Сеть_и_дети'!BO$3&gt;='01_Вводные'!$B$245))+ABS('01_Вводные'!$D$314:$D$318*'01_Вводные'!$B$314:$B$318*IF('01_Вводные'!$B$9=0,0,'06_Сеть_и_дети'!BO11/'01_Вводные'!$B$9)-'06_Сеть_и_дети'!BO20*'19_Расчет_аналитики'!BO2830*'01_Вводные'!$C$314:$C$318*('01_Вводные'!$E$314:$E$318*('06_Сеть_и_дети'!BO$3&lt;'01_Вводные'!$B$245)+'01_Вводные'!$B$57*('06_Сеть_и_дети'!BO$3&gt;='01_Вводные'!$B$245))))/2)</f>
        <v/>
      </c>
    </row>
    <row r="2408">
      <c r="B2408">
        <f>SUM('19_Расчет_аналитики'!B2488:B2512,'19_Расчет_аналитики'!B2516:B2540)</f>
        <v/>
      </c>
      <c r="C2408">
        <f>SUM('19_Расчет_аналитики'!C2488:C2512,'19_Расчет_аналитики'!C2516:C2540)</f>
        <v/>
      </c>
      <c r="D2408">
        <f>SUM('19_Расчет_аналитики'!D2488:D2512,'19_Расчет_аналитики'!D2516:D2540)</f>
        <v/>
      </c>
      <c r="E2408">
        <f>SUM('19_Расчет_аналитики'!E2488:E2512,'19_Расчет_аналитики'!E2516:E2540)</f>
        <v/>
      </c>
      <c r="F2408">
        <f>SUM('19_Расчет_аналитики'!F2488:F2512,'19_Расчет_аналитики'!F2516:F2540)</f>
        <v/>
      </c>
      <c r="G2408">
        <f>SUM('19_Расчет_аналитики'!G2488:G2512,'19_Расчет_аналитики'!G2516:G2540)</f>
        <v/>
      </c>
      <c r="H2408">
        <f>SUM('19_Расчет_аналитики'!H2488:H2512,'19_Расчет_аналитики'!H2516:H2540)</f>
        <v/>
      </c>
      <c r="I2408">
        <f>SUM('19_Расчет_аналитики'!I2488:I2512,'19_Расчет_аналитики'!I2516:I2540)</f>
        <v/>
      </c>
      <c r="J2408">
        <f>SUM('19_Расчет_аналитики'!J2488:J2512,'19_Расчет_аналитики'!J2516:J2540)</f>
        <v/>
      </c>
      <c r="K2408">
        <f>SUM('19_Расчет_аналитики'!K2488:K2512,'19_Расчет_аналитики'!K2516:K2540)</f>
        <v/>
      </c>
      <c r="L2408">
        <f>SUM('19_Расчет_аналитики'!L2488:L2512,'19_Расчет_аналитики'!L2516:L2540)</f>
        <v/>
      </c>
      <c r="M2408">
        <f>SUM('19_Расчет_аналитики'!M2488:M2512,'19_Расчет_аналитики'!M2516:M2540)</f>
        <v/>
      </c>
      <c r="N2408">
        <f>SUM('19_Расчет_аналитики'!N2488:N2512,'19_Расчет_аналитики'!N2516:N2540)</f>
        <v/>
      </c>
      <c r="O2408">
        <f>SUM('19_Расчет_аналитики'!O2488:O2512,'19_Расчет_аналитики'!O2516:O2540)</f>
        <v/>
      </c>
      <c r="P2408">
        <f>SUM('19_Расчет_аналитики'!P2488:P2512,'19_Расчет_аналитики'!P2516:P2540)</f>
        <v/>
      </c>
      <c r="Q2408">
        <f>SUM('19_Расчет_аналитики'!Q2488:Q2512,'19_Расчет_аналитики'!Q2516:Q2540)</f>
        <v/>
      </c>
      <c r="R2408">
        <f>SUM('19_Расчет_аналитики'!R2488:R2512,'19_Расчет_аналитики'!R2516:R2540)</f>
        <v/>
      </c>
      <c r="S2408">
        <f>SUM('19_Расчет_аналитики'!S2488:S2512,'19_Расчет_аналитики'!S2516:S2540)</f>
        <v/>
      </c>
      <c r="T2408">
        <f>SUM('19_Расчет_аналитики'!T2488:T2512,'19_Расчет_аналитики'!T2516:T2540)</f>
        <v/>
      </c>
      <c r="U2408">
        <f>SUM('19_Расчет_аналитики'!U2488:U2512,'19_Расчет_аналитики'!U2516:U2540)</f>
        <v/>
      </c>
      <c r="V2408">
        <f>SUM('19_Расчет_аналитики'!V2488:V2512,'19_Расчет_аналитики'!V2516:V2540)</f>
        <v/>
      </c>
      <c r="W2408">
        <f>SUM('19_Расчет_аналитики'!W2488:W2512,'19_Расчет_аналитики'!W2516:W2540)</f>
        <v/>
      </c>
      <c r="X2408">
        <f>SUM('19_Расчет_аналитики'!X2488:X2512,'19_Расчет_аналитики'!X2516:X2540)</f>
        <v/>
      </c>
      <c r="Y2408">
        <f>SUM('19_Расчет_аналитики'!Y2488:Y2512,'19_Расчет_аналитики'!Y2516:Y2540)</f>
        <v/>
      </c>
      <c r="Z2408">
        <f>SUM('19_Расчет_аналитики'!Z2488:Z2512,'19_Расчет_аналитики'!Z2516:Z2540)</f>
        <v/>
      </c>
      <c r="AA2408">
        <f>SUM('19_Расчет_аналитики'!AA2488:AA2512,'19_Расчет_аналитики'!AA2516:AA2540)</f>
        <v/>
      </c>
      <c r="AB2408">
        <f>SUM('19_Расчет_аналитики'!AB2488:AB2512,'19_Расчет_аналитики'!AB2516:AB2540)</f>
        <v/>
      </c>
      <c r="AC2408">
        <f>SUM('19_Расчет_аналитики'!AC2488:AC2512,'19_Расчет_аналитики'!AC2516:AC2540)</f>
        <v/>
      </c>
      <c r="AD2408">
        <f>SUM('19_Расчет_аналитики'!AD2488:AD2512,'19_Расчет_аналитики'!AD2516:AD2540)</f>
        <v/>
      </c>
      <c r="AE2408">
        <f>SUM('19_Расчет_аналитики'!AE2488:AE2512,'19_Расчет_аналитики'!AE2516:AE2540)</f>
        <v/>
      </c>
      <c r="AF2408">
        <f>SUM('19_Расчет_аналитики'!AF2488:AF2512,'19_Расчет_аналитики'!AF2516:AF2540)</f>
        <v/>
      </c>
      <c r="AG2408">
        <f>SUM('19_Расчет_аналитики'!AG2488:AG2512,'19_Расчет_аналитики'!AG2516:AG2540)</f>
        <v/>
      </c>
      <c r="AH2408">
        <f>SUM('19_Расчет_аналитики'!AH2488:AH2512,'19_Расчет_аналитики'!AH2516:AH2540)</f>
        <v/>
      </c>
      <c r="AI2408">
        <f>SUM('19_Расчет_аналитики'!AI2488:AI2512,'19_Расчет_аналитики'!AI2516:AI2540)</f>
        <v/>
      </c>
      <c r="AJ2408">
        <f>SUM('19_Расчет_аналитики'!AJ2488:AJ2512,'19_Расчет_аналитики'!AJ2516:AJ2540)</f>
        <v/>
      </c>
      <c r="AK2408">
        <f>SUM('19_Расчет_аналитики'!AK2488:AK2512,'19_Расчет_аналитики'!AK2516:AK2540)</f>
        <v/>
      </c>
      <c r="AL2408">
        <f>SUM('19_Расчет_аналитики'!AL2488:AL2512,'19_Расчет_аналитики'!AL2516:AL2540)</f>
        <v/>
      </c>
      <c r="AM2408">
        <f>SUM('19_Расчет_аналитики'!AM2488:AM2512,'19_Расчет_аналитики'!AM2516:AM2540)</f>
        <v/>
      </c>
      <c r="AN2408">
        <f>SUM('19_Расчет_аналитики'!AN2488:AN2512,'19_Расчет_аналитики'!AN2516:AN2540)</f>
        <v/>
      </c>
      <c r="AO2408">
        <f>SUM('19_Расчет_аналитики'!AO2488:AO2512,'19_Расчет_аналитики'!AO2516:AO2540)</f>
        <v/>
      </c>
      <c r="AP2408">
        <f>SUM('19_Расчет_аналитики'!AP2488:AP2512,'19_Расчет_аналитики'!AP2516:AP2540)</f>
        <v/>
      </c>
      <c r="AQ2408">
        <f>SUM('19_Расчет_аналитики'!AQ2488:AQ2512,'19_Расчет_аналитики'!AQ2516:AQ2540)</f>
        <v/>
      </c>
      <c r="AR2408">
        <f>SUM('19_Расчет_аналитики'!AR2488:AR2512,'19_Расчет_аналитики'!AR2516:AR2540)</f>
        <v/>
      </c>
      <c r="AS2408">
        <f>SUM('19_Расчет_аналитики'!AS2488:AS2512,'19_Расчет_аналитики'!AS2516:AS2540)</f>
        <v/>
      </c>
      <c r="AT2408">
        <f>SUM('19_Расчет_аналитики'!AT2488:AT2512,'19_Расчет_аналитики'!AT2516:AT2540)</f>
        <v/>
      </c>
      <c r="AU2408">
        <f>SUM('19_Расчет_аналитики'!AU2488:AU2512,'19_Расчет_аналитики'!AU2516:AU2540)</f>
        <v/>
      </c>
      <c r="AV2408">
        <f>SUM('19_Расчет_аналитики'!AV2488:AV2512,'19_Расчет_аналитики'!AV2516:AV2540)</f>
        <v/>
      </c>
      <c r="AW2408">
        <f>SUM('19_Расчет_аналитики'!AW2488:AW2512,'19_Расчет_аналитики'!AW2516:AW2540)</f>
        <v/>
      </c>
      <c r="AX2408">
        <f>SUM('19_Расчет_аналитики'!AX2488:AX2512,'19_Расчет_аналитики'!AX2516:AX2540)</f>
        <v/>
      </c>
      <c r="AY2408">
        <f>SUM('19_Расчет_аналитики'!AY2488:AY2512,'19_Расчет_аналитики'!AY2516:AY2540)</f>
        <v/>
      </c>
      <c r="AZ2408">
        <f>SUM('19_Расчет_аналитики'!AZ2488:AZ2512,'19_Расчет_аналитики'!AZ2516:AZ2540)</f>
        <v/>
      </c>
      <c r="BA2408">
        <f>SUM('19_Расчет_аналитики'!BA2488:BA2512,'19_Расчет_аналитики'!BA2516:BA2540)</f>
        <v/>
      </c>
      <c r="BB2408">
        <f>SUM('19_Расчет_аналитики'!BB2488:BB2512,'19_Расчет_аналитики'!BB2516:BB2540)</f>
        <v/>
      </c>
      <c r="BC2408">
        <f>SUM('19_Расчет_аналитики'!BC2488:BC2512,'19_Расчет_аналитики'!BC2516:BC2540)</f>
        <v/>
      </c>
      <c r="BD2408">
        <f>SUM('19_Расчет_аналитики'!BD2488:BD2512,'19_Расчет_аналитики'!BD2516:BD2540)</f>
        <v/>
      </c>
      <c r="BE2408">
        <f>SUM('19_Расчет_аналитики'!BE2488:BE2512,'19_Расчет_аналитики'!BE2516:BE2540)</f>
        <v/>
      </c>
      <c r="BF2408">
        <f>SUM('19_Расчет_аналитики'!BF2488:BF2512,'19_Расчет_аналитики'!BF2516:BF2540)</f>
        <v/>
      </c>
      <c r="BG2408">
        <f>SUM('19_Расчет_аналитики'!BG2488:BG2512,'19_Расчет_аналитики'!BG2516:BG2540)</f>
        <v/>
      </c>
      <c r="BH2408">
        <f>SUM('19_Расчет_аналитики'!BH2488:BH2512,'19_Расчет_аналитики'!BH2516:BH2540)</f>
        <v/>
      </c>
      <c r="BI2408">
        <f>SUM('19_Расчет_аналитики'!BI2488:BI2512,'19_Расчет_аналитики'!BI2516:BI2540)</f>
        <v/>
      </c>
      <c r="BJ2408">
        <f>SUM('19_Расчет_аналитики'!BJ2488:BJ2512,'19_Расчет_аналитики'!BJ2516:BJ2540)</f>
        <v/>
      </c>
      <c r="BK2408">
        <f>SUM('19_Расчет_аналитики'!BK2488:BK2512,'19_Расчет_аналитики'!BK2516:BK2540)</f>
        <v/>
      </c>
      <c r="BL2408">
        <f>SUM('19_Расчет_аналитики'!BL2488:BL2512,'19_Расчет_аналитики'!BL2516:BL2540)</f>
        <v/>
      </c>
      <c r="BM2408">
        <f>SUM('19_Расчет_аналитики'!BM2488:BM2512,'19_Расчет_аналитики'!BM2516:BM2540)</f>
        <v/>
      </c>
      <c r="BN2408">
        <f>SUM('19_Расчет_аналитики'!BN2488:BN2512,'19_Расчет_аналитики'!BN2516:BN2540)</f>
        <v/>
      </c>
      <c r="BO2408">
        <f>SUM('19_Расчет_аналитики'!BO2488:BO2512,'19_Расчет_аналитики'!BO2516:BO2540)</f>
        <v/>
      </c>
    </row>
    <row r="2409">
      <c r="B2409">
        <f>'19_Расчет_аналитики'!B2407+'19_Расчет_аналитики'!B2408</f>
        <v/>
      </c>
      <c r="C2409">
        <f>'19_Расчет_аналитики'!C2407+'19_Расчет_аналитики'!C2408</f>
        <v/>
      </c>
      <c r="D2409">
        <f>'19_Расчет_аналитики'!D2407+'19_Расчет_аналитики'!D2408</f>
        <v/>
      </c>
      <c r="E2409">
        <f>'19_Расчет_аналитики'!E2407+'19_Расчет_аналитики'!E2408</f>
        <v/>
      </c>
      <c r="F2409">
        <f>'19_Расчет_аналитики'!F2407+'19_Расчет_аналитики'!F2408</f>
        <v/>
      </c>
      <c r="G2409">
        <f>'19_Расчет_аналитики'!G2407+'19_Расчет_аналитики'!G2408</f>
        <v/>
      </c>
      <c r="H2409">
        <f>'19_Расчет_аналитики'!H2407+'19_Расчет_аналитики'!H2408</f>
        <v/>
      </c>
      <c r="I2409">
        <f>'19_Расчет_аналитики'!I2407+'19_Расчет_аналитики'!I2408</f>
        <v/>
      </c>
      <c r="J2409">
        <f>'19_Расчет_аналитики'!J2407+'19_Расчет_аналитики'!J2408</f>
        <v/>
      </c>
      <c r="K2409">
        <f>'19_Расчет_аналитики'!K2407+'19_Расчет_аналитики'!K2408</f>
        <v/>
      </c>
      <c r="L2409">
        <f>'19_Расчет_аналитики'!L2407+'19_Расчет_аналитики'!L2408</f>
        <v/>
      </c>
      <c r="M2409">
        <f>'19_Расчет_аналитики'!M2407+'19_Расчет_аналитики'!M2408</f>
        <v/>
      </c>
      <c r="N2409">
        <f>'19_Расчет_аналитики'!N2407+'19_Расчет_аналитики'!N2408</f>
        <v/>
      </c>
      <c r="O2409">
        <f>'19_Расчет_аналитики'!O2407+'19_Расчет_аналитики'!O2408</f>
        <v/>
      </c>
      <c r="P2409">
        <f>'19_Расчет_аналитики'!P2407+'19_Расчет_аналитики'!P2408</f>
        <v/>
      </c>
      <c r="Q2409">
        <f>'19_Расчет_аналитики'!Q2407+'19_Расчет_аналитики'!Q2408</f>
        <v/>
      </c>
      <c r="R2409">
        <f>'19_Расчет_аналитики'!R2407+'19_Расчет_аналитики'!R2408</f>
        <v/>
      </c>
      <c r="S2409">
        <f>'19_Расчет_аналитики'!S2407+'19_Расчет_аналитики'!S2408</f>
        <v/>
      </c>
      <c r="T2409">
        <f>'19_Расчет_аналитики'!T2407+'19_Расчет_аналитики'!T2408</f>
        <v/>
      </c>
      <c r="U2409">
        <f>'19_Расчет_аналитики'!U2407+'19_Расчет_аналитики'!U2408</f>
        <v/>
      </c>
      <c r="V2409">
        <f>'19_Расчет_аналитики'!V2407+'19_Расчет_аналитики'!V2408</f>
        <v/>
      </c>
      <c r="W2409">
        <f>'19_Расчет_аналитики'!W2407+'19_Расчет_аналитики'!W2408</f>
        <v/>
      </c>
      <c r="X2409">
        <f>'19_Расчет_аналитики'!X2407+'19_Расчет_аналитики'!X2408</f>
        <v/>
      </c>
      <c r="Y2409">
        <f>'19_Расчет_аналитики'!Y2407+'19_Расчет_аналитики'!Y2408</f>
        <v/>
      </c>
      <c r="Z2409">
        <f>'19_Расчет_аналитики'!Z2407+'19_Расчет_аналитики'!Z2408</f>
        <v/>
      </c>
      <c r="AA2409">
        <f>'19_Расчет_аналитики'!AA2407+'19_Расчет_аналитики'!AA2408</f>
        <v/>
      </c>
      <c r="AB2409">
        <f>'19_Расчет_аналитики'!AB2407+'19_Расчет_аналитики'!AB2408</f>
        <v/>
      </c>
      <c r="AC2409">
        <f>'19_Расчет_аналитики'!AC2407+'19_Расчет_аналитики'!AC2408</f>
        <v/>
      </c>
      <c r="AD2409">
        <f>'19_Расчет_аналитики'!AD2407+'19_Расчет_аналитики'!AD2408</f>
        <v/>
      </c>
      <c r="AE2409">
        <f>'19_Расчет_аналитики'!AE2407+'19_Расчет_аналитики'!AE2408</f>
        <v/>
      </c>
      <c r="AF2409">
        <f>'19_Расчет_аналитики'!AF2407+'19_Расчет_аналитики'!AF2408</f>
        <v/>
      </c>
      <c r="AG2409">
        <f>'19_Расчет_аналитики'!AG2407+'19_Расчет_аналитики'!AG2408</f>
        <v/>
      </c>
      <c r="AH2409">
        <f>'19_Расчет_аналитики'!AH2407+'19_Расчет_аналитики'!AH2408</f>
        <v/>
      </c>
      <c r="AI2409">
        <f>'19_Расчет_аналитики'!AI2407+'19_Расчет_аналитики'!AI2408</f>
        <v/>
      </c>
      <c r="AJ2409">
        <f>'19_Расчет_аналитики'!AJ2407+'19_Расчет_аналитики'!AJ2408</f>
        <v/>
      </c>
      <c r="AK2409">
        <f>'19_Расчет_аналитики'!AK2407+'19_Расчет_аналитики'!AK2408</f>
        <v/>
      </c>
      <c r="AL2409">
        <f>'19_Расчет_аналитики'!AL2407+'19_Расчет_аналитики'!AL2408</f>
        <v/>
      </c>
      <c r="AM2409">
        <f>'19_Расчет_аналитики'!AM2407+'19_Расчет_аналитики'!AM2408</f>
        <v/>
      </c>
      <c r="AN2409">
        <f>'19_Расчет_аналитики'!AN2407+'19_Расчет_аналитики'!AN2408</f>
        <v/>
      </c>
      <c r="AO2409">
        <f>'19_Расчет_аналитики'!AO2407+'19_Расчет_аналитики'!AO2408</f>
        <v/>
      </c>
      <c r="AP2409">
        <f>'19_Расчет_аналитики'!AP2407+'19_Расчет_аналитики'!AP2408</f>
        <v/>
      </c>
      <c r="AQ2409">
        <f>'19_Расчет_аналитики'!AQ2407+'19_Расчет_аналитики'!AQ2408</f>
        <v/>
      </c>
      <c r="AR2409">
        <f>'19_Расчет_аналитики'!AR2407+'19_Расчет_аналитики'!AR2408</f>
        <v/>
      </c>
      <c r="AS2409">
        <f>'19_Расчет_аналитики'!AS2407+'19_Расчет_аналитики'!AS2408</f>
        <v/>
      </c>
      <c r="AT2409">
        <f>'19_Расчет_аналитики'!AT2407+'19_Расчет_аналитики'!AT2408</f>
        <v/>
      </c>
      <c r="AU2409">
        <f>'19_Расчет_аналитики'!AU2407+'19_Расчет_аналитики'!AU2408</f>
        <v/>
      </c>
      <c r="AV2409">
        <f>'19_Расчет_аналитики'!AV2407+'19_Расчет_аналитики'!AV2408</f>
        <v/>
      </c>
      <c r="AW2409">
        <f>'19_Расчет_аналитики'!AW2407+'19_Расчет_аналитики'!AW2408</f>
        <v/>
      </c>
      <c r="AX2409">
        <f>'19_Расчет_аналитики'!AX2407+'19_Расчет_аналитики'!AX2408</f>
        <v/>
      </c>
      <c r="AY2409">
        <f>'19_Расчет_аналитики'!AY2407+'19_Расчет_аналитики'!AY2408</f>
        <v/>
      </c>
      <c r="AZ2409">
        <f>'19_Расчет_аналитики'!AZ2407+'19_Расчет_аналитики'!AZ2408</f>
        <v/>
      </c>
      <c r="BA2409">
        <f>'19_Расчет_аналитики'!BA2407+'19_Расчет_аналитики'!BA2408</f>
        <v/>
      </c>
      <c r="BB2409">
        <f>'19_Расчет_аналитики'!BB2407+'19_Расчет_аналитики'!BB2408</f>
        <v/>
      </c>
      <c r="BC2409">
        <f>'19_Расчет_аналитики'!BC2407+'19_Расчет_аналитики'!BC2408</f>
        <v/>
      </c>
      <c r="BD2409">
        <f>'19_Расчет_аналитики'!BD2407+'19_Расчет_аналитики'!BD2408</f>
        <v/>
      </c>
      <c r="BE2409">
        <f>'19_Расчет_аналитики'!BE2407+'19_Расчет_аналитики'!BE2408</f>
        <v/>
      </c>
      <c r="BF2409">
        <f>'19_Расчет_аналитики'!BF2407+'19_Расчет_аналитики'!BF2408</f>
        <v/>
      </c>
      <c r="BG2409">
        <f>'19_Расчет_аналитики'!BG2407+'19_Расчет_аналитики'!BG2408</f>
        <v/>
      </c>
      <c r="BH2409">
        <f>'19_Расчет_аналитики'!BH2407+'19_Расчет_аналитики'!BH2408</f>
        <v/>
      </c>
      <c r="BI2409">
        <f>'19_Расчет_аналитики'!BI2407+'19_Расчет_аналитики'!BI2408</f>
        <v/>
      </c>
      <c r="BJ2409">
        <f>'19_Расчет_аналитики'!BJ2407+'19_Расчет_аналитики'!BJ2408</f>
        <v/>
      </c>
      <c r="BK2409">
        <f>'19_Расчет_аналитики'!BK2407+'19_Расчет_аналитики'!BK2408</f>
        <v/>
      </c>
      <c r="BL2409">
        <f>'19_Расчет_аналитики'!BL2407+'19_Расчет_аналитики'!BL2408</f>
        <v/>
      </c>
      <c r="BM2409">
        <f>'19_Расчет_аналитики'!BM2407+'19_Расчет_аналитики'!BM2408</f>
        <v/>
      </c>
      <c r="BN2409">
        <f>'19_Расчет_аналитики'!BN2407+'19_Расчет_аналитики'!BN2408</f>
        <v/>
      </c>
      <c r="BO2409">
        <f>'19_Расчет_аналитики'!BO2407+'19_Расчет_аналитики'!BO2408</f>
        <v/>
      </c>
    </row>
    <row r="2410"/>
    <row r="2411"/>
    <row r="2412">
      <c r="B2412">
        <f>IF(OR(1&lt;='01_Вводные'!$B$15,1-'01_Вводные'!$B$15&gt;60),0,IF(INDEX('04_Продажи'!$B$11:$BI$11,1,1-'01_Вводные'!$B$15)&lt;='01_Вводные'!$B$244,'19_Расчет_аналитики'!B2387,0))</f>
        <v/>
      </c>
      <c r="C2412">
        <f>IF(OR(2&lt;='01_Вводные'!$B$15,2-'01_Вводные'!$B$15&gt;60),0,IF(INDEX('04_Продажи'!$B$11:$BI$11,1,2-'01_Вводные'!$B$15)&lt;='01_Вводные'!$B$244,'19_Расчет_аналитики'!C2387,0))</f>
        <v/>
      </c>
      <c r="D2412">
        <f>IF(OR(3&lt;='01_Вводные'!$B$15,3-'01_Вводные'!$B$15&gt;60),0,IF(INDEX('04_Продажи'!$B$11:$BI$11,1,3-'01_Вводные'!$B$15)&lt;='01_Вводные'!$B$244,'19_Расчет_аналитики'!D2387,0))</f>
        <v/>
      </c>
      <c r="E2412">
        <f>IF(OR(4&lt;='01_Вводные'!$B$15,4-'01_Вводные'!$B$15&gt;60),0,IF(INDEX('04_Продажи'!$B$11:$BI$11,1,4-'01_Вводные'!$B$15)&lt;='01_Вводные'!$B$244,'19_Расчет_аналитики'!E2387,0))</f>
        <v/>
      </c>
      <c r="F2412">
        <f>IF(OR(5&lt;='01_Вводные'!$B$15,5-'01_Вводные'!$B$15&gt;60),0,IF(INDEX('04_Продажи'!$B$11:$BI$11,1,5-'01_Вводные'!$B$15)&lt;='01_Вводные'!$B$244,'19_Расчет_аналитики'!F2387,0))</f>
        <v/>
      </c>
      <c r="G2412">
        <f>IF(OR(6&lt;='01_Вводные'!$B$15,6-'01_Вводные'!$B$15&gt;60),0,IF(INDEX('04_Продажи'!$B$11:$BI$11,1,6-'01_Вводные'!$B$15)&lt;='01_Вводные'!$B$244,'19_Расчет_аналитики'!G2387,0))</f>
        <v/>
      </c>
      <c r="H2412">
        <f>IF(OR(7&lt;='01_Вводные'!$B$15,7-'01_Вводные'!$B$15&gt;60),0,IF(INDEX('04_Продажи'!$B$11:$BI$11,1,7-'01_Вводные'!$B$15)&lt;='01_Вводные'!$B$244,'19_Расчет_аналитики'!H2387,0))</f>
        <v/>
      </c>
      <c r="I2412">
        <f>IF(OR(8&lt;='01_Вводные'!$B$15,8-'01_Вводные'!$B$15&gt;60),0,IF(INDEX('04_Продажи'!$B$11:$BI$11,1,8-'01_Вводные'!$B$15)&lt;='01_Вводные'!$B$244,'19_Расчет_аналитики'!I2387,0))</f>
        <v/>
      </c>
      <c r="J2412">
        <f>IF(OR(9&lt;='01_Вводные'!$B$15,9-'01_Вводные'!$B$15&gt;60),0,IF(INDEX('04_Продажи'!$B$11:$BI$11,1,9-'01_Вводные'!$B$15)&lt;='01_Вводные'!$B$244,'19_Расчет_аналитики'!J2387,0))</f>
        <v/>
      </c>
      <c r="K2412">
        <f>IF(OR(10&lt;='01_Вводные'!$B$15,10-'01_Вводные'!$B$15&gt;60),0,IF(INDEX('04_Продажи'!$B$11:$BI$11,1,10-'01_Вводные'!$B$15)&lt;='01_Вводные'!$B$244,'19_Расчет_аналитики'!K2387,0))</f>
        <v/>
      </c>
      <c r="L2412">
        <f>IF(OR(11&lt;='01_Вводные'!$B$15,11-'01_Вводные'!$B$15&gt;60),0,IF(INDEX('04_Продажи'!$B$11:$BI$11,1,11-'01_Вводные'!$B$15)&lt;='01_Вводные'!$B$244,'19_Расчет_аналитики'!L2387,0))</f>
        <v/>
      </c>
      <c r="M2412">
        <f>IF(OR(12&lt;='01_Вводные'!$B$15,12-'01_Вводные'!$B$15&gt;60),0,IF(INDEX('04_Продажи'!$B$11:$BI$11,1,12-'01_Вводные'!$B$15)&lt;='01_Вводные'!$B$244,'19_Расчет_аналитики'!M2387,0))</f>
        <v/>
      </c>
      <c r="N2412">
        <f>IF(OR(13&lt;='01_Вводные'!$B$15,13-'01_Вводные'!$B$15&gt;60),0,IF(INDEX('04_Продажи'!$B$11:$BI$11,1,13-'01_Вводные'!$B$15)&lt;='01_Вводные'!$B$244,'19_Расчет_аналитики'!N2387,0))</f>
        <v/>
      </c>
      <c r="O2412">
        <f>IF(OR(14&lt;='01_Вводные'!$B$15,14-'01_Вводные'!$B$15&gt;60),0,IF(INDEX('04_Продажи'!$B$11:$BI$11,1,14-'01_Вводные'!$B$15)&lt;='01_Вводные'!$B$244,'19_Расчет_аналитики'!O2387,0))</f>
        <v/>
      </c>
      <c r="P2412">
        <f>IF(OR(15&lt;='01_Вводные'!$B$15,15-'01_Вводные'!$B$15&gt;60),0,IF(INDEX('04_Продажи'!$B$11:$BI$11,1,15-'01_Вводные'!$B$15)&lt;='01_Вводные'!$B$244,'19_Расчет_аналитики'!P2387,0))</f>
        <v/>
      </c>
      <c r="Q2412">
        <f>IF(OR(16&lt;='01_Вводные'!$B$15,16-'01_Вводные'!$B$15&gt;60),0,IF(INDEX('04_Продажи'!$B$11:$BI$11,1,16-'01_Вводные'!$B$15)&lt;='01_Вводные'!$B$244,'19_Расчет_аналитики'!Q2387,0))</f>
        <v/>
      </c>
      <c r="R2412">
        <f>IF(OR(17&lt;='01_Вводные'!$B$15,17-'01_Вводные'!$B$15&gt;60),0,IF(INDEX('04_Продажи'!$B$11:$BI$11,1,17-'01_Вводные'!$B$15)&lt;='01_Вводные'!$B$244,'19_Расчет_аналитики'!R2387,0))</f>
        <v/>
      </c>
      <c r="S2412">
        <f>IF(OR(18&lt;='01_Вводные'!$B$15,18-'01_Вводные'!$B$15&gt;60),0,IF(INDEX('04_Продажи'!$B$11:$BI$11,1,18-'01_Вводные'!$B$15)&lt;='01_Вводные'!$B$244,'19_Расчет_аналитики'!S2387,0))</f>
        <v/>
      </c>
      <c r="T2412">
        <f>IF(OR(19&lt;='01_Вводные'!$B$15,19-'01_Вводные'!$B$15&gt;60),0,IF(INDEX('04_Продажи'!$B$11:$BI$11,1,19-'01_Вводные'!$B$15)&lt;='01_Вводные'!$B$244,'19_Расчет_аналитики'!T2387,0))</f>
        <v/>
      </c>
      <c r="U2412">
        <f>IF(OR(20&lt;='01_Вводные'!$B$15,20-'01_Вводные'!$B$15&gt;60),0,IF(INDEX('04_Продажи'!$B$11:$BI$11,1,20-'01_Вводные'!$B$15)&lt;='01_Вводные'!$B$244,'19_Расчет_аналитики'!U2387,0))</f>
        <v/>
      </c>
      <c r="V2412">
        <f>IF(OR(21&lt;='01_Вводные'!$B$15,21-'01_Вводные'!$B$15&gt;60),0,IF(INDEX('04_Продажи'!$B$11:$BI$11,1,21-'01_Вводные'!$B$15)&lt;='01_Вводные'!$B$244,'19_Расчет_аналитики'!V2387,0))</f>
        <v/>
      </c>
      <c r="W2412">
        <f>IF(OR(22&lt;='01_Вводные'!$B$15,22-'01_Вводные'!$B$15&gt;60),0,IF(INDEX('04_Продажи'!$B$11:$BI$11,1,22-'01_Вводные'!$B$15)&lt;='01_Вводные'!$B$244,'19_Расчет_аналитики'!W2387,0))</f>
        <v/>
      </c>
      <c r="X2412">
        <f>IF(OR(23&lt;='01_Вводные'!$B$15,23-'01_Вводные'!$B$15&gt;60),0,IF(INDEX('04_Продажи'!$B$11:$BI$11,1,23-'01_Вводные'!$B$15)&lt;='01_Вводные'!$B$244,'19_Расчет_аналитики'!X2387,0))</f>
        <v/>
      </c>
      <c r="Y2412">
        <f>IF(OR(24&lt;='01_Вводные'!$B$15,24-'01_Вводные'!$B$15&gt;60),0,IF(INDEX('04_Продажи'!$B$11:$BI$11,1,24-'01_Вводные'!$B$15)&lt;='01_Вводные'!$B$244,'19_Расчет_аналитики'!Y2387,0))</f>
        <v/>
      </c>
      <c r="Z2412">
        <f>IF(OR(25&lt;='01_Вводные'!$B$15,25-'01_Вводные'!$B$15&gt;60),0,IF(INDEX('04_Продажи'!$B$11:$BI$11,1,25-'01_Вводные'!$B$15)&lt;='01_Вводные'!$B$244,'19_Расчет_аналитики'!Z2387,0))</f>
        <v/>
      </c>
      <c r="AA2412">
        <f>IF(OR(26&lt;='01_Вводные'!$B$15,26-'01_Вводные'!$B$15&gt;60),0,IF(INDEX('04_Продажи'!$B$11:$BI$11,1,26-'01_Вводные'!$B$15)&lt;='01_Вводные'!$B$244,'19_Расчет_аналитики'!AA2387,0))</f>
        <v/>
      </c>
      <c r="AB2412">
        <f>IF(OR(27&lt;='01_Вводные'!$B$15,27-'01_Вводные'!$B$15&gt;60),0,IF(INDEX('04_Продажи'!$B$11:$BI$11,1,27-'01_Вводные'!$B$15)&lt;='01_Вводные'!$B$244,'19_Расчет_аналитики'!AB2387,0))</f>
        <v/>
      </c>
      <c r="AC2412">
        <f>IF(OR(28&lt;='01_Вводные'!$B$15,28-'01_Вводные'!$B$15&gt;60),0,IF(INDEX('04_Продажи'!$B$11:$BI$11,1,28-'01_Вводные'!$B$15)&lt;='01_Вводные'!$B$244,'19_Расчет_аналитики'!AC2387,0))</f>
        <v/>
      </c>
      <c r="AD2412">
        <f>IF(OR(29&lt;='01_Вводные'!$B$15,29-'01_Вводные'!$B$15&gt;60),0,IF(INDEX('04_Продажи'!$B$11:$BI$11,1,29-'01_Вводные'!$B$15)&lt;='01_Вводные'!$B$244,'19_Расчет_аналитики'!AD2387,0))</f>
        <v/>
      </c>
      <c r="AE2412">
        <f>IF(OR(30&lt;='01_Вводные'!$B$15,30-'01_Вводные'!$B$15&gt;60),0,IF(INDEX('04_Продажи'!$B$11:$BI$11,1,30-'01_Вводные'!$B$15)&lt;='01_Вводные'!$B$244,'19_Расчет_аналитики'!AE2387,0))</f>
        <v/>
      </c>
      <c r="AF2412">
        <f>IF(OR(31&lt;='01_Вводные'!$B$15,31-'01_Вводные'!$B$15&gt;60),0,IF(INDEX('04_Продажи'!$B$11:$BI$11,1,31-'01_Вводные'!$B$15)&lt;='01_Вводные'!$B$244,'19_Расчет_аналитики'!AF2387,0))</f>
        <v/>
      </c>
      <c r="AG2412">
        <f>IF(OR(32&lt;='01_Вводные'!$B$15,32-'01_Вводные'!$B$15&gt;60),0,IF(INDEX('04_Продажи'!$B$11:$BI$11,1,32-'01_Вводные'!$B$15)&lt;='01_Вводные'!$B$244,'19_Расчет_аналитики'!AG2387,0))</f>
        <v/>
      </c>
      <c r="AH2412">
        <f>IF(OR(33&lt;='01_Вводные'!$B$15,33-'01_Вводные'!$B$15&gt;60),0,IF(INDEX('04_Продажи'!$B$11:$BI$11,1,33-'01_Вводные'!$B$15)&lt;='01_Вводные'!$B$244,'19_Расчет_аналитики'!AH2387,0))</f>
        <v/>
      </c>
      <c r="AI2412">
        <f>IF(OR(34&lt;='01_Вводные'!$B$15,34-'01_Вводные'!$B$15&gt;60),0,IF(INDEX('04_Продажи'!$B$11:$BI$11,1,34-'01_Вводные'!$B$15)&lt;='01_Вводные'!$B$244,'19_Расчет_аналитики'!AI2387,0))</f>
        <v/>
      </c>
      <c r="AJ2412">
        <f>IF(OR(35&lt;='01_Вводные'!$B$15,35-'01_Вводные'!$B$15&gt;60),0,IF(INDEX('04_Продажи'!$B$11:$BI$11,1,35-'01_Вводные'!$B$15)&lt;='01_Вводные'!$B$244,'19_Расчет_аналитики'!AJ2387,0))</f>
        <v/>
      </c>
      <c r="AK2412">
        <f>IF(OR(36&lt;='01_Вводные'!$B$15,36-'01_Вводные'!$B$15&gt;60),0,IF(INDEX('04_Продажи'!$B$11:$BI$11,1,36-'01_Вводные'!$B$15)&lt;='01_Вводные'!$B$244,'19_Расчет_аналитики'!AK2387,0))</f>
        <v/>
      </c>
      <c r="AL2412">
        <f>IF(OR(37&lt;='01_Вводные'!$B$15,37-'01_Вводные'!$B$15&gt;60),0,IF(INDEX('04_Продажи'!$B$11:$BI$11,1,37-'01_Вводные'!$B$15)&lt;='01_Вводные'!$B$244,'19_Расчет_аналитики'!AL2387,0))</f>
        <v/>
      </c>
      <c r="AM2412">
        <f>IF(OR(38&lt;='01_Вводные'!$B$15,38-'01_Вводные'!$B$15&gt;60),0,IF(INDEX('04_Продажи'!$B$11:$BI$11,1,38-'01_Вводные'!$B$15)&lt;='01_Вводные'!$B$244,'19_Расчет_аналитики'!AM2387,0))</f>
        <v/>
      </c>
      <c r="AN2412">
        <f>IF(OR(39&lt;='01_Вводные'!$B$15,39-'01_Вводные'!$B$15&gt;60),0,IF(INDEX('04_Продажи'!$B$11:$BI$11,1,39-'01_Вводные'!$B$15)&lt;='01_Вводные'!$B$244,'19_Расчет_аналитики'!AN2387,0))</f>
        <v/>
      </c>
      <c r="AO2412">
        <f>IF(OR(40&lt;='01_Вводные'!$B$15,40-'01_Вводные'!$B$15&gt;60),0,IF(INDEX('04_Продажи'!$B$11:$BI$11,1,40-'01_Вводные'!$B$15)&lt;='01_Вводные'!$B$244,'19_Расчет_аналитики'!AO2387,0))</f>
        <v/>
      </c>
      <c r="AP2412">
        <f>IF(OR(41&lt;='01_Вводные'!$B$15,41-'01_Вводные'!$B$15&gt;60),0,IF(INDEX('04_Продажи'!$B$11:$BI$11,1,41-'01_Вводные'!$B$15)&lt;='01_Вводные'!$B$244,'19_Расчет_аналитики'!AP2387,0))</f>
        <v/>
      </c>
      <c r="AQ2412">
        <f>IF(OR(42&lt;='01_Вводные'!$B$15,42-'01_Вводные'!$B$15&gt;60),0,IF(INDEX('04_Продажи'!$B$11:$BI$11,1,42-'01_Вводные'!$B$15)&lt;='01_Вводные'!$B$244,'19_Расчет_аналитики'!AQ2387,0))</f>
        <v/>
      </c>
      <c r="AR2412">
        <f>IF(OR(43&lt;='01_Вводные'!$B$15,43-'01_Вводные'!$B$15&gt;60),0,IF(INDEX('04_Продажи'!$B$11:$BI$11,1,43-'01_Вводные'!$B$15)&lt;='01_Вводные'!$B$244,'19_Расчет_аналитики'!AR2387,0))</f>
        <v/>
      </c>
      <c r="AS2412">
        <f>IF(OR(44&lt;='01_Вводные'!$B$15,44-'01_Вводные'!$B$15&gt;60),0,IF(INDEX('04_Продажи'!$B$11:$BI$11,1,44-'01_Вводные'!$B$15)&lt;='01_Вводные'!$B$244,'19_Расчет_аналитики'!AS2387,0))</f>
        <v/>
      </c>
      <c r="AT2412">
        <f>IF(OR(45&lt;='01_Вводные'!$B$15,45-'01_Вводные'!$B$15&gt;60),0,IF(INDEX('04_Продажи'!$B$11:$BI$11,1,45-'01_Вводные'!$B$15)&lt;='01_Вводные'!$B$244,'19_Расчет_аналитики'!AT2387,0))</f>
        <v/>
      </c>
      <c r="AU2412">
        <f>IF(OR(46&lt;='01_Вводные'!$B$15,46-'01_Вводные'!$B$15&gt;60),0,IF(INDEX('04_Продажи'!$B$11:$BI$11,1,46-'01_Вводные'!$B$15)&lt;='01_Вводные'!$B$244,'19_Расчет_аналитики'!AU2387,0))</f>
        <v/>
      </c>
      <c r="AV2412">
        <f>IF(OR(47&lt;='01_Вводные'!$B$15,47-'01_Вводные'!$B$15&gt;60),0,IF(INDEX('04_Продажи'!$B$11:$BI$11,1,47-'01_Вводные'!$B$15)&lt;='01_Вводные'!$B$244,'19_Расчет_аналитики'!AV2387,0))</f>
        <v/>
      </c>
      <c r="AW2412">
        <f>IF(OR(48&lt;='01_Вводные'!$B$15,48-'01_Вводные'!$B$15&gt;60),0,IF(INDEX('04_Продажи'!$B$11:$BI$11,1,48-'01_Вводные'!$B$15)&lt;='01_Вводные'!$B$244,'19_Расчет_аналитики'!AW2387,0))</f>
        <v/>
      </c>
      <c r="AX2412">
        <f>IF(OR(49&lt;='01_Вводные'!$B$15,49-'01_Вводные'!$B$15&gt;60),0,IF(INDEX('04_Продажи'!$B$11:$BI$11,1,49-'01_Вводные'!$B$15)&lt;='01_Вводные'!$B$244,'19_Расчет_аналитики'!AX2387,0))</f>
        <v/>
      </c>
      <c r="AY2412">
        <f>IF(OR(50&lt;='01_Вводные'!$B$15,50-'01_Вводные'!$B$15&gt;60),0,IF(INDEX('04_Продажи'!$B$11:$BI$11,1,50-'01_Вводные'!$B$15)&lt;='01_Вводные'!$B$244,'19_Расчет_аналитики'!AY2387,0))</f>
        <v/>
      </c>
      <c r="AZ2412">
        <f>IF(OR(51&lt;='01_Вводные'!$B$15,51-'01_Вводные'!$B$15&gt;60),0,IF(INDEX('04_Продажи'!$B$11:$BI$11,1,51-'01_Вводные'!$B$15)&lt;='01_Вводные'!$B$244,'19_Расчет_аналитики'!AZ2387,0))</f>
        <v/>
      </c>
      <c r="BA2412">
        <f>IF(OR(52&lt;='01_Вводные'!$B$15,52-'01_Вводные'!$B$15&gt;60),0,IF(INDEX('04_Продажи'!$B$11:$BI$11,1,52-'01_Вводные'!$B$15)&lt;='01_Вводные'!$B$244,'19_Расчет_аналитики'!BA2387,0))</f>
        <v/>
      </c>
      <c r="BB2412">
        <f>IF(OR(53&lt;='01_Вводные'!$B$15,53-'01_Вводные'!$B$15&gt;60),0,IF(INDEX('04_Продажи'!$B$11:$BI$11,1,53-'01_Вводные'!$B$15)&lt;='01_Вводные'!$B$244,'19_Расчет_аналитики'!BB2387,0))</f>
        <v/>
      </c>
      <c r="BC2412">
        <f>IF(OR(54&lt;='01_Вводные'!$B$15,54-'01_Вводные'!$B$15&gt;60),0,IF(INDEX('04_Продажи'!$B$11:$BI$11,1,54-'01_Вводные'!$B$15)&lt;='01_Вводные'!$B$244,'19_Расчет_аналитики'!BC2387,0))</f>
        <v/>
      </c>
      <c r="BD2412">
        <f>IF(OR(55&lt;='01_Вводные'!$B$15,55-'01_Вводные'!$B$15&gt;60),0,IF(INDEX('04_Продажи'!$B$11:$BI$11,1,55-'01_Вводные'!$B$15)&lt;='01_Вводные'!$B$244,'19_Расчет_аналитики'!BD2387,0))</f>
        <v/>
      </c>
      <c r="BE2412">
        <f>IF(OR(56&lt;='01_Вводные'!$B$15,56-'01_Вводные'!$B$15&gt;60),0,IF(INDEX('04_Продажи'!$B$11:$BI$11,1,56-'01_Вводные'!$B$15)&lt;='01_Вводные'!$B$244,'19_Расчет_аналитики'!BE2387,0))</f>
        <v/>
      </c>
      <c r="BF2412">
        <f>IF(OR(57&lt;='01_Вводные'!$B$15,57-'01_Вводные'!$B$15&gt;60),0,IF(INDEX('04_Продажи'!$B$11:$BI$11,1,57-'01_Вводные'!$B$15)&lt;='01_Вводные'!$B$244,'19_Расчет_аналитики'!BF2387,0))</f>
        <v/>
      </c>
      <c r="BG2412">
        <f>IF(OR(58&lt;='01_Вводные'!$B$15,58-'01_Вводные'!$B$15&gt;60),0,IF(INDEX('04_Продажи'!$B$11:$BI$11,1,58-'01_Вводные'!$B$15)&lt;='01_Вводные'!$B$244,'19_Расчет_аналитики'!BG2387,0))</f>
        <v/>
      </c>
      <c r="BH2412">
        <f>IF(OR(59&lt;='01_Вводные'!$B$15,59-'01_Вводные'!$B$15&gt;60),0,IF(INDEX('04_Продажи'!$B$11:$BI$11,1,59-'01_Вводные'!$B$15)&lt;='01_Вводные'!$B$244,'19_Расчет_аналитики'!BH2387,0))</f>
        <v/>
      </c>
      <c r="BI2412">
        <f>IF(OR(60&lt;='01_Вводные'!$B$15,60-'01_Вводные'!$B$15&gt;60),0,IF(INDEX('04_Продажи'!$B$11:$BI$11,1,60-'01_Вводные'!$B$15)&lt;='01_Вводные'!$B$244,'19_Расчет_аналитики'!BI2387,0))</f>
        <v/>
      </c>
      <c r="BJ2412">
        <f>IF(OR(61&lt;='01_Вводные'!$B$15,61-'01_Вводные'!$B$15&gt;60),0,IF(INDEX('04_Продажи'!$B$11:$BI$11,1,61-'01_Вводные'!$B$15)&lt;='01_Вводные'!$B$244,'19_Расчет_аналитики'!BJ2387,0))</f>
        <v/>
      </c>
      <c r="BK2412">
        <f>IF(OR(62&lt;='01_Вводные'!$B$15,62-'01_Вводные'!$B$15&gt;60),0,IF(INDEX('04_Продажи'!$B$11:$BI$11,1,62-'01_Вводные'!$B$15)&lt;='01_Вводные'!$B$244,'19_Расчет_аналитики'!BK2387,0))</f>
        <v/>
      </c>
      <c r="BL2412">
        <f>IF(OR(63&lt;='01_Вводные'!$B$15,63-'01_Вводные'!$B$15&gt;60),0,IF(INDEX('04_Продажи'!$B$11:$BI$11,1,63-'01_Вводные'!$B$15)&lt;='01_Вводные'!$B$244,'19_Расчет_аналитики'!BL2387,0))</f>
        <v/>
      </c>
      <c r="BM2412">
        <f>IF(OR(64&lt;='01_Вводные'!$B$15,64-'01_Вводные'!$B$15&gt;60),0,IF(INDEX('04_Продажи'!$B$11:$BI$11,1,64-'01_Вводные'!$B$15)&lt;='01_Вводные'!$B$244,'19_Расчет_аналитики'!BM2387,0))</f>
        <v/>
      </c>
      <c r="BN2412">
        <f>IF(OR(65&lt;='01_Вводные'!$B$15,65-'01_Вводные'!$B$15&gt;60),0,IF(INDEX('04_Продажи'!$B$11:$BI$11,1,65-'01_Вводные'!$B$15)&lt;='01_Вводные'!$B$244,'19_Расчет_аналитики'!BN2387,0))</f>
        <v/>
      </c>
      <c r="BO2412">
        <f>IF(OR(66&lt;='01_Вводные'!$B$15,66-'01_Вводные'!$B$15&gt;60),0,IF(INDEX('04_Продажи'!$B$11:$BI$11,1,66-'01_Вводные'!$B$15)&lt;='01_Вводные'!$B$244,'19_Расчет_аналитики'!BO2387,0))</f>
        <v/>
      </c>
    </row>
    <row r="2413">
      <c r="B2413">
        <f>SUM('19_Расчет_аналитики'!B2460:B2471)</f>
        <v/>
      </c>
      <c r="C2413">
        <f>SUM('19_Расчет_аналитики'!C2460:C2471)</f>
        <v/>
      </c>
      <c r="D2413">
        <f>SUM('19_Расчет_аналитики'!D2460:D2471)</f>
        <v/>
      </c>
      <c r="E2413">
        <f>SUM('19_Расчет_аналитики'!E2460:E2471)</f>
        <v/>
      </c>
      <c r="F2413">
        <f>SUM('19_Расчет_аналитики'!F2460:F2471)</f>
        <v/>
      </c>
      <c r="G2413">
        <f>SUM('19_Расчет_аналитики'!G2460:G2471)</f>
        <v/>
      </c>
      <c r="H2413">
        <f>SUM('19_Расчет_аналитики'!H2460:H2471)</f>
        <v/>
      </c>
      <c r="I2413">
        <f>SUM('19_Расчет_аналитики'!I2460:I2471)</f>
        <v/>
      </c>
      <c r="J2413">
        <f>SUM('19_Расчет_аналитики'!J2460:J2471)</f>
        <v/>
      </c>
      <c r="K2413">
        <f>SUM('19_Расчет_аналитики'!K2460:K2471)</f>
        <v/>
      </c>
      <c r="L2413">
        <f>SUM('19_Расчет_аналитики'!L2460:L2471)</f>
        <v/>
      </c>
      <c r="M2413">
        <f>SUM('19_Расчет_аналитики'!M2460:M2471)</f>
        <v/>
      </c>
      <c r="N2413">
        <f>SUM('19_Расчет_аналитики'!N2460:N2471)</f>
        <v/>
      </c>
      <c r="O2413">
        <f>SUM('19_Расчет_аналитики'!O2460:O2471)</f>
        <v/>
      </c>
      <c r="P2413">
        <f>SUM('19_Расчет_аналитики'!P2460:P2471)</f>
        <v/>
      </c>
      <c r="Q2413">
        <f>SUM('19_Расчет_аналитики'!Q2460:Q2471)</f>
        <v/>
      </c>
      <c r="R2413">
        <f>SUM('19_Расчет_аналитики'!R2460:R2471)</f>
        <v/>
      </c>
      <c r="S2413">
        <f>SUM('19_Расчет_аналитики'!S2460:S2471)</f>
        <v/>
      </c>
      <c r="T2413">
        <f>SUM('19_Расчет_аналитики'!T2460:T2471)</f>
        <v/>
      </c>
      <c r="U2413">
        <f>SUM('19_Расчет_аналитики'!U2460:U2471)</f>
        <v/>
      </c>
      <c r="V2413">
        <f>SUM('19_Расчет_аналитики'!V2460:V2471)</f>
        <v/>
      </c>
      <c r="W2413">
        <f>SUM('19_Расчет_аналитики'!W2460:W2471)</f>
        <v/>
      </c>
      <c r="X2413">
        <f>SUM('19_Расчет_аналитики'!X2460:X2471)</f>
        <v/>
      </c>
      <c r="Y2413">
        <f>SUM('19_Расчет_аналитики'!Y2460:Y2471)</f>
        <v/>
      </c>
      <c r="Z2413">
        <f>SUM('19_Расчет_аналитики'!Z2460:Z2471)</f>
        <v/>
      </c>
      <c r="AA2413">
        <f>SUM('19_Расчет_аналитики'!AA2460:AA2471)</f>
        <v/>
      </c>
      <c r="AB2413">
        <f>SUM('19_Расчет_аналитики'!AB2460:AB2471)</f>
        <v/>
      </c>
      <c r="AC2413">
        <f>SUM('19_Расчет_аналитики'!AC2460:AC2471)</f>
        <v/>
      </c>
      <c r="AD2413">
        <f>SUM('19_Расчет_аналитики'!AD2460:AD2471)</f>
        <v/>
      </c>
      <c r="AE2413">
        <f>SUM('19_Расчет_аналитики'!AE2460:AE2471)</f>
        <v/>
      </c>
      <c r="AF2413">
        <f>SUM('19_Расчет_аналитики'!AF2460:AF2471)</f>
        <v/>
      </c>
      <c r="AG2413">
        <f>SUM('19_Расчет_аналитики'!AG2460:AG2471)</f>
        <v/>
      </c>
      <c r="AH2413">
        <f>SUM('19_Расчет_аналитики'!AH2460:AH2471)</f>
        <v/>
      </c>
      <c r="AI2413">
        <f>SUM('19_Расчет_аналитики'!AI2460:AI2471)</f>
        <v/>
      </c>
      <c r="AJ2413">
        <f>SUM('19_Расчет_аналитики'!AJ2460:AJ2471)</f>
        <v/>
      </c>
      <c r="AK2413">
        <f>SUM('19_Расчет_аналитики'!AK2460:AK2471)</f>
        <v/>
      </c>
      <c r="AL2413">
        <f>SUM('19_Расчет_аналитики'!AL2460:AL2471)</f>
        <v/>
      </c>
      <c r="AM2413">
        <f>SUM('19_Расчет_аналитики'!AM2460:AM2471)</f>
        <v/>
      </c>
      <c r="AN2413">
        <f>SUM('19_Расчет_аналитики'!AN2460:AN2471)</f>
        <v/>
      </c>
      <c r="AO2413">
        <f>SUM('19_Расчет_аналитики'!AO2460:AO2471)</f>
        <v/>
      </c>
      <c r="AP2413">
        <f>SUM('19_Расчет_аналитики'!AP2460:AP2471)</f>
        <v/>
      </c>
      <c r="AQ2413">
        <f>SUM('19_Расчет_аналитики'!AQ2460:AQ2471)</f>
        <v/>
      </c>
      <c r="AR2413">
        <f>SUM('19_Расчет_аналитики'!AR2460:AR2471)</f>
        <v/>
      </c>
      <c r="AS2413">
        <f>SUM('19_Расчет_аналитики'!AS2460:AS2471)</f>
        <v/>
      </c>
      <c r="AT2413">
        <f>SUM('19_Расчет_аналитики'!AT2460:AT2471)</f>
        <v/>
      </c>
      <c r="AU2413">
        <f>SUM('19_Расчет_аналитики'!AU2460:AU2471)</f>
        <v/>
      </c>
      <c r="AV2413">
        <f>SUM('19_Расчет_аналитики'!AV2460:AV2471)</f>
        <v/>
      </c>
      <c r="AW2413">
        <f>SUM('19_Расчет_аналитики'!AW2460:AW2471)</f>
        <v/>
      </c>
      <c r="AX2413">
        <f>SUM('19_Расчет_аналитики'!AX2460:AX2471)</f>
        <v/>
      </c>
      <c r="AY2413">
        <f>SUM('19_Расчет_аналитики'!AY2460:AY2471)</f>
        <v/>
      </c>
      <c r="AZ2413">
        <f>SUM('19_Расчет_аналитики'!AZ2460:AZ2471)</f>
        <v/>
      </c>
      <c r="BA2413">
        <f>SUM('19_Расчет_аналитики'!BA2460:BA2471)</f>
        <v/>
      </c>
      <c r="BB2413">
        <f>SUM('19_Расчет_аналитики'!BB2460:BB2471)</f>
        <v/>
      </c>
      <c r="BC2413">
        <f>SUM('19_Расчет_аналитики'!BC2460:BC2471)</f>
        <v/>
      </c>
      <c r="BD2413">
        <f>SUM('19_Расчет_аналитики'!BD2460:BD2471)</f>
        <v/>
      </c>
      <c r="BE2413">
        <f>SUM('19_Расчет_аналитики'!BE2460:BE2471)</f>
        <v/>
      </c>
      <c r="BF2413">
        <f>SUM('19_Расчет_аналитики'!BF2460:BF2471)</f>
        <v/>
      </c>
      <c r="BG2413">
        <f>SUM('19_Расчет_аналитики'!BG2460:BG2471)</f>
        <v/>
      </c>
      <c r="BH2413">
        <f>SUM('19_Расчет_аналитики'!BH2460:BH2471)</f>
        <v/>
      </c>
      <c r="BI2413">
        <f>SUM('19_Расчет_аналитики'!BI2460:BI2471)</f>
        <v/>
      </c>
      <c r="BJ2413">
        <f>SUM('19_Расчет_аналитики'!BJ2460:BJ2471)</f>
        <v/>
      </c>
      <c r="BK2413">
        <f>SUM('19_Расчет_аналитики'!BK2460:BK2471)</f>
        <v/>
      </c>
      <c r="BL2413">
        <f>SUM('19_Расчет_аналитики'!BL2460:BL2471)</f>
        <v/>
      </c>
      <c r="BM2413">
        <f>SUM('19_Расчет_аналитики'!BM2460:BM2471)</f>
        <v/>
      </c>
      <c r="BN2413">
        <f>SUM('19_Расчет_аналитики'!BN2460:BN2471)</f>
        <v/>
      </c>
      <c r="BO2413">
        <f>SUM('19_Расчет_аналитики'!BO2460:BO2471)</f>
        <v/>
      </c>
    </row>
    <row r="2414"/>
    <row r="2415">
      <c r="B2415">
        <f>MAX(0,'19_Расчет_аналитики'!B2392-'19_Расчет_аналитики'!B2413)</f>
        <v/>
      </c>
      <c r="C2415">
        <f>MAX(0,'19_Расчет_аналитики'!C2392-'19_Расчет_аналитики'!C2413)</f>
        <v/>
      </c>
      <c r="D2415">
        <f>MAX(0,'19_Расчет_аналитики'!D2392-'19_Расчет_аналитики'!D2413)</f>
        <v/>
      </c>
      <c r="E2415">
        <f>MAX(0,'19_Расчет_аналитики'!E2392-'19_Расчет_аналитики'!E2413)</f>
        <v/>
      </c>
      <c r="F2415">
        <f>MAX(0,'19_Расчет_аналитики'!F2392-'19_Расчет_аналитики'!F2413)</f>
        <v/>
      </c>
      <c r="G2415">
        <f>MAX(0,'19_Расчет_аналитики'!G2392-'19_Расчет_аналитики'!G2413)</f>
        <v/>
      </c>
      <c r="H2415">
        <f>MAX(0,'19_Расчет_аналитики'!H2392-'19_Расчет_аналитики'!H2413)</f>
        <v/>
      </c>
      <c r="I2415">
        <f>MAX(0,'19_Расчет_аналитики'!I2392-'19_Расчет_аналитики'!I2413)</f>
        <v/>
      </c>
      <c r="J2415">
        <f>MAX(0,'19_Расчет_аналитики'!J2392-'19_Расчет_аналитики'!J2413)</f>
        <v/>
      </c>
      <c r="K2415">
        <f>MAX(0,'19_Расчет_аналитики'!K2392-'19_Расчет_аналитики'!K2413)</f>
        <v/>
      </c>
      <c r="L2415">
        <f>MAX(0,'19_Расчет_аналитики'!L2392-'19_Расчет_аналитики'!L2413)</f>
        <v/>
      </c>
      <c r="M2415">
        <f>MAX(0,'19_Расчет_аналитики'!M2392-'19_Расчет_аналитики'!M2413)</f>
        <v/>
      </c>
      <c r="N2415">
        <f>MAX(0,'19_Расчет_аналитики'!N2392-'19_Расчет_аналитики'!N2413)</f>
        <v/>
      </c>
      <c r="O2415">
        <f>MAX(0,'19_Расчет_аналитики'!O2392-'19_Расчет_аналитики'!O2413)</f>
        <v/>
      </c>
      <c r="P2415">
        <f>MAX(0,'19_Расчет_аналитики'!P2392-'19_Расчет_аналитики'!P2413)</f>
        <v/>
      </c>
      <c r="Q2415">
        <f>MAX(0,'19_Расчет_аналитики'!Q2392-'19_Расчет_аналитики'!Q2413)</f>
        <v/>
      </c>
      <c r="R2415">
        <f>MAX(0,'19_Расчет_аналитики'!R2392-'19_Расчет_аналитики'!R2413)</f>
        <v/>
      </c>
      <c r="S2415">
        <f>MAX(0,'19_Расчет_аналитики'!S2392-'19_Расчет_аналитики'!S2413)</f>
        <v/>
      </c>
      <c r="T2415">
        <f>MAX(0,'19_Расчет_аналитики'!T2392-'19_Расчет_аналитики'!T2413)</f>
        <v/>
      </c>
      <c r="U2415">
        <f>MAX(0,'19_Расчет_аналитики'!U2392-'19_Расчет_аналитики'!U2413)</f>
        <v/>
      </c>
      <c r="V2415">
        <f>MAX(0,'19_Расчет_аналитики'!V2392-'19_Расчет_аналитики'!V2413)</f>
        <v/>
      </c>
      <c r="W2415">
        <f>MAX(0,'19_Расчет_аналитики'!W2392-'19_Расчет_аналитики'!W2413)</f>
        <v/>
      </c>
      <c r="X2415">
        <f>MAX(0,'19_Расчет_аналитики'!X2392-'19_Расчет_аналитики'!X2413)</f>
        <v/>
      </c>
      <c r="Y2415">
        <f>MAX(0,'19_Расчет_аналитики'!Y2392-'19_Расчет_аналитики'!Y2413)</f>
        <v/>
      </c>
      <c r="Z2415">
        <f>MAX(0,'19_Расчет_аналитики'!Z2392-'19_Расчет_аналитики'!Z2413)</f>
        <v/>
      </c>
      <c r="AA2415">
        <f>MAX(0,'19_Расчет_аналитики'!AA2392-'19_Расчет_аналитики'!AA2413)</f>
        <v/>
      </c>
      <c r="AB2415">
        <f>MAX(0,'19_Расчет_аналитики'!AB2392-'19_Расчет_аналитики'!AB2413)</f>
        <v/>
      </c>
      <c r="AC2415">
        <f>MAX(0,'19_Расчет_аналитики'!AC2392-'19_Расчет_аналитики'!AC2413)</f>
        <v/>
      </c>
      <c r="AD2415">
        <f>MAX(0,'19_Расчет_аналитики'!AD2392-'19_Расчет_аналитики'!AD2413)</f>
        <v/>
      </c>
      <c r="AE2415">
        <f>MAX(0,'19_Расчет_аналитики'!AE2392-'19_Расчет_аналитики'!AE2413)</f>
        <v/>
      </c>
      <c r="AF2415">
        <f>MAX(0,'19_Расчет_аналитики'!AF2392-'19_Расчет_аналитики'!AF2413)</f>
        <v/>
      </c>
      <c r="AG2415">
        <f>MAX(0,'19_Расчет_аналитики'!AG2392-'19_Расчет_аналитики'!AG2413)</f>
        <v/>
      </c>
      <c r="AH2415">
        <f>MAX(0,'19_Расчет_аналитики'!AH2392-'19_Расчет_аналитики'!AH2413)</f>
        <v/>
      </c>
      <c r="AI2415">
        <f>MAX(0,'19_Расчет_аналитики'!AI2392-'19_Расчет_аналитики'!AI2413)</f>
        <v/>
      </c>
      <c r="AJ2415">
        <f>MAX(0,'19_Расчет_аналитики'!AJ2392-'19_Расчет_аналитики'!AJ2413)</f>
        <v/>
      </c>
      <c r="AK2415">
        <f>MAX(0,'19_Расчет_аналитики'!AK2392-'19_Расчет_аналитики'!AK2413)</f>
        <v/>
      </c>
      <c r="AL2415">
        <f>MAX(0,'19_Расчет_аналитики'!AL2392-'19_Расчет_аналитики'!AL2413)</f>
        <v/>
      </c>
      <c r="AM2415">
        <f>MAX(0,'19_Расчет_аналитики'!AM2392-'19_Расчет_аналитики'!AM2413)</f>
        <v/>
      </c>
      <c r="AN2415">
        <f>MAX(0,'19_Расчет_аналитики'!AN2392-'19_Расчет_аналитики'!AN2413)</f>
        <v/>
      </c>
      <c r="AO2415">
        <f>MAX(0,'19_Расчет_аналитики'!AO2392-'19_Расчет_аналитики'!AO2413)</f>
        <v/>
      </c>
      <c r="AP2415">
        <f>MAX(0,'19_Расчет_аналитики'!AP2392-'19_Расчет_аналитики'!AP2413)</f>
        <v/>
      </c>
      <c r="AQ2415">
        <f>MAX(0,'19_Расчет_аналитики'!AQ2392-'19_Расчет_аналитики'!AQ2413)</f>
        <v/>
      </c>
      <c r="AR2415">
        <f>MAX(0,'19_Расчет_аналитики'!AR2392-'19_Расчет_аналитики'!AR2413)</f>
        <v/>
      </c>
      <c r="AS2415">
        <f>MAX(0,'19_Расчет_аналитики'!AS2392-'19_Расчет_аналитики'!AS2413)</f>
        <v/>
      </c>
      <c r="AT2415">
        <f>MAX(0,'19_Расчет_аналитики'!AT2392-'19_Расчет_аналитики'!AT2413)</f>
        <v/>
      </c>
      <c r="AU2415">
        <f>MAX(0,'19_Расчет_аналитики'!AU2392-'19_Расчет_аналитики'!AU2413)</f>
        <v/>
      </c>
      <c r="AV2415">
        <f>MAX(0,'19_Расчет_аналитики'!AV2392-'19_Расчет_аналитики'!AV2413)</f>
        <v/>
      </c>
      <c r="AW2415">
        <f>MAX(0,'19_Расчет_аналитики'!AW2392-'19_Расчет_аналитики'!AW2413)</f>
        <v/>
      </c>
      <c r="AX2415">
        <f>MAX(0,'19_Расчет_аналитики'!AX2392-'19_Расчет_аналитики'!AX2413)</f>
        <v/>
      </c>
      <c r="AY2415">
        <f>MAX(0,'19_Расчет_аналитики'!AY2392-'19_Расчет_аналитики'!AY2413)</f>
        <v/>
      </c>
      <c r="AZ2415">
        <f>MAX(0,'19_Расчет_аналитики'!AZ2392-'19_Расчет_аналитики'!AZ2413)</f>
        <v/>
      </c>
      <c r="BA2415">
        <f>MAX(0,'19_Расчет_аналитики'!BA2392-'19_Расчет_аналитики'!BA2413)</f>
        <v/>
      </c>
      <c r="BB2415">
        <f>MAX(0,'19_Расчет_аналитики'!BB2392-'19_Расчет_аналитики'!BB2413)</f>
        <v/>
      </c>
      <c r="BC2415">
        <f>MAX(0,'19_Расчет_аналитики'!BC2392-'19_Расчет_аналитики'!BC2413)</f>
        <v/>
      </c>
      <c r="BD2415">
        <f>MAX(0,'19_Расчет_аналитики'!BD2392-'19_Расчет_аналитики'!BD2413)</f>
        <v/>
      </c>
      <c r="BE2415">
        <f>MAX(0,'19_Расчет_аналитики'!BE2392-'19_Расчет_аналитики'!BE2413)</f>
        <v/>
      </c>
      <c r="BF2415">
        <f>MAX(0,'19_Расчет_аналитики'!BF2392-'19_Расчет_аналитики'!BF2413)</f>
        <v/>
      </c>
      <c r="BG2415">
        <f>MAX(0,'19_Расчет_аналитики'!BG2392-'19_Расчет_аналитики'!BG2413)</f>
        <v/>
      </c>
      <c r="BH2415">
        <f>MAX(0,'19_Расчет_аналитики'!BH2392-'19_Расчет_аналитики'!BH2413)</f>
        <v/>
      </c>
      <c r="BI2415">
        <f>MAX(0,'19_Расчет_аналитики'!BI2392-'19_Расчет_аналитики'!BI2413)</f>
        <v/>
      </c>
      <c r="BJ2415">
        <f>MAX(0,'19_Расчет_аналитики'!BJ2392-'19_Расчет_аналитики'!BJ2413)</f>
        <v/>
      </c>
      <c r="BK2415">
        <f>MAX(0,'19_Расчет_аналитики'!BK2392-'19_Расчет_аналитики'!BK2413)</f>
        <v/>
      </c>
      <c r="BL2415">
        <f>MAX(0,'19_Расчет_аналитики'!BL2392-'19_Расчет_аналитики'!BL2413)</f>
        <v/>
      </c>
      <c r="BM2415">
        <f>MAX(0,'19_Расчет_аналитики'!BM2392-'19_Расчет_аналитики'!BM2413)</f>
        <v/>
      </c>
      <c r="BN2415">
        <f>MAX(0,'19_Расчет_аналитики'!BN2392-'19_Расчет_аналитики'!BN2413)</f>
        <v/>
      </c>
      <c r="BO2415">
        <f>MAX(0,'19_Расчет_аналитики'!BO2392-'19_Расчет_аналитики'!BO2413)</f>
        <v/>
      </c>
    </row>
    <row r="2416"/>
    <row r="2417"/>
    <row r="2418"/>
    <row r="2419"/>
    <row r="2420"/>
    <row r="2421"/>
    <row r="2422">
      <c r="B2422">
        <f>IF(1&lt;='01_Вводные'!$B$235,0,INDEX('19_Расчет_аналитики'!$B$2387:$BO$2387,1,1-'01_Вводные'!$B$235)*'01_Вводные'!$B$14^'01_Вводные'!$B$235)</f>
        <v/>
      </c>
      <c r="C2422">
        <f>IF(2&lt;='01_Вводные'!$B$235,0,INDEX('19_Расчет_аналитики'!$B$2387:$BO$2387,1,2-'01_Вводные'!$B$235)*'01_Вводные'!$B$14^'01_Вводные'!$B$235)</f>
        <v/>
      </c>
      <c r="D2422">
        <f>IF(3&lt;='01_Вводные'!$B$235,0,INDEX('19_Расчет_аналитики'!$B$2387:$BO$2387,1,3-'01_Вводные'!$B$235)*'01_Вводные'!$B$14^'01_Вводные'!$B$235)</f>
        <v/>
      </c>
      <c r="E2422">
        <f>IF(4&lt;='01_Вводные'!$B$235,0,INDEX('19_Расчет_аналитики'!$B$2387:$BO$2387,1,4-'01_Вводные'!$B$235)*'01_Вводные'!$B$14^'01_Вводные'!$B$235)</f>
        <v/>
      </c>
      <c r="F2422">
        <f>IF(5&lt;='01_Вводные'!$B$235,0,INDEX('19_Расчет_аналитики'!$B$2387:$BO$2387,1,5-'01_Вводные'!$B$235)*'01_Вводные'!$B$14^'01_Вводные'!$B$235)</f>
        <v/>
      </c>
      <c r="G2422">
        <f>IF(6&lt;='01_Вводные'!$B$235,0,INDEX('19_Расчет_аналитики'!$B$2387:$BO$2387,1,6-'01_Вводные'!$B$235)*'01_Вводные'!$B$14^'01_Вводные'!$B$235)</f>
        <v/>
      </c>
      <c r="H2422">
        <f>IF(7&lt;='01_Вводные'!$B$235,0,INDEX('19_Расчет_аналитики'!$B$2387:$BO$2387,1,7-'01_Вводные'!$B$235)*'01_Вводные'!$B$14^'01_Вводные'!$B$235)</f>
        <v/>
      </c>
      <c r="I2422">
        <f>IF(8&lt;='01_Вводные'!$B$235,0,INDEX('19_Расчет_аналитики'!$B$2387:$BO$2387,1,8-'01_Вводные'!$B$235)*'01_Вводные'!$B$14^'01_Вводные'!$B$235)</f>
        <v/>
      </c>
      <c r="J2422">
        <f>IF(9&lt;='01_Вводные'!$B$235,0,INDEX('19_Расчет_аналитики'!$B$2387:$BO$2387,1,9-'01_Вводные'!$B$235)*'01_Вводные'!$B$14^'01_Вводные'!$B$235)</f>
        <v/>
      </c>
      <c r="K2422">
        <f>IF(10&lt;='01_Вводные'!$B$235,0,INDEX('19_Расчет_аналитики'!$B$2387:$BO$2387,1,10-'01_Вводные'!$B$235)*'01_Вводные'!$B$14^'01_Вводные'!$B$235)</f>
        <v/>
      </c>
      <c r="L2422">
        <f>IF(11&lt;='01_Вводные'!$B$235,0,INDEX('19_Расчет_аналитики'!$B$2387:$BO$2387,1,11-'01_Вводные'!$B$235)*'01_Вводные'!$B$14^'01_Вводные'!$B$235)</f>
        <v/>
      </c>
      <c r="M2422">
        <f>IF(12&lt;='01_Вводные'!$B$235,0,INDEX('19_Расчет_аналитики'!$B$2387:$BO$2387,1,12-'01_Вводные'!$B$235)*'01_Вводные'!$B$14^'01_Вводные'!$B$235)</f>
        <v/>
      </c>
      <c r="N2422">
        <f>IF(13&lt;='01_Вводные'!$B$235,0,INDEX('19_Расчет_аналитики'!$B$2387:$BO$2387,1,13-'01_Вводные'!$B$235)*'01_Вводные'!$B$14^'01_Вводные'!$B$235)</f>
        <v/>
      </c>
      <c r="O2422">
        <f>IF(14&lt;='01_Вводные'!$B$235,0,INDEX('19_Расчет_аналитики'!$B$2387:$BO$2387,1,14-'01_Вводные'!$B$235)*'01_Вводные'!$B$14^'01_Вводные'!$B$235)</f>
        <v/>
      </c>
      <c r="P2422">
        <f>IF(15&lt;='01_Вводные'!$B$235,0,INDEX('19_Расчет_аналитики'!$B$2387:$BO$2387,1,15-'01_Вводные'!$B$235)*'01_Вводные'!$B$14^'01_Вводные'!$B$235)</f>
        <v/>
      </c>
      <c r="Q2422">
        <f>IF(16&lt;='01_Вводные'!$B$235,0,INDEX('19_Расчет_аналитики'!$B$2387:$BO$2387,1,16-'01_Вводные'!$B$235)*'01_Вводные'!$B$14^'01_Вводные'!$B$235)</f>
        <v/>
      </c>
      <c r="R2422">
        <f>IF(17&lt;='01_Вводные'!$B$235,0,INDEX('19_Расчет_аналитики'!$B$2387:$BO$2387,1,17-'01_Вводные'!$B$235)*'01_Вводные'!$B$14^'01_Вводные'!$B$235)</f>
        <v/>
      </c>
      <c r="S2422">
        <f>IF(18&lt;='01_Вводные'!$B$235,0,INDEX('19_Расчет_аналитики'!$B$2387:$BO$2387,1,18-'01_Вводные'!$B$235)*'01_Вводные'!$B$14^'01_Вводные'!$B$235)</f>
        <v/>
      </c>
      <c r="T2422">
        <f>IF(19&lt;='01_Вводные'!$B$235,0,INDEX('19_Расчет_аналитики'!$B$2387:$BO$2387,1,19-'01_Вводные'!$B$235)*'01_Вводные'!$B$14^'01_Вводные'!$B$235)</f>
        <v/>
      </c>
      <c r="U2422">
        <f>IF(20&lt;='01_Вводные'!$B$235,0,INDEX('19_Расчет_аналитики'!$B$2387:$BO$2387,1,20-'01_Вводные'!$B$235)*'01_Вводные'!$B$14^'01_Вводные'!$B$235)</f>
        <v/>
      </c>
      <c r="V2422">
        <f>IF(21&lt;='01_Вводные'!$B$235,0,INDEX('19_Расчет_аналитики'!$B$2387:$BO$2387,1,21-'01_Вводные'!$B$235)*'01_Вводные'!$B$14^'01_Вводные'!$B$235)</f>
        <v/>
      </c>
      <c r="W2422">
        <f>IF(22&lt;='01_Вводные'!$B$235,0,INDEX('19_Расчет_аналитики'!$B$2387:$BO$2387,1,22-'01_Вводные'!$B$235)*'01_Вводные'!$B$14^'01_Вводные'!$B$235)</f>
        <v/>
      </c>
      <c r="X2422">
        <f>IF(23&lt;='01_Вводные'!$B$235,0,INDEX('19_Расчет_аналитики'!$B$2387:$BO$2387,1,23-'01_Вводные'!$B$235)*'01_Вводные'!$B$14^'01_Вводные'!$B$235)</f>
        <v/>
      </c>
      <c r="Y2422">
        <f>IF(24&lt;='01_Вводные'!$B$235,0,INDEX('19_Расчет_аналитики'!$B$2387:$BO$2387,1,24-'01_Вводные'!$B$235)*'01_Вводные'!$B$14^'01_Вводные'!$B$235)</f>
        <v/>
      </c>
      <c r="Z2422">
        <f>IF(25&lt;='01_Вводные'!$B$235,0,INDEX('19_Расчет_аналитики'!$B$2387:$BO$2387,1,25-'01_Вводные'!$B$235)*'01_Вводные'!$B$14^'01_Вводные'!$B$235)</f>
        <v/>
      </c>
      <c r="AA2422">
        <f>IF(26&lt;='01_Вводные'!$B$235,0,INDEX('19_Расчет_аналитики'!$B$2387:$BO$2387,1,26-'01_Вводные'!$B$235)*'01_Вводные'!$B$14^'01_Вводные'!$B$235)</f>
        <v/>
      </c>
      <c r="AB2422">
        <f>IF(27&lt;='01_Вводные'!$B$235,0,INDEX('19_Расчет_аналитики'!$B$2387:$BO$2387,1,27-'01_Вводные'!$B$235)*'01_Вводные'!$B$14^'01_Вводные'!$B$235)</f>
        <v/>
      </c>
      <c r="AC2422">
        <f>IF(28&lt;='01_Вводные'!$B$235,0,INDEX('19_Расчет_аналитики'!$B$2387:$BO$2387,1,28-'01_Вводные'!$B$235)*'01_Вводные'!$B$14^'01_Вводные'!$B$235)</f>
        <v/>
      </c>
      <c r="AD2422">
        <f>IF(29&lt;='01_Вводные'!$B$235,0,INDEX('19_Расчет_аналитики'!$B$2387:$BO$2387,1,29-'01_Вводные'!$B$235)*'01_Вводные'!$B$14^'01_Вводные'!$B$235)</f>
        <v/>
      </c>
      <c r="AE2422">
        <f>IF(30&lt;='01_Вводные'!$B$235,0,INDEX('19_Расчет_аналитики'!$B$2387:$BO$2387,1,30-'01_Вводные'!$B$235)*'01_Вводные'!$B$14^'01_Вводные'!$B$235)</f>
        <v/>
      </c>
      <c r="AF2422">
        <f>IF(31&lt;='01_Вводные'!$B$235,0,INDEX('19_Расчет_аналитики'!$B$2387:$BO$2387,1,31-'01_Вводные'!$B$235)*'01_Вводные'!$B$14^'01_Вводные'!$B$235)</f>
        <v/>
      </c>
      <c r="AG2422">
        <f>IF(32&lt;='01_Вводные'!$B$235,0,INDEX('19_Расчет_аналитики'!$B$2387:$BO$2387,1,32-'01_Вводные'!$B$235)*'01_Вводные'!$B$14^'01_Вводные'!$B$235)</f>
        <v/>
      </c>
      <c r="AH2422">
        <f>IF(33&lt;='01_Вводные'!$B$235,0,INDEX('19_Расчет_аналитики'!$B$2387:$BO$2387,1,33-'01_Вводные'!$B$235)*'01_Вводные'!$B$14^'01_Вводные'!$B$235)</f>
        <v/>
      </c>
      <c r="AI2422">
        <f>IF(34&lt;='01_Вводные'!$B$235,0,INDEX('19_Расчет_аналитики'!$B$2387:$BO$2387,1,34-'01_Вводные'!$B$235)*'01_Вводные'!$B$14^'01_Вводные'!$B$235)</f>
        <v/>
      </c>
      <c r="AJ2422">
        <f>IF(35&lt;='01_Вводные'!$B$235,0,INDEX('19_Расчет_аналитики'!$B$2387:$BO$2387,1,35-'01_Вводные'!$B$235)*'01_Вводные'!$B$14^'01_Вводные'!$B$235)</f>
        <v/>
      </c>
      <c r="AK2422">
        <f>IF(36&lt;='01_Вводные'!$B$235,0,INDEX('19_Расчет_аналитики'!$B$2387:$BO$2387,1,36-'01_Вводные'!$B$235)*'01_Вводные'!$B$14^'01_Вводные'!$B$235)</f>
        <v/>
      </c>
      <c r="AL2422">
        <f>IF(37&lt;='01_Вводные'!$B$235,0,INDEX('19_Расчет_аналитики'!$B$2387:$BO$2387,1,37-'01_Вводные'!$B$235)*'01_Вводные'!$B$14^'01_Вводные'!$B$235)</f>
        <v/>
      </c>
      <c r="AM2422">
        <f>IF(38&lt;='01_Вводные'!$B$235,0,INDEX('19_Расчет_аналитики'!$B$2387:$BO$2387,1,38-'01_Вводные'!$B$235)*'01_Вводные'!$B$14^'01_Вводные'!$B$235)</f>
        <v/>
      </c>
      <c r="AN2422">
        <f>IF(39&lt;='01_Вводные'!$B$235,0,INDEX('19_Расчет_аналитики'!$B$2387:$BO$2387,1,39-'01_Вводные'!$B$235)*'01_Вводные'!$B$14^'01_Вводные'!$B$235)</f>
        <v/>
      </c>
      <c r="AO2422">
        <f>IF(40&lt;='01_Вводные'!$B$235,0,INDEX('19_Расчет_аналитики'!$B$2387:$BO$2387,1,40-'01_Вводные'!$B$235)*'01_Вводные'!$B$14^'01_Вводные'!$B$235)</f>
        <v/>
      </c>
      <c r="AP2422">
        <f>IF(41&lt;='01_Вводные'!$B$235,0,INDEX('19_Расчет_аналитики'!$B$2387:$BO$2387,1,41-'01_Вводные'!$B$235)*'01_Вводные'!$B$14^'01_Вводные'!$B$235)</f>
        <v/>
      </c>
      <c r="AQ2422">
        <f>IF(42&lt;='01_Вводные'!$B$235,0,INDEX('19_Расчет_аналитики'!$B$2387:$BO$2387,1,42-'01_Вводные'!$B$235)*'01_Вводные'!$B$14^'01_Вводные'!$B$235)</f>
        <v/>
      </c>
      <c r="AR2422">
        <f>IF(43&lt;='01_Вводные'!$B$235,0,INDEX('19_Расчет_аналитики'!$B$2387:$BO$2387,1,43-'01_Вводные'!$B$235)*'01_Вводные'!$B$14^'01_Вводные'!$B$235)</f>
        <v/>
      </c>
      <c r="AS2422">
        <f>IF(44&lt;='01_Вводные'!$B$235,0,INDEX('19_Расчет_аналитики'!$B$2387:$BO$2387,1,44-'01_Вводные'!$B$235)*'01_Вводные'!$B$14^'01_Вводные'!$B$235)</f>
        <v/>
      </c>
      <c r="AT2422">
        <f>IF(45&lt;='01_Вводные'!$B$235,0,INDEX('19_Расчет_аналитики'!$B$2387:$BO$2387,1,45-'01_Вводные'!$B$235)*'01_Вводные'!$B$14^'01_Вводные'!$B$235)</f>
        <v/>
      </c>
      <c r="AU2422">
        <f>IF(46&lt;='01_Вводные'!$B$235,0,INDEX('19_Расчет_аналитики'!$B$2387:$BO$2387,1,46-'01_Вводные'!$B$235)*'01_Вводные'!$B$14^'01_Вводные'!$B$235)</f>
        <v/>
      </c>
      <c r="AV2422">
        <f>IF(47&lt;='01_Вводные'!$B$235,0,INDEX('19_Расчет_аналитики'!$B$2387:$BO$2387,1,47-'01_Вводные'!$B$235)*'01_Вводные'!$B$14^'01_Вводные'!$B$235)</f>
        <v/>
      </c>
      <c r="AW2422">
        <f>IF(48&lt;='01_Вводные'!$B$235,0,INDEX('19_Расчет_аналитики'!$B$2387:$BO$2387,1,48-'01_Вводные'!$B$235)*'01_Вводные'!$B$14^'01_Вводные'!$B$235)</f>
        <v/>
      </c>
      <c r="AX2422">
        <f>IF(49&lt;='01_Вводные'!$B$235,0,INDEX('19_Расчет_аналитики'!$B$2387:$BO$2387,1,49-'01_Вводные'!$B$235)*'01_Вводные'!$B$14^'01_Вводные'!$B$235)</f>
        <v/>
      </c>
      <c r="AY2422">
        <f>IF(50&lt;='01_Вводные'!$B$235,0,INDEX('19_Расчет_аналитики'!$B$2387:$BO$2387,1,50-'01_Вводные'!$B$235)*'01_Вводные'!$B$14^'01_Вводные'!$B$235)</f>
        <v/>
      </c>
      <c r="AZ2422">
        <f>IF(51&lt;='01_Вводные'!$B$235,0,INDEX('19_Расчет_аналитики'!$B$2387:$BO$2387,1,51-'01_Вводные'!$B$235)*'01_Вводные'!$B$14^'01_Вводные'!$B$235)</f>
        <v/>
      </c>
      <c r="BA2422">
        <f>IF(52&lt;='01_Вводные'!$B$235,0,INDEX('19_Расчет_аналитики'!$B$2387:$BO$2387,1,52-'01_Вводные'!$B$235)*'01_Вводные'!$B$14^'01_Вводные'!$B$235)</f>
        <v/>
      </c>
      <c r="BB2422">
        <f>IF(53&lt;='01_Вводные'!$B$235,0,INDEX('19_Расчет_аналитики'!$B$2387:$BO$2387,1,53-'01_Вводные'!$B$235)*'01_Вводные'!$B$14^'01_Вводные'!$B$235)</f>
        <v/>
      </c>
      <c r="BC2422">
        <f>IF(54&lt;='01_Вводные'!$B$235,0,INDEX('19_Расчет_аналитики'!$B$2387:$BO$2387,1,54-'01_Вводные'!$B$235)*'01_Вводные'!$B$14^'01_Вводные'!$B$235)</f>
        <v/>
      </c>
      <c r="BD2422">
        <f>IF(55&lt;='01_Вводные'!$B$235,0,INDEX('19_Расчет_аналитики'!$B$2387:$BO$2387,1,55-'01_Вводные'!$B$235)*'01_Вводные'!$B$14^'01_Вводные'!$B$235)</f>
        <v/>
      </c>
      <c r="BE2422">
        <f>IF(56&lt;='01_Вводные'!$B$235,0,INDEX('19_Расчет_аналитики'!$B$2387:$BO$2387,1,56-'01_Вводные'!$B$235)*'01_Вводные'!$B$14^'01_Вводные'!$B$235)</f>
        <v/>
      </c>
      <c r="BF2422">
        <f>IF(57&lt;='01_Вводные'!$B$235,0,INDEX('19_Расчет_аналитики'!$B$2387:$BO$2387,1,57-'01_Вводные'!$B$235)*'01_Вводные'!$B$14^'01_Вводные'!$B$235)</f>
        <v/>
      </c>
      <c r="BG2422">
        <f>IF(58&lt;='01_Вводные'!$B$235,0,INDEX('19_Расчет_аналитики'!$B$2387:$BO$2387,1,58-'01_Вводные'!$B$235)*'01_Вводные'!$B$14^'01_Вводные'!$B$235)</f>
        <v/>
      </c>
      <c r="BH2422">
        <f>IF(59&lt;='01_Вводные'!$B$235,0,INDEX('19_Расчет_аналитики'!$B$2387:$BO$2387,1,59-'01_Вводные'!$B$235)*'01_Вводные'!$B$14^'01_Вводные'!$B$235)</f>
        <v/>
      </c>
      <c r="BI2422">
        <f>IF(60&lt;='01_Вводные'!$B$235,0,INDEX('19_Расчет_аналитики'!$B$2387:$BO$2387,1,60-'01_Вводные'!$B$235)*'01_Вводные'!$B$14^'01_Вводные'!$B$235)</f>
        <v/>
      </c>
      <c r="BJ2422">
        <f>IF(61&lt;='01_Вводные'!$B$235,0,INDEX('19_Расчет_аналитики'!$B$2387:$BO$2387,1,61-'01_Вводные'!$B$235)*'01_Вводные'!$B$14^'01_Вводные'!$B$235)</f>
        <v/>
      </c>
      <c r="BK2422">
        <f>IF(62&lt;='01_Вводные'!$B$235,0,INDEX('19_Расчет_аналитики'!$B$2387:$BO$2387,1,62-'01_Вводные'!$B$235)*'01_Вводные'!$B$14^'01_Вводные'!$B$235)</f>
        <v/>
      </c>
      <c r="BL2422">
        <f>IF(63&lt;='01_Вводные'!$B$235,0,INDEX('19_Расчет_аналитики'!$B$2387:$BO$2387,1,63-'01_Вводные'!$B$235)*'01_Вводные'!$B$14^'01_Вводные'!$B$235)</f>
        <v/>
      </c>
      <c r="BM2422">
        <f>IF(64&lt;='01_Вводные'!$B$235,0,INDEX('19_Расчет_аналитики'!$B$2387:$BO$2387,1,64-'01_Вводные'!$B$235)*'01_Вводные'!$B$14^'01_Вводные'!$B$235)</f>
        <v/>
      </c>
      <c r="BN2422">
        <f>IF(65&lt;='01_Вводные'!$B$235,0,INDEX('19_Расчет_аналитики'!$B$2387:$BO$2387,1,65-'01_Вводные'!$B$235)*'01_Вводные'!$B$14^'01_Вводные'!$B$235)</f>
        <v/>
      </c>
      <c r="BO2422">
        <f>IF(66&lt;='01_Вводные'!$B$235,0,INDEX('19_Расчет_аналитики'!$B$2387:$BO$2387,1,66-'01_Вводные'!$B$235)*'01_Вводные'!$B$14^'01_Вводные'!$B$235)</f>
        <v/>
      </c>
    </row>
    <row r="2423">
      <c r="B2423">
        <f>'19_Расчет_аналитики'!B2422</f>
        <v/>
      </c>
      <c r="C2423">
        <f>'19_Расчет_аналитики'!B2423*'01_Вводные'!$B$14+'19_Расчет_аналитики'!C2422</f>
        <v/>
      </c>
      <c r="D2423">
        <f>'19_Расчет_аналитики'!C2423*'01_Вводные'!$B$14+'19_Расчет_аналитики'!D2422</f>
        <v/>
      </c>
      <c r="E2423">
        <f>'19_Расчет_аналитики'!D2423*'01_Вводные'!$B$14+'19_Расчет_аналитики'!E2422</f>
        <v/>
      </c>
      <c r="F2423">
        <f>'19_Расчет_аналитики'!E2423*'01_Вводные'!$B$14+'19_Расчет_аналитики'!F2422</f>
        <v/>
      </c>
      <c r="G2423">
        <f>'19_Расчет_аналитики'!F2423*'01_Вводные'!$B$14+'19_Расчет_аналитики'!G2422</f>
        <v/>
      </c>
      <c r="H2423">
        <f>'19_Расчет_аналитики'!G2423*'01_Вводные'!$B$14+'19_Расчет_аналитики'!H2422</f>
        <v/>
      </c>
      <c r="I2423">
        <f>'19_Расчет_аналитики'!H2423*'01_Вводные'!$B$14+'19_Расчет_аналитики'!I2422</f>
        <v/>
      </c>
      <c r="J2423">
        <f>'19_Расчет_аналитики'!I2423*'01_Вводные'!$B$14+'19_Расчет_аналитики'!J2422</f>
        <v/>
      </c>
      <c r="K2423">
        <f>'19_Расчет_аналитики'!J2423*'01_Вводные'!$B$14+'19_Расчет_аналитики'!K2422</f>
        <v/>
      </c>
      <c r="L2423">
        <f>'19_Расчет_аналитики'!K2423*'01_Вводные'!$B$14+'19_Расчет_аналитики'!L2422</f>
        <v/>
      </c>
      <c r="M2423">
        <f>'19_Расчет_аналитики'!L2423*'01_Вводные'!$B$14+'19_Расчет_аналитики'!M2422</f>
        <v/>
      </c>
      <c r="N2423">
        <f>'19_Расчет_аналитики'!M2423*'01_Вводные'!$B$14+'19_Расчет_аналитики'!N2422</f>
        <v/>
      </c>
      <c r="O2423">
        <f>'19_Расчет_аналитики'!N2423*'01_Вводные'!$B$14+'19_Расчет_аналитики'!O2422</f>
        <v/>
      </c>
      <c r="P2423">
        <f>'19_Расчет_аналитики'!O2423*'01_Вводные'!$B$14+'19_Расчет_аналитики'!P2422</f>
        <v/>
      </c>
      <c r="Q2423">
        <f>'19_Расчет_аналитики'!P2423*'01_Вводные'!$B$14+'19_Расчет_аналитики'!Q2422</f>
        <v/>
      </c>
      <c r="R2423">
        <f>'19_Расчет_аналитики'!Q2423*'01_Вводные'!$B$14+'19_Расчет_аналитики'!R2422</f>
        <v/>
      </c>
      <c r="S2423">
        <f>'19_Расчет_аналитики'!R2423*'01_Вводные'!$B$14+'19_Расчет_аналитики'!S2422</f>
        <v/>
      </c>
      <c r="T2423">
        <f>'19_Расчет_аналитики'!S2423*'01_Вводные'!$B$14+'19_Расчет_аналитики'!T2422</f>
        <v/>
      </c>
      <c r="U2423">
        <f>'19_Расчет_аналитики'!T2423*'01_Вводные'!$B$14+'19_Расчет_аналитики'!U2422</f>
        <v/>
      </c>
      <c r="V2423">
        <f>'19_Расчет_аналитики'!U2423*'01_Вводные'!$B$14+'19_Расчет_аналитики'!V2422</f>
        <v/>
      </c>
      <c r="W2423">
        <f>'19_Расчет_аналитики'!V2423*'01_Вводные'!$B$14+'19_Расчет_аналитики'!W2422</f>
        <v/>
      </c>
      <c r="X2423">
        <f>'19_Расчет_аналитики'!W2423*'01_Вводные'!$B$14+'19_Расчет_аналитики'!X2422</f>
        <v/>
      </c>
      <c r="Y2423">
        <f>'19_Расчет_аналитики'!X2423*'01_Вводные'!$B$14+'19_Расчет_аналитики'!Y2422</f>
        <v/>
      </c>
      <c r="Z2423">
        <f>'19_Расчет_аналитики'!Y2423*'01_Вводные'!$B$14+'19_Расчет_аналитики'!Z2422</f>
        <v/>
      </c>
      <c r="AA2423">
        <f>'19_Расчет_аналитики'!Z2423*'01_Вводные'!$B$14+'19_Расчет_аналитики'!AA2422</f>
        <v/>
      </c>
      <c r="AB2423">
        <f>'19_Расчет_аналитики'!AA2423*'01_Вводные'!$B$14+'19_Расчет_аналитики'!AB2422</f>
        <v/>
      </c>
      <c r="AC2423">
        <f>'19_Расчет_аналитики'!AB2423*'01_Вводные'!$B$14+'19_Расчет_аналитики'!AC2422</f>
        <v/>
      </c>
      <c r="AD2423">
        <f>'19_Расчет_аналитики'!AC2423*'01_Вводные'!$B$14+'19_Расчет_аналитики'!AD2422</f>
        <v/>
      </c>
      <c r="AE2423">
        <f>'19_Расчет_аналитики'!AD2423*'01_Вводные'!$B$14+'19_Расчет_аналитики'!AE2422</f>
        <v/>
      </c>
      <c r="AF2423">
        <f>'19_Расчет_аналитики'!AE2423*'01_Вводные'!$B$14+'19_Расчет_аналитики'!AF2422</f>
        <v/>
      </c>
      <c r="AG2423">
        <f>'19_Расчет_аналитики'!AF2423*'01_Вводные'!$B$14+'19_Расчет_аналитики'!AG2422</f>
        <v/>
      </c>
      <c r="AH2423">
        <f>'19_Расчет_аналитики'!AG2423*'01_Вводные'!$B$14+'19_Расчет_аналитики'!AH2422</f>
        <v/>
      </c>
      <c r="AI2423">
        <f>'19_Расчет_аналитики'!AH2423*'01_Вводные'!$B$14+'19_Расчет_аналитики'!AI2422</f>
        <v/>
      </c>
      <c r="AJ2423">
        <f>'19_Расчет_аналитики'!AI2423*'01_Вводные'!$B$14+'19_Расчет_аналитики'!AJ2422</f>
        <v/>
      </c>
      <c r="AK2423">
        <f>'19_Расчет_аналитики'!AJ2423*'01_Вводные'!$B$14+'19_Расчет_аналитики'!AK2422</f>
        <v/>
      </c>
      <c r="AL2423">
        <f>'19_Расчет_аналитики'!AK2423*'01_Вводные'!$B$14+'19_Расчет_аналитики'!AL2422</f>
        <v/>
      </c>
      <c r="AM2423">
        <f>'19_Расчет_аналитики'!AL2423*'01_Вводные'!$B$14+'19_Расчет_аналитики'!AM2422</f>
        <v/>
      </c>
      <c r="AN2423">
        <f>'19_Расчет_аналитики'!AM2423*'01_Вводные'!$B$14+'19_Расчет_аналитики'!AN2422</f>
        <v/>
      </c>
      <c r="AO2423">
        <f>'19_Расчет_аналитики'!AN2423*'01_Вводные'!$B$14+'19_Расчет_аналитики'!AO2422</f>
        <v/>
      </c>
      <c r="AP2423">
        <f>'19_Расчет_аналитики'!AO2423*'01_Вводные'!$B$14+'19_Расчет_аналитики'!AP2422</f>
        <v/>
      </c>
      <c r="AQ2423">
        <f>'19_Расчет_аналитики'!AP2423*'01_Вводные'!$B$14+'19_Расчет_аналитики'!AQ2422</f>
        <v/>
      </c>
      <c r="AR2423">
        <f>'19_Расчет_аналитики'!AQ2423*'01_Вводные'!$B$14+'19_Расчет_аналитики'!AR2422</f>
        <v/>
      </c>
      <c r="AS2423">
        <f>'19_Расчет_аналитики'!AR2423*'01_Вводные'!$B$14+'19_Расчет_аналитики'!AS2422</f>
        <v/>
      </c>
      <c r="AT2423">
        <f>'19_Расчет_аналитики'!AS2423*'01_Вводные'!$B$14+'19_Расчет_аналитики'!AT2422</f>
        <v/>
      </c>
      <c r="AU2423">
        <f>'19_Расчет_аналитики'!AT2423*'01_Вводные'!$B$14+'19_Расчет_аналитики'!AU2422</f>
        <v/>
      </c>
      <c r="AV2423">
        <f>'19_Расчет_аналитики'!AU2423*'01_Вводные'!$B$14+'19_Расчет_аналитики'!AV2422</f>
        <v/>
      </c>
      <c r="AW2423">
        <f>'19_Расчет_аналитики'!AV2423*'01_Вводные'!$B$14+'19_Расчет_аналитики'!AW2422</f>
        <v/>
      </c>
      <c r="AX2423">
        <f>'19_Расчет_аналитики'!AW2423*'01_Вводные'!$B$14+'19_Расчет_аналитики'!AX2422</f>
        <v/>
      </c>
      <c r="AY2423">
        <f>'19_Расчет_аналитики'!AX2423*'01_Вводные'!$B$14+'19_Расчет_аналитики'!AY2422</f>
        <v/>
      </c>
      <c r="AZ2423">
        <f>'19_Расчет_аналитики'!AY2423*'01_Вводные'!$B$14+'19_Расчет_аналитики'!AZ2422</f>
        <v/>
      </c>
      <c r="BA2423">
        <f>'19_Расчет_аналитики'!AZ2423*'01_Вводные'!$B$14+'19_Расчет_аналитики'!BA2422</f>
        <v/>
      </c>
      <c r="BB2423">
        <f>'19_Расчет_аналитики'!BA2423*'01_Вводные'!$B$14+'19_Расчет_аналитики'!BB2422</f>
        <v/>
      </c>
      <c r="BC2423">
        <f>'19_Расчет_аналитики'!BB2423*'01_Вводные'!$B$14+'19_Расчет_аналитики'!BC2422</f>
        <v/>
      </c>
      <c r="BD2423">
        <f>'19_Расчет_аналитики'!BC2423*'01_Вводные'!$B$14+'19_Расчет_аналитики'!BD2422</f>
        <v/>
      </c>
      <c r="BE2423">
        <f>'19_Расчет_аналитики'!BD2423*'01_Вводные'!$B$14+'19_Расчет_аналитики'!BE2422</f>
        <v/>
      </c>
      <c r="BF2423">
        <f>'19_Расчет_аналитики'!BE2423*'01_Вводные'!$B$14+'19_Расчет_аналитики'!BF2422</f>
        <v/>
      </c>
      <c r="BG2423">
        <f>'19_Расчет_аналитики'!BF2423*'01_Вводные'!$B$14+'19_Расчет_аналитики'!BG2422</f>
        <v/>
      </c>
      <c r="BH2423">
        <f>'19_Расчет_аналитики'!BG2423*'01_Вводные'!$B$14+'19_Расчет_аналитики'!BH2422</f>
        <v/>
      </c>
      <c r="BI2423">
        <f>'19_Расчет_аналитики'!BH2423*'01_Вводные'!$B$14+'19_Расчет_аналитики'!BI2422</f>
        <v/>
      </c>
      <c r="BJ2423">
        <f>'19_Расчет_аналитики'!BI2423*'01_Вводные'!$B$14+'19_Расчет_аналитики'!BJ2422</f>
        <v/>
      </c>
      <c r="BK2423">
        <f>'19_Расчет_аналитики'!BJ2423*'01_Вводные'!$B$14+'19_Расчет_аналитики'!BK2422</f>
        <v/>
      </c>
      <c r="BL2423">
        <f>'19_Расчет_аналитики'!BK2423*'01_Вводные'!$B$14+'19_Расчет_аналитики'!BL2422</f>
        <v/>
      </c>
      <c r="BM2423">
        <f>'19_Расчет_аналитики'!BL2423*'01_Вводные'!$B$14+'19_Расчет_аналитики'!BM2422</f>
        <v/>
      </c>
      <c r="BN2423">
        <f>'19_Расчет_аналитики'!BM2423*'01_Вводные'!$B$14+'19_Расчет_аналитики'!BN2422</f>
        <v/>
      </c>
      <c r="BO2423">
        <f>'19_Расчет_аналитики'!BN2423*'01_Вводные'!$B$14+'19_Расчет_аналитики'!BO2422</f>
        <v/>
      </c>
    </row>
    <row r="2424"/>
    <row r="2425"/>
    <row r="2426"/>
    <row r="2427"/>
    <row r="2428"/>
    <row r="2429"/>
    <row r="2430"/>
    <row r="2431"/>
    <row r="2432">
      <c r="B2432">
        <f>'19_Расчет_аналитики'!B2387</f>
        <v/>
      </c>
      <c r="C2432">
        <f>'19_Расчет_аналитики'!C2387</f>
        <v/>
      </c>
      <c r="D2432">
        <f>'19_Расчет_аналитики'!D2387</f>
        <v/>
      </c>
      <c r="E2432">
        <f>'19_Расчет_аналитики'!E2387</f>
        <v/>
      </c>
      <c r="F2432">
        <f>'19_Расчет_аналитики'!F2387</f>
        <v/>
      </c>
      <c r="G2432">
        <f>'19_Расчет_аналитики'!G2387</f>
        <v/>
      </c>
      <c r="H2432">
        <f>'19_Расчет_аналитики'!H2387</f>
        <v/>
      </c>
      <c r="I2432">
        <f>'19_Расчет_аналитики'!I2387</f>
        <v/>
      </c>
      <c r="J2432">
        <f>'19_Расчет_аналитики'!J2387</f>
        <v/>
      </c>
      <c r="K2432">
        <f>'19_Расчет_аналитики'!K2387</f>
        <v/>
      </c>
      <c r="L2432">
        <f>'19_Расчет_аналитики'!L2387</f>
        <v/>
      </c>
      <c r="M2432">
        <f>'19_Расчет_аналитики'!M2387</f>
        <v/>
      </c>
      <c r="N2432">
        <f>'19_Расчет_аналитики'!N2387</f>
        <v/>
      </c>
      <c r="O2432">
        <f>'19_Расчет_аналитики'!O2387</f>
        <v/>
      </c>
      <c r="P2432">
        <f>'19_Расчет_аналитики'!P2387</f>
        <v/>
      </c>
      <c r="Q2432">
        <f>'19_Расчет_аналитики'!Q2387</f>
        <v/>
      </c>
      <c r="R2432">
        <f>'19_Расчет_аналитики'!R2387</f>
        <v/>
      </c>
      <c r="S2432">
        <f>'19_Расчет_аналитики'!S2387</f>
        <v/>
      </c>
      <c r="T2432">
        <f>'19_Расчет_аналитики'!T2387</f>
        <v/>
      </c>
      <c r="U2432">
        <f>'19_Расчет_аналитики'!U2387</f>
        <v/>
      </c>
      <c r="V2432">
        <f>'19_Расчет_аналитики'!V2387</f>
        <v/>
      </c>
      <c r="W2432">
        <f>'19_Расчет_аналитики'!W2387</f>
        <v/>
      </c>
      <c r="X2432">
        <f>'19_Расчет_аналитики'!X2387</f>
        <v/>
      </c>
      <c r="Y2432">
        <f>'19_Расчет_аналитики'!Y2387</f>
        <v/>
      </c>
      <c r="Z2432">
        <f>'19_Расчет_аналитики'!Z2387</f>
        <v/>
      </c>
      <c r="AA2432">
        <f>'19_Расчет_аналитики'!AA2387</f>
        <v/>
      </c>
      <c r="AB2432">
        <f>'19_Расчет_аналитики'!AB2387</f>
        <v/>
      </c>
      <c r="AC2432">
        <f>'19_Расчет_аналитики'!AC2387</f>
        <v/>
      </c>
      <c r="AD2432">
        <f>'19_Расчет_аналитики'!AD2387</f>
        <v/>
      </c>
      <c r="AE2432">
        <f>'19_Расчет_аналитики'!AE2387</f>
        <v/>
      </c>
      <c r="AF2432">
        <f>'19_Расчет_аналитики'!AF2387</f>
        <v/>
      </c>
      <c r="AG2432">
        <f>'19_Расчет_аналитики'!AG2387</f>
        <v/>
      </c>
      <c r="AH2432">
        <f>'19_Расчет_аналитики'!AH2387</f>
        <v/>
      </c>
      <c r="AI2432">
        <f>'19_Расчет_аналитики'!AI2387</f>
        <v/>
      </c>
      <c r="AJ2432">
        <f>'19_Расчет_аналитики'!AJ2387</f>
        <v/>
      </c>
      <c r="AK2432">
        <f>'19_Расчет_аналитики'!AK2387</f>
        <v/>
      </c>
      <c r="AL2432">
        <f>'19_Расчет_аналитики'!AL2387</f>
        <v/>
      </c>
      <c r="AM2432">
        <f>'19_Расчет_аналитики'!AM2387</f>
        <v/>
      </c>
      <c r="AN2432">
        <f>'19_Расчет_аналитики'!AN2387</f>
        <v/>
      </c>
      <c r="AO2432">
        <f>'19_Расчет_аналитики'!AO2387</f>
        <v/>
      </c>
      <c r="AP2432">
        <f>'19_Расчет_аналитики'!AP2387</f>
        <v/>
      </c>
      <c r="AQ2432">
        <f>'19_Расчет_аналитики'!AQ2387</f>
        <v/>
      </c>
      <c r="AR2432">
        <f>'19_Расчет_аналитики'!AR2387</f>
        <v/>
      </c>
      <c r="AS2432">
        <f>'19_Расчет_аналитики'!AS2387</f>
        <v/>
      </c>
      <c r="AT2432">
        <f>'19_Расчет_аналитики'!AT2387</f>
        <v/>
      </c>
      <c r="AU2432">
        <f>'19_Расчет_аналитики'!AU2387</f>
        <v/>
      </c>
      <c r="AV2432">
        <f>'19_Расчет_аналитики'!AV2387</f>
        <v/>
      </c>
      <c r="AW2432">
        <f>'19_Расчет_аналитики'!AW2387</f>
        <v/>
      </c>
      <c r="AX2432">
        <f>'19_Расчет_аналитики'!AX2387</f>
        <v/>
      </c>
      <c r="AY2432">
        <f>'19_Расчет_аналитики'!AY2387</f>
        <v/>
      </c>
      <c r="AZ2432">
        <f>'19_Расчет_аналитики'!AZ2387</f>
        <v/>
      </c>
      <c r="BA2432">
        <f>'19_Расчет_аналитики'!BA2387</f>
        <v/>
      </c>
      <c r="BB2432">
        <f>'19_Расчет_аналитики'!BB2387</f>
        <v/>
      </c>
      <c r="BC2432">
        <f>'19_Расчет_аналитики'!BC2387</f>
        <v/>
      </c>
      <c r="BD2432">
        <f>'19_Расчет_аналитики'!BD2387</f>
        <v/>
      </c>
      <c r="BE2432">
        <f>'19_Расчет_аналитики'!BE2387</f>
        <v/>
      </c>
      <c r="BF2432">
        <f>'19_Расчет_аналитики'!BF2387</f>
        <v/>
      </c>
      <c r="BG2432">
        <f>'19_Расчет_аналитики'!BG2387</f>
        <v/>
      </c>
      <c r="BH2432">
        <f>'19_Расчет_аналитики'!BH2387</f>
        <v/>
      </c>
      <c r="BI2432">
        <f>'19_Расчет_аналитики'!BI2387</f>
        <v/>
      </c>
      <c r="BJ2432">
        <f>'19_Расчет_аналитики'!BJ2387</f>
        <v/>
      </c>
      <c r="BK2432">
        <f>'19_Расчет_аналитики'!BK2387</f>
        <v/>
      </c>
      <c r="BL2432">
        <f>'19_Расчет_аналитики'!BL2387</f>
        <v/>
      </c>
      <c r="BM2432">
        <f>'19_Расчет_аналитики'!BM2387</f>
        <v/>
      </c>
      <c r="BN2432">
        <f>'19_Расчет_аналитики'!BN2387</f>
        <v/>
      </c>
      <c r="BO2432">
        <f>'19_Расчет_аналитики'!BO2387</f>
        <v/>
      </c>
    </row>
    <row r="2433">
      <c r="B2433">
        <f>'06_Сеть_и_дети'!B54</f>
        <v/>
      </c>
      <c r="C2433">
        <f>'19_Расчет_аналитики'!B2432*'01_Вводные'!$B$14</f>
        <v/>
      </c>
      <c r="D2433">
        <f>'19_Расчет_аналитики'!C2432*'01_Вводные'!$B$14</f>
        <v/>
      </c>
      <c r="E2433">
        <f>'19_Расчет_аналитики'!D2432*'01_Вводные'!$B$14</f>
        <v/>
      </c>
      <c r="F2433">
        <f>'19_Расчет_аналитики'!E2432*'01_Вводные'!$B$14</f>
        <v/>
      </c>
      <c r="G2433">
        <f>'19_Расчет_аналитики'!F2432*'01_Вводные'!$B$14</f>
        <v/>
      </c>
      <c r="H2433">
        <f>'19_Расчет_аналитики'!G2432*'01_Вводные'!$B$14</f>
        <v/>
      </c>
      <c r="I2433">
        <f>'19_Расчет_аналитики'!H2432*'01_Вводные'!$B$14</f>
        <v/>
      </c>
      <c r="J2433">
        <f>'19_Расчет_аналитики'!I2432*'01_Вводные'!$B$14</f>
        <v/>
      </c>
      <c r="K2433">
        <f>'19_Расчет_аналитики'!J2432*'01_Вводные'!$B$14</f>
        <v/>
      </c>
      <c r="L2433">
        <f>'19_Расчет_аналитики'!K2432*'01_Вводные'!$B$14</f>
        <v/>
      </c>
      <c r="M2433">
        <f>'19_Расчет_аналитики'!L2432*'01_Вводные'!$B$14</f>
        <v/>
      </c>
      <c r="N2433">
        <f>'19_Расчет_аналитики'!M2432*'01_Вводные'!$B$14</f>
        <v/>
      </c>
      <c r="O2433">
        <f>'19_Расчет_аналитики'!N2432*'01_Вводные'!$B$14</f>
        <v/>
      </c>
      <c r="P2433">
        <f>'19_Расчет_аналитики'!O2432*'01_Вводные'!$B$14</f>
        <v/>
      </c>
      <c r="Q2433">
        <f>'19_Расчет_аналитики'!P2432*'01_Вводные'!$B$14</f>
        <v/>
      </c>
      <c r="R2433">
        <f>'19_Расчет_аналитики'!Q2432*'01_Вводные'!$B$14</f>
        <v/>
      </c>
      <c r="S2433">
        <f>'19_Расчет_аналитики'!R2432*'01_Вводные'!$B$14</f>
        <v/>
      </c>
      <c r="T2433">
        <f>'19_Расчет_аналитики'!S2432*'01_Вводные'!$B$14</f>
        <v/>
      </c>
      <c r="U2433">
        <f>'19_Расчет_аналитики'!T2432*'01_Вводные'!$B$14</f>
        <v/>
      </c>
      <c r="V2433">
        <f>'19_Расчет_аналитики'!U2432*'01_Вводные'!$B$14</f>
        <v/>
      </c>
      <c r="W2433">
        <f>'19_Расчет_аналитики'!V2432*'01_Вводные'!$B$14</f>
        <v/>
      </c>
      <c r="X2433">
        <f>'19_Расчет_аналитики'!W2432*'01_Вводные'!$B$14</f>
        <v/>
      </c>
      <c r="Y2433">
        <f>'19_Расчет_аналитики'!X2432*'01_Вводные'!$B$14</f>
        <v/>
      </c>
      <c r="Z2433">
        <f>'19_Расчет_аналитики'!Y2432*'01_Вводные'!$B$14</f>
        <v/>
      </c>
      <c r="AA2433">
        <f>'19_Расчет_аналитики'!Z2432*'01_Вводные'!$B$14</f>
        <v/>
      </c>
      <c r="AB2433">
        <f>'19_Расчет_аналитики'!AA2432*'01_Вводные'!$B$14</f>
        <v/>
      </c>
      <c r="AC2433">
        <f>'19_Расчет_аналитики'!AB2432*'01_Вводные'!$B$14</f>
        <v/>
      </c>
      <c r="AD2433">
        <f>'19_Расчет_аналитики'!AC2432*'01_Вводные'!$B$14</f>
        <v/>
      </c>
      <c r="AE2433">
        <f>'19_Расчет_аналитики'!AD2432*'01_Вводные'!$B$14</f>
        <v/>
      </c>
      <c r="AF2433">
        <f>'19_Расчет_аналитики'!AE2432*'01_Вводные'!$B$14</f>
        <v/>
      </c>
      <c r="AG2433">
        <f>'19_Расчет_аналитики'!AF2432*'01_Вводные'!$B$14</f>
        <v/>
      </c>
      <c r="AH2433">
        <f>'19_Расчет_аналитики'!AG2432*'01_Вводные'!$B$14</f>
        <v/>
      </c>
      <c r="AI2433">
        <f>'19_Расчет_аналитики'!AH2432*'01_Вводные'!$B$14</f>
        <v/>
      </c>
      <c r="AJ2433">
        <f>'19_Расчет_аналитики'!AI2432*'01_Вводные'!$B$14</f>
        <v/>
      </c>
      <c r="AK2433">
        <f>'19_Расчет_аналитики'!AJ2432*'01_Вводные'!$B$14</f>
        <v/>
      </c>
      <c r="AL2433">
        <f>'19_Расчет_аналитики'!AK2432*'01_Вводные'!$B$14</f>
        <v/>
      </c>
      <c r="AM2433">
        <f>'19_Расчет_аналитики'!AL2432*'01_Вводные'!$B$14</f>
        <v/>
      </c>
      <c r="AN2433">
        <f>'19_Расчет_аналитики'!AM2432*'01_Вводные'!$B$14</f>
        <v/>
      </c>
      <c r="AO2433">
        <f>'19_Расчет_аналитики'!AN2432*'01_Вводные'!$B$14</f>
        <v/>
      </c>
      <c r="AP2433">
        <f>'19_Расчет_аналитики'!AO2432*'01_Вводные'!$B$14</f>
        <v/>
      </c>
      <c r="AQ2433">
        <f>'19_Расчет_аналитики'!AP2432*'01_Вводные'!$B$14</f>
        <v/>
      </c>
      <c r="AR2433">
        <f>'19_Расчет_аналитики'!AQ2432*'01_Вводные'!$B$14</f>
        <v/>
      </c>
      <c r="AS2433">
        <f>'19_Расчет_аналитики'!AR2432*'01_Вводные'!$B$14</f>
        <v/>
      </c>
      <c r="AT2433">
        <f>'19_Расчет_аналитики'!AS2432*'01_Вводные'!$B$14</f>
        <v/>
      </c>
      <c r="AU2433">
        <f>'19_Расчет_аналитики'!AT2432*'01_Вводные'!$B$14</f>
        <v/>
      </c>
      <c r="AV2433">
        <f>'19_Расчет_аналитики'!AU2432*'01_Вводные'!$B$14</f>
        <v/>
      </c>
      <c r="AW2433">
        <f>'19_Расчет_аналитики'!AV2432*'01_Вводные'!$B$14</f>
        <v/>
      </c>
      <c r="AX2433">
        <f>'19_Расчет_аналитики'!AW2432*'01_Вводные'!$B$14</f>
        <v/>
      </c>
      <c r="AY2433">
        <f>'19_Расчет_аналитики'!AX2432*'01_Вводные'!$B$14</f>
        <v/>
      </c>
      <c r="AZ2433">
        <f>'19_Расчет_аналитики'!AY2432*'01_Вводные'!$B$14</f>
        <v/>
      </c>
      <c r="BA2433">
        <f>'19_Расчет_аналитики'!AZ2432*'01_Вводные'!$B$14</f>
        <v/>
      </c>
      <c r="BB2433">
        <f>'19_Расчет_аналитики'!BA2432*'01_Вводные'!$B$14</f>
        <v/>
      </c>
      <c r="BC2433">
        <f>'19_Расчет_аналитики'!BB2432*'01_Вводные'!$B$14</f>
        <v/>
      </c>
      <c r="BD2433">
        <f>'19_Расчет_аналитики'!BC2432*'01_Вводные'!$B$14</f>
        <v/>
      </c>
      <c r="BE2433">
        <f>'19_Расчет_аналитики'!BD2432*'01_Вводные'!$B$14</f>
        <v/>
      </c>
      <c r="BF2433">
        <f>'19_Расчет_аналитики'!BE2432*'01_Вводные'!$B$14</f>
        <v/>
      </c>
      <c r="BG2433">
        <f>'19_Расчет_аналитики'!BF2432*'01_Вводные'!$B$14</f>
        <v/>
      </c>
      <c r="BH2433">
        <f>'19_Расчет_аналитики'!BG2432*'01_Вводные'!$B$14</f>
        <v/>
      </c>
      <c r="BI2433">
        <f>'19_Расчет_аналитики'!BH2432*'01_Вводные'!$B$14</f>
        <v/>
      </c>
      <c r="BJ2433">
        <f>'19_Расчет_аналитики'!BI2432*'01_Вводные'!$B$14</f>
        <v/>
      </c>
      <c r="BK2433">
        <f>'19_Расчет_аналитики'!BJ2432*'01_Вводные'!$B$14</f>
        <v/>
      </c>
      <c r="BL2433">
        <f>'19_Расчет_аналитики'!BK2432*'01_Вводные'!$B$14</f>
        <v/>
      </c>
      <c r="BM2433">
        <f>'19_Расчет_аналитики'!BL2432*'01_Вводные'!$B$14</f>
        <v/>
      </c>
      <c r="BN2433">
        <f>'19_Расчет_аналитики'!BM2432*'01_Вводные'!$B$14</f>
        <v/>
      </c>
      <c r="BO2433">
        <f>'19_Расчет_аналитики'!BN2432*'01_Вводные'!$B$14</f>
        <v/>
      </c>
    </row>
    <row r="2434">
      <c r="B2434">
        <f>'06_Сеть_и_дети'!B55</f>
        <v/>
      </c>
      <c r="C2434">
        <f>'06_Сеть_и_дети'!C55</f>
        <v/>
      </c>
      <c r="D2434">
        <f>'19_Расчет_аналитики'!C2433*'01_Вводные'!$B$14</f>
        <v/>
      </c>
      <c r="E2434">
        <f>'19_Расчет_аналитики'!D2433*'01_Вводные'!$B$14</f>
        <v/>
      </c>
      <c r="F2434">
        <f>'19_Расчет_аналитики'!E2433*'01_Вводные'!$B$14</f>
        <v/>
      </c>
      <c r="G2434">
        <f>'19_Расчет_аналитики'!F2433*'01_Вводные'!$B$14</f>
        <v/>
      </c>
      <c r="H2434">
        <f>'19_Расчет_аналитики'!G2433*'01_Вводные'!$B$14</f>
        <v/>
      </c>
      <c r="I2434">
        <f>'19_Расчет_аналитики'!H2433*'01_Вводные'!$B$14</f>
        <v/>
      </c>
      <c r="J2434">
        <f>'19_Расчет_аналитики'!I2433*'01_Вводные'!$B$14</f>
        <v/>
      </c>
      <c r="K2434">
        <f>'19_Расчет_аналитики'!J2433*'01_Вводные'!$B$14</f>
        <v/>
      </c>
      <c r="L2434">
        <f>'19_Расчет_аналитики'!K2433*'01_Вводные'!$B$14</f>
        <v/>
      </c>
      <c r="M2434">
        <f>'19_Расчет_аналитики'!L2433*'01_Вводные'!$B$14</f>
        <v/>
      </c>
      <c r="N2434">
        <f>'19_Расчет_аналитики'!M2433*'01_Вводные'!$B$14</f>
        <v/>
      </c>
      <c r="O2434">
        <f>'19_Расчет_аналитики'!N2433*'01_Вводные'!$B$14</f>
        <v/>
      </c>
      <c r="P2434">
        <f>'19_Расчет_аналитики'!O2433*'01_Вводные'!$B$14</f>
        <v/>
      </c>
      <c r="Q2434">
        <f>'19_Расчет_аналитики'!P2433*'01_Вводные'!$B$14</f>
        <v/>
      </c>
      <c r="R2434">
        <f>'19_Расчет_аналитики'!Q2433*'01_Вводные'!$B$14</f>
        <v/>
      </c>
      <c r="S2434">
        <f>'19_Расчет_аналитики'!R2433*'01_Вводные'!$B$14</f>
        <v/>
      </c>
      <c r="T2434">
        <f>'19_Расчет_аналитики'!S2433*'01_Вводные'!$B$14</f>
        <v/>
      </c>
      <c r="U2434">
        <f>'19_Расчет_аналитики'!T2433*'01_Вводные'!$B$14</f>
        <v/>
      </c>
      <c r="V2434">
        <f>'19_Расчет_аналитики'!U2433*'01_Вводные'!$B$14</f>
        <v/>
      </c>
      <c r="W2434">
        <f>'19_Расчет_аналитики'!V2433*'01_Вводные'!$B$14</f>
        <v/>
      </c>
      <c r="X2434">
        <f>'19_Расчет_аналитики'!W2433*'01_Вводные'!$B$14</f>
        <v/>
      </c>
      <c r="Y2434">
        <f>'19_Расчет_аналитики'!X2433*'01_Вводные'!$B$14</f>
        <v/>
      </c>
      <c r="Z2434">
        <f>'19_Расчет_аналитики'!Y2433*'01_Вводные'!$B$14</f>
        <v/>
      </c>
      <c r="AA2434">
        <f>'19_Расчет_аналитики'!Z2433*'01_Вводные'!$B$14</f>
        <v/>
      </c>
      <c r="AB2434">
        <f>'19_Расчет_аналитики'!AA2433*'01_Вводные'!$B$14</f>
        <v/>
      </c>
      <c r="AC2434">
        <f>'19_Расчет_аналитики'!AB2433*'01_Вводные'!$B$14</f>
        <v/>
      </c>
      <c r="AD2434">
        <f>'19_Расчет_аналитики'!AC2433*'01_Вводные'!$B$14</f>
        <v/>
      </c>
      <c r="AE2434">
        <f>'19_Расчет_аналитики'!AD2433*'01_Вводные'!$B$14</f>
        <v/>
      </c>
      <c r="AF2434">
        <f>'19_Расчет_аналитики'!AE2433*'01_Вводные'!$B$14</f>
        <v/>
      </c>
      <c r="AG2434">
        <f>'19_Расчет_аналитики'!AF2433*'01_Вводные'!$B$14</f>
        <v/>
      </c>
      <c r="AH2434">
        <f>'19_Расчет_аналитики'!AG2433*'01_Вводные'!$B$14</f>
        <v/>
      </c>
      <c r="AI2434">
        <f>'19_Расчет_аналитики'!AH2433*'01_Вводные'!$B$14</f>
        <v/>
      </c>
      <c r="AJ2434">
        <f>'19_Расчет_аналитики'!AI2433*'01_Вводные'!$B$14</f>
        <v/>
      </c>
      <c r="AK2434">
        <f>'19_Расчет_аналитики'!AJ2433*'01_Вводные'!$B$14</f>
        <v/>
      </c>
      <c r="AL2434">
        <f>'19_Расчет_аналитики'!AK2433*'01_Вводные'!$B$14</f>
        <v/>
      </c>
      <c r="AM2434">
        <f>'19_Расчет_аналитики'!AL2433*'01_Вводные'!$B$14</f>
        <v/>
      </c>
      <c r="AN2434">
        <f>'19_Расчет_аналитики'!AM2433*'01_Вводные'!$B$14</f>
        <v/>
      </c>
      <c r="AO2434">
        <f>'19_Расчет_аналитики'!AN2433*'01_Вводные'!$B$14</f>
        <v/>
      </c>
      <c r="AP2434">
        <f>'19_Расчет_аналитики'!AO2433*'01_Вводные'!$B$14</f>
        <v/>
      </c>
      <c r="AQ2434">
        <f>'19_Расчет_аналитики'!AP2433*'01_Вводные'!$B$14</f>
        <v/>
      </c>
      <c r="AR2434">
        <f>'19_Расчет_аналитики'!AQ2433*'01_Вводные'!$B$14</f>
        <v/>
      </c>
      <c r="AS2434">
        <f>'19_Расчет_аналитики'!AR2433*'01_Вводные'!$B$14</f>
        <v/>
      </c>
      <c r="AT2434">
        <f>'19_Расчет_аналитики'!AS2433*'01_Вводные'!$B$14</f>
        <v/>
      </c>
      <c r="AU2434">
        <f>'19_Расчет_аналитики'!AT2433*'01_Вводные'!$B$14</f>
        <v/>
      </c>
      <c r="AV2434">
        <f>'19_Расчет_аналитики'!AU2433*'01_Вводные'!$B$14</f>
        <v/>
      </c>
      <c r="AW2434">
        <f>'19_Расчет_аналитики'!AV2433*'01_Вводные'!$B$14</f>
        <v/>
      </c>
      <c r="AX2434">
        <f>'19_Расчет_аналитики'!AW2433*'01_Вводные'!$B$14</f>
        <v/>
      </c>
      <c r="AY2434">
        <f>'19_Расчет_аналитики'!AX2433*'01_Вводные'!$B$14</f>
        <v/>
      </c>
      <c r="AZ2434">
        <f>'19_Расчет_аналитики'!AY2433*'01_Вводные'!$B$14</f>
        <v/>
      </c>
      <c r="BA2434">
        <f>'19_Расчет_аналитики'!AZ2433*'01_Вводные'!$B$14</f>
        <v/>
      </c>
      <c r="BB2434">
        <f>'19_Расчет_аналитики'!BA2433*'01_Вводные'!$B$14</f>
        <v/>
      </c>
      <c r="BC2434">
        <f>'19_Расчет_аналитики'!BB2433*'01_Вводные'!$B$14</f>
        <v/>
      </c>
      <c r="BD2434">
        <f>'19_Расчет_аналитики'!BC2433*'01_Вводные'!$B$14</f>
        <v/>
      </c>
      <c r="BE2434">
        <f>'19_Расчет_аналитики'!BD2433*'01_Вводные'!$B$14</f>
        <v/>
      </c>
      <c r="BF2434">
        <f>'19_Расчет_аналитики'!BE2433*'01_Вводные'!$B$14</f>
        <v/>
      </c>
      <c r="BG2434">
        <f>'19_Расчет_аналитики'!BF2433*'01_Вводные'!$B$14</f>
        <v/>
      </c>
      <c r="BH2434">
        <f>'19_Расчет_аналитики'!BG2433*'01_Вводные'!$B$14</f>
        <v/>
      </c>
      <c r="BI2434">
        <f>'19_Расчет_аналитики'!BH2433*'01_Вводные'!$B$14</f>
        <v/>
      </c>
      <c r="BJ2434">
        <f>'19_Расчет_аналитики'!BI2433*'01_Вводные'!$B$14</f>
        <v/>
      </c>
      <c r="BK2434">
        <f>'19_Расчет_аналитики'!BJ2433*'01_Вводные'!$B$14</f>
        <v/>
      </c>
      <c r="BL2434">
        <f>'19_Расчет_аналитики'!BK2433*'01_Вводные'!$B$14</f>
        <v/>
      </c>
      <c r="BM2434">
        <f>'19_Расчет_аналитики'!BL2433*'01_Вводные'!$B$14</f>
        <v/>
      </c>
      <c r="BN2434">
        <f>'19_Расчет_аналитики'!BM2433*'01_Вводные'!$B$14</f>
        <v/>
      </c>
      <c r="BO2434">
        <f>'19_Расчет_аналитики'!BN2433*'01_Вводные'!$B$14</f>
        <v/>
      </c>
    </row>
    <row r="2435">
      <c r="B2435">
        <f>'06_Сеть_и_дети'!B56</f>
        <v/>
      </c>
      <c r="C2435">
        <f>'06_Сеть_и_дети'!C56</f>
        <v/>
      </c>
      <c r="D2435">
        <f>'06_Сеть_и_дети'!D56</f>
        <v/>
      </c>
      <c r="E2435">
        <f>'19_Расчет_аналитики'!D2434*'01_Вводные'!$B$14</f>
        <v/>
      </c>
      <c r="F2435">
        <f>'19_Расчет_аналитики'!E2434*'01_Вводные'!$B$14</f>
        <v/>
      </c>
      <c r="G2435">
        <f>'19_Расчет_аналитики'!F2434*'01_Вводные'!$B$14</f>
        <v/>
      </c>
      <c r="H2435">
        <f>'19_Расчет_аналитики'!G2434*'01_Вводные'!$B$14</f>
        <v/>
      </c>
      <c r="I2435">
        <f>'19_Расчет_аналитики'!H2434*'01_Вводные'!$B$14</f>
        <v/>
      </c>
      <c r="J2435">
        <f>'19_Расчет_аналитики'!I2434*'01_Вводные'!$B$14</f>
        <v/>
      </c>
      <c r="K2435">
        <f>'19_Расчет_аналитики'!J2434*'01_Вводные'!$B$14</f>
        <v/>
      </c>
      <c r="L2435">
        <f>'19_Расчет_аналитики'!K2434*'01_Вводные'!$B$14</f>
        <v/>
      </c>
      <c r="M2435">
        <f>'19_Расчет_аналитики'!L2434*'01_Вводные'!$B$14</f>
        <v/>
      </c>
      <c r="N2435">
        <f>'19_Расчет_аналитики'!M2434*'01_Вводные'!$B$14</f>
        <v/>
      </c>
      <c r="O2435">
        <f>'19_Расчет_аналитики'!N2434*'01_Вводные'!$B$14</f>
        <v/>
      </c>
      <c r="P2435">
        <f>'19_Расчет_аналитики'!O2434*'01_Вводные'!$B$14</f>
        <v/>
      </c>
      <c r="Q2435">
        <f>'19_Расчет_аналитики'!P2434*'01_Вводные'!$B$14</f>
        <v/>
      </c>
      <c r="R2435">
        <f>'19_Расчет_аналитики'!Q2434*'01_Вводные'!$B$14</f>
        <v/>
      </c>
      <c r="S2435">
        <f>'19_Расчет_аналитики'!R2434*'01_Вводные'!$B$14</f>
        <v/>
      </c>
      <c r="T2435">
        <f>'19_Расчет_аналитики'!S2434*'01_Вводные'!$B$14</f>
        <v/>
      </c>
      <c r="U2435">
        <f>'19_Расчет_аналитики'!T2434*'01_Вводные'!$B$14</f>
        <v/>
      </c>
      <c r="V2435">
        <f>'19_Расчет_аналитики'!U2434*'01_Вводные'!$B$14</f>
        <v/>
      </c>
      <c r="W2435">
        <f>'19_Расчет_аналитики'!V2434*'01_Вводные'!$B$14</f>
        <v/>
      </c>
      <c r="X2435">
        <f>'19_Расчет_аналитики'!W2434*'01_Вводные'!$B$14</f>
        <v/>
      </c>
      <c r="Y2435">
        <f>'19_Расчет_аналитики'!X2434*'01_Вводные'!$B$14</f>
        <v/>
      </c>
      <c r="Z2435">
        <f>'19_Расчет_аналитики'!Y2434*'01_Вводные'!$B$14</f>
        <v/>
      </c>
      <c r="AA2435">
        <f>'19_Расчет_аналитики'!Z2434*'01_Вводные'!$B$14</f>
        <v/>
      </c>
      <c r="AB2435">
        <f>'19_Расчет_аналитики'!AA2434*'01_Вводные'!$B$14</f>
        <v/>
      </c>
      <c r="AC2435">
        <f>'19_Расчет_аналитики'!AB2434*'01_Вводные'!$B$14</f>
        <v/>
      </c>
      <c r="AD2435">
        <f>'19_Расчет_аналитики'!AC2434*'01_Вводные'!$B$14</f>
        <v/>
      </c>
      <c r="AE2435">
        <f>'19_Расчет_аналитики'!AD2434*'01_Вводные'!$B$14</f>
        <v/>
      </c>
      <c r="AF2435">
        <f>'19_Расчет_аналитики'!AE2434*'01_Вводные'!$B$14</f>
        <v/>
      </c>
      <c r="AG2435">
        <f>'19_Расчет_аналитики'!AF2434*'01_Вводные'!$B$14</f>
        <v/>
      </c>
      <c r="AH2435">
        <f>'19_Расчет_аналитики'!AG2434*'01_Вводные'!$B$14</f>
        <v/>
      </c>
      <c r="AI2435">
        <f>'19_Расчет_аналитики'!AH2434*'01_Вводные'!$B$14</f>
        <v/>
      </c>
      <c r="AJ2435">
        <f>'19_Расчет_аналитики'!AI2434*'01_Вводные'!$B$14</f>
        <v/>
      </c>
      <c r="AK2435">
        <f>'19_Расчет_аналитики'!AJ2434*'01_Вводные'!$B$14</f>
        <v/>
      </c>
      <c r="AL2435">
        <f>'19_Расчет_аналитики'!AK2434*'01_Вводные'!$B$14</f>
        <v/>
      </c>
      <c r="AM2435">
        <f>'19_Расчет_аналитики'!AL2434*'01_Вводные'!$B$14</f>
        <v/>
      </c>
      <c r="AN2435">
        <f>'19_Расчет_аналитики'!AM2434*'01_Вводные'!$B$14</f>
        <v/>
      </c>
      <c r="AO2435">
        <f>'19_Расчет_аналитики'!AN2434*'01_Вводные'!$B$14</f>
        <v/>
      </c>
      <c r="AP2435">
        <f>'19_Расчет_аналитики'!AO2434*'01_Вводные'!$B$14</f>
        <v/>
      </c>
      <c r="AQ2435">
        <f>'19_Расчет_аналитики'!AP2434*'01_Вводные'!$B$14</f>
        <v/>
      </c>
      <c r="AR2435">
        <f>'19_Расчет_аналитики'!AQ2434*'01_Вводные'!$B$14</f>
        <v/>
      </c>
      <c r="AS2435">
        <f>'19_Расчет_аналитики'!AR2434*'01_Вводные'!$B$14</f>
        <v/>
      </c>
      <c r="AT2435">
        <f>'19_Расчет_аналитики'!AS2434*'01_Вводные'!$B$14</f>
        <v/>
      </c>
      <c r="AU2435">
        <f>'19_Расчет_аналитики'!AT2434*'01_Вводные'!$B$14</f>
        <v/>
      </c>
      <c r="AV2435">
        <f>'19_Расчет_аналитики'!AU2434*'01_Вводные'!$B$14</f>
        <v/>
      </c>
      <c r="AW2435">
        <f>'19_Расчет_аналитики'!AV2434*'01_Вводные'!$B$14</f>
        <v/>
      </c>
      <c r="AX2435">
        <f>'19_Расчет_аналитики'!AW2434*'01_Вводные'!$B$14</f>
        <v/>
      </c>
      <c r="AY2435">
        <f>'19_Расчет_аналитики'!AX2434*'01_Вводные'!$B$14</f>
        <v/>
      </c>
      <c r="AZ2435">
        <f>'19_Расчет_аналитики'!AY2434*'01_Вводные'!$B$14</f>
        <v/>
      </c>
      <c r="BA2435">
        <f>'19_Расчет_аналитики'!AZ2434*'01_Вводные'!$B$14</f>
        <v/>
      </c>
      <c r="BB2435">
        <f>'19_Расчет_аналитики'!BA2434*'01_Вводные'!$B$14</f>
        <v/>
      </c>
      <c r="BC2435">
        <f>'19_Расчет_аналитики'!BB2434*'01_Вводные'!$B$14</f>
        <v/>
      </c>
      <c r="BD2435">
        <f>'19_Расчет_аналитики'!BC2434*'01_Вводные'!$B$14</f>
        <v/>
      </c>
      <c r="BE2435">
        <f>'19_Расчет_аналитики'!BD2434*'01_Вводные'!$B$14</f>
        <v/>
      </c>
      <c r="BF2435">
        <f>'19_Расчет_аналитики'!BE2434*'01_Вводные'!$B$14</f>
        <v/>
      </c>
      <c r="BG2435">
        <f>'19_Расчет_аналитики'!BF2434*'01_Вводные'!$B$14</f>
        <v/>
      </c>
      <c r="BH2435">
        <f>'19_Расчет_аналитики'!BG2434*'01_Вводные'!$B$14</f>
        <v/>
      </c>
      <c r="BI2435">
        <f>'19_Расчет_аналитики'!BH2434*'01_Вводные'!$B$14</f>
        <v/>
      </c>
      <c r="BJ2435">
        <f>'19_Расчет_аналитики'!BI2434*'01_Вводные'!$B$14</f>
        <v/>
      </c>
      <c r="BK2435">
        <f>'19_Расчет_аналитики'!BJ2434*'01_Вводные'!$B$14</f>
        <v/>
      </c>
      <c r="BL2435">
        <f>'19_Расчет_аналитики'!BK2434*'01_Вводные'!$B$14</f>
        <v/>
      </c>
      <c r="BM2435">
        <f>'19_Расчет_аналитики'!BL2434*'01_Вводные'!$B$14</f>
        <v/>
      </c>
      <c r="BN2435">
        <f>'19_Расчет_аналитики'!BM2434*'01_Вводные'!$B$14</f>
        <v/>
      </c>
      <c r="BO2435">
        <f>'19_Расчет_аналитики'!BN2434*'01_Вводные'!$B$14</f>
        <v/>
      </c>
    </row>
    <row r="2436">
      <c r="B2436">
        <f>'06_Сеть_и_дети'!B57</f>
        <v/>
      </c>
      <c r="C2436">
        <f>'06_Сеть_и_дети'!C57</f>
        <v/>
      </c>
      <c r="D2436">
        <f>'06_Сеть_и_дети'!D57</f>
        <v/>
      </c>
      <c r="E2436">
        <f>'06_Сеть_и_дети'!E57</f>
        <v/>
      </c>
      <c r="F2436">
        <f>'19_Расчет_аналитики'!E2435*'01_Вводные'!$B$14</f>
        <v/>
      </c>
      <c r="G2436">
        <f>'19_Расчет_аналитики'!F2435*'01_Вводные'!$B$14</f>
        <v/>
      </c>
      <c r="H2436">
        <f>'19_Расчет_аналитики'!G2435*'01_Вводные'!$B$14</f>
        <v/>
      </c>
      <c r="I2436">
        <f>'19_Расчет_аналитики'!H2435*'01_Вводные'!$B$14</f>
        <v/>
      </c>
      <c r="J2436">
        <f>'19_Расчет_аналитики'!I2435*'01_Вводные'!$B$14</f>
        <v/>
      </c>
      <c r="K2436">
        <f>'19_Расчет_аналитики'!J2435*'01_Вводные'!$B$14</f>
        <v/>
      </c>
      <c r="L2436">
        <f>'19_Расчет_аналитики'!K2435*'01_Вводные'!$B$14</f>
        <v/>
      </c>
      <c r="M2436">
        <f>'19_Расчет_аналитики'!L2435*'01_Вводные'!$B$14</f>
        <v/>
      </c>
      <c r="N2436">
        <f>'19_Расчет_аналитики'!M2435*'01_Вводные'!$B$14</f>
        <v/>
      </c>
      <c r="O2436">
        <f>'19_Расчет_аналитики'!N2435*'01_Вводные'!$B$14</f>
        <v/>
      </c>
      <c r="P2436">
        <f>'19_Расчет_аналитики'!O2435*'01_Вводные'!$B$14</f>
        <v/>
      </c>
      <c r="Q2436">
        <f>'19_Расчет_аналитики'!P2435*'01_Вводные'!$B$14</f>
        <v/>
      </c>
      <c r="R2436">
        <f>'19_Расчет_аналитики'!Q2435*'01_Вводные'!$B$14</f>
        <v/>
      </c>
      <c r="S2436">
        <f>'19_Расчет_аналитики'!R2435*'01_Вводные'!$B$14</f>
        <v/>
      </c>
      <c r="T2436">
        <f>'19_Расчет_аналитики'!S2435*'01_Вводные'!$B$14</f>
        <v/>
      </c>
      <c r="U2436">
        <f>'19_Расчет_аналитики'!T2435*'01_Вводные'!$B$14</f>
        <v/>
      </c>
      <c r="V2436">
        <f>'19_Расчет_аналитики'!U2435*'01_Вводные'!$B$14</f>
        <v/>
      </c>
      <c r="W2436">
        <f>'19_Расчет_аналитики'!V2435*'01_Вводные'!$B$14</f>
        <v/>
      </c>
      <c r="X2436">
        <f>'19_Расчет_аналитики'!W2435*'01_Вводные'!$B$14</f>
        <v/>
      </c>
      <c r="Y2436">
        <f>'19_Расчет_аналитики'!X2435*'01_Вводные'!$B$14</f>
        <v/>
      </c>
      <c r="Z2436">
        <f>'19_Расчет_аналитики'!Y2435*'01_Вводные'!$B$14</f>
        <v/>
      </c>
      <c r="AA2436">
        <f>'19_Расчет_аналитики'!Z2435*'01_Вводные'!$B$14</f>
        <v/>
      </c>
      <c r="AB2436">
        <f>'19_Расчет_аналитики'!AA2435*'01_Вводные'!$B$14</f>
        <v/>
      </c>
      <c r="AC2436">
        <f>'19_Расчет_аналитики'!AB2435*'01_Вводные'!$B$14</f>
        <v/>
      </c>
      <c r="AD2436">
        <f>'19_Расчет_аналитики'!AC2435*'01_Вводные'!$B$14</f>
        <v/>
      </c>
      <c r="AE2436">
        <f>'19_Расчет_аналитики'!AD2435*'01_Вводные'!$B$14</f>
        <v/>
      </c>
      <c r="AF2436">
        <f>'19_Расчет_аналитики'!AE2435*'01_Вводные'!$B$14</f>
        <v/>
      </c>
      <c r="AG2436">
        <f>'19_Расчет_аналитики'!AF2435*'01_Вводные'!$B$14</f>
        <v/>
      </c>
      <c r="AH2436">
        <f>'19_Расчет_аналитики'!AG2435*'01_Вводные'!$B$14</f>
        <v/>
      </c>
      <c r="AI2436">
        <f>'19_Расчет_аналитики'!AH2435*'01_Вводные'!$B$14</f>
        <v/>
      </c>
      <c r="AJ2436">
        <f>'19_Расчет_аналитики'!AI2435*'01_Вводные'!$B$14</f>
        <v/>
      </c>
      <c r="AK2436">
        <f>'19_Расчет_аналитики'!AJ2435*'01_Вводные'!$B$14</f>
        <v/>
      </c>
      <c r="AL2436">
        <f>'19_Расчет_аналитики'!AK2435*'01_Вводные'!$B$14</f>
        <v/>
      </c>
      <c r="AM2436">
        <f>'19_Расчет_аналитики'!AL2435*'01_Вводные'!$B$14</f>
        <v/>
      </c>
      <c r="AN2436">
        <f>'19_Расчет_аналитики'!AM2435*'01_Вводные'!$B$14</f>
        <v/>
      </c>
      <c r="AO2436">
        <f>'19_Расчет_аналитики'!AN2435*'01_Вводные'!$B$14</f>
        <v/>
      </c>
      <c r="AP2436">
        <f>'19_Расчет_аналитики'!AO2435*'01_Вводные'!$B$14</f>
        <v/>
      </c>
      <c r="AQ2436">
        <f>'19_Расчет_аналитики'!AP2435*'01_Вводные'!$B$14</f>
        <v/>
      </c>
      <c r="AR2436">
        <f>'19_Расчет_аналитики'!AQ2435*'01_Вводные'!$B$14</f>
        <v/>
      </c>
      <c r="AS2436">
        <f>'19_Расчет_аналитики'!AR2435*'01_Вводные'!$B$14</f>
        <v/>
      </c>
      <c r="AT2436">
        <f>'19_Расчет_аналитики'!AS2435*'01_Вводные'!$B$14</f>
        <v/>
      </c>
      <c r="AU2436">
        <f>'19_Расчет_аналитики'!AT2435*'01_Вводные'!$B$14</f>
        <v/>
      </c>
      <c r="AV2436">
        <f>'19_Расчет_аналитики'!AU2435*'01_Вводные'!$B$14</f>
        <v/>
      </c>
      <c r="AW2436">
        <f>'19_Расчет_аналитики'!AV2435*'01_Вводные'!$B$14</f>
        <v/>
      </c>
      <c r="AX2436">
        <f>'19_Расчет_аналитики'!AW2435*'01_Вводные'!$B$14</f>
        <v/>
      </c>
      <c r="AY2436">
        <f>'19_Расчет_аналитики'!AX2435*'01_Вводные'!$B$14</f>
        <v/>
      </c>
      <c r="AZ2436">
        <f>'19_Расчет_аналитики'!AY2435*'01_Вводные'!$B$14</f>
        <v/>
      </c>
      <c r="BA2436">
        <f>'19_Расчет_аналитики'!AZ2435*'01_Вводные'!$B$14</f>
        <v/>
      </c>
      <c r="BB2436">
        <f>'19_Расчет_аналитики'!BA2435*'01_Вводные'!$B$14</f>
        <v/>
      </c>
      <c r="BC2436">
        <f>'19_Расчет_аналитики'!BB2435*'01_Вводные'!$B$14</f>
        <v/>
      </c>
      <c r="BD2436">
        <f>'19_Расчет_аналитики'!BC2435*'01_Вводные'!$B$14</f>
        <v/>
      </c>
      <c r="BE2436">
        <f>'19_Расчет_аналитики'!BD2435*'01_Вводные'!$B$14</f>
        <v/>
      </c>
      <c r="BF2436">
        <f>'19_Расчет_аналитики'!BE2435*'01_Вводные'!$B$14</f>
        <v/>
      </c>
      <c r="BG2436">
        <f>'19_Расчет_аналитики'!BF2435*'01_Вводные'!$B$14</f>
        <v/>
      </c>
      <c r="BH2436">
        <f>'19_Расчет_аналитики'!BG2435*'01_Вводные'!$B$14</f>
        <v/>
      </c>
      <c r="BI2436">
        <f>'19_Расчет_аналитики'!BH2435*'01_Вводные'!$B$14</f>
        <v/>
      </c>
      <c r="BJ2436">
        <f>'19_Расчет_аналитики'!BI2435*'01_Вводные'!$B$14</f>
        <v/>
      </c>
      <c r="BK2436">
        <f>'19_Расчет_аналитики'!BJ2435*'01_Вводные'!$B$14</f>
        <v/>
      </c>
      <c r="BL2436">
        <f>'19_Расчет_аналитики'!BK2435*'01_Вводные'!$B$14</f>
        <v/>
      </c>
      <c r="BM2436">
        <f>'19_Расчет_аналитики'!BL2435*'01_Вводные'!$B$14</f>
        <v/>
      </c>
      <c r="BN2436">
        <f>'19_Расчет_аналитики'!BM2435*'01_Вводные'!$B$14</f>
        <v/>
      </c>
      <c r="BO2436">
        <f>'19_Расчет_аналитики'!BN2435*'01_Вводные'!$B$14</f>
        <v/>
      </c>
    </row>
    <row r="2437">
      <c r="B2437">
        <f>'06_Сеть_и_дети'!B58</f>
        <v/>
      </c>
      <c r="C2437">
        <f>'06_Сеть_и_дети'!C58</f>
        <v/>
      </c>
      <c r="D2437">
        <f>'06_Сеть_и_дети'!D58</f>
        <v/>
      </c>
      <c r="E2437">
        <f>'06_Сеть_и_дети'!E58</f>
        <v/>
      </c>
      <c r="F2437">
        <f>'06_Сеть_и_дети'!F58</f>
        <v/>
      </c>
      <c r="G2437">
        <f>'19_Расчет_аналитики'!F2436*'01_Вводные'!$B$14</f>
        <v/>
      </c>
      <c r="H2437">
        <f>'19_Расчет_аналитики'!G2436*'01_Вводные'!$B$14</f>
        <v/>
      </c>
      <c r="I2437">
        <f>'19_Расчет_аналитики'!H2436*'01_Вводные'!$B$14</f>
        <v/>
      </c>
      <c r="J2437">
        <f>'19_Расчет_аналитики'!I2436*'01_Вводные'!$B$14</f>
        <v/>
      </c>
      <c r="K2437">
        <f>'19_Расчет_аналитики'!J2436*'01_Вводные'!$B$14</f>
        <v/>
      </c>
      <c r="L2437">
        <f>'19_Расчет_аналитики'!K2436*'01_Вводные'!$B$14</f>
        <v/>
      </c>
      <c r="M2437">
        <f>'19_Расчет_аналитики'!L2436*'01_Вводные'!$B$14</f>
        <v/>
      </c>
      <c r="N2437">
        <f>'19_Расчет_аналитики'!M2436*'01_Вводные'!$B$14</f>
        <v/>
      </c>
      <c r="O2437">
        <f>'19_Расчет_аналитики'!N2436*'01_Вводные'!$B$14</f>
        <v/>
      </c>
      <c r="P2437">
        <f>'19_Расчет_аналитики'!O2436*'01_Вводные'!$B$14</f>
        <v/>
      </c>
      <c r="Q2437">
        <f>'19_Расчет_аналитики'!P2436*'01_Вводные'!$B$14</f>
        <v/>
      </c>
      <c r="R2437">
        <f>'19_Расчет_аналитики'!Q2436*'01_Вводные'!$B$14</f>
        <v/>
      </c>
      <c r="S2437">
        <f>'19_Расчет_аналитики'!R2436*'01_Вводные'!$B$14</f>
        <v/>
      </c>
      <c r="T2437">
        <f>'19_Расчет_аналитики'!S2436*'01_Вводные'!$B$14</f>
        <v/>
      </c>
      <c r="U2437">
        <f>'19_Расчет_аналитики'!T2436*'01_Вводные'!$B$14</f>
        <v/>
      </c>
      <c r="V2437">
        <f>'19_Расчет_аналитики'!U2436*'01_Вводные'!$B$14</f>
        <v/>
      </c>
      <c r="W2437">
        <f>'19_Расчет_аналитики'!V2436*'01_Вводные'!$B$14</f>
        <v/>
      </c>
      <c r="X2437">
        <f>'19_Расчет_аналитики'!W2436*'01_Вводные'!$B$14</f>
        <v/>
      </c>
      <c r="Y2437">
        <f>'19_Расчет_аналитики'!X2436*'01_Вводные'!$B$14</f>
        <v/>
      </c>
      <c r="Z2437">
        <f>'19_Расчет_аналитики'!Y2436*'01_Вводные'!$B$14</f>
        <v/>
      </c>
      <c r="AA2437">
        <f>'19_Расчет_аналитики'!Z2436*'01_Вводные'!$B$14</f>
        <v/>
      </c>
      <c r="AB2437">
        <f>'19_Расчет_аналитики'!AA2436*'01_Вводные'!$B$14</f>
        <v/>
      </c>
      <c r="AC2437">
        <f>'19_Расчет_аналитики'!AB2436*'01_Вводные'!$B$14</f>
        <v/>
      </c>
      <c r="AD2437">
        <f>'19_Расчет_аналитики'!AC2436*'01_Вводные'!$B$14</f>
        <v/>
      </c>
      <c r="AE2437">
        <f>'19_Расчет_аналитики'!AD2436*'01_Вводные'!$B$14</f>
        <v/>
      </c>
      <c r="AF2437">
        <f>'19_Расчет_аналитики'!AE2436*'01_Вводные'!$B$14</f>
        <v/>
      </c>
      <c r="AG2437">
        <f>'19_Расчет_аналитики'!AF2436*'01_Вводные'!$B$14</f>
        <v/>
      </c>
      <c r="AH2437">
        <f>'19_Расчет_аналитики'!AG2436*'01_Вводные'!$B$14</f>
        <v/>
      </c>
      <c r="AI2437">
        <f>'19_Расчет_аналитики'!AH2436*'01_Вводные'!$B$14</f>
        <v/>
      </c>
      <c r="AJ2437">
        <f>'19_Расчет_аналитики'!AI2436*'01_Вводные'!$B$14</f>
        <v/>
      </c>
      <c r="AK2437">
        <f>'19_Расчет_аналитики'!AJ2436*'01_Вводные'!$B$14</f>
        <v/>
      </c>
      <c r="AL2437">
        <f>'19_Расчет_аналитики'!AK2436*'01_Вводные'!$B$14</f>
        <v/>
      </c>
      <c r="AM2437">
        <f>'19_Расчет_аналитики'!AL2436*'01_Вводные'!$B$14</f>
        <v/>
      </c>
      <c r="AN2437">
        <f>'19_Расчет_аналитики'!AM2436*'01_Вводные'!$B$14</f>
        <v/>
      </c>
      <c r="AO2437">
        <f>'19_Расчет_аналитики'!AN2436*'01_Вводные'!$B$14</f>
        <v/>
      </c>
      <c r="AP2437">
        <f>'19_Расчет_аналитики'!AO2436*'01_Вводные'!$B$14</f>
        <v/>
      </c>
      <c r="AQ2437">
        <f>'19_Расчет_аналитики'!AP2436*'01_Вводные'!$B$14</f>
        <v/>
      </c>
      <c r="AR2437">
        <f>'19_Расчет_аналитики'!AQ2436*'01_Вводные'!$B$14</f>
        <v/>
      </c>
      <c r="AS2437">
        <f>'19_Расчет_аналитики'!AR2436*'01_Вводные'!$B$14</f>
        <v/>
      </c>
      <c r="AT2437">
        <f>'19_Расчет_аналитики'!AS2436*'01_Вводные'!$B$14</f>
        <v/>
      </c>
      <c r="AU2437">
        <f>'19_Расчет_аналитики'!AT2436*'01_Вводные'!$B$14</f>
        <v/>
      </c>
      <c r="AV2437">
        <f>'19_Расчет_аналитики'!AU2436*'01_Вводные'!$B$14</f>
        <v/>
      </c>
      <c r="AW2437">
        <f>'19_Расчет_аналитики'!AV2436*'01_Вводные'!$B$14</f>
        <v/>
      </c>
      <c r="AX2437">
        <f>'19_Расчет_аналитики'!AW2436*'01_Вводные'!$B$14</f>
        <v/>
      </c>
      <c r="AY2437">
        <f>'19_Расчет_аналитики'!AX2436*'01_Вводные'!$B$14</f>
        <v/>
      </c>
      <c r="AZ2437">
        <f>'19_Расчет_аналитики'!AY2436*'01_Вводные'!$B$14</f>
        <v/>
      </c>
      <c r="BA2437">
        <f>'19_Расчет_аналитики'!AZ2436*'01_Вводные'!$B$14</f>
        <v/>
      </c>
      <c r="BB2437">
        <f>'19_Расчет_аналитики'!BA2436*'01_Вводные'!$B$14</f>
        <v/>
      </c>
      <c r="BC2437">
        <f>'19_Расчет_аналитики'!BB2436*'01_Вводные'!$B$14</f>
        <v/>
      </c>
      <c r="BD2437">
        <f>'19_Расчет_аналитики'!BC2436*'01_Вводные'!$B$14</f>
        <v/>
      </c>
      <c r="BE2437">
        <f>'19_Расчет_аналитики'!BD2436*'01_Вводные'!$B$14</f>
        <v/>
      </c>
      <c r="BF2437">
        <f>'19_Расчет_аналитики'!BE2436*'01_Вводные'!$B$14</f>
        <v/>
      </c>
      <c r="BG2437">
        <f>'19_Расчет_аналитики'!BF2436*'01_Вводные'!$B$14</f>
        <v/>
      </c>
      <c r="BH2437">
        <f>'19_Расчет_аналитики'!BG2436*'01_Вводные'!$B$14</f>
        <v/>
      </c>
      <c r="BI2437">
        <f>'19_Расчет_аналитики'!BH2436*'01_Вводные'!$B$14</f>
        <v/>
      </c>
      <c r="BJ2437">
        <f>'19_Расчет_аналитики'!BI2436*'01_Вводные'!$B$14</f>
        <v/>
      </c>
      <c r="BK2437">
        <f>'19_Расчет_аналитики'!BJ2436*'01_Вводные'!$B$14</f>
        <v/>
      </c>
      <c r="BL2437">
        <f>'19_Расчет_аналитики'!BK2436*'01_Вводные'!$B$14</f>
        <v/>
      </c>
      <c r="BM2437">
        <f>'19_Расчет_аналитики'!BL2436*'01_Вводные'!$B$14</f>
        <v/>
      </c>
      <c r="BN2437">
        <f>'19_Расчет_аналитики'!BM2436*'01_Вводные'!$B$14</f>
        <v/>
      </c>
      <c r="BO2437">
        <f>'19_Расчет_аналитики'!BN2436*'01_Вводные'!$B$14</f>
        <v/>
      </c>
    </row>
    <row r="2438">
      <c r="B2438">
        <f>'06_Сеть_и_дети'!B59</f>
        <v/>
      </c>
      <c r="C2438">
        <f>'06_Сеть_и_дети'!C59</f>
        <v/>
      </c>
      <c r="D2438">
        <f>'06_Сеть_и_дети'!D59</f>
        <v/>
      </c>
      <c r="E2438">
        <f>'06_Сеть_и_дети'!E59</f>
        <v/>
      </c>
      <c r="F2438">
        <f>'06_Сеть_и_дети'!F59</f>
        <v/>
      </c>
      <c r="G2438">
        <f>'06_Сеть_и_дети'!G59</f>
        <v/>
      </c>
      <c r="H2438">
        <f>'19_Расчет_аналитики'!G2437*'01_Вводные'!$B$14</f>
        <v/>
      </c>
      <c r="I2438">
        <f>'19_Расчет_аналитики'!H2437*'01_Вводные'!$B$14</f>
        <v/>
      </c>
      <c r="J2438">
        <f>'19_Расчет_аналитики'!I2437*'01_Вводные'!$B$14</f>
        <v/>
      </c>
      <c r="K2438">
        <f>'19_Расчет_аналитики'!J2437*'01_Вводные'!$B$14</f>
        <v/>
      </c>
      <c r="L2438">
        <f>'19_Расчет_аналитики'!K2437*'01_Вводные'!$B$14</f>
        <v/>
      </c>
      <c r="M2438">
        <f>'19_Расчет_аналитики'!L2437*'01_Вводные'!$B$14</f>
        <v/>
      </c>
      <c r="N2438">
        <f>'19_Расчет_аналитики'!M2437*'01_Вводные'!$B$14</f>
        <v/>
      </c>
      <c r="O2438">
        <f>'19_Расчет_аналитики'!N2437*'01_Вводные'!$B$14</f>
        <v/>
      </c>
      <c r="P2438">
        <f>'19_Расчет_аналитики'!O2437*'01_Вводные'!$B$14</f>
        <v/>
      </c>
      <c r="Q2438">
        <f>'19_Расчет_аналитики'!P2437*'01_Вводные'!$B$14</f>
        <v/>
      </c>
      <c r="R2438">
        <f>'19_Расчет_аналитики'!Q2437*'01_Вводные'!$B$14</f>
        <v/>
      </c>
      <c r="S2438">
        <f>'19_Расчет_аналитики'!R2437*'01_Вводные'!$B$14</f>
        <v/>
      </c>
      <c r="T2438">
        <f>'19_Расчет_аналитики'!S2437*'01_Вводные'!$B$14</f>
        <v/>
      </c>
      <c r="U2438">
        <f>'19_Расчет_аналитики'!T2437*'01_Вводные'!$B$14</f>
        <v/>
      </c>
      <c r="V2438">
        <f>'19_Расчет_аналитики'!U2437*'01_Вводные'!$B$14</f>
        <v/>
      </c>
      <c r="W2438">
        <f>'19_Расчет_аналитики'!V2437*'01_Вводные'!$B$14</f>
        <v/>
      </c>
      <c r="X2438">
        <f>'19_Расчет_аналитики'!W2437*'01_Вводные'!$B$14</f>
        <v/>
      </c>
      <c r="Y2438">
        <f>'19_Расчет_аналитики'!X2437*'01_Вводные'!$B$14</f>
        <v/>
      </c>
      <c r="Z2438">
        <f>'19_Расчет_аналитики'!Y2437*'01_Вводные'!$B$14</f>
        <v/>
      </c>
      <c r="AA2438">
        <f>'19_Расчет_аналитики'!Z2437*'01_Вводные'!$B$14</f>
        <v/>
      </c>
      <c r="AB2438">
        <f>'19_Расчет_аналитики'!AA2437*'01_Вводные'!$B$14</f>
        <v/>
      </c>
      <c r="AC2438">
        <f>'19_Расчет_аналитики'!AB2437*'01_Вводные'!$B$14</f>
        <v/>
      </c>
      <c r="AD2438">
        <f>'19_Расчет_аналитики'!AC2437*'01_Вводные'!$B$14</f>
        <v/>
      </c>
      <c r="AE2438">
        <f>'19_Расчет_аналитики'!AD2437*'01_Вводные'!$B$14</f>
        <v/>
      </c>
      <c r="AF2438">
        <f>'19_Расчет_аналитики'!AE2437*'01_Вводные'!$B$14</f>
        <v/>
      </c>
      <c r="AG2438">
        <f>'19_Расчет_аналитики'!AF2437*'01_Вводные'!$B$14</f>
        <v/>
      </c>
      <c r="AH2438">
        <f>'19_Расчет_аналитики'!AG2437*'01_Вводные'!$B$14</f>
        <v/>
      </c>
      <c r="AI2438">
        <f>'19_Расчет_аналитики'!AH2437*'01_Вводные'!$B$14</f>
        <v/>
      </c>
      <c r="AJ2438">
        <f>'19_Расчет_аналитики'!AI2437*'01_Вводные'!$B$14</f>
        <v/>
      </c>
      <c r="AK2438">
        <f>'19_Расчет_аналитики'!AJ2437*'01_Вводные'!$B$14</f>
        <v/>
      </c>
      <c r="AL2438">
        <f>'19_Расчет_аналитики'!AK2437*'01_Вводные'!$B$14</f>
        <v/>
      </c>
      <c r="AM2438">
        <f>'19_Расчет_аналитики'!AL2437*'01_Вводные'!$B$14</f>
        <v/>
      </c>
      <c r="AN2438">
        <f>'19_Расчет_аналитики'!AM2437*'01_Вводные'!$B$14</f>
        <v/>
      </c>
      <c r="AO2438">
        <f>'19_Расчет_аналитики'!AN2437*'01_Вводные'!$B$14</f>
        <v/>
      </c>
      <c r="AP2438">
        <f>'19_Расчет_аналитики'!AO2437*'01_Вводные'!$B$14</f>
        <v/>
      </c>
      <c r="AQ2438">
        <f>'19_Расчет_аналитики'!AP2437*'01_Вводные'!$B$14</f>
        <v/>
      </c>
      <c r="AR2438">
        <f>'19_Расчет_аналитики'!AQ2437*'01_Вводные'!$B$14</f>
        <v/>
      </c>
      <c r="AS2438">
        <f>'19_Расчет_аналитики'!AR2437*'01_Вводные'!$B$14</f>
        <v/>
      </c>
      <c r="AT2438">
        <f>'19_Расчет_аналитики'!AS2437*'01_Вводные'!$B$14</f>
        <v/>
      </c>
      <c r="AU2438">
        <f>'19_Расчет_аналитики'!AT2437*'01_Вводные'!$B$14</f>
        <v/>
      </c>
      <c r="AV2438">
        <f>'19_Расчет_аналитики'!AU2437*'01_Вводные'!$B$14</f>
        <v/>
      </c>
      <c r="AW2438">
        <f>'19_Расчет_аналитики'!AV2437*'01_Вводные'!$B$14</f>
        <v/>
      </c>
      <c r="AX2438">
        <f>'19_Расчет_аналитики'!AW2437*'01_Вводные'!$B$14</f>
        <v/>
      </c>
      <c r="AY2438">
        <f>'19_Расчет_аналитики'!AX2437*'01_Вводные'!$B$14</f>
        <v/>
      </c>
      <c r="AZ2438">
        <f>'19_Расчет_аналитики'!AY2437*'01_Вводные'!$B$14</f>
        <v/>
      </c>
      <c r="BA2438">
        <f>'19_Расчет_аналитики'!AZ2437*'01_Вводные'!$B$14</f>
        <v/>
      </c>
      <c r="BB2438">
        <f>'19_Расчет_аналитики'!BA2437*'01_Вводные'!$B$14</f>
        <v/>
      </c>
      <c r="BC2438">
        <f>'19_Расчет_аналитики'!BB2437*'01_Вводные'!$B$14</f>
        <v/>
      </c>
      <c r="BD2438">
        <f>'19_Расчет_аналитики'!BC2437*'01_Вводные'!$B$14</f>
        <v/>
      </c>
      <c r="BE2438">
        <f>'19_Расчет_аналитики'!BD2437*'01_Вводные'!$B$14</f>
        <v/>
      </c>
      <c r="BF2438">
        <f>'19_Расчет_аналитики'!BE2437*'01_Вводные'!$B$14</f>
        <v/>
      </c>
      <c r="BG2438">
        <f>'19_Расчет_аналитики'!BF2437*'01_Вводные'!$B$14</f>
        <v/>
      </c>
      <c r="BH2438">
        <f>'19_Расчет_аналитики'!BG2437*'01_Вводные'!$B$14</f>
        <v/>
      </c>
      <c r="BI2438">
        <f>'19_Расчет_аналитики'!BH2437*'01_Вводные'!$B$14</f>
        <v/>
      </c>
      <c r="BJ2438">
        <f>'19_Расчет_аналитики'!BI2437*'01_Вводные'!$B$14</f>
        <v/>
      </c>
      <c r="BK2438">
        <f>'19_Расчет_аналитики'!BJ2437*'01_Вводные'!$B$14</f>
        <v/>
      </c>
      <c r="BL2438">
        <f>'19_Расчет_аналитики'!BK2437*'01_Вводные'!$B$14</f>
        <v/>
      </c>
      <c r="BM2438">
        <f>'19_Расчет_аналитики'!BL2437*'01_Вводные'!$B$14</f>
        <v/>
      </c>
      <c r="BN2438">
        <f>'19_Расчет_аналитики'!BM2437*'01_Вводные'!$B$14</f>
        <v/>
      </c>
      <c r="BO2438">
        <f>'19_Расчет_аналитики'!BN2437*'01_Вводные'!$B$14</f>
        <v/>
      </c>
    </row>
    <row r="2439">
      <c r="B2439">
        <f>'06_Сеть_и_дети'!B60</f>
        <v/>
      </c>
      <c r="C2439">
        <f>'06_Сеть_и_дети'!C60</f>
        <v/>
      </c>
      <c r="D2439">
        <f>'06_Сеть_и_дети'!D60</f>
        <v/>
      </c>
      <c r="E2439">
        <f>'06_Сеть_и_дети'!E60</f>
        <v/>
      </c>
      <c r="F2439">
        <f>'06_Сеть_и_дети'!F60</f>
        <v/>
      </c>
      <c r="G2439">
        <f>'06_Сеть_и_дети'!G60</f>
        <v/>
      </c>
      <c r="H2439">
        <f>'06_Сеть_и_дети'!H60</f>
        <v/>
      </c>
      <c r="I2439">
        <f>'19_Расчет_аналитики'!H2438*'01_Вводные'!$B$14</f>
        <v/>
      </c>
      <c r="J2439">
        <f>'19_Расчет_аналитики'!I2438*'01_Вводные'!$B$14</f>
        <v/>
      </c>
      <c r="K2439">
        <f>'19_Расчет_аналитики'!J2438*'01_Вводные'!$B$14</f>
        <v/>
      </c>
      <c r="L2439">
        <f>'19_Расчет_аналитики'!K2438*'01_Вводные'!$B$14</f>
        <v/>
      </c>
      <c r="M2439">
        <f>'19_Расчет_аналитики'!L2438*'01_Вводные'!$B$14</f>
        <v/>
      </c>
      <c r="N2439">
        <f>'19_Расчет_аналитики'!M2438*'01_Вводные'!$B$14</f>
        <v/>
      </c>
      <c r="O2439">
        <f>'19_Расчет_аналитики'!N2438*'01_Вводные'!$B$14</f>
        <v/>
      </c>
      <c r="P2439">
        <f>'19_Расчет_аналитики'!O2438*'01_Вводные'!$B$14</f>
        <v/>
      </c>
      <c r="Q2439">
        <f>'19_Расчет_аналитики'!P2438*'01_Вводные'!$B$14</f>
        <v/>
      </c>
      <c r="R2439">
        <f>'19_Расчет_аналитики'!Q2438*'01_Вводные'!$B$14</f>
        <v/>
      </c>
      <c r="S2439">
        <f>'19_Расчет_аналитики'!R2438*'01_Вводные'!$B$14</f>
        <v/>
      </c>
      <c r="T2439">
        <f>'19_Расчет_аналитики'!S2438*'01_Вводные'!$B$14</f>
        <v/>
      </c>
      <c r="U2439">
        <f>'19_Расчет_аналитики'!T2438*'01_Вводные'!$B$14</f>
        <v/>
      </c>
      <c r="V2439">
        <f>'19_Расчет_аналитики'!U2438*'01_Вводные'!$B$14</f>
        <v/>
      </c>
      <c r="W2439">
        <f>'19_Расчет_аналитики'!V2438*'01_Вводные'!$B$14</f>
        <v/>
      </c>
      <c r="X2439">
        <f>'19_Расчет_аналитики'!W2438*'01_Вводные'!$B$14</f>
        <v/>
      </c>
      <c r="Y2439">
        <f>'19_Расчет_аналитики'!X2438*'01_Вводные'!$B$14</f>
        <v/>
      </c>
      <c r="Z2439">
        <f>'19_Расчет_аналитики'!Y2438*'01_Вводные'!$B$14</f>
        <v/>
      </c>
      <c r="AA2439">
        <f>'19_Расчет_аналитики'!Z2438*'01_Вводные'!$B$14</f>
        <v/>
      </c>
      <c r="AB2439">
        <f>'19_Расчет_аналитики'!AA2438*'01_Вводные'!$B$14</f>
        <v/>
      </c>
      <c r="AC2439">
        <f>'19_Расчет_аналитики'!AB2438*'01_Вводные'!$B$14</f>
        <v/>
      </c>
      <c r="AD2439">
        <f>'19_Расчет_аналитики'!AC2438*'01_Вводные'!$B$14</f>
        <v/>
      </c>
      <c r="AE2439">
        <f>'19_Расчет_аналитики'!AD2438*'01_Вводные'!$B$14</f>
        <v/>
      </c>
      <c r="AF2439">
        <f>'19_Расчет_аналитики'!AE2438*'01_Вводные'!$B$14</f>
        <v/>
      </c>
      <c r="AG2439">
        <f>'19_Расчет_аналитики'!AF2438*'01_Вводные'!$B$14</f>
        <v/>
      </c>
      <c r="AH2439">
        <f>'19_Расчет_аналитики'!AG2438*'01_Вводные'!$B$14</f>
        <v/>
      </c>
      <c r="AI2439">
        <f>'19_Расчет_аналитики'!AH2438*'01_Вводные'!$B$14</f>
        <v/>
      </c>
      <c r="AJ2439">
        <f>'19_Расчет_аналитики'!AI2438*'01_Вводные'!$B$14</f>
        <v/>
      </c>
      <c r="AK2439">
        <f>'19_Расчет_аналитики'!AJ2438*'01_Вводные'!$B$14</f>
        <v/>
      </c>
      <c r="AL2439">
        <f>'19_Расчет_аналитики'!AK2438*'01_Вводные'!$B$14</f>
        <v/>
      </c>
      <c r="AM2439">
        <f>'19_Расчет_аналитики'!AL2438*'01_Вводные'!$B$14</f>
        <v/>
      </c>
      <c r="AN2439">
        <f>'19_Расчет_аналитики'!AM2438*'01_Вводные'!$B$14</f>
        <v/>
      </c>
      <c r="AO2439">
        <f>'19_Расчет_аналитики'!AN2438*'01_Вводные'!$B$14</f>
        <v/>
      </c>
      <c r="AP2439">
        <f>'19_Расчет_аналитики'!AO2438*'01_Вводные'!$B$14</f>
        <v/>
      </c>
      <c r="AQ2439">
        <f>'19_Расчет_аналитики'!AP2438*'01_Вводные'!$B$14</f>
        <v/>
      </c>
      <c r="AR2439">
        <f>'19_Расчет_аналитики'!AQ2438*'01_Вводные'!$B$14</f>
        <v/>
      </c>
      <c r="AS2439">
        <f>'19_Расчет_аналитики'!AR2438*'01_Вводные'!$B$14</f>
        <v/>
      </c>
      <c r="AT2439">
        <f>'19_Расчет_аналитики'!AS2438*'01_Вводные'!$B$14</f>
        <v/>
      </c>
      <c r="AU2439">
        <f>'19_Расчет_аналитики'!AT2438*'01_Вводные'!$B$14</f>
        <v/>
      </c>
      <c r="AV2439">
        <f>'19_Расчет_аналитики'!AU2438*'01_Вводные'!$B$14</f>
        <v/>
      </c>
      <c r="AW2439">
        <f>'19_Расчет_аналитики'!AV2438*'01_Вводные'!$B$14</f>
        <v/>
      </c>
      <c r="AX2439">
        <f>'19_Расчет_аналитики'!AW2438*'01_Вводные'!$B$14</f>
        <v/>
      </c>
      <c r="AY2439">
        <f>'19_Расчет_аналитики'!AX2438*'01_Вводные'!$B$14</f>
        <v/>
      </c>
      <c r="AZ2439">
        <f>'19_Расчет_аналитики'!AY2438*'01_Вводные'!$B$14</f>
        <v/>
      </c>
      <c r="BA2439">
        <f>'19_Расчет_аналитики'!AZ2438*'01_Вводные'!$B$14</f>
        <v/>
      </c>
      <c r="BB2439">
        <f>'19_Расчет_аналитики'!BA2438*'01_Вводные'!$B$14</f>
        <v/>
      </c>
      <c r="BC2439">
        <f>'19_Расчет_аналитики'!BB2438*'01_Вводные'!$B$14</f>
        <v/>
      </c>
      <c r="BD2439">
        <f>'19_Расчет_аналитики'!BC2438*'01_Вводные'!$B$14</f>
        <v/>
      </c>
      <c r="BE2439">
        <f>'19_Расчет_аналитики'!BD2438*'01_Вводные'!$B$14</f>
        <v/>
      </c>
      <c r="BF2439">
        <f>'19_Расчет_аналитики'!BE2438*'01_Вводные'!$B$14</f>
        <v/>
      </c>
      <c r="BG2439">
        <f>'19_Расчет_аналитики'!BF2438*'01_Вводные'!$B$14</f>
        <v/>
      </c>
      <c r="BH2439">
        <f>'19_Расчет_аналитики'!BG2438*'01_Вводные'!$B$14</f>
        <v/>
      </c>
      <c r="BI2439">
        <f>'19_Расчет_аналитики'!BH2438*'01_Вводные'!$B$14</f>
        <v/>
      </c>
      <c r="BJ2439">
        <f>'19_Расчет_аналитики'!BI2438*'01_Вводные'!$B$14</f>
        <v/>
      </c>
      <c r="BK2439">
        <f>'19_Расчет_аналитики'!BJ2438*'01_Вводные'!$B$14</f>
        <v/>
      </c>
      <c r="BL2439">
        <f>'19_Расчет_аналитики'!BK2438*'01_Вводные'!$B$14</f>
        <v/>
      </c>
      <c r="BM2439">
        <f>'19_Расчет_аналитики'!BL2438*'01_Вводные'!$B$14</f>
        <v/>
      </c>
      <c r="BN2439">
        <f>'19_Расчет_аналитики'!BM2438*'01_Вводные'!$B$14</f>
        <v/>
      </c>
      <c r="BO2439">
        <f>'19_Расчет_аналитики'!BN2438*'01_Вводные'!$B$14</f>
        <v/>
      </c>
    </row>
    <row r="2440">
      <c r="B2440">
        <f>'06_Сеть_и_дети'!B61</f>
        <v/>
      </c>
      <c r="C2440">
        <f>'06_Сеть_и_дети'!C61</f>
        <v/>
      </c>
      <c r="D2440">
        <f>'06_Сеть_и_дети'!D61</f>
        <v/>
      </c>
      <c r="E2440">
        <f>'06_Сеть_и_дети'!E61</f>
        <v/>
      </c>
      <c r="F2440">
        <f>'06_Сеть_и_дети'!F61</f>
        <v/>
      </c>
      <c r="G2440">
        <f>'06_Сеть_и_дети'!G61</f>
        <v/>
      </c>
      <c r="H2440">
        <f>'06_Сеть_и_дети'!H61</f>
        <v/>
      </c>
      <c r="I2440">
        <f>'06_Сеть_и_дети'!I61</f>
        <v/>
      </c>
      <c r="J2440">
        <f>'19_Расчет_аналитики'!I2439*'01_Вводные'!$B$14</f>
        <v/>
      </c>
      <c r="K2440">
        <f>'19_Расчет_аналитики'!J2439*'01_Вводные'!$B$14</f>
        <v/>
      </c>
      <c r="L2440">
        <f>'19_Расчет_аналитики'!K2439*'01_Вводные'!$B$14</f>
        <v/>
      </c>
      <c r="M2440">
        <f>'19_Расчет_аналитики'!L2439*'01_Вводные'!$B$14</f>
        <v/>
      </c>
      <c r="N2440">
        <f>'19_Расчет_аналитики'!M2439*'01_Вводные'!$B$14</f>
        <v/>
      </c>
      <c r="O2440">
        <f>'19_Расчет_аналитики'!N2439*'01_Вводные'!$B$14</f>
        <v/>
      </c>
      <c r="P2440">
        <f>'19_Расчет_аналитики'!O2439*'01_Вводные'!$B$14</f>
        <v/>
      </c>
      <c r="Q2440">
        <f>'19_Расчет_аналитики'!P2439*'01_Вводные'!$B$14</f>
        <v/>
      </c>
      <c r="R2440">
        <f>'19_Расчет_аналитики'!Q2439*'01_Вводные'!$B$14</f>
        <v/>
      </c>
      <c r="S2440">
        <f>'19_Расчет_аналитики'!R2439*'01_Вводные'!$B$14</f>
        <v/>
      </c>
      <c r="T2440">
        <f>'19_Расчет_аналитики'!S2439*'01_Вводные'!$B$14</f>
        <v/>
      </c>
      <c r="U2440">
        <f>'19_Расчет_аналитики'!T2439*'01_Вводные'!$B$14</f>
        <v/>
      </c>
      <c r="V2440">
        <f>'19_Расчет_аналитики'!U2439*'01_Вводные'!$B$14</f>
        <v/>
      </c>
      <c r="W2440">
        <f>'19_Расчет_аналитики'!V2439*'01_Вводные'!$B$14</f>
        <v/>
      </c>
      <c r="X2440">
        <f>'19_Расчет_аналитики'!W2439*'01_Вводные'!$B$14</f>
        <v/>
      </c>
      <c r="Y2440">
        <f>'19_Расчет_аналитики'!X2439*'01_Вводные'!$B$14</f>
        <v/>
      </c>
      <c r="Z2440">
        <f>'19_Расчет_аналитики'!Y2439*'01_Вводные'!$B$14</f>
        <v/>
      </c>
      <c r="AA2440">
        <f>'19_Расчет_аналитики'!Z2439*'01_Вводные'!$B$14</f>
        <v/>
      </c>
      <c r="AB2440">
        <f>'19_Расчет_аналитики'!AA2439*'01_Вводные'!$B$14</f>
        <v/>
      </c>
      <c r="AC2440">
        <f>'19_Расчет_аналитики'!AB2439*'01_Вводные'!$B$14</f>
        <v/>
      </c>
      <c r="AD2440">
        <f>'19_Расчет_аналитики'!AC2439*'01_Вводные'!$B$14</f>
        <v/>
      </c>
      <c r="AE2440">
        <f>'19_Расчет_аналитики'!AD2439*'01_Вводные'!$B$14</f>
        <v/>
      </c>
      <c r="AF2440">
        <f>'19_Расчет_аналитики'!AE2439*'01_Вводные'!$B$14</f>
        <v/>
      </c>
      <c r="AG2440">
        <f>'19_Расчет_аналитики'!AF2439*'01_Вводные'!$B$14</f>
        <v/>
      </c>
      <c r="AH2440">
        <f>'19_Расчет_аналитики'!AG2439*'01_Вводные'!$B$14</f>
        <v/>
      </c>
      <c r="AI2440">
        <f>'19_Расчет_аналитики'!AH2439*'01_Вводные'!$B$14</f>
        <v/>
      </c>
      <c r="AJ2440">
        <f>'19_Расчет_аналитики'!AI2439*'01_Вводные'!$B$14</f>
        <v/>
      </c>
      <c r="AK2440">
        <f>'19_Расчет_аналитики'!AJ2439*'01_Вводные'!$B$14</f>
        <v/>
      </c>
      <c r="AL2440">
        <f>'19_Расчет_аналитики'!AK2439*'01_Вводные'!$B$14</f>
        <v/>
      </c>
      <c r="AM2440">
        <f>'19_Расчет_аналитики'!AL2439*'01_Вводные'!$B$14</f>
        <v/>
      </c>
      <c r="AN2440">
        <f>'19_Расчет_аналитики'!AM2439*'01_Вводные'!$B$14</f>
        <v/>
      </c>
      <c r="AO2440">
        <f>'19_Расчет_аналитики'!AN2439*'01_Вводные'!$B$14</f>
        <v/>
      </c>
      <c r="AP2440">
        <f>'19_Расчет_аналитики'!AO2439*'01_Вводные'!$B$14</f>
        <v/>
      </c>
      <c r="AQ2440">
        <f>'19_Расчет_аналитики'!AP2439*'01_Вводные'!$B$14</f>
        <v/>
      </c>
      <c r="AR2440">
        <f>'19_Расчет_аналитики'!AQ2439*'01_Вводные'!$B$14</f>
        <v/>
      </c>
      <c r="AS2440">
        <f>'19_Расчет_аналитики'!AR2439*'01_Вводные'!$B$14</f>
        <v/>
      </c>
      <c r="AT2440">
        <f>'19_Расчет_аналитики'!AS2439*'01_Вводные'!$B$14</f>
        <v/>
      </c>
      <c r="AU2440">
        <f>'19_Расчет_аналитики'!AT2439*'01_Вводные'!$B$14</f>
        <v/>
      </c>
      <c r="AV2440">
        <f>'19_Расчет_аналитики'!AU2439*'01_Вводные'!$B$14</f>
        <v/>
      </c>
      <c r="AW2440">
        <f>'19_Расчет_аналитики'!AV2439*'01_Вводные'!$B$14</f>
        <v/>
      </c>
      <c r="AX2440">
        <f>'19_Расчет_аналитики'!AW2439*'01_Вводные'!$B$14</f>
        <v/>
      </c>
      <c r="AY2440">
        <f>'19_Расчет_аналитики'!AX2439*'01_Вводные'!$B$14</f>
        <v/>
      </c>
      <c r="AZ2440">
        <f>'19_Расчет_аналитики'!AY2439*'01_Вводные'!$B$14</f>
        <v/>
      </c>
      <c r="BA2440">
        <f>'19_Расчет_аналитики'!AZ2439*'01_Вводные'!$B$14</f>
        <v/>
      </c>
      <c r="BB2440">
        <f>'19_Расчет_аналитики'!BA2439*'01_Вводные'!$B$14</f>
        <v/>
      </c>
      <c r="BC2440">
        <f>'19_Расчет_аналитики'!BB2439*'01_Вводные'!$B$14</f>
        <v/>
      </c>
      <c r="BD2440">
        <f>'19_Расчет_аналитики'!BC2439*'01_Вводные'!$B$14</f>
        <v/>
      </c>
      <c r="BE2440">
        <f>'19_Расчет_аналитики'!BD2439*'01_Вводные'!$B$14</f>
        <v/>
      </c>
      <c r="BF2440">
        <f>'19_Расчет_аналитики'!BE2439*'01_Вводные'!$B$14</f>
        <v/>
      </c>
      <c r="BG2440">
        <f>'19_Расчет_аналитики'!BF2439*'01_Вводные'!$B$14</f>
        <v/>
      </c>
      <c r="BH2440">
        <f>'19_Расчет_аналитики'!BG2439*'01_Вводные'!$B$14</f>
        <v/>
      </c>
      <c r="BI2440">
        <f>'19_Расчет_аналитики'!BH2439*'01_Вводные'!$B$14</f>
        <v/>
      </c>
      <c r="BJ2440">
        <f>'19_Расчет_аналитики'!BI2439*'01_Вводные'!$B$14</f>
        <v/>
      </c>
      <c r="BK2440">
        <f>'19_Расчет_аналитики'!BJ2439*'01_Вводные'!$B$14</f>
        <v/>
      </c>
      <c r="BL2440">
        <f>'19_Расчет_аналитики'!BK2439*'01_Вводные'!$B$14</f>
        <v/>
      </c>
      <c r="BM2440">
        <f>'19_Расчет_аналитики'!BL2439*'01_Вводные'!$B$14</f>
        <v/>
      </c>
      <c r="BN2440">
        <f>'19_Расчет_аналитики'!BM2439*'01_Вводные'!$B$14</f>
        <v/>
      </c>
      <c r="BO2440">
        <f>'19_Расчет_аналитики'!BN2439*'01_Вводные'!$B$14</f>
        <v/>
      </c>
    </row>
    <row r="2441">
      <c r="B2441">
        <f>'06_Сеть_и_дети'!B62</f>
        <v/>
      </c>
      <c r="C2441">
        <f>'06_Сеть_и_дети'!C62</f>
        <v/>
      </c>
      <c r="D2441">
        <f>'06_Сеть_и_дети'!D62</f>
        <v/>
      </c>
      <c r="E2441">
        <f>'06_Сеть_и_дети'!E62</f>
        <v/>
      </c>
      <c r="F2441">
        <f>'06_Сеть_и_дети'!F62</f>
        <v/>
      </c>
      <c r="G2441">
        <f>'06_Сеть_и_дети'!G62</f>
        <v/>
      </c>
      <c r="H2441">
        <f>'06_Сеть_и_дети'!H62</f>
        <v/>
      </c>
      <c r="I2441">
        <f>'06_Сеть_и_дети'!I62</f>
        <v/>
      </c>
      <c r="J2441">
        <f>'06_Сеть_и_дети'!J62</f>
        <v/>
      </c>
      <c r="K2441">
        <f>'19_Расчет_аналитики'!J2440*'01_Вводные'!$B$14</f>
        <v/>
      </c>
      <c r="L2441">
        <f>'19_Расчет_аналитики'!K2440*'01_Вводные'!$B$14</f>
        <v/>
      </c>
      <c r="M2441">
        <f>'19_Расчет_аналитики'!L2440*'01_Вводные'!$B$14</f>
        <v/>
      </c>
      <c r="N2441">
        <f>'19_Расчет_аналитики'!M2440*'01_Вводные'!$B$14</f>
        <v/>
      </c>
      <c r="O2441">
        <f>'19_Расчет_аналитики'!N2440*'01_Вводные'!$B$14</f>
        <v/>
      </c>
      <c r="P2441">
        <f>'19_Расчет_аналитики'!O2440*'01_Вводные'!$B$14</f>
        <v/>
      </c>
      <c r="Q2441">
        <f>'19_Расчет_аналитики'!P2440*'01_Вводные'!$B$14</f>
        <v/>
      </c>
      <c r="R2441">
        <f>'19_Расчет_аналитики'!Q2440*'01_Вводные'!$B$14</f>
        <v/>
      </c>
      <c r="S2441">
        <f>'19_Расчет_аналитики'!R2440*'01_Вводные'!$B$14</f>
        <v/>
      </c>
      <c r="T2441">
        <f>'19_Расчет_аналитики'!S2440*'01_Вводные'!$B$14</f>
        <v/>
      </c>
      <c r="U2441">
        <f>'19_Расчет_аналитики'!T2440*'01_Вводные'!$B$14</f>
        <v/>
      </c>
      <c r="V2441">
        <f>'19_Расчет_аналитики'!U2440*'01_Вводные'!$B$14</f>
        <v/>
      </c>
      <c r="W2441">
        <f>'19_Расчет_аналитики'!V2440*'01_Вводные'!$B$14</f>
        <v/>
      </c>
      <c r="X2441">
        <f>'19_Расчет_аналитики'!W2440*'01_Вводные'!$B$14</f>
        <v/>
      </c>
      <c r="Y2441">
        <f>'19_Расчет_аналитики'!X2440*'01_Вводные'!$B$14</f>
        <v/>
      </c>
      <c r="Z2441">
        <f>'19_Расчет_аналитики'!Y2440*'01_Вводные'!$B$14</f>
        <v/>
      </c>
      <c r="AA2441">
        <f>'19_Расчет_аналитики'!Z2440*'01_Вводные'!$B$14</f>
        <v/>
      </c>
      <c r="AB2441">
        <f>'19_Расчет_аналитики'!AA2440*'01_Вводные'!$B$14</f>
        <v/>
      </c>
      <c r="AC2441">
        <f>'19_Расчет_аналитики'!AB2440*'01_Вводные'!$B$14</f>
        <v/>
      </c>
      <c r="AD2441">
        <f>'19_Расчет_аналитики'!AC2440*'01_Вводные'!$B$14</f>
        <v/>
      </c>
      <c r="AE2441">
        <f>'19_Расчет_аналитики'!AD2440*'01_Вводные'!$B$14</f>
        <v/>
      </c>
      <c r="AF2441">
        <f>'19_Расчет_аналитики'!AE2440*'01_Вводные'!$B$14</f>
        <v/>
      </c>
      <c r="AG2441">
        <f>'19_Расчет_аналитики'!AF2440*'01_Вводные'!$B$14</f>
        <v/>
      </c>
      <c r="AH2441">
        <f>'19_Расчет_аналитики'!AG2440*'01_Вводные'!$B$14</f>
        <v/>
      </c>
      <c r="AI2441">
        <f>'19_Расчет_аналитики'!AH2440*'01_Вводные'!$B$14</f>
        <v/>
      </c>
      <c r="AJ2441">
        <f>'19_Расчет_аналитики'!AI2440*'01_Вводные'!$B$14</f>
        <v/>
      </c>
      <c r="AK2441">
        <f>'19_Расчет_аналитики'!AJ2440*'01_Вводные'!$B$14</f>
        <v/>
      </c>
      <c r="AL2441">
        <f>'19_Расчет_аналитики'!AK2440*'01_Вводные'!$B$14</f>
        <v/>
      </c>
      <c r="AM2441">
        <f>'19_Расчет_аналитики'!AL2440*'01_Вводные'!$B$14</f>
        <v/>
      </c>
      <c r="AN2441">
        <f>'19_Расчет_аналитики'!AM2440*'01_Вводные'!$B$14</f>
        <v/>
      </c>
      <c r="AO2441">
        <f>'19_Расчет_аналитики'!AN2440*'01_Вводные'!$B$14</f>
        <v/>
      </c>
      <c r="AP2441">
        <f>'19_Расчет_аналитики'!AO2440*'01_Вводные'!$B$14</f>
        <v/>
      </c>
      <c r="AQ2441">
        <f>'19_Расчет_аналитики'!AP2440*'01_Вводные'!$B$14</f>
        <v/>
      </c>
      <c r="AR2441">
        <f>'19_Расчет_аналитики'!AQ2440*'01_Вводные'!$B$14</f>
        <v/>
      </c>
      <c r="AS2441">
        <f>'19_Расчет_аналитики'!AR2440*'01_Вводные'!$B$14</f>
        <v/>
      </c>
      <c r="AT2441">
        <f>'19_Расчет_аналитики'!AS2440*'01_Вводные'!$B$14</f>
        <v/>
      </c>
      <c r="AU2441">
        <f>'19_Расчет_аналитики'!AT2440*'01_Вводные'!$B$14</f>
        <v/>
      </c>
      <c r="AV2441">
        <f>'19_Расчет_аналитики'!AU2440*'01_Вводные'!$B$14</f>
        <v/>
      </c>
      <c r="AW2441">
        <f>'19_Расчет_аналитики'!AV2440*'01_Вводные'!$B$14</f>
        <v/>
      </c>
      <c r="AX2441">
        <f>'19_Расчет_аналитики'!AW2440*'01_Вводные'!$B$14</f>
        <v/>
      </c>
      <c r="AY2441">
        <f>'19_Расчет_аналитики'!AX2440*'01_Вводные'!$B$14</f>
        <v/>
      </c>
      <c r="AZ2441">
        <f>'19_Расчет_аналитики'!AY2440*'01_Вводные'!$B$14</f>
        <v/>
      </c>
      <c r="BA2441">
        <f>'19_Расчет_аналитики'!AZ2440*'01_Вводные'!$B$14</f>
        <v/>
      </c>
      <c r="BB2441">
        <f>'19_Расчет_аналитики'!BA2440*'01_Вводные'!$B$14</f>
        <v/>
      </c>
      <c r="BC2441">
        <f>'19_Расчет_аналитики'!BB2440*'01_Вводные'!$B$14</f>
        <v/>
      </c>
      <c r="BD2441">
        <f>'19_Расчет_аналитики'!BC2440*'01_Вводные'!$B$14</f>
        <v/>
      </c>
      <c r="BE2441">
        <f>'19_Расчет_аналитики'!BD2440*'01_Вводные'!$B$14</f>
        <v/>
      </c>
      <c r="BF2441">
        <f>'19_Расчет_аналитики'!BE2440*'01_Вводные'!$B$14</f>
        <v/>
      </c>
      <c r="BG2441">
        <f>'19_Расчет_аналитики'!BF2440*'01_Вводные'!$B$14</f>
        <v/>
      </c>
      <c r="BH2441">
        <f>'19_Расчет_аналитики'!BG2440*'01_Вводные'!$B$14</f>
        <v/>
      </c>
      <c r="BI2441">
        <f>'19_Расчет_аналитики'!BH2440*'01_Вводные'!$B$14</f>
        <v/>
      </c>
      <c r="BJ2441">
        <f>'19_Расчет_аналитики'!BI2440*'01_Вводные'!$B$14</f>
        <v/>
      </c>
      <c r="BK2441">
        <f>'19_Расчет_аналитики'!BJ2440*'01_Вводные'!$B$14</f>
        <v/>
      </c>
      <c r="BL2441">
        <f>'19_Расчет_аналитики'!BK2440*'01_Вводные'!$B$14</f>
        <v/>
      </c>
      <c r="BM2441">
        <f>'19_Расчет_аналитики'!BL2440*'01_Вводные'!$B$14</f>
        <v/>
      </c>
      <c r="BN2441">
        <f>'19_Расчет_аналитики'!BM2440*'01_Вводные'!$B$14</f>
        <v/>
      </c>
      <c r="BO2441">
        <f>'19_Расчет_аналитики'!BN2440*'01_Вводные'!$B$14</f>
        <v/>
      </c>
    </row>
    <row r="2442">
      <c r="B2442">
        <f>'06_Сеть_и_дети'!B63</f>
        <v/>
      </c>
      <c r="C2442">
        <f>'06_Сеть_и_дети'!C63</f>
        <v/>
      </c>
      <c r="D2442">
        <f>'06_Сеть_и_дети'!D63</f>
        <v/>
      </c>
      <c r="E2442">
        <f>'06_Сеть_и_дети'!E63</f>
        <v/>
      </c>
      <c r="F2442">
        <f>'06_Сеть_и_дети'!F63</f>
        <v/>
      </c>
      <c r="G2442">
        <f>'06_Сеть_и_дети'!G63</f>
        <v/>
      </c>
      <c r="H2442">
        <f>'06_Сеть_и_дети'!H63</f>
        <v/>
      </c>
      <c r="I2442">
        <f>'06_Сеть_и_дети'!I63</f>
        <v/>
      </c>
      <c r="J2442">
        <f>'06_Сеть_и_дети'!J63</f>
        <v/>
      </c>
      <c r="K2442">
        <f>'06_Сеть_и_дети'!K63</f>
        <v/>
      </c>
      <c r="L2442">
        <f>'19_Расчет_аналитики'!K2441*'01_Вводные'!$B$14</f>
        <v/>
      </c>
      <c r="M2442">
        <f>'19_Расчет_аналитики'!L2441*'01_Вводные'!$B$14</f>
        <v/>
      </c>
      <c r="N2442">
        <f>'19_Расчет_аналитики'!M2441*'01_Вводные'!$B$14</f>
        <v/>
      </c>
      <c r="O2442">
        <f>'19_Расчет_аналитики'!N2441*'01_Вводные'!$B$14</f>
        <v/>
      </c>
      <c r="P2442">
        <f>'19_Расчет_аналитики'!O2441*'01_Вводные'!$B$14</f>
        <v/>
      </c>
      <c r="Q2442">
        <f>'19_Расчет_аналитики'!P2441*'01_Вводные'!$B$14</f>
        <v/>
      </c>
      <c r="R2442">
        <f>'19_Расчет_аналитики'!Q2441*'01_Вводные'!$B$14</f>
        <v/>
      </c>
      <c r="S2442">
        <f>'19_Расчет_аналитики'!R2441*'01_Вводные'!$B$14</f>
        <v/>
      </c>
      <c r="T2442">
        <f>'19_Расчет_аналитики'!S2441*'01_Вводные'!$B$14</f>
        <v/>
      </c>
      <c r="U2442">
        <f>'19_Расчет_аналитики'!T2441*'01_Вводные'!$B$14</f>
        <v/>
      </c>
      <c r="V2442">
        <f>'19_Расчет_аналитики'!U2441*'01_Вводные'!$B$14</f>
        <v/>
      </c>
      <c r="W2442">
        <f>'19_Расчет_аналитики'!V2441*'01_Вводные'!$B$14</f>
        <v/>
      </c>
      <c r="X2442">
        <f>'19_Расчет_аналитики'!W2441*'01_Вводные'!$B$14</f>
        <v/>
      </c>
      <c r="Y2442">
        <f>'19_Расчет_аналитики'!X2441*'01_Вводные'!$B$14</f>
        <v/>
      </c>
      <c r="Z2442">
        <f>'19_Расчет_аналитики'!Y2441*'01_Вводные'!$B$14</f>
        <v/>
      </c>
      <c r="AA2442">
        <f>'19_Расчет_аналитики'!Z2441*'01_Вводные'!$B$14</f>
        <v/>
      </c>
      <c r="AB2442">
        <f>'19_Расчет_аналитики'!AA2441*'01_Вводные'!$B$14</f>
        <v/>
      </c>
      <c r="AC2442">
        <f>'19_Расчет_аналитики'!AB2441*'01_Вводные'!$B$14</f>
        <v/>
      </c>
      <c r="AD2442">
        <f>'19_Расчет_аналитики'!AC2441*'01_Вводные'!$B$14</f>
        <v/>
      </c>
      <c r="AE2442">
        <f>'19_Расчет_аналитики'!AD2441*'01_Вводные'!$B$14</f>
        <v/>
      </c>
      <c r="AF2442">
        <f>'19_Расчет_аналитики'!AE2441*'01_Вводные'!$B$14</f>
        <v/>
      </c>
      <c r="AG2442">
        <f>'19_Расчет_аналитики'!AF2441*'01_Вводные'!$B$14</f>
        <v/>
      </c>
      <c r="AH2442">
        <f>'19_Расчет_аналитики'!AG2441*'01_Вводные'!$B$14</f>
        <v/>
      </c>
      <c r="AI2442">
        <f>'19_Расчет_аналитики'!AH2441*'01_Вводные'!$B$14</f>
        <v/>
      </c>
      <c r="AJ2442">
        <f>'19_Расчет_аналитики'!AI2441*'01_Вводные'!$B$14</f>
        <v/>
      </c>
      <c r="AK2442">
        <f>'19_Расчет_аналитики'!AJ2441*'01_Вводные'!$B$14</f>
        <v/>
      </c>
      <c r="AL2442">
        <f>'19_Расчет_аналитики'!AK2441*'01_Вводные'!$B$14</f>
        <v/>
      </c>
      <c r="AM2442">
        <f>'19_Расчет_аналитики'!AL2441*'01_Вводные'!$B$14</f>
        <v/>
      </c>
      <c r="AN2442">
        <f>'19_Расчет_аналитики'!AM2441*'01_Вводные'!$B$14</f>
        <v/>
      </c>
      <c r="AO2442">
        <f>'19_Расчет_аналитики'!AN2441*'01_Вводные'!$B$14</f>
        <v/>
      </c>
      <c r="AP2442">
        <f>'19_Расчет_аналитики'!AO2441*'01_Вводные'!$B$14</f>
        <v/>
      </c>
      <c r="AQ2442">
        <f>'19_Расчет_аналитики'!AP2441*'01_Вводные'!$B$14</f>
        <v/>
      </c>
      <c r="AR2442">
        <f>'19_Расчет_аналитики'!AQ2441*'01_Вводные'!$B$14</f>
        <v/>
      </c>
      <c r="AS2442">
        <f>'19_Расчет_аналитики'!AR2441*'01_Вводные'!$B$14</f>
        <v/>
      </c>
      <c r="AT2442">
        <f>'19_Расчет_аналитики'!AS2441*'01_Вводные'!$B$14</f>
        <v/>
      </c>
      <c r="AU2442">
        <f>'19_Расчет_аналитики'!AT2441*'01_Вводные'!$B$14</f>
        <v/>
      </c>
      <c r="AV2442">
        <f>'19_Расчет_аналитики'!AU2441*'01_Вводные'!$B$14</f>
        <v/>
      </c>
      <c r="AW2442">
        <f>'19_Расчет_аналитики'!AV2441*'01_Вводные'!$B$14</f>
        <v/>
      </c>
      <c r="AX2442">
        <f>'19_Расчет_аналитики'!AW2441*'01_Вводные'!$B$14</f>
        <v/>
      </c>
      <c r="AY2442">
        <f>'19_Расчет_аналитики'!AX2441*'01_Вводные'!$B$14</f>
        <v/>
      </c>
      <c r="AZ2442">
        <f>'19_Расчет_аналитики'!AY2441*'01_Вводные'!$B$14</f>
        <v/>
      </c>
      <c r="BA2442">
        <f>'19_Расчет_аналитики'!AZ2441*'01_Вводные'!$B$14</f>
        <v/>
      </c>
      <c r="BB2442">
        <f>'19_Расчет_аналитики'!BA2441*'01_Вводные'!$B$14</f>
        <v/>
      </c>
      <c r="BC2442">
        <f>'19_Расчет_аналитики'!BB2441*'01_Вводные'!$B$14</f>
        <v/>
      </c>
      <c r="BD2442">
        <f>'19_Расчет_аналитики'!BC2441*'01_Вводные'!$B$14</f>
        <v/>
      </c>
      <c r="BE2442">
        <f>'19_Расчет_аналитики'!BD2441*'01_Вводные'!$B$14</f>
        <v/>
      </c>
      <c r="BF2442">
        <f>'19_Расчет_аналитики'!BE2441*'01_Вводные'!$B$14</f>
        <v/>
      </c>
      <c r="BG2442">
        <f>'19_Расчет_аналитики'!BF2441*'01_Вводные'!$B$14</f>
        <v/>
      </c>
      <c r="BH2442">
        <f>'19_Расчет_аналитики'!BG2441*'01_Вводные'!$B$14</f>
        <v/>
      </c>
      <c r="BI2442">
        <f>'19_Расчет_аналитики'!BH2441*'01_Вводные'!$B$14</f>
        <v/>
      </c>
      <c r="BJ2442">
        <f>'19_Расчет_аналитики'!BI2441*'01_Вводные'!$B$14</f>
        <v/>
      </c>
      <c r="BK2442">
        <f>'19_Расчет_аналитики'!BJ2441*'01_Вводные'!$B$14</f>
        <v/>
      </c>
      <c r="BL2442">
        <f>'19_Расчет_аналитики'!BK2441*'01_Вводные'!$B$14</f>
        <v/>
      </c>
      <c r="BM2442">
        <f>'19_Расчет_аналитики'!BL2441*'01_Вводные'!$B$14</f>
        <v/>
      </c>
      <c r="BN2442">
        <f>'19_Расчет_аналитики'!BM2441*'01_Вводные'!$B$14</f>
        <v/>
      </c>
      <c r="BO2442">
        <f>'19_Расчет_аналитики'!BN2441*'01_Вводные'!$B$14</f>
        <v/>
      </c>
    </row>
    <row r="2443">
      <c r="B2443">
        <f>'06_Сеть_и_дети'!B64</f>
        <v/>
      </c>
      <c r="C2443">
        <f>'06_Сеть_и_дети'!C64</f>
        <v/>
      </c>
      <c r="D2443">
        <f>'06_Сеть_и_дети'!D64</f>
        <v/>
      </c>
      <c r="E2443">
        <f>'06_Сеть_и_дети'!E64</f>
        <v/>
      </c>
      <c r="F2443">
        <f>'06_Сеть_и_дети'!F64</f>
        <v/>
      </c>
      <c r="G2443">
        <f>'06_Сеть_и_дети'!G64</f>
        <v/>
      </c>
      <c r="H2443">
        <f>'06_Сеть_и_дети'!H64</f>
        <v/>
      </c>
      <c r="I2443">
        <f>'06_Сеть_и_дети'!I64</f>
        <v/>
      </c>
      <c r="J2443">
        <f>'06_Сеть_и_дети'!J64</f>
        <v/>
      </c>
      <c r="K2443">
        <f>'06_Сеть_и_дети'!K64</f>
        <v/>
      </c>
      <c r="L2443">
        <f>'06_Сеть_и_дети'!L64</f>
        <v/>
      </c>
      <c r="M2443">
        <f>'19_Расчет_аналитики'!L2442*'01_Вводные'!$B$14</f>
        <v/>
      </c>
      <c r="N2443">
        <f>'19_Расчет_аналитики'!M2442*'01_Вводные'!$B$14</f>
        <v/>
      </c>
      <c r="O2443">
        <f>'19_Расчет_аналитики'!N2442*'01_Вводные'!$B$14</f>
        <v/>
      </c>
      <c r="P2443">
        <f>'19_Расчет_аналитики'!O2442*'01_Вводные'!$B$14</f>
        <v/>
      </c>
      <c r="Q2443">
        <f>'19_Расчет_аналитики'!P2442*'01_Вводные'!$B$14</f>
        <v/>
      </c>
      <c r="R2443">
        <f>'19_Расчет_аналитики'!Q2442*'01_Вводные'!$B$14</f>
        <v/>
      </c>
      <c r="S2443">
        <f>'19_Расчет_аналитики'!R2442*'01_Вводные'!$B$14</f>
        <v/>
      </c>
      <c r="T2443">
        <f>'19_Расчет_аналитики'!S2442*'01_Вводные'!$B$14</f>
        <v/>
      </c>
      <c r="U2443">
        <f>'19_Расчет_аналитики'!T2442*'01_Вводные'!$B$14</f>
        <v/>
      </c>
      <c r="V2443">
        <f>'19_Расчет_аналитики'!U2442*'01_Вводные'!$B$14</f>
        <v/>
      </c>
      <c r="W2443">
        <f>'19_Расчет_аналитики'!V2442*'01_Вводные'!$B$14</f>
        <v/>
      </c>
      <c r="X2443">
        <f>'19_Расчет_аналитики'!W2442*'01_Вводные'!$B$14</f>
        <v/>
      </c>
      <c r="Y2443">
        <f>'19_Расчет_аналитики'!X2442*'01_Вводные'!$B$14</f>
        <v/>
      </c>
      <c r="Z2443">
        <f>'19_Расчет_аналитики'!Y2442*'01_Вводные'!$B$14</f>
        <v/>
      </c>
      <c r="AA2443">
        <f>'19_Расчет_аналитики'!Z2442*'01_Вводные'!$B$14</f>
        <v/>
      </c>
      <c r="AB2443">
        <f>'19_Расчет_аналитики'!AA2442*'01_Вводные'!$B$14</f>
        <v/>
      </c>
      <c r="AC2443">
        <f>'19_Расчет_аналитики'!AB2442*'01_Вводные'!$B$14</f>
        <v/>
      </c>
      <c r="AD2443">
        <f>'19_Расчет_аналитики'!AC2442*'01_Вводные'!$B$14</f>
        <v/>
      </c>
      <c r="AE2443">
        <f>'19_Расчет_аналитики'!AD2442*'01_Вводные'!$B$14</f>
        <v/>
      </c>
      <c r="AF2443">
        <f>'19_Расчет_аналитики'!AE2442*'01_Вводные'!$B$14</f>
        <v/>
      </c>
      <c r="AG2443">
        <f>'19_Расчет_аналитики'!AF2442*'01_Вводные'!$B$14</f>
        <v/>
      </c>
      <c r="AH2443">
        <f>'19_Расчет_аналитики'!AG2442*'01_Вводные'!$B$14</f>
        <v/>
      </c>
      <c r="AI2443">
        <f>'19_Расчет_аналитики'!AH2442*'01_Вводные'!$B$14</f>
        <v/>
      </c>
      <c r="AJ2443">
        <f>'19_Расчет_аналитики'!AI2442*'01_Вводные'!$B$14</f>
        <v/>
      </c>
      <c r="AK2443">
        <f>'19_Расчет_аналитики'!AJ2442*'01_Вводные'!$B$14</f>
        <v/>
      </c>
      <c r="AL2443">
        <f>'19_Расчет_аналитики'!AK2442*'01_Вводные'!$B$14</f>
        <v/>
      </c>
      <c r="AM2443">
        <f>'19_Расчет_аналитики'!AL2442*'01_Вводные'!$B$14</f>
        <v/>
      </c>
      <c r="AN2443">
        <f>'19_Расчет_аналитики'!AM2442*'01_Вводные'!$B$14</f>
        <v/>
      </c>
      <c r="AO2443">
        <f>'19_Расчет_аналитики'!AN2442*'01_Вводные'!$B$14</f>
        <v/>
      </c>
      <c r="AP2443">
        <f>'19_Расчет_аналитики'!AO2442*'01_Вводные'!$B$14</f>
        <v/>
      </c>
      <c r="AQ2443">
        <f>'19_Расчет_аналитики'!AP2442*'01_Вводные'!$B$14</f>
        <v/>
      </c>
      <c r="AR2443">
        <f>'19_Расчет_аналитики'!AQ2442*'01_Вводные'!$B$14</f>
        <v/>
      </c>
      <c r="AS2443">
        <f>'19_Расчет_аналитики'!AR2442*'01_Вводные'!$B$14</f>
        <v/>
      </c>
      <c r="AT2443">
        <f>'19_Расчет_аналитики'!AS2442*'01_Вводные'!$B$14</f>
        <v/>
      </c>
      <c r="AU2443">
        <f>'19_Расчет_аналитики'!AT2442*'01_Вводные'!$B$14</f>
        <v/>
      </c>
      <c r="AV2443">
        <f>'19_Расчет_аналитики'!AU2442*'01_Вводные'!$B$14</f>
        <v/>
      </c>
      <c r="AW2443">
        <f>'19_Расчет_аналитики'!AV2442*'01_Вводные'!$B$14</f>
        <v/>
      </c>
      <c r="AX2443">
        <f>'19_Расчет_аналитики'!AW2442*'01_Вводные'!$B$14</f>
        <v/>
      </c>
      <c r="AY2443">
        <f>'19_Расчет_аналитики'!AX2442*'01_Вводные'!$B$14</f>
        <v/>
      </c>
      <c r="AZ2443">
        <f>'19_Расчет_аналитики'!AY2442*'01_Вводные'!$B$14</f>
        <v/>
      </c>
      <c r="BA2443">
        <f>'19_Расчет_аналитики'!AZ2442*'01_Вводные'!$B$14</f>
        <v/>
      </c>
      <c r="BB2443">
        <f>'19_Расчет_аналитики'!BA2442*'01_Вводные'!$B$14</f>
        <v/>
      </c>
      <c r="BC2443">
        <f>'19_Расчет_аналитики'!BB2442*'01_Вводные'!$B$14</f>
        <v/>
      </c>
      <c r="BD2443">
        <f>'19_Расчет_аналитики'!BC2442*'01_Вводные'!$B$14</f>
        <v/>
      </c>
      <c r="BE2443">
        <f>'19_Расчет_аналитики'!BD2442*'01_Вводные'!$B$14</f>
        <v/>
      </c>
      <c r="BF2443">
        <f>'19_Расчет_аналитики'!BE2442*'01_Вводные'!$B$14</f>
        <v/>
      </c>
      <c r="BG2443">
        <f>'19_Расчет_аналитики'!BF2442*'01_Вводные'!$B$14</f>
        <v/>
      </c>
      <c r="BH2443">
        <f>'19_Расчет_аналитики'!BG2442*'01_Вводные'!$B$14</f>
        <v/>
      </c>
      <c r="BI2443">
        <f>'19_Расчет_аналитики'!BH2442*'01_Вводные'!$B$14</f>
        <v/>
      </c>
      <c r="BJ2443">
        <f>'19_Расчет_аналитики'!BI2442*'01_Вводные'!$B$14</f>
        <v/>
      </c>
      <c r="BK2443">
        <f>'19_Расчет_аналитики'!BJ2442*'01_Вводные'!$B$14</f>
        <v/>
      </c>
      <c r="BL2443">
        <f>'19_Расчет_аналитики'!BK2442*'01_Вводные'!$B$14</f>
        <v/>
      </c>
      <c r="BM2443">
        <f>'19_Расчет_аналитики'!BL2442*'01_Вводные'!$B$14</f>
        <v/>
      </c>
      <c r="BN2443">
        <f>'19_Расчет_аналитики'!BM2442*'01_Вводные'!$B$14</f>
        <v/>
      </c>
      <c r="BO2443">
        <f>'19_Расчет_аналитики'!BN2442*'01_Вводные'!$B$14</f>
        <v/>
      </c>
    </row>
    <row r="2444">
      <c r="B2444">
        <f>'06_Сеть_и_дети'!B65</f>
        <v/>
      </c>
      <c r="C2444">
        <f>'06_Сеть_и_дети'!C65</f>
        <v/>
      </c>
      <c r="D2444">
        <f>'06_Сеть_и_дети'!D65</f>
        <v/>
      </c>
      <c r="E2444">
        <f>'06_Сеть_и_дети'!E65</f>
        <v/>
      </c>
      <c r="F2444">
        <f>'06_Сеть_и_дети'!F65</f>
        <v/>
      </c>
      <c r="G2444">
        <f>'06_Сеть_и_дети'!G65</f>
        <v/>
      </c>
      <c r="H2444">
        <f>'06_Сеть_и_дети'!H65</f>
        <v/>
      </c>
      <c r="I2444">
        <f>'06_Сеть_и_дети'!I65</f>
        <v/>
      </c>
      <c r="J2444">
        <f>'06_Сеть_и_дети'!J65</f>
        <v/>
      </c>
      <c r="K2444">
        <f>'06_Сеть_и_дети'!K65</f>
        <v/>
      </c>
      <c r="L2444">
        <f>'06_Сеть_и_дети'!L65</f>
        <v/>
      </c>
      <c r="M2444">
        <f>'06_Сеть_и_дети'!M65</f>
        <v/>
      </c>
      <c r="N2444">
        <f>'19_Расчет_аналитики'!M2443*'01_Вводные'!$B$14</f>
        <v/>
      </c>
      <c r="O2444">
        <f>'19_Расчет_аналитики'!N2443*'01_Вводные'!$B$14</f>
        <v/>
      </c>
      <c r="P2444">
        <f>'19_Расчет_аналитики'!O2443*'01_Вводные'!$B$14</f>
        <v/>
      </c>
      <c r="Q2444">
        <f>'19_Расчет_аналитики'!P2443*'01_Вводные'!$B$14</f>
        <v/>
      </c>
      <c r="R2444">
        <f>'19_Расчет_аналитики'!Q2443*'01_Вводные'!$B$14</f>
        <v/>
      </c>
      <c r="S2444">
        <f>'19_Расчет_аналитики'!R2443*'01_Вводные'!$B$14</f>
        <v/>
      </c>
      <c r="T2444">
        <f>'19_Расчет_аналитики'!S2443*'01_Вводные'!$B$14</f>
        <v/>
      </c>
      <c r="U2444">
        <f>'19_Расчет_аналитики'!T2443*'01_Вводные'!$B$14</f>
        <v/>
      </c>
      <c r="V2444">
        <f>'19_Расчет_аналитики'!U2443*'01_Вводные'!$B$14</f>
        <v/>
      </c>
      <c r="W2444">
        <f>'19_Расчет_аналитики'!V2443*'01_Вводные'!$B$14</f>
        <v/>
      </c>
      <c r="X2444">
        <f>'19_Расчет_аналитики'!W2443*'01_Вводные'!$B$14</f>
        <v/>
      </c>
      <c r="Y2444">
        <f>'19_Расчет_аналитики'!X2443*'01_Вводные'!$B$14</f>
        <v/>
      </c>
      <c r="Z2444">
        <f>'19_Расчет_аналитики'!Y2443*'01_Вводные'!$B$14</f>
        <v/>
      </c>
      <c r="AA2444">
        <f>'19_Расчет_аналитики'!Z2443*'01_Вводные'!$B$14</f>
        <v/>
      </c>
      <c r="AB2444">
        <f>'19_Расчет_аналитики'!AA2443*'01_Вводные'!$B$14</f>
        <v/>
      </c>
      <c r="AC2444">
        <f>'19_Расчет_аналитики'!AB2443*'01_Вводные'!$B$14</f>
        <v/>
      </c>
      <c r="AD2444">
        <f>'19_Расчет_аналитики'!AC2443*'01_Вводные'!$B$14</f>
        <v/>
      </c>
      <c r="AE2444">
        <f>'19_Расчет_аналитики'!AD2443*'01_Вводные'!$B$14</f>
        <v/>
      </c>
      <c r="AF2444">
        <f>'19_Расчет_аналитики'!AE2443*'01_Вводные'!$B$14</f>
        <v/>
      </c>
      <c r="AG2444">
        <f>'19_Расчет_аналитики'!AF2443*'01_Вводные'!$B$14</f>
        <v/>
      </c>
      <c r="AH2444">
        <f>'19_Расчет_аналитики'!AG2443*'01_Вводные'!$B$14</f>
        <v/>
      </c>
      <c r="AI2444">
        <f>'19_Расчет_аналитики'!AH2443*'01_Вводные'!$B$14</f>
        <v/>
      </c>
      <c r="AJ2444">
        <f>'19_Расчет_аналитики'!AI2443*'01_Вводные'!$B$14</f>
        <v/>
      </c>
      <c r="AK2444">
        <f>'19_Расчет_аналитики'!AJ2443*'01_Вводные'!$B$14</f>
        <v/>
      </c>
      <c r="AL2444">
        <f>'19_Расчет_аналитики'!AK2443*'01_Вводные'!$B$14</f>
        <v/>
      </c>
      <c r="AM2444">
        <f>'19_Расчет_аналитики'!AL2443*'01_Вводные'!$B$14</f>
        <v/>
      </c>
      <c r="AN2444">
        <f>'19_Расчет_аналитики'!AM2443*'01_Вводные'!$B$14</f>
        <v/>
      </c>
      <c r="AO2444">
        <f>'19_Расчет_аналитики'!AN2443*'01_Вводные'!$B$14</f>
        <v/>
      </c>
      <c r="AP2444">
        <f>'19_Расчет_аналитики'!AO2443*'01_Вводные'!$B$14</f>
        <v/>
      </c>
      <c r="AQ2444">
        <f>'19_Расчет_аналитики'!AP2443*'01_Вводные'!$B$14</f>
        <v/>
      </c>
      <c r="AR2444">
        <f>'19_Расчет_аналитики'!AQ2443*'01_Вводные'!$B$14</f>
        <v/>
      </c>
      <c r="AS2444">
        <f>'19_Расчет_аналитики'!AR2443*'01_Вводные'!$B$14</f>
        <v/>
      </c>
      <c r="AT2444">
        <f>'19_Расчет_аналитики'!AS2443*'01_Вводные'!$B$14</f>
        <v/>
      </c>
      <c r="AU2444">
        <f>'19_Расчет_аналитики'!AT2443*'01_Вводные'!$B$14</f>
        <v/>
      </c>
      <c r="AV2444">
        <f>'19_Расчет_аналитики'!AU2443*'01_Вводные'!$B$14</f>
        <v/>
      </c>
      <c r="AW2444">
        <f>'19_Расчет_аналитики'!AV2443*'01_Вводные'!$B$14</f>
        <v/>
      </c>
      <c r="AX2444">
        <f>'19_Расчет_аналитики'!AW2443*'01_Вводные'!$B$14</f>
        <v/>
      </c>
      <c r="AY2444">
        <f>'19_Расчет_аналитики'!AX2443*'01_Вводные'!$B$14</f>
        <v/>
      </c>
      <c r="AZ2444">
        <f>'19_Расчет_аналитики'!AY2443*'01_Вводные'!$B$14</f>
        <v/>
      </c>
      <c r="BA2444">
        <f>'19_Расчет_аналитики'!AZ2443*'01_Вводные'!$B$14</f>
        <v/>
      </c>
      <c r="BB2444">
        <f>'19_Расчет_аналитики'!BA2443*'01_Вводные'!$B$14</f>
        <v/>
      </c>
      <c r="BC2444">
        <f>'19_Расчет_аналитики'!BB2443*'01_Вводные'!$B$14</f>
        <v/>
      </c>
      <c r="BD2444">
        <f>'19_Расчет_аналитики'!BC2443*'01_Вводные'!$B$14</f>
        <v/>
      </c>
      <c r="BE2444">
        <f>'19_Расчет_аналитики'!BD2443*'01_Вводные'!$B$14</f>
        <v/>
      </c>
      <c r="BF2444">
        <f>'19_Расчет_аналитики'!BE2443*'01_Вводные'!$B$14</f>
        <v/>
      </c>
      <c r="BG2444">
        <f>'19_Расчет_аналитики'!BF2443*'01_Вводные'!$B$14</f>
        <v/>
      </c>
      <c r="BH2444">
        <f>'19_Расчет_аналитики'!BG2443*'01_Вводные'!$B$14</f>
        <v/>
      </c>
      <c r="BI2444">
        <f>'19_Расчет_аналитики'!BH2443*'01_Вводные'!$B$14</f>
        <v/>
      </c>
      <c r="BJ2444">
        <f>'19_Расчет_аналитики'!BI2443*'01_Вводные'!$B$14</f>
        <v/>
      </c>
      <c r="BK2444">
        <f>'19_Расчет_аналитики'!BJ2443*'01_Вводные'!$B$14</f>
        <v/>
      </c>
      <c r="BL2444">
        <f>'19_Расчет_аналитики'!BK2443*'01_Вводные'!$B$14</f>
        <v/>
      </c>
      <c r="BM2444">
        <f>'19_Расчет_аналитики'!BL2443*'01_Вводные'!$B$14</f>
        <v/>
      </c>
      <c r="BN2444">
        <f>'19_Расчет_аналитики'!BM2443*'01_Вводные'!$B$14</f>
        <v/>
      </c>
      <c r="BO2444">
        <f>'19_Расчет_аналитики'!BN2443*'01_Вводные'!$B$14</f>
        <v/>
      </c>
    </row>
    <row r="2445">
      <c r="B2445">
        <f>'06_Сеть_и_дети'!B66</f>
        <v/>
      </c>
      <c r="C2445">
        <f>'06_Сеть_и_дети'!C66</f>
        <v/>
      </c>
      <c r="D2445">
        <f>'06_Сеть_и_дети'!D66</f>
        <v/>
      </c>
      <c r="E2445">
        <f>'06_Сеть_и_дети'!E66</f>
        <v/>
      </c>
      <c r="F2445">
        <f>'06_Сеть_и_дети'!F66</f>
        <v/>
      </c>
      <c r="G2445">
        <f>'06_Сеть_и_дети'!G66</f>
        <v/>
      </c>
      <c r="H2445">
        <f>'06_Сеть_и_дети'!H66</f>
        <v/>
      </c>
      <c r="I2445">
        <f>'06_Сеть_и_дети'!I66</f>
        <v/>
      </c>
      <c r="J2445">
        <f>'06_Сеть_и_дети'!J66</f>
        <v/>
      </c>
      <c r="K2445">
        <f>'06_Сеть_и_дети'!K66</f>
        <v/>
      </c>
      <c r="L2445">
        <f>'06_Сеть_и_дети'!L66</f>
        <v/>
      </c>
      <c r="M2445">
        <f>'06_Сеть_и_дети'!M66</f>
        <v/>
      </c>
      <c r="N2445">
        <f>'06_Сеть_и_дети'!N66</f>
        <v/>
      </c>
      <c r="O2445">
        <f>'19_Расчет_аналитики'!N2444*'01_Вводные'!$B$14</f>
        <v/>
      </c>
      <c r="P2445">
        <f>'19_Расчет_аналитики'!O2444*'01_Вводные'!$B$14</f>
        <v/>
      </c>
      <c r="Q2445">
        <f>'19_Расчет_аналитики'!P2444*'01_Вводные'!$B$14</f>
        <v/>
      </c>
      <c r="R2445">
        <f>'19_Расчет_аналитики'!Q2444*'01_Вводные'!$B$14</f>
        <v/>
      </c>
      <c r="S2445">
        <f>'19_Расчет_аналитики'!R2444*'01_Вводные'!$B$14</f>
        <v/>
      </c>
      <c r="T2445">
        <f>'19_Расчет_аналитики'!S2444*'01_Вводные'!$B$14</f>
        <v/>
      </c>
      <c r="U2445">
        <f>'19_Расчет_аналитики'!T2444*'01_Вводные'!$B$14</f>
        <v/>
      </c>
      <c r="V2445">
        <f>'19_Расчет_аналитики'!U2444*'01_Вводные'!$B$14</f>
        <v/>
      </c>
      <c r="W2445">
        <f>'19_Расчет_аналитики'!V2444*'01_Вводные'!$B$14</f>
        <v/>
      </c>
      <c r="X2445">
        <f>'19_Расчет_аналитики'!W2444*'01_Вводные'!$B$14</f>
        <v/>
      </c>
      <c r="Y2445">
        <f>'19_Расчет_аналитики'!X2444*'01_Вводные'!$B$14</f>
        <v/>
      </c>
      <c r="Z2445">
        <f>'19_Расчет_аналитики'!Y2444*'01_Вводные'!$B$14</f>
        <v/>
      </c>
      <c r="AA2445">
        <f>'19_Расчет_аналитики'!Z2444*'01_Вводные'!$B$14</f>
        <v/>
      </c>
      <c r="AB2445">
        <f>'19_Расчет_аналитики'!AA2444*'01_Вводные'!$B$14</f>
        <v/>
      </c>
      <c r="AC2445">
        <f>'19_Расчет_аналитики'!AB2444*'01_Вводные'!$B$14</f>
        <v/>
      </c>
      <c r="AD2445">
        <f>'19_Расчет_аналитики'!AC2444*'01_Вводные'!$B$14</f>
        <v/>
      </c>
      <c r="AE2445">
        <f>'19_Расчет_аналитики'!AD2444*'01_Вводные'!$B$14</f>
        <v/>
      </c>
      <c r="AF2445">
        <f>'19_Расчет_аналитики'!AE2444*'01_Вводные'!$B$14</f>
        <v/>
      </c>
      <c r="AG2445">
        <f>'19_Расчет_аналитики'!AF2444*'01_Вводные'!$B$14</f>
        <v/>
      </c>
      <c r="AH2445">
        <f>'19_Расчет_аналитики'!AG2444*'01_Вводные'!$B$14</f>
        <v/>
      </c>
      <c r="AI2445">
        <f>'19_Расчет_аналитики'!AH2444*'01_Вводные'!$B$14</f>
        <v/>
      </c>
      <c r="AJ2445">
        <f>'19_Расчет_аналитики'!AI2444*'01_Вводные'!$B$14</f>
        <v/>
      </c>
      <c r="AK2445">
        <f>'19_Расчет_аналитики'!AJ2444*'01_Вводные'!$B$14</f>
        <v/>
      </c>
      <c r="AL2445">
        <f>'19_Расчет_аналитики'!AK2444*'01_Вводные'!$B$14</f>
        <v/>
      </c>
      <c r="AM2445">
        <f>'19_Расчет_аналитики'!AL2444*'01_Вводные'!$B$14</f>
        <v/>
      </c>
      <c r="AN2445">
        <f>'19_Расчет_аналитики'!AM2444*'01_Вводные'!$B$14</f>
        <v/>
      </c>
      <c r="AO2445">
        <f>'19_Расчет_аналитики'!AN2444*'01_Вводные'!$B$14</f>
        <v/>
      </c>
      <c r="AP2445">
        <f>'19_Расчет_аналитики'!AO2444*'01_Вводные'!$B$14</f>
        <v/>
      </c>
      <c r="AQ2445">
        <f>'19_Расчет_аналитики'!AP2444*'01_Вводные'!$B$14</f>
        <v/>
      </c>
      <c r="AR2445">
        <f>'19_Расчет_аналитики'!AQ2444*'01_Вводные'!$B$14</f>
        <v/>
      </c>
      <c r="AS2445">
        <f>'19_Расчет_аналитики'!AR2444*'01_Вводные'!$B$14</f>
        <v/>
      </c>
      <c r="AT2445">
        <f>'19_Расчет_аналитики'!AS2444*'01_Вводные'!$B$14</f>
        <v/>
      </c>
      <c r="AU2445">
        <f>'19_Расчет_аналитики'!AT2444*'01_Вводные'!$B$14</f>
        <v/>
      </c>
      <c r="AV2445">
        <f>'19_Расчет_аналитики'!AU2444*'01_Вводные'!$B$14</f>
        <v/>
      </c>
      <c r="AW2445">
        <f>'19_Расчет_аналитики'!AV2444*'01_Вводные'!$B$14</f>
        <v/>
      </c>
      <c r="AX2445">
        <f>'19_Расчет_аналитики'!AW2444*'01_Вводные'!$B$14</f>
        <v/>
      </c>
      <c r="AY2445">
        <f>'19_Расчет_аналитики'!AX2444*'01_Вводные'!$B$14</f>
        <v/>
      </c>
      <c r="AZ2445">
        <f>'19_Расчет_аналитики'!AY2444*'01_Вводные'!$B$14</f>
        <v/>
      </c>
      <c r="BA2445">
        <f>'19_Расчет_аналитики'!AZ2444*'01_Вводные'!$B$14</f>
        <v/>
      </c>
      <c r="BB2445">
        <f>'19_Расчет_аналитики'!BA2444*'01_Вводные'!$B$14</f>
        <v/>
      </c>
      <c r="BC2445">
        <f>'19_Расчет_аналитики'!BB2444*'01_Вводные'!$B$14</f>
        <v/>
      </c>
      <c r="BD2445">
        <f>'19_Расчет_аналитики'!BC2444*'01_Вводные'!$B$14</f>
        <v/>
      </c>
      <c r="BE2445">
        <f>'19_Расчет_аналитики'!BD2444*'01_Вводные'!$B$14</f>
        <v/>
      </c>
      <c r="BF2445">
        <f>'19_Расчет_аналитики'!BE2444*'01_Вводные'!$B$14</f>
        <v/>
      </c>
      <c r="BG2445">
        <f>'19_Расчет_аналитики'!BF2444*'01_Вводные'!$B$14</f>
        <v/>
      </c>
      <c r="BH2445">
        <f>'19_Расчет_аналитики'!BG2444*'01_Вводные'!$B$14</f>
        <v/>
      </c>
      <c r="BI2445">
        <f>'19_Расчет_аналитики'!BH2444*'01_Вводные'!$B$14</f>
        <v/>
      </c>
      <c r="BJ2445">
        <f>'19_Расчет_аналитики'!BI2444*'01_Вводные'!$B$14</f>
        <v/>
      </c>
      <c r="BK2445">
        <f>'19_Расчет_аналитики'!BJ2444*'01_Вводные'!$B$14</f>
        <v/>
      </c>
      <c r="BL2445">
        <f>'19_Расчет_аналитики'!BK2444*'01_Вводные'!$B$14</f>
        <v/>
      </c>
      <c r="BM2445">
        <f>'19_Расчет_аналитики'!BL2444*'01_Вводные'!$B$14</f>
        <v/>
      </c>
      <c r="BN2445">
        <f>'19_Расчет_аналитики'!BM2444*'01_Вводные'!$B$14</f>
        <v/>
      </c>
      <c r="BO2445">
        <f>'19_Расчет_аналитики'!BN2444*'01_Вводные'!$B$14</f>
        <v/>
      </c>
    </row>
    <row r="2446">
      <c r="B2446">
        <f>'06_Сеть_и_дети'!B67</f>
        <v/>
      </c>
      <c r="C2446">
        <f>'06_Сеть_и_дети'!C67</f>
        <v/>
      </c>
      <c r="D2446">
        <f>'06_Сеть_и_дети'!D67</f>
        <v/>
      </c>
      <c r="E2446">
        <f>'06_Сеть_и_дети'!E67</f>
        <v/>
      </c>
      <c r="F2446">
        <f>'06_Сеть_и_дети'!F67</f>
        <v/>
      </c>
      <c r="G2446">
        <f>'06_Сеть_и_дети'!G67</f>
        <v/>
      </c>
      <c r="H2446">
        <f>'06_Сеть_и_дети'!H67</f>
        <v/>
      </c>
      <c r="I2446">
        <f>'06_Сеть_и_дети'!I67</f>
        <v/>
      </c>
      <c r="J2446">
        <f>'06_Сеть_и_дети'!J67</f>
        <v/>
      </c>
      <c r="K2446">
        <f>'06_Сеть_и_дети'!K67</f>
        <v/>
      </c>
      <c r="L2446">
        <f>'06_Сеть_и_дети'!L67</f>
        <v/>
      </c>
      <c r="M2446">
        <f>'06_Сеть_и_дети'!M67</f>
        <v/>
      </c>
      <c r="N2446">
        <f>'06_Сеть_и_дети'!N67</f>
        <v/>
      </c>
      <c r="O2446">
        <f>'06_Сеть_и_дети'!O67</f>
        <v/>
      </c>
      <c r="P2446">
        <f>'19_Расчет_аналитики'!O2445*'01_Вводные'!$B$14</f>
        <v/>
      </c>
      <c r="Q2446">
        <f>'19_Расчет_аналитики'!P2445*'01_Вводные'!$B$14</f>
        <v/>
      </c>
      <c r="R2446">
        <f>'19_Расчет_аналитики'!Q2445*'01_Вводные'!$B$14</f>
        <v/>
      </c>
      <c r="S2446">
        <f>'19_Расчет_аналитики'!R2445*'01_Вводные'!$B$14</f>
        <v/>
      </c>
      <c r="T2446">
        <f>'19_Расчет_аналитики'!S2445*'01_Вводные'!$B$14</f>
        <v/>
      </c>
      <c r="U2446">
        <f>'19_Расчет_аналитики'!T2445*'01_Вводные'!$B$14</f>
        <v/>
      </c>
      <c r="V2446">
        <f>'19_Расчет_аналитики'!U2445*'01_Вводные'!$B$14</f>
        <v/>
      </c>
      <c r="W2446">
        <f>'19_Расчет_аналитики'!V2445*'01_Вводные'!$B$14</f>
        <v/>
      </c>
      <c r="X2446">
        <f>'19_Расчет_аналитики'!W2445*'01_Вводные'!$B$14</f>
        <v/>
      </c>
      <c r="Y2446">
        <f>'19_Расчет_аналитики'!X2445*'01_Вводные'!$B$14</f>
        <v/>
      </c>
      <c r="Z2446">
        <f>'19_Расчет_аналитики'!Y2445*'01_Вводные'!$B$14</f>
        <v/>
      </c>
      <c r="AA2446">
        <f>'19_Расчет_аналитики'!Z2445*'01_Вводные'!$B$14</f>
        <v/>
      </c>
      <c r="AB2446">
        <f>'19_Расчет_аналитики'!AA2445*'01_Вводные'!$B$14</f>
        <v/>
      </c>
      <c r="AC2446">
        <f>'19_Расчет_аналитики'!AB2445*'01_Вводные'!$B$14</f>
        <v/>
      </c>
      <c r="AD2446">
        <f>'19_Расчет_аналитики'!AC2445*'01_Вводные'!$B$14</f>
        <v/>
      </c>
      <c r="AE2446">
        <f>'19_Расчет_аналитики'!AD2445*'01_Вводные'!$B$14</f>
        <v/>
      </c>
      <c r="AF2446">
        <f>'19_Расчет_аналитики'!AE2445*'01_Вводные'!$B$14</f>
        <v/>
      </c>
      <c r="AG2446">
        <f>'19_Расчет_аналитики'!AF2445*'01_Вводные'!$B$14</f>
        <v/>
      </c>
      <c r="AH2446">
        <f>'19_Расчет_аналитики'!AG2445*'01_Вводные'!$B$14</f>
        <v/>
      </c>
      <c r="AI2446">
        <f>'19_Расчет_аналитики'!AH2445*'01_Вводные'!$B$14</f>
        <v/>
      </c>
      <c r="AJ2446">
        <f>'19_Расчет_аналитики'!AI2445*'01_Вводные'!$B$14</f>
        <v/>
      </c>
      <c r="AK2446">
        <f>'19_Расчет_аналитики'!AJ2445*'01_Вводные'!$B$14</f>
        <v/>
      </c>
      <c r="AL2446">
        <f>'19_Расчет_аналитики'!AK2445*'01_Вводные'!$B$14</f>
        <v/>
      </c>
      <c r="AM2446">
        <f>'19_Расчет_аналитики'!AL2445*'01_Вводные'!$B$14</f>
        <v/>
      </c>
      <c r="AN2446">
        <f>'19_Расчет_аналитики'!AM2445*'01_Вводные'!$B$14</f>
        <v/>
      </c>
      <c r="AO2446">
        <f>'19_Расчет_аналитики'!AN2445*'01_Вводные'!$B$14</f>
        <v/>
      </c>
      <c r="AP2446">
        <f>'19_Расчет_аналитики'!AO2445*'01_Вводные'!$B$14</f>
        <v/>
      </c>
      <c r="AQ2446">
        <f>'19_Расчет_аналитики'!AP2445*'01_Вводные'!$B$14</f>
        <v/>
      </c>
      <c r="AR2446">
        <f>'19_Расчет_аналитики'!AQ2445*'01_Вводные'!$B$14</f>
        <v/>
      </c>
      <c r="AS2446">
        <f>'19_Расчет_аналитики'!AR2445*'01_Вводные'!$B$14</f>
        <v/>
      </c>
      <c r="AT2446">
        <f>'19_Расчет_аналитики'!AS2445*'01_Вводные'!$B$14</f>
        <v/>
      </c>
      <c r="AU2446">
        <f>'19_Расчет_аналитики'!AT2445*'01_Вводные'!$B$14</f>
        <v/>
      </c>
      <c r="AV2446">
        <f>'19_Расчет_аналитики'!AU2445*'01_Вводные'!$B$14</f>
        <v/>
      </c>
      <c r="AW2446">
        <f>'19_Расчет_аналитики'!AV2445*'01_Вводные'!$B$14</f>
        <v/>
      </c>
      <c r="AX2446">
        <f>'19_Расчет_аналитики'!AW2445*'01_Вводные'!$B$14</f>
        <v/>
      </c>
      <c r="AY2446">
        <f>'19_Расчет_аналитики'!AX2445*'01_Вводные'!$B$14</f>
        <v/>
      </c>
      <c r="AZ2446">
        <f>'19_Расчет_аналитики'!AY2445*'01_Вводные'!$B$14</f>
        <v/>
      </c>
      <c r="BA2446">
        <f>'19_Расчет_аналитики'!AZ2445*'01_Вводные'!$B$14</f>
        <v/>
      </c>
      <c r="BB2446">
        <f>'19_Расчет_аналитики'!BA2445*'01_Вводные'!$B$14</f>
        <v/>
      </c>
      <c r="BC2446">
        <f>'19_Расчет_аналитики'!BB2445*'01_Вводные'!$B$14</f>
        <v/>
      </c>
      <c r="BD2446">
        <f>'19_Расчет_аналитики'!BC2445*'01_Вводные'!$B$14</f>
        <v/>
      </c>
      <c r="BE2446">
        <f>'19_Расчет_аналитики'!BD2445*'01_Вводные'!$B$14</f>
        <v/>
      </c>
      <c r="BF2446">
        <f>'19_Расчет_аналитики'!BE2445*'01_Вводные'!$B$14</f>
        <v/>
      </c>
      <c r="BG2446">
        <f>'19_Расчет_аналитики'!BF2445*'01_Вводные'!$B$14</f>
        <v/>
      </c>
      <c r="BH2446">
        <f>'19_Расчет_аналитики'!BG2445*'01_Вводные'!$B$14</f>
        <v/>
      </c>
      <c r="BI2446">
        <f>'19_Расчет_аналитики'!BH2445*'01_Вводные'!$B$14</f>
        <v/>
      </c>
      <c r="BJ2446">
        <f>'19_Расчет_аналитики'!BI2445*'01_Вводные'!$B$14</f>
        <v/>
      </c>
      <c r="BK2446">
        <f>'19_Расчет_аналитики'!BJ2445*'01_Вводные'!$B$14</f>
        <v/>
      </c>
      <c r="BL2446">
        <f>'19_Расчет_аналитики'!BK2445*'01_Вводные'!$B$14</f>
        <v/>
      </c>
      <c r="BM2446">
        <f>'19_Расчет_аналитики'!BL2445*'01_Вводные'!$B$14</f>
        <v/>
      </c>
      <c r="BN2446">
        <f>'19_Расчет_аналитики'!BM2445*'01_Вводные'!$B$14</f>
        <v/>
      </c>
      <c r="BO2446">
        <f>'19_Расчет_аналитики'!BN2445*'01_Вводные'!$B$14</f>
        <v/>
      </c>
    </row>
    <row r="2447">
      <c r="B2447">
        <f>'06_Сеть_и_дети'!B68</f>
        <v/>
      </c>
      <c r="C2447">
        <f>'06_Сеть_и_дети'!C68</f>
        <v/>
      </c>
      <c r="D2447">
        <f>'06_Сеть_и_дети'!D68</f>
        <v/>
      </c>
      <c r="E2447">
        <f>'06_Сеть_и_дети'!E68</f>
        <v/>
      </c>
      <c r="F2447">
        <f>'06_Сеть_и_дети'!F68</f>
        <v/>
      </c>
      <c r="G2447">
        <f>'06_Сеть_и_дети'!G68</f>
        <v/>
      </c>
      <c r="H2447">
        <f>'06_Сеть_и_дети'!H68</f>
        <v/>
      </c>
      <c r="I2447">
        <f>'06_Сеть_и_дети'!I68</f>
        <v/>
      </c>
      <c r="J2447">
        <f>'06_Сеть_и_дети'!J68</f>
        <v/>
      </c>
      <c r="K2447">
        <f>'06_Сеть_и_дети'!K68</f>
        <v/>
      </c>
      <c r="L2447">
        <f>'06_Сеть_и_дети'!L68</f>
        <v/>
      </c>
      <c r="M2447">
        <f>'06_Сеть_и_дети'!M68</f>
        <v/>
      </c>
      <c r="N2447">
        <f>'06_Сеть_и_дети'!N68</f>
        <v/>
      </c>
      <c r="O2447">
        <f>'06_Сеть_и_дети'!O68</f>
        <v/>
      </c>
      <c r="P2447">
        <f>'06_Сеть_и_дети'!P68</f>
        <v/>
      </c>
      <c r="Q2447">
        <f>'19_Расчет_аналитики'!P2446*'01_Вводные'!$B$14</f>
        <v/>
      </c>
      <c r="R2447">
        <f>'19_Расчет_аналитики'!Q2446*'01_Вводные'!$B$14</f>
        <v/>
      </c>
      <c r="S2447">
        <f>'19_Расчет_аналитики'!R2446*'01_Вводные'!$B$14</f>
        <v/>
      </c>
      <c r="T2447">
        <f>'19_Расчет_аналитики'!S2446*'01_Вводные'!$B$14</f>
        <v/>
      </c>
      <c r="U2447">
        <f>'19_Расчет_аналитики'!T2446*'01_Вводные'!$B$14</f>
        <v/>
      </c>
      <c r="V2447">
        <f>'19_Расчет_аналитики'!U2446*'01_Вводные'!$B$14</f>
        <v/>
      </c>
      <c r="W2447">
        <f>'19_Расчет_аналитики'!V2446*'01_Вводные'!$B$14</f>
        <v/>
      </c>
      <c r="X2447">
        <f>'19_Расчет_аналитики'!W2446*'01_Вводные'!$B$14</f>
        <v/>
      </c>
      <c r="Y2447">
        <f>'19_Расчет_аналитики'!X2446*'01_Вводные'!$B$14</f>
        <v/>
      </c>
      <c r="Z2447">
        <f>'19_Расчет_аналитики'!Y2446*'01_Вводные'!$B$14</f>
        <v/>
      </c>
      <c r="AA2447">
        <f>'19_Расчет_аналитики'!Z2446*'01_Вводные'!$B$14</f>
        <v/>
      </c>
      <c r="AB2447">
        <f>'19_Расчет_аналитики'!AA2446*'01_Вводные'!$B$14</f>
        <v/>
      </c>
      <c r="AC2447">
        <f>'19_Расчет_аналитики'!AB2446*'01_Вводные'!$B$14</f>
        <v/>
      </c>
      <c r="AD2447">
        <f>'19_Расчет_аналитики'!AC2446*'01_Вводные'!$B$14</f>
        <v/>
      </c>
      <c r="AE2447">
        <f>'19_Расчет_аналитики'!AD2446*'01_Вводные'!$B$14</f>
        <v/>
      </c>
      <c r="AF2447">
        <f>'19_Расчет_аналитики'!AE2446*'01_Вводные'!$B$14</f>
        <v/>
      </c>
      <c r="AG2447">
        <f>'19_Расчет_аналитики'!AF2446*'01_Вводные'!$B$14</f>
        <v/>
      </c>
      <c r="AH2447">
        <f>'19_Расчет_аналитики'!AG2446*'01_Вводные'!$B$14</f>
        <v/>
      </c>
      <c r="AI2447">
        <f>'19_Расчет_аналитики'!AH2446*'01_Вводные'!$B$14</f>
        <v/>
      </c>
      <c r="AJ2447">
        <f>'19_Расчет_аналитики'!AI2446*'01_Вводные'!$B$14</f>
        <v/>
      </c>
      <c r="AK2447">
        <f>'19_Расчет_аналитики'!AJ2446*'01_Вводные'!$B$14</f>
        <v/>
      </c>
      <c r="AL2447">
        <f>'19_Расчет_аналитики'!AK2446*'01_Вводные'!$B$14</f>
        <v/>
      </c>
      <c r="AM2447">
        <f>'19_Расчет_аналитики'!AL2446*'01_Вводные'!$B$14</f>
        <v/>
      </c>
      <c r="AN2447">
        <f>'19_Расчет_аналитики'!AM2446*'01_Вводные'!$B$14</f>
        <v/>
      </c>
      <c r="AO2447">
        <f>'19_Расчет_аналитики'!AN2446*'01_Вводные'!$B$14</f>
        <v/>
      </c>
      <c r="AP2447">
        <f>'19_Расчет_аналитики'!AO2446*'01_Вводные'!$B$14</f>
        <v/>
      </c>
      <c r="AQ2447">
        <f>'19_Расчет_аналитики'!AP2446*'01_Вводные'!$B$14</f>
        <v/>
      </c>
      <c r="AR2447">
        <f>'19_Расчет_аналитики'!AQ2446*'01_Вводные'!$B$14</f>
        <v/>
      </c>
      <c r="AS2447">
        <f>'19_Расчет_аналитики'!AR2446*'01_Вводные'!$B$14</f>
        <v/>
      </c>
      <c r="AT2447">
        <f>'19_Расчет_аналитики'!AS2446*'01_Вводные'!$B$14</f>
        <v/>
      </c>
      <c r="AU2447">
        <f>'19_Расчет_аналитики'!AT2446*'01_Вводные'!$B$14</f>
        <v/>
      </c>
      <c r="AV2447">
        <f>'19_Расчет_аналитики'!AU2446*'01_Вводные'!$B$14</f>
        <v/>
      </c>
      <c r="AW2447">
        <f>'19_Расчет_аналитики'!AV2446*'01_Вводные'!$B$14</f>
        <v/>
      </c>
      <c r="AX2447">
        <f>'19_Расчет_аналитики'!AW2446*'01_Вводные'!$B$14</f>
        <v/>
      </c>
      <c r="AY2447">
        <f>'19_Расчет_аналитики'!AX2446*'01_Вводные'!$B$14</f>
        <v/>
      </c>
      <c r="AZ2447">
        <f>'19_Расчет_аналитики'!AY2446*'01_Вводные'!$B$14</f>
        <v/>
      </c>
      <c r="BA2447">
        <f>'19_Расчет_аналитики'!AZ2446*'01_Вводные'!$B$14</f>
        <v/>
      </c>
      <c r="BB2447">
        <f>'19_Расчет_аналитики'!BA2446*'01_Вводные'!$B$14</f>
        <v/>
      </c>
      <c r="BC2447">
        <f>'19_Расчет_аналитики'!BB2446*'01_Вводные'!$B$14</f>
        <v/>
      </c>
      <c r="BD2447">
        <f>'19_Расчет_аналитики'!BC2446*'01_Вводные'!$B$14</f>
        <v/>
      </c>
      <c r="BE2447">
        <f>'19_Расчет_аналитики'!BD2446*'01_Вводные'!$B$14</f>
        <v/>
      </c>
      <c r="BF2447">
        <f>'19_Расчет_аналитики'!BE2446*'01_Вводные'!$B$14</f>
        <v/>
      </c>
      <c r="BG2447">
        <f>'19_Расчет_аналитики'!BF2446*'01_Вводные'!$B$14</f>
        <v/>
      </c>
      <c r="BH2447">
        <f>'19_Расчет_аналитики'!BG2446*'01_Вводные'!$B$14</f>
        <v/>
      </c>
      <c r="BI2447">
        <f>'19_Расчет_аналитики'!BH2446*'01_Вводные'!$B$14</f>
        <v/>
      </c>
      <c r="BJ2447">
        <f>'19_Расчет_аналитики'!BI2446*'01_Вводные'!$B$14</f>
        <v/>
      </c>
      <c r="BK2447">
        <f>'19_Расчет_аналитики'!BJ2446*'01_Вводные'!$B$14</f>
        <v/>
      </c>
      <c r="BL2447">
        <f>'19_Расчет_аналитики'!BK2446*'01_Вводные'!$B$14</f>
        <v/>
      </c>
      <c r="BM2447">
        <f>'19_Расчет_аналитики'!BL2446*'01_Вводные'!$B$14</f>
        <v/>
      </c>
      <c r="BN2447">
        <f>'19_Расчет_аналитики'!BM2446*'01_Вводные'!$B$14</f>
        <v/>
      </c>
      <c r="BO2447">
        <f>'19_Расчет_аналитики'!BN2446*'01_Вводные'!$B$14</f>
        <v/>
      </c>
    </row>
    <row r="2448">
      <c r="B2448">
        <f>'06_Сеть_и_дети'!B69</f>
        <v/>
      </c>
      <c r="C2448">
        <f>'06_Сеть_и_дети'!C69</f>
        <v/>
      </c>
      <c r="D2448">
        <f>'06_Сеть_и_дети'!D69</f>
        <v/>
      </c>
      <c r="E2448">
        <f>'06_Сеть_и_дети'!E69</f>
        <v/>
      </c>
      <c r="F2448">
        <f>'06_Сеть_и_дети'!F69</f>
        <v/>
      </c>
      <c r="G2448">
        <f>'06_Сеть_и_дети'!G69</f>
        <v/>
      </c>
      <c r="H2448">
        <f>'06_Сеть_и_дети'!H69</f>
        <v/>
      </c>
      <c r="I2448">
        <f>'06_Сеть_и_дети'!I69</f>
        <v/>
      </c>
      <c r="J2448">
        <f>'06_Сеть_и_дети'!J69</f>
        <v/>
      </c>
      <c r="K2448">
        <f>'06_Сеть_и_дети'!K69</f>
        <v/>
      </c>
      <c r="L2448">
        <f>'06_Сеть_и_дети'!L69</f>
        <v/>
      </c>
      <c r="M2448">
        <f>'06_Сеть_и_дети'!M69</f>
        <v/>
      </c>
      <c r="N2448">
        <f>'06_Сеть_и_дети'!N69</f>
        <v/>
      </c>
      <c r="O2448">
        <f>'06_Сеть_и_дети'!O69</f>
        <v/>
      </c>
      <c r="P2448">
        <f>'06_Сеть_и_дети'!P69</f>
        <v/>
      </c>
      <c r="Q2448">
        <f>'06_Сеть_и_дети'!Q69</f>
        <v/>
      </c>
      <c r="R2448">
        <f>'19_Расчет_аналитики'!Q2447*'01_Вводные'!$B$14</f>
        <v/>
      </c>
      <c r="S2448">
        <f>'19_Расчет_аналитики'!R2447*'01_Вводные'!$B$14</f>
        <v/>
      </c>
      <c r="T2448">
        <f>'19_Расчет_аналитики'!S2447*'01_Вводные'!$B$14</f>
        <v/>
      </c>
      <c r="U2448">
        <f>'19_Расчет_аналитики'!T2447*'01_Вводные'!$B$14</f>
        <v/>
      </c>
      <c r="V2448">
        <f>'19_Расчет_аналитики'!U2447*'01_Вводные'!$B$14</f>
        <v/>
      </c>
      <c r="W2448">
        <f>'19_Расчет_аналитики'!V2447*'01_Вводные'!$B$14</f>
        <v/>
      </c>
      <c r="X2448">
        <f>'19_Расчет_аналитики'!W2447*'01_Вводные'!$B$14</f>
        <v/>
      </c>
      <c r="Y2448">
        <f>'19_Расчет_аналитики'!X2447*'01_Вводные'!$B$14</f>
        <v/>
      </c>
      <c r="Z2448">
        <f>'19_Расчет_аналитики'!Y2447*'01_Вводные'!$B$14</f>
        <v/>
      </c>
      <c r="AA2448">
        <f>'19_Расчет_аналитики'!Z2447*'01_Вводные'!$B$14</f>
        <v/>
      </c>
      <c r="AB2448">
        <f>'19_Расчет_аналитики'!AA2447*'01_Вводные'!$B$14</f>
        <v/>
      </c>
      <c r="AC2448">
        <f>'19_Расчет_аналитики'!AB2447*'01_Вводные'!$B$14</f>
        <v/>
      </c>
      <c r="AD2448">
        <f>'19_Расчет_аналитики'!AC2447*'01_Вводные'!$B$14</f>
        <v/>
      </c>
      <c r="AE2448">
        <f>'19_Расчет_аналитики'!AD2447*'01_Вводные'!$B$14</f>
        <v/>
      </c>
      <c r="AF2448">
        <f>'19_Расчет_аналитики'!AE2447*'01_Вводные'!$B$14</f>
        <v/>
      </c>
      <c r="AG2448">
        <f>'19_Расчет_аналитики'!AF2447*'01_Вводные'!$B$14</f>
        <v/>
      </c>
      <c r="AH2448">
        <f>'19_Расчет_аналитики'!AG2447*'01_Вводные'!$B$14</f>
        <v/>
      </c>
      <c r="AI2448">
        <f>'19_Расчет_аналитики'!AH2447*'01_Вводные'!$B$14</f>
        <v/>
      </c>
      <c r="AJ2448">
        <f>'19_Расчет_аналитики'!AI2447*'01_Вводные'!$B$14</f>
        <v/>
      </c>
      <c r="AK2448">
        <f>'19_Расчет_аналитики'!AJ2447*'01_Вводные'!$B$14</f>
        <v/>
      </c>
      <c r="AL2448">
        <f>'19_Расчет_аналитики'!AK2447*'01_Вводные'!$B$14</f>
        <v/>
      </c>
      <c r="AM2448">
        <f>'19_Расчет_аналитики'!AL2447*'01_Вводные'!$B$14</f>
        <v/>
      </c>
      <c r="AN2448">
        <f>'19_Расчет_аналитики'!AM2447*'01_Вводные'!$B$14</f>
        <v/>
      </c>
      <c r="AO2448">
        <f>'19_Расчет_аналитики'!AN2447*'01_Вводные'!$B$14</f>
        <v/>
      </c>
      <c r="AP2448">
        <f>'19_Расчет_аналитики'!AO2447*'01_Вводные'!$B$14</f>
        <v/>
      </c>
      <c r="AQ2448">
        <f>'19_Расчет_аналитики'!AP2447*'01_Вводные'!$B$14</f>
        <v/>
      </c>
      <c r="AR2448">
        <f>'19_Расчет_аналитики'!AQ2447*'01_Вводные'!$B$14</f>
        <v/>
      </c>
      <c r="AS2448">
        <f>'19_Расчет_аналитики'!AR2447*'01_Вводные'!$B$14</f>
        <v/>
      </c>
      <c r="AT2448">
        <f>'19_Расчет_аналитики'!AS2447*'01_Вводные'!$B$14</f>
        <v/>
      </c>
      <c r="AU2448">
        <f>'19_Расчет_аналитики'!AT2447*'01_Вводные'!$B$14</f>
        <v/>
      </c>
      <c r="AV2448">
        <f>'19_Расчет_аналитики'!AU2447*'01_Вводные'!$B$14</f>
        <v/>
      </c>
      <c r="AW2448">
        <f>'19_Расчет_аналитики'!AV2447*'01_Вводные'!$B$14</f>
        <v/>
      </c>
      <c r="AX2448">
        <f>'19_Расчет_аналитики'!AW2447*'01_Вводные'!$B$14</f>
        <v/>
      </c>
      <c r="AY2448">
        <f>'19_Расчет_аналитики'!AX2447*'01_Вводные'!$B$14</f>
        <v/>
      </c>
      <c r="AZ2448">
        <f>'19_Расчет_аналитики'!AY2447*'01_Вводные'!$B$14</f>
        <v/>
      </c>
      <c r="BA2448">
        <f>'19_Расчет_аналитики'!AZ2447*'01_Вводные'!$B$14</f>
        <v/>
      </c>
      <c r="BB2448">
        <f>'19_Расчет_аналитики'!BA2447*'01_Вводные'!$B$14</f>
        <v/>
      </c>
      <c r="BC2448">
        <f>'19_Расчет_аналитики'!BB2447*'01_Вводные'!$B$14</f>
        <v/>
      </c>
      <c r="BD2448">
        <f>'19_Расчет_аналитики'!BC2447*'01_Вводные'!$B$14</f>
        <v/>
      </c>
      <c r="BE2448">
        <f>'19_Расчет_аналитики'!BD2447*'01_Вводные'!$B$14</f>
        <v/>
      </c>
      <c r="BF2448">
        <f>'19_Расчет_аналитики'!BE2447*'01_Вводные'!$B$14</f>
        <v/>
      </c>
      <c r="BG2448">
        <f>'19_Расчет_аналитики'!BF2447*'01_Вводные'!$B$14</f>
        <v/>
      </c>
      <c r="BH2448">
        <f>'19_Расчет_аналитики'!BG2447*'01_Вводные'!$B$14</f>
        <v/>
      </c>
      <c r="BI2448">
        <f>'19_Расчет_аналитики'!BH2447*'01_Вводные'!$B$14</f>
        <v/>
      </c>
      <c r="BJ2448">
        <f>'19_Расчет_аналитики'!BI2447*'01_Вводные'!$B$14</f>
        <v/>
      </c>
      <c r="BK2448">
        <f>'19_Расчет_аналитики'!BJ2447*'01_Вводные'!$B$14</f>
        <v/>
      </c>
      <c r="BL2448">
        <f>'19_Расчет_аналитики'!BK2447*'01_Вводные'!$B$14</f>
        <v/>
      </c>
      <c r="BM2448">
        <f>'19_Расчет_аналитики'!BL2447*'01_Вводные'!$B$14</f>
        <v/>
      </c>
      <c r="BN2448">
        <f>'19_Расчет_аналитики'!BM2447*'01_Вводные'!$B$14</f>
        <v/>
      </c>
      <c r="BO2448">
        <f>'19_Расчет_аналитики'!BN2447*'01_Вводные'!$B$14</f>
        <v/>
      </c>
    </row>
    <row r="2449">
      <c r="B2449">
        <f>'06_Сеть_и_дети'!B70</f>
        <v/>
      </c>
      <c r="C2449">
        <f>'06_Сеть_и_дети'!C70</f>
        <v/>
      </c>
      <c r="D2449">
        <f>'06_Сеть_и_дети'!D70</f>
        <v/>
      </c>
      <c r="E2449">
        <f>'06_Сеть_и_дети'!E70</f>
        <v/>
      </c>
      <c r="F2449">
        <f>'06_Сеть_и_дети'!F70</f>
        <v/>
      </c>
      <c r="G2449">
        <f>'06_Сеть_и_дети'!G70</f>
        <v/>
      </c>
      <c r="H2449">
        <f>'06_Сеть_и_дети'!H70</f>
        <v/>
      </c>
      <c r="I2449">
        <f>'06_Сеть_и_дети'!I70</f>
        <v/>
      </c>
      <c r="J2449">
        <f>'06_Сеть_и_дети'!J70</f>
        <v/>
      </c>
      <c r="K2449">
        <f>'06_Сеть_и_дети'!K70</f>
        <v/>
      </c>
      <c r="L2449">
        <f>'06_Сеть_и_дети'!L70</f>
        <v/>
      </c>
      <c r="M2449">
        <f>'06_Сеть_и_дети'!M70</f>
        <v/>
      </c>
      <c r="N2449">
        <f>'06_Сеть_и_дети'!N70</f>
        <v/>
      </c>
      <c r="O2449">
        <f>'06_Сеть_и_дети'!O70</f>
        <v/>
      </c>
      <c r="P2449">
        <f>'06_Сеть_и_дети'!P70</f>
        <v/>
      </c>
      <c r="Q2449">
        <f>'06_Сеть_и_дети'!Q70</f>
        <v/>
      </c>
      <c r="R2449">
        <f>'06_Сеть_и_дети'!R70</f>
        <v/>
      </c>
      <c r="S2449">
        <f>'19_Расчет_аналитики'!R2448*'01_Вводные'!$B$14</f>
        <v/>
      </c>
      <c r="T2449">
        <f>'19_Расчет_аналитики'!S2448*'01_Вводные'!$B$14</f>
        <v/>
      </c>
      <c r="U2449">
        <f>'19_Расчет_аналитики'!T2448*'01_Вводные'!$B$14</f>
        <v/>
      </c>
      <c r="V2449">
        <f>'19_Расчет_аналитики'!U2448*'01_Вводные'!$B$14</f>
        <v/>
      </c>
      <c r="W2449">
        <f>'19_Расчет_аналитики'!V2448*'01_Вводные'!$B$14</f>
        <v/>
      </c>
      <c r="X2449">
        <f>'19_Расчет_аналитики'!W2448*'01_Вводные'!$B$14</f>
        <v/>
      </c>
      <c r="Y2449">
        <f>'19_Расчет_аналитики'!X2448*'01_Вводные'!$B$14</f>
        <v/>
      </c>
      <c r="Z2449">
        <f>'19_Расчет_аналитики'!Y2448*'01_Вводные'!$B$14</f>
        <v/>
      </c>
      <c r="AA2449">
        <f>'19_Расчет_аналитики'!Z2448*'01_Вводные'!$B$14</f>
        <v/>
      </c>
      <c r="AB2449">
        <f>'19_Расчет_аналитики'!AA2448*'01_Вводные'!$B$14</f>
        <v/>
      </c>
      <c r="AC2449">
        <f>'19_Расчет_аналитики'!AB2448*'01_Вводные'!$B$14</f>
        <v/>
      </c>
      <c r="AD2449">
        <f>'19_Расчет_аналитики'!AC2448*'01_Вводные'!$B$14</f>
        <v/>
      </c>
      <c r="AE2449">
        <f>'19_Расчет_аналитики'!AD2448*'01_Вводные'!$B$14</f>
        <v/>
      </c>
      <c r="AF2449">
        <f>'19_Расчет_аналитики'!AE2448*'01_Вводные'!$B$14</f>
        <v/>
      </c>
      <c r="AG2449">
        <f>'19_Расчет_аналитики'!AF2448*'01_Вводные'!$B$14</f>
        <v/>
      </c>
      <c r="AH2449">
        <f>'19_Расчет_аналитики'!AG2448*'01_Вводные'!$B$14</f>
        <v/>
      </c>
      <c r="AI2449">
        <f>'19_Расчет_аналитики'!AH2448*'01_Вводные'!$B$14</f>
        <v/>
      </c>
      <c r="AJ2449">
        <f>'19_Расчет_аналитики'!AI2448*'01_Вводные'!$B$14</f>
        <v/>
      </c>
      <c r="AK2449">
        <f>'19_Расчет_аналитики'!AJ2448*'01_Вводные'!$B$14</f>
        <v/>
      </c>
      <c r="AL2449">
        <f>'19_Расчет_аналитики'!AK2448*'01_Вводные'!$B$14</f>
        <v/>
      </c>
      <c r="AM2449">
        <f>'19_Расчет_аналитики'!AL2448*'01_Вводные'!$B$14</f>
        <v/>
      </c>
      <c r="AN2449">
        <f>'19_Расчет_аналитики'!AM2448*'01_Вводные'!$B$14</f>
        <v/>
      </c>
      <c r="AO2449">
        <f>'19_Расчет_аналитики'!AN2448*'01_Вводные'!$B$14</f>
        <v/>
      </c>
      <c r="AP2449">
        <f>'19_Расчет_аналитики'!AO2448*'01_Вводные'!$B$14</f>
        <v/>
      </c>
      <c r="AQ2449">
        <f>'19_Расчет_аналитики'!AP2448*'01_Вводные'!$B$14</f>
        <v/>
      </c>
      <c r="AR2449">
        <f>'19_Расчет_аналитики'!AQ2448*'01_Вводные'!$B$14</f>
        <v/>
      </c>
      <c r="AS2449">
        <f>'19_Расчет_аналитики'!AR2448*'01_Вводные'!$B$14</f>
        <v/>
      </c>
      <c r="AT2449">
        <f>'19_Расчет_аналитики'!AS2448*'01_Вводные'!$B$14</f>
        <v/>
      </c>
      <c r="AU2449">
        <f>'19_Расчет_аналитики'!AT2448*'01_Вводные'!$B$14</f>
        <v/>
      </c>
      <c r="AV2449">
        <f>'19_Расчет_аналитики'!AU2448*'01_Вводные'!$B$14</f>
        <v/>
      </c>
      <c r="AW2449">
        <f>'19_Расчет_аналитики'!AV2448*'01_Вводные'!$B$14</f>
        <v/>
      </c>
      <c r="AX2449">
        <f>'19_Расчет_аналитики'!AW2448*'01_Вводные'!$B$14</f>
        <v/>
      </c>
      <c r="AY2449">
        <f>'19_Расчет_аналитики'!AX2448*'01_Вводные'!$B$14</f>
        <v/>
      </c>
      <c r="AZ2449">
        <f>'19_Расчет_аналитики'!AY2448*'01_Вводные'!$B$14</f>
        <v/>
      </c>
      <c r="BA2449">
        <f>'19_Расчет_аналитики'!AZ2448*'01_Вводные'!$B$14</f>
        <v/>
      </c>
      <c r="BB2449">
        <f>'19_Расчет_аналитики'!BA2448*'01_Вводные'!$B$14</f>
        <v/>
      </c>
      <c r="BC2449">
        <f>'19_Расчет_аналитики'!BB2448*'01_Вводные'!$B$14</f>
        <v/>
      </c>
      <c r="BD2449">
        <f>'19_Расчет_аналитики'!BC2448*'01_Вводные'!$B$14</f>
        <v/>
      </c>
      <c r="BE2449">
        <f>'19_Расчет_аналитики'!BD2448*'01_Вводные'!$B$14</f>
        <v/>
      </c>
      <c r="BF2449">
        <f>'19_Расчет_аналитики'!BE2448*'01_Вводные'!$B$14</f>
        <v/>
      </c>
      <c r="BG2449">
        <f>'19_Расчет_аналитики'!BF2448*'01_Вводные'!$B$14</f>
        <v/>
      </c>
      <c r="BH2449">
        <f>'19_Расчет_аналитики'!BG2448*'01_Вводные'!$B$14</f>
        <v/>
      </c>
      <c r="BI2449">
        <f>'19_Расчет_аналитики'!BH2448*'01_Вводные'!$B$14</f>
        <v/>
      </c>
      <c r="BJ2449">
        <f>'19_Расчет_аналитики'!BI2448*'01_Вводные'!$B$14</f>
        <v/>
      </c>
      <c r="BK2449">
        <f>'19_Расчет_аналитики'!BJ2448*'01_Вводные'!$B$14</f>
        <v/>
      </c>
      <c r="BL2449">
        <f>'19_Расчет_аналитики'!BK2448*'01_Вводные'!$B$14</f>
        <v/>
      </c>
      <c r="BM2449">
        <f>'19_Расчет_аналитики'!BL2448*'01_Вводные'!$B$14</f>
        <v/>
      </c>
      <c r="BN2449">
        <f>'19_Расчет_аналитики'!BM2448*'01_Вводные'!$B$14</f>
        <v/>
      </c>
      <c r="BO2449">
        <f>'19_Расчет_аналитики'!BN2448*'01_Вводные'!$B$14</f>
        <v/>
      </c>
    </row>
    <row r="2450">
      <c r="B2450">
        <f>'06_Сеть_и_дети'!B71</f>
        <v/>
      </c>
      <c r="C2450">
        <f>'06_Сеть_и_дети'!C71</f>
        <v/>
      </c>
      <c r="D2450">
        <f>'06_Сеть_и_дети'!D71</f>
        <v/>
      </c>
      <c r="E2450">
        <f>'06_Сеть_и_дети'!E71</f>
        <v/>
      </c>
      <c r="F2450">
        <f>'06_Сеть_и_дети'!F71</f>
        <v/>
      </c>
      <c r="G2450">
        <f>'06_Сеть_и_дети'!G71</f>
        <v/>
      </c>
      <c r="H2450">
        <f>'06_Сеть_и_дети'!H71</f>
        <v/>
      </c>
      <c r="I2450">
        <f>'06_Сеть_и_дети'!I71</f>
        <v/>
      </c>
      <c r="J2450">
        <f>'06_Сеть_и_дети'!J71</f>
        <v/>
      </c>
      <c r="K2450">
        <f>'06_Сеть_и_дети'!K71</f>
        <v/>
      </c>
      <c r="L2450">
        <f>'06_Сеть_и_дети'!L71</f>
        <v/>
      </c>
      <c r="M2450">
        <f>'06_Сеть_и_дети'!M71</f>
        <v/>
      </c>
      <c r="N2450">
        <f>'06_Сеть_и_дети'!N71</f>
        <v/>
      </c>
      <c r="O2450">
        <f>'06_Сеть_и_дети'!O71</f>
        <v/>
      </c>
      <c r="P2450">
        <f>'06_Сеть_и_дети'!P71</f>
        <v/>
      </c>
      <c r="Q2450">
        <f>'06_Сеть_и_дети'!Q71</f>
        <v/>
      </c>
      <c r="R2450">
        <f>'06_Сеть_и_дети'!R71</f>
        <v/>
      </c>
      <c r="S2450">
        <f>'06_Сеть_и_дети'!S71</f>
        <v/>
      </c>
      <c r="T2450">
        <f>'19_Расчет_аналитики'!S2449*'01_Вводные'!$B$14</f>
        <v/>
      </c>
      <c r="U2450">
        <f>'19_Расчет_аналитики'!T2449*'01_Вводные'!$B$14</f>
        <v/>
      </c>
      <c r="V2450">
        <f>'19_Расчет_аналитики'!U2449*'01_Вводные'!$B$14</f>
        <v/>
      </c>
      <c r="W2450">
        <f>'19_Расчет_аналитики'!V2449*'01_Вводные'!$B$14</f>
        <v/>
      </c>
      <c r="X2450">
        <f>'19_Расчет_аналитики'!W2449*'01_Вводные'!$B$14</f>
        <v/>
      </c>
      <c r="Y2450">
        <f>'19_Расчет_аналитики'!X2449*'01_Вводные'!$B$14</f>
        <v/>
      </c>
      <c r="Z2450">
        <f>'19_Расчет_аналитики'!Y2449*'01_Вводные'!$B$14</f>
        <v/>
      </c>
      <c r="AA2450">
        <f>'19_Расчет_аналитики'!Z2449*'01_Вводные'!$B$14</f>
        <v/>
      </c>
      <c r="AB2450">
        <f>'19_Расчет_аналитики'!AA2449*'01_Вводные'!$B$14</f>
        <v/>
      </c>
      <c r="AC2450">
        <f>'19_Расчет_аналитики'!AB2449*'01_Вводные'!$B$14</f>
        <v/>
      </c>
      <c r="AD2450">
        <f>'19_Расчет_аналитики'!AC2449*'01_Вводные'!$B$14</f>
        <v/>
      </c>
      <c r="AE2450">
        <f>'19_Расчет_аналитики'!AD2449*'01_Вводные'!$B$14</f>
        <v/>
      </c>
      <c r="AF2450">
        <f>'19_Расчет_аналитики'!AE2449*'01_Вводные'!$B$14</f>
        <v/>
      </c>
      <c r="AG2450">
        <f>'19_Расчет_аналитики'!AF2449*'01_Вводные'!$B$14</f>
        <v/>
      </c>
      <c r="AH2450">
        <f>'19_Расчет_аналитики'!AG2449*'01_Вводные'!$B$14</f>
        <v/>
      </c>
      <c r="AI2450">
        <f>'19_Расчет_аналитики'!AH2449*'01_Вводные'!$B$14</f>
        <v/>
      </c>
      <c r="AJ2450">
        <f>'19_Расчет_аналитики'!AI2449*'01_Вводные'!$B$14</f>
        <v/>
      </c>
      <c r="AK2450">
        <f>'19_Расчет_аналитики'!AJ2449*'01_Вводные'!$B$14</f>
        <v/>
      </c>
      <c r="AL2450">
        <f>'19_Расчет_аналитики'!AK2449*'01_Вводные'!$B$14</f>
        <v/>
      </c>
      <c r="AM2450">
        <f>'19_Расчет_аналитики'!AL2449*'01_Вводные'!$B$14</f>
        <v/>
      </c>
      <c r="AN2450">
        <f>'19_Расчет_аналитики'!AM2449*'01_Вводные'!$B$14</f>
        <v/>
      </c>
      <c r="AO2450">
        <f>'19_Расчет_аналитики'!AN2449*'01_Вводные'!$B$14</f>
        <v/>
      </c>
      <c r="AP2450">
        <f>'19_Расчет_аналитики'!AO2449*'01_Вводные'!$B$14</f>
        <v/>
      </c>
      <c r="AQ2450">
        <f>'19_Расчет_аналитики'!AP2449*'01_Вводные'!$B$14</f>
        <v/>
      </c>
      <c r="AR2450">
        <f>'19_Расчет_аналитики'!AQ2449*'01_Вводные'!$B$14</f>
        <v/>
      </c>
      <c r="AS2450">
        <f>'19_Расчет_аналитики'!AR2449*'01_Вводные'!$B$14</f>
        <v/>
      </c>
      <c r="AT2450">
        <f>'19_Расчет_аналитики'!AS2449*'01_Вводные'!$B$14</f>
        <v/>
      </c>
      <c r="AU2450">
        <f>'19_Расчет_аналитики'!AT2449*'01_Вводные'!$B$14</f>
        <v/>
      </c>
      <c r="AV2450">
        <f>'19_Расчет_аналитики'!AU2449*'01_Вводные'!$B$14</f>
        <v/>
      </c>
      <c r="AW2450">
        <f>'19_Расчет_аналитики'!AV2449*'01_Вводные'!$B$14</f>
        <v/>
      </c>
      <c r="AX2450">
        <f>'19_Расчет_аналитики'!AW2449*'01_Вводные'!$B$14</f>
        <v/>
      </c>
      <c r="AY2450">
        <f>'19_Расчет_аналитики'!AX2449*'01_Вводные'!$B$14</f>
        <v/>
      </c>
      <c r="AZ2450">
        <f>'19_Расчет_аналитики'!AY2449*'01_Вводные'!$B$14</f>
        <v/>
      </c>
      <c r="BA2450">
        <f>'19_Расчет_аналитики'!AZ2449*'01_Вводные'!$B$14</f>
        <v/>
      </c>
      <c r="BB2450">
        <f>'19_Расчет_аналитики'!BA2449*'01_Вводные'!$B$14</f>
        <v/>
      </c>
      <c r="BC2450">
        <f>'19_Расчет_аналитики'!BB2449*'01_Вводные'!$B$14</f>
        <v/>
      </c>
      <c r="BD2450">
        <f>'19_Расчет_аналитики'!BC2449*'01_Вводные'!$B$14</f>
        <v/>
      </c>
      <c r="BE2450">
        <f>'19_Расчет_аналитики'!BD2449*'01_Вводные'!$B$14</f>
        <v/>
      </c>
      <c r="BF2450">
        <f>'19_Расчет_аналитики'!BE2449*'01_Вводные'!$B$14</f>
        <v/>
      </c>
      <c r="BG2450">
        <f>'19_Расчет_аналитики'!BF2449*'01_Вводные'!$B$14</f>
        <v/>
      </c>
      <c r="BH2450">
        <f>'19_Расчет_аналитики'!BG2449*'01_Вводные'!$B$14</f>
        <v/>
      </c>
      <c r="BI2450">
        <f>'19_Расчет_аналитики'!BH2449*'01_Вводные'!$B$14</f>
        <v/>
      </c>
      <c r="BJ2450">
        <f>'19_Расчет_аналитики'!BI2449*'01_Вводные'!$B$14</f>
        <v/>
      </c>
      <c r="BK2450">
        <f>'19_Расчет_аналитики'!BJ2449*'01_Вводные'!$B$14</f>
        <v/>
      </c>
      <c r="BL2450">
        <f>'19_Расчет_аналитики'!BK2449*'01_Вводные'!$B$14</f>
        <v/>
      </c>
      <c r="BM2450">
        <f>'19_Расчет_аналитики'!BL2449*'01_Вводные'!$B$14</f>
        <v/>
      </c>
      <c r="BN2450">
        <f>'19_Расчет_аналитики'!BM2449*'01_Вводные'!$B$14</f>
        <v/>
      </c>
      <c r="BO2450">
        <f>'19_Расчет_аналитики'!BN2449*'01_Вводные'!$B$14</f>
        <v/>
      </c>
    </row>
    <row r="2451">
      <c r="B2451">
        <f>'06_Сеть_и_дети'!B72</f>
        <v/>
      </c>
      <c r="C2451">
        <f>'06_Сеть_и_дети'!C72</f>
        <v/>
      </c>
      <c r="D2451">
        <f>'06_Сеть_и_дети'!D72</f>
        <v/>
      </c>
      <c r="E2451">
        <f>'06_Сеть_и_дети'!E72</f>
        <v/>
      </c>
      <c r="F2451">
        <f>'06_Сеть_и_дети'!F72</f>
        <v/>
      </c>
      <c r="G2451">
        <f>'06_Сеть_и_дети'!G72</f>
        <v/>
      </c>
      <c r="H2451">
        <f>'06_Сеть_и_дети'!H72</f>
        <v/>
      </c>
      <c r="I2451">
        <f>'06_Сеть_и_дети'!I72</f>
        <v/>
      </c>
      <c r="J2451">
        <f>'06_Сеть_и_дети'!J72</f>
        <v/>
      </c>
      <c r="K2451">
        <f>'06_Сеть_и_дети'!K72</f>
        <v/>
      </c>
      <c r="L2451">
        <f>'06_Сеть_и_дети'!L72</f>
        <v/>
      </c>
      <c r="M2451">
        <f>'06_Сеть_и_дети'!M72</f>
        <v/>
      </c>
      <c r="N2451">
        <f>'06_Сеть_и_дети'!N72</f>
        <v/>
      </c>
      <c r="O2451">
        <f>'06_Сеть_и_дети'!O72</f>
        <v/>
      </c>
      <c r="P2451">
        <f>'06_Сеть_и_дети'!P72</f>
        <v/>
      </c>
      <c r="Q2451">
        <f>'06_Сеть_и_дети'!Q72</f>
        <v/>
      </c>
      <c r="R2451">
        <f>'06_Сеть_и_дети'!R72</f>
        <v/>
      </c>
      <c r="S2451">
        <f>'06_Сеть_и_дети'!S72</f>
        <v/>
      </c>
      <c r="T2451">
        <f>'06_Сеть_и_дети'!T72</f>
        <v/>
      </c>
      <c r="U2451">
        <f>'19_Расчет_аналитики'!T2450*'01_Вводные'!$B$14</f>
        <v/>
      </c>
      <c r="V2451">
        <f>'19_Расчет_аналитики'!U2450*'01_Вводные'!$B$14</f>
        <v/>
      </c>
      <c r="W2451">
        <f>'19_Расчет_аналитики'!V2450*'01_Вводные'!$B$14</f>
        <v/>
      </c>
      <c r="X2451">
        <f>'19_Расчет_аналитики'!W2450*'01_Вводные'!$B$14</f>
        <v/>
      </c>
      <c r="Y2451">
        <f>'19_Расчет_аналитики'!X2450*'01_Вводные'!$B$14</f>
        <v/>
      </c>
      <c r="Z2451">
        <f>'19_Расчет_аналитики'!Y2450*'01_Вводные'!$B$14</f>
        <v/>
      </c>
      <c r="AA2451">
        <f>'19_Расчет_аналитики'!Z2450*'01_Вводные'!$B$14</f>
        <v/>
      </c>
      <c r="AB2451">
        <f>'19_Расчет_аналитики'!AA2450*'01_Вводные'!$B$14</f>
        <v/>
      </c>
      <c r="AC2451">
        <f>'19_Расчет_аналитики'!AB2450*'01_Вводные'!$B$14</f>
        <v/>
      </c>
      <c r="AD2451">
        <f>'19_Расчет_аналитики'!AC2450*'01_Вводные'!$B$14</f>
        <v/>
      </c>
      <c r="AE2451">
        <f>'19_Расчет_аналитики'!AD2450*'01_Вводные'!$B$14</f>
        <v/>
      </c>
      <c r="AF2451">
        <f>'19_Расчет_аналитики'!AE2450*'01_Вводные'!$B$14</f>
        <v/>
      </c>
      <c r="AG2451">
        <f>'19_Расчет_аналитики'!AF2450*'01_Вводные'!$B$14</f>
        <v/>
      </c>
      <c r="AH2451">
        <f>'19_Расчет_аналитики'!AG2450*'01_Вводные'!$B$14</f>
        <v/>
      </c>
      <c r="AI2451">
        <f>'19_Расчет_аналитики'!AH2450*'01_Вводные'!$B$14</f>
        <v/>
      </c>
      <c r="AJ2451">
        <f>'19_Расчет_аналитики'!AI2450*'01_Вводные'!$B$14</f>
        <v/>
      </c>
      <c r="AK2451">
        <f>'19_Расчет_аналитики'!AJ2450*'01_Вводные'!$B$14</f>
        <v/>
      </c>
      <c r="AL2451">
        <f>'19_Расчет_аналитики'!AK2450*'01_Вводные'!$B$14</f>
        <v/>
      </c>
      <c r="AM2451">
        <f>'19_Расчет_аналитики'!AL2450*'01_Вводные'!$B$14</f>
        <v/>
      </c>
      <c r="AN2451">
        <f>'19_Расчет_аналитики'!AM2450*'01_Вводные'!$B$14</f>
        <v/>
      </c>
      <c r="AO2451">
        <f>'19_Расчет_аналитики'!AN2450*'01_Вводные'!$B$14</f>
        <v/>
      </c>
      <c r="AP2451">
        <f>'19_Расчет_аналитики'!AO2450*'01_Вводные'!$B$14</f>
        <v/>
      </c>
      <c r="AQ2451">
        <f>'19_Расчет_аналитики'!AP2450*'01_Вводные'!$B$14</f>
        <v/>
      </c>
      <c r="AR2451">
        <f>'19_Расчет_аналитики'!AQ2450*'01_Вводные'!$B$14</f>
        <v/>
      </c>
      <c r="AS2451">
        <f>'19_Расчет_аналитики'!AR2450*'01_Вводные'!$B$14</f>
        <v/>
      </c>
      <c r="AT2451">
        <f>'19_Расчет_аналитики'!AS2450*'01_Вводные'!$B$14</f>
        <v/>
      </c>
      <c r="AU2451">
        <f>'19_Расчет_аналитики'!AT2450*'01_Вводные'!$B$14</f>
        <v/>
      </c>
      <c r="AV2451">
        <f>'19_Расчет_аналитики'!AU2450*'01_Вводные'!$B$14</f>
        <v/>
      </c>
      <c r="AW2451">
        <f>'19_Расчет_аналитики'!AV2450*'01_Вводные'!$B$14</f>
        <v/>
      </c>
      <c r="AX2451">
        <f>'19_Расчет_аналитики'!AW2450*'01_Вводные'!$B$14</f>
        <v/>
      </c>
      <c r="AY2451">
        <f>'19_Расчет_аналитики'!AX2450*'01_Вводные'!$B$14</f>
        <v/>
      </c>
      <c r="AZ2451">
        <f>'19_Расчет_аналитики'!AY2450*'01_Вводные'!$B$14</f>
        <v/>
      </c>
      <c r="BA2451">
        <f>'19_Расчет_аналитики'!AZ2450*'01_Вводные'!$B$14</f>
        <v/>
      </c>
      <c r="BB2451">
        <f>'19_Расчет_аналитики'!BA2450*'01_Вводные'!$B$14</f>
        <v/>
      </c>
      <c r="BC2451">
        <f>'19_Расчет_аналитики'!BB2450*'01_Вводные'!$B$14</f>
        <v/>
      </c>
      <c r="BD2451">
        <f>'19_Расчет_аналитики'!BC2450*'01_Вводные'!$B$14</f>
        <v/>
      </c>
      <c r="BE2451">
        <f>'19_Расчет_аналитики'!BD2450*'01_Вводные'!$B$14</f>
        <v/>
      </c>
      <c r="BF2451">
        <f>'19_Расчет_аналитики'!BE2450*'01_Вводные'!$B$14</f>
        <v/>
      </c>
      <c r="BG2451">
        <f>'19_Расчет_аналитики'!BF2450*'01_Вводные'!$B$14</f>
        <v/>
      </c>
      <c r="BH2451">
        <f>'19_Расчет_аналитики'!BG2450*'01_Вводные'!$B$14</f>
        <v/>
      </c>
      <c r="BI2451">
        <f>'19_Расчет_аналитики'!BH2450*'01_Вводные'!$B$14</f>
        <v/>
      </c>
      <c r="BJ2451">
        <f>'19_Расчет_аналитики'!BI2450*'01_Вводные'!$B$14</f>
        <v/>
      </c>
      <c r="BK2451">
        <f>'19_Расчет_аналитики'!BJ2450*'01_Вводные'!$B$14</f>
        <v/>
      </c>
      <c r="BL2451">
        <f>'19_Расчет_аналитики'!BK2450*'01_Вводные'!$B$14</f>
        <v/>
      </c>
      <c r="BM2451">
        <f>'19_Расчет_аналитики'!BL2450*'01_Вводные'!$B$14</f>
        <v/>
      </c>
      <c r="BN2451">
        <f>'19_Расчет_аналитики'!BM2450*'01_Вводные'!$B$14</f>
        <v/>
      </c>
      <c r="BO2451">
        <f>'19_Расчет_аналитики'!BN2450*'01_Вводные'!$B$14</f>
        <v/>
      </c>
    </row>
    <row r="2452">
      <c r="B2452">
        <f>'06_Сеть_и_дети'!B73</f>
        <v/>
      </c>
      <c r="C2452">
        <f>'06_Сеть_и_дети'!C73</f>
        <v/>
      </c>
      <c r="D2452">
        <f>'06_Сеть_и_дети'!D73</f>
        <v/>
      </c>
      <c r="E2452">
        <f>'06_Сеть_и_дети'!E73</f>
        <v/>
      </c>
      <c r="F2452">
        <f>'06_Сеть_и_дети'!F73</f>
        <v/>
      </c>
      <c r="G2452">
        <f>'06_Сеть_и_дети'!G73</f>
        <v/>
      </c>
      <c r="H2452">
        <f>'06_Сеть_и_дети'!H73</f>
        <v/>
      </c>
      <c r="I2452">
        <f>'06_Сеть_и_дети'!I73</f>
        <v/>
      </c>
      <c r="J2452">
        <f>'06_Сеть_и_дети'!J73</f>
        <v/>
      </c>
      <c r="K2452">
        <f>'06_Сеть_и_дети'!K73</f>
        <v/>
      </c>
      <c r="L2452">
        <f>'06_Сеть_и_дети'!L73</f>
        <v/>
      </c>
      <c r="M2452">
        <f>'06_Сеть_и_дети'!M73</f>
        <v/>
      </c>
      <c r="N2452">
        <f>'06_Сеть_и_дети'!N73</f>
        <v/>
      </c>
      <c r="O2452">
        <f>'06_Сеть_и_дети'!O73</f>
        <v/>
      </c>
      <c r="P2452">
        <f>'06_Сеть_и_дети'!P73</f>
        <v/>
      </c>
      <c r="Q2452">
        <f>'06_Сеть_и_дети'!Q73</f>
        <v/>
      </c>
      <c r="R2452">
        <f>'06_Сеть_и_дети'!R73</f>
        <v/>
      </c>
      <c r="S2452">
        <f>'06_Сеть_и_дети'!S73</f>
        <v/>
      </c>
      <c r="T2452">
        <f>'06_Сеть_и_дети'!T73</f>
        <v/>
      </c>
      <c r="U2452">
        <f>'06_Сеть_и_дети'!U73</f>
        <v/>
      </c>
      <c r="V2452">
        <f>'19_Расчет_аналитики'!U2451*'01_Вводные'!$B$14</f>
        <v/>
      </c>
      <c r="W2452">
        <f>'19_Расчет_аналитики'!V2451*'01_Вводные'!$B$14</f>
        <v/>
      </c>
      <c r="X2452">
        <f>'19_Расчет_аналитики'!W2451*'01_Вводные'!$B$14</f>
        <v/>
      </c>
      <c r="Y2452">
        <f>'19_Расчет_аналитики'!X2451*'01_Вводные'!$B$14</f>
        <v/>
      </c>
      <c r="Z2452">
        <f>'19_Расчет_аналитики'!Y2451*'01_Вводные'!$B$14</f>
        <v/>
      </c>
      <c r="AA2452">
        <f>'19_Расчет_аналитики'!Z2451*'01_Вводные'!$B$14</f>
        <v/>
      </c>
      <c r="AB2452">
        <f>'19_Расчет_аналитики'!AA2451*'01_Вводные'!$B$14</f>
        <v/>
      </c>
      <c r="AC2452">
        <f>'19_Расчет_аналитики'!AB2451*'01_Вводные'!$B$14</f>
        <v/>
      </c>
      <c r="AD2452">
        <f>'19_Расчет_аналитики'!AC2451*'01_Вводные'!$B$14</f>
        <v/>
      </c>
      <c r="AE2452">
        <f>'19_Расчет_аналитики'!AD2451*'01_Вводные'!$B$14</f>
        <v/>
      </c>
      <c r="AF2452">
        <f>'19_Расчет_аналитики'!AE2451*'01_Вводные'!$B$14</f>
        <v/>
      </c>
      <c r="AG2452">
        <f>'19_Расчет_аналитики'!AF2451*'01_Вводные'!$B$14</f>
        <v/>
      </c>
      <c r="AH2452">
        <f>'19_Расчет_аналитики'!AG2451*'01_Вводные'!$B$14</f>
        <v/>
      </c>
      <c r="AI2452">
        <f>'19_Расчет_аналитики'!AH2451*'01_Вводные'!$B$14</f>
        <v/>
      </c>
      <c r="AJ2452">
        <f>'19_Расчет_аналитики'!AI2451*'01_Вводные'!$B$14</f>
        <v/>
      </c>
      <c r="AK2452">
        <f>'19_Расчет_аналитики'!AJ2451*'01_Вводные'!$B$14</f>
        <v/>
      </c>
      <c r="AL2452">
        <f>'19_Расчет_аналитики'!AK2451*'01_Вводные'!$B$14</f>
        <v/>
      </c>
      <c r="AM2452">
        <f>'19_Расчет_аналитики'!AL2451*'01_Вводные'!$B$14</f>
        <v/>
      </c>
      <c r="AN2452">
        <f>'19_Расчет_аналитики'!AM2451*'01_Вводные'!$B$14</f>
        <v/>
      </c>
      <c r="AO2452">
        <f>'19_Расчет_аналитики'!AN2451*'01_Вводные'!$B$14</f>
        <v/>
      </c>
      <c r="AP2452">
        <f>'19_Расчет_аналитики'!AO2451*'01_Вводные'!$B$14</f>
        <v/>
      </c>
      <c r="AQ2452">
        <f>'19_Расчет_аналитики'!AP2451*'01_Вводные'!$B$14</f>
        <v/>
      </c>
      <c r="AR2452">
        <f>'19_Расчет_аналитики'!AQ2451*'01_Вводные'!$B$14</f>
        <v/>
      </c>
      <c r="AS2452">
        <f>'19_Расчет_аналитики'!AR2451*'01_Вводные'!$B$14</f>
        <v/>
      </c>
      <c r="AT2452">
        <f>'19_Расчет_аналитики'!AS2451*'01_Вводные'!$B$14</f>
        <v/>
      </c>
      <c r="AU2452">
        <f>'19_Расчет_аналитики'!AT2451*'01_Вводные'!$B$14</f>
        <v/>
      </c>
      <c r="AV2452">
        <f>'19_Расчет_аналитики'!AU2451*'01_Вводные'!$B$14</f>
        <v/>
      </c>
      <c r="AW2452">
        <f>'19_Расчет_аналитики'!AV2451*'01_Вводные'!$B$14</f>
        <v/>
      </c>
      <c r="AX2452">
        <f>'19_Расчет_аналитики'!AW2451*'01_Вводные'!$B$14</f>
        <v/>
      </c>
      <c r="AY2452">
        <f>'19_Расчет_аналитики'!AX2451*'01_Вводные'!$B$14</f>
        <v/>
      </c>
      <c r="AZ2452">
        <f>'19_Расчет_аналитики'!AY2451*'01_Вводные'!$B$14</f>
        <v/>
      </c>
      <c r="BA2452">
        <f>'19_Расчет_аналитики'!AZ2451*'01_Вводные'!$B$14</f>
        <v/>
      </c>
      <c r="BB2452">
        <f>'19_Расчет_аналитики'!BA2451*'01_Вводные'!$B$14</f>
        <v/>
      </c>
      <c r="BC2452">
        <f>'19_Расчет_аналитики'!BB2451*'01_Вводные'!$B$14</f>
        <v/>
      </c>
      <c r="BD2452">
        <f>'19_Расчет_аналитики'!BC2451*'01_Вводные'!$B$14</f>
        <v/>
      </c>
      <c r="BE2452">
        <f>'19_Расчет_аналитики'!BD2451*'01_Вводные'!$B$14</f>
        <v/>
      </c>
      <c r="BF2452">
        <f>'19_Расчет_аналитики'!BE2451*'01_Вводные'!$B$14</f>
        <v/>
      </c>
      <c r="BG2452">
        <f>'19_Расчет_аналитики'!BF2451*'01_Вводные'!$B$14</f>
        <v/>
      </c>
      <c r="BH2452">
        <f>'19_Расчет_аналитики'!BG2451*'01_Вводные'!$B$14</f>
        <v/>
      </c>
      <c r="BI2452">
        <f>'19_Расчет_аналитики'!BH2451*'01_Вводные'!$B$14</f>
        <v/>
      </c>
      <c r="BJ2452">
        <f>'19_Расчет_аналитики'!BI2451*'01_Вводные'!$B$14</f>
        <v/>
      </c>
      <c r="BK2452">
        <f>'19_Расчет_аналитики'!BJ2451*'01_Вводные'!$B$14</f>
        <v/>
      </c>
      <c r="BL2452">
        <f>'19_Расчет_аналитики'!BK2451*'01_Вводные'!$B$14</f>
        <v/>
      </c>
      <c r="BM2452">
        <f>'19_Расчет_аналитики'!BL2451*'01_Вводные'!$B$14</f>
        <v/>
      </c>
      <c r="BN2452">
        <f>'19_Расчет_аналитики'!BM2451*'01_Вводные'!$B$14</f>
        <v/>
      </c>
      <c r="BO2452">
        <f>'19_Расчет_аналитики'!BN2451*'01_Вводные'!$B$14</f>
        <v/>
      </c>
    </row>
    <row r="2453">
      <c r="B2453">
        <f>'06_Сеть_и_дети'!B74</f>
        <v/>
      </c>
      <c r="C2453">
        <f>'06_Сеть_и_дети'!C74</f>
        <v/>
      </c>
      <c r="D2453">
        <f>'06_Сеть_и_дети'!D74</f>
        <v/>
      </c>
      <c r="E2453">
        <f>'06_Сеть_и_дети'!E74</f>
        <v/>
      </c>
      <c r="F2453">
        <f>'06_Сеть_и_дети'!F74</f>
        <v/>
      </c>
      <c r="G2453">
        <f>'06_Сеть_и_дети'!G74</f>
        <v/>
      </c>
      <c r="H2453">
        <f>'06_Сеть_и_дети'!H74</f>
        <v/>
      </c>
      <c r="I2453">
        <f>'06_Сеть_и_дети'!I74</f>
        <v/>
      </c>
      <c r="J2453">
        <f>'06_Сеть_и_дети'!J74</f>
        <v/>
      </c>
      <c r="K2453">
        <f>'06_Сеть_и_дети'!K74</f>
        <v/>
      </c>
      <c r="L2453">
        <f>'06_Сеть_и_дети'!L74</f>
        <v/>
      </c>
      <c r="M2453">
        <f>'06_Сеть_и_дети'!M74</f>
        <v/>
      </c>
      <c r="N2453">
        <f>'06_Сеть_и_дети'!N74</f>
        <v/>
      </c>
      <c r="O2453">
        <f>'06_Сеть_и_дети'!O74</f>
        <v/>
      </c>
      <c r="P2453">
        <f>'06_Сеть_и_дети'!P74</f>
        <v/>
      </c>
      <c r="Q2453">
        <f>'06_Сеть_и_дети'!Q74</f>
        <v/>
      </c>
      <c r="R2453">
        <f>'06_Сеть_и_дети'!R74</f>
        <v/>
      </c>
      <c r="S2453">
        <f>'06_Сеть_и_дети'!S74</f>
        <v/>
      </c>
      <c r="T2453">
        <f>'06_Сеть_и_дети'!T74</f>
        <v/>
      </c>
      <c r="U2453">
        <f>'06_Сеть_и_дети'!U74</f>
        <v/>
      </c>
      <c r="V2453">
        <f>'06_Сеть_и_дети'!V74</f>
        <v/>
      </c>
      <c r="W2453">
        <f>'19_Расчет_аналитики'!V2452*'01_Вводные'!$B$14</f>
        <v/>
      </c>
      <c r="X2453">
        <f>'19_Расчет_аналитики'!W2452*'01_Вводные'!$B$14</f>
        <v/>
      </c>
      <c r="Y2453">
        <f>'19_Расчет_аналитики'!X2452*'01_Вводные'!$B$14</f>
        <v/>
      </c>
      <c r="Z2453">
        <f>'19_Расчет_аналитики'!Y2452*'01_Вводные'!$B$14</f>
        <v/>
      </c>
      <c r="AA2453">
        <f>'19_Расчет_аналитики'!Z2452*'01_Вводные'!$B$14</f>
        <v/>
      </c>
      <c r="AB2453">
        <f>'19_Расчет_аналитики'!AA2452*'01_Вводные'!$B$14</f>
        <v/>
      </c>
      <c r="AC2453">
        <f>'19_Расчет_аналитики'!AB2452*'01_Вводные'!$B$14</f>
        <v/>
      </c>
      <c r="AD2453">
        <f>'19_Расчет_аналитики'!AC2452*'01_Вводные'!$B$14</f>
        <v/>
      </c>
      <c r="AE2453">
        <f>'19_Расчет_аналитики'!AD2452*'01_Вводные'!$B$14</f>
        <v/>
      </c>
      <c r="AF2453">
        <f>'19_Расчет_аналитики'!AE2452*'01_Вводные'!$B$14</f>
        <v/>
      </c>
      <c r="AG2453">
        <f>'19_Расчет_аналитики'!AF2452*'01_Вводные'!$B$14</f>
        <v/>
      </c>
      <c r="AH2453">
        <f>'19_Расчет_аналитики'!AG2452*'01_Вводные'!$B$14</f>
        <v/>
      </c>
      <c r="AI2453">
        <f>'19_Расчет_аналитики'!AH2452*'01_Вводные'!$B$14</f>
        <v/>
      </c>
      <c r="AJ2453">
        <f>'19_Расчет_аналитики'!AI2452*'01_Вводные'!$B$14</f>
        <v/>
      </c>
      <c r="AK2453">
        <f>'19_Расчет_аналитики'!AJ2452*'01_Вводные'!$B$14</f>
        <v/>
      </c>
      <c r="AL2453">
        <f>'19_Расчет_аналитики'!AK2452*'01_Вводные'!$B$14</f>
        <v/>
      </c>
      <c r="AM2453">
        <f>'19_Расчет_аналитики'!AL2452*'01_Вводные'!$B$14</f>
        <v/>
      </c>
      <c r="AN2453">
        <f>'19_Расчет_аналитики'!AM2452*'01_Вводные'!$B$14</f>
        <v/>
      </c>
      <c r="AO2453">
        <f>'19_Расчет_аналитики'!AN2452*'01_Вводные'!$B$14</f>
        <v/>
      </c>
      <c r="AP2453">
        <f>'19_Расчет_аналитики'!AO2452*'01_Вводные'!$B$14</f>
        <v/>
      </c>
      <c r="AQ2453">
        <f>'19_Расчет_аналитики'!AP2452*'01_Вводные'!$B$14</f>
        <v/>
      </c>
      <c r="AR2453">
        <f>'19_Расчет_аналитики'!AQ2452*'01_Вводные'!$B$14</f>
        <v/>
      </c>
      <c r="AS2453">
        <f>'19_Расчет_аналитики'!AR2452*'01_Вводные'!$B$14</f>
        <v/>
      </c>
      <c r="AT2453">
        <f>'19_Расчет_аналитики'!AS2452*'01_Вводные'!$B$14</f>
        <v/>
      </c>
      <c r="AU2453">
        <f>'19_Расчет_аналитики'!AT2452*'01_Вводные'!$B$14</f>
        <v/>
      </c>
      <c r="AV2453">
        <f>'19_Расчет_аналитики'!AU2452*'01_Вводные'!$B$14</f>
        <v/>
      </c>
      <c r="AW2453">
        <f>'19_Расчет_аналитики'!AV2452*'01_Вводные'!$B$14</f>
        <v/>
      </c>
      <c r="AX2453">
        <f>'19_Расчет_аналитики'!AW2452*'01_Вводные'!$B$14</f>
        <v/>
      </c>
      <c r="AY2453">
        <f>'19_Расчет_аналитики'!AX2452*'01_Вводные'!$B$14</f>
        <v/>
      </c>
      <c r="AZ2453">
        <f>'19_Расчет_аналитики'!AY2452*'01_Вводные'!$B$14</f>
        <v/>
      </c>
      <c r="BA2453">
        <f>'19_Расчет_аналитики'!AZ2452*'01_Вводные'!$B$14</f>
        <v/>
      </c>
      <c r="BB2453">
        <f>'19_Расчет_аналитики'!BA2452*'01_Вводные'!$B$14</f>
        <v/>
      </c>
      <c r="BC2453">
        <f>'19_Расчет_аналитики'!BB2452*'01_Вводные'!$B$14</f>
        <v/>
      </c>
      <c r="BD2453">
        <f>'19_Расчет_аналитики'!BC2452*'01_Вводные'!$B$14</f>
        <v/>
      </c>
      <c r="BE2453">
        <f>'19_Расчет_аналитики'!BD2452*'01_Вводные'!$B$14</f>
        <v/>
      </c>
      <c r="BF2453">
        <f>'19_Расчет_аналитики'!BE2452*'01_Вводные'!$B$14</f>
        <v/>
      </c>
      <c r="BG2453">
        <f>'19_Расчет_аналитики'!BF2452*'01_Вводные'!$B$14</f>
        <v/>
      </c>
      <c r="BH2453">
        <f>'19_Расчет_аналитики'!BG2452*'01_Вводные'!$B$14</f>
        <v/>
      </c>
      <c r="BI2453">
        <f>'19_Расчет_аналитики'!BH2452*'01_Вводные'!$B$14</f>
        <v/>
      </c>
      <c r="BJ2453">
        <f>'19_Расчет_аналитики'!BI2452*'01_Вводные'!$B$14</f>
        <v/>
      </c>
      <c r="BK2453">
        <f>'19_Расчет_аналитики'!BJ2452*'01_Вводные'!$B$14</f>
        <v/>
      </c>
      <c r="BL2453">
        <f>'19_Расчет_аналитики'!BK2452*'01_Вводные'!$B$14</f>
        <v/>
      </c>
      <c r="BM2453">
        <f>'19_Расчет_аналитики'!BL2452*'01_Вводные'!$B$14</f>
        <v/>
      </c>
      <c r="BN2453">
        <f>'19_Расчет_аналитики'!BM2452*'01_Вводные'!$B$14</f>
        <v/>
      </c>
      <c r="BO2453">
        <f>'19_Расчет_аналитики'!BN2452*'01_Вводные'!$B$14</f>
        <v/>
      </c>
    </row>
    <row r="2454">
      <c r="B2454">
        <f>'06_Сеть_и_дети'!B75</f>
        <v/>
      </c>
      <c r="C2454">
        <f>'06_Сеть_и_дети'!C75</f>
        <v/>
      </c>
      <c r="D2454">
        <f>'06_Сеть_и_дети'!D75</f>
        <v/>
      </c>
      <c r="E2454">
        <f>'06_Сеть_и_дети'!E75</f>
        <v/>
      </c>
      <c r="F2454">
        <f>'06_Сеть_и_дети'!F75</f>
        <v/>
      </c>
      <c r="G2454">
        <f>'06_Сеть_и_дети'!G75</f>
        <v/>
      </c>
      <c r="H2454">
        <f>'06_Сеть_и_дети'!H75</f>
        <v/>
      </c>
      <c r="I2454">
        <f>'06_Сеть_и_дети'!I75</f>
        <v/>
      </c>
      <c r="J2454">
        <f>'06_Сеть_и_дети'!J75</f>
        <v/>
      </c>
      <c r="K2454">
        <f>'06_Сеть_и_дети'!K75</f>
        <v/>
      </c>
      <c r="L2454">
        <f>'06_Сеть_и_дети'!L75</f>
        <v/>
      </c>
      <c r="M2454">
        <f>'06_Сеть_и_дети'!M75</f>
        <v/>
      </c>
      <c r="N2454">
        <f>'06_Сеть_и_дети'!N75</f>
        <v/>
      </c>
      <c r="O2454">
        <f>'06_Сеть_и_дети'!O75</f>
        <v/>
      </c>
      <c r="P2454">
        <f>'06_Сеть_и_дети'!P75</f>
        <v/>
      </c>
      <c r="Q2454">
        <f>'06_Сеть_и_дети'!Q75</f>
        <v/>
      </c>
      <c r="R2454">
        <f>'06_Сеть_и_дети'!R75</f>
        <v/>
      </c>
      <c r="S2454">
        <f>'06_Сеть_и_дети'!S75</f>
        <v/>
      </c>
      <c r="T2454">
        <f>'06_Сеть_и_дети'!T75</f>
        <v/>
      </c>
      <c r="U2454">
        <f>'06_Сеть_и_дети'!U75</f>
        <v/>
      </c>
      <c r="V2454">
        <f>'06_Сеть_и_дети'!V75</f>
        <v/>
      </c>
      <c r="W2454">
        <f>'06_Сеть_и_дети'!W75</f>
        <v/>
      </c>
      <c r="X2454">
        <f>'19_Расчет_аналитики'!W2453*'01_Вводные'!$B$14</f>
        <v/>
      </c>
      <c r="Y2454">
        <f>'19_Расчет_аналитики'!X2453*'01_Вводные'!$B$14</f>
        <v/>
      </c>
      <c r="Z2454">
        <f>'19_Расчет_аналитики'!Y2453*'01_Вводные'!$B$14</f>
        <v/>
      </c>
      <c r="AA2454">
        <f>'19_Расчет_аналитики'!Z2453*'01_Вводные'!$B$14</f>
        <v/>
      </c>
      <c r="AB2454">
        <f>'19_Расчет_аналитики'!AA2453*'01_Вводные'!$B$14</f>
        <v/>
      </c>
      <c r="AC2454">
        <f>'19_Расчет_аналитики'!AB2453*'01_Вводные'!$B$14</f>
        <v/>
      </c>
      <c r="AD2454">
        <f>'19_Расчет_аналитики'!AC2453*'01_Вводные'!$B$14</f>
        <v/>
      </c>
      <c r="AE2454">
        <f>'19_Расчет_аналитики'!AD2453*'01_Вводные'!$B$14</f>
        <v/>
      </c>
      <c r="AF2454">
        <f>'19_Расчет_аналитики'!AE2453*'01_Вводные'!$B$14</f>
        <v/>
      </c>
      <c r="AG2454">
        <f>'19_Расчет_аналитики'!AF2453*'01_Вводные'!$B$14</f>
        <v/>
      </c>
      <c r="AH2454">
        <f>'19_Расчет_аналитики'!AG2453*'01_Вводные'!$B$14</f>
        <v/>
      </c>
      <c r="AI2454">
        <f>'19_Расчет_аналитики'!AH2453*'01_Вводные'!$B$14</f>
        <v/>
      </c>
      <c r="AJ2454">
        <f>'19_Расчет_аналитики'!AI2453*'01_Вводные'!$B$14</f>
        <v/>
      </c>
      <c r="AK2454">
        <f>'19_Расчет_аналитики'!AJ2453*'01_Вводные'!$B$14</f>
        <v/>
      </c>
      <c r="AL2454">
        <f>'19_Расчет_аналитики'!AK2453*'01_Вводные'!$B$14</f>
        <v/>
      </c>
      <c r="AM2454">
        <f>'19_Расчет_аналитики'!AL2453*'01_Вводные'!$B$14</f>
        <v/>
      </c>
      <c r="AN2454">
        <f>'19_Расчет_аналитики'!AM2453*'01_Вводные'!$B$14</f>
        <v/>
      </c>
      <c r="AO2454">
        <f>'19_Расчет_аналитики'!AN2453*'01_Вводные'!$B$14</f>
        <v/>
      </c>
      <c r="AP2454">
        <f>'19_Расчет_аналитики'!AO2453*'01_Вводные'!$B$14</f>
        <v/>
      </c>
      <c r="AQ2454">
        <f>'19_Расчет_аналитики'!AP2453*'01_Вводные'!$B$14</f>
        <v/>
      </c>
      <c r="AR2454">
        <f>'19_Расчет_аналитики'!AQ2453*'01_Вводные'!$B$14</f>
        <v/>
      </c>
      <c r="AS2454">
        <f>'19_Расчет_аналитики'!AR2453*'01_Вводные'!$B$14</f>
        <v/>
      </c>
      <c r="AT2454">
        <f>'19_Расчет_аналитики'!AS2453*'01_Вводные'!$B$14</f>
        <v/>
      </c>
      <c r="AU2454">
        <f>'19_Расчет_аналитики'!AT2453*'01_Вводные'!$B$14</f>
        <v/>
      </c>
      <c r="AV2454">
        <f>'19_Расчет_аналитики'!AU2453*'01_Вводные'!$B$14</f>
        <v/>
      </c>
      <c r="AW2454">
        <f>'19_Расчет_аналитики'!AV2453*'01_Вводные'!$B$14</f>
        <v/>
      </c>
      <c r="AX2454">
        <f>'19_Расчет_аналитики'!AW2453*'01_Вводные'!$B$14</f>
        <v/>
      </c>
      <c r="AY2454">
        <f>'19_Расчет_аналитики'!AX2453*'01_Вводные'!$B$14</f>
        <v/>
      </c>
      <c r="AZ2454">
        <f>'19_Расчет_аналитики'!AY2453*'01_Вводные'!$B$14</f>
        <v/>
      </c>
      <c r="BA2454">
        <f>'19_Расчет_аналитики'!AZ2453*'01_Вводные'!$B$14</f>
        <v/>
      </c>
      <c r="BB2454">
        <f>'19_Расчет_аналитики'!BA2453*'01_Вводные'!$B$14</f>
        <v/>
      </c>
      <c r="BC2454">
        <f>'19_Расчет_аналитики'!BB2453*'01_Вводные'!$B$14</f>
        <v/>
      </c>
      <c r="BD2454">
        <f>'19_Расчет_аналитики'!BC2453*'01_Вводные'!$B$14</f>
        <v/>
      </c>
      <c r="BE2454">
        <f>'19_Расчет_аналитики'!BD2453*'01_Вводные'!$B$14</f>
        <v/>
      </c>
      <c r="BF2454">
        <f>'19_Расчет_аналитики'!BE2453*'01_Вводные'!$B$14</f>
        <v/>
      </c>
      <c r="BG2454">
        <f>'19_Расчет_аналитики'!BF2453*'01_Вводные'!$B$14</f>
        <v/>
      </c>
      <c r="BH2454">
        <f>'19_Расчет_аналитики'!BG2453*'01_Вводные'!$B$14</f>
        <v/>
      </c>
      <c r="BI2454">
        <f>'19_Расчет_аналитики'!BH2453*'01_Вводные'!$B$14</f>
        <v/>
      </c>
      <c r="BJ2454">
        <f>'19_Расчет_аналитики'!BI2453*'01_Вводные'!$B$14</f>
        <v/>
      </c>
      <c r="BK2454">
        <f>'19_Расчет_аналитики'!BJ2453*'01_Вводные'!$B$14</f>
        <v/>
      </c>
      <c r="BL2454">
        <f>'19_Расчет_аналитики'!BK2453*'01_Вводные'!$B$14</f>
        <v/>
      </c>
      <c r="BM2454">
        <f>'19_Расчет_аналитики'!BL2453*'01_Вводные'!$B$14</f>
        <v/>
      </c>
      <c r="BN2454">
        <f>'19_Расчет_аналитики'!BM2453*'01_Вводные'!$B$14</f>
        <v/>
      </c>
      <c r="BO2454">
        <f>'19_Расчет_аналитики'!BN2453*'01_Вводные'!$B$14</f>
        <v/>
      </c>
    </row>
    <row r="2455">
      <c r="B2455">
        <f>'06_Сеть_и_дети'!B76</f>
        <v/>
      </c>
      <c r="C2455">
        <f>'06_Сеть_и_дети'!C76</f>
        <v/>
      </c>
      <c r="D2455">
        <f>'06_Сеть_и_дети'!D76</f>
        <v/>
      </c>
      <c r="E2455">
        <f>'06_Сеть_и_дети'!E76</f>
        <v/>
      </c>
      <c r="F2455">
        <f>'06_Сеть_и_дети'!F76</f>
        <v/>
      </c>
      <c r="G2455">
        <f>'06_Сеть_и_дети'!G76</f>
        <v/>
      </c>
      <c r="H2455">
        <f>'06_Сеть_и_дети'!H76</f>
        <v/>
      </c>
      <c r="I2455">
        <f>'06_Сеть_и_дети'!I76</f>
        <v/>
      </c>
      <c r="J2455">
        <f>'06_Сеть_и_дети'!J76</f>
        <v/>
      </c>
      <c r="K2455">
        <f>'06_Сеть_и_дети'!K76</f>
        <v/>
      </c>
      <c r="L2455">
        <f>'06_Сеть_и_дети'!L76</f>
        <v/>
      </c>
      <c r="M2455">
        <f>'06_Сеть_и_дети'!M76</f>
        <v/>
      </c>
      <c r="N2455">
        <f>'06_Сеть_и_дети'!N76</f>
        <v/>
      </c>
      <c r="O2455">
        <f>'06_Сеть_и_дети'!O76</f>
        <v/>
      </c>
      <c r="P2455">
        <f>'06_Сеть_и_дети'!P76</f>
        <v/>
      </c>
      <c r="Q2455">
        <f>'06_Сеть_и_дети'!Q76</f>
        <v/>
      </c>
      <c r="R2455">
        <f>'06_Сеть_и_дети'!R76</f>
        <v/>
      </c>
      <c r="S2455">
        <f>'06_Сеть_и_дети'!S76</f>
        <v/>
      </c>
      <c r="T2455">
        <f>'06_Сеть_и_дети'!T76</f>
        <v/>
      </c>
      <c r="U2455">
        <f>'06_Сеть_и_дети'!U76</f>
        <v/>
      </c>
      <c r="V2455">
        <f>'06_Сеть_и_дети'!V76</f>
        <v/>
      </c>
      <c r="W2455">
        <f>'06_Сеть_и_дети'!W76</f>
        <v/>
      </c>
      <c r="X2455">
        <f>'06_Сеть_и_дети'!X76</f>
        <v/>
      </c>
      <c r="Y2455">
        <f>'19_Расчет_аналитики'!X2454*'01_Вводные'!$B$14</f>
        <v/>
      </c>
      <c r="Z2455">
        <f>'19_Расчет_аналитики'!Y2454*'01_Вводные'!$B$14</f>
        <v/>
      </c>
      <c r="AA2455">
        <f>'19_Расчет_аналитики'!Z2454*'01_Вводные'!$B$14</f>
        <v/>
      </c>
      <c r="AB2455">
        <f>'19_Расчет_аналитики'!AA2454*'01_Вводные'!$B$14</f>
        <v/>
      </c>
      <c r="AC2455">
        <f>'19_Расчет_аналитики'!AB2454*'01_Вводные'!$B$14</f>
        <v/>
      </c>
      <c r="AD2455">
        <f>'19_Расчет_аналитики'!AC2454*'01_Вводные'!$B$14</f>
        <v/>
      </c>
      <c r="AE2455">
        <f>'19_Расчет_аналитики'!AD2454*'01_Вводные'!$B$14</f>
        <v/>
      </c>
      <c r="AF2455">
        <f>'19_Расчет_аналитики'!AE2454*'01_Вводные'!$B$14</f>
        <v/>
      </c>
      <c r="AG2455">
        <f>'19_Расчет_аналитики'!AF2454*'01_Вводные'!$B$14</f>
        <v/>
      </c>
      <c r="AH2455">
        <f>'19_Расчет_аналитики'!AG2454*'01_Вводные'!$B$14</f>
        <v/>
      </c>
      <c r="AI2455">
        <f>'19_Расчет_аналитики'!AH2454*'01_Вводные'!$B$14</f>
        <v/>
      </c>
      <c r="AJ2455">
        <f>'19_Расчет_аналитики'!AI2454*'01_Вводные'!$B$14</f>
        <v/>
      </c>
      <c r="AK2455">
        <f>'19_Расчет_аналитики'!AJ2454*'01_Вводные'!$B$14</f>
        <v/>
      </c>
      <c r="AL2455">
        <f>'19_Расчет_аналитики'!AK2454*'01_Вводные'!$B$14</f>
        <v/>
      </c>
      <c r="AM2455">
        <f>'19_Расчет_аналитики'!AL2454*'01_Вводные'!$B$14</f>
        <v/>
      </c>
      <c r="AN2455">
        <f>'19_Расчет_аналитики'!AM2454*'01_Вводные'!$B$14</f>
        <v/>
      </c>
      <c r="AO2455">
        <f>'19_Расчет_аналитики'!AN2454*'01_Вводные'!$B$14</f>
        <v/>
      </c>
      <c r="AP2455">
        <f>'19_Расчет_аналитики'!AO2454*'01_Вводные'!$B$14</f>
        <v/>
      </c>
      <c r="AQ2455">
        <f>'19_Расчет_аналитики'!AP2454*'01_Вводные'!$B$14</f>
        <v/>
      </c>
      <c r="AR2455">
        <f>'19_Расчет_аналитики'!AQ2454*'01_Вводные'!$B$14</f>
        <v/>
      </c>
      <c r="AS2455">
        <f>'19_Расчет_аналитики'!AR2454*'01_Вводные'!$B$14</f>
        <v/>
      </c>
      <c r="AT2455">
        <f>'19_Расчет_аналитики'!AS2454*'01_Вводные'!$B$14</f>
        <v/>
      </c>
      <c r="AU2455">
        <f>'19_Расчет_аналитики'!AT2454*'01_Вводные'!$B$14</f>
        <v/>
      </c>
      <c r="AV2455">
        <f>'19_Расчет_аналитики'!AU2454*'01_Вводные'!$B$14</f>
        <v/>
      </c>
      <c r="AW2455">
        <f>'19_Расчет_аналитики'!AV2454*'01_Вводные'!$B$14</f>
        <v/>
      </c>
      <c r="AX2455">
        <f>'19_Расчет_аналитики'!AW2454*'01_Вводные'!$B$14</f>
        <v/>
      </c>
      <c r="AY2455">
        <f>'19_Расчет_аналитики'!AX2454*'01_Вводные'!$B$14</f>
        <v/>
      </c>
      <c r="AZ2455">
        <f>'19_Расчет_аналитики'!AY2454*'01_Вводные'!$B$14</f>
        <v/>
      </c>
      <c r="BA2455">
        <f>'19_Расчет_аналитики'!AZ2454*'01_Вводные'!$B$14</f>
        <v/>
      </c>
      <c r="BB2455">
        <f>'19_Расчет_аналитики'!BA2454*'01_Вводные'!$B$14</f>
        <v/>
      </c>
      <c r="BC2455">
        <f>'19_Расчет_аналитики'!BB2454*'01_Вводные'!$B$14</f>
        <v/>
      </c>
      <c r="BD2455">
        <f>'19_Расчет_аналитики'!BC2454*'01_Вводные'!$B$14</f>
        <v/>
      </c>
      <c r="BE2455">
        <f>'19_Расчет_аналитики'!BD2454*'01_Вводные'!$B$14</f>
        <v/>
      </c>
      <c r="BF2455">
        <f>'19_Расчет_аналитики'!BE2454*'01_Вводные'!$B$14</f>
        <v/>
      </c>
      <c r="BG2455">
        <f>'19_Расчет_аналитики'!BF2454*'01_Вводные'!$B$14</f>
        <v/>
      </c>
      <c r="BH2455">
        <f>'19_Расчет_аналитики'!BG2454*'01_Вводные'!$B$14</f>
        <v/>
      </c>
      <c r="BI2455">
        <f>'19_Расчет_аналитики'!BH2454*'01_Вводные'!$B$14</f>
        <v/>
      </c>
      <c r="BJ2455">
        <f>'19_Расчет_аналитики'!BI2454*'01_Вводные'!$B$14</f>
        <v/>
      </c>
      <c r="BK2455">
        <f>'19_Расчет_аналитики'!BJ2454*'01_Вводные'!$B$14</f>
        <v/>
      </c>
      <c r="BL2455">
        <f>'19_Расчет_аналитики'!BK2454*'01_Вводные'!$B$14</f>
        <v/>
      </c>
      <c r="BM2455">
        <f>'19_Расчет_аналитики'!BL2454*'01_Вводные'!$B$14</f>
        <v/>
      </c>
      <c r="BN2455">
        <f>'19_Расчет_аналитики'!BM2454*'01_Вводные'!$B$14</f>
        <v/>
      </c>
      <c r="BO2455">
        <f>'19_Расчет_аналитики'!BN2454*'01_Вводные'!$B$14</f>
        <v/>
      </c>
    </row>
    <row r="2456">
      <c r="B2456">
        <f>'06_Сеть_и_дети'!B77</f>
        <v/>
      </c>
      <c r="C2456">
        <f>'06_Сеть_и_дети'!C77</f>
        <v/>
      </c>
      <c r="D2456">
        <f>'06_Сеть_и_дети'!D77</f>
        <v/>
      </c>
      <c r="E2456">
        <f>'06_Сеть_и_дети'!E77</f>
        <v/>
      </c>
      <c r="F2456">
        <f>'06_Сеть_и_дети'!F77</f>
        <v/>
      </c>
      <c r="G2456">
        <f>'06_Сеть_и_дети'!G77</f>
        <v/>
      </c>
      <c r="H2456">
        <f>'06_Сеть_и_дети'!H77</f>
        <v/>
      </c>
      <c r="I2456">
        <f>'06_Сеть_и_дети'!I77</f>
        <v/>
      </c>
      <c r="J2456">
        <f>'06_Сеть_и_дети'!J77</f>
        <v/>
      </c>
      <c r="K2456">
        <f>'06_Сеть_и_дети'!K77</f>
        <v/>
      </c>
      <c r="L2456">
        <f>'06_Сеть_и_дети'!L77</f>
        <v/>
      </c>
      <c r="M2456">
        <f>'06_Сеть_и_дети'!M77</f>
        <v/>
      </c>
      <c r="N2456">
        <f>'06_Сеть_и_дети'!N77</f>
        <v/>
      </c>
      <c r="O2456">
        <f>'06_Сеть_и_дети'!O77</f>
        <v/>
      </c>
      <c r="P2456">
        <f>'06_Сеть_и_дети'!P77</f>
        <v/>
      </c>
      <c r="Q2456">
        <f>'06_Сеть_и_дети'!Q77</f>
        <v/>
      </c>
      <c r="R2456">
        <f>'06_Сеть_и_дети'!R77</f>
        <v/>
      </c>
      <c r="S2456">
        <f>'06_Сеть_и_дети'!S77</f>
        <v/>
      </c>
      <c r="T2456">
        <f>'06_Сеть_и_дети'!T77</f>
        <v/>
      </c>
      <c r="U2456">
        <f>'06_Сеть_и_дети'!U77</f>
        <v/>
      </c>
      <c r="V2456">
        <f>'06_Сеть_и_дети'!V77</f>
        <v/>
      </c>
      <c r="W2456">
        <f>'06_Сеть_и_дети'!W77</f>
        <v/>
      </c>
      <c r="X2456">
        <f>'06_Сеть_и_дети'!X77</f>
        <v/>
      </c>
      <c r="Y2456">
        <f>'06_Сеть_и_дети'!Y77</f>
        <v/>
      </c>
      <c r="Z2456">
        <f>SUM('19_Расчет_аналитики'!Y2455:Y2456)*'01_Вводные'!$B$14</f>
        <v/>
      </c>
      <c r="AA2456">
        <f>SUM('19_Расчет_аналитики'!Z2455:Z2456)*'01_Вводные'!$B$14</f>
        <v/>
      </c>
      <c r="AB2456">
        <f>SUM('19_Расчет_аналитики'!AA2455:AA2456)*'01_Вводные'!$B$14</f>
        <v/>
      </c>
      <c r="AC2456">
        <f>SUM('19_Расчет_аналитики'!AB2455:AB2456)*'01_Вводные'!$B$14</f>
        <v/>
      </c>
      <c r="AD2456">
        <f>SUM('19_Расчет_аналитики'!AC2455:AC2456)*'01_Вводные'!$B$14</f>
        <v/>
      </c>
      <c r="AE2456">
        <f>SUM('19_Расчет_аналитики'!AD2455:AD2456)*'01_Вводные'!$B$14</f>
        <v/>
      </c>
      <c r="AF2456">
        <f>SUM('19_Расчет_аналитики'!AE2455:AE2456)*'01_Вводные'!$B$14</f>
        <v/>
      </c>
      <c r="AG2456">
        <f>SUM('19_Расчет_аналитики'!AF2455:AF2456)*'01_Вводные'!$B$14</f>
        <v/>
      </c>
      <c r="AH2456">
        <f>SUM('19_Расчет_аналитики'!AG2455:AG2456)*'01_Вводные'!$B$14</f>
        <v/>
      </c>
      <c r="AI2456">
        <f>SUM('19_Расчет_аналитики'!AH2455:AH2456)*'01_Вводные'!$B$14</f>
        <v/>
      </c>
      <c r="AJ2456">
        <f>SUM('19_Расчет_аналитики'!AI2455:AI2456)*'01_Вводные'!$B$14</f>
        <v/>
      </c>
      <c r="AK2456">
        <f>SUM('19_Расчет_аналитики'!AJ2455:AJ2456)*'01_Вводные'!$B$14</f>
        <v/>
      </c>
      <c r="AL2456">
        <f>SUM('19_Расчет_аналитики'!AK2455:AK2456)*'01_Вводные'!$B$14</f>
        <v/>
      </c>
      <c r="AM2456">
        <f>SUM('19_Расчет_аналитики'!AL2455:AL2456)*'01_Вводные'!$B$14</f>
        <v/>
      </c>
      <c r="AN2456">
        <f>SUM('19_Расчет_аналитики'!AM2455:AM2456)*'01_Вводные'!$B$14</f>
        <v/>
      </c>
      <c r="AO2456">
        <f>SUM('19_Расчет_аналитики'!AN2455:AN2456)*'01_Вводные'!$B$14</f>
        <v/>
      </c>
      <c r="AP2456">
        <f>SUM('19_Расчет_аналитики'!AO2455:AO2456)*'01_Вводные'!$B$14</f>
        <v/>
      </c>
      <c r="AQ2456">
        <f>SUM('19_Расчет_аналитики'!AP2455:AP2456)*'01_Вводные'!$B$14</f>
        <v/>
      </c>
      <c r="AR2456">
        <f>SUM('19_Расчет_аналитики'!AQ2455:AQ2456)*'01_Вводные'!$B$14</f>
        <v/>
      </c>
      <c r="AS2456">
        <f>SUM('19_Расчет_аналитики'!AR2455:AR2456)*'01_Вводные'!$B$14</f>
        <v/>
      </c>
      <c r="AT2456">
        <f>SUM('19_Расчет_аналитики'!AS2455:AS2456)*'01_Вводные'!$B$14</f>
        <v/>
      </c>
      <c r="AU2456">
        <f>SUM('19_Расчет_аналитики'!AT2455:AT2456)*'01_Вводные'!$B$14</f>
        <v/>
      </c>
      <c r="AV2456">
        <f>SUM('19_Расчет_аналитики'!AU2455:AU2456)*'01_Вводные'!$B$14</f>
        <v/>
      </c>
      <c r="AW2456">
        <f>SUM('19_Расчет_аналитики'!AV2455:AV2456)*'01_Вводные'!$B$14</f>
        <v/>
      </c>
      <c r="AX2456">
        <f>SUM('19_Расчет_аналитики'!AW2455:AW2456)*'01_Вводные'!$B$14</f>
        <v/>
      </c>
      <c r="AY2456">
        <f>SUM('19_Расчет_аналитики'!AX2455:AX2456)*'01_Вводные'!$B$14</f>
        <v/>
      </c>
      <c r="AZ2456">
        <f>SUM('19_Расчет_аналитики'!AY2455:AY2456)*'01_Вводные'!$B$14</f>
        <v/>
      </c>
      <c r="BA2456">
        <f>SUM('19_Расчет_аналитики'!AZ2455:AZ2456)*'01_Вводные'!$B$14</f>
        <v/>
      </c>
      <c r="BB2456">
        <f>SUM('19_Расчет_аналитики'!BA2455:BA2456)*'01_Вводные'!$B$14</f>
        <v/>
      </c>
      <c r="BC2456">
        <f>SUM('19_Расчет_аналитики'!BB2455:BB2456)*'01_Вводные'!$B$14</f>
        <v/>
      </c>
      <c r="BD2456">
        <f>SUM('19_Расчет_аналитики'!BC2455:BC2456)*'01_Вводные'!$B$14</f>
        <v/>
      </c>
      <c r="BE2456">
        <f>SUM('19_Расчет_аналитики'!BD2455:BD2456)*'01_Вводные'!$B$14</f>
        <v/>
      </c>
      <c r="BF2456">
        <f>SUM('19_Расчет_аналитики'!BE2455:BE2456)*'01_Вводные'!$B$14</f>
        <v/>
      </c>
      <c r="BG2456">
        <f>SUM('19_Расчет_аналитики'!BF2455:BF2456)*'01_Вводные'!$B$14</f>
        <v/>
      </c>
      <c r="BH2456">
        <f>SUM('19_Расчет_аналитики'!BG2455:BG2456)*'01_Вводные'!$B$14</f>
        <v/>
      </c>
      <c r="BI2456">
        <f>SUM('19_Расчет_аналитики'!BH2455:BH2456)*'01_Вводные'!$B$14</f>
        <v/>
      </c>
      <c r="BJ2456">
        <f>SUM('19_Расчет_аналитики'!BI2455:BI2456)*'01_Вводные'!$B$14</f>
        <v/>
      </c>
      <c r="BK2456">
        <f>SUM('19_Расчет_аналитики'!BJ2455:BJ2456)*'01_Вводные'!$B$14</f>
        <v/>
      </c>
      <c r="BL2456">
        <f>SUM('19_Расчет_аналитики'!BK2455:BK2456)*'01_Вводные'!$B$14</f>
        <v/>
      </c>
      <c r="BM2456">
        <f>SUM('19_Расчет_аналитики'!BL2455:BL2456)*'01_Вводные'!$B$14</f>
        <v/>
      </c>
      <c r="BN2456">
        <f>SUM('19_Расчет_аналитики'!BM2455:BM2456)*'01_Вводные'!$B$14</f>
        <v/>
      </c>
      <c r="BO2456">
        <f>SUM('19_Расчет_аналитики'!BN2455:BN2456)*'01_Вводные'!$B$14</f>
        <v/>
      </c>
    </row>
    <row r="2457"/>
    <row r="2458"/>
    <row r="2459"/>
    <row r="2460">
      <c r="B2460">
        <f>'19_Расчет_аналитики'!B2412</f>
        <v/>
      </c>
      <c r="C2460">
        <f>'19_Расчет_аналитики'!C2412</f>
        <v/>
      </c>
      <c r="D2460">
        <f>'19_Расчет_аналитики'!D2412</f>
        <v/>
      </c>
      <c r="E2460">
        <f>'19_Расчет_аналитики'!E2412</f>
        <v/>
      </c>
      <c r="F2460">
        <f>'19_Расчет_аналитики'!F2412</f>
        <v/>
      </c>
      <c r="G2460">
        <f>'19_Расчет_аналитики'!G2412</f>
        <v/>
      </c>
      <c r="H2460">
        <f>'19_Расчет_аналитики'!H2412</f>
        <v/>
      </c>
      <c r="I2460">
        <f>'19_Расчет_аналитики'!I2412</f>
        <v/>
      </c>
      <c r="J2460">
        <f>'19_Расчет_аналитики'!J2412</f>
        <v/>
      </c>
      <c r="K2460">
        <f>'19_Расчет_аналитики'!K2412</f>
        <v/>
      </c>
      <c r="L2460">
        <f>'19_Расчет_аналитики'!L2412</f>
        <v/>
      </c>
      <c r="M2460">
        <f>'19_Расчет_аналитики'!M2412</f>
        <v/>
      </c>
      <c r="N2460">
        <f>'19_Расчет_аналитики'!N2412</f>
        <v/>
      </c>
      <c r="O2460">
        <f>'19_Расчет_аналитики'!O2412</f>
        <v/>
      </c>
      <c r="P2460">
        <f>'19_Расчет_аналитики'!P2412</f>
        <v/>
      </c>
      <c r="Q2460">
        <f>'19_Расчет_аналитики'!Q2412</f>
        <v/>
      </c>
      <c r="R2460">
        <f>'19_Расчет_аналитики'!R2412</f>
        <v/>
      </c>
      <c r="S2460">
        <f>'19_Расчет_аналитики'!S2412</f>
        <v/>
      </c>
      <c r="T2460">
        <f>'19_Расчет_аналитики'!T2412</f>
        <v/>
      </c>
      <c r="U2460">
        <f>'19_Расчет_аналитики'!U2412</f>
        <v/>
      </c>
      <c r="V2460">
        <f>'19_Расчет_аналитики'!V2412</f>
        <v/>
      </c>
      <c r="W2460">
        <f>'19_Расчет_аналитики'!W2412</f>
        <v/>
      </c>
      <c r="X2460">
        <f>'19_Расчет_аналитики'!X2412</f>
        <v/>
      </c>
      <c r="Y2460">
        <f>'19_Расчет_аналитики'!Y2412</f>
        <v/>
      </c>
      <c r="Z2460">
        <f>'19_Расчет_аналитики'!Z2412</f>
        <v/>
      </c>
      <c r="AA2460">
        <f>'19_Расчет_аналитики'!AA2412</f>
        <v/>
      </c>
      <c r="AB2460">
        <f>'19_Расчет_аналитики'!AB2412</f>
        <v/>
      </c>
      <c r="AC2460">
        <f>'19_Расчет_аналитики'!AC2412</f>
        <v/>
      </c>
      <c r="AD2460">
        <f>'19_Расчет_аналитики'!AD2412</f>
        <v/>
      </c>
      <c r="AE2460">
        <f>'19_Расчет_аналитики'!AE2412</f>
        <v/>
      </c>
      <c r="AF2460">
        <f>'19_Расчет_аналитики'!AF2412</f>
        <v/>
      </c>
      <c r="AG2460">
        <f>'19_Расчет_аналитики'!AG2412</f>
        <v/>
      </c>
      <c r="AH2460">
        <f>'19_Расчет_аналитики'!AH2412</f>
        <v/>
      </c>
      <c r="AI2460">
        <f>'19_Расчет_аналитики'!AI2412</f>
        <v/>
      </c>
      <c r="AJ2460">
        <f>'19_Расчет_аналитики'!AJ2412</f>
        <v/>
      </c>
      <c r="AK2460">
        <f>'19_Расчет_аналитики'!AK2412</f>
        <v/>
      </c>
      <c r="AL2460">
        <f>'19_Расчет_аналитики'!AL2412</f>
        <v/>
      </c>
      <c r="AM2460">
        <f>'19_Расчет_аналитики'!AM2412</f>
        <v/>
      </c>
      <c r="AN2460">
        <f>'19_Расчет_аналитики'!AN2412</f>
        <v/>
      </c>
      <c r="AO2460">
        <f>'19_Расчет_аналитики'!AO2412</f>
        <v/>
      </c>
      <c r="AP2460">
        <f>'19_Расчет_аналитики'!AP2412</f>
        <v/>
      </c>
      <c r="AQ2460">
        <f>'19_Расчет_аналитики'!AQ2412</f>
        <v/>
      </c>
      <c r="AR2460">
        <f>'19_Расчет_аналитики'!AR2412</f>
        <v/>
      </c>
      <c r="AS2460">
        <f>'19_Расчет_аналитики'!AS2412</f>
        <v/>
      </c>
      <c r="AT2460">
        <f>'19_Расчет_аналитики'!AT2412</f>
        <v/>
      </c>
      <c r="AU2460">
        <f>'19_Расчет_аналитики'!AU2412</f>
        <v/>
      </c>
      <c r="AV2460">
        <f>'19_Расчет_аналитики'!AV2412</f>
        <v/>
      </c>
      <c r="AW2460">
        <f>'19_Расчет_аналитики'!AW2412</f>
        <v/>
      </c>
      <c r="AX2460">
        <f>'19_Расчет_аналитики'!AX2412</f>
        <v/>
      </c>
      <c r="AY2460">
        <f>'19_Расчет_аналитики'!AY2412</f>
        <v/>
      </c>
      <c r="AZ2460">
        <f>'19_Расчет_аналитики'!AZ2412</f>
        <v/>
      </c>
      <c r="BA2460">
        <f>'19_Расчет_аналитики'!BA2412</f>
        <v/>
      </c>
      <c r="BB2460">
        <f>'19_Расчет_аналитики'!BB2412</f>
        <v/>
      </c>
      <c r="BC2460">
        <f>'19_Расчет_аналитики'!BC2412</f>
        <v/>
      </c>
      <c r="BD2460">
        <f>'19_Расчет_аналитики'!BD2412</f>
        <v/>
      </c>
      <c r="BE2460">
        <f>'19_Расчет_аналитики'!BE2412</f>
        <v/>
      </c>
      <c r="BF2460">
        <f>'19_Расчет_аналитики'!BF2412</f>
        <v/>
      </c>
      <c r="BG2460">
        <f>'19_Расчет_аналитики'!BG2412</f>
        <v/>
      </c>
      <c r="BH2460">
        <f>'19_Расчет_аналитики'!BH2412</f>
        <v/>
      </c>
      <c r="BI2460">
        <f>'19_Расчет_аналитики'!BI2412</f>
        <v/>
      </c>
      <c r="BJ2460">
        <f>'19_Расчет_аналитики'!BJ2412</f>
        <v/>
      </c>
      <c r="BK2460">
        <f>'19_Расчет_аналитики'!BK2412</f>
        <v/>
      </c>
      <c r="BL2460">
        <f>'19_Расчет_аналитики'!BL2412</f>
        <v/>
      </c>
      <c r="BM2460">
        <f>'19_Расчет_аналитики'!BM2412</f>
        <v/>
      </c>
      <c r="BN2460">
        <f>'19_Расчет_аналитики'!BN2412</f>
        <v/>
      </c>
      <c r="BO2460">
        <f>'19_Расчет_аналитики'!BO2412</f>
        <v/>
      </c>
    </row>
    <row r="2461">
      <c r="B2461">
        <f>'06_Сеть_и_дети'!B82</f>
        <v/>
      </c>
      <c r="C2461">
        <f>'19_Расчет_аналитики'!B2460*'01_Вводные'!$B$14</f>
        <v/>
      </c>
      <c r="D2461">
        <f>'19_Расчет_аналитики'!C2460*'01_Вводные'!$B$14</f>
        <v/>
      </c>
      <c r="E2461">
        <f>'19_Расчет_аналитики'!D2460*'01_Вводные'!$B$14</f>
        <v/>
      </c>
      <c r="F2461">
        <f>'19_Расчет_аналитики'!E2460*'01_Вводные'!$B$14</f>
        <v/>
      </c>
      <c r="G2461">
        <f>'19_Расчет_аналитики'!F2460*'01_Вводные'!$B$14</f>
        <v/>
      </c>
      <c r="H2461">
        <f>'19_Расчет_аналитики'!G2460*'01_Вводные'!$B$14</f>
        <v/>
      </c>
      <c r="I2461">
        <f>'19_Расчет_аналитики'!H2460*'01_Вводные'!$B$14</f>
        <v/>
      </c>
      <c r="J2461">
        <f>'19_Расчет_аналитики'!I2460*'01_Вводные'!$B$14</f>
        <v/>
      </c>
      <c r="K2461">
        <f>'19_Расчет_аналитики'!J2460*'01_Вводные'!$B$14</f>
        <v/>
      </c>
      <c r="L2461">
        <f>'19_Расчет_аналитики'!K2460*'01_Вводные'!$B$14</f>
        <v/>
      </c>
      <c r="M2461">
        <f>'19_Расчет_аналитики'!L2460*'01_Вводные'!$B$14</f>
        <v/>
      </c>
      <c r="N2461">
        <f>'19_Расчет_аналитики'!M2460*'01_Вводные'!$B$14</f>
        <v/>
      </c>
      <c r="O2461">
        <f>'19_Расчет_аналитики'!N2460*'01_Вводные'!$B$14</f>
        <v/>
      </c>
      <c r="P2461">
        <f>'19_Расчет_аналитики'!O2460*'01_Вводные'!$B$14</f>
        <v/>
      </c>
      <c r="Q2461">
        <f>'19_Расчет_аналитики'!P2460*'01_Вводные'!$B$14</f>
        <v/>
      </c>
      <c r="R2461">
        <f>'19_Расчет_аналитики'!Q2460*'01_Вводные'!$B$14</f>
        <v/>
      </c>
      <c r="S2461">
        <f>'19_Расчет_аналитики'!R2460*'01_Вводные'!$B$14</f>
        <v/>
      </c>
      <c r="T2461">
        <f>'19_Расчет_аналитики'!S2460*'01_Вводные'!$B$14</f>
        <v/>
      </c>
      <c r="U2461">
        <f>'19_Расчет_аналитики'!T2460*'01_Вводные'!$B$14</f>
        <v/>
      </c>
      <c r="V2461">
        <f>'19_Расчет_аналитики'!U2460*'01_Вводные'!$B$14</f>
        <v/>
      </c>
      <c r="W2461">
        <f>'19_Расчет_аналитики'!V2460*'01_Вводные'!$B$14</f>
        <v/>
      </c>
      <c r="X2461">
        <f>'19_Расчет_аналитики'!W2460*'01_Вводные'!$B$14</f>
        <v/>
      </c>
      <c r="Y2461">
        <f>'19_Расчет_аналитики'!X2460*'01_Вводные'!$B$14</f>
        <v/>
      </c>
      <c r="Z2461">
        <f>'19_Расчет_аналитики'!Y2460*'01_Вводные'!$B$14</f>
        <v/>
      </c>
      <c r="AA2461">
        <f>'19_Расчет_аналитики'!Z2460*'01_Вводные'!$B$14</f>
        <v/>
      </c>
      <c r="AB2461">
        <f>'19_Расчет_аналитики'!AA2460*'01_Вводные'!$B$14</f>
        <v/>
      </c>
      <c r="AC2461">
        <f>'19_Расчет_аналитики'!AB2460*'01_Вводные'!$B$14</f>
        <v/>
      </c>
      <c r="AD2461">
        <f>'19_Расчет_аналитики'!AC2460*'01_Вводные'!$B$14</f>
        <v/>
      </c>
      <c r="AE2461">
        <f>'19_Расчет_аналитики'!AD2460*'01_Вводные'!$B$14</f>
        <v/>
      </c>
      <c r="AF2461">
        <f>'19_Расчет_аналитики'!AE2460*'01_Вводные'!$B$14</f>
        <v/>
      </c>
      <c r="AG2461">
        <f>'19_Расчет_аналитики'!AF2460*'01_Вводные'!$B$14</f>
        <v/>
      </c>
      <c r="AH2461">
        <f>'19_Расчет_аналитики'!AG2460*'01_Вводные'!$B$14</f>
        <v/>
      </c>
      <c r="AI2461">
        <f>'19_Расчет_аналитики'!AH2460*'01_Вводные'!$B$14</f>
        <v/>
      </c>
      <c r="AJ2461">
        <f>'19_Расчет_аналитики'!AI2460*'01_Вводные'!$B$14</f>
        <v/>
      </c>
      <c r="AK2461">
        <f>'19_Расчет_аналитики'!AJ2460*'01_Вводные'!$B$14</f>
        <v/>
      </c>
      <c r="AL2461">
        <f>'19_Расчет_аналитики'!AK2460*'01_Вводные'!$B$14</f>
        <v/>
      </c>
      <c r="AM2461">
        <f>'19_Расчет_аналитики'!AL2460*'01_Вводные'!$B$14</f>
        <v/>
      </c>
      <c r="AN2461">
        <f>'19_Расчет_аналитики'!AM2460*'01_Вводные'!$B$14</f>
        <v/>
      </c>
      <c r="AO2461">
        <f>'19_Расчет_аналитики'!AN2460*'01_Вводные'!$B$14</f>
        <v/>
      </c>
      <c r="AP2461">
        <f>'19_Расчет_аналитики'!AO2460*'01_Вводные'!$B$14</f>
        <v/>
      </c>
      <c r="AQ2461">
        <f>'19_Расчет_аналитики'!AP2460*'01_Вводные'!$B$14</f>
        <v/>
      </c>
      <c r="AR2461">
        <f>'19_Расчет_аналитики'!AQ2460*'01_Вводные'!$B$14</f>
        <v/>
      </c>
      <c r="AS2461">
        <f>'19_Расчет_аналитики'!AR2460*'01_Вводные'!$B$14</f>
        <v/>
      </c>
      <c r="AT2461">
        <f>'19_Расчет_аналитики'!AS2460*'01_Вводные'!$B$14</f>
        <v/>
      </c>
      <c r="AU2461">
        <f>'19_Расчет_аналитики'!AT2460*'01_Вводные'!$B$14</f>
        <v/>
      </c>
      <c r="AV2461">
        <f>'19_Расчет_аналитики'!AU2460*'01_Вводные'!$B$14</f>
        <v/>
      </c>
      <c r="AW2461">
        <f>'19_Расчет_аналитики'!AV2460*'01_Вводные'!$B$14</f>
        <v/>
      </c>
      <c r="AX2461">
        <f>'19_Расчет_аналитики'!AW2460*'01_Вводные'!$B$14</f>
        <v/>
      </c>
      <c r="AY2461">
        <f>'19_Расчет_аналитики'!AX2460*'01_Вводные'!$B$14</f>
        <v/>
      </c>
      <c r="AZ2461">
        <f>'19_Расчет_аналитики'!AY2460*'01_Вводные'!$B$14</f>
        <v/>
      </c>
      <c r="BA2461">
        <f>'19_Расчет_аналитики'!AZ2460*'01_Вводные'!$B$14</f>
        <v/>
      </c>
      <c r="BB2461">
        <f>'19_Расчет_аналитики'!BA2460*'01_Вводные'!$B$14</f>
        <v/>
      </c>
      <c r="BC2461">
        <f>'19_Расчет_аналитики'!BB2460*'01_Вводные'!$B$14</f>
        <v/>
      </c>
      <c r="BD2461">
        <f>'19_Расчет_аналитики'!BC2460*'01_Вводные'!$B$14</f>
        <v/>
      </c>
      <c r="BE2461">
        <f>'19_Расчет_аналитики'!BD2460*'01_Вводные'!$B$14</f>
        <v/>
      </c>
      <c r="BF2461">
        <f>'19_Расчет_аналитики'!BE2460*'01_Вводные'!$B$14</f>
        <v/>
      </c>
      <c r="BG2461">
        <f>'19_Расчет_аналитики'!BF2460*'01_Вводные'!$B$14</f>
        <v/>
      </c>
      <c r="BH2461">
        <f>'19_Расчет_аналитики'!BG2460*'01_Вводные'!$B$14</f>
        <v/>
      </c>
      <c r="BI2461">
        <f>'19_Расчет_аналитики'!BH2460*'01_Вводные'!$B$14</f>
        <v/>
      </c>
      <c r="BJ2461">
        <f>'19_Расчет_аналитики'!BI2460*'01_Вводные'!$B$14</f>
        <v/>
      </c>
      <c r="BK2461">
        <f>'19_Расчет_аналитики'!BJ2460*'01_Вводные'!$B$14</f>
        <v/>
      </c>
      <c r="BL2461">
        <f>'19_Расчет_аналитики'!BK2460*'01_Вводные'!$B$14</f>
        <v/>
      </c>
      <c r="BM2461">
        <f>'19_Расчет_аналитики'!BL2460*'01_Вводные'!$B$14</f>
        <v/>
      </c>
      <c r="BN2461">
        <f>'19_Расчет_аналитики'!BM2460*'01_Вводные'!$B$14</f>
        <v/>
      </c>
      <c r="BO2461">
        <f>'19_Расчет_аналитики'!BN2460*'01_Вводные'!$B$14</f>
        <v/>
      </c>
    </row>
    <row r="2462">
      <c r="B2462">
        <f>'06_Сеть_и_дети'!B83</f>
        <v/>
      </c>
      <c r="C2462">
        <f>'06_Сеть_и_дети'!C83</f>
        <v/>
      </c>
      <c r="D2462">
        <f>'19_Расчет_аналитики'!C2461*'01_Вводные'!$B$14</f>
        <v/>
      </c>
      <c r="E2462">
        <f>'19_Расчет_аналитики'!D2461*'01_Вводные'!$B$14</f>
        <v/>
      </c>
      <c r="F2462">
        <f>'19_Расчет_аналитики'!E2461*'01_Вводные'!$B$14</f>
        <v/>
      </c>
      <c r="G2462">
        <f>'19_Расчет_аналитики'!F2461*'01_Вводные'!$B$14</f>
        <v/>
      </c>
      <c r="H2462">
        <f>'19_Расчет_аналитики'!G2461*'01_Вводные'!$B$14</f>
        <v/>
      </c>
      <c r="I2462">
        <f>'19_Расчет_аналитики'!H2461*'01_Вводные'!$B$14</f>
        <v/>
      </c>
      <c r="J2462">
        <f>'19_Расчет_аналитики'!I2461*'01_Вводные'!$B$14</f>
        <v/>
      </c>
      <c r="K2462">
        <f>'19_Расчет_аналитики'!J2461*'01_Вводные'!$B$14</f>
        <v/>
      </c>
      <c r="L2462">
        <f>'19_Расчет_аналитики'!K2461*'01_Вводные'!$B$14</f>
        <v/>
      </c>
      <c r="M2462">
        <f>'19_Расчет_аналитики'!L2461*'01_Вводные'!$B$14</f>
        <v/>
      </c>
      <c r="N2462">
        <f>'19_Расчет_аналитики'!M2461*'01_Вводные'!$B$14</f>
        <v/>
      </c>
      <c r="O2462">
        <f>'19_Расчет_аналитики'!N2461*'01_Вводные'!$B$14</f>
        <v/>
      </c>
      <c r="P2462">
        <f>'19_Расчет_аналитики'!O2461*'01_Вводные'!$B$14</f>
        <v/>
      </c>
      <c r="Q2462">
        <f>'19_Расчет_аналитики'!P2461*'01_Вводные'!$B$14</f>
        <v/>
      </c>
      <c r="R2462">
        <f>'19_Расчет_аналитики'!Q2461*'01_Вводные'!$B$14</f>
        <v/>
      </c>
      <c r="S2462">
        <f>'19_Расчет_аналитики'!R2461*'01_Вводные'!$B$14</f>
        <v/>
      </c>
      <c r="T2462">
        <f>'19_Расчет_аналитики'!S2461*'01_Вводные'!$B$14</f>
        <v/>
      </c>
      <c r="U2462">
        <f>'19_Расчет_аналитики'!T2461*'01_Вводные'!$B$14</f>
        <v/>
      </c>
      <c r="V2462">
        <f>'19_Расчет_аналитики'!U2461*'01_Вводные'!$B$14</f>
        <v/>
      </c>
      <c r="W2462">
        <f>'19_Расчет_аналитики'!V2461*'01_Вводные'!$B$14</f>
        <v/>
      </c>
      <c r="X2462">
        <f>'19_Расчет_аналитики'!W2461*'01_Вводные'!$B$14</f>
        <v/>
      </c>
      <c r="Y2462">
        <f>'19_Расчет_аналитики'!X2461*'01_Вводные'!$B$14</f>
        <v/>
      </c>
      <c r="Z2462">
        <f>'19_Расчет_аналитики'!Y2461*'01_Вводные'!$B$14</f>
        <v/>
      </c>
      <c r="AA2462">
        <f>'19_Расчет_аналитики'!Z2461*'01_Вводные'!$B$14</f>
        <v/>
      </c>
      <c r="AB2462">
        <f>'19_Расчет_аналитики'!AA2461*'01_Вводные'!$B$14</f>
        <v/>
      </c>
      <c r="AC2462">
        <f>'19_Расчет_аналитики'!AB2461*'01_Вводные'!$B$14</f>
        <v/>
      </c>
      <c r="AD2462">
        <f>'19_Расчет_аналитики'!AC2461*'01_Вводные'!$B$14</f>
        <v/>
      </c>
      <c r="AE2462">
        <f>'19_Расчет_аналитики'!AD2461*'01_Вводные'!$B$14</f>
        <v/>
      </c>
      <c r="AF2462">
        <f>'19_Расчет_аналитики'!AE2461*'01_Вводные'!$B$14</f>
        <v/>
      </c>
      <c r="AG2462">
        <f>'19_Расчет_аналитики'!AF2461*'01_Вводные'!$B$14</f>
        <v/>
      </c>
      <c r="AH2462">
        <f>'19_Расчет_аналитики'!AG2461*'01_Вводные'!$B$14</f>
        <v/>
      </c>
      <c r="AI2462">
        <f>'19_Расчет_аналитики'!AH2461*'01_Вводные'!$B$14</f>
        <v/>
      </c>
      <c r="AJ2462">
        <f>'19_Расчет_аналитики'!AI2461*'01_Вводные'!$B$14</f>
        <v/>
      </c>
      <c r="AK2462">
        <f>'19_Расчет_аналитики'!AJ2461*'01_Вводные'!$B$14</f>
        <v/>
      </c>
      <c r="AL2462">
        <f>'19_Расчет_аналитики'!AK2461*'01_Вводные'!$B$14</f>
        <v/>
      </c>
      <c r="AM2462">
        <f>'19_Расчет_аналитики'!AL2461*'01_Вводные'!$B$14</f>
        <v/>
      </c>
      <c r="AN2462">
        <f>'19_Расчет_аналитики'!AM2461*'01_Вводные'!$B$14</f>
        <v/>
      </c>
      <c r="AO2462">
        <f>'19_Расчет_аналитики'!AN2461*'01_Вводные'!$B$14</f>
        <v/>
      </c>
      <c r="AP2462">
        <f>'19_Расчет_аналитики'!AO2461*'01_Вводные'!$B$14</f>
        <v/>
      </c>
      <c r="AQ2462">
        <f>'19_Расчет_аналитики'!AP2461*'01_Вводные'!$B$14</f>
        <v/>
      </c>
      <c r="AR2462">
        <f>'19_Расчет_аналитики'!AQ2461*'01_Вводные'!$B$14</f>
        <v/>
      </c>
      <c r="AS2462">
        <f>'19_Расчет_аналитики'!AR2461*'01_Вводные'!$B$14</f>
        <v/>
      </c>
      <c r="AT2462">
        <f>'19_Расчет_аналитики'!AS2461*'01_Вводные'!$B$14</f>
        <v/>
      </c>
      <c r="AU2462">
        <f>'19_Расчет_аналитики'!AT2461*'01_Вводные'!$B$14</f>
        <v/>
      </c>
      <c r="AV2462">
        <f>'19_Расчет_аналитики'!AU2461*'01_Вводные'!$B$14</f>
        <v/>
      </c>
      <c r="AW2462">
        <f>'19_Расчет_аналитики'!AV2461*'01_Вводные'!$B$14</f>
        <v/>
      </c>
      <c r="AX2462">
        <f>'19_Расчет_аналитики'!AW2461*'01_Вводные'!$B$14</f>
        <v/>
      </c>
      <c r="AY2462">
        <f>'19_Расчет_аналитики'!AX2461*'01_Вводные'!$B$14</f>
        <v/>
      </c>
      <c r="AZ2462">
        <f>'19_Расчет_аналитики'!AY2461*'01_Вводные'!$B$14</f>
        <v/>
      </c>
      <c r="BA2462">
        <f>'19_Расчет_аналитики'!AZ2461*'01_Вводные'!$B$14</f>
        <v/>
      </c>
      <c r="BB2462">
        <f>'19_Расчет_аналитики'!BA2461*'01_Вводные'!$B$14</f>
        <v/>
      </c>
      <c r="BC2462">
        <f>'19_Расчет_аналитики'!BB2461*'01_Вводные'!$B$14</f>
        <v/>
      </c>
      <c r="BD2462">
        <f>'19_Расчет_аналитики'!BC2461*'01_Вводные'!$B$14</f>
        <v/>
      </c>
      <c r="BE2462">
        <f>'19_Расчет_аналитики'!BD2461*'01_Вводные'!$B$14</f>
        <v/>
      </c>
      <c r="BF2462">
        <f>'19_Расчет_аналитики'!BE2461*'01_Вводные'!$B$14</f>
        <v/>
      </c>
      <c r="BG2462">
        <f>'19_Расчет_аналитики'!BF2461*'01_Вводные'!$B$14</f>
        <v/>
      </c>
      <c r="BH2462">
        <f>'19_Расчет_аналитики'!BG2461*'01_Вводные'!$B$14</f>
        <v/>
      </c>
      <c r="BI2462">
        <f>'19_Расчет_аналитики'!BH2461*'01_Вводные'!$B$14</f>
        <v/>
      </c>
      <c r="BJ2462">
        <f>'19_Расчет_аналитики'!BI2461*'01_Вводные'!$B$14</f>
        <v/>
      </c>
      <c r="BK2462">
        <f>'19_Расчет_аналитики'!BJ2461*'01_Вводные'!$B$14</f>
        <v/>
      </c>
      <c r="BL2462">
        <f>'19_Расчет_аналитики'!BK2461*'01_Вводные'!$B$14</f>
        <v/>
      </c>
      <c r="BM2462">
        <f>'19_Расчет_аналитики'!BL2461*'01_Вводные'!$B$14</f>
        <v/>
      </c>
      <c r="BN2462">
        <f>'19_Расчет_аналитики'!BM2461*'01_Вводные'!$B$14</f>
        <v/>
      </c>
      <c r="BO2462">
        <f>'19_Расчет_аналитики'!BN2461*'01_Вводные'!$B$14</f>
        <v/>
      </c>
    </row>
    <row r="2463">
      <c r="B2463">
        <f>'06_Сеть_и_дети'!B84</f>
        <v/>
      </c>
      <c r="C2463">
        <f>'06_Сеть_и_дети'!C84</f>
        <v/>
      </c>
      <c r="D2463">
        <f>'06_Сеть_и_дети'!D84</f>
        <v/>
      </c>
      <c r="E2463">
        <f>'19_Расчет_аналитики'!D2462*'01_Вводные'!$B$14</f>
        <v/>
      </c>
      <c r="F2463">
        <f>'19_Расчет_аналитики'!E2462*'01_Вводные'!$B$14</f>
        <v/>
      </c>
      <c r="G2463">
        <f>'19_Расчет_аналитики'!F2462*'01_Вводные'!$B$14</f>
        <v/>
      </c>
      <c r="H2463">
        <f>'19_Расчет_аналитики'!G2462*'01_Вводные'!$B$14</f>
        <v/>
      </c>
      <c r="I2463">
        <f>'19_Расчет_аналитики'!H2462*'01_Вводные'!$B$14</f>
        <v/>
      </c>
      <c r="J2463">
        <f>'19_Расчет_аналитики'!I2462*'01_Вводные'!$B$14</f>
        <v/>
      </c>
      <c r="K2463">
        <f>'19_Расчет_аналитики'!J2462*'01_Вводные'!$B$14</f>
        <v/>
      </c>
      <c r="L2463">
        <f>'19_Расчет_аналитики'!K2462*'01_Вводные'!$B$14</f>
        <v/>
      </c>
      <c r="M2463">
        <f>'19_Расчет_аналитики'!L2462*'01_Вводные'!$B$14</f>
        <v/>
      </c>
      <c r="N2463">
        <f>'19_Расчет_аналитики'!M2462*'01_Вводные'!$B$14</f>
        <v/>
      </c>
      <c r="O2463">
        <f>'19_Расчет_аналитики'!N2462*'01_Вводные'!$B$14</f>
        <v/>
      </c>
      <c r="P2463">
        <f>'19_Расчет_аналитики'!O2462*'01_Вводные'!$B$14</f>
        <v/>
      </c>
      <c r="Q2463">
        <f>'19_Расчет_аналитики'!P2462*'01_Вводные'!$B$14</f>
        <v/>
      </c>
      <c r="R2463">
        <f>'19_Расчет_аналитики'!Q2462*'01_Вводные'!$B$14</f>
        <v/>
      </c>
      <c r="S2463">
        <f>'19_Расчет_аналитики'!R2462*'01_Вводные'!$B$14</f>
        <v/>
      </c>
      <c r="T2463">
        <f>'19_Расчет_аналитики'!S2462*'01_Вводные'!$B$14</f>
        <v/>
      </c>
      <c r="U2463">
        <f>'19_Расчет_аналитики'!T2462*'01_Вводные'!$B$14</f>
        <v/>
      </c>
      <c r="V2463">
        <f>'19_Расчет_аналитики'!U2462*'01_Вводные'!$B$14</f>
        <v/>
      </c>
      <c r="W2463">
        <f>'19_Расчет_аналитики'!V2462*'01_Вводные'!$B$14</f>
        <v/>
      </c>
      <c r="X2463">
        <f>'19_Расчет_аналитики'!W2462*'01_Вводные'!$B$14</f>
        <v/>
      </c>
      <c r="Y2463">
        <f>'19_Расчет_аналитики'!X2462*'01_Вводные'!$B$14</f>
        <v/>
      </c>
      <c r="Z2463">
        <f>'19_Расчет_аналитики'!Y2462*'01_Вводные'!$B$14</f>
        <v/>
      </c>
      <c r="AA2463">
        <f>'19_Расчет_аналитики'!Z2462*'01_Вводные'!$B$14</f>
        <v/>
      </c>
      <c r="AB2463">
        <f>'19_Расчет_аналитики'!AA2462*'01_Вводные'!$B$14</f>
        <v/>
      </c>
      <c r="AC2463">
        <f>'19_Расчет_аналитики'!AB2462*'01_Вводные'!$B$14</f>
        <v/>
      </c>
      <c r="AD2463">
        <f>'19_Расчет_аналитики'!AC2462*'01_Вводные'!$B$14</f>
        <v/>
      </c>
      <c r="AE2463">
        <f>'19_Расчет_аналитики'!AD2462*'01_Вводные'!$B$14</f>
        <v/>
      </c>
      <c r="AF2463">
        <f>'19_Расчет_аналитики'!AE2462*'01_Вводные'!$B$14</f>
        <v/>
      </c>
      <c r="AG2463">
        <f>'19_Расчет_аналитики'!AF2462*'01_Вводные'!$B$14</f>
        <v/>
      </c>
      <c r="AH2463">
        <f>'19_Расчет_аналитики'!AG2462*'01_Вводные'!$B$14</f>
        <v/>
      </c>
      <c r="AI2463">
        <f>'19_Расчет_аналитики'!AH2462*'01_Вводные'!$B$14</f>
        <v/>
      </c>
      <c r="AJ2463">
        <f>'19_Расчет_аналитики'!AI2462*'01_Вводные'!$B$14</f>
        <v/>
      </c>
      <c r="AK2463">
        <f>'19_Расчет_аналитики'!AJ2462*'01_Вводные'!$B$14</f>
        <v/>
      </c>
      <c r="AL2463">
        <f>'19_Расчет_аналитики'!AK2462*'01_Вводные'!$B$14</f>
        <v/>
      </c>
      <c r="AM2463">
        <f>'19_Расчет_аналитики'!AL2462*'01_Вводные'!$B$14</f>
        <v/>
      </c>
      <c r="AN2463">
        <f>'19_Расчет_аналитики'!AM2462*'01_Вводные'!$B$14</f>
        <v/>
      </c>
      <c r="AO2463">
        <f>'19_Расчет_аналитики'!AN2462*'01_Вводные'!$B$14</f>
        <v/>
      </c>
      <c r="AP2463">
        <f>'19_Расчет_аналитики'!AO2462*'01_Вводные'!$B$14</f>
        <v/>
      </c>
      <c r="AQ2463">
        <f>'19_Расчет_аналитики'!AP2462*'01_Вводные'!$B$14</f>
        <v/>
      </c>
      <c r="AR2463">
        <f>'19_Расчет_аналитики'!AQ2462*'01_Вводные'!$B$14</f>
        <v/>
      </c>
      <c r="AS2463">
        <f>'19_Расчет_аналитики'!AR2462*'01_Вводные'!$B$14</f>
        <v/>
      </c>
      <c r="AT2463">
        <f>'19_Расчет_аналитики'!AS2462*'01_Вводные'!$B$14</f>
        <v/>
      </c>
      <c r="AU2463">
        <f>'19_Расчет_аналитики'!AT2462*'01_Вводные'!$B$14</f>
        <v/>
      </c>
      <c r="AV2463">
        <f>'19_Расчет_аналитики'!AU2462*'01_Вводные'!$B$14</f>
        <v/>
      </c>
      <c r="AW2463">
        <f>'19_Расчет_аналитики'!AV2462*'01_Вводные'!$B$14</f>
        <v/>
      </c>
      <c r="AX2463">
        <f>'19_Расчет_аналитики'!AW2462*'01_Вводные'!$B$14</f>
        <v/>
      </c>
      <c r="AY2463">
        <f>'19_Расчет_аналитики'!AX2462*'01_Вводные'!$B$14</f>
        <v/>
      </c>
      <c r="AZ2463">
        <f>'19_Расчет_аналитики'!AY2462*'01_Вводные'!$B$14</f>
        <v/>
      </c>
      <c r="BA2463">
        <f>'19_Расчет_аналитики'!AZ2462*'01_Вводные'!$B$14</f>
        <v/>
      </c>
      <c r="BB2463">
        <f>'19_Расчет_аналитики'!BA2462*'01_Вводные'!$B$14</f>
        <v/>
      </c>
      <c r="BC2463">
        <f>'19_Расчет_аналитики'!BB2462*'01_Вводные'!$B$14</f>
        <v/>
      </c>
      <c r="BD2463">
        <f>'19_Расчет_аналитики'!BC2462*'01_Вводные'!$B$14</f>
        <v/>
      </c>
      <c r="BE2463">
        <f>'19_Расчет_аналитики'!BD2462*'01_Вводные'!$B$14</f>
        <v/>
      </c>
      <c r="BF2463">
        <f>'19_Расчет_аналитики'!BE2462*'01_Вводные'!$B$14</f>
        <v/>
      </c>
      <c r="BG2463">
        <f>'19_Расчет_аналитики'!BF2462*'01_Вводные'!$B$14</f>
        <v/>
      </c>
      <c r="BH2463">
        <f>'19_Расчет_аналитики'!BG2462*'01_Вводные'!$B$14</f>
        <v/>
      </c>
      <c r="BI2463">
        <f>'19_Расчет_аналитики'!BH2462*'01_Вводные'!$B$14</f>
        <v/>
      </c>
      <c r="BJ2463">
        <f>'19_Расчет_аналитики'!BI2462*'01_Вводные'!$B$14</f>
        <v/>
      </c>
      <c r="BK2463">
        <f>'19_Расчет_аналитики'!BJ2462*'01_Вводные'!$B$14</f>
        <v/>
      </c>
      <c r="BL2463">
        <f>'19_Расчет_аналитики'!BK2462*'01_Вводные'!$B$14</f>
        <v/>
      </c>
      <c r="BM2463">
        <f>'19_Расчет_аналитики'!BL2462*'01_Вводные'!$B$14</f>
        <v/>
      </c>
      <c r="BN2463">
        <f>'19_Расчет_аналитики'!BM2462*'01_Вводные'!$B$14</f>
        <v/>
      </c>
      <c r="BO2463">
        <f>'19_Расчет_аналитики'!BN2462*'01_Вводные'!$B$14</f>
        <v/>
      </c>
    </row>
    <row r="2464">
      <c r="B2464">
        <f>'06_Сеть_и_дети'!B85</f>
        <v/>
      </c>
      <c r="C2464">
        <f>'06_Сеть_и_дети'!C85</f>
        <v/>
      </c>
      <c r="D2464">
        <f>'06_Сеть_и_дети'!D85</f>
        <v/>
      </c>
      <c r="E2464">
        <f>'06_Сеть_и_дети'!E85</f>
        <v/>
      </c>
      <c r="F2464">
        <f>'19_Расчет_аналитики'!E2463*'01_Вводные'!$B$14</f>
        <v/>
      </c>
      <c r="G2464">
        <f>'19_Расчет_аналитики'!F2463*'01_Вводные'!$B$14</f>
        <v/>
      </c>
      <c r="H2464">
        <f>'19_Расчет_аналитики'!G2463*'01_Вводные'!$B$14</f>
        <v/>
      </c>
      <c r="I2464">
        <f>'19_Расчет_аналитики'!H2463*'01_Вводные'!$B$14</f>
        <v/>
      </c>
      <c r="J2464">
        <f>'19_Расчет_аналитики'!I2463*'01_Вводные'!$B$14</f>
        <v/>
      </c>
      <c r="K2464">
        <f>'19_Расчет_аналитики'!J2463*'01_Вводные'!$B$14</f>
        <v/>
      </c>
      <c r="L2464">
        <f>'19_Расчет_аналитики'!K2463*'01_Вводные'!$B$14</f>
        <v/>
      </c>
      <c r="M2464">
        <f>'19_Расчет_аналитики'!L2463*'01_Вводные'!$B$14</f>
        <v/>
      </c>
      <c r="N2464">
        <f>'19_Расчет_аналитики'!M2463*'01_Вводные'!$B$14</f>
        <v/>
      </c>
      <c r="O2464">
        <f>'19_Расчет_аналитики'!N2463*'01_Вводные'!$B$14</f>
        <v/>
      </c>
      <c r="P2464">
        <f>'19_Расчет_аналитики'!O2463*'01_Вводные'!$B$14</f>
        <v/>
      </c>
      <c r="Q2464">
        <f>'19_Расчет_аналитики'!P2463*'01_Вводные'!$B$14</f>
        <v/>
      </c>
      <c r="R2464">
        <f>'19_Расчет_аналитики'!Q2463*'01_Вводные'!$B$14</f>
        <v/>
      </c>
      <c r="S2464">
        <f>'19_Расчет_аналитики'!R2463*'01_Вводные'!$B$14</f>
        <v/>
      </c>
      <c r="T2464">
        <f>'19_Расчет_аналитики'!S2463*'01_Вводные'!$B$14</f>
        <v/>
      </c>
      <c r="U2464">
        <f>'19_Расчет_аналитики'!T2463*'01_Вводные'!$B$14</f>
        <v/>
      </c>
      <c r="V2464">
        <f>'19_Расчет_аналитики'!U2463*'01_Вводные'!$B$14</f>
        <v/>
      </c>
      <c r="W2464">
        <f>'19_Расчет_аналитики'!V2463*'01_Вводные'!$B$14</f>
        <v/>
      </c>
      <c r="X2464">
        <f>'19_Расчет_аналитики'!W2463*'01_Вводные'!$B$14</f>
        <v/>
      </c>
      <c r="Y2464">
        <f>'19_Расчет_аналитики'!X2463*'01_Вводные'!$B$14</f>
        <v/>
      </c>
      <c r="Z2464">
        <f>'19_Расчет_аналитики'!Y2463*'01_Вводные'!$B$14</f>
        <v/>
      </c>
      <c r="AA2464">
        <f>'19_Расчет_аналитики'!Z2463*'01_Вводные'!$B$14</f>
        <v/>
      </c>
      <c r="AB2464">
        <f>'19_Расчет_аналитики'!AA2463*'01_Вводные'!$B$14</f>
        <v/>
      </c>
      <c r="AC2464">
        <f>'19_Расчет_аналитики'!AB2463*'01_Вводные'!$B$14</f>
        <v/>
      </c>
      <c r="AD2464">
        <f>'19_Расчет_аналитики'!AC2463*'01_Вводные'!$B$14</f>
        <v/>
      </c>
      <c r="AE2464">
        <f>'19_Расчет_аналитики'!AD2463*'01_Вводные'!$B$14</f>
        <v/>
      </c>
      <c r="AF2464">
        <f>'19_Расчет_аналитики'!AE2463*'01_Вводные'!$B$14</f>
        <v/>
      </c>
      <c r="AG2464">
        <f>'19_Расчет_аналитики'!AF2463*'01_Вводные'!$B$14</f>
        <v/>
      </c>
      <c r="AH2464">
        <f>'19_Расчет_аналитики'!AG2463*'01_Вводные'!$B$14</f>
        <v/>
      </c>
      <c r="AI2464">
        <f>'19_Расчет_аналитики'!AH2463*'01_Вводные'!$B$14</f>
        <v/>
      </c>
      <c r="AJ2464">
        <f>'19_Расчет_аналитики'!AI2463*'01_Вводные'!$B$14</f>
        <v/>
      </c>
      <c r="AK2464">
        <f>'19_Расчет_аналитики'!AJ2463*'01_Вводные'!$B$14</f>
        <v/>
      </c>
      <c r="AL2464">
        <f>'19_Расчет_аналитики'!AK2463*'01_Вводные'!$B$14</f>
        <v/>
      </c>
      <c r="AM2464">
        <f>'19_Расчет_аналитики'!AL2463*'01_Вводные'!$B$14</f>
        <v/>
      </c>
      <c r="AN2464">
        <f>'19_Расчет_аналитики'!AM2463*'01_Вводные'!$B$14</f>
        <v/>
      </c>
      <c r="AO2464">
        <f>'19_Расчет_аналитики'!AN2463*'01_Вводные'!$B$14</f>
        <v/>
      </c>
      <c r="AP2464">
        <f>'19_Расчет_аналитики'!AO2463*'01_Вводные'!$B$14</f>
        <v/>
      </c>
      <c r="AQ2464">
        <f>'19_Расчет_аналитики'!AP2463*'01_Вводные'!$B$14</f>
        <v/>
      </c>
      <c r="AR2464">
        <f>'19_Расчет_аналитики'!AQ2463*'01_Вводные'!$B$14</f>
        <v/>
      </c>
      <c r="AS2464">
        <f>'19_Расчет_аналитики'!AR2463*'01_Вводные'!$B$14</f>
        <v/>
      </c>
      <c r="AT2464">
        <f>'19_Расчет_аналитики'!AS2463*'01_Вводные'!$B$14</f>
        <v/>
      </c>
      <c r="AU2464">
        <f>'19_Расчет_аналитики'!AT2463*'01_Вводные'!$B$14</f>
        <v/>
      </c>
      <c r="AV2464">
        <f>'19_Расчет_аналитики'!AU2463*'01_Вводные'!$B$14</f>
        <v/>
      </c>
      <c r="AW2464">
        <f>'19_Расчет_аналитики'!AV2463*'01_Вводные'!$B$14</f>
        <v/>
      </c>
      <c r="AX2464">
        <f>'19_Расчет_аналитики'!AW2463*'01_Вводные'!$B$14</f>
        <v/>
      </c>
      <c r="AY2464">
        <f>'19_Расчет_аналитики'!AX2463*'01_Вводные'!$B$14</f>
        <v/>
      </c>
      <c r="AZ2464">
        <f>'19_Расчет_аналитики'!AY2463*'01_Вводные'!$B$14</f>
        <v/>
      </c>
      <c r="BA2464">
        <f>'19_Расчет_аналитики'!AZ2463*'01_Вводные'!$B$14</f>
        <v/>
      </c>
      <c r="BB2464">
        <f>'19_Расчет_аналитики'!BA2463*'01_Вводные'!$B$14</f>
        <v/>
      </c>
      <c r="BC2464">
        <f>'19_Расчет_аналитики'!BB2463*'01_Вводные'!$B$14</f>
        <v/>
      </c>
      <c r="BD2464">
        <f>'19_Расчет_аналитики'!BC2463*'01_Вводные'!$B$14</f>
        <v/>
      </c>
      <c r="BE2464">
        <f>'19_Расчет_аналитики'!BD2463*'01_Вводные'!$B$14</f>
        <v/>
      </c>
      <c r="BF2464">
        <f>'19_Расчет_аналитики'!BE2463*'01_Вводные'!$B$14</f>
        <v/>
      </c>
      <c r="BG2464">
        <f>'19_Расчет_аналитики'!BF2463*'01_Вводные'!$B$14</f>
        <v/>
      </c>
      <c r="BH2464">
        <f>'19_Расчет_аналитики'!BG2463*'01_Вводные'!$B$14</f>
        <v/>
      </c>
      <c r="BI2464">
        <f>'19_Расчет_аналитики'!BH2463*'01_Вводные'!$B$14</f>
        <v/>
      </c>
      <c r="BJ2464">
        <f>'19_Расчет_аналитики'!BI2463*'01_Вводные'!$B$14</f>
        <v/>
      </c>
      <c r="BK2464">
        <f>'19_Расчет_аналитики'!BJ2463*'01_Вводные'!$B$14</f>
        <v/>
      </c>
      <c r="BL2464">
        <f>'19_Расчет_аналитики'!BK2463*'01_Вводные'!$B$14</f>
        <v/>
      </c>
      <c r="BM2464">
        <f>'19_Расчет_аналитики'!BL2463*'01_Вводные'!$B$14</f>
        <v/>
      </c>
      <c r="BN2464">
        <f>'19_Расчет_аналитики'!BM2463*'01_Вводные'!$B$14</f>
        <v/>
      </c>
      <c r="BO2464">
        <f>'19_Расчет_аналитики'!BN2463*'01_Вводные'!$B$14</f>
        <v/>
      </c>
    </row>
    <row r="2465">
      <c r="B2465">
        <f>'06_Сеть_и_дети'!B86</f>
        <v/>
      </c>
      <c r="C2465">
        <f>'06_Сеть_и_дети'!C86</f>
        <v/>
      </c>
      <c r="D2465">
        <f>'06_Сеть_и_дети'!D86</f>
        <v/>
      </c>
      <c r="E2465">
        <f>'06_Сеть_и_дети'!E86</f>
        <v/>
      </c>
      <c r="F2465">
        <f>'06_Сеть_и_дети'!F86</f>
        <v/>
      </c>
      <c r="G2465">
        <f>'19_Расчет_аналитики'!F2464*'01_Вводные'!$B$14</f>
        <v/>
      </c>
      <c r="H2465">
        <f>'19_Расчет_аналитики'!G2464*'01_Вводные'!$B$14</f>
        <v/>
      </c>
      <c r="I2465">
        <f>'19_Расчет_аналитики'!H2464*'01_Вводные'!$B$14</f>
        <v/>
      </c>
      <c r="J2465">
        <f>'19_Расчет_аналитики'!I2464*'01_Вводные'!$B$14</f>
        <v/>
      </c>
      <c r="K2465">
        <f>'19_Расчет_аналитики'!J2464*'01_Вводные'!$B$14</f>
        <v/>
      </c>
      <c r="L2465">
        <f>'19_Расчет_аналитики'!K2464*'01_Вводные'!$B$14</f>
        <v/>
      </c>
      <c r="M2465">
        <f>'19_Расчет_аналитики'!L2464*'01_Вводные'!$B$14</f>
        <v/>
      </c>
      <c r="N2465">
        <f>'19_Расчет_аналитики'!M2464*'01_Вводные'!$B$14</f>
        <v/>
      </c>
      <c r="O2465">
        <f>'19_Расчет_аналитики'!N2464*'01_Вводные'!$B$14</f>
        <v/>
      </c>
      <c r="P2465">
        <f>'19_Расчет_аналитики'!O2464*'01_Вводные'!$B$14</f>
        <v/>
      </c>
      <c r="Q2465">
        <f>'19_Расчет_аналитики'!P2464*'01_Вводные'!$B$14</f>
        <v/>
      </c>
      <c r="R2465">
        <f>'19_Расчет_аналитики'!Q2464*'01_Вводные'!$B$14</f>
        <v/>
      </c>
      <c r="S2465">
        <f>'19_Расчет_аналитики'!R2464*'01_Вводные'!$B$14</f>
        <v/>
      </c>
      <c r="T2465">
        <f>'19_Расчет_аналитики'!S2464*'01_Вводные'!$B$14</f>
        <v/>
      </c>
      <c r="U2465">
        <f>'19_Расчет_аналитики'!T2464*'01_Вводные'!$B$14</f>
        <v/>
      </c>
      <c r="V2465">
        <f>'19_Расчет_аналитики'!U2464*'01_Вводные'!$B$14</f>
        <v/>
      </c>
      <c r="W2465">
        <f>'19_Расчет_аналитики'!V2464*'01_Вводные'!$B$14</f>
        <v/>
      </c>
      <c r="X2465">
        <f>'19_Расчет_аналитики'!W2464*'01_Вводные'!$B$14</f>
        <v/>
      </c>
      <c r="Y2465">
        <f>'19_Расчет_аналитики'!X2464*'01_Вводные'!$B$14</f>
        <v/>
      </c>
      <c r="Z2465">
        <f>'19_Расчет_аналитики'!Y2464*'01_Вводные'!$B$14</f>
        <v/>
      </c>
      <c r="AA2465">
        <f>'19_Расчет_аналитики'!Z2464*'01_Вводные'!$B$14</f>
        <v/>
      </c>
      <c r="AB2465">
        <f>'19_Расчет_аналитики'!AA2464*'01_Вводные'!$B$14</f>
        <v/>
      </c>
      <c r="AC2465">
        <f>'19_Расчет_аналитики'!AB2464*'01_Вводные'!$B$14</f>
        <v/>
      </c>
      <c r="AD2465">
        <f>'19_Расчет_аналитики'!AC2464*'01_Вводные'!$B$14</f>
        <v/>
      </c>
      <c r="AE2465">
        <f>'19_Расчет_аналитики'!AD2464*'01_Вводные'!$B$14</f>
        <v/>
      </c>
      <c r="AF2465">
        <f>'19_Расчет_аналитики'!AE2464*'01_Вводные'!$B$14</f>
        <v/>
      </c>
      <c r="AG2465">
        <f>'19_Расчет_аналитики'!AF2464*'01_Вводные'!$B$14</f>
        <v/>
      </c>
      <c r="AH2465">
        <f>'19_Расчет_аналитики'!AG2464*'01_Вводные'!$B$14</f>
        <v/>
      </c>
      <c r="AI2465">
        <f>'19_Расчет_аналитики'!AH2464*'01_Вводные'!$B$14</f>
        <v/>
      </c>
      <c r="AJ2465">
        <f>'19_Расчет_аналитики'!AI2464*'01_Вводные'!$B$14</f>
        <v/>
      </c>
      <c r="AK2465">
        <f>'19_Расчет_аналитики'!AJ2464*'01_Вводные'!$B$14</f>
        <v/>
      </c>
      <c r="AL2465">
        <f>'19_Расчет_аналитики'!AK2464*'01_Вводные'!$B$14</f>
        <v/>
      </c>
      <c r="AM2465">
        <f>'19_Расчет_аналитики'!AL2464*'01_Вводные'!$B$14</f>
        <v/>
      </c>
      <c r="AN2465">
        <f>'19_Расчет_аналитики'!AM2464*'01_Вводные'!$B$14</f>
        <v/>
      </c>
      <c r="AO2465">
        <f>'19_Расчет_аналитики'!AN2464*'01_Вводные'!$B$14</f>
        <v/>
      </c>
      <c r="AP2465">
        <f>'19_Расчет_аналитики'!AO2464*'01_Вводные'!$B$14</f>
        <v/>
      </c>
      <c r="AQ2465">
        <f>'19_Расчет_аналитики'!AP2464*'01_Вводные'!$B$14</f>
        <v/>
      </c>
      <c r="AR2465">
        <f>'19_Расчет_аналитики'!AQ2464*'01_Вводные'!$B$14</f>
        <v/>
      </c>
      <c r="AS2465">
        <f>'19_Расчет_аналитики'!AR2464*'01_Вводные'!$B$14</f>
        <v/>
      </c>
      <c r="AT2465">
        <f>'19_Расчет_аналитики'!AS2464*'01_Вводные'!$B$14</f>
        <v/>
      </c>
      <c r="AU2465">
        <f>'19_Расчет_аналитики'!AT2464*'01_Вводные'!$B$14</f>
        <v/>
      </c>
      <c r="AV2465">
        <f>'19_Расчет_аналитики'!AU2464*'01_Вводные'!$B$14</f>
        <v/>
      </c>
      <c r="AW2465">
        <f>'19_Расчет_аналитики'!AV2464*'01_Вводные'!$B$14</f>
        <v/>
      </c>
      <c r="AX2465">
        <f>'19_Расчет_аналитики'!AW2464*'01_Вводные'!$B$14</f>
        <v/>
      </c>
      <c r="AY2465">
        <f>'19_Расчет_аналитики'!AX2464*'01_Вводные'!$B$14</f>
        <v/>
      </c>
      <c r="AZ2465">
        <f>'19_Расчет_аналитики'!AY2464*'01_Вводные'!$B$14</f>
        <v/>
      </c>
      <c r="BA2465">
        <f>'19_Расчет_аналитики'!AZ2464*'01_Вводные'!$B$14</f>
        <v/>
      </c>
      <c r="BB2465">
        <f>'19_Расчет_аналитики'!BA2464*'01_Вводные'!$B$14</f>
        <v/>
      </c>
      <c r="BC2465">
        <f>'19_Расчет_аналитики'!BB2464*'01_Вводные'!$B$14</f>
        <v/>
      </c>
      <c r="BD2465">
        <f>'19_Расчет_аналитики'!BC2464*'01_Вводные'!$B$14</f>
        <v/>
      </c>
      <c r="BE2465">
        <f>'19_Расчет_аналитики'!BD2464*'01_Вводные'!$B$14</f>
        <v/>
      </c>
      <c r="BF2465">
        <f>'19_Расчет_аналитики'!BE2464*'01_Вводные'!$B$14</f>
        <v/>
      </c>
      <c r="BG2465">
        <f>'19_Расчет_аналитики'!BF2464*'01_Вводные'!$B$14</f>
        <v/>
      </c>
      <c r="BH2465">
        <f>'19_Расчет_аналитики'!BG2464*'01_Вводные'!$B$14</f>
        <v/>
      </c>
      <c r="BI2465">
        <f>'19_Расчет_аналитики'!BH2464*'01_Вводные'!$B$14</f>
        <v/>
      </c>
      <c r="BJ2465">
        <f>'19_Расчет_аналитики'!BI2464*'01_Вводные'!$B$14</f>
        <v/>
      </c>
      <c r="BK2465">
        <f>'19_Расчет_аналитики'!BJ2464*'01_Вводные'!$B$14</f>
        <v/>
      </c>
      <c r="BL2465">
        <f>'19_Расчет_аналитики'!BK2464*'01_Вводные'!$B$14</f>
        <v/>
      </c>
      <c r="BM2465">
        <f>'19_Расчет_аналитики'!BL2464*'01_Вводные'!$B$14</f>
        <v/>
      </c>
      <c r="BN2465">
        <f>'19_Расчет_аналитики'!BM2464*'01_Вводные'!$B$14</f>
        <v/>
      </c>
      <c r="BO2465">
        <f>'19_Расчет_аналитики'!BN2464*'01_Вводные'!$B$14</f>
        <v/>
      </c>
    </row>
    <row r="2466">
      <c r="B2466">
        <f>'06_Сеть_и_дети'!B87</f>
        <v/>
      </c>
      <c r="C2466">
        <f>'06_Сеть_и_дети'!C87</f>
        <v/>
      </c>
      <c r="D2466">
        <f>'06_Сеть_и_дети'!D87</f>
        <v/>
      </c>
      <c r="E2466">
        <f>'06_Сеть_и_дети'!E87</f>
        <v/>
      </c>
      <c r="F2466">
        <f>'06_Сеть_и_дети'!F87</f>
        <v/>
      </c>
      <c r="G2466">
        <f>'06_Сеть_и_дети'!G87</f>
        <v/>
      </c>
      <c r="H2466">
        <f>'19_Расчет_аналитики'!G2465*'01_Вводные'!$B$14</f>
        <v/>
      </c>
      <c r="I2466">
        <f>'19_Расчет_аналитики'!H2465*'01_Вводные'!$B$14</f>
        <v/>
      </c>
      <c r="J2466">
        <f>'19_Расчет_аналитики'!I2465*'01_Вводные'!$B$14</f>
        <v/>
      </c>
      <c r="K2466">
        <f>'19_Расчет_аналитики'!J2465*'01_Вводные'!$B$14</f>
        <v/>
      </c>
      <c r="L2466">
        <f>'19_Расчет_аналитики'!K2465*'01_Вводные'!$B$14</f>
        <v/>
      </c>
      <c r="M2466">
        <f>'19_Расчет_аналитики'!L2465*'01_Вводные'!$B$14</f>
        <v/>
      </c>
      <c r="N2466">
        <f>'19_Расчет_аналитики'!M2465*'01_Вводные'!$B$14</f>
        <v/>
      </c>
      <c r="O2466">
        <f>'19_Расчет_аналитики'!N2465*'01_Вводные'!$B$14</f>
        <v/>
      </c>
      <c r="P2466">
        <f>'19_Расчет_аналитики'!O2465*'01_Вводные'!$B$14</f>
        <v/>
      </c>
      <c r="Q2466">
        <f>'19_Расчет_аналитики'!P2465*'01_Вводные'!$B$14</f>
        <v/>
      </c>
      <c r="R2466">
        <f>'19_Расчет_аналитики'!Q2465*'01_Вводные'!$B$14</f>
        <v/>
      </c>
      <c r="S2466">
        <f>'19_Расчет_аналитики'!R2465*'01_Вводные'!$B$14</f>
        <v/>
      </c>
      <c r="T2466">
        <f>'19_Расчет_аналитики'!S2465*'01_Вводные'!$B$14</f>
        <v/>
      </c>
      <c r="U2466">
        <f>'19_Расчет_аналитики'!T2465*'01_Вводные'!$B$14</f>
        <v/>
      </c>
      <c r="V2466">
        <f>'19_Расчет_аналитики'!U2465*'01_Вводные'!$B$14</f>
        <v/>
      </c>
      <c r="W2466">
        <f>'19_Расчет_аналитики'!V2465*'01_Вводные'!$B$14</f>
        <v/>
      </c>
      <c r="X2466">
        <f>'19_Расчет_аналитики'!W2465*'01_Вводные'!$B$14</f>
        <v/>
      </c>
      <c r="Y2466">
        <f>'19_Расчет_аналитики'!X2465*'01_Вводные'!$B$14</f>
        <v/>
      </c>
      <c r="Z2466">
        <f>'19_Расчет_аналитики'!Y2465*'01_Вводные'!$B$14</f>
        <v/>
      </c>
      <c r="AA2466">
        <f>'19_Расчет_аналитики'!Z2465*'01_Вводные'!$B$14</f>
        <v/>
      </c>
      <c r="AB2466">
        <f>'19_Расчет_аналитики'!AA2465*'01_Вводные'!$B$14</f>
        <v/>
      </c>
      <c r="AC2466">
        <f>'19_Расчет_аналитики'!AB2465*'01_Вводные'!$B$14</f>
        <v/>
      </c>
      <c r="AD2466">
        <f>'19_Расчет_аналитики'!AC2465*'01_Вводные'!$B$14</f>
        <v/>
      </c>
      <c r="AE2466">
        <f>'19_Расчет_аналитики'!AD2465*'01_Вводные'!$B$14</f>
        <v/>
      </c>
      <c r="AF2466">
        <f>'19_Расчет_аналитики'!AE2465*'01_Вводные'!$B$14</f>
        <v/>
      </c>
      <c r="AG2466">
        <f>'19_Расчет_аналитики'!AF2465*'01_Вводные'!$B$14</f>
        <v/>
      </c>
      <c r="AH2466">
        <f>'19_Расчет_аналитики'!AG2465*'01_Вводные'!$B$14</f>
        <v/>
      </c>
      <c r="AI2466">
        <f>'19_Расчет_аналитики'!AH2465*'01_Вводные'!$B$14</f>
        <v/>
      </c>
      <c r="AJ2466">
        <f>'19_Расчет_аналитики'!AI2465*'01_Вводные'!$B$14</f>
        <v/>
      </c>
      <c r="AK2466">
        <f>'19_Расчет_аналитики'!AJ2465*'01_Вводные'!$B$14</f>
        <v/>
      </c>
      <c r="AL2466">
        <f>'19_Расчет_аналитики'!AK2465*'01_Вводные'!$B$14</f>
        <v/>
      </c>
      <c r="AM2466">
        <f>'19_Расчет_аналитики'!AL2465*'01_Вводные'!$B$14</f>
        <v/>
      </c>
      <c r="AN2466">
        <f>'19_Расчет_аналитики'!AM2465*'01_Вводные'!$B$14</f>
        <v/>
      </c>
      <c r="AO2466">
        <f>'19_Расчет_аналитики'!AN2465*'01_Вводные'!$B$14</f>
        <v/>
      </c>
      <c r="AP2466">
        <f>'19_Расчет_аналитики'!AO2465*'01_Вводные'!$B$14</f>
        <v/>
      </c>
      <c r="AQ2466">
        <f>'19_Расчет_аналитики'!AP2465*'01_Вводные'!$B$14</f>
        <v/>
      </c>
      <c r="AR2466">
        <f>'19_Расчет_аналитики'!AQ2465*'01_Вводные'!$B$14</f>
        <v/>
      </c>
      <c r="AS2466">
        <f>'19_Расчет_аналитики'!AR2465*'01_Вводные'!$B$14</f>
        <v/>
      </c>
      <c r="AT2466">
        <f>'19_Расчет_аналитики'!AS2465*'01_Вводные'!$B$14</f>
        <v/>
      </c>
      <c r="AU2466">
        <f>'19_Расчет_аналитики'!AT2465*'01_Вводные'!$B$14</f>
        <v/>
      </c>
      <c r="AV2466">
        <f>'19_Расчет_аналитики'!AU2465*'01_Вводные'!$B$14</f>
        <v/>
      </c>
      <c r="AW2466">
        <f>'19_Расчет_аналитики'!AV2465*'01_Вводные'!$B$14</f>
        <v/>
      </c>
      <c r="AX2466">
        <f>'19_Расчет_аналитики'!AW2465*'01_Вводные'!$B$14</f>
        <v/>
      </c>
      <c r="AY2466">
        <f>'19_Расчет_аналитики'!AX2465*'01_Вводные'!$B$14</f>
        <v/>
      </c>
      <c r="AZ2466">
        <f>'19_Расчет_аналитики'!AY2465*'01_Вводные'!$B$14</f>
        <v/>
      </c>
      <c r="BA2466">
        <f>'19_Расчет_аналитики'!AZ2465*'01_Вводные'!$B$14</f>
        <v/>
      </c>
      <c r="BB2466">
        <f>'19_Расчет_аналитики'!BA2465*'01_Вводные'!$B$14</f>
        <v/>
      </c>
      <c r="BC2466">
        <f>'19_Расчет_аналитики'!BB2465*'01_Вводные'!$B$14</f>
        <v/>
      </c>
      <c r="BD2466">
        <f>'19_Расчет_аналитики'!BC2465*'01_Вводные'!$B$14</f>
        <v/>
      </c>
      <c r="BE2466">
        <f>'19_Расчет_аналитики'!BD2465*'01_Вводные'!$B$14</f>
        <v/>
      </c>
      <c r="BF2466">
        <f>'19_Расчет_аналитики'!BE2465*'01_Вводные'!$B$14</f>
        <v/>
      </c>
      <c r="BG2466">
        <f>'19_Расчет_аналитики'!BF2465*'01_Вводные'!$B$14</f>
        <v/>
      </c>
      <c r="BH2466">
        <f>'19_Расчет_аналитики'!BG2465*'01_Вводные'!$B$14</f>
        <v/>
      </c>
      <c r="BI2466">
        <f>'19_Расчет_аналитики'!BH2465*'01_Вводные'!$B$14</f>
        <v/>
      </c>
      <c r="BJ2466">
        <f>'19_Расчет_аналитики'!BI2465*'01_Вводные'!$B$14</f>
        <v/>
      </c>
      <c r="BK2466">
        <f>'19_Расчет_аналитики'!BJ2465*'01_Вводные'!$B$14</f>
        <v/>
      </c>
      <c r="BL2466">
        <f>'19_Расчет_аналитики'!BK2465*'01_Вводные'!$B$14</f>
        <v/>
      </c>
      <c r="BM2466">
        <f>'19_Расчет_аналитики'!BL2465*'01_Вводные'!$B$14</f>
        <v/>
      </c>
      <c r="BN2466">
        <f>'19_Расчет_аналитики'!BM2465*'01_Вводные'!$B$14</f>
        <v/>
      </c>
      <c r="BO2466">
        <f>'19_Расчет_аналитики'!BN2465*'01_Вводные'!$B$14</f>
        <v/>
      </c>
    </row>
    <row r="2467">
      <c r="B2467">
        <f>'06_Сеть_и_дети'!B88</f>
        <v/>
      </c>
      <c r="C2467">
        <f>'06_Сеть_и_дети'!C88</f>
        <v/>
      </c>
      <c r="D2467">
        <f>'06_Сеть_и_дети'!D88</f>
        <v/>
      </c>
      <c r="E2467">
        <f>'06_Сеть_и_дети'!E88</f>
        <v/>
      </c>
      <c r="F2467">
        <f>'06_Сеть_и_дети'!F88</f>
        <v/>
      </c>
      <c r="G2467">
        <f>'06_Сеть_и_дети'!G88</f>
        <v/>
      </c>
      <c r="H2467">
        <f>'06_Сеть_и_дети'!H88</f>
        <v/>
      </c>
      <c r="I2467">
        <f>'19_Расчет_аналитики'!H2466*'01_Вводные'!$B$14</f>
        <v/>
      </c>
      <c r="J2467">
        <f>'19_Расчет_аналитики'!I2466*'01_Вводные'!$B$14</f>
        <v/>
      </c>
      <c r="K2467">
        <f>'19_Расчет_аналитики'!J2466*'01_Вводные'!$B$14</f>
        <v/>
      </c>
      <c r="L2467">
        <f>'19_Расчет_аналитики'!K2466*'01_Вводные'!$B$14</f>
        <v/>
      </c>
      <c r="M2467">
        <f>'19_Расчет_аналитики'!L2466*'01_Вводные'!$B$14</f>
        <v/>
      </c>
      <c r="N2467">
        <f>'19_Расчет_аналитики'!M2466*'01_Вводные'!$B$14</f>
        <v/>
      </c>
      <c r="O2467">
        <f>'19_Расчет_аналитики'!N2466*'01_Вводные'!$B$14</f>
        <v/>
      </c>
      <c r="P2467">
        <f>'19_Расчет_аналитики'!O2466*'01_Вводные'!$B$14</f>
        <v/>
      </c>
      <c r="Q2467">
        <f>'19_Расчет_аналитики'!P2466*'01_Вводные'!$B$14</f>
        <v/>
      </c>
      <c r="R2467">
        <f>'19_Расчет_аналитики'!Q2466*'01_Вводные'!$B$14</f>
        <v/>
      </c>
      <c r="S2467">
        <f>'19_Расчет_аналитики'!R2466*'01_Вводные'!$B$14</f>
        <v/>
      </c>
      <c r="T2467">
        <f>'19_Расчет_аналитики'!S2466*'01_Вводные'!$B$14</f>
        <v/>
      </c>
      <c r="U2467">
        <f>'19_Расчет_аналитики'!T2466*'01_Вводные'!$B$14</f>
        <v/>
      </c>
      <c r="V2467">
        <f>'19_Расчет_аналитики'!U2466*'01_Вводные'!$B$14</f>
        <v/>
      </c>
      <c r="W2467">
        <f>'19_Расчет_аналитики'!V2466*'01_Вводные'!$B$14</f>
        <v/>
      </c>
      <c r="X2467">
        <f>'19_Расчет_аналитики'!W2466*'01_Вводные'!$B$14</f>
        <v/>
      </c>
      <c r="Y2467">
        <f>'19_Расчет_аналитики'!X2466*'01_Вводные'!$B$14</f>
        <v/>
      </c>
      <c r="Z2467">
        <f>'19_Расчет_аналитики'!Y2466*'01_Вводные'!$B$14</f>
        <v/>
      </c>
      <c r="AA2467">
        <f>'19_Расчет_аналитики'!Z2466*'01_Вводные'!$B$14</f>
        <v/>
      </c>
      <c r="AB2467">
        <f>'19_Расчет_аналитики'!AA2466*'01_Вводные'!$B$14</f>
        <v/>
      </c>
      <c r="AC2467">
        <f>'19_Расчет_аналитики'!AB2466*'01_Вводные'!$B$14</f>
        <v/>
      </c>
      <c r="AD2467">
        <f>'19_Расчет_аналитики'!AC2466*'01_Вводные'!$B$14</f>
        <v/>
      </c>
      <c r="AE2467">
        <f>'19_Расчет_аналитики'!AD2466*'01_Вводные'!$B$14</f>
        <v/>
      </c>
      <c r="AF2467">
        <f>'19_Расчет_аналитики'!AE2466*'01_Вводные'!$B$14</f>
        <v/>
      </c>
      <c r="AG2467">
        <f>'19_Расчет_аналитики'!AF2466*'01_Вводные'!$B$14</f>
        <v/>
      </c>
      <c r="AH2467">
        <f>'19_Расчет_аналитики'!AG2466*'01_Вводные'!$B$14</f>
        <v/>
      </c>
      <c r="AI2467">
        <f>'19_Расчет_аналитики'!AH2466*'01_Вводные'!$B$14</f>
        <v/>
      </c>
      <c r="AJ2467">
        <f>'19_Расчет_аналитики'!AI2466*'01_Вводные'!$B$14</f>
        <v/>
      </c>
      <c r="AK2467">
        <f>'19_Расчет_аналитики'!AJ2466*'01_Вводные'!$B$14</f>
        <v/>
      </c>
      <c r="AL2467">
        <f>'19_Расчет_аналитики'!AK2466*'01_Вводные'!$B$14</f>
        <v/>
      </c>
      <c r="AM2467">
        <f>'19_Расчет_аналитики'!AL2466*'01_Вводные'!$B$14</f>
        <v/>
      </c>
      <c r="AN2467">
        <f>'19_Расчет_аналитики'!AM2466*'01_Вводные'!$B$14</f>
        <v/>
      </c>
      <c r="AO2467">
        <f>'19_Расчет_аналитики'!AN2466*'01_Вводные'!$B$14</f>
        <v/>
      </c>
      <c r="AP2467">
        <f>'19_Расчет_аналитики'!AO2466*'01_Вводные'!$B$14</f>
        <v/>
      </c>
      <c r="AQ2467">
        <f>'19_Расчет_аналитики'!AP2466*'01_Вводные'!$B$14</f>
        <v/>
      </c>
      <c r="AR2467">
        <f>'19_Расчет_аналитики'!AQ2466*'01_Вводные'!$B$14</f>
        <v/>
      </c>
      <c r="AS2467">
        <f>'19_Расчет_аналитики'!AR2466*'01_Вводные'!$B$14</f>
        <v/>
      </c>
      <c r="AT2467">
        <f>'19_Расчет_аналитики'!AS2466*'01_Вводные'!$B$14</f>
        <v/>
      </c>
      <c r="AU2467">
        <f>'19_Расчет_аналитики'!AT2466*'01_Вводные'!$B$14</f>
        <v/>
      </c>
      <c r="AV2467">
        <f>'19_Расчет_аналитики'!AU2466*'01_Вводные'!$B$14</f>
        <v/>
      </c>
      <c r="AW2467">
        <f>'19_Расчет_аналитики'!AV2466*'01_Вводные'!$B$14</f>
        <v/>
      </c>
      <c r="AX2467">
        <f>'19_Расчет_аналитики'!AW2466*'01_Вводные'!$B$14</f>
        <v/>
      </c>
      <c r="AY2467">
        <f>'19_Расчет_аналитики'!AX2466*'01_Вводные'!$B$14</f>
        <v/>
      </c>
      <c r="AZ2467">
        <f>'19_Расчет_аналитики'!AY2466*'01_Вводные'!$B$14</f>
        <v/>
      </c>
      <c r="BA2467">
        <f>'19_Расчет_аналитики'!AZ2466*'01_Вводные'!$B$14</f>
        <v/>
      </c>
      <c r="BB2467">
        <f>'19_Расчет_аналитики'!BA2466*'01_Вводные'!$B$14</f>
        <v/>
      </c>
      <c r="BC2467">
        <f>'19_Расчет_аналитики'!BB2466*'01_Вводные'!$B$14</f>
        <v/>
      </c>
      <c r="BD2467">
        <f>'19_Расчет_аналитики'!BC2466*'01_Вводные'!$B$14</f>
        <v/>
      </c>
      <c r="BE2467">
        <f>'19_Расчет_аналитики'!BD2466*'01_Вводные'!$B$14</f>
        <v/>
      </c>
      <c r="BF2467">
        <f>'19_Расчет_аналитики'!BE2466*'01_Вводные'!$B$14</f>
        <v/>
      </c>
      <c r="BG2467">
        <f>'19_Расчет_аналитики'!BF2466*'01_Вводные'!$B$14</f>
        <v/>
      </c>
      <c r="BH2467">
        <f>'19_Расчет_аналитики'!BG2466*'01_Вводные'!$B$14</f>
        <v/>
      </c>
      <c r="BI2467">
        <f>'19_Расчет_аналитики'!BH2466*'01_Вводные'!$B$14</f>
        <v/>
      </c>
      <c r="BJ2467">
        <f>'19_Расчет_аналитики'!BI2466*'01_Вводные'!$B$14</f>
        <v/>
      </c>
      <c r="BK2467">
        <f>'19_Расчет_аналитики'!BJ2466*'01_Вводные'!$B$14</f>
        <v/>
      </c>
      <c r="BL2467">
        <f>'19_Расчет_аналитики'!BK2466*'01_Вводные'!$B$14</f>
        <v/>
      </c>
      <c r="BM2467">
        <f>'19_Расчет_аналитики'!BL2466*'01_Вводные'!$B$14</f>
        <v/>
      </c>
      <c r="BN2467">
        <f>'19_Расчет_аналитики'!BM2466*'01_Вводные'!$B$14</f>
        <v/>
      </c>
      <c r="BO2467">
        <f>'19_Расчет_аналитики'!BN2466*'01_Вводные'!$B$14</f>
        <v/>
      </c>
    </row>
    <row r="2468">
      <c r="B2468">
        <f>'06_Сеть_и_дети'!B89</f>
        <v/>
      </c>
      <c r="C2468">
        <f>'06_Сеть_и_дети'!C89</f>
        <v/>
      </c>
      <c r="D2468">
        <f>'06_Сеть_и_дети'!D89</f>
        <v/>
      </c>
      <c r="E2468">
        <f>'06_Сеть_и_дети'!E89</f>
        <v/>
      </c>
      <c r="F2468">
        <f>'06_Сеть_и_дети'!F89</f>
        <v/>
      </c>
      <c r="G2468">
        <f>'06_Сеть_и_дети'!G89</f>
        <v/>
      </c>
      <c r="H2468">
        <f>'06_Сеть_и_дети'!H89</f>
        <v/>
      </c>
      <c r="I2468">
        <f>'06_Сеть_и_дети'!I89</f>
        <v/>
      </c>
      <c r="J2468">
        <f>'19_Расчет_аналитики'!I2467*'01_Вводные'!$B$14</f>
        <v/>
      </c>
      <c r="K2468">
        <f>'19_Расчет_аналитики'!J2467*'01_Вводные'!$B$14</f>
        <v/>
      </c>
      <c r="L2468">
        <f>'19_Расчет_аналитики'!K2467*'01_Вводные'!$B$14</f>
        <v/>
      </c>
      <c r="M2468">
        <f>'19_Расчет_аналитики'!L2467*'01_Вводные'!$B$14</f>
        <v/>
      </c>
      <c r="N2468">
        <f>'19_Расчет_аналитики'!M2467*'01_Вводные'!$B$14</f>
        <v/>
      </c>
      <c r="O2468">
        <f>'19_Расчет_аналитики'!N2467*'01_Вводные'!$B$14</f>
        <v/>
      </c>
      <c r="P2468">
        <f>'19_Расчет_аналитики'!O2467*'01_Вводные'!$B$14</f>
        <v/>
      </c>
      <c r="Q2468">
        <f>'19_Расчет_аналитики'!P2467*'01_Вводные'!$B$14</f>
        <v/>
      </c>
      <c r="R2468">
        <f>'19_Расчет_аналитики'!Q2467*'01_Вводные'!$B$14</f>
        <v/>
      </c>
      <c r="S2468">
        <f>'19_Расчет_аналитики'!R2467*'01_Вводные'!$B$14</f>
        <v/>
      </c>
      <c r="T2468">
        <f>'19_Расчет_аналитики'!S2467*'01_Вводные'!$B$14</f>
        <v/>
      </c>
      <c r="U2468">
        <f>'19_Расчет_аналитики'!T2467*'01_Вводные'!$B$14</f>
        <v/>
      </c>
      <c r="V2468">
        <f>'19_Расчет_аналитики'!U2467*'01_Вводные'!$B$14</f>
        <v/>
      </c>
      <c r="W2468">
        <f>'19_Расчет_аналитики'!V2467*'01_Вводные'!$B$14</f>
        <v/>
      </c>
      <c r="X2468">
        <f>'19_Расчет_аналитики'!W2467*'01_Вводные'!$B$14</f>
        <v/>
      </c>
      <c r="Y2468">
        <f>'19_Расчет_аналитики'!X2467*'01_Вводные'!$B$14</f>
        <v/>
      </c>
      <c r="Z2468">
        <f>'19_Расчет_аналитики'!Y2467*'01_Вводные'!$B$14</f>
        <v/>
      </c>
      <c r="AA2468">
        <f>'19_Расчет_аналитики'!Z2467*'01_Вводные'!$B$14</f>
        <v/>
      </c>
      <c r="AB2468">
        <f>'19_Расчет_аналитики'!AA2467*'01_Вводные'!$B$14</f>
        <v/>
      </c>
      <c r="AC2468">
        <f>'19_Расчет_аналитики'!AB2467*'01_Вводные'!$B$14</f>
        <v/>
      </c>
      <c r="AD2468">
        <f>'19_Расчет_аналитики'!AC2467*'01_Вводные'!$B$14</f>
        <v/>
      </c>
      <c r="AE2468">
        <f>'19_Расчет_аналитики'!AD2467*'01_Вводные'!$B$14</f>
        <v/>
      </c>
      <c r="AF2468">
        <f>'19_Расчет_аналитики'!AE2467*'01_Вводные'!$B$14</f>
        <v/>
      </c>
      <c r="AG2468">
        <f>'19_Расчет_аналитики'!AF2467*'01_Вводные'!$B$14</f>
        <v/>
      </c>
      <c r="AH2468">
        <f>'19_Расчет_аналитики'!AG2467*'01_Вводные'!$B$14</f>
        <v/>
      </c>
      <c r="AI2468">
        <f>'19_Расчет_аналитики'!AH2467*'01_Вводные'!$B$14</f>
        <v/>
      </c>
      <c r="AJ2468">
        <f>'19_Расчет_аналитики'!AI2467*'01_Вводные'!$B$14</f>
        <v/>
      </c>
      <c r="AK2468">
        <f>'19_Расчет_аналитики'!AJ2467*'01_Вводные'!$B$14</f>
        <v/>
      </c>
      <c r="AL2468">
        <f>'19_Расчет_аналитики'!AK2467*'01_Вводные'!$B$14</f>
        <v/>
      </c>
      <c r="AM2468">
        <f>'19_Расчет_аналитики'!AL2467*'01_Вводные'!$B$14</f>
        <v/>
      </c>
      <c r="AN2468">
        <f>'19_Расчет_аналитики'!AM2467*'01_Вводные'!$B$14</f>
        <v/>
      </c>
      <c r="AO2468">
        <f>'19_Расчет_аналитики'!AN2467*'01_Вводные'!$B$14</f>
        <v/>
      </c>
      <c r="AP2468">
        <f>'19_Расчет_аналитики'!AO2467*'01_Вводные'!$B$14</f>
        <v/>
      </c>
      <c r="AQ2468">
        <f>'19_Расчет_аналитики'!AP2467*'01_Вводные'!$B$14</f>
        <v/>
      </c>
      <c r="AR2468">
        <f>'19_Расчет_аналитики'!AQ2467*'01_Вводные'!$B$14</f>
        <v/>
      </c>
      <c r="AS2468">
        <f>'19_Расчет_аналитики'!AR2467*'01_Вводные'!$B$14</f>
        <v/>
      </c>
      <c r="AT2468">
        <f>'19_Расчет_аналитики'!AS2467*'01_Вводные'!$B$14</f>
        <v/>
      </c>
      <c r="AU2468">
        <f>'19_Расчет_аналитики'!AT2467*'01_Вводные'!$B$14</f>
        <v/>
      </c>
      <c r="AV2468">
        <f>'19_Расчет_аналитики'!AU2467*'01_Вводные'!$B$14</f>
        <v/>
      </c>
      <c r="AW2468">
        <f>'19_Расчет_аналитики'!AV2467*'01_Вводные'!$B$14</f>
        <v/>
      </c>
      <c r="AX2468">
        <f>'19_Расчет_аналитики'!AW2467*'01_Вводные'!$B$14</f>
        <v/>
      </c>
      <c r="AY2468">
        <f>'19_Расчет_аналитики'!AX2467*'01_Вводные'!$B$14</f>
        <v/>
      </c>
      <c r="AZ2468">
        <f>'19_Расчет_аналитики'!AY2467*'01_Вводные'!$B$14</f>
        <v/>
      </c>
      <c r="BA2468">
        <f>'19_Расчет_аналитики'!AZ2467*'01_Вводные'!$B$14</f>
        <v/>
      </c>
      <c r="BB2468">
        <f>'19_Расчет_аналитики'!BA2467*'01_Вводные'!$B$14</f>
        <v/>
      </c>
      <c r="BC2468">
        <f>'19_Расчет_аналитики'!BB2467*'01_Вводные'!$B$14</f>
        <v/>
      </c>
      <c r="BD2468">
        <f>'19_Расчет_аналитики'!BC2467*'01_Вводные'!$B$14</f>
        <v/>
      </c>
      <c r="BE2468">
        <f>'19_Расчет_аналитики'!BD2467*'01_Вводные'!$B$14</f>
        <v/>
      </c>
      <c r="BF2468">
        <f>'19_Расчет_аналитики'!BE2467*'01_Вводные'!$B$14</f>
        <v/>
      </c>
      <c r="BG2468">
        <f>'19_Расчет_аналитики'!BF2467*'01_Вводные'!$B$14</f>
        <v/>
      </c>
      <c r="BH2468">
        <f>'19_Расчет_аналитики'!BG2467*'01_Вводные'!$B$14</f>
        <v/>
      </c>
      <c r="BI2468">
        <f>'19_Расчет_аналитики'!BH2467*'01_Вводные'!$B$14</f>
        <v/>
      </c>
      <c r="BJ2468">
        <f>'19_Расчет_аналитики'!BI2467*'01_Вводные'!$B$14</f>
        <v/>
      </c>
      <c r="BK2468">
        <f>'19_Расчет_аналитики'!BJ2467*'01_Вводные'!$B$14</f>
        <v/>
      </c>
      <c r="BL2468">
        <f>'19_Расчет_аналитики'!BK2467*'01_Вводные'!$B$14</f>
        <v/>
      </c>
      <c r="BM2468">
        <f>'19_Расчет_аналитики'!BL2467*'01_Вводные'!$B$14</f>
        <v/>
      </c>
      <c r="BN2468">
        <f>'19_Расчет_аналитики'!BM2467*'01_Вводные'!$B$14</f>
        <v/>
      </c>
      <c r="BO2468">
        <f>'19_Расчет_аналитики'!BN2467*'01_Вводные'!$B$14</f>
        <v/>
      </c>
    </row>
    <row r="2469">
      <c r="B2469">
        <f>'06_Сеть_и_дети'!B90</f>
        <v/>
      </c>
      <c r="C2469">
        <f>'06_Сеть_и_дети'!C90</f>
        <v/>
      </c>
      <c r="D2469">
        <f>'06_Сеть_и_дети'!D90</f>
        <v/>
      </c>
      <c r="E2469">
        <f>'06_Сеть_и_дети'!E90</f>
        <v/>
      </c>
      <c r="F2469">
        <f>'06_Сеть_и_дети'!F90</f>
        <v/>
      </c>
      <c r="G2469">
        <f>'06_Сеть_и_дети'!G90</f>
        <v/>
      </c>
      <c r="H2469">
        <f>'06_Сеть_и_дети'!H90</f>
        <v/>
      </c>
      <c r="I2469">
        <f>'06_Сеть_и_дети'!I90</f>
        <v/>
      </c>
      <c r="J2469">
        <f>'06_Сеть_и_дети'!J90</f>
        <v/>
      </c>
      <c r="K2469">
        <f>'19_Расчет_аналитики'!J2468*'01_Вводные'!$B$14</f>
        <v/>
      </c>
      <c r="L2469">
        <f>'19_Расчет_аналитики'!K2468*'01_Вводные'!$B$14</f>
        <v/>
      </c>
      <c r="M2469">
        <f>'19_Расчет_аналитики'!L2468*'01_Вводные'!$B$14</f>
        <v/>
      </c>
      <c r="N2469">
        <f>'19_Расчет_аналитики'!M2468*'01_Вводные'!$B$14</f>
        <v/>
      </c>
      <c r="O2469">
        <f>'19_Расчет_аналитики'!N2468*'01_Вводные'!$B$14</f>
        <v/>
      </c>
      <c r="P2469">
        <f>'19_Расчет_аналитики'!O2468*'01_Вводные'!$B$14</f>
        <v/>
      </c>
      <c r="Q2469">
        <f>'19_Расчет_аналитики'!P2468*'01_Вводные'!$B$14</f>
        <v/>
      </c>
      <c r="R2469">
        <f>'19_Расчет_аналитики'!Q2468*'01_Вводные'!$B$14</f>
        <v/>
      </c>
      <c r="S2469">
        <f>'19_Расчет_аналитики'!R2468*'01_Вводные'!$B$14</f>
        <v/>
      </c>
      <c r="T2469">
        <f>'19_Расчет_аналитики'!S2468*'01_Вводные'!$B$14</f>
        <v/>
      </c>
      <c r="U2469">
        <f>'19_Расчет_аналитики'!T2468*'01_Вводные'!$B$14</f>
        <v/>
      </c>
      <c r="V2469">
        <f>'19_Расчет_аналитики'!U2468*'01_Вводные'!$B$14</f>
        <v/>
      </c>
      <c r="W2469">
        <f>'19_Расчет_аналитики'!V2468*'01_Вводные'!$B$14</f>
        <v/>
      </c>
      <c r="X2469">
        <f>'19_Расчет_аналитики'!W2468*'01_Вводные'!$B$14</f>
        <v/>
      </c>
      <c r="Y2469">
        <f>'19_Расчет_аналитики'!X2468*'01_Вводные'!$B$14</f>
        <v/>
      </c>
      <c r="Z2469">
        <f>'19_Расчет_аналитики'!Y2468*'01_Вводные'!$B$14</f>
        <v/>
      </c>
      <c r="AA2469">
        <f>'19_Расчет_аналитики'!Z2468*'01_Вводные'!$B$14</f>
        <v/>
      </c>
      <c r="AB2469">
        <f>'19_Расчет_аналитики'!AA2468*'01_Вводные'!$B$14</f>
        <v/>
      </c>
      <c r="AC2469">
        <f>'19_Расчет_аналитики'!AB2468*'01_Вводные'!$B$14</f>
        <v/>
      </c>
      <c r="AD2469">
        <f>'19_Расчет_аналитики'!AC2468*'01_Вводные'!$B$14</f>
        <v/>
      </c>
      <c r="AE2469">
        <f>'19_Расчет_аналитики'!AD2468*'01_Вводные'!$B$14</f>
        <v/>
      </c>
      <c r="AF2469">
        <f>'19_Расчет_аналитики'!AE2468*'01_Вводные'!$B$14</f>
        <v/>
      </c>
      <c r="AG2469">
        <f>'19_Расчет_аналитики'!AF2468*'01_Вводные'!$B$14</f>
        <v/>
      </c>
      <c r="AH2469">
        <f>'19_Расчет_аналитики'!AG2468*'01_Вводные'!$B$14</f>
        <v/>
      </c>
      <c r="AI2469">
        <f>'19_Расчет_аналитики'!AH2468*'01_Вводные'!$B$14</f>
        <v/>
      </c>
      <c r="AJ2469">
        <f>'19_Расчет_аналитики'!AI2468*'01_Вводные'!$B$14</f>
        <v/>
      </c>
      <c r="AK2469">
        <f>'19_Расчет_аналитики'!AJ2468*'01_Вводные'!$B$14</f>
        <v/>
      </c>
      <c r="AL2469">
        <f>'19_Расчет_аналитики'!AK2468*'01_Вводные'!$B$14</f>
        <v/>
      </c>
      <c r="AM2469">
        <f>'19_Расчет_аналитики'!AL2468*'01_Вводные'!$B$14</f>
        <v/>
      </c>
      <c r="AN2469">
        <f>'19_Расчет_аналитики'!AM2468*'01_Вводные'!$B$14</f>
        <v/>
      </c>
      <c r="AO2469">
        <f>'19_Расчет_аналитики'!AN2468*'01_Вводные'!$B$14</f>
        <v/>
      </c>
      <c r="AP2469">
        <f>'19_Расчет_аналитики'!AO2468*'01_Вводные'!$B$14</f>
        <v/>
      </c>
      <c r="AQ2469">
        <f>'19_Расчет_аналитики'!AP2468*'01_Вводные'!$B$14</f>
        <v/>
      </c>
      <c r="AR2469">
        <f>'19_Расчет_аналитики'!AQ2468*'01_Вводные'!$B$14</f>
        <v/>
      </c>
      <c r="AS2469">
        <f>'19_Расчет_аналитики'!AR2468*'01_Вводные'!$B$14</f>
        <v/>
      </c>
      <c r="AT2469">
        <f>'19_Расчет_аналитики'!AS2468*'01_Вводные'!$B$14</f>
        <v/>
      </c>
      <c r="AU2469">
        <f>'19_Расчет_аналитики'!AT2468*'01_Вводные'!$B$14</f>
        <v/>
      </c>
      <c r="AV2469">
        <f>'19_Расчет_аналитики'!AU2468*'01_Вводные'!$B$14</f>
        <v/>
      </c>
      <c r="AW2469">
        <f>'19_Расчет_аналитики'!AV2468*'01_Вводные'!$B$14</f>
        <v/>
      </c>
      <c r="AX2469">
        <f>'19_Расчет_аналитики'!AW2468*'01_Вводные'!$B$14</f>
        <v/>
      </c>
      <c r="AY2469">
        <f>'19_Расчет_аналитики'!AX2468*'01_Вводные'!$B$14</f>
        <v/>
      </c>
      <c r="AZ2469">
        <f>'19_Расчет_аналитики'!AY2468*'01_Вводные'!$B$14</f>
        <v/>
      </c>
      <c r="BA2469">
        <f>'19_Расчет_аналитики'!AZ2468*'01_Вводные'!$B$14</f>
        <v/>
      </c>
      <c r="BB2469">
        <f>'19_Расчет_аналитики'!BA2468*'01_Вводные'!$B$14</f>
        <v/>
      </c>
      <c r="BC2469">
        <f>'19_Расчет_аналитики'!BB2468*'01_Вводные'!$B$14</f>
        <v/>
      </c>
      <c r="BD2469">
        <f>'19_Расчет_аналитики'!BC2468*'01_Вводные'!$B$14</f>
        <v/>
      </c>
      <c r="BE2469">
        <f>'19_Расчет_аналитики'!BD2468*'01_Вводные'!$B$14</f>
        <v/>
      </c>
      <c r="BF2469">
        <f>'19_Расчет_аналитики'!BE2468*'01_Вводные'!$B$14</f>
        <v/>
      </c>
      <c r="BG2469">
        <f>'19_Расчет_аналитики'!BF2468*'01_Вводные'!$B$14</f>
        <v/>
      </c>
      <c r="BH2469">
        <f>'19_Расчет_аналитики'!BG2468*'01_Вводные'!$B$14</f>
        <v/>
      </c>
      <c r="BI2469">
        <f>'19_Расчет_аналитики'!BH2468*'01_Вводные'!$B$14</f>
        <v/>
      </c>
      <c r="BJ2469">
        <f>'19_Расчет_аналитики'!BI2468*'01_Вводные'!$B$14</f>
        <v/>
      </c>
      <c r="BK2469">
        <f>'19_Расчет_аналитики'!BJ2468*'01_Вводные'!$B$14</f>
        <v/>
      </c>
      <c r="BL2469">
        <f>'19_Расчет_аналитики'!BK2468*'01_Вводные'!$B$14</f>
        <v/>
      </c>
      <c r="BM2469">
        <f>'19_Расчет_аналитики'!BL2468*'01_Вводные'!$B$14</f>
        <v/>
      </c>
      <c r="BN2469">
        <f>'19_Расчет_аналитики'!BM2468*'01_Вводные'!$B$14</f>
        <v/>
      </c>
      <c r="BO2469">
        <f>'19_Расчет_аналитики'!BN2468*'01_Вводные'!$B$14</f>
        <v/>
      </c>
    </row>
    <row r="2470">
      <c r="B2470">
        <f>'06_Сеть_и_дети'!B91</f>
        <v/>
      </c>
      <c r="C2470">
        <f>'06_Сеть_и_дети'!C91</f>
        <v/>
      </c>
      <c r="D2470">
        <f>'06_Сеть_и_дети'!D91</f>
        <v/>
      </c>
      <c r="E2470">
        <f>'06_Сеть_и_дети'!E91</f>
        <v/>
      </c>
      <c r="F2470">
        <f>'06_Сеть_и_дети'!F91</f>
        <v/>
      </c>
      <c r="G2470">
        <f>'06_Сеть_и_дети'!G91</f>
        <v/>
      </c>
      <c r="H2470">
        <f>'06_Сеть_и_дети'!H91</f>
        <v/>
      </c>
      <c r="I2470">
        <f>'06_Сеть_и_дети'!I91</f>
        <v/>
      </c>
      <c r="J2470">
        <f>'06_Сеть_и_дети'!J91</f>
        <v/>
      </c>
      <c r="K2470">
        <f>'06_Сеть_и_дети'!K91</f>
        <v/>
      </c>
      <c r="L2470">
        <f>'19_Расчет_аналитики'!K2469*'01_Вводные'!$B$14</f>
        <v/>
      </c>
      <c r="M2470">
        <f>'19_Расчет_аналитики'!L2469*'01_Вводные'!$B$14</f>
        <v/>
      </c>
      <c r="N2470">
        <f>'19_Расчет_аналитики'!M2469*'01_Вводные'!$B$14</f>
        <v/>
      </c>
      <c r="O2470">
        <f>'19_Расчет_аналитики'!N2469*'01_Вводные'!$B$14</f>
        <v/>
      </c>
      <c r="P2470">
        <f>'19_Расчет_аналитики'!O2469*'01_Вводные'!$B$14</f>
        <v/>
      </c>
      <c r="Q2470">
        <f>'19_Расчет_аналитики'!P2469*'01_Вводные'!$B$14</f>
        <v/>
      </c>
      <c r="R2470">
        <f>'19_Расчет_аналитики'!Q2469*'01_Вводные'!$B$14</f>
        <v/>
      </c>
      <c r="S2470">
        <f>'19_Расчет_аналитики'!R2469*'01_Вводные'!$B$14</f>
        <v/>
      </c>
      <c r="T2470">
        <f>'19_Расчет_аналитики'!S2469*'01_Вводные'!$B$14</f>
        <v/>
      </c>
      <c r="U2470">
        <f>'19_Расчет_аналитики'!T2469*'01_Вводные'!$B$14</f>
        <v/>
      </c>
      <c r="V2470">
        <f>'19_Расчет_аналитики'!U2469*'01_Вводные'!$B$14</f>
        <v/>
      </c>
      <c r="W2470">
        <f>'19_Расчет_аналитики'!V2469*'01_Вводные'!$B$14</f>
        <v/>
      </c>
      <c r="X2470">
        <f>'19_Расчет_аналитики'!W2469*'01_Вводные'!$B$14</f>
        <v/>
      </c>
      <c r="Y2470">
        <f>'19_Расчет_аналитики'!X2469*'01_Вводные'!$B$14</f>
        <v/>
      </c>
      <c r="Z2470">
        <f>'19_Расчет_аналитики'!Y2469*'01_Вводные'!$B$14</f>
        <v/>
      </c>
      <c r="AA2470">
        <f>'19_Расчет_аналитики'!Z2469*'01_Вводные'!$B$14</f>
        <v/>
      </c>
      <c r="AB2470">
        <f>'19_Расчет_аналитики'!AA2469*'01_Вводные'!$B$14</f>
        <v/>
      </c>
      <c r="AC2470">
        <f>'19_Расчет_аналитики'!AB2469*'01_Вводные'!$B$14</f>
        <v/>
      </c>
      <c r="AD2470">
        <f>'19_Расчет_аналитики'!AC2469*'01_Вводные'!$B$14</f>
        <v/>
      </c>
      <c r="AE2470">
        <f>'19_Расчет_аналитики'!AD2469*'01_Вводные'!$B$14</f>
        <v/>
      </c>
      <c r="AF2470">
        <f>'19_Расчет_аналитики'!AE2469*'01_Вводные'!$B$14</f>
        <v/>
      </c>
      <c r="AG2470">
        <f>'19_Расчет_аналитики'!AF2469*'01_Вводные'!$B$14</f>
        <v/>
      </c>
      <c r="AH2470">
        <f>'19_Расчет_аналитики'!AG2469*'01_Вводные'!$B$14</f>
        <v/>
      </c>
      <c r="AI2470">
        <f>'19_Расчет_аналитики'!AH2469*'01_Вводные'!$B$14</f>
        <v/>
      </c>
      <c r="AJ2470">
        <f>'19_Расчет_аналитики'!AI2469*'01_Вводные'!$B$14</f>
        <v/>
      </c>
      <c r="AK2470">
        <f>'19_Расчет_аналитики'!AJ2469*'01_Вводные'!$B$14</f>
        <v/>
      </c>
      <c r="AL2470">
        <f>'19_Расчет_аналитики'!AK2469*'01_Вводные'!$B$14</f>
        <v/>
      </c>
      <c r="AM2470">
        <f>'19_Расчет_аналитики'!AL2469*'01_Вводные'!$B$14</f>
        <v/>
      </c>
      <c r="AN2470">
        <f>'19_Расчет_аналитики'!AM2469*'01_Вводные'!$B$14</f>
        <v/>
      </c>
      <c r="AO2470">
        <f>'19_Расчет_аналитики'!AN2469*'01_Вводные'!$B$14</f>
        <v/>
      </c>
      <c r="AP2470">
        <f>'19_Расчет_аналитики'!AO2469*'01_Вводные'!$B$14</f>
        <v/>
      </c>
      <c r="AQ2470">
        <f>'19_Расчет_аналитики'!AP2469*'01_Вводные'!$B$14</f>
        <v/>
      </c>
      <c r="AR2470">
        <f>'19_Расчет_аналитики'!AQ2469*'01_Вводные'!$B$14</f>
        <v/>
      </c>
      <c r="AS2470">
        <f>'19_Расчет_аналитики'!AR2469*'01_Вводные'!$B$14</f>
        <v/>
      </c>
      <c r="AT2470">
        <f>'19_Расчет_аналитики'!AS2469*'01_Вводные'!$B$14</f>
        <v/>
      </c>
      <c r="AU2470">
        <f>'19_Расчет_аналитики'!AT2469*'01_Вводные'!$B$14</f>
        <v/>
      </c>
      <c r="AV2470">
        <f>'19_Расчет_аналитики'!AU2469*'01_Вводные'!$B$14</f>
        <v/>
      </c>
      <c r="AW2470">
        <f>'19_Расчет_аналитики'!AV2469*'01_Вводные'!$B$14</f>
        <v/>
      </c>
      <c r="AX2470">
        <f>'19_Расчет_аналитики'!AW2469*'01_Вводные'!$B$14</f>
        <v/>
      </c>
      <c r="AY2470">
        <f>'19_Расчет_аналитики'!AX2469*'01_Вводные'!$B$14</f>
        <v/>
      </c>
      <c r="AZ2470">
        <f>'19_Расчет_аналитики'!AY2469*'01_Вводные'!$B$14</f>
        <v/>
      </c>
      <c r="BA2470">
        <f>'19_Расчет_аналитики'!AZ2469*'01_Вводные'!$B$14</f>
        <v/>
      </c>
      <c r="BB2470">
        <f>'19_Расчет_аналитики'!BA2469*'01_Вводные'!$B$14</f>
        <v/>
      </c>
      <c r="BC2470">
        <f>'19_Расчет_аналитики'!BB2469*'01_Вводные'!$B$14</f>
        <v/>
      </c>
      <c r="BD2470">
        <f>'19_Расчет_аналитики'!BC2469*'01_Вводные'!$B$14</f>
        <v/>
      </c>
      <c r="BE2470">
        <f>'19_Расчет_аналитики'!BD2469*'01_Вводные'!$B$14</f>
        <v/>
      </c>
      <c r="BF2470">
        <f>'19_Расчет_аналитики'!BE2469*'01_Вводные'!$B$14</f>
        <v/>
      </c>
      <c r="BG2470">
        <f>'19_Расчет_аналитики'!BF2469*'01_Вводные'!$B$14</f>
        <v/>
      </c>
      <c r="BH2470">
        <f>'19_Расчет_аналитики'!BG2469*'01_Вводные'!$B$14</f>
        <v/>
      </c>
      <c r="BI2470">
        <f>'19_Расчет_аналитики'!BH2469*'01_Вводные'!$B$14</f>
        <v/>
      </c>
      <c r="BJ2470">
        <f>'19_Расчет_аналитики'!BI2469*'01_Вводные'!$B$14</f>
        <v/>
      </c>
      <c r="BK2470">
        <f>'19_Расчет_аналитики'!BJ2469*'01_Вводные'!$B$14</f>
        <v/>
      </c>
      <c r="BL2470">
        <f>'19_Расчет_аналитики'!BK2469*'01_Вводные'!$B$14</f>
        <v/>
      </c>
      <c r="BM2470">
        <f>'19_Расчет_аналитики'!BL2469*'01_Вводные'!$B$14</f>
        <v/>
      </c>
      <c r="BN2470">
        <f>'19_Расчет_аналитики'!BM2469*'01_Вводные'!$B$14</f>
        <v/>
      </c>
      <c r="BO2470">
        <f>'19_Расчет_аналитики'!BN2469*'01_Вводные'!$B$14</f>
        <v/>
      </c>
    </row>
    <row r="2471">
      <c r="B2471">
        <f>'06_Сеть_и_дети'!B92</f>
        <v/>
      </c>
      <c r="C2471">
        <f>'06_Сеть_и_дети'!C92</f>
        <v/>
      </c>
      <c r="D2471">
        <f>'06_Сеть_и_дети'!D92</f>
        <v/>
      </c>
      <c r="E2471">
        <f>'06_Сеть_и_дети'!E92</f>
        <v/>
      </c>
      <c r="F2471">
        <f>'06_Сеть_и_дети'!F92</f>
        <v/>
      </c>
      <c r="G2471">
        <f>'06_Сеть_и_дети'!G92</f>
        <v/>
      </c>
      <c r="H2471">
        <f>'06_Сеть_и_дети'!H92</f>
        <v/>
      </c>
      <c r="I2471">
        <f>'06_Сеть_и_дети'!I92</f>
        <v/>
      </c>
      <c r="J2471">
        <f>'06_Сеть_и_дети'!J92</f>
        <v/>
      </c>
      <c r="K2471">
        <f>'06_Сеть_и_дети'!K92</f>
        <v/>
      </c>
      <c r="L2471">
        <f>'06_Сеть_и_дети'!L92</f>
        <v/>
      </c>
      <c r="M2471">
        <f>'19_Расчет_аналитики'!L2470*'01_Вводные'!$B$14</f>
        <v/>
      </c>
      <c r="N2471">
        <f>'19_Расчет_аналитики'!M2470*'01_Вводные'!$B$14</f>
        <v/>
      </c>
      <c r="O2471">
        <f>'19_Расчет_аналитики'!N2470*'01_Вводные'!$B$14</f>
        <v/>
      </c>
      <c r="P2471">
        <f>'19_Расчет_аналитики'!O2470*'01_Вводные'!$B$14</f>
        <v/>
      </c>
      <c r="Q2471">
        <f>'19_Расчет_аналитики'!P2470*'01_Вводные'!$B$14</f>
        <v/>
      </c>
      <c r="R2471">
        <f>'19_Расчет_аналитики'!Q2470*'01_Вводные'!$B$14</f>
        <v/>
      </c>
      <c r="S2471">
        <f>'19_Расчет_аналитики'!R2470*'01_Вводные'!$B$14</f>
        <v/>
      </c>
      <c r="T2471">
        <f>'19_Расчет_аналитики'!S2470*'01_Вводные'!$B$14</f>
        <v/>
      </c>
      <c r="U2471">
        <f>'19_Расчет_аналитики'!T2470*'01_Вводные'!$B$14</f>
        <v/>
      </c>
      <c r="V2471">
        <f>'19_Расчет_аналитики'!U2470*'01_Вводные'!$B$14</f>
        <v/>
      </c>
      <c r="W2471">
        <f>'19_Расчет_аналитики'!V2470*'01_Вводные'!$B$14</f>
        <v/>
      </c>
      <c r="X2471">
        <f>'19_Расчет_аналитики'!W2470*'01_Вводные'!$B$14</f>
        <v/>
      </c>
      <c r="Y2471">
        <f>'19_Расчет_аналитики'!X2470*'01_Вводные'!$B$14</f>
        <v/>
      </c>
      <c r="Z2471">
        <f>'19_Расчет_аналитики'!Y2470*'01_Вводные'!$B$14</f>
        <v/>
      </c>
      <c r="AA2471">
        <f>'19_Расчет_аналитики'!Z2470*'01_Вводные'!$B$14</f>
        <v/>
      </c>
      <c r="AB2471">
        <f>'19_Расчет_аналитики'!AA2470*'01_Вводные'!$B$14</f>
        <v/>
      </c>
      <c r="AC2471">
        <f>'19_Расчет_аналитики'!AB2470*'01_Вводные'!$B$14</f>
        <v/>
      </c>
      <c r="AD2471">
        <f>'19_Расчет_аналитики'!AC2470*'01_Вводные'!$B$14</f>
        <v/>
      </c>
      <c r="AE2471">
        <f>'19_Расчет_аналитики'!AD2470*'01_Вводные'!$B$14</f>
        <v/>
      </c>
      <c r="AF2471">
        <f>'19_Расчет_аналитики'!AE2470*'01_Вводные'!$B$14</f>
        <v/>
      </c>
      <c r="AG2471">
        <f>'19_Расчет_аналитики'!AF2470*'01_Вводные'!$B$14</f>
        <v/>
      </c>
      <c r="AH2471">
        <f>'19_Расчет_аналитики'!AG2470*'01_Вводные'!$B$14</f>
        <v/>
      </c>
      <c r="AI2471">
        <f>'19_Расчет_аналитики'!AH2470*'01_Вводные'!$B$14</f>
        <v/>
      </c>
      <c r="AJ2471">
        <f>'19_Расчет_аналитики'!AI2470*'01_Вводные'!$B$14</f>
        <v/>
      </c>
      <c r="AK2471">
        <f>'19_Расчет_аналитики'!AJ2470*'01_Вводные'!$B$14</f>
        <v/>
      </c>
      <c r="AL2471">
        <f>'19_Расчет_аналитики'!AK2470*'01_Вводные'!$B$14</f>
        <v/>
      </c>
      <c r="AM2471">
        <f>'19_Расчет_аналитики'!AL2470*'01_Вводные'!$B$14</f>
        <v/>
      </c>
      <c r="AN2471">
        <f>'19_Расчет_аналитики'!AM2470*'01_Вводные'!$B$14</f>
        <v/>
      </c>
      <c r="AO2471">
        <f>'19_Расчет_аналитики'!AN2470*'01_Вводные'!$B$14</f>
        <v/>
      </c>
      <c r="AP2471">
        <f>'19_Расчет_аналитики'!AO2470*'01_Вводные'!$B$14</f>
        <v/>
      </c>
      <c r="AQ2471">
        <f>'19_Расчет_аналитики'!AP2470*'01_Вводные'!$B$14</f>
        <v/>
      </c>
      <c r="AR2471">
        <f>'19_Расчет_аналитики'!AQ2470*'01_Вводные'!$B$14</f>
        <v/>
      </c>
      <c r="AS2471">
        <f>'19_Расчет_аналитики'!AR2470*'01_Вводные'!$B$14</f>
        <v/>
      </c>
      <c r="AT2471">
        <f>'19_Расчет_аналитики'!AS2470*'01_Вводные'!$B$14</f>
        <v/>
      </c>
      <c r="AU2471">
        <f>'19_Расчет_аналитики'!AT2470*'01_Вводные'!$B$14</f>
        <v/>
      </c>
      <c r="AV2471">
        <f>'19_Расчет_аналитики'!AU2470*'01_Вводные'!$B$14</f>
        <v/>
      </c>
      <c r="AW2471">
        <f>'19_Расчет_аналитики'!AV2470*'01_Вводные'!$B$14</f>
        <v/>
      </c>
      <c r="AX2471">
        <f>'19_Расчет_аналитики'!AW2470*'01_Вводные'!$B$14</f>
        <v/>
      </c>
      <c r="AY2471">
        <f>'19_Расчет_аналитики'!AX2470*'01_Вводные'!$B$14</f>
        <v/>
      </c>
      <c r="AZ2471">
        <f>'19_Расчет_аналитики'!AY2470*'01_Вводные'!$B$14</f>
        <v/>
      </c>
      <c r="BA2471">
        <f>'19_Расчет_аналитики'!AZ2470*'01_Вводные'!$B$14</f>
        <v/>
      </c>
      <c r="BB2471">
        <f>'19_Расчет_аналитики'!BA2470*'01_Вводные'!$B$14</f>
        <v/>
      </c>
      <c r="BC2471">
        <f>'19_Расчет_аналитики'!BB2470*'01_Вводные'!$B$14</f>
        <v/>
      </c>
      <c r="BD2471">
        <f>'19_Расчет_аналитики'!BC2470*'01_Вводные'!$B$14</f>
        <v/>
      </c>
      <c r="BE2471">
        <f>'19_Расчет_аналитики'!BD2470*'01_Вводные'!$B$14</f>
        <v/>
      </c>
      <c r="BF2471">
        <f>'19_Расчет_аналитики'!BE2470*'01_Вводные'!$B$14</f>
        <v/>
      </c>
      <c r="BG2471">
        <f>'19_Расчет_аналитики'!BF2470*'01_Вводные'!$B$14</f>
        <v/>
      </c>
      <c r="BH2471">
        <f>'19_Расчет_аналитики'!BG2470*'01_Вводные'!$B$14</f>
        <v/>
      </c>
      <c r="BI2471">
        <f>'19_Расчет_аналитики'!BH2470*'01_Вводные'!$B$14</f>
        <v/>
      </c>
      <c r="BJ2471">
        <f>'19_Расчет_аналитики'!BI2470*'01_Вводные'!$B$14</f>
        <v/>
      </c>
      <c r="BK2471">
        <f>'19_Расчет_аналитики'!BJ2470*'01_Вводные'!$B$14</f>
        <v/>
      </c>
      <c r="BL2471">
        <f>'19_Расчет_аналитики'!BK2470*'01_Вводные'!$B$14</f>
        <v/>
      </c>
      <c r="BM2471">
        <f>'19_Расчет_аналитики'!BL2470*'01_Вводные'!$B$14</f>
        <v/>
      </c>
      <c r="BN2471">
        <f>'19_Расчет_аналитики'!BM2470*'01_Вводные'!$B$14</f>
        <v/>
      </c>
      <c r="BO2471">
        <f>'19_Расчет_аналитики'!BN2470*'01_Вводные'!$B$14</f>
        <v/>
      </c>
    </row>
    <row r="2472">
      <c r="N2472">
        <f>'19_Расчет_аналитики'!M2471*'01_Вводные'!$B$14</f>
        <v/>
      </c>
      <c r="O2472">
        <f>'19_Расчет_аналитики'!N2471*'01_Вводные'!$B$14</f>
        <v/>
      </c>
      <c r="P2472">
        <f>'19_Расчет_аналитики'!O2471*'01_Вводные'!$B$14</f>
        <v/>
      </c>
      <c r="Q2472">
        <f>'19_Расчет_аналитики'!P2471*'01_Вводные'!$B$14</f>
        <v/>
      </c>
      <c r="R2472">
        <f>'19_Расчет_аналитики'!Q2471*'01_Вводные'!$B$14</f>
        <v/>
      </c>
      <c r="S2472">
        <f>'19_Расчет_аналитики'!R2471*'01_Вводные'!$B$14</f>
        <v/>
      </c>
      <c r="T2472">
        <f>'19_Расчет_аналитики'!S2471*'01_Вводные'!$B$14</f>
        <v/>
      </c>
      <c r="U2472">
        <f>'19_Расчет_аналитики'!T2471*'01_Вводные'!$B$14</f>
        <v/>
      </c>
      <c r="V2472">
        <f>'19_Расчет_аналитики'!U2471*'01_Вводные'!$B$14</f>
        <v/>
      </c>
      <c r="W2472">
        <f>'19_Расчет_аналитики'!V2471*'01_Вводные'!$B$14</f>
        <v/>
      </c>
      <c r="X2472">
        <f>'19_Расчет_аналитики'!W2471*'01_Вводные'!$B$14</f>
        <v/>
      </c>
      <c r="Y2472">
        <f>'19_Расчет_аналитики'!X2471*'01_Вводные'!$B$14</f>
        <v/>
      </c>
      <c r="Z2472">
        <f>'19_Расчет_аналитики'!Y2471*'01_Вводные'!$B$14</f>
        <v/>
      </c>
      <c r="AA2472">
        <f>'19_Расчет_аналитики'!Z2471*'01_Вводные'!$B$14</f>
        <v/>
      </c>
      <c r="AB2472">
        <f>'19_Расчет_аналитики'!AA2471*'01_Вводные'!$B$14</f>
        <v/>
      </c>
      <c r="AC2472">
        <f>'19_Расчет_аналитики'!AB2471*'01_Вводные'!$B$14</f>
        <v/>
      </c>
      <c r="AD2472">
        <f>'19_Расчет_аналитики'!AC2471*'01_Вводные'!$B$14</f>
        <v/>
      </c>
      <c r="AE2472">
        <f>'19_Расчет_аналитики'!AD2471*'01_Вводные'!$B$14</f>
        <v/>
      </c>
      <c r="AF2472">
        <f>'19_Расчет_аналитики'!AE2471*'01_Вводные'!$B$14</f>
        <v/>
      </c>
      <c r="AG2472">
        <f>'19_Расчет_аналитики'!AF2471*'01_Вводные'!$B$14</f>
        <v/>
      </c>
      <c r="AH2472">
        <f>'19_Расчет_аналитики'!AG2471*'01_Вводные'!$B$14</f>
        <v/>
      </c>
      <c r="AI2472">
        <f>'19_Расчет_аналитики'!AH2471*'01_Вводные'!$B$14</f>
        <v/>
      </c>
      <c r="AJ2472">
        <f>'19_Расчет_аналитики'!AI2471*'01_Вводные'!$B$14</f>
        <v/>
      </c>
      <c r="AK2472">
        <f>'19_Расчет_аналитики'!AJ2471*'01_Вводные'!$B$14</f>
        <v/>
      </c>
      <c r="AL2472">
        <f>'19_Расчет_аналитики'!AK2471*'01_Вводные'!$B$14</f>
        <v/>
      </c>
      <c r="AM2472">
        <f>'19_Расчет_аналитики'!AL2471*'01_Вводные'!$B$14</f>
        <v/>
      </c>
      <c r="AN2472">
        <f>'19_Расчет_аналитики'!AM2471*'01_Вводные'!$B$14</f>
        <v/>
      </c>
      <c r="AO2472">
        <f>'19_Расчет_аналитики'!AN2471*'01_Вводные'!$B$14</f>
        <v/>
      </c>
      <c r="AP2472">
        <f>'19_Расчет_аналитики'!AO2471*'01_Вводные'!$B$14</f>
        <v/>
      </c>
      <c r="AQ2472">
        <f>'19_Расчет_аналитики'!AP2471*'01_Вводные'!$B$14</f>
        <v/>
      </c>
      <c r="AR2472">
        <f>'19_Расчет_аналитики'!AQ2471*'01_Вводные'!$B$14</f>
        <v/>
      </c>
      <c r="AS2472">
        <f>'19_Расчет_аналитики'!AR2471*'01_Вводные'!$B$14</f>
        <v/>
      </c>
      <c r="AT2472">
        <f>'19_Расчет_аналитики'!AS2471*'01_Вводные'!$B$14</f>
        <v/>
      </c>
      <c r="AU2472">
        <f>'19_Расчет_аналитики'!AT2471*'01_Вводные'!$B$14</f>
        <v/>
      </c>
      <c r="AV2472">
        <f>'19_Расчет_аналитики'!AU2471*'01_Вводные'!$B$14</f>
        <v/>
      </c>
      <c r="AW2472">
        <f>'19_Расчет_аналитики'!AV2471*'01_Вводные'!$B$14</f>
        <v/>
      </c>
      <c r="AX2472">
        <f>'19_Расчет_аналитики'!AW2471*'01_Вводные'!$B$14</f>
        <v/>
      </c>
      <c r="AY2472">
        <f>'19_Расчет_аналитики'!AX2471*'01_Вводные'!$B$14</f>
        <v/>
      </c>
      <c r="AZ2472">
        <f>'19_Расчет_аналитики'!AY2471*'01_Вводные'!$B$14</f>
        <v/>
      </c>
      <c r="BA2472">
        <f>'19_Расчет_аналитики'!AZ2471*'01_Вводные'!$B$14</f>
        <v/>
      </c>
      <c r="BB2472">
        <f>'19_Расчет_аналитики'!BA2471*'01_Вводные'!$B$14</f>
        <v/>
      </c>
      <c r="BC2472">
        <f>'19_Расчет_аналитики'!BB2471*'01_Вводные'!$B$14</f>
        <v/>
      </c>
      <c r="BD2472">
        <f>'19_Расчет_аналитики'!BC2471*'01_Вводные'!$B$14</f>
        <v/>
      </c>
      <c r="BE2472">
        <f>'19_Расчет_аналитики'!BD2471*'01_Вводные'!$B$14</f>
        <v/>
      </c>
      <c r="BF2472">
        <f>'19_Расчет_аналитики'!BE2471*'01_Вводные'!$B$14</f>
        <v/>
      </c>
      <c r="BG2472">
        <f>'19_Расчет_аналитики'!BF2471*'01_Вводные'!$B$14</f>
        <v/>
      </c>
      <c r="BH2472">
        <f>'19_Расчет_аналитики'!BG2471*'01_Вводные'!$B$14</f>
        <v/>
      </c>
      <c r="BI2472">
        <f>'19_Расчет_аналитики'!BH2471*'01_Вводные'!$B$14</f>
        <v/>
      </c>
      <c r="BJ2472">
        <f>'19_Расчет_аналитики'!BI2471*'01_Вводные'!$B$14</f>
        <v/>
      </c>
      <c r="BK2472">
        <f>'19_Расчет_аналитики'!BJ2471*'01_Вводные'!$B$14</f>
        <v/>
      </c>
      <c r="BL2472">
        <f>'19_Расчет_аналитики'!BK2471*'01_Вводные'!$B$14</f>
        <v/>
      </c>
      <c r="BM2472">
        <f>'19_Расчет_аналитики'!BL2471*'01_Вводные'!$B$14</f>
        <v/>
      </c>
      <c r="BN2472">
        <f>'19_Расчет_аналитики'!BM2471*'01_Вводные'!$B$14</f>
        <v/>
      </c>
      <c r="BO2472">
        <f>'19_Расчет_аналитики'!BN2471*'01_Вводные'!$B$14</f>
        <v/>
      </c>
    </row>
    <row r="2473">
      <c r="N2473">
        <f>'06_Сеть_и_дети'!N94</f>
        <v/>
      </c>
      <c r="O2473">
        <f>'19_Расчет_аналитики'!N2472*'01_Вводные'!$B$14</f>
        <v/>
      </c>
      <c r="P2473">
        <f>'19_Расчет_аналитики'!O2472*'01_Вводные'!$B$14</f>
        <v/>
      </c>
      <c r="Q2473">
        <f>'19_Расчет_аналитики'!P2472*'01_Вводные'!$B$14</f>
        <v/>
      </c>
      <c r="R2473">
        <f>'19_Расчет_аналитики'!Q2472*'01_Вводные'!$B$14</f>
        <v/>
      </c>
      <c r="S2473">
        <f>'19_Расчет_аналитики'!R2472*'01_Вводные'!$B$14</f>
        <v/>
      </c>
      <c r="T2473">
        <f>'19_Расчет_аналитики'!S2472*'01_Вводные'!$B$14</f>
        <v/>
      </c>
      <c r="U2473">
        <f>'19_Расчет_аналитики'!T2472*'01_Вводные'!$B$14</f>
        <v/>
      </c>
      <c r="V2473">
        <f>'19_Расчет_аналитики'!U2472*'01_Вводные'!$B$14</f>
        <v/>
      </c>
      <c r="W2473">
        <f>'19_Расчет_аналитики'!V2472*'01_Вводные'!$B$14</f>
        <v/>
      </c>
      <c r="X2473">
        <f>'19_Расчет_аналитики'!W2472*'01_Вводные'!$B$14</f>
        <v/>
      </c>
      <c r="Y2473">
        <f>'19_Расчет_аналитики'!X2472*'01_Вводные'!$B$14</f>
        <v/>
      </c>
      <c r="Z2473">
        <f>'19_Расчет_аналитики'!Y2472*'01_Вводные'!$B$14</f>
        <v/>
      </c>
      <c r="AA2473">
        <f>'19_Расчет_аналитики'!Z2472*'01_Вводные'!$B$14</f>
        <v/>
      </c>
      <c r="AB2473">
        <f>'19_Расчет_аналитики'!AA2472*'01_Вводные'!$B$14</f>
        <v/>
      </c>
      <c r="AC2473">
        <f>'19_Расчет_аналитики'!AB2472*'01_Вводные'!$B$14</f>
        <v/>
      </c>
      <c r="AD2473">
        <f>'19_Расчет_аналитики'!AC2472*'01_Вводные'!$B$14</f>
        <v/>
      </c>
      <c r="AE2473">
        <f>'19_Расчет_аналитики'!AD2472*'01_Вводные'!$B$14</f>
        <v/>
      </c>
      <c r="AF2473">
        <f>'19_Расчет_аналитики'!AE2472*'01_Вводные'!$B$14</f>
        <v/>
      </c>
      <c r="AG2473">
        <f>'19_Расчет_аналитики'!AF2472*'01_Вводные'!$B$14</f>
        <v/>
      </c>
      <c r="AH2473">
        <f>'19_Расчет_аналитики'!AG2472*'01_Вводные'!$B$14</f>
        <v/>
      </c>
      <c r="AI2473">
        <f>'19_Расчет_аналитики'!AH2472*'01_Вводные'!$B$14</f>
        <v/>
      </c>
      <c r="AJ2473">
        <f>'19_Расчет_аналитики'!AI2472*'01_Вводные'!$B$14</f>
        <v/>
      </c>
      <c r="AK2473">
        <f>'19_Расчет_аналитики'!AJ2472*'01_Вводные'!$B$14</f>
        <v/>
      </c>
      <c r="AL2473">
        <f>'19_Расчет_аналитики'!AK2472*'01_Вводные'!$B$14</f>
        <v/>
      </c>
      <c r="AM2473">
        <f>'19_Расчет_аналитики'!AL2472*'01_Вводные'!$B$14</f>
        <v/>
      </c>
      <c r="AN2473">
        <f>'19_Расчет_аналитики'!AM2472*'01_Вводные'!$B$14</f>
        <v/>
      </c>
      <c r="AO2473">
        <f>'19_Расчет_аналитики'!AN2472*'01_Вводные'!$B$14</f>
        <v/>
      </c>
      <c r="AP2473">
        <f>'19_Расчет_аналитики'!AO2472*'01_Вводные'!$B$14</f>
        <v/>
      </c>
      <c r="AQ2473">
        <f>'19_Расчет_аналитики'!AP2472*'01_Вводные'!$B$14</f>
        <v/>
      </c>
      <c r="AR2473">
        <f>'19_Расчет_аналитики'!AQ2472*'01_Вводные'!$B$14</f>
        <v/>
      </c>
      <c r="AS2473">
        <f>'19_Расчет_аналитики'!AR2472*'01_Вводные'!$B$14</f>
        <v/>
      </c>
      <c r="AT2473">
        <f>'19_Расчет_аналитики'!AS2472*'01_Вводные'!$B$14</f>
        <v/>
      </c>
      <c r="AU2473">
        <f>'19_Расчет_аналитики'!AT2472*'01_Вводные'!$B$14</f>
        <v/>
      </c>
      <c r="AV2473">
        <f>'19_Расчет_аналитики'!AU2472*'01_Вводные'!$B$14</f>
        <v/>
      </c>
      <c r="AW2473">
        <f>'19_Расчет_аналитики'!AV2472*'01_Вводные'!$B$14</f>
        <v/>
      </c>
      <c r="AX2473">
        <f>'19_Расчет_аналитики'!AW2472*'01_Вводные'!$B$14</f>
        <v/>
      </c>
      <c r="AY2473">
        <f>'19_Расчет_аналитики'!AX2472*'01_Вводные'!$B$14</f>
        <v/>
      </c>
      <c r="AZ2473">
        <f>'19_Расчет_аналитики'!AY2472*'01_Вводные'!$B$14</f>
        <v/>
      </c>
      <c r="BA2473">
        <f>'19_Расчет_аналитики'!AZ2472*'01_Вводные'!$B$14</f>
        <v/>
      </c>
      <c r="BB2473">
        <f>'19_Расчет_аналитики'!BA2472*'01_Вводные'!$B$14</f>
        <v/>
      </c>
      <c r="BC2473">
        <f>'19_Расчет_аналитики'!BB2472*'01_Вводные'!$B$14</f>
        <v/>
      </c>
      <c r="BD2473">
        <f>'19_Расчет_аналитики'!BC2472*'01_Вводные'!$B$14</f>
        <v/>
      </c>
      <c r="BE2473">
        <f>'19_Расчет_аналитики'!BD2472*'01_Вводные'!$B$14</f>
        <v/>
      </c>
      <c r="BF2473">
        <f>'19_Расчет_аналитики'!BE2472*'01_Вводные'!$B$14</f>
        <v/>
      </c>
      <c r="BG2473">
        <f>'19_Расчет_аналитики'!BF2472*'01_Вводные'!$B$14</f>
        <v/>
      </c>
      <c r="BH2473">
        <f>'19_Расчет_аналитики'!BG2472*'01_Вводные'!$B$14</f>
        <v/>
      </c>
      <c r="BI2473">
        <f>'19_Расчет_аналитики'!BH2472*'01_Вводные'!$B$14</f>
        <v/>
      </c>
      <c r="BJ2473">
        <f>'19_Расчет_аналитики'!BI2472*'01_Вводные'!$B$14</f>
        <v/>
      </c>
      <c r="BK2473">
        <f>'19_Расчет_аналитики'!BJ2472*'01_Вводные'!$B$14</f>
        <v/>
      </c>
      <c r="BL2473">
        <f>'19_Расчет_аналитики'!BK2472*'01_Вводные'!$B$14</f>
        <v/>
      </c>
      <c r="BM2473">
        <f>'19_Расчет_аналитики'!BL2472*'01_Вводные'!$B$14</f>
        <v/>
      </c>
      <c r="BN2473">
        <f>'19_Расчет_аналитики'!BM2472*'01_Вводные'!$B$14</f>
        <v/>
      </c>
      <c r="BO2473">
        <f>'19_Расчет_аналитики'!BN2472*'01_Вводные'!$B$14</f>
        <v/>
      </c>
    </row>
    <row r="2474">
      <c r="N2474">
        <f>'06_Сеть_и_дети'!N95</f>
        <v/>
      </c>
      <c r="O2474">
        <f>'06_Сеть_и_дети'!O95</f>
        <v/>
      </c>
      <c r="P2474">
        <f>'19_Расчет_аналитики'!O2473*'01_Вводные'!$B$14</f>
        <v/>
      </c>
      <c r="Q2474">
        <f>'19_Расчет_аналитики'!P2473*'01_Вводные'!$B$14</f>
        <v/>
      </c>
      <c r="R2474">
        <f>'19_Расчет_аналитики'!Q2473*'01_Вводные'!$B$14</f>
        <v/>
      </c>
      <c r="S2474">
        <f>'19_Расчет_аналитики'!R2473*'01_Вводные'!$B$14</f>
        <v/>
      </c>
      <c r="T2474">
        <f>'19_Расчет_аналитики'!S2473*'01_Вводные'!$B$14</f>
        <v/>
      </c>
      <c r="U2474">
        <f>'19_Расчет_аналитики'!T2473*'01_Вводные'!$B$14</f>
        <v/>
      </c>
      <c r="V2474">
        <f>'19_Расчет_аналитики'!U2473*'01_Вводные'!$B$14</f>
        <v/>
      </c>
      <c r="W2474">
        <f>'19_Расчет_аналитики'!V2473*'01_Вводные'!$B$14</f>
        <v/>
      </c>
      <c r="X2474">
        <f>'19_Расчет_аналитики'!W2473*'01_Вводные'!$B$14</f>
        <v/>
      </c>
      <c r="Y2474">
        <f>'19_Расчет_аналитики'!X2473*'01_Вводные'!$B$14</f>
        <v/>
      </c>
      <c r="Z2474">
        <f>'19_Расчет_аналитики'!Y2473*'01_Вводные'!$B$14</f>
        <v/>
      </c>
      <c r="AA2474">
        <f>'19_Расчет_аналитики'!Z2473*'01_Вводные'!$B$14</f>
        <v/>
      </c>
      <c r="AB2474">
        <f>'19_Расчет_аналитики'!AA2473*'01_Вводные'!$B$14</f>
        <v/>
      </c>
      <c r="AC2474">
        <f>'19_Расчет_аналитики'!AB2473*'01_Вводные'!$B$14</f>
        <v/>
      </c>
      <c r="AD2474">
        <f>'19_Расчет_аналитики'!AC2473*'01_Вводные'!$B$14</f>
        <v/>
      </c>
      <c r="AE2474">
        <f>'19_Расчет_аналитики'!AD2473*'01_Вводные'!$B$14</f>
        <v/>
      </c>
      <c r="AF2474">
        <f>'19_Расчет_аналитики'!AE2473*'01_Вводные'!$B$14</f>
        <v/>
      </c>
      <c r="AG2474">
        <f>'19_Расчет_аналитики'!AF2473*'01_Вводные'!$B$14</f>
        <v/>
      </c>
      <c r="AH2474">
        <f>'19_Расчет_аналитики'!AG2473*'01_Вводные'!$B$14</f>
        <v/>
      </c>
      <c r="AI2474">
        <f>'19_Расчет_аналитики'!AH2473*'01_Вводные'!$B$14</f>
        <v/>
      </c>
      <c r="AJ2474">
        <f>'19_Расчет_аналитики'!AI2473*'01_Вводные'!$B$14</f>
        <v/>
      </c>
      <c r="AK2474">
        <f>'19_Расчет_аналитики'!AJ2473*'01_Вводные'!$B$14</f>
        <v/>
      </c>
      <c r="AL2474">
        <f>'19_Расчет_аналитики'!AK2473*'01_Вводные'!$B$14</f>
        <v/>
      </c>
      <c r="AM2474">
        <f>'19_Расчет_аналитики'!AL2473*'01_Вводные'!$B$14</f>
        <v/>
      </c>
      <c r="AN2474">
        <f>'19_Расчет_аналитики'!AM2473*'01_Вводные'!$B$14</f>
        <v/>
      </c>
      <c r="AO2474">
        <f>'19_Расчет_аналитики'!AN2473*'01_Вводные'!$B$14</f>
        <v/>
      </c>
      <c r="AP2474">
        <f>'19_Расчет_аналитики'!AO2473*'01_Вводные'!$B$14</f>
        <v/>
      </c>
      <c r="AQ2474">
        <f>'19_Расчет_аналитики'!AP2473*'01_Вводные'!$B$14</f>
        <v/>
      </c>
      <c r="AR2474">
        <f>'19_Расчет_аналитики'!AQ2473*'01_Вводные'!$B$14</f>
        <v/>
      </c>
      <c r="AS2474">
        <f>'19_Расчет_аналитики'!AR2473*'01_Вводные'!$B$14</f>
        <v/>
      </c>
      <c r="AT2474">
        <f>'19_Расчет_аналитики'!AS2473*'01_Вводные'!$B$14</f>
        <v/>
      </c>
      <c r="AU2474">
        <f>'19_Расчет_аналитики'!AT2473*'01_Вводные'!$B$14</f>
        <v/>
      </c>
      <c r="AV2474">
        <f>'19_Расчет_аналитики'!AU2473*'01_Вводные'!$B$14</f>
        <v/>
      </c>
      <c r="AW2474">
        <f>'19_Расчет_аналитики'!AV2473*'01_Вводные'!$B$14</f>
        <v/>
      </c>
      <c r="AX2474">
        <f>'19_Расчет_аналитики'!AW2473*'01_Вводные'!$B$14</f>
        <v/>
      </c>
      <c r="AY2474">
        <f>'19_Расчет_аналитики'!AX2473*'01_Вводные'!$B$14</f>
        <v/>
      </c>
      <c r="AZ2474">
        <f>'19_Расчет_аналитики'!AY2473*'01_Вводные'!$B$14</f>
        <v/>
      </c>
      <c r="BA2474">
        <f>'19_Расчет_аналитики'!AZ2473*'01_Вводные'!$B$14</f>
        <v/>
      </c>
      <c r="BB2474">
        <f>'19_Расчет_аналитики'!BA2473*'01_Вводные'!$B$14</f>
        <v/>
      </c>
      <c r="BC2474">
        <f>'19_Расчет_аналитики'!BB2473*'01_Вводные'!$B$14</f>
        <v/>
      </c>
      <c r="BD2474">
        <f>'19_Расчет_аналитики'!BC2473*'01_Вводные'!$B$14</f>
        <v/>
      </c>
      <c r="BE2474">
        <f>'19_Расчет_аналитики'!BD2473*'01_Вводные'!$B$14</f>
        <v/>
      </c>
      <c r="BF2474">
        <f>'19_Расчет_аналитики'!BE2473*'01_Вводные'!$B$14</f>
        <v/>
      </c>
      <c r="BG2474">
        <f>'19_Расчет_аналитики'!BF2473*'01_Вводные'!$B$14</f>
        <v/>
      </c>
      <c r="BH2474">
        <f>'19_Расчет_аналитики'!BG2473*'01_Вводные'!$B$14</f>
        <v/>
      </c>
      <c r="BI2474">
        <f>'19_Расчет_аналитики'!BH2473*'01_Вводные'!$B$14</f>
        <v/>
      </c>
      <c r="BJ2474">
        <f>'19_Расчет_аналитики'!BI2473*'01_Вводные'!$B$14</f>
        <v/>
      </c>
      <c r="BK2474">
        <f>'19_Расчет_аналитики'!BJ2473*'01_Вводные'!$B$14</f>
        <v/>
      </c>
      <c r="BL2474">
        <f>'19_Расчет_аналитики'!BK2473*'01_Вводные'!$B$14</f>
        <v/>
      </c>
      <c r="BM2474">
        <f>'19_Расчет_аналитики'!BL2473*'01_Вводные'!$B$14</f>
        <v/>
      </c>
      <c r="BN2474">
        <f>'19_Расчет_аналитики'!BM2473*'01_Вводные'!$B$14</f>
        <v/>
      </c>
      <c r="BO2474">
        <f>'19_Расчет_аналитики'!BN2473*'01_Вводные'!$B$14</f>
        <v/>
      </c>
    </row>
    <row r="2475">
      <c r="N2475">
        <f>'06_Сеть_и_дети'!N96</f>
        <v/>
      </c>
      <c r="O2475">
        <f>'06_Сеть_и_дети'!O96</f>
        <v/>
      </c>
      <c r="P2475">
        <f>'06_Сеть_и_дети'!P96</f>
        <v/>
      </c>
      <c r="Q2475">
        <f>'19_Расчет_аналитики'!P2474*'01_Вводные'!$B$14</f>
        <v/>
      </c>
      <c r="R2475">
        <f>'19_Расчет_аналитики'!Q2474*'01_Вводные'!$B$14</f>
        <v/>
      </c>
      <c r="S2475">
        <f>'19_Расчет_аналитики'!R2474*'01_Вводные'!$B$14</f>
        <v/>
      </c>
      <c r="T2475">
        <f>'19_Расчет_аналитики'!S2474*'01_Вводные'!$B$14</f>
        <v/>
      </c>
      <c r="U2475">
        <f>'19_Расчет_аналитики'!T2474*'01_Вводные'!$B$14</f>
        <v/>
      </c>
      <c r="V2475">
        <f>'19_Расчет_аналитики'!U2474*'01_Вводные'!$B$14</f>
        <v/>
      </c>
      <c r="W2475">
        <f>'19_Расчет_аналитики'!V2474*'01_Вводные'!$B$14</f>
        <v/>
      </c>
      <c r="X2475">
        <f>'19_Расчет_аналитики'!W2474*'01_Вводные'!$B$14</f>
        <v/>
      </c>
      <c r="Y2475">
        <f>'19_Расчет_аналитики'!X2474*'01_Вводные'!$B$14</f>
        <v/>
      </c>
      <c r="Z2475">
        <f>'19_Расчет_аналитики'!Y2474*'01_Вводные'!$B$14</f>
        <v/>
      </c>
      <c r="AA2475">
        <f>'19_Расчет_аналитики'!Z2474*'01_Вводные'!$B$14</f>
        <v/>
      </c>
      <c r="AB2475">
        <f>'19_Расчет_аналитики'!AA2474*'01_Вводные'!$B$14</f>
        <v/>
      </c>
      <c r="AC2475">
        <f>'19_Расчет_аналитики'!AB2474*'01_Вводные'!$B$14</f>
        <v/>
      </c>
      <c r="AD2475">
        <f>'19_Расчет_аналитики'!AC2474*'01_Вводные'!$B$14</f>
        <v/>
      </c>
      <c r="AE2475">
        <f>'19_Расчет_аналитики'!AD2474*'01_Вводные'!$B$14</f>
        <v/>
      </c>
      <c r="AF2475">
        <f>'19_Расчет_аналитики'!AE2474*'01_Вводные'!$B$14</f>
        <v/>
      </c>
      <c r="AG2475">
        <f>'19_Расчет_аналитики'!AF2474*'01_Вводные'!$B$14</f>
        <v/>
      </c>
      <c r="AH2475">
        <f>'19_Расчет_аналитики'!AG2474*'01_Вводные'!$B$14</f>
        <v/>
      </c>
      <c r="AI2475">
        <f>'19_Расчет_аналитики'!AH2474*'01_Вводные'!$B$14</f>
        <v/>
      </c>
      <c r="AJ2475">
        <f>'19_Расчет_аналитики'!AI2474*'01_Вводные'!$B$14</f>
        <v/>
      </c>
      <c r="AK2475">
        <f>'19_Расчет_аналитики'!AJ2474*'01_Вводные'!$B$14</f>
        <v/>
      </c>
      <c r="AL2475">
        <f>'19_Расчет_аналитики'!AK2474*'01_Вводные'!$B$14</f>
        <v/>
      </c>
      <c r="AM2475">
        <f>'19_Расчет_аналитики'!AL2474*'01_Вводные'!$B$14</f>
        <v/>
      </c>
      <c r="AN2475">
        <f>'19_Расчет_аналитики'!AM2474*'01_Вводные'!$B$14</f>
        <v/>
      </c>
      <c r="AO2475">
        <f>'19_Расчет_аналитики'!AN2474*'01_Вводные'!$B$14</f>
        <v/>
      </c>
      <c r="AP2475">
        <f>'19_Расчет_аналитики'!AO2474*'01_Вводные'!$B$14</f>
        <v/>
      </c>
      <c r="AQ2475">
        <f>'19_Расчет_аналитики'!AP2474*'01_Вводные'!$B$14</f>
        <v/>
      </c>
      <c r="AR2475">
        <f>'19_Расчет_аналитики'!AQ2474*'01_Вводные'!$B$14</f>
        <v/>
      </c>
      <c r="AS2475">
        <f>'19_Расчет_аналитики'!AR2474*'01_Вводные'!$B$14</f>
        <v/>
      </c>
      <c r="AT2475">
        <f>'19_Расчет_аналитики'!AS2474*'01_Вводные'!$B$14</f>
        <v/>
      </c>
      <c r="AU2475">
        <f>'19_Расчет_аналитики'!AT2474*'01_Вводные'!$B$14</f>
        <v/>
      </c>
      <c r="AV2475">
        <f>'19_Расчет_аналитики'!AU2474*'01_Вводные'!$B$14</f>
        <v/>
      </c>
      <c r="AW2475">
        <f>'19_Расчет_аналитики'!AV2474*'01_Вводные'!$B$14</f>
        <v/>
      </c>
      <c r="AX2475">
        <f>'19_Расчет_аналитики'!AW2474*'01_Вводные'!$B$14</f>
        <v/>
      </c>
      <c r="AY2475">
        <f>'19_Расчет_аналитики'!AX2474*'01_Вводные'!$B$14</f>
        <v/>
      </c>
      <c r="AZ2475">
        <f>'19_Расчет_аналитики'!AY2474*'01_Вводные'!$B$14</f>
        <v/>
      </c>
      <c r="BA2475">
        <f>'19_Расчет_аналитики'!AZ2474*'01_Вводные'!$B$14</f>
        <v/>
      </c>
      <c r="BB2475">
        <f>'19_Расчет_аналитики'!BA2474*'01_Вводные'!$B$14</f>
        <v/>
      </c>
      <c r="BC2475">
        <f>'19_Расчет_аналитики'!BB2474*'01_Вводные'!$B$14</f>
        <v/>
      </c>
      <c r="BD2475">
        <f>'19_Расчет_аналитики'!BC2474*'01_Вводные'!$B$14</f>
        <v/>
      </c>
      <c r="BE2475">
        <f>'19_Расчет_аналитики'!BD2474*'01_Вводные'!$B$14</f>
        <v/>
      </c>
      <c r="BF2475">
        <f>'19_Расчет_аналитики'!BE2474*'01_Вводные'!$B$14</f>
        <v/>
      </c>
      <c r="BG2475">
        <f>'19_Расчет_аналитики'!BF2474*'01_Вводные'!$B$14</f>
        <v/>
      </c>
      <c r="BH2475">
        <f>'19_Расчет_аналитики'!BG2474*'01_Вводные'!$B$14</f>
        <v/>
      </c>
      <c r="BI2475">
        <f>'19_Расчет_аналитики'!BH2474*'01_Вводные'!$B$14</f>
        <v/>
      </c>
      <c r="BJ2475">
        <f>'19_Расчет_аналитики'!BI2474*'01_Вводные'!$B$14</f>
        <v/>
      </c>
      <c r="BK2475">
        <f>'19_Расчет_аналитики'!BJ2474*'01_Вводные'!$B$14</f>
        <v/>
      </c>
      <c r="BL2475">
        <f>'19_Расчет_аналитики'!BK2474*'01_Вводные'!$B$14</f>
        <v/>
      </c>
      <c r="BM2475">
        <f>'19_Расчет_аналитики'!BL2474*'01_Вводные'!$B$14</f>
        <v/>
      </c>
      <c r="BN2475">
        <f>'19_Расчет_аналитики'!BM2474*'01_Вводные'!$B$14</f>
        <v/>
      </c>
      <c r="BO2475">
        <f>'19_Расчет_аналитики'!BN2474*'01_Вводные'!$B$14</f>
        <v/>
      </c>
    </row>
    <row r="2476">
      <c r="N2476">
        <f>'06_Сеть_и_дети'!N97</f>
        <v/>
      </c>
      <c r="O2476">
        <f>'06_Сеть_и_дети'!O97</f>
        <v/>
      </c>
      <c r="P2476">
        <f>'06_Сеть_и_дети'!P97</f>
        <v/>
      </c>
      <c r="Q2476">
        <f>'06_Сеть_и_дети'!Q97</f>
        <v/>
      </c>
      <c r="R2476">
        <f>'19_Расчет_аналитики'!Q2475*'01_Вводные'!$B$14</f>
        <v/>
      </c>
      <c r="S2476">
        <f>'19_Расчет_аналитики'!R2475*'01_Вводные'!$B$14</f>
        <v/>
      </c>
      <c r="T2476">
        <f>'19_Расчет_аналитики'!S2475*'01_Вводные'!$B$14</f>
        <v/>
      </c>
      <c r="U2476">
        <f>'19_Расчет_аналитики'!T2475*'01_Вводные'!$B$14</f>
        <v/>
      </c>
      <c r="V2476">
        <f>'19_Расчет_аналитики'!U2475*'01_Вводные'!$B$14</f>
        <v/>
      </c>
      <c r="W2476">
        <f>'19_Расчет_аналитики'!V2475*'01_Вводные'!$B$14</f>
        <v/>
      </c>
      <c r="X2476">
        <f>'19_Расчет_аналитики'!W2475*'01_Вводные'!$B$14</f>
        <v/>
      </c>
      <c r="Y2476">
        <f>'19_Расчет_аналитики'!X2475*'01_Вводные'!$B$14</f>
        <v/>
      </c>
      <c r="Z2476">
        <f>'19_Расчет_аналитики'!Y2475*'01_Вводные'!$B$14</f>
        <v/>
      </c>
      <c r="AA2476">
        <f>'19_Расчет_аналитики'!Z2475*'01_Вводные'!$B$14</f>
        <v/>
      </c>
      <c r="AB2476">
        <f>'19_Расчет_аналитики'!AA2475*'01_Вводные'!$B$14</f>
        <v/>
      </c>
      <c r="AC2476">
        <f>'19_Расчет_аналитики'!AB2475*'01_Вводные'!$B$14</f>
        <v/>
      </c>
      <c r="AD2476">
        <f>'19_Расчет_аналитики'!AC2475*'01_Вводные'!$B$14</f>
        <v/>
      </c>
      <c r="AE2476">
        <f>'19_Расчет_аналитики'!AD2475*'01_Вводные'!$B$14</f>
        <v/>
      </c>
      <c r="AF2476">
        <f>'19_Расчет_аналитики'!AE2475*'01_Вводные'!$B$14</f>
        <v/>
      </c>
      <c r="AG2476">
        <f>'19_Расчет_аналитики'!AF2475*'01_Вводные'!$B$14</f>
        <v/>
      </c>
      <c r="AH2476">
        <f>'19_Расчет_аналитики'!AG2475*'01_Вводные'!$B$14</f>
        <v/>
      </c>
      <c r="AI2476">
        <f>'19_Расчет_аналитики'!AH2475*'01_Вводные'!$B$14</f>
        <v/>
      </c>
      <c r="AJ2476">
        <f>'19_Расчет_аналитики'!AI2475*'01_Вводные'!$B$14</f>
        <v/>
      </c>
      <c r="AK2476">
        <f>'19_Расчет_аналитики'!AJ2475*'01_Вводные'!$B$14</f>
        <v/>
      </c>
      <c r="AL2476">
        <f>'19_Расчет_аналитики'!AK2475*'01_Вводные'!$B$14</f>
        <v/>
      </c>
      <c r="AM2476">
        <f>'19_Расчет_аналитики'!AL2475*'01_Вводные'!$B$14</f>
        <v/>
      </c>
      <c r="AN2476">
        <f>'19_Расчет_аналитики'!AM2475*'01_Вводные'!$B$14</f>
        <v/>
      </c>
      <c r="AO2476">
        <f>'19_Расчет_аналитики'!AN2475*'01_Вводные'!$B$14</f>
        <v/>
      </c>
      <c r="AP2476">
        <f>'19_Расчет_аналитики'!AO2475*'01_Вводные'!$B$14</f>
        <v/>
      </c>
      <c r="AQ2476">
        <f>'19_Расчет_аналитики'!AP2475*'01_Вводные'!$B$14</f>
        <v/>
      </c>
      <c r="AR2476">
        <f>'19_Расчет_аналитики'!AQ2475*'01_Вводные'!$B$14</f>
        <v/>
      </c>
      <c r="AS2476">
        <f>'19_Расчет_аналитики'!AR2475*'01_Вводные'!$B$14</f>
        <v/>
      </c>
      <c r="AT2476">
        <f>'19_Расчет_аналитики'!AS2475*'01_Вводные'!$B$14</f>
        <v/>
      </c>
      <c r="AU2476">
        <f>'19_Расчет_аналитики'!AT2475*'01_Вводные'!$B$14</f>
        <v/>
      </c>
      <c r="AV2476">
        <f>'19_Расчет_аналитики'!AU2475*'01_Вводные'!$B$14</f>
        <v/>
      </c>
      <c r="AW2476">
        <f>'19_Расчет_аналитики'!AV2475*'01_Вводные'!$B$14</f>
        <v/>
      </c>
      <c r="AX2476">
        <f>'19_Расчет_аналитики'!AW2475*'01_Вводные'!$B$14</f>
        <v/>
      </c>
      <c r="AY2476">
        <f>'19_Расчет_аналитики'!AX2475*'01_Вводные'!$B$14</f>
        <v/>
      </c>
      <c r="AZ2476">
        <f>'19_Расчет_аналитики'!AY2475*'01_Вводные'!$B$14</f>
        <v/>
      </c>
      <c r="BA2476">
        <f>'19_Расчет_аналитики'!AZ2475*'01_Вводные'!$B$14</f>
        <v/>
      </c>
      <c r="BB2476">
        <f>'19_Расчет_аналитики'!BA2475*'01_Вводные'!$B$14</f>
        <v/>
      </c>
      <c r="BC2476">
        <f>'19_Расчет_аналитики'!BB2475*'01_Вводные'!$B$14</f>
        <v/>
      </c>
      <c r="BD2476">
        <f>'19_Расчет_аналитики'!BC2475*'01_Вводные'!$B$14</f>
        <v/>
      </c>
      <c r="BE2476">
        <f>'19_Расчет_аналитики'!BD2475*'01_Вводные'!$B$14</f>
        <v/>
      </c>
      <c r="BF2476">
        <f>'19_Расчет_аналитики'!BE2475*'01_Вводные'!$B$14</f>
        <v/>
      </c>
      <c r="BG2476">
        <f>'19_Расчет_аналитики'!BF2475*'01_Вводные'!$B$14</f>
        <v/>
      </c>
      <c r="BH2476">
        <f>'19_Расчет_аналитики'!BG2475*'01_Вводные'!$B$14</f>
        <v/>
      </c>
      <c r="BI2476">
        <f>'19_Расчет_аналитики'!BH2475*'01_Вводные'!$B$14</f>
        <v/>
      </c>
      <c r="BJ2476">
        <f>'19_Расчет_аналитики'!BI2475*'01_Вводные'!$B$14</f>
        <v/>
      </c>
      <c r="BK2476">
        <f>'19_Расчет_аналитики'!BJ2475*'01_Вводные'!$B$14</f>
        <v/>
      </c>
      <c r="BL2476">
        <f>'19_Расчет_аналитики'!BK2475*'01_Вводные'!$B$14</f>
        <v/>
      </c>
      <c r="BM2476">
        <f>'19_Расчет_аналитики'!BL2475*'01_Вводные'!$B$14</f>
        <v/>
      </c>
      <c r="BN2476">
        <f>'19_Расчет_аналитики'!BM2475*'01_Вводные'!$B$14</f>
        <v/>
      </c>
      <c r="BO2476">
        <f>'19_Расчет_аналитики'!BN2475*'01_Вводные'!$B$14</f>
        <v/>
      </c>
    </row>
    <row r="2477">
      <c r="N2477">
        <f>'06_Сеть_и_дети'!N98</f>
        <v/>
      </c>
      <c r="O2477">
        <f>'06_Сеть_и_дети'!O98</f>
        <v/>
      </c>
      <c r="P2477">
        <f>'06_Сеть_и_дети'!P98</f>
        <v/>
      </c>
      <c r="Q2477">
        <f>'06_Сеть_и_дети'!Q98</f>
        <v/>
      </c>
      <c r="R2477">
        <f>'06_Сеть_и_дети'!R98</f>
        <v/>
      </c>
      <c r="S2477">
        <f>'19_Расчет_аналитики'!R2476*'01_Вводные'!$B$14</f>
        <v/>
      </c>
      <c r="T2477">
        <f>'19_Расчет_аналитики'!S2476*'01_Вводные'!$B$14</f>
        <v/>
      </c>
      <c r="U2477">
        <f>'19_Расчет_аналитики'!T2476*'01_Вводные'!$B$14</f>
        <v/>
      </c>
      <c r="V2477">
        <f>'19_Расчет_аналитики'!U2476*'01_Вводные'!$B$14</f>
        <v/>
      </c>
      <c r="W2477">
        <f>'19_Расчет_аналитики'!V2476*'01_Вводные'!$B$14</f>
        <v/>
      </c>
      <c r="X2477">
        <f>'19_Расчет_аналитики'!W2476*'01_Вводные'!$B$14</f>
        <v/>
      </c>
      <c r="Y2477">
        <f>'19_Расчет_аналитики'!X2476*'01_Вводные'!$B$14</f>
        <v/>
      </c>
      <c r="Z2477">
        <f>'19_Расчет_аналитики'!Y2476*'01_Вводные'!$B$14</f>
        <v/>
      </c>
      <c r="AA2477">
        <f>'19_Расчет_аналитики'!Z2476*'01_Вводные'!$B$14</f>
        <v/>
      </c>
      <c r="AB2477">
        <f>'19_Расчет_аналитики'!AA2476*'01_Вводные'!$B$14</f>
        <v/>
      </c>
      <c r="AC2477">
        <f>'19_Расчет_аналитики'!AB2476*'01_Вводные'!$B$14</f>
        <v/>
      </c>
      <c r="AD2477">
        <f>'19_Расчет_аналитики'!AC2476*'01_Вводные'!$B$14</f>
        <v/>
      </c>
      <c r="AE2477">
        <f>'19_Расчет_аналитики'!AD2476*'01_Вводные'!$B$14</f>
        <v/>
      </c>
      <c r="AF2477">
        <f>'19_Расчет_аналитики'!AE2476*'01_Вводные'!$B$14</f>
        <v/>
      </c>
      <c r="AG2477">
        <f>'19_Расчет_аналитики'!AF2476*'01_Вводные'!$B$14</f>
        <v/>
      </c>
      <c r="AH2477">
        <f>'19_Расчет_аналитики'!AG2476*'01_Вводные'!$B$14</f>
        <v/>
      </c>
      <c r="AI2477">
        <f>'19_Расчет_аналитики'!AH2476*'01_Вводные'!$B$14</f>
        <v/>
      </c>
      <c r="AJ2477">
        <f>'19_Расчет_аналитики'!AI2476*'01_Вводные'!$B$14</f>
        <v/>
      </c>
      <c r="AK2477">
        <f>'19_Расчет_аналитики'!AJ2476*'01_Вводные'!$B$14</f>
        <v/>
      </c>
      <c r="AL2477">
        <f>'19_Расчет_аналитики'!AK2476*'01_Вводные'!$B$14</f>
        <v/>
      </c>
      <c r="AM2477">
        <f>'19_Расчет_аналитики'!AL2476*'01_Вводные'!$B$14</f>
        <v/>
      </c>
      <c r="AN2477">
        <f>'19_Расчет_аналитики'!AM2476*'01_Вводные'!$B$14</f>
        <v/>
      </c>
      <c r="AO2477">
        <f>'19_Расчет_аналитики'!AN2476*'01_Вводные'!$B$14</f>
        <v/>
      </c>
      <c r="AP2477">
        <f>'19_Расчет_аналитики'!AO2476*'01_Вводные'!$B$14</f>
        <v/>
      </c>
      <c r="AQ2477">
        <f>'19_Расчет_аналитики'!AP2476*'01_Вводные'!$B$14</f>
        <v/>
      </c>
      <c r="AR2477">
        <f>'19_Расчет_аналитики'!AQ2476*'01_Вводные'!$B$14</f>
        <v/>
      </c>
      <c r="AS2477">
        <f>'19_Расчет_аналитики'!AR2476*'01_Вводные'!$B$14</f>
        <v/>
      </c>
      <c r="AT2477">
        <f>'19_Расчет_аналитики'!AS2476*'01_Вводные'!$B$14</f>
        <v/>
      </c>
      <c r="AU2477">
        <f>'19_Расчет_аналитики'!AT2476*'01_Вводные'!$B$14</f>
        <v/>
      </c>
      <c r="AV2477">
        <f>'19_Расчет_аналитики'!AU2476*'01_Вводные'!$B$14</f>
        <v/>
      </c>
      <c r="AW2477">
        <f>'19_Расчет_аналитики'!AV2476*'01_Вводные'!$B$14</f>
        <v/>
      </c>
      <c r="AX2477">
        <f>'19_Расчет_аналитики'!AW2476*'01_Вводные'!$B$14</f>
        <v/>
      </c>
      <c r="AY2477">
        <f>'19_Расчет_аналитики'!AX2476*'01_Вводные'!$B$14</f>
        <v/>
      </c>
      <c r="AZ2477">
        <f>'19_Расчет_аналитики'!AY2476*'01_Вводные'!$B$14</f>
        <v/>
      </c>
      <c r="BA2477">
        <f>'19_Расчет_аналитики'!AZ2476*'01_Вводные'!$B$14</f>
        <v/>
      </c>
      <c r="BB2477">
        <f>'19_Расчет_аналитики'!BA2476*'01_Вводные'!$B$14</f>
        <v/>
      </c>
      <c r="BC2477">
        <f>'19_Расчет_аналитики'!BB2476*'01_Вводные'!$B$14</f>
        <v/>
      </c>
      <c r="BD2477">
        <f>'19_Расчет_аналитики'!BC2476*'01_Вводные'!$B$14</f>
        <v/>
      </c>
      <c r="BE2477">
        <f>'19_Расчет_аналитики'!BD2476*'01_Вводные'!$B$14</f>
        <v/>
      </c>
      <c r="BF2477">
        <f>'19_Расчет_аналитики'!BE2476*'01_Вводные'!$B$14</f>
        <v/>
      </c>
      <c r="BG2477">
        <f>'19_Расчет_аналитики'!BF2476*'01_Вводные'!$B$14</f>
        <v/>
      </c>
      <c r="BH2477">
        <f>'19_Расчет_аналитики'!BG2476*'01_Вводные'!$B$14</f>
        <v/>
      </c>
      <c r="BI2477">
        <f>'19_Расчет_аналитики'!BH2476*'01_Вводные'!$B$14</f>
        <v/>
      </c>
      <c r="BJ2477">
        <f>'19_Расчет_аналитики'!BI2476*'01_Вводные'!$B$14</f>
        <v/>
      </c>
      <c r="BK2477">
        <f>'19_Расчет_аналитики'!BJ2476*'01_Вводные'!$B$14</f>
        <v/>
      </c>
      <c r="BL2477">
        <f>'19_Расчет_аналитики'!BK2476*'01_Вводные'!$B$14</f>
        <v/>
      </c>
      <c r="BM2477">
        <f>'19_Расчет_аналитики'!BL2476*'01_Вводные'!$B$14</f>
        <v/>
      </c>
      <c r="BN2477">
        <f>'19_Расчет_аналитики'!BM2476*'01_Вводные'!$B$14</f>
        <v/>
      </c>
      <c r="BO2477">
        <f>'19_Расчет_аналитики'!BN2476*'01_Вводные'!$B$14</f>
        <v/>
      </c>
    </row>
    <row r="2478">
      <c r="N2478">
        <f>'06_Сеть_и_дети'!N99</f>
        <v/>
      </c>
      <c r="O2478">
        <f>'06_Сеть_и_дети'!O99</f>
        <v/>
      </c>
      <c r="P2478">
        <f>'06_Сеть_и_дети'!P99</f>
        <v/>
      </c>
      <c r="Q2478">
        <f>'06_Сеть_и_дети'!Q99</f>
        <v/>
      </c>
      <c r="R2478">
        <f>'06_Сеть_и_дети'!R99</f>
        <v/>
      </c>
      <c r="S2478">
        <f>'06_Сеть_и_дети'!S99</f>
        <v/>
      </c>
      <c r="T2478">
        <f>'19_Расчет_аналитики'!S2477*'01_Вводные'!$B$14</f>
        <v/>
      </c>
      <c r="U2478">
        <f>'19_Расчет_аналитики'!T2477*'01_Вводные'!$B$14</f>
        <v/>
      </c>
      <c r="V2478">
        <f>'19_Расчет_аналитики'!U2477*'01_Вводные'!$B$14</f>
        <v/>
      </c>
      <c r="W2478">
        <f>'19_Расчет_аналитики'!V2477*'01_Вводные'!$B$14</f>
        <v/>
      </c>
      <c r="X2478">
        <f>'19_Расчет_аналитики'!W2477*'01_Вводные'!$B$14</f>
        <v/>
      </c>
      <c r="Y2478">
        <f>'19_Расчет_аналитики'!X2477*'01_Вводные'!$B$14</f>
        <v/>
      </c>
      <c r="Z2478">
        <f>'19_Расчет_аналитики'!Y2477*'01_Вводные'!$B$14</f>
        <v/>
      </c>
      <c r="AA2478">
        <f>'19_Расчет_аналитики'!Z2477*'01_Вводные'!$B$14</f>
        <v/>
      </c>
      <c r="AB2478">
        <f>'19_Расчет_аналитики'!AA2477*'01_Вводные'!$B$14</f>
        <v/>
      </c>
      <c r="AC2478">
        <f>'19_Расчет_аналитики'!AB2477*'01_Вводные'!$B$14</f>
        <v/>
      </c>
      <c r="AD2478">
        <f>'19_Расчет_аналитики'!AC2477*'01_Вводные'!$B$14</f>
        <v/>
      </c>
      <c r="AE2478">
        <f>'19_Расчет_аналитики'!AD2477*'01_Вводные'!$B$14</f>
        <v/>
      </c>
      <c r="AF2478">
        <f>'19_Расчет_аналитики'!AE2477*'01_Вводные'!$B$14</f>
        <v/>
      </c>
      <c r="AG2478">
        <f>'19_Расчет_аналитики'!AF2477*'01_Вводные'!$B$14</f>
        <v/>
      </c>
      <c r="AH2478">
        <f>'19_Расчет_аналитики'!AG2477*'01_Вводные'!$B$14</f>
        <v/>
      </c>
      <c r="AI2478">
        <f>'19_Расчет_аналитики'!AH2477*'01_Вводные'!$B$14</f>
        <v/>
      </c>
      <c r="AJ2478">
        <f>'19_Расчет_аналитики'!AI2477*'01_Вводные'!$B$14</f>
        <v/>
      </c>
      <c r="AK2478">
        <f>'19_Расчет_аналитики'!AJ2477*'01_Вводные'!$B$14</f>
        <v/>
      </c>
      <c r="AL2478">
        <f>'19_Расчет_аналитики'!AK2477*'01_Вводные'!$B$14</f>
        <v/>
      </c>
      <c r="AM2478">
        <f>'19_Расчет_аналитики'!AL2477*'01_Вводные'!$B$14</f>
        <v/>
      </c>
      <c r="AN2478">
        <f>'19_Расчет_аналитики'!AM2477*'01_Вводные'!$B$14</f>
        <v/>
      </c>
      <c r="AO2478">
        <f>'19_Расчет_аналитики'!AN2477*'01_Вводные'!$B$14</f>
        <v/>
      </c>
      <c r="AP2478">
        <f>'19_Расчет_аналитики'!AO2477*'01_Вводные'!$B$14</f>
        <v/>
      </c>
      <c r="AQ2478">
        <f>'19_Расчет_аналитики'!AP2477*'01_Вводные'!$B$14</f>
        <v/>
      </c>
      <c r="AR2478">
        <f>'19_Расчет_аналитики'!AQ2477*'01_Вводные'!$B$14</f>
        <v/>
      </c>
      <c r="AS2478">
        <f>'19_Расчет_аналитики'!AR2477*'01_Вводные'!$B$14</f>
        <v/>
      </c>
      <c r="AT2478">
        <f>'19_Расчет_аналитики'!AS2477*'01_Вводные'!$B$14</f>
        <v/>
      </c>
      <c r="AU2478">
        <f>'19_Расчет_аналитики'!AT2477*'01_Вводные'!$B$14</f>
        <v/>
      </c>
      <c r="AV2478">
        <f>'19_Расчет_аналитики'!AU2477*'01_Вводные'!$B$14</f>
        <v/>
      </c>
      <c r="AW2478">
        <f>'19_Расчет_аналитики'!AV2477*'01_Вводные'!$B$14</f>
        <v/>
      </c>
      <c r="AX2478">
        <f>'19_Расчет_аналитики'!AW2477*'01_Вводные'!$B$14</f>
        <v/>
      </c>
      <c r="AY2478">
        <f>'19_Расчет_аналитики'!AX2477*'01_Вводные'!$B$14</f>
        <v/>
      </c>
      <c r="AZ2478">
        <f>'19_Расчет_аналитики'!AY2477*'01_Вводные'!$B$14</f>
        <v/>
      </c>
      <c r="BA2478">
        <f>'19_Расчет_аналитики'!AZ2477*'01_Вводные'!$B$14</f>
        <v/>
      </c>
      <c r="BB2478">
        <f>'19_Расчет_аналитики'!BA2477*'01_Вводные'!$B$14</f>
        <v/>
      </c>
      <c r="BC2478">
        <f>'19_Расчет_аналитики'!BB2477*'01_Вводные'!$B$14</f>
        <v/>
      </c>
      <c r="BD2478">
        <f>'19_Расчет_аналитики'!BC2477*'01_Вводные'!$B$14</f>
        <v/>
      </c>
      <c r="BE2478">
        <f>'19_Расчет_аналитики'!BD2477*'01_Вводные'!$B$14</f>
        <v/>
      </c>
      <c r="BF2478">
        <f>'19_Расчет_аналитики'!BE2477*'01_Вводные'!$B$14</f>
        <v/>
      </c>
      <c r="BG2478">
        <f>'19_Расчет_аналитики'!BF2477*'01_Вводные'!$B$14</f>
        <v/>
      </c>
      <c r="BH2478">
        <f>'19_Расчет_аналитики'!BG2477*'01_Вводные'!$B$14</f>
        <v/>
      </c>
      <c r="BI2478">
        <f>'19_Расчет_аналитики'!BH2477*'01_Вводные'!$B$14</f>
        <v/>
      </c>
      <c r="BJ2478">
        <f>'19_Расчет_аналитики'!BI2477*'01_Вводные'!$B$14</f>
        <v/>
      </c>
      <c r="BK2478">
        <f>'19_Расчет_аналитики'!BJ2477*'01_Вводные'!$B$14</f>
        <v/>
      </c>
      <c r="BL2478">
        <f>'19_Расчет_аналитики'!BK2477*'01_Вводные'!$B$14</f>
        <v/>
      </c>
      <c r="BM2478">
        <f>'19_Расчет_аналитики'!BL2477*'01_Вводные'!$B$14</f>
        <v/>
      </c>
      <c r="BN2478">
        <f>'19_Расчет_аналитики'!BM2477*'01_Вводные'!$B$14</f>
        <v/>
      </c>
      <c r="BO2478">
        <f>'19_Расчет_аналитики'!BN2477*'01_Вводные'!$B$14</f>
        <v/>
      </c>
    </row>
    <row r="2479">
      <c r="N2479">
        <f>'06_Сеть_и_дети'!N100</f>
        <v/>
      </c>
      <c r="O2479">
        <f>'06_Сеть_и_дети'!O100</f>
        <v/>
      </c>
      <c r="P2479">
        <f>'06_Сеть_и_дети'!P100</f>
        <v/>
      </c>
      <c r="Q2479">
        <f>'06_Сеть_и_дети'!Q100</f>
        <v/>
      </c>
      <c r="R2479">
        <f>'06_Сеть_и_дети'!R100</f>
        <v/>
      </c>
      <c r="S2479">
        <f>'06_Сеть_и_дети'!S100</f>
        <v/>
      </c>
      <c r="T2479">
        <f>'06_Сеть_и_дети'!T100</f>
        <v/>
      </c>
      <c r="U2479">
        <f>'19_Расчет_аналитики'!T2478*'01_Вводные'!$B$14</f>
        <v/>
      </c>
      <c r="V2479">
        <f>'19_Расчет_аналитики'!U2478*'01_Вводные'!$B$14</f>
        <v/>
      </c>
      <c r="W2479">
        <f>'19_Расчет_аналитики'!V2478*'01_Вводные'!$B$14</f>
        <v/>
      </c>
      <c r="X2479">
        <f>'19_Расчет_аналитики'!W2478*'01_Вводные'!$B$14</f>
        <v/>
      </c>
      <c r="Y2479">
        <f>'19_Расчет_аналитики'!X2478*'01_Вводные'!$B$14</f>
        <v/>
      </c>
      <c r="Z2479">
        <f>'19_Расчет_аналитики'!Y2478*'01_Вводные'!$B$14</f>
        <v/>
      </c>
      <c r="AA2479">
        <f>'19_Расчет_аналитики'!Z2478*'01_Вводные'!$B$14</f>
        <v/>
      </c>
      <c r="AB2479">
        <f>'19_Расчет_аналитики'!AA2478*'01_Вводные'!$B$14</f>
        <v/>
      </c>
      <c r="AC2479">
        <f>'19_Расчет_аналитики'!AB2478*'01_Вводные'!$B$14</f>
        <v/>
      </c>
      <c r="AD2479">
        <f>'19_Расчет_аналитики'!AC2478*'01_Вводные'!$B$14</f>
        <v/>
      </c>
      <c r="AE2479">
        <f>'19_Расчет_аналитики'!AD2478*'01_Вводные'!$B$14</f>
        <v/>
      </c>
      <c r="AF2479">
        <f>'19_Расчет_аналитики'!AE2478*'01_Вводные'!$B$14</f>
        <v/>
      </c>
      <c r="AG2479">
        <f>'19_Расчет_аналитики'!AF2478*'01_Вводные'!$B$14</f>
        <v/>
      </c>
      <c r="AH2479">
        <f>'19_Расчет_аналитики'!AG2478*'01_Вводные'!$B$14</f>
        <v/>
      </c>
      <c r="AI2479">
        <f>'19_Расчет_аналитики'!AH2478*'01_Вводные'!$B$14</f>
        <v/>
      </c>
      <c r="AJ2479">
        <f>'19_Расчет_аналитики'!AI2478*'01_Вводные'!$B$14</f>
        <v/>
      </c>
      <c r="AK2479">
        <f>'19_Расчет_аналитики'!AJ2478*'01_Вводные'!$B$14</f>
        <v/>
      </c>
      <c r="AL2479">
        <f>'19_Расчет_аналитики'!AK2478*'01_Вводные'!$B$14</f>
        <v/>
      </c>
      <c r="AM2479">
        <f>'19_Расчет_аналитики'!AL2478*'01_Вводные'!$B$14</f>
        <v/>
      </c>
      <c r="AN2479">
        <f>'19_Расчет_аналитики'!AM2478*'01_Вводные'!$B$14</f>
        <v/>
      </c>
      <c r="AO2479">
        <f>'19_Расчет_аналитики'!AN2478*'01_Вводные'!$B$14</f>
        <v/>
      </c>
      <c r="AP2479">
        <f>'19_Расчет_аналитики'!AO2478*'01_Вводные'!$B$14</f>
        <v/>
      </c>
      <c r="AQ2479">
        <f>'19_Расчет_аналитики'!AP2478*'01_Вводные'!$B$14</f>
        <v/>
      </c>
      <c r="AR2479">
        <f>'19_Расчет_аналитики'!AQ2478*'01_Вводные'!$B$14</f>
        <v/>
      </c>
      <c r="AS2479">
        <f>'19_Расчет_аналитики'!AR2478*'01_Вводные'!$B$14</f>
        <v/>
      </c>
      <c r="AT2479">
        <f>'19_Расчет_аналитики'!AS2478*'01_Вводные'!$B$14</f>
        <v/>
      </c>
      <c r="AU2479">
        <f>'19_Расчет_аналитики'!AT2478*'01_Вводные'!$B$14</f>
        <v/>
      </c>
      <c r="AV2479">
        <f>'19_Расчет_аналитики'!AU2478*'01_Вводные'!$B$14</f>
        <v/>
      </c>
      <c r="AW2479">
        <f>'19_Расчет_аналитики'!AV2478*'01_Вводные'!$B$14</f>
        <v/>
      </c>
      <c r="AX2479">
        <f>'19_Расчет_аналитики'!AW2478*'01_Вводные'!$B$14</f>
        <v/>
      </c>
      <c r="AY2479">
        <f>'19_Расчет_аналитики'!AX2478*'01_Вводные'!$B$14</f>
        <v/>
      </c>
      <c r="AZ2479">
        <f>'19_Расчет_аналитики'!AY2478*'01_Вводные'!$B$14</f>
        <v/>
      </c>
      <c r="BA2479">
        <f>'19_Расчет_аналитики'!AZ2478*'01_Вводные'!$B$14</f>
        <v/>
      </c>
      <c r="BB2479">
        <f>'19_Расчет_аналитики'!BA2478*'01_Вводные'!$B$14</f>
        <v/>
      </c>
      <c r="BC2479">
        <f>'19_Расчет_аналитики'!BB2478*'01_Вводные'!$B$14</f>
        <v/>
      </c>
      <c r="BD2479">
        <f>'19_Расчет_аналитики'!BC2478*'01_Вводные'!$B$14</f>
        <v/>
      </c>
      <c r="BE2479">
        <f>'19_Расчет_аналитики'!BD2478*'01_Вводные'!$B$14</f>
        <v/>
      </c>
      <c r="BF2479">
        <f>'19_Расчет_аналитики'!BE2478*'01_Вводные'!$B$14</f>
        <v/>
      </c>
      <c r="BG2479">
        <f>'19_Расчет_аналитики'!BF2478*'01_Вводные'!$B$14</f>
        <v/>
      </c>
      <c r="BH2479">
        <f>'19_Расчет_аналитики'!BG2478*'01_Вводные'!$B$14</f>
        <v/>
      </c>
      <c r="BI2479">
        <f>'19_Расчет_аналитики'!BH2478*'01_Вводные'!$B$14</f>
        <v/>
      </c>
      <c r="BJ2479">
        <f>'19_Расчет_аналитики'!BI2478*'01_Вводные'!$B$14</f>
        <v/>
      </c>
      <c r="BK2479">
        <f>'19_Расчет_аналитики'!BJ2478*'01_Вводные'!$B$14</f>
        <v/>
      </c>
      <c r="BL2479">
        <f>'19_Расчет_аналитики'!BK2478*'01_Вводные'!$B$14</f>
        <v/>
      </c>
      <c r="BM2479">
        <f>'19_Расчет_аналитики'!BL2478*'01_Вводные'!$B$14</f>
        <v/>
      </c>
      <c r="BN2479">
        <f>'19_Расчет_аналитики'!BM2478*'01_Вводные'!$B$14</f>
        <v/>
      </c>
      <c r="BO2479">
        <f>'19_Расчет_аналитики'!BN2478*'01_Вводные'!$B$14</f>
        <v/>
      </c>
    </row>
    <row r="2480">
      <c r="N2480">
        <f>'06_Сеть_и_дети'!N101</f>
        <v/>
      </c>
      <c r="O2480">
        <f>'06_Сеть_и_дети'!O101</f>
        <v/>
      </c>
      <c r="P2480">
        <f>'06_Сеть_и_дети'!P101</f>
        <v/>
      </c>
      <c r="Q2480">
        <f>'06_Сеть_и_дети'!Q101</f>
        <v/>
      </c>
      <c r="R2480">
        <f>'06_Сеть_и_дети'!R101</f>
        <v/>
      </c>
      <c r="S2480">
        <f>'06_Сеть_и_дети'!S101</f>
        <v/>
      </c>
      <c r="T2480">
        <f>'06_Сеть_и_дети'!T101</f>
        <v/>
      </c>
      <c r="U2480">
        <f>'06_Сеть_и_дети'!U101</f>
        <v/>
      </c>
      <c r="V2480">
        <f>'19_Расчет_аналитики'!U2479*'01_Вводные'!$B$14</f>
        <v/>
      </c>
      <c r="W2480">
        <f>'19_Расчет_аналитики'!V2479*'01_Вводные'!$B$14</f>
        <v/>
      </c>
      <c r="X2480">
        <f>'19_Расчет_аналитики'!W2479*'01_Вводные'!$B$14</f>
        <v/>
      </c>
      <c r="Y2480">
        <f>'19_Расчет_аналитики'!X2479*'01_Вводные'!$B$14</f>
        <v/>
      </c>
      <c r="Z2480">
        <f>'19_Расчет_аналитики'!Y2479*'01_Вводные'!$B$14</f>
        <v/>
      </c>
      <c r="AA2480">
        <f>'19_Расчет_аналитики'!Z2479*'01_Вводные'!$B$14</f>
        <v/>
      </c>
      <c r="AB2480">
        <f>'19_Расчет_аналитики'!AA2479*'01_Вводные'!$B$14</f>
        <v/>
      </c>
      <c r="AC2480">
        <f>'19_Расчет_аналитики'!AB2479*'01_Вводные'!$B$14</f>
        <v/>
      </c>
      <c r="AD2480">
        <f>'19_Расчет_аналитики'!AC2479*'01_Вводные'!$B$14</f>
        <v/>
      </c>
      <c r="AE2480">
        <f>'19_Расчет_аналитики'!AD2479*'01_Вводные'!$B$14</f>
        <v/>
      </c>
      <c r="AF2480">
        <f>'19_Расчет_аналитики'!AE2479*'01_Вводные'!$B$14</f>
        <v/>
      </c>
      <c r="AG2480">
        <f>'19_Расчет_аналитики'!AF2479*'01_Вводные'!$B$14</f>
        <v/>
      </c>
      <c r="AH2480">
        <f>'19_Расчет_аналитики'!AG2479*'01_Вводные'!$B$14</f>
        <v/>
      </c>
      <c r="AI2480">
        <f>'19_Расчет_аналитики'!AH2479*'01_Вводные'!$B$14</f>
        <v/>
      </c>
      <c r="AJ2480">
        <f>'19_Расчет_аналитики'!AI2479*'01_Вводные'!$B$14</f>
        <v/>
      </c>
      <c r="AK2480">
        <f>'19_Расчет_аналитики'!AJ2479*'01_Вводные'!$B$14</f>
        <v/>
      </c>
      <c r="AL2480">
        <f>'19_Расчет_аналитики'!AK2479*'01_Вводные'!$B$14</f>
        <v/>
      </c>
      <c r="AM2480">
        <f>'19_Расчет_аналитики'!AL2479*'01_Вводные'!$B$14</f>
        <v/>
      </c>
      <c r="AN2480">
        <f>'19_Расчет_аналитики'!AM2479*'01_Вводные'!$B$14</f>
        <v/>
      </c>
      <c r="AO2480">
        <f>'19_Расчет_аналитики'!AN2479*'01_Вводные'!$B$14</f>
        <v/>
      </c>
      <c r="AP2480">
        <f>'19_Расчет_аналитики'!AO2479*'01_Вводные'!$B$14</f>
        <v/>
      </c>
      <c r="AQ2480">
        <f>'19_Расчет_аналитики'!AP2479*'01_Вводные'!$B$14</f>
        <v/>
      </c>
      <c r="AR2480">
        <f>'19_Расчет_аналитики'!AQ2479*'01_Вводные'!$B$14</f>
        <v/>
      </c>
      <c r="AS2480">
        <f>'19_Расчет_аналитики'!AR2479*'01_Вводные'!$B$14</f>
        <v/>
      </c>
      <c r="AT2480">
        <f>'19_Расчет_аналитики'!AS2479*'01_Вводные'!$B$14</f>
        <v/>
      </c>
      <c r="AU2480">
        <f>'19_Расчет_аналитики'!AT2479*'01_Вводные'!$B$14</f>
        <v/>
      </c>
      <c r="AV2480">
        <f>'19_Расчет_аналитики'!AU2479*'01_Вводные'!$B$14</f>
        <v/>
      </c>
      <c r="AW2480">
        <f>'19_Расчет_аналитики'!AV2479*'01_Вводные'!$B$14</f>
        <v/>
      </c>
      <c r="AX2480">
        <f>'19_Расчет_аналитики'!AW2479*'01_Вводные'!$B$14</f>
        <v/>
      </c>
      <c r="AY2480">
        <f>'19_Расчет_аналитики'!AX2479*'01_Вводные'!$B$14</f>
        <v/>
      </c>
      <c r="AZ2480">
        <f>'19_Расчет_аналитики'!AY2479*'01_Вводные'!$B$14</f>
        <v/>
      </c>
      <c r="BA2480">
        <f>'19_Расчет_аналитики'!AZ2479*'01_Вводные'!$B$14</f>
        <v/>
      </c>
      <c r="BB2480">
        <f>'19_Расчет_аналитики'!BA2479*'01_Вводные'!$B$14</f>
        <v/>
      </c>
      <c r="BC2480">
        <f>'19_Расчет_аналитики'!BB2479*'01_Вводные'!$B$14</f>
        <v/>
      </c>
      <c r="BD2480">
        <f>'19_Расчет_аналитики'!BC2479*'01_Вводные'!$B$14</f>
        <v/>
      </c>
      <c r="BE2480">
        <f>'19_Расчет_аналитики'!BD2479*'01_Вводные'!$B$14</f>
        <v/>
      </c>
      <c r="BF2480">
        <f>'19_Расчет_аналитики'!BE2479*'01_Вводные'!$B$14</f>
        <v/>
      </c>
      <c r="BG2480">
        <f>'19_Расчет_аналитики'!BF2479*'01_Вводные'!$B$14</f>
        <v/>
      </c>
      <c r="BH2480">
        <f>'19_Расчет_аналитики'!BG2479*'01_Вводные'!$B$14</f>
        <v/>
      </c>
      <c r="BI2480">
        <f>'19_Расчет_аналитики'!BH2479*'01_Вводные'!$B$14</f>
        <v/>
      </c>
      <c r="BJ2480">
        <f>'19_Расчет_аналитики'!BI2479*'01_Вводные'!$B$14</f>
        <v/>
      </c>
      <c r="BK2480">
        <f>'19_Расчет_аналитики'!BJ2479*'01_Вводные'!$B$14</f>
        <v/>
      </c>
      <c r="BL2480">
        <f>'19_Расчет_аналитики'!BK2479*'01_Вводные'!$B$14</f>
        <v/>
      </c>
      <c r="BM2480">
        <f>'19_Расчет_аналитики'!BL2479*'01_Вводные'!$B$14</f>
        <v/>
      </c>
      <c r="BN2480">
        <f>'19_Расчет_аналитики'!BM2479*'01_Вводные'!$B$14</f>
        <v/>
      </c>
      <c r="BO2480">
        <f>'19_Расчет_аналитики'!BN2479*'01_Вводные'!$B$14</f>
        <v/>
      </c>
    </row>
    <row r="2481">
      <c r="N2481">
        <f>'06_Сеть_и_дети'!N102</f>
        <v/>
      </c>
      <c r="O2481">
        <f>'06_Сеть_и_дети'!O102</f>
        <v/>
      </c>
      <c r="P2481">
        <f>'06_Сеть_и_дети'!P102</f>
        <v/>
      </c>
      <c r="Q2481">
        <f>'06_Сеть_и_дети'!Q102</f>
        <v/>
      </c>
      <c r="R2481">
        <f>'06_Сеть_и_дети'!R102</f>
        <v/>
      </c>
      <c r="S2481">
        <f>'06_Сеть_и_дети'!S102</f>
        <v/>
      </c>
      <c r="T2481">
        <f>'06_Сеть_и_дети'!T102</f>
        <v/>
      </c>
      <c r="U2481">
        <f>'06_Сеть_и_дети'!U102</f>
        <v/>
      </c>
      <c r="V2481">
        <f>'06_Сеть_и_дети'!V102</f>
        <v/>
      </c>
      <c r="W2481">
        <f>'19_Расчет_аналитики'!V2480*'01_Вводные'!$B$14</f>
        <v/>
      </c>
      <c r="X2481">
        <f>'19_Расчет_аналитики'!W2480*'01_Вводные'!$B$14</f>
        <v/>
      </c>
      <c r="Y2481">
        <f>'19_Расчет_аналитики'!X2480*'01_Вводные'!$B$14</f>
        <v/>
      </c>
      <c r="Z2481">
        <f>'19_Расчет_аналитики'!Y2480*'01_Вводные'!$B$14</f>
        <v/>
      </c>
      <c r="AA2481">
        <f>'19_Расчет_аналитики'!Z2480*'01_Вводные'!$B$14</f>
        <v/>
      </c>
      <c r="AB2481">
        <f>'19_Расчет_аналитики'!AA2480*'01_Вводные'!$B$14</f>
        <v/>
      </c>
      <c r="AC2481">
        <f>'19_Расчет_аналитики'!AB2480*'01_Вводные'!$B$14</f>
        <v/>
      </c>
      <c r="AD2481">
        <f>'19_Расчет_аналитики'!AC2480*'01_Вводные'!$B$14</f>
        <v/>
      </c>
      <c r="AE2481">
        <f>'19_Расчет_аналитики'!AD2480*'01_Вводные'!$B$14</f>
        <v/>
      </c>
      <c r="AF2481">
        <f>'19_Расчет_аналитики'!AE2480*'01_Вводные'!$B$14</f>
        <v/>
      </c>
      <c r="AG2481">
        <f>'19_Расчет_аналитики'!AF2480*'01_Вводные'!$B$14</f>
        <v/>
      </c>
      <c r="AH2481">
        <f>'19_Расчет_аналитики'!AG2480*'01_Вводные'!$B$14</f>
        <v/>
      </c>
      <c r="AI2481">
        <f>'19_Расчет_аналитики'!AH2480*'01_Вводные'!$B$14</f>
        <v/>
      </c>
      <c r="AJ2481">
        <f>'19_Расчет_аналитики'!AI2480*'01_Вводные'!$B$14</f>
        <v/>
      </c>
      <c r="AK2481">
        <f>'19_Расчет_аналитики'!AJ2480*'01_Вводные'!$B$14</f>
        <v/>
      </c>
      <c r="AL2481">
        <f>'19_Расчет_аналитики'!AK2480*'01_Вводные'!$B$14</f>
        <v/>
      </c>
      <c r="AM2481">
        <f>'19_Расчет_аналитики'!AL2480*'01_Вводные'!$B$14</f>
        <v/>
      </c>
      <c r="AN2481">
        <f>'19_Расчет_аналитики'!AM2480*'01_Вводные'!$B$14</f>
        <v/>
      </c>
      <c r="AO2481">
        <f>'19_Расчет_аналитики'!AN2480*'01_Вводные'!$B$14</f>
        <v/>
      </c>
      <c r="AP2481">
        <f>'19_Расчет_аналитики'!AO2480*'01_Вводные'!$B$14</f>
        <v/>
      </c>
      <c r="AQ2481">
        <f>'19_Расчет_аналитики'!AP2480*'01_Вводные'!$B$14</f>
        <v/>
      </c>
      <c r="AR2481">
        <f>'19_Расчет_аналитики'!AQ2480*'01_Вводные'!$B$14</f>
        <v/>
      </c>
      <c r="AS2481">
        <f>'19_Расчет_аналитики'!AR2480*'01_Вводные'!$B$14</f>
        <v/>
      </c>
      <c r="AT2481">
        <f>'19_Расчет_аналитики'!AS2480*'01_Вводные'!$B$14</f>
        <v/>
      </c>
      <c r="AU2481">
        <f>'19_Расчет_аналитики'!AT2480*'01_Вводные'!$B$14</f>
        <v/>
      </c>
      <c r="AV2481">
        <f>'19_Расчет_аналитики'!AU2480*'01_Вводные'!$B$14</f>
        <v/>
      </c>
      <c r="AW2481">
        <f>'19_Расчет_аналитики'!AV2480*'01_Вводные'!$B$14</f>
        <v/>
      </c>
      <c r="AX2481">
        <f>'19_Расчет_аналитики'!AW2480*'01_Вводные'!$B$14</f>
        <v/>
      </c>
      <c r="AY2481">
        <f>'19_Расчет_аналитики'!AX2480*'01_Вводные'!$B$14</f>
        <v/>
      </c>
      <c r="AZ2481">
        <f>'19_Расчет_аналитики'!AY2480*'01_Вводные'!$B$14</f>
        <v/>
      </c>
      <c r="BA2481">
        <f>'19_Расчет_аналитики'!AZ2480*'01_Вводные'!$B$14</f>
        <v/>
      </c>
      <c r="BB2481">
        <f>'19_Расчет_аналитики'!BA2480*'01_Вводные'!$B$14</f>
        <v/>
      </c>
      <c r="BC2481">
        <f>'19_Расчет_аналитики'!BB2480*'01_Вводные'!$B$14</f>
        <v/>
      </c>
      <c r="BD2481">
        <f>'19_Расчет_аналитики'!BC2480*'01_Вводные'!$B$14</f>
        <v/>
      </c>
      <c r="BE2481">
        <f>'19_Расчет_аналитики'!BD2480*'01_Вводные'!$B$14</f>
        <v/>
      </c>
      <c r="BF2481">
        <f>'19_Расчет_аналитики'!BE2480*'01_Вводные'!$B$14</f>
        <v/>
      </c>
      <c r="BG2481">
        <f>'19_Расчет_аналитики'!BF2480*'01_Вводные'!$B$14</f>
        <v/>
      </c>
      <c r="BH2481">
        <f>'19_Расчет_аналитики'!BG2480*'01_Вводные'!$B$14</f>
        <v/>
      </c>
      <c r="BI2481">
        <f>'19_Расчет_аналитики'!BH2480*'01_Вводные'!$B$14</f>
        <v/>
      </c>
      <c r="BJ2481">
        <f>'19_Расчет_аналитики'!BI2480*'01_Вводные'!$B$14</f>
        <v/>
      </c>
      <c r="BK2481">
        <f>'19_Расчет_аналитики'!BJ2480*'01_Вводные'!$B$14</f>
        <v/>
      </c>
      <c r="BL2481">
        <f>'19_Расчет_аналитики'!BK2480*'01_Вводные'!$B$14</f>
        <v/>
      </c>
      <c r="BM2481">
        <f>'19_Расчет_аналитики'!BL2480*'01_Вводные'!$B$14</f>
        <v/>
      </c>
      <c r="BN2481">
        <f>'19_Расчет_аналитики'!BM2480*'01_Вводные'!$B$14</f>
        <v/>
      </c>
      <c r="BO2481">
        <f>'19_Расчет_аналитики'!BN2480*'01_Вводные'!$B$14</f>
        <v/>
      </c>
    </row>
    <row r="2482">
      <c r="N2482">
        <f>'06_Сеть_и_дети'!N103</f>
        <v/>
      </c>
      <c r="O2482">
        <f>'06_Сеть_и_дети'!O103</f>
        <v/>
      </c>
      <c r="P2482">
        <f>'06_Сеть_и_дети'!P103</f>
        <v/>
      </c>
      <c r="Q2482">
        <f>'06_Сеть_и_дети'!Q103</f>
        <v/>
      </c>
      <c r="R2482">
        <f>'06_Сеть_и_дети'!R103</f>
        <v/>
      </c>
      <c r="S2482">
        <f>'06_Сеть_и_дети'!S103</f>
        <v/>
      </c>
      <c r="T2482">
        <f>'06_Сеть_и_дети'!T103</f>
        <v/>
      </c>
      <c r="U2482">
        <f>'06_Сеть_и_дети'!U103</f>
        <v/>
      </c>
      <c r="V2482">
        <f>'06_Сеть_и_дети'!V103</f>
        <v/>
      </c>
      <c r="W2482">
        <f>'06_Сеть_и_дети'!W103</f>
        <v/>
      </c>
      <c r="X2482">
        <f>'19_Расчет_аналитики'!W2481*'01_Вводные'!$B$14</f>
        <v/>
      </c>
      <c r="Y2482">
        <f>'19_Расчет_аналитики'!X2481*'01_Вводные'!$B$14</f>
        <v/>
      </c>
      <c r="Z2482">
        <f>'19_Расчет_аналитики'!Y2481*'01_Вводные'!$B$14</f>
        <v/>
      </c>
      <c r="AA2482">
        <f>'19_Расчет_аналитики'!Z2481*'01_Вводные'!$B$14</f>
        <v/>
      </c>
      <c r="AB2482">
        <f>'19_Расчет_аналитики'!AA2481*'01_Вводные'!$B$14</f>
        <v/>
      </c>
      <c r="AC2482">
        <f>'19_Расчет_аналитики'!AB2481*'01_Вводные'!$B$14</f>
        <v/>
      </c>
      <c r="AD2482">
        <f>'19_Расчет_аналитики'!AC2481*'01_Вводные'!$B$14</f>
        <v/>
      </c>
      <c r="AE2482">
        <f>'19_Расчет_аналитики'!AD2481*'01_Вводные'!$B$14</f>
        <v/>
      </c>
      <c r="AF2482">
        <f>'19_Расчет_аналитики'!AE2481*'01_Вводные'!$B$14</f>
        <v/>
      </c>
      <c r="AG2482">
        <f>'19_Расчет_аналитики'!AF2481*'01_Вводные'!$B$14</f>
        <v/>
      </c>
      <c r="AH2482">
        <f>'19_Расчет_аналитики'!AG2481*'01_Вводные'!$B$14</f>
        <v/>
      </c>
      <c r="AI2482">
        <f>'19_Расчет_аналитики'!AH2481*'01_Вводные'!$B$14</f>
        <v/>
      </c>
      <c r="AJ2482">
        <f>'19_Расчет_аналитики'!AI2481*'01_Вводные'!$B$14</f>
        <v/>
      </c>
      <c r="AK2482">
        <f>'19_Расчет_аналитики'!AJ2481*'01_Вводные'!$B$14</f>
        <v/>
      </c>
      <c r="AL2482">
        <f>'19_Расчет_аналитики'!AK2481*'01_Вводные'!$B$14</f>
        <v/>
      </c>
      <c r="AM2482">
        <f>'19_Расчет_аналитики'!AL2481*'01_Вводные'!$B$14</f>
        <v/>
      </c>
      <c r="AN2482">
        <f>'19_Расчет_аналитики'!AM2481*'01_Вводные'!$B$14</f>
        <v/>
      </c>
      <c r="AO2482">
        <f>'19_Расчет_аналитики'!AN2481*'01_Вводные'!$B$14</f>
        <v/>
      </c>
      <c r="AP2482">
        <f>'19_Расчет_аналитики'!AO2481*'01_Вводные'!$B$14</f>
        <v/>
      </c>
      <c r="AQ2482">
        <f>'19_Расчет_аналитики'!AP2481*'01_Вводные'!$B$14</f>
        <v/>
      </c>
      <c r="AR2482">
        <f>'19_Расчет_аналитики'!AQ2481*'01_Вводные'!$B$14</f>
        <v/>
      </c>
      <c r="AS2482">
        <f>'19_Расчет_аналитики'!AR2481*'01_Вводные'!$B$14</f>
        <v/>
      </c>
      <c r="AT2482">
        <f>'19_Расчет_аналитики'!AS2481*'01_Вводные'!$B$14</f>
        <v/>
      </c>
      <c r="AU2482">
        <f>'19_Расчет_аналитики'!AT2481*'01_Вводные'!$B$14</f>
        <v/>
      </c>
      <c r="AV2482">
        <f>'19_Расчет_аналитики'!AU2481*'01_Вводные'!$B$14</f>
        <v/>
      </c>
      <c r="AW2482">
        <f>'19_Расчет_аналитики'!AV2481*'01_Вводные'!$B$14</f>
        <v/>
      </c>
      <c r="AX2482">
        <f>'19_Расчет_аналитики'!AW2481*'01_Вводные'!$B$14</f>
        <v/>
      </c>
      <c r="AY2482">
        <f>'19_Расчет_аналитики'!AX2481*'01_Вводные'!$B$14</f>
        <v/>
      </c>
      <c r="AZ2482">
        <f>'19_Расчет_аналитики'!AY2481*'01_Вводные'!$B$14</f>
        <v/>
      </c>
      <c r="BA2482">
        <f>'19_Расчет_аналитики'!AZ2481*'01_Вводные'!$B$14</f>
        <v/>
      </c>
      <c r="BB2482">
        <f>'19_Расчет_аналитики'!BA2481*'01_Вводные'!$B$14</f>
        <v/>
      </c>
      <c r="BC2482">
        <f>'19_Расчет_аналитики'!BB2481*'01_Вводные'!$B$14</f>
        <v/>
      </c>
      <c r="BD2482">
        <f>'19_Расчет_аналитики'!BC2481*'01_Вводные'!$B$14</f>
        <v/>
      </c>
      <c r="BE2482">
        <f>'19_Расчет_аналитики'!BD2481*'01_Вводные'!$B$14</f>
        <v/>
      </c>
      <c r="BF2482">
        <f>'19_Расчет_аналитики'!BE2481*'01_Вводные'!$B$14</f>
        <v/>
      </c>
      <c r="BG2482">
        <f>'19_Расчет_аналитики'!BF2481*'01_Вводные'!$B$14</f>
        <v/>
      </c>
      <c r="BH2482">
        <f>'19_Расчет_аналитики'!BG2481*'01_Вводные'!$B$14</f>
        <v/>
      </c>
      <c r="BI2482">
        <f>'19_Расчет_аналитики'!BH2481*'01_Вводные'!$B$14</f>
        <v/>
      </c>
      <c r="BJ2482">
        <f>'19_Расчет_аналитики'!BI2481*'01_Вводные'!$B$14</f>
        <v/>
      </c>
      <c r="BK2482">
        <f>'19_Расчет_аналитики'!BJ2481*'01_Вводные'!$B$14</f>
        <v/>
      </c>
      <c r="BL2482">
        <f>'19_Расчет_аналитики'!BK2481*'01_Вводные'!$B$14</f>
        <v/>
      </c>
      <c r="BM2482">
        <f>'19_Расчет_аналитики'!BL2481*'01_Вводные'!$B$14</f>
        <v/>
      </c>
      <c r="BN2482">
        <f>'19_Расчет_аналитики'!BM2481*'01_Вводные'!$B$14</f>
        <v/>
      </c>
      <c r="BO2482">
        <f>'19_Расчет_аналитики'!BN2481*'01_Вводные'!$B$14</f>
        <v/>
      </c>
    </row>
    <row r="2483">
      <c r="N2483">
        <f>'06_Сеть_и_дети'!N104</f>
        <v/>
      </c>
      <c r="O2483">
        <f>'06_Сеть_и_дети'!O104</f>
        <v/>
      </c>
      <c r="P2483">
        <f>'06_Сеть_и_дети'!P104</f>
        <v/>
      </c>
      <c r="Q2483">
        <f>'06_Сеть_и_дети'!Q104</f>
        <v/>
      </c>
      <c r="R2483">
        <f>'06_Сеть_и_дети'!R104</f>
        <v/>
      </c>
      <c r="S2483">
        <f>'06_Сеть_и_дети'!S104</f>
        <v/>
      </c>
      <c r="T2483">
        <f>'06_Сеть_и_дети'!T104</f>
        <v/>
      </c>
      <c r="U2483">
        <f>'06_Сеть_и_дети'!U104</f>
        <v/>
      </c>
      <c r="V2483">
        <f>'06_Сеть_и_дети'!V104</f>
        <v/>
      </c>
      <c r="W2483">
        <f>'06_Сеть_и_дети'!W104</f>
        <v/>
      </c>
      <c r="X2483">
        <f>'06_Сеть_и_дети'!X104</f>
        <v/>
      </c>
      <c r="Y2483">
        <f>'19_Расчет_аналитики'!X2482*'01_Вводные'!$B$14</f>
        <v/>
      </c>
      <c r="Z2483">
        <f>'19_Расчет_аналитики'!Y2482*'01_Вводные'!$B$14</f>
        <v/>
      </c>
      <c r="AA2483">
        <f>'19_Расчет_аналитики'!Z2482*'01_Вводные'!$B$14</f>
        <v/>
      </c>
      <c r="AB2483">
        <f>'19_Расчет_аналитики'!AA2482*'01_Вводные'!$B$14</f>
        <v/>
      </c>
      <c r="AC2483">
        <f>'19_Расчет_аналитики'!AB2482*'01_Вводные'!$B$14</f>
        <v/>
      </c>
      <c r="AD2483">
        <f>'19_Расчет_аналитики'!AC2482*'01_Вводные'!$B$14</f>
        <v/>
      </c>
      <c r="AE2483">
        <f>'19_Расчет_аналитики'!AD2482*'01_Вводные'!$B$14</f>
        <v/>
      </c>
      <c r="AF2483">
        <f>'19_Расчет_аналитики'!AE2482*'01_Вводные'!$B$14</f>
        <v/>
      </c>
      <c r="AG2483">
        <f>'19_Расчет_аналитики'!AF2482*'01_Вводные'!$B$14</f>
        <v/>
      </c>
      <c r="AH2483">
        <f>'19_Расчет_аналитики'!AG2482*'01_Вводные'!$B$14</f>
        <v/>
      </c>
      <c r="AI2483">
        <f>'19_Расчет_аналитики'!AH2482*'01_Вводные'!$B$14</f>
        <v/>
      </c>
      <c r="AJ2483">
        <f>'19_Расчет_аналитики'!AI2482*'01_Вводные'!$B$14</f>
        <v/>
      </c>
      <c r="AK2483">
        <f>'19_Расчет_аналитики'!AJ2482*'01_Вводные'!$B$14</f>
        <v/>
      </c>
      <c r="AL2483">
        <f>'19_Расчет_аналитики'!AK2482*'01_Вводные'!$B$14</f>
        <v/>
      </c>
      <c r="AM2483">
        <f>'19_Расчет_аналитики'!AL2482*'01_Вводные'!$B$14</f>
        <v/>
      </c>
      <c r="AN2483">
        <f>'19_Расчет_аналитики'!AM2482*'01_Вводные'!$B$14</f>
        <v/>
      </c>
      <c r="AO2483">
        <f>'19_Расчет_аналитики'!AN2482*'01_Вводные'!$B$14</f>
        <v/>
      </c>
      <c r="AP2483">
        <f>'19_Расчет_аналитики'!AO2482*'01_Вводные'!$B$14</f>
        <v/>
      </c>
      <c r="AQ2483">
        <f>'19_Расчет_аналитики'!AP2482*'01_Вводные'!$B$14</f>
        <v/>
      </c>
      <c r="AR2483">
        <f>'19_Расчет_аналитики'!AQ2482*'01_Вводные'!$B$14</f>
        <v/>
      </c>
      <c r="AS2483">
        <f>'19_Расчет_аналитики'!AR2482*'01_Вводные'!$B$14</f>
        <v/>
      </c>
      <c r="AT2483">
        <f>'19_Расчет_аналитики'!AS2482*'01_Вводные'!$B$14</f>
        <v/>
      </c>
      <c r="AU2483">
        <f>'19_Расчет_аналитики'!AT2482*'01_Вводные'!$B$14</f>
        <v/>
      </c>
      <c r="AV2483">
        <f>'19_Расчет_аналитики'!AU2482*'01_Вводные'!$B$14</f>
        <v/>
      </c>
      <c r="AW2483">
        <f>'19_Расчет_аналитики'!AV2482*'01_Вводные'!$B$14</f>
        <v/>
      </c>
      <c r="AX2483">
        <f>'19_Расчет_аналитики'!AW2482*'01_Вводные'!$B$14</f>
        <v/>
      </c>
      <c r="AY2483">
        <f>'19_Расчет_аналитики'!AX2482*'01_Вводные'!$B$14</f>
        <v/>
      </c>
      <c r="AZ2483">
        <f>'19_Расчет_аналитики'!AY2482*'01_Вводные'!$B$14</f>
        <v/>
      </c>
      <c r="BA2483">
        <f>'19_Расчет_аналитики'!AZ2482*'01_Вводные'!$B$14</f>
        <v/>
      </c>
      <c r="BB2483">
        <f>'19_Расчет_аналитики'!BA2482*'01_Вводные'!$B$14</f>
        <v/>
      </c>
      <c r="BC2483">
        <f>'19_Расчет_аналитики'!BB2482*'01_Вводные'!$B$14</f>
        <v/>
      </c>
      <c r="BD2483">
        <f>'19_Расчет_аналитики'!BC2482*'01_Вводные'!$B$14</f>
        <v/>
      </c>
      <c r="BE2483">
        <f>'19_Расчет_аналитики'!BD2482*'01_Вводные'!$B$14</f>
        <v/>
      </c>
      <c r="BF2483">
        <f>'19_Расчет_аналитики'!BE2482*'01_Вводные'!$B$14</f>
        <v/>
      </c>
      <c r="BG2483">
        <f>'19_Расчет_аналитики'!BF2482*'01_Вводные'!$B$14</f>
        <v/>
      </c>
      <c r="BH2483">
        <f>'19_Расчет_аналитики'!BG2482*'01_Вводные'!$B$14</f>
        <v/>
      </c>
      <c r="BI2483">
        <f>'19_Расчет_аналитики'!BH2482*'01_Вводные'!$B$14</f>
        <v/>
      </c>
      <c r="BJ2483">
        <f>'19_Расчет_аналитики'!BI2482*'01_Вводные'!$B$14</f>
        <v/>
      </c>
      <c r="BK2483">
        <f>'19_Расчет_аналитики'!BJ2482*'01_Вводные'!$B$14</f>
        <v/>
      </c>
      <c r="BL2483">
        <f>'19_Расчет_аналитики'!BK2482*'01_Вводные'!$B$14</f>
        <v/>
      </c>
      <c r="BM2483">
        <f>'19_Расчет_аналитики'!BL2482*'01_Вводные'!$B$14</f>
        <v/>
      </c>
      <c r="BN2483">
        <f>'19_Расчет_аналитики'!BM2482*'01_Вводные'!$B$14</f>
        <v/>
      </c>
      <c r="BO2483">
        <f>'19_Расчет_аналитики'!BN2482*'01_Вводные'!$B$14</f>
        <v/>
      </c>
    </row>
    <row r="2484">
      <c r="N2484">
        <f>'06_Сеть_и_дети'!N105</f>
        <v/>
      </c>
      <c r="O2484">
        <f>'06_Сеть_и_дети'!O105</f>
        <v/>
      </c>
      <c r="P2484">
        <f>'06_Сеть_и_дети'!P105</f>
        <v/>
      </c>
      <c r="Q2484">
        <f>'06_Сеть_и_дети'!Q105</f>
        <v/>
      </c>
      <c r="R2484">
        <f>'06_Сеть_и_дети'!R105</f>
        <v/>
      </c>
      <c r="S2484">
        <f>'06_Сеть_и_дети'!S105</f>
        <v/>
      </c>
      <c r="T2484">
        <f>'06_Сеть_и_дети'!T105</f>
        <v/>
      </c>
      <c r="U2484">
        <f>'06_Сеть_и_дети'!U105</f>
        <v/>
      </c>
      <c r="V2484">
        <f>'06_Сеть_и_дети'!V105</f>
        <v/>
      </c>
      <c r="W2484">
        <f>'06_Сеть_и_дети'!W105</f>
        <v/>
      </c>
      <c r="X2484">
        <f>'06_Сеть_и_дети'!X105</f>
        <v/>
      </c>
      <c r="Y2484">
        <f>'06_Сеть_и_дети'!Y105</f>
        <v/>
      </c>
      <c r="Z2484">
        <f>SUM('19_Расчет_аналитики'!Y2483:Y2484)*'01_Вводные'!$B$14</f>
        <v/>
      </c>
      <c r="AA2484">
        <f>SUM('19_Расчет_аналитики'!Z2483:Z2484)*'01_Вводные'!$B$14</f>
        <v/>
      </c>
      <c r="AB2484">
        <f>SUM('19_Расчет_аналитики'!AA2483:AA2484)*'01_Вводные'!$B$14</f>
        <v/>
      </c>
      <c r="AC2484">
        <f>SUM('19_Расчет_аналитики'!AB2483:AB2484)*'01_Вводные'!$B$14</f>
        <v/>
      </c>
      <c r="AD2484">
        <f>SUM('19_Расчет_аналитики'!AC2483:AC2484)*'01_Вводные'!$B$14</f>
        <v/>
      </c>
      <c r="AE2484">
        <f>SUM('19_Расчет_аналитики'!AD2483:AD2484)*'01_Вводные'!$B$14</f>
        <v/>
      </c>
      <c r="AF2484">
        <f>SUM('19_Расчет_аналитики'!AE2483:AE2484)*'01_Вводные'!$B$14</f>
        <v/>
      </c>
      <c r="AG2484">
        <f>SUM('19_Расчет_аналитики'!AF2483:AF2484)*'01_Вводные'!$B$14</f>
        <v/>
      </c>
      <c r="AH2484">
        <f>SUM('19_Расчет_аналитики'!AG2483:AG2484)*'01_Вводные'!$B$14</f>
        <v/>
      </c>
      <c r="AI2484">
        <f>SUM('19_Расчет_аналитики'!AH2483:AH2484)*'01_Вводные'!$B$14</f>
        <v/>
      </c>
      <c r="AJ2484">
        <f>SUM('19_Расчет_аналитики'!AI2483:AI2484)*'01_Вводные'!$B$14</f>
        <v/>
      </c>
      <c r="AK2484">
        <f>SUM('19_Расчет_аналитики'!AJ2483:AJ2484)*'01_Вводные'!$B$14</f>
        <v/>
      </c>
      <c r="AL2484">
        <f>SUM('19_Расчет_аналитики'!AK2483:AK2484)*'01_Вводные'!$B$14</f>
        <v/>
      </c>
      <c r="AM2484">
        <f>SUM('19_Расчет_аналитики'!AL2483:AL2484)*'01_Вводные'!$B$14</f>
        <v/>
      </c>
      <c r="AN2484">
        <f>SUM('19_Расчет_аналитики'!AM2483:AM2484)*'01_Вводные'!$B$14</f>
        <v/>
      </c>
      <c r="AO2484">
        <f>SUM('19_Расчет_аналитики'!AN2483:AN2484)*'01_Вводные'!$B$14</f>
        <v/>
      </c>
      <c r="AP2484">
        <f>SUM('19_Расчет_аналитики'!AO2483:AO2484)*'01_Вводные'!$B$14</f>
        <v/>
      </c>
      <c r="AQ2484">
        <f>SUM('19_Расчет_аналитики'!AP2483:AP2484)*'01_Вводные'!$B$14</f>
        <v/>
      </c>
      <c r="AR2484">
        <f>SUM('19_Расчет_аналитики'!AQ2483:AQ2484)*'01_Вводные'!$B$14</f>
        <v/>
      </c>
      <c r="AS2484">
        <f>SUM('19_Расчет_аналитики'!AR2483:AR2484)*'01_Вводные'!$B$14</f>
        <v/>
      </c>
      <c r="AT2484">
        <f>SUM('19_Расчет_аналитики'!AS2483:AS2484)*'01_Вводные'!$B$14</f>
        <v/>
      </c>
      <c r="AU2484">
        <f>SUM('19_Расчет_аналитики'!AT2483:AT2484)*'01_Вводные'!$B$14</f>
        <v/>
      </c>
      <c r="AV2484">
        <f>SUM('19_Расчет_аналитики'!AU2483:AU2484)*'01_Вводные'!$B$14</f>
        <v/>
      </c>
      <c r="AW2484">
        <f>SUM('19_Расчет_аналитики'!AV2483:AV2484)*'01_Вводные'!$B$14</f>
        <v/>
      </c>
      <c r="AX2484">
        <f>SUM('19_Расчет_аналитики'!AW2483:AW2484)*'01_Вводные'!$B$14</f>
        <v/>
      </c>
      <c r="AY2484">
        <f>SUM('19_Расчет_аналитики'!AX2483:AX2484)*'01_Вводные'!$B$14</f>
        <v/>
      </c>
      <c r="AZ2484">
        <f>SUM('19_Расчет_аналитики'!AY2483:AY2484)*'01_Вводные'!$B$14</f>
        <v/>
      </c>
      <c r="BA2484">
        <f>SUM('19_Расчет_аналитики'!AZ2483:AZ2484)*'01_Вводные'!$B$14</f>
        <v/>
      </c>
      <c r="BB2484">
        <f>SUM('19_Расчет_аналитики'!BA2483:BA2484)*'01_Вводные'!$B$14</f>
        <v/>
      </c>
      <c r="BC2484">
        <f>SUM('19_Расчет_аналитики'!BB2483:BB2484)*'01_Вводные'!$B$14</f>
        <v/>
      </c>
      <c r="BD2484">
        <f>SUM('19_Расчет_аналитики'!BC2483:BC2484)*'01_Вводные'!$B$14</f>
        <v/>
      </c>
      <c r="BE2484">
        <f>SUM('19_Расчет_аналитики'!BD2483:BD2484)*'01_Вводные'!$B$14</f>
        <v/>
      </c>
      <c r="BF2484">
        <f>SUM('19_Расчет_аналитики'!BE2483:BE2484)*'01_Вводные'!$B$14</f>
        <v/>
      </c>
      <c r="BG2484">
        <f>SUM('19_Расчет_аналитики'!BF2483:BF2484)*'01_Вводные'!$B$14</f>
        <v/>
      </c>
      <c r="BH2484">
        <f>SUM('19_Расчет_аналитики'!BG2483:BG2484)*'01_Вводные'!$B$14</f>
        <v/>
      </c>
      <c r="BI2484">
        <f>SUM('19_Расчет_аналитики'!BH2483:BH2484)*'01_Вводные'!$B$14</f>
        <v/>
      </c>
      <c r="BJ2484">
        <f>SUM('19_Расчет_аналитики'!BI2483:BI2484)*'01_Вводные'!$B$14</f>
        <v/>
      </c>
      <c r="BK2484">
        <f>SUM('19_Расчет_аналитики'!BJ2483:BJ2484)*'01_Вводные'!$B$14</f>
        <v/>
      </c>
      <c r="BL2484">
        <f>SUM('19_Расчет_аналитики'!BK2483:BK2484)*'01_Вводные'!$B$14</f>
        <v/>
      </c>
      <c r="BM2484">
        <f>SUM('19_Расчет_аналитики'!BL2483:BL2484)*'01_Вводные'!$B$14</f>
        <v/>
      </c>
      <c r="BN2484">
        <f>SUM('19_Расчет_аналитики'!BM2483:BM2484)*'01_Вводные'!$B$14</f>
        <v/>
      </c>
      <c r="BO2484">
        <f>SUM('19_Расчет_аналитики'!BN2483:BN2484)*'01_Вводные'!$B$14</f>
        <v/>
      </c>
    </row>
    <row r="2485"/>
    <row r="2486"/>
    <row r="2487"/>
    <row r="2488">
      <c r="B2488">
        <f>IF(OR('19_Расчет_аналитики'!B2460=0,1&lt;='01_Вводные'!$B$297),0,'19_Расчет_аналитики'!B2460*IF('01_Вводные'!$B$239="Да",MeanMinAge01+'19_Расчет_аналитики'!B2583*SUMIF(ThresholdAge01,"&lt;"&amp;'19_Расчет_аналитики'!B2583,WeightedRevAge01)-SUMIF(ThresholdAge01,"&lt;"&amp;'19_Расчет_аналитики'!B2583,WeightedMinAge01),MAX(CapacityAge01*'01_Вводные'!$B$218*'19_Расчет_аналитики'!B2583,MeanMinAge01)))</f>
        <v/>
      </c>
      <c r="C2488">
        <f>IF(OR('19_Расчет_аналитики'!C2460=0,1&lt;='01_Вводные'!$B$297),0,'19_Расчет_аналитики'!C2460*IF('01_Вводные'!$B$239="Да",MeanMinAge01+'19_Расчет_аналитики'!C2583*SUMIF(ThresholdAge01,"&lt;"&amp;'19_Расчет_аналитики'!C2583,WeightedRevAge01)-SUMIF(ThresholdAge01,"&lt;"&amp;'19_Расчет_аналитики'!C2583,WeightedMinAge01),MAX(CapacityAge01*'01_Вводные'!$B$218*'19_Расчет_аналитики'!C2583,MeanMinAge01)))</f>
        <v/>
      </c>
      <c r="D2488">
        <f>IF(OR('19_Расчет_аналитики'!D2460=0,1&lt;='01_Вводные'!$B$297),0,'19_Расчет_аналитики'!D2460*IF('01_Вводные'!$B$239="Да",MeanMinAge01+'19_Расчет_аналитики'!D2583*SUMIF(ThresholdAge01,"&lt;"&amp;'19_Расчет_аналитики'!D2583,WeightedRevAge01)-SUMIF(ThresholdAge01,"&lt;"&amp;'19_Расчет_аналитики'!D2583,WeightedMinAge01),MAX(CapacityAge01*'01_Вводные'!$B$218*'19_Расчет_аналитики'!D2583,MeanMinAge01)))</f>
        <v/>
      </c>
      <c r="E2488">
        <f>IF(OR('19_Расчет_аналитики'!E2460=0,1&lt;='01_Вводные'!$B$297),0,'19_Расчет_аналитики'!E2460*IF('01_Вводные'!$B$239="Да",MeanMinAge01+'19_Расчет_аналитики'!E2583*SUMIF(ThresholdAge01,"&lt;"&amp;'19_Расчет_аналитики'!E2583,WeightedRevAge01)-SUMIF(ThresholdAge01,"&lt;"&amp;'19_Расчет_аналитики'!E2583,WeightedMinAge01),MAX(CapacityAge01*'01_Вводные'!$B$218*'19_Расчет_аналитики'!E2583,MeanMinAge01)))</f>
        <v/>
      </c>
      <c r="F2488">
        <f>IF(OR('19_Расчет_аналитики'!F2460=0,1&lt;='01_Вводные'!$B$297),0,'19_Расчет_аналитики'!F2460*IF('01_Вводные'!$B$239="Да",MeanMinAge01+'19_Расчет_аналитики'!F2583*SUMIF(ThresholdAge01,"&lt;"&amp;'19_Расчет_аналитики'!F2583,WeightedRevAge01)-SUMIF(ThresholdAge01,"&lt;"&amp;'19_Расчет_аналитики'!F2583,WeightedMinAge01),MAX(CapacityAge01*'01_Вводные'!$B$218*'19_Расчет_аналитики'!F2583,MeanMinAge01)))</f>
        <v/>
      </c>
      <c r="G2488">
        <f>IF(OR('19_Расчет_аналитики'!G2460=0,1&lt;='01_Вводные'!$B$297),0,'19_Расчет_аналитики'!G2460*IF('01_Вводные'!$B$239="Да",MeanMinAge01+'19_Расчет_аналитики'!G2583*SUMIF(ThresholdAge01,"&lt;"&amp;'19_Расчет_аналитики'!G2583,WeightedRevAge01)-SUMIF(ThresholdAge01,"&lt;"&amp;'19_Расчет_аналитики'!G2583,WeightedMinAge01),MAX(CapacityAge01*'01_Вводные'!$B$218*'19_Расчет_аналитики'!G2583,MeanMinAge01)))</f>
        <v/>
      </c>
      <c r="H2488">
        <f>IF(OR('19_Расчет_аналитики'!H2460=0,1&lt;='01_Вводные'!$B$297),0,'19_Расчет_аналитики'!H2460*IF('01_Вводные'!$B$239="Да",MeanMinAge01+'19_Расчет_аналитики'!H2583*SUMIF(ThresholdAge01,"&lt;"&amp;'19_Расчет_аналитики'!H2583,WeightedRevAge01)-SUMIF(ThresholdAge01,"&lt;"&amp;'19_Расчет_аналитики'!H2583,WeightedMinAge01),MAX(CapacityAge01*'01_Вводные'!$B$218*'19_Расчет_аналитики'!H2583,MeanMinAge01)))</f>
        <v/>
      </c>
      <c r="I2488">
        <f>IF(OR('19_Расчет_аналитики'!I2460=0,1&lt;='01_Вводные'!$B$297),0,'19_Расчет_аналитики'!I2460*IF('01_Вводные'!$B$239="Да",MeanMinAge01+'19_Расчет_аналитики'!I2583*SUMIF(ThresholdAge01,"&lt;"&amp;'19_Расчет_аналитики'!I2583,WeightedRevAge01)-SUMIF(ThresholdAge01,"&lt;"&amp;'19_Расчет_аналитики'!I2583,WeightedMinAge01),MAX(CapacityAge01*'01_Вводные'!$B$218*'19_Расчет_аналитики'!I2583,MeanMinAge01)))</f>
        <v/>
      </c>
      <c r="J2488">
        <f>IF(OR('19_Расчет_аналитики'!J2460=0,1&lt;='01_Вводные'!$B$297),0,'19_Расчет_аналитики'!J2460*IF('01_Вводные'!$B$239="Да",MeanMinAge01+'19_Расчет_аналитики'!J2583*SUMIF(ThresholdAge01,"&lt;"&amp;'19_Расчет_аналитики'!J2583,WeightedRevAge01)-SUMIF(ThresholdAge01,"&lt;"&amp;'19_Расчет_аналитики'!J2583,WeightedMinAge01),MAX(CapacityAge01*'01_Вводные'!$B$218*'19_Расчет_аналитики'!J2583,MeanMinAge01)))</f>
        <v/>
      </c>
      <c r="K2488">
        <f>IF(OR('19_Расчет_аналитики'!K2460=0,1&lt;='01_Вводные'!$B$297),0,'19_Расчет_аналитики'!K2460*IF('01_Вводные'!$B$239="Да",MeanMinAge01+'19_Расчет_аналитики'!K2583*SUMIF(ThresholdAge01,"&lt;"&amp;'19_Расчет_аналитики'!K2583,WeightedRevAge01)-SUMIF(ThresholdAge01,"&lt;"&amp;'19_Расчет_аналитики'!K2583,WeightedMinAge01),MAX(CapacityAge01*'01_Вводные'!$B$218*'19_Расчет_аналитики'!K2583,MeanMinAge01)))</f>
        <v/>
      </c>
      <c r="L2488">
        <f>IF(OR('19_Расчет_аналитики'!L2460=0,1&lt;='01_Вводные'!$B$297),0,'19_Расчет_аналитики'!L2460*IF('01_Вводные'!$B$239="Да",MeanMinAge01+'19_Расчет_аналитики'!L2583*SUMIF(ThresholdAge01,"&lt;"&amp;'19_Расчет_аналитики'!L2583,WeightedRevAge01)-SUMIF(ThresholdAge01,"&lt;"&amp;'19_Расчет_аналитики'!L2583,WeightedMinAge01),MAX(CapacityAge01*'01_Вводные'!$B$218*'19_Расчет_аналитики'!L2583,MeanMinAge01)))</f>
        <v/>
      </c>
      <c r="M2488">
        <f>IF(OR('19_Расчет_аналитики'!M2460=0,1&lt;='01_Вводные'!$B$297),0,'19_Расчет_аналитики'!M2460*IF('01_Вводные'!$B$239="Да",MeanMinAge01+'19_Расчет_аналитики'!M2583*SUMIF(ThresholdAge01,"&lt;"&amp;'19_Расчет_аналитики'!M2583,WeightedRevAge01)-SUMIF(ThresholdAge01,"&lt;"&amp;'19_Расчет_аналитики'!M2583,WeightedMinAge01),MAX(CapacityAge01*'01_Вводные'!$B$218*'19_Расчет_аналитики'!M2583,MeanMinAge01)))</f>
        <v/>
      </c>
      <c r="N2488">
        <f>IF(OR('19_Расчет_аналитики'!N2460=0,1&lt;='01_Вводные'!$B$297),0,'19_Расчет_аналитики'!N2460*IF('01_Вводные'!$B$239="Да",MeanMinAge01+'19_Расчет_аналитики'!N2583*SUMIF(ThresholdAge01,"&lt;"&amp;'19_Расчет_аналитики'!N2583,WeightedRevAge01)-SUMIF(ThresholdAge01,"&lt;"&amp;'19_Расчет_аналитики'!N2583,WeightedMinAge01),MAX(CapacityAge01*'01_Вводные'!$B$218*'19_Расчет_аналитики'!N2583,MeanMinAge01)))</f>
        <v/>
      </c>
      <c r="O2488">
        <f>IF(OR('19_Расчет_аналитики'!O2460=0,1&lt;='01_Вводные'!$B$297),0,'19_Расчет_аналитики'!O2460*IF('01_Вводные'!$B$239="Да",MeanMinAge01+'19_Расчет_аналитики'!O2583*SUMIF(ThresholdAge01,"&lt;"&amp;'19_Расчет_аналитики'!O2583,WeightedRevAge01)-SUMIF(ThresholdAge01,"&lt;"&amp;'19_Расчет_аналитики'!O2583,WeightedMinAge01),MAX(CapacityAge01*'01_Вводные'!$B$218*'19_Расчет_аналитики'!O2583,MeanMinAge01)))</f>
        <v/>
      </c>
      <c r="P2488">
        <f>IF(OR('19_Расчет_аналитики'!P2460=0,1&lt;='01_Вводные'!$B$297),0,'19_Расчет_аналитики'!P2460*IF('01_Вводные'!$B$239="Да",MeanMinAge01+'19_Расчет_аналитики'!P2583*SUMIF(ThresholdAge01,"&lt;"&amp;'19_Расчет_аналитики'!P2583,WeightedRevAge01)-SUMIF(ThresholdAge01,"&lt;"&amp;'19_Расчет_аналитики'!P2583,WeightedMinAge01),MAX(CapacityAge01*'01_Вводные'!$B$218*'19_Расчет_аналитики'!P2583,MeanMinAge01)))</f>
        <v/>
      </c>
      <c r="Q2488">
        <f>IF(OR('19_Расчет_аналитики'!Q2460=0,1&lt;='01_Вводные'!$B$297),0,'19_Расчет_аналитики'!Q2460*IF('01_Вводные'!$B$239="Да",MeanMinAge01+'19_Расчет_аналитики'!Q2583*SUMIF(ThresholdAge01,"&lt;"&amp;'19_Расчет_аналитики'!Q2583,WeightedRevAge01)-SUMIF(ThresholdAge01,"&lt;"&amp;'19_Расчет_аналитики'!Q2583,WeightedMinAge01),MAX(CapacityAge01*'01_Вводные'!$B$218*'19_Расчет_аналитики'!Q2583,MeanMinAge01)))</f>
        <v/>
      </c>
      <c r="R2488">
        <f>IF(OR('19_Расчет_аналитики'!R2460=0,1&lt;='01_Вводные'!$B$297),0,'19_Расчет_аналитики'!R2460*IF('01_Вводные'!$B$239="Да",MeanMinAge01+'19_Расчет_аналитики'!R2583*SUMIF(ThresholdAge01,"&lt;"&amp;'19_Расчет_аналитики'!R2583,WeightedRevAge01)-SUMIF(ThresholdAge01,"&lt;"&amp;'19_Расчет_аналитики'!R2583,WeightedMinAge01),MAX(CapacityAge01*'01_Вводные'!$B$218*'19_Расчет_аналитики'!R2583,MeanMinAge01)))</f>
        <v/>
      </c>
      <c r="S2488">
        <f>IF(OR('19_Расчет_аналитики'!S2460=0,1&lt;='01_Вводные'!$B$297),0,'19_Расчет_аналитики'!S2460*IF('01_Вводные'!$B$239="Да",MeanMinAge01+'19_Расчет_аналитики'!S2583*SUMIF(ThresholdAge01,"&lt;"&amp;'19_Расчет_аналитики'!S2583,WeightedRevAge01)-SUMIF(ThresholdAge01,"&lt;"&amp;'19_Расчет_аналитики'!S2583,WeightedMinAge01),MAX(CapacityAge01*'01_Вводные'!$B$218*'19_Расчет_аналитики'!S2583,MeanMinAge01)))</f>
        <v/>
      </c>
      <c r="T2488">
        <f>IF(OR('19_Расчет_аналитики'!T2460=0,1&lt;='01_Вводные'!$B$297),0,'19_Расчет_аналитики'!T2460*IF('01_Вводные'!$B$239="Да",MeanMinAge01+'19_Расчет_аналитики'!T2583*SUMIF(ThresholdAge01,"&lt;"&amp;'19_Расчет_аналитики'!T2583,WeightedRevAge01)-SUMIF(ThresholdAge01,"&lt;"&amp;'19_Расчет_аналитики'!T2583,WeightedMinAge01),MAX(CapacityAge01*'01_Вводные'!$B$218*'19_Расчет_аналитики'!T2583,MeanMinAge01)))</f>
        <v/>
      </c>
      <c r="U2488">
        <f>IF(OR('19_Расчет_аналитики'!U2460=0,1&lt;='01_Вводные'!$B$297),0,'19_Расчет_аналитики'!U2460*IF('01_Вводные'!$B$239="Да",MeanMinAge01+'19_Расчет_аналитики'!U2583*SUMIF(ThresholdAge01,"&lt;"&amp;'19_Расчет_аналитики'!U2583,WeightedRevAge01)-SUMIF(ThresholdAge01,"&lt;"&amp;'19_Расчет_аналитики'!U2583,WeightedMinAge01),MAX(CapacityAge01*'01_Вводные'!$B$218*'19_Расчет_аналитики'!U2583,MeanMinAge01)))</f>
        <v/>
      </c>
      <c r="V2488">
        <f>IF(OR('19_Расчет_аналитики'!V2460=0,1&lt;='01_Вводные'!$B$297),0,'19_Расчет_аналитики'!V2460*IF('01_Вводные'!$B$239="Да",MeanMinAge01+'19_Расчет_аналитики'!V2583*SUMIF(ThresholdAge01,"&lt;"&amp;'19_Расчет_аналитики'!V2583,WeightedRevAge01)-SUMIF(ThresholdAge01,"&lt;"&amp;'19_Расчет_аналитики'!V2583,WeightedMinAge01),MAX(CapacityAge01*'01_Вводные'!$B$218*'19_Расчет_аналитики'!V2583,MeanMinAge01)))</f>
        <v/>
      </c>
      <c r="W2488">
        <f>IF(OR('19_Расчет_аналитики'!W2460=0,1&lt;='01_Вводные'!$B$297),0,'19_Расчет_аналитики'!W2460*IF('01_Вводные'!$B$239="Да",MeanMinAge01+'19_Расчет_аналитики'!W2583*SUMIF(ThresholdAge01,"&lt;"&amp;'19_Расчет_аналитики'!W2583,WeightedRevAge01)-SUMIF(ThresholdAge01,"&lt;"&amp;'19_Расчет_аналитики'!W2583,WeightedMinAge01),MAX(CapacityAge01*'01_Вводные'!$B$218*'19_Расчет_аналитики'!W2583,MeanMinAge01)))</f>
        <v/>
      </c>
      <c r="X2488">
        <f>IF(OR('19_Расчет_аналитики'!X2460=0,1&lt;='01_Вводные'!$B$297),0,'19_Расчет_аналитики'!X2460*IF('01_Вводные'!$B$239="Да",MeanMinAge01+'19_Расчет_аналитики'!X2583*SUMIF(ThresholdAge01,"&lt;"&amp;'19_Расчет_аналитики'!X2583,WeightedRevAge01)-SUMIF(ThresholdAge01,"&lt;"&amp;'19_Расчет_аналитики'!X2583,WeightedMinAge01),MAX(CapacityAge01*'01_Вводные'!$B$218*'19_Расчет_аналитики'!X2583,MeanMinAge01)))</f>
        <v/>
      </c>
      <c r="Y2488">
        <f>IF(OR('19_Расчет_аналитики'!Y2460=0,1&lt;='01_Вводные'!$B$297),0,'19_Расчет_аналитики'!Y2460*IF('01_Вводные'!$B$239="Да",MeanMinAge01+'19_Расчет_аналитики'!Y2583*SUMIF(ThresholdAge01,"&lt;"&amp;'19_Расчет_аналитики'!Y2583,WeightedRevAge01)-SUMIF(ThresholdAge01,"&lt;"&amp;'19_Расчет_аналитики'!Y2583,WeightedMinAge01),MAX(CapacityAge01*'01_Вводные'!$B$218*'19_Расчет_аналитики'!Y2583,MeanMinAge01)))</f>
        <v/>
      </c>
      <c r="Z2488">
        <f>IF(OR('19_Расчет_аналитики'!Z2460=0,1&lt;='01_Вводные'!$B$297),0,'19_Расчет_аналитики'!Z2460*IF('01_Вводные'!$B$239="Да",MeanMinAge01+'19_Расчет_аналитики'!Z2583*SUMIF(ThresholdAge01,"&lt;"&amp;'19_Расчет_аналитики'!Z2583,WeightedRevAge01)-SUMIF(ThresholdAge01,"&lt;"&amp;'19_Расчет_аналитики'!Z2583,WeightedMinAge01),MAX(CapacityAge01*'01_Вводные'!$B$218*'19_Расчет_аналитики'!Z2583,MeanMinAge01)))</f>
        <v/>
      </c>
      <c r="AA2488">
        <f>IF(OR('19_Расчет_аналитики'!AA2460=0,1&lt;='01_Вводные'!$B$297),0,'19_Расчет_аналитики'!AA2460*IF('01_Вводные'!$B$239="Да",MeanMinAge01+'19_Расчет_аналитики'!AA2583*SUMIF(ThresholdAge01,"&lt;"&amp;'19_Расчет_аналитики'!AA2583,WeightedRevAge01)-SUMIF(ThresholdAge01,"&lt;"&amp;'19_Расчет_аналитики'!AA2583,WeightedMinAge01),MAX(CapacityAge01*'01_Вводные'!$B$218*'19_Расчет_аналитики'!AA2583,MeanMinAge01)))</f>
        <v/>
      </c>
      <c r="AB2488">
        <f>IF(OR('19_Расчет_аналитики'!AB2460=0,1&lt;='01_Вводные'!$B$297),0,'19_Расчет_аналитики'!AB2460*IF('01_Вводные'!$B$239="Да",MeanMinAge01+'19_Расчет_аналитики'!AB2583*SUMIF(ThresholdAge01,"&lt;"&amp;'19_Расчет_аналитики'!AB2583,WeightedRevAge01)-SUMIF(ThresholdAge01,"&lt;"&amp;'19_Расчет_аналитики'!AB2583,WeightedMinAge01),MAX(CapacityAge01*'01_Вводные'!$B$218*'19_Расчет_аналитики'!AB2583,MeanMinAge01)))</f>
        <v/>
      </c>
      <c r="AC2488">
        <f>IF(OR('19_Расчет_аналитики'!AC2460=0,1&lt;='01_Вводные'!$B$297),0,'19_Расчет_аналитики'!AC2460*IF('01_Вводные'!$B$239="Да",MeanMinAge01+'19_Расчет_аналитики'!AC2583*SUMIF(ThresholdAge01,"&lt;"&amp;'19_Расчет_аналитики'!AC2583,WeightedRevAge01)-SUMIF(ThresholdAge01,"&lt;"&amp;'19_Расчет_аналитики'!AC2583,WeightedMinAge01),MAX(CapacityAge01*'01_Вводные'!$B$218*'19_Расчет_аналитики'!AC2583,MeanMinAge01)))</f>
        <v/>
      </c>
      <c r="AD2488">
        <f>IF(OR('19_Расчет_аналитики'!AD2460=0,1&lt;='01_Вводные'!$B$297),0,'19_Расчет_аналитики'!AD2460*IF('01_Вводные'!$B$239="Да",MeanMinAge01+'19_Расчет_аналитики'!AD2583*SUMIF(ThresholdAge01,"&lt;"&amp;'19_Расчет_аналитики'!AD2583,WeightedRevAge01)-SUMIF(ThresholdAge01,"&lt;"&amp;'19_Расчет_аналитики'!AD2583,WeightedMinAge01),MAX(CapacityAge01*'01_Вводные'!$B$218*'19_Расчет_аналитики'!AD2583,MeanMinAge01)))</f>
        <v/>
      </c>
      <c r="AE2488">
        <f>IF(OR('19_Расчет_аналитики'!AE2460=0,1&lt;='01_Вводные'!$B$297),0,'19_Расчет_аналитики'!AE2460*IF('01_Вводные'!$B$239="Да",MeanMinAge01+'19_Расчет_аналитики'!AE2583*SUMIF(ThresholdAge01,"&lt;"&amp;'19_Расчет_аналитики'!AE2583,WeightedRevAge01)-SUMIF(ThresholdAge01,"&lt;"&amp;'19_Расчет_аналитики'!AE2583,WeightedMinAge01),MAX(CapacityAge01*'01_Вводные'!$B$218*'19_Расчет_аналитики'!AE2583,MeanMinAge01)))</f>
        <v/>
      </c>
      <c r="AF2488">
        <f>IF(OR('19_Расчет_аналитики'!AF2460=0,1&lt;='01_Вводные'!$B$297),0,'19_Расчет_аналитики'!AF2460*IF('01_Вводные'!$B$239="Да",MeanMinAge01+'19_Расчет_аналитики'!AF2583*SUMIF(ThresholdAge01,"&lt;"&amp;'19_Расчет_аналитики'!AF2583,WeightedRevAge01)-SUMIF(ThresholdAge01,"&lt;"&amp;'19_Расчет_аналитики'!AF2583,WeightedMinAge01),MAX(CapacityAge01*'01_Вводные'!$B$218*'19_Расчет_аналитики'!AF2583,MeanMinAge01)))</f>
        <v/>
      </c>
      <c r="AG2488">
        <f>IF(OR('19_Расчет_аналитики'!AG2460=0,1&lt;='01_Вводные'!$B$297),0,'19_Расчет_аналитики'!AG2460*IF('01_Вводные'!$B$239="Да",MeanMinAge01+'19_Расчет_аналитики'!AG2583*SUMIF(ThresholdAge01,"&lt;"&amp;'19_Расчет_аналитики'!AG2583,WeightedRevAge01)-SUMIF(ThresholdAge01,"&lt;"&amp;'19_Расчет_аналитики'!AG2583,WeightedMinAge01),MAX(CapacityAge01*'01_Вводные'!$B$218*'19_Расчет_аналитики'!AG2583,MeanMinAge01)))</f>
        <v/>
      </c>
      <c r="AH2488">
        <f>IF(OR('19_Расчет_аналитики'!AH2460=0,1&lt;='01_Вводные'!$B$297),0,'19_Расчет_аналитики'!AH2460*IF('01_Вводные'!$B$239="Да",MeanMinAge01+'19_Расчет_аналитики'!AH2583*SUMIF(ThresholdAge01,"&lt;"&amp;'19_Расчет_аналитики'!AH2583,WeightedRevAge01)-SUMIF(ThresholdAge01,"&lt;"&amp;'19_Расчет_аналитики'!AH2583,WeightedMinAge01),MAX(CapacityAge01*'01_Вводные'!$B$218*'19_Расчет_аналитики'!AH2583,MeanMinAge01)))</f>
        <v/>
      </c>
      <c r="AI2488">
        <f>IF(OR('19_Расчет_аналитики'!AI2460=0,1&lt;='01_Вводные'!$B$297),0,'19_Расчет_аналитики'!AI2460*IF('01_Вводные'!$B$239="Да",MeanMinAge01+'19_Расчет_аналитики'!AI2583*SUMIF(ThresholdAge01,"&lt;"&amp;'19_Расчет_аналитики'!AI2583,WeightedRevAge01)-SUMIF(ThresholdAge01,"&lt;"&amp;'19_Расчет_аналитики'!AI2583,WeightedMinAge01),MAX(CapacityAge01*'01_Вводные'!$B$218*'19_Расчет_аналитики'!AI2583,MeanMinAge01)))</f>
        <v/>
      </c>
      <c r="AJ2488">
        <f>IF(OR('19_Расчет_аналитики'!AJ2460=0,1&lt;='01_Вводные'!$B$297),0,'19_Расчет_аналитики'!AJ2460*IF('01_Вводные'!$B$239="Да",MeanMinAge01+'19_Расчет_аналитики'!AJ2583*SUMIF(ThresholdAge01,"&lt;"&amp;'19_Расчет_аналитики'!AJ2583,WeightedRevAge01)-SUMIF(ThresholdAge01,"&lt;"&amp;'19_Расчет_аналитики'!AJ2583,WeightedMinAge01),MAX(CapacityAge01*'01_Вводные'!$B$218*'19_Расчет_аналитики'!AJ2583,MeanMinAge01)))</f>
        <v/>
      </c>
      <c r="AK2488">
        <f>IF(OR('19_Расчет_аналитики'!AK2460=0,1&lt;='01_Вводные'!$B$297),0,'19_Расчет_аналитики'!AK2460*IF('01_Вводные'!$B$239="Да",MeanMinAge01+'19_Расчет_аналитики'!AK2583*SUMIF(ThresholdAge01,"&lt;"&amp;'19_Расчет_аналитики'!AK2583,WeightedRevAge01)-SUMIF(ThresholdAge01,"&lt;"&amp;'19_Расчет_аналитики'!AK2583,WeightedMinAge01),MAX(CapacityAge01*'01_Вводные'!$B$218*'19_Расчет_аналитики'!AK2583,MeanMinAge01)))</f>
        <v/>
      </c>
      <c r="AL2488">
        <f>IF(OR('19_Расчет_аналитики'!AL2460=0,1&lt;='01_Вводные'!$B$297),0,'19_Расчет_аналитики'!AL2460*IF('01_Вводные'!$B$239="Да",MeanMinAge01+'19_Расчет_аналитики'!AL2583*SUMIF(ThresholdAge01,"&lt;"&amp;'19_Расчет_аналитики'!AL2583,WeightedRevAge01)-SUMIF(ThresholdAge01,"&lt;"&amp;'19_Расчет_аналитики'!AL2583,WeightedMinAge01),MAX(CapacityAge01*'01_Вводные'!$B$218*'19_Расчет_аналитики'!AL2583,MeanMinAge01)))</f>
        <v/>
      </c>
      <c r="AM2488">
        <f>IF(OR('19_Расчет_аналитики'!AM2460=0,1&lt;='01_Вводные'!$B$297),0,'19_Расчет_аналитики'!AM2460*IF('01_Вводные'!$B$239="Да",MeanMinAge01+'19_Расчет_аналитики'!AM2583*SUMIF(ThresholdAge01,"&lt;"&amp;'19_Расчет_аналитики'!AM2583,WeightedRevAge01)-SUMIF(ThresholdAge01,"&lt;"&amp;'19_Расчет_аналитики'!AM2583,WeightedMinAge01),MAX(CapacityAge01*'01_Вводные'!$B$218*'19_Расчет_аналитики'!AM2583,MeanMinAge01)))</f>
        <v/>
      </c>
      <c r="AN2488">
        <f>IF(OR('19_Расчет_аналитики'!AN2460=0,1&lt;='01_Вводные'!$B$297),0,'19_Расчет_аналитики'!AN2460*IF('01_Вводные'!$B$239="Да",MeanMinAge01+'19_Расчет_аналитики'!AN2583*SUMIF(ThresholdAge01,"&lt;"&amp;'19_Расчет_аналитики'!AN2583,WeightedRevAge01)-SUMIF(ThresholdAge01,"&lt;"&amp;'19_Расчет_аналитики'!AN2583,WeightedMinAge01),MAX(CapacityAge01*'01_Вводные'!$B$218*'19_Расчет_аналитики'!AN2583,MeanMinAge01)))</f>
        <v/>
      </c>
      <c r="AO2488">
        <f>IF(OR('19_Расчет_аналитики'!AO2460=0,1&lt;='01_Вводные'!$B$297),0,'19_Расчет_аналитики'!AO2460*IF('01_Вводные'!$B$239="Да",MeanMinAge01+'19_Расчет_аналитики'!AO2583*SUMIF(ThresholdAge01,"&lt;"&amp;'19_Расчет_аналитики'!AO2583,WeightedRevAge01)-SUMIF(ThresholdAge01,"&lt;"&amp;'19_Расчет_аналитики'!AO2583,WeightedMinAge01),MAX(CapacityAge01*'01_Вводные'!$B$218*'19_Расчет_аналитики'!AO2583,MeanMinAge01)))</f>
        <v/>
      </c>
      <c r="AP2488">
        <f>IF(OR('19_Расчет_аналитики'!AP2460=0,1&lt;='01_Вводные'!$B$297),0,'19_Расчет_аналитики'!AP2460*IF('01_Вводные'!$B$239="Да",MeanMinAge01+'19_Расчет_аналитики'!AP2583*SUMIF(ThresholdAge01,"&lt;"&amp;'19_Расчет_аналитики'!AP2583,WeightedRevAge01)-SUMIF(ThresholdAge01,"&lt;"&amp;'19_Расчет_аналитики'!AP2583,WeightedMinAge01),MAX(CapacityAge01*'01_Вводные'!$B$218*'19_Расчет_аналитики'!AP2583,MeanMinAge01)))</f>
        <v/>
      </c>
      <c r="AQ2488">
        <f>IF(OR('19_Расчет_аналитики'!AQ2460=0,1&lt;='01_Вводные'!$B$297),0,'19_Расчет_аналитики'!AQ2460*IF('01_Вводные'!$B$239="Да",MeanMinAge01+'19_Расчет_аналитики'!AQ2583*SUMIF(ThresholdAge01,"&lt;"&amp;'19_Расчет_аналитики'!AQ2583,WeightedRevAge01)-SUMIF(ThresholdAge01,"&lt;"&amp;'19_Расчет_аналитики'!AQ2583,WeightedMinAge01),MAX(CapacityAge01*'01_Вводные'!$B$218*'19_Расчет_аналитики'!AQ2583,MeanMinAge01)))</f>
        <v/>
      </c>
      <c r="AR2488">
        <f>IF(OR('19_Расчет_аналитики'!AR2460=0,1&lt;='01_Вводные'!$B$297),0,'19_Расчет_аналитики'!AR2460*IF('01_Вводные'!$B$239="Да",MeanMinAge01+'19_Расчет_аналитики'!AR2583*SUMIF(ThresholdAge01,"&lt;"&amp;'19_Расчет_аналитики'!AR2583,WeightedRevAge01)-SUMIF(ThresholdAge01,"&lt;"&amp;'19_Расчет_аналитики'!AR2583,WeightedMinAge01),MAX(CapacityAge01*'01_Вводные'!$B$218*'19_Расчет_аналитики'!AR2583,MeanMinAge01)))</f>
        <v/>
      </c>
      <c r="AS2488">
        <f>IF(OR('19_Расчет_аналитики'!AS2460=0,1&lt;='01_Вводные'!$B$297),0,'19_Расчет_аналитики'!AS2460*IF('01_Вводные'!$B$239="Да",MeanMinAge01+'19_Расчет_аналитики'!AS2583*SUMIF(ThresholdAge01,"&lt;"&amp;'19_Расчет_аналитики'!AS2583,WeightedRevAge01)-SUMIF(ThresholdAge01,"&lt;"&amp;'19_Расчет_аналитики'!AS2583,WeightedMinAge01),MAX(CapacityAge01*'01_Вводные'!$B$218*'19_Расчет_аналитики'!AS2583,MeanMinAge01)))</f>
        <v/>
      </c>
      <c r="AT2488">
        <f>IF(OR('19_Расчет_аналитики'!AT2460=0,1&lt;='01_Вводные'!$B$297),0,'19_Расчет_аналитики'!AT2460*IF('01_Вводные'!$B$239="Да",MeanMinAge01+'19_Расчет_аналитики'!AT2583*SUMIF(ThresholdAge01,"&lt;"&amp;'19_Расчет_аналитики'!AT2583,WeightedRevAge01)-SUMIF(ThresholdAge01,"&lt;"&amp;'19_Расчет_аналитики'!AT2583,WeightedMinAge01),MAX(CapacityAge01*'01_Вводные'!$B$218*'19_Расчет_аналитики'!AT2583,MeanMinAge01)))</f>
        <v/>
      </c>
      <c r="AU2488">
        <f>IF(OR('19_Расчет_аналитики'!AU2460=0,1&lt;='01_Вводные'!$B$297),0,'19_Расчет_аналитики'!AU2460*IF('01_Вводные'!$B$239="Да",MeanMinAge01+'19_Расчет_аналитики'!AU2583*SUMIF(ThresholdAge01,"&lt;"&amp;'19_Расчет_аналитики'!AU2583,WeightedRevAge01)-SUMIF(ThresholdAge01,"&lt;"&amp;'19_Расчет_аналитики'!AU2583,WeightedMinAge01),MAX(CapacityAge01*'01_Вводные'!$B$218*'19_Расчет_аналитики'!AU2583,MeanMinAge01)))</f>
        <v/>
      </c>
      <c r="AV2488">
        <f>IF(OR('19_Расчет_аналитики'!AV2460=0,1&lt;='01_Вводные'!$B$297),0,'19_Расчет_аналитики'!AV2460*IF('01_Вводные'!$B$239="Да",MeanMinAge01+'19_Расчет_аналитики'!AV2583*SUMIF(ThresholdAge01,"&lt;"&amp;'19_Расчет_аналитики'!AV2583,WeightedRevAge01)-SUMIF(ThresholdAge01,"&lt;"&amp;'19_Расчет_аналитики'!AV2583,WeightedMinAge01),MAX(CapacityAge01*'01_Вводные'!$B$218*'19_Расчет_аналитики'!AV2583,MeanMinAge01)))</f>
        <v/>
      </c>
      <c r="AW2488">
        <f>IF(OR('19_Расчет_аналитики'!AW2460=0,1&lt;='01_Вводные'!$B$297),0,'19_Расчет_аналитики'!AW2460*IF('01_Вводные'!$B$239="Да",MeanMinAge01+'19_Расчет_аналитики'!AW2583*SUMIF(ThresholdAge01,"&lt;"&amp;'19_Расчет_аналитики'!AW2583,WeightedRevAge01)-SUMIF(ThresholdAge01,"&lt;"&amp;'19_Расчет_аналитики'!AW2583,WeightedMinAge01),MAX(CapacityAge01*'01_Вводные'!$B$218*'19_Расчет_аналитики'!AW2583,MeanMinAge01)))</f>
        <v/>
      </c>
      <c r="AX2488">
        <f>IF(OR('19_Расчет_аналитики'!AX2460=0,1&lt;='01_Вводные'!$B$297),0,'19_Расчет_аналитики'!AX2460*IF('01_Вводные'!$B$239="Да",MeanMinAge01+'19_Расчет_аналитики'!AX2583*SUMIF(ThresholdAge01,"&lt;"&amp;'19_Расчет_аналитики'!AX2583,WeightedRevAge01)-SUMIF(ThresholdAge01,"&lt;"&amp;'19_Расчет_аналитики'!AX2583,WeightedMinAge01),MAX(CapacityAge01*'01_Вводные'!$B$218*'19_Расчет_аналитики'!AX2583,MeanMinAge01)))</f>
        <v/>
      </c>
      <c r="AY2488">
        <f>IF(OR('19_Расчет_аналитики'!AY2460=0,1&lt;='01_Вводные'!$B$297),0,'19_Расчет_аналитики'!AY2460*IF('01_Вводные'!$B$239="Да",MeanMinAge01+'19_Расчет_аналитики'!AY2583*SUMIF(ThresholdAge01,"&lt;"&amp;'19_Расчет_аналитики'!AY2583,WeightedRevAge01)-SUMIF(ThresholdAge01,"&lt;"&amp;'19_Расчет_аналитики'!AY2583,WeightedMinAge01),MAX(CapacityAge01*'01_Вводные'!$B$218*'19_Расчет_аналитики'!AY2583,MeanMinAge01)))</f>
        <v/>
      </c>
      <c r="AZ2488">
        <f>IF(OR('19_Расчет_аналитики'!AZ2460=0,1&lt;='01_Вводные'!$B$297),0,'19_Расчет_аналитики'!AZ2460*IF('01_Вводные'!$B$239="Да",MeanMinAge01+'19_Расчет_аналитики'!AZ2583*SUMIF(ThresholdAge01,"&lt;"&amp;'19_Расчет_аналитики'!AZ2583,WeightedRevAge01)-SUMIF(ThresholdAge01,"&lt;"&amp;'19_Расчет_аналитики'!AZ2583,WeightedMinAge01),MAX(CapacityAge01*'01_Вводные'!$B$218*'19_Расчет_аналитики'!AZ2583,MeanMinAge01)))</f>
        <v/>
      </c>
      <c r="BA2488">
        <f>IF(OR('19_Расчет_аналитики'!BA2460=0,1&lt;='01_Вводные'!$B$297),0,'19_Расчет_аналитики'!BA2460*IF('01_Вводные'!$B$239="Да",MeanMinAge01+'19_Расчет_аналитики'!BA2583*SUMIF(ThresholdAge01,"&lt;"&amp;'19_Расчет_аналитики'!BA2583,WeightedRevAge01)-SUMIF(ThresholdAge01,"&lt;"&amp;'19_Расчет_аналитики'!BA2583,WeightedMinAge01),MAX(CapacityAge01*'01_Вводные'!$B$218*'19_Расчет_аналитики'!BA2583,MeanMinAge01)))</f>
        <v/>
      </c>
      <c r="BB2488">
        <f>IF(OR('19_Расчет_аналитики'!BB2460=0,1&lt;='01_Вводные'!$B$297),0,'19_Расчет_аналитики'!BB2460*IF('01_Вводные'!$B$239="Да",MeanMinAge01+'19_Расчет_аналитики'!BB2583*SUMIF(ThresholdAge01,"&lt;"&amp;'19_Расчет_аналитики'!BB2583,WeightedRevAge01)-SUMIF(ThresholdAge01,"&lt;"&amp;'19_Расчет_аналитики'!BB2583,WeightedMinAge01),MAX(CapacityAge01*'01_Вводные'!$B$218*'19_Расчет_аналитики'!BB2583,MeanMinAge01)))</f>
        <v/>
      </c>
      <c r="BC2488">
        <f>IF(OR('19_Расчет_аналитики'!BC2460=0,1&lt;='01_Вводные'!$B$297),0,'19_Расчет_аналитики'!BC2460*IF('01_Вводные'!$B$239="Да",MeanMinAge01+'19_Расчет_аналитики'!BC2583*SUMIF(ThresholdAge01,"&lt;"&amp;'19_Расчет_аналитики'!BC2583,WeightedRevAge01)-SUMIF(ThresholdAge01,"&lt;"&amp;'19_Расчет_аналитики'!BC2583,WeightedMinAge01),MAX(CapacityAge01*'01_Вводные'!$B$218*'19_Расчет_аналитики'!BC2583,MeanMinAge01)))</f>
        <v/>
      </c>
      <c r="BD2488">
        <f>IF(OR('19_Расчет_аналитики'!BD2460=0,1&lt;='01_Вводные'!$B$297),0,'19_Расчет_аналитики'!BD2460*IF('01_Вводные'!$B$239="Да",MeanMinAge01+'19_Расчет_аналитики'!BD2583*SUMIF(ThresholdAge01,"&lt;"&amp;'19_Расчет_аналитики'!BD2583,WeightedRevAge01)-SUMIF(ThresholdAge01,"&lt;"&amp;'19_Расчет_аналитики'!BD2583,WeightedMinAge01),MAX(CapacityAge01*'01_Вводные'!$B$218*'19_Расчет_аналитики'!BD2583,MeanMinAge01)))</f>
        <v/>
      </c>
      <c r="BE2488">
        <f>IF(OR('19_Расчет_аналитики'!BE2460=0,1&lt;='01_Вводные'!$B$297),0,'19_Расчет_аналитики'!BE2460*IF('01_Вводные'!$B$239="Да",MeanMinAge01+'19_Расчет_аналитики'!BE2583*SUMIF(ThresholdAge01,"&lt;"&amp;'19_Расчет_аналитики'!BE2583,WeightedRevAge01)-SUMIF(ThresholdAge01,"&lt;"&amp;'19_Расчет_аналитики'!BE2583,WeightedMinAge01),MAX(CapacityAge01*'01_Вводные'!$B$218*'19_Расчет_аналитики'!BE2583,MeanMinAge01)))</f>
        <v/>
      </c>
      <c r="BF2488">
        <f>IF(OR('19_Расчет_аналитики'!BF2460=0,1&lt;='01_Вводные'!$B$297),0,'19_Расчет_аналитики'!BF2460*IF('01_Вводные'!$B$239="Да",MeanMinAge01+'19_Расчет_аналитики'!BF2583*SUMIF(ThresholdAge01,"&lt;"&amp;'19_Расчет_аналитики'!BF2583,WeightedRevAge01)-SUMIF(ThresholdAge01,"&lt;"&amp;'19_Расчет_аналитики'!BF2583,WeightedMinAge01),MAX(CapacityAge01*'01_Вводные'!$B$218*'19_Расчет_аналитики'!BF2583,MeanMinAge01)))</f>
        <v/>
      </c>
      <c r="BG2488">
        <f>IF(OR('19_Расчет_аналитики'!BG2460=0,1&lt;='01_Вводные'!$B$297),0,'19_Расчет_аналитики'!BG2460*IF('01_Вводные'!$B$239="Да",MeanMinAge01+'19_Расчет_аналитики'!BG2583*SUMIF(ThresholdAge01,"&lt;"&amp;'19_Расчет_аналитики'!BG2583,WeightedRevAge01)-SUMIF(ThresholdAge01,"&lt;"&amp;'19_Расчет_аналитики'!BG2583,WeightedMinAge01),MAX(CapacityAge01*'01_Вводные'!$B$218*'19_Расчет_аналитики'!BG2583,MeanMinAge01)))</f>
        <v/>
      </c>
      <c r="BH2488">
        <f>IF(OR('19_Расчет_аналитики'!BH2460=0,1&lt;='01_Вводные'!$B$297),0,'19_Расчет_аналитики'!BH2460*IF('01_Вводные'!$B$239="Да",MeanMinAge01+'19_Расчет_аналитики'!BH2583*SUMIF(ThresholdAge01,"&lt;"&amp;'19_Расчет_аналитики'!BH2583,WeightedRevAge01)-SUMIF(ThresholdAge01,"&lt;"&amp;'19_Расчет_аналитики'!BH2583,WeightedMinAge01),MAX(CapacityAge01*'01_Вводные'!$B$218*'19_Расчет_аналитики'!BH2583,MeanMinAge01)))</f>
        <v/>
      </c>
      <c r="BI2488">
        <f>IF(OR('19_Расчет_аналитики'!BI2460=0,1&lt;='01_Вводные'!$B$297),0,'19_Расчет_аналитики'!BI2460*IF('01_Вводные'!$B$239="Да",MeanMinAge01+'19_Расчет_аналитики'!BI2583*SUMIF(ThresholdAge01,"&lt;"&amp;'19_Расчет_аналитики'!BI2583,WeightedRevAge01)-SUMIF(ThresholdAge01,"&lt;"&amp;'19_Расчет_аналитики'!BI2583,WeightedMinAge01),MAX(CapacityAge01*'01_Вводные'!$B$218*'19_Расчет_аналитики'!BI2583,MeanMinAge01)))</f>
        <v/>
      </c>
      <c r="BJ2488">
        <f>IF(OR('19_Расчет_аналитики'!BJ2460=0,1&lt;='01_Вводные'!$B$297),0,'19_Расчет_аналитики'!BJ2460*IF('01_Вводные'!$B$239="Да",MeanMinAge01+'19_Расчет_аналитики'!BJ2583*SUMIF(ThresholdAge01,"&lt;"&amp;'19_Расчет_аналитики'!BJ2583,WeightedRevAge01)-SUMIF(ThresholdAge01,"&lt;"&amp;'19_Расчет_аналитики'!BJ2583,WeightedMinAge01),MAX(CapacityAge01*'01_Вводные'!$B$218*'19_Расчет_аналитики'!BJ2583,MeanMinAge01)))</f>
        <v/>
      </c>
      <c r="BK2488">
        <f>IF(OR('19_Расчет_аналитики'!BK2460=0,1&lt;='01_Вводные'!$B$297),0,'19_Расчет_аналитики'!BK2460*IF('01_Вводные'!$B$239="Да",MeanMinAge01+'19_Расчет_аналитики'!BK2583*SUMIF(ThresholdAge01,"&lt;"&amp;'19_Расчет_аналитики'!BK2583,WeightedRevAge01)-SUMIF(ThresholdAge01,"&lt;"&amp;'19_Расчет_аналитики'!BK2583,WeightedMinAge01),MAX(CapacityAge01*'01_Вводные'!$B$218*'19_Расчет_аналитики'!BK2583,MeanMinAge01)))</f>
        <v/>
      </c>
      <c r="BL2488">
        <f>IF(OR('19_Расчет_аналитики'!BL2460=0,1&lt;='01_Вводные'!$B$297),0,'19_Расчет_аналитики'!BL2460*IF('01_Вводные'!$B$239="Да",MeanMinAge01+'19_Расчет_аналитики'!BL2583*SUMIF(ThresholdAge01,"&lt;"&amp;'19_Расчет_аналитики'!BL2583,WeightedRevAge01)-SUMIF(ThresholdAge01,"&lt;"&amp;'19_Расчет_аналитики'!BL2583,WeightedMinAge01),MAX(CapacityAge01*'01_Вводные'!$B$218*'19_Расчет_аналитики'!BL2583,MeanMinAge01)))</f>
        <v/>
      </c>
      <c r="BM2488">
        <f>IF(OR('19_Расчет_аналитики'!BM2460=0,1&lt;='01_Вводные'!$B$297),0,'19_Расчет_аналитики'!BM2460*IF('01_Вводные'!$B$239="Да",MeanMinAge01+'19_Расчет_аналитики'!BM2583*SUMIF(ThresholdAge01,"&lt;"&amp;'19_Расчет_аналитики'!BM2583,WeightedRevAge01)-SUMIF(ThresholdAge01,"&lt;"&amp;'19_Расчет_аналитики'!BM2583,WeightedMinAge01),MAX(CapacityAge01*'01_Вводные'!$B$218*'19_Расчет_аналитики'!BM2583,MeanMinAge01)))</f>
        <v/>
      </c>
      <c r="BN2488">
        <f>IF(OR('19_Расчет_аналитики'!BN2460=0,1&lt;='01_Вводные'!$B$297),0,'19_Расчет_аналитики'!BN2460*IF('01_Вводные'!$B$239="Да",MeanMinAge01+'19_Расчет_аналитики'!BN2583*SUMIF(ThresholdAge01,"&lt;"&amp;'19_Расчет_аналитики'!BN2583,WeightedRevAge01)-SUMIF(ThresholdAge01,"&lt;"&amp;'19_Расчет_аналитики'!BN2583,WeightedMinAge01),MAX(CapacityAge01*'01_Вводные'!$B$218*'19_Расчет_аналитики'!BN2583,MeanMinAge01)))</f>
        <v/>
      </c>
      <c r="BO2488">
        <f>IF(OR('19_Расчет_аналитики'!BO2460=0,1&lt;='01_Вводные'!$B$297),0,'19_Расчет_аналитики'!BO2460*IF('01_Вводные'!$B$239="Да",MeanMinAge01+'19_Расчет_аналитики'!BO2583*SUMIF(ThresholdAge01,"&lt;"&amp;'19_Расчет_аналитики'!BO2583,WeightedRevAge01)-SUMIF(ThresholdAge01,"&lt;"&amp;'19_Расчет_аналитики'!BO2583,WeightedMinAge01),MAX(CapacityAge01*'01_Вводные'!$B$218*'19_Расчет_аналитики'!BO2583,MeanMinAge01)))</f>
        <v/>
      </c>
    </row>
    <row r="2489">
      <c r="B2489">
        <f>IF(OR('06_Сеть_и_дети'!B82=0,2&lt;='01_Вводные'!$B$297),0,'06_Сеть_и_дети'!B82*IF('01_Вводные'!$B$239="Да",MeanMinAge02+'19_Расчет_аналитики'!B2583*SUMIF(ThresholdAge02,"&lt;"&amp;'19_Расчет_аналитики'!B2583,WeightedRevAge02)-SUMIF(ThresholdAge02,"&lt;"&amp;'19_Расчет_аналитики'!B2583,WeightedMinAge02),MAX(CapacityAge02*'01_Вводные'!$B$218*'19_Расчет_аналитики'!B2583,MeanMinAge02)))</f>
        <v/>
      </c>
      <c r="C2489">
        <f>IF(OR('19_Расчет_аналитики'!C2461=0,2&lt;='01_Вводные'!$B$297),0,'19_Расчет_аналитики'!C2461*IF('01_Вводные'!$B$239="Да",MeanMinAge02+'19_Расчет_аналитики'!C2583*SUMIF(ThresholdAge02,"&lt;"&amp;'19_Расчет_аналитики'!C2583,WeightedRevAge02)-SUMIF(ThresholdAge02,"&lt;"&amp;'19_Расчет_аналитики'!C2583,WeightedMinAge02),MAX(CapacityAge02*'01_Вводные'!$B$218*'19_Расчет_аналитики'!C2583,MeanMinAge02)))</f>
        <v/>
      </c>
      <c r="D2489">
        <f>IF(OR('19_Расчет_аналитики'!D2461=0,2&lt;='01_Вводные'!$B$297),0,'19_Расчет_аналитики'!D2461*IF('01_Вводные'!$B$239="Да",MeanMinAge02+'19_Расчет_аналитики'!D2583*SUMIF(ThresholdAge02,"&lt;"&amp;'19_Расчет_аналитики'!D2583,WeightedRevAge02)-SUMIF(ThresholdAge02,"&lt;"&amp;'19_Расчет_аналитики'!D2583,WeightedMinAge02),MAX(CapacityAge02*'01_Вводные'!$B$218*'19_Расчет_аналитики'!D2583,MeanMinAge02)))</f>
        <v/>
      </c>
      <c r="E2489">
        <f>IF(OR('19_Расчет_аналитики'!E2461=0,2&lt;='01_Вводные'!$B$297),0,'19_Расчет_аналитики'!E2461*IF('01_Вводные'!$B$239="Да",MeanMinAge02+'19_Расчет_аналитики'!E2583*SUMIF(ThresholdAge02,"&lt;"&amp;'19_Расчет_аналитики'!E2583,WeightedRevAge02)-SUMIF(ThresholdAge02,"&lt;"&amp;'19_Расчет_аналитики'!E2583,WeightedMinAge02),MAX(CapacityAge02*'01_Вводные'!$B$218*'19_Расчет_аналитики'!E2583,MeanMinAge02)))</f>
        <v/>
      </c>
      <c r="F2489">
        <f>IF(OR('19_Расчет_аналитики'!F2461=0,2&lt;='01_Вводные'!$B$297),0,'19_Расчет_аналитики'!F2461*IF('01_Вводные'!$B$239="Да",MeanMinAge02+'19_Расчет_аналитики'!F2583*SUMIF(ThresholdAge02,"&lt;"&amp;'19_Расчет_аналитики'!F2583,WeightedRevAge02)-SUMIF(ThresholdAge02,"&lt;"&amp;'19_Расчет_аналитики'!F2583,WeightedMinAge02),MAX(CapacityAge02*'01_Вводные'!$B$218*'19_Расчет_аналитики'!F2583,MeanMinAge02)))</f>
        <v/>
      </c>
      <c r="G2489">
        <f>IF(OR('19_Расчет_аналитики'!G2461=0,2&lt;='01_Вводные'!$B$297),0,'19_Расчет_аналитики'!G2461*IF('01_Вводные'!$B$239="Да",MeanMinAge02+'19_Расчет_аналитики'!G2583*SUMIF(ThresholdAge02,"&lt;"&amp;'19_Расчет_аналитики'!G2583,WeightedRevAge02)-SUMIF(ThresholdAge02,"&lt;"&amp;'19_Расчет_аналитики'!G2583,WeightedMinAge02),MAX(CapacityAge02*'01_Вводные'!$B$218*'19_Расчет_аналитики'!G2583,MeanMinAge02)))</f>
        <v/>
      </c>
      <c r="H2489">
        <f>IF(OR('19_Расчет_аналитики'!H2461=0,2&lt;='01_Вводные'!$B$297),0,'19_Расчет_аналитики'!H2461*IF('01_Вводные'!$B$239="Да",MeanMinAge02+'19_Расчет_аналитики'!H2583*SUMIF(ThresholdAge02,"&lt;"&amp;'19_Расчет_аналитики'!H2583,WeightedRevAge02)-SUMIF(ThresholdAge02,"&lt;"&amp;'19_Расчет_аналитики'!H2583,WeightedMinAge02),MAX(CapacityAge02*'01_Вводные'!$B$218*'19_Расчет_аналитики'!H2583,MeanMinAge02)))</f>
        <v/>
      </c>
      <c r="I2489">
        <f>IF(OR('19_Расчет_аналитики'!I2461=0,2&lt;='01_Вводные'!$B$297),0,'19_Расчет_аналитики'!I2461*IF('01_Вводные'!$B$239="Да",MeanMinAge02+'19_Расчет_аналитики'!I2583*SUMIF(ThresholdAge02,"&lt;"&amp;'19_Расчет_аналитики'!I2583,WeightedRevAge02)-SUMIF(ThresholdAge02,"&lt;"&amp;'19_Расчет_аналитики'!I2583,WeightedMinAge02),MAX(CapacityAge02*'01_Вводные'!$B$218*'19_Расчет_аналитики'!I2583,MeanMinAge02)))</f>
        <v/>
      </c>
      <c r="J2489">
        <f>IF(OR('19_Расчет_аналитики'!J2461=0,2&lt;='01_Вводные'!$B$297),0,'19_Расчет_аналитики'!J2461*IF('01_Вводные'!$B$239="Да",MeanMinAge02+'19_Расчет_аналитики'!J2583*SUMIF(ThresholdAge02,"&lt;"&amp;'19_Расчет_аналитики'!J2583,WeightedRevAge02)-SUMIF(ThresholdAge02,"&lt;"&amp;'19_Расчет_аналитики'!J2583,WeightedMinAge02),MAX(CapacityAge02*'01_Вводные'!$B$218*'19_Расчет_аналитики'!J2583,MeanMinAge02)))</f>
        <v/>
      </c>
      <c r="K2489">
        <f>IF(OR('19_Расчет_аналитики'!K2461=0,2&lt;='01_Вводные'!$B$297),0,'19_Расчет_аналитики'!K2461*IF('01_Вводные'!$B$239="Да",MeanMinAge02+'19_Расчет_аналитики'!K2583*SUMIF(ThresholdAge02,"&lt;"&amp;'19_Расчет_аналитики'!K2583,WeightedRevAge02)-SUMIF(ThresholdAge02,"&lt;"&amp;'19_Расчет_аналитики'!K2583,WeightedMinAge02),MAX(CapacityAge02*'01_Вводные'!$B$218*'19_Расчет_аналитики'!K2583,MeanMinAge02)))</f>
        <v/>
      </c>
      <c r="L2489">
        <f>IF(OR('19_Расчет_аналитики'!L2461=0,2&lt;='01_Вводные'!$B$297),0,'19_Расчет_аналитики'!L2461*IF('01_Вводные'!$B$239="Да",MeanMinAge02+'19_Расчет_аналитики'!L2583*SUMIF(ThresholdAge02,"&lt;"&amp;'19_Расчет_аналитики'!L2583,WeightedRevAge02)-SUMIF(ThresholdAge02,"&lt;"&amp;'19_Расчет_аналитики'!L2583,WeightedMinAge02),MAX(CapacityAge02*'01_Вводные'!$B$218*'19_Расчет_аналитики'!L2583,MeanMinAge02)))</f>
        <v/>
      </c>
      <c r="M2489">
        <f>IF(OR('19_Расчет_аналитики'!M2461=0,2&lt;='01_Вводные'!$B$297),0,'19_Расчет_аналитики'!M2461*IF('01_Вводные'!$B$239="Да",MeanMinAge02+'19_Расчет_аналитики'!M2583*SUMIF(ThresholdAge02,"&lt;"&amp;'19_Расчет_аналитики'!M2583,WeightedRevAge02)-SUMIF(ThresholdAge02,"&lt;"&amp;'19_Расчет_аналитики'!M2583,WeightedMinAge02),MAX(CapacityAge02*'01_Вводные'!$B$218*'19_Расчет_аналитики'!M2583,MeanMinAge02)))</f>
        <v/>
      </c>
      <c r="N2489">
        <f>IF(OR('19_Расчет_аналитики'!N2461=0,2&lt;='01_Вводные'!$B$297),0,'19_Расчет_аналитики'!N2461*IF('01_Вводные'!$B$239="Да",MeanMinAge02+'19_Расчет_аналитики'!N2583*SUMIF(ThresholdAge02,"&lt;"&amp;'19_Расчет_аналитики'!N2583,WeightedRevAge02)-SUMIF(ThresholdAge02,"&lt;"&amp;'19_Расчет_аналитики'!N2583,WeightedMinAge02),MAX(CapacityAge02*'01_Вводные'!$B$218*'19_Расчет_аналитики'!N2583,MeanMinAge02)))</f>
        <v/>
      </c>
      <c r="O2489">
        <f>IF(OR('19_Расчет_аналитики'!O2461=0,2&lt;='01_Вводные'!$B$297),0,'19_Расчет_аналитики'!O2461*IF('01_Вводные'!$B$239="Да",MeanMinAge02+'19_Расчет_аналитики'!O2583*SUMIF(ThresholdAge02,"&lt;"&amp;'19_Расчет_аналитики'!O2583,WeightedRevAge02)-SUMIF(ThresholdAge02,"&lt;"&amp;'19_Расчет_аналитики'!O2583,WeightedMinAge02),MAX(CapacityAge02*'01_Вводные'!$B$218*'19_Расчет_аналитики'!O2583,MeanMinAge02)))</f>
        <v/>
      </c>
      <c r="P2489">
        <f>IF(OR('19_Расчет_аналитики'!P2461=0,2&lt;='01_Вводные'!$B$297),0,'19_Расчет_аналитики'!P2461*IF('01_Вводные'!$B$239="Да",MeanMinAge02+'19_Расчет_аналитики'!P2583*SUMIF(ThresholdAge02,"&lt;"&amp;'19_Расчет_аналитики'!P2583,WeightedRevAge02)-SUMIF(ThresholdAge02,"&lt;"&amp;'19_Расчет_аналитики'!P2583,WeightedMinAge02),MAX(CapacityAge02*'01_Вводные'!$B$218*'19_Расчет_аналитики'!P2583,MeanMinAge02)))</f>
        <v/>
      </c>
      <c r="Q2489">
        <f>IF(OR('19_Расчет_аналитики'!Q2461=0,2&lt;='01_Вводные'!$B$297),0,'19_Расчет_аналитики'!Q2461*IF('01_Вводные'!$B$239="Да",MeanMinAge02+'19_Расчет_аналитики'!Q2583*SUMIF(ThresholdAge02,"&lt;"&amp;'19_Расчет_аналитики'!Q2583,WeightedRevAge02)-SUMIF(ThresholdAge02,"&lt;"&amp;'19_Расчет_аналитики'!Q2583,WeightedMinAge02),MAX(CapacityAge02*'01_Вводные'!$B$218*'19_Расчет_аналитики'!Q2583,MeanMinAge02)))</f>
        <v/>
      </c>
      <c r="R2489">
        <f>IF(OR('19_Расчет_аналитики'!R2461=0,2&lt;='01_Вводные'!$B$297),0,'19_Расчет_аналитики'!R2461*IF('01_Вводные'!$B$239="Да",MeanMinAge02+'19_Расчет_аналитики'!R2583*SUMIF(ThresholdAge02,"&lt;"&amp;'19_Расчет_аналитики'!R2583,WeightedRevAge02)-SUMIF(ThresholdAge02,"&lt;"&amp;'19_Расчет_аналитики'!R2583,WeightedMinAge02),MAX(CapacityAge02*'01_Вводные'!$B$218*'19_Расчет_аналитики'!R2583,MeanMinAge02)))</f>
        <v/>
      </c>
      <c r="S2489">
        <f>IF(OR('19_Расчет_аналитики'!S2461=0,2&lt;='01_Вводные'!$B$297),0,'19_Расчет_аналитики'!S2461*IF('01_Вводные'!$B$239="Да",MeanMinAge02+'19_Расчет_аналитики'!S2583*SUMIF(ThresholdAge02,"&lt;"&amp;'19_Расчет_аналитики'!S2583,WeightedRevAge02)-SUMIF(ThresholdAge02,"&lt;"&amp;'19_Расчет_аналитики'!S2583,WeightedMinAge02),MAX(CapacityAge02*'01_Вводные'!$B$218*'19_Расчет_аналитики'!S2583,MeanMinAge02)))</f>
        <v/>
      </c>
      <c r="T2489">
        <f>IF(OR('19_Расчет_аналитики'!T2461=0,2&lt;='01_Вводные'!$B$297),0,'19_Расчет_аналитики'!T2461*IF('01_Вводные'!$B$239="Да",MeanMinAge02+'19_Расчет_аналитики'!T2583*SUMIF(ThresholdAge02,"&lt;"&amp;'19_Расчет_аналитики'!T2583,WeightedRevAge02)-SUMIF(ThresholdAge02,"&lt;"&amp;'19_Расчет_аналитики'!T2583,WeightedMinAge02),MAX(CapacityAge02*'01_Вводные'!$B$218*'19_Расчет_аналитики'!T2583,MeanMinAge02)))</f>
        <v/>
      </c>
      <c r="U2489">
        <f>IF(OR('19_Расчет_аналитики'!U2461=0,2&lt;='01_Вводные'!$B$297),0,'19_Расчет_аналитики'!U2461*IF('01_Вводные'!$B$239="Да",MeanMinAge02+'19_Расчет_аналитики'!U2583*SUMIF(ThresholdAge02,"&lt;"&amp;'19_Расчет_аналитики'!U2583,WeightedRevAge02)-SUMIF(ThresholdAge02,"&lt;"&amp;'19_Расчет_аналитики'!U2583,WeightedMinAge02),MAX(CapacityAge02*'01_Вводные'!$B$218*'19_Расчет_аналитики'!U2583,MeanMinAge02)))</f>
        <v/>
      </c>
      <c r="V2489">
        <f>IF(OR('19_Расчет_аналитики'!V2461=0,2&lt;='01_Вводные'!$B$297),0,'19_Расчет_аналитики'!V2461*IF('01_Вводные'!$B$239="Да",MeanMinAge02+'19_Расчет_аналитики'!V2583*SUMIF(ThresholdAge02,"&lt;"&amp;'19_Расчет_аналитики'!V2583,WeightedRevAge02)-SUMIF(ThresholdAge02,"&lt;"&amp;'19_Расчет_аналитики'!V2583,WeightedMinAge02),MAX(CapacityAge02*'01_Вводные'!$B$218*'19_Расчет_аналитики'!V2583,MeanMinAge02)))</f>
        <v/>
      </c>
      <c r="W2489">
        <f>IF(OR('19_Расчет_аналитики'!W2461=0,2&lt;='01_Вводные'!$B$297),0,'19_Расчет_аналитики'!W2461*IF('01_Вводные'!$B$239="Да",MeanMinAge02+'19_Расчет_аналитики'!W2583*SUMIF(ThresholdAge02,"&lt;"&amp;'19_Расчет_аналитики'!W2583,WeightedRevAge02)-SUMIF(ThresholdAge02,"&lt;"&amp;'19_Расчет_аналитики'!W2583,WeightedMinAge02),MAX(CapacityAge02*'01_Вводные'!$B$218*'19_Расчет_аналитики'!W2583,MeanMinAge02)))</f>
        <v/>
      </c>
      <c r="X2489">
        <f>IF(OR('19_Расчет_аналитики'!X2461=0,2&lt;='01_Вводные'!$B$297),0,'19_Расчет_аналитики'!X2461*IF('01_Вводные'!$B$239="Да",MeanMinAge02+'19_Расчет_аналитики'!X2583*SUMIF(ThresholdAge02,"&lt;"&amp;'19_Расчет_аналитики'!X2583,WeightedRevAge02)-SUMIF(ThresholdAge02,"&lt;"&amp;'19_Расчет_аналитики'!X2583,WeightedMinAge02),MAX(CapacityAge02*'01_Вводные'!$B$218*'19_Расчет_аналитики'!X2583,MeanMinAge02)))</f>
        <v/>
      </c>
      <c r="Y2489">
        <f>IF(OR('19_Расчет_аналитики'!Y2461=0,2&lt;='01_Вводные'!$B$297),0,'19_Расчет_аналитики'!Y2461*IF('01_Вводные'!$B$239="Да",MeanMinAge02+'19_Расчет_аналитики'!Y2583*SUMIF(ThresholdAge02,"&lt;"&amp;'19_Расчет_аналитики'!Y2583,WeightedRevAge02)-SUMIF(ThresholdAge02,"&lt;"&amp;'19_Расчет_аналитики'!Y2583,WeightedMinAge02),MAX(CapacityAge02*'01_Вводные'!$B$218*'19_Расчет_аналитики'!Y2583,MeanMinAge02)))</f>
        <v/>
      </c>
      <c r="Z2489">
        <f>IF(OR('19_Расчет_аналитики'!Z2461=0,2&lt;='01_Вводные'!$B$297),0,'19_Расчет_аналитики'!Z2461*IF('01_Вводные'!$B$239="Да",MeanMinAge02+'19_Расчет_аналитики'!Z2583*SUMIF(ThresholdAge02,"&lt;"&amp;'19_Расчет_аналитики'!Z2583,WeightedRevAge02)-SUMIF(ThresholdAge02,"&lt;"&amp;'19_Расчет_аналитики'!Z2583,WeightedMinAge02),MAX(CapacityAge02*'01_Вводные'!$B$218*'19_Расчет_аналитики'!Z2583,MeanMinAge02)))</f>
        <v/>
      </c>
      <c r="AA2489">
        <f>IF(OR('19_Расчет_аналитики'!AA2461=0,2&lt;='01_Вводные'!$B$297),0,'19_Расчет_аналитики'!AA2461*IF('01_Вводные'!$B$239="Да",MeanMinAge02+'19_Расчет_аналитики'!AA2583*SUMIF(ThresholdAge02,"&lt;"&amp;'19_Расчет_аналитики'!AA2583,WeightedRevAge02)-SUMIF(ThresholdAge02,"&lt;"&amp;'19_Расчет_аналитики'!AA2583,WeightedMinAge02),MAX(CapacityAge02*'01_Вводные'!$B$218*'19_Расчет_аналитики'!AA2583,MeanMinAge02)))</f>
        <v/>
      </c>
      <c r="AB2489">
        <f>IF(OR('19_Расчет_аналитики'!AB2461=0,2&lt;='01_Вводные'!$B$297),0,'19_Расчет_аналитики'!AB2461*IF('01_Вводные'!$B$239="Да",MeanMinAge02+'19_Расчет_аналитики'!AB2583*SUMIF(ThresholdAge02,"&lt;"&amp;'19_Расчет_аналитики'!AB2583,WeightedRevAge02)-SUMIF(ThresholdAge02,"&lt;"&amp;'19_Расчет_аналитики'!AB2583,WeightedMinAge02),MAX(CapacityAge02*'01_Вводные'!$B$218*'19_Расчет_аналитики'!AB2583,MeanMinAge02)))</f>
        <v/>
      </c>
      <c r="AC2489">
        <f>IF(OR('19_Расчет_аналитики'!AC2461=0,2&lt;='01_Вводные'!$B$297),0,'19_Расчет_аналитики'!AC2461*IF('01_Вводные'!$B$239="Да",MeanMinAge02+'19_Расчет_аналитики'!AC2583*SUMIF(ThresholdAge02,"&lt;"&amp;'19_Расчет_аналитики'!AC2583,WeightedRevAge02)-SUMIF(ThresholdAge02,"&lt;"&amp;'19_Расчет_аналитики'!AC2583,WeightedMinAge02),MAX(CapacityAge02*'01_Вводные'!$B$218*'19_Расчет_аналитики'!AC2583,MeanMinAge02)))</f>
        <v/>
      </c>
      <c r="AD2489">
        <f>IF(OR('19_Расчет_аналитики'!AD2461=0,2&lt;='01_Вводные'!$B$297),0,'19_Расчет_аналитики'!AD2461*IF('01_Вводные'!$B$239="Да",MeanMinAge02+'19_Расчет_аналитики'!AD2583*SUMIF(ThresholdAge02,"&lt;"&amp;'19_Расчет_аналитики'!AD2583,WeightedRevAge02)-SUMIF(ThresholdAge02,"&lt;"&amp;'19_Расчет_аналитики'!AD2583,WeightedMinAge02),MAX(CapacityAge02*'01_Вводные'!$B$218*'19_Расчет_аналитики'!AD2583,MeanMinAge02)))</f>
        <v/>
      </c>
      <c r="AE2489">
        <f>IF(OR('19_Расчет_аналитики'!AE2461=0,2&lt;='01_Вводные'!$B$297),0,'19_Расчет_аналитики'!AE2461*IF('01_Вводные'!$B$239="Да",MeanMinAge02+'19_Расчет_аналитики'!AE2583*SUMIF(ThresholdAge02,"&lt;"&amp;'19_Расчет_аналитики'!AE2583,WeightedRevAge02)-SUMIF(ThresholdAge02,"&lt;"&amp;'19_Расчет_аналитики'!AE2583,WeightedMinAge02),MAX(CapacityAge02*'01_Вводные'!$B$218*'19_Расчет_аналитики'!AE2583,MeanMinAge02)))</f>
        <v/>
      </c>
      <c r="AF2489">
        <f>IF(OR('19_Расчет_аналитики'!AF2461=0,2&lt;='01_Вводные'!$B$297),0,'19_Расчет_аналитики'!AF2461*IF('01_Вводные'!$B$239="Да",MeanMinAge02+'19_Расчет_аналитики'!AF2583*SUMIF(ThresholdAge02,"&lt;"&amp;'19_Расчет_аналитики'!AF2583,WeightedRevAge02)-SUMIF(ThresholdAge02,"&lt;"&amp;'19_Расчет_аналитики'!AF2583,WeightedMinAge02),MAX(CapacityAge02*'01_Вводные'!$B$218*'19_Расчет_аналитики'!AF2583,MeanMinAge02)))</f>
        <v/>
      </c>
      <c r="AG2489">
        <f>IF(OR('19_Расчет_аналитики'!AG2461=0,2&lt;='01_Вводные'!$B$297),0,'19_Расчет_аналитики'!AG2461*IF('01_Вводные'!$B$239="Да",MeanMinAge02+'19_Расчет_аналитики'!AG2583*SUMIF(ThresholdAge02,"&lt;"&amp;'19_Расчет_аналитики'!AG2583,WeightedRevAge02)-SUMIF(ThresholdAge02,"&lt;"&amp;'19_Расчет_аналитики'!AG2583,WeightedMinAge02),MAX(CapacityAge02*'01_Вводные'!$B$218*'19_Расчет_аналитики'!AG2583,MeanMinAge02)))</f>
        <v/>
      </c>
      <c r="AH2489">
        <f>IF(OR('19_Расчет_аналитики'!AH2461=0,2&lt;='01_Вводные'!$B$297),0,'19_Расчет_аналитики'!AH2461*IF('01_Вводные'!$B$239="Да",MeanMinAge02+'19_Расчет_аналитики'!AH2583*SUMIF(ThresholdAge02,"&lt;"&amp;'19_Расчет_аналитики'!AH2583,WeightedRevAge02)-SUMIF(ThresholdAge02,"&lt;"&amp;'19_Расчет_аналитики'!AH2583,WeightedMinAge02),MAX(CapacityAge02*'01_Вводные'!$B$218*'19_Расчет_аналитики'!AH2583,MeanMinAge02)))</f>
        <v/>
      </c>
      <c r="AI2489">
        <f>IF(OR('19_Расчет_аналитики'!AI2461=0,2&lt;='01_Вводные'!$B$297),0,'19_Расчет_аналитики'!AI2461*IF('01_Вводные'!$B$239="Да",MeanMinAge02+'19_Расчет_аналитики'!AI2583*SUMIF(ThresholdAge02,"&lt;"&amp;'19_Расчет_аналитики'!AI2583,WeightedRevAge02)-SUMIF(ThresholdAge02,"&lt;"&amp;'19_Расчет_аналитики'!AI2583,WeightedMinAge02),MAX(CapacityAge02*'01_Вводные'!$B$218*'19_Расчет_аналитики'!AI2583,MeanMinAge02)))</f>
        <v/>
      </c>
      <c r="AJ2489">
        <f>IF(OR('19_Расчет_аналитики'!AJ2461=0,2&lt;='01_Вводные'!$B$297),0,'19_Расчет_аналитики'!AJ2461*IF('01_Вводные'!$B$239="Да",MeanMinAge02+'19_Расчет_аналитики'!AJ2583*SUMIF(ThresholdAge02,"&lt;"&amp;'19_Расчет_аналитики'!AJ2583,WeightedRevAge02)-SUMIF(ThresholdAge02,"&lt;"&amp;'19_Расчет_аналитики'!AJ2583,WeightedMinAge02),MAX(CapacityAge02*'01_Вводные'!$B$218*'19_Расчет_аналитики'!AJ2583,MeanMinAge02)))</f>
        <v/>
      </c>
      <c r="AK2489">
        <f>IF(OR('19_Расчет_аналитики'!AK2461=0,2&lt;='01_Вводные'!$B$297),0,'19_Расчет_аналитики'!AK2461*IF('01_Вводные'!$B$239="Да",MeanMinAge02+'19_Расчет_аналитики'!AK2583*SUMIF(ThresholdAge02,"&lt;"&amp;'19_Расчет_аналитики'!AK2583,WeightedRevAge02)-SUMIF(ThresholdAge02,"&lt;"&amp;'19_Расчет_аналитики'!AK2583,WeightedMinAge02),MAX(CapacityAge02*'01_Вводные'!$B$218*'19_Расчет_аналитики'!AK2583,MeanMinAge02)))</f>
        <v/>
      </c>
      <c r="AL2489">
        <f>IF(OR('19_Расчет_аналитики'!AL2461=0,2&lt;='01_Вводные'!$B$297),0,'19_Расчет_аналитики'!AL2461*IF('01_Вводные'!$B$239="Да",MeanMinAge02+'19_Расчет_аналитики'!AL2583*SUMIF(ThresholdAge02,"&lt;"&amp;'19_Расчет_аналитики'!AL2583,WeightedRevAge02)-SUMIF(ThresholdAge02,"&lt;"&amp;'19_Расчет_аналитики'!AL2583,WeightedMinAge02),MAX(CapacityAge02*'01_Вводные'!$B$218*'19_Расчет_аналитики'!AL2583,MeanMinAge02)))</f>
        <v/>
      </c>
      <c r="AM2489">
        <f>IF(OR('19_Расчет_аналитики'!AM2461=0,2&lt;='01_Вводные'!$B$297),0,'19_Расчет_аналитики'!AM2461*IF('01_Вводные'!$B$239="Да",MeanMinAge02+'19_Расчет_аналитики'!AM2583*SUMIF(ThresholdAge02,"&lt;"&amp;'19_Расчет_аналитики'!AM2583,WeightedRevAge02)-SUMIF(ThresholdAge02,"&lt;"&amp;'19_Расчет_аналитики'!AM2583,WeightedMinAge02),MAX(CapacityAge02*'01_Вводные'!$B$218*'19_Расчет_аналитики'!AM2583,MeanMinAge02)))</f>
        <v/>
      </c>
      <c r="AN2489">
        <f>IF(OR('19_Расчет_аналитики'!AN2461=0,2&lt;='01_Вводные'!$B$297),0,'19_Расчет_аналитики'!AN2461*IF('01_Вводные'!$B$239="Да",MeanMinAge02+'19_Расчет_аналитики'!AN2583*SUMIF(ThresholdAge02,"&lt;"&amp;'19_Расчет_аналитики'!AN2583,WeightedRevAge02)-SUMIF(ThresholdAge02,"&lt;"&amp;'19_Расчет_аналитики'!AN2583,WeightedMinAge02),MAX(CapacityAge02*'01_Вводные'!$B$218*'19_Расчет_аналитики'!AN2583,MeanMinAge02)))</f>
        <v/>
      </c>
      <c r="AO2489">
        <f>IF(OR('19_Расчет_аналитики'!AO2461=0,2&lt;='01_Вводные'!$B$297),0,'19_Расчет_аналитики'!AO2461*IF('01_Вводные'!$B$239="Да",MeanMinAge02+'19_Расчет_аналитики'!AO2583*SUMIF(ThresholdAge02,"&lt;"&amp;'19_Расчет_аналитики'!AO2583,WeightedRevAge02)-SUMIF(ThresholdAge02,"&lt;"&amp;'19_Расчет_аналитики'!AO2583,WeightedMinAge02),MAX(CapacityAge02*'01_Вводные'!$B$218*'19_Расчет_аналитики'!AO2583,MeanMinAge02)))</f>
        <v/>
      </c>
      <c r="AP2489">
        <f>IF(OR('19_Расчет_аналитики'!AP2461=0,2&lt;='01_Вводные'!$B$297),0,'19_Расчет_аналитики'!AP2461*IF('01_Вводные'!$B$239="Да",MeanMinAge02+'19_Расчет_аналитики'!AP2583*SUMIF(ThresholdAge02,"&lt;"&amp;'19_Расчет_аналитики'!AP2583,WeightedRevAge02)-SUMIF(ThresholdAge02,"&lt;"&amp;'19_Расчет_аналитики'!AP2583,WeightedMinAge02),MAX(CapacityAge02*'01_Вводные'!$B$218*'19_Расчет_аналитики'!AP2583,MeanMinAge02)))</f>
        <v/>
      </c>
      <c r="AQ2489">
        <f>IF(OR('19_Расчет_аналитики'!AQ2461=0,2&lt;='01_Вводные'!$B$297),0,'19_Расчет_аналитики'!AQ2461*IF('01_Вводные'!$B$239="Да",MeanMinAge02+'19_Расчет_аналитики'!AQ2583*SUMIF(ThresholdAge02,"&lt;"&amp;'19_Расчет_аналитики'!AQ2583,WeightedRevAge02)-SUMIF(ThresholdAge02,"&lt;"&amp;'19_Расчет_аналитики'!AQ2583,WeightedMinAge02),MAX(CapacityAge02*'01_Вводные'!$B$218*'19_Расчет_аналитики'!AQ2583,MeanMinAge02)))</f>
        <v/>
      </c>
      <c r="AR2489">
        <f>IF(OR('19_Расчет_аналитики'!AR2461=0,2&lt;='01_Вводные'!$B$297),0,'19_Расчет_аналитики'!AR2461*IF('01_Вводные'!$B$239="Да",MeanMinAge02+'19_Расчет_аналитики'!AR2583*SUMIF(ThresholdAge02,"&lt;"&amp;'19_Расчет_аналитики'!AR2583,WeightedRevAge02)-SUMIF(ThresholdAge02,"&lt;"&amp;'19_Расчет_аналитики'!AR2583,WeightedMinAge02),MAX(CapacityAge02*'01_Вводные'!$B$218*'19_Расчет_аналитики'!AR2583,MeanMinAge02)))</f>
        <v/>
      </c>
      <c r="AS2489">
        <f>IF(OR('19_Расчет_аналитики'!AS2461=0,2&lt;='01_Вводные'!$B$297),0,'19_Расчет_аналитики'!AS2461*IF('01_Вводные'!$B$239="Да",MeanMinAge02+'19_Расчет_аналитики'!AS2583*SUMIF(ThresholdAge02,"&lt;"&amp;'19_Расчет_аналитики'!AS2583,WeightedRevAge02)-SUMIF(ThresholdAge02,"&lt;"&amp;'19_Расчет_аналитики'!AS2583,WeightedMinAge02),MAX(CapacityAge02*'01_Вводные'!$B$218*'19_Расчет_аналитики'!AS2583,MeanMinAge02)))</f>
        <v/>
      </c>
      <c r="AT2489">
        <f>IF(OR('19_Расчет_аналитики'!AT2461=0,2&lt;='01_Вводные'!$B$297),0,'19_Расчет_аналитики'!AT2461*IF('01_Вводные'!$B$239="Да",MeanMinAge02+'19_Расчет_аналитики'!AT2583*SUMIF(ThresholdAge02,"&lt;"&amp;'19_Расчет_аналитики'!AT2583,WeightedRevAge02)-SUMIF(ThresholdAge02,"&lt;"&amp;'19_Расчет_аналитики'!AT2583,WeightedMinAge02),MAX(CapacityAge02*'01_Вводные'!$B$218*'19_Расчет_аналитики'!AT2583,MeanMinAge02)))</f>
        <v/>
      </c>
      <c r="AU2489">
        <f>IF(OR('19_Расчет_аналитики'!AU2461=0,2&lt;='01_Вводные'!$B$297),0,'19_Расчет_аналитики'!AU2461*IF('01_Вводные'!$B$239="Да",MeanMinAge02+'19_Расчет_аналитики'!AU2583*SUMIF(ThresholdAge02,"&lt;"&amp;'19_Расчет_аналитики'!AU2583,WeightedRevAge02)-SUMIF(ThresholdAge02,"&lt;"&amp;'19_Расчет_аналитики'!AU2583,WeightedMinAge02),MAX(CapacityAge02*'01_Вводные'!$B$218*'19_Расчет_аналитики'!AU2583,MeanMinAge02)))</f>
        <v/>
      </c>
      <c r="AV2489">
        <f>IF(OR('19_Расчет_аналитики'!AV2461=0,2&lt;='01_Вводные'!$B$297),0,'19_Расчет_аналитики'!AV2461*IF('01_Вводные'!$B$239="Да",MeanMinAge02+'19_Расчет_аналитики'!AV2583*SUMIF(ThresholdAge02,"&lt;"&amp;'19_Расчет_аналитики'!AV2583,WeightedRevAge02)-SUMIF(ThresholdAge02,"&lt;"&amp;'19_Расчет_аналитики'!AV2583,WeightedMinAge02),MAX(CapacityAge02*'01_Вводные'!$B$218*'19_Расчет_аналитики'!AV2583,MeanMinAge02)))</f>
        <v/>
      </c>
      <c r="AW2489">
        <f>IF(OR('19_Расчет_аналитики'!AW2461=0,2&lt;='01_Вводные'!$B$297),0,'19_Расчет_аналитики'!AW2461*IF('01_Вводные'!$B$239="Да",MeanMinAge02+'19_Расчет_аналитики'!AW2583*SUMIF(ThresholdAge02,"&lt;"&amp;'19_Расчет_аналитики'!AW2583,WeightedRevAge02)-SUMIF(ThresholdAge02,"&lt;"&amp;'19_Расчет_аналитики'!AW2583,WeightedMinAge02),MAX(CapacityAge02*'01_Вводные'!$B$218*'19_Расчет_аналитики'!AW2583,MeanMinAge02)))</f>
        <v/>
      </c>
      <c r="AX2489">
        <f>IF(OR('19_Расчет_аналитики'!AX2461=0,2&lt;='01_Вводные'!$B$297),0,'19_Расчет_аналитики'!AX2461*IF('01_Вводные'!$B$239="Да",MeanMinAge02+'19_Расчет_аналитики'!AX2583*SUMIF(ThresholdAge02,"&lt;"&amp;'19_Расчет_аналитики'!AX2583,WeightedRevAge02)-SUMIF(ThresholdAge02,"&lt;"&amp;'19_Расчет_аналитики'!AX2583,WeightedMinAge02),MAX(CapacityAge02*'01_Вводные'!$B$218*'19_Расчет_аналитики'!AX2583,MeanMinAge02)))</f>
        <v/>
      </c>
      <c r="AY2489">
        <f>IF(OR('19_Расчет_аналитики'!AY2461=0,2&lt;='01_Вводные'!$B$297),0,'19_Расчет_аналитики'!AY2461*IF('01_Вводные'!$B$239="Да",MeanMinAge02+'19_Расчет_аналитики'!AY2583*SUMIF(ThresholdAge02,"&lt;"&amp;'19_Расчет_аналитики'!AY2583,WeightedRevAge02)-SUMIF(ThresholdAge02,"&lt;"&amp;'19_Расчет_аналитики'!AY2583,WeightedMinAge02),MAX(CapacityAge02*'01_Вводные'!$B$218*'19_Расчет_аналитики'!AY2583,MeanMinAge02)))</f>
        <v/>
      </c>
      <c r="AZ2489">
        <f>IF(OR('19_Расчет_аналитики'!AZ2461=0,2&lt;='01_Вводные'!$B$297),0,'19_Расчет_аналитики'!AZ2461*IF('01_Вводные'!$B$239="Да",MeanMinAge02+'19_Расчет_аналитики'!AZ2583*SUMIF(ThresholdAge02,"&lt;"&amp;'19_Расчет_аналитики'!AZ2583,WeightedRevAge02)-SUMIF(ThresholdAge02,"&lt;"&amp;'19_Расчет_аналитики'!AZ2583,WeightedMinAge02),MAX(CapacityAge02*'01_Вводные'!$B$218*'19_Расчет_аналитики'!AZ2583,MeanMinAge02)))</f>
        <v/>
      </c>
      <c r="BA2489">
        <f>IF(OR('19_Расчет_аналитики'!BA2461=0,2&lt;='01_Вводные'!$B$297),0,'19_Расчет_аналитики'!BA2461*IF('01_Вводные'!$B$239="Да",MeanMinAge02+'19_Расчет_аналитики'!BA2583*SUMIF(ThresholdAge02,"&lt;"&amp;'19_Расчет_аналитики'!BA2583,WeightedRevAge02)-SUMIF(ThresholdAge02,"&lt;"&amp;'19_Расчет_аналитики'!BA2583,WeightedMinAge02),MAX(CapacityAge02*'01_Вводные'!$B$218*'19_Расчет_аналитики'!BA2583,MeanMinAge02)))</f>
        <v/>
      </c>
      <c r="BB2489">
        <f>IF(OR('19_Расчет_аналитики'!BB2461=0,2&lt;='01_Вводные'!$B$297),0,'19_Расчет_аналитики'!BB2461*IF('01_Вводные'!$B$239="Да",MeanMinAge02+'19_Расчет_аналитики'!BB2583*SUMIF(ThresholdAge02,"&lt;"&amp;'19_Расчет_аналитики'!BB2583,WeightedRevAge02)-SUMIF(ThresholdAge02,"&lt;"&amp;'19_Расчет_аналитики'!BB2583,WeightedMinAge02),MAX(CapacityAge02*'01_Вводные'!$B$218*'19_Расчет_аналитики'!BB2583,MeanMinAge02)))</f>
        <v/>
      </c>
      <c r="BC2489">
        <f>IF(OR('19_Расчет_аналитики'!BC2461=0,2&lt;='01_Вводные'!$B$297),0,'19_Расчет_аналитики'!BC2461*IF('01_Вводные'!$B$239="Да",MeanMinAge02+'19_Расчет_аналитики'!BC2583*SUMIF(ThresholdAge02,"&lt;"&amp;'19_Расчет_аналитики'!BC2583,WeightedRevAge02)-SUMIF(ThresholdAge02,"&lt;"&amp;'19_Расчет_аналитики'!BC2583,WeightedMinAge02),MAX(CapacityAge02*'01_Вводные'!$B$218*'19_Расчет_аналитики'!BC2583,MeanMinAge02)))</f>
        <v/>
      </c>
      <c r="BD2489">
        <f>IF(OR('19_Расчет_аналитики'!BD2461=0,2&lt;='01_Вводные'!$B$297),0,'19_Расчет_аналитики'!BD2461*IF('01_Вводные'!$B$239="Да",MeanMinAge02+'19_Расчет_аналитики'!BD2583*SUMIF(ThresholdAge02,"&lt;"&amp;'19_Расчет_аналитики'!BD2583,WeightedRevAge02)-SUMIF(ThresholdAge02,"&lt;"&amp;'19_Расчет_аналитики'!BD2583,WeightedMinAge02),MAX(CapacityAge02*'01_Вводные'!$B$218*'19_Расчет_аналитики'!BD2583,MeanMinAge02)))</f>
        <v/>
      </c>
      <c r="BE2489">
        <f>IF(OR('19_Расчет_аналитики'!BE2461=0,2&lt;='01_Вводные'!$B$297),0,'19_Расчет_аналитики'!BE2461*IF('01_Вводные'!$B$239="Да",MeanMinAge02+'19_Расчет_аналитики'!BE2583*SUMIF(ThresholdAge02,"&lt;"&amp;'19_Расчет_аналитики'!BE2583,WeightedRevAge02)-SUMIF(ThresholdAge02,"&lt;"&amp;'19_Расчет_аналитики'!BE2583,WeightedMinAge02),MAX(CapacityAge02*'01_Вводные'!$B$218*'19_Расчет_аналитики'!BE2583,MeanMinAge02)))</f>
        <v/>
      </c>
      <c r="BF2489">
        <f>IF(OR('19_Расчет_аналитики'!BF2461=0,2&lt;='01_Вводные'!$B$297),0,'19_Расчет_аналитики'!BF2461*IF('01_Вводные'!$B$239="Да",MeanMinAge02+'19_Расчет_аналитики'!BF2583*SUMIF(ThresholdAge02,"&lt;"&amp;'19_Расчет_аналитики'!BF2583,WeightedRevAge02)-SUMIF(ThresholdAge02,"&lt;"&amp;'19_Расчет_аналитики'!BF2583,WeightedMinAge02),MAX(CapacityAge02*'01_Вводные'!$B$218*'19_Расчет_аналитики'!BF2583,MeanMinAge02)))</f>
        <v/>
      </c>
      <c r="BG2489">
        <f>IF(OR('19_Расчет_аналитики'!BG2461=0,2&lt;='01_Вводные'!$B$297),0,'19_Расчет_аналитики'!BG2461*IF('01_Вводные'!$B$239="Да",MeanMinAge02+'19_Расчет_аналитики'!BG2583*SUMIF(ThresholdAge02,"&lt;"&amp;'19_Расчет_аналитики'!BG2583,WeightedRevAge02)-SUMIF(ThresholdAge02,"&lt;"&amp;'19_Расчет_аналитики'!BG2583,WeightedMinAge02),MAX(CapacityAge02*'01_Вводные'!$B$218*'19_Расчет_аналитики'!BG2583,MeanMinAge02)))</f>
        <v/>
      </c>
      <c r="BH2489">
        <f>IF(OR('19_Расчет_аналитики'!BH2461=0,2&lt;='01_Вводные'!$B$297),0,'19_Расчет_аналитики'!BH2461*IF('01_Вводные'!$B$239="Да",MeanMinAge02+'19_Расчет_аналитики'!BH2583*SUMIF(ThresholdAge02,"&lt;"&amp;'19_Расчет_аналитики'!BH2583,WeightedRevAge02)-SUMIF(ThresholdAge02,"&lt;"&amp;'19_Расчет_аналитики'!BH2583,WeightedMinAge02),MAX(CapacityAge02*'01_Вводные'!$B$218*'19_Расчет_аналитики'!BH2583,MeanMinAge02)))</f>
        <v/>
      </c>
      <c r="BI2489">
        <f>IF(OR('19_Расчет_аналитики'!BI2461=0,2&lt;='01_Вводные'!$B$297),0,'19_Расчет_аналитики'!BI2461*IF('01_Вводные'!$B$239="Да",MeanMinAge02+'19_Расчет_аналитики'!BI2583*SUMIF(ThresholdAge02,"&lt;"&amp;'19_Расчет_аналитики'!BI2583,WeightedRevAge02)-SUMIF(ThresholdAge02,"&lt;"&amp;'19_Расчет_аналитики'!BI2583,WeightedMinAge02),MAX(CapacityAge02*'01_Вводные'!$B$218*'19_Расчет_аналитики'!BI2583,MeanMinAge02)))</f>
        <v/>
      </c>
      <c r="BJ2489">
        <f>IF(OR('19_Расчет_аналитики'!BJ2461=0,2&lt;='01_Вводные'!$B$297),0,'19_Расчет_аналитики'!BJ2461*IF('01_Вводные'!$B$239="Да",MeanMinAge02+'19_Расчет_аналитики'!BJ2583*SUMIF(ThresholdAge02,"&lt;"&amp;'19_Расчет_аналитики'!BJ2583,WeightedRevAge02)-SUMIF(ThresholdAge02,"&lt;"&amp;'19_Расчет_аналитики'!BJ2583,WeightedMinAge02),MAX(CapacityAge02*'01_Вводные'!$B$218*'19_Расчет_аналитики'!BJ2583,MeanMinAge02)))</f>
        <v/>
      </c>
      <c r="BK2489">
        <f>IF(OR('19_Расчет_аналитики'!BK2461=0,2&lt;='01_Вводные'!$B$297),0,'19_Расчет_аналитики'!BK2461*IF('01_Вводные'!$B$239="Да",MeanMinAge02+'19_Расчет_аналитики'!BK2583*SUMIF(ThresholdAge02,"&lt;"&amp;'19_Расчет_аналитики'!BK2583,WeightedRevAge02)-SUMIF(ThresholdAge02,"&lt;"&amp;'19_Расчет_аналитики'!BK2583,WeightedMinAge02),MAX(CapacityAge02*'01_Вводные'!$B$218*'19_Расчет_аналитики'!BK2583,MeanMinAge02)))</f>
        <v/>
      </c>
      <c r="BL2489">
        <f>IF(OR('19_Расчет_аналитики'!BL2461=0,2&lt;='01_Вводные'!$B$297),0,'19_Расчет_аналитики'!BL2461*IF('01_Вводные'!$B$239="Да",MeanMinAge02+'19_Расчет_аналитики'!BL2583*SUMIF(ThresholdAge02,"&lt;"&amp;'19_Расчет_аналитики'!BL2583,WeightedRevAge02)-SUMIF(ThresholdAge02,"&lt;"&amp;'19_Расчет_аналитики'!BL2583,WeightedMinAge02),MAX(CapacityAge02*'01_Вводные'!$B$218*'19_Расчет_аналитики'!BL2583,MeanMinAge02)))</f>
        <v/>
      </c>
      <c r="BM2489">
        <f>IF(OR('19_Расчет_аналитики'!BM2461=0,2&lt;='01_Вводные'!$B$297),0,'19_Расчет_аналитики'!BM2461*IF('01_Вводные'!$B$239="Да",MeanMinAge02+'19_Расчет_аналитики'!BM2583*SUMIF(ThresholdAge02,"&lt;"&amp;'19_Расчет_аналитики'!BM2583,WeightedRevAge02)-SUMIF(ThresholdAge02,"&lt;"&amp;'19_Расчет_аналитики'!BM2583,WeightedMinAge02),MAX(CapacityAge02*'01_Вводные'!$B$218*'19_Расчет_аналитики'!BM2583,MeanMinAge02)))</f>
        <v/>
      </c>
      <c r="BN2489">
        <f>IF(OR('19_Расчет_аналитики'!BN2461=0,2&lt;='01_Вводные'!$B$297),0,'19_Расчет_аналитики'!BN2461*IF('01_Вводные'!$B$239="Да",MeanMinAge02+'19_Расчет_аналитики'!BN2583*SUMIF(ThresholdAge02,"&lt;"&amp;'19_Расчет_аналитики'!BN2583,WeightedRevAge02)-SUMIF(ThresholdAge02,"&lt;"&amp;'19_Расчет_аналитики'!BN2583,WeightedMinAge02),MAX(CapacityAge02*'01_Вводные'!$B$218*'19_Расчет_аналитики'!BN2583,MeanMinAge02)))</f>
        <v/>
      </c>
      <c r="BO2489">
        <f>IF(OR('19_Расчет_аналитики'!BO2461=0,2&lt;='01_Вводные'!$B$297),0,'19_Расчет_аналитики'!BO2461*IF('01_Вводные'!$B$239="Да",MeanMinAge02+'19_Расчет_аналитики'!BO2583*SUMIF(ThresholdAge02,"&lt;"&amp;'19_Расчет_аналитики'!BO2583,WeightedRevAge02)-SUMIF(ThresholdAge02,"&lt;"&amp;'19_Расчет_аналитики'!BO2583,WeightedMinAge02),MAX(CapacityAge02*'01_Вводные'!$B$218*'19_Расчет_аналитики'!BO2583,MeanMinAge02)))</f>
        <v/>
      </c>
    </row>
    <row r="2490">
      <c r="B2490">
        <f>IF(OR('06_Сеть_и_дети'!B83=0,3&lt;='01_Вводные'!$B$297),0,'06_Сеть_и_дети'!B83*IF('01_Вводные'!$B$239="Да",MeanMinAge03+'19_Расчет_аналитики'!B2583*SUMIF(ThresholdAge03,"&lt;"&amp;'19_Расчет_аналитики'!B2583,WeightedRevAge03)-SUMIF(ThresholdAge03,"&lt;"&amp;'19_Расчет_аналитики'!B2583,WeightedMinAge03),MAX(CapacityAge03*'01_Вводные'!$B$218*'19_Расчет_аналитики'!B2583,MeanMinAge03)))</f>
        <v/>
      </c>
      <c r="C2490">
        <f>IF(OR('06_Сеть_и_дети'!C83=0,3&lt;='01_Вводные'!$B$297),0,'06_Сеть_и_дети'!C83*IF('01_Вводные'!$B$239="Да",MeanMinAge03+'19_Расчет_аналитики'!C2583*SUMIF(ThresholdAge03,"&lt;"&amp;'19_Расчет_аналитики'!C2583,WeightedRevAge03)-SUMIF(ThresholdAge03,"&lt;"&amp;'19_Расчет_аналитики'!C2583,WeightedMinAge03),MAX(CapacityAge03*'01_Вводные'!$B$218*'19_Расчет_аналитики'!C2583,MeanMinAge03)))</f>
        <v/>
      </c>
      <c r="D2490">
        <f>IF(OR('19_Расчет_аналитики'!D2462=0,3&lt;='01_Вводные'!$B$297),0,'19_Расчет_аналитики'!D2462*IF('01_Вводные'!$B$239="Да",MeanMinAge03+'19_Расчет_аналитики'!D2583*SUMIF(ThresholdAge03,"&lt;"&amp;'19_Расчет_аналитики'!D2583,WeightedRevAge03)-SUMIF(ThresholdAge03,"&lt;"&amp;'19_Расчет_аналитики'!D2583,WeightedMinAge03),MAX(CapacityAge03*'01_Вводные'!$B$218*'19_Расчет_аналитики'!D2583,MeanMinAge03)))</f>
        <v/>
      </c>
      <c r="E2490">
        <f>IF(OR('19_Расчет_аналитики'!E2462=0,3&lt;='01_Вводные'!$B$297),0,'19_Расчет_аналитики'!E2462*IF('01_Вводные'!$B$239="Да",MeanMinAge03+'19_Расчет_аналитики'!E2583*SUMIF(ThresholdAge03,"&lt;"&amp;'19_Расчет_аналитики'!E2583,WeightedRevAge03)-SUMIF(ThresholdAge03,"&lt;"&amp;'19_Расчет_аналитики'!E2583,WeightedMinAge03),MAX(CapacityAge03*'01_Вводные'!$B$218*'19_Расчет_аналитики'!E2583,MeanMinAge03)))</f>
        <v/>
      </c>
      <c r="F2490">
        <f>IF(OR('19_Расчет_аналитики'!F2462=0,3&lt;='01_Вводные'!$B$297),0,'19_Расчет_аналитики'!F2462*IF('01_Вводные'!$B$239="Да",MeanMinAge03+'19_Расчет_аналитики'!F2583*SUMIF(ThresholdAge03,"&lt;"&amp;'19_Расчет_аналитики'!F2583,WeightedRevAge03)-SUMIF(ThresholdAge03,"&lt;"&amp;'19_Расчет_аналитики'!F2583,WeightedMinAge03),MAX(CapacityAge03*'01_Вводные'!$B$218*'19_Расчет_аналитики'!F2583,MeanMinAge03)))</f>
        <v/>
      </c>
      <c r="G2490">
        <f>IF(OR('19_Расчет_аналитики'!G2462=0,3&lt;='01_Вводные'!$B$297),0,'19_Расчет_аналитики'!G2462*IF('01_Вводные'!$B$239="Да",MeanMinAge03+'19_Расчет_аналитики'!G2583*SUMIF(ThresholdAge03,"&lt;"&amp;'19_Расчет_аналитики'!G2583,WeightedRevAge03)-SUMIF(ThresholdAge03,"&lt;"&amp;'19_Расчет_аналитики'!G2583,WeightedMinAge03),MAX(CapacityAge03*'01_Вводные'!$B$218*'19_Расчет_аналитики'!G2583,MeanMinAge03)))</f>
        <v/>
      </c>
      <c r="H2490">
        <f>IF(OR('19_Расчет_аналитики'!H2462=0,3&lt;='01_Вводные'!$B$297),0,'19_Расчет_аналитики'!H2462*IF('01_Вводные'!$B$239="Да",MeanMinAge03+'19_Расчет_аналитики'!H2583*SUMIF(ThresholdAge03,"&lt;"&amp;'19_Расчет_аналитики'!H2583,WeightedRevAge03)-SUMIF(ThresholdAge03,"&lt;"&amp;'19_Расчет_аналитики'!H2583,WeightedMinAge03),MAX(CapacityAge03*'01_Вводные'!$B$218*'19_Расчет_аналитики'!H2583,MeanMinAge03)))</f>
        <v/>
      </c>
      <c r="I2490">
        <f>IF(OR('19_Расчет_аналитики'!I2462=0,3&lt;='01_Вводные'!$B$297),0,'19_Расчет_аналитики'!I2462*IF('01_Вводные'!$B$239="Да",MeanMinAge03+'19_Расчет_аналитики'!I2583*SUMIF(ThresholdAge03,"&lt;"&amp;'19_Расчет_аналитики'!I2583,WeightedRevAge03)-SUMIF(ThresholdAge03,"&lt;"&amp;'19_Расчет_аналитики'!I2583,WeightedMinAge03),MAX(CapacityAge03*'01_Вводные'!$B$218*'19_Расчет_аналитики'!I2583,MeanMinAge03)))</f>
        <v/>
      </c>
      <c r="J2490">
        <f>IF(OR('19_Расчет_аналитики'!J2462=0,3&lt;='01_Вводные'!$B$297),0,'19_Расчет_аналитики'!J2462*IF('01_Вводные'!$B$239="Да",MeanMinAge03+'19_Расчет_аналитики'!J2583*SUMIF(ThresholdAge03,"&lt;"&amp;'19_Расчет_аналитики'!J2583,WeightedRevAge03)-SUMIF(ThresholdAge03,"&lt;"&amp;'19_Расчет_аналитики'!J2583,WeightedMinAge03),MAX(CapacityAge03*'01_Вводные'!$B$218*'19_Расчет_аналитики'!J2583,MeanMinAge03)))</f>
        <v/>
      </c>
      <c r="K2490">
        <f>IF(OR('19_Расчет_аналитики'!K2462=0,3&lt;='01_Вводные'!$B$297),0,'19_Расчет_аналитики'!K2462*IF('01_Вводные'!$B$239="Да",MeanMinAge03+'19_Расчет_аналитики'!K2583*SUMIF(ThresholdAge03,"&lt;"&amp;'19_Расчет_аналитики'!K2583,WeightedRevAge03)-SUMIF(ThresholdAge03,"&lt;"&amp;'19_Расчет_аналитики'!K2583,WeightedMinAge03),MAX(CapacityAge03*'01_Вводные'!$B$218*'19_Расчет_аналитики'!K2583,MeanMinAge03)))</f>
        <v/>
      </c>
      <c r="L2490">
        <f>IF(OR('19_Расчет_аналитики'!L2462=0,3&lt;='01_Вводные'!$B$297),0,'19_Расчет_аналитики'!L2462*IF('01_Вводные'!$B$239="Да",MeanMinAge03+'19_Расчет_аналитики'!L2583*SUMIF(ThresholdAge03,"&lt;"&amp;'19_Расчет_аналитики'!L2583,WeightedRevAge03)-SUMIF(ThresholdAge03,"&lt;"&amp;'19_Расчет_аналитики'!L2583,WeightedMinAge03),MAX(CapacityAge03*'01_Вводные'!$B$218*'19_Расчет_аналитики'!L2583,MeanMinAge03)))</f>
        <v/>
      </c>
      <c r="M2490">
        <f>IF(OR('19_Расчет_аналитики'!M2462=0,3&lt;='01_Вводные'!$B$297),0,'19_Расчет_аналитики'!M2462*IF('01_Вводные'!$B$239="Да",MeanMinAge03+'19_Расчет_аналитики'!M2583*SUMIF(ThresholdAge03,"&lt;"&amp;'19_Расчет_аналитики'!M2583,WeightedRevAge03)-SUMIF(ThresholdAge03,"&lt;"&amp;'19_Расчет_аналитики'!M2583,WeightedMinAge03),MAX(CapacityAge03*'01_Вводные'!$B$218*'19_Расчет_аналитики'!M2583,MeanMinAge03)))</f>
        <v/>
      </c>
      <c r="N2490">
        <f>IF(OR('19_Расчет_аналитики'!N2462=0,3&lt;='01_Вводные'!$B$297),0,'19_Расчет_аналитики'!N2462*IF('01_Вводные'!$B$239="Да",MeanMinAge03+'19_Расчет_аналитики'!N2583*SUMIF(ThresholdAge03,"&lt;"&amp;'19_Расчет_аналитики'!N2583,WeightedRevAge03)-SUMIF(ThresholdAge03,"&lt;"&amp;'19_Расчет_аналитики'!N2583,WeightedMinAge03),MAX(CapacityAge03*'01_Вводные'!$B$218*'19_Расчет_аналитики'!N2583,MeanMinAge03)))</f>
        <v/>
      </c>
      <c r="O2490">
        <f>IF(OR('19_Расчет_аналитики'!O2462=0,3&lt;='01_Вводные'!$B$297),0,'19_Расчет_аналитики'!O2462*IF('01_Вводные'!$B$239="Да",MeanMinAge03+'19_Расчет_аналитики'!O2583*SUMIF(ThresholdAge03,"&lt;"&amp;'19_Расчет_аналитики'!O2583,WeightedRevAge03)-SUMIF(ThresholdAge03,"&lt;"&amp;'19_Расчет_аналитики'!O2583,WeightedMinAge03),MAX(CapacityAge03*'01_Вводные'!$B$218*'19_Расчет_аналитики'!O2583,MeanMinAge03)))</f>
        <v/>
      </c>
      <c r="P2490">
        <f>IF(OR('19_Расчет_аналитики'!P2462=0,3&lt;='01_Вводные'!$B$297),0,'19_Расчет_аналитики'!P2462*IF('01_Вводные'!$B$239="Да",MeanMinAge03+'19_Расчет_аналитики'!P2583*SUMIF(ThresholdAge03,"&lt;"&amp;'19_Расчет_аналитики'!P2583,WeightedRevAge03)-SUMIF(ThresholdAge03,"&lt;"&amp;'19_Расчет_аналитики'!P2583,WeightedMinAge03),MAX(CapacityAge03*'01_Вводные'!$B$218*'19_Расчет_аналитики'!P2583,MeanMinAge03)))</f>
        <v/>
      </c>
      <c r="Q2490">
        <f>IF(OR('19_Расчет_аналитики'!Q2462=0,3&lt;='01_Вводные'!$B$297),0,'19_Расчет_аналитики'!Q2462*IF('01_Вводные'!$B$239="Да",MeanMinAge03+'19_Расчет_аналитики'!Q2583*SUMIF(ThresholdAge03,"&lt;"&amp;'19_Расчет_аналитики'!Q2583,WeightedRevAge03)-SUMIF(ThresholdAge03,"&lt;"&amp;'19_Расчет_аналитики'!Q2583,WeightedMinAge03),MAX(CapacityAge03*'01_Вводные'!$B$218*'19_Расчет_аналитики'!Q2583,MeanMinAge03)))</f>
        <v/>
      </c>
      <c r="R2490">
        <f>IF(OR('19_Расчет_аналитики'!R2462=0,3&lt;='01_Вводные'!$B$297),0,'19_Расчет_аналитики'!R2462*IF('01_Вводные'!$B$239="Да",MeanMinAge03+'19_Расчет_аналитики'!R2583*SUMIF(ThresholdAge03,"&lt;"&amp;'19_Расчет_аналитики'!R2583,WeightedRevAge03)-SUMIF(ThresholdAge03,"&lt;"&amp;'19_Расчет_аналитики'!R2583,WeightedMinAge03),MAX(CapacityAge03*'01_Вводные'!$B$218*'19_Расчет_аналитики'!R2583,MeanMinAge03)))</f>
        <v/>
      </c>
      <c r="S2490">
        <f>IF(OR('19_Расчет_аналитики'!S2462=0,3&lt;='01_Вводные'!$B$297),0,'19_Расчет_аналитики'!S2462*IF('01_Вводные'!$B$239="Да",MeanMinAge03+'19_Расчет_аналитики'!S2583*SUMIF(ThresholdAge03,"&lt;"&amp;'19_Расчет_аналитики'!S2583,WeightedRevAge03)-SUMIF(ThresholdAge03,"&lt;"&amp;'19_Расчет_аналитики'!S2583,WeightedMinAge03),MAX(CapacityAge03*'01_Вводные'!$B$218*'19_Расчет_аналитики'!S2583,MeanMinAge03)))</f>
        <v/>
      </c>
      <c r="T2490">
        <f>IF(OR('19_Расчет_аналитики'!T2462=0,3&lt;='01_Вводные'!$B$297),0,'19_Расчет_аналитики'!T2462*IF('01_Вводные'!$B$239="Да",MeanMinAge03+'19_Расчет_аналитики'!T2583*SUMIF(ThresholdAge03,"&lt;"&amp;'19_Расчет_аналитики'!T2583,WeightedRevAge03)-SUMIF(ThresholdAge03,"&lt;"&amp;'19_Расчет_аналитики'!T2583,WeightedMinAge03),MAX(CapacityAge03*'01_Вводные'!$B$218*'19_Расчет_аналитики'!T2583,MeanMinAge03)))</f>
        <v/>
      </c>
      <c r="U2490">
        <f>IF(OR('19_Расчет_аналитики'!U2462=0,3&lt;='01_Вводные'!$B$297),0,'19_Расчет_аналитики'!U2462*IF('01_Вводные'!$B$239="Да",MeanMinAge03+'19_Расчет_аналитики'!U2583*SUMIF(ThresholdAge03,"&lt;"&amp;'19_Расчет_аналитики'!U2583,WeightedRevAge03)-SUMIF(ThresholdAge03,"&lt;"&amp;'19_Расчет_аналитики'!U2583,WeightedMinAge03),MAX(CapacityAge03*'01_Вводные'!$B$218*'19_Расчет_аналитики'!U2583,MeanMinAge03)))</f>
        <v/>
      </c>
      <c r="V2490">
        <f>IF(OR('19_Расчет_аналитики'!V2462=0,3&lt;='01_Вводные'!$B$297),0,'19_Расчет_аналитики'!V2462*IF('01_Вводные'!$B$239="Да",MeanMinAge03+'19_Расчет_аналитики'!V2583*SUMIF(ThresholdAge03,"&lt;"&amp;'19_Расчет_аналитики'!V2583,WeightedRevAge03)-SUMIF(ThresholdAge03,"&lt;"&amp;'19_Расчет_аналитики'!V2583,WeightedMinAge03),MAX(CapacityAge03*'01_Вводные'!$B$218*'19_Расчет_аналитики'!V2583,MeanMinAge03)))</f>
        <v/>
      </c>
      <c r="W2490">
        <f>IF(OR('19_Расчет_аналитики'!W2462=0,3&lt;='01_Вводные'!$B$297),0,'19_Расчет_аналитики'!W2462*IF('01_Вводные'!$B$239="Да",MeanMinAge03+'19_Расчет_аналитики'!W2583*SUMIF(ThresholdAge03,"&lt;"&amp;'19_Расчет_аналитики'!W2583,WeightedRevAge03)-SUMIF(ThresholdAge03,"&lt;"&amp;'19_Расчет_аналитики'!W2583,WeightedMinAge03),MAX(CapacityAge03*'01_Вводные'!$B$218*'19_Расчет_аналитики'!W2583,MeanMinAge03)))</f>
        <v/>
      </c>
      <c r="X2490">
        <f>IF(OR('19_Расчет_аналитики'!X2462=0,3&lt;='01_Вводные'!$B$297),0,'19_Расчет_аналитики'!X2462*IF('01_Вводные'!$B$239="Да",MeanMinAge03+'19_Расчет_аналитики'!X2583*SUMIF(ThresholdAge03,"&lt;"&amp;'19_Расчет_аналитики'!X2583,WeightedRevAge03)-SUMIF(ThresholdAge03,"&lt;"&amp;'19_Расчет_аналитики'!X2583,WeightedMinAge03),MAX(CapacityAge03*'01_Вводные'!$B$218*'19_Расчет_аналитики'!X2583,MeanMinAge03)))</f>
        <v/>
      </c>
      <c r="Y2490">
        <f>IF(OR('19_Расчет_аналитики'!Y2462=0,3&lt;='01_Вводные'!$B$297),0,'19_Расчет_аналитики'!Y2462*IF('01_Вводные'!$B$239="Да",MeanMinAge03+'19_Расчет_аналитики'!Y2583*SUMIF(ThresholdAge03,"&lt;"&amp;'19_Расчет_аналитики'!Y2583,WeightedRevAge03)-SUMIF(ThresholdAge03,"&lt;"&amp;'19_Расчет_аналитики'!Y2583,WeightedMinAge03),MAX(CapacityAge03*'01_Вводные'!$B$218*'19_Расчет_аналитики'!Y2583,MeanMinAge03)))</f>
        <v/>
      </c>
      <c r="Z2490">
        <f>IF(OR('19_Расчет_аналитики'!Z2462=0,3&lt;='01_Вводные'!$B$297),0,'19_Расчет_аналитики'!Z2462*IF('01_Вводные'!$B$239="Да",MeanMinAge03+'19_Расчет_аналитики'!Z2583*SUMIF(ThresholdAge03,"&lt;"&amp;'19_Расчет_аналитики'!Z2583,WeightedRevAge03)-SUMIF(ThresholdAge03,"&lt;"&amp;'19_Расчет_аналитики'!Z2583,WeightedMinAge03),MAX(CapacityAge03*'01_Вводные'!$B$218*'19_Расчет_аналитики'!Z2583,MeanMinAge03)))</f>
        <v/>
      </c>
      <c r="AA2490">
        <f>IF(OR('19_Расчет_аналитики'!AA2462=0,3&lt;='01_Вводные'!$B$297),0,'19_Расчет_аналитики'!AA2462*IF('01_Вводные'!$B$239="Да",MeanMinAge03+'19_Расчет_аналитики'!AA2583*SUMIF(ThresholdAge03,"&lt;"&amp;'19_Расчет_аналитики'!AA2583,WeightedRevAge03)-SUMIF(ThresholdAge03,"&lt;"&amp;'19_Расчет_аналитики'!AA2583,WeightedMinAge03),MAX(CapacityAge03*'01_Вводные'!$B$218*'19_Расчет_аналитики'!AA2583,MeanMinAge03)))</f>
        <v/>
      </c>
      <c r="AB2490">
        <f>IF(OR('19_Расчет_аналитики'!AB2462=0,3&lt;='01_Вводные'!$B$297),0,'19_Расчет_аналитики'!AB2462*IF('01_Вводные'!$B$239="Да",MeanMinAge03+'19_Расчет_аналитики'!AB2583*SUMIF(ThresholdAge03,"&lt;"&amp;'19_Расчет_аналитики'!AB2583,WeightedRevAge03)-SUMIF(ThresholdAge03,"&lt;"&amp;'19_Расчет_аналитики'!AB2583,WeightedMinAge03),MAX(CapacityAge03*'01_Вводные'!$B$218*'19_Расчет_аналитики'!AB2583,MeanMinAge03)))</f>
        <v/>
      </c>
      <c r="AC2490">
        <f>IF(OR('19_Расчет_аналитики'!AC2462=0,3&lt;='01_Вводные'!$B$297),0,'19_Расчет_аналитики'!AC2462*IF('01_Вводные'!$B$239="Да",MeanMinAge03+'19_Расчет_аналитики'!AC2583*SUMIF(ThresholdAge03,"&lt;"&amp;'19_Расчет_аналитики'!AC2583,WeightedRevAge03)-SUMIF(ThresholdAge03,"&lt;"&amp;'19_Расчет_аналитики'!AC2583,WeightedMinAge03),MAX(CapacityAge03*'01_Вводные'!$B$218*'19_Расчет_аналитики'!AC2583,MeanMinAge03)))</f>
        <v/>
      </c>
      <c r="AD2490">
        <f>IF(OR('19_Расчет_аналитики'!AD2462=0,3&lt;='01_Вводные'!$B$297),0,'19_Расчет_аналитики'!AD2462*IF('01_Вводные'!$B$239="Да",MeanMinAge03+'19_Расчет_аналитики'!AD2583*SUMIF(ThresholdAge03,"&lt;"&amp;'19_Расчет_аналитики'!AD2583,WeightedRevAge03)-SUMIF(ThresholdAge03,"&lt;"&amp;'19_Расчет_аналитики'!AD2583,WeightedMinAge03),MAX(CapacityAge03*'01_Вводные'!$B$218*'19_Расчет_аналитики'!AD2583,MeanMinAge03)))</f>
        <v/>
      </c>
      <c r="AE2490">
        <f>IF(OR('19_Расчет_аналитики'!AE2462=0,3&lt;='01_Вводные'!$B$297),0,'19_Расчет_аналитики'!AE2462*IF('01_Вводные'!$B$239="Да",MeanMinAge03+'19_Расчет_аналитики'!AE2583*SUMIF(ThresholdAge03,"&lt;"&amp;'19_Расчет_аналитики'!AE2583,WeightedRevAge03)-SUMIF(ThresholdAge03,"&lt;"&amp;'19_Расчет_аналитики'!AE2583,WeightedMinAge03),MAX(CapacityAge03*'01_Вводные'!$B$218*'19_Расчет_аналитики'!AE2583,MeanMinAge03)))</f>
        <v/>
      </c>
      <c r="AF2490">
        <f>IF(OR('19_Расчет_аналитики'!AF2462=0,3&lt;='01_Вводные'!$B$297),0,'19_Расчет_аналитики'!AF2462*IF('01_Вводные'!$B$239="Да",MeanMinAge03+'19_Расчет_аналитики'!AF2583*SUMIF(ThresholdAge03,"&lt;"&amp;'19_Расчет_аналитики'!AF2583,WeightedRevAge03)-SUMIF(ThresholdAge03,"&lt;"&amp;'19_Расчет_аналитики'!AF2583,WeightedMinAge03),MAX(CapacityAge03*'01_Вводные'!$B$218*'19_Расчет_аналитики'!AF2583,MeanMinAge03)))</f>
        <v/>
      </c>
      <c r="AG2490">
        <f>IF(OR('19_Расчет_аналитики'!AG2462=0,3&lt;='01_Вводные'!$B$297),0,'19_Расчет_аналитики'!AG2462*IF('01_Вводные'!$B$239="Да",MeanMinAge03+'19_Расчет_аналитики'!AG2583*SUMIF(ThresholdAge03,"&lt;"&amp;'19_Расчет_аналитики'!AG2583,WeightedRevAge03)-SUMIF(ThresholdAge03,"&lt;"&amp;'19_Расчет_аналитики'!AG2583,WeightedMinAge03),MAX(CapacityAge03*'01_Вводные'!$B$218*'19_Расчет_аналитики'!AG2583,MeanMinAge03)))</f>
        <v/>
      </c>
      <c r="AH2490">
        <f>IF(OR('19_Расчет_аналитики'!AH2462=0,3&lt;='01_Вводные'!$B$297),0,'19_Расчет_аналитики'!AH2462*IF('01_Вводные'!$B$239="Да",MeanMinAge03+'19_Расчет_аналитики'!AH2583*SUMIF(ThresholdAge03,"&lt;"&amp;'19_Расчет_аналитики'!AH2583,WeightedRevAge03)-SUMIF(ThresholdAge03,"&lt;"&amp;'19_Расчет_аналитики'!AH2583,WeightedMinAge03),MAX(CapacityAge03*'01_Вводные'!$B$218*'19_Расчет_аналитики'!AH2583,MeanMinAge03)))</f>
        <v/>
      </c>
      <c r="AI2490">
        <f>IF(OR('19_Расчет_аналитики'!AI2462=0,3&lt;='01_Вводные'!$B$297),0,'19_Расчет_аналитики'!AI2462*IF('01_Вводные'!$B$239="Да",MeanMinAge03+'19_Расчет_аналитики'!AI2583*SUMIF(ThresholdAge03,"&lt;"&amp;'19_Расчет_аналитики'!AI2583,WeightedRevAge03)-SUMIF(ThresholdAge03,"&lt;"&amp;'19_Расчет_аналитики'!AI2583,WeightedMinAge03),MAX(CapacityAge03*'01_Вводные'!$B$218*'19_Расчет_аналитики'!AI2583,MeanMinAge03)))</f>
        <v/>
      </c>
      <c r="AJ2490">
        <f>IF(OR('19_Расчет_аналитики'!AJ2462=0,3&lt;='01_Вводные'!$B$297),0,'19_Расчет_аналитики'!AJ2462*IF('01_Вводные'!$B$239="Да",MeanMinAge03+'19_Расчет_аналитики'!AJ2583*SUMIF(ThresholdAge03,"&lt;"&amp;'19_Расчет_аналитики'!AJ2583,WeightedRevAge03)-SUMIF(ThresholdAge03,"&lt;"&amp;'19_Расчет_аналитики'!AJ2583,WeightedMinAge03),MAX(CapacityAge03*'01_Вводные'!$B$218*'19_Расчет_аналитики'!AJ2583,MeanMinAge03)))</f>
        <v/>
      </c>
      <c r="AK2490">
        <f>IF(OR('19_Расчет_аналитики'!AK2462=0,3&lt;='01_Вводные'!$B$297),0,'19_Расчет_аналитики'!AK2462*IF('01_Вводные'!$B$239="Да",MeanMinAge03+'19_Расчет_аналитики'!AK2583*SUMIF(ThresholdAge03,"&lt;"&amp;'19_Расчет_аналитики'!AK2583,WeightedRevAge03)-SUMIF(ThresholdAge03,"&lt;"&amp;'19_Расчет_аналитики'!AK2583,WeightedMinAge03),MAX(CapacityAge03*'01_Вводные'!$B$218*'19_Расчет_аналитики'!AK2583,MeanMinAge03)))</f>
        <v/>
      </c>
      <c r="AL2490">
        <f>IF(OR('19_Расчет_аналитики'!AL2462=0,3&lt;='01_Вводные'!$B$297),0,'19_Расчет_аналитики'!AL2462*IF('01_Вводные'!$B$239="Да",MeanMinAge03+'19_Расчет_аналитики'!AL2583*SUMIF(ThresholdAge03,"&lt;"&amp;'19_Расчет_аналитики'!AL2583,WeightedRevAge03)-SUMIF(ThresholdAge03,"&lt;"&amp;'19_Расчет_аналитики'!AL2583,WeightedMinAge03),MAX(CapacityAge03*'01_Вводные'!$B$218*'19_Расчет_аналитики'!AL2583,MeanMinAge03)))</f>
        <v/>
      </c>
      <c r="AM2490">
        <f>IF(OR('19_Расчет_аналитики'!AM2462=0,3&lt;='01_Вводные'!$B$297),0,'19_Расчет_аналитики'!AM2462*IF('01_Вводные'!$B$239="Да",MeanMinAge03+'19_Расчет_аналитики'!AM2583*SUMIF(ThresholdAge03,"&lt;"&amp;'19_Расчет_аналитики'!AM2583,WeightedRevAge03)-SUMIF(ThresholdAge03,"&lt;"&amp;'19_Расчет_аналитики'!AM2583,WeightedMinAge03),MAX(CapacityAge03*'01_Вводные'!$B$218*'19_Расчет_аналитики'!AM2583,MeanMinAge03)))</f>
        <v/>
      </c>
      <c r="AN2490">
        <f>IF(OR('19_Расчет_аналитики'!AN2462=0,3&lt;='01_Вводные'!$B$297),0,'19_Расчет_аналитики'!AN2462*IF('01_Вводные'!$B$239="Да",MeanMinAge03+'19_Расчет_аналитики'!AN2583*SUMIF(ThresholdAge03,"&lt;"&amp;'19_Расчет_аналитики'!AN2583,WeightedRevAge03)-SUMIF(ThresholdAge03,"&lt;"&amp;'19_Расчет_аналитики'!AN2583,WeightedMinAge03),MAX(CapacityAge03*'01_Вводные'!$B$218*'19_Расчет_аналитики'!AN2583,MeanMinAge03)))</f>
        <v/>
      </c>
      <c r="AO2490">
        <f>IF(OR('19_Расчет_аналитики'!AO2462=0,3&lt;='01_Вводные'!$B$297),0,'19_Расчет_аналитики'!AO2462*IF('01_Вводные'!$B$239="Да",MeanMinAge03+'19_Расчет_аналитики'!AO2583*SUMIF(ThresholdAge03,"&lt;"&amp;'19_Расчет_аналитики'!AO2583,WeightedRevAge03)-SUMIF(ThresholdAge03,"&lt;"&amp;'19_Расчет_аналитики'!AO2583,WeightedMinAge03),MAX(CapacityAge03*'01_Вводные'!$B$218*'19_Расчет_аналитики'!AO2583,MeanMinAge03)))</f>
        <v/>
      </c>
      <c r="AP2490">
        <f>IF(OR('19_Расчет_аналитики'!AP2462=0,3&lt;='01_Вводные'!$B$297),0,'19_Расчет_аналитики'!AP2462*IF('01_Вводные'!$B$239="Да",MeanMinAge03+'19_Расчет_аналитики'!AP2583*SUMIF(ThresholdAge03,"&lt;"&amp;'19_Расчет_аналитики'!AP2583,WeightedRevAge03)-SUMIF(ThresholdAge03,"&lt;"&amp;'19_Расчет_аналитики'!AP2583,WeightedMinAge03),MAX(CapacityAge03*'01_Вводные'!$B$218*'19_Расчет_аналитики'!AP2583,MeanMinAge03)))</f>
        <v/>
      </c>
      <c r="AQ2490">
        <f>IF(OR('19_Расчет_аналитики'!AQ2462=0,3&lt;='01_Вводные'!$B$297),0,'19_Расчет_аналитики'!AQ2462*IF('01_Вводные'!$B$239="Да",MeanMinAge03+'19_Расчет_аналитики'!AQ2583*SUMIF(ThresholdAge03,"&lt;"&amp;'19_Расчет_аналитики'!AQ2583,WeightedRevAge03)-SUMIF(ThresholdAge03,"&lt;"&amp;'19_Расчет_аналитики'!AQ2583,WeightedMinAge03),MAX(CapacityAge03*'01_Вводные'!$B$218*'19_Расчет_аналитики'!AQ2583,MeanMinAge03)))</f>
        <v/>
      </c>
      <c r="AR2490">
        <f>IF(OR('19_Расчет_аналитики'!AR2462=0,3&lt;='01_Вводные'!$B$297),0,'19_Расчет_аналитики'!AR2462*IF('01_Вводные'!$B$239="Да",MeanMinAge03+'19_Расчет_аналитики'!AR2583*SUMIF(ThresholdAge03,"&lt;"&amp;'19_Расчет_аналитики'!AR2583,WeightedRevAge03)-SUMIF(ThresholdAge03,"&lt;"&amp;'19_Расчет_аналитики'!AR2583,WeightedMinAge03),MAX(CapacityAge03*'01_Вводные'!$B$218*'19_Расчет_аналитики'!AR2583,MeanMinAge03)))</f>
        <v/>
      </c>
      <c r="AS2490">
        <f>IF(OR('19_Расчет_аналитики'!AS2462=0,3&lt;='01_Вводные'!$B$297),0,'19_Расчет_аналитики'!AS2462*IF('01_Вводные'!$B$239="Да",MeanMinAge03+'19_Расчет_аналитики'!AS2583*SUMIF(ThresholdAge03,"&lt;"&amp;'19_Расчет_аналитики'!AS2583,WeightedRevAge03)-SUMIF(ThresholdAge03,"&lt;"&amp;'19_Расчет_аналитики'!AS2583,WeightedMinAge03),MAX(CapacityAge03*'01_Вводные'!$B$218*'19_Расчет_аналитики'!AS2583,MeanMinAge03)))</f>
        <v/>
      </c>
      <c r="AT2490">
        <f>IF(OR('19_Расчет_аналитики'!AT2462=0,3&lt;='01_Вводные'!$B$297),0,'19_Расчет_аналитики'!AT2462*IF('01_Вводные'!$B$239="Да",MeanMinAge03+'19_Расчет_аналитики'!AT2583*SUMIF(ThresholdAge03,"&lt;"&amp;'19_Расчет_аналитики'!AT2583,WeightedRevAge03)-SUMIF(ThresholdAge03,"&lt;"&amp;'19_Расчет_аналитики'!AT2583,WeightedMinAge03),MAX(CapacityAge03*'01_Вводные'!$B$218*'19_Расчет_аналитики'!AT2583,MeanMinAge03)))</f>
        <v/>
      </c>
      <c r="AU2490">
        <f>IF(OR('19_Расчет_аналитики'!AU2462=0,3&lt;='01_Вводные'!$B$297),0,'19_Расчет_аналитики'!AU2462*IF('01_Вводные'!$B$239="Да",MeanMinAge03+'19_Расчет_аналитики'!AU2583*SUMIF(ThresholdAge03,"&lt;"&amp;'19_Расчет_аналитики'!AU2583,WeightedRevAge03)-SUMIF(ThresholdAge03,"&lt;"&amp;'19_Расчет_аналитики'!AU2583,WeightedMinAge03),MAX(CapacityAge03*'01_Вводные'!$B$218*'19_Расчет_аналитики'!AU2583,MeanMinAge03)))</f>
        <v/>
      </c>
      <c r="AV2490">
        <f>IF(OR('19_Расчет_аналитики'!AV2462=0,3&lt;='01_Вводные'!$B$297),0,'19_Расчет_аналитики'!AV2462*IF('01_Вводные'!$B$239="Да",MeanMinAge03+'19_Расчет_аналитики'!AV2583*SUMIF(ThresholdAge03,"&lt;"&amp;'19_Расчет_аналитики'!AV2583,WeightedRevAge03)-SUMIF(ThresholdAge03,"&lt;"&amp;'19_Расчет_аналитики'!AV2583,WeightedMinAge03),MAX(CapacityAge03*'01_Вводные'!$B$218*'19_Расчет_аналитики'!AV2583,MeanMinAge03)))</f>
        <v/>
      </c>
      <c r="AW2490">
        <f>IF(OR('19_Расчет_аналитики'!AW2462=0,3&lt;='01_Вводные'!$B$297),0,'19_Расчет_аналитики'!AW2462*IF('01_Вводные'!$B$239="Да",MeanMinAge03+'19_Расчет_аналитики'!AW2583*SUMIF(ThresholdAge03,"&lt;"&amp;'19_Расчет_аналитики'!AW2583,WeightedRevAge03)-SUMIF(ThresholdAge03,"&lt;"&amp;'19_Расчет_аналитики'!AW2583,WeightedMinAge03),MAX(CapacityAge03*'01_Вводные'!$B$218*'19_Расчет_аналитики'!AW2583,MeanMinAge03)))</f>
        <v/>
      </c>
      <c r="AX2490">
        <f>IF(OR('19_Расчет_аналитики'!AX2462=0,3&lt;='01_Вводные'!$B$297),0,'19_Расчет_аналитики'!AX2462*IF('01_Вводные'!$B$239="Да",MeanMinAge03+'19_Расчет_аналитики'!AX2583*SUMIF(ThresholdAge03,"&lt;"&amp;'19_Расчет_аналитики'!AX2583,WeightedRevAge03)-SUMIF(ThresholdAge03,"&lt;"&amp;'19_Расчет_аналитики'!AX2583,WeightedMinAge03),MAX(CapacityAge03*'01_Вводные'!$B$218*'19_Расчет_аналитики'!AX2583,MeanMinAge03)))</f>
        <v/>
      </c>
      <c r="AY2490">
        <f>IF(OR('19_Расчет_аналитики'!AY2462=0,3&lt;='01_Вводные'!$B$297),0,'19_Расчет_аналитики'!AY2462*IF('01_Вводные'!$B$239="Да",MeanMinAge03+'19_Расчет_аналитики'!AY2583*SUMIF(ThresholdAge03,"&lt;"&amp;'19_Расчет_аналитики'!AY2583,WeightedRevAge03)-SUMIF(ThresholdAge03,"&lt;"&amp;'19_Расчет_аналитики'!AY2583,WeightedMinAge03),MAX(CapacityAge03*'01_Вводные'!$B$218*'19_Расчет_аналитики'!AY2583,MeanMinAge03)))</f>
        <v/>
      </c>
      <c r="AZ2490">
        <f>IF(OR('19_Расчет_аналитики'!AZ2462=0,3&lt;='01_Вводные'!$B$297),0,'19_Расчет_аналитики'!AZ2462*IF('01_Вводные'!$B$239="Да",MeanMinAge03+'19_Расчет_аналитики'!AZ2583*SUMIF(ThresholdAge03,"&lt;"&amp;'19_Расчет_аналитики'!AZ2583,WeightedRevAge03)-SUMIF(ThresholdAge03,"&lt;"&amp;'19_Расчет_аналитики'!AZ2583,WeightedMinAge03),MAX(CapacityAge03*'01_Вводные'!$B$218*'19_Расчет_аналитики'!AZ2583,MeanMinAge03)))</f>
        <v/>
      </c>
      <c r="BA2490">
        <f>IF(OR('19_Расчет_аналитики'!BA2462=0,3&lt;='01_Вводные'!$B$297),0,'19_Расчет_аналитики'!BA2462*IF('01_Вводные'!$B$239="Да",MeanMinAge03+'19_Расчет_аналитики'!BA2583*SUMIF(ThresholdAge03,"&lt;"&amp;'19_Расчет_аналитики'!BA2583,WeightedRevAge03)-SUMIF(ThresholdAge03,"&lt;"&amp;'19_Расчет_аналитики'!BA2583,WeightedMinAge03),MAX(CapacityAge03*'01_Вводные'!$B$218*'19_Расчет_аналитики'!BA2583,MeanMinAge03)))</f>
        <v/>
      </c>
      <c r="BB2490">
        <f>IF(OR('19_Расчет_аналитики'!BB2462=0,3&lt;='01_Вводные'!$B$297),0,'19_Расчет_аналитики'!BB2462*IF('01_Вводные'!$B$239="Да",MeanMinAge03+'19_Расчет_аналитики'!BB2583*SUMIF(ThresholdAge03,"&lt;"&amp;'19_Расчет_аналитики'!BB2583,WeightedRevAge03)-SUMIF(ThresholdAge03,"&lt;"&amp;'19_Расчет_аналитики'!BB2583,WeightedMinAge03),MAX(CapacityAge03*'01_Вводные'!$B$218*'19_Расчет_аналитики'!BB2583,MeanMinAge03)))</f>
        <v/>
      </c>
      <c r="BC2490">
        <f>IF(OR('19_Расчет_аналитики'!BC2462=0,3&lt;='01_Вводные'!$B$297),0,'19_Расчет_аналитики'!BC2462*IF('01_Вводные'!$B$239="Да",MeanMinAge03+'19_Расчет_аналитики'!BC2583*SUMIF(ThresholdAge03,"&lt;"&amp;'19_Расчет_аналитики'!BC2583,WeightedRevAge03)-SUMIF(ThresholdAge03,"&lt;"&amp;'19_Расчет_аналитики'!BC2583,WeightedMinAge03),MAX(CapacityAge03*'01_Вводные'!$B$218*'19_Расчет_аналитики'!BC2583,MeanMinAge03)))</f>
        <v/>
      </c>
      <c r="BD2490">
        <f>IF(OR('19_Расчет_аналитики'!BD2462=0,3&lt;='01_Вводные'!$B$297),0,'19_Расчет_аналитики'!BD2462*IF('01_Вводные'!$B$239="Да",MeanMinAge03+'19_Расчет_аналитики'!BD2583*SUMIF(ThresholdAge03,"&lt;"&amp;'19_Расчет_аналитики'!BD2583,WeightedRevAge03)-SUMIF(ThresholdAge03,"&lt;"&amp;'19_Расчет_аналитики'!BD2583,WeightedMinAge03),MAX(CapacityAge03*'01_Вводные'!$B$218*'19_Расчет_аналитики'!BD2583,MeanMinAge03)))</f>
        <v/>
      </c>
      <c r="BE2490">
        <f>IF(OR('19_Расчет_аналитики'!BE2462=0,3&lt;='01_Вводные'!$B$297),0,'19_Расчет_аналитики'!BE2462*IF('01_Вводные'!$B$239="Да",MeanMinAge03+'19_Расчет_аналитики'!BE2583*SUMIF(ThresholdAge03,"&lt;"&amp;'19_Расчет_аналитики'!BE2583,WeightedRevAge03)-SUMIF(ThresholdAge03,"&lt;"&amp;'19_Расчет_аналитики'!BE2583,WeightedMinAge03),MAX(CapacityAge03*'01_Вводные'!$B$218*'19_Расчет_аналитики'!BE2583,MeanMinAge03)))</f>
        <v/>
      </c>
      <c r="BF2490">
        <f>IF(OR('19_Расчет_аналитики'!BF2462=0,3&lt;='01_Вводные'!$B$297),0,'19_Расчет_аналитики'!BF2462*IF('01_Вводные'!$B$239="Да",MeanMinAge03+'19_Расчет_аналитики'!BF2583*SUMIF(ThresholdAge03,"&lt;"&amp;'19_Расчет_аналитики'!BF2583,WeightedRevAge03)-SUMIF(ThresholdAge03,"&lt;"&amp;'19_Расчет_аналитики'!BF2583,WeightedMinAge03),MAX(CapacityAge03*'01_Вводные'!$B$218*'19_Расчет_аналитики'!BF2583,MeanMinAge03)))</f>
        <v/>
      </c>
      <c r="BG2490">
        <f>IF(OR('19_Расчет_аналитики'!BG2462=0,3&lt;='01_Вводные'!$B$297),0,'19_Расчет_аналитики'!BG2462*IF('01_Вводные'!$B$239="Да",MeanMinAge03+'19_Расчет_аналитики'!BG2583*SUMIF(ThresholdAge03,"&lt;"&amp;'19_Расчет_аналитики'!BG2583,WeightedRevAge03)-SUMIF(ThresholdAge03,"&lt;"&amp;'19_Расчет_аналитики'!BG2583,WeightedMinAge03),MAX(CapacityAge03*'01_Вводные'!$B$218*'19_Расчет_аналитики'!BG2583,MeanMinAge03)))</f>
        <v/>
      </c>
      <c r="BH2490">
        <f>IF(OR('19_Расчет_аналитики'!BH2462=0,3&lt;='01_Вводные'!$B$297),0,'19_Расчет_аналитики'!BH2462*IF('01_Вводные'!$B$239="Да",MeanMinAge03+'19_Расчет_аналитики'!BH2583*SUMIF(ThresholdAge03,"&lt;"&amp;'19_Расчет_аналитики'!BH2583,WeightedRevAge03)-SUMIF(ThresholdAge03,"&lt;"&amp;'19_Расчет_аналитики'!BH2583,WeightedMinAge03),MAX(CapacityAge03*'01_Вводные'!$B$218*'19_Расчет_аналитики'!BH2583,MeanMinAge03)))</f>
        <v/>
      </c>
      <c r="BI2490">
        <f>IF(OR('19_Расчет_аналитики'!BI2462=0,3&lt;='01_Вводные'!$B$297),0,'19_Расчет_аналитики'!BI2462*IF('01_Вводные'!$B$239="Да",MeanMinAge03+'19_Расчет_аналитики'!BI2583*SUMIF(ThresholdAge03,"&lt;"&amp;'19_Расчет_аналитики'!BI2583,WeightedRevAge03)-SUMIF(ThresholdAge03,"&lt;"&amp;'19_Расчет_аналитики'!BI2583,WeightedMinAge03),MAX(CapacityAge03*'01_Вводные'!$B$218*'19_Расчет_аналитики'!BI2583,MeanMinAge03)))</f>
        <v/>
      </c>
      <c r="BJ2490">
        <f>IF(OR('19_Расчет_аналитики'!BJ2462=0,3&lt;='01_Вводные'!$B$297),0,'19_Расчет_аналитики'!BJ2462*IF('01_Вводные'!$B$239="Да",MeanMinAge03+'19_Расчет_аналитики'!BJ2583*SUMIF(ThresholdAge03,"&lt;"&amp;'19_Расчет_аналитики'!BJ2583,WeightedRevAge03)-SUMIF(ThresholdAge03,"&lt;"&amp;'19_Расчет_аналитики'!BJ2583,WeightedMinAge03),MAX(CapacityAge03*'01_Вводные'!$B$218*'19_Расчет_аналитики'!BJ2583,MeanMinAge03)))</f>
        <v/>
      </c>
      <c r="BK2490">
        <f>IF(OR('19_Расчет_аналитики'!BK2462=0,3&lt;='01_Вводные'!$B$297),0,'19_Расчет_аналитики'!BK2462*IF('01_Вводные'!$B$239="Да",MeanMinAge03+'19_Расчет_аналитики'!BK2583*SUMIF(ThresholdAge03,"&lt;"&amp;'19_Расчет_аналитики'!BK2583,WeightedRevAge03)-SUMIF(ThresholdAge03,"&lt;"&amp;'19_Расчет_аналитики'!BK2583,WeightedMinAge03),MAX(CapacityAge03*'01_Вводные'!$B$218*'19_Расчет_аналитики'!BK2583,MeanMinAge03)))</f>
        <v/>
      </c>
      <c r="BL2490">
        <f>IF(OR('19_Расчет_аналитики'!BL2462=0,3&lt;='01_Вводные'!$B$297),0,'19_Расчет_аналитики'!BL2462*IF('01_Вводные'!$B$239="Да",MeanMinAge03+'19_Расчет_аналитики'!BL2583*SUMIF(ThresholdAge03,"&lt;"&amp;'19_Расчет_аналитики'!BL2583,WeightedRevAge03)-SUMIF(ThresholdAge03,"&lt;"&amp;'19_Расчет_аналитики'!BL2583,WeightedMinAge03),MAX(CapacityAge03*'01_Вводные'!$B$218*'19_Расчет_аналитики'!BL2583,MeanMinAge03)))</f>
        <v/>
      </c>
      <c r="BM2490">
        <f>IF(OR('19_Расчет_аналитики'!BM2462=0,3&lt;='01_Вводные'!$B$297),0,'19_Расчет_аналитики'!BM2462*IF('01_Вводные'!$B$239="Да",MeanMinAge03+'19_Расчет_аналитики'!BM2583*SUMIF(ThresholdAge03,"&lt;"&amp;'19_Расчет_аналитики'!BM2583,WeightedRevAge03)-SUMIF(ThresholdAge03,"&lt;"&amp;'19_Расчет_аналитики'!BM2583,WeightedMinAge03),MAX(CapacityAge03*'01_Вводные'!$B$218*'19_Расчет_аналитики'!BM2583,MeanMinAge03)))</f>
        <v/>
      </c>
      <c r="BN2490">
        <f>IF(OR('19_Расчет_аналитики'!BN2462=0,3&lt;='01_Вводные'!$B$297),0,'19_Расчет_аналитики'!BN2462*IF('01_Вводные'!$B$239="Да",MeanMinAge03+'19_Расчет_аналитики'!BN2583*SUMIF(ThresholdAge03,"&lt;"&amp;'19_Расчет_аналитики'!BN2583,WeightedRevAge03)-SUMIF(ThresholdAge03,"&lt;"&amp;'19_Расчет_аналитики'!BN2583,WeightedMinAge03),MAX(CapacityAge03*'01_Вводные'!$B$218*'19_Расчет_аналитики'!BN2583,MeanMinAge03)))</f>
        <v/>
      </c>
      <c r="BO2490">
        <f>IF(OR('19_Расчет_аналитики'!BO2462=0,3&lt;='01_Вводные'!$B$297),0,'19_Расчет_аналитики'!BO2462*IF('01_Вводные'!$B$239="Да",MeanMinAge03+'19_Расчет_аналитики'!BO2583*SUMIF(ThresholdAge03,"&lt;"&amp;'19_Расчет_аналитики'!BO2583,WeightedRevAge03)-SUMIF(ThresholdAge03,"&lt;"&amp;'19_Расчет_аналитики'!BO2583,WeightedMinAge03),MAX(CapacityAge03*'01_Вводные'!$B$218*'19_Расчет_аналитики'!BO2583,MeanMinAge03)))</f>
        <v/>
      </c>
    </row>
    <row r="2491">
      <c r="B2491">
        <f>IF(OR('06_Сеть_и_дети'!B84=0,4&lt;='01_Вводные'!$B$297),0,'06_Сеть_и_дети'!B84*IF('01_Вводные'!$B$239="Да",MeanMinAge04+'19_Расчет_аналитики'!B2583*SUMIF(ThresholdAge04,"&lt;"&amp;'19_Расчет_аналитики'!B2583,WeightedRevAge04)-SUMIF(ThresholdAge04,"&lt;"&amp;'19_Расчет_аналитики'!B2583,WeightedMinAge04),MAX(CapacityAge04*'01_Вводные'!$B$218*'19_Расчет_аналитики'!B2583,MeanMinAge04)))</f>
        <v/>
      </c>
      <c r="C2491">
        <f>IF(OR('06_Сеть_и_дети'!C84=0,4&lt;='01_Вводные'!$B$297),0,'06_Сеть_и_дети'!C84*IF('01_Вводные'!$B$239="Да",MeanMinAge04+'19_Расчет_аналитики'!C2583*SUMIF(ThresholdAge04,"&lt;"&amp;'19_Расчет_аналитики'!C2583,WeightedRevAge04)-SUMIF(ThresholdAge04,"&lt;"&amp;'19_Расчет_аналитики'!C2583,WeightedMinAge04),MAX(CapacityAge04*'01_Вводные'!$B$218*'19_Расчет_аналитики'!C2583,MeanMinAge04)))</f>
        <v/>
      </c>
      <c r="D2491">
        <f>IF(OR('06_Сеть_и_дети'!D84=0,4&lt;='01_Вводные'!$B$297),0,'06_Сеть_и_дети'!D84*IF('01_Вводные'!$B$239="Да",MeanMinAge04+'19_Расчет_аналитики'!D2583*SUMIF(ThresholdAge04,"&lt;"&amp;'19_Расчет_аналитики'!D2583,WeightedRevAge04)-SUMIF(ThresholdAge04,"&lt;"&amp;'19_Расчет_аналитики'!D2583,WeightedMinAge04),MAX(CapacityAge04*'01_Вводные'!$B$218*'19_Расчет_аналитики'!D2583,MeanMinAge04)))</f>
        <v/>
      </c>
      <c r="E2491">
        <f>IF(OR('19_Расчет_аналитики'!E2463=0,4&lt;='01_Вводные'!$B$297),0,'19_Расчет_аналитики'!E2463*IF('01_Вводные'!$B$239="Да",MeanMinAge04+'19_Расчет_аналитики'!E2583*SUMIF(ThresholdAge04,"&lt;"&amp;'19_Расчет_аналитики'!E2583,WeightedRevAge04)-SUMIF(ThresholdAge04,"&lt;"&amp;'19_Расчет_аналитики'!E2583,WeightedMinAge04),MAX(CapacityAge04*'01_Вводные'!$B$218*'19_Расчет_аналитики'!E2583,MeanMinAge04)))</f>
        <v/>
      </c>
      <c r="F2491">
        <f>IF(OR('19_Расчет_аналитики'!F2463=0,4&lt;='01_Вводные'!$B$297),0,'19_Расчет_аналитики'!F2463*IF('01_Вводные'!$B$239="Да",MeanMinAge04+'19_Расчет_аналитики'!F2583*SUMIF(ThresholdAge04,"&lt;"&amp;'19_Расчет_аналитики'!F2583,WeightedRevAge04)-SUMIF(ThresholdAge04,"&lt;"&amp;'19_Расчет_аналитики'!F2583,WeightedMinAge04),MAX(CapacityAge04*'01_Вводные'!$B$218*'19_Расчет_аналитики'!F2583,MeanMinAge04)))</f>
        <v/>
      </c>
      <c r="G2491">
        <f>IF(OR('19_Расчет_аналитики'!G2463=0,4&lt;='01_Вводные'!$B$297),0,'19_Расчет_аналитики'!G2463*IF('01_Вводные'!$B$239="Да",MeanMinAge04+'19_Расчет_аналитики'!G2583*SUMIF(ThresholdAge04,"&lt;"&amp;'19_Расчет_аналитики'!G2583,WeightedRevAge04)-SUMIF(ThresholdAge04,"&lt;"&amp;'19_Расчет_аналитики'!G2583,WeightedMinAge04),MAX(CapacityAge04*'01_Вводные'!$B$218*'19_Расчет_аналитики'!G2583,MeanMinAge04)))</f>
        <v/>
      </c>
      <c r="H2491">
        <f>IF(OR('19_Расчет_аналитики'!H2463=0,4&lt;='01_Вводные'!$B$297),0,'19_Расчет_аналитики'!H2463*IF('01_Вводные'!$B$239="Да",MeanMinAge04+'19_Расчет_аналитики'!H2583*SUMIF(ThresholdAge04,"&lt;"&amp;'19_Расчет_аналитики'!H2583,WeightedRevAge04)-SUMIF(ThresholdAge04,"&lt;"&amp;'19_Расчет_аналитики'!H2583,WeightedMinAge04),MAX(CapacityAge04*'01_Вводные'!$B$218*'19_Расчет_аналитики'!H2583,MeanMinAge04)))</f>
        <v/>
      </c>
      <c r="I2491">
        <f>IF(OR('19_Расчет_аналитики'!I2463=0,4&lt;='01_Вводные'!$B$297),0,'19_Расчет_аналитики'!I2463*IF('01_Вводные'!$B$239="Да",MeanMinAge04+'19_Расчет_аналитики'!I2583*SUMIF(ThresholdAge04,"&lt;"&amp;'19_Расчет_аналитики'!I2583,WeightedRevAge04)-SUMIF(ThresholdAge04,"&lt;"&amp;'19_Расчет_аналитики'!I2583,WeightedMinAge04),MAX(CapacityAge04*'01_Вводные'!$B$218*'19_Расчет_аналитики'!I2583,MeanMinAge04)))</f>
        <v/>
      </c>
      <c r="J2491">
        <f>IF(OR('19_Расчет_аналитики'!J2463=0,4&lt;='01_Вводные'!$B$297),0,'19_Расчет_аналитики'!J2463*IF('01_Вводные'!$B$239="Да",MeanMinAge04+'19_Расчет_аналитики'!J2583*SUMIF(ThresholdAge04,"&lt;"&amp;'19_Расчет_аналитики'!J2583,WeightedRevAge04)-SUMIF(ThresholdAge04,"&lt;"&amp;'19_Расчет_аналитики'!J2583,WeightedMinAge04),MAX(CapacityAge04*'01_Вводные'!$B$218*'19_Расчет_аналитики'!J2583,MeanMinAge04)))</f>
        <v/>
      </c>
      <c r="K2491">
        <f>IF(OR('19_Расчет_аналитики'!K2463=0,4&lt;='01_Вводные'!$B$297),0,'19_Расчет_аналитики'!K2463*IF('01_Вводные'!$B$239="Да",MeanMinAge04+'19_Расчет_аналитики'!K2583*SUMIF(ThresholdAge04,"&lt;"&amp;'19_Расчет_аналитики'!K2583,WeightedRevAge04)-SUMIF(ThresholdAge04,"&lt;"&amp;'19_Расчет_аналитики'!K2583,WeightedMinAge04),MAX(CapacityAge04*'01_Вводные'!$B$218*'19_Расчет_аналитики'!K2583,MeanMinAge04)))</f>
        <v/>
      </c>
      <c r="L2491">
        <f>IF(OR('19_Расчет_аналитики'!L2463=0,4&lt;='01_Вводные'!$B$297),0,'19_Расчет_аналитики'!L2463*IF('01_Вводные'!$B$239="Да",MeanMinAge04+'19_Расчет_аналитики'!L2583*SUMIF(ThresholdAge04,"&lt;"&amp;'19_Расчет_аналитики'!L2583,WeightedRevAge04)-SUMIF(ThresholdAge04,"&lt;"&amp;'19_Расчет_аналитики'!L2583,WeightedMinAge04),MAX(CapacityAge04*'01_Вводные'!$B$218*'19_Расчет_аналитики'!L2583,MeanMinAge04)))</f>
        <v/>
      </c>
      <c r="M2491">
        <f>IF(OR('19_Расчет_аналитики'!M2463=0,4&lt;='01_Вводные'!$B$297),0,'19_Расчет_аналитики'!M2463*IF('01_Вводные'!$B$239="Да",MeanMinAge04+'19_Расчет_аналитики'!M2583*SUMIF(ThresholdAge04,"&lt;"&amp;'19_Расчет_аналитики'!M2583,WeightedRevAge04)-SUMIF(ThresholdAge04,"&lt;"&amp;'19_Расчет_аналитики'!M2583,WeightedMinAge04),MAX(CapacityAge04*'01_Вводные'!$B$218*'19_Расчет_аналитики'!M2583,MeanMinAge04)))</f>
        <v/>
      </c>
      <c r="N2491">
        <f>IF(OR('19_Расчет_аналитики'!N2463=0,4&lt;='01_Вводные'!$B$297),0,'19_Расчет_аналитики'!N2463*IF('01_Вводные'!$B$239="Да",MeanMinAge04+'19_Расчет_аналитики'!N2583*SUMIF(ThresholdAge04,"&lt;"&amp;'19_Расчет_аналитики'!N2583,WeightedRevAge04)-SUMIF(ThresholdAge04,"&lt;"&amp;'19_Расчет_аналитики'!N2583,WeightedMinAge04),MAX(CapacityAge04*'01_Вводные'!$B$218*'19_Расчет_аналитики'!N2583,MeanMinAge04)))</f>
        <v/>
      </c>
      <c r="O2491">
        <f>IF(OR('19_Расчет_аналитики'!O2463=0,4&lt;='01_Вводные'!$B$297),0,'19_Расчет_аналитики'!O2463*IF('01_Вводные'!$B$239="Да",MeanMinAge04+'19_Расчет_аналитики'!O2583*SUMIF(ThresholdAge04,"&lt;"&amp;'19_Расчет_аналитики'!O2583,WeightedRevAge04)-SUMIF(ThresholdAge04,"&lt;"&amp;'19_Расчет_аналитики'!O2583,WeightedMinAge04),MAX(CapacityAge04*'01_Вводные'!$B$218*'19_Расчет_аналитики'!O2583,MeanMinAge04)))</f>
        <v/>
      </c>
      <c r="P2491">
        <f>IF(OR('19_Расчет_аналитики'!P2463=0,4&lt;='01_Вводные'!$B$297),0,'19_Расчет_аналитики'!P2463*IF('01_Вводные'!$B$239="Да",MeanMinAge04+'19_Расчет_аналитики'!P2583*SUMIF(ThresholdAge04,"&lt;"&amp;'19_Расчет_аналитики'!P2583,WeightedRevAge04)-SUMIF(ThresholdAge04,"&lt;"&amp;'19_Расчет_аналитики'!P2583,WeightedMinAge04),MAX(CapacityAge04*'01_Вводные'!$B$218*'19_Расчет_аналитики'!P2583,MeanMinAge04)))</f>
        <v/>
      </c>
      <c r="Q2491">
        <f>IF(OR('19_Расчет_аналитики'!Q2463=0,4&lt;='01_Вводные'!$B$297),0,'19_Расчет_аналитики'!Q2463*IF('01_Вводные'!$B$239="Да",MeanMinAge04+'19_Расчет_аналитики'!Q2583*SUMIF(ThresholdAge04,"&lt;"&amp;'19_Расчет_аналитики'!Q2583,WeightedRevAge04)-SUMIF(ThresholdAge04,"&lt;"&amp;'19_Расчет_аналитики'!Q2583,WeightedMinAge04),MAX(CapacityAge04*'01_Вводные'!$B$218*'19_Расчет_аналитики'!Q2583,MeanMinAge04)))</f>
        <v/>
      </c>
      <c r="R2491">
        <f>IF(OR('19_Расчет_аналитики'!R2463=0,4&lt;='01_Вводные'!$B$297),0,'19_Расчет_аналитики'!R2463*IF('01_Вводные'!$B$239="Да",MeanMinAge04+'19_Расчет_аналитики'!R2583*SUMIF(ThresholdAge04,"&lt;"&amp;'19_Расчет_аналитики'!R2583,WeightedRevAge04)-SUMIF(ThresholdAge04,"&lt;"&amp;'19_Расчет_аналитики'!R2583,WeightedMinAge04),MAX(CapacityAge04*'01_Вводные'!$B$218*'19_Расчет_аналитики'!R2583,MeanMinAge04)))</f>
        <v/>
      </c>
      <c r="S2491">
        <f>IF(OR('19_Расчет_аналитики'!S2463=0,4&lt;='01_Вводные'!$B$297),0,'19_Расчет_аналитики'!S2463*IF('01_Вводные'!$B$239="Да",MeanMinAge04+'19_Расчет_аналитики'!S2583*SUMIF(ThresholdAge04,"&lt;"&amp;'19_Расчет_аналитики'!S2583,WeightedRevAge04)-SUMIF(ThresholdAge04,"&lt;"&amp;'19_Расчет_аналитики'!S2583,WeightedMinAge04),MAX(CapacityAge04*'01_Вводные'!$B$218*'19_Расчет_аналитики'!S2583,MeanMinAge04)))</f>
        <v/>
      </c>
      <c r="T2491">
        <f>IF(OR('19_Расчет_аналитики'!T2463=0,4&lt;='01_Вводные'!$B$297),0,'19_Расчет_аналитики'!T2463*IF('01_Вводные'!$B$239="Да",MeanMinAge04+'19_Расчет_аналитики'!T2583*SUMIF(ThresholdAge04,"&lt;"&amp;'19_Расчет_аналитики'!T2583,WeightedRevAge04)-SUMIF(ThresholdAge04,"&lt;"&amp;'19_Расчет_аналитики'!T2583,WeightedMinAge04),MAX(CapacityAge04*'01_Вводные'!$B$218*'19_Расчет_аналитики'!T2583,MeanMinAge04)))</f>
        <v/>
      </c>
      <c r="U2491">
        <f>IF(OR('19_Расчет_аналитики'!U2463=0,4&lt;='01_Вводные'!$B$297),0,'19_Расчет_аналитики'!U2463*IF('01_Вводные'!$B$239="Да",MeanMinAge04+'19_Расчет_аналитики'!U2583*SUMIF(ThresholdAge04,"&lt;"&amp;'19_Расчет_аналитики'!U2583,WeightedRevAge04)-SUMIF(ThresholdAge04,"&lt;"&amp;'19_Расчет_аналитики'!U2583,WeightedMinAge04),MAX(CapacityAge04*'01_Вводные'!$B$218*'19_Расчет_аналитики'!U2583,MeanMinAge04)))</f>
        <v/>
      </c>
      <c r="V2491">
        <f>IF(OR('19_Расчет_аналитики'!V2463=0,4&lt;='01_Вводные'!$B$297),0,'19_Расчет_аналитики'!V2463*IF('01_Вводные'!$B$239="Да",MeanMinAge04+'19_Расчет_аналитики'!V2583*SUMIF(ThresholdAge04,"&lt;"&amp;'19_Расчет_аналитики'!V2583,WeightedRevAge04)-SUMIF(ThresholdAge04,"&lt;"&amp;'19_Расчет_аналитики'!V2583,WeightedMinAge04),MAX(CapacityAge04*'01_Вводные'!$B$218*'19_Расчет_аналитики'!V2583,MeanMinAge04)))</f>
        <v/>
      </c>
      <c r="W2491">
        <f>IF(OR('19_Расчет_аналитики'!W2463=0,4&lt;='01_Вводные'!$B$297),0,'19_Расчет_аналитики'!W2463*IF('01_Вводные'!$B$239="Да",MeanMinAge04+'19_Расчет_аналитики'!W2583*SUMIF(ThresholdAge04,"&lt;"&amp;'19_Расчет_аналитики'!W2583,WeightedRevAge04)-SUMIF(ThresholdAge04,"&lt;"&amp;'19_Расчет_аналитики'!W2583,WeightedMinAge04),MAX(CapacityAge04*'01_Вводные'!$B$218*'19_Расчет_аналитики'!W2583,MeanMinAge04)))</f>
        <v/>
      </c>
      <c r="X2491">
        <f>IF(OR('19_Расчет_аналитики'!X2463=0,4&lt;='01_Вводные'!$B$297),0,'19_Расчет_аналитики'!X2463*IF('01_Вводные'!$B$239="Да",MeanMinAge04+'19_Расчет_аналитики'!X2583*SUMIF(ThresholdAge04,"&lt;"&amp;'19_Расчет_аналитики'!X2583,WeightedRevAge04)-SUMIF(ThresholdAge04,"&lt;"&amp;'19_Расчет_аналитики'!X2583,WeightedMinAge04),MAX(CapacityAge04*'01_Вводные'!$B$218*'19_Расчет_аналитики'!X2583,MeanMinAge04)))</f>
        <v/>
      </c>
      <c r="Y2491">
        <f>IF(OR('19_Расчет_аналитики'!Y2463=0,4&lt;='01_Вводные'!$B$297),0,'19_Расчет_аналитики'!Y2463*IF('01_Вводные'!$B$239="Да",MeanMinAge04+'19_Расчет_аналитики'!Y2583*SUMIF(ThresholdAge04,"&lt;"&amp;'19_Расчет_аналитики'!Y2583,WeightedRevAge04)-SUMIF(ThresholdAge04,"&lt;"&amp;'19_Расчет_аналитики'!Y2583,WeightedMinAge04),MAX(CapacityAge04*'01_Вводные'!$B$218*'19_Расчет_аналитики'!Y2583,MeanMinAge04)))</f>
        <v/>
      </c>
      <c r="Z2491">
        <f>IF(OR('19_Расчет_аналитики'!Z2463=0,4&lt;='01_Вводные'!$B$297),0,'19_Расчет_аналитики'!Z2463*IF('01_Вводные'!$B$239="Да",MeanMinAge04+'19_Расчет_аналитики'!Z2583*SUMIF(ThresholdAge04,"&lt;"&amp;'19_Расчет_аналитики'!Z2583,WeightedRevAge04)-SUMIF(ThresholdAge04,"&lt;"&amp;'19_Расчет_аналитики'!Z2583,WeightedMinAge04),MAX(CapacityAge04*'01_Вводные'!$B$218*'19_Расчет_аналитики'!Z2583,MeanMinAge04)))</f>
        <v/>
      </c>
      <c r="AA2491">
        <f>IF(OR('19_Расчет_аналитики'!AA2463=0,4&lt;='01_Вводные'!$B$297),0,'19_Расчет_аналитики'!AA2463*IF('01_Вводные'!$B$239="Да",MeanMinAge04+'19_Расчет_аналитики'!AA2583*SUMIF(ThresholdAge04,"&lt;"&amp;'19_Расчет_аналитики'!AA2583,WeightedRevAge04)-SUMIF(ThresholdAge04,"&lt;"&amp;'19_Расчет_аналитики'!AA2583,WeightedMinAge04),MAX(CapacityAge04*'01_Вводные'!$B$218*'19_Расчет_аналитики'!AA2583,MeanMinAge04)))</f>
        <v/>
      </c>
      <c r="AB2491">
        <f>IF(OR('19_Расчет_аналитики'!AB2463=0,4&lt;='01_Вводные'!$B$297),0,'19_Расчет_аналитики'!AB2463*IF('01_Вводные'!$B$239="Да",MeanMinAge04+'19_Расчет_аналитики'!AB2583*SUMIF(ThresholdAge04,"&lt;"&amp;'19_Расчет_аналитики'!AB2583,WeightedRevAge04)-SUMIF(ThresholdAge04,"&lt;"&amp;'19_Расчет_аналитики'!AB2583,WeightedMinAge04),MAX(CapacityAge04*'01_Вводные'!$B$218*'19_Расчет_аналитики'!AB2583,MeanMinAge04)))</f>
        <v/>
      </c>
      <c r="AC2491">
        <f>IF(OR('19_Расчет_аналитики'!AC2463=0,4&lt;='01_Вводные'!$B$297),0,'19_Расчет_аналитики'!AC2463*IF('01_Вводные'!$B$239="Да",MeanMinAge04+'19_Расчет_аналитики'!AC2583*SUMIF(ThresholdAge04,"&lt;"&amp;'19_Расчет_аналитики'!AC2583,WeightedRevAge04)-SUMIF(ThresholdAge04,"&lt;"&amp;'19_Расчет_аналитики'!AC2583,WeightedMinAge04),MAX(CapacityAge04*'01_Вводные'!$B$218*'19_Расчет_аналитики'!AC2583,MeanMinAge04)))</f>
        <v/>
      </c>
      <c r="AD2491">
        <f>IF(OR('19_Расчет_аналитики'!AD2463=0,4&lt;='01_Вводные'!$B$297),0,'19_Расчет_аналитики'!AD2463*IF('01_Вводные'!$B$239="Да",MeanMinAge04+'19_Расчет_аналитики'!AD2583*SUMIF(ThresholdAge04,"&lt;"&amp;'19_Расчет_аналитики'!AD2583,WeightedRevAge04)-SUMIF(ThresholdAge04,"&lt;"&amp;'19_Расчет_аналитики'!AD2583,WeightedMinAge04),MAX(CapacityAge04*'01_Вводные'!$B$218*'19_Расчет_аналитики'!AD2583,MeanMinAge04)))</f>
        <v/>
      </c>
      <c r="AE2491">
        <f>IF(OR('19_Расчет_аналитики'!AE2463=0,4&lt;='01_Вводные'!$B$297),0,'19_Расчет_аналитики'!AE2463*IF('01_Вводные'!$B$239="Да",MeanMinAge04+'19_Расчет_аналитики'!AE2583*SUMIF(ThresholdAge04,"&lt;"&amp;'19_Расчет_аналитики'!AE2583,WeightedRevAge04)-SUMIF(ThresholdAge04,"&lt;"&amp;'19_Расчет_аналитики'!AE2583,WeightedMinAge04),MAX(CapacityAge04*'01_Вводные'!$B$218*'19_Расчет_аналитики'!AE2583,MeanMinAge04)))</f>
        <v/>
      </c>
      <c r="AF2491">
        <f>IF(OR('19_Расчет_аналитики'!AF2463=0,4&lt;='01_Вводные'!$B$297),0,'19_Расчет_аналитики'!AF2463*IF('01_Вводные'!$B$239="Да",MeanMinAge04+'19_Расчет_аналитики'!AF2583*SUMIF(ThresholdAge04,"&lt;"&amp;'19_Расчет_аналитики'!AF2583,WeightedRevAge04)-SUMIF(ThresholdAge04,"&lt;"&amp;'19_Расчет_аналитики'!AF2583,WeightedMinAge04),MAX(CapacityAge04*'01_Вводные'!$B$218*'19_Расчет_аналитики'!AF2583,MeanMinAge04)))</f>
        <v/>
      </c>
      <c r="AG2491">
        <f>IF(OR('19_Расчет_аналитики'!AG2463=0,4&lt;='01_Вводные'!$B$297),0,'19_Расчет_аналитики'!AG2463*IF('01_Вводные'!$B$239="Да",MeanMinAge04+'19_Расчет_аналитики'!AG2583*SUMIF(ThresholdAge04,"&lt;"&amp;'19_Расчет_аналитики'!AG2583,WeightedRevAge04)-SUMIF(ThresholdAge04,"&lt;"&amp;'19_Расчет_аналитики'!AG2583,WeightedMinAge04),MAX(CapacityAge04*'01_Вводные'!$B$218*'19_Расчет_аналитики'!AG2583,MeanMinAge04)))</f>
        <v/>
      </c>
      <c r="AH2491">
        <f>IF(OR('19_Расчет_аналитики'!AH2463=0,4&lt;='01_Вводные'!$B$297),0,'19_Расчет_аналитики'!AH2463*IF('01_Вводные'!$B$239="Да",MeanMinAge04+'19_Расчет_аналитики'!AH2583*SUMIF(ThresholdAge04,"&lt;"&amp;'19_Расчет_аналитики'!AH2583,WeightedRevAge04)-SUMIF(ThresholdAge04,"&lt;"&amp;'19_Расчет_аналитики'!AH2583,WeightedMinAge04),MAX(CapacityAge04*'01_Вводные'!$B$218*'19_Расчет_аналитики'!AH2583,MeanMinAge04)))</f>
        <v/>
      </c>
      <c r="AI2491">
        <f>IF(OR('19_Расчет_аналитики'!AI2463=0,4&lt;='01_Вводные'!$B$297),0,'19_Расчет_аналитики'!AI2463*IF('01_Вводные'!$B$239="Да",MeanMinAge04+'19_Расчет_аналитики'!AI2583*SUMIF(ThresholdAge04,"&lt;"&amp;'19_Расчет_аналитики'!AI2583,WeightedRevAge04)-SUMIF(ThresholdAge04,"&lt;"&amp;'19_Расчет_аналитики'!AI2583,WeightedMinAge04),MAX(CapacityAge04*'01_Вводные'!$B$218*'19_Расчет_аналитики'!AI2583,MeanMinAge04)))</f>
        <v/>
      </c>
      <c r="AJ2491">
        <f>IF(OR('19_Расчет_аналитики'!AJ2463=0,4&lt;='01_Вводные'!$B$297),0,'19_Расчет_аналитики'!AJ2463*IF('01_Вводные'!$B$239="Да",MeanMinAge04+'19_Расчет_аналитики'!AJ2583*SUMIF(ThresholdAge04,"&lt;"&amp;'19_Расчет_аналитики'!AJ2583,WeightedRevAge04)-SUMIF(ThresholdAge04,"&lt;"&amp;'19_Расчет_аналитики'!AJ2583,WeightedMinAge04),MAX(CapacityAge04*'01_Вводные'!$B$218*'19_Расчет_аналитики'!AJ2583,MeanMinAge04)))</f>
        <v/>
      </c>
      <c r="AK2491">
        <f>IF(OR('19_Расчет_аналитики'!AK2463=0,4&lt;='01_Вводные'!$B$297),0,'19_Расчет_аналитики'!AK2463*IF('01_Вводные'!$B$239="Да",MeanMinAge04+'19_Расчет_аналитики'!AK2583*SUMIF(ThresholdAge04,"&lt;"&amp;'19_Расчет_аналитики'!AK2583,WeightedRevAge04)-SUMIF(ThresholdAge04,"&lt;"&amp;'19_Расчет_аналитики'!AK2583,WeightedMinAge04),MAX(CapacityAge04*'01_Вводные'!$B$218*'19_Расчет_аналитики'!AK2583,MeanMinAge04)))</f>
        <v/>
      </c>
      <c r="AL2491">
        <f>IF(OR('19_Расчет_аналитики'!AL2463=0,4&lt;='01_Вводные'!$B$297),0,'19_Расчет_аналитики'!AL2463*IF('01_Вводные'!$B$239="Да",MeanMinAge04+'19_Расчет_аналитики'!AL2583*SUMIF(ThresholdAge04,"&lt;"&amp;'19_Расчет_аналитики'!AL2583,WeightedRevAge04)-SUMIF(ThresholdAge04,"&lt;"&amp;'19_Расчет_аналитики'!AL2583,WeightedMinAge04),MAX(CapacityAge04*'01_Вводные'!$B$218*'19_Расчет_аналитики'!AL2583,MeanMinAge04)))</f>
        <v/>
      </c>
      <c r="AM2491">
        <f>IF(OR('19_Расчет_аналитики'!AM2463=0,4&lt;='01_Вводные'!$B$297),0,'19_Расчет_аналитики'!AM2463*IF('01_Вводные'!$B$239="Да",MeanMinAge04+'19_Расчет_аналитики'!AM2583*SUMIF(ThresholdAge04,"&lt;"&amp;'19_Расчет_аналитики'!AM2583,WeightedRevAge04)-SUMIF(ThresholdAge04,"&lt;"&amp;'19_Расчет_аналитики'!AM2583,WeightedMinAge04),MAX(CapacityAge04*'01_Вводные'!$B$218*'19_Расчет_аналитики'!AM2583,MeanMinAge04)))</f>
        <v/>
      </c>
      <c r="AN2491">
        <f>IF(OR('19_Расчет_аналитики'!AN2463=0,4&lt;='01_Вводные'!$B$297),0,'19_Расчет_аналитики'!AN2463*IF('01_Вводные'!$B$239="Да",MeanMinAge04+'19_Расчет_аналитики'!AN2583*SUMIF(ThresholdAge04,"&lt;"&amp;'19_Расчет_аналитики'!AN2583,WeightedRevAge04)-SUMIF(ThresholdAge04,"&lt;"&amp;'19_Расчет_аналитики'!AN2583,WeightedMinAge04),MAX(CapacityAge04*'01_Вводные'!$B$218*'19_Расчет_аналитики'!AN2583,MeanMinAge04)))</f>
        <v/>
      </c>
      <c r="AO2491">
        <f>IF(OR('19_Расчет_аналитики'!AO2463=0,4&lt;='01_Вводные'!$B$297),0,'19_Расчет_аналитики'!AO2463*IF('01_Вводные'!$B$239="Да",MeanMinAge04+'19_Расчет_аналитики'!AO2583*SUMIF(ThresholdAge04,"&lt;"&amp;'19_Расчет_аналитики'!AO2583,WeightedRevAge04)-SUMIF(ThresholdAge04,"&lt;"&amp;'19_Расчет_аналитики'!AO2583,WeightedMinAge04),MAX(CapacityAge04*'01_Вводные'!$B$218*'19_Расчет_аналитики'!AO2583,MeanMinAge04)))</f>
        <v/>
      </c>
      <c r="AP2491">
        <f>IF(OR('19_Расчет_аналитики'!AP2463=0,4&lt;='01_Вводные'!$B$297),0,'19_Расчет_аналитики'!AP2463*IF('01_Вводные'!$B$239="Да",MeanMinAge04+'19_Расчет_аналитики'!AP2583*SUMIF(ThresholdAge04,"&lt;"&amp;'19_Расчет_аналитики'!AP2583,WeightedRevAge04)-SUMIF(ThresholdAge04,"&lt;"&amp;'19_Расчет_аналитики'!AP2583,WeightedMinAge04),MAX(CapacityAge04*'01_Вводные'!$B$218*'19_Расчет_аналитики'!AP2583,MeanMinAge04)))</f>
        <v/>
      </c>
      <c r="AQ2491">
        <f>IF(OR('19_Расчет_аналитики'!AQ2463=0,4&lt;='01_Вводные'!$B$297),0,'19_Расчет_аналитики'!AQ2463*IF('01_Вводные'!$B$239="Да",MeanMinAge04+'19_Расчет_аналитики'!AQ2583*SUMIF(ThresholdAge04,"&lt;"&amp;'19_Расчет_аналитики'!AQ2583,WeightedRevAge04)-SUMIF(ThresholdAge04,"&lt;"&amp;'19_Расчет_аналитики'!AQ2583,WeightedMinAge04),MAX(CapacityAge04*'01_Вводные'!$B$218*'19_Расчет_аналитики'!AQ2583,MeanMinAge04)))</f>
        <v/>
      </c>
      <c r="AR2491">
        <f>IF(OR('19_Расчет_аналитики'!AR2463=0,4&lt;='01_Вводные'!$B$297),0,'19_Расчет_аналитики'!AR2463*IF('01_Вводные'!$B$239="Да",MeanMinAge04+'19_Расчет_аналитики'!AR2583*SUMIF(ThresholdAge04,"&lt;"&amp;'19_Расчет_аналитики'!AR2583,WeightedRevAge04)-SUMIF(ThresholdAge04,"&lt;"&amp;'19_Расчет_аналитики'!AR2583,WeightedMinAge04),MAX(CapacityAge04*'01_Вводные'!$B$218*'19_Расчет_аналитики'!AR2583,MeanMinAge04)))</f>
        <v/>
      </c>
      <c r="AS2491">
        <f>IF(OR('19_Расчет_аналитики'!AS2463=0,4&lt;='01_Вводные'!$B$297),0,'19_Расчет_аналитики'!AS2463*IF('01_Вводные'!$B$239="Да",MeanMinAge04+'19_Расчет_аналитики'!AS2583*SUMIF(ThresholdAge04,"&lt;"&amp;'19_Расчет_аналитики'!AS2583,WeightedRevAge04)-SUMIF(ThresholdAge04,"&lt;"&amp;'19_Расчет_аналитики'!AS2583,WeightedMinAge04),MAX(CapacityAge04*'01_Вводные'!$B$218*'19_Расчет_аналитики'!AS2583,MeanMinAge04)))</f>
        <v/>
      </c>
      <c r="AT2491">
        <f>IF(OR('19_Расчет_аналитики'!AT2463=0,4&lt;='01_Вводные'!$B$297),0,'19_Расчет_аналитики'!AT2463*IF('01_Вводные'!$B$239="Да",MeanMinAge04+'19_Расчет_аналитики'!AT2583*SUMIF(ThresholdAge04,"&lt;"&amp;'19_Расчет_аналитики'!AT2583,WeightedRevAge04)-SUMIF(ThresholdAge04,"&lt;"&amp;'19_Расчет_аналитики'!AT2583,WeightedMinAge04),MAX(CapacityAge04*'01_Вводные'!$B$218*'19_Расчет_аналитики'!AT2583,MeanMinAge04)))</f>
        <v/>
      </c>
      <c r="AU2491">
        <f>IF(OR('19_Расчет_аналитики'!AU2463=0,4&lt;='01_Вводные'!$B$297),0,'19_Расчет_аналитики'!AU2463*IF('01_Вводные'!$B$239="Да",MeanMinAge04+'19_Расчет_аналитики'!AU2583*SUMIF(ThresholdAge04,"&lt;"&amp;'19_Расчет_аналитики'!AU2583,WeightedRevAge04)-SUMIF(ThresholdAge04,"&lt;"&amp;'19_Расчет_аналитики'!AU2583,WeightedMinAge04),MAX(CapacityAge04*'01_Вводные'!$B$218*'19_Расчет_аналитики'!AU2583,MeanMinAge04)))</f>
        <v/>
      </c>
      <c r="AV2491">
        <f>IF(OR('19_Расчет_аналитики'!AV2463=0,4&lt;='01_Вводные'!$B$297),0,'19_Расчет_аналитики'!AV2463*IF('01_Вводные'!$B$239="Да",MeanMinAge04+'19_Расчет_аналитики'!AV2583*SUMIF(ThresholdAge04,"&lt;"&amp;'19_Расчет_аналитики'!AV2583,WeightedRevAge04)-SUMIF(ThresholdAge04,"&lt;"&amp;'19_Расчет_аналитики'!AV2583,WeightedMinAge04),MAX(CapacityAge04*'01_Вводные'!$B$218*'19_Расчет_аналитики'!AV2583,MeanMinAge04)))</f>
        <v/>
      </c>
      <c r="AW2491">
        <f>IF(OR('19_Расчет_аналитики'!AW2463=0,4&lt;='01_Вводные'!$B$297),0,'19_Расчет_аналитики'!AW2463*IF('01_Вводные'!$B$239="Да",MeanMinAge04+'19_Расчет_аналитики'!AW2583*SUMIF(ThresholdAge04,"&lt;"&amp;'19_Расчет_аналитики'!AW2583,WeightedRevAge04)-SUMIF(ThresholdAge04,"&lt;"&amp;'19_Расчет_аналитики'!AW2583,WeightedMinAge04),MAX(CapacityAge04*'01_Вводные'!$B$218*'19_Расчет_аналитики'!AW2583,MeanMinAge04)))</f>
        <v/>
      </c>
      <c r="AX2491">
        <f>IF(OR('19_Расчет_аналитики'!AX2463=0,4&lt;='01_Вводные'!$B$297),0,'19_Расчет_аналитики'!AX2463*IF('01_Вводные'!$B$239="Да",MeanMinAge04+'19_Расчет_аналитики'!AX2583*SUMIF(ThresholdAge04,"&lt;"&amp;'19_Расчет_аналитики'!AX2583,WeightedRevAge04)-SUMIF(ThresholdAge04,"&lt;"&amp;'19_Расчет_аналитики'!AX2583,WeightedMinAge04),MAX(CapacityAge04*'01_Вводные'!$B$218*'19_Расчет_аналитики'!AX2583,MeanMinAge04)))</f>
        <v/>
      </c>
      <c r="AY2491">
        <f>IF(OR('19_Расчет_аналитики'!AY2463=0,4&lt;='01_Вводные'!$B$297),0,'19_Расчет_аналитики'!AY2463*IF('01_Вводные'!$B$239="Да",MeanMinAge04+'19_Расчет_аналитики'!AY2583*SUMIF(ThresholdAge04,"&lt;"&amp;'19_Расчет_аналитики'!AY2583,WeightedRevAge04)-SUMIF(ThresholdAge04,"&lt;"&amp;'19_Расчет_аналитики'!AY2583,WeightedMinAge04),MAX(CapacityAge04*'01_Вводные'!$B$218*'19_Расчет_аналитики'!AY2583,MeanMinAge04)))</f>
        <v/>
      </c>
      <c r="AZ2491">
        <f>IF(OR('19_Расчет_аналитики'!AZ2463=0,4&lt;='01_Вводные'!$B$297),0,'19_Расчет_аналитики'!AZ2463*IF('01_Вводные'!$B$239="Да",MeanMinAge04+'19_Расчет_аналитики'!AZ2583*SUMIF(ThresholdAge04,"&lt;"&amp;'19_Расчет_аналитики'!AZ2583,WeightedRevAge04)-SUMIF(ThresholdAge04,"&lt;"&amp;'19_Расчет_аналитики'!AZ2583,WeightedMinAge04),MAX(CapacityAge04*'01_Вводные'!$B$218*'19_Расчет_аналитики'!AZ2583,MeanMinAge04)))</f>
        <v/>
      </c>
      <c r="BA2491">
        <f>IF(OR('19_Расчет_аналитики'!BA2463=0,4&lt;='01_Вводные'!$B$297),0,'19_Расчет_аналитики'!BA2463*IF('01_Вводные'!$B$239="Да",MeanMinAge04+'19_Расчет_аналитики'!BA2583*SUMIF(ThresholdAge04,"&lt;"&amp;'19_Расчет_аналитики'!BA2583,WeightedRevAge04)-SUMIF(ThresholdAge04,"&lt;"&amp;'19_Расчет_аналитики'!BA2583,WeightedMinAge04),MAX(CapacityAge04*'01_Вводные'!$B$218*'19_Расчет_аналитики'!BA2583,MeanMinAge04)))</f>
        <v/>
      </c>
      <c r="BB2491">
        <f>IF(OR('19_Расчет_аналитики'!BB2463=0,4&lt;='01_Вводные'!$B$297),0,'19_Расчет_аналитики'!BB2463*IF('01_Вводные'!$B$239="Да",MeanMinAge04+'19_Расчет_аналитики'!BB2583*SUMIF(ThresholdAge04,"&lt;"&amp;'19_Расчет_аналитики'!BB2583,WeightedRevAge04)-SUMIF(ThresholdAge04,"&lt;"&amp;'19_Расчет_аналитики'!BB2583,WeightedMinAge04),MAX(CapacityAge04*'01_Вводные'!$B$218*'19_Расчет_аналитики'!BB2583,MeanMinAge04)))</f>
        <v/>
      </c>
      <c r="BC2491">
        <f>IF(OR('19_Расчет_аналитики'!BC2463=0,4&lt;='01_Вводные'!$B$297),0,'19_Расчет_аналитики'!BC2463*IF('01_Вводные'!$B$239="Да",MeanMinAge04+'19_Расчет_аналитики'!BC2583*SUMIF(ThresholdAge04,"&lt;"&amp;'19_Расчет_аналитики'!BC2583,WeightedRevAge04)-SUMIF(ThresholdAge04,"&lt;"&amp;'19_Расчет_аналитики'!BC2583,WeightedMinAge04),MAX(CapacityAge04*'01_Вводные'!$B$218*'19_Расчет_аналитики'!BC2583,MeanMinAge04)))</f>
        <v/>
      </c>
      <c r="BD2491">
        <f>IF(OR('19_Расчет_аналитики'!BD2463=0,4&lt;='01_Вводные'!$B$297),0,'19_Расчет_аналитики'!BD2463*IF('01_Вводные'!$B$239="Да",MeanMinAge04+'19_Расчет_аналитики'!BD2583*SUMIF(ThresholdAge04,"&lt;"&amp;'19_Расчет_аналитики'!BD2583,WeightedRevAge04)-SUMIF(ThresholdAge04,"&lt;"&amp;'19_Расчет_аналитики'!BD2583,WeightedMinAge04),MAX(CapacityAge04*'01_Вводные'!$B$218*'19_Расчет_аналитики'!BD2583,MeanMinAge04)))</f>
        <v/>
      </c>
      <c r="BE2491">
        <f>IF(OR('19_Расчет_аналитики'!BE2463=0,4&lt;='01_Вводные'!$B$297),0,'19_Расчет_аналитики'!BE2463*IF('01_Вводные'!$B$239="Да",MeanMinAge04+'19_Расчет_аналитики'!BE2583*SUMIF(ThresholdAge04,"&lt;"&amp;'19_Расчет_аналитики'!BE2583,WeightedRevAge04)-SUMIF(ThresholdAge04,"&lt;"&amp;'19_Расчет_аналитики'!BE2583,WeightedMinAge04),MAX(CapacityAge04*'01_Вводные'!$B$218*'19_Расчет_аналитики'!BE2583,MeanMinAge04)))</f>
        <v/>
      </c>
      <c r="BF2491">
        <f>IF(OR('19_Расчет_аналитики'!BF2463=0,4&lt;='01_Вводные'!$B$297),0,'19_Расчет_аналитики'!BF2463*IF('01_Вводные'!$B$239="Да",MeanMinAge04+'19_Расчет_аналитики'!BF2583*SUMIF(ThresholdAge04,"&lt;"&amp;'19_Расчет_аналитики'!BF2583,WeightedRevAge04)-SUMIF(ThresholdAge04,"&lt;"&amp;'19_Расчет_аналитики'!BF2583,WeightedMinAge04),MAX(CapacityAge04*'01_Вводные'!$B$218*'19_Расчет_аналитики'!BF2583,MeanMinAge04)))</f>
        <v/>
      </c>
      <c r="BG2491">
        <f>IF(OR('19_Расчет_аналитики'!BG2463=0,4&lt;='01_Вводные'!$B$297),0,'19_Расчет_аналитики'!BG2463*IF('01_Вводные'!$B$239="Да",MeanMinAge04+'19_Расчет_аналитики'!BG2583*SUMIF(ThresholdAge04,"&lt;"&amp;'19_Расчет_аналитики'!BG2583,WeightedRevAge04)-SUMIF(ThresholdAge04,"&lt;"&amp;'19_Расчет_аналитики'!BG2583,WeightedMinAge04),MAX(CapacityAge04*'01_Вводные'!$B$218*'19_Расчет_аналитики'!BG2583,MeanMinAge04)))</f>
        <v/>
      </c>
      <c r="BH2491">
        <f>IF(OR('19_Расчет_аналитики'!BH2463=0,4&lt;='01_Вводные'!$B$297),0,'19_Расчет_аналитики'!BH2463*IF('01_Вводные'!$B$239="Да",MeanMinAge04+'19_Расчет_аналитики'!BH2583*SUMIF(ThresholdAge04,"&lt;"&amp;'19_Расчет_аналитики'!BH2583,WeightedRevAge04)-SUMIF(ThresholdAge04,"&lt;"&amp;'19_Расчет_аналитики'!BH2583,WeightedMinAge04),MAX(CapacityAge04*'01_Вводные'!$B$218*'19_Расчет_аналитики'!BH2583,MeanMinAge04)))</f>
        <v/>
      </c>
      <c r="BI2491">
        <f>IF(OR('19_Расчет_аналитики'!BI2463=0,4&lt;='01_Вводные'!$B$297),0,'19_Расчет_аналитики'!BI2463*IF('01_Вводные'!$B$239="Да",MeanMinAge04+'19_Расчет_аналитики'!BI2583*SUMIF(ThresholdAge04,"&lt;"&amp;'19_Расчет_аналитики'!BI2583,WeightedRevAge04)-SUMIF(ThresholdAge04,"&lt;"&amp;'19_Расчет_аналитики'!BI2583,WeightedMinAge04),MAX(CapacityAge04*'01_Вводные'!$B$218*'19_Расчет_аналитики'!BI2583,MeanMinAge04)))</f>
        <v/>
      </c>
      <c r="BJ2491">
        <f>IF(OR('19_Расчет_аналитики'!BJ2463=0,4&lt;='01_Вводные'!$B$297),0,'19_Расчет_аналитики'!BJ2463*IF('01_Вводные'!$B$239="Да",MeanMinAge04+'19_Расчет_аналитики'!BJ2583*SUMIF(ThresholdAge04,"&lt;"&amp;'19_Расчет_аналитики'!BJ2583,WeightedRevAge04)-SUMIF(ThresholdAge04,"&lt;"&amp;'19_Расчет_аналитики'!BJ2583,WeightedMinAge04),MAX(CapacityAge04*'01_Вводные'!$B$218*'19_Расчет_аналитики'!BJ2583,MeanMinAge04)))</f>
        <v/>
      </c>
      <c r="BK2491">
        <f>IF(OR('19_Расчет_аналитики'!BK2463=0,4&lt;='01_Вводные'!$B$297),0,'19_Расчет_аналитики'!BK2463*IF('01_Вводные'!$B$239="Да",MeanMinAge04+'19_Расчет_аналитики'!BK2583*SUMIF(ThresholdAge04,"&lt;"&amp;'19_Расчет_аналитики'!BK2583,WeightedRevAge04)-SUMIF(ThresholdAge04,"&lt;"&amp;'19_Расчет_аналитики'!BK2583,WeightedMinAge04),MAX(CapacityAge04*'01_Вводные'!$B$218*'19_Расчет_аналитики'!BK2583,MeanMinAge04)))</f>
        <v/>
      </c>
      <c r="BL2491">
        <f>IF(OR('19_Расчет_аналитики'!BL2463=0,4&lt;='01_Вводные'!$B$297),0,'19_Расчет_аналитики'!BL2463*IF('01_Вводные'!$B$239="Да",MeanMinAge04+'19_Расчет_аналитики'!BL2583*SUMIF(ThresholdAge04,"&lt;"&amp;'19_Расчет_аналитики'!BL2583,WeightedRevAge04)-SUMIF(ThresholdAge04,"&lt;"&amp;'19_Расчет_аналитики'!BL2583,WeightedMinAge04),MAX(CapacityAge04*'01_Вводные'!$B$218*'19_Расчет_аналитики'!BL2583,MeanMinAge04)))</f>
        <v/>
      </c>
      <c r="BM2491">
        <f>IF(OR('19_Расчет_аналитики'!BM2463=0,4&lt;='01_Вводные'!$B$297),0,'19_Расчет_аналитики'!BM2463*IF('01_Вводные'!$B$239="Да",MeanMinAge04+'19_Расчет_аналитики'!BM2583*SUMIF(ThresholdAge04,"&lt;"&amp;'19_Расчет_аналитики'!BM2583,WeightedRevAge04)-SUMIF(ThresholdAge04,"&lt;"&amp;'19_Расчет_аналитики'!BM2583,WeightedMinAge04),MAX(CapacityAge04*'01_Вводные'!$B$218*'19_Расчет_аналитики'!BM2583,MeanMinAge04)))</f>
        <v/>
      </c>
      <c r="BN2491">
        <f>IF(OR('19_Расчет_аналитики'!BN2463=0,4&lt;='01_Вводные'!$B$297),0,'19_Расчет_аналитики'!BN2463*IF('01_Вводные'!$B$239="Да",MeanMinAge04+'19_Расчет_аналитики'!BN2583*SUMIF(ThresholdAge04,"&lt;"&amp;'19_Расчет_аналитики'!BN2583,WeightedRevAge04)-SUMIF(ThresholdAge04,"&lt;"&amp;'19_Расчет_аналитики'!BN2583,WeightedMinAge04),MAX(CapacityAge04*'01_Вводные'!$B$218*'19_Расчет_аналитики'!BN2583,MeanMinAge04)))</f>
        <v/>
      </c>
      <c r="BO2491">
        <f>IF(OR('19_Расчет_аналитики'!BO2463=0,4&lt;='01_Вводные'!$B$297),0,'19_Расчет_аналитики'!BO2463*IF('01_Вводные'!$B$239="Да",MeanMinAge04+'19_Расчет_аналитики'!BO2583*SUMIF(ThresholdAge04,"&lt;"&amp;'19_Расчет_аналитики'!BO2583,WeightedRevAge04)-SUMIF(ThresholdAge04,"&lt;"&amp;'19_Расчет_аналитики'!BO2583,WeightedMinAge04),MAX(CapacityAge04*'01_Вводные'!$B$218*'19_Расчет_аналитики'!BO2583,MeanMinAge04)))</f>
        <v/>
      </c>
    </row>
    <row r="2492">
      <c r="B2492">
        <f>IF(OR('06_Сеть_и_дети'!B85=0,5&lt;='01_Вводные'!$B$297),0,'06_Сеть_и_дети'!B85*IF('01_Вводные'!$B$239="Да",MeanMinAge05+'19_Расчет_аналитики'!B2583*SUMIF(ThresholdAge05,"&lt;"&amp;'19_Расчет_аналитики'!B2583,WeightedRevAge05)-SUMIF(ThresholdAge05,"&lt;"&amp;'19_Расчет_аналитики'!B2583,WeightedMinAge05),MAX(CapacityAge05*'01_Вводные'!$B$218*'19_Расчет_аналитики'!B2583,MeanMinAge05)))</f>
        <v/>
      </c>
      <c r="C2492">
        <f>IF(OR('06_Сеть_и_дети'!C85=0,5&lt;='01_Вводные'!$B$297),0,'06_Сеть_и_дети'!C85*IF('01_Вводные'!$B$239="Да",MeanMinAge05+'19_Расчет_аналитики'!C2583*SUMIF(ThresholdAge05,"&lt;"&amp;'19_Расчет_аналитики'!C2583,WeightedRevAge05)-SUMIF(ThresholdAge05,"&lt;"&amp;'19_Расчет_аналитики'!C2583,WeightedMinAge05),MAX(CapacityAge05*'01_Вводные'!$B$218*'19_Расчет_аналитики'!C2583,MeanMinAge05)))</f>
        <v/>
      </c>
      <c r="D2492">
        <f>IF(OR('06_Сеть_и_дети'!D85=0,5&lt;='01_Вводные'!$B$297),0,'06_Сеть_и_дети'!D85*IF('01_Вводные'!$B$239="Да",MeanMinAge05+'19_Расчет_аналитики'!D2583*SUMIF(ThresholdAge05,"&lt;"&amp;'19_Расчет_аналитики'!D2583,WeightedRevAge05)-SUMIF(ThresholdAge05,"&lt;"&amp;'19_Расчет_аналитики'!D2583,WeightedMinAge05),MAX(CapacityAge05*'01_Вводные'!$B$218*'19_Расчет_аналитики'!D2583,MeanMinAge05)))</f>
        <v/>
      </c>
      <c r="E2492">
        <f>IF(OR('06_Сеть_и_дети'!E85=0,5&lt;='01_Вводные'!$B$297),0,'06_Сеть_и_дети'!E85*IF('01_Вводные'!$B$239="Да",MeanMinAge05+'19_Расчет_аналитики'!E2583*SUMIF(ThresholdAge05,"&lt;"&amp;'19_Расчет_аналитики'!E2583,WeightedRevAge05)-SUMIF(ThresholdAge05,"&lt;"&amp;'19_Расчет_аналитики'!E2583,WeightedMinAge05),MAX(CapacityAge05*'01_Вводные'!$B$218*'19_Расчет_аналитики'!E2583,MeanMinAge05)))</f>
        <v/>
      </c>
      <c r="F2492">
        <f>IF(OR('19_Расчет_аналитики'!F2464=0,5&lt;='01_Вводные'!$B$297),0,'19_Расчет_аналитики'!F2464*IF('01_Вводные'!$B$239="Да",MeanMinAge05+'19_Расчет_аналитики'!F2583*SUMIF(ThresholdAge05,"&lt;"&amp;'19_Расчет_аналитики'!F2583,WeightedRevAge05)-SUMIF(ThresholdAge05,"&lt;"&amp;'19_Расчет_аналитики'!F2583,WeightedMinAge05),MAX(CapacityAge05*'01_Вводные'!$B$218*'19_Расчет_аналитики'!F2583,MeanMinAge05)))</f>
        <v/>
      </c>
      <c r="G2492">
        <f>IF(OR('19_Расчет_аналитики'!G2464=0,5&lt;='01_Вводные'!$B$297),0,'19_Расчет_аналитики'!G2464*IF('01_Вводные'!$B$239="Да",MeanMinAge05+'19_Расчет_аналитики'!G2583*SUMIF(ThresholdAge05,"&lt;"&amp;'19_Расчет_аналитики'!G2583,WeightedRevAge05)-SUMIF(ThresholdAge05,"&lt;"&amp;'19_Расчет_аналитики'!G2583,WeightedMinAge05),MAX(CapacityAge05*'01_Вводные'!$B$218*'19_Расчет_аналитики'!G2583,MeanMinAge05)))</f>
        <v/>
      </c>
      <c r="H2492">
        <f>IF(OR('19_Расчет_аналитики'!H2464=0,5&lt;='01_Вводные'!$B$297),0,'19_Расчет_аналитики'!H2464*IF('01_Вводные'!$B$239="Да",MeanMinAge05+'19_Расчет_аналитики'!H2583*SUMIF(ThresholdAge05,"&lt;"&amp;'19_Расчет_аналитики'!H2583,WeightedRevAge05)-SUMIF(ThresholdAge05,"&lt;"&amp;'19_Расчет_аналитики'!H2583,WeightedMinAge05),MAX(CapacityAge05*'01_Вводные'!$B$218*'19_Расчет_аналитики'!H2583,MeanMinAge05)))</f>
        <v/>
      </c>
      <c r="I2492">
        <f>IF(OR('19_Расчет_аналитики'!I2464=0,5&lt;='01_Вводные'!$B$297),0,'19_Расчет_аналитики'!I2464*IF('01_Вводные'!$B$239="Да",MeanMinAge05+'19_Расчет_аналитики'!I2583*SUMIF(ThresholdAge05,"&lt;"&amp;'19_Расчет_аналитики'!I2583,WeightedRevAge05)-SUMIF(ThresholdAge05,"&lt;"&amp;'19_Расчет_аналитики'!I2583,WeightedMinAge05),MAX(CapacityAge05*'01_Вводные'!$B$218*'19_Расчет_аналитики'!I2583,MeanMinAge05)))</f>
        <v/>
      </c>
      <c r="J2492">
        <f>IF(OR('19_Расчет_аналитики'!J2464=0,5&lt;='01_Вводные'!$B$297),0,'19_Расчет_аналитики'!J2464*IF('01_Вводные'!$B$239="Да",MeanMinAge05+'19_Расчет_аналитики'!J2583*SUMIF(ThresholdAge05,"&lt;"&amp;'19_Расчет_аналитики'!J2583,WeightedRevAge05)-SUMIF(ThresholdAge05,"&lt;"&amp;'19_Расчет_аналитики'!J2583,WeightedMinAge05),MAX(CapacityAge05*'01_Вводные'!$B$218*'19_Расчет_аналитики'!J2583,MeanMinAge05)))</f>
        <v/>
      </c>
      <c r="K2492">
        <f>IF(OR('19_Расчет_аналитики'!K2464=0,5&lt;='01_Вводные'!$B$297),0,'19_Расчет_аналитики'!K2464*IF('01_Вводные'!$B$239="Да",MeanMinAge05+'19_Расчет_аналитики'!K2583*SUMIF(ThresholdAge05,"&lt;"&amp;'19_Расчет_аналитики'!K2583,WeightedRevAge05)-SUMIF(ThresholdAge05,"&lt;"&amp;'19_Расчет_аналитики'!K2583,WeightedMinAge05),MAX(CapacityAge05*'01_Вводные'!$B$218*'19_Расчет_аналитики'!K2583,MeanMinAge05)))</f>
        <v/>
      </c>
      <c r="L2492">
        <f>IF(OR('19_Расчет_аналитики'!L2464=0,5&lt;='01_Вводные'!$B$297),0,'19_Расчет_аналитики'!L2464*IF('01_Вводные'!$B$239="Да",MeanMinAge05+'19_Расчет_аналитики'!L2583*SUMIF(ThresholdAge05,"&lt;"&amp;'19_Расчет_аналитики'!L2583,WeightedRevAge05)-SUMIF(ThresholdAge05,"&lt;"&amp;'19_Расчет_аналитики'!L2583,WeightedMinAge05),MAX(CapacityAge05*'01_Вводные'!$B$218*'19_Расчет_аналитики'!L2583,MeanMinAge05)))</f>
        <v/>
      </c>
      <c r="M2492">
        <f>IF(OR('19_Расчет_аналитики'!M2464=0,5&lt;='01_Вводные'!$B$297),0,'19_Расчет_аналитики'!M2464*IF('01_Вводные'!$B$239="Да",MeanMinAge05+'19_Расчет_аналитики'!M2583*SUMIF(ThresholdAge05,"&lt;"&amp;'19_Расчет_аналитики'!M2583,WeightedRevAge05)-SUMIF(ThresholdAge05,"&lt;"&amp;'19_Расчет_аналитики'!M2583,WeightedMinAge05),MAX(CapacityAge05*'01_Вводные'!$B$218*'19_Расчет_аналитики'!M2583,MeanMinAge05)))</f>
        <v/>
      </c>
      <c r="N2492">
        <f>IF(OR('19_Расчет_аналитики'!N2464=0,5&lt;='01_Вводные'!$B$297),0,'19_Расчет_аналитики'!N2464*IF('01_Вводные'!$B$239="Да",MeanMinAge05+'19_Расчет_аналитики'!N2583*SUMIF(ThresholdAge05,"&lt;"&amp;'19_Расчет_аналитики'!N2583,WeightedRevAge05)-SUMIF(ThresholdAge05,"&lt;"&amp;'19_Расчет_аналитики'!N2583,WeightedMinAge05),MAX(CapacityAge05*'01_Вводные'!$B$218*'19_Расчет_аналитики'!N2583,MeanMinAge05)))</f>
        <v/>
      </c>
      <c r="O2492">
        <f>IF(OR('19_Расчет_аналитики'!O2464=0,5&lt;='01_Вводные'!$B$297),0,'19_Расчет_аналитики'!O2464*IF('01_Вводные'!$B$239="Да",MeanMinAge05+'19_Расчет_аналитики'!O2583*SUMIF(ThresholdAge05,"&lt;"&amp;'19_Расчет_аналитики'!O2583,WeightedRevAge05)-SUMIF(ThresholdAge05,"&lt;"&amp;'19_Расчет_аналитики'!O2583,WeightedMinAge05),MAX(CapacityAge05*'01_Вводные'!$B$218*'19_Расчет_аналитики'!O2583,MeanMinAge05)))</f>
        <v/>
      </c>
      <c r="P2492">
        <f>IF(OR('19_Расчет_аналитики'!P2464=0,5&lt;='01_Вводные'!$B$297),0,'19_Расчет_аналитики'!P2464*IF('01_Вводные'!$B$239="Да",MeanMinAge05+'19_Расчет_аналитики'!P2583*SUMIF(ThresholdAge05,"&lt;"&amp;'19_Расчет_аналитики'!P2583,WeightedRevAge05)-SUMIF(ThresholdAge05,"&lt;"&amp;'19_Расчет_аналитики'!P2583,WeightedMinAge05),MAX(CapacityAge05*'01_Вводные'!$B$218*'19_Расчет_аналитики'!P2583,MeanMinAge05)))</f>
        <v/>
      </c>
      <c r="Q2492">
        <f>IF(OR('19_Расчет_аналитики'!Q2464=0,5&lt;='01_Вводные'!$B$297),0,'19_Расчет_аналитики'!Q2464*IF('01_Вводные'!$B$239="Да",MeanMinAge05+'19_Расчет_аналитики'!Q2583*SUMIF(ThresholdAge05,"&lt;"&amp;'19_Расчет_аналитики'!Q2583,WeightedRevAge05)-SUMIF(ThresholdAge05,"&lt;"&amp;'19_Расчет_аналитики'!Q2583,WeightedMinAge05),MAX(CapacityAge05*'01_Вводные'!$B$218*'19_Расчет_аналитики'!Q2583,MeanMinAge05)))</f>
        <v/>
      </c>
      <c r="R2492">
        <f>IF(OR('19_Расчет_аналитики'!R2464=0,5&lt;='01_Вводные'!$B$297),0,'19_Расчет_аналитики'!R2464*IF('01_Вводные'!$B$239="Да",MeanMinAge05+'19_Расчет_аналитики'!R2583*SUMIF(ThresholdAge05,"&lt;"&amp;'19_Расчет_аналитики'!R2583,WeightedRevAge05)-SUMIF(ThresholdAge05,"&lt;"&amp;'19_Расчет_аналитики'!R2583,WeightedMinAge05),MAX(CapacityAge05*'01_Вводные'!$B$218*'19_Расчет_аналитики'!R2583,MeanMinAge05)))</f>
        <v/>
      </c>
      <c r="S2492">
        <f>IF(OR('19_Расчет_аналитики'!S2464=0,5&lt;='01_Вводные'!$B$297),0,'19_Расчет_аналитики'!S2464*IF('01_Вводные'!$B$239="Да",MeanMinAge05+'19_Расчет_аналитики'!S2583*SUMIF(ThresholdAge05,"&lt;"&amp;'19_Расчет_аналитики'!S2583,WeightedRevAge05)-SUMIF(ThresholdAge05,"&lt;"&amp;'19_Расчет_аналитики'!S2583,WeightedMinAge05),MAX(CapacityAge05*'01_Вводные'!$B$218*'19_Расчет_аналитики'!S2583,MeanMinAge05)))</f>
        <v/>
      </c>
      <c r="T2492">
        <f>IF(OR('19_Расчет_аналитики'!T2464=0,5&lt;='01_Вводные'!$B$297),0,'19_Расчет_аналитики'!T2464*IF('01_Вводные'!$B$239="Да",MeanMinAge05+'19_Расчет_аналитики'!T2583*SUMIF(ThresholdAge05,"&lt;"&amp;'19_Расчет_аналитики'!T2583,WeightedRevAge05)-SUMIF(ThresholdAge05,"&lt;"&amp;'19_Расчет_аналитики'!T2583,WeightedMinAge05),MAX(CapacityAge05*'01_Вводные'!$B$218*'19_Расчет_аналитики'!T2583,MeanMinAge05)))</f>
        <v/>
      </c>
      <c r="U2492">
        <f>IF(OR('19_Расчет_аналитики'!U2464=0,5&lt;='01_Вводные'!$B$297),0,'19_Расчет_аналитики'!U2464*IF('01_Вводные'!$B$239="Да",MeanMinAge05+'19_Расчет_аналитики'!U2583*SUMIF(ThresholdAge05,"&lt;"&amp;'19_Расчет_аналитики'!U2583,WeightedRevAge05)-SUMIF(ThresholdAge05,"&lt;"&amp;'19_Расчет_аналитики'!U2583,WeightedMinAge05),MAX(CapacityAge05*'01_Вводные'!$B$218*'19_Расчет_аналитики'!U2583,MeanMinAge05)))</f>
        <v/>
      </c>
      <c r="V2492">
        <f>IF(OR('19_Расчет_аналитики'!V2464=0,5&lt;='01_Вводные'!$B$297),0,'19_Расчет_аналитики'!V2464*IF('01_Вводные'!$B$239="Да",MeanMinAge05+'19_Расчет_аналитики'!V2583*SUMIF(ThresholdAge05,"&lt;"&amp;'19_Расчет_аналитики'!V2583,WeightedRevAge05)-SUMIF(ThresholdAge05,"&lt;"&amp;'19_Расчет_аналитики'!V2583,WeightedMinAge05),MAX(CapacityAge05*'01_Вводные'!$B$218*'19_Расчет_аналитики'!V2583,MeanMinAge05)))</f>
        <v/>
      </c>
      <c r="W2492">
        <f>IF(OR('19_Расчет_аналитики'!W2464=0,5&lt;='01_Вводные'!$B$297),0,'19_Расчет_аналитики'!W2464*IF('01_Вводные'!$B$239="Да",MeanMinAge05+'19_Расчет_аналитики'!W2583*SUMIF(ThresholdAge05,"&lt;"&amp;'19_Расчет_аналитики'!W2583,WeightedRevAge05)-SUMIF(ThresholdAge05,"&lt;"&amp;'19_Расчет_аналитики'!W2583,WeightedMinAge05),MAX(CapacityAge05*'01_Вводные'!$B$218*'19_Расчет_аналитики'!W2583,MeanMinAge05)))</f>
        <v/>
      </c>
      <c r="X2492">
        <f>IF(OR('19_Расчет_аналитики'!X2464=0,5&lt;='01_Вводные'!$B$297),0,'19_Расчет_аналитики'!X2464*IF('01_Вводные'!$B$239="Да",MeanMinAge05+'19_Расчет_аналитики'!X2583*SUMIF(ThresholdAge05,"&lt;"&amp;'19_Расчет_аналитики'!X2583,WeightedRevAge05)-SUMIF(ThresholdAge05,"&lt;"&amp;'19_Расчет_аналитики'!X2583,WeightedMinAge05),MAX(CapacityAge05*'01_Вводные'!$B$218*'19_Расчет_аналитики'!X2583,MeanMinAge05)))</f>
        <v/>
      </c>
      <c r="Y2492">
        <f>IF(OR('19_Расчет_аналитики'!Y2464=0,5&lt;='01_Вводные'!$B$297),0,'19_Расчет_аналитики'!Y2464*IF('01_Вводные'!$B$239="Да",MeanMinAge05+'19_Расчет_аналитики'!Y2583*SUMIF(ThresholdAge05,"&lt;"&amp;'19_Расчет_аналитики'!Y2583,WeightedRevAge05)-SUMIF(ThresholdAge05,"&lt;"&amp;'19_Расчет_аналитики'!Y2583,WeightedMinAge05),MAX(CapacityAge05*'01_Вводные'!$B$218*'19_Расчет_аналитики'!Y2583,MeanMinAge05)))</f>
        <v/>
      </c>
      <c r="Z2492">
        <f>IF(OR('19_Расчет_аналитики'!Z2464=0,5&lt;='01_Вводные'!$B$297),0,'19_Расчет_аналитики'!Z2464*IF('01_Вводные'!$B$239="Да",MeanMinAge05+'19_Расчет_аналитики'!Z2583*SUMIF(ThresholdAge05,"&lt;"&amp;'19_Расчет_аналитики'!Z2583,WeightedRevAge05)-SUMIF(ThresholdAge05,"&lt;"&amp;'19_Расчет_аналитики'!Z2583,WeightedMinAge05),MAX(CapacityAge05*'01_Вводные'!$B$218*'19_Расчет_аналитики'!Z2583,MeanMinAge05)))</f>
        <v/>
      </c>
      <c r="AA2492">
        <f>IF(OR('19_Расчет_аналитики'!AA2464=0,5&lt;='01_Вводные'!$B$297),0,'19_Расчет_аналитики'!AA2464*IF('01_Вводные'!$B$239="Да",MeanMinAge05+'19_Расчет_аналитики'!AA2583*SUMIF(ThresholdAge05,"&lt;"&amp;'19_Расчет_аналитики'!AA2583,WeightedRevAge05)-SUMIF(ThresholdAge05,"&lt;"&amp;'19_Расчет_аналитики'!AA2583,WeightedMinAge05),MAX(CapacityAge05*'01_Вводные'!$B$218*'19_Расчет_аналитики'!AA2583,MeanMinAge05)))</f>
        <v/>
      </c>
      <c r="AB2492">
        <f>IF(OR('19_Расчет_аналитики'!AB2464=0,5&lt;='01_Вводные'!$B$297),0,'19_Расчет_аналитики'!AB2464*IF('01_Вводные'!$B$239="Да",MeanMinAge05+'19_Расчет_аналитики'!AB2583*SUMIF(ThresholdAge05,"&lt;"&amp;'19_Расчет_аналитики'!AB2583,WeightedRevAge05)-SUMIF(ThresholdAge05,"&lt;"&amp;'19_Расчет_аналитики'!AB2583,WeightedMinAge05),MAX(CapacityAge05*'01_Вводные'!$B$218*'19_Расчет_аналитики'!AB2583,MeanMinAge05)))</f>
        <v/>
      </c>
      <c r="AC2492">
        <f>IF(OR('19_Расчет_аналитики'!AC2464=0,5&lt;='01_Вводные'!$B$297),0,'19_Расчет_аналитики'!AC2464*IF('01_Вводные'!$B$239="Да",MeanMinAge05+'19_Расчет_аналитики'!AC2583*SUMIF(ThresholdAge05,"&lt;"&amp;'19_Расчет_аналитики'!AC2583,WeightedRevAge05)-SUMIF(ThresholdAge05,"&lt;"&amp;'19_Расчет_аналитики'!AC2583,WeightedMinAge05),MAX(CapacityAge05*'01_Вводные'!$B$218*'19_Расчет_аналитики'!AC2583,MeanMinAge05)))</f>
        <v/>
      </c>
      <c r="AD2492">
        <f>IF(OR('19_Расчет_аналитики'!AD2464=0,5&lt;='01_Вводные'!$B$297),0,'19_Расчет_аналитики'!AD2464*IF('01_Вводные'!$B$239="Да",MeanMinAge05+'19_Расчет_аналитики'!AD2583*SUMIF(ThresholdAge05,"&lt;"&amp;'19_Расчет_аналитики'!AD2583,WeightedRevAge05)-SUMIF(ThresholdAge05,"&lt;"&amp;'19_Расчет_аналитики'!AD2583,WeightedMinAge05),MAX(CapacityAge05*'01_Вводные'!$B$218*'19_Расчет_аналитики'!AD2583,MeanMinAge05)))</f>
        <v/>
      </c>
      <c r="AE2492">
        <f>IF(OR('19_Расчет_аналитики'!AE2464=0,5&lt;='01_Вводные'!$B$297),0,'19_Расчет_аналитики'!AE2464*IF('01_Вводные'!$B$239="Да",MeanMinAge05+'19_Расчет_аналитики'!AE2583*SUMIF(ThresholdAge05,"&lt;"&amp;'19_Расчет_аналитики'!AE2583,WeightedRevAge05)-SUMIF(ThresholdAge05,"&lt;"&amp;'19_Расчет_аналитики'!AE2583,WeightedMinAge05),MAX(CapacityAge05*'01_Вводные'!$B$218*'19_Расчет_аналитики'!AE2583,MeanMinAge05)))</f>
        <v/>
      </c>
      <c r="AF2492">
        <f>IF(OR('19_Расчет_аналитики'!AF2464=0,5&lt;='01_Вводные'!$B$297),0,'19_Расчет_аналитики'!AF2464*IF('01_Вводные'!$B$239="Да",MeanMinAge05+'19_Расчет_аналитики'!AF2583*SUMIF(ThresholdAge05,"&lt;"&amp;'19_Расчет_аналитики'!AF2583,WeightedRevAge05)-SUMIF(ThresholdAge05,"&lt;"&amp;'19_Расчет_аналитики'!AF2583,WeightedMinAge05),MAX(CapacityAge05*'01_Вводные'!$B$218*'19_Расчет_аналитики'!AF2583,MeanMinAge05)))</f>
        <v/>
      </c>
      <c r="AG2492">
        <f>IF(OR('19_Расчет_аналитики'!AG2464=0,5&lt;='01_Вводные'!$B$297),0,'19_Расчет_аналитики'!AG2464*IF('01_Вводные'!$B$239="Да",MeanMinAge05+'19_Расчет_аналитики'!AG2583*SUMIF(ThresholdAge05,"&lt;"&amp;'19_Расчет_аналитики'!AG2583,WeightedRevAge05)-SUMIF(ThresholdAge05,"&lt;"&amp;'19_Расчет_аналитики'!AG2583,WeightedMinAge05),MAX(CapacityAge05*'01_Вводные'!$B$218*'19_Расчет_аналитики'!AG2583,MeanMinAge05)))</f>
        <v/>
      </c>
      <c r="AH2492">
        <f>IF(OR('19_Расчет_аналитики'!AH2464=0,5&lt;='01_Вводные'!$B$297),0,'19_Расчет_аналитики'!AH2464*IF('01_Вводные'!$B$239="Да",MeanMinAge05+'19_Расчет_аналитики'!AH2583*SUMIF(ThresholdAge05,"&lt;"&amp;'19_Расчет_аналитики'!AH2583,WeightedRevAge05)-SUMIF(ThresholdAge05,"&lt;"&amp;'19_Расчет_аналитики'!AH2583,WeightedMinAge05),MAX(CapacityAge05*'01_Вводные'!$B$218*'19_Расчет_аналитики'!AH2583,MeanMinAge05)))</f>
        <v/>
      </c>
      <c r="AI2492">
        <f>IF(OR('19_Расчет_аналитики'!AI2464=0,5&lt;='01_Вводные'!$B$297),0,'19_Расчет_аналитики'!AI2464*IF('01_Вводные'!$B$239="Да",MeanMinAge05+'19_Расчет_аналитики'!AI2583*SUMIF(ThresholdAge05,"&lt;"&amp;'19_Расчет_аналитики'!AI2583,WeightedRevAge05)-SUMIF(ThresholdAge05,"&lt;"&amp;'19_Расчет_аналитики'!AI2583,WeightedMinAge05),MAX(CapacityAge05*'01_Вводные'!$B$218*'19_Расчет_аналитики'!AI2583,MeanMinAge05)))</f>
        <v/>
      </c>
      <c r="AJ2492">
        <f>IF(OR('19_Расчет_аналитики'!AJ2464=0,5&lt;='01_Вводные'!$B$297),0,'19_Расчет_аналитики'!AJ2464*IF('01_Вводные'!$B$239="Да",MeanMinAge05+'19_Расчет_аналитики'!AJ2583*SUMIF(ThresholdAge05,"&lt;"&amp;'19_Расчет_аналитики'!AJ2583,WeightedRevAge05)-SUMIF(ThresholdAge05,"&lt;"&amp;'19_Расчет_аналитики'!AJ2583,WeightedMinAge05),MAX(CapacityAge05*'01_Вводные'!$B$218*'19_Расчет_аналитики'!AJ2583,MeanMinAge05)))</f>
        <v/>
      </c>
      <c r="AK2492">
        <f>IF(OR('19_Расчет_аналитики'!AK2464=0,5&lt;='01_Вводные'!$B$297),0,'19_Расчет_аналитики'!AK2464*IF('01_Вводные'!$B$239="Да",MeanMinAge05+'19_Расчет_аналитики'!AK2583*SUMIF(ThresholdAge05,"&lt;"&amp;'19_Расчет_аналитики'!AK2583,WeightedRevAge05)-SUMIF(ThresholdAge05,"&lt;"&amp;'19_Расчет_аналитики'!AK2583,WeightedMinAge05),MAX(CapacityAge05*'01_Вводные'!$B$218*'19_Расчет_аналитики'!AK2583,MeanMinAge05)))</f>
        <v/>
      </c>
      <c r="AL2492">
        <f>IF(OR('19_Расчет_аналитики'!AL2464=0,5&lt;='01_Вводные'!$B$297),0,'19_Расчет_аналитики'!AL2464*IF('01_Вводные'!$B$239="Да",MeanMinAge05+'19_Расчет_аналитики'!AL2583*SUMIF(ThresholdAge05,"&lt;"&amp;'19_Расчет_аналитики'!AL2583,WeightedRevAge05)-SUMIF(ThresholdAge05,"&lt;"&amp;'19_Расчет_аналитики'!AL2583,WeightedMinAge05),MAX(CapacityAge05*'01_Вводные'!$B$218*'19_Расчет_аналитики'!AL2583,MeanMinAge05)))</f>
        <v/>
      </c>
      <c r="AM2492">
        <f>IF(OR('19_Расчет_аналитики'!AM2464=0,5&lt;='01_Вводные'!$B$297),0,'19_Расчет_аналитики'!AM2464*IF('01_Вводные'!$B$239="Да",MeanMinAge05+'19_Расчет_аналитики'!AM2583*SUMIF(ThresholdAge05,"&lt;"&amp;'19_Расчет_аналитики'!AM2583,WeightedRevAge05)-SUMIF(ThresholdAge05,"&lt;"&amp;'19_Расчет_аналитики'!AM2583,WeightedMinAge05),MAX(CapacityAge05*'01_Вводные'!$B$218*'19_Расчет_аналитики'!AM2583,MeanMinAge05)))</f>
        <v/>
      </c>
      <c r="AN2492">
        <f>IF(OR('19_Расчет_аналитики'!AN2464=0,5&lt;='01_Вводные'!$B$297),0,'19_Расчет_аналитики'!AN2464*IF('01_Вводные'!$B$239="Да",MeanMinAge05+'19_Расчет_аналитики'!AN2583*SUMIF(ThresholdAge05,"&lt;"&amp;'19_Расчет_аналитики'!AN2583,WeightedRevAge05)-SUMIF(ThresholdAge05,"&lt;"&amp;'19_Расчет_аналитики'!AN2583,WeightedMinAge05),MAX(CapacityAge05*'01_Вводные'!$B$218*'19_Расчет_аналитики'!AN2583,MeanMinAge05)))</f>
        <v/>
      </c>
      <c r="AO2492">
        <f>IF(OR('19_Расчет_аналитики'!AO2464=0,5&lt;='01_Вводные'!$B$297),0,'19_Расчет_аналитики'!AO2464*IF('01_Вводные'!$B$239="Да",MeanMinAge05+'19_Расчет_аналитики'!AO2583*SUMIF(ThresholdAge05,"&lt;"&amp;'19_Расчет_аналитики'!AO2583,WeightedRevAge05)-SUMIF(ThresholdAge05,"&lt;"&amp;'19_Расчет_аналитики'!AO2583,WeightedMinAge05),MAX(CapacityAge05*'01_Вводные'!$B$218*'19_Расчет_аналитики'!AO2583,MeanMinAge05)))</f>
        <v/>
      </c>
      <c r="AP2492">
        <f>IF(OR('19_Расчет_аналитики'!AP2464=0,5&lt;='01_Вводные'!$B$297),0,'19_Расчет_аналитики'!AP2464*IF('01_Вводные'!$B$239="Да",MeanMinAge05+'19_Расчет_аналитики'!AP2583*SUMIF(ThresholdAge05,"&lt;"&amp;'19_Расчет_аналитики'!AP2583,WeightedRevAge05)-SUMIF(ThresholdAge05,"&lt;"&amp;'19_Расчет_аналитики'!AP2583,WeightedMinAge05),MAX(CapacityAge05*'01_Вводные'!$B$218*'19_Расчет_аналитики'!AP2583,MeanMinAge05)))</f>
        <v/>
      </c>
      <c r="AQ2492">
        <f>IF(OR('19_Расчет_аналитики'!AQ2464=0,5&lt;='01_Вводные'!$B$297),0,'19_Расчет_аналитики'!AQ2464*IF('01_Вводные'!$B$239="Да",MeanMinAge05+'19_Расчет_аналитики'!AQ2583*SUMIF(ThresholdAge05,"&lt;"&amp;'19_Расчет_аналитики'!AQ2583,WeightedRevAge05)-SUMIF(ThresholdAge05,"&lt;"&amp;'19_Расчет_аналитики'!AQ2583,WeightedMinAge05),MAX(CapacityAge05*'01_Вводные'!$B$218*'19_Расчет_аналитики'!AQ2583,MeanMinAge05)))</f>
        <v/>
      </c>
      <c r="AR2492">
        <f>IF(OR('19_Расчет_аналитики'!AR2464=0,5&lt;='01_Вводные'!$B$297),0,'19_Расчет_аналитики'!AR2464*IF('01_Вводные'!$B$239="Да",MeanMinAge05+'19_Расчет_аналитики'!AR2583*SUMIF(ThresholdAge05,"&lt;"&amp;'19_Расчет_аналитики'!AR2583,WeightedRevAge05)-SUMIF(ThresholdAge05,"&lt;"&amp;'19_Расчет_аналитики'!AR2583,WeightedMinAge05),MAX(CapacityAge05*'01_Вводные'!$B$218*'19_Расчет_аналитики'!AR2583,MeanMinAge05)))</f>
        <v/>
      </c>
      <c r="AS2492">
        <f>IF(OR('19_Расчет_аналитики'!AS2464=0,5&lt;='01_Вводные'!$B$297),0,'19_Расчет_аналитики'!AS2464*IF('01_Вводные'!$B$239="Да",MeanMinAge05+'19_Расчет_аналитики'!AS2583*SUMIF(ThresholdAge05,"&lt;"&amp;'19_Расчет_аналитики'!AS2583,WeightedRevAge05)-SUMIF(ThresholdAge05,"&lt;"&amp;'19_Расчет_аналитики'!AS2583,WeightedMinAge05),MAX(CapacityAge05*'01_Вводные'!$B$218*'19_Расчет_аналитики'!AS2583,MeanMinAge05)))</f>
        <v/>
      </c>
      <c r="AT2492">
        <f>IF(OR('19_Расчет_аналитики'!AT2464=0,5&lt;='01_Вводные'!$B$297),0,'19_Расчет_аналитики'!AT2464*IF('01_Вводные'!$B$239="Да",MeanMinAge05+'19_Расчет_аналитики'!AT2583*SUMIF(ThresholdAge05,"&lt;"&amp;'19_Расчет_аналитики'!AT2583,WeightedRevAge05)-SUMIF(ThresholdAge05,"&lt;"&amp;'19_Расчет_аналитики'!AT2583,WeightedMinAge05),MAX(CapacityAge05*'01_Вводные'!$B$218*'19_Расчет_аналитики'!AT2583,MeanMinAge05)))</f>
        <v/>
      </c>
      <c r="AU2492">
        <f>IF(OR('19_Расчет_аналитики'!AU2464=0,5&lt;='01_Вводные'!$B$297),0,'19_Расчет_аналитики'!AU2464*IF('01_Вводные'!$B$239="Да",MeanMinAge05+'19_Расчет_аналитики'!AU2583*SUMIF(ThresholdAge05,"&lt;"&amp;'19_Расчет_аналитики'!AU2583,WeightedRevAge05)-SUMIF(ThresholdAge05,"&lt;"&amp;'19_Расчет_аналитики'!AU2583,WeightedMinAge05),MAX(CapacityAge05*'01_Вводные'!$B$218*'19_Расчет_аналитики'!AU2583,MeanMinAge05)))</f>
        <v/>
      </c>
      <c r="AV2492">
        <f>IF(OR('19_Расчет_аналитики'!AV2464=0,5&lt;='01_Вводные'!$B$297),0,'19_Расчет_аналитики'!AV2464*IF('01_Вводные'!$B$239="Да",MeanMinAge05+'19_Расчет_аналитики'!AV2583*SUMIF(ThresholdAge05,"&lt;"&amp;'19_Расчет_аналитики'!AV2583,WeightedRevAge05)-SUMIF(ThresholdAge05,"&lt;"&amp;'19_Расчет_аналитики'!AV2583,WeightedMinAge05),MAX(CapacityAge05*'01_Вводные'!$B$218*'19_Расчет_аналитики'!AV2583,MeanMinAge05)))</f>
        <v/>
      </c>
      <c r="AW2492">
        <f>IF(OR('19_Расчет_аналитики'!AW2464=0,5&lt;='01_Вводные'!$B$297),0,'19_Расчет_аналитики'!AW2464*IF('01_Вводные'!$B$239="Да",MeanMinAge05+'19_Расчет_аналитики'!AW2583*SUMIF(ThresholdAge05,"&lt;"&amp;'19_Расчет_аналитики'!AW2583,WeightedRevAge05)-SUMIF(ThresholdAge05,"&lt;"&amp;'19_Расчет_аналитики'!AW2583,WeightedMinAge05),MAX(CapacityAge05*'01_Вводные'!$B$218*'19_Расчет_аналитики'!AW2583,MeanMinAge05)))</f>
        <v/>
      </c>
      <c r="AX2492">
        <f>IF(OR('19_Расчет_аналитики'!AX2464=0,5&lt;='01_Вводные'!$B$297),0,'19_Расчет_аналитики'!AX2464*IF('01_Вводные'!$B$239="Да",MeanMinAge05+'19_Расчет_аналитики'!AX2583*SUMIF(ThresholdAge05,"&lt;"&amp;'19_Расчет_аналитики'!AX2583,WeightedRevAge05)-SUMIF(ThresholdAge05,"&lt;"&amp;'19_Расчет_аналитики'!AX2583,WeightedMinAge05),MAX(CapacityAge05*'01_Вводные'!$B$218*'19_Расчет_аналитики'!AX2583,MeanMinAge05)))</f>
        <v/>
      </c>
      <c r="AY2492">
        <f>IF(OR('19_Расчет_аналитики'!AY2464=0,5&lt;='01_Вводные'!$B$297),0,'19_Расчет_аналитики'!AY2464*IF('01_Вводные'!$B$239="Да",MeanMinAge05+'19_Расчет_аналитики'!AY2583*SUMIF(ThresholdAge05,"&lt;"&amp;'19_Расчет_аналитики'!AY2583,WeightedRevAge05)-SUMIF(ThresholdAge05,"&lt;"&amp;'19_Расчет_аналитики'!AY2583,WeightedMinAge05),MAX(CapacityAge05*'01_Вводные'!$B$218*'19_Расчет_аналитики'!AY2583,MeanMinAge05)))</f>
        <v/>
      </c>
      <c r="AZ2492">
        <f>IF(OR('19_Расчет_аналитики'!AZ2464=0,5&lt;='01_Вводные'!$B$297),0,'19_Расчет_аналитики'!AZ2464*IF('01_Вводные'!$B$239="Да",MeanMinAge05+'19_Расчет_аналитики'!AZ2583*SUMIF(ThresholdAge05,"&lt;"&amp;'19_Расчет_аналитики'!AZ2583,WeightedRevAge05)-SUMIF(ThresholdAge05,"&lt;"&amp;'19_Расчет_аналитики'!AZ2583,WeightedMinAge05),MAX(CapacityAge05*'01_Вводные'!$B$218*'19_Расчет_аналитики'!AZ2583,MeanMinAge05)))</f>
        <v/>
      </c>
      <c r="BA2492">
        <f>IF(OR('19_Расчет_аналитики'!BA2464=0,5&lt;='01_Вводные'!$B$297),0,'19_Расчет_аналитики'!BA2464*IF('01_Вводные'!$B$239="Да",MeanMinAge05+'19_Расчет_аналитики'!BA2583*SUMIF(ThresholdAge05,"&lt;"&amp;'19_Расчет_аналитики'!BA2583,WeightedRevAge05)-SUMIF(ThresholdAge05,"&lt;"&amp;'19_Расчет_аналитики'!BA2583,WeightedMinAge05),MAX(CapacityAge05*'01_Вводные'!$B$218*'19_Расчет_аналитики'!BA2583,MeanMinAge05)))</f>
        <v/>
      </c>
      <c r="BB2492">
        <f>IF(OR('19_Расчет_аналитики'!BB2464=0,5&lt;='01_Вводные'!$B$297),0,'19_Расчет_аналитики'!BB2464*IF('01_Вводные'!$B$239="Да",MeanMinAge05+'19_Расчет_аналитики'!BB2583*SUMIF(ThresholdAge05,"&lt;"&amp;'19_Расчет_аналитики'!BB2583,WeightedRevAge05)-SUMIF(ThresholdAge05,"&lt;"&amp;'19_Расчет_аналитики'!BB2583,WeightedMinAge05),MAX(CapacityAge05*'01_Вводные'!$B$218*'19_Расчет_аналитики'!BB2583,MeanMinAge05)))</f>
        <v/>
      </c>
      <c r="BC2492">
        <f>IF(OR('19_Расчет_аналитики'!BC2464=0,5&lt;='01_Вводные'!$B$297),0,'19_Расчет_аналитики'!BC2464*IF('01_Вводные'!$B$239="Да",MeanMinAge05+'19_Расчет_аналитики'!BC2583*SUMIF(ThresholdAge05,"&lt;"&amp;'19_Расчет_аналитики'!BC2583,WeightedRevAge05)-SUMIF(ThresholdAge05,"&lt;"&amp;'19_Расчет_аналитики'!BC2583,WeightedMinAge05),MAX(CapacityAge05*'01_Вводные'!$B$218*'19_Расчет_аналитики'!BC2583,MeanMinAge05)))</f>
        <v/>
      </c>
      <c r="BD2492">
        <f>IF(OR('19_Расчет_аналитики'!BD2464=0,5&lt;='01_Вводные'!$B$297),0,'19_Расчет_аналитики'!BD2464*IF('01_Вводные'!$B$239="Да",MeanMinAge05+'19_Расчет_аналитики'!BD2583*SUMIF(ThresholdAge05,"&lt;"&amp;'19_Расчет_аналитики'!BD2583,WeightedRevAge05)-SUMIF(ThresholdAge05,"&lt;"&amp;'19_Расчет_аналитики'!BD2583,WeightedMinAge05),MAX(CapacityAge05*'01_Вводные'!$B$218*'19_Расчет_аналитики'!BD2583,MeanMinAge05)))</f>
        <v/>
      </c>
      <c r="BE2492">
        <f>IF(OR('19_Расчет_аналитики'!BE2464=0,5&lt;='01_Вводные'!$B$297),0,'19_Расчет_аналитики'!BE2464*IF('01_Вводные'!$B$239="Да",MeanMinAge05+'19_Расчет_аналитики'!BE2583*SUMIF(ThresholdAge05,"&lt;"&amp;'19_Расчет_аналитики'!BE2583,WeightedRevAge05)-SUMIF(ThresholdAge05,"&lt;"&amp;'19_Расчет_аналитики'!BE2583,WeightedMinAge05),MAX(CapacityAge05*'01_Вводные'!$B$218*'19_Расчет_аналитики'!BE2583,MeanMinAge05)))</f>
        <v/>
      </c>
      <c r="BF2492">
        <f>IF(OR('19_Расчет_аналитики'!BF2464=0,5&lt;='01_Вводные'!$B$297),0,'19_Расчет_аналитики'!BF2464*IF('01_Вводные'!$B$239="Да",MeanMinAge05+'19_Расчет_аналитики'!BF2583*SUMIF(ThresholdAge05,"&lt;"&amp;'19_Расчет_аналитики'!BF2583,WeightedRevAge05)-SUMIF(ThresholdAge05,"&lt;"&amp;'19_Расчет_аналитики'!BF2583,WeightedMinAge05),MAX(CapacityAge05*'01_Вводные'!$B$218*'19_Расчет_аналитики'!BF2583,MeanMinAge05)))</f>
        <v/>
      </c>
      <c r="BG2492">
        <f>IF(OR('19_Расчет_аналитики'!BG2464=0,5&lt;='01_Вводные'!$B$297),0,'19_Расчет_аналитики'!BG2464*IF('01_Вводные'!$B$239="Да",MeanMinAge05+'19_Расчет_аналитики'!BG2583*SUMIF(ThresholdAge05,"&lt;"&amp;'19_Расчет_аналитики'!BG2583,WeightedRevAge05)-SUMIF(ThresholdAge05,"&lt;"&amp;'19_Расчет_аналитики'!BG2583,WeightedMinAge05),MAX(CapacityAge05*'01_Вводные'!$B$218*'19_Расчет_аналитики'!BG2583,MeanMinAge05)))</f>
        <v/>
      </c>
      <c r="BH2492">
        <f>IF(OR('19_Расчет_аналитики'!BH2464=0,5&lt;='01_Вводные'!$B$297),0,'19_Расчет_аналитики'!BH2464*IF('01_Вводные'!$B$239="Да",MeanMinAge05+'19_Расчет_аналитики'!BH2583*SUMIF(ThresholdAge05,"&lt;"&amp;'19_Расчет_аналитики'!BH2583,WeightedRevAge05)-SUMIF(ThresholdAge05,"&lt;"&amp;'19_Расчет_аналитики'!BH2583,WeightedMinAge05),MAX(CapacityAge05*'01_Вводные'!$B$218*'19_Расчет_аналитики'!BH2583,MeanMinAge05)))</f>
        <v/>
      </c>
      <c r="BI2492">
        <f>IF(OR('19_Расчет_аналитики'!BI2464=0,5&lt;='01_Вводные'!$B$297),0,'19_Расчет_аналитики'!BI2464*IF('01_Вводные'!$B$239="Да",MeanMinAge05+'19_Расчет_аналитики'!BI2583*SUMIF(ThresholdAge05,"&lt;"&amp;'19_Расчет_аналитики'!BI2583,WeightedRevAge05)-SUMIF(ThresholdAge05,"&lt;"&amp;'19_Расчет_аналитики'!BI2583,WeightedMinAge05),MAX(CapacityAge05*'01_Вводные'!$B$218*'19_Расчет_аналитики'!BI2583,MeanMinAge05)))</f>
        <v/>
      </c>
      <c r="BJ2492">
        <f>IF(OR('19_Расчет_аналитики'!BJ2464=0,5&lt;='01_Вводные'!$B$297),0,'19_Расчет_аналитики'!BJ2464*IF('01_Вводные'!$B$239="Да",MeanMinAge05+'19_Расчет_аналитики'!BJ2583*SUMIF(ThresholdAge05,"&lt;"&amp;'19_Расчет_аналитики'!BJ2583,WeightedRevAge05)-SUMIF(ThresholdAge05,"&lt;"&amp;'19_Расчет_аналитики'!BJ2583,WeightedMinAge05),MAX(CapacityAge05*'01_Вводные'!$B$218*'19_Расчет_аналитики'!BJ2583,MeanMinAge05)))</f>
        <v/>
      </c>
      <c r="BK2492">
        <f>IF(OR('19_Расчет_аналитики'!BK2464=0,5&lt;='01_Вводные'!$B$297),0,'19_Расчет_аналитики'!BK2464*IF('01_Вводные'!$B$239="Да",MeanMinAge05+'19_Расчет_аналитики'!BK2583*SUMIF(ThresholdAge05,"&lt;"&amp;'19_Расчет_аналитики'!BK2583,WeightedRevAge05)-SUMIF(ThresholdAge05,"&lt;"&amp;'19_Расчет_аналитики'!BK2583,WeightedMinAge05),MAX(CapacityAge05*'01_Вводные'!$B$218*'19_Расчет_аналитики'!BK2583,MeanMinAge05)))</f>
        <v/>
      </c>
      <c r="BL2492">
        <f>IF(OR('19_Расчет_аналитики'!BL2464=0,5&lt;='01_Вводные'!$B$297),0,'19_Расчет_аналитики'!BL2464*IF('01_Вводные'!$B$239="Да",MeanMinAge05+'19_Расчет_аналитики'!BL2583*SUMIF(ThresholdAge05,"&lt;"&amp;'19_Расчет_аналитики'!BL2583,WeightedRevAge05)-SUMIF(ThresholdAge05,"&lt;"&amp;'19_Расчет_аналитики'!BL2583,WeightedMinAge05),MAX(CapacityAge05*'01_Вводные'!$B$218*'19_Расчет_аналитики'!BL2583,MeanMinAge05)))</f>
        <v/>
      </c>
      <c r="BM2492">
        <f>IF(OR('19_Расчет_аналитики'!BM2464=0,5&lt;='01_Вводные'!$B$297),0,'19_Расчет_аналитики'!BM2464*IF('01_Вводные'!$B$239="Да",MeanMinAge05+'19_Расчет_аналитики'!BM2583*SUMIF(ThresholdAge05,"&lt;"&amp;'19_Расчет_аналитики'!BM2583,WeightedRevAge05)-SUMIF(ThresholdAge05,"&lt;"&amp;'19_Расчет_аналитики'!BM2583,WeightedMinAge05),MAX(CapacityAge05*'01_Вводные'!$B$218*'19_Расчет_аналитики'!BM2583,MeanMinAge05)))</f>
        <v/>
      </c>
      <c r="BN2492">
        <f>IF(OR('19_Расчет_аналитики'!BN2464=0,5&lt;='01_Вводные'!$B$297),0,'19_Расчет_аналитики'!BN2464*IF('01_Вводные'!$B$239="Да",MeanMinAge05+'19_Расчет_аналитики'!BN2583*SUMIF(ThresholdAge05,"&lt;"&amp;'19_Расчет_аналитики'!BN2583,WeightedRevAge05)-SUMIF(ThresholdAge05,"&lt;"&amp;'19_Расчет_аналитики'!BN2583,WeightedMinAge05),MAX(CapacityAge05*'01_Вводные'!$B$218*'19_Расчет_аналитики'!BN2583,MeanMinAge05)))</f>
        <v/>
      </c>
      <c r="BO2492">
        <f>IF(OR('19_Расчет_аналитики'!BO2464=0,5&lt;='01_Вводные'!$B$297),0,'19_Расчет_аналитики'!BO2464*IF('01_Вводные'!$B$239="Да",MeanMinAge05+'19_Расчет_аналитики'!BO2583*SUMIF(ThresholdAge05,"&lt;"&amp;'19_Расчет_аналитики'!BO2583,WeightedRevAge05)-SUMIF(ThresholdAge05,"&lt;"&amp;'19_Расчет_аналитики'!BO2583,WeightedMinAge05),MAX(CapacityAge05*'01_Вводные'!$B$218*'19_Расчет_аналитики'!BO2583,MeanMinAge05)))</f>
        <v/>
      </c>
    </row>
    <row r="2493">
      <c r="B2493">
        <f>IF(OR('06_Сеть_и_дети'!B86=0,6&lt;='01_Вводные'!$B$297),0,'06_Сеть_и_дети'!B86*IF('01_Вводные'!$B$239="Да",MeanMinAge06+'19_Расчет_аналитики'!B2583*SUMIF(ThresholdAge06,"&lt;"&amp;'19_Расчет_аналитики'!B2583,WeightedRevAge06)-SUMIF(ThresholdAge06,"&lt;"&amp;'19_Расчет_аналитики'!B2583,WeightedMinAge06),MAX(CapacityAge06*'01_Вводные'!$B$218*'19_Расчет_аналитики'!B2583,MeanMinAge06)))</f>
        <v/>
      </c>
      <c r="C2493">
        <f>IF(OR('06_Сеть_и_дети'!C86=0,6&lt;='01_Вводные'!$B$297),0,'06_Сеть_и_дети'!C86*IF('01_Вводные'!$B$239="Да",MeanMinAge06+'19_Расчет_аналитики'!C2583*SUMIF(ThresholdAge06,"&lt;"&amp;'19_Расчет_аналитики'!C2583,WeightedRevAge06)-SUMIF(ThresholdAge06,"&lt;"&amp;'19_Расчет_аналитики'!C2583,WeightedMinAge06),MAX(CapacityAge06*'01_Вводные'!$B$218*'19_Расчет_аналитики'!C2583,MeanMinAge06)))</f>
        <v/>
      </c>
      <c r="D2493">
        <f>IF(OR('06_Сеть_и_дети'!D86=0,6&lt;='01_Вводные'!$B$297),0,'06_Сеть_и_дети'!D86*IF('01_Вводные'!$B$239="Да",MeanMinAge06+'19_Расчет_аналитики'!D2583*SUMIF(ThresholdAge06,"&lt;"&amp;'19_Расчет_аналитики'!D2583,WeightedRevAge06)-SUMIF(ThresholdAge06,"&lt;"&amp;'19_Расчет_аналитики'!D2583,WeightedMinAge06),MAX(CapacityAge06*'01_Вводные'!$B$218*'19_Расчет_аналитики'!D2583,MeanMinAge06)))</f>
        <v/>
      </c>
      <c r="E2493">
        <f>IF(OR('06_Сеть_и_дети'!E86=0,6&lt;='01_Вводные'!$B$297),0,'06_Сеть_и_дети'!E86*IF('01_Вводные'!$B$239="Да",MeanMinAge06+'19_Расчет_аналитики'!E2583*SUMIF(ThresholdAge06,"&lt;"&amp;'19_Расчет_аналитики'!E2583,WeightedRevAge06)-SUMIF(ThresholdAge06,"&lt;"&amp;'19_Расчет_аналитики'!E2583,WeightedMinAge06),MAX(CapacityAge06*'01_Вводные'!$B$218*'19_Расчет_аналитики'!E2583,MeanMinAge06)))</f>
        <v/>
      </c>
      <c r="F2493">
        <f>IF(OR('06_Сеть_и_дети'!F86=0,6&lt;='01_Вводные'!$B$297),0,'06_Сеть_и_дети'!F86*IF('01_Вводные'!$B$239="Да",MeanMinAge06+'19_Расчет_аналитики'!F2583*SUMIF(ThresholdAge06,"&lt;"&amp;'19_Расчет_аналитики'!F2583,WeightedRevAge06)-SUMIF(ThresholdAge06,"&lt;"&amp;'19_Расчет_аналитики'!F2583,WeightedMinAge06),MAX(CapacityAge06*'01_Вводные'!$B$218*'19_Расчет_аналитики'!F2583,MeanMinAge06)))</f>
        <v/>
      </c>
      <c r="G2493">
        <f>IF(OR('19_Расчет_аналитики'!G2465=0,6&lt;='01_Вводные'!$B$297),0,'19_Расчет_аналитики'!G2465*IF('01_Вводные'!$B$239="Да",MeanMinAge06+'19_Расчет_аналитики'!G2583*SUMIF(ThresholdAge06,"&lt;"&amp;'19_Расчет_аналитики'!G2583,WeightedRevAge06)-SUMIF(ThresholdAge06,"&lt;"&amp;'19_Расчет_аналитики'!G2583,WeightedMinAge06),MAX(CapacityAge06*'01_Вводные'!$B$218*'19_Расчет_аналитики'!G2583,MeanMinAge06)))</f>
        <v/>
      </c>
      <c r="H2493">
        <f>IF(OR('19_Расчет_аналитики'!H2465=0,6&lt;='01_Вводные'!$B$297),0,'19_Расчет_аналитики'!H2465*IF('01_Вводные'!$B$239="Да",MeanMinAge06+'19_Расчет_аналитики'!H2583*SUMIF(ThresholdAge06,"&lt;"&amp;'19_Расчет_аналитики'!H2583,WeightedRevAge06)-SUMIF(ThresholdAge06,"&lt;"&amp;'19_Расчет_аналитики'!H2583,WeightedMinAge06),MAX(CapacityAge06*'01_Вводные'!$B$218*'19_Расчет_аналитики'!H2583,MeanMinAge06)))</f>
        <v/>
      </c>
      <c r="I2493">
        <f>IF(OR('19_Расчет_аналитики'!I2465=0,6&lt;='01_Вводные'!$B$297),0,'19_Расчет_аналитики'!I2465*IF('01_Вводные'!$B$239="Да",MeanMinAge06+'19_Расчет_аналитики'!I2583*SUMIF(ThresholdAge06,"&lt;"&amp;'19_Расчет_аналитики'!I2583,WeightedRevAge06)-SUMIF(ThresholdAge06,"&lt;"&amp;'19_Расчет_аналитики'!I2583,WeightedMinAge06),MAX(CapacityAge06*'01_Вводные'!$B$218*'19_Расчет_аналитики'!I2583,MeanMinAge06)))</f>
        <v/>
      </c>
      <c r="J2493">
        <f>IF(OR('19_Расчет_аналитики'!J2465=0,6&lt;='01_Вводные'!$B$297),0,'19_Расчет_аналитики'!J2465*IF('01_Вводные'!$B$239="Да",MeanMinAge06+'19_Расчет_аналитики'!J2583*SUMIF(ThresholdAge06,"&lt;"&amp;'19_Расчет_аналитики'!J2583,WeightedRevAge06)-SUMIF(ThresholdAge06,"&lt;"&amp;'19_Расчет_аналитики'!J2583,WeightedMinAge06),MAX(CapacityAge06*'01_Вводные'!$B$218*'19_Расчет_аналитики'!J2583,MeanMinAge06)))</f>
        <v/>
      </c>
      <c r="K2493">
        <f>IF(OR('19_Расчет_аналитики'!K2465=0,6&lt;='01_Вводные'!$B$297),0,'19_Расчет_аналитики'!K2465*IF('01_Вводные'!$B$239="Да",MeanMinAge06+'19_Расчет_аналитики'!K2583*SUMIF(ThresholdAge06,"&lt;"&amp;'19_Расчет_аналитики'!K2583,WeightedRevAge06)-SUMIF(ThresholdAge06,"&lt;"&amp;'19_Расчет_аналитики'!K2583,WeightedMinAge06),MAX(CapacityAge06*'01_Вводные'!$B$218*'19_Расчет_аналитики'!K2583,MeanMinAge06)))</f>
        <v/>
      </c>
      <c r="L2493">
        <f>IF(OR('19_Расчет_аналитики'!L2465=0,6&lt;='01_Вводные'!$B$297),0,'19_Расчет_аналитики'!L2465*IF('01_Вводные'!$B$239="Да",MeanMinAge06+'19_Расчет_аналитики'!L2583*SUMIF(ThresholdAge06,"&lt;"&amp;'19_Расчет_аналитики'!L2583,WeightedRevAge06)-SUMIF(ThresholdAge06,"&lt;"&amp;'19_Расчет_аналитики'!L2583,WeightedMinAge06),MAX(CapacityAge06*'01_Вводные'!$B$218*'19_Расчет_аналитики'!L2583,MeanMinAge06)))</f>
        <v/>
      </c>
      <c r="M2493">
        <f>IF(OR('19_Расчет_аналитики'!M2465=0,6&lt;='01_Вводные'!$B$297),0,'19_Расчет_аналитики'!M2465*IF('01_Вводные'!$B$239="Да",MeanMinAge06+'19_Расчет_аналитики'!M2583*SUMIF(ThresholdAge06,"&lt;"&amp;'19_Расчет_аналитики'!M2583,WeightedRevAge06)-SUMIF(ThresholdAge06,"&lt;"&amp;'19_Расчет_аналитики'!M2583,WeightedMinAge06),MAX(CapacityAge06*'01_Вводные'!$B$218*'19_Расчет_аналитики'!M2583,MeanMinAge06)))</f>
        <v/>
      </c>
      <c r="N2493">
        <f>IF(OR('19_Расчет_аналитики'!N2465=0,6&lt;='01_Вводные'!$B$297),0,'19_Расчет_аналитики'!N2465*IF('01_Вводные'!$B$239="Да",MeanMinAge06+'19_Расчет_аналитики'!N2583*SUMIF(ThresholdAge06,"&lt;"&amp;'19_Расчет_аналитики'!N2583,WeightedRevAge06)-SUMIF(ThresholdAge06,"&lt;"&amp;'19_Расчет_аналитики'!N2583,WeightedMinAge06),MAX(CapacityAge06*'01_Вводные'!$B$218*'19_Расчет_аналитики'!N2583,MeanMinAge06)))</f>
        <v/>
      </c>
      <c r="O2493">
        <f>IF(OR('19_Расчет_аналитики'!O2465=0,6&lt;='01_Вводные'!$B$297),0,'19_Расчет_аналитики'!O2465*IF('01_Вводные'!$B$239="Да",MeanMinAge06+'19_Расчет_аналитики'!O2583*SUMIF(ThresholdAge06,"&lt;"&amp;'19_Расчет_аналитики'!O2583,WeightedRevAge06)-SUMIF(ThresholdAge06,"&lt;"&amp;'19_Расчет_аналитики'!O2583,WeightedMinAge06),MAX(CapacityAge06*'01_Вводные'!$B$218*'19_Расчет_аналитики'!O2583,MeanMinAge06)))</f>
        <v/>
      </c>
      <c r="P2493">
        <f>IF(OR('19_Расчет_аналитики'!P2465=0,6&lt;='01_Вводные'!$B$297),0,'19_Расчет_аналитики'!P2465*IF('01_Вводные'!$B$239="Да",MeanMinAge06+'19_Расчет_аналитики'!P2583*SUMIF(ThresholdAge06,"&lt;"&amp;'19_Расчет_аналитики'!P2583,WeightedRevAge06)-SUMIF(ThresholdAge06,"&lt;"&amp;'19_Расчет_аналитики'!P2583,WeightedMinAge06),MAX(CapacityAge06*'01_Вводные'!$B$218*'19_Расчет_аналитики'!P2583,MeanMinAge06)))</f>
        <v/>
      </c>
      <c r="Q2493">
        <f>IF(OR('19_Расчет_аналитики'!Q2465=0,6&lt;='01_Вводные'!$B$297),0,'19_Расчет_аналитики'!Q2465*IF('01_Вводные'!$B$239="Да",MeanMinAge06+'19_Расчет_аналитики'!Q2583*SUMIF(ThresholdAge06,"&lt;"&amp;'19_Расчет_аналитики'!Q2583,WeightedRevAge06)-SUMIF(ThresholdAge06,"&lt;"&amp;'19_Расчет_аналитики'!Q2583,WeightedMinAge06),MAX(CapacityAge06*'01_Вводные'!$B$218*'19_Расчет_аналитики'!Q2583,MeanMinAge06)))</f>
        <v/>
      </c>
      <c r="R2493">
        <f>IF(OR('19_Расчет_аналитики'!R2465=0,6&lt;='01_Вводные'!$B$297),0,'19_Расчет_аналитики'!R2465*IF('01_Вводные'!$B$239="Да",MeanMinAge06+'19_Расчет_аналитики'!R2583*SUMIF(ThresholdAge06,"&lt;"&amp;'19_Расчет_аналитики'!R2583,WeightedRevAge06)-SUMIF(ThresholdAge06,"&lt;"&amp;'19_Расчет_аналитики'!R2583,WeightedMinAge06),MAX(CapacityAge06*'01_Вводные'!$B$218*'19_Расчет_аналитики'!R2583,MeanMinAge06)))</f>
        <v/>
      </c>
      <c r="S2493">
        <f>IF(OR('19_Расчет_аналитики'!S2465=0,6&lt;='01_Вводные'!$B$297),0,'19_Расчет_аналитики'!S2465*IF('01_Вводные'!$B$239="Да",MeanMinAge06+'19_Расчет_аналитики'!S2583*SUMIF(ThresholdAge06,"&lt;"&amp;'19_Расчет_аналитики'!S2583,WeightedRevAge06)-SUMIF(ThresholdAge06,"&lt;"&amp;'19_Расчет_аналитики'!S2583,WeightedMinAge06),MAX(CapacityAge06*'01_Вводные'!$B$218*'19_Расчет_аналитики'!S2583,MeanMinAge06)))</f>
        <v/>
      </c>
      <c r="T2493">
        <f>IF(OR('19_Расчет_аналитики'!T2465=0,6&lt;='01_Вводные'!$B$297),0,'19_Расчет_аналитики'!T2465*IF('01_Вводные'!$B$239="Да",MeanMinAge06+'19_Расчет_аналитики'!T2583*SUMIF(ThresholdAge06,"&lt;"&amp;'19_Расчет_аналитики'!T2583,WeightedRevAge06)-SUMIF(ThresholdAge06,"&lt;"&amp;'19_Расчет_аналитики'!T2583,WeightedMinAge06),MAX(CapacityAge06*'01_Вводные'!$B$218*'19_Расчет_аналитики'!T2583,MeanMinAge06)))</f>
        <v/>
      </c>
      <c r="U2493">
        <f>IF(OR('19_Расчет_аналитики'!U2465=0,6&lt;='01_Вводные'!$B$297),0,'19_Расчет_аналитики'!U2465*IF('01_Вводные'!$B$239="Да",MeanMinAge06+'19_Расчет_аналитики'!U2583*SUMIF(ThresholdAge06,"&lt;"&amp;'19_Расчет_аналитики'!U2583,WeightedRevAge06)-SUMIF(ThresholdAge06,"&lt;"&amp;'19_Расчет_аналитики'!U2583,WeightedMinAge06),MAX(CapacityAge06*'01_Вводные'!$B$218*'19_Расчет_аналитики'!U2583,MeanMinAge06)))</f>
        <v/>
      </c>
      <c r="V2493">
        <f>IF(OR('19_Расчет_аналитики'!V2465=0,6&lt;='01_Вводные'!$B$297),0,'19_Расчет_аналитики'!V2465*IF('01_Вводные'!$B$239="Да",MeanMinAge06+'19_Расчет_аналитики'!V2583*SUMIF(ThresholdAge06,"&lt;"&amp;'19_Расчет_аналитики'!V2583,WeightedRevAge06)-SUMIF(ThresholdAge06,"&lt;"&amp;'19_Расчет_аналитики'!V2583,WeightedMinAge06),MAX(CapacityAge06*'01_Вводные'!$B$218*'19_Расчет_аналитики'!V2583,MeanMinAge06)))</f>
        <v/>
      </c>
      <c r="W2493">
        <f>IF(OR('19_Расчет_аналитики'!W2465=0,6&lt;='01_Вводные'!$B$297),0,'19_Расчет_аналитики'!W2465*IF('01_Вводные'!$B$239="Да",MeanMinAge06+'19_Расчет_аналитики'!W2583*SUMIF(ThresholdAge06,"&lt;"&amp;'19_Расчет_аналитики'!W2583,WeightedRevAge06)-SUMIF(ThresholdAge06,"&lt;"&amp;'19_Расчет_аналитики'!W2583,WeightedMinAge06),MAX(CapacityAge06*'01_Вводные'!$B$218*'19_Расчет_аналитики'!W2583,MeanMinAge06)))</f>
        <v/>
      </c>
      <c r="X2493">
        <f>IF(OR('19_Расчет_аналитики'!X2465=0,6&lt;='01_Вводные'!$B$297),0,'19_Расчет_аналитики'!X2465*IF('01_Вводные'!$B$239="Да",MeanMinAge06+'19_Расчет_аналитики'!X2583*SUMIF(ThresholdAge06,"&lt;"&amp;'19_Расчет_аналитики'!X2583,WeightedRevAge06)-SUMIF(ThresholdAge06,"&lt;"&amp;'19_Расчет_аналитики'!X2583,WeightedMinAge06),MAX(CapacityAge06*'01_Вводные'!$B$218*'19_Расчет_аналитики'!X2583,MeanMinAge06)))</f>
        <v/>
      </c>
      <c r="Y2493">
        <f>IF(OR('19_Расчет_аналитики'!Y2465=0,6&lt;='01_Вводные'!$B$297),0,'19_Расчет_аналитики'!Y2465*IF('01_Вводные'!$B$239="Да",MeanMinAge06+'19_Расчет_аналитики'!Y2583*SUMIF(ThresholdAge06,"&lt;"&amp;'19_Расчет_аналитики'!Y2583,WeightedRevAge06)-SUMIF(ThresholdAge06,"&lt;"&amp;'19_Расчет_аналитики'!Y2583,WeightedMinAge06),MAX(CapacityAge06*'01_Вводные'!$B$218*'19_Расчет_аналитики'!Y2583,MeanMinAge06)))</f>
        <v/>
      </c>
      <c r="Z2493">
        <f>IF(OR('19_Расчет_аналитики'!Z2465=0,6&lt;='01_Вводные'!$B$297),0,'19_Расчет_аналитики'!Z2465*IF('01_Вводные'!$B$239="Да",MeanMinAge06+'19_Расчет_аналитики'!Z2583*SUMIF(ThresholdAge06,"&lt;"&amp;'19_Расчет_аналитики'!Z2583,WeightedRevAge06)-SUMIF(ThresholdAge06,"&lt;"&amp;'19_Расчет_аналитики'!Z2583,WeightedMinAge06),MAX(CapacityAge06*'01_Вводные'!$B$218*'19_Расчет_аналитики'!Z2583,MeanMinAge06)))</f>
        <v/>
      </c>
      <c r="AA2493">
        <f>IF(OR('19_Расчет_аналитики'!AA2465=0,6&lt;='01_Вводные'!$B$297),0,'19_Расчет_аналитики'!AA2465*IF('01_Вводные'!$B$239="Да",MeanMinAge06+'19_Расчет_аналитики'!AA2583*SUMIF(ThresholdAge06,"&lt;"&amp;'19_Расчет_аналитики'!AA2583,WeightedRevAge06)-SUMIF(ThresholdAge06,"&lt;"&amp;'19_Расчет_аналитики'!AA2583,WeightedMinAge06),MAX(CapacityAge06*'01_Вводные'!$B$218*'19_Расчет_аналитики'!AA2583,MeanMinAge06)))</f>
        <v/>
      </c>
      <c r="AB2493">
        <f>IF(OR('19_Расчет_аналитики'!AB2465=0,6&lt;='01_Вводные'!$B$297),0,'19_Расчет_аналитики'!AB2465*IF('01_Вводные'!$B$239="Да",MeanMinAge06+'19_Расчет_аналитики'!AB2583*SUMIF(ThresholdAge06,"&lt;"&amp;'19_Расчет_аналитики'!AB2583,WeightedRevAge06)-SUMIF(ThresholdAge06,"&lt;"&amp;'19_Расчет_аналитики'!AB2583,WeightedMinAge06),MAX(CapacityAge06*'01_Вводные'!$B$218*'19_Расчет_аналитики'!AB2583,MeanMinAge06)))</f>
        <v/>
      </c>
      <c r="AC2493">
        <f>IF(OR('19_Расчет_аналитики'!AC2465=0,6&lt;='01_Вводные'!$B$297),0,'19_Расчет_аналитики'!AC2465*IF('01_Вводные'!$B$239="Да",MeanMinAge06+'19_Расчет_аналитики'!AC2583*SUMIF(ThresholdAge06,"&lt;"&amp;'19_Расчет_аналитики'!AC2583,WeightedRevAge06)-SUMIF(ThresholdAge06,"&lt;"&amp;'19_Расчет_аналитики'!AC2583,WeightedMinAge06),MAX(CapacityAge06*'01_Вводные'!$B$218*'19_Расчет_аналитики'!AC2583,MeanMinAge06)))</f>
        <v/>
      </c>
      <c r="AD2493">
        <f>IF(OR('19_Расчет_аналитики'!AD2465=0,6&lt;='01_Вводные'!$B$297),0,'19_Расчет_аналитики'!AD2465*IF('01_Вводные'!$B$239="Да",MeanMinAge06+'19_Расчет_аналитики'!AD2583*SUMIF(ThresholdAge06,"&lt;"&amp;'19_Расчет_аналитики'!AD2583,WeightedRevAge06)-SUMIF(ThresholdAge06,"&lt;"&amp;'19_Расчет_аналитики'!AD2583,WeightedMinAge06),MAX(CapacityAge06*'01_Вводные'!$B$218*'19_Расчет_аналитики'!AD2583,MeanMinAge06)))</f>
        <v/>
      </c>
      <c r="AE2493">
        <f>IF(OR('19_Расчет_аналитики'!AE2465=0,6&lt;='01_Вводные'!$B$297),0,'19_Расчет_аналитики'!AE2465*IF('01_Вводные'!$B$239="Да",MeanMinAge06+'19_Расчет_аналитики'!AE2583*SUMIF(ThresholdAge06,"&lt;"&amp;'19_Расчет_аналитики'!AE2583,WeightedRevAge06)-SUMIF(ThresholdAge06,"&lt;"&amp;'19_Расчет_аналитики'!AE2583,WeightedMinAge06),MAX(CapacityAge06*'01_Вводные'!$B$218*'19_Расчет_аналитики'!AE2583,MeanMinAge06)))</f>
        <v/>
      </c>
      <c r="AF2493">
        <f>IF(OR('19_Расчет_аналитики'!AF2465=0,6&lt;='01_Вводные'!$B$297),0,'19_Расчет_аналитики'!AF2465*IF('01_Вводные'!$B$239="Да",MeanMinAge06+'19_Расчет_аналитики'!AF2583*SUMIF(ThresholdAge06,"&lt;"&amp;'19_Расчет_аналитики'!AF2583,WeightedRevAge06)-SUMIF(ThresholdAge06,"&lt;"&amp;'19_Расчет_аналитики'!AF2583,WeightedMinAge06),MAX(CapacityAge06*'01_Вводные'!$B$218*'19_Расчет_аналитики'!AF2583,MeanMinAge06)))</f>
        <v/>
      </c>
      <c r="AG2493">
        <f>IF(OR('19_Расчет_аналитики'!AG2465=0,6&lt;='01_Вводные'!$B$297),0,'19_Расчет_аналитики'!AG2465*IF('01_Вводные'!$B$239="Да",MeanMinAge06+'19_Расчет_аналитики'!AG2583*SUMIF(ThresholdAge06,"&lt;"&amp;'19_Расчет_аналитики'!AG2583,WeightedRevAge06)-SUMIF(ThresholdAge06,"&lt;"&amp;'19_Расчет_аналитики'!AG2583,WeightedMinAge06),MAX(CapacityAge06*'01_Вводные'!$B$218*'19_Расчет_аналитики'!AG2583,MeanMinAge06)))</f>
        <v/>
      </c>
      <c r="AH2493">
        <f>IF(OR('19_Расчет_аналитики'!AH2465=0,6&lt;='01_Вводные'!$B$297),0,'19_Расчет_аналитики'!AH2465*IF('01_Вводные'!$B$239="Да",MeanMinAge06+'19_Расчет_аналитики'!AH2583*SUMIF(ThresholdAge06,"&lt;"&amp;'19_Расчет_аналитики'!AH2583,WeightedRevAge06)-SUMIF(ThresholdAge06,"&lt;"&amp;'19_Расчет_аналитики'!AH2583,WeightedMinAge06),MAX(CapacityAge06*'01_Вводные'!$B$218*'19_Расчет_аналитики'!AH2583,MeanMinAge06)))</f>
        <v/>
      </c>
      <c r="AI2493">
        <f>IF(OR('19_Расчет_аналитики'!AI2465=0,6&lt;='01_Вводные'!$B$297),0,'19_Расчет_аналитики'!AI2465*IF('01_Вводные'!$B$239="Да",MeanMinAge06+'19_Расчет_аналитики'!AI2583*SUMIF(ThresholdAge06,"&lt;"&amp;'19_Расчет_аналитики'!AI2583,WeightedRevAge06)-SUMIF(ThresholdAge06,"&lt;"&amp;'19_Расчет_аналитики'!AI2583,WeightedMinAge06),MAX(CapacityAge06*'01_Вводные'!$B$218*'19_Расчет_аналитики'!AI2583,MeanMinAge06)))</f>
        <v/>
      </c>
      <c r="AJ2493">
        <f>IF(OR('19_Расчет_аналитики'!AJ2465=0,6&lt;='01_Вводные'!$B$297),0,'19_Расчет_аналитики'!AJ2465*IF('01_Вводные'!$B$239="Да",MeanMinAge06+'19_Расчет_аналитики'!AJ2583*SUMIF(ThresholdAge06,"&lt;"&amp;'19_Расчет_аналитики'!AJ2583,WeightedRevAge06)-SUMIF(ThresholdAge06,"&lt;"&amp;'19_Расчет_аналитики'!AJ2583,WeightedMinAge06),MAX(CapacityAge06*'01_Вводные'!$B$218*'19_Расчет_аналитики'!AJ2583,MeanMinAge06)))</f>
        <v/>
      </c>
      <c r="AK2493">
        <f>IF(OR('19_Расчет_аналитики'!AK2465=0,6&lt;='01_Вводные'!$B$297),0,'19_Расчет_аналитики'!AK2465*IF('01_Вводные'!$B$239="Да",MeanMinAge06+'19_Расчет_аналитики'!AK2583*SUMIF(ThresholdAge06,"&lt;"&amp;'19_Расчет_аналитики'!AK2583,WeightedRevAge06)-SUMIF(ThresholdAge06,"&lt;"&amp;'19_Расчет_аналитики'!AK2583,WeightedMinAge06),MAX(CapacityAge06*'01_Вводные'!$B$218*'19_Расчет_аналитики'!AK2583,MeanMinAge06)))</f>
        <v/>
      </c>
      <c r="AL2493">
        <f>IF(OR('19_Расчет_аналитики'!AL2465=0,6&lt;='01_Вводные'!$B$297),0,'19_Расчет_аналитики'!AL2465*IF('01_Вводные'!$B$239="Да",MeanMinAge06+'19_Расчет_аналитики'!AL2583*SUMIF(ThresholdAge06,"&lt;"&amp;'19_Расчет_аналитики'!AL2583,WeightedRevAge06)-SUMIF(ThresholdAge06,"&lt;"&amp;'19_Расчет_аналитики'!AL2583,WeightedMinAge06),MAX(CapacityAge06*'01_Вводные'!$B$218*'19_Расчет_аналитики'!AL2583,MeanMinAge06)))</f>
        <v/>
      </c>
      <c r="AM2493">
        <f>IF(OR('19_Расчет_аналитики'!AM2465=0,6&lt;='01_Вводные'!$B$297),0,'19_Расчет_аналитики'!AM2465*IF('01_Вводные'!$B$239="Да",MeanMinAge06+'19_Расчет_аналитики'!AM2583*SUMIF(ThresholdAge06,"&lt;"&amp;'19_Расчет_аналитики'!AM2583,WeightedRevAge06)-SUMIF(ThresholdAge06,"&lt;"&amp;'19_Расчет_аналитики'!AM2583,WeightedMinAge06),MAX(CapacityAge06*'01_Вводные'!$B$218*'19_Расчет_аналитики'!AM2583,MeanMinAge06)))</f>
        <v/>
      </c>
      <c r="AN2493">
        <f>IF(OR('19_Расчет_аналитики'!AN2465=0,6&lt;='01_Вводные'!$B$297),0,'19_Расчет_аналитики'!AN2465*IF('01_Вводные'!$B$239="Да",MeanMinAge06+'19_Расчет_аналитики'!AN2583*SUMIF(ThresholdAge06,"&lt;"&amp;'19_Расчет_аналитики'!AN2583,WeightedRevAge06)-SUMIF(ThresholdAge06,"&lt;"&amp;'19_Расчет_аналитики'!AN2583,WeightedMinAge06),MAX(CapacityAge06*'01_Вводные'!$B$218*'19_Расчет_аналитики'!AN2583,MeanMinAge06)))</f>
        <v/>
      </c>
      <c r="AO2493">
        <f>IF(OR('19_Расчет_аналитики'!AO2465=0,6&lt;='01_Вводные'!$B$297),0,'19_Расчет_аналитики'!AO2465*IF('01_Вводные'!$B$239="Да",MeanMinAge06+'19_Расчет_аналитики'!AO2583*SUMIF(ThresholdAge06,"&lt;"&amp;'19_Расчет_аналитики'!AO2583,WeightedRevAge06)-SUMIF(ThresholdAge06,"&lt;"&amp;'19_Расчет_аналитики'!AO2583,WeightedMinAge06),MAX(CapacityAge06*'01_Вводные'!$B$218*'19_Расчет_аналитики'!AO2583,MeanMinAge06)))</f>
        <v/>
      </c>
      <c r="AP2493">
        <f>IF(OR('19_Расчет_аналитики'!AP2465=0,6&lt;='01_Вводные'!$B$297),0,'19_Расчет_аналитики'!AP2465*IF('01_Вводные'!$B$239="Да",MeanMinAge06+'19_Расчет_аналитики'!AP2583*SUMIF(ThresholdAge06,"&lt;"&amp;'19_Расчет_аналитики'!AP2583,WeightedRevAge06)-SUMIF(ThresholdAge06,"&lt;"&amp;'19_Расчет_аналитики'!AP2583,WeightedMinAge06),MAX(CapacityAge06*'01_Вводные'!$B$218*'19_Расчет_аналитики'!AP2583,MeanMinAge06)))</f>
        <v/>
      </c>
      <c r="AQ2493">
        <f>IF(OR('19_Расчет_аналитики'!AQ2465=0,6&lt;='01_Вводные'!$B$297),0,'19_Расчет_аналитики'!AQ2465*IF('01_Вводные'!$B$239="Да",MeanMinAge06+'19_Расчет_аналитики'!AQ2583*SUMIF(ThresholdAge06,"&lt;"&amp;'19_Расчет_аналитики'!AQ2583,WeightedRevAge06)-SUMIF(ThresholdAge06,"&lt;"&amp;'19_Расчет_аналитики'!AQ2583,WeightedMinAge06),MAX(CapacityAge06*'01_Вводные'!$B$218*'19_Расчет_аналитики'!AQ2583,MeanMinAge06)))</f>
        <v/>
      </c>
      <c r="AR2493">
        <f>IF(OR('19_Расчет_аналитики'!AR2465=0,6&lt;='01_Вводные'!$B$297),0,'19_Расчет_аналитики'!AR2465*IF('01_Вводные'!$B$239="Да",MeanMinAge06+'19_Расчет_аналитики'!AR2583*SUMIF(ThresholdAge06,"&lt;"&amp;'19_Расчет_аналитики'!AR2583,WeightedRevAge06)-SUMIF(ThresholdAge06,"&lt;"&amp;'19_Расчет_аналитики'!AR2583,WeightedMinAge06),MAX(CapacityAge06*'01_Вводные'!$B$218*'19_Расчет_аналитики'!AR2583,MeanMinAge06)))</f>
        <v/>
      </c>
      <c r="AS2493">
        <f>IF(OR('19_Расчет_аналитики'!AS2465=0,6&lt;='01_Вводные'!$B$297),0,'19_Расчет_аналитики'!AS2465*IF('01_Вводные'!$B$239="Да",MeanMinAge06+'19_Расчет_аналитики'!AS2583*SUMIF(ThresholdAge06,"&lt;"&amp;'19_Расчет_аналитики'!AS2583,WeightedRevAge06)-SUMIF(ThresholdAge06,"&lt;"&amp;'19_Расчет_аналитики'!AS2583,WeightedMinAge06),MAX(CapacityAge06*'01_Вводные'!$B$218*'19_Расчет_аналитики'!AS2583,MeanMinAge06)))</f>
        <v/>
      </c>
      <c r="AT2493">
        <f>IF(OR('19_Расчет_аналитики'!AT2465=0,6&lt;='01_Вводные'!$B$297),0,'19_Расчет_аналитики'!AT2465*IF('01_Вводные'!$B$239="Да",MeanMinAge06+'19_Расчет_аналитики'!AT2583*SUMIF(ThresholdAge06,"&lt;"&amp;'19_Расчет_аналитики'!AT2583,WeightedRevAge06)-SUMIF(ThresholdAge06,"&lt;"&amp;'19_Расчет_аналитики'!AT2583,WeightedMinAge06),MAX(CapacityAge06*'01_Вводные'!$B$218*'19_Расчет_аналитики'!AT2583,MeanMinAge06)))</f>
        <v/>
      </c>
      <c r="AU2493">
        <f>IF(OR('19_Расчет_аналитики'!AU2465=0,6&lt;='01_Вводные'!$B$297),0,'19_Расчет_аналитики'!AU2465*IF('01_Вводные'!$B$239="Да",MeanMinAge06+'19_Расчет_аналитики'!AU2583*SUMIF(ThresholdAge06,"&lt;"&amp;'19_Расчет_аналитики'!AU2583,WeightedRevAge06)-SUMIF(ThresholdAge06,"&lt;"&amp;'19_Расчет_аналитики'!AU2583,WeightedMinAge06),MAX(CapacityAge06*'01_Вводные'!$B$218*'19_Расчет_аналитики'!AU2583,MeanMinAge06)))</f>
        <v/>
      </c>
      <c r="AV2493">
        <f>IF(OR('19_Расчет_аналитики'!AV2465=0,6&lt;='01_Вводные'!$B$297),0,'19_Расчет_аналитики'!AV2465*IF('01_Вводные'!$B$239="Да",MeanMinAge06+'19_Расчет_аналитики'!AV2583*SUMIF(ThresholdAge06,"&lt;"&amp;'19_Расчет_аналитики'!AV2583,WeightedRevAge06)-SUMIF(ThresholdAge06,"&lt;"&amp;'19_Расчет_аналитики'!AV2583,WeightedMinAge06),MAX(CapacityAge06*'01_Вводные'!$B$218*'19_Расчет_аналитики'!AV2583,MeanMinAge06)))</f>
        <v/>
      </c>
      <c r="AW2493">
        <f>IF(OR('19_Расчет_аналитики'!AW2465=0,6&lt;='01_Вводные'!$B$297),0,'19_Расчет_аналитики'!AW2465*IF('01_Вводные'!$B$239="Да",MeanMinAge06+'19_Расчет_аналитики'!AW2583*SUMIF(ThresholdAge06,"&lt;"&amp;'19_Расчет_аналитики'!AW2583,WeightedRevAge06)-SUMIF(ThresholdAge06,"&lt;"&amp;'19_Расчет_аналитики'!AW2583,WeightedMinAge06),MAX(CapacityAge06*'01_Вводные'!$B$218*'19_Расчет_аналитики'!AW2583,MeanMinAge06)))</f>
        <v/>
      </c>
      <c r="AX2493">
        <f>IF(OR('19_Расчет_аналитики'!AX2465=0,6&lt;='01_Вводные'!$B$297),0,'19_Расчет_аналитики'!AX2465*IF('01_Вводные'!$B$239="Да",MeanMinAge06+'19_Расчет_аналитики'!AX2583*SUMIF(ThresholdAge06,"&lt;"&amp;'19_Расчет_аналитики'!AX2583,WeightedRevAge06)-SUMIF(ThresholdAge06,"&lt;"&amp;'19_Расчет_аналитики'!AX2583,WeightedMinAge06),MAX(CapacityAge06*'01_Вводные'!$B$218*'19_Расчет_аналитики'!AX2583,MeanMinAge06)))</f>
        <v/>
      </c>
      <c r="AY2493">
        <f>IF(OR('19_Расчет_аналитики'!AY2465=0,6&lt;='01_Вводные'!$B$297),0,'19_Расчет_аналитики'!AY2465*IF('01_Вводные'!$B$239="Да",MeanMinAge06+'19_Расчет_аналитики'!AY2583*SUMIF(ThresholdAge06,"&lt;"&amp;'19_Расчет_аналитики'!AY2583,WeightedRevAge06)-SUMIF(ThresholdAge06,"&lt;"&amp;'19_Расчет_аналитики'!AY2583,WeightedMinAge06),MAX(CapacityAge06*'01_Вводные'!$B$218*'19_Расчет_аналитики'!AY2583,MeanMinAge06)))</f>
        <v/>
      </c>
      <c r="AZ2493">
        <f>IF(OR('19_Расчет_аналитики'!AZ2465=0,6&lt;='01_Вводные'!$B$297),0,'19_Расчет_аналитики'!AZ2465*IF('01_Вводные'!$B$239="Да",MeanMinAge06+'19_Расчет_аналитики'!AZ2583*SUMIF(ThresholdAge06,"&lt;"&amp;'19_Расчет_аналитики'!AZ2583,WeightedRevAge06)-SUMIF(ThresholdAge06,"&lt;"&amp;'19_Расчет_аналитики'!AZ2583,WeightedMinAge06),MAX(CapacityAge06*'01_Вводные'!$B$218*'19_Расчет_аналитики'!AZ2583,MeanMinAge06)))</f>
        <v/>
      </c>
      <c r="BA2493">
        <f>IF(OR('19_Расчет_аналитики'!BA2465=0,6&lt;='01_Вводные'!$B$297),0,'19_Расчет_аналитики'!BA2465*IF('01_Вводные'!$B$239="Да",MeanMinAge06+'19_Расчет_аналитики'!BA2583*SUMIF(ThresholdAge06,"&lt;"&amp;'19_Расчет_аналитики'!BA2583,WeightedRevAge06)-SUMIF(ThresholdAge06,"&lt;"&amp;'19_Расчет_аналитики'!BA2583,WeightedMinAge06),MAX(CapacityAge06*'01_Вводные'!$B$218*'19_Расчет_аналитики'!BA2583,MeanMinAge06)))</f>
        <v/>
      </c>
      <c r="BB2493">
        <f>IF(OR('19_Расчет_аналитики'!BB2465=0,6&lt;='01_Вводные'!$B$297),0,'19_Расчет_аналитики'!BB2465*IF('01_Вводные'!$B$239="Да",MeanMinAge06+'19_Расчет_аналитики'!BB2583*SUMIF(ThresholdAge06,"&lt;"&amp;'19_Расчет_аналитики'!BB2583,WeightedRevAge06)-SUMIF(ThresholdAge06,"&lt;"&amp;'19_Расчет_аналитики'!BB2583,WeightedMinAge06),MAX(CapacityAge06*'01_Вводные'!$B$218*'19_Расчет_аналитики'!BB2583,MeanMinAge06)))</f>
        <v/>
      </c>
      <c r="BC2493">
        <f>IF(OR('19_Расчет_аналитики'!BC2465=0,6&lt;='01_Вводные'!$B$297),0,'19_Расчет_аналитики'!BC2465*IF('01_Вводные'!$B$239="Да",MeanMinAge06+'19_Расчет_аналитики'!BC2583*SUMIF(ThresholdAge06,"&lt;"&amp;'19_Расчет_аналитики'!BC2583,WeightedRevAge06)-SUMIF(ThresholdAge06,"&lt;"&amp;'19_Расчет_аналитики'!BC2583,WeightedMinAge06),MAX(CapacityAge06*'01_Вводные'!$B$218*'19_Расчет_аналитики'!BC2583,MeanMinAge06)))</f>
        <v/>
      </c>
      <c r="BD2493">
        <f>IF(OR('19_Расчет_аналитики'!BD2465=0,6&lt;='01_Вводные'!$B$297),0,'19_Расчет_аналитики'!BD2465*IF('01_Вводные'!$B$239="Да",MeanMinAge06+'19_Расчет_аналитики'!BD2583*SUMIF(ThresholdAge06,"&lt;"&amp;'19_Расчет_аналитики'!BD2583,WeightedRevAge06)-SUMIF(ThresholdAge06,"&lt;"&amp;'19_Расчет_аналитики'!BD2583,WeightedMinAge06),MAX(CapacityAge06*'01_Вводные'!$B$218*'19_Расчет_аналитики'!BD2583,MeanMinAge06)))</f>
        <v/>
      </c>
      <c r="BE2493">
        <f>IF(OR('19_Расчет_аналитики'!BE2465=0,6&lt;='01_Вводные'!$B$297),0,'19_Расчет_аналитики'!BE2465*IF('01_Вводные'!$B$239="Да",MeanMinAge06+'19_Расчет_аналитики'!BE2583*SUMIF(ThresholdAge06,"&lt;"&amp;'19_Расчет_аналитики'!BE2583,WeightedRevAge06)-SUMIF(ThresholdAge06,"&lt;"&amp;'19_Расчет_аналитики'!BE2583,WeightedMinAge06),MAX(CapacityAge06*'01_Вводные'!$B$218*'19_Расчет_аналитики'!BE2583,MeanMinAge06)))</f>
        <v/>
      </c>
      <c r="BF2493">
        <f>IF(OR('19_Расчет_аналитики'!BF2465=0,6&lt;='01_Вводные'!$B$297),0,'19_Расчет_аналитики'!BF2465*IF('01_Вводные'!$B$239="Да",MeanMinAge06+'19_Расчет_аналитики'!BF2583*SUMIF(ThresholdAge06,"&lt;"&amp;'19_Расчет_аналитики'!BF2583,WeightedRevAge06)-SUMIF(ThresholdAge06,"&lt;"&amp;'19_Расчет_аналитики'!BF2583,WeightedMinAge06),MAX(CapacityAge06*'01_Вводные'!$B$218*'19_Расчет_аналитики'!BF2583,MeanMinAge06)))</f>
        <v/>
      </c>
      <c r="BG2493">
        <f>IF(OR('19_Расчет_аналитики'!BG2465=0,6&lt;='01_Вводные'!$B$297),0,'19_Расчет_аналитики'!BG2465*IF('01_Вводные'!$B$239="Да",MeanMinAge06+'19_Расчет_аналитики'!BG2583*SUMIF(ThresholdAge06,"&lt;"&amp;'19_Расчет_аналитики'!BG2583,WeightedRevAge06)-SUMIF(ThresholdAge06,"&lt;"&amp;'19_Расчет_аналитики'!BG2583,WeightedMinAge06),MAX(CapacityAge06*'01_Вводные'!$B$218*'19_Расчет_аналитики'!BG2583,MeanMinAge06)))</f>
        <v/>
      </c>
      <c r="BH2493">
        <f>IF(OR('19_Расчет_аналитики'!BH2465=0,6&lt;='01_Вводные'!$B$297),0,'19_Расчет_аналитики'!BH2465*IF('01_Вводные'!$B$239="Да",MeanMinAge06+'19_Расчет_аналитики'!BH2583*SUMIF(ThresholdAge06,"&lt;"&amp;'19_Расчет_аналитики'!BH2583,WeightedRevAge06)-SUMIF(ThresholdAge06,"&lt;"&amp;'19_Расчет_аналитики'!BH2583,WeightedMinAge06),MAX(CapacityAge06*'01_Вводные'!$B$218*'19_Расчет_аналитики'!BH2583,MeanMinAge06)))</f>
        <v/>
      </c>
      <c r="BI2493">
        <f>IF(OR('19_Расчет_аналитики'!BI2465=0,6&lt;='01_Вводные'!$B$297),0,'19_Расчет_аналитики'!BI2465*IF('01_Вводные'!$B$239="Да",MeanMinAge06+'19_Расчет_аналитики'!BI2583*SUMIF(ThresholdAge06,"&lt;"&amp;'19_Расчет_аналитики'!BI2583,WeightedRevAge06)-SUMIF(ThresholdAge06,"&lt;"&amp;'19_Расчет_аналитики'!BI2583,WeightedMinAge06),MAX(CapacityAge06*'01_Вводные'!$B$218*'19_Расчет_аналитики'!BI2583,MeanMinAge06)))</f>
        <v/>
      </c>
      <c r="BJ2493">
        <f>IF(OR('19_Расчет_аналитики'!BJ2465=0,6&lt;='01_Вводные'!$B$297),0,'19_Расчет_аналитики'!BJ2465*IF('01_Вводные'!$B$239="Да",MeanMinAge06+'19_Расчет_аналитики'!BJ2583*SUMIF(ThresholdAge06,"&lt;"&amp;'19_Расчет_аналитики'!BJ2583,WeightedRevAge06)-SUMIF(ThresholdAge06,"&lt;"&amp;'19_Расчет_аналитики'!BJ2583,WeightedMinAge06),MAX(CapacityAge06*'01_Вводные'!$B$218*'19_Расчет_аналитики'!BJ2583,MeanMinAge06)))</f>
        <v/>
      </c>
      <c r="BK2493">
        <f>IF(OR('19_Расчет_аналитики'!BK2465=0,6&lt;='01_Вводные'!$B$297),0,'19_Расчет_аналитики'!BK2465*IF('01_Вводные'!$B$239="Да",MeanMinAge06+'19_Расчет_аналитики'!BK2583*SUMIF(ThresholdAge06,"&lt;"&amp;'19_Расчет_аналитики'!BK2583,WeightedRevAge06)-SUMIF(ThresholdAge06,"&lt;"&amp;'19_Расчет_аналитики'!BK2583,WeightedMinAge06),MAX(CapacityAge06*'01_Вводные'!$B$218*'19_Расчет_аналитики'!BK2583,MeanMinAge06)))</f>
        <v/>
      </c>
      <c r="BL2493">
        <f>IF(OR('19_Расчет_аналитики'!BL2465=0,6&lt;='01_Вводные'!$B$297),0,'19_Расчет_аналитики'!BL2465*IF('01_Вводные'!$B$239="Да",MeanMinAge06+'19_Расчет_аналитики'!BL2583*SUMIF(ThresholdAge06,"&lt;"&amp;'19_Расчет_аналитики'!BL2583,WeightedRevAge06)-SUMIF(ThresholdAge06,"&lt;"&amp;'19_Расчет_аналитики'!BL2583,WeightedMinAge06),MAX(CapacityAge06*'01_Вводные'!$B$218*'19_Расчет_аналитики'!BL2583,MeanMinAge06)))</f>
        <v/>
      </c>
      <c r="BM2493">
        <f>IF(OR('19_Расчет_аналитики'!BM2465=0,6&lt;='01_Вводные'!$B$297),0,'19_Расчет_аналитики'!BM2465*IF('01_Вводные'!$B$239="Да",MeanMinAge06+'19_Расчет_аналитики'!BM2583*SUMIF(ThresholdAge06,"&lt;"&amp;'19_Расчет_аналитики'!BM2583,WeightedRevAge06)-SUMIF(ThresholdAge06,"&lt;"&amp;'19_Расчет_аналитики'!BM2583,WeightedMinAge06),MAX(CapacityAge06*'01_Вводные'!$B$218*'19_Расчет_аналитики'!BM2583,MeanMinAge06)))</f>
        <v/>
      </c>
      <c r="BN2493">
        <f>IF(OR('19_Расчет_аналитики'!BN2465=0,6&lt;='01_Вводные'!$B$297),0,'19_Расчет_аналитики'!BN2465*IF('01_Вводные'!$B$239="Да",MeanMinAge06+'19_Расчет_аналитики'!BN2583*SUMIF(ThresholdAge06,"&lt;"&amp;'19_Расчет_аналитики'!BN2583,WeightedRevAge06)-SUMIF(ThresholdAge06,"&lt;"&amp;'19_Расчет_аналитики'!BN2583,WeightedMinAge06),MAX(CapacityAge06*'01_Вводные'!$B$218*'19_Расчет_аналитики'!BN2583,MeanMinAge06)))</f>
        <v/>
      </c>
      <c r="BO2493">
        <f>IF(OR('19_Расчет_аналитики'!BO2465=0,6&lt;='01_Вводные'!$B$297),0,'19_Расчет_аналитики'!BO2465*IF('01_Вводные'!$B$239="Да",MeanMinAge06+'19_Расчет_аналитики'!BO2583*SUMIF(ThresholdAge06,"&lt;"&amp;'19_Расчет_аналитики'!BO2583,WeightedRevAge06)-SUMIF(ThresholdAge06,"&lt;"&amp;'19_Расчет_аналитики'!BO2583,WeightedMinAge06),MAX(CapacityAge06*'01_Вводные'!$B$218*'19_Расчет_аналитики'!BO2583,MeanMinAge06)))</f>
        <v/>
      </c>
    </row>
    <row r="2494">
      <c r="B2494">
        <f>IF(OR('06_Сеть_и_дети'!B87=0,7&lt;='01_Вводные'!$B$297),0,'06_Сеть_и_дети'!B87*IF('01_Вводные'!$B$239="Да",MeanMinAge07+'19_Расчет_аналитики'!B2583*SUMIF(ThresholdAge07,"&lt;"&amp;'19_Расчет_аналитики'!B2583,WeightedRevAge07)-SUMIF(ThresholdAge07,"&lt;"&amp;'19_Расчет_аналитики'!B2583,WeightedMinAge07),MAX(CapacityAge07*'01_Вводные'!$B$218*'19_Расчет_аналитики'!B2583,MeanMinAge07)))</f>
        <v/>
      </c>
      <c r="C2494">
        <f>IF(OR('06_Сеть_и_дети'!C87=0,7&lt;='01_Вводные'!$B$297),0,'06_Сеть_и_дети'!C87*IF('01_Вводные'!$B$239="Да",MeanMinAge07+'19_Расчет_аналитики'!C2583*SUMIF(ThresholdAge07,"&lt;"&amp;'19_Расчет_аналитики'!C2583,WeightedRevAge07)-SUMIF(ThresholdAge07,"&lt;"&amp;'19_Расчет_аналитики'!C2583,WeightedMinAge07),MAX(CapacityAge07*'01_Вводные'!$B$218*'19_Расчет_аналитики'!C2583,MeanMinAge07)))</f>
        <v/>
      </c>
      <c r="D2494">
        <f>IF(OR('06_Сеть_и_дети'!D87=0,7&lt;='01_Вводные'!$B$297),0,'06_Сеть_и_дети'!D87*IF('01_Вводные'!$B$239="Да",MeanMinAge07+'19_Расчет_аналитики'!D2583*SUMIF(ThresholdAge07,"&lt;"&amp;'19_Расчет_аналитики'!D2583,WeightedRevAge07)-SUMIF(ThresholdAge07,"&lt;"&amp;'19_Расчет_аналитики'!D2583,WeightedMinAge07),MAX(CapacityAge07*'01_Вводные'!$B$218*'19_Расчет_аналитики'!D2583,MeanMinAge07)))</f>
        <v/>
      </c>
      <c r="E2494">
        <f>IF(OR('06_Сеть_и_дети'!E87=0,7&lt;='01_Вводные'!$B$297),0,'06_Сеть_и_дети'!E87*IF('01_Вводные'!$B$239="Да",MeanMinAge07+'19_Расчет_аналитики'!E2583*SUMIF(ThresholdAge07,"&lt;"&amp;'19_Расчет_аналитики'!E2583,WeightedRevAge07)-SUMIF(ThresholdAge07,"&lt;"&amp;'19_Расчет_аналитики'!E2583,WeightedMinAge07),MAX(CapacityAge07*'01_Вводные'!$B$218*'19_Расчет_аналитики'!E2583,MeanMinAge07)))</f>
        <v/>
      </c>
      <c r="F2494">
        <f>IF(OR('06_Сеть_и_дети'!F87=0,7&lt;='01_Вводные'!$B$297),0,'06_Сеть_и_дети'!F87*IF('01_Вводные'!$B$239="Да",MeanMinAge07+'19_Расчет_аналитики'!F2583*SUMIF(ThresholdAge07,"&lt;"&amp;'19_Расчет_аналитики'!F2583,WeightedRevAge07)-SUMIF(ThresholdAge07,"&lt;"&amp;'19_Расчет_аналитики'!F2583,WeightedMinAge07),MAX(CapacityAge07*'01_Вводные'!$B$218*'19_Расчет_аналитики'!F2583,MeanMinAge07)))</f>
        <v/>
      </c>
      <c r="G2494">
        <f>IF(OR('06_Сеть_и_дети'!G87=0,7&lt;='01_Вводные'!$B$297),0,'06_Сеть_и_дети'!G87*IF('01_Вводные'!$B$239="Да",MeanMinAge07+'19_Расчет_аналитики'!G2583*SUMIF(ThresholdAge07,"&lt;"&amp;'19_Расчет_аналитики'!G2583,WeightedRevAge07)-SUMIF(ThresholdAge07,"&lt;"&amp;'19_Расчет_аналитики'!G2583,WeightedMinAge07),MAX(CapacityAge07*'01_Вводные'!$B$218*'19_Расчет_аналитики'!G2583,MeanMinAge07)))</f>
        <v/>
      </c>
      <c r="H2494">
        <f>IF(OR('19_Расчет_аналитики'!H2466=0,7&lt;='01_Вводные'!$B$297),0,'19_Расчет_аналитики'!H2466*IF('01_Вводные'!$B$239="Да",MeanMinAge07+'19_Расчет_аналитики'!H2583*SUMIF(ThresholdAge07,"&lt;"&amp;'19_Расчет_аналитики'!H2583,WeightedRevAge07)-SUMIF(ThresholdAge07,"&lt;"&amp;'19_Расчет_аналитики'!H2583,WeightedMinAge07),MAX(CapacityAge07*'01_Вводные'!$B$218*'19_Расчет_аналитики'!H2583,MeanMinAge07)))</f>
        <v/>
      </c>
      <c r="I2494">
        <f>IF(OR('19_Расчет_аналитики'!I2466=0,7&lt;='01_Вводные'!$B$297),0,'19_Расчет_аналитики'!I2466*IF('01_Вводные'!$B$239="Да",MeanMinAge07+'19_Расчет_аналитики'!I2583*SUMIF(ThresholdAge07,"&lt;"&amp;'19_Расчет_аналитики'!I2583,WeightedRevAge07)-SUMIF(ThresholdAge07,"&lt;"&amp;'19_Расчет_аналитики'!I2583,WeightedMinAge07),MAX(CapacityAge07*'01_Вводные'!$B$218*'19_Расчет_аналитики'!I2583,MeanMinAge07)))</f>
        <v/>
      </c>
      <c r="J2494">
        <f>IF(OR('19_Расчет_аналитики'!J2466=0,7&lt;='01_Вводные'!$B$297),0,'19_Расчет_аналитики'!J2466*IF('01_Вводные'!$B$239="Да",MeanMinAge07+'19_Расчет_аналитики'!J2583*SUMIF(ThresholdAge07,"&lt;"&amp;'19_Расчет_аналитики'!J2583,WeightedRevAge07)-SUMIF(ThresholdAge07,"&lt;"&amp;'19_Расчет_аналитики'!J2583,WeightedMinAge07),MAX(CapacityAge07*'01_Вводные'!$B$218*'19_Расчет_аналитики'!J2583,MeanMinAge07)))</f>
        <v/>
      </c>
      <c r="K2494">
        <f>IF(OR('19_Расчет_аналитики'!K2466=0,7&lt;='01_Вводные'!$B$297),0,'19_Расчет_аналитики'!K2466*IF('01_Вводные'!$B$239="Да",MeanMinAge07+'19_Расчет_аналитики'!K2583*SUMIF(ThresholdAge07,"&lt;"&amp;'19_Расчет_аналитики'!K2583,WeightedRevAge07)-SUMIF(ThresholdAge07,"&lt;"&amp;'19_Расчет_аналитики'!K2583,WeightedMinAge07),MAX(CapacityAge07*'01_Вводные'!$B$218*'19_Расчет_аналитики'!K2583,MeanMinAge07)))</f>
        <v/>
      </c>
      <c r="L2494">
        <f>IF(OR('19_Расчет_аналитики'!L2466=0,7&lt;='01_Вводные'!$B$297),0,'19_Расчет_аналитики'!L2466*IF('01_Вводные'!$B$239="Да",MeanMinAge07+'19_Расчет_аналитики'!L2583*SUMIF(ThresholdAge07,"&lt;"&amp;'19_Расчет_аналитики'!L2583,WeightedRevAge07)-SUMIF(ThresholdAge07,"&lt;"&amp;'19_Расчет_аналитики'!L2583,WeightedMinAge07),MAX(CapacityAge07*'01_Вводные'!$B$218*'19_Расчет_аналитики'!L2583,MeanMinAge07)))</f>
        <v/>
      </c>
      <c r="M2494">
        <f>IF(OR('19_Расчет_аналитики'!M2466=0,7&lt;='01_Вводные'!$B$297),0,'19_Расчет_аналитики'!M2466*IF('01_Вводные'!$B$239="Да",MeanMinAge07+'19_Расчет_аналитики'!M2583*SUMIF(ThresholdAge07,"&lt;"&amp;'19_Расчет_аналитики'!M2583,WeightedRevAge07)-SUMIF(ThresholdAge07,"&lt;"&amp;'19_Расчет_аналитики'!M2583,WeightedMinAge07),MAX(CapacityAge07*'01_Вводные'!$B$218*'19_Расчет_аналитики'!M2583,MeanMinAge07)))</f>
        <v/>
      </c>
      <c r="N2494">
        <f>IF(OR('19_Расчет_аналитики'!N2466=0,7&lt;='01_Вводные'!$B$297),0,'19_Расчет_аналитики'!N2466*IF('01_Вводные'!$B$239="Да",MeanMinAge07+'19_Расчет_аналитики'!N2583*SUMIF(ThresholdAge07,"&lt;"&amp;'19_Расчет_аналитики'!N2583,WeightedRevAge07)-SUMIF(ThresholdAge07,"&lt;"&amp;'19_Расчет_аналитики'!N2583,WeightedMinAge07),MAX(CapacityAge07*'01_Вводные'!$B$218*'19_Расчет_аналитики'!N2583,MeanMinAge07)))</f>
        <v/>
      </c>
      <c r="O2494">
        <f>IF(OR('19_Расчет_аналитики'!O2466=0,7&lt;='01_Вводные'!$B$297),0,'19_Расчет_аналитики'!O2466*IF('01_Вводные'!$B$239="Да",MeanMinAge07+'19_Расчет_аналитики'!O2583*SUMIF(ThresholdAge07,"&lt;"&amp;'19_Расчет_аналитики'!O2583,WeightedRevAge07)-SUMIF(ThresholdAge07,"&lt;"&amp;'19_Расчет_аналитики'!O2583,WeightedMinAge07),MAX(CapacityAge07*'01_Вводные'!$B$218*'19_Расчет_аналитики'!O2583,MeanMinAge07)))</f>
        <v/>
      </c>
      <c r="P2494">
        <f>IF(OR('19_Расчет_аналитики'!P2466=0,7&lt;='01_Вводные'!$B$297),0,'19_Расчет_аналитики'!P2466*IF('01_Вводные'!$B$239="Да",MeanMinAge07+'19_Расчет_аналитики'!P2583*SUMIF(ThresholdAge07,"&lt;"&amp;'19_Расчет_аналитики'!P2583,WeightedRevAge07)-SUMIF(ThresholdAge07,"&lt;"&amp;'19_Расчет_аналитики'!P2583,WeightedMinAge07),MAX(CapacityAge07*'01_Вводные'!$B$218*'19_Расчет_аналитики'!P2583,MeanMinAge07)))</f>
        <v/>
      </c>
      <c r="Q2494">
        <f>IF(OR('19_Расчет_аналитики'!Q2466=0,7&lt;='01_Вводные'!$B$297),0,'19_Расчет_аналитики'!Q2466*IF('01_Вводные'!$B$239="Да",MeanMinAge07+'19_Расчет_аналитики'!Q2583*SUMIF(ThresholdAge07,"&lt;"&amp;'19_Расчет_аналитики'!Q2583,WeightedRevAge07)-SUMIF(ThresholdAge07,"&lt;"&amp;'19_Расчет_аналитики'!Q2583,WeightedMinAge07),MAX(CapacityAge07*'01_Вводные'!$B$218*'19_Расчет_аналитики'!Q2583,MeanMinAge07)))</f>
        <v/>
      </c>
      <c r="R2494">
        <f>IF(OR('19_Расчет_аналитики'!R2466=0,7&lt;='01_Вводные'!$B$297),0,'19_Расчет_аналитики'!R2466*IF('01_Вводные'!$B$239="Да",MeanMinAge07+'19_Расчет_аналитики'!R2583*SUMIF(ThresholdAge07,"&lt;"&amp;'19_Расчет_аналитики'!R2583,WeightedRevAge07)-SUMIF(ThresholdAge07,"&lt;"&amp;'19_Расчет_аналитики'!R2583,WeightedMinAge07),MAX(CapacityAge07*'01_Вводные'!$B$218*'19_Расчет_аналитики'!R2583,MeanMinAge07)))</f>
        <v/>
      </c>
      <c r="S2494">
        <f>IF(OR('19_Расчет_аналитики'!S2466=0,7&lt;='01_Вводные'!$B$297),0,'19_Расчет_аналитики'!S2466*IF('01_Вводные'!$B$239="Да",MeanMinAge07+'19_Расчет_аналитики'!S2583*SUMIF(ThresholdAge07,"&lt;"&amp;'19_Расчет_аналитики'!S2583,WeightedRevAge07)-SUMIF(ThresholdAge07,"&lt;"&amp;'19_Расчет_аналитики'!S2583,WeightedMinAge07),MAX(CapacityAge07*'01_Вводные'!$B$218*'19_Расчет_аналитики'!S2583,MeanMinAge07)))</f>
        <v/>
      </c>
      <c r="T2494">
        <f>IF(OR('19_Расчет_аналитики'!T2466=0,7&lt;='01_Вводные'!$B$297),0,'19_Расчет_аналитики'!T2466*IF('01_Вводные'!$B$239="Да",MeanMinAge07+'19_Расчет_аналитики'!T2583*SUMIF(ThresholdAge07,"&lt;"&amp;'19_Расчет_аналитики'!T2583,WeightedRevAge07)-SUMIF(ThresholdAge07,"&lt;"&amp;'19_Расчет_аналитики'!T2583,WeightedMinAge07),MAX(CapacityAge07*'01_Вводные'!$B$218*'19_Расчет_аналитики'!T2583,MeanMinAge07)))</f>
        <v/>
      </c>
      <c r="U2494">
        <f>IF(OR('19_Расчет_аналитики'!U2466=0,7&lt;='01_Вводные'!$B$297),0,'19_Расчет_аналитики'!U2466*IF('01_Вводные'!$B$239="Да",MeanMinAge07+'19_Расчет_аналитики'!U2583*SUMIF(ThresholdAge07,"&lt;"&amp;'19_Расчет_аналитики'!U2583,WeightedRevAge07)-SUMIF(ThresholdAge07,"&lt;"&amp;'19_Расчет_аналитики'!U2583,WeightedMinAge07),MAX(CapacityAge07*'01_Вводные'!$B$218*'19_Расчет_аналитики'!U2583,MeanMinAge07)))</f>
        <v/>
      </c>
      <c r="V2494">
        <f>IF(OR('19_Расчет_аналитики'!V2466=0,7&lt;='01_Вводные'!$B$297),0,'19_Расчет_аналитики'!V2466*IF('01_Вводные'!$B$239="Да",MeanMinAge07+'19_Расчет_аналитики'!V2583*SUMIF(ThresholdAge07,"&lt;"&amp;'19_Расчет_аналитики'!V2583,WeightedRevAge07)-SUMIF(ThresholdAge07,"&lt;"&amp;'19_Расчет_аналитики'!V2583,WeightedMinAge07),MAX(CapacityAge07*'01_Вводные'!$B$218*'19_Расчет_аналитики'!V2583,MeanMinAge07)))</f>
        <v/>
      </c>
      <c r="W2494">
        <f>IF(OR('19_Расчет_аналитики'!W2466=0,7&lt;='01_Вводные'!$B$297),0,'19_Расчет_аналитики'!W2466*IF('01_Вводные'!$B$239="Да",MeanMinAge07+'19_Расчет_аналитики'!W2583*SUMIF(ThresholdAge07,"&lt;"&amp;'19_Расчет_аналитики'!W2583,WeightedRevAge07)-SUMIF(ThresholdAge07,"&lt;"&amp;'19_Расчет_аналитики'!W2583,WeightedMinAge07),MAX(CapacityAge07*'01_Вводные'!$B$218*'19_Расчет_аналитики'!W2583,MeanMinAge07)))</f>
        <v/>
      </c>
      <c r="X2494">
        <f>IF(OR('19_Расчет_аналитики'!X2466=0,7&lt;='01_Вводные'!$B$297),0,'19_Расчет_аналитики'!X2466*IF('01_Вводные'!$B$239="Да",MeanMinAge07+'19_Расчет_аналитики'!X2583*SUMIF(ThresholdAge07,"&lt;"&amp;'19_Расчет_аналитики'!X2583,WeightedRevAge07)-SUMIF(ThresholdAge07,"&lt;"&amp;'19_Расчет_аналитики'!X2583,WeightedMinAge07),MAX(CapacityAge07*'01_Вводные'!$B$218*'19_Расчет_аналитики'!X2583,MeanMinAge07)))</f>
        <v/>
      </c>
      <c r="Y2494">
        <f>IF(OR('19_Расчет_аналитики'!Y2466=0,7&lt;='01_Вводные'!$B$297),0,'19_Расчет_аналитики'!Y2466*IF('01_Вводные'!$B$239="Да",MeanMinAge07+'19_Расчет_аналитики'!Y2583*SUMIF(ThresholdAge07,"&lt;"&amp;'19_Расчет_аналитики'!Y2583,WeightedRevAge07)-SUMIF(ThresholdAge07,"&lt;"&amp;'19_Расчет_аналитики'!Y2583,WeightedMinAge07),MAX(CapacityAge07*'01_Вводные'!$B$218*'19_Расчет_аналитики'!Y2583,MeanMinAge07)))</f>
        <v/>
      </c>
      <c r="Z2494">
        <f>IF(OR('19_Расчет_аналитики'!Z2466=0,7&lt;='01_Вводные'!$B$297),0,'19_Расчет_аналитики'!Z2466*IF('01_Вводные'!$B$239="Да",MeanMinAge07+'19_Расчет_аналитики'!Z2583*SUMIF(ThresholdAge07,"&lt;"&amp;'19_Расчет_аналитики'!Z2583,WeightedRevAge07)-SUMIF(ThresholdAge07,"&lt;"&amp;'19_Расчет_аналитики'!Z2583,WeightedMinAge07),MAX(CapacityAge07*'01_Вводные'!$B$218*'19_Расчет_аналитики'!Z2583,MeanMinAge07)))</f>
        <v/>
      </c>
      <c r="AA2494">
        <f>IF(OR('19_Расчет_аналитики'!AA2466=0,7&lt;='01_Вводные'!$B$297),0,'19_Расчет_аналитики'!AA2466*IF('01_Вводные'!$B$239="Да",MeanMinAge07+'19_Расчет_аналитики'!AA2583*SUMIF(ThresholdAge07,"&lt;"&amp;'19_Расчет_аналитики'!AA2583,WeightedRevAge07)-SUMIF(ThresholdAge07,"&lt;"&amp;'19_Расчет_аналитики'!AA2583,WeightedMinAge07),MAX(CapacityAge07*'01_Вводные'!$B$218*'19_Расчет_аналитики'!AA2583,MeanMinAge07)))</f>
        <v/>
      </c>
      <c r="AB2494">
        <f>IF(OR('19_Расчет_аналитики'!AB2466=0,7&lt;='01_Вводные'!$B$297),0,'19_Расчет_аналитики'!AB2466*IF('01_Вводные'!$B$239="Да",MeanMinAge07+'19_Расчет_аналитики'!AB2583*SUMIF(ThresholdAge07,"&lt;"&amp;'19_Расчет_аналитики'!AB2583,WeightedRevAge07)-SUMIF(ThresholdAge07,"&lt;"&amp;'19_Расчет_аналитики'!AB2583,WeightedMinAge07),MAX(CapacityAge07*'01_Вводные'!$B$218*'19_Расчет_аналитики'!AB2583,MeanMinAge07)))</f>
        <v/>
      </c>
      <c r="AC2494">
        <f>IF(OR('19_Расчет_аналитики'!AC2466=0,7&lt;='01_Вводные'!$B$297),0,'19_Расчет_аналитики'!AC2466*IF('01_Вводные'!$B$239="Да",MeanMinAge07+'19_Расчет_аналитики'!AC2583*SUMIF(ThresholdAge07,"&lt;"&amp;'19_Расчет_аналитики'!AC2583,WeightedRevAge07)-SUMIF(ThresholdAge07,"&lt;"&amp;'19_Расчет_аналитики'!AC2583,WeightedMinAge07),MAX(CapacityAge07*'01_Вводные'!$B$218*'19_Расчет_аналитики'!AC2583,MeanMinAge07)))</f>
        <v/>
      </c>
      <c r="AD2494">
        <f>IF(OR('19_Расчет_аналитики'!AD2466=0,7&lt;='01_Вводные'!$B$297),0,'19_Расчет_аналитики'!AD2466*IF('01_Вводные'!$B$239="Да",MeanMinAge07+'19_Расчет_аналитики'!AD2583*SUMIF(ThresholdAge07,"&lt;"&amp;'19_Расчет_аналитики'!AD2583,WeightedRevAge07)-SUMIF(ThresholdAge07,"&lt;"&amp;'19_Расчет_аналитики'!AD2583,WeightedMinAge07),MAX(CapacityAge07*'01_Вводные'!$B$218*'19_Расчет_аналитики'!AD2583,MeanMinAge07)))</f>
        <v/>
      </c>
      <c r="AE2494">
        <f>IF(OR('19_Расчет_аналитики'!AE2466=0,7&lt;='01_Вводные'!$B$297),0,'19_Расчет_аналитики'!AE2466*IF('01_Вводные'!$B$239="Да",MeanMinAge07+'19_Расчет_аналитики'!AE2583*SUMIF(ThresholdAge07,"&lt;"&amp;'19_Расчет_аналитики'!AE2583,WeightedRevAge07)-SUMIF(ThresholdAge07,"&lt;"&amp;'19_Расчет_аналитики'!AE2583,WeightedMinAge07),MAX(CapacityAge07*'01_Вводные'!$B$218*'19_Расчет_аналитики'!AE2583,MeanMinAge07)))</f>
        <v/>
      </c>
      <c r="AF2494">
        <f>IF(OR('19_Расчет_аналитики'!AF2466=0,7&lt;='01_Вводные'!$B$297),0,'19_Расчет_аналитики'!AF2466*IF('01_Вводные'!$B$239="Да",MeanMinAge07+'19_Расчет_аналитики'!AF2583*SUMIF(ThresholdAge07,"&lt;"&amp;'19_Расчет_аналитики'!AF2583,WeightedRevAge07)-SUMIF(ThresholdAge07,"&lt;"&amp;'19_Расчет_аналитики'!AF2583,WeightedMinAge07),MAX(CapacityAge07*'01_Вводные'!$B$218*'19_Расчет_аналитики'!AF2583,MeanMinAge07)))</f>
        <v/>
      </c>
      <c r="AG2494">
        <f>IF(OR('19_Расчет_аналитики'!AG2466=0,7&lt;='01_Вводные'!$B$297),0,'19_Расчет_аналитики'!AG2466*IF('01_Вводные'!$B$239="Да",MeanMinAge07+'19_Расчет_аналитики'!AG2583*SUMIF(ThresholdAge07,"&lt;"&amp;'19_Расчет_аналитики'!AG2583,WeightedRevAge07)-SUMIF(ThresholdAge07,"&lt;"&amp;'19_Расчет_аналитики'!AG2583,WeightedMinAge07),MAX(CapacityAge07*'01_Вводные'!$B$218*'19_Расчет_аналитики'!AG2583,MeanMinAge07)))</f>
        <v/>
      </c>
      <c r="AH2494">
        <f>IF(OR('19_Расчет_аналитики'!AH2466=0,7&lt;='01_Вводные'!$B$297),0,'19_Расчет_аналитики'!AH2466*IF('01_Вводные'!$B$239="Да",MeanMinAge07+'19_Расчет_аналитики'!AH2583*SUMIF(ThresholdAge07,"&lt;"&amp;'19_Расчет_аналитики'!AH2583,WeightedRevAge07)-SUMIF(ThresholdAge07,"&lt;"&amp;'19_Расчет_аналитики'!AH2583,WeightedMinAge07),MAX(CapacityAge07*'01_Вводные'!$B$218*'19_Расчет_аналитики'!AH2583,MeanMinAge07)))</f>
        <v/>
      </c>
      <c r="AI2494">
        <f>IF(OR('19_Расчет_аналитики'!AI2466=0,7&lt;='01_Вводные'!$B$297),0,'19_Расчет_аналитики'!AI2466*IF('01_Вводные'!$B$239="Да",MeanMinAge07+'19_Расчет_аналитики'!AI2583*SUMIF(ThresholdAge07,"&lt;"&amp;'19_Расчет_аналитики'!AI2583,WeightedRevAge07)-SUMIF(ThresholdAge07,"&lt;"&amp;'19_Расчет_аналитики'!AI2583,WeightedMinAge07),MAX(CapacityAge07*'01_Вводные'!$B$218*'19_Расчет_аналитики'!AI2583,MeanMinAge07)))</f>
        <v/>
      </c>
      <c r="AJ2494">
        <f>IF(OR('19_Расчет_аналитики'!AJ2466=0,7&lt;='01_Вводные'!$B$297),0,'19_Расчет_аналитики'!AJ2466*IF('01_Вводные'!$B$239="Да",MeanMinAge07+'19_Расчет_аналитики'!AJ2583*SUMIF(ThresholdAge07,"&lt;"&amp;'19_Расчет_аналитики'!AJ2583,WeightedRevAge07)-SUMIF(ThresholdAge07,"&lt;"&amp;'19_Расчет_аналитики'!AJ2583,WeightedMinAge07),MAX(CapacityAge07*'01_Вводные'!$B$218*'19_Расчет_аналитики'!AJ2583,MeanMinAge07)))</f>
        <v/>
      </c>
      <c r="AK2494">
        <f>IF(OR('19_Расчет_аналитики'!AK2466=0,7&lt;='01_Вводные'!$B$297),0,'19_Расчет_аналитики'!AK2466*IF('01_Вводные'!$B$239="Да",MeanMinAge07+'19_Расчет_аналитики'!AK2583*SUMIF(ThresholdAge07,"&lt;"&amp;'19_Расчет_аналитики'!AK2583,WeightedRevAge07)-SUMIF(ThresholdAge07,"&lt;"&amp;'19_Расчет_аналитики'!AK2583,WeightedMinAge07),MAX(CapacityAge07*'01_Вводные'!$B$218*'19_Расчет_аналитики'!AK2583,MeanMinAge07)))</f>
        <v/>
      </c>
      <c r="AL2494">
        <f>IF(OR('19_Расчет_аналитики'!AL2466=0,7&lt;='01_Вводные'!$B$297),0,'19_Расчет_аналитики'!AL2466*IF('01_Вводные'!$B$239="Да",MeanMinAge07+'19_Расчет_аналитики'!AL2583*SUMIF(ThresholdAge07,"&lt;"&amp;'19_Расчет_аналитики'!AL2583,WeightedRevAge07)-SUMIF(ThresholdAge07,"&lt;"&amp;'19_Расчет_аналитики'!AL2583,WeightedMinAge07),MAX(CapacityAge07*'01_Вводные'!$B$218*'19_Расчет_аналитики'!AL2583,MeanMinAge07)))</f>
        <v/>
      </c>
      <c r="AM2494">
        <f>IF(OR('19_Расчет_аналитики'!AM2466=0,7&lt;='01_Вводные'!$B$297),0,'19_Расчет_аналитики'!AM2466*IF('01_Вводные'!$B$239="Да",MeanMinAge07+'19_Расчет_аналитики'!AM2583*SUMIF(ThresholdAge07,"&lt;"&amp;'19_Расчет_аналитики'!AM2583,WeightedRevAge07)-SUMIF(ThresholdAge07,"&lt;"&amp;'19_Расчет_аналитики'!AM2583,WeightedMinAge07),MAX(CapacityAge07*'01_Вводные'!$B$218*'19_Расчет_аналитики'!AM2583,MeanMinAge07)))</f>
        <v/>
      </c>
      <c r="AN2494">
        <f>IF(OR('19_Расчет_аналитики'!AN2466=0,7&lt;='01_Вводные'!$B$297),0,'19_Расчет_аналитики'!AN2466*IF('01_Вводные'!$B$239="Да",MeanMinAge07+'19_Расчет_аналитики'!AN2583*SUMIF(ThresholdAge07,"&lt;"&amp;'19_Расчет_аналитики'!AN2583,WeightedRevAge07)-SUMIF(ThresholdAge07,"&lt;"&amp;'19_Расчет_аналитики'!AN2583,WeightedMinAge07),MAX(CapacityAge07*'01_Вводные'!$B$218*'19_Расчет_аналитики'!AN2583,MeanMinAge07)))</f>
        <v/>
      </c>
      <c r="AO2494">
        <f>IF(OR('19_Расчет_аналитики'!AO2466=0,7&lt;='01_Вводные'!$B$297),0,'19_Расчет_аналитики'!AO2466*IF('01_Вводные'!$B$239="Да",MeanMinAge07+'19_Расчет_аналитики'!AO2583*SUMIF(ThresholdAge07,"&lt;"&amp;'19_Расчет_аналитики'!AO2583,WeightedRevAge07)-SUMIF(ThresholdAge07,"&lt;"&amp;'19_Расчет_аналитики'!AO2583,WeightedMinAge07),MAX(CapacityAge07*'01_Вводные'!$B$218*'19_Расчет_аналитики'!AO2583,MeanMinAge07)))</f>
        <v/>
      </c>
      <c r="AP2494">
        <f>IF(OR('19_Расчет_аналитики'!AP2466=0,7&lt;='01_Вводные'!$B$297),0,'19_Расчет_аналитики'!AP2466*IF('01_Вводные'!$B$239="Да",MeanMinAge07+'19_Расчет_аналитики'!AP2583*SUMIF(ThresholdAge07,"&lt;"&amp;'19_Расчет_аналитики'!AP2583,WeightedRevAge07)-SUMIF(ThresholdAge07,"&lt;"&amp;'19_Расчет_аналитики'!AP2583,WeightedMinAge07),MAX(CapacityAge07*'01_Вводные'!$B$218*'19_Расчет_аналитики'!AP2583,MeanMinAge07)))</f>
        <v/>
      </c>
      <c r="AQ2494">
        <f>IF(OR('19_Расчет_аналитики'!AQ2466=0,7&lt;='01_Вводные'!$B$297),0,'19_Расчет_аналитики'!AQ2466*IF('01_Вводные'!$B$239="Да",MeanMinAge07+'19_Расчет_аналитики'!AQ2583*SUMIF(ThresholdAge07,"&lt;"&amp;'19_Расчет_аналитики'!AQ2583,WeightedRevAge07)-SUMIF(ThresholdAge07,"&lt;"&amp;'19_Расчет_аналитики'!AQ2583,WeightedMinAge07),MAX(CapacityAge07*'01_Вводные'!$B$218*'19_Расчет_аналитики'!AQ2583,MeanMinAge07)))</f>
        <v/>
      </c>
      <c r="AR2494">
        <f>IF(OR('19_Расчет_аналитики'!AR2466=0,7&lt;='01_Вводные'!$B$297),0,'19_Расчет_аналитики'!AR2466*IF('01_Вводные'!$B$239="Да",MeanMinAge07+'19_Расчет_аналитики'!AR2583*SUMIF(ThresholdAge07,"&lt;"&amp;'19_Расчет_аналитики'!AR2583,WeightedRevAge07)-SUMIF(ThresholdAge07,"&lt;"&amp;'19_Расчет_аналитики'!AR2583,WeightedMinAge07),MAX(CapacityAge07*'01_Вводные'!$B$218*'19_Расчет_аналитики'!AR2583,MeanMinAge07)))</f>
        <v/>
      </c>
      <c r="AS2494">
        <f>IF(OR('19_Расчет_аналитики'!AS2466=0,7&lt;='01_Вводные'!$B$297),0,'19_Расчет_аналитики'!AS2466*IF('01_Вводные'!$B$239="Да",MeanMinAge07+'19_Расчет_аналитики'!AS2583*SUMIF(ThresholdAge07,"&lt;"&amp;'19_Расчет_аналитики'!AS2583,WeightedRevAge07)-SUMIF(ThresholdAge07,"&lt;"&amp;'19_Расчет_аналитики'!AS2583,WeightedMinAge07),MAX(CapacityAge07*'01_Вводные'!$B$218*'19_Расчет_аналитики'!AS2583,MeanMinAge07)))</f>
        <v/>
      </c>
      <c r="AT2494">
        <f>IF(OR('19_Расчет_аналитики'!AT2466=0,7&lt;='01_Вводные'!$B$297),0,'19_Расчет_аналитики'!AT2466*IF('01_Вводные'!$B$239="Да",MeanMinAge07+'19_Расчет_аналитики'!AT2583*SUMIF(ThresholdAge07,"&lt;"&amp;'19_Расчет_аналитики'!AT2583,WeightedRevAge07)-SUMIF(ThresholdAge07,"&lt;"&amp;'19_Расчет_аналитики'!AT2583,WeightedMinAge07),MAX(CapacityAge07*'01_Вводные'!$B$218*'19_Расчет_аналитики'!AT2583,MeanMinAge07)))</f>
        <v/>
      </c>
      <c r="AU2494">
        <f>IF(OR('19_Расчет_аналитики'!AU2466=0,7&lt;='01_Вводные'!$B$297),0,'19_Расчет_аналитики'!AU2466*IF('01_Вводные'!$B$239="Да",MeanMinAge07+'19_Расчет_аналитики'!AU2583*SUMIF(ThresholdAge07,"&lt;"&amp;'19_Расчет_аналитики'!AU2583,WeightedRevAge07)-SUMIF(ThresholdAge07,"&lt;"&amp;'19_Расчет_аналитики'!AU2583,WeightedMinAge07),MAX(CapacityAge07*'01_Вводные'!$B$218*'19_Расчет_аналитики'!AU2583,MeanMinAge07)))</f>
        <v/>
      </c>
      <c r="AV2494">
        <f>IF(OR('19_Расчет_аналитики'!AV2466=0,7&lt;='01_Вводные'!$B$297),0,'19_Расчет_аналитики'!AV2466*IF('01_Вводные'!$B$239="Да",MeanMinAge07+'19_Расчет_аналитики'!AV2583*SUMIF(ThresholdAge07,"&lt;"&amp;'19_Расчет_аналитики'!AV2583,WeightedRevAge07)-SUMIF(ThresholdAge07,"&lt;"&amp;'19_Расчет_аналитики'!AV2583,WeightedMinAge07),MAX(CapacityAge07*'01_Вводные'!$B$218*'19_Расчет_аналитики'!AV2583,MeanMinAge07)))</f>
        <v/>
      </c>
      <c r="AW2494">
        <f>IF(OR('19_Расчет_аналитики'!AW2466=0,7&lt;='01_Вводные'!$B$297),0,'19_Расчет_аналитики'!AW2466*IF('01_Вводные'!$B$239="Да",MeanMinAge07+'19_Расчет_аналитики'!AW2583*SUMIF(ThresholdAge07,"&lt;"&amp;'19_Расчет_аналитики'!AW2583,WeightedRevAge07)-SUMIF(ThresholdAge07,"&lt;"&amp;'19_Расчет_аналитики'!AW2583,WeightedMinAge07),MAX(CapacityAge07*'01_Вводные'!$B$218*'19_Расчет_аналитики'!AW2583,MeanMinAge07)))</f>
        <v/>
      </c>
      <c r="AX2494">
        <f>IF(OR('19_Расчет_аналитики'!AX2466=0,7&lt;='01_Вводные'!$B$297),0,'19_Расчет_аналитики'!AX2466*IF('01_Вводные'!$B$239="Да",MeanMinAge07+'19_Расчет_аналитики'!AX2583*SUMIF(ThresholdAge07,"&lt;"&amp;'19_Расчет_аналитики'!AX2583,WeightedRevAge07)-SUMIF(ThresholdAge07,"&lt;"&amp;'19_Расчет_аналитики'!AX2583,WeightedMinAge07),MAX(CapacityAge07*'01_Вводные'!$B$218*'19_Расчет_аналитики'!AX2583,MeanMinAge07)))</f>
        <v/>
      </c>
      <c r="AY2494">
        <f>IF(OR('19_Расчет_аналитики'!AY2466=0,7&lt;='01_Вводные'!$B$297),0,'19_Расчет_аналитики'!AY2466*IF('01_Вводные'!$B$239="Да",MeanMinAge07+'19_Расчет_аналитики'!AY2583*SUMIF(ThresholdAge07,"&lt;"&amp;'19_Расчет_аналитики'!AY2583,WeightedRevAge07)-SUMIF(ThresholdAge07,"&lt;"&amp;'19_Расчет_аналитики'!AY2583,WeightedMinAge07),MAX(CapacityAge07*'01_Вводные'!$B$218*'19_Расчет_аналитики'!AY2583,MeanMinAge07)))</f>
        <v/>
      </c>
      <c r="AZ2494">
        <f>IF(OR('19_Расчет_аналитики'!AZ2466=0,7&lt;='01_Вводные'!$B$297),0,'19_Расчет_аналитики'!AZ2466*IF('01_Вводные'!$B$239="Да",MeanMinAge07+'19_Расчет_аналитики'!AZ2583*SUMIF(ThresholdAge07,"&lt;"&amp;'19_Расчет_аналитики'!AZ2583,WeightedRevAge07)-SUMIF(ThresholdAge07,"&lt;"&amp;'19_Расчет_аналитики'!AZ2583,WeightedMinAge07),MAX(CapacityAge07*'01_Вводные'!$B$218*'19_Расчет_аналитики'!AZ2583,MeanMinAge07)))</f>
        <v/>
      </c>
      <c r="BA2494">
        <f>IF(OR('19_Расчет_аналитики'!BA2466=0,7&lt;='01_Вводные'!$B$297),0,'19_Расчет_аналитики'!BA2466*IF('01_Вводные'!$B$239="Да",MeanMinAge07+'19_Расчет_аналитики'!BA2583*SUMIF(ThresholdAge07,"&lt;"&amp;'19_Расчет_аналитики'!BA2583,WeightedRevAge07)-SUMIF(ThresholdAge07,"&lt;"&amp;'19_Расчет_аналитики'!BA2583,WeightedMinAge07),MAX(CapacityAge07*'01_Вводные'!$B$218*'19_Расчет_аналитики'!BA2583,MeanMinAge07)))</f>
        <v/>
      </c>
      <c r="BB2494">
        <f>IF(OR('19_Расчет_аналитики'!BB2466=0,7&lt;='01_Вводные'!$B$297),0,'19_Расчет_аналитики'!BB2466*IF('01_Вводные'!$B$239="Да",MeanMinAge07+'19_Расчет_аналитики'!BB2583*SUMIF(ThresholdAge07,"&lt;"&amp;'19_Расчет_аналитики'!BB2583,WeightedRevAge07)-SUMIF(ThresholdAge07,"&lt;"&amp;'19_Расчет_аналитики'!BB2583,WeightedMinAge07),MAX(CapacityAge07*'01_Вводные'!$B$218*'19_Расчет_аналитики'!BB2583,MeanMinAge07)))</f>
        <v/>
      </c>
      <c r="BC2494">
        <f>IF(OR('19_Расчет_аналитики'!BC2466=0,7&lt;='01_Вводные'!$B$297),0,'19_Расчет_аналитики'!BC2466*IF('01_Вводные'!$B$239="Да",MeanMinAge07+'19_Расчет_аналитики'!BC2583*SUMIF(ThresholdAge07,"&lt;"&amp;'19_Расчет_аналитики'!BC2583,WeightedRevAge07)-SUMIF(ThresholdAge07,"&lt;"&amp;'19_Расчет_аналитики'!BC2583,WeightedMinAge07),MAX(CapacityAge07*'01_Вводные'!$B$218*'19_Расчет_аналитики'!BC2583,MeanMinAge07)))</f>
        <v/>
      </c>
      <c r="BD2494">
        <f>IF(OR('19_Расчет_аналитики'!BD2466=0,7&lt;='01_Вводные'!$B$297),0,'19_Расчет_аналитики'!BD2466*IF('01_Вводные'!$B$239="Да",MeanMinAge07+'19_Расчет_аналитики'!BD2583*SUMIF(ThresholdAge07,"&lt;"&amp;'19_Расчет_аналитики'!BD2583,WeightedRevAge07)-SUMIF(ThresholdAge07,"&lt;"&amp;'19_Расчет_аналитики'!BD2583,WeightedMinAge07),MAX(CapacityAge07*'01_Вводные'!$B$218*'19_Расчет_аналитики'!BD2583,MeanMinAge07)))</f>
        <v/>
      </c>
      <c r="BE2494">
        <f>IF(OR('19_Расчет_аналитики'!BE2466=0,7&lt;='01_Вводные'!$B$297),0,'19_Расчет_аналитики'!BE2466*IF('01_Вводные'!$B$239="Да",MeanMinAge07+'19_Расчет_аналитики'!BE2583*SUMIF(ThresholdAge07,"&lt;"&amp;'19_Расчет_аналитики'!BE2583,WeightedRevAge07)-SUMIF(ThresholdAge07,"&lt;"&amp;'19_Расчет_аналитики'!BE2583,WeightedMinAge07),MAX(CapacityAge07*'01_Вводные'!$B$218*'19_Расчет_аналитики'!BE2583,MeanMinAge07)))</f>
        <v/>
      </c>
      <c r="BF2494">
        <f>IF(OR('19_Расчет_аналитики'!BF2466=0,7&lt;='01_Вводные'!$B$297),0,'19_Расчет_аналитики'!BF2466*IF('01_Вводные'!$B$239="Да",MeanMinAge07+'19_Расчет_аналитики'!BF2583*SUMIF(ThresholdAge07,"&lt;"&amp;'19_Расчет_аналитики'!BF2583,WeightedRevAge07)-SUMIF(ThresholdAge07,"&lt;"&amp;'19_Расчет_аналитики'!BF2583,WeightedMinAge07),MAX(CapacityAge07*'01_Вводные'!$B$218*'19_Расчет_аналитики'!BF2583,MeanMinAge07)))</f>
        <v/>
      </c>
      <c r="BG2494">
        <f>IF(OR('19_Расчет_аналитики'!BG2466=0,7&lt;='01_Вводные'!$B$297),0,'19_Расчет_аналитики'!BG2466*IF('01_Вводные'!$B$239="Да",MeanMinAge07+'19_Расчет_аналитики'!BG2583*SUMIF(ThresholdAge07,"&lt;"&amp;'19_Расчет_аналитики'!BG2583,WeightedRevAge07)-SUMIF(ThresholdAge07,"&lt;"&amp;'19_Расчет_аналитики'!BG2583,WeightedMinAge07),MAX(CapacityAge07*'01_Вводные'!$B$218*'19_Расчет_аналитики'!BG2583,MeanMinAge07)))</f>
        <v/>
      </c>
      <c r="BH2494">
        <f>IF(OR('19_Расчет_аналитики'!BH2466=0,7&lt;='01_Вводные'!$B$297),0,'19_Расчет_аналитики'!BH2466*IF('01_Вводные'!$B$239="Да",MeanMinAge07+'19_Расчет_аналитики'!BH2583*SUMIF(ThresholdAge07,"&lt;"&amp;'19_Расчет_аналитики'!BH2583,WeightedRevAge07)-SUMIF(ThresholdAge07,"&lt;"&amp;'19_Расчет_аналитики'!BH2583,WeightedMinAge07),MAX(CapacityAge07*'01_Вводные'!$B$218*'19_Расчет_аналитики'!BH2583,MeanMinAge07)))</f>
        <v/>
      </c>
      <c r="BI2494">
        <f>IF(OR('19_Расчет_аналитики'!BI2466=0,7&lt;='01_Вводные'!$B$297),0,'19_Расчет_аналитики'!BI2466*IF('01_Вводные'!$B$239="Да",MeanMinAge07+'19_Расчет_аналитики'!BI2583*SUMIF(ThresholdAge07,"&lt;"&amp;'19_Расчет_аналитики'!BI2583,WeightedRevAge07)-SUMIF(ThresholdAge07,"&lt;"&amp;'19_Расчет_аналитики'!BI2583,WeightedMinAge07),MAX(CapacityAge07*'01_Вводные'!$B$218*'19_Расчет_аналитики'!BI2583,MeanMinAge07)))</f>
        <v/>
      </c>
      <c r="BJ2494">
        <f>IF(OR('19_Расчет_аналитики'!BJ2466=0,7&lt;='01_Вводные'!$B$297),0,'19_Расчет_аналитики'!BJ2466*IF('01_Вводные'!$B$239="Да",MeanMinAge07+'19_Расчет_аналитики'!BJ2583*SUMIF(ThresholdAge07,"&lt;"&amp;'19_Расчет_аналитики'!BJ2583,WeightedRevAge07)-SUMIF(ThresholdAge07,"&lt;"&amp;'19_Расчет_аналитики'!BJ2583,WeightedMinAge07),MAX(CapacityAge07*'01_Вводные'!$B$218*'19_Расчет_аналитики'!BJ2583,MeanMinAge07)))</f>
        <v/>
      </c>
      <c r="BK2494">
        <f>IF(OR('19_Расчет_аналитики'!BK2466=0,7&lt;='01_Вводные'!$B$297),0,'19_Расчет_аналитики'!BK2466*IF('01_Вводные'!$B$239="Да",MeanMinAge07+'19_Расчет_аналитики'!BK2583*SUMIF(ThresholdAge07,"&lt;"&amp;'19_Расчет_аналитики'!BK2583,WeightedRevAge07)-SUMIF(ThresholdAge07,"&lt;"&amp;'19_Расчет_аналитики'!BK2583,WeightedMinAge07),MAX(CapacityAge07*'01_Вводные'!$B$218*'19_Расчет_аналитики'!BK2583,MeanMinAge07)))</f>
        <v/>
      </c>
      <c r="BL2494">
        <f>IF(OR('19_Расчет_аналитики'!BL2466=0,7&lt;='01_Вводные'!$B$297),0,'19_Расчет_аналитики'!BL2466*IF('01_Вводные'!$B$239="Да",MeanMinAge07+'19_Расчет_аналитики'!BL2583*SUMIF(ThresholdAge07,"&lt;"&amp;'19_Расчет_аналитики'!BL2583,WeightedRevAge07)-SUMIF(ThresholdAge07,"&lt;"&amp;'19_Расчет_аналитики'!BL2583,WeightedMinAge07),MAX(CapacityAge07*'01_Вводные'!$B$218*'19_Расчет_аналитики'!BL2583,MeanMinAge07)))</f>
        <v/>
      </c>
      <c r="BM2494">
        <f>IF(OR('19_Расчет_аналитики'!BM2466=0,7&lt;='01_Вводные'!$B$297),0,'19_Расчет_аналитики'!BM2466*IF('01_Вводные'!$B$239="Да",MeanMinAge07+'19_Расчет_аналитики'!BM2583*SUMIF(ThresholdAge07,"&lt;"&amp;'19_Расчет_аналитики'!BM2583,WeightedRevAge07)-SUMIF(ThresholdAge07,"&lt;"&amp;'19_Расчет_аналитики'!BM2583,WeightedMinAge07),MAX(CapacityAge07*'01_Вводные'!$B$218*'19_Расчет_аналитики'!BM2583,MeanMinAge07)))</f>
        <v/>
      </c>
      <c r="BN2494">
        <f>IF(OR('19_Расчет_аналитики'!BN2466=0,7&lt;='01_Вводные'!$B$297),0,'19_Расчет_аналитики'!BN2466*IF('01_Вводные'!$B$239="Да",MeanMinAge07+'19_Расчет_аналитики'!BN2583*SUMIF(ThresholdAge07,"&lt;"&amp;'19_Расчет_аналитики'!BN2583,WeightedRevAge07)-SUMIF(ThresholdAge07,"&lt;"&amp;'19_Расчет_аналитики'!BN2583,WeightedMinAge07),MAX(CapacityAge07*'01_Вводные'!$B$218*'19_Расчет_аналитики'!BN2583,MeanMinAge07)))</f>
        <v/>
      </c>
      <c r="BO2494">
        <f>IF(OR('19_Расчет_аналитики'!BO2466=0,7&lt;='01_Вводные'!$B$297),0,'19_Расчет_аналитики'!BO2466*IF('01_Вводные'!$B$239="Да",MeanMinAge07+'19_Расчет_аналитики'!BO2583*SUMIF(ThresholdAge07,"&lt;"&amp;'19_Расчет_аналитики'!BO2583,WeightedRevAge07)-SUMIF(ThresholdAge07,"&lt;"&amp;'19_Расчет_аналитики'!BO2583,WeightedMinAge07),MAX(CapacityAge07*'01_Вводные'!$B$218*'19_Расчет_аналитики'!BO2583,MeanMinAge07)))</f>
        <v/>
      </c>
    </row>
    <row r="2495">
      <c r="B2495">
        <f>IF(OR('06_Сеть_и_дети'!B88=0,8&lt;='01_Вводные'!$B$297),0,'06_Сеть_и_дети'!B88*IF('01_Вводные'!$B$239="Да",MeanMinAge08+'19_Расчет_аналитики'!B2583*SUMIF(ThresholdAge08,"&lt;"&amp;'19_Расчет_аналитики'!B2583,WeightedRevAge08)-SUMIF(ThresholdAge08,"&lt;"&amp;'19_Расчет_аналитики'!B2583,WeightedMinAge08),MAX(CapacityAge08*'01_Вводные'!$B$218*'19_Расчет_аналитики'!B2583,MeanMinAge08)))</f>
        <v/>
      </c>
      <c r="C2495">
        <f>IF(OR('06_Сеть_и_дети'!C88=0,8&lt;='01_Вводные'!$B$297),0,'06_Сеть_и_дети'!C88*IF('01_Вводные'!$B$239="Да",MeanMinAge08+'19_Расчет_аналитики'!C2583*SUMIF(ThresholdAge08,"&lt;"&amp;'19_Расчет_аналитики'!C2583,WeightedRevAge08)-SUMIF(ThresholdAge08,"&lt;"&amp;'19_Расчет_аналитики'!C2583,WeightedMinAge08),MAX(CapacityAge08*'01_Вводные'!$B$218*'19_Расчет_аналитики'!C2583,MeanMinAge08)))</f>
        <v/>
      </c>
      <c r="D2495">
        <f>IF(OR('06_Сеть_и_дети'!D88=0,8&lt;='01_Вводные'!$B$297),0,'06_Сеть_и_дети'!D88*IF('01_Вводные'!$B$239="Да",MeanMinAge08+'19_Расчет_аналитики'!D2583*SUMIF(ThresholdAge08,"&lt;"&amp;'19_Расчет_аналитики'!D2583,WeightedRevAge08)-SUMIF(ThresholdAge08,"&lt;"&amp;'19_Расчет_аналитики'!D2583,WeightedMinAge08),MAX(CapacityAge08*'01_Вводные'!$B$218*'19_Расчет_аналитики'!D2583,MeanMinAge08)))</f>
        <v/>
      </c>
      <c r="E2495">
        <f>IF(OR('06_Сеть_и_дети'!E88=0,8&lt;='01_Вводные'!$B$297),0,'06_Сеть_и_дети'!E88*IF('01_Вводные'!$B$239="Да",MeanMinAge08+'19_Расчет_аналитики'!E2583*SUMIF(ThresholdAge08,"&lt;"&amp;'19_Расчет_аналитики'!E2583,WeightedRevAge08)-SUMIF(ThresholdAge08,"&lt;"&amp;'19_Расчет_аналитики'!E2583,WeightedMinAge08),MAX(CapacityAge08*'01_Вводные'!$B$218*'19_Расчет_аналитики'!E2583,MeanMinAge08)))</f>
        <v/>
      </c>
      <c r="F2495">
        <f>IF(OR('06_Сеть_и_дети'!F88=0,8&lt;='01_Вводные'!$B$297),0,'06_Сеть_и_дети'!F88*IF('01_Вводные'!$B$239="Да",MeanMinAge08+'19_Расчет_аналитики'!F2583*SUMIF(ThresholdAge08,"&lt;"&amp;'19_Расчет_аналитики'!F2583,WeightedRevAge08)-SUMIF(ThresholdAge08,"&lt;"&amp;'19_Расчет_аналитики'!F2583,WeightedMinAge08),MAX(CapacityAge08*'01_Вводные'!$B$218*'19_Расчет_аналитики'!F2583,MeanMinAge08)))</f>
        <v/>
      </c>
      <c r="G2495">
        <f>IF(OR('06_Сеть_и_дети'!G88=0,8&lt;='01_Вводные'!$B$297),0,'06_Сеть_и_дети'!G88*IF('01_Вводные'!$B$239="Да",MeanMinAge08+'19_Расчет_аналитики'!G2583*SUMIF(ThresholdAge08,"&lt;"&amp;'19_Расчет_аналитики'!G2583,WeightedRevAge08)-SUMIF(ThresholdAge08,"&lt;"&amp;'19_Расчет_аналитики'!G2583,WeightedMinAge08),MAX(CapacityAge08*'01_Вводные'!$B$218*'19_Расчет_аналитики'!G2583,MeanMinAge08)))</f>
        <v/>
      </c>
      <c r="H2495">
        <f>IF(OR('06_Сеть_и_дети'!H88=0,8&lt;='01_Вводные'!$B$297),0,'06_Сеть_и_дети'!H88*IF('01_Вводные'!$B$239="Да",MeanMinAge08+'19_Расчет_аналитики'!H2583*SUMIF(ThresholdAge08,"&lt;"&amp;'19_Расчет_аналитики'!H2583,WeightedRevAge08)-SUMIF(ThresholdAge08,"&lt;"&amp;'19_Расчет_аналитики'!H2583,WeightedMinAge08),MAX(CapacityAge08*'01_Вводные'!$B$218*'19_Расчет_аналитики'!H2583,MeanMinAge08)))</f>
        <v/>
      </c>
      <c r="I2495">
        <f>IF(OR('19_Расчет_аналитики'!I2467=0,8&lt;='01_Вводные'!$B$297),0,'19_Расчет_аналитики'!I2467*IF('01_Вводные'!$B$239="Да",MeanMinAge08+'19_Расчет_аналитики'!I2583*SUMIF(ThresholdAge08,"&lt;"&amp;'19_Расчет_аналитики'!I2583,WeightedRevAge08)-SUMIF(ThresholdAge08,"&lt;"&amp;'19_Расчет_аналитики'!I2583,WeightedMinAge08),MAX(CapacityAge08*'01_Вводные'!$B$218*'19_Расчет_аналитики'!I2583,MeanMinAge08)))</f>
        <v/>
      </c>
      <c r="J2495">
        <f>IF(OR('19_Расчет_аналитики'!J2467=0,8&lt;='01_Вводные'!$B$297),0,'19_Расчет_аналитики'!J2467*IF('01_Вводные'!$B$239="Да",MeanMinAge08+'19_Расчет_аналитики'!J2583*SUMIF(ThresholdAge08,"&lt;"&amp;'19_Расчет_аналитики'!J2583,WeightedRevAge08)-SUMIF(ThresholdAge08,"&lt;"&amp;'19_Расчет_аналитики'!J2583,WeightedMinAge08),MAX(CapacityAge08*'01_Вводные'!$B$218*'19_Расчет_аналитики'!J2583,MeanMinAge08)))</f>
        <v/>
      </c>
      <c r="K2495">
        <f>IF(OR('19_Расчет_аналитики'!K2467=0,8&lt;='01_Вводные'!$B$297),0,'19_Расчет_аналитики'!K2467*IF('01_Вводные'!$B$239="Да",MeanMinAge08+'19_Расчет_аналитики'!K2583*SUMIF(ThresholdAge08,"&lt;"&amp;'19_Расчет_аналитики'!K2583,WeightedRevAge08)-SUMIF(ThresholdAge08,"&lt;"&amp;'19_Расчет_аналитики'!K2583,WeightedMinAge08),MAX(CapacityAge08*'01_Вводные'!$B$218*'19_Расчет_аналитики'!K2583,MeanMinAge08)))</f>
        <v/>
      </c>
      <c r="L2495">
        <f>IF(OR('19_Расчет_аналитики'!L2467=0,8&lt;='01_Вводные'!$B$297),0,'19_Расчет_аналитики'!L2467*IF('01_Вводные'!$B$239="Да",MeanMinAge08+'19_Расчет_аналитики'!L2583*SUMIF(ThresholdAge08,"&lt;"&amp;'19_Расчет_аналитики'!L2583,WeightedRevAge08)-SUMIF(ThresholdAge08,"&lt;"&amp;'19_Расчет_аналитики'!L2583,WeightedMinAge08),MAX(CapacityAge08*'01_Вводные'!$B$218*'19_Расчет_аналитики'!L2583,MeanMinAge08)))</f>
        <v/>
      </c>
      <c r="M2495">
        <f>IF(OR('19_Расчет_аналитики'!M2467=0,8&lt;='01_Вводные'!$B$297),0,'19_Расчет_аналитики'!M2467*IF('01_Вводные'!$B$239="Да",MeanMinAge08+'19_Расчет_аналитики'!M2583*SUMIF(ThresholdAge08,"&lt;"&amp;'19_Расчет_аналитики'!M2583,WeightedRevAge08)-SUMIF(ThresholdAge08,"&lt;"&amp;'19_Расчет_аналитики'!M2583,WeightedMinAge08),MAX(CapacityAge08*'01_Вводные'!$B$218*'19_Расчет_аналитики'!M2583,MeanMinAge08)))</f>
        <v/>
      </c>
      <c r="N2495">
        <f>IF(OR('19_Расчет_аналитики'!N2467=0,8&lt;='01_Вводные'!$B$297),0,'19_Расчет_аналитики'!N2467*IF('01_Вводные'!$B$239="Да",MeanMinAge08+'19_Расчет_аналитики'!N2583*SUMIF(ThresholdAge08,"&lt;"&amp;'19_Расчет_аналитики'!N2583,WeightedRevAge08)-SUMIF(ThresholdAge08,"&lt;"&amp;'19_Расчет_аналитики'!N2583,WeightedMinAge08),MAX(CapacityAge08*'01_Вводные'!$B$218*'19_Расчет_аналитики'!N2583,MeanMinAge08)))</f>
        <v/>
      </c>
      <c r="O2495">
        <f>IF(OR('19_Расчет_аналитики'!O2467=0,8&lt;='01_Вводные'!$B$297),0,'19_Расчет_аналитики'!O2467*IF('01_Вводные'!$B$239="Да",MeanMinAge08+'19_Расчет_аналитики'!O2583*SUMIF(ThresholdAge08,"&lt;"&amp;'19_Расчет_аналитики'!O2583,WeightedRevAge08)-SUMIF(ThresholdAge08,"&lt;"&amp;'19_Расчет_аналитики'!O2583,WeightedMinAge08),MAX(CapacityAge08*'01_Вводные'!$B$218*'19_Расчет_аналитики'!O2583,MeanMinAge08)))</f>
        <v/>
      </c>
      <c r="P2495">
        <f>IF(OR('19_Расчет_аналитики'!P2467=0,8&lt;='01_Вводные'!$B$297),0,'19_Расчет_аналитики'!P2467*IF('01_Вводные'!$B$239="Да",MeanMinAge08+'19_Расчет_аналитики'!P2583*SUMIF(ThresholdAge08,"&lt;"&amp;'19_Расчет_аналитики'!P2583,WeightedRevAge08)-SUMIF(ThresholdAge08,"&lt;"&amp;'19_Расчет_аналитики'!P2583,WeightedMinAge08),MAX(CapacityAge08*'01_Вводные'!$B$218*'19_Расчет_аналитики'!P2583,MeanMinAge08)))</f>
        <v/>
      </c>
      <c r="Q2495">
        <f>IF(OR('19_Расчет_аналитики'!Q2467=0,8&lt;='01_Вводные'!$B$297),0,'19_Расчет_аналитики'!Q2467*IF('01_Вводные'!$B$239="Да",MeanMinAge08+'19_Расчет_аналитики'!Q2583*SUMIF(ThresholdAge08,"&lt;"&amp;'19_Расчет_аналитики'!Q2583,WeightedRevAge08)-SUMIF(ThresholdAge08,"&lt;"&amp;'19_Расчет_аналитики'!Q2583,WeightedMinAge08),MAX(CapacityAge08*'01_Вводные'!$B$218*'19_Расчет_аналитики'!Q2583,MeanMinAge08)))</f>
        <v/>
      </c>
      <c r="R2495">
        <f>IF(OR('19_Расчет_аналитики'!R2467=0,8&lt;='01_Вводные'!$B$297),0,'19_Расчет_аналитики'!R2467*IF('01_Вводные'!$B$239="Да",MeanMinAge08+'19_Расчет_аналитики'!R2583*SUMIF(ThresholdAge08,"&lt;"&amp;'19_Расчет_аналитики'!R2583,WeightedRevAge08)-SUMIF(ThresholdAge08,"&lt;"&amp;'19_Расчет_аналитики'!R2583,WeightedMinAge08),MAX(CapacityAge08*'01_Вводные'!$B$218*'19_Расчет_аналитики'!R2583,MeanMinAge08)))</f>
        <v/>
      </c>
      <c r="S2495">
        <f>IF(OR('19_Расчет_аналитики'!S2467=0,8&lt;='01_Вводные'!$B$297),0,'19_Расчет_аналитики'!S2467*IF('01_Вводные'!$B$239="Да",MeanMinAge08+'19_Расчет_аналитики'!S2583*SUMIF(ThresholdAge08,"&lt;"&amp;'19_Расчет_аналитики'!S2583,WeightedRevAge08)-SUMIF(ThresholdAge08,"&lt;"&amp;'19_Расчет_аналитики'!S2583,WeightedMinAge08),MAX(CapacityAge08*'01_Вводные'!$B$218*'19_Расчет_аналитики'!S2583,MeanMinAge08)))</f>
        <v/>
      </c>
      <c r="T2495">
        <f>IF(OR('19_Расчет_аналитики'!T2467=0,8&lt;='01_Вводные'!$B$297),0,'19_Расчет_аналитики'!T2467*IF('01_Вводные'!$B$239="Да",MeanMinAge08+'19_Расчет_аналитики'!T2583*SUMIF(ThresholdAge08,"&lt;"&amp;'19_Расчет_аналитики'!T2583,WeightedRevAge08)-SUMIF(ThresholdAge08,"&lt;"&amp;'19_Расчет_аналитики'!T2583,WeightedMinAge08),MAX(CapacityAge08*'01_Вводные'!$B$218*'19_Расчет_аналитики'!T2583,MeanMinAge08)))</f>
        <v/>
      </c>
      <c r="U2495">
        <f>IF(OR('19_Расчет_аналитики'!U2467=0,8&lt;='01_Вводные'!$B$297),0,'19_Расчет_аналитики'!U2467*IF('01_Вводные'!$B$239="Да",MeanMinAge08+'19_Расчет_аналитики'!U2583*SUMIF(ThresholdAge08,"&lt;"&amp;'19_Расчет_аналитики'!U2583,WeightedRevAge08)-SUMIF(ThresholdAge08,"&lt;"&amp;'19_Расчет_аналитики'!U2583,WeightedMinAge08),MAX(CapacityAge08*'01_Вводные'!$B$218*'19_Расчет_аналитики'!U2583,MeanMinAge08)))</f>
        <v/>
      </c>
      <c r="V2495">
        <f>IF(OR('19_Расчет_аналитики'!V2467=0,8&lt;='01_Вводные'!$B$297),0,'19_Расчет_аналитики'!V2467*IF('01_Вводные'!$B$239="Да",MeanMinAge08+'19_Расчет_аналитики'!V2583*SUMIF(ThresholdAge08,"&lt;"&amp;'19_Расчет_аналитики'!V2583,WeightedRevAge08)-SUMIF(ThresholdAge08,"&lt;"&amp;'19_Расчет_аналитики'!V2583,WeightedMinAge08),MAX(CapacityAge08*'01_Вводные'!$B$218*'19_Расчет_аналитики'!V2583,MeanMinAge08)))</f>
        <v/>
      </c>
      <c r="W2495">
        <f>IF(OR('19_Расчет_аналитики'!W2467=0,8&lt;='01_Вводные'!$B$297),0,'19_Расчет_аналитики'!W2467*IF('01_Вводные'!$B$239="Да",MeanMinAge08+'19_Расчет_аналитики'!W2583*SUMIF(ThresholdAge08,"&lt;"&amp;'19_Расчет_аналитики'!W2583,WeightedRevAge08)-SUMIF(ThresholdAge08,"&lt;"&amp;'19_Расчет_аналитики'!W2583,WeightedMinAge08),MAX(CapacityAge08*'01_Вводные'!$B$218*'19_Расчет_аналитики'!W2583,MeanMinAge08)))</f>
        <v/>
      </c>
      <c r="X2495">
        <f>IF(OR('19_Расчет_аналитики'!X2467=0,8&lt;='01_Вводные'!$B$297),0,'19_Расчет_аналитики'!X2467*IF('01_Вводные'!$B$239="Да",MeanMinAge08+'19_Расчет_аналитики'!X2583*SUMIF(ThresholdAge08,"&lt;"&amp;'19_Расчет_аналитики'!X2583,WeightedRevAge08)-SUMIF(ThresholdAge08,"&lt;"&amp;'19_Расчет_аналитики'!X2583,WeightedMinAge08),MAX(CapacityAge08*'01_Вводные'!$B$218*'19_Расчет_аналитики'!X2583,MeanMinAge08)))</f>
        <v/>
      </c>
      <c r="Y2495">
        <f>IF(OR('19_Расчет_аналитики'!Y2467=0,8&lt;='01_Вводные'!$B$297),0,'19_Расчет_аналитики'!Y2467*IF('01_Вводные'!$B$239="Да",MeanMinAge08+'19_Расчет_аналитики'!Y2583*SUMIF(ThresholdAge08,"&lt;"&amp;'19_Расчет_аналитики'!Y2583,WeightedRevAge08)-SUMIF(ThresholdAge08,"&lt;"&amp;'19_Расчет_аналитики'!Y2583,WeightedMinAge08),MAX(CapacityAge08*'01_Вводные'!$B$218*'19_Расчет_аналитики'!Y2583,MeanMinAge08)))</f>
        <v/>
      </c>
      <c r="Z2495">
        <f>IF(OR('19_Расчет_аналитики'!Z2467=0,8&lt;='01_Вводные'!$B$297),0,'19_Расчет_аналитики'!Z2467*IF('01_Вводные'!$B$239="Да",MeanMinAge08+'19_Расчет_аналитики'!Z2583*SUMIF(ThresholdAge08,"&lt;"&amp;'19_Расчет_аналитики'!Z2583,WeightedRevAge08)-SUMIF(ThresholdAge08,"&lt;"&amp;'19_Расчет_аналитики'!Z2583,WeightedMinAge08),MAX(CapacityAge08*'01_Вводные'!$B$218*'19_Расчет_аналитики'!Z2583,MeanMinAge08)))</f>
        <v/>
      </c>
      <c r="AA2495">
        <f>IF(OR('19_Расчет_аналитики'!AA2467=0,8&lt;='01_Вводные'!$B$297),0,'19_Расчет_аналитики'!AA2467*IF('01_Вводные'!$B$239="Да",MeanMinAge08+'19_Расчет_аналитики'!AA2583*SUMIF(ThresholdAge08,"&lt;"&amp;'19_Расчет_аналитики'!AA2583,WeightedRevAge08)-SUMIF(ThresholdAge08,"&lt;"&amp;'19_Расчет_аналитики'!AA2583,WeightedMinAge08),MAX(CapacityAge08*'01_Вводные'!$B$218*'19_Расчет_аналитики'!AA2583,MeanMinAge08)))</f>
        <v/>
      </c>
      <c r="AB2495">
        <f>IF(OR('19_Расчет_аналитики'!AB2467=0,8&lt;='01_Вводные'!$B$297),0,'19_Расчет_аналитики'!AB2467*IF('01_Вводные'!$B$239="Да",MeanMinAge08+'19_Расчет_аналитики'!AB2583*SUMIF(ThresholdAge08,"&lt;"&amp;'19_Расчет_аналитики'!AB2583,WeightedRevAge08)-SUMIF(ThresholdAge08,"&lt;"&amp;'19_Расчет_аналитики'!AB2583,WeightedMinAge08),MAX(CapacityAge08*'01_Вводные'!$B$218*'19_Расчет_аналитики'!AB2583,MeanMinAge08)))</f>
        <v/>
      </c>
      <c r="AC2495">
        <f>IF(OR('19_Расчет_аналитики'!AC2467=0,8&lt;='01_Вводные'!$B$297),0,'19_Расчет_аналитики'!AC2467*IF('01_Вводные'!$B$239="Да",MeanMinAge08+'19_Расчет_аналитики'!AC2583*SUMIF(ThresholdAge08,"&lt;"&amp;'19_Расчет_аналитики'!AC2583,WeightedRevAge08)-SUMIF(ThresholdAge08,"&lt;"&amp;'19_Расчет_аналитики'!AC2583,WeightedMinAge08),MAX(CapacityAge08*'01_Вводные'!$B$218*'19_Расчет_аналитики'!AC2583,MeanMinAge08)))</f>
        <v/>
      </c>
      <c r="AD2495">
        <f>IF(OR('19_Расчет_аналитики'!AD2467=0,8&lt;='01_Вводные'!$B$297),0,'19_Расчет_аналитики'!AD2467*IF('01_Вводные'!$B$239="Да",MeanMinAge08+'19_Расчет_аналитики'!AD2583*SUMIF(ThresholdAge08,"&lt;"&amp;'19_Расчет_аналитики'!AD2583,WeightedRevAge08)-SUMIF(ThresholdAge08,"&lt;"&amp;'19_Расчет_аналитики'!AD2583,WeightedMinAge08),MAX(CapacityAge08*'01_Вводные'!$B$218*'19_Расчет_аналитики'!AD2583,MeanMinAge08)))</f>
        <v/>
      </c>
      <c r="AE2495">
        <f>IF(OR('19_Расчет_аналитики'!AE2467=0,8&lt;='01_Вводные'!$B$297),0,'19_Расчет_аналитики'!AE2467*IF('01_Вводные'!$B$239="Да",MeanMinAge08+'19_Расчет_аналитики'!AE2583*SUMIF(ThresholdAge08,"&lt;"&amp;'19_Расчет_аналитики'!AE2583,WeightedRevAge08)-SUMIF(ThresholdAge08,"&lt;"&amp;'19_Расчет_аналитики'!AE2583,WeightedMinAge08),MAX(CapacityAge08*'01_Вводные'!$B$218*'19_Расчет_аналитики'!AE2583,MeanMinAge08)))</f>
        <v/>
      </c>
      <c r="AF2495">
        <f>IF(OR('19_Расчет_аналитики'!AF2467=0,8&lt;='01_Вводные'!$B$297),0,'19_Расчет_аналитики'!AF2467*IF('01_Вводные'!$B$239="Да",MeanMinAge08+'19_Расчет_аналитики'!AF2583*SUMIF(ThresholdAge08,"&lt;"&amp;'19_Расчет_аналитики'!AF2583,WeightedRevAge08)-SUMIF(ThresholdAge08,"&lt;"&amp;'19_Расчет_аналитики'!AF2583,WeightedMinAge08),MAX(CapacityAge08*'01_Вводные'!$B$218*'19_Расчет_аналитики'!AF2583,MeanMinAge08)))</f>
        <v/>
      </c>
      <c r="AG2495">
        <f>IF(OR('19_Расчет_аналитики'!AG2467=0,8&lt;='01_Вводные'!$B$297),0,'19_Расчет_аналитики'!AG2467*IF('01_Вводные'!$B$239="Да",MeanMinAge08+'19_Расчет_аналитики'!AG2583*SUMIF(ThresholdAge08,"&lt;"&amp;'19_Расчет_аналитики'!AG2583,WeightedRevAge08)-SUMIF(ThresholdAge08,"&lt;"&amp;'19_Расчет_аналитики'!AG2583,WeightedMinAge08),MAX(CapacityAge08*'01_Вводные'!$B$218*'19_Расчет_аналитики'!AG2583,MeanMinAge08)))</f>
        <v/>
      </c>
      <c r="AH2495">
        <f>IF(OR('19_Расчет_аналитики'!AH2467=0,8&lt;='01_Вводные'!$B$297),0,'19_Расчет_аналитики'!AH2467*IF('01_Вводные'!$B$239="Да",MeanMinAge08+'19_Расчет_аналитики'!AH2583*SUMIF(ThresholdAge08,"&lt;"&amp;'19_Расчет_аналитики'!AH2583,WeightedRevAge08)-SUMIF(ThresholdAge08,"&lt;"&amp;'19_Расчет_аналитики'!AH2583,WeightedMinAge08),MAX(CapacityAge08*'01_Вводные'!$B$218*'19_Расчет_аналитики'!AH2583,MeanMinAge08)))</f>
        <v/>
      </c>
      <c r="AI2495">
        <f>IF(OR('19_Расчет_аналитики'!AI2467=0,8&lt;='01_Вводные'!$B$297),0,'19_Расчет_аналитики'!AI2467*IF('01_Вводные'!$B$239="Да",MeanMinAge08+'19_Расчет_аналитики'!AI2583*SUMIF(ThresholdAge08,"&lt;"&amp;'19_Расчет_аналитики'!AI2583,WeightedRevAge08)-SUMIF(ThresholdAge08,"&lt;"&amp;'19_Расчет_аналитики'!AI2583,WeightedMinAge08),MAX(CapacityAge08*'01_Вводные'!$B$218*'19_Расчет_аналитики'!AI2583,MeanMinAge08)))</f>
        <v/>
      </c>
      <c r="AJ2495">
        <f>IF(OR('19_Расчет_аналитики'!AJ2467=0,8&lt;='01_Вводные'!$B$297),0,'19_Расчет_аналитики'!AJ2467*IF('01_Вводные'!$B$239="Да",MeanMinAge08+'19_Расчет_аналитики'!AJ2583*SUMIF(ThresholdAge08,"&lt;"&amp;'19_Расчет_аналитики'!AJ2583,WeightedRevAge08)-SUMIF(ThresholdAge08,"&lt;"&amp;'19_Расчет_аналитики'!AJ2583,WeightedMinAge08),MAX(CapacityAge08*'01_Вводные'!$B$218*'19_Расчет_аналитики'!AJ2583,MeanMinAge08)))</f>
        <v/>
      </c>
      <c r="AK2495">
        <f>IF(OR('19_Расчет_аналитики'!AK2467=0,8&lt;='01_Вводные'!$B$297),0,'19_Расчет_аналитики'!AK2467*IF('01_Вводные'!$B$239="Да",MeanMinAge08+'19_Расчет_аналитики'!AK2583*SUMIF(ThresholdAge08,"&lt;"&amp;'19_Расчет_аналитики'!AK2583,WeightedRevAge08)-SUMIF(ThresholdAge08,"&lt;"&amp;'19_Расчет_аналитики'!AK2583,WeightedMinAge08),MAX(CapacityAge08*'01_Вводные'!$B$218*'19_Расчет_аналитики'!AK2583,MeanMinAge08)))</f>
        <v/>
      </c>
      <c r="AL2495">
        <f>IF(OR('19_Расчет_аналитики'!AL2467=0,8&lt;='01_Вводные'!$B$297),0,'19_Расчет_аналитики'!AL2467*IF('01_Вводные'!$B$239="Да",MeanMinAge08+'19_Расчет_аналитики'!AL2583*SUMIF(ThresholdAge08,"&lt;"&amp;'19_Расчет_аналитики'!AL2583,WeightedRevAge08)-SUMIF(ThresholdAge08,"&lt;"&amp;'19_Расчет_аналитики'!AL2583,WeightedMinAge08),MAX(CapacityAge08*'01_Вводные'!$B$218*'19_Расчет_аналитики'!AL2583,MeanMinAge08)))</f>
        <v/>
      </c>
      <c r="AM2495">
        <f>IF(OR('19_Расчет_аналитики'!AM2467=0,8&lt;='01_Вводные'!$B$297),0,'19_Расчет_аналитики'!AM2467*IF('01_Вводные'!$B$239="Да",MeanMinAge08+'19_Расчет_аналитики'!AM2583*SUMIF(ThresholdAge08,"&lt;"&amp;'19_Расчет_аналитики'!AM2583,WeightedRevAge08)-SUMIF(ThresholdAge08,"&lt;"&amp;'19_Расчет_аналитики'!AM2583,WeightedMinAge08),MAX(CapacityAge08*'01_Вводные'!$B$218*'19_Расчет_аналитики'!AM2583,MeanMinAge08)))</f>
        <v/>
      </c>
      <c r="AN2495">
        <f>IF(OR('19_Расчет_аналитики'!AN2467=0,8&lt;='01_Вводные'!$B$297),0,'19_Расчет_аналитики'!AN2467*IF('01_Вводные'!$B$239="Да",MeanMinAge08+'19_Расчет_аналитики'!AN2583*SUMIF(ThresholdAge08,"&lt;"&amp;'19_Расчет_аналитики'!AN2583,WeightedRevAge08)-SUMIF(ThresholdAge08,"&lt;"&amp;'19_Расчет_аналитики'!AN2583,WeightedMinAge08),MAX(CapacityAge08*'01_Вводные'!$B$218*'19_Расчет_аналитики'!AN2583,MeanMinAge08)))</f>
        <v/>
      </c>
      <c r="AO2495">
        <f>IF(OR('19_Расчет_аналитики'!AO2467=0,8&lt;='01_Вводные'!$B$297),0,'19_Расчет_аналитики'!AO2467*IF('01_Вводные'!$B$239="Да",MeanMinAge08+'19_Расчет_аналитики'!AO2583*SUMIF(ThresholdAge08,"&lt;"&amp;'19_Расчет_аналитики'!AO2583,WeightedRevAge08)-SUMIF(ThresholdAge08,"&lt;"&amp;'19_Расчет_аналитики'!AO2583,WeightedMinAge08),MAX(CapacityAge08*'01_Вводные'!$B$218*'19_Расчет_аналитики'!AO2583,MeanMinAge08)))</f>
        <v/>
      </c>
      <c r="AP2495">
        <f>IF(OR('19_Расчет_аналитики'!AP2467=0,8&lt;='01_Вводные'!$B$297),0,'19_Расчет_аналитики'!AP2467*IF('01_Вводные'!$B$239="Да",MeanMinAge08+'19_Расчет_аналитики'!AP2583*SUMIF(ThresholdAge08,"&lt;"&amp;'19_Расчет_аналитики'!AP2583,WeightedRevAge08)-SUMIF(ThresholdAge08,"&lt;"&amp;'19_Расчет_аналитики'!AP2583,WeightedMinAge08),MAX(CapacityAge08*'01_Вводные'!$B$218*'19_Расчет_аналитики'!AP2583,MeanMinAge08)))</f>
        <v/>
      </c>
      <c r="AQ2495">
        <f>IF(OR('19_Расчет_аналитики'!AQ2467=0,8&lt;='01_Вводные'!$B$297),0,'19_Расчет_аналитики'!AQ2467*IF('01_Вводные'!$B$239="Да",MeanMinAge08+'19_Расчет_аналитики'!AQ2583*SUMIF(ThresholdAge08,"&lt;"&amp;'19_Расчет_аналитики'!AQ2583,WeightedRevAge08)-SUMIF(ThresholdAge08,"&lt;"&amp;'19_Расчет_аналитики'!AQ2583,WeightedMinAge08),MAX(CapacityAge08*'01_Вводные'!$B$218*'19_Расчет_аналитики'!AQ2583,MeanMinAge08)))</f>
        <v/>
      </c>
      <c r="AR2495">
        <f>IF(OR('19_Расчет_аналитики'!AR2467=0,8&lt;='01_Вводные'!$B$297),0,'19_Расчет_аналитики'!AR2467*IF('01_Вводные'!$B$239="Да",MeanMinAge08+'19_Расчет_аналитики'!AR2583*SUMIF(ThresholdAge08,"&lt;"&amp;'19_Расчет_аналитики'!AR2583,WeightedRevAge08)-SUMIF(ThresholdAge08,"&lt;"&amp;'19_Расчет_аналитики'!AR2583,WeightedMinAge08),MAX(CapacityAge08*'01_Вводные'!$B$218*'19_Расчет_аналитики'!AR2583,MeanMinAge08)))</f>
        <v/>
      </c>
      <c r="AS2495">
        <f>IF(OR('19_Расчет_аналитики'!AS2467=0,8&lt;='01_Вводные'!$B$297),0,'19_Расчет_аналитики'!AS2467*IF('01_Вводные'!$B$239="Да",MeanMinAge08+'19_Расчет_аналитики'!AS2583*SUMIF(ThresholdAge08,"&lt;"&amp;'19_Расчет_аналитики'!AS2583,WeightedRevAge08)-SUMIF(ThresholdAge08,"&lt;"&amp;'19_Расчет_аналитики'!AS2583,WeightedMinAge08),MAX(CapacityAge08*'01_Вводные'!$B$218*'19_Расчет_аналитики'!AS2583,MeanMinAge08)))</f>
        <v/>
      </c>
      <c r="AT2495">
        <f>IF(OR('19_Расчет_аналитики'!AT2467=0,8&lt;='01_Вводные'!$B$297),0,'19_Расчет_аналитики'!AT2467*IF('01_Вводные'!$B$239="Да",MeanMinAge08+'19_Расчет_аналитики'!AT2583*SUMIF(ThresholdAge08,"&lt;"&amp;'19_Расчет_аналитики'!AT2583,WeightedRevAge08)-SUMIF(ThresholdAge08,"&lt;"&amp;'19_Расчет_аналитики'!AT2583,WeightedMinAge08),MAX(CapacityAge08*'01_Вводные'!$B$218*'19_Расчет_аналитики'!AT2583,MeanMinAge08)))</f>
        <v/>
      </c>
      <c r="AU2495">
        <f>IF(OR('19_Расчет_аналитики'!AU2467=0,8&lt;='01_Вводные'!$B$297),0,'19_Расчет_аналитики'!AU2467*IF('01_Вводные'!$B$239="Да",MeanMinAge08+'19_Расчет_аналитики'!AU2583*SUMIF(ThresholdAge08,"&lt;"&amp;'19_Расчет_аналитики'!AU2583,WeightedRevAge08)-SUMIF(ThresholdAge08,"&lt;"&amp;'19_Расчет_аналитики'!AU2583,WeightedMinAge08),MAX(CapacityAge08*'01_Вводные'!$B$218*'19_Расчет_аналитики'!AU2583,MeanMinAge08)))</f>
        <v/>
      </c>
      <c r="AV2495">
        <f>IF(OR('19_Расчет_аналитики'!AV2467=0,8&lt;='01_Вводные'!$B$297),0,'19_Расчет_аналитики'!AV2467*IF('01_Вводные'!$B$239="Да",MeanMinAge08+'19_Расчет_аналитики'!AV2583*SUMIF(ThresholdAge08,"&lt;"&amp;'19_Расчет_аналитики'!AV2583,WeightedRevAge08)-SUMIF(ThresholdAge08,"&lt;"&amp;'19_Расчет_аналитики'!AV2583,WeightedMinAge08),MAX(CapacityAge08*'01_Вводные'!$B$218*'19_Расчет_аналитики'!AV2583,MeanMinAge08)))</f>
        <v/>
      </c>
      <c r="AW2495">
        <f>IF(OR('19_Расчет_аналитики'!AW2467=0,8&lt;='01_Вводные'!$B$297),0,'19_Расчет_аналитики'!AW2467*IF('01_Вводные'!$B$239="Да",MeanMinAge08+'19_Расчет_аналитики'!AW2583*SUMIF(ThresholdAge08,"&lt;"&amp;'19_Расчет_аналитики'!AW2583,WeightedRevAge08)-SUMIF(ThresholdAge08,"&lt;"&amp;'19_Расчет_аналитики'!AW2583,WeightedMinAge08),MAX(CapacityAge08*'01_Вводные'!$B$218*'19_Расчет_аналитики'!AW2583,MeanMinAge08)))</f>
        <v/>
      </c>
      <c r="AX2495">
        <f>IF(OR('19_Расчет_аналитики'!AX2467=0,8&lt;='01_Вводные'!$B$297),0,'19_Расчет_аналитики'!AX2467*IF('01_Вводные'!$B$239="Да",MeanMinAge08+'19_Расчет_аналитики'!AX2583*SUMIF(ThresholdAge08,"&lt;"&amp;'19_Расчет_аналитики'!AX2583,WeightedRevAge08)-SUMIF(ThresholdAge08,"&lt;"&amp;'19_Расчет_аналитики'!AX2583,WeightedMinAge08),MAX(CapacityAge08*'01_Вводные'!$B$218*'19_Расчет_аналитики'!AX2583,MeanMinAge08)))</f>
        <v/>
      </c>
      <c r="AY2495">
        <f>IF(OR('19_Расчет_аналитики'!AY2467=0,8&lt;='01_Вводные'!$B$297),0,'19_Расчет_аналитики'!AY2467*IF('01_Вводные'!$B$239="Да",MeanMinAge08+'19_Расчет_аналитики'!AY2583*SUMIF(ThresholdAge08,"&lt;"&amp;'19_Расчет_аналитики'!AY2583,WeightedRevAge08)-SUMIF(ThresholdAge08,"&lt;"&amp;'19_Расчет_аналитики'!AY2583,WeightedMinAge08),MAX(CapacityAge08*'01_Вводные'!$B$218*'19_Расчет_аналитики'!AY2583,MeanMinAge08)))</f>
        <v/>
      </c>
      <c r="AZ2495">
        <f>IF(OR('19_Расчет_аналитики'!AZ2467=0,8&lt;='01_Вводные'!$B$297),0,'19_Расчет_аналитики'!AZ2467*IF('01_Вводные'!$B$239="Да",MeanMinAge08+'19_Расчет_аналитики'!AZ2583*SUMIF(ThresholdAge08,"&lt;"&amp;'19_Расчет_аналитики'!AZ2583,WeightedRevAge08)-SUMIF(ThresholdAge08,"&lt;"&amp;'19_Расчет_аналитики'!AZ2583,WeightedMinAge08),MAX(CapacityAge08*'01_Вводные'!$B$218*'19_Расчет_аналитики'!AZ2583,MeanMinAge08)))</f>
        <v/>
      </c>
      <c r="BA2495">
        <f>IF(OR('19_Расчет_аналитики'!BA2467=0,8&lt;='01_Вводные'!$B$297),0,'19_Расчет_аналитики'!BA2467*IF('01_Вводные'!$B$239="Да",MeanMinAge08+'19_Расчет_аналитики'!BA2583*SUMIF(ThresholdAge08,"&lt;"&amp;'19_Расчет_аналитики'!BA2583,WeightedRevAge08)-SUMIF(ThresholdAge08,"&lt;"&amp;'19_Расчет_аналитики'!BA2583,WeightedMinAge08),MAX(CapacityAge08*'01_Вводные'!$B$218*'19_Расчет_аналитики'!BA2583,MeanMinAge08)))</f>
        <v/>
      </c>
      <c r="BB2495">
        <f>IF(OR('19_Расчет_аналитики'!BB2467=0,8&lt;='01_Вводные'!$B$297),0,'19_Расчет_аналитики'!BB2467*IF('01_Вводные'!$B$239="Да",MeanMinAge08+'19_Расчет_аналитики'!BB2583*SUMIF(ThresholdAge08,"&lt;"&amp;'19_Расчет_аналитики'!BB2583,WeightedRevAge08)-SUMIF(ThresholdAge08,"&lt;"&amp;'19_Расчет_аналитики'!BB2583,WeightedMinAge08),MAX(CapacityAge08*'01_Вводные'!$B$218*'19_Расчет_аналитики'!BB2583,MeanMinAge08)))</f>
        <v/>
      </c>
      <c r="BC2495">
        <f>IF(OR('19_Расчет_аналитики'!BC2467=0,8&lt;='01_Вводные'!$B$297),0,'19_Расчет_аналитики'!BC2467*IF('01_Вводные'!$B$239="Да",MeanMinAge08+'19_Расчет_аналитики'!BC2583*SUMIF(ThresholdAge08,"&lt;"&amp;'19_Расчет_аналитики'!BC2583,WeightedRevAge08)-SUMIF(ThresholdAge08,"&lt;"&amp;'19_Расчет_аналитики'!BC2583,WeightedMinAge08),MAX(CapacityAge08*'01_Вводные'!$B$218*'19_Расчет_аналитики'!BC2583,MeanMinAge08)))</f>
        <v/>
      </c>
      <c r="BD2495">
        <f>IF(OR('19_Расчет_аналитики'!BD2467=0,8&lt;='01_Вводные'!$B$297),0,'19_Расчет_аналитики'!BD2467*IF('01_Вводные'!$B$239="Да",MeanMinAge08+'19_Расчет_аналитики'!BD2583*SUMIF(ThresholdAge08,"&lt;"&amp;'19_Расчет_аналитики'!BD2583,WeightedRevAge08)-SUMIF(ThresholdAge08,"&lt;"&amp;'19_Расчет_аналитики'!BD2583,WeightedMinAge08),MAX(CapacityAge08*'01_Вводные'!$B$218*'19_Расчет_аналитики'!BD2583,MeanMinAge08)))</f>
        <v/>
      </c>
      <c r="BE2495">
        <f>IF(OR('19_Расчет_аналитики'!BE2467=0,8&lt;='01_Вводные'!$B$297),0,'19_Расчет_аналитики'!BE2467*IF('01_Вводные'!$B$239="Да",MeanMinAge08+'19_Расчет_аналитики'!BE2583*SUMIF(ThresholdAge08,"&lt;"&amp;'19_Расчет_аналитики'!BE2583,WeightedRevAge08)-SUMIF(ThresholdAge08,"&lt;"&amp;'19_Расчет_аналитики'!BE2583,WeightedMinAge08),MAX(CapacityAge08*'01_Вводные'!$B$218*'19_Расчет_аналитики'!BE2583,MeanMinAge08)))</f>
        <v/>
      </c>
      <c r="BF2495">
        <f>IF(OR('19_Расчет_аналитики'!BF2467=0,8&lt;='01_Вводные'!$B$297),0,'19_Расчет_аналитики'!BF2467*IF('01_Вводные'!$B$239="Да",MeanMinAge08+'19_Расчет_аналитики'!BF2583*SUMIF(ThresholdAge08,"&lt;"&amp;'19_Расчет_аналитики'!BF2583,WeightedRevAge08)-SUMIF(ThresholdAge08,"&lt;"&amp;'19_Расчет_аналитики'!BF2583,WeightedMinAge08),MAX(CapacityAge08*'01_Вводные'!$B$218*'19_Расчет_аналитики'!BF2583,MeanMinAge08)))</f>
        <v/>
      </c>
      <c r="BG2495">
        <f>IF(OR('19_Расчет_аналитики'!BG2467=0,8&lt;='01_Вводные'!$B$297),0,'19_Расчет_аналитики'!BG2467*IF('01_Вводные'!$B$239="Да",MeanMinAge08+'19_Расчет_аналитики'!BG2583*SUMIF(ThresholdAge08,"&lt;"&amp;'19_Расчет_аналитики'!BG2583,WeightedRevAge08)-SUMIF(ThresholdAge08,"&lt;"&amp;'19_Расчет_аналитики'!BG2583,WeightedMinAge08),MAX(CapacityAge08*'01_Вводные'!$B$218*'19_Расчет_аналитики'!BG2583,MeanMinAge08)))</f>
        <v/>
      </c>
      <c r="BH2495">
        <f>IF(OR('19_Расчет_аналитики'!BH2467=0,8&lt;='01_Вводные'!$B$297),0,'19_Расчет_аналитики'!BH2467*IF('01_Вводные'!$B$239="Да",MeanMinAge08+'19_Расчет_аналитики'!BH2583*SUMIF(ThresholdAge08,"&lt;"&amp;'19_Расчет_аналитики'!BH2583,WeightedRevAge08)-SUMIF(ThresholdAge08,"&lt;"&amp;'19_Расчет_аналитики'!BH2583,WeightedMinAge08),MAX(CapacityAge08*'01_Вводные'!$B$218*'19_Расчет_аналитики'!BH2583,MeanMinAge08)))</f>
        <v/>
      </c>
      <c r="BI2495">
        <f>IF(OR('19_Расчет_аналитики'!BI2467=0,8&lt;='01_Вводные'!$B$297),0,'19_Расчет_аналитики'!BI2467*IF('01_Вводные'!$B$239="Да",MeanMinAge08+'19_Расчет_аналитики'!BI2583*SUMIF(ThresholdAge08,"&lt;"&amp;'19_Расчет_аналитики'!BI2583,WeightedRevAge08)-SUMIF(ThresholdAge08,"&lt;"&amp;'19_Расчет_аналитики'!BI2583,WeightedMinAge08),MAX(CapacityAge08*'01_Вводные'!$B$218*'19_Расчет_аналитики'!BI2583,MeanMinAge08)))</f>
        <v/>
      </c>
      <c r="BJ2495">
        <f>IF(OR('19_Расчет_аналитики'!BJ2467=0,8&lt;='01_Вводные'!$B$297),0,'19_Расчет_аналитики'!BJ2467*IF('01_Вводные'!$B$239="Да",MeanMinAge08+'19_Расчет_аналитики'!BJ2583*SUMIF(ThresholdAge08,"&lt;"&amp;'19_Расчет_аналитики'!BJ2583,WeightedRevAge08)-SUMIF(ThresholdAge08,"&lt;"&amp;'19_Расчет_аналитики'!BJ2583,WeightedMinAge08),MAX(CapacityAge08*'01_Вводные'!$B$218*'19_Расчет_аналитики'!BJ2583,MeanMinAge08)))</f>
        <v/>
      </c>
      <c r="BK2495">
        <f>IF(OR('19_Расчет_аналитики'!BK2467=0,8&lt;='01_Вводные'!$B$297),0,'19_Расчет_аналитики'!BK2467*IF('01_Вводные'!$B$239="Да",MeanMinAge08+'19_Расчет_аналитики'!BK2583*SUMIF(ThresholdAge08,"&lt;"&amp;'19_Расчет_аналитики'!BK2583,WeightedRevAge08)-SUMIF(ThresholdAge08,"&lt;"&amp;'19_Расчет_аналитики'!BK2583,WeightedMinAge08),MAX(CapacityAge08*'01_Вводные'!$B$218*'19_Расчет_аналитики'!BK2583,MeanMinAge08)))</f>
        <v/>
      </c>
      <c r="BL2495">
        <f>IF(OR('19_Расчет_аналитики'!BL2467=0,8&lt;='01_Вводные'!$B$297),0,'19_Расчет_аналитики'!BL2467*IF('01_Вводные'!$B$239="Да",MeanMinAge08+'19_Расчет_аналитики'!BL2583*SUMIF(ThresholdAge08,"&lt;"&amp;'19_Расчет_аналитики'!BL2583,WeightedRevAge08)-SUMIF(ThresholdAge08,"&lt;"&amp;'19_Расчет_аналитики'!BL2583,WeightedMinAge08),MAX(CapacityAge08*'01_Вводные'!$B$218*'19_Расчет_аналитики'!BL2583,MeanMinAge08)))</f>
        <v/>
      </c>
      <c r="BM2495">
        <f>IF(OR('19_Расчет_аналитики'!BM2467=0,8&lt;='01_Вводные'!$B$297),0,'19_Расчет_аналитики'!BM2467*IF('01_Вводные'!$B$239="Да",MeanMinAge08+'19_Расчет_аналитики'!BM2583*SUMIF(ThresholdAge08,"&lt;"&amp;'19_Расчет_аналитики'!BM2583,WeightedRevAge08)-SUMIF(ThresholdAge08,"&lt;"&amp;'19_Расчет_аналитики'!BM2583,WeightedMinAge08),MAX(CapacityAge08*'01_Вводные'!$B$218*'19_Расчет_аналитики'!BM2583,MeanMinAge08)))</f>
        <v/>
      </c>
      <c r="BN2495">
        <f>IF(OR('19_Расчет_аналитики'!BN2467=0,8&lt;='01_Вводные'!$B$297),0,'19_Расчет_аналитики'!BN2467*IF('01_Вводные'!$B$239="Да",MeanMinAge08+'19_Расчет_аналитики'!BN2583*SUMIF(ThresholdAge08,"&lt;"&amp;'19_Расчет_аналитики'!BN2583,WeightedRevAge08)-SUMIF(ThresholdAge08,"&lt;"&amp;'19_Расчет_аналитики'!BN2583,WeightedMinAge08),MAX(CapacityAge08*'01_Вводные'!$B$218*'19_Расчет_аналитики'!BN2583,MeanMinAge08)))</f>
        <v/>
      </c>
      <c r="BO2495">
        <f>IF(OR('19_Расчет_аналитики'!BO2467=0,8&lt;='01_Вводные'!$B$297),0,'19_Расчет_аналитики'!BO2467*IF('01_Вводные'!$B$239="Да",MeanMinAge08+'19_Расчет_аналитики'!BO2583*SUMIF(ThresholdAge08,"&lt;"&amp;'19_Расчет_аналитики'!BO2583,WeightedRevAge08)-SUMIF(ThresholdAge08,"&lt;"&amp;'19_Расчет_аналитики'!BO2583,WeightedMinAge08),MAX(CapacityAge08*'01_Вводные'!$B$218*'19_Расчет_аналитики'!BO2583,MeanMinAge08)))</f>
        <v/>
      </c>
    </row>
    <row r="2496">
      <c r="B2496">
        <f>IF(OR('06_Сеть_и_дети'!B89=0,9&lt;='01_Вводные'!$B$297),0,'06_Сеть_и_дети'!B89*IF('01_Вводные'!$B$239="Да",MeanMinAge09+'19_Расчет_аналитики'!B2583*SUMIF(ThresholdAge09,"&lt;"&amp;'19_Расчет_аналитики'!B2583,WeightedRevAge09)-SUMIF(ThresholdAge09,"&lt;"&amp;'19_Расчет_аналитики'!B2583,WeightedMinAge09),MAX(CapacityAge09*'01_Вводные'!$B$218*'19_Расчет_аналитики'!B2583,MeanMinAge09)))</f>
        <v/>
      </c>
      <c r="C2496">
        <f>IF(OR('06_Сеть_и_дети'!C89=0,9&lt;='01_Вводные'!$B$297),0,'06_Сеть_и_дети'!C89*IF('01_Вводные'!$B$239="Да",MeanMinAge09+'19_Расчет_аналитики'!C2583*SUMIF(ThresholdAge09,"&lt;"&amp;'19_Расчет_аналитики'!C2583,WeightedRevAge09)-SUMIF(ThresholdAge09,"&lt;"&amp;'19_Расчет_аналитики'!C2583,WeightedMinAge09),MAX(CapacityAge09*'01_Вводные'!$B$218*'19_Расчет_аналитики'!C2583,MeanMinAge09)))</f>
        <v/>
      </c>
      <c r="D2496">
        <f>IF(OR('06_Сеть_и_дети'!D89=0,9&lt;='01_Вводные'!$B$297),0,'06_Сеть_и_дети'!D89*IF('01_Вводные'!$B$239="Да",MeanMinAge09+'19_Расчет_аналитики'!D2583*SUMIF(ThresholdAge09,"&lt;"&amp;'19_Расчет_аналитики'!D2583,WeightedRevAge09)-SUMIF(ThresholdAge09,"&lt;"&amp;'19_Расчет_аналитики'!D2583,WeightedMinAge09),MAX(CapacityAge09*'01_Вводные'!$B$218*'19_Расчет_аналитики'!D2583,MeanMinAge09)))</f>
        <v/>
      </c>
      <c r="E2496">
        <f>IF(OR('06_Сеть_и_дети'!E89=0,9&lt;='01_Вводные'!$B$297),0,'06_Сеть_и_дети'!E89*IF('01_Вводные'!$B$239="Да",MeanMinAge09+'19_Расчет_аналитики'!E2583*SUMIF(ThresholdAge09,"&lt;"&amp;'19_Расчет_аналитики'!E2583,WeightedRevAge09)-SUMIF(ThresholdAge09,"&lt;"&amp;'19_Расчет_аналитики'!E2583,WeightedMinAge09),MAX(CapacityAge09*'01_Вводные'!$B$218*'19_Расчет_аналитики'!E2583,MeanMinAge09)))</f>
        <v/>
      </c>
      <c r="F2496">
        <f>IF(OR('06_Сеть_и_дети'!F89=0,9&lt;='01_Вводные'!$B$297),0,'06_Сеть_и_дети'!F89*IF('01_Вводные'!$B$239="Да",MeanMinAge09+'19_Расчет_аналитики'!F2583*SUMIF(ThresholdAge09,"&lt;"&amp;'19_Расчет_аналитики'!F2583,WeightedRevAge09)-SUMIF(ThresholdAge09,"&lt;"&amp;'19_Расчет_аналитики'!F2583,WeightedMinAge09),MAX(CapacityAge09*'01_Вводные'!$B$218*'19_Расчет_аналитики'!F2583,MeanMinAge09)))</f>
        <v/>
      </c>
      <c r="G2496">
        <f>IF(OR('06_Сеть_и_дети'!G89=0,9&lt;='01_Вводные'!$B$297),0,'06_Сеть_и_дети'!G89*IF('01_Вводные'!$B$239="Да",MeanMinAge09+'19_Расчет_аналитики'!G2583*SUMIF(ThresholdAge09,"&lt;"&amp;'19_Расчет_аналитики'!G2583,WeightedRevAge09)-SUMIF(ThresholdAge09,"&lt;"&amp;'19_Расчет_аналитики'!G2583,WeightedMinAge09),MAX(CapacityAge09*'01_Вводные'!$B$218*'19_Расчет_аналитики'!G2583,MeanMinAge09)))</f>
        <v/>
      </c>
      <c r="H2496">
        <f>IF(OR('06_Сеть_и_дети'!H89=0,9&lt;='01_Вводные'!$B$297),0,'06_Сеть_и_дети'!H89*IF('01_Вводные'!$B$239="Да",MeanMinAge09+'19_Расчет_аналитики'!H2583*SUMIF(ThresholdAge09,"&lt;"&amp;'19_Расчет_аналитики'!H2583,WeightedRevAge09)-SUMIF(ThresholdAge09,"&lt;"&amp;'19_Расчет_аналитики'!H2583,WeightedMinAge09),MAX(CapacityAge09*'01_Вводные'!$B$218*'19_Расчет_аналитики'!H2583,MeanMinAge09)))</f>
        <v/>
      </c>
      <c r="I2496">
        <f>IF(OR('06_Сеть_и_дети'!I89=0,9&lt;='01_Вводные'!$B$297),0,'06_Сеть_и_дети'!I89*IF('01_Вводные'!$B$239="Да",MeanMinAge09+'19_Расчет_аналитики'!I2583*SUMIF(ThresholdAge09,"&lt;"&amp;'19_Расчет_аналитики'!I2583,WeightedRevAge09)-SUMIF(ThresholdAge09,"&lt;"&amp;'19_Расчет_аналитики'!I2583,WeightedMinAge09),MAX(CapacityAge09*'01_Вводные'!$B$218*'19_Расчет_аналитики'!I2583,MeanMinAge09)))</f>
        <v/>
      </c>
      <c r="J2496">
        <f>IF(OR('19_Расчет_аналитики'!J2468=0,9&lt;='01_Вводные'!$B$297),0,'19_Расчет_аналитики'!J2468*IF('01_Вводные'!$B$239="Да",MeanMinAge09+'19_Расчет_аналитики'!J2583*SUMIF(ThresholdAge09,"&lt;"&amp;'19_Расчет_аналитики'!J2583,WeightedRevAge09)-SUMIF(ThresholdAge09,"&lt;"&amp;'19_Расчет_аналитики'!J2583,WeightedMinAge09),MAX(CapacityAge09*'01_Вводные'!$B$218*'19_Расчет_аналитики'!J2583,MeanMinAge09)))</f>
        <v/>
      </c>
      <c r="K2496">
        <f>IF(OR('19_Расчет_аналитики'!K2468=0,9&lt;='01_Вводные'!$B$297),0,'19_Расчет_аналитики'!K2468*IF('01_Вводные'!$B$239="Да",MeanMinAge09+'19_Расчет_аналитики'!K2583*SUMIF(ThresholdAge09,"&lt;"&amp;'19_Расчет_аналитики'!K2583,WeightedRevAge09)-SUMIF(ThresholdAge09,"&lt;"&amp;'19_Расчет_аналитики'!K2583,WeightedMinAge09),MAX(CapacityAge09*'01_Вводные'!$B$218*'19_Расчет_аналитики'!K2583,MeanMinAge09)))</f>
        <v/>
      </c>
      <c r="L2496">
        <f>IF(OR('19_Расчет_аналитики'!L2468=0,9&lt;='01_Вводные'!$B$297),0,'19_Расчет_аналитики'!L2468*IF('01_Вводные'!$B$239="Да",MeanMinAge09+'19_Расчет_аналитики'!L2583*SUMIF(ThresholdAge09,"&lt;"&amp;'19_Расчет_аналитики'!L2583,WeightedRevAge09)-SUMIF(ThresholdAge09,"&lt;"&amp;'19_Расчет_аналитики'!L2583,WeightedMinAge09),MAX(CapacityAge09*'01_Вводные'!$B$218*'19_Расчет_аналитики'!L2583,MeanMinAge09)))</f>
        <v/>
      </c>
      <c r="M2496">
        <f>IF(OR('19_Расчет_аналитики'!M2468=0,9&lt;='01_Вводные'!$B$297),0,'19_Расчет_аналитики'!M2468*IF('01_Вводные'!$B$239="Да",MeanMinAge09+'19_Расчет_аналитики'!M2583*SUMIF(ThresholdAge09,"&lt;"&amp;'19_Расчет_аналитики'!M2583,WeightedRevAge09)-SUMIF(ThresholdAge09,"&lt;"&amp;'19_Расчет_аналитики'!M2583,WeightedMinAge09),MAX(CapacityAge09*'01_Вводные'!$B$218*'19_Расчет_аналитики'!M2583,MeanMinAge09)))</f>
        <v/>
      </c>
      <c r="N2496">
        <f>IF(OR('19_Расчет_аналитики'!N2468=0,9&lt;='01_Вводные'!$B$297),0,'19_Расчет_аналитики'!N2468*IF('01_Вводные'!$B$239="Да",MeanMinAge09+'19_Расчет_аналитики'!N2583*SUMIF(ThresholdAge09,"&lt;"&amp;'19_Расчет_аналитики'!N2583,WeightedRevAge09)-SUMIF(ThresholdAge09,"&lt;"&amp;'19_Расчет_аналитики'!N2583,WeightedMinAge09),MAX(CapacityAge09*'01_Вводные'!$B$218*'19_Расчет_аналитики'!N2583,MeanMinAge09)))</f>
        <v/>
      </c>
      <c r="O2496">
        <f>IF(OR('19_Расчет_аналитики'!O2468=0,9&lt;='01_Вводные'!$B$297),0,'19_Расчет_аналитики'!O2468*IF('01_Вводные'!$B$239="Да",MeanMinAge09+'19_Расчет_аналитики'!O2583*SUMIF(ThresholdAge09,"&lt;"&amp;'19_Расчет_аналитики'!O2583,WeightedRevAge09)-SUMIF(ThresholdAge09,"&lt;"&amp;'19_Расчет_аналитики'!O2583,WeightedMinAge09),MAX(CapacityAge09*'01_Вводные'!$B$218*'19_Расчет_аналитики'!O2583,MeanMinAge09)))</f>
        <v/>
      </c>
      <c r="P2496">
        <f>IF(OR('19_Расчет_аналитики'!P2468=0,9&lt;='01_Вводные'!$B$297),0,'19_Расчет_аналитики'!P2468*IF('01_Вводные'!$B$239="Да",MeanMinAge09+'19_Расчет_аналитики'!P2583*SUMIF(ThresholdAge09,"&lt;"&amp;'19_Расчет_аналитики'!P2583,WeightedRevAge09)-SUMIF(ThresholdAge09,"&lt;"&amp;'19_Расчет_аналитики'!P2583,WeightedMinAge09),MAX(CapacityAge09*'01_Вводные'!$B$218*'19_Расчет_аналитики'!P2583,MeanMinAge09)))</f>
        <v/>
      </c>
      <c r="Q2496">
        <f>IF(OR('19_Расчет_аналитики'!Q2468=0,9&lt;='01_Вводные'!$B$297),0,'19_Расчет_аналитики'!Q2468*IF('01_Вводные'!$B$239="Да",MeanMinAge09+'19_Расчет_аналитики'!Q2583*SUMIF(ThresholdAge09,"&lt;"&amp;'19_Расчет_аналитики'!Q2583,WeightedRevAge09)-SUMIF(ThresholdAge09,"&lt;"&amp;'19_Расчет_аналитики'!Q2583,WeightedMinAge09),MAX(CapacityAge09*'01_Вводные'!$B$218*'19_Расчет_аналитики'!Q2583,MeanMinAge09)))</f>
        <v/>
      </c>
      <c r="R2496">
        <f>IF(OR('19_Расчет_аналитики'!R2468=0,9&lt;='01_Вводные'!$B$297),0,'19_Расчет_аналитики'!R2468*IF('01_Вводные'!$B$239="Да",MeanMinAge09+'19_Расчет_аналитики'!R2583*SUMIF(ThresholdAge09,"&lt;"&amp;'19_Расчет_аналитики'!R2583,WeightedRevAge09)-SUMIF(ThresholdAge09,"&lt;"&amp;'19_Расчет_аналитики'!R2583,WeightedMinAge09),MAX(CapacityAge09*'01_Вводные'!$B$218*'19_Расчет_аналитики'!R2583,MeanMinAge09)))</f>
        <v/>
      </c>
      <c r="S2496">
        <f>IF(OR('19_Расчет_аналитики'!S2468=0,9&lt;='01_Вводные'!$B$297),0,'19_Расчет_аналитики'!S2468*IF('01_Вводные'!$B$239="Да",MeanMinAge09+'19_Расчет_аналитики'!S2583*SUMIF(ThresholdAge09,"&lt;"&amp;'19_Расчет_аналитики'!S2583,WeightedRevAge09)-SUMIF(ThresholdAge09,"&lt;"&amp;'19_Расчет_аналитики'!S2583,WeightedMinAge09),MAX(CapacityAge09*'01_Вводные'!$B$218*'19_Расчет_аналитики'!S2583,MeanMinAge09)))</f>
        <v/>
      </c>
      <c r="T2496">
        <f>IF(OR('19_Расчет_аналитики'!T2468=0,9&lt;='01_Вводные'!$B$297),0,'19_Расчет_аналитики'!T2468*IF('01_Вводные'!$B$239="Да",MeanMinAge09+'19_Расчет_аналитики'!T2583*SUMIF(ThresholdAge09,"&lt;"&amp;'19_Расчет_аналитики'!T2583,WeightedRevAge09)-SUMIF(ThresholdAge09,"&lt;"&amp;'19_Расчет_аналитики'!T2583,WeightedMinAge09),MAX(CapacityAge09*'01_Вводные'!$B$218*'19_Расчет_аналитики'!T2583,MeanMinAge09)))</f>
        <v/>
      </c>
      <c r="U2496">
        <f>IF(OR('19_Расчет_аналитики'!U2468=0,9&lt;='01_Вводные'!$B$297),0,'19_Расчет_аналитики'!U2468*IF('01_Вводные'!$B$239="Да",MeanMinAge09+'19_Расчет_аналитики'!U2583*SUMIF(ThresholdAge09,"&lt;"&amp;'19_Расчет_аналитики'!U2583,WeightedRevAge09)-SUMIF(ThresholdAge09,"&lt;"&amp;'19_Расчет_аналитики'!U2583,WeightedMinAge09),MAX(CapacityAge09*'01_Вводные'!$B$218*'19_Расчет_аналитики'!U2583,MeanMinAge09)))</f>
        <v/>
      </c>
      <c r="V2496">
        <f>IF(OR('19_Расчет_аналитики'!V2468=0,9&lt;='01_Вводные'!$B$297),0,'19_Расчет_аналитики'!V2468*IF('01_Вводные'!$B$239="Да",MeanMinAge09+'19_Расчет_аналитики'!V2583*SUMIF(ThresholdAge09,"&lt;"&amp;'19_Расчет_аналитики'!V2583,WeightedRevAge09)-SUMIF(ThresholdAge09,"&lt;"&amp;'19_Расчет_аналитики'!V2583,WeightedMinAge09),MAX(CapacityAge09*'01_Вводные'!$B$218*'19_Расчет_аналитики'!V2583,MeanMinAge09)))</f>
        <v/>
      </c>
      <c r="W2496">
        <f>IF(OR('19_Расчет_аналитики'!W2468=0,9&lt;='01_Вводные'!$B$297),0,'19_Расчет_аналитики'!W2468*IF('01_Вводные'!$B$239="Да",MeanMinAge09+'19_Расчет_аналитики'!W2583*SUMIF(ThresholdAge09,"&lt;"&amp;'19_Расчет_аналитики'!W2583,WeightedRevAge09)-SUMIF(ThresholdAge09,"&lt;"&amp;'19_Расчет_аналитики'!W2583,WeightedMinAge09),MAX(CapacityAge09*'01_Вводные'!$B$218*'19_Расчет_аналитики'!W2583,MeanMinAge09)))</f>
        <v/>
      </c>
      <c r="X2496">
        <f>IF(OR('19_Расчет_аналитики'!X2468=0,9&lt;='01_Вводные'!$B$297),0,'19_Расчет_аналитики'!X2468*IF('01_Вводные'!$B$239="Да",MeanMinAge09+'19_Расчет_аналитики'!X2583*SUMIF(ThresholdAge09,"&lt;"&amp;'19_Расчет_аналитики'!X2583,WeightedRevAge09)-SUMIF(ThresholdAge09,"&lt;"&amp;'19_Расчет_аналитики'!X2583,WeightedMinAge09),MAX(CapacityAge09*'01_Вводные'!$B$218*'19_Расчет_аналитики'!X2583,MeanMinAge09)))</f>
        <v/>
      </c>
      <c r="Y2496">
        <f>IF(OR('19_Расчет_аналитики'!Y2468=0,9&lt;='01_Вводные'!$B$297),0,'19_Расчет_аналитики'!Y2468*IF('01_Вводные'!$B$239="Да",MeanMinAge09+'19_Расчет_аналитики'!Y2583*SUMIF(ThresholdAge09,"&lt;"&amp;'19_Расчет_аналитики'!Y2583,WeightedRevAge09)-SUMIF(ThresholdAge09,"&lt;"&amp;'19_Расчет_аналитики'!Y2583,WeightedMinAge09),MAX(CapacityAge09*'01_Вводные'!$B$218*'19_Расчет_аналитики'!Y2583,MeanMinAge09)))</f>
        <v/>
      </c>
      <c r="Z2496">
        <f>IF(OR('19_Расчет_аналитики'!Z2468=0,9&lt;='01_Вводные'!$B$297),0,'19_Расчет_аналитики'!Z2468*IF('01_Вводные'!$B$239="Да",MeanMinAge09+'19_Расчет_аналитики'!Z2583*SUMIF(ThresholdAge09,"&lt;"&amp;'19_Расчет_аналитики'!Z2583,WeightedRevAge09)-SUMIF(ThresholdAge09,"&lt;"&amp;'19_Расчет_аналитики'!Z2583,WeightedMinAge09),MAX(CapacityAge09*'01_Вводные'!$B$218*'19_Расчет_аналитики'!Z2583,MeanMinAge09)))</f>
        <v/>
      </c>
      <c r="AA2496">
        <f>IF(OR('19_Расчет_аналитики'!AA2468=0,9&lt;='01_Вводные'!$B$297),0,'19_Расчет_аналитики'!AA2468*IF('01_Вводные'!$B$239="Да",MeanMinAge09+'19_Расчет_аналитики'!AA2583*SUMIF(ThresholdAge09,"&lt;"&amp;'19_Расчет_аналитики'!AA2583,WeightedRevAge09)-SUMIF(ThresholdAge09,"&lt;"&amp;'19_Расчет_аналитики'!AA2583,WeightedMinAge09),MAX(CapacityAge09*'01_Вводные'!$B$218*'19_Расчет_аналитики'!AA2583,MeanMinAge09)))</f>
        <v/>
      </c>
      <c r="AB2496">
        <f>IF(OR('19_Расчет_аналитики'!AB2468=0,9&lt;='01_Вводные'!$B$297),0,'19_Расчет_аналитики'!AB2468*IF('01_Вводные'!$B$239="Да",MeanMinAge09+'19_Расчет_аналитики'!AB2583*SUMIF(ThresholdAge09,"&lt;"&amp;'19_Расчет_аналитики'!AB2583,WeightedRevAge09)-SUMIF(ThresholdAge09,"&lt;"&amp;'19_Расчет_аналитики'!AB2583,WeightedMinAge09),MAX(CapacityAge09*'01_Вводные'!$B$218*'19_Расчет_аналитики'!AB2583,MeanMinAge09)))</f>
        <v/>
      </c>
      <c r="AC2496">
        <f>IF(OR('19_Расчет_аналитики'!AC2468=0,9&lt;='01_Вводные'!$B$297),0,'19_Расчет_аналитики'!AC2468*IF('01_Вводные'!$B$239="Да",MeanMinAge09+'19_Расчет_аналитики'!AC2583*SUMIF(ThresholdAge09,"&lt;"&amp;'19_Расчет_аналитики'!AC2583,WeightedRevAge09)-SUMIF(ThresholdAge09,"&lt;"&amp;'19_Расчет_аналитики'!AC2583,WeightedMinAge09),MAX(CapacityAge09*'01_Вводные'!$B$218*'19_Расчет_аналитики'!AC2583,MeanMinAge09)))</f>
        <v/>
      </c>
      <c r="AD2496">
        <f>IF(OR('19_Расчет_аналитики'!AD2468=0,9&lt;='01_Вводные'!$B$297),0,'19_Расчет_аналитики'!AD2468*IF('01_Вводные'!$B$239="Да",MeanMinAge09+'19_Расчет_аналитики'!AD2583*SUMIF(ThresholdAge09,"&lt;"&amp;'19_Расчет_аналитики'!AD2583,WeightedRevAge09)-SUMIF(ThresholdAge09,"&lt;"&amp;'19_Расчет_аналитики'!AD2583,WeightedMinAge09),MAX(CapacityAge09*'01_Вводные'!$B$218*'19_Расчет_аналитики'!AD2583,MeanMinAge09)))</f>
        <v/>
      </c>
      <c r="AE2496">
        <f>IF(OR('19_Расчет_аналитики'!AE2468=0,9&lt;='01_Вводные'!$B$297),0,'19_Расчет_аналитики'!AE2468*IF('01_Вводные'!$B$239="Да",MeanMinAge09+'19_Расчет_аналитики'!AE2583*SUMIF(ThresholdAge09,"&lt;"&amp;'19_Расчет_аналитики'!AE2583,WeightedRevAge09)-SUMIF(ThresholdAge09,"&lt;"&amp;'19_Расчет_аналитики'!AE2583,WeightedMinAge09),MAX(CapacityAge09*'01_Вводные'!$B$218*'19_Расчет_аналитики'!AE2583,MeanMinAge09)))</f>
        <v/>
      </c>
      <c r="AF2496">
        <f>IF(OR('19_Расчет_аналитики'!AF2468=0,9&lt;='01_Вводные'!$B$297),0,'19_Расчет_аналитики'!AF2468*IF('01_Вводные'!$B$239="Да",MeanMinAge09+'19_Расчет_аналитики'!AF2583*SUMIF(ThresholdAge09,"&lt;"&amp;'19_Расчет_аналитики'!AF2583,WeightedRevAge09)-SUMIF(ThresholdAge09,"&lt;"&amp;'19_Расчет_аналитики'!AF2583,WeightedMinAge09),MAX(CapacityAge09*'01_Вводные'!$B$218*'19_Расчет_аналитики'!AF2583,MeanMinAge09)))</f>
        <v/>
      </c>
      <c r="AG2496">
        <f>IF(OR('19_Расчет_аналитики'!AG2468=0,9&lt;='01_Вводные'!$B$297),0,'19_Расчет_аналитики'!AG2468*IF('01_Вводные'!$B$239="Да",MeanMinAge09+'19_Расчет_аналитики'!AG2583*SUMIF(ThresholdAge09,"&lt;"&amp;'19_Расчет_аналитики'!AG2583,WeightedRevAge09)-SUMIF(ThresholdAge09,"&lt;"&amp;'19_Расчет_аналитики'!AG2583,WeightedMinAge09),MAX(CapacityAge09*'01_Вводные'!$B$218*'19_Расчет_аналитики'!AG2583,MeanMinAge09)))</f>
        <v/>
      </c>
      <c r="AH2496">
        <f>IF(OR('19_Расчет_аналитики'!AH2468=0,9&lt;='01_Вводные'!$B$297),0,'19_Расчет_аналитики'!AH2468*IF('01_Вводные'!$B$239="Да",MeanMinAge09+'19_Расчет_аналитики'!AH2583*SUMIF(ThresholdAge09,"&lt;"&amp;'19_Расчет_аналитики'!AH2583,WeightedRevAge09)-SUMIF(ThresholdAge09,"&lt;"&amp;'19_Расчет_аналитики'!AH2583,WeightedMinAge09),MAX(CapacityAge09*'01_Вводные'!$B$218*'19_Расчет_аналитики'!AH2583,MeanMinAge09)))</f>
        <v/>
      </c>
      <c r="AI2496">
        <f>IF(OR('19_Расчет_аналитики'!AI2468=0,9&lt;='01_Вводные'!$B$297),0,'19_Расчет_аналитики'!AI2468*IF('01_Вводные'!$B$239="Да",MeanMinAge09+'19_Расчет_аналитики'!AI2583*SUMIF(ThresholdAge09,"&lt;"&amp;'19_Расчет_аналитики'!AI2583,WeightedRevAge09)-SUMIF(ThresholdAge09,"&lt;"&amp;'19_Расчет_аналитики'!AI2583,WeightedMinAge09),MAX(CapacityAge09*'01_Вводные'!$B$218*'19_Расчет_аналитики'!AI2583,MeanMinAge09)))</f>
        <v/>
      </c>
      <c r="AJ2496">
        <f>IF(OR('19_Расчет_аналитики'!AJ2468=0,9&lt;='01_Вводные'!$B$297),0,'19_Расчет_аналитики'!AJ2468*IF('01_Вводные'!$B$239="Да",MeanMinAge09+'19_Расчет_аналитики'!AJ2583*SUMIF(ThresholdAge09,"&lt;"&amp;'19_Расчет_аналитики'!AJ2583,WeightedRevAge09)-SUMIF(ThresholdAge09,"&lt;"&amp;'19_Расчет_аналитики'!AJ2583,WeightedMinAge09),MAX(CapacityAge09*'01_Вводные'!$B$218*'19_Расчет_аналитики'!AJ2583,MeanMinAge09)))</f>
        <v/>
      </c>
      <c r="AK2496">
        <f>IF(OR('19_Расчет_аналитики'!AK2468=0,9&lt;='01_Вводные'!$B$297),0,'19_Расчет_аналитики'!AK2468*IF('01_Вводные'!$B$239="Да",MeanMinAge09+'19_Расчет_аналитики'!AK2583*SUMIF(ThresholdAge09,"&lt;"&amp;'19_Расчет_аналитики'!AK2583,WeightedRevAge09)-SUMIF(ThresholdAge09,"&lt;"&amp;'19_Расчет_аналитики'!AK2583,WeightedMinAge09),MAX(CapacityAge09*'01_Вводные'!$B$218*'19_Расчет_аналитики'!AK2583,MeanMinAge09)))</f>
        <v/>
      </c>
      <c r="AL2496">
        <f>IF(OR('19_Расчет_аналитики'!AL2468=0,9&lt;='01_Вводные'!$B$297),0,'19_Расчет_аналитики'!AL2468*IF('01_Вводные'!$B$239="Да",MeanMinAge09+'19_Расчет_аналитики'!AL2583*SUMIF(ThresholdAge09,"&lt;"&amp;'19_Расчет_аналитики'!AL2583,WeightedRevAge09)-SUMIF(ThresholdAge09,"&lt;"&amp;'19_Расчет_аналитики'!AL2583,WeightedMinAge09),MAX(CapacityAge09*'01_Вводные'!$B$218*'19_Расчет_аналитики'!AL2583,MeanMinAge09)))</f>
        <v/>
      </c>
      <c r="AM2496">
        <f>IF(OR('19_Расчет_аналитики'!AM2468=0,9&lt;='01_Вводные'!$B$297),0,'19_Расчет_аналитики'!AM2468*IF('01_Вводные'!$B$239="Да",MeanMinAge09+'19_Расчет_аналитики'!AM2583*SUMIF(ThresholdAge09,"&lt;"&amp;'19_Расчет_аналитики'!AM2583,WeightedRevAge09)-SUMIF(ThresholdAge09,"&lt;"&amp;'19_Расчет_аналитики'!AM2583,WeightedMinAge09),MAX(CapacityAge09*'01_Вводные'!$B$218*'19_Расчет_аналитики'!AM2583,MeanMinAge09)))</f>
        <v/>
      </c>
      <c r="AN2496">
        <f>IF(OR('19_Расчет_аналитики'!AN2468=0,9&lt;='01_Вводные'!$B$297),0,'19_Расчет_аналитики'!AN2468*IF('01_Вводные'!$B$239="Да",MeanMinAge09+'19_Расчет_аналитики'!AN2583*SUMIF(ThresholdAge09,"&lt;"&amp;'19_Расчет_аналитики'!AN2583,WeightedRevAge09)-SUMIF(ThresholdAge09,"&lt;"&amp;'19_Расчет_аналитики'!AN2583,WeightedMinAge09),MAX(CapacityAge09*'01_Вводные'!$B$218*'19_Расчет_аналитики'!AN2583,MeanMinAge09)))</f>
        <v/>
      </c>
      <c r="AO2496">
        <f>IF(OR('19_Расчет_аналитики'!AO2468=0,9&lt;='01_Вводные'!$B$297),0,'19_Расчет_аналитики'!AO2468*IF('01_Вводные'!$B$239="Да",MeanMinAge09+'19_Расчет_аналитики'!AO2583*SUMIF(ThresholdAge09,"&lt;"&amp;'19_Расчет_аналитики'!AO2583,WeightedRevAge09)-SUMIF(ThresholdAge09,"&lt;"&amp;'19_Расчет_аналитики'!AO2583,WeightedMinAge09),MAX(CapacityAge09*'01_Вводные'!$B$218*'19_Расчет_аналитики'!AO2583,MeanMinAge09)))</f>
        <v/>
      </c>
      <c r="AP2496">
        <f>IF(OR('19_Расчет_аналитики'!AP2468=0,9&lt;='01_Вводные'!$B$297),0,'19_Расчет_аналитики'!AP2468*IF('01_Вводные'!$B$239="Да",MeanMinAge09+'19_Расчет_аналитики'!AP2583*SUMIF(ThresholdAge09,"&lt;"&amp;'19_Расчет_аналитики'!AP2583,WeightedRevAge09)-SUMIF(ThresholdAge09,"&lt;"&amp;'19_Расчет_аналитики'!AP2583,WeightedMinAge09),MAX(CapacityAge09*'01_Вводные'!$B$218*'19_Расчет_аналитики'!AP2583,MeanMinAge09)))</f>
        <v/>
      </c>
      <c r="AQ2496">
        <f>IF(OR('19_Расчет_аналитики'!AQ2468=0,9&lt;='01_Вводные'!$B$297),0,'19_Расчет_аналитики'!AQ2468*IF('01_Вводные'!$B$239="Да",MeanMinAge09+'19_Расчет_аналитики'!AQ2583*SUMIF(ThresholdAge09,"&lt;"&amp;'19_Расчет_аналитики'!AQ2583,WeightedRevAge09)-SUMIF(ThresholdAge09,"&lt;"&amp;'19_Расчет_аналитики'!AQ2583,WeightedMinAge09),MAX(CapacityAge09*'01_Вводные'!$B$218*'19_Расчет_аналитики'!AQ2583,MeanMinAge09)))</f>
        <v/>
      </c>
      <c r="AR2496">
        <f>IF(OR('19_Расчет_аналитики'!AR2468=0,9&lt;='01_Вводные'!$B$297),0,'19_Расчет_аналитики'!AR2468*IF('01_Вводные'!$B$239="Да",MeanMinAge09+'19_Расчет_аналитики'!AR2583*SUMIF(ThresholdAge09,"&lt;"&amp;'19_Расчет_аналитики'!AR2583,WeightedRevAge09)-SUMIF(ThresholdAge09,"&lt;"&amp;'19_Расчет_аналитики'!AR2583,WeightedMinAge09),MAX(CapacityAge09*'01_Вводные'!$B$218*'19_Расчет_аналитики'!AR2583,MeanMinAge09)))</f>
        <v/>
      </c>
      <c r="AS2496">
        <f>IF(OR('19_Расчет_аналитики'!AS2468=0,9&lt;='01_Вводные'!$B$297),0,'19_Расчет_аналитики'!AS2468*IF('01_Вводные'!$B$239="Да",MeanMinAge09+'19_Расчет_аналитики'!AS2583*SUMIF(ThresholdAge09,"&lt;"&amp;'19_Расчет_аналитики'!AS2583,WeightedRevAge09)-SUMIF(ThresholdAge09,"&lt;"&amp;'19_Расчет_аналитики'!AS2583,WeightedMinAge09),MAX(CapacityAge09*'01_Вводные'!$B$218*'19_Расчет_аналитики'!AS2583,MeanMinAge09)))</f>
        <v/>
      </c>
      <c r="AT2496">
        <f>IF(OR('19_Расчет_аналитики'!AT2468=0,9&lt;='01_Вводные'!$B$297),0,'19_Расчет_аналитики'!AT2468*IF('01_Вводные'!$B$239="Да",MeanMinAge09+'19_Расчет_аналитики'!AT2583*SUMIF(ThresholdAge09,"&lt;"&amp;'19_Расчет_аналитики'!AT2583,WeightedRevAge09)-SUMIF(ThresholdAge09,"&lt;"&amp;'19_Расчет_аналитики'!AT2583,WeightedMinAge09),MAX(CapacityAge09*'01_Вводные'!$B$218*'19_Расчет_аналитики'!AT2583,MeanMinAge09)))</f>
        <v/>
      </c>
      <c r="AU2496">
        <f>IF(OR('19_Расчет_аналитики'!AU2468=0,9&lt;='01_Вводные'!$B$297),0,'19_Расчет_аналитики'!AU2468*IF('01_Вводные'!$B$239="Да",MeanMinAge09+'19_Расчет_аналитики'!AU2583*SUMIF(ThresholdAge09,"&lt;"&amp;'19_Расчет_аналитики'!AU2583,WeightedRevAge09)-SUMIF(ThresholdAge09,"&lt;"&amp;'19_Расчет_аналитики'!AU2583,WeightedMinAge09),MAX(CapacityAge09*'01_Вводные'!$B$218*'19_Расчет_аналитики'!AU2583,MeanMinAge09)))</f>
        <v/>
      </c>
      <c r="AV2496">
        <f>IF(OR('19_Расчет_аналитики'!AV2468=0,9&lt;='01_Вводные'!$B$297),0,'19_Расчет_аналитики'!AV2468*IF('01_Вводные'!$B$239="Да",MeanMinAge09+'19_Расчет_аналитики'!AV2583*SUMIF(ThresholdAge09,"&lt;"&amp;'19_Расчет_аналитики'!AV2583,WeightedRevAge09)-SUMIF(ThresholdAge09,"&lt;"&amp;'19_Расчет_аналитики'!AV2583,WeightedMinAge09),MAX(CapacityAge09*'01_Вводные'!$B$218*'19_Расчет_аналитики'!AV2583,MeanMinAge09)))</f>
        <v/>
      </c>
      <c r="AW2496">
        <f>IF(OR('19_Расчет_аналитики'!AW2468=0,9&lt;='01_Вводные'!$B$297),0,'19_Расчет_аналитики'!AW2468*IF('01_Вводные'!$B$239="Да",MeanMinAge09+'19_Расчет_аналитики'!AW2583*SUMIF(ThresholdAge09,"&lt;"&amp;'19_Расчет_аналитики'!AW2583,WeightedRevAge09)-SUMIF(ThresholdAge09,"&lt;"&amp;'19_Расчет_аналитики'!AW2583,WeightedMinAge09),MAX(CapacityAge09*'01_Вводные'!$B$218*'19_Расчет_аналитики'!AW2583,MeanMinAge09)))</f>
        <v/>
      </c>
      <c r="AX2496">
        <f>IF(OR('19_Расчет_аналитики'!AX2468=0,9&lt;='01_Вводные'!$B$297),0,'19_Расчет_аналитики'!AX2468*IF('01_Вводные'!$B$239="Да",MeanMinAge09+'19_Расчет_аналитики'!AX2583*SUMIF(ThresholdAge09,"&lt;"&amp;'19_Расчет_аналитики'!AX2583,WeightedRevAge09)-SUMIF(ThresholdAge09,"&lt;"&amp;'19_Расчет_аналитики'!AX2583,WeightedMinAge09),MAX(CapacityAge09*'01_Вводные'!$B$218*'19_Расчет_аналитики'!AX2583,MeanMinAge09)))</f>
        <v/>
      </c>
      <c r="AY2496">
        <f>IF(OR('19_Расчет_аналитики'!AY2468=0,9&lt;='01_Вводные'!$B$297),0,'19_Расчет_аналитики'!AY2468*IF('01_Вводные'!$B$239="Да",MeanMinAge09+'19_Расчет_аналитики'!AY2583*SUMIF(ThresholdAge09,"&lt;"&amp;'19_Расчет_аналитики'!AY2583,WeightedRevAge09)-SUMIF(ThresholdAge09,"&lt;"&amp;'19_Расчет_аналитики'!AY2583,WeightedMinAge09),MAX(CapacityAge09*'01_Вводные'!$B$218*'19_Расчет_аналитики'!AY2583,MeanMinAge09)))</f>
        <v/>
      </c>
      <c r="AZ2496">
        <f>IF(OR('19_Расчет_аналитики'!AZ2468=0,9&lt;='01_Вводные'!$B$297),0,'19_Расчет_аналитики'!AZ2468*IF('01_Вводные'!$B$239="Да",MeanMinAge09+'19_Расчет_аналитики'!AZ2583*SUMIF(ThresholdAge09,"&lt;"&amp;'19_Расчет_аналитики'!AZ2583,WeightedRevAge09)-SUMIF(ThresholdAge09,"&lt;"&amp;'19_Расчет_аналитики'!AZ2583,WeightedMinAge09),MAX(CapacityAge09*'01_Вводные'!$B$218*'19_Расчет_аналитики'!AZ2583,MeanMinAge09)))</f>
        <v/>
      </c>
      <c r="BA2496">
        <f>IF(OR('19_Расчет_аналитики'!BA2468=0,9&lt;='01_Вводные'!$B$297),0,'19_Расчет_аналитики'!BA2468*IF('01_Вводные'!$B$239="Да",MeanMinAge09+'19_Расчет_аналитики'!BA2583*SUMIF(ThresholdAge09,"&lt;"&amp;'19_Расчет_аналитики'!BA2583,WeightedRevAge09)-SUMIF(ThresholdAge09,"&lt;"&amp;'19_Расчет_аналитики'!BA2583,WeightedMinAge09),MAX(CapacityAge09*'01_Вводные'!$B$218*'19_Расчет_аналитики'!BA2583,MeanMinAge09)))</f>
        <v/>
      </c>
      <c r="BB2496">
        <f>IF(OR('19_Расчет_аналитики'!BB2468=0,9&lt;='01_Вводные'!$B$297),0,'19_Расчет_аналитики'!BB2468*IF('01_Вводные'!$B$239="Да",MeanMinAge09+'19_Расчет_аналитики'!BB2583*SUMIF(ThresholdAge09,"&lt;"&amp;'19_Расчет_аналитики'!BB2583,WeightedRevAge09)-SUMIF(ThresholdAge09,"&lt;"&amp;'19_Расчет_аналитики'!BB2583,WeightedMinAge09),MAX(CapacityAge09*'01_Вводные'!$B$218*'19_Расчет_аналитики'!BB2583,MeanMinAge09)))</f>
        <v/>
      </c>
      <c r="BC2496">
        <f>IF(OR('19_Расчет_аналитики'!BC2468=0,9&lt;='01_Вводные'!$B$297),0,'19_Расчет_аналитики'!BC2468*IF('01_Вводные'!$B$239="Да",MeanMinAge09+'19_Расчет_аналитики'!BC2583*SUMIF(ThresholdAge09,"&lt;"&amp;'19_Расчет_аналитики'!BC2583,WeightedRevAge09)-SUMIF(ThresholdAge09,"&lt;"&amp;'19_Расчет_аналитики'!BC2583,WeightedMinAge09),MAX(CapacityAge09*'01_Вводные'!$B$218*'19_Расчет_аналитики'!BC2583,MeanMinAge09)))</f>
        <v/>
      </c>
      <c r="BD2496">
        <f>IF(OR('19_Расчет_аналитики'!BD2468=0,9&lt;='01_Вводные'!$B$297),0,'19_Расчет_аналитики'!BD2468*IF('01_Вводные'!$B$239="Да",MeanMinAge09+'19_Расчет_аналитики'!BD2583*SUMIF(ThresholdAge09,"&lt;"&amp;'19_Расчет_аналитики'!BD2583,WeightedRevAge09)-SUMIF(ThresholdAge09,"&lt;"&amp;'19_Расчет_аналитики'!BD2583,WeightedMinAge09),MAX(CapacityAge09*'01_Вводные'!$B$218*'19_Расчет_аналитики'!BD2583,MeanMinAge09)))</f>
        <v/>
      </c>
      <c r="BE2496">
        <f>IF(OR('19_Расчет_аналитики'!BE2468=0,9&lt;='01_Вводные'!$B$297),0,'19_Расчет_аналитики'!BE2468*IF('01_Вводные'!$B$239="Да",MeanMinAge09+'19_Расчет_аналитики'!BE2583*SUMIF(ThresholdAge09,"&lt;"&amp;'19_Расчет_аналитики'!BE2583,WeightedRevAge09)-SUMIF(ThresholdAge09,"&lt;"&amp;'19_Расчет_аналитики'!BE2583,WeightedMinAge09),MAX(CapacityAge09*'01_Вводные'!$B$218*'19_Расчет_аналитики'!BE2583,MeanMinAge09)))</f>
        <v/>
      </c>
      <c r="BF2496">
        <f>IF(OR('19_Расчет_аналитики'!BF2468=0,9&lt;='01_Вводные'!$B$297),0,'19_Расчет_аналитики'!BF2468*IF('01_Вводные'!$B$239="Да",MeanMinAge09+'19_Расчет_аналитики'!BF2583*SUMIF(ThresholdAge09,"&lt;"&amp;'19_Расчет_аналитики'!BF2583,WeightedRevAge09)-SUMIF(ThresholdAge09,"&lt;"&amp;'19_Расчет_аналитики'!BF2583,WeightedMinAge09),MAX(CapacityAge09*'01_Вводные'!$B$218*'19_Расчет_аналитики'!BF2583,MeanMinAge09)))</f>
        <v/>
      </c>
      <c r="BG2496">
        <f>IF(OR('19_Расчет_аналитики'!BG2468=0,9&lt;='01_Вводные'!$B$297),0,'19_Расчет_аналитики'!BG2468*IF('01_Вводные'!$B$239="Да",MeanMinAge09+'19_Расчет_аналитики'!BG2583*SUMIF(ThresholdAge09,"&lt;"&amp;'19_Расчет_аналитики'!BG2583,WeightedRevAge09)-SUMIF(ThresholdAge09,"&lt;"&amp;'19_Расчет_аналитики'!BG2583,WeightedMinAge09),MAX(CapacityAge09*'01_Вводные'!$B$218*'19_Расчет_аналитики'!BG2583,MeanMinAge09)))</f>
        <v/>
      </c>
      <c r="BH2496">
        <f>IF(OR('19_Расчет_аналитики'!BH2468=0,9&lt;='01_Вводные'!$B$297),0,'19_Расчет_аналитики'!BH2468*IF('01_Вводные'!$B$239="Да",MeanMinAge09+'19_Расчет_аналитики'!BH2583*SUMIF(ThresholdAge09,"&lt;"&amp;'19_Расчет_аналитики'!BH2583,WeightedRevAge09)-SUMIF(ThresholdAge09,"&lt;"&amp;'19_Расчет_аналитики'!BH2583,WeightedMinAge09),MAX(CapacityAge09*'01_Вводные'!$B$218*'19_Расчет_аналитики'!BH2583,MeanMinAge09)))</f>
        <v/>
      </c>
      <c r="BI2496">
        <f>IF(OR('19_Расчет_аналитики'!BI2468=0,9&lt;='01_Вводные'!$B$297),0,'19_Расчет_аналитики'!BI2468*IF('01_Вводные'!$B$239="Да",MeanMinAge09+'19_Расчет_аналитики'!BI2583*SUMIF(ThresholdAge09,"&lt;"&amp;'19_Расчет_аналитики'!BI2583,WeightedRevAge09)-SUMIF(ThresholdAge09,"&lt;"&amp;'19_Расчет_аналитики'!BI2583,WeightedMinAge09),MAX(CapacityAge09*'01_Вводные'!$B$218*'19_Расчет_аналитики'!BI2583,MeanMinAge09)))</f>
        <v/>
      </c>
      <c r="BJ2496">
        <f>IF(OR('19_Расчет_аналитики'!BJ2468=0,9&lt;='01_Вводные'!$B$297),0,'19_Расчет_аналитики'!BJ2468*IF('01_Вводные'!$B$239="Да",MeanMinAge09+'19_Расчет_аналитики'!BJ2583*SUMIF(ThresholdAge09,"&lt;"&amp;'19_Расчет_аналитики'!BJ2583,WeightedRevAge09)-SUMIF(ThresholdAge09,"&lt;"&amp;'19_Расчет_аналитики'!BJ2583,WeightedMinAge09),MAX(CapacityAge09*'01_Вводные'!$B$218*'19_Расчет_аналитики'!BJ2583,MeanMinAge09)))</f>
        <v/>
      </c>
      <c r="BK2496">
        <f>IF(OR('19_Расчет_аналитики'!BK2468=0,9&lt;='01_Вводные'!$B$297),0,'19_Расчет_аналитики'!BK2468*IF('01_Вводные'!$B$239="Да",MeanMinAge09+'19_Расчет_аналитики'!BK2583*SUMIF(ThresholdAge09,"&lt;"&amp;'19_Расчет_аналитики'!BK2583,WeightedRevAge09)-SUMIF(ThresholdAge09,"&lt;"&amp;'19_Расчет_аналитики'!BK2583,WeightedMinAge09),MAX(CapacityAge09*'01_Вводные'!$B$218*'19_Расчет_аналитики'!BK2583,MeanMinAge09)))</f>
        <v/>
      </c>
      <c r="BL2496">
        <f>IF(OR('19_Расчет_аналитики'!BL2468=0,9&lt;='01_Вводные'!$B$297),0,'19_Расчет_аналитики'!BL2468*IF('01_Вводные'!$B$239="Да",MeanMinAge09+'19_Расчет_аналитики'!BL2583*SUMIF(ThresholdAge09,"&lt;"&amp;'19_Расчет_аналитики'!BL2583,WeightedRevAge09)-SUMIF(ThresholdAge09,"&lt;"&amp;'19_Расчет_аналитики'!BL2583,WeightedMinAge09),MAX(CapacityAge09*'01_Вводные'!$B$218*'19_Расчет_аналитики'!BL2583,MeanMinAge09)))</f>
        <v/>
      </c>
      <c r="BM2496">
        <f>IF(OR('19_Расчет_аналитики'!BM2468=0,9&lt;='01_Вводные'!$B$297),0,'19_Расчет_аналитики'!BM2468*IF('01_Вводные'!$B$239="Да",MeanMinAge09+'19_Расчет_аналитики'!BM2583*SUMIF(ThresholdAge09,"&lt;"&amp;'19_Расчет_аналитики'!BM2583,WeightedRevAge09)-SUMIF(ThresholdAge09,"&lt;"&amp;'19_Расчет_аналитики'!BM2583,WeightedMinAge09),MAX(CapacityAge09*'01_Вводные'!$B$218*'19_Расчет_аналитики'!BM2583,MeanMinAge09)))</f>
        <v/>
      </c>
      <c r="BN2496">
        <f>IF(OR('19_Расчет_аналитики'!BN2468=0,9&lt;='01_Вводные'!$B$297),0,'19_Расчет_аналитики'!BN2468*IF('01_Вводные'!$B$239="Да",MeanMinAge09+'19_Расчет_аналитики'!BN2583*SUMIF(ThresholdAge09,"&lt;"&amp;'19_Расчет_аналитики'!BN2583,WeightedRevAge09)-SUMIF(ThresholdAge09,"&lt;"&amp;'19_Расчет_аналитики'!BN2583,WeightedMinAge09),MAX(CapacityAge09*'01_Вводные'!$B$218*'19_Расчет_аналитики'!BN2583,MeanMinAge09)))</f>
        <v/>
      </c>
      <c r="BO2496">
        <f>IF(OR('19_Расчет_аналитики'!BO2468=0,9&lt;='01_Вводные'!$B$297),0,'19_Расчет_аналитики'!BO2468*IF('01_Вводные'!$B$239="Да",MeanMinAge09+'19_Расчет_аналитики'!BO2583*SUMIF(ThresholdAge09,"&lt;"&amp;'19_Расчет_аналитики'!BO2583,WeightedRevAge09)-SUMIF(ThresholdAge09,"&lt;"&amp;'19_Расчет_аналитики'!BO2583,WeightedMinAge09),MAX(CapacityAge09*'01_Вводные'!$B$218*'19_Расчет_аналитики'!BO2583,MeanMinAge09)))</f>
        <v/>
      </c>
    </row>
    <row r="2497">
      <c r="B2497">
        <f>IF(OR('06_Сеть_и_дети'!B90=0,10&lt;='01_Вводные'!$B$297),0,'06_Сеть_и_дети'!B90*IF('01_Вводные'!$B$239="Да",MeanMinAge10+'19_Расчет_аналитики'!B2583*SUMIF(ThresholdAge10,"&lt;"&amp;'19_Расчет_аналитики'!B2583,WeightedRevAge10)-SUMIF(ThresholdAge10,"&lt;"&amp;'19_Расчет_аналитики'!B2583,WeightedMinAge10),MAX(CapacityAge10*'01_Вводные'!$B$218*'19_Расчет_аналитики'!B2583,MeanMinAge10)))</f>
        <v/>
      </c>
      <c r="C2497">
        <f>IF(OR('06_Сеть_и_дети'!C90=0,10&lt;='01_Вводные'!$B$297),0,'06_Сеть_и_дети'!C90*IF('01_Вводные'!$B$239="Да",MeanMinAge10+'19_Расчет_аналитики'!C2583*SUMIF(ThresholdAge10,"&lt;"&amp;'19_Расчет_аналитики'!C2583,WeightedRevAge10)-SUMIF(ThresholdAge10,"&lt;"&amp;'19_Расчет_аналитики'!C2583,WeightedMinAge10),MAX(CapacityAge10*'01_Вводные'!$B$218*'19_Расчет_аналитики'!C2583,MeanMinAge10)))</f>
        <v/>
      </c>
      <c r="D2497">
        <f>IF(OR('06_Сеть_и_дети'!D90=0,10&lt;='01_Вводные'!$B$297),0,'06_Сеть_и_дети'!D90*IF('01_Вводные'!$B$239="Да",MeanMinAge10+'19_Расчет_аналитики'!D2583*SUMIF(ThresholdAge10,"&lt;"&amp;'19_Расчет_аналитики'!D2583,WeightedRevAge10)-SUMIF(ThresholdAge10,"&lt;"&amp;'19_Расчет_аналитики'!D2583,WeightedMinAge10),MAX(CapacityAge10*'01_Вводные'!$B$218*'19_Расчет_аналитики'!D2583,MeanMinAge10)))</f>
        <v/>
      </c>
      <c r="E2497">
        <f>IF(OR('06_Сеть_и_дети'!E90=0,10&lt;='01_Вводные'!$B$297),0,'06_Сеть_и_дети'!E90*IF('01_Вводные'!$B$239="Да",MeanMinAge10+'19_Расчет_аналитики'!E2583*SUMIF(ThresholdAge10,"&lt;"&amp;'19_Расчет_аналитики'!E2583,WeightedRevAge10)-SUMIF(ThresholdAge10,"&lt;"&amp;'19_Расчет_аналитики'!E2583,WeightedMinAge10),MAX(CapacityAge10*'01_Вводные'!$B$218*'19_Расчет_аналитики'!E2583,MeanMinAge10)))</f>
        <v/>
      </c>
      <c r="F2497">
        <f>IF(OR('06_Сеть_и_дети'!F90=0,10&lt;='01_Вводные'!$B$297),0,'06_Сеть_и_дети'!F90*IF('01_Вводные'!$B$239="Да",MeanMinAge10+'19_Расчет_аналитики'!F2583*SUMIF(ThresholdAge10,"&lt;"&amp;'19_Расчет_аналитики'!F2583,WeightedRevAge10)-SUMIF(ThresholdAge10,"&lt;"&amp;'19_Расчет_аналитики'!F2583,WeightedMinAge10),MAX(CapacityAge10*'01_Вводные'!$B$218*'19_Расчет_аналитики'!F2583,MeanMinAge10)))</f>
        <v/>
      </c>
      <c r="G2497">
        <f>IF(OR('06_Сеть_и_дети'!G90=0,10&lt;='01_Вводные'!$B$297),0,'06_Сеть_и_дети'!G90*IF('01_Вводные'!$B$239="Да",MeanMinAge10+'19_Расчет_аналитики'!G2583*SUMIF(ThresholdAge10,"&lt;"&amp;'19_Расчет_аналитики'!G2583,WeightedRevAge10)-SUMIF(ThresholdAge10,"&lt;"&amp;'19_Расчет_аналитики'!G2583,WeightedMinAge10),MAX(CapacityAge10*'01_Вводные'!$B$218*'19_Расчет_аналитики'!G2583,MeanMinAge10)))</f>
        <v/>
      </c>
      <c r="H2497">
        <f>IF(OR('06_Сеть_и_дети'!H90=0,10&lt;='01_Вводные'!$B$297),0,'06_Сеть_и_дети'!H90*IF('01_Вводные'!$B$239="Да",MeanMinAge10+'19_Расчет_аналитики'!H2583*SUMIF(ThresholdAge10,"&lt;"&amp;'19_Расчет_аналитики'!H2583,WeightedRevAge10)-SUMIF(ThresholdAge10,"&lt;"&amp;'19_Расчет_аналитики'!H2583,WeightedMinAge10),MAX(CapacityAge10*'01_Вводные'!$B$218*'19_Расчет_аналитики'!H2583,MeanMinAge10)))</f>
        <v/>
      </c>
      <c r="I2497">
        <f>IF(OR('06_Сеть_и_дети'!I90=0,10&lt;='01_Вводные'!$B$297),0,'06_Сеть_и_дети'!I90*IF('01_Вводные'!$B$239="Да",MeanMinAge10+'19_Расчет_аналитики'!I2583*SUMIF(ThresholdAge10,"&lt;"&amp;'19_Расчет_аналитики'!I2583,WeightedRevAge10)-SUMIF(ThresholdAge10,"&lt;"&amp;'19_Расчет_аналитики'!I2583,WeightedMinAge10),MAX(CapacityAge10*'01_Вводные'!$B$218*'19_Расчет_аналитики'!I2583,MeanMinAge10)))</f>
        <v/>
      </c>
      <c r="J2497">
        <f>IF(OR('06_Сеть_и_дети'!J90=0,10&lt;='01_Вводные'!$B$297),0,'06_Сеть_и_дети'!J90*IF('01_Вводные'!$B$239="Да",MeanMinAge10+'19_Расчет_аналитики'!J2583*SUMIF(ThresholdAge10,"&lt;"&amp;'19_Расчет_аналитики'!J2583,WeightedRevAge10)-SUMIF(ThresholdAge10,"&lt;"&amp;'19_Расчет_аналитики'!J2583,WeightedMinAge10),MAX(CapacityAge10*'01_Вводные'!$B$218*'19_Расчет_аналитики'!J2583,MeanMinAge10)))</f>
        <v/>
      </c>
      <c r="K2497">
        <f>IF(OR('19_Расчет_аналитики'!K2469=0,10&lt;='01_Вводные'!$B$297),0,'19_Расчет_аналитики'!K2469*IF('01_Вводные'!$B$239="Да",MeanMinAge10+'19_Расчет_аналитики'!K2583*SUMIF(ThresholdAge10,"&lt;"&amp;'19_Расчет_аналитики'!K2583,WeightedRevAge10)-SUMIF(ThresholdAge10,"&lt;"&amp;'19_Расчет_аналитики'!K2583,WeightedMinAge10),MAX(CapacityAge10*'01_Вводные'!$B$218*'19_Расчет_аналитики'!K2583,MeanMinAge10)))</f>
        <v/>
      </c>
      <c r="L2497">
        <f>IF(OR('19_Расчет_аналитики'!L2469=0,10&lt;='01_Вводные'!$B$297),0,'19_Расчет_аналитики'!L2469*IF('01_Вводные'!$B$239="Да",MeanMinAge10+'19_Расчет_аналитики'!L2583*SUMIF(ThresholdAge10,"&lt;"&amp;'19_Расчет_аналитики'!L2583,WeightedRevAge10)-SUMIF(ThresholdAge10,"&lt;"&amp;'19_Расчет_аналитики'!L2583,WeightedMinAge10),MAX(CapacityAge10*'01_Вводные'!$B$218*'19_Расчет_аналитики'!L2583,MeanMinAge10)))</f>
        <v/>
      </c>
      <c r="M2497">
        <f>IF(OR('19_Расчет_аналитики'!M2469=0,10&lt;='01_Вводные'!$B$297),0,'19_Расчет_аналитики'!M2469*IF('01_Вводные'!$B$239="Да",MeanMinAge10+'19_Расчет_аналитики'!M2583*SUMIF(ThresholdAge10,"&lt;"&amp;'19_Расчет_аналитики'!M2583,WeightedRevAge10)-SUMIF(ThresholdAge10,"&lt;"&amp;'19_Расчет_аналитики'!M2583,WeightedMinAge10),MAX(CapacityAge10*'01_Вводные'!$B$218*'19_Расчет_аналитики'!M2583,MeanMinAge10)))</f>
        <v/>
      </c>
      <c r="N2497">
        <f>IF(OR('19_Расчет_аналитики'!N2469=0,10&lt;='01_Вводные'!$B$297),0,'19_Расчет_аналитики'!N2469*IF('01_Вводные'!$B$239="Да",MeanMinAge10+'19_Расчет_аналитики'!N2583*SUMIF(ThresholdAge10,"&lt;"&amp;'19_Расчет_аналитики'!N2583,WeightedRevAge10)-SUMIF(ThresholdAge10,"&lt;"&amp;'19_Расчет_аналитики'!N2583,WeightedMinAge10),MAX(CapacityAge10*'01_Вводные'!$B$218*'19_Расчет_аналитики'!N2583,MeanMinAge10)))</f>
        <v/>
      </c>
      <c r="O2497">
        <f>IF(OR('19_Расчет_аналитики'!O2469=0,10&lt;='01_Вводные'!$B$297),0,'19_Расчет_аналитики'!O2469*IF('01_Вводные'!$B$239="Да",MeanMinAge10+'19_Расчет_аналитики'!O2583*SUMIF(ThresholdAge10,"&lt;"&amp;'19_Расчет_аналитики'!O2583,WeightedRevAge10)-SUMIF(ThresholdAge10,"&lt;"&amp;'19_Расчет_аналитики'!O2583,WeightedMinAge10),MAX(CapacityAge10*'01_Вводные'!$B$218*'19_Расчет_аналитики'!O2583,MeanMinAge10)))</f>
        <v/>
      </c>
      <c r="P2497">
        <f>IF(OR('19_Расчет_аналитики'!P2469=0,10&lt;='01_Вводные'!$B$297),0,'19_Расчет_аналитики'!P2469*IF('01_Вводные'!$B$239="Да",MeanMinAge10+'19_Расчет_аналитики'!P2583*SUMIF(ThresholdAge10,"&lt;"&amp;'19_Расчет_аналитики'!P2583,WeightedRevAge10)-SUMIF(ThresholdAge10,"&lt;"&amp;'19_Расчет_аналитики'!P2583,WeightedMinAge10),MAX(CapacityAge10*'01_Вводные'!$B$218*'19_Расчет_аналитики'!P2583,MeanMinAge10)))</f>
        <v/>
      </c>
      <c r="Q2497">
        <f>IF(OR('19_Расчет_аналитики'!Q2469=0,10&lt;='01_Вводные'!$B$297),0,'19_Расчет_аналитики'!Q2469*IF('01_Вводные'!$B$239="Да",MeanMinAge10+'19_Расчет_аналитики'!Q2583*SUMIF(ThresholdAge10,"&lt;"&amp;'19_Расчет_аналитики'!Q2583,WeightedRevAge10)-SUMIF(ThresholdAge10,"&lt;"&amp;'19_Расчет_аналитики'!Q2583,WeightedMinAge10),MAX(CapacityAge10*'01_Вводные'!$B$218*'19_Расчет_аналитики'!Q2583,MeanMinAge10)))</f>
        <v/>
      </c>
      <c r="R2497">
        <f>IF(OR('19_Расчет_аналитики'!R2469=0,10&lt;='01_Вводные'!$B$297),0,'19_Расчет_аналитики'!R2469*IF('01_Вводные'!$B$239="Да",MeanMinAge10+'19_Расчет_аналитики'!R2583*SUMIF(ThresholdAge10,"&lt;"&amp;'19_Расчет_аналитики'!R2583,WeightedRevAge10)-SUMIF(ThresholdAge10,"&lt;"&amp;'19_Расчет_аналитики'!R2583,WeightedMinAge10),MAX(CapacityAge10*'01_Вводные'!$B$218*'19_Расчет_аналитики'!R2583,MeanMinAge10)))</f>
        <v/>
      </c>
      <c r="S2497">
        <f>IF(OR('19_Расчет_аналитики'!S2469=0,10&lt;='01_Вводные'!$B$297),0,'19_Расчет_аналитики'!S2469*IF('01_Вводные'!$B$239="Да",MeanMinAge10+'19_Расчет_аналитики'!S2583*SUMIF(ThresholdAge10,"&lt;"&amp;'19_Расчет_аналитики'!S2583,WeightedRevAge10)-SUMIF(ThresholdAge10,"&lt;"&amp;'19_Расчет_аналитики'!S2583,WeightedMinAge10),MAX(CapacityAge10*'01_Вводные'!$B$218*'19_Расчет_аналитики'!S2583,MeanMinAge10)))</f>
        <v/>
      </c>
      <c r="T2497">
        <f>IF(OR('19_Расчет_аналитики'!T2469=0,10&lt;='01_Вводные'!$B$297),0,'19_Расчет_аналитики'!T2469*IF('01_Вводные'!$B$239="Да",MeanMinAge10+'19_Расчет_аналитики'!T2583*SUMIF(ThresholdAge10,"&lt;"&amp;'19_Расчет_аналитики'!T2583,WeightedRevAge10)-SUMIF(ThresholdAge10,"&lt;"&amp;'19_Расчет_аналитики'!T2583,WeightedMinAge10),MAX(CapacityAge10*'01_Вводные'!$B$218*'19_Расчет_аналитики'!T2583,MeanMinAge10)))</f>
        <v/>
      </c>
      <c r="U2497">
        <f>IF(OR('19_Расчет_аналитики'!U2469=0,10&lt;='01_Вводные'!$B$297),0,'19_Расчет_аналитики'!U2469*IF('01_Вводные'!$B$239="Да",MeanMinAge10+'19_Расчет_аналитики'!U2583*SUMIF(ThresholdAge10,"&lt;"&amp;'19_Расчет_аналитики'!U2583,WeightedRevAge10)-SUMIF(ThresholdAge10,"&lt;"&amp;'19_Расчет_аналитики'!U2583,WeightedMinAge10),MAX(CapacityAge10*'01_Вводные'!$B$218*'19_Расчет_аналитики'!U2583,MeanMinAge10)))</f>
        <v/>
      </c>
      <c r="V2497">
        <f>IF(OR('19_Расчет_аналитики'!V2469=0,10&lt;='01_Вводные'!$B$297),0,'19_Расчет_аналитики'!V2469*IF('01_Вводные'!$B$239="Да",MeanMinAge10+'19_Расчет_аналитики'!V2583*SUMIF(ThresholdAge10,"&lt;"&amp;'19_Расчет_аналитики'!V2583,WeightedRevAge10)-SUMIF(ThresholdAge10,"&lt;"&amp;'19_Расчет_аналитики'!V2583,WeightedMinAge10),MAX(CapacityAge10*'01_Вводные'!$B$218*'19_Расчет_аналитики'!V2583,MeanMinAge10)))</f>
        <v/>
      </c>
      <c r="W2497">
        <f>IF(OR('19_Расчет_аналитики'!W2469=0,10&lt;='01_Вводные'!$B$297),0,'19_Расчет_аналитики'!W2469*IF('01_Вводные'!$B$239="Да",MeanMinAge10+'19_Расчет_аналитики'!W2583*SUMIF(ThresholdAge10,"&lt;"&amp;'19_Расчет_аналитики'!W2583,WeightedRevAge10)-SUMIF(ThresholdAge10,"&lt;"&amp;'19_Расчет_аналитики'!W2583,WeightedMinAge10),MAX(CapacityAge10*'01_Вводные'!$B$218*'19_Расчет_аналитики'!W2583,MeanMinAge10)))</f>
        <v/>
      </c>
      <c r="X2497">
        <f>IF(OR('19_Расчет_аналитики'!X2469=0,10&lt;='01_Вводные'!$B$297),0,'19_Расчет_аналитики'!X2469*IF('01_Вводные'!$B$239="Да",MeanMinAge10+'19_Расчет_аналитики'!X2583*SUMIF(ThresholdAge10,"&lt;"&amp;'19_Расчет_аналитики'!X2583,WeightedRevAge10)-SUMIF(ThresholdAge10,"&lt;"&amp;'19_Расчет_аналитики'!X2583,WeightedMinAge10),MAX(CapacityAge10*'01_Вводные'!$B$218*'19_Расчет_аналитики'!X2583,MeanMinAge10)))</f>
        <v/>
      </c>
      <c r="Y2497">
        <f>IF(OR('19_Расчет_аналитики'!Y2469=0,10&lt;='01_Вводные'!$B$297),0,'19_Расчет_аналитики'!Y2469*IF('01_Вводные'!$B$239="Да",MeanMinAge10+'19_Расчет_аналитики'!Y2583*SUMIF(ThresholdAge10,"&lt;"&amp;'19_Расчет_аналитики'!Y2583,WeightedRevAge10)-SUMIF(ThresholdAge10,"&lt;"&amp;'19_Расчет_аналитики'!Y2583,WeightedMinAge10),MAX(CapacityAge10*'01_Вводные'!$B$218*'19_Расчет_аналитики'!Y2583,MeanMinAge10)))</f>
        <v/>
      </c>
      <c r="Z2497">
        <f>IF(OR('19_Расчет_аналитики'!Z2469=0,10&lt;='01_Вводные'!$B$297),0,'19_Расчет_аналитики'!Z2469*IF('01_Вводные'!$B$239="Да",MeanMinAge10+'19_Расчет_аналитики'!Z2583*SUMIF(ThresholdAge10,"&lt;"&amp;'19_Расчет_аналитики'!Z2583,WeightedRevAge10)-SUMIF(ThresholdAge10,"&lt;"&amp;'19_Расчет_аналитики'!Z2583,WeightedMinAge10),MAX(CapacityAge10*'01_Вводные'!$B$218*'19_Расчет_аналитики'!Z2583,MeanMinAge10)))</f>
        <v/>
      </c>
      <c r="AA2497">
        <f>IF(OR('19_Расчет_аналитики'!AA2469=0,10&lt;='01_Вводные'!$B$297),0,'19_Расчет_аналитики'!AA2469*IF('01_Вводные'!$B$239="Да",MeanMinAge10+'19_Расчет_аналитики'!AA2583*SUMIF(ThresholdAge10,"&lt;"&amp;'19_Расчет_аналитики'!AA2583,WeightedRevAge10)-SUMIF(ThresholdAge10,"&lt;"&amp;'19_Расчет_аналитики'!AA2583,WeightedMinAge10),MAX(CapacityAge10*'01_Вводные'!$B$218*'19_Расчет_аналитики'!AA2583,MeanMinAge10)))</f>
        <v/>
      </c>
      <c r="AB2497">
        <f>IF(OR('19_Расчет_аналитики'!AB2469=0,10&lt;='01_Вводные'!$B$297),0,'19_Расчет_аналитики'!AB2469*IF('01_Вводные'!$B$239="Да",MeanMinAge10+'19_Расчет_аналитики'!AB2583*SUMIF(ThresholdAge10,"&lt;"&amp;'19_Расчет_аналитики'!AB2583,WeightedRevAge10)-SUMIF(ThresholdAge10,"&lt;"&amp;'19_Расчет_аналитики'!AB2583,WeightedMinAge10),MAX(CapacityAge10*'01_Вводные'!$B$218*'19_Расчет_аналитики'!AB2583,MeanMinAge10)))</f>
        <v/>
      </c>
      <c r="AC2497">
        <f>IF(OR('19_Расчет_аналитики'!AC2469=0,10&lt;='01_Вводные'!$B$297),0,'19_Расчет_аналитики'!AC2469*IF('01_Вводные'!$B$239="Да",MeanMinAge10+'19_Расчет_аналитики'!AC2583*SUMIF(ThresholdAge10,"&lt;"&amp;'19_Расчет_аналитики'!AC2583,WeightedRevAge10)-SUMIF(ThresholdAge10,"&lt;"&amp;'19_Расчет_аналитики'!AC2583,WeightedMinAge10),MAX(CapacityAge10*'01_Вводные'!$B$218*'19_Расчет_аналитики'!AC2583,MeanMinAge10)))</f>
        <v/>
      </c>
      <c r="AD2497">
        <f>IF(OR('19_Расчет_аналитики'!AD2469=0,10&lt;='01_Вводные'!$B$297),0,'19_Расчет_аналитики'!AD2469*IF('01_Вводные'!$B$239="Да",MeanMinAge10+'19_Расчет_аналитики'!AD2583*SUMIF(ThresholdAge10,"&lt;"&amp;'19_Расчет_аналитики'!AD2583,WeightedRevAge10)-SUMIF(ThresholdAge10,"&lt;"&amp;'19_Расчет_аналитики'!AD2583,WeightedMinAge10),MAX(CapacityAge10*'01_Вводные'!$B$218*'19_Расчет_аналитики'!AD2583,MeanMinAge10)))</f>
        <v/>
      </c>
      <c r="AE2497">
        <f>IF(OR('19_Расчет_аналитики'!AE2469=0,10&lt;='01_Вводные'!$B$297),0,'19_Расчет_аналитики'!AE2469*IF('01_Вводные'!$B$239="Да",MeanMinAge10+'19_Расчет_аналитики'!AE2583*SUMIF(ThresholdAge10,"&lt;"&amp;'19_Расчет_аналитики'!AE2583,WeightedRevAge10)-SUMIF(ThresholdAge10,"&lt;"&amp;'19_Расчет_аналитики'!AE2583,WeightedMinAge10),MAX(CapacityAge10*'01_Вводные'!$B$218*'19_Расчет_аналитики'!AE2583,MeanMinAge10)))</f>
        <v/>
      </c>
      <c r="AF2497">
        <f>IF(OR('19_Расчет_аналитики'!AF2469=0,10&lt;='01_Вводные'!$B$297),0,'19_Расчет_аналитики'!AF2469*IF('01_Вводные'!$B$239="Да",MeanMinAge10+'19_Расчет_аналитики'!AF2583*SUMIF(ThresholdAge10,"&lt;"&amp;'19_Расчет_аналитики'!AF2583,WeightedRevAge10)-SUMIF(ThresholdAge10,"&lt;"&amp;'19_Расчет_аналитики'!AF2583,WeightedMinAge10),MAX(CapacityAge10*'01_Вводные'!$B$218*'19_Расчет_аналитики'!AF2583,MeanMinAge10)))</f>
        <v/>
      </c>
      <c r="AG2497">
        <f>IF(OR('19_Расчет_аналитики'!AG2469=0,10&lt;='01_Вводные'!$B$297),0,'19_Расчет_аналитики'!AG2469*IF('01_Вводные'!$B$239="Да",MeanMinAge10+'19_Расчет_аналитики'!AG2583*SUMIF(ThresholdAge10,"&lt;"&amp;'19_Расчет_аналитики'!AG2583,WeightedRevAge10)-SUMIF(ThresholdAge10,"&lt;"&amp;'19_Расчет_аналитики'!AG2583,WeightedMinAge10),MAX(CapacityAge10*'01_Вводные'!$B$218*'19_Расчет_аналитики'!AG2583,MeanMinAge10)))</f>
        <v/>
      </c>
      <c r="AH2497">
        <f>IF(OR('19_Расчет_аналитики'!AH2469=0,10&lt;='01_Вводные'!$B$297),0,'19_Расчет_аналитики'!AH2469*IF('01_Вводные'!$B$239="Да",MeanMinAge10+'19_Расчет_аналитики'!AH2583*SUMIF(ThresholdAge10,"&lt;"&amp;'19_Расчет_аналитики'!AH2583,WeightedRevAge10)-SUMIF(ThresholdAge10,"&lt;"&amp;'19_Расчет_аналитики'!AH2583,WeightedMinAge10),MAX(CapacityAge10*'01_Вводные'!$B$218*'19_Расчет_аналитики'!AH2583,MeanMinAge10)))</f>
        <v/>
      </c>
      <c r="AI2497">
        <f>IF(OR('19_Расчет_аналитики'!AI2469=0,10&lt;='01_Вводные'!$B$297),0,'19_Расчет_аналитики'!AI2469*IF('01_Вводные'!$B$239="Да",MeanMinAge10+'19_Расчет_аналитики'!AI2583*SUMIF(ThresholdAge10,"&lt;"&amp;'19_Расчет_аналитики'!AI2583,WeightedRevAge10)-SUMIF(ThresholdAge10,"&lt;"&amp;'19_Расчет_аналитики'!AI2583,WeightedMinAge10),MAX(CapacityAge10*'01_Вводные'!$B$218*'19_Расчет_аналитики'!AI2583,MeanMinAge10)))</f>
        <v/>
      </c>
      <c r="AJ2497">
        <f>IF(OR('19_Расчет_аналитики'!AJ2469=0,10&lt;='01_Вводные'!$B$297),0,'19_Расчет_аналитики'!AJ2469*IF('01_Вводные'!$B$239="Да",MeanMinAge10+'19_Расчет_аналитики'!AJ2583*SUMIF(ThresholdAge10,"&lt;"&amp;'19_Расчет_аналитики'!AJ2583,WeightedRevAge10)-SUMIF(ThresholdAge10,"&lt;"&amp;'19_Расчет_аналитики'!AJ2583,WeightedMinAge10),MAX(CapacityAge10*'01_Вводные'!$B$218*'19_Расчет_аналитики'!AJ2583,MeanMinAge10)))</f>
        <v/>
      </c>
      <c r="AK2497">
        <f>IF(OR('19_Расчет_аналитики'!AK2469=0,10&lt;='01_Вводные'!$B$297),0,'19_Расчет_аналитики'!AK2469*IF('01_Вводные'!$B$239="Да",MeanMinAge10+'19_Расчет_аналитики'!AK2583*SUMIF(ThresholdAge10,"&lt;"&amp;'19_Расчет_аналитики'!AK2583,WeightedRevAge10)-SUMIF(ThresholdAge10,"&lt;"&amp;'19_Расчет_аналитики'!AK2583,WeightedMinAge10),MAX(CapacityAge10*'01_Вводные'!$B$218*'19_Расчет_аналитики'!AK2583,MeanMinAge10)))</f>
        <v/>
      </c>
      <c r="AL2497">
        <f>IF(OR('19_Расчет_аналитики'!AL2469=0,10&lt;='01_Вводные'!$B$297),0,'19_Расчет_аналитики'!AL2469*IF('01_Вводные'!$B$239="Да",MeanMinAge10+'19_Расчет_аналитики'!AL2583*SUMIF(ThresholdAge10,"&lt;"&amp;'19_Расчет_аналитики'!AL2583,WeightedRevAge10)-SUMIF(ThresholdAge10,"&lt;"&amp;'19_Расчет_аналитики'!AL2583,WeightedMinAge10),MAX(CapacityAge10*'01_Вводные'!$B$218*'19_Расчет_аналитики'!AL2583,MeanMinAge10)))</f>
        <v/>
      </c>
      <c r="AM2497">
        <f>IF(OR('19_Расчет_аналитики'!AM2469=0,10&lt;='01_Вводные'!$B$297),0,'19_Расчет_аналитики'!AM2469*IF('01_Вводные'!$B$239="Да",MeanMinAge10+'19_Расчет_аналитики'!AM2583*SUMIF(ThresholdAge10,"&lt;"&amp;'19_Расчет_аналитики'!AM2583,WeightedRevAge10)-SUMIF(ThresholdAge10,"&lt;"&amp;'19_Расчет_аналитики'!AM2583,WeightedMinAge10),MAX(CapacityAge10*'01_Вводные'!$B$218*'19_Расчет_аналитики'!AM2583,MeanMinAge10)))</f>
        <v/>
      </c>
      <c r="AN2497">
        <f>IF(OR('19_Расчет_аналитики'!AN2469=0,10&lt;='01_Вводные'!$B$297),0,'19_Расчет_аналитики'!AN2469*IF('01_Вводные'!$B$239="Да",MeanMinAge10+'19_Расчет_аналитики'!AN2583*SUMIF(ThresholdAge10,"&lt;"&amp;'19_Расчет_аналитики'!AN2583,WeightedRevAge10)-SUMIF(ThresholdAge10,"&lt;"&amp;'19_Расчет_аналитики'!AN2583,WeightedMinAge10),MAX(CapacityAge10*'01_Вводные'!$B$218*'19_Расчет_аналитики'!AN2583,MeanMinAge10)))</f>
        <v/>
      </c>
      <c r="AO2497">
        <f>IF(OR('19_Расчет_аналитики'!AO2469=0,10&lt;='01_Вводные'!$B$297),0,'19_Расчет_аналитики'!AO2469*IF('01_Вводные'!$B$239="Да",MeanMinAge10+'19_Расчет_аналитики'!AO2583*SUMIF(ThresholdAge10,"&lt;"&amp;'19_Расчет_аналитики'!AO2583,WeightedRevAge10)-SUMIF(ThresholdAge10,"&lt;"&amp;'19_Расчет_аналитики'!AO2583,WeightedMinAge10),MAX(CapacityAge10*'01_Вводные'!$B$218*'19_Расчет_аналитики'!AO2583,MeanMinAge10)))</f>
        <v/>
      </c>
      <c r="AP2497">
        <f>IF(OR('19_Расчет_аналитики'!AP2469=0,10&lt;='01_Вводные'!$B$297),0,'19_Расчет_аналитики'!AP2469*IF('01_Вводные'!$B$239="Да",MeanMinAge10+'19_Расчет_аналитики'!AP2583*SUMIF(ThresholdAge10,"&lt;"&amp;'19_Расчет_аналитики'!AP2583,WeightedRevAge10)-SUMIF(ThresholdAge10,"&lt;"&amp;'19_Расчет_аналитики'!AP2583,WeightedMinAge10),MAX(CapacityAge10*'01_Вводные'!$B$218*'19_Расчет_аналитики'!AP2583,MeanMinAge10)))</f>
        <v/>
      </c>
      <c r="AQ2497">
        <f>IF(OR('19_Расчет_аналитики'!AQ2469=0,10&lt;='01_Вводные'!$B$297),0,'19_Расчет_аналитики'!AQ2469*IF('01_Вводные'!$B$239="Да",MeanMinAge10+'19_Расчет_аналитики'!AQ2583*SUMIF(ThresholdAge10,"&lt;"&amp;'19_Расчет_аналитики'!AQ2583,WeightedRevAge10)-SUMIF(ThresholdAge10,"&lt;"&amp;'19_Расчет_аналитики'!AQ2583,WeightedMinAge10),MAX(CapacityAge10*'01_Вводные'!$B$218*'19_Расчет_аналитики'!AQ2583,MeanMinAge10)))</f>
        <v/>
      </c>
      <c r="AR2497">
        <f>IF(OR('19_Расчет_аналитики'!AR2469=0,10&lt;='01_Вводные'!$B$297),0,'19_Расчет_аналитики'!AR2469*IF('01_Вводные'!$B$239="Да",MeanMinAge10+'19_Расчет_аналитики'!AR2583*SUMIF(ThresholdAge10,"&lt;"&amp;'19_Расчет_аналитики'!AR2583,WeightedRevAge10)-SUMIF(ThresholdAge10,"&lt;"&amp;'19_Расчет_аналитики'!AR2583,WeightedMinAge10),MAX(CapacityAge10*'01_Вводные'!$B$218*'19_Расчет_аналитики'!AR2583,MeanMinAge10)))</f>
        <v/>
      </c>
      <c r="AS2497">
        <f>IF(OR('19_Расчет_аналитики'!AS2469=0,10&lt;='01_Вводные'!$B$297),0,'19_Расчет_аналитики'!AS2469*IF('01_Вводные'!$B$239="Да",MeanMinAge10+'19_Расчет_аналитики'!AS2583*SUMIF(ThresholdAge10,"&lt;"&amp;'19_Расчет_аналитики'!AS2583,WeightedRevAge10)-SUMIF(ThresholdAge10,"&lt;"&amp;'19_Расчет_аналитики'!AS2583,WeightedMinAge10),MAX(CapacityAge10*'01_Вводные'!$B$218*'19_Расчет_аналитики'!AS2583,MeanMinAge10)))</f>
        <v/>
      </c>
      <c r="AT2497">
        <f>IF(OR('19_Расчет_аналитики'!AT2469=0,10&lt;='01_Вводные'!$B$297),0,'19_Расчет_аналитики'!AT2469*IF('01_Вводные'!$B$239="Да",MeanMinAge10+'19_Расчет_аналитики'!AT2583*SUMIF(ThresholdAge10,"&lt;"&amp;'19_Расчет_аналитики'!AT2583,WeightedRevAge10)-SUMIF(ThresholdAge10,"&lt;"&amp;'19_Расчет_аналитики'!AT2583,WeightedMinAge10),MAX(CapacityAge10*'01_Вводные'!$B$218*'19_Расчет_аналитики'!AT2583,MeanMinAge10)))</f>
        <v/>
      </c>
      <c r="AU2497">
        <f>IF(OR('19_Расчет_аналитики'!AU2469=0,10&lt;='01_Вводные'!$B$297),0,'19_Расчет_аналитики'!AU2469*IF('01_Вводные'!$B$239="Да",MeanMinAge10+'19_Расчет_аналитики'!AU2583*SUMIF(ThresholdAge10,"&lt;"&amp;'19_Расчет_аналитики'!AU2583,WeightedRevAge10)-SUMIF(ThresholdAge10,"&lt;"&amp;'19_Расчет_аналитики'!AU2583,WeightedMinAge10),MAX(CapacityAge10*'01_Вводные'!$B$218*'19_Расчет_аналитики'!AU2583,MeanMinAge10)))</f>
        <v/>
      </c>
      <c r="AV2497">
        <f>IF(OR('19_Расчет_аналитики'!AV2469=0,10&lt;='01_Вводные'!$B$297),0,'19_Расчет_аналитики'!AV2469*IF('01_Вводные'!$B$239="Да",MeanMinAge10+'19_Расчет_аналитики'!AV2583*SUMIF(ThresholdAge10,"&lt;"&amp;'19_Расчет_аналитики'!AV2583,WeightedRevAge10)-SUMIF(ThresholdAge10,"&lt;"&amp;'19_Расчет_аналитики'!AV2583,WeightedMinAge10),MAX(CapacityAge10*'01_Вводные'!$B$218*'19_Расчет_аналитики'!AV2583,MeanMinAge10)))</f>
        <v/>
      </c>
      <c r="AW2497">
        <f>IF(OR('19_Расчет_аналитики'!AW2469=0,10&lt;='01_Вводные'!$B$297),0,'19_Расчет_аналитики'!AW2469*IF('01_Вводные'!$B$239="Да",MeanMinAge10+'19_Расчет_аналитики'!AW2583*SUMIF(ThresholdAge10,"&lt;"&amp;'19_Расчет_аналитики'!AW2583,WeightedRevAge10)-SUMIF(ThresholdAge10,"&lt;"&amp;'19_Расчет_аналитики'!AW2583,WeightedMinAge10),MAX(CapacityAge10*'01_Вводные'!$B$218*'19_Расчет_аналитики'!AW2583,MeanMinAge10)))</f>
        <v/>
      </c>
      <c r="AX2497">
        <f>IF(OR('19_Расчет_аналитики'!AX2469=0,10&lt;='01_Вводные'!$B$297),0,'19_Расчет_аналитики'!AX2469*IF('01_Вводные'!$B$239="Да",MeanMinAge10+'19_Расчет_аналитики'!AX2583*SUMIF(ThresholdAge10,"&lt;"&amp;'19_Расчет_аналитики'!AX2583,WeightedRevAge10)-SUMIF(ThresholdAge10,"&lt;"&amp;'19_Расчет_аналитики'!AX2583,WeightedMinAge10),MAX(CapacityAge10*'01_Вводные'!$B$218*'19_Расчет_аналитики'!AX2583,MeanMinAge10)))</f>
        <v/>
      </c>
      <c r="AY2497">
        <f>IF(OR('19_Расчет_аналитики'!AY2469=0,10&lt;='01_Вводные'!$B$297),0,'19_Расчет_аналитики'!AY2469*IF('01_Вводные'!$B$239="Да",MeanMinAge10+'19_Расчет_аналитики'!AY2583*SUMIF(ThresholdAge10,"&lt;"&amp;'19_Расчет_аналитики'!AY2583,WeightedRevAge10)-SUMIF(ThresholdAge10,"&lt;"&amp;'19_Расчет_аналитики'!AY2583,WeightedMinAge10),MAX(CapacityAge10*'01_Вводные'!$B$218*'19_Расчет_аналитики'!AY2583,MeanMinAge10)))</f>
        <v/>
      </c>
      <c r="AZ2497">
        <f>IF(OR('19_Расчет_аналитики'!AZ2469=0,10&lt;='01_Вводные'!$B$297),0,'19_Расчет_аналитики'!AZ2469*IF('01_Вводные'!$B$239="Да",MeanMinAge10+'19_Расчет_аналитики'!AZ2583*SUMIF(ThresholdAge10,"&lt;"&amp;'19_Расчет_аналитики'!AZ2583,WeightedRevAge10)-SUMIF(ThresholdAge10,"&lt;"&amp;'19_Расчет_аналитики'!AZ2583,WeightedMinAge10),MAX(CapacityAge10*'01_Вводные'!$B$218*'19_Расчет_аналитики'!AZ2583,MeanMinAge10)))</f>
        <v/>
      </c>
      <c r="BA2497">
        <f>IF(OR('19_Расчет_аналитики'!BA2469=0,10&lt;='01_Вводные'!$B$297),0,'19_Расчет_аналитики'!BA2469*IF('01_Вводные'!$B$239="Да",MeanMinAge10+'19_Расчет_аналитики'!BA2583*SUMIF(ThresholdAge10,"&lt;"&amp;'19_Расчет_аналитики'!BA2583,WeightedRevAge10)-SUMIF(ThresholdAge10,"&lt;"&amp;'19_Расчет_аналитики'!BA2583,WeightedMinAge10),MAX(CapacityAge10*'01_Вводные'!$B$218*'19_Расчет_аналитики'!BA2583,MeanMinAge10)))</f>
        <v/>
      </c>
      <c r="BB2497">
        <f>IF(OR('19_Расчет_аналитики'!BB2469=0,10&lt;='01_Вводные'!$B$297),0,'19_Расчет_аналитики'!BB2469*IF('01_Вводные'!$B$239="Да",MeanMinAge10+'19_Расчет_аналитики'!BB2583*SUMIF(ThresholdAge10,"&lt;"&amp;'19_Расчет_аналитики'!BB2583,WeightedRevAge10)-SUMIF(ThresholdAge10,"&lt;"&amp;'19_Расчет_аналитики'!BB2583,WeightedMinAge10),MAX(CapacityAge10*'01_Вводные'!$B$218*'19_Расчет_аналитики'!BB2583,MeanMinAge10)))</f>
        <v/>
      </c>
      <c r="BC2497">
        <f>IF(OR('19_Расчет_аналитики'!BC2469=0,10&lt;='01_Вводные'!$B$297),0,'19_Расчет_аналитики'!BC2469*IF('01_Вводные'!$B$239="Да",MeanMinAge10+'19_Расчет_аналитики'!BC2583*SUMIF(ThresholdAge10,"&lt;"&amp;'19_Расчет_аналитики'!BC2583,WeightedRevAge10)-SUMIF(ThresholdAge10,"&lt;"&amp;'19_Расчет_аналитики'!BC2583,WeightedMinAge10),MAX(CapacityAge10*'01_Вводные'!$B$218*'19_Расчет_аналитики'!BC2583,MeanMinAge10)))</f>
        <v/>
      </c>
      <c r="BD2497">
        <f>IF(OR('19_Расчет_аналитики'!BD2469=0,10&lt;='01_Вводные'!$B$297),0,'19_Расчет_аналитики'!BD2469*IF('01_Вводные'!$B$239="Да",MeanMinAge10+'19_Расчет_аналитики'!BD2583*SUMIF(ThresholdAge10,"&lt;"&amp;'19_Расчет_аналитики'!BD2583,WeightedRevAge10)-SUMIF(ThresholdAge10,"&lt;"&amp;'19_Расчет_аналитики'!BD2583,WeightedMinAge10),MAX(CapacityAge10*'01_Вводные'!$B$218*'19_Расчет_аналитики'!BD2583,MeanMinAge10)))</f>
        <v/>
      </c>
      <c r="BE2497">
        <f>IF(OR('19_Расчет_аналитики'!BE2469=0,10&lt;='01_Вводные'!$B$297),0,'19_Расчет_аналитики'!BE2469*IF('01_Вводные'!$B$239="Да",MeanMinAge10+'19_Расчет_аналитики'!BE2583*SUMIF(ThresholdAge10,"&lt;"&amp;'19_Расчет_аналитики'!BE2583,WeightedRevAge10)-SUMIF(ThresholdAge10,"&lt;"&amp;'19_Расчет_аналитики'!BE2583,WeightedMinAge10),MAX(CapacityAge10*'01_Вводные'!$B$218*'19_Расчет_аналитики'!BE2583,MeanMinAge10)))</f>
        <v/>
      </c>
      <c r="BF2497">
        <f>IF(OR('19_Расчет_аналитики'!BF2469=0,10&lt;='01_Вводные'!$B$297),0,'19_Расчет_аналитики'!BF2469*IF('01_Вводные'!$B$239="Да",MeanMinAge10+'19_Расчет_аналитики'!BF2583*SUMIF(ThresholdAge10,"&lt;"&amp;'19_Расчет_аналитики'!BF2583,WeightedRevAge10)-SUMIF(ThresholdAge10,"&lt;"&amp;'19_Расчет_аналитики'!BF2583,WeightedMinAge10),MAX(CapacityAge10*'01_Вводные'!$B$218*'19_Расчет_аналитики'!BF2583,MeanMinAge10)))</f>
        <v/>
      </c>
      <c r="BG2497">
        <f>IF(OR('19_Расчет_аналитики'!BG2469=0,10&lt;='01_Вводные'!$B$297),0,'19_Расчет_аналитики'!BG2469*IF('01_Вводные'!$B$239="Да",MeanMinAge10+'19_Расчет_аналитики'!BG2583*SUMIF(ThresholdAge10,"&lt;"&amp;'19_Расчет_аналитики'!BG2583,WeightedRevAge10)-SUMIF(ThresholdAge10,"&lt;"&amp;'19_Расчет_аналитики'!BG2583,WeightedMinAge10),MAX(CapacityAge10*'01_Вводные'!$B$218*'19_Расчет_аналитики'!BG2583,MeanMinAge10)))</f>
        <v/>
      </c>
      <c r="BH2497">
        <f>IF(OR('19_Расчет_аналитики'!BH2469=0,10&lt;='01_Вводные'!$B$297),0,'19_Расчет_аналитики'!BH2469*IF('01_Вводные'!$B$239="Да",MeanMinAge10+'19_Расчет_аналитики'!BH2583*SUMIF(ThresholdAge10,"&lt;"&amp;'19_Расчет_аналитики'!BH2583,WeightedRevAge10)-SUMIF(ThresholdAge10,"&lt;"&amp;'19_Расчет_аналитики'!BH2583,WeightedMinAge10),MAX(CapacityAge10*'01_Вводные'!$B$218*'19_Расчет_аналитики'!BH2583,MeanMinAge10)))</f>
        <v/>
      </c>
      <c r="BI2497">
        <f>IF(OR('19_Расчет_аналитики'!BI2469=0,10&lt;='01_Вводные'!$B$297),0,'19_Расчет_аналитики'!BI2469*IF('01_Вводные'!$B$239="Да",MeanMinAge10+'19_Расчет_аналитики'!BI2583*SUMIF(ThresholdAge10,"&lt;"&amp;'19_Расчет_аналитики'!BI2583,WeightedRevAge10)-SUMIF(ThresholdAge10,"&lt;"&amp;'19_Расчет_аналитики'!BI2583,WeightedMinAge10),MAX(CapacityAge10*'01_Вводные'!$B$218*'19_Расчет_аналитики'!BI2583,MeanMinAge10)))</f>
        <v/>
      </c>
      <c r="BJ2497">
        <f>IF(OR('19_Расчет_аналитики'!BJ2469=0,10&lt;='01_Вводные'!$B$297),0,'19_Расчет_аналитики'!BJ2469*IF('01_Вводные'!$B$239="Да",MeanMinAge10+'19_Расчет_аналитики'!BJ2583*SUMIF(ThresholdAge10,"&lt;"&amp;'19_Расчет_аналитики'!BJ2583,WeightedRevAge10)-SUMIF(ThresholdAge10,"&lt;"&amp;'19_Расчет_аналитики'!BJ2583,WeightedMinAge10),MAX(CapacityAge10*'01_Вводные'!$B$218*'19_Расчет_аналитики'!BJ2583,MeanMinAge10)))</f>
        <v/>
      </c>
      <c r="BK2497">
        <f>IF(OR('19_Расчет_аналитики'!BK2469=0,10&lt;='01_Вводные'!$B$297),0,'19_Расчет_аналитики'!BK2469*IF('01_Вводные'!$B$239="Да",MeanMinAge10+'19_Расчет_аналитики'!BK2583*SUMIF(ThresholdAge10,"&lt;"&amp;'19_Расчет_аналитики'!BK2583,WeightedRevAge10)-SUMIF(ThresholdAge10,"&lt;"&amp;'19_Расчет_аналитики'!BK2583,WeightedMinAge10),MAX(CapacityAge10*'01_Вводные'!$B$218*'19_Расчет_аналитики'!BK2583,MeanMinAge10)))</f>
        <v/>
      </c>
      <c r="BL2497">
        <f>IF(OR('19_Расчет_аналитики'!BL2469=0,10&lt;='01_Вводные'!$B$297),0,'19_Расчет_аналитики'!BL2469*IF('01_Вводные'!$B$239="Да",MeanMinAge10+'19_Расчет_аналитики'!BL2583*SUMIF(ThresholdAge10,"&lt;"&amp;'19_Расчет_аналитики'!BL2583,WeightedRevAge10)-SUMIF(ThresholdAge10,"&lt;"&amp;'19_Расчет_аналитики'!BL2583,WeightedMinAge10),MAX(CapacityAge10*'01_Вводные'!$B$218*'19_Расчет_аналитики'!BL2583,MeanMinAge10)))</f>
        <v/>
      </c>
      <c r="BM2497">
        <f>IF(OR('19_Расчет_аналитики'!BM2469=0,10&lt;='01_Вводные'!$B$297),0,'19_Расчет_аналитики'!BM2469*IF('01_Вводные'!$B$239="Да",MeanMinAge10+'19_Расчет_аналитики'!BM2583*SUMIF(ThresholdAge10,"&lt;"&amp;'19_Расчет_аналитики'!BM2583,WeightedRevAge10)-SUMIF(ThresholdAge10,"&lt;"&amp;'19_Расчет_аналитики'!BM2583,WeightedMinAge10),MAX(CapacityAge10*'01_Вводные'!$B$218*'19_Расчет_аналитики'!BM2583,MeanMinAge10)))</f>
        <v/>
      </c>
      <c r="BN2497">
        <f>IF(OR('19_Расчет_аналитики'!BN2469=0,10&lt;='01_Вводные'!$B$297),0,'19_Расчет_аналитики'!BN2469*IF('01_Вводные'!$B$239="Да",MeanMinAge10+'19_Расчет_аналитики'!BN2583*SUMIF(ThresholdAge10,"&lt;"&amp;'19_Расчет_аналитики'!BN2583,WeightedRevAge10)-SUMIF(ThresholdAge10,"&lt;"&amp;'19_Расчет_аналитики'!BN2583,WeightedMinAge10),MAX(CapacityAge10*'01_Вводные'!$B$218*'19_Расчет_аналитики'!BN2583,MeanMinAge10)))</f>
        <v/>
      </c>
      <c r="BO2497">
        <f>IF(OR('19_Расчет_аналитики'!BO2469=0,10&lt;='01_Вводные'!$B$297),0,'19_Расчет_аналитики'!BO2469*IF('01_Вводные'!$B$239="Да",MeanMinAge10+'19_Расчет_аналитики'!BO2583*SUMIF(ThresholdAge10,"&lt;"&amp;'19_Расчет_аналитики'!BO2583,WeightedRevAge10)-SUMIF(ThresholdAge10,"&lt;"&amp;'19_Расчет_аналитики'!BO2583,WeightedMinAge10),MAX(CapacityAge10*'01_Вводные'!$B$218*'19_Расчет_аналитики'!BO2583,MeanMinAge10)))</f>
        <v/>
      </c>
    </row>
    <row r="2498">
      <c r="B2498">
        <f>IF(OR('06_Сеть_и_дети'!B91=0,11&lt;='01_Вводные'!$B$297),0,'06_Сеть_и_дети'!B91*IF('01_Вводные'!$B$239="Да",MeanMinAge11+'19_Расчет_аналитики'!B2583*SUMIF(ThresholdAge11,"&lt;"&amp;'19_Расчет_аналитики'!B2583,WeightedRevAge11)-SUMIF(ThresholdAge11,"&lt;"&amp;'19_Расчет_аналитики'!B2583,WeightedMinAge11),MAX(CapacityAge11*'01_Вводные'!$B$218*'19_Расчет_аналитики'!B2583,MeanMinAge11)))</f>
        <v/>
      </c>
      <c r="C2498">
        <f>IF(OR('06_Сеть_и_дети'!C91=0,11&lt;='01_Вводные'!$B$297),0,'06_Сеть_и_дети'!C91*IF('01_Вводные'!$B$239="Да",MeanMinAge11+'19_Расчет_аналитики'!C2583*SUMIF(ThresholdAge11,"&lt;"&amp;'19_Расчет_аналитики'!C2583,WeightedRevAge11)-SUMIF(ThresholdAge11,"&lt;"&amp;'19_Расчет_аналитики'!C2583,WeightedMinAge11),MAX(CapacityAge11*'01_Вводные'!$B$218*'19_Расчет_аналитики'!C2583,MeanMinAge11)))</f>
        <v/>
      </c>
      <c r="D2498">
        <f>IF(OR('06_Сеть_и_дети'!D91=0,11&lt;='01_Вводные'!$B$297),0,'06_Сеть_и_дети'!D91*IF('01_Вводные'!$B$239="Да",MeanMinAge11+'19_Расчет_аналитики'!D2583*SUMIF(ThresholdAge11,"&lt;"&amp;'19_Расчет_аналитики'!D2583,WeightedRevAge11)-SUMIF(ThresholdAge11,"&lt;"&amp;'19_Расчет_аналитики'!D2583,WeightedMinAge11),MAX(CapacityAge11*'01_Вводные'!$B$218*'19_Расчет_аналитики'!D2583,MeanMinAge11)))</f>
        <v/>
      </c>
      <c r="E2498">
        <f>IF(OR('06_Сеть_и_дети'!E91=0,11&lt;='01_Вводные'!$B$297),0,'06_Сеть_и_дети'!E91*IF('01_Вводные'!$B$239="Да",MeanMinAge11+'19_Расчет_аналитики'!E2583*SUMIF(ThresholdAge11,"&lt;"&amp;'19_Расчет_аналитики'!E2583,WeightedRevAge11)-SUMIF(ThresholdAge11,"&lt;"&amp;'19_Расчет_аналитики'!E2583,WeightedMinAge11),MAX(CapacityAge11*'01_Вводные'!$B$218*'19_Расчет_аналитики'!E2583,MeanMinAge11)))</f>
        <v/>
      </c>
      <c r="F2498">
        <f>IF(OR('06_Сеть_и_дети'!F91=0,11&lt;='01_Вводные'!$B$297),0,'06_Сеть_и_дети'!F91*IF('01_Вводные'!$B$239="Да",MeanMinAge11+'19_Расчет_аналитики'!F2583*SUMIF(ThresholdAge11,"&lt;"&amp;'19_Расчет_аналитики'!F2583,WeightedRevAge11)-SUMIF(ThresholdAge11,"&lt;"&amp;'19_Расчет_аналитики'!F2583,WeightedMinAge11),MAX(CapacityAge11*'01_Вводные'!$B$218*'19_Расчет_аналитики'!F2583,MeanMinAge11)))</f>
        <v/>
      </c>
      <c r="G2498">
        <f>IF(OR('06_Сеть_и_дети'!G91=0,11&lt;='01_Вводные'!$B$297),0,'06_Сеть_и_дети'!G91*IF('01_Вводные'!$B$239="Да",MeanMinAge11+'19_Расчет_аналитики'!G2583*SUMIF(ThresholdAge11,"&lt;"&amp;'19_Расчет_аналитики'!G2583,WeightedRevAge11)-SUMIF(ThresholdAge11,"&lt;"&amp;'19_Расчет_аналитики'!G2583,WeightedMinAge11),MAX(CapacityAge11*'01_Вводные'!$B$218*'19_Расчет_аналитики'!G2583,MeanMinAge11)))</f>
        <v/>
      </c>
      <c r="H2498">
        <f>IF(OR('06_Сеть_и_дети'!H91=0,11&lt;='01_Вводные'!$B$297),0,'06_Сеть_и_дети'!H91*IF('01_Вводные'!$B$239="Да",MeanMinAge11+'19_Расчет_аналитики'!H2583*SUMIF(ThresholdAge11,"&lt;"&amp;'19_Расчет_аналитики'!H2583,WeightedRevAge11)-SUMIF(ThresholdAge11,"&lt;"&amp;'19_Расчет_аналитики'!H2583,WeightedMinAge11),MAX(CapacityAge11*'01_Вводные'!$B$218*'19_Расчет_аналитики'!H2583,MeanMinAge11)))</f>
        <v/>
      </c>
      <c r="I2498">
        <f>IF(OR('06_Сеть_и_дети'!I91=0,11&lt;='01_Вводные'!$B$297),0,'06_Сеть_и_дети'!I91*IF('01_Вводные'!$B$239="Да",MeanMinAge11+'19_Расчет_аналитики'!I2583*SUMIF(ThresholdAge11,"&lt;"&amp;'19_Расчет_аналитики'!I2583,WeightedRevAge11)-SUMIF(ThresholdAge11,"&lt;"&amp;'19_Расчет_аналитики'!I2583,WeightedMinAge11),MAX(CapacityAge11*'01_Вводные'!$B$218*'19_Расчет_аналитики'!I2583,MeanMinAge11)))</f>
        <v/>
      </c>
      <c r="J2498">
        <f>IF(OR('06_Сеть_и_дети'!J91=0,11&lt;='01_Вводные'!$B$297),0,'06_Сеть_и_дети'!J91*IF('01_Вводные'!$B$239="Да",MeanMinAge11+'19_Расчет_аналитики'!J2583*SUMIF(ThresholdAge11,"&lt;"&amp;'19_Расчет_аналитики'!J2583,WeightedRevAge11)-SUMIF(ThresholdAge11,"&lt;"&amp;'19_Расчет_аналитики'!J2583,WeightedMinAge11),MAX(CapacityAge11*'01_Вводные'!$B$218*'19_Расчет_аналитики'!J2583,MeanMinAge11)))</f>
        <v/>
      </c>
      <c r="K2498">
        <f>IF(OR('06_Сеть_и_дети'!K91=0,11&lt;='01_Вводные'!$B$297),0,'06_Сеть_и_дети'!K91*IF('01_Вводные'!$B$239="Да",MeanMinAge11+'19_Расчет_аналитики'!K2583*SUMIF(ThresholdAge11,"&lt;"&amp;'19_Расчет_аналитики'!K2583,WeightedRevAge11)-SUMIF(ThresholdAge11,"&lt;"&amp;'19_Расчет_аналитики'!K2583,WeightedMinAge11),MAX(CapacityAge11*'01_Вводные'!$B$218*'19_Расчет_аналитики'!K2583,MeanMinAge11)))</f>
        <v/>
      </c>
      <c r="L2498">
        <f>IF(OR('19_Расчет_аналитики'!L2470=0,11&lt;='01_Вводные'!$B$297),0,'19_Расчет_аналитики'!L2470*IF('01_Вводные'!$B$239="Да",MeanMinAge11+'19_Расчет_аналитики'!L2583*SUMIF(ThresholdAge11,"&lt;"&amp;'19_Расчет_аналитики'!L2583,WeightedRevAge11)-SUMIF(ThresholdAge11,"&lt;"&amp;'19_Расчет_аналитики'!L2583,WeightedMinAge11),MAX(CapacityAge11*'01_Вводные'!$B$218*'19_Расчет_аналитики'!L2583,MeanMinAge11)))</f>
        <v/>
      </c>
      <c r="M2498">
        <f>IF(OR('19_Расчет_аналитики'!M2470=0,11&lt;='01_Вводные'!$B$297),0,'19_Расчет_аналитики'!M2470*IF('01_Вводные'!$B$239="Да",MeanMinAge11+'19_Расчет_аналитики'!M2583*SUMIF(ThresholdAge11,"&lt;"&amp;'19_Расчет_аналитики'!M2583,WeightedRevAge11)-SUMIF(ThresholdAge11,"&lt;"&amp;'19_Расчет_аналитики'!M2583,WeightedMinAge11),MAX(CapacityAge11*'01_Вводные'!$B$218*'19_Расчет_аналитики'!M2583,MeanMinAge11)))</f>
        <v/>
      </c>
      <c r="N2498">
        <f>IF(OR('19_Расчет_аналитики'!N2470=0,11&lt;='01_Вводные'!$B$297),0,'19_Расчет_аналитики'!N2470*IF('01_Вводные'!$B$239="Да",MeanMinAge11+'19_Расчет_аналитики'!N2583*SUMIF(ThresholdAge11,"&lt;"&amp;'19_Расчет_аналитики'!N2583,WeightedRevAge11)-SUMIF(ThresholdAge11,"&lt;"&amp;'19_Расчет_аналитики'!N2583,WeightedMinAge11),MAX(CapacityAge11*'01_Вводные'!$B$218*'19_Расчет_аналитики'!N2583,MeanMinAge11)))</f>
        <v/>
      </c>
      <c r="O2498">
        <f>IF(OR('19_Расчет_аналитики'!O2470=0,11&lt;='01_Вводные'!$B$297),0,'19_Расчет_аналитики'!O2470*IF('01_Вводные'!$B$239="Да",MeanMinAge11+'19_Расчет_аналитики'!O2583*SUMIF(ThresholdAge11,"&lt;"&amp;'19_Расчет_аналитики'!O2583,WeightedRevAge11)-SUMIF(ThresholdAge11,"&lt;"&amp;'19_Расчет_аналитики'!O2583,WeightedMinAge11),MAX(CapacityAge11*'01_Вводные'!$B$218*'19_Расчет_аналитики'!O2583,MeanMinAge11)))</f>
        <v/>
      </c>
      <c r="P2498">
        <f>IF(OR('19_Расчет_аналитики'!P2470=0,11&lt;='01_Вводные'!$B$297),0,'19_Расчет_аналитики'!P2470*IF('01_Вводные'!$B$239="Да",MeanMinAge11+'19_Расчет_аналитики'!P2583*SUMIF(ThresholdAge11,"&lt;"&amp;'19_Расчет_аналитики'!P2583,WeightedRevAge11)-SUMIF(ThresholdAge11,"&lt;"&amp;'19_Расчет_аналитики'!P2583,WeightedMinAge11),MAX(CapacityAge11*'01_Вводные'!$B$218*'19_Расчет_аналитики'!P2583,MeanMinAge11)))</f>
        <v/>
      </c>
      <c r="Q2498">
        <f>IF(OR('19_Расчет_аналитики'!Q2470=0,11&lt;='01_Вводные'!$B$297),0,'19_Расчет_аналитики'!Q2470*IF('01_Вводные'!$B$239="Да",MeanMinAge11+'19_Расчет_аналитики'!Q2583*SUMIF(ThresholdAge11,"&lt;"&amp;'19_Расчет_аналитики'!Q2583,WeightedRevAge11)-SUMIF(ThresholdAge11,"&lt;"&amp;'19_Расчет_аналитики'!Q2583,WeightedMinAge11),MAX(CapacityAge11*'01_Вводные'!$B$218*'19_Расчет_аналитики'!Q2583,MeanMinAge11)))</f>
        <v/>
      </c>
      <c r="R2498">
        <f>IF(OR('19_Расчет_аналитики'!R2470=0,11&lt;='01_Вводные'!$B$297),0,'19_Расчет_аналитики'!R2470*IF('01_Вводные'!$B$239="Да",MeanMinAge11+'19_Расчет_аналитики'!R2583*SUMIF(ThresholdAge11,"&lt;"&amp;'19_Расчет_аналитики'!R2583,WeightedRevAge11)-SUMIF(ThresholdAge11,"&lt;"&amp;'19_Расчет_аналитики'!R2583,WeightedMinAge11),MAX(CapacityAge11*'01_Вводные'!$B$218*'19_Расчет_аналитики'!R2583,MeanMinAge11)))</f>
        <v/>
      </c>
      <c r="S2498">
        <f>IF(OR('19_Расчет_аналитики'!S2470=0,11&lt;='01_Вводные'!$B$297),0,'19_Расчет_аналитики'!S2470*IF('01_Вводные'!$B$239="Да",MeanMinAge11+'19_Расчет_аналитики'!S2583*SUMIF(ThresholdAge11,"&lt;"&amp;'19_Расчет_аналитики'!S2583,WeightedRevAge11)-SUMIF(ThresholdAge11,"&lt;"&amp;'19_Расчет_аналитики'!S2583,WeightedMinAge11),MAX(CapacityAge11*'01_Вводные'!$B$218*'19_Расчет_аналитики'!S2583,MeanMinAge11)))</f>
        <v/>
      </c>
      <c r="T2498">
        <f>IF(OR('19_Расчет_аналитики'!T2470=0,11&lt;='01_Вводные'!$B$297),0,'19_Расчет_аналитики'!T2470*IF('01_Вводные'!$B$239="Да",MeanMinAge11+'19_Расчет_аналитики'!T2583*SUMIF(ThresholdAge11,"&lt;"&amp;'19_Расчет_аналитики'!T2583,WeightedRevAge11)-SUMIF(ThresholdAge11,"&lt;"&amp;'19_Расчет_аналитики'!T2583,WeightedMinAge11),MAX(CapacityAge11*'01_Вводные'!$B$218*'19_Расчет_аналитики'!T2583,MeanMinAge11)))</f>
        <v/>
      </c>
      <c r="U2498">
        <f>IF(OR('19_Расчет_аналитики'!U2470=0,11&lt;='01_Вводные'!$B$297),0,'19_Расчет_аналитики'!U2470*IF('01_Вводные'!$B$239="Да",MeanMinAge11+'19_Расчет_аналитики'!U2583*SUMIF(ThresholdAge11,"&lt;"&amp;'19_Расчет_аналитики'!U2583,WeightedRevAge11)-SUMIF(ThresholdAge11,"&lt;"&amp;'19_Расчет_аналитики'!U2583,WeightedMinAge11),MAX(CapacityAge11*'01_Вводные'!$B$218*'19_Расчет_аналитики'!U2583,MeanMinAge11)))</f>
        <v/>
      </c>
      <c r="V2498">
        <f>IF(OR('19_Расчет_аналитики'!V2470=0,11&lt;='01_Вводные'!$B$297),0,'19_Расчет_аналитики'!V2470*IF('01_Вводные'!$B$239="Да",MeanMinAge11+'19_Расчет_аналитики'!V2583*SUMIF(ThresholdAge11,"&lt;"&amp;'19_Расчет_аналитики'!V2583,WeightedRevAge11)-SUMIF(ThresholdAge11,"&lt;"&amp;'19_Расчет_аналитики'!V2583,WeightedMinAge11),MAX(CapacityAge11*'01_Вводные'!$B$218*'19_Расчет_аналитики'!V2583,MeanMinAge11)))</f>
        <v/>
      </c>
      <c r="W2498">
        <f>IF(OR('19_Расчет_аналитики'!W2470=0,11&lt;='01_Вводные'!$B$297),0,'19_Расчет_аналитики'!W2470*IF('01_Вводные'!$B$239="Да",MeanMinAge11+'19_Расчет_аналитики'!W2583*SUMIF(ThresholdAge11,"&lt;"&amp;'19_Расчет_аналитики'!W2583,WeightedRevAge11)-SUMIF(ThresholdAge11,"&lt;"&amp;'19_Расчет_аналитики'!W2583,WeightedMinAge11),MAX(CapacityAge11*'01_Вводные'!$B$218*'19_Расчет_аналитики'!W2583,MeanMinAge11)))</f>
        <v/>
      </c>
      <c r="X2498">
        <f>IF(OR('19_Расчет_аналитики'!X2470=0,11&lt;='01_Вводные'!$B$297),0,'19_Расчет_аналитики'!X2470*IF('01_Вводные'!$B$239="Да",MeanMinAge11+'19_Расчет_аналитики'!X2583*SUMIF(ThresholdAge11,"&lt;"&amp;'19_Расчет_аналитики'!X2583,WeightedRevAge11)-SUMIF(ThresholdAge11,"&lt;"&amp;'19_Расчет_аналитики'!X2583,WeightedMinAge11),MAX(CapacityAge11*'01_Вводные'!$B$218*'19_Расчет_аналитики'!X2583,MeanMinAge11)))</f>
        <v/>
      </c>
      <c r="Y2498">
        <f>IF(OR('19_Расчет_аналитики'!Y2470=0,11&lt;='01_Вводные'!$B$297),0,'19_Расчет_аналитики'!Y2470*IF('01_Вводные'!$B$239="Да",MeanMinAge11+'19_Расчет_аналитики'!Y2583*SUMIF(ThresholdAge11,"&lt;"&amp;'19_Расчет_аналитики'!Y2583,WeightedRevAge11)-SUMIF(ThresholdAge11,"&lt;"&amp;'19_Расчет_аналитики'!Y2583,WeightedMinAge11),MAX(CapacityAge11*'01_Вводные'!$B$218*'19_Расчет_аналитики'!Y2583,MeanMinAge11)))</f>
        <v/>
      </c>
      <c r="Z2498">
        <f>IF(OR('19_Расчет_аналитики'!Z2470=0,11&lt;='01_Вводные'!$B$297),0,'19_Расчет_аналитики'!Z2470*IF('01_Вводные'!$B$239="Да",MeanMinAge11+'19_Расчет_аналитики'!Z2583*SUMIF(ThresholdAge11,"&lt;"&amp;'19_Расчет_аналитики'!Z2583,WeightedRevAge11)-SUMIF(ThresholdAge11,"&lt;"&amp;'19_Расчет_аналитики'!Z2583,WeightedMinAge11),MAX(CapacityAge11*'01_Вводные'!$B$218*'19_Расчет_аналитики'!Z2583,MeanMinAge11)))</f>
        <v/>
      </c>
      <c r="AA2498">
        <f>IF(OR('19_Расчет_аналитики'!AA2470=0,11&lt;='01_Вводные'!$B$297),0,'19_Расчет_аналитики'!AA2470*IF('01_Вводные'!$B$239="Да",MeanMinAge11+'19_Расчет_аналитики'!AA2583*SUMIF(ThresholdAge11,"&lt;"&amp;'19_Расчет_аналитики'!AA2583,WeightedRevAge11)-SUMIF(ThresholdAge11,"&lt;"&amp;'19_Расчет_аналитики'!AA2583,WeightedMinAge11),MAX(CapacityAge11*'01_Вводные'!$B$218*'19_Расчет_аналитики'!AA2583,MeanMinAge11)))</f>
        <v/>
      </c>
      <c r="AB2498">
        <f>IF(OR('19_Расчет_аналитики'!AB2470=0,11&lt;='01_Вводные'!$B$297),0,'19_Расчет_аналитики'!AB2470*IF('01_Вводные'!$B$239="Да",MeanMinAge11+'19_Расчет_аналитики'!AB2583*SUMIF(ThresholdAge11,"&lt;"&amp;'19_Расчет_аналитики'!AB2583,WeightedRevAge11)-SUMIF(ThresholdAge11,"&lt;"&amp;'19_Расчет_аналитики'!AB2583,WeightedMinAge11),MAX(CapacityAge11*'01_Вводные'!$B$218*'19_Расчет_аналитики'!AB2583,MeanMinAge11)))</f>
        <v/>
      </c>
      <c r="AC2498">
        <f>IF(OR('19_Расчет_аналитики'!AC2470=0,11&lt;='01_Вводные'!$B$297),0,'19_Расчет_аналитики'!AC2470*IF('01_Вводные'!$B$239="Да",MeanMinAge11+'19_Расчет_аналитики'!AC2583*SUMIF(ThresholdAge11,"&lt;"&amp;'19_Расчет_аналитики'!AC2583,WeightedRevAge11)-SUMIF(ThresholdAge11,"&lt;"&amp;'19_Расчет_аналитики'!AC2583,WeightedMinAge11),MAX(CapacityAge11*'01_Вводные'!$B$218*'19_Расчет_аналитики'!AC2583,MeanMinAge11)))</f>
        <v/>
      </c>
      <c r="AD2498">
        <f>IF(OR('19_Расчет_аналитики'!AD2470=0,11&lt;='01_Вводные'!$B$297),0,'19_Расчет_аналитики'!AD2470*IF('01_Вводные'!$B$239="Да",MeanMinAge11+'19_Расчет_аналитики'!AD2583*SUMIF(ThresholdAge11,"&lt;"&amp;'19_Расчет_аналитики'!AD2583,WeightedRevAge11)-SUMIF(ThresholdAge11,"&lt;"&amp;'19_Расчет_аналитики'!AD2583,WeightedMinAge11),MAX(CapacityAge11*'01_Вводные'!$B$218*'19_Расчет_аналитики'!AD2583,MeanMinAge11)))</f>
        <v/>
      </c>
      <c r="AE2498">
        <f>IF(OR('19_Расчет_аналитики'!AE2470=0,11&lt;='01_Вводные'!$B$297),0,'19_Расчет_аналитики'!AE2470*IF('01_Вводные'!$B$239="Да",MeanMinAge11+'19_Расчет_аналитики'!AE2583*SUMIF(ThresholdAge11,"&lt;"&amp;'19_Расчет_аналитики'!AE2583,WeightedRevAge11)-SUMIF(ThresholdAge11,"&lt;"&amp;'19_Расчет_аналитики'!AE2583,WeightedMinAge11),MAX(CapacityAge11*'01_Вводные'!$B$218*'19_Расчет_аналитики'!AE2583,MeanMinAge11)))</f>
        <v/>
      </c>
      <c r="AF2498">
        <f>IF(OR('19_Расчет_аналитики'!AF2470=0,11&lt;='01_Вводные'!$B$297),0,'19_Расчет_аналитики'!AF2470*IF('01_Вводные'!$B$239="Да",MeanMinAge11+'19_Расчет_аналитики'!AF2583*SUMIF(ThresholdAge11,"&lt;"&amp;'19_Расчет_аналитики'!AF2583,WeightedRevAge11)-SUMIF(ThresholdAge11,"&lt;"&amp;'19_Расчет_аналитики'!AF2583,WeightedMinAge11),MAX(CapacityAge11*'01_Вводные'!$B$218*'19_Расчет_аналитики'!AF2583,MeanMinAge11)))</f>
        <v/>
      </c>
      <c r="AG2498">
        <f>IF(OR('19_Расчет_аналитики'!AG2470=0,11&lt;='01_Вводные'!$B$297),0,'19_Расчет_аналитики'!AG2470*IF('01_Вводные'!$B$239="Да",MeanMinAge11+'19_Расчет_аналитики'!AG2583*SUMIF(ThresholdAge11,"&lt;"&amp;'19_Расчет_аналитики'!AG2583,WeightedRevAge11)-SUMIF(ThresholdAge11,"&lt;"&amp;'19_Расчет_аналитики'!AG2583,WeightedMinAge11),MAX(CapacityAge11*'01_Вводные'!$B$218*'19_Расчет_аналитики'!AG2583,MeanMinAge11)))</f>
        <v/>
      </c>
      <c r="AH2498">
        <f>IF(OR('19_Расчет_аналитики'!AH2470=0,11&lt;='01_Вводные'!$B$297),0,'19_Расчет_аналитики'!AH2470*IF('01_Вводные'!$B$239="Да",MeanMinAge11+'19_Расчет_аналитики'!AH2583*SUMIF(ThresholdAge11,"&lt;"&amp;'19_Расчет_аналитики'!AH2583,WeightedRevAge11)-SUMIF(ThresholdAge11,"&lt;"&amp;'19_Расчет_аналитики'!AH2583,WeightedMinAge11),MAX(CapacityAge11*'01_Вводные'!$B$218*'19_Расчет_аналитики'!AH2583,MeanMinAge11)))</f>
        <v/>
      </c>
      <c r="AI2498">
        <f>IF(OR('19_Расчет_аналитики'!AI2470=0,11&lt;='01_Вводные'!$B$297),0,'19_Расчет_аналитики'!AI2470*IF('01_Вводные'!$B$239="Да",MeanMinAge11+'19_Расчет_аналитики'!AI2583*SUMIF(ThresholdAge11,"&lt;"&amp;'19_Расчет_аналитики'!AI2583,WeightedRevAge11)-SUMIF(ThresholdAge11,"&lt;"&amp;'19_Расчет_аналитики'!AI2583,WeightedMinAge11),MAX(CapacityAge11*'01_Вводные'!$B$218*'19_Расчет_аналитики'!AI2583,MeanMinAge11)))</f>
        <v/>
      </c>
      <c r="AJ2498">
        <f>IF(OR('19_Расчет_аналитики'!AJ2470=0,11&lt;='01_Вводные'!$B$297),0,'19_Расчет_аналитики'!AJ2470*IF('01_Вводные'!$B$239="Да",MeanMinAge11+'19_Расчет_аналитики'!AJ2583*SUMIF(ThresholdAge11,"&lt;"&amp;'19_Расчет_аналитики'!AJ2583,WeightedRevAge11)-SUMIF(ThresholdAge11,"&lt;"&amp;'19_Расчет_аналитики'!AJ2583,WeightedMinAge11),MAX(CapacityAge11*'01_Вводные'!$B$218*'19_Расчет_аналитики'!AJ2583,MeanMinAge11)))</f>
        <v/>
      </c>
      <c r="AK2498">
        <f>IF(OR('19_Расчет_аналитики'!AK2470=0,11&lt;='01_Вводные'!$B$297),0,'19_Расчет_аналитики'!AK2470*IF('01_Вводные'!$B$239="Да",MeanMinAge11+'19_Расчет_аналитики'!AK2583*SUMIF(ThresholdAge11,"&lt;"&amp;'19_Расчет_аналитики'!AK2583,WeightedRevAge11)-SUMIF(ThresholdAge11,"&lt;"&amp;'19_Расчет_аналитики'!AK2583,WeightedMinAge11),MAX(CapacityAge11*'01_Вводные'!$B$218*'19_Расчет_аналитики'!AK2583,MeanMinAge11)))</f>
        <v/>
      </c>
      <c r="AL2498">
        <f>IF(OR('19_Расчет_аналитики'!AL2470=0,11&lt;='01_Вводные'!$B$297),0,'19_Расчет_аналитики'!AL2470*IF('01_Вводные'!$B$239="Да",MeanMinAge11+'19_Расчет_аналитики'!AL2583*SUMIF(ThresholdAge11,"&lt;"&amp;'19_Расчет_аналитики'!AL2583,WeightedRevAge11)-SUMIF(ThresholdAge11,"&lt;"&amp;'19_Расчет_аналитики'!AL2583,WeightedMinAge11),MAX(CapacityAge11*'01_Вводные'!$B$218*'19_Расчет_аналитики'!AL2583,MeanMinAge11)))</f>
        <v/>
      </c>
      <c r="AM2498">
        <f>IF(OR('19_Расчет_аналитики'!AM2470=0,11&lt;='01_Вводные'!$B$297),0,'19_Расчет_аналитики'!AM2470*IF('01_Вводные'!$B$239="Да",MeanMinAge11+'19_Расчет_аналитики'!AM2583*SUMIF(ThresholdAge11,"&lt;"&amp;'19_Расчет_аналитики'!AM2583,WeightedRevAge11)-SUMIF(ThresholdAge11,"&lt;"&amp;'19_Расчет_аналитики'!AM2583,WeightedMinAge11),MAX(CapacityAge11*'01_Вводные'!$B$218*'19_Расчет_аналитики'!AM2583,MeanMinAge11)))</f>
        <v/>
      </c>
      <c r="AN2498">
        <f>IF(OR('19_Расчет_аналитики'!AN2470=0,11&lt;='01_Вводные'!$B$297),0,'19_Расчет_аналитики'!AN2470*IF('01_Вводные'!$B$239="Да",MeanMinAge11+'19_Расчет_аналитики'!AN2583*SUMIF(ThresholdAge11,"&lt;"&amp;'19_Расчет_аналитики'!AN2583,WeightedRevAge11)-SUMIF(ThresholdAge11,"&lt;"&amp;'19_Расчет_аналитики'!AN2583,WeightedMinAge11),MAX(CapacityAge11*'01_Вводные'!$B$218*'19_Расчет_аналитики'!AN2583,MeanMinAge11)))</f>
        <v/>
      </c>
      <c r="AO2498">
        <f>IF(OR('19_Расчет_аналитики'!AO2470=0,11&lt;='01_Вводные'!$B$297),0,'19_Расчет_аналитики'!AO2470*IF('01_Вводные'!$B$239="Да",MeanMinAge11+'19_Расчет_аналитики'!AO2583*SUMIF(ThresholdAge11,"&lt;"&amp;'19_Расчет_аналитики'!AO2583,WeightedRevAge11)-SUMIF(ThresholdAge11,"&lt;"&amp;'19_Расчет_аналитики'!AO2583,WeightedMinAge11),MAX(CapacityAge11*'01_Вводные'!$B$218*'19_Расчет_аналитики'!AO2583,MeanMinAge11)))</f>
        <v/>
      </c>
      <c r="AP2498">
        <f>IF(OR('19_Расчет_аналитики'!AP2470=0,11&lt;='01_Вводные'!$B$297),0,'19_Расчет_аналитики'!AP2470*IF('01_Вводные'!$B$239="Да",MeanMinAge11+'19_Расчет_аналитики'!AP2583*SUMIF(ThresholdAge11,"&lt;"&amp;'19_Расчет_аналитики'!AP2583,WeightedRevAge11)-SUMIF(ThresholdAge11,"&lt;"&amp;'19_Расчет_аналитики'!AP2583,WeightedMinAge11),MAX(CapacityAge11*'01_Вводные'!$B$218*'19_Расчет_аналитики'!AP2583,MeanMinAge11)))</f>
        <v/>
      </c>
      <c r="AQ2498">
        <f>IF(OR('19_Расчет_аналитики'!AQ2470=0,11&lt;='01_Вводные'!$B$297),0,'19_Расчет_аналитики'!AQ2470*IF('01_Вводные'!$B$239="Да",MeanMinAge11+'19_Расчет_аналитики'!AQ2583*SUMIF(ThresholdAge11,"&lt;"&amp;'19_Расчет_аналитики'!AQ2583,WeightedRevAge11)-SUMIF(ThresholdAge11,"&lt;"&amp;'19_Расчет_аналитики'!AQ2583,WeightedMinAge11),MAX(CapacityAge11*'01_Вводные'!$B$218*'19_Расчет_аналитики'!AQ2583,MeanMinAge11)))</f>
        <v/>
      </c>
      <c r="AR2498">
        <f>IF(OR('19_Расчет_аналитики'!AR2470=0,11&lt;='01_Вводные'!$B$297),0,'19_Расчет_аналитики'!AR2470*IF('01_Вводные'!$B$239="Да",MeanMinAge11+'19_Расчет_аналитики'!AR2583*SUMIF(ThresholdAge11,"&lt;"&amp;'19_Расчет_аналитики'!AR2583,WeightedRevAge11)-SUMIF(ThresholdAge11,"&lt;"&amp;'19_Расчет_аналитики'!AR2583,WeightedMinAge11),MAX(CapacityAge11*'01_Вводные'!$B$218*'19_Расчет_аналитики'!AR2583,MeanMinAge11)))</f>
        <v/>
      </c>
      <c r="AS2498">
        <f>IF(OR('19_Расчет_аналитики'!AS2470=0,11&lt;='01_Вводные'!$B$297),0,'19_Расчет_аналитики'!AS2470*IF('01_Вводные'!$B$239="Да",MeanMinAge11+'19_Расчет_аналитики'!AS2583*SUMIF(ThresholdAge11,"&lt;"&amp;'19_Расчет_аналитики'!AS2583,WeightedRevAge11)-SUMIF(ThresholdAge11,"&lt;"&amp;'19_Расчет_аналитики'!AS2583,WeightedMinAge11),MAX(CapacityAge11*'01_Вводные'!$B$218*'19_Расчет_аналитики'!AS2583,MeanMinAge11)))</f>
        <v/>
      </c>
      <c r="AT2498">
        <f>IF(OR('19_Расчет_аналитики'!AT2470=0,11&lt;='01_Вводные'!$B$297),0,'19_Расчет_аналитики'!AT2470*IF('01_Вводные'!$B$239="Да",MeanMinAge11+'19_Расчет_аналитики'!AT2583*SUMIF(ThresholdAge11,"&lt;"&amp;'19_Расчет_аналитики'!AT2583,WeightedRevAge11)-SUMIF(ThresholdAge11,"&lt;"&amp;'19_Расчет_аналитики'!AT2583,WeightedMinAge11),MAX(CapacityAge11*'01_Вводные'!$B$218*'19_Расчет_аналитики'!AT2583,MeanMinAge11)))</f>
        <v/>
      </c>
      <c r="AU2498">
        <f>IF(OR('19_Расчет_аналитики'!AU2470=0,11&lt;='01_Вводные'!$B$297),0,'19_Расчет_аналитики'!AU2470*IF('01_Вводные'!$B$239="Да",MeanMinAge11+'19_Расчет_аналитики'!AU2583*SUMIF(ThresholdAge11,"&lt;"&amp;'19_Расчет_аналитики'!AU2583,WeightedRevAge11)-SUMIF(ThresholdAge11,"&lt;"&amp;'19_Расчет_аналитики'!AU2583,WeightedMinAge11),MAX(CapacityAge11*'01_Вводные'!$B$218*'19_Расчет_аналитики'!AU2583,MeanMinAge11)))</f>
        <v/>
      </c>
      <c r="AV2498">
        <f>IF(OR('19_Расчет_аналитики'!AV2470=0,11&lt;='01_Вводные'!$B$297),0,'19_Расчет_аналитики'!AV2470*IF('01_Вводные'!$B$239="Да",MeanMinAge11+'19_Расчет_аналитики'!AV2583*SUMIF(ThresholdAge11,"&lt;"&amp;'19_Расчет_аналитики'!AV2583,WeightedRevAge11)-SUMIF(ThresholdAge11,"&lt;"&amp;'19_Расчет_аналитики'!AV2583,WeightedMinAge11),MAX(CapacityAge11*'01_Вводные'!$B$218*'19_Расчет_аналитики'!AV2583,MeanMinAge11)))</f>
        <v/>
      </c>
      <c r="AW2498">
        <f>IF(OR('19_Расчет_аналитики'!AW2470=0,11&lt;='01_Вводные'!$B$297),0,'19_Расчет_аналитики'!AW2470*IF('01_Вводные'!$B$239="Да",MeanMinAge11+'19_Расчет_аналитики'!AW2583*SUMIF(ThresholdAge11,"&lt;"&amp;'19_Расчет_аналитики'!AW2583,WeightedRevAge11)-SUMIF(ThresholdAge11,"&lt;"&amp;'19_Расчет_аналитики'!AW2583,WeightedMinAge11),MAX(CapacityAge11*'01_Вводные'!$B$218*'19_Расчет_аналитики'!AW2583,MeanMinAge11)))</f>
        <v/>
      </c>
      <c r="AX2498">
        <f>IF(OR('19_Расчет_аналитики'!AX2470=0,11&lt;='01_Вводные'!$B$297),0,'19_Расчет_аналитики'!AX2470*IF('01_Вводные'!$B$239="Да",MeanMinAge11+'19_Расчет_аналитики'!AX2583*SUMIF(ThresholdAge11,"&lt;"&amp;'19_Расчет_аналитики'!AX2583,WeightedRevAge11)-SUMIF(ThresholdAge11,"&lt;"&amp;'19_Расчет_аналитики'!AX2583,WeightedMinAge11),MAX(CapacityAge11*'01_Вводные'!$B$218*'19_Расчет_аналитики'!AX2583,MeanMinAge11)))</f>
        <v/>
      </c>
      <c r="AY2498">
        <f>IF(OR('19_Расчет_аналитики'!AY2470=0,11&lt;='01_Вводные'!$B$297),0,'19_Расчет_аналитики'!AY2470*IF('01_Вводные'!$B$239="Да",MeanMinAge11+'19_Расчет_аналитики'!AY2583*SUMIF(ThresholdAge11,"&lt;"&amp;'19_Расчет_аналитики'!AY2583,WeightedRevAge11)-SUMIF(ThresholdAge11,"&lt;"&amp;'19_Расчет_аналитики'!AY2583,WeightedMinAge11),MAX(CapacityAge11*'01_Вводные'!$B$218*'19_Расчет_аналитики'!AY2583,MeanMinAge11)))</f>
        <v/>
      </c>
      <c r="AZ2498">
        <f>IF(OR('19_Расчет_аналитики'!AZ2470=0,11&lt;='01_Вводные'!$B$297),0,'19_Расчет_аналитики'!AZ2470*IF('01_Вводные'!$B$239="Да",MeanMinAge11+'19_Расчет_аналитики'!AZ2583*SUMIF(ThresholdAge11,"&lt;"&amp;'19_Расчет_аналитики'!AZ2583,WeightedRevAge11)-SUMIF(ThresholdAge11,"&lt;"&amp;'19_Расчет_аналитики'!AZ2583,WeightedMinAge11),MAX(CapacityAge11*'01_Вводные'!$B$218*'19_Расчет_аналитики'!AZ2583,MeanMinAge11)))</f>
        <v/>
      </c>
      <c r="BA2498">
        <f>IF(OR('19_Расчет_аналитики'!BA2470=0,11&lt;='01_Вводные'!$B$297),0,'19_Расчет_аналитики'!BA2470*IF('01_Вводные'!$B$239="Да",MeanMinAge11+'19_Расчет_аналитики'!BA2583*SUMIF(ThresholdAge11,"&lt;"&amp;'19_Расчет_аналитики'!BA2583,WeightedRevAge11)-SUMIF(ThresholdAge11,"&lt;"&amp;'19_Расчет_аналитики'!BA2583,WeightedMinAge11),MAX(CapacityAge11*'01_Вводные'!$B$218*'19_Расчет_аналитики'!BA2583,MeanMinAge11)))</f>
        <v/>
      </c>
      <c r="BB2498">
        <f>IF(OR('19_Расчет_аналитики'!BB2470=0,11&lt;='01_Вводные'!$B$297),0,'19_Расчет_аналитики'!BB2470*IF('01_Вводные'!$B$239="Да",MeanMinAge11+'19_Расчет_аналитики'!BB2583*SUMIF(ThresholdAge11,"&lt;"&amp;'19_Расчет_аналитики'!BB2583,WeightedRevAge11)-SUMIF(ThresholdAge11,"&lt;"&amp;'19_Расчет_аналитики'!BB2583,WeightedMinAge11),MAX(CapacityAge11*'01_Вводные'!$B$218*'19_Расчет_аналитики'!BB2583,MeanMinAge11)))</f>
        <v/>
      </c>
      <c r="BC2498">
        <f>IF(OR('19_Расчет_аналитики'!BC2470=0,11&lt;='01_Вводные'!$B$297),0,'19_Расчет_аналитики'!BC2470*IF('01_Вводные'!$B$239="Да",MeanMinAge11+'19_Расчет_аналитики'!BC2583*SUMIF(ThresholdAge11,"&lt;"&amp;'19_Расчет_аналитики'!BC2583,WeightedRevAge11)-SUMIF(ThresholdAge11,"&lt;"&amp;'19_Расчет_аналитики'!BC2583,WeightedMinAge11),MAX(CapacityAge11*'01_Вводные'!$B$218*'19_Расчет_аналитики'!BC2583,MeanMinAge11)))</f>
        <v/>
      </c>
      <c r="BD2498">
        <f>IF(OR('19_Расчет_аналитики'!BD2470=0,11&lt;='01_Вводные'!$B$297),0,'19_Расчет_аналитики'!BD2470*IF('01_Вводные'!$B$239="Да",MeanMinAge11+'19_Расчет_аналитики'!BD2583*SUMIF(ThresholdAge11,"&lt;"&amp;'19_Расчет_аналитики'!BD2583,WeightedRevAge11)-SUMIF(ThresholdAge11,"&lt;"&amp;'19_Расчет_аналитики'!BD2583,WeightedMinAge11),MAX(CapacityAge11*'01_Вводные'!$B$218*'19_Расчет_аналитики'!BD2583,MeanMinAge11)))</f>
        <v/>
      </c>
      <c r="BE2498">
        <f>IF(OR('19_Расчет_аналитики'!BE2470=0,11&lt;='01_Вводные'!$B$297),0,'19_Расчет_аналитики'!BE2470*IF('01_Вводные'!$B$239="Да",MeanMinAge11+'19_Расчет_аналитики'!BE2583*SUMIF(ThresholdAge11,"&lt;"&amp;'19_Расчет_аналитики'!BE2583,WeightedRevAge11)-SUMIF(ThresholdAge11,"&lt;"&amp;'19_Расчет_аналитики'!BE2583,WeightedMinAge11),MAX(CapacityAge11*'01_Вводные'!$B$218*'19_Расчет_аналитики'!BE2583,MeanMinAge11)))</f>
        <v/>
      </c>
      <c r="BF2498">
        <f>IF(OR('19_Расчет_аналитики'!BF2470=0,11&lt;='01_Вводные'!$B$297),0,'19_Расчет_аналитики'!BF2470*IF('01_Вводные'!$B$239="Да",MeanMinAge11+'19_Расчет_аналитики'!BF2583*SUMIF(ThresholdAge11,"&lt;"&amp;'19_Расчет_аналитики'!BF2583,WeightedRevAge11)-SUMIF(ThresholdAge11,"&lt;"&amp;'19_Расчет_аналитики'!BF2583,WeightedMinAge11),MAX(CapacityAge11*'01_Вводные'!$B$218*'19_Расчет_аналитики'!BF2583,MeanMinAge11)))</f>
        <v/>
      </c>
      <c r="BG2498">
        <f>IF(OR('19_Расчет_аналитики'!BG2470=0,11&lt;='01_Вводные'!$B$297),0,'19_Расчет_аналитики'!BG2470*IF('01_Вводные'!$B$239="Да",MeanMinAge11+'19_Расчет_аналитики'!BG2583*SUMIF(ThresholdAge11,"&lt;"&amp;'19_Расчет_аналитики'!BG2583,WeightedRevAge11)-SUMIF(ThresholdAge11,"&lt;"&amp;'19_Расчет_аналитики'!BG2583,WeightedMinAge11),MAX(CapacityAge11*'01_Вводные'!$B$218*'19_Расчет_аналитики'!BG2583,MeanMinAge11)))</f>
        <v/>
      </c>
      <c r="BH2498">
        <f>IF(OR('19_Расчет_аналитики'!BH2470=0,11&lt;='01_Вводные'!$B$297),0,'19_Расчет_аналитики'!BH2470*IF('01_Вводные'!$B$239="Да",MeanMinAge11+'19_Расчет_аналитики'!BH2583*SUMIF(ThresholdAge11,"&lt;"&amp;'19_Расчет_аналитики'!BH2583,WeightedRevAge11)-SUMIF(ThresholdAge11,"&lt;"&amp;'19_Расчет_аналитики'!BH2583,WeightedMinAge11),MAX(CapacityAge11*'01_Вводные'!$B$218*'19_Расчет_аналитики'!BH2583,MeanMinAge11)))</f>
        <v/>
      </c>
      <c r="BI2498">
        <f>IF(OR('19_Расчет_аналитики'!BI2470=0,11&lt;='01_Вводные'!$B$297),0,'19_Расчет_аналитики'!BI2470*IF('01_Вводные'!$B$239="Да",MeanMinAge11+'19_Расчет_аналитики'!BI2583*SUMIF(ThresholdAge11,"&lt;"&amp;'19_Расчет_аналитики'!BI2583,WeightedRevAge11)-SUMIF(ThresholdAge11,"&lt;"&amp;'19_Расчет_аналитики'!BI2583,WeightedMinAge11),MAX(CapacityAge11*'01_Вводные'!$B$218*'19_Расчет_аналитики'!BI2583,MeanMinAge11)))</f>
        <v/>
      </c>
      <c r="BJ2498">
        <f>IF(OR('19_Расчет_аналитики'!BJ2470=0,11&lt;='01_Вводные'!$B$297),0,'19_Расчет_аналитики'!BJ2470*IF('01_Вводные'!$B$239="Да",MeanMinAge11+'19_Расчет_аналитики'!BJ2583*SUMIF(ThresholdAge11,"&lt;"&amp;'19_Расчет_аналитики'!BJ2583,WeightedRevAge11)-SUMIF(ThresholdAge11,"&lt;"&amp;'19_Расчет_аналитики'!BJ2583,WeightedMinAge11),MAX(CapacityAge11*'01_Вводные'!$B$218*'19_Расчет_аналитики'!BJ2583,MeanMinAge11)))</f>
        <v/>
      </c>
      <c r="BK2498">
        <f>IF(OR('19_Расчет_аналитики'!BK2470=0,11&lt;='01_Вводные'!$B$297),0,'19_Расчет_аналитики'!BK2470*IF('01_Вводные'!$B$239="Да",MeanMinAge11+'19_Расчет_аналитики'!BK2583*SUMIF(ThresholdAge11,"&lt;"&amp;'19_Расчет_аналитики'!BK2583,WeightedRevAge11)-SUMIF(ThresholdAge11,"&lt;"&amp;'19_Расчет_аналитики'!BK2583,WeightedMinAge11),MAX(CapacityAge11*'01_Вводные'!$B$218*'19_Расчет_аналитики'!BK2583,MeanMinAge11)))</f>
        <v/>
      </c>
      <c r="BL2498">
        <f>IF(OR('19_Расчет_аналитики'!BL2470=0,11&lt;='01_Вводные'!$B$297),0,'19_Расчет_аналитики'!BL2470*IF('01_Вводные'!$B$239="Да",MeanMinAge11+'19_Расчет_аналитики'!BL2583*SUMIF(ThresholdAge11,"&lt;"&amp;'19_Расчет_аналитики'!BL2583,WeightedRevAge11)-SUMIF(ThresholdAge11,"&lt;"&amp;'19_Расчет_аналитики'!BL2583,WeightedMinAge11),MAX(CapacityAge11*'01_Вводные'!$B$218*'19_Расчет_аналитики'!BL2583,MeanMinAge11)))</f>
        <v/>
      </c>
      <c r="BM2498">
        <f>IF(OR('19_Расчет_аналитики'!BM2470=0,11&lt;='01_Вводные'!$B$297),0,'19_Расчет_аналитики'!BM2470*IF('01_Вводные'!$B$239="Да",MeanMinAge11+'19_Расчет_аналитики'!BM2583*SUMIF(ThresholdAge11,"&lt;"&amp;'19_Расчет_аналитики'!BM2583,WeightedRevAge11)-SUMIF(ThresholdAge11,"&lt;"&amp;'19_Расчет_аналитики'!BM2583,WeightedMinAge11),MAX(CapacityAge11*'01_Вводные'!$B$218*'19_Расчет_аналитики'!BM2583,MeanMinAge11)))</f>
        <v/>
      </c>
      <c r="BN2498">
        <f>IF(OR('19_Расчет_аналитики'!BN2470=0,11&lt;='01_Вводные'!$B$297),0,'19_Расчет_аналитики'!BN2470*IF('01_Вводные'!$B$239="Да",MeanMinAge11+'19_Расчет_аналитики'!BN2583*SUMIF(ThresholdAge11,"&lt;"&amp;'19_Расчет_аналитики'!BN2583,WeightedRevAge11)-SUMIF(ThresholdAge11,"&lt;"&amp;'19_Расчет_аналитики'!BN2583,WeightedMinAge11),MAX(CapacityAge11*'01_Вводные'!$B$218*'19_Расчет_аналитики'!BN2583,MeanMinAge11)))</f>
        <v/>
      </c>
      <c r="BO2498">
        <f>IF(OR('19_Расчет_аналитики'!BO2470=0,11&lt;='01_Вводные'!$B$297),0,'19_Расчет_аналитики'!BO2470*IF('01_Вводные'!$B$239="Да",MeanMinAge11+'19_Расчет_аналитики'!BO2583*SUMIF(ThresholdAge11,"&lt;"&amp;'19_Расчет_аналитики'!BO2583,WeightedRevAge11)-SUMIF(ThresholdAge11,"&lt;"&amp;'19_Расчет_аналитики'!BO2583,WeightedMinAge11),MAX(CapacityAge11*'01_Вводные'!$B$218*'19_Расчет_аналитики'!BO2583,MeanMinAge11)))</f>
        <v/>
      </c>
    </row>
    <row r="2499">
      <c r="B2499">
        <f>IF(OR('06_Сеть_и_дети'!B92=0,12&lt;='01_Вводные'!$B$297),0,'06_Сеть_и_дети'!B92*IF('01_Вводные'!$B$239="Да",MeanMinAge12+'19_Расчет_аналитики'!B2583*SUMIF(ThresholdAge12,"&lt;"&amp;'19_Расчет_аналитики'!B2583,WeightedRevAge12)-SUMIF(ThresholdAge12,"&lt;"&amp;'19_Расчет_аналитики'!B2583,WeightedMinAge12),MAX(CapacityAge12*'01_Вводные'!$B$218*'19_Расчет_аналитики'!B2583,MeanMinAge12)))</f>
        <v/>
      </c>
      <c r="C2499">
        <f>IF(OR('06_Сеть_и_дети'!C92=0,12&lt;='01_Вводные'!$B$297),0,'06_Сеть_и_дети'!C92*IF('01_Вводные'!$B$239="Да",MeanMinAge12+'19_Расчет_аналитики'!C2583*SUMIF(ThresholdAge12,"&lt;"&amp;'19_Расчет_аналитики'!C2583,WeightedRevAge12)-SUMIF(ThresholdAge12,"&lt;"&amp;'19_Расчет_аналитики'!C2583,WeightedMinAge12),MAX(CapacityAge12*'01_Вводные'!$B$218*'19_Расчет_аналитики'!C2583,MeanMinAge12)))</f>
        <v/>
      </c>
      <c r="D2499">
        <f>IF(OR('06_Сеть_и_дети'!D92=0,12&lt;='01_Вводные'!$B$297),0,'06_Сеть_и_дети'!D92*IF('01_Вводные'!$B$239="Да",MeanMinAge12+'19_Расчет_аналитики'!D2583*SUMIF(ThresholdAge12,"&lt;"&amp;'19_Расчет_аналитики'!D2583,WeightedRevAge12)-SUMIF(ThresholdAge12,"&lt;"&amp;'19_Расчет_аналитики'!D2583,WeightedMinAge12),MAX(CapacityAge12*'01_Вводные'!$B$218*'19_Расчет_аналитики'!D2583,MeanMinAge12)))</f>
        <v/>
      </c>
      <c r="E2499">
        <f>IF(OR('06_Сеть_и_дети'!E92=0,12&lt;='01_Вводные'!$B$297),0,'06_Сеть_и_дети'!E92*IF('01_Вводные'!$B$239="Да",MeanMinAge12+'19_Расчет_аналитики'!E2583*SUMIF(ThresholdAge12,"&lt;"&amp;'19_Расчет_аналитики'!E2583,WeightedRevAge12)-SUMIF(ThresholdAge12,"&lt;"&amp;'19_Расчет_аналитики'!E2583,WeightedMinAge12),MAX(CapacityAge12*'01_Вводные'!$B$218*'19_Расчет_аналитики'!E2583,MeanMinAge12)))</f>
        <v/>
      </c>
      <c r="F2499">
        <f>IF(OR('06_Сеть_и_дети'!F92=0,12&lt;='01_Вводные'!$B$297),0,'06_Сеть_и_дети'!F92*IF('01_Вводные'!$B$239="Да",MeanMinAge12+'19_Расчет_аналитики'!F2583*SUMIF(ThresholdAge12,"&lt;"&amp;'19_Расчет_аналитики'!F2583,WeightedRevAge12)-SUMIF(ThresholdAge12,"&lt;"&amp;'19_Расчет_аналитики'!F2583,WeightedMinAge12),MAX(CapacityAge12*'01_Вводные'!$B$218*'19_Расчет_аналитики'!F2583,MeanMinAge12)))</f>
        <v/>
      </c>
      <c r="G2499">
        <f>IF(OR('06_Сеть_и_дети'!G92=0,12&lt;='01_Вводные'!$B$297),0,'06_Сеть_и_дети'!G92*IF('01_Вводные'!$B$239="Да",MeanMinAge12+'19_Расчет_аналитики'!G2583*SUMIF(ThresholdAge12,"&lt;"&amp;'19_Расчет_аналитики'!G2583,WeightedRevAge12)-SUMIF(ThresholdAge12,"&lt;"&amp;'19_Расчет_аналитики'!G2583,WeightedMinAge12),MAX(CapacityAge12*'01_Вводные'!$B$218*'19_Расчет_аналитики'!G2583,MeanMinAge12)))</f>
        <v/>
      </c>
      <c r="H2499">
        <f>IF(OR('06_Сеть_и_дети'!H92=0,12&lt;='01_Вводные'!$B$297),0,'06_Сеть_и_дети'!H92*IF('01_Вводные'!$B$239="Да",MeanMinAge12+'19_Расчет_аналитики'!H2583*SUMIF(ThresholdAge12,"&lt;"&amp;'19_Расчет_аналитики'!H2583,WeightedRevAge12)-SUMIF(ThresholdAge12,"&lt;"&amp;'19_Расчет_аналитики'!H2583,WeightedMinAge12),MAX(CapacityAge12*'01_Вводные'!$B$218*'19_Расчет_аналитики'!H2583,MeanMinAge12)))</f>
        <v/>
      </c>
      <c r="I2499">
        <f>IF(OR('06_Сеть_и_дети'!I92=0,12&lt;='01_Вводные'!$B$297),0,'06_Сеть_и_дети'!I92*IF('01_Вводные'!$B$239="Да",MeanMinAge12+'19_Расчет_аналитики'!I2583*SUMIF(ThresholdAge12,"&lt;"&amp;'19_Расчет_аналитики'!I2583,WeightedRevAge12)-SUMIF(ThresholdAge12,"&lt;"&amp;'19_Расчет_аналитики'!I2583,WeightedMinAge12),MAX(CapacityAge12*'01_Вводные'!$B$218*'19_Расчет_аналитики'!I2583,MeanMinAge12)))</f>
        <v/>
      </c>
      <c r="J2499">
        <f>IF(OR('06_Сеть_и_дети'!J92=0,12&lt;='01_Вводные'!$B$297),0,'06_Сеть_и_дети'!J92*IF('01_Вводные'!$B$239="Да",MeanMinAge12+'19_Расчет_аналитики'!J2583*SUMIF(ThresholdAge12,"&lt;"&amp;'19_Расчет_аналитики'!J2583,WeightedRevAge12)-SUMIF(ThresholdAge12,"&lt;"&amp;'19_Расчет_аналитики'!J2583,WeightedMinAge12),MAX(CapacityAge12*'01_Вводные'!$B$218*'19_Расчет_аналитики'!J2583,MeanMinAge12)))</f>
        <v/>
      </c>
      <c r="K2499">
        <f>IF(OR('06_Сеть_и_дети'!K92=0,12&lt;='01_Вводные'!$B$297),0,'06_Сеть_и_дети'!K92*IF('01_Вводные'!$B$239="Да",MeanMinAge12+'19_Расчет_аналитики'!K2583*SUMIF(ThresholdAge12,"&lt;"&amp;'19_Расчет_аналитики'!K2583,WeightedRevAge12)-SUMIF(ThresholdAge12,"&lt;"&amp;'19_Расчет_аналитики'!K2583,WeightedMinAge12),MAX(CapacityAge12*'01_Вводные'!$B$218*'19_Расчет_аналитики'!K2583,MeanMinAge12)))</f>
        <v/>
      </c>
      <c r="L2499">
        <f>IF(OR('06_Сеть_и_дети'!L92=0,12&lt;='01_Вводные'!$B$297),0,'06_Сеть_и_дети'!L92*IF('01_Вводные'!$B$239="Да",MeanMinAge12+'19_Расчет_аналитики'!L2583*SUMIF(ThresholdAge12,"&lt;"&amp;'19_Расчет_аналитики'!L2583,WeightedRevAge12)-SUMIF(ThresholdAge12,"&lt;"&amp;'19_Расчет_аналитики'!L2583,WeightedMinAge12),MAX(CapacityAge12*'01_Вводные'!$B$218*'19_Расчет_аналитики'!L2583,MeanMinAge12)))</f>
        <v/>
      </c>
      <c r="M2499">
        <f>IF(OR('19_Расчет_аналитики'!M2471=0,12&lt;='01_Вводные'!$B$297),0,'19_Расчет_аналитики'!M2471*IF('01_Вводные'!$B$239="Да",MeanMinAge12+'19_Расчет_аналитики'!M2583*SUMIF(ThresholdAge12,"&lt;"&amp;'19_Расчет_аналитики'!M2583,WeightedRevAge12)-SUMIF(ThresholdAge12,"&lt;"&amp;'19_Расчет_аналитики'!M2583,WeightedMinAge12),MAX(CapacityAge12*'01_Вводные'!$B$218*'19_Расчет_аналитики'!M2583,MeanMinAge12)))</f>
        <v/>
      </c>
      <c r="N2499">
        <f>IF(OR('19_Расчет_аналитики'!N2471=0,12&lt;='01_Вводные'!$B$297),0,'19_Расчет_аналитики'!N2471*IF('01_Вводные'!$B$239="Да",MeanMinAge12+'19_Расчет_аналитики'!N2583*SUMIF(ThresholdAge12,"&lt;"&amp;'19_Расчет_аналитики'!N2583,WeightedRevAge12)-SUMIF(ThresholdAge12,"&lt;"&amp;'19_Расчет_аналитики'!N2583,WeightedMinAge12),MAX(CapacityAge12*'01_Вводные'!$B$218*'19_Расчет_аналитики'!N2583,MeanMinAge12)))</f>
        <v/>
      </c>
      <c r="O2499">
        <f>IF(OR('19_Расчет_аналитики'!O2471=0,12&lt;='01_Вводные'!$B$297),0,'19_Расчет_аналитики'!O2471*IF('01_Вводные'!$B$239="Да",MeanMinAge12+'19_Расчет_аналитики'!O2583*SUMIF(ThresholdAge12,"&lt;"&amp;'19_Расчет_аналитики'!O2583,WeightedRevAge12)-SUMIF(ThresholdAge12,"&lt;"&amp;'19_Расчет_аналитики'!O2583,WeightedMinAge12),MAX(CapacityAge12*'01_Вводные'!$B$218*'19_Расчет_аналитики'!O2583,MeanMinAge12)))</f>
        <v/>
      </c>
      <c r="P2499">
        <f>IF(OR('19_Расчет_аналитики'!P2471=0,12&lt;='01_Вводные'!$B$297),0,'19_Расчет_аналитики'!P2471*IF('01_Вводные'!$B$239="Да",MeanMinAge12+'19_Расчет_аналитики'!P2583*SUMIF(ThresholdAge12,"&lt;"&amp;'19_Расчет_аналитики'!P2583,WeightedRevAge12)-SUMIF(ThresholdAge12,"&lt;"&amp;'19_Расчет_аналитики'!P2583,WeightedMinAge12),MAX(CapacityAge12*'01_Вводные'!$B$218*'19_Расчет_аналитики'!P2583,MeanMinAge12)))</f>
        <v/>
      </c>
      <c r="Q2499">
        <f>IF(OR('19_Расчет_аналитики'!Q2471=0,12&lt;='01_Вводные'!$B$297),0,'19_Расчет_аналитики'!Q2471*IF('01_Вводные'!$B$239="Да",MeanMinAge12+'19_Расчет_аналитики'!Q2583*SUMIF(ThresholdAge12,"&lt;"&amp;'19_Расчет_аналитики'!Q2583,WeightedRevAge12)-SUMIF(ThresholdAge12,"&lt;"&amp;'19_Расчет_аналитики'!Q2583,WeightedMinAge12),MAX(CapacityAge12*'01_Вводные'!$B$218*'19_Расчет_аналитики'!Q2583,MeanMinAge12)))</f>
        <v/>
      </c>
      <c r="R2499">
        <f>IF(OR('19_Расчет_аналитики'!R2471=0,12&lt;='01_Вводные'!$B$297),0,'19_Расчет_аналитики'!R2471*IF('01_Вводные'!$B$239="Да",MeanMinAge12+'19_Расчет_аналитики'!R2583*SUMIF(ThresholdAge12,"&lt;"&amp;'19_Расчет_аналитики'!R2583,WeightedRevAge12)-SUMIF(ThresholdAge12,"&lt;"&amp;'19_Расчет_аналитики'!R2583,WeightedMinAge12),MAX(CapacityAge12*'01_Вводные'!$B$218*'19_Расчет_аналитики'!R2583,MeanMinAge12)))</f>
        <v/>
      </c>
      <c r="S2499">
        <f>IF(OR('19_Расчет_аналитики'!S2471=0,12&lt;='01_Вводные'!$B$297),0,'19_Расчет_аналитики'!S2471*IF('01_Вводные'!$B$239="Да",MeanMinAge12+'19_Расчет_аналитики'!S2583*SUMIF(ThresholdAge12,"&lt;"&amp;'19_Расчет_аналитики'!S2583,WeightedRevAge12)-SUMIF(ThresholdAge12,"&lt;"&amp;'19_Расчет_аналитики'!S2583,WeightedMinAge12),MAX(CapacityAge12*'01_Вводные'!$B$218*'19_Расчет_аналитики'!S2583,MeanMinAge12)))</f>
        <v/>
      </c>
      <c r="T2499">
        <f>IF(OR('19_Расчет_аналитики'!T2471=0,12&lt;='01_Вводные'!$B$297),0,'19_Расчет_аналитики'!T2471*IF('01_Вводные'!$B$239="Да",MeanMinAge12+'19_Расчет_аналитики'!T2583*SUMIF(ThresholdAge12,"&lt;"&amp;'19_Расчет_аналитики'!T2583,WeightedRevAge12)-SUMIF(ThresholdAge12,"&lt;"&amp;'19_Расчет_аналитики'!T2583,WeightedMinAge12),MAX(CapacityAge12*'01_Вводные'!$B$218*'19_Расчет_аналитики'!T2583,MeanMinAge12)))</f>
        <v/>
      </c>
      <c r="U2499">
        <f>IF(OR('19_Расчет_аналитики'!U2471=0,12&lt;='01_Вводные'!$B$297),0,'19_Расчет_аналитики'!U2471*IF('01_Вводные'!$B$239="Да",MeanMinAge12+'19_Расчет_аналитики'!U2583*SUMIF(ThresholdAge12,"&lt;"&amp;'19_Расчет_аналитики'!U2583,WeightedRevAge12)-SUMIF(ThresholdAge12,"&lt;"&amp;'19_Расчет_аналитики'!U2583,WeightedMinAge12),MAX(CapacityAge12*'01_Вводные'!$B$218*'19_Расчет_аналитики'!U2583,MeanMinAge12)))</f>
        <v/>
      </c>
      <c r="V2499">
        <f>IF(OR('19_Расчет_аналитики'!V2471=0,12&lt;='01_Вводные'!$B$297),0,'19_Расчет_аналитики'!V2471*IF('01_Вводные'!$B$239="Да",MeanMinAge12+'19_Расчет_аналитики'!V2583*SUMIF(ThresholdAge12,"&lt;"&amp;'19_Расчет_аналитики'!V2583,WeightedRevAge12)-SUMIF(ThresholdAge12,"&lt;"&amp;'19_Расчет_аналитики'!V2583,WeightedMinAge12),MAX(CapacityAge12*'01_Вводные'!$B$218*'19_Расчет_аналитики'!V2583,MeanMinAge12)))</f>
        <v/>
      </c>
      <c r="W2499">
        <f>IF(OR('19_Расчет_аналитики'!W2471=0,12&lt;='01_Вводные'!$B$297),0,'19_Расчет_аналитики'!W2471*IF('01_Вводные'!$B$239="Да",MeanMinAge12+'19_Расчет_аналитики'!W2583*SUMIF(ThresholdAge12,"&lt;"&amp;'19_Расчет_аналитики'!W2583,WeightedRevAge12)-SUMIF(ThresholdAge12,"&lt;"&amp;'19_Расчет_аналитики'!W2583,WeightedMinAge12),MAX(CapacityAge12*'01_Вводные'!$B$218*'19_Расчет_аналитики'!W2583,MeanMinAge12)))</f>
        <v/>
      </c>
      <c r="X2499">
        <f>IF(OR('19_Расчет_аналитики'!X2471=0,12&lt;='01_Вводные'!$B$297),0,'19_Расчет_аналитики'!X2471*IF('01_Вводные'!$B$239="Да",MeanMinAge12+'19_Расчет_аналитики'!X2583*SUMIF(ThresholdAge12,"&lt;"&amp;'19_Расчет_аналитики'!X2583,WeightedRevAge12)-SUMIF(ThresholdAge12,"&lt;"&amp;'19_Расчет_аналитики'!X2583,WeightedMinAge12),MAX(CapacityAge12*'01_Вводные'!$B$218*'19_Расчет_аналитики'!X2583,MeanMinAge12)))</f>
        <v/>
      </c>
      <c r="Y2499">
        <f>IF(OR('19_Расчет_аналитики'!Y2471=0,12&lt;='01_Вводные'!$B$297),0,'19_Расчет_аналитики'!Y2471*IF('01_Вводные'!$B$239="Да",MeanMinAge12+'19_Расчет_аналитики'!Y2583*SUMIF(ThresholdAge12,"&lt;"&amp;'19_Расчет_аналитики'!Y2583,WeightedRevAge12)-SUMIF(ThresholdAge12,"&lt;"&amp;'19_Расчет_аналитики'!Y2583,WeightedMinAge12),MAX(CapacityAge12*'01_Вводные'!$B$218*'19_Расчет_аналитики'!Y2583,MeanMinAge12)))</f>
        <v/>
      </c>
      <c r="Z2499">
        <f>IF(OR('19_Расчет_аналитики'!Z2471=0,12&lt;='01_Вводные'!$B$297),0,'19_Расчет_аналитики'!Z2471*IF('01_Вводные'!$B$239="Да",MeanMinAge12+'19_Расчет_аналитики'!Z2583*SUMIF(ThresholdAge12,"&lt;"&amp;'19_Расчет_аналитики'!Z2583,WeightedRevAge12)-SUMIF(ThresholdAge12,"&lt;"&amp;'19_Расчет_аналитики'!Z2583,WeightedMinAge12),MAX(CapacityAge12*'01_Вводные'!$B$218*'19_Расчет_аналитики'!Z2583,MeanMinAge12)))</f>
        <v/>
      </c>
      <c r="AA2499">
        <f>IF(OR('19_Расчет_аналитики'!AA2471=0,12&lt;='01_Вводные'!$B$297),0,'19_Расчет_аналитики'!AA2471*IF('01_Вводные'!$B$239="Да",MeanMinAge12+'19_Расчет_аналитики'!AA2583*SUMIF(ThresholdAge12,"&lt;"&amp;'19_Расчет_аналитики'!AA2583,WeightedRevAge12)-SUMIF(ThresholdAge12,"&lt;"&amp;'19_Расчет_аналитики'!AA2583,WeightedMinAge12),MAX(CapacityAge12*'01_Вводные'!$B$218*'19_Расчет_аналитики'!AA2583,MeanMinAge12)))</f>
        <v/>
      </c>
      <c r="AB2499">
        <f>IF(OR('19_Расчет_аналитики'!AB2471=0,12&lt;='01_Вводные'!$B$297),0,'19_Расчет_аналитики'!AB2471*IF('01_Вводные'!$B$239="Да",MeanMinAge12+'19_Расчет_аналитики'!AB2583*SUMIF(ThresholdAge12,"&lt;"&amp;'19_Расчет_аналитики'!AB2583,WeightedRevAge12)-SUMIF(ThresholdAge12,"&lt;"&amp;'19_Расчет_аналитики'!AB2583,WeightedMinAge12),MAX(CapacityAge12*'01_Вводные'!$B$218*'19_Расчет_аналитики'!AB2583,MeanMinAge12)))</f>
        <v/>
      </c>
      <c r="AC2499">
        <f>IF(OR('19_Расчет_аналитики'!AC2471=0,12&lt;='01_Вводные'!$B$297),0,'19_Расчет_аналитики'!AC2471*IF('01_Вводные'!$B$239="Да",MeanMinAge12+'19_Расчет_аналитики'!AC2583*SUMIF(ThresholdAge12,"&lt;"&amp;'19_Расчет_аналитики'!AC2583,WeightedRevAge12)-SUMIF(ThresholdAge12,"&lt;"&amp;'19_Расчет_аналитики'!AC2583,WeightedMinAge12),MAX(CapacityAge12*'01_Вводные'!$B$218*'19_Расчет_аналитики'!AC2583,MeanMinAge12)))</f>
        <v/>
      </c>
      <c r="AD2499">
        <f>IF(OR('19_Расчет_аналитики'!AD2471=0,12&lt;='01_Вводные'!$B$297),0,'19_Расчет_аналитики'!AD2471*IF('01_Вводные'!$B$239="Да",MeanMinAge12+'19_Расчет_аналитики'!AD2583*SUMIF(ThresholdAge12,"&lt;"&amp;'19_Расчет_аналитики'!AD2583,WeightedRevAge12)-SUMIF(ThresholdAge12,"&lt;"&amp;'19_Расчет_аналитики'!AD2583,WeightedMinAge12),MAX(CapacityAge12*'01_Вводные'!$B$218*'19_Расчет_аналитики'!AD2583,MeanMinAge12)))</f>
        <v/>
      </c>
      <c r="AE2499">
        <f>IF(OR('19_Расчет_аналитики'!AE2471=0,12&lt;='01_Вводные'!$B$297),0,'19_Расчет_аналитики'!AE2471*IF('01_Вводные'!$B$239="Да",MeanMinAge12+'19_Расчет_аналитики'!AE2583*SUMIF(ThresholdAge12,"&lt;"&amp;'19_Расчет_аналитики'!AE2583,WeightedRevAge12)-SUMIF(ThresholdAge12,"&lt;"&amp;'19_Расчет_аналитики'!AE2583,WeightedMinAge12),MAX(CapacityAge12*'01_Вводные'!$B$218*'19_Расчет_аналитики'!AE2583,MeanMinAge12)))</f>
        <v/>
      </c>
      <c r="AF2499">
        <f>IF(OR('19_Расчет_аналитики'!AF2471=0,12&lt;='01_Вводные'!$B$297),0,'19_Расчет_аналитики'!AF2471*IF('01_Вводные'!$B$239="Да",MeanMinAge12+'19_Расчет_аналитики'!AF2583*SUMIF(ThresholdAge12,"&lt;"&amp;'19_Расчет_аналитики'!AF2583,WeightedRevAge12)-SUMIF(ThresholdAge12,"&lt;"&amp;'19_Расчет_аналитики'!AF2583,WeightedMinAge12),MAX(CapacityAge12*'01_Вводные'!$B$218*'19_Расчет_аналитики'!AF2583,MeanMinAge12)))</f>
        <v/>
      </c>
      <c r="AG2499">
        <f>IF(OR('19_Расчет_аналитики'!AG2471=0,12&lt;='01_Вводные'!$B$297),0,'19_Расчет_аналитики'!AG2471*IF('01_Вводные'!$B$239="Да",MeanMinAge12+'19_Расчет_аналитики'!AG2583*SUMIF(ThresholdAge12,"&lt;"&amp;'19_Расчет_аналитики'!AG2583,WeightedRevAge12)-SUMIF(ThresholdAge12,"&lt;"&amp;'19_Расчет_аналитики'!AG2583,WeightedMinAge12),MAX(CapacityAge12*'01_Вводные'!$B$218*'19_Расчет_аналитики'!AG2583,MeanMinAge12)))</f>
        <v/>
      </c>
      <c r="AH2499">
        <f>IF(OR('19_Расчет_аналитики'!AH2471=0,12&lt;='01_Вводные'!$B$297),0,'19_Расчет_аналитики'!AH2471*IF('01_Вводные'!$B$239="Да",MeanMinAge12+'19_Расчет_аналитики'!AH2583*SUMIF(ThresholdAge12,"&lt;"&amp;'19_Расчет_аналитики'!AH2583,WeightedRevAge12)-SUMIF(ThresholdAge12,"&lt;"&amp;'19_Расчет_аналитики'!AH2583,WeightedMinAge12),MAX(CapacityAge12*'01_Вводные'!$B$218*'19_Расчет_аналитики'!AH2583,MeanMinAge12)))</f>
        <v/>
      </c>
      <c r="AI2499">
        <f>IF(OR('19_Расчет_аналитики'!AI2471=0,12&lt;='01_Вводные'!$B$297),0,'19_Расчет_аналитики'!AI2471*IF('01_Вводные'!$B$239="Да",MeanMinAge12+'19_Расчет_аналитики'!AI2583*SUMIF(ThresholdAge12,"&lt;"&amp;'19_Расчет_аналитики'!AI2583,WeightedRevAge12)-SUMIF(ThresholdAge12,"&lt;"&amp;'19_Расчет_аналитики'!AI2583,WeightedMinAge12),MAX(CapacityAge12*'01_Вводные'!$B$218*'19_Расчет_аналитики'!AI2583,MeanMinAge12)))</f>
        <v/>
      </c>
      <c r="AJ2499">
        <f>IF(OR('19_Расчет_аналитики'!AJ2471=0,12&lt;='01_Вводные'!$B$297),0,'19_Расчет_аналитики'!AJ2471*IF('01_Вводные'!$B$239="Да",MeanMinAge12+'19_Расчет_аналитики'!AJ2583*SUMIF(ThresholdAge12,"&lt;"&amp;'19_Расчет_аналитики'!AJ2583,WeightedRevAge12)-SUMIF(ThresholdAge12,"&lt;"&amp;'19_Расчет_аналитики'!AJ2583,WeightedMinAge12),MAX(CapacityAge12*'01_Вводные'!$B$218*'19_Расчет_аналитики'!AJ2583,MeanMinAge12)))</f>
        <v/>
      </c>
      <c r="AK2499">
        <f>IF(OR('19_Расчет_аналитики'!AK2471=0,12&lt;='01_Вводные'!$B$297),0,'19_Расчет_аналитики'!AK2471*IF('01_Вводные'!$B$239="Да",MeanMinAge12+'19_Расчет_аналитики'!AK2583*SUMIF(ThresholdAge12,"&lt;"&amp;'19_Расчет_аналитики'!AK2583,WeightedRevAge12)-SUMIF(ThresholdAge12,"&lt;"&amp;'19_Расчет_аналитики'!AK2583,WeightedMinAge12),MAX(CapacityAge12*'01_Вводные'!$B$218*'19_Расчет_аналитики'!AK2583,MeanMinAge12)))</f>
        <v/>
      </c>
      <c r="AL2499">
        <f>IF(OR('19_Расчет_аналитики'!AL2471=0,12&lt;='01_Вводные'!$B$297),0,'19_Расчет_аналитики'!AL2471*IF('01_Вводные'!$B$239="Да",MeanMinAge12+'19_Расчет_аналитики'!AL2583*SUMIF(ThresholdAge12,"&lt;"&amp;'19_Расчет_аналитики'!AL2583,WeightedRevAge12)-SUMIF(ThresholdAge12,"&lt;"&amp;'19_Расчет_аналитики'!AL2583,WeightedMinAge12),MAX(CapacityAge12*'01_Вводные'!$B$218*'19_Расчет_аналитики'!AL2583,MeanMinAge12)))</f>
        <v/>
      </c>
      <c r="AM2499">
        <f>IF(OR('19_Расчет_аналитики'!AM2471=0,12&lt;='01_Вводные'!$B$297),0,'19_Расчет_аналитики'!AM2471*IF('01_Вводные'!$B$239="Да",MeanMinAge12+'19_Расчет_аналитики'!AM2583*SUMIF(ThresholdAge12,"&lt;"&amp;'19_Расчет_аналитики'!AM2583,WeightedRevAge12)-SUMIF(ThresholdAge12,"&lt;"&amp;'19_Расчет_аналитики'!AM2583,WeightedMinAge12),MAX(CapacityAge12*'01_Вводные'!$B$218*'19_Расчет_аналитики'!AM2583,MeanMinAge12)))</f>
        <v/>
      </c>
      <c r="AN2499">
        <f>IF(OR('19_Расчет_аналитики'!AN2471=0,12&lt;='01_Вводные'!$B$297),0,'19_Расчет_аналитики'!AN2471*IF('01_Вводные'!$B$239="Да",MeanMinAge12+'19_Расчет_аналитики'!AN2583*SUMIF(ThresholdAge12,"&lt;"&amp;'19_Расчет_аналитики'!AN2583,WeightedRevAge12)-SUMIF(ThresholdAge12,"&lt;"&amp;'19_Расчет_аналитики'!AN2583,WeightedMinAge12),MAX(CapacityAge12*'01_Вводные'!$B$218*'19_Расчет_аналитики'!AN2583,MeanMinAge12)))</f>
        <v/>
      </c>
      <c r="AO2499">
        <f>IF(OR('19_Расчет_аналитики'!AO2471=0,12&lt;='01_Вводные'!$B$297),0,'19_Расчет_аналитики'!AO2471*IF('01_Вводные'!$B$239="Да",MeanMinAge12+'19_Расчет_аналитики'!AO2583*SUMIF(ThresholdAge12,"&lt;"&amp;'19_Расчет_аналитики'!AO2583,WeightedRevAge12)-SUMIF(ThresholdAge12,"&lt;"&amp;'19_Расчет_аналитики'!AO2583,WeightedMinAge12),MAX(CapacityAge12*'01_Вводные'!$B$218*'19_Расчет_аналитики'!AO2583,MeanMinAge12)))</f>
        <v/>
      </c>
      <c r="AP2499">
        <f>IF(OR('19_Расчет_аналитики'!AP2471=0,12&lt;='01_Вводные'!$B$297),0,'19_Расчет_аналитики'!AP2471*IF('01_Вводные'!$B$239="Да",MeanMinAge12+'19_Расчет_аналитики'!AP2583*SUMIF(ThresholdAge12,"&lt;"&amp;'19_Расчет_аналитики'!AP2583,WeightedRevAge12)-SUMIF(ThresholdAge12,"&lt;"&amp;'19_Расчет_аналитики'!AP2583,WeightedMinAge12),MAX(CapacityAge12*'01_Вводные'!$B$218*'19_Расчет_аналитики'!AP2583,MeanMinAge12)))</f>
        <v/>
      </c>
      <c r="AQ2499">
        <f>IF(OR('19_Расчет_аналитики'!AQ2471=0,12&lt;='01_Вводные'!$B$297),0,'19_Расчет_аналитики'!AQ2471*IF('01_Вводные'!$B$239="Да",MeanMinAge12+'19_Расчет_аналитики'!AQ2583*SUMIF(ThresholdAge12,"&lt;"&amp;'19_Расчет_аналитики'!AQ2583,WeightedRevAge12)-SUMIF(ThresholdAge12,"&lt;"&amp;'19_Расчет_аналитики'!AQ2583,WeightedMinAge12),MAX(CapacityAge12*'01_Вводные'!$B$218*'19_Расчет_аналитики'!AQ2583,MeanMinAge12)))</f>
        <v/>
      </c>
      <c r="AR2499">
        <f>IF(OR('19_Расчет_аналитики'!AR2471=0,12&lt;='01_Вводные'!$B$297),0,'19_Расчет_аналитики'!AR2471*IF('01_Вводные'!$B$239="Да",MeanMinAge12+'19_Расчет_аналитики'!AR2583*SUMIF(ThresholdAge12,"&lt;"&amp;'19_Расчет_аналитики'!AR2583,WeightedRevAge12)-SUMIF(ThresholdAge12,"&lt;"&amp;'19_Расчет_аналитики'!AR2583,WeightedMinAge12),MAX(CapacityAge12*'01_Вводные'!$B$218*'19_Расчет_аналитики'!AR2583,MeanMinAge12)))</f>
        <v/>
      </c>
      <c r="AS2499">
        <f>IF(OR('19_Расчет_аналитики'!AS2471=0,12&lt;='01_Вводные'!$B$297),0,'19_Расчет_аналитики'!AS2471*IF('01_Вводные'!$B$239="Да",MeanMinAge12+'19_Расчет_аналитики'!AS2583*SUMIF(ThresholdAge12,"&lt;"&amp;'19_Расчет_аналитики'!AS2583,WeightedRevAge12)-SUMIF(ThresholdAge12,"&lt;"&amp;'19_Расчет_аналитики'!AS2583,WeightedMinAge12),MAX(CapacityAge12*'01_Вводные'!$B$218*'19_Расчет_аналитики'!AS2583,MeanMinAge12)))</f>
        <v/>
      </c>
      <c r="AT2499">
        <f>IF(OR('19_Расчет_аналитики'!AT2471=0,12&lt;='01_Вводные'!$B$297),0,'19_Расчет_аналитики'!AT2471*IF('01_Вводные'!$B$239="Да",MeanMinAge12+'19_Расчет_аналитики'!AT2583*SUMIF(ThresholdAge12,"&lt;"&amp;'19_Расчет_аналитики'!AT2583,WeightedRevAge12)-SUMIF(ThresholdAge12,"&lt;"&amp;'19_Расчет_аналитики'!AT2583,WeightedMinAge12),MAX(CapacityAge12*'01_Вводные'!$B$218*'19_Расчет_аналитики'!AT2583,MeanMinAge12)))</f>
        <v/>
      </c>
      <c r="AU2499">
        <f>IF(OR('19_Расчет_аналитики'!AU2471=0,12&lt;='01_Вводные'!$B$297),0,'19_Расчет_аналитики'!AU2471*IF('01_Вводные'!$B$239="Да",MeanMinAge12+'19_Расчет_аналитики'!AU2583*SUMIF(ThresholdAge12,"&lt;"&amp;'19_Расчет_аналитики'!AU2583,WeightedRevAge12)-SUMIF(ThresholdAge12,"&lt;"&amp;'19_Расчет_аналитики'!AU2583,WeightedMinAge12),MAX(CapacityAge12*'01_Вводные'!$B$218*'19_Расчет_аналитики'!AU2583,MeanMinAge12)))</f>
        <v/>
      </c>
      <c r="AV2499">
        <f>IF(OR('19_Расчет_аналитики'!AV2471=0,12&lt;='01_Вводные'!$B$297),0,'19_Расчет_аналитики'!AV2471*IF('01_Вводные'!$B$239="Да",MeanMinAge12+'19_Расчет_аналитики'!AV2583*SUMIF(ThresholdAge12,"&lt;"&amp;'19_Расчет_аналитики'!AV2583,WeightedRevAge12)-SUMIF(ThresholdAge12,"&lt;"&amp;'19_Расчет_аналитики'!AV2583,WeightedMinAge12),MAX(CapacityAge12*'01_Вводные'!$B$218*'19_Расчет_аналитики'!AV2583,MeanMinAge12)))</f>
        <v/>
      </c>
      <c r="AW2499">
        <f>IF(OR('19_Расчет_аналитики'!AW2471=0,12&lt;='01_Вводные'!$B$297),0,'19_Расчет_аналитики'!AW2471*IF('01_Вводные'!$B$239="Да",MeanMinAge12+'19_Расчет_аналитики'!AW2583*SUMIF(ThresholdAge12,"&lt;"&amp;'19_Расчет_аналитики'!AW2583,WeightedRevAge12)-SUMIF(ThresholdAge12,"&lt;"&amp;'19_Расчет_аналитики'!AW2583,WeightedMinAge12),MAX(CapacityAge12*'01_Вводные'!$B$218*'19_Расчет_аналитики'!AW2583,MeanMinAge12)))</f>
        <v/>
      </c>
      <c r="AX2499">
        <f>IF(OR('19_Расчет_аналитики'!AX2471=0,12&lt;='01_Вводные'!$B$297),0,'19_Расчет_аналитики'!AX2471*IF('01_Вводные'!$B$239="Да",MeanMinAge12+'19_Расчет_аналитики'!AX2583*SUMIF(ThresholdAge12,"&lt;"&amp;'19_Расчет_аналитики'!AX2583,WeightedRevAge12)-SUMIF(ThresholdAge12,"&lt;"&amp;'19_Расчет_аналитики'!AX2583,WeightedMinAge12),MAX(CapacityAge12*'01_Вводные'!$B$218*'19_Расчет_аналитики'!AX2583,MeanMinAge12)))</f>
        <v/>
      </c>
      <c r="AY2499">
        <f>IF(OR('19_Расчет_аналитики'!AY2471=0,12&lt;='01_Вводные'!$B$297),0,'19_Расчет_аналитики'!AY2471*IF('01_Вводные'!$B$239="Да",MeanMinAge12+'19_Расчет_аналитики'!AY2583*SUMIF(ThresholdAge12,"&lt;"&amp;'19_Расчет_аналитики'!AY2583,WeightedRevAge12)-SUMIF(ThresholdAge12,"&lt;"&amp;'19_Расчет_аналитики'!AY2583,WeightedMinAge12),MAX(CapacityAge12*'01_Вводные'!$B$218*'19_Расчет_аналитики'!AY2583,MeanMinAge12)))</f>
        <v/>
      </c>
      <c r="AZ2499">
        <f>IF(OR('19_Расчет_аналитики'!AZ2471=0,12&lt;='01_Вводные'!$B$297),0,'19_Расчет_аналитики'!AZ2471*IF('01_Вводные'!$B$239="Да",MeanMinAge12+'19_Расчет_аналитики'!AZ2583*SUMIF(ThresholdAge12,"&lt;"&amp;'19_Расчет_аналитики'!AZ2583,WeightedRevAge12)-SUMIF(ThresholdAge12,"&lt;"&amp;'19_Расчет_аналитики'!AZ2583,WeightedMinAge12),MAX(CapacityAge12*'01_Вводные'!$B$218*'19_Расчет_аналитики'!AZ2583,MeanMinAge12)))</f>
        <v/>
      </c>
      <c r="BA2499">
        <f>IF(OR('19_Расчет_аналитики'!BA2471=0,12&lt;='01_Вводные'!$B$297),0,'19_Расчет_аналитики'!BA2471*IF('01_Вводные'!$B$239="Да",MeanMinAge12+'19_Расчет_аналитики'!BA2583*SUMIF(ThresholdAge12,"&lt;"&amp;'19_Расчет_аналитики'!BA2583,WeightedRevAge12)-SUMIF(ThresholdAge12,"&lt;"&amp;'19_Расчет_аналитики'!BA2583,WeightedMinAge12),MAX(CapacityAge12*'01_Вводные'!$B$218*'19_Расчет_аналитики'!BA2583,MeanMinAge12)))</f>
        <v/>
      </c>
      <c r="BB2499">
        <f>IF(OR('19_Расчет_аналитики'!BB2471=0,12&lt;='01_Вводные'!$B$297),0,'19_Расчет_аналитики'!BB2471*IF('01_Вводные'!$B$239="Да",MeanMinAge12+'19_Расчет_аналитики'!BB2583*SUMIF(ThresholdAge12,"&lt;"&amp;'19_Расчет_аналитики'!BB2583,WeightedRevAge12)-SUMIF(ThresholdAge12,"&lt;"&amp;'19_Расчет_аналитики'!BB2583,WeightedMinAge12),MAX(CapacityAge12*'01_Вводные'!$B$218*'19_Расчет_аналитики'!BB2583,MeanMinAge12)))</f>
        <v/>
      </c>
      <c r="BC2499">
        <f>IF(OR('19_Расчет_аналитики'!BC2471=0,12&lt;='01_Вводные'!$B$297),0,'19_Расчет_аналитики'!BC2471*IF('01_Вводные'!$B$239="Да",MeanMinAge12+'19_Расчет_аналитики'!BC2583*SUMIF(ThresholdAge12,"&lt;"&amp;'19_Расчет_аналитики'!BC2583,WeightedRevAge12)-SUMIF(ThresholdAge12,"&lt;"&amp;'19_Расчет_аналитики'!BC2583,WeightedMinAge12),MAX(CapacityAge12*'01_Вводные'!$B$218*'19_Расчет_аналитики'!BC2583,MeanMinAge12)))</f>
        <v/>
      </c>
      <c r="BD2499">
        <f>IF(OR('19_Расчет_аналитики'!BD2471=0,12&lt;='01_Вводные'!$B$297),0,'19_Расчет_аналитики'!BD2471*IF('01_Вводные'!$B$239="Да",MeanMinAge12+'19_Расчет_аналитики'!BD2583*SUMIF(ThresholdAge12,"&lt;"&amp;'19_Расчет_аналитики'!BD2583,WeightedRevAge12)-SUMIF(ThresholdAge12,"&lt;"&amp;'19_Расчет_аналитики'!BD2583,WeightedMinAge12),MAX(CapacityAge12*'01_Вводные'!$B$218*'19_Расчет_аналитики'!BD2583,MeanMinAge12)))</f>
        <v/>
      </c>
      <c r="BE2499">
        <f>IF(OR('19_Расчет_аналитики'!BE2471=0,12&lt;='01_Вводные'!$B$297),0,'19_Расчет_аналитики'!BE2471*IF('01_Вводные'!$B$239="Да",MeanMinAge12+'19_Расчет_аналитики'!BE2583*SUMIF(ThresholdAge12,"&lt;"&amp;'19_Расчет_аналитики'!BE2583,WeightedRevAge12)-SUMIF(ThresholdAge12,"&lt;"&amp;'19_Расчет_аналитики'!BE2583,WeightedMinAge12),MAX(CapacityAge12*'01_Вводные'!$B$218*'19_Расчет_аналитики'!BE2583,MeanMinAge12)))</f>
        <v/>
      </c>
      <c r="BF2499">
        <f>IF(OR('19_Расчет_аналитики'!BF2471=0,12&lt;='01_Вводные'!$B$297),0,'19_Расчет_аналитики'!BF2471*IF('01_Вводные'!$B$239="Да",MeanMinAge12+'19_Расчет_аналитики'!BF2583*SUMIF(ThresholdAge12,"&lt;"&amp;'19_Расчет_аналитики'!BF2583,WeightedRevAge12)-SUMIF(ThresholdAge12,"&lt;"&amp;'19_Расчет_аналитики'!BF2583,WeightedMinAge12),MAX(CapacityAge12*'01_Вводные'!$B$218*'19_Расчет_аналитики'!BF2583,MeanMinAge12)))</f>
        <v/>
      </c>
      <c r="BG2499">
        <f>IF(OR('19_Расчет_аналитики'!BG2471=0,12&lt;='01_Вводные'!$B$297),0,'19_Расчет_аналитики'!BG2471*IF('01_Вводные'!$B$239="Да",MeanMinAge12+'19_Расчет_аналитики'!BG2583*SUMIF(ThresholdAge12,"&lt;"&amp;'19_Расчет_аналитики'!BG2583,WeightedRevAge12)-SUMIF(ThresholdAge12,"&lt;"&amp;'19_Расчет_аналитики'!BG2583,WeightedMinAge12),MAX(CapacityAge12*'01_Вводные'!$B$218*'19_Расчет_аналитики'!BG2583,MeanMinAge12)))</f>
        <v/>
      </c>
      <c r="BH2499">
        <f>IF(OR('19_Расчет_аналитики'!BH2471=0,12&lt;='01_Вводные'!$B$297),0,'19_Расчет_аналитики'!BH2471*IF('01_Вводные'!$B$239="Да",MeanMinAge12+'19_Расчет_аналитики'!BH2583*SUMIF(ThresholdAge12,"&lt;"&amp;'19_Расчет_аналитики'!BH2583,WeightedRevAge12)-SUMIF(ThresholdAge12,"&lt;"&amp;'19_Расчет_аналитики'!BH2583,WeightedMinAge12),MAX(CapacityAge12*'01_Вводные'!$B$218*'19_Расчет_аналитики'!BH2583,MeanMinAge12)))</f>
        <v/>
      </c>
      <c r="BI2499">
        <f>IF(OR('19_Расчет_аналитики'!BI2471=0,12&lt;='01_Вводные'!$B$297),0,'19_Расчет_аналитики'!BI2471*IF('01_Вводные'!$B$239="Да",MeanMinAge12+'19_Расчет_аналитики'!BI2583*SUMIF(ThresholdAge12,"&lt;"&amp;'19_Расчет_аналитики'!BI2583,WeightedRevAge12)-SUMIF(ThresholdAge12,"&lt;"&amp;'19_Расчет_аналитики'!BI2583,WeightedMinAge12),MAX(CapacityAge12*'01_Вводные'!$B$218*'19_Расчет_аналитики'!BI2583,MeanMinAge12)))</f>
        <v/>
      </c>
      <c r="BJ2499">
        <f>IF(OR('19_Расчет_аналитики'!BJ2471=0,12&lt;='01_Вводные'!$B$297),0,'19_Расчет_аналитики'!BJ2471*IF('01_Вводные'!$B$239="Да",MeanMinAge12+'19_Расчет_аналитики'!BJ2583*SUMIF(ThresholdAge12,"&lt;"&amp;'19_Расчет_аналитики'!BJ2583,WeightedRevAge12)-SUMIF(ThresholdAge12,"&lt;"&amp;'19_Расчет_аналитики'!BJ2583,WeightedMinAge12),MAX(CapacityAge12*'01_Вводные'!$B$218*'19_Расчет_аналитики'!BJ2583,MeanMinAge12)))</f>
        <v/>
      </c>
      <c r="BK2499">
        <f>IF(OR('19_Расчет_аналитики'!BK2471=0,12&lt;='01_Вводные'!$B$297),0,'19_Расчет_аналитики'!BK2471*IF('01_Вводные'!$B$239="Да",MeanMinAge12+'19_Расчет_аналитики'!BK2583*SUMIF(ThresholdAge12,"&lt;"&amp;'19_Расчет_аналитики'!BK2583,WeightedRevAge12)-SUMIF(ThresholdAge12,"&lt;"&amp;'19_Расчет_аналитики'!BK2583,WeightedMinAge12),MAX(CapacityAge12*'01_Вводные'!$B$218*'19_Расчет_аналитики'!BK2583,MeanMinAge12)))</f>
        <v/>
      </c>
      <c r="BL2499">
        <f>IF(OR('19_Расчет_аналитики'!BL2471=0,12&lt;='01_Вводные'!$B$297),0,'19_Расчет_аналитики'!BL2471*IF('01_Вводные'!$B$239="Да",MeanMinAge12+'19_Расчет_аналитики'!BL2583*SUMIF(ThresholdAge12,"&lt;"&amp;'19_Расчет_аналитики'!BL2583,WeightedRevAge12)-SUMIF(ThresholdAge12,"&lt;"&amp;'19_Расчет_аналитики'!BL2583,WeightedMinAge12),MAX(CapacityAge12*'01_Вводные'!$B$218*'19_Расчет_аналитики'!BL2583,MeanMinAge12)))</f>
        <v/>
      </c>
      <c r="BM2499">
        <f>IF(OR('19_Расчет_аналитики'!BM2471=0,12&lt;='01_Вводные'!$B$297),0,'19_Расчет_аналитики'!BM2471*IF('01_Вводные'!$B$239="Да",MeanMinAge12+'19_Расчет_аналитики'!BM2583*SUMIF(ThresholdAge12,"&lt;"&amp;'19_Расчет_аналитики'!BM2583,WeightedRevAge12)-SUMIF(ThresholdAge12,"&lt;"&amp;'19_Расчет_аналитики'!BM2583,WeightedMinAge12),MAX(CapacityAge12*'01_Вводные'!$B$218*'19_Расчет_аналитики'!BM2583,MeanMinAge12)))</f>
        <v/>
      </c>
      <c r="BN2499">
        <f>IF(OR('19_Расчет_аналитики'!BN2471=0,12&lt;='01_Вводные'!$B$297),0,'19_Расчет_аналитики'!BN2471*IF('01_Вводные'!$B$239="Да",MeanMinAge12+'19_Расчет_аналитики'!BN2583*SUMIF(ThresholdAge12,"&lt;"&amp;'19_Расчет_аналитики'!BN2583,WeightedRevAge12)-SUMIF(ThresholdAge12,"&lt;"&amp;'19_Расчет_аналитики'!BN2583,WeightedMinAge12),MAX(CapacityAge12*'01_Вводные'!$B$218*'19_Расчет_аналитики'!BN2583,MeanMinAge12)))</f>
        <v/>
      </c>
      <c r="BO2499">
        <f>IF(OR('19_Расчет_аналитики'!BO2471=0,12&lt;='01_Вводные'!$B$297),0,'19_Расчет_аналитики'!BO2471*IF('01_Вводные'!$B$239="Да",MeanMinAge12+'19_Расчет_аналитики'!BO2583*SUMIF(ThresholdAge12,"&lt;"&amp;'19_Расчет_аналитики'!BO2583,WeightedRevAge12)-SUMIF(ThresholdAge12,"&lt;"&amp;'19_Расчет_аналитики'!BO2583,WeightedMinAge12),MAX(CapacityAge12*'01_Вводные'!$B$218*'19_Расчет_аналитики'!BO2583,MeanMinAge12)))</f>
        <v/>
      </c>
    </row>
    <row r="2500">
      <c r="B2500">
        <f>IF(OR('06_Сеть_и_дети'!B93=0,13&lt;='01_Вводные'!$B$297),0,'06_Сеть_и_дети'!B93*IF('01_Вводные'!$B$239="Да",MeanMinAge13+'19_Расчет_аналитики'!B2583*SUMIF(ThresholdAge13,"&lt;"&amp;'19_Расчет_аналитики'!B2583,WeightedRevAge13)-SUMIF(ThresholdAge13,"&lt;"&amp;'19_Расчет_аналитики'!B2583,WeightedMinAge13),MAX(CapacityAge13*'01_Вводные'!$B$218*'19_Расчет_аналитики'!B2583,MeanMinAge13)))</f>
        <v/>
      </c>
      <c r="C2500">
        <f>IF(OR('06_Сеть_и_дети'!C93=0,13&lt;='01_Вводные'!$B$297),0,'06_Сеть_и_дети'!C93*IF('01_Вводные'!$B$239="Да",MeanMinAge13+'19_Расчет_аналитики'!C2583*SUMIF(ThresholdAge13,"&lt;"&amp;'19_Расчет_аналитики'!C2583,WeightedRevAge13)-SUMIF(ThresholdAge13,"&lt;"&amp;'19_Расчет_аналитики'!C2583,WeightedMinAge13),MAX(CapacityAge13*'01_Вводные'!$B$218*'19_Расчет_аналитики'!C2583,MeanMinAge13)))</f>
        <v/>
      </c>
      <c r="D2500">
        <f>IF(OR('06_Сеть_и_дети'!D93=0,13&lt;='01_Вводные'!$B$297),0,'06_Сеть_и_дети'!D93*IF('01_Вводные'!$B$239="Да",MeanMinAge13+'19_Расчет_аналитики'!D2583*SUMIF(ThresholdAge13,"&lt;"&amp;'19_Расчет_аналитики'!D2583,WeightedRevAge13)-SUMIF(ThresholdAge13,"&lt;"&amp;'19_Расчет_аналитики'!D2583,WeightedMinAge13),MAX(CapacityAge13*'01_Вводные'!$B$218*'19_Расчет_аналитики'!D2583,MeanMinAge13)))</f>
        <v/>
      </c>
      <c r="E2500">
        <f>IF(OR('06_Сеть_и_дети'!E93=0,13&lt;='01_Вводные'!$B$297),0,'06_Сеть_и_дети'!E93*IF('01_Вводные'!$B$239="Да",MeanMinAge13+'19_Расчет_аналитики'!E2583*SUMIF(ThresholdAge13,"&lt;"&amp;'19_Расчет_аналитики'!E2583,WeightedRevAge13)-SUMIF(ThresholdAge13,"&lt;"&amp;'19_Расчет_аналитики'!E2583,WeightedMinAge13),MAX(CapacityAge13*'01_Вводные'!$B$218*'19_Расчет_аналитики'!E2583,MeanMinAge13)))</f>
        <v/>
      </c>
      <c r="F2500">
        <f>IF(OR('06_Сеть_и_дети'!F93=0,13&lt;='01_Вводные'!$B$297),0,'06_Сеть_и_дети'!F93*IF('01_Вводные'!$B$239="Да",MeanMinAge13+'19_Расчет_аналитики'!F2583*SUMIF(ThresholdAge13,"&lt;"&amp;'19_Расчет_аналитики'!F2583,WeightedRevAge13)-SUMIF(ThresholdAge13,"&lt;"&amp;'19_Расчет_аналитики'!F2583,WeightedMinAge13),MAX(CapacityAge13*'01_Вводные'!$B$218*'19_Расчет_аналитики'!F2583,MeanMinAge13)))</f>
        <v/>
      </c>
      <c r="G2500">
        <f>IF(OR('06_Сеть_и_дети'!G93=0,13&lt;='01_Вводные'!$B$297),0,'06_Сеть_и_дети'!G93*IF('01_Вводные'!$B$239="Да",MeanMinAge13+'19_Расчет_аналитики'!G2583*SUMIF(ThresholdAge13,"&lt;"&amp;'19_Расчет_аналитики'!G2583,WeightedRevAge13)-SUMIF(ThresholdAge13,"&lt;"&amp;'19_Расчет_аналитики'!G2583,WeightedMinAge13),MAX(CapacityAge13*'01_Вводные'!$B$218*'19_Расчет_аналитики'!G2583,MeanMinAge13)))</f>
        <v/>
      </c>
      <c r="H2500">
        <f>IF(OR('06_Сеть_и_дети'!H93=0,13&lt;='01_Вводные'!$B$297),0,'06_Сеть_и_дети'!H93*IF('01_Вводные'!$B$239="Да",MeanMinAge13+'19_Расчет_аналитики'!H2583*SUMIF(ThresholdAge13,"&lt;"&amp;'19_Расчет_аналитики'!H2583,WeightedRevAge13)-SUMIF(ThresholdAge13,"&lt;"&amp;'19_Расчет_аналитики'!H2583,WeightedMinAge13),MAX(CapacityAge13*'01_Вводные'!$B$218*'19_Расчет_аналитики'!H2583,MeanMinAge13)))</f>
        <v/>
      </c>
      <c r="I2500">
        <f>IF(OR('06_Сеть_и_дети'!I93=0,13&lt;='01_Вводные'!$B$297),0,'06_Сеть_и_дети'!I93*IF('01_Вводные'!$B$239="Да",MeanMinAge13+'19_Расчет_аналитики'!I2583*SUMIF(ThresholdAge13,"&lt;"&amp;'19_Расчет_аналитики'!I2583,WeightedRevAge13)-SUMIF(ThresholdAge13,"&lt;"&amp;'19_Расчет_аналитики'!I2583,WeightedMinAge13),MAX(CapacityAge13*'01_Вводные'!$B$218*'19_Расчет_аналитики'!I2583,MeanMinAge13)))</f>
        <v/>
      </c>
      <c r="J2500">
        <f>IF(OR('06_Сеть_и_дети'!J93=0,13&lt;='01_Вводные'!$B$297),0,'06_Сеть_и_дети'!J93*IF('01_Вводные'!$B$239="Да",MeanMinAge13+'19_Расчет_аналитики'!J2583*SUMIF(ThresholdAge13,"&lt;"&amp;'19_Расчет_аналитики'!J2583,WeightedRevAge13)-SUMIF(ThresholdAge13,"&lt;"&amp;'19_Расчет_аналитики'!J2583,WeightedMinAge13),MAX(CapacityAge13*'01_Вводные'!$B$218*'19_Расчет_аналитики'!J2583,MeanMinAge13)))</f>
        <v/>
      </c>
      <c r="K2500">
        <f>IF(OR('06_Сеть_и_дети'!K93=0,13&lt;='01_Вводные'!$B$297),0,'06_Сеть_и_дети'!K93*IF('01_Вводные'!$B$239="Да",MeanMinAge13+'19_Расчет_аналитики'!K2583*SUMIF(ThresholdAge13,"&lt;"&amp;'19_Расчет_аналитики'!K2583,WeightedRevAge13)-SUMIF(ThresholdAge13,"&lt;"&amp;'19_Расчет_аналитики'!K2583,WeightedMinAge13),MAX(CapacityAge13*'01_Вводные'!$B$218*'19_Расчет_аналитики'!K2583,MeanMinAge13)))</f>
        <v/>
      </c>
      <c r="L2500">
        <f>IF(OR('06_Сеть_и_дети'!L93=0,13&lt;='01_Вводные'!$B$297),0,'06_Сеть_и_дети'!L93*IF('01_Вводные'!$B$239="Да",MeanMinAge13+'19_Расчет_аналитики'!L2583*SUMIF(ThresholdAge13,"&lt;"&amp;'19_Расчет_аналитики'!L2583,WeightedRevAge13)-SUMIF(ThresholdAge13,"&lt;"&amp;'19_Расчет_аналитики'!L2583,WeightedMinAge13),MAX(CapacityAge13*'01_Вводные'!$B$218*'19_Расчет_аналитики'!L2583,MeanMinAge13)))</f>
        <v/>
      </c>
      <c r="M2500">
        <f>IF(OR('06_Сеть_и_дети'!M93=0,13&lt;='01_Вводные'!$B$297),0,'06_Сеть_и_дети'!M93*IF('01_Вводные'!$B$239="Да",MeanMinAge13+'19_Расчет_аналитики'!M2583*SUMIF(ThresholdAge13,"&lt;"&amp;'19_Расчет_аналитики'!M2583,WeightedRevAge13)-SUMIF(ThresholdAge13,"&lt;"&amp;'19_Расчет_аналитики'!M2583,WeightedMinAge13),MAX(CapacityAge13*'01_Вводные'!$B$218*'19_Расчет_аналитики'!M2583,MeanMinAge13)))</f>
        <v/>
      </c>
      <c r="N2500">
        <f>IF(OR('19_Расчет_аналитики'!N2472=0,13&lt;='01_Вводные'!$B$297),0,'19_Расчет_аналитики'!N2472*IF('01_Вводные'!$B$239="Да",MeanMinAge13+'19_Расчет_аналитики'!N2583*SUMIF(ThresholdAge13,"&lt;"&amp;'19_Расчет_аналитики'!N2583,WeightedRevAge13)-SUMIF(ThresholdAge13,"&lt;"&amp;'19_Расчет_аналитики'!N2583,WeightedMinAge13),MAX(CapacityAge13*'01_Вводные'!$B$218*'19_Расчет_аналитики'!N2583,MeanMinAge13)))</f>
        <v/>
      </c>
      <c r="O2500">
        <f>IF(OR('19_Расчет_аналитики'!O2472=0,13&lt;='01_Вводные'!$B$297),0,'19_Расчет_аналитики'!O2472*IF('01_Вводные'!$B$239="Да",MeanMinAge13+'19_Расчет_аналитики'!O2583*SUMIF(ThresholdAge13,"&lt;"&amp;'19_Расчет_аналитики'!O2583,WeightedRevAge13)-SUMIF(ThresholdAge13,"&lt;"&amp;'19_Расчет_аналитики'!O2583,WeightedMinAge13),MAX(CapacityAge13*'01_Вводные'!$B$218*'19_Расчет_аналитики'!O2583,MeanMinAge13)))</f>
        <v/>
      </c>
      <c r="P2500">
        <f>IF(OR('19_Расчет_аналитики'!P2472=0,13&lt;='01_Вводные'!$B$297),0,'19_Расчет_аналитики'!P2472*IF('01_Вводные'!$B$239="Да",MeanMinAge13+'19_Расчет_аналитики'!P2583*SUMIF(ThresholdAge13,"&lt;"&amp;'19_Расчет_аналитики'!P2583,WeightedRevAge13)-SUMIF(ThresholdAge13,"&lt;"&amp;'19_Расчет_аналитики'!P2583,WeightedMinAge13),MAX(CapacityAge13*'01_Вводные'!$B$218*'19_Расчет_аналитики'!P2583,MeanMinAge13)))</f>
        <v/>
      </c>
      <c r="Q2500">
        <f>IF(OR('19_Расчет_аналитики'!Q2472=0,13&lt;='01_Вводные'!$B$297),0,'19_Расчет_аналитики'!Q2472*IF('01_Вводные'!$B$239="Да",MeanMinAge13+'19_Расчет_аналитики'!Q2583*SUMIF(ThresholdAge13,"&lt;"&amp;'19_Расчет_аналитики'!Q2583,WeightedRevAge13)-SUMIF(ThresholdAge13,"&lt;"&amp;'19_Расчет_аналитики'!Q2583,WeightedMinAge13),MAX(CapacityAge13*'01_Вводные'!$B$218*'19_Расчет_аналитики'!Q2583,MeanMinAge13)))</f>
        <v/>
      </c>
      <c r="R2500">
        <f>IF(OR('19_Расчет_аналитики'!R2472=0,13&lt;='01_Вводные'!$B$297),0,'19_Расчет_аналитики'!R2472*IF('01_Вводные'!$B$239="Да",MeanMinAge13+'19_Расчет_аналитики'!R2583*SUMIF(ThresholdAge13,"&lt;"&amp;'19_Расчет_аналитики'!R2583,WeightedRevAge13)-SUMIF(ThresholdAge13,"&lt;"&amp;'19_Расчет_аналитики'!R2583,WeightedMinAge13),MAX(CapacityAge13*'01_Вводные'!$B$218*'19_Расчет_аналитики'!R2583,MeanMinAge13)))</f>
        <v/>
      </c>
      <c r="S2500">
        <f>IF(OR('19_Расчет_аналитики'!S2472=0,13&lt;='01_Вводные'!$B$297),0,'19_Расчет_аналитики'!S2472*IF('01_Вводные'!$B$239="Да",MeanMinAge13+'19_Расчет_аналитики'!S2583*SUMIF(ThresholdAge13,"&lt;"&amp;'19_Расчет_аналитики'!S2583,WeightedRevAge13)-SUMIF(ThresholdAge13,"&lt;"&amp;'19_Расчет_аналитики'!S2583,WeightedMinAge13),MAX(CapacityAge13*'01_Вводные'!$B$218*'19_Расчет_аналитики'!S2583,MeanMinAge13)))</f>
        <v/>
      </c>
      <c r="T2500">
        <f>IF(OR('19_Расчет_аналитики'!T2472=0,13&lt;='01_Вводные'!$B$297),0,'19_Расчет_аналитики'!T2472*IF('01_Вводные'!$B$239="Да",MeanMinAge13+'19_Расчет_аналитики'!T2583*SUMIF(ThresholdAge13,"&lt;"&amp;'19_Расчет_аналитики'!T2583,WeightedRevAge13)-SUMIF(ThresholdAge13,"&lt;"&amp;'19_Расчет_аналитики'!T2583,WeightedMinAge13),MAX(CapacityAge13*'01_Вводные'!$B$218*'19_Расчет_аналитики'!T2583,MeanMinAge13)))</f>
        <v/>
      </c>
      <c r="U2500">
        <f>IF(OR('19_Расчет_аналитики'!U2472=0,13&lt;='01_Вводные'!$B$297),0,'19_Расчет_аналитики'!U2472*IF('01_Вводные'!$B$239="Да",MeanMinAge13+'19_Расчет_аналитики'!U2583*SUMIF(ThresholdAge13,"&lt;"&amp;'19_Расчет_аналитики'!U2583,WeightedRevAge13)-SUMIF(ThresholdAge13,"&lt;"&amp;'19_Расчет_аналитики'!U2583,WeightedMinAge13),MAX(CapacityAge13*'01_Вводные'!$B$218*'19_Расчет_аналитики'!U2583,MeanMinAge13)))</f>
        <v/>
      </c>
      <c r="V2500">
        <f>IF(OR('19_Расчет_аналитики'!V2472=0,13&lt;='01_Вводные'!$B$297),0,'19_Расчет_аналитики'!V2472*IF('01_Вводные'!$B$239="Да",MeanMinAge13+'19_Расчет_аналитики'!V2583*SUMIF(ThresholdAge13,"&lt;"&amp;'19_Расчет_аналитики'!V2583,WeightedRevAge13)-SUMIF(ThresholdAge13,"&lt;"&amp;'19_Расчет_аналитики'!V2583,WeightedMinAge13),MAX(CapacityAge13*'01_Вводные'!$B$218*'19_Расчет_аналитики'!V2583,MeanMinAge13)))</f>
        <v/>
      </c>
      <c r="W2500">
        <f>IF(OR('19_Расчет_аналитики'!W2472=0,13&lt;='01_Вводные'!$B$297),0,'19_Расчет_аналитики'!W2472*IF('01_Вводные'!$B$239="Да",MeanMinAge13+'19_Расчет_аналитики'!W2583*SUMIF(ThresholdAge13,"&lt;"&amp;'19_Расчет_аналитики'!W2583,WeightedRevAge13)-SUMIF(ThresholdAge13,"&lt;"&amp;'19_Расчет_аналитики'!W2583,WeightedMinAge13),MAX(CapacityAge13*'01_Вводные'!$B$218*'19_Расчет_аналитики'!W2583,MeanMinAge13)))</f>
        <v/>
      </c>
      <c r="X2500">
        <f>IF(OR('19_Расчет_аналитики'!X2472=0,13&lt;='01_Вводные'!$B$297),0,'19_Расчет_аналитики'!X2472*IF('01_Вводные'!$B$239="Да",MeanMinAge13+'19_Расчет_аналитики'!X2583*SUMIF(ThresholdAge13,"&lt;"&amp;'19_Расчет_аналитики'!X2583,WeightedRevAge13)-SUMIF(ThresholdAge13,"&lt;"&amp;'19_Расчет_аналитики'!X2583,WeightedMinAge13),MAX(CapacityAge13*'01_Вводные'!$B$218*'19_Расчет_аналитики'!X2583,MeanMinAge13)))</f>
        <v/>
      </c>
      <c r="Y2500">
        <f>IF(OR('19_Расчет_аналитики'!Y2472=0,13&lt;='01_Вводные'!$B$297),0,'19_Расчет_аналитики'!Y2472*IF('01_Вводные'!$B$239="Да",MeanMinAge13+'19_Расчет_аналитики'!Y2583*SUMIF(ThresholdAge13,"&lt;"&amp;'19_Расчет_аналитики'!Y2583,WeightedRevAge13)-SUMIF(ThresholdAge13,"&lt;"&amp;'19_Расчет_аналитики'!Y2583,WeightedMinAge13),MAX(CapacityAge13*'01_Вводные'!$B$218*'19_Расчет_аналитики'!Y2583,MeanMinAge13)))</f>
        <v/>
      </c>
      <c r="Z2500">
        <f>IF(OR('19_Расчет_аналитики'!Z2472=0,13&lt;='01_Вводные'!$B$297),0,'19_Расчет_аналитики'!Z2472*IF('01_Вводные'!$B$239="Да",MeanMinAge13+'19_Расчет_аналитики'!Z2583*SUMIF(ThresholdAge13,"&lt;"&amp;'19_Расчет_аналитики'!Z2583,WeightedRevAge13)-SUMIF(ThresholdAge13,"&lt;"&amp;'19_Расчет_аналитики'!Z2583,WeightedMinAge13),MAX(CapacityAge13*'01_Вводные'!$B$218*'19_Расчет_аналитики'!Z2583,MeanMinAge13)))</f>
        <v/>
      </c>
      <c r="AA2500">
        <f>IF(OR('19_Расчет_аналитики'!AA2472=0,13&lt;='01_Вводные'!$B$297),0,'19_Расчет_аналитики'!AA2472*IF('01_Вводные'!$B$239="Да",MeanMinAge13+'19_Расчет_аналитики'!AA2583*SUMIF(ThresholdAge13,"&lt;"&amp;'19_Расчет_аналитики'!AA2583,WeightedRevAge13)-SUMIF(ThresholdAge13,"&lt;"&amp;'19_Расчет_аналитики'!AA2583,WeightedMinAge13),MAX(CapacityAge13*'01_Вводные'!$B$218*'19_Расчет_аналитики'!AA2583,MeanMinAge13)))</f>
        <v/>
      </c>
      <c r="AB2500">
        <f>IF(OR('19_Расчет_аналитики'!AB2472=0,13&lt;='01_Вводные'!$B$297),0,'19_Расчет_аналитики'!AB2472*IF('01_Вводные'!$B$239="Да",MeanMinAge13+'19_Расчет_аналитики'!AB2583*SUMIF(ThresholdAge13,"&lt;"&amp;'19_Расчет_аналитики'!AB2583,WeightedRevAge13)-SUMIF(ThresholdAge13,"&lt;"&amp;'19_Расчет_аналитики'!AB2583,WeightedMinAge13),MAX(CapacityAge13*'01_Вводные'!$B$218*'19_Расчет_аналитики'!AB2583,MeanMinAge13)))</f>
        <v/>
      </c>
      <c r="AC2500">
        <f>IF(OR('19_Расчет_аналитики'!AC2472=0,13&lt;='01_Вводные'!$B$297),0,'19_Расчет_аналитики'!AC2472*IF('01_Вводные'!$B$239="Да",MeanMinAge13+'19_Расчет_аналитики'!AC2583*SUMIF(ThresholdAge13,"&lt;"&amp;'19_Расчет_аналитики'!AC2583,WeightedRevAge13)-SUMIF(ThresholdAge13,"&lt;"&amp;'19_Расчет_аналитики'!AC2583,WeightedMinAge13),MAX(CapacityAge13*'01_Вводные'!$B$218*'19_Расчет_аналитики'!AC2583,MeanMinAge13)))</f>
        <v/>
      </c>
      <c r="AD2500">
        <f>IF(OR('19_Расчет_аналитики'!AD2472=0,13&lt;='01_Вводные'!$B$297),0,'19_Расчет_аналитики'!AD2472*IF('01_Вводные'!$B$239="Да",MeanMinAge13+'19_Расчет_аналитики'!AD2583*SUMIF(ThresholdAge13,"&lt;"&amp;'19_Расчет_аналитики'!AD2583,WeightedRevAge13)-SUMIF(ThresholdAge13,"&lt;"&amp;'19_Расчет_аналитики'!AD2583,WeightedMinAge13),MAX(CapacityAge13*'01_Вводные'!$B$218*'19_Расчет_аналитики'!AD2583,MeanMinAge13)))</f>
        <v/>
      </c>
      <c r="AE2500">
        <f>IF(OR('19_Расчет_аналитики'!AE2472=0,13&lt;='01_Вводные'!$B$297),0,'19_Расчет_аналитики'!AE2472*IF('01_Вводные'!$B$239="Да",MeanMinAge13+'19_Расчет_аналитики'!AE2583*SUMIF(ThresholdAge13,"&lt;"&amp;'19_Расчет_аналитики'!AE2583,WeightedRevAge13)-SUMIF(ThresholdAge13,"&lt;"&amp;'19_Расчет_аналитики'!AE2583,WeightedMinAge13),MAX(CapacityAge13*'01_Вводные'!$B$218*'19_Расчет_аналитики'!AE2583,MeanMinAge13)))</f>
        <v/>
      </c>
      <c r="AF2500">
        <f>IF(OR('19_Расчет_аналитики'!AF2472=0,13&lt;='01_Вводные'!$B$297),0,'19_Расчет_аналитики'!AF2472*IF('01_Вводные'!$B$239="Да",MeanMinAge13+'19_Расчет_аналитики'!AF2583*SUMIF(ThresholdAge13,"&lt;"&amp;'19_Расчет_аналитики'!AF2583,WeightedRevAge13)-SUMIF(ThresholdAge13,"&lt;"&amp;'19_Расчет_аналитики'!AF2583,WeightedMinAge13),MAX(CapacityAge13*'01_Вводные'!$B$218*'19_Расчет_аналитики'!AF2583,MeanMinAge13)))</f>
        <v/>
      </c>
      <c r="AG2500">
        <f>IF(OR('19_Расчет_аналитики'!AG2472=0,13&lt;='01_Вводные'!$B$297),0,'19_Расчет_аналитики'!AG2472*IF('01_Вводные'!$B$239="Да",MeanMinAge13+'19_Расчет_аналитики'!AG2583*SUMIF(ThresholdAge13,"&lt;"&amp;'19_Расчет_аналитики'!AG2583,WeightedRevAge13)-SUMIF(ThresholdAge13,"&lt;"&amp;'19_Расчет_аналитики'!AG2583,WeightedMinAge13),MAX(CapacityAge13*'01_Вводные'!$B$218*'19_Расчет_аналитики'!AG2583,MeanMinAge13)))</f>
        <v/>
      </c>
      <c r="AH2500">
        <f>IF(OR('19_Расчет_аналитики'!AH2472=0,13&lt;='01_Вводные'!$B$297),0,'19_Расчет_аналитики'!AH2472*IF('01_Вводные'!$B$239="Да",MeanMinAge13+'19_Расчет_аналитики'!AH2583*SUMIF(ThresholdAge13,"&lt;"&amp;'19_Расчет_аналитики'!AH2583,WeightedRevAge13)-SUMIF(ThresholdAge13,"&lt;"&amp;'19_Расчет_аналитики'!AH2583,WeightedMinAge13),MAX(CapacityAge13*'01_Вводные'!$B$218*'19_Расчет_аналитики'!AH2583,MeanMinAge13)))</f>
        <v/>
      </c>
      <c r="AI2500">
        <f>IF(OR('19_Расчет_аналитики'!AI2472=0,13&lt;='01_Вводные'!$B$297),0,'19_Расчет_аналитики'!AI2472*IF('01_Вводные'!$B$239="Да",MeanMinAge13+'19_Расчет_аналитики'!AI2583*SUMIF(ThresholdAge13,"&lt;"&amp;'19_Расчет_аналитики'!AI2583,WeightedRevAge13)-SUMIF(ThresholdAge13,"&lt;"&amp;'19_Расчет_аналитики'!AI2583,WeightedMinAge13),MAX(CapacityAge13*'01_Вводные'!$B$218*'19_Расчет_аналитики'!AI2583,MeanMinAge13)))</f>
        <v/>
      </c>
      <c r="AJ2500">
        <f>IF(OR('19_Расчет_аналитики'!AJ2472=0,13&lt;='01_Вводные'!$B$297),0,'19_Расчет_аналитики'!AJ2472*IF('01_Вводные'!$B$239="Да",MeanMinAge13+'19_Расчет_аналитики'!AJ2583*SUMIF(ThresholdAge13,"&lt;"&amp;'19_Расчет_аналитики'!AJ2583,WeightedRevAge13)-SUMIF(ThresholdAge13,"&lt;"&amp;'19_Расчет_аналитики'!AJ2583,WeightedMinAge13),MAX(CapacityAge13*'01_Вводные'!$B$218*'19_Расчет_аналитики'!AJ2583,MeanMinAge13)))</f>
        <v/>
      </c>
      <c r="AK2500">
        <f>IF(OR('19_Расчет_аналитики'!AK2472=0,13&lt;='01_Вводные'!$B$297),0,'19_Расчет_аналитики'!AK2472*IF('01_Вводные'!$B$239="Да",MeanMinAge13+'19_Расчет_аналитики'!AK2583*SUMIF(ThresholdAge13,"&lt;"&amp;'19_Расчет_аналитики'!AK2583,WeightedRevAge13)-SUMIF(ThresholdAge13,"&lt;"&amp;'19_Расчет_аналитики'!AK2583,WeightedMinAge13),MAX(CapacityAge13*'01_Вводные'!$B$218*'19_Расчет_аналитики'!AK2583,MeanMinAge13)))</f>
        <v/>
      </c>
      <c r="AL2500">
        <f>IF(OR('19_Расчет_аналитики'!AL2472=0,13&lt;='01_Вводные'!$B$297),0,'19_Расчет_аналитики'!AL2472*IF('01_Вводные'!$B$239="Да",MeanMinAge13+'19_Расчет_аналитики'!AL2583*SUMIF(ThresholdAge13,"&lt;"&amp;'19_Расчет_аналитики'!AL2583,WeightedRevAge13)-SUMIF(ThresholdAge13,"&lt;"&amp;'19_Расчет_аналитики'!AL2583,WeightedMinAge13),MAX(CapacityAge13*'01_Вводные'!$B$218*'19_Расчет_аналитики'!AL2583,MeanMinAge13)))</f>
        <v/>
      </c>
      <c r="AM2500">
        <f>IF(OR('19_Расчет_аналитики'!AM2472=0,13&lt;='01_Вводные'!$B$297),0,'19_Расчет_аналитики'!AM2472*IF('01_Вводные'!$B$239="Да",MeanMinAge13+'19_Расчет_аналитики'!AM2583*SUMIF(ThresholdAge13,"&lt;"&amp;'19_Расчет_аналитики'!AM2583,WeightedRevAge13)-SUMIF(ThresholdAge13,"&lt;"&amp;'19_Расчет_аналитики'!AM2583,WeightedMinAge13),MAX(CapacityAge13*'01_Вводные'!$B$218*'19_Расчет_аналитики'!AM2583,MeanMinAge13)))</f>
        <v/>
      </c>
      <c r="AN2500">
        <f>IF(OR('19_Расчет_аналитики'!AN2472=0,13&lt;='01_Вводные'!$B$297),0,'19_Расчет_аналитики'!AN2472*IF('01_Вводные'!$B$239="Да",MeanMinAge13+'19_Расчет_аналитики'!AN2583*SUMIF(ThresholdAge13,"&lt;"&amp;'19_Расчет_аналитики'!AN2583,WeightedRevAge13)-SUMIF(ThresholdAge13,"&lt;"&amp;'19_Расчет_аналитики'!AN2583,WeightedMinAge13),MAX(CapacityAge13*'01_Вводные'!$B$218*'19_Расчет_аналитики'!AN2583,MeanMinAge13)))</f>
        <v/>
      </c>
      <c r="AO2500">
        <f>IF(OR('19_Расчет_аналитики'!AO2472=0,13&lt;='01_Вводные'!$B$297),0,'19_Расчет_аналитики'!AO2472*IF('01_Вводные'!$B$239="Да",MeanMinAge13+'19_Расчет_аналитики'!AO2583*SUMIF(ThresholdAge13,"&lt;"&amp;'19_Расчет_аналитики'!AO2583,WeightedRevAge13)-SUMIF(ThresholdAge13,"&lt;"&amp;'19_Расчет_аналитики'!AO2583,WeightedMinAge13),MAX(CapacityAge13*'01_Вводные'!$B$218*'19_Расчет_аналитики'!AO2583,MeanMinAge13)))</f>
        <v/>
      </c>
      <c r="AP2500">
        <f>IF(OR('19_Расчет_аналитики'!AP2472=0,13&lt;='01_Вводные'!$B$297),0,'19_Расчет_аналитики'!AP2472*IF('01_Вводные'!$B$239="Да",MeanMinAge13+'19_Расчет_аналитики'!AP2583*SUMIF(ThresholdAge13,"&lt;"&amp;'19_Расчет_аналитики'!AP2583,WeightedRevAge13)-SUMIF(ThresholdAge13,"&lt;"&amp;'19_Расчет_аналитики'!AP2583,WeightedMinAge13),MAX(CapacityAge13*'01_Вводные'!$B$218*'19_Расчет_аналитики'!AP2583,MeanMinAge13)))</f>
        <v/>
      </c>
      <c r="AQ2500">
        <f>IF(OR('19_Расчет_аналитики'!AQ2472=0,13&lt;='01_Вводные'!$B$297),0,'19_Расчет_аналитики'!AQ2472*IF('01_Вводные'!$B$239="Да",MeanMinAge13+'19_Расчет_аналитики'!AQ2583*SUMIF(ThresholdAge13,"&lt;"&amp;'19_Расчет_аналитики'!AQ2583,WeightedRevAge13)-SUMIF(ThresholdAge13,"&lt;"&amp;'19_Расчет_аналитики'!AQ2583,WeightedMinAge13),MAX(CapacityAge13*'01_Вводные'!$B$218*'19_Расчет_аналитики'!AQ2583,MeanMinAge13)))</f>
        <v/>
      </c>
      <c r="AR2500">
        <f>IF(OR('19_Расчет_аналитики'!AR2472=0,13&lt;='01_Вводные'!$B$297),0,'19_Расчет_аналитики'!AR2472*IF('01_Вводные'!$B$239="Да",MeanMinAge13+'19_Расчет_аналитики'!AR2583*SUMIF(ThresholdAge13,"&lt;"&amp;'19_Расчет_аналитики'!AR2583,WeightedRevAge13)-SUMIF(ThresholdAge13,"&lt;"&amp;'19_Расчет_аналитики'!AR2583,WeightedMinAge13),MAX(CapacityAge13*'01_Вводные'!$B$218*'19_Расчет_аналитики'!AR2583,MeanMinAge13)))</f>
        <v/>
      </c>
      <c r="AS2500">
        <f>IF(OR('19_Расчет_аналитики'!AS2472=0,13&lt;='01_Вводные'!$B$297),0,'19_Расчет_аналитики'!AS2472*IF('01_Вводные'!$B$239="Да",MeanMinAge13+'19_Расчет_аналитики'!AS2583*SUMIF(ThresholdAge13,"&lt;"&amp;'19_Расчет_аналитики'!AS2583,WeightedRevAge13)-SUMIF(ThresholdAge13,"&lt;"&amp;'19_Расчет_аналитики'!AS2583,WeightedMinAge13),MAX(CapacityAge13*'01_Вводные'!$B$218*'19_Расчет_аналитики'!AS2583,MeanMinAge13)))</f>
        <v/>
      </c>
      <c r="AT2500">
        <f>IF(OR('19_Расчет_аналитики'!AT2472=0,13&lt;='01_Вводные'!$B$297),0,'19_Расчет_аналитики'!AT2472*IF('01_Вводные'!$B$239="Да",MeanMinAge13+'19_Расчет_аналитики'!AT2583*SUMIF(ThresholdAge13,"&lt;"&amp;'19_Расчет_аналитики'!AT2583,WeightedRevAge13)-SUMIF(ThresholdAge13,"&lt;"&amp;'19_Расчет_аналитики'!AT2583,WeightedMinAge13),MAX(CapacityAge13*'01_Вводные'!$B$218*'19_Расчет_аналитики'!AT2583,MeanMinAge13)))</f>
        <v/>
      </c>
      <c r="AU2500">
        <f>IF(OR('19_Расчет_аналитики'!AU2472=0,13&lt;='01_Вводные'!$B$297),0,'19_Расчет_аналитики'!AU2472*IF('01_Вводные'!$B$239="Да",MeanMinAge13+'19_Расчет_аналитики'!AU2583*SUMIF(ThresholdAge13,"&lt;"&amp;'19_Расчет_аналитики'!AU2583,WeightedRevAge13)-SUMIF(ThresholdAge13,"&lt;"&amp;'19_Расчет_аналитики'!AU2583,WeightedMinAge13),MAX(CapacityAge13*'01_Вводные'!$B$218*'19_Расчет_аналитики'!AU2583,MeanMinAge13)))</f>
        <v/>
      </c>
      <c r="AV2500">
        <f>IF(OR('19_Расчет_аналитики'!AV2472=0,13&lt;='01_Вводные'!$B$297),0,'19_Расчет_аналитики'!AV2472*IF('01_Вводные'!$B$239="Да",MeanMinAge13+'19_Расчет_аналитики'!AV2583*SUMIF(ThresholdAge13,"&lt;"&amp;'19_Расчет_аналитики'!AV2583,WeightedRevAge13)-SUMIF(ThresholdAge13,"&lt;"&amp;'19_Расчет_аналитики'!AV2583,WeightedMinAge13),MAX(CapacityAge13*'01_Вводные'!$B$218*'19_Расчет_аналитики'!AV2583,MeanMinAge13)))</f>
        <v/>
      </c>
      <c r="AW2500">
        <f>IF(OR('19_Расчет_аналитики'!AW2472=0,13&lt;='01_Вводные'!$B$297),0,'19_Расчет_аналитики'!AW2472*IF('01_Вводные'!$B$239="Да",MeanMinAge13+'19_Расчет_аналитики'!AW2583*SUMIF(ThresholdAge13,"&lt;"&amp;'19_Расчет_аналитики'!AW2583,WeightedRevAge13)-SUMIF(ThresholdAge13,"&lt;"&amp;'19_Расчет_аналитики'!AW2583,WeightedMinAge13),MAX(CapacityAge13*'01_Вводные'!$B$218*'19_Расчет_аналитики'!AW2583,MeanMinAge13)))</f>
        <v/>
      </c>
      <c r="AX2500">
        <f>IF(OR('19_Расчет_аналитики'!AX2472=0,13&lt;='01_Вводные'!$B$297),0,'19_Расчет_аналитики'!AX2472*IF('01_Вводные'!$B$239="Да",MeanMinAge13+'19_Расчет_аналитики'!AX2583*SUMIF(ThresholdAge13,"&lt;"&amp;'19_Расчет_аналитики'!AX2583,WeightedRevAge13)-SUMIF(ThresholdAge13,"&lt;"&amp;'19_Расчет_аналитики'!AX2583,WeightedMinAge13),MAX(CapacityAge13*'01_Вводные'!$B$218*'19_Расчет_аналитики'!AX2583,MeanMinAge13)))</f>
        <v/>
      </c>
      <c r="AY2500">
        <f>IF(OR('19_Расчет_аналитики'!AY2472=0,13&lt;='01_Вводные'!$B$297),0,'19_Расчет_аналитики'!AY2472*IF('01_Вводные'!$B$239="Да",MeanMinAge13+'19_Расчет_аналитики'!AY2583*SUMIF(ThresholdAge13,"&lt;"&amp;'19_Расчет_аналитики'!AY2583,WeightedRevAge13)-SUMIF(ThresholdAge13,"&lt;"&amp;'19_Расчет_аналитики'!AY2583,WeightedMinAge13),MAX(CapacityAge13*'01_Вводные'!$B$218*'19_Расчет_аналитики'!AY2583,MeanMinAge13)))</f>
        <v/>
      </c>
      <c r="AZ2500">
        <f>IF(OR('19_Расчет_аналитики'!AZ2472=0,13&lt;='01_Вводные'!$B$297),0,'19_Расчет_аналитики'!AZ2472*IF('01_Вводные'!$B$239="Да",MeanMinAge13+'19_Расчет_аналитики'!AZ2583*SUMIF(ThresholdAge13,"&lt;"&amp;'19_Расчет_аналитики'!AZ2583,WeightedRevAge13)-SUMIF(ThresholdAge13,"&lt;"&amp;'19_Расчет_аналитики'!AZ2583,WeightedMinAge13),MAX(CapacityAge13*'01_Вводные'!$B$218*'19_Расчет_аналитики'!AZ2583,MeanMinAge13)))</f>
        <v/>
      </c>
      <c r="BA2500">
        <f>IF(OR('19_Расчет_аналитики'!BA2472=0,13&lt;='01_Вводные'!$B$297),0,'19_Расчет_аналитики'!BA2472*IF('01_Вводные'!$B$239="Да",MeanMinAge13+'19_Расчет_аналитики'!BA2583*SUMIF(ThresholdAge13,"&lt;"&amp;'19_Расчет_аналитики'!BA2583,WeightedRevAge13)-SUMIF(ThresholdAge13,"&lt;"&amp;'19_Расчет_аналитики'!BA2583,WeightedMinAge13),MAX(CapacityAge13*'01_Вводные'!$B$218*'19_Расчет_аналитики'!BA2583,MeanMinAge13)))</f>
        <v/>
      </c>
      <c r="BB2500">
        <f>IF(OR('19_Расчет_аналитики'!BB2472=0,13&lt;='01_Вводные'!$B$297),0,'19_Расчет_аналитики'!BB2472*IF('01_Вводные'!$B$239="Да",MeanMinAge13+'19_Расчет_аналитики'!BB2583*SUMIF(ThresholdAge13,"&lt;"&amp;'19_Расчет_аналитики'!BB2583,WeightedRevAge13)-SUMIF(ThresholdAge13,"&lt;"&amp;'19_Расчет_аналитики'!BB2583,WeightedMinAge13),MAX(CapacityAge13*'01_Вводные'!$B$218*'19_Расчет_аналитики'!BB2583,MeanMinAge13)))</f>
        <v/>
      </c>
      <c r="BC2500">
        <f>IF(OR('19_Расчет_аналитики'!BC2472=0,13&lt;='01_Вводные'!$B$297),0,'19_Расчет_аналитики'!BC2472*IF('01_Вводные'!$B$239="Да",MeanMinAge13+'19_Расчет_аналитики'!BC2583*SUMIF(ThresholdAge13,"&lt;"&amp;'19_Расчет_аналитики'!BC2583,WeightedRevAge13)-SUMIF(ThresholdAge13,"&lt;"&amp;'19_Расчет_аналитики'!BC2583,WeightedMinAge13),MAX(CapacityAge13*'01_Вводные'!$B$218*'19_Расчет_аналитики'!BC2583,MeanMinAge13)))</f>
        <v/>
      </c>
      <c r="BD2500">
        <f>IF(OR('19_Расчет_аналитики'!BD2472=0,13&lt;='01_Вводные'!$B$297),0,'19_Расчет_аналитики'!BD2472*IF('01_Вводные'!$B$239="Да",MeanMinAge13+'19_Расчет_аналитики'!BD2583*SUMIF(ThresholdAge13,"&lt;"&amp;'19_Расчет_аналитики'!BD2583,WeightedRevAge13)-SUMIF(ThresholdAge13,"&lt;"&amp;'19_Расчет_аналитики'!BD2583,WeightedMinAge13),MAX(CapacityAge13*'01_Вводные'!$B$218*'19_Расчет_аналитики'!BD2583,MeanMinAge13)))</f>
        <v/>
      </c>
      <c r="BE2500">
        <f>IF(OR('19_Расчет_аналитики'!BE2472=0,13&lt;='01_Вводные'!$B$297),0,'19_Расчет_аналитики'!BE2472*IF('01_Вводные'!$B$239="Да",MeanMinAge13+'19_Расчет_аналитики'!BE2583*SUMIF(ThresholdAge13,"&lt;"&amp;'19_Расчет_аналитики'!BE2583,WeightedRevAge13)-SUMIF(ThresholdAge13,"&lt;"&amp;'19_Расчет_аналитики'!BE2583,WeightedMinAge13),MAX(CapacityAge13*'01_Вводные'!$B$218*'19_Расчет_аналитики'!BE2583,MeanMinAge13)))</f>
        <v/>
      </c>
      <c r="BF2500">
        <f>IF(OR('19_Расчет_аналитики'!BF2472=0,13&lt;='01_Вводные'!$B$297),0,'19_Расчет_аналитики'!BF2472*IF('01_Вводные'!$B$239="Да",MeanMinAge13+'19_Расчет_аналитики'!BF2583*SUMIF(ThresholdAge13,"&lt;"&amp;'19_Расчет_аналитики'!BF2583,WeightedRevAge13)-SUMIF(ThresholdAge13,"&lt;"&amp;'19_Расчет_аналитики'!BF2583,WeightedMinAge13),MAX(CapacityAge13*'01_Вводные'!$B$218*'19_Расчет_аналитики'!BF2583,MeanMinAge13)))</f>
        <v/>
      </c>
      <c r="BG2500">
        <f>IF(OR('19_Расчет_аналитики'!BG2472=0,13&lt;='01_Вводные'!$B$297),0,'19_Расчет_аналитики'!BG2472*IF('01_Вводные'!$B$239="Да",MeanMinAge13+'19_Расчет_аналитики'!BG2583*SUMIF(ThresholdAge13,"&lt;"&amp;'19_Расчет_аналитики'!BG2583,WeightedRevAge13)-SUMIF(ThresholdAge13,"&lt;"&amp;'19_Расчет_аналитики'!BG2583,WeightedMinAge13),MAX(CapacityAge13*'01_Вводные'!$B$218*'19_Расчет_аналитики'!BG2583,MeanMinAge13)))</f>
        <v/>
      </c>
      <c r="BH2500">
        <f>IF(OR('19_Расчет_аналитики'!BH2472=0,13&lt;='01_Вводные'!$B$297),0,'19_Расчет_аналитики'!BH2472*IF('01_Вводные'!$B$239="Да",MeanMinAge13+'19_Расчет_аналитики'!BH2583*SUMIF(ThresholdAge13,"&lt;"&amp;'19_Расчет_аналитики'!BH2583,WeightedRevAge13)-SUMIF(ThresholdAge13,"&lt;"&amp;'19_Расчет_аналитики'!BH2583,WeightedMinAge13),MAX(CapacityAge13*'01_Вводные'!$B$218*'19_Расчет_аналитики'!BH2583,MeanMinAge13)))</f>
        <v/>
      </c>
      <c r="BI2500">
        <f>IF(OR('19_Расчет_аналитики'!BI2472=0,13&lt;='01_Вводные'!$B$297),0,'19_Расчет_аналитики'!BI2472*IF('01_Вводные'!$B$239="Да",MeanMinAge13+'19_Расчет_аналитики'!BI2583*SUMIF(ThresholdAge13,"&lt;"&amp;'19_Расчет_аналитики'!BI2583,WeightedRevAge13)-SUMIF(ThresholdAge13,"&lt;"&amp;'19_Расчет_аналитики'!BI2583,WeightedMinAge13),MAX(CapacityAge13*'01_Вводные'!$B$218*'19_Расчет_аналитики'!BI2583,MeanMinAge13)))</f>
        <v/>
      </c>
      <c r="BJ2500">
        <f>IF(OR('19_Расчет_аналитики'!BJ2472=0,13&lt;='01_Вводные'!$B$297),0,'19_Расчет_аналитики'!BJ2472*IF('01_Вводные'!$B$239="Да",MeanMinAge13+'19_Расчет_аналитики'!BJ2583*SUMIF(ThresholdAge13,"&lt;"&amp;'19_Расчет_аналитики'!BJ2583,WeightedRevAge13)-SUMIF(ThresholdAge13,"&lt;"&amp;'19_Расчет_аналитики'!BJ2583,WeightedMinAge13),MAX(CapacityAge13*'01_Вводные'!$B$218*'19_Расчет_аналитики'!BJ2583,MeanMinAge13)))</f>
        <v/>
      </c>
      <c r="BK2500">
        <f>IF(OR('19_Расчет_аналитики'!BK2472=0,13&lt;='01_Вводные'!$B$297),0,'19_Расчет_аналитики'!BK2472*IF('01_Вводные'!$B$239="Да",MeanMinAge13+'19_Расчет_аналитики'!BK2583*SUMIF(ThresholdAge13,"&lt;"&amp;'19_Расчет_аналитики'!BK2583,WeightedRevAge13)-SUMIF(ThresholdAge13,"&lt;"&amp;'19_Расчет_аналитики'!BK2583,WeightedMinAge13),MAX(CapacityAge13*'01_Вводные'!$B$218*'19_Расчет_аналитики'!BK2583,MeanMinAge13)))</f>
        <v/>
      </c>
      <c r="BL2500">
        <f>IF(OR('19_Расчет_аналитики'!BL2472=0,13&lt;='01_Вводные'!$B$297),0,'19_Расчет_аналитики'!BL2472*IF('01_Вводные'!$B$239="Да",MeanMinAge13+'19_Расчет_аналитики'!BL2583*SUMIF(ThresholdAge13,"&lt;"&amp;'19_Расчет_аналитики'!BL2583,WeightedRevAge13)-SUMIF(ThresholdAge13,"&lt;"&amp;'19_Расчет_аналитики'!BL2583,WeightedMinAge13),MAX(CapacityAge13*'01_Вводные'!$B$218*'19_Расчет_аналитики'!BL2583,MeanMinAge13)))</f>
        <v/>
      </c>
      <c r="BM2500">
        <f>IF(OR('19_Расчет_аналитики'!BM2472=0,13&lt;='01_Вводные'!$B$297),0,'19_Расчет_аналитики'!BM2472*IF('01_Вводные'!$B$239="Да",MeanMinAge13+'19_Расчет_аналитики'!BM2583*SUMIF(ThresholdAge13,"&lt;"&amp;'19_Расчет_аналитики'!BM2583,WeightedRevAge13)-SUMIF(ThresholdAge13,"&lt;"&amp;'19_Расчет_аналитики'!BM2583,WeightedMinAge13),MAX(CapacityAge13*'01_Вводные'!$B$218*'19_Расчет_аналитики'!BM2583,MeanMinAge13)))</f>
        <v/>
      </c>
      <c r="BN2500">
        <f>IF(OR('19_Расчет_аналитики'!BN2472=0,13&lt;='01_Вводные'!$B$297),0,'19_Расчет_аналитики'!BN2472*IF('01_Вводные'!$B$239="Да",MeanMinAge13+'19_Расчет_аналитики'!BN2583*SUMIF(ThresholdAge13,"&lt;"&amp;'19_Расчет_аналитики'!BN2583,WeightedRevAge13)-SUMIF(ThresholdAge13,"&lt;"&amp;'19_Расчет_аналитики'!BN2583,WeightedMinAge13),MAX(CapacityAge13*'01_Вводные'!$B$218*'19_Расчет_аналитики'!BN2583,MeanMinAge13)))</f>
        <v/>
      </c>
      <c r="BO2500">
        <f>IF(OR('19_Расчет_аналитики'!BO2472=0,13&lt;='01_Вводные'!$B$297),0,'19_Расчет_аналитики'!BO2472*IF('01_Вводные'!$B$239="Да",MeanMinAge13+'19_Расчет_аналитики'!BO2583*SUMIF(ThresholdAge13,"&lt;"&amp;'19_Расчет_аналитики'!BO2583,WeightedRevAge13)-SUMIF(ThresholdAge13,"&lt;"&amp;'19_Расчет_аналитики'!BO2583,WeightedMinAge13),MAX(CapacityAge13*'01_Вводные'!$B$218*'19_Расчет_аналитики'!BO2583,MeanMinAge13)))</f>
        <v/>
      </c>
    </row>
    <row r="2501">
      <c r="B2501">
        <f>IF(OR('06_Сеть_и_дети'!B94=0,14&lt;='01_Вводные'!$B$297),0,'06_Сеть_и_дети'!B94*IF('01_Вводные'!$B$239="Да",MeanMinAge14+'19_Расчет_аналитики'!B2583*SUMIF(ThresholdAge14,"&lt;"&amp;'19_Расчет_аналитики'!B2583,WeightedRevAge14)-SUMIF(ThresholdAge14,"&lt;"&amp;'19_Расчет_аналитики'!B2583,WeightedMinAge14),MAX(CapacityAge14*'01_Вводные'!$B$218*'19_Расчет_аналитики'!B2583,MeanMinAge14)))</f>
        <v/>
      </c>
      <c r="C2501">
        <f>IF(OR('06_Сеть_и_дети'!C94=0,14&lt;='01_Вводные'!$B$297),0,'06_Сеть_и_дети'!C94*IF('01_Вводные'!$B$239="Да",MeanMinAge14+'19_Расчет_аналитики'!C2583*SUMIF(ThresholdAge14,"&lt;"&amp;'19_Расчет_аналитики'!C2583,WeightedRevAge14)-SUMIF(ThresholdAge14,"&lt;"&amp;'19_Расчет_аналитики'!C2583,WeightedMinAge14),MAX(CapacityAge14*'01_Вводные'!$B$218*'19_Расчет_аналитики'!C2583,MeanMinAge14)))</f>
        <v/>
      </c>
      <c r="D2501">
        <f>IF(OR('06_Сеть_и_дети'!D94=0,14&lt;='01_Вводные'!$B$297),0,'06_Сеть_и_дети'!D94*IF('01_Вводные'!$B$239="Да",MeanMinAge14+'19_Расчет_аналитики'!D2583*SUMIF(ThresholdAge14,"&lt;"&amp;'19_Расчет_аналитики'!D2583,WeightedRevAge14)-SUMIF(ThresholdAge14,"&lt;"&amp;'19_Расчет_аналитики'!D2583,WeightedMinAge14),MAX(CapacityAge14*'01_Вводные'!$B$218*'19_Расчет_аналитики'!D2583,MeanMinAge14)))</f>
        <v/>
      </c>
      <c r="E2501">
        <f>IF(OR('06_Сеть_и_дети'!E94=0,14&lt;='01_Вводные'!$B$297),0,'06_Сеть_и_дети'!E94*IF('01_Вводные'!$B$239="Да",MeanMinAge14+'19_Расчет_аналитики'!E2583*SUMIF(ThresholdAge14,"&lt;"&amp;'19_Расчет_аналитики'!E2583,WeightedRevAge14)-SUMIF(ThresholdAge14,"&lt;"&amp;'19_Расчет_аналитики'!E2583,WeightedMinAge14),MAX(CapacityAge14*'01_Вводные'!$B$218*'19_Расчет_аналитики'!E2583,MeanMinAge14)))</f>
        <v/>
      </c>
      <c r="F2501">
        <f>IF(OR('06_Сеть_и_дети'!F94=0,14&lt;='01_Вводные'!$B$297),0,'06_Сеть_и_дети'!F94*IF('01_Вводные'!$B$239="Да",MeanMinAge14+'19_Расчет_аналитики'!F2583*SUMIF(ThresholdAge14,"&lt;"&amp;'19_Расчет_аналитики'!F2583,WeightedRevAge14)-SUMIF(ThresholdAge14,"&lt;"&amp;'19_Расчет_аналитики'!F2583,WeightedMinAge14),MAX(CapacityAge14*'01_Вводные'!$B$218*'19_Расчет_аналитики'!F2583,MeanMinAge14)))</f>
        <v/>
      </c>
      <c r="G2501">
        <f>IF(OR('06_Сеть_и_дети'!G94=0,14&lt;='01_Вводные'!$B$297),0,'06_Сеть_и_дети'!G94*IF('01_Вводные'!$B$239="Да",MeanMinAge14+'19_Расчет_аналитики'!G2583*SUMIF(ThresholdAge14,"&lt;"&amp;'19_Расчет_аналитики'!G2583,WeightedRevAge14)-SUMIF(ThresholdAge14,"&lt;"&amp;'19_Расчет_аналитики'!G2583,WeightedMinAge14),MAX(CapacityAge14*'01_Вводные'!$B$218*'19_Расчет_аналитики'!G2583,MeanMinAge14)))</f>
        <v/>
      </c>
      <c r="H2501">
        <f>IF(OR('06_Сеть_и_дети'!H94=0,14&lt;='01_Вводные'!$B$297),0,'06_Сеть_и_дети'!H94*IF('01_Вводные'!$B$239="Да",MeanMinAge14+'19_Расчет_аналитики'!H2583*SUMIF(ThresholdAge14,"&lt;"&amp;'19_Расчет_аналитики'!H2583,WeightedRevAge14)-SUMIF(ThresholdAge14,"&lt;"&amp;'19_Расчет_аналитики'!H2583,WeightedMinAge14),MAX(CapacityAge14*'01_Вводные'!$B$218*'19_Расчет_аналитики'!H2583,MeanMinAge14)))</f>
        <v/>
      </c>
      <c r="I2501">
        <f>IF(OR('06_Сеть_и_дети'!I94=0,14&lt;='01_Вводные'!$B$297),0,'06_Сеть_и_дети'!I94*IF('01_Вводные'!$B$239="Да",MeanMinAge14+'19_Расчет_аналитики'!I2583*SUMIF(ThresholdAge14,"&lt;"&amp;'19_Расчет_аналитики'!I2583,WeightedRevAge14)-SUMIF(ThresholdAge14,"&lt;"&amp;'19_Расчет_аналитики'!I2583,WeightedMinAge14),MAX(CapacityAge14*'01_Вводные'!$B$218*'19_Расчет_аналитики'!I2583,MeanMinAge14)))</f>
        <v/>
      </c>
      <c r="J2501">
        <f>IF(OR('06_Сеть_и_дети'!J94=0,14&lt;='01_Вводные'!$B$297),0,'06_Сеть_и_дети'!J94*IF('01_Вводные'!$B$239="Да",MeanMinAge14+'19_Расчет_аналитики'!J2583*SUMIF(ThresholdAge14,"&lt;"&amp;'19_Расчет_аналитики'!J2583,WeightedRevAge14)-SUMIF(ThresholdAge14,"&lt;"&amp;'19_Расчет_аналитики'!J2583,WeightedMinAge14),MAX(CapacityAge14*'01_Вводные'!$B$218*'19_Расчет_аналитики'!J2583,MeanMinAge14)))</f>
        <v/>
      </c>
      <c r="K2501">
        <f>IF(OR('06_Сеть_и_дети'!K94=0,14&lt;='01_Вводные'!$B$297),0,'06_Сеть_и_дети'!K94*IF('01_Вводные'!$B$239="Да",MeanMinAge14+'19_Расчет_аналитики'!K2583*SUMIF(ThresholdAge14,"&lt;"&amp;'19_Расчет_аналитики'!K2583,WeightedRevAge14)-SUMIF(ThresholdAge14,"&lt;"&amp;'19_Расчет_аналитики'!K2583,WeightedMinAge14),MAX(CapacityAge14*'01_Вводные'!$B$218*'19_Расчет_аналитики'!K2583,MeanMinAge14)))</f>
        <v/>
      </c>
      <c r="L2501">
        <f>IF(OR('06_Сеть_и_дети'!L94=0,14&lt;='01_Вводные'!$B$297),0,'06_Сеть_и_дети'!L94*IF('01_Вводные'!$B$239="Да",MeanMinAge14+'19_Расчет_аналитики'!L2583*SUMIF(ThresholdAge14,"&lt;"&amp;'19_Расчет_аналитики'!L2583,WeightedRevAge14)-SUMIF(ThresholdAge14,"&lt;"&amp;'19_Расчет_аналитики'!L2583,WeightedMinAge14),MAX(CapacityAge14*'01_Вводные'!$B$218*'19_Расчет_аналитики'!L2583,MeanMinAge14)))</f>
        <v/>
      </c>
      <c r="M2501">
        <f>IF(OR('06_Сеть_и_дети'!M94=0,14&lt;='01_Вводные'!$B$297),0,'06_Сеть_и_дети'!M94*IF('01_Вводные'!$B$239="Да",MeanMinAge14+'19_Расчет_аналитики'!M2583*SUMIF(ThresholdAge14,"&lt;"&amp;'19_Расчет_аналитики'!M2583,WeightedRevAge14)-SUMIF(ThresholdAge14,"&lt;"&amp;'19_Расчет_аналитики'!M2583,WeightedMinAge14),MAX(CapacityAge14*'01_Вводные'!$B$218*'19_Расчет_аналитики'!M2583,MeanMinAge14)))</f>
        <v/>
      </c>
      <c r="N2501">
        <f>IF(OR('06_Сеть_и_дети'!N94=0,14&lt;='01_Вводные'!$B$297),0,'06_Сеть_и_дети'!N94*IF('01_Вводные'!$B$239="Да",MeanMinAge14+'19_Расчет_аналитики'!N2583*SUMIF(ThresholdAge14,"&lt;"&amp;'19_Расчет_аналитики'!N2583,WeightedRevAge14)-SUMIF(ThresholdAge14,"&lt;"&amp;'19_Расчет_аналитики'!N2583,WeightedMinAge14),MAX(CapacityAge14*'01_Вводные'!$B$218*'19_Расчет_аналитики'!N2583,MeanMinAge14)))</f>
        <v/>
      </c>
      <c r="O2501">
        <f>IF(OR('19_Расчет_аналитики'!O2473=0,14&lt;='01_Вводные'!$B$297),0,'19_Расчет_аналитики'!O2473*IF('01_Вводные'!$B$239="Да",MeanMinAge14+'19_Расчет_аналитики'!O2583*SUMIF(ThresholdAge14,"&lt;"&amp;'19_Расчет_аналитики'!O2583,WeightedRevAge14)-SUMIF(ThresholdAge14,"&lt;"&amp;'19_Расчет_аналитики'!O2583,WeightedMinAge14),MAX(CapacityAge14*'01_Вводные'!$B$218*'19_Расчет_аналитики'!O2583,MeanMinAge14)))</f>
        <v/>
      </c>
      <c r="P2501">
        <f>IF(OR('19_Расчет_аналитики'!P2473=0,14&lt;='01_Вводные'!$B$297),0,'19_Расчет_аналитики'!P2473*IF('01_Вводные'!$B$239="Да",MeanMinAge14+'19_Расчет_аналитики'!P2583*SUMIF(ThresholdAge14,"&lt;"&amp;'19_Расчет_аналитики'!P2583,WeightedRevAge14)-SUMIF(ThresholdAge14,"&lt;"&amp;'19_Расчет_аналитики'!P2583,WeightedMinAge14),MAX(CapacityAge14*'01_Вводные'!$B$218*'19_Расчет_аналитики'!P2583,MeanMinAge14)))</f>
        <v/>
      </c>
      <c r="Q2501">
        <f>IF(OR('19_Расчет_аналитики'!Q2473=0,14&lt;='01_Вводные'!$B$297),0,'19_Расчет_аналитики'!Q2473*IF('01_Вводные'!$B$239="Да",MeanMinAge14+'19_Расчет_аналитики'!Q2583*SUMIF(ThresholdAge14,"&lt;"&amp;'19_Расчет_аналитики'!Q2583,WeightedRevAge14)-SUMIF(ThresholdAge14,"&lt;"&amp;'19_Расчет_аналитики'!Q2583,WeightedMinAge14),MAX(CapacityAge14*'01_Вводные'!$B$218*'19_Расчет_аналитики'!Q2583,MeanMinAge14)))</f>
        <v/>
      </c>
      <c r="R2501">
        <f>IF(OR('19_Расчет_аналитики'!R2473=0,14&lt;='01_Вводные'!$B$297),0,'19_Расчет_аналитики'!R2473*IF('01_Вводные'!$B$239="Да",MeanMinAge14+'19_Расчет_аналитики'!R2583*SUMIF(ThresholdAge14,"&lt;"&amp;'19_Расчет_аналитики'!R2583,WeightedRevAge14)-SUMIF(ThresholdAge14,"&lt;"&amp;'19_Расчет_аналитики'!R2583,WeightedMinAge14),MAX(CapacityAge14*'01_Вводные'!$B$218*'19_Расчет_аналитики'!R2583,MeanMinAge14)))</f>
        <v/>
      </c>
      <c r="S2501">
        <f>IF(OR('19_Расчет_аналитики'!S2473=0,14&lt;='01_Вводные'!$B$297),0,'19_Расчет_аналитики'!S2473*IF('01_Вводные'!$B$239="Да",MeanMinAge14+'19_Расчет_аналитики'!S2583*SUMIF(ThresholdAge14,"&lt;"&amp;'19_Расчет_аналитики'!S2583,WeightedRevAge14)-SUMIF(ThresholdAge14,"&lt;"&amp;'19_Расчет_аналитики'!S2583,WeightedMinAge14),MAX(CapacityAge14*'01_Вводные'!$B$218*'19_Расчет_аналитики'!S2583,MeanMinAge14)))</f>
        <v/>
      </c>
      <c r="T2501">
        <f>IF(OR('19_Расчет_аналитики'!T2473=0,14&lt;='01_Вводные'!$B$297),0,'19_Расчет_аналитики'!T2473*IF('01_Вводные'!$B$239="Да",MeanMinAge14+'19_Расчет_аналитики'!T2583*SUMIF(ThresholdAge14,"&lt;"&amp;'19_Расчет_аналитики'!T2583,WeightedRevAge14)-SUMIF(ThresholdAge14,"&lt;"&amp;'19_Расчет_аналитики'!T2583,WeightedMinAge14),MAX(CapacityAge14*'01_Вводные'!$B$218*'19_Расчет_аналитики'!T2583,MeanMinAge14)))</f>
        <v/>
      </c>
      <c r="U2501">
        <f>IF(OR('19_Расчет_аналитики'!U2473=0,14&lt;='01_Вводные'!$B$297),0,'19_Расчет_аналитики'!U2473*IF('01_Вводные'!$B$239="Да",MeanMinAge14+'19_Расчет_аналитики'!U2583*SUMIF(ThresholdAge14,"&lt;"&amp;'19_Расчет_аналитики'!U2583,WeightedRevAge14)-SUMIF(ThresholdAge14,"&lt;"&amp;'19_Расчет_аналитики'!U2583,WeightedMinAge14),MAX(CapacityAge14*'01_Вводные'!$B$218*'19_Расчет_аналитики'!U2583,MeanMinAge14)))</f>
        <v/>
      </c>
      <c r="V2501">
        <f>IF(OR('19_Расчет_аналитики'!V2473=0,14&lt;='01_Вводные'!$B$297),0,'19_Расчет_аналитики'!V2473*IF('01_Вводные'!$B$239="Да",MeanMinAge14+'19_Расчет_аналитики'!V2583*SUMIF(ThresholdAge14,"&lt;"&amp;'19_Расчет_аналитики'!V2583,WeightedRevAge14)-SUMIF(ThresholdAge14,"&lt;"&amp;'19_Расчет_аналитики'!V2583,WeightedMinAge14),MAX(CapacityAge14*'01_Вводные'!$B$218*'19_Расчет_аналитики'!V2583,MeanMinAge14)))</f>
        <v/>
      </c>
      <c r="W2501">
        <f>IF(OR('19_Расчет_аналитики'!W2473=0,14&lt;='01_Вводные'!$B$297),0,'19_Расчет_аналитики'!W2473*IF('01_Вводные'!$B$239="Да",MeanMinAge14+'19_Расчет_аналитики'!W2583*SUMIF(ThresholdAge14,"&lt;"&amp;'19_Расчет_аналитики'!W2583,WeightedRevAge14)-SUMIF(ThresholdAge14,"&lt;"&amp;'19_Расчет_аналитики'!W2583,WeightedMinAge14),MAX(CapacityAge14*'01_Вводные'!$B$218*'19_Расчет_аналитики'!W2583,MeanMinAge14)))</f>
        <v/>
      </c>
      <c r="X2501">
        <f>IF(OR('19_Расчет_аналитики'!X2473=0,14&lt;='01_Вводные'!$B$297),0,'19_Расчет_аналитики'!X2473*IF('01_Вводные'!$B$239="Да",MeanMinAge14+'19_Расчет_аналитики'!X2583*SUMIF(ThresholdAge14,"&lt;"&amp;'19_Расчет_аналитики'!X2583,WeightedRevAge14)-SUMIF(ThresholdAge14,"&lt;"&amp;'19_Расчет_аналитики'!X2583,WeightedMinAge14),MAX(CapacityAge14*'01_Вводные'!$B$218*'19_Расчет_аналитики'!X2583,MeanMinAge14)))</f>
        <v/>
      </c>
      <c r="Y2501">
        <f>IF(OR('19_Расчет_аналитики'!Y2473=0,14&lt;='01_Вводные'!$B$297),0,'19_Расчет_аналитики'!Y2473*IF('01_Вводные'!$B$239="Да",MeanMinAge14+'19_Расчет_аналитики'!Y2583*SUMIF(ThresholdAge14,"&lt;"&amp;'19_Расчет_аналитики'!Y2583,WeightedRevAge14)-SUMIF(ThresholdAge14,"&lt;"&amp;'19_Расчет_аналитики'!Y2583,WeightedMinAge14),MAX(CapacityAge14*'01_Вводные'!$B$218*'19_Расчет_аналитики'!Y2583,MeanMinAge14)))</f>
        <v/>
      </c>
      <c r="Z2501">
        <f>IF(OR('19_Расчет_аналитики'!Z2473=0,14&lt;='01_Вводные'!$B$297),0,'19_Расчет_аналитики'!Z2473*IF('01_Вводные'!$B$239="Да",MeanMinAge14+'19_Расчет_аналитики'!Z2583*SUMIF(ThresholdAge14,"&lt;"&amp;'19_Расчет_аналитики'!Z2583,WeightedRevAge14)-SUMIF(ThresholdAge14,"&lt;"&amp;'19_Расчет_аналитики'!Z2583,WeightedMinAge14),MAX(CapacityAge14*'01_Вводные'!$B$218*'19_Расчет_аналитики'!Z2583,MeanMinAge14)))</f>
        <v/>
      </c>
      <c r="AA2501">
        <f>IF(OR('19_Расчет_аналитики'!AA2473=0,14&lt;='01_Вводные'!$B$297),0,'19_Расчет_аналитики'!AA2473*IF('01_Вводные'!$B$239="Да",MeanMinAge14+'19_Расчет_аналитики'!AA2583*SUMIF(ThresholdAge14,"&lt;"&amp;'19_Расчет_аналитики'!AA2583,WeightedRevAge14)-SUMIF(ThresholdAge14,"&lt;"&amp;'19_Расчет_аналитики'!AA2583,WeightedMinAge14),MAX(CapacityAge14*'01_Вводные'!$B$218*'19_Расчет_аналитики'!AA2583,MeanMinAge14)))</f>
        <v/>
      </c>
      <c r="AB2501">
        <f>IF(OR('19_Расчет_аналитики'!AB2473=0,14&lt;='01_Вводные'!$B$297),0,'19_Расчет_аналитики'!AB2473*IF('01_Вводные'!$B$239="Да",MeanMinAge14+'19_Расчет_аналитики'!AB2583*SUMIF(ThresholdAge14,"&lt;"&amp;'19_Расчет_аналитики'!AB2583,WeightedRevAge14)-SUMIF(ThresholdAge14,"&lt;"&amp;'19_Расчет_аналитики'!AB2583,WeightedMinAge14),MAX(CapacityAge14*'01_Вводные'!$B$218*'19_Расчет_аналитики'!AB2583,MeanMinAge14)))</f>
        <v/>
      </c>
      <c r="AC2501">
        <f>IF(OR('19_Расчет_аналитики'!AC2473=0,14&lt;='01_Вводные'!$B$297),0,'19_Расчет_аналитики'!AC2473*IF('01_Вводные'!$B$239="Да",MeanMinAge14+'19_Расчет_аналитики'!AC2583*SUMIF(ThresholdAge14,"&lt;"&amp;'19_Расчет_аналитики'!AC2583,WeightedRevAge14)-SUMIF(ThresholdAge14,"&lt;"&amp;'19_Расчет_аналитики'!AC2583,WeightedMinAge14),MAX(CapacityAge14*'01_Вводные'!$B$218*'19_Расчет_аналитики'!AC2583,MeanMinAge14)))</f>
        <v/>
      </c>
      <c r="AD2501">
        <f>IF(OR('19_Расчет_аналитики'!AD2473=0,14&lt;='01_Вводные'!$B$297),0,'19_Расчет_аналитики'!AD2473*IF('01_Вводные'!$B$239="Да",MeanMinAge14+'19_Расчет_аналитики'!AD2583*SUMIF(ThresholdAge14,"&lt;"&amp;'19_Расчет_аналитики'!AD2583,WeightedRevAge14)-SUMIF(ThresholdAge14,"&lt;"&amp;'19_Расчет_аналитики'!AD2583,WeightedMinAge14),MAX(CapacityAge14*'01_Вводные'!$B$218*'19_Расчет_аналитики'!AD2583,MeanMinAge14)))</f>
        <v/>
      </c>
      <c r="AE2501">
        <f>IF(OR('19_Расчет_аналитики'!AE2473=0,14&lt;='01_Вводные'!$B$297),0,'19_Расчет_аналитики'!AE2473*IF('01_Вводные'!$B$239="Да",MeanMinAge14+'19_Расчет_аналитики'!AE2583*SUMIF(ThresholdAge14,"&lt;"&amp;'19_Расчет_аналитики'!AE2583,WeightedRevAge14)-SUMIF(ThresholdAge14,"&lt;"&amp;'19_Расчет_аналитики'!AE2583,WeightedMinAge14),MAX(CapacityAge14*'01_Вводные'!$B$218*'19_Расчет_аналитики'!AE2583,MeanMinAge14)))</f>
        <v/>
      </c>
      <c r="AF2501">
        <f>IF(OR('19_Расчет_аналитики'!AF2473=0,14&lt;='01_Вводные'!$B$297),0,'19_Расчет_аналитики'!AF2473*IF('01_Вводные'!$B$239="Да",MeanMinAge14+'19_Расчет_аналитики'!AF2583*SUMIF(ThresholdAge14,"&lt;"&amp;'19_Расчет_аналитики'!AF2583,WeightedRevAge14)-SUMIF(ThresholdAge14,"&lt;"&amp;'19_Расчет_аналитики'!AF2583,WeightedMinAge14),MAX(CapacityAge14*'01_Вводные'!$B$218*'19_Расчет_аналитики'!AF2583,MeanMinAge14)))</f>
        <v/>
      </c>
      <c r="AG2501">
        <f>IF(OR('19_Расчет_аналитики'!AG2473=0,14&lt;='01_Вводные'!$B$297),0,'19_Расчет_аналитики'!AG2473*IF('01_Вводные'!$B$239="Да",MeanMinAge14+'19_Расчет_аналитики'!AG2583*SUMIF(ThresholdAge14,"&lt;"&amp;'19_Расчет_аналитики'!AG2583,WeightedRevAge14)-SUMIF(ThresholdAge14,"&lt;"&amp;'19_Расчет_аналитики'!AG2583,WeightedMinAge14),MAX(CapacityAge14*'01_Вводные'!$B$218*'19_Расчет_аналитики'!AG2583,MeanMinAge14)))</f>
        <v/>
      </c>
      <c r="AH2501">
        <f>IF(OR('19_Расчет_аналитики'!AH2473=0,14&lt;='01_Вводные'!$B$297),0,'19_Расчет_аналитики'!AH2473*IF('01_Вводные'!$B$239="Да",MeanMinAge14+'19_Расчет_аналитики'!AH2583*SUMIF(ThresholdAge14,"&lt;"&amp;'19_Расчет_аналитики'!AH2583,WeightedRevAge14)-SUMIF(ThresholdAge14,"&lt;"&amp;'19_Расчет_аналитики'!AH2583,WeightedMinAge14),MAX(CapacityAge14*'01_Вводные'!$B$218*'19_Расчет_аналитики'!AH2583,MeanMinAge14)))</f>
        <v/>
      </c>
      <c r="AI2501">
        <f>IF(OR('19_Расчет_аналитики'!AI2473=0,14&lt;='01_Вводные'!$B$297),0,'19_Расчет_аналитики'!AI2473*IF('01_Вводные'!$B$239="Да",MeanMinAge14+'19_Расчет_аналитики'!AI2583*SUMIF(ThresholdAge14,"&lt;"&amp;'19_Расчет_аналитики'!AI2583,WeightedRevAge14)-SUMIF(ThresholdAge14,"&lt;"&amp;'19_Расчет_аналитики'!AI2583,WeightedMinAge14),MAX(CapacityAge14*'01_Вводные'!$B$218*'19_Расчет_аналитики'!AI2583,MeanMinAge14)))</f>
        <v/>
      </c>
      <c r="AJ2501">
        <f>IF(OR('19_Расчет_аналитики'!AJ2473=0,14&lt;='01_Вводные'!$B$297),0,'19_Расчет_аналитики'!AJ2473*IF('01_Вводные'!$B$239="Да",MeanMinAge14+'19_Расчет_аналитики'!AJ2583*SUMIF(ThresholdAge14,"&lt;"&amp;'19_Расчет_аналитики'!AJ2583,WeightedRevAge14)-SUMIF(ThresholdAge14,"&lt;"&amp;'19_Расчет_аналитики'!AJ2583,WeightedMinAge14),MAX(CapacityAge14*'01_Вводные'!$B$218*'19_Расчет_аналитики'!AJ2583,MeanMinAge14)))</f>
        <v/>
      </c>
      <c r="AK2501">
        <f>IF(OR('19_Расчет_аналитики'!AK2473=0,14&lt;='01_Вводные'!$B$297),0,'19_Расчет_аналитики'!AK2473*IF('01_Вводные'!$B$239="Да",MeanMinAge14+'19_Расчет_аналитики'!AK2583*SUMIF(ThresholdAge14,"&lt;"&amp;'19_Расчет_аналитики'!AK2583,WeightedRevAge14)-SUMIF(ThresholdAge14,"&lt;"&amp;'19_Расчет_аналитики'!AK2583,WeightedMinAge14),MAX(CapacityAge14*'01_Вводные'!$B$218*'19_Расчет_аналитики'!AK2583,MeanMinAge14)))</f>
        <v/>
      </c>
      <c r="AL2501">
        <f>IF(OR('19_Расчет_аналитики'!AL2473=0,14&lt;='01_Вводные'!$B$297),0,'19_Расчет_аналитики'!AL2473*IF('01_Вводные'!$B$239="Да",MeanMinAge14+'19_Расчет_аналитики'!AL2583*SUMIF(ThresholdAge14,"&lt;"&amp;'19_Расчет_аналитики'!AL2583,WeightedRevAge14)-SUMIF(ThresholdAge14,"&lt;"&amp;'19_Расчет_аналитики'!AL2583,WeightedMinAge14),MAX(CapacityAge14*'01_Вводные'!$B$218*'19_Расчет_аналитики'!AL2583,MeanMinAge14)))</f>
        <v/>
      </c>
      <c r="AM2501">
        <f>IF(OR('19_Расчет_аналитики'!AM2473=0,14&lt;='01_Вводные'!$B$297),0,'19_Расчет_аналитики'!AM2473*IF('01_Вводные'!$B$239="Да",MeanMinAge14+'19_Расчет_аналитики'!AM2583*SUMIF(ThresholdAge14,"&lt;"&amp;'19_Расчет_аналитики'!AM2583,WeightedRevAge14)-SUMIF(ThresholdAge14,"&lt;"&amp;'19_Расчет_аналитики'!AM2583,WeightedMinAge14),MAX(CapacityAge14*'01_Вводные'!$B$218*'19_Расчет_аналитики'!AM2583,MeanMinAge14)))</f>
        <v/>
      </c>
      <c r="AN2501">
        <f>IF(OR('19_Расчет_аналитики'!AN2473=0,14&lt;='01_Вводные'!$B$297),0,'19_Расчет_аналитики'!AN2473*IF('01_Вводные'!$B$239="Да",MeanMinAge14+'19_Расчет_аналитики'!AN2583*SUMIF(ThresholdAge14,"&lt;"&amp;'19_Расчет_аналитики'!AN2583,WeightedRevAge14)-SUMIF(ThresholdAge14,"&lt;"&amp;'19_Расчет_аналитики'!AN2583,WeightedMinAge14),MAX(CapacityAge14*'01_Вводные'!$B$218*'19_Расчет_аналитики'!AN2583,MeanMinAge14)))</f>
        <v/>
      </c>
      <c r="AO2501">
        <f>IF(OR('19_Расчет_аналитики'!AO2473=0,14&lt;='01_Вводные'!$B$297),0,'19_Расчет_аналитики'!AO2473*IF('01_Вводные'!$B$239="Да",MeanMinAge14+'19_Расчет_аналитики'!AO2583*SUMIF(ThresholdAge14,"&lt;"&amp;'19_Расчет_аналитики'!AO2583,WeightedRevAge14)-SUMIF(ThresholdAge14,"&lt;"&amp;'19_Расчет_аналитики'!AO2583,WeightedMinAge14),MAX(CapacityAge14*'01_Вводные'!$B$218*'19_Расчет_аналитики'!AO2583,MeanMinAge14)))</f>
        <v/>
      </c>
      <c r="AP2501">
        <f>IF(OR('19_Расчет_аналитики'!AP2473=0,14&lt;='01_Вводные'!$B$297),0,'19_Расчет_аналитики'!AP2473*IF('01_Вводные'!$B$239="Да",MeanMinAge14+'19_Расчет_аналитики'!AP2583*SUMIF(ThresholdAge14,"&lt;"&amp;'19_Расчет_аналитики'!AP2583,WeightedRevAge14)-SUMIF(ThresholdAge14,"&lt;"&amp;'19_Расчет_аналитики'!AP2583,WeightedMinAge14),MAX(CapacityAge14*'01_Вводные'!$B$218*'19_Расчет_аналитики'!AP2583,MeanMinAge14)))</f>
        <v/>
      </c>
      <c r="AQ2501">
        <f>IF(OR('19_Расчет_аналитики'!AQ2473=0,14&lt;='01_Вводные'!$B$297),0,'19_Расчет_аналитики'!AQ2473*IF('01_Вводные'!$B$239="Да",MeanMinAge14+'19_Расчет_аналитики'!AQ2583*SUMIF(ThresholdAge14,"&lt;"&amp;'19_Расчет_аналитики'!AQ2583,WeightedRevAge14)-SUMIF(ThresholdAge14,"&lt;"&amp;'19_Расчет_аналитики'!AQ2583,WeightedMinAge14),MAX(CapacityAge14*'01_Вводные'!$B$218*'19_Расчет_аналитики'!AQ2583,MeanMinAge14)))</f>
        <v/>
      </c>
      <c r="AR2501">
        <f>IF(OR('19_Расчет_аналитики'!AR2473=0,14&lt;='01_Вводные'!$B$297),0,'19_Расчет_аналитики'!AR2473*IF('01_Вводные'!$B$239="Да",MeanMinAge14+'19_Расчет_аналитики'!AR2583*SUMIF(ThresholdAge14,"&lt;"&amp;'19_Расчет_аналитики'!AR2583,WeightedRevAge14)-SUMIF(ThresholdAge14,"&lt;"&amp;'19_Расчет_аналитики'!AR2583,WeightedMinAge14),MAX(CapacityAge14*'01_Вводные'!$B$218*'19_Расчет_аналитики'!AR2583,MeanMinAge14)))</f>
        <v/>
      </c>
      <c r="AS2501">
        <f>IF(OR('19_Расчет_аналитики'!AS2473=0,14&lt;='01_Вводные'!$B$297),0,'19_Расчет_аналитики'!AS2473*IF('01_Вводные'!$B$239="Да",MeanMinAge14+'19_Расчет_аналитики'!AS2583*SUMIF(ThresholdAge14,"&lt;"&amp;'19_Расчет_аналитики'!AS2583,WeightedRevAge14)-SUMIF(ThresholdAge14,"&lt;"&amp;'19_Расчет_аналитики'!AS2583,WeightedMinAge14),MAX(CapacityAge14*'01_Вводные'!$B$218*'19_Расчет_аналитики'!AS2583,MeanMinAge14)))</f>
        <v/>
      </c>
      <c r="AT2501">
        <f>IF(OR('19_Расчет_аналитики'!AT2473=0,14&lt;='01_Вводные'!$B$297),0,'19_Расчет_аналитики'!AT2473*IF('01_Вводные'!$B$239="Да",MeanMinAge14+'19_Расчет_аналитики'!AT2583*SUMIF(ThresholdAge14,"&lt;"&amp;'19_Расчет_аналитики'!AT2583,WeightedRevAge14)-SUMIF(ThresholdAge14,"&lt;"&amp;'19_Расчет_аналитики'!AT2583,WeightedMinAge14),MAX(CapacityAge14*'01_Вводные'!$B$218*'19_Расчет_аналитики'!AT2583,MeanMinAge14)))</f>
        <v/>
      </c>
      <c r="AU2501">
        <f>IF(OR('19_Расчет_аналитики'!AU2473=0,14&lt;='01_Вводные'!$B$297),0,'19_Расчет_аналитики'!AU2473*IF('01_Вводные'!$B$239="Да",MeanMinAge14+'19_Расчет_аналитики'!AU2583*SUMIF(ThresholdAge14,"&lt;"&amp;'19_Расчет_аналитики'!AU2583,WeightedRevAge14)-SUMIF(ThresholdAge14,"&lt;"&amp;'19_Расчет_аналитики'!AU2583,WeightedMinAge14),MAX(CapacityAge14*'01_Вводные'!$B$218*'19_Расчет_аналитики'!AU2583,MeanMinAge14)))</f>
        <v/>
      </c>
      <c r="AV2501">
        <f>IF(OR('19_Расчет_аналитики'!AV2473=0,14&lt;='01_Вводные'!$B$297),0,'19_Расчет_аналитики'!AV2473*IF('01_Вводные'!$B$239="Да",MeanMinAge14+'19_Расчет_аналитики'!AV2583*SUMIF(ThresholdAge14,"&lt;"&amp;'19_Расчет_аналитики'!AV2583,WeightedRevAge14)-SUMIF(ThresholdAge14,"&lt;"&amp;'19_Расчет_аналитики'!AV2583,WeightedMinAge14),MAX(CapacityAge14*'01_Вводные'!$B$218*'19_Расчет_аналитики'!AV2583,MeanMinAge14)))</f>
        <v/>
      </c>
      <c r="AW2501">
        <f>IF(OR('19_Расчет_аналитики'!AW2473=0,14&lt;='01_Вводные'!$B$297),0,'19_Расчет_аналитики'!AW2473*IF('01_Вводные'!$B$239="Да",MeanMinAge14+'19_Расчет_аналитики'!AW2583*SUMIF(ThresholdAge14,"&lt;"&amp;'19_Расчет_аналитики'!AW2583,WeightedRevAge14)-SUMIF(ThresholdAge14,"&lt;"&amp;'19_Расчет_аналитики'!AW2583,WeightedMinAge14),MAX(CapacityAge14*'01_Вводные'!$B$218*'19_Расчет_аналитики'!AW2583,MeanMinAge14)))</f>
        <v/>
      </c>
      <c r="AX2501">
        <f>IF(OR('19_Расчет_аналитики'!AX2473=0,14&lt;='01_Вводные'!$B$297),0,'19_Расчет_аналитики'!AX2473*IF('01_Вводные'!$B$239="Да",MeanMinAge14+'19_Расчет_аналитики'!AX2583*SUMIF(ThresholdAge14,"&lt;"&amp;'19_Расчет_аналитики'!AX2583,WeightedRevAge14)-SUMIF(ThresholdAge14,"&lt;"&amp;'19_Расчет_аналитики'!AX2583,WeightedMinAge14),MAX(CapacityAge14*'01_Вводные'!$B$218*'19_Расчет_аналитики'!AX2583,MeanMinAge14)))</f>
        <v/>
      </c>
      <c r="AY2501">
        <f>IF(OR('19_Расчет_аналитики'!AY2473=0,14&lt;='01_Вводные'!$B$297),0,'19_Расчет_аналитики'!AY2473*IF('01_Вводные'!$B$239="Да",MeanMinAge14+'19_Расчет_аналитики'!AY2583*SUMIF(ThresholdAge14,"&lt;"&amp;'19_Расчет_аналитики'!AY2583,WeightedRevAge14)-SUMIF(ThresholdAge14,"&lt;"&amp;'19_Расчет_аналитики'!AY2583,WeightedMinAge14),MAX(CapacityAge14*'01_Вводные'!$B$218*'19_Расчет_аналитики'!AY2583,MeanMinAge14)))</f>
        <v/>
      </c>
      <c r="AZ2501">
        <f>IF(OR('19_Расчет_аналитики'!AZ2473=0,14&lt;='01_Вводные'!$B$297),0,'19_Расчет_аналитики'!AZ2473*IF('01_Вводные'!$B$239="Да",MeanMinAge14+'19_Расчет_аналитики'!AZ2583*SUMIF(ThresholdAge14,"&lt;"&amp;'19_Расчет_аналитики'!AZ2583,WeightedRevAge14)-SUMIF(ThresholdAge14,"&lt;"&amp;'19_Расчет_аналитики'!AZ2583,WeightedMinAge14),MAX(CapacityAge14*'01_Вводные'!$B$218*'19_Расчет_аналитики'!AZ2583,MeanMinAge14)))</f>
        <v/>
      </c>
      <c r="BA2501">
        <f>IF(OR('19_Расчет_аналитики'!BA2473=0,14&lt;='01_Вводные'!$B$297),0,'19_Расчет_аналитики'!BA2473*IF('01_Вводные'!$B$239="Да",MeanMinAge14+'19_Расчет_аналитики'!BA2583*SUMIF(ThresholdAge14,"&lt;"&amp;'19_Расчет_аналитики'!BA2583,WeightedRevAge14)-SUMIF(ThresholdAge14,"&lt;"&amp;'19_Расчет_аналитики'!BA2583,WeightedMinAge14),MAX(CapacityAge14*'01_Вводные'!$B$218*'19_Расчет_аналитики'!BA2583,MeanMinAge14)))</f>
        <v/>
      </c>
      <c r="BB2501">
        <f>IF(OR('19_Расчет_аналитики'!BB2473=0,14&lt;='01_Вводные'!$B$297),0,'19_Расчет_аналитики'!BB2473*IF('01_Вводные'!$B$239="Да",MeanMinAge14+'19_Расчет_аналитики'!BB2583*SUMIF(ThresholdAge14,"&lt;"&amp;'19_Расчет_аналитики'!BB2583,WeightedRevAge14)-SUMIF(ThresholdAge14,"&lt;"&amp;'19_Расчет_аналитики'!BB2583,WeightedMinAge14),MAX(CapacityAge14*'01_Вводные'!$B$218*'19_Расчет_аналитики'!BB2583,MeanMinAge14)))</f>
        <v/>
      </c>
      <c r="BC2501">
        <f>IF(OR('19_Расчет_аналитики'!BC2473=0,14&lt;='01_Вводные'!$B$297),0,'19_Расчет_аналитики'!BC2473*IF('01_Вводные'!$B$239="Да",MeanMinAge14+'19_Расчет_аналитики'!BC2583*SUMIF(ThresholdAge14,"&lt;"&amp;'19_Расчет_аналитики'!BC2583,WeightedRevAge14)-SUMIF(ThresholdAge14,"&lt;"&amp;'19_Расчет_аналитики'!BC2583,WeightedMinAge14),MAX(CapacityAge14*'01_Вводные'!$B$218*'19_Расчет_аналитики'!BC2583,MeanMinAge14)))</f>
        <v/>
      </c>
      <c r="BD2501">
        <f>IF(OR('19_Расчет_аналитики'!BD2473=0,14&lt;='01_Вводные'!$B$297),0,'19_Расчет_аналитики'!BD2473*IF('01_Вводные'!$B$239="Да",MeanMinAge14+'19_Расчет_аналитики'!BD2583*SUMIF(ThresholdAge14,"&lt;"&amp;'19_Расчет_аналитики'!BD2583,WeightedRevAge14)-SUMIF(ThresholdAge14,"&lt;"&amp;'19_Расчет_аналитики'!BD2583,WeightedMinAge14),MAX(CapacityAge14*'01_Вводные'!$B$218*'19_Расчет_аналитики'!BD2583,MeanMinAge14)))</f>
        <v/>
      </c>
      <c r="BE2501">
        <f>IF(OR('19_Расчет_аналитики'!BE2473=0,14&lt;='01_Вводные'!$B$297),0,'19_Расчет_аналитики'!BE2473*IF('01_Вводные'!$B$239="Да",MeanMinAge14+'19_Расчет_аналитики'!BE2583*SUMIF(ThresholdAge14,"&lt;"&amp;'19_Расчет_аналитики'!BE2583,WeightedRevAge14)-SUMIF(ThresholdAge14,"&lt;"&amp;'19_Расчет_аналитики'!BE2583,WeightedMinAge14),MAX(CapacityAge14*'01_Вводные'!$B$218*'19_Расчет_аналитики'!BE2583,MeanMinAge14)))</f>
        <v/>
      </c>
      <c r="BF2501">
        <f>IF(OR('19_Расчет_аналитики'!BF2473=0,14&lt;='01_Вводные'!$B$297),0,'19_Расчет_аналитики'!BF2473*IF('01_Вводные'!$B$239="Да",MeanMinAge14+'19_Расчет_аналитики'!BF2583*SUMIF(ThresholdAge14,"&lt;"&amp;'19_Расчет_аналитики'!BF2583,WeightedRevAge14)-SUMIF(ThresholdAge14,"&lt;"&amp;'19_Расчет_аналитики'!BF2583,WeightedMinAge14),MAX(CapacityAge14*'01_Вводные'!$B$218*'19_Расчет_аналитики'!BF2583,MeanMinAge14)))</f>
        <v/>
      </c>
      <c r="BG2501">
        <f>IF(OR('19_Расчет_аналитики'!BG2473=0,14&lt;='01_Вводные'!$B$297),0,'19_Расчет_аналитики'!BG2473*IF('01_Вводные'!$B$239="Да",MeanMinAge14+'19_Расчет_аналитики'!BG2583*SUMIF(ThresholdAge14,"&lt;"&amp;'19_Расчет_аналитики'!BG2583,WeightedRevAge14)-SUMIF(ThresholdAge14,"&lt;"&amp;'19_Расчет_аналитики'!BG2583,WeightedMinAge14),MAX(CapacityAge14*'01_Вводные'!$B$218*'19_Расчет_аналитики'!BG2583,MeanMinAge14)))</f>
        <v/>
      </c>
      <c r="BH2501">
        <f>IF(OR('19_Расчет_аналитики'!BH2473=0,14&lt;='01_Вводные'!$B$297),0,'19_Расчет_аналитики'!BH2473*IF('01_Вводные'!$B$239="Да",MeanMinAge14+'19_Расчет_аналитики'!BH2583*SUMIF(ThresholdAge14,"&lt;"&amp;'19_Расчет_аналитики'!BH2583,WeightedRevAge14)-SUMIF(ThresholdAge14,"&lt;"&amp;'19_Расчет_аналитики'!BH2583,WeightedMinAge14),MAX(CapacityAge14*'01_Вводные'!$B$218*'19_Расчет_аналитики'!BH2583,MeanMinAge14)))</f>
        <v/>
      </c>
      <c r="BI2501">
        <f>IF(OR('19_Расчет_аналитики'!BI2473=0,14&lt;='01_Вводные'!$B$297),0,'19_Расчет_аналитики'!BI2473*IF('01_Вводные'!$B$239="Да",MeanMinAge14+'19_Расчет_аналитики'!BI2583*SUMIF(ThresholdAge14,"&lt;"&amp;'19_Расчет_аналитики'!BI2583,WeightedRevAge14)-SUMIF(ThresholdAge14,"&lt;"&amp;'19_Расчет_аналитики'!BI2583,WeightedMinAge14),MAX(CapacityAge14*'01_Вводные'!$B$218*'19_Расчет_аналитики'!BI2583,MeanMinAge14)))</f>
        <v/>
      </c>
      <c r="BJ2501">
        <f>IF(OR('19_Расчет_аналитики'!BJ2473=0,14&lt;='01_Вводные'!$B$297),0,'19_Расчет_аналитики'!BJ2473*IF('01_Вводные'!$B$239="Да",MeanMinAge14+'19_Расчет_аналитики'!BJ2583*SUMIF(ThresholdAge14,"&lt;"&amp;'19_Расчет_аналитики'!BJ2583,WeightedRevAge14)-SUMIF(ThresholdAge14,"&lt;"&amp;'19_Расчет_аналитики'!BJ2583,WeightedMinAge14),MAX(CapacityAge14*'01_Вводные'!$B$218*'19_Расчет_аналитики'!BJ2583,MeanMinAge14)))</f>
        <v/>
      </c>
      <c r="BK2501">
        <f>IF(OR('19_Расчет_аналитики'!BK2473=0,14&lt;='01_Вводные'!$B$297),0,'19_Расчет_аналитики'!BK2473*IF('01_Вводные'!$B$239="Да",MeanMinAge14+'19_Расчет_аналитики'!BK2583*SUMIF(ThresholdAge14,"&lt;"&amp;'19_Расчет_аналитики'!BK2583,WeightedRevAge14)-SUMIF(ThresholdAge14,"&lt;"&amp;'19_Расчет_аналитики'!BK2583,WeightedMinAge14),MAX(CapacityAge14*'01_Вводные'!$B$218*'19_Расчет_аналитики'!BK2583,MeanMinAge14)))</f>
        <v/>
      </c>
      <c r="BL2501">
        <f>IF(OR('19_Расчет_аналитики'!BL2473=0,14&lt;='01_Вводные'!$B$297),0,'19_Расчет_аналитики'!BL2473*IF('01_Вводные'!$B$239="Да",MeanMinAge14+'19_Расчет_аналитики'!BL2583*SUMIF(ThresholdAge14,"&lt;"&amp;'19_Расчет_аналитики'!BL2583,WeightedRevAge14)-SUMIF(ThresholdAge14,"&lt;"&amp;'19_Расчет_аналитики'!BL2583,WeightedMinAge14),MAX(CapacityAge14*'01_Вводные'!$B$218*'19_Расчет_аналитики'!BL2583,MeanMinAge14)))</f>
        <v/>
      </c>
      <c r="BM2501">
        <f>IF(OR('19_Расчет_аналитики'!BM2473=0,14&lt;='01_Вводные'!$B$297),0,'19_Расчет_аналитики'!BM2473*IF('01_Вводные'!$B$239="Да",MeanMinAge14+'19_Расчет_аналитики'!BM2583*SUMIF(ThresholdAge14,"&lt;"&amp;'19_Расчет_аналитики'!BM2583,WeightedRevAge14)-SUMIF(ThresholdAge14,"&lt;"&amp;'19_Расчет_аналитики'!BM2583,WeightedMinAge14),MAX(CapacityAge14*'01_Вводные'!$B$218*'19_Расчет_аналитики'!BM2583,MeanMinAge14)))</f>
        <v/>
      </c>
      <c r="BN2501">
        <f>IF(OR('19_Расчет_аналитики'!BN2473=0,14&lt;='01_Вводные'!$B$297),0,'19_Расчет_аналитики'!BN2473*IF('01_Вводные'!$B$239="Да",MeanMinAge14+'19_Расчет_аналитики'!BN2583*SUMIF(ThresholdAge14,"&lt;"&amp;'19_Расчет_аналитики'!BN2583,WeightedRevAge14)-SUMIF(ThresholdAge14,"&lt;"&amp;'19_Расчет_аналитики'!BN2583,WeightedMinAge14),MAX(CapacityAge14*'01_Вводные'!$B$218*'19_Расчет_аналитики'!BN2583,MeanMinAge14)))</f>
        <v/>
      </c>
      <c r="BO2501">
        <f>IF(OR('19_Расчет_аналитики'!BO2473=0,14&lt;='01_Вводные'!$B$297),0,'19_Расчет_аналитики'!BO2473*IF('01_Вводные'!$B$239="Да",MeanMinAge14+'19_Расчет_аналитики'!BO2583*SUMIF(ThresholdAge14,"&lt;"&amp;'19_Расчет_аналитики'!BO2583,WeightedRevAge14)-SUMIF(ThresholdAge14,"&lt;"&amp;'19_Расчет_аналитики'!BO2583,WeightedMinAge14),MAX(CapacityAge14*'01_Вводные'!$B$218*'19_Расчет_аналитики'!BO2583,MeanMinAge14)))</f>
        <v/>
      </c>
    </row>
    <row r="2502">
      <c r="B2502">
        <f>IF(OR('06_Сеть_и_дети'!B95=0,15&lt;='01_Вводные'!$B$297),0,'06_Сеть_и_дети'!B95*IF('01_Вводные'!$B$239="Да",MeanMinAge15+'19_Расчет_аналитики'!B2583*SUMIF(ThresholdAge15,"&lt;"&amp;'19_Расчет_аналитики'!B2583,WeightedRevAge15)-SUMIF(ThresholdAge15,"&lt;"&amp;'19_Расчет_аналитики'!B2583,WeightedMinAge15),MAX(CapacityAge15*'01_Вводные'!$B$218*'19_Расчет_аналитики'!B2583,MeanMinAge15)))</f>
        <v/>
      </c>
      <c r="C2502">
        <f>IF(OR('06_Сеть_и_дети'!C95=0,15&lt;='01_Вводные'!$B$297),0,'06_Сеть_и_дети'!C95*IF('01_Вводные'!$B$239="Да",MeanMinAge15+'19_Расчет_аналитики'!C2583*SUMIF(ThresholdAge15,"&lt;"&amp;'19_Расчет_аналитики'!C2583,WeightedRevAge15)-SUMIF(ThresholdAge15,"&lt;"&amp;'19_Расчет_аналитики'!C2583,WeightedMinAge15),MAX(CapacityAge15*'01_Вводные'!$B$218*'19_Расчет_аналитики'!C2583,MeanMinAge15)))</f>
        <v/>
      </c>
      <c r="D2502">
        <f>IF(OR('06_Сеть_и_дети'!D95=0,15&lt;='01_Вводные'!$B$297),0,'06_Сеть_и_дети'!D95*IF('01_Вводные'!$B$239="Да",MeanMinAge15+'19_Расчет_аналитики'!D2583*SUMIF(ThresholdAge15,"&lt;"&amp;'19_Расчет_аналитики'!D2583,WeightedRevAge15)-SUMIF(ThresholdAge15,"&lt;"&amp;'19_Расчет_аналитики'!D2583,WeightedMinAge15),MAX(CapacityAge15*'01_Вводные'!$B$218*'19_Расчет_аналитики'!D2583,MeanMinAge15)))</f>
        <v/>
      </c>
      <c r="E2502">
        <f>IF(OR('06_Сеть_и_дети'!E95=0,15&lt;='01_Вводные'!$B$297),0,'06_Сеть_и_дети'!E95*IF('01_Вводные'!$B$239="Да",MeanMinAge15+'19_Расчет_аналитики'!E2583*SUMIF(ThresholdAge15,"&lt;"&amp;'19_Расчет_аналитики'!E2583,WeightedRevAge15)-SUMIF(ThresholdAge15,"&lt;"&amp;'19_Расчет_аналитики'!E2583,WeightedMinAge15),MAX(CapacityAge15*'01_Вводные'!$B$218*'19_Расчет_аналитики'!E2583,MeanMinAge15)))</f>
        <v/>
      </c>
      <c r="F2502">
        <f>IF(OR('06_Сеть_и_дети'!F95=0,15&lt;='01_Вводные'!$B$297),0,'06_Сеть_и_дети'!F95*IF('01_Вводные'!$B$239="Да",MeanMinAge15+'19_Расчет_аналитики'!F2583*SUMIF(ThresholdAge15,"&lt;"&amp;'19_Расчет_аналитики'!F2583,WeightedRevAge15)-SUMIF(ThresholdAge15,"&lt;"&amp;'19_Расчет_аналитики'!F2583,WeightedMinAge15),MAX(CapacityAge15*'01_Вводные'!$B$218*'19_Расчет_аналитики'!F2583,MeanMinAge15)))</f>
        <v/>
      </c>
      <c r="G2502">
        <f>IF(OR('06_Сеть_и_дети'!G95=0,15&lt;='01_Вводные'!$B$297),0,'06_Сеть_и_дети'!G95*IF('01_Вводные'!$B$239="Да",MeanMinAge15+'19_Расчет_аналитики'!G2583*SUMIF(ThresholdAge15,"&lt;"&amp;'19_Расчет_аналитики'!G2583,WeightedRevAge15)-SUMIF(ThresholdAge15,"&lt;"&amp;'19_Расчет_аналитики'!G2583,WeightedMinAge15),MAX(CapacityAge15*'01_Вводные'!$B$218*'19_Расчет_аналитики'!G2583,MeanMinAge15)))</f>
        <v/>
      </c>
      <c r="H2502">
        <f>IF(OR('06_Сеть_и_дети'!H95=0,15&lt;='01_Вводные'!$B$297),0,'06_Сеть_и_дети'!H95*IF('01_Вводные'!$B$239="Да",MeanMinAge15+'19_Расчет_аналитики'!H2583*SUMIF(ThresholdAge15,"&lt;"&amp;'19_Расчет_аналитики'!H2583,WeightedRevAge15)-SUMIF(ThresholdAge15,"&lt;"&amp;'19_Расчет_аналитики'!H2583,WeightedMinAge15),MAX(CapacityAge15*'01_Вводные'!$B$218*'19_Расчет_аналитики'!H2583,MeanMinAge15)))</f>
        <v/>
      </c>
      <c r="I2502">
        <f>IF(OR('06_Сеть_и_дети'!I95=0,15&lt;='01_Вводные'!$B$297),0,'06_Сеть_и_дети'!I95*IF('01_Вводные'!$B$239="Да",MeanMinAge15+'19_Расчет_аналитики'!I2583*SUMIF(ThresholdAge15,"&lt;"&amp;'19_Расчет_аналитики'!I2583,WeightedRevAge15)-SUMIF(ThresholdAge15,"&lt;"&amp;'19_Расчет_аналитики'!I2583,WeightedMinAge15),MAX(CapacityAge15*'01_Вводные'!$B$218*'19_Расчет_аналитики'!I2583,MeanMinAge15)))</f>
        <v/>
      </c>
      <c r="J2502">
        <f>IF(OR('06_Сеть_и_дети'!J95=0,15&lt;='01_Вводные'!$B$297),0,'06_Сеть_и_дети'!J95*IF('01_Вводные'!$B$239="Да",MeanMinAge15+'19_Расчет_аналитики'!J2583*SUMIF(ThresholdAge15,"&lt;"&amp;'19_Расчет_аналитики'!J2583,WeightedRevAge15)-SUMIF(ThresholdAge15,"&lt;"&amp;'19_Расчет_аналитики'!J2583,WeightedMinAge15),MAX(CapacityAge15*'01_Вводные'!$B$218*'19_Расчет_аналитики'!J2583,MeanMinAge15)))</f>
        <v/>
      </c>
      <c r="K2502">
        <f>IF(OR('06_Сеть_и_дети'!K95=0,15&lt;='01_Вводные'!$B$297),0,'06_Сеть_и_дети'!K95*IF('01_Вводные'!$B$239="Да",MeanMinAge15+'19_Расчет_аналитики'!K2583*SUMIF(ThresholdAge15,"&lt;"&amp;'19_Расчет_аналитики'!K2583,WeightedRevAge15)-SUMIF(ThresholdAge15,"&lt;"&amp;'19_Расчет_аналитики'!K2583,WeightedMinAge15),MAX(CapacityAge15*'01_Вводные'!$B$218*'19_Расчет_аналитики'!K2583,MeanMinAge15)))</f>
        <v/>
      </c>
      <c r="L2502">
        <f>IF(OR('06_Сеть_и_дети'!L95=0,15&lt;='01_Вводные'!$B$297),0,'06_Сеть_и_дети'!L95*IF('01_Вводные'!$B$239="Да",MeanMinAge15+'19_Расчет_аналитики'!L2583*SUMIF(ThresholdAge15,"&lt;"&amp;'19_Расчет_аналитики'!L2583,WeightedRevAge15)-SUMIF(ThresholdAge15,"&lt;"&amp;'19_Расчет_аналитики'!L2583,WeightedMinAge15),MAX(CapacityAge15*'01_Вводные'!$B$218*'19_Расчет_аналитики'!L2583,MeanMinAge15)))</f>
        <v/>
      </c>
      <c r="M2502">
        <f>IF(OR('06_Сеть_и_дети'!M95=0,15&lt;='01_Вводные'!$B$297),0,'06_Сеть_и_дети'!M95*IF('01_Вводные'!$B$239="Да",MeanMinAge15+'19_Расчет_аналитики'!M2583*SUMIF(ThresholdAge15,"&lt;"&amp;'19_Расчет_аналитики'!M2583,WeightedRevAge15)-SUMIF(ThresholdAge15,"&lt;"&amp;'19_Расчет_аналитики'!M2583,WeightedMinAge15),MAX(CapacityAge15*'01_Вводные'!$B$218*'19_Расчет_аналитики'!M2583,MeanMinAge15)))</f>
        <v/>
      </c>
      <c r="N2502">
        <f>IF(OR('06_Сеть_и_дети'!N95=0,15&lt;='01_Вводные'!$B$297),0,'06_Сеть_и_дети'!N95*IF('01_Вводные'!$B$239="Да",MeanMinAge15+'19_Расчет_аналитики'!N2583*SUMIF(ThresholdAge15,"&lt;"&amp;'19_Расчет_аналитики'!N2583,WeightedRevAge15)-SUMIF(ThresholdAge15,"&lt;"&amp;'19_Расчет_аналитики'!N2583,WeightedMinAge15),MAX(CapacityAge15*'01_Вводные'!$B$218*'19_Расчет_аналитики'!N2583,MeanMinAge15)))</f>
        <v/>
      </c>
      <c r="O2502">
        <f>IF(OR('06_Сеть_и_дети'!O95=0,15&lt;='01_Вводные'!$B$297),0,'06_Сеть_и_дети'!O95*IF('01_Вводные'!$B$239="Да",MeanMinAge15+'19_Расчет_аналитики'!O2583*SUMIF(ThresholdAge15,"&lt;"&amp;'19_Расчет_аналитики'!O2583,WeightedRevAge15)-SUMIF(ThresholdAge15,"&lt;"&amp;'19_Расчет_аналитики'!O2583,WeightedMinAge15),MAX(CapacityAge15*'01_Вводные'!$B$218*'19_Расчет_аналитики'!O2583,MeanMinAge15)))</f>
        <v/>
      </c>
      <c r="P2502">
        <f>IF(OR('19_Расчет_аналитики'!P2474=0,15&lt;='01_Вводные'!$B$297),0,'19_Расчет_аналитики'!P2474*IF('01_Вводные'!$B$239="Да",MeanMinAge15+'19_Расчет_аналитики'!P2583*SUMIF(ThresholdAge15,"&lt;"&amp;'19_Расчет_аналитики'!P2583,WeightedRevAge15)-SUMIF(ThresholdAge15,"&lt;"&amp;'19_Расчет_аналитики'!P2583,WeightedMinAge15),MAX(CapacityAge15*'01_Вводные'!$B$218*'19_Расчет_аналитики'!P2583,MeanMinAge15)))</f>
        <v/>
      </c>
      <c r="Q2502">
        <f>IF(OR('19_Расчет_аналитики'!Q2474=0,15&lt;='01_Вводные'!$B$297),0,'19_Расчет_аналитики'!Q2474*IF('01_Вводные'!$B$239="Да",MeanMinAge15+'19_Расчет_аналитики'!Q2583*SUMIF(ThresholdAge15,"&lt;"&amp;'19_Расчет_аналитики'!Q2583,WeightedRevAge15)-SUMIF(ThresholdAge15,"&lt;"&amp;'19_Расчет_аналитики'!Q2583,WeightedMinAge15),MAX(CapacityAge15*'01_Вводные'!$B$218*'19_Расчет_аналитики'!Q2583,MeanMinAge15)))</f>
        <v/>
      </c>
      <c r="R2502">
        <f>IF(OR('19_Расчет_аналитики'!R2474=0,15&lt;='01_Вводные'!$B$297),0,'19_Расчет_аналитики'!R2474*IF('01_Вводные'!$B$239="Да",MeanMinAge15+'19_Расчет_аналитики'!R2583*SUMIF(ThresholdAge15,"&lt;"&amp;'19_Расчет_аналитики'!R2583,WeightedRevAge15)-SUMIF(ThresholdAge15,"&lt;"&amp;'19_Расчет_аналитики'!R2583,WeightedMinAge15),MAX(CapacityAge15*'01_Вводные'!$B$218*'19_Расчет_аналитики'!R2583,MeanMinAge15)))</f>
        <v/>
      </c>
      <c r="S2502">
        <f>IF(OR('19_Расчет_аналитики'!S2474=0,15&lt;='01_Вводные'!$B$297),0,'19_Расчет_аналитики'!S2474*IF('01_Вводные'!$B$239="Да",MeanMinAge15+'19_Расчет_аналитики'!S2583*SUMIF(ThresholdAge15,"&lt;"&amp;'19_Расчет_аналитики'!S2583,WeightedRevAge15)-SUMIF(ThresholdAge15,"&lt;"&amp;'19_Расчет_аналитики'!S2583,WeightedMinAge15),MAX(CapacityAge15*'01_Вводные'!$B$218*'19_Расчет_аналитики'!S2583,MeanMinAge15)))</f>
        <v/>
      </c>
      <c r="T2502">
        <f>IF(OR('19_Расчет_аналитики'!T2474=0,15&lt;='01_Вводные'!$B$297),0,'19_Расчет_аналитики'!T2474*IF('01_Вводные'!$B$239="Да",MeanMinAge15+'19_Расчет_аналитики'!T2583*SUMIF(ThresholdAge15,"&lt;"&amp;'19_Расчет_аналитики'!T2583,WeightedRevAge15)-SUMIF(ThresholdAge15,"&lt;"&amp;'19_Расчет_аналитики'!T2583,WeightedMinAge15),MAX(CapacityAge15*'01_Вводные'!$B$218*'19_Расчет_аналитики'!T2583,MeanMinAge15)))</f>
        <v/>
      </c>
      <c r="U2502">
        <f>IF(OR('19_Расчет_аналитики'!U2474=0,15&lt;='01_Вводные'!$B$297),0,'19_Расчет_аналитики'!U2474*IF('01_Вводные'!$B$239="Да",MeanMinAge15+'19_Расчет_аналитики'!U2583*SUMIF(ThresholdAge15,"&lt;"&amp;'19_Расчет_аналитики'!U2583,WeightedRevAge15)-SUMIF(ThresholdAge15,"&lt;"&amp;'19_Расчет_аналитики'!U2583,WeightedMinAge15),MAX(CapacityAge15*'01_Вводные'!$B$218*'19_Расчет_аналитики'!U2583,MeanMinAge15)))</f>
        <v/>
      </c>
      <c r="V2502">
        <f>IF(OR('19_Расчет_аналитики'!V2474=0,15&lt;='01_Вводные'!$B$297),0,'19_Расчет_аналитики'!V2474*IF('01_Вводные'!$B$239="Да",MeanMinAge15+'19_Расчет_аналитики'!V2583*SUMIF(ThresholdAge15,"&lt;"&amp;'19_Расчет_аналитики'!V2583,WeightedRevAge15)-SUMIF(ThresholdAge15,"&lt;"&amp;'19_Расчет_аналитики'!V2583,WeightedMinAge15),MAX(CapacityAge15*'01_Вводные'!$B$218*'19_Расчет_аналитики'!V2583,MeanMinAge15)))</f>
        <v/>
      </c>
      <c r="W2502">
        <f>IF(OR('19_Расчет_аналитики'!W2474=0,15&lt;='01_Вводные'!$B$297),0,'19_Расчет_аналитики'!W2474*IF('01_Вводные'!$B$239="Да",MeanMinAge15+'19_Расчет_аналитики'!W2583*SUMIF(ThresholdAge15,"&lt;"&amp;'19_Расчет_аналитики'!W2583,WeightedRevAge15)-SUMIF(ThresholdAge15,"&lt;"&amp;'19_Расчет_аналитики'!W2583,WeightedMinAge15),MAX(CapacityAge15*'01_Вводные'!$B$218*'19_Расчет_аналитики'!W2583,MeanMinAge15)))</f>
        <v/>
      </c>
      <c r="X2502">
        <f>IF(OR('19_Расчет_аналитики'!X2474=0,15&lt;='01_Вводные'!$B$297),0,'19_Расчет_аналитики'!X2474*IF('01_Вводные'!$B$239="Да",MeanMinAge15+'19_Расчет_аналитики'!X2583*SUMIF(ThresholdAge15,"&lt;"&amp;'19_Расчет_аналитики'!X2583,WeightedRevAge15)-SUMIF(ThresholdAge15,"&lt;"&amp;'19_Расчет_аналитики'!X2583,WeightedMinAge15),MAX(CapacityAge15*'01_Вводные'!$B$218*'19_Расчет_аналитики'!X2583,MeanMinAge15)))</f>
        <v/>
      </c>
      <c r="Y2502">
        <f>IF(OR('19_Расчет_аналитики'!Y2474=0,15&lt;='01_Вводные'!$B$297),0,'19_Расчет_аналитики'!Y2474*IF('01_Вводные'!$B$239="Да",MeanMinAge15+'19_Расчет_аналитики'!Y2583*SUMIF(ThresholdAge15,"&lt;"&amp;'19_Расчет_аналитики'!Y2583,WeightedRevAge15)-SUMIF(ThresholdAge15,"&lt;"&amp;'19_Расчет_аналитики'!Y2583,WeightedMinAge15),MAX(CapacityAge15*'01_Вводные'!$B$218*'19_Расчет_аналитики'!Y2583,MeanMinAge15)))</f>
        <v/>
      </c>
      <c r="Z2502">
        <f>IF(OR('19_Расчет_аналитики'!Z2474=0,15&lt;='01_Вводные'!$B$297),0,'19_Расчет_аналитики'!Z2474*IF('01_Вводные'!$B$239="Да",MeanMinAge15+'19_Расчет_аналитики'!Z2583*SUMIF(ThresholdAge15,"&lt;"&amp;'19_Расчет_аналитики'!Z2583,WeightedRevAge15)-SUMIF(ThresholdAge15,"&lt;"&amp;'19_Расчет_аналитики'!Z2583,WeightedMinAge15),MAX(CapacityAge15*'01_Вводные'!$B$218*'19_Расчет_аналитики'!Z2583,MeanMinAge15)))</f>
        <v/>
      </c>
      <c r="AA2502">
        <f>IF(OR('19_Расчет_аналитики'!AA2474=0,15&lt;='01_Вводные'!$B$297),0,'19_Расчет_аналитики'!AA2474*IF('01_Вводные'!$B$239="Да",MeanMinAge15+'19_Расчет_аналитики'!AA2583*SUMIF(ThresholdAge15,"&lt;"&amp;'19_Расчет_аналитики'!AA2583,WeightedRevAge15)-SUMIF(ThresholdAge15,"&lt;"&amp;'19_Расчет_аналитики'!AA2583,WeightedMinAge15),MAX(CapacityAge15*'01_Вводные'!$B$218*'19_Расчет_аналитики'!AA2583,MeanMinAge15)))</f>
        <v/>
      </c>
      <c r="AB2502">
        <f>IF(OR('19_Расчет_аналитики'!AB2474=0,15&lt;='01_Вводные'!$B$297),0,'19_Расчет_аналитики'!AB2474*IF('01_Вводные'!$B$239="Да",MeanMinAge15+'19_Расчет_аналитики'!AB2583*SUMIF(ThresholdAge15,"&lt;"&amp;'19_Расчет_аналитики'!AB2583,WeightedRevAge15)-SUMIF(ThresholdAge15,"&lt;"&amp;'19_Расчет_аналитики'!AB2583,WeightedMinAge15),MAX(CapacityAge15*'01_Вводные'!$B$218*'19_Расчет_аналитики'!AB2583,MeanMinAge15)))</f>
        <v/>
      </c>
      <c r="AC2502">
        <f>IF(OR('19_Расчет_аналитики'!AC2474=0,15&lt;='01_Вводные'!$B$297),0,'19_Расчет_аналитики'!AC2474*IF('01_Вводные'!$B$239="Да",MeanMinAge15+'19_Расчет_аналитики'!AC2583*SUMIF(ThresholdAge15,"&lt;"&amp;'19_Расчет_аналитики'!AC2583,WeightedRevAge15)-SUMIF(ThresholdAge15,"&lt;"&amp;'19_Расчет_аналитики'!AC2583,WeightedMinAge15),MAX(CapacityAge15*'01_Вводные'!$B$218*'19_Расчет_аналитики'!AC2583,MeanMinAge15)))</f>
        <v/>
      </c>
      <c r="AD2502">
        <f>IF(OR('19_Расчет_аналитики'!AD2474=0,15&lt;='01_Вводные'!$B$297),0,'19_Расчет_аналитики'!AD2474*IF('01_Вводные'!$B$239="Да",MeanMinAge15+'19_Расчет_аналитики'!AD2583*SUMIF(ThresholdAge15,"&lt;"&amp;'19_Расчет_аналитики'!AD2583,WeightedRevAge15)-SUMIF(ThresholdAge15,"&lt;"&amp;'19_Расчет_аналитики'!AD2583,WeightedMinAge15),MAX(CapacityAge15*'01_Вводные'!$B$218*'19_Расчет_аналитики'!AD2583,MeanMinAge15)))</f>
        <v/>
      </c>
      <c r="AE2502">
        <f>IF(OR('19_Расчет_аналитики'!AE2474=0,15&lt;='01_Вводные'!$B$297),0,'19_Расчет_аналитики'!AE2474*IF('01_Вводные'!$B$239="Да",MeanMinAge15+'19_Расчет_аналитики'!AE2583*SUMIF(ThresholdAge15,"&lt;"&amp;'19_Расчет_аналитики'!AE2583,WeightedRevAge15)-SUMIF(ThresholdAge15,"&lt;"&amp;'19_Расчет_аналитики'!AE2583,WeightedMinAge15),MAX(CapacityAge15*'01_Вводные'!$B$218*'19_Расчет_аналитики'!AE2583,MeanMinAge15)))</f>
        <v/>
      </c>
      <c r="AF2502">
        <f>IF(OR('19_Расчет_аналитики'!AF2474=0,15&lt;='01_Вводные'!$B$297),0,'19_Расчет_аналитики'!AF2474*IF('01_Вводные'!$B$239="Да",MeanMinAge15+'19_Расчет_аналитики'!AF2583*SUMIF(ThresholdAge15,"&lt;"&amp;'19_Расчет_аналитики'!AF2583,WeightedRevAge15)-SUMIF(ThresholdAge15,"&lt;"&amp;'19_Расчет_аналитики'!AF2583,WeightedMinAge15),MAX(CapacityAge15*'01_Вводные'!$B$218*'19_Расчет_аналитики'!AF2583,MeanMinAge15)))</f>
        <v/>
      </c>
      <c r="AG2502">
        <f>IF(OR('19_Расчет_аналитики'!AG2474=0,15&lt;='01_Вводные'!$B$297),0,'19_Расчет_аналитики'!AG2474*IF('01_Вводные'!$B$239="Да",MeanMinAge15+'19_Расчет_аналитики'!AG2583*SUMIF(ThresholdAge15,"&lt;"&amp;'19_Расчет_аналитики'!AG2583,WeightedRevAge15)-SUMIF(ThresholdAge15,"&lt;"&amp;'19_Расчет_аналитики'!AG2583,WeightedMinAge15),MAX(CapacityAge15*'01_Вводные'!$B$218*'19_Расчет_аналитики'!AG2583,MeanMinAge15)))</f>
        <v/>
      </c>
      <c r="AH2502">
        <f>IF(OR('19_Расчет_аналитики'!AH2474=0,15&lt;='01_Вводные'!$B$297),0,'19_Расчет_аналитики'!AH2474*IF('01_Вводные'!$B$239="Да",MeanMinAge15+'19_Расчет_аналитики'!AH2583*SUMIF(ThresholdAge15,"&lt;"&amp;'19_Расчет_аналитики'!AH2583,WeightedRevAge15)-SUMIF(ThresholdAge15,"&lt;"&amp;'19_Расчет_аналитики'!AH2583,WeightedMinAge15),MAX(CapacityAge15*'01_Вводные'!$B$218*'19_Расчет_аналитики'!AH2583,MeanMinAge15)))</f>
        <v/>
      </c>
      <c r="AI2502">
        <f>IF(OR('19_Расчет_аналитики'!AI2474=0,15&lt;='01_Вводные'!$B$297),0,'19_Расчет_аналитики'!AI2474*IF('01_Вводные'!$B$239="Да",MeanMinAge15+'19_Расчет_аналитики'!AI2583*SUMIF(ThresholdAge15,"&lt;"&amp;'19_Расчет_аналитики'!AI2583,WeightedRevAge15)-SUMIF(ThresholdAge15,"&lt;"&amp;'19_Расчет_аналитики'!AI2583,WeightedMinAge15),MAX(CapacityAge15*'01_Вводные'!$B$218*'19_Расчет_аналитики'!AI2583,MeanMinAge15)))</f>
        <v/>
      </c>
      <c r="AJ2502">
        <f>IF(OR('19_Расчет_аналитики'!AJ2474=0,15&lt;='01_Вводные'!$B$297),0,'19_Расчет_аналитики'!AJ2474*IF('01_Вводные'!$B$239="Да",MeanMinAge15+'19_Расчет_аналитики'!AJ2583*SUMIF(ThresholdAge15,"&lt;"&amp;'19_Расчет_аналитики'!AJ2583,WeightedRevAge15)-SUMIF(ThresholdAge15,"&lt;"&amp;'19_Расчет_аналитики'!AJ2583,WeightedMinAge15),MAX(CapacityAge15*'01_Вводные'!$B$218*'19_Расчет_аналитики'!AJ2583,MeanMinAge15)))</f>
        <v/>
      </c>
      <c r="AK2502">
        <f>IF(OR('19_Расчет_аналитики'!AK2474=0,15&lt;='01_Вводные'!$B$297),0,'19_Расчет_аналитики'!AK2474*IF('01_Вводные'!$B$239="Да",MeanMinAge15+'19_Расчет_аналитики'!AK2583*SUMIF(ThresholdAge15,"&lt;"&amp;'19_Расчет_аналитики'!AK2583,WeightedRevAge15)-SUMIF(ThresholdAge15,"&lt;"&amp;'19_Расчет_аналитики'!AK2583,WeightedMinAge15),MAX(CapacityAge15*'01_Вводные'!$B$218*'19_Расчет_аналитики'!AK2583,MeanMinAge15)))</f>
        <v/>
      </c>
      <c r="AL2502">
        <f>IF(OR('19_Расчет_аналитики'!AL2474=0,15&lt;='01_Вводные'!$B$297),0,'19_Расчет_аналитики'!AL2474*IF('01_Вводные'!$B$239="Да",MeanMinAge15+'19_Расчет_аналитики'!AL2583*SUMIF(ThresholdAge15,"&lt;"&amp;'19_Расчет_аналитики'!AL2583,WeightedRevAge15)-SUMIF(ThresholdAge15,"&lt;"&amp;'19_Расчет_аналитики'!AL2583,WeightedMinAge15),MAX(CapacityAge15*'01_Вводные'!$B$218*'19_Расчет_аналитики'!AL2583,MeanMinAge15)))</f>
        <v/>
      </c>
      <c r="AM2502">
        <f>IF(OR('19_Расчет_аналитики'!AM2474=0,15&lt;='01_Вводные'!$B$297),0,'19_Расчет_аналитики'!AM2474*IF('01_Вводные'!$B$239="Да",MeanMinAge15+'19_Расчет_аналитики'!AM2583*SUMIF(ThresholdAge15,"&lt;"&amp;'19_Расчет_аналитики'!AM2583,WeightedRevAge15)-SUMIF(ThresholdAge15,"&lt;"&amp;'19_Расчет_аналитики'!AM2583,WeightedMinAge15),MAX(CapacityAge15*'01_Вводные'!$B$218*'19_Расчет_аналитики'!AM2583,MeanMinAge15)))</f>
        <v/>
      </c>
      <c r="AN2502">
        <f>IF(OR('19_Расчет_аналитики'!AN2474=0,15&lt;='01_Вводные'!$B$297),0,'19_Расчет_аналитики'!AN2474*IF('01_Вводные'!$B$239="Да",MeanMinAge15+'19_Расчет_аналитики'!AN2583*SUMIF(ThresholdAge15,"&lt;"&amp;'19_Расчет_аналитики'!AN2583,WeightedRevAge15)-SUMIF(ThresholdAge15,"&lt;"&amp;'19_Расчет_аналитики'!AN2583,WeightedMinAge15),MAX(CapacityAge15*'01_Вводные'!$B$218*'19_Расчет_аналитики'!AN2583,MeanMinAge15)))</f>
        <v/>
      </c>
      <c r="AO2502">
        <f>IF(OR('19_Расчет_аналитики'!AO2474=0,15&lt;='01_Вводные'!$B$297),0,'19_Расчет_аналитики'!AO2474*IF('01_Вводные'!$B$239="Да",MeanMinAge15+'19_Расчет_аналитики'!AO2583*SUMIF(ThresholdAge15,"&lt;"&amp;'19_Расчет_аналитики'!AO2583,WeightedRevAge15)-SUMIF(ThresholdAge15,"&lt;"&amp;'19_Расчет_аналитики'!AO2583,WeightedMinAge15),MAX(CapacityAge15*'01_Вводные'!$B$218*'19_Расчет_аналитики'!AO2583,MeanMinAge15)))</f>
        <v/>
      </c>
      <c r="AP2502">
        <f>IF(OR('19_Расчет_аналитики'!AP2474=0,15&lt;='01_Вводные'!$B$297),0,'19_Расчет_аналитики'!AP2474*IF('01_Вводные'!$B$239="Да",MeanMinAge15+'19_Расчет_аналитики'!AP2583*SUMIF(ThresholdAge15,"&lt;"&amp;'19_Расчет_аналитики'!AP2583,WeightedRevAge15)-SUMIF(ThresholdAge15,"&lt;"&amp;'19_Расчет_аналитики'!AP2583,WeightedMinAge15),MAX(CapacityAge15*'01_Вводные'!$B$218*'19_Расчет_аналитики'!AP2583,MeanMinAge15)))</f>
        <v/>
      </c>
      <c r="AQ2502">
        <f>IF(OR('19_Расчет_аналитики'!AQ2474=0,15&lt;='01_Вводные'!$B$297),0,'19_Расчет_аналитики'!AQ2474*IF('01_Вводные'!$B$239="Да",MeanMinAge15+'19_Расчет_аналитики'!AQ2583*SUMIF(ThresholdAge15,"&lt;"&amp;'19_Расчет_аналитики'!AQ2583,WeightedRevAge15)-SUMIF(ThresholdAge15,"&lt;"&amp;'19_Расчет_аналитики'!AQ2583,WeightedMinAge15),MAX(CapacityAge15*'01_Вводные'!$B$218*'19_Расчет_аналитики'!AQ2583,MeanMinAge15)))</f>
        <v/>
      </c>
      <c r="AR2502">
        <f>IF(OR('19_Расчет_аналитики'!AR2474=0,15&lt;='01_Вводные'!$B$297),0,'19_Расчет_аналитики'!AR2474*IF('01_Вводные'!$B$239="Да",MeanMinAge15+'19_Расчет_аналитики'!AR2583*SUMIF(ThresholdAge15,"&lt;"&amp;'19_Расчет_аналитики'!AR2583,WeightedRevAge15)-SUMIF(ThresholdAge15,"&lt;"&amp;'19_Расчет_аналитики'!AR2583,WeightedMinAge15),MAX(CapacityAge15*'01_Вводные'!$B$218*'19_Расчет_аналитики'!AR2583,MeanMinAge15)))</f>
        <v/>
      </c>
      <c r="AS2502">
        <f>IF(OR('19_Расчет_аналитики'!AS2474=0,15&lt;='01_Вводные'!$B$297),0,'19_Расчет_аналитики'!AS2474*IF('01_Вводные'!$B$239="Да",MeanMinAge15+'19_Расчет_аналитики'!AS2583*SUMIF(ThresholdAge15,"&lt;"&amp;'19_Расчет_аналитики'!AS2583,WeightedRevAge15)-SUMIF(ThresholdAge15,"&lt;"&amp;'19_Расчет_аналитики'!AS2583,WeightedMinAge15),MAX(CapacityAge15*'01_Вводные'!$B$218*'19_Расчет_аналитики'!AS2583,MeanMinAge15)))</f>
        <v/>
      </c>
      <c r="AT2502">
        <f>IF(OR('19_Расчет_аналитики'!AT2474=0,15&lt;='01_Вводные'!$B$297),0,'19_Расчет_аналитики'!AT2474*IF('01_Вводные'!$B$239="Да",MeanMinAge15+'19_Расчет_аналитики'!AT2583*SUMIF(ThresholdAge15,"&lt;"&amp;'19_Расчет_аналитики'!AT2583,WeightedRevAge15)-SUMIF(ThresholdAge15,"&lt;"&amp;'19_Расчет_аналитики'!AT2583,WeightedMinAge15),MAX(CapacityAge15*'01_Вводные'!$B$218*'19_Расчет_аналитики'!AT2583,MeanMinAge15)))</f>
        <v/>
      </c>
      <c r="AU2502">
        <f>IF(OR('19_Расчет_аналитики'!AU2474=0,15&lt;='01_Вводные'!$B$297),0,'19_Расчет_аналитики'!AU2474*IF('01_Вводные'!$B$239="Да",MeanMinAge15+'19_Расчет_аналитики'!AU2583*SUMIF(ThresholdAge15,"&lt;"&amp;'19_Расчет_аналитики'!AU2583,WeightedRevAge15)-SUMIF(ThresholdAge15,"&lt;"&amp;'19_Расчет_аналитики'!AU2583,WeightedMinAge15),MAX(CapacityAge15*'01_Вводные'!$B$218*'19_Расчет_аналитики'!AU2583,MeanMinAge15)))</f>
        <v/>
      </c>
      <c r="AV2502">
        <f>IF(OR('19_Расчет_аналитики'!AV2474=0,15&lt;='01_Вводные'!$B$297),0,'19_Расчет_аналитики'!AV2474*IF('01_Вводные'!$B$239="Да",MeanMinAge15+'19_Расчет_аналитики'!AV2583*SUMIF(ThresholdAge15,"&lt;"&amp;'19_Расчет_аналитики'!AV2583,WeightedRevAge15)-SUMIF(ThresholdAge15,"&lt;"&amp;'19_Расчет_аналитики'!AV2583,WeightedMinAge15),MAX(CapacityAge15*'01_Вводные'!$B$218*'19_Расчет_аналитики'!AV2583,MeanMinAge15)))</f>
        <v/>
      </c>
      <c r="AW2502">
        <f>IF(OR('19_Расчет_аналитики'!AW2474=0,15&lt;='01_Вводные'!$B$297),0,'19_Расчет_аналитики'!AW2474*IF('01_Вводные'!$B$239="Да",MeanMinAge15+'19_Расчет_аналитики'!AW2583*SUMIF(ThresholdAge15,"&lt;"&amp;'19_Расчет_аналитики'!AW2583,WeightedRevAge15)-SUMIF(ThresholdAge15,"&lt;"&amp;'19_Расчет_аналитики'!AW2583,WeightedMinAge15),MAX(CapacityAge15*'01_Вводные'!$B$218*'19_Расчет_аналитики'!AW2583,MeanMinAge15)))</f>
        <v/>
      </c>
      <c r="AX2502">
        <f>IF(OR('19_Расчет_аналитики'!AX2474=0,15&lt;='01_Вводные'!$B$297),0,'19_Расчет_аналитики'!AX2474*IF('01_Вводные'!$B$239="Да",MeanMinAge15+'19_Расчет_аналитики'!AX2583*SUMIF(ThresholdAge15,"&lt;"&amp;'19_Расчет_аналитики'!AX2583,WeightedRevAge15)-SUMIF(ThresholdAge15,"&lt;"&amp;'19_Расчет_аналитики'!AX2583,WeightedMinAge15),MAX(CapacityAge15*'01_Вводные'!$B$218*'19_Расчет_аналитики'!AX2583,MeanMinAge15)))</f>
        <v/>
      </c>
      <c r="AY2502">
        <f>IF(OR('19_Расчет_аналитики'!AY2474=0,15&lt;='01_Вводные'!$B$297),0,'19_Расчет_аналитики'!AY2474*IF('01_Вводные'!$B$239="Да",MeanMinAge15+'19_Расчет_аналитики'!AY2583*SUMIF(ThresholdAge15,"&lt;"&amp;'19_Расчет_аналитики'!AY2583,WeightedRevAge15)-SUMIF(ThresholdAge15,"&lt;"&amp;'19_Расчет_аналитики'!AY2583,WeightedMinAge15),MAX(CapacityAge15*'01_Вводные'!$B$218*'19_Расчет_аналитики'!AY2583,MeanMinAge15)))</f>
        <v/>
      </c>
      <c r="AZ2502">
        <f>IF(OR('19_Расчет_аналитики'!AZ2474=0,15&lt;='01_Вводные'!$B$297),0,'19_Расчет_аналитики'!AZ2474*IF('01_Вводные'!$B$239="Да",MeanMinAge15+'19_Расчет_аналитики'!AZ2583*SUMIF(ThresholdAge15,"&lt;"&amp;'19_Расчет_аналитики'!AZ2583,WeightedRevAge15)-SUMIF(ThresholdAge15,"&lt;"&amp;'19_Расчет_аналитики'!AZ2583,WeightedMinAge15),MAX(CapacityAge15*'01_Вводные'!$B$218*'19_Расчет_аналитики'!AZ2583,MeanMinAge15)))</f>
        <v/>
      </c>
      <c r="BA2502">
        <f>IF(OR('19_Расчет_аналитики'!BA2474=0,15&lt;='01_Вводные'!$B$297),0,'19_Расчет_аналитики'!BA2474*IF('01_Вводные'!$B$239="Да",MeanMinAge15+'19_Расчет_аналитики'!BA2583*SUMIF(ThresholdAge15,"&lt;"&amp;'19_Расчет_аналитики'!BA2583,WeightedRevAge15)-SUMIF(ThresholdAge15,"&lt;"&amp;'19_Расчет_аналитики'!BA2583,WeightedMinAge15),MAX(CapacityAge15*'01_Вводные'!$B$218*'19_Расчет_аналитики'!BA2583,MeanMinAge15)))</f>
        <v/>
      </c>
      <c r="BB2502">
        <f>IF(OR('19_Расчет_аналитики'!BB2474=0,15&lt;='01_Вводные'!$B$297),0,'19_Расчет_аналитики'!BB2474*IF('01_Вводные'!$B$239="Да",MeanMinAge15+'19_Расчет_аналитики'!BB2583*SUMIF(ThresholdAge15,"&lt;"&amp;'19_Расчет_аналитики'!BB2583,WeightedRevAge15)-SUMIF(ThresholdAge15,"&lt;"&amp;'19_Расчет_аналитики'!BB2583,WeightedMinAge15),MAX(CapacityAge15*'01_Вводные'!$B$218*'19_Расчет_аналитики'!BB2583,MeanMinAge15)))</f>
        <v/>
      </c>
      <c r="BC2502">
        <f>IF(OR('19_Расчет_аналитики'!BC2474=0,15&lt;='01_Вводные'!$B$297),0,'19_Расчет_аналитики'!BC2474*IF('01_Вводные'!$B$239="Да",MeanMinAge15+'19_Расчет_аналитики'!BC2583*SUMIF(ThresholdAge15,"&lt;"&amp;'19_Расчет_аналитики'!BC2583,WeightedRevAge15)-SUMIF(ThresholdAge15,"&lt;"&amp;'19_Расчет_аналитики'!BC2583,WeightedMinAge15),MAX(CapacityAge15*'01_Вводные'!$B$218*'19_Расчет_аналитики'!BC2583,MeanMinAge15)))</f>
        <v/>
      </c>
      <c r="BD2502">
        <f>IF(OR('19_Расчет_аналитики'!BD2474=0,15&lt;='01_Вводные'!$B$297),0,'19_Расчет_аналитики'!BD2474*IF('01_Вводные'!$B$239="Да",MeanMinAge15+'19_Расчет_аналитики'!BD2583*SUMIF(ThresholdAge15,"&lt;"&amp;'19_Расчет_аналитики'!BD2583,WeightedRevAge15)-SUMIF(ThresholdAge15,"&lt;"&amp;'19_Расчет_аналитики'!BD2583,WeightedMinAge15),MAX(CapacityAge15*'01_Вводные'!$B$218*'19_Расчет_аналитики'!BD2583,MeanMinAge15)))</f>
        <v/>
      </c>
      <c r="BE2502">
        <f>IF(OR('19_Расчет_аналитики'!BE2474=0,15&lt;='01_Вводные'!$B$297),0,'19_Расчет_аналитики'!BE2474*IF('01_Вводные'!$B$239="Да",MeanMinAge15+'19_Расчет_аналитики'!BE2583*SUMIF(ThresholdAge15,"&lt;"&amp;'19_Расчет_аналитики'!BE2583,WeightedRevAge15)-SUMIF(ThresholdAge15,"&lt;"&amp;'19_Расчет_аналитики'!BE2583,WeightedMinAge15),MAX(CapacityAge15*'01_Вводные'!$B$218*'19_Расчет_аналитики'!BE2583,MeanMinAge15)))</f>
        <v/>
      </c>
      <c r="BF2502">
        <f>IF(OR('19_Расчет_аналитики'!BF2474=0,15&lt;='01_Вводные'!$B$297),0,'19_Расчет_аналитики'!BF2474*IF('01_Вводные'!$B$239="Да",MeanMinAge15+'19_Расчет_аналитики'!BF2583*SUMIF(ThresholdAge15,"&lt;"&amp;'19_Расчет_аналитики'!BF2583,WeightedRevAge15)-SUMIF(ThresholdAge15,"&lt;"&amp;'19_Расчет_аналитики'!BF2583,WeightedMinAge15),MAX(CapacityAge15*'01_Вводные'!$B$218*'19_Расчет_аналитики'!BF2583,MeanMinAge15)))</f>
        <v/>
      </c>
      <c r="BG2502">
        <f>IF(OR('19_Расчет_аналитики'!BG2474=0,15&lt;='01_Вводные'!$B$297),0,'19_Расчет_аналитики'!BG2474*IF('01_Вводные'!$B$239="Да",MeanMinAge15+'19_Расчет_аналитики'!BG2583*SUMIF(ThresholdAge15,"&lt;"&amp;'19_Расчет_аналитики'!BG2583,WeightedRevAge15)-SUMIF(ThresholdAge15,"&lt;"&amp;'19_Расчет_аналитики'!BG2583,WeightedMinAge15),MAX(CapacityAge15*'01_Вводные'!$B$218*'19_Расчет_аналитики'!BG2583,MeanMinAge15)))</f>
        <v/>
      </c>
      <c r="BH2502">
        <f>IF(OR('19_Расчет_аналитики'!BH2474=0,15&lt;='01_Вводные'!$B$297),0,'19_Расчет_аналитики'!BH2474*IF('01_Вводные'!$B$239="Да",MeanMinAge15+'19_Расчет_аналитики'!BH2583*SUMIF(ThresholdAge15,"&lt;"&amp;'19_Расчет_аналитики'!BH2583,WeightedRevAge15)-SUMIF(ThresholdAge15,"&lt;"&amp;'19_Расчет_аналитики'!BH2583,WeightedMinAge15),MAX(CapacityAge15*'01_Вводные'!$B$218*'19_Расчет_аналитики'!BH2583,MeanMinAge15)))</f>
        <v/>
      </c>
      <c r="BI2502">
        <f>IF(OR('19_Расчет_аналитики'!BI2474=0,15&lt;='01_Вводные'!$B$297),0,'19_Расчет_аналитики'!BI2474*IF('01_Вводные'!$B$239="Да",MeanMinAge15+'19_Расчет_аналитики'!BI2583*SUMIF(ThresholdAge15,"&lt;"&amp;'19_Расчет_аналитики'!BI2583,WeightedRevAge15)-SUMIF(ThresholdAge15,"&lt;"&amp;'19_Расчет_аналитики'!BI2583,WeightedMinAge15),MAX(CapacityAge15*'01_Вводные'!$B$218*'19_Расчет_аналитики'!BI2583,MeanMinAge15)))</f>
        <v/>
      </c>
      <c r="BJ2502">
        <f>IF(OR('19_Расчет_аналитики'!BJ2474=0,15&lt;='01_Вводные'!$B$297),0,'19_Расчет_аналитики'!BJ2474*IF('01_Вводные'!$B$239="Да",MeanMinAge15+'19_Расчет_аналитики'!BJ2583*SUMIF(ThresholdAge15,"&lt;"&amp;'19_Расчет_аналитики'!BJ2583,WeightedRevAge15)-SUMIF(ThresholdAge15,"&lt;"&amp;'19_Расчет_аналитики'!BJ2583,WeightedMinAge15),MAX(CapacityAge15*'01_Вводные'!$B$218*'19_Расчет_аналитики'!BJ2583,MeanMinAge15)))</f>
        <v/>
      </c>
      <c r="BK2502">
        <f>IF(OR('19_Расчет_аналитики'!BK2474=0,15&lt;='01_Вводные'!$B$297),0,'19_Расчет_аналитики'!BK2474*IF('01_Вводные'!$B$239="Да",MeanMinAge15+'19_Расчет_аналитики'!BK2583*SUMIF(ThresholdAge15,"&lt;"&amp;'19_Расчет_аналитики'!BK2583,WeightedRevAge15)-SUMIF(ThresholdAge15,"&lt;"&amp;'19_Расчет_аналитики'!BK2583,WeightedMinAge15),MAX(CapacityAge15*'01_Вводные'!$B$218*'19_Расчет_аналитики'!BK2583,MeanMinAge15)))</f>
        <v/>
      </c>
      <c r="BL2502">
        <f>IF(OR('19_Расчет_аналитики'!BL2474=0,15&lt;='01_Вводные'!$B$297),0,'19_Расчет_аналитики'!BL2474*IF('01_Вводные'!$B$239="Да",MeanMinAge15+'19_Расчет_аналитики'!BL2583*SUMIF(ThresholdAge15,"&lt;"&amp;'19_Расчет_аналитики'!BL2583,WeightedRevAge15)-SUMIF(ThresholdAge15,"&lt;"&amp;'19_Расчет_аналитики'!BL2583,WeightedMinAge15),MAX(CapacityAge15*'01_Вводные'!$B$218*'19_Расчет_аналитики'!BL2583,MeanMinAge15)))</f>
        <v/>
      </c>
      <c r="BM2502">
        <f>IF(OR('19_Расчет_аналитики'!BM2474=0,15&lt;='01_Вводные'!$B$297),0,'19_Расчет_аналитики'!BM2474*IF('01_Вводные'!$B$239="Да",MeanMinAge15+'19_Расчет_аналитики'!BM2583*SUMIF(ThresholdAge15,"&lt;"&amp;'19_Расчет_аналитики'!BM2583,WeightedRevAge15)-SUMIF(ThresholdAge15,"&lt;"&amp;'19_Расчет_аналитики'!BM2583,WeightedMinAge15),MAX(CapacityAge15*'01_Вводные'!$B$218*'19_Расчет_аналитики'!BM2583,MeanMinAge15)))</f>
        <v/>
      </c>
      <c r="BN2502">
        <f>IF(OR('19_Расчет_аналитики'!BN2474=0,15&lt;='01_Вводные'!$B$297),0,'19_Расчет_аналитики'!BN2474*IF('01_Вводные'!$B$239="Да",MeanMinAge15+'19_Расчет_аналитики'!BN2583*SUMIF(ThresholdAge15,"&lt;"&amp;'19_Расчет_аналитики'!BN2583,WeightedRevAge15)-SUMIF(ThresholdAge15,"&lt;"&amp;'19_Расчет_аналитики'!BN2583,WeightedMinAge15),MAX(CapacityAge15*'01_Вводные'!$B$218*'19_Расчет_аналитики'!BN2583,MeanMinAge15)))</f>
        <v/>
      </c>
      <c r="BO2502">
        <f>IF(OR('19_Расчет_аналитики'!BO2474=0,15&lt;='01_Вводные'!$B$297),0,'19_Расчет_аналитики'!BO2474*IF('01_Вводные'!$B$239="Да",MeanMinAge15+'19_Расчет_аналитики'!BO2583*SUMIF(ThresholdAge15,"&lt;"&amp;'19_Расчет_аналитики'!BO2583,WeightedRevAge15)-SUMIF(ThresholdAge15,"&lt;"&amp;'19_Расчет_аналитики'!BO2583,WeightedMinAge15),MAX(CapacityAge15*'01_Вводные'!$B$218*'19_Расчет_аналитики'!BO2583,MeanMinAge15)))</f>
        <v/>
      </c>
    </row>
    <row r="2503">
      <c r="B2503">
        <f>IF(OR('06_Сеть_и_дети'!B96=0,16&lt;='01_Вводные'!$B$297),0,'06_Сеть_и_дети'!B96*IF('01_Вводные'!$B$239="Да",MeanMinAge16+'19_Расчет_аналитики'!B2583*SUMIF(ThresholdAge16,"&lt;"&amp;'19_Расчет_аналитики'!B2583,WeightedRevAge16)-SUMIF(ThresholdAge16,"&lt;"&amp;'19_Расчет_аналитики'!B2583,WeightedMinAge16),MAX(CapacityAge16*'01_Вводные'!$B$218*'19_Расчет_аналитики'!B2583,MeanMinAge16)))</f>
        <v/>
      </c>
      <c r="C2503">
        <f>IF(OR('06_Сеть_и_дети'!C96=0,16&lt;='01_Вводные'!$B$297),0,'06_Сеть_и_дети'!C96*IF('01_Вводные'!$B$239="Да",MeanMinAge16+'19_Расчет_аналитики'!C2583*SUMIF(ThresholdAge16,"&lt;"&amp;'19_Расчет_аналитики'!C2583,WeightedRevAge16)-SUMIF(ThresholdAge16,"&lt;"&amp;'19_Расчет_аналитики'!C2583,WeightedMinAge16),MAX(CapacityAge16*'01_Вводные'!$B$218*'19_Расчет_аналитики'!C2583,MeanMinAge16)))</f>
        <v/>
      </c>
      <c r="D2503">
        <f>IF(OR('06_Сеть_и_дети'!D96=0,16&lt;='01_Вводные'!$B$297),0,'06_Сеть_и_дети'!D96*IF('01_Вводные'!$B$239="Да",MeanMinAge16+'19_Расчет_аналитики'!D2583*SUMIF(ThresholdAge16,"&lt;"&amp;'19_Расчет_аналитики'!D2583,WeightedRevAge16)-SUMIF(ThresholdAge16,"&lt;"&amp;'19_Расчет_аналитики'!D2583,WeightedMinAge16),MAX(CapacityAge16*'01_Вводные'!$B$218*'19_Расчет_аналитики'!D2583,MeanMinAge16)))</f>
        <v/>
      </c>
      <c r="E2503">
        <f>IF(OR('06_Сеть_и_дети'!E96=0,16&lt;='01_Вводные'!$B$297),0,'06_Сеть_и_дети'!E96*IF('01_Вводные'!$B$239="Да",MeanMinAge16+'19_Расчет_аналитики'!E2583*SUMIF(ThresholdAge16,"&lt;"&amp;'19_Расчет_аналитики'!E2583,WeightedRevAge16)-SUMIF(ThresholdAge16,"&lt;"&amp;'19_Расчет_аналитики'!E2583,WeightedMinAge16),MAX(CapacityAge16*'01_Вводные'!$B$218*'19_Расчет_аналитики'!E2583,MeanMinAge16)))</f>
        <v/>
      </c>
      <c r="F2503">
        <f>IF(OR('06_Сеть_и_дети'!F96=0,16&lt;='01_Вводные'!$B$297),0,'06_Сеть_и_дети'!F96*IF('01_Вводные'!$B$239="Да",MeanMinAge16+'19_Расчет_аналитики'!F2583*SUMIF(ThresholdAge16,"&lt;"&amp;'19_Расчет_аналитики'!F2583,WeightedRevAge16)-SUMIF(ThresholdAge16,"&lt;"&amp;'19_Расчет_аналитики'!F2583,WeightedMinAge16),MAX(CapacityAge16*'01_Вводные'!$B$218*'19_Расчет_аналитики'!F2583,MeanMinAge16)))</f>
        <v/>
      </c>
      <c r="G2503">
        <f>IF(OR('06_Сеть_и_дети'!G96=0,16&lt;='01_Вводные'!$B$297),0,'06_Сеть_и_дети'!G96*IF('01_Вводные'!$B$239="Да",MeanMinAge16+'19_Расчет_аналитики'!G2583*SUMIF(ThresholdAge16,"&lt;"&amp;'19_Расчет_аналитики'!G2583,WeightedRevAge16)-SUMIF(ThresholdAge16,"&lt;"&amp;'19_Расчет_аналитики'!G2583,WeightedMinAge16),MAX(CapacityAge16*'01_Вводные'!$B$218*'19_Расчет_аналитики'!G2583,MeanMinAge16)))</f>
        <v/>
      </c>
      <c r="H2503">
        <f>IF(OR('06_Сеть_и_дети'!H96=0,16&lt;='01_Вводные'!$B$297),0,'06_Сеть_и_дети'!H96*IF('01_Вводные'!$B$239="Да",MeanMinAge16+'19_Расчет_аналитики'!H2583*SUMIF(ThresholdAge16,"&lt;"&amp;'19_Расчет_аналитики'!H2583,WeightedRevAge16)-SUMIF(ThresholdAge16,"&lt;"&amp;'19_Расчет_аналитики'!H2583,WeightedMinAge16),MAX(CapacityAge16*'01_Вводные'!$B$218*'19_Расчет_аналитики'!H2583,MeanMinAge16)))</f>
        <v/>
      </c>
      <c r="I2503">
        <f>IF(OR('06_Сеть_и_дети'!I96=0,16&lt;='01_Вводные'!$B$297),0,'06_Сеть_и_дети'!I96*IF('01_Вводные'!$B$239="Да",MeanMinAge16+'19_Расчет_аналитики'!I2583*SUMIF(ThresholdAge16,"&lt;"&amp;'19_Расчет_аналитики'!I2583,WeightedRevAge16)-SUMIF(ThresholdAge16,"&lt;"&amp;'19_Расчет_аналитики'!I2583,WeightedMinAge16),MAX(CapacityAge16*'01_Вводные'!$B$218*'19_Расчет_аналитики'!I2583,MeanMinAge16)))</f>
        <v/>
      </c>
      <c r="J2503">
        <f>IF(OR('06_Сеть_и_дети'!J96=0,16&lt;='01_Вводные'!$B$297),0,'06_Сеть_и_дети'!J96*IF('01_Вводные'!$B$239="Да",MeanMinAge16+'19_Расчет_аналитики'!J2583*SUMIF(ThresholdAge16,"&lt;"&amp;'19_Расчет_аналитики'!J2583,WeightedRevAge16)-SUMIF(ThresholdAge16,"&lt;"&amp;'19_Расчет_аналитики'!J2583,WeightedMinAge16),MAX(CapacityAge16*'01_Вводные'!$B$218*'19_Расчет_аналитики'!J2583,MeanMinAge16)))</f>
        <v/>
      </c>
      <c r="K2503">
        <f>IF(OR('06_Сеть_и_дети'!K96=0,16&lt;='01_Вводные'!$B$297),0,'06_Сеть_и_дети'!K96*IF('01_Вводные'!$B$239="Да",MeanMinAge16+'19_Расчет_аналитики'!K2583*SUMIF(ThresholdAge16,"&lt;"&amp;'19_Расчет_аналитики'!K2583,WeightedRevAge16)-SUMIF(ThresholdAge16,"&lt;"&amp;'19_Расчет_аналитики'!K2583,WeightedMinAge16),MAX(CapacityAge16*'01_Вводные'!$B$218*'19_Расчет_аналитики'!K2583,MeanMinAge16)))</f>
        <v/>
      </c>
      <c r="L2503">
        <f>IF(OR('06_Сеть_и_дети'!L96=0,16&lt;='01_Вводные'!$B$297),0,'06_Сеть_и_дети'!L96*IF('01_Вводные'!$B$239="Да",MeanMinAge16+'19_Расчет_аналитики'!L2583*SUMIF(ThresholdAge16,"&lt;"&amp;'19_Расчет_аналитики'!L2583,WeightedRevAge16)-SUMIF(ThresholdAge16,"&lt;"&amp;'19_Расчет_аналитики'!L2583,WeightedMinAge16),MAX(CapacityAge16*'01_Вводные'!$B$218*'19_Расчет_аналитики'!L2583,MeanMinAge16)))</f>
        <v/>
      </c>
      <c r="M2503">
        <f>IF(OR('06_Сеть_и_дети'!M96=0,16&lt;='01_Вводные'!$B$297),0,'06_Сеть_и_дети'!M96*IF('01_Вводные'!$B$239="Да",MeanMinAge16+'19_Расчет_аналитики'!M2583*SUMIF(ThresholdAge16,"&lt;"&amp;'19_Расчет_аналитики'!M2583,WeightedRevAge16)-SUMIF(ThresholdAge16,"&lt;"&amp;'19_Расчет_аналитики'!M2583,WeightedMinAge16),MAX(CapacityAge16*'01_Вводные'!$B$218*'19_Расчет_аналитики'!M2583,MeanMinAge16)))</f>
        <v/>
      </c>
      <c r="N2503">
        <f>IF(OR('06_Сеть_и_дети'!N96=0,16&lt;='01_Вводные'!$B$297),0,'06_Сеть_и_дети'!N96*IF('01_Вводные'!$B$239="Да",MeanMinAge16+'19_Расчет_аналитики'!N2583*SUMIF(ThresholdAge16,"&lt;"&amp;'19_Расчет_аналитики'!N2583,WeightedRevAge16)-SUMIF(ThresholdAge16,"&lt;"&amp;'19_Расчет_аналитики'!N2583,WeightedMinAge16),MAX(CapacityAge16*'01_Вводные'!$B$218*'19_Расчет_аналитики'!N2583,MeanMinAge16)))</f>
        <v/>
      </c>
      <c r="O2503">
        <f>IF(OR('06_Сеть_и_дети'!O96=0,16&lt;='01_Вводные'!$B$297),0,'06_Сеть_и_дети'!O96*IF('01_Вводные'!$B$239="Да",MeanMinAge16+'19_Расчет_аналитики'!O2583*SUMIF(ThresholdAge16,"&lt;"&amp;'19_Расчет_аналитики'!O2583,WeightedRevAge16)-SUMIF(ThresholdAge16,"&lt;"&amp;'19_Расчет_аналитики'!O2583,WeightedMinAge16),MAX(CapacityAge16*'01_Вводные'!$B$218*'19_Расчет_аналитики'!O2583,MeanMinAge16)))</f>
        <v/>
      </c>
      <c r="P2503">
        <f>IF(OR('06_Сеть_и_дети'!P96=0,16&lt;='01_Вводные'!$B$297),0,'06_Сеть_и_дети'!P96*IF('01_Вводные'!$B$239="Да",MeanMinAge16+'19_Расчет_аналитики'!P2583*SUMIF(ThresholdAge16,"&lt;"&amp;'19_Расчет_аналитики'!P2583,WeightedRevAge16)-SUMIF(ThresholdAge16,"&lt;"&amp;'19_Расчет_аналитики'!P2583,WeightedMinAge16),MAX(CapacityAge16*'01_Вводные'!$B$218*'19_Расчет_аналитики'!P2583,MeanMinAge16)))</f>
        <v/>
      </c>
      <c r="Q2503">
        <f>IF(OR('19_Расчет_аналитики'!Q2475=0,16&lt;='01_Вводные'!$B$297),0,'19_Расчет_аналитики'!Q2475*IF('01_Вводные'!$B$239="Да",MeanMinAge16+'19_Расчет_аналитики'!Q2583*SUMIF(ThresholdAge16,"&lt;"&amp;'19_Расчет_аналитики'!Q2583,WeightedRevAge16)-SUMIF(ThresholdAge16,"&lt;"&amp;'19_Расчет_аналитики'!Q2583,WeightedMinAge16),MAX(CapacityAge16*'01_Вводные'!$B$218*'19_Расчет_аналитики'!Q2583,MeanMinAge16)))</f>
        <v/>
      </c>
      <c r="R2503">
        <f>IF(OR('19_Расчет_аналитики'!R2475=0,16&lt;='01_Вводные'!$B$297),0,'19_Расчет_аналитики'!R2475*IF('01_Вводные'!$B$239="Да",MeanMinAge16+'19_Расчет_аналитики'!R2583*SUMIF(ThresholdAge16,"&lt;"&amp;'19_Расчет_аналитики'!R2583,WeightedRevAge16)-SUMIF(ThresholdAge16,"&lt;"&amp;'19_Расчет_аналитики'!R2583,WeightedMinAge16),MAX(CapacityAge16*'01_Вводные'!$B$218*'19_Расчет_аналитики'!R2583,MeanMinAge16)))</f>
        <v/>
      </c>
      <c r="S2503">
        <f>IF(OR('19_Расчет_аналитики'!S2475=0,16&lt;='01_Вводные'!$B$297),0,'19_Расчет_аналитики'!S2475*IF('01_Вводные'!$B$239="Да",MeanMinAge16+'19_Расчет_аналитики'!S2583*SUMIF(ThresholdAge16,"&lt;"&amp;'19_Расчет_аналитики'!S2583,WeightedRevAge16)-SUMIF(ThresholdAge16,"&lt;"&amp;'19_Расчет_аналитики'!S2583,WeightedMinAge16),MAX(CapacityAge16*'01_Вводные'!$B$218*'19_Расчет_аналитики'!S2583,MeanMinAge16)))</f>
        <v/>
      </c>
      <c r="T2503">
        <f>IF(OR('19_Расчет_аналитики'!T2475=0,16&lt;='01_Вводные'!$B$297),0,'19_Расчет_аналитики'!T2475*IF('01_Вводные'!$B$239="Да",MeanMinAge16+'19_Расчет_аналитики'!T2583*SUMIF(ThresholdAge16,"&lt;"&amp;'19_Расчет_аналитики'!T2583,WeightedRevAge16)-SUMIF(ThresholdAge16,"&lt;"&amp;'19_Расчет_аналитики'!T2583,WeightedMinAge16),MAX(CapacityAge16*'01_Вводные'!$B$218*'19_Расчет_аналитики'!T2583,MeanMinAge16)))</f>
        <v/>
      </c>
      <c r="U2503">
        <f>IF(OR('19_Расчет_аналитики'!U2475=0,16&lt;='01_Вводные'!$B$297),0,'19_Расчет_аналитики'!U2475*IF('01_Вводные'!$B$239="Да",MeanMinAge16+'19_Расчет_аналитики'!U2583*SUMIF(ThresholdAge16,"&lt;"&amp;'19_Расчет_аналитики'!U2583,WeightedRevAge16)-SUMIF(ThresholdAge16,"&lt;"&amp;'19_Расчет_аналитики'!U2583,WeightedMinAge16),MAX(CapacityAge16*'01_Вводные'!$B$218*'19_Расчет_аналитики'!U2583,MeanMinAge16)))</f>
        <v/>
      </c>
      <c r="V2503">
        <f>IF(OR('19_Расчет_аналитики'!V2475=0,16&lt;='01_Вводные'!$B$297),0,'19_Расчет_аналитики'!V2475*IF('01_Вводные'!$B$239="Да",MeanMinAge16+'19_Расчет_аналитики'!V2583*SUMIF(ThresholdAge16,"&lt;"&amp;'19_Расчет_аналитики'!V2583,WeightedRevAge16)-SUMIF(ThresholdAge16,"&lt;"&amp;'19_Расчет_аналитики'!V2583,WeightedMinAge16),MAX(CapacityAge16*'01_Вводные'!$B$218*'19_Расчет_аналитики'!V2583,MeanMinAge16)))</f>
        <v/>
      </c>
      <c r="W2503">
        <f>IF(OR('19_Расчет_аналитики'!W2475=0,16&lt;='01_Вводные'!$B$297),0,'19_Расчет_аналитики'!W2475*IF('01_Вводные'!$B$239="Да",MeanMinAge16+'19_Расчет_аналитики'!W2583*SUMIF(ThresholdAge16,"&lt;"&amp;'19_Расчет_аналитики'!W2583,WeightedRevAge16)-SUMIF(ThresholdAge16,"&lt;"&amp;'19_Расчет_аналитики'!W2583,WeightedMinAge16),MAX(CapacityAge16*'01_Вводные'!$B$218*'19_Расчет_аналитики'!W2583,MeanMinAge16)))</f>
        <v/>
      </c>
      <c r="X2503">
        <f>IF(OR('19_Расчет_аналитики'!X2475=0,16&lt;='01_Вводные'!$B$297),0,'19_Расчет_аналитики'!X2475*IF('01_Вводные'!$B$239="Да",MeanMinAge16+'19_Расчет_аналитики'!X2583*SUMIF(ThresholdAge16,"&lt;"&amp;'19_Расчет_аналитики'!X2583,WeightedRevAge16)-SUMIF(ThresholdAge16,"&lt;"&amp;'19_Расчет_аналитики'!X2583,WeightedMinAge16),MAX(CapacityAge16*'01_Вводные'!$B$218*'19_Расчет_аналитики'!X2583,MeanMinAge16)))</f>
        <v/>
      </c>
      <c r="Y2503">
        <f>IF(OR('19_Расчет_аналитики'!Y2475=0,16&lt;='01_Вводные'!$B$297),0,'19_Расчет_аналитики'!Y2475*IF('01_Вводные'!$B$239="Да",MeanMinAge16+'19_Расчет_аналитики'!Y2583*SUMIF(ThresholdAge16,"&lt;"&amp;'19_Расчет_аналитики'!Y2583,WeightedRevAge16)-SUMIF(ThresholdAge16,"&lt;"&amp;'19_Расчет_аналитики'!Y2583,WeightedMinAge16),MAX(CapacityAge16*'01_Вводные'!$B$218*'19_Расчет_аналитики'!Y2583,MeanMinAge16)))</f>
        <v/>
      </c>
      <c r="Z2503">
        <f>IF(OR('19_Расчет_аналитики'!Z2475=0,16&lt;='01_Вводные'!$B$297),0,'19_Расчет_аналитики'!Z2475*IF('01_Вводные'!$B$239="Да",MeanMinAge16+'19_Расчет_аналитики'!Z2583*SUMIF(ThresholdAge16,"&lt;"&amp;'19_Расчет_аналитики'!Z2583,WeightedRevAge16)-SUMIF(ThresholdAge16,"&lt;"&amp;'19_Расчет_аналитики'!Z2583,WeightedMinAge16),MAX(CapacityAge16*'01_Вводные'!$B$218*'19_Расчет_аналитики'!Z2583,MeanMinAge16)))</f>
        <v/>
      </c>
      <c r="AA2503">
        <f>IF(OR('19_Расчет_аналитики'!AA2475=0,16&lt;='01_Вводные'!$B$297),0,'19_Расчет_аналитики'!AA2475*IF('01_Вводные'!$B$239="Да",MeanMinAge16+'19_Расчет_аналитики'!AA2583*SUMIF(ThresholdAge16,"&lt;"&amp;'19_Расчет_аналитики'!AA2583,WeightedRevAge16)-SUMIF(ThresholdAge16,"&lt;"&amp;'19_Расчет_аналитики'!AA2583,WeightedMinAge16),MAX(CapacityAge16*'01_Вводные'!$B$218*'19_Расчет_аналитики'!AA2583,MeanMinAge16)))</f>
        <v/>
      </c>
      <c r="AB2503">
        <f>IF(OR('19_Расчет_аналитики'!AB2475=0,16&lt;='01_Вводные'!$B$297),0,'19_Расчет_аналитики'!AB2475*IF('01_Вводные'!$B$239="Да",MeanMinAge16+'19_Расчет_аналитики'!AB2583*SUMIF(ThresholdAge16,"&lt;"&amp;'19_Расчет_аналитики'!AB2583,WeightedRevAge16)-SUMIF(ThresholdAge16,"&lt;"&amp;'19_Расчет_аналитики'!AB2583,WeightedMinAge16),MAX(CapacityAge16*'01_Вводные'!$B$218*'19_Расчет_аналитики'!AB2583,MeanMinAge16)))</f>
        <v/>
      </c>
      <c r="AC2503">
        <f>IF(OR('19_Расчет_аналитики'!AC2475=0,16&lt;='01_Вводные'!$B$297),0,'19_Расчет_аналитики'!AC2475*IF('01_Вводные'!$B$239="Да",MeanMinAge16+'19_Расчет_аналитики'!AC2583*SUMIF(ThresholdAge16,"&lt;"&amp;'19_Расчет_аналитики'!AC2583,WeightedRevAge16)-SUMIF(ThresholdAge16,"&lt;"&amp;'19_Расчет_аналитики'!AC2583,WeightedMinAge16),MAX(CapacityAge16*'01_Вводные'!$B$218*'19_Расчет_аналитики'!AC2583,MeanMinAge16)))</f>
        <v/>
      </c>
      <c r="AD2503">
        <f>IF(OR('19_Расчет_аналитики'!AD2475=0,16&lt;='01_Вводные'!$B$297),0,'19_Расчет_аналитики'!AD2475*IF('01_Вводные'!$B$239="Да",MeanMinAge16+'19_Расчет_аналитики'!AD2583*SUMIF(ThresholdAge16,"&lt;"&amp;'19_Расчет_аналитики'!AD2583,WeightedRevAge16)-SUMIF(ThresholdAge16,"&lt;"&amp;'19_Расчет_аналитики'!AD2583,WeightedMinAge16),MAX(CapacityAge16*'01_Вводные'!$B$218*'19_Расчет_аналитики'!AD2583,MeanMinAge16)))</f>
        <v/>
      </c>
      <c r="AE2503">
        <f>IF(OR('19_Расчет_аналитики'!AE2475=0,16&lt;='01_Вводные'!$B$297),0,'19_Расчет_аналитики'!AE2475*IF('01_Вводные'!$B$239="Да",MeanMinAge16+'19_Расчет_аналитики'!AE2583*SUMIF(ThresholdAge16,"&lt;"&amp;'19_Расчет_аналитики'!AE2583,WeightedRevAge16)-SUMIF(ThresholdAge16,"&lt;"&amp;'19_Расчет_аналитики'!AE2583,WeightedMinAge16),MAX(CapacityAge16*'01_Вводные'!$B$218*'19_Расчет_аналитики'!AE2583,MeanMinAge16)))</f>
        <v/>
      </c>
      <c r="AF2503">
        <f>IF(OR('19_Расчет_аналитики'!AF2475=0,16&lt;='01_Вводные'!$B$297),0,'19_Расчет_аналитики'!AF2475*IF('01_Вводные'!$B$239="Да",MeanMinAge16+'19_Расчет_аналитики'!AF2583*SUMIF(ThresholdAge16,"&lt;"&amp;'19_Расчет_аналитики'!AF2583,WeightedRevAge16)-SUMIF(ThresholdAge16,"&lt;"&amp;'19_Расчет_аналитики'!AF2583,WeightedMinAge16),MAX(CapacityAge16*'01_Вводные'!$B$218*'19_Расчет_аналитики'!AF2583,MeanMinAge16)))</f>
        <v/>
      </c>
      <c r="AG2503">
        <f>IF(OR('19_Расчет_аналитики'!AG2475=0,16&lt;='01_Вводные'!$B$297),0,'19_Расчет_аналитики'!AG2475*IF('01_Вводные'!$B$239="Да",MeanMinAge16+'19_Расчет_аналитики'!AG2583*SUMIF(ThresholdAge16,"&lt;"&amp;'19_Расчет_аналитики'!AG2583,WeightedRevAge16)-SUMIF(ThresholdAge16,"&lt;"&amp;'19_Расчет_аналитики'!AG2583,WeightedMinAge16),MAX(CapacityAge16*'01_Вводные'!$B$218*'19_Расчет_аналитики'!AG2583,MeanMinAge16)))</f>
        <v/>
      </c>
      <c r="AH2503">
        <f>IF(OR('19_Расчет_аналитики'!AH2475=0,16&lt;='01_Вводные'!$B$297),0,'19_Расчет_аналитики'!AH2475*IF('01_Вводные'!$B$239="Да",MeanMinAge16+'19_Расчет_аналитики'!AH2583*SUMIF(ThresholdAge16,"&lt;"&amp;'19_Расчет_аналитики'!AH2583,WeightedRevAge16)-SUMIF(ThresholdAge16,"&lt;"&amp;'19_Расчет_аналитики'!AH2583,WeightedMinAge16),MAX(CapacityAge16*'01_Вводные'!$B$218*'19_Расчет_аналитики'!AH2583,MeanMinAge16)))</f>
        <v/>
      </c>
      <c r="AI2503">
        <f>IF(OR('19_Расчет_аналитики'!AI2475=0,16&lt;='01_Вводные'!$B$297),0,'19_Расчет_аналитики'!AI2475*IF('01_Вводные'!$B$239="Да",MeanMinAge16+'19_Расчет_аналитики'!AI2583*SUMIF(ThresholdAge16,"&lt;"&amp;'19_Расчет_аналитики'!AI2583,WeightedRevAge16)-SUMIF(ThresholdAge16,"&lt;"&amp;'19_Расчет_аналитики'!AI2583,WeightedMinAge16),MAX(CapacityAge16*'01_Вводные'!$B$218*'19_Расчет_аналитики'!AI2583,MeanMinAge16)))</f>
        <v/>
      </c>
      <c r="AJ2503">
        <f>IF(OR('19_Расчет_аналитики'!AJ2475=0,16&lt;='01_Вводные'!$B$297),0,'19_Расчет_аналитики'!AJ2475*IF('01_Вводные'!$B$239="Да",MeanMinAge16+'19_Расчет_аналитики'!AJ2583*SUMIF(ThresholdAge16,"&lt;"&amp;'19_Расчет_аналитики'!AJ2583,WeightedRevAge16)-SUMIF(ThresholdAge16,"&lt;"&amp;'19_Расчет_аналитики'!AJ2583,WeightedMinAge16),MAX(CapacityAge16*'01_Вводные'!$B$218*'19_Расчет_аналитики'!AJ2583,MeanMinAge16)))</f>
        <v/>
      </c>
      <c r="AK2503">
        <f>IF(OR('19_Расчет_аналитики'!AK2475=0,16&lt;='01_Вводные'!$B$297),0,'19_Расчет_аналитики'!AK2475*IF('01_Вводные'!$B$239="Да",MeanMinAge16+'19_Расчет_аналитики'!AK2583*SUMIF(ThresholdAge16,"&lt;"&amp;'19_Расчет_аналитики'!AK2583,WeightedRevAge16)-SUMIF(ThresholdAge16,"&lt;"&amp;'19_Расчет_аналитики'!AK2583,WeightedMinAge16),MAX(CapacityAge16*'01_Вводные'!$B$218*'19_Расчет_аналитики'!AK2583,MeanMinAge16)))</f>
        <v/>
      </c>
      <c r="AL2503">
        <f>IF(OR('19_Расчет_аналитики'!AL2475=0,16&lt;='01_Вводные'!$B$297),0,'19_Расчет_аналитики'!AL2475*IF('01_Вводные'!$B$239="Да",MeanMinAge16+'19_Расчет_аналитики'!AL2583*SUMIF(ThresholdAge16,"&lt;"&amp;'19_Расчет_аналитики'!AL2583,WeightedRevAge16)-SUMIF(ThresholdAge16,"&lt;"&amp;'19_Расчет_аналитики'!AL2583,WeightedMinAge16),MAX(CapacityAge16*'01_Вводные'!$B$218*'19_Расчет_аналитики'!AL2583,MeanMinAge16)))</f>
        <v/>
      </c>
      <c r="AM2503">
        <f>IF(OR('19_Расчет_аналитики'!AM2475=0,16&lt;='01_Вводные'!$B$297),0,'19_Расчет_аналитики'!AM2475*IF('01_Вводные'!$B$239="Да",MeanMinAge16+'19_Расчет_аналитики'!AM2583*SUMIF(ThresholdAge16,"&lt;"&amp;'19_Расчет_аналитики'!AM2583,WeightedRevAge16)-SUMIF(ThresholdAge16,"&lt;"&amp;'19_Расчет_аналитики'!AM2583,WeightedMinAge16),MAX(CapacityAge16*'01_Вводные'!$B$218*'19_Расчет_аналитики'!AM2583,MeanMinAge16)))</f>
        <v/>
      </c>
      <c r="AN2503">
        <f>IF(OR('19_Расчет_аналитики'!AN2475=0,16&lt;='01_Вводные'!$B$297),0,'19_Расчет_аналитики'!AN2475*IF('01_Вводные'!$B$239="Да",MeanMinAge16+'19_Расчет_аналитики'!AN2583*SUMIF(ThresholdAge16,"&lt;"&amp;'19_Расчет_аналитики'!AN2583,WeightedRevAge16)-SUMIF(ThresholdAge16,"&lt;"&amp;'19_Расчет_аналитики'!AN2583,WeightedMinAge16),MAX(CapacityAge16*'01_Вводные'!$B$218*'19_Расчет_аналитики'!AN2583,MeanMinAge16)))</f>
        <v/>
      </c>
      <c r="AO2503">
        <f>IF(OR('19_Расчет_аналитики'!AO2475=0,16&lt;='01_Вводные'!$B$297),0,'19_Расчет_аналитики'!AO2475*IF('01_Вводные'!$B$239="Да",MeanMinAge16+'19_Расчет_аналитики'!AO2583*SUMIF(ThresholdAge16,"&lt;"&amp;'19_Расчет_аналитики'!AO2583,WeightedRevAge16)-SUMIF(ThresholdAge16,"&lt;"&amp;'19_Расчет_аналитики'!AO2583,WeightedMinAge16),MAX(CapacityAge16*'01_Вводные'!$B$218*'19_Расчет_аналитики'!AO2583,MeanMinAge16)))</f>
        <v/>
      </c>
      <c r="AP2503">
        <f>IF(OR('19_Расчет_аналитики'!AP2475=0,16&lt;='01_Вводные'!$B$297),0,'19_Расчет_аналитики'!AP2475*IF('01_Вводные'!$B$239="Да",MeanMinAge16+'19_Расчет_аналитики'!AP2583*SUMIF(ThresholdAge16,"&lt;"&amp;'19_Расчет_аналитики'!AP2583,WeightedRevAge16)-SUMIF(ThresholdAge16,"&lt;"&amp;'19_Расчет_аналитики'!AP2583,WeightedMinAge16),MAX(CapacityAge16*'01_Вводные'!$B$218*'19_Расчет_аналитики'!AP2583,MeanMinAge16)))</f>
        <v/>
      </c>
      <c r="AQ2503">
        <f>IF(OR('19_Расчет_аналитики'!AQ2475=0,16&lt;='01_Вводные'!$B$297),0,'19_Расчет_аналитики'!AQ2475*IF('01_Вводные'!$B$239="Да",MeanMinAge16+'19_Расчет_аналитики'!AQ2583*SUMIF(ThresholdAge16,"&lt;"&amp;'19_Расчет_аналитики'!AQ2583,WeightedRevAge16)-SUMIF(ThresholdAge16,"&lt;"&amp;'19_Расчет_аналитики'!AQ2583,WeightedMinAge16),MAX(CapacityAge16*'01_Вводные'!$B$218*'19_Расчет_аналитики'!AQ2583,MeanMinAge16)))</f>
        <v/>
      </c>
      <c r="AR2503">
        <f>IF(OR('19_Расчет_аналитики'!AR2475=0,16&lt;='01_Вводные'!$B$297),0,'19_Расчет_аналитики'!AR2475*IF('01_Вводные'!$B$239="Да",MeanMinAge16+'19_Расчет_аналитики'!AR2583*SUMIF(ThresholdAge16,"&lt;"&amp;'19_Расчет_аналитики'!AR2583,WeightedRevAge16)-SUMIF(ThresholdAge16,"&lt;"&amp;'19_Расчет_аналитики'!AR2583,WeightedMinAge16),MAX(CapacityAge16*'01_Вводные'!$B$218*'19_Расчет_аналитики'!AR2583,MeanMinAge16)))</f>
        <v/>
      </c>
      <c r="AS2503">
        <f>IF(OR('19_Расчет_аналитики'!AS2475=0,16&lt;='01_Вводные'!$B$297),0,'19_Расчет_аналитики'!AS2475*IF('01_Вводные'!$B$239="Да",MeanMinAge16+'19_Расчет_аналитики'!AS2583*SUMIF(ThresholdAge16,"&lt;"&amp;'19_Расчет_аналитики'!AS2583,WeightedRevAge16)-SUMIF(ThresholdAge16,"&lt;"&amp;'19_Расчет_аналитики'!AS2583,WeightedMinAge16),MAX(CapacityAge16*'01_Вводные'!$B$218*'19_Расчет_аналитики'!AS2583,MeanMinAge16)))</f>
        <v/>
      </c>
      <c r="AT2503">
        <f>IF(OR('19_Расчет_аналитики'!AT2475=0,16&lt;='01_Вводные'!$B$297),0,'19_Расчет_аналитики'!AT2475*IF('01_Вводные'!$B$239="Да",MeanMinAge16+'19_Расчет_аналитики'!AT2583*SUMIF(ThresholdAge16,"&lt;"&amp;'19_Расчет_аналитики'!AT2583,WeightedRevAge16)-SUMIF(ThresholdAge16,"&lt;"&amp;'19_Расчет_аналитики'!AT2583,WeightedMinAge16),MAX(CapacityAge16*'01_Вводные'!$B$218*'19_Расчет_аналитики'!AT2583,MeanMinAge16)))</f>
        <v/>
      </c>
      <c r="AU2503">
        <f>IF(OR('19_Расчет_аналитики'!AU2475=0,16&lt;='01_Вводные'!$B$297),0,'19_Расчет_аналитики'!AU2475*IF('01_Вводные'!$B$239="Да",MeanMinAge16+'19_Расчет_аналитики'!AU2583*SUMIF(ThresholdAge16,"&lt;"&amp;'19_Расчет_аналитики'!AU2583,WeightedRevAge16)-SUMIF(ThresholdAge16,"&lt;"&amp;'19_Расчет_аналитики'!AU2583,WeightedMinAge16),MAX(CapacityAge16*'01_Вводные'!$B$218*'19_Расчет_аналитики'!AU2583,MeanMinAge16)))</f>
        <v/>
      </c>
      <c r="AV2503">
        <f>IF(OR('19_Расчет_аналитики'!AV2475=0,16&lt;='01_Вводные'!$B$297),0,'19_Расчет_аналитики'!AV2475*IF('01_Вводные'!$B$239="Да",MeanMinAge16+'19_Расчет_аналитики'!AV2583*SUMIF(ThresholdAge16,"&lt;"&amp;'19_Расчет_аналитики'!AV2583,WeightedRevAge16)-SUMIF(ThresholdAge16,"&lt;"&amp;'19_Расчет_аналитики'!AV2583,WeightedMinAge16),MAX(CapacityAge16*'01_Вводные'!$B$218*'19_Расчет_аналитики'!AV2583,MeanMinAge16)))</f>
        <v/>
      </c>
      <c r="AW2503">
        <f>IF(OR('19_Расчет_аналитики'!AW2475=0,16&lt;='01_Вводные'!$B$297),0,'19_Расчет_аналитики'!AW2475*IF('01_Вводные'!$B$239="Да",MeanMinAge16+'19_Расчет_аналитики'!AW2583*SUMIF(ThresholdAge16,"&lt;"&amp;'19_Расчет_аналитики'!AW2583,WeightedRevAge16)-SUMIF(ThresholdAge16,"&lt;"&amp;'19_Расчет_аналитики'!AW2583,WeightedMinAge16),MAX(CapacityAge16*'01_Вводные'!$B$218*'19_Расчет_аналитики'!AW2583,MeanMinAge16)))</f>
        <v/>
      </c>
      <c r="AX2503">
        <f>IF(OR('19_Расчет_аналитики'!AX2475=0,16&lt;='01_Вводные'!$B$297),0,'19_Расчет_аналитики'!AX2475*IF('01_Вводные'!$B$239="Да",MeanMinAge16+'19_Расчет_аналитики'!AX2583*SUMIF(ThresholdAge16,"&lt;"&amp;'19_Расчет_аналитики'!AX2583,WeightedRevAge16)-SUMIF(ThresholdAge16,"&lt;"&amp;'19_Расчет_аналитики'!AX2583,WeightedMinAge16),MAX(CapacityAge16*'01_Вводные'!$B$218*'19_Расчет_аналитики'!AX2583,MeanMinAge16)))</f>
        <v/>
      </c>
      <c r="AY2503">
        <f>IF(OR('19_Расчет_аналитики'!AY2475=0,16&lt;='01_Вводные'!$B$297),0,'19_Расчет_аналитики'!AY2475*IF('01_Вводные'!$B$239="Да",MeanMinAge16+'19_Расчет_аналитики'!AY2583*SUMIF(ThresholdAge16,"&lt;"&amp;'19_Расчет_аналитики'!AY2583,WeightedRevAge16)-SUMIF(ThresholdAge16,"&lt;"&amp;'19_Расчет_аналитики'!AY2583,WeightedMinAge16),MAX(CapacityAge16*'01_Вводные'!$B$218*'19_Расчет_аналитики'!AY2583,MeanMinAge16)))</f>
        <v/>
      </c>
      <c r="AZ2503">
        <f>IF(OR('19_Расчет_аналитики'!AZ2475=0,16&lt;='01_Вводные'!$B$297),0,'19_Расчет_аналитики'!AZ2475*IF('01_Вводные'!$B$239="Да",MeanMinAge16+'19_Расчет_аналитики'!AZ2583*SUMIF(ThresholdAge16,"&lt;"&amp;'19_Расчет_аналитики'!AZ2583,WeightedRevAge16)-SUMIF(ThresholdAge16,"&lt;"&amp;'19_Расчет_аналитики'!AZ2583,WeightedMinAge16),MAX(CapacityAge16*'01_Вводные'!$B$218*'19_Расчет_аналитики'!AZ2583,MeanMinAge16)))</f>
        <v/>
      </c>
      <c r="BA2503">
        <f>IF(OR('19_Расчет_аналитики'!BA2475=0,16&lt;='01_Вводные'!$B$297),0,'19_Расчет_аналитики'!BA2475*IF('01_Вводные'!$B$239="Да",MeanMinAge16+'19_Расчет_аналитики'!BA2583*SUMIF(ThresholdAge16,"&lt;"&amp;'19_Расчет_аналитики'!BA2583,WeightedRevAge16)-SUMIF(ThresholdAge16,"&lt;"&amp;'19_Расчет_аналитики'!BA2583,WeightedMinAge16),MAX(CapacityAge16*'01_Вводные'!$B$218*'19_Расчет_аналитики'!BA2583,MeanMinAge16)))</f>
        <v/>
      </c>
      <c r="BB2503">
        <f>IF(OR('19_Расчет_аналитики'!BB2475=0,16&lt;='01_Вводные'!$B$297),0,'19_Расчет_аналитики'!BB2475*IF('01_Вводные'!$B$239="Да",MeanMinAge16+'19_Расчет_аналитики'!BB2583*SUMIF(ThresholdAge16,"&lt;"&amp;'19_Расчет_аналитики'!BB2583,WeightedRevAge16)-SUMIF(ThresholdAge16,"&lt;"&amp;'19_Расчет_аналитики'!BB2583,WeightedMinAge16),MAX(CapacityAge16*'01_Вводные'!$B$218*'19_Расчет_аналитики'!BB2583,MeanMinAge16)))</f>
        <v/>
      </c>
      <c r="BC2503">
        <f>IF(OR('19_Расчет_аналитики'!BC2475=0,16&lt;='01_Вводные'!$B$297),0,'19_Расчет_аналитики'!BC2475*IF('01_Вводные'!$B$239="Да",MeanMinAge16+'19_Расчет_аналитики'!BC2583*SUMIF(ThresholdAge16,"&lt;"&amp;'19_Расчет_аналитики'!BC2583,WeightedRevAge16)-SUMIF(ThresholdAge16,"&lt;"&amp;'19_Расчет_аналитики'!BC2583,WeightedMinAge16),MAX(CapacityAge16*'01_Вводные'!$B$218*'19_Расчет_аналитики'!BC2583,MeanMinAge16)))</f>
        <v/>
      </c>
      <c r="BD2503">
        <f>IF(OR('19_Расчет_аналитики'!BD2475=0,16&lt;='01_Вводные'!$B$297),0,'19_Расчет_аналитики'!BD2475*IF('01_Вводные'!$B$239="Да",MeanMinAge16+'19_Расчет_аналитики'!BD2583*SUMIF(ThresholdAge16,"&lt;"&amp;'19_Расчет_аналитики'!BD2583,WeightedRevAge16)-SUMIF(ThresholdAge16,"&lt;"&amp;'19_Расчет_аналитики'!BD2583,WeightedMinAge16),MAX(CapacityAge16*'01_Вводные'!$B$218*'19_Расчет_аналитики'!BD2583,MeanMinAge16)))</f>
        <v/>
      </c>
      <c r="BE2503">
        <f>IF(OR('19_Расчет_аналитики'!BE2475=0,16&lt;='01_Вводные'!$B$297),0,'19_Расчет_аналитики'!BE2475*IF('01_Вводные'!$B$239="Да",MeanMinAge16+'19_Расчет_аналитики'!BE2583*SUMIF(ThresholdAge16,"&lt;"&amp;'19_Расчет_аналитики'!BE2583,WeightedRevAge16)-SUMIF(ThresholdAge16,"&lt;"&amp;'19_Расчет_аналитики'!BE2583,WeightedMinAge16),MAX(CapacityAge16*'01_Вводные'!$B$218*'19_Расчет_аналитики'!BE2583,MeanMinAge16)))</f>
        <v/>
      </c>
      <c r="BF2503">
        <f>IF(OR('19_Расчет_аналитики'!BF2475=0,16&lt;='01_Вводные'!$B$297),0,'19_Расчет_аналитики'!BF2475*IF('01_Вводные'!$B$239="Да",MeanMinAge16+'19_Расчет_аналитики'!BF2583*SUMIF(ThresholdAge16,"&lt;"&amp;'19_Расчет_аналитики'!BF2583,WeightedRevAge16)-SUMIF(ThresholdAge16,"&lt;"&amp;'19_Расчет_аналитики'!BF2583,WeightedMinAge16),MAX(CapacityAge16*'01_Вводные'!$B$218*'19_Расчет_аналитики'!BF2583,MeanMinAge16)))</f>
        <v/>
      </c>
      <c r="BG2503">
        <f>IF(OR('19_Расчет_аналитики'!BG2475=0,16&lt;='01_Вводные'!$B$297),0,'19_Расчет_аналитики'!BG2475*IF('01_Вводные'!$B$239="Да",MeanMinAge16+'19_Расчет_аналитики'!BG2583*SUMIF(ThresholdAge16,"&lt;"&amp;'19_Расчет_аналитики'!BG2583,WeightedRevAge16)-SUMIF(ThresholdAge16,"&lt;"&amp;'19_Расчет_аналитики'!BG2583,WeightedMinAge16),MAX(CapacityAge16*'01_Вводные'!$B$218*'19_Расчет_аналитики'!BG2583,MeanMinAge16)))</f>
        <v/>
      </c>
      <c r="BH2503">
        <f>IF(OR('19_Расчет_аналитики'!BH2475=0,16&lt;='01_Вводные'!$B$297),0,'19_Расчет_аналитики'!BH2475*IF('01_Вводные'!$B$239="Да",MeanMinAge16+'19_Расчет_аналитики'!BH2583*SUMIF(ThresholdAge16,"&lt;"&amp;'19_Расчет_аналитики'!BH2583,WeightedRevAge16)-SUMIF(ThresholdAge16,"&lt;"&amp;'19_Расчет_аналитики'!BH2583,WeightedMinAge16),MAX(CapacityAge16*'01_Вводные'!$B$218*'19_Расчет_аналитики'!BH2583,MeanMinAge16)))</f>
        <v/>
      </c>
      <c r="BI2503">
        <f>IF(OR('19_Расчет_аналитики'!BI2475=0,16&lt;='01_Вводные'!$B$297),0,'19_Расчет_аналитики'!BI2475*IF('01_Вводные'!$B$239="Да",MeanMinAge16+'19_Расчет_аналитики'!BI2583*SUMIF(ThresholdAge16,"&lt;"&amp;'19_Расчет_аналитики'!BI2583,WeightedRevAge16)-SUMIF(ThresholdAge16,"&lt;"&amp;'19_Расчет_аналитики'!BI2583,WeightedMinAge16),MAX(CapacityAge16*'01_Вводные'!$B$218*'19_Расчет_аналитики'!BI2583,MeanMinAge16)))</f>
        <v/>
      </c>
      <c r="BJ2503">
        <f>IF(OR('19_Расчет_аналитики'!BJ2475=0,16&lt;='01_Вводные'!$B$297),0,'19_Расчет_аналитики'!BJ2475*IF('01_Вводные'!$B$239="Да",MeanMinAge16+'19_Расчет_аналитики'!BJ2583*SUMIF(ThresholdAge16,"&lt;"&amp;'19_Расчет_аналитики'!BJ2583,WeightedRevAge16)-SUMIF(ThresholdAge16,"&lt;"&amp;'19_Расчет_аналитики'!BJ2583,WeightedMinAge16),MAX(CapacityAge16*'01_Вводные'!$B$218*'19_Расчет_аналитики'!BJ2583,MeanMinAge16)))</f>
        <v/>
      </c>
      <c r="BK2503">
        <f>IF(OR('19_Расчет_аналитики'!BK2475=0,16&lt;='01_Вводные'!$B$297),0,'19_Расчет_аналитики'!BK2475*IF('01_Вводные'!$B$239="Да",MeanMinAge16+'19_Расчет_аналитики'!BK2583*SUMIF(ThresholdAge16,"&lt;"&amp;'19_Расчет_аналитики'!BK2583,WeightedRevAge16)-SUMIF(ThresholdAge16,"&lt;"&amp;'19_Расчет_аналитики'!BK2583,WeightedMinAge16),MAX(CapacityAge16*'01_Вводные'!$B$218*'19_Расчет_аналитики'!BK2583,MeanMinAge16)))</f>
        <v/>
      </c>
      <c r="BL2503">
        <f>IF(OR('19_Расчет_аналитики'!BL2475=0,16&lt;='01_Вводные'!$B$297),0,'19_Расчет_аналитики'!BL2475*IF('01_Вводные'!$B$239="Да",MeanMinAge16+'19_Расчет_аналитики'!BL2583*SUMIF(ThresholdAge16,"&lt;"&amp;'19_Расчет_аналитики'!BL2583,WeightedRevAge16)-SUMIF(ThresholdAge16,"&lt;"&amp;'19_Расчет_аналитики'!BL2583,WeightedMinAge16),MAX(CapacityAge16*'01_Вводные'!$B$218*'19_Расчет_аналитики'!BL2583,MeanMinAge16)))</f>
        <v/>
      </c>
      <c r="BM2503">
        <f>IF(OR('19_Расчет_аналитики'!BM2475=0,16&lt;='01_Вводные'!$B$297),0,'19_Расчет_аналитики'!BM2475*IF('01_Вводные'!$B$239="Да",MeanMinAge16+'19_Расчет_аналитики'!BM2583*SUMIF(ThresholdAge16,"&lt;"&amp;'19_Расчет_аналитики'!BM2583,WeightedRevAge16)-SUMIF(ThresholdAge16,"&lt;"&amp;'19_Расчет_аналитики'!BM2583,WeightedMinAge16),MAX(CapacityAge16*'01_Вводные'!$B$218*'19_Расчет_аналитики'!BM2583,MeanMinAge16)))</f>
        <v/>
      </c>
      <c r="BN2503">
        <f>IF(OR('19_Расчет_аналитики'!BN2475=0,16&lt;='01_Вводные'!$B$297),0,'19_Расчет_аналитики'!BN2475*IF('01_Вводные'!$B$239="Да",MeanMinAge16+'19_Расчет_аналитики'!BN2583*SUMIF(ThresholdAge16,"&lt;"&amp;'19_Расчет_аналитики'!BN2583,WeightedRevAge16)-SUMIF(ThresholdAge16,"&lt;"&amp;'19_Расчет_аналитики'!BN2583,WeightedMinAge16),MAX(CapacityAge16*'01_Вводные'!$B$218*'19_Расчет_аналитики'!BN2583,MeanMinAge16)))</f>
        <v/>
      </c>
      <c r="BO2503">
        <f>IF(OR('19_Расчет_аналитики'!BO2475=0,16&lt;='01_Вводные'!$B$297),0,'19_Расчет_аналитики'!BO2475*IF('01_Вводные'!$B$239="Да",MeanMinAge16+'19_Расчет_аналитики'!BO2583*SUMIF(ThresholdAge16,"&lt;"&amp;'19_Расчет_аналитики'!BO2583,WeightedRevAge16)-SUMIF(ThresholdAge16,"&lt;"&amp;'19_Расчет_аналитики'!BO2583,WeightedMinAge16),MAX(CapacityAge16*'01_Вводные'!$B$218*'19_Расчет_аналитики'!BO2583,MeanMinAge16)))</f>
        <v/>
      </c>
    </row>
    <row r="2504">
      <c r="B2504">
        <f>IF(OR('06_Сеть_и_дети'!B97=0,17&lt;='01_Вводные'!$B$297),0,'06_Сеть_и_дети'!B97*IF('01_Вводные'!$B$239="Да",MeanMinAge17+'19_Расчет_аналитики'!B2583*SUMIF(ThresholdAge17,"&lt;"&amp;'19_Расчет_аналитики'!B2583,WeightedRevAge17)-SUMIF(ThresholdAge17,"&lt;"&amp;'19_Расчет_аналитики'!B2583,WeightedMinAge17),MAX(CapacityAge17*'01_Вводные'!$B$218*'19_Расчет_аналитики'!B2583,MeanMinAge17)))</f>
        <v/>
      </c>
      <c r="C2504">
        <f>IF(OR('06_Сеть_и_дети'!C97=0,17&lt;='01_Вводные'!$B$297),0,'06_Сеть_и_дети'!C97*IF('01_Вводные'!$B$239="Да",MeanMinAge17+'19_Расчет_аналитики'!C2583*SUMIF(ThresholdAge17,"&lt;"&amp;'19_Расчет_аналитики'!C2583,WeightedRevAge17)-SUMIF(ThresholdAge17,"&lt;"&amp;'19_Расчет_аналитики'!C2583,WeightedMinAge17),MAX(CapacityAge17*'01_Вводные'!$B$218*'19_Расчет_аналитики'!C2583,MeanMinAge17)))</f>
        <v/>
      </c>
      <c r="D2504">
        <f>IF(OR('06_Сеть_и_дети'!D97=0,17&lt;='01_Вводные'!$B$297),0,'06_Сеть_и_дети'!D97*IF('01_Вводные'!$B$239="Да",MeanMinAge17+'19_Расчет_аналитики'!D2583*SUMIF(ThresholdAge17,"&lt;"&amp;'19_Расчет_аналитики'!D2583,WeightedRevAge17)-SUMIF(ThresholdAge17,"&lt;"&amp;'19_Расчет_аналитики'!D2583,WeightedMinAge17),MAX(CapacityAge17*'01_Вводные'!$B$218*'19_Расчет_аналитики'!D2583,MeanMinAge17)))</f>
        <v/>
      </c>
      <c r="E2504">
        <f>IF(OR('06_Сеть_и_дети'!E97=0,17&lt;='01_Вводные'!$B$297),0,'06_Сеть_и_дети'!E97*IF('01_Вводные'!$B$239="Да",MeanMinAge17+'19_Расчет_аналитики'!E2583*SUMIF(ThresholdAge17,"&lt;"&amp;'19_Расчет_аналитики'!E2583,WeightedRevAge17)-SUMIF(ThresholdAge17,"&lt;"&amp;'19_Расчет_аналитики'!E2583,WeightedMinAge17),MAX(CapacityAge17*'01_Вводные'!$B$218*'19_Расчет_аналитики'!E2583,MeanMinAge17)))</f>
        <v/>
      </c>
      <c r="F2504">
        <f>IF(OR('06_Сеть_и_дети'!F97=0,17&lt;='01_Вводные'!$B$297),0,'06_Сеть_и_дети'!F97*IF('01_Вводные'!$B$239="Да",MeanMinAge17+'19_Расчет_аналитики'!F2583*SUMIF(ThresholdAge17,"&lt;"&amp;'19_Расчет_аналитики'!F2583,WeightedRevAge17)-SUMIF(ThresholdAge17,"&lt;"&amp;'19_Расчет_аналитики'!F2583,WeightedMinAge17),MAX(CapacityAge17*'01_Вводные'!$B$218*'19_Расчет_аналитики'!F2583,MeanMinAge17)))</f>
        <v/>
      </c>
      <c r="G2504">
        <f>IF(OR('06_Сеть_и_дети'!G97=0,17&lt;='01_Вводные'!$B$297),0,'06_Сеть_и_дети'!G97*IF('01_Вводные'!$B$239="Да",MeanMinAge17+'19_Расчет_аналитики'!G2583*SUMIF(ThresholdAge17,"&lt;"&amp;'19_Расчет_аналитики'!G2583,WeightedRevAge17)-SUMIF(ThresholdAge17,"&lt;"&amp;'19_Расчет_аналитики'!G2583,WeightedMinAge17),MAX(CapacityAge17*'01_Вводные'!$B$218*'19_Расчет_аналитики'!G2583,MeanMinAge17)))</f>
        <v/>
      </c>
      <c r="H2504">
        <f>IF(OR('06_Сеть_и_дети'!H97=0,17&lt;='01_Вводные'!$B$297),0,'06_Сеть_и_дети'!H97*IF('01_Вводные'!$B$239="Да",MeanMinAge17+'19_Расчет_аналитики'!H2583*SUMIF(ThresholdAge17,"&lt;"&amp;'19_Расчет_аналитики'!H2583,WeightedRevAge17)-SUMIF(ThresholdAge17,"&lt;"&amp;'19_Расчет_аналитики'!H2583,WeightedMinAge17),MAX(CapacityAge17*'01_Вводные'!$B$218*'19_Расчет_аналитики'!H2583,MeanMinAge17)))</f>
        <v/>
      </c>
      <c r="I2504">
        <f>IF(OR('06_Сеть_и_дети'!I97=0,17&lt;='01_Вводные'!$B$297),0,'06_Сеть_и_дети'!I97*IF('01_Вводные'!$B$239="Да",MeanMinAge17+'19_Расчет_аналитики'!I2583*SUMIF(ThresholdAge17,"&lt;"&amp;'19_Расчет_аналитики'!I2583,WeightedRevAge17)-SUMIF(ThresholdAge17,"&lt;"&amp;'19_Расчет_аналитики'!I2583,WeightedMinAge17),MAX(CapacityAge17*'01_Вводные'!$B$218*'19_Расчет_аналитики'!I2583,MeanMinAge17)))</f>
        <v/>
      </c>
      <c r="J2504">
        <f>IF(OR('06_Сеть_и_дети'!J97=0,17&lt;='01_Вводные'!$B$297),0,'06_Сеть_и_дети'!J97*IF('01_Вводные'!$B$239="Да",MeanMinAge17+'19_Расчет_аналитики'!J2583*SUMIF(ThresholdAge17,"&lt;"&amp;'19_Расчет_аналитики'!J2583,WeightedRevAge17)-SUMIF(ThresholdAge17,"&lt;"&amp;'19_Расчет_аналитики'!J2583,WeightedMinAge17),MAX(CapacityAge17*'01_Вводные'!$B$218*'19_Расчет_аналитики'!J2583,MeanMinAge17)))</f>
        <v/>
      </c>
      <c r="K2504">
        <f>IF(OR('06_Сеть_и_дети'!K97=0,17&lt;='01_Вводные'!$B$297),0,'06_Сеть_и_дети'!K97*IF('01_Вводные'!$B$239="Да",MeanMinAge17+'19_Расчет_аналитики'!K2583*SUMIF(ThresholdAge17,"&lt;"&amp;'19_Расчет_аналитики'!K2583,WeightedRevAge17)-SUMIF(ThresholdAge17,"&lt;"&amp;'19_Расчет_аналитики'!K2583,WeightedMinAge17),MAX(CapacityAge17*'01_Вводные'!$B$218*'19_Расчет_аналитики'!K2583,MeanMinAge17)))</f>
        <v/>
      </c>
      <c r="L2504">
        <f>IF(OR('06_Сеть_и_дети'!L97=0,17&lt;='01_Вводные'!$B$297),0,'06_Сеть_и_дети'!L97*IF('01_Вводные'!$B$239="Да",MeanMinAge17+'19_Расчет_аналитики'!L2583*SUMIF(ThresholdAge17,"&lt;"&amp;'19_Расчет_аналитики'!L2583,WeightedRevAge17)-SUMIF(ThresholdAge17,"&lt;"&amp;'19_Расчет_аналитики'!L2583,WeightedMinAge17),MAX(CapacityAge17*'01_Вводные'!$B$218*'19_Расчет_аналитики'!L2583,MeanMinAge17)))</f>
        <v/>
      </c>
      <c r="M2504">
        <f>IF(OR('06_Сеть_и_дети'!M97=0,17&lt;='01_Вводные'!$B$297),0,'06_Сеть_и_дети'!M97*IF('01_Вводные'!$B$239="Да",MeanMinAge17+'19_Расчет_аналитики'!M2583*SUMIF(ThresholdAge17,"&lt;"&amp;'19_Расчет_аналитики'!M2583,WeightedRevAge17)-SUMIF(ThresholdAge17,"&lt;"&amp;'19_Расчет_аналитики'!M2583,WeightedMinAge17),MAX(CapacityAge17*'01_Вводные'!$B$218*'19_Расчет_аналитики'!M2583,MeanMinAge17)))</f>
        <v/>
      </c>
      <c r="N2504">
        <f>IF(OR('06_Сеть_и_дети'!N97=0,17&lt;='01_Вводные'!$B$297),0,'06_Сеть_и_дети'!N97*IF('01_Вводные'!$B$239="Да",MeanMinAge17+'19_Расчет_аналитики'!N2583*SUMIF(ThresholdAge17,"&lt;"&amp;'19_Расчет_аналитики'!N2583,WeightedRevAge17)-SUMIF(ThresholdAge17,"&lt;"&amp;'19_Расчет_аналитики'!N2583,WeightedMinAge17),MAX(CapacityAge17*'01_Вводные'!$B$218*'19_Расчет_аналитики'!N2583,MeanMinAge17)))</f>
        <v/>
      </c>
      <c r="O2504">
        <f>IF(OR('06_Сеть_и_дети'!O97=0,17&lt;='01_Вводные'!$B$297),0,'06_Сеть_и_дети'!O97*IF('01_Вводные'!$B$239="Да",MeanMinAge17+'19_Расчет_аналитики'!O2583*SUMIF(ThresholdAge17,"&lt;"&amp;'19_Расчет_аналитики'!O2583,WeightedRevAge17)-SUMIF(ThresholdAge17,"&lt;"&amp;'19_Расчет_аналитики'!O2583,WeightedMinAge17),MAX(CapacityAge17*'01_Вводные'!$B$218*'19_Расчет_аналитики'!O2583,MeanMinAge17)))</f>
        <v/>
      </c>
      <c r="P2504">
        <f>IF(OR('06_Сеть_и_дети'!P97=0,17&lt;='01_Вводные'!$B$297),0,'06_Сеть_и_дети'!P97*IF('01_Вводные'!$B$239="Да",MeanMinAge17+'19_Расчет_аналитики'!P2583*SUMIF(ThresholdAge17,"&lt;"&amp;'19_Расчет_аналитики'!P2583,WeightedRevAge17)-SUMIF(ThresholdAge17,"&lt;"&amp;'19_Расчет_аналитики'!P2583,WeightedMinAge17),MAX(CapacityAge17*'01_Вводные'!$B$218*'19_Расчет_аналитики'!P2583,MeanMinAge17)))</f>
        <v/>
      </c>
      <c r="Q2504">
        <f>IF(OR('06_Сеть_и_дети'!Q97=0,17&lt;='01_Вводные'!$B$297),0,'06_Сеть_и_дети'!Q97*IF('01_Вводные'!$B$239="Да",MeanMinAge17+'19_Расчет_аналитики'!Q2583*SUMIF(ThresholdAge17,"&lt;"&amp;'19_Расчет_аналитики'!Q2583,WeightedRevAge17)-SUMIF(ThresholdAge17,"&lt;"&amp;'19_Расчет_аналитики'!Q2583,WeightedMinAge17),MAX(CapacityAge17*'01_Вводные'!$B$218*'19_Расчет_аналитики'!Q2583,MeanMinAge17)))</f>
        <v/>
      </c>
      <c r="R2504">
        <f>IF(OR('19_Расчет_аналитики'!R2476=0,17&lt;='01_Вводные'!$B$297),0,'19_Расчет_аналитики'!R2476*IF('01_Вводные'!$B$239="Да",MeanMinAge17+'19_Расчет_аналитики'!R2583*SUMIF(ThresholdAge17,"&lt;"&amp;'19_Расчет_аналитики'!R2583,WeightedRevAge17)-SUMIF(ThresholdAge17,"&lt;"&amp;'19_Расчет_аналитики'!R2583,WeightedMinAge17),MAX(CapacityAge17*'01_Вводные'!$B$218*'19_Расчет_аналитики'!R2583,MeanMinAge17)))</f>
        <v/>
      </c>
      <c r="S2504">
        <f>IF(OR('19_Расчет_аналитики'!S2476=0,17&lt;='01_Вводные'!$B$297),0,'19_Расчет_аналитики'!S2476*IF('01_Вводные'!$B$239="Да",MeanMinAge17+'19_Расчет_аналитики'!S2583*SUMIF(ThresholdAge17,"&lt;"&amp;'19_Расчет_аналитики'!S2583,WeightedRevAge17)-SUMIF(ThresholdAge17,"&lt;"&amp;'19_Расчет_аналитики'!S2583,WeightedMinAge17),MAX(CapacityAge17*'01_Вводные'!$B$218*'19_Расчет_аналитики'!S2583,MeanMinAge17)))</f>
        <v/>
      </c>
      <c r="T2504">
        <f>IF(OR('19_Расчет_аналитики'!T2476=0,17&lt;='01_Вводные'!$B$297),0,'19_Расчет_аналитики'!T2476*IF('01_Вводные'!$B$239="Да",MeanMinAge17+'19_Расчет_аналитики'!T2583*SUMIF(ThresholdAge17,"&lt;"&amp;'19_Расчет_аналитики'!T2583,WeightedRevAge17)-SUMIF(ThresholdAge17,"&lt;"&amp;'19_Расчет_аналитики'!T2583,WeightedMinAge17),MAX(CapacityAge17*'01_Вводные'!$B$218*'19_Расчет_аналитики'!T2583,MeanMinAge17)))</f>
        <v/>
      </c>
      <c r="U2504">
        <f>IF(OR('19_Расчет_аналитики'!U2476=0,17&lt;='01_Вводные'!$B$297),0,'19_Расчет_аналитики'!U2476*IF('01_Вводные'!$B$239="Да",MeanMinAge17+'19_Расчет_аналитики'!U2583*SUMIF(ThresholdAge17,"&lt;"&amp;'19_Расчет_аналитики'!U2583,WeightedRevAge17)-SUMIF(ThresholdAge17,"&lt;"&amp;'19_Расчет_аналитики'!U2583,WeightedMinAge17),MAX(CapacityAge17*'01_Вводные'!$B$218*'19_Расчет_аналитики'!U2583,MeanMinAge17)))</f>
        <v/>
      </c>
      <c r="V2504">
        <f>IF(OR('19_Расчет_аналитики'!V2476=0,17&lt;='01_Вводные'!$B$297),0,'19_Расчет_аналитики'!V2476*IF('01_Вводные'!$B$239="Да",MeanMinAge17+'19_Расчет_аналитики'!V2583*SUMIF(ThresholdAge17,"&lt;"&amp;'19_Расчет_аналитики'!V2583,WeightedRevAge17)-SUMIF(ThresholdAge17,"&lt;"&amp;'19_Расчет_аналитики'!V2583,WeightedMinAge17),MAX(CapacityAge17*'01_Вводные'!$B$218*'19_Расчет_аналитики'!V2583,MeanMinAge17)))</f>
        <v/>
      </c>
      <c r="W2504">
        <f>IF(OR('19_Расчет_аналитики'!W2476=0,17&lt;='01_Вводные'!$B$297),0,'19_Расчет_аналитики'!W2476*IF('01_Вводные'!$B$239="Да",MeanMinAge17+'19_Расчет_аналитики'!W2583*SUMIF(ThresholdAge17,"&lt;"&amp;'19_Расчет_аналитики'!W2583,WeightedRevAge17)-SUMIF(ThresholdAge17,"&lt;"&amp;'19_Расчет_аналитики'!W2583,WeightedMinAge17),MAX(CapacityAge17*'01_Вводные'!$B$218*'19_Расчет_аналитики'!W2583,MeanMinAge17)))</f>
        <v/>
      </c>
      <c r="X2504">
        <f>IF(OR('19_Расчет_аналитики'!X2476=0,17&lt;='01_Вводные'!$B$297),0,'19_Расчет_аналитики'!X2476*IF('01_Вводные'!$B$239="Да",MeanMinAge17+'19_Расчет_аналитики'!X2583*SUMIF(ThresholdAge17,"&lt;"&amp;'19_Расчет_аналитики'!X2583,WeightedRevAge17)-SUMIF(ThresholdAge17,"&lt;"&amp;'19_Расчет_аналитики'!X2583,WeightedMinAge17),MAX(CapacityAge17*'01_Вводные'!$B$218*'19_Расчет_аналитики'!X2583,MeanMinAge17)))</f>
        <v/>
      </c>
      <c r="Y2504">
        <f>IF(OR('19_Расчет_аналитики'!Y2476=0,17&lt;='01_Вводные'!$B$297),0,'19_Расчет_аналитики'!Y2476*IF('01_Вводные'!$B$239="Да",MeanMinAge17+'19_Расчет_аналитики'!Y2583*SUMIF(ThresholdAge17,"&lt;"&amp;'19_Расчет_аналитики'!Y2583,WeightedRevAge17)-SUMIF(ThresholdAge17,"&lt;"&amp;'19_Расчет_аналитики'!Y2583,WeightedMinAge17),MAX(CapacityAge17*'01_Вводные'!$B$218*'19_Расчет_аналитики'!Y2583,MeanMinAge17)))</f>
        <v/>
      </c>
      <c r="Z2504">
        <f>IF(OR('19_Расчет_аналитики'!Z2476=0,17&lt;='01_Вводные'!$B$297),0,'19_Расчет_аналитики'!Z2476*IF('01_Вводные'!$B$239="Да",MeanMinAge17+'19_Расчет_аналитики'!Z2583*SUMIF(ThresholdAge17,"&lt;"&amp;'19_Расчет_аналитики'!Z2583,WeightedRevAge17)-SUMIF(ThresholdAge17,"&lt;"&amp;'19_Расчет_аналитики'!Z2583,WeightedMinAge17),MAX(CapacityAge17*'01_Вводные'!$B$218*'19_Расчет_аналитики'!Z2583,MeanMinAge17)))</f>
        <v/>
      </c>
      <c r="AA2504">
        <f>IF(OR('19_Расчет_аналитики'!AA2476=0,17&lt;='01_Вводные'!$B$297),0,'19_Расчет_аналитики'!AA2476*IF('01_Вводные'!$B$239="Да",MeanMinAge17+'19_Расчет_аналитики'!AA2583*SUMIF(ThresholdAge17,"&lt;"&amp;'19_Расчет_аналитики'!AA2583,WeightedRevAge17)-SUMIF(ThresholdAge17,"&lt;"&amp;'19_Расчет_аналитики'!AA2583,WeightedMinAge17),MAX(CapacityAge17*'01_Вводные'!$B$218*'19_Расчет_аналитики'!AA2583,MeanMinAge17)))</f>
        <v/>
      </c>
      <c r="AB2504">
        <f>IF(OR('19_Расчет_аналитики'!AB2476=0,17&lt;='01_Вводные'!$B$297),0,'19_Расчет_аналитики'!AB2476*IF('01_Вводные'!$B$239="Да",MeanMinAge17+'19_Расчет_аналитики'!AB2583*SUMIF(ThresholdAge17,"&lt;"&amp;'19_Расчет_аналитики'!AB2583,WeightedRevAge17)-SUMIF(ThresholdAge17,"&lt;"&amp;'19_Расчет_аналитики'!AB2583,WeightedMinAge17),MAX(CapacityAge17*'01_Вводные'!$B$218*'19_Расчет_аналитики'!AB2583,MeanMinAge17)))</f>
        <v/>
      </c>
      <c r="AC2504">
        <f>IF(OR('19_Расчет_аналитики'!AC2476=0,17&lt;='01_Вводные'!$B$297),0,'19_Расчет_аналитики'!AC2476*IF('01_Вводные'!$B$239="Да",MeanMinAge17+'19_Расчет_аналитики'!AC2583*SUMIF(ThresholdAge17,"&lt;"&amp;'19_Расчет_аналитики'!AC2583,WeightedRevAge17)-SUMIF(ThresholdAge17,"&lt;"&amp;'19_Расчет_аналитики'!AC2583,WeightedMinAge17),MAX(CapacityAge17*'01_Вводные'!$B$218*'19_Расчет_аналитики'!AC2583,MeanMinAge17)))</f>
        <v/>
      </c>
      <c r="AD2504">
        <f>IF(OR('19_Расчет_аналитики'!AD2476=0,17&lt;='01_Вводные'!$B$297),0,'19_Расчет_аналитики'!AD2476*IF('01_Вводные'!$B$239="Да",MeanMinAge17+'19_Расчет_аналитики'!AD2583*SUMIF(ThresholdAge17,"&lt;"&amp;'19_Расчет_аналитики'!AD2583,WeightedRevAge17)-SUMIF(ThresholdAge17,"&lt;"&amp;'19_Расчет_аналитики'!AD2583,WeightedMinAge17),MAX(CapacityAge17*'01_Вводные'!$B$218*'19_Расчет_аналитики'!AD2583,MeanMinAge17)))</f>
        <v/>
      </c>
      <c r="AE2504">
        <f>IF(OR('19_Расчет_аналитики'!AE2476=0,17&lt;='01_Вводные'!$B$297),0,'19_Расчет_аналитики'!AE2476*IF('01_Вводные'!$B$239="Да",MeanMinAge17+'19_Расчет_аналитики'!AE2583*SUMIF(ThresholdAge17,"&lt;"&amp;'19_Расчет_аналитики'!AE2583,WeightedRevAge17)-SUMIF(ThresholdAge17,"&lt;"&amp;'19_Расчет_аналитики'!AE2583,WeightedMinAge17),MAX(CapacityAge17*'01_Вводные'!$B$218*'19_Расчет_аналитики'!AE2583,MeanMinAge17)))</f>
        <v/>
      </c>
      <c r="AF2504">
        <f>IF(OR('19_Расчет_аналитики'!AF2476=0,17&lt;='01_Вводные'!$B$297),0,'19_Расчет_аналитики'!AF2476*IF('01_Вводные'!$B$239="Да",MeanMinAge17+'19_Расчет_аналитики'!AF2583*SUMIF(ThresholdAge17,"&lt;"&amp;'19_Расчет_аналитики'!AF2583,WeightedRevAge17)-SUMIF(ThresholdAge17,"&lt;"&amp;'19_Расчет_аналитики'!AF2583,WeightedMinAge17),MAX(CapacityAge17*'01_Вводные'!$B$218*'19_Расчет_аналитики'!AF2583,MeanMinAge17)))</f>
        <v/>
      </c>
      <c r="AG2504">
        <f>IF(OR('19_Расчет_аналитики'!AG2476=0,17&lt;='01_Вводные'!$B$297),0,'19_Расчет_аналитики'!AG2476*IF('01_Вводные'!$B$239="Да",MeanMinAge17+'19_Расчет_аналитики'!AG2583*SUMIF(ThresholdAge17,"&lt;"&amp;'19_Расчет_аналитики'!AG2583,WeightedRevAge17)-SUMIF(ThresholdAge17,"&lt;"&amp;'19_Расчет_аналитики'!AG2583,WeightedMinAge17),MAX(CapacityAge17*'01_Вводные'!$B$218*'19_Расчет_аналитики'!AG2583,MeanMinAge17)))</f>
        <v/>
      </c>
      <c r="AH2504">
        <f>IF(OR('19_Расчет_аналитики'!AH2476=0,17&lt;='01_Вводные'!$B$297),0,'19_Расчет_аналитики'!AH2476*IF('01_Вводные'!$B$239="Да",MeanMinAge17+'19_Расчет_аналитики'!AH2583*SUMIF(ThresholdAge17,"&lt;"&amp;'19_Расчет_аналитики'!AH2583,WeightedRevAge17)-SUMIF(ThresholdAge17,"&lt;"&amp;'19_Расчет_аналитики'!AH2583,WeightedMinAge17),MAX(CapacityAge17*'01_Вводные'!$B$218*'19_Расчет_аналитики'!AH2583,MeanMinAge17)))</f>
        <v/>
      </c>
      <c r="AI2504">
        <f>IF(OR('19_Расчет_аналитики'!AI2476=0,17&lt;='01_Вводные'!$B$297),0,'19_Расчет_аналитики'!AI2476*IF('01_Вводные'!$B$239="Да",MeanMinAge17+'19_Расчет_аналитики'!AI2583*SUMIF(ThresholdAge17,"&lt;"&amp;'19_Расчет_аналитики'!AI2583,WeightedRevAge17)-SUMIF(ThresholdAge17,"&lt;"&amp;'19_Расчет_аналитики'!AI2583,WeightedMinAge17),MAX(CapacityAge17*'01_Вводные'!$B$218*'19_Расчет_аналитики'!AI2583,MeanMinAge17)))</f>
        <v/>
      </c>
      <c r="AJ2504">
        <f>IF(OR('19_Расчет_аналитики'!AJ2476=0,17&lt;='01_Вводные'!$B$297),0,'19_Расчет_аналитики'!AJ2476*IF('01_Вводные'!$B$239="Да",MeanMinAge17+'19_Расчет_аналитики'!AJ2583*SUMIF(ThresholdAge17,"&lt;"&amp;'19_Расчет_аналитики'!AJ2583,WeightedRevAge17)-SUMIF(ThresholdAge17,"&lt;"&amp;'19_Расчет_аналитики'!AJ2583,WeightedMinAge17),MAX(CapacityAge17*'01_Вводные'!$B$218*'19_Расчет_аналитики'!AJ2583,MeanMinAge17)))</f>
        <v/>
      </c>
      <c r="AK2504">
        <f>IF(OR('19_Расчет_аналитики'!AK2476=0,17&lt;='01_Вводные'!$B$297),0,'19_Расчет_аналитики'!AK2476*IF('01_Вводные'!$B$239="Да",MeanMinAge17+'19_Расчет_аналитики'!AK2583*SUMIF(ThresholdAge17,"&lt;"&amp;'19_Расчет_аналитики'!AK2583,WeightedRevAge17)-SUMIF(ThresholdAge17,"&lt;"&amp;'19_Расчет_аналитики'!AK2583,WeightedMinAge17),MAX(CapacityAge17*'01_Вводные'!$B$218*'19_Расчет_аналитики'!AK2583,MeanMinAge17)))</f>
        <v/>
      </c>
      <c r="AL2504">
        <f>IF(OR('19_Расчет_аналитики'!AL2476=0,17&lt;='01_Вводные'!$B$297),0,'19_Расчет_аналитики'!AL2476*IF('01_Вводные'!$B$239="Да",MeanMinAge17+'19_Расчет_аналитики'!AL2583*SUMIF(ThresholdAge17,"&lt;"&amp;'19_Расчет_аналитики'!AL2583,WeightedRevAge17)-SUMIF(ThresholdAge17,"&lt;"&amp;'19_Расчет_аналитики'!AL2583,WeightedMinAge17),MAX(CapacityAge17*'01_Вводные'!$B$218*'19_Расчет_аналитики'!AL2583,MeanMinAge17)))</f>
        <v/>
      </c>
      <c r="AM2504">
        <f>IF(OR('19_Расчет_аналитики'!AM2476=0,17&lt;='01_Вводные'!$B$297),0,'19_Расчет_аналитики'!AM2476*IF('01_Вводные'!$B$239="Да",MeanMinAge17+'19_Расчет_аналитики'!AM2583*SUMIF(ThresholdAge17,"&lt;"&amp;'19_Расчет_аналитики'!AM2583,WeightedRevAge17)-SUMIF(ThresholdAge17,"&lt;"&amp;'19_Расчет_аналитики'!AM2583,WeightedMinAge17),MAX(CapacityAge17*'01_Вводные'!$B$218*'19_Расчет_аналитики'!AM2583,MeanMinAge17)))</f>
        <v/>
      </c>
      <c r="AN2504">
        <f>IF(OR('19_Расчет_аналитики'!AN2476=0,17&lt;='01_Вводные'!$B$297),0,'19_Расчет_аналитики'!AN2476*IF('01_Вводные'!$B$239="Да",MeanMinAge17+'19_Расчет_аналитики'!AN2583*SUMIF(ThresholdAge17,"&lt;"&amp;'19_Расчет_аналитики'!AN2583,WeightedRevAge17)-SUMIF(ThresholdAge17,"&lt;"&amp;'19_Расчет_аналитики'!AN2583,WeightedMinAge17),MAX(CapacityAge17*'01_Вводные'!$B$218*'19_Расчет_аналитики'!AN2583,MeanMinAge17)))</f>
        <v/>
      </c>
      <c r="AO2504">
        <f>IF(OR('19_Расчет_аналитики'!AO2476=0,17&lt;='01_Вводные'!$B$297),0,'19_Расчет_аналитики'!AO2476*IF('01_Вводные'!$B$239="Да",MeanMinAge17+'19_Расчет_аналитики'!AO2583*SUMIF(ThresholdAge17,"&lt;"&amp;'19_Расчет_аналитики'!AO2583,WeightedRevAge17)-SUMIF(ThresholdAge17,"&lt;"&amp;'19_Расчет_аналитики'!AO2583,WeightedMinAge17),MAX(CapacityAge17*'01_Вводные'!$B$218*'19_Расчет_аналитики'!AO2583,MeanMinAge17)))</f>
        <v/>
      </c>
      <c r="AP2504">
        <f>IF(OR('19_Расчет_аналитики'!AP2476=0,17&lt;='01_Вводные'!$B$297),0,'19_Расчет_аналитики'!AP2476*IF('01_Вводные'!$B$239="Да",MeanMinAge17+'19_Расчет_аналитики'!AP2583*SUMIF(ThresholdAge17,"&lt;"&amp;'19_Расчет_аналитики'!AP2583,WeightedRevAge17)-SUMIF(ThresholdAge17,"&lt;"&amp;'19_Расчет_аналитики'!AP2583,WeightedMinAge17),MAX(CapacityAge17*'01_Вводные'!$B$218*'19_Расчет_аналитики'!AP2583,MeanMinAge17)))</f>
        <v/>
      </c>
      <c r="AQ2504">
        <f>IF(OR('19_Расчет_аналитики'!AQ2476=0,17&lt;='01_Вводные'!$B$297),0,'19_Расчет_аналитики'!AQ2476*IF('01_Вводные'!$B$239="Да",MeanMinAge17+'19_Расчет_аналитики'!AQ2583*SUMIF(ThresholdAge17,"&lt;"&amp;'19_Расчет_аналитики'!AQ2583,WeightedRevAge17)-SUMIF(ThresholdAge17,"&lt;"&amp;'19_Расчет_аналитики'!AQ2583,WeightedMinAge17),MAX(CapacityAge17*'01_Вводные'!$B$218*'19_Расчет_аналитики'!AQ2583,MeanMinAge17)))</f>
        <v/>
      </c>
      <c r="AR2504">
        <f>IF(OR('19_Расчет_аналитики'!AR2476=0,17&lt;='01_Вводные'!$B$297),0,'19_Расчет_аналитики'!AR2476*IF('01_Вводные'!$B$239="Да",MeanMinAge17+'19_Расчет_аналитики'!AR2583*SUMIF(ThresholdAge17,"&lt;"&amp;'19_Расчет_аналитики'!AR2583,WeightedRevAge17)-SUMIF(ThresholdAge17,"&lt;"&amp;'19_Расчет_аналитики'!AR2583,WeightedMinAge17),MAX(CapacityAge17*'01_Вводные'!$B$218*'19_Расчет_аналитики'!AR2583,MeanMinAge17)))</f>
        <v/>
      </c>
      <c r="AS2504">
        <f>IF(OR('19_Расчет_аналитики'!AS2476=0,17&lt;='01_Вводные'!$B$297),0,'19_Расчет_аналитики'!AS2476*IF('01_Вводные'!$B$239="Да",MeanMinAge17+'19_Расчет_аналитики'!AS2583*SUMIF(ThresholdAge17,"&lt;"&amp;'19_Расчет_аналитики'!AS2583,WeightedRevAge17)-SUMIF(ThresholdAge17,"&lt;"&amp;'19_Расчет_аналитики'!AS2583,WeightedMinAge17),MAX(CapacityAge17*'01_Вводные'!$B$218*'19_Расчет_аналитики'!AS2583,MeanMinAge17)))</f>
        <v/>
      </c>
      <c r="AT2504">
        <f>IF(OR('19_Расчет_аналитики'!AT2476=0,17&lt;='01_Вводные'!$B$297),0,'19_Расчет_аналитики'!AT2476*IF('01_Вводные'!$B$239="Да",MeanMinAge17+'19_Расчет_аналитики'!AT2583*SUMIF(ThresholdAge17,"&lt;"&amp;'19_Расчет_аналитики'!AT2583,WeightedRevAge17)-SUMIF(ThresholdAge17,"&lt;"&amp;'19_Расчет_аналитики'!AT2583,WeightedMinAge17),MAX(CapacityAge17*'01_Вводные'!$B$218*'19_Расчет_аналитики'!AT2583,MeanMinAge17)))</f>
        <v/>
      </c>
      <c r="AU2504">
        <f>IF(OR('19_Расчет_аналитики'!AU2476=0,17&lt;='01_Вводные'!$B$297),0,'19_Расчет_аналитики'!AU2476*IF('01_Вводные'!$B$239="Да",MeanMinAge17+'19_Расчет_аналитики'!AU2583*SUMIF(ThresholdAge17,"&lt;"&amp;'19_Расчет_аналитики'!AU2583,WeightedRevAge17)-SUMIF(ThresholdAge17,"&lt;"&amp;'19_Расчет_аналитики'!AU2583,WeightedMinAge17),MAX(CapacityAge17*'01_Вводные'!$B$218*'19_Расчет_аналитики'!AU2583,MeanMinAge17)))</f>
        <v/>
      </c>
      <c r="AV2504">
        <f>IF(OR('19_Расчет_аналитики'!AV2476=0,17&lt;='01_Вводные'!$B$297),0,'19_Расчет_аналитики'!AV2476*IF('01_Вводные'!$B$239="Да",MeanMinAge17+'19_Расчет_аналитики'!AV2583*SUMIF(ThresholdAge17,"&lt;"&amp;'19_Расчет_аналитики'!AV2583,WeightedRevAge17)-SUMIF(ThresholdAge17,"&lt;"&amp;'19_Расчет_аналитики'!AV2583,WeightedMinAge17),MAX(CapacityAge17*'01_Вводные'!$B$218*'19_Расчет_аналитики'!AV2583,MeanMinAge17)))</f>
        <v/>
      </c>
      <c r="AW2504">
        <f>IF(OR('19_Расчет_аналитики'!AW2476=0,17&lt;='01_Вводные'!$B$297),0,'19_Расчет_аналитики'!AW2476*IF('01_Вводные'!$B$239="Да",MeanMinAge17+'19_Расчет_аналитики'!AW2583*SUMIF(ThresholdAge17,"&lt;"&amp;'19_Расчет_аналитики'!AW2583,WeightedRevAge17)-SUMIF(ThresholdAge17,"&lt;"&amp;'19_Расчет_аналитики'!AW2583,WeightedMinAge17),MAX(CapacityAge17*'01_Вводные'!$B$218*'19_Расчет_аналитики'!AW2583,MeanMinAge17)))</f>
        <v/>
      </c>
      <c r="AX2504">
        <f>IF(OR('19_Расчет_аналитики'!AX2476=0,17&lt;='01_Вводные'!$B$297),0,'19_Расчет_аналитики'!AX2476*IF('01_Вводные'!$B$239="Да",MeanMinAge17+'19_Расчет_аналитики'!AX2583*SUMIF(ThresholdAge17,"&lt;"&amp;'19_Расчет_аналитики'!AX2583,WeightedRevAge17)-SUMIF(ThresholdAge17,"&lt;"&amp;'19_Расчет_аналитики'!AX2583,WeightedMinAge17),MAX(CapacityAge17*'01_Вводные'!$B$218*'19_Расчет_аналитики'!AX2583,MeanMinAge17)))</f>
        <v/>
      </c>
      <c r="AY2504">
        <f>IF(OR('19_Расчет_аналитики'!AY2476=0,17&lt;='01_Вводные'!$B$297),0,'19_Расчет_аналитики'!AY2476*IF('01_Вводные'!$B$239="Да",MeanMinAge17+'19_Расчет_аналитики'!AY2583*SUMIF(ThresholdAge17,"&lt;"&amp;'19_Расчет_аналитики'!AY2583,WeightedRevAge17)-SUMIF(ThresholdAge17,"&lt;"&amp;'19_Расчет_аналитики'!AY2583,WeightedMinAge17),MAX(CapacityAge17*'01_Вводные'!$B$218*'19_Расчет_аналитики'!AY2583,MeanMinAge17)))</f>
        <v/>
      </c>
      <c r="AZ2504">
        <f>IF(OR('19_Расчет_аналитики'!AZ2476=0,17&lt;='01_Вводные'!$B$297),0,'19_Расчет_аналитики'!AZ2476*IF('01_Вводные'!$B$239="Да",MeanMinAge17+'19_Расчет_аналитики'!AZ2583*SUMIF(ThresholdAge17,"&lt;"&amp;'19_Расчет_аналитики'!AZ2583,WeightedRevAge17)-SUMIF(ThresholdAge17,"&lt;"&amp;'19_Расчет_аналитики'!AZ2583,WeightedMinAge17),MAX(CapacityAge17*'01_Вводные'!$B$218*'19_Расчет_аналитики'!AZ2583,MeanMinAge17)))</f>
        <v/>
      </c>
      <c r="BA2504">
        <f>IF(OR('19_Расчет_аналитики'!BA2476=0,17&lt;='01_Вводные'!$B$297),0,'19_Расчет_аналитики'!BA2476*IF('01_Вводные'!$B$239="Да",MeanMinAge17+'19_Расчет_аналитики'!BA2583*SUMIF(ThresholdAge17,"&lt;"&amp;'19_Расчет_аналитики'!BA2583,WeightedRevAge17)-SUMIF(ThresholdAge17,"&lt;"&amp;'19_Расчет_аналитики'!BA2583,WeightedMinAge17),MAX(CapacityAge17*'01_Вводные'!$B$218*'19_Расчет_аналитики'!BA2583,MeanMinAge17)))</f>
        <v/>
      </c>
      <c r="BB2504">
        <f>IF(OR('19_Расчет_аналитики'!BB2476=0,17&lt;='01_Вводные'!$B$297),0,'19_Расчет_аналитики'!BB2476*IF('01_Вводные'!$B$239="Да",MeanMinAge17+'19_Расчет_аналитики'!BB2583*SUMIF(ThresholdAge17,"&lt;"&amp;'19_Расчет_аналитики'!BB2583,WeightedRevAge17)-SUMIF(ThresholdAge17,"&lt;"&amp;'19_Расчет_аналитики'!BB2583,WeightedMinAge17),MAX(CapacityAge17*'01_Вводные'!$B$218*'19_Расчет_аналитики'!BB2583,MeanMinAge17)))</f>
        <v/>
      </c>
      <c r="BC2504">
        <f>IF(OR('19_Расчет_аналитики'!BC2476=0,17&lt;='01_Вводные'!$B$297),0,'19_Расчет_аналитики'!BC2476*IF('01_Вводные'!$B$239="Да",MeanMinAge17+'19_Расчет_аналитики'!BC2583*SUMIF(ThresholdAge17,"&lt;"&amp;'19_Расчет_аналитики'!BC2583,WeightedRevAge17)-SUMIF(ThresholdAge17,"&lt;"&amp;'19_Расчет_аналитики'!BC2583,WeightedMinAge17),MAX(CapacityAge17*'01_Вводные'!$B$218*'19_Расчет_аналитики'!BC2583,MeanMinAge17)))</f>
        <v/>
      </c>
      <c r="BD2504">
        <f>IF(OR('19_Расчет_аналитики'!BD2476=0,17&lt;='01_Вводные'!$B$297),0,'19_Расчет_аналитики'!BD2476*IF('01_Вводные'!$B$239="Да",MeanMinAge17+'19_Расчет_аналитики'!BD2583*SUMIF(ThresholdAge17,"&lt;"&amp;'19_Расчет_аналитики'!BD2583,WeightedRevAge17)-SUMIF(ThresholdAge17,"&lt;"&amp;'19_Расчет_аналитики'!BD2583,WeightedMinAge17),MAX(CapacityAge17*'01_Вводные'!$B$218*'19_Расчет_аналитики'!BD2583,MeanMinAge17)))</f>
        <v/>
      </c>
      <c r="BE2504">
        <f>IF(OR('19_Расчет_аналитики'!BE2476=0,17&lt;='01_Вводные'!$B$297),0,'19_Расчет_аналитики'!BE2476*IF('01_Вводные'!$B$239="Да",MeanMinAge17+'19_Расчет_аналитики'!BE2583*SUMIF(ThresholdAge17,"&lt;"&amp;'19_Расчет_аналитики'!BE2583,WeightedRevAge17)-SUMIF(ThresholdAge17,"&lt;"&amp;'19_Расчет_аналитики'!BE2583,WeightedMinAge17),MAX(CapacityAge17*'01_Вводные'!$B$218*'19_Расчет_аналитики'!BE2583,MeanMinAge17)))</f>
        <v/>
      </c>
      <c r="BF2504">
        <f>IF(OR('19_Расчет_аналитики'!BF2476=0,17&lt;='01_Вводные'!$B$297),0,'19_Расчет_аналитики'!BF2476*IF('01_Вводные'!$B$239="Да",MeanMinAge17+'19_Расчет_аналитики'!BF2583*SUMIF(ThresholdAge17,"&lt;"&amp;'19_Расчет_аналитики'!BF2583,WeightedRevAge17)-SUMIF(ThresholdAge17,"&lt;"&amp;'19_Расчет_аналитики'!BF2583,WeightedMinAge17),MAX(CapacityAge17*'01_Вводные'!$B$218*'19_Расчет_аналитики'!BF2583,MeanMinAge17)))</f>
        <v/>
      </c>
      <c r="BG2504">
        <f>IF(OR('19_Расчет_аналитики'!BG2476=0,17&lt;='01_Вводные'!$B$297),0,'19_Расчет_аналитики'!BG2476*IF('01_Вводные'!$B$239="Да",MeanMinAge17+'19_Расчет_аналитики'!BG2583*SUMIF(ThresholdAge17,"&lt;"&amp;'19_Расчет_аналитики'!BG2583,WeightedRevAge17)-SUMIF(ThresholdAge17,"&lt;"&amp;'19_Расчет_аналитики'!BG2583,WeightedMinAge17),MAX(CapacityAge17*'01_Вводные'!$B$218*'19_Расчет_аналитики'!BG2583,MeanMinAge17)))</f>
        <v/>
      </c>
      <c r="BH2504">
        <f>IF(OR('19_Расчет_аналитики'!BH2476=0,17&lt;='01_Вводные'!$B$297),0,'19_Расчет_аналитики'!BH2476*IF('01_Вводные'!$B$239="Да",MeanMinAge17+'19_Расчет_аналитики'!BH2583*SUMIF(ThresholdAge17,"&lt;"&amp;'19_Расчет_аналитики'!BH2583,WeightedRevAge17)-SUMIF(ThresholdAge17,"&lt;"&amp;'19_Расчет_аналитики'!BH2583,WeightedMinAge17),MAX(CapacityAge17*'01_Вводные'!$B$218*'19_Расчет_аналитики'!BH2583,MeanMinAge17)))</f>
        <v/>
      </c>
      <c r="BI2504">
        <f>IF(OR('19_Расчет_аналитики'!BI2476=0,17&lt;='01_Вводные'!$B$297),0,'19_Расчет_аналитики'!BI2476*IF('01_Вводные'!$B$239="Да",MeanMinAge17+'19_Расчет_аналитики'!BI2583*SUMIF(ThresholdAge17,"&lt;"&amp;'19_Расчет_аналитики'!BI2583,WeightedRevAge17)-SUMIF(ThresholdAge17,"&lt;"&amp;'19_Расчет_аналитики'!BI2583,WeightedMinAge17),MAX(CapacityAge17*'01_Вводные'!$B$218*'19_Расчет_аналитики'!BI2583,MeanMinAge17)))</f>
        <v/>
      </c>
      <c r="BJ2504">
        <f>IF(OR('19_Расчет_аналитики'!BJ2476=0,17&lt;='01_Вводные'!$B$297),0,'19_Расчет_аналитики'!BJ2476*IF('01_Вводные'!$B$239="Да",MeanMinAge17+'19_Расчет_аналитики'!BJ2583*SUMIF(ThresholdAge17,"&lt;"&amp;'19_Расчет_аналитики'!BJ2583,WeightedRevAge17)-SUMIF(ThresholdAge17,"&lt;"&amp;'19_Расчет_аналитики'!BJ2583,WeightedMinAge17),MAX(CapacityAge17*'01_Вводные'!$B$218*'19_Расчет_аналитики'!BJ2583,MeanMinAge17)))</f>
        <v/>
      </c>
      <c r="BK2504">
        <f>IF(OR('19_Расчет_аналитики'!BK2476=0,17&lt;='01_Вводные'!$B$297),0,'19_Расчет_аналитики'!BK2476*IF('01_Вводные'!$B$239="Да",MeanMinAge17+'19_Расчет_аналитики'!BK2583*SUMIF(ThresholdAge17,"&lt;"&amp;'19_Расчет_аналитики'!BK2583,WeightedRevAge17)-SUMIF(ThresholdAge17,"&lt;"&amp;'19_Расчет_аналитики'!BK2583,WeightedMinAge17),MAX(CapacityAge17*'01_Вводные'!$B$218*'19_Расчет_аналитики'!BK2583,MeanMinAge17)))</f>
        <v/>
      </c>
      <c r="BL2504">
        <f>IF(OR('19_Расчет_аналитики'!BL2476=0,17&lt;='01_Вводные'!$B$297),0,'19_Расчет_аналитики'!BL2476*IF('01_Вводные'!$B$239="Да",MeanMinAge17+'19_Расчет_аналитики'!BL2583*SUMIF(ThresholdAge17,"&lt;"&amp;'19_Расчет_аналитики'!BL2583,WeightedRevAge17)-SUMIF(ThresholdAge17,"&lt;"&amp;'19_Расчет_аналитики'!BL2583,WeightedMinAge17),MAX(CapacityAge17*'01_Вводные'!$B$218*'19_Расчет_аналитики'!BL2583,MeanMinAge17)))</f>
        <v/>
      </c>
      <c r="BM2504">
        <f>IF(OR('19_Расчет_аналитики'!BM2476=0,17&lt;='01_Вводные'!$B$297),0,'19_Расчет_аналитики'!BM2476*IF('01_Вводные'!$B$239="Да",MeanMinAge17+'19_Расчет_аналитики'!BM2583*SUMIF(ThresholdAge17,"&lt;"&amp;'19_Расчет_аналитики'!BM2583,WeightedRevAge17)-SUMIF(ThresholdAge17,"&lt;"&amp;'19_Расчет_аналитики'!BM2583,WeightedMinAge17),MAX(CapacityAge17*'01_Вводные'!$B$218*'19_Расчет_аналитики'!BM2583,MeanMinAge17)))</f>
        <v/>
      </c>
      <c r="BN2504">
        <f>IF(OR('19_Расчет_аналитики'!BN2476=0,17&lt;='01_Вводные'!$B$297),0,'19_Расчет_аналитики'!BN2476*IF('01_Вводные'!$B$239="Да",MeanMinAge17+'19_Расчет_аналитики'!BN2583*SUMIF(ThresholdAge17,"&lt;"&amp;'19_Расчет_аналитики'!BN2583,WeightedRevAge17)-SUMIF(ThresholdAge17,"&lt;"&amp;'19_Расчет_аналитики'!BN2583,WeightedMinAge17),MAX(CapacityAge17*'01_Вводные'!$B$218*'19_Расчет_аналитики'!BN2583,MeanMinAge17)))</f>
        <v/>
      </c>
      <c r="BO2504">
        <f>IF(OR('19_Расчет_аналитики'!BO2476=0,17&lt;='01_Вводные'!$B$297),0,'19_Расчет_аналитики'!BO2476*IF('01_Вводные'!$B$239="Да",MeanMinAge17+'19_Расчет_аналитики'!BO2583*SUMIF(ThresholdAge17,"&lt;"&amp;'19_Расчет_аналитики'!BO2583,WeightedRevAge17)-SUMIF(ThresholdAge17,"&lt;"&amp;'19_Расчет_аналитики'!BO2583,WeightedMinAge17),MAX(CapacityAge17*'01_Вводные'!$B$218*'19_Расчет_аналитики'!BO2583,MeanMinAge17)))</f>
        <v/>
      </c>
    </row>
    <row r="2505">
      <c r="B2505">
        <f>IF(OR('06_Сеть_и_дети'!B98=0,18&lt;='01_Вводные'!$B$297),0,'06_Сеть_и_дети'!B98*IF('01_Вводные'!$B$239="Да",MeanMinAge18+'19_Расчет_аналитики'!B2583*SUMIF(ThresholdAge18,"&lt;"&amp;'19_Расчет_аналитики'!B2583,WeightedRevAge18)-SUMIF(ThresholdAge18,"&lt;"&amp;'19_Расчет_аналитики'!B2583,WeightedMinAge18),MAX(CapacityAge18*'01_Вводные'!$B$218*'19_Расчет_аналитики'!B2583,MeanMinAge18)))</f>
        <v/>
      </c>
      <c r="C2505">
        <f>IF(OR('06_Сеть_и_дети'!C98=0,18&lt;='01_Вводные'!$B$297),0,'06_Сеть_и_дети'!C98*IF('01_Вводные'!$B$239="Да",MeanMinAge18+'19_Расчет_аналитики'!C2583*SUMIF(ThresholdAge18,"&lt;"&amp;'19_Расчет_аналитики'!C2583,WeightedRevAge18)-SUMIF(ThresholdAge18,"&lt;"&amp;'19_Расчет_аналитики'!C2583,WeightedMinAge18),MAX(CapacityAge18*'01_Вводные'!$B$218*'19_Расчет_аналитики'!C2583,MeanMinAge18)))</f>
        <v/>
      </c>
      <c r="D2505">
        <f>IF(OR('06_Сеть_и_дети'!D98=0,18&lt;='01_Вводные'!$B$297),0,'06_Сеть_и_дети'!D98*IF('01_Вводные'!$B$239="Да",MeanMinAge18+'19_Расчет_аналитики'!D2583*SUMIF(ThresholdAge18,"&lt;"&amp;'19_Расчет_аналитики'!D2583,WeightedRevAge18)-SUMIF(ThresholdAge18,"&lt;"&amp;'19_Расчет_аналитики'!D2583,WeightedMinAge18),MAX(CapacityAge18*'01_Вводные'!$B$218*'19_Расчет_аналитики'!D2583,MeanMinAge18)))</f>
        <v/>
      </c>
      <c r="E2505">
        <f>IF(OR('06_Сеть_и_дети'!E98=0,18&lt;='01_Вводные'!$B$297),0,'06_Сеть_и_дети'!E98*IF('01_Вводные'!$B$239="Да",MeanMinAge18+'19_Расчет_аналитики'!E2583*SUMIF(ThresholdAge18,"&lt;"&amp;'19_Расчет_аналитики'!E2583,WeightedRevAge18)-SUMIF(ThresholdAge18,"&lt;"&amp;'19_Расчет_аналитики'!E2583,WeightedMinAge18),MAX(CapacityAge18*'01_Вводные'!$B$218*'19_Расчет_аналитики'!E2583,MeanMinAge18)))</f>
        <v/>
      </c>
      <c r="F2505">
        <f>IF(OR('06_Сеть_и_дети'!F98=0,18&lt;='01_Вводные'!$B$297),0,'06_Сеть_и_дети'!F98*IF('01_Вводные'!$B$239="Да",MeanMinAge18+'19_Расчет_аналитики'!F2583*SUMIF(ThresholdAge18,"&lt;"&amp;'19_Расчет_аналитики'!F2583,WeightedRevAge18)-SUMIF(ThresholdAge18,"&lt;"&amp;'19_Расчет_аналитики'!F2583,WeightedMinAge18),MAX(CapacityAge18*'01_Вводные'!$B$218*'19_Расчет_аналитики'!F2583,MeanMinAge18)))</f>
        <v/>
      </c>
      <c r="G2505">
        <f>IF(OR('06_Сеть_и_дети'!G98=0,18&lt;='01_Вводные'!$B$297),0,'06_Сеть_и_дети'!G98*IF('01_Вводные'!$B$239="Да",MeanMinAge18+'19_Расчет_аналитики'!G2583*SUMIF(ThresholdAge18,"&lt;"&amp;'19_Расчет_аналитики'!G2583,WeightedRevAge18)-SUMIF(ThresholdAge18,"&lt;"&amp;'19_Расчет_аналитики'!G2583,WeightedMinAge18),MAX(CapacityAge18*'01_Вводные'!$B$218*'19_Расчет_аналитики'!G2583,MeanMinAge18)))</f>
        <v/>
      </c>
      <c r="H2505">
        <f>IF(OR('06_Сеть_и_дети'!H98=0,18&lt;='01_Вводные'!$B$297),0,'06_Сеть_и_дети'!H98*IF('01_Вводные'!$B$239="Да",MeanMinAge18+'19_Расчет_аналитики'!H2583*SUMIF(ThresholdAge18,"&lt;"&amp;'19_Расчет_аналитики'!H2583,WeightedRevAge18)-SUMIF(ThresholdAge18,"&lt;"&amp;'19_Расчет_аналитики'!H2583,WeightedMinAge18),MAX(CapacityAge18*'01_Вводные'!$B$218*'19_Расчет_аналитики'!H2583,MeanMinAge18)))</f>
        <v/>
      </c>
      <c r="I2505">
        <f>IF(OR('06_Сеть_и_дети'!I98=0,18&lt;='01_Вводные'!$B$297),0,'06_Сеть_и_дети'!I98*IF('01_Вводные'!$B$239="Да",MeanMinAge18+'19_Расчет_аналитики'!I2583*SUMIF(ThresholdAge18,"&lt;"&amp;'19_Расчет_аналитики'!I2583,WeightedRevAge18)-SUMIF(ThresholdAge18,"&lt;"&amp;'19_Расчет_аналитики'!I2583,WeightedMinAge18),MAX(CapacityAge18*'01_Вводные'!$B$218*'19_Расчет_аналитики'!I2583,MeanMinAge18)))</f>
        <v/>
      </c>
      <c r="J2505">
        <f>IF(OR('06_Сеть_и_дети'!J98=0,18&lt;='01_Вводные'!$B$297),0,'06_Сеть_и_дети'!J98*IF('01_Вводные'!$B$239="Да",MeanMinAge18+'19_Расчет_аналитики'!J2583*SUMIF(ThresholdAge18,"&lt;"&amp;'19_Расчет_аналитики'!J2583,WeightedRevAge18)-SUMIF(ThresholdAge18,"&lt;"&amp;'19_Расчет_аналитики'!J2583,WeightedMinAge18),MAX(CapacityAge18*'01_Вводные'!$B$218*'19_Расчет_аналитики'!J2583,MeanMinAge18)))</f>
        <v/>
      </c>
      <c r="K2505">
        <f>IF(OR('06_Сеть_и_дети'!K98=0,18&lt;='01_Вводные'!$B$297),0,'06_Сеть_и_дети'!K98*IF('01_Вводные'!$B$239="Да",MeanMinAge18+'19_Расчет_аналитики'!K2583*SUMIF(ThresholdAge18,"&lt;"&amp;'19_Расчет_аналитики'!K2583,WeightedRevAge18)-SUMIF(ThresholdAge18,"&lt;"&amp;'19_Расчет_аналитики'!K2583,WeightedMinAge18),MAX(CapacityAge18*'01_Вводные'!$B$218*'19_Расчет_аналитики'!K2583,MeanMinAge18)))</f>
        <v/>
      </c>
      <c r="L2505">
        <f>IF(OR('06_Сеть_и_дети'!L98=0,18&lt;='01_Вводные'!$B$297),0,'06_Сеть_и_дети'!L98*IF('01_Вводные'!$B$239="Да",MeanMinAge18+'19_Расчет_аналитики'!L2583*SUMIF(ThresholdAge18,"&lt;"&amp;'19_Расчет_аналитики'!L2583,WeightedRevAge18)-SUMIF(ThresholdAge18,"&lt;"&amp;'19_Расчет_аналитики'!L2583,WeightedMinAge18),MAX(CapacityAge18*'01_Вводные'!$B$218*'19_Расчет_аналитики'!L2583,MeanMinAge18)))</f>
        <v/>
      </c>
      <c r="M2505">
        <f>IF(OR('06_Сеть_и_дети'!M98=0,18&lt;='01_Вводные'!$B$297),0,'06_Сеть_и_дети'!M98*IF('01_Вводные'!$B$239="Да",MeanMinAge18+'19_Расчет_аналитики'!M2583*SUMIF(ThresholdAge18,"&lt;"&amp;'19_Расчет_аналитики'!M2583,WeightedRevAge18)-SUMIF(ThresholdAge18,"&lt;"&amp;'19_Расчет_аналитики'!M2583,WeightedMinAge18),MAX(CapacityAge18*'01_Вводные'!$B$218*'19_Расчет_аналитики'!M2583,MeanMinAge18)))</f>
        <v/>
      </c>
      <c r="N2505">
        <f>IF(OR('06_Сеть_и_дети'!N98=0,18&lt;='01_Вводные'!$B$297),0,'06_Сеть_и_дети'!N98*IF('01_Вводные'!$B$239="Да",MeanMinAge18+'19_Расчет_аналитики'!N2583*SUMIF(ThresholdAge18,"&lt;"&amp;'19_Расчет_аналитики'!N2583,WeightedRevAge18)-SUMIF(ThresholdAge18,"&lt;"&amp;'19_Расчет_аналитики'!N2583,WeightedMinAge18),MAX(CapacityAge18*'01_Вводные'!$B$218*'19_Расчет_аналитики'!N2583,MeanMinAge18)))</f>
        <v/>
      </c>
      <c r="O2505">
        <f>IF(OR('06_Сеть_и_дети'!O98=0,18&lt;='01_Вводные'!$B$297),0,'06_Сеть_и_дети'!O98*IF('01_Вводные'!$B$239="Да",MeanMinAge18+'19_Расчет_аналитики'!O2583*SUMIF(ThresholdAge18,"&lt;"&amp;'19_Расчет_аналитики'!O2583,WeightedRevAge18)-SUMIF(ThresholdAge18,"&lt;"&amp;'19_Расчет_аналитики'!O2583,WeightedMinAge18),MAX(CapacityAge18*'01_Вводные'!$B$218*'19_Расчет_аналитики'!O2583,MeanMinAge18)))</f>
        <v/>
      </c>
      <c r="P2505">
        <f>IF(OR('06_Сеть_и_дети'!P98=0,18&lt;='01_Вводные'!$B$297),0,'06_Сеть_и_дети'!P98*IF('01_Вводные'!$B$239="Да",MeanMinAge18+'19_Расчет_аналитики'!P2583*SUMIF(ThresholdAge18,"&lt;"&amp;'19_Расчет_аналитики'!P2583,WeightedRevAge18)-SUMIF(ThresholdAge18,"&lt;"&amp;'19_Расчет_аналитики'!P2583,WeightedMinAge18),MAX(CapacityAge18*'01_Вводные'!$B$218*'19_Расчет_аналитики'!P2583,MeanMinAge18)))</f>
        <v/>
      </c>
      <c r="Q2505">
        <f>IF(OR('06_Сеть_и_дети'!Q98=0,18&lt;='01_Вводные'!$B$297),0,'06_Сеть_и_дети'!Q98*IF('01_Вводные'!$B$239="Да",MeanMinAge18+'19_Расчет_аналитики'!Q2583*SUMIF(ThresholdAge18,"&lt;"&amp;'19_Расчет_аналитики'!Q2583,WeightedRevAge18)-SUMIF(ThresholdAge18,"&lt;"&amp;'19_Расчет_аналитики'!Q2583,WeightedMinAge18),MAX(CapacityAge18*'01_Вводные'!$B$218*'19_Расчет_аналитики'!Q2583,MeanMinAge18)))</f>
        <v/>
      </c>
      <c r="R2505">
        <f>IF(OR('06_Сеть_и_дети'!R98=0,18&lt;='01_Вводные'!$B$297),0,'06_Сеть_и_дети'!R98*IF('01_Вводные'!$B$239="Да",MeanMinAge18+'19_Расчет_аналитики'!R2583*SUMIF(ThresholdAge18,"&lt;"&amp;'19_Расчет_аналитики'!R2583,WeightedRevAge18)-SUMIF(ThresholdAge18,"&lt;"&amp;'19_Расчет_аналитики'!R2583,WeightedMinAge18),MAX(CapacityAge18*'01_Вводные'!$B$218*'19_Расчет_аналитики'!R2583,MeanMinAge18)))</f>
        <v/>
      </c>
      <c r="S2505">
        <f>IF(OR('19_Расчет_аналитики'!S2477=0,18&lt;='01_Вводные'!$B$297),0,'19_Расчет_аналитики'!S2477*IF('01_Вводные'!$B$239="Да",MeanMinAge18+'19_Расчет_аналитики'!S2583*SUMIF(ThresholdAge18,"&lt;"&amp;'19_Расчет_аналитики'!S2583,WeightedRevAge18)-SUMIF(ThresholdAge18,"&lt;"&amp;'19_Расчет_аналитики'!S2583,WeightedMinAge18),MAX(CapacityAge18*'01_Вводные'!$B$218*'19_Расчет_аналитики'!S2583,MeanMinAge18)))</f>
        <v/>
      </c>
      <c r="T2505">
        <f>IF(OR('19_Расчет_аналитики'!T2477=0,18&lt;='01_Вводные'!$B$297),0,'19_Расчет_аналитики'!T2477*IF('01_Вводные'!$B$239="Да",MeanMinAge18+'19_Расчет_аналитики'!T2583*SUMIF(ThresholdAge18,"&lt;"&amp;'19_Расчет_аналитики'!T2583,WeightedRevAge18)-SUMIF(ThresholdAge18,"&lt;"&amp;'19_Расчет_аналитики'!T2583,WeightedMinAge18),MAX(CapacityAge18*'01_Вводные'!$B$218*'19_Расчет_аналитики'!T2583,MeanMinAge18)))</f>
        <v/>
      </c>
      <c r="U2505">
        <f>IF(OR('19_Расчет_аналитики'!U2477=0,18&lt;='01_Вводные'!$B$297),0,'19_Расчет_аналитики'!U2477*IF('01_Вводные'!$B$239="Да",MeanMinAge18+'19_Расчет_аналитики'!U2583*SUMIF(ThresholdAge18,"&lt;"&amp;'19_Расчет_аналитики'!U2583,WeightedRevAge18)-SUMIF(ThresholdAge18,"&lt;"&amp;'19_Расчет_аналитики'!U2583,WeightedMinAge18),MAX(CapacityAge18*'01_Вводные'!$B$218*'19_Расчет_аналитики'!U2583,MeanMinAge18)))</f>
        <v/>
      </c>
      <c r="V2505">
        <f>IF(OR('19_Расчет_аналитики'!V2477=0,18&lt;='01_Вводные'!$B$297),0,'19_Расчет_аналитики'!V2477*IF('01_Вводные'!$B$239="Да",MeanMinAge18+'19_Расчет_аналитики'!V2583*SUMIF(ThresholdAge18,"&lt;"&amp;'19_Расчет_аналитики'!V2583,WeightedRevAge18)-SUMIF(ThresholdAge18,"&lt;"&amp;'19_Расчет_аналитики'!V2583,WeightedMinAge18),MAX(CapacityAge18*'01_Вводные'!$B$218*'19_Расчет_аналитики'!V2583,MeanMinAge18)))</f>
        <v/>
      </c>
      <c r="W2505">
        <f>IF(OR('19_Расчет_аналитики'!W2477=0,18&lt;='01_Вводные'!$B$297),0,'19_Расчет_аналитики'!W2477*IF('01_Вводные'!$B$239="Да",MeanMinAge18+'19_Расчет_аналитики'!W2583*SUMIF(ThresholdAge18,"&lt;"&amp;'19_Расчет_аналитики'!W2583,WeightedRevAge18)-SUMIF(ThresholdAge18,"&lt;"&amp;'19_Расчет_аналитики'!W2583,WeightedMinAge18),MAX(CapacityAge18*'01_Вводные'!$B$218*'19_Расчет_аналитики'!W2583,MeanMinAge18)))</f>
        <v/>
      </c>
      <c r="X2505">
        <f>IF(OR('19_Расчет_аналитики'!X2477=0,18&lt;='01_Вводные'!$B$297),0,'19_Расчет_аналитики'!X2477*IF('01_Вводные'!$B$239="Да",MeanMinAge18+'19_Расчет_аналитики'!X2583*SUMIF(ThresholdAge18,"&lt;"&amp;'19_Расчет_аналитики'!X2583,WeightedRevAge18)-SUMIF(ThresholdAge18,"&lt;"&amp;'19_Расчет_аналитики'!X2583,WeightedMinAge18),MAX(CapacityAge18*'01_Вводные'!$B$218*'19_Расчет_аналитики'!X2583,MeanMinAge18)))</f>
        <v/>
      </c>
      <c r="Y2505">
        <f>IF(OR('19_Расчет_аналитики'!Y2477=0,18&lt;='01_Вводные'!$B$297),0,'19_Расчет_аналитики'!Y2477*IF('01_Вводные'!$B$239="Да",MeanMinAge18+'19_Расчет_аналитики'!Y2583*SUMIF(ThresholdAge18,"&lt;"&amp;'19_Расчет_аналитики'!Y2583,WeightedRevAge18)-SUMIF(ThresholdAge18,"&lt;"&amp;'19_Расчет_аналитики'!Y2583,WeightedMinAge18),MAX(CapacityAge18*'01_Вводные'!$B$218*'19_Расчет_аналитики'!Y2583,MeanMinAge18)))</f>
        <v/>
      </c>
      <c r="Z2505">
        <f>IF(OR('19_Расчет_аналитики'!Z2477=0,18&lt;='01_Вводные'!$B$297),0,'19_Расчет_аналитики'!Z2477*IF('01_Вводные'!$B$239="Да",MeanMinAge18+'19_Расчет_аналитики'!Z2583*SUMIF(ThresholdAge18,"&lt;"&amp;'19_Расчет_аналитики'!Z2583,WeightedRevAge18)-SUMIF(ThresholdAge18,"&lt;"&amp;'19_Расчет_аналитики'!Z2583,WeightedMinAge18),MAX(CapacityAge18*'01_Вводные'!$B$218*'19_Расчет_аналитики'!Z2583,MeanMinAge18)))</f>
        <v/>
      </c>
      <c r="AA2505">
        <f>IF(OR('19_Расчет_аналитики'!AA2477=0,18&lt;='01_Вводные'!$B$297),0,'19_Расчет_аналитики'!AA2477*IF('01_Вводные'!$B$239="Да",MeanMinAge18+'19_Расчет_аналитики'!AA2583*SUMIF(ThresholdAge18,"&lt;"&amp;'19_Расчет_аналитики'!AA2583,WeightedRevAge18)-SUMIF(ThresholdAge18,"&lt;"&amp;'19_Расчет_аналитики'!AA2583,WeightedMinAge18),MAX(CapacityAge18*'01_Вводные'!$B$218*'19_Расчет_аналитики'!AA2583,MeanMinAge18)))</f>
        <v/>
      </c>
      <c r="AB2505">
        <f>IF(OR('19_Расчет_аналитики'!AB2477=0,18&lt;='01_Вводные'!$B$297),0,'19_Расчет_аналитики'!AB2477*IF('01_Вводные'!$B$239="Да",MeanMinAge18+'19_Расчет_аналитики'!AB2583*SUMIF(ThresholdAge18,"&lt;"&amp;'19_Расчет_аналитики'!AB2583,WeightedRevAge18)-SUMIF(ThresholdAge18,"&lt;"&amp;'19_Расчет_аналитики'!AB2583,WeightedMinAge18),MAX(CapacityAge18*'01_Вводные'!$B$218*'19_Расчет_аналитики'!AB2583,MeanMinAge18)))</f>
        <v/>
      </c>
      <c r="AC2505">
        <f>IF(OR('19_Расчет_аналитики'!AC2477=0,18&lt;='01_Вводные'!$B$297),0,'19_Расчет_аналитики'!AC2477*IF('01_Вводные'!$B$239="Да",MeanMinAge18+'19_Расчет_аналитики'!AC2583*SUMIF(ThresholdAge18,"&lt;"&amp;'19_Расчет_аналитики'!AC2583,WeightedRevAge18)-SUMIF(ThresholdAge18,"&lt;"&amp;'19_Расчет_аналитики'!AC2583,WeightedMinAge18),MAX(CapacityAge18*'01_Вводные'!$B$218*'19_Расчет_аналитики'!AC2583,MeanMinAge18)))</f>
        <v/>
      </c>
      <c r="AD2505">
        <f>IF(OR('19_Расчет_аналитики'!AD2477=0,18&lt;='01_Вводные'!$B$297),0,'19_Расчет_аналитики'!AD2477*IF('01_Вводные'!$B$239="Да",MeanMinAge18+'19_Расчет_аналитики'!AD2583*SUMIF(ThresholdAge18,"&lt;"&amp;'19_Расчет_аналитики'!AD2583,WeightedRevAge18)-SUMIF(ThresholdAge18,"&lt;"&amp;'19_Расчет_аналитики'!AD2583,WeightedMinAge18),MAX(CapacityAge18*'01_Вводные'!$B$218*'19_Расчет_аналитики'!AD2583,MeanMinAge18)))</f>
        <v/>
      </c>
      <c r="AE2505">
        <f>IF(OR('19_Расчет_аналитики'!AE2477=0,18&lt;='01_Вводные'!$B$297),0,'19_Расчет_аналитики'!AE2477*IF('01_Вводные'!$B$239="Да",MeanMinAge18+'19_Расчет_аналитики'!AE2583*SUMIF(ThresholdAge18,"&lt;"&amp;'19_Расчет_аналитики'!AE2583,WeightedRevAge18)-SUMIF(ThresholdAge18,"&lt;"&amp;'19_Расчет_аналитики'!AE2583,WeightedMinAge18),MAX(CapacityAge18*'01_Вводные'!$B$218*'19_Расчет_аналитики'!AE2583,MeanMinAge18)))</f>
        <v/>
      </c>
      <c r="AF2505">
        <f>IF(OR('19_Расчет_аналитики'!AF2477=0,18&lt;='01_Вводные'!$B$297),0,'19_Расчет_аналитики'!AF2477*IF('01_Вводные'!$B$239="Да",MeanMinAge18+'19_Расчет_аналитики'!AF2583*SUMIF(ThresholdAge18,"&lt;"&amp;'19_Расчет_аналитики'!AF2583,WeightedRevAge18)-SUMIF(ThresholdAge18,"&lt;"&amp;'19_Расчет_аналитики'!AF2583,WeightedMinAge18),MAX(CapacityAge18*'01_Вводные'!$B$218*'19_Расчет_аналитики'!AF2583,MeanMinAge18)))</f>
        <v/>
      </c>
      <c r="AG2505">
        <f>IF(OR('19_Расчет_аналитики'!AG2477=0,18&lt;='01_Вводные'!$B$297),0,'19_Расчет_аналитики'!AG2477*IF('01_Вводные'!$B$239="Да",MeanMinAge18+'19_Расчет_аналитики'!AG2583*SUMIF(ThresholdAge18,"&lt;"&amp;'19_Расчет_аналитики'!AG2583,WeightedRevAge18)-SUMIF(ThresholdAge18,"&lt;"&amp;'19_Расчет_аналитики'!AG2583,WeightedMinAge18),MAX(CapacityAge18*'01_Вводные'!$B$218*'19_Расчет_аналитики'!AG2583,MeanMinAge18)))</f>
        <v/>
      </c>
      <c r="AH2505">
        <f>IF(OR('19_Расчет_аналитики'!AH2477=0,18&lt;='01_Вводные'!$B$297),0,'19_Расчет_аналитики'!AH2477*IF('01_Вводные'!$B$239="Да",MeanMinAge18+'19_Расчет_аналитики'!AH2583*SUMIF(ThresholdAge18,"&lt;"&amp;'19_Расчет_аналитики'!AH2583,WeightedRevAge18)-SUMIF(ThresholdAge18,"&lt;"&amp;'19_Расчет_аналитики'!AH2583,WeightedMinAge18),MAX(CapacityAge18*'01_Вводные'!$B$218*'19_Расчет_аналитики'!AH2583,MeanMinAge18)))</f>
        <v/>
      </c>
      <c r="AI2505">
        <f>IF(OR('19_Расчет_аналитики'!AI2477=0,18&lt;='01_Вводные'!$B$297),0,'19_Расчет_аналитики'!AI2477*IF('01_Вводные'!$B$239="Да",MeanMinAge18+'19_Расчет_аналитики'!AI2583*SUMIF(ThresholdAge18,"&lt;"&amp;'19_Расчет_аналитики'!AI2583,WeightedRevAge18)-SUMIF(ThresholdAge18,"&lt;"&amp;'19_Расчет_аналитики'!AI2583,WeightedMinAge18),MAX(CapacityAge18*'01_Вводные'!$B$218*'19_Расчет_аналитики'!AI2583,MeanMinAge18)))</f>
        <v/>
      </c>
      <c r="AJ2505">
        <f>IF(OR('19_Расчет_аналитики'!AJ2477=0,18&lt;='01_Вводные'!$B$297),0,'19_Расчет_аналитики'!AJ2477*IF('01_Вводные'!$B$239="Да",MeanMinAge18+'19_Расчет_аналитики'!AJ2583*SUMIF(ThresholdAge18,"&lt;"&amp;'19_Расчет_аналитики'!AJ2583,WeightedRevAge18)-SUMIF(ThresholdAge18,"&lt;"&amp;'19_Расчет_аналитики'!AJ2583,WeightedMinAge18),MAX(CapacityAge18*'01_Вводные'!$B$218*'19_Расчет_аналитики'!AJ2583,MeanMinAge18)))</f>
        <v/>
      </c>
      <c r="AK2505">
        <f>IF(OR('19_Расчет_аналитики'!AK2477=0,18&lt;='01_Вводные'!$B$297),0,'19_Расчет_аналитики'!AK2477*IF('01_Вводные'!$B$239="Да",MeanMinAge18+'19_Расчет_аналитики'!AK2583*SUMIF(ThresholdAge18,"&lt;"&amp;'19_Расчет_аналитики'!AK2583,WeightedRevAge18)-SUMIF(ThresholdAge18,"&lt;"&amp;'19_Расчет_аналитики'!AK2583,WeightedMinAge18),MAX(CapacityAge18*'01_Вводные'!$B$218*'19_Расчет_аналитики'!AK2583,MeanMinAge18)))</f>
        <v/>
      </c>
      <c r="AL2505">
        <f>IF(OR('19_Расчет_аналитики'!AL2477=0,18&lt;='01_Вводные'!$B$297),0,'19_Расчет_аналитики'!AL2477*IF('01_Вводные'!$B$239="Да",MeanMinAge18+'19_Расчет_аналитики'!AL2583*SUMIF(ThresholdAge18,"&lt;"&amp;'19_Расчет_аналитики'!AL2583,WeightedRevAge18)-SUMIF(ThresholdAge18,"&lt;"&amp;'19_Расчет_аналитики'!AL2583,WeightedMinAge18),MAX(CapacityAge18*'01_Вводные'!$B$218*'19_Расчет_аналитики'!AL2583,MeanMinAge18)))</f>
        <v/>
      </c>
      <c r="AM2505">
        <f>IF(OR('19_Расчет_аналитики'!AM2477=0,18&lt;='01_Вводные'!$B$297),0,'19_Расчет_аналитики'!AM2477*IF('01_Вводные'!$B$239="Да",MeanMinAge18+'19_Расчет_аналитики'!AM2583*SUMIF(ThresholdAge18,"&lt;"&amp;'19_Расчет_аналитики'!AM2583,WeightedRevAge18)-SUMIF(ThresholdAge18,"&lt;"&amp;'19_Расчет_аналитики'!AM2583,WeightedMinAge18),MAX(CapacityAge18*'01_Вводные'!$B$218*'19_Расчет_аналитики'!AM2583,MeanMinAge18)))</f>
        <v/>
      </c>
      <c r="AN2505">
        <f>IF(OR('19_Расчет_аналитики'!AN2477=0,18&lt;='01_Вводные'!$B$297),0,'19_Расчет_аналитики'!AN2477*IF('01_Вводные'!$B$239="Да",MeanMinAge18+'19_Расчет_аналитики'!AN2583*SUMIF(ThresholdAge18,"&lt;"&amp;'19_Расчет_аналитики'!AN2583,WeightedRevAge18)-SUMIF(ThresholdAge18,"&lt;"&amp;'19_Расчет_аналитики'!AN2583,WeightedMinAge18),MAX(CapacityAge18*'01_Вводные'!$B$218*'19_Расчет_аналитики'!AN2583,MeanMinAge18)))</f>
        <v/>
      </c>
      <c r="AO2505">
        <f>IF(OR('19_Расчет_аналитики'!AO2477=0,18&lt;='01_Вводные'!$B$297),0,'19_Расчет_аналитики'!AO2477*IF('01_Вводные'!$B$239="Да",MeanMinAge18+'19_Расчет_аналитики'!AO2583*SUMIF(ThresholdAge18,"&lt;"&amp;'19_Расчет_аналитики'!AO2583,WeightedRevAge18)-SUMIF(ThresholdAge18,"&lt;"&amp;'19_Расчет_аналитики'!AO2583,WeightedMinAge18),MAX(CapacityAge18*'01_Вводные'!$B$218*'19_Расчет_аналитики'!AO2583,MeanMinAge18)))</f>
        <v/>
      </c>
      <c r="AP2505">
        <f>IF(OR('19_Расчет_аналитики'!AP2477=0,18&lt;='01_Вводные'!$B$297),0,'19_Расчет_аналитики'!AP2477*IF('01_Вводные'!$B$239="Да",MeanMinAge18+'19_Расчет_аналитики'!AP2583*SUMIF(ThresholdAge18,"&lt;"&amp;'19_Расчет_аналитики'!AP2583,WeightedRevAge18)-SUMIF(ThresholdAge18,"&lt;"&amp;'19_Расчет_аналитики'!AP2583,WeightedMinAge18),MAX(CapacityAge18*'01_Вводные'!$B$218*'19_Расчет_аналитики'!AP2583,MeanMinAge18)))</f>
        <v/>
      </c>
      <c r="AQ2505">
        <f>IF(OR('19_Расчет_аналитики'!AQ2477=0,18&lt;='01_Вводные'!$B$297),0,'19_Расчет_аналитики'!AQ2477*IF('01_Вводные'!$B$239="Да",MeanMinAge18+'19_Расчет_аналитики'!AQ2583*SUMIF(ThresholdAge18,"&lt;"&amp;'19_Расчет_аналитики'!AQ2583,WeightedRevAge18)-SUMIF(ThresholdAge18,"&lt;"&amp;'19_Расчет_аналитики'!AQ2583,WeightedMinAge18),MAX(CapacityAge18*'01_Вводные'!$B$218*'19_Расчет_аналитики'!AQ2583,MeanMinAge18)))</f>
        <v/>
      </c>
      <c r="AR2505">
        <f>IF(OR('19_Расчет_аналитики'!AR2477=0,18&lt;='01_Вводные'!$B$297),0,'19_Расчет_аналитики'!AR2477*IF('01_Вводные'!$B$239="Да",MeanMinAge18+'19_Расчет_аналитики'!AR2583*SUMIF(ThresholdAge18,"&lt;"&amp;'19_Расчет_аналитики'!AR2583,WeightedRevAge18)-SUMIF(ThresholdAge18,"&lt;"&amp;'19_Расчет_аналитики'!AR2583,WeightedMinAge18),MAX(CapacityAge18*'01_Вводные'!$B$218*'19_Расчет_аналитики'!AR2583,MeanMinAge18)))</f>
        <v/>
      </c>
      <c r="AS2505">
        <f>IF(OR('19_Расчет_аналитики'!AS2477=0,18&lt;='01_Вводные'!$B$297),0,'19_Расчет_аналитики'!AS2477*IF('01_Вводные'!$B$239="Да",MeanMinAge18+'19_Расчет_аналитики'!AS2583*SUMIF(ThresholdAge18,"&lt;"&amp;'19_Расчет_аналитики'!AS2583,WeightedRevAge18)-SUMIF(ThresholdAge18,"&lt;"&amp;'19_Расчет_аналитики'!AS2583,WeightedMinAge18),MAX(CapacityAge18*'01_Вводные'!$B$218*'19_Расчет_аналитики'!AS2583,MeanMinAge18)))</f>
        <v/>
      </c>
      <c r="AT2505">
        <f>IF(OR('19_Расчет_аналитики'!AT2477=0,18&lt;='01_Вводные'!$B$297),0,'19_Расчет_аналитики'!AT2477*IF('01_Вводные'!$B$239="Да",MeanMinAge18+'19_Расчет_аналитики'!AT2583*SUMIF(ThresholdAge18,"&lt;"&amp;'19_Расчет_аналитики'!AT2583,WeightedRevAge18)-SUMIF(ThresholdAge18,"&lt;"&amp;'19_Расчет_аналитики'!AT2583,WeightedMinAge18),MAX(CapacityAge18*'01_Вводные'!$B$218*'19_Расчет_аналитики'!AT2583,MeanMinAge18)))</f>
        <v/>
      </c>
      <c r="AU2505">
        <f>IF(OR('19_Расчет_аналитики'!AU2477=0,18&lt;='01_Вводные'!$B$297),0,'19_Расчет_аналитики'!AU2477*IF('01_Вводные'!$B$239="Да",MeanMinAge18+'19_Расчет_аналитики'!AU2583*SUMIF(ThresholdAge18,"&lt;"&amp;'19_Расчет_аналитики'!AU2583,WeightedRevAge18)-SUMIF(ThresholdAge18,"&lt;"&amp;'19_Расчет_аналитики'!AU2583,WeightedMinAge18),MAX(CapacityAge18*'01_Вводные'!$B$218*'19_Расчет_аналитики'!AU2583,MeanMinAge18)))</f>
        <v/>
      </c>
      <c r="AV2505">
        <f>IF(OR('19_Расчет_аналитики'!AV2477=0,18&lt;='01_Вводные'!$B$297),0,'19_Расчет_аналитики'!AV2477*IF('01_Вводные'!$B$239="Да",MeanMinAge18+'19_Расчет_аналитики'!AV2583*SUMIF(ThresholdAge18,"&lt;"&amp;'19_Расчет_аналитики'!AV2583,WeightedRevAge18)-SUMIF(ThresholdAge18,"&lt;"&amp;'19_Расчет_аналитики'!AV2583,WeightedMinAge18),MAX(CapacityAge18*'01_Вводные'!$B$218*'19_Расчет_аналитики'!AV2583,MeanMinAge18)))</f>
        <v/>
      </c>
      <c r="AW2505">
        <f>IF(OR('19_Расчет_аналитики'!AW2477=0,18&lt;='01_Вводные'!$B$297),0,'19_Расчет_аналитики'!AW2477*IF('01_Вводные'!$B$239="Да",MeanMinAge18+'19_Расчет_аналитики'!AW2583*SUMIF(ThresholdAge18,"&lt;"&amp;'19_Расчет_аналитики'!AW2583,WeightedRevAge18)-SUMIF(ThresholdAge18,"&lt;"&amp;'19_Расчет_аналитики'!AW2583,WeightedMinAge18),MAX(CapacityAge18*'01_Вводные'!$B$218*'19_Расчет_аналитики'!AW2583,MeanMinAge18)))</f>
        <v/>
      </c>
      <c r="AX2505">
        <f>IF(OR('19_Расчет_аналитики'!AX2477=0,18&lt;='01_Вводные'!$B$297),0,'19_Расчет_аналитики'!AX2477*IF('01_Вводные'!$B$239="Да",MeanMinAge18+'19_Расчет_аналитики'!AX2583*SUMIF(ThresholdAge18,"&lt;"&amp;'19_Расчет_аналитики'!AX2583,WeightedRevAge18)-SUMIF(ThresholdAge18,"&lt;"&amp;'19_Расчет_аналитики'!AX2583,WeightedMinAge18),MAX(CapacityAge18*'01_Вводные'!$B$218*'19_Расчет_аналитики'!AX2583,MeanMinAge18)))</f>
        <v/>
      </c>
      <c r="AY2505">
        <f>IF(OR('19_Расчет_аналитики'!AY2477=0,18&lt;='01_Вводные'!$B$297),0,'19_Расчет_аналитики'!AY2477*IF('01_Вводные'!$B$239="Да",MeanMinAge18+'19_Расчет_аналитики'!AY2583*SUMIF(ThresholdAge18,"&lt;"&amp;'19_Расчет_аналитики'!AY2583,WeightedRevAge18)-SUMIF(ThresholdAge18,"&lt;"&amp;'19_Расчет_аналитики'!AY2583,WeightedMinAge18),MAX(CapacityAge18*'01_Вводные'!$B$218*'19_Расчет_аналитики'!AY2583,MeanMinAge18)))</f>
        <v/>
      </c>
      <c r="AZ2505">
        <f>IF(OR('19_Расчет_аналитики'!AZ2477=0,18&lt;='01_Вводные'!$B$297),0,'19_Расчет_аналитики'!AZ2477*IF('01_Вводные'!$B$239="Да",MeanMinAge18+'19_Расчет_аналитики'!AZ2583*SUMIF(ThresholdAge18,"&lt;"&amp;'19_Расчет_аналитики'!AZ2583,WeightedRevAge18)-SUMIF(ThresholdAge18,"&lt;"&amp;'19_Расчет_аналитики'!AZ2583,WeightedMinAge18),MAX(CapacityAge18*'01_Вводные'!$B$218*'19_Расчет_аналитики'!AZ2583,MeanMinAge18)))</f>
        <v/>
      </c>
      <c r="BA2505">
        <f>IF(OR('19_Расчет_аналитики'!BA2477=0,18&lt;='01_Вводные'!$B$297),0,'19_Расчет_аналитики'!BA2477*IF('01_Вводные'!$B$239="Да",MeanMinAge18+'19_Расчет_аналитики'!BA2583*SUMIF(ThresholdAge18,"&lt;"&amp;'19_Расчет_аналитики'!BA2583,WeightedRevAge18)-SUMIF(ThresholdAge18,"&lt;"&amp;'19_Расчет_аналитики'!BA2583,WeightedMinAge18),MAX(CapacityAge18*'01_Вводные'!$B$218*'19_Расчет_аналитики'!BA2583,MeanMinAge18)))</f>
        <v/>
      </c>
      <c r="BB2505">
        <f>IF(OR('19_Расчет_аналитики'!BB2477=0,18&lt;='01_Вводные'!$B$297),0,'19_Расчет_аналитики'!BB2477*IF('01_Вводные'!$B$239="Да",MeanMinAge18+'19_Расчет_аналитики'!BB2583*SUMIF(ThresholdAge18,"&lt;"&amp;'19_Расчет_аналитики'!BB2583,WeightedRevAge18)-SUMIF(ThresholdAge18,"&lt;"&amp;'19_Расчет_аналитики'!BB2583,WeightedMinAge18),MAX(CapacityAge18*'01_Вводные'!$B$218*'19_Расчет_аналитики'!BB2583,MeanMinAge18)))</f>
        <v/>
      </c>
      <c r="BC2505">
        <f>IF(OR('19_Расчет_аналитики'!BC2477=0,18&lt;='01_Вводные'!$B$297),0,'19_Расчет_аналитики'!BC2477*IF('01_Вводные'!$B$239="Да",MeanMinAge18+'19_Расчет_аналитики'!BC2583*SUMIF(ThresholdAge18,"&lt;"&amp;'19_Расчет_аналитики'!BC2583,WeightedRevAge18)-SUMIF(ThresholdAge18,"&lt;"&amp;'19_Расчет_аналитики'!BC2583,WeightedMinAge18),MAX(CapacityAge18*'01_Вводные'!$B$218*'19_Расчет_аналитики'!BC2583,MeanMinAge18)))</f>
        <v/>
      </c>
      <c r="BD2505">
        <f>IF(OR('19_Расчет_аналитики'!BD2477=0,18&lt;='01_Вводные'!$B$297),0,'19_Расчет_аналитики'!BD2477*IF('01_Вводные'!$B$239="Да",MeanMinAge18+'19_Расчет_аналитики'!BD2583*SUMIF(ThresholdAge18,"&lt;"&amp;'19_Расчет_аналитики'!BD2583,WeightedRevAge18)-SUMIF(ThresholdAge18,"&lt;"&amp;'19_Расчет_аналитики'!BD2583,WeightedMinAge18),MAX(CapacityAge18*'01_Вводные'!$B$218*'19_Расчет_аналитики'!BD2583,MeanMinAge18)))</f>
        <v/>
      </c>
      <c r="BE2505">
        <f>IF(OR('19_Расчет_аналитики'!BE2477=0,18&lt;='01_Вводные'!$B$297),0,'19_Расчет_аналитики'!BE2477*IF('01_Вводные'!$B$239="Да",MeanMinAge18+'19_Расчет_аналитики'!BE2583*SUMIF(ThresholdAge18,"&lt;"&amp;'19_Расчет_аналитики'!BE2583,WeightedRevAge18)-SUMIF(ThresholdAge18,"&lt;"&amp;'19_Расчет_аналитики'!BE2583,WeightedMinAge18),MAX(CapacityAge18*'01_Вводные'!$B$218*'19_Расчет_аналитики'!BE2583,MeanMinAge18)))</f>
        <v/>
      </c>
      <c r="BF2505">
        <f>IF(OR('19_Расчет_аналитики'!BF2477=0,18&lt;='01_Вводные'!$B$297),0,'19_Расчет_аналитики'!BF2477*IF('01_Вводные'!$B$239="Да",MeanMinAge18+'19_Расчет_аналитики'!BF2583*SUMIF(ThresholdAge18,"&lt;"&amp;'19_Расчет_аналитики'!BF2583,WeightedRevAge18)-SUMIF(ThresholdAge18,"&lt;"&amp;'19_Расчет_аналитики'!BF2583,WeightedMinAge18),MAX(CapacityAge18*'01_Вводные'!$B$218*'19_Расчет_аналитики'!BF2583,MeanMinAge18)))</f>
        <v/>
      </c>
      <c r="BG2505">
        <f>IF(OR('19_Расчет_аналитики'!BG2477=0,18&lt;='01_Вводные'!$B$297),0,'19_Расчет_аналитики'!BG2477*IF('01_Вводные'!$B$239="Да",MeanMinAge18+'19_Расчет_аналитики'!BG2583*SUMIF(ThresholdAge18,"&lt;"&amp;'19_Расчет_аналитики'!BG2583,WeightedRevAge18)-SUMIF(ThresholdAge18,"&lt;"&amp;'19_Расчет_аналитики'!BG2583,WeightedMinAge18),MAX(CapacityAge18*'01_Вводные'!$B$218*'19_Расчет_аналитики'!BG2583,MeanMinAge18)))</f>
        <v/>
      </c>
      <c r="BH2505">
        <f>IF(OR('19_Расчет_аналитики'!BH2477=0,18&lt;='01_Вводные'!$B$297),0,'19_Расчет_аналитики'!BH2477*IF('01_Вводные'!$B$239="Да",MeanMinAge18+'19_Расчет_аналитики'!BH2583*SUMIF(ThresholdAge18,"&lt;"&amp;'19_Расчет_аналитики'!BH2583,WeightedRevAge18)-SUMIF(ThresholdAge18,"&lt;"&amp;'19_Расчет_аналитики'!BH2583,WeightedMinAge18),MAX(CapacityAge18*'01_Вводные'!$B$218*'19_Расчет_аналитики'!BH2583,MeanMinAge18)))</f>
        <v/>
      </c>
      <c r="BI2505">
        <f>IF(OR('19_Расчет_аналитики'!BI2477=0,18&lt;='01_Вводные'!$B$297),0,'19_Расчет_аналитики'!BI2477*IF('01_Вводные'!$B$239="Да",MeanMinAge18+'19_Расчет_аналитики'!BI2583*SUMIF(ThresholdAge18,"&lt;"&amp;'19_Расчет_аналитики'!BI2583,WeightedRevAge18)-SUMIF(ThresholdAge18,"&lt;"&amp;'19_Расчет_аналитики'!BI2583,WeightedMinAge18),MAX(CapacityAge18*'01_Вводные'!$B$218*'19_Расчет_аналитики'!BI2583,MeanMinAge18)))</f>
        <v/>
      </c>
      <c r="BJ2505">
        <f>IF(OR('19_Расчет_аналитики'!BJ2477=0,18&lt;='01_Вводные'!$B$297),0,'19_Расчет_аналитики'!BJ2477*IF('01_Вводные'!$B$239="Да",MeanMinAge18+'19_Расчет_аналитики'!BJ2583*SUMIF(ThresholdAge18,"&lt;"&amp;'19_Расчет_аналитики'!BJ2583,WeightedRevAge18)-SUMIF(ThresholdAge18,"&lt;"&amp;'19_Расчет_аналитики'!BJ2583,WeightedMinAge18),MAX(CapacityAge18*'01_Вводные'!$B$218*'19_Расчет_аналитики'!BJ2583,MeanMinAge18)))</f>
        <v/>
      </c>
      <c r="BK2505">
        <f>IF(OR('19_Расчет_аналитики'!BK2477=0,18&lt;='01_Вводные'!$B$297),0,'19_Расчет_аналитики'!BK2477*IF('01_Вводные'!$B$239="Да",MeanMinAge18+'19_Расчет_аналитики'!BK2583*SUMIF(ThresholdAge18,"&lt;"&amp;'19_Расчет_аналитики'!BK2583,WeightedRevAge18)-SUMIF(ThresholdAge18,"&lt;"&amp;'19_Расчет_аналитики'!BK2583,WeightedMinAge18),MAX(CapacityAge18*'01_Вводные'!$B$218*'19_Расчет_аналитики'!BK2583,MeanMinAge18)))</f>
        <v/>
      </c>
      <c r="BL2505">
        <f>IF(OR('19_Расчет_аналитики'!BL2477=0,18&lt;='01_Вводные'!$B$297),0,'19_Расчет_аналитики'!BL2477*IF('01_Вводные'!$B$239="Да",MeanMinAge18+'19_Расчет_аналитики'!BL2583*SUMIF(ThresholdAge18,"&lt;"&amp;'19_Расчет_аналитики'!BL2583,WeightedRevAge18)-SUMIF(ThresholdAge18,"&lt;"&amp;'19_Расчет_аналитики'!BL2583,WeightedMinAge18),MAX(CapacityAge18*'01_Вводные'!$B$218*'19_Расчет_аналитики'!BL2583,MeanMinAge18)))</f>
        <v/>
      </c>
      <c r="BM2505">
        <f>IF(OR('19_Расчет_аналитики'!BM2477=0,18&lt;='01_Вводные'!$B$297),0,'19_Расчет_аналитики'!BM2477*IF('01_Вводные'!$B$239="Да",MeanMinAge18+'19_Расчет_аналитики'!BM2583*SUMIF(ThresholdAge18,"&lt;"&amp;'19_Расчет_аналитики'!BM2583,WeightedRevAge18)-SUMIF(ThresholdAge18,"&lt;"&amp;'19_Расчет_аналитики'!BM2583,WeightedMinAge18),MAX(CapacityAge18*'01_Вводные'!$B$218*'19_Расчет_аналитики'!BM2583,MeanMinAge18)))</f>
        <v/>
      </c>
      <c r="BN2505">
        <f>IF(OR('19_Расчет_аналитики'!BN2477=0,18&lt;='01_Вводные'!$B$297),0,'19_Расчет_аналитики'!BN2477*IF('01_Вводные'!$B$239="Да",MeanMinAge18+'19_Расчет_аналитики'!BN2583*SUMIF(ThresholdAge18,"&lt;"&amp;'19_Расчет_аналитики'!BN2583,WeightedRevAge18)-SUMIF(ThresholdAge18,"&lt;"&amp;'19_Расчет_аналитики'!BN2583,WeightedMinAge18),MAX(CapacityAge18*'01_Вводные'!$B$218*'19_Расчет_аналитики'!BN2583,MeanMinAge18)))</f>
        <v/>
      </c>
      <c r="BO2505">
        <f>IF(OR('19_Расчет_аналитики'!BO2477=0,18&lt;='01_Вводные'!$B$297),0,'19_Расчет_аналитики'!BO2477*IF('01_Вводные'!$B$239="Да",MeanMinAge18+'19_Расчет_аналитики'!BO2583*SUMIF(ThresholdAge18,"&lt;"&amp;'19_Расчет_аналитики'!BO2583,WeightedRevAge18)-SUMIF(ThresholdAge18,"&lt;"&amp;'19_Расчет_аналитики'!BO2583,WeightedMinAge18),MAX(CapacityAge18*'01_Вводные'!$B$218*'19_Расчет_аналитики'!BO2583,MeanMinAge18)))</f>
        <v/>
      </c>
    </row>
    <row r="2506">
      <c r="B2506">
        <f>IF(OR('06_Сеть_и_дети'!B99=0,19&lt;='01_Вводные'!$B$297),0,'06_Сеть_и_дети'!B99*IF('01_Вводные'!$B$239="Да",MeanMinAge19+'19_Расчет_аналитики'!B2583*SUMIF(ThresholdAge19,"&lt;"&amp;'19_Расчет_аналитики'!B2583,WeightedRevAge19)-SUMIF(ThresholdAge19,"&lt;"&amp;'19_Расчет_аналитики'!B2583,WeightedMinAge19),MAX(CapacityAge19*'01_Вводные'!$B$218*'19_Расчет_аналитики'!B2583,MeanMinAge19)))</f>
        <v/>
      </c>
      <c r="C2506">
        <f>IF(OR('06_Сеть_и_дети'!C99=0,19&lt;='01_Вводные'!$B$297),0,'06_Сеть_и_дети'!C99*IF('01_Вводные'!$B$239="Да",MeanMinAge19+'19_Расчет_аналитики'!C2583*SUMIF(ThresholdAge19,"&lt;"&amp;'19_Расчет_аналитики'!C2583,WeightedRevAge19)-SUMIF(ThresholdAge19,"&lt;"&amp;'19_Расчет_аналитики'!C2583,WeightedMinAge19),MAX(CapacityAge19*'01_Вводные'!$B$218*'19_Расчет_аналитики'!C2583,MeanMinAge19)))</f>
        <v/>
      </c>
      <c r="D2506">
        <f>IF(OR('06_Сеть_и_дети'!D99=0,19&lt;='01_Вводные'!$B$297),0,'06_Сеть_и_дети'!D99*IF('01_Вводные'!$B$239="Да",MeanMinAge19+'19_Расчет_аналитики'!D2583*SUMIF(ThresholdAge19,"&lt;"&amp;'19_Расчет_аналитики'!D2583,WeightedRevAge19)-SUMIF(ThresholdAge19,"&lt;"&amp;'19_Расчет_аналитики'!D2583,WeightedMinAge19),MAX(CapacityAge19*'01_Вводные'!$B$218*'19_Расчет_аналитики'!D2583,MeanMinAge19)))</f>
        <v/>
      </c>
      <c r="E2506">
        <f>IF(OR('06_Сеть_и_дети'!E99=0,19&lt;='01_Вводные'!$B$297),0,'06_Сеть_и_дети'!E99*IF('01_Вводные'!$B$239="Да",MeanMinAge19+'19_Расчет_аналитики'!E2583*SUMIF(ThresholdAge19,"&lt;"&amp;'19_Расчет_аналитики'!E2583,WeightedRevAge19)-SUMIF(ThresholdAge19,"&lt;"&amp;'19_Расчет_аналитики'!E2583,WeightedMinAge19),MAX(CapacityAge19*'01_Вводные'!$B$218*'19_Расчет_аналитики'!E2583,MeanMinAge19)))</f>
        <v/>
      </c>
      <c r="F2506">
        <f>IF(OR('06_Сеть_и_дети'!F99=0,19&lt;='01_Вводные'!$B$297),0,'06_Сеть_и_дети'!F99*IF('01_Вводные'!$B$239="Да",MeanMinAge19+'19_Расчет_аналитики'!F2583*SUMIF(ThresholdAge19,"&lt;"&amp;'19_Расчет_аналитики'!F2583,WeightedRevAge19)-SUMIF(ThresholdAge19,"&lt;"&amp;'19_Расчет_аналитики'!F2583,WeightedMinAge19),MAX(CapacityAge19*'01_Вводные'!$B$218*'19_Расчет_аналитики'!F2583,MeanMinAge19)))</f>
        <v/>
      </c>
      <c r="G2506">
        <f>IF(OR('06_Сеть_и_дети'!G99=0,19&lt;='01_Вводные'!$B$297),0,'06_Сеть_и_дети'!G99*IF('01_Вводные'!$B$239="Да",MeanMinAge19+'19_Расчет_аналитики'!G2583*SUMIF(ThresholdAge19,"&lt;"&amp;'19_Расчет_аналитики'!G2583,WeightedRevAge19)-SUMIF(ThresholdAge19,"&lt;"&amp;'19_Расчет_аналитики'!G2583,WeightedMinAge19),MAX(CapacityAge19*'01_Вводные'!$B$218*'19_Расчет_аналитики'!G2583,MeanMinAge19)))</f>
        <v/>
      </c>
      <c r="H2506">
        <f>IF(OR('06_Сеть_и_дети'!H99=0,19&lt;='01_Вводные'!$B$297),0,'06_Сеть_и_дети'!H99*IF('01_Вводные'!$B$239="Да",MeanMinAge19+'19_Расчет_аналитики'!H2583*SUMIF(ThresholdAge19,"&lt;"&amp;'19_Расчет_аналитики'!H2583,WeightedRevAge19)-SUMIF(ThresholdAge19,"&lt;"&amp;'19_Расчет_аналитики'!H2583,WeightedMinAge19),MAX(CapacityAge19*'01_Вводные'!$B$218*'19_Расчет_аналитики'!H2583,MeanMinAge19)))</f>
        <v/>
      </c>
      <c r="I2506">
        <f>IF(OR('06_Сеть_и_дети'!I99=0,19&lt;='01_Вводные'!$B$297),0,'06_Сеть_и_дети'!I99*IF('01_Вводные'!$B$239="Да",MeanMinAge19+'19_Расчет_аналитики'!I2583*SUMIF(ThresholdAge19,"&lt;"&amp;'19_Расчет_аналитики'!I2583,WeightedRevAge19)-SUMIF(ThresholdAge19,"&lt;"&amp;'19_Расчет_аналитики'!I2583,WeightedMinAge19),MAX(CapacityAge19*'01_Вводные'!$B$218*'19_Расчет_аналитики'!I2583,MeanMinAge19)))</f>
        <v/>
      </c>
      <c r="J2506">
        <f>IF(OR('06_Сеть_и_дети'!J99=0,19&lt;='01_Вводные'!$B$297),0,'06_Сеть_и_дети'!J99*IF('01_Вводные'!$B$239="Да",MeanMinAge19+'19_Расчет_аналитики'!J2583*SUMIF(ThresholdAge19,"&lt;"&amp;'19_Расчет_аналитики'!J2583,WeightedRevAge19)-SUMIF(ThresholdAge19,"&lt;"&amp;'19_Расчет_аналитики'!J2583,WeightedMinAge19),MAX(CapacityAge19*'01_Вводные'!$B$218*'19_Расчет_аналитики'!J2583,MeanMinAge19)))</f>
        <v/>
      </c>
      <c r="K2506">
        <f>IF(OR('06_Сеть_и_дети'!K99=0,19&lt;='01_Вводные'!$B$297),0,'06_Сеть_и_дети'!K99*IF('01_Вводные'!$B$239="Да",MeanMinAge19+'19_Расчет_аналитики'!K2583*SUMIF(ThresholdAge19,"&lt;"&amp;'19_Расчет_аналитики'!K2583,WeightedRevAge19)-SUMIF(ThresholdAge19,"&lt;"&amp;'19_Расчет_аналитики'!K2583,WeightedMinAge19),MAX(CapacityAge19*'01_Вводные'!$B$218*'19_Расчет_аналитики'!K2583,MeanMinAge19)))</f>
        <v/>
      </c>
      <c r="L2506">
        <f>IF(OR('06_Сеть_и_дети'!L99=0,19&lt;='01_Вводные'!$B$297),0,'06_Сеть_и_дети'!L99*IF('01_Вводные'!$B$239="Да",MeanMinAge19+'19_Расчет_аналитики'!L2583*SUMIF(ThresholdAge19,"&lt;"&amp;'19_Расчет_аналитики'!L2583,WeightedRevAge19)-SUMIF(ThresholdAge19,"&lt;"&amp;'19_Расчет_аналитики'!L2583,WeightedMinAge19),MAX(CapacityAge19*'01_Вводные'!$B$218*'19_Расчет_аналитики'!L2583,MeanMinAge19)))</f>
        <v/>
      </c>
      <c r="M2506">
        <f>IF(OR('06_Сеть_и_дети'!M99=0,19&lt;='01_Вводные'!$B$297),0,'06_Сеть_и_дети'!M99*IF('01_Вводные'!$B$239="Да",MeanMinAge19+'19_Расчет_аналитики'!M2583*SUMIF(ThresholdAge19,"&lt;"&amp;'19_Расчет_аналитики'!M2583,WeightedRevAge19)-SUMIF(ThresholdAge19,"&lt;"&amp;'19_Расчет_аналитики'!M2583,WeightedMinAge19),MAX(CapacityAge19*'01_Вводные'!$B$218*'19_Расчет_аналитики'!M2583,MeanMinAge19)))</f>
        <v/>
      </c>
      <c r="N2506">
        <f>IF(OR('06_Сеть_и_дети'!N99=0,19&lt;='01_Вводные'!$B$297),0,'06_Сеть_и_дети'!N99*IF('01_Вводные'!$B$239="Да",MeanMinAge19+'19_Расчет_аналитики'!N2583*SUMIF(ThresholdAge19,"&lt;"&amp;'19_Расчет_аналитики'!N2583,WeightedRevAge19)-SUMIF(ThresholdAge19,"&lt;"&amp;'19_Расчет_аналитики'!N2583,WeightedMinAge19),MAX(CapacityAge19*'01_Вводные'!$B$218*'19_Расчет_аналитики'!N2583,MeanMinAge19)))</f>
        <v/>
      </c>
      <c r="O2506">
        <f>IF(OR('06_Сеть_и_дети'!O99=0,19&lt;='01_Вводные'!$B$297),0,'06_Сеть_и_дети'!O99*IF('01_Вводные'!$B$239="Да",MeanMinAge19+'19_Расчет_аналитики'!O2583*SUMIF(ThresholdAge19,"&lt;"&amp;'19_Расчет_аналитики'!O2583,WeightedRevAge19)-SUMIF(ThresholdAge19,"&lt;"&amp;'19_Расчет_аналитики'!O2583,WeightedMinAge19),MAX(CapacityAge19*'01_Вводные'!$B$218*'19_Расчет_аналитики'!O2583,MeanMinAge19)))</f>
        <v/>
      </c>
      <c r="P2506">
        <f>IF(OR('06_Сеть_и_дети'!P99=0,19&lt;='01_Вводные'!$B$297),0,'06_Сеть_и_дети'!P99*IF('01_Вводные'!$B$239="Да",MeanMinAge19+'19_Расчет_аналитики'!P2583*SUMIF(ThresholdAge19,"&lt;"&amp;'19_Расчет_аналитики'!P2583,WeightedRevAge19)-SUMIF(ThresholdAge19,"&lt;"&amp;'19_Расчет_аналитики'!P2583,WeightedMinAge19),MAX(CapacityAge19*'01_Вводные'!$B$218*'19_Расчет_аналитики'!P2583,MeanMinAge19)))</f>
        <v/>
      </c>
      <c r="Q2506">
        <f>IF(OR('06_Сеть_и_дети'!Q99=0,19&lt;='01_Вводные'!$B$297),0,'06_Сеть_и_дети'!Q99*IF('01_Вводные'!$B$239="Да",MeanMinAge19+'19_Расчет_аналитики'!Q2583*SUMIF(ThresholdAge19,"&lt;"&amp;'19_Расчет_аналитики'!Q2583,WeightedRevAge19)-SUMIF(ThresholdAge19,"&lt;"&amp;'19_Расчет_аналитики'!Q2583,WeightedMinAge19),MAX(CapacityAge19*'01_Вводные'!$B$218*'19_Расчет_аналитики'!Q2583,MeanMinAge19)))</f>
        <v/>
      </c>
      <c r="R2506">
        <f>IF(OR('06_Сеть_и_дети'!R99=0,19&lt;='01_Вводные'!$B$297),0,'06_Сеть_и_дети'!R99*IF('01_Вводные'!$B$239="Да",MeanMinAge19+'19_Расчет_аналитики'!R2583*SUMIF(ThresholdAge19,"&lt;"&amp;'19_Расчет_аналитики'!R2583,WeightedRevAge19)-SUMIF(ThresholdAge19,"&lt;"&amp;'19_Расчет_аналитики'!R2583,WeightedMinAge19),MAX(CapacityAge19*'01_Вводные'!$B$218*'19_Расчет_аналитики'!R2583,MeanMinAge19)))</f>
        <v/>
      </c>
      <c r="S2506">
        <f>IF(OR('06_Сеть_и_дети'!S99=0,19&lt;='01_Вводные'!$B$297),0,'06_Сеть_и_дети'!S99*IF('01_Вводные'!$B$239="Да",MeanMinAge19+'19_Расчет_аналитики'!S2583*SUMIF(ThresholdAge19,"&lt;"&amp;'19_Расчет_аналитики'!S2583,WeightedRevAge19)-SUMIF(ThresholdAge19,"&lt;"&amp;'19_Расчет_аналитики'!S2583,WeightedMinAge19),MAX(CapacityAge19*'01_Вводные'!$B$218*'19_Расчет_аналитики'!S2583,MeanMinAge19)))</f>
        <v/>
      </c>
      <c r="T2506">
        <f>IF(OR('19_Расчет_аналитики'!T2478=0,19&lt;='01_Вводные'!$B$297),0,'19_Расчет_аналитики'!T2478*IF('01_Вводные'!$B$239="Да",MeanMinAge19+'19_Расчет_аналитики'!T2583*SUMIF(ThresholdAge19,"&lt;"&amp;'19_Расчет_аналитики'!T2583,WeightedRevAge19)-SUMIF(ThresholdAge19,"&lt;"&amp;'19_Расчет_аналитики'!T2583,WeightedMinAge19),MAX(CapacityAge19*'01_Вводные'!$B$218*'19_Расчет_аналитики'!T2583,MeanMinAge19)))</f>
        <v/>
      </c>
      <c r="U2506">
        <f>IF(OR('19_Расчет_аналитики'!U2478=0,19&lt;='01_Вводные'!$B$297),0,'19_Расчет_аналитики'!U2478*IF('01_Вводные'!$B$239="Да",MeanMinAge19+'19_Расчет_аналитики'!U2583*SUMIF(ThresholdAge19,"&lt;"&amp;'19_Расчет_аналитики'!U2583,WeightedRevAge19)-SUMIF(ThresholdAge19,"&lt;"&amp;'19_Расчет_аналитики'!U2583,WeightedMinAge19),MAX(CapacityAge19*'01_Вводные'!$B$218*'19_Расчет_аналитики'!U2583,MeanMinAge19)))</f>
        <v/>
      </c>
      <c r="V2506">
        <f>IF(OR('19_Расчет_аналитики'!V2478=0,19&lt;='01_Вводные'!$B$297),0,'19_Расчет_аналитики'!V2478*IF('01_Вводные'!$B$239="Да",MeanMinAge19+'19_Расчет_аналитики'!V2583*SUMIF(ThresholdAge19,"&lt;"&amp;'19_Расчет_аналитики'!V2583,WeightedRevAge19)-SUMIF(ThresholdAge19,"&lt;"&amp;'19_Расчет_аналитики'!V2583,WeightedMinAge19),MAX(CapacityAge19*'01_Вводные'!$B$218*'19_Расчет_аналитики'!V2583,MeanMinAge19)))</f>
        <v/>
      </c>
      <c r="W2506">
        <f>IF(OR('19_Расчет_аналитики'!W2478=0,19&lt;='01_Вводные'!$B$297),0,'19_Расчет_аналитики'!W2478*IF('01_Вводные'!$B$239="Да",MeanMinAge19+'19_Расчет_аналитики'!W2583*SUMIF(ThresholdAge19,"&lt;"&amp;'19_Расчет_аналитики'!W2583,WeightedRevAge19)-SUMIF(ThresholdAge19,"&lt;"&amp;'19_Расчет_аналитики'!W2583,WeightedMinAge19),MAX(CapacityAge19*'01_Вводные'!$B$218*'19_Расчет_аналитики'!W2583,MeanMinAge19)))</f>
        <v/>
      </c>
      <c r="X2506">
        <f>IF(OR('19_Расчет_аналитики'!X2478=0,19&lt;='01_Вводные'!$B$297),0,'19_Расчет_аналитики'!X2478*IF('01_Вводные'!$B$239="Да",MeanMinAge19+'19_Расчет_аналитики'!X2583*SUMIF(ThresholdAge19,"&lt;"&amp;'19_Расчет_аналитики'!X2583,WeightedRevAge19)-SUMIF(ThresholdAge19,"&lt;"&amp;'19_Расчет_аналитики'!X2583,WeightedMinAge19),MAX(CapacityAge19*'01_Вводные'!$B$218*'19_Расчет_аналитики'!X2583,MeanMinAge19)))</f>
        <v/>
      </c>
      <c r="Y2506">
        <f>IF(OR('19_Расчет_аналитики'!Y2478=0,19&lt;='01_Вводные'!$B$297),0,'19_Расчет_аналитики'!Y2478*IF('01_Вводные'!$B$239="Да",MeanMinAge19+'19_Расчет_аналитики'!Y2583*SUMIF(ThresholdAge19,"&lt;"&amp;'19_Расчет_аналитики'!Y2583,WeightedRevAge19)-SUMIF(ThresholdAge19,"&lt;"&amp;'19_Расчет_аналитики'!Y2583,WeightedMinAge19),MAX(CapacityAge19*'01_Вводные'!$B$218*'19_Расчет_аналитики'!Y2583,MeanMinAge19)))</f>
        <v/>
      </c>
      <c r="Z2506">
        <f>IF(OR('19_Расчет_аналитики'!Z2478=0,19&lt;='01_Вводные'!$B$297),0,'19_Расчет_аналитики'!Z2478*IF('01_Вводные'!$B$239="Да",MeanMinAge19+'19_Расчет_аналитики'!Z2583*SUMIF(ThresholdAge19,"&lt;"&amp;'19_Расчет_аналитики'!Z2583,WeightedRevAge19)-SUMIF(ThresholdAge19,"&lt;"&amp;'19_Расчет_аналитики'!Z2583,WeightedMinAge19),MAX(CapacityAge19*'01_Вводные'!$B$218*'19_Расчет_аналитики'!Z2583,MeanMinAge19)))</f>
        <v/>
      </c>
      <c r="AA2506">
        <f>IF(OR('19_Расчет_аналитики'!AA2478=0,19&lt;='01_Вводные'!$B$297),0,'19_Расчет_аналитики'!AA2478*IF('01_Вводные'!$B$239="Да",MeanMinAge19+'19_Расчет_аналитики'!AA2583*SUMIF(ThresholdAge19,"&lt;"&amp;'19_Расчет_аналитики'!AA2583,WeightedRevAge19)-SUMIF(ThresholdAge19,"&lt;"&amp;'19_Расчет_аналитики'!AA2583,WeightedMinAge19),MAX(CapacityAge19*'01_Вводные'!$B$218*'19_Расчет_аналитики'!AA2583,MeanMinAge19)))</f>
        <v/>
      </c>
      <c r="AB2506">
        <f>IF(OR('19_Расчет_аналитики'!AB2478=0,19&lt;='01_Вводные'!$B$297),0,'19_Расчет_аналитики'!AB2478*IF('01_Вводные'!$B$239="Да",MeanMinAge19+'19_Расчет_аналитики'!AB2583*SUMIF(ThresholdAge19,"&lt;"&amp;'19_Расчет_аналитики'!AB2583,WeightedRevAge19)-SUMIF(ThresholdAge19,"&lt;"&amp;'19_Расчет_аналитики'!AB2583,WeightedMinAge19),MAX(CapacityAge19*'01_Вводные'!$B$218*'19_Расчет_аналитики'!AB2583,MeanMinAge19)))</f>
        <v/>
      </c>
      <c r="AC2506">
        <f>IF(OR('19_Расчет_аналитики'!AC2478=0,19&lt;='01_Вводные'!$B$297),0,'19_Расчет_аналитики'!AC2478*IF('01_Вводные'!$B$239="Да",MeanMinAge19+'19_Расчет_аналитики'!AC2583*SUMIF(ThresholdAge19,"&lt;"&amp;'19_Расчет_аналитики'!AC2583,WeightedRevAge19)-SUMIF(ThresholdAge19,"&lt;"&amp;'19_Расчет_аналитики'!AC2583,WeightedMinAge19),MAX(CapacityAge19*'01_Вводные'!$B$218*'19_Расчет_аналитики'!AC2583,MeanMinAge19)))</f>
        <v/>
      </c>
      <c r="AD2506">
        <f>IF(OR('19_Расчет_аналитики'!AD2478=0,19&lt;='01_Вводные'!$B$297),0,'19_Расчет_аналитики'!AD2478*IF('01_Вводные'!$B$239="Да",MeanMinAge19+'19_Расчет_аналитики'!AD2583*SUMIF(ThresholdAge19,"&lt;"&amp;'19_Расчет_аналитики'!AD2583,WeightedRevAge19)-SUMIF(ThresholdAge19,"&lt;"&amp;'19_Расчет_аналитики'!AD2583,WeightedMinAge19),MAX(CapacityAge19*'01_Вводные'!$B$218*'19_Расчет_аналитики'!AD2583,MeanMinAge19)))</f>
        <v/>
      </c>
      <c r="AE2506">
        <f>IF(OR('19_Расчет_аналитики'!AE2478=0,19&lt;='01_Вводные'!$B$297),0,'19_Расчет_аналитики'!AE2478*IF('01_Вводные'!$B$239="Да",MeanMinAge19+'19_Расчет_аналитики'!AE2583*SUMIF(ThresholdAge19,"&lt;"&amp;'19_Расчет_аналитики'!AE2583,WeightedRevAge19)-SUMIF(ThresholdAge19,"&lt;"&amp;'19_Расчет_аналитики'!AE2583,WeightedMinAge19),MAX(CapacityAge19*'01_Вводные'!$B$218*'19_Расчет_аналитики'!AE2583,MeanMinAge19)))</f>
        <v/>
      </c>
      <c r="AF2506">
        <f>IF(OR('19_Расчет_аналитики'!AF2478=0,19&lt;='01_Вводные'!$B$297),0,'19_Расчет_аналитики'!AF2478*IF('01_Вводные'!$B$239="Да",MeanMinAge19+'19_Расчет_аналитики'!AF2583*SUMIF(ThresholdAge19,"&lt;"&amp;'19_Расчет_аналитики'!AF2583,WeightedRevAge19)-SUMIF(ThresholdAge19,"&lt;"&amp;'19_Расчет_аналитики'!AF2583,WeightedMinAge19),MAX(CapacityAge19*'01_Вводные'!$B$218*'19_Расчет_аналитики'!AF2583,MeanMinAge19)))</f>
        <v/>
      </c>
      <c r="AG2506">
        <f>IF(OR('19_Расчет_аналитики'!AG2478=0,19&lt;='01_Вводные'!$B$297),0,'19_Расчет_аналитики'!AG2478*IF('01_Вводные'!$B$239="Да",MeanMinAge19+'19_Расчет_аналитики'!AG2583*SUMIF(ThresholdAge19,"&lt;"&amp;'19_Расчет_аналитики'!AG2583,WeightedRevAge19)-SUMIF(ThresholdAge19,"&lt;"&amp;'19_Расчет_аналитики'!AG2583,WeightedMinAge19),MAX(CapacityAge19*'01_Вводные'!$B$218*'19_Расчет_аналитики'!AG2583,MeanMinAge19)))</f>
        <v/>
      </c>
      <c r="AH2506">
        <f>IF(OR('19_Расчет_аналитики'!AH2478=0,19&lt;='01_Вводные'!$B$297),0,'19_Расчет_аналитики'!AH2478*IF('01_Вводные'!$B$239="Да",MeanMinAge19+'19_Расчет_аналитики'!AH2583*SUMIF(ThresholdAge19,"&lt;"&amp;'19_Расчет_аналитики'!AH2583,WeightedRevAge19)-SUMIF(ThresholdAge19,"&lt;"&amp;'19_Расчет_аналитики'!AH2583,WeightedMinAge19),MAX(CapacityAge19*'01_Вводные'!$B$218*'19_Расчет_аналитики'!AH2583,MeanMinAge19)))</f>
        <v/>
      </c>
      <c r="AI2506">
        <f>IF(OR('19_Расчет_аналитики'!AI2478=0,19&lt;='01_Вводные'!$B$297),0,'19_Расчет_аналитики'!AI2478*IF('01_Вводные'!$B$239="Да",MeanMinAge19+'19_Расчет_аналитики'!AI2583*SUMIF(ThresholdAge19,"&lt;"&amp;'19_Расчет_аналитики'!AI2583,WeightedRevAge19)-SUMIF(ThresholdAge19,"&lt;"&amp;'19_Расчет_аналитики'!AI2583,WeightedMinAge19),MAX(CapacityAge19*'01_Вводные'!$B$218*'19_Расчет_аналитики'!AI2583,MeanMinAge19)))</f>
        <v/>
      </c>
      <c r="AJ2506">
        <f>IF(OR('19_Расчет_аналитики'!AJ2478=0,19&lt;='01_Вводные'!$B$297),0,'19_Расчет_аналитики'!AJ2478*IF('01_Вводные'!$B$239="Да",MeanMinAge19+'19_Расчет_аналитики'!AJ2583*SUMIF(ThresholdAge19,"&lt;"&amp;'19_Расчет_аналитики'!AJ2583,WeightedRevAge19)-SUMIF(ThresholdAge19,"&lt;"&amp;'19_Расчет_аналитики'!AJ2583,WeightedMinAge19),MAX(CapacityAge19*'01_Вводные'!$B$218*'19_Расчет_аналитики'!AJ2583,MeanMinAge19)))</f>
        <v/>
      </c>
      <c r="AK2506">
        <f>IF(OR('19_Расчет_аналитики'!AK2478=0,19&lt;='01_Вводные'!$B$297),0,'19_Расчет_аналитики'!AK2478*IF('01_Вводные'!$B$239="Да",MeanMinAge19+'19_Расчет_аналитики'!AK2583*SUMIF(ThresholdAge19,"&lt;"&amp;'19_Расчет_аналитики'!AK2583,WeightedRevAge19)-SUMIF(ThresholdAge19,"&lt;"&amp;'19_Расчет_аналитики'!AK2583,WeightedMinAge19),MAX(CapacityAge19*'01_Вводные'!$B$218*'19_Расчет_аналитики'!AK2583,MeanMinAge19)))</f>
        <v/>
      </c>
      <c r="AL2506">
        <f>IF(OR('19_Расчет_аналитики'!AL2478=0,19&lt;='01_Вводные'!$B$297),0,'19_Расчет_аналитики'!AL2478*IF('01_Вводные'!$B$239="Да",MeanMinAge19+'19_Расчет_аналитики'!AL2583*SUMIF(ThresholdAge19,"&lt;"&amp;'19_Расчет_аналитики'!AL2583,WeightedRevAge19)-SUMIF(ThresholdAge19,"&lt;"&amp;'19_Расчет_аналитики'!AL2583,WeightedMinAge19),MAX(CapacityAge19*'01_Вводные'!$B$218*'19_Расчет_аналитики'!AL2583,MeanMinAge19)))</f>
        <v/>
      </c>
      <c r="AM2506">
        <f>IF(OR('19_Расчет_аналитики'!AM2478=0,19&lt;='01_Вводные'!$B$297),0,'19_Расчет_аналитики'!AM2478*IF('01_Вводные'!$B$239="Да",MeanMinAge19+'19_Расчет_аналитики'!AM2583*SUMIF(ThresholdAge19,"&lt;"&amp;'19_Расчет_аналитики'!AM2583,WeightedRevAge19)-SUMIF(ThresholdAge19,"&lt;"&amp;'19_Расчет_аналитики'!AM2583,WeightedMinAge19),MAX(CapacityAge19*'01_Вводные'!$B$218*'19_Расчет_аналитики'!AM2583,MeanMinAge19)))</f>
        <v/>
      </c>
      <c r="AN2506">
        <f>IF(OR('19_Расчет_аналитики'!AN2478=0,19&lt;='01_Вводные'!$B$297),0,'19_Расчет_аналитики'!AN2478*IF('01_Вводные'!$B$239="Да",MeanMinAge19+'19_Расчет_аналитики'!AN2583*SUMIF(ThresholdAge19,"&lt;"&amp;'19_Расчет_аналитики'!AN2583,WeightedRevAge19)-SUMIF(ThresholdAge19,"&lt;"&amp;'19_Расчет_аналитики'!AN2583,WeightedMinAge19),MAX(CapacityAge19*'01_Вводные'!$B$218*'19_Расчет_аналитики'!AN2583,MeanMinAge19)))</f>
        <v/>
      </c>
      <c r="AO2506">
        <f>IF(OR('19_Расчет_аналитики'!AO2478=0,19&lt;='01_Вводные'!$B$297),0,'19_Расчет_аналитики'!AO2478*IF('01_Вводные'!$B$239="Да",MeanMinAge19+'19_Расчет_аналитики'!AO2583*SUMIF(ThresholdAge19,"&lt;"&amp;'19_Расчет_аналитики'!AO2583,WeightedRevAge19)-SUMIF(ThresholdAge19,"&lt;"&amp;'19_Расчет_аналитики'!AO2583,WeightedMinAge19),MAX(CapacityAge19*'01_Вводные'!$B$218*'19_Расчет_аналитики'!AO2583,MeanMinAge19)))</f>
        <v/>
      </c>
      <c r="AP2506">
        <f>IF(OR('19_Расчет_аналитики'!AP2478=0,19&lt;='01_Вводные'!$B$297),0,'19_Расчет_аналитики'!AP2478*IF('01_Вводные'!$B$239="Да",MeanMinAge19+'19_Расчет_аналитики'!AP2583*SUMIF(ThresholdAge19,"&lt;"&amp;'19_Расчет_аналитики'!AP2583,WeightedRevAge19)-SUMIF(ThresholdAge19,"&lt;"&amp;'19_Расчет_аналитики'!AP2583,WeightedMinAge19),MAX(CapacityAge19*'01_Вводные'!$B$218*'19_Расчет_аналитики'!AP2583,MeanMinAge19)))</f>
        <v/>
      </c>
      <c r="AQ2506">
        <f>IF(OR('19_Расчет_аналитики'!AQ2478=0,19&lt;='01_Вводные'!$B$297),0,'19_Расчет_аналитики'!AQ2478*IF('01_Вводные'!$B$239="Да",MeanMinAge19+'19_Расчет_аналитики'!AQ2583*SUMIF(ThresholdAge19,"&lt;"&amp;'19_Расчет_аналитики'!AQ2583,WeightedRevAge19)-SUMIF(ThresholdAge19,"&lt;"&amp;'19_Расчет_аналитики'!AQ2583,WeightedMinAge19),MAX(CapacityAge19*'01_Вводные'!$B$218*'19_Расчет_аналитики'!AQ2583,MeanMinAge19)))</f>
        <v/>
      </c>
      <c r="AR2506">
        <f>IF(OR('19_Расчет_аналитики'!AR2478=0,19&lt;='01_Вводные'!$B$297),0,'19_Расчет_аналитики'!AR2478*IF('01_Вводные'!$B$239="Да",MeanMinAge19+'19_Расчет_аналитики'!AR2583*SUMIF(ThresholdAge19,"&lt;"&amp;'19_Расчет_аналитики'!AR2583,WeightedRevAge19)-SUMIF(ThresholdAge19,"&lt;"&amp;'19_Расчет_аналитики'!AR2583,WeightedMinAge19),MAX(CapacityAge19*'01_Вводные'!$B$218*'19_Расчет_аналитики'!AR2583,MeanMinAge19)))</f>
        <v/>
      </c>
      <c r="AS2506">
        <f>IF(OR('19_Расчет_аналитики'!AS2478=0,19&lt;='01_Вводные'!$B$297),0,'19_Расчет_аналитики'!AS2478*IF('01_Вводные'!$B$239="Да",MeanMinAge19+'19_Расчет_аналитики'!AS2583*SUMIF(ThresholdAge19,"&lt;"&amp;'19_Расчет_аналитики'!AS2583,WeightedRevAge19)-SUMIF(ThresholdAge19,"&lt;"&amp;'19_Расчет_аналитики'!AS2583,WeightedMinAge19),MAX(CapacityAge19*'01_Вводные'!$B$218*'19_Расчет_аналитики'!AS2583,MeanMinAge19)))</f>
        <v/>
      </c>
      <c r="AT2506">
        <f>IF(OR('19_Расчет_аналитики'!AT2478=0,19&lt;='01_Вводные'!$B$297),0,'19_Расчет_аналитики'!AT2478*IF('01_Вводные'!$B$239="Да",MeanMinAge19+'19_Расчет_аналитики'!AT2583*SUMIF(ThresholdAge19,"&lt;"&amp;'19_Расчет_аналитики'!AT2583,WeightedRevAge19)-SUMIF(ThresholdAge19,"&lt;"&amp;'19_Расчет_аналитики'!AT2583,WeightedMinAge19),MAX(CapacityAge19*'01_Вводные'!$B$218*'19_Расчет_аналитики'!AT2583,MeanMinAge19)))</f>
        <v/>
      </c>
      <c r="AU2506">
        <f>IF(OR('19_Расчет_аналитики'!AU2478=0,19&lt;='01_Вводные'!$B$297),0,'19_Расчет_аналитики'!AU2478*IF('01_Вводные'!$B$239="Да",MeanMinAge19+'19_Расчет_аналитики'!AU2583*SUMIF(ThresholdAge19,"&lt;"&amp;'19_Расчет_аналитики'!AU2583,WeightedRevAge19)-SUMIF(ThresholdAge19,"&lt;"&amp;'19_Расчет_аналитики'!AU2583,WeightedMinAge19),MAX(CapacityAge19*'01_Вводные'!$B$218*'19_Расчет_аналитики'!AU2583,MeanMinAge19)))</f>
        <v/>
      </c>
      <c r="AV2506">
        <f>IF(OR('19_Расчет_аналитики'!AV2478=0,19&lt;='01_Вводные'!$B$297),0,'19_Расчет_аналитики'!AV2478*IF('01_Вводные'!$B$239="Да",MeanMinAge19+'19_Расчет_аналитики'!AV2583*SUMIF(ThresholdAge19,"&lt;"&amp;'19_Расчет_аналитики'!AV2583,WeightedRevAge19)-SUMIF(ThresholdAge19,"&lt;"&amp;'19_Расчет_аналитики'!AV2583,WeightedMinAge19),MAX(CapacityAge19*'01_Вводные'!$B$218*'19_Расчет_аналитики'!AV2583,MeanMinAge19)))</f>
        <v/>
      </c>
      <c r="AW2506">
        <f>IF(OR('19_Расчет_аналитики'!AW2478=0,19&lt;='01_Вводные'!$B$297),0,'19_Расчет_аналитики'!AW2478*IF('01_Вводные'!$B$239="Да",MeanMinAge19+'19_Расчет_аналитики'!AW2583*SUMIF(ThresholdAge19,"&lt;"&amp;'19_Расчет_аналитики'!AW2583,WeightedRevAge19)-SUMIF(ThresholdAge19,"&lt;"&amp;'19_Расчет_аналитики'!AW2583,WeightedMinAge19),MAX(CapacityAge19*'01_Вводные'!$B$218*'19_Расчет_аналитики'!AW2583,MeanMinAge19)))</f>
        <v/>
      </c>
      <c r="AX2506">
        <f>IF(OR('19_Расчет_аналитики'!AX2478=0,19&lt;='01_Вводные'!$B$297),0,'19_Расчет_аналитики'!AX2478*IF('01_Вводные'!$B$239="Да",MeanMinAge19+'19_Расчет_аналитики'!AX2583*SUMIF(ThresholdAge19,"&lt;"&amp;'19_Расчет_аналитики'!AX2583,WeightedRevAge19)-SUMIF(ThresholdAge19,"&lt;"&amp;'19_Расчет_аналитики'!AX2583,WeightedMinAge19),MAX(CapacityAge19*'01_Вводные'!$B$218*'19_Расчет_аналитики'!AX2583,MeanMinAge19)))</f>
        <v/>
      </c>
      <c r="AY2506">
        <f>IF(OR('19_Расчет_аналитики'!AY2478=0,19&lt;='01_Вводные'!$B$297),0,'19_Расчет_аналитики'!AY2478*IF('01_Вводные'!$B$239="Да",MeanMinAge19+'19_Расчет_аналитики'!AY2583*SUMIF(ThresholdAge19,"&lt;"&amp;'19_Расчет_аналитики'!AY2583,WeightedRevAge19)-SUMIF(ThresholdAge19,"&lt;"&amp;'19_Расчет_аналитики'!AY2583,WeightedMinAge19),MAX(CapacityAge19*'01_Вводные'!$B$218*'19_Расчет_аналитики'!AY2583,MeanMinAge19)))</f>
        <v/>
      </c>
      <c r="AZ2506">
        <f>IF(OR('19_Расчет_аналитики'!AZ2478=0,19&lt;='01_Вводные'!$B$297),0,'19_Расчет_аналитики'!AZ2478*IF('01_Вводные'!$B$239="Да",MeanMinAge19+'19_Расчет_аналитики'!AZ2583*SUMIF(ThresholdAge19,"&lt;"&amp;'19_Расчет_аналитики'!AZ2583,WeightedRevAge19)-SUMIF(ThresholdAge19,"&lt;"&amp;'19_Расчет_аналитики'!AZ2583,WeightedMinAge19),MAX(CapacityAge19*'01_Вводные'!$B$218*'19_Расчет_аналитики'!AZ2583,MeanMinAge19)))</f>
        <v/>
      </c>
      <c r="BA2506">
        <f>IF(OR('19_Расчет_аналитики'!BA2478=0,19&lt;='01_Вводные'!$B$297),0,'19_Расчет_аналитики'!BA2478*IF('01_Вводные'!$B$239="Да",MeanMinAge19+'19_Расчет_аналитики'!BA2583*SUMIF(ThresholdAge19,"&lt;"&amp;'19_Расчет_аналитики'!BA2583,WeightedRevAge19)-SUMIF(ThresholdAge19,"&lt;"&amp;'19_Расчет_аналитики'!BA2583,WeightedMinAge19),MAX(CapacityAge19*'01_Вводные'!$B$218*'19_Расчет_аналитики'!BA2583,MeanMinAge19)))</f>
        <v/>
      </c>
      <c r="BB2506">
        <f>IF(OR('19_Расчет_аналитики'!BB2478=0,19&lt;='01_Вводные'!$B$297),0,'19_Расчет_аналитики'!BB2478*IF('01_Вводные'!$B$239="Да",MeanMinAge19+'19_Расчет_аналитики'!BB2583*SUMIF(ThresholdAge19,"&lt;"&amp;'19_Расчет_аналитики'!BB2583,WeightedRevAge19)-SUMIF(ThresholdAge19,"&lt;"&amp;'19_Расчет_аналитики'!BB2583,WeightedMinAge19),MAX(CapacityAge19*'01_Вводные'!$B$218*'19_Расчет_аналитики'!BB2583,MeanMinAge19)))</f>
        <v/>
      </c>
      <c r="BC2506">
        <f>IF(OR('19_Расчет_аналитики'!BC2478=0,19&lt;='01_Вводные'!$B$297),0,'19_Расчет_аналитики'!BC2478*IF('01_Вводные'!$B$239="Да",MeanMinAge19+'19_Расчет_аналитики'!BC2583*SUMIF(ThresholdAge19,"&lt;"&amp;'19_Расчет_аналитики'!BC2583,WeightedRevAge19)-SUMIF(ThresholdAge19,"&lt;"&amp;'19_Расчет_аналитики'!BC2583,WeightedMinAge19),MAX(CapacityAge19*'01_Вводные'!$B$218*'19_Расчет_аналитики'!BC2583,MeanMinAge19)))</f>
        <v/>
      </c>
      <c r="BD2506">
        <f>IF(OR('19_Расчет_аналитики'!BD2478=0,19&lt;='01_Вводные'!$B$297),0,'19_Расчет_аналитики'!BD2478*IF('01_Вводные'!$B$239="Да",MeanMinAge19+'19_Расчет_аналитики'!BD2583*SUMIF(ThresholdAge19,"&lt;"&amp;'19_Расчет_аналитики'!BD2583,WeightedRevAge19)-SUMIF(ThresholdAge19,"&lt;"&amp;'19_Расчет_аналитики'!BD2583,WeightedMinAge19),MAX(CapacityAge19*'01_Вводные'!$B$218*'19_Расчет_аналитики'!BD2583,MeanMinAge19)))</f>
        <v/>
      </c>
      <c r="BE2506">
        <f>IF(OR('19_Расчет_аналитики'!BE2478=0,19&lt;='01_Вводные'!$B$297),0,'19_Расчет_аналитики'!BE2478*IF('01_Вводные'!$B$239="Да",MeanMinAge19+'19_Расчет_аналитики'!BE2583*SUMIF(ThresholdAge19,"&lt;"&amp;'19_Расчет_аналитики'!BE2583,WeightedRevAge19)-SUMIF(ThresholdAge19,"&lt;"&amp;'19_Расчет_аналитики'!BE2583,WeightedMinAge19),MAX(CapacityAge19*'01_Вводные'!$B$218*'19_Расчет_аналитики'!BE2583,MeanMinAge19)))</f>
        <v/>
      </c>
      <c r="BF2506">
        <f>IF(OR('19_Расчет_аналитики'!BF2478=0,19&lt;='01_Вводные'!$B$297),0,'19_Расчет_аналитики'!BF2478*IF('01_Вводные'!$B$239="Да",MeanMinAge19+'19_Расчет_аналитики'!BF2583*SUMIF(ThresholdAge19,"&lt;"&amp;'19_Расчет_аналитики'!BF2583,WeightedRevAge19)-SUMIF(ThresholdAge19,"&lt;"&amp;'19_Расчет_аналитики'!BF2583,WeightedMinAge19),MAX(CapacityAge19*'01_Вводные'!$B$218*'19_Расчет_аналитики'!BF2583,MeanMinAge19)))</f>
        <v/>
      </c>
      <c r="BG2506">
        <f>IF(OR('19_Расчет_аналитики'!BG2478=0,19&lt;='01_Вводные'!$B$297),0,'19_Расчет_аналитики'!BG2478*IF('01_Вводные'!$B$239="Да",MeanMinAge19+'19_Расчет_аналитики'!BG2583*SUMIF(ThresholdAge19,"&lt;"&amp;'19_Расчет_аналитики'!BG2583,WeightedRevAge19)-SUMIF(ThresholdAge19,"&lt;"&amp;'19_Расчет_аналитики'!BG2583,WeightedMinAge19),MAX(CapacityAge19*'01_Вводные'!$B$218*'19_Расчет_аналитики'!BG2583,MeanMinAge19)))</f>
        <v/>
      </c>
      <c r="BH2506">
        <f>IF(OR('19_Расчет_аналитики'!BH2478=0,19&lt;='01_Вводные'!$B$297),0,'19_Расчет_аналитики'!BH2478*IF('01_Вводные'!$B$239="Да",MeanMinAge19+'19_Расчет_аналитики'!BH2583*SUMIF(ThresholdAge19,"&lt;"&amp;'19_Расчет_аналитики'!BH2583,WeightedRevAge19)-SUMIF(ThresholdAge19,"&lt;"&amp;'19_Расчет_аналитики'!BH2583,WeightedMinAge19),MAX(CapacityAge19*'01_Вводные'!$B$218*'19_Расчет_аналитики'!BH2583,MeanMinAge19)))</f>
        <v/>
      </c>
      <c r="BI2506">
        <f>IF(OR('19_Расчет_аналитики'!BI2478=0,19&lt;='01_Вводные'!$B$297),0,'19_Расчет_аналитики'!BI2478*IF('01_Вводные'!$B$239="Да",MeanMinAge19+'19_Расчет_аналитики'!BI2583*SUMIF(ThresholdAge19,"&lt;"&amp;'19_Расчет_аналитики'!BI2583,WeightedRevAge19)-SUMIF(ThresholdAge19,"&lt;"&amp;'19_Расчет_аналитики'!BI2583,WeightedMinAge19),MAX(CapacityAge19*'01_Вводные'!$B$218*'19_Расчет_аналитики'!BI2583,MeanMinAge19)))</f>
        <v/>
      </c>
      <c r="BJ2506">
        <f>IF(OR('19_Расчет_аналитики'!BJ2478=0,19&lt;='01_Вводные'!$B$297),0,'19_Расчет_аналитики'!BJ2478*IF('01_Вводные'!$B$239="Да",MeanMinAge19+'19_Расчет_аналитики'!BJ2583*SUMIF(ThresholdAge19,"&lt;"&amp;'19_Расчет_аналитики'!BJ2583,WeightedRevAge19)-SUMIF(ThresholdAge19,"&lt;"&amp;'19_Расчет_аналитики'!BJ2583,WeightedMinAge19),MAX(CapacityAge19*'01_Вводные'!$B$218*'19_Расчет_аналитики'!BJ2583,MeanMinAge19)))</f>
        <v/>
      </c>
      <c r="BK2506">
        <f>IF(OR('19_Расчет_аналитики'!BK2478=0,19&lt;='01_Вводные'!$B$297),0,'19_Расчет_аналитики'!BK2478*IF('01_Вводные'!$B$239="Да",MeanMinAge19+'19_Расчет_аналитики'!BK2583*SUMIF(ThresholdAge19,"&lt;"&amp;'19_Расчет_аналитики'!BK2583,WeightedRevAge19)-SUMIF(ThresholdAge19,"&lt;"&amp;'19_Расчет_аналитики'!BK2583,WeightedMinAge19),MAX(CapacityAge19*'01_Вводные'!$B$218*'19_Расчет_аналитики'!BK2583,MeanMinAge19)))</f>
        <v/>
      </c>
      <c r="BL2506">
        <f>IF(OR('19_Расчет_аналитики'!BL2478=0,19&lt;='01_Вводные'!$B$297),0,'19_Расчет_аналитики'!BL2478*IF('01_Вводные'!$B$239="Да",MeanMinAge19+'19_Расчет_аналитики'!BL2583*SUMIF(ThresholdAge19,"&lt;"&amp;'19_Расчет_аналитики'!BL2583,WeightedRevAge19)-SUMIF(ThresholdAge19,"&lt;"&amp;'19_Расчет_аналитики'!BL2583,WeightedMinAge19),MAX(CapacityAge19*'01_Вводные'!$B$218*'19_Расчет_аналитики'!BL2583,MeanMinAge19)))</f>
        <v/>
      </c>
      <c r="BM2506">
        <f>IF(OR('19_Расчет_аналитики'!BM2478=0,19&lt;='01_Вводные'!$B$297),0,'19_Расчет_аналитики'!BM2478*IF('01_Вводные'!$B$239="Да",MeanMinAge19+'19_Расчет_аналитики'!BM2583*SUMIF(ThresholdAge19,"&lt;"&amp;'19_Расчет_аналитики'!BM2583,WeightedRevAge19)-SUMIF(ThresholdAge19,"&lt;"&amp;'19_Расчет_аналитики'!BM2583,WeightedMinAge19),MAX(CapacityAge19*'01_Вводные'!$B$218*'19_Расчет_аналитики'!BM2583,MeanMinAge19)))</f>
        <v/>
      </c>
      <c r="BN2506">
        <f>IF(OR('19_Расчет_аналитики'!BN2478=0,19&lt;='01_Вводные'!$B$297),0,'19_Расчет_аналитики'!BN2478*IF('01_Вводные'!$B$239="Да",MeanMinAge19+'19_Расчет_аналитики'!BN2583*SUMIF(ThresholdAge19,"&lt;"&amp;'19_Расчет_аналитики'!BN2583,WeightedRevAge19)-SUMIF(ThresholdAge19,"&lt;"&amp;'19_Расчет_аналитики'!BN2583,WeightedMinAge19),MAX(CapacityAge19*'01_Вводные'!$B$218*'19_Расчет_аналитики'!BN2583,MeanMinAge19)))</f>
        <v/>
      </c>
      <c r="BO2506">
        <f>IF(OR('19_Расчет_аналитики'!BO2478=0,19&lt;='01_Вводные'!$B$297),0,'19_Расчет_аналитики'!BO2478*IF('01_Вводные'!$B$239="Да",MeanMinAge19+'19_Расчет_аналитики'!BO2583*SUMIF(ThresholdAge19,"&lt;"&amp;'19_Расчет_аналитики'!BO2583,WeightedRevAge19)-SUMIF(ThresholdAge19,"&lt;"&amp;'19_Расчет_аналитики'!BO2583,WeightedMinAge19),MAX(CapacityAge19*'01_Вводные'!$B$218*'19_Расчет_аналитики'!BO2583,MeanMinAge19)))</f>
        <v/>
      </c>
    </row>
    <row r="2507">
      <c r="B2507">
        <f>IF(OR('06_Сеть_и_дети'!B100=0,20&lt;='01_Вводные'!$B$297),0,'06_Сеть_и_дети'!B100*IF('01_Вводные'!$B$239="Да",MeanMinAge20+'19_Расчет_аналитики'!B2583*SUMIF(ThresholdAge20,"&lt;"&amp;'19_Расчет_аналитики'!B2583,WeightedRevAge20)-SUMIF(ThresholdAge20,"&lt;"&amp;'19_Расчет_аналитики'!B2583,WeightedMinAge20),MAX(CapacityAge20*'01_Вводные'!$B$218*'19_Расчет_аналитики'!B2583,MeanMinAge20)))</f>
        <v/>
      </c>
      <c r="C2507">
        <f>IF(OR('06_Сеть_и_дети'!C100=0,20&lt;='01_Вводные'!$B$297),0,'06_Сеть_и_дети'!C100*IF('01_Вводные'!$B$239="Да",MeanMinAge20+'19_Расчет_аналитики'!C2583*SUMIF(ThresholdAge20,"&lt;"&amp;'19_Расчет_аналитики'!C2583,WeightedRevAge20)-SUMIF(ThresholdAge20,"&lt;"&amp;'19_Расчет_аналитики'!C2583,WeightedMinAge20),MAX(CapacityAge20*'01_Вводные'!$B$218*'19_Расчет_аналитики'!C2583,MeanMinAge20)))</f>
        <v/>
      </c>
      <c r="D2507">
        <f>IF(OR('06_Сеть_и_дети'!D100=0,20&lt;='01_Вводные'!$B$297),0,'06_Сеть_и_дети'!D100*IF('01_Вводные'!$B$239="Да",MeanMinAge20+'19_Расчет_аналитики'!D2583*SUMIF(ThresholdAge20,"&lt;"&amp;'19_Расчет_аналитики'!D2583,WeightedRevAge20)-SUMIF(ThresholdAge20,"&lt;"&amp;'19_Расчет_аналитики'!D2583,WeightedMinAge20),MAX(CapacityAge20*'01_Вводные'!$B$218*'19_Расчет_аналитики'!D2583,MeanMinAge20)))</f>
        <v/>
      </c>
      <c r="E2507">
        <f>IF(OR('06_Сеть_и_дети'!E100=0,20&lt;='01_Вводные'!$B$297),0,'06_Сеть_и_дети'!E100*IF('01_Вводные'!$B$239="Да",MeanMinAge20+'19_Расчет_аналитики'!E2583*SUMIF(ThresholdAge20,"&lt;"&amp;'19_Расчет_аналитики'!E2583,WeightedRevAge20)-SUMIF(ThresholdAge20,"&lt;"&amp;'19_Расчет_аналитики'!E2583,WeightedMinAge20),MAX(CapacityAge20*'01_Вводные'!$B$218*'19_Расчет_аналитики'!E2583,MeanMinAge20)))</f>
        <v/>
      </c>
      <c r="F2507">
        <f>IF(OR('06_Сеть_и_дети'!F100=0,20&lt;='01_Вводные'!$B$297),0,'06_Сеть_и_дети'!F100*IF('01_Вводные'!$B$239="Да",MeanMinAge20+'19_Расчет_аналитики'!F2583*SUMIF(ThresholdAge20,"&lt;"&amp;'19_Расчет_аналитики'!F2583,WeightedRevAge20)-SUMIF(ThresholdAge20,"&lt;"&amp;'19_Расчет_аналитики'!F2583,WeightedMinAge20),MAX(CapacityAge20*'01_Вводные'!$B$218*'19_Расчет_аналитики'!F2583,MeanMinAge20)))</f>
        <v/>
      </c>
      <c r="G2507">
        <f>IF(OR('06_Сеть_и_дети'!G100=0,20&lt;='01_Вводные'!$B$297),0,'06_Сеть_и_дети'!G100*IF('01_Вводные'!$B$239="Да",MeanMinAge20+'19_Расчет_аналитики'!G2583*SUMIF(ThresholdAge20,"&lt;"&amp;'19_Расчет_аналитики'!G2583,WeightedRevAge20)-SUMIF(ThresholdAge20,"&lt;"&amp;'19_Расчет_аналитики'!G2583,WeightedMinAge20),MAX(CapacityAge20*'01_Вводные'!$B$218*'19_Расчет_аналитики'!G2583,MeanMinAge20)))</f>
        <v/>
      </c>
      <c r="H2507">
        <f>IF(OR('06_Сеть_и_дети'!H100=0,20&lt;='01_Вводные'!$B$297),0,'06_Сеть_и_дети'!H100*IF('01_Вводные'!$B$239="Да",MeanMinAge20+'19_Расчет_аналитики'!H2583*SUMIF(ThresholdAge20,"&lt;"&amp;'19_Расчет_аналитики'!H2583,WeightedRevAge20)-SUMIF(ThresholdAge20,"&lt;"&amp;'19_Расчет_аналитики'!H2583,WeightedMinAge20),MAX(CapacityAge20*'01_Вводные'!$B$218*'19_Расчет_аналитики'!H2583,MeanMinAge20)))</f>
        <v/>
      </c>
      <c r="I2507">
        <f>IF(OR('06_Сеть_и_дети'!I100=0,20&lt;='01_Вводные'!$B$297),0,'06_Сеть_и_дети'!I100*IF('01_Вводные'!$B$239="Да",MeanMinAge20+'19_Расчет_аналитики'!I2583*SUMIF(ThresholdAge20,"&lt;"&amp;'19_Расчет_аналитики'!I2583,WeightedRevAge20)-SUMIF(ThresholdAge20,"&lt;"&amp;'19_Расчет_аналитики'!I2583,WeightedMinAge20),MAX(CapacityAge20*'01_Вводные'!$B$218*'19_Расчет_аналитики'!I2583,MeanMinAge20)))</f>
        <v/>
      </c>
      <c r="J2507">
        <f>IF(OR('06_Сеть_и_дети'!J100=0,20&lt;='01_Вводные'!$B$297),0,'06_Сеть_и_дети'!J100*IF('01_Вводные'!$B$239="Да",MeanMinAge20+'19_Расчет_аналитики'!J2583*SUMIF(ThresholdAge20,"&lt;"&amp;'19_Расчет_аналитики'!J2583,WeightedRevAge20)-SUMIF(ThresholdAge20,"&lt;"&amp;'19_Расчет_аналитики'!J2583,WeightedMinAge20),MAX(CapacityAge20*'01_Вводные'!$B$218*'19_Расчет_аналитики'!J2583,MeanMinAge20)))</f>
        <v/>
      </c>
      <c r="K2507">
        <f>IF(OR('06_Сеть_и_дети'!K100=0,20&lt;='01_Вводные'!$B$297),0,'06_Сеть_и_дети'!K100*IF('01_Вводные'!$B$239="Да",MeanMinAge20+'19_Расчет_аналитики'!K2583*SUMIF(ThresholdAge20,"&lt;"&amp;'19_Расчет_аналитики'!K2583,WeightedRevAge20)-SUMIF(ThresholdAge20,"&lt;"&amp;'19_Расчет_аналитики'!K2583,WeightedMinAge20),MAX(CapacityAge20*'01_Вводные'!$B$218*'19_Расчет_аналитики'!K2583,MeanMinAge20)))</f>
        <v/>
      </c>
      <c r="L2507">
        <f>IF(OR('06_Сеть_и_дети'!L100=0,20&lt;='01_Вводные'!$B$297),0,'06_Сеть_и_дети'!L100*IF('01_Вводные'!$B$239="Да",MeanMinAge20+'19_Расчет_аналитики'!L2583*SUMIF(ThresholdAge20,"&lt;"&amp;'19_Расчет_аналитики'!L2583,WeightedRevAge20)-SUMIF(ThresholdAge20,"&lt;"&amp;'19_Расчет_аналитики'!L2583,WeightedMinAge20),MAX(CapacityAge20*'01_Вводные'!$B$218*'19_Расчет_аналитики'!L2583,MeanMinAge20)))</f>
        <v/>
      </c>
      <c r="M2507">
        <f>IF(OR('06_Сеть_и_дети'!M100=0,20&lt;='01_Вводные'!$B$297),0,'06_Сеть_и_дети'!M100*IF('01_Вводные'!$B$239="Да",MeanMinAge20+'19_Расчет_аналитики'!M2583*SUMIF(ThresholdAge20,"&lt;"&amp;'19_Расчет_аналитики'!M2583,WeightedRevAge20)-SUMIF(ThresholdAge20,"&lt;"&amp;'19_Расчет_аналитики'!M2583,WeightedMinAge20),MAX(CapacityAge20*'01_Вводные'!$B$218*'19_Расчет_аналитики'!M2583,MeanMinAge20)))</f>
        <v/>
      </c>
      <c r="N2507">
        <f>IF(OR('06_Сеть_и_дети'!N100=0,20&lt;='01_Вводные'!$B$297),0,'06_Сеть_и_дети'!N100*IF('01_Вводные'!$B$239="Да",MeanMinAge20+'19_Расчет_аналитики'!N2583*SUMIF(ThresholdAge20,"&lt;"&amp;'19_Расчет_аналитики'!N2583,WeightedRevAge20)-SUMIF(ThresholdAge20,"&lt;"&amp;'19_Расчет_аналитики'!N2583,WeightedMinAge20),MAX(CapacityAge20*'01_Вводные'!$B$218*'19_Расчет_аналитики'!N2583,MeanMinAge20)))</f>
        <v/>
      </c>
      <c r="O2507">
        <f>IF(OR('06_Сеть_и_дети'!O100=0,20&lt;='01_Вводные'!$B$297),0,'06_Сеть_и_дети'!O100*IF('01_Вводные'!$B$239="Да",MeanMinAge20+'19_Расчет_аналитики'!O2583*SUMIF(ThresholdAge20,"&lt;"&amp;'19_Расчет_аналитики'!O2583,WeightedRevAge20)-SUMIF(ThresholdAge20,"&lt;"&amp;'19_Расчет_аналитики'!O2583,WeightedMinAge20),MAX(CapacityAge20*'01_Вводные'!$B$218*'19_Расчет_аналитики'!O2583,MeanMinAge20)))</f>
        <v/>
      </c>
      <c r="P2507">
        <f>IF(OR('06_Сеть_и_дети'!P100=0,20&lt;='01_Вводные'!$B$297),0,'06_Сеть_и_дети'!P100*IF('01_Вводные'!$B$239="Да",MeanMinAge20+'19_Расчет_аналитики'!P2583*SUMIF(ThresholdAge20,"&lt;"&amp;'19_Расчет_аналитики'!P2583,WeightedRevAge20)-SUMIF(ThresholdAge20,"&lt;"&amp;'19_Расчет_аналитики'!P2583,WeightedMinAge20),MAX(CapacityAge20*'01_Вводные'!$B$218*'19_Расчет_аналитики'!P2583,MeanMinAge20)))</f>
        <v/>
      </c>
      <c r="Q2507">
        <f>IF(OR('06_Сеть_и_дети'!Q100=0,20&lt;='01_Вводные'!$B$297),0,'06_Сеть_и_дети'!Q100*IF('01_Вводные'!$B$239="Да",MeanMinAge20+'19_Расчет_аналитики'!Q2583*SUMIF(ThresholdAge20,"&lt;"&amp;'19_Расчет_аналитики'!Q2583,WeightedRevAge20)-SUMIF(ThresholdAge20,"&lt;"&amp;'19_Расчет_аналитики'!Q2583,WeightedMinAge20),MAX(CapacityAge20*'01_Вводные'!$B$218*'19_Расчет_аналитики'!Q2583,MeanMinAge20)))</f>
        <v/>
      </c>
      <c r="R2507">
        <f>IF(OR('06_Сеть_и_дети'!R100=0,20&lt;='01_Вводные'!$B$297),0,'06_Сеть_и_дети'!R100*IF('01_Вводные'!$B$239="Да",MeanMinAge20+'19_Расчет_аналитики'!R2583*SUMIF(ThresholdAge20,"&lt;"&amp;'19_Расчет_аналитики'!R2583,WeightedRevAge20)-SUMIF(ThresholdAge20,"&lt;"&amp;'19_Расчет_аналитики'!R2583,WeightedMinAge20),MAX(CapacityAge20*'01_Вводные'!$B$218*'19_Расчет_аналитики'!R2583,MeanMinAge20)))</f>
        <v/>
      </c>
      <c r="S2507">
        <f>IF(OR('06_Сеть_и_дети'!S100=0,20&lt;='01_Вводные'!$B$297),0,'06_Сеть_и_дети'!S100*IF('01_Вводные'!$B$239="Да",MeanMinAge20+'19_Расчет_аналитики'!S2583*SUMIF(ThresholdAge20,"&lt;"&amp;'19_Расчет_аналитики'!S2583,WeightedRevAge20)-SUMIF(ThresholdAge20,"&lt;"&amp;'19_Расчет_аналитики'!S2583,WeightedMinAge20),MAX(CapacityAge20*'01_Вводные'!$B$218*'19_Расчет_аналитики'!S2583,MeanMinAge20)))</f>
        <v/>
      </c>
      <c r="T2507">
        <f>IF(OR('06_Сеть_и_дети'!T100=0,20&lt;='01_Вводные'!$B$297),0,'06_Сеть_и_дети'!T100*IF('01_Вводные'!$B$239="Да",MeanMinAge20+'19_Расчет_аналитики'!T2583*SUMIF(ThresholdAge20,"&lt;"&amp;'19_Расчет_аналитики'!T2583,WeightedRevAge20)-SUMIF(ThresholdAge20,"&lt;"&amp;'19_Расчет_аналитики'!T2583,WeightedMinAge20),MAX(CapacityAge20*'01_Вводные'!$B$218*'19_Расчет_аналитики'!T2583,MeanMinAge20)))</f>
        <v/>
      </c>
      <c r="U2507">
        <f>IF(OR('19_Расчет_аналитики'!U2479=0,20&lt;='01_Вводные'!$B$297),0,'19_Расчет_аналитики'!U2479*IF('01_Вводные'!$B$239="Да",MeanMinAge20+'19_Расчет_аналитики'!U2583*SUMIF(ThresholdAge20,"&lt;"&amp;'19_Расчет_аналитики'!U2583,WeightedRevAge20)-SUMIF(ThresholdAge20,"&lt;"&amp;'19_Расчет_аналитики'!U2583,WeightedMinAge20),MAX(CapacityAge20*'01_Вводные'!$B$218*'19_Расчет_аналитики'!U2583,MeanMinAge20)))</f>
        <v/>
      </c>
      <c r="V2507">
        <f>IF(OR('19_Расчет_аналитики'!V2479=0,20&lt;='01_Вводные'!$B$297),0,'19_Расчет_аналитики'!V2479*IF('01_Вводные'!$B$239="Да",MeanMinAge20+'19_Расчет_аналитики'!V2583*SUMIF(ThresholdAge20,"&lt;"&amp;'19_Расчет_аналитики'!V2583,WeightedRevAge20)-SUMIF(ThresholdAge20,"&lt;"&amp;'19_Расчет_аналитики'!V2583,WeightedMinAge20),MAX(CapacityAge20*'01_Вводные'!$B$218*'19_Расчет_аналитики'!V2583,MeanMinAge20)))</f>
        <v/>
      </c>
      <c r="W2507">
        <f>IF(OR('19_Расчет_аналитики'!W2479=0,20&lt;='01_Вводные'!$B$297),0,'19_Расчет_аналитики'!W2479*IF('01_Вводные'!$B$239="Да",MeanMinAge20+'19_Расчет_аналитики'!W2583*SUMIF(ThresholdAge20,"&lt;"&amp;'19_Расчет_аналитики'!W2583,WeightedRevAge20)-SUMIF(ThresholdAge20,"&lt;"&amp;'19_Расчет_аналитики'!W2583,WeightedMinAge20),MAX(CapacityAge20*'01_Вводные'!$B$218*'19_Расчет_аналитики'!W2583,MeanMinAge20)))</f>
        <v/>
      </c>
      <c r="X2507">
        <f>IF(OR('19_Расчет_аналитики'!X2479=0,20&lt;='01_Вводные'!$B$297),0,'19_Расчет_аналитики'!X2479*IF('01_Вводные'!$B$239="Да",MeanMinAge20+'19_Расчет_аналитики'!X2583*SUMIF(ThresholdAge20,"&lt;"&amp;'19_Расчет_аналитики'!X2583,WeightedRevAge20)-SUMIF(ThresholdAge20,"&lt;"&amp;'19_Расчет_аналитики'!X2583,WeightedMinAge20),MAX(CapacityAge20*'01_Вводные'!$B$218*'19_Расчет_аналитики'!X2583,MeanMinAge20)))</f>
        <v/>
      </c>
      <c r="Y2507">
        <f>IF(OR('19_Расчет_аналитики'!Y2479=0,20&lt;='01_Вводные'!$B$297),0,'19_Расчет_аналитики'!Y2479*IF('01_Вводные'!$B$239="Да",MeanMinAge20+'19_Расчет_аналитики'!Y2583*SUMIF(ThresholdAge20,"&lt;"&amp;'19_Расчет_аналитики'!Y2583,WeightedRevAge20)-SUMIF(ThresholdAge20,"&lt;"&amp;'19_Расчет_аналитики'!Y2583,WeightedMinAge20),MAX(CapacityAge20*'01_Вводные'!$B$218*'19_Расчет_аналитики'!Y2583,MeanMinAge20)))</f>
        <v/>
      </c>
      <c r="Z2507">
        <f>IF(OR('19_Расчет_аналитики'!Z2479=0,20&lt;='01_Вводные'!$B$297),0,'19_Расчет_аналитики'!Z2479*IF('01_Вводные'!$B$239="Да",MeanMinAge20+'19_Расчет_аналитики'!Z2583*SUMIF(ThresholdAge20,"&lt;"&amp;'19_Расчет_аналитики'!Z2583,WeightedRevAge20)-SUMIF(ThresholdAge20,"&lt;"&amp;'19_Расчет_аналитики'!Z2583,WeightedMinAge20),MAX(CapacityAge20*'01_Вводные'!$B$218*'19_Расчет_аналитики'!Z2583,MeanMinAge20)))</f>
        <v/>
      </c>
      <c r="AA2507">
        <f>IF(OR('19_Расчет_аналитики'!AA2479=0,20&lt;='01_Вводные'!$B$297),0,'19_Расчет_аналитики'!AA2479*IF('01_Вводные'!$B$239="Да",MeanMinAge20+'19_Расчет_аналитики'!AA2583*SUMIF(ThresholdAge20,"&lt;"&amp;'19_Расчет_аналитики'!AA2583,WeightedRevAge20)-SUMIF(ThresholdAge20,"&lt;"&amp;'19_Расчет_аналитики'!AA2583,WeightedMinAge20),MAX(CapacityAge20*'01_Вводные'!$B$218*'19_Расчет_аналитики'!AA2583,MeanMinAge20)))</f>
        <v/>
      </c>
      <c r="AB2507">
        <f>IF(OR('19_Расчет_аналитики'!AB2479=0,20&lt;='01_Вводные'!$B$297),0,'19_Расчет_аналитики'!AB2479*IF('01_Вводные'!$B$239="Да",MeanMinAge20+'19_Расчет_аналитики'!AB2583*SUMIF(ThresholdAge20,"&lt;"&amp;'19_Расчет_аналитики'!AB2583,WeightedRevAge20)-SUMIF(ThresholdAge20,"&lt;"&amp;'19_Расчет_аналитики'!AB2583,WeightedMinAge20),MAX(CapacityAge20*'01_Вводные'!$B$218*'19_Расчет_аналитики'!AB2583,MeanMinAge20)))</f>
        <v/>
      </c>
      <c r="AC2507">
        <f>IF(OR('19_Расчет_аналитики'!AC2479=0,20&lt;='01_Вводные'!$B$297),0,'19_Расчет_аналитики'!AC2479*IF('01_Вводные'!$B$239="Да",MeanMinAge20+'19_Расчет_аналитики'!AC2583*SUMIF(ThresholdAge20,"&lt;"&amp;'19_Расчет_аналитики'!AC2583,WeightedRevAge20)-SUMIF(ThresholdAge20,"&lt;"&amp;'19_Расчет_аналитики'!AC2583,WeightedMinAge20),MAX(CapacityAge20*'01_Вводные'!$B$218*'19_Расчет_аналитики'!AC2583,MeanMinAge20)))</f>
        <v/>
      </c>
      <c r="AD2507">
        <f>IF(OR('19_Расчет_аналитики'!AD2479=0,20&lt;='01_Вводные'!$B$297),0,'19_Расчет_аналитики'!AD2479*IF('01_Вводные'!$B$239="Да",MeanMinAge20+'19_Расчет_аналитики'!AD2583*SUMIF(ThresholdAge20,"&lt;"&amp;'19_Расчет_аналитики'!AD2583,WeightedRevAge20)-SUMIF(ThresholdAge20,"&lt;"&amp;'19_Расчет_аналитики'!AD2583,WeightedMinAge20),MAX(CapacityAge20*'01_Вводные'!$B$218*'19_Расчет_аналитики'!AD2583,MeanMinAge20)))</f>
        <v/>
      </c>
      <c r="AE2507">
        <f>IF(OR('19_Расчет_аналитики'!AE2479=0,20&lt;='01_Вводные'!$B$297),0,'19_Расчет_аналитики'!AE2479*IF('01_Вводные'!$B$239="Да",MeanMinAge20+'19_Расчет_аналитики'!AE2583*SUMIF(ThresholdAge20,"&lt;"&amp;'19_Расчет_аналитики'!AE2583,WeightedRevAge20)-SUMIF(ThresholdAge20,"&lt;"&amp;'19_Расчет_аналитики'!AE2583,WeightedMinAge20),MAX(CapacityAge20*'01_Вводные'!$B$218*'19_Расчет_аналитики'!AE2583,MeanMinAge20)))</f>
        <v/>
      </c>
      <c r="AF2507">
        <f>IF(OR('19_Расчет_аналитики'!AF2479=0,20&lt;='01_Вводные'!$B$297),0,'19_Расчет_аналитики'!AF2479*IF('01_Вводные'!$B$239="Да",MeanMinAge20+'19_Расчет_аналитики'!AF2583*SUMIF(ThresholdAge20,"&lt;"&amp;'19_Расчет_аналитики'!AF2583,WeightedRevAge20)-SUMIF(ThresholdAge20,"&lt;"&amp;'19_Расчет_аналитики'!AF2583,WeightedMinAge20),MAX(CapacityAge20*'01_Вводные'!$B$218*'19_Расчет_аналитики'!AF2583,MeanMinAge20)))</f>
        <v/>
      </c>
      <c r="AG2507">
        <f>IF(OR('19_Расчет_аналитики'!AG2479=0,20&lt;='01_Вводные'!$B$297),0,'19_Расчет_аналитики'!AG2479*IF('01_Вводные'!$B$239="Да",MeanMinAge20+'19_Расчет_аналитики'!AG2583*SUMIF(ThresholdAge20,"&lt;"&amp;'19_Расчет_аналитики'!AG2583,WeightedRevAge20)-SUMIF(ThresholdAge20,"&lt;"&amp;'19_Расчет_аналитики'!AG2583,WeightedMinAge20),MAX(CapacityAge20*'01_Вводные'!$B$218*'19_Расчет_аналитики'!AG2583,MeanMinAge20)))</f>
        <v/>
      </c>
      <c r="AH2507">
        <f>IF(OR('19_Расчет_аналитики'!AH2479=0,20&lt;='01_Вводные'!$B$297),0,'19_Расчет_аналитики'!AH2479*IF('01_Вводные'!$B$239="Да",MeanMinAge20+'19_Расчет_аналитики'!AH2583*SUMIF(ThresholdAge20,"&lt;"&amp;'19_Расчет_аналитики'!AH2583,WeightedRevAge20)-SUMIF(ThresholdAge20,"&lt;"&amp;'19_Расчет_аналитики'!AH2583,WeightedMinAge20),MAX(CapacityAge20*'01_Вводные'!$B$218*'19_Расчет_аналитики'!AH2583,MeanMinAge20)))</f>
        <v/>
      </c>
      <c r="AI2507">
        <f>IF(OR('19_Расчет_аналитики'!AI2479=0,20&lt;='01_Вводные'!$B$297),0,'19_Расчет_аналитики'!AI2479*IF('01_Вводные'!$B$239="Да",MeanMinAge20+'19_Расчет_аналитики'!AI2583*SUMIF(ThresholdAge20,"&lt;"&amp;'19_Расчет_аналитики'!AI2583,WeightedRevAge20)-SUMIF(ThresholdAge20,"&lt;"&amp;'19_Расчет_аналитики'!AI2583,WeightedMinAge20),MAX(CapacityAge20*'01_Вводные'!$B$218*'19_Расчет_аналитики'!AI2583,MeanMinAge20)))</f>
        <v/>
      </c>
      <c r="AJ2507">
        <f>IF(OR('19_Расчет_аналитики'!AJ2479=0,20&lt;='01_Вводные'!$B$297),0,'19_Расчет_аналитики'!AJ2479*IF('01_Вводные'!$B$239="Да",MeanMinAge20+'19_Расчет_аналитики'!AJ2583*SUMIF(ThresholdAge20,"&lt;"&amp;'19_Расчет_аналитики'!AJ2583,WeightedRevAge20)-SUMIF(ThresholdAge20,"&lt;"&amp;'19_Расчет_аналитики'!AJ2583,WeightedMinAge20),MAX(CapacityAge20*'01_Вводные'!$B$218*'19_Расчет_аналитики'!AJ2583,MeanMinAge20)))</f>
        <v/>
      </c>
      <c r="AK2507">
        <f>IF(OR('19_Расчет_аналитики'!AK2479=0,20&lt;='01_Вводные'!$B$297),0,'19_Расчет_аналитики'!AK2479*IF('01_Вводные'!$B$239="Да",MeanMinAge20+'19_Расчет_аналитики'!AK2583*SUMIF(ThresholdAge20,"&lt;"&amp;'19_Расчет_аналитики'!AK2583,WeightedRevAge20)-SUMIF(ThresholdAge20,"&lt;"&amp;'19_Расчет_аналитики'!AK2583,WeightedMinAge20),MAX(CapacityAge20*'01_Вводные'!$B$218*'19_Расчет_аналитики'!AK2583,MeanMinAge20)))</f>
        <v/>
      </c>
      <c r="AL2507">
        <f>IF(OR('19_Расчет_аналитики'!AL2479=0,20&lt;='01_Вводные'!$B$297),0,'19_Расчет_аналитики'!AL2479*IF('01_Вводные'!$B$239="Да",MeanMinAge20+'19_Расчет_аналитики'!AL2583*SUMIF(ThresholdAge20,"&lt;"&amp;'19_Расчет_аналитики'!AL2583,WeightedRevAge20)-SUMIF(ThresholdAge20,"&lt;"&amp;'19_Расчет_аналитики'!AL2583,WeightedMinAge20),MAX(CapacityAge20*'01_Вводные'!$B$218*'19_Расчет_аналитики'!AL2583,MeanMinAge20)))</f>
        <v/>
      </c>
      <c r="AM2507">
        <f>IF(OR('19_Расчет_аналитики'!AM2479=0,20&lt;='01_Вводные'!$B$297),0,'19_Расчет_аналитики'!AM2479*IF('01_Вводные'!$B$239="Да",MeanMinAge20+'19_Расчет_аналитики'!AM2583*SUMIF(ThresholdAge20,"&lt;"&amp;'19_Расчет_аналитики'!AM2583,WeightedRevAge20)-SUMIF(ThresholdAge20,"&lt;"&amp;'19_Расчет_аналитики'!AM2583,WeightedMinAge20),MAX(CapacityAge20*'01_Вводные'!$B$218*'19_Расчет_аналитики'!AM2583,MeanMinAge20)))</f>
        <v/>
      </c>
      <c r="AN2507">
        <f>IF(OR('19_Расчет_аналитики'!AN2479=0,20&lt;='01_Вводные'!$B$297),0,'19_Расчет_аналитики'!AN2479*IF('01_Вводные'!$B$239="Да",MeanMinAge20+'19_Расчет_аналитики'!AN2583*SUMIF(ThresholdAge20,"&lt;"&amp;'19_Расчет_аналитики'!AN2583,WeightedRevAge20)-SUMIF(ThresholdAge20,"&lt;"&amp;'19_Расчет_аналитики'!AN2583,WeightedMinAge20),MAX(CapacityAge20*'01_Вводные'!$B$218*'19_Расчет_аналитики'!AN2583,MeanMinAge20)))</f>
        <v/>
      </c>
      <c r="AO2507">
        <f>IF(OR('19_Расчет_аналитики'!AO2479=0,20&lt;='01_Вводные'!$B$297),0,'19_Расчет_аналитики'!AO2479*IF('01_Вводные'!$B$239="Да",MeanMinAge20+'19_Расчет_аналитики'!AO2583*SUMIF(ThresholdAge20,"&lt;"&amp;'19_Расчет_аналитики'!AO2583,WeightedRevAge20)-SUMIF(ThresholdAge20,"&lt;"&amp;'19_Расчет_аналитики'!AO2583,WeightedMinAge20),MAX(CapacityAge20*'01_Вводные'!$B$218*'19_Расчет_аналитики'!AO2583,MeanMinAge20)))</f>
        <v/>
      </c>
      <c r="AP2507">
        <f>IF(OR('19_Расчет_аналитики'!AP2479=0,20&lt;='01_Вводные'!$B$297),0,'19_Расчет_аналитики'!AP2479*IF('01_Вводные'!$B$239="Да",MeanMinAge20+'19_Расчет_аналитики'!AP2583*SUMIF(ThresholdAge20,"&lt;"&amp;'19_Расчет_аналитики'!AP2583,WeightedRevAge20)-SUMIF(ThresholdAge20,"&lt;"&amp;'19_Расчет_аналитики'!AP2583,WeightedMinAge20),MAX(CapacityAge20*'01_Вводные'!$B$218*'19_Расчет_аналитики'!AP2583,MeanMinAge20)))</f>
        <v/>
      </c>
      <c r="AQ2507">
        <f>IF(OR('19_Расчет_аналитики'!AQ2479=0,20&lt;='01_Вводные'!$B$297),0,'19_Расчет_аналитики'!AQ2479*IF('01_Вводные'!$B$239="Да",MeanMinAge20+'19_Расчет_аналитики'!AQ2583*SUMIF(ThresholdAge20,"&lt;"&amp;'19_Расчет_аналитики'!AQ2583,WeightedRevAge20)-SUMIF(ThresholdAge20,"&lt;"&amp;'19_Расчет_аналитики'!AQ2583,WeightedMinAge20),MAX(CapacityAge20*'01_Вводные'!$B$218*'19_Расчет_аналитики'!AQ2583,MeanMinAge20)))</f>
        <v/>
      </c>
      <c r="AR2507">
        <f>IF(OR('19_Расчет_аналитики'!AR2479=0,20&lt;='01_Вводные'!$B$297),0,'19_Расчет_аналитики'!AR2479*IF('01_Вводные'!$B$239="Да",MeanMinAge20+'19_Расчет_аналитики'!AR2583*SUMIF(ThresholdAge20,"&lt;"&amp;'19_Расчет_аналитики'!AR2583,WeightedRevAge20)-SUMIF(ThresholdAge20,"&lt;"&amp;'19_Расчет_аналитики'!AR2583,WeightedMinAge20),MAX(CapacityAge20*'01_Вводные'!$B$218*'19_Расчет_аналитики'!AR2583,MeanMinAge20)))</f>
        <v/>
      </c>
      <c r="AS2507">
        <f>IF(OR('19_Расчет_аналитики'!AS2479=0,20&lt;='01_Вводные'!$B$297),0,'19_Расчет_аналитики'!AS2479*IF('01_Вводные'!$B$239="Да",MeanMinAge20+'19_Расчет_аналитики'!AS2583*SUMIF(ThresholdAge20,"&lt;"&amp;'19_Расчет_аналитики'!AS2583,WeightedRevAge20)-SUMIF(ThresholdAge20,"&lt;"&amp;'19_Расчет_аналитики'!AS2583,WeightedMinAge20),MAX(CapacityAge20*'01_Вводные'!$B$218*'19_Расчет_аналитики'!AS2583,MeanMinAge20)))</f>
        <v/>
      </c>
      <c r="AT2507">
        <f>IF(OR('19_Расчет_аналитики'!AT2479=0,20&lt;='01_Вводные'!$B$297),0,'19_Расчет_аналитики'!AT2479*IF('01_Вводные'!$B$239="Да",MeanMinAge20+'19_Расчет_аналитики'!AT2583*SUMIF(ThresholdAge20,"&lt;"&amp;'19_Расчет_аналитики'!AT2583,WeightedRevAge20)-SUMIF(ThresholdAge20,"&lt;"&amp;'19_Расчет_аналитики'!AT2583,WeightedMinAge20),MAX(CapacityAge20*'01_Вводные'!$B$218*'19_Расчет_аналитики'!AT2583,MeanMinAge20)))</f>
        <v/>
      </c>
      <c r="AU2507">
        <f>IF(OR('19_Расчет_аналитики'!AU2479=0,20&lt;='01_Вводные'!$B$297),0,'19_Расчет_аналитики'!AU2479*IF('01_Вводные'!$B$239="Да",MeanMinAge20+'19_Расчет_аналитики'!AU2583*SUMIF(ThresholdAge20,"&lt;"&amp;'19_Расчет_аналитики'!AU2583,WeightedRevAge20)-SUMIF(ThresholdAge20,"&lt;"&amp;'19_Расчет_аналитики'!AU2583,WeightedMinAge20),MAX(CapacityAge20*'01_Вводные'!$B$218*'19_Расчет_аналитики'!AU2583,MeanMinAge20)))</f>
        <v/>
      </c>
      <c r="AV2507">
        <f>IF(OR('19_Расчет_аналитики'!AV2479=0,20&lt;='01_Вводные'!$B$297),0,'19_Расчет_аналитики'!AV2479*IF('01_Вводные'!$B$239="Да",MeanMinAge20+'19_Расчет_аналитики'!AV2583*SUMIF(ThresholdAge20,"&lt;"&amp;'19_Расчет_аналитики'!AV2583,WeightedRevAge20)-SUMIF(ThresholdAge20,"&lt;"&amp;'19_Расчет_аналитики'!AV2583,WeightedMinAge20),MAX(CapacityAge20*'01_Вводные'!$B$218*'19_Расчет_аналитики'!AV2583,MeanMinAge20)))</f>
        <v/>
      </c>
      <c r="AW2507">
        <f>IF(OR('19_Расчет_аналитики'!AW2479=0,20&lt;='01_Вводные'!$B$297),0,'19_Расчет_аналитики'!AW2479*IF('01_Вводные'!$B$239="Да",MeanMinAge20+'19_Расчет_аналитики'!AW2583*SUMIF(ThresholdAge20,"&lt;"&amp;'19_Расчет_аналитики'!AW2583,WeightedRevAge20)-SUMIF(ThresholdAge20,"&lt;"&amp;'19_Расчет_аналитики'!AW2583,WeightedMinAge20),MAX(CapacityAge20*'01_Вводные'!$B$218*'19_Расчет_аналитики'!AW2583,MeanMinAge20)))</f>
        <v/>
      </c>
      <c r="AX2507">
        <f>IF(OR('19_Расчет_аналитики'!AX2479=0,20&lt;='01_Вводные'!$B$297),0,'19_Расчет_аналитики'!AX2479*IF('01_Вводные'!$B$239="Да",MeanMinAge20+'19_Расчет_аналитики'!AX2583*SUMIF(ThresholdAge20,"&lt;"&amp;'19_Расчет_аналитики'!AX2583,WeightedRevAge20)-SUMIF(ThresholdAge20,"&lt;"&amp;'19_Расчет_аналитики'!AX2583,WeightedMinAge20),MAX(CapacityAge20*'01_Вводные'!$B$218*'19_Расчет_аналитики'!AX2583,MeanMinAge20)))</f>
        <v/>
      </c>
      <c r="AY2507">
        <f>IF(OR('19_Расчет_аналитики'!AY2479=0,20&lt;='01_Вводные'!$B$297),0,'19_Расчет_аналитики'!AY2479*IF('01_Вводные'!$B$239="Да",MeanMinAge20+'19_Расчет_аналитики'!AY2583*SUMIF(ThresholdAge20,"&lt;"&amp;'19_Расчет_аналитики'!AY2583,WeightedRevAge20)-SUMIF(ThresholdAge20,"&lt;"&amp;'19_Расчет_аналитики'!AY2583,WeightedMinAge20),MAX(CapacityAge20*'01_Вводные'!$B$218*'19_Расчет_аналитики'!AY2583,MeanMinAge20)))</f>
        <v/>
      </c>
      <c r="AZ2507">
        <f>IF(OR('19_Расчет_аналитики'!AZ2479=0,20&lt;='01_Вводные'!$B$297),0,'19_Расчет_аналитики'!AZ2479*IF('01_Вводные'!$B$239="Да",MeanMinAge20+'19_Расчет_аналитики'!AZ2583*SUMIF(ThresholdAge20,"&lt;"&amp;'19_Расчет_аналитики'!AZ2583,WeightedRevAge20)-SUMIF(ThresholdAge20,"&lt;"&amp;'19_Расчет_аналитики'!AZ2583,WeightedMinAge20),MAX(CapacityAge20*'01_Вводные'!$B$218*'19_Расчет_аналитики'!AZ2583,MeanMinAge20)))</f>
        <v/>
      </c>
      <c r="BA2507">
        <f>IF(OR('19_Расчет_аналитики'!BA2479=0,20&lt;='01_Вводные'!$B$297),0,'19_Расчет_аналитики'!BA2479*IF('01_Вводные'!$B$239="Да",MeanMinAge20+'19_Расчет_аналитики'!BA2583*SUMIF(ThresholdAge20,"&lt;"&amp;'19_Расчет_аналитики'!BA2583,WeightedRevAge20)-SUMIF(ThresholdAge20,"&lt;"&amp;'19_Расчет_аналитики'!BA2583,WeightedMinAge20),MAX(CapacityAge20*'01_Вводные'!$B$218*'19_Расчет_аналитики'!BA2583,MeanMinAge20)))</f>
        <v/>
      </c>
      <c r="BB2507">
        <f>IF(OR('19_Расчет_аналитики'!BB2479=0,20&lt;='01_Вводные'!$B$297),0,'19_Расчет_аналитики'!BB2479*IF('01_Вводные'!$B$239="Да",MeanMinAge20+'19_Расчет_аналитики'!BB2583*SUMIF(ThresholdAge20,"&lt;"&amp;'19_Расчет_аналитики'!BB2583,WeightedRevAge20)-SUMIF(ThresholdAge20,"&lt;"&amp;'19_Расчет_аналитики'!BB2583,WeightedMinAge20),MAX(CapacityAge20*'01_Вводные'!$B$218*'19_Расчет_аналитики'!BB2583,MeanMinAge20)))</f>
        <v/>
      </c>
      <c r="BC2507">
        <f>IF(OR('19_Расчет_аналитики'!BC2479=0,20&lt;='01_Вводные'!$B$297),0,'19_Расчет_аналитики'!BC2479*IF('01_Вводные'!$B$239="Да",MeanMinAge20+'19_Расчет_аналитики'!BC2583*SUMIF(ThresholdAge20,"&lt;"&amp;'19_Расчет_аналитики'!BC2583,WeightedRevAge20)-SUMIF(ThresholdAge20,"&lt;"&amp;'19_Расчет_аналитики'!BC2583,WeightedMinAge20),MAX(CapacityAge20*'01_Вводные'!$B$218*'19_Расчет_аналитики'!BC2583,MeanMinAge20)))</f>
        <v/>
      </c>
      <c r="BD2507">
        <f>IF(OR('19_Расчет_аналитики'!BD2479=0,20&lt;='01_Вводные'!$B$297),0,'19_Расчет_аналитики'!BD2479*IF('01_Вводные'!$B$239="Да",MeanMinAge20+'19_Расчет_аналитики'!BD2583*SUMIF(ThresholdAge20,"&lt;"&amp;'19_Расчет_аналитики'!BD2583,WeightedRevAge20)-SUMIF(ThresholdAge20,"&lt;"&amp;'19_Расчет_аналитики'!BD2583,WeightedMinAge20),MAX(CapacityAge20*'01_Вводные'!$B$218*'19_Расчет_аналитики'!BD2583,MeanMinAge20)))</f>
        <v/>
      </c>
      <c r="BE2507">
        <f>IF(OR('19_Расчет_аналитики'!BE2479=0,20&lt;='01_Вводные'!$B$297),0,'19_Расчет_аналитики'!BE2479*IF('01_Вводные'!$B$239="Да",MeanMinAge20+'19_Расчет_аналитики'!BE2583*SUMIF(ThresholdAge20,"&lt;"&amp;'19_Расчет_аналитики'!BE2583,WeightedRevAge20)-SUMIF(ThresholdAge20,"&lt;"&amp;'19_Расчет_аналитики'!BE2583,WeightedMinAge20),MAX(CapacityAge20*'01_Вводные'!$B$218*'19_Расчет_аналитики'!BE2583,MeanMinAge20)))</f>
        <v/>
      </c>
      <c r="BF2507">
        <f>IF(OR('19_Расчет_аналитики'!BF2479=0,20&lt;='01_Вводные'!$B$297),0,'19_Расчет_аналитики'!BF2479*IF('01_Вводные'!$B$239="Да",MeanMinAge20+'19_Расчет_аналитики'!BF2583*SUMIF(ThresholdAge20,"&lt;"&amp;'19_Расчет_аналитики'!BF2583,WeightedRevAge20)-SUMIF(ThresholdAge20,"&lt;"&amp;'19_Расчет_аналитики'!BF2583,WeightedMinAge20),MAX(CapacityAge20*'01_Вводные'!$B$218*'19_Расчет_аналитики'!BF2583,MeanMinAge20)))</f>
        <v/>
      </c>
      <c r="BG2507">
        <f>IF(OR('19_Расчет_аналитики'!BG2479=0,20&lt;='01_Вводные'!$B$297),0,'19_Расчет_аналитики'!BG2479*IF('01_Вводные'!$B$239="Да",MeanMinAge20+'19_Расчет_аналитики'!BG2583*SUMIF(ThresholdAge20,"&lt;"&amp;'19_Расчет_аналитики'!BG2583,WeightedRevAge20)-SUMIF(ThresholdAge20,"&lt;"&amp;'19_Расчет_аналитики'!BG2583,WeightedMinAge20),MAX(CapacityAge20*'01_Вводные'!$B$218*'19_Расчет_аналитики'!BG2583,MeanMinAge20)))</f>
        <v/>
      </c>
      <c r="BH2507">
        <f>IF(OR('19_Расчет_аналитики'!BH2479=0,20&lt;='01_Вводные'!$B$297),0,'19_Расчет_аналитики'!BH2479*IF('01_Вводные'!$B$239="Да",MeanMinAge20+'19_Расчет_аналитики'!BH2583*SUMIF(ThresholdAge20,"&lt;"&amp;'19_Расчет_аналитики'!BH2583,WeightedRevAge20)-SUMIF(ThresholdAge20,"&lt;"&amp;'19_Расчет_аналитики'!BH2583,WeightedMinAge20),MAX(CapacityAge20*'01_Вводные'!$B$218*'19_Расчет_аналитики'!BH2583,MeanMinAge20)))</f>
        <v/>
      </c>
      <c r="BI2507">
        <f>IF(OR('19_Расчет_аналитики'!BI2479=0,20&lt;='01_Вводные'!$B$297),0,'19_Расчет_аналитики'!BI2479*IF('01_Вводные'!$B$239="Да",MeanMinAge20+'19_Расчет_аналитики'!BI2583*SUMIF(ThresholdAge20,"&lt;"&amp;'19_Расчет_аналитики'!BI2583,WeightedRevAge20)-SUMIF(ThresholdAge20,"&lt;"&amp;'19_Расчет_аналитики'!BI2583,WeightedMinAge20),MAX(CapacityAge20*'01_Вводные'!$B$218*'19_Расчет_аналитики'!BI2583,MeanMinAge20)))</f>
        <v/>
      </c>
      <c r="BJ2507">
        <f>IF(OR('19_Расчет_аналитики'!BJ2479=0,20&lt;='01_Вводные'!$B$297),0,'19_Расчет_аналитики'!BJ2479*IF('01_Вводные'!$B$239="Да",MeanMinAge20+'19_Расчет_аналитики'!BJ2583*SUMIF(ThresholdAge20,"&lt;"&amp;'19_Расчет_аналитики'!BJ2583,WeightedRevAge20)-SUMIF(ThresholdAge20,"&lt;"&amp;'19_Расчет_аналитики'!BJ2583,WeightedMinAge20),MAX(CapacityAge20*'01_Вводные'!$B$218*'19_Расчет_аналитики'!BJ2583,MeanMinAge20)))</f>
        <v/>
      </c>
      <c r="BK2507">
        <f>IF(OR('19_Расчет_аналитики'!BK2479=0,20&lt;='01_Вводные'!$B$297),0,'19_Расчет_аналитики'!BK2479*IF('01_Вводные'!$B$239="Да",MeanMinAge20+'19_Расчет_аналитики'!BK2583*SUMIF(ThresholdAge20,"&lt;"&amp;'19_Расчет_аналитики'!BK2583,WeightedRevAge20)-SUMIF(ThresholdAge20,"&lt;"&amp;'19_Расчет_аналитики'!BK2583,WeightedMinAge20),MAX(CapacityAge20*'01_Вводные'!$B$218*'19_Расчет_аналитики'!BK2583,MeanMinAge20)))</f>
        <v/>
      </c>
      <c r="BL2507">
        <f>IF(OR('19_Расчет_аналитики'!BL2479=0,20&lt;='01_Вводные'!$B$297),0,'19_Расчет_аналитики'!BL2479*IF('01_Вводные'!$B$239="Да",MeanMinAge20+'19_Расчет_аналитики'!BL2583*SUMIF(ThresholdAge20,"&lt;"&amp;'19_Расчет_аналитики'!BL2583,WeightedRevAge20)-SUMIF(ThresholdAge20,"&lt;"&amp;'19_Расчет_аналитики'!BL2583,WeightedMinAge20),MAX(CapacityAge20*'01_Вводные'!$B$218*'19_Расчет_аналитики'!BL2583,MeanMinAge20)))</f>
        <v/>
      </c>
      <c r="BM2507">
        <f>IF(OR('19_Расчет_аналитики'!BM2479=0,20&lt;='01_Вводные'!$B$297),0,'19_Расчет_аналитики'!BM2479*IF('01_Вводные'!$B$239="Да",MeanMinAge20+'19_Расчет_аналитики'!BM2583*SUMIF(ThresholdAge20,"&lt;"&amp;'19_Расчет_аналитики'!BM2583,WeightedRevAge20)-SUMIF(ThresholdAge20,"&lt;"&amp;'19_Расчет_аналитики'!BM2583,WeightedMinAge20),MAX(CapacityAge20*'01_Вводные'!$B$218*'19_Расчет_аналитики'!BM2583,MeanMinAge20)))</f>
        <v/>
      </c>
      <c r="BN2507">
        <f>IF(OR('19_Расчет_аналитики'!BN2479=0,20&lt;='01_Вводные'!$B$297),0,'19_Расчет_аналитики'!BN2479*IF('01_Вводные'!$B$239="Да",MeanMinAge20+'19_Расчет_аналитики'!BN2583*SUMIF(ThresholdAge20,"&lt;"&amp;'19_Расчет_аналитики'!BN2583,WeightedRevAge20)-SUMIF(ThresholdAge20,"&lt;"&amp;'19_Расчет_аналитики'!BN2583,WeightedMinAge20),MAX(CapacityAge20*'01_Вводные'!$B$218*'19_Расчет_аналитики'!BN2583,MeanMinAge20)))</f>
        <v/>
      </c>
      <c r="BO2507">
        <f>IF(OR('19_Расчет_аналитики'!BO2479=0,20&lt;='01_Вводные'!$B$297),0,'19_Расчет_аналитики'!BO2479*IF('01_Вводные'!$B$239="Да",MeanMinAge20+'19_Расчет_аналитики'!BO2583*SUMIF(ThresholdAge20,"&lt;"&amp;'19_Расчет_аналитики'!BO2583,WeightedRevAge20)-SUMIF(ThresholdAge20,"&lt;"&amp;'19_Расчет_аналитики'!BO2583,WeightedMinAge20),MAX(CapacityAge20*'01_Вводные'!$B$218*'19_Расчет_аналитики'!BO2583,MeanMinAge20)))</f>
        <v/>
      </c>
    </row>
    <row r="2508">
      <c r="B2508">
        <f>IF(OR('06_Сеть_и_дети'!B101=0,21&lt;='01_Вводные'!$B$297),0,'06_Сеть_и_дети'!B101*IF('01_Вводные'!$B$239="Да",MeanMinAge21+'19_Расчет_аналитики'!B2583*SUMIF(ThresholdAge21,"&lt;"&amp;'19_Расчет_аналитики'!B2583,WeightedRevAge21)-SUMIF(ThresholdAge21,"&lt;"&amp;'19_Расчет_аналитики'!B2583,WeightedMinAge21),MAX(CapacityAge21*'01_Вводные'!$B$218*'19_Расчет_аналитики'!B2583,MeanMinAge21)))</f>
        <v/>
      </c>
      <c r="C2508">
        <f>IF(OR('06_Сеть_и_дети'!C101=0,21&lt;='01_Вводные'!$B$297),0,'06_Сеть_и_дети'!C101*IF('01_Вводные'!$B$239="Да",MeanMinAge21+'19_Расчет_аналитики'!C2583*SUMIF(ThresholdAge21,"&lt;"&amp;'19_Расчет_аналитики'!C2583,WeightedRevAge21)-SUMIF(ThresholdAge21,"&lt;"&amp;'19_Расчет_аналитики'!C2583,WeightedMinAge21),MAX(CapacityAge21*'01_Вводные'!$B$218*'19_Расчет_аналитики'!C2583,MeanMinAge21)))</f>
        <v/>
      </c>
      <c r="D2508">
        <f>IF(OR('06_Сеть_и_дети'!D101=0,21&lt;='01_Вводные'!$B$297),0,'06_Сеть_и_дети'!D101*IF('01_Вводные'!$B$239="Да",MeanMinAge21+'19_Расчет_аналитики'!D2583*SUMIF(ThresholdAge21,"&lt;"&amp;'19_Расчет_аналитики'!D2583,WeightedRevAge21)-SUMIF(ThresholdAge21,"&lt;"&amp;'19_Расчет_аналитики'!D2583,WeightedMinAge21),MAX(CapacityAge21*'01_Вводные'!$B$218*'19_Расчет_аналитики'!D2583,MeanMinAge21)))</f>
        <v/>
      </c>
      <c r="E2508">
        <f>IF(OR('06_Сеть_и_дети'!E101=0,21&lt;='01_Вводные'!$B$297),0,'06_Сеть_и_дети'!E101*IF('01_Вводные'!$B$239="Да",MeanMinAge21+'19_Расчет_аналитики'!E2583*SUMIF(ThresholdAge21,"&lt;"&amp;'19_Расчет_аналитики'!E2583,WeightedRevAge21)-SUMIF(ThresholdAge21,"&lt;"&amp;'19_Расчет_аналитики'!E2583,WeightedMinAge21),MAX(CapacityAge21*'01_Вводные'!$B$218*'19_Расчет_аналитики'!E2583,MeanMinAge21)))</f>
        <v/>
      </c>
      <c r="F2508">
        <f>IF(OR('06_Сеть_и_дети'!F101=0,21&lt;='01_Вводные'!$B$297),0,'06_Сеть_и_дети'!F101*IF('01_Вводные'!$B$239="Да",MeanMinAge21+'19_Расчет_аналитики'!F2583*SUMIF(ThresholdAge21,"&lt;"&amp;'19_Расчет_аналитики'!F2583,WeightedRevAge21)-SUMIF(ThresholdAge21,"&lt;"&amp;'19_Расчет_аналитики'!F2583,WeightedMinAge21),MAX(CapacityAge21*'01_Вводные'!$B$218*'19_Расчет_аналитики'!F2583,MeanMinAge21)))</f>
        <v/>
      </c>
      <c r="G2508">
        <f>IF(OR('06_Сеть_и_дети'!G101=0,21&lt;='01_Вводные'!$B$297),0,'06_Сеть_и_дети'!G101*IF('01_Вводные'!$B$239="Да",MeanMinAge21+'19_Расчет_аналитики'!G2583*SUMIF(ThresholdAge21,"&lt;"&amp;'19_Расчет_аналитики'!G2583,WeightedRevAge21)-SUMIF(ThresholdAge21,"&lt;"&amp;'19_Расчет_аналитики'!G2583,WeightedMinAge21),MAX(CapacityAge21*'01_Вводные'!$B$218*'19_Расчет_аналитики'!G2583,MeanMinAge21)))</f>
        <v/>
      </c>
      <c r="H2508">
        <f>IF(OR('06_Сеть_и_дети'!H101=0,21&lt;='01_Вводные'!$B$297),0,'06_Сеть_и_дети'!H101*IF('01_Вводные'!$B$239="Да",MeanMinAge21+'19_Расчет_аналитики'!H2583*SUMIF(ThresholdAge21,"&lt;"&amp;'19_Расчет_аналитики'!H2583,WeightedRevAge21)-SUMIF(ThresholdAge21,"&lt;"&amp;'19_Расчет_аналитики'!H2583,WeightedMinAge21),MAX(CapacityAge21*'01_Вводные'!$B$218*'19_Расчет_аналитики'!H2583,MeanMinAge21)))</f>
        <v/>
      </c>
      <c r="I2508">
        <f>IF(OR('06_Сеть_и_дети'!I101=0,21&lt;='01_Вводные'!$B$297),0,'06_Сеть_и_дети'!I101*IF('01_Вводные'!$B$239="Да",MeanMinAge21+'19_Расчет_аналитики'!I2583*SUMIF(ThresholdAge21,"&lt;"&amp;'19_Расчет_аналитики'!I2583,WeightedRevAge21)-SUMIF(ThresholdAge21,"&lt;"&amp;'19_Расчет_аналитики'!I2583,WeightedMinAge21),MAX(CapacityAge21*'01_Вводные'!$B$218*'19_Расчет_аналитики'!I2583,MeanMinAge21)))</f>
        <v/>
      </c>
      <c r="J2508">
        <f>IF(OR('06_Сеть_и_дети'!J101=0,21&lt;='01_Вводные'!$B$297),0,'06_Сеть_и_дети'!J101*IF('01_Вводные'!$B$239="Да",MeanMinAge21+'19_Расчет_аналитики'!J2583*SUMIF(ThresholdAge21,"&lt;"&amp;'19_Расчет_аналитики'!J2583,WeightedRevAge21)-SUMIF(ThresholdAge21,"&lt;"&amp;'19_Расчет_аналитики'!J2583,WeightedMinAge21),MAX(CapacityAge21*'01_Вводные'!$B$218*'19_Расчет_аналитики'!J2583,MeanMinAge21)))</f>
        <v/>
      </c>
      <c r="K2508">
        <f>IF(OR('06_Сеть_и_дети'!K101=0,21&lt;='01_Вводные'!$B$297),0,'06_Сеть_и_дети'!K101*IF('01_Вводные'!$B$239="Да",MeanMinAge21+'19_Расчет_аналитики'!K2583*SUMIF(ThresholdAge21,"&lt;"&amp;'19_Расчет_аналитики'!K2583,WeightedRevAge21)-SUMIF(ThresholdAge21,"&lt;"&amp;'19_Расчет_аналитики'!K2583,WeightedMinAge21),MAX(CapacityAge21*'01_Вводные'!$B$218*'19_Расчет_аналитики'!K2583,MeanMinAge21)))</f>
        <v/>
      </c>
      <c r="L2508">
        <f>IF(OR('06_Сеть_и_дети'!L101=0,21&lt;='01_Вводные'!$B$297),0,'06_Сеть_и_дети'!L101*IF('01_Вводные'!$B$239="Да",MeanMinAge21+'19_Расчет_аналитики'!L2583*SUMIF(ThresholdAge21,"&lt;"&amp;'19_Расчет_аналитики'!L2583,WeightedRevAge21)-SUMIF(ThresholdAge21,"&lt;"&amp;'19_Расчет_аналитики'!L2583,WeightedMinAge21),MAX(CapacityAge21*'01_Вводные'!$B$218*'19_Расчет_аналитики'!L2583,MeanMinAge21)))</f>
        <v/>
      </c>
      <c r="M2508">
        <f>IF(OR('06_Сеть_и_дети'!M101=0,21&lt;='01_Вводные'!$B$297),0,'06_Сеть_и_дети'!M101*IF('01_Вводные'!$B$239="Да",MeanMinAge21+'19_Расчет_аналитики'!M2583*SUMIF(ThresholdAge21,"&lt;"&amp;'19_Расчет_аналитики'!M2583,WeightedRevAge21)-SUMIF(ThresholdAge21,"&lt;"&amp;'19_Расчет_аналитики'!M2583,WeightedMinAge21),MAX(CapacityAge21*'01_Вводные'!$B$218*'19_Расчет_аналитики'!M2583,MeanMinAge21)))</f>
        <v/>
      </c>
      <c r="N2508">
        <f>IF(OR('06_Сеть_и_дети'!N101=0,21&lt;='01_Вводные'!$B$297),0,'06_Сеть_и_дети'!N101*IF('01_Вводные'!$B$239="Да",MeanMinAge21+'19_Расчет_аналитики'!N2583*SUMIF(ThresholdAge21,"&lt;"&amp;'19_Расчет_аналитики'!N2583,WeightedRevAge21)-SUMIF(ThresholdAge21,"&lt;"&amp;'19_Расчет_аналитики'!N2583,WeightedMinAge21),MAX(CapacityAge21*'01_Вводные'!$B$218*'19_Расчет_аналитики'!N2583,MeanMinAge21)))</f>
        <v/>
      </c>
      <c r="O2508">
        <f>IF(OR('06_Сеть_и_дети'!O101=0,21&lt;='01_Вводные'!$B$297),0,'06_Сеть_и_дети'!O101*IF('01_Вводные'!$B$239="Да",MeanMinAge21+'19_Расчет_аналитики'!O2583*SUMIF(ThresholdAge21,"&lt;"&amp;'19_Расчет_аналитики'!O2583,WeightedRevAge21)-SUMIF(ThresholdAge21,"&lt;"&amp;'19_Расчет_аналитики'!O2583,WeightedMinAge21),MAX(CapacityAge21*'01_Вводные'!$B$218*'19_Расчет_аналитики'!O2583,MeanMinAge21)))</f>
        <v/>
      </c>
      <c r="P2508">
        <f>IF(OR('06_Сеть_и_дети'!P101=0,21&lt;='01_Вводные'!$B$297),0,'06_Сеть_и_дети'!P101*IF('01_Вводные'!$B$239="Да",MeanMinAge21+'19_Расчет_аналитики'!P2583*SUMIF(ThresholdAge21,"&lt;"&amp;'19_Расчет_аналитики'!P2583,WeightedRevAge21)-SUMIF(ThresholdAge21,"&lt;"&amp;'19_Расчет_аналитики'!P2583,WeightedMinAge21),MAX(CapacityAge21*'01_Вводные'!$B$218*'19_Расчет_аналитики'!P2583,MeanMinAge21)))</f>
        <v/>
      </c>
      <c r="Q2508">
        <f>IF(OR('06_Сеть_и_дети'!Q101=0,21&lt;='01_Вводные'!$B$297),0,'06_Сеть_и_дети'!Q101*IF('01_Вводные'!$B$239="Да",MeanMinAge21+'19_Расчет_аналитики'!Q2583*SUMIF(ThresholdAge21,"&lt;"&amp;'19_Расчет_аналитики'!Q2583,WeightedRevAge21)-SUMIF(ThresholdAge21,"&lt;"&amp;'19_Расчет_аналитики'!Q2583,WeightedMinAge21),MAX(CapacityAge21*'01_Вводные'!$B$218*'19_Расчет_аналитики'!Q2583,MeanMinAge21)))</f>
        <v/>
      </c>
      <c r="R2508">
        <f>IF(OR('06_Сеть_и_дети'!R101=0,21&lt;='01_Вводные'!$B$297),0,'06_Сеть_и_дети'!R101*IF('01_Вводные'!$B$239="Да",MeanMinAge21+'19_Расчет_аналитики'!R2583*SUMIF(ThresholdAge21,"&lt;"&amp;'19_Расчет_аналитики'!R2583,WeightedRevAge21)-SUMIF(ThresholdAge21,"&lt;"&amp;'19_Расчет_аналитики'!R2583,WeightedMinAge21),MAX(CapacityAge21*'01_Вводные'!$B$218*'19_Расчет_аналитики'!R2583,MeanMinAge21)))</f>
        <v/>
      </c>
      <c r="S2508">
        <f>IF(OR('06_Сеть_и_дети'!S101=0,21&lt;='01_Вводные'!$B$297),0,'06_Сеть_и_дети'!S101*IF('01_Вводные'!$B$239="Да",MeanMinAge21+'19_Расчет_аналитики'!S2583*SUMIF(ThresholdAge21,"&lt;"&amp;'19_Расчет_аналитики'!S2583,WeightedRevAge21)-SUMIF(ThresholdAge21,"&lt;"&amp;'19_Расчет_аналитики'!S2583,WeightedMinAge21),MAX(CapacityAge21*'01_Вводные'!$B$218*'19_Расчет_аналитики'!S2583,MeanMinAge21)))</f>
        <v/>
      </c>
      <c r="T2508">
        <f>IF(OR('06_Сеть_и_дети'!T101=0,21&lt;='01_Вводные'!$B$297),0,'06_Сеть_и_дети'!T101*IF('01_Вводные'!$B$239="Да",MeanMinAge21+'19_Расчет_аналитики'!T2583*SUMIF(ThresholdAge21,"&lt;"&amp;'19_Расчет_аналитики'!T2583,WeightedRevAge21)-SUMIF(ThresholdAge21,"&lt;"&amp;'19_Расчет_аналитики'!T2583,WeightedMinAge21),MAX(CapacityAge21*'01_Вводные'!$B$218*'19_Расчет_аналитики'!T2583,MeanMinAge21)))</f>
        <v/>
      </c>
      <c r="U2508">
        <f>IF(OR('06_Сеть_и_дети'!U101=0,21&lt;='01_Вводные'!$B$297),0,'06_Сеть_и_дети'!U101*IF('01_Вводные'!$B$239="Да",MeanMinAge21+'19_Расчет_аналитики'!U2583*SUMIF(ThresholdAge21,"&lt;"&amp;'19_Расчет_аналитики'!U2583,WeightedRevAge21)-SUMIF(ThresholdAge21,"&lt;"&amp;'19_Расчет_аналитики'!U2583,WeightedMinAge21),MAX(CapacityAge21*'01_Вводные'!$B$218*'19_Расчет_аналитики'!U2583,MeanMinAge21)))</f>
        <v/>
      </c>
      <c r="V2508">
        <f>IF(OR('19_Расчет_аналитики'!V2480=0,21&lt;='01_Вводные'!$B$297),0,'19_Расчет_аналитики'!V2480*IF('01_Вводные'!$B$239="Да",MeanMinAge21+'19_Расчет_аналитики'!V2583*SUMIF(ThresholdAge21,"&lt;"&amp;'19_Расчет_аналитики'!V2583,WeightedRevAge21)-SUMIF(ThresholdAge21,"&lt;"&amp;'19_Расчет_аналитики'!V2583,WeightedMinAge21),MAX(CapacityAge21*'01_Вводные'!$B$218*'19_Расчет_аналитики'!V2583,MeanMinAge21)))</f>
        <v/>
      </c>
      <c r="W2508">
        <f>IF(OR('19_Расчет_аналитики'!W2480=0,21&lt;='01_Вводные'!$B$297),0,'19_Расчет_аналитики'!W2480*IF('01_Вводные'!$B$239="Да",MeanMinAge21+'19_Расчет_аналитики'!W2583*SUMIF(ThresholdAge21,"&lt;"&amp;'19_Расчет_аналитики'!W2583,WeightedRevAge21)-SUMIF(ThresholdAge21,"&lt;"&amp;'19_Расчет_аналитики'!W2583,WeightedMinAge21),MAX(CapacityAge21*'01_Вводные'!$B$218*'19_Расчет_аналитики'!W2583,MeanMinAge21)))</f>
        <v/>
      </c>
      <c r="X2508">
        <f>IF(OR('19_Расчет_аналитики'!X2480=0,21&lt;='01_Вводные'!$B$297),0,'19_Расчет_аналитики'!X2480*IF('01_Вводные'!$B$239="Да",MeanMinAge21+'19_Расчет_аналитики'!X2583*SUMIF(ThresholdAge21,"&lt;"&amp;'19_Расчет_аналитики'!X2583,WeightedRevAge21)-SUMIF(ThresholdAge21,"&lt;"&amp;'19_Расчет_аналитики'!X2583,WeightedMinAge21),MAX(CapacityAge21*'01_Вводные'!$B$218*'19_Расчет_аналитики'!X2583,MeanMinAge21)))</f>
        <v/>
      </c>
      <c r="Y2508">
        <f>IF(OR('19_Расчет_аналитики'!Y2480=0,21&lt;='01_Вводные'!$B$297),0,'19_Расчет_аналитики'!Y2480*IF('01_Вводные'!$B$239="Да",MeanMinAge21+'19_Расчет_аналитики'!Y2583*SUMIF(ThresholdAge21,"&lt;"&amp;'19_Расчет_аналитики'!Y2583,WeightedRevAge21)-SUMIF(ThresholdAge21,"&lt;"&amp;'19_Расчет_аналитики'!Y2583,WeightedMinAge21),MAX(CapacityAge21*'01_Вводные'!$B$218*'19_Расчет_аналитики'!Y2583,MeanMinAge21)))</f>
        <v/>
      </c>
      <c r="Z2508">
        <f>IF(OR('19_Расчет_аналитики'!Z2480=0,21&lt;='01_Вводные'!$B$297),0,'19_Расчет_аналитики'!Z2480*IF('01_Вводные'!$B$239="Да",MeanMinAge21+'19_Расчет_аналитики'!Z2583*SUMIF(ThresholdAge21,"&lt;"&amp;'19_Расчет_аналитики'!Z2583,WeightedRevAge21)-SUMIF(ThresholdAge21,"&lt;"&amp;'19_Расчет_аналитики'!Z2583,WeightedMinAge21),MAX(CapacityAge21*'01_Вводные'!$B$218*'19_Расчет_аналитики'!Z2583,MeanMinAge21)))</f>
        <v/>
      </c>
      <c r="AA2508">
        <f>IF(OR('19_Расчет_аналитики'!AA2480=0,21&lt;='01_Вводные'!$B$297),0,'19_Расчет_аналитики'!AA2480*IF('01_Вводные'!$B$239="Да",MeanMinAge21+'19_Расчет_аналитики'!AA2583*SUMIF(ThresholdAge21,"&lt;"&amp;'19_Расчет_аналитики'!AA2583,WeightedRevAge21)-SUMIF(ThresholdAge21,"&lt;"&amp;'19_Расчет_аналитики'!AA2583,WeightedMinAge21),MAX(CapacityAge21*'01_Вводные'!$B$218*'19_Расчет_аналитики'!AA2583,MeanMinAge21)))</f>
        <v/>
      </c>
      <c r="AB2508">
        <f>IF(OR('19_Расчет_аналитики'!AB2480=0,21&lt;='01_Вводные'!$B$297),0,'19_Расчет_аналитики'!AB2480*IF('01_Вводные'!$B$239="Да",MeanMinAge21+'19_Расчет_аналитики'!AB2583*SUMIF(ThresholdAge21,"&lt;"&amp;'19_Расчет_аналитики'!AB2583,WeightedRevAge21)-SUMIF(ThresholdAge21,"&lt;"&amp;'19_Расчет_аналитики'!AB2583,WeightedMinAge21),MAX(CapacityAge21*'01_Вводные'!$B$218*'19_Расчет_аналитики'!AB2583,MeanMinAge21)))</f>
        <v/>
      </c>
      <c r="AC2508">
        <f>IF(OR('19_Расчет_аналитики'!AC2480=0,21&lt;='01_Вводные'!$B$297),0,'19_Расчет_аналитики'!AC2480*IF('01_Вводные'!$B$239="Да",MeanMinAge21+'19_Расчет_аналитики'!AC2583*SUMIF(ThresholdAge21,"&lt;"&amp;'19_Расчет_аналитики'!AC2583,WeightedRevAge21)-SUMIF(ThresholdAge21,"&lt;"&amp;'19_Расчет_аналитики'!AC2583,WeightedMinAge21),MAX(CapacityAge21*'01_Вводные'!$B$218*'19_Расчет_аналитики'!AC2583,MeanMinAge21)))</f>
        <v/>
      </c>
      <c r="AD2508">
        <f>IF(OR('19_Расчет_аналитики'!AD2480=0,21&lt;='01_Вводные'!$B$297),0,'19_Расчет_аналитики'!AD2480*IF('01_Вводные'!$B$239="Да",MeanMinAge21+'19_Расчет_аналитики'!AD2583*SUMIF(ThresholdAge21,"&lt;"&amp;'19_Расчет_аналитики'!AD2583,WeightedRevAge21)-SUMIF(ThresholdAge21,"&lt;"&amp;'19_Расчет_аналитики'!AD2583,WeightedMinAge21),MAX(CapacityAge21*'01_Вводные'!$B$218*'19_Расчет_аналитики'!AD2583,MeanMinAge21)))</f>
        <v/>
      </c>
      <c r="AE2508">
        <f>IF(OR('19_Расчет_аналитики'!AE2480=0,21&lt;='01_Вводные'!$B$297),0,'19_Расчет_аналитики'!AE2480*IF('01_Вводные'!$B$239="Да",MeanMinAge21+'19_Расчет_аналитики'!AE2583*SUMIF(ThresholdAge21,"&lt;"&amp;'19_Расчет_аналитики'!AE2583,WeightedRevAge21)-SUMIF(ThresholdAge21,"&lt;"&amp;'19_Расчет_аналитики'!AE2583,WeightedMinAge21),MAX(CapacityAge21*'01_Вводные'!$B$218*'19_Расчет_аналитики'!AE2583,MeanMinAge21)))</f>
        <v/>
      </c>
      <c r="AF2508">
        <f>IF(OR('19_Расчет_аналитики'!AF2480=0,21&lt;='01_Вводные'!$B$297),0,'19_Расчет_аналитики'!AF2480*IF('01_Вводные'!$B$239="Да",MeanMinAge21+'19_Расчет_аналитики'!AF2583*SUMIF(ThresholdAge21,"&lt;"&amp;'19_Расчет_аналитики'!AF2583,WeightedRevAge21)-SUMIF(ThresholdAge21,"&lt;"&amp;'19_Расчет_аналитики'!AF2583,WeightedMinAge21),MAX(CapacityAge21*'01_Вводные'!$B$218*'19_Расчет_аналитики'!AF2583,MeanMinAge21)))</f>
        <v/>
      </c>
      <c r="AG2508">
        <f>IF(OR('19_Расчет_аналитики'!AG2480=0,21&lt;='01_Вводные'!$B$297),0,'19_Расчет_аналитики'!AG2480*IF('01_Вводные'!$B$239="Да",MeanMinAge21+'19_Расчет_аналитики'!AG2583*SUMIF(ThresholdAge21,"&lt;"&amp;'19_Расчет_аналитики'!AG2583,WeightedRevAge21)-SUMIF(ThresholdAge21,"&lt;"&amp;'19_Расчет_аналитики'!AG2583,WeightedMinAge21),MAX(CapacityAge21*'01_Вводные'!$B$218*'19_Расчет_аналитики'!AG2583,MeanMinAge21)))</f>
        <v/>
      </c>
      <c r="AH2508">
        <f>IF(OR('19_Расчет_аналитики'!AH2480=0,21&lt;='01_Вводные'!$B$297),0,'19_Расчет_аналитики'!AH2480*IF('01_Вводные'!$B$239="Да",MeanMinAge21+'19_Расчет_аналитики'!AH2583*SUMIF(ThresholdAge21,"&lt;"&amp;'19_Расчет_аналитики'!AH2583,WeightedRevAge21)-SUMIF(ThresholdAge21,"&lt;"&amp;'19_Расчет_аналитики'!AH2583,WeightedMinAge21),MAX(CapacityAge21*'01_Вводные'!$B$218*'19_Расчет_аналитики'!AH2583,MeanMinAge21)))</f>
        <v/>
      </c>
      <c r="AI2508">
        <f>IF(OR('19_Расчет_аналитики'!AI2480=0,21&lt;='01_Вводные'!$B$297),0,'19_Расчет_аналитики'!AI2480*IF('01_Вводные'!$B$239="Да",MeanMinAge21+'19_Расчет_аналитики'!AI2583*SUMIF(ThresholdAge21,"&lt;"&amp;'19_Расчет_аналитики'!AI2583,WeightedRevAge21)-SUMIF(ThresholdAge21,"&lt;"&amp;'19_Расчет_аналитики'!AI2583,WeightedMinAge21),MAX(CapacityAge21*'01_Вводные'!$B$218*'19_Расчет_аналитики'!AI2583,MeanMinAge21)))</f>
        <v/>
      </c>
      <c r="AJ2508">
        <f>IF(OR('19_Расчет_аналитики'!AJ2480=0,21&lt;='01_Вводные'!$B$297),0,'19_Расчет_аналитики'!AJ2480*IF('01_Вводные'!$B$239="Да",MeanMinAge21+'19_Расчет_аналитики'!AJ2583*SUMIF(ThresholdAge21,"&lt;"&amp;'19_Расчет_аналитики'!AJ2583,WeightedRevAge21)-SUMIF(ThresholdAge21,"&lt;"&amp;'19_Расчет_аналитики'!AJ2583,WeightedMinAge21),MAX(CapacityAge21*'01_Вводные'!$B$218*'19_Расчет_аналитики'!AJ2583,MeanMinAge21)))</f>
        <v/>
      </c>
      <c r="AK2508">
        <f>IF(OR('19_Расчет_аналитики'!AK2480=0,21&lt;='01_Вводные'!$B$297),0,'19_Расчет_аналитики'!AK2480*IF('01_Вводные'!$B$239="Да",MeanMinAge21+'19_Расчет_аналитики'!AK2583*SUMIF(ThresholdAge21,"&lt;"&amp;'19_Расчет_аналитики'!AK2583,WeightedRevAge21)-SUMIF(ThresholdAge21,"&lt;"&amp;'19_Расчет_аналитики'!AK2583,WeightedMinAge21),MAX(CapacityAge21*'01_Вводные'!$B$218*'19_Расчет_аналитики'!AK2583,MeanMinAge21)))</f>
        <v/>
      </c>
      <c r="AL2508">
        <f>IF(OR('19_Расчет_аналитики'!AL2480=0,21&lt;='01_Вводные'!$B$297),0,'19_Расчет_аналитики'!AL2480*IF('01_Вводные'!$B$239="Да",MeanMinAge21+'19_Расчет_аналитики'!AL2583*SUMIF(ThresholdAge21,"&lt;"&amp;'19_Расчет_аналитики'!AL2583,WeightedRevAge21)-SUMIF(ThresholdAge21,"&lt;"&amp;'19_Расчет_аналитики'!AL2583,WeightedMinAge21),MAX(CapacityAge21*'01_Вводные'!$B$218*'19_Расчет_аналитики'!AL2583,MeanMinAge21)))</f>
        <v/>
      </c>
      <c r="AM2508">
        <f>IF(OR('19_Расчет_аналитики'!AM2480=0,21&lt;='01_Вводные'!$B$297),0,'19_Расчет_аналитики'!AM2480*IF('01_Вводные'!$B$239="Да",MeanMinAge21+'19_Расчет_аналитики'!AM2583*SUMIF(ThresholdAge21,"&lt;"&amp;'19_Расчет_аналитики'!AM2583,WeightedRevAge21)-SUMIF(ThresholdAge21,"&lt;"&amp;'19_Расчет_аналитики'!AM2583,WeightedMinAge21),MAX(CapacityAge21*'01_Вводные'!$B$218*'19_Расчет_аналитики'!AM2583,MeanMinAge21)))</f>
        <v/>
      </c>
      <c r="AN2508">
        <f>IF(OR('19_Расчет_аналитики'!AN2480=0,21&lt;='01_Вводные'!$B$297),0,'19_Расчет_аналитики'!AN2480*IF('01_Вводные'!$B$239="Да",MeanMinAge21+'19_Расчет_аналитики'!AN2583*SUMIF(ThresholdAge21,"&lt;"&amp;'19_Расчет_аналитики'!AN2583,WeightedRevAge21)-SUMIF(ThresholdAge21,"&lt;"&amp;'19_Расчет_аналитики'!AN2583,WeightedMinAge21),MAX(CapacityAge21*'01_Вводные'!$B$218*'19_Расчет_аналитики'!AN2583,MeanMinAge21)))</f>
        <v/>
      </c>
      <c r="AO2508">
        <f>IF(OR('19_Расчет_аналитики'!AO2480=0,21&lt;='01_Вводные'!$B$297),0,'19_Расчет_аналитики'!AO2480*IF('01_Вводные'!$B$239="Да",MeanMinAge21+'19_Расчет_аналитики'!AO2583*SUMIF(ThresholdAge21,"&lt;"&amp;'19_Расчет_аналитики'!AO2583,WeightedRevAge21)-SUMIF(ThresholdAge21,"&lt;"&amp;'19_Расчет_аналитики'!AO2583,WeightedMinAge21),MAX(CapacityAge21*'01_Вводные'!$B$218*'19_Расчет_аналитики'!AO2583,MeanMinAge21)))</f>
        <v/>
      </c>
      <c r="AP2508">
        <f>IF(OR('19_Расчет_аналитики'!AP2480=0,21&lt;='01_Вводные'!$B$297),0,'19_Расчет_аналитики'!AP2480*IF('01_Вводные'!$B$239="Да",MeanMinAge21+'19_Расчет_аналитики'!AP2583*SUMIF(ThresholdAge21,"&lt;"&amp;'19_Расчет_аналитики'!AP2583,WeightedRevAge21)-SUMIF(ThresholdAge21,"&lt;"&amp;'19_Расчет_аналитики'!AP2583,WeightedMinAge21),MAX(CapacityAge21*'01_Вводные'!$B$218*'19_Расчет_аналитики'!AP2583,MeanMinAge21)))</f>
        <v/>
      </c>
      <c r="AQ2508">
        <f>IF(OR('19_Расчет_аналитики'!AQ2480=0,21&lt;='01_Вводные'!$B$297),0,'19_Расчет_аналитики'!AQ2480*IF('01_Вводные'!$B$239="Да",MeanMinAge21+'19_Расчет_аналитики'!AQ2583*SUMIF(ThresholdAge21,"&lt;"&amp;'19_Расчет_аналитики'!AQ2583,WeightedRevAge21)-SUMIF(ThresholdAge21,"&lt;"&amp;'19_Расчет_аналитики'!AQ2583,WeightedMinAge21),MAX(CapacityAge21*'01_Вводные'!$B$218*'19_Расчет_аналитики'!AQ2583,MeanMinAge21)))</f>
        <v/>
      </c>
      <c r="AR2508">
        <f>IF(OR('19_Расчет_аналитики'!AR2480=0,21&lt;='01_Вводные'!$B$297),0,'19_Расчет_аналитики'!AR2480*IF('01_Вводные'!$B$239="Да",MeanMinAge21+'19_Расчет_аналитики'!AR2583*SUMIF(ThresholdAge21,"&lt;"&amp;'19_Расчет_аналитики'!AR2583,WeightedRevAge21)-SUMIF(ThresholdAge21,"&lt;"&amp;'19_Расчет_аналитики'!AR2583,WeightedMinAge21),MAX(CapacityAge21*'01_Вводные'!$B$218*'19_Расчет_аналитики'!AR2583,MeanMinAge21)))</f>
        <v/>
      </c>
      <c r="AS2508">
        <f>IF(OR('19_Расчет_аналитики'!AS2480=0,21&lt;='01_Вводные'!$B$297),0,'19_Расчет_аналитики'!AS2480*IF('01_Вводные'!$B$239="Да",MeanMinAge21+'19_Расчет_аналитики'!AS2583*SUMIF(ThresholdAge21,"&lt;"&amp;'19_Расчет_аналитики'!AS2583,WeightedRevAge21)-SUMIF(ThresholdAge21,"&lt;"&amp;'19_Расчет_аналитики'!AS2583,WeightedMinAge21),MAX(CapacityAge21*'01_Вводные'!$B$218*'19_Расчет_аналитики'!AS2583,MeanMinAge21)))</f>
        <v/>
      </c>
      <c r="AT2508">
        <f>IF(OR('19_Расчет_аналитики'!AT2480=0,21&lt;='01_Вводные'!$B$297),0,'19_Расчет_аналитики'!AT2480*IF('01_Вводные'!$B$239="Да",MeanMinAge21+'19_Расчет_аналитики'!AT2583*SUMIF(ThresholdAge21,"&lt;"&amp;'19_Расчет_аналитики'!AT2583,WeightedRevAge21)-SUMIF(ThresholdAge21,"&lt;"&amp;'19_Расчет_аналитики'!AT2583,WeightedMinAge21),MAX(CapacityAge21*'01_Вводные'!$B$218*'19_Расчет_аналитики'!AT2583,MeanMinAge21)))</f>
        <v/>
      </c>
      <c r="AU2508">
        <f>IF(OR('19_Расчет_аналитики'!AU2480=0,21&lt;='01_Вводные'!$B$297),0,'19_Расчет_аналитики'!AU2480*IF('01_Вводные'!$B$239="Да",MeanMinAge21+'19_Расчет_аналитики'!AU2583*SUMIF(ThresholdAge21,"&lt;"&amp;'19_Расчет_аналитики'!AU2583,WeightedRevAge21)-SUMIF(ThresholdAge21,"&lt;"&amp;'19_Расчет_аналитики'!AU2583,WeightedMinAge21),MAX(CapacityAge21*'01_Вводные'!$B$218*'19_Расчет_аналитики'!AU2583,MeanMinAge21)))</f>
        <v/>
      </c>
      <c r="AV2508">
        <f>IF(OR('19_Расчет_аналитики'!AV2480=0,21&lt;='01_Вводные'!$B$297),0,'19_Расчет_аналитики'!AV2480*IF('01_Вводные'!$B$239="Да",MeanMinAge21+'19_Расчет_аналитики'!AV2583*SUMIF(ThresholdAge21,"&lt;"&amp;'19_Расчет_аналитики'!AV2583,WeightedRevAge21)-SUMIF(ThresholdAge21,"&lt;"&amp;'19_Расчет_аналитики'!AV2583,WeightedMinAge21),MAX(CapacityAge21*'01_Вводные'!$B$218*'19_Расчет_аналитики'!AV2583,MeanMinAge21)))</f>
        <v/>
      </c>
      <c r="AW2508">
        <f>IF(OR('19_Расчет_аналитики'!AW2480=0,21&lt;='01_Вводные'!$B$297),0,'19_Расчет_аналитики'!AW2480*IF('01_Вводные'!$B$239="Да",MeanMinAge21+'19_Расчет_аналитики'!AW2583*SUMIF(ThresholdAge21,"&lt;"&amp;'19_Расчет_аналитики'!AW2583,WeightedRevAge21)-SUMIF(ThresholdAge21,"&lt;"&amp;'19_Расчет_аналитики'!AW2583,WeightedMinAge21),MAX(CapacityAge21*'01_Вводные'!$B$218*'19_Расчет_аналитики'!AW2583,MeanMinAge21)))</f>
        <v/>
      </c>
      <c r="AX2508">
        <f>IF(OR('19_Расчет_аналитики'!AX2480=0,21&lt;='01_Вводные'!$B$297),0,'19_Расчет_аналитики'!AX2480*IF('01_Вводные'!$B$239="Да",MeanMinAge21+'19_Расчет_аналитики'!AX2583*SUMIF(ThresholdAge21,"&lt;"&amp;'19_Расчет_аналитики'!AX2583,WeightedRevAge21)-SUMIF(ThresholdAge21,"&lt;"&amp;'19_Расчет_аналитики'!AX2583,WeightedMinAge21),MAX(CapacityAge21*'01_Вводные'!$B$218*'19_Расчет_аналитики'!AX2583,MeanMinAge21)))</f>
        <v/>
      </c>
      <c r="AY2508">
        <f>IF(OR('19_Расчет_аналитики'!AY2480=0,21&lt;='01_Вводные'!$B$297),0,'19_Расчет_аналитики'!AY2480*IF('01_Вводные'!$B$239="Да",MeanMinAge21+'19_Расчет_аналитики'!AY2583*SUMIF(ThresholdAge21,"&lt;"&amp;'19_Расчет_аналитики'!AY2583,WeightedRevAge21)-SUMIF(ThresholdAge21,"&lt;"&amp;'19_Расчет_аналитики'!AY2583,WeightedMinAge21),MAX(CapacityAge21*'01_Вводные'!$B$218*'19_Расчет_аналитики'!AY2583,MeanMinAge21)))</f>
        <v/>
      </c>
      <c r="AZ2508">
        <f>IF(OR('19_Расчет_аналитики'!AZ2480=0,21&lt;='01_Вводные'!$B$297),0,'19_Расчет_аналитики'!AZ2480*IF('01_Вводные'!$B$239="Да",MeanMinAge21+'19_Расчет_аналитики'!AZ2583*SUMIF(ThresholdAge21,"&lt;"&amp;'19_Расчет_аналитики'!AZ2583,WeightedRevAge21)-SUMIF(ThresholdAge21,"&lt;"&amp;'19_Расчет_аналитики'!AZ2583,WeightedMinAge21),MAX(CapacityAge21*'01_Вводные'!$B$218*'19_Расчет_аналитики'!AZ2583,MeanMinAge21)))</f>
        <v/>
      </c>
      <c r="BA2508">
        <f>IF(OR('19_Расчет_аналитики'!BA2480=0,21&lt;='01_Вводные'!$B$297),0,'19_Расчет_аналитики'!BA2480*IF('01_Вводные'!$B$239="Да",MeanMinAge21+'19_Расчет_аналитики'!BA2583*SUMIF(ThresholdAge21,"&lt;"&amp;'19_Расчет_аналитики'!BA2583,WeightedRevAge21)-SUMIF(ThresholdAge21,"&lt;"&amp;'19_Расчет_аналитики'!BA2583,WeightedMinAge21),MAX(CapacityAge21*'01_Вводные'!$B$218*'19_Расчет_аналитики'!BA2583,MeanMinAge21)))</f>
        <v/>
      </c>
      <c r="BB2508">
        <f>IF(OR('19_Расчет_аналитики'!BB2480=0,21&lt;='01_Вводные'!$B$297),0,'19_Расчет_аналитики'!BB2480*IF('01_Вводные'!$B$239="Да",MeanMinAge21+'19_Расчет_аналитики'!BB2583*SUMIF(ThresholdAge21,"&lt;"&amp;'19_Расчет_аналитики'!BB2583,WeightedRevAge21)-SUMIF(ThresholdAge21,"&lt;"&amp;'19_Расчет_аналитики'!BB2583,WeightedMinAge21),MAX(CapacityAge21*'01_Вводные'!$B$218*'19_Расчет_аналитики'!BB2583,MeanMinAge21)))</f>
        <v/>
      </c>
      <c r="BC2508">
        <f>IF(OR('19_Расчет_аналитики'!BC2480=0,21&lt;='01_Вводные'!$B$297),0,'19_Расчет_аналитики'!BC2480*IF('01_Вводные'!$B$239="Да",MeanMinAge21+'19_Расчет_аналитики'!BC2583*SUMIF(ThresholdAge21,"&lt;"&amp;'19_Расчет_аналитики'!BC2583,WeightedRevAge21)-SUMIF(ThresholdAge21,"&lt;"&amp;'19_Расчет_аналитики'!BC2583,WeightedMinAge21),MAX(CapacityAge21*'01_Вводные'!$B$218*'19_Расчет_аналитики'!BC2583,MeanMinAge21)))</f>
        <v/>
      </c>
      <c r="BD2508">
        <f>IF(OR('19_Расчет_аналитики'!BD2480=0,21&lt;='01_Вводные'!$B$297),0,'19_Расчет_аналитики'!BD2480*IF('01_Вводные'!$B$239="Да",MeanMinAge21+'19_Расчет_аналитики'!BD2583*SUMIF(ThresholdAge21,"&lt;"&amp;'19_Расчет_аналитики'!BD2583,WeightedRevAge21)-SUMIF(ThresholdAge21,"&lt;"&amp;'19_Расчет_аналитики'!BD2583,WeightedMinAge21),MAX(CapacityAge21*'01_Вводные'!$B$218*'19_Расчет_аналитики'!BD2583,MeanMinAge21)))</f>
        <v/>
      </c>
      <c r="BE2508">
        <f>IF(OR('19_Расчет_аналитики'!BE2480=0,21&lt;='01_Вводные'!$B$297),0,'19_Расчет_аналитики'!BE2480*IF('01_Вводные'!$B$239="Да",MeanMinAge21+'19_Расчет_аналитики'!BE2583*SUMIF(ThresholdAge21,"&lt;"&amp;'19_Расчет_аналитики'!BE2583,WeightedRevAge21)-SUMIF(ThresholdAge21,"&lt;"&amp;'19_Расчет_аналитики'!BE2583,WeightedMinAge21),MAX(CapacityAge21*'01_Вводные'!$B$218*'19_Расчет_аналитики'!BE2583,MeanMinAge21)))</f>
        <v/>
      </c>
      <c r="BF2508">
        <f>IF(OR('19_Расчет_аналитики'!BF2480=0,21&lt;='01_Вводные'!$B$297),0,'19_Расчет_аналитики'!BF2480*IF('01_Вводные'!$B$239="Да",MeanMinAge21+'19_Расчет_аналитики'!BF2583*SUMIF(ThresholdAge21,"&lt;"&amp;'19_Расчет_аналитики'!BF2583,WeightedRevAge21)-SUMIF(ThresholdAge21,"&lt;"&amp;'19_Расчет_аналитики'!BF2583,WeightedMinAge21),MAX(CapacityAge21*'01_Вводные'!$B$218*'19_Расчет_аналитики'!BF2583,MeanMinAge21)))</f>
        <v/>
      </c>
      <c r="BG2508">
        <f>IF(OR('19_Расчет_аналитики'!BG2480=0,21&lt;='01_Вводные'!$B$297),0,'19_Расчет_аналитики'!BG2480*IF('01_Вводные'!$B$239="Да",MeanMinAge21+'19_Расчет_аналитики'!BG2583*SUMIF(ThresholdAge21,"&lt;"&amp;'19_Расчет_аналитики'!BG2583,WeightedRevAge21)-SUMIF(ThresholdAge21,"&lt;"&amp;'19_Расчет_аналитики'!BG2583,WeightedMinAge21),MAX(CapacityAge21*'01_Вводные'!$B$218*'19_Расчет_аналитики'!BG2583,MeanMinAge21)))</f>
        <v/>
      </c>
      <c r="BH2508">
        <f>IF(OR('19_Расчет_аналитики'!BH2480=0,21&lt;='01_Вводные'!$B$297),0,'19_Расчет_аналитики'!BH2480*IF('01_Вводные'!$B$239="Да",MeanMinAge21+'19_Расчет_аналитики'!BH2583*SUMIF(ThresholdAge21,"&lt;"&amp;'19_Расчет_аналитики'!BH2583,WeightedRevAge21)-SUMIF(ThresholdAge21,"&lt;"&amp;'19_Расчет_аналитики'!BH2583,WeightedMinAge21),MAX(CapacityAge21*'01_Вводные'!$B$218*'19_Расчет_аналитики'!BH2583,MeanMinAge21)))</f>
        <v/>
      </c>
      <c r="BI2508">
        <f>IF(OR('19_Расчет_аналитики'!BI2480=0,21&lt;='01_Вводные'!$B$297),0,'19_Расчет_аналитики'!BI2480*IF('01_Вводные'!$B$239="Да",MeanMinAge21+'19_Расчет_аналитики'!BI2583*SUMIF(ThresholdAge21,"&lt;"&amp;'19_Расчет_аналитики'!BI2583,WeightedRevAge21)-SUMIF(ThresholdAge21,"&lt;"&amp;'19_Расчет_аналитики'!BI2583,WeightedMinAge21),MAX(CapacityAge21*'01_Вводные'!$B$218*'19_Расчет_аналитики'!BI2583,MeanMinAge21)))</f>
        <v/>
      </c>
      <c r="BJ2508">
        <f>IF(OR('19_Расчет_аналитики'!BJ2480=0,21&lt;='01_Вводные'!$B$297),0,'19_Расчет_аналитики'!BJ2480*IF('01_Вводные'!$B$239="Да",MeanMinAge21+'19_Расчет_аналитики'!BJ2583*SUMIF(ThresholdAge21,"&lt;"&amp;'19_Расчет_аналитики'!BJ2583,WeightedRevAge21)-SUMIF(ThresholdAge21,"&lt;"&amp;'19_Расчет_аналитики'!BJ2583,WeightedMinAge21),MAX(CapacityAge21*'01_Вводные'!$B$218*'19_Расчет_аналитики'!BJ2583,MeanMinAge21)))</f>
        <v/>
      </c>
      <c r="BK2508">
        <f>IF(OR('19_Расчет_аналитики'!BK2480=0,21&lt;='01_Вводные'!$B$297),0,'19_Расчет_аналитики'!BK2480*IF('01_Вводные'!$B$239="Да",MeanMinAge21+'19_Расчет_аналитики'!BK2583*SUMIF(ThresholdAge21,"&lt;"&amp;'19_Расчет_аналитики'!BK2583,WeightedRevAge21)-SUMIF(ThresholdAge21,"&lt;"&amp;'19_Расчет_аналитики'!BK2583,WeightedMinAge21),MAX(CapacityAge21*'01_Вводные'!$B$218*'19_Расчет_аналитики'!BK2583,MeanMinAge21)))</f>
        <v/>
      </c>
      <c r="BL2508">
        <f>IF(OR('19_Расчет_аналитики'!BL2480=0,21&lt;='01_Вводные'!$B$297),0,'19_Расчет_аналитики'!BL2480*IF('01_Вводные'!$B$239="Да",MeanMinAge21+'19_Расчет_аналитики'!BL2583*SUMIF(ThresholdAge21,"&lt;"&amp;'19_Расчет_аналитики'!BL2583,WeightedRevAge21)-SUMIF(ThresholdAge21,"&lt;"&amp;'19_Расчет_аналитики'!BL2583,WeightedMinAge21),MAX(CapacityAge21*'01_Вводные'!$B$218*'19_Расчет_аналитики'!BL2583,MeanMinAge21)))</f>
        <v/>
      </c>
      <c r="BM2508">
        <f>IF(OR('19_Расчет_аналитики'!BM2480=0,21&lt;='01_Вводные'!$B$297),0,'19_Расчет_аналитики'!BM2480*IF('01_Вводные'!$B$239="Да",MeanMinAge21+'19_Расчет_аналитики'!BM2583*SUMIF(ThresholdAge21,"&lt;"&amp;'19_Расчет_аналитики'!BM2583,WeightedRevAge21)-SUMIF(ThresholdAge21,"&lt;"&amp;'19_Расчет_аналитики'!BM2583,WeightedMinAge21),MAX(CapacityAge21*'01_Вводные'!$B$218*'19_Расчет_аналитики'!BM2583,MeanMinAge21)))</f>
        <v/>
      </c>
      <c r="BN2508">
        <f>IF(OR('19_Расчет_аналитики'!BN2480=0,21&lt;='01_Вводные'!$B$297),0,'19_Расчет_аналитики'!BN2480*IF('01_Вводные'!$B$239="Да",MeanMinAge21+'19_Расчет_аналитики'!BN2583*SUMIF(ThresholdAge21,"&lt;"&amp;'19_Расчет_аналитики'!BN2583,WeightedRevAge21)-SUMIF(ThresholdAge21,"&lt;"&amp;'19_Расчет_аналитики'!BN2583,WeightedMinAge21),MAX(CapacityAge21*'01_Вводные'!$B$218*'19_Расчет_аналитики'!BN2583,MeanMinAge21)))</f>
        <v/>
      </c>
      <c r="BO2508">
        <f>IF(OR('19_Расчет_аналитики'!BO2480=0,21&lt;='01_Вводные'!$B$297),0,'19_Расчет_аналитики'!BO2480*IF('01_Вводные'!$B$239="Да",MeanMinAge21+'19_Расчет_аналитики'!BO2583*SUMIF(ThresholdAge21,"&lt;"&amp;'19_Расчет_аналитики'!BO2583,WeightedRevAge21)-SUMIF(ThresholdAge21,"&lt;"&amp;'19_Расчет_аналитики'!BO2583,WeightedMinAge21),MAX(CapacityAge21*'01_Вводные'!$B$218*'19_Расчет_аналитики'!BO2583,MeanMinAge21)))</f>
        <v/>
      </c>
    </row>
    <row r="2509">
      <c r="B2509">
        <f>IF(OR('06_Сеть_и_дети'!B102=0,22&lt;='01_Вводные'!$B$297),0,'06_Сеть_и_дети'!B102*IF('01_Вводные'!$B$239="Да",MeanMinAge22+'19_Расчет_аналитики'!B2583*SUMIF(ThresholdAge22,"&lt;"&amp;'19_Расчет_аналитики'!B2583,WeightedRevAge22)-SUMIF(ThresholdAge22,"&lt;"&amp;'19_Расчет_аналитики'!B2583,WeightedMinAge22),MAX(CapacityAge22*'01_Вводные'!$B$218*'19_Расчет_аналитики'!B2583,MeanMinAge22)))</f>
        <v/>
      </c>
      <c r="C2509">
        <f>IF(OR('06_Сеть_и_дети'!C102=0,22&lt;='01_Вводные'!$B$297),0,'06_Сеть_и_дети'!C102*IF('01_Вводные'!$B$239="Да",MeanMinAge22+'19_Расчет_аналитики'!C2583*SUMIF(ThresholdAge22,"&lt;"&amp;'19_Расчет_аналитики'!C2583,WeightedRevAge22)-SUMIF(ThresholdAge22,"&lt;"&amp;'19_Расчет_аналитики'!C2583,WeightedMinAge22),MAX(CapacityAge22*'01_Вводные'!$B$218*'19_Расчет_аналитики'!C2583,MeanMinAge22)))</f>
        <v/>
      </c>
      <c r="D2509">
        <f>IF(OR('06_Сеть_и_дети'!D102=0,22&lt;='01_Вводные'!$B$297),0,'06_Сеть_и_дети'!D102*IF('01_Вводные'!$B$239="Да",MeanMinAge22+'19_Расчет_аналитики'!D2583*SUMIF(ThresholdAge22,"&lt;"&amp;'19_Расчет_аналитики'!D2583,WeightedRevAge22)-SUMIF(ThresholdAge22,"&lt;"&amp;'19_Расчет_аналитики'!D2583,WeightedMinAge22),MAX(CapacityAge22*'01_Вводные'!$B$218*'19_Расчет_аналитики'!D2583,MeanMinAge22)))</f>
        <v/>
      </c>
      <c r="E2509">
        <f>IF(OR('06_Сеть_и_дети'!E102=0,22&lt;='01_Вводные'!$B$297),0,'06_Сеть_и_дети'!E102*IF('01_Вводные'!$B$239="Да",MeanMinAge22+'19_Расчет_аналитики'!E2583*SUMIF(ThresholdAge22,"&lt;"&amp;'19_Расчет_аналитики'!E2583,WeightedRevAge22)-SUMIF(ThresholdAge22,"&lt;"&amp;'19_Расчет_аналитики'!E2583,WeightedMinAge22),MAX(CapacityAge22*'01_Вводные'!$B$218*'19_Расчет_аналитики'!E2583,MeanMinAge22)))</f>
        <v/>
      </c>
      <c r="F2509">
        <f>IF(OR('06_Сеть_и_дети'!F102=0,22&lt;='01_Вводные'!$B$297),0,'06_Сеть_и_дети'!F102*IF('01_Вводные'!$B$239="Да",MeanMinAge22+'19_Расчет_аналитики'!F2583*SUMIF(ThresholdAge22,"&lt;"&amp;'19_Расчет_аналитики'!F2583,WeightedRevAge22)-SUMIF(ThresholdAge22,"&lt;"&amp;'19_Расчет_аналитики'!F2583,WeightedMinAge22),MAX(CapacityAge22*'01_Вводные'!$B$218*'19_Расчет_аналитики'!F2583,MeanMinAge22)))</f>
        <v/>
      </c>
      <c r="G2509">
        <f>IF(OR('06_Сеть_и_дети'!G102=0,22&lt;='01_Вводные'!$B$297),0,'06_Сеть_и_дети'!G102*IF('01_Вводные'!$B$239="Да",MeanMinAge22+'19_Расчет_аналитики'!G2583*SUMIF(ThresholdAge22,"&lt;"&amp;'19_Расчет_аналитики'!G2583,WeightedRevAge22)-SUMIF(ThresholdAge22,"&lt;"&amp;'19_Расчет_аналитики'!G2583,WeightedMinAge22),MAX(CapacityAge22*'01_Вводные'!$B$218*'19_Расчет_аналитики'!G2583,MeanMinAge22)))</f>
        <v/>
      </c>
      <c r="H2509">
        <f>IF(OR('06_Сеть_и_дети'!H102=0,22&lt;='01_Вводные'!$B$297),0,'06_Сеть_и_дети'!H102*IF('01_Вводные'!$B$239="Да",MeanMinAge22+'19_Расчет_аналитики'!H2583*SUMIF(ThresholdAge22,"&lt;"&amp;'19_Расчет_аналитики'!H2583,WeightedRevAge22)-SUMIF(ThresholdAge22,"&lt;"&amp;'19_Расчет_аналитики'!H2583,WeightedMinAge22),MAX(CapacityAge22*'01_Вводные'!$B$218*'19_Расчет_аналитики'!H2583,MeanMinAge22)))</f>
        <v/>
      </c>
      <c r="I2509">
        <f>IF(OR('06_Сеть_и_дети'!I102=0,22&lt;='01_Вводные'!$B$297),0,'06_Сеть_и_дети'!I102*IF('01_Вводные'!$B$239="Да",MeanMinAge22+'19_Расчет_аналитики'!I2583*SUMIF(ThresholdAge22,"&lt;"&amp;'19_Расчет_аналитики'!I2583,WeightedRevAge22)-SUMIF(ThresholdAge22,"&lt;"&amp;'19_Расчет_аналитики'!I2583,WeightedMinAge22),MAX(CapacityAge22*'01_Вводные'!$B$218*'19_Расчет_аналитики'!I2583,MeanMinAge22)))</f>
        <v/>
      </c>
      <c r="J2509">
        <f>IF(OR('06_Сеть_и_дети'!J102=0,22&lt;='01_Вводные'!$B$297),0,'06_Сеть_и_дети'!J102*IF('01_Вводные'!$B$239="Да",MeanMinAge22+'19_Расчет_аналитики'!J2583*SUMIF(ThresholdAge22,"&lt;"&amp;'19_Расчет_аналитики'!J2583,WeightedRevAge22)-SUMIF(ThresholdAge22,"&lt;"&amp;'19_Расчет_аналитики'!J2583,WeightedMinAge22),MAX(CapacityAge22*'01_Вводные'!$B$218*'19_Расчет_аналитики'!J2583,MeanMinAge22)))</f>
        <v/>
      </c>
      <c r="K2509">
        <f>IF(OR('06_Сеть_и_дети'!K102=0,22&lt;='01_Вводные'!$B$297),0,'06_Сеть_и_дети'!K102*IF('01_Вводные'!$B$239="Да",MeanMinAge22+'19_Расчет_аналитики'!K2583*SUMIF(ThresholdAge22,"&lt;"&amp;'19_Расчет_аналитики'!K2583,WeightedRevAge22)-SUMIF(ThresholdAge22,"&lt;"&amp;'19_Расчет_аналитики'!K2583,WeightedMinAge22),MAX(CapacityAge22*'01_Вводные'!$B$218*'19_Расчет_аналитики'!K2583,MeanMinAge22)))</f>
        <v/>
      </c>
      <c r="L2509">
        <f>IF(OR('06_Сеть_и_дети'!L102=0,22&lt;='01_Вводные'!$B$297),0,'06_Сеть_и_дети'!L102*IF('01_Вводные'!$B$239="Да",MeanMinAge22+'19_Расчет_аналитики'!L2583*SUMIF(ThresholdAge22,"&lt;"&amp;'19_Расчет_аналитики'!L2583,WeightedRevAge22)-SUMIF(ThresholdAge22,"&lt;"&amp;'19_Расчет_аналитики'!L2583,WeightedMinAge22),MAX(CapacityAge22*'01_Вводные'!$B$218*'19_Расчет_аналитики'!L2583,MeanMinAge22)))</f>
        <v/>
      </c>
      <c r="M2509">
        <f>IF(OR('06_Сеть_и_дети'!M102=0,22&lt;='01_Вводные'!$B$297),0,'06_Сеть_и_дети'!M102*IF('01_Вводные'!$B$239="Да",MeanMinAge22+'19_Расчет_аналитики'!M2583*SUMIF(ThresholdAge22,"&lt;"&amp;'19_Расчет_аналитики'!M2583,WeightedRevAge22)-SUMIF(ThresholdAge22,"&lt;"&amp;'19_Расчет_аналитики'!M2583,WeightedMinAge22),MAX(CapacityAge22*'01_Вводные'!$B$218*'19_Расчет_аналитики'!M2583,MeanMinAge22)))</f>
        <v/>
      </c>
      <c r="N2509">
        <f>IF(OR('06_Сеть_и_дети'!N102=0,22&lt;='01_Вводные'!$B$297),0,'06_Сеть_и_дети'!N102*IF('01_Вводные'!$B$239="Да",MeanMinAge22+'19_Расчет_аналитики'!N2583*SUMIF(ThresholdAge22,"&lt;"&amp;'19_Расчет_аналитики'!N2583,WeightedRevAge22)-SUMIF(ThresholdAge22,"&lt;"&amp;'19_Расчет_аналитики'!N2583,WeightedMinAge22),MAX(CapacityAge22*'01_Вводные'!$B$218*'19_Расчет_аналитики'!N2583,MeanMinAge22)))</f>
        <v/>
      </c>
      <c r="O2509">
        <f>IF(OR('06_Сеть_и_дети'!O102=0,22&lt;='01_Вводные'!$B$297),0,'06_Сеть_и_дети'!O102*IF('01_Вводные'!$B$239="Да",MeanMinAge22+'19_Расчет_аналитики'!O2583*SUMIF(ThresholdAge22,"&lt;"&amp;'19_Расчет_аналитики'!O2583,WeightedRevAge22)-SUMIF(ThresholdAge22,"&lt;"&amp;'19_Расчет_аналитики'!O2583,WeightedMinAge22),MAX(CapacityAge22*'01_Вводные'!$B$218*'19_Расчет_аналитики'!O2583,MeanMinAge22)))</f>
        <v/>
      </c>
      <c r="P2509">
        <f>IF(OR('06_Сеть_и_дети'!P102=0,22&lt;='01_Вводные'!$B$297),0,'06_Сеть_и_дети'!P102*IF('01_Вводные'!$B$239="Да",MeanMinAge22+'19_Расчет_аналитики'!P2583*SUMIF(ThresholdAge22,"&lt;"&amp;'19_Расчет_аналитики'!P2583,WeightedRevAge22)-SUMIF(ThresholdAge22,"&lt;"&amp;'19_Расчет_аналитики'!P2583,WeightedMinAge22),MAX(CapacityAge22*'01_Вводные'!$B$218*'19_Расчет_аналитики'!P2583,MeanMinAge22)))</f>
        <v/>
      </c>
      <c r="Q2509">
        <f>IF(OR('06_Сеть_и_дети'!Q102=0,22&lt;='01_Вводные'!$B$297),0,'06_Сеть_и_дети'!Q102*IF('01_Вводные'!$B$239="Да",MeanMinAge22+'19_Расчет_аналитики'!Q2583*SUMIF(ThresholdAge22,"&lt;"&amp;'19_Расчет_аналитики'!Q2583,WeightedRevAge22)-SUMIF(ThresholdAge22,"&lt;"&amp;'19_Расчет_аналитики'!Q2583,WeightedMinAge22),MAX(CapacityAge22*'01_Вводные'!$B$218*'19_Расчет_аналитики'!Q2583,MeanMinAge22)))</f>
        <v/>
      </c>
      <c r="R2509">
        <f>IF(OR('06_Сеть_и_дети'!R102=0,22&lt;='01_Вводные'!$B$297),0,'06_Сеть_и_дети'!R102*IF('01_Вводные'!$B$239="Да",MeanMinAge22+'19_Расчет_аналитики'!R2583*SUMIF(ThresholdAge22,"&lt;"&amp;'19_Расчет_аналитики'!R2583,WeightedRevAge22)-SUMIF(ThresholdAge22,"&lt;"&amp;'19_Расчет_аналитики'!R2583,WeightedMinAge22),MAX(CapacityAge22*'01_Вводные'!$B$218*'19_Расчет_аналитики'!R2583,MeanMinAge22)))</f>
        <v/>
      </c>
      <c r="S2509">
        <f>IF(OR('06_Сеть_и_дети'!S102=0,22&lt;='01_Вводные'!$B$297),0,'06_Сеть_и_дети'!S102*IF('01_Вводные'!$B$239="Да",MeanMinAge22+'19_Расчет_аналитики'!S2583*SUMIF(ThresholdAge22,"&lt;"&amp;'19_Расчет_аналитики'!S2583,WeightedRevAge22)-SUMIF(ThresholdAge22,"&lt;"&amp;'19_Расчет_аналитики'!S2583,WeightedMinAge22),MAX(CapacityAge22*'01_Вводные'!$B$218*'19_Расчет_аналитики'!S2583,MeanMinAge22)))</f>
        <v/>
      </c>
      <c r="T2509">
        <f>IF(OR('06_Сеть_и_дети'!T102=0,22&lt;='01_Вводные'!$B$297),0,'06_Сеть_и_дети'!T102*IF('01_Вводные'!$B$239="Да",MeanMinAge22+'19_Расчет_аналитики'!T2583*SUMIF(ThresholdAge22,"&lt;"&amp;'19_Расчет_аналитики'!T2583,WeightedRevAge22)-SUMIF(ThresholdAge22,"&lt;"&amp;'19_Расчет_аналитики'!T2583,WeightedMinAge22),MAX(CapacityAge22*'01_Вводные'!$B$218*'19_Расчет_аналитики'!T2583,MeanMinAge22)))</f>
        <v/>
      </c>
      <c r="U2509">
        <f>IF(OR('06_Сеть_и_дети'!U102=0,22&lt;='01_Вводные'!$B$297),0,'06_Сеть_и_дети'!U102*IF('01_Вводные'!$B$239="Да",MeanMinAge22+'19_Расчет_аналитики'!U2583*SUMIF(ThresholdAge22,"&lt;"&amp;'19_Расчет_аналитики'!U2583,WeightedRevAge22)-SUMIF(ThresholdAge22,"&lt;"&amp;'19_Расчет_аналитики'!U2583,WeightedMinAge22),MAX(CapacityAge22*'01_Вводные'!$B$218*'19_Расчет_аналитики'!U2583,MeanMinAge22)))</f>
        <v/>
      </c>
      <c r="V2509">
        <f>IF(OR('06_Сеть_и_дети'!V102=0,22&lt;='01_Вводные'!$B$297),0,'06_Сеть_и_дети'!V102*IF('01_Вводные'!$B$239="Да",MeanMinAge22+'19_Расчет_аналитики'!V2583*SUMIF(ThresholdAge22,"&lt;"&amp;'19_Расчет_аналитики'!V2583,WeightedRevAge22)-SUMIF(ThresholdAge22,"&lt;"&amp;'19_Расчет_аналитики'!V2583,WeightedMinAge22),MAX(CapacityAge22*'01_Вводные'!$B$218*'19_Расчет_аналитики'!V2583,MeanMinAge22)))</f>
        <v/>
      </c>
      <c r="W2509">
        <f>IF(OR('19_Расчет_аналитики'!W2481=0,22&lt;='01_Вводные'!$B$297),0,'19_Расчет_аналитики'!W2481*IF('01_Вводные'!$B$239="Да",MeanMinAge22+'19_Расчет_аналитики'!W2583*SUMIF(ThresholdAge22,"&lt;"&amp;'19_Расчет_аналитики'!W2583,WeightedRevAge22)-SUMIF(ThresholdAge22,"&lt;"&amp;'19_Расчет_аналитики'!W2583,WeightedMinAge22),MAX(CapacityAge22*'01_Вводные'!$B$218*'19_Расчет_аналитики'!W2583,MeanMinAge22)))</f>
        <v/>
      </c>
      <c r="X2509">
        <f>IF(OR('19_Расчет_аналитики'!X2481=0,22&lt;='01_Вводные'!$B$297),0,'19_Расчет_аналитики'!X2481*IF('01_Вводные'!$B$239="Да",MeanMinAge22+'19_Расчет_аналитики'!X2583*SUMIF(ThresholdAge22,"&lt;"&amp;'19_Расчет_аналитики'!X2583,WeightedRevAge22)-SUMIF(ThresholdAge22,"&lt;"&amp;'19_Расчет_аналитики'!X2583,WeightedMinAge22),MAX(CapacityAge22*'01_Вводные'!$B$218*'19_Расчет_аналитики'!X2583,MeanMinAge22)))</f>
        <v/>
      </c>
      <c r="Y2509">
        <f>IF(OR('19_Расчет_аналитики'!Y2481=0,22&lt;='01_Вводные'!$B$297),0,'19_Расчет_аналитики'!Y2481*IF('01_Вводные'!$B$239="Да",MeanMinAge22+'19_Расчет_аналитики'!Y2583*SUMIF(ThresholdAge22,"&lt;"&amp;'19_Расчет_аналитики'!Y2583,WeightedRevAge22)-SUMIF(ThresholdAge22,"&lt;"&amp;'19_Расчет_аналитики'!Y2583,WeightedMinAge22),MAX(CapacityAge22*'01_Вводные'!$B$218*'19_Расчет_аналитики'!Y2583,MeanMinAge22)))</f>
        <v/>
      </c>
      <c r="Z2509">
        <f>IF(OR('19_Расчет_аналитики'!Z2481=0,22&lt;='01_Вводные'!$B$297),0,'19_Расчет_аналитики'!Z2481*IF('01_Вводные'!$B$239="Да",MeanMinAge22+'19_Расчет_аналитики'!Z2583*SUMIF(ThresholdAge22,"&lt;"&amp;'19_Расчет_аналитики'!Z2583,WeightedRevAge22)-SUMIF(ThresholdAge22,"&lt;"&amp;'19_Расчет_аналитики'!Z2583,WeightedMinAge22),MAX(CapacityAge22*'01_Вводные'!$B$218*'19_Расчет_аналитики'!Z2583,MeanMinAge22)))</f>
        <v/>
      </c>
      <c r="AA2509">
        <f>IF(OR('19_Расчет_аналитики'!AA2481=0,22&lt;='01_Вводные'!$B$297),0,'19_Расчет_аналитики'!AA2481*IF('01_Вводные'!$B$239="Да",MeanMinAge22+'19_Расчет_аналитики'!AA2583*SUMIF(ThresholdAge22,"&lt;"&amp;'19_Расчет_аналитики'!AA2583,WeightedRevAge22)-SUMIF(ThresholdAge22,"&lt;"&amp;'19_Расчет_аналитики'!AA2583,WeightedMinAge22),MAX(CapacityAge22*'01_Вводные'!$B$218*'19_Расчет_аналитики'!AA2583,MeanMinAge22)))</f>
        <v/>
      </c>
      <c r="AB2509">
        <f>IF(OR('19_Расчет_аналитики'!AB2481=0,22&lt;='01_Вводные'!$B$297),0,'19_Расчет_аналитики'!AB2481*IF('01_Вводные'!$B$239="Да",MeanMinAge22+'19_Расчет_аналитики'!AB2583*SUMIF(ThresholdAge22,"&lt;"&amp;'19_Расчет_аналитики'!AB2583,WeightedRevAge22)-SUMIF(ThresholdAge22,"&lt;"&amp;'19_Расчет_аналитики'!AB2583,WeightedMinAge22),MAX(CapacityAge22*'01_Вводные'!$B$218*'19_Расчет_аналитики'!AB2583,MeanMinAge22)))</f>
        <v/>
      </c>
      <c r="AC2509">
        <f>IF(OR('19_Расчет_аналитики'!AC2481=0,22&lt;='01_Вводные'!$B$297),0,'19_Расчет_аналитики'!AC2481*IF('01_Вводные'!$B$239="Да",MeanMinAge22+'19_Расчет_аналитики'!AC2583*SUMIF(ThresholdAge22,"&lt;"&amp;'19_Расчет_аналитики'!AC2583,WeightedRevAge22)-SUMIF(ThresholdAge22,"&lt;"&amp;'19_Расчет_аналитики'!AC2583,WeightedMinAge22),MAX(CapacityAge22*'01_Вводные'!$B$218*'19_Расчет_аналитики'!AC2583,MeanMinAge22)))</f>
        <v/>
      </c>
      <c r="AD2509">
        <f>IF(OR('19_Расчет_аналитики'!AD2481=0,22&lt;='01_Вводные'!$B$297),0,'19_Расчет_аналитики'!AD2481*IF('01_Вводные'!$B$239="Да",MeanMinAge22+'19_Расчет_аналитики'!AD2583*SUMIF(ThresholdAge22,"&lt;"&amp;'19_Расчет_аналитики'!AD2583,WeightedRevAge22)-SUMIF(ThresholdAge22,"&lt;"&amp;'19_Расчет_аналитики'!AD2583,WeightedMinAge22),MAX(CapacityAge22*'01_Вводные'!$B$218*'19_Расчет_аналитики'!AD2583,MeanMinAge22)))</f>
        <v/>
      </c>
      <c r="AE2509">
        <f>IF(OR('19_Расчет_аналитики'!AE2481=0,22&lt;='01_Вводные'!$B$297),0,'19_Расчет_аналитики'!AE2481*IF('01_Вводные'!$B$239="Да",MeanMinAge22+'19_Расчет_аналитики'!AE2583*SUMIF(ThresholdAge22,"&lt;"&amp;'19_Расчет_аналитики'!AE2583,WeightedRevAge22)-SUMIF(ThresholdAge22,"&lt;"&amp;'19_Расчет_аналитики'!AE2583,WeightedMinAge22),MAX(CapacityAge22*'01_Вводные'!$B$218*'19_Расчет_аналитики'!AE2583,MeanMinAge22)))</f>
        <v/>
      </c>
      <c r="AF2509">
        <f>IF(OR('19_Расчет_аналитики'!AF2481=0,22&lt;='01_Вводные'!$B$297),0,'19_Расчет_аналитики'!AF2481*IF('01_Вводные'!$B$239="Да",MeanMinAge22+'19_Расчет_аналитики'!AF2583*SUMIF(ThresholdAge22,"&lt;"&amp;'19_Расчет_аналитики'!AF2583,WeightedRevAge22)-SUMIF(ThresholdAge22,"&lt;"&amp;'19_Расчет_аналитики'!AF2583,WeightedMinAge22),MAX(CapacityAge22*'01_Вводные'!$B$218*'19_Расчет_аналитики'!AF2583,MeanMinAge22)))</f>
        <v/>
      </c>
      <c r="AG2509">
        <f>IF(OR('19_Расчет_аналитики'!AG2481=0,22&lt;='01_Вводные'!$B$297),0,'19_Расчет_аналитики'!AG2481*IF('01_Вводные'!$B$239="Да",MeanMinAge22+'19_Расчет_аналитики'!AG2583*SUMIF(ThresholdAge22,"&lt;"&amp;'19_Расчет_аналитики'!AG2583,WeightedRevAge22)-SUMIF(ThresholdAge22,"&lt;"&amp;'19_Расчет_аналитики'!AG2583,WeightedMinAge22),MAX(CapacityAge22*'01_Вводные'!$B$218*'19_Расчет_аналитики'!AG2583,MeanMinAge22)))</f>
        <v/>
      </c>
      <c r="AH2509">
        <f>IF(OR('19_Расчет_аналитики'!AH2481=0,22&lt;='01_Вводные'!$B$297),0,'19_Расчет_аналитики'!AH2481*IF('01_Вводные'!$B$239="Да",MeanMinAge22+'19_Расчет_аналитики'!AH2583*SUMIF(ThresholdAge22,"&lt;"&amp;'19_Расчет_аналитики'!AH2583,WeightedRevAge22)-SUMIF(ThresholdAge22,"&lt;"&amp;'19_Расчет_аналитики'!AH2583,WeightedMinAge22),MAX(CapacityAge22*'01_Вводные'!$B$218*'19_Расчет_аналитики'!AH2583,MeanMinAge22)))</f>
        <v/>
      </c>
      <c r="AI2509">
        <f>IF(OR('19_Расчет_аналитики'!AI2481=0,22&lt;='01_Вводные'!$B$297),0,'19_Расчет_аналитики'!AI2481*IF('01_Вводные'!$B$239="Да",MeanMinAge22+'19_Расчет_аналитики'!AI2583*SUMIF(ThresholdAge22,"&lt;"&amp;'19_Расчет_аналитики'!AI2583,WeightedRevAge22)-SUMIF(ThresholdAge22,"&lt;"&amp;'19_Расчет_аналитики'!AI2583,WeightedMinAge22),MAX(CapacityAge22*'01_Вводные'!$B$218*'19_Расчет_аналитики'!AI2583,MeanMinAge22)))</f>
        <v/>
      </c>
      <c r="AJ2509">
        <f>IF(OR('19_Расчет_аналитики'!AJ2481=0,22&lt;='01_Вводные'!$B$297),0,'19_Расчет_аналитики'!AJ2481*IF('01_Вводные'!$B$239="Да",MeanMinAge22+'19_Расчет_аналитики'!AJ2583*SUMIF(ThresholdAge22,"&lt;"&amp;'19_Расчет_аналитики'!AJ2583,WeightedRevAge22)-SUMIF(ThresholdAge22,"&lt;"&amp;'19_Расчет_аналитики'!AJ2583,WeightedMinAge22),MAX(CapacityAge22*'01_Вводные'!$B$218*'19_Расчет_аналитики'!AJ2583,MeanMinAge22)))</f>
        <v/>
      </c>
      <c r="AK2509">
        <f>IF(OR('19_Расчет_аналитики'!AK2481=0,22&lt;='01_Вводные'!$B$297),0,'19_Расчет_аналитики'!AK2481*IF('01_Вводные'!$B$239="Да",MeanMinAge22+'19_Расчет_аналитики'!AK2583*SUMIF(ThresholdAge22,"&lt;"&amp;'19_Расчет_аналитики'!AK2583,WeightedRevAge22)-SUMIF(ThresholdAge22,"&lt;"&amp;'19_Расчет_аналитики'!AK2583,WeightedMinAge22),MAX(CapacityAge22*'01_Вводные'!$B$218*'19_Расчет_аналитики'!AK2583,MeanMinAge22)))</f>
        <v/>
      </c>
      <c r="AL2509">
        <f>IF(OR('19_Расчет_аналитики'!AL2481=0,22&lt;='01_Вводные'!$B$297),0,'19_Расчет_аналитики'!AL2481*IF('01_Вводные'!$B$239="Да",MeanMinAge22+'19_Расчет_аналитики'!AL2583*SUMIF(ThresholdAge22,"&lt;"&amp;'19_Расчет_аналитики'!AL2583,WeightedRevAge22)-SUMIF(ThresholdAge22,"&lt;"&amp;'19_Расчет_аналитики'!AL2583,WeightedMinAge22),MAX(CapacityAge22*'01_Вводные'!$B$218*'19_Расчет_аналитики'!AL2583,MeanMinAge22)))</f>
        <v/>
      </c>
      <c r="AM2509">
        <f>IF(OR('19_Расчет_аналитики'!AM2481=0,22&lt;='01_Вводные'!$B$297),0,'19_Расчет_аналитики'!AM2481*IF('01_Вводные'!$B$239="Да",MeanMinAge22+'19_Расчет_аналитики'!AM2583*SUMIF(ThresholdAge22,"&lt;"&amp;'19_Расчет_аналитики'!AM2583,WeightedRevAge22)-SUMIF(ThresholdAge22,"&lt;"&amp;'19_Расчет_аналитики'!AM2583,WeightedMinAge22),MAX(CapacityAge22*'01_Вводные'!$B$218*'19_Расчет_аналитики'!AM2583,MeanMinAge22)))</f>
        <v/>
      </c>
      <c r="AN2509">
        <f>IF(OR('19_Расчет_аналитики'!AN2481=0,22&lt;='01_Вводные'!$B$297),0,'19_Расчет_аналитики'!AN2481*IF('01_Вводные'!$B$239="Да",MeanMinAge22+'19_Расчет_аналитики'!AN2583*SUMIF(ThresholdAge22,"&lt;"&amp;'19_Расчет_аналитики'!AN2583,WeightedRevAge22)-SUMIF(ThresholdAge22,"&lt;"&amp;'19_Расчет_аналитики'!AN2583,WeightedMinAge22),MAX(CapacityAge22*'01_Вводные'!$B$218*'19_Расчет_аналитики'!AN2583,MeanMinAge22)))</f>
        <v/>
      </c>
      <c r="AO2509">
        <f>IF(OR('19_Расчет_аналитики'!AO2481=0,22&lt;='01_Вводные'!$B$297),0,'19_Расчет_аналитики'!AO2481*IF('01_Вводные'!$B$239="Да",MeanMinAge22+'19_Расчет_аналитики'!AO2583*SUMIF(ThresholdAge22,"&lt;"&amp;'19_Расчет_аналитики'!AO2583,WeightedRevAge22)-SUMIF(ThresholdAge22,"&lt;"&amp;'19_Расчет_аналитики'!AO2583,WeightedMinAge22),MAX(CapacityAge22*'01_Вводные'!$B$218*'19_Расчет_аналитики'!AO2583,MeanMinAge22)))</f>
        <v/>
      </c>
      <c r="AP2509">
        <f>IF(OR('19_Расчет_аналитики'!AP2481=0,22&lt;='01_Вводные'!$B$297),0,'19_Расчет_аналитики'!AP2481*IF('01_Вводные'!$B$239="Да",MeanMinAge22+'19_Расчет_аналитики'!AP2583*SUMIF(ThresholdAge22,"&lt;"&amp;'19_Расчет_аналитики'!AP2583,WeightedRevAge22)-SUMIF(ThresholdAge22,"&lt;"&amp;'19_Расчет_аналитики'!AP2583,WeightedMinAge22),MAX(CapacityAge22*'01_Вводные'!$B$218*'19_Расчет_аналитики'!AP2583,MeanMinAge22)))</f>
        <v/>
      </c>
      <c r="AQ2509">
        <f>IF(OR('19_Расчет_аналитики'!AQ2481=0,22&lt;='01_Вводные'!$B$297),0,'19_Расчет_аналитики'!AQ2481*IF('01_Вводные'!$B$239="Да",MeanMinAge22+'19_Расчет_аналитики'!AQ2583*SUMIF(ThresholdAge22,"&lt;"&amp;'19_Расчет_аналитики'!AQ2583,WeightedRevAge22)-SUMIF(ThresholdAge22,"&lt;"&amp;'19_Расчет_аналитики'!AQ2583,WeightedMinAge22),MAX(CapacityAge22*'01_Вводные'!$B$218*'19_Расчет_аналитики'!AQ2583,MeanMinAge22)))</f>
        <v/>
      </c>
      <c r="AR2509">
        <f>IF(OR('19_Расчет_аналитики'!AR2481=0,22&lt;='01_Вводные'!$B$297),0,'19_Расчет_аналитики'!AR2481*IF('01_Вводные'!$B$239="Да",MeanMinAge22+'19_Расчет_аналитики'!AR2583*SUMIF(ThresholdAge22,"&lt;"&amp;'19_Расчет_аналитики'!AR2583,WeightedRevAge22)-SUMIF(ThresholdAge22,"&lt;"&amp;'19_Расчет_аналитики'!AR2583,WeightedMinAge22),MAX(CapacityAge22*'01_Вводные'!$B$218*'19_Расчет_аналитики'!AR2583,MeanMinAge22)))</f>
        <v/>
      </c>
      <c r="AS2509">
        <f>IF(OR('19_Расчет_аналитики'!AS2481=0,22&lt;='01_Вводные'!$B$297),0,'19_Расчет_аналитики'!AS2481*IF('01_Вводные'!$B$239="Да",MeanMinAge22+'19_Расчет_аналитики'!AS2583*SUMIF(ThresholdAge22,"&lt;"&amp;'19_Расчет_аналитики'!AS2583,WeightedRevAge22)-SUMIF(ThresholdAge22,"&lt;"&amp;'19_Расчет_аналитики'!AS2583,WeightedMinAge22),MAX(CapacityAge22*'01_Вводные'!$B$218*'19_Расчет_аналитики'!AS2583,MeanMinAge22)))</f>
        <v/>
      </c>
      <c r="AT2509">
        <f>IF(OR('19_Расчет_аналитики'!AT2481=0,22&lt;='01_Вводные'!$B$297),0,'19_Расчет_аналитики'!AT2481*IF('01_Вводные'!$B$239="Да",MeanMinAge22+'19_Расчет_аналитики'!AT2583*SUMIF(ThresholdAge22,"&lt;"&amp;'19_Расчет_аналитики'!AT2583,WeightedRevAge22)-SUMIF(ThresholdAge22,"&lt;"&amp;'19_Расчет_аналитики'!AT2583,WeightedMinAge22),MAX(CapacityAge22*'01_Вводные'!$B$218*'19_Расчет_аналитики'!AT2583,MeanMinAge22)))</f>
        <v/>
      </c>
      <c r="AU2509">
        <f>IF(OR('19_Расчет_аналитики'!AU2481=0,22&lt;='01_Вводные'!$B$297),0,'19_Расчет_аналитики'!AU2481*IF('01_Вводные'!$B$239="Да",MeanMinAge22+'19_Расчет_аналитики'!AU2583*SUMIF(ThresholdAge22,"&lt;"&amp;'19_Расчет_аналитики'!AU2583,WeightedRevAge22)-SUMIF(ThresholdAge22,"&lt;"&amp;'19_Расчет_аналитики'!AU2583,WeightedMinAge22),MAX(CapacityAge22*'01_Вводные'!$B$218*'19_Расчет_аналитики'!AU2583,MeanMinAge22)))</f>
        <v/>
      </c>
      <c r="AV2509">
        <f>IF(OR('19_Расчет_аналитики'!AV2481=0,22&lt;='01_Вводные'!$B$297),0,'19_Расчет_аналитики'!AV2481*IF('01_Вводные'!$B$239="Да",MeanMinAge22+'19_Расчет_аналитики'!AV2583*SUMIF(ThresholdAge22,"&lt;"&amp;'19_Расчет_аналитики'!AV2583,WeightedRevAge22)-SUMIF(ThresholdAge22,"&lt;"&amp;'19_Расчет_аналитики'!AV2583,WeightedMinAge22),MAX(CapacityAge22*'01_Вводные'!$B$218*'19_Расчет_аналитики'!AV2583,MeanMinAge22)))</f>
        <v/>
      </c>
      <c r="AW2509">
        <f>IF(OR('19_Расчет_аналитики'!AW2481=0,22&lt;='01_Вводные'!$B$297),0,'19_Расчет_аналитики'!AW2481*IF('01_Вводные'!$B$239="Да",MeanMinAge22+'19_Расчет_аналитики'!AW2583*SUMIF(ThresholdAge22,"&lt;"&amp;'19_Расчет_аналитики'!AW2583,WeightedRevAge22)-SUMIF(ThresholdAge22,"&lt;"&amp;'19_Расчет_аналитики'!AW2583,WeightedMinAge22),MAX(CapacityAge22*'01_Вводные'!$B$218*'19_Расчет_аналитики'!AW2583,MeanMinAge22)))</f>
        <v/>
      </c>
      <c r="AX2509">
        <f>IF(OR('19_Расчет_аналитики'!AX2481=0,22&lt;='01_Вводные'!$B$297),0,'19_Расчет_аналитики'!AX2481*IF('01_Вводные'!$B$239="Да",MeanMinAge22+'19_Расчет_аналитики'!AX2583*SUMIF(ThresholdAge22,"&lt;"&amp;'19_Расчет_аналитики'!AX2583,WeightedRevAge22)-SUMIF(ThresholdAge22,"&lt;"&amp;'19_Расчет_аналитики'!AX2583,WeightedMinAge22),MAX(CapacityAge22*'01_Вводные'!$B$218*'19_Расчет_аналитики'!AX2583,MeanMinAge22)))</f>
        <v/>
      </c>
      <c r="AY2509">
        <f>IF(OR('19_Расчет_аналитики'!AY2481=0,22&lt;='01_Вводные'!$B$297),0,'19_Расчет_аналитики'!AY2481*IF('01_Вводные'!$B$239="Да",MeanMinAge22+'19_Расчет_аналитики'!AY2583*SUMIF(ThresholdAge22,"&lt;"&amp;'19_Расчет_аналитики'!AY2583,WeightedRevAge22)-SUMIF(ThresholdAge22,"&lt;"&amp;'19_Расчет_аналитики'!AY2583,WeightedMinAge22),MAX(CapacityAge22*'01_Вводные'!$B$218*'19_Расчет_аналитики'!AY2583,MeanMinAge22)))</f>
        <v/>
      </c>
      <c r="AZ2509">
        <f>IF(OR('19_Расчет_аналитики'!AZ2481=0,22&lt;='01_Вводные'!$B$297),0,'19_Расчет_аналитики'!AZ2481*IF('01_Вводные'!$B$239="Да",MeanMinAge22+'19_Расчет_аналитики'!AZ2583*SUMIF(ThresholdAge22,"&lt;"&amp;'19_Расчет_аналитики'!AZ2583,WeightedRevAge22)-SUMIF(ThresholdAge22,"&lt;"&amp;'19_Расчет_аналитики'!AZ2583,WeightedMinAge22),MAX(CapacityAge22*'01_Вводные'!$B$218*'19_Расчет_аналитики'!AZ2583,MeanMinAge22)))</f>
        <v/>
      </c>
      <c r="BA2509">
        <f>IF(OR('19_Расчет_аналитики'!BA2481=0,22&lt;='01_Вводные'!$B$297),0,'19_Расчет_аналитики'!BA2481*IF('01_Вводные'!$B$239="Да",MeanMinAge22+'19_Расчет_аналитики'!BA2583*SUMIF(ThresholdAge22,"&lt;"&amp;'19_Расчет_аналитики'!BA2583,WeightedRevAge22)-SUMIF(ThresholdAge22,"&lt;"&amp;'19_Расчет_аналитики'!BA2583,WeightedMinAge22),MAX(CapacityAge22*'01_Вводные'!$B$218*'19_Расчет_аналитики'!BA2583,MeanMinAge22)))</f>
        <v/>
      </c>
      <c r="BB2509">
        <f>IF(OR('19_Расчет_аналитики'!BB2481=0,22&lt;='01_Вводные'!$B$297),0,'19_Расчет_аналитики'!BB2481*IF('01_Вводные'!$B$239="Да",MeanMinAge22+'19_Расчет_аналитики'!BB2583*SUMIF(ThresholdAge22,"&lt;"&amp;'19_Расчет_аналитики'!BB2583,WeightedRevAge22)-SUMIF(ThresholdAge22,"&lt;"&amp;'19_Расчет_аналитики'!BB2583,WeightedMinAge22),MAX(CapacityAge22*'01_Вводные'!$B$218*'19_Расчет_аналитики'!BB2583,MeanMinAge22)))</f>
        <v/>
      </c>
      <c r="BC2509">
        <f>IF(OR('19_Расчет_аналитики'!BC2481=0,22&lt;='01_Вводные'!$B$297),0,'19_Расчет_аналитики'!BC2481*IF('01_Вводные'!$B$239="Да",MeanMinAge22+'19_Расчет_аналитики'!BC2583*SUMIF(ThresholdAge22,"&lt;"&amp;'19_Расчет_аналитики'!BC2583,WeightedRevAge22)-SUMIF(ThresholdAge22,"&lt;"&amp;'19_Расчет_аналитики'!BC2583,WeightedMinAge22),MAX(CapacityAge22*'01_Вводные'!$B$218*'19_Расчет_аналитики'!BC2583,MeanMinAge22)))</f>
        <v/>
      </c>
      <c r="BD2509">
        <f>IF(OR('19_Расчет_аналитики'!BD2481=0,22&lt;='01_Вводные'!$B$297),0,'19_Расчет_аналитики'!BD2481*IF('01_Вводные'!$B$239="Да",MeanMinAge22+'19_Расчет_аналитики'!BD2583*SUMIF(ThresholdAge22,"&lt;"&amp;'19_Расчет_аналитики'!BD2583,WeightedRevAge22)-SUMIF(ThresholdAge22,"&lt;"&amp;'19_Расчет_аналитики'!BD2583,WeightedMinAge22),MAX(CapacityAge22*'01_Вводные'!$B$218*'19_Расчет_аналитики'!BD2583,MeanMinAge22)))</f>
        <v/>
      </c>
      <c r="BE2509">
        <f>IF(OR('19_Расчет_аналитики'!BE2481=0,22&lt;='01_Вводные'!$B$297),0,'19_Расчет_аналитики'!BE2481*IF('01_Вводные'!$B$239="Да",MeanMinAge22+'19_Расчет_аналитики'!BE2583*SUMIF(ThresholdAge22,"&lt;"&amp;'19_Расчет_аналитики'!BE2583,WeightedRevAge22)-SUMIF(ThresholdAge22,"&lt;"&amp;'19_Расчет_аналитики'!BE2583,WeightedMinAge22),MAX(CapacityAge22*'01_Вводные'!$B$218*'19_Расчет_аналитики'!BE2583,MeanMinAge22)))</f>
        <v/>
      </c>
      <c r="BF2509">
        <f>IF(OR('19_Расчет_аналитики'!BF2481=0,22&lt;='01_Вводные'!$B$297),0,'19_Расчет_аналитики'!BF2481*IF('01_Вводные'!$B$239="Да",MeanMinAge22+'19_Расчет_аналитики'!BF2583*SUMIF(ThresholdAge22,"&lt;"&amp;'19_Расчет_аналитики'!BF2583,WeightedRevAge22)-SUMIF(ThresholdAge22,"&lt;"&amp;'19_Расчет_аналитики'!BF2583,WeightedMinAge22),MAX(CapacityAge22*'01_Вводные'!$B$218*'19_Расчет_аналитики'!BF2583,MeanMinAge22)))</f>
        <v/>
      </c>
      <c r="BG2509">
        <f>IF(OR('19_Расчет_аналитики'!BG2481=0,22&lt;='01_Вводные'!$B$297),0,'19_Расчет_аналитики'!BG2481*IF('01_Вводные'!$B$239="Да",MeanMinAge22+'19_Расчет_аналитики'!BG2583*SUMIF(ThresholdAge22,"&lt;"&amp;'19_Расчет_аналитики'!BG2583,WeightedRevAge22)-SUMIF(ThresholdAge22,"&lt;"&amp;'19_Расчет_аналитики'!BG2583,WeightedMinAge22),MAX(CapacityAge22*'01_Вводные'!$B$218*'19_Расчет_аналитики'!BG2583,MeanMinAge22)))</f>
        <v/>
      </c>
      <c r="BH2509">
        <f>IF(OR('19_Расчет_аналитики'!BH2481=0,22&lt;='01_Вводные'!$B$297),0,'19_Расчет_аналитики'!BH2481*IF('01_Вводные'!$B$239="Да",MeanMinAge22+'19_Расчет_аналитики'!BH2583*SUMIF(ThresholdAge22,"&lt;"&amp;'19_Расчет_аналитики'!BH2583,WeightedRevAge22)-SUMIF(ThresholdAge22,"&lt;"&amp;'19_Расчет_аналитики'!BH2583,WeightedMinAge22),MAX(CapacityAge22*'01_Вводные'!$B$218*'19_Расчет_аналитики'!BH2583,MeanMinAge22)))</f>
        <v/>
      </c>
      <c r="BI2509">
        <f>IF(OR('19_Расчет_аналитики'!BI2481=0,22&lt;='01_Вводные'!$B$297),0,'19_Расчет_аналитики'!BI2481*IF('01_Вводные'!$B$239="Да",MeanMinAge22+'19_Расчет_аналитики'!BI2583*SUMIF(ThresholdAge22,"&lt;"&amp;'19_Расчет_аналитики'!BI2583,WeightedRevAge22)-SUMIF(ThresholdAge22,"&lt;"&amp;'19_Расчет_аналитики'!BI2583,WeightedMinAge22),MAX(CapacityAge22*'01_Вводные'!$B$218*'19_Расчет_аналитики'!BI2583,MeanMinAge22)))</f>
        <v/>
      </c>
      <c r="BJ2509">
        <f>IF(OR('19_Расчет_аналитики'!BJ2481=0,22&lt;='01_Вводные'!$B$297),0,'19_Расчет_аналитики'!BJ2481*IF('01_Вводные'!$B$239="Да",MeanMinAge22+'19_Расчет_аналитики'!BJ2583*SUMIF(ThresholdAge22,"&lt;"&amp;'19_Расчет_аналитики'!BJ2583,WeightedRevAge22)-SUMIF(ThresholdAge22,"&lt;"&amp;'19_Расчет_аналитики'!BJ2583,WeightedMinAge22),MAX(CapacityAge22*'01_Вводные'!$B$218*'19_Расчет_аналитики'!BJ2583,MeanMinAge22)))</f>
        <v/>
      </c>
      <c r="BK2509">
        <f>IF(OR('19_Расчет_аналитики'!BK2481=0,22&lt;='01_Вводные'!$B$297),0,'19_Расчет_аналитики'!BK2481*IF('01_Вводные'!$B$239="Да",MeanMinAge22+'19_Расчет_аналитики'!BK2583*SUMIF(ThresholdAge22,"&lt;"&amp;'19_Расчет_аналитики'!BK2583,WeightedRevAge22)-SUMIF(ThresholdAge22,"&lt;"&amp;'19_Расчет_аналитики'!BK2583,WeightedMinAge22),MAX(CapacityAge22*'01_Вводные'!$B$218*'19_Расчет_аналитики'!BK2583,MeanMinAge22)))</f>
        <v/>
      </c>
      <c r="BL2509">
        <f>IF(OR('19_Расчет_аналитики'!BL2481=0,22&lt;='01_Вводные'!$B$297),0,'19_Расчет_аналитики'!BL2481*IF('01_Вводные'!$B$239="Да",MeanMinAge22+'19_Расчет_аналитики'!BL2583*SUMIF(ThresholdAge22,"&lt;"&amp;'19_Расчет_аналитики'!BL2583,WeightedRevAge22)-SUMIF(ThresholdAge22,"&lt;"&amp;'19_Расчет_аналитики'!BL2583,WeightedMinAge22),MAX(CapacityAge22*'01_Вводные'!$B$218*'19_Расчет_аналитики'!BL2583,MeanMinAge22)))</f>
        <v/>
      </c>
      <c r="BM2509">
        <f>IF(OR('19_Расчет_аналитики'!BM2481=0,22&lt;='01_Вводные'!$B$297),0,'19_Расчет_аналитики'!BM2481*IF('01_Вводные'!$B$239="Да",MeanMinAge22+'19_Расчет_аналитики'!BM2583*SUMIF(ThresholdAge22,"&lt;"&amp;'19_Расчет_аналитики'!BM2583,WeightedRevAge22)-SUMIF(ThresholdAge22,"&lt;"&amp;'19_Расчет_аналитики'!BM2583,WeightedMinAge22),MAX(CapacityAge22*'01_Вводные'!$B$218*'19_Расчет_аналитики'!BM2583,MeanMinAge22)))</f>
        <v/>
      </c>
      <c r="BN2509">
        <f>IF(OR('19_Расчет_аналитики'!BN2481=0,22&lt;='01_Вводные'!$B$297),0,'19_Расчет_аналитики'!BN2481*IF('01_Вводные'!$B$239="Да",MeanMinAge22+'19_Расчет_аналитики'!BN2583*SUMIF(ThresholdAge22,"&lt;"&amp;'19_Расчет_аналитики'!BN2583,WeightedRevAge22)-SUMIF(ThresholdAge22,"&lt;"&amp;'19_Расчет_аналитики'!BN2583,WeightedMinAge22),MAX(CapacityAge22*'01_Вводные'!$B$218*'19_Расчет_аналитики'!BN2583,MeanMinAge22)))</f>
        <v/>
      </c>
      <c r="BO2509">
        <f>IF(OR('19_Расчет_аналитики'!BO2481=0,22&lt;='01_Вводные'!$B$297),0,'19_Расчет_аналитики'!BO2481*IF('01_Вводные'!$B$239="Да",MeanMinAge22+'19_Расчет_аналитики'!BO2583*SUMIF(ThresholdAge22,"&lt;"&amp;'19_Расчет_аналитики'!BO2583,WeightedRevAge22)-SUMIF(ThresholdAge22,"&lt;"&amp;'19_Расчет_аналитики'!BO2583,WeightedMinAge22),MAX(CapacityAge22*'01_Вводные'!$B$218*'19_Расчет_аналитики'!BO2583,MeanMinAge22)))</f>
        <v/>
      </c>
    </row>
    <row r="2510">
      <c r="B2510">
        <f>IF(OR('06_Сеть_и_дети'!B103=0,23&lt;='01_Вводные'!$B$297),0,'06_Сеть_и_дети'!B103*IF('01_Вводные'!$B$239="Да",MeanMinAge23+'19_Расчет_аналитики'!B2583*SUMIF(ThresholdAge23,"&lt;"&amp;'19_Расчет_аналитики'!B2583,WeightedRevAge23)-SUMIF(ThresholdAge23,"&lt;"&amp;'19_Расчет_аналитики'!B2583,WeightedMinAge23),MAX(CapacityAge23*'01_Вводные'!$B$218*'19_Расчет_аналитики'!B2583,MeanMinAge23)))</f>
        <v/>
      </c>
      <c r="C2510">
        <f>IF(OR('06_Сеть_и_дети'!C103=0,23&lt;='01_Вводные'!$B$297),0,'06_Сеть_и_дети'!C103*IF('01_Вводные'!$B$239="Да",MeanMinAge23+'19_Расчет_аналитики'!C2583*SUMIF(ThresholdAge23,"&lt;"&amp;'19_Расчет_аналитики'!C2583,WeightedRevAge23)-SUMIF(ThresholdAge23,"&lt;"&amp;'19_Расчет_аналитики'!C2583,WeightedMinAge23),MAX(CapacityAge23*'01_Вводные'!$B$218*'19_Расчет_аналитики'!C2583,MeanMinAge23)))</f>
        <v/>
      </c>
      <c r="D2510">
        <f>IF(OR('06_Сеть_и_дети'!D103=0,23&lt;='01_Вводные'!$B$297),0,'06_Сеть_и_дети'!D103*IF('01_Вводные'!$B$239="Да",MeanMinAge23+'19_Расчет_аналитики'!D2583*SUMIF(ThresholdAge23,"&lt;"&amp;'19_Расчет_аналитики'!D2583,WeightedRevAge23)-SUMIF(ThresholdAge23,"&lt;"&amp;'19_Расчет_аналитики'!D2583,WeightedMinAge23),MAX(CapacityAge23*'01_Вводные'!$B$218*'19_Расчет_аналитики'!D2583,MeanMinAge23)))</f>
        <v/>
      </c>
      <c r="E2510">
        <f>IF(OR('06_Сеть_и_дети'!E103=0,23&lt;='01_Вводные'!$B$297),0,'06_Сеть_и_дети'!E103*IF('01_Вводные'!$B$239="Да",MeanMinAge23+'19_Расчет_аналитики'!E2583*SUMIF(ThresholdAge23,"&lt;"&amp;'19_Расчет_аналитики'!E2583,WeightedRevAge23)-SUMIF(ThresholdAge23,"&lt;"&amp;'19_Расчет_аналитики'!E2583,WeightedMinAge23),MAX(CapacityAge23*'01_Вводные'!$B$218*'19_Расчет_аналитики'!E2583,MeanMinAge23)))</f>
        <v/>
      </c>
      <c r="F2510">
        <f>IF(OR('06_Сеть_и_дети'!F103=0,23&lt;='01_Вводные'!$B$297),0,'06_Сеть_и_дети'!F103*IF('01_Вводные'!$B$239="Да",MeanMinAge23+'19_Расчет_аналитики'!F2583*SUMIF(ThresholdAge23,"&lt;"&amp;'19_Расчет_аналитики'!F2583,WeightedRevAge23)-SUMIF(ThresholdAge23,"&lt;"&amp;'19_Расчет_аналитики'!F2583,WeightedMinAge23),MAX(CapacityAge23*'01_Вводные'!$B$218*'19_Расчет_аналитики'!F2583,MeanMinAge23)))</f>
        <v/>
      </c>
      <c r="G2510">
        <f>IF(OR('06_Сеть_и_дети'!G103=0,23&lt;='01_Вводные'!$B$297),0,'06_Сеть_и_дети'!G103*IF('01_Вводные'!$B$239="Да",MeanMinAge23+'19_Расчет_аналитики'!G2583*SUMIF(ThresholdAge23,"&lt;"&amp;'19_Расчет_аналитики'!G2583,WeightedRevAge23)-SUMIF(ThresholdAge23,"&lt;"&amp;'19_Расчет_аналитики'!G2583,WeightedMinAge23),MAX(CapacityAge23*'01_Вводные'!$B$218*'19_Расчет_аналитики'!G2583,MeanMinAge23)))</f>
        <v/>
      </c>
      <c r="H2510">
        <f>IF(OR('06_Сеть_и_дети'!H103=0,23&lt;='01_Вводные'!$B$297),0,'06_Сеть_и_дети'!H103*IF('01_Вводные'!$B$239="Да",MeanMinAge23+'19_Расчет_аналитики'!H2583*SUMIF(ThresholdAge23,"&lt;"&amp;'19_Расчет_аналитики'!H2583,WeightedRevAge23)-SUMIF(ThresholdAge23,"&lt;"&amp;'19_Расчет_аналитики'!H2583,WeightedMinAge23),MAX(CapacityAge23*'01_Вводные'!$B$218*'19_Расчет_аналитики'!H2583,MeanMinAge23)))</f>
        <v/>
      </c>
      <c r="I2510">
        <f>IF(OR('06_Сеть_и_дети'!I103=0,23&lt;='01_Вводные'!$B$297),0,'06_Сеть_и_дети'!I103*IF('01_Вводные'!$B$239="Да",MeanMinAge23+'19_Расчет_аналитики'!I2583*SUMIF(ThresholdAge23,"&lt;"&amp;'19_Расчет_аналитики'!I2583,WeightedRevAge23)-SUMIF(ThresholdAge23,"&lt;"&amp;'19_Расчет_аналитики'!I2583,WeightedMinAge23),MAX(CapacityAge23*'01_Вводные'!$B$218*'19_Расчет_аналитики'!I2583,MeanMinAge23)))</f>
        <v/>
      </c>
      <c r="J2510">
        <f>IF(OR('06_Сеть_и_дети'!J103=0,23&lt;='01_Вводные'!$B$297),0,'06_Сеть_и_дети'!J103*IF('01_Вводные'!$B$239="Да",MeanMinAge23+'19_Расчет_аналитики'!J2583*SUMIF(ThresholdAge23,"&lt;"&amp;'19_Расчет_аналитики'!J2583,WeightedRevAge23)-SUMIF(ThresholdAge23,"&lt;"&amp;'19_Расчет_аналитики'!J2583,WeightedMinAge23),MAX(CapacityAge23*'01_Вводные'!$B$218*'19_Расчет_аналитики'!J2583,MeanMinAge23)))</f>
        <v/>
      </c>
      <c r="K2510">
        <f>IF(OR('06_Сеть_и_дети'!K103=0,23&lt;='01_Вводные'!$B$297),0,'06_Сеть_и_дети'!K103*IF('01_Вводные'!$B$239="Да",MeanMinAge23+'19_Расчет_аналитики'!K2583*SUMIF(ThresholdAge23,"&lt;"&amp;'19_Расчет_аналитики'!K2583,WeightedRevAge23)-SUMIF(ThresholdAge23,"&lt;"&amp;'19_Расчет_аналитики'!K2583,WeightedMinAge23),MAX(CapacityAge23*'01_Вводные'!$B$218*'19_Расчет_аналитики'!K2583,MeanMinAge23)))</f>
        <v/>
      </c>
      <c r="L2510">
        <f>IF(OR('06_Сеть_и_дети'!L103=0,23&lt;='01_Вводные'!$B$297),0,'06_Сеть_и_дети'!L103*IF('01_Вводные'!$B$239="Да",MeanMinAge23+'19_Расчет_аналитики'!L2583*SUMIF(ThresholdAge23,"&lt;"&amp;'19_Расчет_аналитики'!L2583,WeightedRevAge23)-SUMIF(ThresholdAge23,"&lt;"&amp;'19_Расчет_аналитики'!L2583,WeightedMinAge23),MAX(CapacityAge23*'01_Вводные'!$B$218*'19_Расчет_аналитики'!L2583,MeanMinAge23)))</f>
        <v/>
      </c>
      <c r="M2510">
        <f>IF(OR('06_Сеть_и_дети'!M103=0,23&lt;='01_Вводные'!$B$297),0,'06_Сеть_и_дети'!M103*IF('01_Вводные'!$B$239="Да",MeanMinAge23+'19_Расчет_аналитики'!M2583*SUMIF(ThresholdAge23,"&lt;"&amp;'19_Расчет_аналитики'!M2583,WeightedRevAge23)-SUMIF(ThresholdAge23,"&lt;"&amp;'19_Расчет_аналитики'!M2583,WeightedMinAge23),MAX(CapacityAge23*'01_Вводные'!$B$218*'19_Расчет_аналитики'!M2583,MeanMinAge23)))</f>
        <v/>
      </c>
      <c r="N2510">
        <f>IF(OR('06_Сеть_и_дети'!N103=0,23&lt;='01_Вводные'!$B$297),0,'06_Сеть_и_дети'!N103*IF('01_Вводные'!$B$239="Да",MeanMinAge23+'19_Расчет_аналитики'!N2583*SUMIF(ThresholdAge23,"&lt;"&amp;'19_Расчет_аналитики'!N2583,WeightedRevAge23)-SUMIF(ThresholdAge23,"&lt;"&amp;'19_Расчет_аналитики'!N2583,WeightedMinAge23),MAX(CapacityAge23*'01_Вводные'!$B$218*'19_Расчет_аналитики'!N2583,MeanMinAge23)))</f>
        <v/>
      </c>
      <c r="O2510">
        <f>IF(OR('06_Сеть_и_дети'!O103=0,23&lt;='01_Вводные'!$B$297),0,'06_Сеть_и_дети'!O103*IF('01_Вводные'!$B$239="Да",MeanMinAge23+'19_Расчет_аналитики'!O2583*SUMIF(ThresholdAge23,"&lt;"&amp;'19_Расчет_аналитики'!O2583,WeightedRevAge23)-SUMIF(ThresholdAge23,"&lt;"&amp;'19_Расчет_аналитики'!O2583,WeightedMinAge23),MAX(CapacityAge23*'01_Вводные'!$B$218*'19_Расчет_аналитики'!O2583,MeanMinAge23)))</f>
        <v/>
      </c>
      <c r="P2510">
        <f>IF(OR('06_Сеть_и_дети'!P103=0,23&lt;='01_Вводные'!$B$297),0,'06_Сеть_и_дети'!P103*IF('01_Вводные'!$B$239="Да",MeanMinAge23+'19_Расчет_аналитики'!P2583*SUMIF(ThresholdAge23,"&lt;"&amp;'19_Расчет_аналитики'!P2583,WeightedRevAge23)-SUMIF(ThresholdAge23,"&lt;"&amp;'19_Расчет_аналитики'!P2583,WeightedMinAge23),MAX(CapacityAge23*'01_Вводные'!$B$218*'19_Расчет_аналитики'!P2583,MeanMinAge23)))</f>
        <v/>
      </c>
      <c r="Q2510">
        <f>IF(OR('06_Сеть_и_дети'!Q103=0,23&lt;='01_Вводные'!$B$297),0,'06_Сеть_и_дети'!Q103*IF('01_Вводные'!$B$239="Да",MeanMinAge23+'19_Расчет_аналитики'!Q2583*SUMIF(ThresholdAge23,"&lt;"&amp;'19_Расчет_аналитики'!Q2583,WeightedRevAge23)-SUMIF(ThresholdAge23,"&lt;"&amp;'19_Расчет_аналитики'!Q2583,WeightedMinAge23),MAX(CapacityAge23*'01_Вводные'!$B$218*'19_Расчет_аналитики'!Q2583,MeanMinAge23)))</f>
        <v/>
      </c>
      <c r="R2510">
        <f>IF(OR('06_Сеть_и_дети'!R103=0,23&lt;='01_Вводные'!$B$297),0,'06_Сеть_и_дети'!R103*IF('01_Вводные'!$B$239="Да",MeanMinAge23+'19_Расчет_аналитики'!R2583*SUMIF(ThresholdAge23,"&lt;"&amp;'19_Расчет_аналитики'!R2583,WeightedRevAge23)-SUMIF(ThresholdAge23,"&lt;"&amp;'19_Расчет_аналитики'!R2583,WeightedMinAge23),MAX(CapacityAge23*'01_Вводные'!$B$218*'19_Расчет_аналитики'!R2583,MeanMinAge23)))</f>
        <v/>
      </c>
      <c r="S2510">
        <f>IF(OR('06_Сеть_и_дети'!S103=0,23&lt;='01_Вводные'!$B$297),0,'06_Сеть_и_дети'!S103*IF('01_Вводные'!$B$239="Да",MeanMinAge23+'19_Расчет_аналитики'!S2583*SUMIF(ThresholdAge23,"&lt;"&amp;'19_Расчет_аналитики'!S2583,WeightedRevAge23)-SUMIF(ThresholdAge23,"&lt;"&amp;'19_Расчет_аналитики'!S2583,WeightedMinAge23),MAX(CapacityAge23*'01_Вводные'!$B$218*'19_Расчет_аналитики'!S2583,MeanMinAge23)))</f>
        <v/>
      </c>
      <c r="T2510">
        <f>IF(OR('06_Сеть_и_дети'!T103=0,23&lt;='01_Вводные'!$B$297),0,'06_Сеть_и_дети'!T103*IF('01_Вводные'!$B$239="Да",MeanMinAge23+'19_Расчет_аналитики'!T2583*SUMIF(ThresholdAge23,"&lt;"&amp;'19_Расчет_аналитики'!T2583,WeightedRevAge23)-SUMIF(ThresholdAge23,"&lt;"&amp;'19_Расчет_аналитики'!T2583,WeightedMinAge23),MAX(CapacityAge23*'01_Вводные'!$B$218*'19_Расчет_аналитики'!T2583,MeanMinAge23)))</f>
        <v/>
      </c>
      <c r="U2510">
        <f>IF(OR('06_Сеть_и_дети'!U103=0,23&lt;='01_Вводные'!$B$297),0,'06_Сеть_и_дети'!U103*IF('01_Вводные'!$B$239="Да",MeanMinAge23+'19_Расчет_аналитики'!U2583*SUMIF(ThresholdAge23,"&lt;"&amp;'19_Расчет_аналитики'!U2583,WeightedRevAge23)-SUMIF(ThresholdAge23,"&lt;"&amp;'19_Расчет_аналитики'!U2583,WeightedMinAge23),MAX(CapacityAge23*'01_Вводные'!$B$218*'19_Расчет_аналитики'!U2583,MeanMinAge23)))</f>
        <v/>
      </c>
      <c r="V2510">
        <f>IF(OR('06_Сеть_и_дети'!V103=0,23&lt;='01_Вводные'!$B$297),0,'06_Сеть_и_дети'!V103*IF('01_Вводные'!$B$239="Да",MeanMinAge23+'19_Расчет_аналитики'!V2583*SUMIF(ThresholdAge23,"&lt;"&amp;'19_Расчет_аналитики'!V2583,WeightedRevAge23)-SUMIF(ThresholdAge23,"&lt;"&amp;'19_Расчет_аналитики'!V2583,WeightedMinAge23),MAX(CapacityAge23*'01_Вводные'!$B$218*'19_Расчет_аналитики'!V2583,MeanMinAge23)))</f>
        <v/>
      </c>
      <c r="W2510">
        <f>IF(OR('06_Сеть_и_дети'!W103=0,23&lt;='01_Вводные'!$B$297),0,'06_Сеть_и_дети'!W103*IF('01_Вводные'!$B$239="Да",MeanMinAge23+'19_Расчет_аналитики'!W2583*SUMIF(ThresholdAge23,"&lt;"&amp;'19_Расчет_аналитики'!W2583,WeightedRevAge23)-SUMIF(ThresholdAge23,"&lt;"&amp;'19_Расчет_аналитики'!W2583,WeightedMinAge23),MAX(CapacityAge23*'01_Вводные'!$B$218*'19_Расчет_аналитики'!W2583,MeanMinAge23)))</f>
        <v/>
      </c>
      <c r="X2510">
        <f>IF(OR('19_Расчет_аналитики'!X2482=0,23&lt;='01_Вводные'!$B$297),0,'19_Расчет_аналитики'!X2482*IF('01_Вводные'!$B$239="Да",MeanMinAge23+'19_Расчет_аналитики'!X2583*SUMIF(ThresholdAge23,"&lt;"&amp;'19_Расчет_аналитики'!X2583,WeightedRevAge23)-SUMIF(ThresholdAge23,"&lt;"&amp;'19_Расчет_аналитики'!X2583,WeightedMinAge23),MAX(CapacityAge23*'01_Вводные'!$B$218*'19_Расчет_аналитики'!X2583,MeanMinAge23)))</f>
        <v/>
      </c>
      <c r="Y2510">
        <f>IF(OR('19_Расчет_аналитики'!Y2482=0,23&lt;='01_Вводные'!$B$297),0,'19_Расчет_аналитики'!Y2482*IF('01_Вводные'!$B$239="Да",MeanMinAge23+'19_Расчет_аналитики'!Y2583*SUMIF(ThresholdAge23,"&lt;"&amp;'19_Расчет_аналитики'!Y2583,WeightedRevAge23)-SUMIF(ThresholdAge23,"&lt;"&amp;'19_Расчет_аналитики'!Y2583,WeightedMinAge23),MAX(CapacityAge23*'01_Вводные'!$B$218*'19_Расчет_аналитики'!Y2583,MeanMinAge23)))</f>
        <v/>
      </c>
      <c r="Z2510">
        <f>IF(OR('19_Расчет_аналитики'!Z2482=0,23&lt;='01_Вводные'!$B$297),0,'19_Расчет_аналитики'!Z2482*IF('01_Вводные'!$B$239="Да",MeanMinAge23+'19_Расчет_аналитики'!Z2583*SUMIF(ThresholdAge23,"&lt;"&amp;'19_Расчет_аналитики'!Z2583,WeightedRevAge23)-SUMIF(ThresholdAge23,"&lt;"&amp;'19_Расчет_аналитики'!Z2583,WeightedMinAge23),MAX(CapacityAge23*'01_Вводные'!$B$218*'19_Расчет_аналитики'!Z2583,MeanMinAge23)))</f>
        <v/>
      </c>
      <c r="AA2510">
        <f>IF(OR('19_Расчет_аналитики'!AA2482=0,23&lt;='01_Вводные'!$B$297),0,'19_Расчет_аналитики'!AA2482*IF('01_Вводные'!$B$239="Да",MeanMinAge23+'19_Расчет_аналитики'!AA2583*SUMIF(ThresholdAge23,"&lt;"&amp;'19_Расчет_аналитики'!AA2583,WeightedRevAge23)-SUMIF(ThresholdAge23,"&lt;"&amp;'19_Расчет_аналитики'!AA2583,WeightedMinAge23),MAX(CapacityAge23*'01_Вводные'!$B$218*'19_Расчет_аналитики'!AA2583,MeanMinAge23)))</f>
        <v/>
      </c>
      <c r="AB2510">
        <f>IF(OR('19_Расчет_аналитики'!AB2482=0,23&lt;='01_Вводные'!$B$297),0,'19_Расчет_аналитики'!AB2482*IF('01_Вводные'!$B$239="Да",MeanMinAge23+'19_Расчет_аналитики'!AB2583*SUMIF(ThresholdAge23,"&lt;"&amp;'19_Расчет_аналитики'!AB2583,WeightedRevAge23)-SUMIF(ThresholdAge23,"&lt;"&amp;'19_Расчет_аналитики'!AB2583,WeightedMinAge23),MAX(CapacityAge23*'01_Вводные'!$B$218*'19_Расчет_аналитики'!AB2583,MeanMinAge23)))</f>
        <v/>
      </c>
      <c r="AC2510">
        <f>IF(OR('19_Расчет_аналитики'!AC2482=0,23&lt;='01_Вводные'!$B$297),0,'19_Расчет_аналитики'!AC2482*IF('01_Вводные'!$B$239="Да",MeanMinAge23+'19_Расчет_аналитики'!AC2583*SUMIF(ThresholdAge23,"&lt;"&amp;'19_Расчет_аналитики'!AC2583,WeightedRevAge23)-SUMIF(ThresholdAge23,"&lt;"&amp;'19_Расчет_аналитики'!AC2583,WeightedMinAge23),MAX(CapacityAge23*'01_Вводные'!$B$218*'19_Расчет_аналитики'!AC2583,MeanMinAge23)))</f>
        <v/>
      </c>
      <c r="AD2510">
        <f>IF(OR('19_Расчет_аналитики'!AD2482=0,23&lt;='01_Вводные'!$B$297),0,'19_Расчет_аналитики'!AD2482*IF('01_Вводные'!$B$239="Да",MeanMinAge23+'19_Расчет_аналитики'!AD2583*SUMIF(ThresholdAge23,"&lt;"&amp;'19_Расчет_аналитики'!AD2583,WeightedRevAge23)-SUMIF(ThresholdAge23,"&lt;"&amp;'19_Расчет_аналитики'!AD2583,WeightedMinAge23),MAX(CapacityAge23*'01_Вводные'!$B$218*'19_Расчет_аналитики'!AD2583,MeanMinAge23)))</f>
        <v/>
      </c>
      <c r="AE2510">
        <f>IF(OR('19_Расчет_аналитики'!AE2482=0,23&lt;='01_Вводные'!$B$297),0,'19_Расчет_аналитики'!AE2482*IF('01_Вводные'!$B$239="Да",MeanMinAge23+'19_Расчет_аналитики'!AE2583*SUMIF(ThresholdAge23,"&lt;"&amp;'19_Расчет_аналитики'!AE2583,WeightedRevAge23)-SUMIF(ThresholdAge23,"&lt;"&amp;'19_Расчет_аналитики'!AE2583,WeightedMinAge23),MAX(CapacityAge23*'01_Вводные'!$B$218*'19_Расчет_аналитики'!AE2583,MeanMinAge23)))</f>
        <v/>
      </c>
      <c r="AF2510">
        <f>IF(OR('19_Расчет_аналитики'!AF2482=0,23&lt;='01_Вводные'!$B$297),0,'19_Расчет_аналитики'!AF2482*IF('01_Вводные'!$B$239="Да",MeanMinAge23+'19_Расчет_аналитики'!AF2583*SUMIF(ThresholdAge23,"&lt;"&amp;'19_Расчет_аналитики'!AF2583,WeightedRevAge23)-SUMIF(ThresholdAge23,"&lt;"&amp;'19_Расчет_аналитики'!AF2583,WeightedMinAge23),MAX(CapacityAge23*'01_Вводные'!$B$218*'19_Расчет_аналитики'!AF2583,MeanMinAge23)))</f>
        <v/>
      </c>
      <c r="AG2510">
        <f>IF(OR('19_Расчет_аналитики'!AG2482=0,23&lt;='01_Вводные'!$B$297),0,'19_Расчет_аналитики'!AG2482*IF('01_Вводные'!$B$239="Да",MeanMinAge23+'19_Расчет_аналитики'!AG2583*SUMIF(ThresholdAge23,"&lt;"&amp;'19_Расчет_аналитики'!AG2583,WeightedRevAge23)-SUMIF(ThresholdAge23,"&lt;"&amp;'19_Расчет_аналитики'!AG2583,WeightedMinAge23),MAX(CapacityAge23*'01_Вводные'!$B$218*'19_Расчет_аналитики'!AG2583,MeanMinAge23)))</f>
        <v/>
      </c>
      <c r="AH2510">
        <f>IF(OR('19_Расчет_аналитики'!AH2482=0,23&lt;='01_Вводные'!$B$297),0,'19_Расчет_аналитики'!AH2482*IF('01_Вводные'!$B$239="Да",MeanMinAge23+'19_Расчет_аналитики'!AH2583*SUMIF(ThresholdAge23,"&lt;"&amp;'19_Расчет_аналитики'!AH2583,WeightedRevAge23)-SUMIF(ThresholdAge23,"&lt;"&amp;'19_Расчет_аналитики'!AH2583,WeightedMinAge23),MAX(CapacityAge23*'01_Вводные'!$B$218*'19_Расчет_аналитики'!AH2583,MeanMinAge23)))</f>
        <v/>
      </c>
      <c r="AI2510">
        <f>IF(OR('19_Расчет_аналитики'!AI2482=0,23&lt;='01_Вводные'!$B$297),0,'19_Расчет_аналитики'!AI2482*IF('01_Вводные'!$B$239="Да",MeanMinAge23+'19_Расчет_аналитики'!AI2583*SUMIF(ThresholdAge23,"&lt;"&amp;'19_Расчет_аналитики'!AI2583,WeightedRevAge23)-SUMIF(ThresholdAge23,"&lt;"&amp;'19_Расчет_аналитики'!AI2583,WeightedMinAge23),MAX(CapacityAge23*'01_Вводные'!$B$218*'19_Расчет_аналитики'!AI2583,MeanMinAge23)))</f>
        <v/>
      </c>
      <c r="AJ2510">
        <f>IF(OR('19_Расчет_аналитики'!AJ2482=0,23&lt;='01_Вводные'!$B$297),0,'19_Расчет_аналитики'!AJ2482*IF('01_Вводные'!$B$239="Да",MeanMinAge23+'19_Расчет_аналитики'!AJ2583*SUMIF(ThresholdAge23,"&lt;"&amp;'19_Расчет_аналитики'!AJ2583,WeightedRevAge23)-SUMIF(ThresholdAge23,"&lt;"&amp;'19_Расчет_аналитики'!AJ2583,WeightedMinAge23),MAX(CapacityAge23*'01_Вводные'!$B$218*'19_Расчет_аналитики'!AJ2583,MeanMinAge23)))</f>
        <v/>
      </c>
      <c r="AK2510">
        <f>IF(OR('19_Расчет_аналитики'!AK2482=0,23&lt;='01_Вводные'!$B$297),0,'19_Расчет_аналитики'!AK2482*IF('01_Вводные'!$B$239="Да",MeanMinAge23+'19_Расчет_аналитики'!AK2583*SUMIF(ThresholdAge23,"&lt;"&amp;'19_Расчет_аналитики'!AK2583,WeightedRevAge23)-SUMIF(ThresholdAge23,"&lt;"&amp;'19_Расчет_аналитики'!AK2583,WeightedMinAge23),MAX(CapacityAge23*'01_Вводные'!$B$218*'19_Расчет_аналитики'!AK2583,MeanMinAge23)))</f>
        <v/>
      </c>
      <c r="AL2510">
        <f>IF(OR('19_Расчет_аналитики'!AL2482=0,23&lt;='01_Вводные'!$B$297),0,'19_Расчет_аналитики'!AL2482*IF('01_Вводные'!$B$239="Да",MeanMinAge23+'19_Расчет_аналитики'!AL2583*SUMIF(ThresholdAge23,"&lt;"&amp;'19_Расчет_аналитики'!AL2583,WeightedRevAge23)-SUMIF(ThresholdAge23,"&lt;"&amp;'19_Расчет_аналитики'!AL2583,WeightedMinAge23),MAX(CapacityAge23*'01_Вводные'!$B$218*'19_Расчет_аналитики'!AL2583,MeanMinAge23)))</f>
        <v/>
      </c>
      <c r="AM2510">
        <f>IF(OR('19_Расчет_аналитики'!AM2482=0,23&lt;='01_Вводные'!$B$297),0,'19_Расчет_аналитики'!AM2482*IF('01_Вводные'!$B$239="Да",MeanMinAge23+'19_Расчет_аналитики'!AM2583*SUMIF(ThresholdAge23,"&lt;"&amp;'19_Расчет_аналитики'!AM2583,WeightedRevAge23)-SUMIF(ThresholdAge23,"&lt;"&amp;'19_Расчет_аналитики'!AM2583,WeightedMinAge23),MAX(CapacityAge23*'01_Вводные'!$B$218*'19_Расчет_аналитики'!AM2583,MeanMinAge23)))</f>
        <v/>
      </c>
      <c r="AN2510">
        <f>IF(OR('19_Расчет_аналитики'!AN2482=0,23&lt;='01_Вводные'!$B$297),0,'19_Расчет_аналитики'!AN2482*IF('01_Вводные'!$B$239="Да",MeanMinAge23+'19_Расчет_аналитики'!AN2583*SUMIF(ThresholdAge23,"&lt;"&amp;'19_Расчет_аналитики'!AN2583,WeightedRevAge23)-SUMIF(ThresholdAge23,"&lt;"&amp;'19_Расчет_аналитики'!AN2583,WeightedMinAge23),MAX(CapacityAge23*'01_Вводные'!$B$218*'19_Расчет_аналитики'!AN2583,MeanMinAge23)))</f>
        <v/>
      </c>
      <c r="AO2510">
        <f>IF(OR('19_Расчет_аналитики'!AO2482=0,23&lt;='01_Вводные'!$B$297),0,'19_Расчет_аналитики'!AO2482*IF('01_Вводные'!$B$239="Да",MeanMinAge23+'19_Расчет_аналитики'!AO2583*SUMIF(ThresholdAge23,"&lt;"&amp;'19_Расчет_аналитики'!AO2583,WeightedRevAge23)-SUMIF(ThresholdAge23,"&lt;"&amp;'19_Расчет_аналитики'!AO2583,WeightedMinAge23),MAX(CapacityAge23*'01_Вводные'!$B$218*'19_Расчет_аналитики'!AO2583,MeanMinAge23)))</f>
        <v/>
      </c>
      <c r="AP2510">
        <f>IF(OR('19_Расчет_аналитики'!AP2482=0,23&lt;='01_Вводные'!$B$297),0,'19_Расчет_аналитики'!AP2482*IF('01_Вводные'!$B$239="Да",MeanMinAge23+'19_Расчет_аналитики'!AP2583*SUMIF(ThresholdAge23,"&lt;"&amp;'19_Расчет_аналитики'!AP2583,WeightedRevAge23)-SUMIF(ThresholdAge23,"&lt;"&amp;'19_Расчет_аналитики'!AP2583,WeightedMinAge23),MAX(CapacityAge23*'01_Вводные'!$B$218*'19_Расчет_аналитики'!AP2583,MeanMinAge23)))</f>
        <v/>
      </c>
      <c r="AQ2510">
        <f>IF(OR('19_Расчет_аналитики'!AQ2482=0,23&lt;='01_Вводные'!$B$297),0,'19_Расчет_аналитики'!AQ2482*IF('01_Вводные'!$B$239="Да",MeanMinAge23+'19_Расчет_аналитики'!AQ2583*SUMIF(ThresholdAge23,"&lt;"&amp;'19_Расчет_аналитики'!AQ2583,WeightedRevAge23)-SUMIF(ThresholdAge23,"&lt;"&amp;'19_Расчет_аналитики'!AQ2583,WeightedMinAge23),MAX(CapacityAge23*'01_Вводные'!$B$218*'19_Расчет_аналитики'!AQ2583,MeanMinAge23)))</f>
        <v/>
      </c>
      <c r="AR2510">
        <f>IF(OR('19_Расчет_аналитики'!AR2482=0,23&lt;='01_Вводные'!$B$297),0,'19_Расчет_аналитики'!AR2482*IF('01_Вводные'!$B$239="Да",MeanMinAge23+'19_Расчет_аналитики'!AR2583*SUMIF(ThresholdAge23,"&lt;"&amp;'19_Расчет_аналитики'!AR2583,WeightedRevAge23)-SUMIF(ThresholdAge23,"&lt;"&amp;'19_Расчет_аналитики'!AR2583,WeightedMinAge23),MAX(CapacityAge23*'01_Вводные'!$B$218*'19_Расчет_аналитики'!AR2583,MeanMinAge23)))</f>
        <v/>
      </c>
      <c r="AS2510">
        <f>IF(OR('19_Расчет_аналитики'!AS2482=0,23&lt;='01_Вводные'!$B$297),0,'19_Расчет_аналитики'!AS2482*IF('01_Вводные'!$B$239="Да",MeanMinAge23+'19_Расчет_аналитики'!AS2583*SUMIF(ThresholdAge23,"&lt;"&amp;'19_Расчет_аналитики'!AS2583,WeightedRevAge23)-SUMIF(ThresholdAge23,"&lt;"&amp;'19_Расчет_аналитики'!AS2583,WeightedMinAge23),MAX(CapacityAge23*'01_Вводные'!$B$218*'19_Расчет_аналитики'!AS2583,MeanMinAge23)))</f>
        <v/>
      </c>
      <c r="AT2510">
        <f>IF(OR('19_Расчет_аналитики'!AT2482=0,23&lt;='01_Вводные'!$B$297),0,'19_Расчет_аналитики'!AT2482*IF('01_Вводные'!$B$239="Да",MeanMinAge23+'19_Расчет_аналитики'!AT2583*SUMIF(ThresholdAge23,"&lt;"&amp;'19_Расчет_аналитики'!AT2583,WeightedRevAge23)-SUMIF(ThresholdAge23,"&lt;"&amp;'19_Расчет_аналитики'!AT2583,WeightedMinAge23),MAX(CapacityAge23*'01_Вводные'!$B$218*'19_Расчет_аналитики'!AT2583,MeanMinAge23)))</f>
        <v/>
      </c>
      <c r="AU2510">
        <f>IF(OR('19_Расчет_аналитики'!AU2482=0,23&lt;='01_Вводные'!$B$297),0,'19_Расчет_аналитики'!AU2482*IF('01_Вводные'!$B$239="Да",MeanMinAge23+'19_Расчет_аналитики'!AU2583*SUMIF(ThresholdAge23,"&lt;"&amp;'19_Расчет_аналитики'!AU2583,WeightedRevAge23)-SUMIF(ThresholdAge23,"&lt;"&amp;'19_Расчет_аналитики'!AU2583,WeightedMinAge23),MAX(CapacityAge23*'01_Вводные'!$B$218*'19_Расчет_аналитики'!AU2583,MeanMinAge23)))</f>
        <v/>
      </c>
      <c r="AV2510">
        <f>IF(OR('19_Расчет_аналитики'!AV2482=0,23&lt;='01_Вводные'!$B$297),0,'19_Расчет_аналитики'!AV2482*IF('01_Вводные'!$B$239="Да",MeanMinAge23+'19_Расчет_аналитики'!AV2583*SUMIF(ThresholdAge23,"&lt;"&amp;'19_Расчет_аналитики'!AV2583,WeightedRevAge23)-SUMIF(ThresholdAge23,"&lt;"&amp;'19_Расчет_аналитики'!AV2583,WeightedMinAge23),MAX(CapacityAge23*'01_Вводные'!$B$218*'19_Расчет_аналитики'!AV2583,MeanMinAge23)))</f>
        <v/>
      </c>
      <c r="AW2510">
        <f>IF(OR('19_Расчет_аналитики'!AW2482=0,23&lt;='01_Вводные'!$B$297),0,'19_Расчет_аналитики'!AW2482*IF('01_Вводные'!$B$239="Да",MeanMinAge23+'19_Расчет_аналитики'!AW2583*SUMIF(ThresholdAge23,"&lt;"&amp;'19_Расчет_аналитики'!AW2583,WeightedRevAge23)-SUMIF(ThresholdAge23,"&lt;"&amp;'19_Расчет_аналитики'!AW2583,WeightedMinAge23),MAX(CapacityAge23*'01_Вводные'!$B$218*'19_Расчет_аналитики'!AW2583,MeanMinAge23)))</f>
        <v/>
      </c>
      <c r="AX2510">
        <f>IF(OR('19_Расчет_аналитики'!AX2482=0,23&lt;='01_Вводные'!$B$297),0,'19_Расчет_аналитики'!AX2482*IF('01_Вводные'!$B$239="Да",MeanMinAge23+'19_Расчет_аналитики'!AX2583*SUMIF(ThresholdAge23,"&lt;"&amp;'19_Расчет_аналитики'!AX2583,WeightedRevAge23)-SUMIF(ThresholdAge23,"&lt;"&amp;'19_Расчет_аналитики'!AX2583,WeightedMinAge23),MAX(CapacityAge23*'01_Вводные'!$B$218*'19_Расчет_аналитики'!AX2583,MeanMinAge23)))</f>
        <v/>
      </c>
      <c r="AY2510">
        <f>IF(OR('19_Расчет_аналитики'!AY2482=0,23&lt;='01_Вводные'!$B$297),0,'19_Расчет_аналитики'!AY2482*IF('01_Вводные'!$B$239="Да",MeanMinAge23+'19_Расчет_аналитики'!AY2583*SUMIF(ThresholdAge23,"&lt;"&amp;'19_Расчет_аналитики'!AY2583,WeightedRevAge23)-SUMIF(ThresholdAge23,"&lt;"&amp;'19_Расчет_аналитики'!AY2583,WeightedMinAge23),MAX(CapacityAge23*'01_Вводные'!$B$218*'19_Расчет_аналитики'!AY2583,MeanMinAge23)))</f>
        <v/>
      </c>
      <c r="AZ2510">
        <f>IF(OR('19_Расчет_аналитики'!AZ2482=0,23&lt;='01_Вводные'!$B$297),0,'19_Расчет_аналитики'!AZ2482*IF('01_Вводные'!$B$239="Да",MeanMinAge23+'19_Расчет_аналитики'!AZ2583*SUMIF(ThresholdAge23,"&lt;"&amp;'19_Расчет_аналитики'!AZ2583,WeightedRevAge23)-SUMIF(ThresholdAge23,"&lt;"&amp;'19_Расчет_аналитики'!AZ2583,WeightedMinAge23),MAX(CapacityAge23*'01_Вводные'!$B$218*'19_Расчет_аналитики'!AZ2583,MeanMinAge23)))</f>
        <v/>
      </c>
      <c r="BA2510">
        <f>IF(OR('19_Расчет_аналитики'!BA2482=0,23&lt;='01_Вводные'!$B$297),0,'19_Расчет_аналитики'!BA2482*IF('01_Вводные'!$B$239="Да",MeanMinAge23+'19_Расчет_аналитики'!BA2583*SUMIF(ThresholdAge23,"&lt;"&amp;'19_Расчет_аналитики'!BA2583,WeightedRevAge23)-SUMIF(ThresholdAge23,"&lt;"&amp;'19_Расчет_аналитики'!BA2583,WeightedMinAge23),MAX(CapacityAge23*'01_Вводные'!$B$218*'19_Расчет_аналитики'!BA2583,MeanMinAge23)))</f>
        <v/>
      </c>
      <c r="BB2510">
        <f>IF(OR('19_Расчет_аналитики'!BB2482=0,23&lt;='01_Вводные'!$B$297),0,'19_Расчет_аналитики'!BB2482*IF('01_Вводные'!$B$239="Да",MeanMinAge23+'19_Расчет_аналитики'!BB2583*SUMIF(ThresholdAge23,"&lt;"&amp;'19_Расчет_аналитики'!BB2583,WeightedRevAge23)-SUMIF(ThresholdAge23,"&lt;"&amp;'19_Расчет_аналитики'!BB2583,WeightedMinAge23),MAX(CapacityAge23*'01_Вводные'!$B$218*'19_Расчет_аналитики'!BB2583,MeanMinAge23)))</f>
        <v/>
      </c>
      <c r="BC2510">
        <f>IF(OR('19_Расчет_аналитики'!BC2482=0,23&lt;='01_Вводные'!$B$297),0,'19_Расчет_аналитики'!BC2482*IF('01_Вводные'!$B$239="Да",MeanMinAge23+'19_Расчет_аналитики'!BC2583*SUMIF(ThresholdAge23,"&lt;"&amp;'19_Расчет_аналитики'!BC2583,WeightedRevAge23)-SUMIF(ThresholdAge23,"&lt;"&amp;'19_Расчет_аналитики'!BC2583,WeightedMinAge23),MAX(CapacityAge23*'01_Вводные'!$B$218*'19_Расчет_аналитики'!BC2583,MeanMinAge23)))</f>
        <v/>
      </c>
      <c r="BD2510">
        <f>IF(OR('19_Расчет_аналитики'!BD2482=0,23&lt;='01_Вводные'!$B$297),0,'19_Расчет_аналитики'!BD2482*IF('01_Вводные'!$B$239="Да",MeanMinAge23+'19_Расчет_аналитики'!BD2583*SUMIF(ThresholdAge23,"&lt;"&amp;'19_Расчет_аналитики'!BD2583,WeightedRevAge23)-SUMIF(ThresholdAge23,"&lt;"&amp;'19_Расчет_аналитики'!BD2583,WeightedMinAge23),MAX(CapacityAge23*'01_Вводные'!$B$218*'19_Расчет_аналитики'!BD2583,MeanMinAge23)))</f>
        <v/>
      </c>
      <c r="BE2510">
        <f>IF(OR('19_Расчет_аналитики'!BE2482=0,23&lt;='01_Вводные'!$B$297),0,'19_Расчет_аналитики'!BE2482*IF('01_Вводные'!$B$239="Да",MeanMinAge23+'19_Расчет_аналитики'!BE2583*SUMIF(ThresholdAge23,"&lt;"&amp;'19_Расчет_аналитики'!BE2583,WeightedRevAge23)-SUMIF(ThresholdAge23,"&lt;"&amp;'19_Расчет_аналитики'!BE2583,WeightedMinAge23),MAX(CapacityAge23*'01_Вводные'!$B$218*'19_Расчет_аналитики'!BE2583,MeanMinAge23)))</f>
        <v/>
      </c>
      <c r="BF2510">
        <f>IF(OR('19_Расчет_аналитики'!BF2482=0,23&lt;='01_Вводные'!$B$297),0,'19_Расчет_аналитики'!BF2482*IF('01_Вводные'!$B$239="Да",MeanMinAge23+'19_Расчет_аналитики'!BF2583*SUMIF(ThresholdAge23,"&lt;"&amp;'19_Расчет_аналитики'!BF2583,WeightedRevAge23)-SUMIF(ThresholdAge23,"&lt;"&amp;'19_Расчет_аналитики'!BF2583,WeightedMinAge23),MAX(CapacityAge23*'01_Вводные'!$B$218*'19_Расчет_аналитики'!BF2583,MeanMinAge23)))</f>
        <v/>
      </c>
      <c r="BG2510">
        <f>IF(OR('19_Расчет_аналитики'!BG2482=0,23&lt;='01_Вводные'!$B$297),0,'19_Расчет_аналитики'!BG2482*IF('01_Вводные'!$B$239="Да",MeanMinAge23+'19_Расчет_аналитики'!BG2583*SUMIF(ThresholdAge23,"&lt;"&amp;'19_Расчет_аналитики'!BG2583,WeightedRevAge23)-SUMIF(ThresholdAge23,"&lt;"&amp;'19_Расчет_аналитики'!BG2583,WeightedMinAge23),MAX(CapacityAge23*'01_Вводные'!$B$218*'19_Расчет_аналитики'!BG2583,MeanMinAge23)))</f>
        <v/>
      </c>
      <c r="BH2510">
        <f>IF(OR('19_Расчет_аналитики'!BH2482=0,23&lt;='01_Вводные'!$B$297),0,'19_Расчет_аналитики'!BH2482*IF('01_Вводные'!$B$239="Да",MeanMinAge23+'19_Расчет_аналитики'!BH2583*SUMIF(ThresholdAge23,"&lt;"&amp;'19_Расчет_аналитики'!BH2583,WeightedRevAge23)-SUMIF(ThresholdAge23,"&lt;"&amp;'19_Расчет_аналитики'!BH2583,WeightedMinAge23),MAX(CapacityAge23*'01_Вводные'!$B$218*'19_Расчет_аналитики'!BH2583,MeanMinAge23)))</f>
        <v/>
      </c>
      <c r="BI2510">
        <f>IF(OR('19_Расчет_аналитики'!BI2482=0,23&lt;='01_Вводные'!$B$297),0,'19_Расчет_аналитики'!BI2482*IF('01_Вводные'!$B$239="Да",MeanMinAge23+'19_Расчет_аналитики'!BI2583*SUMIF(ThresholdAge23,"&lt;"&amp;'19_Расчет_аналитики'!BI2583,WeightedRevAge23)-SUMIF(ThresholdAge23,"&lt;"&amp;'19_Расчет_аналитики'!BI2583,WeightedMinAge23),MAX(CapacityAge23*'01_Вводные'!$B$218*'19_Расчет_аналитики'!BI2583,MeanMinAge23)))</f>
        <v/>
      </c>
      <c r="BJ2510">
        <f>IF(OR('19_Расчет_аналитики'!BJ2482=0,23&lt;='01_Вводные'!$B$297),0,'19_Расчет_аналитики'!BJ2482*IF('01_Вводные'!$B$239="Да",MeanMinAge23+'19_Расчет_аналитики'!BJ2583*SUMIF(ThresholdAge23,"&lt;"&amp;'19_Расчет_аналитики'!BJ2583,WeightedRevAge23)-SUMIF(ThresholdAge23,"&lt;"&amp;'19_Расчет_аналитики'!BJ2583,WeightedMinAge23),MAX(CapacityAge23*'01_Вводные'!$B$218*'19_Расчет_аналитики'!BJ2583,MeanMinAge23)))</f>
        <v/>
      </c>
      <c r="BK2510">
        <f>IF(OR('19_Расчет_аналитики'!BK2482=0,23&lt;='01_Вводные'!$B$297),0,'19_Расчет_аналитики'!BK2482*IF('01_Вводные'!$B$239="Да",MeanMinAge23+'19_Расчет_аналитики'!BK2583*SUMIF(ThresholdAge23,"&lt;"&amp;'19_Расчет_аналитики'!BK2583,WeightedRevAge23)-SUMIF(ThresholdAge23,"&lt;"&amp;'19_Расчет_аналитики'!BK2583,WeightedMinAge23),MAX(CapacityAge23*'01_Вводные'!$B$218*'19_Расчет_аналитики'!BK2583,MeanMinAge23)))</f>
        <v/>
      </c>
      <c r="BL2510">
        <f>IF(OR('19_Расчет_аналитики'!BL2482=0,23&lt;='01_Вводные'!$B$297),0,'19_Расчет_аналитики'!BL2482*IF('01_Вводные'!$B$239="Да",MeanMinAge23+'19_Расчет_аналитики'!BL2583*SUMIF(ThresholdAge23,"&lt;"&amp;'19_Расчет_аналитики'!BL2583,WeightedRevAge23)-SUMIF(ThresholdAge23,"&lt;"&amp;'19_Расчет_аналитики'!BL2583,WeightedMinAge23),MAX(CapacityAge23*'01_Вводные'!$B$218*'19_Расчет_аналитики'!BL2583,MeanMinAge23)))</f>
        <v/>
      </c>
      <c r="BM2510">
        <f>IF(OR('19_Расчет_аналитики'!BM2482=0,23&lt;='01_Вводные'!$B$297),0,'19_Расчет_аналитики'!BM2482*IF('01_Вводные'!$B$239="Да",MeanMinAge23+'19_Расчет_аналитики'!BM2583*SUMIF(ThresholdAge23,"&lt;"&amp;'19_Расчет_аналитики'!BM2583,WeightedRevAge23)-SUMIF(ThresholdAge23,"&lt;"&amp;'19_Расчет_аналитики'!BM2583,WeightedMinAge23),MAX(CapacityAge23*'01_Вводные'!$B$218*'19_Расчет_аналитики'!BM2583,MeanMinAge23)))</f>
        <v/>
      </c>
      <c r="BN2510">
        <f>IF(OR('19_Расчет_аналитики'!BN2482=0,23&lt;='01_Вводные'!$B$297),0,'19_Расчет_аналитики'!BN2482*IF('01_Вводные'!$B$239="Да",MeanMinAge23+'19_Расчет_аналитики'!BN2583*SUMIF(ThresholdAge23,"&lt;"&amp;'19_Расчет_аналитики'!BN2583,WeightedRevAge23)-SUMIF(ThresholdAge23,"&lt;"&amp;'19_Расчет_аналитики'!BN2583,WeightedMinAge23),MAX(CapacityAge23*'01_Вводные'!$B$218*'19_Расчет_аналитики'!BN2583,MeanMinAge23)))</f>
        <v/>
      </c>
      <c r="BO2510">
        <f>IF(OR('19_Расчет_аналитики'!BO2482=0,23&lt;='01_Вводные'!$B$297),0,'19_Расчет_аналитики'!BO2482*IF('01_Вводные'!$B$239="Да",MeanMinAge23+'19_Расчет_аналитики'!BO2583*SUMIF(ThresholdAge23,"&lt;"&amp;'19_Расчет_аналитики'!BO2583,WeightedRevAge23)-SUMIF(ThresholdAge23,"&lt;"&amp;'19_Расчет_аналитики'!BO2583,WeightedMinAge23),MAX(CapacityAge23*'01_Вводные'!$B$218*'19_Расчет_аналитики'!BO2583,MeanMinAge23)))</f>
        <v/>
      </c>
    </row>
    <row r="2511">
      <c r="B2511">
        <f>IF(OR('06_Сеть_и_дети'!B104=0,24&lt;='01_Вводные'!$B$297),0,'06_Сеть_и_дети'!B104*IF('01_Вводные'!$B$239="Да",MeanMinAge24+'19_Расчет_аналитики'!B2583*SUMIF(ThresholdAge24,"&lt;"&amp;'19_Расчет_аналитики'!B2583,WeightedRevAge24)-SUMIF(ThresholdAge24,"&lt;"&amp;'19_Расчет_аналитики'!B2583,WeightedMinAge24),MAX(CapacityAge24*'01_Вводные'!$B$218*'19_Расчет_аналитики'!B2583,MeanMinAge24)))</f>
        <v/>
      </c>
      <c r="C2511">
        <f>IF(OR('06_Сеть_и_дети'!C104=0,24&lt;='01_Вводные'!$B$297),0,'06_Сеть_и_дети'!C104*IF('01_Вводные'!$B$239="Да",MeanMinAge24+'19_Расчет_аналитики'!C2583*SUMIF(ThresholdAge24,"&lt;"&amp;'19_Расчет_аналитики'!C2583,WeightedRevAge24)-SUMIF(ThresholdAge24,"&lt;"&amp;'19_Расчет_аналитики'!C2583,WeightedMinAge24),MAX(CapacityAge24*'01_Вводные'!$B$218*'19_Расчет_аналитики'!C2583,MeanMinAge24)))</f>
        <v/>
      </c>
      <c r="D2511">
        <f>IF(OR('06_Сеть_и_дети'!D104=0,24&lt;='01_Вводные'!$B$297),0,'06_Сеть_и_дети'!D104*IF('01_Вводные'!$B$239="Да",MeanMinAge24+'19_Расчет_аналитики'!D2583*SUMIF(ThresholdAge24,"&lt;"&amp;'19_Расчет_аналитики'!D2583,WeightedRevAge24)-SUMIF(ThresholdAge24,"&lt;"&amp;'19_Расчет_аналитики'!D2583,WeightedMinAge24),MAX(CapacityAge24*'01_Вводные'!$B$218*'19_Расчет_аналитики'!D2583,MeanMinAge24)))</f>
        <v/>
      </c>
      <c r="E2511">
        <f>IF(OR('06_Сеть_и_дети'!E104=0,24&lt;='01_Вводные'!$B$297),0,'06_Сеть_и_дети'!E104*IF('01_Вводные'!$B$239="Да",MeanMinAge24+'19_Расчет_аналитики'!E2583*SUMIF(ThresholdAge24,"&lt;"&amp;'19_Расчет_аналитики'!E2583,WeightedRevAge24)-SUMIF(ThresholdAge24,"&lt;"&amp;'19_Расчет_аналитики'!E2583,WeightedMinAge24),MAX(CapacityAge24*'01_Вводные'!$B$218*'19_Расчет_аналитики'!E2583,MeanMinAge24)))</f>
        <v/>
      </c>
      <c r="F2511">
        <f>IF(OR('06_Сеть_и_дети'!F104=0,24&lt;='01_Вводные'!$B$297),0,'06_Сеть_и_дети'!F104*IF('01_Вводные'!$B$239="Да",MeanMinAge24+'19_Расчет_аналитики'!F2583*SUMIF(ThresholdAge24,"&lt;"&amp;'19_Расчет_аналитики'!F2583,WeightedRevAge24)-SUMIF(ThresholdAge24,"&lt;"&amp;'19_Расчет_аналитики'!F2583,WeightedMinAge24),MAX(CapacityAge24*'01_Вводные'!$B$218*'19_Расчет_аналитики'!F2583,MeanMinAge24)))</f>
        <v/>
      </c>
      <c r="G2511">
        <f>IF(OR('06_Сеть_и_дети'!G104=0,24&lt;='01_Вводные'!$B$297),0,'06_Сеть_и_дети'!G104*IF('01_Вводные'!$B$239="Да",MeanMinAge24+'19_Расчет_аналитики'!G2583*SUMIF(ThresholdAge24,"&lt;"&amp;'19_Расчет_аналитики'!G2583,WeightedRevAge24)-SUMIF(ThresholdAge24,"&lt;"&amp;'19_Расчет_аналитики'!G2583,WeightedMinAge24),MAX(CapacityAge24*'01_Вводные'!$B$218*'19_Расчет_аналитики'!G2583,MeanMinAge24)))</f>
        <v/>
      </c>
      <c r="H2511">
        <f>IF(OR('06_Сеть_и_дети'!H104=0,24&lt;='01_Вводные'!$B$297),0,'06_Сеть_и_дети'!H104*IF('01_Вводные'!$B$239="Да",MeanMinAge24+'19_Расчет_аналитики'!H2583*SUMIF(ThresholdAge24,"&lt;"&amp;'19_Расчет_аналитики'!H2583,WeightedRevAge24)-SUMIF(ThresholdAge24,"&lt;"&amp;'19_Расчет_аналитики'!H2583,WeightedMinAge24),MAX(CapacityAge24*'01_Вводные'!$B$218*'19_Расчет_аналитики'!H2583,MeanMinAge24)))</f>
        <v/>
      </c>
      <c r="I2511">
        <f>IF(OR('06_Сеть_и_дети'!I104=0,24&lt;='01_Вводные'!$B$297),0,'06_Сеть_и_дети'!I104*IF('01_Вводные'!$B$239="Да",MeanMinAge24+'19_Расчет_аналитики'!I2583*SUMIF(ThresholdAge24,"&lt;"&amp;'19_Расчет_аналитики'!I2583,WeightedRevAge24)-SUMIF(ThresholdAge24,"&lt;"&amp;'19_Расчет_аналитики'!I2583,WeightedMinAge24),MAX(CapacityAge24*'01_Вводные'!$B$218*'19_Расчет_аналитики'!I2583,MeanMinAge24)))</f>
        <v/>
      </c>
      <c r="J2511">
        <f>IF(OR('06_Сеть_и_дети'!J104=0,24&lt;='01_Вводные'!$B$297),0,'06_Сеть_и_дети'!J104*IF('01_Вводные'!$B$239="Да",MeanMinAge24+'19_Расчет_аналитики'!J2583*SUMIF(ThresholdAge24,"&lt;"&amp;'19_Расчет_аналитики'!J2583,WeightedRevAge24)-SUMIF(ThresholdAge24,"&lt;"&amp;'19_Расчет_аналитики'!J2583,WeightedMinAge24),MAX(CapacityAge24*'01_Вводные'!$B$218*'19_Расчет_аналитики'!J2583,MeanMinAge24)))</f>
        <v/>
      </c>
      <c r="K2511">
        <f>IF(OR('06_Сеть_и_дети'!K104=0,24&lt;='01_Вводные'!$B$297),0,'06_Сеть_и_дети'!K104*IF('01_Вводные'!$B$239="Да",MeanMinAge24+'19_Расчет_аналитики'!K2583*SUMIF(ThresholdAge24,"&lt;"&amp;'19_Расчет_аналитики'!K2583,WeightedRevAge24)-SUMIF(ThresholdAge24,"&lt;"&amp;'19_Расчет_аналитики'!K2583,WeightedMinAge24),MAX(CapacityAge24*'01_Вводные'!$B$218*'19_Расчет_аналитики'!K2583,MeanMinAge24)))</f>
        <v/>
      </c>
      <c r="L2511">
        <f>IF(OR('06_Сеть_и_дети'!L104=0,24&lt;='01_Вводные'!$B$297),0,'06_Сеть_и_дети'!L104*IF('01_Вводные'!$B$239="Да",MeanMinAge24+'19_Расчет_аналитики'!L2583*SUMIF(ThresholdAge24,"&lt;"&amp;'19_Расчет_аналитики'!L2583,WeightedRevAge24)-SUMIF(ThresholdAge24,"&lt;"&amp;'19_Расчет_аналитики'!L2583,WeightedMinAge24),MAX(CapacityAge24*'01_Вводные'!$B$218*'19_Расчет_аналитики'!L2583,MeanMinAge24)))</f>
        <v/>
      </c>
      <c r="M2511">
        <f>IF(OR('06_Сеть_и_дети'!M104=0,24&lt;='01_Вводные'!$B$297),0,'06_Сеть_и_дети'!M104*IF('01_Вводные'!$B$239="Да",MeanMinAge24+'19_Расчет_аналитики'!M2583*SUMIF(ThresholdAge24,"&lt;"&amp;'19_Расчет_аналитики'!M2583,WeightedRevAge24)-SUMIF(ThresholdAge24,"&lt;"&amp;'19_Расчет_аналитики'!M2583,WeightedMinAge24),MAX(CapacityAge24*'01_Вводные'!$B$218*'19_Расчет_аналитики'!M2583,MeanMinAge24)))</f>
        <v/>
      </c>
      <c r="N2511">
        <f>IF(OR('06_Сеть_и_дети'!N104=0,24&lt;='01_Вводные'!$B$297),0,'06_Сеть_и_дети'!N104*IF('01_Вводные'!$B$239="Да",MeanMinAge24+'19_Расчет_аналитики'!N2583*SUMIF(ThresholdAge24,"&lt;"&amp;'19_Расчет_аналитики'!N2583,WeightedRevAge24)-SUMIF(ThresholdAge24,"&lt;"&amp;'19_Расчет_аналитики'!N2583,WeightedMinAge24),MAX(CapacityAge24*'01_Вводные'!$B$218*'19_Расчет_аналитики'!N2583,MeanMinAge24)))</f>
        <v/>
      </c>
      <c r="O2511">
        <f>IF(OR('06_Сеть_и_дети'!O104=0,24&lt;='01_Вводные'!$B$297),0,'06_Сеть_и_дети'!O104*IF('01_Вводные'!$B$239="Да",MeanMinAge24+'19_Расчет_аналитики'!O2583*SUMIF(ThresholdAge24,"&lt;"&amp;'19_Расчет_аналитики'!O2583,WeightedRevAge24)-SUMIF(ThresholdAge24,"&lt;"&amp;'19_Расчет_аналитики'!O2583,WeightedMinAge24),MAX(CapacityAge24*'01_Вводные'!$B$218*'19_Расчет_аналитики'!O2583,MeanMinAge24)))</f>
        <v/>
      </c>
      <c r="P2511">
        <f>IF(OR('06_Сеть_и_дети'!P104=0,24&lt;='01_Вводные'!$B$297),0,'06_Сеть_и_дети'!P104*IF('01_Вводные'!$B$239="Да",MeanMinAge24+'19_Расчет_аналитики'!P2583*SUMIF(ThresholdAge24,"&lt;"&amp;'19_Расчет_аналитики'!P2583,WeightedRevAge24)-SUMIF(ThresholdAge24,"&lt;"&amp;'19_Расчет_аналитики'!P2583,WeightedMinAge24),MAX(CapacityAge24*'01_Вводные'!$B$218*'19_Расчет_аналитики'!P2583,MeanMinAge24)))</f>
        <v/>
      </c>
      <c r="Q2511">
        <f>IF(OR('06_Сеть_и_дети'!Q104=0,24&lt;='01_Вводные'!$B$297),0,'06_Сеть_и_дети'!Q104*IF('01_Вводные'!$B$239="Да",MeanMinAge24+'19_Расчет_аналитики'!Q2583*SUMIF(ThresholdAge24,"&lt;"&amp;'19_Расчет_аналитики'!Q2583,WeightedRevAge24)-SUMIF(ThresholdAge24,"&lt;"&amp;'19_Расчет_аналитики'!Q2583,WeightedMinAge24),MAX(CapacityAge24*'01_Вводные'!$B$218*'19_Расчет_аналитики'!Q2583,MeanMinAge24)))</f>
        <v/>
      </c>
      <c r="R2511">
        <f>IF(OR('06_Сеть_и_дети'!R104=0,24&lt;='01_Вводные'!$B$297),0,'06_Сеть_и_дети'!R104*IF('01_Вводные'!$B$239="Да",MeanMinAge24+'19_Расчет_аналитики'!R2583*SUMIF(ThresholdAge24,"&lt;"&amp;'19_Расчет_аналитики'!R2583,WeightedRevAge24)-SUMIF(ThresholdAge24,"&lt;"&amp;'19_Расчет_аналитики'!R2583,WeightedMinAge24),MAX(CapacityAge24*'01_Вводные'!$B$218*'19_Расчет_аналитики'!R2583,MeanMinAge24)))</f>
        <v/>
      </c>
      <c r="S2511">
        <f>IF(OR('06_Сеть_и_дети'!S104=0,24&lt;='01_Вводные'!$B$297),0,'06_Сеть_и_дети'!S104*IF('01_Вводные'!$B$239="Да",MeanMinAge24+'19_Расчет_аналитики'!S2583*SUMIF(ThresholdAge24,"&lt;"&amp;'19_Расчет_аналитики'!S2583,WeightedRevAge24)-SUMIF(ThresholdAge24,"&lt;"&amp;'19_Расчет_аналитики'!S2583,WeightedMinAge24),MAX(CapacityAge24*'01_Вводные'!$B$218*'19_Расчет_аналитики'!S2583,MeanMinAge24)))</f>
        <v/>
      </c>
      <c r="T2511">
        <f>IF(OR('06_Сеть_и_дети'!T104=0,24&lt;='01_Вводные'!$B$297),0,'06_Сеть_и_дети'!T104*IF('01_Вводные'!$B$239="Да",MeanMinAge24+'19_Расчет_аналитики'!T2583*SUMIF(ThresholdAge24,"&lt;"&amp;'19_Расчет_аналитики'!T2583,WeightedRevAge24)-SUMIF(ThresholdAge24,"&lt;"&amp;'19_Расчет_аналитики'!T2583,WeightedMinAge24),MAX(CapacityAge24*'01_Вводные'!$B$218*'19_Расчет_аналитики'!T2583,MeanMinAge24)))</f>
        <v/>
      </c>
      <c r="U2511">
        <f>IF(OR('06_Сеть_и_дети'!U104=0,24&lt;='01_Вводные'!$B$297),0,'06_Сеть_и_дети'!U104*IF('01_Вводные'!$B$239="Да",MeanMinAge24+'19_Расчет_аналитики'!U2583*SUMIF(ThresholdAge24,"&lt;"&amp;'19_Расчет_аналитики'!U2583,WeightedRevAge24)-SUMIF(ThresholdAge24,"&lt;"&amp;'19_Расчет_аналитики'!U2583,WeightedMinAge24),MAX(CapacityAge24*'01_Вводные'!$B$218*'19_Расчет_аналитики'!U2583,MeanMinAge24)))</f>
        <v/>
      </c>
      <c r="V2511">
        <f>IF(OR('06_Сеть_и_дети'!V104=0,24&lt;='01_Вводные'!$B$297),0,'06_Сеть_и_дети'!V104*IF('01_Вводные'!$B$239="Да",MeanMinAge24+'19_Расчет_аналитики'!V2583*SUMIF(ThresholdAge24,"&lt;"&amp;'19_Расчет_аналитики'!V2583,WeightedRevAge24)-SUMIF(ThresholdAge24,"&lt;"&amp;'19_Расчет_аналитики'!V2583,WeightedMinAge24),MAX(CapacityAge24*'01_Вводные'!$B$218*'19_Расчет_аналитики'!V2583,MeanMinAge24)))</f>
        <v/>
      </c>
      <c r="W2511">
        <f>IF(OR('06_Сеть_и_дети'!W104=0,24&lt;='01_Вводные'!$B$297),0,'06_Сеть_и_дети'!W104*IF('01_Вводные'!$B$239="Да",MeanMinAge24+'19_Расчет_аналитики'!W2583*SUMIF(ThresholdAge24,"&lt;"&amp;'19_Расчет_аналитики'!W2583,WeightedRevAge24)-SUMIF(ThresholdAge24,"&lt;"&amp;'19_Расчет_аналитики'!W2583,WeightedMinAge24),MAX(CapacityAge24*'01_Вводные'!$B$218*'19_Расчет_аналитики'!W2583,MeanMinAge24)))</f>
        <v/>
      </c>
      <c r="X2511">
        <f>IF(OR('06_Сеть_и_дети'!X104=0,24&lt;='01_Вводные'!$B$297),0,'06_Сеть_и_дети'!X104*IF('01_Вводные'!$B$239="Да",MeanMinAge24+'19_Расчет_аналитики'!X2583*SUMIF(ThresholdAge24,"&lt;"&amp;'19_Расчет_аналитики'!X2583,WeightedRevAge24)-SUMIF(ThresholdAge24,"&lt;"&amp;'19_Расчет_аналитики'!X2583,WeightedMinAge24),MAX(CapacityAge24*'01_Вводные'!$B$218*'19_Расчет_аналитики'!X2583,MeanMinAge24)))</f>
        <v/>
      </c>
      <c r="Y2511">
        <f>IF(OR('19_Расчет_аналитики'!Y2483=0,24&lt;='01_Вводные'!$B$297),0,'19_Расчет_аналитики'!Y2483*IF('01_Вводные'!$B$239="Да",MeanMinAge24+'19_Расчет_аналитики'!Y2583*SUMIF(ThresholdAge24,"&lt;"&amp;'19_Расчет_аналитики'!Y2583,WeightedRevAge24)-SUMIF(ThresholdAge24,"&lt;"&amp;'19_Расчет_аналитики'!Y2583,WeightedMinAge24),MAX(CapacityAge24*'01_Вводные'!$B$218*'19_Расчет_аналитики'!Y2583,MeanMinAge24)))</f>
        <v/>
      </c>
      <c r="Z2511">
        <f>IF(OR('19_Расчет_аналитики'!Z2483=0,24&lt;='01_Вводные'!$B$297),0,'19_Расчет_аналитики'!Z2483*IF('01_Вводные'!$B$239="Да",MeanMinAge24+'19_Расчет_аналитики'!Z2583*SUMIF(ThresholdAge24,"&lt;"&amp;'19_Расчет_аналитики'!Z2583,WeightedRevAge24)-SUMIF(ThresholdAge24,"&lt;"&amp;'19_Расчет_аналитики'!Z2583,WeightedMinAge24),MAX(CapacityAge24*'01_Вводные'!$B$218*'19_Расчет_аналитики'!Z2583,MeanMinAge24)))</f>
        <v/>
      </c>
      <c r="AA2511">
        <f>IF(OR('19_Расчет_аналитики'!AA2483=0,24&lt;='01_Вводные'!$B$297),0,'19_Расчет_аналитики'!AA2483*IF('01_Вводные'!$B$239="Да",MeanMinAge24+'19_Расчет_аналитики'!AA2583*SUMIF(ThresholdAge24,"&lt;"&amp;'19_Расчет_аналитики'!AA2583,WeightedRevAge24)-SUMIF(ThresholdAge24,"&lt;"&amp;'19_Расчет_аналитики'!AA2583,WeightedMinAge24),MAX(CapacityAge24*'01_Вводные'!$B$218*'19_Расчет_аналитики'!AA2583,MeanMinAge24)))</f>
        <v/>
      </c>
      <c r="AB2511">
        <f>IF(OR('19_Расчет_аналитики'!AB2483=0,24&lt;='01_Вводные'!$B$297),0,'19_Расчет_аналитики'!AB2483*IF('01_Вводные'!$B$239="Да",MeanMinAge24+'19_Расчет_аналитики'!AB2583*SUMIF(ThresholdAge24,"&lt;"&amp;'19_Расчет_аналитики'!AB2583,WeightedRevAge24)-SUMIF(ThresholdAge24,"&lt;"&amp;'19_Расчет_аналитики'!AB2583,WeightedMinAge24),MAX(CapacityAge24*'01_Вводные'!$B$218*'19_Расчет_аналитики'!AB2583,MeanMinAge24)))</f>
        <v/>
      </c>
      <c r="AC2511">
        <f>IF(OR('19_Расчет_аналитики'!AC2483=0,24&lt;='01_Вводные'!$B$297),0,'19_Расчет_аналитики'!AC2483*IF('01_Вводные'!$B$239="Да",MeanMinAge24+'19_Расчет_аналитики'!AC2583*SUMIF(ThresholdAge24,"&lt;"&amp;'19_Расчет_аналитики'!AC2583,WeightedRevAge24)-SUMIF(ThresholdAge24,"&lt;"&amp;'19_Расчет_аналитики'!AC2583,WeightedMinAge24),MAX(CapacityAge24*'01_Вводные'!$B$218*'19_Расчет_аналитики'!AC2583,MeanMinAge24)))</f>
        <v/>
      </c>
      <c r="AD2511">
        <f>IF(OR('19_Расчет_аналитики'!AD2483=0,24&lt;='01_Вводные'!$B$297),0,'19_Расчет_аналитики'!AD2483*IF('01_Вводные'!$B$239="Да",MeanMinAge24+'19_Расчет_аналитики'!AD2583*SUMIF(ThresholdAge24,"&lt;"&amp;'19_Расчет_аналитики'!AD2583,WeightedRevAge24)-SUMIF(ThresholdAge24,"&lt;"&amp;'19_Расчет_аналитики'!AD2583,WeightedMinAge24),MAX(CapacityAge24*'01_Вводные'!$B$218*'19_Расчет_аналитики'!AD2583,MeanMinAge24)))</f>
        <v/>
      </c>
      <c r="AE2511">
        <f>IF(OR('19_Расчет_аналитики'!AE2483=0,24&lt;='01_Вводные'!$B$297),0,'19_Расчет_аналитики'!AE2483*IF('01_Вводные'!$B$239="Да",MeanMinAge24+'19_Расчет_аналитики'!AE2583*SUMIF(ThresholdAge24,"&lt;"&amp;'19_Расчет_аналитики'!AE2583,WeightedRevAge24)-SUMIF(ThresholdAge24,"&lt;"&amp;'19_Расчет_аналитики'!AE2583,WeightedMinAge24),MAX(CapacityAge24*'01_Вводные'!$B$218*'19_Расчет_аналитики'!AE2583,MeanMinAge24)))</f>
        <v/>
      </c>
      <c r="AF2511">
        <f>IF(OR('19_Расчет_аналитики'!AF2483=0,24&lt;='01_Вводные'!$B$297),0,'19_Расчет_аналитики'!AF2483*IF('01_Вводные'!$B$239="Да",MeanMinAge24+'19_Расчет_аналитики'!AF2583*SUMIF(ThresholdAge24,"&lt;"&amp;'19_Расчет_аналитики'!AF2583,WeightedRevAge24)-SUMIF(ThresholdAge24,"&lt;"&amp;'19_Расчет_аналитики'!AF2583,WeightedMinAge24),MAX(CapacityAge24*'01_Вводные'!$B$218*'19_Расчет_аналитики'!AF2583,MeanMinAge24)))</f>
        <v/>
      </c>
      <c r="AG2511">
        <f>IF(OR('19_Расчет_аналитики'!AG2483=0,24&lt;='01_Вводные'!$B$297),0,'19_Расчет_аналитики'!AG2483*IF('01_Вводные'!$B$239="Да",MeanMinAge24+'19_Расчет_аналитики'!AG2583*SUMIF(ThresholdAge24,"&lt;"&amp;'19_Расчет_аналитики'!AG2583,WeightedRevAge24)-SUMIF(ThresholdAge24,"&lt;"&amp;'19_Расчет_аналитики'!AG2583,WeightedMinAge24),MAX(CapacityAge24*'01_Вводные'!$B$218*'19_Расчет_аналитики'!AG2583,MeanMinAge24)))</f>
        <v/>
      </c>
      <c r="AH2511">
        <f>IF(OR('19_Расчет_аналитики'!AH2483=0,24&lt;='01_Вводные'!$B$297),0,'19_Расчет_аналитики'!AH2483*IF('01_Вводные'!$B$239="Да",MeanMinAge24+'19_Расчет_аналитики'!AH2583*SUMIF(ThresholdAge24,"&lt;"&amp;'19_Расчет_аналитики'!AH2583,WeightedRevAge24)-SUMIF(ThresholdAge24,"&lt;"&amp;'19_Расчет_аналитики'!AH2583,WeightedMinAge24),MAX(CapacityAge24*'01_Вводные'!$B$218*'19_Расчет_аналитики'!AH2583,MeanMinAge24)))</f>
        <v/>
      </c>
      <c r="AI2511">
        <f>IF(OR('19_Расчет_аналитики'!AI2483=0,24&lt;='01_Вводные'!$B$297),0,'19_Расчет_аналитики'!AI2483*IF('01_Вводные'!$B$239="Да",MeanMinAge24+'19_Расчет_аналитики'!AI2583*SUMIF(ThresholdAge24,"&lt;"&amp;'19_Расчет_аналитики'!AI2583,WeightedRevAge24)-SUMIF(ThresholdAge24,"&lt;"&amp;'19_Расчет_аналитики'!AI2583,WeightedMinAge24),MAX(CapacityAge24*'01_Вводные'!$B$218*'19_Расчет_аналитики'!AI2583,MeanMinAge24)))</f>
        <v/>
      </c>
      <c r="AJ2511">
        <f>IF(OR('19_Расчет_аналитики'!AJ2483=0,24&lt;='01_Вводные'!$B$297),0,'19_Расчет_аналитики'!AJ2483*IF('01_Вводные'!$B$239="Да",MeanMinAge24+'19_Расчет_аналитики'!AJ2583*SUMIF(ThresholdAge24,"&lt;"&amp;'19_Расчет_аналитики'!AJ2583,WeightedRevAge24)-SUMIF(ThresholdAge24,"&lt;"&amp;'19_Расчет_аналитики'!AJ2583,WeightedMinAge24),MAX(CapacityAge24*'01_Вводные'!$B$218*'19_Расчет_аналитики'!AJ2583,MeanMinAge24)))</f>
        <v/>
      </c>
      <c r="AK2511">
        <f>IF(OR('19_Расчет_аналитики'!AK2483=0,24&lt;='01_Вводные'!$B$297),0,'19_Расчет_аналитики'!AK2483*IF('01_Вводные'!$B$239="Да",MeanMinAge24+'19_Расчет_аналитики'!AK2583*SUMIF(ThresholdAge24,"&lt;"&amp;'19_Расчет_аналитики'!AK2583,WeightedRevAge24)-SUMIF(ThresholdAge24,"&lt;"&amp;'19_Расчет_аналитики'!AK2583,WeightedMinAge24),MAX(CapacityAge24*'01_Вводные'!$B$218*'19_Расчет_аналитики'!AK2583,MeanMinAge24)))</f>
        <v/>
      </c>
      <c r="AL2511">
        <f>IF(OR('19_Расчет_аналитики'!AL2483=0,24&lt;='01_Вводные'!$B$297),0,'19_Расчет_аналитики'!AL2483*IF('01_Вводные'!$B$239="Да",MeanMinAge24+'19_Расчет_аналитики'!AL2583*SUMIF(ThresholdAge24,"&lt;"&amp;'19_Расчет_аналитики'!AL2583,WeightedRevAge24)-SUMIF(ThresholdAge24,"&lt;"&amp;'19_Расчет_аналитики'!AL2583,WeightedMinAge24),MAX(CapacityAge24*'01_Вводные'!$B$218*'19_Расчет_аналитики'!AL2583,MeanMinAge24)))</f>
        <v/>
      </c>
      <c r="AM2511">
        <f>IF(OR('19_Расчет_аналитики'!AM2483=0,24&lt;='01_Вводные'!$B$297),0,'19_Расчет_аналитики'!AM2483*IF('01_Вводные'!$B$239="Да",MeanMinAge24+'19_Расчет_аналитики'!AM2583*SUMIF(ThresholdAge24,"&lt;"&amp;'19_Расчет_аналитики'!AM2583,WeightedRevAge24)-SUMIF(ThresholdAge24,"&lt;"&amp;'19_Расчет_аналитики'!AM2583,WeightedMinAge24),MAX(CapacityAge24*'01_Вводные'!$B$218*'19_Расчет_аналитики'!AM2583,MeanMinAge24)))</f>
        <v/>
      </c>
      <c r="AN2511">
        <f>IF(OR('19_Расчет_аналитики'!AN2483=0,24&lt;='01_Вводные'!$B$297),0,'19_Расчет_аналитики'!AN2483*IF('01_Вводные'!$B$239="Да",MeanMinAge24+'19_Расчет_аналитики'!AN2583*SUMIF(ThresholdAge24,"&lt;"&amp;'19_Расчет_аналитики'!AN2583,WeightedRevAge24)-SUMIF(ThresholdAge24,"&lt;"&amp;'19_Расчет_аналитики'!AN2583,WeightedMinAge24),MAX(CapacityAge24*'01_Вводные'!$B$218*'19_Расчет_аналитики'!AN2583,MeanMinAge24)))</f>
        <v/>
      </c>
      <c r="AO2511">
        <f>IF(OR('19_Расчет_аналитики'!AO2483=0,24&lt;='01_Вводные'!$B$297),0,'19_Расчет_аналитики'!AO2483*IF('01_Вводные'!$B$239="Да",MeanMinAge24+'19_Расчет_аналитики'!AO2583*SUMIF(ThresholdAge24,"&lt;"&amp;'19_Расчет_аналитики'!AO2583,WeightedRevAge24)-SUMIF(ThresholdAge24,"&lt;"&amp;'19_Расчет_аналитики'!AO2583,WeightedMinAge24),MAX(CapacityAge24*'01_Вводные'!$B$218*'19_Расчет_аналитики'!AO2583,MeanMinAge24)))</f>
        <v/>
      </c>
      <c r="AP2511">
        <f>IF(OR('19_Расчет_аналитики'!AP2483=0,24&lt;='01_Вводные'!$B$297),0,'19_Расчет_аналитики'!AP2483*IF('01_Вводные'!$B$239="Да",MeanMinAge24+'19_Расчет_аналитики'!AP2583*SUMIF(ThresholdAge24,"&lt;"&amp;'19_Расчет_аналитики'!AP2583,WeightedRevAge24)-SUMIF(ThresholdAge24,"&lt;"&amp;'19_Расчет_аналитики'!AP2583,WeightedMinAge24),MAX(CapacityAge24*'01_Вводные'!$B$218*'19_Расчет_аналитики'!AP2583,MeanMinAge24)))</f>
        <v/>
      </c>
      <c r="AQ2511">
        <f>IF(OR('19_Расчет_аналитики'!AQ2483=0,24&lt;='01_Вводные'!$B$297),0,'19_Расчет_аналитики'!AQ2483*IF('01_Вводные'!$B$239="Да",MeanMinAge24+'19_Расчет_аналитики'!AQ2583*SUMIF(ThresholdAge24,"&lt;"&amp;'19_Расчет_аналитики'!AQ2583,WeightedRevAge24)-SUMIF(ThresholdAge24,"&lt;"&amp;'19_Расчет_аналитики'!AQ2583,WeightedMinAge24),MAX(CapacityAge24*'01_Вводные'!$B$218*'19_Расчет_аналитики'!AQ2583,MeanMinAge24)))</f>
        <v/>
      </c>
      <c r="AR2511">
        <f>IF(OR('19_Расчет_аналитики'!AR2483=0,24&lt;='01_Вводные'!$B$297),0,'19_Расчет_аналитики'!AR2483*IF('01_Вводные'!$B$239="Да",MeanMinAge24+'19_Расчет_аналитики'!AR2583*SUMIF(ThresholdAge24,"&lt;"&amp;'19_Расчет_аналитики'!AR2583,WeightedRevAge24)-SUMIF(ThresholdAge24,"&lt;"&amp;'19_Расчет_аналитики'!AR2583,WeightedMinAge24),MAX(CapacityAge24*'01_Вводные'!$B$218*'19_Расчет_аналитики'!AR2583,MeanMinAge24)))</f>
        <v/>
      </c>
      <c r="AS2511">
        <f>IF(OR('19_Расчет_аналитики'!AS2483=0,24&lt;='01_Вводные'!$B$297),0,'19_Расчет_аналитики'!AS2483*IF('01_Вводные'!$B$239="Да",MeanMinAge24+'19_Расчет_аналитики'!AS2583*SUMIF(ThresholdAge24,"&lt;"&amp;'19_Расчет_аналитики'!AS2583,WeightedRevAge24)-SUMIF(ThresholdAge24,"&lt;"&amp;'19_Расчет_аналитики'!AS2583,WeightedMinAge24),MAX(CapacityAge24*'01_Вводные'!$B$218*'19_Расчет_аналитики'!AS2583,MeanMinAge24)))</f>
        <v/>
      </c>
      <c r="AT2511">
        <f>IF(OR('19_Расчет_аналитики'!AT2483=0,24&lt;='01_Вводные'!$B$297),0,'19_Расчет_аналитики'!AT2483*IF('01_Вводные'!$B$239="Да",MeanMinAge24+'19_Расчет_аналитики'!AT2583*SUMIF(ThresholdAge24,"&lt;"&amp;'19_Расчет_аналитики'!AT2583,WeightedRevAge24)-SUMIF(ThresholdAge24,"&lt;"&amp;'19_Расчет_аналитики'!AT2583,WeightedMinAge24),MAX(CapacityAge24*'01_Вводные'!$B$218*'19_Расчет_аналитики'!AT2583,MeanMinAge24)))</f>
        <v/>
      </c>
      <c r="AU2511">
        <f>IF(OR('19_Расчет_аналитики'!AU2483=0,24&lt;='01_Вводные'!$B$297),0,'19_Расчет_аналитики'!AU2483*IF('01_Вводные'!$B$239="Да",MeanMinAge24+'19_Расчет_аналитики'!AU2583*SUMIF(ThresholdAge24,"&lt;"&amp;'19_Расчет_аналитики'!AU2583,WeightedRevAge24)-SUMIF(ThresholdAge24,"&lt;"&amp;'19_Расчет_аналитики'!AU2583,WeightedMinAge24),MAX(CapacityAge24*'01_Вводные'!$B$218*'19_Расчет_аналитики'!AU2583,MeanMinAge24)))</f>
        <v/>
      </c>
      <c r="AV2511">
        <f>IF(OR('19_Расчет_аналитики'!AV2483=0,24&lt;='01_Вводные'!$B$297),0,'19_Расчет_аналитики'!AV2483*IF('01_Вводные'!$B$239="Да",MeanMinAge24+'19_Расчет_аналитики'!AV2583*SUMIF(ThresholdAge24,"&lt;"&amp;'19_Расчет_аналитики'!AV2583,WeightedRevAge24)-SUMIF(ThresholdAge24,"&lt;"&amp;'19_Расчет_аналитики'!AV2583,WeightedMinAge24),MAX(CapacityAge24*'01_Вводные'!$B$218*'19_Расчет_аналитики'!AV2583,MeanMinAge24)))</f>
        <v/>
      </c>
      <c r="AW2511">
        <f>IF(OR('19_Расчет_аналитики'!AW2483=0,24&lt;='01_Вводные'!$B$297),0,'19_Расчет_аналитики'!AW2483*IF('01_Вводные'!$B$239="Да",MeanMinAge24+'19_Расчет_аналитики'!AW2583*SUMIF(ThresholdAge24,"&lt;"&amp;'19_Расчет_аналитики'!AW2583,WeightedRevAge24)-SUMIF(ThresholdAge24,"&lt;"&amp;'19_Расчет_аналитики'!AW2583,WeightedMinAge24),MAX(CapacityAge24*'01_Вводные'!$B$218*'19_Расчет_аналитики'!AW2583,MeanMinAge24)))</f>
        <v/>
      </c>
      <c r="AX2511">
        <f>IF(OR('19_Расчет_аналитики'!AX2483=0,24&lt;='01_Вводные'!$B$297),0,'19_Расчет_аналитики'!AX2483*IF('01_Вводные'!$B$239="Да",MeanMinAge24+'19_Расчет_аналитики'!AX2583*SUMIF(ThresholdAge24,"&lt;"&amp;'19_Расчет_аналитики'!AX2583,WeightedRevAge24)-SUMIF(ThresholdAge24,"&lt;"&amp;'19_Расчет_аналитики'!AX2583,WeightedMinAge24),MAX(CapacityAge24*'01_Вводные'!$B$218*'19_Расчет_аналитики'!AX2583,MeanMinAge24)))</f>
        <v/>
      </c>
      <c r="AY2511">
        <f>IF(OR('19_Расчет_аналитики'!AY2483=0,24&lt;='01_Вводные'!$B$297),0,'19_Расчет_аналитики'!AY2483*IF('01_Вводные'!$B$239="Да",MeanMinAge24+'19_Расчет_аналитики'!AY2583*SUMIF(ThresholdAge24,"&lt;"&amp;'19_Расчет_аналитики'!AY2583,WeightedRevAge24)-SUMIF(ThresholdAge24,"&lt;"&amp;'19_Расчет_аналитики'!AY2583,WeightedMinAge24),MAX(CapacityAge24*'01_Вводные'!$B$218*'19_Расчет_аналитики'!AY2583,MeanMinAge24)))</f>
        <v/>
      </c>
      <c r="AZ2511">
        <f>IF(OR('19_Расчет_аналитики'!AZ2483=0,24&lt;='01_Вводные'!$B$297),0,'19_Расчет_аналитики'!AZ2483*IF('01_Вводные'!$B$239="Да",MeanMinAge24+'19_Расчет_аналитики'!AZ2583*SUMIF(ThresholdAge24,"&lt;"&amp;'19_Расчет_аналитики'!AZ2583,WeightedRevAge24)-SUMIF(ThresholdAge24,"&lt;"&amp;'19_Расчет_аналитики'!AZ2583,WeightedMinAge24),MAX(CapacityAge24*'01_Вводные'!$B$218*'19_Расчет_аналитики'!AZ2583,MeanMinAge24)))</f>
        <v/>
      </c>
      <c r="BA2511">
        <f>IF(OR('19_Расчет_аналитики'!BA2483=0,24&lt;='01_Вводные'!$B$297),0,'19_Расчет_аналитики'!BA2483*IF('01_Вводные'!$B$239="Да",MeanMinAge24+'19_Расчет_аналитики'!BA2583*SUMIF(ThresholdAge24,"&lt;"&amp;'19_Расчет_аналитики'!BA2583,WeightedRevAge24)-SUMIF(ThresholdAge24,"&lt;"&amp;'19_Расчет_аналитики'!BA2583,WeightedMinAge24),MAX(CapacityAge24*'01_Вводные'!$B$218*'19_Расчет_аналитики'!BA2583,MeanMinAge24)))</f>
        <v/>
      </c>
      <c r="BB2511">
        <f>IF(OR('19_Расчет_аналитики'!BB2483=0,24&lt;='01_Вводные'!$B$297),0,'19_Расчет_аналитики'!BB2483*IF('01_Вводные'!$B$239="Да",MeanMinAge24+'19_Расчет_аналитики'!BB2583*SUMIF(ThresholdAge24,"&lt;"&amp;'19_Расчет_аналитики'!BB2583,WeightedRevAge24)-SUMIF(ThresholdAge24,"&lt;"&amp;'19_Расчет_аналитики'!BB2583,WeightedMinAge24),MAX(CapacityAge24*'01_Вводные'!$B$218*'19_Расчет_аналитики'!BB2583,MeanMinAge24)))</f>
        <v/>
      </c>
      <c r="BC2511">
        <f>IF(OR('19_Расчет_аналитики'!BC2483=0,24&lt;='01_Вводные'!$B$297),0,'19_Расчет_аналитики'!BC2483*IF('01_Вводные'!$B$239="Да",MeanMinAge24+'19_Расчет_аналитики'!BC2583*SUMIF(ThresholdAge24,"&lt;"&amp;'19_Расчет_аналитики'!BC2583,WeightedRevAge24)-SUMIF(ThresholdAge24,"&lt;"&amp;'19_Расчет_аналитики'!BC2583,WeightedMinAge24),MAX(CapacityAge24*'01_Вводные'!$B$218*'19_Расчет_аналитики'!BC2583,MeanMinAge24)))</f>
        <v/>
      </c>
      <c r="BD2511">
        <f>IF(OR('19_Расчет_аналитики'!BD2483=0,24&lt;='01_Вводные'!$B$297),0,'19_Расчет_аналитики'!BD2483*IF('01_Вводные'!$B$239="Да",MeanMinAge24+'19_Расчет_аналитики'!BD2583*SUMIF(ThresholdAge24,"&lt;"&amp;'19_Расчет_аналитики'!BD2583,WeightedRevAge24)-SUMIF(ThresholdAge24,"&lt;"&amp;'19_Расчет_аналитики'!BD2583,WeightedMinAge24),MAX(CapacityAge24*'01_Вводные'!$B$218*'19_Расчет_аналитики'!BD2583,MeanMinAge24)))</f>
        <v/>
      </c>
      <c r="BE2511">
        <f>IF(OR('19_Расчет_аналитики'!BE2483=0,24&lt;='01_Вводные'!$B$297),0,'19_Расчет_аналитики'!BE2483*IF('01_Вводные'!$B$239="Да",MeanMinAge24+'19_Расчет_аналитики'!BE2583*SUMIF(ThresholdAge24,"&lt;"&amp;'19_Расчет_аналитики'!BE2583,WeightedRevAge24)-SUMIF(ThresholdAge24,"&lt;"&amp;'19_Расчет_аналитики'!BE2583,WeightedMinAge24),MAX(CapacityAge24*'01_Вводные'!$B$218*'19_Расчет_аналитики'!BE2583,MeanMinAge24)))</f>
        <v/>
      </c>
      <c r="BF2511">
        <f>IF(OR('19_Расчет_аналитики'!BF2483=0,24&lt;='01_Вводные'!$B$297),0,'19_Расчет_аналитики'!BF2483*IF('01_Вводные'!$B$239="Да",MeanMinAge24+'19_Расчет_аналитики'!BF2583*SUMIF(ThresholdAge24,"&lt;"&amp;'19_Расчет_аналитики'!BF2583,WeightedRevAge24)-SUMIF(ThresholdAge24,"&lt;"&amp;'19_Расчет_аналитики'!BF2583,WeightedMinAge24),MAX(CapacityAge24*'01_Вводные'!$B$218*'19_Расчет_аналитики'!BF2583,MeanMinAge24)))</f>
        <v/>
      </c>
      <c r="BG2511">
        <f>IF(OR('19_Расчет_аналитики'!BG2483=0,24&lt;='01_Вводные'!$B$297),0,'19_Расчет_аналитики'!BG2483*IF('01_Вводные'!$B$239="Да",MeanMinAge24+'19_Расчет_аналитики'!BG2583*SUMIF(ThresholdAge24,"&lt;"&amp;'19_Расчет_аналитики'!BG2583,WeightedRevAge24)-SUMIF(ThresholdAge24,"&lt;"&amp;'19_Расчет_аналитики'!BG2583,WeightedMinAge24),MAX(CapacityAge24*'01_Вводные'!$B$218*'19_Расчет_аналитики'!BG2583,MeanMinAge24)))</f>
        <v/>
      </c>
      <c r="BH2511">
        <f>IF(OR('19_Расчет_аналитики'!BH2483=0,24&lt;='01_Вводные'!$B$297),0,'19_Расчет_аналитики'!BH2483*IF('01_Вводные'!$B$239="Да",MeanMinAge24+'19_Расчет_аналитики'!BH2583*SUMIF(ThresholdAge24,"&lt;"&amp;'19_Расчет_аналитики'!BH2583,WeightedRevAge24)-SUMIF(ThresholdAge24,"&lt;"&amp;'19_Расчет_аналитики'!BH2583,WeightedMinAge24),MAX(CapacityAge24*'01_Вводные'!$B$218*'19_Расчет_аналитики'!BH2583,MeanMinAge24)))</f>
        <v/>
      </c>
      <c r="BI2511">
        <f>IF(OR('19_Расчет_аналитики'!BI2483=0,24&lt;='01_Вводные'!$B$297),0,'19_Расчет_аналитики'!BI2483*IF('01_Вводные'!$B$239="Да",MeanMinAge24+'19_Расчет_аналитики'!BI2583*SUMIF(ThresholdAge24,"&lt;"&amp;'19_Расчет_аналитики'!BI2583,WeightedRevAge24)-SUMIF(ThresholdAge24,"&lt;"&amp;'19_Расчет_аналитики'!BI2583,WeightedMinAge24),MAX(CapacityAge24*'01_Вводные'!$B$218*'19_Расчет_аналитики'!BI2583,MeanMinAge24)))</f>
        <v/>
      </c>
      <c r="BJ2511">
        <f>IF(OR('19_Расчет_аналитики'!BJ2483=0,24&lt;='01_Вводные'!$B$297),0,'19_Расчет_аналитики'!BJ2483*IF('01_Вводные'!$B$239="Да",MeanMinAge24+'19_Расчет_аналитики'!BJ2583*SUMIF(ThresholdAge24,"&lt;"&amp;'19_Расчет_аналитики'!BJ2583,WeightedRevAge24)-SUMIF(ThresholdAge24,"&lt;"&amp;'19_Расчет_аналитики'!BJ2583,WeightedMinAge24),MAX(CapacityAge24*'01_Вводные'!$B$218*'19_Расчет_аналитики'!BJ2583,MeanMinAge24)))</f>
        <v/>
      </c>
      <c r="BK2511">
        <f>IF(OR('19_Расчет_аналитики'!BK2483=0,24&lt;='01_Вводные'!$B$297),0,'19_Расчет_аналитики'!BK2483*IF('01_Вводные'!$B$239="Да",MeanMinAge24+'19_Расчет_аналитики'!BK2583*SUMIF(ThresholdAge24,"&lt;"&amp;'19_Расчет_аналитики'!BK2583,WeightedRevAge24)-SUMIF(ThresholdAge24,"&lt;"&amp;'19_Расчет_аналитики'!BK2583,WeightedMinAge24),MAX(CapacityAge24*'01_Вводные'!$B$218*'19_Расчет_аналитики'!BK2583,MeanMinAge24)))</f>
        <v/>
      </c>
      <c r="BL2511">
        <f>IF(OR('19_Расчет_аналитики'!BL2483=0,24&lt;='01_Вводные'!$B$297),0,'19_Расчет_аналитики'!BL2483*IF('01_Вводные'!$B$239="Да",MeanMinAge24+'19_Расчет_аналитики'!BL2583*SUMIF(ThresholdAge24,"&lt;"&amp;'19_Расчет_аналитики'!BL2583,WeightedRevAge24)-SUMIF(ThresholdAge24,"&lt;"&amp;'19_Расчет_аналитики'!BL2583,WeightedMinAge24),MAX(CapacityAge24*'01_Вводные'!$B$218*'19_Расчет_аналитики'!BL2583,MeanMinAge24)))</f>
        <v/>
      </c>
      <c r="BM2511">
        <f>IF(OR('19_Расчет_аналитики'!BM2483=0,24&lt;='01_Вводные'!$B$297),0,'19_Расчет_аналитики'!BM2483*IF('01_Вводные'!$B$239="Да",MeanMinAge24+'19_Расчет_аналитики'!BM2583*SUMIF(ThresholdAge24,"&lt;"&amp;'19_Расчет_аналитики'!BM2583,WeightedRevAge24)-SUMIF(ThresholdAge24,"&lt;"&amp;'19_Расчет_аналитики'!BM2583,WeightedMinAge24),MAX(CapacityAge24*'01_Вводные'!$B$218*'19_Расчет_аналитики'!BM2583,MeanMinAge24)))</f>
        <v/>
      </c>
      <c r="BN2511">
        <f>IF(OR('19_Расчет_аналитики'!BN2483=0,24&lt;='01_Вводные'!$B$297),0,'19_Расчет_аналитики'!BN2483*IF('01_Вводные'!$B$239="Да",MeanMinAge24+'19_Расчет_аналитики'!BN2583*SUMIF(ThresholdAge24,"&lt;"&amp;'19_Расчет_аналитики'!BN2583,WeightedRevAge24)-SUMIF(ThresholdAge24,"&lt;"&amp;'19_Расчет_аналитики'!BN2583,WeightedMinAge24),MAX(CapacityAge24*'01_Вводные'!$B$218*'19_Расчет_аналитики'!BN2583,MeanMinAge24)))</f>
        <v/>
      </c>
      <c r="BO2511">
        <f>IF(OR('19_Расчет_аналитики'!BO2483=0,24&lt;='01_Вводные'!$B$297),0,'19_Расчет_аналитики'!BO2483*IF('01_Вводные'!$B$239="Да",MeanMinAge24+'19_Расчет_аналитики'!BO2583*SUMIF(ThresholdAge24,"&lt;"&amp;'19_Расчет_аналитики'!BO2583,WeightedRevAge24)-SUMIF(ThresholdAge24,"&lt;"&amp;'19_Расчет_аналитики'!BO2583,WeightedMinAge24),MAX(CapacityAge24*'01_Вводные'!$B$218*'19_Расчет_аналитики'!BO2583,MeanMinAge24)))</f>
        <v/>
      </c>
    </row>
    <row r="2512">
      <c r="B2512">
        <f>IF(OR('06_Сеть_и_дети'!B105=0,25&lt;='01_Вводные'!$B$297),0,'06_Сеть_и_дети'!B105*IF('01_Вводные'!$B$239="Да",MeanMinAge25+'19_Расчет_аналитики'!B2583*SUMIF(ThresholdAge25,"&lt;"&amp;'19_Расчет_аналитики'!B2583,WeightedRevAge25)-SUMIF(ThresholdAge25,"&lt;"&amp;'19_Расчет_аналитики'!B2583,WeightedMinAge25),MAX(CapacityAge25*'01_Вводные'!$B$218*'19_Расчет_аналитики'!B2583,MeanMinAge25)))</f>
        <v/>
      </c>
      <c r="C2512">
        <f>IF(OR('06_Сеть_и_дети'!C105=0,25&lt;='01_Вводные'!$B$297),0,'06_Сеть_и_дети'!C105*IF('01_Вводные'!$B$239="Да",MeanMinAge25+'19_Расчет_аналитики'!C2583*SUMIF(ThresholdAge25,"&lt;"&amp;'19_Расчет_аналитики'!C2583,WeightedRevAge25)-SUMIF(ThresholdAge25,"&lt;"&amp;'19_Расчет_аналитики'!C2583,WeightedMinAge25),MAX(CapacityAge25*'01_Вводные'!$B$218*'19_Расчет_аналитики'!C2583,MeanMinAge25)))</f>
        <v/>
      </c>
      <c r="D2512">
        <f>IF(OR('06_Сеть_и_дети'!D105=0,25&lt;='01_Вводные'!$B$297),0,'06_Сеть_и_дети'!D105*IF('01_Вводные'!$B$239="Да",MeanMinAge25+'19_Расчет_аналитики'!D2583*SUMIF(ThresholdAge25,"&lt;"&amp;'19_Расчет_аналитики'!D2583,WeightedRevAge25)-SUMIF(ThresholdAge25,"&lt;"&amp;'19_Расчет_аналитики'!D2583,WeightedMinAge25),MAX(CapacityAge25*'01_Вводные'!$B$218*'19_Расчет_аналитики'!D2583,MeanMinAge25)))</f>
        <v/>
      </c>
      <c r="E2512">
        <f>IF(OR('06_Сеть_и_дети'!E105=0,25&lt;='01_Вводные'!$B$297),0,'06_Сеть_и_дети'!E105*IF('01_Вводные'!$B$239="Да",MeanMinAge25+'19_Расчет_аналитики'!E2583*SUMIF(ThresholdAge25,"&lt;"&amp;'19_Расчет_аналитики'!E2583,WeightedRevAge25)-SUMIF(ThresholdAge25,"&lt;"&amp;'19_Расчет_аналитики'!E2583,WeightedMinAge25),MAX(CapacityAge25*'01_Вводные'!$B$218*'19_Расчет_аналитики'!E2583,MeanMinAge25)))</f>
        <v/>
      </c>
      <c r="F2512">
        <f>IF(OR('06_Сеть_и_дети'!F105=0,25&lt;='01_Вводные'!$B$297),0,'06_Сеть_и_дети'!F105*IF('01_Вводные'!$B$239="Да",MeanMinAge25+'19_Расчет_аналитики'!F2583*SUMIF(ThresholdAge25,"&lt;"&amp;'19_Расчет_аналитики'!F2583,WeightedRevAge25)-SUMIF(ThresholdAge25,"&lt;"&amp;'19_Расчет_аналитики'!F2583,WeightedMinAge25),MAX(CapacityAge25*'01_Вводные'!$B$218*'19_Расчет_аналитики'!F2583,MeanMinAge25)))</f>
        <v/>
      </c>
      <c r="G2512">
        <f>IF(OR('06_Сеть_и_дети'!G105=0,25&lt;='01_Вводные'!$B$297),0,'06_Сеть_и_дети'!G105*IF('01_Вводные'!$B$239="Да",MeanMinAge25+'19_Расчет_аналитики'!G2583*SUMIF(ThresholdAge25,"&lt;"&amp;'19_Расчет_аналитики'!G2583,WeightedRevAge25)-SUMIF(ThresholdAge25,"&lt;"&amp;'19_Расчет_аналитики'!G2583,WeightedMinAge25),MAX(CapacityAge25*'01_Вводные'!$B$218*'19_Расчет_аналитики'!G2583,MeanMinAge25)))</f>
        <v/>
      </c>
      <c r="H2512">
        <f>IF(OR('06_Сеть_и_дети'!H105=0,25&lt;='01_Вводные'!$B$297),0,'06_Сеть_и_дети'!H105*IF('01_Вводные'!$B$239="Да",MeanMinAge25+'19_Расчет_аналитики'!H2583*SUMIF(ThresholdAge25,"&lt;"&amp;'19_Расчет_аналитики'!H2583,WeightedRevAge25)-SUMIF(ThresholdAge25,"&lt;"&amp;'19_Расчет_аналитики'!H2583,WeightedMinAge25),MAX(CapacityAge25*'01_Вводные'!$B$218*'19_Расчет_аналитики'!H2583,MeanMinAge25)))</f>
        <v/>
      </c>
      <c r="I2512">
        <f>IF(OR('06_Сеть_и_дети'!I105=0,25&lt;='01_Вводные'!$B$297),0,'06_Сеть_и_дети'!I105*IF('01_Вводные'!$B$239="Да",MeanMinAge25+'19_Расчет_аналитики'!I2583*SUMIF(ThresholdAge25,"&lt;"&amp;'19_Расчет_аналитики'!I2583,WeightedRevAge25)-SUMIF(ThresholdAge25,"&lt;"&amp;'19_Расчет_аналитики'!I2583,WeightedMinAge25),MAX(CapacityAge25*'01_Вводные'!$B$218*'19_Расчет_аналитики'!I2583,MeanMinAge25)))</f>
        <v/>
      </c>
      <c r="J2512">
        <f>IF(OR('06_Сеть_и_дети'!J105=0,25&lt;='01_Вводные'!$B$297),0,'06_Сеть_и_дети'!J105*IF('01_Вводные'!$B$239="Да",MeanMinAge25+'19_Расчет_аналитики'!J2583*SUMIF(ThresholdAge25,"&lt;"&amp;'19_Расчет_аналитики'!J2583,WeightedRevAge25)-SUMIF(ThresholdAge25,"&lt;"&amp;'19_Расчет_аналитики'!J2583,WeightedMinAge25),MAX(CapacityAge25*'01_Вводные'!$B$218*'19_Расчет_аналитики'!J2583,MeanMinAge25)))</f>
        <v/>
      </c>
      <c r="K2512">
        <f>IF(OR('06_Сеть_и_дети'!K105=0,25&lt;='01_Вводные'!$B$297),0,'06_Сеть_и_дети'!K105*IF('01_Вводные'!$B$239="Да",MeanMinAge25+'19_Расчет_аналитики'!K2583*SUMIF(ThresholdAge25,"&lt;"&amp;'19_Расчет_аналитики'!K2583,WeightedRevAge25)-SUMIF(ThresholdAge25,"&lt;"&amp;'19_Расчет_аналитики'!K2583,WeightedMinAge25),MAX(CapacityAge25*'01_Вводные'!$B$218*'19_Расчет_аналитики'!K2583,MeanMinAge25)))</f>
        <v/>
      </c>
      <c r="L2512">
        <f>IF(OR('06_Сеть_и_дети'!L105=0,25&lt;='01_Вводные'!$B$297),0,'06_Сеть_и_дети'!L105*IF('01_Вводные'!$B$239="Да",MeanMinAge25+'19_Расчет_аналитики'!L2583*SUMIF(ThresholdAge25,"&lt;"&amp;'19_Расчет_аналитики'!L2583,WeightedRevAge25)-SUMIF(ThresholdAge25,"&lt;"&amp;'19_Расчет_аналитики'!L2583,WeightedMinAge25),MAX(CapacityAge25*'01_Вводные'!$B$218*'19_Расчет_аналитики'!L2583,MeanMinAge25)))</f>
        <v/>
      </c>
      <c r="M2512">
        <f>IF(OR('06_Сеть_и_дети'!M105=0,25&lt;='01_Вводные'!$B$297),0,'06_Сеть_и_дети'!M105*IF('01_Вводные'!$B$239="Да",MeanMinAge25+'19_Расчет_аналитики'!M2583*SUMIF(ThresholdAge25,"&lt;"&amp;'19_Расчет_аналитики'!M2583,WeightedRevAge25)-SUMIF(ThresholdAge25,"&lt;"&amp;'19_Расчет_аналитики'!M2583,WeightedMinAge25),MAX(CapacityAge25*'01_Вводные'!$B$218*'19_Расчет_аналитики'!M2583,MeanMinAge25)))</f>
        <v/>
      </c>
      <c r="N2512">
        <f>IF(OR('06_Сеть_и_дети'!N105=0,25&lt;='01_Вводные'!$B$297),0,'06_Сеть_и_дети'!N105*IF('01_Вводные'!$B$239="Да",MeanMinAge25+'19_Расчет_аналитики'!N2583*SUMIF(ThresholdAge25,"&lt;"&amp;'19_Расчет_аналитики'!N2583,WeightedRevAge25)-SUMIF(ThresholdAge25,"&lt;"&amp;'19_Расчет_аналитики'!N2583,WeightedMinAge25),MAX(CapacityAge25*'01_Вводные'!$B$218*'19_Расчет_аналитики'!N2583,MeanMinAge25)))</f>
        <v/>
      </c>
      <c r="O2512">
        <f>IF(OR('06_Сеть_и_дети'!O105=0,25&lt;='01_Вводные'!$B$297),0,'06_Сеть_и_дети'!O105*IF('01_Вводные'!$B$239="Да",MeanMinAge25+'19_Расчет_аналитики'!O2583*SUMIF(ThresholdAge25,"&lt;"&amp;'19_Расчет_аналитики'!O2583,WeightedRevAge25)-SUMIF(ThresholdAge25,"&lt;"&amp;'19_Расчет_аналитики'!O2583,WeightedMinAge25),MAX(CapacityAge25*'01_Вводные'!$B$218*'19_Расчет_аналитики'!O2583,MeanMinAge25)))</f>
        <v/>
      </c>
      <c r="P2512">
        <f>IF(OR('06_Сеть_и_дети'!P105=0,25&lt;='01_Вводные'!$B$297),0,'06_Сеть_и_дети'!P105*IF('01_Вводные'!$B$239="Да",MeanMinAge25+'19_Расчет_аналитики'!P2583*SUMIF(ThresholdAge25,"&lt;"&amp;'19_Расчет_аналитики'!P2583,WeightedRevAge25)-SUMIF(ThresholdAge25,"&lt;"&amp;'19_Расчет_аналитики'!P2583,WeightedMinAge25),MAX(CapacityAge25*'01_Вводные'!$B$218*'19_Расчет_аналитики'!P2583,MeanMinAge25)))</f>
        <v/>
      </c>
      <c r="Q2512">
        <f>IF(OR('06_Сеть_и_дети'!Q105=0,25&lt;='01_Вводные'!$B$297),0,'06_Сеть_и_дети'!Q105*IF('01_Вводные'!$B$239="Да",MeanMinAge25+'19_Расчет_аналитики'!Q2583*SUMIF(ThresholdAge25,"&lt;"&amp;'19_Расчет_аналитики'!Q2583,WeightedRevAge25)-SUMIF(ThresholdAge25,"&lt;"&amp;'19_Расчет_аналитики'!Q2583,WeightedMinAge25),MAX(CapacityAge25*'01_Вводные'!$B$218*'19_Расчет_аналитики'!Q2583,MeanMinAge25)))</f>
        <v/>
      </c>
      <c r="R2512">
        <f>IF(OR('06_Сеть_и_дети'!R105=0,25&lt;='01_Вводные'!$B$297),0,'06_Сеть_и_дети'!R105*IF('01_Вводные'!$B$239="Да",MeanMinAge25+'19_Расчет_аналитики'!R2583*SUMIF(ThresholdAge25,"&lt;"&amp;'19_Расчет_аналитики'!R2583,WeightedRevAge25)-SUMIF(ThresholdAge25,"&lt;"&amp;'19_Расчет_аналитики'!R2583,WeightedMinAge25),MAX(CapacityAge25*'01_Вводные'!$B$218*'19_Расчет_аналитики'!R2583,MeanMinAge25)))</f>
        <v/>
      </c>
      <c r="S2512">
        <f>IF(OR('06_Сеть_и_дети'!S105=0,25&lt;='01_Вводные'!$B$297),0,'06_Сеть_и_дети'!S105*IF('01_Вводные'!$B$239="Да",MeanMinAge25+'19_Расчет_аналитики'!S2583*SUMIF(ThresholdAge25,"&lt;"&amp;'19_Расчет_аналитики'!S2583,WeightedRevAge25)-SUMIF(ThresholdAge25,"&lt;"&amp;'19_Расчет_аналитики'!S2583,WeightedMinAge25),MAX(CapacityAge25*'01_Вводные'!$B$218*'19_Расчет_аналитики'!S2583,MeanMinAge25)))</f>
        <v/>
      </c>
      <c r="T2512">
        <f>IF(OR('06_Сеть_и_дети'!T105=0,25&lt;='01_Вводные'!$B$297),0,'06_Сеть_и_дети'!T105*IF('01_Вводные'!$B$239="Да",MeanMinAge25+'19_Расчет_аналитики'!T2583*SUMIF(ThresholdAge25,"&lt;"&amp;'19_Расчет_аналитики'!T2583,WeightedRevAge25)-SUMIF(ThresholdAge25,"&lt;"&amp;'19_Расчет_аналитики'!T2583,WeightedMinAge25),MAX(CapacityAge25*'01_Вводные'!$B$218*'19_Расчет_аналитики'!T2583,MeanMinAge25)))</f>
        <v/>
      </c>
      <c r="U2512">
        <f>IF(OR('06_Сеть_и_дети'!U105=0,25&lt;='01_Вводные'!$B$297),0,'06_Сеть_и_дети'!U105*IF('01_Вводные'!$B$239="Да",MeanMinAge25+'19_Расчет_аналитики'!U2583*SUMIF(ThresholdAge25,"&lt;"&amp;'19_Расчет_аналитики'!U2583,WeightedRevAge25)-SUMIF(ThresholdAge25,"&lt;"&amp;'19_Расчет_аналитики'!U2583,WeightedMinAge25),MAX(CapacityAge25*'01_Вводные'!$B$218*'19_Расчет_аналитики'!U2583,MeanMinAge25)))</f>
        <v/>
      </c>
      <c r="V2512">
        <f>IF(OR('06_Сеть_и_дети'!V105=0,25&lt;='01_Вводные'!$B$297),0,'06_Сеть_и_дети'!V105*IF('01_Вводные'!$B$239="Да",MeanMinAge25+'19_Расчет_аналитики'!V2583*SUMIF(ThresholdAge25,"&lt;"&amp;'19_Расчет_аналитики'!V2583,WeightedRevAge25)-SUMIF(ThresholdAge25,"&lt;"&amp;'19_Расчет_аналитики'!V2583,WeightedMinAge25),MAX(CapacityAge25*'01_Вводные'!$B$218*'19_Расчет_аналитики'!V2583,MeanMinAge25)))</f>
        <v/>
      </c>
      <c r="W2512">
        <f>IF(OR('06_Сеть_и_дети'!W105=0,25&lt;='01_Вводные'!$B$297),0,'06_Сеть_и_дети'!W105*IF('01_Вводные'!$B$239="Да",MeanMinAge25+'19_Расчет_аналитики'!W2583*SUMIF(ThresholdAge25,"&lt;"&amp;'19_Расчет_аналитики'!W2583,WeightedRevAge25)-SUMIF(ThresholdAge25,"&lt;"&amp;'19_Расчет_аналитики'!W2583,WeightedMinAge25),MAX(CapacityAge25*'01_Вводные'!$B$218*'19_Расчет_аналитики'!W2583,MeanMinAge25)))</f>
        <v/>
      </c>
      <c r="X2512">
        <f>IF(OR('06_Сеть_и_дети'!X105=0,25&lt;='01_Вводные'!$B$297),0,'06_Сеть_и_дети'!X105*IF('01_Вводные'!$B$239="Да",MeanMinAge25+'19_Расчет_аналитики'!X2583*SUMIF(ThresholdAge25,"&lt;"&amp;'19_Расчет_аналитики'!X2583,WeightedRevAge25)-SUMIF(ThresholdAge25,"&lt;"&amp;'19_Расчет_аналитики'!X2583,WeightedMinAge25),MAX(CapacityAge25*'01_Вводные'!$B$218*'19_Расчет_аналитики'!X2583,MeanMinAge25)))</f>
        <v/>
      </c>
      <c r="Y2512">
        <f>IF(OR('06_Сеть_и_дети'!Y105=0,25&lt;='01_Вводные'!$B$297),0,'06_Сеть_и_дети'!Y105*IF('01_Вводные'!$B$239="Да",MeanMinAge25+'19_Расчет_аналитики'!Y2583*SUMIF(ThresholdAge25,"&lt;"&amp;'19_Расчет_аналитики'!Y2583,WeightedRevAge25)-SUMIF(ThresholdAge25,"&lt;"&amp;'19_Расчет_аналитики'!Y2583,WeightedMinAge25),MAX(CapacityAge25*'01_Вводные'!$B$218*'19_Расчет_аналитики'!Y2583,MeanMinAge25)))</f>
        <v/>
      </c>
      <c r="Z2512">
        <f>IF(OR('19_Расчет_аналитики'!Z2484=0,25&lt;='01_Вводные'!$B$297),0,'19_Расчет_аналитики'!Z2484*IF('01_Вводные'!$B$239="Да",MeanMinAge25+'19_Расчет_аналитики'!Z2583*SUMIF(ThresholdAge25,"&lt;"&amp;'19_Расчет_аналитики'!Z2583,WeightedRevAge25)-SUMIF(ThresholdAge25,"&lt;"&amp;'19_Расчет_аналитики'!Z2583,WeightedMinAge25),MAX(CapacityAge25*'01_Вводные'!$B$218*'19_Расчет_аналитики'!Z2583,MeanMinAge25)))</f>
        <v/>
      </c>
      <c r="AA2512">
        <f>IF(OR('19_Расчет_аналитики'!AA2484=0,25&lt;='01_Вводные'!$B$297),0,'19_Расчет_аналитики'!AA2484*IF('01_Вводные'!$B$239="Да",MeanMinAge25+'19_Расчет_аналитики'!AA2583*SUMIF(ThresholdAge25,"&lt;"&amp;'19_Расчет_аналитики'!AA2583,WeightedRevAge25)-SUMIF(ThresholdAge25,"&lt;"&amp;'19_Расчет_аналитики'!AA2583,WeightedMinAge25),MAX(CapacityAge25*'01_Вводные'!$B$218*'19_Расчет_аналитики'!AA2583,MeanMinAge25)))</f>
        <v/>
      </c>
      <c r="AB2512">
        <f>IF(OR('19_Расчет_аналитики'!AB2484=0,25&lt;='01_Вводные'!$B$297),0,'19_Расчет_аналитики'!AB2484*IF('01_Вводные'!$B$239="Да",MeanMinAge25+'19_Расчет_аналитики'!AB2583*SUMIF(ThresholdAge25,"&lt;"&amp;'19_Расчет_аналитики'!AB2583,WeightedRevAge25)-SUMIF(ThresholdAge25,"&lt;"&amp;'19_Расчет_аналитики'!AB2583,WeightedMinAge25),MAX(CapacityAge25*'01_Вводные'!$B$218*'19_Расчет_аналитики'!AB2583,MeanMinAge25)))</f>
        <v/>
      </c>
      <c r="AC2512">
        <f>IF(OR('19_Расчет_аналитики'!AC2484=0,25&lt;='01_Вводные'!$B$297),0,'19_Расчет_аналитики'!AC2484*IF('01_Вводные'!$B$239="Да",MeanMinAge25+'19_Расчет_аналитики'!AC2583*SUMIF(ThresholdAge25,"&lt;"&amp;'19_Расчет_аналитики'!AC2583,WeightedRevAge25)-SUMIF(ThresholdAge25,"&lt;"&amp;'19_Расчет_аналитики'!AC2583,WeightedMinAge25),MAX(CapacityAge25*'01_Вводные'!$B$218*'19_Расчет_аналитики'!AC2583,MeanMinAge25)))</f>
        <v/>
      </c>
      <c r="AD2512">
        <f>IF(OR('19_Расчет_аналитики'!AD2484=0,25&lt;='01_Вводные'!$B$297),0,'19_Расчет_аналитики'!AD2484*IF('01_Вводные'!$B$239="Да",MeanMinAge25+'19_Расчет_аналитики'!AD2583*SUMIF(ThresholdAge25,"&lt;"&amp;'19_Расчет_аналитики'!AD2583,WeightedRevAge25)-SUMIF(ThresholdAge25,"&lt;"&amp;'19_Расчет_аналитики'!AD2583,WeightedMinAge25),MAX(CapacityAge25*'01_Вводные'!$B$218*'19_Расчет_аналитики'!AD2583,MeanMinAge25)))</f>
        <v/>
      </c>
      <c r="AE2512">
        <f>IF(OR('19_Расчет_аналитики'!AE2484=0,25&lt;='01_Вводные'!$B$297),0,'19_Расчет_аналитики'!AE2484*IF('01_Вводные'!$B$239="Да",MeanMinAge25+'19_Расчет_аналитики'!AE2583*SUMIF(ThresholdAge25,"&lt;"&amp;'19_Расчет_аналитики'!AE2583,WeightedRevAge25)-SUMIF(ThresholdAge25,"&lt;"&amp;'19_Расчет_аналитики'!AE2583,WeightedMinAge25),MAX(CapacityAge25*'01_Вводные'!$B$218*'19_Расчет_аналитики'!AE2583,MeanMinAge25)))</f>
        <v/>
      </c>
      <c r="AF2512">
        <f>IF(OR('19_Расчет_аналитики'!AF2484=0,25&lt;='01_Вводные'!$B$297),0,'19_Расчет_аналитики'!AF2484*IF('01_Вводные'!$B$239="Да",MeanMinAge25+'19_Расчет_аналитики'!AF2583*SUMIF(ThresholdAge25,"&lt;"&amp;'19_Расчет_аналитики'!AF2583,WeightedRevAge25)-SUMIF(ThresholdAge25,"&lt;"&amp;'19_Расчет_аналитики'!AF2583,WeightedMinAge25),MAX(CapacityAge25*'01_Вводные'!$B$218*'19_Расчет_аналитики'!AF2583,MeanMinAge25)))</f>
        <v/>
      </c>
      <c r="AG2512">
        <f>IF(OR('19_Расчет_аналитики'!AG2484=0,25&lt;='01_Вводные'!$B$297),0,'19_Расчет_аналитики'!AG2484*IF('01_Вводные'!$B$239="Да",MeanMinAge25+'19_Расчет_аналитики'!AG2583*SUMIF(ThresholdAge25,"&lt;"&amp;'19_Расчет_аналитики'!AG2583,WeightedRevAge25)-SUMIF(ThresholdAge25,"&lt;"&amp;'19_Расчет_аналитики'!AG2583,WeightedMinAge25),MAX(CapacityAge25*'01_Вводные'!$B$218*'19_Расчет_аналитики'!AG2583,MeanMinAge25)))</f>
        <v/>
      </c>
      <c r="AH2512">
        <f>IF(OR('19_Расчет_аналитики'!AH2484=0,25&lt;='01_Вводные'!$B$297),0,'19_Расчет_аналитики'!AH2484*IF('01_Вводные'!$B$239="Да",MeanMinAge25+'19_Расчет_аналитики'!AH2583*SUMIF(ThresholdAge25,"&lt;"&amp;'19_Расчет_аналитики'!AH2583,WeightedRevAge25)-SUMIF(ThresholdAge25,"&lt;"&amp;'19_Расчет_аналитики'!AH2583,WeightedMinAge25),MAX(CapacityAge25*'01_Вводные'!$B$218*'19_Расчет_аналитики'!AH2583,MeanMinAge25)))</f>
        <v/>
      </c>
      <c r="AI2512">
        <f>IF(OR('19_Расчет_аналитики'!AI2484=0,25&lt;='01_Вводные'!$B$297),0,'19_Расчет_аналитики'!AI2484*IF('01_Вводные'!$B$239="Да",MeanMinAge25+'19_Расчет_аналитики'!AI2583*SUMIF(ThresholdAge25,"&lt;"&amp;'19_Расчет_аналитики'!AI2583,WeightedRevAge25)-SUMIF(ThresholdAge25,"&lt;"&amp;'19_Расчет_аналитики'!AI2583,WeightedMinAge25),MAX(CapacityAge25*'01_Вводные'!$B$218*'19_Расчет_аналитики'!AI2583,MeanMinAge25)))</f>
        <v/>
      </c>
      <c r="AJ2512">
        <f>IF(OR('19_Расчет_аналитики'!AJ2484=0,25&lt;='01_Вводные'!$B$297),0,'19_Расчет_аналитики'!AJ2484*IF('01_Вводные'!$B$239="Да",MeanMinAge25+'19_Расчет_аналитики'!AJ2583*SUMIF(ThresholdAge25,"&lt;"&amp;'19_Расчет_аналитики'!AJ2583,WeightedRevAge25)-SUMIF(ThresholdAge25,"&lt;"&amp;'19_Расчет_аналитики'!AJ2583,WeightedMinAge25),MAX(CapacityAge25*'01_Вводные'!$B$218*'19_Расчет_аналитики'!AJ2583,MeanMinAge25)))</f>
        <v/>
      </c>
      <c r="AK2512">
        <f>IF(OR('19_Расчет_аналитики'!AK2484=0,25&lt;='01_Вводные'!$B$297),0,'19_Расчет_аналитики'!AK2484*IF('01_Вводные'!$B$239="Да",MeanMinAge25+'19_Расчет_аналитики'!AK2583*SUMIF(ThresholdAge25,"&lt;"&amp;'19_Расчет_аналитики'!AK2583,WeightedRevAge25)-SUMIF(ThresholdAge25,"&lt;"&amp;'19_Расчет_аналитики'!AK2583,WeightedMinAge25),MAX(CapacityAge25*'01_Вводные'!$B$218*'19_Расчет_аналитики'!AK2583,MeanMinAge25)))</f>
        <v/>
      </c>
      <c r="AL2512">
        <f>IF(OR('19_Расчет_аналитики'!AL2484=0,25&lt;='01_Вводные'!$B$297),0,'19_Расчет_аналитики'!AL2484*IF('01_Вводные'!$B$239="Да",MeanMinAge25+'19_Расчет_аналитики'!AL2583*SUMIF(ThresholdAge25,"&lt;"&amp;'19_Расчет_аналитики'!AL2583,WeightedRevAge25)-SUMIF(ThresholdAge25,"&lt;"&amp;'19_Расчет_аналитики'!AL2583,WeightedMinAge25),MAX(CapacityAge25*'01_Вводные'!$B$218*'19_Расчет_аналитики'!AL2583,MeanMinAge25)))</f>
        <v/>
      </c>
      <c r="AM2512">
        <f>IF(OR('19_Расчет_аналитики'!AM2484=0,25&lt;='01_Вводные'!$B$297),0,'19_Расчет_аналитики'!AM2484*IF('01_Вводные'!$B$239="Да",MeanMinAge25+'19_Расчет_аналитики'!AM2583*SUMIF(ThresholdAge25,"&lt;"&amp;'19_Расчет_аналитики'!AM2583,WeightedRevAge25)-SUMIF(ThresholdAge25,"&lt;"&amp;'19_Расчет_аналитики'!AM2583,WeightedMinAge25),MAX(CapacityAge25*'01_Вводные'!$B$218*'19_Расчет_аналитики'!AM2583,MeanMinAge25)))</f>
        <v/>
      </c>
      <c r="AN2512">
        <f>IF(OR('19_Расчет_аналитики'!AN2484=0,25&lt;='01_Вводные'!$B$297),0,'19_Расчет_аналитики'!AN2484*IF('01_Вводные'!$B$239="Да",MeanMinAge25+'19_Расчет_аналитики'!AN2583*SUMIF(ThresholdAge25,"&lt;"&amp;'19_Расчет_аналитики'!AN2583,WeightedRevAge25)-SUMIF(ThresholdAge25,"&lt;"&amp;'19_Расчет_аналитики'!AN2583,WeightedMinAge25),MAX(CapacityAge25*'01_Вводные'!$B$218*'19_Расчет_аналитики'!AN2583,MeanMinAge25)))</f>
        <v/>
      </c>
      <c r="AO2512">
        <f>IF(OR('19_Расчет_аналитики'!AO2484=0,25&lt;='01_Вводные'!$B$297),0,'19_Расчет_аналитики'!AO2484*IF('01_Вводные'!$B$239="Да",MeanMinAge25+'19_Расчет_аналитики'!AO2583*SUMIF(ThresholdAge25,"&lt;"&amp;'19_Расчет_аналитики'!AO2583,WeightedRevAge25)-SUMIF(ThresholdAge25,"&lt;"&amp;'19_Расчет_аналитики'!AO2583,WeightedMinAge25),MAX(CapacityAge25*'01_Вводные'!$B$218*'19_Расчет_аналитики'!AO2583,MeanMinAge25)))</f>
        <v/>
      </c>
      <c r="AP2512">
        <f>IF(OR('19_Расчет_аналитики'!AP2484=0,25&lt;='01_Вводные'!$B$297),0,'19_Расчет_аналитики'!AP2484*IF('01_Вводные'!$B$239="Да",MeanMinAge25+'19_Расчет_аналитики'!AP2583*SUMIF(ThresholdAge25,"&lt;"&amp;'19_Расчет_аналитики'!AP2583,WeightedRevAge25)-SUMIF(ThresholdAge25,"&lt;"&amp;'19_Расчет_аналитики'!AP2583,WeightedMinAge25),MAX(CapacityAge25*'01_Вводные'!$B$218*'19_Расчет_аналитики'!AP2583,MeanMinAge25)))</f>
        <v/>
      </c>
      <c r="AQ2512">
        <f>IF(OR('19_Расчет_аналитики'!AQ2484=0,25&lt;='01_Вводные'!$B$297),0,'19_Расчет_аналитики'!AQ2484*IF('01_Вводные'!$B$239="Да",MeanMinAge25+'19_Расчет_аналитики'!AQ2583*SUMIF(ThresholdAge25,"&lt;"&amp;'19_Расчет_аналитики'!AQ2583,WeightedRevAge25)-SUMIF(ThresholdAge25,"&lt;"&amp;'19_Расчет_аналитики'!AQ2583,WeightedMinAge25),MAX(CapacityAge25*'01_Вводные'!$B$218*'19_Расчет_аналитики'!AQ2583,MeanMinAge25)))</f>
        <v/>
      </c>
      <c r="AR2512">
        <f>IF(OR('19_Расчет_аналитики'!AR2484=0,25&lt;='01_Вводные'!$B$297),0,'19_Расчет_аналитики'!AR2484*IF('01_Вводные'!$B$239="Да",MeanMinAge25+'19_Расчет_аналитики'!AR2583*SUMIF(ThresholdAge25,"&lt;"&amp;'19_Расчет_аналитики'!AR2583,WeightedRevAge25)-SUMIF(ThresholdAge25,"&lt;"&amp;'19_Расчет_аналитики'!AR2583,WeightedMinAge25),MAX(CapacityAge25*'01_Вводные'!$B$218*'19_Расчет_аналитики'!AR2583,MeanMinAge25)))</f>
        <v/>
      </c>
      <c r="AS2512">
        <f>IF(OR('19_Расчет_аналитики'!AS2484=0,25&lt;='01_Вводные'!$B$297),0,'19_Расчет_аналитики'!AS2484*IF('01_Вводные'!$B$239="Да",MeanMinAge25+'19_Расчет_аналитики'!AS2583*SUMIF(ThresholdAge25,"&lt;"&amp;'19_Расчет_аналитики'!AS2583,WeightedRevAge25)-SUMIF(ThresholdAge25,"&lt;"&amp;'19_Расчет_аналитики'!AS2583,WeightedMinAge25),MAX(CapacityAge25*'01_Вводные'!$B$218*'19_Расчет_аналитики'!AS2583,MeanMinAge25)))</f>
        <v/>
      </c>
      <c r="AT2512">
        <f>IF(OR('19_Расчет_аналитики'!AT2484=0,25&lt;='01_Вводные'!$B$297),0,'19_Расчет_аналитики'!AT2484*IF('01_Вводные'!$B$239="Да",MeanMinAge25+'19_Расчет_аналитики'!AT2583*SUMIF(ThresholdAge25,"&lt;"&amp;'19_Расчет_аналитики'!AT2583,WeightedRevAge25)-SUMIF(ThresholdAge25,"&lt;"&amp;'19_Расчет_аналитики'!AT2583,WeightedMinAge25),MAX(CapacityAge25*'01_Вводные'!$B$218*'19_Расчет_аналитики'!AT2583,MeanMinAge25)))</f>
        <v/>
      </c>
      <c r="AU2512">
        <f>IF(OR('19_Расчет_аналитики'!AU2484=0,25&lt;='01_Вводные'!$B$297),0,'19_Расчет_аналитики'!AU2484*IF('01_Вводные'!$B$239="Да",MeanMinAge25+'19_Расчет_аналитики'!AU2583*SUMIF(ThresholdAge25,"&lt;"&amp;'19_Расчет_аналитики'!AU2583,WeightedRevAge25)-SUMIF(ThresholdAge25,"&lt;"&amp;'19_Расчет_аналитики'!AU2583,WeightedMinAge25),MAX(CapacityAge25*'01_Вводные'!$B$218*'19_Расчет_аналитики'!AU2583,MeanMinAge25)))</f>
        <v/>
      </c>
      <c r="AV2512">
        <f>IF(OR('19_Расчет_аналитики'!AV2484=0,25&lt;='01_Вводные'!$B$297),0,'19_Расчет_аналитики'!AV2484*IF('01_Вводные'!$B$239="Да",MeanMinAge25+'19_Расчет_аналитики'!AV2583*SUMIF(ThresholdAge25,"&lt;"&amp;'19_Расчет_аналитики'!AV2583,WeightedRevAge25)-SUMIF(ThresholdAge25,"&lt;"&amp;'19_Расчет_аналитики'!AV2583,WeightedMinAge25),MAX(CapacityAge25*'01_Вводные'!$B$218*'19_Расчет_аналитики'!AV2583,MeanMinAge25)))</f>
        <v/>
      </c>
      <c r="AW2512">
        <f>IF(OR('19_Расчет_аналитики'!AW2484=0,25&lt;='01_Вводные'!$B$297),0,'19_Расчет_аналитики'!AW2484*IF('01_Вводные'!$B$239="Да",MeanMinAge25+'19_Расчет_аналитики'!AW2583*SUMIF(ThresholdAge25,"&lt;"&amp;'19_Расчет_аналитики'!AW2583,WeightedRevAge25)-SUMIF(ThresholdAge25,"&lt;"&amp;'19_Расчет_аналитики'!AW2583,WeightedMinAge25),MAX(CapacityAge25*'01_Вводные'!$B$218*'19_Расчет_аналитики'!AW2583,MeanMinAge25)))</f>
        <v/>
      </c>
      <c r="AX2512">
        <f>IF(OR('19_Расчет_аналитики'!AX2484=0,25&lt;='01_Вводные'!$B$297),0,'19_Расчет_аналитики'!AX2484*IF('01_Вводные'!$B$239="Да",MeanMinAge25+'19_Расчет_аналитики'!AX2583*SUMIF(ThresholdAge25,"&lt;"&amp;'19_Расчет_аналитики'!AX2583,WeightedRevAge25)-SUMIF(ThresholdAge25,"&lt;"&amp;'19_Расчет_аналитики'!AX2583,WeightedMinAge25),MAX(CapacityAge25*'01_Вводные'!$B$218*'19_Расчет_аналитики'!AX2583,MeanMinAge25)))</f>
        <v/>
      </c>
      <c r="AY2512">
        <f>IF(OR('19_Расчет_аналитики'!AY2484=0,25&lt;='01_Вводные'!$B$297),0,'19_Расчет_аналитики'!AY2484*IF('01_Вводные'!$B$239="Да",MeanMinAge25+'19_Расчет_аналитики'!AY2583*SUMIF(ThresholdAge25,"&lt;"&amp;'19_Расчет_аналитики'!AY2583,WeightedRevAge25)-SUMIF(ThresholdAge25,"&lt;"&amp;'19_Расчет_аналитики'!AY2583,WeightedMinAge25),MAX(CapacityAge25*'01_Вводные'!$B$218*'19_Расчет_аналитики'!AY2583,MeanMinAge25)))</f>
        <v/>
      </c>
      <c r="AZ2512">
        <f>IF(OR('19_Расчет_аналитики'!AZ2484=0,25&lt;='01_Вводные'!$B$297),0,'19_Расчет_аналитики'!AZ2484*IF('01_Вводные'!$B$239="Да",MeanMinAge25+'19_Расчет_аналитики'!AZ2583*SUMIF(ThresholdAge25,"&lt;"&amp;'19_Расчет_аналитики'!AZ2583,WeightedRevAge25)-SUMIF(ThresholdAge25,"&lt;"&amp;'19_Расчет_аналитики'!AZ2583,WeightedMinAge25),MAX(CapacityAge25*'01_Вводные'!$B$218*'19_Расчет_аналитики'!AZ2583,MeanMinAge25)))</f>
        <v/>
      </c>
      <c r="BA2512">
        <f>IF(OR('19_Расчет_аналитики'!BA2484=0,25&lt;='01_Вводные'!$B$297),0,'19_Расчет_аналитики'!BA2484*IF('01_Вводные'!$B$239="Да",MeanMinAge25+'19_Расчет_аналитики'!BA2583*SUMIF(ThresholdAge25,"&lt;"&amp;'19_Расчет_аналитики'!BA2583,WeightedRevAge25)-SUMIF(ThresholdAge25,"&lt;"&amp;'19_Расчет_аналитики'!BA2583,WeightedMinAge25),MAX(CapacityAge25*'01_Вводные'!$B$218*'19_Расчет_аналитики'!BA2583,MeanMinAge25)))</f>
        <v/>
      </c>
      <c r="BB2512">
        <f>IF(OR('19_Расчет_аналитики'!BB2484=0,25&lt;='01_Вводные'!$B$297),0,'19_Расчет_аналитики'!BB2484*IF('01_Вводные'!$B$239="Да",MeanMinAge25+'19_Расчет_аналитики'!BB2583*SUMIF(ThresholdAge25,"&lt;"&amp;'19_Расчет_аналитики'!BB2583,WeightedRevAge25)-SUMIF(ThresholdAge25,"&lt;"&amp;'19_Расчет_аналитики'!BB2583,WeightedMinAge25),MAX(CapacityAge25*'01_Вводные'!$B$218*'19_Расчет_аналитики'!BB2583,MeanMinAge25)))</f>
        <v/>
      </c>
      <c r="BC2512">
        <f>IF(OR('19_Расчет_аналитики'!BC2484=0,25&lt;='01_Вводные'!$B$297),0,'19_Расчет_аналитики'!BC2484*IF('01_Вводные'!$B$239="Да",MeanMinAge25+'19_Расчет_аналитики'!BC2583*SUMIF(ThresholdAge25,"&lt;"&amp;'19_Расчет_аналитики'!BC2583,WeightedRevAge25)-SUMIF(ThresholdAge25,"&lt;"&amp;'19_Расчет_аналитики'!BC2583,WeightedMinAge25),MAX(CapacityAge25*'01_Вводные'!$B$218*'19_Расчет_аналитики'!BC2583,MeanMinAge25)))</f>
        <v/>
      </c>
      <c r="BD2512">
        <f>IF(OR('19_Расчет_аналитики'!BD2484=0,25&lt;='01_Вводные'!$B$297),0,'19_Расчет_аналитики'!BD2484*IF('01_Вводные'!$B$239="Да",MeanMinAge25+'19_Расчет_аналитики'!BD2583*SUMIF(ThresholdAge25,"&lt;"&amp;'19_Расчет_аналитики'!BD2583,WeightedRevAge25)-SUMIF(ThresholdAge25,"&lt;"&amp;'19_Расчет_аналитики'!BD2583,WeightedMinAge25),MAX(CapacityAge25*'01_Вводные'!$B$218*'19_Расчет_аналитики'!BD2583,MeanMinAge25)))</f>
        <v/>
      </c>
      <c r="BE2512">
        <f>IF(OR('19_Расчет_аналитики'!BE2484=0,25&lt;='01_Вводные'!$B$297),0,'19_Расчет_аналитики'!BE2484*IF('01_Вводные'!$B$239="Да",MeanMinAge25+'19_Расчет_аналитики'!BE2583*SUMIF(ThresholdAge25,"&lt;"&amp;'19_Расчет_аналитики'!BE2583,WeightedRevAge25)-SUMIF(ThresholdAge25,"&lt;"&amp;'19_Расчет_аналитики'!BE2583,WeightedMinAge25),MAX(CapacityAge25*'01_Вводные'!$B$218*'19_Расчет_аналитики'!BE2583,MeanMinAge25)))</f>
        <v/>
      </c>
      <c r="BF2512">
        <f>IF(OR('19_Расчет_аналитики'!BF2484=0,25&lt;='01_Вводные'!$B$297),0,'19_Расчет_аналитики'!BF2484*IF('01_Вводные'!$B$239="Да",MeanMinAge25+'19_Расчет_аналитики'!BF2583*SUMIF(ThresholdAge25,"&lt;"&amp;'19_Расчет_аналитики'!BF2583,WeightedRevAge25)-SUMIF(ThresholdAge25,"&lt;"&amp;'19_Расчет_аналитики'!BF2583,WeightedMinAge25),MAX(CapacityAge25*'01_Вводные'!$B$218*'19_Расчет_аналитики'!BF2583,MeanMinAge25)))</f>
        <v/>
      </c>
      <c r="BG2512">
        <f>IF(OR('19_Расчет_аналитики'!BG2484=0,25&lt;='01_Вводные'!$B$297),0,'19_Расчет_аналитики'!BG2484*IF('01_Вводные'!$B$239="Да",MeanMinAge25+'19_Расчет_аналитики'!BG2583*SUMIF(ThresholdAge25,"&lt;"&amp;'19_Расчет_аналитики'!BG2583,WeightedRevAge25)-SUMIF(ThresholdAge25,"&lt;"&amp;'19_Расчет_аналитики'!BG2583,WeightedMinAge25),MAX(CapacityAge25*'01_Вводные'!$B$218*'19_Расчет_аналитики'!BG2583,MeanMinAge25)))</f>
        <v/>
      </c>
      <c r="BH2512">
        <f>IF(OR('19_Расчет_аналитики'!BH2484=0,25&lt;='01_Вводные'!$B$297),0,'19_Расчет_аналитики'!BH2484*IF('01_Вводные'!$B$239="Да",MeanMinAge25+'19_Расчет_аналитики'!BH2583*SUMIF(ThresholdAge25,"&lt;"&amp;'19_Расчет_аналитики'!BH2583,WeightedRevAge25)-SUMIF(ThresholdAge25,"&lt;"&amp;'19_Расчет_аналитики'!BH2583,WeightedMinAge25),MAX(CapacityAge25*'01_Вводные'!$B$218*'19_Расчет_аналитики'!BH2583,MeanMinAge25)))</f>
        <v/>
      </c>
      <c r="BI2512">
        <f>IF(OR('19_Расчет_аналитики'!BI2484=0,25&lt;='01_Вводные'!$B$297),0,'19_Расчет_аналитики'!BI2484*IF('01_Вводные'!$B$239="Да",MeanMinAge25+'19_Расчет_аналитики'!BI2583*SUMIF(ThresholdAge25,"&lt;"&amp;'19_Расчет_аналитики'!BI2583,WeightedRevAge25)-SUMIF(ThresholdAge25,"&lt;"&amp;'19_Расчет_аналитики'!BI2583,WeightedMinAge25),MAX(CapacityAge25*'01_Вводные'!$B$218*'19_Расчет_аналитики'!BI2583,MeanMinAge25)))</f>
        <v/>
      </c>
      <c r="BJ2512">
        <f>IF(OR('19_Расчет_аналитики'!BJ2484=0,25&lt;='01_Вводные'!$B$297),0,'19_Расчет_аналитики'!BJ2484*IF('01_Вводные'!$B$239="Да",MeanMinAge25+'19_Расчет_аналитики'!BJ2583*SUMIF(ThresholdAge25,"&lt;"&amp;'19_Расчет_аналитики'!BJ2583,WeightedRevAge25)-SUMIF(ThresholdAge25,"&lt;"&amp;'19_Расчет_аналитики'!BJ2583,WeightedMinAge25),MAX(CapacityAge25*'01_Вводные'!$B$218*'19_Расчет_аналитики'!BJ2583,MeanMinAge25)))</f>
        <v/>
      </c>
      <c r="BK2512">
        <f>IF(OR('19_Расчет_аналитики'!BK2484=0,25&lt;='01_Вводные'!$B$297),0,'19_Расчет_аналитики'!BK2484*IF('01_Вводные'!$B$239="Да",MeanMinAge25+'19_Расчет_аналитики'!BK2583*SUMIF(ThresholdAge25,"&lt;"&amp;'19_Расчет_аналитики'!BK2583,WeightedRevAge25)-SUMIF(ThresholdAge25,"&lt;"&amp;'19_Расчет_аналитики'!BK2583,WeightedMinAge25),MAX(CapacityAge25*'01_Вводные'!$B$218*'19_Расчет_аналитики'!BK2583,MeanMinAge25)))</f>
        <v/>
      </c>
      <c r="BL2512">
        <f>IF(OR('19_Расчет_аналитики'!BL2484=0,25&lt;='01_Вводные'!$B$297),0,'19_Расчет_аналитики'!BL2484*IF('01_Вводные'!$B$239="Да",MeanMinAge25+'19_Расчет_аналитики'!BL2583*SUMIF(ThresholdAge25,"&lt;"&amp;'19_Расчет_аналитики'!BL2583,WeightedRevAge25)-SUMIF(ThresholdAge25,"&lt;"&amp;'19_Расчет_аналитики'!BL2583,WeightedMinAge25),MAX(CapacityAge25*'01_Вводные'!$B$218*'19_Расчет_аналитики'!BL2583,MeanMinAge25)))</f>
        <v/>
      </c>
      <c r="BM2512">
        <f>IF(OR('19_Расчет_аналитики'!BM2484=0,25&lt;='01_Вводные'!$B$297),0,'19_Расчет_аналитики'!BM2484*IF('01_Вводные'!$B$239="Да",MeanMinAge25+'19_Расчет_аналитики'!BM2583*SUMIF(ThresholdAge25,"&lt;"&amp;'19_Расчет_аналитики'!BM2583,WeightedRevAge25)-SUMIF(ThresholdAge25,"&lt;"&amp;'19_Расчет_аналитики'!BM2583,WeightedMinAge25),MAX(CapacityAge25*'01_Вводные'!$B$218*'19_Расчет_аналитики'!BM2583,MeanMinAge25)))</f>
        <v/>
      </c>
      <c r="BN2512">
        <f>IF(OR('19_Расчет_аналитики'!BN2484=0,25&lt;='01_Вводные'!$B$297),0,'19_Расчет_аналитики'!BN2484*IF('01_Вводные'!$B$239="Да",MeanMinAge25+'19_Расчет_аналитики'!BN2583*SUMIF(ThresholdAge25,"&lt;"&amp;'19_Расчет_аналитики'!BN2583,WeightedRevAge25)-SUMIF(ThresholdAge25,"&lt;"&amp;'19_Расчет_аналитики'!BN2583,WeightedMinAge25),MAX(CapacityAge25*'01_Вводные'!$B$218*'19_Расчет_аналитики'!BN2583,MeanMinAge25)))</f>
        <v/>
      </c>
      <c r="BO2512">
        <f>IF(OR('19_Расчет_аналитики'!BO2484=0,25&lt;='01_Вводные'!$B$297),0,'19_Расчет_аналитики'!BO2484*IF('01_Вводные'!$B$239="Да",MeanMinAge25+'19_Расчет_аналитики'!BO2583*SUMIF(ThresholdAge25,"&lt;"&amp;'19_Расчет_аналитики'!BO2583,WeightedRevAge25)-SUMIF(ThresholdAge25,"&lt;"&amp;'19_Расчет_аналитики'!BO2583,WeightedMinAge25),MAX(CapacityAge25*'01_Вводные'!$B$218*'19_Расчет_аналитики'!BO2583,MeanMinAge25)))</f>
        <v/>
      </c>
    </row>
    <row r="2513"/>
    <row r="2514"/>
    <row r="2515"/>
    <row r="2516">
      <c r="B2516">
        <f>IF(OR(('19_Расчет_аналитики'!B2432-'19_Расчет_аналитики'!B2460)=0,1&lt;='01_Вводные'!$B$297),0,('19_Расчет_аналитики'!B2432-'19_Расчет_аналитики'!B2460)*IF('01_Вводные'!$B$239="Да",MeanMinAge01+'19_Расчет_аналитики'!B2584*SUMIF(ThresholdAge01,"&lt;"&amp;'19_Расчет_аналитики'!B2584,WeightedRevAge01)-SUMIF(ThresholdAge01,"&lt;"&amp;'19_Расчет_аналитики'!B2584,WeightedMinAge01),MAX(CapacityAge01*'01_Вводные'!$B$218*'19_Расчет_аналитики'!B2584,MeanMinAge01)))</f>
        <v/>
      </c>
      <c r="C2516">
        <f>IF(OR(('19_Расчет_аналитики'!C2432-'19_Расчет_аналитики'!C2460)=0,1&lt;='01_Вводные'!$B$297),0,('19_Расчет_аналитики'!C2432-'19_Расчет_аналитики'!C2460)*IF('01_Вводные'!$B$239="Да",MeanMinAge01+'19_Расчет_аналитики'!C2584*SUMIF(ThresholdAge01,"&lt;"&amp;'19_Расчет_аналитики'!C2584,WeightedRevAge01)-SUMIF(ThresholdAge01,"&lt;"&amp;'19_Расчет_аналитики'!C2584,WeightedMinAge01),MAX(CapacityAge01*'01_Вводные'!$B$218*'19_Расчет_аналитики'!C2584,MeanMinAge01)))</f>
        <v/>
      </c>
      <c r="D2516">
        <f>IF(OR(('19_Расчет_аналитики'!D2432-'19_Расчет_аналитики'!D2460)=0,1&lt;='01_Вводные'!$B$297),0,('19_Расчет_аналитики'!D2432-'19_Расчет_аналитики'!D2460)*IF('01_Вводные'!$B$239="Да",MeanMinAge01+'19_Расчет_аналитики'!D2584*SUMIF(ThresholdAge01,"&lt;"&amp;'19_Расчет_аналитики'!D2584,WeightedRevAge01)-SUMIF(ThresholdAge01,"&lt;"&amp;'19_Расчет_аналитики'!D2584,WeightedMinAge01),MAX(CapacityAge01*'01_Вводные'!$B$218*'19_Расчет_аналитики'!D2584,MeanMinAge01)))</f>
        <v/>
      </c>
      <c r="E2516">
        <f>IF(OR(('19_Расчет_аналитики'!E2432-'19_Расчет_аналитики'!E2460)=0,1&lt;='01_Вводные'!$B$297),0,('19_Расчет_аналитики'!E2432-'19_Расчет_аналитики'!E2460)*IF('01_Вводные'!$B$239="Да",MeanMinAge01+'19_Расчет_аналитики'!E2584*SUMIF(ThresholdAge01,"&lt;"&amp;'19_Расчет_аналитики'!E2584,WeightedRevAge01)-SUMIF(ThresholdAge01,"&lt;"&amp;'19_Расчет_аналитики'!E2584,WeightedMinAge01),MAX(CapacityAge01*'01_Вводные'!$B$218*'19_Расчет_аналитики'!E2584,MeanMinAge01)))</f>
        <v/>
      </c>
      <c r="F2516">
        <f>IF(OR(('19_Расчет_аналитики'!F2432-'19_Расчет_аналитики'!F2460)=0,1&lt;='01_Вводные'!$B$297),0,('19_Расчет_аналитики'!F2432-'19_Расчет_аналитики'!F2460)*IF('01_Вводные'!$B$239="Да",MeanMinAge01+'19_Расчет_аналитики'!F2584*SUMIF(ThresholdAge01,"&lt;"&amp;'19_Расчет_аналитики'!F2584,WeightedRevAge01)-SUMIF(ThresholdAge01,"&lt;"&amp;'19_Расчет_аналитики'!F2584,WeightedMinAge01),MAX(CapacityAge01*'01_Вводные'!$B$218*'19_Расчет_аналитики'!F2584,MeanMinAge01)))</f>
        <v/>
      </c>
      <c r="G2516">
        <f>IF(OR(('19_Расчет_аналитики'!G2432-'19_Расчет_аналитики'!G2460)=0,1&lt;='01_Вводные'!$B$297),0,('19_Расчет_аналитики'!G2432-'19_Расчет_аналитики'!G2460)*IF('01_Вводные'!$B$239="Да",MeanMinAge01+'19_Расчет_аналитики'!G2584*SUMIF(ThresholdAge01,"&lt;"&amp;'19_Расчет_аналитики'!G2584,WeightedRevAge01)-SUMIF(ThresholdAge01,"&lt;"&amp;'19_Расчет_аналитики'!G2584,WeightedMinAge01),MAX(CapacityAge01*'01_Вводные'!$B$218*'19_Расчет_аналитики'!G2584,MeanMinAge01)))</f>
        <v/>
      </c>
      <c r="H2516">
        <f>IF(OR(('19_Расчет_аналитики'!H2432-'19_Расчет_аналитики'!H2460)=0,1&lt;='01_Вводные'!$B$297),0,('19_Расчет_аналитики'!H2432-'19_Расчет_аналитики'!H2460)*IF('01_Вводные'!$B$239="Да",MeanMinAge01+'19_Расчет_аналитики'!H2584*SUMIF(ThresholdAge01,"&lt;"&amp;'19_Расчет_аналитики'!H2584,WeightedRevAge01)-SUMIF(ThresholdAge01,"&lt;"&amp;'19_Расчет_аналитики'!H2584,WeightedMinAge01),MAX(CapacityAge01*'01_Вводные'!$B$218*'19_Расчет_аналитики'!H2584,MeanMinAge01)))</f>
        <v/>
      </c>
      <c r="I2516">
        <f>IF(OR(('19_Расчет_аналитики'!I2432-'19_Расчет_аналитики'!I2460)=0,1&lt;='01_Вводные'!$B$297),0,('19_Расчет_аналитики'!I2432-'19_Расчет_аналитики'!I2460)*IF('01_Вводные'!$B$239="Да",MeanMinAge01+'19_Расчет_аналитики'!I2584*SUMIF(ThresholdAge01,"&lt;"&amp;'19_Расчет_аналитики'!I2584,WeightedRevAge01)-SUMIF(ThresholdAge01,"&lt;"&amp;'19_Расчет_аналитики'!I2584,WeightedMinAge01),MAX(CapacityAge01*'01_Вводные'!$B$218*'19_Расчет_аналитики'!I2584,MeanMinAge01)))</f>
        <v/>
      </c>
      <c r="J2516">
        <f>IF(OR(('19_Расчет_аналитики'!J2432-'19_Расчет_аналитики'!J2460)=0,1&lt;='01_Вводные'!$B$297),0,('19_Расчет_аналитики'!J2432-'19_Расчет_аналитики'!J2460)*IF('01_Вводные'!$B$239="Да",MeanMinAge01+'19_Расчет_аналитики'!J2584*SUMIF(ThresholdAge01,"&lt;"&amp;'19_Расчет_аналитики'!J2584,WeightedRevAge01)-SUMIF(ThresholdAge01,"&lt;"&amp;'19_Расчет_аналитики'!J2584,WeightedMinAge01),MAX(CapacityAge01*'01_Вводные'!$B$218*'19_Расчет_аналитики'!J2584,MeanMinAge01)))</f>
        <v/>
      </c>
      <c r="K2516">
        <f>IF(OR(('19_Расчет_аналитики'!K2432-'19_Расчет_аналитики'!K2460)=0,1&lt;='01_Вводные'!$B$297),0,('19_Расчет_аналитики'!K2432-'19_Расчет_аналитики'!K2460)*IF('01_Вводные'!$B$239="Да",MeanMinAge01+'19_Расчет_аналитики'!K2584*SUMIF(ThresholdAge01,"&lt;"&amp;'19_Расчет_аналитики'!K2584,WeightedRevAge01)-SUMIF(ThresholdAge01,"&lt;"&amp;'19_Расчет_аналитики'!K2584,WeightedMinAge01),MAX(CapacityAge01*'01_Вводные'!$B$218*'19_Расчет_аналитики'!K2584,MeanMinAge01)))</f>
        <v/>
      </c>
      <c r="L2516">
        <f>IF(OR(('19_Расчет_аналитики'!L2432-'19_Расчет_аналитики'!L2460)=0,1&lt;='01_Вводные'!$B$297),0,('19_Расчет_аналитики'!L2432-'19_Расчет_аналитики'!L2460)*IF('01_Вводные'!$B$239="Да",MeanMinAge01+'19_Расчет_аналитики'!L2584*SUMIF(ThresholdAge01,"&lt;"&amp;'19_Расчет_аналитики'!L2584,WeightedRevAge01)-SUMIF(ThresholdAge01,"&lt;"&amp;'19_Расчет_аналитики'!L2584,WeightedMinAge01),MAX(CapacityAge01*'01_Вводные'!$B$218*'19_Расчет_аналитики'!L2584,MeanMinAge01)))</f>
        <v/>
      </c>
      <c r="M2516">
        <f>IF(OR(('19_Расчет_аналитики'!M2432-'19_Расчет_аналитики'!M2460)=0,1&lt;='01_Вводные'!$B$297),0,('19_Расчет_аналитики'!M2432-'19_Расчет_аналитики'!M2460)*IF('01_Вводные'!$B$239="Да",MeanMinAge01+'19_Расчет_аналитики'!M2584*SUMIF(ThresholdAge01,"&lt;"&amp;'19_Расчет_аналитики'!M2584,WeightedRevAge01)-SUMIF(ThresholdAge01,"&lt;"&amp;'19_Расчет_аналитики'!M2584,WeightedMinAge01),MAX(CapacityAge01*'01_Вводные'!$B$218*'19_Расчет_аналитики'!M2584,MeanMinAge01)))</f>
        <v/>
      </c>
      <c r="N2516">
        <f>IF(OR(('19_Расчет_аналитики'!N2432-'19_Расчет_аналитики'!N2460)=0,1&lt;='01_Вводные'!$B$297),0,('19_Расчет_аналитики'!N2432-'19_Расчет_аналитики'!N2460)*IF('01_Вводные'!$B$239="Да",MeanMinAge01+'19_Расчет_аналитики'!N2584*SUMIF(ThresholdAge01,"&lt;"&amp;'19_Расчет_аналитики'!N2584,WeightedRevAge01)-SUMIF(ThresholdAge01,"&lt;"&amp;'19_Расчет_аналитики'!N2584,WeightedMinAge01),MAX(CapacityAge01*'01_Вводные'!$B$218*'19_Расчет_аналитики'!N2584,MeanMinAge01)))</f>
        <v/>
      </c>
      <c r="O2516">
        <f>IF(OR(('19_Расчет_аналитики'!O2432-'19_Расчет_аналитики'!O2460)=0,1&lt;='01_Вводные'!$B$297),0,('19_Расчет_аналитики'!O2432-'19_Расчет_аналитики'!O2460)*IF('01_Вводные'!$B$239="Да",MeanMinAge01+'19_Расчет_аналитики'!O2584*SUMIF(ThresholdAge01,"&lt;"&amp;'19_Расчет_аналитики'!O2584,WeightedRevAge01)-SUMIF(ThresholdAge01,"&lt;"&amp;'19_Расчет_аналитики'!O2584,WeightedMinAge01),MAX(CapacityAge01*'01_Вводные'!$B$218*'19_Расчет_аналитики'!O2584,MeanMinAge01)))</f>
        <v/>
      </c>
      <c r="P2516">
        <f>IF(OR(('19_Расчет_аналитики'!P2432-'19_Расчет_аналитики'!P2460)=0,1&lt;='01_Вводные'!$B$297),0,('19_Расчет_аналитики'!P2432-'19_Расчет_аналитики'!P2460)*IF('01_Вводные'!$B$239="Да",MeanMinAge01+'19_Расчет_аналитики'!P2584*SUMIF(ThresholdAge01,"&lt;"&amp;'19_Расчет_аналитики'!P2584,WeightedRevAge01)-SUMIF(ThresholdAge01,"&lt;"&amp;'19_Расчет_аналитики'!P2584,WeightedMinAge01),MAX(CapacityAge01*'01_Вводные'!$B$218*'19_Расчет_аналитики'!P2584,MeanMinAge01)))</f>
        <v/>
      </c>
      <c r="Q2516">
        <f>IF(OR(('19_Расчет_аналитики'!Q2432-'19_Расчет_аналитики'!Q2460)=0,1&lt;='01_Вводные'!$B$297),0,('19_Расчет_аналитики'!Q2432-'19_Расчет_аналитики'!Q2460)*IF('01_Вводные'!$B$239="Да",MeanMinAge01+'19_Расчет_аналитики'!Q2584*SUMIF(ThresholdAge01,"&lt;"&amp;'19_Расчет_аналитики'!Q2584,WeightedRevAge01)-SUMIF(ThresholdAge01,"&lt;"&amp;'19_Расчет_аналитики'!Q2584,WeightedMinAge01),MAX(CapacityAge01*'01_Вводные'!$B$218*'19_Расчет_аналитики'!Q2584,MeanMinAge01)))</f>
        <v/>
      </c>
      <c r="R2516">
        <f>IF(OR(('19_Расчет_аналитики'!R2432-'19_Расчет_аналитики'!R2460)=0,1&lt;='01_Вводные'!$B$297),0,('19_Расчет_аналитики'!R2432-'19_Расчет_аналитики'!R2460)*IF('01_Вводные'!$B$239="Да",MeanMinAge01+'19_Расчет_аналитики'!R2584*SUMIF(ThresholdAge01,"&lt;"&amp;'19_Расчет_аналитики'!R2584,WeightedRevAge01)-SUMIF(ThresholdAge01,"&lt;"&amp;'19_Расчет_аналитики'!R2584,WeightedMinAge01),MAX(CapacityAge01*'01_Вводные'!$B$218*'19_Расчет_аналитики'!R2584,MeanMinAge01)))</f>
        <v/>
      </c>
      <c r="S2516">
        <f>IF(OR(('19_Расчет_аналитики'!S2432-'19_Расчет_аналитики'!S2460)=0,1&lt;='01_Вводные'!$B$297),0,('19_Расчет_аналитики'!S2432-'19_Расчет_аналитики'!S2460)*IF('01_Вводные'!$B$239="Да",MeanMinAge01+'19_Расчет_аналитики'!S2584*SUMIF(ThresholdAge01,"&lt;"&amp;'19_Расчет_аналитики'!S2584,WeightedRevAge01)-SUMIF(ThresholdAge01,"&lt;"&amp;'19_Расчет_аналитики'!S2584,WeightedMinAge01),MAX(CapacityAge01*'01_Вводные'!$B$218*'19_Расчет_аналитики'!S2584,MeanMinAge01)))</f>
        <v/>
      </c>
      <c r="T2516">
        <f>IF(OR(('19_Расчет_аналитики'!T2432-'19_Расчет_аналитики'!T2460)=0,1&lt;='01_Вводные'!$B$297),0,('19_Расчет_аналитики'!T2432-'19_Расчет_аналитики'!T2460)*IF('01_Вводные'!$B$239="Да",MeanMinAge01+'19_Расчет_аналитики'!T2584*SUMIF(ThresholdAge01,"&lt;"&amp;'19_Расчет_аналитики'!T2584,WeightedRevAge01)-SUMIF(ThresholdAge01,"&lt;"&amp;'19_Расчет_аналитики'!T2584,WeightedMinAge01),MAX(CapacityAge01*'01_Вводные'!$B$218*'19_Расчет_аналитики'!T2584,MeanMinAge01)))</f>
        <v/>
      </c>
      <c r="U2516">
        <f>IF(OR(('19_Расчет_аналитики'!U2432-'19_Расчет_аналитики'!U2460)=0,1&lt;='01_Вводные'!$B$297),0,('19_Расчет_аналитики'!U2432-'19_Расчет_аналитики'!U2460)*IF('01_Вводные'!$B$239="Да",MeanMinAge01+'19_Расчет_аналитики'!U2584*SUMIF(ThresholdAge01,"&lt;"&amp;'19_Расчет_аналитики'!U2584,WeightedRevAge01)-SUMIF(ThresholdAge01,"&lt;"&amp;'19_Расчет_аналитики'!U2584,WeightedMinAge01),MAX(CapacityAge01*'01_Вводные'!$B$218*'19_Расчет_аналитики'!U2584,MeanMinAge01)))</f>
        <v/>
      </c>
      <c r="V2516">
        <f>IF(OR(('19_Расчет_аналитики'!V2432-'19_Расчет_аналитики'!V2460)=0,1&lt;='01_Вводные'!$B$297),0,('19_Расчет_аналитики'!V2432-'19_Расчет_аналитики'!V2460)*IF('01_Вводные'!$B$239="Да",MeanMinAge01+'19_Расчет_аналитики'!V2584*SUMIF(ThresholdAge01,"&lt;"&amp;'19_Расчет_аналитики'!V2584,WeightedRevAge01)-SUMIF(ThresholdAge01,"&lt;"&amp;'19_Расчет_аналитики'!V2584,WeightedMinAge01),MAX(CapacityAge01*'01_Вводные'!$B$218*'19_Расчет_аналитики'!V2584,MeanMinAge01)))</f>
        <v/>
      </c>
      <c r="W2516">
        <f>IF(OR(('19_Расчет_аналитики'!W2432-'19_Расчет_аналитики'!W2460)=0,1&lt;='01_Вводные'!$B$297),0,('19_Расчет_аналитики'!W2432-'19_Расчет_аналитики'!W2460)*IF('01_Вводные'!$B$239="Да",MeanMinAge01+'19_Расчет_аналитики'!W2584*SUMIF(ThresholdAge01,"&lt;"&amp;'19_Расчет_аналитики'!W2584,WeightedRevAge01)-SUMIF(ThresholdAge01,"&lt;"&amp;'19_Расчет_аналитики'!W2584,WeightedMinAge01),MAX(CapacityAge01*'01_Вводные'!$B$218*'19_Расчет_аналитики'!W2584,MeanMinAge01)))</f>
        <v/>
      </c>
      <c r="X2516">
        <f>IF(OR(('19_Расчет_аналитики'!X2432-'19_Расчет_аналитики'!X2460)=0,1&lt;='01_Вводные'!$B$297),0,('19_Расчет_аналитики'!X2432-'19_Расчет_аналитики'!X2460)*IF('01_Вводные'!$B$239="Да",MeanMinAge01+'19_Расчет_аналитики'!X2584*SUMIF(ThresholdAge01,"&lt;"&amp;'19_Расчет_аналитики'!X2584,WeightedRevAge01)-SUMIF(ThresholdAge01,"&lt;"&amp;'19_Расчет_аналитики'!X2584,WeightedMinAge01),MAX(CapacityAge01*'01_Вводные'!$B$218*'19_Расчет_аналитики'!X2584,MeanMinAge01)))</f>
        <v/>
      </c>
      <c r="Y2516">
        <f>IF(OR(('19_Расчет_аналитики'!Y2432-'19_Расчет_аналитики'!Y2460)=0,1&lt;='01_Вводные'!$B$297),0,('19_Расчет_аналитики'!Y2432-'19_Расчет_аналитики'!Y2460)*IF('01_Вводные'!$B$239="Да",MeanMinAge01+'19_Расчет_аналитики'!Y2584*SUMIF(ThresholdAge01,"&lt;"&amp;'19_Расчет_аналитики'!Y2584,WeightedRevAge01)-SUMIF(ThresholdAge01,"&lt;"&amp;'19_Расчет_аналитики'!Y2584,WeightedMinAge01),MAX(CapacityAge01*'01_Вводные'!$B$218*'19_Расчет_аналитики'!Y2584,MeanMinAge01)))</f>
        <v/>
      </c>
      <c r="Z2516">
        <f>IF(OR(('19_Расчет_аналитики'!Z2432-'19_Расчет_аналитики'!Z2460)=0,1&lt;='01_Вводные'!$B$297),0,('19_Расчет_аналитики'!Z2432-'19_Расчет_аналитики'!Z2460)*IF('01_Вводные'!$B$239="Да",MeanMinAge01+'19_Расчет_аналитики'!Z2584*SUMIF(ThresholdAge01,"&lt;"&amp;'19_Расчет_аналитики'!Z2584,WeightedRevAge01)-SUMIF(ThresholdAge01,"&lt;"&amp;'19_Расчет_аналитики'!Z2584,WeightedMinAge01),MAX(CapacityAge01*'01_Вводные'!$B$218*'19_Расчет_аналитики'!Z2584,MeanMinAge01)))</f>
        <v/>
      </c>
      <c r="AA2516">
        <f>IF(OR(('19_Расчет_аналитики'!AA2432-'19_Расчет_аналитики'!AA2460)=0,1&lt;='01_Вводные'!$B$297),0,('19_Расчет_аналитики'!AA2432-'19_Расчет_аналитики'!AA2460)*IF('01_Вводные'!$B$239="Да",MeanMinAge01+'19_Расчет_аналитики'!AA2584*SUMIF(ThresholdAge01,"&lt;"&amp;'19_Расчет_аналитики'!AA2584,WeightedRevAge01)-SUMIF(ThresholdAge01,"&lt;"&amp;'19_Расчет_аналитики'!AA2584,WeightedMinAge01),MAX(CapacityAge01*'01_Вводные'!$B$218*'19_Расчет_аналитики'!AA2584,MeanMinAge01)))</f>
        <v/>
      </c>
      <c r="AB2516">
        <f>IF(OR(('19_Расчет_аналитики'!AB2432-'19_Расчет_аналитики'!AB2460)=0,1&lt;='01_Вводные'!$B$297),0,('19_Расчет_аналитики'!AB2432-'19_Расчет_аналитики'!AB2460)*IF('01_Вводные'!$B$239="Да",MeanMinAge01+'19_Расчет_аналитики'!AB2584*SUMIF(ThresholdAge01,"&lt;"&amp;'19_Расчет_аналитики'!AB2584,WeightedRevAge01)-SUMIF(ThresholdAge01,"&lt;"&amp;'19_Расчет_аналитики'!AB2584,WeightedMinAge01),MAX(CapacityAge01*'01_Вводные'!$B$218*'19_Расчет_аналитики'!AB2584,MeanMinAge01)))</f>
        <v/>
      </c>
      <c r="AC2516">
        <f>IF(OR(('19_Расчет_аналитики'!AC2432-'19_Расчет_аналитики'!AC2460)=0,1&lt;='01_Вводные'!$B$297),0,('19_Расчет_аналитики'!AC2432-'19_Расчет_аналитики'!AC2460)*IF('01_Вводные'!$B$239="Да",MeanMinAge01+'19_Расчет_аналитики'!AC2584*SUMIF(ThresholdAge01,"&lt;"&amp;'19_Расчет_аналитики'!AC2584,WeightedRevAge01)-SUMIF(ThresholdAge01,"&lt;"&amp;'19_Расчет_аналитики'!AC2584,WeightedMinAge01),MAX(CapacityAge01*'01_Вводные'!$B$218*'19_Расчет_аналитики'!AC2584,MeanMinAge01)))</f>
        <v/>
      </c>
      <c r="AD2516">
        <f>IF(OR(('19_Расчет_аналитики'!AD2432-'19_Расчет_аналитики'!AD2460)=0,1&lt;='01_Вводные'!$B$297),0,('19_Расчет_аналитики'!AD2432-'19_Расчет_аналитики'!AD2460)*IF('01_Вводные'!$B$239="Да",MeanMinAge01+'19_Расчет_аналитики'!AD2584*SUMIF(ThresholdAge01,"&lt;"&amp;'19_Расчет_аналитики'!AD2584,WeightedRevAge01)-SUMIF(ThresholdAge01,"&lt;"&amp;'19_Расчет_аналитики'!AD2584,WeightedMinAge01),MAX(CapacityAge01*'01_Вводные'!$B$218*'19_Расчет_аналитики'!AD2584,MeanMinAge01)))</f>
        <v/>
      </c>
      <c r="AE2516">
        <f>IF(OR(('19_Расчет_аналитики'!AE2432-'19_Расчет_аналитики'!AE2460)=0,1&lt;='01_Вводные'!$B$297),0,('19_Расчет_аналитики'!AE2432-'19_Расчет_аналитики'!AE2460)*IF('01_Вводные'!$B$239="Да",MeanMinAge01+'19_Расчет_аналитики'!AE2584*SUMIF(ThresholdAge01,"&lt;"&amp;'19_Расчет_аналитики'!AE2584,WeightedRevAge01)-SUMIF(ThresholdAge01,"&lt;"&amp;'19_Расчет_аналитики'!AE2584,WeightedMinAge01),MAX(CapacityAge01*'01_Вводные'!$B$218*'19_Расчет_аналитики'!AE2584,MeanMinAge01)))</f>
        <v/>
      </c>
      <c r="AF2516">
        <f>IF(OR(('19_Расчет_аналитики'!AF2432-'19_Расчет_аналитики'!AF2460)=0,1&lt;='01_Вводные'!$B$297),0,('19_Расчет_аналитики'!AF2432-'19_Расчет_аналитики'!AF2460)*IF('01_Вводные'!$B$239="Да",MeanMinAge01+'19_Расчет_аналитики'!AF2584*SUMIF(ThresholdAge01,"&lt;"&amp;'19_Расчет_аналитики'!AF2584,WeightedRevAge01)-SUMIF(ThresholdAge01,"&lt;"&amp;'19_Расчет_аналитики'!AF2584,WeightedMinAge01),MAX(CapacityAge01*'01_Вводные'!$B$218*'19_Расчет_аналитики'!AF2584,MeanMinAge01)))</f>
        <v/>
      </c>
      <c r="AG2516">
        <f>IF(OR(('19_Расчет_аналитики'!AG2432-'19_Расчет_аналитики'!AG2460)=0,1&lt;='01_Вводные'!$B$297),0,('19_Расчет_аналитики'!AG2432-'19_Расчет_аналитики'!AG2460)*IF('01_Вводные'!$B$239="Да",MeanMinAge01+'19_Расчет_аналитики'!AG2584*SUMIF(ThresholdAge01,"&lt;"&amp;'19_Расчет_аналитики'!AG2584,WeightedRevAge01)-SUMIF(ThresholdAge01,"&lt;"&amp;'19_Расчет_аналитики'!AG2584,WeightedMinAge01),MAX(CapacityAge01*'01_Вводные'!$B$218*'19_Расчет_аналитики'!AG2584,MeanMinAge01)))</f>
        <v/>
      </c>
      <c r="AH2516">
        <f>IF(OR(('19_Расчет_аналитики'!AH2432-'19_Расчет_аналитики'!AH2460)=0,1&lt;='01_Вводные'!$B$297),0,('19_Расчет_аналитики'!AH2432-'19_Расчет_аналитики'!AH2460)*IF('01_Вводные'!$B$239="Да",MeanMinAge01+'19_Расчет_аналитики'!AH2584*SUMIF(ThresholdAge01,"&lt;"&amp;'19_Расчет_аналитики'!AH2584,WeightedRevAge01)-SUMIF(ThresholdAge01,"&lt;"&amp;'19_Расчет_аналитики'!AH2584,WeightedMinAge01),MAX(CapacityAge01*'01_Вводные'!$B$218*'19_Расчет_аналитики'!AH2584,MeanMinAge01)))</f>
        <v/>
      </c>
      <c r="AI2516">
        <f>IF(OR(('19_Расчет_аналитики'!AI2432-'19_Расчет_аналитики'!AI2460)=0,1&lt;='01_Вводные'!$B$297),0,('19_Расчет_аналитики'!AI2432-'19_Расчет_аналитики'!AI2460)*IF('01_Вводные'!$B$239="Да",MeanMinAge01+'19_Расчет_аналитики'!AI2584*SUMIF(ThresholdAge01,"&lt;"&amp;'19_Расчет_аналитики'!AI2584,WeightedRevAge01)-SUMIF(ThresholdAge01,"&lt;"&amp;'19_Расчет_аналитики'!AI2584,WeightedMinAge01),MAX(CapacityAge01*'01_Вводные'!$B$218*'19_Расчет_аналитики'!AI2584,MeanMinAge01)))</f>
        <v/>
      </c>
      <c r="AJ2516">
        <f>IF(OR(('19_Расчет_аналитики'!AJ2432-'19_Расчет_аналитики'!AJ2460)=0,1&lt;='01_Вводные'!$B$297),0,('19_Расчет_аналитики'!AJ2432-'19_Расчет_аналитики'!AJ2460)*IF('01_Вводные'!$B$239="Да",MeanMinAge01+'19_Расчет_аналитики'!AJ2584*SUMIF(ThresholdAge01,"&lt;"&amp;'19_Расчет_аналитики'!AJ2584,WeightedRevAge01)-SUMIF(ThresholdAge01,"&lt;"&amp;'19_Расчет_аналитики'!AJ2584,WeightedMinAge01),MAX(CapacityAge01*'01_Вводные'!$B$218*'19_Расчет_аналитики'!AJ2584,MeanMinAge01)))</f>
        <v/>
      </c>
      <c r="AK2516">
        <f>IF(OR(('19_Расчет_аналитики'!AK2432-'19_Расчет_аналитики'!AK2460)=0,1&lt;='01_Вводные'!$B$297),0,('19_Расчет_аналитики'!AK2432-'19_Расчет_аналитики'!AK2460)*IF('01_Вводные'!$B$239="Да",MeanMinAge01+'19_Расчет_аналитики'!AK2584*SUMIF(ThresholdAge01,"&lt;"&amp;'19_Расчет_аналитики'!AK2584,WeightedRevAge01)-SUMIF(ThresholdAge01,"&lt;"&amp;'19_Расчет_аналитики'!AK2584,WeightedMinAge01),MAX(CapacityAge01*'01_Вводные'!$B$218*'19_Расчет_аналитики'!AK2584,MeanMinAge01)))</f>
        <v/>
      </c>
      <c r="AL2516">
        <f>IF(OR(('19_Расчет_аналитики'!AL2432-'19_Расчет_аналитики'!AL2460)=0,1&lt;='01_Вводные'!$B$297),0,('19_Расчет_аналитики'!AL2432-'19_Расчет_аналитики'!AL2460)*IF('01_Вводные'!$B$239="Да",MeanMinAge01+'19_Расчет_аналитики'!AL2584*SUMIF(ThresholdAge01,"&lt;"&amp;'19_Расчет_аналитики'!AL2584,WeightedRevAge01)-SUMIF(ThresholdAge01,"&lt;"&amp;'19_Расчет_аналитики'!AL2584,WeightedMinAge01),MAX(CapacityAge01*'01_Вводные'!$B$218*'19_Расчет_аналитики'!AL2584,MeanMinAge01)))</f>
        <v/>
      </c>
      <c r="AM2516">
        <f>IF(OR(('19_Расчет_аналитики'!AM2432-'19_Расчет_аналитики'!AM2460)=0,1&lt;='01_Вводные'!$B$297),0,('19_Расчет_аналитики'!AM2432-'19_Расчет_аналитики'!AM2460)*IF('01_Вводные'!$B$239="Да",MeanMinAge01+'19_Расчет_аналитики'!AM2584*SUMIF(ThresholdAge01,"&lt;"&amp;'19_Расчет_аналитики'!AM2584,WeightedRevAge01)-SUMIF(ThresholdAge01,"&lt;"&amp;'19_Расчет_аналитики'!AM2584,WeightedMinAge01),MAX(CapacityAge01*'01_Вводные'!$B$218*'19_Расчет_аналитики'!AM2584,MeanMinAge01)))</f>
        <v/>
      </c>
      <c r="AN2516">
        <f>IF(OR(('19_Расчет_аналитики'!AN2432-'19_Расчет_аналитики'!AN2460)=0,1&lt;='01_Вводные'!$B$297),0,('19_Расчет_аналитики'!AN2432-'19_Расчет_аналитики'!AN2460)*IF('01_Вводные'!$B$239="Да",MeanMinAge01+'19_Расчет_аналитики'!AN2584*SUMIF(ThresholdAge01,"&lt;"&amp;'19_Расчет_аналитики'!AN2584,WeightedRevAge01)-SUMIF(ThresholdAge01,"&lt;"&amp;'19_Расчет_аналитики'!AN2584,WeightedMinAge01),MAX(CapacityAge01*'01_Вводные'!$B$218*'19_Расчет_аналитики'!AN2584,MeanMinAge01)))</f>
        <v/>
      </c>
      <c r="AO2516">
        <f>IF(OR(('19_Расчет_аналитики'!AO2432-'19_Расчет_аналитики'!AO2460)=0,1&lt;='01_Вводные'!$B$297),0,('19_Расчет_аналитики'!AO2432-'19_Расчет_аналитики'!AO2460)*IF('01_Вводные'!$B$239="Да",MeanMinAge01+'19_Расчет_аналитики'!AO2584*SUMIF(ThresholdAge01,"&lt;"&amp;'19_Расчет_аналитики'!AO2584,WeightedRevAge01)-SUMIF(ThresholdAge01,"&lt;"&amp;'19_Расчет_аналитики'!AO2584,WeightedMinAge01),MAX(CapacityAge01*'01_Вводные'!$B$218*'19_Расчет_аналитики'!AO2584,MeanMinAge01)))</f>
        <v/>
      </c>
      <c r="AP2516">
        <f>IF(OR(('19_Расчет_аналитики'!AP2432-'19_Расчет_аналитики'!AP2460)=0,1&lt;='01_Вводные'!$B$297),0,('19_Расчет_аналитики'!AP2432-'19_Расчет_аналитики'!AP2460)*IF('01_Вводные'!$B$239="Да",MeanMinAge01+'19_Расчет_аналитики'!AP2584*SUMIF(ThresholdAge01,"&lt;"&amp;'19_Расчет_аналитики'!AP2584,WeightedRevAge01)-SUMIF(ThresholdAge01,"&lt;"&amp;'19_Расчет_аналитики'!AP2584,WeightedMinAge01),MAX(CapacityAge01*'01_Вводные'!$B$218*'19_Расчет_аналитики'!AP2584,MeanMinAge01)))</f>
        <v/>
      </c>
      <c r="AQ2516">
        <f>IF(OR(('19_Расчет_аналитики'!AQ2432-'19_Расчет_аналитики'!AQ2460)=0,1&lt;='01_Вводные'!$B$297),0,('19_Расчет_аналитики'!AQ2432-'19_Расчет_аналитики'!AQ2460)*IF('01_Вводные'!$B$239="Да",MeanMinAge01+'19_Расчет_аналитики'!AQ2584*SUMIF(ThresholdAge01,"&lt;"&amp;'19_Расчет_аналитики'!AQ2584,WeightedRevAge01)-SUMIF(ThresholdAge01,"&lt;"&amp;'19_Расчет_аналитики'!AQ2584,WeightedMinAge01),MAX(CapacityAge01*'01_Вводные'!$B$218*'19_Расчет_аналитики'!AQ2584,MeanMinAge01)))</f>
        <v/>
      </c>
      <c r="AR2516">
        <f>IF(OR(('19_Расчет_аналитики'!AR2432-'19_Расчет_аналитики'!AR2460)=0,1&lt;='01_Вводные'!$B$297),0,('19_Расчет_аналитики'!AR2432-'19_Расчет_аналитики'!AR2460)*IF('01_Вводные'!$B$239="Да",MeanMinAge01+'19_Расчет_аналитики'!AR2584*SUMIF(ThresholdAge01,"&lt;"&amp;'19_Расчет_аналитики'!AR2584,WeightedRevAge01)-SUMIF(ThresholdAge01,"&lt;"&amp;'19_Расчет_аналитики'!AR2584,WeightedMinAge01),MAX(CapacityAge01*'01_Вводные'!$B$218*'19_Расчет_аналитики'!AR2584,MeanMinAge01)))</f>
        <v/>
      </c>
      <c r="AS2516">
        <f>IF(OR(('19_Расчет_аналитики'!AS2432-'19_Расчет_аналитики'!AS2460)=0,1&lt;='01_Вводные'!$B$297),0,('19_Расчет_аналитики'!AS2432-'19_Расчет_аналитики'!AS2460)*IF('01_Вводные'!$B$239="Да",MeanMinAge01+'19_Расчет_аналитики'!AS2584*SUMIF(ThresholdAge01,"&lt;"&amp;'19_Расчет_аналитики'!AS2584,WeightedRevAge01)-SUMIF(ThresholdAge01,"&lt;"&amp;'19_Расчет_аналитики'!AS2584,WeightedMinAge01),MAX(CapacityAge01*'01_Вводные'!$B$218*'19_Расчет_аналитики'!AS2584,MeanMinAge01)))</f>
        <v/>
      </c>
      <c r="AT2516">
        <f>IF(OR(('19_Расчет_аналитики'!AT2432-'19_Расчет_аналитики'!AT2460)=0,1&lt;='01_Вводные'!$B$297),0,('19_Расчет_аналитики'!AT2432-'19_Расчет_аналитики'!AT2460)*IF('01_Вводные'!$B$239="Да",MeanMinAge01+'19_Расчет_аналитики'!AT2584*SUMIF(ThresholdAge01,"&lt;"&amp;'19_Расчет_аналитики'!AT2584,WeightedRevAge01)-SUMIF(ThresholdAge01,"&lt;"&amp;'19_Расчет_аналитики'!AT2584,WeightedMinAge01),MAX(CapacityAge01*'01_Вводные'!$B$218*'19_Расчет_аналитики'!AT2584,MeanMinAge01)))</f>
        <v/>
      </c>
      <c r="AU2516">
        <f>IF(OR(('19_Расчет_аналитики'!AU2432-'19_Расчет_аналитики'!AU2460)=0,1&lt;='01_Вводные'!$B$297),0,('19_Расчет_аналитики'!AU2432-'19_Расчет_аналитики'!AU2460)*IF('01_Вводные'!$B$239="Да",MeanMinAge01+'19_Расчет_аналитики'!AU2584*SUMIF(ThresholdAge01,"&lt;"&amp;'19_Расчет_аналитики'!AU2584,WeightedRevAge01)-SUMIF(ThresholdAge01,"&lt;"&amp;'19_Расчет_аналитики'!AU2584,WeightedMinAge01),MAX(CapacityAge01*'01_Вводные'!$B$218*'19_Расчет_аналитики'!AU2584,MeanMinAge01)))</f>
        <v/>
      </c>
      <c r="AV2516">
        <f>IF(OR(('19_Расчет_аналитики'!AV2432-'19_Расчет_аналитики'!AV2460)=0,1&lt;='01_Вводные'!$B$297),0,('19_Расчет_аналитики'!AV2432-'19_Расчет_аналитики'!AV2460)*IF('01_Вводные'!$B$239="Да",MeanMinAge01+'19_Расчет_аналитики'!AV2584*SUMIF(ThresholdAge01,"&lt;"&amp;'19_Расчет_аналитики'!AV2584,WeightedRevAge01)-SUMIF(ThresholdAge01,"&lt;"&amp;'19_Расчет_аналитики'!AV2584,WeightedMinAge01),MAX(CapacityAge01*'01_Вводные'!$B$218*'19_Расчет_аналитики'!AV2584,MeanMinAge01)))</f>
        <v/>
      </c>
      <c r="AW2516">
        <f>IF(OR(('19_Расчет_аналитики'!AW2432-'19_Расчет_аналитики'!AW2460)=0,1&lt;='01_Вводные'!$B$297),0,('19_Расчет_аналитики'!AW2432-'19_Расчет_аналитики'!AW2460)*IF('01_Вводные'!$B$239="Да",MeanMinAge01+'19_Расчет_аналитики'!AW2584*SUMIF(ThresholdAge01,"&lt;"&amp;'19_Расчет_аналитики'!AW2584,WeightedRevAge01)-SUMIF(ThresholdAge01,"&lt;"&amp;'19_Расчет_аналитики'!AW2584,WeightedMinAge01),MAX(CapacityAge01*'01_Вводные'!$B$218*'19_Расчет_аналитики'!AW2584,MeanMinAge01)))</f>
        <v/>
      </c>
      <c r="AX2516">
        <f>IF(OR(('19_Расчет_аналитики'!AX2432-'19_Расчет_аналитики'!AX2460)=0,1&lt;='01_Вводные'!$B$297),0,('19_Расчет_аналитики'!AX2432-'19_Расчет_аналитики'!AX2460)*IF('01_Вводные'!$B$239="Да",MeanMinAge01+'19_Расчет_аналитики'!AX2584*SUMIF(ThresholdAge01,"&lt;"&amp;'19_Расчет_аналитики'!AX2584,WeightedRevAge01)-SUMIF(ThresholdAge01,"&lt;"&amp;'19_Расчет_аналитики'!AX2584,WeightedMinAge01),MAX(CapacityAge01*'01_Вводные'!$B$218*'19_Расчет_аналитики'!AX2584,MeanMinAge01)))</f>
        <v/>
      </c>
      <c r="AY2516">
        <f>IF(OR(('19_Расчет_аналитики'!AY2432-'19_Расчет_аналитики'!AY2460)=0,1&lt;='01_Вводные'!$B$297),0,('19_Расчет_аналитики'!AY2432-'19_Расчет_аналитики'!AY2460)*IF('01_Вводные'!$B$239="Да",MeanMinAge01+'19_Расчет_аналитики'!AY2584*SUMIF(ThresholdAge01,"&lt;"&amp;'19_Расчет_аналитики'!AY2584,WeightedRevAge01)-SUMIF(ThresholdAge01,"&lt;"&amp;'19_Расчет_аналитики'!AY2584,WeightedMinAge01),MAX(CapacityAge01*'01_Вводные'!$B$218*'19_Расчет_аналитики'!AY2584,MeanMinAge01)))</f>
        <v/>
      </c>
      <c r="AZ2516">
        <f>IF(OR(('19_Расчет_аналитики'!AZ2432-'19_Расчет_аналитики'!AZ2460)=0,1&lt;='01_Вводные'!$B$297),0,('19_Расчет_аналитики'!AZ2432-'19_Расчет_аналитики'!AZ2460)*IF('01_Вводные'!$B$239="Да",MeanMinAge01+'19_Расчет_аналитики'!AZ2584*SUMIF(ThresholdAge01,"&lt;"&amp;'19_Расчет_аналитики'!AZ2584,WeightedRevAge01)-SUMIF(ThresholdAge01,"&lt;"&amp;'19_Расчет_аналитики'!AZ2584,WeightedMinAge01),MAX(CapacityAge01*'01_Вводные'!$B$218*'19_Расчет_аналитики'!AZ2584,MeanMinAge01)))</f>
        <v/>
      </c>
      <c r="BA2516">
        <f>IF(OR(('19_Расчет_аналитики'!BA2432-'19_Расчет_аналитики'!BA2460)=0,1&lt;='01_Вводные'!$B$297),0,('19_Расчет_аналитики'!BA2432-'19_Расчет_аналитики'!BA2460)*IF('01_Вводные'!$B$239="Да",MeanMinAge01+'19_Расчет_аналитики'!BA2584*SUMIF(ThresholdAge01,"&lt;"&amp;'19_Расчет_аналитики'!BA2584,WeightedRevAge01)-SUMIF(ThresholdAge01,"&lt;"&amp;'19_Расчет_аналитики'!BA2584,WeightedMinAge01),MAX(CapacityAge01*'01_Вводные'!$B$218*'19_Расчет_аналитики'!BA2584,MeanMinAge01)))</f>
        <v/>
      </c>
      <c r="BB2516">
        <f>IF(OR(('19_Расчет_аналитики'!BB2432-'19_Расчет_аналитики'!BB2460)=0,1&lt;='01_Вводные'!$B$297),0,('19_Расчет_аналитики'!BB2432-'19_Расчет_аналитики'!BB2460)*IF('01_Вводные'!$B$239="Да",MeanMinAge01+'19_Расчет_аналитики'!BB2584*SUMIF(ThresholdAge01,"&lt;"&amp;'19_Расчет_аналитики'!BB2584,WeightedRevAge01)-SUMIF(ThresholdAge01,"&lt;"&amp;'19_Расчет_аналитики'!BB2584,WeightedMinAge01),MAX(CapacityAge01*'01_Вводные'!$B$218*'19_Расчет_аналитики'!BB2584,MeanMinAge01)))</f>
        <v/>
      </c>
      <c r="BC2516">
        <f>IF(OR(('19_Расчет_аналитики'!BC2432-'19_Расчет_аналитики'!BC2460)=0,1&lt;='01_Вводные'!$B$297),0,('19_Расчет_аналитики'!BC2432-'19_Расчет_аналитики'!BC2460)*IF('01_Вводные'!$B$239="Да",MeanMinAge01+'19_Расчет_аналитики'!BC2584*SUMIF(ThresholdAge01,"&lt;"&amp;'19_Расчет_аналитики'!BC2584,WeightedRevAge01)-SUMIF(ThresholdAge01,"&lt;"&amp;'19_Расчет_аналитики'!BC2584,WeightedMinAge01),MAX(CapacityAge01*'01_Вводные'!$B$218*'19_Расчет_аналитики'!BC2584,MeanMinAge01)))</f>
        <v/>
      </c>
      <c r="BD2516">
        <f>IF(OR(('19_Расчет_аналитики'!BD2432-'19_Расчет_аналитики'!BD2460)=0,1&lt;='01_Вводные'!$B$297),0,('19_Расчет_аналитики'!BD2432-'19_Расчет_аналитики'!BD2460)*IF('01_Вводные'!$B$239="Да",MeanMinAge01+'19_Расчет_аналитики'!BD2584*SUMIF(ThresholdAge01,"&lt;"&amp;'19_Расчет_аналитики'!BD2584,WeightedRevAge01)-SUMIF(ThresholdAge01,"&lt;"&amp;'19_Расчет_аналитики'!BD2584,WeightedMinAge01),MAX(CapacityAge01*'01_Вводные'!$B$218*'19_Расчет_аналитики'!BD2584,MeanMinAge01)))</f>
        <v/>
      </c>
      <c r="BE2516">
        <f>IF(OR(('19_Расчет_аналитики'!BE2432-'19_Расчет_аналитики'!BE2460)=0,1&lt;='01_Вводные'!$B$297),0,('19_Расчет_аналитики'!BE2432-'19_Расчет_аналитики'!BE2460)*IF('01_Вводные'!$B$239="Да",MeanMinAge01+'19_Расчет_аналитики'!BE2584*SUMIF(ThresholdAge01,"&lt;"&amp;'19_Расчет_аналитики'!BE2584,WeightedRevAge01)-SUMIF(ThresholdAge01,"&lt;"&amp;'19_Расчет_аналитики'!BE2584,WeightedMinAge01),MAX(CapacityAge01*'01_Вводные'!$B$218*'19_Расчет_аналитики'!BE2584,MeanMinAge01)))</f>
        <v/>
      </c>
      <c r="BF2516">
        <f>IF(OR(('19_Расчет_аналитики'!BF2432-'19_Расчет_аналитики'!BF2460)=0,1&lt;='01_Вводные'!$B$297),0,('19_Расчет_аналитики'!BF2432-'19_Расчет_аналитики'!BF2460)*IF('01_Вводные'!$B$239="Да",MeanMinAge01+'19_Расчет_аналитики'!BF2584*SUMIF(ThresholdAge01,"&lt;"&amp;'19_Расчет_аналитики'!BF2584,WeightedRevAge01)-SUMIF(ThresholdAge01,"&lt;"&amp;'19_Расчет_аналитики'!BF2584,WeightedMinAge01),MAX(CapacityAge01*'01_Вводные'!$B$218*'19_Расчет_аналитики'!BF2584,MeanMinAge01)))</f>
        <v/>
      </c>
      <c r="BG2516">
        <f>IF(OR(('19_Расчет_аналитики'!BG2432-'19_Расчет_аналитики'!BG2460)=0,1&lt;='01_Вводные'!$B$297),0,('19_Расчет_аналитики'!BG2432-'19_Расчет_аналитики'!BG2460)*IF('01_Вводные'!$B$239="Да",MeanMinAge01+'19_Расчет_аналитики'!BG2584*SUMIF(ThresholdAge01,"&lt;"&amp;'19_Расчет_аналитики'!BG2584,WeightedRevAge01)-SUMIF(ThresholdAge01,"&lt;"&amp;'19_Расчет_аналитики'!BG2584,WeightedMinAge01),MAX(CapacityAge01*'01_Вводные'!$B$218*'19_Расчет_аналитики'!BG2584,MeanMinAge01)))</f>
        <v/>
      </c>
      <c r="BH2516">
        <f>IF(OR(('19_Расчет_аналитики'!BH2432-'19_Расчет_аналитики'!BH2460)=0,1&lt;='01_Вводные'!$B$297),0,('19_Расчет_аналитики'!BH2432-'19_Расчет_аналитики'!BH2460)*IF('01_Вводные'!$B$239="Да",MeanMinAge01+'19_Расчет_аналитики'!BH2584*SUMIF(ThresholdAge01,"&lt;"&amp;'19_Расчет_аналитики'!BH2584,WeightedRevAge01)-SUMIF(ThresholdAge01,"&lt;"&amp;'19_Расчет_аналитики'!BH2584,WeightedMinAge01),MAX(CapacityAge01*'01_Вводные'!$B$218*'19_Расчет_аналитики'!BH2584,MeanMinAge01)))</f>
        <v/>
      </c>
      <c r="BI2516">
        <f>IF(OR(('19_Расчет_аналитики'!BI2432-'19_Расчет_аналитики'!BI2460)=0,1&lt;='01_Вводные'!$B$297),0,('19_Расчет_аналитики'!BI2432-'19_Расчет_аналитики'!BI2460)*IF('01_Вводные'!$B$239="Да",MeanMinAge01+'19_Расчет_аналитики'!BI2584*SUMIF(ThresholdAge01,"&lt;"&amp;'19_Расчет_аналитики'!BI2584,WeightedRevAge01)-SUMIF(ThresholdAge01,"&lt;"&amp;'19_Расчет_аналитики'!BI2584,WeightedMinAge01),MAX(CapacityAge01*'01_Вводные'!$B$218*'19_Расчет_аналитики'!BI2584,MeanMinAge01)))</f>
        <v/>
      </c>
      <c r="BJ2516">
        <f>IF(OR(('19_Расчет_аналитики'!BJ2432-'19_Расчет_аналитики'!BJ2460)=0,1&lt;='01_Вводные'!$B$297),0,('19_Расчет_аналитики'!BJ2432-'19_Расчет_аналитики'!BJ2460)*IF('01_Вводные'!$B$239="Да",MeanMinAge01+'19_Расчет_аналитики'!BJ2584*SUMIF(ThresholdAge01,"&lt;"&amp;'19_Расчет_аналитики'!BJ2584,WeightedRevAge01)-SUMIF(ThresholdAge01,"&lt;"&amp;'19_Расчет_аналитики'!BJ2584,WeightedMinAge01),MAX(CapacityAge01*'01_Вводные'!$B$218*'19_Расчет_аналитики'!BJ2584,MeanMinAge01)))</f>
        <v/>
      </c>
      <c r="BK2516">
        <f>IF(OR(('19_Расчет_аналитики'!BK2432-'19_Расчет_аналитики'!BK2460)=0,1&lt;='01_Вводные'!$B$297),0,('19_Расчет_аналитики'!BK2432-'19_Расчет_аналитики'!BK2460)*IF('01_Вводные'!$B$239="Да",MeanMinAge01+'19_Расчет_аналитики'!BK2584*SUMIF(ThresholdAge01,"&lt;"&amp;'19_Расчет_аналитики'!BK2584,WeightedRevAge01)-SUMIF(ThresholdAge01,"&lt;"&amp;'19_Расчет_аналитики'!BK2584,WeightedMinAge01),MAX(CapacityAge01*'01_Вводные'!$B$218*'19_Расчет_аналитики'!BK2584,MeanMinAge01)))</f>
        <v/>
      </c>
      <c r="BL2516">
        <f>IF(OR(('19_Расчет_аналитики'!BL2432-'19_Расчет_аналитики'!BL2460)=0,1&lt;='01_Вводные'!$B$297),0,('19_Расчет_аналитики'!BL2432-'19_Расчет_аналитики'!BL2460)*IF('01_Вводные'!$B$239="Да",MeanMinAge01+'19_Расчет_аналитики'!BL2584*SUMIF(ThresholdAge01,"&lt;"&amp;'19_Расчет_аналитики'!BL2584,WeightedRevAge01)-SUMIF(ThresholdAge01,"&lt;"&amp;'19_Расчет_аналитики'!BL2584,WeightedMinAge01),MAX(CapacityAge01*'01_Вводные'!$B$218*'19_Расчет_аналитики'!BL2584,MeanMinAge01)))</f>
        <v/>
      </c>
      <c r="BM2516">
        <f>IF(OR(('19_Расчет_аналитики'!BM2432-'19_Расчет_аналитики'!BM2460)=0,1&lt;='01_Вводные'!$B$297),0,('19_Расчет_аналитики'!BM2432-'19_Расчет_аналитики'!BM2460)*IF('01_Вводные'!$B$239="Да",MeanMinAge01+'19_Расчет_аналитики'!BM2584*SUMIF(ThresholdAge01,"&lt;"&amp;'19_Расчет_аналитики'!BM2584,WeightedRevAge01)-SUMIF(ThresholdAge01,"&lt;"&amp;'19_Расчет_аналитики'!BM2584,WeightedMinAge01),MAX(CapacityAge01*'01_Вводные'!$B$218*'19_Расчет_аналитики'!BM2584,MeanMinAge01)))</f>
        <v/>
      </c>
      <c r="BN2516">
        <f>IF(OR(('19_Расчет_аналитики'!BN2432-'19_Расчет_аналитики'!BN2460)=0,1&lt;='01_Вводные'!$B$297),0,('19_Расчет_аналитики'!BN2432-'19_Расчет_аналитики'!BN2460)*IF('01_Вводные'!$B$239="Да",MeanMinAge01+'19_Расчет_аналитики'!BN2584*SUMIF(ThresholdAge01,"&lt;"&amp;'19_Расчет_аналитики'!BN2584,WeightedRevAge01)-SUMIF(ThresholdAge01,"&lt;"&amp;'19_Расчет_аналитики'!BN2584,WeightedMinAge01),MAX(CapacityAge01*'01_Вводные'!$B$218*'19_Расчет_аналитики'!BN2584,MeanMinAge01)))</f>
        <v/>
      </c>
      <c r="BO2516">
        <f>IF(OR(('19_Расчет_аналитики'!BO2432-'19_Расчет_аналитики'!BO2460)=0,1&lt;='01_Вводные'!$B$297),0,('19_Расчет_аналитики'!BO2432-'19_Расчет_аналитики'!BO2460)*IF('01_Вводные'!$B$239="Да",MeanMinAge01+'19_Расчет_аналитики'!BO2584*SUMIF(ThresholdAge01,"&lt;"&amp;'19_Расчет_аналитики'!BO2584,WeightedRevAge01)-SUMIF(ThresholdAge01,"&lt;"&amp;'19_Расчет_аналитики'!BO2584,WeightedMinAge01),MAX(CapacityAge01*'01_Вводные'!$B$218*'19_Расчет_аналитики'!BO2584,MeanMinAge01)))</f>
        <v/>
      </c>
    </row>
    <row r="2517">
      <c r="B2517">
        <f>IF(OR(('06_Сеть_и_дети'!B54-'06_Сеть_и_дети'!B82)=0,2&lt;='01_Вводные'!$B$297),0,('06_Сеть_и_дети'!B54-'06_Сеть_и_дети'!B82)*IF('01_Вводные'!$B$239="Да",MeanMinAge02+'19_Расчет_аналитики'!B2584*SUMIF(ThresholdAge02,"&lt;"&amp;'19_Расчет_аналитики'!B2584,WeightedRevAge02)-SUMIF(ThresholdAge02,"&lt;"&amp;'19_Расчет_аналитики'!B2584,WeightedMinAge02),MAX(CapacityAge02*'01_Вводные'!$B$218*'19_Расчет_аналитики'!B2584,MeanMinAge02)))</f>
        <v/>
      </c>
      <c r="C2517">
        <f>IF(OR(('19_Расчет_аналитики'!C2433-'19_Расчет_аналитики'!C2461)=0,2&lt;='01_Вводные'!$B$297),0,('19_Расчет_аналитики'!C2433-'19_Расчет_аналитики'!C2461)*IF('01_Вводные'!$B$239="Да",MeanMinAge02+'19_Расчет_аналитики'!C2584*SUMIF(ThresholdAge02,"&lt;"&amp;'19_Расчет_аналитики'!C2584,WeightedRevAge02)-SUMIF(ThresholdAge02,"&lt;"&amp;'19_Расчет_аналитики'!C2584,WeightedMinAge02),MAX(CapacityAge02*'01_Вводные'!$B$218*'19_Расчет_аналитики'!C2584,MeanMinAge02)))</f>
        <v/>
      </c>
      <c r="D2517">
        <f>IF(OR(('19_Расчет_аналитики'!D2433-'19_Расчет_аналитики'!D2461)=0,2&lt;='01_Вводные'!$B$297),0,('19_Расчет_аналитики'!D2433-'19_Расчет_аналитики'!D2461)*IF('01_Вводные'!$B$239="Да",MeanMinAge02+'19_Расчет_аналитики'!D2584*SUMIF(ThresholdAge02,"&lt;"&amp;'19_Расчет_аналитики'!D2584,WeightedRevAge02)-SUMIF(ThresholdAge02,"&lt;"&amp;'19_Расчет_аналитики'!D2584,WeightedMinAge02),MAX(CapacityAge02*'01_Вводные'!$B$218*'19_Расчет_аналитики'!D2584,MeanMinAge02)))</f>
        <v/>
      </c>
      <c r="E2517">
        <f>IF(OR(('19_Расчет_аналитики'!E2433-'19_Расчет_аналитики'!E2461)=0,2&lt;='01_Вводные'!$B$297),0,('19_Расчет_аналитики'!E2433-'19_Расчет_аналитики'!E2461)*IF('01_Вводные'!$B$239="Да",MeanMinAge02+'19_Расчет_аналитики'!E2584*SUMIF(ThresholdAge02,"&lt;"&amp;'19_Расчет_аналитики'!E2584,WeightedRevAge02)-SUMIF(ThresholdAge02,"&lt;"&amp;'19_Расчет_аналитики'!E2584,WeightedMinAge02),MAX(CapacityAge02*'01_Вводные'!$B$218*'19_Расчет_аналитики'!E2584,MeanMinAge02)))</f>
        <v/>
      </c>
      <c r="F2517">
        <f>IF(OR(('19_Расчет_аналитики'!F2433-'19_Расчет_аналитики'!F2461)=0,2&lt;='01_Вводные'!$B$297),0,('19_Расчет_аналитики'!F2433-'19_Расчет_аналитики'!F2461)*IF('01_Вводные'!$B$239="Да",MeanMinAge02+'19_Расчет_аналитики'!F2584*SUMIF(ThresholdAge02,"&lt;"&amp;'19_Расчет_аналитики'!F2584,WeightedRevAge02)-SUMIF(ThresholdAge02,"&lt;"&amp;'19_Расчет_аналитики'!F2584,WeightedMinAge02),MAX(CapacityAge02*'01_Вводные'!$B$218*'19_Расчет_аналитики'!F2584,MeanMinAge02)))</f>
        <v/>
      </c>
      <c r="G2517">
        <f>IF(OR(('19_Расчет_аналитики'!G2433-'19_Расчет_аналитики'!G2461)=0,2&lt;='01_Вводные'!$B$297),0,('19_Расчет_аналитики'!G2433-'19_Расчет_аналитики'!G2461)*IF('01_Вводные'!$B$239="Да",MeanMinAge02+'19_Расчет_аналитики'!G2584*SUMIF(ThresholdAge02,"&lt;"&amp;'19_Расчет_аналитики'!G2584,WeightedRevAge02)-SUMIF(ThresholdAge02,"&lt;"&amp;'19_Расчет_аналитики'!G2584,WeightedMinAge02),MAX(CapacityAge02*'01_Вводные'!$B$218*'19_Расчет_аналитики'!G2584,MeanMinAge02)))</f>
        <v/>
      </c>
      <c r="H2517">
        <f>IF(OR(('19_Расчет_аналитики'!H2433-'19_Расчет_аналитики'!H2461)=0,2&lt;='01_Вводные'!$B$297),0,('19_Расчет_аналитики'!H2433-'19_Расчет_аналитики'!H2461)*IF('01_Вводные'!$B$239="Да",MeanMinAge02+'19_Расчет_аналитики'!H2584*SUMIF(ThresholdAge02,"&lt;"&amp;'19_Расчет_аналитики'!H2584,WeightedRevAge02)-SUMIF(ThresholdAge02,"&lt;"&amp;'19_Расчет_аналитики'!H2584,WeightedMinAge02),MAX(CapacityAge02*'01_Вводные'!$B$218*'19_Расчет_аналитики'!H2584,MeanMinAge02)))</f>
        <v/>
      </c>
      <c r="I2517">
        <f>IF(OR(('19_Расчет_аналитики'!I2433-'19_Расчет_аналитики'!I2461)=0,2&lt;='01_Вводные'!$B$297),0,('19_Расчет_аналитики'!I2433-'19_Расчет_аналитики'!I2461)*IF('01_Вводные'!$B$239="Да",MeanMinAge02+'19_Расчет_аналитики'!I2584*SUMIF(ThresholdAge02,"&lt;"&amp;'19_Расчет_аналитики'!I2584,WeightedRevAge02)-SUMIF(ThresholdAge02,"&lt;"&amp;'19_Расчет_аналитики'!I2584,WeightedMinAge02),MAX(CapacityAge02*'01_Вводные'!$B$218*'19_Расчет_аналитики'!I2584,MeanMinAge02)))</f>
        <v/>
      </c>
      <c r="J2517">
        <f>IF(OR(('19_Расчет_аналитики'!J2433-'19_Расчет_аналитики'!J2461)=0,2&lt;='01_Вводные'!$B$297),0,('19_Расчет_аналитики'!J2433-'19_Расчет_аналитики'!J2461)*IF('01_Вводные'!$B$239="Да",MeanMinAge02+'19_Расчет_аналитики'!J2584*SUMIF(ThresholdAge02,"&lt;"&amp;'19_Расчет_аналитики'!J2584,WeightedRevAge02)-SUMIF(ThresholdAge02,"&lt;"&amp;'19_Расчет_аналитики'!J2584,WeightedMinAge02),MAX(CapacityAge02*'01_Вводные'!$B$218*'19_Расчет_аналитики'!J2584,MeanMinAge02)))</f>
        <v/>
      </c>
      <c r="K2517">
        <f>IF(OR(('19_Расчет_аналитики'!K2433-'19_Расчет_аналитики'!K2461)=0,2&lt;='01_Вводные'!$B$297),0,('19_Расчет_аналитики'!K2433-'19_Расчет_аналитики'!K2461)*IF('01_Вводные'!$B$239="Да",MeanMinAge02+'19_Расчет_аналитики'!K2584*SUMIF(ThresholdAge02,"&lt;"&amp;'19_Расчет_аналитики'!K2584,WeightedRevAge02)-SUMIF(ThresholdAge02,"&lt;"&amp;'19_Расчет_аналитики'!K2584,WeightedMinAge02),MAX(CapacityAge02*'01_Вводные'!$B$218*'19_Расчет_аналитики'!K2584,MeanMinAge02)))</f>
        <v/>
      </c>
      <c r="L2517">
        <f>IF(OR(('19_Расчет_аналитики'!L2433-'19_Расчет_аналитики'!L2461)=0,2&lt;='01_Вводные'!$B$297),0,('19_Расчет_аналитики'!L2433-'19_Расчет_аналитики'!L2461)*IF('01_Вводные'!$B$239="Да",MeanMinAge02+'19_Расчет_аналитики'!L2584*SUMIF(ThresholdAge02,"&lt;"&amp;'19_Расчет_аналитики'!L2584,WeightedRevAge02)-SUMIF(ThresholdAge02,"&lt;"&amp;'19_Расчет_аналитики'!L2584,WeightedMinAge02),MAX(CapacityAge02*'01_Вводные'!$B$218*'19_Расчет_аналитики'!L2584,MeanMinAge02)))</f>
        <v/>
      </c>
      <c r="M2517">
        <f>IF(OR(('19_Расчет_аналитики'!M2433-'19_Расчет_аналитики'!M2461)=0,2&lt;='01_Вводные'!$B$297),0,('19_Расчет_аналитики'!M2433-'19_Расчет_аналитики'!M2461)*IF('01_Вводные'!$B$239="Да",MeanMinAge02+'19_Расчет_аналитики'!M2584*SUMIF(ThresholdAge02,"&lt;"&amp;'19_Расчет_аналитики'!M2584,WeightedRevAge02)-SUMIF(ThresholdAge02,"&lt;"&amp;'19_Расчет_аналитики'!M2584,WeightedMinAge02),MAX(CapacityAge02*'01_Вводные'!$B$218*'19_Расчет_аналитики'!M2584,MeanMinAge02)))</f>
        <v/>
      </c>
      <c r="N2517">
        <f>IF(OR(('19_Расчет_аналитики'!N2433-'19_Расчет_аналитики'!N2461)=0,2&lt;='01_Вводные'!$B$297),0,('19_Расчет_аналитики'!N2433-'19_Расчет_аналитики'!N2461)*IF('01_Вводные'!$B$239="Да",MeanMinAge02+'19_Расчет_аналитики'!N2584*SUMIF(ThresholdAge02,"&lt;"&amp;'19_Расчет_аналитики'!N2584,WeightedRevAge02)-SUMIF(ThresholdAge02,"&lt;"&amp;'19_Расчет_аналитики'!N2584,WeightedMinAge02),MAX(CapacityAge02*'01_Вводные'!$B$218*'19_Расчет_аналитики'!N2584,MeanMinAge02)))</f>
        <v/>
      </c>
      <c r="O2517">
        <f>IF(OR(('19_Расчет_аналитики'!O2433-'19_Расчет_аналитики'!O2461)=0,2&lt;='01_Вводные'!$B$297),0,('19_Расчет_аналитики'!O2433-'19_Расчет_аналитики'!O2461)*IF('01_Вводные'!$B$239="Да",MeanMinAge02+'19_Расчет_аналитики'!O2584*SUMIF(ThresholdAge02,"&lt;"&amp;'19_Расчет_аналитики'!O2584,WeightedRevAge02)-SUMIF(ThresholdAge02,"&lt;"&amp;'19_Расчет_аналитики'!O2584,WeightedMinAge02),MAX(CapacityAge02*'01_Вводные'!$B$218*'19_Расчет_аналитики'!O2584,MeanMinAge02)))</f>
        <v/>
      </c>
      <c r="P2517">
        <f>IF(OR(('19_Расчет_аналитики'!P2433-'19_Расчет_аналитики'!P2461)=0,2&lt;='01_Вводные'!$B$297),0,('19_Расчет_аналитики'!P2433-'19_Расчет_аналитики'!P2461)*IF('01_Вводные'!$B$239="Да",MeanMinAge02+'19_Расчет_аналитики'!P2584*SUMIF(ThresholdAge02,"&lt;"&amp;'19_Расчет_аналитики'!P2584,WeightedRevAge02)-SUMIF(ThresholdAge02,"&lt;"&amp;'19_Расчет_аналитики'!P2584,WeightedMinAge02),MAX(CapacityAge02*'01_Вводные'!$B$218*'19_Расчет_аналитики'!P2584,MeanMinAge02)))</f>
        <v/>
      </c>
      <c r="Q2517">
        <f>IF(OR(('19_Расчет_аналитики'!Q2433-'19_Расчет_аналитики'!Q2461)=0,2&lt;='01_Вводные'!$B$297),0,('19_Расчет_аналитики'!Q2433-'19_Расчет_аналитики'!Q2461)*IF('01_Вводные'!$B$239="Да",MeanMinAge02+'19_Расчет_аналитики'!Q2584*SUMIF(ThresholdAge02,"&lt;"&amp;'19_Расчет_аналитики'!Q2584,WeightedRevAge02)-SUMIF(ThresholdAge02,"&lt;"&amp;'19_Расчет_аналитики'!Q2584,WeightedMinAge02),MAX(CapacityAge02*'01_Вводные'!$B$218*'19_Расчет_аналитики'!Q2584,MeanMinAge02)))</f>
        <v/>
      </c>
      <c r="R2517">
        <f>IF(OR(('19_Расчет_аналитики'!R2433-'19_Расчет_аналитики'!R2461)=0,2&lt;='01_Вводные'!$B$297),0,('19_Расчет_аналитики'!R2433-'19_Расчет_аналитики'!R2461)*IF('01_Вводные'!$B$239="Да",MeanMinAge02+'19_Расчет_аналитики'!R2584*SUMIF(ThresholdAge02,"&lt;"&amp;'19_Расчет_аналитики'!R2584,WeightedRevAge02)-SUMIF(ThresholdAge02,"&lt;"&amp;'19_Расчет_аналитики'!R2584,WeightedMinAge02),MAX(CapacityAge02*'01_Вводные'!$B$218*'19_Расчет_аналитики'!R2584,MeanMinAge02)))</f>
        <v/>
      </c>
      <c r="S2517">
        <f>IF(OR(('19_Расчет_аналитики'!S2433-'19_Расчет_аналитики'!S2461)=0,2&lt;='01_Вводные'!$B$297),0,('19_Расчет_аналитики'!S2433-'19_Расчет_аналитики'!S2461)*IF('01_Вводные'!$B$239="Да",MeanMinAge02+'19_Расчет_аналитики'!S2584*SUMIF(ThresholdAge02,"&lt;"&amp;'19_Расчет_аналитики'!S2584,WeightedRevAge02)-SUMIF(ThresholdAge02,"&lt;"&amp;'19_Расчет_аналитики'!S2584,WeightedMinAge02),MAX(CapacityAge02*'01_Вводные'!$B$218*'19_Расчет_аналитики'!S2584,MeanMinAge02)))</f>
        <v/>
      </c>
      <c r="T2517">
        <f>IF(OR(('19_Расчет_аналитики'!T2433-'19_Расчет_аналитики'!T2461)=0,2&lt;='01_Вводные'!$B$297),0,('19_Расчет_аналитики'!T2433-'19_Расчет_аналитики'!T2461)*IF('01_Вводные'!$B$239="Да",MeanMinAge02+'19_Расчет_аналитики'!T2584*SUMIF(ThresholdAge02,"&lt;"&amp;'19_Расчет_аналитики'!T2584,WeightedRevAge02)-SUMIF(ThresholdAge02,"&lt;"&amp;'19_Расчет_аналитики'!T2584,WeightedMinAge02),MAX(CapacityAge02*'01_Вводные'!$B$218*'19_Расчет_аналитики'!T2584,MeanMinAge02)))</f>
        <v/>
      </c>
      <c r="U2517">
        <f>IF(OR(('19_Расчет_аналитики'!U2433-'19_Расчет_аналитики'!U2461)=0,2&lt;='01_Вводные'!$B$297),0,('19_Расчет_аналитики'!U2433-'19_Расчет_аналитики'!U2461)*IF('01_Вводные'!$B$239="Да",MeanMinAge02+'19_Расчет_аналитики'!U2584*SUMIF(ThresholdAge02,"&lt;"&amp;'19_Расчет_аналитики'!U2584,WeightedRevAge02)-SUMIF(ThresholdAge02,"&lt;"&amp;'19_Расчет_аналитики'!U2584,WeightedMinAge02),MAX(CapacityAge02*'01_Вводные'!$B$218*'19_Расчет_аналитики'!U2584,MeanMinAge02)))</f>
        <v/>
      </c>
      <c r="V2517">
        <f>IF(OR(('19_Расчет_аналитики'!V2433-'19_Расчет_аналитики'!V2461)=0,2&lt;='01_Вводные'!$B$297),0,('19_Расчет_аналитики'!V2433-'19_Расчет_аналитики'!V2461)*IF('01_Вводные'!$B$239="Да",MeanMinAge02+'19_Расчет_аналитики'!V2584*SUMIF(ThresholdAge02,"&lt;"&amp;'19_Расчет_аналитики'!V2584,WeightedRevAge02)-SUMIF(ThresholdAge02,"&lt;"&amp;'19_Расчет_аналитики'!V2584,WeightedMinAge02),MAX(CapacityAge02*'01_Вводные'!$B$218*'19_Расчет_аналитики'!V2584,MeanMinAge02)))</f>
        <v/>
      </c>
      <c r="W2517">
        <f>IF(OR(('19_Расчет_аналитики'!W2433-'19_Расчет_аналитики'!W2461)=0,2&lt;='01_Вводные'!$B$297),0,('19_Расчет_аналитики'!W2433-'19_Расчет_аналитики'!W2461)*IF('01_Вводные'!$B$239="Да",MeanMinAge02+'19_Расчет_аналитики'!W2584*SUMIF(ThresholdAge02,"&lt;"&amp;'19_Расчет_аналитики'!W2584,WeightedRevAge02)-SUMIF(ThresholdAge02,"&lt;"&amp;'19_Расчет_аналитики'!W2584,WeightedMinAge02),MAX(CapacityAge02*'01_Вводные'!$B$218*'19_Расчет_аналитики'!W2584,MeanMinAge02)))</f>
        <v/>
      </c>
      <c r="X2517">
        <f>IF(OR(('19_Расчет_аналитики'!X2433-'19_Расчет_аналитики'!X2461)=0,2&lt;='01_Вводные'!$B$297),0,('19_Расчет_аналитики'!X2433-'19_Расчет_аналитики'!X2461)*IF('01_Вводные'!$B$239="Да",MeanMinAge02+'19_Расчет_аналитики'!X2584*SUMIF(ThresholdAge02,"&lt;"&amp;'19_Расчет_аналитики'!X2584,WeightedRevAge02)-SUMIF(ThresholdAge02,"&lt;"&amp;'19_Расчет_аналитики'!X2584,WeightedMinAge02),MAX(CapacityAge02*'01_Вводные'!$B$218*'19_Расчет_аналитики'!X2584,MeanMinAge02)))</f>
        <v/>
      </c>
      <c r="Y2517">
        <f>IF(OR(('19_Расчет_аналитики'!Y2433-'19_Расчет_аналитики'!Y2461)=0,2&lt;='01_Вводные'!$B$297),0,('19_Расчет_аналитики'!Y2433-'19_Расчет_аналитики'!Y2461)*IF('01_Вводные'!$B$239="Да",MeanMinAge02+'19_Расчет_аналитики'!Y2584*SUMIF(ThresholdAge02,"&lt;"&amp;'19_Расчет_аналитики'!Y2584,WeightedRevAge02)-SUMIF(ThresholdAge02,"&lt;"&amp;'19_Расчет_аналитики'!Y2584,WeightedMinAge02),MAX(CapacityAge02*'01_Вводные'!$B$218*'19_Расчет_аналитики'!Y2584,MeanMinAge02)))</f>
        <v/>
      </c>
      <c r="Z2517">
        <f>IF(OR(('19_Расчет_аналитики'!Z2433-'19_Расчет_аналитики'!Z2461)=0,2&lt;='01_Вводные'!$B$297),0,('19_Расчет_аналитики'!Z2433-'19_Расчет_аналитики'!Z2461)*IF('01_Вводные'!$B$239="Да",MeanMinAge02+'19_Расчет_аналитики'!Z2584*SUMIF(ThresholdAge02,"&lt;"&amp;'19_Расчет_аналитики'!Z2584,WeightedRevAge02)-SUMIF(ThresholdAge02,"&lt;"&amp;'19_Расчет_аналитики'!Z2584,WeightedMinAge02),MAX(CapacityAge02*'01_Вводные'!$B$218*'19_Расчет_аналитики'!Z2584,MeanMinAge02)))</f>
        <v/>
      </c>
      <c r="AA2517">
        <f>IF(OR(('19_Расчет_аналитики'!AA2433-'19_Расчет_аналитики'!AA2461)=0,2&lt;='01_Вводные'!$B$297),0,('19_Расчет_аналитики'!AA2433-'19_Расчет_аналитики'!AA2461)*IF('01_Вводные'!$B$239="Да",MeanMinAge02+'19_Расчет_аналитики'!AA2584*SUMIF(ThresholdAge02,"&lt;"&amp;'19_Расчет_аналитики'!AA2584,WeightedRevAge02)-SUMIF(ThresholdAge02,"&lt;"&amp;'19_Расчет_аналитики'!AA2584,WeightedMinAge02),MAX(CapacityAge02*'01_Вводные'!$B$218*'19_Расчет_аналитики'!AA2584,MeanMinAge02)))</f>
        <v/>
      </c>
      <c r="AB2517">
        <f>IF(OR(('19_Расчет_аналитики'!AB2433-'19_Расчет_аналитики'!AB2461)=0,2&lt;='01_Вводные'!$B$297),0,('19_Расчет_аналитики'!AB2433-'19_Расчет_аналитики'!AB2461)*IF('01_Вводные'!$B$239="Да",MeanMinAge02+'19_Расчет_аналитики'!AB2584*SUMIF(ThresholdAge02,"&lt;"&amp;'19_Расчет_аналитики'!AB2584,WeightedRevAge02)-SUMIF(ThresholdAge02,"&lt;"&amp;'19_Расчет_аналитики'!AB2584,WeightedMinAge02),MAX(CapacityAge02*'01_Вводные'!$B$218*'19_Расчет_аналитики'!AB2584,MeanMinAge02)))</f>
        <v/>
      </c>
      <c r="AC2517">
        <f>IF(OR(('19_Расчет_аналитики'!AC2433-'19_Расчет_аналитики'!AC2461)=0,2&lt;='01_Вводные'!$B$297),0,('19_Расчет_аналитики'!AC2433-'19_Расчет_аналитики'!AC2461)*IF('01_Вводные'!$B$239="Да",MeanMinAge02+'19_Расчет_аналитики'!AC2584*SUMIF(ThresholdAge02,"&lt;"&amp;'19_Расчет_аналитики'!AC2584,WeightedRevAge02)-SUMIF(ThresholdAge02,"&lt;"&amp;'19_Расчет_аналитики'!AC2584,WeightedMinAge02),MAX(CapacityAge02*'01_Вводные'!$B$218*'19_Расчет_аналитики'!AC2584,MeanMinAge02)))</f>
        <v/>
      </c>
      <c r="AD2517">
        <f>IF(OR(('19_Расчет_аналитики'!AD2433-'19_Расчет_аналитики'!AD2461)=0,2&lt;='01_Вводные'!$B$297),0,('19_Расчет_аналитики'!AD2433-'19_Расчет_аналитики'!AD2461)*IF('01_Вводные'!$B$239="Да",MeanMinAge02+'19_Расчет_аналитики'!AD2584*SUMIF(ThresholdAge02,"&lt;"&amp;'19_Расчет_аналитики'!AD2584,WeightedRevAge02)-SUMIF(ThresholdAge02,"&lt;"&amp;'19_Расчет_аналитики'!AD2584,WeightedMinAge02),MAX(CapacityAge02*'01_Вводные'!$B$218*'19_Расчет_аналитики'!AD2584,MeanMinAge02)))</f>
        <v/>
      </c>
      <c r="AE2517">
        <f>IF(OR(('19_Расчет_аналитики'!AE2433-'19_Расчет_аналитики'!AE2461)=0,2&lt;='01_Вводные'!$B$297),0,('19_Расчет_аналитики'!AE2433-'19_Расчет_аналитики'!AE2461)*IF('01_Вводные'!$B$239="Да",MeanMinAge02+'19_Расчет_аналитики'!AE2584*SUMIF(ThresholdAge02,"&lt;"&amp;'19_Расчет_аналитики'!AE2584,WeightedRevAge02)-SUMIF(ThresholdAge02,"&lt;"&amp;'19_Расчет_аналитики'!AE2584,WeightedMinAge02),MAX(CapacityAge02*'01_Вводные'!$B$218*'19_Расчет_аналитики'!AE2584,MeanMinAge02)))</f>
        <v/>
      </c>
      <c r="AF2517">
        <f>IF(OR(('19_Расчет_аналитики'!AF2433-'19_Расчет_аналитики'!AF2461)=0,2&lt;='01_Вводные'!$B$297),0,('19_Расчет_аналитики'!AF2433-'19_Расчет_аналитики'!AF2461)*IF('01_Вводные'!$B$239="Да",MeanMinAge02+'19_Расчет_аналитики'!AF2584*SUMIF(ThresholdAge02,"&lt;"&amp;'19_Расчет_аналитики'!AF2584,WeightedRevAge02)-SUMIF(ThresholdAge02,"&lt;"&amp;'19_Расчет_аналитики'!AF2584,WeightedMinAge02),MAX(CapacityAge02*'01_Вводные'!$B$218*'19_Расчет_аналитики'!AF2584,MeanMinAge02)))</f>
        <v/>
      </c>
      <c r="AG2517">
        <f>IF(OR(('19_Расчет_аналитики'!AG2433-'19_Расчет_аналитики'!AG2461)=0,2&lt;='01_Вводные'!$B$297),0,('19_Расчет_аналитики'!AG2433-'19_Расчет_аналитики'!AG2461)*IF('01_Вводные'!$B$239="Да",MeanMinAge02+'19_Расчет_аналитики'!AG2584*SUMIF(ThresholdAge02,"&lt;"&amp;'19_Расчет_аналитики'!AG2584,WeightedRevAge02)-SUMIF(ThresholdAge02,"&lt;"&amp;'19_Расчет_аналитики'!AG2584,WeightedMinAge02),MAX(CapacityAge02*'01_Вводные'!$B$218*'19_Расчет_аналитики'!AG2584,MeanMinAge02)))</f>
        <v/>
      </c>
      <c r="AH2517">
        <f>IF(OR(('19_Расчет_аналитики'!AH2433-'19_Расчет_аналитики'!AH2461)=0,2&lt;='01_Вводные'!$B$297),0,('19_Расчет_аналитики'!AH2433-'19_Расчет_аналитики'!AH2461)*IF('01_Вводные'!$B$239="Да",MeanMinAge02+'19_Расчет_аналитики'!AH2584*SUMIF(ThresholdAge02,"&lt;"&amp;'19_Расчет_аналитики'!AH2584,WeightedRevAge02)-SUMIF(ThresholdAge02,"&lt;"&amp;'19_Расчет_аналитики'!AH2584,WeightedMinAge02),MAX(CapacityAge02*'01_Вводные'!$B$218*'19_Расчет_аналитики'!AH2584,MeanMinAge02)))</f>
        <v/>
      </c>
      <c r="AI2517">
        <f>IF(OR(('19_Расчет_аналитики'!AI2433-'19_Расчет_аналитики'!AI2461)=0,2&lt;='01_Вводные'!$B$297),0,('19_Расчет_аналитики'!AI2433-'19_Расчет_аналитики'!AI2461)*IF('01_Вводные'!$B$239="Да",MeanMinAge02+'19_Расчет_аналитики'!AI2584*SUMIF(ThresholdAge02,"&lt;"&amp;'19_Расчет_аналитики'!AI2584,WeightedRevAge02)-SUMIF(ThresholdAge02,"&lt;"&amp;'19_Расчет_аналитики'!AI2584,WeightedMinAge02),MAX(CapacityAge02*'01_Вводные'!$B$218*'19_Расчет_аналитики'!AI2584,MeanMinAge02)))</f>
        <v/>
      </c>
      <c r="AJ2517">
        <f>IF(OR(('19_Расчет_аналитики'!AJ2433-'19_Расчет_аналитики'!AJ2461)=0,2&lt;='01_Вводные'!$B$297),0,('19_Расчет_аналитики'!AJ2433-'19_Расчет_аналитики'!AJ2461)*IF('01_Вводные'!$B$239="Да",MeanMinAge02+'19_Расчет_аналитики'!AJ2584*SUMIF(ThresholdAge02,"&lt;"&amp;'19_Расчет_аналитики'!AJ2584,WeightedRevAge02)-SUMIF(ThresholdAge02,"&lt;"&amp;'19_Расчет_аналитики'!AJ2584,WeightedMinAge02),MAX(CapacityAge02*'01_Вводные'!$B$218*'19_Расчет_аналитики'!AJ2584,MeanMinAge02)))</f>
        <v/>
      </c>
      <c r="AK2517">
        <f>IF(OR(('19_Расчет_аналитики'!AK2433-'19_Расчет_аналитики'!AK2461)=0,2&lt;='01_Вводные'!$B$297),0,('19_Расчет_аналитики'!AK2433-'19_Расчет_аналитики'!AK2461)*IF('01_Вводные'!$B$239="Да",MeanMinAge02+'19_Расчет_аналитики'!AK2584*SUMIF(ThresholdAge02,"&lt;"&amp;'19_Расчет_аналитики'!AK2584,WeightedRevAge02)-SUMIF(ThresholdAge02,"&lt;"&amp;'19_Расчет_аналитики'!AK2584,WeightedMinAge02),MAX(CapacityAge02*'01_Вводные'!$B$218*'19_Расчет_аналитики'!AK2584,MeanMinAge02)))</f>
        <v/>
      </c>
      <c r="AL2517">
        <f>IF(OR(('19_Расчет_аналитики'!AL2433-'19_Расчет_аналитики'!AL2461)=0,2&lt;='01_Вводные'!$B$297),0,('19_Расчет_аналитики'!AL2433-'19_Расчет_аналитики'!AL2461)*IF('01_Вводные'!$B$239="Да",MeanMinAge02+'19_Расчет_аналитики'!AL2584*SUMIF(ThresholdAge02,"&lt;"&amp;'19_Расчет_аналитики'!AL2584,WeightedRevAge02)-SUMIF(ThresholdAge02,"&lt;"&amp;'19_Расчет_аналитики'!AL2584,WeightedMinAge02),MAX(CapacityAge02*'01_Вводные'!$B$218*'19_Расчет_аналитики'!AL2584,MeanMinAge02)))</f>
        <v/>
      </c>
      <c r="AM2517">
        <f>IF(OR(('19_Расчет_аналитики'!AM2433-'19_Расчет_аналитики'!AM2461)=0,2&lt;='01_Вводные'!$B$297),0,('19_Расчет_аналитики'!AM2433-'19_Расчет_аналитики'!AM2461)*IF('01_Вводные'!$B$239="Да",MeanMinAge02+'19_Расчет_аналитики'!AM2584*SUMIF(ThresholdAge02,"&lt;"&amp;'19_Расчет_аналитики'!AM2584,WeightedRevAge02)-SUMIF(ThresholdAge02,"&lt;"&amp;'19_Расчет_аналитики'!AM2584,WeightedMinAge02),MAX(CapacityAge02*'01_Вводные'!$B$218*'19_Расчет_аналитики'!AM2584,MeanMinAge02)))</f>
        <v/>
      </c>
      <c r="AN2517">
        <f>IF(OR(('19_Расчет_аналитики'!AN2433-'19_Расчет_аналитики'!AN2461)=0,2&lt;='01_Вводные'!$B$297),0,('19_Расчет_аналитики'!AN2433-'19_Расчет_аналитики'!AN2461)*IF('01_Вводные'!$B$239="Да",MeanMinAge02+'19_Расчет_аналитики'!AN2584*SUMIF(ThresholdAge02,"&lt;"&amp;'19_Расчет_аналитики'!AN2584,WeightedRevAge02)-SUMIF(ThresholdAge02,"&lt;"&amp;'19_Расчет_аналитики'!AN2584,WeightedMinAge02),MAX(CapacityAge02*'01_Вводные'!$B$218*'19_Расчет_аналитики'!AN2584,MeanMinAge02)))</f>
        <v/>
      </c>
      <c r="AO2517">
        <f>IF(OR(('19_Расчет_аналитики'!AO2433-'19_Расчет_аналитики'!AO2461)=0,2&lt;='01_Вводные'!$B$297),0,('19_Расчет_аналитики'!AO2433-'19_Расчет_аналитики'!AO2461)*IF('01_Вводные'!$B$239="Да",MeanMinAge02+'19_Расчет_аналитики'!AO2584*SUMIF(ThresholdAge02,"&lt;"&amp;'19_Расчет_аналитики'!AO2584,WeightedRevAge02)-SUMIF(ThresholdAge02,"&lt;"&amp;'19_Расчет_аналитики'!AO2584,WeightedMinAge02),MAX(CapacityAge02*'01_Вводные'!$B$218*'19_Расчет_аналитики'!AO2584,MeanMinAge02)))</f>
        <v/>
      </c>
      <c r="AP2517">
        <f>IF(OR(('19_Расчет_аналитики'!AP2433-'19_Расчет_аналитики'!AP2461)=0,2&lt;='01_Вводные'!$B$297),0,('19_Расчет_аналитики'!AP2433-'19_Расчет_аналитики'!AP2461)*IF('01_Вводные'!$B$239="Да",MeanMinAge02+'19_Расчет_аналитики'!AP2584*SUMIF(ThresholdAge02,"&lt;"&amp;'19_Расчет_аналитики'!AP2584,WeightedRevAge02)-SUMIF(ThresholdAge02,"&lt;"&amp;'19_Расчет_аналитики'!AP2584,WeightedMinAge02),MAX(CapacityAge02*'01_Вводные'!$B$218*'19_Расчет_аналитики'!AP2584,MeanMinAge02)))</f>
        <v/>
      </c>
      <c r="AQ2517">
        <f>IF(OR(('19_Расчет_аналитики'!AQ2433-'19_Расчет_аналитики'!AQ2461)=0,2&lt;='01_Вводные'!$B$297),0,('19_Расчет_аналитики'!AQ2433-'19_Расчет_аналитики'!AQ2461)*IF('01_Вводные'!$B$239="Да",MeanMinAge02+'19_Расчет_аналитики'!AQ2584*SUMIF(ThresholdAge02,"&lt;"&amp;'19_Расчет_аналитики'!AQ2584,WeightedRevAge02)-SUMIF(ThresholdAge02,"&lt;"&amp;'19_Расчет_аналитики'!AQ2584,WeightedMinAge02),MAX(CapacityAge02*'01_Вводные'!$B$218*'19_Расчет_аналитики'!AQ2584,MeanMinAge02)))</f>
        <v/>
      </c>
      <c r="AR2517">
        <f>IF(OR(('19_Расчет_аналитики'!AR2433-'19_Расчет_аналитики'!AR2461)=0,2&lt;='01_Вводные'!$B$297),0,('19_Расчет_аналитики'!AR2433-'19_Расчет_аналитики'!AR2461)*IF('01_Вводные'!$B$239="Да",MeanMinAge02+'19_Расчет_аналитики'!AR2584*SUMIF(ThresholdAge02,"&lt;"&amp;'19_Расчет_аналитики'!AR2584,WeightedRevAge02)-SUMIF(ThresholdAge02,"&lt;"&amp;'19_Расчет_аналитики'!AR2584,WeightedMinAge02),MAX(CapacityAge02*'01_Вводные'!$B$218*'19_Расчет_аналитики'!AR2584,MeanMinAge02)))</f>
        <v/>
      </c>
      <c r="AS2517">
        <f>IF(OR(('19_Расчет_аналитики'!AS2433-'19_Расчет_аналитики'!AS2461)=0,2&lt;='01_Вводные'!$B$297),0,('19_Расчет_аналитики'!AS2433-'19_Расчет_аналитики'!AS2461)*IF('01_Вводные'!$B$239="Да",MeanMinAge02+'19_Расчет_аналитики'!AS2584*SUMIF(ThresholdAge02,"&lt;"&amp;'19_Расчет_аналитики'!AS2584,WeightedRevAge02)-SUMIF(ThresholdAge02,"&lt;"&amp;'19_Расчет_аналитики'!AS2584,WeightedMinAge02),MAX(CapacityAge02*'01_Вводные'!$B$218*'19_Расчет_аналитики'!AS2584,MeanMinAge02)))</f>
        <v/>
      </c>
      <c r="AT2517">
        <f>IF(OR(('19_Расчет_аналитики'!AT2433-'19_Расчет_аналитики'!AT2461)=0,2&lt;='01_Вводные'!$B$297),0,('19_Расчет_аналитики'!AT2433-'19_Расчет_аналитики'!AT2461)*IF('01_Вводные'!$B$239="Да",MeanMinAge02+'19_Расчет_аналитики'!AT2584*SUMIF(ThresholdAge02,"&lt;"&amp;'19_Расчет_аналитики'!AT2584,WeightedRevAge02)-SUMIF(ThresholdAge02,"&lt;"&amp;'19_Расчет_аналитики'!AT2584,WeightedMinAge02),MAX(CapacityAge02*'01_Вводные'!$B$218*'19_Расчет_аналитики'!AT2584,MeanMinAge02)))</f>
        <v/>
      </c>
      <c r="AU2517">
        <f>IF(OR(('19_Расчет_аналитики'!AU2433-'19_Расчет_аналитики'!AU2461)=0,2&lt;='01_Вводные'!$B$297),0,('19_Расчет_аналитики'!AU2433-'19_Расчет_аналитики'!AU2461)*IF('01_Вводные'!$B$239="Да",MeanMinAge02+'19_Расчет_аналитики'!AU2584*SUMIF(ThresholdAge02,"&lt;"&amp;'19_Расчет_аналитики'!AU2584,WeightedRevAge02)-SUMIF(ThresholdAge02,"&lt;"&amp;'19_Расчет_аналитики'!AU2584,WeightedMinAge02),MAX(CapacityAge02*'01_Вводные'!$B$218*'19_Расчет_аналитики'!AU2584,MeanMinAge02)))</f>
        <v/>
      </c>
      <c r="AV2517">
        <f>IF(OR(('19_Расчет_аналитики'!AV2433-'19_Расчет_аналитики'!AV2461)=0,2&lt;='01_Вводные'!$B$297),0,('19_Расчет_аналитики'!AV2433-'19_Расчет_аналитики'!AV2461)*IF('01_Вводные'!$B$239="Да",MeanMinAge02+'19_Расчет_аналитики'!AV2584*SUMIF(ThresholdAge02,"&lt;"&amp;'19_Расчет_аналитики'!AV2584,WeightedRevAge02)-SUMIF(ThresholdAge02,"&lt;"&amp;'19_Расчет_аналитики'!AV2584,WeightedMinAge02),MAX(CapacityAge02*'01_Вводные'!$B$218*'19_Расчет_аналитики'!AV2584,MeanMinAge02)))</f>
        <v/>
      </c>
      <c r="AW2517">
        <f>IF(OR(('19_Расчет_аналитики'!AW2433-'19_Расчет_аналитики'!AW2461)=0,2&lt;='01_Вводные'!$B$297),0,('19_Расчет_аналитики'!AW2433-'19_Расчет_аналитики'!AW2461)*IF('01_Вводные'!$B$239="Да",MeanMinAge02+'19_Расчет_аналитики'!AW2584*SUMIF(ThresholdAge02,"&lt;"&amp;'19_Расчет_аналитики'!AW2584,WeightedRevAge02)-SUMIF(ThresholdAge02,"&lt;"&amp;'19_Расчет_аналитики'!AW2584,WeightedMinAge02),MAX(CapacityAge02*'01_Вводные'!$B$218*'19_Расчет_аналитики'!AW2584,MeanMinAge02)))</f>
        <v/>
      </c>
      <c r="AX2517">
        <f>IF(OR(('19_Расчет_аналитики'!AX2433-'19_Расчет_аналитики'!AX2461)=0,2&lt;='01_Вводные'!$B$297),0,('19_Расчет_аналитики'!AX2433-'19_Расчет_аналитики'!AX2461)*IF('01_Вводные'!$B$239="Да",MeanMinAge02+'19_Расчет_аналитики'!AX2584*SUMIF(ThresholdAge02,"&lt;"&amp;'19_Расчет_аналитики'!AX2584,WeightedRevAge02)-SUMIF(ThresholdAge02,"&lt;"&amp;'19_Расчет_аналитики'!AX2584,WeightedMinAge02),MAX(CapacityAge02*'01_Вводные'!$B$218*'19_Расчет_аналитики'!AX2584,MeanMinAge02)))</f>
        <v/>
      </c>
      <c r="AY2517">
        <f>IF(OR(('19_Расчет_аналитики'!AY2433-'19_Расчет_аналитики'!AY2461)=0,2&lt;='01_Вводные'!$B$297),0,('19_Расчет_аналитики'!AY2433-'19_Расчет_аналитики'!AY2461)*IF('01_Вводные'!$B$239="Да",MeanMinAge02+'19_Расчет_аналитики'!AY2584*SUMIF(ThresholdAge02,"&lt;"&amp;'19_Расчет_аналитики'!AY2584,WeightedRevAge02)-SUMIF(ThresholdAge02,"&lt;"&amp;'19_Расчет_аналитики'!AY2584,WeightedMinAge02),MAX(CapacityAge02*'01_Вводные'!$B$218*'19_Расчет_аналитики'!AY2584,MeanMinAge02)))</f>
        <v/>
      </c>
      <c r="AZ2517">
        <f>IF(OR(('19_Расчет_аналитики'!AZ2433-'19_Расчет_аналитики'!AZ2461)=0,2&lt;='01_Вводные'!$B$297),0,('19_Расчет_аналитики'!AZ2433-'19_Расчет_аналитики'!AZ2461)*IF('01_Вводные'!$B$239="Да",MeanMinAge02+'19_Расчет_аналитики'!AZ2584*SUMIF(ThresholdAge02,"&lt;"&amp;'19_Расчет_аналитики'!AZ2584,WeightedRevAge02)-SUMIF(ThresholdAge02,"&lt;"&amp;'19_Расчет_аналитики'!AZ2584,WeightedMinAge02),MAX(CapacityAge02*'01_Вводные'!$B$218*'19_Расчет_аналитики'!AZ2584,MeanMinAge02)))</f>
        <v/>
      </c>
      <c r="BA2517">
        <f>IF(OR(('19_Расчет_аналитики'!BA2433-'19_Расчет_аналитики'!BA2461)=0,2&lt;='01_Вводные'!$B$297),0,('19_Расчет_аналитики'!BA2433-'19_Расчет_аналитики'!BA2461)*IF('01_Вводные'!$B$239="Да",MeanMinAge02+'19_Расчет_аналитики'!BA2584*SUMIF(ThresholdAge02,"&lt;"&amp;'19_Расчет_аналитики'!BA2584,WeightedRevAge02)-SUMIF(ThresholdAge02,"&lt;"&amp;'19_Расчет_аналитики'!BA2584,WeightedMinAge02),MAX(CapacityAge02*'01_Вводные'!$B$218*'19_Расчет_аналитики'!BA2584,MeanMinAge02)))</f>
        <v/>
      </c>
      <c r="BB2517">
        <f>IF(OR(('19_Расчет_аналитики'!BB2433-'19_Расчет_аналитики'!BB2461)=0,2&lt;='01_Вводные'!$B$297),0,('19_Расчет_аналитики'!BB2433-'19_Расчет_аналитики'!BB2461)*IF('01_Вводные'!$B$239="Да",MeanMinAge02+'19_Расчет_аналитики'!BB2584*SUMIF(ThresholdAge02,"&lt;"&amp;'19_Расчет_аналитики'!BB2584,WeightedRevAge02)-SUMIF(ThresholdAge02,"&lt;"&amp;'19_Расчет_аналитики'!BB2584,WeightedMinAge02),MAX(CapacityAge02*'01_Вводные'!$B$218*'19_Расчет_аналитики'!BB2584,MeanMinAge02)))</f>
        <v/>
      </c>
      <c r="BC2517">
        <f>IF(OR(('19_Расчет_аналитики'!BC2433-'19_Расчет_аналитики'!BC2461)=0,2&lt;='01_Вводные'!$B$297),0,('19_Расчет_аналитики'!BC2433-'19_Расчет_аналитики'!BC2461)*IF('01_Вводные'!$B$239="Да",MeanMinAge02+'19_Расчет_аналитики'!BC2584*SUMIF(ThresholdAge02,"&lt;"&amp;'19_Расчет_аналитики'!BC2584,WeightedRevAge02)-SUMIF(ThresholdAge02,"&lt;"&amp;'19_Расчет_аналитики'!BC2584,WeightedMinAge02),MAX(CapacityAge02*'01_Вводные'!$B$218*'19_Расчет_аналитики'!BC2584,MeanMinAge02)))</f>
        <v/>
      </c>
      <c r="BD2517">
        <f>IF(OR(('19_Расчет_аналитики'!BD2433-'19_Расчет_аналитики'!BD2461)=0,2&lt;='01_Вводные'!$B$297),0,('19_Расчет_аналитики'!BD2433-'19_Расчет_аналитики'!BD2461)*IF('01_Вводные'!$B$239="Да",MeanMinAge02+'19_Расчет_аналитики'!BD2584*SUMIF(ThresholdAge02,"&lt;"&amp;'19_Расчет_аналитики'!BD2584,WeightedRevAge02)-SUMIF(ThresholdAge02,"&lt;"&amp;'19_Расчет_аналитики'!BD2584,WeightedMinAge02),MAX(CapacityAge02*'01_Вводные'!$B$218*'19_Расчет_аналитики'!BD2584,MeanMinAge02)))</f>
        <v/>
      </c>
      <c r="BE2517">
        <f>IF(OR(('19_Расчет_аналитики'!BE2433-'19_Расчет_аналитики'!BE2461)=0,2&lt;='01_Вводные'!$B$297),0,('19_Расчет_аналитики'!BE2433-'19_Расчет_аналитики'!BE2461)*IF('01_Вводные'!$B$239="Да",MeanMinAge02+'19_Расчет_аналитики'!BE2584*SUMIF(ThresholdAge02,"&lt;"&amp;'19_Расчет_аналитики'!BE2584,WeightedRevAge02)-SUMIF(ThresholdAge02,"&lt;"&amp;'19_Расчет_аналитики'!BE2584,WeightedMinAge02),MAX(CapacityAge02*'01_Вводные'!$B$218*'19_Расчет_аналитики'!BE2584,MeanMinAge02)))</f>
        <v/>
      </c>
      <c r="BF2517">
        <f>IF(OR(('19_Расчет_аналитики'!BF2433-'19_Расчет_аналитики'!BF2461)=0,2&lt;='01_Вводные'!$B$297),0,('19_Расчет_аналитики'!BF2433-'19_Расчет_аналитики'!BF2461)*IF('01_Вводные'!$B$239="Да",MeanMinAge02+'19_Расчет_аналитики'!BF2584*SUMIF(ThresholdAge02,"&lt;"&amp;'19_Расчет_аналитики'!BF2584,WeightedRevAge02)-SUMIF(ThresholdAge02,"&lt;"&amp;'19_Расчет_аналитики'!BF2584,WeightedMinAge02),MAX(CapacityAge02*'01_Вводные'!$B$218*'19_Расчет_аналитики'!BF2584,MeanMinAge02)))</f>
        <v/>
      </c>
      <c r="BG2517">
        <f>IF(OR(('19_Расчет_аналитики'!BG2433-'19_Расчет_аналитики'!BG2461)=0,2&lt;='01_Вводные'!$B$297),0,('19_Расчет_аналитики'!BG2433-'19_Расчет_аналитики'!BG2461)*IF('01_Вводные'!$B$239="Да",MeanMinAge02+'19_Расчет_аналитики'!BG2584*SUMIF(ThresholdAge02,"&lt;"&amp;'19_Расчет_аналитики'!BG2584,WeightedRevAge02)-SUMIF(ThresholdAge02,"&lt;"&amp;'19_Расчет_аналитики'!BG2584,WeightedMinAge02),MAX(CapacityAge02*'01_Вводные'!$B$218*'19_Расчет_аналитики'!BG2584,MeanMinAge02)))</f>
        <v/>
      </c>
      <c r="BH2517">
        <f>IF(OR(('19_Расчет_аналитики'!BH2433-'19_Расчет_аналитики'!BH2461)=0,2&lt;='01_Вводные'!$B$297),0,('19_Расчет_аналитики'!BH2433-'19_Расчет_аналитики'!BH2461)*IF('01_Вводные'!$B$239="Да",MeanMinAge02+'19_Расчет_аналитики'!BH2584*SUMIF(ThresholdAge02,"&lt;"&amp;'19_Расчет_аналитики'!BH2584,WeightedRevAge02)-SUMIF(ThresholdAge02,"&lt;"&amp;'19_Расчет_аналитики'!BH2584,WeightedMinAge02),MAX(CapacityAge02*'01_Вводные'!$B$218*'19_Расчет_аналитики'!BH2584,MeanMinAge02)))</f>
        <v/>
      </c>
      <c r="BI2517">
        <f>IF(OR(('19_Расчет_аналитики'!BI2433-'19_Расчет_аналитики'!BI2461)=0,2&lt;='01_Вводные'!$B$297),0,('19_Расчет_аналитики'!BI2433-'19_Расчет_аналитики'!BI2461)*IF('01_Вводные'!$B$239="Да",MeanMinAge02+'19_Расчет_аналитики'!BI2584*SUMIF(ThresholdAge02,"&lt;"&amp;'19_Расчет_аналитики'!BI2584,WeightedRevAge02)-SUMIF(ThresholdAge02,"&lt;"&amp;'19_Расчет_аналитики'!BI2584,WeightedMinAge02),MAX(CapacityAge02*'01_Вводные'!$B$218*'19_Расчет_аналитики'!BI2584,MeanMinAge02)))</f>
        <v/>
      </c>
      <c r="BJ2517">
        <f>IF(OR(('19_Расчет_аналитики'!BJ2433-'19_Расчет_аналитики'!BJ2461)=0,2&lt;='01_Вводные'!$B$297),0,('19_Расчет_аналитики'!BJ2433-'19_Расчет_аналитики'!BJ2461)*IF('01_Вводные'!$B$239="Да",MeanMinAge02+'19_Расчет_аналитики'!BJ2584*SUMIF(ThresholdAge02,"&lt;"&amp;'19_Расчет_аналитики'!BJ2584,WeightedRevAge02)-SUMIF(ThresholdAge02,"&lt;"&amp;'19_Расчет_аналитики'!BJ2584,WeightedMinAge02),MAX(CapacityAge02*'01_Вводные'!$B$218*'19_Расчет_аналитики'!BJ2584,MeanMinAge02)))</f>
        <v/>
      </c>
      <c r="BK2517">
        <f>IF(OR(('19_Расчет_аналитики'!BK2433-'19_Расчет_аналитики'!BK2461)=0,2&lt;='01_Вводные'!$B$297),0,('19_Расчет_аналитики'!BK2433-'19_Расчет_аналитики'!BK2461)*IF('01_Вводные'!$B$239="Да",MeanMinAge02+'19_Расчет_аналитики'!BK2584*SUMIF(ThresholdAge02,"&lt;"&amp;'19_Расчет_аналитики'!BK2584,WeightedRevAge02)-SUMIF(ThresholdAge02,"&lt;"&amp;'19_Расчет_аналитики'!BK2584,WeightedMinAge02),MAX(CapacityAge02*'01_Вводные'!$B$218*'19_Расчет_аналитики'!BK2584,MeanMinAge02)))</f>
        <v/>
      </c>
      <c r="BL2517">
        <f>IF(OR(('19_Расчет_аналитики'!BL2433-'19_Расчет_аналитики'!BL2461)=0,2&lt;='01_Вводные'!$B$297),0,('19_Расчет_аналитики'!BL2433-'19_Расчет_аналитики'!BL2461)*IF('01_Вводные'!$B$239="Да",MeanMinAge02+'19_Расчет_аналитики'!BL2584*SUMIF(ThresholdAge02,"&lt;"&amp;'19_Расчет_аналитики'!BL2584,WeightedRevAge02)-SUMIF(ThresholdAge02,"&lt;"&amp;'19_Расчет_аналитики'!BL2584,WeightedMinAge02),MAX(CapacityAge02*'01_Вводные'!$B$218*'19_Расчет_аналитики'!BL2584,MeanMinAge02)))</f>
        <v/>
      </c>
      <c r="BM2517">
        <f>IF(OR(('19_Расчет_аналитики'!BM2433-'19_Расчет_аналитики'!BM2461)=0,2&lt;='01_Вводные'!$B$297),0,('19_Расчет_аналитики'!BM2433-'19_Расчет_аналитики'!BM2461)*IF('01_Вводные'!$B$239="Да",MeanMinAge02+'19_Расчет_аналитики'!BM2584*SUMIF(ThresholdAge02,"&lt;"&amp;'19_Расчет_аналитики'!BM2584,WeightedRevAge02)-SUMIF(ThresholdAge02,"&lt;"&amp;'19_Расчет_аналитики'!BM2584,WeightedMinAge02),MAX(CapacityAge02*'01_Вводные'!$B$218*'19_Расчет_аналитики'!BM2584,MeanMinAge02)))</f>
        <v/>
      </c>
      <c r="BN2517">
        <f>IF(OR(('19_Расчет_аналитики'!BN2433-'19_Расчет_аналитики'!BN2461)=0,2&lt;='01_Вводные'!$B$297),0,('19_Расчет_аналитики'!BN2433-'19_Расчет_аналитики'!BN2461)*IF('01_Вводные'!$B$239="Да",MeanMinAge02+'19_Расчет_аналитики'!BN2584*SUMIF(ThresholdAge02,"&lt;"&amp;'19_Расчет_аналитики'!BN2584,WeightedRevAge02)-SUMIF(ThresholdAge02,"&lt;"&amp;'19_Расчет_аналитики'!BN2584,WeightedMinAge02),MAX(CapacityAge02*'01_Вводные'!$B$218*'19_Расчет_аналитики'!BN2584,MeanMinAge02)))</f>
        <v/>
      </c>
      <c r="BO2517">
        <f>IF(OR(('19_Расчет_аналитики'!BO2433-'19_Расчет_аналитики'!BO2461)=0,2&lt;='01_Вводные'!$B$297),0,('19_Расчет_аналитики'!BO2433-'19_Расчет_аналитики'!BO2461)*IF('01_Вводные'!$B$239="Да",MeanMinAge02+'19_Расчет_аналитики'!BO2584*SUMIF(ThresholdAge02,"&lt;"&amp;'19_Расчет_аналитики'!BO2584,WeightedRevAge02)-SUMIF(ThresholdAge02,"&lt;"&amp;'19_Расчет_аналитики'!BO2584,WeightedMinAge02),MAX(CapacityAge02*'01_Вводные'!$B$218*'19_Расчет_аналитики'!BO2584,MeanMinAge02)))</f>
        <v/>
      </c>
    </row>
    <row r="2518">
      <c r="B2518">
        <f>IF(OR(('06_Сеть_и_дети'!B55-'06_Сеть_и_дети'!B83)=0,3&lt;='01_Вводные'!$B$297),0,('06_Сеть_и_дети'!B55-'06_Сеть_и_дети'!B83)*IF('01_Вводные'!$B$239="Да",MeanMinAge03+'19_Расчет_аналитики'!B2584*SUMIF(ThresholdAge03,"&lt;"&amp;'19_Расчет_аналитики'!B2584,WeightedRevAge03)-SUMIF(ThresholdAge03,"&lt;"&amp;'19_Расчет_аналитики'!B2584,WeightedMinAge03),MAX(CapacityAge03*'01_Вводные'!$B$218*'19_Расчет_аналитики'!B2584,MeanMinAge03)))</f>
        <v/>
      </c>
      <c r="C2518">
        <f>IF(OR(('06_Сеть_и_дети'!C55-'06_Сеть_и_дети'!C83)=0,3&lt;='01_Вводные'!$B$297),0,('06_Сеть_и_дети'!C55-'06_Сеть_и_дети'!C83)*IF('01_Вводные'!$B$239="Да",MeanMinAge03+'19_Расчет_аналитики'!C2584*SUMIF(ThresholdAge03,"&lt;"&amp;'19_Расчет_аналитики'!C2584,WeightedRevAge03)-SUMIF(ThresholdAge03,"&lt;"&amp;'19_Расчет_аналитики'!C2584,WeightedMinAge03),MAX(CapacityAge03*'01_Вводные'!$B$218*'19_Расчет_аналитики'!C2584,MeanMinAge03)))</f>
        <v/>
      </c>
      <c r="D2518">
        <f>IF(OR(('19_Расчет_аналитики'!D2434-'19_Расчет_аналитики'!D2462)=0,3&lt;='01_Вводные'!$B$297),0,('19_Расчет_аналитики'!D2434-'19_Расчет_аналитики'!D2462)*IF('01_Вводные'!$B$239="Да",MeanMinAge03+'19_Расчет_аналитики'!D2584*SUMIF(ThresholdAge03,"&lt;"&amp;'19_Расчет_аналитики'!D2584,WeightedRevAge03)-SUMIF(ThresholdAge03,"&lt;"&amp;'19_Расчет_аналитики'!D2584,WeightedMinAge03),MAX(CapacityAge03*'01_Вводные'!$B$218*'19_Расчет_аналитики'!D2584,MeanMinAge03)))</f>
        <v/>
      </c>
      <c r="E2518">
        <f>IF(OR(('19_Расчет_аналитики'!E2434-'19_Расчет_аналитики'!E2462)=0,3&lt;='01_Вводные'!$B$297),0,('19_Расчет_аналитики'!E2434-'19_Расчет_аналитики'!E2462)*IF('01_Вводные'!$B$239="Да",MeanMinAge03+'19_Расчет_аналитики'!E2584*SUMIF(ThresholdAge03,"&lt;"&amp;'19_Расчет_аналитики'!E2584,WeightedRevAge03)-SUMIF(ThresholdAge03,"&lt;"&amp;'19_Расчет_аналитики'!E2584,WeightedMinAge03),MAX(CapacityAge03*'01_Вводные'!$B$218*'19_Расчет_аналитики'!E2584,MeanMinAge03)))</f>
        <v/>
      </c>
      <c r="F2518">
        <f>IF(OR(('19_Расчет_аналитики'!F2434-'19_Расчет_аналитики'!F2462)=0,3&lt;='01_Вводные'!$B$297),0,('19_Расчет_аналитики'!F2434-'19_Расчет_аналитики'!F2462)*IF('01_Вводные'!$B$239="Да",MeanMinAge03+'19_Расчет_аналитики'!F2584*SUMIF(ThresholdAge03,"&lt;"&amp;'19_Расчет_аналитики'!F2584,WeightedRevAge03)-SUMIF(ThresholdAge03,"&lt;"&amp;'19_Расчет_аналитики'!F2584,WeightedMinAge03),MAX(CapacityAge03*'01_Вводные'!$B$218*'19_Расчет_аналитики'!F2584,MeanMinAge03)))</f>
        <v/>
      </c>
      <c r="G2518">
        <f>IF(OR(('19_Расчет_аналитики'!G2434-'19_Расчет_аналитики'!G2462)=0,3&lt;='01_Вводные'!$B$297),0,('19_Расчет_аналитики'!G2434-'19_Расчет_аналитики'!G2462)*IF('01_Вводные'!$B$239="Да",MeanMinAge03+'19_Расчет_аналитики'!G2584*SUMIF(ThresholdAge03,"&lt;"&amp;'19_Расчет_аналитики'!G2584,WeightedRevAge03)-SUMIF(ThresholdAge03,"&lt;"&amp;'19_Расчет_аналитики'!G2584,WeightedMinAge03),MAX(CapacityAge03*'01_Вводные'!$B$218*'19_Расчет_аналитики'!G2584,MeanMinAge03)))</f>
        <v/>
      </c>
      <c r="H2518">
        <f>IF(OR(('19_Расчет_аналитики'!H2434-'19_Расчет_аналитики'!H2462)=0,3&lt;='01_Вводные'!$B$297),0,('19_Расчет_аналитики'!H2434-'19_Расчет_аналитики'!H2462)*IF('01_Вводные'!$B$239="Да",MeanMinAge03+'19_Расчет_аналитики'!H2584*SUMIF(ThresholdAge03,"&lt;"&amp;'19_Расчет_аналитики'!H2584,WeightedRevAge03)-SUMIF(ThresholdAge03,"&lt;"&amp;'19_Расчет_аналитики'!H2584,WeightedMinAge03),MAX(CapacityAge03*'01_Вводные'!$B$218*'19_Расчет_аналитики'!H2584,MeanMinAge03)))</f>
        <v/>
      </c>
      <c r="I2518">
        <f>IF(OR(('19_Расчет_аналитики'!I2434-'19_Расчет_аналитики'!I2462)=0,3&lt;='01_Вводные'!$B$297),0,('19_Расчет_аналитики'!I2434-'19_Расчет_аналитики'!I2462)*IF('01_Вводные'!$B$239="Да",MeanMinAge03+'19_Расчет_аналитики'!I2584*SUMIF(ThresholdAge03,"&lt;"&amp;'19_Расчет_аналитики'!I2584,WeightedRevAge03)-SUMIF(ThresholdAge03,"&lt;"&amp;'19_Расчет_аналитики'!I2584,WeightedMinAge03),MAX(CapacityAge03*'01_Вводные'!$B$218*'19_Расчет_аналитики'!I2584,MeanMinAge03)))</f>
        <v/>
      </c>
      <c r="J2518">
        <f>IF(OR(('19_Расчет_аналитики'!J2434-'19_Расчет_аналитики'!J2462)=0,3&lt;='01_Вводные'!$B$297),0,('19_Расчет_аналитики'!J2434-'19_Расчет_аналитики'!J2462)*IF('01_Вводные'!$B$239="Да",MeanMinAge03+'19_Расчет_аналитики'!J2584*SUMIF(ThresholdAge03,"&lt;"&amp;'19_Расчет_аналитики'!J2584,WeightedRevAge03)-SUMIF(ThresholdAge03,"&lt;"&amp;'19_Расчет_аналитики'!J2584,WeightedMinAge03),MAX(CapacityAge03*'01_Вводные'!$B$218*'19_Расчет_аналитики'!J2584,MeanMinAge03)))</f>
        <v/>
      </c>
      <c r="K2518">
        <f>IF(OR(('19_Расчет_аналитики'!K2434-'19_Расчет_аналитики'!K2462)=0,3&lt;='01_Вводные'!$B$297),0,('19_Расчет_аналитики'!K2434-'19_Расчет_аналитики'!K2462)*IF('01_Вводные'!$B$239="Да",MeanMinAge03+'19_Расчет_аналитики'!K2584*SUMIF(ThresholdAge03,"&lt;"&amp;'19_Расчет_аналитики'!K2584,WeightedRevAge03)-SUMIF(ThresholdAge03,"&lt;"&amp;'19_Расчет_аналитики'!K2584,WeightedMinAge03),MAX(CapacityAge03*'01_Вводные'!$B$218*'19_Расчет_аналитики'!K2584,MeanMinAge03)))</f>
        <v/>
      </c>
      <c r="L2518">
        <f>IF(OR(('19_Расчет_аналитики'!L2434-'19_Расчет_аналитики'!L2462)=0,3&lt;='01_Вводные'!$B$297),0,('19_Расчет_аналитики'!L2434-'19_Расчет_аналитики'!L2462)*IF('01_Вводные'!$B$239="Да",MeanMinAge03+'19_Расчет_аналитики'!L2584*SUMIF(ThresholdAge03,"&lt;"&amp;'19_Расчет_аналитики'!L2584,WeightedRevAge03)-SUMIF(ThresholdAge03,"&lt;"&amp;'19_Расчет_аналитики'!L2584,WeightedMinAge03),MAX(CapacityAge03*'01_Вводные'!$B$218*'19_Расчет_аналитики'!L2584,MeanMinAge03)))</f>
        <v/>
      </c>
      <c r="M2518">
        <f>IF(OR(('19_Расчет_аналитики'!M2434-'19_Расчет_аналитики'!M2462)=0,3&lt;='01_Вводные'!$B$297),0,('19_Расчет_аналитики'!M2434-'19_Расчет_аналитики'!M2462)*IF('01_Вводные'!$B$239="Да",MeanMinAge03+'19_Расчет_аналитики'!M2584*SUMIF(ThresholdAge03,"&lt;"&amp;'19_Расчет_аналитики'!M2584,WeightedRevAge03)-SUMIF(ThresholdAge03,"&lt;"&amp;'19_Расчет_аналитики'!M2584,WeightedMinAge03),MAX(CapacityAge03*'01_Вводные'!$B$218*'19_Расчет_аналитики'!M2584,MeanMinAge03)))</f>
        <v/>
      </c>
      <c r="N2518">
        <f>IF(OR(('19_Расчет_аналитики'!N2434-'19_Расчет_аналитики'!N2462)=0,3&lt;='01_Вводные'!$B$297),0,('19_Расчет_аналитики'!N2434-'19_Расчет_аналитики'!N2462)*IF('01_Вводные'!$B$239="Да",MeanMinAge03+'19_Расчет_аналитики'!N2584*SUMIF(ThresholdAge03,"&lt;"&amp;'19_Расчет_аналитики'!N2584,WeightedRevAge03)-SUMIF(ThresholdAge03,"&lt;"&amp;'19_Расчет_аналитики'!N2584,WeightedMinAge03),MAX(CapacityAge03*'01_Вводные'!$B$218*'19_Расчет_аналитики'!N2584,MeanMinAge03)))</f>
        <v/>
      </c>
      <c r="O2518">
        <f>IF(OR(('19_Расчет_аналитики'!O2434-'19_Расчет_аналитики'!O2462)=0,3&lt;='01_Вводные'!$B$297),0,('19_Расчет_аналитики'!O2434-'19_Расчет_аналитики'!O2462)*IF('01_Вводные'!$B$239="Да",MeanMinAge03+'19_Расчет_аналитики'!O2584*SUMIF(ThresholdAge03,"&lt;"&amp;'19_Расчет_аналитики'!O2584,WeightedRevAge03)-SUMIF(ThresholdAge03,"&lt;"&amp;'19_Расчет_аналитики'!O2584,WeightedMinAge03),MAX(CapacityAge03*'01_Вводные'!$B$218*'19_Расчет_аналитики'!O2584,MeanMinAge03)))</f>
        <v/>
      </c>
      <c r="P2518">
        <f>IF(OR(('19_Расчет_аналитики'!P2434-'19_Расчет_аналитики'!P2462)=0,3&lt;='01_Вводные'!$B$297),0,('19_Расчет_аналитики'!P2434-'19_Расчет_аналитики'!P2462)*IF('01_Вводные'!$B$239="Да",MeanMinAge03+'19_Расчет_аналитики'!P2584*SUMIF(ThresholdAge03,"&lt;"&amp;'19_Расчет_аналитики'!P2584,WeightedRevAge03)-SUMIF(ThresholdAge03,"&lt;"&amp;'19_Расчет_аналитики'!P2584,WeightedMinAge03),MAX(CapacityAge03*'01_Вводные'!$B$218*'19_Расчет_аналитики'!P2584,MeanMinAge03)))</f>
        <v/>
      </c>
      <c r="Q2518">
        <f>IF(OR(('19_Расчет_аналитики'!Q2434-'19_Расчет_аналитики'!Q2462)=0,3&lt;='01_Вводные'!$B$297),0,('19_Расчет_аналитики'!Q2434-'19_Расчет_аналитики'!Q2462)*IF('01_Вводные'!$B$239="Да",MeanMinAge03+'19_Расчет_аналитики'!Q2584*SUMIF(ThresholdAge03,"&lt;"&amp;'19_Расчет_аналитики'!Q2584,WeightedRevAge03)-SUMIF(ThresholdAge03,"&lt;"&amp;'19_Расчет_аналитики'!Q2584,WeightedMinAge03),MAX(CapacityAge03*'01_Вводные'!$B$218*'19_Расчет_аналитики'!Q2584,MeanMinAge03)))</f>
        <v/>
      </c>
      <c r="R2518">
        <f>IF(OR(('19_Расчет_аналитики'!R2434-'19_Расчет_аналитики'!R2462)=0,3&lt;='01_Вводные'!$B$297),0,('19_Расчет_аналитики'!R2434-'19_Расчет_аналитики'!R2462)*IF('01_Вводные'!$B$239="Да",MeanMinAge03+'19_Расчет_аналитики'!R2584*SUMIF(ThresholdAge03,"&lt;"&amp;'19_Расчет_аналитики'!R2584,WeightedRevAge03)-SUMIF(ThresholdAge03,"&lt;"&amp;'19_Расчет_аналитики'!R2584,WeightedMinAge03),MAX(CapacityAge03*'01_Вводные'!$B$218*'19_Расчет_аналитики'!R2584,MeanMinAge03)))</f>
        <v/>
      </c>
      <c r="S2518">
        <f>IF(OR(('19_Расчет_аналитики'!S2434-'19_Расчет_аналитики'!S2462)=0,3&lt;='01_Вводные'!$B$297),0,('19_Расчет_аналитики'!S2434-'19_Расчет_аналитики'!S2462)*IF('01_Вводные'!$B$239="Да",MeanMinAge03+'19_Расчет_аналитики'!S2584*SUMIF(ThresholdAge03,"&lt;"&amp;'19_Расчет_аналитики'!S2584,WeightedRevAge03)-SUMIF(ThresholdAge03,"&lt;"&amp;'19_Расчет_аналитики'!S2584,WeightedMinAge03),MAX(CapacityAge03*'01_Вводные'!$B$218*'19_Расчет_аналитики'!S2584,MeanMinAge03)))</f>
        <v/>
      </c>
      <c r="T2518">
        <f>IF(OR(('19_Расчет_аналитики'!T2434-'19_Расчет_аналитики'!T2462)=0,3&lt;='01_Вводные'!$B$297),0,('19_Расчет_аналитики'!T2434-'19_Расчет_аналитики'!T2462)*IF('01_Вводные'!$B$239="Да",MeanMinAge03+'19_Расчет_аналитики'!T2584*SUMIF(ThresholdAge03,"&lt;"&amp;'19_Расчет_аналитики'!T2584,WeightedRevAge03)-SUMIF(ThresholdAge03,"&lt;"&amp;'19_Расчет_аналитики'!T2584,WeightedMinAge03),MAX(CapacityAge03*'01_Вводные'!$B$218*'19_Расчет_аналитики'!T2584,MeanMinAge03)))</f>
        <v/>
      </c>
      <c r="U2518">
        <f>IF(OR(('19_Расчет_аналитики'!U2434-'19_Расчет_аналитики'!U2462)=0,3&lt;='01_Вводные'!$B$297),0,('19_Расчет_аналитики'!U2434-'19_Расчет_аналитики'!U2462)*IF('01_Вводные'!$B$239="Да",MeanMinAge03+'19_Расчет_аналитики'!U2584*SUMIF(ThresholdAge03,"&lt;"&amp;'19_Расчет_аналитики'!U2584,WeightedRevAge03)-SUMIF(ThresholdAge03,"&lt;"&amp;'19_Расчет_аналитики'!U2584,WeightedMinAge03),MAX(CapacityAge03*'01_Вводные'!$B$218*'19_Расчет_аналитики'!U2584,MeanMinAge03)))</f>
        <v/>
      </c>
      <c r="V2518">
        <f>IF(OR(('19_Расчет_аналитики'!V2434-'19_Расчет_аналитики'!V2462)=0,3&lt;='01_Вводные'!$B$297),0,('19_Расчет_аналитики'!V2434-'19_Расчет_аналитики'!V2462)*IF('01_Вводные'!$B$239="Да",MeanMinAge03+'19_Расчет_аналитики'!V2584*SUMIF(ThresholdAge03,"&lt;"&amp;'19_Расчет_аналитики'!V2584,WeightedRevAge03)-SUMIF(ThresholdAge03,"&lt;"&amp;'19_Расчет_аналитики'!V2584,WeightedMinAge03),MAX(CapacityAge03*'01_Вводные'!$B$218*'19_Расчет_аналитики'!V2584,MeanMinAge03)))</f>
        <v/>
      </c>
      <c r="W2518">
        <f>IF(OR(('19_Расчет_аналитики'!W2434-'19_Расчет_аналитики'!W2462)=0,3&lt;='01_Вводные'!$B$297),0,('19_Расчет_аналитики'!W2434-'19_Расчет_аналитики'!W2462)*IF('01_Вводные'!$B$239="Да",MeanMinAge03+'19_Расчет_аналитики'!W2584*SUMIF(ThresholdAge03,"&lt;"&amp;'19_Расчет_аналитики'!W2584,WeightedRevAge03)-SUMIF(ThresholdAge03,"&lt;"&amp;'19_Расчет_аналитики'!W2584,WeightedMinAge03),MAX(CapacityAge03*'01_Вводные'!$B$218*'19_Расчет_аналитики'!W2584,MeanMinAge03)))</f>
        <v/>
      </c>
      <c r="X2518">
        <f>IF(OR(('19_Расчет_аналитики'!X2434-'19_Расчет_аналитики'!X2462)=0,3&lt;='01_Вводные'!$B$297),0,('19_Расчет_аналитики'!X2434-'19_Расчет_аналитики'!X2462)*IF('01_Вводные'!$B$239="Да",MeanMinAge03+'19_Расчет_аналитики'!X2584*SUMIF(ThresholdAge03,"&lt;"&amp;'19_Расчет_аналитики'!X2584,WeightedRevAge03)-SUMIF(ThresholdAge03,"&lt;"&amp;'19_Расчет_аналитики'!X2584,WeightedMinAge03),MAX(CapacityAge03*'01_Вводные'!$B$218*'19_Расчет_аналитики'!X2584,MeanMinAge03)))</f>
        <v/>
      </c>
      <c r="Y2518">
        <f>IF(OR(('19_Расчет_аналитики'!Y2434-'19_Расчет_аналитики'!Y2462)=0,3&lt;='01_Вводные'!$B$297),0,('19_Расчет_аналитики'!Y2434-'19_Расчет_аналитики'!Y2462)*IF('01_Вводные'!$B$239="Да",MeanMinAge03+'19_Расчет_аналитики'!Y2584*SUMIF(ThresholdAge03,"&lt;"&amp;'19_Расчет_аналитики'!Y2584,WeightedRevAge03)-SUMIF(ThresholdAge03,"&lt;"&amp;'19_Расчет_аналитики'!Y2584,WeightedMinAge03),MAX(CapacityAge03*'01_Вводные'!$B$218*'19_Расчет_аналитики'!Y2584,MeanMinAge03)))</f>
        <v/>
      </c>
      <c r="Z2518">
        <f>IF(OR(('19_Расчет_аналитики'!Z2434-'19_Расчет_аналитики'!Z2462)=0,3&lt;='01_Вводные'!$B$297),0,('19_Расчет_аналитики'!Z2434-'19_Расчет_аналитики'!Z2462)*IF('01_Вводные'!$B$239="Да",MeanMinAge03+'19_Расчет_аналитики'!Z2584*SUMIF(ThresholdAge03,"&lt;"&amp;'19_Расчет_аналитики'!Z2584,WeightedRevAge03)-SUMIF(ThresholdAge03,"&lt;"&amp;'19_Расчет_аналитики'!Z2584,WeightedMinAge03),MAX(CapacityAge03*'01_Вводные'!$B$218*'19_Расчет_аналитики'!Z2584,MeanMinAge03)))</f>
        <v/>
      </c>
      <c r="AA2518">
        <f>IF(OR(('19_Расчет_аналитики'!AA2434-'19_Расчет_аналитики'!AA2462)=0,3&lt;='01_Вводные'!$B$297),0,('19_Расчет_аналитики'!AA2434-'19_Расчет_аналитики'!AA2462)*IF('01_Вводные'!$B$239="Да",MeanMinAge03+'19_Расчет_аналитики'!AA2584*SUMIF(ThresholdAge03,"&lt;"&amp;'19_Расчет_аналитики'!AA2584,WeightedRevAge03)-SUMIF(ThresholdAge03,"&lt;"&amp;'19_Расчет_аналитики'!AA2584,WeightedMinAge03),MAX(CapacityAge03*'01_Вводные'!$B$218*'19_Расчет_аналитики'!AA2584,MeanMinAge03)))</f>
        <v/>
      </c>
      <c r="AB2518">
        <f>IF(OR(('19_Расчет_аналитики'!AB2434-'19_Расчет_аналитики'!AB2462)=0,3&lt;='01_Вводные'!$B$297),0,('19_Расчет_аналитики'!AB2434-'19_Расчет_аналитики'!AB2462)*IF('01_Вводные'!$B$239="Да",MeanMinAge03+'19_Расчет_аналитики'!AB2584*SUMIF(ThresholdAge03,"&lt;"&amp;'19_Расчет_аналитики'!AB2584,WeightedRevAge03)-SUMIF(ThresholdAge03,"&lt;"&amp;'19_Расчет_аналитики'!AB2584,WeightedMinAge03),MAX(CapacityAge03*'01_Вводные'!$B$218*'19_Расчет_аналитики'!AB2584,MeanMinAge03)))</f>
        <v/>
      </c>
      <c r="AC2518">
        <f>IF(OR(('19_Расчет_аналитики'!AC2434-'19_Расчет_аналитики'!AC2462)=0,3&lt;='01_Вводные'!$B$297),0,('19_Расчет_аналитики'!AC2434-'19_Расчет_аналитики'!AC2462)*IF('01_Вводные'!$B$239="Да",MeanMinAge03+'19_Расчет_аналитики'!AC2584*SUMIF(ThresholdAge03,"&lt;"&amp;'19_Расчет_аналитики'!AC2584,WeightedRevAge03)-SUMIF(ThresholdAge03,"&lt;"&amp;'19_Расчет_аналитики'!AC2584,WeightedMinAge03),MAX(CapacityAge03*'01_Вводные'!$B$218*'19_Расчет_аналитики'!AC2584,MeanMinAge03)))</f>
        <v/>
      </c>
      <c r="AD2518">
        <f>IF(OR(('19_Расчет_аналитики'!AD2434-'19_Расчет_аналитики'!AD2462)=0,3&lt;='01_Вводные'!$B$297),0,('19_Расчет_аналитики'!AD2434-'19_Расчет_аналитики'!AD2462)*IF('01_Вводные'!$B$239="Да",MeanMinAge03+'19_Расчет_аналитики'!AD2584*SUMIF(ThresholdAge03,"&lt;"&amp;'19_Расчет_аналитики'!AD2584,WeightedRevAge03)-SUMIF(ThresholdAge03,"&lt;"&amp;'19_Расчет_аналитики'!AD2584,WeightedMinAge03),MAX(CapacityAge03*'01_Вводные'!$B$218*'19_Расчет_аналитики'!AD2584,MeanMinAge03)))</f>
        <v/>
      </c>
      <c r="AE2518">
        <f>IF(OR(('19_Расчет_аналитики'!AE2434-'19_Расчет_аналитики'!AE2462)=0,3&lt;='01_Вводные'!$B$297),0,('19_Расчет_аналитики'!AE2434-'19_Расчет_аналитики'!AE2462)*IF('01_Вводные'!$B$239="Да",MeanMinAge03+'19_Расчет_аналитики'!AE2584*SUMIF(ThresholdAge03,"&lt;"&amp;'19_Расчет_аналитики'!AE2584,WeightedRevAge03)-SUMIF(ThresholdAge03,"&lt;"&amp;'19_Расчет_аналитики'!AE2584,WeightedMinAge03),MAX(CapacityAge03*'01_Вводные'!$B$218*'19_Расчет_аналитики'!AE2584,MeanMinAge03)))</f>
        <v/>
      </c>
      <c r="AF2518">
        <f>IF(OR(('19_Расчет_аналитики'!AF2434-'19_Расчет_аналитики'!AF2462)=0,3&lt;='01_Вводные'!$B$297),0,('19_Расчет_аналитики'!AF2434-'19_Расчет_аналитики'!AF2462)*IF('01_Вводные'!$B$239="Да",MeanMinAge03+'19_Расчет_аналитики'!AF2584*SUMIF(ThresholdAge03,"&lt;"&amp;'19_Расчет_аналитики'!AF2584,WeightedRevAge03)-SUMIF(ThresholdAge03,"&lt;"&amp;'19_Расчет_аналитики'!AF2584,WeightedMinAge03),MAX(CapacityAge03*'01_Вводные'!$B$218*'19_Расчет_аналитики'!AF2584,MeanMinAge03)))</f>
        <v/>
      </c>
      <c r="AG2518">
        <f>IF(OR(('19_Расчет_аналитики'!AG2434-'19_Расчет_аналитики'!AG2462)=0,3&lt;='01_Вводные'!$B$297),0,('19_Расчет_аналитики'!AG2434-'19_Расчет_аналитики'!AG2462)*IF('01_Вводные'!$B$239="Да",MeanMinAge03+'19_Расчет_аналитики'!AG2584*SUMIF(ThresholdAge03,"&lt;"&amp;'19_Расчет_аналитики'!AG2584,WeightedRevAge03)-SUMIF(ThresholdAge03,"&lt;"&amp;'19_Расчет_аналитики'!AG2584,WeightedMinAge03),MAX(CapacityAge03*'01_Вводные'!$B$218*'19_Расчет_аналитики'!AG2584,MeanMinAge03)))</f>
        <v/>
      </c>
      <c r="AH2518">
        <f>IF(OR(('19_Расчет_аналитики'!AH2434-'19_Расчет_аналитики'!AH2462)=0,3&lt;='01_Вводные'!$B$297),0,('19_Расчет_аналитики'!AH2434-'19_Расчет_аналитики'!AH2462)*IF('01_Вводные'!$B$239="Да",MeanMinAge03+'19_Расчет_аналитики'!AH2584*SUMIF(ThresholdAge03,"&lt;"&amp;'19_Расчет_аналитики'!AH2584,WeightedRevAge03)-SUMIF(ThresholdAge03,"&lt;"&amp;'19_Расчет_аналитики'!AH2584,WeightedMinAge03),MAX(CapacityAge03*'01_Вводные'!$B$218*'19_Расчет_аналитики'!AH2584,MeanMinAge03)))</f>
        <v/>
      </c>
      <c r="AI2518">
        <f>IF(OR(('19_Расчет_аналитики'!AI2434-'19_Расчет_аналитики'!AI2462)=0,3&lt;='01_Вводные'!$B$297),0,('19_Расчет_аналитики'!AI2434-'19_Расчет_аналитики'!AI2462)*IF('01_Вводные'!$B$239="Да",MeanMinAge03+'19_Расчет_аналитики'!AI2584*SUMIF(ThresholdAge03,"&lt;"&amp;'19_Расчет_аналитики'!AI2584,WeightedRevAge03)-SUMIF(ThresholdAge03,"&lt;"&amp;'19_Расчет_аналитики'!AI2584,WeightedMinAge03),MAX(CapacityAge03*'01_Вводные'!$B$218*'19_Расчет_аналитики'!AI2584,MeanMinAge03)))</f>
        <v/>
      </c>
      <c r="AJ2518">
        <f>IF(OR(('19_Расчет_аналитики'!AJ2434-'19_Расчет_аналитики'!AJ2462)=0,3&lt;='01_Вводные'!$B$297),0,('19_Расчет_аналитики'!AJ2434-'19_Расчет_аналитики'!AJ2462)*IF('01_Вводные'!$B$239="Да",MeanMinAge03+'19_Расчет_аналитики'!AJ2584*SUMIF(ThresholdAge03,"&lt;"&amp;'19_Расчет_аналитики'!AJ2584,WeightedRevAge03)-SUMIF(ThresholdAge03,"&lt;"&amp;'19_Расчет_аналитики'!AJ2584,WeightedMinAge03),MAX(CapacityAge03*'01_Вводные'!$B$218*'19_Расчет_аналитики'!AJ2584,MeanMinAge03)))</f>
        <v/>
      </c>
      <c r="AK2518">
        <f>IF(OR(('19_Расчет_аналитики'!AK2434-'19_Расчет_аналитики'!AK2462)=0,3&lt;='01_Вводные'!$B$297),0,('19_Расчет_аналитики'!AK2434-'19_Расчет_аналитики'!AK2462)*IF('01_Вводные'!$B$239="Да",MeanMinAge03+'19_Расчет_аналитики'!AK2584*SUMIF(ThresholdAge03,"&lt;"&amp;'19_Расчет_аналитики'!AK2584,WeightedRevAge03)-SUMIF(ThresholdAge03,"&lt;"&amp;'19_Расчет_аналитики'!AK2584,WeightedMinAge03),MAX(CapacityAge03*'01_Вводные'!$B$218*'19_Расчет_аналитики'!AK2584,MeanMinAge03)))</f>
        <v/>
      </c>
      <c r="AL2518">
        <f>IF(OR(('19_Расчет_аналитики'!AL2434-'19_Расчет_аналитики'!AL2462)=0,3&lt;='01_Вводные'!$B$297),0,('19_Расчет_аналитики'!AL2434-'19_Расчет_аналитики'!AL2462)*IF('01_Вводные'!$B$239="Да",MeanMinAge03+'19_Расчет_аналитики'!AL2584*SUMIF(ThresholdAge03,"&lt;"&amp;'19_Расчет_аналитики'!AL2584,WeightedRevAge03)-SUMIF(ThresholdAge03,"&lt;"&amp;'19_Расчет_аналитики'!AL2584,WeightedMinAge03),MAX(CapacityAge03*'01_Вводные'!$B$218*'19_Расчет_аналитики'!AL2584,MeanMinAge03)))</f>
        <v/>
      </c>
      <c r="AM2518">
        <f>IF(OR(('19_Расчет_аналитики'!AM2434-'19_Расчет_аналитики'!AM2462)=0,3&lt;='01_Вводные'!$B$297),0,('19_Расчет_аналитики'!AM2434-'19_Расчет_аналитики'!AM2462)*IF('01_Вводные'!$B$239="Да",MeanMinAge03+'19_Расчет_аналитики'!AM2584*SUMIF(ThresholdAge03,"&lt;"&amp;'19_Расчет_аналитики'!AM2584,WeightedRevAge03)-SUMIF(ThresholdAge03,"&lt;"&amp;'19_Расчет_аналитики'!AM2584,WeightedMinAge03),MAX(CapacityAge03*'01_Вводные'!$B$218*'19_Расчет_аналитики'!AM2584,MeanMinAge03)))</f>
        <v/>
      </c>
      <c r="AN2518">
        <f>IF(OR(('19_Расчет_аналитики'!AN2434-'19_Расчет_аналитики'!AN2462)=0,3&lt;='01_Вводные'!$B$297),0,('19_Расчет_аналитики'!AN2434-'19_Расчет_аналитики'!AN2462)*IF('01_Вводные'!$B$239="Да",MeanMinAge03+'19_Расчет_аналитики'!AN2584*SUMIF(ThresholdAge03,"&lt;"&amp;'19_Расчет_аналитики'!AN2584,WeightedRevAge03)-SUMIF(ThresholdAge03,"&lt;"&amp;'19_Расчет_аналитики'!AN2584,WeightedMinAge03),MAX(CapacityAge03*'01_Вводные'!$B$218*'19_Расчет_аналитики'!AN2584,MeanMinAge03)))</f>
        <v/>
      </c>
      <c r="AO2518">
        <f>IF(OR(('19_Расчет_аналитики'!AO2434-'19_Расчет_аналитики'!AO2462)=0,3&lt;='01_Вводные'!$B$297),0,('19_Расчет_аналитики'!AO2434-'19_Расчет_аналитики'!AO2462)*IF('01_Вводные'!$B$239="Да",MeanMinAge03+'19_Расчет_аналитики'!AO2584*SUMIF(ThresholdAge03,"&lt;"&amp;'19_Расчет_аналитики'!AO2584,WeightedRevAge03)-SUMIF(ThresholdAge03,"&lt;"&amp;'19_Расчет_аналитики'!AO2584,WeightedMinAge03),MAX(CapacityAge03*'01_Вводные'!$B$218*'19_Расчет_аналитики'!AO2584,MeanMinAge03)))</f>
        <v/>
      </c>
      <c r="AP2518">
        <f>IF(OR(('19_Расчет_аналитики'!AP2434-'19_Расчет_аналитики'!AP2462)=0,3&lt;='01_Вводные'!$B$297),0,('19_Расчет_аналитики'!AP2434-'19_Расчет_аналитики'!AP2462)*IF('01_Вводные'!$B$239="Да",MeanMinAge03+'19_Расчет_аналитики'!AP2584*SUMIF(ThresholdAge03,"&lt;"&amp;'19_Расчет_аналитики'!AP2584,WeightedRevAge03)-SUMIF(ThresholdAge03,"&lt;"&amp;'19_Расчет_аналитики'!AP2584,WeightedMinAge03),MAX(CapacityAge03*'01_Вводные'!$B$218*'19_Расчет_аналитики'!AP2584,MeanMinAge03)))</f>
        <v/>
      </c>
      <c r="AQ2518">
        <f>IF(OR(('19_Расчет_аналитики'!AQ2434-'19_Расчет_аналитики'!AQ2462)=0,3&lt;='01_Вводные'!$B$297),0,('19_Расчет_аналитики'!AQ2434-'19_Расчет_аналитики'!AQ2462)*IF('01_Вводные'!$B$239="Да",MeanMinAge03+'19_Расчет_аналитики'!AQ2584*SUMIF(ThresholdAge03,"&lt;"&amp;'19_Расчет_аналитики'!AQ2584,WeightedRevAge03)-SUMIF(ThresholdAge03,"&lt;"&amp;'19_Расчет_аналитики'!AQ2584,WeightedMinAge03),MAX(CapacityAge03*'01_Вводные'!$B$218*'19_Расчет_аналитики'!AQ2584,MeanMinAge03)))</f>
        <v/>
      </c>
      <c r="AR2518">
        <f>IF(OR(('19_Расчет_аналитики'!AR2434-'19_Расчет_аналитики'!AR2462)=0,3&lt;='01_Вводные'!$B$297),0,('19_Расчет_аналитики'!AR2434-'19_Расчет_аналитики'!AR2462)*IF('01_Вводные'!$B$239="Да",MeanMinAge03+'19_Расчет_аналитики'!AR2584*SUMIF(ThresholdAge03,"&lt;"&amp;'19_Расчет_аналитики'!AR2584,WeightedRevAge03)-SUMIF(ThresholdAge03,"&lt;"&amp;'19_Расчет_аналитики'!AR2584,WeightedMinAge03),MAX(CapacityAge03*'01_Вводные'!$B$218*'19_Расчет_аналитики'!AR2584,MeanMinAge03)))</f>
        <v/>
      </c>
      <c r="AS2518">
        <f>IF(OR(('19_Расчет_аналитики'!AS2434-'19_Расчет_аналитики'!AS2462)=0,3&lt;='01_Вводные'!$B$297),0,('19_Расчет_аналитики'!AS2434-'19_Расчет_аналитики'!AS2462)*IF('01_Вводные'!$B$239="Да",MeanMinAge03+'19_Расчет_аналитики'!AS2584*SUMIF(ThresholdAge03,"&lt;"&amp;'19_Расчет_аналитики'!AS2584,WeightedRevAge03)-SUMIF(ThresholdAge03,"&lt;"&amp;'19_Расчет_аналитики'!AS2584,WeightedMinAge03),MAX(CapacityAge03*'01_Вводные'!$B$218*'19_Расчет_аналитики'!AS2584,MeanMinAge03)))</f>
        <v/>
      </c>
      <c r="AT2518">
        <f>IF(OR(('19_Расчет_аналитики'!AT2434-'19_Расчет_аналитики'!AT2462)=0,3&lt;='01_Вводные'!$B$297),0,('19_Расчет_аналитики'!AT2434-'19_Расчет_аналитики'!AT2462)*IF('01_Вводные'!$B$239="Да",MeanMinAge03+'19_Расчет_аналитики'!AT2584*SUMIF(ThresholdAge03,"&lt;"&amp;'19_Расчет_аналитики'!AT2584,WeightedRevAge03)-SUMIF(ThresholdAge03,"&lt;"&amp;'19_Расчет_аналитики'!AT2584,WeightedMinAge03),MAX(CapacityAge03*'01_Вводные'!$B$218*'19_Расчет_аналитики'!AT2584,MeanMinAge03)))</f>
        <v/>
      </c>
      <c r="AU2518">
        <f>IF(OR(('19_Расчет_аналитики'!AU2434-'19_Расчет_аналитики'!AU2462)=0,3&lt;='01_Вводные'!$B$297),0,('19_Расчет_аналитики'!AU2434-'19_Расчет_аналитики'!AU2462)*IF('01_Вводные'!$B$239="Да",MeanMinAge03+'19_Расчет_аналитики'!AU2584*SUMIF(ThresholdAge03,"&lt;"&amp;'19_Расчет_аналитики'!AU2584,WeightedRevAge03)-SUMIF(ThresholdAge03,"&lt;"&amp;'19_Расчет_аналитики'!AU2584,WeightedMinAge03),MAX(CapacityAge03*'01_Вводные'!$B$218*'19_Расчет_аналитики'!AU2584,MeanMinAge03)))</f>
        <v/>
      </c>
      <c r="AV2518">
        <f>IF(OR(('19_Расчет_аналитики'!AV2434-'19_Расчет_аналитики'!AV2462)=0,3&lt;='01_Вводные'!$B$297),0,('19_Расчет_аналитики'!AV2434-'19_Расчет_аналитики'!AV2462)*IF('01_Вводные'!$B$239="Да",MeanMinAge03+'19_Расчет_аналитики'!AV2584*SUMIF(ThresholdAge03,"&lt;"&amp;'19_Расчет_аналитики'!AV2584,WeightedRevAge03)-SUMIF(ThresholdAge03,"&lt;"&amp;'19_Расчет_аналитики'!AV2584,WeightedMinAge03),MAX(CapacityAge03*'01_Вводные'!$B$218*'19_Расчет_аналитики'!AV2584,MeanMinAge03)))</f>
        <v/>
      </c>
      <c r="AW2518">
        <f>IF(OR(('19_Расчет_аналитики'!AW2434-'19_Расчет_аналитики'!AW2462)=0,3&lt;='01_Вводные'!$B$297),0,('19_Расчет_аналитики'!AW2434-'19_Расчет_аналитики'!AW2462)*IF('01_Вводные'!$B$239="Да",MeanMinAge03+'19_Расчет_аналитики'!AW2584*SUMIF(ThresholdAge03,"&lt;"&amp;'19_Расчет_аналитики'!AW2584,WeightedRevAge03)-SUMIF(ThresholdAge03,"&lt;"&amp;'19_Расчет_аналитики'!AW2584,WeightedMinAge03),MAX(CapacityAge03*'01_Вводные'!$B$218*'19_Расчет_аналитики'!AW2584,MeanMinAge03)))</f>
        <v/>
      </c>
      <c r="AX2518">
        <f>IF(OR(('19_Расчет_аналитики'!AX2434-'19_Расчет_аналитики'!AX2462)=0,3&lt;='01_Вводные'!$B$297),0,('19_Расчет_аналитики'!AX2434-'19_Расчет_аналитики'!AX2462)*IF('01_Вводные'!$B$239="Да",MeanMinAge03+'19_Расчет_аналитики'!AX2584*SUMIF(ThresholdAge03,"&lt;"&amp;'19_Расчет_аналитики'!AX2584,WeightedRevAge03)-SUMIF(ThresholdAge03,"&lt;"&amp;'19_Расчет_аналитики'!AX2584,WeightedMinAge03),MAX(CapacityAge03*'01_Вводные'!$B$218*'19_Расчет_аналитики'!AX2584,MeanMinAge03)))</f>
        <v/>
      </c>
      <c r="AY2518">
        <f>IF(OR(('19_Расчет_аналитики'!AY2434-'19_Расчет_аналитики'!AY2462)=0,3&lt;='01_Вводные'!$B$297),0,('19_Расчет_аналитики'!AY2434-'19_Расчет_аналитики'!AY2462)*IF('01_Вводные'!$B$239="Да",MeanMinAge03+'19_Расчет_аналитики'!AY2584*SUMIF(ThresholdAge03,"&lt;"&amp;'19_Расчет_аналитики'!AY2584,WeightedRevAge03)-SUMIF(ThresholdAge03,"&lt;"&amp;'19_Расчет_аналитики'!AY2584,WeightedMinAge03),MAX(CapacityAge03*'01_Вводные'!$B$218*'19_Расчет_аналитики'!AY2584,MeanMinAge03)))</f>
        <v/>
      </c>
      <c r="AZ2518">
        <f>IF(OR(('19_Расчет_аналитики'!AZ2434-'19_Расчет_аналитики'!AZ2462)=0,3&lt;='01_Вводные'!$B$297),0,('19_Расчет_аналитики'!AZ2434-'19_Расчет_аналитики'!AZ2462)*IF('01_Вводные'!$B$239="Да",MeanMinAge03+'19_Расчет_аналитики'!AZ2584*SUMIF(ThresholdAge03,"&lt;"&amp;'19_Расчет_аналитики'!AZ2584,WeightedRevAge03)-SUMIF(ThresholdAge03,"&lt;"&amp;'19_Расчет_аналитики'!AZ2584,WeightedMinAge03),MAX(CapacityAge03*'01_Вводные'!$B$218*'19_Расчет_аналитики'!AZ2584,MeanMinAge03)))</f>
        <v/>
      </c>
      <c r="BA2518">
        <f>IF(OR(('19_Расчет_аналитики'!BA2434-'19_Расчет_аналитики'!BA2462)=0,3&lt;='01_Вводные'!$B$297),0,('19_Расчет_аналитики'!BA2434-'19_Расчет_аналитики'!BA2462)*IF('01_Вводные'!$B$239="Да",MeanMinAge03+'19_Расчет_аналитики'!BA2584*SUMIF(ThresholdAge03,"&lt;"&amp;'19_Расчет_аналитики'!BA2584,WeightedRevAge03)-SUMIF(ThresholdAge03,"&lt;"&amp;'19_Расчет_аналитики'!BA2584,WeightedMinAge03),MAX(CapacityAge03*'01_Вводные'!$B$218*'19_Расчет_аналитики'!BA2584,MeanMinAge03)))</f>
        <v/>
      </c>
      <c r="BB2518">
        <f>IF(OR(('19_Расчет_аналитики'!BB2434-'19_Расчет_аналитики'!BB2462)=0,3&lt;='01_Вводные'!$B$297),0,('19_Расчет_аналитики'!BB2434-'19_Расчет_аналитики'!BB2462)*IF('01_Вводные'!$B$239="Да",MeanMinAge03+'19_Расчет_аналитики'!BB2584*SUMIF(ThresholdAge03,"&lt;"&amp;'19_Расчет_аналитики'!BB2584,WeightedRevAge03)-SUMIF(ThresholdAge03,"&lt;"&amp;'19_Расчет_аналитики'!BB2584,WeightedMinAge03),MAX(CapacityAge03*'01_Вводные'!$B$218*'19_Расчет_аналитики'!BB2584,MeanMinAge03)))</f>
        <v/>
      </c>
      <c r="BC2518">
        <f>IF(OR(('19_Расчет_аналитики'!BC2434-'19_Расчет_аналитики'!BC2462)=0,3&lt;='01_Вводные'!$B$297),0,('19_Расчет_аналитики'!BC2434-'19_Расчет_аналитики'!BC2462)*IF('01_Вводные'!$B$239="Да",MeanMinAge03+'19_Расчет_аналитики'!BC2584*SUMIF(ThresholdAge03,"&lt;"&amp;'19_Расчет_аналитики'!BC2584,WeightedRevAge03)-SUMIF(ThresholdAge03,"&lt;"&amp;'19_Расчет_аналитики'!BC2584,WeightedMinAge03),MAX(CapacityAge03*'01_Вводные'!$B$218*'19_Расчет_аналитики'!BC2584,MeanMinAge03)))</f>
        <v/>
      </c>
      <c r="BD2518">
        <f>IF(OR(('19_Расчет_аналитики'!BD2434-'19_Расчет_аналитики'!BD2462)=0,3&lt;='01_Вводные'!$B$297),0,('19_Расчет_аналитики'!BD2434-'19_Расчет_аналитики'!BD2462)*IF('01_Вводные'!$B$239="Да",MeanMinAge03+'19_Расчет_аналитики'!BD2584*SUMIF(ThresholdAge03,"&lt;"&amp;'19_Расчет_аналитики'!BD2584,WeightedRevAge03)-SUMIF(ThresholdAge03,"&lt;"&amp;'19_Расчет_аналитики'!BD2584,WeightedMinAge03),MAX(CapacityAge03*'01_Вводные'!$B$218*'19_Расчет_аналитики'!BD2584,MeanMinAge03)))</f>
        <v/>
      </c>
      <c r="BE2518">
        <f>IF(OR(('19_Расчет_аналитики'!BE2434-'19_Расчет_аналитики'!BE2462)=0,3&lt;='01_Вводные'!$B$297),0,('19_Расчет_аналитики'!BE2434-'19_Расчет_аналитики'!BE2462)*IF('01_Вводные'!$B$239="Да",MeanMinAge03+'19_Расчет_аналитики'!BE2584*SUMIF(ThresholdAge03,"&lt;"&amp;'19_Расчет_аналитики'!BE2584,WeightedRevAge03)-SUMIF(ThresholdAge03,"&lt;"&amp;'19_Расчет_аналитики'!BE2584,WeightedMinAge03),MAX(CapacityAge03*'01_Вводные'!$B$218*'19_Расчет_аналитики'!BE2584,MeanMinAge03)))</f>
        <v/>
      </c>
      <c r="BF2518">
        <f>IF(OR(('19_Расчет_аналитики'!BF2434-'19_Расчет_аналитики'!BF2462)=0,3&lt;='01_Вводные'!$B$297),0,('19_Расчет_аналитики'!BF2434-'19_Расчет_аналитики'!BF2462)*IF('01_Вводные'!$B$239="Да",MeanMinAge03+'19_Расчет_аналитики'!BF2584*SUMIF(ThresholdAge03,"&lt;"&amp;'19_Расчет_аналитики'!BF2584,WeightedRevAge03)-SUMIF(ThresholdAge03,"&lt;"&amp;'19_Расчет_аналитики'!BF2584,WeightedMinAge03),MAX(CapacityAge03*'01_Вводные'!$B$218*'19_Расчет_аналитики'!BF2584,MeanMinAge03)))</f>
        <v/>
      </c>
      <c r="BG2518">
        <f>IF(OR(('19_Расчет_аналитики'!BG2434-'19_Расчет_аналитики'!BG2462)=0,3&lt;='01_Вводные'!$B$297),0,('19_Расчет_аналитики'!BG2434-'19_Расчет_аналитики'!BG2462)*IF('01_Вводные'!$B$239="Да",MeanMinAge03+'19_Расчет_аналитики'!BG2584*SUMIF(ThresholdAge03,"&lt;"&amp;'19_Расчет_аналитики'!BG2584,WeightedRevAge03)-SUMIF(ThresholdAge03,"&lt;"&amp;'19_Расчет_аналитики'!BG2584,WeightedMinAge03),MAX(CapacityAge03*'01_Вводные'!$B$218*'19_Расчет_аналитики'!BG2584,MeanMinAge03)))</f>
        <v/>
      </c>
      <c r="BH2518">
        <f>IF(OR(('19_Расчет_аналитики'!BH2434-'19_Расчет_аналитики'!BH2462)=0,3&lt;='01_Вводные'!$B$297),0,('19_Расчет_аналитики'!BH2434-'19_Расчет_аналитики'!BH2462)*IF('01_Вводные'!$B$239="Да",MeanMinAge03+'19_Расчет_аналитики'!BH2584*SUMIF(ThresholdAge03,"&lt;"&amp;'19_Расчет_аналитики'!BH2584,WeightedRevAge03)-SUMIF(ThresholdAge03,"&lt;"&amp;'19_Расчет_аналитики'!BH2584,WeightedMinAge03),MAX(CapacityAge03*'01_Вводные'!$B$218*'19_Расчет_аналитики'!BH2584,MeanMinAge03)))</f>
        <v/>
      </c>
      <c r="BI2518">
        <f>IF(OR(('19_Расчет_аналитики'!BI2434-'19_Расчет_аналитики'!BI2462)=0,3&lt;='01_Вводные'!$B$297),0,('19_Расчет_аналитики'!BI2434-'19_Расчет_аналитики'!BI2462)*IF('01_Вводные'!$B$239="Да",MeanMinAge03+'19_Расчет_аналитики'!BI2584*SUMIF(ThresholdAge03,"&lt;"&amp;'19_Расчет_аналитики'!BI2584,WeightedRevAge03)-SUMIF(ThresholdAge03,"&lt;"&amp;'19_Расчет_аналитики'!BI2584,WeightedMinAge03),MAX(CapacityAge03*'01_Вводные'!$B$218*'19_Расчет_аналитики'!BI2584,MeanMinAge03)))</f>
        <v/>
      </c>
      <c r="BJ2518">
        <f>IF(OR(('19_Расчет_аналитики'!BJ2434-'19_Расчет_аналитики'!BJ2462)=0,3&lt;='01_Вводные'!$B$297),0,('19_Расчет_аналитики'!BJ2434-'19_Расчет_аналитики'!BJ2462)*IF('01_Вводные'!$B$239="Да",MeanMinAge03+'19_Расчет_аналитики'!BJ2584*SUMIF(ThresholdAge03,"&lt;"&amp;'19_Расчет_аналитики'!BJ2584,WeightedRevAge03)-SUMIF(ThresholdAge03,"&lt;"&amp;'19_Расчет_аналитики'!BJ2584,WeightedMinAge03),MAX(CapacityAge03*'01_Вводные'!$B$218*'19_Расчет_аналитики'!BJ2584,MeanMinAge03)))</f>
        <v/>
      </c>
      <c r="BK2518">
        <f>IF(OR(('19_Расчет_аналитики'!BK2434-'19_Расчет_аналитики'!BK2462)=0,3&lt;='01_Вводные'!$B$297),0,('19_Расчет_аналитики'!BK2434-'19_Расчет_аналитики'!BK2462)*IF('01_Вводные'!$B$239="Да",MeanMinAge03+'19_Расчет_аналитики'!BK2584*SUMIF(ThresholdAge03,"&lt;"&amp;'19_Расчет_аналитики'!BK2584,WeightedRevAge03)-SUMIF(ThresholdAge03,"&lt;"&amp;'19_Расчет_аналитики'!BK2584,WeightedMinAge03),MAX(CapacityAge03*'01_Вводные'!$B$218*'19_Расчет_аналитики'!BK2584,MeanMinAge03)))</f>
        <v/>
      </c>
      <c r="BL2518">
        <f>IF(OR(('19_Расчет_аналитики'!BL2434-'19_Расчет_аналитики'!BL2462)=0,3&lt;='01_Вводные'!$B$297),0,('19_Расчет_аналитики'!BL2434-'19_Расчет_аналитики'!BL2462)*IF('01_Вводные'!$B$239="Да",MeanMinAge03+'19_Расчет_аналитики'!BL2584*SUMIF(ThresholdAge03,"&lt;"&amp;'19_Расчет_аналитики'!BL2584,WeightedRevAge03)-SUMIF(ThresholdAge03,"&lt;"&amp;'19_Расчет_аналитики'!BL2584,WeightedMinAge03),MAX(CapacityAge03*'01_Вводные'!$B$218*'19_Расчет_аналитики'!BL2584,MeanMinAge03)))</f>
        <v/>
      </c>
      <c r="BM2518">
        <f>IF(OR(('19_Расчет_аналитики'!BM2434-'19_Расчет_аналитики'!BM2462)=0,3&lt;='01_Вводные'!$B$297),0,('19_Расчет_аналитики'!BM2434-'19_Расчет_аналитики'!BM2462)*IF('01_Вводные'!$B$239="Да",MeanMinAge03+'19_Расчет_аналитики'!BM2584*SUMIF(ThresholdAge03,"&lt;"&amp;'19_Расчет_аналитики'!BM2584,WeightedRevAge03)-SUMIF(ThresholdAge03,"&lt;"&amp;'19_Расчет_аналитики'!BM2584,WeightedMinAge03),MAX(CapacityAge03*'01_Вводные'!$B$218*'19_Расчет_аналитики'!BM2584,MeanMinAge03)))</f>
        <v/>
      </c>
      <c r="BN2518">
        <f>IF(OR(('19_Расчет_аналитики'!BN2434-'19_Расчет_аналитики'!BN2462)=0,3&lt;='01_Вводные'!$B$297),0,('19_Расчет_аналитики'!BN2434-'19_Расчет_аналитики'!BN2462)*IF('01_Вводные'!$B$239="Да",MeanMinAge03+'19_Расчет_аналитики'!BN2584*SUMIF(ThresholdAge03,"&lt;"&amp;'19_Расчет_аналитики'!BN2584,WeightedRevAge03)-SUMIF(ThresholdAge03,"&lt;"&amp;'19_Расчет_аналитики'!BN2584,WeightedMinAge03),MAX(CapacityAge03*'01_Вводные'!$B$218*'19_Расчет_аналитики'!BN2584,MeanMinAge03)))</f>
        <v/>
      </c>
      <c r="BO2518">
        <f>IF(OR(('19_Расчет_аналитики'!BO2434-'19_Расчет_аналитики'!BO2462)=0,3&lt;='01_Вводные'!$B$297),0,('19_Расчет_аналитики'!BO2434-'19_Расчет_аналитики'!BO2462)*IF('01_Вводные'!$B$239="Да",MeanMinAge03+'19_Расчет_аналитики'!BO2584*SUMIF(ThresholdAge03,"&lt;"&amp;'19_Расчет_аналитики'!BO2584,WeightedRevAge03)-SUMIF(ThresholdAge03,"&lt;"&amp;'19_Расчет_аналитики'!BO2584,WeightedMinAge03),MAX(CapacityAge03*'01_Вводные'!$B$218*'19_Расчет_аналитики'!BO2584,MeanMinAge03)))</f>
        <v/>
      </c>
    </row>
    <row r="2519">
      <c r="B2519">
        <f>IF(OR(('06_Сеть_и_дети'!B56-'06_Сеть_и_дети'!B84)=0,4&lt;='01_Вводные'!$B$297),0,('06_Сеть_и_дети'!B56-'06_Сеть_и_дети'!B84)*IF('01_Вводные'!$B$239="Да",MeanMinAge04+'19_Расчет_аналитики'!B2584*SUMIF(ThresholdAge04,"&lt;"&amp;'19_Расчет_аналитики'!B2584,WeightedRevAge04)-SUMIF(ThresholdAge04,"&lt;"&amp;'19_Расчет_аналитики'!B2584,WeightedMinAge04),MAX(CapacityAge04*'01_Вводные'!$B$218*'19_Расчет_аналитики'!B2584,MeanMinAge04)))</f>
        <v/>
      </c>
      <c r="C2519">
        <f>IF(OR(('06_Сеть_и_дети'!C56-'06_Сеть_и_дети'!C84)=0,4&lt;='01_Вводные'!$B$297),0,('06_Сеть_и_дети'!C56-'06_Сеть_и_дети'!C84)*IF('01_Вводные'!$B$239="Да",MeanMinAge04+'19_Расчет_аналитики'!C2584*SUMIF(ThresholdAge04,"&lt;"&amp;'19_Расчет_аналитики'!C2584,WeightedRevAge04)-SUMIF(ThresholdAge04,"&lt;"&amp;'19_Расчет_аналитики'!C2584,WeightedMinAge04),MAX(CapacityAge04*'01_Вводные'!$B$218*'19_Расчет_аналитики'!C2584,MeanMinAge04)))</f>
        <v/>
      </c>
      <c r="D2519">
        <f>IF(OR(('06_Сеть_и_дети'!D56-'06_Сеть_и_дети'!D84)=0,4&lt;='01_Вводные'!$B$297),0,('06_Сеть_и_дети'!D56-'06_Сеть_и_дети'!D84)*IF('01_Вводные'!$B$239="Да",MeanMinAge04+'19_Расчет_аналитики'!D2584*SUMIF(ThresholdAge04,"&lt;"&amp;'19_Расчет_аналитики'!D2584,WeightedRevAge04)-SUMIF(ThresholdAge04,"&lt;"&amp;'19_Расчет_аналитики'!D2584,WeightedMinAge04),MAX(CapacityAge04*'01_Вводные'!$B$218*'19_Расчет_аналитики'!D2584,MeanMinAge04)))</f>
        <v/>
      </c>
      <c r="E2519">
        <f>IF(OR(('19_Расчет_аналитики'!E2435-'19_Расчет_аналитики'!E2463)=0,4&lt;='01_Вводные'!$B$297),0,('19_Расчет_аналитики'!E2435-'19_Расчет_аналитики'!E2463)*IF('01_Вводные'!$B$239="Да",MeanMinAge04+'19_Расчет_аналитики'!E2584*SUMIF(ThresholdAge04,"&lt;"&amp;'19_Расчет_аналитики'!E2584,WeightedRevAge04)-SUMIF(ThresholdAge04,"&lt;"&amp;'19_Расчет_аналитики'!E2584,WeightedMinAge04),MAX(CapacityAge04*'01_Вводные'!$B$218*'19_Расчет_аналитики'!E2584,MeanMinAge04)))</f>
        <v/>
      </c>
      <c r="F2519">
        <f>IF(OR(('19_Расчет_аналитики'!F2435-'19_Расчет_аналитики'!F2463)=0,4&lt;='01_Вводные'!$B$297),0,('19_Расчет_аналитики'!F2435-'19_Расчет_аналитики'!F2463)*IF('01_Вводные'!$B$239="Да",MeanMinAge04+'19_Расчет_аналитики'!F2584*SUMIF(ThresholdAge04,"&lt;"&amp;'19_Расчет_аналитики'!F2584,WeightedRevAge04)-SUMIF(ThresholdAge04,"&lt;"&amp;'19_Расчет_аналитики'!F2584,WeightedMinAge04),MAX(CapacityAge04*'01_Вводные'!$B$218*'19_Расчет_аналитики'!F2584,MeanMinAge04)))</f>
        <v/>
      </c>
      <c r="G2519">
        <f>IF(OR(('19_Расчет_аналитики'!G2435-'19_Расчет_аналитики'!G2463)=0,4&lt;='01_Вводные'!$B$297),0,('19_Расчет_аналитики'!G2435-'19_Расчет_аналитики'!G2463)*IF('01_Вводные'!$B$239="Да",MeanMinAge04+'19_Расчет_аналитики'!G2584*SUMIF(ThresholdAge04,"&lt;"&amp;'19_Расчет_аналитики'!G2584,WeightedRevAge04)-SUMIF(ThresholdAge04,"&lt;"&amp;'19_Расчет_аналитики'!G2584,WeightedMinAge04),MAX(CapacityAge04*'01_Вводные'!$B$218*'19_Расчет_аналитики'!G2584,MeanMinAge04)))</f>
        <v/>
      </c>
      <c r="H2519">
        <f>IF(OR(('19_Расчет_аналитики'!H2435-'19_Расчет_аналитики'!H2463)=0,4&lt;='01_Вводные'!$B$297),0,('19_Расчет_аналитики'!H2435-'19_Расчет_аналитики'!H2463)*IF('01_Вводные'!$B$239="Да",MeanMinAge04+'19_Расчет_аналитики'!H2584*SUMIF(ThresholdAge04,"&lt;"&amp;'19_Расчет_аналитики'!H2584,WeightedRevAge04)-SUMIF(ThresholdAge04,"&lt;"&amp;'19_Расчет_аналитики'!H2584,WeightedMinAge04),MAX(CapacityAge04*'01_Вводные'!$B$218*'19_Расчет_аналитики'!H2584,MeanMinAge04)))</f>
        <v/>
      </c>
      <c r="I2519">
        <f>IF(OR(('19_Расчет_аналитики'!I2435-'19_Расчет_аналитики'!I2463)=0,4&lt;='01_Вводные'!$B$297),0,('19_Расчет_аналитики'!I2435-'19_Расчет_аналитики'!I2463)*IF('01_Вводные'!$B$239="Да",MeanMinAge04+'19_Расчет_аналитики'!I2584*SUMIF(ThresholdAge04,"&lt;"&amp;'19_Расчет_аналитики'!I2584,WeightedRevAge04)-SUMIF(ThresholdAge04,"&lt;"&amp;'19_Расчет_аналитики'!I2584,WeightedMinAge04),MAX(CapacityAge04*'01_Вводные'!$B$218*'19_Расчет_аналитики'!I2584,MeanMinAge04)))</f>
        <v/>
      </c>
      <c r="J2519">
        <f>IF(OR(('19_Расчет_аналитики'!J2435-'19_Расчет_аналитики'!J2463)=0,4&lt;='01_Вводные'!$B$297),0,('19_Расчет_аналитики'!J2435-'19_Расчет_аналитики'!J2463)*IF('01_Вводные'!$B$239="Да",MeanMinAge04+'19_Расчет_аналитики'!J2584*SUMIF(ThresholdAge04,"&lt;"&amp;'19_Расчет_аналитики'!J2584,WeightedRevAge04)-SUMIF(ThresholdAge04,"&lt;"&amp;'19_Расчет_аналитики'!J2584,WeightedMinAge04),MAX(CapacityAge04*'01_Вводные'!$B$218*'19_Расчет_аналитики'!J2584,MeanMinAge04)))</f>
        <v/>
      </c>
      <c r="K2519">
        <f>IF(OR(('19_Расчет_аналитики'!K2435-'19_Расчет_аналитики'!K2463)=0,4&lt;='01_Вводные'!$B$297),0,('19_Расчет_аналитики'!K2435-'19_Расчет_аналитики'!K2463)*IF('01_Вводные'!$B$239="Да",MeanMinAge04+'19_Расчет_аналитики'!K2584*SUMIF(ThresholdAge04,"&lt;"&amp;'19_Расчет_аналитики'!K2584,WeightedRevAge04)-SUMIF(ThresholdAge04,"&lt;"&amp;'19_Расчет_аналитики'!K2584,WeightedMinAge04),MAX(CapacityAge04*'01_Вводные'!$B$218*'19_Расчет_аналитики'!K2584,MeanMinAge04)))</f>
        <v/>
      </c>
      <c r="L2519">
        <f>IF(OR(('19_Расчет_аналитики'!L2435-'19_Расчет_аналитики'!L2463)=0,4&lt;='01_Вводные'!$B$297),0,('19_Расчет_аналитики'!L2435-'19_Расчет_аналитики'!L2463)*IF('01_Вводные'!$B$239="Да",MeanMinAge04+'19_Расчет_аналитики'!L2584*SUMIF(ThresholdAge04,"&lt;"&amp;'19_Расчет_аналитики'!L2584,WeightedRevAge04)-SUMIF(ThresholdAge04,"&lt;"&amp;'19_Расчет_аналитики'!L2584,WeightedMinAge04),MAX(CapacityAge04*'01_Вводные'!$B$218*'19_Расчет_аналитики'!L2584,MeanMinAge04)))</f>
        <v/>
      </c>
      <c r="M2519">
        <f>IF(OR(('19_Расчет_аналитики'!M2435-'19_Расчет_аналитики'!M2463)=0,4&lt;='01_Вводные'!$B$297),0,('19_Расчет_аналитики'!M2435-'19_Расчет_аналитики'!M2463)*IF('01_Вводные'!$B$239="Да",MeanMinAge04+'19_Расчет_аналитики'!M2584*SUMIF(ThresholdAge04,"&lt;"&amp;'19_Расчет_аналитики'!M2584,WeightedRevAge04)-SUMIF(ThresholdAge04,"&lt;"&amp;'19_Расчет_аналитики'!M2584,WeightedMinAge04),MAX(CapacityAge04*'01_Вводные'!$B$218*'19_Расчет_аналитики'!M2584,MeanMinAge04)))</f>
        <v/>
      </c>
      <c r="N2519">
        <f>IF(OR(('19_Расчет_аналитики'!N2435-'19_Расчет_аналитики'!N2463)=0,4&lt;='01_Вводные'!$B$297),0,('19_Расчет_аналитики'!N2435-'19_Расчет_аналитики'!N2463)*IF('01_Вводные'!$B$239="Да",MeanMinAge04+'19_Расчет_аналитики'!N2584*SUMIF(ThresholdAge04,"&lt;"&amp;'19_Расчет_аналитики'!N2584,WeightedRevAge04)-SUMIF(ThresholdAge04,"&lt;"&amp;'19_Расчет_аналитики'!N2584,WeightedMinAge04),MAX(CapacityAge04*'01_Вводные'!$B$218*'19_Расчет_аналитики'!N2584,MeanMinAge04)))</f>
        <v/>
      </c>
      <c r="O2519">
        <f>IF(OR(('19_Расчет_аналитики'!O2435-'19_Расчет_аналитики'!O2463)=0,4&lt;='01_Вводные'!$B$297),0,('19_Расчет_аналитики'!O2435-'19_Расчет_аналитики'!O2463)*IF('01_Вводные'!$B$239="Да",MeanMinAge04+'19_Расчет_аналитики'!O2584*SUMIF(ThresholdAge04,"&lt;"&amp;'19_Расчет_аналитики'!O2584,WeightedRevAge04)-SUMIF(ThresholdAge04,"&lt;"&amp;'19_Расчет_аналитики'!O2584,WeightedMinAge04),MAX(CapacityAge04*'01_Вводные'!$B$218*'19_Расчет_аналитики'!O2584,MeanMinAge04)))</f>
        <v/>
      </c>
      <c r="P2519">
        <f>IF(OR(('19_Расчет_аналитики'!P2435-'19_Расчет_аналитики'!P2463)=0,4&lt;='01_Вводные'!$B$297),0,('19_Расчет_аналитики'!P2435-'19_Расчет_аналитики'!P2463)*IF('01_Вводные'!$B$239="Да",MeanMinAge04+'19_Расчет_аналитики'!P2584*SUMIF(ThresholdAge04,"&lt;"&amp;'19_Расчет_аналитики'!P2584,WeightedRevAge04)-SUMIF(ThresholdAge04,"&lt;"&amp;'19_Расчет_аналитики'!P2584,WeightedMinAge04),MAX(CapacityAge04*'01_Вводные'!$B$218*'19_Расчет_аналитики'!P2584,MeanMinAge04)))</f>
        <v/>
      </c>
      <c r="Q2519">
        <f>IF(OR(('19_Расчет_аналитики'!Q2435-'19_Расчет_аналитики'!Q2463)=0,4&lt;='01_Вводные'!$B$297),0,('19_Расчет_аналитики'!Q2435-'19_Расчет_аналитики'!Q2463)*IF('01_Вводные'!$B$239="Да",MeanMinAge04+'19_Расчет_аналитики'!Q2584*SUMIF(ThresholdAge04,"&lt;"&amp;'19_Расчет_аналитики'!Q2584,WeightedRevAge04)-SUMIF(ThresholdAge04,"&lt;"&amp;'19_Расчет_аналитики'!Q2584,WeightedMinAge04),MAX(CapacityAge04*'01_Вводные'!$B$218*'19_Расчет_аналитики'!Q2584,MeanMinAge04)))</f>
        <v/>
      </c>
      <c r="R2519">
        <f>IF(OR(('19_Расчет_аналитики'!R2435-'19_Расчет_аналитики'!R2463)=0,4&lt;='01_Вводные'!$B$297),0,('19_Расчет_аналитики'!R2435-'19_Расчет_аналитики'!R2463)*IF('01_Вводные'!$B$239="Да",MeanMinAge04+'19_Расчет_аналитики'!R2584*SUMIF(ThresholdAge04,"&lt;"&amp;'19_Расчет_аналитики'!R2584,WeightedRevAge04)-SUMIF(ThresholdAge04,"&lt;"&amp;'19_Расчет_аналитики'!R2584,WeightedMinAge04),MAX(CapacityAge04*'01_Вводные'!$B$218*'19_Расчет_аналитики'!R2584,MeanMinAge04)))</f>
        <v/>
      </c>
      <c r="S2519">
        <f>IF(OR(('19_Расчет_аналитики'!S2435-'19_Расчет_аналитики'!S2463)=0,4&lt;='01_Вводные'!$B$297),0,('19_Расчет_аналитики'!S2435-'19_Расчет_аналитики'!S2463)*IF('01_Вводные'!$B$239="Да",MeanMinAge04+'19_Расчет_аналитики'!S2584*SUMIF(ThresholdAge04,"&lt;"&amp;'19_Расчет_аналитики'!S2584,WeightedRevAge04)-SUMIF(ThresholdAge04,"&lt;"&amp;'19_Расчет_аналитики'!S2584,WeightedMinAge04),MAX(CapacityAge04*'01_Вводные'!$B$218*'19_Расчет_аналитики'!S2584,MeanMinAge04)))</f>
        <v/>
      </c>
      <c r="T2519">
        <f>IF(OR(('19_Расчет_аналитики'!T2435-'19_Расчет_аналитики'!T2463)=0,4&lt;='01_Вводные'!$B$297),0,('19_Расчет_аналитики'!T2435-'19_Расчет_аналитики'!T2463)*IF('01_Вводные'!$B$239="Да",MeanMinAge04+'19_Расчет_аналитики'!T2584*SUMIF(ThresholdAge04,"&lt;"&amp;'19_Расчет_аналитики'!T2584,WeightedRevAge04)-SUMIF(ThresholdAge04,"&lt;"&amp;'19_Расчет_аналитики'!T2584,WeightedMinAge04),MAX(CapacityAge04*'01_Вводные'!$B$218*'19_Расчет_аналитики'!T2584,MeanMinAge04)))</f>
        <v/>
      </c>
      <c r="U2519">
        <f>IF(OR(('19_Расчет_аналитики'!U2435-'19_Расчет_аналитики'!U2463)=0,4&lt;='01_Вводные'!$B$297),0,('19_Расчет_аналитики'!U2435-'19_Расчет_аналитики'!U2463)*IF('01_Вводные'!$B$239="Да",MeanMinAge04+'19_Расчет_аналитики'!U2584*SUMIF(ThresholdAge04,"&lt;"&amp;'19_Расчет_аналитики'!U2584,WeightedRevAge04)-SUMIF(ThresholdAge04,"&lt;"&amp;'19_Расчет_аналитики'!U2584,WeightedMinAge04),MAX(CapacityAge04*'01_Вводные'!$B$218*'19_Расчет_аналитики'!U2584,MeanMinAge04)))</f>
        <v/>
      </c>
      <c r="V2519">
        <f>IF(OR(('19_Расчет_аналитики'!V2435-'19_Расчет_аналитики'!V2463)=0,4&lt;='01_Вводные'!$B$297),0,('19_Расчет_аналитики'!V2435-'19_Расчет_аналитики'!V2463)*IF('01_Вводные'!$B$239="Да",MeanMinAge04+'19_Расчет_аналитики'!V2584*SUMIF(ThresholdAge04,"&lt;"&amp;'19_Расчет_аналитики'!V2584,WeightedRevAge04)-SUMIF(ThresholdAge04,"&lt;"&amp;'19_Расчет_аналитики'!V2584,WeightedMinAge04),MAX(CapacityAge04*'01_Вводные'!$B$218*'19_Расчет_аналитики'!V2584,MeanMinAge04)))</f>
        <v/>
      </c>
      <c r="W2519">
        <f>IF(OR(('19_Расчет_аналитики'!W2435-'19_Расчет_аналитики'!W2463)=0,4&lt;='01_Вводные'!$B$297),0,('19_Расчет_аналитики'!W2435-'19_Расчет_аналитики'!W2463)*IF('01_Вводные'!$B$239="Да",MeanMinAge04+'19_Расчет_аналитики'!W2584*SUMIF(ThresholdAge04,"&lt;"&amp;'19_Расчет_аналитики'!W2584,WeightedRevAge04)-SUMIF(ThresholdAge04,"&lt;"&amp;'19_Расчет_аналитики'!W2584,WeightedMinAge04),MAX(CapacityAge04*'01_Вводные'!$B$218*'19_Расчет_аналитики'!W2584,MeanMinAge04)))</f>
        <v/>
      </c>
      <c r="X2519">
        <f>IF(OR(('19_Расчет_аналитики'!X2435-'19_Расчет_аналитики'!X2463)=0,4&lt;='01_Вводные'!$B$297),0,('19_Расчет_аналитики'!X2435-'19_Расчет_аналитики'!X2463)*IF('01_Вводные'!$B$239="Да",MeanMinAge04+'19_Расчет_аналитики'!X2584*SUMIF(ThresholdAge04,"&lt;"&amp;'19_Расчет_аналитики'!X2584,WeightedRevAge04)-SUMIF(ThresholdAge04,"&lt;"&amp;'19_Расчет_аналитики'!X2584,WeightedMinAge04),MAX(CapacityAge04*'01_Вводные'!$B$218*'19_Расчет_аналитики'!X2584,MeanMinAge04)))</f>
        <v/>
      </c>
      <c r="Y2519">
        <f>IF(OR(('19_Расчет_аналитики'!Y2435-'19_Расчет_аналитики'!Y2463)=0,4&lt;='01_Вводные'!$B$297),0,('19_Расчет_аналитики'!Y2435-'19_Расчет_аналитики'!Y2463)*IF('01_Вводные'!$B$239="Да",MeanMinAge04+'19_Расчет_аналитики'!Y2584*SUMIF(ThresholdAge04,"&lt;"&amp;'19_Расчет_аналитики'!Y2584,WeightedRevAge04)-SUMIF(ThresholdAge04,"&lt;"&amp;'19_Расчет_аналитики'!Y2584,WeightedMinAge04),MAX(CapacityAge04*'01_Вводные'!$B$218*'19_Расчет_аналитики'!Y2584,MeanMinAge04)))</f>
        <v/>
      </c>
      <c r="Z2519">
        <f>IF(OR(('19_Расчет_аналитики'!Z2435-'19_Расчет_аналитики'!Z2463)=0,4&lt;='01_Вводные'!$B$297),0,('19_Расчет_аналитики'!Z2435-'19_Расчет_аналитики'!Z2463)*IF('01_Вводные'!$B$239="Да",MeanMinAge04+'19_Расчет_аналитики'!Z2584*SUMIF(ThresholdAge04,"&lt;"&amp;'19_Расчет_аналитики'!Z2584,WeightedRevAge04)-SUMIF(ThresholdAge04,"&lt;"&amp;'19_Расчет_аналитики'!Z2584,WeightedMinAge04),MAX(CapacityAge04*'01_Вводные'!$B$218*'19_Расчет_аналитики'!Z2584,MeanMinAge04)))</f>
        <v/>
      </c>
      <c r="AA2519">
        <f>IF(OR(('19_Расчет_аналитики'!AA2435-'19_Расчет_аналитики'!AA2463)=0,4&lt;='01_Вводные'!$B$297),0,('19_Расчет_аналитики'!AA2435-'19_Расчет_аналитики'!AA2463)*IF('01_Вводные'!$B$239="Да",MeanMinAge04+'19_Расчет_аналитики'!AA2584*SUMIF(ThresholdAge04,"&lt;"&amp;'19_Расчет_аналитики'!AA2584,WeightedRevAge04)-SUMIF(ThresholdAge04,"&lt;"&amp;'19_Расчет_аналитики'!AA2584,WeightedMinAge04),MAX(CapacityAge04*'01_Вводные'!$B$218*'19_Расчет_аналитики'!AA2584,MeanMinAge04)))</f>
        <v/>
      </c>
      <c r="AB2519">
        <f>IF(OR(('19_Расчет_аналитики'!AB2435-'19_Расчет_аналитики'!AB2463)=0,4&lt;='01_Вводные'!$B$297),0,('19_Расчет_аналитики'!AB2435-'19_Расчет_аналитики'!AB2463)*IF('01_Вводные'!$B$239="Да",MeanMinAge04+'19_Расчет_аналитики'!AB2584*SUMIF(ThresholdAge04,"&lt;"&amp;'19_Расчет_аналитики'!AB2584,WeightedRevAge04)-SUMIF(ThresholdAge04,"&lt;"&amp;'19_Расчет_аналитики'!AB2584,WeightedMinAge04),MAX(CapacityAge04*'01_Вводные'!$B$218*'19_Расчет_аналитики'!AB2584,MeanMinAge04)))</f>
        <v/>
      </c>
      <c r="AC2519">
        <f>IF(OR(('19_Расчет_аналитики'!AC2435-'19_Расчет_аналитики'!AC2463)=0,4&lt;='01_Вводные'!$B$297),0,('19_Расчет_аналитики'!AC2435-'19_Расчет_аналитики'!AC2463)*IF('01_Вводные'!$B$239="Да",MeanMinAge04+'19_Расчет_аналитики'!AC2584*SUMIF(ThresholdAge04,"&lt;"&amp;'19_Расчет_аналитики'!AC2584,WeightedRevAge04)-SUMIF(ThresholdAge04,"&lt;"&amp;'19_Расчет_аналитики'!AC2584,WeightedMinAge04),MAX(CapacityAge04*'01_Вводные'!$B$218*'19_Расчет_аналитики'!AC2584,MeanMinAge04)))</f>
        <v/>
      </c>
      <c r="AD2519">
        <f>IF(OR(('19_Расчет_аналитики'!AD2435-'19_Расчет_аналитики'!AD2463)=0,4&lt;='01_Вводные'!$B$297),0,('19_Расчет_аналитики'!AD2435-'19_Расчет_аналитики'!AD2463)*IF('01_Вводные'!$B$239="Да",MeanMinAge04+'19_Расчет_аналитики'!AD2584*SUMIF(ThresholdAge04,"&lt;"&amp;'19_Расчет_аналитики'!AD2584,WeightedRevAge04)-SUMIF(ThresholdAge04,"&lt;"&amp;'19_Расчет_аналитики'!AD2584,WeightedMinAge04),MAX(CapacityAge04*'01_Вводные'!$B$218*'19_Расчет_аналитики'!AD2584,MeanMinAge04)))</f>
        <v/>
      </c>
      <c r="AE2519">
        <f>IF(OR(('19_Расчет_аналитики'!AE2435-'19_Расчет_аналитики'!AE2463)=0,4&lt;='01_Вводные'!$B$297),0,('19_Расчет_аналитики'!AE2435-'19_Расчет_аналитики'!AE2463)*IF('01_Вводные'!$B$239="Да",MeanMinAge04+'19_Расчет_аналитики'!AE2584*SUMIF(ThresholdAge04,"&lt;"&amp;'19_Расчет_аналитики'!AE2584,WeightedRevAge04)-SUMIF(ThresholdAge04,"&lt;"&amp;'19_Расчет_аналитики'!AE2584,WeightedMinAge04),MAX(CapacityAge04*'01_Вводные'!$B$218*'19_Расчет_аналитики'!AE2584,MeanMinAge04)))</f>
        <v/>
      </c>
      <c r="AF2519">
        <f>IF(OR(('19_Расчет_аналитики'!AF2435-'19_Расчет_аналитики'!AF2463)=0,4&lt;='01_Вводные'!$B$297),0,('19_Расчет_аналитики'!AF2435-'19_Расчет_аналитики'!AF2463)*IF('01_Вводные'!$B$239="Да",MeanMinAge04+'19_Расчет_аналитики'!AF2584*SUMIF(ThresholdAge04,"&lt;"&amp;'19_Расчет_аналитики'!AF2584,WeightedRevAge04)-SUMIF(ThresholdAge04,"&lt;"&amp;'19_Расчет_аналитики'!AF2584,WeightedMinAge04),MAX(CapacityAge04*'01_Вводные'!$B$218*'19_Расчет_аналитики'!AF2584,MeanMinAge04)))</f>
        <v/>
      </c>
      <c r="AG2519">
        <f>IF(OR(('19_Расчет_аналитики'!AG2435-'19_Расчет_аналитики'!AG2463)=0,4&lt;='01_Вводные'!$B$297),0,('19_Расчет_аналитики'!AG2435-'19_Расчет_аналитики'!AG2463)*IF('01_Вводные'!$B$239="Да",MeanMinAge04+'19_Расчет_аналитики'!AG2584*SUMIF(ThresholdAge04,"&lt;"&amp;'19_Расчет_аналитики'!AG2584,WeightedRevAge04)-SUMIF(ThresholdAge04,"&lt;"&amp;'19_Расчет_аналитики'!AG2584,WeightedMinAge04),MAX(CapacityAge04*'01_Вводные'!$B$218*'19_Расчет_аналитики'!AG2584,MeanMinAge04)))</f>
        <v/>
      </c>
      <c r="AH2519">
        <f>IF(OR(('19_Расчет_аналитики'!AH2435-'19_Расчет_аналитики'!AH2463)=0,4&lt;='01_Вводные'!$B$297),0,('19_Расчет_аналитики'!AH2435-'19_Расчет_аналитики'!AH2463)*IF('01_Вводные'!$B$239="Да",MeanMinAge04+'19_Расчет_аналитики'!AH2584*SUMIF(ThresholdAge04,"&lt;"&amp;'19_Расчет_аналитики'!AH2584,WeightedRevAge04)-SUMIF(ThresholdAge04,"&lt;"&amp;'19_Расчет_аналитики'!AH2584,WeightedMinAge04),MAX(CapacityAge04*'01_Вводные'!$B$218*'19_Расчет_аналитики'!AH2584,MeanMinAge04)))</f>
        <v/>
      </c>
      <c r="AI2519">
        <f>IF(OR(('19_Расчет_аналитики'!AI2435-'19_Расчет_аналитики'!AI2463)=0,4&lt;='01_Вводные'!$B$297),0,('19_Расчет_аналитики'!AI2435-'19_Расчет_аналитики'!AI2463)*IF('01_Вводные'!$B$239="Да",MeanMinAge04+'19_Расчет_аналитики'!AI2584*SUMIF(ThresholdAge04,"&lt;"&amp;'19_Расчет_аналитики'!AI2584,WeightedRevAge04)-SUMIF(ThresholdAge04,"&lt;"&amp;'19_Расчет_аналитики'!AI2584,WeightedMinAge04),MAX(CapacityAge04*'01_Вводные'!$B$218*'19_Расчет_аналитики'!AI2584,MeanMinAge04)))</f>
        <v/>
      </c>
      <c r="AJ2519">
        <f>IF(OR(('19_Расчет_аналитики'!AJ2435-'19_Расчет_аналитики'!AJ2463)=0,4&lt;='01_Вводные'!$B$297),0,('19_Расчет_аналитики'!AJ2435-'19_Расчет_аналитики'!AJ2463)*IF('01_Вводные'!$B$239="Да",MeanMinAge04+'19_Расчет_аналитики'!AJ2584*SUMIF(ThresholdAge04,"&lt;"&amp;'19_Расчет_аналитики'!AJ2584,WeightedRevAge04)-SUMIF(ThresholdAge04,"&lt;"&amp;'19_Расчет_аналитики'!AJ2584,WeightedMinAge04),MAX(CapacityAge04*'01_Вводные'!$B$218*'19_Расчет_аналитики'!AJ2584,MeanMinAge04)))</f>
        <v/>
      </c>
      <c r="AK2519">
        <f>IF(OR(('19_Расчет_аналитики'!AK2435-'19_Расчет_аналитики'!AK2463)=0,4&lt;='01_Вводные'!$B$297),0,('19_Расчет_аналитики'!AK2435-'19_Расчет_аналитики'!AK2463)*IF('01_Вводные'!$B$239="Да",MeanMinAge04+'19_Расчет_аналитики'!AK2584*SUMIF(ThresholdAge04,"&lt;"&amp;'19_Расчет_аналитики'!AK2584,WeightedRevAge04)-SUMIF(ThresholdAge04,"&lt;"&amp;'19_Расчет_аналитики'!AK2584,WeightedMinAge04),MAX(CapacityAge04*'01_Вводные'!$B$218*'19_Расчет_аналитики'!AK2584,MeanMinAge04)))</f>
        <v/>
      </c>
      <c r="AL2519">
        <f>IF(OR(('19_Расчет_аналитики'!AL2435-'19_Расчет_аналитики'!AL2463)=0,4&lt;='01_Вводные'!$B$297),0,('19_Расчет_аналитики'!AL2435-'19_Расчет_аналитики'!AL2463)*IF('01_Вводные'!$B$239="Да",MeanMinAge04+'19_Расчет_аналитики'!AL2584*SUMIF(ThresholdAge04,"&lt;"&amp;'19_Расчет_аналитики'!AL2584,WeightedRevAge04)-SUMIF(ThresholdAge04,"&lt;"&amp;'19_Расчет_аналитики'!AL2584,WeightedMinAge04),MAX(CapacityAge04*'01_Вводные'!$B$218*'19_Расчет_аналитики'!AL2584,MeanMinAge04)))</f>
        <v/>
      </c>
      <c r="AM2519">
        <f>IF(OR(('19_Расчет_аналитики'!AM2435-'19_Расчет_аналитики'!AM2463)=0,4&lt;='01_Вводные'!$B$297),0,('19_Расчет_аналитики'!AM2435-'19_Расчет_аналитики'!AM2463)*IF('01_Вводные'!$B$239="Да",MeanMinAge04+'19_Расчет_аналитики'!AM2584*SUMIF(ThresholdAge04,"&lt;"&amp;'19_Расчет_аналитики'!AM2584,WeightedRevAge04)-SUMIF(ThresholdAge04,"&lt;"&amp;'19_Расчет_аналитики'!AM2584,WeightedMinAge04),MAX(CapacityAge04*'01_Вводные'!$B$218*'19_Расчет_аналитики'!AM2584,MeanMinAge04)))</f>
        <v/>
      </c>
      <c r="AN2519">
        <f>IF(OR(('19_Расчет_аналитики'!AN2435-'19_Расчет_аналитики'!AN2463)=0,4&lt;='01_Вводные'!$B$297),0,('19_Расчет_аналитики'!AN2435-'19_Расчет_аналитики'!AN2463)*IF('01_Вводные'!$B$239="Да",MeanMinAge04+'19_Расчет_аналитики'!AN2584*SUMIF(ThresholdAge04,"&lt;"&amp;'19_Расчет_аналитики'!AN2584,WeightedRevAge04)-SUMIF(ThresholdAge04,"&lt;"&amp;'19_Расчет_аналитики'!AN2584,WeightedMinAge04),MAX(CapacityAge04*'01_Вводные'!$B$218*'19_Расчет_аналитики'!AN2584,MeanMinAge04)))</f>
        <v/>
      </c>
      <c r="AO2519">
        <f>IF(OR(('19_Расчет_аналитики'!AO2435-'19_Расчет_аналитики'!AO2463)=0,4&lt;='01_Вводные'!$B$297),0,('19_Расчет_аналитики'!AO2435-'19_Расчет_аналитики'!AO2463)*IF('01_Вводные'!$B$239="Да",MeanMinAge04+'19_Расчет_аналитики'!AO2584*SUMIF(ThresholdAge04,"&lt;"&amp;'19_Расчет_аналитики'!AO2584,WeightedRevAge04)-SUMIF(ThresholdAge04,"&lt;"&amp;'19_Расчет_аналитики'!AO2584,WeightedMinAge04),MAX(CapacityAge04*'01_Вводные'!$B$218*'19_Расчет_аналитики'!AO2584,MeanMinAge04)))</f>
        <v/>
      </c>
      <c r="AP2519">
        <f>IF(OR(('19_Расчет_аналитики'!AP2435-'19_Расчет_аналитики'!AP2463)=0,4&lt;='01_Вводные'!$B$297),0,('19_Расчет_аналитики'!AP2435-'19_Расчет_аналитики'!AP2463)*IF('01_Вводные'!$B$239="Да",MeanMinAge04+'19_Расчет_аналитики'!AP2584*SUMIF(ThresholdAge04,"&lt;"&amp;'19_Расчет_аналитики'!AP2584,WeightedRevAge04)-SUMIF(ThresholdAge04,"&lt;"&amp;'19_Расчет_аналитики'!AP2584,WeightedMinAge04),MAX(CapacityAge04*'01_Вводные'!$B$218*'19_Расчет_аналитики'!AP2584,MeanMinAge04)))</f>
        <v/>
      </c>
      <c r="AQ2519">
        <f>IF(OR(('19_Расчет_аналитики'!AQ2435-'19_Расчет_аналитики'!AQ2463)=0,4&lt;='01_Вводные'!$B$297),0,('19_Расчет_аналитики'!AQ2435-'19_Расчет_аналитики'!AQ2463)*IF('01_Вводные'!$B$239="Да",MeanMinAge04+'19_Расчет_аналитики'!AQ2584*SUMIF(ThresholdAge04,"&lt;"&amp;'19_Расчет_аналитики'!AQ2584,WeightedRevAge04)-SUMIF(ThresholdAge04,"&lt;"&amp;'19_Расчет_аналитики'!AQ2584,WeightedMinAge04),MAX(CapacityAge04*'01_Вводные'!$B$218*'19_Расчет_аналитики'!AQ2584,MeanMinAge04)))</f>
        <v/>
      </c>
      <c r="AR2519">
        <f>IF(OR(('19_Расчет_аналитики'!AR2435-'19_Расчет_аналитики'!AR2463)=0,4&lt;='01_Вводные'!$B$297),0,('19_Расчет_аналитики'!AR2435-'19_Расчет_аналитики'!AR2463)*IF('01_Вводные'!$B$239="Да",MeanMinAge04+'19_Расчет_аналитики'!AR2584*SUMIF(ThresholdAge04,"&lt;"&amp;'19_Расчет_аналитики'!AR2584,WeightedRevAge04)-SUMIF(ThresholdAge04,"&lt;"&amp;'19_Расчет_аналитики'!AR2584,WeightedMinAge04),MAX(CapacityAge04*'01_Вводные'!$B$218*'19_Расчет_аналитики'!AR2584,MeanMinAge04)))</f>
        <v/>
      </c>
      <c r="AS2519">
        <f>IF(OR(('19_Расчет_аналитики'!AS2435-'19_Расчет_аналитики'!AS2463)=0,4&lt;='01_Вводные'!$B$297),0,('19_Расчет_аналитики'!AS2435-'19_Расчет_аналитики'!AS2463)*IF('01_Вводные'!$B$239="Да",MeanMinAge04+'19_Расчет_аналитики'!AS2584*SUMIF(ThresholdAge04,"&lt;"&amp;'19_Расчет_аналитики'!AS2584,WeightedRevAge04)-SUMIF(ThresholdAge04,"&lt;"&amp;'19_Расчет_аналитики'!AS2584,WeightedMinAge04),MAX(CapacityAge04*'01_Вводные'!$B$218*'19_Расчет_аналитики'!AS2584,MeanMinAge04)))</f>
        <v/>
      </c>
      <c r="AT2519">
        <f>IF(OR(('19_Расчет_аналитики'!AT2435-'19_Расчет_аналитики'!AT2463)=0,4&lt;='01_Вводные'!$B$297),0,('19_Расчет_аналитики'!AT2435-'19_Расчет_аналитики'!AT2463)*IF('01_Вводные'!$B$239="Да",MeanMinAge04+'19_Расчет_аналитики'!AT2584*SUMIF(ThresholdAge04,"&lt;"&amp;'19_Расчет_аналитики'!AT2584,WeightedRevAge04)-SUMIF(ThresholdAge04,"&lt;"&amp;'19_Расчет_аналитики'!AT2584,WeightedMinAge04),MAX(CapacityAge04*'01_Вводные'!$B$218*'19_Расчет_аналитики'!AT2584,MeanMinAge04)))</f>
        <v/>
      </c>
      <c r="AU2519">
        <f>IF(OR(('19_Расчет_аналитики'!AU2435-'19_Расчет_аналитики'!AU2463)=0,4&lt;='01_Вводные'!$B$297),0,('19_Расчет_аналитики'!AU2435-'19_Расчет_аналитики'!AU2463)*IF('01_Вводные'!$B$239="Да",MeanMinAge04+'19_Расчет_аналитики'!AU2584*SUMIF(ThresholdAge04,"&lt;"&amp;'19_Расчет_аналитики'!AU2584,WeightedRevAge04)-SUMIF(ThresholdAge04,"&lt;"&amp;'19_Расчет_аналитики'!AU2584,WeightedMinAge04),MAX(CapacityAge04*'01_Вводные'!$B$218*'19_Расчет_аналитики'!AU2584,MeanMinAge04)))</f>
        <v/>
      </c>
      <c r="AV2519">
        <f>IF(OR(('19_Расчет_аналитики'!AV2435-'19_Расчет_аналитики'!AV2463)=0,4&lt;='01_Вводные'!$B$297),0,('19_Расчет_аналитики'!AV2435-'19_Расчет_аналитики'!AV2463)*IF('01_Вводные'!$B$239="Да",MeanMinAge04+'19_Расчет_аналитики'!AV2584*SUMIF(ThresholdAge04,"&lt;"&amp;'19_Расчет_аналитики'!AV2584,WeightedRevAge04)-SUMIF(ThresholdAge04,"&lt;"&amp;'19_Расчет_аналитики'!AV2584,WeightedMinAge04),MAX(CapacityAge04*'01_Вводные'!$B$218*'19_Расчет_аналитики'!AV2584,MeanMinAge04)))</f>
        <v/>
      </c>
      <c r="AW2519">
        <f>IF(OR(('19_Расчет_аналитики'!AW2435-'19_Расчет_аналитики'!AW2463)=0,4&lt;='01_Вводные'!$B$297),0,('19_Расчет_аналитики'!AW2435-'19_Расчет_аналитики'!AW2463)*IF('01_Вводные'!$B$239="Да",MeanMinAge04+'19_Расчет_аналитики'!AW2584*SUMIF(ThresholdAge04,"&lt;"&amp;'19_Расчет_аналитики'!AW2584,WeightedRevAge04)-SUMIF(ThresholdAge04,"&lt;"&amp;'19_Расчет_аналитики'!AW2584,WeightedMinAge04),MAX(CapacityAge04*'01_Вводные'!$B$218*'19_Расчет_аналитики'!AW2584,MeanMinAge04)))</f>
        <v/>
      </c>
      <c r="AX2519">
        <f>IF(OR(('19_Расчет_аналитики'!AX2435-'19_Расчет_аналитики'!AX2463)=0,4&lt;='01_Вводные'!$B$297),0,('19_Расчет_аналитики'!AX2435-'19_Расчет_аналитики'!AX2463)*IF('01_Вводные'!$B$239="Да",MeanMinAge04+'19_Расчет_аналитики'!AX2584*SUMIF(ThresholdAge04,"&lt;"&amp;'19_Расчет_аналитики'!AX2584,WeightedRevAge04)-SUMIF(ThresholdAge04,"&lt;"&amp;'19_Расчет_аналитики'!AX2584,WeightedMinAge04),MAX(CapacityAge04*'01_Вводные'!$B$218*'19_Расчет_аналитики'!AX2584,MeanMinAge04)))</f>
        <v/>
      </c>
      <c r="AY2519">
        <f>IF(OR(('19_Расчет_аналитики'!AY2435-'19_Расчет_аналитики'!AY2463)=0,4&lt;='01_Вводные'!$B$297),0,('19_Расчет_аналитики'!AY2435-'19_Расчет_аналитики'!AY2463)*IF('01_Вводные'!$B$239="Да",MeanMinAge04+'19_Расчет_аналитики'!AY2584*SUMIF(ThresholdAge04,"&lt;"&amp;'19_Расчет_аналитики'!AY2584,WeightedRevAge04)-SUMIF(ThresholdAge04,"&lt;"&amp;'19_Расчет_аналитики'!AY2584,WeightedMinAge04),MAX(CapacityAge04*'01_Вводные'!$B$218*'19_Расчет_аналитики'!AY2584,MeanMinAge04)))</f>
        <v/>
      </c>
      <c r="AZ2519">
        <f>IF(OR(('19_Расчет_аналитики'!AZ2435-'19_Расчет_аналитики'!AZ2463)=0,4&lt;='01_Вводные'!$B$297),0,('19_Расчет_аналитики'!AZ2435-'19_Расчет_аналитики'!AZ2463)*IF('01_Вводные'!$B$239="Да",MeanMinAge04+'19_Расчет_аналитики'!AZ2584*SUMIF(ThresholdAge04,"&lt;"&amp;'19_Расчет_аналитики'!AZ2584,WeightedRevAge04)-SUMIF(ThresholdAge04,"&lt;"&amp;'19_Расчет_аналитики'!AZ2584,WeightedMinAge04),MAX(CapacityAge04*'01_Вводные'!$B$218*'19_Расчет_аналитики'!AZ2584,MeanMinAge04)))</f>
        <v/>
      </c>
      <c r="BA2519">
        <f>IF(OR(('19_Расчет_аналитики'!BA2435-'19_Расчет_аналитики'!BA2463)=0,4&lt;='01_Вводные'!$B$297),0,('19_Расчет_аналитики'!BA2435-'19_Расчет_аналитики'!BA2463)*IF('01_Вводные'!$B$239="Да",MeanMinAge04+'19_Расчет_аналитики'!BA2584*SUMIF(ThresholdAge04,"&lt;"&amp;'19_Расчет_аналитики'!BA2584,WeightedRevAge04)-SUMIF(ThresholdAge04,"&lt;"&amp;'19_Расчет_аналитики'!BA2584,WeightedMinAge04),MAX(CapacityAge04*'01_Вводные'!$B$218*'19_Расчет_аналитики'!BA2584,MeanMinAge04)))</f>
        <v/>
      </c>
      <c r="BB2519">
        <f>IF(OR(('19_Расчет_аналитики'!BB2435-'19_Расчет_аналитики'!BB2463)=0,4&lt;='01_Вводные'!$B$297),0,('19_Расчет_аналитики'!BB2435-'19_Расчет_аналитики'!BB2463)*IF('01_Вводные'!$B$239="Да",MeanMinAge04+'19_Расчет_аналитики'!BB2584*SUMIF(ThresholdAge04,"&lt;"&amp;'19_Расчет_аналитики'!BB2584,WeightedRevAge04)-SUMIF(ThresholdAge04,"&lt;"&amp;'19_Расчет_аналитики'!BB2584,WeightedMinAge04),MAX(CapacityAge04*'01_Вводные'!$B$218*'19_Расчет_аналитики'!BB2584,MeanMinAge04)))</f>
        <v/>
      </c>
      <c r="BC2519">
        <f>IF(OR(('19_Расчет_аналитики'!BC2435-'19_Расчет_аналитики'!BC2463)=0,4&lt;='01_Вводные'!$B$297),0,('19_Расчет_аналитики'!BC2435-'19_Расчет_аналитики'!BC2463)*IF('01_Вводные'!$B$239="Да",MeanMinAge04+'19_Расчет_аналитики'!BC2584*SUMIF(ThresholdAge04,"&lt;"&amp;'19_Расчет_аналитики'!BC2584,WeightedRevAge04)-SUMIF(ThresholdAge04,"&lt;"&amp;'19_Расчет_аналитики'!BC2584,WeightedMinAge04),MAX(CapacityAge04*'01_Вводные'!$B$218*'19_Расчет_аналитики'!BC2584,MeanMinAge04)))</f>
        <v/>
      </c>
      <c r="BD2519">
        <f>IF(OR(('19_Расчет_аналитики'!BD2435-'19_Расчет_аналитики'!BD2463)=0,4&lt;='01_Вводные'!$B$297),0,('19_Расчет_аналитики'!BD2435-'19_Расчет_аналитики'!BD2463)*IF('01_Вводные'!$B$239="Да",MeanMinAge04+'19_Расчет_аналитики'!BD2584*SUMIF(ThresholdAge04,"&lt;"&amp;'19_Расчет_аналитики'!BD2584,WeightedRevAge04)-SUMIF(ThresholdAge04,"&lt;"&amp;'19_Расчет_аналитики'!BD2584,WeightedMinAge04),MAX(CapacityAge04*'01_Вводные'!$B$218*'19_Расчет_аналитики'!BD2584,MeanMinAge04)))</f>
        <v/>
      </c>
      <c r="BE2519">
        <f>IF(OR(('19_Расчет_аналитики'!BE2435-'19_Расчет_аналитики'!BE2463)=0,4&lt;='01_Вводные'!$B$297),0,('19_Расчет_аналитики'!BE2435-'19_Расчет_аналитики'!BE2463)*IF('01_Вводные'!$B$239="Да",MeanMinAge04+'19_Расчет_аналитики'!BE2584*SUMIF(ThresholdAge04,"&lt;"&amp;'19_Расчет_аналитики'!BE2584,WeightedRevAge04)-SUMIF(ThresholdAge04,"&lt;"&amp;'19_Расчет_аналитики'!BE2584,WeightedMinAge04),MAX(CapacityAge04*'01_Вводные'!$B$218*'19_Расчет_аналитики'!BE2584,MeanMinAge04)))</f>
        <v/>
      </c>
      <c r="BF2519">
        <f>IF(OR(('19_Расчет_аналитики'!BF2435-'19_Расчет_аналитики'!BF2463)=0,4&lt;='01_Вводные'!$B$297),0,('19_Расчет_аналитики'!BF2435-'19_Расчет_аналитики'!BF2463)*IF('01_Вводные'!$B$239="Да",MeanMinAge04+'19_Расчет_аналитики'!BF2584*SUMIF(ThresholdAge04,"&lt;"&amp;'19_Расчет_аналитики'!BF2584,WeightedRevAge04)-SUMIF(ThresholdAge04,"&lt;"&amp;'19_Расчет_аналитики'!BF2584,WeightedMinAge04),MAX(CapacityAge04*'01_Вводные'!$B$218*'19_Расчет_аналитики'!BF2584,MeanMinAge04)))</f>
        <v/>
      </c>
      <c r="BG2519">
        <f>IF(OR(('19_Расчет_аналитики'!BG2435-'19_Расчет_аналитики'!BG2463)=0,4&lt;='01_Вводные'!$B$297),0,('19_Расчет_аналитики'!BG2435-'19_Расчет_аналитики'!BG2463)*IF('01_Вводные'!$B$239="Да",MeanMinAge04+'19_Расчет_аналитики'!BG2584*SUMIF(ThresholdAge04,"&lt;"&amp;'19_Расчет_аналитики'!BG2584,WeightedRevAge04)-SUMIF(ThresholdAge04,"&lt;"&amp;'19_Расчет_аналитики'!BG2584,WeightedMinAge04),MAX(CapacityAge04*'01_Вводные'!$B$218*'19_Расчет_аналитики'!BG2584,MeanMinAge04)))</f>
        <v/>
      </c>
      <c r="BH2519">
        <f>IF(OR(('19_Расчет_аналитики'!BH2435-'19_Расчет_аналитики'!BH2463)=0,4&lt;='01_Вводные'!$B$297),0,('19_Расчет_аналитики'!BH2435-'19_Расчет_аналитики'!BH2463)*IF('01_Вводные'!$B$239="Да",MeanMinAge04+'19_Расчет_аналитики'!BH2584*SUMIF(ThresholdAge04,"&lt;"&amp;'19_Расчет_аналитики'!BH2584,WeightedRevAge04)-SUMIF(ThresholdAge04,"&lt;"&amp;'19_Расчет_аналитики'!BH2584,WeightedMinAge04),MAX(CapacityAge04*'01_Вводные'!$B$218*'19_Расчет_аналитики'!BH2584,MeanMinAge04)))</f>
        <v/>
      </c>
      <c r="BI2519">
        <f>IF(OR(('19_Расчет_аналитики'!BI2435-'19_Расчет_аналитики'!BI2463)=0,4&lt;='01_Вводные'!$B$297),0,('19_Расчет_аналитики'!BI2435-'19_Расчет_аналитики'!BI2463)*IF('01_Вводные'!$B$239="Да",MeanMinAge04+'19_Расчет_аналитики'!BI2584*SUMIF(ThresholdAge04,"&lt;"&amp;'19_Расчет_аналитики'!BI2584,WeightedRevAge04)-SUMIF(ThresholdAge04,"&lt;"&amp;'19_Расчет_аналитики'!BI2584,WeightedMinAge04),MAX(CapacityAge04*'01_Вводные'!$B$218*'19_Расчет_аналитики'!BI2584,MeanMinAge04)))</f>
        <v/>
      </c>
      <c r="BJ2519">
        <f>IF(OR(('19_Расчет_аналитики'!BJ2435-'19_Расчет_аналитики'!BJ2463)=0,4&lt;='01_Вводные'!$B$297),0,('19_Расчет_аналитики'!BJ2435-'19_Расчет_аналитики'!BJ2463)*IF('01_Вводные'!$B$239="Да",MeanMinAge04+'19_Расчет_аналитики'!BJ2584*SUMIF(ThresholdAge04,"&lt;"&amp;'19_Расчет_аналитики'!BJ2584,WeightedRevAge04)-SUMIF(ThresholdAge04,"&lt;"&amp;'19_Расчет_аналитики'!BJ2584,WeightedMinAge04),MAX(CapacityAge04*'01_Вводные'!$B$218*'19_Расчет_аналитики'!BJ2584,MeanMinAge04)))</f>
        <v/>
      </c>
      <c r="BK2519">
        <f>IF(OR(('19_Расчет_аналитики'!BK2435-'19_Расчет_аналитики'!BK2463)=0,4&lt;='01_Вводные'!$B$297),0,('19_Расчет_аналитики'!BK2435-'19_Расчет_аналитики'!BK2463)*IF('01_Вводные'!$B$239="Да",MeanMinAge04+'19_Расчет_аналитики'!BK2584*SUMIF(ThresholdAge04,"&lt;"&amp;'19_Расчет_аналитики'!BK2584,WeightedRevAge04)-SUMIF(ThresholdAge04,"&lt;"&amp;'19_Расчет_аналитики'!BK2584,WeightedMinAge04),MAX(CapacityAge04*'01_Вводные'!$B$218*'19_Расчет_аналитики'!BK2584,MeanMinAge04)))</f>
        <v/>
      </c>
      <c r="BL2519">
        <f>IF(OR(('19_Расчет_аналитики'!BL2435-'19_Расчет_аналитики'!BL2463)=0,4&lt;='01_Вводные'!$B$297),0,('19_Расчет_аналитики'!BL2435-'19_Расчет_аналитики'!BL2463)*IF('01_Вводные'!$B$239="Да",MeanMinAge04+'19_Расчет_аналитики'!BL2584*SUMIF(ThresholdAge04,"&lt;"&amp;'19_Расчет_аналитики'!BL2584,WeightedRevAge04)-SUMIF(ThresholdAge04,"&lt;"&amp;'19_Расчет_аналитики'!BL2584,WeightedMinAge04),MAX(CapacityAge04*'01_Вводные'!$B$218*'19_Расчет_аналитики'!BL2584,MeanMinAge04)))</f>
        <v/>
      </c>
      <c r="BM2519">
        <f>IF(OR(('19_Расчет_аналитики'!BM2435-'19_Расчет_аналитики'!BM2463)=0,4&lt;='01_Вводные'!$B$297),0,('19_Расчет_аналитики'!BM2435-'19_Расчет_аналитики'!BM2463)*IF('01_Вводные'!$B$239="Да",MeanMinAge04+'19_Расчет_аналитики'!BM2584*SUMIF(ThresholdAge04,"&lt;"&amp;'19_Расчет_аналитики'!BM2584,WeightedRevAge04)-SUMIF(ThresholdAge04,"&lt;"&amp;'19_Расчет_аналитики'!BM2584,WeightedMinAge04),MAX(CapacityAge04*'01_Вводные'!$B$218*'19_Расчет_аналитики'!BM2584,MeanMinAge04)))</f>
        <v/>
      </c>
      <c r="BN2519">
        <f>IF(OR(('19_Расчет_аналитики'!BN2435-'19_Расчет_аналитики'!BN2463)=0,4&lt;='01_Вводные'!$B$297),0,('19_Расчет_аналитики'!BN2435-'19_Расчет_аналитики'!BN2463)*IF('01_Вводные'!$B$239="Да",MeanMinAge04+'19_Расчет_аналитики'!BN2584*SUMIF(ThresholdAge04,"&lt;"&amp;'19_Расчет_аналитики'!BN2584,WeightedRevAge04)-SUMIF(ThresholdAge04,"&lt;"&amp;'19_Расчет_аналитики'!BN2584,WeightedMinAge04),MAX(CapacityAge04*'01_Вводные'!$B$218*'19_Расчет_аналитики'!BN2584,MeanMinAge04)))</f>
        <v/>
      </c>
      <c r="BO2519">
        <f>IF(OR(('19_Расчет_аналитики'!BO2435-'19_Расчет_аналитики'!BO2463)=0,4&lt;='01_Вводные'!$B$297),0,('19_Расчет_аналитики'!BO2435-'19_Расчет_аналитики'!BO2463)*IF('01_Вводные'!$B$239="Да",MeanMinAge04+'19_Расчет_аналитики'!BO2584*SUMIF(ThresholdAge04,"&lt;"&amp;'19_Расчет_аналитики'!BO2584,WeightedRevAge04)-SUMIF(ThresholdAge04,"&lt;"&amp;'19_Расчет_аналитики'!BO2584,WeightedMinAge04),MAX(CapacityAge04*'01_Вводные'!$B$218*'19_Расчет_аналитики'!BO2584,MeanMinAge04)))</f>
        <v/>
      </c>
    </row>
    <row r="2520">
      <c r="B2520">
        <f>IF(OR(('06_Сеть_и_дети'!B57-'06_Сеть_и_дети'!B85)=0,5&lt;='01_Вводные'!$B$297),0,('06_Сеть_и_дети'!B57-'06_Сеть_и_дети'!B85)*IF('01_Вводные'!$B$239="Да",MeanMinAge05+'19_Расчет_аналитики'!B2584*SUMIF(ThresholdAge05,"&lt;"&amp;'19_Расчет_аналитики'!B2584,WeightedRevAge05)-SUMIF(ThresholdAge05,"&lt;"&amp;'19_Расчет_аналитики'!B2584,WeightedMinAge05),MAX(CapacityAge05*'01_Вводные'!$B$218*'19_Расчет_аналитики'!B2584,MeanMinAge05)))</f>
        <v/>
      </c>
      <c r="C2520">
        <f>IF(OR(('06_Сеть_и_дети'!C57-'06_Сеть_и_дети'!C85)=0,5&lt;='01_Вводные'!$B$297),0,('06_Сеть_и_дети'!C57-'06_Сеть_и_дети'!C85)*IF('01_Вводные'!$B$239="Да",MeanMinAge05+'19_Расчет_аналитики'!C2584*SUMIF(ThresholdAge05,"&lt;"&amp;'19_Расчет_аналитики'!C2584,WeightedRevAge05)-SUMIF(ThresholdAge05,"&lt;"&amp;'19_Расчет_аналитики'!C2584,WeightedMinAge05),MAX(CapacityAge05*'01_Вводные'!$B$218*'19_Расчет_аналитики'!C2584,MeanMinAge05)))</f>
        <v/>
      </c>
      <c r="D2520">
        <f>IF(OR(('06_Сеть_и_дети'!D57-'06_Сеть_и_дети'!D85)=0,5&lt;='01_Вводные'!$B$297),0,('06_Сеть_и_дети'!D57-'06_Сеть_и_дети'!D85)*IF('01_Вводные'!$B$239="Да",MeanMinAge05+'19_Расчет_аналитики'!D2584*SUMIF(ThresholdAge05,"&lt;"&amp;'19_Расчет_аналитики'!D2584,WeightedRevAge05)-SUMIF(ThresholdAge05,"&lt;"&amp;'19_Расчет_аналитики'!D2584,WeightedMinAge05),MAX(CapacityAge05*'01_Вводные'!$B$218*'19_Расчет_аналитики'!D2584,MeanMinAge05)))</f>
        <v/>
      </c>
      <c r="E2520">
        <f>IF(OR(('06_Сеть_и_дети'!E57-'06_Сеть_и_дети'!E85)=0,5&lt;='01_Вводные'!$B$297),0,('06_Сеть_и_дети'!E57-'06_Сеть_и_дети'!E85)*IF('01_Вводные'!$B$239="Да",MeanMinAge05+'19_Расчет_аналитики'!E2584*SUMIF(ThresholdAge05,"&lt;"&amp;'19_Расчет_аналитики'!E2584,WeightedRevAge05)-SUMIF(ThresholdAge05,"&lt;"&amp;'19_Расчет_аналитики'!E2584,WeightedMinAge05),MAX(CapacityAge05*'01_Вводные'!$B$218*'19_Расчет_аналитики'!E2584,MeanMinAge05)))</f>
        <v/>
      </c>
      <c r="F2520">
        <f>IF(OR(('19_Расчет_аналитики'!F2436-'19_Расчет_аналитики'!F2464)=0,5&lt;='01_Вводные'!$B$297),0,('19_Расчет_аналитики'!F2436-'19_Расчет_аналитики'!F2464)*IF('01_Вводные'!$B$239="Да",MeanMinAge05+'19_Расчет_аналитики'!F2584*SUMIF(ThresholdAge05,"&lt;"&amp;'19_Расчет_аналитики'!F2584,WeightedRevAge05)-SUMIF(ThresholdAge05,"&lt;"&amp;'19_Расчет_аналитики'!F2584,WeightedMinAge05),MAX(CapacityAge05*'01_Вводные'!$B$218*'19_Расчет_аналитики'!F2584,MeanMinAge05)))</f>
        <v/>
      </c>
      <c r="G2520">
        <f>IF(OR(('19_Расчет_аналитики'!G2436-'19_Расчет_аналитики'!G2464)=0,5&lt;='01_Вводные'!$B$297),0,('19_Расчет_аналитики'!G2436-'19_Расчет_аналитики'!G2464)*IF('01_Вводные'!$B$239="Да",MeanMinAge05+'19_Расчет_аналитики'!G2584*SUMIF(ThresholdAge05,"&lt;"&amp;'19_Расчет_аналитики'!G2584,WeightedRevAge05)-SUMIF(ThresholdAge05,"&lt;"&amp;'19_Расчет_аналитики'!G2584,WeightedMinAge05),MAX(CapacityAge05*'01_Вводные'!$B$218*'19_Расчет_аналитики'!G2584,MeanMinAge05)))</f>
        <v/>
      </c>
      <c r="H2520">
        <f>IF(OR(('19_Расчет_аналитики'!H2436-'19_Расчет_аналитики'!H2464)=0,5&lt;='01_Вводные'!$B$297),0,('19_Расчет_аналитики'!H2436-'19_Расчет_аналитики'!H2464)*IF('01_Вводные'!$B$239="Да",MeanMinAge05+'19_Расчет_аналитики'!H2584*SUMIF(ThresholdAge05,"&lt;"&amp;'19_Расчет_аналитики'!H2584,WeightedRevAge05)-SUMIF(ThresholdAge05,"&lt;"&amp;'19_Расчет_аналитики'!H2584,WeightedMinAge05),MAX(CapacityAge05*'01_Вводные'!$B$218*'19_Расчет_аналитики'!H2584,MeanMinAge05)))</f>
        <v/>
      </c>
      <c r="I2520">
        <f>IF(OR(('19_Расчет_аналитики'!I2436-'19_Расчет_аналитики'!I2464)=0,5&lt;='01_Вводные'!$B$297),0,('19_Расчет_аналитики'!I2436-'19_Расчет_аналитики'!I2464)*IF('01_Вводные'!$B$239="Да",MeanMinAge05+'19_Расчет_аналитики'!I2584*SUMIF(ThresholdAge05,"&lt;"&amp;'19_Расчет_аналитики'!I2584,WeightedRevAge05)-SUMIF(ThresholdAge05,"&lt;"&amp;'19_Расчет_аналитики'!I2584,WeightedMinAge05),MAX(CapacityAge05*'01_Вводные'!$B$218*'19_Расчет_аналитики'!I2584,MeanMinAge05)))</f>
        <v/>
      </c>
      <c r="J2520">
        <f>IF(OR(('19_Расчет_аналитики'!J2436-'19_Расчет_аналитики'!J2464)=0,5&lt;='01_Вводные'!$B$297),0,('19_Расчет_аналитики'!J2436-'19_Расчет_аналитики'!J2464)*IF('01_Вводные'!$B$239="Да",MeanMinAge05+'19_Расчет_аналитики'!J2584*SUMIF(ThresholdAge05,"&lt;"&amp;'19_Расчет_аналитики'!J2584,WeightedRevAge05)-SUMIF(ThresholdAge05,"&lt;"&amp;'19_Расчет_аналитики'!J2584,WeightedMinAge05),MAX(CapacityAge05*'01_Вводные'!$B$218*'19_Расчет_аналитики'!J2584,MeanMinAge05)))</f>
        <v/>
      </c>
      <c r="K2520">
        <f>IF(OR(('19_Расчет_аналитики'!K2436-'19_Расчет_аналитики'!K2464)=0,5&lt;='01_Вводные'!$B$297),0,('19_Расчет_аналитики'!K2436-'19_Расчет_аналитики'!K2464)*IF('01_Вводные'!$B$239="Да",MeanMinAge05+'19_Расчет_аналитики'!K2584*SUMIF(ThresholdAge05,"&lt;"&amp;'19_Расчет_аналитики'!K2584,WeightedRevAge05)-SUMIF(ThresholdAge05,"&lt;"&amp;'19_Расчет_аналитики'!K2584,WeightedMinAge05),MAX(CapacityAge05*'01_Вводные'!$B$218*'19_Расчет_аналитики'!K2584,MeanMinAge05)))</f>
        <v/>
      </c>
      <c r="L2520">
        <f>IF(OR(('19_Расчет_аналитики'!L2436-'19_Расчет_аналитики'!L2464)=0,5&lt;='01_Вводные'!$B$297),0,('19_Расчет_аналитики'!L2436-'19_Расчет_аналитики'!L2464)*IF('01_Вводные'!$B$239="Да",MeanMinAge05+'19_Расчет_аналитики'!L2584*SUMIF(ThresholdAge05,"&lt;"&amp;'19_Расчет_аналитики'!L2584,WeightedRevAge05)-SUMIF(ThresholdAge05,"&lt;"&amp;'19_Расчет_аналитики'!L2584,WeightedMinAge05),MAX(CapacityAge05*'01_Вводные'!$B$218*'19_Расчет_аналитики'!L2584,MeanMinAge05)))</f>
        <v/>
      </c>
      <c r="M2520">
        <f>IF(OR(('19_Расчет_аналитики'!M2436-'19_Расчет_аналитики'!M2464)=0,5&lt;='01_Вводные'!$B$297),0,('19_Расчет_аналитики'!M2436-'19_Расчет_аналитики'!M2464)*IF('01_Вводные'!$B$239="Да",MeanMinAge05+'19_Расчет_аналитики'!M2584*SUMIF(ThresholdAge05,"&lt;"&amp;'19_Расчет_аналитики'!M2584,WeightedRevAge05)-SUMIF(ThresholdAge05,"&lt;"&amp;'19_Расчет_аналитики'!M2584,WeightedMinAge05),MAX(CapacityAge05*'01_Вводные'!$B$218*'19_Расчет_аналитики'!M2584,MeanMinAge05)))</f>
        <v/>
      </c>
      <c r="N2520">
        <f>IF(OR(('19_Расчет_аналитики'!N2436-'19_Расчет_аналитики'!N2464)=0,5&lt;='01_Вводные'!$B$297),0,('19_Расчет_аналитики'!N2436-'19_Расчет_аналитики'!N2464)*IF('01_Вводные'!$B$239="Да",MeanMinAge05+'19_Расчет_аналитики'!N2584*SUMIF(ThresholdAge05,"&lt;"&amp;'19_Расчет_аналитики'!N2584,WeightedRevAge05)-SUMIF(ThresholdAge05,"&lt;"&amp;'19_Расчет_аналитики'!N2584,WeightedMinAge05),MAX(CapacityAge05*'01_Вводные'!$B$218*'19_Расчет_аналитики'!N2584,MeanMinAge05)))</f>
        <v/>
      </c>
      <c r="O2520">
        <f>IF(OR(('19_Расчет_аналитики'!O2436-'19_Расчет_аналитики'!O2464)=0,5&lt;='01_Вводные'!$B$297),0,('19_Расчет_аналитики'!O2436-'19_Расчет_аналитики'!O2464)*IF('01_Вводные'!$B$239="Да",MeanMinAge05+'19_Расчет_аналитики'!O2584*SUMIF(ThresholdAge05,"&lt;"&amp;'19_Расчет_аналитики'!O2584,WeightedRevAge05)-SUMIF(ThresholdAge05,"&lt;"&amp;'19_Расчет_аналитики'!O2584,WeightedMinAge05),MAX(CapacityAge05*'01_Вводные'!$B$218*'19_Расчет_аналитики'!O2584,MeanMinAge05)))</f>
        <v/>
      </c>
      <c r="P2520">
        <f>IF(OR(('19_Расчет_аналитики'!P2436-'19_Расчет_аналитики'!P2464)=0,5&lt;='01_Вводные'!$B$297),0,('19_Расчет_аналитики'!P2436-'19_Расчет_аналитики'!P2464)*IF('01_Вводные'!$B$239="Да",MeanMinAge05+'19_Расчет_аналитики'!P2584*SUMIF(ThresholdAge05,"&lt;"&amp;'19_Расчет_аналитики'!P2584,WeightedRevAge05)-SUMIF(ThresholdAge05,"&lt;"&amp;'19_Расчет_аналитики'!P2584,WeightedMinAge05),MAX(CapacityAge05*'01_Вводные'!$B$218*'19_Расчет_аналитики'!P2584,MeanMinAge05)))</f>
        <v/>
      </c>
      <c r="Q2520">
        <f>IF(OR(('19_Расчет_аналитики'!Q2436-'19_Расчет_аналитики'!Q2464)=0,5&lt;='01_Вводные'!$B$297),0,('19_Расчет_аналитики'!Q2436-'19_Расчет_аналитики'!Q2464)*IF('01_Вводные'!$B$239="Да",MeanMinAge05+'19_Расчет_аналитики'!Q2584*SUMIF(ThresholdAge05,"&lt;"&amp;'19_Расчет_аналитики'!Q2584,WeightedRevAge05)-SUMIF(ThresholdAge05,"&lt;"&amp;'19_Расчет_аналитики'!Q2584,WeightedMinAge05),MAX(CapacityAge05*'01_Вводные'!$B$218*'19_Расчет_аналитики'!Q2584,MeanMinAge05)))</f>
        <v/>
      </c>
      <c r="R2520">
        <f>IF(OR(('19_Расчет_аналитики'!R2436-'19_Расчет_аналитики'!R2464)=0,5&lt;='01_Вводные'!$B$297),0,('19_Расчет_аналитики'!R2436-'19_Расчет_аналитики'!R2464)*IF('01_Вводные'!$B$239="Да",MeanMinAge05+'19_Расчет_аналитики'!R2584*SUMIF(ThresholdAge05,"&lt;"&amp;'19_Расчет_аналитики'!R2584,WeightedRevAge05)-SUMIF(ThresholdAge05,"&lt;"&amp;'19_Расчет_аналитики'!R2584,WeightedMinAge05),MAX(CapacityAge05*'01_Вводные'!$B$218*'19_Расчет_аналитики'!R2584,MeanMinAge05)))</f>
        <v/>
      </c>
      <c r="S2520">
        <f>IF(OR(('19_Расчет_аналитики'!S2436-'19_Расчет_аналитики'!S2464)=0,5&lt;='01_Вводные'!$B$297),0,('19_Расчет_аналитики'!S2436-'19_Расчет_аналитики'!S2464)*IF('01_Вводные'!$B$239="Да",MeanMinAge05+'19_Расчет_аналитики'!S2584*SUMIF(ThresholdAge05,"&lt;"&amp;'19_Расчет_аналитики'!S2584,WeightedRevAge05)-SUMIF(ThresholdAge05,"&lt;"&amp;'19_Расчет_аналитики'!S2584,WeightedMinAge05),MAX(CapacityAge05*'01_Вводные'!$B$218*'19_Расчет_аналитики'!S2584,MeanMinAge05)))</f>
        <v/>
      </c>
      <c r="T2520">
        <f>IF(OR(('19_Расчет_аналитики'!T2436-'19_Расчет_аналитики'!T2464)=0,5&lt;='01_Вводные'!$B$297),0,('19_Расчет_аналитики'!T2436-'19_Расчет_аналитики'!T2464)*IF('01_Вводные'!$B$239="Да",MeanMinAge05+'19_Расчет_аналитики'!T2584*SUMIF(ThresholdAge05,"&lt;"&amp;'19_Расчет_аналитики'!T2584,WeightedRevAge05)-SUMIF(ThresholdAge05,"&lt;"&amp;'19_Расчет_аналитики'!T2584,WeightedMinAge05),MAX(CapacityAge05*'01_Вводные'!$B$218*'19_Расчет_аналитики'!T2584,MeanMinAge05)))</f>
        <v/>
      </c>
      <c r="U2520">
        <f>IF(OR(('19_Расчет_аналитики'!U2436-'19_Расчет_аналитики'!U2464)=0,5&lt;='01_Вводные'!$B$297),0,('19_Расчет_аналитики'!U2436-'19_Расчет_аналитики'!U2464)*IF('01_Вводные'!$B$239="Да",MeanMinAge05+'19_Расчет_аналитики'!U2584*SUMIF(ThresholdAge05,"&lt;"&amp;'19_Расчет_аналитики'!U2584,WeightedRevAge05)-SUMIF(ThresholdAge05,"&lt;"&amp;'19_Расчет_аналитики'!U2584,WeightedMinAge05),MAX(CapacityAge05*'01_Вводные'!$B$218*'19_Расчет_аналитики'!U2584,MeanMinAge05)))</f>
        <v/>
      </c>
      <c r="V2520">
        <f>IF(OR(('19_Расчет_аналитики'!V2436-'19_Расчет_аналитики'!V2464)=0,5&lt;='01_Вводные'!$B$297),0,('19_Расчет_аналитики'!V2436-'19_Расчет_аналитики'!V2464)*IF('01_Вводные'!$B$239="Да",MeanMinAge05+'19_Расчет_аналитики'!V2584*SUMIF(ThresholdAge05,"&lt;"&amp;'19_Расчет_аналитики'!V2584,WeightedRevAge05)-SUMIF(ThresholdAge05,"&lt;"&amp;'19_Расчет_аналитики'!V2584,WeightedMinAge05),MAX(CapacityAge05*'01_Вводные'!$B$218*'19_Расчет_аналитики'!V2584,MeanMinAge05)))</f>
        <v/>
      </c>
      <c r="W2520">
        <f>IF(OR(('19_Расчет_аналитики'!W2436-'19_Расчет_аналитики'!W2464)=0,5&lt;='01_Вводные'!$B$297),0,('19_Расчет_аналитики'!W2436-'19_Расчет_аналитики'!W2464)*IF('01_Вводные'!$B$239="Да",MeanMinAge05+'19_Расчет_аналитики'!W2584*SUMIF(ThresholdAge05,"&lt;"&amp;'19_Расчет_аналитики'!W2584,WeightedRevAge05)-SUMIF(ThresholdAge05,"&lt;"&amp;'19_Расчет_аналитики'!W2584,WeightedMinAge05),MAX(CapacityAge05*'01_Вводные'!$B$218*'19_Расчет_аналитики'!W2584,MeanMinAge05)))</f>
        <v/>
      </c>
      <c r="X2520">
        <f>IF(OR(('19_Расчет_аналитики'!X2436-'19_Расчет_аналитики'!X2464)=0,5&lt;='01_Вводные'!$B$297),0,('19_Расчет_аналитики'!X2436-'19_Расчет_аналитики'!X2464)*IF('01_Вводные'!$B$239="Да",MeanMinAge05+'19_Расчет_аналитики'!X2584*SUMIF(ThresholdAge05,"&lt;"&amp;'19_Расчет_аналитики'!X2584,WeightedRevAge05)-SUMIF(ThresholdAge05,"&lt;"&amp;'19_Расчет_аналитики'!X2584,WeightedMinAge05),MAX(CapacityAge05*'01_Вводные'!$B$218*'19_Расчет_аналитики'!X2584,MeanMinAge05)))</f>
        <v/>
      </c>
      <c r="Y2520">
        <f>IF(OR(('19_Расчет_аналитики'!Y2436-'19_Расчет_аналитики'!Y2464)=0,5&lt;='01_Вводные'!$B$297),0,('19_Расчет_аналитики'!Y2436-'19_Расчет_аналитики'!Y2464)*IF('01_Вводные'!$B$239="Да",MeanMinAge05+'19_Расчет_аналитики'!Y2584*SUMIF(ThresholdAge05,"&lt;"&amp;'19_Расчет_аналитики'!Y2584,WeightedRevAge05)-SUMIF(ThresholdAge05,"&lt;"&amp;'19_Расчет_аналитики'!Y2584,WeightedMinAge05),MAX(CapacityAge05*'01_Вводные'!$B$218*'19_Расчет_аналитики'!Y2584,MeanMinAge05)))</f>
        <v/>
      </c>
      <c r="Z2520">
        <f>IF(OR(('19_Расчет_аналитики'!Z2436-'19_Расчет_аналитики'!Z2464)=0,5&lt;='01_Вводные'!$B$297),0,('19_Расчет_аналитики'!Z2436-'19_Расчет_аналитики'!Z2464)*IF('01_Вводные'!$B$239="Да",MeanMinAge05+'19_Расчет_аналитики'!Z2584*SUMIF(ThresholdAge05,"&lt;"&amp;'19_Расчет_аналитики'!Z2584,WeightedRevAge05)-SUMIF(ThresholdAge05,"&lt;"&amp;'19_Расчет_аналитики'!Z2584,WeightedMinAge05),MAX(CapacityAge05*'01_Вводные'!$B$218*'19_Расчет_аналитики'!Z2584,MeanMinAge05)))</f>
        <v/>
      </c>
      <c r="AA2520">
        <f>IF(OR(('19_Расчет_аналитики'!AA2436-'19_Расчет_аналитики'!AA2464)=0,5&lt;='01_Вводные'!$B$297),0,('19_Расчет_аналитики'!AA2436-'19_Расчет_аналитики'!AA2464)*IF('01_Вводные'!$B$239="Да",MeanMinAge05+'19_Расчет_аналитики'!AA2584*SUMIF(ThresholdAge05,"&lt;"&amp;'19_Расчет_аналитики'!AA2584,WeightedRevAge05)-SUMIF(ThresholdAge05,"&lt;"&amp;'19_Расчет_аналитики'!AA2584,WeightedMinAge05),MAX(CapacityAge05*'01_Вводные'!$B$218*'19_Расчет_аналитики'!AA2584,MeanMinAge05)))</f>
        <v/>
      </c>
      <c r="AB2520">
        <f>IF(OR(('19_Расчет_аналитики'!AB2436-'19_Расчет_аналитики'!AB2464)=0,5&lt;='01_Вводные'!$B$297),0,('19_Расчет_аналитики'!AB2436-'19_Расчет_аналитики'!AB2464)*IF('01_Вводные'!$B$239="Да",MeanMinAge05+'19_Расчет_аналитики'!AB2584*SUMIF(ThresholdAge05,"&lt;"&amp;'19_Расчет_аналитики'!AB2584,WeightedRevAge05)-SUMIF(ThresholdAge05,"&lt;"&amp;'19_Расчет_аналитики'!AB2584,WeightedMinAge05),MAX(CapacityAge05*'01_Вводные'!$B$218*'19_Расчет_аналитики'!AB2584,MeanMinAge05)))</f>
        <v/>
      </c>
      <c r="AC2520">
        <f>IF(OR(('19_Расчет_аналитики'!AC2436-'19_Расчет_аналитики'!AC2464)=0,5&lt;='01_Вводные'!$B$297),0,('19_Расчет_аналитики'!AC2436-'19_Расчет_аналитики'!AC2464)*IF('01_Вводные'!$B$239="Да",MeanMinAge05+'19_Расчет_аналитики'!AC2584*SUMIF(ThresholdAge05,"&lt;"&amp;'19_Расчет_аналитики'!AC2584,WeightedRevAge05)-SUMIF(ThresholdAge05,"&lt;"&amp;'19_Расчет_аналитики'!AC2584,WeightedMinAge05),MAX(CapacityAge05*'01_Вводные'!$B$218*'19_Расчет_аналитики'!AC2584,MeanMinAge05)))</f>
        <v/>
      </c>
      <c r="AD2520">
        <f>IF(OR(('19_Расчет_аналитики'!AD2436-'19_Расчет_аналитики'!AD2464)=0,5&lt;='01_Вводные'!$B$297),0,('19_Расчет_аналитики'!AD2436-'19_Расчет_аналитики'!AD2464)*IF('01_Вводные'!$B$239="Да",MeanMinAge05+'19_Расчет_аналитики'!AD2584*SUMIF(ThresholdAge05,"&lt;"&amp;'19_Расчет_аналитики'!AD2584,WeightedRevAge05)-SUMIF(ThresholdAge05,"&lt;"&amp;'19_Расчет_аналитики'!AD2584,WeightedMinAge05),MAX(CapacityAge05*'01_Вводные'!$B$218*'19_Расчет_аналитики'!AD2584,MeanMinAge05)))</f>
        <v/>
      </c>
      <c r="AE2520">
        <f>IF(OR(('19_Расчет_аналитики'!AE2436-'19_Расчет_аналитики'!AE2464)=0,5&lt;='01_Вводные'!$B$297),0,('19_Расчет_аналитики'!AE2436-'19_Расчет_аналитики'!AE2464)*IF('01_Вводные'!$B$239="Да",MeanMinAge05+'19_Расчет_аналитики'!AE2584*SUMIF(ThresholdAge05,"&lt;"&amp;'19_Расчет_аналитики'!AE2584,WeightedRevAge05)-SUMIF(ThresholdAge05,"&lt;"&amp;'19_Расчет_аналитики'!AE2584,WeightedMinAge05),MAX(CapacityAge05*'01_Вводные'!$B$218*'19_Расчет_аналитики'!AE2584,MeanMinAge05)))</f>
        <v/>
      </c>
      <c r="AF2520">
        <f>IF(OR(('19_Расчет_аналитики'!AF2436-'19_Расчет_аналитики'!AF2464)=0,5&lt;='01_Вводные'!$B$297),0,('19_Расчет_аналитики'!AF2436-'19_Расчет_аналитики'!AF2464)*IF('01_Вводные'!$B$239="Да",MeanMinAge05+'19_Расчет_аналитики'!AF2584*SUMIF(ThresholdAge05,"&lt;"&amp;'19_Расчет_аналитики'!AF2584,WeightedRevAge05)-SUMIF(ThresholdAge05,"&lt;"&amp;'19_Расчет_аналитики'!AF2584,WeightedMinAge05),MAX(CapacityAge05*'01_Вводные'!$B$218*'19_Расчет_аналитики'!AF2584,MeanMinAge05)))</f>
        <v/>
      </c>
      <c r="AG2520">
        <f>IF(OR(('19_Расчет_аналитики'!AG2436-'19_Расчет_аналитики'!AG2464)=0,5&lt;='01_Вводные'!$B$297),0,('19_Расчет_аналитики'!AG2436-'19_Расчет_аналитики'!AG2464)*IF('01_Вводные'!$B$239="Да",MeanMinAge05+'19_Расчет_аналитики'!AG2584*SUMIF(ThresholdAge05,"&lt;"&amp;'19_Расчет_аналитики'!AG2584,WeightedRevAge05)-SUMIF(ThresholdAge05,"&lt;"&amp;'19_Расчет_аналитики'!AG2584,WeightedMinAge05),MAX(CapacityAge05*'01_Вводные'!$B$218*'19_Расчет_аналитики'!AG2584,MeanMinAge05)))</f>
        <v/>
      </c>
      <c r="AH2520">
        <f>IF(OR(('19_Расчет_аналитики'!AH2436-'19_Расчет_аналитики'!AH2464)=0,5&lt;='01_Вводные'!$B$297),0,('19_Расчет_аналитики'!AH2436-'19_Расчет_аналитики'!AH2464)*IF('01_Вводные'!$B$239="Да",MeanMinAge05+'19_Расчет_аналитики'!AH2584*SUMIF(ThresholdAge05,"&lt;"&amp;'19_Расчет_аналитики'!AH2584,WeightedRevAge05)-SUMIF(ThresholdAge05,"&lt;"&amp;'19_Расчет_аналитики'!AH2584,WeightedMinAge05),MAX(CapacityAge05*'01_Вводные'!$B$218*'19_Расчет_аналитики'!AH2584,MeanMinAge05)))</f>
        <v/>
      </c>
      <c r="AI2520">
        <f>IF(OR(('19_Расчет_аналитики'!AI2436-'19_Расчет_аналитики'!AI2464)=0,5&lt;='01_Вводные'!$B$297),0,('19_Расчет_аналитики'!AI2436-'19_Расчет_аналитики'!AI2464)*IF('01_Вводные'!$B$239="Да",MeanMinAge05+'19_Расчет_аналитики'!AI2584*SUMIF(ThresholdAge05,"&lt;"&amp;'19_Расчет_аналитики'!AI2584,WeightedRevAge05)-SUMIF(ThresholdAge05,"&lt;"&amp;'19_Расчет_аналитики'!AI2584,WeightedMinAge05),MAX(CapacityAge05*'01_Вводные'!$B$218*'19_Расчет_аналитики'!AI2584,MeanMinAge05)))</f>
        <v/>
      </c>
      <c r="AJ2520">
        <f>IF(OR(('19_Расчет_аналитики'!AJ2436-'19_Расчет_аналитики'!AJ2464)=0,5&lt;='01_Вводные'!$B$297),0,('19_Расчет_аналитики'!AJ2436-'19_Расчет_аналитики'!AJ2464)*IF('01_Вводные'!$B$239="Да",MeanMinAge05+'19_Расчет_аналитики'!AJ2584*SUMIF(ThresholdAge05,"&lt;"&amp;'19_Расчет_аналитики'!AJ2584,WeightedRevAge05)-SUMIF(ThresholdAge05,"&lt;"&amp;'19_Расчет_аналитики'!AJ2584,WeightedMinAge05),MAX(CapacityAge05*'01_Вводные'!$B$218*'19_Расчет_аналитики'!AJ2584,MeanMinAge05)))</f>
        <v/>
      </c>
      <c r="AK2520">
        <f>IF(OR(('19_Расчет_аналитики'!AK2436-'19_Расчет_аналитики'!AK2464)=0,5&lt;='01_Вводные'!$B$297),0,('19_Расчет_аналитики'!AK2436-'19_Расчет_аналитики'!AK2464)*IF('01_Вводные'!$B$239="Да",MeanMinAge05+'19_Расчет_аналитики'!AK2584*SUMIF(ThresholdAge05,"&lt;"&amp;'19_Расчет_аналитики'!AK2584,WeightedRevAge05)-SUMIF(ThresholdAge05,"&lt;"&amp;'19_Расчет_аналитики'!AK2584,WeightedMinAge05),MAX(CapacityAge05*'01_Вводные'!$B$218*'19_Расчет_аналитики'!AK2584,MeanMinAge05)))</f>
        <v/>
      </c>
      <c r="AL2520">
        <f>IF(OR(('19_Расчет_аналитики'!AL2436-'19_Расчет_аналитики'!AL2464)=0,5&lt;='01_Вводные'!$B$297),0,('19_Расчет_аналитики'!AL2436-'19_Расчет_аналитики'!AL2464)*IF('01_Вводные'!$B$239="Да",MeanMinAge05+'19_Расчет_аналитики'!AL2584*SUMIF(ThresholdAge05,"&lt;"&amp;'19_Расчет_аналитики'!AL2584,WeightedRevAge05)-SUMIF(ThresholdAge05,"&lt;"&amp;'19_Расчет_аналитики'!AL2584,WeightedMinAge05),MAX(CapacityAge05*'01_Вводные'!$B$218*'19_Расчет_аналитики'!AL2584,MeanMinAge05)))</f>
        <v/>
      </c>
      <c r="AM2520">
        <f>IF(OR(('19_Расчет_аналитики'!AM2436-'19_Расчет_аналитики'!AM2464)=0,5&lt;='01_Вводные'!$B$297),0,('19_Расчет_аналитики'!AM2436-'19_Расчет_аналитики'!AM2464)*IF('01_Вводные'!$B$239="Да",MeanMinAge05+'19_Расчет_аналитики'!AM2584*SUMIF(ThresholdAge05,"&lt;"&amp;'19_Расчет_аналитики'!AM2584,WeightedRevAge05)-SUMIF(ThresholdAge05,"&lt;"&amp;'19_Расчет_аналитики'!AM2584,WeightedMinAge05),MAX(CapacityAge05*'01_Вводные'!$B$218*'19_Расчет_аналитики'!AM2584,MeanMinAge05)))</f>
        <v/>
      </c>
      <c r="AN2520">
        <f>IF(OR(('19_Расчет_аналитики'!AN2436-'19_Расчет_аналитики'!AN2464)=0,5&lt;='01_Вводные'!$B$297),0,('19_Расчет_аналитики'!AN2436-'19_Расчет_аналитики'!AN2464)*IF('01_Вводные'!$B$239="Да",MeanMinAge05+'19_Расчет_аналитики'!AN2584*SUMIF(ThresholdAge05,"&lt;"&amp;'19_Расчет_аналитики'!AN2584,WeightedRevAge05)-SUMIF(ThresholdAge05,"&lt;"&amp;'19_Расчет_аналитики'!AN2584,WeightedMinAge05),MAX(CapacityAge05*'01_Вводные'!$B$218*'19_Расчет_аналитики'!AN2584,MeanMinAge05)))</f>
        <v/>
      </c>
      <c r="AO2520">
        <f>IF(OR(('19_Расчет_аналитики'!AO2436-'19_Расчет_аналитики'!AO2464)=0,5&lt;='01_Вводные'!$B$297),0,('19_Расчет_аналитики'!AO2436-'19_Расчет_аналитики'!AO2464)*IF('01_Вводные'!$B$239="Да",MeanMinAge05+'19_Расчет_аналитики'!AO2584*SUMIF(ThresholdAge05,"&lt;"&amp;'19_Расчет_аналитики'!AO2584,WeightedRevAge05)-SUMIF(ThresholdAge05,"&lt;"&amp;'19_Расчет_аналитики'!AO2584,WeightedMinAge05),MAX(CapacityAge05*'01_Вводные'!$B$218*'19_Расчет_аналитики'!AO2584,MeanMinAge05)))</f>
        <v/>
      </c>
      <c r="AP2520">
        <f>IF(OR(('19_Расчет_аналитики'!AP2436-'19_Расчет_аналитики'!AP2464)=0,5&lt;='01_Вводные'!$B$297),0,('19_Расчет_аналитики'!AP2436-'19_Расчет_аналитики'!AP2464)*IF('01_Вводные'!$B$239="Да",MeanMinAge05+'19_Расчет_аналитики'!AP2584*SUMIF(ThresholdAge05,"&lt;"&amp;'19_Расчет_аналитики'!AP2584,WeightedRevAge05)-SUMIF(ThresholdAge05,"&lt;"&amp;'19_Расчет_аналитики'!AP2584,WeightedMinAge05),MAX(CapacityAge05*'01_Вводные'!$B$218*'19_Расчет_аналитики'!AP2584,MeanMinAge05)))</f>
        <v/>
      </c>
      <c r="AQ2520">
        <f>IF(OR(('19_Расчет_аналитики'!AQ2436-'19_Расчет_аналитики'!AQ2464)=0,5&lt;='01_Вводные'!$B$297),0,('19_Расчет_аналитики'!AQ2436-'19_Расчет_аналитики'!AQ2464)*IF('01_Вводные'!$B$239="Да",MeanMinAge05+'19_Расчет_аналитики'!AQ2584*SUMIF(ThresholdAge05,"&lt;"&amp;'19_Расчет_аналитики'!AQ2584,WeightedRevAge05)-SUMIF(ThresholdAge05,"&lt;"&amp;'19_Расчет_аналитики'!AQ2584,WeightedMinAge05),MAX(CapacityAge05*'01_Вводные'!$B$218*'19_Расчет_аналитики'!AQ2584,MeanMinAge05)))</f>
        <v/>
      </c>
      <c r="AR2520">
        <f>IF(OR(('19_Расчет_аналитики'!AR2436-'19_Расчет_аналитики'!AR2464)=0,5&lt;='01_Вводные'!$B$297),0,('19_Расчет_аналитики'!AR2436-'19_Расчет_аналитики'!AR2464)*IF('01_Вводные'!$B$239="Да",MeanMinAge05+'19_Расчет_аналитики'!AR2584*SUMIF(ThresholdAge05,"&lt;"&amp;'19_Расчет_аналитики'!AR2584,WeightedRevAge05)-SUMIF(ThresholdAge05,"&lt;"&amp;'19_Расчет_аналитики'!AR2584,WeightedMinAge05),MAX(CapacityAge05*'01_Вводные'!$B$218*'19_Расчет_аналитики'!AR2584,MeanMinAge05)))</f>
        <v/>
      </c>
      <c r="AS2520">
        <f>IF(OR(('19_Расчет_аналитики'!AS2436-'19_Расчет_аналитики'!AS2464)=0,5&lt;='01_Вводные'!$B$297),0,('19_Расчет_аналитики'!AS2436-'19_Расчет_аналитики'!AS2464)*IF('01_Вводные'!$B$239="Да",MeanMinAge05+'19_Расчет_аналитики'!AS2584*SUMIF(ThresholdAge05,"&lt;"&amp;'19_Расчет_аналитики'!AS2584,WeightedRevAge05)-SUMIF(ThresholdAge05,"&lt;"&amp;'19_Расчет_аналитики'!AS2584,WeightedMinAge05),MAX(CapacityAge05*'01_Вводные'!$B$218*'19_Расчет_аналитики'!AS2584,MeanMinAge05)))</f>
        <v/>
      </c>
      <c r="AT2520">
        <f>IF(OR(('19_Расчет_аналитики'!AT2436-'19_Расчет_аналитики'!AT2464)=0,5&lt;='01_Вводные'!$B$297),0,('19_Расчет_аналитики'!AT2436-'19_Расчет_аналитики'!AT2464)*IF('01_Вводные'!$B$239="Да",MeanMinAge05+'19_Расчет_аналитики'!AT2584*SUMIF(ThresholdAge05,"&lt;"&amp;'19_Расчет_аналитики'!AT2584,WeightedRevAge05)-SUMIF(ThresholdAge05,"&lt;"&amp;'19_Расчет_аналитики'!AT2584,WeightedMinAge05),MAX(CapacityAge05*'01_Вводные'!$B$218*'19_Расчет_аналитики'!AT2584,MeanMinAge05)))</f>
        <v/>
      </c>
      <c r="AU2520">
        <f>IF(OR(('19_Расчет_аналитики'!AU2436-'19_Расчет_аналитики'!AU2464)=0,5&lt;='01_Вводные'!$B$297),0,('19_Расчет_аналитики'!AU2436-'19_Расчет_аналитики'!AU2464)*IF('01_Вводные'!$B$239="Да",MeanMinAge05+'19_Расчет_аналитики'!AU2584*SUMIF(ThresholdAge05,"&lt;"&amp;'19_Расчет_аналитики'!AU2584,WeightedRevAge05)-SUMIF(ThresholdAge05,"&lt;"&amp;'19_Расчет_аналитики'!AU2584,WeightedMinAge05),MAX(CapacityAge05*'01_Вводные'!$B$218*'19_Расчет_аналитики'!AU2584,MeanMinAge05)))</f>
        <v/>
      </c>
      <c r="AV2520">
        <f>IF(OR(('19_Расчет_аналитики'!AV2436-'19_Расчет_аналитики'!AV2464)=0,5&lt;='01_Вводные'!$B$297),0,('19_Расчет_аналитики'!AV2436-'19_Расчет_аналитики'!AV2464)*IF('01_Вводные'!$B$239="Да",MeanMinAge05+'19_Расчет_аналитики'!AV2584*SUMIF(ThresholdAge05,"&lt;"&amp;'19_Расчет_аналитики'!AV2584,WeightedRevAge05)-SUMIF(ThresholdAge05,"&lt;"&amp;'19_Расчет_аналитики'!AV2584,WeightedMinAge05),MAX(CapacityAge05*'01_Вводные'!$B$218*'19_Расчет_аналитики'!AV2584,MeanMinAge05)))</f>
        <v/>
      </c>
      <c r="AW2520">
        <f>IF(OR(('19_Расчет_аналитики'!AW2436-'19_Расчет_аналитики'!AW2464)=0,5&lt;='01_Вводные'!$B$297),0,('19_Расчет_аналитики'!AW2436-'19_Расчет_аналитики'!AW2464)*IF('01_Вводные'!$B$239="Да",MeanMinAge05+'19_Расчет_аналитики'!AW2584*SUMIF(ThresholdAge05,"&lt;"&amp;'19_Расчет_аналитики'!AW2584,WeightedRevAge05)-SUMIF(ThresholdAge05,"&lt;"&amp;'19_Расчет_аналитики'!AW2584,WeightedMinAge05),MAX(CapacityAge05*'01_Вводные'!$B$218*'19_Расчет_аналитики'!AW2584,MeanMinAge05)))</f>
        <v/>
      </c>
      <c r="AX2520">
        <f>IF(OR(('19_Расчет_аналитики'!AX2436-'19_Расчет_аналитики'!AX2464)=0,5&lt;='01_Вводные'!$B$297),0,('19_Расчет_аналитики'!AX2436-'19_Расчет_аналитики'!AX2464)*IF('01_Вводные'!$B$239="Да",MeanMinAge05+'19_Расчет_аналитики'!AX2584*SUMIF(ThresholdAge05,"&lt;"&amp;'19_Расчет_аналитики'!AX2584,WeightedRevAge05)-SUMIF(ThresholdAge05,"&lt;"&amp;'19_Расчет_аналитики'!AX2584,WeightedMinAge05),MAX(CapacityAge05*'01_Вводные'!$B$218*'19_Расчет_аналитики'!AX2584,MeanMinAge05)))</f>
        <v/>
      </c>
      <c r="AY2520">
        <f>IF(OR(('19_Расчет_аналитики'!AY2436-'19_Расчет_аналитики'!AY2464)=0,5&lt;='01_Вводные'!$B$297),0,('19_Расчет_аналитики'!AY2436-'19_Расчет_аналитики'!AY2464)*IF('01_Вводные'!$B$239="Да",MeanMinAge05+'19_Расчет_аналитики'!AY2584*SUMIF(ThresholdAge05,"&lt;"&amp;'19_Расчет_аналитики'!AY2584,WeightedRevAge05)-SUMIF(ThresholdAge05,"&lt;"&amp;'19_Расчет_аналитики'!AY2584,WeightedMinAge05),MAX(CapacityAge05*'01_Вводные'!$B$218*'19_Расчет_аналитики'!AY2584,MeanMinAge05)))</f>
        <v/>
      </c>
      <c r="AZ2520">
        <f>IF(OR(('19_Расчет_аналитики'!AZ2436-'19_Расчет_аналитики'!AZ2464)=0,5&lt;='01_Вводные'!$B$297),0,('19_Расчет_аналитики'!AZ2436-'19_Расчет_аналитики'!AZ2464)*IF('01_Вводные'!$B$239="Да",MeanMinAge05+'19_Расчет_аналитики'!AZ2584*SUMIF(ThresholdAge05,"&lt;"&amp;'19_Расчет_аналитики'!AZ2584,WeightedRevAge05)-SUMIF(ThresholdAge05,"&lt;"&amp;'19_Расчет_аналитики'!AZ2584,WeightedMinAge05),MAX(CapacityAge05*'01_Вводные'!$B$218*'19_Расчет_аналитики'!AZ2584,MeanMinAge05)))</f>
        <v/>
      </c>
      <c r="BA2520">
        <f>IF(OR(('19_Расчет_аналитики'!BA2436-'19_Расчет_аналитики'!BA2464)=0,5&lt;='01_Вводные'!$B$297),0,('19_Расчет_аналитики'!BA2436-'19_Расчет_аналитики'!BA2464)*IF('01_Вводные'!$B$239="Да",MeanMinAge05+'19_Расчет_аналитики'!BA2584*SUMIF(ThresholdAge05,"&lt;"&amp;'19_Расчет_аналитики'!BA2584,WeightedRevAge05)-SUMIF(ThresholdAge05,"&lt;"&amp;'19_Расчет_аналитики'!BA2584,WeightedMinAge05),MAX(CapacityAge05*'01_Вводные'!$B$218*'19_Расчет_аналитики'!BA2584,MeanMinAge05)))</f>
        <v/>
      </c>
      <c r="BB2520">
        <f>IF(OR(('19_Расчет_аналитики'!BB2436-'19_Расчет_аналитики'!BB2464)=0,5&lt;='01_Вводные'!$B$297),0,('19_Расчет_аналитики'!BB2436-'19_Расчет_аналитики'!BB2464)*IF('01_Вводные'!$B$239="Да",MeanMinAge05+'19_Расчет_аналитики'!BB2584*SUMIF(ThresholdAge05,"&lt;"&amp;'19_Расчет_аналитики'!BB2584,WeightedRevAge05)-SUMIF(ThresholdAge05,"&lt;"&amp;'19_Расчет_аналитики'!BB2584,WeightedMinAge05),MAX(CapacityAge05*'01_Вводные'!$B$218*'19_Расчет_аналитики'!BB2584,MeanMinAge05)))</f>
        <v/>
      </c>
      <c r="BC2520">
        <f>IF(OR(('19_Расчет_аналитики'!BC2436-'19_Расчет_аналитики'!BC2464)=0,5&lt;='01_Вводные'!$B$297),0,('19_Расчет_аналитики'!BC2436-'19_Расчет_аналитики'!BC2464)*IF('01_Вводные'!$B$239="Да",MeanMinAge05+'19_Расчет_аналитики'!BC2584*SUMIF(ThresholdAge05,"&lt;"&amp;'19_Расчет_аналитики'!BC2584,WeightedRevAge05)-SUMIF(ThresholdAge05,"&lt;"&amp;'19_Расчет_аналитики'!BC2584,WeightedMinAge05),MAX(CapacityAge05*'01_Вводные'!$B$218*'19_Расчет_аналитики'!BC2584,MeanMinAge05)))</f>
        <v/>
      </c>
      <c r="BD2520">
        <f>IF(OR(('19_Расчет_аналитики'!BD2436-'19_Расчет_аналитики'!BD2464)=0,5&lt;='01_Вводные'!$B$297),0,('19_Расчет_аналитики'!BD2436-'19_Расчет_аналитики'!BD2464)*IF('01_Вводные'!$B$239="Да",MeanMinAge05+'19_Расчет_аналитики'!BD2584*SUMIF(ThresholdAge05,"&lt;"&amp;'19_Расчет_аналитики'!BD2584,WeightedRevAge05)-SUMIF(ThresholdAge05,"&lt;"&amp;'19_Расчет_аналитики'!BD2584,WeightedMinAge05),MAX(CapacityAge05*'01_Вводные'!$B$218*'19_Расчет_аналитики'!BD2584,MeanMinAge05)))</f>
        <v/>
      </c>
      <c r="BE2520">
        <f>IF(OR(('19_Расчет_аналитики'!BE2436-'19_Расчет_аналитики'!BE2464)=0,5&lt;='01_Вводные'!$B$297),0,('19_Расчет_аналитики'!BE2436-'19_Расчет_аналитики'!BE2464)*IF('01_Вводные'!$B$239="Да",MeanMinAge05+'19_Расчет_аналитики'!BE2584*SUMIF(ThresholdAge05,"&lt;"&amp;'19_Расчет_аналитики'!BE2584,WeightedRevAge05)-SUMIF(ThresholdAge05,"&lt;"&amp;'19_Расчет_аналитики'!BE2584,WeightedMinAge05),MAX(CapacityAge05*'01_Вводные'!$B$218*'19_Расчет_аналитики'!BE2584,MeanMinAge05)))</f>
        <v/>
      </c>
      <c r="BF2520">
        <f>IF(OR(('19_Расчет_аналитики'!BF2436-'19_Расчет_аналитики'!BF2464)=0,5&lt;='01_Вводные'!$B$297),0,('19_Расчет_аналитики'!BF2436-'19_Расчет_аналитики'!BF2464)*IF('01_Вводные'!$B$239="Да",MeanMinAge05+'19_Расчет_аналитики'!BF2584*SUMIF(ThresholdAge05,"&lt;"&amp;'19_Расчет_аналитики'!BF2584,WeightedRevAge05)-SUMIF(ThresholdAge05,"&lt;"&amp;'19_Расчет_аналитики'!BF2584,WeightedMinAge05),MAX(CapacityAge05*'01_Вводные'!$B$218*'19_Расчет_аналитики'!BF2584,MeanMinAge05)))</f>
        <v/>
      </c>
      <c r="BG2520">
        <f>IF(OR(('19_Расчет_аналитики'!BG2436-'19_Расчет_аналитики'!BG2464)=0,5&lt;='01_Вводные'!$B$297),0,('19_Расчет_аналитики'!BG2436-'19_Расчет_аналитики'!BG2464)*IF('01_Вводные'!$B$239="Да",MeanMinAge05+'19_Расчет_аналитики'!BG2584*SUMIF(ThresholdAge05,"&lt;"&amp;'19_Расчет_аналитики'!BG2584,WeightedRevAge05)-SUMIF(ThresholdAge05,"&lt;"&amp;'19_Расчет_аналитики'!BG2584,WeightedMinAge05),MAX(CapacityAge05*'01_Вводные'!$B$218*'19_Расчет_аналитики'!BG2584,MeanMinAge05)))</f>
        <v/>
      </c>
      <c r="BH2520">
        <f>IF(OR(('19_Расчет_аналитики'!BH2436-'19_Расчет_аналитики'!BH2464)=0,5&lt;='01_Вводные'!$B$297),0,('19_Расчет_аналитики'!BH2436-'19_Расчет_аналитики'!BH2464)*IF('01_Вводные'!$B$239="Да",MeanMinAge05+'19_Расчет_аналитики'!BH2584*SUMIF(ThresholdAge05,"&lt;"&amp;'19_Расчет_аналитики'!BH2584,WeightedRevAge05)-SUMIF(ThresholdAge05,"&lt;"&amp;'19_Расчет_аналитики'!BH2584,WeightedMinAge05),MAX(CapacityAge05*'01_Вводные'!$B$218*'19_Расчет_аналитики'!BH2584,MeanMinAge05)))</f>
        <v/>
      </c>
      <c r="BI2520">
        <f>IF(OR(('19_Расчет_аналитики'!BI2436-'19_Расчет_аналитики'!BI2464)=0,5&lt;='01_Вводные'!$B$297),0,('19_Расчет_аналитики'!BI2436-'19_Расчет_аналитики'!BI2464)*IF('01_Вводные'!$B$239="Да",MeanMinAge05+'19_Расчет_аналитики'!BI2584*SUMIF(ThresholdAge05,"&lt;"&amp;'19_Расчет_аналитики'!BI2584,WeightedRevAge05)-SUMIF(ThresholdAge05,"&lt;"&amp;'19_Расчет_аналитики'!BI2584,WeightedMinAge05),MAX(CapacityAge05*'01_Вводные'!$B$218*'19_Расчет_аналитики'!BI2584,MeanMinAge05)))</f>
        <v/>
      </c>
      <c r="BJ2520">
        <f>IF(OR(('19_Расчет_аналитики'!BJ2436-'19_Расчет_аналитики'!BJ2464)=0,5&lt;='01_Вводные'!$B$297),0,('19_Расчет_аналитики'!BJ2436-'19_Расчет_аналитики'!BJ2464)*IF('01_Вводные'!$B$239="Да",MeanMinAge05+'19_Расчет_аналитики'!BJ2584*SUMIF(ThresholdAge05,"&lt;"&amp;'19_Расчет_аналитики'!BJ2584,WeightedRevAge05)-SUMIF(ThresholdAge05,"&lt;"&amp;'19_Расчет_аналитики'!BJ2584,WeightedMinAge05),MAX(CapacityAge05*'01_Вводные'!$B$218*'19_Расчет_аналитики'!BJ2584,MeanMinAge05)))</f>
        <v/>
      </c>
      <c r="BK2520">
        <f>IF(OR(('19_Расчет_аналитики'!BK2436-'19_Расчет_аналитики'!BK2464)=0,5&lt;='01_Вводные'!$B$297),0,('19_Расчет_аналитики'!BK2436-'19_Расчет_аналитики'!BK2464)*IF('01_Вводные'!$B$239="Да",MeanMinAge05+'19_Расчет_аналитики'!BK2584*SUMIF(ThresholdAge05,"&lt;"&amp;'19_Расчет_аналитики'!BK2584,WeightedRevAge05)-SUMIF(ThresholdAge05,"&lt;"&amp;'19_Расчет_аналитики'!BK2584,WeightedMinAge05),MAX(CapacityAge05*'01_Вводные'!$B$218*'19_Расчет_аналитики'!BK2584,MeanMinAge05)))</f>
        <v/>
      </c>
      <c r="BL2520">
        <f>IF(OR(('19_Расчет_аналитики'!BL2436-'19_Расчет_аналитики'!BL2464)=0,5&lt;='01_Вводные'!$B$297),0,('19_Расчет_аналитики'!BL2436-'19_Расчет_аналитики'!BL2464)*IF('01_Вводные'!$B$239="Да",MeanMinAge05+'19_Расчет_аналитики'!BL2584*SUMIF(ThresholdAge05,"&lt;"&amp;'19_Расчет_аналитики'!BL2584,WeightedRevAge05)-SUMIF(ThresholdAge05,"&lt;"&amp;'19_Расчет_аналитики'!BL2584,WeightedMinAge05),MAX(CapacityAge05*'01_Вводные'!$B$218*'19_Расчет_аналитики'!BL2584,MeanMinAge05)))</f>
        <v/>
      </c>
      <c r="BM2520">
        <f>IF(OR(('19_Расчет_аналитики'!BM2436-'19_Расчет_аналитики'!BM2464)=0,5&lt;='01_Вводные'!$B$297),0,('19_Расчет_аналитики'!BM2436-'19_Расчет_аналитики'!BM2464)*IF('01_Вводные'!$B$239="Да",MeanMinAge05+'19_Расчет_аналитики'!BM2584*SUMIF(ThresholdAge05,"&lt;"&amp;'19_Расчет_аналитики'!BM2584,WeightedRevAge05)-SUMIF(ThresholdAge05,"&lt;"&amp;'19_Расчет_аналитики'!BM2584,WeightedMinAge05),MAX(CapacityAge05*'01_Вводные'!$B$218*'19_Расчет_аналитики'!BM2584,MeanMinAge05)))</f>
        <v/>
      </c>
      <c r="BN2520">
        <f>IF(OR(('19_Расчет_аналитики'!BN2436-'19_Расчет_аналитики'!BN2464)=0,5&lt;='01_Вводные'!$B$297),0,('19_Расчет_аналитики'!BN2436-'19_Расчет_аналитики'!BN2464)*IF('01_Вводные'!$B$239="Да",MeanMinAge05+'19_Расчет_аналитики'!BN2584*SUMIF(ThresholdAge05,"&lt;"&amp;'19_Расчет_аналитики'!BN2584,WeightedRevAge05)-SUMIF(ThresholdAge05,"&lt;"&amp;'19_Расчет_аналитики'!BN2584,WeightedMinAge05),MAX(CapacityAge05*'01_Вводные'!$B$218*'19_Расчет_аналитики'!BN2584,MeanMinAge05)))</f>
        <v/>
      </c>
      <c r="BO2520">
        <f>IF(OR(('19_Расчет_аналитики'!BO2436-'19_Расчет_аналитики'!BO2464)=0,5&lt;='01_Вводные'!$B$297),0,('19_Расчет_аналитики'!BO2436-'19_Расчет_аналитики'!BO2464)*IF('01_Вводные'!$B$239="Да",MeanMinAge05+'19_Расчет_аналитики'!BO2584*SUMIF(ThresholdAge05,"&lt;"&amp;'19_Расчет_аналитики'!BO2584,WeightedRevAge05)-SUMIF(ThresholdAge05,"&lt;"&amp;'19_Расчет_аналитики'!BO2584,WeightedMinAge05),MAX(CapacityAge05*'01_Вводные'!$B$218*'19_Расчет_аналитики'!BO2584,MeanMinAge05)))</f>
        <v/>
      </c>
    </row>
    <row r="2521">
      <c r="B2521">
        <f>IF(OR(('06_Сеть_и_дети'!B58-'06_Сеть_и_дети'!B86)=0,6&lt;='01_Вводные'!$B$297),0,('06_Сеть_и_дети'!B58-'06_Сеть_и_дети'!B86)*IF('01_Вводные'!$B$239="Да",MeanMinAge06+'19_Расчет_аналитики'!B2584*SUMIF(ThresholdAge06,"&lt;"&amp;'19_Расчет_аналитики'!B2584,WeightedRevAge06)-SUMIF(ThresholdAge06,"&lt;"&amp;'19_Расчет_аналитики'!B2584,WeightedMinAge06),MAX(CapacityAge06*'01_Вводные'!$B$218*'19_Расчет_аналитики'!B2584,MeanMinAge06)))</f>
        <v/>
      </c>
      <c r="C2521">
        <f>IF(OR(('06_Сеть_и_дети'!C58-'06_Сеть_и_дети'!C86)=0,6&lt;='01_Вводные'!$B$297),0,('06_Сеть_и_дети'!C58-'06_Сеть_и_дети'!C86)*IF('01_Вводные'!$B$239="Да",MeanMinAge06+'19_Расчет_аналитики'!C2584*SUMIF(ThresholdAge06,"&lt;"&amp;'19_Расчет_аналитики'!C2584,WeightedRevAge06)-SUMIF(ThresholdAge06,"&lt;"&amp;'19_Расчет_аналитики'!C2584,WeightedMinAge06),MAX(CapacityAge06*'01_Вводные'!$B$218*'19_Расчет_аналитики'!C2584,MeanMinAge06)))</f>
        <v/>
      </c>
      <c r="D2521">
        <f>IF(OR(('06_Сеть_и_дети'!D58-'06_Сеть_и_дети'!D86)=0,6&lt;='01_Вводные'!$B$297),0,('06_Сеть_и_дети'!D58-'06_Сеть_и_дети'!D86)*IF('01_Вводные'!$B$239="Да",MeanMinAge06+'19_Расчет_аналитики'!D2584*SUMIF(ThresholdAge06,"&lt;"&amp;'19_Расчет_аналитики'!D2584,WeightedRevAge06)-SUMIF(ThresholdAge06,"&lt;"&amp;'19_Расчет_аналитики'!D2584,WeightedMinAge06),MAX(CapacityAge06*'01_Вводные'!$B$218*'19_Расчет_аналитики'!D2584,MeanMinAge06)))</f>
        <v/>
      </c>
      <c r="E2521">
        <f>IF(OR(('06_Сеть_и_дети'!E58-'06_Сеть_и_дети'!E86)=0,6&lt;='01_Вводные'!$B$297),0,('06_Сеть_и_дети'!E58-'06_Сеть_и_дети'!E86)*IF('01_Вводные'!$B$239="Да",MeanMinAge06+'19_Расчет_аналитики'!E2584*SUMIF(ThresholdAge06,"&lt;"&amp;'19_Расчет_аналитики'!E2584,WeightedRevAge06)-SUMIF(ThresholdAge06,"&lt;"&amp;'19_Расчет_аналитики'!E2584,WeightedMinAge06),MAX(CapacityAge06*'01_Вводные'!$B$218*'19_Расчет_аналитики'!E2584,MeanMinAge06)))</f>
        <v/>
      </c>
      <c r="F2521">
        <f>IF(OR(('06_Сеть_и_дети'!F58-'06_Сеть_и_дети'!F86)=0,6&lt;='01_Вводные'!$B$297),0,('06_Сеть_и_дети'!F58-'06_Сеть_и_дети'!F86)*IF('01_Вводные'!$B$239="Да",MeanMinAge06+'19_Расчет_аналитики'!F2584*SUMIF(ThresholdAge06,"&lt;"&amp;'19_Расчет_аналитики'!F2584,WeightedRevAge06)-SUMIF(ThresholdAge06,"&lt;"&amp;'19_Расчет_аналитики'!F2584,WeightedMinAge06),MAX(CapacityAge06*'01_Вводные'!$B$218*'19_Расчет_аналитики'!F2584,MeanMinAge06)))</f>
        <v/>
      </c>
      <c r="G2521">
        <f>IF(OR(('19_Расчет_аналитики'!G2437-'19_Расчет_аналитики'!G2465)=0,6&lt;='01_Вводные'!$B$297),0,('19_Расчет_аналитики'!G2437-'19_Расчет_аналитики'!G2465)*IF('01_Вводные'!$B$239="Да",MeanMinAge06+'19_Расчет_аналитики'!G2584*SUMIF(ThresholdAge06,"&lt;"&amp;'19_Расчет_аналитики'!G2584,WeightedRevAge06)-SUMIF(ThresholdAge06,"&lt;"&amp;'19_Расчет_аналитики'!G2584,WeightedMinAge06),MAX(CapacityAge06*'01_Вводные'!$B$218*'19_Расчет_аналитики'!G2584,MeanMinAge06)))</f>
        <v/>
      </c>
      <c r="H2521">
        <f>IF(OR(('19_Расчет_аналитики'!H2437-'19_Расчет_аналитики'!H2465)=0,6&lt;='01_Вводные'!$B$297),0,('19_Расчет_аналитики'!H2437-'19_Расчет_аналитики'!H2465)*IF('01_Вводные'!$B$239="Да",MeanMinAge06+'19_Расчет_аналитики'!H2584*SUMIF(ThresholdAge06,"&lt;"&amp;'19_Расчет_аналитики'!H2584,WeightedRevAge06)-SUMIF(ThresholdAge06,"&lt;"&amp;'19_Расчет_аналитики'!H2584,WeightedMinAge06),MAX(CapacityAge06*'01_Вводные'!$B$218*'19_Расчет_аналитики'!H2584,MeanMinAge06)))</f>
        <v/>
      </c>
      <c r="I2521">
        <f>IF(OR(('19_Расчет_аналитики'!I2437-'19_Расчет_аналитики'!I2465)=0,6&lt;='01_Вводные'!$B$297),0,('19_Расчет_аналитики'!I2437-'19_Расчет_аналитики'!I2465)*IF('01_Вводные'!$B$239="Да",MeanMinAge06+'19_Расчет_аналитики'!I2584*SUMIF(ThresholdAge06,"&lt;"&amp;'19_Расчет_аналитики'!I2584,WeightedRevAge06)-SUMIF(ThresholdAge06,"&lt;"&amp;'19_Расчет_аналитики'!I2584,WeightedMinAge06),MAX(CapacityAge06*'01_Вводные'!$B$218*'19_Расчет_аналитики'!I2584,MeanMinAge06)))</f>
        <v/>
      </c>
      <c r="J2521">
        <f>IF(OR(('19_Расчет_аналитики'!J2437-'19_Расчет_аналитики'!J2465)=0,6&lt;='01_Вводные'!$B$297),0,('19_Расчет_аналитики'!J2437-'19_Расчет_аналитики'!J2465)*IF('01_Вводные'!$B$239="Да",MeanMinAge06+'19_Расчет_аналитики'!J2584*SUMIF(ThresholdAge06,"&lt;"&amp;'19_Расчет_аналитики'!J2584,WeightedRevAge06)-SUMIF(ThresholdAge06,"&lt;"&amp;'19_Расчет_аналитики'!J2584,WeightedMinAge06),MAX(CapacityAge06*'01_Вводные'!$B$218*'19_Расчет_аналитики'!J2584,MeanMinAge06)))</f>
        <v/>
      </c>
      <c r="K2521">
        <f>IF(OR(('19_Расчет_аналитики'!K2437-'19_Расчет_аналитики'!K2465)=0,6&lt;='01_Вводные'!$B$297),0,('19_Расчет_аналитики'!K2437-'19_Расчет_аналитики'!K2465)*IF('01_Вводные'!$B$239="Да",MeanMinAge06+'19_Расчет_аналитики'!K2584*SUMIF(ThresholdAge06,"&lt;"&amp;'19_Расчет_аналитики'!K2584,WeightedRevAge06)-SUMIF(ThresholdAge06,"&lt;"&amp;'19_Расчет_аналитики'!K2584,WeightedMinAge06),MAX(CapacityAge06*'01_Вводные'!$B$218*'19_Расчет_аналитики'!K2584,MeanMinAge06)))</f>
        <v/>
      </c>
      <c r="L2521">
        <f>IF(OR(('19_Расчет_аналитики'!L2437-'19_Расчет_аналитики'!L2465)=0,6&lt;='01_Вводные'!$B$297),0,('19_Расчет_аналитики'!L2437-'19_Расчет_аналитики'!L2465)*IF('01_Вводные'!$B$239="Да",MeanMinAge06+'19_Расчет_аналитики'!L2584*SUMIF(ThresholdAge06,"&lt;"&amp;'19_Расчет_аналитики'!L2584,WeightedRevAge06)-SUMIF(ThresholdAge06,"&lt;"&amp;'19_Расчет_аналитики'!L2584,WeightedMinAge06),MAX(CapacityAge06*'01_Вводные'!$B$218*'19_Расчет_аналитики'!L2584,MeanMinAge06)))</f>
        <v/>
      </c>
      <c r="M2521">
        <f>IF(OR(('19_Расчет_аналитики'!M2437-'19_Расчет_аналитики'!M2465)=0,6&lt;='01_Вводные'!$B$297),0,('19_Расчет_аналитики'!M2437-'19_Расчет_аналитики'!M2465)*IF('01_Вводные'!$B$239="Да",MeanMinAge06+'19_Расчет_аналитики'!M2584*SUMIF(ThresholdAge06,"&lt;"&amp;'19_Расчет_аналитики'!M2584,WeightedRevAge06)-SUMIF(ThresholdAge06,"&lt;"&amp;'19_Расчет_аналитики'!M2584,WeightedMinAge06),MAX(CapacityAge06*'01_Вводные'!$B$218*'19_Расчет_аналитики'!M2584,MeanMinAge06)))</f>
        <v/>
      </c>
      <c r="N2521">
        <f>IF(OR(('19_Расчет_аналитики'!N2437-'19_Расчет_аналитики'!N2465)=0,6&lt;='01_Вводные'!$B$297),0,('19_Расчет_аналитики'!N2437-'19_Расчет_аналитики'!N2465)*IF('01_Вводные'!$B$239="Да",MeanMinAge06+'19_Расчет_аналитики'!N2584*SUMIF(ThresholdAge06,"&lt;"&amp;'19_Расчет_аналитики'!N2584,WeightedRevAge06)-SUMIF(ThresholdAge06,"&lt;"&amp;'19_Расчет_аналитики'!N2584,WeightedMinAge06),MAX(CapacityAge06*'01_Вводные'!$B$218*'19_Расчет_аналитики'!N2584,MeanMinAge06)))</f>
        <v/>
      </c>
      <c r="O2521">
        <f>IF(OR(('19_Расчет_аналитики'!O2437-'19_Расчет_аналитики'!O2465)=0,6&lt;='01_Вводные'!$B$297),0,('19_Расчет_аналитики'!O2437-'19_Расчет_аналитики'!O2465)*IF('01_Вводные'!$B$239="Да",MeanMinAge06+'19_Расчет_аналитики'!O2584*SUMIF(ThresholdAge06,"&lt;"&amp;'19_Расчет_аналитики'!O2584,WeightedRevAge06)-SUMIF(ThresholdAge06,"&lt;"&amp;'19_Расчет_аналитики'!O2584,WeightedMinAge06),MAX(CapacityAge06*'01_Вводные'!$B$218*'19_Расчет_аналитики'!O2584,MeanMinAge06)))</f>
        <v/>
      </c>
      <c r="P2521">
        <f>IF(OR(('19_Расчет_аналитики'!P2437-'19_Расчет_аналитики'!P2465)=0,6&lt;='01_Вводные'!$B$297),0,('19_Расчет_аналитики'!P2437-'19_Расчет_аналитики'!P2465)*IF('01_Вводные'!$B$239="Да",MeanMinAge06+'19_Расчет_аналитики'!P2584*SUMIF(ThresholdAge06,"&lt;"&amp;'19_Расчет_аналитики'!P2584,WeightedRevAge06)-SUMIF(ThresholdAge06,"&lt;"&amp;'19_Расчет_аналитики'!P2584,WeightedMinAge06),MAX(CapacityAge06*'01_Вводные'!$B$218*'19_Расчет_аналитики'!P2584,MeanMinAge06)))</f>
        <v/>
      </c>
      <c r="Q2521">
        <f>IF(OR(('19_Расчет_аналитики'!Q2437-'19_Расчет_аналитики'!Q2465)=0,6&lt;='01_Вводные'!$B$297),0,('19_Расчет_аналитики'!Q2437-'19_Расчет_аналитики'!Q2465)*IF('01_Вводные'!$B$239="Да",MeanMinAge06+'19_Расчет_аналитики'!Q2584*SUMIF(ThresholdAge06,"&lt;"&amp;'19_Расчет_аналитики'!Q2584,WeightedRevAge06)-SUMIF(ThresholdAge06,"&lt;"&amp;'19_Расчет_аналитики'!Q2584,WeightedMinAge06),MAX(CapacityAge06*'01_Вводные'!$B$218*'19_Расчет_аналитики'!Q2584,MeanMinAge06)))</f>
        <v/>
      </c>
      <c r="R2521">
        <f>IF(OR(('19_Расчет_аналитики'!R2437-'19_Расчет_аналитики'!R2465)=0,6&lt;='01_Вводные'!$B$297),0,('19_Расчет_аналитики'!R2437-'19_Расчет_аналитики'!R2465)*IF('01_Вводные'!$B$239="Да",MeanMinAge06+'19_Расчет_аналитики'!R2584*SUMIF(ThresholdAge06,"&lt;"&amp;'19_Расчет_аналитики'!R2584,WeightedRevAge06)-SUMIF(ThresholdAge06,"&lt;"&amp;'19_Расчет_аналитики'!R2584,WeightedMinAge06),MAX(CapacityAge06*'01_Вводные'!$B$218*'19_Расчет_аналитики'!R2584,MeanMinAge06)))</f>
        <v/>
      </c>
      <c r="S2521">
        <f>IF(OR(('19_Расчет_аналитики'!S2437-'19_Расчет_аналитики'!S2465)=0,6&lt;='01_Вводные'!$B$297),0,('19_Расчет_аналитики'!S2437-'19_Расчет_аналитики'!S2465)*IF('01_Вводные'!$B$239="Да",MeanMinAge06+'19_Расчет_аналитики'!S2584*SUMIF(ThresholdAge06,"&lt;"&amp;'19_Расчет_аналитики'!S2584,WeightedRevAge06)-SUMIF(ThresholdAge06,"&lt;"&amp;'19_Расчет_аналитики'!S2584,WeightedMinAge06),MAX(CapacityAge06*'01_Вводные'!$B$218*'19_Расчет_аналитики'!S2584,MeanMinAge06)))</f>
        <v/>
      </c>
      <c r="T2521">
        <f>IF(OR(('19_Расчет_аналитики'!T2437-'19_Расчет_аналитики'!T2465)=0,6&lt;='01_Вводные'!$B$297),0,('19_Расчет_аналитики'!T2437-'19_Расчет_аналитики'!T2465)*IF('01_Вводные'!$B$239="Да",MeanMinAge06+'19_Расчет_аналитики'!T2584*SUMIF(ThresholdAge06,"&lt;"&amp;'19_Расчет_аналитики'!T2584,WeightedRevAge06)-SUMIF(ThresholdAge06,"&lt;"&amp;'19_Расчет_аналитики'!T2584,WeightedMinAge06),MAX(CapacityAge06*'01_Вводные'!$B$218*'19_Расчет_аналитики'!T2584,MeanMinAge06)))</f>
        <v/>
      </c>
      <c r="U2521">
        <f>IF(OR(('19_Расчет_аналитики'!U2437-'19_Расчет_аналитики'!U2465)=0,6&lt;='01_Вводные'!$B$297),0,('19_Расчет_аналитики'!U2437-'19_Расчет_аналитики'!U2465)*IF('01_Вводные'!$B$239="Да",MeanMinAge06+'19_Расчет_аналитики'!U2584*SUMIF(ThresholdAge06,"&lt;"&amp;'19_Расчет_аналитики'!U2584,WeightedRevAge06)-SUMIF(ThresholdAge06,"&lt;"&amp;'19_Расчет_аналитики'!U2584,WeightedMinAge06),MAX(CapacityAge06*'01_Вводные'!$B$218*'19_Расчет_аналитики'!U2584,MeanMinAge06)))</f>
        <v/>
      </c>
      <c r="V2521">
        <f>IF(OR(('19_Расчет_аналитики'!V2437-'19_Расчет_аналитики'!V2465)=0,6&lt;='01_Вводные'!$B$297),0,('19_Расчет_аналитики'!V2437-'19_Расчет_аналитики'!V2465)*IF('01_Вводные'!$B$239="Да",MeanMinAge06+'19_Расчет_аналитики'!V2584*SUMIF(ThresholdAge06,"&lt;"&amp;'19_Расчет_аналитики'!V2584,WeightedRevAge06)-SUMIF(ThresholdAge06,"&lt;"&amp;'19_Расчет_аналитики'!V2584,WeightedMinAge06),MAX(CapacityAge06*'01_Вводные'!$B$218*'19_Расчет_аналитики'!V2584,MeanMinAge06)))</f>
        <v/>
      </c>
      <c r="W2521">
        <f>IF(OR(('19_Расчет_аналитики'!W2437-'19_Расчет_аналитики'!W2465)=0,6&lt;='01_Вводные'!$B$297),0,('19_Расчет_аналитики'!W2437-'19_Расчет_аналитики'!W2465)*IF('01_Вводные'!$B$239="Да",MeanMinAge06+'19_Расчет_аналитики'!W2584*SUMIF(ThresholdAge06,"&lt;"&amp;'19_Расчет_аналитики'!W2584,WeightedRevAge06)-SUMIF(ThresholdAge06,"&lt;"&amp;'19_Расчет_аналитики'!W2584,WeightedMinAge06),MAX(CapacityAge06*'01_Вводные'!$B$218*'19_Расчет_аналитики'!W2584,MeanMinAge06)))</f>
        <v/>
      </c>
      <c r="X2521">
        <f>IF(OR(('19_Расчет_аналитики'!X2437-'19_Расчет_аналитики'!X2465)=0,6&lt;='01_Вводные'!$B$297),0,('19_Расчет_аналитики'!X2437-'19_Расчет_аналитики'!X2465)*IF('01_Вводные'!$B$239="Да",MeanMinAge06+'19_Расчет_аналитики'!X2584*SUMIF(ThresholdAge06,"&lt;"&amp;'19_Расчет_аналитики'!X2584,WeightedRevAge06)-SUMIF(ThresholdAge06,"&lt;"&amp;'19_Расчет_аналитики'!X2584,WeightedMinAge06),MAX(CapacityAge06*'01_Вводные'!$B$218*'19_Расчет_аналитики'!X2584,MeanMinAge06)))</f>
        <v/>
      </c>
      <c r="Y2521">
        <f>IF(OR(('19_Расчет_аналитики'!Y2437-'19_Расчет_аналитики'!Y2465)=0,6&lt;='01_Вводные'!$B$297),0,('19_Расчет_аналитики'!Y2437-'19_Расчет_аналитики'!Y2465)*IF('01_Вводные'!$B$239="Да",MeanMinAge06+'19_Расчет_аналитики'!Y2584*SUMIF(ThresholdAge06,"&lt;"&amp;'19_Расчет_аналитики'!Y2584,WeightedRevAge06)-SUMIF(ThresholdAge06,"&lt;"&amp;'19_Расчет_аналитики'!Y2584,WeightedMinAge06),MAX(CapacityAge06*'01_Вводные'!$B$218*'19_Расчет_аналитики'!Y2584,MeanMinAge06)))</f>
        <v/>
      </c>
      <c r="Z2521">
        <f>IF(OR(('19_Расчет_аналитики'!Z2437-'19_Расчет_аналитики'!Z2465)=0,6&lt;='01_Вводные'!$B$297),0,('19_Расчет_аналитики'!Z2437-'19_Расчет_аналитики'!Z2465)*IF('01_Вводные'!$B$239="Да",MeanMinAge06+'19_Расчет_аналитики'!Z2584*SUMIF(ThresholdAge06,"&lt;"&amp;'19_Расчет_аналитики'!Z2584,WeightedRevAge06)-SUMIF(ThresholdAge06,"&lt;"&amp;'19_Расчет_аналитики'!Z2584,WeightedMinAge06),MAX(CapacityAge06*'01_Вводные'!$B$218*'19_Расчет_аналитики'!Z2584,MeanMinAge06)))</f>
        <v/>
      </c>
      <c r="AA2521">
        <f>IF(OR(('19_Расчет_аналитики'!AA2437-'19_Расчет_аналитики'!AA2465)=0,6&lt;='01_Вводные'!$B$297),0,('19_Расчет_аналитики'!AA2437-'19_Расчет_аналитики'!AA2465)*IF('01_Вводные'!$B$239="Да",MeanMinAge06+'19_Расчет_аналитики'!AA2584*SUMIF(ThresholdAge06,"&lt;"&amp;'19_Расчет_аналитики'!AA2584,WeightedRevAge06)-SUMIF(ThresholdAge06,"&lt;"&amp;'19_Расчет_аналитики'!AA2584,WeightedMinAge06),MAX(CapacityAge06*'01_Вводные'!$B$218*'19_Расчет_аналитики'!AA2584,MeanMinAge06)))</f>
        <v/>
      </c>
      <c r="AB2521">
        <f>IF(OR(('19_Расчет_аналитики'!AB2437-'19_Расчет_аналитики'!AB2465)=0,6&lt;='01_Вводные'!$B$297),0,('19_Расчет_аналитики'!AB2437-'19_Расчет_аналитики'!AB2465)*IF('01_Вводные'!$B$239="Да",MeanMinAge06+'19_Расчет_аналитики'!AB2584*SUMIF(ThresholdAge06,"&lt;"&amp;'19_Расчет_аналитики'!AB2584,WeightedRevAge06)-SUMIF(ThresholdAge06,"&lt;"&amp;'19_Расчет_аналитики'!AB2584,WeightedMinAge06),MAX(CapacityAge06*'01_Вводные'!$B$218*'19_Расчет_аналитики'!AB2584,MeanMinAge06)))</f>
        <v/>
      </c>
      <c r="AC2521">
        <f>IF(OR(('19_Расчет_аналитики'!AC2437-'19_Расчет_аналитики'!AC2465)=0,6&lt;='01_Вводные'!$B$297),0,('19_Расчет_аналитики'!AC2437-'19_Расчет_аналитики'!AC2465)*IF('01_Вводные'!$B$239="Да",MeanMinAge06+'19_Расчет_аналитики'!AC2584*SUMIF(ThresholdAge06,"&lt;"&amp;'19_Расчет_аналитики'!AC2584,WeightedRevAge06)-SUMIF(ThresholdAge06,"&lt;"&amp;'19_Расчет_аналитики'!AC2584,WeightedMinAge06),MAX(CapacityAge06*'01_Вводные'!$B$218*'19_Расчет_аналитики'!AC2584,MeanMinAge06)))</f>
        <v/>
      </c>
      <c r="AD2521">
        <f>IF(OR(('19_Расчет_аналитики'!AD2437-'19_Расчет_аналитики'!AD2465)=0,6&lt;='01_Вводные'!$B$297),0,('19_Расчет_аналитики'!AD2437-'19_Расчет_аналитики'!AD2465)*IF('01_Вводные'!$B$239="Да",MeanMinAge06+'19_Расчет_аналитики'!AD2584*SUMIF(ThresholdAge06,"&lt;"&amp;'19_Расчет_аналитики'!AD2584,WeightedRevAge06)-SUMIF(ThresholdAge06,"&lt;"&amp;'19_Расчет_аналитики'!AD2584,WeightedMinAge06),MAX(CapacityAge06*'01_Вводные'!$B$218*'19_Расчет_аналитики'!AD2584,MeanMinAge06)))</f>
        <v/>
      </c>
      <c r="AE2521">
        <f>IF(OR(('19_Расчет_аналитики'!AE2437-'19_Расчет_аналитики'!AE2465)=0,6&lt;='01_Вводные'!$B$297),0,('19_Расчет_аналитики'!AE2437-'19_Расчет_аналитики'!AE2465)*IF('01_Вводные'!$B$239="Да",MeanMinAge06+'19_Расчет_аналитики'!AE2584*SUMIF(ThresholdAge06,"&lt;"&amp;'19_Расчет_аналитики'!AE2584,WeightedRevAge06)-SUMIF(ThresholdAge06,"&lt;"&amp;'19_Расчет_аналитики'!AE2584,WeightedMinAge06),MAX(CapacityAge06*'01_Вводные'!$B$218*'19_Расчет_аналитики'!AE2584,MeanMinAge06)))</f>
        <v/>
      </c>
      <c r="AF2521">
        <f>IF(OR(('19_Расчет_аналитики'!AF2437-'19_Расчет_аналитики'!AF2465)=0,6&lt;='01_Вводные'!$B$297),0,('19_Расчет_аналитики'!AF2437-'19_Расчет_аналитики'!AF2465)*IF('01_Вводные'!$B$239="Да",MeanMinAge06+'19_Расчет_аналитики'!AF2584*SUMIF(ThresholdAge06,"&lt;"&amp;'19_Расчет_аналитики'!AF2584,WeightedRevAge06)-SUMIF(ThresholdAge06,"&lt;"&amp;'19_Расчет_аналитики'!AF2584,WeightedMinAge06),MAX(CapacityAge06*'01_Вводные'!$B$218*'19_Расчет_аналитики'!AF2584,MeanMinAge06)))</f>
        <v/>
      </c>
      <c r="AG2521">
        <f>IF(OR(('19_Расчет_аналитики'!AG2437-'19_Расчет_аналитики'!AG2465)=0,6&lt;='01_Вводные'!$B$297),0,('19_Расчет_аналитики'!AG2437-'19_Расчет_аналитики'!AG2465)*IF('01_Вводные'!$B$239="Да",MeanMinAge06+'19_Расчет_аналитики'!AG2584*SUMIF(ThresholdAge06,"&lt;"&amp;'19_Расчет_аналитики'!AG2584,WeightedRevAge06)-SUMIF(ThresholdAge06,"&lt;"&amp;'19_Расчет_аналитики'!AG2584,WeightedMinAge06),MAX(CapacityAge06*'01_Вводные'!$B$218*'19_Расчет_аналитики'!AG2584,MeanMinAge06)))</f>
        <v/>
      </c>
      <c r="AH2521">
        <f>IF(OR(('19_Расчет_аналитики'!AH2437-'19_Расчет_аналитики'!AH2465)=0,6&lt;='01_Вводные'!$B$297),0,('19_Расчет_аналитики'!AH2437-'19_Расчет_аналитики'!AH2465)*IF('01_Вводные'!$B$239="Да",MeanMinAge06+'19_Расчет_аналитики'!AH2584*SUMIF(ThresholdAge06,"&lt;"&amp;'19_Расчет_аналитики'!AH2584,WeightedRevAge06)-SUMIF(ThresholdAge06,"&lt;"&amp;'19_Расчет_аналитики'!AH2584,WeightedMinAge06),MAX(CapacityAge06*'01_Вводные'!$B$218*'19_Расчет_аналитики'!AH2584,MeanMinAge06)))</f>
        <v/>
      </c>
      <c r="AI2521">
        <f>IF(OR(('19_Расчет_аналитики'!AI2437-'19_Расчет_аналитики'!AI2465)=0,6&lt;='01_Вводные'!$B$297),0,('19_Расчет_аналитики'!AI2437-'19_Расчет_аналитики'!AI2465)*IF('01_Вводные'!$B$239="Да",MeanMinAge06+'19_Расчет_аналитики'!AI2584*SUMIF(ThresholdAge06,"&lt;"&amp;'19_Расчет_аналитики'!AI2584,WeightedRevAge06)-SUMIF(ThresholdAge06,"&lt;"&amp;'19_Расчет_аналитики'!AI2584,WeightedMinAge06),MAX(CapacityAge06*'01_Вводные'!$B$218*'19_Расчет_аналитики'!AI2584,MeanMinAge06)))</f>
        <v/>
      </c>
      <c r="AJ2521">
        <f>IF(OR(('19_Расчет_аналитики'!AJ2437-'19_Расчет_аналитики'!AJ2465)=0,6&lt;='01_Вводные'!$B$297),0,('19_Расчет_аналитики'!AJ2437-'19_Расчет_аналитики'!AJ2465)*IF('01_Вводные'!$B$239="Да",MeanMinAge06+'19_Расчет_аналитики'!AJ2584*SUMIF(ThresholdAge06,"&lt;"&amp;'19_Расчет_аналитики'!AJ2584,WeightedRevAge06)-SUMIF(ThresholdAge06,"&lt;"&amp;'19_Расчет_аналитики'!AJ2584,WeightedMinAge06),MAX(CapacityAge06*'01_Вводные'!$B$218*'19_Расчет_аналитики'!AJ2584,MeanMinAge06)))</f>
        <v/>
      </c>
      <c r="AK2521">
        <f>IF(OR(('19_Расчет_аналитики'!AK2437-'19_Расчет_аналитики'!AK2465)=0,6&lt;='01_Вводные'!$B$297),0,('19_Расчет_аналитики'!AK2437-'19_Расчет_аналитики'!AK2465)*IF('01_Вводные'!$B$239="Да",MeanMinAge06+'19_Расчет_аналитики'!AK2584*SUMIF(ThresholdAge06,"&lt;"&amp;'19_Расчет_аналитики'!AK2584,WeightedRevAge06)-SUMIF(ThresholdAge06,"&lt;"&amp;'19_Расчет_аналитики'!AK2584,WeightedMinAge06),MAX(CapacityAge06*'01_Вводные'!$B$218*'19_Расчет_аналитики'!AK2584,MeanMinAge06)))</f>
        <v/>
      </c>
      <c r="AL2521">
        <f>IF(OR(('19_Расчет_аналитики'!AL2437-'19_Расчет_аналитики'!AL2465)=0,6&lt;='01_Вводные'!$B$297),0,('19_Расчет_аналитики'!AL2437-'19_Расчет_аналитики'!AL2465)*IF('01_Вводные'!$B$239="Да",MeanMinAge06+'19_Расчет_аналитики'!AL2584*SUMIF(ThresholdAge06,"&lt;"&amp;'19_Расчет_аналитики'!AL2584,WeightedRevAge06)-SUMIF(ThresholdAge06,"&lt;"&amp;'19_Расчет_аналитики'!AL2584,WeightedMinAge06),MAX(CapacityAge06*'01_Вводные'!$B$218*'19_Расчет_аналитики'!AL2584,MeanMinAge06)))</f>
        <v/>
      </c>
      <c r="AM2521">
        <f>IF(OR(('19_Расчет_аналитики'!AM2437-'19_Расчет_аналитики'!AM2465)=0,6&lt;='01_Вводные'!$B$297),0,('19_Расчет_аналитики'!AM2437-'19_Расчет_аналитики'!AM2465)*IF('01_Вводные'!$B$239="Да",MeanMinAge06+'19_Расчет_аналитики'!AM2584*SUMIF(ThresholdAge06,"&lt;"&amp;'19_Расчет_аналитики'!AM2584,WeightedRevAge06)-SUMIF(ThresholdAge06,"&lt;"&amp;'19_Расчет_аналитики'!AM2584,WeightedMinAge06),MAX(CapacityAge06*'01_Вводные'!$B$218*'19_Расчет_аналитики'!AM2584,MeanMinAge06)))</f>
        <v/>
      </c>
      <c r="AN2521">
        <f>IF(OR(('19_Расчет_аналитики'!AN2437-'19_Расчет_аналитики'!AN2465)=0,6&lt;='01_Вводные'!$B$297),0,('19_Расчет_аналитики'!AN2437-'19_Расчет_аналитики'!AN2465)*IF('01_Вводные'!$B$239="Да",MeanMinAge06+'19_Расчет_аналитики'!AN2584*SUMIF(ThresholdAge06,"&lt;"&amp;'19_Расчет_аналитики'!AN2584,WeightedRevAge06)-SUMIF(ThresholdAge06,"&lt;"&amp;'19_Расчет_аналитики'!AN2584,WeightedMinAge06),MAX(CapacityAge06*'01_Вводные'!$B$218*'19_Расчет_аналитики'!AN2584,MeanMinAge06)))</f>
        <v/>
      </c>
      <c r="AO2521">
        <f>IF(OR(('19_Расчет_аналитики'!AO2437-'19_Расчет_аналитики'!AO2465)=0,6&lt;='01_Вводные'!$B$297),0,('19_Расчет_аналитики'!AO2437-'19_Расчет_аналитики'!AO2465)*IF('01_Вводные'!$B$239="Да",MeanMinAge06+'19_Расчет_аналитики'!AO2584*SUMIF(ThresholdAge06,"&lt;"&amp;'19_Расчет_аналитики'!AO2584,WeightedRevAge06)-SUMIF(ThresholdAge06,"&lt;"&amp;'19_Расчет_аналитики'!AO2584,WeightedMinAge06),MAX(CapacityAge06*'01_Вводные'!$B$218*'19_Расчет_аналитики'!AO2584,MeanMinAge06)))</f>
        <v/>
      </c>
      <c r="AP2521">
        <f>IF(OR(('19_Расчет_аналитики'!AP2437-'19_Расчет_аналитики'!AP2465)=0,6&lt;='01_Вводные'!$B$297),0,('19_Расчет_аналитики'!AP2437-'19_Расчет_аналитики'!AP2465)*IF('01_Вводные'!$B$239="Да",MeanMinAge06+'19_Расчет_аналитики'!AP2584*SUMIF(ThresholdAge06,"&lt;"&amp;'19_Расчет_аналитики'!AP2584,WeightedRevAge06)-SUMIF(ThresholdAge06,"&lt;"&amp;'19_Расчет_аналитики'!AP2584,WeightedMinAge06),MAX(CapacityAge06*'01_Вводные'!$B$218*'19_Расчет_аналитики'!AP2584,MeanMinAge06)))</f>
        <v/>
      </c>
      <c r="AQ2521">
        <f>IF(OR(('19_Расчет_аналитики'!AQ2437-'19_Расчет_аналитики'!AQ2465)=0,6&lt;='01_Вводные'!$B$297),0,('19_Расчет_аналитики'!AQ2437-'19_Расчет_аналитики'!AQ2465)*IF('01_Вводные'!$B$239="Да",MeanMinAge06+'19_Расчет_аналитики'!AQ2584*SUMIF(ThresholdAge06,"&lt;"&amp;'19_Расчет_аналитики'!AQ2584,WeightedRevAge06)-SUMIF(ThresholdAge06,"&lt;"&amp;'19_Расчет_аналитики'!AQ2584,WeightedMinAge06),MAX(CapacityAge06*'01_Вводные'!$B$218*'19_Расчет_аналитики'!AQ2584,MeanMinAge06)))</f>
        <v/>
      </c>
      <c r="AR2521">
        <f>IF(OR(('19_Расчет_аналитики'!AR2437-'19_Расчет_аналитики'!AR2465)=0,6&lt;='01_Вводные'!$B$297),0,('19_Расчет_аналитики'!AR2437-'19_Расчет_аналитики'!AR2465)*IF('01_Вводные'!$B$239="Да",MeanMinAge06+'19_Расчет_аналитики'!AR2584*SUMIF(ThresholdAge06,"&lt;"&amp;'19_Расчет_аналитики'!AR2584,WeightedRevAge06)-SUMIF(ThresholdAge06,"&lt;"&amp;'19_Расчет_аналитики'!AR2584,WeightedMinAge06),MAX(CapacityAge06*'01_Вводные'!$B$218*'19_Расчет_аналитики'!AR2584,MeanMinAge06)))</f>
        <v/>
      </c>
      <c r="AS2521">
        <f>IF(OR(('19_Расчет_аналитики'!AS2437-'19_Расчет_аналитики'!AS2465)=0,6&lt;='01_Вводные'!$B$297),0,('19_Расчет_аналитики'!AS2437-'19_Расчет_аналитики'!AS2465)*IF('01_Вводные'!$B$239="Да",MeanMinAge06+'19_Расчет_аналитики'!AS2584*SUMIF(ThresholdAge06,"&lt;"&amp;'19_Расчет_аналитики'!AS2584,WeightedRevAge06)-SUMIF(ThresholdAge06,"&lt;"&amp;'19_Расчет_аналитики'!AS2584,WeightedMinAge06),MAX(CapacityAge06*'01_Вводные'!$B$218*'19_Расчет_аналитики'!AS2584,MeanMinAge06)))</f>
        <v/>
      </c>
      <c r="AT2521">
        <f>IF(OR(('19_Расчет_аналитики'!AT2437-'19_Расчет_аналитики'!AT2465)=0,6&lt;='01_Вводные'!$B$297),0,('19_Расчет_аналитики'!AT2437-'19_Расчет_аналитики'!AT2465)*IF('01_Вводные'!$B$239="Да",MeanMinAge06+'19_Расчет_аналитики'!AT2584*SUMIF(ThresholdAge06,"&lt;"&amp;'19_Расчет_аналитики'!AT2584,WeightedRevAge06)-SUMIF(ThresholdAge06,"&lt;"&amp;'19_Расчет_аналитики'!AT2584,WeightedMinAge06),MAX(CapacityAge06*'01_Вводные'!$B$218*'19_Расчет_аналитики'!AT2584,MeanMinAge06)))</f>
        <v/>
      </c>
      <c r="AU2521">
        <f>IF(OR(('19_Расчет_аналитики'!AU2437-'19_Расчет_аналитики'!AU2465)=0,6&lt;='01_Вводные'!$B$297),0,('19_Расчет_аналитики'!AU2437-'19_Расчет_аналитики'!AU2465)*IF('01_Вводные'!$B$239="Да",MeanMinAge06+'19_Расчет_аналитики'!AU2584*SUMIF(ThresholdAge06,"&lt;"&amp;'19_Расчет_аналитики'!AU2584,WeightedRevAge06)-SUMIF(ThresholdAge06,"&lt;"&amp;'19_Расчет_аналитики'!AU2584,WeightedMinAge06),MAX(CapacityAge06*'01_Вводные'!$B$218*'19_Расчет_аналитики'!AU2584,MeanMinAge06)))</f>
        <v/>
      </c>
      <c r="AV2521">
        <f>IF(OR(('19_Расчет_аналитики'!AV2437-'19_Расчет_аналитики'!AV2465)=0,6&lt;='01_Вводные'!$B$297),0,('19_Расчет_аналитики'!AV2437-'19_Расчет_аналитики'!AV2465)*IF('01_Вводные'!$B$239="Да",MeanMinAge06+'19_Расчет_аналитики'!AV2584*SUMIF(ThresholdAge06,"&lt;"&amp;'19_Расчет_аналитики'!AV2584,WeightedRevAge06)-SUMIF(ThresholdAge06,"&lt;"&amp;'19_Расчет_аналитики'!AV2584,WeightedMinAge06),MAX(CapacityAge06*'01_Вводные'!$B$218*'19_Расчет_аналитики'!AV2584,MeanMinAge06)))</f>
        <v/>
      </c>
      <c r="AW2521">
        <f>IF(OR(('19_Расчет_аналитики'!AW2437-'19_Расчет_аналитики'!AW2465)=0,6&lt;='01_Вводные'!$B$297),0,('19_Расчет_аналитики'!AW2437-'19_Расчет_аналитики'!AW2465)*IF('01_Вводные'!$B$239="Да",MeanMinAge06+'19_Расчет_аналитики'!AW2584*SUMIF(ThresholdAge06,"&lt;"&amp;'19_Расчет_аналитики'!AW2584,WeightedRevAge06)-SUMIF(ThresholdAge06,"&lt;"&amp;'19_Расчет_аналитики'!AW2584,WeightedMinAge06),MAX(CapacityAge06*'01_Вводные'!$B$218*'19_Расчет_аналитики'!AW2584,MeanMinAge06)))</f>
        <v/>
      </c>
      <c r="AX2521">
        <f>IF(OR(('19_Расчет_аналитики'!AX2437-'19_Расчет_аналитики'!AX2465)=0,6&lt;='01_Вводные'!$B$297),0,('19_Расчет_аналитики'!AX2437-'19_Расчет_аналитики'!AX2465)*IF('01_Вводные'!$B$239="Да",MeanMinAge06+'19_Расчет_аналитики'!AX2584*SUMIF(ThresholdAge06,"&lt;"&amp;'19_Расчет_аналитики'!AX2584,WeightedRevAge06)-SUMIF(ThresholdAge06,"&lt;"&amp;'19_Расчет_аналитики'!AX2584,WeightedMinAge06),MAX(CapacityAge06*'01_Вводные'!$B$218*'19_Расчет_аналитики'!AX2584,MeanMinAge06)))</f>
        <v/>
      </c>
      <c r="AY2521">
        <f>IF(OR(('19_Расчет_аналитики'!AY2437-'19_Расчет_аналитики'!AY2465)=0,6&lt;='01_Вводные'!$B$297),0,('19_Расчет_аналитики'!AY2437-'19_Расчет_аналитики'!AY2465)*IF('01_Вводные'!$B$239="Да",MeanMinAge06+'19_Расчет_аналитики'!AY2584*SUMIF(ThresholdAge06,"&lt;"&amp;'19_Расчет_аналитики'!AY2584,WeightedRevAge06)-SUMIF(ThresholdAge06,"&lt;"&amp;'19_Расчет_аналитики'!AY2584,WeightedMinAge06),MAX(CapacityAge06*'01_Вводные'!$B$218*'19_Расчет_аналитики'!AY2584,MeanMinAge06)))</f>
        <v/>
      </c>
      <c r="AZ2521">
        <f>IF(OR(('19_Расчет_аналитики'!AZ2437-'19_Расчет_аналитики'!AZ2465)=0,6&lt;='01_Вводные'!$B$297),0,('19_Расчет_аналитики'!AZ2437-'19_Расчет_аналитики'!AZ2465)*IF('01_Вводные'!$B$239="Да",MeanMinAge06+'19_Расчет_аналитики'!AZ2584*SUMIF(ThresholdAge06,"&lt;"&amp;'19_Расчет_аналитики'!AZ2584,WeightedRevAge06)-SUMIF(ThresholdAge06,"&lt;"&amp;'19_Расчет_аналитики'!AZ2584,WeightedMinAge06),MAX(CapacityAge06*'01_Вводные'!$B$218*'19_Расчет_аналитики'!AZ2584,MeanMinAge06)))</f>
        <v/>
      </c>
      <c r="BA2521">
        <f>IF(OR(('19_Расчет_аналитики'!BA2437-'19_Расчет_аналитики'!BA2465)=0,6&lt;='01_Вводные'!$B$297),0,('19_Расчет_аналитики'!BA2437-'19_Расчет_аналитики'!BA2465)*IF('01_Вводные'!$B$239="Да",MeanMinAge06+'19_Расчет_аналитики'!BA2584*SUMIF(ThresholdAge06,"&lt;"&amp;'19_Расчет_аналитики'!BA2584,WeightedRevAge06)-SUMIF(ThresholdAge06,"&lt;"&amp;'19_Расчет_аналитики'!BA2584,WeightedMinAge06),MAX(CapacityAge06*'01_Вводные'!$B$218*'19_Расчет_аналитики'!BA2584,MeanMinAge06)))</f>
        <v/>
      </c>
      <c r="BB2521">
        <f>IF(OR(('19_Расчет_аналитики'!BB2437-'19_Расчет_аналитики'!BB2465)=0,6&lt;='01_Вводные'!$B$297),0,('19_Расчет_аналитики'!BB2437-'19_Расчет_аналитики'!BB2465)*IF('01_Вводные'!$B$239="Да",MeanMinAge06+'19_Расчет_аналитики'!BB2584*SUMIF(ThresholdAge06,"&lt;"&amp;'19_Расчет_аналитики'!BB2584,WeightedRevAge06)-SUMIF(ThresholdAge06,"&lt;"&amp;'19_Расчет_аналитики'!BB2584,WeightedMinAge06),MAX(CapacityAge06*'01_Вводные'!$B$218*'19_Расчет_аналитики'!BB2584,MeanMinAge06)))</f>
        <v/>
      </c>
      <c r="BC2521">
        <f>IF(OR(('19_Расчет_аналитики'!BC2437-'19_Расчет_аналитики'!BC2465)=0,6&lt;='01_Вводные'!$B$297),0,('19_Расчет_аналитики'!BC2437-'19_Расчет_аналитики'!BC2465)*IF('01_Вводные'!$B$239="Да",MeanMinAge06+'19_Расчет_аналитики'!BC2584*SUMIF(ThresholdAge06,"&lt;"&amp;'19_Расчет_аналитики'!BC2584,WeightedRevAge06)-SUMIF(ThresholdAge06,"&lt;"&amp;'19_Расчет_аналитики'!BC2584,WeightedMinAge06),MAX(CapacityAge06*'01_Вводные'!$B$218*'19_Расчет_аналитики'!BC2584,MeanMinAge06)))</f>
        <v/>
      </c>
      <c r="BD2521">
        <f>IF(OR(('19_Расчет_аналитики'!BD2437-'19_Расчет_аналитики'!BD2465)=0,6&lt;='01_Вводные'!$B$297),0,('19_Расчет_аналитики'!BD2437-'19_Расчет_аналитики'!BD2465)*IF('01_Вводные'!$B$239="Да",MeanMinAge06+'19_Расчет_аналитики'!BD2584*SUMIF(ThresholdAge06,"&lt;"&amp;'19_Расчет_аналитики'!BD2584,WeightedRevAge06)-SUMIF(ThresholdAge06,"&lt;"&amp;'19_Расчет_аналитики'!BD2584,WeightedMinAge06),MAX(CapacityAge06*'01_Вводные'!$B$218*'19_Расчет_аналитики'!BD2584,MeanMinAge06)))</f>
        <v/>
      </c>
      <c r="BE2521">
        <f>IF(OR(('19_Расчет_аналитики'!BE2437-'19_Расчет_аналитики'!BE2465)=0,6&lt;='01_Вводные'!$B$297),0,('19_Расчет_аналитики'!BE2437-'19_Расчет_аналитики'!BE2465)*IF('01_Вводные'!$B$239="Да",MeanMinAge06+'19_Расчет_аналитики'!BE2584*SUMIF(ThresholdAge06,"&lt;"&amp;'19_Расчет_аналитики'!BE2584,WeightedRevAge06)-SUMIF(ThresholdAge06,"&lt;"&amp;'19_Расчет_аналитики'!BE2584,WeightedMinAge06),MAX(CapacityAge06*'01_Вводные'!$B$218*'19_Расчет_аналитики'!BE2584,MeanMinAge06)))</f>
        <v/>
      </c>
      <c r="BF2521">
        <f>IF(OR(('19_Расчет_аналитики'!BF2437-'19_Расчет_аналитики'!BF2465)=0,6&lt;='01_Вводные'!$B$297),0,('19_Расчет_аналитики'!BF2437-'19_Расчет_аналитики'!BF2465)*IF('01_Вводные'!$B$239="Да",MeanMinAge06+'19_Расчет_аналитики'!BF2584*SUMIF(ThresholdAge06,"&lt;"&amp;'19_Расчет_аналитики'!BF2584,WeightedRevAge06)-SUMIF(ThresholdAge06,"&lt;"&amp;'19_Расчет_аналитики'!BF2584,WeightedMinAge06),MAX(CapacityAge06*'01_Вводные'!$B$218*'19_Расчет_аналитики'!BF2584,MeanMinAge06)))</f>
        <v/>
      </c>
      <c r="BG2521">
        <f>IF(OR(('19_Расчет_аналитики'!BG2437-'19_Расчет_аналитики'!BG2465)=0,6&lt;='01_Вводные'!$B$297),0,('19_Расчет_аналитики'!BG2437-'19_Расчет_аналитики'!BG2465)*IF('01_Вводные'!$B$239="Да",MeanMinAge06+'19_Расчет_аналитики'!BG2584*SUMIF(ThresholdAge06,"&lt;"&amp;'19_Расчет_аналитики'!BG2584,WeightedRevAge06)-SUMIF(ThresholdAge06,"&lt;"&amp;'19_Расчет_аналитики'!BG2584,WeightedMinAge06),MAX(CapacityAge06*'01_Вводные'!$B$218*'19_Расчет_аналитики'!BG2584,MeanMinAge06)))</f>
        <v/>
      </c>
      <c r="BH2521">
        <f>IF(OR(('19_Расчет_аналитики'!BH2437-'19_Расчет_аналитики'!BH2465)=0,6&lt;='01_Вводные'!$B$297),0,('19_Расчет_аналитики'!BH2437-'19_Расчет_аналитики'!BH2465)*IF('01_Вводные'!$B$239="Да",MeanMinAge06+'19_Расчет_аналитики'!BH2584*SUMIF(ThresholdAge06,"&lt;"&amp;'19_Расчет_аналитики'!BH2584,WeightedRevAge06)-SUMIF(ThresholdAge06,"&lt;"&amp;'19_Расчет_аналитики'!BH2584,WeightedMinAge06),MAX(CapacityAge06*'01_Вводные'!$B$218*'19_Расчет_аналитики'!BH2584,MeanMinAge06)))</f>
        <v/>
      </c>
      <c r="BI2521">
        <f>IF(OR(('19_Расчет_аналитики'!BI2437-'19_Расчет_аналитики'!BI2465)=0,6&lt;='01_Вводные'!$B$297),0,('19_Расчет_аналитики'!BI2437-'19_Расчет_аналитики'!BI2465)*IF('01_Вводные'!$B$239="Да",MeanMinAge06+'19_Расчет_аналитики'!BI2584*SUMIF(ThresholdAge06,"&lt;"&amp;'19_Расчет_аналитики'!BI2584,WeightedRevAge06)-SUMIF(ThresholdAge06,"&lt;"&amp;'19_Расчет_аналитики'!BI2584,WeightedMinAge06),MAX(CapacityAge06*'01_Вводные'!$B$218*'19_Расчет_аналитики'!BI2584,MeanMinAge06)))</f>
        <v/>
      </c>
      <c r="BJ2521">
        <f>IF(OR(('19_Расчет_аналитики'!BJ2437-'19_Расчет_аналитики'!BJ2465)=0,6&lt;='01_Вводные'!$B$297),0,('19_Расчет_аналитики'!BJ2437-'19_Расчет_аналитики'!BJ2465)*IF('01_Вводные'!$B$239="Да",MeanMinAge06+'19_Расчет_аналитики'!BJ2584*SUMIF(ThresholdAge06,"&lt;"&amp;'19_Расчет_аналитики'!BJ2584,WeightedRevAge06)-SUMIF(ThresholdAge06,"&lt;"&amp;'19_Расчет_аналитики'!BJ2584,WeightedMinAge06),MAX(CapacityAge06*'01_Вводные'!$B$218*'19_Расчет_аналитики'!BJ2584,MeanMinAge06)))</f>
        <v/>
      </c>
      <c r="BK2521">
        <f>IF(OR(('19_Расчет_аналитики'!BK2437-'19_Расчет_аналитики'!BK2465)=0,6&lt;='01_Вводные'!$B$297),0,('19_Расчет_аналитики'!BK2437-'19_Расчет_аналитики'!BK2465)*IF('01_Вводные'!$B$239="Да",MeanMinAge06+'19_Расчет_аналитики'!BK2584*SUMIF(ThresholdAge06,"&lt;"&amp;'19_Расчет_аналитики'!BK2584,WeightedRevAge06)-SUMIF(ThresholdAge06,"&lt;"&amp;'19_Расчет_аналитики'!BK2584,WeightedMinAge06),MAX(CapacityAge06*'01_Вводные'!$B$218*'19_Расчет_аналитики'!BK2584,MeanMinAge06)))</f>
        <v/>
      </c>
      <c r="BL2521">
        <f>IF(OR(('19_Расчет_аналитики'!BL2437-'19_Расчет_аналитики'!BL2465)=0,6&lt;='01_Вводные'!$B$297),0,('19_Расчет_аналитики'!BL2437-'19_Расчет_аналитики'!BL2465)*IF('01_Вводные'!$B$239="Да",MeanMinAge06+'19_Расчет_аналитики'!BL2584*SUMIF(ThresholdAge06,"&lt;"&amp;'19_Расчет_аналитики'!BL2584,WeightedRevAge06)-SUMIF(ThresholdAge06,"&lt;"&amp;'19_Расчет_аналитики'!BL2584,WeightedMinAge06),MAX(CapacityAge06*'01_Вводные'!$B$218*'19_Расчет_аналитики'!BL2584,MeanMinAge06)))</f>
        <v/>
      </c>
      <c r="BM2521">
        <f>IF(OR(('19_Расчет_аналитики'!BM2437-'19_Расчет_аналитики'!BM2465)=0,6&lt;='01_Вводные'!$B$297),0,('19_Расчет_аналитики'!BM2437-'19_Расчет_аналитики'!BM2465)*IF('01_Вводные'!$B$239="Да",MeanMinAge06+'19_Расчет_аналитики'!BM2584*SUMIF(ThresholdAge06,"&lt;"&amp;'19_Расчет_аналитики'!BM2584,WeightedRevAge06)-SUMIF(ThresholdAge06,"&lt;"&amp;'19_Расчет_аналитики'!BM2584,WeightedMinAge06),MAX(CapacityAge06*'01_Вводные'!$B$218*'19_Расчет_аналитики'!BM2584,MeanMinAge06)))</f>
        <v/>
      </c>
      <c r="BN2521">
        <f>IF(OR(('19_Расчет_аналитики'!BN2437-'19_Расчет_аналитики'!BN2465)=0,6&lt;='01_Вводные'!$B$297),0,('19_Расчет_аналитики'!BN2437-'19_Расчет_аналитики'!BN2465)*IF('01_Вводные'!$B$239="Да",MeanMinAge06+'19_Расчет_аналитики'!BN2584*SUMIF(ThresholdAge06,"&lt;"&amp;'19_Расчет_аналитики'!BN2584,WeightedRevAge06)-SUMIF(ThresholdAge06,"&lt;"&amp;'19_Расчет_аналитики'!BN2584,WeightedMinAge06),MAX(CapacityAge06*'01_Вводные'!$B$218*'19_Расчет_аналитики'!BN2584,MeanMinAge06)))</f>
        <v/>
      </c>
      <c r="BO2521">
        <f>IF(OR(('19_Расчет_аналитики'!BO2437-'19_Расчет_аналитики'!BO2465)=0,6&lt;='01_Вводные'!$B$297),0,('19_Расчет_аналитики'!BO2437-'19_Расчет_аналитики'!BO2465)*IF('01_Вводные'!$B$239="Да",MeanMinAge06+'19_Расчет_аналитики'!BO2584*SUMIF(ThresholdAge06,"&lt;"&amp;'19_Расчет_аналитики'!BO2584,WeightedRevAge06)-SUMIF(ThresholdAge06,"&lt;"&amp;'19_Расчет_аналитики'!BO2584,WeightedMinAge06),MAX(CapacityAge06*'01_Вводные'!$B$218*'19_Расчет_аналитики'!BO2584,MeanMinAge06)))</f>
        <v/>
      </c>
    </row>
    <row r="2522">
      <c r="B2522">
        <f>IF(OR(('06_Сеть_и_дети'!B59-'06_Сеть_и_дети'!B87)=0,7&lt;='01_Вводные'!$B$297),0,('06_Сеть_и_дети'!B59-'06_Сеть_и_дети'!B87)*IF('01_Вводные'!$B$239="Да",MeanMinAge07+'19_Расчет_аналитики'!B2584*SUMIF(ThresholdAge07,"&lt;"&amp;'19_Расчет_аналитики'!B2584,WeightedRevAge07)-SUMIF(ThresholdAge07,"&lt;"&amp;'19_Расчет_аналитики'!B2584,WeightedMinAge07),MAX(CapacityAge07*'01_Вводные'!$B$218*'19_Расчет_аналитики'!B2584,MeanMinAge07)))</f>
        <v/>
      </c>
      <c r="C2522">
        <f>IF(OR(('06_Сеть_и_дети'!C59-'06_Сеть_и_дети'!C87)=0,7&lt;='01_Вводные'!$B$297),0,('06_Сеть_и_дети'!C59-'06_Сеть_и_дети'!C87)*IF('01_Вводные'!$B$239="Да",MeanMinAge07+'19_Расчет_аналитики'!C2584*SUMIF(ThresholdAge07,"&lt;"&amp;'19_Расчет_аналитики'!C2584,WeightedRevAge07)-SUMIF(ThresholdAge07,"&lt;"&amp;'19_Расчет_аналитики'!C2584,WeightedMinAge07),MAX(CapacityAge07*'01_Вводные'!$B$218*'19_Расчет_аналитики'!C2584,MeanMinAge07)))</f>
        <v/>
      </c>
      <c r="D2522">
        <f>IF(OR(('06_Сеть_и_дети'!D59-'06_Сеть_и_дети'!D87)=0,7&lt;='01_Вводные'!$B$297),0,('06_Сеть_и_дети'!D59-'06_Сеть_и_дети'!D87)*IF('01_Вводные'!$B$239="Да",MeanMinAge07+'19_Расчет_аналитики'!D2584*SUMIF(ThresholdAge07,"&lt;"&amp;'19_Расчет_аналитики'!D2584,WeightedRevAge07)-SUMIF(ThresholdAge07,"&lt;"&amp;'19_Расчет_аналитики'!D2584,WeightedMinAge07),MAX(CapacityAge07*'01_Вводные'!$B$218*'19_Расчет_аналитики'!D2584,MeanMinAge07)))</f>
        <v/>
      </c>
      <c r="E2522">
        <f>IF(OR(('06_Сеть_и_дети'!E59-'06_Сеть_и_дети'!E87)=0,7&lt;='01_Вводные'!$B$297),0,('06_Сеть_и_дети'!E59-'06_Сеть_и_дети'!E87)*IF('01_Вводные'!$B$239="Да",MeanMinAge07+'19_Расчет_аналитики'!E2584*SUMIF(ThresholdAge07,"&lt;"&amp;'19_Расчет_аналитики'!E2584,WeightedRevAge07)-SUMIF(ThresholdAge07,"&lt;"&amp;'19_Расчет_аналитики'!E2584,WeightedMinAge07),MAX(CapacityAge07*'01_Вводные'!$B$218*'19_Расчет_аналитики'!E2584,MeanMinAge07)))</f>
        <v/>
      </c>
      <c r="F2522">
        <f>IF(OR(('06_Сеть_и_дети'!F59-'06_Сеть_и_дети'!F87)=0,7&lt;='01_Вводные'!$B$297),0,('06_Сеть_и_дети'!F59-'06_Сеть_и_дети'!F87)*IF('01_Вводные'!$B$239="Да",MeanMinAge07+'19_Расчет_аналитики'!F2584*SUMIF(ThresholdAge07,"&lt;"&amp;'19_Расчет_аналитики'!F2584,WeightedRevAge07)-SUMIF(ThresholdAge07,"&lt;"&amp;'19_Расчет_аналитики'!F2584,WeightedMinAge07),MAX(CapacityAge07*'01_Вводные'!$B$218*'19_Расчет_аналитики'!F2584,MeanMinAge07)))</f>
        <v/>
      </c>
      <c r="G2522">
        <f>IF(OR(('06_Сеть_и_дети'!G59-'06_Сеть_и_дети'!G87)=0,7&lt;='01_Вводные'!$B$297),0,('06_Сеть_и_дети'!G59-'06_Сеть_и_дети'!G87)*IF('01_Вводные'!$B$239="Да",MeanMinAge07+'19_Расчет_аналитики'!G2584*SUMIF(ThresholdAge07,"&lt;"&amp;'19_Расчет_аналитики'!G2584,WeightedRevAge07)-SUMIF(ThresholdAge07,"&lt;"&amp;'19_Расчет_аналитики'!G2584,WeightedMinAge07),MAX(CapacityAge07*'01_Вводные'!$B$218*'19_Расчет_аналитики'!G2584,MeanMinAge07)))</f>
        <v/>
      </c>
      <c r="H2522">
        <f>IF(OR(('19_Расчет_аналитики'!H2438-'19_Расчет_аналитики'!H2466)=0,7&lt;='01_Вводные'!$B$297),0,('19_Расчет_аналитики'!H2438-'19_Расчет_аналитики'!H2466)*IF('01_Вводные'!$B$239="Да",MeanMinAge07+'19_Расчет_аналитики'!H2584*SUMIF(ThresholdAge07,"&lt;"&amp;'19_Расчет_аналитики'!H2584,WeightedRevAge07)-SUMIF(ThresholdAge07,"&lt;"&amp;'19_Расчет_аналитики'!H2584,WeightedMinAge07),MAX(CapacityAge07*'01_Вводные'!$B$218*'19_Расчет_аналитики'!H2584,MeanMinAge07)))</f>
        <v/>
      </c>
      <c r="I2522">
        <f>IF(OR(('19_Расчет_аналитики'!I2438-'19_Расчет_аналитики'!I2466)=0,7&lt;='01_Вводные'!$B$297),0,('19_Расчет_аналитики'!I2438-'19_Расчет_аналитики'!I2466)*IF('01_Вводные'!$B$239="Да",MeanMinAge07+'19_Расчет_аналитики'!I2584*SUMIF(ThresholdAge07,"&lt;"&amp;'19_Расчет_аналитики'!I2584,WeightedRevAge07)-SUMIF(ThresholdAge07,"&lt;"&amp;'19_Расчет_аналитики'!I2584,WeightedMinAge07),MAX(CapacityAge07*'01_Вводные'!$B$218*'19_Расчет_аналитики'!I2584,MeanMinAge07)))</f>
        <v/>
      </c>
      <c r="J2522">
        <f>IF(OR(('19_Расчет_аналитики'!J2438-'19_Расчет_аналитики'!J2466)=0,7&lt;='01_Вводные'!$B$297),0,('19_Расчет_аналитики'!J2438-'19_Расчет_аналитики'!J2466)*IF('01_Вводные'!$B$239="Да",MeanMinAge07+'19_Расчет_аналитики'!J2584*SUMIF(ThresholdAge07,"&lt;"&amp;'19_Расчет_аналитики'!J2584,WeightedRevAge07)-SUMIF(ThresholdAge07,"&lt;"&amp;'19_Расчет_аналитики'!J2584,WeightedMinAge07),MAX(CapacityAge07*'01_Вводные'!$B$218*'19_Расчет_аналитики'!J2584,MeanMinAge07)))</f>
        <v/>
      </c>
      <c r="K2522">
        <f>IF(OR(('19_Расчет_аналитики'!K2438-'19_Расчет_аналитики'!K2466)=0,7&lt;='01_Вводные'!$B$297),0,('19_Расчет_аналитики'!K2438-'19_Расчет_аналитики'!K2466)*IF('01_Вводные'!$B$239="Да",MeanMinAge07+'19_Расчет_аналитики'!K2584*SUMIF(ThresholdAge07,"&lt;"&amp;'19_Расчет_аналитики'!K2584,WeightedRevAge07)-SUMIF(ThresholdAge07,"&lt;"&amp;'19_Расчет_аналитики'!K2584,WeightedMinAge07),MAX(CapacityAge07*'01_Вводные'!$B$218*'19_Расчет_аналитики'!K2584,MeanMinAge07)))</f>
        <v/>
      </c>
      <c r="L2522">
        <f>IF(OR(('19_Расчет_аналитики'!L2438-'19_Расчет_аналитики'!L2466)=0,7&lt;='01_Вводные'!$B$297),0,('19_Расчет_аналитики'!L2438-'19_Расчет_аналитики'!L2466)*IF('01_Вводные'!$B$239="Да",MeanMinAge07+'19_Расчет_аналитики'!L2584*SUMIF(ThresholdAge07,"&lt;"&amp;'19_Расчет_аналитики'!L2584,WeightedRevAge07)-SUMIF(ThresholdAge07,"&lt;"&amp;'19_Расчет_аналитики'!L2584,WeightedMinAge07),MAX(CapacityAge07*'01_Вводные'!$B$218*'19_Расчет_аналитики'!L2584,MeanMinAge07)))</f>
        <v/>
      </c>
      <c r="M2522">
        <f>IF(OR(('19_Расчет_аналитики'!M2438-'19_Расчет_аналитики'!M2466)=0,7&lt;='01_Вводные'!$B$297),0,('19_Расчет_аналитики'!M2438-'19_Расчет_аналитики'!M2466)*IF('01_Вводные'!$B$239="Да",MeanMinAge07+'19_Расчет_аналитики'!M2584*SUMIF(ThresholdAge07,"&lt;"&amp;'19_Расчет_аналитики'!M2584,WeightedRevAge07)-SUMIF(ThresholdAge07,"&lt;"&amp;'19_Расчет_аналитики'!M2584,WeightedMinAge07),MAX(CapacityAge07*'01_Вводные'!$B$218*'19_Расчет_аналитики'!M2584,MeanMinAge07)))</f>
        <v/>
      </c>
      <c r="N2522">
        <f>IF(OR(('19_Расчет_аналитики'!N2438-'19_Расчет_аналитики'!N2466)=0,7&lt;='01_Вводные'!$B$297),0,('19_Расчет_аналитики'!N2438-'19_Расчет_аналитики'!N2466)*IF('01_Вводные'!$B$239="Да",MeanMinAge07+'19_Расчет_аналитики'!N2584*SUMIF(ThresholdAge07,"&lt;"&amp;'19_Расчет_аналитики'!N2584,WeightedRevAge07)-SUMIF(ThresholdAge07,"&lt;"&amp;'19_Расчет_аналитики'!N2584,WeightedMinAge07),MAX(CapacityAge07*'01_Вводные'!$B$218*'19_Расчет_аналитики'!N2584,MeanMinAge07)))</f>
        <v/>
      </c>
      <c r="O2522">
        <f>IF(OR(('19_Расчет_аналитики'!O2438-'19_Расчет_аналитики'!O2466)=0,7&lt;='01_Вводные'!$B$297),0,('19_Расчет_аналитики'!O2438-'19_Расчет_аналитики'!O2466)*IF('01_Вводные'!$B$239="Да",MeanMinAge07+'19_Расчет_аналитики'!O2584*SUMIF(ThresholdAge07,"&lt;"&amp;'19_Расчет_аналитики'!O2584,WeightedRevAge07)-SUMIF(ThresholdAge07,"&lt;"&amp;'19_Расчет_аналитики'!O2584,WeightedMinAge07),MAX(CapacityAge07*'01_Вводные'!$B$218*'19_Расчет_аналитики'!O2584,MeanMinAge07)))</f>
        <v/>
      </c>
      <c r="P2522">
        <f>IF(OR(('19_Расчет_аналитики'!P2438-'19_Расчет_аналитики'!P2466)=0,7&lt;='01_Вводные'!$B$297),0,('19_Расчет_аналитики'!P2438-'19_Расчет_аналитики'!P2466)*IF('01_Вводные'!$B$239="Да",MeanMinAge07+'19_Расчет_аналитики'!P2584*SUMIF(ThresholdAge07,"&lt;"&amp;'19_Расчет_аналитики'!P2584,WeightedRevAge07)-SUMIF(ThresholdAge07,"&lt;"&amp;'19_Расчет_аналитики'!P2584,WeightedMinAge07),MAX(CapacityAge07*'01_Вводные'!$B$218*'19_Расчет_аналитики'!P2584,MeanMinAge07)))</f>
        <v/>
      </c>
      <c r="Q2522">
        <f>IF(OR(('19_Расчет_аналитики'!Q2438-'19_Расчет_аналитики'!Q2466)=0,7&lt;='01_Вводные'!$B$297),0,('19_Расчет_аналитики'!Q2438-'19_Расчет_аналитики'!Q2466)*IF('01_Вводные'!$B$239="Да",MeanMinAge07+'19_Расчет_аналитики'!Q2584*SUMIF(ThresholdAge07,"&lt;"&amp;'19_Расчет_аналитики'!Q2584,WeightedRevAge07)-SUMIF(ThresholdAge07,"&lt;"&amp;'19_Расчет_аналитики'!Q2584,WeightedMinAge07),MAX(CapacityAge07*'01_Вводные'!$B$218*'19_Расчет_аналитики'!Q2584,MeanMinAge07)))</f>
        <v/>
      </c>
      <c r="R2522">
        <f>IF(OR(('19_Расчет_аналитики'!R2438-'19_Расчет_аналитики'!R2466)=0,7&lt;='01_Вводные'!$B$297),0,('19_Расчет_аналитики'!R2438-'19_Расчет_аналитики'!R2466)*IF('01_Вводные'!$B$239="Да",MeanMinAge07+'19_Расчет_аналитики'!R2584*SUMIF(ThresholdAge07,"&lt;"&amp;'19_Расчет_аналитики'!R2584,WeightedRevAge07)-SUMIF(ThresholdAge07,"&lt;"&amp;'19_Расчет_аналитики'!R2584,WeightedMinAge07),MAX(CapacityAge07*'01_Вводные'!$B$218*'19_Расчет_аналитики'!R2584,MeanMinAge07)))</f>
        <v/>
      </c>
      <c r="S2522">
        <f>IF(OR(('19_Расчет_аналитики'!S2438-'19_Расчет_аналитики'!S2466)=0,7&lt;='01_Вводные'!$B$297),0,('19_Расчет_аналитики'!S2438-'19_Расчет_аналитики'!S2466)*IF('01_Вводные'!$B$239="Да",MeanMinAge07+'19_Расчет_аналитики'!S2584*SUMIF(ThresholdAge07,"&lt;"&amp;'19_Расчет_аналитики'!S2584,WeightedRevAge07)-SUMIF(ThresholdAge07,"&lt;"&amp;'19_Расчет_аналитики'!S2584,WeightedMinAge07),MAX(CapacityAge07*'01_Вводные'!$B$218*'19_Расчет_аналитики'!S2584,MeanMinAge07)))</f>
        <v/>
      </c>
      <c r="T2522">
        <f>IF(OR(('19_Расчет_аналитики'!T2438-'19_Расчет_аналитики'!T2466)=0,7&lt;='01_Вводные'!$B$297),0,('19_Расчет_аналитики'!T2438-'19_Расчет_аналитики'!T2466)*IF('01_Вводные'!$B$239="Да",MeanMinAge07+'19_Расчет_аналитики'!T2584*SUMIF(ThresholdAge07,"&lt;"&amp;'19_Расчет_аналитики'!T2584,WeightedRevAge07)-SUMIF(ThresholdAge07,"&lt;"&amp;'19_Расчет_аналитики'!T2584,WeightedMinAge07),MAX(CapacityAge07*'01_Вводные'!$B$218*'19_Расчет_аналитики'!T2584,MeanMinAge07)))</f>
        <v/>
      </c>
      <c r="U2522">
        <f>IF(OR(('19_Расчет_аналитики'!U2438-'19_Расчет_аналитики'!U2466)=0,7&lt;='01_Вводные'!$B$297),0,('19_Расчет_аналитики'!U2438-'19_Расчет_аналитики'!U2466)*IF('01_Вводные'!$B$239="Да",MeanMinAge07+'19_Расчет_аналитики'!U2584*SUMIF(ThresholdAge07,"&lt;"&amp;'19_Расчет_аналитики'!U2584,WeightedRevAge07)-SUMIF(ThresholdAge07,"&lt;"&amp;'19_Расчет_аналитики'!U2584,WeightedMinAge07),MAX(CapacityAge07*'01_Вводные'!$B$218*'19_Расчет_аналитики'!U2584,MeanMinAge07)))</f>
        <v/>
      </c>
      <c r="V2522">
        <f>IF(OR(('19_Расчет_аналитики'!V2438-'19_Расчет_аналитики'!V2466)=0,7&lt;='01_Вводные'!$B$297),0,('19_Расчет_аналитики'!V2438-'19_Расчет_аналитики'!V2466)*IF('01_Вводные'!$B$239="Да",MeanMinAge07+'19_Расчет_аналитики'!V2584*SUMIF(ThresholdAge07,"&lt;"&amp;'19_Расчет_аналитики'!V2584,WeightedRevAge07)-SUMIF(ThresholdAge07,"&lt;"&amp;'19_Расчет_аналитики'!V2584,WeightedMinAge07),MAX(CapacityAge07*'01_Вводные'!$B$218*'19_Расчет_аналитики'!V2584,MeanMinAge07)))</f>
        <v/>
      </c>
      <c r="W2522">
        <f>IF(OR(('19_Расчет_аналитики'!W2438-'19_Расчет_аналитики'!W2466)=0,7&lt;='01_Вводные'!$B$297),0,('19_Расчет_аналитики'!W2438-'19_Расчет_аналитики'!W2466)*IF('01_Вводные'!$B$239="Да",MeanMinAge07+'19_Расчет_аналитики'!W2584*SUMIF(ThresholdAge07,"&lt;"&amp;'19_Расчет_аналитики'!W2584,WeightedRevAge07)-SUMIF(ThresholdAge07,"&lt;"&amp;'19_Расчет_аналитики'!W2584,WeightedMinAge07),MAX(CapacityAge07*'01_Вводные'!$B$218*'19_Расчет_аналитики'!W2584,MeanMinAge07)))</f>
        <v/>
      </c>
      <c r="X2522">
        <f>IF(OR(('19_Расчет_аналитики'!X2438-'19_Расчет_аналитики'!X2466)=0,7&lt;='01_Вводные'!$B$297),0,('19_Расчет_аналитики'!X2438-'19_Расчет_аналитики'!X2466)*IF('01_Вводные'!$B$239="Да",MeanMinAge07+'19_Расчет_аналитики'!X2584*SUMIF(ThresholdAge07,"&lt;"&amp;'19_Расчет_аналитики'!X2584,WeightedRevAge07)-SUMIF(ThresholdAge07,"&lt;"&amp;'19_Расчет_аналитики'!X2584,WeightedMinAge07),MAX(CapacityAge07*'01_Вводные'!$B$218*'19_Расчет_аналитики'!X2584,MeanMinAge07)))</f>
        <v/>
      </c>
      <c r="Y2522">
        <f>IF(OR(('19_Расчет_аналитики'!Y2438-'19_Расчет_аналитики'!Y2466)=0,7&lt;='01_Вводные'!$B$297),0,('19_Расчет_аналитики'!Y2438-'19_Расчет_аналитики'!Y2466)*IF('01_Вводные'!$B$239="Да",MeanMinAge07+'19_Расчет_аналитики'!Y2584*SUMIF(ThresholdAge07,"&lt;"&amp;'19_Расчет_аналитики'!Y2584,WeightedRevAge07)-SUMIF(ThresholdAge07,"&lt;"&amp;'19_Расчет_аналитики'!Y2584,WeightedMinAge07),MAX(CapacityAge07*'01_Вводные'!$B$218*'19_Расчет_аналитики'!Y2584,MeanMinAge07)))</f>
        <v/>
      </c>
      <c r="Z2522">
        <f>IF(OR(('19_Расчет_аналитики'!Z2438-'19_Расчет_аналитики'!Z2466)=0,7&lt;='01_Вводные'!$B$297),0,('19_Расчет_аналитики'!Z2438-'19_Расчет_аналитики'!Z2466)*IF('01_Вводные'!$B$239="Да",MeanMinAge07+'19_Расчет_аналитики'!Z2584*SUMIF(ThresholdAge07,"&lt;"&amp;'19_Расчет_аналитики'!Z2584,WeightedRevAge07)-SUMIF(ThresholdAge07,"&lt;"&amp;'19_Расчет_аналитики'!Z2584,WeightedMinAge07),MAX(CapacityAge07*'01_Вводные'!$B$218*'19_Расчет_аналитики'!Z2584,MeanMinAge07)))</f>
        <v/>
      </c>
      <c r="AA2522">
        <f>IF(OR(('19_Расчет_аналитики'!AA2438-'19_Расчет_аналитики'!AA2466)=0,7&lt;='01_Вводные'!$B$297),0,('19_Расчет_аналитики'!AA2438-'19_Расчет_аналитики'!AA2466)*IF('01_Вводные'!$B$239="Да",MeanMinAge07+'19_Расчет_аналитики'!AA2584*SUMIF(ThresholdAge07,"&lt;"&amp;'19_Расчет_аналитики'!AA2584,WeightedRevAge07)-SUMIF(ThresholdAge07,"&lt;"&amp;'19_Расчет_аналитики'!AA2584,WeightedMinAge07),MAX(CapacityAge07*'01_Вводные'!$B$218*'19_Расчет_аналитики'!AA2584,MeanMinAge07)))</f>
        <v/>
      </c>
      <c r="AB2522">
        <f>IF(OR(('19_Расчет_аналитики'!AB2438-'19_Расчет_аналитики'!AB2466)=0,7&lt;='01_Вводные'!$B$297),0,('19_Расчет_аналитики'!AB2438-'19_Расчет_аналитики'!AB2466)*IF('01_Вводные'!$B$239="Да",MeanMinAge07+'19_Расчет_аналитики'!AB2584*SUMIF(ThresholdAge07,"&lt;"&amp;'19_Расчет_аналитики'!AB2584,WeightedRevAge07)-SUMIF(ThresholdAge07,"&lt;"&amp;'19_Расчет_аналитики'!AB2584,WeightedMinAge07),MAX(CapacityAge07*'01_Вводные'!$B$218*'19_Расчет_аналитики'!AB2584,MeanMinAge07)))</f>
        <v/>
      </c>
      <c r="AC2522">
        <f>IF(OR(('19_Расчет_аналитики'!AC2438-'19_Расчет_аналитики'!AC2466)=0,7&lt;='01_Вводные'!$B$297),0,('19_Расчет_аналитики'!AC2438-'19_Расчет_аналитики'!AC2466)*IF('01_Вводные'!$B$239="Да",MeanMinAge07+'19_Расчет_аналитики'!AC2584*SUMIF(ThresholdAge07,"&lt;"&amp;'19_Расчет_аналитики'!AC2584,WeightedRevAge07)-SUMIF(ThresholdAge07,"&lt;"&amp;'19_Расчет_аналитики'!AC2584,WeightedMinAge07),MAX(CapacityAge07*'01_Вводные'!$B$218*'19_Расчет_аналитики'!AC2584,MeanMinAge07)))</f>
        <v/>
      </c>
      <c r="AD2522">
        <f>IF(OR(('19_Расчет_аналитики'!AD2438-'19_Расчет_аналитики'!AD2466)=0,7&lt;='01_Вводные'!$B$297),0,('19_Расчет_аналитики'!AD2438-'19_Расчет_аналитики'!AD2466)*IF('01_Вводные'!$B$239="Да",MeanMinAge07+'19_Расчет_аналитики'!AD2584*SUMIF(ThresholdAge07,"&lt;"&amp;'19_Расчет_аналитики'!AD2584,WeightedRevAge07)-SUMIF(ThresholdAge07,"&lt;"&amp;'19_Расчет_аналитики'!AD2584,WeightedMinAge07),MAX(CapacityAge07*'01_Вводные'!$B$218*'19_Расчет_аналитики'!AD2584,MeanMinAge07)))</f>
        <v/>
      </c>
      <c r="AE2522">
        <f>IF(OR(('19_Расчет_аналитики'!AE2438-'19_Расчет_аналитики'!AE2466)=0,7&lt;='01_Вводные'!$B$297),0,('19_Расчет_аналитики'!AE2438-'19_Расчет_аналитики'!AE2466)*IF('01_Вводные'!$B$239="Да",MeanMinAge07+'19_Расчет_аналитики'!AE2584*SUMIF(ThresholdAge07,"&lt;"&amp;'19_Расчет_аналитики'!AE2584,WeightedRevAge07)-SUMIF(ThresholdAge07,"&lt;"&amp;'19_Расчет_аналитики'!AE2584,WeightedMinAge07),MAX(CapacityAge07*'01_Вводные'!$B$218*'19_Расчет_аналитики'!AE2584,MeanMinAge07)))</f>
        <v/>
      </c>
      <c r="AF2522">
        <f>IF(OR(('19_Расчет_аналитики'!AF2438-'19_Расчет_аналитики'!AF2466)=0,7&lt;='01_Вводные'!$B$297),0,('19_Расчет_аналитики'!AF2438-'19_Расчет_аналитики'!AF2466)*IF('01_Вводные'!$B$239="Да",MeanMinAge07+'19_Расчет_аналитики'!AF2584*SUMIF(ThresholdAge07,"&lt;"&amp;'19_Расчет_аналитики'!AF2584,WeightedRevAge07)-SUMIF(ThresholdAge07,"&lt;"&amp;'19_Расчет_аналитики'!AF2584,WeightedMinAge07),MAX(CapacityAge07*'01_Вводные'!$B$218*'19_Расчет_аналитики'!AF2584,MeanMinAge07)))</f>
        <v/>
      </c>
      <c r="AG2522">
        <f>IF(OR(('19_Расчет_аналитики'!AG2438-'19_Расчет_аналитики'!AG2466)=0,7&lt;='01_Вводные'!$B$297),0,('19_Расчет_аналитики'!AG2438-'19_Расчет_аналитики'!AG2466)*IF('01_Вводные'!$B$239="Да",MeanMinAge07+'19_Расчет_аналитики'!AG2584*SUMIF(ThresholdAge07,"&lt;"&amp;'19_Расчет_аналитики'!AG2584,WeightedRevAge07)-SUMIF(ThresholdAge07,"&lt;"&amp;'19_Расчет_аналитики'!AG2584,WeightedMinAge07),MAX(CapacityAge07*'01_Вводные'!$B$218*'19_Расчет_аналитики'!AG2584,MeanMinAge07)))</f>
        <v/>
      </c>
      <c r="AH2522">
        <f>IF(OR(('19_Расчет_аналитики'!AH2438-'19_Расчет_аналитики'!AH2466)=0,7&lt;='01_Вводные'!$B$297),0,('19_Расчет_аналитики'!AH2438-'19_Расчет_аналитики'!AH2466)*IF('01_Вводные'!$B$239="Да",MeanMinAge07+'19_Расчет_аналитики'!AH2584*SUMIF(ThresholdAge07,"&lt;"&amp;'19_Расчет_аналитики'!AH2584,WeightedRevAge07)-SUMIF(ThresholdAge07,"&lt;"&amp;'19_Расчет_аналитики'!AH2584,WeightedMinAge07),MAX(CapacityAge07*'01_Вводные'!$B$218*'19_Расчет_аналитики'!AH2584,MeanMinAge07)))</f>
        <v/>
      </c>
      <c r="AI2522">
        <f>IF(OR(('19_Расчет_аналитики'!AI2438-'19_Расчет_аналитики'!AI2466)=0,7&lt;='01_Вводные'!$B$297),0,('19_Расчет_аналитики'!AI2438-'19_Расчет_аналитики'!AI2466)*IF('01_Вводные'!$B$239="Да",MeanMinAge07+'19_Расчет_аналитики'!AI2584*SUMIF(ThresholdAge07,"&lt;"&amp;'19_Расчет_аналитики'!AI2584,WeightedRevAge07)-SUMIF(ThresholdAge07,"&lt;"&amp;'19_Расчет_аналитики'!AI2584,WeightedMinAge07),MAX(CapacityAge07*'01_Вводные'!$B$218*'19_Расчет_аналитики'!AI2584,MeanMinAge07)))</f>
        <v/>
      </c>
      <c r="AJ2522">
        <f>IF(OR(('19_Расчет_аналитики'!AJ2438-'19_Расчет_аналитики'!AJ2466)=0,7&lt;='01_Вводные'!$B$297),0,('19_Расчет_аналитики'!AJ2438-'19_Расчет_аналитики'!AJ2466)*IF('01_Вводные'!$B$239="Да",MeanMinAge07+'19_Расчет_аналитики'!AJ2584*SUMIF(ThresholdAge07,"&lt;"&amp;'19_Расчет_аналитики'!AJ2584,WeightedRevAge07)-SUMIF(ThresholdAge07,"&lt;"&amp;'19_Расчет_аналитики'!AJ2584,WeightedMinAge07),MAX(CapacityAge07*'01_Вводные'!$B$218*'19_Расчет_аналитики'!AJ2584,MeanMinAge07)))</f>
        <v/>
      </c>
      <c r="AK2522">
        <f>IF(OR(('19_Расчет_аналитики'!AK2438-'19_Расчет_аналитики'!AK2466)=0,7&lt;='01_Вводные'!$B$297),0,('19_Расчет_аналитики'!AK2438-'19_Расчет_аналитики'!AK2466)*IF('01_Вводные'!$B$239="Да",MeanMinAge07+'19_Расчет_аналитики'!AK2584*SUMIF(ThresholdAge07,"&lt;"&amp;'19_Расчет_аналитики'!AK2584,WeightedRevAge07)-SUMIF(ThresholdAge07,"&lt;"&amp;'19_Расчет_аналитики'!AK2584,WeightedMinAge07),MAX(CapacityAge07*'01_Вводные'!$B$218*'19_Расчет_аналитики'!AK2584,MeanMinAge07)))</f>
        <v/>
      </c>
      <c r="AL2522">
        <f>IF(OR(('19_Расчет_аналитики'!AL2438-'19_Расчет_аналитики'!AL2466)=0,7&lt;='01_Вводные'!$B$297),0,('19_Расчет_аналитики'!AL2438-'19_Расчет_аналитики'!AL2466)*IF('01_Вводные'!$B$239="Да",MeanMinAge07+'19_Расчет_аналитики'!AL2584*SUMIF(ThresholdAge07,"&lt;"&amp;'19_Расчет_аналитики'!AL2584,WeightedRevAge07)-SUMIF(ThresholdAge07,"&lt;"&amp;'19_Расчет_аналитики'!AL2584,WeightedMinAge07),MAX(CapacityAge07*'01_Вводные'!$B$218*'19_Расчет_аналитики'!AL2584,MeanMinAge07)))</f>
        <v/>
      </c>
      <c r="AM2522">
        <f>IF(OR(('19_Расчет_аналитики'!AM2438-'19_Расчет_аналитики'!AM2466)=0,7&lt;='01_Вводные'!$B$297),0,('19_Расчет_аналитики'!AM2438-'19_Расчет_аналитики'!AM2466)*IF('01_Вводные'!$B$239="Да",MeanMinAge07+'19_Расчет_аналитики'!AM2584*SUMIF(ThresholdAge07,"&lt;"&amp;'19_Расчет_аналитики'!AM2584,WeightedRevAge07)-SUMIF(ThresholdAge07,"&lt;"&amp;'19_Расчет_аналитики'!AM2584,WeightedMinAge07),MAX(CapacityAge07*'01_Вводные'!$B$218*'19_Расчет_аналитики'!AM2584,MeanMinAge07)))</f>
        <v/>
      </c>
      <c r="AN2522">
        <f>IF(OR(('19_Расчет_аналитики'!AN2438-'19_Расчет_аналитики'!AN2466)=0,7&lt;='01_Вводные'!$B$297),0,('19_Расчет_аналитики'!AN2438-'19_Расчет_аналитики'!AN2466)*IF('01_Вводные'!$B$239="Да",MeanMinAge07+'19_Расчет_аналитики'!AN2584*SUMIF(ThresholdAge07,"&lt;"&amp;'19_Расчет_аналитики'!AN2584,WeightedRevAge07)-SUMIF(ThresholdAge07,"&lt;"&amp;'19_Расчет_аналитики'!AN2584,WeightedMinAge07),MAX(CapacityAge07*'01_Вводные'!$B$218*'19_Расчет_аналитики'!AN2584,MeanMinAge07)))</f>
        <v/>
      </c>
      <c r="AO2522">
        <f>IF(OR(('19_Расчет_аналитики'!AO2438-'19_Расчет_аналитики'!AO2466)=0,7&lt;='01_Вводные'!$B$297),0,('19_Расчет_аналитики'!AO2438-'19_Расчет_аналитики'!AO2466)*IF('01_Вводные'!$B$239="Да",MeanMinAge07+'19_Расчет_аналитики'!AO2584*SUMIF(ThresholdAge07,"&lt;"&amp;'19_Расчет_аналитики'!AO2584,WeightedRevAge07)-SUMIF(ThresholdAge07,"&lt;"&amp;'19_Расчет_аналитики'!AO2584,WeightedMinAge07),MAX(CapacityAge07*'01_Вводные'!$B$218*'19_Расчет_аналитики'!AO2584,MeanMinAge07)))</f>
        <v/>
      </c>
      <c r="AP2522">
        <f>IF(OR(('19_Расчет_аналитики'!AP2438-'19_Расчет_аналитики'!AP2466)=0,7&lt;='01_Вводные'!$B$297),0,('19_Расчет_аналитики'!AP2438-'19_Расчет_аналитики'!AP2466)*IF('01_Вводные'!$B$239="Да",MeanMinAge07+'19_Расчет_аналитики'!AP2584*SUMIF(ThresholdAge07,"&lt;"&amp;'19_Расчет_аналитики'!AP2584,WeightedRevAge07)-SUMIF(ThresholdAge07,"&lt;"&amp;'19_Расчет_аналитики'!AP2584,WeightedMinAge07),MAX(CapacityAge07*'01_Вводные'!$B$218*'19_Расчет_аналитики'!AP2584,MeanMinAge07)))</f>
        <v/>
      </c>
      <c r="AQ2522">
        <f>IF(OR(('19_Расчет_аналитики'!AQ2438-'19_Расчет_аналитики'!AQ2466)=0,7&lt;='01_Вводные'!$B$297),0,('19_Расчет_аналитики'!AQ2438-'19_Расчет_аналитики'!AQ2466)*IF('01_Вводные'!$B$239="Да",MeanMinAge07+'19_Расчет_аналитики'!AQ2584*SUMIF(ThresholdAge07,"&lt;"&amp;'19_Расчет_аналитики'!AQ2584,WeightedRevAge07)-SUMIF(ThresholdAge07,"&lt;"&amp;'19_Расчет_аналитики'!AQ2584,WeightedMinAge07),MAX(CapacityAge07*'01_Вводные'!$B$218*'19_Расчет_аналитики'!AQ2584,MeanMinAge07)))</f>
        <v/>
      </c>
      <c r="AR2522">
        <f>IF(OR(('19_Расчет_аналитики'!AR2438-'19_Расчет_аналитики'!AR2466)=0,7&lt;='01_Вводные'!$B$297),0,('19_Расчет_аналитики'!AR2438-'19_Расчет_аналитики'!AR2466)*IF('01_Вводные'!$B$239="Да",MeanMinAge07+'19_Расчет_аналитики'!AR2584*SUMIF(ThresholdAge07,"&lt;"&amp;'19_Расчет_аналитики'!AR2584,WeightedRevAge07)-SUMIF(ThresholdAge07,"&lt;"&amp;'19_Расчет_аналитики'!AR2584,WeightedMinAge07),MAX(CapacityAge07*'01_Вводные'!$B$218*'19_Расчет_аналитики'!AR2584,MeanMinAge07)))</f>
        <v/>
      </c>
      <c r="AS2522">
        <f>IF(OR(('19_Расчет_аналитики'!AS2438-'19_Расчет_аналитики'!AS2466)=0,7&lt;='01_Вводные'!$B$297),0,('19_Расчет_аналитики'!AS2438-'19_Расчет_аналитики'!AS2466)*IF('01_Вводные'!$B$239="Да",MeanMinAge07+'19_Расчет_аналитики'!AS2584*SUMIF(ThresholdAge07,"&lt;"&amp;'19_Расчет_аналитики'!AS2584,WeightedRevAge07)-SUMIF(ThresholdAge07,"&lt;"&amp;'19_Расчет_аналитики'!AS2584,WeightedMinAge07),MAX(CapacityAge07*'01_Вводные'!$B$218*'19_Расчет_аналитики'!AS2584,MeanMinAge07)))</f>
        <v/>
      </c>
      <c r="AT2522">
        <f>IF(OR(('19_Расчет_аналитики'!AT2438-'19_Расчет_аналитики'!AT2466)=0,7&lt;='01_Вводные'!$B$297),0,('19_Расчет_аналитики'!AT2438-'19_Расчет_аналитики'!AT2466)*IF('01_Вводные'!$B$239="Да",MeanMinAge07+'19_Расчет_аналитики'!AT2584*SUMIF(ThresholdAge07,"&lt;"&amp;'19_Расчет_аналитики'!AT2584,WeightedRevAge07)-SUMIF(ThresholdAge07,"&lt;"&amp;'19_Расчет_аналитики'!AT2584,WeightedMinAge07),MAX(CapacityAge07*'01_Вводные'!$B$218*'19_Расчет_аналитики'!AT2584,MeanMinAge07)))</f>
        <v/>
      </c>
      <c r="AU2522">
        <f>IF(OR(('19_Расчет_аналитики'!AU2438-'19_Расчет_аналитики'!AU2466)=0,7&lt;='01_Вводные'!$B$297),0,('19_Расчет_аналитики'!AU2438-'19_Расчет_аналитики'!AU2466)*IF('01_Вводные'!$B$239="Да",MeanMinAge07+'19_Расчет_аналитики'!AU2584*SUMIF(ThresholdAge07,"&lt;"&amp;'19_Расчет_аналитики'!AU2584,WeightedRevAge07)-SUMIF(ThresholdAge07,"&lt;"&amp;'19_Расчет_аналитики'!AU2584,WeightedMinAge07),MAX(CapacityAge07*'01_Вводные'!$B$218*'19_Расчет_аналитики'!AU2584,MeanMinAge07)))</f>
        <v/>
      </c>
      <c r="AV2522">
        <f>IF(OR(('19_Расчет_аналитики'!AV2438-'19_Расчет_аналитики'!AV2466)=0,7&lt;='01_Вводные'!$B$297),0,('19_Расчет_аналитики'!AV2438-'19_Расчет_аналитики'!AV2466)*IF('01_Вводные'!$B$239="Да",MeanMinAge07+'19_Расчет_аналитики'!AV2584*SUMIF(ThresholdAge07,"&lt;"&amp;'19_Расчет_аналитики'!AV2584,WeightedRevAge07)-SUMIF(ThresholdAge07,"&lt;"&amp;'19_Расчет_аналитики'!AV2584,WeightedMinAge07),MAX(CapacityAge07*'01_Вводные'!$B$218*'19_Расчет_аналитики'!AV2584,MeanMinAge07)))</f>
        <v/>
      </c>
      <c r="AW2522">
        <f>IF(OR(('19_Расчет_аналитики'!AW2438-'19_Расчет_аналитики'!AW2466)=0,7&lt;='01_Вводные'!$B$297),0,('19_Расчет_аналитики'!AW2438-'19_Расчет_аналитики'!AW2466)*IF('01_Вводные'!$B$239="Да",MeanMinAge07+'19_Расчет_аналитики'!AW2584*SUMIF(ThresholdAge07,"&lt;"&amp;'19_Расчет_аналитики'!AW2584,WeightedRevAge07)-SUMIF(ThresholdAge07,"&lt;"&amp;'19_Расчет_аналитики'!AW2584,WeightedMinAge07),MAX(CapacityAge07*'01_Вводные'!$B$218*'19_Расчет_аналитики'!AW2584,MeanMinAge07)))</f>
        <v/>
      </c>
      <c r="AX2522">
        <f>IF(OR(('19_Расчет_аналитики'!AX2438-'19_Расчет_аналитики'!AX2466)=0,7&lt;='01_Вводные'!$B$297),0,('19_Расчет_аналитики'!AX2438-'19_Расчет_аналитики'!AX2466)*IF('01_Вводные'!$B$239="Да",MeanMinAge07+'19_Расчет_аналитики'!AX2584*SUMIF(ThresholdAge07,"&lt;"&amp;'19_Расчет_аналитики'!AX2584,WeightedRevAge07)-SUMIF(ThresholdAge07,"&lt;"&amp;'19_Расчет_аналитики'!AX2584,WeightedMinAge07),MAX(CapacityAge07*'01_Вводные'!$B$218*'19_Расчет_аналитики'!AX2584,MeanMinAge07)))</f>
        <v/>
      </c>
      <c r="AY2522">
        <f>IF(OR(('19_Расчет_аналитики'!AY2438-'19_Расчет_аналитики'!AY2466)=0,7&lt;='01_Вводные'!$B$297),0,('19_Расчет_аналитики'!AY2438-'19_Расчет_аналитики'!AY2466)*IF('01_Вводные'!$B$239="Да",MeanMinAge07+'19_Расчет_аналитики'!AY2584*SUMIF(ThresholdAge07,"&lt;"&amp;'19_Расчет_аналитики'!AY2584,WeightedRevAge07)-SUMIF(ThresholdAge07,"&lt;"&amp;'19_Расчет_аналитики'!AY2584,WeightedMinAge07),MAX(CapacityAge07*'01_Вводные'!$B$218*'19_Расчет_аналитики'!AY2584,MeanMinAge07)))</f>
        <v/>
      </c>
      <c r="AZ2522">
        <f>IF(OR(('19_Расчет_аналитики'!AZ2438-'19_Расчет_аналитики'!AZ2466)=0,7&lt;='01_Вводные'!$B$297),0,('19_Расчет_аналитики'!AZ2438-'19_Расчет_аналитики'!AZ2466)*IF('01_Вводные'!$B$239="Да",MeanMinAge07+'19_Расчет_аналитики'!AZ2584*SUMIF(ThresholdAge07,"&lt;"&amp;'19_Расчет_аналитики'!AZ2584,WeightedRevAge07)-SUMIF(ThresholdAge07,"&lt;"&amp;'19_Расчет_аналитики'!AZ2584,WeightedMinAge07),MAX(CapacityAge07*'01_Вводные'!$B$218*'19_Расчет_аналитики'!AZ2584,MeanMinAge07)))</f>
        <v/>
      </c>
      <c r="BA2522">
        <f>IF(OR(('19_Расчет_аналитики'!BA2438-'19_Расчет_аналитики'!BA2466)=0,7&lt;='01_Вводные'!$B$297),0,('19_Расчет_аналитики'!BA2438-'19_Расчет_аналитики'!BA2466)*IF('01_Вводные'!$B$239="Да",MeanMinAge07+'19_Расчет_аналитики'!BA2584*SUMIF(ThresholdAge07,"&lt;"&amp;'19_Расчет_аналитики'!BA2584,WeightedRevAge07)-SUMIF(ThresholdAge07,"&lt;"&amp;'19_Расчет_аналитики'!BA2584,WeightedMinAge07),MAX(CapacityAge07*'01_Вводные'!$B$218*'19_Расчет_аналитики'!BA2584,MeanMinAge07)))</f>
        <v/>
      </c>
      <c r="BB2522">
        <f>IF(OR(('19_Расчет_аналитики'!BB2438-'19_Расчет_аналитики'!BB2466)=0,7&lt;='01_Вводные'!$B$297),0,('19_Расчет_аналитики'!BB2438-'19_Расчет_аналитики'!BB2466)*IF('01_Вводные'!$B$239="Да",MeanMinAge07+'19_Расчет_аналитики'!BB2584*SUMIF(ThresholdAge07,"&lt;"&amp;'19_Расчет_аналитики'!BB2584,WeightedRevAge07)-SUMIF(ThresholdAge07,"&lt;"&amp;'19_Расчет_аналитики'!BB2584,WeightedMinAge07),MAX(CapacityAge07*'01_Вводные'!$B$218*'19_Расчет_аналитики'!BB2584,MeanMinAge07)))</f>
        <v/>
      </c>
      <c r="BC2522">
        <f>IF(OR(('19_Расчет_аналитики'!BC2438-'19_Расчет_аналитики'!BC2466)=0,7&lt;='01_Вводные'!$B$297),0,('19_Расчет_аналитики'!BC2438-'19_Расчет_аналитики'!BC2466)*IF('01_Вводные'!$B$239="Да",MeanMinAge07+'19_Расчет_аналитики'!BC2584*SUMIF(ThresholdAge07,"&lt;"&amp;'19_Расчет_аналитики'!BC2584,WeightedRevAge07)-SUMIF(ThresholdAge07,"&lt;"&amp;'19_Расчет_аналитики'!BC2584,WeightedMinAge07),MAX(CapacityAge07*'01_Вводные'!$B$218*'19_Расчет_аналитики'!BC2584,MeanMinAge07)))</f>
        <v/>
      </c>
      <c r="BD2522">
        <f>IF(OR(('19_Расчет_аналитики'!BD2438-'19_Расчет_аналитики'!BD2466)=0,7&lt;='01_Вводные'!$B$297),0,('19_Расчет_аналитики'!BD2438-'19_Расчет_аналитики'!BD2466)*IF('01_Вводные'!$B$239="Да",MeanMinAge07+'19_Расчет_аналитики'!BD2584*SUMIF(ThresholdAge07,"&lt;"&amp;'19_Расчет_аналитики'!BD2584,WeightedRevAge07)-SUMIF(ThresholdAge07,"&lt;"&amp;'19_Расчет_аналитики'!BD2584,WeightedMinAge07),MAX(CapacityAge07*'01_Вводные'!$B$218*'19_Расчет_аналитики'!BD2584,MeanMinAge07)))</f>
        <v/>
      </c>
      <c r="BE2522">
        <f>IF(OR(('19_Расчет_аналитики'!BE2438-'19_Расчет_аналитики'!BE2466)=0,7&lt;='01_Вводные'!$B$297),0,('19_Расчет_аналитики'!BE2438-'19_Расчет_аналитики'!BE2466)*IF('01_Вводные'!$B$239="Да",MeanMinAge07+'19_Расчет_аналитики'!BE2584*SUMIF(ThresholdAge07,"&lt;"&amp;'19_Расчет_аналитики'!BE2584,WeightedRevAge07)-SUMIF(ThresholdAge07,"&lt;"&amp;'19_Расчет_аналитики'!BE2584,WeightedMinAge07),MAX(CapacityAge07*'01_Вводные'!$B$218*'19_Расчет_аналитики'!BE2584,MeanMinAge07)))</f>
        <v/>
      </c>
      <c r="BF2522">
        <f>IF(OR(('19_Расчет_аналитики'!BF2438-'19_Расчет_аналитики'!BF2466)=0,7&lt;='01_Вводные'!$B$297),0,('19_Расчет_аналитики'!BF2438-'19_Расчет_аналитики'!BF2466)*IF('01_Вводные'!$B$239="Да",MeanMinAge07+'19_Расчет_аналитики'!BF2584*SUMIF(ThresholdAge07,"&lt;"&amp;'19_Расчет_аналитики'!BF2584,WeightedRevAge07)-SUMIF(ThresholdAge07,"&lt;"&amp;'19_Расчет_аналитики'!BF2584,WeightedMinAge07),MAX(CapacityAge07*'01_Вводные'!$B$218*'19_Расчет_аналитики'!BF2584,MeanMinAge07)))</f>
        <v/>
      </c>
      <c r="BG2522">
        <f>IF(OR(('19_Расчет_аналитики'!BG2438-'19_Расчет_аналитики'!BG2466)=0,7&lt;='01_Вводные'!$B$297),0,('19_Расчет_аналитики'!BG2438-'19_Расчет_аналитики'!BG2466)*IF('01_Вводные'!$B$239="Да",MeanMinAge07+'19_Расчет_аналитики'!BG2584*SUMIF(ThresholdAge07,"&lt;"&amp;'19_Расчет_аналитики'!BG2584,WeightedRevAge07)-SUMIF(ThresholdAge07,"&lt;"&amp;'19_Расчет_аналитики'!BG2584,WeightedMinAge07),MAX(CapacityAge07*'01_Вводные'!$B$218*'19_Расчет_аналитики'!BG2584,MeanMinAge07)))</f>
        <v/>
      </c>
      <c r="BH2522">
        <f>IF(OR(('19_Расчет_аналитики'!BH2438-'19_Расчет_аналитики'!BH2466)=0,7&lt;='01_Вводные'!$B$297),0,('19_Расчет_аналитики'!BH2438-'19_Расчет_аналитики'!BH2466)*IF('01_Вводные'!$B$239="Да",MeanMinAge07+'19_Расчет_аналитики'!BH2584*SUMIF(ThresholdAge07,"&lt;"&amp;'19_Расчет_аналитики'!BH2584,WeightedRevAge07)-SUMIF(ThresholdAge07,"&lt;"&amp;'19_Расчет_аналитики'!BH2584,WeightedMinAge07),MAX(CapacityAge07*'01_Вводные'!$B$218*'19_Расчет_аналитики'!BH2584,MeanMinAge07)))</f>
        <v/>
      </c>
      <c r="BI2522">
        <f>IF(OR(('19_Расчет_аналитики'!BI2438-'19_Расчет_аналитики'!BI2466)=0,7&lt;='01_Вводные'!$B$297),0,('19_Расчет_аналитики'!BI2438-'19_Расчет_аналитики'!BI2466)*IF('01_Вводные'!$B$239="Да",MeanMinAge07+'19_Расчет_аналитики'!BI2584*SUMIF(ThresholdAge07,"&lt;"&amp;'19_Расчет_аналитики'!BI2584,WeightedRevAge07)-SUMIF(ThresholdAge07,"&lt;"&amp;'19_Расчет_аналитики'!BI2584,WeightedMinAge07),MAX(CapacityAge07*'01_Вводные'!$B$218*'19_Расчет_аналитики'!BI2584,MeanMinAge07)))</f>
        <v/>
      </c>
      <c r="BJ2522">
        <f>IF(OR(('19_Расчет_аналитики'!BJ2438-'19_Расчет_аналитики'!BJ2466)=0,7&lt;='01_Вводные'!$B$297),0,('19_Расчет_аналитики'!BJ2438-'19_Расчет_аналитики'!BJ2466)*IF('01_Вводные'!$B$239="Да",MeanMinAge07+'19_Расчет_аналитики'!BJ2584*SUMIF(ThresholdAge07,"&lt;"&amp;'19_Расчет_аналитики'!BJ2584,WeightedRevAge07)-SUMIF(ThresholdAge07,"&lt;"&amp;'19_Расчет_аналитики'!BJ2584,WeightedMinAge07),MAX(CapacityAge07*'01_Вводные'!$B$218*'19_Расчет_аналитики'!BJ2584,MeanMinAge07)))</f>
        <v/>
      </c>
      <c r="BK2522">
        <f>IF(OR(('19_Расчет_аналитики'!BK2438-'19_Расчет_аналитики'!BK2466)=0,7&lt;='01_Вводные'!$B$297),0,('19_Расчет_аналитики'!BK2438-'19_Расчет_аналитики'!BK2466)*IF('01_Вводные'!$B$239="Да",MeanMinAge07+'19_Расчет_аналитики'!BK2584*SUMIF(ThresholdAge07,"&lt;"&amp;'19_Расчет_аналитики'!BK2584,WeightedRevAge07)-SUMIF(ThresholdAge07,"&lt;"&amp;'19_Расчет_аналитики'!BK2584,WeightedMinAge07),MAX(CapacityAge07*'01_Вводные'!$B$218*'19_Расчет_аналитики'!BK2584,MeanMinAge07)))</f>
        <v/>
      </c>
      <c r="BL2522">
        <f>IF(OR(('19_Расчет_аналитики'!BL2438-'19_Расчет_аналитики'!BL2466)=0,7&lt;='01_Вводные'!$B$297),0,('19_Расчет_аналитики'!BL2438-'19_Расчет_аналитики'!BL2466)*IF('01_Вводные'!$B$239="Да",MeanMinAge07+'19_Расчет_аналитики'!BL2584*SUMIF(ThresholdAge07,"&lt;"&amp;'19_Расчет_аналитики'!BL2584,WeightedRevAge07)-SUMIF(ThresholdAge07,"&lt;"&amp;'19_Расчет_аналитики'!BL2584,WeightedMinAge07),MAX(CapacityAge07*'01_Вводные'!$B$218*'19_Расчет_аналитики'!BL2584,MeanMinAge07)))</f>
        <v/>
      </c>
      <c r="BM2522">
        <f>IF(OR(('19_Расчет_аналитики'!BM2438-'19_Расчет_аналитики'!BM2466)=0,7&lt;='01_Вводные'!$B$297),0,('19_Расчет_аналитики'!BM2438-'19_Расчет_аналитики'!BM2466)*IF('01_Вводные'!$B$239="Да",MeanMinAge07+'19_Расчет_аналитики'!BM2584*SUMIF(ThresholdAge07,"&lt;"&amp;'19_Расчет_аналитики'!BM2584,WeightedRevAge07)-SUMIF(ThresholdAge07,"&lt;"&amp;'19_Расчет_аналитики'!BM2584,WeightedMinAge07),MAX(CapacityAge07*'01_Вводные'!$B$218*'19_Расчет_аналитики'!BM2584,MeanMinAge07)))</f>
        <v/>
      </c>
      <c r="BN2522">
        <f>IF(OR(('19_Расчет_аналитики'!BN2438-'19_Расчет_аналитики'!BN2466)=0,7&lt;='01_Вводные'!$B$297),0,('19_Расчет_аналитики'!BN2438-'19_Расчет_аналитики'!BN2466)*IF('01_Вводные'!$B$239="Да",MeanMinAge07+'19_Расчет_аналитики'!BN2584*SUMIF(ThresholdAge07,"&lt;"&amp;'19_Расчет_аналитики'!BN2584,WeightedRevAge07)-SUMIF(ThresholdAge07,"&lt;"&amp;'19_Расчет_аналитики'!BN2584,WeightedMinAge07),MAX(CapacityAge07*'01_Вводные'!$B$218*'19_Расчет_аналитики'!BN2584,MeanMinAge07)))</f>
        <v/>
      </c>
      <c r="BO2522">
        <f>IF(OR(('19_Расчет_аналитики'!BO2438-'19_Расчет_аналитики'!BO2466)=0,7&lt;='01_Вводные'!$B$297),0,('19_Расчет_аналитики'!BO2438-'19_Расчет_аналитики'!BO2466)*IF('01_Вводные'!$B$239="Да",MeanMinAge07+'19_Расчет_аналитики'!BO2584*SUMIF(ThresholdAge07,"&lt;"&amp;'19_Расчет_аналитики'!BO2584,WeightedRevAge07)-SUMIF(ThresholdAge07,"&lt;"&amp;'19_Расчет_аналитики'!BO2584,WeightedMinAge07),MAX(CapacityAge07*'01_Вводные'!$B$218*'19_Расчет_аналитики'!BO2584,MeanMinAge07)))</f>
        <v/>
      </c>
    </row>
    <row r="2523">
      <c r="B2523">
        <f>IF(OR(('06_Сеть_и_дети'!B60-'06_Сеть_и_дети'!B88)=0,8&lt;='01_Вводные'!$B$297),0,('06_Сеть_и_дети'!B60-'06_Сеть_и_дети'!B88)*IF('01_Вводные'!$B$239="Да",MeanMinAge08+'19_Расчет_аналитики'!B2584*SUMIF(ThresholdAge08,"&lt;"&amp;'19_Расчет_аналитики'!B2584,WeightedRevAge08)-SUMIF(ThresholdAge08,"&lt;"&amp;'19_Расчет_аналитики'!B2584,WeightedMinAge08),MAX(CapacityAge08*'01_Вводные'!$B$218*'19_Расчет_аналитики'!B2584,MeanMinAge08)))</f>
        <v/>
      </c>
      <c r="C2523">
        <f>IF(OR(('06_Сеть_и_дети'!C60-'06_Сеть_и_дети'!C88)=0,8&lt;='01_Вводные'!$B$297),0,('06_Сеть_и_дети'!C60-'06_Сеть_и_дети'!C88)*IF('01_Вводные'!$B$239="Да",MeanMinAge08+'19_Расчет_аналитики'!C2584*SUMIF(ThresholdAge08,"&lt;"&amp;'19_Расчет_аналитики'!C2584,WeightedRevAge08)-SUMIF(ThresholdAge08,"&lt;"&amp;'19_Расчет_аналитики'!C2584,WeightedMinAge08),MAX(CapacityAge08*'01_Вводные'!$B$218*'19_Расчет_аналитики'!C2584,MeanMinAge08)))</f>
        <v/>
      </c>
      <c r="D2523">
        <f>IF(OR(('06_Сеть_и_дети'!D60-'06_Сеть_и_дети'!D88)=0,8&lt;='01_Вводные'!$B$297),0,('06_Сеть_и_дети'!D60-'06_Сеть_и_дети'!D88)*IF('01_Вводные'!$B$239="Да",MeanMinAge08+'19_Расчет_аналитики'!D2584*SUMIF(ThresholdAge08,"&lt;"&amp;'19_Расчет_аналитики'!D2584,WeightedRevAge08)-SUMIF(ThresholdAge08,"&lt;"&amp;'19_Расчет_аналитики'!D2584,WeightedMinAge08),MAX(CapacityAge08*'01_Вводные'!$B$218*'19_Расчет_аналитики'!D2584,MeanMinAge08)))</f>
        <v/>
      </c>
      <c r="E2523">
        <f>IF(OR(('06_Сеть_и_дети'!E60-'06_Сеть_и_дети'!E88)=0,8&lt;='01_Вводные'!$B$297),0,('06_Сеть_и_дети'!E60-'06_Сеть_и_дети'!E88)*IF('01_Вводные'!$B$239="Да",MeanMinAge08+'19_Расчет_аналитики'!E2584*SUMIF(ThresholdAge08,"&lt;"&amp;'19_Расчет_аналитики'!E2584,WeightedRevAge08)-SUMIF(ThresholdAge08,"&lt;"&amp;'19_Расчет_аналитики'!E2584,WeightedMinAge08),MAX(CapacityAge08*'01_Вводные'!$B$218*'19_Расчет_аналитики'!E2584,MeanMinAge08)))</f>
        <v/>
      </c>
      <c r="F2523">
        <f>IF(OR(('06_Сеть_и_дети'!F60-'06_Сеть_и_дети'!F88)=0,8&lt;='01_Вводные'!$B$297),0,('06_Сеть_и_дети'!F60-'06_Сеть_и_дети'!F88)*IF('01_Вводные'!$B$239="Да",MeanMinAge08+'19_Расчет_аналитики'!F2584*SUMIF(ThresholdAge08,"&lt;"&amp;'19_Расчет_аналитики'!F2584,WeightedRevAge08)-SUMIF(ThresholdAge08,"&lt;"&amp;'19_Расчет_аналитики'!F2584,WeightedMinAge08),MAX(CapacityAge08*'01_Вводные'!$B$218*'19_Расчет_аналитики'!F2584,MeanMinAge08)))</f>
        <v/>
      </c>
      <c r="G2523">
        <f>IF(OR(('06_Сеть_и_дети'!G60-'06_Сеть_и_дети'!G88)=0,8&lt;='01_Вводные'!$B$297),0,('06_Сеть_и_дети'!G60-'06_Сеть_и_дети'!G88)*IF('01_Вводные'!$B$239="Да",MeanMinAge08+'19_Расчет_аналитики'!G2584*SUMIF(ThresholdAge08,"&lt;"&amp;'19_Расчет_аналитики'!G2584,WeightedRevAge08)-SUMIF(ThresholdAge08,"&lt;"&amp;'19_Расчет_аналитики'!G2584,WeightedMinAge08),MAX(CapacityAge08*'01_Вводные'!$B$218*'19_Расчет_аналитики'!G2584,MeanMinAge08)))</f>
        <v/>
      </c>
      <c r="H2523">
        <f>IF(OR(('06_Сеть_и_дети'!H60-'06_Сеть_и_дети'!H88)=0,8&lt;='01_Вводные'!$B$297),0,('06_Сеть_и_дети'!H60-'06_Сеть_и_дети'!H88)*IF('01_Вводные'!$B$239="Да",MeanMinAge08+'19_Расчет_аналитики'!H2584*SUMIF(ThresholdAge08,"&lt;"&amp;'19_Расчет_аналитики'!H2584,WeightedRevAge08)-SUMIF(ThresholdAge08,"&lt;"&amp;'19_Расчет_аналитики'!H2584,WeightedMinAge08),MAX(CapacityAge08*'01_Вводные'!$B$218*'19_Расчет_аналитики'!H2584,MeanMinAge08)))</f>
        <v/>
      </c>
      <c r="I2523">
        <f>IF(OR(('19_Расчет_аналитики'!I2439-'19_Расчет_аналитики'!I2467)=0,8&lt;='01_Вводные'!$B$297),0,('19_Расчет_аналитики'!I2439-'19_Расчет_аналитики'!I2467)*IF('01_Вводные'!$B$239="Да",MeanMinAge08+'19_Расчет_аналитики'!I2584*SUMIF(ThresholdAge08,"&lt;"&amp;'19_Расчет_аналитики'!I2584,WeightedRevAge08)-SUMIF(ThresholdAge08,"&lt;"&amp;'19_Расчет_аналитики'!I2584,WeightedMinAge08),MAX(CapacityAge08*'01_Вводные'!$B$218*'19_Расчет_аналитики'!I2584,MeanMinAge08)))</f>
        <v/>
      </c>
      <c r="J2523">
        <f>IF(OR(('19_Расчет_аналитики'!J2439-'19_Расчет_аналитики'!J2467)=0,8&lt;='01_Вводные'!$B$297),0,('19_Расчет_аналитики'!J2439-'19_Расчет_аналитики'!J2467)*IF('01_Вводные'!$B$239="Да",MeanMinAge08+'19_Расчет_аналитики'!J2584*SUMIF(ThresholdAge08,"&lt;"&amp;'19_Расчет_аналитики'!J2584,WeightedRevAge08)-SUMIF(ThresholdAge08,"&lt;"&amp;'19_Расчет_аналитики'!J2584,WeightedMinAge08),MAX(CapacityAge08*'01_Вводные'!$B$218*'19_Расчет_аналитики'!J2584,MeanMinAge08)))</f>
        <v/>
      </c>
      <c r="K2523">
        <f>IF(OR(('19_Расчет_аналитики'!K2439-'19_Расчет_аналитики'!K2467)=0,8&lt;='01_Вводные'!$B$297),0,('19_Расчет_аналитики'!K2439-'19_Расчет_аналитики'!K2467)*IF('01_Вводные'!$B$239="Да",MeanMinAge08+'19_Расчет_аналитики'!K2584*SUMIF(ThresholdAge08,"&lt;"&amp;'19_Расчет_аналитики'!K2584,WeightedRevAge08)-SUMIF(ThresholdAge08,"&lt;"&amp;'19_Расчет_аналитики'!K2584,WeightedMinAge08),MAX(CapacityAge08*'01_Вводные'!$B$218*'19_Расчет_аналитики'!K2584,MeanMinAge08)))</f>
        <v/>
      </c>
      <c r="L2523">
        <f>IF(OR(('19_Расчет_аналитики'!L2439-'19_Расчет_аналитики'!L2467)=0,8&lt;='01_Вводные'!$B$297),0,('19_Расчет_аналитики'!L2439-'19_Расчет_аналитики'!L2467)*IF('01_Вводные'!$B$239="Да",MeanMinAge08+'19_Расчет_аналитики'!L2584*SUMIF(ThresholdAge08,"&lt;"&amp;'19_Расчет_аналитики'!L2584,WeightedRevAge08)-SUMIF(ThresholdAge08,"&lt;"&amp;'19_Расчет_аналитики'!L2584,WeightedMinAge08),MAX(CapacityAge08*'01_Вводные'!$B$218*'19_Расчет_аналитики'!L2584,MeanMinAge08)))</f>
        <v/>
      </c>
      <c r="M2523">
        <f>IF(OR(('19_Расчет_аналитики'!M2439-'19_Расчет_аналитики'!M2467)=0,8&lt;='01_Вводные'!$B$297),0,('19_Расчет_аналитики'!M2439-'19_Расчет_аналитики'!M2467)*IF('01_Вводные'!$B$239="Да",MeanMinAge08+'19_Расчет_аналитики'!M2584*SUMIF(ThresholdAge08,"&lt;"&amp;'19_Расчет_аналитики'!M2584,WeightedRevAge08)-SUMIF(ThresholdAge08,"&lt;"&amp;'19_Расчет_аналитики'!M2584,WeightedMinAge08),MAX(CapacityAge08*'01_Вводные'!$B$218*'19_Расчет_аналитики'!M2584,MeanMinAge08)))</f>
        <v/>
      </c>
      <c r="N2523">
        <f>IF(OR(('19_Расчет_аналитики'!N2439-'19_Расчет_аналитики'!N2467)=0,8&lt;='01_Вводные'!$B$297),0,('19_Расчет_аналитики'!N2439-'19_Расчет_аналитики'!N2467)*IF('01_Вводные'!$B$239="Да",MeanMinAge08+'19_Расчет_аналитики'!N2584*SUMIF(ThresholdAge08,"&lt;"&amp;'19_Расчет_аналитики'!N2584,WeightedRevAge08)-SUMIF(ThresholdAge08,"&lt;"&amp;'19_Расчет_аналитики'!N2584,WeightedMinAge08),MAX(CapacityAge08*'01_Вводные'!$B$218*'19_Расчет_аналитики'!N2584,MeanMinAge08)))</f>
        <v/>
      </c>
      <c r="O2523">
        <f>IF(OR(('19_Расчет_аналитики'!O2439-'19_Расчет_аналитики'!O2467)=0,8&lt;='01_Вводные'!$B$297),0,('19_Расчет_аналитики'!O2439-'19_Расчет_аналитики'!O2467)*IF('01_Вводные'!$B$239="Да",MeanMinAge08+'19_Расчет_аналитики'!O2584*SUMIF(ThresholdAge08,"&lt;"&amp;'19_Расчет_аналитики'!O2584,WeightedRevAge08)-SUMIF(ThresholdAge08,"&lt;"&amp;'19_Расчет_аналитики'!O2584,WeightedMinAge08),MAX(CapacityAge08*'01_Вводные'!$B$218*'19_Расчет_аналитики'!O2584,MeanMinAge08)))</f>
        <v/>
      </c>
      <c r="P2523">
        <f>IF(OR(('19_Расчет_аналитики'!P2439-'19_Расчет_аналитики'!P2467)=0,8&lt;='01_Вводные'!$B$297),0,('19_Расчет_аналитики'!P2439-'19_Расчет_аналитики'!P2467)*IF('01_Вводные'!$B$239="Да",MeanMinAge08+'19_Расчет_аналитики'!P2584*SUMIF(ThresholdAge08,"&lt;"&amp;'19_Расчет_аналитики'!P2584,WeightedRevAge08)-SUMIF(ThresholdAge08,"&lt;"&amp;'19_Расчет_аналитики'!P2584,WeightedMinAge08),MAX(CapacityAge08*'01_Вводные'!$B$218*'19_Расчет_аналитики'!P2584,MeanMinAge08)))</f>
        <v/>
      </c>
      <c r="Q2523">
        <f>IF(OR(('19_Расчет_аналитики'!Q2439-'19_Расчет_аналитики'!Q2467)=0,8&lt;='01_Вводные'!$B$297),0,('19_Расчет_аналитики'!Q2439-'19_Расчет_аналитики'!Q2467)*IF('01_Вводные'!$B$239="Да",MeanMinAge08+'19_Расчет_аналитики'!Q2584*SUMIF(ThresholdAge08,"&lt;"&amp;'19_Расчет_аналитики'!Q2584,WeightedRevAge08)-SUMIF(ThresholdAge08,"&lt;"&amp;'19_Расчет_аналитики'!Q2584,WeightedMinAge08),MAX(CapacityAge08*'01_Вводные'!$B$218*'19_Расчет_аналитики'!Q2584,MeanMinAge08)))</f>
        <v/>
      </c>
      <c r="R2523">
        <f>IF(OR(('19_Расчет_аналитики'!R2439-'19_Расчет_аналитики'!R2467)=0,8&lt;='01_Вводные'!$B$297),0,('19_Расчет_аналитики'!R2439-'19_Расчет_аналитики'!R2467)*IF('01_Вводные'!$B$239="Да",MeanMinAge08+'19_Расчет_аналитики'!R2584*SUMIF(ThresholdAge08,"&lt;"&amp;'19_Расчет_аналитики'!R2584,WeightedRevAge08)-SUMIF(ThresholdAge08,"&lt;"&amp;'19_Расчет_аналитики'!R2584,WeightedMinAge08),MAX(CapacityAge08*'01_Вводные'!$B$218*'19_Расчет_аналитики'!R2584,MeanMinAge08)))</f>
        <v/>
      </c>
      <c r="S2523">
        <f>IF(OR(('19_Расчет_аналитики'!S2439-'19_Расчет_аналитики'!S2467)=0,8&lt;='01_Вводные'!$B$297),0,('19_Расчет_аналитики'!S2439-'19_Расчет_аналитики'!S2467)*IF('01_Вводные'!$B$239="Да",MeanMinAge08+'19_Расчет_аналитики'!S2584*SUMIF(ThresholdAge08,"&lt;"&amp;'19_Расчет_аналитики'!S2584,WeightedRevAge08)-SUMIF(ThresholdAge08,"&lt;"&amp;'19_Расчет_аналитики'!S2584,WeightedMinAge08),MAX(CapacityAge08*'01_Вводные'!$B$218*'19_Расчет_аналитики'!S2584,MeanMinAge08)))</f>
        <v/>
      </c>
      <c r="T2523">
        <f>IF(OR(('19_Расчет_аналитики'!T2439-'19_Расчет_аналитики'!T2467)=0,8&lt;='01_Вводные'!$B$297),0,('19_Расчет_аналитики'!T2439-'19_Расчет_аналитики'!T2467)*IF('01_Вводные'!$B$239="Да",MeanMinAge08+'19_Расчет_аналитики'!T2584*SUMIF(ThresholdAge08,"&lt;"&amp;'19_Расчет_аналитики'!T2584,WeightedRevAge08)-SUMIF(ThresholdAge08,"&lt;"&amp;'19_Расчет_аналитики'!T2584,WeightedMinAge08),MAX(CapacityAge08*'01_Вводные'!$B$218*'19_Расчет_аналитики'!T2584,MeanMinAge08)))</f>
        <v/>
      </c>
      <c r="U2523">
        <f>IF(OR(('19_Расчет_аналитики'!U2439-'19_Расчет_аналитики'!U2467)=0,8&lt;='01_Вводные'!$B$297),0,('19_Расчет_аналитики'!U2439-'19_Расчет_аналитики'!U2467)*IF('01_Вводные'!$B$239="Да",MeanMinAge08+'19_Расчет_аналитики'!U2584*SUMIF(ThresholdAge08,"&lt;"&amp;'19_Расчет_аналитики'!U2584,WeightedRevAge08)-SUMIF(ThresholdAge08,"&lt;"&amp;'19_Расчет_аналитики'!U2584,WeightedMinAge08),MAX(CapacityAge08*'01_Вводные'!$B$218*'19_Расчет_аналитики'!U2584,MeanMinAge08)))</f>
        <v/>
      </c>
      <c r="V2523">
        <f>IF(OR(('19_Расчет_аналитики'!V2439-'19_Расчет_аналитики'!V2467)=0,8&lt;='01_Вводные'!$B$297),0,('19_Расчет_аналитики'!V2439-'19_Расчет_аналитики'!V2467)*IF('01_Вводные'!$B$239="Да",MeanMinAge08+'19_Расчет_аналитики'!V2584*SUMIF(ThresholdAge08,"&lt;"&amp;'19_Расчет_аналитики'!V2584,WeightedRevAge08)-SUMIF(ThresholdAge08,"&lt;"&amp;'19_Расчет_аналитики'!V2584,WeightedMinAge08),MAX(CapacityAge08*'01_Вводные'!$B$218*'19_Расчет_аналитики'!V2584,MeanMinAge08)))</f>
        <v/>
      </c>
      <c r="W2523">
        <f>IF(OR(('19_Расчет_аналитики'!W2439-'19_Расчет_аналитики'!W2467)=0,8&lt;='01_Вводные'!$B$297),0,('19_Расчет_аналитики'!W2439-'19_Расчет_аналитики'!W2467)*IF('01_Вводные'!$B$239="Да",MeanMinAge08+'19_Расчет_аналитики'!W2584*SUMIF(ThresholdAge08,"&lt;"&amp;'19_Расчет_аналитики'!W2584,WeightedRevAge08)-SUMIF(ThresholdAge08,"&lt;"&amp;'19_Расчет_аналитики'!W2584,WeightedMinAge08),MAX(CapacityAge08*'01_Вводные'!$B$218*'19_Расчет_аналитики'!W2584,MeanMinAge08)))</f>
        <v/>
      </c>
      <c r="X2523">
        <f>IF(OR(('19_Расчет_аналитики'!X2439-'19_Расчет_аналитики'!X2467)=0,8&lt;='01_Вводные'!$B$297),0,('19_Расчет_аналитики'!X2439-'19_Расчет_аналитики'!X2467)*IF('01_Вводные'!$B$239="Да",MeanMinAge08+'19_Расчет_аналитики'!X2584*SUMIF(ThresholdAge08,"&lt;"&amp;'19_Расчет_аналитики'!X2584,WeightedRevAge08)-SUMIF(ThresholdAge08,"&lt;"&amp;'19_Расчет_аналитики'!X2584,WeightedMinAge08),MAX(CapacityAge08*'01_Вводные'!$B$218*'19_Расчет_аналитики'!X2584,MeanMinAge08)))</f>
        <v/>
      </c>
      <c r="Y2523">
        <f>IF(OR(('19_Расчет_аналитики'!Y2439-'19_Расчет_аналитики'!Y2467)=0,8&lt;='01_Вводные'!$B$297),0,('19_Расчет_аналитики'!Y2439-'19_Расчет_аналитики'!Y2467)*IF('01_Вводные'!$B$239="Да",MeanMinAge08+'19_Расчет_аналитики'!Y2584*SUMIF(ThresholdAge08,"&lt;"&amp;'19_Расчет_аналитики'!Y2584,WeightedRevAge08)-SUMIF(ThresholdAge08,"&lt;"&amp;'19_Расчет_аналитики'!Y2584,WeightedMinAge08),MAX(CapacityAge08*'01_Вводные'!$B$218*'19_Расчет_аналитики'!Y2584,MeanMinAge08)))</f>
        <v/>
      </c>
      <c r="Z2523">
        <f>IF(OR(('19_Расчет_аналитики'!Z2439-'19_Расчет_аналитики'!Z2467)=0,8&lt;='01_Вводные'!$B$297),0,('19_Расчет_аналитики'!Z2439-'19_Расчет_аналитики'!Z2467)*IF('01_Вводные'!$B$239="Да",MeanMinAge08+'19_Расчет_аналитики'!Z2584*SUMIF(ThresholdAge08,"&lt;"&amp;'19_Расчет_аналитики'!Z2584,WeightedRevAge08)-SUMIF(ThresholdAge08,"&lt;"&amp;'19_Расчет_аналитики'!Z2584,WeightedMinAge08),MAX(CapacityAge08*'01_Вводные'!$B$218*'19_Расчет_аналитики'!Z2584,MeanMinAge08)))</f>
        <v/>
      </c>
      <c r="AA2523">
        <f>IF(OR(('19_Расчет_аналитики'!AA2439-'19_Расчет_аналитики'!AA2467)=0,8&lt;='01_Вводные'!$B$297),0,('19_Расчет_аналитики'!AA2439-'19_Расчет_аналитики'!AA2467)*IF('01_Вводные'!$B$239="Да",MeanMinAge08+'19_Расчет_аналитики'!AA2584*SUMIF(ThresholdAge08,"&lt;"&amp;'19_Расчет_аналитики'!AA2584,WeightedRevAge08)-SUMIF(ThresholdAge08,"&lt;"&amp;'19_Расчет_аналитики'!AA2584,WeightedMinAge08),MAX(CapacityAge08*'01_Вводные'!$B$218*'19_Расчет_аналитики'!AA2584,MeanMinAge08)))</f>
        <v/>
      </c>
      <c r="AB2523">
        <f>IF(OR(('19_Расчет_аналитики'!AB2439-'19_Расчет_аналитики'!AB2467)=0,8&lt;='01_Вводные'!$B$297),0,('19_Расчет_аналитики'!AB2439-'19_Расчет_аналитики'!AB2467)*IF('01_Вводные'!$B$239="Да",MeanMinAge08+'19_Расчет_аналитики'!AB2584*SUMIF(ThresholdAge08,"&lt;"&amp;'19_Расчет_аналитики'!AB2584,WeightedRevAge08)-SUMIF(ThresholdAge08,"&lt;"&amp;'19_Расчет_аналитики'!AB2584,WeightedMinAge08),MAX(CapacityAge08*'01_Вводные'!$B$218*'19_Расчет_аналитики'!AB2584,MeanMinAge08)))</f>
        <v/>
      </c>
      <c r="AC2523">
        <f>IF(OR(('19_Расчет_аналитики'!AC2439-'19_Расчет_аналитики'!AC2467)=0,8&lt;='01_Вводные'!$B$297),0,('19_Расчет_аналитики'!AC2439-'19_Расчет_аналитики'!AC2467)*IF('01_Вводные'!$B$239="Да",MeanMinAge08+'19_Расчет_аналитики'!AC2584*SUMIF(ThresholdAge08,"&lt;"&amp;'19_Расчет_аналитики'!AC2584,WeightedRevAge08)-SUMIF(ThresholdAge08,"&lt;"&amp;'19_Расчет_аналитики'!AC2584,WeightedMinAge08),MAX(CapacityAge08*'01_Вводные'!$B$218*'19_Расчет_аналитики'!AC2584,MeanMinAge08)))</f>
        <v/>
      </c>
      <c r="AD2523">
        <f>IF(OR(('19_Расчет_аналитики'!AD2439-'19_Расчет_аналитики'!AD2467)=0,8&lt;='01_Вводные'!$B$297),0,('19_Расчет_аналитики'!AD2439-'19_Расчет_аналитики'!AD2467)*IF('01_Вводные'!$B$239="Да",MeanMinAge08+'19_Расчет_аналитики'!AD2584*SUMIF(ThresholdAge08,"&lt;"&amp;'19_Расчет_аналитики'!AD2584,WeightedRevAge08)-SUMIF(ThresholdAge08,"&lt;"&amp;'19_Расчет_аналитики'!AD2584,WeightedMinAge08),MAX(CapacityAge08*'01_Вводные'!$B$218*'19_Расчет_аналитики'!AD2584,MeanMinAge08)))</f>
        <v/>
      </c>
      <c r="AE2523">
        <f>IF(OR(('19_Расчет_аналитики'!AE2439-'19_Расчет_аналитики'!AE2467)=0,8&lt;='01_Вводные'!$B$297),0,('19_Расчет_аналитики'!AE2439-'19_Расчет_аналитики'!AE2467)*IF('01_Вводные'!$B$239="Да",MeanMinAge08+'19_Расчет_аналитики'!AE2584*SUMIF(ThresholdAge08,"&lt;"&amp;'19_Расчет_аналитики'!AE2584,WeightedRevAge08)-SUMIF(ThresholdAge08,"&lt;"&amp;'19_Расчет_аналитики'!AE2584,WeightedMinAge08),MAX(CapacityAge08*'01_Вводные'!$B$218*'19_Расчет_аналитики'!AE2584,MeanMinAge08)))</f>
        <v/>
      </c>
      <c r="AF2523">
        <f>IF(OR(('19_Расчет_аналитики'!AF2439-'19_Расчет_аналитики'!AF2467)=0,8&lt;='01_Вводные'!$B$297),0,('19_Расчет_аналитики'!AF2439-'19_Расчет_аналитики'!AF2467)*IF('01_Вводные'!$B$239="Да",MeanMinAge08+'19_Расчет_аналитики'!AF2584*SUMIF(ThresholdAge08,"&lt;"&amp;'19_Расчет_аналитики'!AF2584,WeightedRevAge08)-SUMIF(ThresholdAge08,"&lt;"&amp;'19_Расчет_аналитики'!AF2584,WeightedMinAge08),MAX(CapacityAge08*'01_Вводные'!$B$218*'19_Расчет_аналитики'!AF2584,MeanMinAge08)))</f>
        <v/>
      </c>
      <c r="AG2523">
        <f>IF(OR(('19_Расчет_аналитики'!AG2439-'19_Расчет_аналитики'!AG2467)=0,8&lt;='01_Вводные'!$B$297),0,('19_Расчет_аналитики'!AG2439-'19_Расчет_аналитики'!AG2467)*IF('01_Вводные'!$B$239="Да",MeanMinAge08+'19_Расчет_аналитики'!AG2584*SUMIF(ThresholdAge08,"&lt;"&amp;'19_Расчет_аналитики'!AG2584,WeightedRevAge08)-SUMIF(ThresholdAge08,"&lt;"&amp;'19_Расчет_аналитики'!AG2584,WeightedMinAge08),MAX(CapacityAge08*'01_Вводные'!$B$218*'19_Расчет_аналитики'!AG2584,MeanMinAge08)))</f>
        <v/>
      </c>
      <c r="AH2523">
        <f>IF(OR(('19_Расчет_аналитики'!AH2439-'19_Расчет_аналитики'!AH2467)=0,8&lt;='01_Вводные'!$B$297),0,('19_Расчет_аналитики'!AH2439-'19_Расчет_аналитики'!AH2467)*IF('01_Вводные'!$B$239="Да",MeanMinAge08+'19_Расчет_аналитики'!AH2584*SUMIF(ThresholdAge08,"&lt;"&amp;'19_Расчет_аналитики'!AH2584,WeightedRevAge08)-SUMIF(ThresholdAge08,"&lt;"&amp;'19_Расчет_аналитики'!AH2584,WeightedMinAge08),MAX(CapacityAge08*'01_Вводные'!$B$218*'19_Расчет_аналитики'!AH2584,MeanMinAge08)))</f>
        <v/>
      </c>
      <c r="AI2523">
        <f>IF(OR(('19_Расчет_аналитики'!AI2439-'19_Расчет_аналитики'!AI2467)=0,8&lt;='01_Вводные'!$B$297),0,('19_Расчет_аналитики'!AI2439-'19_Расчет_аналитики'!AI2467)*IF('01_Вводные'!$B$239="Да",MeanMinAge08+'19_Расчет_аналитики'!AI2584*SUMIF(ThresholdAge08,"&lt;"&amp;'19_Расчет_аналитики'!AI2584,WeightedRevAge08)-SUMIF(ThresholdAge08,"&lt;"&amp;'19_Расчет_аналитики'!AI2584,WeightedMinAge08),MAX(CapacityAge08*'01_Вводные'!$B$218*'19_Расчет_аналитики'!AI2584,MeanMinAge08)))</f>
        <v/>
      </c>
      <c r="AJ2523">
        <f>IF(OR(('19_Расчет_аналитики'!AJ2439-'19_Расчет_аналитики'!AJ2467)=0,8&lt;='01_Вводные'!$B$297),0,('19_Расчет_аналитики'!AJ2439-'19_Расчет_аналитики'!AJ2467)*IF('01_Вводные'!$B$239="Да",MeanMinAge08+'19_Расчет_аналитики'!AJ2584*SUMIF(ThresholdAge08,"&lt;"&amp;'19_Расчет_аналитики'!AJ2584,WeightedRevAge08)-SUMIF(ThresholdAge08,"&lt;"&amp;'19_Расчет_аналитики'!AJ2584,WeightedMinAge08),MAX(CapacityAge08*'01_Вводные'!$B$218*'19_Расчет_аналитики'!AJ2584,MeanMinAge08)))</f>
        <v/>
      </c>
      <c r="AK2523">
        <f>IF(OR(('19_Расчет_аналитики'!AK2439-'19_Расчет_аналитики'!AK2467)=0,8&lt;='01_Вводные'!$B$297),0,('19_Расчет_аналитики'!AK2439-'19_Расчет_аналитики'!AK2467)*IF('01_Вводные'!$B$239="Да",MeanMinAge08+'19_Расчет_аналитики'!AK2584*SUMIF(ThresholdAge08,"&lt;"&amp;'19_Расчет_аналитики'!AK2584,WeightedRevAge08)-SUMIF(ThresholdAge08,"&lt;"&amp;'19_Расчет_аналитики'!AK2584,WeightedMinAge08),MAX(CapacityAge08*'01_Вводные'!$B$218*'19_Расчет_аналитики'!AK2584,MeanMinAge08)))</f>
        <v/>
      </c>
      <c r="AL2523">
        <f>IF(OR(('19_Расчет_аналитики'!AL2439-'19_Расчет_аналитики'!AL2467)=0,8&lt;='01_Вводные'!$B$297),0,('19_Расчет_аналитики'!AL2439-'19_Расчет_аналитики'!AL2467)*IF('01_Вводные'!$B$239="Да",MeanMinAge08+'19_Расчет_аналитики'!AL2584*SUMIF(ThresholdAge08,"&lt;"&amp;'19_Расчет_аналитики'!AL2584,WeightedRevAge08)-SUMIF(ThresholdAge08,"&lt;"&amp;'19_Расчет_аналитики'!AL2584,WeightedMinAge08),MAX(CapacityAge08*'01_Вводные'!$B$218*'19_Расчет_аналитики'!AL2584,MeanMinAge08)))</f>
        <v/>
      </c>
      <c r="AM2523">
        <f>IF(OR(('19_Расчет_аналитики'!AM2439-'19_Расчет_аналитики'!AM2467)=0,8&lt;='01_Вводные'!$B$297),0,('19_Расчет_аналитики'!AM2439-'19_Расчет_аналитики'!AM2467)*IF('01_Вводные'!$B$239="Да",MeanMinAge08+'19_Расчет_аналитики'!AM2584*SUMIF(ThresholdAge08,"&lt;"&amp;'19_Расчет_аналитики'!AM2584,WeightedRevAge08)-SUMIF(ThresholdAge08,"&lt;"&amp;'19_Расчет_аналитики'!AM2584,WeightedMinAge08),MAX(CapacityAge08*'01_Вводные'!$B$218*'19_Расчет_аналитики'!AM2584,MeanMinAge08)))</f>
        <v/>
      </c>
      <c r="AN2523">
        <f>IF(OR(('19_Расчет_аналитики'!AN2439-'19_Расчет_аналитики'!AN2467)=0,8&lt;='01_Вводные'!$B$297),0,('19_Расчет_аналитики'!AN2439-'19_Расчет_аналитики'!AN2467)*IF('01_Вводные'!$B$239="Да",MeanMinAge08+'19_Расчет_аналитики'!AN2584*SUMIF(ThresholdAge08,"&lt;"&amp;'19_Расчет_аналитики'!AN2584,WeightedRevAge08)-SUMIF(ThresholdAge08,"&lt;"&amp;'19_Расчет_аналитики'!AN2584,WeightedMinAge08),MAX(CapacityAge08*'01_Вводные'!$B$218*'19_Расчет_аналитики'!AN2584,MeanMinAge08)))</f>
        <v/>
      </c>
      <c r="AO2523">
        <f>IF(OR(('19_Расчет_аналитики'!AO2439-'19_Расчет_аналитики'!AO2467)=0,8&lt;='01_Вводные'!$B$297),0,('19_Расчет_аналитики'!AO2439-'19_Расчет_аналитики'!AO2467)*IF('01_Вводные'!$B$239="Да",MeanMinAge08+'19_Расчет_аналитики'!AO2584*SUMIF(ThresholdAge08,"&lt;"&amp;'19_Расчет_аналитики'!AO2584,WeightedRevAge08)-SUMIF(ThresholdAge08,"&lt;"&amp;'19_Расчет_аналитики'!AO2584,WeightedMinAge08),MAX(CapacityAge08*'01_Вводные'!$B$218*'19_Расчет_аналитики'!AO2584,MeanMinAge08)))</f>
        <v/>
      </c>
      <c r="AP2523">
        <f>IF(OR(('19_Расчет_аналитики'!AP2439-'19_Расчет_аналитики'!AP2467)=0,8&lt;='01_Вводные'!$B$297),0,('19_Расчет_аналитики'!AP2439-'19_Расчет_аналитики'!AP2467)*IF('01_Вводные'!$B$239="Да",MeanMinAge08+'19_Расчет_аналитики'!AP2584*SUMIF(ThresholdAge08,"&lt;"&amp;'19_Расчет_аналитики'!AP2584,WeightedRevAge08)-SUMIF(ThresholdAge08,"&lt;"&amp;'19_Расчет_аналитики'!AP2584,WeightedMinAge08),MAX(CapacityAge08*'01_Вводные'!$B$218*'19_Расчет_аналитики'!AP2584,MeanMinAge08)))</f>
        <v/>
      </c>
      <c r="AQ2523">
        <f>IF(OR(('19_Расчет_аналитики'!AQ2439-'19_Расчет_аналитики'!AQ2467)=0,8&lt;='01_Вводные'!$B$297),0,('19_Расчет_аналитики'!AQ2439-'19_Расчет_аналитики'!AQ2467)*IF('01_Вводные'!$B$239="Да",MeanMinAge08+'19_Расчет_аналитики'!AQ2584*SUMIF(ThresholdAge08,"&lt;"&amp;'19_Расчет_аналитики'!AQ2584,WeightedRevAge08)-SUMIF(ThresholdAge08,"&lt;"&amp;'19_Расчет_аналитики'!AQ2584,WeightedMinAge08),MAX(CapacityAge08*'01_Вводные'!$B$218*'19_Расчет_аналитики'!AQ2584,MeanMinAge08)))</f>
        <v/>
      </c>
      <c r="AR2523">
        <f>IF(OR(('19_Расчет_аналитики'!AR2439-'19_Расчет_аналитики'!AR2467)=0,8&lt;='01_Вводные'!$B$297),0,('19_Расчет_аналитики'!AR2439-'19_Расчет_аналитики'!AR2467)*IF('01_Вводные'!$B$239="Да",MeanMinAge08+'19_Расчет_аналитики'!AR2584*SUMIF(ThresholdAge08,"&lt;"&amp;'19_Расчет_аналитики'!AR2584,WeightedRevAge08)-SUMIF(ThresholdAge08,"&lt;"&amp;'19_Расчет_аналитики'!AR2584,WeightedMinAge08),MAX(CapacityAge08*'01_Вводные'!$B$218*'19_Расчет_аналитики'!AR2584,MeanMinAge08)))</f>
        <v/>
      </c>
      <c r="AS2523">
        <f>IF(OR(('19_Расчет_аналитики'!AS2439-'19_Расчет_аналитики'!AS2467)=0,8&lt;='01_Вводные'!$B$297),0,('19_Расчет_аналитики'!AS2439-'19_Расчет_аналитики'!AS2467)*IF('01_Вводные'!$B$239="Да",MeanMinAge08+'19_Расчет_аналитики'!AS2584*SUMIF(ThresholdAge08,"&lt;"&amp;'19_Расчет_аналитики'!AS2584,WeightedRevAge08)-SUMIF(ThresholdAge08,"&lt;"&amp;'19_Расчет_аналитики'!AS2584,WeightedMinAge08),MAX(CapacityAge08*'01_Вводные'!$B$218*'19_Расчет_аналитики'!AS2584,MeanMinAge08)))</f>
        <v/>
      </c>
      <c r="AT2523">
        <f>IF(OR(('19_Расчет_аналитики'!AT2439-'19_Расчет_аналитики'!AT2467)=0,8&lt;='01_Вводные'!$B$297),0,('19_Расчет_аналитики'!AT2439-'19_Расчет_аналитики'!AT2467)*IF('01_Вводные'!$B$239="Да",MeanMinAge08+'19_Расчет_аналитики'!AT2584*SUMIF(ThresholdAge08,"&lt;"&amp;'19_Расчет_аналитики'!AT2584,WeightedRevAge08)-SUMIF(ThresholdAge08,"&lt;"&amp;'19_Расчет_аналитики'!AT2584,WeightedMinAge08),MAX(CapacityAge08*'01_Вводные'!$B$218*'19_Расчет_аналитики'!AT2584,MeanMinAge08)))</f>
        <v/>
      </c>
      <c r="AU2523">
        <f>IF(OR(('19_Расчет_аналитики'!AU2439-'19_Расчет_аналитики'!AU2467)=0,8&lt;='01_Вводные'!$B$297),0,('19_Расчет_аналитики'!AU2439-'19_Расчет_аналитики'!AU2467)*IF('01_Вводные'!$B$239="Да",MeanMinAge08+'19_Расчет_аналитики'!AU2584*SUMIF(ThresholdAge08,"&lt;"&amp;'19_Расчет_аналитики'!AU2584,WeightedRevAge08)-SUMIF(ThresholdAge08,"&lt;"&amp;'19_Расчет_аналитики'!AU2584,WeightedMinAge08),MAX(CapacityAge08*'01_Вводные'!$B$218*'19_Расчет_аналитики'!AU2584,MeanMinAge08)))</f>
        <v/>
      </c>
      <c r="AV2523">
        <f>IF(OR(('19_Расчет_аналитики'!AV2439-'19_Расчет_аналитики'!AV2467)=0,8&lt;='01_Вводные'!$B$297),0,('19_Расчет_аналитики'!AV2439-'19_Расчет_аналитики'!AV2467)*IF('01_Вводные'!$B$239="Да",MeanMinAge08+'19_Расчет_аналитики'!AV2584*SUMIF(ThresholdAge08,"&lt;"&amp;'19_Расчет_аналитики'!AV2584,WeightedRevAge08)-SUMIF(ThresholdAge08,"&lt;"&amp;'19_Расчет_аналитики'!AV2584,WeightedMinAge08),MAX(CapacityAge08*'01_Вводные'!$B$218*'19_Расчет_аналитики'!AV2584,MeanMinAge08)))</f>
        <v/>
      </c>
      <c r="AW2523">
        <f>IF(OR(('19_Расчет_аналитики'!AW2439-'19_Расчет_аналитики'!AW2467)=0,8&lt;='01_Вводные'!$B$297),0,('19_Расчет_аналитики'!AW2439-'19_Расчет_аналитики'!AW2467)*IF('01_Вводные'!$B$239="Да",MeanMinAge08+'19_Расчет_аналитики'!AW2584*SUMIF(ThresholdAge08,"&lt;"&amp;'19_Расчет_аналитики'!AW2584,WeightedRevAge08)-SUMIF(ThresholdAge08,"&lt;"&amp;'19_Расчет_аналитики'!AW2584,WeightedMinAge08),MAX(CapacityAge08*'01_Вводные'!$B$218*'19_Расчет_аналитики'!AW2584,MeanMinAge08)))</f>
        <v/>
      </c>
      <c r="AX2523">
        <f>IF(OR(('19_Расчет_аналитики'!AX2439-'19_Расчет_аналитики'!AX2467)=0,8&lt;='01_Вводные'!$B$297),0,('19_Расчет_аналитики'!AX2439-'19_Расчет_аналитики'!AX2467)*IF('01_Вводные'!$B$239="Да",MeanMinAge08+'19_Расчет_аналитики'!AX2584*SUMIF(ThresholdAge08,"&lt;"&amp;'19_Расчет_аналитики'!AX2584,WeightedRevAge08)-SUMIF(ThresholdAge08,"&lt;"&amp;'19_Расчет_аналитики'!AX2584,WeightedMinAge08),MAX(CapacityAge08*'01_Вводные'!$B$218*'19_Расчет_аналитики'!AX2584,MeanMinAge08)))</f>
        <v/>
      </c>
      <c r="AY2523">
        <f>IF(OR(('19_Расчет_аналитики'!AY2439-'19_Расчет_аналитики'!AY2467)=0,8&lt;='01_Вводные'!$B$297),0,('19_Расчет_аналитики'!AY2439-'19_Расчет_аналитики'!AY2467)*IF('01_Вводные'!$B$239="Да",MeanMinAge08+'19_Расчет_аналитики'!AY2584*SUMIF(ThresholdAge08,"&lt;"&amp;'19_Расчет_аналитики'!AY2584,WeightedRevAge08)-SUMIF(ThresholdAge08,"&lt;"&amp;'19_Расчет_аналитики'!AY2584,WeightedMinAge08),MAX(CapacityAge08*'01_Вводные'!$B$218*'19_Расчет_аналитики'!AY2584,MeanMinAge08)))</f>
        <v/>
      </c>
      <c r="AZ2523">
        <f>IF(OR(('19_Расчет_аналитики'!AZ2439-'19_Расчет_аналитики'!AZ2467)=0,8&lt;='01_Вводные'!$B$297),0,('19_Расчет_аналитики'!AZ2439-'19_Расчет_аналитики'!AZ2467)*IF('01_Вводные'!$B$239="Да",MeanMinAge08+'19_Расчет_аналитики'!AZ2584*SUMIF(ThresholdAge08,"&lt;"&amp;'19_Расчет_аналитики'!AZ2584,WeightedRevAge08)-SUMIF(ThresholdAge08,"&lt;"&amp;'19_Расчет_аналитики'!AZ2584,WeightedMinAge08),MAX(CapacityAge08*'01_Вводные'!$B$218*'19_Расчет_аналитики'!AZ2584,MeanMinAge08)))</f>
        <v/>
      </c>
      <c r="BA2523">
        <f>IF(OR(('19_Расчет_аналитики'!BA2439-'19_Расчет_аналитики'!BA2467)=0,8&lt;='01_Вводные'!$B$297),0,('19_Расчет_аналитики'!BA2439-'19_Расчет_аналитики'!BA2467)*IF('01_Вводные'!$B$239="Да",MeanMinAge08+'19_Расчет_аналитики'!BA2584*SUMIF(ThresholdAge08,"&lt;"&amp;'19_Расчет_аналитики'!BA2584,WeightedRevAge08)-SUMIF(ThresholdAge08,"&lt;"&amp;'19_Расчет_аналитики'!BA2584,WeightedMinAge08),MAX(CapacityAge08*'01_Вводные'!$B$218*'19_Расчет_аналитики'!BA2584,MeanMinAge08)))</f>
        <v/>
      </c>
      <c r="BB2523">
        <f>IF(OR(('19_Расчет_аналитики'!BB2439-'19_Расчет_аналитики'!BB2467)=0,8&lt;='01_Вводные'!$B$297),0,('19_Расчет_аналитики'!BB2439-'19_Расчет_аналитики'!BB2467)*IF('01_Вводные'!$B$239="Да",MeanMinAge08+'19_Расчет_аналитики'!BB2584*SUMIF(ThresholdAge08,"&lt;"&amp;'19_Расчет_аналитики'!BB2584,WeightedRevAge08)-SUMIF(ThresholdAge08,"&lt;"&amp;'19_Расчет_аналитики'!BB2584,WeightedMinAge08),MAX(CapacityAge08*'01_Вводные'!$B$218*'19_Расчет_аналитики'!BB2584,MeanMinAge08)))</f>
        <v/>
      </c>
      <c r="BC2523">
        <f>IF(OR(('19_Расчет_аналитики'!BC2439-'19_Расчет_аналитики'!BC2467)=0,8&lt;='01_Вводные'!$B$297),0,('19_Расчет_аналитики'!BC2439-'19_Расчет_аналитики'!BC2467)*IF('01_Вводные'!$B$239="Да",MeanMinAge08+'19_Расчет_аналитики'!BC2584*SUMIF(ThresholdAge08,"&lt;"&amp;'19_Расчет_аналитики'!BC2584,WeightedRevAge08)-SUMIF(ThresholdAge08,"&lt;"&amp;'19_Расчет_аналитики'!BC2584,WeightedMinAge08),MAX(CapacityAge08*'01_Вводные'!$B$218*'19_Расчет_аналитики'!BC2584,MeanMinAge08)))</f>
        <v/>
      </c>
      <c r="BD2523">
        <f>IF(OR(('19_Расчет_аналитики'!BD2439-'19_Расчет_аналитики'!BD2467)=0,8&lt;='01_Вводные'!$B$297),0,('19_Расчет_аналитики'!BD2439-'19_Расчет_аналитики'!BD2467)*IF('01_Вводные'!$B$239="Да",MeanMinAge08+'19_Расчет_аналитики'!BD2584*SUMIF(ThresholdAge08,"&lt;"&amp;'19_Расчет_аналитики'!BD2584,WeightedRevAge08)-SUMIF(ThresholdAge08,"&lt;"&amp;'19_Расчет_аналитики'!BD2584,WeightedMinAge08),MAX(CapacityAge08*'01_Вводные'!$B$218*'19_Расчет_аналитики'!BD2584,MeanMinAge08)))</f>
        <v/>
      </c>
      <c r="BE2523">
        <f>IF(OR(('19_Расчет_аналитики'!BE2439-'19_Расчет_аналитики'!BE2467)=0,8&lt;='01_Вводные'!$B$297),0,('19_Расчет_аналитики'!BE2439-'19_Расчет_аналитики'!BE2467)*IF('01_Вводные'!$B$239="Да",MeanMinAge08+'19_Расчет_аналитики'!BE2584*SUMIF(ThresholdAge08,"&lt;"&amp;'19_Расчет_аналитики'!BE2584,WeightedRevAge08)-SUMIF(ThresholdAge08,"&lt;"&amp;'19_Расчет_аналитики'!BE2584,WeightedMinAge08),MAX(CapacityAge08*'01_Вводные'!$B$218*'19_Расчет_аналитики'!BE2584,MeanMinAge08)))</f>
        <v/>
      </c>
      <c r="BF2523">
        <f>IF(OR(('19_Расчет_аналитики'!BF2439-'19_Расчет_аналитики'!BF2467)=0,8&lt;='01_Вводные'!$B$297),0,('19_Расчет_аналитики'!BF2439-'19_Расчет_аналитики'!BF2467)*IF('01_Вводные'!$B$239="Да",MeanMinAge08+'19_Расчет_аналитики'!BF2584*SUMIF(ThresholdAge08,"&lt;"&amp;'19_Расчет_аналитики'!BF2584,WeightedRevAge08)-SUMIF(ThresholdAge08,"&lt;"&amp;'19_Расчет_аналитики'!BF2584,WeightedMinAge08),MAX(CapacityAge08*'01_Вводные'!$B$218*'19_Расчет_аналитики'!BF2584,MeanMinAge08)))</f>
        <v/>
      </c>
      <c r="BG2523">
        <f>IF(OR(('19_Расчет_аналитики'!BG2439-'19_Расчет_аналитики'!BG2467)=0,8&lt;='01_Вводные'!$B$297),0,('19_Расчет_аналитики'!BG2439-'19_Расчет_аналитики'!BG2467)*IF('01_Вводные'!$B$239="Да",MeanMinAge08+'19_Расчет_аналитики'!BG2584*SUMIF(ThresholdAge08,"&lt;"&amp;'19_Расчет_аналитики'!BG2584,WeightedRevAge08)-SUMIF(ThresholdAge08,"&lt;"&amp;'19_Расчет_аналитики'!BG2584,WeightedMinAge08),MAX(CapacityAge08*'01_Вводные'!$B$218*'19_Расчет_аналитики'!BG2584,MeanMinAge08)))</f>
        <v/>
      </c>
      <c r="BH2523">
        <f>IF(OR(('19_Расчет_аналитики'!BH2439-'19_Расчет_аналитики'!BH2467)=0,8&lt;='01_Вводные'!$B$297),0,('19_Расчет_аналитики'!BH2439-'19_Расчет_аналитики'!BH2467)*IF('01_Вводные'!$B$239="Да",MeanMinAge08+'19_Расчет_аналитики'!BH2584*SUMIF(ThresholdAge08,"&lt;"&amp;'19_Расчет_аналитики'!BH2584,WeightedRevAge08)-SUMIF(ThresholdAge08,"&lt;"&amp;'19_Расчет_аналитики'!BH2584,WeightedMinAge08),MAX(CapacityAge08*'01_Вводные'!$B$218*'19_Расчет_аналитики'!BH2584,MeanMinAge08)))</f>
        <v/>
      </c>
      <c r="BI2523">
        <f>IF(OR(('19_Расчет_аналитики'!BI2439-'19_Расчет_аналитики'!BI2467)=0,8&lt;='01_Вводные'!$B$297),0,('19_Расчет_аналитики'!BI2439-'19_Расчет_аналитики'!BI2467)*IF('01_Вводные'!$B$239="Да",MeanMinAge08+'19_Расчет_аналитики'!BI2584*SUMIF(ThresholdAge08,"&lt;"&amp;'19_Расчет_аналитики'!BI2584,WeightedRevAge08)-SUMIF(ThresholdAge08,"&lt;"&amp;'19_Расчет_аналитики'!BI2584,WeightedMinAge08),MAX(CapacityAge08*'01_Вводные'!$B$218*'19_Расчет_аналитики'!BI2584,MeanMinAge08)))</f>
        <v/>
      </c>
      <c r="BJ2523">
        <f>IF(OR(('19_Расчет_аналитики'!BJ2439-'19_Расчет_аналитики'!BJ2467)=0,8&lt;='01_Вводные'!$B$297),0,('19_Расчет_аналитики'!BJ2439-'19_Расчет_аналитики'!BJ2467)*IF('01_Вводные'!$B$239="Да",MeanMinAge08+'19_Расчет_аналитики'!BJ2584*SUMIF(ThresholdAge08,"&lt;"&amp;'19_Расчет_аналитики'!BJ2584,WeightedRevAge08)-SUMIF(ThresholdAge08,"&lt;"&amp;'19_Расчет_аналитики'!BJ2584,WeightedMinAge08),MAX(CapacityAge08*'01_Вводные'!$B$218*'19_Расчет_аналитики'!BJ2584,MeanMinAge08)))</f>
        <v/>
      </c>
      <c r="BK2523">
        <f>IF(OR(('19_Расчет_аналитики'!BK2439-'19_Расчет_аналитики'!BK2467)=0,8&lt;='01_Вводные'!$B$297),0,('19_Расчет_аналитики'!BK2439-'19_Расчет_аналитики'!BK2467)*IF('01_Вводные'!$B$239="Да",MeanMinAge08+'19_Расчет_аналитики'!BK2584*SUMIF(ThresholdAge08,"&lt;"&amp;'19_Расчет_аналитики'!BK2584,WeightedRevAge08)-SUMIF(ThresholdAge08,"&lt;"&amp;'19_Расчет_аналитики'!BK2584,WeightedMinAge08),MAX(CapacityAge08*'01_Вводные'!$B$218*'19_Расчет_аналитики'!BK2584,MeanMinAge08)))</f>
        <v/>
      </c>
      <c r="BL2523">
        <f>IF(OR(('19_Расчет_аналитики'!BL2439-'19_Расчет_аналитики'!BL2467)=0,8&lt;='01_Вводные'!$B$297),0,('19_Расчет_аналитики'!BL2439-'19_Расчет_аналитики'!BL2467)*IF('01_Вводные'!$B$239="Да",MeanMinAge08+'19_Расчет_аналитики'!BL2584*SUMIF(ThresholdAge08,"&lt;"&amp;'19_Расчет_аналитики'!BL2584,WeightedRevAge08)-SUMIF(ThresholdAge08,"&lt;"&amp;'19_Расчет_аналитики'!BL2584,WeightedMinAge08),MAX(CapacityAge08*'01_Вводные'!$B$218*'19_Расчет_аналитики'!BL2584,MeanMinAge08)))</f>
        <v/>
      </c>
      <c r="BM2523">
        <f>IF(OR(('19_Расчет_аналитики'!BM2439-'19_Расчет_аналитики'!BM2467)=0,8&lt;='01_Вводные'!$B$297),0,('19_Расчет_аналитики'!BM2439-'19_Расчет_аналитики'!BM2467)*IF('01_Вводные'!$B$239="Да",MeanMinAge08+'19_Расчет_аналитики'!BM2584*SUMIF(ThresholdAge08,"&lt;"&amp;'19_Расчет_аналитики'!BM2584,WeightedRevAge08)-SUMIF(ThresholdAge08,"&lt;"&amp;'19_Расчет_аналитики'!BM2584,WeightedMinAge08),MAX(CapacityAge08*'01_Вводные'!$B$218*'19_Расчет_аналитики'!BM2584,MeanMinAge08)))</f>
        <v/>
      </c>
      <c r="BN2523">
        <f>IF(OR(('19_Расчет_аналитики'!BN2439-'19_Расчет_аналитики'!BN2467)=0,8&lt;='01_Вводные'!$B$297),0,('19_Расчет_аналитики'!BN2439-'19_Расчет_аналитики'!BN2467)*IF('01_Вводные'!$B$239="Да",MeanMinAge08+'19_Расчет_аналитики'!BN2584*SUMIF(ThresholdAge08,"&lt;"&amp;'19_Расчет_аналитики'!BN2584,WeightedRevAge08)-SUMIF(ThresholdAge08,"&lt;"&amp;'19_Расчет_аналитики'!BN2584,WeightedMinAge08),MAX(CapacityAge08*'01_Вводные'!$B$218*'19_Расчет_аналитики'!BN2584,MeanMinAge08)))</f>
        <v/>
      </c>
      <c r="BO2523">
        <f>IF(OR(('19_Расчет_аналитики'!BO2439-'19_Расчет_аналитики'!BO2467)=0,8&lt;='01_Вводные'!$B$297),0,('19_Расчет_аналитики'!BO2439-'19_Расчет_аналитики'!BO2467)*IF('01_Вводные'!$B$239="Да",MeanMinAge08+'19_Расчет_аналитики'!BO2584*SUMIF(ThresholdAge08,"&lt;"&amp;'19_Расчет_аналитики'!BO2584,WeightedRevAge08)-SUMIF(ThresholdAge08,"&lt;"&amp;'19_Расчет_аналитики'!BO2584,WeightedMinAge08),MAX(CapacityAge08*'01_Вводные'!$B$218*'19_Расчет_аналитики'!BO2584,MeanMinAge08)))</f>
        <v/>
      </c>
    </row>
    <row r="2524">
      <c r="B2524">
        <f>IF(OR(('06_Сеть_и_дети'!B61-'06_Сеть_и_дети'!B89)=0,9&lt;='01_Вводные'!$B$297),0,('06_Сеть_и_дети'!B61-'06_Сеть_и_дети'!B89)*IF('01_Вводные'!$B$239="Да",MeanMinAge09+'19_Расчет_аналитики'!B2584*SUMIF(ThresholdAge09,"&lt;"&amp;'19_Расчет_аналитики'!B2584,WeightedRevAge09)-SUMIF(ThresholdAge09,"&lt;"&amp;'19_Расчет_аналитики'!B2584,WeightedMinAge09),MAX(CapacityAge09*'01_Вводные'!$B$218*'19_Расчет_аналитики'!B2584,MeanMinAge09)))</f>
        <v/>
      </c>
      <c r="C2524">
        <f>IF(OR(('06_Сеть_и_дети'!C61-'06_Сеть_и_дети'!C89)=0,9&lt;='01_Вводные'!$B$297),0,('06_Сеть_и_дети'!C61-'06_Сеть_и_дети'!C89)*IF('01_Вводные'!$B$239="Да",MeanMinAge09+'19_Расчет_аналитики'!C2584*SUMIF(ThresholdAge09,"&lt;"&amp;'19_Расчет_аналитики'!C2584,WeightedRevAge09)-SUMIF(ThresholdAge09,"&lt;"&amp;'19_Расчет_аналитики'!C2584,WeightedMinAge09),MAX(CapacityAge09*'01_Вводные'!$B$218*'19_Расчет_аналитики'!C2584,MeanMinAge09)))</f>
        <v/>
      </c>
      <c r="D2524">
        <f>IF(OR(('06_Сеть_и_дети'!D61-'06_Сеть_и_дети'!D89)=0,9&lt;='01_Вводные'!$B$297),0,('06_Сеть_и_дети'!D61-'06_Сеть_и_дети'!D89)*IF('01_Вводные'!$B$239="Да",MeanMinAge09+'19_Расчет_аналитики'!D2584*SUMIF(ThresholdAge09,"&lt;"&amp;'19_Расчет_аналитики'!D2584,WeightedRevAge09)-SUMIF(ThresholdAge09,"&lt;"&amp;'19_Расчет_аналитики'!D2584,WeightedMinAge09),MAX(CapacityAge09*'01_Вводные'!$B$218*'19_Расчет_аналитики'!D2584,MeanMinAge09)))</f>
        <v/>
      </c>
      <c r="E2524">
        <f>IF(OR(('06_Сеть_и_дети'!E61-'06_Сеть_и_дети'!E89)=0,9&lt;='01_Вводные'!$B$297),0,('06_Сеть_и_дети'!E61-'06_Сеть_и_дети'!E89)*IF('01_Вводные'!$B$239="Да",MeanMinAge09+'19_Расчет_аналитики'!E2584*SUMIF(ThresholdAge09,"&lt;"&amp;'19_Расчет_аналитики'!E2584,WeightedRevAge09)-SUMIF(ThresholdAge09,"&lt;"&amp;'19_Расчет_аналитики'!E2584,WeightedMinAge09),MAX(CapacityAge09*'01_Вводные'!$B$218*'19_Расчет_аналитики'!E2584,MeanMinAge09)))</f>
        <v/>
      </c>
      <c r="F2524">
        <f>IF(OR(('06_Сеть_и_дети'!F61-'06_Сеть_и_дети'!F89)=0,9&lt;='01_Вводные'!$B$297),0,('06_Сеть_и_дети'!F61-'06_Сеть_и_дети'!F89)*IF('01_Вводные'!$B$239="Да",MeanMinAge09+'19_Расчет_аналитики'!F2584*SUMIF(ThresholdAge09,"&lt;"&amp;'19_Расчет_аналитики'!F2584,WeightedRevAge09)-SUMIF(ThresholdAge09,"&lt;"&amp;'19_Расчет_аналитики'!F2584,WeightedMinAge09),MAX(CapacityAge09*'01_Вводные'!$B$218*'19_Расчет_аналитики'!F2584,MeanMinAge09)))</f>
        <v/>
      </c>
      <c r="G2524">
        <f>IF(OR(('06_Сеть_и_дети'!G61-'06_Сеть_и_дети'!G89)=0,9&lt;='01_Вводные'!$B$297),0,('06_Сеть_и_дети'!G61-'06_Сеть_и_дети'!G89)*IF('01_Вводные'!$B$239="Да",MeanMinAge09+'19_Расчет_аналитики'!G2584*SUMIF(ThresholdAge09,"&lt;"&amp;'19_Расчет_аналитики'!G2584,WeightedRevAge09)-SUMIF(ThresholdAge09,"&lt;"&amp;'19_Расчет_аналитики'!G2584,WeightedMinAge09),MAX(CapacityAge09*'01_Вводные'!$B$218*'19_Расчет_аналитики'!G2584,MeanMinAge09)))</f>
        <v/>
      </c>
      <c r="H2524">
        <f>IF(OR(('06_Сеть_и_дети'!H61-'06_Сеть_и_дети'!H89)=0,9&lt;='01_Вводные'!$B$297),0,('06_Сеть_и_дети'!H61-'06_Сеть_и_дети'!H89)*IF('01_Вводные'!$B$239="Да",MeanMinAge09+'19_Расчет_аналитики'!H2584*SUMIF(ThresholdAge09,"&lt;"&amp;'19_Расчет_аналитики'!H2584,WeightedRevAge09)-SUMIF(ThresholdAge09,"&lt;"&amp;'19_Расчет_аналитики'!H2584,WeightedMinAge09),MAX(CapacityAge09*'01_Вводные'!$B$218*'19_Расчет_аналитики'!H2584,MeanMinAge09)))</f>
        <v/>
      </c>
      <c r="I2524">
        <f>IF(OR(('06_Сеть_и_дети'!I61-'06_Сеть_и_дети'!I89)=0,9&lt;='01_Вводные'!$B$297),0,('06_Сеть_и_дети'!I61-'06_Сеть_и_дети'!I89)*IF('01_Вводные'!$B$239="Да",MeanMinAge09+'19_Расчет_аналитики'!I2584*SUMIF(ThresholdAge09,"&lt;"&amp;'19_Расчет_аналитики'!I2584,WeightedRevAge09)-SUMIF(ThresholdAge09,"&lt;"&amp;'19_Расчет_аналитики'!I2584,WeightedMinAge09),MAX(CapacityAge09*'01_Вводные'!$B$218*'19_Расчет_аналитики'!I2584,MeanMinAge09)))</f>
        <v/>
      </c>
      <c r="J2524">
        <f>IF(OR(('19_Расчет_аналитики'!J2440-'19_Расчет_аналитики'!J2468)=0,9&lt;='01_Вводные'!$B$297),0,('19_Расчет_аналитики'!J2440-'19_Расчет_аналитики'!J2468)*IF('01_Вводные'!$B$239="Да",MeanMinAge09+'19_Расчет_аналитики'!J2584*SUMIF(ThresholdAge09,"&lt;"&amp;'19_Расчет_аналитики'!J2584,WeightedRevAge09)-SUMIF(ThresholdAge09,"&lt;"&amp;'19_Расчет_аналитики'!J2584,WeightedMinAge09),MAX(CapacityAge09*'01_Вводные'!$B$218*'19_Расчет_аналитики'!J2584,MeanMinAge09)))</f>
        <v/>
      </c>
      <c r="K2524">
        <f>IF(OR(('19_Расчет_аналитики'!K2440-'19_Расчет_аналитики'!K2468)=0,9&lt;='01_Вводные'!$B$297),0,('19_Расчет_аналитики'!K2440-'19_Расчет_аналитики'!K2468)*IF('01_Вводные'!$B$239="Да",MeanMinAge09+'19_Расчет_аналитики'!K2584*SUMIF(ThresholdAge09,"&lt;"&amp;'19_Расчет_аналитики'!K2584,WeightedRevAge09)-SUMIF(ThresholdAge09,"&lt;"&amp;'19_Расчет_аналитики'!K2584,WeightedMinAge09),MAX(CapacityAge09*'01_Вводные'!$B$218*'19_Расчет_аналитики'!K2584,MeanMinAge09)))</f>
        <v/>
      </c>
      <c r="L2524">
        <f>IF(OR(('19_Расчет_аналитики'!L2440-'19_Расчет_аналитики'!L2468)=0,9&lt;='01_Вводные'!$B$297),0,('19_Расчет_аналитики'!L2440-'19_Расчет_аналитики'!L2468)*IF('01_Вводные'!$B$239="Да",MeanMinAge09+'19_Расчет_аналитики'!L2584*SUMIF(ThresholdAge09,"&lt;"&amp;'19_Расчет_аналитики'!L2584,WeightedRevAge09)-SUMIF(ThresholdAge09,"&lt;"&amp;'19_Расчет_аналитики'!L2584,WeightedMinAge09),MAX(CapacityAge09*'01_Вводные'!$B$218*'19_Расчет_аналитики'!L2584,MeanMinAge09)))</f>
        <v/>
      </c>
      <c r="M2524">
        <f>IF(OR(('19_Расчет_аналитики'!M2440-'19_Расчет_аналитики'!M2468)=0,9&lt;='01_Вводные'!$B$297),0,('19_Расчет_аналитики'!M2440-'19_Расчет_аналитики'!M2468)*IF('01_Вводные'!$B$239="Да",MeanMinAge09+'19_Расчет_аналитики'!M2584*SUMIF(ThresholdAge09,"&lt;"&amp;'19_Расчет_аналитики'!M2584,WeightedRevAge09)-SUMIF(ThresholdAge09,"&lt;"&amp;'19_Расчет_аналитики'!M2584,WeightedMinAge09),MAX(CapacityAge09*'01_Вводные'!$B$218*'19_Расчет_аналитики'!M2584,MeanMinAge09)))</f>
        <v/>
      </c>
      <c r="N2524">
        <f>IF(OR(('19_Расчет_аналитики'!N2440-'19_Расчет_аналитики'!N2468)=0,9&lt;='01_Вводные'!$B$297),0,('19_Расчет_аналитики'!N2440-'19_Расчет_аналитики'!N2468)*IF('01_Вводные'!$B$239="Да",MeanMinAge09+'19_Расчет_аналитики'!N2584*SUMIF(ThresholdAge09,"&lt;"&amp;'19_Расчет_аналитики'!N2584,WeightedRevAge09)-SUMIF(ThresholdAge09,"&lt;"&amp;'19_Расчет_аналитики'!N2584,WeightedMinAge09),MAX(CapacityAge09*'01_Вводные'!$B$218*'19_Расчет_аналитики'!N2584,MeanMinAge09)))</f>
        <v/>
      </c>
      <c r="O2524">
        <f>IF(OR(('19_Расчет_аналитики'!O2440-'19_Расчет_аналитики'!O2468)=0,9&lt;='01_Вводные'!$B$297),0,('19_Расчет_аналитики'!O2440-'19_Расчет_аналитики'!O2468)*IF('01_Вводные'!$B$239="Да",MeanMinAge09+'19_Расчет_аналитики'!O2584*SUMIF(ThresholdAge09,"&lt;"&amp;'19_Расчет_аналитики'!O2584,WeightedRevAge09)-SUMIF(ThresholdAge09,"&lt;"&amp;'19_Расчет_аналитики'!O2584,WeightedMinAge09),MAX(CapacityAge09*'01_Вводные'!$B$218*'19_Расчет_аналитики'!O2584,MeanMinAge09)))</f>
        <v/>
      </c>
      <c r="P2524">
        <f>IF(OR(('19_Расчет_аналитики'!P2440-'19_Расчет_аналитики'!P2468)=0,9&lt;='01_Вводные'!$B$297),0,('19_Расчет_аналитики'!P2440-'19_Расчет_аналитики'!P2468)*IF('01_Вводные'!$B$239="Да",MeanMinAge09+'19_Расчет_аналитики'!P2584*SUMIF(ThresholdAge09,"&lt;"&amp;'19_Расчет_аналитики'!P2584,WeightedRevAge09)-SUMIF(ThresholdAge09,"&lt;"&amp;'19_Расчет_аналитики'!P2584,WeightedMinAge09),MAX(CapacityAge09*'01_Вводные'!$B$218*'19_Расчет_аналитики'!P2584,MeanMinAge09)))</f>
        <v/>
      </c>
      <c r="Q2524">
        <f>IF(OR(('19_Расчет_аналитики'!Q2440-'19_Расчет_аналитики'!Q2468)=0,9&lt;='01_Вводные'!$B$297),0,('19_Расчет_аналитики'!Q2440-'19_Расчет_аналитики'!Q2468)*IF('01_Вводные'!$B$239="Да",MeanMinAge09+'19_Расчет_аналитики'!Q2584*SUMIF(ThresholdAge09,"&lt;"&amp;'19_Расчет_аналитики'!Q2584,WeightedRevAge09)-SUMIF(ThresholdAge09,"&lt;"&amp;'19_Расчет_аналитики'!Q2584,WeightedMinAge09),MAX(CapacityAge09*'01_Вводные'!$B$218*'19_Расчет_аналитики'!Q2584,MeanMinAge09)))</f>
        <v/>
      </c>
      <c r="R2524">
        <f>IF(OR(('19_Расчет_аналитики'!R2440-'19_Расчет_аналитики'!R2468)=0,9&lt;='01_Вводные'!$B$297),0,('19_Расчет_аналитики'!R2440-'19_Расчет_аналитики'!R2468)*IF('01_Вводные'!$B$239="Да",MeanMinAge09+'19_Расчет_аналитики'!R2584*SUMIF(ThresholdAge09,"&lt;"&amp;'19_Расчет_аналитики'!R2584,WeightedRevAge09)-SUMIF(ThresholdAge09,"&lt;"&amp;'19_Расчет_аналитики'!R2584,WeightedMinAge09),MAX(CapacityAge09*'01_Вводные'!$B$218*'19_Расчет_аналитики'!R2584,MeanMinAge09)))</f>
        <v/>
      </c>
      <c r="S2524">
        <f>IF(OR(('19_Расчет_аналитики'!S2440-'19_Расчет_аналитики'!S2468)=0,9&lt;='01_Вводные'!$B$297),0,('19_Расчет_аналитики'!S2440-'19_Расчет_аналитики'!S2468)*IF('01_Вводные'!$B$239="Да",MeanMinAge09+'19_Расчет_аналитики'!S2584*SUMIF(ThresholdAge09,"&lt;"&amp;'19_Расчет_аналитики'!S2584,WeightedRevAge09)-SUMIF(ThresholdAge09,"&lt;"&amp;'19_Расчет_аналитики'!S2584,WeightedMinAge09),MAX(CapacityAge09*'01_Вводные'!$B$218*'19_Расчет_аналитики'!S2584,MeanMinAge09)))</f>
        <v/>
      </c>
      <c r="T2524">
        <f>IF(OR(('19_Расчет_аналитики'!T2440-'19_Расчет_аналитики'!T2468)=0,9&lt;='01_Вводные'!$B$297),0,('19_Расчет_аналитики'!T2440-'19_Расчет_аналитики'!T2468)*IF('01_Вводные'!$B$239="Да",MeanMinAge09+'19_Расчет_аналитики'!T2584*SUMIF(ThresholdAge09,"&lt;"&amp;'19_Расчет_аналитики'!T2584,WeightedRevAge09)-SUMIF(ThresholdAge09,"&lt;"&amp;'19_Расчет_аналитики'!T2584,WeightedMinAge09),MAX(CapacityAge09*'01_Вводные'!$B$218*'19_Расчет_аналитики'!T2584,MeanMinAge09)))</f>
        <v/>
      </c>
      <c r="U2524">
        <f>IF(OR(('19_Расчет_аналитики'!U2440-'19_Расчет_аналитики'!U2468)=0,9&lt;='01_Вводные'!$B$297),0,('19_Расчет_аналитики'!U2440-'19_Расчет_аналитики'!U2468)*IF('01_Вводные'!$B$239="Да",MeanMinAge09+'19_Расчет_аналитики'!U2584*SUMIF(ThresholdAge09,"&lt;"&amp;'19_Расчет_аналитики'!U2584,WeightedRevAge09)-SUMIF(ThresholdAge09,"&lt;"&amp;'19_Расчет_аналитики'!U2584,WeightedMinAge09),MAX(CapacityAge09*'01_Вводные'!$B$218*'19_Расчет_аналитики'!U2584,MeanMinAge09)))</f>
        <v/>
      </c>
      <c r="V2524">
        <f>IF(OR(('19_Расчет_аналитики'!V2440-'19_Расчет_аналитики'!V2468)=0,9&lt;='01_Вводные'!$B$297),0,('19_Расчет_аналитики'!V2440-'19_Расчет_аналитики'!V2468)*IF('01_Вводные'!$B$239="Да",MeanMinAge09+'19_Расчет_аналитики'!V2584*SUMIF(ThresholdAge09,"&lt;"&amp;'19_Расчет_аналитики'!V2584,WeightedRevAge09)-SUMIF(ThresholdAge09,"&lt;"&amp;'19_Расчет_аналитики'!V2584,WeightedMinAge09),MAX(CapacityAge09*'01_Вводные'!$B$218*'19_Расчет_аналитики'!V2584,MeanMinAge09)))</f>
        <v/>
      </c>
      <c r="W2524">
        <f>IF(OR(('19_Расчет_аналитики'!W2440-'19_Расчет_аналитики'!W2468)=0,9&lt;='01_Вводные'!$B$297),0,('19_Расчет_аналитики'!W2440-'19_Расчет_аналитики'!W2468)*IF('01_Вводные'!$B$239="Да",MeanMinAge09+'19_Расчет_аналитики'!W2584*SUMIF(ThresholdAge09,"&lt;"&amp;'19_Расчет_аналитики'!W2584,WeightedRevAge09)-SUMIF(ThresholdAge09,"&lt;"&amp;'19_Расчет_аналитики'!W2584,WeightedMinAge09),MAX(CapacityAge09*'01_Вводные'!$B$218*'19_Расчет_аналитики'!W2584,MeanMinAge09)))</f>
        <v/>
      </c>
      <c r="X2524">
        <f>IF(OR(('19_Расчет_аналитики'!X2440-'19_Расчет_аналитики'!X2468)=0,9&lt;='01_Вводные'!$B$297),0,('19_Расчет_аналитики'!X2440-'19_Расчет_аналитики'!X2468)*IF('01_Вводные'!$B$239="Да",MeanMinAge09+'19_Расчет_аналитики'!X2584*SUMIF(ThresholdAge09,"&lt;"&amp;'19_Расчет_аналитики'!X2584,WeightedRevAge09)-SUMIF(ThresholdAge09,"&lt;"&amp;'19_Расчет_аналитики'!X2584,WeightedMinAge09),MAX(CapacityAge09*'01_Вводные'!$B$218*'19_Расчет_аналитики'!X2584,MeanMinAge09)))</f>
        <v/>
      </c>
      <c r="Y2524">
        <f>IF(OR(('19_Расчет_аналитики'!Y2440-'19_Расчет_аналитики'!Y2468)=0,9&lt;='01_Вводные'!$B$297),0,('19_Расчет_аналитики'!Y2440-'19_Расчет_аналитики'!Y2468)*IF('01_Вводные'!$B$239="Да",MeanMinAge09+'19_Расчет_аналитики'!Y2584*SUMIF(ThresholdAge09,"&lt;"&amp;'19_Расчет_аналитики'!Y2584,WeightedRevAge09)-SUMIF(ThresholdAge09,"&lt;"&amp;'19_Расчет_аналитики'!Y2584,WeightedMinAge09),MAX(CapacityAge09*'01_Вводные'!$B$218*'19_Расчет_аналитики'!Y2584,MeanMinAge09)))</f>
        <v/>
      </c>
      <c r="Z2524">
        <f>IF(OR(('19_Расчет_аналитики'!Z2440-'19_Расчет_аналитики'!Z2468)=0,9&lt;='01_Вводные'!$B$297),0,('19_Расчет_аналитики'!Z2440-'19_Расчет_аналитики'!Z2468)*IF('01_Вводные'!$B$239="Да",MeanMinAge09+'19_Расчет_аналитики'!Z2584*SUMIF(ThresholdAge09,"&lt;"&amp;'19_Расчет_аналитики'!Z2584,WeightedRevAge09)-SUMIF(ThresholdAge09,"&lt;"&amp;'19_Расчет_аналитики'!Z2584,WeightedMinAge09),MAX(CapacityAge09*'01_Вводные'!$B$218*'19_Расчет_аналитики'!Z2584,MeanMinAge09)))</f>
        <v/>
      </c>
      <c r="AA2524">
        <f>IF(OR(('19_Расчет_аналитики'!AA2440-'19_Расчет_аналитики'!AA2468)=0,9&lt;='01_Вводные'!$B$297),0,('19_Расчет_аналитики'!AA2440-'19_Расчет_аналитики'!AA2468)*IF('01_Вводные'!$B$239="Да",MeanMinAge09+'19_Расчет_аналитики'!AA2584*SUMIF(ThresholdAge09,"&lt;"&amp;'19_Расчет_аналитики'!AA2584,WeightedRevAge09)-SUMIF(ThresholdAge09,"&lt;"&amp;'19_Расчет_аналитики'!AA2584,WeightedMinAge09),MAX(CapacityAge09*'01_Вводные'!$B$218*'19_Расчет_аналитики'!AA2584,MeanMinAge09)))</f>
        <v/>
      </c>
      <c r="AB2524">
        <f>IF(OR(('19_Расчет_аналитики'!AB2440-'19_Расчет_аналитики'!AB2468)=0,9&lt;='01_Вводные'!$B$297),0,('19_Расчет_аналитики'!AB2440-'19_Расчет_аналитики'!AB2468)*IF('01_Вводные'!$B$239="Да",MeanMinAge09+'19_Расчет_аналитики'!AB2584*SUMIF(ThresholdAge09,"&lt;"&amp;'19_Расчет_аналитики'!AB2584,WeightedRevAge09)-SUMIF(ThresholdAge09,"&lt;"&amp;'19_Расчет_аналитики'!AB2584,WeightedMinAge09),MAX(CapacityAge09*'01_Вводные'!$B$218*'19_Расчет_аналитики'!AB2584,MeanMinAge09)))</f>
        <v/>
      </c>
      <c r="AC2524">
        <f>IF(OR(('19_Расчет_аналитики'!AC2440-'19_Расчет_аналитики'!AC2468)=0,9&lt;='01_Вводные'!$B$297),0,('19_Расчет_аналитики'!AC2440-'19_Расчет_аналитики'!AC2468)*IF('01_Вводные'!$B$239="Да",MeanMinAge09+'19_Расчет_аналитики'!AC2584*SUMIF(ThresholdAge09,"&lt;"&amp;'19_Расчет_аналитики'!AC2584,WeightedRevAge09)-SUMIF(ThresholdAge09,"&lt;"&amp;'19_Расчет_аналитики'!AC2584,WeightedMinAge09),MAX(CapacityAge09*'01_Вводные'!$B$218*'19_Расчет_аналитики'!AC2584,MeanMinAge09)))</f>
        <v/>
      </c>
      <c r="AD2524">
        <f>IF(OR(('19_Расчет_аналитики'!AD2440-'19_Расчет_аналитики'!AD2468)=0,9&lt;='01_Вводные'!$B$297),0,('19_Расчет_аналитики'!AD2440-'19_Расчет_аналитики'!AD2468)*IF('01_Вводные'!$B$239="Да",MeanMinAge09+'19_Расчет_аналитики'!AD2584*SUMIF(ThresholdAge09,"&lt;"&amp;'19_Расчет_аналитики'!AD2584,WeightedRevAge09)-SUMIF(ThresholdAge09,"&lt;"&amp;'19_Расчет_аналитики'!AD2584,WeightedMinAge09),MAX(CapacityAge09*'01_Вводные'!$B$218*'19_Расчет_аналитики'!AD2584,MeanMinAge09)))</f>
        <v/>
      </c>
      <c r="AE2524">
        <f>IF(OR(('19_Расчет_аналитики'!AE2440-'19_Расчет_аналитики'!AE2468)=0,9&lt;='01_Вводные'!$B$297),0,('19_Расчет_аналитики'!AE2440-'19_Расчет_аналитики'!AE2468)*IF('01_Вводные'!$B$239="Да",MeanMinAge09+'19_Расчет_аналитики'!AE2584*SUMIF(ThresholdAge09,"&lt;"&amp;'19_Расчет_аналитики'!AE2584,WeightedRevAge09)-SUMIF(ThresholdAge09,"&lt;"&amp;'19_Расчет_аналитики'!AE2584,WeightedMinAge09),MAX(CapacityAge09*'01_Вводные'!$B$218*'19_Расчет_аналитики'!AE2584,MeanMinAge09)))</f>
        <v/>
      </c>
      <c r="AF2524">
        <f>IF(OR(('19_Расчет_аналитики'!AF2440-'19_Расчет_аналитики'!AF2468)=0,9&lt;='01_Вводные'!$B$297),0,('19_Расчет_аналитики'!AF2440-'19_Расчет_аналитики'!AF2468)*IF('01_Вводные'!$B$239="Да",MeanMinAge09+'19_Расчет_аналитики'!AF2584*SUMIF(ThresholdAge09,"&lt;"&amp;'19_Расчет_аналитики'!AF2584,WeightedRevAge09)-SUMIF(ThresholdAge09,"&lt;"&amp;'19_Расчет_аналитики'!AF2584,WeightedMinAge09),MAX(CapacityAge09*'01_Вводные'!$B$218*'19_Расчет_аналитики'!AF2584,MeanMinAge09)))</f>
        <v/>
      </c>
      <c r="AG2524">
        <f>IF(OR(('19_Расчет_аналитики'!AG2440-'19_Расчет_аналитики'!AG2468)=0,9&lt;='01_Вводные'!$B$297),0,('19_Расчет_аналитики'!AG2440-'19_Расчет_аналитики'!AG2468)*IF('01_Вводные'!$B$239="Да",MeanMinAge09+'19_Расчет_аналитики'!AG2584*SUMIF(ThresholdAge09,"&lt;"&amp;'19_Расчет_аналитики'!AG2584,WeightedRevAge09)-SUMIF(ThresholdAge09,"&lt;"&amp;'19_Расчет_аналитики'!AG2584,WeightedMinAge09),MAX(CapacityAge09*'01_Вводные'!$B$218*'19_Расчет_аналитики'!AG2584,MeanMinAge09)))</f>
        <v/>
      </c>
      <c r="AH2524">
        <f>IF(OR(('19_Расчет_аналитики'!AH2440-'19_Расчет_аналитики'!AH2468)=0,9&lt;='01_Вводные'!$B$297),0,('19_Расчет_аналитики'!AH2440-'19_Расчет_аналитики'!AH2468)*IF('01_Вводные'!$B$239="Да",MeanMinAge09+'19_Расчет_аналитики'!AH2584*SUMIF(ThresholdAge09,"&lt;"&amp;'19_Расчет_аналитики'!AH2584,WeightedRevAge09)-SUMIF(ThresholdAge09,"&lt;"&amp;'19_Расчет_аналитики'!AH2584,WeightedMinAge09),MAX(CapacityAge09*'01_Вводные'!$B$218*'19_Расчет_аналитики'!AH2584,MeanMinAge09)))</f>
        <v/>
      </c>
      <c r="AI2524">
        <f>IF(OR(('19_Расчет_аналитики'!AI2440-'19_Расчет_аналитики'!AI2468)=0,9&lt;='01_Вводные'!$B$297),0,('19_Расчет_аналитики'!AI2440-'19_Расчет_аналитики'!AI2468)*IF('01_Вводные'!$B$239="Да",MeanMinAge09+'19_Расчет_аналитики'!AI2584*SUMIF(ThresholdAge09,"&lt;"&amp;'19_Расчет_аналитики'!AI2584,WeightedRevAge09)-SUMIF(ThresholdAge09,"&lt;"&amp;'19_Расчет_аналитики'!AI2584,WeightedMinAge09),MAX(CapacityAge09*'01_Вводные'!$B$218*'19_Расчет_аналитики'!AI2584,MeanMinAge09)))</f>
        <v/>
      </c>
      <c r="AJ2524">
        <f>IF(OR(('19_Расчет_аналитики'!AJ2440-'19_Расчет_аналитики'!AJ2468)=0,9&lt;='01_Вводные'!$B$297),0,('19_Расчет_аналитики'!AJ2440-'19_Расчет_аналитики'!AJ2468)*IF('01_Вводные'!$B$239="Да",MeanMinAge09+'19_Расчет_аналитики'!AJ2584*SUMIF(ThresholdAge09,"&lt;"&amp;'19_Расчет_аналитики'!AJ2584,WeightedRevAge09)-SUMIF(ThresholdAge09,"&lt;"&amp;'19_Расчет_аналитики'!AJ2584,WeightedMinAge09),MAX(CapacityAge09*'01_Вводные'!$B$218*'19_Расчет_аналитики'!AJ2584,MeanMinAge09)))</f>
        <v/>
      </c>
      <c r="AK2524">
        <f>IF(OR(('19_Расчет_аналитики'!AK2440-'19_Расчет_аналитики'!AK2468)=0,9&lt;='01_Вводные'!$B$297),0,('19_Расчет_аналитики'!AK2440-'19_Расчет_аналитики'!AK2468)*IF('01_Вводные'!$B$239="Да",MeanMinAge09+'19_Расчет_аналитики'!AK2584*SUMIF(ThresholdAge09,"&lt;"&amp;'19_Расчет_аналитики'!AK2584,WeightedRevAge09)-SUMIF(ThresholdAge09,"&lt;"&amp;'19_Расчет_аналитики'!AK2584,WeightedMinAge09),MAX(CapacityAge09*'01_Вводные'!$B$218*'19_Расчет_аналитики'!AK2584,MeanMinAge09)))</f>
        <v/>
      </c>
      <c r="AL2524">
        <f>IF(OR(('19_Расчет_аналитики'!AL2440-'19_Расчет_аналитики'!AL2468)=0,9&lt;='01_Вводные'!$B$297),0,('19_Расчет_аналитики'!AL2440-'19_Расчет_аналитики'!AL2468)*IF('01_Вводные'!$B$239="Да",MeanMinAge09+'19_Расчет_аналитики'!AL2584*SUMIF(ThresholdAge09,"&lt;"&amp;'19_Расчет_аналитики'!AL2584,WeightedRevAge09)-SUMIF(ThresholdAge09,"&lt;"&amp;'19_Расчет_аналитики'!AL2584,WeightedMinAge09),MAX(CapacityAge09*'01_Вводные'!$B$218*'19_Расчет_аналитики'!AL2584,MeanMinAge09)))</f>
        <v/>
      </c>
      <c r="AM2524">
        <f>IF(OR(('19_Расчет_аналитики'!AM2440-'19_Расчет_аналитики'!AM2468)=0,9&lt;='01_Вводные'!$B$297),0,('19_Расчет_аналитики'!AM2440-'19_Расчет_аналитики'!AM2468)*IF('01_Вводные'!$B$239="Да",MeanMinAge09+'19_Расчет_аналитики'!AM2584*SUMIF(ThresholdAge09,"&lt;"&amp;'19_Расчет_аналитики'!AM2584,WeightedRevAge09)-SUMIF(ThresholdAge09,"&lt;"&amp;'19_Расчет_аналитики'!AM2584,WeightedMinAge09),MAX(CapacityAge09*'01_Вводные'!$B$218*'19_Расчет_аналитики'!AM2584,MeanMinAge09)))</f>
        <v/>
      </c>
      <c r="AN2524">
        <f>IF(OR(('19_Расчет_аналитики'!AN2440-'19_Расчет_аналитики'!AN2468)=0,9&lt;='01_Вводные'!$B$297),0,('19_Расчет_аналитики'!AN2440-'19_Расчет_аналитики'!AN2468)*IF('01_Вводные'!$B$239="Да",MeanMinAge09+'19_Расчет_аналитики'!AN2584*SUMIF(ThresholdAge09,"&lt;"&amp;'19_Расчет_аналитики'!AN2584,WeightedRevAge09)-SUMIF(ThresholdAge09,"&lt;"&amp;'19_Расчет_аналитики'!AN2584,WeightedMinAge09),MAX(CapacityAge09*'01_Вводные'!$B$218*'19_Расчет_аналитики'!AN2584,MeanMinAge09)))</f>
        <v/>
      </c>
      <c r="AO2524">
        <f>IF(OR(('19_Расчет_аналитики'!AO2440-'19_Расчет_аналитики'!AO2468)=0,9&lt;='01_Вводные'!$B$297),0,('19_Расчет_аналитики'!AO2440-'19_Расчет_аналитики'!AO2468)*IF('01_Вводные'!$B$239="Да",MeanMinAge09+'19_Расчет_аналитики'!AO2584*SUMIF(ThresholdAge09,"&lt;"&amp;'19_Расчет_аналитики'!AO2584,WeightedRevAge09)-SUMIF(ThresholdAge09,"&lt;"&amp;'19_Расчет_аналитики'!AO2584,WeightedMinAge09),MAX(CapacityAge09*'01_Вводные'!$B$218*'19_Расчет_аналитики'!AO2584,MeanMinAge09)))</f>
        <v/>
      </c>
      <c r="AP2524">
        <f>IF(OR(('19_Расчет_аналитики'!AP2440-'19_Расчет_аналитики'!AP2468)=0,9&lt;='01_Вводные'!$B$297),0,('19_Расчет_аналитики'!AP2440-'19_Расчет_аналитики'!AP2468)*IF('01_Вводные'!$B$239="Да",MeanMinAge09+'19_Расчет_аналитики'!AP2584*SUMIF(ThresholdAge09,"&lt;"&amp;'19_Расчет_аналитики'!AP2584,WeightedRevAge09)-SUMIF(ThresholdAge09,"&lt;"&amp;'19_Расчет_аналитики'!AP2584,WeightedMinAge09),MAX(CapacityAge09*'01_Вводные'!$B$218*'19_Расчет_аналитики'!AP2584,MeanMinAge09)))</f>
        <v/>
      </c>
      <c r="AQ2524">
        <f>IF(OR(('19_Расчет_аналитики'!AQ2440-'19_Расчет_аналитики'!AQ2468)=0,9&lt;='01_Вводные'!$B$297),0,('19_Расчет_аналитики'!AQ2440-'19_Расчет_аналитики'!AQ2468)*IF('01_Вводные'!$B$239="Да",MeanMinAge09+'19_Расчет_аналитики'!AQ2584*SUMIF(ThresholdAge09,"&lt;"&amp;'19_Расчет_аналитики'!AQ2584,WeightedRevAge09)-SUMIF(ThresholdAge09,"&lt;"&amp;'19_Расчет_аналитики'!AQ2584,WeightedMinAge09),MAX(CapacityAge09*'01_Вводные'!$B$218*'19_Расчет_аналитики'!AQ2584,MeanMinAge09)))</f>
        <v/>
      </c>
      <c r="AR2524">
        <f>IF(OR(('19_Расчет_аналитики'!AR2440-'19_Расчет_аналитики'!AR2468)=0,9&lt;='01_Вводные'!$B$297),0,('19_Расчет_аналитики'!AR2440-'19_Расчет_аналитики'!AR2468)*IF('01_Вводные'!$B$239="Да",MeanMinAge09+'19_Расчет_аналитики'!AR2584*SUMIF(ThresholdAge09,"&lt;"&amp;'19_Расчет_аналитики'!AR2584,WeightedRevAge09)-SUMIF(ThresholdAge09,"&lt;"&amp;'19_Расчет_аналитики'!AR2584,WeightedMinAge09),MAX(CapacityAge09*'01_Вводные'!$B$218*'19_Расчет_аналитики'!AR2584,MeanMinAge09)))</f>
        <v/>
      </c>
      <c r="AS2524">
        <f>IF(OR(('19_Расчет_аналитики'!AS2440-'19_Расчет_аналитики'!AS2468)=0,9&lt;='01_Вводные'!$B$297),0,('19_Расчет_аналитики'!AS2440-'19_Расчет_аналитики'!AS2468)*IF('01_Вводные'!$B$239="Да",MeanMinAge09+'19_Расчет_аналитики'!AS2584*SUMIF(ThresholdAge09,"&lt;"&amp;'19_Расчет_аналитики'!AS2584,WeightedRevAge09)-SUMIF(ThresholdAge09,"&lt;"&amp;'19_Расчет_аналитики'!AS2584,WeightedMinAge09),MAX(CapacityAge09*'01_Вводные'!$B$218*'19_Расчет_аналитики'!AS2584,MeanMinAge09)))</f>
        <v/>
      </c>
      <c r="AT2524">
        <f>IF(OR(('19_Расчет_аналитики'!AT2440-'19_Расчет_аналитики'!AT2468)=0,9&lt;='01_Вводные'!$B$297),0,('19_Расчет_аналитики'!AT2440-'19_Расчет_аналитики'!AT2468)*IF('01_Вводные'!$B$239="Да",MeanMinAge09+'19_Расчет_аналитики'!AT2584*SUMIF(ThresholdAge09,"&lt;"&amp;'19_Расчет_аналитики'!AT2584,WeightedRevAge09)-SUMIF(ThresholdAge09,"&lt;"&amp;'19_Расчет_аналитики'!AT2584,WeightedMinAge09),MAX(CapacityAge09*'01_Вводные'!$B$218*'19_Расчет_аналитики'!AT2584,MeanMinAge09)))</f>
        <v/>
      </c>
      <c r="AU2524">
        <f>IF(OR(('19_Расчет_аналитики'!AU2440-'19_Расчет_аналитики'!AU2468)=0,9&lt;='01_Вводные'!$B$297),0,('19_Расчет_аналитики'!AU2440-'19_Расчет_аналитики'!AU2468)*IF('01_Вводные'!$B$239="Да",MeanMinAge09+'19_Расчет_аналитики'!AU2584*SUMIF(ThresholdAge09,"&lt;"&amp;'19_Расчет_аналитики'!AU2584,WeightedRevAge09)-SUMIF(ThresholdAge09,"&lt;"&amp;'19_Расчет_аналитики'!AU2584,WeightedMinAge09),MAX(CapacityAge09*'01_Вводные'!$B$218*'19_Расчет_аналитики'!AU2584,MeanMinAge09)))</f>
        <v/>
      </c>
      <c r="AV2524">
        <f>IF(OR(('19_Расчет_аналитики'!AV2440-'19_Расчет_аналитики'!AV2468)=0,9&lt;='01_Вводные'!$B$297),0,('19_Расчет_аналитики'!AV2440-'19_Расчет_аналитики'!AV2468)*IF('01_Вводные'!$B$239="Да",MeanMinAge09+'19_Расчет_аналитики'!AV2584*SUMIF(ThresholdAge09,"&lt;"&amp;'19_Расчет_аналитики'!AV2584,WeightedRevAge09)-SUMIF(ThresholdAge09,"&lt;"&amp;'19_Расчет_аналитики'!AV2584,WeightedMinAge09),MAX(CapacityAge09*'01_Вводные'!$B$218*'19_Расчет_аналитики'!AV2584,MeanMinAge09)))</f>
        <v/>
      </c>
      <c r="AW2524">
        <f>IF(OR(('19_Расчет_аналитики'!AW2440-'19_Расчет_аналитики'!AW2468)=0,9&lt;='01_Вводные'!$B$297),0,('19_Расчет_аналитики'!AW2440-'19_Расчет_аналитики'!AW2468)*IF('01_Вводные'!$B$239="Да",MeanMinAge09+'19_Расчет_аналитики'!AW2584*SUMIF(ThresholdAge09,"&lt;"&amp;'19_Расчет_аналитики'!AW2584,WeightedRevAge09)-SUMIF(ThresholdAge09,"&lt;"&amp;'19_Расчет_аналитики'!AW2584,WeightedMinAge09),MAX(CapacityAge09*'01_Вводные'!$B$218*'19_Расчет_аналитики'!AW2584,MeanMinAge09)))</f>
        <v/>
      </c>
      <c r="AX2524">
        <f>IF(OR(('19_Расчет_аналитики'!AX2440-'19_Расчет_аналитики'!AX2468)=0,9&lt;='01_Вводные'!$B$297),0,('19_Расчет_аналитики'!AX2440-'19_Расчет_аналитики'!AX2468)*IF('01_Вводные'!$B$239="Да",MeanMinAge09+'19_Расчет_аналитики'!AX2584*SUMIF(ThresholdAge09,"&lt;"&amp;'19_Расчет_аналитики'!AX2584,WeightedRevAge09)-SUMIF(ThresholdAge09,"&lt;"&amp;'19_Расчет_аналитики'!AX2584,WeightedMinAge09),MAX(CapacityAge09*'01_Вводные'!$B$218*'19_Расчет_аналитики'!AX2584,MeanMinAge09)))</f>
        <v/>
      </c>
      <c r="AY2524">
        <f>IF(OR(('19_Расчет_аналитики'!AY2440-'19_Расчет_аналитики'!AY2468)=0,9&lt;='01_Вводные'!$B$297),0,('19_Расчет_аналитики'!AY2440-'19_Расчет_аналитики'!AY2468)*IF('01_Вводные'!$B$239="Да",MeanMinAge09+'19_Расчет_аналитики'!AY2584*SUMIF(ThresholdAge09,"&lt;"&amp;'19_Расчет_аналитики'!AY2584,WeightedRevAge09)-SUMIF(ThresholdAge09,"&lt;"&amp;'19_Расчет_аналитики'!AY2584,WeightedMinAge09),MAX(CapacityAge09*'01_Вводные'!$B$218*'19_Расчет_аналитики'!AY2584,MeanMinAge09)))</f>
        <v/>
      </c>
      <c r="AZ2524">
        <f>IF(OR(('19_Расчет_аналитики'!AZ2440-'19_Расчет_аналитики'!AZ2468)=0,9&lt;='01_Вводные'!$B$297),0,('19_Расчет_аналитики'!AZ2440-'19_Расчет_аналитики'!AZ2468)*IF('01_Вводные'!$B$239="Да",MeanMinAge09+'19_Расчет_аналитики'!AZ2584*SUMIF(ThresholdAge09,"&lt;"&amp;'19_Расчет_аналитики'!AZ2584,WeightedRevAge09)-SUMIF(ThresholdAge09,"&lt;"&amp;'19_Расчет_аналитики'!AZ2584,WeightedMinAge09),MAX(CapacityAge09*'01_Вводные'!$B$218*'19_Расчет_аналитики'!AZ2584,MeanMinAge09)))</f>
        <v/>
      </c>
      <c r="BA2524">
        <f>IF(OR(('19_Расчет_аналитики'!BA2440-'19_Расчет_аналитики'!BA2468)=0,9&lt;='01_Вводные'!$B$297),0,('19_Расчет_аналитики'!BA2440-'19_Расчет_аналитики'!BA2468)*IF('01_Вводные'!$B$239="Да",MeanMinAge09+'19_Расчет_аналитики'!BA2584*SUMIF(ThresholdAge09,"&lt;"&amp;'19_Расчет_аналитики'!BA2584,WeightedRevAge09)-SUMIF(ThresholdAge09,"&lt;"&amp;'19_Расчет_аналитики'!BA2584,WeightedMinAge09),MAX(CapacityAge09*'01_Вводные'!$B$218*'19_Расчет_аналитики'!BA2584,MeanMinAge09)))</f>
        <v/>
      </c>
      <c r="BB2524">
        <f>IF(OR(('19_Расчет_аналитики'!BB2440-'19_Расчет_аналитики'!BB2468)=0,9&lt;='01_Вводные'!$B$297),0,('19_Расчет_аналитики'!BB2440-'19_Расчет_аналитики'!BB2468)*IF('01_Вводные'!$B$239="Да",MeanMinAge09+'19_Расчет_аналитики'!BB2584*SUMIF(ThresholdAge09,"&lt;"&amp;'19_Расчет_аналитики'!BB2584,WeightedRevAge09)-SUMIF(ThresholdAge09,"&lt;"&amp;'19_Расчет_аналитики'!BB2584,WeightedMinAge09),MAX(CapacityAge09*'01_Вводные'!$B$218*'19_Расчет_аналитики'!BB2584,MeanMinAge09)))</f>
        <v/>
      </c>
      <c r="BC2524">
        <f>IF(OR(('19_Расчет_аналитики'!BC2440-'19_Расчет_аналитики'!BC2468)=0,9&lt;='01_Вводные'!$B$297),0,('19_Расчет_аналитики'!BC2440-'19_Расчет_аналитики'!BC2468)*IF('01_Вводные'!$B$239="Да",MeanMinAge09+'19_Расчет_аналитики'!BC2584*SUMIF(ThresholdAge09,"&lt;"&amp;'19_Расчет_аналитики'!BC2584,WeightedRevAge09)-SUMIF(ThresholdAge09,"&lt;"&amp;'19_Расчет_аналитики'!BC2584,WeightedMinAge09),MAX(CapacityAge09*'01_Вводные'!$B$218*'19_Расчет_аналитики'!BC2584,MeanMinAge09)))</f>
        <v/>
      </c>
      <c r="BD2524">
        <f>IF(OR(('19_Расчет_аналитики'!BD2440-'19_Расчет_аналитики'!BD2468)=0,9&lt;='01_Вводные'!$B$297),0,('19_Расчет_аналитики'!BD2440-'19_Расчет_аналитики'!BD2468)*IF('01_Вводные'!$B$239="Да",MeanMinAge09+'19_Расчет_аналитики'!BD2584*SUMIF(ThresholdAge09,"&lt;"&amp;'19_Расчет_аналитики'!BD2584,WeightedRevAge09)-SUMIF(ThresholdAge09,"&lt;"&amp;'19_Расчет_аналитики'!BD2584,WeightedMinAge09),MAX(CapacityAge09*'01_Вводные'!$B$218*'19_Расчет_аналитики'!BD2584,MeanMinAge09)))</f>
        <v/>
      </c>
      <c r="BE2524">
        <f>IF(OR(('19_Расчет_аналитики'!BE2440-'19_Расчет_аналитики'!BE2468)=0,9&lt;='01_Вводные'!$B$297),0,('19_Расчет_аналитики'!BE2440-'19_Расчет_аналитики'!BE2468)*IF('01_Вводные'!$B$239="Да",MeanMinAge09+'19_Расчет_аналитики'!BE2584*SUMIF(ThresholdAge09,"&lt;"&amp;'19_Расчет_аналитики'!BE2584,WeightedRevAge09)-SUMIF(ThresholdAge09,"&lt;"&amp;'19_Расчет_аналитики'!BE2584,WeightedMinAge09),MAX(CapacityAge09*'01_Вводные'!$B$218*'19_Расчет_аналитики'!BE2584,MeanMinAge09)))</f>
        <v/>
      </c>
      <c r="BF2524">
        <f>IF(OR(('19_Расчет_аналитики'!BF2440-'19_Расчет_аналитики'!BF2468)=0,9&lt;='01_Вводные'!$B$297),0,('19_Расчет_аналитики'!BF2440-'19_Расчет_аналитики'!BF2468)*IF('01_Вводные'!$B$239="Да",MeanMinAge09+'19_Расчет_аналитики'!BF2584*SUMIF(ThresholdAge09,"&lt;"&amp;'19_Расчет_аналитики'!BF2584,WeightedRevAge09)-SUMIF(ThresholdAge09,"&lt;"&amp;'19_Расчет_аналитики'!BF2584,WeightedMinAge09),MAX(CapacityAge09*'01_Вводные'!$B$218*'19_Расчет_аналитики'!BF2584,MeanMinAge09)))</f>
        <v/>
      </c>
      <c r="BG2524">
        <f>IF(OR(('19_Расчет_аналитики'!BG2440-'19_Расчет_аналитики'!BG2468)=0,9&lt;='01_Вводные'!$B$297),0,('19_Расчет_аналитики'!BG2440-'19_Расчет_аналитики'!BG2468)*IF('01_Вводные'!$B$239="Да",MeanMinAge09+'19_Расчет_аналитики'!BG2584*SUMIF(ThresholdAge09,"&lt;"&amp;'19_Расчет_аналитики'!BG2584,WeightedRevAge09)-SUMIF(ThresholdAge09,"&lt;"&amp;'19_Расчет_аналитики'!BG2584,WeightedMinAge09),MAX(CapacityAge09*'01_Вводные'!$B$218*'19_Расчет_аналитики'!BG2584,MeanMinAge09)))</f>
        <v/>
      </c>
      <c r="BH2524">
        <f>IF(OR(('19_Расчет_аналитики'!BH2440-'19_Расчет_аналитики'!BH2468)=0,9&lt;='01_Вводные'!$B$297),0,('19_Расчет_аналитики'!BH2440-'19_Расчет_аналитики'!BH2468)*IF('01_Вводные'!$B$239="Да",MeanMinAge09+'19_Расчет_аналитики'!BH2584*SUMIF(ThresholdAge09,"&lt;"&amp;'19_Расчет_аналитики'!BH2584,WeightedRevAge09)-SUMIF(ThresholdAge09,"&lt;"&amp;'19_Расчет_аналитики'!BH2584,WeightedMinAge09),MAX(CapacityAge09*'01_Вводные'!$B$218*'19_Расчет_аналитики'!BH2584,MeanMinAge09)))</f>
        <v/>
      </c>
      <c r="BI2524">
        <f>IF(OR(('19_Расчет_аналитики'!BI2440-'19_Расчет_аналитики'!BI2468)=0,9&lt;='01_Вводные'!$B$297),0,('19_Расчет_аналитики'!BI2440-'19_Расчет_аналитики'!BI2468)*IF('01_Вводные'!$B$239="Да",MeanMinAge09+'19_Расчет_аналитики'!BI2584*SUMIF(ThresholdAge09,"&lt;"&amp;'19_Расчет_аналитики'!BI2584,WeightedRevAge09)-SUMIF(ThresholdAge09,"&lt;"&amp;'19_Расчет_аналитики'!BI2584,WeightedMinAge09),MAX(CapacityAge09*'01_Вводные'!$B$218*'19_Расчет_аналитики'!BI2584,MeanMinAge09)))</f>
        <v/>
      </c>
      <c r="BJ2524">
        <f>IF(OR(('19_Расчет_аналитики'!BJ2440-'19_Расчет_аналитики'!BJ2468)=0,9&lt;='01_Вводные'!$B$297),0,('19_Расчет_аналитики'!BJ2440-'19_Расчет_аналитики'!BJ2468)*IF('01_Вводные'!$B$239="Да",MeanMinAge09+'19_Расчет_аналитики'!BJ2584*SUMIF(ThresholdAge09,"&lt;"&amp;'19_Расчет_аналитики'!BJ2584,WeightedRevAge09)-SUMIF(ThresholdAge09,"&lt;"&amp;'19_Расчет_аналитики'!BJ2584,WeightedMinAge09),MAX(CapacityAge09*'01_Вводные'!$B$218*'19_Расчет_аналитики'!BJ2584,MeanMinAge09)))</f>
        <v/>
      </c>
      <c r="BK2524">
        <f>IF(OR(('19_Расчет_аналитики'!BK2440-'19_Расчет_аналитики'!BK2468)=0,9&lt;='01_Вводные'!$B$297),0,('19_Расчет_аналитики'!BK2440-'19_Расчет_аналитики'!BK2468)*IF('01_Вводные'!$B$239="Да",MeanMinAge09+'19_Расчет_аналитики'!BK2584*SUMIF(ThresholdAge09,"&lt;"&amp;'19_Расчет_аналитики'!BK2584,WeightedRevAge09)-SUMIF(ThresholdAge09,"&lt;"&amp;'19_Расчет_аналитики'!BK2584,WeightedMinAge09),MAX(CapacityAge09*'01_Вводные'!$B$218*'19_Расчет_аналитики'!BK2584,MeanMinAge09)))</f>
        <v/>
      </c>
      <c r="BL2524">
        <f>IF(OR(('19_Расчет_аналитики'!BL2440-'19_Расчет_аналитики'!BL2468)=0,9&lt;='01_Вводные'!$B$297),0,('19_Расчет_аналитики'!BL2440-'19_Расчет_аналитики'!BL2468)*IF('01_Вводные'!$B$239="Да",MeanMinAge09+'19_Расчет_аналитики'!BL2584*SUMIF(ThresholdAge09,"&lt;"&amp;'19_Расчет_аналитики'!BL2584,WeightedRevAge09)-SUMIF(ThresholdAge09,"&lt;"&amp;'19_Расчет_аналитики'!BL2584,WeightedMinAge09),MAX(CapacityAge09*'01_Вводные'!$B$218*'19_Расчет_аналитики'!BL2584,MeanMinAge09)))</f>
        <v/>
      </c>
      <c r="BM2524">
        <f>IF(OR(('19_Расчет_аналитики'!BM2440-'19_Расчет_аналитики'!BM2468)=0,9&lt;='01_Вводные'!$B$297),0,('19_Расчет_аналитики'!BM2440-'19_Расчет_аналитики'!BM2468)*IF('01_Вводные'!$B$239="Да",MeanMinAge09+'19_Расчет_аналитики'!BM2584*SUMIF(ThresholdAge09,"&lt;"&amp;'19_Расчет_аналитики'!BM2584,WeightedRevAge09)-SUMIF(ThresholdAge09,"&lt;"&amp;'19_Расчет_аналитики'!BM2584,WeightedMinAge09),MAX(CapacityAge09*'01_Вводные'!$B$218*'19_Расчет_аналитики'!BM2584,MeanMinAge09)))</f>
        <v/>
      </c>
      <c r="BN2524">
        <f>IF(OR(('19_Расчет_аналитики'!BN2440-'19_Расчет_аналитики'!BN2468)=0,9&lt;='01_Вводные'!$B$297),0,('19_Расчет_аналитики'!BN2440-'19_Расчет_аналитики'!BN2468)*IF('01_Вводные'!$B$239="Да",MeanMinAge09+'19_Расчет_аналитики'!BN2584*SUMIF(ThresholdAge09,"&lt;"&amp;'19_Расчет_аналитики'!BN2584,WeightedRevAge09)-SUMIF(ThresholdAge09,"&lt;"&amp;'19_Расчет_аналитики'!BN2584,WeightedMinAge09),MAX(CapacityAge09*'01_Вводные'!$B$218*'19_Расчет_аналитики'!BN2584,MeanMinAge09)))</f>
        <v/>
      </c>
      <c r="BO2524">
        <f>IF(OR(('19_Расчет_аналитики'!BO2440-'19_Расчет_аналитики'!BO2468)=0,9&lt;='01_Вводные'!$B$297),0,('19_Расчет_аналитики'!BO2440-'19_Расчет_аналитики'!BO2468)*IF('01_Вводные'!$B$239="Да",MeanMinAge09+'19_Расчет_аналитики'!BO2584*SUMIF(ThresholdAge09,"&lt;"&amp;'19_Расчет_аналитики'!BO2584,WeightedRevAge09)-SUMIF(ThresholdAge09,"&lt;"&amp;'19_Расчет_аналитики'!BO2584,WeightedMinAge09),MAX(CapacityAge09*'01_Вводные'!$B$218*'19_Расчет_аналитики'!BO2584,MeanMinAge09)))</f>
        <v/>
      </c>
    </row>
    <row r="2525">
      <c r="B2525">
        <f>IF(OR(('06_Сеть_и_дети'!B62-'06_Сеть_и_дети'!B90)=0,10&lt;='01_Вводные'!$B$297),0,('06_Сеть_и_дети'!B62-'06_Сеть_и_дети'!B90)*IF('01_Вводные'!$B$239="Да",MeanMinAge10+'19_Расчет_аналитики'!B2584*SUMIF(ThresholdAge10,"&lt;"&amp;'19_Расчет_аналитики'!B2584,WeightedRevAge10)-SUMIF(ThresholdAge10,"&lt;"&amp;'19_Расчет_аналитики'!B2584,WeightedMinAge10),MAX(CapacityAge10*'01_Вводные'!$B$218*'19_Расчет_аналитики'!B2584,MeanMinAge10)))</f>
        <v/>
      </c>
      <c r="C2525">
        <f>IF(OR(('06_Сеть_и_дети'!C62-'06_Сеть_и_дети'!C90)=0,10&lt;='01_Вводные'!$B$297),0,('06_Сеть_и_дети'!C62-'06_Сеть_и_дети'!C90)*IF('01_Вводные'!$B$239="Да",MeanMinAge10+'19_Расчет_аналитики'!C2584*SUMIF(ThresholdAge10,"&lt;"&amp;'19_Расчет_аналитики'!C2584,WeightedRevAge10)-SUMIF(ThresholdAge10,"&lt;"&amp;'19_Расчет_аналитики'!C2584,WeightedMinAge10),MAX(CapacityAge10*'01_Вводные'!$B$218*'19_Расчет_аналитики'!C2584,MeanMinAge10)))</f>
        <v/>
      </c>
      <c r="D2525">
        <f>IF(OR(('06_Сеть_и_дети'!D62-'06_Сеть_и_дети'!D90)=0,10&lt;='01_Вводные'!$B$297),0,('06_Сеть_и_дети'!D62-'06_Сеть_и_дети'!D90)*IF('01_Вводные'!$B$239="Да",MeanMinAge10+'19_Расчет_аналитики'!D2584*SUMIF(ThresholdAge10,"&lt;"&amp;'19_Расчет_аналитики'!D2584,WeightedRevAge10)-SUMIF(ThresholdAge10,"&lt;"&amp;'19_Расчет_аналитики'!D2584,WeightedMinAge10),MAX(CapacityAge10*'01_Вводные'!$B$218*'19_Расчет_аналитики'!D2584,MeanMinAge10)))</f>
        <v/>
      </c>
      <c r="E2525">
        <f>IF(OR(('06_Сеть_и_дети'!E62-'06_Сеть_и_дети'!E90)=0,10&lt;='01_Вводные'!$B$297),0,('06_Сеть_и_дети'!E62-'06_Сеть_и_дети'!E90)*IF('01_Вводные'!$B$239="Да",MeanMinAge10+'19_Расчет_аналитики'!E2584*SUMIF(ThresholdAge10,"&lt;"&amp;'19_Расчет_аналитики'!E2584,WeightedRevAge10)-SUMIF(ThresholdAge10,"&lt;"&amp;'19_Расчет_аналитики'!E2584,WeightedMinAge10),MAX(CapacityAge10*'01_Вводные'!$B$218*'19_Расчет_аналитики'!E2584,MeanMinAge10)))</f>
        <v/>
      </c>
      <c r="F2525">
        <f>IF(OR(('06_Сеть_и_дети'!F62-'06_Сеть_и_дети'!F90)=0,10&lt;='01_Вводные'!$B$297),0,('06_Сеть_и_дети'!F62-'06_Сеть_и_дети'!F90)*IF('01_Вводные'!$B$239="Да",MeanMinAge10+'19_Расчет_аналитики'!F2584*SUMIF(ThresholdAge10,"&lt;"&amp;'19_Расчет_аналитики'!F2584,WeightedRevAge10)-SUMIF(ThresholdAge10,"&lt;"&amp;'19_Расчет_аналитики'!F2584,WeightedMinAge10),MAX(CapacityAge10*'01_Вводные'!$B$218*'19_Расчет_аналитики'!F2584,MeanMinAge10)))</f>
        <v/>
      </c>
      <c r="G2525">
        <f>IF(OR(('06_Сеть_и_дети'!G62-'06_Сеть_и_дети'!G90)=0,10&lt;='01_Вводные'!$B$297),0,('06_Сеть_и_дети'!G62-'06_Сеть_и_дети'!G90)*IF('01_Вводные'!$B$239="Да",MeanMinAge10+'19_Расчет_аналитики'!G2584*SUMIF(ThresholdAge10,"&lt;"&amp;'19_Расчет_аналитики'!G2584,WeightedRevAge10)-SUMIF(ThresholdAge10,"&lt;"&amp;'19_Расчет_аналитики'!G2584,WeightedMinAge10),MAX(CapacityAge10*'01_Вводные'!$B$218*'19_Расчет_аналитики'!G2584,MeanMinAge10)))</f>
        <v/>
      </c>
      <c r="H2525">
        <f>IF(OR(('06_Сеть_и_дети'!H62-'06_Сеть_и_дети'!H90)=0,10&lt;='01_Вводные'!$B$297),0,('06_Сеть_и_дети'!H62-'06_Сеть_и_дети'!H90)*IF('01_Вводные'!$B$239="Да",MeanMinAge10+'19_Расчет_аналитики'!H2584*SUMIF(ThresholdAge10,"&lt;"&amp;'19_Расчет_аналитики'!H2584,WeightedRevAge10)-SUMIF(ThresholdAge10,"&lt;"&amp;'19_Расчет_аналитики'!H2584,WeightedMinAge10),MAX(CapacityAge10*'01_Вводные'!$B$218*'19_Расчет_аналитики'!H2584,MeanMinAge10)))</f>
        <v/>
      </c>
      <c r="I2525">
        <f>IF(OR(('06_Сеть_и_дети'!I62-'06_Сеть_и_дети'!I90)=0,10&lt;='01_Вводные'!$B$297),0,('06_Сеть_и_дети'!I62-'06_Сеть_и_дети'!I90)*IF('01_Вводные'!$B$239="Да",MeanMinAge10+'19_Расчет_аналитики'!I2584*SUMIF(ThresholdAge10,"&lt;"&amp;'19_Расчет_аналитики'!I2584,WeightedRevAge10)-SUMIF(ThresholdAge10,"&lt;"&amp;'19_Расчет_аналитики'!I2584,WeightedMinAge10),MAX(CapacityAge10*'01_Вводные'!$B$218*'19_Расчет_аналитики'!I2584,MeanMinAge10)))</f>
        <v/>
      </c>
      <c r="J2525">
        <f>IF(OR(('06_Сеть_и_дети'!J62-'06_Сеть_и_дети'!J90)=0,10&lt;='01_Вводные'!$B$297),0,('06_Сеть_и_дети'!J62-'06_Сеть_и_дети'!J90)*IF('01_Вводные'!$B$239="Да",MeanMinAge10+'19_Расчет_аналитики'!J2584*SUMIF(ThresholdAge10,"&lt;"&amp;'19_Расчет_аналитики'!J2584,WeightedRevAge10)-SUMIF(ThresholdAge10,"&lt;"&amp;'19_Расчет_аналитики'!J2584,WeightedMinAge10),MAX(CapacityAge10*'01_Вводные'!$B$218*'19_Расчет_аналитики'!J2584,MeanMinAge10)))</f>
        <v/>
      </c>
      <c r="K2525">
        <f>IF(OR(('19_Расчет_аналитики'!K2441-'19_Расчет_аналитики'!K2469)=0,10&lt;='01_Вводные'!$B$297),0,('19_Расчет_аналитики'!K2441-'19_Расчет_аналитики'!K2469)*IF('01_Вводные'!$B$239="Да",MeanMinAge10+'19_Расчет_аналитики'!K2584*SUMIF(ThresholdAge10,"&lt;"&amp;'19_Расчет_аналитики'!K2584,WeightedRevAge10)-SUMIF(ThresholdAge10,"&lt;"&amp;'19_Расчет_аналитики'!K2584,WeightedMinAge10),MAX(CapacityAge10*'01_Вводные'!$B$218*'19_Расчет_аналитики'!K2584,MeanMinAge10)))</f>
        <v/>
      </c>
      <c r="L2525">
        <f>IF(OR(('19_Расчет_аналитики'!L2441-'19_Расчет_аналитики'!L2469)=0,10&lt;='01_Вводные'!$B$297),0,('19_Расчет_аналитики'!L2441-'19_Расчет_аналитики'!L2469)*IF('01_Вводные'!$B$239="Да",MeanMinAge10+'19_Расчет_аналитики'!L2584*SUMIF(ThresholdAge10,"&lt;"&amp;'19_Расчет_аналитики'!L2584,WeightedRevAge10)-SUMIF(ThresholdAge10,"&lt;"&amp;'19_Расчет_аналитики'!L2584,WeightedMinAge10),MAX(CapacityAge10*'01_Вводные'!$B$218*'19_Расчет_аналитики'!L2584,MeanMinAge10)))</f>
        <v/>
      </c>
      <c r="M2525">
        <f>IF(OR(('19_Расчет_аналитики'!M2441-'19_Расчет_аналитики'!M2469)=0,10&lt;='01_Вводные'!$B$297),0,('19_Расчет_аналитики'!M2441-'19_Расчет_аналитики'!M2469)*IF('01_Вводные'!$B$239="Да",MeanMinAge10+'19_Расчет_аналитики'!M2584*SUMIF(ThresholdAge10,"&lt;"&amp;'19_Расчет_аналитики'!M2584,WeightedRevAge10)-SUMIF(ThresholdAge10,"&lt;"&amp;'19_Расчет_аналитики'!M2584,WeightedMinAge10),MAX(CapacityAge10*'01_Вводные'!$B$218*'19_Расчет_аналитики'!M2584,MeanMinAge10)))</f>
        <v/>
      </c>
      <c r="N2525">
        <f>IF(OR(('19_Расчет_аналитики'!N2441-'19_Расчет_аналитики'!N2469)=0,10&lt;='01_Вводные'!$B$297),0,('19_Расчет_аналитики'!N2441-'19_Расчет_аналитики'!N2469)*IF('01_Вводные'!$B$239="Да",MeanMinAge10+'19_Расчет_аналитики'!N2584*SUMIF(ThresholdAge10,"&lt;"&amp;'19_Расчет_аналитики'!N2584,WeightedRevAge10)-SUMIF(ThresholdAge10,"&lt;"&amp;'19_Расчет_аналитики'!N2584,WeightedMinAge10),MAX(CapacityAge10*'01_Вводные'!$B$218*'19_Расчет_аналитики'!N2584,MeanMinAge10)))</f>
        <v/>
      </c>
      <c r="O2525">
        <f>IF(OR(('19_Расчет_аналитики'!O2441-'19_Расчет_аналитики'!O2469)=0,10&lt;='01_Вводные'!$B$297),0,('19_Расчет_аналитики'!O2441-'19_Расчет_аналитики'!O2469)*IF('01_Вводные'!$B$239="Да",MeanMinAge10+'19_Расчет_аналитики'!O2584*SUMIF(ThresholdAge10,"&lt;"&amp;'19_Расчет_аналитики'!O2584,WeightedRevAge10)-SUMIF(ThresholdAge10,"&lt;"&amp;'19_Расчет_аналитики'!O2584,WeightedMinAge10),MAX(CapacityAge10*'01_Вводные'!$B$218*'19_Расчет_аналитики'!O2584,MeanMinAge10)))</f>
        <v/>
      </c>
      <c r="P2525">
        <f>IF(OR(('19_Расчет_аналитики'!P2441-'19_Расчет_аналитики'!P2469)=0,10&lt;='01_Вводные'!$B$297),0,('19_Расчет_аналитики'!P2441-'19_Расчет_аналитики'!P2469)*IF('01_Вводные'!$B$239="Да",MeanMinAge10+'19_Расчет_аналитики'!P2584*SUMIF(ThresholdAge10,"&lt;"&amp;'19_Расчет_аналитики'!P2584,WeightedRevAge10)-SUMIF(ThresholdAge10,"&lt;"&amp;'19_Расчет_аналитики'!P2584,WeightedMinAge10),MAX(CapacityAge10*'01_Вводные'!$B$218*'19_Расчет_аналитики'!P2584,MeanMinAge10)))</f>
        <v/>
      </c>
      <c r="Q2525">
        <f>IF(OR(('19_Расчет_аналитики'!Q2441-'19_Расчет_аналитики'!Q2469)=0,10&lt;='01_Вводные'!$B$297),0,('19_Расчет_аналитики'!Q2441-'19_Расчет_аналитики'!Q2469)*IF('01_Вводные'!$B$239="Да",MeanMinAge10+'19_Расчет_аналитики'!Q2584*SUMIF(ThresholdAge10,"&lt;"&amp;'19_Расчет_аналитики'!Q2584,WeightedRevAge10)-SUMIF(ThresholdAge10,"&lt;"&amp;'19_Расчет_аналитики'!Q2584,WeightedMinAge10),MAX(CapacityAge10*'01_Вводные'!$B$218*'19_Расчет_аналитики'!Q2584,MeanMinAge10)))</f>
        <v/>
      </c>
      <c r="R2525">
        <f>IF(OR(('19_Расчет_аналитики'!R2441-'19_Расчет_аналитики'!R2469)=0,10&lt;='01_Вводные'!$B$297),0,('19_Расчет_аналитики'!R2441-'19_Расчет_аналитики'!R2469)*IF('01_Вводные'!$B$239="Да",MeanMinAge10+'19_Расчет_аналитики'!R2584*SUMIF(ThresholdAge10,"&lt;"&amp;'19_Расчет_аналитики'!R2584,WeightedRevAge10)-SUMIF(ThresholdAge10,"&lt;"&amp;'19_Расчет_аналитики'!R2584,WeightedMinAge10),MAX(CapacityAge10*'01_Вводные'!$B$218*'19_Расчет_аналитики'!R2584,MeanMinAge10)))</f>
        <v/>
      </c>
      <c r="S2525">
        <f>IF(OR(('19_Расчет_аналитики'!S2441-'19_Расчет_аналитики'!S2469)=0,10&lt;='01_Вводные'!$B$297),0,('19_Расчет_аналитики'!S2441-'19_Расчет_аналитики'!S2469)*IF('01_Вводные'!$B$239="Да",MeanMinAge10+'19_Расчет_аналитики'!S2584*SUMIF(ThresholdAge10,"&lt;"&amp;'19_Расчет_аналитики'!S2584,WeightedRevAge10)-SUMIF(ThresholdAge10,"&lt;"&amp;'19_Расчет_аналитики'!S2584,WeightedMinAge10),MAX(CapacityAge10*'01_Вводные'!$B$218*'19_Расчет_аналитики'!S2584,MeanMinAge10)))</f>
        <v/>
      </c>
      <c r="T2525">
        <f>IF(OR(('19_Расчет_аналитики'!T2441-'19_Расчет_аналитики'!T2469)=0,10&lt;='01_Вводные'!$B$297),0,('19_Расчет_аналитики'!T2441-'19_Расчет_аналитики'!T2469)*IF('01_Вводные'!$B$239="Да",MeanMinAge10+'19_Расчет_аналитики'!T2584*SUMIF(ThresholdAge10,"&lt;"&amp;'19_Расчет_аналитики'!T2584,WeightedRevAge10)-SUMIF(ThresholdAge10,"&lt;"&amp;'19_Расчет_аналитики'!T2584,WeightedMinAge10),MAX(CapacityAge10*'01_Вводные'!$B$218*'19_Расчет_аналитики'!T2584,MeanMinAge10)))</f>
        <v/>
      </c>
      <c r="U2525">
        <f>IF(OR(('19_Расчет_аналитики'!U2441-'19_Расчет_аналитики'!U2469)=0,10&lt;='01_Вводные'!$B$297),0,('19_Расчет_аналитики'!U2441-'19_Расчет_аналитики'!U2469)*IF('01_Вводные'!$B$239="Да",MeanMinAge10+'19_Расчет_аналитики'!U2584*SUMIF(ThresholdAge10,"&lt;"&amp;'19_Расчет_аналитики'!U2584,WeightedRevAge10)-SUMIF(ThresholdAge10,"&lt;"&amp;'19_Расчет_аналитики'!U2584,WeightedMinAge10),MAX(CapacityAge10*'01_Вводные'!$B$218*'19_Расчет_аналитики'!U2584,MeanMinAge10)))</f>
        <v/>
      </c>
      <c r="V2525">
        <f>IF(OR(('19_Расчет_аналитики'!V2441-'19_Расчет_аналитики'!V2469)=0,10&lt;='01_Вводные'!$B$297),0,('19_Расчет_аналитики'!V2441-'19_Расчет_аналитики'!V2469)*IF('01_Вводные'!$B$239="Да",MeanMinAge10+'19_Расчет_аналитики'!V2584*SUMIF(ThresholdAge10,"&lt;"&amp;'19_Расчет_аналитики'!V2584,WeightedRevAge10)-SUMIF(ThresholdAge10,"&lt;"&amp;'19_Расчет_аналитики'!V2584,WeightedMinAge10),MAX(CapacityAge10*'01_Вводные'!$B$218*'19_Расчет_аналитики'!V2584,MeanMinAge10)))</f>
        <v/>
      </c>
      <c r="W2525">
        <f>IF(OR(('19_Расчет_аналитики'!W2441-'19_Расчет_аналитики'!W2469)=0,10&lt;='01_Вводные'!$B$297),0,('19_Расчет_аналитики'!W2441-'19_Расчет_аналитики'!W2469)*IF('01_Вводные'!$B$239="Да",MeanMinAge10+'19_Расчет_аналитики'!W2584*SUMIF(ThresholdAge10,"&lt;"&amp;'19_Расчет_аналитики'!W2584,WeightedRevAge10)-SUMIF(ThresholdAge10,"&lt;"&amp;'19_Расчет_аналитики'!W2584,WeightedMinAge10),MAX(CapacityAge10*'01_Вводные'!$B$218*'19_Расчет_аналитики'!W2584,MeanMinAge10)))</f>
        <v/>
      </c>
      <c r="X2525">
        <f>IF(OR(('19_Расчет_аналитики'!X2441-'19_Расчет_аналитики'!X2469)=0,10&lt;='01_Вводные'!$B$297),0,('19_Расчет_аналитики'!X2441-'19_Расчет_аналитики'!X2469)*IF('01_Вводные'!$B$239="Да",MeanMinAge10+'19_Расчет_аналитики'!X2584*SUMIF(ThresholdAge10,"&lt;"&amp;'19_Расчет_аналитики'!X2584,WeightedRevAge10)-SUMIF(ThresholdAge10,"&lt;"&amp;'19_Расчет_аналитики'!X2584,WeightedMinAge10),MAX(CapacityAge10*'01_Вводные'!$B$218*'19_Расчет_аналитики'!X2584,MeanMinAge10)))</f>
        <v/>
      </c>
      <c r="Y2525">
        <f>IF(OR(('19_Расчет_аналитики'!Y2441-'19_Расчет_аналитики'!Y2469)=0,10&lt;='01_Вводные'!$B$297),0,('19_Расчет_аналитики'!Y2441-'19_Расчет_аналитики'!Y2469)*IF('01_Вводные'!$B$239="Да",MeanMinAge10+'19_Расчет_аналитики'!Y2584*SUMIF(ThresholdAge10,"&lt;"&amp;'19_Расчет_аналитики'!Y2584,WeightedRevAge10)-SUMIF(ThresholdAge10,"&lt;"&amp;'19_Расчет_аналитики'!Y2584,WeightedMinAge10),MAX(CapacityAge10*'01_Вводные'!$B$218*'19_Расчет_аналитики'!Y2584,MeanMinAge10)))</f>
        <v/>
      </c>
      <c r="Z2525">
        <f>IF(OR(('19_Расчет_аналитики'!Z2441-'19_Расчет_аналитики'!Z2469)=0,10&lt;='01_Вводные'!$B$297),0,('19_Расчет_аналитики'!Z2441-'19_Расчет_аналитики'!Z2469)*IF('01_Вводные'!$B$239="Да",MeanMinAge10+'19_Расчет_аналитики'!Z2584*SUMIF(ThresholdAge10,"&lt;"&amp;'19_Расчет_аналитики'!Z2584,WeightedRevAge10)-SUMIF(ThresholdAge10,"&lt;"&amp;'19_Расчет_аналитики'!Z2584,WeightedMinAge10),MAX(CapacityAge10*'01_Вводные'!$B$218*'19_Расчет_аналитики'!Z2584,MeanMinAge10)))</f>
        <v/>
      </c>
      <c r="AA2525">
        <f>IF(OR(('19_Расчет_аналитики'!AA2441-'19_Расчет_аналитики'!AA2469)=0,10&lt;='01_Вводные'!$B$297),0,('19_Расчет_аналитики'!AA2441-'19_Расчет_аналитики'!AA2469)*IF('01_Вводные'!$B$239="Да",MeanMinAge10+'19_Расчет_аналитики'!AA2584*SUMIF(ThresholdAge10,"&lt;"&amp;'19_Расчет_аналитики'!AA2584,WeightedRevAge10)-SUMIF(ThresholdAge10,"&lt;"&amp;'19_Расчет_аналитики'!AA2584,WeightedMinAge10),MAX(CapacityAge10*'01_Вводные'!$B$218*'19_Расчет_аналитики'!AA2584,MeanMinAge10)))</f>
        <v/>
      </c>
      <c r="AB2525">
        <f>IF(OR(('19_Расчет_аналитики'!AB2441-'19_Расчет_аналитики'!AB2469)=0,10&lt;='01_Вводные'!$B$297),0,('19_Расчет_аналитики'!AB2441-'19_Расчет_аналитики'!AB2469)*IF('01_Вводные'!$B$239="Да",MeanMinAge10+'19_Расчет_аналитики'!AB2584*SUMIF(ThresholdAge10,"&lt;"&amp;'19_Расчет_аналитики'!AB2584,WeightedRevAge10)-SUMIF(ThresholdAge10,"&lt;"&amp;'19_Расчет_аналитики'!AB2584,WeightedMinAge10),MAX(CapacityAge10*'01_Вводные'!$B$218*'19_Расчет_аналитики'!AB2584,MeanMinAge10)))</f>
        <v/>
      </c>
      <c r="AC2525">
        <f>IF(OR(('19_Расчет_аналитики'!AC2441-'19_Расчет_аналитики'!AC2469)=0,10&lt;='01_Вводные'!$B$297),0,('19_Расчет_аналитики'!AC2441-'19_Расчет_аналитики'!AC2469)*IF('01_Вводные'!$B$239="Да",MeanMinAge10+'19_Расчет_аналитики'!AC2584*SUMIF(ThresholdAge10,"&lt;"&amp;'19_Расчет_аналитики'!AC2584,WeightedRevAge10)-SUMIF(ThresholdAge10,"&lt;"&amp;'19_Расчет_аналитики'!AC2584,WeightedMinAge10),MAX(CapacityAge10*'01_Вводные'!$B$218*'19_Расчет_аналитики'!AC2584,MeanMinAge10)))</f>
        <v/>
      </c>
      <c r="AD2525">
        <f>IF(OR(('19_Расчет_аналитики'!AD2441-'19_Расчет_аналитики'!AD2469)=0,10&lt;='01_Вводные'!$B$297),0,('19_Расчет_аналитики'!AD2441-'19_Расчет_аналитики'!AD2469)*IF('01_Вводные'!$B$239="Да",MeanMinAge10+'19_Расчет_аналитики'!AD2584*SUMIF(ThresholdAge10,"&lt;"&amp;'19_Расчет_аналитики'!AD2584,WeightedRevAge10)-SUMIF(ThresholdAge10,"&lt;"&amp;'19_Расчет_аналитики'!AD2584,WeightedMinAge10),MAX(CapacityAge10*'01_Вводные'!$B$218*'19_Расчет_аналитики'!AD2584,MeanMinAge10)))</f>
        <v/>
      </c>
      <c r="AE2525">
        <f>IF(OR(('19_Расчет_аналитики'!AE2441-'19_Расчет_аналитики'!AE2469)=0,10&lt;='01_Вводные'!$B$297),0,('19_Расчет_аналитики'!AE2441-'19_Расчет_аналитики'!AE2469)*IF('01_Вводные'!$B$239="Да",MeanMinAge10+'19_Расчет_аналитики'!AE2584*SUMIF(ThresholdAge10,"&lt;"&amp;'19_Расчет_аналитики'!AE2584,WeightedRevAge10)-SUMIF(ThresholdAge10,"&lt;"&amp;'19_Расчет_аналитики'!AE2584,WeightedMinAge10),MAX(CapacityAge10*'01_Вводные'!$B$218*'19_Расчет_аналитики'!AE2584,MeanMinAge10)))</f>
        <v/>
      </c>
      <c r="AF2525">
        <f>IF(OR(('19_Расчет_аналитики'!AF2441-'19_Расчет_аналитики'!AF2469)=0,10&lt;='01_Вводные'!$B$297),0,('19_Расчет_аналитики'!AF2441-'19_Расчет_аналитики'!AF2469)*IF('01_Вводные'!$B$239="Да",MeanMinAge10+'19_Расчет_аналитики'!AF2584*SUMIF(ThresholdAge10,"&lt;"&amp;'19_Расчет_аналитики'!AF2584,WeightedRevAge10)-SUMIF(ThresholdAge10,"&lt;"&amp;'19_Расчет_аналитики'!AF2584,WeightedMinAge10),MAX(CapacityAge10*'01_Вводные'!$B$218*'19_Расчет_аналитики'!AF2584,MeanMinAge10)))</f>
        <v/>
      </c>
      <c r="AG2525">
        <f>IF(OR(('19_Расчет_аналитики'!AG2441-'19_Расчет_аналитики'!AG2469)=0,10&lt;='01_Вводные'!$B$297),0,('19_Расчет_аналитики'!AG2441-'19_Расчет_аналитики'!AG2469)*IF('01_Вводные'!$B$239="Да",MeanMinAge10+'19_Расчет_аналитики'!AG2584*SUMIF(ThresholdAge10,"&lt;"&amp;'19_Расчет_аналитики'!AG2584,WeightedRevAge10)-SUMIF(ThresholdAge10,"&lt;"&amp;'19_Расчет_аналитики'!AG2584,WeightedMinAge10),MAX(CapacityAge10*'01_Вводные'!$B$218*'19_Расчет_аналитики'!AG2584,MeanMinAge10)))</f>
        <v/>
      </c>
      <c r="AH2525">
        <f>IF(OR(('19_Расчет_аналитики'!AH2441-'19_Расчет_аналитики'!AH2469)=0,10&lt;='01_Вводные'!$B$297),0,('19_Расчет_аналитики'!AH2441-'19_Расчет_аналитики'!AH2469)*IF('01_Вводные'!$B$239="Да",MeanMinAge10+'19_Расчет_аналитики'!AH2584*SUMIF(ThresholdAge10,"&lt;"&amp;'19_Расчет_аналитики'!AH2584,WeightedRevAge10)-SUMIF(ThresholdAge10,"&lt;"&amp;'19_Расчет_аналитики'!AH2584,WeightedMinAge10),MAX(CapacityAge10*'01_Вводные'!$B$218*'19_Расчет_аналитики'!AH2584,MeanMinAge10)))</f>
        <v/>
      </c>
      <c r="AI2525">
        <f>IF(OR(('19_Расчет_аналитики'!AI2441-'19_Расчет_аналитики'!AI2469)=0,10&lt;='01_Вводные'!$B$297),0,('19_Расчет_аналитики'!AI2441-'19_Расчет_аналитики'!AI2469)*IF('01_Вводные'!$B$239="Да",MeanMinAge10+'19_Расчет_аналитики'!AI2584*SUMIF(ThresholdAge10,"&lt;"&amp;'19_Расчет_аналитики'!AI2584,WeightedRevAge10)-SUMIF(ThresholdAge10,"&lt;"&amp;'19_Расчет_аналитики'!AI2584,WeightedMinAge10),MAX(CapacityAge10*'01_Вводные'!$B$218*'19_Расчет_аналитики'!AI2584,MeanMinAge10)))</f>
        <v/>
      </c>
      <c r="AJ2525">
        <f>IF(OR(('19_Расчет_аналитики'!AJ2441-'19_Расчет_аналитики'!AJ2469)=0,10&lt;='01_Вводные'!$B$297),0,('19_Расчет_аналитики'!AJ2441-'19_Расчет_аналитики'!AJ2469)*IF('01_Вводные'!$B$239="Да",MeanMinAge10+'19_Расчет_аналитики'!AJ2584*SUMIF(ThresholdAge10,"&lt;"&amp;'19_Расчет_аналитики'!AJ2584,WeightedRevAge10)-SUMIF(ThresholdAge10,"&lt;"&amp;'19_Расчет_аналитики'!AJ2584,WeightedMinAge10),MAX(CapacityAge10*'01_Вводные'!$B$218*'19_Расчет_аналитики'!AJ2584,MeanMinAge10)))</f>
        <v/>
      </c>
      <c r="AK2525">
        <f>IF(OR(('19_Расчет_аналитики'!AK2441-'19_Расчет_аналитики'!AK2469)=0,10&lt;='01_Вводные'!$B$297),0,('19_Расчет_аналитики'!AK2441-'19_Расчет_аналитики'!AK2469)*IF('01_Вводные'!$B$239="Да",MeanMinAge10+'19_Расчет_аналитики'!AK2584*SUMIF(ThresholdAge10,"&lt;"&amp;'19_Расчет_аналитики'!AK2584,WeightedRevAge10)-SUMIF(ThresholdAge10,"&lt;"&amp;'19_Расчет_аналитики'!AK2584,WeightedMinAge10),MAX(CapacityAge10*'01_Вводные'!$B$218*'19_Расчет_аналитики'!AK2584,MeanMinAge10)))</f>
        <v/>
      </c>
      <c r="AL2525">
        <f>IF(OR(('19_Расчет_аналитики'!AL2441-'19_Расчет_аналитики'!AL2469)=0,10&lt;='01_Вводные'!$B$297),0,('19_Расчет_аналитики'!AL2441-'19_Расчет_аналитики'!AL2469)*IF('01_Вводные'!$B$239="Да",MeanMinAge10+'19_Расчет_аналитики'!AL2584*SUMIF(ThresholdAge10,"&lt;"&amp;'19_Расчет_аналитики'!AL2584,WeightedRevAge10)-SUMIF(ThresholdAge10,"&lt;"&amp;'19_Расчет_аналитики'!AL2584,WeightedMinAge10),MAX(CapacityAge10*'01_Вводные'!$B$218*'19_Расчет_аналитики'!AL2584,MeanMinAge10)))</f>
        <v/>
      </c>
      <c r="AM2525">
        <f>IF(OR(('19_Расчет_аналитики'!AM2441-'19_Расчет_аналитики'!AM2469)=0,10&lt;='01_Вводные'!$B$297),0,('19_Расчет_аналитики'!AM2441-'19_Расчет_аналитики'!AM2469)*IF('01_Вводные'!$B$239="Да",MeanMinAge10+'19_Расчет_аналитики'!AM2584*SUMIF(ThresholdAge10,"&lt;"&amp;'19_Расчет_аналитики'!AM2584,WeightedRevAge10)-SUMIF(ThresholdAge10,"&lt;"&amp;'19_Расчет_аналитики'!AM2584,WeightedMinAge10),MAX(CapacityAge10*'01_Вводные'!$B$218*'19_Расчет_аналитики'!AM2584,MeanMinAge10)))</f>
        <v/>
      </c>
      <c r="AN2525">
        <f>IF(OR(('19_Расчет_аналитики'!AN2441-'19_Расчет_аналитики'!AN2469)=0,10&lt;='01_Вводные'!$B$297),0,('19_Расчет_аналитики'!AN2441-'19_Расчет_аналитики'!AN2469)*IF('01_Вводные'!$B$239="Да",MeanMinAge10+'19_Расчет_аналитики'!AN2584*SUMIF(ThresholdAge10,"&lt;"&amp;'19_Расчет_аналитики'!AN2584,WeightedRevAge10)-SUMIF(ThresholdAge10,"&lt;"&amp;'19_Расчет_аналитики'!AN2584,WeightedMinAge10),MAX(CapacityAge10*'01_Вводные'!$B$218*'19_Расчет_аналитики'!AN2584,MeanMinAge10)))</f>
        <v/>
      </c>
      <c r="AO2525">
        <f>IF(OR(('19_Расчет_аналитики'!AO2441-'19_Расчет_аналитики'!AO2469)=0,10&lt;='01_Вводные'!$B$297),0,('19_Расчет_аналитики'!AO2441-'19_Расчет_аналитики'!AO2469)*IF('01_Вводные'!$B$239="Да",MeanMinAge10+'19_Расчет_аналитики'!AO2584*SUMIF(ThresholdAge10,"&lt;"&amp;'19_Расчет_аналитики'!AO2584,WeightedRevAge10)-SUMIF(ThresholdAge10,"&lt;"&amp;'19_Расчет_аналитики'!AO2584,WeightedMinAge10),MAX(CapacityAge10*'01_Вводные'!$B$218*'19_Расчет_аналитики'!AO2584,MeanMinAge10)))</f>
        <v/>
      </c>
      <c r="AP2525">
        <f>IF(OR(('19_Расчет_аналитики'!AP2441-'19_Расчет_аналитики'!AP2469)=0,10&lt;='01_Вводные'!$B$297),0,('19_Расчет_аналитики'!AP2441-'19_Расчет_аналитики'!AP2469)*IF('01_Вводные'!$B$239="Да",MeanMinAge10+'19_Расчет_аналитики'!AP2584*SUMIF(ThresholdAge10,"&lt;"&amp;'19_Расчет_аналитики'!AP2584,WeightedRevAge10)-SUMIF(ThresholdAge10,"&lt;"&amp;'19_Расчет_аналитики'!AP2584,WeightedMinAge10),MAX(CapacityAge10*'01_Вводные'!$B$218*'19_Расчет_аналитики'!AP2584,MeanMinAge10)))</f>
        <v/>
      </c>
      <c r="AQ2525">
        <f>IF(OR(('19_Расчет_аналитики'!AQ2441-'19_Расчет_аналитики'!AQ2469)=0,10&lt;='01_Вводные'!$B$297),0,('19_Расчет_аналитики'!AQ2441-'19_Расчет_аналитики'!AQ2469)*IF('01_Вводные'!$B$239="Да",MeanMinAge10+'19_Расчет_аналитики'!AQ2584*SUMIF(ThresholdAge10,"&lt;"&amp;'19_Расчет_аналитики'!AQ2584,WeightedRevAge10)-SUMIF(ThresholdAge10,"&lt;"&amp;'19_Расчет_аналитики'!AQ2584,WeightedMinAge10),MAX(CapacityAge10*'01_Вводные'!$B$218*'19_Расчет_аналитики'!AQ2584,MeanMinAge10)))</f>
        <v/>
      </c>
      <c r="AR2525">
        <f>IF(OR(('19_Расчет_аналитики'!AR2441-'19_Расчет_аналитики'!AR2469)=0,10&lt;='01_Вводные'!$B$297),0,('19_Расчет_аналитики'!AR2441-'19_Расчет_аналитики'!AR2469)*IF('01_Вводные'!$B$239="Да",MeanMinAge10+'19_Расчет_аналитики'!AR2584*SUMIF(ThresholdAge10,"&lt;"&amp;'19_Расчет_аналитики'!AR2584,WeightedRevAge10)-SUMIF(ThresholdAge10,"&lt;"&amp;'19_Расчет_аналитики'!AR2584,WeightedMinAge10),MAX(CapacityAge10*'01_Вводные'!$B$218*'19_Расчет_аналитики'!AR2584,MeanMinAge10)))</f>
        <v/>
      </c>
      <c r="AS2525">
        <f>IF(OR(('19_Расчет_аналитики'!AS2441-'19_Расчет_аналитики'!AS2469)=0,10&lt;='01_Вводные'!$B$297),0,('19_Расчет_аналитики'!AS2441-'19_Расчет_аналитики'!AS2469)*IF('01_Вводные'!$B$239="Да",MeanMinAge10+'19_Расчет_аналитики'!AS2584*SUMIF(ThresholdAge10,"&lt;"&amp;'19_Расчет_аналитики'!AS2584,WeightedRevAge10)-SUMIF(ThresholdAge10,"&lt;"&amp;'19_Расчет_аналитики'!AS2584,WeightedMinAge10),MAX(CapacityAge10*'01_Вводные'!$B$218*'19_Расчет_аналитики'!AS2584,MeanMinAge10)))</f>
        <v/>
      </c>
      <c r="AT2525">
        <f>IF(OR(('19_Расчет_аналитики'!AT2441-'19_Расчет_аналитики'!AT2469)=0,10&lt;='01_Вводные'!$B$297),0,('19_Расчет_аналитики'!AT2441-'19_Расчет_аналитики'!AT2469)*IF('01_Вводные'!$B$239="Да",MeanMinAge10+'19_Расчет_аналитики'!AT2584*SUMIF(ThresholdAge10,"&lt;"&amp;'19_Расчет_аналитики'!AT2584,WeightedRevAge10)-SUMIF(ThresholdAge10,"&lt;"&amp;'19_Расчет_аналитики'!AT2584,WeightedMinAge10),MAX(CapacityAge10*'01_Вводные'!$B$218*'19_Расчет_аналитики'!AT2584,MeanMinAge10)))</f>
        <v/>
      </c>
      <c r="AU2525">
        <f>IF(OR(('19_Расчет_аналитики'!AU2441-'19_Расчет_аналитики'!AU2469)=0,10&lt;='01_Вводные'!$B$297),0,('19_Расчет_аналитики'!AU2441-'19_Расчет_аналитики'!AU2469)*IF('01_Вводные'!$B$239="Да",MeanMinAge10+'19_Расчет_аналитики'!AU2584*SUMIF(ThresholdAge10,"&lt;"&amp;'19_Расчет_аналитики'!AU2584,WeightedRevAge10)-SUMIF(ThresholdAge10,"&lt;"&amp;'19_Расчет_аналитики'!AU2584,WeightedMinAge10),MAX(CapacityAge10*'01_Вводные'!$B$218*'19_Расчет_аналитики'!AU2584,MeanMinAge10)))</f>
        <v/>
      </c>
      <c r="AV2525">
        <f>IF(OR(('19_Расчет_аналитики'!AV2441-'19_Расчет_аналитики'!AV2469)=0,10&lt;='01_Вводные'!$B$297),0,('19_Расчет_аналитики'!AV2441-'19_Расчет_аналитики'!AV2469)*IF('01_Вводные'!$B$239="Да",MeanMinAge10+'19_Расчет_аналитики'!AV2584*SUMIF(ThresholdAge10,"&lt;"&amp;'19_Расчет_аналитики'!AV2584,WeightedRevAge10)-SUMIF(ThresholdAge10,"&lt;"&amp;'19_Расчет_аналитики'!AV2584,WeightedMinAge10),MAX(CapacityAge10*'01_Вводные'!$B$218*'19_Расчет_аналитики'!AV2584,MeanMinAge10)))</f>
        <v/>
      </c>
      <c r="AW2525">
        <f>IF(OR(('19_Расчет_аналитики'!AW2441-'19_Расчет_аналитики'!AW2469)=0,10&lt;='01_Вводные'!$B$297),0,('19_Расчет_аналитики'!AW2441-'19_Расчет_аналитики'!AW2469)*IF('01_Вводные'!$B$239="Да",MeanMinAge10+'19_Расчет_аналитики'!AW2584*SUMIF(ThresholdAge10,"&lt;"&amp;'19_Расчет_аналитики'!AW2584,WeightedRevAge10)-SUMIF(ThresholdAge10,"&lt;"&amp;'19_Расчет_аналитики'!AW2584,WeightedMinAge10),MAX(CapacityAge10*'01_Вводные'!$B$218*'19_Расчет_аналитики'!AW2584,MeanMinAge10)))</f>
        <v/>
      </c>
      <c r="AX2525">
        <f>IF(OR(('19_Расчет_аналитики'!AX2441-'19_Расчет_аналитики'!AX2469)=0,10&lt;='01_Вводные'!$B$297),0,('19_Расчет_аналитики'!AX2441-'19_Расчет_аналитики'!AX2469)*IF('01_Вводные'!$B$239="Да",MeanMinAge10+'19_Расчет_аналитики'!AX2584*SUMIF(ThresholdAge10,"&lt;"&amp;'19_Расчет_аналитики'!AX2584,WeightedRevAge10)-SUMIF(ThresholdAge10,"&lt;"&amp;'19_Расчет_аналитики'!AX2584,WeightedMinAge10),MAX(CapacityAge10*'01_Вводные'!$B$218*'19_Расчет_аналитики'!AX2584,MeanMinAge10)))</f>
        <v/>
      </c>
      <c r="AY2525">
        <f>IF(OR(('19_Расчет_аналитики'!AY2441-'19_Расчет_аналитики'!AY2469)=0,10&lt;='01_Вводные'!$B$297),0,('19_Расчет_аналитики'!AY2441-'19_Расчет_аналитики'!AY2469)*IF('01_Вводные'!$B$239="Да",MeanMinAge10+'19_Расчет_аналитики'!AY2584*SUMIF(ThresholdAge10,"&lt;"&amp;'19_Расчет_аналитики'!AY2584,WeightedRevAge10)-SUMIF(ThresholdAge10,"&lt;"&amp;'19_Расчет_аналитики'!AY2584,WeightedMinAge10),MAX(CapacityAge10*'01_Вводные'!$B$218*'19_Расчет_аналитики'!AY2584,MeanMinAge10)))</f>
        <v/>
      </c>
      <c r="AZ2525">
        <f>IF(OR(('19_Расчет_аналитики'!AZ2441-'19_Расчет_аналитики'!AZ2469)=0,10&lt;='01_Вводные'!$B$297),0,('19_Расчет_аналитики'!AZ2441-'19_Расчет_аналитики'!AZ2469)*IF('01_Вводные'!$B$239="Да",MeanMinAge10+'19_Расчет_аналитики'!AZ2584*SUMIF(ThresholdAge10,"&lt;"&amp;'19_Расчет_аналитики'!AZ2584,WeightedRevAge10)-SUMIF(ThresholdAge10,"&lt;"&amp;'19_Расчет_аналитики'!AZ2584,WeightedMinAge10),MAX(CapacityAge10*'01_Вводные'!$B$218*'19_Расчет_аналитики'!AZ2584,MeanMinAge10)))</f>
        <v/>
      </c>
      <c r="BA2525">
        <f>IF(OR(('19_Расчет_аналитики'!BA2441-'19_Расчет_аналитики'!BA2469)=0,10&lt;='01_Вводные'!$B$297),0,('19_Расчет_аналитики'!BA2441-'19_Расчет_аналитики'!BA2469)*IF('01_Вводные'!$B$239="Да",MeanMinAge10+'19_Расчет_аналитики'!BA2584*SUMIF(ThresholdAge10,"&lt;"&amp;'19_Расчет_аналитики'!BA2584,WeightedRevAge10)-SUMIF(ThresholdAge10,"&lt;"&amp;'19_Расчет_аналитики'!BA2584,WeightedMinAge10),MAX(CapacityAge10*'01_Вводные'!$B$218*'19_Расчет_аналитики'!BA2584,MeanMinAge10)))</f>
        <v/>
      </c>
      <c r="BB2525">
        <f>IF(OR(('19_Расчет_аналитики'!BB2441-'19_Расчет_аналитики'!BB2469)=0,10&lt;='01_Вводные'!$B$297),0,('19_Расчет_аналитики'!BB2441-'19_Расчет_аналитики'!BB2469)*IF('01_Вводные'!$B$239="Да",MeanMinAge10+'19_Расчет_аналитики'!BB2584*SUMIF(ThresholdAge10,"&lt;"&amp;'19_Расчет_аналитики'!BB2584,WeightedRevAge10)-SUMIF(ThresholdAge10,"&lt;"&amp;'19_Расчет_аналитики'!BB2584,WeightedMinAge10),MAX(CapacityAge10*'01_Вводные'!$B$218*'19_Расчет_аналитики'!BB2584,MeanMinAge10)))</f>
        <v/>
      </c>
      <c r="BC2525">
        <f>IF(OR(('19_Расчет_аналитики'!BC2441-'19_Расчет_аналитики'!BC2469)=0,10&lt;='01_Вводные'!$B$297),0,('19_Расчет_аналитики'!BC2441-'19_Расчет_аналитики'!BC2469)*IF('01_Вводные'!$B$239="Да",MeanMinAge10+'19_Расчет_аналитики'!BC2584*SUMIF(ThresholdAge10,"&lt;"&amp;'19_Расчет_аналитики'!BC2584,WeightedRevAge10)-SUMIF(ThresholdAge10,"&lt;"&amp;'19_Расчет_аналитики'!BC2584,WeightedMinAge10),MAX(CapacityAge10*'01_Вводные'!$B$218*'19_Расчет_аналитики'!BC2584,MeanMinAge10)))</f>
        <v/>
      </c>
      <c r="BD2525">
        <f>IF(OR(('19_Расчет_аналитики'!BD2441-'19_Расчет_аналитики'!BD2469)=0,10&lt;='01_Вводные'!$B$297),0,('19_Расчет_аналитики'!BD2441-'19_Расчет_аналитики'!BD2469)*IF('01_Вводные'!$B$239="Да",MeanMinAge10+'19_Расчет_аналитики'!BD2584*SUMIF(ThresholdAge10,"&lt;"&amp;'19_Расчет_аналитики'!BD2584,WeightedRevAge10)-SUMIF(ThresholdAge10,"&lt;"&amp;'19_Расчет_аналитики'!BD2584,WeightedMinAge10),MAX(CapacityAge10*'01_Вводные'!$B$218*'19_Расчет_аналитики'!BD2584,MeanMinAge10)))</f>
        <v/>
      </c>
      <c r="BE2525">
        <f>IF(OR(('19_Расчет_аналитики'!BE2441-'19_Расчет_аналитики'!BE2469)=0,10&lt;='01_Вводные'!$B$297),0,('19_Расчет_аналитики'!BE2441-'19_Расчет_аналитики'!BE2469)*IF('01_Вводные'!$B$239="Да",MeanMinAge10+'19_Расчет_аналитики'!BE2584*SUMIF(ThresholdAge10,"&lt;"&amp;'19_Расчет_аналитики'!BE2584,WeightedRevAge10)-SUMIF(ThresholdAge10,"&lt;"&amp;'19_Расчет_аналитики'!BE2584,WeightedMinAge10),MAX(CapacityAge10*'01_Вводные'!$B$218*'19_Расчет_аналитики'!BE2584,MeanMinAge10)))</f>
        <v/>
      </c>
      <c r="BF2525">
        <f>IF(OR(('19_Расчет_аналитики'!BF2441-'19_Расчет_аналитики'!BF2469)=0,10&lt;='01_Вводные'!$B$297),0,('19_Расчет_аналитики'!BF2441-'19_Расчет_аналитики'!BF2469)*IF('01_Вводные'!$B$239="Да",MeanMinAge10+'19_Расчет_аналитики'!BF2584*SUMIF(ThresholdAge10,"&lt;"&amp;'19_Расчет_аналитики'!BF2584,WeightedRevAge10)-SUMIF(ThresholdAge10,"&lt;"&amp;'19_Расчет_аналитики'!BF2584,WeightedMinAge10),MAX(CapacityAge10*'01_Вводные'!$B$218*'19_Расчет_аналитики'!BF2584,MeanMinAge10)))</f>
        <v/>
      </c>
      <c r="BG2525">
        <f>IF(OR(('19_Расчет_аналитики'!BG2441-'19_Расчет_аналитики'!BG2469)=0,10&lt;='01_Вводные'!$B$297),0,('19_Расчет_аналитики'!BG2441-'19_Расчет_аналитики'!BG2469)*IF('01_Вводные'!$B$239="Да",MeanMinAge10+'19_Расчет_аналитики'!BG2584*SUMIF(ThresholdAge10,"&lt;"&amp;'19_Расчет_аналитики'!BG2584,WeightedRevAge10)-SUMIF(ThresholdAge10,"&lt;"&amp;'19_Расчет_аналитики'!BG2584,WeightedMinAge10),MAX(CapacityAge10*'01_Вводные'!$B$218*'19_Расчет_аналитики'!BG2584,MeanMinAge10)))</f>
        <v/>
      </c>
      <c r="BH2525">
        <f>IF(OR(('19_Расчет_аналитики'!BH2441-'19_Расчет_аналитики'!BH2469)=0,10&lt;='01_Вводные'!$B$297),0,('19_Расчет_аналитики'!BH2441-'19_Расчет_аналитики'!BH2469)*IF('01_Вводные'!$B$239="Да",MeanMinAge10+'19_Расчет_аналитики'!BH2584*SUMIF(ThresholdAge10,"&lt;"&amp;'19_Расчет_аналитики'!BH2584,WeightedRevAge10)-SUMIF(ThresholdAge10,"&lt;"&amp;'19_Расчет_аналитики'!BH2584,WeightedMinAge10),MAX(CapacityAge10*'01_Вводные'!$B$218*'19_Расчет_аналитики'!BH2584,MeanMinAge10)))</f>
        <v/>
      </c>
      <c r="BI2525">
        <f>IF(OR(('19_Расчет_аналитики'!BI2441-'19_Расчет_аналитики'!BI2469)=0,10&lt;='01_Вводные'!$B$297),0,('19_Расчет_аналитики'!BI2441-'19_Расчет_аналитики'!BI2469)*IF('01_Вводные'!$B$239="Да",MeanMinAge10+'19_Расчет_аналитики'!BI2584*SUMIF(ThresholdAge10,"&lt;"&amp;'19_Расчет_аналитики'!BI2584,WeightedRevAge10)-SUMIF(ThresholdAge10,"&lt;"&amp;'19_Расчет_аналитики'!BI2584,WeightedMinAge10),MAX(CapacityAge10*'01_Вводные'!$B$218*'19_Расчет_аналитики'!BI2584,MeanMinAge10)))</f>
        <v/>
      </c>
      <c r="BJ2525">
        <f>IF(OR(('19_Расчет_аналитики'!BJ2441-'19_Расчет_аналитики'!BJ2469)=0,10&lt;='01_Вводные'!$B$297),0,('19_Расчет_аналитики'!BJ2441-'19_Расчет_аналитики'!BJ2469)*IF('01_Вводные'!$B$239="Да",MeanMinAge10+'19_Расчет_аналитики'!BJ2584*SUMIF(ThresholdAge10,"&lt;"&amp;'19_Расчет_аналитики'!BJ2584,WeightedRevAge10)-SUMIF(ThresholdAge10,"&lt;"&amp;'19_Расчет_аналитики'!BJ2584,WeightedMinAge10),MAX(CapacityAge10*'01_Вводные'!$B$218*'19_Расчет_аналитики'!BJ2584,MeanMinAge10)))</f>
        <v/>
      </c>
      <c r="BK2525">
        <f>IF(OR(('19_Расчет_аналитики'!BK2441-'19_Расчет_аналитики'!BK2469)=0,10&lt;='01_Вводные'!$B$297),0,('19_Расчет_аналитики'!BK2441-'19_Расчет_аналитики'!BK2469)*IF('01_Вводные'!$B$239="Да",MeanMinAge10+'19_Расчет_аналитики'!BK2584*SUMIF(ThresholdAge10,"&lt;"&amp;'19_Расчет_аналитики'!BK2584,WeightedRevAge10)-SUMIF(ThresholdAge10,"&lt;"&amp;'19_Расчет_аналитики'!BK2584,WeightedMinAge10),MAX(CapacityAge10*'01_Вводные'!$B$218*'19_Расчет_аналитики'!BK2584,MeanMinAge10)))</f>
        <v/>
      </c>
      <c r="BL2525">
        <f>IF(OR(('19_Расчет_аналитики'!BL2441-'19_Расчет_аналитики'!BL2469)=0,10&lt;='01_Вводные'!$B$297),0,('19_Расчет_аналитики'!BL2441-'19_Расчет_аналитики'!BL2469)*IF('01_Вводные'!$B$239="Да",MeanMinAge10+'19_Расчет_аналитики'!BL2584*SUMIF(ThresholdAge10,"&lt;"&amp;'19_Расчет_аналитики'!BL2584,WeightedRevAge10)-SUMIF(ThresholdAge10,"&lt;"&amp;'19_Расчет_аналитики'!BL2584,WeightedMinAge10),MAX(CapacityAge10*'01_Вводные'!$B$218*'19_Расчет_аналитики'!BL2584,MeanMinAge10)))</f>
        <v/>
      </c>
      <c r="BM2525">
        <f>IF(OR(('19_Расчет_аналитики'!BM2441-'19_Расчет_аналитики'!BM2469)=0,10&lt;='01_Вводные'!$B$297),0,('19_Расчет_аналитики'!BM2441-'19_Расчет_аналитики'!BM2469)*IF('01_Вводные'!$B$239="Да",MeanMinAge10+'19_Расчет_аналитики'!BM2584*SUMIF(ThresholdAge10,"&lt;"&amp;'19_Расчет_аналитики'!BM2584,WeightedRevAge10)-SUMIF(ThresholdAge10,"&lt;"&amp;'19_Расчет_аналитики'!BM2584,WeightedMinAge10),MAX(CapacityAge10*'01_Вводные'!$B$218*'19_Расчет_аналитики'!BM2584,MeanMinAge10)))</f>
        <v/>
      </c>
      <c r="BN2525">
        <f>IF(OR(('19_Расчет_аналитики'!BN2441-'19_Расчет_аналитики'!BN2469)=0,10&lt;='01_Вводные'!$B$297),0,('19_Расчет_аналитики'!BN2441-'19_Расчет_аналитики'!BN2469)*IF('01_Вводные'!$B$239="Да",MeanMinAge10+'19_Расчет_аналитики'!BN2584*SUMIF(ThresholdAge10,"&lt;"&amp;'19_Расчет_аналитики'!BN2584,WeightedRevAge10)-SUMIF(ThresholdAge10,"&lt;"&amp;'19_Расчет_аналитики'!BN2584,WeightedMinAge10),MAX(CapacityAge10*'01_Вводные'!$B$218*'19_Расчет_аналитики'!BN2584,MeanMinAge10)))</f>
        <v/>
      </c>
      <c r="BO2525">
        <f>IF(OR(('19_Расчет_аналитики'!BO2441-'19_Расчет_аналитики'!BO2469)=0,10&lt;='01_Вводные'!$B$297),0,('19_Расчет_аналитики'!BO2441-'19_Расчет_аналитики'!BO2469)*IF('01_Вводные'!$B$239="Да",MeanMinAge10+'19_Расчет_аналитики'!BO2584*SUMIF(ThresholdAge10,"&lt;"&amp;'19_Расчет_аналитики'!BO2584,WeightedRevAge10)-SUMIF(ThresholdAge10,"&lt;"&amp;'19_Расчет_аналитики'!BO2584,WeightedMinAge10),MAX(CapacityAge10*'01_Вводные'!$B$218*'19_Расчет_аналитики'!BO2584,MeanMinAge10)))</f>
        <v/>
      </c>
    </row>
    <row r="2526">
      <c r="B2526">
        <f>IF(OR(('06_Сеть_и_дети'!B63-'06_Сеть_и_дети'!B91)=0,11&lt;='01_Вводные'!$B$297),0,('06_Сеть_и_дети'!B63-'06_Сеть_и_дети'!B91)*IF('01_Вводные'!$B$239="Да",MeanMinAge11+'19_Расчет_аналитики'!B2584*SUMIF(ThresholdAge11,"&lt;"&amp;'19_Расчет_аналитики'!B2584,WeightedRevAge11)-SUMIF(ThresholdAge11,"&lt;"&amp;'19_Расчет_аналитики'!B2584,WeightedMinAge11),MAX(CapacityAge11*'01_Вводные'!$B$218*'19_Расчет_аналитики'!B2584,MeanMinAge11)))</f>
        <v/>
      </c>
      <c r="C2526">
        <f>IF(OR(('06_Сеть_и_дети'!C63-'06_Сеть_и_дети'!C91)=0,11&lt;='01_Вводные'!$B$297),0,('06_Сеть_и_дети'!C63-'06_Сеть_и_дети'!C91)*IF('01_Вводные'!$B$239="Да",MeanMinAge11+'19_Расчет_аналитики'!C2584*SUMIF(ThresholdAge11,"&lt;"&amp;'19_Расчет_аналитики'!C2584,WeightedRevAge11)-SUMIF(ThresholdAge11,"&lt;"&amp;'19_Расчет_аналитики'!C2584,WeightedMinAge11),MAX(CapacityAge11*'01_Вводные'!$B$218*'19_Расчет_аналитики'!C2584,MeanMinAge11)))</f>
        <v/>
      </c>
      <c r="D2526">
        <f>IF(OR(('06_Сеть_и_дети'!D63-'06_Сеть_и_дети'!D91)=0,11&lt;='01_Вводные'!$B$297),0,('06_Сеть_и_дети'!D63-'06_Сеть_и_дети'!D91)*IF('01_Вводные'!$B$239="Да",MeanMinAge11+'19_Расчет_аналитики'!D2584*SUMIF(ThresholdAge11,"&lt;"&amp;'19_Расчет_аналитики'!D2584,WeightedRevAge11)-SUMIF(ThresholdAge11,"&lt;"&amp;'19_Расчет_аналитики'!D2584,WeightedMinAge11),MAX(CapacityAge11*'01_Вводные'!$B$218*'19_Расчет_аналитики'!D2584,MeanMinAge11)))</f>
        <v/>
      </c>
      <c r="E2526">
        <f>IF(OR(('06_Сеть_и_дети'!E63-'06_Сеть_и_дети'!E91)=0,11&lt;='01_Вводные'!$B$297),0,('06_Сеть_и_дети'!E63-'06_Сеть_и_дети'!E91)*IF('01_Вводные'!$B$239="Да",MeanMinAge11+'19_Расчет_аналитики'!E2584*SUMIF(ThresholdAge11,"&lt;"&amp;'19_Расчет_аналитики'!E2584,WeightedRevAge11)-SUMIF(ThresholdAge11,"&lt;"&amp;'19_Расчет_аналитики'!E2584,WeightedMinAge11),MAX(CapacityAge11*'01_Вводные'!$B$218*'19_Расчет_аналитики'!E2584,MeanMinAge11)))</f>
        <v/>
      </c>
      <c r="F2526">
        <f>IF(OR(('06_Сеть_и_дети'!F63-'06_Сеть_и_дети'!F91)=0,11&lt;='01_Вводные'!$B$297),0,('06_Сеть_и_дети'!F63-'06_Сеть_и_дети'!F91)*IF('01_Вводные'!$B$239="Да",MeanMinAge11+'19_Расчет_аналитики'!F2584*SUMIF(ThresholdAge11,"&lt;"&amp;'19_Расчет_аналитики'!F2584,WeightedRevAge11)-SUMIF(ThresholdAge11,"&lt;"&amp;'19_Расчет_аналитики'!F2584,WeightedMinAge11),MAX(CapacityAge11*'01_Вводные'!$B$218*'19_Расчет_аналитики'!F2584,MeanMinAge11)))</f>
        <v/>
      </c>
      <c r="G2526">
        <f>IF(OR(('06_Сеть_и_дети'!G63-'06_Сеть_и_дети'!G91)=0,11&lt;='01_Вводные'!$B$297),0,('06_Сеть_и_дети'!G63-'06_Сеть_и_дети'!G91)*IF('01_Вводные'!$B$239="Да",MeanMinAge11+'19_Расчет_аналитики'!G2584*SUMIF(ThresholdAge11,"&lt;"&amp;'19_Расчет_аналитики'!G2584,WeightedRevAge11)-SUMIF(ThresholdAge11,"&lt;"&amp;'19_Расчет_аналитики'!G2584,WeightedMinAge11),MAX(CapacityAge11*'01_Вводные'!$B$218*'19_Расчет_аналитики'!G2584,MeanMinAge11)))</f>
        <v/>
      </c>
      <c r="H2526">
        <f>IF(OR(('06_Сеть_и_дети'!H63-'06_Сеть_и_дети'!H91)=0,11&lt;='01_Вводные'!$B$297),0,('06_Сеть_и_дети'!H63-'06_Сеть_и_дети'!H91)*IF('01_Вводные'!$B$239="Да",MeanMinAge11+'19_Расчет_аналитики'!H2584*SUMIF(ThresholdAge11,"&lt;"&amp;'19_Расчет_аналитики'!H2584,WeightedRevAge11)-SUMIF(ThresholdAge11,"&lt;"&amp;'19_Расчет_аналитики'!H2584,WeightedMinAge11),MAX(CapacityAge11*'01_Вводные'!$B$218*'19_Расчет_аналитики'!H2584,MeanMinAge11)))</f>
        <v/>
      </c>
      <c r="I2526">
        <f>IF(OR(('06_Сеть_и_дети'!I63-'06_Сеть_и_дети'!I91)=0,11&lt;='01_Вводные'!$B$297),0,('06_Сеть_и_дети'!I63-'06_Сеть_и_дети'!I91)*IF('01_Вводные'!$B$239="Да",MeanMinAge11+'19_Расчет_аналитики'!I2584*SUMIF(ThresholdAge11,"&lt;"&amp;'19_Расчет_аналитики'!I2584,WeightedRevAge11)-SUMIF(ThresholdAge11,"&lt;"&amp;'19_Расчет_аналитики'!I2584,WeightedMinAge11),MAX(CapacityAge11*'01_Вводные'!$B$218*'19_Расчет_аналитики'!I2584,MeanMinAge11)))</f>
        <v/>
      </c>
      <c r="J2526">
        <f>IF(OR(('06_Сеть_и_дети'!J63-'06_Сеть_и_дети'!J91)=0,11&lt;='01_Вводные'!$B$297),0,('06_Сеть_и_дети'!J63-'06_Сеть_и_дети'!J91)*IF('01_Вводные'!$B$239="Да",MeanMinAge11+'19_Расчет_аналитики'!J2584*SUMIF(ThresholdAge11,"&lt;"&amp;'19_Расчет_аналитики'!J2584,WeightedRevAge11)-SUMIF(ThresholdAge11,"&lt;"&amp;'19_Расчет_аналитики'!J2584,WeightedMinAge11),MAX(CapacityAge11*'01_Вводные'!$B$218*'19_Расчет_аналитики'!J2584,MeanMinAge11)))</f>
        <v/>
      </c>
      <c r="K2526">
        <f>IF(OR(('06_Сеть_и_дети'!K63-'06_Сеть_и_дети'!K91)=0,11&lt;='01_Вводные'!$B$297),0,('06_Сеть_и_дети'!K63-'06_Сеть_и_дети'!K91)*IF('01_Вводные'!$B$239="Да",MeanMinAge11+'19_Расчет_аналитики'!K2584*SUMIF(ThresholdAge11,"&lt;"&amp;'19_Расчет_аналитики'!K2584,WeightedRevAge11)-SUMIF(ThresholdAge11,"&lt;"&amp;'19_Расчет_аналитики'!K2584,WeightedMinAge11),MAX(CapacityAge11*'01_Вводные'!$B$218*'19_Расчет_аналитики'!K2584,MeanMinAge11)))</f>
        <v/>
      </c>
      <c r="L2526">
        <f>IF(OR(('19_Расчет_аналитики'!L2442-'19_Расчет_аналитики'!L2470)=0,11&lt;='01_Вводные'!$B$297),0,('19_Расчет_аналитики'!L2442-'19_Расчет_аналитики'!L2470)*IF('01_Вводные'!$B$239="Да",MeanMinAge11+'19_Расчет_аналитики'!L2584*SUMIF(ThresholdAge11,"&lt;"&amp;'19_Расчет_аналитики'!L2584,WeightedRevAge11)-SUMIF(ThresholdAge11,"&lt;"&amp;'19_Расчет_аналитики'!L2584,WeightedMinAge11),MAX(CapacityAge11*'01_Вводные'!$B$218*'19_Расчет_аналитики'!L2584,MeanMinAge11)))</f>
        <v/>
      </c>
      <c r="M2526">
        <f>IF(OR(('19_Расчет_аналитики'!M2442-'19_Расчет_аналитики'!M2470)=0,11&lt;='01_Вводные'!$B$297),0,('19_Расчет_аналитики'!M2442-'19_Расчет_аналитики'!M2470)*IF('01_Вводные'!$B$239="Да",MeanMinAge11+'19_Расчет_аналитики'!M2584*SUMIF(ThresholdAge11,"&lt;"&amp;'19_Расчет_аналитики'!M2584,WeightedRevAge11)-SUMIF(ThresholdAge11,"&lt;"&amp;'19_Расчет_аналитики'!M2584,WeightedMinAge11),MAX(CapacityAge11*'01_Вводные'!$B$218*'19_Расчет_аналитики'!M2584,MeanMinAge11)))</f>
        <v/>
      </c>
      <c r="N2526">
        <f>IF(OR(('19_Расчет_аналитики'!N2442-'19_Расчет_аналитики'!N2470)=0,11&lt;='01_Вводные'!$B$297),0,('19_Расчет_аналитики'!N2442-'19_Расчет_аналитики'!N2470)*IF('01_Вводные'!$B$239="Да",MeanMinAge11+'19_Расчет_аналитики'!N2584*SUMIF(ThresholdAge11,"&lt;"&amp;'19_Расчет_аналитики'!N2584,WeightedRevAge11)-SUMIF(ThresholdAge11,"&lt;"&amp;'19_Расчет_аналитики'!N2584,WeightedMinAge11),MAX(CapacityAge11*'01_Вводные'!$B$218*'19_Расчет_аналитики'!N2584,MeanMinAge11)))</f>
        <v/>
      </c>
      <c r="O2526">
        <f>IF(OR(('19_Расчет_аналитики'!O2442-'19_Расчет_аналитики'!O2470)=0,11&lt;='01_Вводные'!$B$297),0,('19_Расчет_аналитики'!O2442-'19_Расчет_аналитики'!O2470)*IF('01_Вводные'!$B$239="Да",MeanMinAge11+'19_Расчет_аналитики'!O2584*SUMIF(ThresholdAge11,"&lt;"&amp;'19_Расчет_аналитики'!O2584,WeightedRevAge11)-SUMIF(ThresholdAge11,"&lt;"&amp;'19_Расчет_аналитики'!O2584,WeightedMinAge11),MAX(CapacityAge11*'01_Вводные'!$B$218*'19_Расчет_аналитики'!O2584,MeanMinAge11)))</f>
        <v/>
      </c>
      <c r="P2526">
        <f>IF(OR(('19_Расчет_аналитики'!P2442-'19_Расчет_аналитики'!P2470)=0,11&lt;='01_Вводные'!$B$297),0,('19_Расчет_аналитики'!P2442-'19_Расчет_аналитики'!P2470)*IF('01_Вводные'!$B$239="Да",MeanMinAge11+'19_Расчет_аналитики'!P2584*SUMIF(ThresholdAge11,"&lt;"&amp;'19_Расчет_аналитики'!P2584,WeightedRevAge11)-SUMIF(ThresholdAge11,"&lt;"&amp;'19_Расчет_аналитики'!P2584,WeightedMinAge11),MAX(CapacityAge11*'01_Вводные'!$B$218*'19_Расчет_аналитики'!P2584,MeanMinAge11)))</f>
        <v/>
      </c>
      <c r="Q2526">
        <f>IF(OR(('19_Расчет_аналитики'!Q2442-'19_Расчет_аналитики'!Q2470)=0,11&lt;='01_Вводные'!$B$297),0,('19_Расчет_аналитики'!Q2442-'19_Расчет_аналитики'!Q2470)*IF('01_Вводные'!$B$239="Да",MeanMinAge11+'19_Расчет_аналитики'!Q2584*SUMIF(ThresholdAge11,"&lt;"&amp;'19_Расчет_аналитики'!Q2584,WeightedRevAge11)-SUMIF(ThresholdAge11,"&lt;"&amp;'19_Расчет_аналитики'!Q2584,WeightedMinAge11),MAX(CapacityAge11*'01_Вводные'!$B$218*'19_Расчет_аналитики'!Q2584,MeanMinAge11)))</f>
        <v/>
      </c>
      <c r="R2526">
        <f>IF(OR(('19_Расчет_аналитики'!R2442-'19_Расчет_аналитики'!R2470)=0,11&lt;='01_Вводные'!$B$297),0,('19_Расчет_аналитики'!R2442-'19_Расчет_аналитики'!R2470)*IF('01_Вводные'!$B$239="Да",MeanMinAge11+'19_Расчет_аналитики'!R2584*SUMIF(ThresholdAge11,"&lt;"&amp;'19_Расчет_аналитики'!R2584,WeightedRevAge11)-SUMIF(ThresholdAge11,"&lt;"&amp;'19_Расчет_аналитики'!R2584,WeightedMinAge11),MAX(CapacityAge11*'01_Вводные'!$B$218*'19_Расчет_аналитики'!R2584,MeanMinAge11)))</f>
        <v/>
      </c>
      <c r="S2526">
        <f>IF(OR(('19_Расчет_аналитики'!S2442-'19_Расчет_аналитики'!S2470)=0,11&lt;='01_Вводные'!$B$297),0,('19_Расчет_аналитики'!S2442-'19_Расчет_аналитики'!S2470)*IF('01_Вводные'!$B$239="Да",MeanMinAge11+'19_Расчет_аналитики'!S2584*SUMIF(ThresholdAge11,"&lt;"&amp;'19_Расчет_аналитики'!S2584,WeightedRevAge11)-SUMIF(ThresholdAge11,"&lt;"&amp;'19_Расчет_аналитики'!S2584,WeightedMinAge11),MAX(CapacityAge11*'01_Вводные'!$B$218*'19_Расчет_аналитики'!S2584,MeanMinAge11)))</f>
        <v/>
      </c>
      <c r="T2526">
        <f>IF(OR(('19_Расчет_аналитики'!T2442-'19_Расчет_аналитики'!T2470)=0,11&lt;='01_Вводные'!$B$297),0,('19_Расчет_аналитики'!T2442-'19_Расчет_аналитики'!T2470)*IF('01_Вводные'!$B$239="Да",MeanMinAge11+'19_Расчет_аналитики'!T2584*SUMIF(ThresholdAge11,"&lt;"&amp;'19_Расчет_аналитики'!T2584,WeightedRevAge11)-SUMIF(ThresholdAge11,"&lt;"&amp;'19_Расчет_аналитики'!T2584,WeightedMinAge11),MAX(CapacityAge11*'01_Вводные'!$B$218*'19_Расчет_аналитики'!T2584,MeanMinAge11)))</f>
        <v/>
      </c>
      <c r="U2526">
        <f>IF(OR(('19_Расчет_аналитики'!U2442-'19_Расчет_аналитики'!U2470)=0,11&lt;='01_Вводные'!$B$297),0,('19_Расчет_аналитики'!U2442-'19_Расчет_аналитики'!U2470)*IF('01_Вводные'!$B$239="Да",MeanMinAge11+'19_Расчет_аналитики'!U2584*SUMIF(ThresholdAge11,"&lt;"&amp;'19_Расчет_аналитики'!U2584,WeightedRevAge11)-SUMIF(ThresholdAge11,"&lt;"&amp;'19_Расчет_аналитики'!U2584,WeightedMinAge11),MAX(CapacityAge11*'01_Вводные'!$B$218*'19_Расчет_аналитики'!U2584,MeanMinAge11)))</f>
        <v/>
      </c>
      <c r="V2526">
        <f>IF(OR(('19_Расчет_аналитики'!V2442-'19_Расчет_аналитики'!V2470)=0,11&lt;='01_Вводные'!$B$297),0,('19_Расчет_аналитики'!V2442-'19_Расчет_аналитики'!V2470)*IF('01_Вводные'!$B$239="Да",MeanMinAge11+'19_Расчет_аналитики'!V2584*SUMIF(ThresholdAge11,"&lt;"&amp;'19_Расчет_аналитики'!V2584,WeightedRevAge11)-SUMIF(ThresholdAge11,"&lt;"&amp;'19_Расчет_аналитики'!V2584,WeightedMinAge11),MAX(CapacityAge11*'01_Вводные'!$B$218*'19_Расчет_аналитики'!V2584,MeanMinAge11)))</f>
        <v/>
      </c>
      <c r="W2526">
        <f>IF(OR(('19_Расчет_аналитики'!W2442-'19_Расчет_аналитики'!W2470)=0,11&lt;='01_Вводные'!$B$297),0,('19_Расчет_аналитики'!W2442-'19_Расчет_аналитики'!W2470)*IF('01_Вводные'!$B$239="Да",MeanMinAge11+'19_Расчет_аналитики'!W2584*SUMIF(ThresholdAge11,"&lt;"&amp;'19_Расчет_аналитики'!W2584,WeightedRevAge11)-SUMIF(ThresholdAge11,"&lt;"&amp;'19_Расчет_аналитики'!W2584,WeightedMinAge11),MAX(CapacityAge11*'01_Вводные'!$B$218*'19_Расчет_аналитики'!W2584,MeanMinAge11)))</f>
        <v/>
      </c>
      <c r="X2526">
        <f>IF(OR(('19_Расчет_аналитики'!X2442-'19_Расчет_аналитики'!X2470)=0,11&lt;='01_Вводные'!$B$297),0,('19_Расчет_аналитики'!X2442-'19_Расчет_аналитики'!X2470)*IF('01_Вводные'!$B$239="Да",MeanMinAge11+'19_Расчет_аналитики'!X2584*SUMIF(ThresholdAge11,"&lt;"&amp;'19_Расчет_аналитики'!X2584,WeightedRevAge11)-SUMIF(ThresholdAge11,"&lt;"&amp;'19_Расчет_аналитики'!X2584,WeightedMinAge11),MAX(CapacityAge11*'01_Вводные'!$B$218*'19_Расчет_аналитики'!X2584,MeanMinAge11)))</f>
        <v/>
      </c>
      <c r="Y2526">
        <f>IF(OR(('19_Расчет_аналитики'!Y2442-'19_Расчет_аналитики'!Y2470)=0,11&lt;='01_Вводные'!$B$297),0,('19_Расчет_аналитики'!Y2442-'19_Расчет_аналитики'!Y2470)*IF('01_Вводные'!$B$239="Да",MeanMinAge11+'19_Расчет_аналитики'!Y2584*SUMIF(ThresholdAge11,"&lt;"&amp;'19_Расчет_аналитики'!Y2584,WeightedRevAge11)-SUMIF(ThresholdAge11,"&lt;"&amp;'19_Расчет_аналитики'!Y2584,WeightedMinAge11),MAX(CapacityAge11*'01_Вводные'!$B$218*'19_Расчет_аналитики'!Y2584,MeanMinAge11)))</f>
        <v/>
      </c>
      <c r="Z2526">
        <f>IF(OR(('19_Расчет_аналитики'!Z2442-'19_Расчет_аналитики'!Z2470)=0,11&lt;='01_Вводные'!$B$297),0,('19_Расчет_аналитики'!Z2442-'19_Расчет_аналитики'!Z2470)*IF('01_Вводные'!$B$239="Да",MeanMinAge11+'19_Расчет_аналитики'!Z2584*SUMIF(ThresholdAge11,"&lt;"&amp;'19_Расчет_аналитики'!Z2584,WeightedRevAge11)-SUMIF(ThresholdAge11,"&lt;"&amp;'19_Расчет_аналитики'!Z2584,WeightedMinAge11),MAX(CapacityAge11*'01_Вводные'!$B$218*'19_Расчет_аналитики'!Z2584,MeanMinAge11)))</f>
        <v/>
      </c>
      <c r="AA2526">
        <f>IF(OR(('19_Расчет_аналитики'!AA2442-'19_Расчет_аналитики'!AA2470)=0,11&lt;='01_Вводные'!$B$297),0,('19_Расчет_аналитики'!AA2442-'19_Расчет_аналитики'!AA2470)*IF('01_Вводные'!$B$239="Да",MeanMinAge11+'19_Расчет_аналитики'!AA2584*SUMIF(ThresholdAge11,"&lt;"&amp;'19_Расчет_аналитики'!AA2584,WeightedRevAge11)-SUMIF(ThresholdAge11,"&lt;"&amp;'19_Расчет_аналитики'!AA2584,WeightedMinAge11),MAX(CapacityAge11*'01_Вводные'!$B$218*'19_Расчет_аналитики'!AA2584,MeanMinAge11)))</f>
        <v/>
      </c>
      <c r="AB2526">
        <f>IF(OR(('19_Расчет_аналитики'!AB2442-'19_Расчет_аналитики'!AB2470)=0,11&lt;='01_Вводные'!$B$297),0,('19_Расчет_аналитики'!AB2442-'19_Расчет_аналитики'!AB2470)*IF('01_Вводные'!$B$239="Да",MeanMinAge11+'19_Расчет_аналитики'!AB2584*SUMIF(ThresholdAge11,"&lt;"&amp;'19_Расчет_аналитики'!AB2584,WeightedRevAge11)-SUMIF(ThresholdAge11,"&lt;"&amp;'19_Расчет_аналитики'!AB2584,WeightedMinAge11),MAX(CapacityAge11*'01_Вводные'!$B$218*'19_Расчет_аналитики'!AB2584,MeanMinAge11)))</f>
        <v/>
      </c>
      <c r="AC2526">
        <f>IF(OR(('19_Расчет_аналитики'!AC2442-'19_Расчет_аналитики'!AC2470)=0,11&lt;='01_Вводные'!$B$297),0,('19_Расчет_аналитики'!AC2442-'19_Расчет_аналитики'!AC2470)*IF('01_Вводные'!$B$239="Да",MeanMinAge11+'19_Расчет_аналитики'!AC2584*SUMIF(ThresholdAge11,"&lt;"&amp;'19_Расчет_аналитики'!AC2584,WeightedRevAge11)-SUMIF(ThresholdAge11,"&lt;"&amp;'19_Расчет_аналитики'!AC2584,WeightedMinAge11),MAX(CapacityAge11*'01_Вводные'!$B$218*'19_Расчет_аналитики'!AC2584,MeanMinAge11)))</f>
        <v/>
      </c>
      <c r="AD2526">
        <f>IF(OR(('19_Расчет_аналитики'!AD2442-'19_Расчет_аналитики'!AD2470)=0,11&lt;='01_Вводные'!$B$297),0,('19_Расчет_аналитики'!AD2442-'19_Расчет_аналитики'!AD2470)*IF('01_Вводные'!$B$239="Да",MeanMinAge11+'19_Расчет_аналитики'!AD2584*SUMIF(ThresholdAge11,"&lt;"&amp;'19_Расчет_аналитики'!AD2584,WeightedRevAge11)-SUMIF(ThresholdAge11,"&lt;"&amp;'19_Расчет_аналитики'!AD2584,WeightedMinAge11),MAX(CapacityAge11*'01_Вводные'!$B$218*'19_Расчет_аналитики'!AD2584,MeanMinAge11)))</f>
        <v/>
      </c>
      <c r="AE2526">
        <f>IF(OR(('19_Расчет_аналитики'!AE2442-'19_Расчет_аналитики'!AE2470)=0,11&lt;='01_Вводные'!$B$297),0,('19_Расчет_аналитики'!AE2442-'19_Расчет_аналитики'!AE2470)*IF('01_Вводные'!$B$239="Да",MeanMinAge11+'19_Расчет_аналитики'!AE2584*SUMIF(ThresholdAge11,"&lt;"&amp;'19_Расчет_аналитики'!AE2584,WeightedRevAge11)-SUMIF(ThresholdAge11,"&lt;"&amp;'19_Расчет_аналитики'!AE2584,WeightedMinAge11),MAX(CapacityAge11*'01_Вводные'!$B$218*'19_Расчет_аналитики'!AE2584,MeanMinAge11)))</f>
        <v/>
      </c>
      <c r="AF2526">
        <f>IF(OR(('19_Расчет_аналитики'!AF2442-'19_Расчет_аналитики'!AF2470)=0,11&lt;='01_Вводные'!$B$297),0,('19_Расчет_аналитики'!AF2442-'19_Расчет_аналитики'!AF2470)*IF('01_Вводные'!$B$239="Да",MeanMinAge11+'19_Расчет_аналитики'!AF2584*SUMIF(ThresholdAge11,"&lt;"&amp;'19_Расчет_аналитики'!AF2584,WeightedRevAge11)-SUMIF(ThresholdAge11,"&lt;"&amp;'19_Расчет_аналитики'!AF2584,WeightedMinAge11),MAX(CapacityAge11*'01_Вводные'!$B$218*'19_Расчет_аналитики'!AF2584,MeanMinAge11)))</f>
        <v/>
      </c>
      <c r="AG2526">
        <f>IF(OR(('19_Расчет_аналитики'!AG2442-'19_Расчет_аналитики'!AG2470)=0,11&lt;='01_Вводные'!$B$297),0,('19_Расчет_аналитики'!AG2442-'19_Расчет_аналитики'!AG2470)*IF('01_Вводные'!$B$239="Да",MeanMinAge11+'19_Расчет_аналитики'!AG2584*SUMIF(ThresholdAge11,"&lt;"&amp;'19_Расчет_аналитики'!AG2584,WeightedRevAge11)-SUMIF(ThresholdAge11,"&lt;"&amp;'19_Расчет_аналитики'!AG2584,WeightedMinAge11),MAX(CapacityAge11*'01_Вводные'!$B$218*'19_Расчет_аналитики'!AG2584,MeanMinAge11)))</f>
        <v/>
      </c>
      <c r="AH2526">
        <f>IF(OR(('19_Расчет_аналитики'!AH2442-'19_Расчет_аналитики'!AH2470)=0,11&lt;='01_Вводные'!$B$297),0,('19_Расчет_аналитики'!AH2442-'19_Расчет_аналитики'!AH2470)*IF('01_Вводные'!$B$239="Да",MeanMinAge11+'19_Расчет_аналитики'!AH2584*SUMIF(ThresholdAge11,"&lt;"&amp;'19_Расчет_аналитики'!AH2584,WeightedRevAge11)-SUMIF(ThresholdAge11,"&lt;"&amp;'19_Расчет_аналитики'!AH2584,WeightedMinAge11),MAX(CapacityAge11*'01_Вводные'!$B$218*'19_Расчет_аналитики'!AH2584,MeanMinAge11)))</f>
        <v/>
      </c>
      <c r="AI2526">
        <f>IF(OR(('19_Расчет_аналитики'!AI2442-'19_Расчет_аналитики'!AI2470)=0,11&lt;='01_Вводные'!$B$297),0,('19_Расчет_аналитики'!AI2442-'19_Расчет_аналитики'!AI2470)*IF('01_Вводные'!$B$239="Да",MeanMinAge11+'19_Расчет_аналитики'!AI2584*SUMIF(ThresholdAge11,"&lt;"&amp;'19_Расчет_аналитики'!AI2584,WeightedRevAge11)-SUMIF(ThresholdAge11,"&lt;"&amp;'19_Расчет_аналитики'!AI2584,WeightedMinAge11),MAX(CapacityAge11*'01_Вводные'!$B$218*'19_Расчет_аналитики'!AI2584,MeanMinAge11)))</f>
        <v/>
      </c>
      <c r="AJ2526">
        <f>IF(OR(('19_Расчет_аналитики'!AJ2442-'19_Расчет_аналитики'!AJ2470)=0,11&lt;='01_Вводные'!$B$297),0,('19_Расчет_аналитики'!AJ2442-'19_Расчет_аналитики'!AJ2470)*IF('01_Вводные'!$B$239="Да",MeanMinAge11+'19_Расчет_аналитики'!AJ2584*SUMIF(ThresholdAge11,"&lt;"&amp;'19_Расчет_аналитики'!AJ2584,WeightedRevAge11)-SUMIF(ThresholdAge11,"&lt;"&amp;'19_Расчет_аналитики'!AJ2584,WeightedMinAge11),MAX(CapacityAge11*'01_Вводные'!$B$218*'19_Расчет_аналитики'!AJ2584,MeanMinAge11)))</f>
        <v/>
      </c>
      <c r="AK2526">
        <f>IF(OR(('19_Расчет_аналитики'!AK2442-'19_Расчет_аналитики'!AK2470)=0,11&lt;='01_Вводные'!$B$297),0,('19_Расчет_аналитики'!AK2442-'19_Расчет_аналитики'!AK2470)*IF('01_Вводные'!$B$239="Да",MeanMinAge11+'19_Расчет_аналитики'!AK2584*SUMIF(ThresholdAge11,"&lt;"&amp;'19_Расчет_аналитики'!AK2584,WeightedRevAge11)-SUMIF(ThresholdAge11,"&lt;"&amp;'19_Расчет_аналитики'!AK2584,WeightedMinAge11),MAX(CapacityAge11*'01_Вводные'!$B$218*'19_Расчет_аналитики'!AK2584,MeanMinAge11)))</f>
        <v/>
      </c>
      <c r="AL2526">
        <f>IF(OR(('19_Расчет_аналитики'!AL2442-'19_Расчет_аналитики'!AL2470)=0,11&lt;='01_Вводные'!$B$297),0,('19_Расчет_аналитики'!AL2442-'19_Расчет_аналитики'!AL2470)*IF('01_Вводные'!$B$239="Да",MeanMinAge11+'19_Расчет_аналитики'!AL2584*SUMIF(ThresholdAge11,"&lt;"&amp;'19_Расчет_аналитики'!AL2584,WeightedRevAge11)-SUMIF(ThresholdAge11,"&lt;"&amp;'19_Расчет_аналитики'!AL2584,WeightedMinAge11),MAX(CapacityAge11*'01_Вводные'!$B$218*'19_Расчет_аналитики'!AL2584,MeanMinAge11)))</f>
        <v/>
      </c>
      <c r="AM2526">
        <f>IF(OR(('19_Расчет_аналитики'!AM2442-'19_Расчет_аналитики'!AM2470)=0,11&lt;='01_Вводные'!$B$297),0,('19_Расчет_аналитики'!AM2442-'19_Расчет_аналитики'!AM2470)*IF('01_Вводные'!$B$239="Да",MeanMinAge11+'19_Расчет_аналитики'!AM2584*SUMIF(ThresholdAge11,"&lt;"&amp;'19_Расчет_аналитики'!AM2584,WeightedRevAge11)-SUMIF(ThresholdAge11,"&lt;"&amp;'19_Расчет_аналитики'!AM2584,WeightedMinAge11),MAX(CapacityAge11*'01_Вводные'!$B$218*'19_Расчет_аналитики'!AM2584,MeanMinAge11)))</f>
        <v/>
      </c>
      <c r="AN2526">
        <f>IF(OR(('19_Расчет_аналитики'!AN2442-'19_Расчет_аналитики'!AN2470)=0,11&lt;='01_Вводные'!$B$297),0,('19_Расчет_аналитики'!AN2442-'19_Расчет_аналитики'!AN2470)*IF('01_Вводные'!$B$239="Да",MeanMinAge11+'19_Расчет_аналитики'!AN2584*SUMIF(ThresholdAge11,"&lt;"&amp;'19_Расчет_аналитики'!AN2584,WeightedRevAge11)-SUMIF(ThresholdAge11,"&lt;"&amp;'19_Расчет_аналитики'!AN2584,WeightedMinAge11),MAX(CapacityAge11*'01_Вводные'!$B$218*'19_Расчет_аналитики'!AN2584,MeanMinAge11)))</f>
        <v/>
      </c>
      <c r="AO2526">
        <f>IF(OR(('19_Расчет_аналитики'!AO2442-'19_Расчет_аналитики'!AO2470)=0,11&lt;='01_Вводные'!$B$297),0,('19_Расчет_аналитики'!AO2442-'19_Расчет_аналитики'!AO2470)*IF('01_Вводные'!$B$239="Да",MeanMinAge11+'19_Расчет_аналитики'!AO2584*SUMIF(ThresholdAge11,"&lt;"&amp;'19_Расчет_аналитики'!AO2584,WeightedRevAge11)-SUMIF(ThresholdAge11,"&lt;"&amp;'19_Расчет_аналитики'!AO2584,WeightedMinAge11),MAX(CapacityAge11*'01_Вводные'!$B$218*'19_Расчет_аналитики'!AO2584,MeanMinAge11)))</f>
        <v/>
      </c>
      <c r="AP2526">
        <f>IF(OR(('19_Расчет_аналитики'!AP2442-'19_Расчет_аналитики'!AP2470)=0,11&lt;='01_Вводные'!$B$297),0,('19_Расчет_аналитики'!AP2442-'19_Расчет_аналитики'!AP2470)*IF('01_Вводные'!$B$239="Да",MeanMinAge11+'19_Расчет_аналитики'!AP2584*SUMIF(ThresholdAge11,"&lt;"&amp;'19_Расчет_аналитики'!AP2584,WeightedRevAge11)-SUMIF(ThresholdAge11,"&lt;"&amp;'19_Расчет_аналитики'!AP2584,WeightedMinAge11),MAX(CapacityAge11*'01_Вводные'!$B$218*'19_Расчет_аналитики'!AP2584,MeanMinAge11)))</f>
        <v/>
      </c>
      <c r="AQ2526">
        <f>IF(OR(('19_Расчет_аналитики'!AQ2442-'19_Расчет_аналитики'!AQ2470)=0,11&lt;='01_Вводные'!$B$297),0,('19_Расчет_аналитики'!AQ2442-'19_Расчет_аналитики'!AQ2470)*IF('01_Вводные'!$B$239="Да",MeanMinAge11+'19_Расчет_аналитики'!AQ2584*SUMIF(ThresholdAge11,"&lt;"&amp;'19_Расчет_аналитики'!AQ2584,WeightedRevAge11)-SUMIF(ThresholdAge11,"&lt;"&amp;'19_Расчет_аналитики'!AQ2584,WeightedMinAge11),MAX(CapacityAge11*'01_Вводные'!$B$218*'19_Расчет_аналитики'!AQ2584,MeanMinAge11)))</f>
        <v/>
      </c>
      <c r="AR2526">
        <f>IF(OR(('19_Расчет_аналитики'!AR2442-'19_Расчет_аналитики'!AR2470)=0,11&lt;='01_Вводные'!$B$297),0,('19_Расчет_аналитики'!AR2442-'19_Расчет_аналитики'!AR2470)*IF('01_Вводные'!$B$239="Да",MeanMinAge11+'19_Расчет_аналитики'!AR2584*SUMIF(ThresholdAge11,"&lt;"&amp;'19_Расчет_аналитики'!AR2584,WeightedRevAge11)-SUMIF(ThresholdAge11,"&lt;"&amp;'19_Расчет_аналитики'!AR2584,WeightedMinAge11),MAX(CapacityAge11*'01_Вводные'!$B$218*'19_Расчет_аналитики'!AR2584,MeanMinAge11)))</f>
        <v/>
      </c>
      <c r="AS2526">
        <f>IF(OR(('19_Расчет_аналитики'!AS2442-'19_Расчет_аналитики'!AS2470)=0,11&lt;='01_Вводные'!$B$297),0,('19_Расчет_аналитики'!AS2442-'19_Расчет_аналитики'!AS2470)*IF('01_Вводные'!$B$239="Да",MeanMinAge11+'19_Расчет_аналитики'!AS2584*SUMIF(ThresholdAge11,"&lt;"&amp;'19_Расчет_аналитики'!AS2584,WeightedRevAge11)-SUMIF(ThresholdAge11,"&lt;"&amp;'19_Расчет_аналитики'!AS2584,WeightedMinAge11),MAX(CapacityAge11*'01_Вводные'!$B$218*'19_Расчет_аналитики'!AS2584,MeanMinAge11)))</f>
        <v/>
      </c>
      <c r="AT2526">
        <f>IF(OR(('19_Расчет_аналитики'!AT2442-'19_Расчет_аналитики'!AT2470)=0,11&lt;='01_Вводные'!$B$297),0,('19_Расчет_аналитики'!AT2442-'19_Расчет_аналитики'!AT2470)*IF('01_Вводные'!$B$239="Да",MeanMinAge11+'19_Расчет_аналитики'!AT2584*SUMIF(ThresholdAge11,"&lt;"&amp;'19_Расчет_аналитики'!AT2584,WeightedRevAge11)-SUMIF(ThresholdAge11,"&lt;"&amp;'19_Расчет_аналитики'!AT2584,WeightedMinAge11),MAX(CapacityAge11*'01_Вводные'!$B$218*'19_Расчет_аналитики'!AT2584,MeanMinAge11)))</f>
        <v/>
      </c>
      <c r="AU2526">
        <f>IF(OR(('19_Расчет_аналитики'!AU2442-'19_Расчет_аналитики'!AU2470)=0,11&lt;='01_Вводные'!$B$297),0,('19_Расчет_аналитики'!AU2442-'19_Расчет_аналитики'!AU2470)*IF('01_Вводные'!$B$239="Да",MeanMinAge11+'19_Расчет_аналитики'!AU2584*SUMIF(ThresholdAge11,"&lt;"&amp;'19_Расчет_аналитики'!AU2584,WeightedRevAge11)-SUMIF(ThresholdAge11,"&lt;"&amp;'19_Расчет_аналитики'!AU2584,WeightedMinAge11),MAX(CapacityAge11*'01_Вводные'!$B$218*'19_Расчет_аналитики'!AU2584,MeanMinAge11)))</f>
        <v/>
      </c>
      <c r="AV2526">
        <f>IF(OR(('19_Расчет_аналитики'!AV2442-'19_Расчет_аналитики'!AV2470)=0,11&lt;='01_Вводные'!$B$297),0,('19_Расчет_аналитики'!AV2442-'19_Расчет_аналитики'!AV2470)*IF('01_Вводные'!$B$239="Да",MeanMinAge11+'19_Расчет_аналитики'!AV2584*SUMIF(ThresholdAge11,"&lt;"&amp;'19_Расчет_аналитики'!AV2584,WeightedRevAge11)-SUMIF(ThresholdAge11,"&lt;"&amp;'19_Расчет_аналитики'!AV2584,WeightedMinAge11),MAX(CapacityAge11*'01_Вводные'!$B$218*'19_Расчет_аналитики'!AV2584,MeanMinAge11)))</f>
        <v/>
      </c>
      <c r="AW2526">
        <f>IF(OR(('19_Расчет_аналитики'!AW2442-'19_Расчет_аналитики'!AW2470)=0,11&lt;='01_Вводные'!$B$297),0,('19_Расчет_аналитики'!AW2442-'19_Расчет_аналитики'!AW2470)*IF('01_Вводные'!$B$239="Да",MeanMinAge11+'19_Расчет_аналитики'!AW2584*SUMIF(ThresholdAge11,"&lt;"&amp;'19_Расчет_аналитики'!AW2584,WeightedRevAge11)-SUMIF(ThresholdAge11,"&lt;"&amp;'19_Расчет_аналитики'!AW2584,WeightedMinAge11),MAX(CapacityAge11*'01_Вводные'!$B$218*'19_Расчет_аналитики'!AW2584,MeanMinAge11)))</f>
        <v/>
      </c>
      <c r="AX2526">
        <f>IF(OR(('19_Расчет_аналитики'!AX2442-'19_Расчет_аналитики'!AX2470)=0,11&lt;='01_Вводные'!$B$297),0,('19_Расчет_аналитики'!AX2442-'19_Расчет_аналитики'!AX2470)*IF('01_Вводные'!$B$239="Да",MeanMinAge11+'19_Расчет_аналитики'!AX2584*SUMIF(ThresholdAge11,"&lt;"&amp;'19_Расчет_аналитики'!AX2584,WeightedRevAge11)-SUMIF(ThresholdAge11,"&lt;"&amp;'19_Расчет_аналитики'!AX2584,WeightedMinAge11),MAX(CapacityAge11*'01_Вводные'!$B$218*'19_Расчет_аналитики'!AX2584,MeanMinAge11)))</f>
        <v/>
      </c>
      <c r="AY2526">
        <f>IF(OR(('19_Расчет_аналитики'!AY2442-'19_Расчет_аналитики'!AY2470)=0,11&lt;='01_Вводные'!$B$297),0,('19_Расчет_аналитики'!AY2442-'19_Расчет_аналитики'!AY2470)*IF('01_Вводные'!$B$239="Да",MeanMinAge11+'19_Расчет_аналитики'!AY2584*SUMIF(ThresholdAge11,"&lt;"&amp;'19_Расчет_аналитики'!AY2584,WeightedRevAge11)-SUMIF(ThresholdAge11,"&lt;"&amp;'19_Расчет_аналитики'!AY2584,WeightedMinAge11),MAX(CapacityAge11*'01_Вводные'!$B$218*'19_Расчет_аналитики'!AY2584,MeanMinAge11)))</f>
        <v/>
      </c>
      <c r="AZ2526">
        <f>IF(OR(('19_Расчет_аналитики'!AZ2442-'19_Расчет_аналитики'!AZ2470)=0,11&lt;='01_Вводные'!$B$297),0,('19_Расчет_аналитики'!AZ2442-'19_Расчет_аналитики'!AZ2470)*IF('01_Вводные'!$B$239="Да",MeanMinAge11+'19_Расчет_аналитики'!AZ2584*SUMIF(ThresholdAge11,"&lt;"&amp;'19_Расчет_аналитики'!AZ2584,WeightedRevAge11)-SUMIF(ThresholdAge11,"&lt;"&amp;'19_Расчет_аналитики'!AZ2584,WeightedMinAge11),MAX(CapacityAge11*'01_Вводные'!$B$218*'19_Расчет_аналитики'!AZ2584,MeanMinAge11)))</f>
        <v/>
      </c>
      <c r="BA2526">
        <f>IF(OR(('19_Расчет_аналитики'!BA2442-'19_Расчет_аналитики'!BA2470)=0,11&lt;='01_Вводные'!$B$297),0,('19_Расчет_аналитики'!BA2442-'19_Расчет_аналитики'!BA2470)*IF('01_Вводные'!$B$239="Да",MeanMinAge11+'19_Расчет_аналитики'!BA2584*SUMIF(ThresholdAge11,"&lt;"&amp;'19_Расчет_аналитики'!BA2584,WeightedRevAge11)-SUMIF(ThresholdAge11,"&lt;"&amp;'19_Расчет_аналитики'!BA2584,WeightedMinAge11),MAX(CapacityAge11*'01_Вводные'!$B$218*'19_Расчет_аналитики'!BA2584,MeanMinAge11)))</f>
        <v/>
      </c>
      <c r="BB2526">
        <f>IF(OR(('19_Расчет_аналитики'!BB2442-'19_Расчет_аналитики'!BB2470)=0,11&lt;='01_Вводные'!$B$297),0,('19_Расчет_аналитики'!BB2442-'19_Расчет_аналитики'!BB2470)*IF('01_Вводные'!$B$239="Да",MeanMinAge11+'19_Расчет_аналитики'!BB2584*SUMIF(ThresholdAge11,"&lt;"&amp;'19_Расчет_аналитики'!BB2584,WeightedRevAge11)-SUMIF(ThresholdAge11,"&lt;"&amp;'19_Расчет_аналитики'!BB2584,WeightedMinAge11),MAX(CapacityAge11*'01_Вводные'!$B$218*'19_Расчет_аналитики'!BB2584,MeanMinAge11)))</f>
        <v/>
      </c>
      <c r="BC2526">
        <f>IF(OR(('19_Расчет_аналитики'!BC2442-'19_Расчет_аналитики'!BC2470)=0,11&lt;='01_Вводные'!$B$297),0,('19_Расчет_аналитики'!BC2442-'19_Расчет_аналитики'!BC2470)*IF('01_Вводные'!$B$239="Да",MeanMinAge11+'19_Расчет_аналитики'!BC2584*SUMIF(ThresholdAge11,"&lt;"&amp;'19_Расчет_аналитики'!BC2584,WeightedRevAge11)-SUMIF(ThresholdAge11,"&lt;"&amp;'19_Расчет_аналитики'!BC2584,WeightedMinAge11),MAX(CapacityAge11*'01_Вводные'!$B$218*'19_Расчет_аналитики'!BC2584,MeanMinAge11)))</f>
        <v/>
      </c>
      <c r="BD2526">
        <f>IF(OR(('19_Расчет_аналитики'!BD2442-'19_Расчет_аналитики'!BD2470)=0,11&lt;='01_Вводные'!$B$297),0,('19_Расчет_аналитики'!BD2442-'19_Расчет_аналитики'!BD2470)*IF('01_Вводные'!$B$239="Да",MeanMinAge11+'19_Расчет_аналитики'!BD2584*SUMIF(ThresholdAge11,"&lt;"&amp;'19_Расчет_аналитики'!BD2584,WeightedRevAge11)-SUMIF(ThresholdAge11,"&lt;"&amp;'19_Расчет_аналитики'!BD2584,WeightedMinAge11),MAX(CapacityAge11*'01_Вводные'!$B$218*'19_Расчет_аналитики'!BD2584,MeanMinAge11)))</f>
        <v/>
      </c>
      <c r="BE2526">
        <f>IF(OR(('19_Расчет_аналитики'!BE2442-'19_Расчет_аналитики'!BE2470)=0,11&lt;='01_Вводные'!$B$297),0,('19_Расчет_аналитики'!BE2442-'19_Расчет_аналитики'!BE2470)*IF('01_Вводные'!$B$239="Да",MeanMinAge11+'19_Расчет_аналитики'!BE2584*SUMIF(ThresholdAge11,"&lt;"&amp;'19_Расчет_аналитики'!BE2584,WeightedRevAge11)-SUMIF(ThresholdAge11,"&lt;"&amp;'19_Расчет_аналитики'!BE2584,WeightedMinAge11),MAX(CapacityAge11*'01_Вводные'!$B$218*'19_Расчет_аналитики'!BE2584,MeanMinAge11)))</f>
        <v/>
      </c>
      <c r="BF2526">
        <f>IF(OR(('19_Расчет_аналитики'!BF2442-'19_Расчет_аналитики'!BF2470)=0,11&lt;='01_Вводные'!$B$297),0,('19_Расчет_аналитики'!BF2442-'19_Расчет_аналитики'!BF2470)*IF('01_Вводные'!$B$239="Да",MeanMinAge11+'19_Расчет_аналитики'!BF2584*SUMIF(ThresholdAge11,"&lt;"&amp;'19_Расчет_аналитики'!BF2584,WeightedRevAge11)-SUMIF(ThresholdAge11,"&lt;"&amp;'19_Расчет_аналитики'!BF2584,WeightedMinAge11),MAX(CapacityAge11*'01_Вводные'!$B$218*'19_Расчет_аналитики'!BF2584,MeanMinAge11)))</f>
        <v/>
      </c>
      <c r="BG2526">
        <f>IF(OR(('19_Расчет_аналитики'!BG2442-'19_Расчет_аналитики'!BG2470)=0,11&lt;='01_Вводные'!$B$297),0,('19_Расчет_аналитики'!BG2442-'19_Расчет_аналитики'!BG2470)*IF('01_Вводные'!$B$239="Да",MeanMinAge11+'19_Расчет_аналитики'!BG2584*SUMIF(ThresholdAge11,"&lt;"&amp;'19_Расчет_аналитики'!BG2584,WeightedRevAge11)-SUMIF(ThresholdAge11,"&lt;"&amp;'19_Расчет_аналитики'!BG2584,WeightedMinAge11),MAX(CapacityAge11*'01_Вводные'!$B$218*'19_Расчет_аналитики'!BG2584,MeanMinAge11)))</f>
        <v/>
      </c>
      <c r="BH2526">
        <f>IF(OR(('19_Расчет_аналитики'!BH2442-'19_Расчет_аналитики'!BH2470)=0,11&lt;='01_Вводные'!$B$297),0,('19_Расчет_аналитики'!BH2442-'19_Расчет_аналитики'!BH2470)*IF('01_Вводные'!$B$239="Да",MeanMinAge11+'19_Расчет_аналитики'!BH2584*SUMIF(ThresholdAge11,"&lt;"&amp;'19_Расчет_аналитики'!BH2584,WeightedRevAge11)-SUMIF(ThresholdAge11,"&lt;"&amp;'19_Расчет_аналитики'!BH2584,WeightedMinAge11),MAX(CapacityAge11*'01_Вводные'!$B$218*'19_Расчет_аналитики'!BH2584,MeanMinAge11)))</f>
        <v/>
      </c>
      <c r="BI2526">
        <f>IF(OR(('19_Расчет_аналитики'!BI2442-'19_Расчет_аналитики'!BI2470)=0,11&lt;='01_Вводные'!$B$297),0,('19_Расчет_аналитики'!BI2442-'19_Расчет_аналитики'!BI2470)*IF('01_Вводные'!$B$239="Да",MeanMinAge11+'19_Расчет_аналитики'!BI2584*SUMIF(ThresholdAge11,"&lt;"&amp;'19_Расчет_аналитики'!BI2584,WeightedRevAge11)-SUMIF(ThresholdAge11,"&lt;"&amp;'19_Расчет_аналитики'!BI2584,WeightedMinAge11),MAX(CapacityAge11*'01_Вводные'!$B$218*'19_Расчет_аналитики'!BI2584,MeanMinAge11)))</f>
        <v/>
      </c>
      <c r="BJ2526">
        <f>IF(OR(('19_Расчет_аналитики'!BJ2442-'19_Расчет_аналитики'!BJ2470)=0,11&lt;='01_Вводные'!$B$297),0,('19_Расчет_аналитики'!BJ2442-'19_Расчет_аналитики'!BJ2470)*IF('01_Вводные'!$B$239="Да",MeanMinAge11+'19_Расчет_аналитики'!BJ2584*SUMIF(ThresholdAge11,"&lt;"&amp;'19_Расчет_аналитики'!BJ2584,WeightedRevAge11)-SUMIF(ThresholdAge11,"&lt;"&amp;'19_Расчет_аналитики'!BJ2584,WeightedMinAge11),MAX(CapacityAge11*'01_Вводные'!$B$218*'19_Расчет_аналитики'!BJ2584,MeanMinAge11)))</f>
        <v/>
      </c>
      <c r="BK2526">
        <f>IF(OR(('19_Расчет_аналитики'!BK2442-'19_Расчет_аналитики'!BK2470)=0,11&lt;='01_Вводные'!$B$297),0,('19_Расчет_аналитики'!BK2442-'19_Расчет_аналитики'!BK2470)*IF('01_Вводные'!$B$239="Да",MeanMinAge11+'19_Расчет_аналитики'!BK2584*SUMIF(ThresholdAge11,"&lt;"&amp;'19_Расчет_аналитики'!BK2584,WeightedRevAge11)-SUMIF(ThresholdAge11,"&lt;"&amp;'19_Расчет_аналитики'!BK2584,WeightedMinAge11),MAX(CapacityAge11*'01_Вводные'!$B$218*'19_Расчет_аналитики'!BK2584,MeanMinAge11)))</f>
        <v/>
      </c>
      <c r="BL2526">
        <f>IF(OR(('19_Расчет_аналитики'!BL2442-'19_Расчет_аналитики'!BL2470)=0,11&lt;='01_Вводные'!$B$297),0,('19_Расчет_аналитики'!BL2442-'19_Расчет_аналитики'!BL2470)*IF('01_Вводные'!$B$239="Да",MeanMinAge11+'19_Расчет_аналитики'!BL2584*SUMIF(ThresholdAge11,"&lt;"&amp;'19_Расчет_аналитики'!BL2584,WeightedRevAge11)-SUMIF(ThresholdAge11,"&lt;"&amp;'19_Расчет_аналитики'!BL2584,WeightedMinAge11),MAX(CapacityAge11*'01_Вводные'!$B$218*'19_Расчет_аналитики'!BL2584,MeanMinAge11)))</f>
        <v/>
      </c>
      <c r="BM2526">
        <f>IF(OR(('19_Расчет_аналитики'!BM2442-'19_Расчет_аналитики'!BM2470)=0,11&lt;='01_Вводные'!$B$297),0,('19_Расчет_аналитики'!BM2442-'19_Расчет_аналитики'!BM2470)*IF('01_Вводные'!$B$239="Да",MeanMinAge11+'19_Расчет_аналитики'!BM2584*SUMIF(ThresholdAge11,"&lt;"&amp;'19_Расчет_аналитики'!BM2584,WeightedRevAge11)-SUMIF(ThresholdAge11,"&lt;"&amp;'19_Расчет_аналитики'!BM2584,WeightedMinAge11),MAX(CapacityAge11*'01_Вводные'!$B$218*'19_Расчет_аналитики'!BM2584,MeanMinAge11)))</f>
        <v/>
      </c>
      <c r="BN2526">
        <f>IF(OR(('19_Расчет_аналитики'!BN2442-'19_Расчет_аналитики'!BN2470)=0,11&lt;='01_Вводные'!$B$297),0,('19_Расчет_аналитики'!BN2442-'19_Расчет_аналитики'!BN2470)*IF('01_Вводные'!$B$239="Да",MeanMinAge11+'19_Расчет_аналитики'!BN2584*SUMIF(ThresholdAge11,"&lt;"&amp;'19_Расчет_аналитики'!BN2584,WeightedRevAge11)-SUMIF(ThresholdAge11,"&lt;"&amp;'19_Расчет_аналитики'!BN2584,WeightedMinAge11),MAX(CapacityAge11*'01_Вводные'!$B$218*'19_Расчет_аналитики'!BN2584,MeanMinAge11)))</f>
        <v/>
      </c>
      <c r="BO2526">
        <f>IF(OR(('19_Расчет_аналитики'!BO2442-'19_Расчет_аналитики'!BO2470)=0,11&lt;='01_Вводные'!$B$297),0,('19_Расчет_аналитики'!BO2442-'19_Расчет_аналитики'!BO2470)*IF('01_Вводные'!$B$239="Да",MeanMinAge11+'19_Расчет_аналитики'!BO2584*SUMIF(ThresholdAge11,"&lt;"&amp;'19_Расчет_аналитики'!BO2584,WeightedRevAge11)-SUMIF(ThresholdAge11,"&lt;"&amp;'19_Расчет_аналитики'!BO2584,WeightedMinAge11),MAX(CapacityAge11*'01_Вводные'!$B$218*'19_Расчет_аналитики'!BO2584,MeanMinAge11)))</f>
        <v/>
      </c>
    </row>
    <row r="2527">
      <c r="B2527">
        <f>IF(OR(('06_Сеть_и_дети'!B64-'06_Сеть_и_дети'!B92)=0,12&lt;='01_Вводные'!$B$297),0,('06_Сеть_и_дети'!B64-'06_Сеть_и_дети'!B92)*IF('01_Вводные'!$B$239="Да",MeanMinAge12+'19_Расчет_аналитики'!B2584*SUMIF(ThresholdAge12,"&lt;"&amp;'19_Расчет_аналитики'!B2584,WeightedRevAge12)-SUMIF(ThresholdAge12,"&lt;"&amp;'19_Расчет_аналитики'!B2584,WeightedMinAge12),MAX(CapacityAge12*'01_Вводные'!$B$218*'19_Расчет_аналитики'!B2584,MeanMinAge12)))</f>
        <v/>
      </c>
      <c r="C2527">
        <f>IF(OR(('06_Сеть_и_дети'!C64-'06_Сеть_и_дети'!C92)=0,12&lt;='01_Вводные'!$B$297),0,('06_Сеть_и_дети'!C64-'06_Сеть_и_дети'!C92)*IF('01_Вводные'!$B$239="Да",MeanMinAge12+'19_Расчет_аналитики'!C2584*SUMIF(ThresholdAge12,"&lt;"&amp;'19_Расчет_аналитики'!C2584,WeightedRevAge12)-SUMIF(ThresholdAge12,"&lt;"&amp;'19_Расчет_аналитики'!C2584,WeightedMinAge12),MAX(CapacityAge12*'01_Вводные'!$B$218*'19_Расчет_аналитики'!C2584,MeanMinAge12)))</f>
        <v/>
      </c>
      <c r="D2527">
        <f>IF(OR(('06_Сеть_и_дети'!D64-'06_Сеть_и_дети'!D92)=0,12&lt;='01_Вводные'!$B$297),0,('06_Сеть_и_дети'!D64-'06_Сеть_и_дети'!D92)*IF('01_Вводные'!$B$239="Да",MeanMinAge12+'19_Расчет_аналитики'!D2584*SUMIF(ThresholdAge12,"&lt;"&amp;'19_Расчет_аналитики'!D2584,WeightedRevAge12)-SUMIF(ThresholdAge12,"&lt;"&amp;'19_Расчет_аналитики'!D2584,WeightedMinAge12),MAX(CapacityAge12*'01_Вводные'!$B$218*'19_Расчет_аналитики'!D2584,MeanMinAge12)))</f>
        <v/>
      </c>
      <c r="E2527">
        <f>IF(OR(('06_Сеть_и_дети'!E64-'06_Сеть_и_дети'!E92)=0,12&lt;='01_Вводные'!$B$297),0,('06_Сеть_и_дети'!E64-'06_Сеть_и_дети'!E92)*IF('01_Вводные'!$B$239="Да",MeanMinAge12+'19_Расчет_аналитики'!E2584*SUMIF(ThresholdAge12,"&lt;"&amp;'19_Расчет_аналитики'!E2584,WeightedRevAge12)-SUMIF(ThresholdAge12,"&lt;"&amp;'19_Расчет_аналитики'!E2584,WeightedMinAge12),MAX(CapacityAge12*'01_Вводные'!$B$218*'19_Расчет_аналитики'!E2584,MeanMinAge12)))</f>
        <v/>
      </c>
      <c r="F2527">
        <f>IF(OR(('06_Сеть_и_дети'!F64-'06_Сеть_и_дети'!F92)=0,12&lt;='01_Вводные'!$B$297),0,('06_Сеть_и_дети'!F64-'06_Сеть_и_дети'!F92)*IF('01_Вводные'!$B$239="Да",MeanMinAge12+'19_Расчет_аналитики'!F2584*SUMIF(ThresholdAge12,"&lt;"&amp;'19_Расчет_аналитики'!F2584,WeightedRevAge12)-SUMIF(ThresholdAge12,"&lt;"&amp;'19_Расчет_аналитики'!F2584,WeightedMinAge12),MAX(CapacityAge12*'01_Вводные'!$B$218*'19_Расчет_аналитики'!F2584,MeanMinAge12)))</f>
        <v/>
      </c>
      <c r="G2527">
        <f>IF(OR(('06_Сеть_и_дети'!G64-'06_Сеть_и_дети'!G92)=0,12&lt;='01_Вводные'!$B$297),0,('06_Сеть_и_дети'!G64-'06_Сеть_и_дети'!G92)*IF('01_Вводные'!$B$239="Да",MeanMinAge12+'19_Расчет_аналитики'!G2584*SUMIF(ThresholdAge12,"&lt;"&amp;'19_Расчет_аналитики'!G2584,WeightedRevAge12)-SUMIF(ThresholdAge12,"&lt;"&amp;'19_Расчет_аналитики'!G2584,WeightedMinAge12),MAX(CapacityAge12*'01_Вводные'!$B$218*'19_Расчет_аналитики'!G2584,MeanMinAge12)))</f>
        <v/>
      </c>
      <c r="H2527">
        <f>IF(OR(('06_Сеть_и_дети'!H64-'06_Сеть_и_дети'!H92)=0,12&lt;='01_Вводные'!$B$297),0,('06_Сеть_и_дети'!H64-'06_Сеть_и_дети'!H92)*IF('01_Вводные'!$B$239="Да",MeanMinAge12+'19_Расчет_аналитики'!H2584*SUMIF(ThresholdAge12,"&lt;"&amp;'19_Расчет_аналитики'!H2584,WeightedRevAge12)-SUMIF(ThresholdAge12,"&lt;"&amp;'19_Расчет_аналитики'!H2584,WeightedMinAge12),MAX(CapacityAge12*'01_Вводные'!$B$218*'19_Расчет_аналитики'!H2584,MeanMinAge12)))</f>
        <v/>
      </c>
      <c r="I2527">
        <f>IF(OR(('06_Сеть_и_дети'!I64-'06_Сеть_и_дети'!I92)=0,12&lt;='01_Вводные'!$B$297),0,('06_Сеть_и_дети'!I64-'06_Сеть_и_дети'!I92)*IF('01_Вводные'!$B$239="Да",MeanMinAge12+'19_Расчет_аналитики'!I2584*SUMIF(ThresholdAge12,"&lt;"&amp;'19_Расчет_аналитики'!I2584,WeightedRevAge12)-SUMIF(ThresholdAge12,"&lt;"&amp;'19_Расчет_аналитики'!I2584,WeightedMinAge12),MAX(CapacityAge12*'01_Вводные'!$B$218*'19_Расчет_аналитики'!I2584,MeanMinAge12)))</f>
        <v/>
      </c>
      <c r="J2527">
        <f>IF(OR(('06_Сеть_и_дети'!J64-'06_Сеть_и_дети'!J92)=0,12&lt;='01_Вводные'!$B$297),0,('06_Сеть_и_дети'!J64-'06_Сеть_и_дети'!J92)*IF('01_Вводные'!$B$239="Да",MeanMinAge12+'19_Расчет_аналитики'!J2584*SUMIF(ThresholdAge12,"&lt;"&amp;'19_Расчет_аналитики'!J2584,WeightedRevAge12)-SUMIF(ThresholdAge12,"&lt;"&amp;'19_Расчет_аналитики'!J2584,WeightedMinAge12),MAX(CapacityAge12*'01_Вводные'!$B$218*'19_Расчет_аналитики'!J2584,MeanMinAge12)))</f>
        <v/>
      </c>
      <c r="K2527">
        <f>IF(OR(('06_Сеть_и_дети'!K64-'06_Сеть_и_дети'!K92)=0,12&lt;='01_Вводные'!$B$297),0,('06_Сеть_и_дети'!K64-'06_Сеть_и_дети'!K92)*IF('01_Вводные'!$B$239="Да",MeanMinAge12+'19_Расчет_аналитики'!K2584*SUMIF(ThresholdAge12,"&lt;"&amp;'19_Расчет_аналитики'!K2584,WeightedRevAge12)-SUMIF(ThresholdAge12,"&lt;"&amp;'19_Расчет_аналитики'!K2584,WeightedMinAge12),MAX(CapacityAge12*'01_Вводные'!$B$218*'19_Расчет_аналитики'!K2584,MeanMinAge12)))</f>
        <v/>
      </c>
      <c r="L2527">
        <f>IF(OR(('06_Сеть_и_дети'!L64-'06_Сеть_и_дети'!L92)=0,12&lt;='01_Вводные'!$B$297),0,('06_Сеть_и_дети'!L64-'06_Сеть_и_дети'!L92)*IF('01_Вводные'!$B$239="Да",MeanMinAge12+'19_Расчет_аналитики'!L2584*SUMIF(ThresholdAge12,"&lt;"&amp;'19_Расчет_аналитики'!L2584,WeightedRevAge12)-SUMIF(ThresholdAge12,"&lt;"&amp;'19_Расчет_аналитики'!L2584,WeightedMinAge12),MAX(CapacityAge12*'01_Вводные'!$B$218*'19_Расчет_аналитики'!L2584,MeanMinAge12)))</f>
        <v/>
      </c>
      <c r="M2527">
        <f>IF(OR(('19_Расчет_аналитики'!M2443-'19_Расчет_аналитики'!M2471)=0,12&lt;='01_Вводные'!$B$297),0,('19_Расчет_аналитики'!M2443-'19_Расчет_аналитики'!M2471)*IF('01_Вводные'!$B$239="Да",MeanMinAge12+'19_Расчет_аналитики'!M2584*SUMIF(ThresholdAge12,"&lt;"&amp;'19_Расчет_аналитики'!M2584,WeightedRevAge12)-SUMIF(ThresholdAge12,"&lt;"&amp;'19_Расчет_аналитики'!M2584,WeightedMinAge12),MAX(CapacityAge12*'01_Вводные'!$B$218*'19_Расчет_аналитики'!M2584,MeanMinAge12)))</f>
        <v/>
      </c>
      <c r="N2527">
        <f>IF(OR(('19_Расчет_аналитики'!N2443-'19_Расчет_аналитики'!N2471)=0,12&lt;='01_Вводные'!$B$297),0,('19_Расчет_аналитики'!N2443-'19_Расчет_аналитики'!N2471)*IF('01_Вводные'!$B$239="Да",MeanMinAge12+'19_Расчет_аналитики'!N2584*SUMIF(ThresholdAge12,"&lt;"&amp;'19_Расчет_аналитики'!N2584,WeightedRevAge12)-SUMIF(ThresholdAge12,"&lt;"&amp;'19_Расчет_аналитики'!N2584,WeightedMinAge12),MAX(CapacityAge12*'01_Вводные'!$B$218*'19_Расчет_аналитики'!N2584,MeanMinAge12)))</f>
        <v/>
      </c>
      <c r="O2527">
        <f>IF(OR(('19_Расчет_аналитики'!O2443-'19_Расчет_аналитики'!O2471)=0,12&lt;='01_Вводные'!$B$297),0,('19_Расчет_аналитики'!O2443-'19_Расчет_аналитики'!O2471)*IF('01_Вводные'!$B$239="Да",MeanMinAge12+'19_Расчет_аналитики'!O2584*SUMIF(ThresholdAge12,"&lt;"&amp;'19_Расчет_аналитики'!O2584,WeightedRevAge12)-SUMIF(ThresholdAge12,"&lt;"&amp;'19_Расчет_аналитики'!O2584,WeightedMinAge12),MAX(CapacityAge12*'01_Вводные'!$B$218*'19_Расчет_аналитики'!O2584,MeanMinAge12)))</f>
        <v/>
      </c>
      <c r="P2527">
        <f>IF(OR(('19_Расчет_аналитики'!P2443-'19_Расчет_аналитики'!P2471)=0,12&lt;='01_Вводные'!$B$297),0,('19_Расчет_аналитики'!P2443-'19_Расчет_аналитики'!P2471)*IF('01_Вводные'!$B$239="Да",MeanMinAge12+'19_Расчет_аналитики'!P2584*SUMIF(ThresholdAge12,"&lt;"&amp;'19_Расчет_аналитики'!P2584,WeightedRevAge12)-SUMIF(ThresholdAge12,"&lt;"&amp;'19_Расчет_аналитики'!P2584,WeightedMinAge12),MAX(CapacityAge12*'01_Вводные'!$B$218*'19_Расчет_аналитики'!P2584,MeanMinAge12)))</f>
        <v/>
      </c>
      <c r="Q2527">
        <f>IF(OR(('19_Расчет_аналитики'!Q2443-'19_Расчет_аналитики'!Q2471)=0,12&lt;='01_Вводные'!$B$297),0,('19_Расчет_аналитики'!Q2443-'19_Расчет_аналитики'!Q2471)*IF('01_Вводные'!$B$239="Да",MeanMinAge12+'19_Расчет_аналитики'!Q2584*SUMIF(ThresholdAge12,"&lt;"&amp;'19_Расчет_аналитики'!Q2584,WeightedRevAge12)-SUMIF(ThresholdAge12,"&lt;"&amp;'19_Расчет_аналитики'!Q2584,WeightedMinAge12),MAX(CapacityAge12*'01_Вводные'!$B$218*'19_Расчет_аналитики'!Q2584,MeanMinAge12)))</f>
        <v/>
      </c>
      <c r="R2527">
        <f>IF(OR(('19_Расчет_аналитики'!R2443-'19_Расчет_аналитики'!R2471)=0,12&lt;='01_Вводные'!$B$297),0,('19_Расчет_аналитики'!R2443-'19_Расчет_аналитики'!R2471)*IF('01_Вводные'!$B$239="Да",MeanMinAge12+'19_Расчет_аналитики'!R2584*SUMIF(ThresholdAge12,"&lt;"&amp;'19_Расчет_аналитики'!R2584,WeightedRevAge12)-SUMIF(ThresholdAge12,"&lt;"&amp;'19_Расчет_аналитики'!R2584,WeightedMinAge12),MAX(CapacityAge12*'01_Вводные'!$B$218*'19_Расчет_аналитики'!R2584,MeanMinAge12)))</f>
        <v/>
      </c>
      <c r="S2527">
        <f>IF(OR(('19_Расчет_аналитики'!S2443-'19_Расчет_аналитики'!S2471)=0,12&lt;='01_Вводные'!$B$297),0,('19_Расчет_аналитики'!S2443-'19_Расчет_аналитики'!S2471)*IF('01_Вводные'!$B$239="Да",MeanMinAge12+'19_Расчет_аналитики'!S2584*SUMIF(ThresholdAge12,"&lt;"&amp;'19_Расчет_аналитики'!S2584,WeightedRevAge12)-SUMIF(ThresholdAge12,"&lt;"&amp;'19_Расчет_аналитики'!S2584,WeightedMinAge12),MAX(CapacityAge12*'01_Вводные'!$B$218*'19_Расчет_аналитики'!S2584,MeanMinAge12)))</f>
        <v/>
      </c>
      <c r="T2527">
        <f>IF(OR(('19_Расчет_аналитики'!T2443-'19_Расчет_аналитики'!T2471)=0,12&lt;='01_Вводные'!$B$297),0,('19_Расчет_аналитики'!T2443-'19_Расчет_аналитики'!T2471)*IF('01_Вводные'!$B$239="Да",MeanMinAge12+'19_Расчет_аналитики'!T2584*SUMIF(ThresholdAge12,"&lt;"&amp;'19_Расчет_аналитики'!T2584,WeightedRevAge12)-SUMIF(ThresholdAge12,"&lt;"&amp;'19_Расчет_аналитики'!T2584,WeightedMinAge12),MAX(CapacityAge12*'01_Вводные'!$B$218*'19_Расчет_аналитики'!T2584,MeanMinAge12)))</f>
        <v/>
      </c>
      <c r="U2527">
        <f>IF(OR(('19_Расчет_аналитики'!U2443-'19_Расчет_аналитики'!U2471)=0,12&lt;='01_Вводные'!$B$297),0,('19_Расчет_аналитики'!U2443-'19_Расчет_аналитики'!U2471)*IF('01_Вводные'!$B$239="Да",MeanMinAge12+'19_Расчет_аналитики'!U2584*SUMIF(ThresholdAge12,"&lt;"&amp;'19_Расчет_аналитики'!U2584,WeightedRevAge12)-SUMIF(ThresholdAge12,"&lt;"&amp;'19_Расчет_аналитики'!U2584,WeightedMinAge12),MAX(CapacityAge12*'01_Вводные'!$B$218*'19_Расчет_аналитики'!U2584,MeanMinAge12)))</f>
        <v/>
      </c>
      <c r="V2527">
        <f>IF(OR(('19_Расчет_аналитики'!V2443-'19_Расчет_аналитики'!V2471)=0,12&lt;='01_Вводные'!$B$297),0,('19_Расчет_аналитики'!V2443-'19_Расчет_аналитики'!V2471)*IF('01_Вводные'!$B$239="Да",MeanMinAge12+'19_Расчет_аналитики'!V2584*SUMIF(ThresholdAge12,"&lt;"&amp;'19_Расчет_аналитики'!V2584,WeightedRevAge12)-SUMIF(ThresholdAge12,"&lt;"&amp;'19_Расчет_аналитики'!V2584,WeightedMinAge12),MAX(CapacityAge12*'01_Вводные'!$B$218*'19_Расчет_аналитики'!V2584,MeanMinAge12)))</f>
        <v/>
      </c>
      <c r="W2527">
        <f>IF(OR(('19_Расчет_аналитики'!W2443-'19_Расчет_аналитики'!W2471)=0,12&lt;='01_Вводные'!$B$297),0,('19_Расчет_аналитики'!W2443-'19_Расчет_аналитики'!W2471)*IF('01_Вводные'!$B$239="Да",MeanMinAge12+'19_Расчет_аналитики'!W2584*SUMIF(ThresholdAge12,"&lt;"&amp;'19_Расчет_аналитики'!W2584,WeightedRevAge12)-SUMIF(ThresholdAge12,"&lt;"&amp;'19_Расчет_аналитики'!W2584,WeightedMinAge12),MAX(CapacityAge12*'01_Вводные'!$B$218*'19_Расчет_аналитики'!W2584,MeanMinAge12)))</f>
        <v/>
      </c>
      <c r="X2527">
        <f>IF(OR(('19_Расчет_аналитики'!X2443-'19_Расчет_аналитики'!X2471)=0,12&lt;='01_Вводные'!$B$297),0,('19_Расчет_аналитики'!X2443-'19_Расчет_аналитики'!X2471)*IF('01_Вводные'!$B$239="Да",MeanMinAge12+'19_Расчет_аналитики'!X2584*SUMIF(ThresholdAge12,"&lt;"&amp;'19_Расчет_аналитики'!X2584,WeightedRevAge12)-SUMIF(ThresholdAge12,"&lt;"&amp;'19_Расчет_аналитики'!X2584,WeightedMinAge12),MAX(CapacityAge12*'01_Вводные'!$B$218*'19_Расчет_аналитики'!X2584,MeanMinAge12)))</f>
        <v/>
      </c>
      <c r="Y2527">
        <f>IF(OR(('19_Расчет_аналитики'!Y2443-'19_Расчет_аналитики'!Y2471)=0,12&lt;='01_Вводные'!$B$297),0,('19_Расчет_аналитики'!Y2443-'19_Расчет_аналитики'!Y2471)*IF('01_Вводные'!$B$239="Да",MeanMinAge12+'19_Расчет_аналитики'!Y2584*SUMIF(ThresholdAge12,"&lt;"&amp;'19_Расчет_аналитики'!Y2584,WeightedRevAge12)-SUMIF(ThresholdAge12,"&lt;"&amp;'19_Расчет_аналитики'!Y2584,WeightedMinAge12),MAX(CapacityAge12*'01_Вводные'!$B$218*'19_Расчет_аналитики'!Y2584,MeanMinAge12)))</f>
        <v/>
      </c>
      <c r="Z2527">
        <f>IF(OR(('19_Расчет_аналитики'!Z2443-'19_Расчет_аналитики'!Z2471)=0,12&lt;='01_Вводные'!$B$297),0,('19_Расчет_аналитики'!Z2443-'19_Расчет_аналитики'!Z2471)*IF('01_Вводные'!$B$239="Да",MeanMinAge12+'19_Расчет_аналитики'!Z2584*SUMIF(ThresholdAge12,"&lt;"&amp;'19_Расчет_аналитики'!Z2584,WeightedRevAge12)-SUMIF(ThresholdAge12,"&lt;"&amp;'19_Расчет_аналитики'!Z2584,WeightedMinAge12),MAX(CapacityAge12*'01_Вводные'!$B$218*'19_Расчет_аналитики'!Z2584,MeanMinAge12)))</f>
        <v/>
      </c>
      <c r="AA2527">
        <f>IF(OR(('19_Расчет_аналитики'!AA2443-'19_Расчет_аналитики'!AA2471)=0,12&lt;='01_Вводные'!$B$297),0,('19_Расчет_аналитики'!AA2443-'19_Расчет_аналитики'!AA2471)*IF('01_Вводные'!$B$239="Да",MeanMinAge12+'19_Расчет_аналитики'!AA2584*SUMIF(ThresholdAge12,"&lt;"&amp;'19_Расчет_аналитики'!AA2584,WeightedRevAge12)-SUMIF(ThresholdAge12,"&lt;"&amp;'19_Расчет_аналитики'!AA2584,WeightedMinAge12),MAX(CapacityAge12*'01_Вводные'!$B$218*'19_Расчет_аналитики'!AA2584,MeanMinAge12)))</f>
        <v/>
      </c>
      <c r="AB2527">
        <f>IF(OR(('19_Расчет_аналитики'!AB2443-'19_Расчет_аналитики'!AB2471)=0,12&lt;='01_Вводные'!$B$297),0,('19_Расчет_аналитики'!AB2443-'19_Расчет_аналитики'!AB2471)*IF('01_Вводные'!$B$239="Да",MeanMinAge12+'19_Расчет_аналитики'!AB2584*SUMIF(ThresholdAge12,"&lt;"&amp;'19_Расчет_аналитики'!AB2584,WeightedRevAge12)-SUMIF(ThresholdAge12,"&lt;"&amp;'19_Расчет_аналитики'!AB2584,WeightedMinAge12),MAX(CapacityAge12*'01_Вводные'!$B$218*'19_Расчет_аналитики'!AB2584,MeanMinAge12)))</f>
        <v/>
      </c>
      <c r="AC2527">
        <f>IF(OR(('19_Расчет_аналитики'!AC2443-'19_Расчет_аналитики'!AC2471)=0,12&lt;='01_Вводные'!$B$297),0,('19_Расчет_аналитики'!AC2443-'19_Расчет_аналитики'!AC2471)*IF('01_Вводные'!$B$239="Да",MeanMinAge12+'19_Расчет_аналитики'!AC2584*SUMIF(ThresholdAge12,"&lt;"&amp;'19_Расчет_аналитики'!AC2584,WeightedRevAge12)-SUMIF(ThresholdAge12,"&lt;"&amp;'19_Расчет_аналитики'!AC2584,WeightedMinAge12),MAX(CapacityAge12*'01_Вводные'!$B$218*'19_Расчет_аналитики'!AC2584,MeanMinAge12)))</f>
        <v/>
      </c>
      <c r="AD2527">
        <f>IF(OR(('19_Расчет_аналитики'!AD2443-'19_Расчет_аналитики'!AD2471)=0,12&lt;='01_Вводные'!$B$297),0,('19_Расчет_аналитики'!AD2443-'19_Расчет_аналитики'!AD2471)*IF('01_Вводные'!$B$239="Да",MeanMinAge12+'19_Расчет_аналитики'!AD2584*SUMIF(ThresholdAge12,"&lt;"&amp;'19_Расчет_аналитики'!AD2584,WeightedRevAge12)-SUMIF(ThresholdAge12,"&lt;"&amp;'19_Расчет_аналитики'!AD2584,WeightedMinAge12),MAX(CapacityAge12*'01_Вводные'!$B$218*'19_Расчет_аналитики'!AD2584,MeanMinAge12)))</f>
        <v/>
      </c>
      <c r="AE2527">
        <f>IF(OR(('19_Расчет_аналитики'!AE2443-'19_Расчет_аналитики'!AE2471)=0,12&lt;='01_Вводные'!$B$297),0,('19_Расчет_аналитики'!AE2443-'19_Расчет_аналитики'!AE2471)*IF('01_Вводные'!$B$239="Да",MeanMinAge12+'19_Расчет_аналитики'!AE2584*SUMIF(ThresholdAge12,"&lt;"&amp;'19_Расчет_аналитики'!AE2584,WeightedRevAge12)-SUMIF(ThresholdAge12,"&lt;"&amp;'19_Расчет_аналитики'!AE2584,WeightedMinAge12),MAX(CapacityAge12*'01_Вводные'!$B$218*'19_Расчет_аналитики'!AE2584,MeanMinAge12)))</f>
        <v/>
      </c>
      <c r="AF2527">
        <f>IF(OR(('19_Расчет_аналитики'!AF2443-'19_Расчет_аналитики'!AF2471)=0,12&lt;='01_Вводные'!$B$297),0,('19_Расчет_аналитики'!AF2443-'19_Расчет_аналитики'!AF2471)*IF('01_Вводные'!$B$239="Да",MeanMinAge12+'19_Расчет_аналитики'!AF2584*SUMIF(ThresholdAge12,"&lt;"&amp;'19_Расчет_аналитики'!AF2584,WeightedRevAge12)-SUMIF(ThresholdAge12,"&lt;"&amp;'19_Расчет_аналитики'!AF2584,WeightedMinAge12),MAX(CapacityAge12*'01_Вводные'!$B$218*'19_Расчет_аналитики'!AF2584,MeanMinAge12)))</f>
        <v/>
      </c>
      <c r="AG2527">
        <f>IF(OR(('19_Расчет_аналитики'!AG2443-'19_Расчет_аналитики'!AG2471)=0,12&lt;='01_Вводные'!$B$297),0,('19_Расчет_аналитики'!AG2443-'19_Расчет_аналитики'!AG2471)*IF('01_Вводные'!$B$239="Да",MeanMinAge12+'19_Расчет_аналитики'!AG2584*SUMIF(ThresholdAge12,"&lt;"&amp;'19_Расчет_аналитики'!AG2584,WeightedRevAge12)-SUMIF(ThresholdAge12,"&lt;"&amp;'19_Расчет_аналитики'!AG2584,WeightedMinAge12),MAX(CapacityAge12*'01_Вводные'!$B$218*'19_Расчет_аналитики'!AG2584,MeanMinAge12)))</f>
        <v/>
      </c>
      <c r="AH2527">
        <f>IF(OR(('19_Расчет_аналитики'!AH2443-'19_Расчет_аналитики'!AH2471)=0,12&lt;='01_Вводные'!$B$297),0,('19_Расчет_аналитики'!AH2443-'19_Расчет_аналитики'!AH2471)*IF('01_Вводные'!$B$239="Да",MeanMinAge12+'19_Расчет_аналитики'!AH2584*SUMIF(ThresholdAge12,"&lt;"&amp;'19_Расчет_аналитики'!AH2584,WeightedRevAge12)-SUMIF(ThresholdAge12,"&lt;"&amp;'19_Расчет_аналитики'!AH2584,WeightedMinAge12),MAX(CapacityAge12*'01_Вводные'!$B$218*'19_Расчет_аналитики'!AH2584,MeanMinAge12)))</f>
        <v/>
      </c>
      <c r="AI2527">
        <f>IF(OR(('19_Расчет_аналитики'!AI2443-'19_Расчет_аналитики'!AI2471)=0,12&lt;='01_Вводные'!$B$297),0,('19_Расчет_аналитики'!AI2443-'19_Расчет_аналитики'!AI2471)*IF('01_Вводные'!$B$239="Да",MeanMinAge12+'19_Расчет_аналитики'!AI2584*SUMIF(ThresholdAge12,"&lt;"&amp;'19_Расчет_аналитики'!AI2584,WeightedRevAge12)-SUMIF(ThresholdAge12,"&lt;"&amp;'19_Расчет_аналитики'!AI2584,WeightedMinAge12),MAX(CapacityAge12*'01_Вводные'!$B$218*'19_Расчет_аналитики'!AI2584,MeanMinAge12)))</f>
        <v/>
      </c>
      <c r="AJ2527">
        <f>IF(OR(('19_Расчет_аналитики'!AJ2443-'19_Расчет_аналитики'!AJ2471)=0,12&lt;='01_Вводные'!$B$297),0,('19_Расчет_аналитики'!AJ2443-'19_Расчет_аналитики'!AJ2471)*IF('01_Вводные'!$B$239="Да",MeanMinAge12+'19_Расчет_аналитики'!AJ2584*SUMIF(ThresholdAge12,"&lt;"&amp;'19_Расчет_аналитики'!AJ2584,WeightedRevAge12)-SUMIF(ThresholdAge12,"&lt;"&amp;'19_Расчет_аналитики'!AJ2584,WeightedMinAge12),MAX(CapacityAge12*'01_Вводные'!$B$218*'19_Расчет_аналитики'!AJ2584,MeanMinAge12)))</f>
        <v/>
      </c>
      <c r="AK2527">
        <f>IF(OR(('19_Расчет_аналитики'!AK2443-'19_Расчет_аналитики'!AK2471)=0,12&lt;='01_Вводные'!$B$297),0,('19_Расчет_аналитики'!AK2443-'19_Расчет_аналитики'!AK2471)*IF('01_Вводные'!$B$239="Да",MeanMinAge12+'19_Расчет_аналитики'!AK2584*SUMIF(ThresholdAge12,"&lt;"&amp;'19_Расчет_аналитики'!AK2584,WeightedRevAge12)-SUMIF(ThresholdAge12,"&lt;"&amp;'19_Расчет_аналитики'!AK2584,WeightedMinAge12),MAX(CapacityAge12*'01_Вводные'!$B$218*'19_Расчет_аналитики'!AK2584,MeanMinAge12)))</f>
        <v/>
      </c>
      <c r="AL2527">
        <f>IF(OR(('19_Расчет_аналитики'!AL2443-'19_Расчет_аналитики'!AL2471)=0,12&lt;='01_Вводные'!$B$297),0,('19_Расчет_аналитики'!AL2443-'19_Расчет_аналитики'!AL2471)*IF('01_Вводные'!$B$239="Да",MeanMinAge12+'19_Расчет_аналитики'!AL2584*SUMIF(ThresholdAge12,"&lt;"&amp;'19_Расчет_аналитики'!AL2584,WeightedRevAge12)-SUMIF(ThresholdAge12,"&lt;"&amp;'19_Расчет_аналитики'!AL2584,WeightedMinAge12),MAX(CapacityAge12*'01_Вводные'!$B$218*'19_Расчет_аналитики'!AL2584,MeanMinAge12)))</f>
        <v/>
      </c>
      <c r="AM2527">
        <f>IF(OR(('19_Расчет_аналитики'!AM2443-'19_Расчет_аналитики'!AM2471)=0,12&lt;='01_Вводные'!$B$297),0,('19_Расчет_аналитики'!AM2443-'19_Расчет_аналитики'!AM2471)*IF('01_Вводные'!$B$239="Да",MeanMinAge12+'19_Расчет_аналитики'!AM2584*SUMIF(ThresholdAge12,"&lt;"&amp;'19_Расчет_аналитики'!AM2584,WeightedRevAge12)-SUMIF(ThresholdAge12,"&lt;"&amp;'19_Расчет_аналитики'!AM2584,WeightedMinAge12),MAX(CapacityAge12*'01_Вводные'!$B$218*'19_Расчет_аналитики'!AM2584,MeanMinAge12)))</f>
        <v/>
      </c>
      <c r="AN2527">
        <f>IF(OR(('19_Расчет_аналитики'!AN2443-'19_Расчет_аналитики'!AN2471)=0,12&lt;='01_Вводные'!$B$297),0,('19_Расчет_аналитики'!AN2443-'19_Расчет_аналитики'!AN2471)*IF('01_Вводные'!$B$239="Да",MeanMinAge12+'19_Расчет_аналитики'!AN2584*SUMIF(ThresholdAge12,"&lt;"&amp;'19_Расчет_аналитики'!AN2584,WeightedRevAge12)-SUMIF(ThresholdAge12,"&lt;"&amp;'19_Расчет_аналитики'!AN2584,WeightedMinAge12),MAX(CapacityAge12*'01_Вводные'!$B$218*'19_Расчет_аналитики'!AN2584,MeanMinAge12)))</f>
        <v/>
      </c>
      <c r="AO2527">
        <f>IF(OR(('19_Расчет_аналитики'!AO2443-'19_Расчет_аналитики'!AO2471)=0,12&lt;='01_Вводные'!$B$297),0,('19_Расчет_аналитики'!AO2443-'19_Расчет_аналитики'!AO2471)*IF('01_Вводные'!$B$239="Да",MeanMinAge12+'19_Расчет_аналитики'!AO2584*SUMIF(ThresholdAge12,"&lt;"&amp;'19_Расчет_аналитики'!AO2584,WeightedRevAge12)-SUMIF(ThresholdAge12,"&lt;"&amp;'19_Расчет_аналитики'!AO2584,WeightedMinAge12),MAX(CapacityAge12*'01_Вводные'!$B$218*'19_Расчет_аналитики'!AO2584,MeanMinAge12)))</f>
        <v/>
      </c>
      <c r="AP2527">
        <f>IF(OR(('19_Расчет_аналитики'!AP2443-'19_Расчет_аналитики'!AP2471)=0,12&lt;='01_Вводные'!$B$297),0,('19_Расчет_аналитики'!AP2443-'19_Расчет_аналитики'!AP2471)*IF('01_Вводные'!$B$239="Да",MeanMinAge12+'19_Расчет_аналитики'!AP2584*SUMIF(ThresholdAge12,"&lt;"&amp;'19_Расчет_аналитики'!AP2584,WeightedRevAge12)-SUMIF(ThresholdAge12,"&lt;"&amp;'19_Расчет_аналитики'!AP2584,WeightedMinAge12),MAX(CapacityAge12*'01_Вводные'!$B$218*'19_Расчет_аналитики'!AP2584,MeanMinAge12)))</f>
        <v/>
      </c>
      <c r="AQ2527">
        <f>IF(OR(('19_Расчет_аналитики'!AQ2443-'19_Расчет_аналитики'!AQ2471)=0,12&lt;='01_Вводные'!$B$297),0,('19_Расчет_аналитики'!AQ2443-'19_Расчет_аналитики'!AQ2471)*IF('01_Вводные'!$B$239="Да",MeanMinAge12+'19_Расчет_аналитики'!AQ2584*SUMIF(ThresholdAge12,"&lt;"&amp;'19_Расчет_аналитики'!AQ2584,WeightedRevAge12)-SUMIF(ThresholdAge12,"&lt;"&amp;'19_Расчет_аналитики'!AQ2584,WeightedMinAge12),MAX(CapacityAge12*'01_Вводные'!$B$218*'19_Расчет_аналитики'!AQ2584,MeanMinAge12)))</f>
        <v/>
      </c>
      <c r="AR2527">
        <f>IF(OR(('19_Расчет_аналитики'!AR2443-'19_Расчет_аналитики'!AR2471)=0,12&lt;='01_Вводные'!$B$297),0,('19_Расчет_аналитики'!AR2443-'19_Расчет_аналитики'!AR2471)*IF('01_Вводные'!$B$239="Да",MeanMinAge12+'19_Расчет_аналитики'!AR2584*SUMIF(ThresholdAge12,"&lt;"&amp;'19_Расчет_аналитики'!AR2584,WeightedRevAge12)-SUMIF(ThresholdAge12,"&lt;"&amp;'19_Расчет_аналитики'!AR2584,WeightedMinAge12),MAX(CapacityAge12*'01_Вводные'!$B$218*'19_Расчет_аналитики'!AR2584,MeanMinAge12)))</f>
        <v/>
      </c>
      <c r="AS2527">
        <f>IF(OR(('19_Расчет_аналитики'!AS2443-'19_Расчет_аналитики'!AS2471)=0,12&lt;='01_Вводные'!$B$297),0,('19_Расчет_аналитики'!AS2443-'19_Расчет_аналитики'!AS2471)*IF('01_Вводные'!$B$239="Да",MeanMinAge12+'19_Расчет_аналитики'!AS2584*SUMIF(ThresholdAge12,"&lt;"&amp;'19_Расчет_аналитики'!AS2584,WeightedRevAge12)-SUMIF(ThresholdAge12,"&lt;"&amp;'19_Расчет_аналитики'!AS2584,WeightedMinAge12),MAX(CapacityAge12*'01_Вводные'!$B$218*'19_Расчет_аналитики'!AS2584,MeanMinAge12)))</f>
        <v/>
      </c>
      <c r="AT2527">
        <f>IF(OR(('19_Расчет_аналитики'!AT2443-'19_Расчет_аналитики'!AT2471)=0,12&lt;='01_Вводные'!$B$297),0,('19_Расчет_аналитики'!AT2443-'19_Расчет_аналитики'!AT2471)*IF('01_Вводные'!$B$239="Да",MeanMinAge12+'19_Расчет_аналитики'!AT2584*SUMIF(ThresholdAge12,"&lt;"&amp;'19_Расчет_аналитики'!AT2584,WeightedRevAge12)-SUMIF(ThresholdAge12,"&lt;"&amp;'19_Расчет_аналитики'!AT2584,WeightedMinAge12),MAX(CapacityAge12*'01_Вводные'!$B$218*'19_Расчет_аналитики'!AT2584,MeanMinAge12)))</f>
        <v/>
      </c>
      <c r="AU2527">
        <f>IF(OR(('19_Расчет_аналитики'!AU2443-'19_Расчет_аналитики'!AU2471)=0,12&lt;='01_Вводные'!$B$297),0,('19_Расчет_аналитики'!AU2443-'19_Расчет_аналитики'!AU2471)*IF('01_Вводные'!$B$239="Да",MeanMinAge12+'19_Расчет_аналитики'!AU2584*SUMIF(ThresholdAge12,"&lt;"&amp;'19_Расчет_аналитики'!AU2584,WeightedRevAge12)-SUMIF(ThresholdAge12,"&lt;"&amp;'19_Расчет_аналитики'!AU2584,WeightedMinAge12),MAX(CapacityAge12*'01_Вводные'!$B$218*'19_Расчет_аналитики'!AU2584,MeanMinAge12)))</f>
        <v/>
      </c>
      <c r="AV2527">
        <f>IF(OR(('19_Расчет_аналитики'!AV2443-'19_Расчет_аналитики'!AV2471)=0,12&lt;='01_Вводные'!$B$297),0,('19_Расчет_аналитики'!AV2443-'19_Расчет_аналитики'!AV2471)*IF('01_Вводные'!$B$239="Да",MeanMinAge12+'19_Расчет_аналитики'!AV2584*SUMIF(ThresholdAge12,"&lt;"&amp;'19_Расчет_аналитики'!AV2584,WeightedRevAge12)-SUMIF(ThresholdAge12,"&lt;"&amp;'19_Расчет_аналитики'!AV2584,WeightedMinAge12),MAX(CapacityAge12*'01_Вводные'!$B$218*'19_Расчет_аналитики'!AV2584,MeanMinAge12)))</f>
        <v/>
      </c>
      <c r="AW2527">
        <f>IF(OR(('19_Расчет_аналитики'!AW2443-'19_Расчет_аналитики'!AW2471)=0,12&lt;='01_Вводные'!$B$297),0,('19_Расчет_аналитики'!AW2443-'19_Расчет_аналитики'!AW2471)*IF('01_Вводные'!$B$239="Да",MeanMinAge12+'19_Расчет_аналитики'!AW2584*SUMIF(ThresholdAge12,"&lt;"&amp;'19_Расчет_аналитики'!AW2584,WeightedRevAge12)-SUMIF(ThresholdAge12,"&lt;"&amp;'19_Расчет_аналитики'!AW2584,WeightedMinAge12),MAX(CapacityAge12*'01_Вводные'!$B$218*'19_Расчет_аналитики'!AW2584,MeanMinAge12)))</f>
        <v/>
      </c>
      <c r="AX2527">
        <f>IF(OR(('19_Расчет_аналитики'!AX2443-'19_Расчет_аналитики'!AX2471)=0,12&lt;='01_Вводные'!$B$297),0,('19_Расчет_аналитики'!AX2443-'19_Расчет_аналитики'!AX2471)*IF('01_Вводные'!$B$239="Да",MeanMinAge12+'19_Расчет_аналитики'!AX2584*SUMIF(ThresholdAge12,"&lt;"&amp;'19_Расчет_аналитики'!AX2584,WeightedRevAge12)-SUMIF(ThresholdAge12,"&lt;"&amp;'19_Расчет_аналитики'!AX2584,WeightedMinAge12),MAX(CapacityAge12*'01_Вводные'!$B$218*'19_Расчет_аналитики'!AX2584,MeanMinAge12)))</f>
        <v/>
      </c>
      <c r="AY2527">
        <f>IF(OR(('19_Расчет_аналитики'!AY2443-'19_Расчет_аналитики'!AY2471)=0,12&lt;='01_Вводные'!$B$297),0,('19_Расчет_аналитики'!AY2443-'19_Расчет_аналитики'!AY2471)*IF('01_Вводные'!$B$239="Да",MeanMinAge12+'19_Расчет_аналитики'!AY2584*SUMIF(ThresholdAge12,"&lt;"&amp;'19_Расчет_аналитики'!AY2584,WeightedRevAge12)-SUMIF(ThresholdAge12,"&lt;"&amp;'19_Расчет_аналитики'!AY2584,WeightedMinAge12),MAX(CapacityAge12*'01_Вводные'!$B$218*'19_Расчет_аналитики'!AY2584,MeanMinAge12)))</f>
        <v/>
      </c>
      <c r="AZ2527">
        <f>IF(OR(('19_Расчет_аналитики'!AZ2443-'19_Расчет_аналитики'!AZ2471)=0,12&lt;='01_Вводные'!$B$297),0,('19_Расчет_аналитики'!AZ2443-'19_Расчет_аналитики'!AZ2471)*IF('01_Вводные'!$B$239="Да",MeanMinAge12+'19_Расчет_аналитики'!AZ2584*SUMIF(ThresholdAge12,"&lt;"&amp;'19_Расчет_аналитики'!AZ2584,WeightedRevAge12)-SUMIF(ThresholdAge12,"&lt;"&amp;'19_Расчет_аналитики'!AZ2584,WeightedMinAge12),MAX(CapacityAge12*'01_Вводные'!$B$218*'19_Расчет_аналитики'!AZ2584,MeanMinAge12)))</f>
        <v/>
      </c>
      <c r="BA2527">
        <f>IF(OR(('19_Расчет_аналитики'!BA2443-'19_Расчет_аналитики'!BA2471)=0,12&lt;='01_Вводные'!$B$297),0,('19_Расчет_аналитики'!BA2443-'19_Расчет_аналитики'!BA2471)*IF('01_Вводные'!$B$239="Да",MeanMinAge12+'19_Расчет_аналитики'!BA2584*SUMIF(ThresholdAge12,"&lt;"&amp;'19_Расчет_аналитики'!BA2584,WeightedRevAge12)-SUMIF(ThresholdAge12,"&lt;"&amp;'19_Расчет_аналитики'!BA2584,WeightedMinAge12),MAX(CapacityAge12*'01_Вводные'!$B$218*'19_Расчет_аналитики'!BA2584,MeanMinAge12)))</f>
        <v/>
      </c>
      <c r="BB2527">
        <f>IF(OR(('19_Расчет_аналитики'!BB2443-'19_Расчет_аналитики'!BB2471)=0,12&lt;='01_Вводные'!$B$297),0,('19_Расчет_аналитики'!BB2443-'19_Расчет_аналитики'!BB2471)*IF('01_Вводные'!$B$239="Да",MeanMinAge12+'19_Расчет_аналитики'!BB2584*SUMIF(ThresholdAge12,"&lt;"&amp;'19_Расчет_аналитики'!BB2584,WeightedRevAge12)-SUMIF(ThresholdAge12,"&lt;"&amp;'19_Расчет_аналитики'!BB2584,WeightedMinAge12),MAX(CapacityAge12*'01_Вводные'!$B$218*'19_Расчет_аналитики'!BB2584,MeanMinAge12)))</f>
        <v/>
      </c>
      <c r="BC2527">
        <f>IF(OR(('19_Расчет_аналитики'!BC2443-'19_Расчет_аналитики'!BC2471)=0,12&lt;='01_Вводные'!$B$297),0,('19_Расчет_аналитики'!BC2443-'19_Расчет_аналитики'!BC2471)*IF('01_Вводные'!$B$239="Да",MeanMinAge12+'19_Расчет_аналитики'!BC2584*SUMIF(ThresholdAge12,"&lt;"&amp;'19_Расчет_аналитики'!BC2584,WeightedRevAge12)-SUMIF(ThresholdAge12,"&lt;"&amp;'19_Расчет_аналитики'!BC2584,WeightedMinAge12),MAX(CapacityAge12*'01_Вводные'!$B$218*'19_Расчет_аналитики'!BC2584,MeanMinAge12)))</f>
        <v/>
      </c>
      <c r="BD2527">
        <f>IF(OR(('19_Расчет_аналитики'!BD2443-'19_Расчет_аналитики'!BD2471)=0,12&lt;='01_Вводные'!$B$297),0,('19_Расчет_аналитики'!BD2443-'19_Расчет_аналитики'!BD2471)*IF('01_Вводные'!$B$239="Да",MeanMinAge12+'19_Расчет_аналитики'!BD2584*SUMIF(ThresholdAge12,"&lt;"&amp;'19_Расчет_аналитики'!BD2584,WeightedRevAge12)-SUMIF(ThresholdAge12,"&lt;"&amp;'19_Расчет_аналитики'!BD2584,WeightedMinAge12),MAX(CapacityAge12*'01_Вводные'!$B$218*'19_Расчет_аналитики'!BD2584,MeanMinAge12)))</f>
        <v/>
      </c>
      <c r="BE2527">
        <f>IF(OR(('19_Расчет_аналитики'!BE2443-'19_Расчет_аналитики'!BE2471)=0,12&lt;='01_Вводные'!$B$297),0,('19_Расчет_аналитики'!BE2443-'19_Расчет_аналитики'!BE2471)*IF('01_Вводные'!$B$239="Да",MeanMinAge12+'19_Расчет_аналитики'!BE2584*SUMIF(ThresholdAge12,"&lt;"&amp;'19_Расчет_аналитики'!BE2584,WeightedRevAge12)-SUMIF(ThresholdAge12,"&lt;"&amp;'19_Расчет_аналитики'!BE2584,WeightedMinAge12),MAX(CapacityAge12*'01_Вводные'!$B$218*'19_Расчет_аналитики'!BE2584,MeanMinAge12)))</f>
        <v/>
      </c>
      <c r="BF2527">
        <f>IF(OR(('19_Расчет_аналитики'!BF2443-'19_Расчет_аналитики'!BF2471)=0,12&lt;='01_Вводные'!$B$297),0,('19_Расчет_аналитики'!BF2443-'19_Расчет_аналитики'!BF2471)*IF('01_Вводные'!$B$239="Да",MeanMinAge12+'19_Расчет_аналитики'!BF2584*SUMIF(ThresholdAge12,"&lt;"&amp;'19_Расчет_аналитики'!BF2584,WeightedRevAge12)-SUMIF(ThresholdAge12,"&lt;"&amp;'19_Расчет_аналитики'!BF2584,WeightedMinAge12),MAX(CapacityAge12*'01_Вводные'!$B$218*'19_Расчет_аналитики'!BF2584,MeanMinAge12)))</f>
        <v/>
      </c>
      <c r="BG2527">
        <f>IF(OR(('19_Расчет_аналитики'!BG2443-'19_Расчет_аналитики'!BG2471)=0,12&lt;='01_Вводные'!$B$297),0,('19_Расчет_аналитики'!BG2443-'19_Расчет_аналитики'!BG2471)*IF('01_Вводные'!$B$239="Да",MeanMinAge12+'19_Расчет_аналитики'!BG2584*SUMIF(ThresholdAge12,"&lt;"&amp;'19_Расчет_аналитики'!BG2584,WeightedRevAge12)-SUMIF(ThresholdAge12,"&lt;"&amp;'19_Расчет_аналитики'!BG2584,WeightedMinAge12),MAX(CapacityAge12*'01_Вводные'!$B$218*'19_Расчет_аналитики'!BG2584,MeanMinAge12)))</f>
        <v/>
      </c>
      <c r="BH2527">
        <f>IF(OR(('19_Расчет_аналитики'!BH2443-'19_Расчет_аналитики'!BH2471)=0,12&lt;='01_Вводные'!$B$297),0,('19_Расчет_аналитики'!BH2443-'19_Расчет_аналитики'!BH2471)*IF('01_Вводные'!$B$239="Да",MeanMinAge12+'19_Расчет_аналитики'!BH2584*SUMIF(ThresholdAge12,"&lt;"&amp;'19_Расчет_аналитики'!BH2584,WeightedRevAge12)-SUMIF(ThresholdAge12,"&lt;"&amp;'19_Расчет_аналитики'!BH2584,WeightedMinAge12),MAX(CapacityAge12*'01_Вводные'!$B$218*'19_Расчет_аналитики'!BH2584,MeanMinAge12)))</f>
        <v/>
      </c>
      <c r="BI2527">
        <f>IF(OR(('19_Расчет_аналитики'!BI2443-'19_Расчет_аналитики'!BI2471)=0,12&lt;='01_Вводные'!$B$297),0,('19_Расчет_аналитики'!BI2443-'19_Расчет_аналитики'!BI2471)*IF('01_Вводные'!$B$239="Да",MeanMinAge12+'19_Расчет_аналитики'!BI2584*SUMIF(ThresholdAge12,"&lt;"&amp;'19_Расчет_аналитики'!BI2584,WeightedRevAge12)-SUMIF(ThresholdAge12,"&lt;"&amp;'19_Расчет_аналитики'!BI2584,WeightedMinAge12),MAX(CapacityAge12*'01_Вводные'!$B$218*'19_Расчет_аналитики'!BI2584,MeanMinAge12)))</f>
        <v/>
      </c>
      <c r="BJ2527">
        <f>IF(OR(('19_Расчет_аналитики'!BJ2443-'19_Расчет_аналитики'!BJ2471)=0,12&lt;='01_Вводные'!$B$297),0,('19_Расчет_аналитики'!BJ2443-'19_Расчет_аналитики'!BJ2471)*IF('01_Вводные'!$B$239="Да",MeanMinAge12+'19_Расчет_аналитики'!BJ2584*SUMIF(ThresholdAge12,"&lt;"&amp;'19_Расчет_аналитики'!BJ2584,WeightedRevAge12)-SUMIF(ThresholdAge12,"&lt;"&amp;'19_Расчет_аналитики'!BJ2584,WeightedMinAge12),MAX(CapacityAge12*'01_Вводные'!$B$218*'19_Расчет_аналитики'!BJ2584,MeanMinAge12)))</f>
        <v/>
      </c>
      <c r="BK2527">
        <f>IF(OR(('19_Расчет_аналитики'!BK2443-'19_Расчет_аналитики'!BK2471)=0,12&lt;='01_Вводные'!$B$297),0,('19_Расчет_аналитики'!BK2443-'19_Расчет_аналитики'!BK2471)*IF('01_Вводные'!$B$239="Да",MeanMinAge12+'19_Расчет_аналитики'!BK2584*SUMIF(ThresholdAge12,"&lt;"&amp;'19_Расчет_аналитики'!BK2584,WeightedRevAge12)-SUMIF(ThresholdAge12,"&lt;"&amp;'19_Расчет_аналитики'!BK2584,WeightedMinAge12),MAX(CapacityAge12*'01_Вводные'!$B$218*'19_Расчет_аналитики'!BK2584,MeanMinAge12)))</f>
        <v/>
      </c>
      <c r="BL2527">
        <f>IF(OR(('19_Расчет_аналитики'!BL2443-'19_Расчет_аналитики'!BL2471)=0,12&lt;='01_Вводные'!$B$297),0,('19_Расчет_аналитики'!BL2443-'19_Расчет_аналитики'!BL2471)*IF('01_Вводные'!$B$239="Да",MeanMinAge12+'19_Расчет_аналитики'!BL2584*SUMIF(ThresholdAge12,"&lt;"&amp;'19_Расчет_аналитики'!BL2584,WeightedRevAge12)-SUMIF(ThresholdAge12,"&lt;"&amp;'19_Расчет_аналитики'!BL2584,WeightedMinAge12),MAX(CapacityAge12*'01_Вводные'!$B$218*'19_Расчет_аналитики'!BL2584,MeanMinAge12)))</f>
        <v/>
      </c>
      <c r="BM2527">
        <f>IF(OR(('19_Расчет_аналитики'!BM2443-'19_Расчет_аналитики'!BM2471)=0,12&lt;='01_Вводные'!$B$297),0,('19_Расчет_аналитики'!BM2443-'19_Расчет_аналитики'!BM2471)*IF('01_Вводные'!$B$239="Да",MeanMinAge12+'19_Расчет_аналитики'!BM2584*SUMIF(ThresholdAge12,"&lt;"&amp;'19_Расчет_аналитики'!BM2584,WeightedRevAge12)-SUMIF(ThresholdAge12,"&lt;"&amp;'19_Расчет_аналитики'!BM2584,WeightedMinAge12),MAX(CapacityAge12*'01_Вводные'!$B$218*'19_Расчет_аналитики'!BM2584,MeanMinAge12)))</f>
        <v/>
      </c>
      <c r="BN2527">
        <f>IF(OR(('19_Расчет_аналитики'!BN2443-'19_Расчет_аналитики'!BN2471)=0,12&lt;='01_Вводные'!$B$297),0,('19_Расчет_аналитики'!BN2443-'19_Расчет_аналитики'!BN2471)*IF('01_Вводные'!$B$239="Да",MeanMinAge12+'19_Расчет_аналитики'!BN2584*SUMIF(ThresholdAge12,"&lt;"&amp;'19_Расчет_аналитики'!BN2584,WeightedRevAge12)-SUMIF(ThresholdAge12,"&lt;"&amp;'19_Расчет_аналитики'!BN2584,WeightedMinAge12),MAX(CapacityAge12*'01_Вводные'!$B$218*'19_Расчет_аналитики'!BN2584,MeanMinAge12)))</f>
        <v/>
      </c>
      <c r="BO2527">
        <f>IF(OR(('19_Расчет_аналитики'!BO2443-'19_Расчет_аналитики'!BO2471)=0,12&lt;='01_Вводные'!$B$297),0,('19_Расчет_аналитики'!BO2443-'19_Расчет_аналитики'!BO2471)*IF('01_Вводные'!$B$239="Да",MeanMinAge12+'19_Расчет_аналитики'!BO2584*SUMIF(ThresholdAge12,"&lt;"&amp;'19_Расчет_аналитики'!BO2584,WeightedRevAge12)-SUMIF(ThresholdAge12,"&lt;"&amp;'19_Расчет_аналитики'!BO2584,WeightedMinAge12),MAX(CapacityAge12*'01_Вводные'!$B$218*'19_Расчет_аналитики'!BO2584,MeanMinAge12)))</f>
        <v/>
      </c>
    </row>
    <row r="2528">
      <c r="B2528">
        <f>IF(OR(('06_Сеть_и_дети'!B65-'06_Сеть_и_дети'!B93)=0,13&lt;='01_Вводные'!$B$297),0,('06_Сеть_и_дети'!B65-'06_Сеть_и_дети'!B93)*IF('01_Вводные'!$B$239="Да",MeanMinAge13+'19_Расчет_аналитики'!B2584*SUMIF(ThresholdAge13,"&lt;"&amp;'19_Расчет_аналитики'!B2584,WeightedRevAge13)-SUMIF(ThresholdAge13,"&lt;"&amp;'19_Расчет_аналитики'!B2584,WeightedMinAge13),MAX(CapacityAge13*'01_Вводные'!$B$218*'19_Расчет_аналитики'!B2584,MeanMinAge13)))</f>
        <v/>
      </c>
      <c r="C2528">
        <f>IF(OR(('06_Сеть_и_дети'!C65-'06_Сеть_и_дети'!C93)=0,13&lt;='01_Вводные'!$B$297),0,('06_Сеть_и_дети'!C65-'06_Сеть_и_дети'!C93)*IF('01_Вводные'!$B$239="Да",MeanMinAge13+'19_Расчет_аналитики'!C2584*SUMIF(ThresholdAge13,"&lt;"&amp;'19_Расчет_аналитики'!C2584,WeightedRevAge13)-SUMIF(ThresholdAge13,"&lt;"&amp;'19_Расчет_аналитики'!C2584,WeightedMinAge13),MAX(CapacityAge13*'01_Вводные'!$B$218*'19_Расчет_аналитики'!C2584,MeanMinAge13)))</f>
        <v/>
      </c>
      <c r="D2528">
        <f>IF(OR(('06_Сеть_и_дети'!D65-'06_Сеть_и_дети'!D93)=0,13&lt;='01_Вводные'!$B$297),0,('06_Сеть_и_дети'!D65-'06_Сеть_и_дети'!D93)*IF('01_Вводные'!$B$239="Да",MeanMinAge13+'19_Расчет_аналитики'!D2584*SUMIF(ThresholdAge13,"&lt;"&amp;'19_Расчет_аналитики'!D2584,WeightedRevAge13)-SUMIF(ThresholdAge13,"&lt;"&amp;'19_Расчет_аналитики'!D2584,WeightedMinAge13),MAX(CapacityAge13*'01_Вводные'!$B$218*'19_Расчет_аналитики'!D2584,MeanMinAge13)))</f>
        <v/>
      </c>
      <c r="E2528">
        <f>IF(OR(('06_Сеть_и_дети'!E65-'06_Сеть_и_дети'!E93)=0,13&lt;='01_Вводные'!$B$297),0,('06_Сеть_и_дети'!E65-'06_Сеть_и_дети'!E93)*IF('01_Вводные'!$B$239="Да",MeanMinAge13+'19_Расчет_аналитики'!E2584*SUMIF(ThresholdAge13,"&lt;"&amp;'19_Расчет_аналитики'!E2584,WeightedRevAge13)-SUMIF(ThresholdAge13,"&lt;"&amp;'19_Расчет_аналитики'!E2584,WeightedMinAge13),MAX(CapacityAge13*'01_Вводные'!$B$218*'19_Расчет_аналитики'!E2584,MeanMinAge13)))</f>
        <v/>
      </c>
      <c r="F2528">
        <f>IF(OR(('06_Сеть_и_дети'!F65-'06_Сеть_и_дети'!F93)=0,13&lt;='01_Вводные'!$B$297),0,('06_Сеть_и_дети'!F65-'06_Сеть_и_дети'!F93)*IF('01_Вводные'!$B$239="Да",MeanMinAge13+'19_Расчет_аналитики'!F2584*SUMIF(ThresholdAge13,"&lt;"&amp;'19_Расчет_аналитики'!F2584,WeightedRevAge13)-SUMIF(ThresholdAge13,"&lt;"&amp;'19_Расчет_аналитики'!F2584,WeightedMinAge13),MAX(CapacityAge13*'01_Вводные'!$B$218*'19_Расчет_аналитики'!F2584,MeanMinAge13)))</f>
        <v/>
      </c>
      <c r="G2528">
        <f>IF(OR(('06_Сеть_и_дети'!G65-'06_Сеть_и_дети'!G93)=0,13&lt;='01_Вводные'!$B$297),0,('06_Сеть_и_дети'!G65-'06_Сеть_и_дети'!G93)*IF('01_Вводные'!$B$239="Да",MeanMinAge13+'19_Расчет_аналитики'!G2584*SUMIF(ThresholdAge13,"&lt;"&amp;'19_Расчет_аналитики'!G2584,WeightedRevAge13)-SUMIF(ThresholdAge13,"&lt;"&amp;'19_Расчет_аналитики'!G2584,WeightedMinAge13),MAX(CapacityAge13*'01_Вводные'!$B$218*'19_Расчет_аналитики'!G2584,MeanMinAge13)))</f>
        <v/>
      </c>
      <c r="H2528">
        <f>IF(OR(('06_Сеть_и_дети'!H65-'06_Сеть_и_дети'!H93)=0,13&lt;='01_Вводные'!$B$297),0,('06_Сеть_и_дети'!H65-'06_Сеть_и_дети'!H93)*IF('01_Вводные'!$B$239="Да",MeanMinAge13+'19_Расчет_аналитики'!H2584*SUMIF(ThresholdAge13,"&lt;"&amp;'19_Расчет_аналитики'!H2584,WeightedRevAge13)-SUMIF(ThresholdAge13,"&lt;"&amp;'19_Расчет_аналитики'!H2584,WeightedMinAge13),MAX(CapacityAge13*'01_Вводные'!$B$218*'19_Расчет_аналитики'!H2584,MeanMinAge13)))</f>
        <v/>
      </c>
      <c r="I2528">
        <f>IF(OR(('06_Сеть_и_дети'!I65-'06_Сеть_и_дети'!I93)=0,13&lt;='01_Вводные'!$B$297),0,('06_Сеть_и_дети'!I65-'06_Сеть_и_дети'!I93)*IF('01_Вводные'!$B$239="Да",MeanMinAge13+'19_Расчет_аналитики'!I2584*SUMIF(ThresholdAge13,"&lt;"&amp;'19_Расчет_аналитики'!I2584,WeightedRevAge13)-SUMIF(ThresholdAge13,"&lt;"&amp;'19_Расчет_аналитики'!I2584,WeightedMinAge13),MAX(CapacityAge13*'01_Вводные'!$B$218*'19_Расчет_аналитики'!I2584,MeanMinAge13)))</f>
        <v/>
      </c>
      <c r="J2528">
        <f>IF(OR(('06_Сеть_и_дети'!J65-'06_Сеть_и_дети'!J93)=0,13&lt;='01_Вводные'!$B$297),0,('06_Сеть_и_дети'!J65-'06_Сеть_и_дети'!J93)*IF('01_Вводные'!$B$239="Да",MeanMinAge13+'19_Расчет_аналитики'!J2584*SUMIF(ThresholdAge13,"&lt;"&amp;'19_Расчет_аналитики'!J2584,WeightedRevAge13)-SUMIF(ThresholdAge13,"&lt;"&amp;'19_Расчет_аналитики'!J2584,WeightedMinAge13),MAX(CapacityAge13*'01_Вводные'!$B$218*'19_Расчет_аналитики'!J2584,MeanMinAge13)))</f>
        <v/>
      </c>
      <c r="K2528">
        <f>IF(OR(('06_Сеть_и_дети'!K65-'06_Сеть_и_дети'!K93)=0,13&lt;='01_Вводные'!$B$297),0,('06_Сеть_и_дети'!K65-'06_Сеть_и_дети'!K93)*IF('01_Вводные'!$B$239="Да",MeanMinAge13+'19_Расчет_аналитики'!K2584*SUMIF(ThresholdAge13,"&lt;"&amp;'19_Расчет_аналитики'!K2584,WeightedRevAge13)-SUMIF(ThresholdAge13,"&lt;"&amp;'19_Расчет_аналитики'!K2584,WeightedMinAge13),MAX(CapacityAge13*'01_Вводные'!$B$218*'19_Расчет_аналитики'!K2584,MeanMinAge13)))</f>
        <v/>
      </c>
      <c r="L2528">
        <f>IF(OR(('06_Сеть_и_дети'!L65-'06_Сеть_и_дети'!L93)=0,13&lt;='01_Вводные'!$B$297),0,('06_Сеть_и_дети'!L65-'06_Сеть_и_дети'!L93)*IF('01_Вводные'!$B$239="Да",MeanMinAge13+'19_Расчет_аналитики'!L2584*SUMIF(ThresholdAge13,"&lt;"&amp;'19_Расчет_аналитики'!L2584,WeightedRevAge13)-SUMIF(ThresholdAge13,"&lt;"&amp;'19_Расчет_аналитики'!L2584,WeightedMinAge13),MAX(CapacityAge13*'01_Вводные'!$B$218*'19_Расчет_аналитики'!L2584,MeanMinAge13)))</f>
        <v/>
      </c>
      <c r="M2528">
        <f>IF(OR(('06_Сеть_и_дети'!M65-'06_Сеть_и_дети'!M93)=0,13&lt;='01_Вводные'!$B$297),0,('06_Сеть_и_дети'!M65-'06_Сеть_и_дети'!M93)*IF('01_Вводные'!$B$239="Да",MeanMinAge13+'19_Расчет_аналитики'!M2584*SUMIF(ThresholdAge13,"&lt;"&amp;'19_Расчет_аналитики'!M2584,WeightedRevAge13)-SUMIF(ThresholdAge13,"&lt;"&amp;'19_Расчет_аналитики'!M2584,WeightedMinAge13),MAX(CapacityAge13*'01_Вводные'!$B$218*'19_Расчет_аналитики'!M2584,MeanMinAge13)))</f>
        <v/>
      </c>
      <c r="N2528">
        <f>IF(OR(('19_Расчет_аналитики'!N2444-'19_Расчет_аналитики'!N2472)=0,13&lt;='01_Вводные'!$B$297),0,('19_Расчет_аналитики'!N2444-'19_Расчет_аналитики'!N2472)*IF('01_Вводные'!$B$239="Да",MeanMinAge13+'19_Расчет_аналитики'!N2584*SUMIF(ThresholdAge13,"&lt;"&amp;'19_Расчет_аналитики'!N2584,WeightedRevAge13)-SUMIF(ThresholdAge13,"&lt;"&amp;'19_Расчет_аналитики'!N2584,WeightedMinAge13),MAX(CapacityAge13*'01_Вводные'!$B$218*'19_Расчет_аналитики'!N2584,MeanMinAge13)))</f>
        <v/>
      </c>
      <c r="O2528">
        <f>IF(OR(('19_Расчет_аналитики'!O2444-'19_Расчет_аналитики'!O2472)=0,13&lt;='01_Вводные'!$B$297),0,('19_Расчет_аналитики'!O2444-'19_Расчет_аналитики'!O2472)*IF('01_Вводные'!$B$239="Да",MeanMinAge13+'19_Расчет_аналитики'!O2584*SUMIF(ThresholdAge13,"&lt;"&amp;'19_Расчет_аналитики'!O2584,WeightedRevAge13)-SUMIF(ThresholdAge13,"&lt;"&amp;'19_Расчет_аналитики'!O2584,WeightedMinAge13),MAX(CapacityAge13*'01_Вводные'!$B$218*'19_Расчет_аналитики'!O2584,MeanMinAge13)))</f>
        <v/>
      </c>
      <c r="P2528">
        <f>IF(OR(('19_Расчет_аналитики'!P2444-'19_Расчет_аналитики'!P2472)=0,13&lt;='01_Вводные'!$B$297),0,('19_Расчет_аналитики'!P2444-'19_Расчет_аналитики'!P2472)*IF('01_Вводные'!$B$239="Да",MeanMinAge13+'19_Расчет_аналитики'!P2584*SUMIF(ThresholdAge13,"&lt;"&amp;'19_Расчет_аналитики'!P2584,WeightedRevAge13)-SUMIF(ThresholdAge13,"&lt;"&amp;'19_Расчет_аналитики'!P2584,WeightedMinAge13),MAX(CapacityAge13*'01_Вводные'!$B$218*'19_Расчет_аналитики'!P2584,MeanMinAge13)))</f>
        <v/>
      </c>
      <c r="Q2528">
        <f>IF(OR(('19_Расчет_аналитики'!Q2444-'19_Расчет_аналитики'!Q2472)=0,13&lt;='01_Вводные'!$B$297),0,('19_Расчет_аналитики'!Q2444-'19_Расчет_аналитики'!Q2472)*IF('01_Вводные'!$B$239="Да",MeanMinAge13+'19_Расчет_аналитики'!Q2584*SUMIF(ThresholdAge13,"&lt;"&amp;'19_Расчет_аналитики'!Q2584,WeightedRevAge13)-SUMIF(ThresholdAge13,"&lt;"&amp;'19_Расчет_аналитики'!Q2584,WeightedMinAge13),MAX(CapacityAge13*'01_Вводные'!$B$218*'19_Расчет_аналитики'!Q2584,MeanMinAge13)))</f>
        <v/>
      </c>
      <c r="R2528">
        <f>IF(OR(('19_Расчет_аналитики'!R2444-'19_Расчет_аналитики'!R2472)=0,13&lt;='01_Вводные'!$B$297),0,('19_Расчет_аналитики'!R2444-'19_Расчет_аналитики'!R2472)*IF('01_Вводные'!$B$239="Да",MeanMinAge13+'19_Расчет_аналитики'!R2584*SUMIF(ThresholdAge13,"&lt;"&amp;'19_Расчет_аналитики'!R2584,WeightedRevAge13)-SUMIF(ThresholdAge13,"&lt;"&amp;'19_Расчет_аналитики'!R2584,WeightedMinAge13),MAX(CapacityAge13*'01_Вводные'!$B$218*'19_Расчет_аналитики'!R2584,MeanMinAge13)))</f>
        <v/>
      </c>
      <c r="S2528">
        <f>IF(OR(('19_Расчет_аналитики'!S2444-'19_Расчет_аналитики'!S2472)=0,13&lt;='01_Вводные'!$B$297),0,('19_Расчет_аналитики'!S2444-'19_Расчет_аналитики'!S2472)*IF('01_Вводные'!$B$239="Да",MeanMinAge13+'19_Расчет_аналитики'!S2584*SUMIF(ThresholdAge13,"&lt;"&amp;'19_Расчет_аналитики'!S2584,WeightedRevAge13)-SUMIF(ThresholdAge13,"&lt;"&amp;'19_Расчет_аналитики'!S2584,WeightedMinAge13),MAX(CapacityAge13*'01_Вводные'!$B$218*'19_Расчет_аналитики'!S2584,MeanMinAge13)))</f>
        <v/>
      </c>
      <c r="T2528">
        <f>IF(OR(('19_Расчет_аналитики'!T2444-'19_Расчет_аналитики'!T2472)=0,13&lt;='01_Вводные'!$B$297),0,('19_Расчет_аналитики'!T2444-'19_Расчет_аналитики'!T2472)*IF('01_Вводные'!$B$239="Да",MeanMinAge13+'19_Расчет_аналитики'!T2584*SUMIF(ThresholdAge13,"&lt;"&amp;'19_Расчет_аналитики'!T2584,WeightedRevAge13)-SUMIF(ThresholdAge13,"&lt;"&amp;'19_Расчет_аналитики'!T2584,WeightedMinAge13),MAX(CapacityAge13*'01_Вводные'!$B$218*'19_Расчет_аналитики'!T2584,MeanMinAge13)))</f>
        <v/>
      </c>
      <c r="U2528">
        <f>IF(OR(('19_Расчет_аналитики'!U2444-'19_Расчет_аналитики'!U2472)=0,13&lt;='01_Вводные'!$B$297),0,('19_Расчет_аналитики'!U2444-'19_Расчет_аналитики'!U2472)*IF('01_Вводные'!$B$239="Да",MeanMinAge13+'19_Расчет_аналитики'!U2584*SUMIF(ThresholdAge13,"&lt;"&amp;'19_Расчет_аналитики'!U2584,WeightedRevAge13)-SUMIF(ThresholdAge13,"&lt;"&amp;'19_Расчет_аналитики'!U2584,WeightedMinAge13),MAX(CapacityAge13*'01_Вводные'!$B$218*'19_Расчет_аналитики'!U2584,MeanMinAge13)))</f>
        <v/>
      </c>
      <c r="V2528">
        <f>IF(OR(('19_Расчет_аналитики'!V2444-'19_Расчет_аналитики'!V2472)=0,13&lt;='01_Вводные'!$B$297),0,('19_Расчет_аналитики'!V2444-'19_Расчет_аналитики'!V2472)*IF('01_Вводные'!$B$239="Да",MeanMinAge13+'19_Расчет_аналитики'!V2584*SUMIF(ThresholdAge13,"&lt;"&amp;'19_Расчет_аналитики'!V2584,WeightedRevAge13)-SUMIF(ThresholdAge13,"&lt;"&amp;'19_Расчет_аналитики'!V2584,WeightedMinAge13),MAX(CapacityAge13*'01_Вводные'!$B$218*'19_Расчет_аналитики'!V2584,MeanMinAge13)))</f>
        <v/>
      </c>
      <c r="W2528">
        <f>IF(OR(('19_Расчет_аналитики'!W2444-'19_Расчет_аналитики'!W2472)=0,13&lt;='01_Вводные'!$B$297),0,('19_Расчет_аналитики'!W2444-'19_Расчет_аналитики'!W2472)*IF('01_Вводные'!$B$239="Да",MeanMinAge13+'19_Расчет_аналитики'!W2584*SUMIF(ThresholdAge13,"&lt;"&amp;'19_Расчет_аналитики'!W2584,WeightedRevAge13)-SUMIF(ThresholdAge13,"&lt;"&amp;'19_Расчет_аналитики'!W2584,WeightedMinAge13),MAX(CapacityAge13*'01_Вводные'!$B$218*'19_Расчет_аналитики'!W2584,MeanMinAge13)))</f>
        <v/>
      </c>
      <c r="X2528">
        <f>IF(OR(('19_Расчет_аналитики'!X2444-'19_Расчет_аналитики'!X2472)=0,13&lt;='01_Вводные'!$B$297),0,('19_Расчет_аналитики'!X2444-'19_Расчет_аналитики'!X2472)*IF('01_Вводные'!$B$239="Да",MeanMinAge13+'19_Расчет_аналитики'!X2584*SUMIF(ThresholdAge13,"&lt;"&amp;'19_Расчет_аналитики'!X2584,WeightedRevAge13)-SUMIF(ThresholdAge13,"&lt;"&amp;'19_Расчет_аналитики'!X2584,WeightedMinAge13),MAX(CapacityAge13*'01_Вводные'!$B$218*'19_Расчет_аналитики'!X2584,MeanMinAge13)))</f>
        <v/>
      </c>
      <c r="Y2528">
        <f>IF(OR(('19_Расчет_аналитики'!Y2444-'19_Расчет_аналитики'!Y2472)=0,13&lt;='01_Вводные'!$B$297),0,('19_Расчет_аналитики'!Y2444-'19_Расчет_аналитики'!Y2472)*IF('01_Вводные'!$B$239="Да",MeanMinAge13+'19_Расчет_аналитики'!Y2584*SUMIF(ThresholdAge13,"&lt;"&amp;'19_Расчет_аналитики'!Y2584,WeightedRevAge13)-SUMIF(ThresholdAge13,"&lt;"&amp;'19_Расчет_аналитики'!Y2584,WeightedMinAge13),MAX(CapacityAge13*'01_Вводные'!$B$218*'19_Расчет_аналитики'!Y2584,MeanMinAge13)))</f>
        <v/>
      </c>
      <c r="Z2528">
        <f>IF(OR(('19_Расчет_аналитики'!Z2444-'19_Расчет_аналитики'!Z2472)=0,13&lt;='01_Вводные'!$B$297),0,('19_Расчет_аналитики'!Z2444-'19_Расчет_аналитики'!Z2472)*IF('01_Вводные'!$B$239="Да",MeanMinAge13+'19_Расчет_аналитики'!Z2584*SUMIF(ThresholdAge13,"&lt;"&amp;'19_Расчет_аналитики'!Z2584,WeightedRevAge13)-SUMIF(ThresholdAge13,"&lt;"&amp;'19_Расчет_аналитики'!Z2584,WeightedMinAge13),MAX(CapacityAge13*'01_Вводные'!$B$218*'19_Расчет_аналитики'!Z2584,MeanMinAge13)))</f>
        <v/>
      </c>
      <c r="AA2528">
        <f>IF(OR(('19_Расчет_аналитики'!AA2444-'19_Расчет_аналитики'!AA2472)=0,13&lt;='01_Вводные'!$B$297),0,('19_Расчет_аналитики'!AA2444-'19_Расчет_аналитики'!AA2472)*IF('01_Вводные'!$B$239="Да",MeanMinAge13+'19_Расчет_аналитики'!AA2584*SUMIF(ThresholdAge13,"&lt;"&amp;'19_Расчет_аналитики'!AA2584,WeightedRevAge13)-SUMIF(ThresholdAge13,"&lt;"&amp;'19_Расчет_аналитики'!AA2584,WeightedMinAge13),MAX(CapacityAge13*'01_Вводные'!$B$218*'19_Расчет_аналитики'!AA2584,MeanMinAge13)))</f>
        <v/>
      </c>
      <c r="AB2528">
        <f>IF(OR(('19_Расчет_аналитики'!AB2444-'19_Расчет_аналитики'!AB2472)=0,13&lt;='01_Вводные'!$B$297),0,('19_Расчет_аналитики'!AB2444-'19_Расчет_аналитики'!AB2472)*IF('01_Вводные'!$B$239="Да",MeanMinAge13+'19_Расчет_аналитики'!AB2584*SUMIF(ThresholdAge13,"&lt;"&amp;'19_Расчет_аналитики'!AB2584,WeightedRevAge13)-SUMIF(ThresholdAge13,"&lt;"&amp;'19_Расчет_аналитики'!AB2584,WeightedMinAge13),MAX(CapacityAge13*'01_Вводные'!$B$218*'19_Расчет_аналитики'!AB2584,MeanMinAge13)))</f>
        <v/>
      </c>
      <c r="AC2528">
        <f>IF(OR(('19_Расчет_аналитики'!AC2444-'19_Расчет_аналитики'!AC2472)=0,13&lt;='01_Вводные'!$B$297),0,('19_Расчет_аналитики'!AC2444-'19_Расчет_аналитики'!AC2472)*IF('01_Вводные'!$B$239="Да",MeanMinAge13+'19_Расчет_аналитики'!AC2584*SUMIF(ThresholdAge13,"&lt;"&amp;'19_Расчет_аналитики'!AC2584,WeightedRevAge13)-SUMIF(ThresholdAge13,"&lt;"&amp;'19_Расчет_аналитики'!AC2584,WeightedMinAge13),MAX(CapacityAge13*'01_Вводные'!$B$218*'19_Расчет_аналитики'!AC2584,MeanMinAge13)))</f>
        <v/>
      </c>
      <c r="AD2528">
        <f>IF(OR(('19_Расчет_аналитики'!AD2444-'19_Расчет_аналитики'!AD2472)=0,13&lt;='01_Вводные'!$B$297),0,('19_Расчет_аналитики'!AD2444-'19_Расчет_аналитики'!AD2472)*IF('01_Вводные'!$B$239="Да",MeanMinAge13+'19_Расчет_аналитики'!AD2584*SUMIF(ThresholdAge13,"&lt;"&amp;'19_Расчет_аналитики'!AD2584,WeightedRevAge13)-SUMIF(ThresholdAge13,"&lt;"&amp;'19_Расчет_аналитики'!AD2584,WeightedMinAge13),MAX(CapacityAge13*'01_Вводные'!$B$218*'19_Расчет_аналитики'!AD2584,MeanMinAge13)))</f>
        <v/>
      </c>
      <c r="AE2528">
        <f>IF(OR(('19_Расчет_аналитики'!AE2444-'19_Расчет_аналитики'!AE2472)=0,13&lt;='01_Вводные'!$B$297),0,('19_Расчет_аналитики'!AE2444-'19_Расчет_аналитики'!AE2472)*IF('01_Вводные'!$B$239="Да",MeanMinAge13+'19_Расчет_аналитики'!AE2584*SUMIF(ThresholdAge13,"&lt;"&amp;'19_Расчет_аналитики'!AE2584,WeightedRevAge13)-SUMIF(ThresholdAge13,"&lt;"&amp;'19_Расчет_аналитики'!AE2584,WeightedMinAge13),MAX(CapacityAge13*'01_Вводные'!$B$218*'19_Расчет_аналитики'!AE2584,MeanMinAge13)))</f>
        <v/>
      </c>
      <c r="AF2528">
        <f>IF(OR(('19_Расчет_аналитики'!AF2444-'19_Расчет_аналитики'!AF2472)=0,13&lt;='01_Вводные'!$B$297),0,('19_Расчет_аналитики'!AF2444-'19_Расчет_аналитики'!AF2472)*IF('01_Вводные'!$B$239="Да",MeanMinAge13+'19_Расчет_аналитики'!AF2584*SUMIF(ThresholdAge13,"&lt;"&amp;'19_Расчет_аналитики'!AF2584,WeightedRevAge13)-SUMIF(ThresholdAge13,"&lt;"&amp;'19_Расчет_аналитики'!AF2584,WeightedMinAge13),MAX(CapacityAge13*'01_Вводные'!$B$218*'19_Расчет_аналитики'!AF2584,MeanMinAge13)))</f>
        <v/>
      </c>
      <c r="AG2528">
        <f>IF(OR(('19_Расчет_аналитики'!AG2444-'19_Расчет_аналитики'!AG2472)=0,13&lt;='01_Вводные'!$B$297),0,('19_Расчет_аналитики'!AG2444-'19_Расчет_аналитики'!AG2472)*IF('01_Вводные'!$B$239="Да",MeanMinAge13+'19_Расчет_аналитики'!AG2584*SUMIF(ThresholdAge13,"&lt;"&amp;'19_Расчет_аналитики'!AG2584,WeightedRevAge13)-SUMIF(ThresholdAge13,"&lt;"&amp;'19_Расчет_аналитики'!AG2584,WeightedMinAge13),MAX(CapacityAge13*'01_Вводные'!$B$218*'19_Расчет_аналитики'!AG2584,MeanMinAge13)))</f>
        <v/>
      </c>
      <c r="AH2528">
        <f>IF(OR(('19_Расчет_аналитики'!AH2444-'19_Расчет_аналитики'!AH2472)=0,13&lt;='01_Вводные'!$B$297),0,('19_Расчет_аналитики'!AH2444-'19_Расчет_аналитики'!AH2472)*IF('01_Вводные'!$B$239="Да",MeanMinAge13+'19_Расчет_аналитики'!AH2584*SUMIF(ThresholdAge13,"&lt;"&amp;'19_Расчет_аналитики'!AH2584,WeightedRevAge13)-SUMIF(ThresholdAge13,"&lt;"&amp;'19_Расчет_аналитики'!AH2584,WeightedMinAge13),MAX(CapacityAge13*'01_Вводные'!$B$218*'19_Расчет_аналитики'!AH2584,MeanMinAge13)))</f>
        <v/>
      </c>
      <c r="AI2528">
        <f>IF(OR(('19_Расчет_аналитики'!AI2444-'19_Расчет_аналитики'!AI2472)=0,13&lt;='01_Вводные'!$B$297),0,('19_Расчет_аналитики'!AI2444-'19_Расчет_аналитики'!AI2472)*IF('01_Вводные'!$B$239="Да",MeanMinAge13+'19_Расчет_аналитики'!AI2584*SUMIF(ThresholdAge13,"&lt;"&amp;'19_Расчет_аналитики'!AI2584,WeightedRevAge13)-SUMIF(ThresholdAge13,"&lt;"&amp;'19_Расчет_аналитики'!AI2584,WeightedMinAge13),MAX(CapacityAge13*'01_Вводные'!$B$218*'19_Расчет_аналитики'!AI2584,MeanMinAge13)))</f>
        <v/>
      </c>
      <c r="AJ2528">
        <f>IF(OR(('19_Расчет_аналитики'!AJ2444-'19_Расчет_аналитики'!AJ2472)=0,13&lt;='01_Вводные'!$B$297),0,('19_Расчет_аналитики'!AJ2444-'19_Расчет_аналитики'!AJ2472)*IF('01_Вводные'!$B$239="Да",MeanMinAge13+'19_Расчет_аналитики'!AJ2584*SUMIF(ThresholdAge13,"&lt;"&amp;'19_Расчет_аналитики'!AJ2584,WeightedRevAge13)-SUMIF(ThresholdAge13,"&lt;"&amp;'19_Расчет_аналитики'!AJ2584,WeightedMinAge13),MAX(CapacityAge13*'01_Вводные'!$B$218*'19_Расчет_аналитики'!AJ2584,MeanMinAge13)))</f>
        <v/>
      </c>
      <c r="AK2528">
        <f>IF(OR(('19_Расчет_аналитики'!AK2444-'19_Расчет_аналитики'!AK2472)=0,13&lt;='01_Вводные'!$B$297),0,('19_Расчет_аналитики'!AK2444-'19_Расчет_аналитики'!AK2472)*IF('01_Вводные'!$B$239="Да",MeanMinAge13+'19_Расчет_аналитики'!AK2584*SUMIF(ThresholdAge13,"&lt;"&amp;'19_Расчет_аналитики'!AK2584,WeightedRevAge13)-SUMIF(ThresholdAge13,"&lt;"&amp;'19_Расчет_аналитики'!AK2584,WeightedMinAge13),MAX(CapacityAge13*'01_Вводные'!$B$218*'19_Расчет_аналитики'!AK2584,MeanMinAge13)))</f>
        <v/>
      </c>
      <c r="AL2528">
        <f>IF(OR(('19_Расчет_аналитики'!AL2444-'19_Расчет_аналитики'!AL2472)=0,13&lt;='01_Вводные'!$B$297),0,('19_Расчет_аналитики'!AL2444-'19_Расчет_аналитики'!AL2472)*IF('01_Вводные'!$B$239="Да",MeanMinAge13+'19_Расчет_аналитики'!AL2584*SUMIF(ThresholdAge13,"&lt;"&amp;'19_Расчет_аналитики'!AL2584,WeightedRevAge13)-SUMIF(ThresholdAge13,"&lt;"&amp;'19_Расчет_аналитики'!AL2584,WeightedMinAge13),MAX(CapacityAge13*'01_Вводные'!$B$218*'19_Расчет_аналитики'!AL2584,MeanMinAge13)))</f>
        <v/>
      </c>
      <c r="AM2528">
        <f>IF(OR(('19_Расчет_аналитики'!AM2444-'19_Расчет_аналитики'!AM2472)=0,13&lt;='01_Вводные'!$B$297),0,('19_Расчет_аналитики'!AM2444-'19_Расчет_аналитики'!AM2472)*IF('01_Вводные'!$B$239="Да",MeanMinAge13+'19_Расчет_аналитики'!AM2584*SUMIF(ThresholdAge13,"&lt;"&amp;'19_Расчет_аналитики'!AM2584,WeightedRevAge13)-SUMIF(ThresholdAge13,"&lt;"&amp;'19_Расчет_аналитики'!AM2584,WeightedMinAge13),MAX(CapacityAge13*'01_Вводные'!$B$218*'19_Расчет_аналитики'!AM2584,MeanMinAge13)))</f>
        <v/>
      </c>
      <c r="AN2528">
        <f>IF(OR(('19_Расчет_аналитики'!AN2444-'19_Расчет_аналитики'!AN2472)=0,13&lt;='01_Вводные'!$B$297),0,('19_Расчет_аналитики'!AN2444-'19_Расчет_аналитики'!AN2472)*IF('01_Вводные'!$B$239="Да",MeanMinAge13+'19_Расчет_аналитики'!AN2584*SUMIF(ThresholdAge13,"&lt;"&amp;'19_Расчет_аналитики'!AN2584,WeightedRevAge13)-SUMIF(ThresholdAge13,"&lt;"&amp;'19_Расчет_аналитики'!AN2584,WeightedMinAge13),MAX(CapacityAge13*'01_Вводные'!$B$218*'19_Расчет_аналитики'!AN2584,MeanMinAge13)))</f>
        <v/>
      </c>
      <c r="AO2528">
        <f>IF(OR(('19_Расчет_аналитики'!AO2444-'19_Расчет_аналитики'!AO2472)=0,13&lt;='01_Вводные'!$B$297),0,('19_Расчет_аналитики'!AO2444-'19_Расчет_аналитики'!AO2472)*IF('01_Вводные'!$B$239="Да",MeanMinAge13+'19_Расчет_аналитики'!AO2584*SUMIF(ThresholdAge13,"&lt;"&amp;'19_Расчет_аналитики'!AO2584,WeightedRevAge13)-SUMIF(ThresholdAge13,"&lt;"&amp;'19_Расчет_аналитики'!AO2584,WeightedMinAge13),MAX(CapacityAge13*'01_Вводные'!$B$218*'19_Расчет_аналитики'!AO2584,MeanMinAge13)))</f>
        <v/>
      </c>
      <c r="AP2528">
        <f>IF(OR(('19_Расчет_аналитики'!AP2444-'19_Расчет_аналитики'!AP2472)=0,13&lt;='01_Вводные'!$B$297),0,('19_Расчет_аналитики'!AP2444-'19_Расчет_аналитики'!AP2472)*IF('01_Вводные'!$B$239="Да",MeanMinAge13+'19_Расчет_аналитики'!AP2584*SUMIF(ThresholdAge13,"&lt;"&amp;'19_Расчет_аналитики'!AP2584,WeightedRevAge13)-SUMIF(ThresholdAge13,"&lt;"&amp;'19_Расчет_аналитики'!AP2584,WeightedMinAge13),MAX(CapacityAge13*'01_Вводные'!$B$218*'19_Расчет_аналитики'!AP2584,MeanMinAge13)))</f>
        <v/>
      </c>
      <c r="AQ2528">
        <f>IF(OR(('19_Расчет_аналитики'!AQ2444-'19_Расчет_аналитики'!AQ2472)=0,13&lt;='01_Вводные'!$B$297),0,('19_Расчет_аналитики'!AQ2444-'19_Расчет_аналитики'!AQ2472)*IF('01_Вводные'!$B$239="Да",MeanMinAge13+'19_Расчет_аналитики'!AQ2584*SUMIF(ThresholdAge13,"&lt;"&amp;'19_Расчет_аналитики'!AQ2584,WeightedRevAge13)-SUMIF(ThresholdAge13,"&lt;"&amp;'19_Расчет_аналитики'!AQ2584,WeightedMinAge13),MAX(CapacityAge13*'01_Вводные'!$B$218*'19_Расчет_аналитики'!AQ2584,MeanMinAge13)))</f>
        <v/>
      </c>
      <c r="AR2528">
        <f>IF(OR(('19_Расчет_аналитики'!AR2444-'19_Расчет_аналитики'!AR2472)=0,13&lt;='01_Вводные'!$B$297),0,('19_Расчет_аналитики'!AR2444-'19_Расчет_аналитики'!AR2472)*IF('01_Вводные'!$B$239="Да",MeanMinAge13+'19_Расчет_аналитики'!AR2584*SUMIF(ThresholdAge13,"&lt;"&amp;'19_Расчет_аналитики'!AR2584,WeightedRevAge13)-SUMIF(ThresholdAge13,"&lt;"&amp;'19_Расчет_аналитики'!AR2584,WeightedMinAge13),MAX(CapacityAge13*'01_Вводные'!$B$218*'19_Расчет_аналитики'!AR2584,MeanMinAge13)))</f>
        <v/>
      </c>
      <c r="AS2528">
        <f>IF(OR(('19_Расчет_аналитики'!AS2444-'19_Расчет_аналитики'!AS2472)=0,13&lt;='01_Вводные'!$B$297),0,('19_Расчет_аналитики'!AS2444-'19_Расчет_аналитики'!AS2472)*IF('01_Вводные'!$B$239="Да",MeanMinAge13+'19_Расчет_аналитики'!AS2584*SUMIF(ThresholdAge13,"&lt;"&amp;'19_Расчет_аналитики'!AS2584,WeightedRevAge13)-SUMIF(ThresholdAge13,"&lt;"&amp;'19_Расчет_аналитики'!AS2584,WeightedMinAge13),MAX(CapacityAge13*'01_Вводные'!$B$218*'19_Расчет_аналитики'!AS2584,MeanMinAge13)))</f>
        <v/>
      </c>
      <c r="AT2528">
        <f>IF(OR(('19_Расчет_аналитики'!AT2444-'19_Расчет_аналитики'!AT2472)=0,13&lt;='01_Вводные'!$B$297),0,('19_Расчет_аналитики'!AT2444-'19_Расчет_аналитики'!AT2472)*IF('01_Вводные'!$B$239="Да",MeanMinAge13+'19_Расчет_аналитики'!AT2584*SUMIF(ThresholdAge13,"&lt;"&amp;'19_Расчет_аналитики'!AT2584,WeightedRevAge13)-SUMIF(ThresholdAge13,"&lt;"&amp;'19_Расчет_аналитики'!AT2584,WeightedMinAge13),MAX(CapacityAge13*'01_Вводные'!$B$218*'19_Расчет_аналитики'!AT2584,MeanMinAge13)))</f>
        <v/>
      </c>
      <c r="AU2528">
        <f>IF(OR(('19_Расчет_аналитики'!AU2444-'19_Расчет_аналитики'!AU2472)=0,13&lt;='01_Вводные'!$B$297),0,('19_Расчет_аналитики'!AU2444-'19_Расчет_аналитики'!AU2472)*IF('01_Вводные'!$B$239="Да",MeanMinAge13+'19_Расчет_аналитики'!AU2584*SUMIF(ThresholdAge13,"&lt;"&amp;'19_Расчет_аналитики'!AU2584,WeightedRevAge13)-SUMIF(ThresholdAge13,"&lt;"&amp;'19_Расчет_аналитики'!AU2584,WeightedMinAge13),MAX(CapacityAge13*'01_Вводные'!$B$218*'19_Расчет_аналитики'!AU2584,MeanMinAge13)))</f>
        <v/>
      </c>
      <c r="AV2528">
        <f>IF(OR(('19_Расчет_аналитики'!AV2444-'19_Расчет_аналитики'!AV2472)=0,13&lt;='01_Вводные'!$B$297),0,('19_Расчет_аналитики'!AV2444-'19_Расчет_аналитики'!AV2472)*IF('01_Вводные'!$B$239="Да",MeanMinAge13+'19_Расчет_аналитики'!AV2584*SUMIF(ThresholdAge13,"&lt;"&amp;'19_Расчет_аналитики'!AV2584,WeightedRevAge13)-SUMIF(ThresholdAge13,"&lt;"&amp;'19_Расчет_аналитики'!AV2584,WeightedMinAge13),MAX(CapacityAge13*'01_Вводные'!$B$218*'19_Расчет_аналитики'!AV2584,MeanMinAge13)))</f>
        <v/>
      </c>
      <c r="AW2528">
        <f>IF(OR(('19_Расчет_аналитики'!AW2444-'19_Расчет_аналитики'!AW2472)=0,13&lt;='01_Вводные'!$B$297),0,('19_Расчет_аналитики'!AW2444-'19_Расчет_аналитики'!AW2472)*IF('01_Вводные'!$B$239="Да",MeanMinAge13+'19_Расчет_аналитики'!AW2584*SUMIF(ThresholdAge13,"&lt;"&amp;'19_Расчет_аналитики'!AW2584,WeightedRevAge13)-SUMIF(ThresholdAge13,"&lt;"&amp;'19_Расчет_аналитики'!AW2584,WeightedMinAge13),MAX(CapacityAge13*'01_Вводные'!$B$218*'19_Расчет_аналитики'!AW2584,MeanMinAge13)))</f>
        <v/>
      </c>
      <c r="AX2528">
        <f>IF(OR(('19_Расчет_аналитики'!AX2444-'19_Расчет_аналитики'!AX2472)=0,13&lt;='01_Вводные'!$B$297),0,('19_Расчет_аналитики'!AX2444-'19_Расчет_аналитики'!AX2472)*IF('01_Вводные'!$B$239="Да",MeanMinAge13+'19_Расчет_аналитики'!AX2584*SUMIF(ThresholdAge13,"&lt;"&amp;'19_Расчет_аналитики'!AX2584,WeightedRevAge13)-SUMIF(ThresholdAge13,"&lt;"&amp;'19_Расчет_аналитики'!AX2584,WeightedMinAge13),MAX(CapacityAge13*'01_Вводные'!$B$218*'19_Расчет_аналитики'!AX2584,MeanMinAge13)))</f>
        <v/>
      </c>
      <c r="AY2528">
        <f>IF(OR(('19_Расчет_аналитики'!AY2444-'19_Расчет_аналитики'!AY2472)=0,13&lt;='01_Вводные'!$B$297),0,('19_Расчет_аналитики'!AY2444-'19_Расчет_аналитики'!AY2472)*IF('01_Вводные'!$B$239="Да",MeanMinAge13+'19_Расчет_аналитики'!AY2584*SUMIF(ThresholdAge13,"&lt;"&amp;'19_Расчет_аналитики'!AY2584,WeightedRevAge13)-SUMIF(ThresholdAge13,"&lt;"&amp;'19_Расчет_аналитики'!AY2584,WeightedMinAge13),MAX(CapacityAge13*'01_Вводные'!$B$218*'19_Расчет_аналитики'!AY2584,MeanMinAge13)))</f>
        <v/>
      </c>
      <c r="AZ2528">
        <f>IF(OR(('19_Расчет_аналитики'!AZ2444-'19_Расчет_аналитики'!AZ2472)=0,13&lt;='01_Вводные'!$B$297),0,('19_Расчет_аналитики'!AZ2444-'19_Расчет_аналитики'!AZ2472)*IF('01_Вводные'!$B$239="Да",MeanMinAge13+'19_Расчет_аналитики'!AZ2584*SUMIF(ThresholdAge13,"&lt;"&amp;'19_Расчет_аналитики'!AZ2584,WeightedRevAge13)-SUMIF(ThresholdAge13,"&lt;"&amp;'19_Расчет_аналитики'!AZ2584,WeightedMinAge13),MAX(CapacityAge13*'01_Вводные'!$B$218*'19_Расчет_аналитики'!AZ2584,MeanMinAge13)))</f>
        <v/>
      </c>
      <c r="BA2528">
        <f>IF(OR(('19_Расчет_аналитики'!BA2444-'19_Расчет_аналитики'!BA2472)=0,13&lt;='01_Вводные'!$B$297),0,('19_Расчет_аналитики'!BA2444-'19_Расчет_аналитики'!BA2472)*IF('01_Вводные'!$B$239="Да",MeanMinAge13+'19_Расчет_аналитики'!BA2584*SUMIF(ThresholdAge13,"&lt;"&amp;'19_Расчет_аналитики'!BA2584,WeightedRevAge13)-SUMIF(ThresholdAge13,"&lt;"&amp;'19_Расчет_аналитики'!BA2584,WeightedMinAge13),MAX(CapacityAge13*'01_Вводные'!$B$218*'19_Расчет_аналитики'!BA2584,MeanMinAge13)))</f>
        <v/>
      </c>
      <c r="BB2528">
        <f>IF(OR(('19_Расчет_аналитики'!BB2444-'19_Расчет_аналитики'!BB2472)=0,13&lt;='01_Вводные'!$B$297),0,('19_Расчет_аналитики'!BB2444-'19_Расчет_аналитики'!BB2472)*IF('01_Вводные'!$B$239="Да",MeanMinAge13+'19_Расчет_аналитики'!BB2584*SUMIF(ThresholdAge13,"&lt;"&amp;'19_Расчет_аналитики'!BB2584,WeightedRevAge13)-SUMIF(ThresholdAge13,"&lt;"&amp;'19_Расчет_аналитики'!BB2584,WeightedMinAge13),MAX(CapacityAge13*'01_Вводные'!$B$218*'19_Расчет_аналитики'!BB2584,MeanMinAge13)))</f>
        <v/>
      </c>
      <c r="BC2528">
        <f>IF(OR(('19_Расчет_аналитики'!BC2444-'19_Расчет_аналитики'!BC2472)=0,13&lt;='01_Вводные'!$B$297),0,('19_Расчет_аналитики'!BC2444-'19_Расчет_аналитики'!BC2472)*IF('01_Вводные'!$B$239="Да",MeanMinAge13+'19_Расчет_аналитики'!BC2584*SUMIF(ThresholdAge13,"&lt;"&amp;'19_Расчет_аналитики'!BC2584,WeightedRevAge13)-SUMIF(ThresholdAge13,"&lt;"&amp;'19_Расчет_аналитики'!BC2584,WeightedMinAge13),MAX(CapacityAge13*'01_Вводные'!$B$218*'19_Расчет_аналитики'!BC2584,MeanMinAge13)))</f>
        <v/>
      </c>
      <c r="BD2528">
        <f>IF(OR(('19_Расчет_аналитики'!BD2444-'19_Расчет_аналитики'!BD2472)=0,13&lt;='01_Вводные'!$B$297),0,('19_Расчет_аналитики'!BD2444-'19_Расчет_аналитики'!BD2472)*IF('01_Вводные'!$B$239="Да",MeanMinAge13+'19_Расчет_аналитики'!BD2584*SUMIF(ThresholdAge13,"&lt;"&amp;'19_Расчет_аналитики'!BD2584,WeightedRevAge13)-SUMIF(ThresholdAge13,"&lt;"&amp;'19_Расчет_аналитики'!BD2584,WeightedMinAge13),MAX(CapacityAge13*'01_Вводные'!$B$218*'19_Расчет_аналитики'!BD2584,MeanMinAge13)))</f>
        <v/>
      </c>
      <c r="BE2528">
        <f>IF(OR(('19_Расчет_аналитики'!BE2444-'19_Расчет_аналитики'!BE2472)=0,13&lt;='01_Вводные'!$B$297),0,('19_Расчет_аналитики'!BE2444-'19_Расчет_аналитики'!BE2472)*IF('01_Вводные'!$B$239="Да",MeanMinAge13+'19_Расчет_аналитики'!BE2584*SUMIF(ThresholdAge13,"&lt;"&amp;'19_Расчет_аналитики'!BE2584,WeightedRevAge13)-SUMIF(ThresholdAge13,"&lt;"&amp;'19_Расчет_аналитики'!BE2584,WeightedMinAge13),MAX(CapacityAge13*'01_Вводные'!$B$218*'19_Расчет_аналитики'!BE2584,MeanMinAge13)))</f>
        <v/>
      </c>
      <c r="BF2528">
        <f>IF(OR(('19_Расчет_аналитики'!BF2444-'19_Расчет_аналитики'!BF2472)=0,13&lt;='01_Вводные'!$B$297),0,('19_Расчет_аналитики'!BF2444-'19_Расчет_аналитики'!BF2472)*IF('01_Вводные'!$B$239="Да",MeanMinAge13+'19_Расчет_аналитики'!BF2584*SUMIF(ThresholdAge13,"&lt;"&amp;'19_Расчет_аналитики'!BF2584,WeightedRevAge13)-SUMIF(ThresholdAge13,"&lt;"&amp;'19_Расчет_аналитики'!BF2584,WeightedMinAge13),MAX(CapacityAge13*'01_Вводные'!$B$218*'19_Расчет_аналитики'!BF2584,MeanMinAge13)))</f>
        <v/>
      </c>
      <c r="BG2528">
        <f>IF(OR(('19_Расчет_аналитики'!BG2444-'19_Расчет_аналитики'!BG2472)=0,13&lt;='01_Вводные'!$B$297),0,('19_Расчет_аналитики'!BG2444-'19_Расчет_аналитики'!BG2472)*IF('01_Вводные'!$B$239="Да",MeanMinAge13+'19_Расчет_аналитики'!BG2584*SUMIF(ThresholdAge13,"&lt;"&amp;'19_Расчет_аналитики'!BG2584,WeightedRevAge13)-SUMIF(ThresholdAge13,"&lt;"&amp;'19_Расчет_аналитики'!BG2584,WeightedMinAge13),MAX(CapacityAge13*'01_Вводные'!$B$218*'19_Расчет_аналитики'!BG2584,MeanMinAge13)))</f>
        <v/>
      </c>
      <c r="BH2528">
        <f>IF(OR(('19_Расчет_аналитики'!BH2444-'19_Расчет_аналитики'!BH2472)=0,13&lt;='01_Вводные'!$B$297),0,('19_Расчет_аналитики'!BH2444-'19_Расчет_аналитики'!BH2472)*IF('01_Вводные'!$B$239="Да",MeanMinAge13+'19_Расчет_аналитики'!BH2584*SUMIF(ThresholdAge13,"&lt;"&amp;'19_Расчет_аналитики'!BH2584,WeightedRevAge13)-SUMIF(ThresholdAge13,"&lt;"&amp;'19_Расчет_аналитики'!BH2584,WeightedMinAge13),MAX(CapacityAge13*'01_Вводные'!$B$218*'19_Расчет_аналитики'!BH2584,MeanMinAge13)))</f>
        <v/>
      </c>
      <c r="BI2528">
        <f>IF(OR(('19_Расчет_аналитики'!BI2444-'19_Расчет_аналитики'!BI2472)=0,13&lt;='01_Вводные'!$B$297),0,('19_Расчет_аналитики'!BI2444-'19_Расчет_аналитики'!BI2472)*IF('01_Вводные'!$B$239="Да",MeanMinAge13+'19_Расчет_аналитики'!BI2584*SUMIF(ThresholdAge13,"&lt;"&amp;'19_Расчет_аналитики'!BI2584,WeightedRevAge13)-SUMIF(ThresholdAge13,"&lt;"&amp;'19_Расчет_аналитики'!BI2584,WeightedMinAge13),MAX(CapacityAge13*'01_Вводные'!$B$218*'19_Расчет_аналитики'!BI2584,MeanMinAge13)))</f>
        <v/>
      </c>
      <c r="BJ2528">
        <f>IF(OR(('19_Расчет_аналитики'!BJ2444-'19_Расчет_аналитики'!BJ2472)=0,13&lt;='01_Вводные'!$B$297),0,('19_Расчет_аналитики'!BJ2444-'19_Расчет_аналитики'!BJ2472)*IF('01_Вводные'!$B$239="Да",MeanMinAge13+'19_Расчет_аналитики'!BJ2584*SUMIF(ThresholdAge13,"&lt;"&amp;'19_Расчет_аналитики'!BJ2584,WeightedRevAge13)-SUMIF(ThresholdAge13,"&lt;"&amp;'19_Расчет_аналитики'!BJ2584,WeightedMinAge13),MAX(CapacityAge13*'01_Вводные'!$B$218*'19_Расчет_аналитики'!BJ2584,MeanMinAge13)))</f>
        <v/>
      </c>
      <c r="BK2528">
        <f>IF(OR(('19_Расчет_аналитики'!BK2444-'19_Расчет_аналитики'!BK2472)=0,13&lt;='01_Вводные'!$B$297),0,('19_Расчет_аналитики'!BK2444-'19_Расчет_аналитики'!BK2472)*IF('01_Вводные'!$B$239="Да",MeanMinAge13+'19_Расчет_аналитики'!BK2584*SUMIF(ThresholdAge13,"&lt;"&amp;'19_Расчет_аналитики'!BK2584,WeightedRevAge13)-SUMIF(ThresholdAge13,"&lt;"&amp;'19_Расчет_аналитики'!BK2584,WeightedMinAge13),MAX(CapacityAge13*'01_Вводные'!$B$218*'19_Расчет_аналитики'!BK2584,MeanMinAge13)))</f>
        <v/>
      </c>
      <c r="BL2528">
        <f>IF(OR(('19_Расчет_аналитики'!BL2444-'19_Расчет_аналитики'!BL2472)=0,13&lt;='01_Вводные'!$B$297),0,('19_Расчет_аналитики'!BL2444-'19_Расчет_аналитики'!BL2472)*IF('01_Вводные'!$B$239="Да",MeanMinAge13+'19_Расчет_аналитики'!BL2584*SUMIF(ThresholdAge13,"&lt;"&amp;'19_Расчет_аналитики'!BL2584,WeightedRevAge13)-SUMIF(ThresholdAge13,"&lt;"&amp;'19_Расчет_аналитики'!BL2584,WeightedMinAge13),MAX(CapacityAge13*'01_Вводные'!$B$218*'19_Расчет_аналитики'!BL2584,MeanMinAge13)))</f>
        <v/>
      </c>
      <c r="BM2528">
        <f>IF(OR(('19_Расчет_аналитики'!BM2444-'19_Расчет_аналитики'!BM2472)=0,13&lt;='01_Вводные'!$B$297),0,('19_Расчет_аналитики'!BM2444-'19_Расчет_аналитики'!BM2472)*IF('01_Вводные'!$B$239="Да",MeanMinAge13+'19_Расчет_аналитики'!BM2584*SUMIF(ThresholdAge13,"&lt;"&amp;'19_Расчет_аналитики'!BM2584,WeightedRevAge13)-SUMIF(ThresholdAge13,"&lt;"&amp;'19_Расчет_аналитики'!BM2584,WeightedMinAge13),MAX(CapacityAge13*'01_Вводные'!$B$218*'19_Расчет_аналитики'!BM2584,MeanMinAge13)))</f>
        <v/>
      </c>
      <c r="BN2528">
        <f>IF(OR(('19_Расчет_аналитики'!BN2444-'19_Расчет_аналитики'!BN2472)=0,13&lt;='01_Вводные'!$B$297),0,('19_Расчет_аналитики'!BN2444-'19_Расчет_аналитики'!BN2472)*IF('01_Вводные'!$B$239="Да",MeanMinAge13+'19_Расчет_аналитики'!BN2584*SUMIF(ThresholdAge13,"&lt;"&amp;'19_Расчет_аналитики'!BN2584,WeightedRevAge13)-SUMIF(ThresholdAge13,"&lt;"&amp;'19_Расчет_аналитики'!BN2584,WeightedMinAge13),MAX(CapacityAge13*'01_Вводные'!$B$218*'19_Расчет_аналитики'!BN2584,MeanMinAge13)))</f>
        <v/>
      </c>
      <c r="BO2528">
        <f>IF(OR(('19_Расчет_аналитики'!BO2444-'19_Расчет_аналитики'!BO2472)=0,13&lt;='01_Вводные'!$B$297),0,('19_Расчет_аналитики'!BO2444-'19_Расчет_аналитики'!BO2472)*IF('01_Вводные'!$B$239="Да",MeanMinAge13+'19_Расчет_аналитики'!BO2584*SUMIF(ThresholdAge13,"&lt;"&amp;'19_Расчет_аналитики'!BO2584,WeightedRevAge13)-SUMIF(ThresholdAge13,"&lt;"&amp;'19_Расчет_аналитики'!BO2584,WeightedMinAge13),MAX(CapacityAge13*'01_Вводные'!$B$218*'19_Расчет_аналитики'!BO2584,MeanMinAge13)))</f>
        <v/>
      </c>
    </row>
    <row r="2529">
      <c r="B2529">
        <f>IF(OR(('06_Сеть_и_дети'!B66-'06_Сеть_и_дети'!B94)=0,14&lt;='01_Вводные'!$B$297),0,('06_Сеть_и_дети'!B66-'06_Сеть_и_дети'!B94)*IF('01_Вводные'!$B$239="Да",MeanMinAge14+'19_Расчет_аналитики'!B2584*SUMIF(ThresholdAge14,"&lt;"&amp;'19_Расчет_аналитики'!B2584,WeightedRevAge14)-SUMIF(ThresholdAge14,"&lt;"&amp;'19_Расчет_аналитики'!B2584,WeightedMinAge14),MAX(CapacityAge14*'01_Вводные'!$B$218*'19_Расчет_аналитики'!B2584,MeanMinAge14)))</f>
        <v/>
      </c>
      <c r="C2529">
        <f>IF(OR(('06_Сеть_и_дети'!C66-'06_Сеть_и_дети'!C94)=0,14&lt;='01_Вводные'!$B$297),0,('06_Сеть_и_дети'!C66-'06_Сеть_и_дети'!C94)*IF('01_Вводные'!$B$239="Да",MeanMinAge14+'19_Расчет_аналитики'!C2584*SUMIF(ThresholdAge14,"&lt;"&amp;'19_Расчет_аналитики'!C2584,WeightedRevAge14)-SUMIF(ThresholdAge14,"&lt;"&amp;'19_Расчет_аналитики'!C2584,WeightedMinAge14),MAX(CapacityAge14*'01_Вводные'!$B$218*'19_Расчет_аналитики'!C2584,MeanMinAge14)))</f>
        <v/>
      </c>
      <c r="D2529">
        <f>IF(OR(('06_Сеть_и_дети'!D66-'06_Сеть_и_дети'!D94)=0,14&lt;='01_Вводные'!$B$297),0,('06_Сеть_и_дети'!D66-'06_Сеть_и_дети'!D94)*IF('01_Вводные'!$B$239="Да",MeanMinAge14+'19_Расчет_аналитики'!D2584*SUMIF(ThresholdAge14,"&lt;"&amp;'19_Расчет_аналитики'!D2584,WeightedRevAge14)-SUMIF(ThresholdAge14,"&lt;"&amp;'19_Расчет_аналитики'!D2584,WeightedMinAge14),MAX(CapacityAge14*'01_Вводные'!$B$218*'19_Расчет_аналитики'!D2584,MeanMinAge14)))</f>
        <v/>
      </c>
      <c r="E2529">
        <f>IF(OR(('06_Сеть_и_дети'!E66-'06_Сеть_и_дети'!E94)=0,14&lt;='01_Вводные'!$B$297),0,('06_Сеть_и_дети'!E66-'06_Сеть_и_дети'!E94)*IF('01_Вводные'!$B$239="Да",MeanMinAge14+'19_Расчет_аналитики'!E2584*SUMIF(ThresholdAge14,"&lt;"&amp;'19_Расчет_аналитики'!E2584,WeightedRevAge14)-SUMIF(ThresholdAge14,"&lt;"&amp;'19_Расчет_аналитики'!E2584,WeightedMinAge14),MAX(CapacityAge14*'01_Вводные'!$B$218*'19_Расчет_аналитики'!E2584,MeanMinAge14)))</f>
        <v/>
      </c>
      <c r="F2529">
        <f>IF(OR(('06_Сеть_и_дети'!F66-'06_Сеть_и_дети'!F94)=0,14&lt;='01_Вводные'!$B$297),0,('06_Сеть_и_дети'!F66-'06_Сеть_и_дети'!F94)*IF('01_Вводные'!$B$239="Да",MeanMinAge14+'19_Расчет_аналитики'!F2584*SUMIF(ThresholdAge14,"&lt;"&amp;'19_Расчет_аналитики'!F2584,WeightedRevAge14)-SUMIF(ThresholdAge14,"&lt;"&amp;'19_Расчет_аналитики'!F2584,WeightedMinAge14),MAX(CapacityAge14*'01_Вводные'!$B$218*'19_Расчет_аналитики'!F2584,MeanMinAge14)))</f>
        <v/>
      </c>
      <c r="G2529">
        <f>IF(OR(('06_Сеть_и_дети'!G66-'06_Сеть_и_дети'!G94)=0,14&lt;='01_Вводные'!$B$297),0,('06_Сеть_и_дети'!G66-'06_Сеть_и_дети'!G94)*IF('01_Вводные'!$B$239="Да",MeanMinAge14+'19_Расчет_аналитики'!G2584*SUMIF(ThresholdAge14,"&lt;"&amp;'19_Расчет_аналитики'!G2584,WeightedRevAge14)-SUMIF(ThresholdAge14,"&lt;"&amp;'19_Расчет_аналитики'!G2584,WeightedMinAge14),MAX(CapacityAge14*'01_Вводные'!$B$218*'19_Расчет_аналитики'!G2584,MeanMinAge14)))</f>
        <v/>
      </c>
      <c r="H2529">
        <f>IF(OR(('06_Сеть_и_дети'!H66-'06_Сеть_и_дети'!H94)=0,14&lt;='01_Вводные'!$B$297),0,('06_Сеть_и_дети'!H66-'06_Сеть_и_дети'!H94)*IF('01_Вводные'!$B$239="Да",MeanMinAge14+'19_Расчет_аналитики'!H2584*SUMIF(ThresholdAge14,"&lt;"&amp;'19_Расчет_аналитики'!H2584,WeightedRevAge14)-SUMIF(ThresholdAge14,"&lt;"&amp;'19_Расчет_аналитики'!H2584,WeightedMinAge14),MAX(CapacityAge14*'01_Вводные'!$B$218*'19_Расчет_аналитики'!H2584,MeanMinAge14)))</f>
        <v/>
      </c>
      <c r="I2529">
        <f>IF(OR(('06_Сеть_и_дети'!I66-'06_Сеть_и_дети'!I94)=0,14&lt;='01_Вводные'!$B$297),0,('06_Сеть_и_дети'!I66-'06_Сеть_и_дети'!I94)*IF('01_Вводные'!$B$239="Да",MeanMinAge14+'19_Расчет_аналитики'!I2584*SUMIF(ThresholdAge14,"&lt;"&amp;'19_Расчет_аналитики'!I2584,WeightedRevAge14)-SUMIF(ThresholdAge14,"&lt;"&amp;'19_Расчет_аналитики'!I2584,WeightedMinAge14),MAX(CapacityAge14*'01_Вводные'!$B$218*'19_Расчет_аналитики'!I2584,MeanMinAge14)))</f>
        <v/>
      </c>
      <c r="J2529">
        <f>IF(OR(('06_Сеть_и_дети'!J66-'06_Сеть_и_дети'!J94)=0,14&lt;='01_Вводные'!$B$297),0,('06_Сеть_и_дети'!J66-'06_Сеть_и_дети'!J94)*IF('01_Вводные'!$B$239="Да",MeanMinAge14+'19_Расчет_аналитики'!J2584*SUMIF(ThresholdAge14,"&lt;"&amp;'19_Расчет_аналитики'!J2584,WeightedRevAge14)-SUMIF(ThresholdAge14,"&lt;"&amp;'19_Расчет_аналитики'!J2584,WeightedMinAge14),MAX(CapacityAge14*'01_Вводные'!$B$218*'19_Расчет_аналитики'!J2584,MeanMinAge14)))</f>
        <v/>
      </c>
      <c r="K2529">
        <f>IF(OR(('06_Сеть_и_дети'!K66-'06_Сеть_и_дети'!K94)=0,14&lt;='01_Вводные'!$B$297),0,('06_Сеть_и_дети'!K66-'06_Сеть_и_дети'!K94)*IF('01_Вводные'!$B$239="Да",MeanMinAge14+'19_Расчет_аналитики'!K2584*SUMIF(ThresholdAge14,"&lt;"&amp;'19_Расчет_аналитики'!K2584,WeightedRevAge14)-SUMIF(ThresholdAge14,"&lt;"&amp;'19_Расчет_аналитики'!K2584,WeightedMinAge14),MAX(CapacityAge14*'01_Вводные'!$B$218*'19_Расчет_аналитики'!K2584,MeanMinAge14)))</f>
        <v/>
      </c>
      <c r="L2529">
        <f>IF(OR(('06_Сеть_и_дети'!L66-'06_Сеть_и_дети'!L94)=0,14&lt;='01_Вводные'!$B$297),0,('06_Сеть_и_дети'!L66-'06_Сеть_и_дети'!L94)*IF('01_Вводные'!$B$239="Да",MeanMinAge14+'19_Расчет_аналитики'!L2584*SUMIF(ThresholdAge14,"&lt;"&amp;'19_Расчет_аналитики'!L2584,WeightedRevAge14)-SUMIF(ThresholdAge14,"&lt;"&amp;'19_Расчет_аналитики'!L2584,WeightedMinAge14),MAX(CapacityAge14*'01_Вводные'!$B$218*'19_Расчет_аналитики'!L2584,MeanMinAge14)))</f>
        <v/>
      </c>
      <c r="M2529">
        <f>IF(OR(('06_Сеть_и_дети'!M66-'06_Сеть_и_дети'!M94)=0,14&lt;='01_Вводные'!$B$297),0,('06_Сеть_и_дети'!M66-'06_Сеть_и_дети'!M94)*IF('01_Вводные'!$B$239="Да",MeanMinAge14+'19_Расчет_аналитики'!M2584*SUMIF(ThresholdAge14,"&lt;"&amp;'19_Расчет_аналитики'!M2584,WeightedRevAge14)-SUMIF(ThresholdAge14,"&lt;"&amp;'19_Расчет_аналитики'!M2584,WeightedMinAge14),MAX(CapacityAge14*'01_Вводные'!$B$218*'19_Расчет_аналитики'!M2584,MeanMinAge14)))</f>
        <v/>
      </c>
      <c r="N2529">
        <f>IF(OR(('06_Сеть_и_дети'!N66-'06_Сеть_и_дети'!N94)=0,14&lt;='01_Вводные'!$B$297),0,('06_Сеть_и_дети'!N66-'06_Сеть_и_дети'!N94)*IF('01_Вводные'!$B$239="Да",MeanMinAge14+'19_Расчет_аналитики'!N2584*SUMIF(ThresholdAge14,"&lt;"&amp;'19_Расчет_аналитики'!N2584,WeightedRevAge14)-SUMIF(ThresholdAge14,"&lt;"&amp;'19_Расчет_аналитики'!N2584,WeightedMinAge14),MAX(CapacityAge14*'01_Вводные'!$B$218*'19_Расчет_аналитики'!N2584,MeanMinAge14)))</f>
        <v/>
      </c>
      <c r="O2529">
        <f>IF(OR(('19_Расчет_аналитики'!O2445-'19_Расчет_аналитики'!O2473)=0,14&lt;='01_Вводные'!$B$297),0,('19_Расчет_аналитики'!O2445-'19_Расчет_аналитики'!O2473)*IF('01_Вводные'!$B$239="Да",MeanMinAge14+'19_Расчет_аналитики'!O2584*SUMIF(ThresholdAge14,"&lt;"&amp;'19_Расчет_аналитики'!O2584,WeightedRevAge14)-SUMIF(ThresholdAge14,"&lt;"&amp;'19_Расчет_аналитики'!O2584,WeightedMinAge14),MAX(CapacityAge14*'01_Вводные'!$B$218*'19_Расчет_аналитики'!O2584,MeanMinAge14)))</f>
        <v/>
      </c>
      <c r="P2529">
        <f>IF(OR(('19_Расчет_аналитики'!P2445-'19_Расчет_аналитики'!P2473)=0,14&lt;='01_Вводные'!$B$297),0,('19_Расчет_аналитики'!P2445-'19_Расчет_аналитики'!P2473)*IF('01_Вводные'!$B$239="Да",MeanMinAge14+'19_Расчет_аналитики'!P2584*SUMIF(ThresholdAge14,"&lt;"&amp;'19_Расчет_аналитики'!P2584,WeightedRevAge14)-SUMIF(ThresholdAge14,"&lt;"&amp;'19_Расчет_аналитики'!P2584,WeightedMinAge14),MAX(CapacityAge14*'01_Вводные'!$B$218*'19_Расчет_аналитики'!P2584,MeanMinAge14)))</f>
        <v/>
      </c>
      <c r="Q2529">
        <f>IF(OR(('19_Расчет_аналитики'!Q2445-'19_Расчет_аналитики'!Q2473)=0,14&lt;='01_Вводные'!$B$297),0,('19_Расчет_аналитики'!Q2445-'19_Расчет_аналитики'!Q2473)*IF('01_Вводные'!$B$239="Да",MeanMinAge14+'19_Расчет_аналитики'!Q2584*SUMIF(ThresholdAge14,"&lt;"&amp;'19_Расчет_аналитики'!Q2584,WeightedRevAge14)-SUMIF(ThresholdAge14,"&lt;"&amp;'19_Расчет_аналитики'!Q2584,WeightedMinAge14),MAX(CapacityAge14*'01_Вводные'!$B$218*'19_Расчет_аналитики'!Q2584,MeanMinAge14)))</f>
        <v/>
      </c>
      <c r="R2529">
        <f>IF(OR(('19_Расчет_аналитики'!R2445-'19_Расчет_аналитики'!R2473)=0,14&lt;='01_Вводные'!$B$297),0,('19_Расчет_аналитики'!R2445-'19_Расчет_аналитики'!R2473)*IF('01_Вводные'!$B$239="Да",MeanMinAge14+'19_Расчет_аналитики'!R2584*SUMIF(ThresholdAge14,"&lt;"&amp;'19_Расчет_аналитики'!R2584,WeightedRevAge14)-SUMIF(ThresholdAge14,"&lt;"&amp;'19_Расчет_аналитики'!R2584,WeightedMinAge14),MAX(CapacityAge14*'01_Вводные'!$B$218*'19_Расчет_аналитики'!R2584,MeanMinAge14)))</f>
        <v/>
      </c>
      <c r="S2529">
        <f>IF(OR(('19_Расчет_аналитики'!S2445-'19_Расчет_аналитики'!S2473)=0,14&lt;='01_Вводные'!$B$297),0,('19_Расчет_аналитики'!S2445-'19_Расчет_аналитики'!S2473)*IF('01_Вводные'!$B$239="Да",MeanMinAge14+'19_Расчет_аналитики'!S2584*SUMIF(ThresholdAge14,"&lt;"&amp;'19_Расчет_аналитики'!S2584,WeightedRevAge14)-SUMIF(ThresholdAge14,"&lt;"&amp;'19_Расчет_аналитики'!S2584,WeightedMinAge14),MAX(CapacityAge14*'01_Вводные'!$B$218*'19_Расчет_аналитики'!S2584,MeanMinAge14)))</f>
        <v/>
      </c>
      <c r="T2529">
        <f>IF(OR(('19_Расчет_аналитики'!T2445-'19_Расчет_аналитики'!T2473)=0,14&lt;='01_Вводные'!$B$297),0,('19_Расчет_аналитики'!T2445-'19_Расчет_аналитики'!T2473)*IF('01_Вводные'!$B$239="Да",MeanMinAge14+'19_Расчет_аналитики'!T2584*SUMIF(ThresholdAge14,"&lt;"&amp;'19_Расчет_аналитики'!T2584,WeightedRevAge14)-SUMIF(ThresholdAge14,"&lt;"&amp;'19_Расчет_аналитики'!T2584,WeightedMinAge14),MAX(CapacityAge14*'01_Вводные'!$B$218*'19_Расчет_аналитики'!T2584,MeanMinAge14)))</f>
        <v/>
      </c>
      <c r="U2529">
        <f>IF(OR(('19_Расчет_аналитики'!U2445-'19_Расчет_аналитики'!U2473)=0,14&lt;='01_Вводные'!$B$297),0,('19_Расчет_аналитики'!U2445-'19_Расчет_аналитики'!U2473)*IF('01_Вводные'!$B$239="Да",MeanMinAge14+'19_Расчет_аналитики'!U2584*SUMIF(ThresholdAge14,"&lt;"&amp;'19_Расчет_аналитики'!U2584,WeightedRevAge14)-SUMIF(ThresholdAge14,"&lt;"&amp;'19_Расчет_аналитики'!U2584,WeightedMinAge14),MAX(CapacityAge14*'01_Вводные'!$B$218*'19_Расчет_аналитики'!U2584,MeanMinAge14)))</f>
        <v/>
      </c>
      <c r="V2529">
        <f>IF(OR(('19_Расчет_аналитики'!V2445-'19_Расчет_аналитики'!V2473)=0,14&lt;='01_Вводные'!$B$297),0,('19_Расчет_аналитики'!V2445-'19_Расчет_аналитики'!V2473)*IF('01_Вводные'!$B$239="Да",MeanMinAge14+'19_Расчет_аналитики'!V2584*SUMIF(ThresholdAge14,"&lt;"&amp;'19_Расчет_аналитики'!V2584,WeightedRevAge14)-SUMIF(ThresholdAge14,"&lt;"&amp;'19_Расчет_аналитики'!V2584,WeightedMinAge14),MAX(CapacityAge14*'01_Вводные'!$B$218*'19_Расчет_аналитики'!V2584,MeanMinAge14)))</f>
        <v/>
      </c>
      <c r="W2529">
        <f>IF(OR(('19_Расчет_аналитики'!W2445-'19_Расчет_аналитики'!W2473)=0,14&lt;='01_Вводные'!$B$297),0,('19_Расчет_аналитики'!W2445-'19_Расчет_аналитики'!W2473)*IF('01_Вводные'!$B$239="Да",MeanMinAge14+'19_Расчет_аналитики'!W2584*SUMIF(ThresholdAge14,"&lt;"&amp;'19_Расчет_аналитики'!W2584,WeightedRevAge14)-SUMIF(ThresholdAge14,"&lt;"&amp;'19_Расчет_аналитики'!W2584,WeightedMinAge14),MAX(CapacityAge14*'01_Вводные'!$B$218*'19_Расчет_аналитики'!W2584,MeanMinAge14)))</f>
        <v/>
      </c>
      <c r="X2529">
        <f>IF(OR(('19_Расчет_аналитики'!X2445-'19_Расчет_аналитики'!X2473)=0,14&lt;='01_Вводные'!$B$297),0,('19_Расчет_аналитики'!X2445-'19_Расчет_аналитики'!X2473)*IF('01_Вводные'!$B$239="Да",MeanMinAge14+'19_Расчет_аналитики'!X2584*SUMIF(ThresholdAge14,"&lt;"&amp;'19_Расчет_аналитики'!X2584,WeightedRevAge14)-SUMIF(ThresholdAge14,"&lt;"&amp;'19_Расчет_аналитики'!X2584,WeightedMinAge14),MAX(CapacityAge14*'01_Вводные'!$B$218*'19_Расчет_аналитики'!X2584,MeanMinAge14)))</f>
        <v/>
      </c>
      <c r="Y2529">
        <f>IF(OR(('19_Расчет_аналитики'!Y2445-'19_Расчет_аналитики'!Y2473)=0,14&lt;='01_Вводные'!$B$297),0,('19_Расчет_аналитики'!Y2445-'19_Расчет_аналитики'!Y2473)*IF('01_Вводные'!$B$239="Да",MeanMinAge14+'19_Расчет_аналитики'!Y2584*SUMIF(ThresholdAge14,"&lt;"&amp;'19_Расчет_аналитики'!Y2584,WeightedRevAge14)-SUMIF(ThresholdAge14,"&lt;"&amp;'19_Расчет_аналитики'!Y2584,WeightedMinAge14),MAX(CapacityAge14*'01_Вводные'!$B$218*'19_Расчет_аналитики'!Y2584,MeanMinAge14)))</f>
        <v/>
      </c>
      <c r="Z2529">
        <f>IF(OR(('19_Расчет_аналитики'!Z2445-'19_Расчет_аналитики'!Z2473)=0,14&lt;='01_Вводные'!$B$297),0,('19_Расчет_аналитики'!Z2445-'19_Расчет_аналитики'!Z2473)*IF('01_Вводные'!$B$239="Да",MeanMinAge14+'19_Расчет_аналитики'!Z2584*SUMIF(ThresholdAge14,"&lt;"&amp;'19_Расчет_аналитики'!Z2584,WeightedRevAge14)-SUMIF(ThresholdAge14,"&lt;"&amp;'19_Расчет_аналитики'!Z2584,WeightedMinAge14),MAX(CapacityAge14*'01_Вводные'!$B$218*'19_Расчет_аналитики'!Z2584,MeanMinAge14)))</f>
        <v/>
      </c>
      <c r="AA2529">
        <f>IF(OR(('19_Расчет_аналитики'!AA2445-'19_Расчет_аналитики'!AA2473)=0,14&lt;='01_Вводные'!$B$297),0,('19_Расчет_аналитики'!AA2445-'19_Расчет_аналитики'!AA2473)*IF('01_Вводные'!$B$239="Да",MeanMinAge14+'19_Расчет_аналитики'!AA2584*SUMIF(ThresholdAge14,"&lt;"&amp;'19_Расчет_аналитики'!AA2584,WeightedRevAge14)-SUMIF(ThresholdAge14,"&lt;"&amp;'19_Расчет_аналитики'!AA2584,WeightedMinAge14),MAX(CapacityAge14*'01_Вводные'!$B$218*'19_Расчет_аналитики'!AA2584,MeanMinAge14)))</f>
        <v/>
      </c>
      <c r="AB2529">
        <f>IF(OR(('19_Расчет_аналитики'!AB2445-'19_Расчет_аналитики'!AB2473)=0,14&lt;='01_Вводные'!$B$297),0,('19_Расчет_аналитики'!AB2445-'19_Расчет_аналитики'!AB2473)*IF('01_Вводные'!$B$239="Да",MeanMinAge14+'19_Расчет_аналитики'!AB2584*SUMIF(ThresholdAge14,"&lt;"&amp;'19_Расчет_аналитики'!AB2584,WeightedRevAge14)-SUMIF(ThresholdAge14,"&lt;"&amp;'19_Расчет_аналитики'!AB2584,WeightedMinAge14),MAX(CapacityAge14*'01_Вводные'!$B$218*'19_Расчет_аналитики'!AB2584,MeanMinAge14)))</f>
        <v/>
      </c>
      <c r="AC2529">
        <f>IF(OR(('19_Расчет_аналитики'!AC2445-'19_Расчет_аналитики'!AC2473)=0,14&lt;='01_Вводные'!$B$297),0,('19_Расчет_аналитики'!AC2445-'19_Расчет_аналитики'!AC2473)*IF('01_Вводные'!$B$239="Да",MeanMinAge14+'19_Расчет_аналитики'!AC2584*SUMIF(ThresholdAge14,"&lt;"&amp;'19_Расчет_аналитики'!AC2584,WeightedRevAge14)-SUMIF(ThresholdAge14,"&lt;"&amp;'19_Расчет_аналитики'!AC2584,WeightedMinAge14),MAX(CapacityAge14*'01_Вводные'!$B$218*'19_Расчет_аналитики'!AC2584,MeanMinAge14)))</f>
        <v/>
      </c>
      <c r="AD2529">
        <f>IF(OR(('19_Расчет_аналитики'!AD2445-'19_Расчет_аналитики'!AD2473)=0,14&lt;='01_Вводные'!$B$297),0,('19_Расчет_аналитики'!AD2445-'19_Расчет_аналитики'!AD2473)*IF('01_Вводные'!$B$239="Да",MeanMinAge14+'19_Расчет_аналитики'!AD2584*SUMIF(ThresholdAge14,"&lt;"&amp;'19_Расчет_аналитики'!AD2584,WeightedRevAge14)-SUMIF(ThresholdAge14,"&lt;"&amp;'19_Расчет_аналитики'!AD2584,WeightedMinAge14),MAX(CapacityAge14*'01_Вводные'!$B$218*'19_Расчет_аналитики'!AD2584,MeanMinAge14)))</f>
        <v/>
      </c>
      <c r="AE2529">
        <f>IF(OR(('19_Расчет_аналитики'!AE2445-'19_Расчет_аналитики'!AE2473)=0,14&lt;='01_Вводные'!$B$297),0,('19_Расчет_аналитики'!AE2445-'19_Расчет_аналитики'!AE2473)*IF('01_Вводные'!$B$239="Да",MeanMinAge14+'19_Расчет_аналитики'!AE2584*SUMIF(ThresholdAge14,"&lt;"&amp;'19_Расчет_аналитики'!AE2584,WeightedRevAge14)-SUMIF(ThresholdAge14,"&lt;"&amp;'19_Расчет_аналитики'!AE2584,WeightedMinAge14),MAX(CapacityAge14*'01_Вводные'!$B$218*'19_Расчет_аналитики'!AE2584,MeanMinAge14)))</f>
        <v/>
      </c>
      <c r="AF2529">
        <f>IF(OR(('19_Расчет_аналитики'!AF2445-'19_Расчет_аналитики'!AF2473)=0,14&lt;='01_Вводные'!$B$297),0,('19_Расчет_аналитики'!AF2445-'19_Расчет_аналитики'!AF2473)*IF('01_Вводные'!$B$239="Да",MeanMinAge14+'19_Расчет_аналитики'!AF2584*SUMIF(ThresholdAge14,"&lt;"&amp;'19_Расчет_аналитики'!AF2584,WeightedRevAge14)-SUMIF(ThresholdAge14,"&lt;"&amp;'19_Расчет_аналитики'!AF2584,WeightedMinAge14),MAX(CapacityAge14*'01_Вводные'!$B$218*'19_Расчет_аналитики'!AF2584,MeanMinAge14)))</f>
        <v/>
      </c>
      <c r="AG2529">
        <f>IF(OR(('19_Расчет_аналитики'!AG2445-'19_Расчет_аналитики'!AG2473)=0,14&lt;='01_Вводные'!$B$297),0,('19_Расчет_аналитики'!AG2445-'19_Расчет_аналитики'!AG2473)*IF('01_Вводные'!$B$239="Да",MeanMinAge14+'19_Расчет_аналитики'!AG2584*SUMIF(ThresholdAge14,"&lt;"&amp;'19_Расчет_аналитики'!AG2584,WeightedRevAge14)-SUMIF(ThresholdAge14,"&lt;"&amp;'19_Расчет_аналитики'!AG2584,WeightedMinAge14),MAX(CapacityAge14*'01_Вводные'!$B$218*'19_Расчет_аналитики'!AG2584,MeanMinAge14)))</f>
        <v/>
      </c>
      <c r="AH2529">
        <f>IF(OR(('19_Расчет_аналитики'!AH2445-'19_Расчет_аналитики'!AH2473)=0,14&lt;='01_Вводные'!$B$297),0,('19_Расчет_аналитики'!AH2445-'19_Расчет_аналитики'!AH2473)*IF('01_Вводные'!$B$239="Да",MeanMinAge14+'19_Расчет_аналитики'!AH2584*SUMIF(ThresholdAge14,"&lt;"&amp;'19_Расчет_аналитики'!AH2584,WeightedRevAge14)-SUMIF(ThresholdAge14,"&lt;"&amp;'19_Расчет_аналитики'!AH2584,WeightedMinAge14),MAX(CapacityAge14*'01_Вводные'!$B$218*'19_Расчет_аналитики'!AH2584,MeanMinAge14)))</f>
        <v/>
      </c>
      <c r="AI2529">
        <f>IF(OR(('19_Расчет_аналитики'!AI2445-'19_Расчет_аналитики'!AI2473)=0,14&lt;='01_Вводные'!$B$297),0,('19_Расчет_аналитики'!AI2445-'19_Расчет_аналитики'!AI2473)*IF('01_Вводные'!$B$239="Да",MeanMinAge14+'19_Расчет_аналитики'!AI2584*SUMIF(ThresholdAge14,"&lt;"&amp;'19_Расчет_аналитики'!AI2584,WeightedRevAge14)-SUMIF(ThresholdAge14,"&lt;"&amp;'19_Расчет_аналитики'!AI2584,WeightedMinAge14),MAX(CapacityAge14*'01_Вводные'!$B$218*'19_Расчет_аналитики'!AI2584,MeanMinAge14)))</f>
        <v/>
      </c>
      <c r="AJ2529">
        <f>IF(OR(('19_Расчет_аналитики'!AJ2445-'19_Расчет_аналитики'!AJ2473)=0,14&lt;='01_Вводные'!$B$297),0,('19_Расчет_аналитики'!AJ2445-'19_Расчет_аналитики'!AJ2473)*IF('01_Вводные'!$B$239="Да",MeanMinAge14+'19_Расчет_аналитики'!AJ2584*SUMIF(ThresholdAge14,"&lt;"&amp;'19_Расчет_аналитики'!AJ2584,WeightedRevAge14)-SUMIF(ThresholdAge14,"&lt;"&amp;'19_Расчет_аналитики'!AJ2584,WeightedMinAge14),MAX(CapacityAge14*'01_Вводные'!$B$218*'19_Расчет_аналитики'!AJ2584,MeanMinAge14)))</f>
        <v/>
      </c>
      <c r="AK2529">
        <f>IF(OR(('19_Расчет_аналитики'!AK2445-'19_Расчет_аналитики'!AK2473)=0,14&lt;='01_Вводные'!$B$297),0,('19_Расчет_аналитики'!AK2445-'19_Расчет_аналитики'!AK2473)*IF('01_Вводные'!$B$239="Да",MeanMinAge14+'19_Расчет_аналитики'!AK2584*SUMIF(ThresholdAge14,"&lt;"&amp;'19_Расчет_аналитики'!AK2584,WeightedRevAge14)-SUMIF(ThresholdAge14,"&lt;"&amp;'19_Расчет_аналитики'!AK2584,WeightedMinAge14),MAX(CapacityAge14*'01_Вводные'!$B$218*'19_Расчет_аналитики'!AK2584,MeanMinAge14)))</f>
        <v/>
      </c>
      <c r="AL2529">
        <f>IF(OR(('19_Расчет_аналитики'!AL2445-'19_Расчет_аналитики'!AL2473)=0,14&lt;='01_Вводные'!$B$297),0,('19_Расчет_аналитики'!AL2445-'19_Расчет_аналитики'!AL2473)*IF('01_Вводные'!$B$239="Да",MeanMinAge14+'19_Расчет_аналитики'!AL2584*SUMIF(ThresholdAge14,"&lt;"&amp;'19_Расчет_аналитики'!AL2584,WeightedRevAge14)-SUMIF(ThresholdAge14,"&lt;"&amp;'19_Расчет_аналитики'!AL2584,WeightedMinAge14),MAX(CapacityAge14*'01_Вводные'!$B$218*'19_Расчет_аналитики'!AL2584,MeanMinAge14)))</f>
        <v/>
      </c>
      <c r="AM2529">
        <f>IF(OR(('19_Расчет_аналитики'!AM2445-'19_Расчет_аналитики'!AM2473)=0,14&lt;='01_Вводные'!$B$297),0,('19_Расчет_аналитики'!AM2445-'19_Расчет_аналитики'!AM2473)*IF('01_Вводные'!$B$239="Да",MeanMinAge14+'19_Расчет_аналитики'!AM2584*SUMIF(ThresholdAge14,"&lt;"&amp;'19_Расчет_аналитики'!AM2584,WeightedRevAge14)-SUMIF(ThresholdAge14,"&lt;"&amp;'19_Расчет_аналитики'!AM2584,WeightedMinAge14),MAX(CapacityAge14*'01_Вводные'!$B$218*'19_Расчет_аналитики'!AM2584,MeanMinAge14)))</f>
        <v/>
      </c>
      <c r="AN2529">
        <f>IF(OR(('19_Расчет_аналитики'!AN2445-'19_Расчет_аналитики'!AN2473)=0,14&lt;='01_Вводные'!$B$297),0,('19_Расчет_аналитики'!AN2445-'19_Расчет_аналитики'!AN2473)*IF('01_Вводные'!$B$239="Да",MeanMinAge14+'19_Расчет_аналитики'!AN2584*SUMIF(ThresholdAge14,"&lt;"&amp;'19_Расчет_аналитики'!AN2584,WeightedRevAge14)-SUMIF(ThresholdAge14,"&lt;"&amp;'19_Расчет_аналитики'!AN2584,WeightedMinAge14),MAX(CapacityAge14*'01_Вводные'!$B$218*'19_Расчет_аналитики'!AN2584,MeanMinAge14)))</f>
        <v/>
      </c>
      <c r="AO2529">
        <f>IF(OR(('19_Расчет_аналитики'!AO2445-'19_Расчет_аналитики'!AO2473)=0,14&lt;='01_Вводные'!$B$297),0,('19_Расчет_аналитики'!AO2445-'19_Расчет_аналитики'!AO2473)*IF('01_Вводные'!$B$239="Да",MeanMinAge14+'19_Расчет_аналитики'!AO2584*SUMIF(ThresholdAge14,"&lt;"&amp;'19_Расчет_аналитики'!AO2584,WeightedRevAge14)-SUMIF(ThresholdAge14,"&lt;"&amp;'19_Расчет_аналитики'!AO2584,WeightedMinAge14),MAX(CapacityAge14*'01_Вводные'!$B$218*'19_Расчет_аналитики'!AO2584,MeanMinAge14)))</f>
        <v/>
      </c>
      <c r="AP2529">
        <f>IF(OR(('19_Расчет_аналитики'!AP2445-'19_Расчет_аналитики'!AP2473)=0,14&lt;='01_Вводные'!$B$297),0,('19_Расчет_аналитики'!AP2445-'19_Расчет_аналитики'!AP2473)*IF('01_Вводные'!$B$239="Да",MeanMinAge14+'19_Расчет_аналитики'!AP2584*SUMIF(ThresholdAge14,"&lt;"&amp;'19_Расчет_аналитики'!AP2584,WeightedRevAge14)-SUMIF(ThresholdAge14,"&lt;"&amp;'19_Расчет_аналитики'!AP2584,WeightedMinAge14),MAX(CapacityAge14*'01_Вводные'!$B$218*'19_Расчет_аналитики'!AP2584,MeanMinAge14)))</f>
        <v/>
      </c>
      <c r="AQ2529">
        <f>IF(OR(('19_Расчет_аналитики'!AQ2445-'19_Расчет_аналитики'!AQ2473)=0,14&lt;='01_Вводные'!$B$297),0,('19_Расчет_аналитики'!AQ2445-'19_Расчет_аналитики'!AQ2473)*IF('01_Вводные'!$B$239="Да",MeanMinAge14+'19_Расчет_аналитики'!AQ2584*SUMIF(ThresholdAge14,"&lt;"&amp;'19_Расчет_аналитики'!AQ2584,WeightedRevAge14)-SUMIF(ThresholdAge14,"&lt;"&amp;'19_Расчет_аналитики'!AQ2584,WeightedMinAge14),MAX(CapacityAge14*'01_Вводные'!$B$218*'19_Расчет_аналитики'!AQ2584,MeanMinAge14)))</f>
        <v/>
      </c>
      <c r="AR2529">
        <f>IF(OR(('19_Расчет_аналитики'!AR2445-'19_Расчет_аналитики'!AR2473)=0,14&lt;='01_Вводные'!$B$297),0,('19_Расчет_аналитики'!AR2445-'19_Расчет_аналитики'!AR2473)*IF('01_Вводные'!$B$239="Да",MeanMinAge14+'19_Расчет_аналитики'!AR2584*SUMIF(ThresholdAge14,"&lt;"&amp;'19_Расчет_аналитики'!AR2584,WeightedRevAge14)-SUMIF(ThresholdAge14,"&lt;"&amp;'19_Расчет_аналитики'!AR2584,WeightedMinAge14),MAX(CapacityAge14*'01_Вводные'!$B$218*'19_Расчет_аналитики'!AR2584,MeanMinAge14)))</f>
        <v/>
      </c>
      <c r="AS2529">
        <f>IF(OR(('19_Расчет_аналитики'!AS2445-'19_Расчет_аналитики'!AS2473)=0,14&lt;='01_Вводные'!$B$297),0,('19_Расчет_аналитики'!AS2445-'19_Расчет_аналитики'!AS2473)*IF('01_Вводные'!$B$239="Да",MeanMinAge14+'19_Расчет_аналитики'!AS2584*SUMIF(ThresholdAge14,"&lt;"&amp;'19_Расчет_аналитики'!AS2584,WeightedRevAge14)-SUMIF(ThresholdAge14,"&lt;"&amp;'19_Расчет_аналитики'!AS2584,WeightedMinAge14),MAX(CapacityAge14*'01_Вводные'!$B$218*'19_Расчет_аналитики'!AS2584,MeanMinAge14)))</f>
        <v/>
      </c>
      <c r="AT2529">
        <f>IF(OR(('19_Расчет_аналитики'!AT2445-'19_Расчет_аналитики'!AT2473)=0,14&lt;='01_Вводные'!$B$297),0,('19_Расчет_аналитики'!AT2445-'19_Расчет_аналитики'!AT2473)*IF('01_Вводные'!$B$239="Да",MeanMinAge14+'19_Расчет_аналитики'!AT2584*SUMIF(ThresholdAge14,"&lt;"&amp;'19_Расчет_аналитики'!AT2584,WeightedRevAge14)-SUMIF(ThresholdAge14,"&lt;"&amp;'19_Расчет_аналитики'!AT2584,WeightedMinAge14),MAX(CapacityAge14*'01_Вводные'!$B$218*'19_Расчет_аналитики'!AT2584,MeanMinAge14)))</f>
        <v/>
      </c>
      <c r="AU2529">
        <f>IF(OR(('19_Расчет_аналитики'!AU2445-'19_Расчет_аналитики'!AU2473)=0,14&lt;='01_Вводные'!$B$297),0,('19_Расчет_аналитики'!AU2445-'19_Расчет_аналитики'!AU2473)*IF('01_Вводные'!$B$239="Да",MeanMinAge14+'19_Расчет_аналитики'!AU2584*SUMIF(ThresholdAge14,"&lt;"&amp;'19_Расчет_аналитики'!AU2584,WeightedRevAge14)-SUMIF(ThresholdAge14,"&lt;"&amp;'19_Расчет_аналитики'!AU2584,WeightedMinAge14),MAX(CapacityAge14*'01_Вводные'!$B$218*'19_Расчет_аналитики'!AU2584,MeanMinAge14)))</f>
        <v/>
      </c>
      <c r="AV2529">
        <f>IF(OR(('19_Расчет_аналитики'!AV2445-'19_Расчет_аналитики'!AV2473)=0,14&lt;='01_Вводные'!$B$297),0,('19_Расчет_аналитики'!AV2445-'19_Расчет_аналитики'!AV2473)*IF('01_Вводные'!$B$239="Да",MeanMinAge14+'19_Расчет_аналитики'!AV2584*SUMIF(ThresholdAge14,"&lt;"&amp;'19_Расчет_аналитики'!AV2584,WeightedRevAge14)-SUMIF(ThresholdAge14,"&lt;"&amp;'19_Расчет_аналитики'!AV2584,WeightedMinAge14),MAX(CapacityAge14*'01_Вводные'!$B$218*'19_Расчет_аналитики'!AV2584,MeanMinAge14)))</f>
        <v/>
      </c>
      <c r="AW2529">
        <f>IF(OR(('19_Расчет_аналитики'!AW2445-'19_Расчет_аналитики'!AW2473)=0,14&lt;='01_Вводные'!$B$297),0,('19_Расчет_аналитики'!AW2445-'19_Расчет_аналитики'!AW2473)*IF('01_Вводные'!$B$239="Да",MeanMinAge14+'19_Расчет_аналитики'!AW2584*SUMIF(ThresholdAge14,"&lt;"&amp;'19_Расчет_аналитики'!AW2584,WeightedRevAge14)-SUMIF(ThresholdAge14,"&lt;"&amp;'19_Расчет_аналитики'!AW2584,WeightedMinAge14),MAX(CapacityAge14*'01_Вводные'!$B$218*'19_Расчет_аналитики'!AW2584,MeanMinAge14)))</f>
        <v/>
      </c>
      <c r="AX2529">
        <f>IF(OR(('19_Расчет_аналитики'!AX2445-'19_Расчет_аналитики'!AX2473)=0,14&lt;='01_Вводные'!$B$297),0,('19_Расчет_аналитики'!AX2445-'19_Расчет_аналитики'!AX2473)*IF('01_Вводные'!$B$239="Да",MeanMinAge14+'19_Расчет_аналитики'!AX2584*SUMIF(ThresholdAge14,"&lt;"&amp;'19_Расчет_аналитики'!AX2584,WeightedRevAge14)-SUMIF(ThresholdAge14,"&lt;"&amp;'19_Расчет_аналитики'!AX2584,WeightedMinAge14),MAX(CapacityAge14*'01_Вводные'!$B$218*'19_Расчет_аналитики'!AX2584,MeanMinAge14)))</f>
        <v/>
      </c>
      <c r="AY2529">
        <f>IF(OR(('19_Расчет_аналитики'!AY2445-'19_Расчет_аналитики'!AY2473)=0,14&lt;='01_Вводные'!$B$297),0,('19_Расчет_аналитики'!AY2445-'19_Расчет_аналитики'!AY2473)*IF('01_Вводные'!$B$239="Да",MeanMinAge14+'19_Расчет_аналитики'!AY2584*SUMIF(ThresholdAge14,"&lt;"&amp;'19_Расчет_аналитики'!AY2584,WeightedRevAge14)-SUMIF(ThresholdAge14,"&lt;"&amp;'19_Расчет_аналитики'!AY2584,WeightedMinAge14),MAX(CapacityAge14*'01_Вводные'!$B$218*'19_Расчет_аналитики'!AY2584,MeanMinAge14)))</f>
        <v/>
      </c>
      <c r="AZ2529">
        <f>IF(OR(('19_Расчет_аналитики'!AZ2445-'19_Расчет_аналитики'!AZ2473)=0,14&lt;='01_Вводные'!$B$297),0,('19_Расчет_аналитики'!AZ2445-'19_Расчет_аналитики'!AZ2473)*IF('01_Вводные'!$B$239="Да",MeanMinAge14+'19_Расчет_аналитики'!AZ2584*SUMIF(ThresholdAge14,"&lt;"&amp;'19_Расчет_аналитики'!AZ2584,WeightedRevAge14)-SUMIF(ThresholdAge14,"&lt;"&amp;'19_Расчет_аналитики'!AZ2584,WeightedMinAge14),MAX(CapacityAge14*'01_Вводные'!$B$218*'19_Расчет_аналитики'!AZ2584,MeanMinAge14)))</f>
        <v/>
      </c>
      <c r="BA2529">
        <f>IF(OR(('19_Расчет_аналитики'!BA2445-'19_Расчет_аналитики'!BA2473)=0,14&lt;='01_Вводные'!$B$297),0,('19_Расчет_аналитики'!BA2445-'19_Расчет_аналитики'!BA2473)*IF('01_Вводные'!$B$239="Да",MeanMinAge14+'19_Расчет_аналитики'!BA2584*SUMIF(ThresholdAge14,"&lt;"&amp;'19_Расчет_аналитики'!BA2584,WeightedRevAge14)-SUMIF(ThresholdAge14,"&lt;"&amp;'19_Расчет_аналитики'!BA2584,WeightedMinAge14),MAX(CapacityAge14*'01_Вводные'!$B$218*'19_Расчет_аналитики'!BA2584,MeanMinAge14)))</f>
        <v/>
      </c>
      <c r="BB2529">
        <f>IF(OR(('19_Расчет_аналитики'!BB2445-'19_Расчет_аналитики'!BB2473)=0,14&lt;='01_Вводные'!$B$297),0,('19_Расчет_аналитики'!BB2445-'19_Расчет_аналитики'!BB2473)*IF('01_Вводные'!$B$239="Да",MeanMinAge14+'19_Расчет_аналитики'!BB2584*SUMIF(ThresholdAge14,"&lt;"&amp;'19_Расчет_аналитики'!BB2584,WeightedRevAge14)-SUMIF(ThresholdAge14,"&lt;"&amp;'19_Расчет_аналитики'!BB2584,WeightedMinAge14),MAX(CapacityAge14*'01_Вводные'!$B$218*'19_Расчет_аналитики'!BB2584,MeanMinAge14)))</f>
        <v/>
      </c>
      <c r="BC2529">
        <f>IF(OR(('19_Расчет_аналитики'!BC2445-'19_Расчет_аналитики'!BC2473)=0,14&lt;='01_Вводные'!$B$297),0,('19_Расчет_аналитики'!BC2445-'19_Расчет_аналитики'!BC2473)*IF('01_Вводные'!$B$239="Да",MeanMinAge14+'19_Расчет_аналитики'!BC2584*SUMIF(ThresholdAge14,"&lt;"&amp;'19_Расчет_аналитики'!BC2584,WeightedRevAge14)-SUMIF(ThresholdAge14,"&lt;"&amp;'19_Расчет_аналитики'!BC2584,WeightedMinAge14),MAX(CapacityAge14*'01_Вводные'!$B$218*'19_Расчет_аналитики'!BC2584,MeanMinAge14)))</f>
        <v/>
      </c>
      <c r="BD2529">
        <f>IF(OR(('19_Расчет_аналитики'!BD2445-'19_Расчет_аналитики'!BD2473)=0,14&lt;='01_Вводные'!$B$297),0,('19_Расчет_аналитики'!BD2445-'19_Расчет_аналитики'!BD2473)*IF('01_Вводные'!$B$239="Да",MeanMinAge14+'19_Расчет_аналитики'!BD2584*SUMIF(ThresholdAge14,"&lt;"&amp;'19_Расчет_аналитики'!BD2584,WeightedRevAge14)-SUMIF(ThresholdAge14,"&lt;"&amp;'19_Расчет_аналитики'!BD2584,WeightedMinAge14),MAX(CapacityAge14*'01_Вводные'!$B$218*'19_Расчет_аналитики'!BD2584,MeanMinAge14)))</f>
        <v/>
      </c>
      <c r="BE2529">
        <f>IF(OR(('19_Расчет_аналитики'!BE2445-'19_Расчет_аналитики'!BE2473)=0,14&lt;='01_Вводные'!$B$297),0,('19_Расчет_аналитики'!BE2445-'19_Расчет_аналитики'!BE2473)*IF('01_Вводные'!$B$239="Да",MeanMinAge14+'19_Расчет_аналитики'!BE2584*SUMIF(ThresholdAge14,"&lt;"&amp;'19_Расчет_аналитики'!BE2584,WeightedRevAge14)-SUMIF(ThresholdAge14,"&lt;"&amp;'19_Расчет_аналитики'!BE2584,WeightedMinAge14),MAX(CapacityAge14*'01_Вводные'!$B$218*'19_Расчет_аналитики'!BE2584,MeanMinAge14)))</f>
        <v/>
      </c>
      <c r="BF2529">
        <f>IF(OR(('19_Расчет_аналитики'!BF2445-'19_Расчет_аналитики'!BF2473)=0,14&lt;='01_Вводные'!$B$297),0,('19_Расчет_аналитики'!BF2445-'19_Расчет_аналитики'!BF2473)*IF('01_Вводные'!$B$239="Да",MeanMinAge14+'19_Расчет_аналитики'!BF2584*SUMIF(ThresholdAge14,"&lt;"&amp;'19_Расчет_аналитики'!BF2584,WeightedRevAge14)-SUMIF(ThresholdAge14,"&lt;"&amp;'19_Расчет_аналитики'!BF2584,WeightedMinAge14),MAX(CapacityAge14*'01_Вводные'!$B$218*'19_Расчет_аналитики'!BF2584,MeanMinAge14)))</f>
        <v/>
      </c>
      <c r="BG2529">
        <f>IF(OR(('19_Расчет_аналитики'!BG2445-'19_Расчет_аналитики'!BG2473)=0,14&lt;='01_Вводные'!$B$297),0,('19_Расчет_аналитики'!BG2445-'19_Расчет_аналитики'!BG2473)*IF('01_Вводные'!$B$239="Да",MeanMinAge14+'19_Расчет_аналитики'!BG2584*SUMIF(ThresholdAge14,"&lt;"&amp;'19_Расчет_аналитики'!BG2584,WeightedRevAge14)-SUMIF(ThresholdAge14,"&lt;"&amp;'19_Расчет_аналитики'!BG2584,WeightedMinAge14),MAX(CapacityAge14*'01_Вводные'!$B$218*'19_Расчет_аналитики'!BG2584,MeanMinAge14)))</f>
        <v/>
      </c>
      <c r="BH2529">
        <f>IF(OR(('19_Расчет_аналитики'!BH2445-'19_Расчет_аналитики'!BH2473)=0,14&lt;='01_Вводные'!$B$297),0,('19_Расчет_аналитики'!BH2445-'19_Расчет_аналитики'!BH2473)*IF('01_Вводные'!$B$239="Да",MeanMinAge14+'19_Расчет_аналитики'!BH2584*SUMIF(ThresholdAge14,"&lt;"&amp;'19_Расчет_аналитики'!BH2584,WeightedRevAge14)-SUMIF(ThresholdAge14,"&lt;"&amp;'19_Расчет_аналитики'!BH2584,WeightedMinAge14),MAX(CapacityAge14*'01_Вводные'!$B$218*'19_Расчет_аналитики'!BH2584,MeanMinAge14)))</f>
        <v/>
      </c>
      <c r="BI2529">
        <f>IF(OR(('19_Расчет_аналитики'!BI2445-'19_Расчет_аналитики'!BI2473)=0,14&lt;='01_Вводные'!$B$297),0,('19_Расчет_аналитики'!BI2445-'19_Расчет_аналитики'!BI2473)*IF('01_Вводные'!$B$239="Да",MeanMinAge14+'19_Расчет_аналитики'!BI2584*SUMIF(ThresholdAge14,"&lt;"&amp;'19_Расчет_аналитики'!BI2584,WeightedRevAge14)-SUMIF(ThresholdAge14,"&lt;"&amp;'19_Расчет_аналитики'!BI2584,WeightedMinAge14),MAX(CapacityAge14*'01_Вводные'!$B$218*'19_Расчет_аналитики'!BI2584,MeanMinAge14)))</f>
        <v/>
      </c>
      <c r="BJ2529">
        <f>IF(OR(('19_Расчет_аналитики'!BJ2445-'19_Расчет_аналитики'!BJ2473)=0,14&lt;='01_Вводные'!$B$297),0,('19_Расчет_аналитики'!BJ2445-'19_Расчет_аналитики'!BJ2473)*IF('01_Вводные'!$B$239="Да",MeanMinAge14+'19_Расчет_аналитики'!BJ2584*SUMIF(ThresholdAge14,"&lt;"&amp;'19_Расчет_аналитики'!BJ2584,WeightedRevAge14)-SUMIF(ThresholdAge14,"&lt;"&amp;'19_Расчет_аналитики'!BJ2584,WeightedMinAge14),MAX(CapacityAge14*'01_Вводные'!$B$218*'19_Расчет_аналитики'!BJ2584,MeanMinAge14)))</f>
        <v/>
      </c>
      <c r="BK2529">
        <f>IF(OR(('19_Расчет_аналитики'!BK2445-'19_Расчет_аналитики'!BK2473)=0,14&lt;='01_Вводные'!$B$297),0,('19_Расчет_аналитики'!BK2445-'19_Расчет_аналитики'!BK2473)*IF('01_Вводные'!$B$239="Да",MeanMinAge14+'19_Расчет_аналитики'!BK2584*SUMIF(ThresholdAge14,"&lt;"&amp;'19_Расчет_аналитики'!BK2584,WeightedRevAge14)-SUMIF(ThresholdAge14,"&lt;"&amp;'19_Расчет_аналитики'!BK2584,WeightedMinAge14),MAX(CapacityAge14*'01_Вводные'!$B$218*'19_Расчет_аналитики'!BK2584,MeanMinAge14)))</f>
        <v/>
      </c>
      <c r="BL2529">
        <f>IF(OR(('19_Расчет_аналитики'!BL2445-'19_Расчет_аналитики'!BL2473)=0,14&lt;='01_Вводные'!$B$297),0,('19_Расчет_аналитики'!BL2445-'19_Расчет_аналитики'!BL2473)*IF('01_Вводные'!$B$239="Да",MeanMinAge14+'19_Расчет_аналитики'!BL2584*SUMIF(ThresholdAge14,"&lt;"&amp;'19_Расчет_аналитики'!BL2584,WeightedRevAge14)-SUMIF(ThresholdAge14,"&lt;"&amp;'19_Расчет_аналитики'!BL2584,WeightedMinAge14),MAX(CapacityAge14*'01_Вводные'!$B$218*'19_Расчет_аналитики'!BL2584,MeanMinAge14)))</f>
        <v/>
      </c>
      <c r="BM2529">
        <f>IF(OR(('19_Расчет_аналитики'!BM2445-'19_Расчет_аналитики'!BM2473)=0,14&lt;='01_Вводные'!$B$297),0,('19_Расчет_аналитики'!BM2445-'19_Расчет_аналитики'!BM2473)*IF('01_Вводные'!$B$239="Да",MeanMinAge14+'19_Расчет_аналитики'!BM2584*SUMIF(ThresholdAge14,"&lt;"&amp;'19_Расчет_аналитики'!BM2584,WeightedRevAge14)-SUMIF(ThresholdAge14,"&lt;"&amp;'19_Расчет_аналитики'!BM2584,WeightedMinAge14),MAX(CapacityAge14*'01_Вводные'!$B$218*'19_Расчет_аналитики'!BM2584,MeanMinAge14)))</f>
        <v/>
      </c>
      <c r="BN2529">
        <f>IF(OR(('19_Расчет_аналитики'!BN2445-'19_Расчет_аналитики'!BN2473)=0,14&lt;='01_Вводные'!$B$297),0,('19_Расчет_аналитики'!BN2445-'19_Расчет_аналитики'!BN2473)*IF('01_Вводные'!$B$239="Да",MeanMinAge14+'19_Расчет_аналитики'!BN2584*SUMIF(ThresholdAge14,"&lt;"&amp;'19_Расчет_аналитики'!BN2584,WeightedRevAge14)-SUMIF(ThresholdAge14,"&lt;"&amp;'19_Расчет_аналитики'!BN2584,WeightedMinAge14),MAX(CapacityAge14*'01_Вводные'!$B$218*'19_Расчет_аналитики'!BN2584,MeanMinAge14)))</f>
        <v/>
      </c>
      <c r="BO2529">
        <f>IF(OR(('19_Расчет_аналитики'!BO2445-'19_Расчет_аналитики'!BO2473)=0,14&lt;='01_Вводные'!$B$297),0,('19_Расчет_аналитики'!BO2445-'19_Расчет_аналитики'!BO2473)*IF('01_Вводные'!$B$239="Да",MeanMinAge14+'19_Расчет_аналитики'!BO2584*SUMIF(ThresholdAge14,"&lt;"&amp;'19_Расчет_аналитики'!BO2584,WeightedRevAge14)-SUMIF(ThresholdAge14,"&lt;"&amp;'19_Расчет_аналитики'!BO2584,WeightedMinAge14),MAX(CapacityAge14*'01_Вводные'!$B$218*'19_Расчет_аналитики'!BO2584,MeanMinAge14)))</f>
        <v/>
      </c>
    </row>
    <row r="2530">
      <c r="B2530">
        <f>IF(OR(('06_Сеть_и_дети'!B67-'06_Сеть_и_дети'!B95)=0,15&lt;='01_Вводные'!$B$297),0,('06_Сеть_и_дети'!B67-'06_Сеть_и_дети'!B95)*IF('01_Вводные'!$B$239="Да",MeanMinAge15+'19_Расчет_аналитики'!B2584*SUMIF(ThresholdAge15,"&lt;"&amp;'19_Расчет_аналитики'!B2584,WeightedRevAge15)-SUMIF(ThresholdAge15,"&lt;"&amp;'19_Расчет_аналитики'!B2584,WeightedMinAge15),MAX(CapacityAge15*'01_Вводные'!$B$218*'19_Расчет_аналитики'!B2584,MeanMinAge15)))</f>
        <v/>
      </c>
      <c r="C2530">
        <f>IF(OR(('06_Сеть_и_дети'!C67-'06_Сеть_и_дети'!C95)=0,15&lt;='01_Вводные'!$B$297),0,('06_Сеть_и_дети'!C67-'06_Сеть_и_дети'!C95)*IF('01_Вводные'!$B$239="Да",MeanMinAge15+'19_Расчет_аналитики'!C2584*SUMIF(ThresholdAge15,"&lt;"&amp;'19_Расчет_аналитики'!C2584,WeightedRevAge15)-SUMIF(ThresholdAge15,"&lt;"&amp;'19_Расчет_аналитики'!C2584,WeightedMinAge15),MAX(CapacityAge15*'01_Вводные'!$B$218*'19_Расчет_аналитики'!C2584,MeanMinAge15)))</f>
        <v/>
      </c>
      <c r="D2530">
        <f>IF(OR(('06_Сеть_и_дети'!D67-'06_Сеть_и_дети'!D95)=0,15&lt;='01_Вводные'!$B$297),0,('06_Сеть_и_дети'!D67-'06_Сеть_и_дети'!D95)*IF('01_Вводные'!$B$239="Да",MeanMinAge15+'19_Расчет_аналитики'!D2584*SUMIF(ThresholdAge15,"&lt;"&amp;'19_Расчет_аналитики'!D2584,WeightedRevAge15)-SUMIF(ThresholdAge15,"&lt;"&amp;'19_Расчет_аналитики'!D2584,WeightedMinAge15),MAX(CapacityAge15*'01_Вводные'!$B$218*'19_Расчет_аналитики'!D2584,MeanMinAge15)))</f>
        <v/>
      </c>
      <c r="E2530">
        <f>IF(OR(('06_Сеть_и_дети'!E67-'06_Сеть_и_дети'!E95)=0,15&lt;='01_Вводные'!$B$297),0,('06_Сеть_и_дети'!E67-'06_Сеть_и_дети'!E95)*IF('01_Вводные'!$B$239="Да",MeanMinAge15+'19_Расчет_аналитики'!E2584*SUMIF(ThresholdAge15,"&lt;"&amp;'19_Расчет_аналитики'!E2584,WeightedRevAge15)-SUMIF(ThresholdAge15,"&lt;"&amp;'19_Расчет_аналитики'!E2584,WeightedMinAge15),MAX(CapacityAge15*'01_Вводные'!$B$218*'19_Расчет_аналитики'!E2584,MeanMinAge15)))</f>
        <v/>
      </c>
      <c r="F2530">
        <f>IF(OR(('06_Сеть_и_дети'!F67-'06_Сеть_и_дети'!F95)=0,15&lt;='01_Вводные'!$B$297),0,('06_Сеть_и_дети'!F67-'06_Сеть_и_дети'!F95)*IF('01_Вводные'!$B$239="Да",MeanMinAge15+'19_Расчет_аналитики'!F2584*SUMIF(ThresholdAge15,"&lt;"&amp;'19_Расчет_аналитики'!F2584,WeightedRevAge15)-SUMIF(ThresholdAge15,"&lt;"&amp;'19_Расчет_аналитики'!F2584,WeightedMinAge15),MAX(CapacityAge15*'01_Вводные'!$B$218*'19_Расчет_аналитики'!F2584,MeanMinAge15)))</f>
        <v/>
      </c>
      <c r="G2530">
        <f>IF(OR(('06_Сеть_и_дети'!G67-'06_Сеть_и_дети'!G95)=0,15&lt;='01_Вводные'!$B$297),0,('06_Сеть_и_дети'!G67-'06_Сеть_и_дети'!G95)*IF('01_Вводные'!$B$239="Да",MeanMinAge15+'19_Расчет_аналитики'!G2584*SUMIF(ThresholdAge15,"&lt;"&amp;'19_Расчет_аналитики'!G2584,WeightedRevAge15)-SUMIF(ThresholdAge15,"&lt;"&amp;'19_Расчет_аналитики'!G2584,WeightedMinAge15),MAX(CapacityAge15*'01_Вводные'!$B$218*'19_Расчет_аналитики'!G2584,MeanMinAge15)))</f>
        <v/>
      </c>
      <c r="H2530">
        <f>IF(OR(('06_Сеть_и_дети'!H67-'06_Сеть_и_дети'!H95)=0,15&lt;='01_Вводные'!$B$297),0,('06_Сеть_и_дети'!H67-'06_Сеть_и_дети'!H95)*IF('01_Вводные'!$B$239="Да",MeanMinAge15+'19_Расчет_аналитики'!H2584*SUMIF(ThresholdAge15,"&lt;"&amp;'19_Расчет_аналитики'!H2584,WeightedRevAge15)-SUMIF(ThresholdAge15,"&lt;"&amp;'19_Расчет_аналитики'!H2584,WeightedMinAge15),MAX(CapacityAge15*'01_Вводные'!$B$218*'19_Расчет_аналитики'!H2584,MeanMinAge15)))</f>
        <v/>
      </c>
      <c r="I2530">
        <f>IF(OR(('06_Сеть_и_дети'!I67-'06_Сеть_и_дети'!I95)=0,15&lt;='01_Вводные'!$B$297),0,('06_Сеть_и_дети'!I67-'06_Сеть_и_дети'!I95)*IF('01_Вводные'!$B$239="Да",MeanMinAge15+'19_Расчет_аналитики'!I2584*SUMIF(ThresholdAge15,"&lt;"&amp;'19_Расчет_аналитики'!I2584,WeightedRevAge15)-SUMIF(ThresholdAge15,"&lt;"&amp;'19_Расчет_аналитики'!I2584,WeightedMinAge15),MAX(CapacityAge15*'01_Вводные'!$B$218*'19_Расчет_аналитики'!I2584,MeanMinAge15)))</f>
        <v/>
      </c>
      <c r="J2530">
        <f>IF(OR(('06_Сеть_и_дети'!J67-'06_Сеть_и_дети'!J95)=0,15&lt;='01_Вводные'!$B$297),0,('06_Сеть_и_дети'!J67-'06_Сеть_и_дети'!J95)*IF('01_Вводные'!$B$239="Да",MeanMinAge15+'19_Расчет_аналитики'!J2584*SUMIF(ThresholdAge15,"&lt;"&amp;'19_Расчет_аналитики'!J2584,WeightedRevAge15)-SUMIF(ThresholdAge15,"&lt;"&amp;'19_Расчет_аналитики'!J2584,WeightedMinAge15),MAX(CapacityAge15*'01_Вводные'!$B$218*'19_Расчет_аналитики'!J2584,MeanMinAge15)))</f>
        <v/>
      </c>
      <c r="K2530">
        <f>IF(OR(('06_Сеть_и_дети'!K67-'06_Сеть_и_дети'!K95)=0,15&lt;='01_Вводные'!$B$297),0,('06_Сеть_и_дети'!K67-'06_Сеть_и_дети'!K95)*IF('01_Вводные'!$B$239="Да",MeanMinAge15+'19_Расчет_аналитики'!K2584*SUMIF(ThresholdAge15,"&lt;"&amp;'19_Расчет_аналитики'!K2584,WeightedRevAge15)-SUMIF(ThresholdAge15,"&lt;"&amp;'19_Расчет_аналитики'!K2584,WeightedMinAge15),MAX(CapacityAge15*'01_Вводные'!$B$218*'19_Расчет_аналитики'!K2584,MeanMinAge15)))</f>
        <v/>
      </c>
      <c r="L2530">
        <f>IF(OR(('06_Сеть_и_дети'!L67-'06_Сеть_и_дети'!L95)=0,15&lt;='01_Вводные'!$B$297),0,('06_Сеть_и_дети'!L67-'06_Сеть_и_дети'!L95)*IF('01_Вводные'!$B$239="Да",MeanMinAge15+'19_Расчет_аналитики'!L2584*SUMIF(ThresholdAge15,"&lt;"&amp;'19_Расчет_аналитики'!L2584,WeightedRevAge15)-SUMIF(ThresholdAge15,"&lt;"&amp;'19_Расчет_аналитики'!L2584,WeightedMinAge15),MAX(CapacityAge15*'01_Вводные'!$B$218*'19_Расчет_аналитики'!L2584,MeanMinAge15)))</f>
        <v/>
      </c>
      <c r="M2530">
        <f>IF(OR(('06_Сеть_и_дети'!M67-'06_Сеть_и_дети'!M95)=0,15&lt;='01_Вводные'!$B$297),0,('06_Сеть_и_дети'!M67-'06_Сеть_и_дети'!M95)*IF('01_Вводные'!$B$239="Да",MeanMinAge15+'19_Расчет_аналитики'!M2584*SUMIF(ThresholdAge15,"&lt;"&amp;'19_Расчет_аналитики'!M2584,WeightedRevAge15)-SUMIF(ThresholdAge15,"&lt;"&amp;'19_Расчет_аналитики'!M2584,WeightedMinAge15),MAX(CapacityAge15*'01_Вводные'!$B$218*'19_Расчет_аналитики'!M2584,MeanMinAge15)))</f>
        <v/>
      </c>
      <c r="N2530">
        <f>IF(OR(('06_Сеть_и_дети'!N67-'06_Сеть_и_дети'!N95)=0,15&lt;='01_Вводные'!$B$297),0,('06_Сеть_и_дети'!N67-'06_Сеть_и_дети'!N95)*IF('01_Вводные'!$B$239="Да",MeanMinAge15+'19_Расчет_аналитики'!N2584*SUMIF(ThresholdAge15,"&lt;"&amp;'19_Расчет_аналитики'!N2584,WeightedRevAge15)-SUMIF(ThresholdAge15,"&lt;"&amp;'19_Расчет_аналитики'!N2584,WeightedMinAge15),MAX(CapacityAge15*'01_Вводные'!$B$218*'19_Расчет_аналитики'!N2584,MeanMinAge15)))</f>
        <v/>
      </c>
      <c r="O2530">
        <f>IF(OR(('06_Сеть_и_дети'!O67-'06_Сеть_и_дети'!O95)=0,15&lt;='01_Вводные'!$B$297),0,('06_Сеть_и_дети'!O67-'06_Сеть_и_дети'!O95)*IF('01_Вводные'!$B$239="Да",MeanMinAge15+'19_Расчет_аналитики'!O2584*SUMIF(ThresholdAge15,"&lt;"&amp;'19_Расчет_аналитики'!O2584,WeightedRevAge15)-SUMIF(ThresholdAge15,"&lt;"&amp;'19_Расчет_аналитики'!O2584,WeightedMinAge15),MAX(CapacityAge15*'01_Вводные'!$B$218*'19_Расчет_аналитики'!O2584,MeanMinAge15)))</f>
        <v/>
      </c>
      <c r="P2530">
        <f>IF(OR(('19_Расчет_аналитики'!P2446-'19_Расчет_аналитики'!P2474)=0,15&lt;='01_Вводные'!$B$297),0,('19_Расчет_аналитики'!P2446-'19_Расчет_аналитики'!P2474)*IF('01_Вводные'!$B$239="Да",MeanMinAge15+'19_Расчет_аналитики'!P2584*SUMIF(ThresholdAge15,"&lt;"&amp;'19_Расчет_аналитики'!P2584,WeightedRevAge15)-SUMIF(ThresholdAge15,"&lt;"&amp;'19_Расчет_аналитики'!P2584,WeightedMinAge15),MAX(CapacityAge15*'01_Вводные'!$B$218*'19_Расчет_аналитики'!P2584,MeanMinAge15)))</f>
        <v/>
      </c>
      <c r="Q2530">
        <f>IF(OR(('19_Расчет_аналитики'!Q2446-'19_Расчет_аналитики'!Q2474)=0,15&lt;='01_Вводные'!$B$297),0,('19_Расчет_аналитики'!Q2446-'19_Расчет_аналитики'!Q2474)*IF('01_Вводные'!$B$239="Да",MeanMinAge15+'19_Расчет_аналитики'!Q2584*SUMIF(ThresholdAge15,"&lt;"&amp;'19_Расчет_аналитики'!Q2584,WeightedRevAge15)-SUMIF(ThresholdAge15,"&lt;"&amp;'19_Расчет_аналитики'!Q2584,WeightedMinAge15),MAX(CapacityAge15*'01_Вводные'!$B$218*'19_Расчет_аналитики'!Q2584,MeanMinAge15)))</f>
        <v/>
      </c>
      <c r="R2530">
        <f>IF(OR(('19_Расчет_аналитики'!R2446-'19_Расчет_аналитики'!R2474)=0,15&lt;='01_Вводные'!$B$297),0,('19_Расчет_аналитики'!R2446-'19_Расчет_аналитики'!R2474)*IF('01_Вводные'!$B$239="Да",MeanMinAge15+'19_Расчет_аналитики'!R2584*SUMIF(ThresholdAge15,"&lt;"&amp;'19_Расчет_аналитики'!R2584,WeightedRevAge15)-SUMIF(ThresholdAge15,"&lt;"&amp;'19_Расчет_аналитики'!R2584,WeightedMinAge15),MAX(CapacityAge15*'01_Вводные'!$B$218*'19_Расчет_аналитики'!R2584,MeanMinAge15)))</f>
        <v/>
      </c>
      <c r="S2530">
        <f>IF(OR(('19_Расчет_аналитики'!S2446-'19_Расчет_аналитики'!S2474)=0,15&lt;='01_Вводные'!$B$297),0,('19_Расчет_аналитики'!S2446-'19_Расчет_аналитики'!S2474)*IF('01_Вводные'!$B$239="Да",MeanMinAge15+'19_Расчет_аналитики'!S2584*SUMIF(ThresholdAge15,"&lt;"&amp;'19_Расчет_аналитики'!S2584,WeightedRevAge15)-SUMIF(ThresholdAge15,"&lt;"&amp;'19_Расчет_аналитики'!S2584,WeightedMinAge15),MAX(CapacityAge15*'01_Вводные'!$B$218*'19_Расчет_аналитики'!S2584,MeanMinAge15)))</f>
        <v/>
      </c>
      <c r="T2530">
        <f>IF(OR(('19_Расчет_аналитики'!T2446-'19_Расчет_аналитики'!T2474)=0,15&lt;='01_Вводные'!$B$297),0,('19_Расчет_аналитики'!T2446-'19_Расчет_аналитики'!T2474)*IF('01_Вводные'!$B$239="Да",MeanMinAge15+'19_Расчет_аналитики'!T2584*SUMIF(ThresholdAge15,"&lt;"&amp;'19_Расчет_аналитики'!T2584,WeightedRevAge15)-SUMIF(ThresholdAge15,"&lt;"&amp;'19_Расчет_аналитики'!T2584,WeightedMinAge15),MAX(CapacityAge15*'01_Вводные'!$B$218*'19_Расчет_аналитики'!T2584,MeanMinAge15)))</f>
        <v/>
      </c>
      <c r="U2530">
        <f>IF(OR(('19_Расчет_аналитики'!U2446-'19_Расчет_аналитики'!U2474)=0,15&lt;='01_Вводные'!$B$297),0,('19_Расчет_аналитики'!U2446-'19_Расчет_аналитики'!U2474)*IF('01_Вводные'!$B$239="Да",MeanMinAge15+'19_Расчет_аналитики'!U2584*SUMIF(ThresholdAge15,"&lt;"&amp;'19_Расчет_аналитики'!U2584,WeightedRevAge15)-SUMIF(ThresholdAge15,"&lt;"&amp;'19_Расчет_аналитики'!U2584,WeightedMinAge15),MAX(CapacityAge15*'01_Вводные'!$B$218*'19_Расчет_аналитики'!U2584,MeanMinAge15)))</f>
        <v/>
      </c>
      <c r="V2530">
        <f>IF(OR(('19_Расчет_аналитики'!V2446-'19_Расчет_аналитики'!V2474)=0,15&lt;='01_Вводные'!$B$297),0,('19_Расчет_аналитики'!V2446-'19_Расчет_аналитики'!V2474)*IF('01_Вводные'!$B$239="Да",MeanMinAge15+'19_Расчет_аналитики'!V2584*SUMIF(ThresholdAge15,"&lt;"&amp;'19_Расчет_аналитики'!V2584,WeightedRevAge15)-SUMIF(ThresholdAge15,"&lt;"&amp;'19_Расчет_аналитики'!V2584,WeightedMinAge15),MAX(CapacityAge15*'01_Вводные'!$B$218*'19_Расчет_аналитики'!V2584,MeanMinAge15)))</f>
        <v/>
      </c>
      <c r="W2530">
        <f>IF(OR(('19_Расчет_аналитики'!W2446-'19_Расчет_аналитики'!W2474)=0,15&lt;='01_Вводные'!$B$297),0,('19_Расчет_аналитики'!W2446-'19_Расчет_аналитики'!W2474)*IF('01_Вводные'!$B$239="Да",MeanMinAge15+'19_Расчет_аналитики'!W2584*SUMIF(ThresholdAge15,"&lt;"&amp;'19_Расчет_аналитики'!W2584,WeightedRevAge15)-SUMIF(ThresholdAge15,"&lt;"&amp;'19_Расчет_аналитики'!W2584,WeightedMinAge15),MAX(CapacityAge15*'01_Вводные'!$B$218*'19_Расчет_аналитики'!W2584,MeanMinAge15)))</f>
        <v/>
      </c>
      <c r="X2530">
        <f>IF(OR(('19_Расчет_аналитики'!X2446-'19_Расчет_аналитики'!X2474)=0,15&lt;='01_Вводные'!$B$297),0,('19_Расчет_аналитики'!X2446-'19_Расчет_аналитики'!X2474)*IF('01_Вводные'!$B$239="Да",MeanMinAge15+'19_Расчет_аналитики'!X2584*SUMIF(ThresholdAge15,"&lt;"&amp;'19_Расчет_аналитики'!X2584,WeightedRevAge15)-SUMIF(ThresholdAge15,"&lt;"&amp;'19_Расчет_аналитики'!X2584,WeightedMinAge15),MAX(CapacityAge15*'01_Вводные'!$B$218*'19_Расчет_аналитики'!X2584,MeanMinAge15)))</f>
        <v/>
      </c>
      <c r="Y2530">
        <f>IF(OR(('19_Расчет_аналитики'!Y2446-'19_Расчет_аналитики'!Y2474)=0,15&lt;='01_Вводные'!$B$297),0,('19_Расчет_аналитики'!Y2446-'19_Расчет_аналитики'!Y2474)*IF('01_Вводные'!$B$239="Да",MeanMinAge15+'19_Расчет_аналитики'!Y2584*SUMIF(ThresholdAge15,"&lt;"&amp;'19_Расчет_аналитики'!Y2584,WeightedRevAge15)-SUMIF(ThresholdAge15,"&lt;"&amp;'19_Расчет_аналитики'!Y2584,WeightedMinAge15),MAX(CapacityAge15*'01_Вводные'!$B$218*'19_Расчет_аналитики'!Y2584,MeanMinAge15)))</f>
        <v/>
      </c>
      <c r="Z2530">
        <f>IF(OR(('19_Расчет_аналитики'!Z2446-'19_Расчет_аналитики'!Z2474)=0,15&lt;='01_Вводные'!$B$297),0,('19_Расчет_аналитики'!Z2446-'19_Расчет_аналитики'!Z2474)*IF('01_Вводные'!$B$239="Да",MeanMinAge15+'19_Расчет_аналитики'!Z2584*SUMIF(ThresholdAge15,"&lt;"&amp;'19_Расчет_аналитики'!Z2584,WeightedRevAge15)-SUMIF(ThresholdAge15,"&lt;"&amp;'19_Расчет_аналитики'!Z2584,WeightedMinAge15),MAX(CapacityAge15*'01_Вводные'!$B$218*'19_Расчет_аналитики'!Z2584,MeanMinAge15)))</f>
        <v/>
      </c>
      <c r="AA2530">
        <f>IF(OR(('19_Расчет_аналитики'!AA2446-'19_Расчет_аналитики'!AA2474)=0,15&lt;='01_Вводные'!$B$297),0,('19_Расчет_аналитики'!AA2446-'19_Расчет_аналитики'!AA2474)*IF('01_Вводные'!$B$239="Да",MeanMinAge15+'19_Расчет_аналитики'!AA2584*SUMIF(ThresholdAge15,"&lt;"&amp;'19_Расчет_аналитики'!AA2584,WeightedRevAge15)-SUMIF(ThresholdAge15,"&lt;"&amp;'19_Расчет_аналитики'!AA2584,WeightedMinAge15),MAX(CapacityAge15*'01_Вводные'!$B$218*'19_Расчет_аналитики'!AA2584,MeanMinAge15)))</f>
        <v/>
      </c>
      <c r="AB2530">
        <f>IF(OR(('19_Расчет_аналитики'!AB2446-'19_Расчет_аналитики'!AB2474)=0,15&lt;='01_Вводные'!$B$297),0,('19_Расчет_аналитики'!AB2446-'19_Расчет_аналитики'!AB2474)*IF('01_Вводные'!$B$239="Да",MeanMinAge15+'19_Расчет_аналитики'!AB2584*SUMIF(ThresholdAge15,"&lt;"&amp;'19_Расчет_аналитики'!AB2584,WeightedRevAge15)-SUMIF(ThresholdAge15,"&lt;"&amp;'19_Расчет_аналитики'!AB2584,WeightedMinAge15),MAX(CapacityAge15*'01_Вводные'!$B$218*'19_Расчет_аналитики'!AB2584,MeanMinAge15)))</f>
        <v/>
      </c>
      <c r="AC2530">
        <f>IF(OR(('19_Расчет_аналитики'!AC2446-'19_Расчет_аналитики'!AC2474)=0,15&lt;='01_Вводные'!$B$297),0,('19_Расчет_аналитики'!AC2446-'19_Расчет_аналитики'!AC2474)*IF('01_Вводные'!$B$239="Да",MeanMinAge15+'19_Расчет_аналитики'!AC2584*SUMIF(ThresholdAge15,"&lt;"&amp;'19_Расчет_аналитики'!AC2584,WeightedRevAge15)-SUMIF(ThresholdAge15,"&lt;"&amp;'19_Расчет_аналитики'!AC2584,WeightedMinAge15),MAX(CapacityAge15*'01_Вводные'!$B$218*'19_Расчет_аналитики'!AC2584,MeanMinAge15)))</f>
        <v/>
      </c>
      <c r="AD2530">
        <f>IF(OR(('19_Расчет_аналитики'!AD2446-'19_Расчет_аналитики'!AD2474)=0,15&lt;='01_Вводные'!$B$297),0,('19_Расчет_аналитики'!AD2446-'19_Расчет_аналитики'!AD2474)*IF('01_Вводные'!$B$239="Да",MeanMinAge15+'19_Расчет_аналитики'!AD2584*SUMIF(ThresholdAge15,"&lt;"&amp;'19_Расчет_аналитики'!AD2584,WeightedRevAge15)-SUMIF(ThresholdAge15,"&lt;"&amp;'19_Расчет_аналитики'!AD2584,WeightedMinAge15),MAX(CapacityAge15*'01_Вводные'!$B$218*'19_Расчет_аналитики'!AD2584,MeanMinAge15)))</f>
        <v/>
      </c>
      <c r="AE2530">
        <f>IF(OR(('19_Расчет_аналитики'!AE2446-'19_Расчет_аналитики'!AE2474)=0,15&lt;='01_Вводные'!$B$297),0,('19_Расчет_аналитики'!AE2446-'19_Расчет_аналитики'!AE2474)*IF('01_Вводные'!$B$239="Да",MeanMinAge15+'19_Расчет_аналитики'!AE2584*SUMIF(ThresholdAge15,"&lt;"&amp;'19_Расчет_аналитики'!AE2584,WeightedRevAge15)-SUMIF(ThresholdAge15,"&lt;"&amp;'19_Расчет_аналитики'!AE2584,WeightedMinAge15),MAX(CapacityAge15*'01_Вводные'!$B$218*'19_Расчет_аналитики'!AE2584,MeanMinAge15)))</f>
        <v/>
      </c>
      <c r="AF2530">
        <f>IF(OR(('19_Расчет_аналитики'!AF2446-'19_Расчет_аналитики'!AF2474)=0,15&lt;='01_Вводные'!$B$297),0,('19_Расчет_аналитики'!AF2446-'19_Расчет_аналитики'!AF2474)*IF('01_Вводные'!$B$239="Да",MeanMinAge15+'19_Расчет_аналитики'!AF2584*SUMIF(ThresholdAge15,"&lt;"&amp;'19_Расчет_аналитики'!AF2584,WeightedRevAge15)-SUMIF(ThresholdAge15,"&lt;"&amp;'19_Расчет_аналитики'!AF2584,WeightedMinAge15),MAX(CapacityAge15*'01_Вводные'!$B$218*'19_Расчет_аналитики'!AF2584,MeanMinAge15)))</f>
        <v/>
      </c>
      <c r="AG2530">
        <f>IF(OR(('19_Расчет_аналитики'!AG2446-'19_Расчет_аналитики'!AG2474)=0,15&lt;='01_Вводные'!$B$297),0,('19_Расчет_аналитики'!AG2446-'19_Расчет_аналитики'!AG2474)*IF('01_Вводные'!$B$239="Да",MeanMinAge15+'19_Расчет_аналитики'!AG2584*SUMIF(ThresholdAge15,"&lt;"&amp;'19_Расчет_аналитики'!AG2584,WeightedRevAge15)-SUMIF(ThresholdAge15,"&lt;"&amp;'19_Расчет_аналитики'!AG2584,WeightedMinAge15),MAX(CapacityAge15*'01_Вводные'!$B$218*'19_Расчет_аналитики'!AG2584,MeanMinAge15)))</f>
        <v/>
      </c>
      <c r="AH2530">
        <f>IF(OR(('19_Расчет_аналитики'!AH2446-'19_Расчет_аналитики'!AH2474)=0,15&lt;='01_Вводные'!$B$297),0,('19_Расчет_аналитики'!AH2446-'19_Расчет_аналитики'!AH2474)*IF('01_Вводные'!$B$239="Да",MeanMinAge15+'19_Расчет_аналитики'!AH2584*SUMIF(ThresholdAge15,"&lt;"&amp;'19_Расчет_аналитики'!AH2584,WeightedRevAge15)-SUMIF(ThresholdAge15,"&lt;"&amp;'19_Расчет_аналитики'!AH2584,WeightedMinAge15),MAX(CapacityAge15*'01_Вводные'!$B$218*'19_Расчет_аналитики'!AH2584,MeanMinAge15)))</f>
        <v/>
      </c>
      <c r="AI2530">
        <f>IF(OR(('19_Расчет_аналитики'!AI2446-'19_Расчет_аналитики'!AI2474)=0,15&lt;='01_Вводные'!$B$297),0,('19_Расчет_аналитики'!AI2446-'19_Расчет_аналитики'!AI2474)*IF('01_Вводные'!$B$239="Да",MeanMinAge15+'19_Расчет_аналитики'!AI2584*SUMIF(ThresholdAge15,"&lt;"&amp;'19_Расчет_аналитики'!AI2584,WeightedRevAge15)-SUMIF(ThresholdAge15,"&lt;"&amp;'19_Расчет_аналитики'!AI2584,WeightedMinAge15),MAX(CapacityAge15*'01_Вводные'!$B$218*'19_Расчет_аналитики'!AI2584,MeanMinAge15)))</f>
        <v/>
      </c>
      <c r="AJ2530">
        <f>IF(OR(('19_Расчет_аналитики'!AJ2446-'19_Расчет_аналитики'!AJ2474)=0,15&lt;='01_Вводные'!$B$297),0,('19_Расчет_аналитики'!AJ2446-'19_Расчет_аналитики'!AJ2474)*IF('01_Вводные'!$B$239="Да",MeanMinAge15+'19_Расчет_аналитики'!AJ2584*SUMIF(ThresholdAge15,"&lt;"&amp;'19_Расчет_аналитики'!AJ2584,WeightedRevAge15)-SUMIF(ThresholdAge15,"&lt;"&amp;'19_Расчет_аналитики'!AJ2584,WeightedMinAge15),MAX(CapacityAge15*'01_Вводные'!$B$218*'19_Расчет_аналитики'!AJ2584,MeanMinAge15)))</f>
        <v/>
      </c>
      <c r="AK2530">
        <f>IF(OR(('19_Расчет_аналитики'!AK2446-'19_Расчет_аналитики'!AK2474)=0,15&lt;='01_Вводные'!$B$297),0,('19_Расчет_аналитики'!AK2446-'19_Расчет_аналитики'!AK2474)*IF('01_Вводные'!$B$239="Да",MeanMinAge15+'19_Расчет_аналитики'!AK2584*SUMIF(ThresholdAge15,"&lt;"&amp;'19_Расчет_аналитики'!AK2584,WeightedRevAge15)-SUMIF(ThresholdAge15,"&lt;"&amp;'19_Расчет_аналитики'!AK2584,WeightedMinAge15),MAX(CapacityAge15*'01_Вводные'!$B$218*'19_Расчет_аналитики'!AK2584,MeanMinAge15)))</f>
        <v/>
      </c>
      <c r="AL2530">
        <f>IF(OR(('19_Расчет_аналитики'!AL2446-'19_Расчет_аналитики'!AL2474)=0,15&lt;='01_Вводные'!$B$297),0,('19_Расчет_аналитики'!AL2446-'19_Расчет_аналитики'!AL2474)*IF('01_Вводные'!$B$239="Да",MeanMinAge15+'19_Расчет_аналитики'!AL2584*SUMIF(ThresholdAge15,"&lt;"&amp;'19_Расчет_аналитики'!AL2584,WeightedRevAge15)-SUMIF(ThresholdAge15,"&lt;"&amp;'19_Расчет_аналитики'!AL2584,WeightedMinAge15),MAX(CapacityAge15*'01_Вводные'!$B$218*'19_Расчет_аналитики'!AL2584,MeanMinAge15)))</f>
        <v/>
      </c>
      <c r="AM2530">
        <f>IF(OR(('19_Расчет_аналитики'!AM2446-'19_Расчет_аналитики'!AM2474)=0,15&lt;='01_Вводные'!$B$297),0,('19_Расчет_аналитики'!AM2446-'19_Расчет_аналитики'!AM2474)*IF('01_Вводные'!$B$239="Да",MeanMinAge15+'19_Расчет_аналитики'!AM2584*SUMIF(ThresholdAge15,"&lt;"&amp;'19_Расчет_аналитики'!AM2584,WeightedRevAge15)-SUMIF(ThresholdAge15,"&lt;"&amp;'19_Расчет_аналитики'!AM2584,WeightedMinAge15),MAX(CapacityAge15*'01_Вводные'!$B$218*'19_Расчет_аналитики'!AM2584,MeanMinAge15)))</f>
        <v/>
      </c>
      <c r="AN2530">
        <f>IF(OR(('19_Расчет_аналитики'!AN2446-'19_Расчет_аналитики'!AN2474)=0,15&lt;='01_Вводные'!$B$297),0,('19_Расчет_аналитики'!AN2446-'19_Расчет_аналитики'!AN2474)*IF('01_Вводные'!$B$239="Да",MeanMinAge15+'19_Расчет_аналитики'!AN2584*SUMIF(ThresholdAge15,"&lt;"&amp;'19_Расчет_аналитики'!AN2584,WeightedRevAge15)-SUMIF(ThresholdAge15,"&lt;"&amp;'19_Расчет_аналитики'!AN2584,WeightedMinAge15),MAX(CapacityAge15*'01_Вводные'!$B$218*'19_Расчет_аналитики'!AN2584,MeanMinAge15)))</f>
        <v/>
      </c>
      <c r="AO2530">
        <f>IF(OR(('19_Расчет_аналитики'!AO2446-'19_Расчет_аналитики'!AO2474)=0,15&lt;='01_Вводные'!$B$297),0,('19_Расчет_аналитики'!AO2446-'19_Расчет_аналитики'!AO2474)*IF('01_Вводные'!$B$239="Да",MeanMinAge15+'19_Расчет_аналитики'!AO2584*SUMIF(ThresholdAge15,"&lt;"&amp;'19_Расчет_аналитики'!AO2584,WeightedRevAge15)-SUMIF(ThresholdAge15,"&lt;"&amp;'19_Расчет_аналитики'!AO2584,WeightedMinAge15),MAX(CapacityAge15*'01_Вводные'!$B$218*'19_Расчет_аналитики'!AO2584,MeanMinAge15)))</f>
        <v/>
      </c>
      <c r="AP2530">
        <f>IF(OR(('19_Расчет_аналитики'!AP2446-'19_Расчет_аналитики'!AP2474)=0,15&lt;='01_Вводные'!$B$297),0,('19_Расчет_аналитики'!AP2446-'19_Расчет_аналитики'!AP2474)*IF('01_Вводные'!$B$239="Да",MeanMinAge15+'19_Расчет_аналитики'!AP2584*SUMIF(ThresholdAge15,"&lt;"&amp;'19_Расчет_аналитики'!AP2584,WeightedRevAge15)-SUMIF(ThresholdAge15,"&lt;"&amp;'19_Расчет_аналитики'!AP2584,WeightedMinAge15),MAX(CapacityAge15*'01_Вводные'!$B$218*'19_Расчет_аналитики'!AP2584,MeanMinAge15)))</f>
        <v/>
      </c>
      <c r="AQ2530">
        <f>IF(OR(('19_Расчет_аналитики'!AQ2446-'19_Расчет_аналитики'!AQ2474)=0,15&lt;='01_Вводные'!$B$297),0,('19_Расчет_аналитики'!AQ2446-'19_Расчет_аналитики'!AQ2474)*IF('01_Вводные'!$B$239="Да",MeanMinAge15+'19_Расчет_аналитики'!AQ2584*SUMIF(ThresholdAge15,"&lt;"&amp;'19_Расчет_аналитики'!AQ2584,WeightedRevAge15)-SUMIF(ThresholdAge15,"&lt;"&amp;'19_Расчет_аналитики'!AQ2584,WeightedMinAge15),MAX(CapacityAge15*'01_Вводные'!$B$218*'19_Расчет_аналитики'!AQ2584,MeanMinAge15)))</f>
        <v/>
      </c>
      <c r="AR2530">
        <f>IF(OR(('19_Расчет_аналитики'!AR2446-'19_Расчет_аналитики'!AR2474)=0,15&lt;='01_Вводные'!$B$297),0,('19_Расчет_аналитики'!AR2446-'19_Расчет_аналитики'!AR2474)*IF('01_Вводные'!$B$239="Да",MeanMinAge15+'19_Расчет_аналитики'!AR2584*SUMIF(ThresholdAge15,"&lt;"&amp;'19_Расчет_аналитики'!AR2584,WeightedRevAge15)-SUMIF(ThresholdAge15,"&lt;"&amp;'19_Расчет_аналитики'!AR2584,WeightedMinAge15),MAX(CapacityAge15*'01_Вводные'!$B$218*'19_Расчет_аналитики'!AR2584,MeanMinAge15)))</f>
        <v/>
      </c>
      <c r="AS2530">
        <f>IF(OR(('19_Расчет_аналитики'!AS2446-'19_Расчет_аналитики'!AS2474)=0,15&lt;='01_Вводные'!$B$297),0,('19_Расчет_аналитики'!AS2446-'19_Расчет_аналитики'!AS2474)*IF('01_Вводные'!$B$239="Да",MeanMinAge15+'19_Расчет_аналитики'!AS2584*SUMIF(ThresholdAge15,"&lt;"&amp;'19_Расчет_аналитики'!AS2584,WeightedRevAge15)-SUMIF(ThresholdAge15,"&lt;"&amp;'19_Расчет_аналитики'!AS2584,WeightedMinAge15),MAX(CapacityAge15*'01_Вводные'!$B$218*'19_Расчет_аналитики'!AS2584,MeanMinAge15)))</f>
        <v/>
      </c>
      <c r="AT2530">
        <f>IF(OR(('19_Расчет_аналитики'!AT2446-'19_Расчет_аналитики'!AT2474)=0,15&lt;='01_Вводные'!$B$297),0,('19_Расчет_аналитики'!AT2446-'19_Расчет_аналитики'!AT2474)*IF('01_Вводные'!$B$239="Да",MeanMinAge15+'19_Расчет_аналитики'!AT2584*SUMIF(ThresholdAge15,"&lt;"&amp;'19_Расчет_аналитики'!AT2584,WeightedRevAge15)-SUMIF(ThresholdAge15,"&lt;"&amp;'19_Расчет_аналитики'!AT2584,WeightedMinAge15),MAX(CapacityAge15*'01_Вводные'!$B$218*'19_Расчет_аналитики'!AT2584,MeanMinAge15)))</f>
        <v/>
      </c>
      <c r="AU2530">
        <f>IF(OR(('19_Расчет_аналитики'!AU2446-'19_Расчет_аналитики'!AU2474)=0,15&lt;='01_Вводные'!$B$297),0,('19_Расчет_аналитики'!AU2446-'19_Расчет_аналитики'!AU2474)*IF('01_Вводные'!$B$239="Да",MeanMinAge15+'19_Расчет_аналитики'!AU2584*SUMIF(ThresholdAge15,"&lt;"&amp;'19_Расчет_аналитики'!AU2584,WeightedRevAge15)-SUMIF(ThresholdAge15,"&lt;"&amp;'19_Расчет_аналитики'!AU2584,WeightedMinAge15),MAX(CapacityAge15*'01_Вводные'!$B$218*'19_Расчет_аналитики'!AU2584,MeanMinAge15)))</f>
        <v/>
      </c>
      <c r="AV2530">
        <f>IF(OR(('19_Расчет_аналитики'!AV2446-'19_Расчет_аналитики'!AV2474)=0,15&lt;='01_Вводные'!$B$297),0,('19_Расчет_аналитики'!AV2446-'19_Расчет_аналитики'!AV2474)*IF('01_Вводные'!$B$239="Да",MeanMinAge15+'19_Расчет_аналитики'!AV2584*SUMIF(ThresholdAge15,"&lt;"&amp;'19_Расчет_аналитики'!AV2584,WeightedRevAge15)-SUMIF(ThresholdAge15,"&lt;"&amp;'19_Расчет_аналитики'!AV2584,WeightedMinAge15),MAX(CapacityAge15*'01_Вводные'!$B$218*'19_Расчет_аналитики'!AV2584,MeanMinAge15)))</f>
        <v/>
      </c>
      <c r="AW2530">
        <f>IF(OR(('19_Расчет_аналитики'!AW2446-'19_Расчет_аналитики'!AW2474)=0,15&lt;='01_Вводные'!$B$297),0,('19_Расчет_аналитики'!AW2446-'19_Расчет_аналитики'!AW2474)*IF('01_Вводные'!$B$239="Да",MeanMinAge15+'19_Расчет_аналитики'!AW2584*SUMIF(ThresholdAge15,"&lt;"&amp;'19_Расчет_аналитики'!AW2584,WeightedRevAge15)-SUMIF(ThresholdAge15,"&lt;"&amp;'19_Расчет_аналитики'!AW2584,WeightedMinAge15),MAX(CapacityAge15*'01_Вводные'!$B$218*'19_Расчет_аналитики'!AW2584,MeanMinAge15)))</f>
        <v/>
      </c>
      <c r="AX2530">
        <f>IF(OR(('19_Расчет_аналитики'!AX2446-'19_Расчет_аналитики'!AX2474)=0,15&lt;='01_Вводные'!$B$297),0,('19_Расчет_аналитики'!AX2446-'19_Расчет_аналитики'!AX2474)*IF('01_Вводные'!$B$239="Да",MeanMinAge15+'19_Расчет_аналитики'!AX2584*SUMIF(ThresholdAge15,"&lt;"&amp;'19_Расчет_аналитики'!AX2584,WeightedRevAge15)-SUMIF(ThresholdAge15,"&lt;"&amp;'19_Расчет_аналитики'!AX2584,WeightedMinAge15),MAX(CapacityAge15*'01_Вводные'!$B$218*'19_Расчет_аналитики'!AX2584,MeanMinAge15)))</f>
        <v/>
      </c>
      <c r="AY2530">
        <f>IF(OR(('19_Расчет_аналитики'!AY2446-'19_Расчет_аналитики'!AY2474)=0,15&lt;='01_Вводные'!$B$297),0,('19_Расчет_аналитики'!AY2446-'19_Расчет_аналитики'!AY2474)*IF('01_Вводные'!$B$239="Да",MeanMinAge15+'19_Расчет_аналитики'!AY2584*SUMIF(ThresholdAge15,"&lt;"&amp;'19_Расчет_аналитики'!AY2584,WeightedRevAge15)-SUMIF(ThresholdAge15,"&lt;"&amp;'19_Расчет_аналитики'!AY2584,WeightedMinAge15),MAX(CapacityAge15*'01_Вводные'!$B$218*'19_Расчет_аналитики'!AY2584,MeanMinAge15)))</f>
        <v/>
      </c>
      <c r="AZ2530">
        <f>IF(OR(('19_Расчет_аналитики'!AZ2446-'19_Расчет_аналитики'!AZ2474)=0,15&lt;='01_Вводные'!$B$297),0,('19_Расчет_аналитики'!AZ2446-'19_Расчет_аналитики'!AZ2474)*IF('01_Вводные'!$B$239="Да",MeanMinAge15+'19_Расчет_аналитики'!AZ2584*SUMIF(ThresholdAge15,"&lt;"&amp;'19_Расчет_аналитики'!AZ2584,WeightedRevAge15)-SUMIF(ThresholdAge15,"&lt;"&amp;'19_Расчет_аналитики'!AZ2584,WeightedMinAge15),MAX(CapacityAge15*'01_Вводные'!$B$218*'19_Расчет_аналитики'!AZ2584,MeanMinAge15)))</f>
        <v/>
      </c>
      <c r="BA2530">
        <f>IF(OR(('19_Расчет_аналитики'!BA2446-'19_Расчет_аналитики'!BA2474)=0,15&lt;='01_Вводные'!$B$297),0,('19_Расчет_аналитики'!BA2446-'19_Расчет_аналитики'!BA2474)*IF('01_Вводные'!$B$239="Да",MeanMinAge15+'19_Расчет_аналитики'!BA2584*SUMIF(ThresholdAge15,"&lt;"&amp;'19_Расчет_аналитики'!BA2584,WeightedRevAge15)-SUMIF(ThresholdAge15,"&lt;"&amp;'19_Расчет_аналитики'!BA2584,WeightedMinAge15),MAX(CapacityAge15*'01_Вводные'!$B$218*'19_Расчет_аналитики'!BA2584,MeanMinAge15)))</f>
        <v/>
      </c>
      <c r="BB2530">
        <f>IF(OR(('19_Расчет_аналитики'!BB2446-'19_Расчет_аналитики'!BB2474)=0,15&lt;='01_Вводные'!$B$297),0,('19_Расчет_аналитики'!BB2446-'19_Расчет_аналитики'!BB2474)*IF('01_Вводные'!$B$239="Да",MeanMinAge15+'19_Расчет_аналитики'!BB2584*SUMIF(ThresholdAge15,"&lt;"&amp;'19_Расчет_аналитики'!BB2584,WeightedRevAge15)-SUMIF(ThresholdAge15,"&lt;"&amp;'19_Расчет_аналитики'!BB2584,WeightedMinAge15),MAX(CapacityAge15*'01_Вводные'!$B$218*'19_Расчет_аналитики'!BB2584,MeanMinAge15)))</f>
        <v/>
      </c>
      <c r="BC2530">
        <f>IF(OR(('19_Расчет_аналитики'!BC2446-'19_Расчет_аналитики'!BC2474)=0,15&lt;='01_Вводные'!$B$297),0,('19_Расчет_аналитики'!BC2446-'19_Расчет_аналитики'!BC2474)*IF('01_Вводные'!$B$239="Да",MeanMinAge15+'19_Расчет_аналитики'!BC2584*SUMIF(ThresholdAge15,"&lt;"&amp;'19_Расчет_аналитики'!BC2584,WeightedRevAge15)-SUMIF(ThresholdAge15,"&lt;"&amp;'19_Расчет_аналитики'!BC2584,WeightedMinAge15),MAX(CapacityAge15*'01_Вводные'!$B$218*'19_Расчет_аналитики'!BC2584,MeanMinAge15)))</f>
        <v/>
      </c>
      <c r="BD2530">
        <f>IF(OR(('19_Расчет_аналитики'!BD2446-'19_Расчет_аналитики'!BD2474)=0,15&lt;='01_Вводные'!$B$297),0,('19_Расчет_аналитики'!BD2446-'19_Расчет_аналитики'!BD2474)*IF('01_Вводные'!$B$239="Да",MeanMinAge15+'19_Расчет_аналитики'!BD2584*SUMIF(ThresholdAge15,"&lt;"&amp;'19_Расчет_аналитики'!BD2584,WeightedRevAge15)-SUMIF(ThresholdAge15,"&lt;"&amp;'19_Расчет_аналитики'!BD2584,WeightedMinAge15),MAX(CapacityAge15*'01_Вводные'!$B$218*'19_Расчет_аналитики'!BD2584,MeanMinAge15)))</f>
        <v/>
      </c>
      <c r="BE2530">
        <f>IF(OR(('19_Расчет_аналитики'!BE2446-'19_Расчет_аналитики'!BE2474)=0,15&lt;='01_Вводные'!$B$297),0,('19_Расчет_аналитики'!BE2446-'19_Расчет_аналитики'!BE2474)*IF('01_Вводные'!$B$239="Да",MeanMinAge15+'19_Расчет_аналитики'!BE2584*SUMIF(ThresholdAge15,"&lt;"&amp;'19_Расчет_аналитики'!BE2584,WeightedRevAge15)-SUMIF(ThresholdAge15,"&lt;"&amp;'19_Расчет_аналитики'!BE2584,WeightedMinAge15),MAX(CapacityAge15*'01_Вводные'!$B$218*'19_Расчет_аналитики'!BE2584,MeanMinAge15)))</f>
        <v/>
      </c>
      <c r="BF2530">
        <f>IF(OR(('19_Расчет_аналитики'!BF2446-'19_Расчет_аналитики'!BF2474)=0,15&lt;='01_Вводные'!$B$297),0,('19_Расчет_аналитики'!BF2446-'19_Расчет_аналитики'!BF2474)*IF('01_Вводные'!$B$239="Да",MeanMinAge15+'19_Расчет_аналитики'!BF2584*SUMIF(ThresholdAge15,"&lt;"&amp;'19_Расчет_аналитики'!BF2584,WeightedRevAge15)-SUMIF(ThresholdAge15,"&lt;"&amp;'19_Расчет_аналитики'!BF2584,WeightedMinAge15),MAX(CapacityAge15*'01_Вводные'!$B$218*'19_Расчет_аналитики'!BF2584,MeanMinAge15)))</f>
        <v/>
      </c>
      <c r="BG2530">
        <f>IF(OR(('19_Расчет_аналитики'!BG2446-'19_Расчет_аналитики'!BG2474)=0,15&lt;='01_Вводные'!$B$297),0,('19_Расчет_аналитики'!BG2446-'19_Расчет_аналитики'!BG2474)*IF('01_Вводные'!$B$239="Да",MeanMinAge15+'19_Расчет_аналитики'!BG2584*SUMIF(ThresholdAge15,"&lt;"&amp;'19_Расчет_аналитики'!BG2584,WeightedRevAge15)-SUMIF(ThresholdAge15,"&lt;"&amp;'19_Расчет_аналитики'!BG2584,WeightedMinAge15),MAX(CapacityAge15*'01_Вводные'!$B$218*'19_Расчет_аналитики'!BG2584,MeanMinAge15)))</f>
        <v/>
      </c>
      <c r="BH2530">
        <f>IF(OR(('19_Расчет_аналитики'!BH2446-'19_Расчет_аналитики'!BH2474)=0,15&lt;='01_Вводные'!$B$297),0,('19_Расчет_аналитики'!BH2446-'19_Расчет_аналитики'!BH2474)*IF('01_Вводные'!$B$239="Да",MeanMinAge15+'19_Расчет_аналитики'!BH2584*SUMIF(ThresholdAge15,"&lt;"&amp;'19_Расчет_аналитики'!BH2584,WeightedRevAge15)-SUMIF(ThresholdAge15,"&lt;"&amp;'19_Расчет_аналитики'!BH2584,WeightedMinAge15),MAX(CapacityAge15*'01_Вводные'!$B$218*'19_Расчет_аналитики'!BH2584,MeanMinAge15)))</f>
        <v/>
      </c>
      <c r="BI2530">
        <f>IF(OR(('19_Расчет_аналитики'!BI2446-'19_Расчет_аналитики'!BI2474)=0,15&lt;='01_Вводные'!$B$297),0,('19_Расчет_аналитики'!BI2446-'19_Расчет_аналитики'!BI2474)*IF('01_Вводные'!$B$239="Да",MeanMinAge15+'19_Расчет_аналитики'!BI2584*SUMIF(ThresholdAge15,"&lt;"&amp;'19_Расчет_аналитики'!BI2584,WeightedRevAge15)-SUMIF(ThresholdAge15,"&lt;"&amp;'19_Расчет_аналитики'!BI2584,WeightedMinAge15),MAX(CapacityAge15*'01_Вводные'!$B$218*'19_Расчет_аналитики'!BI2584,MeanMinAge15)))</f>
        <v/>
      </c>
      <c r="BJ2530">
        <f>IF(OR(('19_Расчет_аналитики'!BJ2446-'19_Расчет_аналитики'!BJ2474)=0,15&lt;='01_Вводные'!$B$297),0,('19_Расчет_аналитики'!BJ2446-'19_Расчет_аналитики'!BJ2474)*IF('01_Вводные'!$B$239="Да",MeanMinAge15+'19_Расчет_аналитики'!BJ2584*SUMIF(ThresholdAge15,"&lt;"&amp;'19_Расчет_аналитики'!BJ2584,WeightedRevAge15)-SUMIF(ThresholdAge15,"&lt;"&amp;'19_Расчет_аналитики'!BJ2584,WeightedMinAge15),MAX(CapacityAge15*'01_Вводные'!$B$218*'19_Расчет_аналитики'!BJ2584,MeanMinAge15)))</f>
        <v/>
      </c>
      <c r="BK2530">
        <f>IF(OR(('19_Расчет_аналитики'!BK2446-'19_Расчет_аналитики'!BK2474)=0,15&lt;='01_Вводные'!$B$297),0,('19_Расчет_аналитики'!BK2446-'19_Расчет_аналитики'!BK2474)*IF('01_Вводные'!$B$239="Да",MeanMinAge15+'19_Расчет_аналитики'!BK2584*SUMIF(ThresholdAge15,"&lt;"&amp;'19_Расчет_аналитики'!BK2584,WeightedRevAge15)-SUMIF(ThresholdAge15,"&lt;"&amp;'19_Расчет_аналитики'!BK2584,WeightedMinAge15),MAX(CapacityAge15*'01_Вводные'!$B$218*'19_Расчет_аналитики'!BK2584,MeanMinAge15)))</f>
        <v/>
      </c>
      <c r="BL2530">
        <f>IF(OR(('19_Расчет_аналитики'!BL2446-'19_Расчет_аналитики'!BL2474)=0,15&lt;='01_Вводные'!$B$297),0,('19_Расчет_аналитики'!BL2446-'19_Расчет_аналитики'!BL2474)*IF('01_Вводные'!$B$239="Да",MeanMinAge15+'19_Расчет_аналитики'!BL2584*SUMIF(ThresholdAge15,"&lt;"&amp;'19_Расчет_аналитики'!BL2584,WeightedRevAge15)-SUMIF(ThresholdAge15,"&lt;"&amp;'19_Расчет_аналитики'!BL2584,WeightedMinAge15),MAX(CapacityAge15*'01_Вводные'!$B$218*'19_Расчет_аналитики'!BL2584,MeanMinAge15)))</f>
        <v/>
      </c>
      <c r="BM2530">
        <f>IF(OR(('19_Расчет_аналитики'!BM2446-'19_Расчет_аналитики'!BM2474)=0,15&lt;='01_Вводные'!$B$297),0,('19_Расчет_аналитики'!BM2446-'19_Расчет_аналитики'!BM2474)*IF('01_Вводные'!$B$239="Да",MeanMinAge15+'19_Расчет_аналитики'!BM2584*SUMIF(ThresholdAge15,"&lt;"&amp;'19_Расчет_аналитики'!BM2584,WeightedRevAge15)-SUMIF(ThresholdAge15,"&lt;"&amp;'19_Расчет_аналитики'!BM2584,WeightedMinAge15),MAX(CapacityAge15*'01_Вводные'!$B$218*'19_Расчет_аналитики'!BM2584,MeanMinAge15)))</f>
        <v/>
      </c>
      <c r="BN2530">
        <f>IF(OR(('19_Расчет_аналитики'!BN2446-'19_Расчет_аналитики'!BN2474)=0,15&lt;='01_Вводные'!$B$297),0,('19_Расчет_аналитики'!BN2446-'19_Расчет_аналитики'!BN2474)*IF('01_Вводные'!$B$239="Да",MeanMinAge15+'19_Расчет_аналитики'!BN2584*SUMIF(ThresholdAge15,"&lt;"&amp;'19_Расчет_аналитики'!BN2584,WeightedRevAge15)-SUMIF(ThresholdAge15,"&lt;"&amp;'19_Расчет_аналитики'!BN2584,WeightedMinAge15),MAX(CapacityAge15*'01_Вводные'!$B$218*'19_Расчет_аналитики'!BN2584,MeanMinAge15)))</f>
        <v/>
      </c>
      <c r="BO2530">
        <f>IF(OR(('19_Расчет_аналитики'!BO2446-'19_Расчет_аналитики'!BO2474)=0,15&lt;='01_Вводные'!$B$297),0,('19_Расчет_аналитики'!BO2446-'19_Расчет_аналитики'!BO2474)*IF('01_Вводные'!$B$239="Да",MeanMinAge15+'19_Расчет_аналитики'!BO2584*SUMIF(ThresholdAge15,"&lt;"&amp;'19_Расчет_аналитики'!BO2584,WeightedRevAge15)-SUMIF(ThresholdAge15,"&lt;"&amp;'19_Расчет_аналитики'!BO2584,WeightedMinAge15),MAX(CapacityAge15*'01_Вводные'!$B$218*'19_Расчет_аналитики'!BO2584,MeanMinAge15)))</f>
        <v/>
      </c>
    </row>
    <row r="2531">
      <c r="B2531">
        <f>IF(OR(('06_Сеть_и_дети'!B68-'06_Сеть_и_дети'!B96)=0,16&lt;='01_Вводные'!$B$297),0,('06_Сеть_и_дети'!B68-'06_Сеть_и_дети'!B96)*IF('01_Вводные'!$B$239="Да",MeanMinAge16+'19_Расчет_аналитики'!B2584*SUMIF(ThresholdAge16,"&lt;"&amp;'19_Расчет_аналитики'!B2584,WeightedRevAge16)-SUMIF(ThresholdAge16,"&lt;"&amp;'19_Расчет_аналитики'!B2584,WeightedMinAge16),MAX(CapacityAge16*'01_Вводные'!$B$218*'19_Расчет_аналитики'!B2584,MeanMinAge16)))</f>
        <v/>
      </c>
      <c r="C2531">
        <f>IF(OR(('06_Сеть_и_дети'!C68-'06_Сеть_и_дети'!C96)=0,16&lt;='01_Вводные'!$B$297),0,('06_Сеть_и_дети'!C68-'06_Сеть_и_дети'!C96)*IF('01_Вводные'!$B$239="Да",MeanMinAge16+'19_Расчет_аналитики'!C2584*SUMIF(ThresholdAge16,"&lt;"&amp;'19_Расчет_аналитики'!C2584,WeightedRevAge16)-SUMIF(ThresholdAge16,"&lt;"&amp;'19_Расчет_аналитики'!C2584,WeightedMinAge16),MAX(CapacityAge16*'01_Вводные'!$B$218*'19_Расчет_аналитики'!C2584,MeanMinAge16)))</f>
        <v/>
      </c>
      <c r="D2531">
        <f>IF(OR(('06_Сеть_и_дети'!D68-'06_Сеть_и_дети'!D96)=0,16&lt;='01_Вводные'!$B$297),0,('06_Сеть_и_дети'!D68-'06_Сеть_и_дети'!D96)*IF('01_Вводные'!$B$239="Да",MeanMinAge16+'19_Расчет_аналитики'!D2584*SUMIF(ThresholdAge16,"&lt;"&amp;'19_Расчет_аналитики'!D2584,WeightedRevAge16)-SUMIF(ThresholdAge16,"&lt;"&amp;'19_Расчет_аналитики'!D2584,WeightedMinAge16),MAX(CapacityAge16*'01_Вводные'!$B$218*'19_Расчет_аналитики'!D2584,MeanMinAge16)))</f>
        <v/>
      </c>
      <c r="E2531">
        <f>IF(OR(('06_Сеть_и_дети'!E68-'06_Сеть_и_дети'!E96)=0,16&lt;='01_Вводные'!$B$297),0,('06_Сеть_и_дети'!E68-'06_Сеть_и_дети'!E96)*IF('01_Вводные'!$B$239="Да",MeanMinAge16+'19_Расчет_аналитики'!E2584*SUMIF(ThresholdAge16,"&lt;"&amp;'19_Расчет_аналитики'!E2584,WeightedRevAge16)-SUMIF(ThresholdAge16,"&lt;"&amp;'19_Расчет_аналитики'!E2584,WeightedMinAge16),MAX(CapacityAge16*'01_Вводные'!$B$218*'19_Расчет_аналитики'!E2584,MeanMinAge16)))</f>
        <v/>
      </c>
      <c r="F2531">
        <f>IF(OR(('06_Сеть_и_дети'!F68-'06_Сеть_и_дети'!F96)=0,16&lt;='01_Вводные'!$B$297),0,('06_Сеть_и_дети'!F68-'06_Сеть_и_дети'!F96)*IF('01_Вводные'!$B$239="Да",MeanMinAge16+'19_Расчет_аналитики'!F2584*SUMIF(ThresholdAge16,"&lt;"&amp;'19_Расчет_аналитики'!F2584,WeightedRevAge16)-SUMIF(ThresholdAge16,"&lt;"&amp;'19_Расчет_аналитики'!F2584,WeightedMinAge16),MAX(CapacityAge16*'01_Вводные'!$B$218*'19_Расчет_аналитики'!F2584,MeanMinAge16)))</f>
        <v/>
      </c>
      <c r="G2531">
        <f>IF(OR(('06_Сеть_и_дети'!G68-'06_Сеть_и_дети'!G96)=0,16&lt;='01_Вводные'!$B$297),0,('06_Сеть_и_дети'!G68-'06_Сеть_и_дети'!G96)*IF('01_Вводные'!$B$239="Да",MeanMinAge16+'19_Расчет_аналитики'!G2584*SUMIF(ThresholdAge16,"&lt;"&amp;'19_Расчет_аналитики'!G2584,WeightedRevAge16)-SUMIF(ThresholdAge16,"&lt;"&amp;'19_Расчет_аналитики'!G2584,WeightedMinAge16),MAX(CapacityAge16*'01_Вводные'!$B$218*'19_Расчет_аналитики'!G2584,MeanMinAge16)))</f>
        <v/>
      </c>
      <c r="H2531">
        <f>IF(OR(('06_Сеть_и_дети'!H68-'06_Сеть_и_дети'!H96)=0,16&lt;='01_Вводные'!$B$297),0,('06_Сеть_и_дети'!H68-'06_Сеть_и_дети'!H96)*IF('01_Вводные'!$B$239="Да",MeanMinAge16+'19_Расчет_аналитики'!H2584*SUMIF(ThresholdAge16,"&lt;"&amp;'19_Расчет_аналитики'!H2584,WeightedRevAge16)-SUMIF(ThresholdAge16,"&lt;"&amp;'19_Расчет_аналитики'!H2584,WeightedMinAge16),MAX(CapacityAge16*'01_Вводные'!$B$218*'19_Расчет_аналитики'!H2584,MeanMinAge16)))</f>
        <v/>
      </c>
      <c r="I2531">
        <f>IF(OR(('06_Сеть_и_дети'!I68-'06_Сеть_и_дети'!I96)=0,16&lt;='01_Вводные'!$B$297),0,('06_Сеть_и_дети'!I68-'06_Сеть_и_дети'!I96)*IF('01_Вводные'!$B$239="Да",MeanMinAge16+'19_Расчет_аналитики'!I2584*SUMIF(ThresholdAge16,"&lt;"&amp;'19_Расчет_аналитики'!I2584,WeightedRevAge16)-SUMIF(ThresholdAge16,"&lt;"&amp;'19_Расчет_аналитики'!I2584,WeightedMinAge16),MAX(CapacityAge16*'01_Вводные'!$B$218*'19_Расчет_аналитики'!I2584,MeanMinAge16)))</f>
        <v/>
      </c>
      <c r="J2531">
        <f>IF(OR(('06_Сеть_и_дети'!J68-'06_Сеть_и_дети'!J96)=0,16&lt;='01_Вводные'!$B$297),0,('06_Сеть_и_дети'!J68-'06_Сеть_и_дети'!J96)*IF('01_Вводные'!$B$239="Да",MeanMinAge16+'19_Расчет_аналитики'!J2584*SUMIF(ThresholdAge16,"&lt;"&amp;'19_Расчет_аналитики'!J2584,WeightedRevAge16)-SUMIF(ThresholdAge16,"&lt;"&amp;'19_Расчет_аналитики'!J2584,WeightedMinAge16),MAX(CapacityAge16*'01_Вводные'!$B$218*'19_Расчет_аналитики'!J2584,MeanMinAge16)))</f>
        <v/>
      </c>
      <c r="K2531">
        <f>IF(OR(('06_Сеть_и_дети'!K68-'06_Сеть_и_дети'!K96)=0,16&lt;='01_Вводные'!$B$297),0,('06_Сеть_и_дети'!K68-'06_Сеть_и_дети'!K96)*IF('01_Вводные'!$B$239="Да",MeanMinAge16+'19_Расчет_аналитики'!K2584*SUMIF(ThresholdAge16,"&lt;"&amp;'19_Расчет_аналитики'!K2584,WeightedRevAge16)-SUMIF(ThresholdAge16,"&lt;"&amp;'19_Расчет_аналитики'!K2584,WeightedMinAge16),MAX(CapacityAge16*'01_Вводные'!$B$218*'19_Расчет_аналитики'!K2584,MeanMinAge16)))</f>
        <v/>
      </c>
      <c r="L2531">
        <f>IF(OR(('06_Сеть_и_дети'!L68-'06_Сеть_и_дети'!L96)=0,16&lt;='01_Вводные'!$B$297),0,('06_Сеть_и_дети'!L68-'06_Сеть_и_дети'!L96)*IF('01_Вводные'!$B$239="Да",MeanMinAge16+'19_Расчет_аналитики'!L2584*SUMIF(ThresholdAge16,"&lt;"&amp;'19_Расчет_аналитики'!L2584,WeightedRevAge16)-SUMIF(ThresholdAge16,"&lt;"&amp;'19_Расчет_аналитики'!L2584,WeightedMinAge16),MAX(CapacityAge16*'01_Вводные'!$B$218*'19_Расчет_аналитики'!L2584,MeanMinAge16)))</f>
        <v/>
      </c>
      <c r="M2531">
        <f>IF(OR(('06_Сеть_и_дети'!M68-'06_Сеть_и_дети'!M96)=0,16&lt;='01_Вводные'!$B$297),0,('06_Сеть_и_дети'!M68-'06_Сеть_и_дети'!M96)*IF('01_Вводные'!$B$239="Да",MeanMinAge16+'19_Расчет_аналитики'!M2584*SUMIF(ThresholdAge16,"&lt;"&amp;'19_Расчет_аналитики'!M2584,WeightedRevAge16)-SUMIF(ThresholdAge16,"&lt;"&amp;'19_Расчет_аналитики'!M2584,WeightedMinAge16),MAX(CapacityAge16*'01_Вводные'!$B$218*'19_Расчет_аналитики'!M2584,MeanMinAge16)))</f>
        <v/>
      </c>
      <c r="N2531">
        <f>IF(OR(('06_Сеть_и_дети'!N68-'06_Сеть_и_дети'!N96)=0,16&lt;='01_Вводные'!$B$297),0,('06_Сеть_и_дети'!N68-'06_Сеть_и_дети'!N96)*IF('01_Вводные'!$B$239="Да",MeanMinAge16+'19_Расчет_аналитики'!N2584*SUMIF(ThresholdAge16,"&lt;"&amp;'19_Расчет_аналитики'!N2584,WeightedRevAge16)-SUMIF(ThresholdAge16,"&lt;"&amp;'19_Расчет_аналитики'!N2584,WeightedMinAge16),MAX(CapacityAge16*'01_Вводные'!$B$218*'19_Расчет_аналитики'!N2584,MeanMinAge16)))</f>
        <v/>
      </c>
      <c r="O2531">
        <f>IF(OR(('06_Сеть_и_дети'!O68-'06_Сеть_и_дети'!O96)=0,16&lt;='01_Вводные'!$B$297),0,('06_Сеть_и_дети'!O68-'06_Сеть_и_дети'!O96)*IF('01_Вводные'!$B$239="Да",MeanMinAge16+'19_Расчет_аналитики'!O2584*SUMIF(ThresholdAge16,"&lt;"&amp;'19_Расчет_аналитики'!O2584,WeightedRevAge16)-SUMIF(ThresholdAge16,"&lt;"&amp;'19_Расчет_аналитики'!O2584,WeightedMinAge16),MAX(CapacityAge16*'01_Вводные'!$B$218*'19_Расчет_аналитики'!O2584,MeanMinAge16)))</f>
        <v/>
      </c>
      <c r="P2531">
        <f>IF(OR(('06_Сеть_и_дети'!P68-'06_Сеть_и_дети'!P96)=0,16&lt;='01_Вводные'!$B$297),0,('06_Сеть_и_дети'!P68-'06_Сеть_и_дети'!P96)*IF('01_Вводные'!$B$239="Да",MeanMinAge16+'19_Расчет_аналитики'!P2584*SUMIF(ThresholdAge16,"&lt;"&amp;'19_Расчет_аналитики'!P2584,WeightedRevAge16)-SUMIF(ThresholdAge16,"&lt;"&amp;'19_Расчет_аналитики'!P2584,WeightedMinAge16),MAX(CapacityAge16*'01_Вводные'!$B$218*'19_Расчет_аналитики'!P2584,MeanMinAge16)))</f>
        <v/>
      </c>
      <c r="Q2531">
        <f>IF(OR(('19_Расчет_аналитики'!Q2447-'19_Расчет_аналитики'!Q2475)=0,16&lt;='01_Вводные'!$B$297),0,('19_Расчет_аналитики'!Q2447-'19_Расчет_аналитики'!Q2475)*IF('01_Вводные'!$B$239="Да",MeanMinAge16+'19_Расчет_аналитики'!Q2584*SUMIF(ThresholdAge16,"&lt;"&amp;'19_Расчет_аналитики'!Q2584,WeightedRevAge16)-SUMIF(ThresholdAge16,"&lt;"&amp;'19_Расчет_аналитики'!Q2584,WeightedMinAge16),MAX(CapacityAge16*'01_Вводные'!$B$218*'19_Расчет_аналитики'!Q2584,MeanMinAge16)))</f>
        <v/>
      </c>
      <c r="R2531">
        <f>IF(OR(('19_Расчет_аналитики'!R2447-'19_Расчет_аналитики'!R2475)=0,16&lt;='01_Вводные'!$B$297),0,('19_Расчет_аналитики'!R2447-'19_Расчет_аналитики'!R2475)*IF('01_Вводные'!$B$239="Да",MeanMinAge16+'19_Расчет_аналитики'!R2584*SUMIF(ThresholdAge16,"&lt;"&amp;'19_Расчет_аналитики'!R2584,WeightedRevAge16)-SUMIF(ThresholdAge16,"&lt;"&amp;'19_Расчет_аналитики'!R2584,WeightedMinAge16),MAX(CapacityAge16*'01_Вводные'!$B$218*'19_Расчет_аналитики'!R2584,MeanMinAge16)))</f>
        <v/>
      </c>
      <c r="S2531">
        <f>IF(OR(('19_Расчет_аналитики'!S2447-'19_Расчет_аналитики'!S2475)=0,16&lt;='01_Вводные'!$B$297),0,('19_Расчет_аналитики'!S2447-'19_Расчет_аналитики'!S2475)*IF('01_Вводные'!$B$239="Да",MeanMinAge16+'19_Расчет_аналитики'!S2584*SUMIF(ThresholdAge16,"&lt;"&amp;'19_Расчет_аналитики'!S2584,WeightedRevAge16)-SUMIF(ThresholdAge16,"&lt;"&amp;'19_Расчет_аналитики'!S2584,WeightedMinAge16),MAX(CapacityAge16*'01_Вводные'!$B$218*'19_Расчет_аналитики'!S2584,MeanMinAge16)))</f>
        <v/>
      </c>
      <c r="T2531">
        <f>IF(OR(('19_Расчет_аналитики'!T2447-'19_Расчет_аналитики'!T2475)=0,16&lt;='01_Вводные'!$B$297),0,('19_Расчет_аналитики'!T2447-'19_Расчет_аналитики'!T2475)*IF('01_Вводные'!$B$239="Да",MeanMinAge16+'19_Расчет_аналитики'!T2584*SUMIF(ThresholdAge16,"&lt;"&amp;'19_Расчет_аналитики'!T2584,WeightedRevAge16)-SUMIF(ThresholdAge16,"&lt;"&amp;'19_Расчет_аналитики'!T2584,WeightedMinAge16),MAX(CapacityAge16*'01_Вводные'!$B$218*'19_Расчет_аналитики'!T2584,MeanMinAge16)))</f>
        <v/>
      </c>
      <c r="U2531">
        <f>IF(OR(('19_Расчет_аналитики'!U2447-'19_Расчет_аналитики'!U2475)=0,16&lt;='01_Вводные'!$B$297),0,('19_Расчет_аналитики'!U2447-'19_Расчет_аналитики'!U2475)*IF('01_Вводные'!$B$239="Да",MeanMinAge16+'19_Расчет_аналитики'!U2584*SUMIF(ThresholdAge16,"&lt;"&amp;'19_Расчет_аналитики'!U2584,WeightedRevAge16)-SUMIF(ThresholdAge16,"&lt;"&amp;'19_Расчет_аналитики'!U2584,WeightedMinAge16),MAX(CapacityAge16*'01_Вводные'!$B$218*'19_Расчет_аналитики'!U2584,MeanMinAge16)))</f>
        <v/>
      </c>
      <c r="V2531">
        <f>IF(OR(('19_Расчет_аналитики'!V2447-'19_Расчет_аналитики'!V2475)=0,16&lt;='01_Вводные'!$B$297),0,('19_Расчет_аналитики'!V2447-'19_Расчет_аналитики'!V2475)*IF('01_Вводные'!$B$239="Да",MeanMinAge16+'19_Расчет_аналитики'!V2584*SUMIF(ThresholdAge16,"&lt;"&amp;'19_Расчет_аналитики'!V2584,WeightedRevAge16)-SUMIF(ThresholdAge16,"&lt;"&amp;'19_Расчет_аналитики'!V2584,WeightedMinAge16),MAX(CapacityAge16*'01_Вводные'!$B$218*'19_Расчет_аналитики'!V2584,MeanMinAge16)))</f>
        <v/>
      </c>
      <c r="W2531">
        <f>IF(OR(('19_Расчет_аналитики'!W2447-'19_Расчет_аналитики'!W2475)=0,16&lt;='01_Вводные'!$B$297),0,('19_Расчет_аналитики'!W2447-'19_Расчет_аналитики'!W2475)*IF('01_Вводные'!$B$239="Да",MeanMinAge16+'19_Расчет_аналитики'!W2584*SUMIF(ThresholdAge16,"&lt;"&amp;'19_Расчет_аналитики'!W2584,WeightedRevAge16)-SUMIF(ThresholdAge16,"&lt;"&amp;'19_Расчет_аналитики'!W2584,WeightedMinAge16),MAX(CapacityAge16*'01_Вводные'!$B$218*'19_Расчет_аналитики'!W2584,MeanMinAge16)))</f>
        <v/>
      </c>
      <c r="X2531">
        <f>IF(OR(('19_Расчет_аналитики'!X2447-'19_Расчет_аналитики'!X2475)=0,16&lt;='01_Вводные'!$B$297),0,('19_Расчет_аналитики'!X2447-'19_Расчет_аналитики'!X2475)*IF('01_Вводные'!$B$239="Да",MeanMinAge16+'19_Расчет_аналитики'!X2584*SUMIF(ThresholdAge16,"&lt;"&amp;'19_Расчет_аналитики'!X2584,WeightedRevAge16)-SUMIF(ThresholdAge16,"&lt;"&amp;'19_Расчет_аналитики'!X2584,WeightedMinAge16),MAX(CapacityAge16*'01_Вводные'!$B$218*'19_Расчет_аналитики'!X2584,MeanMinAge16)))</f>
        <v/>
      </c>
      <c r="Y2531">
        <f>IF(OR(('19_Расчет_аналитики'!Y2447-'19_Расчет_аналитики'!Y2475)=0,16&lt;='01_Вводные'!$B$297),0,('19_Расчет_аналитики'!Y2447-'19_Расчет_аналитики'!Y2475)*IF('01_Вводные'!$B$239="Да",MeanMinAge16+'19_Расчет_аналитики'!Y2584*SUMIF(ThresholdAge16,"&lt;"&amp;'19_Расчет_аналитики'!Y2584,WeightedRevAge16)-SUMIF(ThresholdAge16,"&lt;"&amp;'19_Расчет_аналитики'!Y2584,WeightedMinAge16),MAX(CapacityAge16*'01_Вводные'!$B$218*'19_Расчет_аналитики'!Y2584,MeanMinAge16)))</f>
        <v/>
      </c>
      <c r="Z2531">
        <f>IF(OR(('19_Расчет_аналитики'!Z2447-'19_Расчет_аналитики'!Z2475)=0,16&lt;='01_Вводные'!$B$297),0,('19_Расчет_аналитики'!Z2447-'19_Расчет_аналитики'!Z2475)*IF('01_Вводные'!$B$239="Да",MeanMinAge16+'19_Расчет_аналитики'!Z2584*SUMIF(ThresholdAge16,"&lt;"&amp;'19_Расчет_аналитики'!Z2584,WeightedRevAge16)-SUMIF(ThresholdAge16,"&lt;"&amp;'19_Расчет_аналитики'!Z2584,WeightedMinAge16),MAX(CapacityAge16*'01_Вводные'!$B$218*'19_Расчет_аналитики'!Z2584,MeanMinAge16)))</f>
        <v/>
      </c>
      <c r="AA2531">
        <f>IF(OR(('19_Расчет_аналитики'!AA2447-'19_Расчет_аналитики'!AA2475)=0,16&lt;='01_Вводные'!$B$297),0,('19_Расчет_аналитики'!AA2447-'19_Расчет_аналитики'!AA2475)*IF('01_Вводные'!$B$239="Да",MeanMinAge16+'19_Расчет_аналитики'!AA2584*SUMIF(ThresholdAge16,"&lt;"&amp;'19_Расчет_аналитики'!AA2584,WeightedRevAge16)-SUMIF(ThresholdAge16,"&lt;"&amp;'19_Расчет_аналитики'!AA2584,WeightedMinAge16),MAX(CapacityAge16*'01_Вводные'!$B$218*'19_Расчет_аналитики'!AA2584,MeanMinAge16)))</f>
        <v/>
      </c>
      <c r="AB2531">
        <f>IF(OR(('19_Расчет_аналитики'!AB2447-'19_Расчет_аналитики'!AB2475)=0,16&lt;='01_Вводные'!$B$297),0,('19_Расчет_аналитики'!AB2447-'19_Расчет_аналитики'!AB2475)*IF('01_Вводные'!$B$239="Да",MeanMinAge16+'19_Расчет_аналитики'!AB2584*SUMIF(ThresholdAge16,"&lt;"&amp;'19_Расчет_аналитики'!AB2584,WeightedRevAge16)-SUMIF(ThresholdAge16,"&lt;"&amp;'19_Расчет_аналитики'!AB2584,WeightedMinAge16),MAX(CapacityAge16*'01_Вводные'!$B$218*'19_Расчет_аналитики'!AB2584,MeanMinAge16)))</f>
        <v/>
      </c>
      <c r="AC2531">
        <f>IF(OR(('19_Расчет_аналитики'!AC2447-'19_Расчет_аналитики'!AC2475)=0,16&lt;='01_Вводные'!$B$297),0,('19_Расчет_аналитики'!AC2447-'19_Расчет_аналитики'!AC2475)*IF('01_Вводные'!$B$239="Да",MeanMinAge16+'19_Расчет_аналитики'!AC2584*SUMIF(ThresholdAge16,"&lt;"&amp;'19_Расчет_аналитики'!AC2584,WeightedRevAge16)-SUMIF(ThresholdAge16,"&lt;"&amp;'19_Расчет_аналитики'!AC2584,WeightedMinAge16),MAX(CapacityAge16*'01_Вводные'!$B$218*'19_Расчет_аналитики'!AC2584,MeanMinAge16)))</f>
        <v/>
      </c>
      <c r="AD2531">
        <f>IF(OR(('19_Расчет_аналитики'!AD2447-'19_Расчет_аналитики'!AD2475)=0,16&lt;='01_Вводные'!$B$297),0,('19_Расчет_аналитики'!AD2447-'19_Расчет_аналитики'!AD2475)*IF('01_Вводные'!$B$239="Да",MeanMinAge16+'19_Расчет_аналитики'!AD2584*SUMIF(ThresholdAge16,"&lt;"&amp;'19_Расчет_аналитики'!AD2584,WeightedRevAge16)-SUMIF(ThresholdAge16,"&lt;"&amp;'19_Расчет_аналитики'!AD2584,WeightedMinAge16),MAX(CapacityAge16*'01_Вводные'!$B$218*'19_Расчет_аналитики'!AD2584,MeanMinAge16)))</f>
        <v/>
      </c>
      <c r="AE2531">
        <f>IF(OR(('19_Расчет_аналитики'!AE2447-'19_Расчет_аналитики'!AE2475)=0,16&lt;='01_Вводные'!$B$297),0,('19_Расчет_аналитики'!AE2447-'19_Расчет_аналитики'!AE2475)*IF('01_Вводные'!$B$239="Да",MeanMinAge16+'19_Расчет_аналитики'!AE2584*SUMIF(ThresholdAge16,"&lt;"&amp;'19_Расчет_аналитики'!AE2584,WeightedRevAge16)-SUMIF(ThresholdAge16,"&lt;"&amp;'19_Расчет_аналитики'!AE2584,WeightedMinAge16),MAX(CapacityAge16*'01_Вводные'!$B$218*'19_Расчет_аналитики'!AE2584,MeanMinAge16)))</f>
        <v/>
      </c>
      <c r="AF2531">
        <f>IF(OR(('19_Расчет_аналитики'!AF2447-'19_Расчет_аналитики'!AF2475)=0,16&lt;='01_Вводные'!$B$297),0,('19_Расчет_аналитики'!AF2447-'19_Расчет_аналитики'!AF2475)*IF('01_Вводные'!$B$239="Да",MeanMinAge16+'19_Расчет_аналитики'!AF2584*SUMIF(ThresholdAge16,"&lt;"&amp;'19_Расчет_аналитики'!AF2584,WeightedRevAge16)-SUMIF(ThresholdAge16,"&lt;"&amp;'19_Расчет_аналитики'!AF2584,WeightedMinAge16),MAX(CapacityAge16*'01_Вводные'!$B$218*'19_Расчет_аналитики'!AF2584,MeanMinAge16)))</f>
        <v/>
      </c>
      <c r="AG2531">
        <f>IF(OR(('19_Расчет_аналитики'!AG2447-'19_Расчет_аналитики'!AG2475)=0,16&lt;='01_Вводные'!$B$297),0,('19_Расчет_аналитики'!AG2447-'19_Расчет_аналитики'!AG2475)*IF('01_Вводные'!$B$239="Да",MeanMinAge16+'19_Расчет_аналитики'!AG2584*SUMIF(ThresholdAge16,"&lt;"&amp;'19_Расчет_аналитики'!AG2584,WeightedRevAge16)-SUMIF(ThresholdAge16,"&lt;"&amp;'19_Расчет_аналитики'!AG2584,WeightedMinAge16),MAX(CapacityAge16*'01_Вводные'!$B$218*'19_Расчет_аналитики'!AG2584,MeanMinAge16)))</f>
        <v/>
      </c>
      <c r="AH2531">
        <f>IF(OR(('19_Расчет_аналитики'!AH2447-'19_Расчет_аналитики'!AH2475)=0,16&lt;='01_Вводные'!$B$297),0,('19_Расчет_аналитики'!AH2447-'19_Расчет_аналитики'!AH2475)*IF('01_Вводные'!$B$239="Да",MeanMinAge16+'19_Расчет_аналитики'!AH2584*SUMIF(ThresholdAge16,"&lt;"&amp;'19_Расчет_аналитики'!AH2584,WeightedRevAge16)-SUMIF(ThresholdAge16,"&lt;"&amp;'19_Расчет_аналитики'!AH2584,WeightedMinAge16),MAX(CapacityAge16*'01_Вводные'!$B$218*'19_Расчет_аналитики'!AH2584,MeanMinAge16)))</f>
        <v/>
      </c>
      <c r="AI2531">
        <f>IF(OR(('19_Расчет_аналитики'!AI2447-'19_Расчет_аналитики'!AI2475)=0,16&lt;='01_Вводные'!$B$297),0,('19_Расчет_аналитики'!AI2447-'19_Расчет_аналитики'!AI2475)*IF('01_Вводные'!$B$239="Да",MeanMinAge16+'19_Расчет_аналитики'!AI2584*SUMIF(ThresholdAge16,"&lt;"&amp;'19_Расчет_аналитики'!AI2584,WeightedRevAge16)-SUMIF(ThresholdAge16,"&lt;"&amp;'19_Расчет_аналитики'!AI2584,WeightedMinAge16),MAX(CapacityAge16*'01_Вводные'!$B$218*'19_Расчет_аналитики'!AI2584,MeanMinAge16)))</f>
        <v/>
      </c>
      <c r="AJ2531">
        <f>IF(OR(('19_Расчет_аналитики'!AJ2447-'19_Расчет_аналитики'!AJ2475)=0,16&lt;='01_Вводные'!$B$297),0,('19_Расчет_аналитики'!AJ2447-'19_Расчет_аналитики'!AJ2475)*IF('01_Вводные'!$B$239="Да",MeanMinAge16+'19_Расчет_аналитики'!AJ2584*SUMIF(ThresholdAge16,"&lt;"&amp;'19_Расчет_аналитики'!AJ2584,WeightedRevAge16)-SUMIF(ThresholdAge16,"&lt;"&amp;'19_Расчет_аналитики'!AJ2584,WeightedMinAge16),MAX(CapacityAge16*'01_Вводные'!$B$218*'19_Расчет_аналитики'!AJ2584,MeanMinAge16)))</f>
        <v/>
      </c>
      <c r="AK2531">
        <f>IF(OR(('19_Расчет_аналитики'!AK2447-'19_Расчет_аналитики'!AK2475)=0,16&lt;='01_Вводные'!$B$297),0,('19_Расчет_аналитики'!AK2447-'19_Расчет_аналитики'!AK2475)*IF('01_Вводные'!$B$239="Да",MeanMinAge16+'19_Расчет_аналитики'!AK2584*SUMIF(ThresholdAge16,"&lt;"&amp;'19_Расчет_аналитики'!AK2584,WeightedRevAge16)-SUMIF(ThresholdAge16,"&lt;"&amp;'19_Расчет_аналитики'!AK2584,WeightedMinAge16),MAX(CapacityAge16*'01_Вводные'!$B$218*'19_Расчет_аналитики'!AK2584,MeanMinAge16)))</f>
        <v/>
      </c>
      <c r="AL2531">
        <f>IF(OR(('19_Расчет_аналитики'!AL2447-'19_Расчет_аналитики'!AL2475)=0,16&lt;='01_Вводные'!$B$297),0,('19_Расчет_аналитики'!AL2447-'19_Расчет_аналитики'!AL2475)*IF('01_Вводные'!$B$239="Да",MeanMinAge16+'19_Расчет_аналитики'!AL2584*SUMIF(ThresholdAge16,"&lt;"&amp;'19_Расчет_аналитики'!AL2584,WeightedRevAge16)-SUMIF(ThresholdAge16,"&lt;"&amp;'19_Расчет_аналитики'!AL2584,WeightedMinAge16),MAX(CapacityAge16*'01_Вводные'!$B$218*'19_Расчет_аналитики'!AL2584,MeanMinAge16)))</f>
        <v/>
      </c>
      <c r="AM2531">
        <f>IF(OR(('19_Расчет_аналитики'!AM2447-'19_Расчет_аналитики'!AM2475)=0,16&lt;='01_Вводные'!$B$297),0,('19_Расчет_аналитики'!AM2447-'19_Расчет_аналитики'!AM2475)*IF('01_Вводные'!$B$239="Да",MeanMinAge16+'19_Расчет_аналитики'!AM2584*SUMIF(ThresholdAge16,"&lt;"&amp;'19_Расчет_аналитики'!AM2584,WeightedRevAge16)-SUMIF(ThresholdAge16,"&lt;"&amp;'19_Расчет_аналитики'!AM2584,WeightedMinAge16),MAX(CapacityAge16*'01_Вводные'!$B$218*'19_Расчет_аналитики'!AM2584,MeanMinAge16)))</f>
        <v/>
      </c>
      <c r="AN2531">
        <f>IF(OR(('19_Расчет_аналитики'!AN2447-'19_Расчет_аналитики'!AN2475)=0,16&lt;='01_Вводные'!$B$297),0,('19_Расчет_аналитики'!AN2447-'19_Расчет_аналитики'!AN2475)*IF('01_Вводные'!$B$239="Да",MeanMinAge16+'19_Расчет_аналитики'!AN2584*SUMIF(ThresholdAge16,"&lt;"&amp;'19_Расчет_аналитики'!AN2584,WeightedRevAge16)-SUMIF(ThresholdAge16,"&lt;"&amp;'19_Расчет_аналитики'!AN2584,WeightedMinAge16),MAX(CapacityAge16*'01_Вводные'!$B$218*'19_Расчет_аналитики'!AN2584,MeanMinAge16)))</f>
        <v/>
      </c>
      <c r="AO2531">
        <f>IF(OR(('19_Расчет_аналитики'!AO2447-'19_Расчет_аналитики'!AO2475)=0,16&lt;='01_Вводные'!$B$297),0,('19_Расчет_аналитики'!AO2447-'19_Расчет_аналитики'!AO2475)*IF('01_Вводные'!$B$239="Да",MeanMinAge16+'19_Расчет_аналитики'!AO2584*SUMIF(ThresholdAge16,"&lt;"&amp;'19_Расчет_аналитики'!AO2584,WeightedRevAge16)-SUMIF(ThresholdAge16,"&lt;"&amp;'19_Расчет_аналитики'!AO2584,WeightedMinAge16),MAX(CapacityAge16*'01_Вводные'!$B$218*'19_Расчет_аналитики'!AO2584,MeanMinAge16)))</f>
        <v/>
      </c>
      <c r="AP2531">
        <f>IF(OR(('19_Расчет_аналитики'!AP2447-'19_Расчет_аналитики'!AP2475)=0,16&lt;='01_Вводные'!$B$297),0,('19_Расчет_аналитики'!AP2447-'19_Расчет_аналитики'!AP2475)*IF('01_Вводные'!$B$239="Да",MeanMinAge16+'19_Расчет_аналитики'!AP2584*SUMIF(ThresholdAge16,"&lt;"&amp;'19_Расчет_аналитики'!AP2584,WeightedRevAge16)-SUMIF(ThresholdAge16,"&lt;"&amp;'19_Расчет_аналитики'!AP2584,WeightedMinAge16),MAX(CapacityAge16*'01_Вводные'!$B$218*'19_Расчет_аналитики'!AP2584,MeanMinAge16)))</f>
        <v/>
      </c>
      <c r="AQ2531">
        <f>IF(OR(('19_Расчет_аналитики'!AQ2447-'19_Расчет_аналитики'!AQ2475)=0,16&lt;='01_Вводные'!$B$297),0,('19_Расчет_аналитики'!AQ2447-'19_Расчет_аналитики'!AQ2475)*IF('01_Вводные'!$B$239="Да",MeanMinAge16+'19_Расчет_аналитики'!AQ2584*SUMIF(ThresholdAge16,"&lt;"&amp;'19_Расчет_аналитики'!AQ2584,WeightedRevAge16)-SUMIF(ThresholdAge16,"&lt;"&amp;'19_Расчет_аналитики'!AQ2584,WeightedMinAge16),MAX(CapacityAge16*'01_Вводные'!$B$218*'19_Расчет_аналитики'!AQ2584,MeanMinAge16)))</f>
        <v/>
      </c>
      <c r="AR2531">
        <f>IF(OR(('19_Расчет_аналитики'!AR2447-'19_Расчет_аналитики'!AR2475)=0,16&lt;='01_Вводные'!$B$297),0,('19_Расчет_аналитики'!AR2447-'19_Расчет_аналитики'!AR2475)*IF('01_Вводные'!$B$239="Да",MeanMinAge16+'19_Расчет_аналитики'!AR2584*SUMIF(ThresholdAge16,"&lt;"&amp;'19_Расчет_аналитики'!AR2584,WeightedRevAge16)-SUMIF(ThresholdAge16,"&lt;"&amp;'19_Расчет_аналитики'!AR2584,WeightedMinAge16),MAX(CapacityAge16*'01_Вводные'!$B$218*'19_Расчет_аналитики'!AR2584,MeanMinAge16)))</f>
        <v/>
      </c>
      <c r="AS2531">
        <f>IF(OR(('19_Расчет_аналитики'!AS2447-'19_Расчет_аналитики'!AS2475)=0,16&lt;='01_Вводные'!$B$297),0,('19_Расчет_аналитики'!AS2447-'19_Расчет_аналитики'!AS2475)*IF('01_Вводные'!$B$239="Да",MeanMinAge16+'19_Расчет_аналитики'!AS2584*SUMIF(ThresholdAge16,"&lt;"&amp;'19_Расчет_аналитики'!AS2584,WeightedRevAge16)-SUMIF(ThresholdAge16,"&lt;"&amp;'19_Расчет_аналитики'!AS2584,WeightedMinAge16),MAX(CapacityAge16*'01_Вводные'!$B$218*'19_Расчет_аналитики'!AS2584,MeanMinAge16)))</f>
        <v/>
      </c>
      <c r="AT2531">
        <f>IF(OR(('19_Расчет_аналитики'!AT2447-'19_Расчет_аналитики'!AT2475)=0,16&lt;='01_Вводные'!$B$297),0,('19_Расчет_аналитики'!AT2447-'19_Расчет_аналитики'!AT2475)*IF('01_Вводные'!$B$239="Да",MeanMinAge16+'19_Расчет_аналитики'!AT2584*SUMIF(ThresholdAge16,"&lt;"&amp;'19_Расчет_аналитики'!AT2584,WeightedRevAge16)-SUMIF(ThresholdAge16,"&lt;"&amp;'19_Расчет_аналитики'!AT2584,WeightedMinAge16),MAX(CapacityAge16*'01_Вводные'!$B$218*'19_Расчет_аналитики'!AT2584,MeanMinAge16)))</f>
        <v/>
      </c>
      <c r="AU2531">
        <f>IF(OR(('19_Расчет_аналитики'!AU2447-'19_Расчет_аналитики'!AU2475)=0,16&lt;='01_Вводные'!$B$297),0,('19_Расчет_аналитики'!AU2447-'19_Расчет_аналитики'!AU2475)*IF('01_Вводные'!$B$239="Да",MeanMinAge16+'19_Расчет_аналитики'!AU2584*SUMIF(ThresholdAge16,"&lt;"&amp;'19_Расчет_аналитики'!AU2584,WeightedRevAge16)-SUMIF(ThresholdAge16,"&lt;"&amp;'19_Расчет_аналитики'!AU2584,WeightedMinAge16),MAX(CapacityAge16*'01_Вводные'!$B$218*'19_Расчет_аналитики'!AU2584,MeanMinAge16)))</f>
        <v/>
      </c>
      <c r="AV2531">
        <f>IF(OR(('19_Расчет_аналитики'!AV2447-'19_Расчет_аналитики'!AV2475)=0,16&lt;='01_Вводные'!$B$297),0,('19_Расчет_аналитики'!AV2447-'19_Расчет_аналитики'!AV2475)*IF('01_Вводные'!$B$239="Да",MeanMinAge16+'19_Расчет_аналитики'!AV2584*SUMIF(ThresholdAge16,"&lt;"&amp;'19_Расчет_аналитики'!AV2584,WeightedRevAge16)-SUMIF(ThresholdAge16,"&lt;"&amp;'19_Расчет_аналитики'!AV2584,WeightedMinAge16),MAX(CapacityAge16*'01_Вводные'!$B$218*'19_Расчет_аналитики'!AV2584,MeanMinAge16)))</f>
        <v/>
      </c>
      <c r="AW2531">
        <f>IF(OR(('19_Расчет_аналитики'!AW2447-'19_Расчет_аналитики'!AW2475)=0,16&lt;='01_Вводные'!$B$297),0,('19_Расчет_аналитики'!AW2447-'19_Расчет_аналитики'!AW2475)*IF('01_Вводные'!$B$239="Да",MeanMinAge16+'19_Расчет_аналитики'!AW2584*SUMIF(ThresholdAge16,"&lt;"&amp;'19_Расчет_аналитики'!AW2584,WeightedRevAge16)-SUMIF(ThresholdAge16,"&lt;"&amp;'19_Расчет_аналитики'!AW2584,WeightedMinAge16),MAX(CapacityAge16*'01_Вводные'!$B$218*'19_Расчет_аналитики'!AW2584,MeanMinAge16)))</f>
        <v/>
      </c>
      <c r="AX2531">
        <f>IF(OR(('19_Расчет_аналитики'!AX2447-'19_Расчет_аналитики'!AX2475)=0,16&lt;='01_Вводные'!$B$297),0,('19_Расчет_аналитики'!AX2447-'19_Расчет_аналитики'!AX2475)*IF('01_Вводные'!$B$239="Да",MeanMinAge16+'19_Расчет_аналитики'!AX2584*SUMIF(ThresholdAge16,"&lt;"&amp;'19_Расчет_аналитики'!AX2584,WeightedRevAge16)-SUMIF(ThresholdAge16,"&lt;"&amp;'19_Расчет_аналитики'!AX2584,WeightedMinAge16),MAX(CapacityAge16*'01_Вводные'!$B$218*'19_Расчет_аналитики'!AX2584,MeanMinAge16)))</f>
        <v/>
      </c>
      <c r="AY2531">
        <f>IF(OR(('19_Расчет_аналитики'!AY2447-'19_Расчет_аналитики'!AY2475)=0,16&lt;='01_Вводные'!$B$297),0,('19_Расчет_аналитики'!AY2447-'19_Расчет_аналитики'!AY2475)*IF('01_Вводные'!$B$239="Да",MeanMinAge16+'19_Расчет_аналитики'!AY2584*SUMIF(ThresholdAge16,"&lt;"&amp;'19_Расчет_аналитики'!AY2584,WeightedRevAge16)-SUMIF(ThresholdAge16,"&lt;"&amp;'19_Расчет_аналитики'!AY2584,WeightedMinAge16),MAX(CapacityAge16*'01_Вводные'!$B$218*'19_Расчет_аналитики'!AY2584,MeanMinAge16)))</f>
        <v/>
      </c>
      <c r="AZ2531">
        <f>IF(OR(('19_Расчет_аналитики'!AZ2447-'19_Расчет_аналитики'!AZ2475)=0,16&lt;='01_Вводные'!$B$297),0,('19_Расчет_аналитики'!AZ2447-'19_Расчет_аналитики'!AZ2475)*IF('01_Вводные'!$B$239="Да",MeanMinAge16+'19_Расчет_аналитики'!AZ2584*SUMIF(ThresholdAge16,"&lt;"&amp;'19_Расчет_аналитики'!AZ2584,WeightedRevAge16)-SUMIF(ThresholdAge16,"&lt;"&amp;'19_Расчет_аналитики'!AZ2584,WeightedMinAge16),MAX(CapacityAge16*'01_Вводные'!$B$218*'19_Расчет_аналитики'!AZ2584,MeanMinAge16)))</f>
        <v/>
      </c>
      <c r="BA2531">
        <f>IF(OR(('19_Расчет_аналитики'!BA2447-'19_Расчет_аналитики'!BA2475)=0,16&lt;='01_Вводные'!$B$297),0,('19_Расчет_аналитики'!BA2447-'19_Расчет_аналитики'!BA2475)*IF('01_Вводные'!$B$239="Да",MeanMinAge16+'19_Расчет_аналитики'!BA2584*SUMIF(ThresholdAge16,"&lt;"&amp;'19_Расчет_аналитики'!BA2584,WeightedRevAge16)-SUMIF(ThresholdAge16,"&lt;"&amp;'19_Расчет_аналитики'!BA2584,WeightedMinAge16),MAX(CapacityAge16*'01_Вводные'!$B$218*'19_Расчет_аналитики'!BA2584,MeanMinAge16)))</f>
        <v/>
      </c>
      <c r="BB2531">
        <f>IF(OR(('19_Расчет_аналитики'!BB2447-'19_Расчет_аналитики'!BB2475)=0,16&lt;='01_Вводные'!$B$297),0,('19_Расчет_аналитики'!BB2447-'19_Расчет_аналитики'!BB2475)*IF('01_Вводные'!$B$239="Да",MeanMinAge16+'19_Расчет_аналитики'!BB2584*SUMIF(ThresholdAge16,"&lt;"&amp;'19_Расчет_аналитики'!BB2584,WeightedRevAge16)-SUMIF(ThresholdAge16,"&lt;"&amp;'19_Расчет_аналитики'!BB2584,WeightedMinAge16),MAX(CapacityAge16*'01_Вводные'!$B$218*'19_Расчет_аналитики'!BB2584,MeanMinAge16)))</f>
        <v/>
      </c>
      <c r="BC2531">
        <f>IF(OR(('19_Расчет_аналитики'!BC2447-'19_Расчет_аналитики'!BC2475)=0,16&lt;='01_Вводные'!$B$297),0,('19_Расчет_аналитики'!BC2447-'19_Расчет_аналитики'!BC2475)*IF('01_Вводные'!$B$239="Да",MeanMinAge16+'19_Расчет_аналитики'!BC2584*SUMIF(ThresholdAge16,"&lt;"&amp;'19_Расчет_аналитики'!BC2584,WeightedRevAge16)-SUMIF(ThresholdAge16,"&lt;"&amp;'19_Расчет_аналитики'!BC2584,WeightedMinAge16),MAX(CapacityAge16*'01_Вводные'!$B$218*'19_Расчет_аналитики'!BC2584,MeanMinAge16)))</f>
        <v/>
      </c>
      <c r="BD2531">
        <f>IF(OR(('19_Расчет_аналитики'!BD2447-'19_Расчет_аналитики'!BD2475)=0,16&lt;='01_Вводные'!$B$297),0,('19_Расчет_аналитики'!BD2447-'19_Расчет_аналитики'!BD2475)*IF('01_Вводные'!$B$239="Да",MeanMinAge16+'19_Расчет_аналитики'!BD2584*SUMIF(ThresholdAge16,"&lt;"&amp;'19_Расчет_аналитики'!BD2584,WeightedRevAge16)-SUMIF(ThresholdAge16,"&lt;"&amp;'19_Расчет_аналитики'!BD2584,WeightedMinAge16),MAX(CapacityAge16*'01_Вводные'!$B$218*'19_Расчет_аналитики'!BD2584,MeanMinAge16)))</f>
        <v/>
      </c>
      <c r="BE2531">
        <f>IF(OR(('19_Расчет_аналитики'!BE2447-'19_Расчет_аналитики'!BE2475)=0,16&lt;='01_Вводные'!$B$297),0,('19_Расчет_аналитики'!BE2447-'19_Расчет_аналитики'!BE2475)*IF('01_Вводные'!$B$239="Да",MeanMinAge16+'19_Расчет_аналитики'!BE2584*SUMIF(ThresholdAge16,"&lt;"&amp;'19_Расчет_аналитики'!BE2584,WeightedRevAge16)-SUMIF(ThresholdAge16,"&lt;"&amp;'19_Расчет_аналитики'!BE2584,WeightedMinAge16),MAX(CapacityAge16*'01_Вводные'!$B$218*'19_Расчет_аналитики'!BE2584,MeanMinAge16)))</f>
        <v/>
      </c>
      <c r="BF2531">
        <f>IF(OR(('19_Расчет_аналитики'!BF2447-'19_Расчет_аналитики'!BF2475)=0,16&lt;='01_Вводные'!$B$297),0,('19_Расчет_аналитики'!BF2447-'19_Расчет_аналитики'!BF2475)*IF('01_Вводные'!$B$239="Да",MeanMinAge16+'19_Расчет_аналитики'!BF2584*SUMIF(ThresholdAge16,"&lt;"&amp;'19_Расчет_аналитики'!BF2584,WeightedRevAge16)-SUMIF(ThresholdAge16,"&lt;"&amp;'19_Расчет_аналитики'!BF2584,WeightedMinAge16),MAX(CapacityAge16*'01_Вводные'!$B$218*'19_Расчет_аналитики'!BF2584,MeanMinAge16)))</f>
        <v/>
      </c>
      <c r="BG2531">
        <f>IF(OR(('19_Расчет_аналитики'!BG2447-'19_Расчет_аналитики'!BG2475)=0,16&lt;='01_Вводные'!$B$297),0,('19_Расчет_аналитики'!BG2447-'19_Расчет_аналитики'!BG2475)*IF('01_Вводные'!$B$239="Да",MeanMinAge16+'19_Расчет_аналитики'!BG2584*SUMIF(ThresholdAge16,"&lt;"&amp;'19_Расчет_аналитики'!BG2584,WeightedRevAge16)-SUMIF(ThresholdAge16,"&lt;"&amp;'19_Расчет_аналитики'!BG2584,WeightedMinAge16),MAX(CapacityAge16*'01_Вводные'!$B$218*'19_Расчет_аналитики'!BG2584,MeanMinAge16)))</f>
        <v/>
      </c>
      <c r="BH2531">
        <f>IF(OR(('19_Расчет_аналитики'!BH2447-'19_Расчет_аналитики'!BH2475)=0,16&lt;='01_Вводные'!$B$297),0,('19_Расчет_аналитики'!BH2447-'19_Расчет_аналитики'!BH2475)*IF('01_Вводные'!$B$239="Да",MeanMinAge16+'19_Расчет_аналитики'!BH2584*SUMIF(ThresholdAge16,"&lt;"&amp;'19_Расчет_аналитики'!BH2584,WeightedRevAge16)-SUMIF(ThresholdAge16,"&lt;"&amp;'19_Расчет_аналитики'!BH2584,WeightedMinAge16),MAX(CapacityAge16*'01_Вводные'!$B$218*'19_Расчет_аналитики'!BH2584,MeanMinAge16)))</f>
        <v/>
      </c>
      <c r="BI2531">
        <f>IF(OR(('19_Расчет_аналитики'!BI2447-'19_Расчет_аналитики'!BI2475)=0,16&lt;='01_Вводные'!$B$297),0,('19_Расчет_аналитики'!BI2447-'19_Расчет_аналитики'!BI2475)*IF('01_Вводные'!$B$239="Да",MeanMinAge16+'19_Расчет_аналитики'!BI2584*SUMIF(ThresholdAge16,"&lt;"&amp;'19_Расчет_аналитики'!BI2584,WeightedRevAge16)-SUMIF(ThresholdAge16,"&lt;"&amp;'19_Расчет_аналитики'!BI2584,WeightedMinAge16),MAX(CapacityAge16*'01_Вводные'!$B$218*'19_Расчет_аналитики'!BI2584,MeanMinAge16)))</f>
        <v/>
      </c>
      <c r="BJ2531">
        <f>IF(OR(('19_Расчет_аналитики'!BJ2447-'19_Расчет_аналитики'!BJ2475)=0,16&lt;='01_Вводные'!$B$297),0,('19_Расчет_аналитики'!BJ2447-'19_Расчет_аналитики'!BJ2475)*IF('01_Вводные'!$B$239="Да",MeanMinAge16+'19_Расчет_аналитики'!BJ2584*SUMIF(ThresholdAge16,"&lt;"&amp;'19_Расчет_аналитики'!BJ2584,WeightedRevAge16)-SUMIF(ThresholdAge16,"&lt;"&amp;'19_Расчет_аналитики'!BJ2584,WeightedMinAge16),MAX(CapacityAge16*'01_Вводные'!$B$218*'19_Расчет_аналитики'!BJ2584,MeanMinAge16)))</f>
        <v/>
      </c>
      <c r="BK2531">
        <f>IF(OR(('19_Расчет_аналитики'!BK2447-'19_Расчет_аналитики'!BK2475)=0,16&lt;='01_Вводные'!$B$297),0,('19_Расчет_аналитики'!BK2447-'19_Расчет_аналитики'!BK2475)*IF('01_Вводные'!$B$239="Да",MeanMinAge16+'19_Расчет_аналитики'!BK2584*SUMIF(ThresholdAge16,"&lt;"&amp;'19_Расчет_аналитики'!BK2584,WeightedRevAge16)-SUMIF(ThresholdAge16,"&lt;"&amp;'19_Расчет_аналитики'!BK2584,WeightedMinAge16),MAX(CapacityAge16*'01_Вводные'!$B$218*'19_Расчет_аналитики'!BK2584,MeanMinAge16)))</f>
        <v/>
      </c>
      <c r="BL2531">
        <f>IF(OR(('19_Расчет_аналитики'!BL2447-'19_Расчет_аналитики'!BL2475)=0,16&lt;='01_Вводные'!$B$297),0,('19_Расчет_аналитики'!BL2447-'19_Расчет_аналитики'!BL2475)*IF('01_Вводные'!$B$239="Да",MeanMinAge16+'19_Расчет_аналитики'!BL2584*SUMIF(ThresholdAge16,"&lt;"&amp;'19_Расчет_аналитики'!BL2584,WeightedRevAge16)-SUMIF(ThresholdAge16,"&lt;"&amp;'19_Расчет_аналитики'!BL2584,WeightedMinAge16),MAX(CapacityAge16*'01_Вводные'!$B$218*'19_Расчет_аналитики'!BL2584,MeanMinAge16)))</f>
        <v/>
      </c>
      <c r="BM2531">
        <f>IF(OR(('19_Расчет_аналитики'!BM2447-'19_Расчет_аналитики'!BM2475)=0,16&lt;='01_Вводные'!$B$297),0,('19_Расчет_аналитики'!BM2447-'19_Расчет_аналитики'!BM2475)*IF('01_Вводные'!$B$239="Да",MeanMinAge16+'19_Расчет_аналитики'!BM2584*SUMIF(ThresholdAge16,"&lt;"&amp;'19_Расчет_аналитики'!BM2584,WeightedRevAge16)-SUMIF(ThresholdAge16,"&lt;"&amp;'19_Расчет_аналитики'!BM2584,WeightedMinAge16),MAX(CapacityAge16*'01_Вводные'!$B$218*'19_Расчет_аналитики'!BM2584,MeanMinAge16)))</f>
        <v/>
      </c>
      <c r="BN2531">
        <f>IF(OR(('19_Расчет_аналитики'!BN2447-'19_Расчет_аналитики'!BN2475)=0,16&lt;='01_Вводные'!$B$297),0,('19_Расчет_аналитики'!BN2447-'19_Расчет_аналитики'!BN2475)*IF('01_Вводные'!$B$239="Да",MeanMinAge16+'19_Расчет_аналитики'!BN2584*SUMIF(ThresholdAge16,"&lt;"&amp;'19_Расчет_аналитики'!BN2584,WeightedRevAge16)-SUMIF(ThresholdAge16,"&lt;"&amp;'19_Расчет_аналитики'!BN2584,WeightedMinAge16),MAX(CapacityAge16*'01_Вводные'!$B$218*'19_Расчет_аналитики'!BN2584,MeanMinAge16)))</f>
        <v/>
      </c>
      <c r="BO2531">
        <f>IF(OR(('19_Расчет_аналитики'!BO2447-'19_Расчет_аналитики'!BO2475)=0,16&lt;='01_Вводные'!$B$297),0,('19_Расчет_аналитики'!BO2447-'19_Расчет_аналитики'!BO2475)*IF('01_Вводные'!$B$239="Да",MeanMinAge16+'19_Расчет_аналитики'!BO2584*SUMIF(ThresholdAge16,"&lt;"&amp;'19_Расчет_аналитики'!BO2584,WeightedRevAge16)-SUMIF(ThresholdAge16,"&lt;"&amp;'19_Расчет_аналитики'!BO2584,WeightedMinAge16),MAX(CapacityAge16*'01_Вводные'!$B$218*'19_Расчет_аналитики'!BO2584,MeanMinAge16)))</f>
        <v/>
      </c>
    </row>
    <row r="2532">
      <c r="B2532">
        <f>IF(OR(('06_Сеть_и_дети'!B69-'06_Сеть_и_дети'!B97)=0,17&lt;='01_Вводные'!$B$297),0,('06_Сеть_и_дети'!B69-'06_Сеть_и_дети'!B97)*IF('01_Вводные'!$B$239="Да",MeanMinAge17+'19_Расчет_аналитики'!B2584*SUMIF(ThresholdAge17,"&lt;"&amp;'19_Расчет_аналитики'!B2584,WeightedRevAge17)-SUMIF(ThresholdAge17,"&lt;"&amp;'19_Расчет_аналитики'!B2584,WeightedMinAge17),MAX(CapacityAge17*'01_Вводные'!$B$218*'19_Расчет_аналитики'!B2584,MeanMinAge17)))</f>
        <v/>
      </c>
      <c r="C2532">
        <f>IF(OR(('06_Сеть_и_дети'!C69-'06_Сеть_и_дети'!C97)=0,17&lt;='01_Вводные'!$B$297),0,('06_Сеть_и_дети'!C69-'06_Сеть_и_дети'!C97)*IF('01_Вводные'!$B$239="Да",MeanMinAge17+'19_Расчет_аналитики'!C2584*SUMIF(ThresholdAge17,"&lt;"&amp;'19_Расчет_аналитики'!C2584,WeightedRevAge17)-SUMIF(ThresholdAge17,"&lt;"&amp;'19_Расчет_аналитики'!C2584,WeightedMinAge17),MAX(CapacityAge17*'01_Вводные'!$B$218*'19_Расчет_аналитики'!C2584,MeanMinAge17)))</f>
        <v/>
      </c>
      <c r="D2532">
        <f>IF(OR(('06_Сеть_и_дети'!D69-'06_Сеть_и_дети'!D97)=0,17&lt;='01_Вводные'!$B$297),0,('06_Сеть_и_дети'!D69-'06_Сеть_и_дети'!D97)*IF('01_Вводные'!$B$239="Да",MeanMinAge17+'19_Расчет_аналитики'!D2584*SUMIF(ThresholdAge17,"&lt;"&amp;'19_Расчет_аналитики'!D2584,WeightedRevAge17)-SUMIF(ThresholdAge17,"&lt;"&amp;'19_Расчет_аналитики'!D2584,WeightedMinAge17),MAX(CapacityAge17*'01_Вводные'!$B$218*'19_Расчет_аналитики'!D2584,MeanMinAge17)))</f>
        <v/>
      </c>
      <c r="E2532">
        <f>IF(OR(('06_Сеть_и_дети'!E69-'06_Сеть_и_дети'!E97)=0,17&lt;='01_Вводные'!$B$297),0,('06_Сеть_и_дети'!E69-'06_Сеть_и_дети'!E97)*IF('01_Вводные'!$B$239="Да",MeanMinAge17+'19_Расчет_аналитики'!E2584*SUMIF(ThresholdAge17,"&lt;"&amp;'19_Расчет_аналитики'!E2584,WeightedRevAge17)-SUMIF(ThresholdAge17,"&lt;"&amp;'19_Расчет_аналитики'!E2584,WeightedMinAge17),MAX(CapacityAge17*'01_Вводные'!$B$218*'19_Расчет_аналитики'!E2584,MeanMinAge17)))</f>
        <v/>
      </c>
      <c r="F2532">
        <f>IF(OR(('06_Сеть_и_дети'!F69-'06_Сеть_и_дети'!F97)=0,17&lt;='01_Вводные'!$B$297),0,('06_Сеть_и_дети'!F69-'06_Сеть_и_дети'!F97)*IF('01_Вводные'!$B$239="Да",MeanMinAge17+'19_Расчет_аналитики'!F2584*SUMIF(ThresholdAge17,"&lt;"&amp;'19_Расчет_аналитики'!F2584,WeightedRevAge17)-SUMIF(ThresholdAge17,"&lt;"&amp;'19_Расчет_аналитики'!F2584,WeightedMinAge17),MAX(CapacityAge17*'01_Вводные'!$B$218*'19_Расчет_аналитики'!F2584,MeanMinAge17)))</f>
        <v/>
      </c>
      <c r="G2532">
        <f>IF(OR(('06_Сеть_и_дети'!G69-'06_Сеть_и_дети'!G97)=0,17&lt;='01_Вводные'!$B$297),0,('06_Сеть_и_дети'!G69-'06_Сеть_и_дети'!G97)*IF('01_Вводные'!$B$239="Да",MeanMinAge17+'19_Расчет_аналитики'!G2584*SUMIF(ThresholdAge17,"&lt;"&amp;'19_Расчет_аналитики'!G2584,WeightedRevAge17)-SUMIF(ThresholdAge17,"&lt;"&amp;'19_Расчет_аналитики'!G2584,WeightedMinAge17),MAX(CapacityAge17*'01_Вводные'!$B$218*'19_Расчет_аналитики'!G2584,MeanMinAge17)))</f>
        <v/>
      </c>
      <c r="H2532">
        <f>IF(OR(('06_Сеть_и_дети'!H69-'06_Сеть_и_дети'!H97)=0,17&lt;='01_Вводные'!$B$297),0,('06_Сеть_и_дети'!H69-'06_Сеть_и_дети'!H97)*IF('01_Вводные'!$B$239="Да",MeanMinAge17+'19_Расчет_аналитики'!H2584*SUMIF(ThresholdAge17,"&lt;"&amp;'19_Расчет_аналитики'!H2584,WeightedRevAge17)-SUMIF(ThresholdAge17,"&lt;"&amp;'19_Расчет_аналитики'!H2584,WeightedMinAge17),MAX(CapacityAge17*'01_Вводные'!$B$218*'19_Расчет_аналитики'!H2584,MeanMinAge17)))</f>
        <v/>
      </c>
      <c r="I2532">
        <f>IF(OR(('06_Сеть_и_дети'!I69-'06_Сеть_и_дети'!I97)=0,17&lt;='01_Вводные'!$B$297),0,('06_Сеть_и_дети'!I69-'06_Сеть_и_дети'!I97)*IF('01_Вводные'!$B$239="Да",MeanMinAge17+'19_Расчет_аналитики'!I2584*SUMIF(ThresholdAge17,"&lt;"&amp;'19_Расчет_аналитики'!I2584,WeightedRevAge17)-SUMIF(ThresholdAge17,"&lt;"&amp;'19_Расчет_аналитики'!I2584,WeightedMinAge17),MAX(CapacityAge17*'01_Вводные'!$B$218*'19_Расчет_аналитики'!I2584,MeanMinAge17)))</f>
        <v/>
      </c>
      <c r="J2532">
        <f>IF(OR(('06_Сеть_и_дети'!J69-'06_Сеть_и_дети'!J97)=0,17&lt;='01_Вводные'!$B$297),0,('06_Сеть_и_дети'!J69-'06_Сеть_и_дети'!J97)*IF('01_Вводные'!$B$239="Да",MeanMinAge17+'19_Расчет_аналитики'!J2584*SUMIF(ThresholdAge17,"&lt;"&amp;'19_Расчет_аналитики'!J2584,WeightedRevAge17)-SUMIF(ThresholdAge17,"&lt;"&amp;'19_Расчет_аналитики'!J2584,WeightedMinAge17),MAX(CapacityAge17*'01_Вводные'!$B$218*'19_Расчет_аналитики'!J2584,MeanMinAge17)))</f>
        <v/>
      </c>
      <c r="K2532">
        <f>IF(OR(('06_Сеть_и_дети'!K69-'06_Сеть_и_дети'!K97)=0,17&lt;='01_Вводные'!$B$297),0,('06_Сеть_и_дети'!K69-'06_Сеть_и_дети'!K97)*IF('01_Вводные'!$B$239="Да",MeanMinAge17+'19_Расчет_аналитики'!K2584*SUMIF(ThresholdAge17,"&lt;"&amp;'19_Расчет_аналитики'!K2584,WeightedRevAge17)-SUMIF(ThresholdAge17,"&lt;"&amp;'19_Расчет_аналитики'!K2584,WeightedMinAge17),MAX(CapacityAge17*'01_Вводные'!$B$218*'19_Расчет_аналитики'!K2584,MeanMinAge17)))</f>
        <v/>
      </c>
      <c r="L2532">
        <f>IF(OR(('06_Сеть_и_дети'!L69-'06_Сеть_и_дети'!L97)=0,17&lt;='01_Вводные'!$B$297),0,('06_Сеть_и_дети'!L69-'06_Сеть_и_дети'!L97)*IF('01_Вводные'!$B$239="Да",MeanMinAge17+'19_Расчет_аналитики'!L2584*SUMIF(ThresholdAge17,"&lt;"&amp;'19_Расчет_аналитики'!L2584,WeightedRevAge17)-SUMIF(ThresholdAge17,"&lt;"&amp;'19_Расчет_аналитики'!L2584,WeightedMinAge17),MAX(CapacityAge17*'01_Вводные'!$B$218*'19_Расчет_аналитики'!L2584,MeanMinAge17)))</f>
        <v/>
      </c>
      <c r="M2532">
        <f>IF(OR(('06_Сеть_и_дети'!M69-'06_Сеть_и_дети'!M97)=0,17&lt;='01_Вводные'!$B$297),0,('06_Сеть_и_дети'!M69-'06_Сеть_и_дети'!M97)*IF('01_Вводные'!$B$239="Да",MeanMinAge17+'19_Расчет_аналитики'!M2584*SUMIF(ThresholdAge17,"&lt;"&amp;'19_Расчет_аналитики'!M2584,WeightedRevAge17)-SUMIF(ThresholdAge17,"&lt;"&amp;'19_Расчет_аналитики'!M2584,WeightedMinAge17),MAX(CapacityAge17*'01_Вводные'!$B$218*'19_Расчет_аналитики'!M2584,MeanMinAge17)))</f>
        <v/>
      </c>
      <c r="N2532">
        <f>IF(OR(('06_Сеть_и_дети'!N69-'06_Сеть_и_дети'!N97)=0,17&lt;='01_Вводные'!$B$297),0,('06_Сеть_и_дети'!N69-'06_Сеть_и_дети'!N97)*IF('01_Вводные'!$B$239="Да",MeanMinAge17+'19_Расчет_аналитики'!N2584*SUMIF(ThresholdAge17,"&lt;"&amp;'19_Расчет_аналитики'!N2584,WeightedRevAge17)-SUMIF(ThresholdAge17,"&lt;"&amp;'19_Расчет_аналитики'!N2584,WeightedMinAge17),MAX(CapacityAge17*'01_Вводные'!$B$218*'19_Расчет_аналитики'!N2584,MeanMinAge17)))</f>
        <v/>
      </c>
      <c r="O2532">
        <f>IF(OR(('06_Сеть_и_дети'!O69-'06_Сеть_и_дети'!O97)=0,17&lt;='01_Вводные'!$B$297),0,('06_Сеть_и_дети'!O69-'06_Сеть_и_дети'!O97)*IF('01_Вводные'!$B$239="Да",MeanMinAge17+'19_Расчет_аналитики'!O2584*SUMIF(ThresholdAge17,"&lt;"&amp;'19_Расчет_аналитики'!O2584,WeightedRevAge17)-SUMIF(ThresholdAge17,"&lt;"&amp;'19_Расчет_аналитики'!O2584,WeightedMinAge17),MAX(CapacityAge17*'01_Вводные'!$B$218*'19_Расчет_аналитики'!O2584,MeanMinAge17)))</f>
        <v/>
      </c>
      <c r="P2532">
        <f>IF(OR(('06_Сеть_и_дети'!P69-'06_Сеть_и_дети'!P97)=0,17&lt;='01_Вводные'!$B$297),0,('06_Сеть_и_дети'!P69-'06_Сеть_и_дети'!P97)*IF('01_Вводные'!$B$239="Да",MeanMinAge17+'19_Расчет_аналитики'!P2584*SUMIF(ThresholdAge17,"&lt;"&amp;'19_Расчет_аналитики'!P2584,WeightedRevAge17)-SUMIF(ThresholdAge17,"&lt;"&amp;'19_Расчет_аналитики'!P2584,WeightedMinAge17),MAX(CapacityAge17*'01_Вводные'!$B$218*'19_Расчет_аналитики'!P2584,MeanMinAge17)))</f>
        <v/>
      </c>
      <c r="Q2532">
        <f>IF(OR(('06_Сеть_и_дети'!Q69-'06_Сеть_и_дети'!Q97)=0,17&lt;='01_Вводные'!$B$297),0,('06_Сеть_и_дети'!Q69-'06_Сеть_и_дети'!Q97)*IF('01_Вводные'!$B$239="Да",MeanMinAge17+'19_Расчет_аналитики'!Q2584*SUMIF(ThresholdAge17,"&lt;"&amp;'19_Расчет_аналитики'!Q2584,WeightedRevAge17)-SUMIF(ThresholdAge17,"&lt;"&amp;'19_Расчет_аналитики'!Q2584,WeightedMinAge17),MAX(CapacityAge17*'01_Вводные'!$B$218*'19_Расчет_аналитики'!Q2584,MeanMinAge17)))</f>
        <v/>
      </c>
      <c r="R2532">
        <f>IF(OR(('19_Расчет_аналитики'!R2448-'19_Расчет_аналитики'!R2476)=0,17&lt;='01_Вводные'!$B$297),0,('19_Расчет_аналитики'!R2448-'19_Расчет_аналитики'!R2476)*IF('01_Вводные'!$B$239="Да",MeanMinAge17+'19_Расчет_аналитики'!R2584*SUMIF(ThresholdAge17,"&lt;"&amp;'19_Расчет_аналитики'!R2584,WeightedRevAge17)-SUMIF(ThresholdAge17,"&lt;"&amp;'19_Расчет_аналитики'!R2584,WeightedMinAge17),MAX(CapacityAge17*'01_Вводные'!$B$218*'19_Расчет_аналитики'!R2584,MeanMinAge17)))</f>
        <v/>
      </c>
      <c r="S2532">
        <f>IF(OR(('19_Расчет_аналитики'!S2448-'19_Расчет_аналитики'!S2476)=0,17&lt;='01_Вводные'!$B$297),0,('19_Расчет_аналитики'!S2448-'19_Расчет_аналитики'!S2476)*IF('01_Вводные'!$B$239="Да",MeanMinAge17+'19_Расчет_аналитики'!S2584*SUMIF(ThresholdAge17,"&lt;"&amp;'19_Расчет_аналитики'!S2584,WeightedRevAge17)-SUMIF(ThresholdAge17,"&lt;"&amp;'19_Расчет_аналитики'!S2584,WeightedMinAge17),MAX(CapacityAge17*'01_Вводные'!$B$218*'19_Расчет_аналитики'!S2584,MeanMinAge17)))</f>
        <v/>
      </c>
      <c r="T2532">
        <f>IF(OR(('19_Расчет_аналитики'!T2448-'19_Расчет_аналитики'!T2476)=0,17&lt;='01_Вводные'!$B$297),0,('19_Расчет_аналитики'!T2448-'19_Расчет_аналитики'!T2476)*IF('01_Вводные'!$B$239="Да",MeanMinAge17+'19_Расчет_аналитики'!T2584*SUMIF(ThresholdAge17,"&lt;"&amp;'19_Расчет_аналитики'!T2584,WeightedRevAge17)-SUMIF(ThresholdAge17,"&lt;"&amp;'19_Расчет_аналитики'!T2584,WeightedMinAge17),MAX(CapacityAge17*'01_Вводные'!$B$218*'19_Расчет_аналитики'!T2584,MeanMinAge17)))</f>
        <v/>
      </c>
      <c r="U2532">
        <f>IF(OR(('19_Расчет_аналитики'!U2448-'19_Расчет_аналитики'!U2476)=0,17&lt;='01_Вводные'!$B$297),0,('19_Расчет_аналитики'!U2448-'19_Расчет_аналитики'!U2476)*IF('01_Вводные'!$B$239="Да",MeanMinAge17+'19_Расчет_аналитики'!U2584*SUMIF(ThresholdAge17,"&lt;"&amp;'19_Расчет_аналитики'!U2584,WeightedRevAge17)-SUMIF(ThresholdAge17,"&lt;"&amp;'19_Расчет_аналитики'!U2584,WeightedMinAge17),MAX(CapacityAge17*'01_Вводные'!$B$218*'19_Расчет_аналитики'!U2584,MeanMinAge17)))</f>
        <v/>
      </c>
      <c r="V2532">
        <f>IF(OR(('19_Расчет_аналитики'!V2448-'19_Расчет_аналитики'!V2476)=0,17&lt;='01_Вводные'!$B$297),0,('19_Расчет_аналитики'!V2448-'19_Расчет_аналитики'!V2476)*IF('01_Вводные'!$B$239="Да",MeanMinAge17+'19_Расчет_аналитики'!V2584*SUMIF(ThresholdAge17,"&lt;"&amp;'19_Расчет_аналитики'!V2584,WeightedRevAge17)-SUMIF(ThresholdAge17,"&lt;"&amp;'19_Расчет_аналитики'!V2584,WeightedMinAge17),MAX(CapacityAge17*'01_Вводные'!$B$218*'19_Расчет_аналитики'!V2584,MeanMinAge17)))</f>
        <v/>
      </c>
      <c r="W2532">
        <f>IF(OR(('19_Расчет_аналитики'!W2448-'19_Расчет_аналитики'!W2476)=0,17&lt;='01_Вводные'!$B$297),0,('19_Расчет_аналитики'!W2448-'19_Расчет_аналитики'!W2476)*IF('01_Вводные'!$B$239="Да",MeanMinAge17+'19_Расчет_аналитики'!W2584*SUMIF(ThresholdAge17,"&lt;"&amp;'19_Расчет_аналитики'!W2584,WeightedRevAge17)-SUMIF(ThresholdAge17,"&lt;"&amp;'19_Расчет_аналитики'!W2584,WeightedMinAge17),MAX(CapacityAge17*'01_Вводные'!$B$218*'19_Расчет_аналитики'!W2584,MeanMinAge17)))</f>
        <v/>
      </c>
      <c r="X2532">
        <f>IF(OR(('19_Расчет_аналитики'!X2448-'19_Расчет_аналитики'!X2476)=0,17&lt;='01_Вводные'!$B$297),0,('19_Расчет_аналитики'!X2448-'19_Расчет_аналитики'!X2476)*IF('01_Вводные'!$B$239="Да",MeanMinAge17+'19_Расчет_аналитики'!X2584*SUMIF(ThresholdAge17,"&lt;"&amp;'19_Расчет_аналитики'!X2584,WeightedRevAge17)-SUMIF(ThresholdAge17,"&lt;"&amp;'19_Расчет_аналитики'!X2584,WeightedMinAge17),MAX(CapacityAge17*'01_Вводные'!$B$218*'19_Расчет_аналитики'!X2584,MeanMinAge17)))</f>
        <v/>
      </c>
      <c r="Y2532">
        <f>IF(OR(('19_Расчет_аналитики'!Y2448-'19_Расчет_аналитики'!Y2476)=0,17&lt;='01_Вводные'!$B$297),0,('19_Расчет_аналитики'!Y2448-'19_Расчет_аналитики'!Y2476)*IF('01_Вводные'!$B$239="Да",MeanMinAge17+'19_Расчет_аналитики'!Y2584*SUMIF(ThresholdAge17,"&lt;"&amp;'19_Расчет_аналитики'!Y2584,WeightedRevAge17)-SUMIF(ThresholdAge17,"&lt;"&amp;'19_Расчет_аналитики'!Y2584,WeightedMinAge17),MAX(CapacityAge17*'01_Вводные'!$B$218*'19_Расчет_аналитики'!Y2584,MeanMinAge17)))</f>
        <v/>
      </c>
      <c r="Z2532">
        <f>IF(OR(('19_Расчет_аналитики'!Z2448-'19_Расчет_аналитики'!Z2476)=0,17&lt;='01_Вводные'!$B$297),0,('19_Расчет_аналитики'!Z2448-'19_Расчет_аналитики'!Z2476)*IF('01_Вводные'!$B$239="Да",MeanMinAge17+'19_Расчет_аналитики'!Z2584*SUMIF(ThresholdAge17,"&lt;"&amp;'19_Расчет_аналитики'!Z2584,WeightedRevAge17)-SUMIF(ThresholdAge17,"&lt;"&amp;'19_Расчет_аналитики'!Z2584,WeightedMinAge17),MAX(CapacityAge17*'01_Вводные'!$B$218*'19_Расчет_аналитики'!Z2584,MeanMinAge17)))</f>
        <v/>
      </c>
      <c r="AA2532">
        <f>IF(OR(('19_Расчет_аналитики'!AA2448-'19_Расчет_аналитики'!AA2476)=0,17&lt;='01_Вводные'!$B$297),0,('19_Расчет_аналитики'!AA2448-'19_Расчет_аналитики'!AA2476)*IF('01_Вводные'!$B$239="Да",MeanMinAge17+'19_Расчет_аналитики'!AA2584*SUMIF(ThresholdAge17,"&lt;"&amp;'19_Расчет_аналитики'!AA2584,WeightedRevAge17)-SUMIF(ThresholdAge17,"&lt;"&amp;'19_Расчет_аналитики'!AA2584,WeightedMinAge17),MAX(CapacityAge17*'01_Вводные'!$B$218*'19_Расчет_аналитики'!AA2584,MeanMinAge17)))</f>
        <v/>
      </c>
      <c r="AB2532">
        <f>IF(OR(('19_Расчет_аналитики'!AB2448-'19_Расчет_аналитики'!AB2476)=0,17&lt;='01_Вводные'!$B$297),0,('19_Расчет_аналитики'!AB2448-'19_Расчет_аналитики'!AB2476)*IF('01_Вводные'!$B$239="Да",MeanMinAge17+'19_Расчет_аналитики'!AB2584*SUMIF(ThresholdAge17,"&lt;"&amp;'19_Расчет_аналитики'!AB2584,WeightedRevAge17)-SUMIF(ThresholdAge17,"&lt;"&amp;'19_Расчет_аналитики'!AB2584,WeightedMinAge17),MAX(CapacityAge17*'01_Вводные'!$B$218*'19_Расчет_аналитики'!AB2584,MeanMinAge17)))</f>
        <v/>
      </c>
      <c r="AC2532">
        <f>IF(OR(('19_Расчет_аналитики'!AC2448-'19_Расчет_аналитики'!AC2476)=0,17&lt;='01_Вводные'!$B$297),0,('19_Расчет_аналитики'!AC2448-'19_Расчет_аналитики'!AC2476)*IF('01_Вводные'!$B$239="Да",MeanMinAge17+'19_Расчет_аналитики'!AC2584*SUMIF(ThresholdAge17,"&lt;"&amp;'19_Расчет_аналитики'!AC2584,WeightedRevAge17)-SUMIF(ThresholdAge17,"&lt;"&amp;'19_Расчет_аналитики'!AC2584,WeightedMinAge17),MAX(CapacityAge17*'01_Вводные'!$B$218*'19_Расчет_аналитики'!AC2584,MeanMinAge17)))</f>
        <v/>
      </c>
      <c r="AD2532">
        <f>IF(OR(('19_Расчет_аналитики'!AD2448-'19_Расчет_аналитики'!AD2476)=0,17&lt;='01_Вводные'!$B$297),0,('19_Расчет_аналитики'!AD2448-'19_Расчет_аналитики'!AD2476)*IF('01_Вводные'!$B$239="Да",MeanMinAge17+'19_Расчет_аналитики'!AD2584*SUMIF(ThresholdAge17,"&lt;"&amp;'19_Расчет_аналитики'!AD2584,WeightedRevAge17)-SUMIF(ThresholdAge17,"&lt;"&amp;'19_Расчет_аналитики'!AD2584,WeightedMinAge17),MAX(CapacityAge17*'01_Вводные'!$B$218*'19_Расчет_аналитики'!AD2584,MeanMinAge17)))</f>
        <v/>
      </c>
      <c r="AE2532">
        <f>IF(OR(('19_Расчет_аналитики'!AE2448-'19_Расчет_аналитики'!AE2476)=0,17&lt;='01_Вводные'!$B$297),0,('19_Расчет_аналитики'!AE2448-'19_Расчет_аналитики'!AE2476)*IF('01_Вводные'!$B$239="Да",MeanMinAge17+'19_Расчет_аналитики'!AE2584*SUMIF(ThresholdAge17,"&lt;"&amp;'19_Расчет_аналитики'!AE2584,WeightedRevAge17)-SUMIF(ThresholdAge17,"&lt;"&amp;'19_Расчет_аналитики'!AE2584,WeightedMinAge17),MAX(CapacityAge17*'01_Вводные'!$B$218*'19_Расчет_аналитики'!AE2584,MeanMinAge17)))</f>
        <v/>
      </c>
      <c r="AF2532">
        <f>IF(OR(('19_Расчет_аналитики'!AF2448-'19_Расчет_аналитики'!AF2476)=0,17&lt;='01_Вводные'!$B$297),0,('19_Расчет_аналитики'!AF2448-'19_Расчет_аналитики'!AF2476)*IF('01_Вводные'!$B$239="Да",MeanMinAge17+'19_Расчет_аналитики'!AF2584*SUMIF(ThresholdAge17,"&lt;"&amp;'19_Расчет_аналитики'!AF2584,WeightedRevAge17)-SUMIF(ThresholdAge17,"&lt;"&amp;'19_Расчет_аналитики'!AF2584,WeightedMinAge17),MAX(CapacityAge17*'01_Вводные'!$B$218*'19_Расчет_аналитики'!AF2584,MeanMinAge17)))</f>
        <v/>
      </c>
      <c r="AG2532">
        <f>IF(OR(('19_Расчет_аналитики'!AG2448-'19_Расчет_аналитики'!AG2476)=0,17&lt;='01_Вводные'!$B$297),0,('19_Расчет_аналитики'!AG2448-'19_Расчет_аналитики'!AG2476)*IF('01_Вводные'!$B$239="Да",MeanMinAge17+'19_Расчет_аналитики'!AG2584*SUMIF(ThresholdAge17,"&lt;"&amp;'19_Расчет_аналитики'!AG2584,WeightedRevAge17)-SUMIF(ThresholdAge17,"&lt;"&amp;'19_Расчет_аналитики'!AG2584,WeightedMinAge17),MAX(CapacityAge17*'01_Вводные'!$B$218*'19_Расчет_аналитики'!AG2584,MeanMinAge17)))</f>
        <v/>
      </c>
      <c r="AH2532">
        <f>IF(OR(('19_Расчет_аналитики'!AH2448-'19_Расчет_аналитики'!AH2476)=0,17&lt;='01_Вводные'!$B$297),0,('19_Расчет_аналитики'!AH2448-'19_Расчет_аналитики'!AH2476)*IF('01_Вводные'!$B$239="Да",MeanMinAge17+'19_Расчет_аналитики'!AH2584*SUMIF(ThresholdAge17,"&lt;"&amp;'19_Расчет_аналитики'!AH2584,WeightedRevAge17)-SUMIF(ThresholdAge17,"&lt;"&amp;'19_Расчет_аналитики'!AH2584,WeightedMinAge17),MAX(CapacityAge17*'01_Вводные'!$B$218*'19_Расчет_аналитики'!AH2584,MeanMinAge17)))</f>
        <v/>
      </c>
      <c r="AI2532">
        <f>IF(OR(('19_Расчет_аналитики'!AI2448-'19_Расчет_аналитики'!AI2476)=0,17&lt;='01_Вводные'!$B$297),0,('19_Расчет_аналитики'!AI2448-'19_Расчет_аналитики'!AI2476)*IF('01_Вводные'!$B$239="Да",MeanMinAge17+'19_Расчет_аналитики'!AI2584*SUMIF(ThresholdAge17,"&lt;"&amp;'19_Расчет_аналитики'!AI2584,WeightedRevAge17)-SUMIF(ThresholdAge17,"&lt;"&amp;'19_Расчет_аналитики'!AI2584,WeightedMinAge17),MAX(CapacityAge17*'01_Вводные'!$B$218*'19_Расчет_аналитики'!AI2584,MeanMinAge17)))</f>
        <v/>
      </c>
      <c r="AJ2532">
        <f>IF(OR(('19_Расчет_аналитики'!AJ2448-'19_Расчет_аналитики'!AJ2476)=0,17&lt;='01_Вводные'!$B$297),0,('19_Расчет_аналитики'!AJ2448-'19_Расчет_аналитики'!AJ2476)*IF('01_Вводные'!$B$239="Да",MeanMinAge17+'19_Расчет_аналитики'!AJ2584*SUMIF(ThresholdAge17,"&lt;"&amp;'19_Расчет_аналитики'!AJ2584,WeightedRevAge17)-SUMIF(ThresholdAge17,"&lt;"&amp;'19_Расчет_аналитики'!AJ2584,WeightedMinAge17),MAX(CapacityAge17*'01_Вводные'!$B$218*'19_Расчет_аналитики'!AJ2584,MeanMinAge17)))</f>
        <v/>
      </c>
      <c r="AK2532">
        <f>IF(OR(('19_Расчет_аналитики'!AK2448-'19_Расчет_аналитики'!AK2476)=0,17&lt;='01_Вводные'!$B$297),0,('19_Расчет_аналитики'!AK2448-'19_Расчет_аналитики'!AK2476)*IF('01_Вводные'!$B$239="Да",MeanMinAge17+'19_Расчет_аналитики'!AK2584*SUMIF(ThresholdAge17,"&lt;"&amp;'19_Расчет_аналитики'!AK2584,WeightedRevAge17)-SUMIF(ThresholdAge17,"&lt;"&amp;'19_Расчет_аналитики'!AK2584,WeightedMinAge17),MAX(CapacityAge17*'01_Вводные'!$B$218*'19_Расчет_аналитики'!AK2584,MeanMinAge17)))</f>
        <v/>
      </c>
      <c r="AL2532">
        <f>IF(OR(('19_Расчет_аналитики'!AL2448-'19_Расчет_аналитики'!AL2476)=0,17&lt;='01_Вводные'!$B$297),0,('19_Расчет_аналитики'!AL2448-'19_Расчет_аналитики'!AL2476)*IF('01_Вводные'!$B$239="Да",MeanMinAge17+'19_Расчет_аналитики'!AL2584*SUMIF(ThresholdAge17,"&lt;"&amp;'19_Расчет_аналитики'!AL2584,WeightedRevAge17)-SUMIF(ThresholdAge17,"&lt;"&amp;'19_Расчет_аналитики'!AL2584,WeightedMinAge17),MAX(CapacityAge17*'01_Вводные'!$B$218*'19_Расчет_аналитики'!AL2584,MeanMinAge17)))</f>
        <v/>
      </c>
      <c r="AM2532">
        <f>IF(OR(('19_Расчет_аналитики'!AM2448-'19_Расчет_аналитики'!AM2476)=0,17&lt;='01_Вводные'!$B$297),0,('19_Расчет_аналитики'!AM2448-'19_Расчет_аналитики'!AM2476)*IF('01_Вводные'!$B$239="Да",MeanMinAge17+'19_Расчет_аналитики'!AM2584*SUMIF(ThresholdAge17,"&lt;"&amp;'19_Расчет_аналитики'!AM2584,WeightedRevAge17)-SUMIF(ThresholdAge17,"&lt;"&amp;'19_Расчет_аналитики'!AM2584,WeightedMinAge17),MAX(CapacityAge17*'01_Вводные'!$B$218*'19_Расчет_аналитики'!AM2584,MeanMinAge17)))</f>
        <v/>
      </c>
      <c r="AN2532">
        <f>IF(OR(('19_Расчет_аналитики'!AN2448-'19_Расчет_аналитики'!AN2476)=0,17&lt;='01_Вводные'!$B$297),0,('19_Расчет_аналитики'!AN2448-'19_Расчет_аналитики'!AN2476)*IF('01_Вводные'!$B$239="Да",MeanMinAge17+'19_Расчет_аналитики'!AN2584*SUMIF(ThresholdAge17,"&lt;"&amp;'19_Расчет_аналитики'!AN2584,WeightedRevAge17)-SUMIF(ThresholdAge17,"&lt;"&amp;'19_Расчет_аналитики'!AN2584,WeightedMinAge17),MAX(CapacityAge17*'01_Вводные'!$B$218*'19_Расчет_аналитики'!AN2584,MeanMinAge17)))</f>
        <v/>
      </c>
      <c r="AO2532">
        <f>IF(OR(('19_Расчет_аналитики'!AO2448-'19_Расчет_аналитики'!AO2476)=0,17&lt;='01_Вводные'!$B$297),0,('19_Расчет_аналитики'!AO2448-'19_Расчет_аналитики'!AO2476)*IF('01_Вводные'!$B$239="Да",MeanMinAge17+'19_Расчет_аналитики'!AO2584*SUMIF(ThresholdAge17,"&lt;"&amp;'19_Расчет_аналитики'!AO2584,WeightedRevAge17)-SUMIF(ThresholdAge17,"&lt;"&amp;'19_Расчет_аналитики'!AO2584,WeightedMinAge17),MAX(CapacityAge17*'01_Вводные'!$B$218*'19_Расчет_аналитики'!AO2584,MeanMinAge17)))</f>
        <v/>
      </c>
      <c r="AP2532">
        <f>IF(OR(('19_Расчет_аналитики'!AP2448-'19_Расчет_аналитики'!AP2476)=0,17&lt;='01_Вводные'!$B$297),0,('19_Расчет_аналитики'!AP2448-'19_Расчет_аналитики'!AP2476)*IF('01_Вводные'!$B$239="Да",MeanMinAge17+'19_Расчет_аналитики'!AP2584*SUMIF(ThresholdAge17,"&lt;"&amp;'19_Расчет_аналитики'!AP2584,WeightedRevAge17)-SUMIF(ThresholdAge17,"&lt;"&amp;'19_Расчет_аналитики'!AP2584,WeightedMinAge17),MAX(CapacityAge17*'01_Вводные'!$B$218*'19_Расчет_аналитики'!AP2584,MeanMinAge17)))</f>
        <v/>
      </c>
      <c r="AQ2532">
        <f>IF(OR(('19_Расчет_аналитики'!AQ2448-'19_Расчет_аналитики'!AQ2476)=0,17&lt;='01_Вводные'!$B$297),0,('19_Расчет_аналитики'!AQ2448-'19_Расчет_аналитики'!AQ2476)*IF('01_Вводные'!$B$239="Да",MeanMinAge17+'19_Расчет_аналитики'!AQ2584*SUMIF(ThresholdAge17,"&lt;"&amp;'19_Расчет_аналитики'!AQ2584,WeightedRevAge17)-SUMIF(ThresholdAge17,"&lt;"&amp;'19_Расчет_аналитики'!AQ2584,WeightedMinAge17),MAX(CapacityAge17*'01_Вводные'!$B$218*'19_Расчет_аналитики'!AQ2584,MeanMinAge17)))</f>
        <v/>
      </c>
      <c r="AR2532">
        <f>IF(OR(('19_Расчет_аналитики'!AR2448-'19_Расчет_аналитики'!AR2476)=0,17&lt;='01_Вводные'!$B$297),0,('19_Расчет_аналитики'!AR2448-'19_Расчет_аналитики'!AR2476)*IF('01_Вводные'!$B$239="Да",MeanMinAge17+'19_Расчет_аналитики'!AR2584*SUMIF(ThresholdAge17,"&lt;"&amp;'19_Расчет_аналитики'!AR2584,WeightedRevAge17)-SUMIF(ThresholdAge17,"&lt;"&amp;'19_Расчет_аналитики'!AR2584,WeightedMinAge17),MAX(CapacityAge17*'01_Вводные'!$B$218*'19_Расчет_аналитики'!AR2584,MeanMinAge17)))</f>
        <v/>
      </c>
      <c r="AS2532">
        <f>IF(OR(('19_Расчет_аналитики'!AS2448-'19_Расчет_аналитики'!AS2476)=0,17&lt;='01_Вводные'!$B$297),0,('19_Расчет_аналитики'!AS2448-'19_Расчет_аналитики'!AS2476)*IF('01_Вводные'!$B$239="Да",MeanMinAge17+'19_Расчет_аналитики'!AS2584*SUMIF(ThresholdAge17,"&lt;"&amp;'19_Расчет_аналитики'!AS2584,WeightedRevAge17)-SUMIF(ThresholdAge17,"&lt;"&amp;'19_Расчет_аналитики'!AS2584,WeightedMinAge17),MAX(CapacityAge17*'01_Вводные'!$B$218*'19_Расчет_аналитики'!AS2584,MeanMinAge17)))</f>
        <v/>
      </c>
      <c r="AT2532">
        <f>IF(OR(('19_Расчет_аналитики'!AT2448-'19_Расчет_аналитики'!AT2476)=0,17&lt;='01_Вводные'!$B$297),0,('19_Расчет_аналитики'!AT2448-'19_Расчет_аналитики'!AT2476)*IF('01_Вводные'!$B$239="Да",MeanMinAge17+'19_Расчет_аналитики'!AT2584*SUMIF(ThresholdAge17,"&lt;"&amp;'19_Расчет_аналитики'!AT2584,WeightedRevAge17)-SUMIF(ThresholdAge17,"&lt;"&amp;'19_Расчет_аналитики'!AT2584,WeightedMinAge17),MAX(CapacityAge17*'01_Вводные'!$B$218*'19_Расчет_аналитики'!AT2584,MeanMinAge17)))</f>
        <v/>
      </c>
      <c r="AU2532">
        <f>IF(OR(('19_Расчет_аналитики'!AU2448-'19_Расчет_аналитики'!AU2476)=0,17&lt;='01_Вводные'!$B$297),0,('19_Расчет_аналитики'!AU2448-'19_Расчет_аналитики'!AU2476)*IF('01_Вводные'!$B$239="Да",MeanMinAge17+'19_Расчет_аналитики'!AU2584*SUMIF(ThresholdAge17,"&lt;"&amp;'19_Расчет_аналитики'!AU2584,WeightedRevAge17)-SUMIF(ThresholdAge17,"&lt;"&amp;'19_Расчет_аналитики'!AU2584,WeightedMinAge17),MAX(CapacityAge17*'01_Вводные'!$B$218*'19_Расчет_аналитики'!AU2584,MeanMinAge17)))</f>
        <v/>
      </c>
      <c r="AV2532">
        <f>IF(OR(('19_Расчет_аналитики'!AV2448-'19_Расчет_аналитики'!AV2476)=0,17&lt;='01_Вводные'!$B$297),0,('19_Расчет_аналитики'!AV2448-'19_Расчет_аналитики'!AV2476)*IF('01_Вводные'!$B$239="Да",MeanMinAge17+'19_Расчет_аналитики'!AV2584*SUMIF(ThresholdAge17,"&lt;"&amp;'19_Расчет_аналитики'!AV2584,WeightedRevAge17)-SUMIF(ThresholdAge17,"&lt;"&amp;'19_Расчет_аналитики'!AV2584,WeightedMinAge17),MAX(CapacityAge17*'01_Вводные'!$B$218*'19_Расчет_аналитики'!AV2584,MeanMinAge17)))</f>
        <v/>
      </c>
      <c r="AW2532">
        <f>IF(OR(('19_Расчет_аналитики'!AW2448-'19_Расчет_аналитики'!AW2476)=0,17&lt;='01_Вводные'!$B$297),0,('19_Расчет_аналитики'!AW2448-'19_Расчет_аналитики'!AW2476)*IF('01_Вводные'!$B$239="Да",MeanMinAge17+'19_Расчет_аналитики'!AW2584*SUMIF(ThresholdAge17,"&lt;"&amp;'19_Расчет_аналитики'!AW2584,WeightedRevAge17)-SUMIF(ThresholdAge17,"&lt;"&amp;'19_Расчет_аналитики'!AW2584,WeightedMinAge17),MAX(CapacityAge17*'01_Вводные'!$B$218*'19_Расчет_аналитики'!AW2584,MeanMinAge17)))</f>
        <v/>
      </c>
      <c r="AX2532">
        <f>IF(OR(('19_Расчет_аналитики'!AX2448-'19_Расчет_аналитики'!AX2476)=0,17&lt;='01_Вводные'!$B$297),0,('19_Расчет_аналитики'!AX2448-'19_Расчет_аналитики'!AX2476)*IF('01_Вводные'!$B$239="Да",MeanMinAge17+'19_Расчет_аналитики'!AX2584*SUMIF(ThresholdAge17,"&lt;"&amp;'19_Расчет_аналитики'!AX2584,WeightedRevAge17)-SUMIF(ThresholdAge17,"&lt;"&amp;'19_Расчет_аналитики'!AX2584,WeightedMinAge17),MAX(CapacityAge17*'01_Вводные'!$B$218*'19_Расчет_аналитики'!AX2584,MeanMinAge17)))</f>
        <v/>
      </c>
      <c r="AY2532">
        <f>IF(OR(('19_Расчет_аналитики'!AY2448-'19_Расчет_аналитики'!AY2476)=0,17&lt;='01_Вводные'!$B$297),0,('19_Расчет_аналитики'!AY2448-'19_Расчет_аналитики'!AY2476)*IF('01_Вводные'!$B$239="Да",MeanMinAge17+'19_Расчет_аналитики'!AY2584*SUMIF(ThresholdAge17,"&lt;"&amp;'19_Расчет_аналитики'!AY2584,WeightedRevAge17)-SUMIF(ThresholdAge17,"&lt;"&amp;'19_Расчет_аналитики'!AY2584,WeightedMinAge17),MAX(CapacityAge17*'01_Вводные'!$B$218*'19_Расчет_аналитики'!AY2584,MeanMinAge17)))</f>
        <v/>
      </c>
      <c r="AZ2532">
        <f>IF(OR(('19_Расчет_аналитики'!AZ2448-'19_Расчет_аналитики'!AZ2476)=0,17&lt;='01_Вводные'!$B$297),0,('19_Расчет_аналитики'!AZ2448-'19_Расчет_аналитики'!AZ2476)*IF('01_Вводные'!$B$239="Да",MeanMinAge17+'19_Расчет_аналитики'!AZ2584*SUMIF(ThresholdAge17,"&lt;"&amp;'19_Расчет_аналитики'!AZ2584,WeightedRevAge17)-SUMIF(ThresholdAge17,"&lt;"&amp;'19_Расчет_аналитики'!AZ2584,WeightedMinAge17),MAX(CapacityAge17*'01_Вводные'!$B$218*'19_Расчет_аналитики'!AZ2584,MeanMinAge17)))</f>
        <v/>
      </c>
      <c r="BA2532">
        <f>IF(OR(('19_Расчет_аналитики'!BA2448-'19_Расчет_аналитики'!BA2476)=0,17&lt;='01_Вводные'!$B$297),0,('19_Расчет_аналитики'!BA2448-'19_Расчет_аналитики'!BA2476)*IF('01_Вводные'!$B$239="Да",MeanMinAge17+'19_Расчет_аналитики'!BA2584*SUMIF(ThresholdAge17,"&lt;"&amp;'19_Расчет_аналитики'!BA2584,WeightedRevAge17)-SUMIF(ThresholdAge17,"&lt;"&amp;'19_Расчет_аналитики'!BA2584,WeightedMinAge17),MAX(CapacityAge17*'01_Вводные'!$B$218*'19_Расчет_аналитики'!BA2584,MeanMinAge17)))</f>
        <v/>
      </c>
      <c r="BB2532">
        <f>IF(OR(('19_Расчет_аналитики'!BB2448-'19_Расчет_аналитики'!BB2476)=0,17&lt;='01_Вводные'!$B$297),0,('19_Расчет_аналитики'!BB2448-'19_Расчет_аналитики'!BB2476)*IF('01_Вводные'!$B$239="Да",MeanMinAge17+'19_Расчет_аналитики'!BB2584*SUMIF(ThresholdAge17,"&lt;"&amp;'19_Расчет_аналитики'!BB2584,WeightedRevAge17)-SUMIF(ThresholdAge17,"&lt;"&amp;'19_Расчет_аналитики'!BB2584,WeightedMinAge17),MAX(CapacityAge17*'01_Вводные'!$B$218*'19_Расчет_аналитики'!BB2584,MeanMinAge17)))</f>
        <v/>
      </c>
      <c r="BC2532">
        <f>IF(OR(('19_Расчет_аналитики'!BC2448-'19_Расчет_аналитики'!BC2476)=0,17&lt;='01_Вводные'!$B$297),0,('19_Расчет_аналитики'!BC2448-'19_Расчет_аналитики'!BC2476)*IF('01_Вводные'!$B$239="Да",MeanMinAge17+'19_Расчет_аналитики'!BC2584*SUMIF(ThresholdAge17,"&lt;"&amp;'19_Расчет_аналитики'!BC2584,WeightedRevAge17)-SUMIF(ThresholdAge17,"&lt;"&amp;'19_Расчет_аналитики'!BC2584,WeightedMinAge17),MAX(CapacityAge17*'01_Вводные'!$B$218*'19_Расчет_аналитики'!BC2584,MeanMinAge17)))</f>
        <v/>
      </c>
      <c r="BD2532">
        <f>IF(OR(('19_Расчет_аналитики'!BD2448-'19_Расчет_аналитики'!BD2476)=0,17&lt;='01_Вводные'!$B$297),0,('19_Расчет_аналитики'!BD2448-'19_Расчет_аналитики'!BD2476)*IF('01_Вводные'!$B$239="Да",MeanMinAge17+'19_Расчет_аналитики'!BD2584*SUMIF(ThresholdAge17,"&lt;"&amp;'19_Расчет_аналитики'!BD2584,WeightedRevAge17)-SUMIF(ThresholdAge17,"&lt;"&amp;'19_Расчет_аналитики'!BD2584,WeightedMinAge17),MAX(CapacityAge17*'01_Вводные'!$B$218*'19_Расчет_аналитики'!BD2584,MeanMinAge17)))</f>
        <v/>
      </c>
      <c r="BE2532">
        <f>IF(OR(('19_Расчет_аналитики'!BE2448-'19_Расчет_аналитики'!BE2476)=0,17&lt;='01_Вводные'!$B$297),0,('19_Расчет_аналитики'!BE2448-'19_Расчет_аналитики'!BE2476)*IF('01_Вводные'!$B$239="Да",MeanMinAge17+'19_Расчет_аналитики'!BE2584*SUMIF(ThresholdAge17,"&lt;"&amp;'19_Расчет_аналитики'!BE2584,WeightedRevAge17)-SUMIF(ThresholdAge17,"&lt;"&amp;'19_Расчет_аналитики'!BE2584,WeightedMinAge17),MAX(CapacityAge17*'01_Вводные'!$B$218*'19_Расчет_аналитики'!BE2584,MeanMinAge17)))</f>
        <v/>
      </c>
      <c r="BF2532">
        <f>IF(OR(('19_Расчет_аналитики'!BF2448-'19_Расчет_аналитики'!BF2476)=0,17&lt;='01_Вводные'!$B$297),0,('19_Расчет_аналитики'!BF2448-'19_Расчет_аналитики'!BF2476)*IF('01_Вводные'!$B$239="Да",MeanMinAge17+'19_Расчет_аналитики'!BF2584*SUMIF(ThresholdAge17,"&lt;"&amp;'19_Расчет_аналитики'!BF2584,WeightedRevAge17)-SUMIF(ThresholdAge17,"&lt;"&amp;'19_Расчет_аналитики'!BF2584,WeightedMinAge17),MAX(CapacityAge17*'01_Вводные'!$B$218*'19_Расчет_аналитики'!BF2584,MeanMinAge17)))</f>
        <v/>
      </c>
      <c r="BG2532">
        <f>IF(OR(('19_Расчет_аналитики'!BG2448-'19_Расчет_аналитики'!BG2476)=0,17&lt;='01_Вводные'!$B$297),0,('19_Расчет_аналитики'!BG2448-'19_Расчет_аналитики'!BG2476)*IF('01_Вводные'!$B$239="Да",MeanMinAge17+'19_Расчет_аналитики'!BG2584*SUMIF(ThresholdAge17,"&lt;"&amp;'19_Расчет_аналитики'!BG2584,WeightedRevAge17)-SUMIF(ThresholdAge17,"&lt;"&amp;'19_Расчет_аналитики'!BG2584,WeightedMinAge17),MAX(CapacityAge17*'01_Вводные'!$B$218*'19_Расчет_аналитики'!BG2584,MeanMinAge17)))</f>
        <v/>
      </c>
      <c r="BH2532">
        <f>IF(OR(('19_Расчет_аналитики'!BH2448-'19_Расчет_аналитики'!BH2476)=0,17&lt;='01_Вводные'!$B$297),0,('19_Расчет_аналитики'!BH2448-'19_Расчет_аналитики'!BH2476)*IF('01_Вводные'!$B$239="Да",MeanMinAge17+'19_Расчет_аналитики'!BH2584*SUMIF(ThresholdAge17,"&lt;"&amp;'19_Расчет_аналитики'!BH2584,WeightedRevAge17)-SUMIF(ThresholdAge17,"&lt;"&amp;'19_Расчет_аналитики'!BH2584,WeightedMinAge17),MAX(CapacityAge17*'01_Вводные'!$B$218*'19_Расчет_аналитики'!BH2584,MeanMinAge17)))</f>
        <v/>
      </c>
      <c r="BI2532">
        <f>IF(OR(('19_Расчет_аналитики'!BI2448-'19_Расчет_аналитики'!BI2476)=0,17&lt;='01_Вводные'!$B$297),0,('19_Расчет_аналитики'!BI2448-'19_Расчет_аналитики'!BI2476)*IF('01_Вводные'!$B$239="Да",MeanMinAge17+'19_Расчет_аналитики'!BI2584*SUMIF(ThresholdAge17,"&lt;"&amp;'19_Расчет_аналитики'!BI2584,WeightedRevAge17)-SUMIF(ThresholdAge17,"&lt;"&amp;'19_Расчет_аналитики'!BI2584,WeightedMinAge17),MAX(CapacityAge17*'01_Вводные'!$B$218*'19_Расчет_аналитики'!BI2584,MeanMinAge17)))</f>
        <v/>
      </c>
      <c r="BJ2532">
        <f>IF(OR(('19_Расчет_аналитики'!BJ2448-'19_Расчет_аналитики'!BJ2476)=0,17&lt;='01_Вводные'!$B$297),0,('19_Расчет_аналитики'!BJ2448-'19_Расчет_аналитики'!BJ2476)*IF('01_Вводные'!$B$239="Да",MeanMinAge17+'19_Расчет_аналитики'!BJ2584*SUMIF(ThresholdAge17,"&lt;"&amp;'19_Расчет_аналитики'!BJ2584,WeightedRevAge17)-SUMIF(ThresholdAge17,"&lt;"&amp;'19_Расчет_аналитики'!BJ2584,WeightedMinAge17),MAX(CapacityAge17*'01_Вводные'!$B$218*'19_Расчет_аналитики'!BJ2584,MeanMinAge17)))</f>
        <v/>
      </c>
      <c r="BK2532">
        <f>IF(OR(('19_Расчет_аналитики'!BK2448-'19_Расчет_аналитики'!BK2476)=0,17&lt;='01_Вводные'!$B$297),0,('19_Расчет_аналитики'!BK2448-'19_Расчет_аналитики'!BK2476)*IF('01_Вводные'!$B$239="Да",MeanMinAge17+'19_Расчет_аналитики'!BK2584*SUMIF(ThresholdAge17,"&lt;"&amp;'19_Расчет_аналитики'!BK2584,WeightedRevAge17)-SUMIF(ThresholdAge17,"&lt;"&amp;'19_Расчет_аналитики'!BK2584,WeightedMinAge17),MAX(CapacityAge17*'01_Вводные'!$B$218*'19_Расчет_аналитики'!BK2584,MeanMinAge17)))</f>
        <v/>
      </c>
      <c r="BL2532">
        <f>IF(OR(('19_Расчет_аналитики'!BL2448-'19_Расчет_аналитики'!BL2476)=0,17&lt;='01_Вводные'!$B$297),0,('19_Расчет_аналитики'!BL2448-'19_Расчет_аналитики'!BL2476)*IF('01_Вводные'!$B$239="Да",MeanMinAge17+'19_Расчет_аналитики'!BL2584*SUMIF(ThresholdAge17,"&lt;"&amp;'19_Расчет_аналитики'!BL2584,WeightedRevAge17)-SUMIF(ThresholdAge17,"&lt;"&amp;'19_Расчет_аналитики'!BL2584,WeightedMinAge17),MAX(CapacityAge17*'01_Вводные'!$B$218*'19_Расчет_аналитики'!BL2584,MeanMinAge17)))</f>
        <v/>
      </c>
      <c r="BM2532">
        <f>IF(OR(('19_Расчет_аналитики'!BM2448-'19_Расчет_аналитики'!BM2476)=0,17&lt;='01_Вводные'!$B$297),0,('19_Расчет_аналитики'!BM2448-'19_Расчет_аналитики'!BM2476)*IF('01_Вводные'!$B$239="Да",MeanMinAge17+'19_Расчет_аналитики'!BM2584*SUMIF(ThresholdAge17,"&lt;"&amp;'19_Расчет_аналитики'!BM2584,WeightedRevAge17)-SUMIF(ThresholdAge17,"&lt;"&amp;'19_Расчет_аналитики'!BM2584,WeightedMinAge17),MAX(CapacityAge17*'01_Вводные'!$B$218*'19_Расчет_аналитики'!BM2584,MeanMinAge17)))</f>
        <v/>
      </c>
      <c r="BN2532">
        <f>IF(OR(('19_Расчет_аналитики'!BN2448-'19_Расчет_аналитики'!BN2476)=0,17&lt;='01_Вводные'!$B$297),0,('19_Расчет_аналитики'!BN2448-'19_Расчет_аналитики'!BN2476)*IF('01_Вводные'!$B$239="Да",MeanMinAge17+'19_Расчет_аналитики'!BN2584*SUMIF(ThresholdAge17,"&lt;"&amp;'19_Расчет_аналитики'!BN2584,WeightedRevAge17)-SUMIF(ThresholdAge17,"&lt;"&amp;'19_Расчет_аналитики'!BN2584,WeightedMinAge17),MAX(CapacityAge17*'01_Вводные'!$B$218*'19_Расчет_аналитики'!BN2584,MeanMinAge17)))</f>
        <v/>
      </c>
      <c r="BO2532">
        <f>IF(OR(('19_Расчет_аналитики'!BO2448-'19_Расчет_аналитики'!BO2476)=0,17&lt;='01_Вводные'!$B$297),0,('19_Расчет_аналитики'!BO2448-'19_Расчет_аналитики'!BO2476)*IF('01_Вводные'!$B$239="Да",MeanMinAge17+'19_Расчет_аналитики'!BO2584*SUMIF(ThresholdAge17,"&lt;"&amp;'19_Расчет_аналитики'!BO2584,WeightedRevAge17)-SUMIF(ThresholdAge17,"&lt;"&amp;'19_Расчет_аналитики'!BO2584,WeightedMinAge17),MAX(CapacityAge17*'01_Вводные'!$B$218*'19_Расчет_аналитики'!BO2584,MeanMinAge17)))</f>
        <v/>
      </c>
    </row>
    <row r="2533">
      <c r="B2533">
        <f>IF(OR(('06_Сеть_и_дети'!B70-'06_Сеть_и_дети'!B98)=0,18&lt;='01_Вводные'!$B$297),0,('06_Сеть_и_дети'!B70-'06_Сеть_и_дети'!B98)*IF('01_Вводные'!$B$239="Да",MeanMinAge18+'19_Расчет_аналитики'!B2584*SUMIF(ThresholdAge18,"&lt;"&amp;'19_Расчет_аналитики'!B2584,WeightedRevAge18)-SUMIF(ThresholdAge18,"&lt;"&amp;'19_Расчет_аналитики'!B2584,WeightedMinAge18),MAX(CapacityAge18*'01_Вводные'!$B$218*'19_Расчет_аналитики'!B2584,MeanMinAge18)))</f>
        <v/>
      </c>
      <c r="C2533">
        <f>IF(OR(('06_Сеть_и_дети'!C70-'06_Сеть_и_дети'!C98)=0,18&lt;='01_Вводные'!$B$297),0,('06_Сеть_и_дети'!C70-'06_Сеть_и_дети'!C98)*IF('01_Вводные'!$B$239="Да",MeanMinAge18+'19_Расчет_аналитики'!C2584*SUMIF(ThresholdAge18,"&lt;"&amp;'19_Расчет_аналитики'!C2584,WeightedRevAge18)-SUMIF(ThresholdAge18,"&lt;"&amp;'19_Расчет_аналитики'!C2584,WeightedMinAge18),MAX(CapacityAge18*'01_Вводные'!$B$218*'19_Расчет_аналитики'!C2584,MeanMinAge18)))</f>
        <v/>
      </c>
      <c r="D2533">
        <f>IF(OR(('06_Сеть_и_дети'!D70-'06_Сеть_и_дети'!D98)=0,18&lt;='01_Вводные'!$B$297),0,('06_Сеть_и_дети'!D70-'06_Сеть_и_дети'!D98)*IF('01_Вводные'!$B$239="Да",MeanMinAge18+'19_Расчет_аналитики'!D2584*SUMIF(ThresholdAge18,"&lt;"&amp;'19_Расчет_аналитики'!D2584,WeightedRevAge18)-SUMIF(ThresholdAge18,"&lt;"&amp;'19_Расчет_аналитики'!D2584,WeightedMinAge18),MAX(CapacityAge18*'01_Вводные'!$B$218*'19_Расчет_аналитики'!D2584,MeanMinAge18)))</f>
        <v/>
      </c>
      <c r="E2533">
        <f>IF(OR(('06_Сеть_и_дети'!E70-'06_Сеть_и_дети'!E98)=0,18&lt;='01_Вводные'!$B$297),0,('06_Сеть_и_дети'!E70-'06_Сеть_и_дети'!E98)*IF('01_Вводные'!$B$239="Да",MeanMinAge18+'19_Расчет_аналитики'!E2584*SUMIF(ThresholdAge18,"&lt;"&amp;'19_Расчет_аналитики'!E2584,WeightedRevAge18)-SUMIF(ThresholdAge18,"&lt;"&amp;'19_Расчет_аналитики'!E2584,WeightedMinAge18),MAX(CapacityAge18*'01_Вводные'!$B$218*'19_Расчет_аналитики'!E2584,MeanMinAge18)))</f>
        <v/>
      </c>
      <c r="F2533">
        <f>IF(OR(('06_Сеть_и_дети'!F70-'06_Сеть_и_дети'!F98)=0,18&lt;='01_Вводные'!$B$297),0,('06_Сеть_и_дети'!F70-'06_Сеть_и_дети'!F98)*IF('01_Вводные'!$B$239="Да",MeanMinAge18+'19_Расчет_аналитики'!F2584*SUMIF(ThresholdAge18,"&lt;"&amp;'19_Расчет_аналитики'!F2584,WeightedRevAge18)-SUMIF(ThresholdAge18,"&lt;"&amp;'19_Расчет_аналитики'!F2584,WeightedMinAge18),MAX(CapacityAge18*'01_Вводные'!$B$218*'19_Расчет_аналитики'!F2584,MeanMinAge18)))</f>
        <v/>
      </c>
      <c r="G2533">
        <f>IF(OR(('06_Сеть_и_дети'!G70-'06_Сеть_и_дети'!G98)=0,18&lt;='01_Вводные'!$B$297),0,('06_Сеть_и_дети'!G70-'06_Сеть_и_дети'!G98)*IF('01_Вводные'!$B$239="Да",MeanMinAge18+'19_Расчет_аналитики'!G2584*SUMIF(ThresholdAge18,"&lt;"&amp;'19_Расчет_аналитики'!G2584,WeightedRevAge18)-SUMIF(ThresholdAge18,"&lt;"&amp;'19_Расчет_аналитики'!G2584,WeightedMinAge18),MAX(CapacityAge18*'01_Вводные'!$B$218*'19_Расчет_аналитики'!G2584,MeanMinAge18)))</f>
        <v/>
      </c>
      <c r="H2533">
        <f>IF(OR(('06_Сеть_и_дети'!H70-'06_Сеть_и_дети'!H98)=0,18&lt;='01_Вводные'!$B$297),0,('06_Сеть_и_дети'!H70-'06_Сеть_и_дети'!H98)*IF('01_Вводные'!$B$239="Да",MeanMinAge18+'19_Расчет_аналитики'!H2584*SUMIF(ThresholdAge18,"&lt;"&amp;'19_Расчет_аналитики'!H2584,WeightedRevAge18)-SUMIF(ThresholdAge18,"&lt;"&amp;'19_Расчет_аналитики'!H2584,WeightedMinAge18),MAX(CapacityAge18*'01_Вводные'!$B$218*'19_Расчет_аналитики'!H2584,MeanMinAge18)))</f>
        <v/>
      </c>
      <c r="I2533">
        <f>IF(OR(('06_Сеть_и_дети'!I70-'06_Сеть_и_дети'!I98)=0,18&lt;='01_Вводные'!$B$297),0,('06_Сеть_и_дети'!I70-'06_Сеть_и_дети'!I98)*IF('01_Вводные'!$B$239="Да",MeanMinAge18+'19_Расчет_аналитики'!I2584*SUMIF(ThresholdAge18,"&lt;"&amp;'19_Расчет_аналитики'!I2584,WeightedRevAge18)-SUMIF(ThresholdAge18,"&lt;"&amp;'19_Расчет_аналитики'!I2584,WeightedMinAge18),MAX(CapacityAge18*'01_Вводные'!$B$218*'19_Расчет_аналитики'!I2584,MeanMinAge18)))</f>
        <v/>
      </c>
      <c r="J2533">
        <f>IF(OR(('06_Сеть_и_дети'!J70-'06_Сеть_и_дети'!J98)=0,18&lt;='01_Вводные'!$B$297),0,('06_Сеть_и_дети'!J70-'06_Сеть_и_дети'!J98)*IF('01_Вводные'!$B$239="Да",MeanMinAge18+'19_Расчет_аналитики'!J2584*SUMIF(ThresholdAge18,"&lt;"&amp;'19_Расчет_аналитики'!J2584,WeightedRevAge18)-SUMIF(ThresholdAge18,"&lt;"&amp;'19_Расчет_аналитики'!J2584,WeightedMinAge18),MAX(CapacityAge18*'01_Вводные'!$B$218*'19_Расчет_аналитики'!J2584,MeanMinAge18)))</f>
        <v/>
      </c>
      <c r="K2533">
        <f>IF(OR(('06_Сеть_и_дети'!K70-'06_Сеть_и_дети'!K98)=0,18&lt;='01_Вводные'!$B$297),0,('06_Сеть_и_дети'!K70-'06_Сеть_и_дети'!K98)*IF('01_Вводные'!$B$239="Да",MeanMinAge18+'19_Расчет_аналитики'!K2584*SUMIF(ThresholdAge18,"&lt;"&amp;'19_Расчет_аналитики'!K2584,WeightedRevAge18)-SUMIF(ThresholdAge18,"&lt;"&amp;'19_Расчет_аналитики'!K2584,WeightedMinAge18),MAX(CapacityAge18*'01_Вводные'!$B$218*'19_Расчет_аналитики'!K2584,MeanMinAge18)))</f>
        <v/>
      </c>
      <c r="L2533">
        <f>IF(OR(('06_Сеть_и_дети'!L70-'06_Сеть_и_дети'!L98)=0,18&lt;='01_Вводные'!$B$297),0,('06_Сеть_и_дети'!L70-'06_Сеть_и_дети'!L98)*IF('01_Вводные'!$B$239="Да",MeanMinAge18+'19_Расчет_аналитики'!L2584*SUMIF(ThresholdAge18,"&lt;"&amp;'19_Расчет_аналитики'!L2584,WeightedRevAge18)-SUMIF(ThresholdAge18,"&lt;"&amp;'19_Расчет_аналитики'!L2584,WeightedMinAge18),MAX(CapacityAge18*'01_Вводные'!$B$218*'19_Расчет_аналитики'!L2584,MeanMinAge18)))</f>
        <v/>
      </c>
      <c r="M2533">
        <f>IF(OR(('06_Сеть_и_дети'!M70-'06_Сеть_и_дети'!M98)=0,18&lt;='01_Вводные'!$B$297),0,('06_Сеть_и_дети'!M70-'06_Сеть_и_дети'!M98)*IF('01_Вводные'!$B$239="Да",MeanMinAge18+'19_Расчет_аналитики'!M2584*SUMIF(ThresholdAge18,"&lt;"&amp;'19_Расчет_аналитики'!M2584,WeightedRevAge18)-SUMIF(ThresholdAge18,"&lt;"&amp;'19_Расчет_аналитики'!M2584,WeightedMinAge18),MAX(CapacityAge18*'01_Вводные'!$B$218*'19_Расчет_аналитики'!M2584,MeanMinAge18)))</f>
        <v/>
      </c>
      <c r="N2533">
        <f>IF(OR(('06_Сеть_и_дети'!N70-'06_Сеть_и_дети'!N98)=0,18&lt;='01_Вводные'!$B$297),0,('06_Сеть_и_дети'!N70-'06_Сеть_и_дети'!N98)*IF('01_Вводные'!$B$239="Да",MeanMinAge18+'19_Расчет_аналитики'!N2584*SUMIF(ThresholdAge18,"&lt;"&amp;'19_Расчет_аналитики'!N2584,WeightedRevAge18)-SUMIF(ThresholdAge18,"&lt;"&amp;'19_Расчет_аналитики'!N2584,WeightedMinAge18),MAX(CapacityAge18*'01_Вводные'!$B$218*'19_Расчет_аналитики'!N2584,MeanMinAge18)))</f>
        <v/>
      </c>
      <c r="O2533">
        <f>IF(OR(('06_Сеть_и_дети'!O70-'06_Сеть_и_дети'!O98)=0,18&lt;='01_Вводные'!$B$297),0,('06_Сеть_и_дети'!O70-'06_Сеть_и_дети'!O98)*IF('01_Вводные'!$B$239="Да",MeanMinAge18+'19_Расчет_аналитики'!O2584*SUMIF(ThresholdAge18,"&lt;"&amp;'19_Расчет_аналитики'!O2584,WeightedRevAge18)-SUMIF(ThresholdAge18,"&lt;"&amp;'19_Расчет_аналитики'!O2584,WeightedMinAge18),MAX(CapacityAge18*'01_Вводные'!$B$218*'19_Расчет_аналитики'!O2584,MeanMinAge18)))</f>
        <v/>
      </c>
      <c r="P2533">
        <f>IF(OR(('06_Сеть_и_дети'!P70-'06_Сеть_и_дети'!P98)=0,18&lt;='01_Вводные'!$B$297),0,('06_Сеть_и_дети'!P70-'06_Сеть_и_дети'!P98)*IF('01_Вводные'!$B$239="Да",MeanMinAge18+'19_Расчет_аналитики'!P2584*SUMIF(ThresholdAge18,"&lt;"&amp;'19_Расчет_аналитики'!P2584,WeightedRevAge18)-SUMIF(ThresholdAge18,"&lt;"&amp;'19_Расчет_аналитики'!P2584,WeightedMinAge18),MAX(CapacityAge18*'01_Вводные'!$B$218*'19_Расчет_аналитики'!P2584,MeanMinAge18)))</f>
        <v/>
      </c>
      <c r="Q2533">
        <f>IF(OR(('06_Сеть_и_дети'!Q70-'06_Сеть_и_дети'!Q98)=0,18&lt;='01_Вводные'!$B$297),0,('06_Сеть_и_дети'!Q70-'06_Сеть_и_дети'!Q98)*IF('01_Вводные'!$B$239="Да",MeanMinAge18+'19_Расчет_аналитики'!Q2584*SUMIF(ThresholdAge18,"&lt;"&amp;'19_Расчет_аналитики'!Q2584,WeightedRevAge18)-SUMIF(ThresholdAge18,"&lt;"&amp;'19_Расчет_аналитики'!Q2584,WeightedMinAge18),MAX(CapacityAge18*'01_Вводные'!$B$218*'19_Расчет_аналитики'!Q2584,MeanMinAge18)))</f>
        <v/>
      </c>
      <c r="R2533">
        <f>IF(OR(('06_Сеть_и_дети'!R70-'06_Сеть_и_дети'!R98)=0,18&lt;='01_Вводные'!$B$297),0,('06_Сеть_и_дети'!R70-'06_Сеть_и_дети'!R98)*IF('01_Вводные'!$B$239="Да",MeanMinAge18+'19_Расчет_аналитики'!R2584*SUMIF(ThresholdAge18,"&lt;"&amp;'19_Расчет_аналитики'!R2584,WeightedRevAge18)-SUMIF(ThresholdAge18,"&lt;"&amp;'19_Расчет_аналитики'!R2584,WeightedMinAge18),MAX(CapacityAge18*'01_Вводные'!$B$218*'19_Расчет_аналитики'!R2584,MeanMinAge18)))</f>
        <v/>
      </c>
      <c r="S2533">
        <f>IF(OR(('19_Расчет_аналитики'!S2449-'19_Расчет_аналитики'!S2477)=0,18&lt;='01_Вводные'!$B$297),0,('19_Расчет_аналитики'!S2449-'19_Расчет_аналитики'!S2477)*IF('01_Вводные'!$B$239="Да",MeanMinAge18+'19_Расчет_аналитики'!S2584*SUMIF(ThresholdAge18,"&lt;"&amp;'19_Расчет_аналитики'!S2584,WeightedRevAge18)-SUMIF(ThresholdAge18,"&lt;"&amp;'19_Расчет_аналитики'!S2584,WeightedMinAge18),MAX(CapacityAge18*'01_Вводные'!$B$218*'19_Расчет_аналитики'!S2584,MeanMinAge18)))</f>
        <v/>
      </c>
      <c r="T2533">
        <f>IF(OR(('19_Расчет_аналитики'!T2449-'19_Расчет_аналитики'!T2477)=0,18&lt;='01_Вводные'!$B$297),0,('19_Расчет_аналитики'!T2449-'19_Расчет_аналитики'!T2477)*IF('01_Вводные'!$B$239="Да",MeanMinAge18+'19_Расчет_аналитики'!T2584*SUMIF(ThresholdAge18,"&lt;"&amp;'19_Расчет_аналитики'!T2584,WeightedRevAge18)-SUMIF(ThresholdAge18,"&lt;"&amp;'19_Расчет_аналитики'!T2584,WeightedMinAge18),MAX(CapacityAge18*'01_Вводные'!$B$218*'19_Расчет_аналитики'!T2584,MeanMinAge18)))</f>
        <v/>
      </c>
      <c r="U2533">
        <f>IF(OR(('19_Расчет_аналитики'!U2449-'19_Расчет_аналитики'!U2477)=0,18&lt;='01_Вводные'!$B$297),0,('19_Расчет_аналитики'!U2449-'19_Расчет_аналитики'!U2477)*IF('01_Вводные'!$B$239="Да",MeanMinAge18+'19_Расчет_аналитики'!U2584*SUMIF(ThresholdAge18,"&lt;"&amp;'19_Расчет_аналитики'!U2584,WeightedRevAge18)-SUMIF(ThresholdAge18,"&lt;"&amp;'19_Расчет_аналитики'!U2584,WeightedMinAge18),MAX(CapacityAge18*'01_Вводные'!$B$218*'19_Расчет_аналитики'!U2584,MeanMinAge18)))</f>
        <v/>
      </c>
      <c r="V2533">
        <f>IF(OR(('19_Расчет_аналитики'!V2449-'19_Расчет_аналитики'!V2477)=0,18&lt;='01_Вводные'!$B$297),0,('19_Расчет_аналитики'!V2449-'19_Расчет_аналитики'!V2477)*IF('01_Вводные'!$B$239="Да",MeanMinAge18+'19_Расчет_аналитики'!V2584*SUMIF(ThresholdAge18,"&lt;"&amp;'19_Расчет_аналитики'!V2584,WeightedRevAge18)-SUMIF(ThresholdAge18,"&lt;"&amp;'19_Расчет_аналитики'!V2584,WeightedMinAge18),MAX(CapacityAge18*'01_Вводные'!$B$218*'19_Расчет_аналитики'!V2584,MeanMinAge18)))</f>
        <v/>
      </c>
      <c r="W2533">
        <f>IF(OR(('19_Расчет_аналитики'!W2449-'19_Расчет_аналитики'!W2477)=0,18&lt;='01_Вводные'!$B$297),0,('19_Расчет_аналитики'!W2449-'19_Расчет_аналитики'!W2477)*IF('01_Вводные'!$B$239="Да",MeanMinAge18+'19_Расчет_аналитики'!W2584*SUMIF(ThresholdAge18,"&lt;"&amp;'19_Расчет_аналитики'!W2584,WeightedRevAge18)-SUMIF(ThresholdAge18,"&lt;"&amp;'19_Расчет_аналитики'!W2584,WeightedMinAge18),MAX(CapacityAge18*'01_Вводные'!$B$218*'19_Расчет_аналитики'!W2584,MeanMinAge18)))</f>
        <v/>
      </c>
      <c r="X2533">
        <f>IF(OR(('19_Расчет_аналитики'!X2449-'19_Расчет_аналитики'!X2477)=0,18&lt;='01_Вводные'!$B$297),0,('19_Расчет_аналитики'!X2449-'19_Расчет_аналитики'!X2477)*IF('01_Вводные'!$B$239="Да",MeanMinAge18+'19_Расчет_аналитики'!X2584*SUMIF(ThresholdAge18,"&lt;"&amp;'19_Расчет_аналитики'!X2584,WeightedRevAge18)-SUMIF(ThresholdAge18,"&lt;"&amp;'19_Расчет_аналитики'!X2584,WeightedMinAge18),MAX(CapacityAge18*'01_Вводные'!$B$218*'19_Расчет_аналитики'!X2584,MeanMinAge18)))</f>
        <v/>
      </c>
      <c r="Y2533">
        <f>IF(OR(('19_Расчет_аналитики'!Y2449-'19_Расчет_аналитики'!Y2477)=0,18&lt;='01_Вводные'!$B$297),0,('19_Расчет_аналитики'!Y2449-'19_Расчет_аналитики'!Y2477)*IF('01_Вводные'!$B$239="Да",MeanMinAge18+'19_Расчет_аналитики'!Y2584*SUMIF(ThresholdAge18,"&lt;"&amp;'19_Расчет_аналитики'!Y2584,WeightedRevAge18)-SUMIF(ThresholdAge18,"&lt;"&amp;'19_Расчет_аналитики'!Y2584,WeightedMinAge18),MAX(CapacityAge18*'01_Вводные'!$B$218*'19_Расчет_аналитики'!Y2584,MeanMinAge18)))</f>
        <v/>
      </c>
      <c r="Z2533">
        <f>IF(OR(('19_Расчет_аналитики'!Z2449-'19_Расчет_аналитики'!Z2477)=0,18&lt;='01_Вводные'!$B$297),0,('19_Расчет_аналитики'!Z2449-'19_Расчет_аналитики'!Z2477)*IF('01_Вводные'!$B$239="Да",MeanMinAge18+'19_Расчет_аналитики'!Z2584*SUMIF(ThresholdAge18,"&lt;"&amp;'19_Расчет_аналитики'!Z2584,WeightedRevAge18)-SUMIF(ThresholdAge18,"&lt;"&amp;'19_Расчет_аналитики'!Z2584,WeightedMinAge18),MAX(CapacityAge18*'01_Вводные'!$B$218*'19_Расчет_аналитики'!Z2584,MeanMinAge18)))</f>
        <v/>
      </c>
      <c r="AA2533">
        <f>IF(OR(('19_Расчет_аналитики'!AA2449-'19_Расчет_аналитики'!AA2477)=0,18&lt;='01_Вводные'!$B$297),0,('19_Расчет_аналитики'!AA2449-'19_Расчет_аналитики'!AA2477)*IF('01_Вводные'!$B$239="Да",MeanMinAge18+'19_Расчет_аналитики'!AA2584*SUMIF(ThresholdAge18,"&lt;"&amp;'19_Расчет_аналитики'!AA2584,WeightedRevAge18)-SUMIF(ThresholdAge18,"&lt;"&amp;'19_Расчет_аналитики'!AA2584,WeightedMinAge18),MAX(CapacityAge18*'01_Вводные'!$B$218*'19_Расчет_аналитики'!AA2584,MeanMinAge18)))</f>
        <v/>
      </c>
      <c r="AB2533">
        <f>IF(OR(('19_Расчет_аналитики'!AB2449-'19_Расчет_аналитики'!AB2477)=0,18&lt;='01_Вводные'!$B$297),0,('19_Расчет_аналитики'!AB2449-'19_Расчет_аналитики'!AB2477)*IF('01_Вводные'!$B$239="Да",MeanMinAge18+'19_Расчет_аналитики'!AB2584*SUMIF(ThresholdAge18,"&lt;"&amp;'19_Расчет_аналитики'!AB2584,WeightedRevAge18)-SUMIF(ThresholdAge18,"&lt;"&amp;'19_Расчет_аналитики'!AB2584,WeightedMinAge18),MAX(CapacityAge18*'01_Вводные'!$B$218*'19_Расчет_аналитики'!AB2584,MeanMinAge18)))</f>
        <v/>
      </c>
      <c r="AC2533">
        <f>IF(OR(('19_Расчет_аналитики'!AC2449-'19_Расчет_аналитики'!AC2477)=0,18&lt;='01_Вводные'!$B$297),0,('19_Расчет_аналитики'!AC2449-'19_Расчет_аналитики'!AC2477)*IF('01_Вводные'!$B$239="Да",MeanMinAge18+'19_Расчет_аналитики'!AC2584*SUMIF(ThresholdAge18,"&lt;"&amp;'19_Расчет_аналитики'!AC2584,WeightedRevAge18)-SUMIF(ThresholdAge18,"&lt;"&amp;'19_Расчет_аналитики'!AC2584,WeightedMinAge18),MAX(CapacityAge18*'01_Вводные'!$B$218*'19_Расчет_аналитики'!AC2584,MeanMinAge18)))</f>
        <v/>
      </c>
      <c r="AD2533">
        <f>IF(OR(('19_Расчет_аналитики'!AD2449-'19_Расчет_аналитики'!AD2477)=0,18&lt;='01_Вводные'!$B$297),0,('19_Расчет_аналитики'!AD2449-'19_Расчет_аналитики'!AD2477)*IF('01_Вводные'!$B$239="Да",MeanMinAge18+'19_Расчет_аналитики'!AD2584*SUMIF(ThresholdAge18,"&lt;"&amp;'19_Расчет_аналитики'!AD2584,WeightedRevAge18)-SUMIF(ThresholdAge18,"&lt;"&amp;'19_Расчет_аналитики'!AD2584,WeightedMinAge18),MAX(CapacityAge18*'01_Вводные'!$B$218*'19_Расчет_аналитики'!AD2584,MeanMinAge18)))</f>
        <v/>
      </c>
      <c r="AE2533">
        <f>IF(OR(('19_Расчет_аналитики'!AE2449-'19_Расчет_аналитики'!AE2477)=0,18&lt;='01_Вводные'!$B$297),0,('19_Расчет_аналитики'!AE2449-'19_Расчет_аналитики'!AE2477)*IF('01_Вводные'!$B$239="Да",MeanMinAge18+'19_Расчет_аналитики'!AE2584*SUMIF(ThresholdAge18,"&lt;"&amp;'19_Расчет_аналитики'!AE2584,WeightedRevAge18)-SUMIF(ThresholdAge18,"&lt;"&amp;'19_Расчет_аналитики'!AE2584,WeightedMinAge18),MAX(CapacityAge18*'01_Вводные'!$B$218*'19_Расчет_аналитики'!AE2584,MeanMinAge18)))</f>
        <v/>
      </c>
      <c r="AF2533">
        <f>IF(OR(('19_Расчет_аналитики'!AF2449-'19_Расчет_аналитики'!AF2477)=0,18&lt;='01_Вводные'!$B$297),0,('19_Расчет_аналитики'!AF2449-'19_Расчет_аналитики'!AF2477)*IF('01_Вводные'!$B$239="Да",MeanMinAge18+'19_Расчет_аналитики'!AF2584*SUMIF(ThresholdAge18,"&lt;"&amp;'19_Расчет_аналитики'!AF2584,WeightedRevAge18)-SUMIF(ThresholdAge18,"&lt;"&amp;'19_Расчет_аналитики'!AF2584,WeightedMinAge18),MAX(CapacityAge18*'01_Вводные'!$B$218*'19_Расчет_аналитики'!AF2584,MeanMinAge18)))</f>
        <v/>
      </c>
      <c r="AG2533">
        <f>IF(OR(('19_Расчет_аналитики'!AG2449-'19_Расчет_аналитики'!AG2477)=0,18&lt;='01_Вводные'!$B$297),0,('19_Расчет_аналитики'!AG2449-'19_Расчет_аналитики'!AG2477)*IF('01_Вводные'!$B$239="Да",MeanMinAge18+'19_Расчет_аналитики'!AG2584*SUMIF(ThresholdAge18,"&lt;"&amp;'19_Расчет_аналитики'!AG2584,WeightedRevAge18)-SUMIF(ThresholdAge18,"&lt;"&amp;'19_Расчет_аналитики'!AG2584,WeightedMinAge18),MAX(CapacityAge18*'01_Вводные'!$B$218*'19_Расчет_аналитики'!AG2584,MeanMinAge18)))</f>
        <v/>
      </c>
      <c r="AH2533">
        <f>IF(OR(('19_Расчет_аналитики'!AH2449-'19_Расчет_аналитики'!AH2477)=0,18&lt;='01_Вводные'!$B$297),0,('19_Расчет_аналитики'!AH2449-'19_Расчет_аналитики'!AH2477)*IF('01_Вводные'!$B$239="Да",MeanMinAge18+'19_Расчет_аналитики'!AH2584*SUMIF(ThresholdAge18,"&lt;"&amp;'19_Расчет_аналитики'!AH2584,WeightedRevAge18)-SUMIF(ThresholdAge18,"&lt;"&amp;'19_Расчет_аналитики'!AH2584,WeightedMinAge18),MAX(CapacityAge18*'01_Вводные'!$B$218*'19_Расчет_аналитики'!AH2584,MeanMinAge18)))</f>
        <v/>
      </c>
      <c r="AI2533">
        <f>IF(OR(('19_Расчет_аналитики'!AI2449-'19_Расчет_аналитики'!AI2477)=0,18&lt;='01_Вводные'!$B$297),0,('19_Расчет_аналитики'!AI2449-'19_Расчет_аналитики'!AI2477)*IF('01_Вводные'!$B$239="Да",MeanMinAge18+'19_Расчет_аналитики'!AI2584*SUMIF(ThresholdAge18,"&lt;"&amp;'19_Расчет_аналитики'!AI2584,WeightedRevAge18)-SUMIF(ThresholdAge18,"&lt;"&amp;'19_Расчет_аналитики'!AI2584,WeightedMinAge18),MAX(CapacityAge18*'01_Вводные'!$B$218*'19_Расчет_аналитики'!AI2584,MeanMinAge18)))</f>
        <v/>
      </c>
      <c r="AJ2533">
        <f>IF(OR(('19_Расчет_аналитики'!AJ2449-'19_Расчет_аналитики'!AJ2477)=0,18&lt;='01_Вводные'!$B$297),0,('19_Расчет_аналитики'!AJ2449-'19_Расчет_аналитики'!AJ2477)*IF('01_Вводные'!$B$239="Да",MeanMinAge18+'19_Расчет_аналитики'!AJ2584*SUMIF(ThresholdAge18,"&lt;"&amp;'19_Расчет_аналитики'!AJ2584,WeightedRevAge18)-SUMIF(ThresholdAge18,"&lt;"&amp;'19_Расчет_аналитики'!AJ2584,WeightedMinAge18),MAX(CapacityAge18*'01_Вводные'!$B$218*'19_Расчет_аналитики'!AJ2584,MeanMinAge18)))</f>
        <v/>
      </c>
      <c r="AK2533">
        <f>IF(OR(('19_Расчет_аналитики'!AK2449-'19_Расчет_аналитики'!AK2477)=0,18&lt;='01_Вводные'!$B$297),0,('19_Расчет_аналитики'!AK2449-'19_Расчет_аналитики'!AK2477)*IF('01_Вводные'!$B$239="Да",MeanMinAge18+'19_Расчет_аналитики'!AK2584*SUMIF(ThresholdAge18,"&lt;"&amp;'19_Расчет_аналитики'!AK2584,WeightedRevAge18)-SUMIF(ThresholdAge18,"&lt;"&amp;'19_Расчет_аналитики'!AK2584,WeightedMinAge18),MAX(CapacityAge18*'01_Вводные'!$B$218*'19_Расчет_аналитики'!AK2584,MeanMinAge18)))</f>
        <v/>
      </c>
      <c r="AL2533">
        <f>IF(OR(('19_Расчет_аналитики'!AL2449-'19_Расчет_аналитики'!AL2477)=0,18&lt;='01_Вводные'!$B$297),0,('19_Расчет_аналитики'!AL2449-'19_Расчет_аналитики'!AL2477)*IF('01_Вводные'!$B$239="Да",MeanMinAge18+'19_Расчет_аналитики'!AL2584*SUMIF(ThresholdAge18,"&lt;"&amp;'19_Расчет_аналитики'!AL2584,WeightedRevAge18)-SUMIF(ThresholdAge18,"&lt;"&amp;'19_Расчет_аналитики'!AL2584,WeightedMinAge18),MAX(CapacityAge18*'01_Вводные'!$B$218*'19_Расчет_аналитики'!AL2584,MeanMinAge18)))</f>
        <v/>
      </c>
      <c r="AM2533">
        <f>IF(OR(('19_Расчет_аналитики'!AM2449-'19_Расчет_аналитики'!AM2477)=0,18&lt;='01_Вводные'!$B$297),0,('19_Расчет_аналитики'!AM2449-'19_Расчет_аналитики'!AM2477)*IF('01_Вводные'!$B$239="Да",MeanMinAge18+'19_Расчет_аналитики'!AM2584*SUMIF(ThresholdAge18,"&lt;"&amp;'19_Расчет_аналитики'!AM2584,WeightedRevAge18)-SUMIF(ThresholdAge18,"&lt;"&amp;'19_Расчет_аналитики'!AM2584,WeightedMinAge18),MAX(CapacityAge18*'01_Вводные'!$B$218*'19_Расчет_аналитики'!AM2584,MeanMinAge18)))</f>
        <v/>
      </c>
      <c r="AN2533">
        <f>IF(OR(('19_Расчет_аналитики'!AN2449-'19_Расчет_аналитики'!AN2477)=0,18&lt;='01_Вводные'!$B$297),0,('19_Расчет_аналитики'!AN2449-'19_Расчет_аналитики'!AN2477)*IF('01_Вводные'!$B$239="Да",MeanMinAge18+'19_Расчет_аналитики'!AN2584*SUMIF(ThresholdAge18,"&lt;"&amp;'19_Расчет_аналитики'!AN2584,WeightedRevAge18)-SUMIF(ThresholdAge18,"&lt;"&amp;'19_Расчет_аналитики'!AN2584,WeightedMinAge18),MAX(CapacityAge18*'01_Вводные'!$B$218*'19_Расчет_аналитики'!AN2584,MeanMinAge18)))</f>
        <v/>
      </c>
      <c r="AO2533">
        <f>IF(OR(('19_Расчет_аналитики'!AO2449-'19_Расчет_аналитики'!AO2477)=0,18&lt;='01_Вводные'!$B$297),0,('19_Расчет_аналитики'!AO2449-'19_Расчет_аналитики'!AO2477)*IF('01_Вводные'!$B$239="Да",MeanMinAge18+'19_Расчет_аналитики'!AO2584*SUMIF(ThresholdAge18,"&lt;"&amp;'19_Расчет_аналитики'!AO2584,WeightedRevAge18)-SUMIF(ThresholdAge18,"&lt;"&amp;'19_Расчет_аналитики'!AO2584,WeightedMinAge18),MAX(CapacityAge18*'01_Вводные'!$B$218*'19_Расчет_аналитики'!AO2584,MeanMinAge18)))</f>
        <v/>
      </c>
      <c r="AP2533">
        <f>IF(OR(('19_Расчет_аналитики'!AP2449-'19_Расчет_аналитики'!AP2477)=0,18&lt;='01_Вводные'!$B$297),0,('19_Расчет_аналитики'!AP2449-'19_Расчет_аналитики'!AP2477)*IF('01_Вводные'!$B$239="Да",MeanMinAge18+'19_Расчет_аналитики'!AP2584*SUMIF(ThresholdAge18,"&lt;"&amp;'19_Расчет_аналитики'!AP2584,WeightedRevAge18)-SUMIF(ThresholdAge18,"&lt;"&amp;'19_Расчет_аналитики'!AP2584,WeightedMinAge18),MAX(CapacityAge18*'01_Вводные'!$B$218*'19_Расчет_аналитики'!AP2584,MeanMinAge18)))</f>
        <v/>
      </c>
      <c r="AQ2533">
        <f>IF(OR(('19_Расчет_аналитики'!AQ2449-'19_Расчет_аналитики'!AQ2477)=0,18&lt;='01_Вводные'!$B$297),0,('19_Расчет_аналитики'!AQ2449-'19_Расчет_аналитики'!AQ2477)*IF('01_Вводные'!$B$239="Да",MeanMinAge18+'19_Расчет_аналитики'!AQ2584*SUMIF(ThresholdAge18,"&lt;"&amp;'19_Расчет_аналитики'!AQ2584,WeightedRevAge18)-SUMIF(ThresholdAge18,"&lt;"&amp;'19_Расчет_аналитики'!AQ2584,WeightedMinAge18),MAX(CapacityAge18*'01_Вводные'!$B$218*'19_Расчет_аналитики'!AQ2584,MeanMinAge18)))</f>
        <v/>
      </c>
      <c r="AR2533">
        <f>IF(OR(('19_Расчет_аналитики'!AR2449-'19_Расчет_аналитики'!AR2477)=0,18&lt;='01_Вводные'!$B$297),0,('19_Расчет_аналитики'!AR2449-'19_Расчет_аналитики'!AR2477)*IF('01_Вводные'!$B$239="Да",MeanMinAge18+'19_Расчет_аналитики'!AR2584*SUMIF(ThresholdAge18,"&lt;"&amp;'19_Расчет_аналитики'!AR2584,WeightedRevAge18)-SUMIF(ThresholdAge18,"&lt;"&amp;'19_Расчет_аналитики'!AR2584,WeightedMinAge18),MAX(CapacityAge18*'01_Вводные'!$B$218*'19_Расчет_аналитики'!AR2584,MeanMinAge18)))</f>
        <v/>
      </c>
      <c r="AS2533">
        <f>IF(OR(('19_Расчет_аналитики'!AS2449-'19_Расчет_аналитики'!AS2477)=0,18&lt;='01_Вводные'!$B$297),0,('19_Расчет_аналитики'!AS2449-'19_Расчет_аналитики'!AS2477)*IF('01_Вводные'!$B$239="Да",MeanMinAge18+'19_Расчет_аналитики'!AS2584*SUMIF(ThresholdAge18,"&lt;"&amp;'19_Расчет_аналитики'!AS2584,WeightedRevAge18)-SUMIF(ThresholdAge18,"&lt;"&amp;'19_Расчет_аналитики'!AS2584,WeightedMinAge18),MAX(CapacityAge18*'01_Вводные'!$B$218*'19_Расчет_аналитики'!AS2584,MeanMinAge18)))</f>
        <v/>
      </c>
      <c r="AT2533">
        <f>IF(OR(('19_Расчет_аналитики'!AT2449-'19_Расчет_аналитики'!AT2477)=0,18&lt;='01_Вводные'!$B$297),0,('19_Расчет_аналитики'!AT2449-'19_Расчет_аналитики'!AT2477)*IF('01_Вводные'!$B$239="Да",MeanMinAge18+'19_Расчет_аналитики'!AT2584*SUMIF(ThresholdAge18,"&lt;"&amp;'19_Расчет_аналитики'!AT2584,WeightedRevAge18)-SUMIF(ThresholdAge18,"&lt;"&amp;'19_Расчет_аналитики'!AT2584,WeightedMinAge18),MAX(CapacityAge18*'01_Вводные'!$B$218*'19_Расчет_аналитики'!AT2584,MeanMinAge18)))</f>
        <v/>
      </c>
      <c r="AU2533">
        <f>IF(OR(('19_Расчет_аналитики'!AU2449-'19_Расчет_аналитики'!AU2477)=0,18&lt;='01_Вводные'!$B$297),0,('19_Расчет_аналитики'!AU2449-'19_Расчет_аналитики'!AU2477)*IF('01_Вводные'!$B$239="Да",MeanMinAge18+'19_Расчет_аналитики'!AU2584*SUMIF(ThresholdAge18,"&lt;"&amp;'19_Расчет_аналитики'!AU2584,WeightedRevAge18)-SUMIF(ThresholdAge18,"&lt;"&amp;'19_Расчет_аналитики'!AU2584,WeightedMinAge18),MAX(CapacityAge18*'01_Вводные'!$B$218*'19_Расчет_аналитики'!AU2584,MeanMinAge18)))</f>
        <v/>
      </c>
      <c r="AV2533">
        <f>IF(OR(('19_Расчет_аналитики'!AV2449-'19_Расчет_аналитики'!AV2477)=0,18&lt;='01_Вводные'!$B$297),0,('19_Расчет_аналитики'!AV2449-'19_Расчет_аналитики'!AV2477)*IF('01_Вводные'!$B$239="Да",MeanMinAge18+'19_Расчет_аналитики'!AV2584*SUMIF(ThresholdAge18,"&lt;"&amp;'19_Расчет_аналитики'!AV2584,WeightedRevAge18)-SUMIF(ThresholdAge18,"&lt;"&amp;'19_Расчет_аналитики'!AV2584,WeightedMinAge18),MAX(CapacityAge18*'01_Вводные'!$B$218*'19_Расчет_аналитики'!AV2584,MeanMinAge18)))</f>
        <v/>
      </c>
      <c r="AW2533">
        <f>IF(OR(('19_Расчет_аналитики'!AW2449-'19_Расчет_аналитики'!AW2477)=0,18&lt;='01_Вводные'!$B$297),0,('19_Расчет_аналитики'!AW2449-'19_Расчет_аналитики'!AW2477)*IF('01_Вводные'!$B$239="Да",MeanMinAge18+'19_Расчет_аналитики'!AW2584*SUMIF(ThresholdAge18,"&lt;"&amp;'19_Расчет_аналитики'!AW2584,WeightedRevAge18)-SUMIF(ThresholdAge18,"&lt;"&amp;'19_Расчет_аналитики'!AW2584,WeightedMinAge18),MAX(CapacityAge18*'01_Вводные'!$B$218*'19_Расчет_аналитики'!AW2584,MeanMinAge18)))</f>
        <v/>
      </c>
      <c r="AX2533">
        <f>IF(OR(('19_Расчет_аналитики'!AX2449-'19_Расчет_аналитики'!AX2477)=0,18&lt;='01_Вводные'!$B$297),0,('19_Расчет_аналитики'!AX2449-'19_Расчет_аналитики'!AX2477)*IF('01_Вводные'!$B$239="Да",MeanMinAge18+'19_Расчет_аналитики'!AX2584*SUMIF(ThresholdAge18,"&lt;"&amp;'19_Расчет_аналитики'!AX2584,WeightedRevAge18)-SUMIF(ThresholdAge18,"&lt;"&amp;'19_Расчет_аналитики'!AX2584,WeightedMinAge18),MAX(CapacityAge18*'01_Вводные'!$B$218*'19_Расчет_аналитики'!AX2584,MeanMinAge18)))</f>
        <v/>
      </c>
      <c r="AY2533">
        <f>IF(OR(('19_Расчет_аналитики'!AY2449-'19_Расчет_аналитики'!AY2477)=0,18&lt;='01_Вводные'!$B$297),0,('19_Расчет_аналитики'!AY2449-'19_Расчет_аналитики'!AY2477)*IF('01_Вводные'!$B$239="Да",MeanMinAge18+'19_Расчет_аналитики'!AY2584*SUMIF(ThresholdAge18,"&lt;"&amp;'19_Расчет_аналитики'!AY2584,WeightedRevAge18)-SUMIF(ThresholdAge18,"&lt;"&amp;'19_Расчет_аналитики'!AY2584,WeightedMinAge18),MAX(CapacityAge18*'01_Вводные'!$B$218*'19_Расчет_аналитики'!AY2584,MeanMinAge18)))</f>
        <v/>
      </c>
      <c r="AZ2533">
        <f>IF(OR(('19_Расчет_аналитики'!AZ2449-'19_Расчет_аналитики'!AZ2477)=0,18&lt;='01_Вводные'!$B$297),0,('19_Расчет_аналитики'!AZ2449-'19_Расчет_аналитики'!AZ2477)*IF('01_Вводные'!$B$239="Да",MeanMinAge18+'19_Расчет_аналитики'!AZ2584*SUMIF(ThresholdAge18,"&lt;"&amp;'19_Расчет_аналитики'!AZ2584,WeightedRevAge18)-SUMIF(ThresholdAge18,"&lt;"&amp;'19_Расчет_аналитики'!AZ2584,WeightedMinAge18),MAX(CapacityAge18*'01_Вводные'!$B$218*'19_Расчет_аналитики'!AZ2584,MeanMinAge18)))</f>
        <v/>
      </c>
      <c r="BA2533">
        <f>IF(OR(('19_Расчет_аналитики'!BA2449-'19_Расчет_аналитики'!BA2477)=0,18&lt;='01_Вводные'!$B$297),0,('19_Расчет_аналитики'!BA2449-'19_Расчет_аналитики'!BA2477)*IF('01_Вводные'!$B$239="Да",MeanMinAge18+'19_Расчет_аналитики'!BA2584*SUMIF(ThresholdAge18,"&lt;"&amp;'19_Расчет_аналитики'!BA2584,WeightedRevAge18)-SUMIF(ThresholdAge18,"&lt;"&amp;'19_Расчет_аналитики'!BA2584,WeightedMinAge18),MAX(CapacityAge18*'01_Вводные'!$B$218*'19_Расчет_аналитики'!BA2584,MeanMinAge18)))</f>
        <v/>
      </c>
      <c r="BB2533">
        <f>IF(OR(('19_Расчет_аналитики'!BB2449-'19_Расчет_аналитики'!BB2477)=0,18&lt;='01_Вводные'!$B$297),0,('19_Расчет_аналитики'!BB2449-'19_Расчет_аналитики'!BB2477)*IF('01_Вводные'!$B$239="Да",MeanMinAge18+'19_Расчет_аналитики'!BB2584*SUMIF(ThresholdAge18,"&lt;"&amp;'19_Расчет_аналитики'!BB2584,WeightedRevAge18)-SUMIF(ThresholdAge18,"&lt;"&amp;'19_Расчет_аналитики'!BB2584,WeightedMinAge18),MAX(CapacityAge18*'01_Вводные'!$B$218*'19_Расчет_аналитики'!BB2584,MeanMinAge18)))</f>
        <v/>
      </c>
      <c r="BC2533">
        <f>IF(OR(('19_Расчет_аналитики'!BC2449-'19_Расчет_аналитики'!BC2477)=0,18&lt;='01_Вводные'!$B$297),0,('19_Расчет_аналитики'!BC2449-'19_Расчет_аналитики'!BC2477)*IF('01_Вводные'!$B$239="Да",MeanMinAge18+'19_Расчет_аналитики'!BC2584*SUMIF(ThresholdAge18,"&lt;"&amp;'19_Расчет_аналитики'!BC2584,WeightedRevAge18)-SUMIF(ThresholdAge18,"&lt;"&amp;'19_Расчет_аналитики'!BC2584,WeightedMinAge18),MAX(CapacityAge18*'01_Вводные'!$B$218*'19_Расчет_аналитики'!BC2584,MeanMinAge18)))</f>
        <v/>
      </c>
      <c r="BD2533">
        <f>IF(OR(('19_Расчет_аналитики'!BD2449-'19_Расчет_аналитики'!BD2477)=0,18&lt;='01_Вводные'!$B$297),0,('19_Расчет_аналитики'!BD2449-'19_Расчет_аналитики'!BD2477)*IF('01_Вводные'!$B$239="Да",MeanMinAge18+'19_Расчет_аналитики'!BD2584*SUMIF(ThresholdAge18,"&lt;"&amp;'19_Расчет_аналитики'!BD2584,WeightedRevAge18)-SUMIF(ThresholdAge18,"&lt;"&amp;'19_Расчет_аналитики'!BD2584,WeightedMinAge18),MAX(CapacityAge18*'01_Вводные'!$B$218*'19_Расчет_аналитики'!BD2584,MeanMinAge18)))</f>
        <v/>
      </c>
      <c r="BE2533">
        <f>IF(OR(('19_Расчет_аналитики'!BE2449-'19_Расчет_аналитики'!BE2477)=0,18&lt;='01_Вводные'!$B$297),0,('19_Расчет_аналитики'!BE2449-'19_Расчет_аналитики'!BE2477)*IF('01_Вводные'!$B$239="Да",MeanMinAge18+'19_Расчет_аналитики'!BE2584*SUMIF(ThresholdAge18,"&lt;"&amp;'19_Расчет_аналитики'!BE2584,WeightedRevAge18)-SUMIF(ThresholdAge18,"&lt;"&amp;'19_Расчет_аналитики'!BE2584,WeightedMinAge18),MAX(CapacityAge18*'01_Вводные'!$B$218*'19_Расчет_аналитики'!BE2584,MeanMinAge18)))</f>
        <v/>
      </c>
      <c r="BF2533">
        <f>IF(OR(('19_Расчет_аналитики'!BF2449-'19_Расчет_аналитики'!BF2477)=0,18&lt;='01_Вводные'!$B$297),0,('19_Расчет_аналитики'!BF2449-'19_Расчет_аналитики'!BF2477)*IF('01_Вводные'!$B$239="Да",MeanMinAge18+'19_Расчет_аналитики'!BF2584*SUMIF(ThresholdAge18,"&lt;"&amp;'19_Расчет_аналитики'!BF2584,WeightedRevAge18)-SUMIF(ThresholdAge18,"&lt;"&amp;'19_Расчет_аналитики'!BF2584,WeightedMinAge18),MAX(CapacityAge18*'01_Вводные'!$B$218*'19_Расчет_аналитики'!BF2584,MeanMinAge18)))</f>
        <v/>
      </c>
      <c r="BG2533">
        <f>IF(OR(('19_Расчет_аналитики'!BG2449-'19_Расчет_аналитики'!BG2477)=0,18&lt;='01_Вводные'!$B$297),0,('19_Расчет_аналитики'!BG2449-'19_Расчет_аналитики'!BG2477)*IF('01_Вводные'!$B$239="Да",MeanMinAge18+'19_Расчет_аналитики'!BG2584*SUMIF(ThresholdAge18,"&lt;"&amp;'19_Расчет_аналитики'!BG2584,WeightedRevAge18)-SUMIF(ThresholdAge18,"&lt;"&amp;'19_Расчет_аналитики'!BG2584,WeightedMinAge18),MAX(CapacityAge18*'01_Вводные'!$B$218*'19_Расчет_аналитики'!BG2584,MeanMinAge18)))</f>
        <v/>
      </c>
      <c r="BH2533">
        <f>IF(OR(('19_Расчет_аналитики'!BH2449-'19_Расчет_аналитики'!BH2477)=0,18&lt;='01_Вводные'!$B$297),0,('19_Расчет_аналитики'!BH2449-'19_Расчет_аналитики'!BH2477)*IF('01_Вводные'!$B$239="Да",MeanMinAge18+'19_Расчет_аналитики'!BH2584*SUMIF(ThresholdAge18,"&lt;"&amp;'19_Расчет_аналитики'!BH2584,WeightedRevAge18)-SUMIF(ThresholdAge18,"&lt;"&amp;'19_Расчет_аналитики'!BH2584,WeightedMinAge18),MAX(CapacityAge18*'01_Вводные'!$B$218*'19_Расчет_аналитики'!BH2584,MeanMinAge18)))</f>
        <v/>
      </c>
      <c r="BI2533">
        <f>IF(OR(('19_Расчет_аналитики'!BI2449-'19_Расчет_аналитики'!BI2477)=0,18&lt;='01_Вводные'!$B$297),0,('19_Расчет_аналитики'!BI2449-'19_Расчет_аналитики'!BI2477)*IF('01_Вводные'!$B$239="Да",MeanMinAge18+'19_Расчет_аналитики'!BI2584*SUMIF(ThresholdAge18,"&lt;"&amp;'19_Расчет_аналитики'!BI2584,WeightedRevAge18)-SUMIF(ThresholdAge18,"&lt;"&amp;'19_Расчет_аналитики'!BI2584,WeightedMinAge18),MAX(CapacityAge18*'01_Вводные'!$B$218*'19_Расчет_аналитики'!BI2584,MeanMinAge18)))</f>
        <v/>
      </c>
      <c r="BJ2533">
        <f>IF(OR(('19_Расчет_аналитики'!BJ2449-'19_Расчет_аналитики'!BJ2477)=0,18&lt;='01_Вводные'!$B$297),0,('19_Расчет_аналитики'!BJ2449-'19_Расчет_аналитики'!BJ2477)*IF('01_Вводные'!$B$239="Да",MeanMinAge18+'19_Расчет_аналитики'!BJ2584*SUMIF(ThresholdAge18,"&lt;"&amp;'19_Расчет_аналитики'!BJ2584,WeightedRevAge18)-SUMIF(ThresholdAge18,"&lt;"&amp;'19_Расчет_аналитики'!BJ2584,WeightedMinAge18),MAX(CapacityAge18*'01_Вводные'!$B$218*'19_Расчет_аналитики'!BJ2584,MeanMinAge18)))</f>
        <v/>
      </c>
      <c r="BK2533">
        <f>IF(OR(('19_Расчет_аналитики'!BK2449-'19_Расчет_аналитики'!BK2477)=0,18&lt;='01_Вводные'!$B$297),0,('19_Расчет_аналитики'!BK2449-'19_Расчет_аналитики'!BK2477)*IF('01_Вводные'!$B$239="Да",MeanMinAge18+'19_Расчет_аналитики'!BK2584*SUMIF(ThresholdAge18,"&lt;"&amp;'19_Расчет_аналитики'!BK2584,WeightedRevAge18)-SUMIF(ThresholdAge18,"&lt;"&amp;'19_Расчет_аналитики'!BK2584,WeightedMinAge18),MAX(CapacityAge18*'01_Вводные'!$B$218*'19_Расчет_аналитики'!BK2584,MeanMinAge18)))</f>
        <v/>
      </c>
      <c r="BL2533">
        <f>IF(OR(('19_Расчет_аналитики'!BL2449-'19_Расчет_аналитики'!BL2477)=0,18&lt;='01_Вводные'!$B$297),0,('19_Расчет_аналитики'!BL2449-'19_Расчет_аналитики'!BL2477)*IF('01_Вводные'!$B$239="Да",MeanMinAge18+'19_Расчет_аналитики'!BL2584*SUMIF(ThresholdAge18,"&lt;"&amp;'19_Расчет_аналитики'!BL2584,WeightedRevAge18)-SUMIF(ThresholdAge18,"&lt;"&amp;'19_Расчет_аналитики'!BL2584,WeightedMinAge18),MAX(CapacityAge18*'01_Вводные'!$B$218*'19_Расчет_аналитики'!BL2584,MeanMinAge18)))</f>
        <v/>
      </c>
      <c r="BM2533">
        <f>IF(OR(('19_Расчет_аналитики'!BM2449-'19_Расчет_аналитики'!BM2477)=0,18&lt;='01_Вводные'!$B$297),0,('19_Расчет_аналитики'!BM2449-'19_Расчет_аналитики'!BM2477)*IF('01_Вводные'!$B$239="Да",MeanMinAge18+'19_Расчет_аналитики'!BM2584*SUMIF(ThresholdAge18,"&lt;"&amp;'19_Расчет_аналитики'!BM2584,WeightedRevAge18)-SUMIF(ThresholdAge18,"&lt;"&amp;'19_Расчет_аналитики'!BM2584,WeightedMinAge18),MAX(CapacityAge18*'01_Вводные'!$B$218*'19_Расчет_аналитики'!BM2584,MeanMinAge18)))</f>
        <v/>
      </c>
      <c r="BN2533">
        <f>IF(OR(('19_Расчет_аналитики'!BN2449-'19_Расчет_аналитики'!BN2477)=0,18&lt;='01_Вводные'!$B$297),0,('19_Расчет_аналитики'!BN2449-'19_Расчет_аналитики'!BN2477)*IF('01_Вводные'!$B$239="Да",MeanMinAge18+'19_Расчет_аналитики'!BN2584*SUMIF(ThresholdAge18,"&lt;"&amp;'19_Расчет_аналитики'!BN2584,WeightedRevAge18)-SUMIF(ThresholdAge18,"&lt;"&amp;'19_Расчет_аналитики'!BN2584,WeightedMinAge18),MAX(CapacityAge18*'01_Вводные'!$B$218*'19_Расчет_аналитики'!BN2584,MeanMinAge18)))</f>
        <v/>
      </c>
      <c r="BO2533">
        <f>IF(OR(('19_Расчет_аналитики'!BO2449-'19_Расчет_аналитики'!BO2477)=0,18&lt;='01_Вводные'!$B$297),0,('19_Расчет_аналитики'!BO2449-'19_Расчет_аналитики'!BO2477)*IF('01_Вводные'!$B$239="Да",MeanMinAge18+'19_Расчет_аналитики'!BO2584*SUMIF(ThresholdAge18,"&lt;"&amp;'19_Расчет_аналитики'!BO2584,WeightedRevAge18)-SUMIF(ThresholdAge18,"&lt;"&amp;'19_Расчет_аналитики'!BO2584,WeightedMinAge18),MAX(CapacityAge18*'01_Вводные'!$B$218*'19_Расчет_аналитики'!BO2584,MeanMinAge18)))</f>
        <v/>
      </c>
    </row>
    <row r="2534">
      <c r="B2534">
        <f>IF(OR(('06_Сеть_и_дети'!B71-'06_Сеть_и_дети'!B99)=0,19&lt;='01_Вводные'!$B$297),0,('06_Сеть_и_дети'!B71-'06_Сеть_и_дети'!B99)*IF('01_Вводные'!$B$239="Да",MeanMinAge19+'19_Расчет_аналитики'!B2584*SUMIF(ThresholdAge19,"&lt;"&amp;'19_Расчет_аналитики'!B2584,WeightedRevAge19)-SUMIF(ThresholdAge19,"&lt;"&amp;'19_Расчет_аналитики'!B2584,WeightedMinAge19),MAX(CapacityAge19*'01_Вводные'!$B$218*'19_Расчет_аналитики'!B2584,MeanMinAge19)))</f>
        <v/>
      </c>
      <c r="C2534">
        <f>IF(OR(('06_Сеть_и_дети'!C71-'06_Сеть_и_дети'!C99)=0,19&lt;='01_Вводные'!$B$297),0,('06_Сеть_и_дети'!C71-'06_Сеть_и_дети'!C99)*IF('01_Вводные'!$B$239="Да",MeanMinAge19+'19_Расчет_аналитики'!C2584*SUMIF(ThresholdAge19,"&lt;"&amp;'19_Расчет_аналитики'!C2584,WeightedRevAge19)-SUMIF(ThresholdAge19,"&lt;"&amp;'19_Расчет_аналитики'!C2584,WeightedMinAge19),MAX(CapacityAge19*'01_Вводные'!$B$218*'19_Расчет_аналитики'!C2584,MeanMinAge19)))</f>
        <v/>
      </c>
      <c r="D2534">
        <f>IF(OR(('06_Сеть_и_дети'!D71-'06_Сеть_и_дети'!D99)=0,19&lt;='01_Вводные'!$B$297),0,('06_Сеть_и_дети'!D71-'06_Сеть_и_дети'!D99)*IF('01_Вводные'!$B$239="Да",MeanMinAge19+'19_Расчет_аналитики'!D2584*SUMIF(ThresholdAge19,"&lt;"&amp;'19_Расчет_аналитики'!D2584,WeightedRevAge19)-SUMIF(ThresholdAge19,"&lt;"&amp;'19_Расчет_аналитики'!D2584,WeightedMinAge19),MAX(CapacityAge19*'01_Вводные'!$B$218*'19_Расчет_аналитики'!D2584,MeanMinAge19)))</f>
        <v/>
      </c>
      <c r="E2534">
        <f>IF(OR(('06_Сеть_и_дети'!E71-'06_Сеть_и_дети'!E99)=0,19&lt;='01_Вводные'!$B$297),0,('06_Сеть_и_дети'!E71-'06_Сеть_и_дети'!E99)*IF('01_Вводные'!$B$239="Да",MeanMinAge19+'19_Расчет_аналитики'!E2584*SUMIF(ThresholdAge19,"&lt;"&amp;'19_Расчет_аналитики'!E2584,WeightedRevAge19)-SUMIF(ThresholdAge19,"&lt;"&amp;'19_Расчет_аналитики'!E2584,WeightedMinAge19),MAX(CapacityAge19*'01_Вводные'!$B$218*'19_Расчет_аналитики'!E2584,MeanMinAge19)))</f>
        <v/>
      </c>
      <c r="F2534">
        <f>IF(OR(('06_Сеть_и_дети'!F71-'06_Сеть_и_дети'!F99)=0,19&lt;='01_Вводные'!$B$297),0,('06_Сеть_и_дети'!F71-'06_Сеть_и_дети'!F99)*IF('01_Вводные'!$B$239="Да",MeanMinAge19+'19_Расчет_аналитики'!F2584*SUMIF(ThresholdAge19,"&lt;"&amp;'19_Расчет_аналитики'!F2584,WeightedRevAge19)-SUMIF(ThresholdAge19,"&lt;"&amp;'19_Расчет_аналитики'!F2584,WeightedMinAge19),MAX(CapacityAge19*'01_Вводные'!$B$218*'19_Расчет_аналитики'!F2584,MeanMinAge19)))</f>
        <v/>
      </c>
      <c r="G2534">
        <f>IF(OR(('06_Сеть_и_дети'!G71-'06_Сеть_и_дети'!G99)=0,19&lt;='01_Вводные'!$B$297),0,('06_Сеть_и_дети'!G71-'06_Сеть_и_дети'!G99)*IF('01_Вводные'!$B$239="Да",MeanMinAge19+'19_Расчет_аналитики'!G2584*SUMIF(ThresholdAge19,"&lt;"&amp;'19_Расчет_аналитики'!G2584,WeightedRevAge19)-SUMIF(ThresholdAge19,"&lt;"&amp;'19_Расчет_аналитики'!G2584,WeightedMinAge19),MAX(CapacityAge19*'01_Вводные'!$B$218*'19_Расчет_аналитики'!G2584,MeanMinAge19)))</f>
        <v/>
      </c>
      <c r="H2534">
        <f>IF(OR(('06_Сеть_и_дети'!H71-'06_Сеть_и_дети'!H99)=0,19&lt;='01_Вводные'!$B$297),0,('06_Сеть_и_дети'!H71-'06_Сеть_и_дети'!H99)*IF('01_Вводные'!$B$239="Да",MeanMinAge19+'19_Расчет_аналитики'!H2584*SUMIF(ThresholdAge19,"&lt;"&amp;'19_Расчет_аналитики'!H2584,WeightedRevAge19)-SUMIF(ThresholdAge19,"&lt;"&amp;'19_Расчет_аналитики'!H2584,WeightedMinAge19),MAX(CapacityAge19*'01_Вводные'!$B$218*'19_Расчет_аналитики'!H2584,MeanMinAge19)))</f>
        <v/>
      </c>
      <c r="I2534">
        <f>IF(OR(('06_Сеть_и_дети'!I71-'06_Сеть_и_дети'!I99)=0,19&lt;='01_Вводные'!$B$297),0,('06_Сеть_и_дети'!I71-'06_Сеть_и_дети'!I99)*IF('01_Вводные'!$B$239="Да",MeanMinAge19+'19_Расчет_аналитики'!I2584*SUMIF(ThresholdAge19,"&lt;"&amp;'19_Расчет_аналитики'!I2584,WeightedRevAge19)-SUMIF(ThresholdAge19,"&lt;"&amp;'19_Расчет_аналитики'!I2584,WeightedMinAge19),MAX(CapacityAge19*'01_Вводные'!$B$218*'19_Расчет_аналитики'!I2584,MeanMinAge19)))</f>
        <v/>
      </c>
      <c r="J2534">
        <f>IF(OR(('06_Сеть_и_дети'!J71-'06_Сеть_и_дети'!J99)=0,19&lt;='01_Вводные'!$B$297),0,('06_Сеть_и_дети'!J71-'06_Сеть_и_дети'!J99)*IF('01_Вводные'!$B$239="Да",MeanMinAge19+'19_Расчет_аналитики'!J2584*SUMIF(ThresholdAge19,"&lt;"&amp;'19_Расчет_аналитики'!J2584,WeightedRevAge19)-SUMIF(ThresholdAge19,"&lt;"&amp;'19_Расчет_аналитики'!J2584,WeightedMinAge19),MAX(CapacityAge19*'01_Вводные'!$B$218*'19_Расчет_аналитики'!J2584,MeanMinAge19)))</f>
        <v/>
      </c>
      <c r="K2534">
        <f>IF(OR(('06_Сеть_и_дети'!K71-'06_Сеть_и_дети'!K99)=0,19&lt;='01_Вводные'!$B$297),0,('06_Сеть_и_дети'!K71-'06_Сеть_и_дети'!K99)*IF('01_Вводные'!$B$239="Да",MeanMinAge19+'19_Расчет_аналитики'!K2584*SUMIF(ThresholdAge19,"&lt;"&amp;'19_Расчет_аналитики'!K2584,WeightedRevAge19)-SUMIF(ThresholdAge19,"&lt;"&amp;'19_Расчет_аналитики'!K2584,WeightedMinAge19),MAX(CapacityAge19*'01_Вводные'!$B$218*'19_Расчет_аналитики'!K2584,MeanMinAge19)))</f>
        <v/>
      </c>
      <c r="L2534">
        <f>IF(OR(('06_Сеть_и_дети'!L71-'06_Сеть_и_дети'!L99)=0,19&lt;='01_Вводные'!$B$297),0,('06_Сеть_и_дети'!L71-'06_Сеть_и_дети'!L99)*IF('01_Вводные'!$B$239="Да",MeanMinAge19+'19_Расчет_аналитики'!L2584*SUMIF(ThresholdAge19,"&lt;"&amp;'19_Расчет_аналитики'!L2584,WeightedRevAge19)-SUMIF(ThresholdAge19,"&lt;"&amp;'19_Расчет_аналитики'!L2584,WeightedMinAge19),MAX(CapacityAge19*'01_Вводные'!$B$218*'19_Расчет_аналитики'!L2584,MeanMinAge19)))</f>
        <v/>
      </c>
      <c r="M2534">
        <f>IF(OR(('06_Сеть_и_дети'!M71-'06_Сеть_и_дети'!M99)=0,19&lt;='01_Вводные'!$B$297),0,('06_Сеть_и_дети'!M71-'06_Сеть_и_дети'!M99)*IF('01_Вводные'!$B$239="Да",MeanMinAge19+'19_Расчет_аналитики'!M2584*SUMIF(ThresholdAge19,"&lt;"&amp;'19_Расчет_аналитики'!M2584,WeightedRevAge19)-SUMIF(ThresholdAge19,"&lt;"&amp;'19_Расчет_аналитики'!M2584,WeightedMinAge19),MAX(CapacityAge19*'01_Вводные'!$B$218*'19_Расчет_аналитики'!M2584,MeanMinAge19)))</f>
        <v/>
      </c>
      <c r="N2534">
        <f>IF(OR(('06_Сеть_и_дети'!N71-'06_Сеть_и_дети'!N99)=0,19&lt;='01_Вводные'!$B$297),0,('06_Сеть_и_дети'!N71-'06_Сеть_и_дети'!N99)*IF('01_Вводные'!$B$239="Да",MeanMinAge19+'19_Расчет_аналитики'!N2584*SUMIF(ThresholdAge19,"&lt;"&amp;'19_Расчет_аналитики'!N2584,WeightedRevAge19)-SUMIF(ThresholdAge19,"&lt;"&amp;'19_Расчет_аналитики'!N2584,WeightedMinAge19),MAX(CapacityAge19*'01_Вводные'!$B$218*'19_Расчет_аналитики'!N2584,MeanMinAge19)))</f>
        <v/>
      </c>
      <c r="O2534">
        <f>IF(OR(('06_Сеть_и_дети'!O71-'06_Сеть_и_дети'!O99)=0,19&lt;='01_Вводные'!$B$297),0,('06_Сеть_и_дети'!O71-'06_Сеть_и_дети'!O99)*IF('01_Вводные'!$B$239="Да",MeanMinAge19+'19_Расчет_аналитики'!O2584*SUMIF(ThresholdAge19,"&lt;"&amp;'19_Расчет_аналитики'!O2584,WeightedRevAge19)-SUMIF(ThresholdAge19,"&lt;"&amp;'19_Расчет_аналитики'!O2584,WeightedMinAge19),MAX(CapacityAge19*'01_Вводные'!$B$218*'19_Расчет_аналитики'!O2584,MeanMinAge19)))</f>
        <v/>
      </c>
      <c r="P2534">
        <f>IF(OR(('06_Сеть_и_дети'!P71-'06_Сеть_и_дети'!P99)=0,19&lt;='01_Вводные'!$B$297),0,('06_Сеть_и_дети'!P71-'06_Сеть_и_дети'!P99)*IF('01_Вводные'!$B$239="Да",MeanMinAge19+'19_Расчет_аналитики'!P2584*SUMIF(ThresholdAge19,"&lt;"&amp;'19_Расчет_аналитики'!P2584,WeightedRevAge19)-SUMIF(ThresholdAge19,"&lt;"&amp;'19_Расчет_аналитики'!P2584,WeightedMinAge19),MAX(CapacityAge19*'01_Вводные'!$B$218*'19_Расчет_аналитики'!P2584,MeanMinAge19)))</f>
        <v/>
      </c>
      <c r="Q2534">
        <f>IF(OR(('06_Сеть_и_дети'!Q71-'06_Сеть_и_дети'!Q99)=0,19&lt;='01_Вводные'!$B$297),0,('06_Сеть_и_дети'!Q71-'06_Сеть_и_дети'!Q99)*IF('01_Вводные'!$B$239="Да",MeanMinAge19+'19_Расчет_аналитики'!Q2584*SUMIF(ThresholdAge19,"&lt;"&amp;'19_Расчет_аналитики'!Q2584,WeightedRevAge19)-SUMIF(ThresholdAge19,"&lt;"&amp;'19_Расчет_аналитики'!Q2584,WeightedMinAge19),MAX(CapacityAge19*'01_Вводные'!$B$218*'19_Расчет_аналитики'!Q2584,MeanMinAge19)))</f>
        <v/>
      </c>
      <c r="R2534">
        <f>IF(OR(('06_Сеть_и_дети'!R71-'06_Сеть_и_дети'!R99)=0,19&lt;='01_Вводные'!$B$297),0,('06_Сеть_и_дети'!R71-'06_Сеть_и_дети'!R99)*IF('01_Вводные'!$B$239="Да",MeanMinAge19+'19_Расчет_аналитики'!R2584*SUMIF(ThresholdAge19,"&lt;"&amp;'19_Расчет_аналитики'!R2584,WeightedRevAge19)-SUMIF(ThresholdAge19,"&lt;"&amp;'19_Расчет_аналитики'!R2584,WeightedMinAge19),MAX(CapacityAge19*'01_Вводные'!$B$218*'19_Расчет_аналитики'!R2584,MeanMinAge19)))</f>
        <v/>
      </c>
      <c r="S2534">
        <f>IF(OR(('06_Сеть_и_дети'!S71-'06_Сеть_и_дети'!S99)=0,19&lt;='01_Вводные'!$B$297),0,('06_Сеть_и_дети'!S71-'06_Сеть_и_дети'!S99)*IF('01_Вводные'!$B$239="Да",MeanMinAge19+'19_Расчет_аналитики'!S2584*SUMIF(ThresholdAge19,"&lt;"&amp;'19_Расчет_аналитики'!S2584,WeightedRevAge19)-SUMIF(ThresholdAge19,"&lt;"&amp;'19_Расчет_аналитики'!S2584,WeightedMinAge19),MAX(CapacityAge19*'01_Вводные'!$B$218*'19_Расчет_аналитики'!S2584,MeanMinAge19)))</f>
        <v/>
      </c>
      <c r="T2534">
        <f>IF(OR(('19_Расчет_аналитики'!T2450-'19_Расчет_аналитики'!T2478)=0,19&lt;='01_Вводные'!$B$297),0,('19_Расчет_аналитики'!T2450-'19_Расчет_аналитики'!T2478)*IF('01_Вводные'!$B$239="Да",MeanMinAge19+'19_Расчет_аналитики'!T2584*SUMIF(ThresholdAge19,"&lt;"&amp;'19_Расчет_аналитики'!T2584,WeightedRevAge19)-SUMIF(ThresholdAge19,"&lt;"&amp;'19_Расчет_аналитики'!T2584,WeightedMinAge19),MAX(CapacityAge19*'01_Вводные'!$B$218*'19_Расчет_аналитики'!T2584,MeanMinAge19)))</f>
        <v/>
      </c>
      <c r="U2534">
        <f>IF(OR(('19_Расчет_аналитики'!U2450-'19_Расчет_аналитики'!U2478)=0,19&lt;='01_Вводные'!$B$297),0,('19_Расчет_аналитики'!U2450-'19_Расчет_аналитики'!U2478)*IF('01_Вводные'!$B$239="Да",MeanMinAge19+'19_Расчет_аналитики'!U2584*SUMIF(ThresholdAge19,"&lt;"&amp;'19_Расчет_аналитики'!U2584,WeightedRevAge19)-SUMIF(ThresholdAge19,"&lt;"&amp;'19_Расчет_аналитики'!U2584,WeightedMinAge19),MAX(CapacityAge19*'01_Вводные'!$B$218*'19_Расчет_аналитики'!U2584,MeanMinAge19)))</f>
        <v/>
      </c>
      <c r="V2534">
        <f>IF(OR(('19_Расчет_аналитики'!V2450-'19_Расчет_аналитики'!V2478)=0,19&lt;='01_Вводные'!$B$297),0,('19_Расчет_аналитики'!V2450-'19_Расчет_аналитики'!V2478)*IF('01_Вводные'!$B$239="Да",MeanMinAge19+'19_Расчет_аналитики'!V2584*SUMIF(ThresholdAge19,"&lt;"&amp;'19_Расчет_аналитики'!V2584,WeightedRevAge19)-SUMIF(ThresholdAge19,"&lt;"&amp;'19_Расчет_аналитики'!V2584,WeightedMinAge19),MAX(CapacityAge19*'01_Вводные'!$B$218*'19_Расчет_аналитики'!V2584,MeanMinAge19)))</f>
        <v/>
      </c>
      <c r="W2534">
        <f>IF(OR(('19_Расчет_аналитики'!W2450-'19_Расчет_аналитики'!W2478)=0,19&lt;='01_Вводные'!$B$297),0,('19_Расчет_аналитики'!W2450-'19_Расчет_аналитики'!W2478)*IF('01_Вводные'!$B$239="Да",MeanMinAge19+'19_Расчет_аналитики'!W2584*SUMIF(ThresholdAge19,"&lt;"&amp;'19_Расчет_аналитики'!W2584,WeightedRevAge19)-SUMIF(ThresholdAge19,"&lt;"&amp;'19_Расчет_аналитики'!W2584,WeightedMinAge19),MAX(CapacityAge19*'01_Вводные'!$B$218*'19_Расчет_аналитики'!W2584,MeanMinAge19)))</f>
        <v/>
      </c>
      <c r="X2534">
        <f>IF(OR(('19_Расчет_аналитики'!X2450-'19_Расчет_аналитики'!X2478)=0,19&lt;='01_Вводные'!$B$297),0,('19_Расчет_аналитики'!X2450-'19_Расчет_аналитики'!X2478)*IF('01_Вводные'!$B$239="Да",MeanMinAge19+'19_Расчет_аналитики'!X2584*SUMIF(ThresholdAge19,"&lt;"&amp;'19_Расчет_аналитики'!X2584,WeightedRevAge19)-SUMIF(ThresholdAge19,"&lt;"&amp;'19_Расчет_аналитики'!X2584,WeightedMinAge19),MAX(CapacityAge19*'01_Вводные'!$B$218*'19_Расчет_аналитики'!X2584,MeanMinAge19)))</f>
        <v/>
      </c>
      <c r="Y2534">
        <f>IF(OR(('19_Расчет_аналитики'!Y2450-'19_Расчет_аналитики'!Y2478)=0,19&lt;='01_Вводные'!$B$297),0,('19_Расчет_аналитики'!Y2450-'19_Расчет_аналитики'!Y2478)*IF('01_Вводные'!$B$239="Да",MeanMinAge19+'19_Расчет_аналитики'!Y2584*SUMIF(ThresholdAge19,"&lt;"&amp;'19_Расчет_аналитики'!Y2584,WeightedRevAge19)-SUMIF(ThresholdAge19,"&lt;"&amp;'19_Расчет_аналитики'!Y2584,WeightedMinAge19),MAX(CapacityAge19*'01_Вводные'!$B$218*'19_Расчет_аналитики'!Y2584,MeanMinAge19)))</f>
        <v/>
      </c>
      <c r="Z2534">
        <f>IF(OR(('19_Расчет_аналитики'!Z2450-'19_Расчет_аналитики'!Z2478)=0,19&lt;='01_Вводные'!$B$297),0,('19_Расчет_аналитики'!Z2450-'19_Расчет_аналитики'!Z2478)*IF('01_Вводные'!$B$239="Да",MeanMinAge19+'19_Расчет_аналитики'!Z2584*SUMIF(ThresholdAge19,"&lt;"&amp;'19_Расчет_аналитики'!Z2584,WeightedRevAge19)-SUMIF(ThresholdAge19,"&lt;"&amp;'19_Расчет_аналитики'!Z2584,WeightedMinAge19),MAX(CapacityAge19*'01_Вводные'!$B$218*'19_Расчет_аналитики'!Z2584,MeanMinAge19)))</f>
        <v/>
      </c>
      <c r="AA2534">
        <f>IF(OR(('19_Расчет_аналитики'!AA2450-'19_Расчет_аналитики'!AA2478)=0,19&lt;='01_Вводные'!$B$297),0,('19_Расчет_аналитики'!AA2450-'19_Расчет_аналитики'!AA2478)*IF('01_Вводные'!$B$239="Да",MeanMinAge19+'19_Расчет_аналитики'!AA2584*SUMIF(ThresholdAge19,"&lt;"&amp;'19_Расчет_аналитики'!AA2584,WeightedRevAge19)-SUMIF(ThresholdAge19,"&lt;"&amp;'19_Расчет_аналитики'!AA2584,WeightedMinAge19),MAX(CapacityAge19*'01_Вводные'!$B$218*'19_Расчет_аналитики'!AA2584,MeanMinAge19)))</f>
        <v/>
      </c>
      <c r="AB2534">
        <f>IF(OR(('19_Расчет_аналитики'!AB2450-'19_Расчет_аналитики'!AB2478)=0,19&lt;='01_Вводные'!$B$297),0,('19_Расчет_аналитики'!AB2450-'19_Расчет_аналитики'!AB2478)*IF('01_Вводные'!$B$239="Да",MeanMinAge19+'19_Расчет_аналитики'!AB2584*SUMIF(ThresholdAge19,"&lt;"&amp;'19_Расчет_аналитики'!AB2584,WeightedRevAge19)-SUMIF(ThresholdAge19,"&lt;"&amp;'19_Расчет_аналитики'!AB2584,WeightedMinAge19),MAX(CapacityAge19*'01_Вводные'!$B$218*'19_Расчет_аналитики'!AB2584,MeanMinAge19)))</f>
        <v/>
      </c>
      <c r="AC2534">
        <f>IF(OR(('19_Расчет_аналитики'!AC2450-'19_Расчет_аналитики'!AC2478)=0,19&lt;='01_Вводные'!$B$297),0,('19_Расчет_аналитики'!AC2450-'19_Расчет_аналитики'!AC2478)*IF('01_Вводные'!$B$239="Да",MeanMinAge19+'19_Расчет_аналитики'!AC2584*SUMIF(ThresholdAge19,"&lt;"&amp;'19_Расчет_аналитики'!AC2584,WeightedRevAge19)-SUMIF(ThresholdAge19,"&lt;"&amp;'19_Расчет_аналитики'!AC2584,WeightedMinAge19),MAX(CapacityAge19*'01_Вводные'!$B$218*'19_Расчет_аналитики'!AC2584,MeanMinAge19)))</f>
        <v/>
      </c>
      <c r="AD2534">
        <f>IF(OR(('19_Расчет_аналитики'!AD2450-'19_Расчет_аналитики'!AD2478)=0,19&lt;='01_Вводные'!$B$297),0,('19_Расчет_аналитики'!AD2450-'19_Расчет_аналитики'!AD2478)*IF('01_Вводные'!$B$239="Да",MeanMinAge19+'19_Расчет_аналитики'!AD2584*SUMIF(ThresholdAge19,"&lt;"&amp;'19_Расчет_аналитики'!AD2584,WeightedRevAge19)-SUMIF(ThresholdAge19,"&lt;"&amp;'19_Расчет_аналитики'!AD2584,WeightedMinAge19),MAX(CapacityAge19*'01_Вводные'!$B$218*'19_Расчет_аналитики'!AD2584,MeanMinAge19)))</f>
        <v/>
      </c>
      <c r="AE2534">
        <f>IF(OR(('19_Расчет_аналитики'!AE2450-'19_Расчет_аналитики'!AE2478)=0,19&lt;='01_Вводные'!$B$297),0,('19_Расчет_аналитики'!AE2450-'19_Расчет_аналитики'!AE2478)*IF('01_Вводные'!$B$239="Да",MeanMinAge19+'19_Расчет_аналитики'!AE2584*SUMIF(ThresholdAge19,"&lt;"&amp;'19_Расчет_аналитики'!AE2584,WeightedRevAge19)-SUMIF(ThresholdAge19,"&lt;"&amp;'19_Расчет_аналитики'!AE2584,WeightedMinAge19),MAX(CapacityAge19*'01_Вводные'!$B$218*'19_Расчет_аналитики'!AE2584,MeanMinAge19)))</f>
        <v/>
      </c>
      <c r="AF2534">
        <f>IF(OR(('19_Расчет_аналитики'!AF2450-'19_Расчет_аналитики'!AF2478)=0,19&lt;='01_Вводные'!$B$297),0,('19_Расчет_аналитики'!AF2450-'19_Расчет_аналитики'!AF2478)*IF('01_Вводные'!$B$239="Да",MeanMinAge19+'19_Расчет_аналитики'!AF2584*SUMIF(ThresholdAge19,"&lt;"&amp;'19_Расчет_аналитики'!AF2584,WeightedRevAge19)-SUMIF(ThresholdAge19,"&lt;"&amp;'19_Расчет_аналитики'!AF2584,WeightedMinAge19),MAX(CapacityAge19*'01_Вводные'!$B$218*'19_Расчет_аналитики'!AF2584,MeanMinAge19)))</f>
        <v/>
      </c>
      <c r="AG2534">
        <f>IF(OR(('19_Расчет_аналитики'!AG2450-'19_Расчет_аналитики'!AG2478)=0,19&lt;='01_Вводные'!$B$297),0,('19_Расчет_аналитики'!AG2450-'19_Расчет_аналитики'!AG2478)*IF('01_Вводные'!$B$239="Да",MeanMinAge19+'19_Расчет_аналитики'!AG2584*SUMIF(ThresholdAge19,"&lt;"&amp;'19_Расчет_аналитики'!AG2584,WeightedRevAge19)-SUMIF(ThresholdAge19,"&lt;"&amp;'19_Расчет_аналитики'!AG2584,WeightedMinAge19),MAX(CapacityAge19*'01_Вводные'!$B$218*'19_Расчет_аналитики'!AG2584,MeanMinAge19)))</f>
        <v/>
      </c>
      <c r="AH2534">
        <f>IF(OR(('19_Расчет_аналитики'!AH2450-'19_Расчет_аналитики'!AH2478)=0,19&lt;='01_Вводные'!$B$297),0,('19_Расчет_аналитики'!AH2450-'19_Расчет_аналитики'!AH2478)*IF('01_Вводные'!$B$239="Да",MeanMinAge19+'19_Расчет_аналитики'!AH2584*SUMIF(ThresholdAge19,"&lt;"&amp;'19_Расчет_аналитики'!AH2584,WeightedRevAge19)-SUMIF(ThresholdAge19,"&lt;"&amp;'19_Расчет_аналитики'!AH2584,WeightedMinAge19),MAX(CapacityAge19*'01_Вводные'!$B$218*'19_Расчет_аналитики'!AH2584,MeanMinAge19)))</f>
        <v/>
      </c>
      <c r="AI2534">
        <f>IF(OR(('19_Расчет_аналитики'!AI2450-'19_Расчет_аналитики'!AI2478)=0,19&lt;='01_Вводные'!$B$297),0,('19_Расчет_аналитики'!AI2450-'19_Расчет_аналитики'!AI2478)*IF('01_Вводные'!$B$239="Да",MeanMinAge19+'19_Расчет_аналитики'!AI2584*SUMIF(ThresholdAge19,"&lt;"&amp;'19_Расчет_аналитики'!AI2584,WeightedRevAge19)-SUMIF(ThresholdAge19,"&lt;"&amp;'19_Расчет_аналитики'!AI2584,WeightedMinAge19),MAX(CapacityAge19*'01_Вводные'!$B$218*'19_Расчет_аналитики'!AI2584,MeanMinAge19)))</f>
        <v/>
      </c>
      <c r="AJ2534">
        <f>IF(OR(('19_Расчет_аналитики'!AJ2450-'19_Расчет_аналитики'!AJ2478)=0,19&lt;='01_Вводные'!$B$297),0,('19_Расчет_аналитики'!AJ2450-'19_Расчет_аналитики'!AJ2478)*IF('01_Вводные'!$B$239="Да",MeanMinAge19+'19_Расчет_аналитики'!AJ2584*SUMIF(ThresholdAge19,"&lt;"&amp;'19_Расчет_аналитики'!AJ2584,WeightedRevAge19)-SUMIF(ThresholdAge19,"&lt;"&amp;'19_Расчет_аналитики'!AJ2584,WeightedMinAge19),MAX(CapacityAge19*'01_Вводные'!$B$218*'19_Расчет_аналитики'!AJ2584,MeanMinAge19)))</f>
        <v/>
      </c>
      <c r="AK2534">
        <f>IF(OR(('19_Расчет_аналитики'!AK2450-'19_Расчет_аналитики'!AK2478)=0,19&lt;='01_Вводные'!$B$297),0,('19_Расчет_аналитики'!AK2450-'19_Расчет_аналитики'!AK2478)*IF('01_Вводные'!$B$239="Да",MeanMinAge19+'19_Расчет_аналитики'!AK2584*SUMIF(ThresholdAge19,"&lt;"&amp;'19_Расчет_аналитики'!AK2584,WeightedRevAge19)-SUMIF(ThresholdAge19,"&lt;"&amp;'19_Расчет_аналитики'!AK2584,WeightedMinAge19),MAX(CapacityAge19*'01_Вводные'!$B$218*'19_Расчет_аналитики'!AK2584,MeanMinAge19)))</f>
        <v/>
      </c>
      <c r="AL2534">
        <f>IF(OR(('19_Расчет_аналитики'!AL2450-'19_Расчет_аналитики'!AL2478)=0,19&lt;='01_Вводные'!$B$297),0,('19_Расчет_аналитики'!AL2450-'19_Расчет_аналитики'!AL2478)*IF('01_Вводные'!$B$239="Да",MeanMinAge19+'19_Расчет_аналитики'!AL2584*SUMIF(ThresholdAge19,"&lt;"&amp;'19_Расчет_аналитики'!AL2584,WeightedRevAge19)-SUMIF(ThresholdAge19,"&lt;"&amp;'19_Расчет_аналитики'!AL2584,WeightedMinAge19),MAX(CapacityAge19*'01_Вводные'!$B$218*'19_Расчет_аналитики'!AL2584,MeanMinAge19)))</f>
        <v/>
      </c>
      <c r="AM2534">
        <f>IF(OR(('19_Расчет_аналитики'!AM2450-'19_Расчет_аналитики'!AM2478)=0,19&lt;='01_Вводные'!$B$297),0,('19_Расчет_аналитики'!AM2450-'19_Расчет_аналитики'!AM2478)*IF('01_Вводные'!$B$239="Да",MeanMinAge19+'19_Расчет_аналитики'!AM2584*SUMIF(ThresholdAge19,"&lt;"&amp;'19_Расчет_аналитики'!AM2584,WeightedRevAge19)-SUMIF(ThresholdAge19,"&lt;"&amp;'19_Расчет_аналитики'!AM2584,WeightedMinAge19),MAX(CapacityAge19*'01_Вводные'!$B$218*'19_Расчет_аналитики'!AM2584,MeanMinAge19)))</f>
        <v/>
      </c>
      <c r="AN2534">
        <f>IF(OR(('19_Расчет_аналитики'!AN2450-'19_Расчет_аналитики'!AN2478)=0,19&lt;='01_Вводные'!$B$297),0,('19_Расчет_аналитики'!AN2450-'19_Расчет_аналитики'!AN2478)*IF('01_Вводные'!$B$239="Да",MeanMinAge19+'19_Расчет_аналитики'!AN2584*SUMIF(ThresholdAge19,"&lt;"&amp;'19_Расчет_аналитики'!AN2584,WeightedRevAge19)-SUMIF(ThresholdAge19,"&lt;"&amp;'19_Расчет_аналитики'!AN2584,WeightedMinAge19),MAX(CapacityAge19*'01_Вводные'!$B$218*'19_Расчет_аналитики'!AN2584,MeanMinAge19)))</f>
        <v/>
      </c>
      <c r="AO2534">
        <f>IF(OR(('19_Расчет_аналитики'!AO2450-'19_Расчет_аналитики'!AO2478)=0,19&lt;='01_Вводные'!$B$297),0,('19_Расчет_аналитики'!AO2450-'19_Расчет_аналитики'!AO2478)*IF('01_Вводные'!$B$239="Да",MeanMinAge19+'19_Расчет_аналитики'!AO2584*SUMIF(ThresholdAge19,"&lt;"&amp;'19_Расчет_аналитики'!AO2584,WeightedRevAge19)-SUMIF(ThresholdAge19,"&lt;"&amp;'19_Расчет_аналитики'!AO2584,WeightedMinAge19),MAX(CapacityAge19*'01_Вводные'!$B$218*'19_Расчет_аналитики'!AO2584,MeanMinAge19)))</f>
        <v/>
      </c>
      <c r="AP2534">
        <f>IF(OR(('19_Расчет_аналитики'!AP2450-'19_Расчет_аналитики'!AP2478)=0,19&lt;='01_Вводные'!$B$297),0,('19_Расчет_аналитики'!AP2450-'19_Расчет_аналитики'!AP2478)*IF('01_Вводные'!$B$239="Да",MeanMinAge19+'19_Расчет_аналитики'!AP2584*SUMIF(ThresholdAge19,"&lt;"&amp;'19_Расчет_аналитики'!AP2584,WeightedRevAge19)-SUMIF(ThresholdAge19,"&lt;"&amp;'19_Расчет_аналитики'!AP2584,WeightedMinAge19),MAX(CapacityAge19*'01_Вводные'!$B$218*'19_Расчет_аналитики'!AP2584,MeanMinAge19)))</f>
        <v/>
      </c>
      <c r="AQ2534">
        <f>IF(OR(('19_Расчет_аналитики'!AQ2450-'19_Расчет_аналитики'!AQ2478)=0,19&lt;='01_Вводные'!$B$297),0,('19_Расчет_аналитики'!AQ2450-'19_Расчет_аналитики'!AQ2478)*IF('01_Вводные'!$B$239="Да",MeanMinAge19+'19_Расчет_аналитики'!AQ2584*SUMIF(ThresholdAge19,"&lt;"&amp;'19_Расчет_аналитики'!AQ2584,WeightedRevAge19)-SUMIF(ThresholdAge19,"&lt;"&amp;'19_Расчет_аналитики'!AQ2584,WeightedMinAge19),MAX(CapacityAge19*'01_Вводные'!$B$218*'19_Расчет_аналитики'!AQ2584,MeanMinAge19)))</f>
        <v/>
      </c>
      <c r="AR2534">
        <f>IF(OR(('19_Расчет_аналитики'!AR2450-'19_Расчет_аналитики'!AR2478)=0,19&lt;='01_Вводные'!$B$297),0,('19_Расчет_аналитики'!AR2450-'19_Расчет_аналитики'!AR2478)*IF('01_Вводные'!$B$239="Да",MeanMinAge19+'19_Расчет_аналитики'!AR2584*SUMIF(ThresholdAge19,"&lt;"&amp;'19_Расчет_аналитики'!AR2584,WeightedRevAge19)-SUMIF(ThresholdAge19,"&lt;"&amp;'19_Расчет_аналитики'!AR2584,WeightedMinAge19),MAX(CapacityAge19*'01_Вводные'!$B$218*'19_Расчет_аналитики'!AR2584,MeanMinAge19)))</f>
        <v/>
      </c>
      <c r="AS2534">
        <f>IF(OR(('19_Расчет_аналитики'!AS2450-'19_Расчет_аналитики'!AS2478)=0,19&lt;='01_Вводные'!$B$297),0,('19_Расчет_аналитики'!AS2450-'19_Расчет_аналитики'!AS2478)*IF('01_Вводные'!$B$239="Да",MeanMinAge19+'19_Расчет_аналитики'!AS2584*SUMIF(ThresholdAge19,"&lt;"&amp;'19_Расчет_аналитики'!AS2584,WeightedRevAge19)-SUMIF(ThresholdAge19,"&lt;"&amp;'19_Расчет_аналитики'!AS2584,WeightedMinAge19),MAX(CapacityAge19*'01_Вводные'!$B$218*'19_Расчет_аналитики'!AS2584,MeanMinAge19)))</f>
        <v/>
      </c>
      <c r="AT2534">
        <f>IF(OR(('19_Расчет_аналитики'!AT2450-'19_Расчет_аналитики'!AT2478)=0,19&lt;='01_Вводные'!$B$297),0,('19_Расчет_аналитики'!AT2450-'19_Расчет_аналитики'!AT2478)*IF('01_Вводные'!$B$239="Да",MeanMinAge19+'19_Расчет_аналитики'!AT2584*SUMIF(ThresholdAge19,"&lt;"&amp;'19_Расчет_аналитики'!AT2584,WeightedRevAge19)-SUMIF(ThresholdAge19,"&lt;"&amp;'19_Расчет_аналитики'!AT2584,WeightedMinAge19),MAX(CapacityAge19*'01_Вводные'!$B$218*'19_Расчет_аналитики'!AT2584,MeanMinAge19)))</f>
        <v/>
      </c>
      <c r="AU2534">
        <f>IF(OR(('19_Расчет_аналитики'!AU2450-'19_Расчет_аналитики'!AU2478)=0,19&lt;='01_Вводные'!$B$297),0,('19_Расчет_аналитики'!AU2450-'19_Расчет_аналитики'!AU2478)*IF('01_Вводные'!$B$239="Да",MeanMinAge19+'19_Расчет_аналитики'!AU2584*SUMIF(ThresholdAge19,"&lt;"&amp;'19_Расчет_аналитики'!AU2584,WeightedRevAge19)-SUMIF(ThresholdAge19,"&lt;"&amp;'19_Расчет_аналитики'!AU2584,WeightedMinAge19),MAX(CapacityAge19*'01_Вводные'!$B$218*'19_Расчет_аналитики'!AU2584,MeanMinAge19)))</f>
        <v/>
      </c>
      <c r="AV2534">
        <f>IF(OR(('19_Расчет_аналитики'!AV2450-'19_Расчет_аналитики'!AV2478)=0,19&lt;='01_Вводные'!$B$297),0,('19_Расчет_аналитики'!AV2450-'19_Расчет_аналитики'!AV2478)*IF('01_Вводные'!$B$239="Да",MeanMinAge19+'19_Расчет_аналитики'!AV2584*SUMIF(ThresholdAge19,"&lt;"&amp;'19_Расчет_аналитики'!AV2584,WeightedRevAge19)-SUMIF(ThresholdAge19,"&lt;"&amp;'19_Расчет_аналитики'!AV2584,WeightedMinAge19),MAX(CapacityAge19*'01_Вводные'!$B$218*'19_Расчет_аналитики'!AV2584,MeanMinAge19)))</f>
        <v/>
      </c>
      <c r="AW2534">
        <f>IF(OR(('19_Расчет_аналитики'!AW2450-'19_Расчет_аналитики'!AW2478)=0,19&lt;='01_Вводные'!$B$297),0,('19_Расчет_аналитики'!AW2450-'19_Расчет_аналитики'!AW2478)*IF('01_Вводные'!$B$239="Да",MeanMinAge19+'19_Расчет_аналитики'!AW2584*SUMIF(ThresholdAge19,"&lt;"&amp;'19_Расчет_аналитики'!AW2584,WeightedRevAge19)-SUMIF(ThresholdAge19,"&lt;"&amp;'19_Расчет_аналитики'!AW2584,WeightedMinAge19),MAX(CapacityAge19*'01_Вводные'!$B$218*'19_Расчет_аналитики'!AW2584,MeanMinAge19)))</f>
        <v/>
      </c>
      <c r="AX2534">
        <f>IF(OR(('19_Расчет_аналитики'!AX2450-'19_Расчет_аналитики'!AX2478)=0,19&lt;='01_Вводные'!$B$297),0,('19_Расчет_аналитики'!AX2450-'19_Расчет_аналитики'!AX2478)*IF('01_Вводные'!$B$239="Да",MeanMinAge19+'19_Расчет_аналитики'!AX2584*SUMIF(ThresholdAge19,"&lt;"&amp;'19_Расчет_аналитики'!AX2584,WeightedRevAge19)-SUMIF(ThresholdAge19,"&lt;"&amp;'19_Расчет_аналитики'!AX2584,WeightedMinAge19),MAX(CapacityAge19*'01_Вводные'!$B$218*'19_Расчет_аналитики'!AX2584,MeanMinAge19)))</f>
        <v/>
      </c>
      <c r="AY2534">
        <f>IF(OR(('19_Расчет_аналитики'!AY2450-'19_Расчет_аналитики'!AY2478)=0,19&lt;='01_Вводные'!$B$297),0,('19_Расчет_аналитики'!AY2450-'19_Расчет_аналитики'!AY2478)*IF('01_Вводные'!$B$239="Да",MeanMinAge19+'19_Расчет_аналитики'!AY2584*SUMIF(ThresholdAge19,"&lt;"&amp;'19_Расчет_аналитики'!AY2584,WeightedRevAge19)-SUMIF(ThresholdAge19,"&lt;"&amp;'19_Расчет_аналитики'!AY2584,WeightedMinAge19),MAX(CapacityAge19*'01_Вводные'!$B$218*'19_Расчет_аналитики'!AY2584,MeanMinAge19)))</f>
        <v/>
      </c>
      <c r="AZ2534">
        <f>IF(OR(('19_Расчет_аналитики'!AZ2450-'19_Расчет_аналитики'!AZ2478)=0,19&lt;='01_Вводные'!$B$297),0,('19_Расчет_аналитики'!AZ2450-'19_Расчет_аналитики'!AZ2478)*IF('01_Вводные'!$B$239="Да",MeanMinAge19+'19_Расчет_аналитики'!AZ2584*SUMIF(ThresholdAge19,"&lt;"&amp;'19_Расчет_аналитики'!AZ2584,WeightedRevAge19)-SUMIF(ThresholdAge19,"&lt;"&amp;'19_Расчет_аналитики'!AZ2584,WeightedMinAge19),MAX(CapacityAge19*'01_Вводные'!$B$218*'19_Расчет_аналитики'!AZ2584,MeanMinAge19)))</f>
        <v/>
      </c>
      <c r="BA2534">
        <f>IF(OR(('19_Расчет_аналитики'!BA2450-'19_Расчет_аналитики'!BA2478)=0,19&lt;='01_Вводные'!$B$297),0,('19_Расчет_аналитики'!BA2450-'19_Расчет_аналитики'!BA2478)*IF('01_Вводные'!$B$239="Да",MeanMinAge19+'19_Расчет_аналитики'!BA2584*SUMIF(ThresholdAge19,"&lt;"&amp;'19_Расчет_аналитики'!BA2584,WeightedRevAge19)-SUMIF(ThresholdAge19,"&lt;"&amp;'19_Расчет_аналитики'!BA2584,WeightedMinAge19),MAX(CapacityAge19*'01_Вводные'!$B$218*'19_Расчет_аналитики'!BA2584,MeanMinAge19)))</f>
        <v/>
      </c>
      <c r="BB2534">
        <f>IF(OR(('19_Расчет_аналитики'!BB2450-'19_Расчет_аналитики'!BB2478)=0,19&lt;='01_Вводные'!$B$297),0,('19_Расчет_аналитики'!BB2450-'19_Расчет_аналитики'!BB2478)*IF('01_Вводные'!$B$239="Да",MeanMinAge19+'19_Расчет_аналитики'!BB2584*SUMIF(ThresholdAge19,"&lt;"&amp;'19_Расчет_аналитики'!BB2584,WeightedRevAge19)-SUMIF(ThresholdAge19,"&lt;"&amp;'19_Расчет_аналитики'!BB2584,WeightedMinAge19),MAX(CapacityAge19*'01_Вводные'!$B$218*'19_Расчет_аналитики'!BB2584,MeanMinAge19)))</f>
        <v/>
      </c>
      <c r="BC2534">
        <f>IF(OR(('19_Расчет_аналитики'!BC2450-'19_Расчет_аналитики'!BC2478)=0,19&lt;='01_Вводные'!$B$297),0,('19_Расчет_аналитики'!BC2450-'19_Расчет_аналитики'!BC2478)*IF('01_Вводные'!$B$239="Да",MeanMinAge19+'19_Расчет_аналитики'!BC2584*SUMIF(ThresholdAge19,"&lt;"&amp;'19_Расчет_аналитики'!BC2584,WeightedRevAge19)-SUMIF(ThresholdAge19,"&lt;"&amp;'19_Расчет_аналитики'!BC2584,WeightedMinAge19),MAX(CapacityAge19*'01_Вводные'!$B$218*'19_Расчет_аналитики'!BC2584,MeanMinAge19)))</f>
        <v/>
      </c>
      <c r="BD2534">
        <f>IF(OR(('19_Расчет_аналитики'!BD2450-'19_Расчет_аналитики'!BD2478)=0,19&lt;='01_Вводные'!$B$297),0,('19_Расчет_аналитики'!BD2450-'19_Расчет_аналитики'!BD2478)*IF('01_Вводные'!$B$239="Да",MeanMinAge19+'19_Расчет_аналитики'!BD2584*SUMIF(ThresholdAge19,"&lt;"&amp;'19_Расчет_аналитики'!BD2584,WeightedRevAge19)-SUMIF(ThresholdAge19,"&lt;"&amp;'19_Расчет_аналитики'!BD2584,WeightedMinAge19),MAX(CapacityAge19*'01_Вводные'!$B$218*'19_Расчет_аналитики'!BD2584,MeanMinAge19)))</f>
        <v/>
      </c>
      <c r="BE2534">
        <f>IF(OR(('19_Расчет_аналитики'!BE2450-'19_Расчет_аналитики'!BE2478)=0,19&lt;='01_Вводные'!$B$297),0,('19_Расчет_аналитики'!BE2450-'19_Расчет_аналитики'!BE2478)*IF('01_Вводные'!$B$239="Да",MeanMinAge19+'19_Расчет_аналитики'!BE2584*SUMIF(ThresholdAge19,"&lt;"&amp;'19_Расчет_аналитики'!BE2584,WeightedRevAge19)-SUMIF(ThresholdAge19,"&lt;"&amp;'19_Расчет_аналитики'!BE2584,WeightedMinAge19),MAX(CapacityAge19*'01_Вводные'!$B$218*'19_Расчет_аналитики'!BE2584,MeanMinAge19)))</f>
        <v/>
      </c>
      <c r="BF2534">
        <f>IF(OR(('19_Расчет_аналитики'!BF2450-'19_Расчет_аналитики'!BF2478)=0,19&lt;='01_Вводные'!$B$297),0,('19_Расчет_аналитики'!BF2450-'19_Расчет_аналитики'!BF2478)*IF('01_Вводные'!$B$239="Да",MeanMinAge19+'19_Расчет_аналитики'!BF2584*SUMIF(ThresholdAge19,"&lt;"&amp;'19_Расчет_аналитики'!BF2584,WeightedRevAge19)-SUMIF(ThresholdAge19,"&lt;"&amp;'19_Расчет_аналитики'!BF2584,WeightedMinAge19),MAX(CapacityAge19*'01_Вводные'!$B$218*'19_Расчет_аналитики'!BF2584,MeanMinAge19)))</f>
        <v/>
      </c>
      <c r="BG2534">
        <f>IF(OR(('19_Расчет_аналитики'!BG2450-'19_Расчет_аналитики'!BG2478)=0,19&lt;='01_Вводные'!$B$297),0,('19_Расчет_аналитики'!BG2450-'19_Расчет_аналитики'!BG2478)*IF('01_Вводные'!$B$239="Да",MeanMinAge19+'19_Расчет_аналитики'!BG2584*SUMIF(ThresholdAge19,"&lt;"&amp;'19_Расчет_аналитики'!BG2584,WeightedRevAge19)-SUMIF(ThresholdAge19,"&lt;"&amp;'19_Расчет_аналитики'!BG2584,WeightedMinAge19),MAX(CapacityAge19*'01_Вводные'!$B$218*'19_Расчет_аналитики'!BG2584,MeanMinAge19)))</f>
        <v/>
      </c>
      <c r="BH2534">
        <f>IF(OR(('19_Расчет_аналитики'!BH2450-'19_Расчет_аналитики'!BH2478)=0,19&lt;='01_Вводные'!$B$297),0,('19_Расчет_аналитики'!BH2450-'19_Расчет_аналитики'!BH2478)*IF('01_Вводные'!$B$239="Да",MeanMinAge19+'19_Расчет_аналитики'!BH2584*SUMIF(ThresholdAge19,"&lt;"&amp;'19_Расчет_аналитики'!BH2584,WeightedRevAge19)-SUMIF(ThresholdAge19,"&lt;"&amp;'19_Расчет_аналитики'!BH2584,WeightedMinAge19),MAX(CapacityAge19*'01_Вводные'!$B$218*'19_Расчет_аналитики'!BH2584,MeanMinAge19)))</f>
        <v/>
      </c>
      <c r="BI2534">
        <f>IF(OR(('19_Расчет_аналитики'!BI2450-'19_Расчет_аналитики'!BI2478)=0,19&lt;='01_Вводные'!$B$297),0,('19_Расчет_аналитики'!BI2450-'19_Расчет_аналитики'!BI2478)*IF('01_Вводные'!$B$239="Да",MeanMinAge19+'19_Расчет_аналитики'!BI2584*SUMIF(ThresholdAge19,"&lt;"&amp;'19_Расчет_аналитики'!BI2584,WeightedRevAge19)-SUMIF(ThresholdAge19,"&lt;"&amp;'19_Расчет_аналитики'!BI2584,WeightedMinAge19),MAX(CapacityAge19*'01_Вводные'!$B$218*'19_Расчет_аналитики'!BI2584,MeanMinAge19)))</f>
        <v/>
      </c>
      <c r="BJ2534">
        <f>IF(OR(('19_Расчет_аналитики'!BJ2450-'19_Расчет_аналитики'!BJ2478)=0,19&lt;='01_Вводные'!$B$297),0,('19_Расчет_аналитики'!BJ2450-'19_Расчет_аналитики'!BJ2478)*IF('01_Вводные'!$B$239="Да",MeanMinAge19+'19_Расчет_аналитики'!BJ2584*SUMIF(ThresholdAge19,"&lt;"&amp;'19_Расчет_аналитики'!BJ2584,WeightedRevAge19)-SUMIF(ThresholdAge19,"&lt;"&amp;'19_Расчет_аналитики'!BJ2584,WeightedMinAge19),MAX(CapacityAge19*'01_Вводные'!$B$218*'19_Расчет_аналитики'!BJ2584,MeanMinAge19)))</f>
        <v/>
      </c>
      <c r="BK2534">
        <f>IF(OR(('19_Расчет_аналитики'!BK2450-'19_Расчет_аналитики'!BK2478)=0,19&lt;='01_Вводные'!$B$297),0,('19_Расчет_аналитики'!BK2450-'19_Расчет_аналитики'!BK2478)*IF('01_Вводные'!$B$239="Да",MeanMinAge19+'19_Расчет_аналитики'!BK2584*SUMIF(ThresholdAge19,"&lt;"&amp;'19_Расчет_аналитики'!BK2584,WeightedRevAge19)-SUMIF(ThresholdAge19,"&lt;"&amp;'19_Расчет_аналитики'!BK2584,WeightedMinAge19),MAX(CapacityAge19*'01_Вводные'!$B$218*'19_Расчет_аналитики'!BK2584,MeanMinAge19)))</f>
        <v/>
      </c>
      <c r="BL2534">
        <f>IF(OR(('19_Расчет_аналитики'!BL2450-'19_Расчет_аналитики'!BL2478)=0,19&lt;='01_Вводные'!$B$297),0,('19_Расчет_аналитики'!BL2450-'19_Расчет_аналитики'!BL2478)*IF('01_Вводные'!$B$239="Да",MeanMinAge19+'19_Расчет_аналитики'!BL2584*SUMIF(ThresholdAge19,"&lt;"&amp;'19_Расчет_аналитики'!BL2584,WeightedRevAge19)-SUMIF(ThresholdAge19,"&lt;"&amp;'19_Расчет_аналитики'!BL2584,WeightedMinAge19),MAX(CapacityAge19*'01_Вводные'!$B$218*'19_Расчет_аналитики'!BL2584,MeanMinAge19)))</f>
        <v/>
      </c>
      <c r="BM2534">
        <f>IF(OR(('19_Расчет_аналитики'!BM2450-'19_Расчет_аналитики'!BM2478)=0,19&lt;='01_Вводные'!$B$297),0,('19_Расчет_аналитики'!BM2450-'19_Расчет_аналитики'!BM2478)*IF('01_Вводные'!$B$239="Да",MeanMinAge19+'19_Расчет_аналитики'!BM2584*SUMIF(ThresholdAge19,"&lt;"&amp;'19_Расчет_аналитики'!BM2584,WeightedRevAge19)-SUMIF(ThresholdAge19,"&lt;"&amp;'19_Расчет_аналитики'!BM2584,WeightedMinAge19),MAX(CapacityAge19*'01_Вводные'!$B$218*'19_Расчет_аналитики'!BM2584,MeanMinAge19)))</f>
        <v/>
      </c>
      <c r="BN2534">
        <f>IF(OR(('19_Расчет_аналитики'!BN2450-'19_Расчет_аналитики'!BN2478)=0,19&lt;='01_Вводные'!$B$297),0,('19_Расчет_аналитики'!BN2450-'19_Расчет_аналитики'!BN2478)*IF('01_Вводные'!$B$239="Да",MeanMinAge19+'19_Расчет_аналитики'!BN2584*SUMIF(ThresholdAge19,"&lt;"&amp;'19_Расчет_аналитики'!BN2584,WeightedRevAge19)-SUMIF(ThresholdAge19,"&lt;"&amp;'19_Расчет_аналитики'!BN2584,WeightedMinAge19),MAX(CapacityAge19*'01_Вводные'!$B$218*'19_Расчет_аналитики'!BN2584,MeanMinAge19)))</f>
        <v/>
      </c>
      <c r="BO2534">
        <f>IF(OR(('19_Расчет_аналитики'!BO2450-'19_Расчет_аналитики'!BO2478)=0,19&lt;='01_Вводные'!$B$297),0,('19_Расчет_аналитики'!BO2450-'19_Расчет_аналитики'!BO2478)*IF('01_Вводные'!$B$239="Да",MeanMinAge19+'19_Расчет_аналитики'!BO2584*SUMIF(ThresholdAge19,"&lt;"&amp;'19_Расчет_аналитики'!BO2584,WeightedRevAge19)-SUMIF(ThresholdAge19,"&lt;"&amp;'19_Расчет_аналитики'!BO2584,WeightedMinAge19),MAX(CapacityAge19*'01_Вводные'!$B$218*'19_Расчет_аналитики'!BO2584,MeanMinAge19)))</f>
        <v/>
      </c>
    </row>
    <row r="2535">
      <c r="B2535">
        <f>IF(OR(('06_Сеть_и_дети'!B72-'06_Сеть_и_дети'!B100)=0,20&lt;='01_Вводные'!$B$297),0,('06_Сеть_и_дети'!B72-'06_Сеть_и_дети'!B100)*IF('01_Вводные'!$B$239="Да",MeanMinAge20+'19_Расчет_аналитики'!B2584*SUMIF(ThresholdAge20,"&lt;"&amp;'19_Расчет_аналитики'!B2584,WeightedRevAge20)-SUMIF(ThresholdAge20,"&lt;"&amp;'19_Расчет_аналитики'!B2584,WeightedMinAge20),MAX(CapacityAge20*'01_Вводные'!$B$218*'19_Расчет_аналитики'!B2584,MeanMinAge20)))</f>
        <v/>
      </c>
      <c r="C2535">
        <f>IF(OR(('06_Сеть_и_дети'!C72-'06_Сеть_и_дети'!C100)=0,20&lt;='01_Вводные'!$B$297),0,('06_Сеть_и_дети'!C72-'06_Сеть_и_дети'!C100)*IF('01_Вводные'!$B$239="Да",MeanMinAge20+'19_Расчет_аналитики'!C2584*SUMIF(ThresholdAge20,"&lt;"&amp;'19_Расчет_аналитики'!C2584,WeightedRevAge20)-SUMIF(ThresholdAge20,"&lt;"&amp;'19_Расчет_аналитики'!C2584,WeightedMinAge20),MAX(CapacityAge20*'01_Вводные'!$B$218*'19_Расчет_аналитики'!C2584,MeanMinAge20)))</f>
        <v/>
      </c>
      <c r="D2535">
        <f>IF(OR(('06_Сеть_и_дети'!D72-'06_Сеть_и_дети'!D100)=0,20&lt;='01_Вводные'!$B$297),0,('06_Сеть_и_дети'!D72-'06_Сеть_и_дети'!D100)*IF('01_Вводные'!$B$239="Да",MeanMinAge20+'19_Расчет_аналитики'!D2584*SUMIF(ThresholdAge20,"&lt;"&amp;'19_Расчет_аналитики'!D2584,WeightedRevAge20)-SUMIF(ThresholdAge20,"&lt;"&amp;'19_Расчет_аналитики'!D2584,WeightedMinAge20),MAX(CapacityAge20*'01_Вводные'!$B$218*'19_Расчет_аналитики'!D2584,MeanMinAge20)))</f>
        <v/>
      </c>
      <c r="E2535">
        <f>IF(OR(('06_Сеть_и_дети'!E72-'06_Сеть_и_дети'!E100)=0,20&lt;='01_Вводные'!$B$297),0,('06_Сеть_и_дети'!E72-'06_Сеть_и_дети'!E100)*IF('01_Вводные'!$B$239="Да",MeanMinAge20+'19_Расчет_аналитики'!E2584*SUMIF(ThresholdAge20,"&lt;"&amp;'19_Расчет_аналитики'!E2584,WeightedRevAge20)-SUMIF(ThresholdAge20,"&lt;"&amp;'19_Расчет_аналитики'!E2584,WeightedMinAge20),MAX(CapacityAge20*'01_Вводные'!$B$218*'19_Расчет_аналитики'!E2584,MeanMinAge20)))</f>
        <v/>
      </c>
      <c r="F2535">
        <f>IF(OR(('06_Сеть_и_дети'!F72-'06_Сеть_и_дети'!F100)=0,20&lt;='01_Вводные'!$B$297),0,('06_Сеть_и_дети'!F72-'06_Сеть_и_дети'!F100)*IF('01_Вводные'!$B$239="Да",MeanMinAge20+'19_Расчет_аналитики'!F2584*SUMIF(ThresholdAge20,"&lt;"&amp;'19_Расчет_аналитики'!F2584,WeightedRevAge20)-SUMIF(ThresholdAge20,"&lt;"&amp;'19_Расчет_аналитики'!F2584,WeightedMinAge20),MAX(CapacityAge20*'01_Вводные'!$B$218*'19_Расчет_аналитики'!F2584,MeanMinAge20)))</f>
        <v/>
      </c>
      <c r="G2535">
        <f>IF(OR(('06_Сеть_и_дети'!G72-'06_Сеть_и_дети'!G100)=0,20&lt;='01_Вводные'!$B$297),0,('06_Сеть_и_дети'!G72-'06_Сеть_и_дети'!G100)*IF('01_Вводные'!$B$239="Да",MeanMinAge20+'19_Расчет_аналитики'!G2584*SUMIF(ThresholdAge20,"&lt;"&amp;'19_Расчет_аналитики'!G2584,WeightedRevAge20)-SUMIF(ThresholdAge20,"&lt;"&amp;'19_Расчет_аналитики'!G2584,WeightedMinAge20),MAX(CapacityAge20*'01_Вводные'!$B$218*'19_Расчет_аналитики'!G2584,MeanMinAge20)))</f>
        <v/>
      </c>
      <c r="H2535">
        <f>IF(OR(('06_Сеть_и_дети'!H72-'06_Сеть_и_дети'!H100)=0,20&lt;='01_Вводные'!$B$297),0,('06_Сеть_и_дети'!H72-'06_Сеть_и_дети'!H100)*IF('01_Вводные'!$B$239="Да",MeanMinAge20+'19_Расчет_аналитики'!H2584*SUMIF(ThresholdAge20,"&lt;"&amp;'19_Расчет_аналитики'!H2584,WeightedRevAge20)-SUMIF(ThresholdAge20,"&lt;"&amp;'19_Расчет_аналитики'!H2584,WeightedMinAge20),MAX(CapacityAge20*'01_Вводные'!$B$218*'19_Расчет_аналитики'!H2584,MeanMinAge20)))</f>
        <v/>
      </c>
      <c r="I2535">
        <f>IF(OR(('06_Сеть_и_дети'!I72-'06_Сеть_и_дети'!I100)=0,20&lt;='01_Вводные'!$B$297),0,('06_Сеть_и_дети'!I72-'06_Сеть_и_дети'!I100)*IF('01_Вводные'!$B$239="Да",MeanMinAge20+'19_Расчет_аналитики'!I2584*SUMIF(ThresholdAge20,"&lt;"&amp;'19_Расчет_аналитики'!I2584,WeightedRevAge20)-SUMIF(ThresholdAge20,"&lt;"&amp;'19_Расчет_аналитики'!I2584,WeightedMinAge20),MAX(CapacityAge20*'01_Вводные'!$B$218*'19_Расчет_аналитики'!I2584,MeanMinAge20)))</f>
        <v/>
      </c>
      <c r="J2535">
        <f>IF(OR(('06_Сеть_и_дети'!J72-'06_Сеть_и_дети'!J100)=0,20&lt;='01_Вводные'!$B$297),0,('06_Сеть_и_дети'!J72-'06_Сеть_и_дети'!J100)*IF('01_Вводные'!$B$239="Да",MeanMinAge20+'19_Расчет_аналитики'!J2584*SUMIF(ThresholdAge20,"&lt;"&amp;'19_Расчет_аналитики'!J2584,WeightedRevAge20)-SUMIF(ThresholdAge20,"&lt;"&amp;'19_Расчет_аналитики'!J2584,WeightedMinAge20),MAX(CapacityAge20*'01_Вводные'!$B$218*'19_Расчет_аналитики'!J2584,MeanMinAge20)))</f>
        <v/>
      </c>
      <c r="K2535">
        <f>IF(OR(('06_Сеть_и_дети'!K72-'06_Сеть_и_дети'!K100)=0,20&lt;='01_Вводные'!$B$297),0,('06_Сеть_и_дети'!K72-'06_Сеть_и_дети'!K100)*IF('01_Вводные'!$B$239="Да",MeanMinAge20+'19_Расчет_аналитики'!K2584*SUMIF(ThresholdAge20,"&lt;"&amp;'19_Расчет_аналитики'!K2584,WeightedRevAge20)-SUMIF(ThresholdAge20,"&lt;"&amp;'19_Расчет_аналитики'!K2584,WeightedMinAge20),MAX(CapacityAge20*'01_Вводные'!$B$218*'19_Расчет_аналитики'!K2584,MeanMinAge20)))</f>
        <v/>
      </c>
      <c r="L2535">
        <f>IF(OR(('06_Сеть_и_дети'!L72-'06_Сеть_и_дети'!L100)=0,20&lt;='01_Вводные'!$B$297),0,('06_Сеть_и_дети'!L72-'06_Сеть_и_дети'!L100)*IF('01_Вводные'!$B$239="Да",MeanMinAge20+'19_Расчет_аналитики'!L2584*SUMIF(ThresholdAge20,"&lt;"&amp;'19_Расчет_аналитики'!L2584,WeightedRevAge20)-SUMIF(ThresholdAge20,"&lt;"&amp;'19_Расчет_аналитики'!L2584,WeightedMinAge20),MAX(CapacityAge20*'01_Вводные'!$B$218*'19_Расчет_аналитики'!L2584,MeanMinAge20)))</f>
        <v/>
      </c>
      <c r="M2535">
        <f>IF(OR(('06_Сеть_и_дети'!M72-'06_Сеть_и_дети'!M100)=0,20&lt;='01_Вводные'!$B$297),0,('06_Сеть_и_дети'!M72-'06_Сеть_и_дети'!M100)*IF('01_Вводные'!$B$239="Да",MeanMinAge20+'19_Расчет_аналитики'!M2584*SUMIF(ThresholdAge20,"&lt;"&amp;'19_Расчет_аналитики'!M2584,WeightedRevAge20)-SUMIF(ThresholdAge20,"&lt;"&amp;'19_Расчет_аналитики'!M2584,WeightedMinAge20),MAX(CapacityAge20*'01_Вводные'!$B$218*'19_Расчет_аналитики'!M2584,MeanMinAge20)))</f>
        <v/>
      </c>
      <c r="N2535">
        <f>IF(OR(('06_Сеть_и_дети'!N72-'06_Сеть_и_дети'!N100)=0,20&lt;='01_Вводные'!$B$297),0,('06_Сеть_и_дети'!N72-'06_Сеть_и_дети'!N100)*IF('01_Вводные'!$B$239="Да",MeanMinAge20+'19_Расчет_аналитики'!N2584*SUMIF(ThresholdAge20,"&lt;"&amp;'19_Расчет_аналитики'!N2584,WeightedRevAge20)-SUMIF(ThresholdAge20,"&lt;"&amp;'19_Расчет_аналитики'!N2584,WeightedMinAge20),MAX(CapacityAge20*'01_Вводные'!$B$218*'19_Расчет_аналитики'!N2584,MeanMinAge20)))</f>
        <v/>
      </c>
      <c r="O2535">
        <f>IF(OR(('06_Сеть_и_дети'!O72-'06_Сеть_и_дети'!O100)=0,20&lt;='01_Вводные'!$B$297),0,('06_Сеть_и_дети'!O72-'06_Сеть_и_дети'!O100)*IF('01_Вводные'!$B$239="Да",MeanMinAge20+'19_Расчет_аналитики'!O2584*SUMIF(ThresholdAge20,"&lt;"&amp;'19_Расчет_аналитики'!O2584,WeightedRevAge20)-SUMIF(ThresholdAge20,"&lt;"&amp;'19_Расчет_аналитики'!O2584,WeightedMinAge20),MAX(CapacityAge20*'01_Вводные'!$B$218*'19_Расчет_аналитики'!O2584,MeanMinAge20)))</f>
        <v/>
      </c>
      <c r="P2535">
        <f>IF(OR(('06_Сеть_и_дети'!P72-'06_Сеть_и_дети'!P100)=0,20&lt;='01_Вводные'!$B$297),0,('06_Сеть_и_дети'!P72-'06_Сеть_и_дети'!P100)*IF('01_Вводные'!$B$239="Да",MeanMinAge20+'19_Расчет_аналитики'!P2584*SUMIF(ThresholdAge20,"&lt;"&amp;'19_Расчет_аналитики'!P2584,WeightedRevAge20)-SUMIF(ThresholdAge20,"&lt;"&amp;'19_Расчет_аналитики'!P2584,WeightedMinAge20),MAX(CapacityAge20*'01_Вводные'!$B$218*'19_Расчет_аналитики'!P2584,MeanMinAge20)))</f>
        <v/>
      </c>
      <c r="Q2535">
        <f>IF(OR(('06_Сеть_и_дети'!Q72-'06_Сеть_и_дети'!Q100)=0,20&lt;='01_Вводные'!$B$297),0,('06_Сеть_и_дети'!Q72-'06_Сеть_и_дети'!Q100)*IF('01_Вводные'!$B$239="Да",MeanMinAge20+'19_Расчет_аналитики'!Q2584*SUMIF(ThresholdAge20,"&lt;"&amp;'19_Расчет_аналитики'!Q2584,WeightedRevAge20)-SUMIF(ThresholdAge20,"&lt;"&amp;'19_Расчет_аналитики'!Q2584,WeightedMinAge20),MAX(CapacityAge20*'01_Вводные'!$B$218*'19_Расчет_аналитики'!Q2584,MeanMinAge20)))</f>
        <v/>
      </c>
      <c r="R2535">
        <f>IF(OR(('06_Сеть_и_дети'!R72-'06_Сеть_и_дети'!R100)=0,20&lt;='01_Вводные'!$B$297),0,('06_Сеть_и_дети'!R72-'06_Сеть_и_дети'!R100)*IF('01_Вводные'!$B$239="Да",MeanMinAge20+'19_Расчет_аналитики'!R2584*SUMIF(ThresholdAge20,"&lt;"&amp;'19_Расчет_аналитики'!R2584,WeightedRevAge20)-SUMIF(ThresholdAge20,"&lt;"&amp;'19_Расчет_аналитики'!R2584,WeightedMinAge20),MAX(CapacityAge20*'01_Вводные'!$B$218*'19_Расчет_аналитики'!R2584,MeanMinAge20)))</f>
        <v/>
      </c>
      <c r="S2535">
        <f>IF(OR(('06_Сеть_и_дети'!S72-'06_Сеть_и_дети'!S100)=0,20&lt;='01_Вводные'!$B$297),0,('06_Сеть_и_дети'!S72-'06_Сеть_и_дети'!S100)*IF('01_Вводные'!$B$239="Да",MeanMinAge20+'19_Расчет_аналитики'!S2584*SUMIF(ThresholdAge20,"&lt;"&amp;'19_Расчет_аналитики'!S2584,WeightedRevAge20)-SUMIF(ThresholdAge20,"&lt;"&amp;'19_Расчет_аналитики'!S2584,WeightedMinAge20),MAX(CapacityAge20*'01_Вводные'!$B$218*'19_Расчет_аналитики'!S2584,MeanMinAge20)))</f>
        <v/>
      </c>
      <c r="T2535">
        <f>IF(OR(('06_Сеть_и_дети'!T72-'06_Сеть_и_дети'!T100)=0,20&lt;='01_Вводные'!$B$297),0,('06_Сеть_и_дети'!T72-'06_Сеть_и_дети'!T100)*IF('01_Вводные'!$B$239="Да",MeanMinAge20+'19_Расчет_аналитики'!T2584*SUMIF(ThresholdAge20,"&lt;"&amp;'19_Расчет_аналитики'!T2584,WeightedRevAge20)-SUMIF(ThresholdAge20,"&lt;"&amp;'19_Расчет_аналитики'!T2584,WeightedMinAge20),MAX(CapacityAge20*'01_Вводные'!$B$218*'19_Расчет_аналитики'!T2584,MeanMinAge20)))</f>
        <v/>
      </c>
      <c r="U2535">
        <f>IF(OR(('19_Расчет_аналитики'!U2451-'19_Расчет_аналитики'!U2479)=0,20&lt;='01_Вводные'!$B$297),0,('19_Расчет_аналитики'!U2451-'19_Расчет_аналитики'!U2479)*IF('01_Вводные'!$B$239="Да",MeanMinAge20+'19_Расчет_аналитики'!U2584*SUMIF(ThresholdAge20,"&lt;"&amp;'19_Расчет_аналитики'!U2584,WeightedRevAge20)-SUMIF(ThresholdAge20,"&lt;"&amp;'19_Расчет_аналитики'!U2584,WeightedMinAge20),MAX(CapacityAge20*'01_Вводные'!$B$218*'19_Расчет_аналитики'!U2584,MeanMinAge20)))</f>
        <v/>
      </c>
      <c r="V2535">
        <f>IF(OR(('19_Расчет_аналитики'!V2451-'19_Расчет_аналитики'!V2479)=0,20&lt;='01_Вводные'!$B$297),0,('19_Расчет_аналитики'!V2451-'19_Расчет_аналитики'!V2479)*IF('01_Вводные'!$B$239="Да",MeanMinAge20+'19_Расчет_аналитики'!V2584*SUMIF(ThresholdAge20,"&lt;"&amp;'19_Расчет_аналитики'!V2584,WeightedRevAge20)-SUMIF(ThresholdAge20,"&lt;"&amp;'19_Расчет_аналитики'!V2584,WeightedMinAge20),MAX(CapacityAge20*'01_Вводные'!$B$218*'19_Расчет_аналитики'!V2584,MeanMinAge20)))</f>
        <v/>
      </c>
      <c r="W2535">
        <f>IF(OR(('19_Расчет_аналитики'!W2451-'19_Расчет_аналитики'!W2479)=0,20&lt;='01_Вводные'!$B$297),0,('19_Расчет_аналитики'!W2451-'19_Расчет_аналитики'!W2479)*IF('01_Вводные'!$B$239="Да",MeanMinAge20+'19_Расчет_аналитики'!W2584*SUMIF(ThresholdAge20,"&lt;"&amp;'19_Расчет_аналитики'!W2584,WeightedRevAge20)-SUMIF(ThresholdAge20,"&lt;"&amp;'19_Расчет_аналитики'!W2584,WeightedMinAge20),MAX(CapacityAge20*'01_Вводные'!$B$218*'19_Расчет_аналитики'!W2584,MeanMinAge20)))</f>
        <v/>
      </c>
      <c r="X2535">
        <f>IF(OR(('19_Расчет_аналитики'!X2451-'19_Расчет_аналитики'!X2479)=0,20&lt;='01_Вводные'!$B$297),0,('19_Расчет_аналитики'!X2451-'19_Расчет_аналитики'!X2479)*IF('01_Вводные'!$B$239="Да",MeanMinAge20+'19_Расчет_аналитики'!X2584*SUMIF(ThresholdAge20,"&lt;"&amp;'19_Расчет_аналитики'!X2584,WeightedRevAge20)-SUMIF(ThresholdAge20,"&lt;"&amp;'19_Расчет_аналитики'!X2584,WeightedMinAge20),MAX(CapacityAge20*'01_Вводные'!$B$218*'19_Расчет_аналитики'!X2584,MeanMinAge20)))</f>
        <v/>
      </c>
      <c r="Y2535">
        <f>IF(OR(('19_Расчет_аналитики'!Y2451-'19_Расчет_аналитики'!Y2479)=0,20&lt;='01_Вводные'!$B$297),0,('19_Расчет_аналитики'!Y2451-'19_Расчет_аналитики'!Y2479)*IF('01_Вводные'!$B$239="Да",MeanMinAge20+'19_Расчет_аналитики'!Y2584*SUMIF(ThresholdAge20,"&lt;"&amp;'19_Расчет_аналитики'!Y2584,WeightedRevAge20)-SUMIF(ThresholdAge20,"&lt;"&amp;'19_Расчет_аналитики'!Y2584,WeightedMinAge20),MAX(CapacityAge20*'01_Вводные'!$B$218*'19_Расчет_аналитики'!Y2584,MeanMinAge20)))</f>
        <v/>
      </c>
      <c r="Z2535">
        <f>IF(OR(('19_Расчет_аналитики'!Z2451-'19_Расчет_аналитики'!Z2479)=0,20&lt;='01_Вводные'!$B$297),0,('19_Расчет_аналитики'!Z2451-'19_Расчет_аналитики'!Z2479)*IF('01_Вводные'!$B$239="Да",MeanMinAge20+'19_Расчет_аналитики'!Z2584*SUMIF(ThresholdAge20,"&lt;"&amp;'19_Расчет_аналитики'!Z2584,WeightedRevAge20)-SUMIF(ThresholdAge20,"&lt;"&amp;'19_Расчет_аналитики'!Z2584,WeightedMinAge20),MAX(CapacityAge20*'01_Вводные'!$B$218*'19_Расчет_аналитики'!Z2584,MeanMinAge20)))</f>
        <v/>
      </c>
      <c r="AA2535">
        <f>IF(OR(('19_Расчет_аналитики'!AA2451-'19_Расчет_аналитики'!AA2479)=0,20&lt;='01_Вводные'!$B$297),0,('19_Расчет_аналитики'!AA2451-'19_Расчет_аналитики'!AA2479)*IF('01_Вводные'!$B$239="Да",MeanMinAge20+'19_Расчет_аналитики'!AA2584*SUMIF(ThresholdAge20,"&lt;"&amp;'19_Расчет_аналитики'!AA2584,WeightedRevAge20)-SUMIF(ThresholdAge20,"&lt;"&amp;'19_Расчет_аналитики'!AA2584,WeightedMinAge20),MAX(CapacityAge20*'01_Вводные'!$B$218*'19_Расчет_аналитики'!AA2584,MeanMinAge20)))</f>
        <v/>
      </c>
      <c r="AB2535">
        <f>IF(OR(('19_Расчет_аналитики'!AB2451-'19_Расчет_аналитики'!AB2479)=0,20&lt;='01_Вводные'!$B$297),0,('19_Расчет_аналитики'!AB2451-'19_Расчет_аналитики'!AB2479)*IF('01_Вводные'!$B$239="Да",MeanMinAge20+'19_Расчет_аналитики'!AB2584*SUMIF(ThresholdAge20,"&lt;"&amp;'19_Расчет_аналитики'!AB2584,WeightedRevAge20)-SUMIF(ThresholdAge20,"&lt;"&amp;'19_Расчет_аналитики'!AB2584,WeightedMinAge20),MAX(CapacityAge20*'01_Вводные'!$B$218*'19_Расчет_аналитики'!AB2584,MeanMinAge20)))</f>
        <v/>
      </c>
      <c r="AC2535">
        <f>IF(OR(('19_Расчет_аналитики'!AC2451-'19_Расчет_аналитики'!AC2479)=0,20&lt;='01_Вводные'!$B$297),0,('19_Расчет_аналитики'!AC2451-'19_Расчет_аналитики'!AC2479)*IF('01_Вводные'!$B$239="Да",MeanMinAge20+'19_Расчет_аналитики'!AC2584*SUMIF(ThresholdAge20,"&lt;"&amp;'19_Расчет_аналитики'!AC2584,WeightedRevAge20)-SUMIF(ThresholdAge20,"&lt;"&amp;'19_Расчет_аналитики'!AC2584,WeightedMinAge20),MAX(CapacityAge20*'01_Вводные'!$B$218*'19_Расчет_аналитики'!AC2584,MeanMinAge20)))</f>
        <v/>
      </c>
      <c r="AD2535">
        <f>IF(OR(('19_Расчет_аналитики'!AD2451-'19_Расчет_аналитики'!AD2479)=0,20&lt;='01_Вводные'!$B$297),0,('19_Расчет_аналитики'!AD2451-'19_Расчет_аналитики'!AD2479)*IF('01_Вводные'!$B$239="Да",MeanMinAge20+'19_Расчет_аналитики'!AD2584*SUMIF(ThresholdAge20,"&lt;"&amp;'19_Расчет_аналитики'!AD2584,WeightedRevAge20)-SUMIF(ThresholdAge20,"&lt;"&amp;'19_Расчет_аналитики'!AD2584,WeightedMinAge20),MAX(CapacityAge20*'01_Вводные'!$B$218*'19_Расчет_аналитики'!AD2584,MeanMinAge20)))</f>
        <v/>
      </c>
      <c r="AE2535">
        <f>IF(OR(('19_Расчет_аналитики'!AE2451-'19_Расчет_аналитики'!AE2479)=0,20&lt;='01_Вводные'!$B$297),0,('19_Расчет_аналитики'!AE2451-'19_Расчет_аналитики'!AE2479)*IF('01_Вводные'!$B$239="Да",MeanMinAge20+'19_Расчет_аналитики'!AE2584*SUMIF(ThresholdAge20,"&lt;"&amp;'19_Расчет_аналитики'!AE2584,WeightedRevAge20)-SUMIF(ThresholdAge20,"&lt;"&amp;'19_Расчет_аналитики'!AE2584,WeightedMinAge20),MAX(CapacityAge20*'01_Вводные'!$B$218*'19_Расчет_аналитики'!AE2584,MeanMinAge20)))</f>
        <v/>
      </c>
      <c r="AF2535">
        <f>IF(OR(('19_Расчет_аналитики'!AF2451-'19_Расчет_аналитики'!AF2479)=0,20&lt;='01_Вводные'!$B$297),0,('19_Расчет_аналитики'!AF2451-'19_Расчет_аналитики'!AF2479)*IF('01_Вводные'!$B$239="Да",MeanMinAge20+'19_Расчет_аналитики'!AF2584*SUMIF(ThresholdAge20,"&lt;"&amp;'19_Расчет_аналитики'!AF2584,WeightedRevAge20)-SUMIF(ThresholdAge20,"&lt;"&amp;'19_Расчет_аналитики'!AF2584,WeightedMinAge20),MAX(CapacityAge20*'01_Вводные'!$B$218*'19_Расчет_аналитики'!AF2584,MeanMinAge20)))</f>
        <v/>
      </c>
      <c r="AG2535">
        <f>IF(OR(('19_Расчет_аналитики'!AG2451-'19_Расчет_аналитики'!AG2479)=0,20&lt;='01_Вводные'!$B$297),0,('19_Расчет_аналитики'!AG2451-'19_Расчет_аналитики'!AG2479)*IF('01_Вводные'!$B$239="Да",MeanMinAge20+'19_Расчет_аналитики'!AG2584*SUMIF(ThresholdAge20,"&lt;"&amp;'19_Расчет_аналитики'!AG2584,WeightedRevAge20)-SUMIF(ThresholdAge20,"&lt;"&amp;'19_Расчет_аналитики'!AG2584,WeightedMinAge20),MAX(CapacityAge20*'01_Вводные'!$B$218*'19_Расчет_аналитики'!AG2584,MeanMinAge20)))</f>
        <v/>
      </c>
      <c r="AH2535">
        <f>IF(OR(('19_Расчет_аналитики'!AH2451-'19_Расчет_аналитики'!AH2479)=0,20&lt;='01_Вводные'!$B$297),0,('19_Расчет_аналитики'!AH2451-'19_Расчет_аналитики'!AH2479)*IF('01_Вводные'!$B$239="Да",MeanMinAge20+'19_Расчет_аналитики'!AH2584*SUMIF(ThresholdAge20,"&lt;"&amp;'19_Расчет_аналитики'!AH2584,WeightedRevAge20)-SUMIF(ThresholdAge20,"&lt;"&amp;'19_Расчет_аналитики'!AH2584,WeightedMinAge20),MAX(CapacityAge20*'01_Вводные'!$B$218*'19_Расчет_аналитики'!AH2584,MeanMinAge20)))</f>
        <v/>
      </c>
      <c r="AI2535">
        <f>IF(OR(('19_Расчет_аналитики'!AI2451-'19_Расчет_аналитики'!AI2479)=0,20&lt;='01_Вводные'!$B$297),0,('19_Расчет_аналитики'!AI2451-'19_Расчет_аналитики'!AI2479)*IF('01_Вводные'!$B$239="Да",MeanMinAge20+'19_Расчет_аналитики'!AI2584*SUMIF(ThresholdAge20,"&lt;"&amp;'19_Расчет_аналитики'!AI2584,WeightedRevAge20)-SUMIF(ThresholdAge20,"&lt;"&amp;'19_Расчет_аналитики'!AI2584,WeightedMinAge20),MAX(CapacityAge20*'01_Вводные'!$B$218*'19_Расчет_аналитики'!AI2584,MeanMinAge20)))</f>
        <v/>
      </c>
      <c r="AJ2535">
        <f>IF(OR(('19_Расчет_аналитики'!AJ2451-'19_Расчет_аналитики'!AJ2479)=0,20&lt;='01_Вводные'!$B$297),0,('19_Расчет_аналитики'!AJ2451-'19_Расчет_аналитики'!AJ2479)*IF('01_Вводные'!$B$239="Да",MeanMinAge20+'19_Расчет_аналитики'!AJ2584*SUMIF(ThresholdAge20,"&lt;"&amp;'19_Расчет_аналитики'!AJ2584,WeightedRevAge20)-SUMIF(ThresholdAge20,"&lt;"&amp;'19_Расчет_аналитики'!AJ2584,WeightedMinAge20),MAX(CapacityAge20*'01_Вводные'!$B$218*'19_Расчет_аналитики'!AJ2584,MeanMinAge20)))</f>
        <v/>
      </c>
      <c r="AK2535">
        <f>IF(OR(('19_Расчет_аналитики'!AK2451-'19_Расчет_аналитики'!AK2479)=0,20&lt;='01_Вводные'!$B$297),0,('19_Расчет_аналитики'!AK2451-'19_Расчет_аналитики'!AK2479)*IF('01_Вводные'!$B$239="Да",MeanMinAge20+'19_Расчет_аналитики'!AK2584*SUMIF(ThresholdAge20,"&lt;"&amp;'19_Расчет_аналитики'!AK2584,WeightedRevAge20)-SUMIF(ThresholdAge20,"&lt;"&amp;'19_Расчет_аналитики'!AK2584,WeightedMinAge20),MAX(CapacityAge20*'01_Вводные'!$B$218*'19_Расчет_аналитики'!AK2584,MeanMinAge20)))</f>
        <v/>
      </c>
      <c r="AL2535">
        <f>IF(OR(('19_Расчет_аналитики'!AL2451-'19_Расчет_аналитики'!AL2479)=0,20&lt;='01_Вводные'!$B$297),0,('19_Расчет_аналитики'!AL2451-'19_Расчет_аналитики'!AL2479)*IF('01_Вводные'!$B$239="Да",MeanMinAge20+'19_Расчет_аналитики'!AL2584*SUMIF(ThresholdAge20,"&lt;"&amp;'19_Расчет_аналитики'!AL2584,WeightedRevAge20)-SUMIF(ThresholdAge20,"&lt;"&amp;'19_Расчет_аналитики'!AL2584,WeightedMinAge20),MAX(CapacityAge20*'01_Вводные'!$B$218*'19_Расчет_аналитики'!AL2584,MeanMinAge20)))</f>
        <v/>
      </c>
      <c r="AM2535">
        <f>IF(OR(('19_Расчет_аналитики'!AM2451-'19_Расчет_аналитики'!AM2479)=0,20&lt;='01_Вводные'!$B$297),0,('19_Расчет_аналитики'!AM2451-'19_Расчет_аналитики'!AM2479)*IF('01_Вводные'!$B$239="Да",MeanMinAge20+'19_Расчет_аналитики'!AM2584*SUMIF(ThresholdAge20,"&lt;"&amp;'19_Расчет_аналитики'!AM2584,WeightedRevAge20)-SUMIF(ThresholdAge20,"&lt;"&amp;'19_Расчет_аналитики'!AM2584,WeightedMinAge20),MAX(CapacityAge20*'01_Вводные'!$B$218*'19_Расчет_аналитики'!AM2584,MeanMinAge20)))</f>
        <v/>
      </c>
      <c r="AN2535">
        <f>IF(OR(('19_Расчет_аналитики'!AN2451-'19_Расчет_аналитики'!AN2479)=0,20&lt;='01_Вводные'!$B$297),0,('19_Расчет_аналитики'!AN2451-'19_Расчет_аналитики'!AN2479)*IF('01_Вводные'!$B$239="Да",MeanMinAge20+'19_Расчет_аналитики'!AN2584*SUMIF(ThresholdAge20,"&lt;"&amp;'19_Расчет_аналитики'!AN2584,WeightedRevAge20)-SUMIF(ThresholdAge20,"&lt;"&amp;'19_Расчет_аналитики'!AN2584,WeightedMinAge20),MAX(CapacityAge20*'01_Вводные'!$B$218*'19_Расчет_аналитики'!AN2584,MeanMinAge20)))</f>
        <v/>
      </c>
      <c r="AO2535">
        <f>IF(OR(('19_Расчет_аналитики'!AO2451-'19_Расчет_аналитики'!AO2479)=0,20&lt;='01_Вводные'!$B$297),0,('19_Расчет_аналитики'!AO2451-'19_Расчет_аналитики'!AO2479)*IF('01_Вводные'!$B$239="Да",MeanMinAge20+'19_Расчет_аналитики'!AO2584*SUMIF(ThresholdAge20,"&lt;"&amp;'19_Расчет_аналитики'!AO2584,WeightedRevAge20)-SUMIF(ThresholdAge20,"&lt;"&amp;'19_Расчет_аналитики'!AO2584,WeightedMinAge20),MAX(CapacityAge20*'01_Вводные'!$B$218*'19_Расчет_аналитики'!AO2584,MeanMinAge20)))</f>
        <v/>
      </c>
      <c r="AP2535">
        <f>IF(OR(('19_Расчет_аналитики'!AP2451-'19_Расчет_аналитики'!AP2479)=0,20&lt;='01_Вводные'!$B$297),0,('19_Расчет_аналитики'!AP2451-'19_Расчет_аналитики'!AP2479)*IF('01_Вводные'!$B$239="Да",MeanMinAge20+'19_Расчет_аналитики'!AP2584*SUMIF(ThresholdAge20,"&lt;"&amp;'19_Расчет_аналитики'!AP2584,WeightedRevAge20)-SUMIF(ThresholdAge20,"&lt;"&amp;'19_Расчет_аналитики'!AP2584,WeightedMinAge20),MAX(CapacityAge20*'01_Вводные'!$B$218*'19_Расчет_аналитики'!AP2584,MeanMinAge20)))</f>
        <v/>
      </c>
      <c r="AQ2535">
        <f>IF(OR(('19_Расчет_аналитики'!AQ2451-'19_Расчет_аналитики'!AQ2479)=0,20&lt;='01_Вводные'!$B$297),0,('19_Расчет_аналитики'!AQ2451-'19_Расчет_аналитики'!AQ2479)*IF('01_Вводные'!$B$239="Да",MeanMinAge20+'19_Расчет_аналитики'!AQ2584*SUMIF(ThresholdAge20,"&lt;"&amp;'19_Расчет_аналитики'!AQ2584,WeightedRevAge20)-SUMIF(ThresholdAge20,"&lt;"&amp;'19_Расчет_аналитики'!AQ2584,WeightedMinAge20),MAX(CapacityAge20*'01_Вводные'!$B$218*'19_Расчет_аналитики'!AQ2584,MeanMinAge20)))</f>
        <v/>
      </c>
      <c r="AR2535">
        <f>IF(OR(('19_Расчет_аналитики'!AR2451-'19_Расчет_аналитики'!AR2479)=0,20&lt;='01_Вводные'!$B$297),0,('19_Расчет_аналитики'!AR2451-'19_Расчет_аналитики'!AR2479)*IF('01_Вводные'!$B$239="Да",MeanMinAge20+'19_Расчет_аналитики'!AR2584*SUMIF(ThresholdAge20,"&lt;"&amp;'19_Расчет_аналитики'!AR2584,WeightedRevAge20)-SUMIF(ThresholdAge20,"&lt;"&amp;'19_Расчет_аналитики'!AR2584,WeightedMinAge20),MAX(CapacityAge20*'01_Вводные'!$B$218*'19_Расчет_аналитики'!AR2584,MeanMinAge20)))</f>
        <v/>
      </c>
      <c r="AS2535">
        <f>IF(OR(('19_Расчет_аналитики'!AS2451-'19_Расчет_аналитики'!AS2479)=0,20&lt;='01_Вводные'!$B$297),0,('19_Расчет_аналитики'!AS2451-'19_Расчет_аналитики'!AS2479)*IF('01_Вводные'!$B$239="Да",MeanMinAge20+'19_Расчет_аналитики'!AS2584*SUMIF(ThresholdAge20,"&lt;"&amp;'19_Расчет_аналитики'!AS2584,WeightedRevAge20)-SUMIF(ThresholdAge20,"&lt;"&amp;'19_Расчет_аналитики'!AS2584,WeightedMinAge20),MAX(CapacityAge20*'01_Вводные'!$B$218*'19_Расчет_аналитики'!AS2584,MeanMinAge20)))</f>
        <v/>
      </c>
      <c r="AT2535">
        <f>IF(OR(('19_Расчет_аналитики'!AT2451-'19_Расчет_аналитики'!AT2479)=0,20&lt;='01_Вводные'!$B$297),0,('19_Расчет_аналитики'!AT2451-'19_Расчет_аналитики'!AT2479)*IF('01_Вводные'!$B$239="Да",MeanMinAge20+'19_Расчет_аналитики'!AT2584*SUMIF(ThresholdAge20,"&lt;"&amp;'19_Расчет_аналитики'!AT2584,WeightedRevAge20)-SUMIF(ThresholdAge20,"&lt;"&amp;'19_Расчет_аналитики'!AT2584,WeightedMinAge20),MAX(CapacityAge20*'01_Вводные'!$B$218*'19_Расчет_аналитики'!AT2584,MeanMinAge20)))</f>
        <v/>
      </c>
      <c r="AU2535">
        <f>IF(OR(('19_Расчет_аналитики'!AU2451-'19_Расчет_аналитики'!AU2479)=0,20&lt;='01_Вводные'!$B$297),0,('19_Расчет_аналитики'!AU2451-'19_Расчет_аналитики'!AU2479)*IF('01_Вводные'!$B$239="Да",MeanMinAge20+'19_Расчет_аналитики'!AU2584*SUMIF(ThresholdAge20,"&lt;"&amp;'19_Расчет_аналитики'!AU2584,WeightedRevAge20)-SUMIF(ThresholdAge20,"&lt;"&amp;'19_Расчет_аналитики'!AU2584,WeightedMinAge20),MAX(CapacityAge20*'01_Вводные'!$B$218*'19_Расчет_аналитики'!AU2584,MeanMinAge20)))</f>
        <v/>
      </c>
      <c r="AV2535">
        <f>IF(OR(('19_Расчет_аналитики'!AV2451-'19_Расчет_аналитики'!AV2479)=0,20&lt;='01_Вводные'!$B$297),0,('19_Расчет_аналитики'!AV2451-'19_Расчет_аналитики'!AV2479)*IF('01_Вводные'!$B$239="Да",MeanMinAge20+'19_Расчет_аналитики'!AV2584*SUMIF(ThresholdAge20,"&lt;"&amp;'19_Расчет_аналитики'!AV2584,WeightedRevAge20)-SUMIF(ThresholdAge20,"&lt;"&amp;'19_Расчет_аналитики'!AV2584,WeightedMinAge20),MAX(CapacityAge20*'01_Вводные'!$B$218*'19_Расчет_аналитики'!AV2584,MeanMinAge20)))</f>
        <v/>
      </c>
      <c r="AW2535">
        <f>IF(OR(('19_Расчет_аналитики'!AW2451-'19_Расчет_аналитики'!AW2479)=0,20&lt;='01_Вводные'!$B$297),0,('19_Расчет_аналитики'!AW2451-'19_Расчет_аналитики'!AW2479)*IF('01_Вводные'!$B$239="Да",MeanMinAge20+'19_Расчет_аналитики'!AW2584*SUMIF(ThresholdAge20,"&lt;"&amp;'19_Расчет_аналитики'!AW2584,WeightedRevAge20)-SUMIF(ThresholdAge20,"&lt;"&amp;'19_Расчет_аналитики'!AW2584,WeightedMinAge20),MAX(CapacityAge20*'01_Вводные'!$B$218*'19_Расчет_аналитики'!AW2584,MeanMinAge20)))</f>
        <v/>
      </c>
      <c r="AX2535">
        <f>IF(OR(('19_Расчет_аналитики'!AX2451-'19_Расчет_аналитики'!AX2479)=0,20&lt;='01_Вводные'!$B$297),0,('19_Расчет_аналитики'!AX2451-'19_Расчет_аналитики'!AX2479)*IF('01_Вводные'!$B$239="Да",MeanMinAge20+'19_Расчет_аналитики'!AX2584*SUMIF(ThresholdAge20,"&lt;"&amp;'19_Расчет_аналитики'!AX2584,WeightedRevAge20)-SUMIF(ThresholdAge20,"&lt;"&amp;'19_Расчет_аналитики'!AX2584,WeightedMinAge20),MAX(CapacityAge20*'01_Вводные'!$B$218*'19_Расчет_аналитики'!AX2584,MeanMinAge20)))</f>
        <v/>
      </c>
      <c r="AY2535">
        <f>IF(OR(('19_Расчет_аналитики'!AY2451-'19_Расчет_аналитики'!AY2479)=0,20&lt;='01_Вводные'!$B$297),0,('19_Расчет_аналитики'!AY2451-'19_Расчет_аналитики'!AY2479)*IF('01_Вводные'!$B$239="Да",MeanMinAge20+'19_Расчет_аналитики'!AY2584*SUMIF(ThresholdAge20,"&lt;"&amp;'19_Расчет_аналитики'!AY2584,WeightedRevAge20)-SUMIF(ThresholdAge20,"&lt;"&amp;'19_Расчет_аналитики'!AY2584,WeightedMinAge20),MAX(CapacityAge20*'01_Вводные'!$B$218*'19_Расчет_аналитики'!AY2584,MeanMinAge20)))</f>
        <v/>
      </c>
      <c r="AZ2535">
        <f>IF(OR(('19_Расчет_аналитики'!AZ2451-'19_Расчет_аналитики'!AZ2479)=0,20&lt;='01_Вводные'!$B$297),0,('19_Расчет_аналитики'!AZ2451-'19_Расчет_аналитики'!AZ2479)*IF('01_Вводные'!$B$239="Да",MeanMinAge20+'19_Расчет_аналитики'!AZ2584*SUMIF(ThresholdAge20,"&lt;"&amp;'19_Расчет_аналитики'!AZ2584,WeightedRevAge20)-SUMIF(ThresholdAge20,"&lt;"&amp;'19_Расчет_аналитики'!AZ2584,WeightedMinAge20),MAX(CapacityAge20*'01_Вводные'!$B$218*'19_Расчет_аналитики'!AZ2584,MeanMinAge20)))</f>
        <v/>
      </c>
      <c r="BA2535">
        <f>IF(OR(('19_Расчет_аналитики'!BA2451-'19_Расчет_аналитики'!BA2479)=0,20&lt;='01_Вводные'!$B$297),0,('19_Расчет_аналитики'!BA2451-'19_Расчет_аналитики'!BA2479)*IF('01_Вводные'!$B$239="Да",MeanMinAge20+'19_Расчет_аналитики'!BA2584*SUMIF(ThresholdAge20,"&lt;"&amp;'19_Расчет_аналитики'!BA2584,WeightedRevAge20)-SUMIF(ThresholdAge20,"&lt;"&amp;'19_Расчет_аналитики'!BA2584,WeightedMinAge20),MAX(CapacityAge20*'01_Вводные'!$B$218*'19_Расчет_аналитики'!BA2584,MeanMinAge20)))</f>
        <v/>
      </c>
      <c r="BB2535">
        <f>IF(OR(('19_Расчет_аналитики'!BB2451-'19_Расчет_аналитики'!BB2479)=0,20&lt;='01_Вводные'!$B$297),0,('19_Расчет_аналитики'!BB2451-'19_Расчет_аналитики'!BB2479)*IF('01_Вводные'!$B$239="Да",MeanMinAge20+'19_Расчет_аналитики'!BB2584*SUMIF(ThresholdAge20,"&lt;"&amp;'19_Расчет_аналитики'!BB2584,WeightedRevAge20)-SUMIF(ThresholdAge20,"&lt;"&amp;'19_Расчет_аналитики'!BB2584,WeightedMinAge20),MAX(CapacityAge20*'01_Вводные'!$B$218*'19_Расчет_аналитики'!BB2584,MeanMinAge20)))</f>
        <v/>
      </c>
      <c r="BC2535">
        <f>IF(OR(('19_Расчет_аналитики'!BC2451-'19_Расчет_аналитики'!BC2479)=0,20&lt;='01_Вводные'!$B$297),0,('19_Расчет_аналитики'!BC2451-'19_Расчет_аналитики'!BC2479)*IF('01_Вводные'!$B$239="Да",MeanMinAge20+'19_Расчет_аналитики'!BC2584*SUMIF(ThresholdAge20,"&lt;"&amp;'19_Расчет_аналитики'!BC2584,WeightedRevAge20)-SUMIF(ThresholdAge20,"&lt;"&amp;'19_Расчет_аналитики'!BC2584,WeightedMinAge20),MAX(CapacityAge20*'01_Вводные'!$B$218*'19_Расчет_аналитики'!BC2584,MeanMinAge20)))</f>
        <v/>
      </c>
      <c r="BD2535">
        <f>IF(OR(('19_Расчет_аналитики'!BD2451-'19_Расчет_аналитики'!BD2479)=0,20&lt;='01_Вводные'!$B$297),0,('19_Расчет_аналитики'!BD2451-'19_Расчет_аналитики'!BD2479)*IF('01_Вводные'!$B$239="Да",MeanMinAge20+'19_Расчет_аналитики'!BD2584*SUMIF(ThresholdAge20,"&lt;"&amp;'19_Расчет_аналитики'!BD2584,WeightedRevAge20)-SUMIF(ThresholdAge20,"&lt;"&amp;'19_Расчет_аналитики'!BD2584,WeightedMinAge20),MAX(CapacityAge20*'01_Вводные'!$B$218*'19_Расчет_аналитики'!BD2584,MeanMinAge20)))</f>
        <v/>
      </c>
      <c r="BE2535">
        <f>IF(OR(('19_Расчет_аналитики'!BE2451-'19_Расчет_аналитики'!BE2479)=0,20&lt;='01_Вводные'!$B$297),0,('19_Расчет_аналитики'!BE2451-'19_Расчет_аналитики'!BE2479)*IF('01_Вводные'!$B$239="Да",MeanMinAge20+'19_Расчет_аналитики'!BE2584*SUMIF(ThresholdAge20,"&lt;"&amp;'19_Расчет_аналитики'!BE2584,WeightedRevAge20)-SUMIF(ThresholdAge20,"&lt;"&amp;'19_Расчет_аналитики'!BE2584,WeightedMinAge20),MAX(CapacityAge20*'01_Вводные'!$B$218*'19_Расчет_аналитики'!BE2584,MeanMinAge20)))</f>
        <v/>
      </c>
      <c r="BF2535">
        <f>IF(OR(('19_Расчет_аналитики'!BF2451-'19_Расчет_аналитики'!BF2479)=0,20&lt;='01_Вводные'!$B$297),0,('19_Расчет_аналитики'!BF2451-'19_Расчет_аналитики'!BF2479)*IF('01_Вводные'!$B$239="Да",MeanMinAge20+'19_Расчет_аналитики'!BF2584*SUMIF(ThresholdAge20,"&lt;"&amp;'19_Расчет_аналитики'!BF2584,WeightedRevAge20)-SUMIF(ThresholdAge20,"&lt;"&amp;'19_Расчет_аналитики'!BF2584,WeightedMinAge20),MAX(CapacityAge20*'01_Вводные'!$B$218*'19_Расчет_аналитики'!BF2584,MeanMinAge20)))</f>
        <v/>
      </c>
      <c r="BG2535">
        <f>IF(OR(('19_Расчет_аналитики'!BG2451-'19_Расчет_аналитики'!BG2479)=0,20&lt;='01_Вводные'!$B$297),0,('19_Расчет_аналитики'!BG2451-'19_Расчет_аналитики'!BG2479)*IF('01_Вводные'!$B$239="Да",MeanMinAge20+'19_Расчет_аналитики'!BG2584*SUMIF(ThresholdAge20,"&lt;"&amp;'19_Расчет_аналитики'!BG2584,WeightedRevAge20)-SUMIF(ThresholdAge20,"&lt;"&amp;'19_Расчет_аналитики'!BG2584,WeightedMinAge20),MAX(CapacityAge20*'01_Вводные'!$B$218*'19_Расчет_аналитики'!BG2584,MeanMinAge20)))</f>
        <v/>
      </c>
      <c r="BH2535">
        <f>IF(OR(('19_Расчет_аналитики'!BH2451-'19_Расчет_аналитики'!BH2479)=0,20&lt;='01_Вводные'!$B$297),0,('19_Расчет_аналитики'!BH2451-'19_Расчет_аналитики'!BH2479)*IF('01_Вводные'!$B$239="Да",MeanMinAge20+'19_Расчет_аналитики'!BH2584*SUMIF(ThresholdAge20,"&lt;"&amp;'19_Расчет_аналитики'!BH2584,WeightedRevAge20)-SUMIF(ThresholdAge20,"&lt;"&amp;'19_Расчет_аналитики'!BH2584,WeightedMinAge20),MAX(CapacityAge20*'01_Вводные'!$B$218*'19_Расчет_аналитики'!BH2584,MeanMinAge20)))</f>
        <v/>
      </c>
      <c r="BI2535">
        <f>IF(OR(('19_Расчет_аналитики'!BI2451-'19_Расчет_аналитики'!BI2479)=0,20&lt;='01_Вводные'!$B$297),0,('19_Расчет_аналитики'!BI2451-'19_Расчет_аналитики'!BI2479)*IF('01_Вводные'!$B$239="Да",MeanMinAge20+'19_Расчет_аналитики'!BI2584*SUMIF(ThresholdAge20,"&lt;"&amp;'19_Расчет_аналитики'!BI2584,WeightedRevAge20)-SUMIF(ThresholdAge20,"&lt;"&amp;'19_Расчет_аналитики'!BI2584,WeightedMinAge20),MAX(CapacityAge20*'01_Вводные'!$B$218*'19_Расчет_аналитики'!BI2584,MeanMinAge20)))</f>
        <v/>
      </c>
      <c r="BJ2535">
        <f>IF(OR(('19_Расчет_аналитики'!BJ2451-'19_Расчет_аналитики'!BJ2479)=0,20&lt;='01_Вводные'!$B$297),0,('19_Расчет_аналитики'!BJ2451-'19_Расчет_аналитики'!BJ2479)*IF('01_Вводные'!$B$239="Да",MeanMinAge20+'19_Расчет_аналитики'!BJ2584*SUMIF(ThresholdAge20,"&lt;"&amp;'19_Расчет_аналитики'!BJ2584,WeightedRevAge20)-SUMIF(ThresholdAge20,"&lt;"&amp;'19_Расчет_аналитики'!BJ2584,WeightedMinAge20),MAX(CapacityAge20*'01_Вводные'!$B$218*'19_Расчет_аналитики'!BJ2584,MeanMinAge20)))</f>
        <v/>
      </c>
      <c r="BK2535">
        <f>IF(OR(('19_Расчет_аналитики'!BK2451-'19_Расчет_аналитики'!BK2479)=0,20&lt;='01_Вводные'!$B$297),0,('19_Расчет_аналитики'!BK2451-'19_Расчет_аналитики'!BK2479)*IF('01_Вводные'!$B$239="Да",MeanMinAge20+'19_Расчет_аналитики'!BK2584*SUMIF(ThresholdAge20,"&lt;"&amp;'19_Расчет_аналитики'!BK2584,WeightedRevAge20)-SUMIF(ThresholdAge20,"&lt;"&amp;'19_Расчет_аналитики'!BK2584,WeightedMinAge20),MAX(CapacityAge20*'01_Вводные'!$B$218*'19_Расчет_аналитики'!BK2584,MeanMinAge20)))</f>
        <v/>
      </c>
      <c r="BL2535">
        <f>IF(OR(('19_Расчет_аналитики'!BL2451-'19_Расчет_аналитики'!BL2479)=0,20&lt;='01_Вводные'!$B$297),0,('19_Расчет_аналитики'!BL2451-'19_Расчет_аналитики'!BL2479)*IF('01_Вводные'!$B$239="Да",MeanMinAge20+'19_Расчет_аналитики'!BL2584*SUMIF(ThresholdAge20,"&lt;"&amp;'19_Расчет_аналитики'!BL2584,WeightedRevAge20)-SUMIF(ThresholdAge20,"&lt;"&amp;'19_Расчет_аналитики'!BL2584,WeightedMinAge20),MAX(CapacityAge20*'01_Вводные'!$B$218*'19_Расчет_аналитики'!BL2584,MeanMinAge20)))</f>
        <v/>
      </c>
      <c r="BM2535">
        <f>IF(OR(('19_Расчет_аналитики'!BM2451-'19_Расчет_аналитики'!BM2479)=0,20&lt;='01_Вводные'!$B$297),0,('19_Расчет_аналитики'!BM2451-'19_Расчет_аналитики'!BM2479)*IF('01_Вводные'!$B$239="Да",MeanMinAge20+'19_Расчет_аналитики'!BM2584*SUMIF(ThresholdAge20,"&lt;"&amp;'19_Расчет_аналитики'!BM2584,WeightedRevAge20)-SUMIF(ThresholdAge20,"&lt;"&amp;'19_Расчет_аналитики'!BM2584,WeightedMinAge20),MAX(CapacityAge20*'01_Вводные'!$B$218*'19_Расчет_аналитики'!BM2584,MeanMinAge20)))</f>
        <v/>
      </c>
      <c r="BN2535">
        <f>IF(OR(('19_Расчет_аналитики'!BN2451-'19_Расчет_аналитики'!BN2479)=0,20&lt;='01_Вводные'!$B$297),0,('19_Расчет_аналитики'!BN2451-'19_Расчет_аналитики'!BN2479)*IF('01_Вводные'!$B$239="Да",MeanMinAge20+'19_Расчет_аналитики'!BN2584*SUMIF(ThresholdAge20,"&lt;"&amp;'19_Расчет_аналитики'!BN2584,WeightedRevAge20)-SUMIF(ThresholdAge20,"&lt;"&amp;'19_Расчет_аналитики'!BN2584,WeightedMinAge20),MAX(CapacityAge20*'01_Вводные'!$B$218*'19_Расчет_аналитики'!BN2584,MeanMinAge20)))</f>
        <v/>
      </c>
      <c r="BO2535">
        <f>IF(OR(('19_Расчет_аналитики'!BO2451-'19_Расчет_аналитики'!BO2479)=0,20&lt;='01_Вводные'!$B$297),0,('19_Расчет_аналитики'!BO2451-'19_Расчет_аналитики'!BO2479)*IF('01_Вводные'!$B$239="Да",MeanMinAge20+'19_Расчет_аналитики'!BO2584*SUMIF(ThresholdAge20,"&lt;"&amp;'19_Расчет_аналитики'!BO2584,WeightedRevAge20)-SUMIF(ThresholdAge20,"&lt;"&amp;'19_Расчет_аналитики'!BO2584,WeightedMinAge20),MAX(CapacityAge20*'01_Вводные'!$B$218*'19_Расчет_аналитики'!BO2584,MeanMinAge20)))</f>
        <v/>
      </c>
    </row>
    <row r="2536">
      <c r="B2536">
        <f>IF(OR(('06_Сеть_и_дети'!B73-'06_Сеть_и_дети'!B101)=0,21&lt;='01_Вводные'!$B$297),0,('06_Сеть_и_дети'!B73-'06_Сеть_и_дети'!B101)*IF('01_Вводные'!$B$239="Да",MeanMinAge21+'19_Расчет_аналитики'!B2584*SUMIF(ThresholdAge21,"&lt;"&amp;'19_Расчет_аналитики'!B2584,WeightedRevAge21)-SUMIF(ThresholdAge21,"&lt;"&amp;'19_Расчет_аналитики'!B2584,WeightedMinAge21),MAX(CapacityAge21*'01_Вводные'!$B$218*'19_Расчет_аналитики'!B2584,MeanMinAge21)))</f>
        <v/>
      </c>
      <c r="C2536">
        <f>IF(OR(('06_Сеть_и_дети'!C73-'06_Сеть_и_дети'!C101)=0,21&lt;='01_Вводные'!$B$297),0,('06_Сеть_и_дети'!C73-'06_Сеть_и_дети'!C101)*IF('01_Вводные'!$B$239="Да",MeanMinAge21+'19_Расчет_аналитики'!C2584*SUMIF(ThresholdAge21,"&lt;"&amp;'19_Расчет_аналитики'!C2584,WeightedRevAge21)-SUMIF(ThresholdAge21,"&lt;"&amp;'19_Расчет_аналитики'!C2584,WeightedMinAge21),MAX(CapacityAge21*'01_Вводные'!$B$218*'19_Расчет_аналитики'!C2584,MeanMinAge21)))</f>
        <v/>
      </c>
      <c r="D2536">
        <f>IF(OR(('06_Сеть_и_дети'!D73-'06_Сеть_и_дети'!D101)=0,21&lt;='01_Вводные'!$B$297),0,('06_Сеть_и_дети'!D73-'06_Сеть_и_дети'!D101)*IF('01_Вводные'!$B$239="Да",MeanMinAge21+'19_Расчет_аналитики'!D2584*SUMIF(ThresholdAge21,"&lt;"&amp;'19_Расчет_аналитики'!D2584,WeightedRevAge21)-SUMIF(ThresholdAge21,"&lt;"&amp;'19_Расчет_аналитики'!D2584,WeightedMinAge21),MAX(CapacityAge21*'01_Вводные'!$B$218*'19_Расчет_аналитики'!D2584,MeanMinAge21)))</f>
        <v/>
      </c>
      <c r="E2536">
        <f>IF(OR(('06_Сеть_и_дети'!E73-'06_Сеть_и_дети'!E101)=0,21&lt;='01_Вводные'!$B$297),0,('06_Сеть_и_дети'!E73-'06_Сеть_и_дети'!E101)*IF('01_Вводные'!$B$239="Да",MeanMinAge21+'19_Расчет_аналитики'!E2584*SUMIF(ThresholdAge21,"&lt;"&amp;'19_Расчет_аналитики'!E2584,WeightedRevAge21)-SUMIF(ThresholdAge21,"&lt;"&amp;'19_Расчет_аналитики'!E2584,WeightedMinAge21),MAX(CapacityAge21*'01_Вводные'!$B$218*'19_Расчет_аналитики'!E2584,MeanMinAge21)))</f>
        <v/>
      </c>
      <c r="F2536">
        <f>IF(OR(('06_Сеть_и_дети'!F73-'06_Сеть_и_дети'!F101)=0,21&lt;='01_Вводные'!$B$297),0,('06_Сеть_и_дети'!F73-'06_Сеть_и_дети'!F101)*IF('01_Вводные'!$B$239="Да",MeanMinAge21+'19_Расчет_аналитики'!F2584*SUMIF(ThresholdAge21,"&lt;"&amp;'19_Расчет_аналитики'!F2584,WeightedRevAge21)-SUMIF(ThresholdAge21,"&lt;"&amp;'19_Расчет_аналитики'!F2584,WeightedMinAge21),MAX(CapacityAge21*'01_Вводные'!$B$218*'19_Расчет_аналитики'!F2584,MeanMinAge21)))</f>
        <v/>
      </c>
      <c r="G2536">
        <f>IF(OR(('06_Сеть_и_дети'!G73-'06_Сеть_и_дети'!G101)=0,21&lt;='01_Вводные'!$B$297),0,('06_Сеть_и_дети'!G73-'06_Сеть_и_дети'!G101)*IF('01_Вводные'!$B$239="Да",MeanMinAge21+'19_Расчет_аналитики'!G2584*SUMIF(ThresholdAge21,"&lt;"&amp;'19_Расчет_аналитики'!G2584,WeightedRevAge21)-SUMIF(ThresholdAge21,"&lt;"&amp;'19_Расчет_аналитики'!G2584,WeightedMinAge21),MAX(CapacityAge21*'01_Вводные'!$B$218*'19_Расчет_аналитики'!G2584,MeanMinAge21)))</f>
        <v/>
      </c>
      <c r="H2536">
        <f>IF(OR(('06_Сеть_и_дети'!H73-'06_Сеть_и_дети'!H101)=0,21&lt;='01_Вводные'!$B$297),0,('06_Сеть_и_дети'!H73-'06_Сеть_и_дети'!H101)*IF('01_Вводные'!$B$239="Да",MeanMinAge21+'19_Расчет_аналитики'!H2584*SUMIF(ThresholdAge21,"&lt;"&amp;'19_Расчет_аналитики'!H2584,WeightedRevAge21)-SUMIF(ThresholdAge21,"&lt;"&amp;'19_Расчет_аналитики'!H2584,WeightedMinAge21),MAX(CapacityAge21*'01_Вводные'!$B$218*'19_Расчет_аналитики'!H2584,MeanMinAge21)))</f>
        <v/>
      </c>
      <c r="I2536">
        <f>IF(OR(('06_Сеть_и_дети'!I73-'06_Сеть_и_дети'!I101)=0,21&lt;='01_Вводные'!$B$297),0,('06_Сеть_и_дети'!I73-'06_Сеть_и_дети'!I101)*IF('01_Вводные'!$B$239="Да",MeanMinAge21+'19_Расчет_аналитики'!I2584*SUMIF(ThresholdAge21,"&lt;"&amp;'19_Расчет_аналитики'!I2584,WeightedRevAge21)-SUMIF(ThresholdAge21,"&lt;"&amp;'19_Расчет_аналитики'!I2584,WeightedMinAge21),MAX(CapacityAge21*'01_Вводные'!$B$218*'19_Расчет_аналитики'!I2584,MeanMinAge21)))</f>
        <v/>
      </c>
      <c r="J2536">
        <f>IF(OR(('06_Сеть_и_дети'!J73-'06_Сеть_и_дети'!J101)=0,21&lt;='01_Вводные'!$B$297),0,('06_Сеть_и_дети'!J73-'06_Сеть_и_дети'!J101)*IF('01_Вводные'!$B$239="Да",MeanMinAge21+'19_Расчет_аналитики'!J2584*SUMIF(ThresholdAge21,"&lt;"&amp;'19_Расчет_аналитики'!J2584,WeightedRevAge21)-SUMIF(ThresholdAge21,"&lt;"&amp;'19_Расчет_аналитики'!J2584,WeightedMinAge21),MAX(CapacityAge21*'01_Вводные'!$B$218*'19_Расчет_аналитики'!J2584,MeanMinAge21)))</f>
        <v/>
      </c>
      <c r="K2536">
        <f>IF(OR(('06_Сеть_и_дети'!K73-'06_Сеть_и_дети'!K101)=0,21&lt;='01_Вводные'!$B$297),0,('06_Сеть_и_дети'!K73-'06_Сеть_и_дети'!K101)*IF('01_Вводные'!$B$239="Да",MeanMinAge21+'19_Расчет_аналитики'!K2584*SUMIF(ThresholdAge21,"&lt;"&amp;'19_Расчет_аналитики'!K2584,WeightedRevAge21)-SUMIF(ThresholdAge21,"&lt;"&amp;'19_Расчет_аналитики'!K2584,WeightedMinAge21),MAX(CapacityAge21*'01_Вводные'!$B$218*'19_Расчет_аналитики'!K2584,MeanMinAge21)))</f>
        <v/>
      </c>
      <c r="L2536">
        <f>IF(OR(('06_Сеть_и_дети'!L73-'06_Сеть_и_дети'!L101)=0,21&lt;='01_Вводные'!$B$297),0,('06_Сеть_и_дети'!L73-'06_Сеть_и_дети'!L101)*IF('01_Вводные'!$B$239="Да",MeanMinAge21+'19_Расчет_аналитики'!L2584*SUMIF(ThresholdAge21,"&lt;"&amp;'19_Расчет_аналитики'!L2584,WeightedRevAge21)-SUMIF(ThresholdAge21,"&lt;"&amp;'19_Расчет_аналитики'!L2584,WeightedMinAge21),MAX(CapacityAge21*'01_Вводные'!$B$218*'19_Расчет_аналитики'!L2584,MeanMinAge21)))</f>
        <v/>
      </c>
      <c r="M2536">
        <f>IF(OR(('06_Сеть_и_дети'!M73-'06_Сеть_и_дети'!M101)=0,21&lt;='01_Вводные'!$B$297),0,('06_Сеть_и_дети'!M73-'06_Сеть_и_дети'!M101)*IF('01_Вводные'!$B$239="Да",MeanMinAge21+'19_Расчет_аналитики'!M2584*SUMIF(ThresholdAge21,"&lt;"&amp;'19_Расчет_аналитики'!M2584,WeightedRevAge21)-SUMIF(ThresholdAge21,"&lt;"&amp;'19_Расчет_аналитики'!M2584,WeightedMinAge21),MAX(CapacityAge21*'01_Вводные'!$B$218*'19_Расчет_аналитики'!M2584,MeanMinAge21)))</f>
        <v/>
      </c>
      <c r="N2536">
        <f>IF(OR(('06_Сеть_и_дети'!N73-'06_Сеть_и_дети'!N101)=0,21&lt;='01_Вводные'!$B$297),0,('06_Сеть_и_дети'!N73-'06_Сеть_и_дети'!N101)*IF('01_Вводные'!$B$239="Да",MeanMinAge21+'19_Расчет_аналитики'!N2584*SUMIF(ThresholdAge21,"&lt;"&amp;'19_Расчет_аналитики'!N2584,WeightedRevAge21)-SUMIF(ThresholdAge21,"&lt;"&amp;'19_Расчет_аналитики'!N2584,WeightedMinAge21),MAX(CapacityAge21*'01_Вводные'!$B$218*'19_Расчет_аналитики'!N2584,MeanMinAge21)))</f>
        <v/>
      </c>
      <c r="O2536">
        <f>IF(OR(('06_Сеть_и_дети'!O73-'06_Сеть_и_дети'!O101)=0,21&lt;='01_Вводные'!$B$297),0,('06_Сеть_и_дети'!O73-'06_Сеть_и_дети'!O101)*IF('01_Вводные'!$B$239="Да",MeanMinAge21+'19_Расчет_аналитики'!O2584*SUMIF(ThresholdAge21,"&lt;"&amp;'19_Расчет_аналитики'!O2584,WeightedRevAge21)-SUMIF(ThresholdAge21,"&lt;"&amp;'19_Расчет_аналитики'!O2584,WeightedMinAge21),MAX(CapacityAge21*'01_Вводные'!$B$218*'19_Расчет_аналитики'!O2584,MeanMinAge21)))</f>
        <v/>
      </c>
      <c r="P2536">
        <f>IF(OR(('06_Сеть_и_дети'!P73-'06_Сеть_и_дети'!P101)=0,21&lt;='01_Вводные'!$B$297),0,('06_Сеть_и_дети'!P73-'06_Сеть_и_дети'!P101)*IF('01_Вводные'!$B$239="Да",MeanMinAge21+'19_Расчет_аналитики'!P2584*SUMIF(ThresholdAge21,"&lt;"&amp;'19_Расчет_аналитики'!P2584,WeightedRevAge21)-SUMIF(ThresholdAge21,"&lt;"&amp;'19_Расчет_аналитики'!P2584,WeightedMinAge21),MAX(CapacityAge21*'01_Вводные'!$B$218*'19_Расчет_аналитики'!P2584,MeanMinAge21)))</f>
        <v/>
      </c>
      <c r="Q2536">
        <f>IF(OR(('06_Сеть_и_дети'!Q73-'06_Сеть_и_дети'!Q101)=0,21&lt;='01_Вводные'!$B$297),0,('06_Сеть_и_дети'!Q73-'06_Сеть_и_дети'!Q101)*IF('01_Вводные'!$B$239="Да",MeanMinAge21+'19_Расчет_аналитики'!Q2584*SUMIF(ThresholdAge21,"&lt;"&amp;'19_Расчет_аналитики'!Q2584,WeightedRevAge21)-SUMIF(ThresholdAge21,"&lt;"&amp;'19_Расчет_аналитики'!Q2584,WeightedMinAge21),MAX(CapacityAge21*'01_Вводные'!$B$218*'19_Расчет_аналитики'!Q2584,MeanMinAge21)))</f>
        <v/>
      </c>
      <c r="R2536">
        <f>IF(OR(('06_Сеть_и_дети'!R73-'06_Сеть_и_дети'!R101)=0,21&lt;='01_Вводные'!$B$297),0,('06_Сеть_и_дети'!R73-'06_Сеть_и_дети'!R101)*IF('01_Вводные'!$B$239="Да",MeanMinAge21+'19_Расчет_аналитики'!R2584*SUMIF(ThresholdAge21,"&lt;"&amp;'19_Расчет_аналитики'!R2584,WeightedRevAge21)-SUMIF(ThresholdAge21,"&lt;"&amp;'19_Расчет_аналитики'!R2584,WeightedMinAge21),MAX(CapacityAge21*'01_Вводные'!$B$218*'19_Расчет_аналитики'!R2584,MeanMinAge21)))</f>
        <v/>
      </c>
      <c r="S2536">
        <f>IF(OR(('06_Сеть_и_дети'!S73-'06_Сеть_и_дети'!S101)=0,21&lt;='01_Вводные'!$B$297),0,('06_Сеть_и_дети'!S73-'06_Сеть_и_дети'!S101)*IF('01_Вводные'!$B$239="Да",MeanMinAge21+'19_Расчет_аналитики'!S2584*SUMIF(ThresholdAge21,"&lt;"&amp;'19_Расчет_аналитики'!S2584,WeightedRevAge21)-SUMIF(ThresholdAge21,"&lt;"&amp;'19_Расчет_аналитики'!S2584,WeightedMinAge21),MAX(CapacityAge21*'01_Вводные'!$B$218*'19_Расчет_аналитики'!S2584,MeanMinAge21)))</f>
        <v/>
      </c>
      <c r="T2536">
        <f>IF(OR(('06_Сеть_и_дети'!T73-'06_Сеть_и_дети'!T101)=0,21&lt;='01_Вводные'!$B$297),0,('06_Сеть_и_дети'!T73-'06_Сеть_и_дети'!T101)*IF('01_Вводные'!$B$239="Да",MeanMinAge21+'19_Расчет_аналитики'!T2584*SUMIF(ThresholdAge21,"&lt;"&amp;'19_Расчет_аналитики'!T2584,WeightedRevAge21)-SUMIF(ThresholdAge21,"&lt;"&amp;'19_Расчет_аналитики'!T2584,WeightedMinAge21),MAX(CapacityAge21*'01_Вводные'!$B$218*'19_Расчет_аналитики'!T2584,MeanMinAge21)))</f>
        <v/>
      </c>
      <c r="U2536">
        <f>IF(OR(('06_Сеть_и_дети'!U73-'06_Сеть_и_дети'!U101)=0,21&lt;='01_Вводные'!$B$297),0,('06_Сеть_и_дети'!U73-'06_Сеть_и_дети'!U101)*IF('01_Вводные'!$B$239="Да",MeanMinAge21+'19_Расчет_аналитики'!U2584*SUMIF(ThresholdAge21,"&lt;"&amp;'19_Расчет_аналитики'!U2584,WeightedRevAge21)-SUMIF(ThresholdAge21,"&lt;"&amp;'19_Расчет_аналитики'!U2584,WeightedMinAge21),MAX(CapacityAge21*'01_Вводные'!$B$218*'19_Расчет_аналитики'!U2584,MeanMinAge21)))</f>
        <v/>
      </c>
      <c r="V2536">
        <f>IF(OR(('19_Расчет_аналитики'!V2452-'19_Расчет_аналитики'!V2480)=0,21&lt;='01_Вводные'!$B$297),0,('19_Расчет_аналитики'!V2452-'19_Расчет_аналитики'!V2480)*IF('01_Вводные'!$B$239="Да",MeanMinAge21+'19_Расчет_аналитики'!V2584*SUMIF(ThresholdAge21,"&lt;"&amp;'19_Расчет_аналитики'!V2584,WeightedRevAge21)-SUMIF(ThresholdAge21,"&lt;"&amp;'19_Расчет_аналитики'!V2584,WeightedMinAge21),MAX(CapacityAge21*'01_Вводные'!$B$218*'19_Расчет_аналитики'!V2584,MeanMinAge21)))</f>
        <v/>
      </c>
      <c r="W2536">
        <f>IF(OR(('19_Расчет_аналитики'!W2452-'19_Расчет_аналитики'!W2480)=0,21&lt;='01_Вводные'!$B$297),0,('19_Расчет_аналитики'!W2452-'19_Расчет_аналитики'!W2480)*IF('01_Вводные'!$B$239="Да",MeanMinAge21+'19_Расчет_аналитики'!W2584*SUMIF(ThresholdAge21,"&lt;"&amp;'19_Расчет_аналитики'!W2584,WeightedRevAge21)-SUMIF(ThresholdAge21,"&lt;"&amp;'19_Расчет_аналитики'!W2584,WeightedMinAge21),MAX(CapacityAge21*'01_Вводные'!$B$218*'19_Расчет_аналитики'!W2584,MeanMinAge21)))</f>
        <v/>
      </c>
      <c r="X2536">
        <f>IF(OR(('19_Расчет_аналитики'!X2452-'19_Расчет_аналитики'!X2480)=0,21&lt;='01_Вводные'!$B$297),0,('19_Расчет_аналитики'!X2452-'19_Расчет_аналитики'!X2480)*IF('01_Вводные'!$B$239="Да",MeanMinAge21+'19_Расчет_аналитики'!X2584*SUMIF(ThresholdAge21,"&lt;"&amp;'19_Расчет_аналитики'!X2584,WeightedRevAge21)-SUMIF(ThresholdAge21,"&lt;"&amp;'19_Расчет_аналитики'!X2584,WeightedMinAge21),MAX(CapacityAge21*'01_Вводные'!$B$218*'19_Расчет_аналитики'!X2584,MeanMinAge21)))</f>
        <v/>
      </c>
      <c r="Y2536">
        <f>IF(OR(('19_Расчет_аналитики'!Y2452-'19_Расчет_аналитики'!Y2480)=0,21&lt;='01_Вводные'!$B$297),0,('19_Расчет_аналитики'!Y2452-'19_Расчет_аналитики'!Y2480)*IF('01_Вводные'!$B$239="Да",MeanMinAge21+'19_Расчет_аналитики'!Y2584*SUMIF(ThresholdAge21,"&lt;"&amp;'19_Расчет_аналитики'!Y2584,WeightedRevAge21)-SUMIF(ThresholdAge21,"&lt;"&amp;'19_Расчет_аналитики'!Y2584,WeightedMinAge21),MAX(CapacityAge21*'01_Вводные'!$B$218*'19_Расчет_аналитики'!Y2584,MeanMinAge21)))</f>
        <v/>
      </c>
      <c r="Z2536">
        <f>IF(OR(('19_Расчет_аналитики'!Z2452-'19_Расчет_аналитики'!Z2480)=0,21&lt;='01_Вводные'!$B$297),0,('19_Расчет_аналитики'!Z2452-'19_Расчет_аналитики'!Z2480)*IF('01_Вводные'!$B$239="Да",MeanMinAge21+'19_Расчет_аналитики'!Z2584*SUMIF(ThresholdAge21,"&lt;"&amp;'19_Расчет_аналитики'!Z2584,WeightedRevAge21)-SUMIF(ThresholdAge21,"&lt;"&amp;'19_Расчет_аналитики'!Z2584,WeightedMinAge21),MAX(CapacityAge21*'01_Вводные'!$B$218*'19_Расчет_аналитики'!Z2584,MeanMinAge21)))</f>
        <v/>
      </c>
      <c r="AA2536">
        <f>IF(OR(('19_Расчет_аналитики'!AA2452-'19_Расчет_аналитики'!AA2480)=0,21&lt;='01_Вводные'!$B$297),0,('19_Расчет_аналитики'!AA2452-'19_Расчет_аналитики'!AA2480)*IF('01_Вводные'!$B$239="Да",MeanMinAge21+'19_Расчет_аналитики'!AA2584*SUMIF(ThresholdAge21,"&lt;"&amp;'19_Расчет_аналитики'!AA2584,WeightedRevAge21)-SUMIF(ThresholdAge21,"&lt;"&amp;'19_Расчет_аналитики'!AA2584,WeightedMinAge21),MAX(CapacityAge21*'01_Вводные'!$B$218*'19_Расчет_аналитики'!AA2584,MeanMinAge21)))</f>
        <v/>
      </c>
      <c r="AB2536">
        <f>IF(OR(('19_Расчет_аналитики'!AB2452-'19_Расчет_аналитики'!AB2480)=0,21&lt;='01_Вводные'!$B$297),0,('19_Расчет_аналитики'!AB2452-'19_Расчет_аналитики'!AB2480)*IF('01_Вводные'!$B$239="Да",MeanMinAge21+'19_Расчет_аналитики'!AB2584*SUMIF(ThresholdAge21,"&lt;"&amp;'19_Расчет_аналитики'!AB2584,WeightedRevAge21)-SUMIF(ThresholdAge21,"&lt;"&amp;'19_Расчет_аналитики'!AB2584,WeightedMinAge21),MAX(CapacityAge21*'01_Вводные'!$B$218*'19_Расчет_аналитики'!AB2584,MeanMinAge21)))</f>
        <v/>
      </c>
      <c r="AC2536">
        <f>IF(OR(('19_Расчет_аналитики'!AC2452-'19_Расчет_аналитики'!AC2480)=0,21&lt;='01_Вводные'!$B$297),0,('19_Расчет_аналитики'!AC2452-'19_Расчет_аналитики'!AC2480)*IF('01_Вводные'!$B$239="Да",MeanMinAge21+'19_Расчет_аналитики'!AC2584*SUMIF(ThresholdAge21,"&lt;"&amp;'19_Расчет_аналитики'!AC2584,WeightedRevAge21)-SUMIF(ThresholdAge21,"&lt;"&amp;'19_Расчет_аналитики'!AC2584,WeightedMinAge21),MAX(CapacityAge21*'01_Вводные'!$B$218*'19_Расчет_аналитики'!AC2584,MeanMinAge21)))</f>
        <v/>
      </c>
      <c r="AD2536">
        <f>IF(OR(('19_Расчет_аналитики'!AD2452-'19_Расчет_аналитики'!AD2480)=0,21&lt;='01_Вводные'!$B$297),0,('19_Расчет_аналитики'!AD2452-'19_Расчет_аналитики'!AD2480)*IF('01_Вводные'!$B$239="Да",MeanMinAge21+'19_Расчет_аналитики'!AD2584*SUMIF(ThresholdAge21,"&lt;"&amp;'19_Расчет_аналитики'!AD2584,WeightedRevAge21)-SUMIF(ThresholdAge21,"&lt;"&amp;'19_Расчет_аналитики'!AD2584,WeightedMinAge21),MAX(CapacityAge21*'01_Вводные'!$B$218*'19_Расчет_аналитики'!AD2584,MeanMinAge21)))</f>
        <v/>
      </c>
      <c r="AE2536">
        <f>IF(OR(('19_Расчет_аналитики'!AE2452-'19_Расчет_аналитики'!AE2480)=0,21&lt;='01_Вводные'!$B$297),0,('19_Расчет_аналитики'!AE2452-'19_Расчет_аналитики'!AE2480)*IF('01_Вводные'!$B$239="Да",MeanMinAge21+'19_Расчет_аналитики'!AE2584*SUMIF(ThresholdAge21,"&lt;"&amp;'19_Расчет_аналитики'!AE2584,WeightedRevAge21)-SUMIF(ThresholdAge21,"&lt;"&amp;'19_Расчет_аналитики'!AE2584,WeightedMinAge21),MAX(CapacityAge21*'01_Вводные'!$B$218*'19_Расчет_аналитики'!AE2584,MeanMinAge21)))</f>
        <v/>
      </c>
      <c r="AF2536">
        <f>IF(OR(('19_Расчет_аналитики'!AF2452-'19_Расчет_аналитики'!AF2480)=0,21&lt;='01_Вводные'!$B$297),0,('19_Расчет_аналитики'!AF2452-'19_Расчет_аналитики'!AF2480)*IF('01_Вводные'!$B$239="Да",MeanMinAge21+'19_Расчет_аналитики'!AF2584*SUMIF(ThresholdAge21,"&lt;"&amp;'19_Расчет_аналитики'!AF2584,WeightedRevAge21)-SUMIF(ThresholdAge21,"&lt;"&amp;'19_Расчет_аналитики'!AF2584,WeightedMinAge21),MAX(CapacityAge21*'01_Вводные'!$B$218*'19_Расчет_аналитики'!AF2584,MeanMinAge21)))</f>
        <v/>
      </c>
      <c r="AG2536">
        <f>IF(OR(('19_Расчет_аналитики'!AG2452-'19_Расчет_аналитики'!AG2480)=0,21&lt;='01_Вводные'!$B$297),0,('19_Расчет_аналитики'!AG2452-'19_Расчет_аналитики'!AG2480)*IF('01_Вводные'!$B$239="Да",MeanMinAge21+'19_Расчет_аналитики'!AG2584*SUMIF(ThresholdAge21,"&lt;"&amp;'19_Расчет_аналитики'!AG2584,WeightedRevAge21)-SUMIF(ThresholdAge21,"&lt;"&amp;'19_Расчет_аналитики'!AG2584,WeightedMinAge21),MAX(CapacityAge21*'01_Вводные'!$B$218*'19_Расчет_аналитики'!AG2584,MeanMinAge21)))</f>
        <v/>
      </c>
      <c r="AH2536">
        <f>IF(OR(('19_Расчет_аналитики'!AH2452-'19_Расчет_аналитики'!AH2480)=0,21&lt;='01_Вводные'!$B$297),0,('19_Расчет_аналитики'!AH2452-'19_Расчет_аналитики'!AH2480)*IF('01_Вводные'!$B$239="Да",MeanMinAge21+'19_Расчет_аналитики'!AH2584*SUMIF(ThresholdAge21,"&lt;"&amp;'19_Расчет_аналитики'!AH2584,WeightedRevAge21)-SUMIF(ThresholdAge21,"&lt;"&amp;'19_Расчет_аналитики'!AH2584,WeightedMinAge21),MAX(CapacityAge21*'01_Вводные'!$B$218*'19_Расчет_аналитики'!AH2584,MeanMinAge21)))</f>
        <v/>
      </c>
      <c r="AI2536">
        <f>IF(OR(('19_Расчет_аналитики'!AI2452-'19_Расчет_аналитики'!AI2480)=0,21&lt;='01_Вводные'!$B$297),0,('19_Расчет_аналитики'!AI2452-'19_Расчет_аналитики'!AI2480)*IF('01_Вводные'!$B$239="Да",MeanMinAge21+'19_Расчет_аналитики'!AI2584*SUMIF(ThresholdAge21,"&lt;"&amp;'19_Расчет_аналитики'!AI2584,WeightedRevAge21)-SUMIF(ThresholdAge21,"&lt;"&amp;'19_Расчет_аналитики'!AI2584,WeightedMinAge21),MAX(CapacityAge21*'01_Вводные'!$B$218*'19_Расчет_аналитики'!AI2584,MeanMinAge21)))</f>
        <v/>
      </c>
      <c r="AJ2536">
        <f>IF(OR(('19_Расчет_аналитики'!AJ2452-'19_Расчет_аналитики'!AJ2480)=0,21&lt;='01_Вводные'!$B$297),0,('19_Расчет_аналитики'!AJ2452-'19_Расчет_аналитики'!AJ2480)*IF('01_Вводные'!$B$239="Да",MeanMinAge21+'19_Расчет_аналитики'!AJ2584*SUMIF(ThresholdAge21,"&lt;"&amp;'19_Расчет_аналитики'!AJ2584,WeightedRevAge21)-SUMIF(ThresholdAge21,"&lt;"&amp;'19_Расчет_аналитики'!AJ2584,WeightedMinAge21),MAX(CapacityAge21*'01_Вводные'!$B$218*'19_Расчет_аналитики'!AJ2584,MeanMinAge21)))</f>
        <v/>
      </c>
      <c r="AK2536">
        <f>IF(OR(('19_Расчет_аналитики'!AK2452-'19_Расчет_аналитики'!AK2480)=0,21&lt;='01_Вводные'!$B$297),0,('19_Расчет_аналитики'!AK2452-'19_Расчет_аналитики'!AK2480)*IF('01_Вводные'!$B$239="Да",MeanMinAge21+'19_Расчет_аналитики'!AK2584*SUMIF(ThresholdAge21,"&lt;"&amp;'19_Расчет_аналитики'!AK2584,WeightedRevAge21)-SUMIF(ThresholdAge21,"&lt;"&amp;'19_Расчет_аналитики'!AK2584,WeightedMinAge21),MAX(CapacityAge21*'01_Вводные'!$B$218*'19_Расчет_аналитики'!AK2584,MeanMinAge21)))</f>
        <v/>
      </c>
      <c r="AL2536">
        <f>IF(OR(('19_Расчет_аналитики'!AL2452-'19_Расчет_аналитики'!AL2480)=0,21&lt;='01_Вводные'!$B$297),0,('19_Расчет_аналитики'!AL2452-'19_Расчет_аналитики'!AL2480)*IF('01_Вводные'!$B$239="Да",MeanMinAge21+'19_Расчет_аналитики'!AL2584*SUMIF(ThresholdAge21,"&lt;"&amp;'19_Расчет_аналитики'!AL2584,WeightedRevAge21)-SUMIF(ThresholdAge21,"&lt;"&amp;'19_Расчет_аналитики'!AL2584,WeightedMinAge21),MAX(CapacityAge21*'01_Вводные'!$B$218*'19_Расчет_аналитики'!AL2584,MeanMinAge21)))</f>
        <v/>
      </c>
      <c r="AM2536">
        <f>IF(OR(('19_Расчет_аналитики'!AM2452-'19_Расчет_аналитики'!AM2480)=0,21&lt;='01_Вводные'!$B$297),0,('19_Расчет_аналитики'!AM2452-'19_Расчет_аналитики'!AM2480)*IF('01_Вводные'!$B$239="Да",MeanMinAge21+'19_Расчет_аналитики'!AM2584*SUMIF(ThresholdAge21,"&lt;"&amp;'19_Расчет_аналитики'!AM2584,WeightedRevAge21)-SUMIF(ThresholdAge21,"&lt;"&amp;'19_Расчет_аналитики'!AM2584,WeightedMinAge21),MAX(CapacityAge21*'01_Вводные'!$B$218*'19_Расчет_аналитики'!AM2584,MeanMinAge21)))</f>
        <v/>
      </c>
      <c r="AN2536">
        <f>IF(OR(('19_Расчет_аналитики'!AN2452-'19_Расчет_аналитики'!AN2480)=0,21&lt;='01_Вводные'!$B$297),0,('19_Расчет_аналитики'!AN2452-'19_Расчет_аналитики'!AN2480)*IF('01_Вводные'!$B$239="Да",MeanMinAge21+'19_Расчет_аналитики'!AN2584*SUMIF(ThresholdAge21,"&lt;"&amp;'19_Расчет_аналитики'!AN2584,WeightedRevAge21)-SUMIF(ThresholdAge21,"&lt;"&amp;'19_Расчет_аналитики'!AN2584,WeightedMinAge21),MAX(CapacityAge21*'01_Вводные'!$B$218*'19_Расчет_аналитики'!AN2584,MeanMinAge21)))</f>
        <v/>
      </c>
      <c r="AO2536">
        <f>IF(OR(('19_Расчет_аналитики'!AO2452-'19_Расчет_аналитики'!AO2480)=0,21&lt;='01_Вводные'!$B$297),0,('19_Расчет_аналитики'!AO2452-'19_Расчет_аналитики'!AO2480)*IF('01_Вводные'!$B$239="Да",MeanMinAge21+'19_Расчет_аналитики'!AO2584*SUMIF(ThresholdAge21,"&lt;"&amp;'19_Расчет_аналитики'!AO2584,WeightedRevAge21)-SUMIF(ThresholdAge21,"&lt;"&amp;'19_Расчет_аналитики'!AO2584,WeightedMinAge21),MAX(CapacityAge21*'01_Вводные'!$B$218*'19_Расчет_аналитики'!AO2584,MeanMinAge21)))</f>
        <v/>
      </c>
      <c r="AP2536">
        <f>IF(OR(('19_Расчет_аналитики'!AP2452-'19_Расчет_аналитики'!AP2480)=0,21&lt;='01_Вводные'!$B$297),0,('19_Расчет_аналитики'!AP2452-'19_Расчет_аналитики'!AP2480)*IF('01_Вводные'!$B$239="Да",MeanMinAge21+'19_Расчет_аналитики'!AP2584*SUMIF(ThresholdAge21,"&lt;"&amp;'19_Расчет_аналитики'!AP2584,WeightedRevAge21)-SUMIF(ThresholdAge21,"&lt;"&amp;'19_Расчет_аналитики'!AP2584,WeightedMinAge21),MAX(CapacityAge21*'01_Вводные'!$B$218*'19_Расчет_аналитики'!AP2584,MeanMinAge21)))</f>
        <v/>
      </c>
      <c r="AQ2536">
        <f>IF(OR(('19_Расчет_аналитики'!AQ2452-'19_Расчет_аналитики'!AQ2480)=0,21&lt;='01_Вводные'!$B$297),0,('19_Расчет_аналитики'!AQ2452-'19_Расчет_аналитики'!AQ2480)*IF('01_Вводные'!$B$239="Да",MeanMinAge21+'19_Расчет_аналитики'!AQ2584*SUMIF(ThresholdAge21,"&lt;"&amp;'19_Расчет_аналитики'!AQ2584,WeightedRevAge21)-SUMIF(ThresholdAge21,"&lt;"&amp;'19_Расчет_аналитики'!AQ2584,WeightedMinAge21),MAX(CapacityAge21*'01_Вводные'!$B$218*'19_Расчет_аналитики'!AQ2584,MeanMinAge21)))</f>
        <v/>
      </c>
      <c r="AR2536">
        <f>IF(OR(('19_Расчет_аналитики'!AR2452-'19_Расчет_аналитики'!AR2480)=0,21&lt;='01_Вводные'!$B$297),0,('19_Расчет_аналитики'!AR2452-'19_Расчет_аналитики'!AR2480)*IF('01_Вводные'!$B$239="Да",MeanMinAge21+'19_Расчет_аналитики'!AR2584*SUMIF(ThresholdAge21,"&lt;"&amp;'19_Расчет_аналитики'!AR2584,WeightedRevAge21)-SUMIF(ThresholdAge21,"&lt;"&amp;'19_Расчет_аналитики'!AR2584,WeightedMinAge21),MAX(CapacityAge21*'01_Вводные'!$B$218*'19_Расчет_аналитики'!AR2584,MeanMinAge21)))</f>
        <v/>
      </c>
      <c r="AS2536">
        <f>IF(OR(('19_Расчет_аналитики'!AS2452-'19_Расчет_аналитики'!AS2480)=0,21&lt;='01_Вводные'!$B$297),0,('19_Расчет_аналитики'!AS2452-'19_Расчет_аналитики'!AS2480)*IF('01_Вводные'!$B$239="Да",MeanMinAge21+'19_Расчет_аналитики'!AS2584*SUMIF(ThresholdAge21,"&lt;"&amp;'19_Расчет_аналитики'!AS2584,WeightedRevAge21)-SUMIF(ThresholdAge21,"&lt;"&amp;'19_Расчет_аналитики'!AS2584,WeightedMinAge21),MAX(CapacityAge21*'01_Вводные'!$B$218*'19_Расчет_аналитики'!AS2584,MeanMinAge21)))</f>
        <v/>
      </c>
      <c r="AT2536">
        <f>IF(OR(('19_Расчет_аналитики'!AT2452-'19_Расчет_аналитики'!AT2480)=0,21&lt;='01_Вводные'!$B$297),0,('19_Расчет_аналитики'!AT2452-'19_Расчет_аналитики'!AT2480)*IF('01_Вводные'!$B$239="Да",MeanMinAge21+'19_Расчет_аналитики'!AT2584*SUMIF(ThresholdAge21,"&lt;"&amp;'19_Расчет_аналитики'!AT2584,WeightedRevAge21)-SUMIF(ThresholdAge21,"&lt;"&amp;'19_Расчет_аналитики'!AT2584,WeightedMinAge21),MAX(CapacityAge21*'01_Вводные'!$B$218*'19_Расчет_аналитики'!AT2584,MeanMinAge21)))</f>
        <v/>
      </c>
      <c r="AU2536">
        <f>IF(OR(('19_Расчет_аналитики'!AU2452-'19_Расчет_аналитики'!AU2480)=0,21&lt;='01_Вводные'!$B$297),0,('19_Расчет_аналитики'!AU2452-'19_Расчет_аналитики'!AU2480)*IF('01_Вводные'!$B$239="Да",MeanMinAge21+'19_Расчет_аналитики'!AU2584*SUMIF(ThresholdAge21,"&lt;"&amp;'19_Расчет_аналитики'!AU2584,WeightedRevAge21)-SUMIF(ThresholdAge21,"&lt;"&amp;'19_Расчет_аналитики'!AU2584,WeightedMinAge21),MAX(CapacityAge21*'01_Вводные'!$B$218*'19_Расчет_аналитики'!AU2584,MeanMinAge21)))</f>
        <v/>
      </c>
      <c r="AV2536">
        <f>IF(OR(('19_Расчет_аналитики'!AV2452-'19_Расчет_аналитики'!AV2480)=0,21&lt;='01_Вводные'!$B$297),0,('19_Расчет_аналитики'!AV2452-'19_Расчет_аналитики'!AV2480)*IF('01_Вводные'!$B$239="Да",MeanMinAge21+'19_Расчет_аналитики'!AV2584*SUMIF(ThresholdAge21,"&lt;"&amp;'19_Расчет_аналитики'!AV2584,WeightedRevAge21)-SUMIF(ThresholdAge21,"&lt;"&amp;'19_Расчет_аналитики'!AV2584,WeightedMinAge21),MAX(CapacityAge21*'01_Вводные'!$B$218*'19_Расчет_аналитики'!AV2584,MeanMinAge21)))</f>
        <v/>
      </c>
      <c r="AW2536">
        <f>IF(OR(('19_Расчет_аналитики'!AW2452-'19_Расчет_аналитики'!AW2480)=0,21&lt;='01_Вводные'!$B$297),0,('19_Расчет_аналитики'!AW2452-'19_Расчет_аналитики'!AW2480)*IF('01_Вводные'!$B$239="Да",MeanMinAge21+'19_Расчет_аналитики'!AW2584*SUMIF(ThresholdAge21,"&lt;"&amp;'19_Расчет_аналитики'!AW2584,WeightedRevAge21)-SUMIF(ThresholdAge21,"&lt;"&amp;'19_Расчет_аналитики'!AW2584,WeightedMinAge21),MAX(CapacityAge21*'01_Вводные'!$B$218*'19_Расчет_аналитики'!AW2584,MeanMinAge21)))</f>
        <v/>
      </c>
      <c r="AX2536">
        <f>IF(OR(('19_Расчет_аналитики'!AX2452-'19_Расчет_аналитики'!AX2480)=0,21&lt;='01_Вводные'!$B$297),0,('19_Расчет_аналитики'!AX2452-'19_Расчет_аналитики'!AX2480)*IF('01_Вводные'!$B$239="Да",MeanMinAge21+'19_Расчет_аналитики'!AX2584*SUMIF(ThresholdAge21,"&lt;"&amp;'19_Расчет_аналитики'!AX2584,WeightedRevAge21)-SUMIF(ThresholdAge21,"&lt;"&amp;'19_Расчет_аналитики'!AX2584,WeightedMinAge21),MAX(CapacityAge21*'01_Вводные'!$B$218*'19_Расчет_аналитики'!AX2584,MeanMinAge21)))</f>
        <v/>
      </c>
      <c r="AY2536">
        <f>IF(OR(('19_Расчет_аналитики'!AY2452-'19_Расчет_аналитики'!AY2480)=0,21&lt;='01_Вводные'!$B$297),0,('19_Расчет_аналитики'!AY2452-'19_Расчет_аналитики'!AY2480)*IF('01_Вводные'!$B$239="Да",MeanMinAge21+'19_Расчет_аналитики'!AY2584*SUMIF(ThresholdAge21,"&lt;"&amp;'19_Расчет_аналитики'!AY2584,WeightedRevAge21)-SUMIF(ThresholdAge21,"&lt;"&amp;'19_Расчет_аналитики'!AY2584,WeightedMinAge21),MAX(CapacityAge21*'01_Вводные'!$B$218*'19_Расчет_аналитики'!AY2584,MeanMinAge21)))</f>
        <v/>
      </c>
      <c r="AZ2536">
        <f>IF(OR(('19_Расчет_аналитики'!AZ2452-'19_Расчет_аналитики'!AZ2480)=0,21&lt;='01_Вводные'!$B$297),0,('19_Расчет_аналитики'!AZ2452-'19_Расчет_аналитики'!AZ2480)*IF('01_Вводные'!$B$239="Да",MeanMinAge21+'19_Расчет_аналитики'!AZ2584*SUMIF(ThresholdAge21,"&lt;"&amp;'19_Расчет_аналитики'!AZ2584,WeightedRevAge21)-SUMIF(ThresholdAge21,"&lt;"&amp;'19_Расчет_аналитики'!AZ2584,WeightedMinAge21),MAX(CapacityAge21*'01_Вводные'!$B$218*'19_Расчет_аналитики'!AZ2584,MeanMinAge21)))</f>
        <v/>
      </c>
      <c r="BA2536">
        <f>IF(OR(('19_Расчет_аналитики'!BA2452-'19_Расчет_аналитики'!BA2480)=0,21&lt;='01_Вводные'!$B$297),0,('19_Расчет_аналитики'!BA2452-'19_Расчет_аналитики'!BA2480)*IF('01_Вводные'!$B$239="Да",MeanMinAge21+'19_Расчет_аналитики'!BA2584*SUMIF(ThresholdAge21,"&lt;"&amp;'19_Расчет_аналитики'!BA2584,WeightedRevAge21)-SUMIF(ThresholdAge21,"&lt;"&amp;'19_Расчет_аналитики'!BA2584,WeightedMinAge21),MAX(CapacityAge21*'01_Вводные'!$B$218*'19_Расчет_аналитики'!BA2584,MeanMinAge21)))</f>
        <v/>
      </c>
      <c r="BB2536">
        <f>IF(OR(('19_Расчет_аналитики'!BB2452-'19_Расчет_аналитики'!BB2480)=0,21&lt;='01_Вводные'!$B$297),0,('19_Расчет_аналитики'!BB2452-'19_Расчет_аналитики'!BB2480)*IF('01_Вводные'!$B$239="Да",MeanMinAge21+'19_Расчет_аналитики'!BB2584*SUMIF(ThresholdAge21,"&lt;"&amp;'19_Расчет_аналитики'!BB2584,WeightedRevAge21)-SUMIF(ThresholdAge21,"&lt;"&amp;'19_Расчет_аналитики'!BB2584,WeightedMinAge21),MAX(CapacityAge21*'01_Вводные'!$B$218*'19_Расчет_аналитики'!BB2584,MeanMinAge21)))</f>
        <v/>
      </c>
      <c r="BC2536">
        <f>IF(OR(('19_Расчет_аналитики'!BC2452-'19_Расчет_аналитики'!BC2480)=0,21&lt;='01_Вводные'!$B$297),0,('19_Расчет_аналитики'!BC2452-'19_Расчет_аналитики'!BC2480)*IF('01_Вводные'!$B$239="Да",MeanMinAge21+'19_Расчет_аналитики'!BC2584*SUMIF(ThresholdAge21,"&lt;"&amp;'19_Расчет_аналитики'!BC2584,WeightedRevAge21)-SUMIF(ThresholdAge21,"&lt;"&amp;'19_Расчет_аналитики'!BC2584,WeightedMinAge21),MAX(CapacityAge21*'01_Вводные'!$B$218*'19_Расчет_аналитики'!BC2584,MeanMinAge21)))</f>
        <v/>
      </c>
      <c r="BD2536">
        <f>IF(OR(('19_Расчет_аналитики'!BD2452-'19_Расчет_аналитики'!BD2480)=0,21&lt;='01_Вводные'!$B$297),0,('19_Расчет_аналитики'!BD2452-'19_Расчет_аналитики'!BD2480)*IF('01_Вводные'!$B$239="Да",MeanMinAge21+'19_Расчет_аналитики'!BD2584*SUMIF(ThresholdAge21,"&lt;"&amp;'19_Расчет_аналитики'!BD2584,WeightedRevAge21)-SUMIF(ThresholdAge21,"&lt;"&amp;'19_Расчет_аналитики'!BD2584,WeightedMinAge21),MAX(CapacityAge21*'01_Вводные'!$B$218*'19_Расчет_аналитики'!BD2584,MeanMinAge21)))</f>
        <v/>
      </c>
      <c r="BE2536">
        <f>IF(OR(('19_Расчет_аналитики'!BE2452-'19_Расчет_аналитики'!BE2480)=0,21&lt;='01_Вводные'!$B$297),0,('19_Расчет_аналитики'!BE2452-'19_Расчет_аналитики'!BE2480)*IF('01_Вводные'!$B$239="Да",MeanMinAge21+'19_Расчет_аналитики'!BE2584*SUMIF(ThresholdAge21,"&lt;"&amp;'19_Расчет_аналитики'!BE2584,WeightedRevAge21)-SUMIF(ThresholdAge21,"&lt;"&amp;'19_Расчет_аналитики'!BE2584,WeightedMinAge21),MAX(CapacityAge21*'01_Вводные'!$B$218*'19_Расчет_аналитики'!BE2584,MeanMinAge21)))</f>
        <v/>
      </c>
      <c r="BF2536">
        <f>IF(OR(('19_Расчет_аналитики'!BF2452-'19_Расчет_аналитики'!BF2480)=0,21&lt;='01_Вводные'!$B$297),0,('19_Расчет_аналитики'!BF2452-'19_Расчет_аналитики'!BF2480)*IF('01_Вводные'!$B$239="Да",MeanMinAge21+'19_Расчет_аналитики'!BF2584*SUMIF(ThresholdAge21,"&lt;"&amp;'19_Расчет_аналитики'!BF2584,WeightedRevAge21)-SUMIF(ThresholdAge21,"&lt;"&amp;'19_Расчет_аналитики'!BF2584,WeightedMinAge21),MAX(CapacityAge21*'01_Вводные'!$B$218*'19_Расчет_аналитики'!BF2584,MeanMinAge21)))</f>
        <v/>
      </c>
      <c r="BG2536">
        <f>IF(OR(('19_Расчет_аналитики'!BG2452-'19_Расчет_аналитики'!BG2480)=0,21&lt;='01_Вводные'!$B$297),0,('19_Расчет_аналитики'!BG2452-'19_Расчет_аналитики'!BG2480)*IF('01_Вводные'!$B$239="Да",MeanMinAge21+'19_Расчет_аналитики'!BG2584*SUMIF(ThresholdAge21,"&lt;"&amp;'19_Расчет_аналитики'!BG2584,WeightedRevAge21)-SUMIF(ThresholdAge21,"&lt;"&amp;'19_Расчет_аналитики'!BG2584,WeightedMinAge21),MAX(CapacityAge21*'01_Вводные'!$B$218*'19_Расчет_аналитики'!BG2584,MeanMinAge21)))</f>
        <v/>
      </c>
      <c r="BH2536">
        <f>IF(OR(('19_Расчет_аналитики'!BH2452-'19_Расчет_аналитики'!BH2480)=0,21&lt;='01_Вводные'!$B$297),0,('19_Расчет_аналитики'!BH2452-'19_Расчет_аналитики'!BH2480)*IF('01_Вводные'!$B$239="Да",MeanMinAge21+'19_Расчет_аналитики'!BH2584*SUMIF(ThresholdAge21,"&lt;"&amp;'19_Расчет_аналитики'!BH2584,WeightedRevAge21)-SUMIF(ThresholdAge21,"&lt;"&amp;'19_Расчет_аналитики'!BH2584,WeightedMinAge21),MAX(CapacityAge21*'01_Вводные'!$B$218*'19_Расчет_аналитики'!BH2584,MeanMinAge21)))</f>
        <v/>
      </c>
      <c r="BI2536">
        <f>IF(OR(('19_Расчет_аналитики'!BI2452-'19_Расчет_аналитики'!BI2480)=0,21&lt;='01_Вводные'!$B$297),0,('19_Расчет_аналитики'!BI2452-'19_Расчет_аналитики'!BI2480)*IF('01_Вводные'!$B$239="Да",MeanMinAge21+'19_Расчет_аналитики'!BI2584*SUMIF(ThresholdAge21,"&lt;"&amp;'19_Расчет_аналитики'!BI2584,WeightedRevAge21)-SUMIF(ThresholdAge21,"&lt;"&amp;'19_Расчет_аналитики'!BI2584,WeightedMinAge21),MAX(CapacityAge21*'01_Вводные'!$B$218*'19_Расчет_аналитики'!BI2584,MeanMinAge21)))</f>
        <v/>
      </c>
      <c r="BJ2536">
        <f>IF(OR(('19_Расчет_аналитики'!BJ2452-'19_Расчет_аналитики'!BJ2480)=0,21&lt;='01_Вводные'!$B$297),0,('19_Расчет_аналитики'!BJ2452-'19_Расчет_аналитики'!BJ2480)*IF('01_Вводные'!$B$239="Да",MeanMinAge21+'19_Расчет_аналитики'!BJ2584*SUMIF(ThresholdAge21,"&lt;"&amp;'19_Расчет_аналитики'!BJ2584,WeightedRevAge21)-SUMIF(ThresholdAge21,"&lt;"&amp;'19_Расчет_аналитики'!BJ2584,WeightedMinAge21),MAX(CapacityAge21*'01_Вводные'!$B$218*'19_Расчет_аналитики'!BJ2584,MeanMinAge21)))</f>
        <v/>
      </c>
      <c r="BK2536">
        <f>IF(OR(('19_Расчет_аналитики'!BK2452-'19_Расчет_аналитики'!BK2480)=0,21&lt;='01_Вводные'!$B$297),0,('19_Расчет_аналитики'!BK2452-'19_Расчет_аналитики'!BK2480)*IF('01_Вводные'!$B$239="Да",MeanMinAge21+'19_Расчет_аналитики'!BK2584*SUMIF(ThresholdAge21,"&lt;"&amp;'19_Расчет_аналитики'!BK2584,WeightedRevAge21)-SUMIF(ThresholdAge21,"&lt;"&amp;'19_Расчет_аналитики'!BK2584,WeightedMinAge21),MAX(CapacityAge21*'01_Вводные'!$B$218*'19_Расчет_аналитики'!BK2584,MeanMinAge21)))</f>
        <v/>
      </c>
      <c r="BL2536">
        <f>IF(OR(('19_Расчет_аналитики'!BL2452-'19_Расчет_аналитики'!BL2480)=0,21&lt;='01_Вводные'!$B$297),0,('19_Расчет_аналитики'!BL2452-'19_Расчет_аналитики'!BL2480)*IF('01_Вводные'!$B$239="Да",MeanMinAge21+'19_Расчет_аналитики'!BL2584*SUMIF(ThresholdAge21,"&lt;"&amp;'19_Расчет_аналитики'!BL2584,WeightedRevAge21)-SUMIF(ThresholdAge21,"&lt;"&amp;'19_Расчет_аналитики'!BL2584,WeightedMinAge21),MAX(CapacityAge21*'01_Вводные'!$B$218*'19_Расчет_аналитики'!BL2584,MeanMinAge21)))</f>
        <v/>
      </c>
      <c r="BM2536">
        <f>IF(OR(('19_Расчет_аналитики'!BM2452-'19_Расчет_аналитики'!BM2480)=0,21&lt;='01_Вводные'!$B$297),0,('19_Расчет_аналитики'!BM2452-'19_Расчет_аналитики'!BM2480)*IF('01_Вводные'!$B$239="Да",MeanMinAge21+'19_Расчет_аналитики'!BM2584*SUMIF(ThresholdAge21,"&lt;"&amp;'19_Расчет_аналитики'!BM2584,WeightedRevAge21)-SUMIF(ThresholdAge21,"&lt;"&amp;'19_Расчет_аналитики'!BM2584,WeightedMinAge21),MAX(CapacityAge21*'01_Вводные'!$B$218*'19_Расчет_аналитики'!BM2584,MeanMinAge21)))</f>
        <v/>
      </c>
      <c r="BN2536">
        <f>IF(OR(('19_Расчет_аналитики'!BN2452-'19_Расчет_аналитики'!BN2480)=0,21&lt;='01_Вводные'!$B$297),0,('19_Расчет_аналитики'!BN2452-'19_Расчет_аналитики'!BN2480)*IF('01_Вводные'!$B$239="Да",MeanMinAge21+'19_Расчет_аналитики'!BN2584*SUMIF(ThresholdAge21,"&lt;"&amp;'19_Расчет_аналитики'!BN2584,WeightedRevAge21)-SUMIF(ThresholdAge21,"&lt;"&amp;'19_Расчет_аналитики'!BN2584,WeightedMinAge21),MAX(CapacityAge21*'01_Вводные'!$B$218*'19_Расчет_аналитики'!BN2584,MeanMinAge21)))</f>
        <v/>
      </c>
      <c r="BO2536">
        <f>IF(OR(('19_Расчет_аналитики'!BO2452-'19_Расчет_аналитики'!BO2480)=0,21&lt;='01_Вводные'!$B$297),0,('19_Расчет_аналитики'!BO2452-'19_Расчет_аналитики'!BO2480)*IF('01_Вводные'!$B$239="Да",MeanMinAge21+'19_Расчет_аналитики'!BO2584*SUMIF(ThresholdAge21,"&lt;"&amp;'19_Расчет_аналитики'!BO2584,WeightedRevAge21)-SUMIF(ThresholdAge21,"&lt;"&amp;'19_Расчет_аналитики'!BO2584,WeightedMinAge21),MAX(CapacityAge21*'01_Вводные'!$B$218*'19_Расчет_аналитики'!BO2584,MeanMinAge21)))</f>
        <v/>
      </c>
    </row>
    <row r="2537">
      <c r="B2537">
        <f>IF(OR(('06_Сеть_и_дети'!B74-'06_Сеть_и_дети'!B102)=0,22&lt;='01_Вводные'!$B$297),0,('06_Сеть_и_дети'!B74-'06_Сеть_и_дети'!B102)*IF('01_Вводные'!$B$239="Да",MeanMinAge22+'19_Расчет_аналитики'!B2584*SUMIF(ThresholdAge22,"&lt;"&amp;'19_Расчет_аналитики'!B2584,WeightedRevAge22)-SUMIF(ThresholdAge22,"&lt;"&amp;'19_Расчет_аналитики'!B2584,WeightedMinAge22),MAX(CapacityAge22*'01_Вводные'!$B$218*'19_Расчет_аналитики'!B2584,MeanMinAge22)))</f>
        <v/>
      </c>
      <c r="C2537">
        <f>IF(OR(('06_Сеть_и_дети'!C74-'06_Сеть_и_дети'!C102)=0,22&lt;='01_Вводные'!$B$297),0,('06_Сеть_и_дети'!C74-'06_Сеть_и_дети'!C102)*IF('01_Вводные'!$B$239="Да",MeanMinAge22+'19_Расчет_аналитики'!C2584*SUMIF(ThresholdAge22,"&lt;"&amp;'19_Расчет_аналитики'!C2584,WeightedRevAge22)-SUMIF(ThresholdAge22,"&lt;"&amp;'19_Расчет_аналитики'!C2584,WeightedMinAge22),MAX(CapacityAge22*'01_Вводные'!$B$218*'19_Расчет_аналитики'!C2584,MeanMinAge22)))</f>
        <v/>
      </c>
      <c r="D2537">
        <f>IF(OR(('06_Сеть_и_дети'!D74-'06_Сеть_и_дети'!D102)=0,22&lt;='01_Вводные'!$B$297),0,('06_Сеть_и_дети'!D74-'06_Сеть_и_дети'!D102)*IF('01_Вводные'!$B$239="Да",MeanMinAge22+'19_Расчет_аналитики'!D2584*SUMIF(ThresholdAge22,"&lt;"&amp;'19_Расчет_аналитики'!D2584,WeightedRevAge22)-SUMIF(ThresholdAge22,"&lt;"&amp;'19_Расчет_аналитики'!D2584,WeightedMinAge22),MAX(CapacityAge22*'01_Вводные'!$B$218*'19_Расчет_аналитики'!D2584,MeanMinAge22)))</f>
        <v/>
      </c>
      <c r="E2537">
        <f>IF(OR(('06_Сеть_и_дети'!E74-'06_Сеть_и_дети'!E102)=0,22&lt;='01_Вводные'!$B$297),0,('06_Сеть_и_дети'!E74-'06_Сеть_и_дети'!E102)*IF('01_Вводные'!$B$239="Да",MeanMinAge22+'19_Расчет_аналитики'!E2584*SUMIF(ThresholdAge22,"&lt;"&amp;'19_Расчет_аналитики'!E2584,WeightedRevAge22)-SUMIF(ThresholdAge22,"&lt;"&amp;'19_Расчет_аналитики'!E2584,WeightedMinAge22),MAX(CapacityAge22*'01_Вводные'!$B$218*'19_Расчет_аналитики'!E2584,MeanMinAge22)))</f>
        <v/>
      </c>
      <c r="F2537">
        <f>IF(OR(('06_Сеть_и_дети'!F74-'06_Сеть_и_дети'!F102)=0,22&lt;='01_Вводные'!$B$297),0,('06_Сеть_и_дети'!F74-'06_Сеть_и_дети'!F102)*IF('01_Вводные'!$B$239="Да",MeanMinAge22+'19_Расчет_аналитики'!F2584*SUMIF(ThresholdAge22,"&lt;"&amp;'19_Расчет_аналитики'!F2584,WeightedRevAge22)-SUMIF(ThresholdAge22,"&lt;"&amp;'19_Расчет_аналитики'!F2584,WeightedMinAge22),MAX(CapacityAge22*'01_Вводные'!$B$218*'19_Расчет_аналитики'!F2584,MeanMinAge22)))</f>
        <v/>
      </c>
      <c r="G2537">
        <f>IF(OR(('06_Сеть_и_дети'!G74-'06_Сеть_и_дети'!G102)=0,22&lt;='01_Вводные'!$B$297),0,('06_Сеть_и_дети'!G74-'06_Сеть_и_дети'!G102)*IF('01_Вводные'!$B$239="Да",MeanMinAge22+'19_Расчет_аналитики'!G2584*SUMIF(ThresholdAge22,"&lt;"&amp;'19_Расчет_аналитики'!G2584,WeightedRevAge22)-SUMIF(ThresholdAge22,"&lt;"&amp;'19_Расчет_аналитики'!G2584,WeightedMinAge22),MAX(CapacityAge22*'01_Вводные'!$B$218*'19_Расчет_аналитики'!G2584,MeanMinAge22)))</f>
        <v/>
      </c>
      <c r="H2537">
        <f>IF(OR(('06_Сеть_и_дети'!H74-'06_Сеть_и_дети'!H102)=0,22&lt;='01_Вводные'!$B$297),0,('06_Сеть_и_дети'!H74-'06_Сеть_и_дети'!H102)*IF('01_Вводные'!$B$239="Да",MeanMinAge22+'19_Расчет_аналитики'!H2584*SUMIF(ThresholdAge22,"&lt;"&amp;'19_Расчет_аналитики'!H2584,WeightedRevAge22)-SUMIF(ThresholdAge22,"&lt;"&amp;'19_Расчет_аналитики'!H2584,WeightedMinAge22),MAX(CapacityAge22*'01_Вводные'!$B$218*'19_Расчет_аналитики'!H2584,MeanMinAge22)))</f>
        <v/>
      </c>
      <c r="I2537">
        <f>IF(OR(('06_Сеть_и_дети'!I74-'06_Сеть_и_дети'!I102)=0,22&lt;='01_Вводные'!$B$297),0,('06_Сеть_и_дети'!I74-'06_Сеть_и_дети'!I102)*IF('01_Вводные'!$B$239="Да",MeanMinAge22+'19_Расчет_аналитики'!I2584*SUMIF(ThresholdAge22,"&lt;"&amp;'19_Расчет_аналитики'!I2584,WeightedRevAge22)-SUMIF(ThresholdAge22,"&lt;"&amp;'19_Расчет_аналитики'!I2584,WeightedMinAge22),MAX(CapacityAge22*'01_Вводные'!$B$218*'19_Расчет_аналитики'!I2584,MeanMinAge22)))</f>
        <v/>
      </c>
      <c r="J2537">
        <f>IF(OR(('06_Сеть_и_дети'!J74-'06_Сеть_и_дети'!J102)=0,22&lt;='01_Вводные'!$B$297),0,('06_Сеть_и_дети'!J74-'06_Сеть_и_дети'!J102)*IF('01_Вводные'!$B$239="Да",MeanMinAge22+'19_Расчет_аналитики'!J2584*SUMIF(ThresholdAge22,"&lt;"&amp;'19_Расчет_аналитики'!J2584,WeightedRevAge22)-SUMIF(ThresholdAge22,"&lt;"&amp;'19_Расчет_аналитики'!J2584,WeightedMinAge22),MAX(CapacityAge22*'01_Вводные'!$B$218*'19_Расчет_аналитики'!J2584,MeanMinAge22)))</f>
        <v/>
      </c>
      <c r="K2537">
        <f>IF(OR(('06_Сеть_и_дети'!K74-'06_Сеть_и_дети'!K102)=0,22&lt;='01_Вводные'!$B$297),0,('06_Сеть_и_дети'!K74-'06_Сеть_и_дети'!K102)*IF('01_Вводные'!$B$239="Да",MeanMinAge22+'19_Расчет_аналитики'!K2584*SUMIF(ThresholdAge22,"&lt;"&amp;'19_Расчет_аналитики'!K2584,WeightedRevAge22)-SUMIF(ThresholdAge22,"&lt;"&amp;'19_Расчет_аналитики'!K2584,WeightedMinAge22),MAX(CapacityAge22*'01_Вводные'!$B$218*'19_Расчет_аналитики'!K2584,MeanMinAge22)))</f>
        <v/>
      </c>
      <c r="L2537">
        <f>IF(OR(('06_Сеть_и_дети'!L74-'06_Сеть_и_дети'!L102)=0,22&lt;='01_Вводные'!$B$297),0,('06_Сеть_и_дети'!L74-'06_Сеть_и_дети'!L102)*IF('01_Вводные'!$B$239="Да",MeanMinAge22+'19_Расчет_аналитики'!L2584*SUMIF(ThresholdAge22,"&lt;"&amp;'19_Расчет_аналитики'!L2584,WeightedRevAge22)-SUMIF(ThresholdAge22,"&lt;"&amp;'19_Расчет_аналитики'!L2584,WeightedMinAge22),MAX(CapacityAge22*'01_Вводные'!$B$218*'19_Расчет_аналитики'!L2584,MeanMinAge22)))</f>
        <v/>
      </c>
      <c r="M2537">
        <f>IF(OR(('06_Сеть_и_дети'!M74-'06_Сеть_и_дети'!M102)=0,22&lt;='01_Вводные'!$B$297),0,('06_Сеть_и_дети'!M74-'06_Сеть_и_дети'!M102)*IF('01_Вводные'!$B$239="Да",MeanMinAge22+'19_Расчет_аналитики'!M2584*SUMIF(ThresholdAge22,"&lt;"&amp;'19_Расчет_аналитики'!M2584,WeightedRevAge22)-SUMIF(ThresholdAge22,"&lt;"&amp;'19_Расчет_аналитики'!M2584,WeightedMinAge22),MAX(CapacityAge22*'01_Вводные'!$B$218*'19_Расчет_аналитики'!M2584,MeanMinAge22)))</f>
        <v/>
      </c>
      <c r="N2537">
        <f>IF(OR(('06_Сеть_и_дети'!N74-'06_Сеть_и_дети'!N102)=0,22&lt;='01_Вводные'!$B$297),0,('06_Сеть_и_дети'!N74-'06_Сеть_и_дети'!N102)*IF('01_Вводные'!$B$239="Да",MeanMinAge22+'19_Расчет_аналитики'!N2584*SUMIF(ThresholdAge22,"&lt;"&amp;'19_Расчет_аналитики'!N2584,WeightedRevAge22)-SUMIF(ThresholdAge22,"&lt;"&amp;'19_Расчет_аналитики'!N2584,WeightedMinAge22),MAX(CapacityAge22*'01_Вводные'!$B$218*'19_Расчет_аналитики'!N2584,MeanMinAge22)))</f>
        <v/>
      </c>
      <c r="O2537">
        <f>IF(OR(('06_Сеть_и_дети'!O74-'06_Сеть_и_дети'!O102)=0,22&lt;='01_Вводные'!$B$297),0,('06_Сеть_и_дети'!O74-'06_Сеть_и_дети'!O102)*IF('01_Вводные'!$B$239="Да",MeanMinAge22+'19_Расчет_аналитики'!O2584*SUMIF(ThresholdAge22,"&lt;"&amp;'19_Расчет_аналитики'!O2584,WeightedRevAge22)-SUMIF(ThresholdAge22,"&lt;"&amp;'19_Расчет_аналитики'!O2584,WeightedMinAge22),MAX(CapacityAge22*'01_Вводные'!$B$218*'19_Расчет_аналитики'!O2584,MeanMinAge22)))</f>
        <v/>
      </c>
      <c r="P2537">
        <f>IF(OR(('06_Сеть_и_дети'!P74-'06_Сеть_и_дети'!P102)=0,22&lt;='01_Вводные'!$B$297),0,('06_Сеть_и_дети'!P74-'06_Сеть_и_дети'!P102)*IF('01_Вводные'!$B$239="Да",MeanMinAge22+'19_Расчет_аналитики'!P2584*SUMIF(ThresholdAge22,"&lt;"&amp;'19_Расчет_аналитики'!P2584,WeightedRevAge22)-SUMIF(ThresholdAge22,"&lt;"&amp;'19_Расчет_аналитики'!P2584,WeightedMinAge22),MAX(CapacityAge22*'01_Вводные'!$B$218*'19_Расчет_аналитики'!P2584,MeanMinAge22)))</f>
        <v/>
      </c>
      <c r="Q2537">
        <f>IF(OR(('06_Сеть_и_дети'!Q74-'06_Сеть_и_дети'!Q102)=0,22&lt;='01_Вводные'!$B$297),0,('06_Сеть_и_дети'!Q74-'06_Сеть_и_дети'!Q102)*IF('01_Вводные'!$B$239="Да",MeanMinAge22+'19_Расчет_аналитики'!Q2584*SUMIF(ThresholdAge22,"&lt;"&amp;'19_Расчет_аналитики'!Q2584,WeightedRevAge22)-SUMIF(ThresholdAge22,"&lt;"&amp;'19_Расчет_аналитики'!Q2584,WeightedMinAge22),MAX(CapacityAge22*'01_Вводные'!$B$218*'19_Расчет_аналитики'!Q2584,MeanMinAge22)))</f>
        <v/>
      </c>
      <c r="R2537">
        <f>IF(OR(('06_Сеть_и_дети'!R74-'06_Сеть_и_дети'!R102)=0,22&lt;='01_Вводные'!$B$297),0,('06_Сеть_и_дети'!R74-'06_Сеть_и_дети'!R102)*IF('01_Вводные'!$B$239="Да",MeanMinAge22+'19_Расчет_аналитики'!R2584*SUMIF(ThresholdAge22,"&lt;"&amp;'19_Расчет_аналитики'!R2584,WeightedRevAge22)-SUMIF(ThresholdAge22,"&lt;"&amp;'19_Расчет_аналитики'!R2584,WeightedMinAge22),MAX(CapacityAge22*'01_Вводные'!$B$218*'19_Расчет_аналитики'!R2584,MeanMinAge22)))</f>
        <v/>
      </c>
      <c r="S2537">
        <f>IF(OR(('06_Сеть_и_дети'!S74-'06_Сеть_и_дети'!S102)=0,22&lt;='01_Вводные'!$B$297),0,('06_Сеть_и_дети'!S74-'06_Сеть_и_дети'!S102)*IF('01_Вводные'!$B$239="Да",MeanMinAge22+'19_Расчет_аналитики'!S2584*SUMIF(ThresholdAge22,"&lt;"&amp;'19_Расчет_аналитики'!S2584,WeightedRevAge22)-SUMIF(ThresholdAge22,"&lt;"&amp;'19_Расчет_аналитики'!S2584,WeightedMinAge22),MAX(CapacityAge22*'01_Вводные'!$B$218*'19_Расчет_аналитики'!S2584,MeanMinAge22)))</f>
        <v/>
      </c>
      <c r="T2537">
        <f>IF(OR(('06_Сеть_и_дети'!T74-'06_Сеть_и_дети'!T102)=0,22&lt;='01_Вводные'!$B$297),0,('06_Сеть_и_дети'!T74-'06_Сеть_и_дети'!T102)*IF('01_Вводные'!$B$239="Да",MeanMinAge22+'19_Расчет_аналитики'!T2584*SUMIF(ThresholdAge22,"&lt;"&amp;'19_Расчет_аналитики'!T2584,WeightedRevAge22)-SUMIF(ThresholdAge22,"&lt;"&amp;'19_Расчет_аналитики'!T2584,WeightedMinAge22),MAX(CapacityAge22*'01_Вводные'!$B$218*'19_Расчет_аналитики'!T2584,MeanMinAge22)))</f>
        <v/>
      </c>
      <c r="U2537">
        <f>IF(OR(('06_Сеть_и_дети'!U74-'06_Сеть_и_дети'!U102)=0,22&lt;='01_Вводные'!$B$297),0,('06_Сеть_и_дети'!U74-'06_Сеть_и_дети'!U102)*IF('01_Вводные'!$B$239="Да",MeanMinAge22+'19_Расчет_аналитики'!U2584*SUMIF(ThresholdAge22,"&lt;"&amp;'19_Расчет_аналитики'!U2584,WeightedRevAge22)-SUMIF(ThresholdAge22,"&lt;"&amp;'19_Расчет_аналитики'!U2584,WeightedMinAge22),MAX(CapacityAge22*'01_Вводные'!$B$218*'19_Расчет_аналитики'!U2584,MeanMinAge22)))</f>
        <v/>
      </c>
      <c r="V2537">
        <f>IF(OR(('06_Сеть_и_дети'!V74-'06_Сеть_и_дети'!V102)=0,22&lt;='01_Вводные'!$B$297),0,('06_Сеть_и_дети'!V74-'06_Сеть_и_дети'!V102)*IF('01_Вводные'!$B$239="Да",MeanMinAge22+'19_Расчет_аналитики'!V2584*SUMIF(ThresholdAge22,"&lt;"&amp;'19_Расчет_аналитики'!V2584,WeightedRevAge22)-SUMIF(ThresholdAge22,"&lt;"&amp;'19_Расчет_аналитики'!V2584,WeightedMinAge22),MAX(CapacityAge22*'01_Вводные'!$B$218*'19_Расчет_аналитики'!V2584,MeanMinAge22)))</f>
        <v/>
      </c>
      <c r="W2537">
        <f>IF(OR(('19_Расчет_аналитики'!W2453-'19_Расчет_аналитики'!W2481)=0,22&lt;='01_Вводные'!$B$297),0,('19_Расчет_аналитики'!W2453-'19_Расчет_аналитики'!W2481)*IF('01_Вводные'!$B$239="Да",MeanMinAge22+'19_Расчет_аналитики'!W2584*SUMIF(ThresholdAge22,"&lt;"&amp;'19_Расчет_аналитики'!W2584,WeightedRevAge22)-SUMIF(ThresholdAge22,"&lt;"&amp;'19_Расчет_аналитики'!W2584,WeightedMinAge22),MAX(CapacityAge22*'01_Вводные'!$B$218*'19_Расчет_аналитики'!W2584,MeanMinAge22)))</f>
        <v/>
      </c>
      <c r="X2537">
        <f>IF(OR(('19_Расчет_аналитики'!X2453-'19_Расчет_аналитики'!X2481)=0,22&lt;='01_Вводные'!$B$297),0,('19_Расчет_аналитики'!X2453-'19_Расчет_аналитики'!X2481)*IF('01_Вводные'!$B$239="Да",MeanMinAge22+'19_Расчет_аналитики'!X2584*SUMIF(ThresholdAge22,"&lt;"&amp;'19_Расчет_аналитики'!X2584,WeightedRevAge22)-SUMIF(ThresholdAge22,"&lt;"&amp;'19_Расчет_аналитики'!X2584,WeightedMinAge22),MAX(CapacityAge22*'01_Вводные'!$B$218*'19_Расчет_аналитики'!X2584,MeanMinAge22)))</f>
        <v/>
      </c>
      <c r="Y2537">
        <f>IF(OR(('19_Расчет_аналитики'!Y2453-'19_Расчет_аналитики'!Y2481)=0,22&lt;='01_Вводные'!$B$297),0,('19_Расчет_аналитики'!Y2453-'19_Расчет_аналитики'!Y2481)*IF('01_Вводные'!$B$239="Да",MeanMinAge22+'19_Расчет_аналитики'!Y2584*SUMIF(ThresholdAge22,"&lt;"&amp;'19_Расчет_аналитики'!Y2584,WeightedRevAge22)-SUMIF(ThresholdAge22,"&lt;"&amp;'19_Расчет_аналитики'!Y2584,WeightedMinAge22),MAX(CapacityAge22*'01_Вводные'!$B$218*'19_Расчет_аналитики'!Y2584,MeanMinAge22)))</f>
        <v/>
      </c>
      <c r="Z2537">
        <f>IF(OR(('19_Расчет_аналитики'!Z2453-'19_Расчет_аналитики'!Z2481)=0,22&lt;='01_Вводные'!$B$297),0,('19_Расчет_аналитики'!Z2453-'19_Расчет_аналитики'!Z2481)*IF('01_Вводные'!$B$239="Да",MeanMinAge22+'19_Расчет_аналитики'!Z2584*SUMIF(ThresholdAge22,"&lt;"&amp;'19_Расчет_аналитики'!Z2584,WeightedRevAge22)-SUMIF(ThresholdAge22,"&lt;"&amp;'19_Расчет_аналитики'!Z2584,WeightedMinAge22),MAX(CapacityAge22*'01_Вводные'!$B$218*'19_Расчет_аналитики'!Z2584,MeanMinAge22)))</f>
        <v/>
      </c>
      <c r="AA2537">
        <f>IF(OR(('19_Расчет_аналитики'!AA2453-'19_Расчет_аналитики'!AA2481)=0,22&lt;='01_Вводные'!$B$297),0,('19_Расчет_аналитики'!AA2453-'19_Расчет_аналитики'!AA2481)*IF('01_Вводные'!$B$239="Да",MeanMinAge22+'19_Расчет_аналитики'!AA2584*SUMIF(ThresholdAge22,"&lt;"&amp;'19_Расчет_аналитики'!AA2584,WeightedRevAge22)-SUMIF(ThresholdAge22,"&lt;"&amp;'19_Расчет_аналитики'!AA2584,WeightedMinAge22),MAX(CapacityAge22*'01_Вводные'!$B$218*'19_Расчет_аналитики'!AA2584,MeanMinAge22)))</f>
        <v/>
      </c>
      <c r="AB2537">
        <f>IF(OR(('19_Расчет_аналитики'!AB2453-'19_Расчет_аналитики'!AB2481)=0,22&lt;='01_Вводные'!$B$297),0,('19_Расчет_аналитики'!AB2453-'19_Расчет_аналитики'!AB2481)*IF('01_Вводные'!$B$239="Да",MeanMinAge22+'19_Расчет_аналитики'!AB2584*SUMIF(ThresholdAge22,"&lt;"&amp;'19_Расчет_аналитики'!AB2584,WeightedRevAge22)-SUMIF(ThresholdAge22,"&lt;"&amp;'19_Расчет_аналитики'!AB2584,WeightedMinAge22),MAX(CapacityAge22*'01_Вводные'!$B$218*'19_Расчет_аналитики'!AB2584,MeanMinAge22)))</f>
        <v/>
      </c>
      <c r="AC2537">
        <f>IF(OR(('19_Расчет_аналитики'!AC2453-'19_Расчет_аналитики'!AC2481)=0,22&lt;='01_Вводные'!$B$297),0,('19_Расчет_аналитики'!AC2453-'19_Расчет_аналитики'!AC2481)*IF('01_Вводные'!$B$239="Да",MeanMinAge22+'19_Расчет_аналитики'!AC2584*SUMIF(ThresholdAge22,"&lt;"&amp;'19_Расчет_аналитики'!AC2584,WeightedRevAge22)-SUMIF(ThresholdAge22,"&lt;"&amp;'19_Расчет_аналитики'!AC2584,WeightedMinAge22),MAX(CapacityAge22*'01_Вводные'!$B$218*'19_Расчет_аналитики'!AC2584,MeanMinAge22)))</f>
        <v/>
      </c>
      <c r="AD2537">
        <f>IF(OR(('19_Расчет_аналитики'!AD2453-'19_Расчет_аналитики'!AD2481)=0,22&lt;='01_Вводные'!$B$297),0,('19_Расчет_аналитики'!AD2453-'19_Расчет_аналитики'!AD2481)*IF('01_Вводные'!$B$239="Да",MeanMinAge22+'19_Расчет_аналитики'!AD2584*SUMIF(ThresholdAge22,"&lt;"&amp;'19_Расчет_аналитики'!AD2584,WeightedRevAge22)-SUMIF(ThresholdAge22,"&lt;"&amp;'19_Расчет_аналитики'!AD2584,WeightedMinAge22),MAX(CapacityAge22*'01_Вводные'!$B$218*'19_Расчет_аналитики'!AD2584,MeanMinAge22)))</f>
        <v/>
      </c>
      <c r="AE2537">
        <f>IF(OR(('19_Расчет_аналитики'!AE2453-'19_Расчет_аналитики'!AE2481)=0,22&lt;='01_Вводные'!$B$297),0,('19_Расчет_аналитики'!AE2453-'19_Расчет_аналитики'!AE2481)*IF('01_Вводные'!$B$239="Да",MeanMinAge22+'19_Расчет_аналитики'!AE2584*SUMIF(ThresholdAge22,"&lt;"&amp;'19_Расчет_аналитики'!AE2584,WeightedRevAge22)-SUMIF(ThresholdAge22,"&lt;"&amp;'19_Расчет_аналитики'!AE2584,WeightedMinAge22),MAX(CapacityAge22*'01_Вводные'!$B$218*'19_Расчет_аналитики'!AE2584,MeanMinAge22)))</f>
        <v/>
      </c>
      <c r="AF2537">
        <f>IF(OR(('19_Расчет_аналитики'!AF2453-'19_Расчет_аналитики'!AF2481)=0,22&lt;='01_Вводные'!$B$297),0,('19_Расчет_аналитики'!AF2453-'19_Расчет_аналитики'!AF2481)*IF('01_Вводные'!$B$239="Да",MeanMinAge22+'19_Расчет_аналитики'!AF2584*SUMIF(ThresholdAge22,"&lt;"&amp;'19_Расчет_аналитики'!AF2584,WeightedRevAge22)-SUMIF(ThresholdAge22,"&lt;"&amp;'19_Расчет_аналитики'!AF2584,WeightedMinAge22),MAX(CapacityAge22*'01_Вводные'!$B$218*'19_Расчет_аналитики'!AF2584,MeanMinAge22)))</f>
        <v/>
      </c>
      <c r="AG2537">
        <f>IF(OR(('19_Расчет_аналитики'!AG2453-'19_Расчет_аналитики'!AG2481)=0,22&lt;='01_Вводные'!$B$297),0,('19_Расчет_аналитики'!AG2453-'19_Расчет_аналитики'!AG2481)*IF('01_Вводные'!$B$239="Да",MeanMinAge22+'19_Расчет_аналитики'!AG2584*SUMIF(ThresholdAge22,"&lt;"&amp;'19_Расчет_аналитики'!AG2584,WeightedRevAge22)-SUMIF(ThresholdAge22,"&lt;"&amp;'19_Расчет_аналитики'!AG2584,WeightedMinAge22),MAX(CapacityAge22*'01_Вводные'!$B$218*'19_Расчет_аналитики'!AG2584,MeanMinAge22)))</f>
        <v/>
      </c>
      <c r="AH2537">
        <f>IF(OR(('19_Расчет_аналитики'!AH2453-'19_Расчет_аналитики'!AH2481)=0,22&lt;='01_Вводные'!$B$297),0,('19_Расчет_аналитики'!AH2453-'19_Расчет_аналитики'!AH2481)*IF('01_Вводные'!$B$239="Да",MeanMinAge22+'19_Расчет_аналитики'!AH2584*SUMIF(ThresholdAge22,"&lt;"&amp;'19_Расчет_аналитики'!AH2584,WeightedRevAge22)-SUMIF(ThresholdAge22,"&lt;"&amp;'19_Расчет_аналитики'!AH2584,WeightedMinAge22),MAX(CapacityAge22*'01_Вводные'!$B$218*'19_Расчет_аналитики'!AH2584,MeanMinAge22)))</f>
        <v/>
      </c>
      <c r="AI2537">
        <f>IF(OR(('19_Расчет_аналитики'!AI2453-'19_Расчет_аналитики'!AI2481)=0,22&lt;='01_Вводные'!$B$297),0,('19_Расчет_аналитики'!AI2453-'19_Расчет_аналитики'!AI2481)*IF('01_Вводные'!$B$239="Да",MeanMinAge22+'19_Расчет_аналитики'!AI2584*SUMIF(ThresholdAge22,"&lt;"&amp;'19_Расчет_аналитики'!AI2584,WeightedRevAge22)-SUMIF(ThresholdAge22,"&lt;"&amp;'19_Расчет_аналитики'!AI2584,WeightedMinAge22),MAX(CapacityAge22*'01_Вводные'!$B$218*'19_Расчет_аналитики'!AI2584,MeanMinAge22)))</f>
        <v/>
      </c>
      <c r="AJ2537">
        <f>IF(OR(('19_Расчет_аналитики'!AJ2453-'19_Расчет_аналитики'!AJ2481)=0,22&lt;='01_Вводные'!$B$297),0,('19_Расчет_аналитики'!AJ2453-'19_Расчет_аналитики'!AJ2481)*IF('01_Вводные'!$B$239="Да",MeanMinAge22+'19_Расчет_аналитики'!AJ2584*SUMIF(ThresholdAge22,"&lt;"&amp;'19_Расчет_аналитики'!AJ2584,WeightedRevAge22)-SUMIF(ThresholdAge22,"&lt;"&amp;'19_Расчет_аналитики'!AJ2584,WeightedMinAge22),MAX(CapacityAge22*'01_Вводные'!$B$218*'19_Расчет_аналитики'!AJ2584,MeanMinAge22)))</f>
        <v/>
      </c>
      <c r="AK2537">
        <f>IF(OR(('19_Расчет_аналитики'!AK2453-'19_Расчет_аналитики'!AK2481)=0,22&lt;='01_Вводные'!$B$297),0,('19_Расчет_аналитики'!AK2453-'19_Расчет_аналитики'!AK2481)*IF('01_Вводные'!$B$239="Да",MeanMinAge22+'19_Расчет_аналитики'!AK2584*SUMIF(ThresholdAge22,"&lt;"&amp;'19_Расчет_аналитики'!AK2584,WeightedRevAge22)-SUMIF(ThresholdAge22,"&lt;"&amp;'19_Расчет_аналитики'!AK2584,WeightedMinAge22),MAX(CapacityAge22*'01_Вводные'!$B$218*'19_Расчет_аналитики'!AK2584,MeanMinAge22)))</f>
        <v/>
      </c>
      <c r="AL2537">
        <f>IF(OR(('19_Расчет_аналитики'!AL2453-'19_Расчет_аналитики'!AL2481)=0,22&lt;='01_Вводные'!$B$297),0,('19_Расчет_аналитики'!AL2453-'19_Расчет_аналитики'!AL2481)*IF('01_Вводные'!$B$239="Да",MeanMinAge22+'19_Расчет_аналитики'!AL2584*SUMIF(ThresholdAge22,"&lt;"&amp;'19_Расчет_аналитики'!AL2584,WeightedRevAge22)-SUMIF(ThresholdAge22,"&lt;"&amp;'19_Расчет_аналитики'!AL2584,WeightedMinAge22),MAX(CapacityAge22*'01_Вводные'!$B$218*'19_Расчет_аналитики'!AL2584,MeanMinAge22)))</f>
        <v/>
      </c>
      <c r="AM2537">
        <f>IF(OR(('19_Расчет_аналитики'!AM2453-'19_Расчет_аналитики'!AM2481)=0,22&lt;='01_Вводные'!$B$297),0,('19_Расчет_аналитики'!AM2453-'19_Расчет_аналитики'!AM2481)*IF('01_Вводные'!$B$239="Да",MeanMinAge22+'19_Расчет_аналитики'!AM2584*SUMIF(ThresholdAge22,"&lt;"&amp;'19_Расчет_аналитики'!AM2584,WeightedRevAge22)-SUMIF(ThresholdAge22,"&lt;"&amp;'19_Расчет_аналитики'!AM2584,WeightedMinAge22),MAX(CapacityAge22*'01_Вводные'!$B$218*'19_Расчет_аналитики'!AM2584,MeanMinAge22)))</f>
        <v/>
      </c>
      <c r="AN2537">
        <f>IF(OR(('19_Расчет_аналитики'!AN2453-'19_Расчет_аналитики'!AN2481)=0,22&lt;='01_Вводные'!$B$297),0,('19_Расчет_аналитики'!AN2453-'19_Расчет_аналитики'!AN2481)*IF('01_Вводные'!$B$239="Да",MeanMinAge22+'19_Расчет_аналитики'!AN2584*SUMIF(ThresholdAge22,"&lt;"&amp;'19_Расчет_аналитики'!AN2584,WeightedRevAge22)-SUMIF(ThresholdAge22,"&lt;"&amp;'19_Расчет_аналитики'!AN2584,WeightedMinAge22),MAX(CapacityAge22*'01_Вводные'!$B$218*'19_Расчет_аналитики'!AN2584,MeanMinAge22)))</f>
        <v/>
      </c>
      <c r="AO2537">
        <f>IF(OR(('19_Расчет_аналитики'!AO2453-'19_Расчет_аналитики'!AO2481)=0,22&lt;='01_Вводные'!$B$297),0,('19_Расчет_аналитики'!AO2453-'19_Расчет_аналитики'!AO2481)*IF('01_Вводные'!$B$239="Да",MeanMinAge22+'19_Расчет_аналитики'!AO2584*SUMIF(ThresholdAge22,"&lt;"&amp;'19_Расчет_аналитики'!AO2584,WeightedRevAge22)-SUMIF(ThresholdAge22,"&lt;"&amp;'19_Расчет_аналитики'!AO2584,WeightedMinAge22),MAX(CapacityAge22*'01_Вводные'!$B$218*'19_Расчет_аналитики'!AO2584,MeanMinAge22)))</f>
        <v/>
      </c>
      <c r="AP2537">
        <f>IF(OR(('19_Расчет_аналитики'!AP2453-'19_Расчет_аналитики'!AP2481)=0,22&lt;='01_Вводные'!$B$297),0,('19_Расчет_аналитики'!AP2453-'19_Расчет_аналитики'!AP2481)*IF('01_Вводные'!$B$239="Да",MeanMinAge22+'19_Расчет_аналитики'!AP2584*SUMIF(ThresholdAge22,"&lt;"&amp;'19_Расчет_аналитики'!AP2584,WeightedRevAge22)-SUMIF(ThresholdAge22,"&lt;"&amp;'19_Расчет_аналитики'!AP2584,WeightedMinAge22),MAX(CapacityAge22*'01_Вводные'!$B$218*'19_Расчет_аналитики'!AP2584,MeanMinAge22)))</f>
        <v/>
      </c>
      <c r="AQ2537">
        <f>IF(OR(('19_Расчет_аналитики'!AQ2453-'19_Расчет_аналитики'!AQ2481)=0,22&lt;='01_Вводные'!$B$297),0,('19_Расчет_аналитики'!AQ2453-'19_Расчет_аналитики'!AQ2481)*IF('01_Вводные'!$B$239="Да",MeanMinAge22+'19_Расчет_аналитики'!AQ2584*SUMIF(ThresholdAge22,"&lt;"&amp;'19_Расчет_аналитики'!AQ2584,WeightedRevAge22)-SUMIF(ThresholdAge22,"&lt;"&amp;'19_Расчет_аналитики'!AQ2584,WeightedMinAge22),MAX(CapacityAge22*'01_Вводные'!$B$218*'19_Расчет_аналитики'!AQ2584,MeanMinAge22)))</f>
        <v/>
      </c>
      <c r="AR2537">
        <f>IF(OR(('19_Расчет_аналитики'!AR2453-'19_Расчет_аналитики'!AR2481)=0,22&lt;='01_Вводные'!$B$297),0,('19_Расчет_аналитики'!AR2453-'19_Расчет_аналитики'!AR2481)*IF('01_Вводные'!$B$239="Да",MeanMinAge22+'19_Расчет_аналитики'!AR2584*SUMIF(ThresholdAge22,"&lt;"&amp;'19_Расчет_аналитики'!AR2584,WeightedRevAge22)-SUMIF(ThresholdAge22,"&lt;"&amp;'19_Расчет_аналитики'!AR2584,WeightedMinAge22),MAX(CapacityAge22*'01_Вводные'!$B$218*'19_Расчет_аналитики'!AR2584,MeanMinAge22)))</f>
        <v/>
      </c>
      <c r="AS2537">
        <f>IF(OR(('19_Расчет_аналитики'!AS2453-'19_Расчет_аналитики'!AS2481)=0,22&lt;='01_Вводные'!$B$297),0,('19_Расчет_аналитики'!AS2453-'19_Расчет_аналитики'!AS2481)*IF('01_Вводные'!$B$239="Да",MeanMinAge22+'19_Расчет_аналитики'!AS2584*SUMIF(ThresholdAge22,"&lt;"&amp;'19_Расчет_аналитики'!AS2584,WeightedRevAge22)-SUMIF(ThresholdAge22,"&lt;"&amp;'19_Расчет_аналитики'!AS2584,WeightedMinAge22),MAX(CapacityAge22*'01_Вводные'!$B$218*'19_Расчет_аналитики'!AS2584,MeanMinAge22)))</f>
        <v/>
      </c>
      <c r="AT2537">
        <f>IF(OR(('19_Расчет_аналитики'!AT2453-'19_Расчет_аналитики'!AT2481)=0,22&lt;='01_Вводные'!$B$297),0,('19_Расчет_аналитики'!AT2453-'19_Расчет_аналитики'!AT2481)*IF('01_Вводные'!$B$239="Да",MeanMinAge22+'19_Расчет_аналитики'!AT2584*SUMIF(ThresholdAge22,"&lt;"&amp;'19_Расчет_аналитики'!AT2584,WeightedRevAge22)-SUMIF(ThresholdAge22,"&lt;"&amp;'19_Расчет_аналитики'!AT2584,WeightedMinAge22),MAX(CapacityAge22*'01_Вводные'!$B$218*'19_Расчет_аналитики'!AT2584,MeanMinAge22)))</f>
        <v/>
      </c>
      <c r="AU2537">
        <f>IF(OR(('19_Расчет_аналитики'!AU2453-'19_Расчет_аналитики'!AU2481)=0,22&lt;='01_Вводные'!$B$297),0,('19_Расчет_аналитики'!AU2453-'19_Расчет_аналитики'!AU2481)*IF('01_Вводные'!$B$239="Да",MeanMinAge22+'19_Расчет_аналитики'!AU2584*SUMIF(ThresholdAge22,"&lt;"&amp;'19_Расчет_аналитики'!AU2584,WeightedRevAge22)-SUMIF(ThresholdAge22,"&lt;"&amp;'19_Расчет_аналитики'!AU2584,WeightedMinAge22),MAX(CapacityAge22*'01_Вводные'!$B$218*'19_Расчет_аналитики'!AU2584,MeanMinAge22)))</f>
        <v/>
      </c>
      <c r="AV2537">
        <f>IF(OR(('19_Расчет_аналитики'!AV2453-'19_Расчет_аналитики'!AV2481)=0,22&lt;='01_Вводные'!$B$297),0,('19_Расчет_аналитики'!AV2453-'19_Расчет_аналитики'!AV2481)*IF('01_Вводные'!$B$239="Да",MeanMinAge22+'19_Расчет_аналитики'!AV2584*SUMIF(ThresholdAge22,"&lt;"&amp;'19_Расчет_аналитики'!AV2584,WeightedRevAge22)-SUMIF(ThresholdAge22,"&lt;"&amp;'19_Расчет_аналитики'!AV2584,WeightedMinAge22),MAX(CapacityAge22*'01_Вводные'!$B$218*'19_Расчет_аналитики'!AV2584,MeanMinAge22)))</f>
        <v/>
      </c>
      <c r="AW2537">
        <f>IF(OR(('19_Расчет_аналитики'!AW2453-'19_Расчет_аналитики'!AW2481)=0,22&lt;='01_Вводные'!$B$297),0,('19_Расчет_аналитики'!AW2453-'19_Расчет_аналитики'!AW2481)*IF('01_Вводные'!$B$239="Да",MeanMinAge22+'19_Расчет_аналитики'!AW2584*SUMIF(ThresholdAge22,"&lt;"&amp;'19_Расчет_аналитики'!AW2584,WeightedRevAge22)-SUMIF(ThresholdAge22,"&lt;"&amp;'19_Расчет_аналитики'!AW2584,WeightedMinAge22),MAX(CapacityAge22*'01_Вводные'!$B$218*'19_Расчет_аналитики'!AW2584,MeanMinAge22)))</f>
        <v/>
      </c>
      <c r="AX2537">
        <f>IF(OR(('19_Расчет_аналитики'!AX2453-'19_Расчет_аналитики'!AX2481)=0,22&lt;='01_Вводные'!$B$297),0,('19_Расчет_аналитики'!AX2453-'19_Расчет_аналитики'!AX2481)*IF('01_Вводные'!$B$239="Да",MeanMinAge22+'19_Расчет_аналитики'!AX2584*SUMIF(ThresholdAge22,"&lt;"&amp;'19_Расчет_аналитики'!AX2584,WeightedRevAge22)-SUMIF(ThresholdAge22,"&lt;"&amp;'19_Расчет_аналитики'!AX2584,WeightedMinAge22),MAX(CapacityAge22*'01_Вводные'!$B$218*'19_Расчет_аналитики'!AX2584,MeanMinAge22)))</f>
        <v/>
      </c>
      <c r="AY2537">
        <f>IF(OR(('19_Расчет_аналитики'!AY2453-'19_Расчет_аналитики'!AY2481)=0,22&lt;='01_Вводные'!$B$297),0,('19_Расчет_аналитики'!AY2453-'19_Расчет_аналитики'!AY2481)*IF('01_Вводные'!$B$239="Да",MeanMinAge22+'19_Расчет_аналитики'!AY2584*SUMIF(ThresholdAge22,"&lt;"&amp;'19_Расчет_аналитики'!AY2584,WeightedRevAge22)-SUMIF(ThresholdAge22,"&lt;"&amp;'19_Расчет_аналитики'!AY2584,WeightedMinAge22),MAX(CapacityAge22*'01_Вводные'!$B$218*'19_Расчет_аналитики'!AY2584,MeanMinAge22)))</f>
        <v/>
      </c>
      <c r="AZ2537">
        <f>IF(OR(('19_Расчет_аналитики'!AZ2453-'19_Расчет_аналитики'!AZ2481)=0,22&lt;='01_Вводные'!$B$297),0,('19_Расчет_аналитики'!AZ2453-'19_Расчет_аналитики'!AZ2481)*IF('01_Вводные'!$B$239="Да",MeanMinAge22+'19_Расчет_аналитики'!AZ2584*SUMIF(ThresholdAge22,"&lt;"&amp;'19_Расчет_аналитики'!AZ2584,WeightedRevAge22)-SUMIF(ThresholdAge22,"&lt;"&amp;'19_Расчет_аналитики'!AZ2584,WeightedMinAge22),MAX(CapacityAge22*'01_Вводные'!$B$218*'19_Расчет_аналитики'!AZ2584,MeanMinAge22)))</f>
        <v/>
      </c>
      <c r="BA2537">
        <f>IF(OR(('19_Расчет_аналитики'!BA2453-'19_Расчет_аналитики'!BA2481)=0,22&lt;='01_Вводные'!$B$297),0,('19_Расчет_аналитики'!BA2453-'19_Расчет_аналитики'!BA2481)*IF('01_Вводные'!$B$239="Да",MeanMinAge22+'19_Расчет_аналитики'!BA2584*SUMIF(ThresholdAge22,"&lt;"&amp;'19_Расчет_аналитики'!BA2584,WeightedRevAge22)-SUMIF(ThresholdAge22,"&lt;"&amp;'19_Расчет_аналитики'!BA2584,WeightedMinAge22),MAX(CapacityAge22*'01_Вводные'!$B$218*'19_Расчет_аналитики'!BA2584,MeanMinAge22)))</f>
        <v/>
      </c>
      <c r="BB2537">
        <f>IF(OR(('19_Расчет_аналитики'!BB2453-'19_Расчет_аналитики'!BB2481)=0,22&lt;='01_Вводные'!$B$297),0,('19_Расчет_аналитики'!BB2453-'19_Расчет_аналитики'!BB2481)*IF('01_Вводные'!$B$239="Да",MeanMinAge22+'19_Расчет_аналитики'!BB2584*SUMIF(ThresholdAge22,"&lt;"&amp;'19_Расчет_аналитики'!BB2584,WeightedRevAge22)-SUMIF(ThresholdAge22,"&lt;"&amp;'19_Расчет_аналитики'!BB2584,WeightedMinAge22),MAX(CapacityAge22*'01_Вводные'!$B$218*'19_Расчет_аналитики'!BB2584,MeanMinAge22)))</f>
        <v/>
      </c>
      <c r="BC2537">
        <f>IF(OR(('19_Расчет_аналитики'!BC2453-'19_Расчет_аналитики'!BC2481)=0,22&lt;='01_Вводные'!$B$297),0,('19_Расчет_аналитики'!BC2453-'19_Расчет_аналитики'!BC2481)*IF('01_Вводные'!$B$239="Да",MeanMinAge22+'19_Расчет_аналитики'!BC2584*SUMIF(ThresholdAge22,"&lt;"&amp;'19_Расчет_аналитики'!BC2584,WeightedRevAge22)-SUMIF(ThresholdAge22,"&lt;"&amp;'19_Расчет_аналитики'!BC2584,WeightedMinAge22),MAX(CapacityAge22*'01_Вводные'!$B$218*'19_Расчет_аналитики'!BC2584,MeanMinAge22)))</f>
        <v/>
      </c>
      <c r="BD2537">
        <f>IF(OR(('19_Расчет_аналитики'!BD2453-'19_Расчет_аналитики'!BD2481)=0,22&lt;='01_Вводные'!$B$297),0,('19_Расчет_аналитики'!BD2453-'19_Расчет_аналитики'!BD2481)*IF('01_Вводные'!$B$239="Да",MeanMinAge22+'19_Расчет_аналитики'!BD2584*SUMIF(ThresholdAge22,"&lt;"&amp;'19_Расчет_аналитики'!BD2584,WeightedRevAge22)-SUMIF(ThresholdAge22,"&lt;"&amp;'19_Расчет_аналитики'!BD2584,WeightedMinAge22),MAX(CapacityAge22*'01_Вводные'!$B$218*'19_Расчет_аналитики'!BD2584,MeanMinAge22)))</f>
        <v/>
      </c>
      <c r="BE2537">
        <f>IF(OR(('19_Расчет_аналитики'!BE2453-'19_Расчет_аналитики'!BE2481)=0,22&lt;='01_Вводные'!$B$297),0,('19_Расчет_аналитики'!BE2453-'19_Расчет_аналитики'!BE2481)*IF('01_Вводные'!$B$239="Да",MeanMinAge22+'19_Расчет_аналитики'!BE2584*SUMIF(ThresholdAge22,"&lt;"&amp;'19_Расчет_аналитики'!BE2584,WeightedRevAge22)-SUMIF(ThresholdAge22,"&lt;"&amp;'19_Расчет_аналитики'!BE2584,WeightedMinAge22),MAX(CapacityAge22*'01_Вводные'!$B$218*'19_Расчет_аналитики'!BE2584,MeanMinAge22)))</f>
        <v/>
      </c>
      <c r="BF2537">
        <f>IF(OR(('19_Расчет_аналитики'!BF2453-'19_Расчет_аналитики'!BF2481)=0,22&lt;='01_Вводные'!$B$297),0,('19_Расчет_аналитики'!BF2453-'19_Расчет_аналитики'!BF2481)*IF('01_Вводные'!$B$239="Да",MeanMinAge22+'19_Расчет_аналитики'!BF2584*SUMIF(ThresholdAge22,"&lt;"&amp;'19_Расчет_аналитики'!BF2584,WeightedRevAge22)-SUMIF(ThresholdAge22,"&lt;"&amp;'19_Расчет_аналитики'!BF2584,WeightedMinAge22),MAX(CapacityAge22*'01_Вводные'!$B$218*'19_Расчет_аналитики'!BF2584,MeanMinAge22)))</f>
        <v/>
      </c>
      <c r="BG2537">
        <f>IF(OR(('19_Расчет_аналитики'!BG2453-'19_Расчет_аналитики'!BG2481)=0,22&lt;='01_Вводные'!$B$297),0,('19_Расчет_аналитики'!BG2453-'19_Расчет_аналитики'!BG2481)*IF('01_Вводные'!$B$239="Да",MeanMinAge22+'19_Расчет_аналитики'!BG2584*SUMIF(ThresholdAge22,"&lt;"&amp;'19_Расчет_аналитики'!BG2584,WeightedRevAge22)-SUMIF(ThresholdAge22,"&lt;"&amp;'19_Расчет_аналитики'!BG2584,WeightedMinAge22),MAX(CapacityAge22*'01_Вводные'!$B$218*'19_Расчет_аналитики'!BG2584,MeanMinAge22)))</f>
        <v/>
      </c>
      <c r="BH2537">
        <f>IF(OR(('19_Расчет_аналитики'!BH2453-'19_Расчет_аналитики'!BH2481)=0,22&lt;='01_Вводные'!$B$297),0,('19_Расчет_аналитики'!BH2453-'19_Расчет_аналитики'!BH2481)*IF('01_Вводные'!$B$239="Да",MeanMinAge22+'19_Расчет_аналитики'!BH2584*SUMIF(ThresholdAge22,"&lt;"&amp;'19_Расчет_аналитики'!BH2584,WeightedRevAge22)-SUMIF(ThresholdAge22,"&lt;"&amp;'19_Расчет_аналитики'!BH2584,WeightedMinAge22),MAX(CapacityAge22*'01_Вводные'!$B$218*'19_Расчет_аналитики'!BH2584,MeanMinAge22)))</f>
        <v/>
      </c>
      <c r="BI2537">
        <f>IF(OR(('19_Расчет_аналитики'!BI2453-'19_Расчет_аналитики'!BI2481)=0,22&lt;='01_Вводные'!$B$297),0,('19_Расчет_аналитики'!BI2453-'19_Расчет_аналитики'!BI2481)*IF('01_Вводные'!$B$239="Да",MeanMinAge22+'19_Расчет_аналитики'!BI2584*SUMIF(ThresholdAge22,"&lt;"&amp;'19_Расчет_аналитики'!BI2584,WeightedRevAge22)-SUMIF(ThresholdAge22,"&lt;"&amp;'19_Расчет_аналитики'!BI2584,WeightedMinAge22),MAX(CapacityAge22*'01_Вводные'!$B$218*'19_Расчет_аналитики'!BI2584,MeanMinAge22)))</f>
        <v/>
      </c>
      <c r="BJ2537">
        <f>IF(OR(('19_Расчет_аналитики'!BJ2453-'19_Расчет_аналитики'!BJ2481)=0,22&lt;='01_Вводные'!$B$297),0,('19_Расчет_аналитики'!BJ2453-'19_Расчет_аналитики'!BJ2481)*IF('01_Вводные'!$B$239="Да",MeanMinAge22+'19_Расчет_аналитики'!BJ2584*SUMIF(ThresholdAge22,"&lt;"&amp;'19_Расчет_аналитики'!BJ2584,WeightedRevAge22)-SUMIF(ThresholdAge22,"&lt;"&amp;'19_Расчет_аналитики'!BJ2584,WeightedMinAge22),MAX(CapacityAge22*'01_Вводные'!$B$218*'19_Расчет_аналитики'!BJ2584,MeanMinAge22)))</f>
        <v/>
      </c>
      <c r="BK2537">
        <f>IF(OR(('19_Расчет_аналитики'!BK2453-'19_Расчет_аналитики'!BK2481)=0,22&lt;='01_Вводные'!$B$297),0,('19_Расчет_аналитики'!BK2453-'19_Расчет_аналитики'!BK2481)*IF('01_Вводные'!$B$239="Да",MeanMinAge22+'19_Расчет_аналитики'!BK2584*SUMIF(ThresholdAge22,"&lt;"&amp;'19_Расчет_аналитики'!BK2584,WeightedRevAge22)-SUMIF(ThresholdAge22,"&lt;"&amp;'19_Расчет_аналитики'!BK2584,WeightedMinAge22),MAX(CapacityAge22*'01_Вводные'!$B$218*'19_Расчет_аналитики'!BK2584,MeanMinAge22)))</f>
        <v/>
      </c>
      <c r="BL2537">
        <f>IF(OR(('19_Расчет_аналитики'!BL2453-'19_Расчет_аналитики'!BL2481)=0,22&lt;='01_Вводные'!$B$297),0,('19_Расчет_аналитики'!BL2453-'19_Расчет_аналитики'!BL2481)*IF('01_Вводные'!$B$239="Да",MeanMinAge22+'19_Расчет_аналитики'!BL2584*SUMIF(ThresholdAge22,"&lt;"&amp;'19_Расчет_аналитики'!BL2584,WeightedRevAge22)-SUMIF(ThresholdAge22,"&lt;"&amp;'19_Расчет_аналитики'!BL2584,WeightedMinAge22),MAX(CapacityAge22*'01_Вводные'!$B$218*'19_Расчет_аналитики'!BL2584,MeanMinAge22)))</f>
        <v/>
      </c>
      <c r="BM2537">
        <f>IF(OR(('19_Расчет_аналитики'!BM2453-'19_Расчет_аналитики'!BM2481)=0,22&lt;='01_Вводные'!$B$297),0,('19_Расчет_аналитики'!BM2453-'19_Расчет_аналитики'!BM2481)*IF('01_Вводные'!$B$239="Да",MeanMinAge22+'19_Расчет_аналитики'!BM2584*SUMIF(ThresholdAge22,"&lt;"&amp;'19_Расчет_аналитики'!BM2584,WeightedRevAge22)-SUMIF(ThresholdAge22,"&lt;"&amp;'19_Расчет_аналитики'!BM2584,WeightedMinAge22),MAX(CapacityAge22*'01_Вводные'!$B$218*'19_Расчет_аналитики'!BM2584,MeanMinAge22)))</f>
        <v/>
      </c>
      <c r="BN2537">
        <f>IF(OR(('19_Расчет_аналитики'!BN2453-'19_Расчет_аналитики'!BN2481)=0,22&lt;='01_Вводные'!$B$297),0,('19_Расчет_аналитики'!BN2453-'19_Расчет_аналитики'!BN2481)*IF('01_Вводные'!$B$239="Да",MeanMinAge22+'19_Расчет_аналитики'!BN2584*SUMIF(ThresholdAge22,"&lt;"&amp;'19_Расчет_аналитики'!BN2584,WeightedRevAge22)-SUMIF(ThresholdAge22,"&lt;"&amp;'19_Расчет_аналитики'!BN2584,WeightedMinAge22),MAX(CapacityAge22*'01_Вводные'!$B$218*'19_Расчет_аналитики'!BN2584,MeanMinAge22)))</f>
        <v/>
      </c>
      <c r="BO2537">
        <f>IF(OR(('19_Расчет_аналитики'!BO2453-'19_Расчет_аналитики'!BO2481)=0,22&lt;='01_Вводные'!$B$297),0,('19_Расчет_аналитики'!BO2453-'19_Расчет_аналитики'!BO2481)*IF('01_Вводные'!$B$239="Да",MeanMinAge22+'19_Расчет_аналитики'!BO2584*SUMIF(ThresholdAge22,"&lt;"&amp;'19_Расчет_аналитики'!BO2584,WeightedRevAge22)-SUMIF(ThresholdAge22,"&lt;"&amp;'19_Расчет_аналитики'!BO2584,WeightedMinAge22),MAX(CapacityAge22*'01_Вводные'!$B$218*'19_Расчет_аналитики'!BO2584,MeanMinAge22)))</f>
        <v/>
      </c>
    </row>
    <row r="2538">
      <c r="B2538">
        <f>IF(OR(('06_Сеть_и_дети'!B75-'06_Сеть_и_дети'!B103)=0,23&lt;='01_Вводные'!$B$297),0,('06_Сеть_и_дети'!B75-'06_Сеть_и_дети'!B103)*IF('01_Вводные'!$B$239="Да",MeanMinAge23+'19_Расчет_аналитики'!B2584*SUMIF(ThresholdAge23,"&lt;"&amp;'19_Расчет_аналитики'!B2584,WeightedRevAge23)-SUMIF(ThresholdAge23,"&lt;"&amp;'19_Расчет_аналитики'!B2584,WeightedMinAge23),MAX(CapacityAge23*'01_Вводные'!$B$218*'19_Расчет_аналитики'!B2584,MeanMinAge23)))</f>
        <v/>
      </c>
      <c r="C2538">
        <f>IF(OR(('06_Сеть_и_дети'!C75-'06_Сеть_и_дети'!C103)=0,23&lt;='01_Вводные'!$B$297),0,('06_Сеть_и_дети'!C75-'06_Сеть_и_дети'!C103)*IF('01_Вводные'!$B$239="Да",MeanMinAge23+'19_Расчет_аналитики'!C2584*SUMIF(ThresholdAge23,"&lt;"&amp;'19_Расчет_аналитики'!C2584,WeightedRevAge23)-SUMIF(ThresholdAge23,"&lt;"&amp;'19_Расчет_аналитики'!C2584,WeightedMinAge23),MAX(CapacityAge23*'01_Вводные'!$B$218*'19_Расчет_аналитики'!C2584,MeanMinAge23)))</f>
        <v/>
      </c>
      <c r="D2538">
        <f>IF(OR(('06_Сеть_и_дети'!D75-'06_Сеть_и_дети'!D103)=0,23&lt;='01_Вводные'!$B$297),0,('06_Сеть_и_дети'!D75-'06_Сеть_и_дети'!D103)*IF('01_Вводные'!$B$239="Да",MeanMinAge23+'19_Расчет_аналитики'!D2584*SUMIF(ThresholdAge23,"&lt;"&amp;'19_Расчет_аналитики'!D2584,WeightedRevAge23)-SUMIF(ThresholdAge23,"&lt;"&amp;'19_Расчет_аналитики'!D2584,WeightedMinAge23),MAX(CapacityAge23*'01_Вводные'!$B$218*'19_Расчет_аналитики'!D2584,MeanMinAge23)))</f>
        <v/>
      </c>
      <c r="E2538">
        <f>IF(OR(('06_Сеть_и_дети'!E75-'06_Сеть_и_дети'!E103)=0,23&lt;='01_Вводные'!$B$297),0,('06_Сеть_и_дети'!E75-'06_Сеть_и_дети'!E103)*IF('01_Вводные'!$B$239="Да",MeanMinAge23+'19_Расчет_аналитики'!E2584*SUMIF(ThresholdAge23,"&lt;"&amp;'19_Расчет_аналитики'!E2584,WeightedRevAge23)-SUMIF(ThresholdAge23,"&lt;"&amp;'19_Расчет_аналитики'!E2584,WeightedMinAge23),MAX(CapacityAge23*'01_Вводные'!$B$218*'19_Расчет_аналитики'!E2584,MeanMinAge23)))</f>
        <v/>
      </c>
      <c r="F2538">
        <f>IF(OR(('06_Сеть_и_дети'!F75-'06_Сеть_и_дети'!F103)=0,23&lt;='01_Вводные'!$B$297),0,('06_Сеть_и_дети'!F75-'06_Сеть_и_дети'!F103)*IF('01_Вводные'!$B$239="Да",MeanMinAge23+'19_Расчет_аналитики'!F2584*SUMIF(ThresholdAge23,"&lt;"&amp;'19_Расчет_аналитики'!F2584,WeightedRevAge23)-SUMIF(ThresholdAge23,"&lt;"&amp;'19_Расчет_аналитики'!F2584,WeightedMinAge23),MAX(CapacityAge23*'01_Вводные'!$B$218*'19_Расчет_аналитики'!F2584,MeanMinAge23)))</f>
        <v/>
      </c>
      <c r="G2538">
        <f>IF(OR(('06_Сеть_и_дети'!G75-'06_Сеть_и_дети'!G103)=0,23&lt;='01_Вводные'!$B$297),0,('06_Сеть_и_дети'!G75-'06_Сеть_и_дети'!G103)*IF('01_Вводные'!$B$239="Да",MeanMinAge23+'19_Расчет_аналитики'!G2584*SUMIF(ThresholdAge23,"&lt;"&amp;'19_Расчет_аналитики'!G2584,WeightedRevAge23)-SUMIF(ThresholdAge23,"&lt;"&amp;'19_Расчет_аналитики'!G2584,WeightedMinAge23),MAX(CapacityAge23*'01_Вводные'!$B$218*'19_Расчет_аналитики'!G2584,MeanMinAge23)))</f>
        <v/>
      </c>
      <c r="H2538">
        <f>IF(OR(('06_Сеть_и_дети'!H75-'06_Сеть_и_дети'!H103)=0,23&lt;='01_Вводные'!$B$297),0,('06_Сеть_и_дети'!H75-'06_Сеть_и_дети'!H103)*IF('01_Вводные'!$B$239="Да",MeanMinAge23+'19_Расчет_аналитики'!H2584*SUMIF(ThresholdAge23,"&lt;"&amp;'19_Расчет_аналитики'!H2584,WeightedRevAge23)-SUMIF(ThresholdAge23,"&lt;"&amp;'19_Расчет_аналитики'!H2584,WeightedMinAge23),MAX(CapacityAge23*'01_Вводные'!$B$218*'19_Расчет_аналитики'!H2584,MeanMinAge23)))</f>
        <v/>
      </c>
      <c r="I2538">
        <f>IF(OR(('06_Сеть_и_дети'!I75-'06_Сеть_и_дети'!I103)=0,23&lt;='01_Вводные'!$B$297),0,('06_Сеть_и_дети'!I75-'06_Сеть_и_дети'!I103)*IF('01_Вводные'!$B$239="Да",MeanMinAge23+'19_Расчет_аналитики'!I2584*SUMIF(ThresholdAge23,"&lt;"&amp;'19_Расчет_аналитики'!I2584,WeightedRevAge23)-SUMIF(ThresholdAge23,"&lt;"&amp;'19_Расчет_аналитики'!I2584,WeightedMinAge23),MAX(CapacityAge23*'01_Вводные'!$B$218*'19_Расчет_аналитики'!I2584,MeanMinAge23)))</f>
        <v/>
      </c>
      <c r="J2538">
        <f>IF(OR(('06_Сеть_и_дети'!J75-'06_Сеть_и_дети'!J103)=0,23&lt;='01_Вводные'!$B$297),0,('06_Сеть_и_дети'!J75-'06_Сеть_и_дети'!J103)*IF('01_Вводные'!$B$239="Да",MeanMinAge23+'19_Расчет_аналитики'!J2584*SUMIF(ThresholdAge23,"&lt;"&amp;'19_Расчет_аналитики'!J2584,WeightedRevAge23)-SUMIF(ThresholdAge23,"&lt;"&amp;'19_Расчет_аналитики'!J2584,WeightedMinAge23),MAX(CapacityAge23*'01_Вводные'!$B$218*'19_Расчет_аналитики'!J2584,MeanMinAge23)))</f>
        <v/>
      </c>
      <c r="K2538">
        <f>IF(OR(('06_Сеть_и_дети'!K75-'06_Сеть_и_дети'!K103)=0,23&lt;='01_Вводные'!$B$297),0,('06_Сеть_и_дети'!K75-'06_Сеть_и_дети'!K103)*IF('01_Вводные'!$B$239="Да",MeanMinAge23+'19_Расчет_аналитики'!K2584*SUMIF(ThresholdAge23,"&lt;"&amp;'19_Расчет_аналитики'!K2584,WeightedRevAge23)-SUMIF(ThresholdAge23,"&lt;"&amp;'19_Расчет_аналитики'!K2584,WeightedMinAge23),MAX(CapacityAge23*'01_Вводные'!$B$218*'19_Расчет_аналитики'!K2584,MeanMinAge23)))</f>
        <v/>
      </c>
      <c r="L2538">
        <f>IF(OR(('06_Сеть_и_дети'!L75-'06_Сеть_и_дети'!L103)=0,23&lt;='01_Вводные'!$B$297),0,('06_Сеть_и_дети'!L75-'06_Сеть_и_дети'!L103)*IF('01_Вводные'!$B$239="Да",MeanMinAge23+'19_Расчет_аналитики'!L2584*SUMIF(ThresholdAge23,"&lt;"&amp;'19_Расчет_аналитики'!L2584,WeightedRevAge23)-SUMIF(ThresholdAge23,"&lt;"&amp;'19_Расчет_аналитики'!L2584,WeightedMinAge23),MAX(CapacityAge23*'01_Вводные'!$B$218*'19_Расчет_аналитики'!L2584,MeanMinAge23)))</f>
        <v/>
      </c>
      <c r="M2538">
        <f>IF(OR(('06_Сеть_и_дети'!M75-'06_Сеть_и_дети'!M103)=0,23&lt;='01_Вводные'!$B$297),0,('06_Сеть_и_дети'!M75-'06_Сеть_и_дети'!M103)*IF('01_Вводные'!$B$239="Да",MeanMinAge23+'19_Расчет_аналитики'!M2584*SUMIF(ThresholdAge23,"&lt;"&amp;'19_Расчет_аналитики'!M2584,WeightedRevAge23)-SUMIF(ThresholdAge23,"&lt;"&amp;'19_Расчет_аналитики'!M2584,WeightedMinAge23),MAX(CapacityAge23*'01_Вводные'!$B$218*'19_Расчет_аналитики'!M2584,MeanMinAge23)))</f>
        <v/>
      </c>
      <c r="N2538">
        <f>IF(OR(('06_Сеть_и_дети'!N75-'06_Сеть_и_дети'!N103)=0,23&lt;='01_Вводные'!$B$297),0,('06_Сеть_и_дети'!N75-'06_Сеть_и_дети'!N103)*IF('01_Вводные'!$B$239="Да",MeanMinAge23+'19_Расчет_аналитики'!N2584*SUMIF(ThresholdAge23,"&lt;"&amp;'19_Расчет_аналитики'!N2584,WeightedRevAge23)-SUMIF(ThresholdAge23,"&lt;"&amp;'19_Расчет_аналитики'!N2584,WeightedMinAge23),MAX(CapacityAge23*'01_Вводные'!$B$218*'19_Расчет_аналитики'!N2584,MeanMinAge23)))</f>
        <v/>
      </c>
      <c r="O2538">
        <f>IF(OR(('06_Сеть_и_дети'!O75-'06_Сеть_и_дети'!O103)=0,23&lt;='01_Вводные'!$B$297),0,('06_Сеть_и_дети'!O75-'06_Сеть_и_дети'!O103)*IF('01_Вводные'!$B$239="Да",MeanMinAge23+'19_Расчет_аналитики'!O2584*SUMIF(ThresholdAge23,"&lt;"&amp;'19_Расчет_аналитики'!O2584,WeightedRevAge23)-SUMIF(ThresholdAge23,"&lt;"&amp;'19_Расчет_аналитики'!O2584,WeightedMinAge23),MAX(CapacityAge23*'01_Вводные'!$B$218*'19_Расчет_аналитики'!O2584,MeanMinAge23)))</f>
        <v/>
      </c>
      <c r="P2538">
        <f>IF(OR(('06_Сеть_и_дети'!P75-'06_Сеть_и_дети'!P103)=0,23&lt;='01_Вводные'!$B$297),0,('06_Сеть_и_дети'!P75-'06_Сеть_и_дети'!P103)*IF('01_Вводные'!$B$239="Да",MeanMinAge23+'19_Расчет_аналитики'!P2584*SUMIF(ThresholdAge23,"&lt;"&amp;'19_Расчет_аналитики'!P2584,WeightedRevAge23)-SUMIF(ThresholdAge23,"&lt;"&amp;'19_Расчет_аналитики'!P2584,WeightedMinAge23),MAX(CapacityAge23*'01_Вводные'!$B$218*'19_Расчет_аналитики'!P2584,MeanMinAge23)))</f>
        <v/>
      </c>
      <c r="Q2538">
        <f>IF(OR(('06_Сеть_и_дети'!Q75-'06_Сеть_и_дети'!Q103)=0,23&lt;='01_Вводные'!$B$297),0,('06_Сеть_и_дети'!Q75-'06_Сеть_и_дети'!Q103)*IF('01_Вводные'!$B$239="Да",MeanMinAge23+'19_Расчет_аналитики'!Q2584*SUMIF(ThresholdAge23,"&lt;"&amp;'19_Расчет_аналитики'!Q2584,WeightedRevAge23)-SUMIF(ThresholdAge23,"&lt;"&amp;'19_Расчет_аналитики'!Q2584,WeightedMinAge23),MAX(CapacityAge23*'01_Вводные'!$B$218*'19_Расчет_аналитики'!Q2584,MeanMinAge23)))</f>
        <v/>
      </c>
      <c r="R2538">
        <f>IF(OR(('06_Сеть_и_дети'!R75-'06_Сеть_и_дети'!R103)=0,23&lt;='01_Вводные'!$B$297),0,('06_Сеть_и_дети'!R75-'06_Сеть_и_дети'!R103)*IF('01_Вводные'!$B$239="Да",MeanMinAge23+'19_Расчет_аналитики'!R2584*SUMIF(ThresholdAge23,"&lt;"&amp;'19_Расчет_аналитики'!R2584,WeightedRevAge23)-SUMIF(ThresholdAge23,"&lt;"&amp;'19_Расчет_аналитики'!R2584,WeightedMinAge23),MAX(CapacityAge23*'01_Вводные'!$B$218*'19_Расчет_аналитики'!R2584,MeanMinAge23)))</f>
        <v/>
      </c>
      <c r="S2538">
        <f>IF(OR(('06_Сеть_и_дети'!S75-'06_Сеть_и_дети'!S103)=0,23&lt;='01_Вводные'!$B$297),0,('06_Сеть_и_дети'!S75-'06_Сеть_и_дети'!S103)*IF('01_Вводные'!$B$239="Да",MeanMinAge23+'19_Расчет_аналитики'!S2584*SUMIF(ThresholdAge23,"&lt;"&amp;'19_Расчет_аналитики'!S2584,WeightedRevAge23)-SUMIF(ThresholdAge23,"&lt;"&amp;'19_Расчет_аналитики'!S2584,WeightedMinAge23),MAX(CapacityAge23*'01_Вводные'!$B$218*'19_Расчет_аналитики'!S2584,MeanMinAge23)))</f>
        <v/>
      </c>
      <c r="T2538">
        <f>IF(OR(('06_Сеть_и_дети'!T75-'06_Сеть_и_дети'!T103)=0,23&lt;='01_Вводные'!$B$297),0,('06_Сеть_и_дети'!T75-'06_Сеть_и_дети'!T103)*IF('01_Вводные'!$B$239="Да",MeanMinAge23+'19_Расчет_аналитики'!T2584*SUMIF(ThresholdAge23,"&lt;"&amp;'19_Расчет_аналитики'!T2584,WeightedRevAge23)-SUMIF(ThresholdAge23,"&lt;"&amp;'19_Расчет_аналитики'!T2584,WeightedMinAge23),MAX(CapacityAge23*'01_Вводные'!$B$218*'19_Расчет_аналитики'!T2584,MeanMinAge23)))</f>
        <v/>
      </c>
      <c r="U2538">
        <f>IF(OR(('06_Сеть_и_дети'!U75-'06_Сеть_и_дети'!U103)=0,23&lt;='01_Вводные'!$B$297),0,('06_Сеть_и_дети'!U75-'06_Сеть_и_дети'!U103)*IF('01_Вводные'!$B$239="Да",MeanMinAge23+'19_Расчет_аналитики'!U2584*SUMIF(ThresholdAge23,"&lt;"&amp;'19_Расчет_аналитики'!U2584,WeightedRevAge23)-SUMIF(ThresholdAge23,"&lt;"&amp;'19_Расчет_аналитики'!U2584,WeightedMinAge23),MAX(CapacityAge23*'01_Вводные'!$B$218*'19_Расчет_аналитики'!U2584,MeanMinAge23)))</f>
        <v/>
      </c>
      <c r="V2538">
        <f>IF(OR(('06_Сеть_и_дети'!V75-'06_Сеть_и_дети'!V103)=0,23&lt;='01_Вводные'!$B$297),0,('06_Сеть_и_дети'!V75-'06_Сеть_и_дети'!V103)*IF('01_Вводные'!$B$239="Да",MeanMinAge23+'19_Расчет_аналитики'!V2584*SUMIF(ThresholdAge23,"&lt;"&amp;'19_Расчет_аналитики'!V2584,WeightedRevAge23)-SUMIF(ThresholdAge23,"&lt;"&amp;'19_Расчет_аналитики'!V2584,WeightedMinAge23),MAX(CapacityAge23*'01_Вводные'!$B$218*'19_Расчет_аналитики'!V2584,MeanMinAge23)))</f>
        <v/>
      </c>
      <c r="W2538">
        <f>IF(OR(('06_Сеть_и_дети'!W75-'06_Сеть_и_дети'!W103)=0,23&lt;='01_Вводные'!$B$297),0,('06_Сеть_и_дети'!W75-'06_Сеть_и_дети'!W103)*IF('01_Вводные'!$B$239="Да",MeanMinAge23+'19_Расчет_аналитики'!W2584*SUMIF(ThresholdAge23,"&lt;"&amp;'19_Расчет_аналитики'!W2584,WeightedRevAge23)-SUMIF(ThresholdAge23,"&lt;"&amp;'19_Расчет_аналитики'!W2584,WeightedMinAge23),MAX(CapacityAge23*'01_Вводные'!$B$218*'19_Расчет_аналитики'!W2584,MeanMinAge23)))</f>
        <v/>
      </c>
      <c r="X2538">
        <f>IF(OR(('19_Расчет_аналитики'!X2454-'19_Расчет_аналитики'!X2482)=0,23&lt;='01_Вводные'!$B$297),0,('19_Расчет_аналитики'!X2454-'19_Расчет_аналитики'!X2482)*IF('01_Вводные'!$B$239="Да",MeanMinAge23+'19_Расчет_аналитики'!X2584*SUMIF(ThresholdAge23,"&lt;"&amp;'19_Расчет_аналитики'!X2584,WeightedRevAge23)-SUMIF(ThresholdAge23,"&lt;"&amp;'19_Расчет_аналитики'!X2584,WeightedMinAge23),MAX(CapacityAge23*'01_Вводные'!$B$218*'19_Расчет_аналитики'!X2584,MeanMinAge23)))</f>
        <v/>
      </c>
      <c r="Y2538">
        <f>IF(OR(('19_Расчет_аналитики'!Y2454-'19_Расчет_аналитики'!Y2482)=0,23&lt;='01_Вводные'!$B$297),0,('19_Расчет_аналитики'!Y2454-'19_Расчет_аналитики'!Y2482)*IF('01_Вводные'!$B$239="Да",MeanMinAge23+'19_Расчет_аналитики'!Y2584*SUMIF(ThresholdAge23,"&lt;"&amp;'19_Расчет_аналитики'!Y2584,WeightedRevAge23)-SUMIF(ThresholdAge23,"&lt;"&amp;'19_Расчет_аналитики'!Y2584,WeightedMinAge23),MAX(CapacityAge23*'01_Вводные'!$B$218*'19_Расчет_аналитики'!Y2584,MeanMinAge23)))</f>
        <v/>
      </c>
      <c r="Z2538">
        <f>IF(OR(('19_Расчет_аналитики'!Z2454-'19_Расчет_аналитики'!Z2482)=0,23&lt;='01_Вводные'!$B$297),0,('19_Расчет_аналитики'!Z2454-'19_Расчет_аналитики'!Z2482)*IF('01_Вводные'!$B$239="Да",MeanMinAge23+'19_Расчет_аналитики'!Z2584*SUMIF(ThresholdAge23,"&lt;"&amp;'19_Расчет_аналитики'!Z2584,WeightedRevAge23)-SUMIF(ThresholdAge23,"&lt;"&amp;'19_Расчет_аналитики'!Z2584,WeightedMinAge23),MAX(CapacityAge23*'01_Вводные'!$B$218*'19_Расчет_аналитики'!Z2584,MeanMinAge23)))</f>
        <v/>
      </c>
      <c r="AA2538">
        <f>IF(OR(('19_Расчет_аналитики'!AA2454-'19_Расчет_аналитики'!AA2482)=0,23&lt;='01_Вводные'!$B$297),0,('19_Расчет_аналитики'!AA2454-'19_Расчет_аналитики'!AA2482)*IF('01_Вводные'!$B$239="Да",MeanMinAge23+'19_Расчет_аналитики'!AA2584*SUMIF(ThresholdAge23,"&lt;"&amp;'19_Расчет_аналитики'!AA2584,WeightedRevAge23)-SUMIF(ThresholdAge23,"&lt;"&amp;'19_Расчет_аналитики'!AA2584,WeightedMinAge23),MAX(CapacityAge23*'01_Вводные'!$B$218*'19_Расчет_аналитики'!AA2584,MeanMinAge23)))</f>
        <v/>
      </c>
      <c r="AB2538">
        <f>IF(OR(('19_Расчет_аналитики'!AB2454-'19_Расчет_аналитики'!AB2482)=0,23&lt;='01_Вводные'!$B$297),0,('19_Расчет_аналитики'!AB2454-'19_Расчет_аналитики'!AB2482)*IF('01_Вводные'!$B$239="Да",MeanMinAge23+'19_Расчет_аналитики'!AB2584*SUMIF(ThresholdAge23,"&lt;"&amp;'19_Расчет_аналитики'!AB2584,WeightedRevAge23)-SUMIF(ThresholdAge23,"&lt;"&amp;'19_Расчет_аналитики'!AB2584,WeightedMinAge23),MAX(CapacityAge23*'01_Вводные'!$B$218*'19_Расчет_аналитики'!AB2584,MeanMinAge23)))</f>
        <v/>
      </c>
      <c r="AC2538">
        <f>IF(OR(('19_Расчет_аналитики'!AC2454-'19_Расчет_аналитики'!AC2482)=0,23&lt;='01_Вводные'!$B$297),0,('19_Расчет_аналитики'!AC2454-'19_Расчет_аналитики'!AC2482)*IF('01_Вводные'!$B$239="Да",MeanMinAge23+'19_Расчет_аналитики'!AC2584*SUMIF(ThresholdAge23,"&lt;"&amp;'19_Расчет_аналитики'!AC2584,WeightedRevAge23)-SUMIF(ThresholdAge23,"&lt;"&amp;'19_Расчет_аналитики'!AC2584,WeightedMinAge23),MAX(CapacityAge23*'01_Вводные'!$B$218*'19_Расчет_аналитики'!AC2584,MeanMinAge23)))</f>
        <v/>
      </c>
      <c r="AD2538">
        <f>IF(OR(('19_Расчет_аналитики'!AD2454-'19_Расчет_аналитики'!AD2482)=0,23&lt;='01_Вводные'!$B$297),0,('19_Расчет_аналитики'!AD2454-'19_Расчет_аналитики'!AD2482)*IF('01_Вводные'!$B$239="Да",MeanMinAge23+'19_Расчет_аналитики'!AD2584*SUMIF(ThresholdAge23,"&lt;"&amp;'19_Расчет_аналитики'!AD2584,WeightedRevAge23)-SUMIF(ThresholdAge23,"&lt;"&amp;'19_Расчет_аналитики'!AD2584,WeightedMinAge23),MAX(CapacityAge23*'01_Вводные'!$B$218*'19_Расчет_аналитики'!AD2584,MeanMinAge23)))</f>
        <v/>
      </c>
      <c r="AE2538">
        <f>IF(OR(('19_Расчет_аналитики'!AE2454-'19_Расчет_аналитики'!AE2482)=0,23&lt;='01_Вводные'!$B$297),0,('19_Расчет_аналитики'!AE2454-'19_Расчет_аналитики'!AE2482)*IF('01_Вводные'!$B$239="Да",MeanMinAge23+'19_Расчет_аналитики'!AE2584*SUMIF(ThresholdAge23,"&lt;"&amp;'19_Расчет_аналитики'!AE2584,WeightedRevAge23)-SUMIF(ThresholdAge23,"&lt;"&amp;'19_Расчет_аналитики'!AE2584,WeightedMinAge23),MAX(CapacityAge23*'01_Вводные'!$B$218*'19_Расчет_аналитики'!AE2584,MeanMinAge23)))</f>
        <v/>
      </c>
      <c r="AF2538">
        <f>IF(OR(('19_Расчет_аналитики'!AF2454-'19_Расчет_аналитики'!AF2482)=0,23&lt;='01_Вводные'!$B$297),0,('19_Расчет_аналитики'!AF2454-'19_Расчет_аналитики'!AF2482)*IF('01_Вводные'!$B$239="Да",MeanMinAge23+'19_Расчет_аналитики'!AF2584*SUMIF(ThresholdAge23,"&lt;"&amp;'19_Расчет_аналитики'!AF2584,WeightedRevAge23)-SUMIF(ThresholdAge23,"&lt;"&amp;'19_Расчет_аналитики'!AF2584,WeightedMinAge23),MAX(CapacityAge23*'01_Вводные'!$B$218*'19_Расчет_аналитики'!AF2584,MeanMinAge23)))</f>
        <v/>
      </c>
      <c r="AG2538">
        <f>IF(OR(('19_Расчет_аналитики'!AG2454-'19_Расчет_аналитики'!AG2482)=0,23&lt;='01_Вводные'!$B$297),0,('19_Расчет_аналитики'!AG2454-'19_Расчет_аналитики'!AG2482)*IF('01_Вводные'!$B$239="Да",MeanMinAge23+'19_Расчет_аналитики'!AG2584*SUMIF(ThresholdAge23,"&lt;"&amp;'19_Расчет_аналитики'!AG2584,WeightedRevAge23)-SUMIF(ThresholdAge23,"&lt;"&amp;'19_Расчет_аналитики'!AG2584,WeightedMinAge23),MAX(CapacityAge23*'01_Вводные'!$B$218*'19_Расчет_аналитики'!AG2584,MeanMinAge23)))</f>
        <v/>
      </c>
      <c r="AH2538">
        <f>IF(OR(('19_Расчет_аналитики'!AH2454-'19_Расчет_аналитики'!AH2482)=0,23&lt;='01_Вводные'!$B$297),0,('19_Расчет_аналитики'!AH2454-'19_Расчет_аналитики'!AH2482)*IF('01_Вводные'!$B$239="Да",MeanMinAge23+'19_Расчет_аналитики'!AH2584*SUMIF(ThresholdAge23,"&lt;"&amp;'19_Расчет_аналитики'!AH2584,WeightedRevAge23)-SUMIF(ThresholdAge23,"&lt;"&amp;'19_Расчет_аналитики'!AH2584,WeightedMinAge23),MAX(CapacityAge23*'01_Вводные'!$B$218*'19_Расчет_аналитики'!AH2584,MeanMinAge23)))</f>
        <v/>
      </c>
      <c r="AI2538">
        <f>IF(OR(('19_Расчет_аналитики'!AI2454-'19_Расчет_аналитики'!AI2482)=0,23&lt;='01_Вводные'!$B$297),0,('19_Расчет_аналитики'!AI2454-'19_Расчет_аналитики'!AI2482)*IF('01_Вводные'!$B$239="Да",MeanMinAge23+'19_Расчет_аналитики'!AI2584*SUMIF(ThresholdAge23,"&lt;"&amp;'19_Расчет_аналитики'!AI2584,WeightedRevAge23)-SUMIF(ThresholdAge23,"&lt;"&amp;'19_Расчет_аналитики'!AI2584,WeightedMinAge23),MAX(CapacityAge23*'01_Вводные'!$B$218*'19_Расчет_аналитики'!AI2584,MeanMinAge23)))</f>
        <v/>
      </c>
      <c r="AJ2538">
        <f>IF(OR(('19_Расчет_аналитики'!AJ2454-'19_Расчет_аналитики'!AJ2482)=0,23&lt;='01_Вводные'!$B$297),0,('19_Расчет_аналитики'!AJ2454-'19_Расчет_аналитики'!AJ2482)*IF('01_Вводные'!$B$239="Да",MeanMinAge23+'19_Расчет_аналитики'!AJ2584*SUMIF(ThresholdAge23,"&lt;"&amp;'19_Расчет_аналитики'!AJ2584,WeightedRevAge23)-SUMIF(ThresholdAge23,"&lt;"&amp;'19_Расчет_аналитики'!AJ2584,WeightedMinAge23),MAX(CapacityAge23*'01_Вводные'!$B$218*'19_Расчет_аналитики'!AJ2584,MeanMinAge23)))</f>
        <v/>
      </c>
      <c r="AK2538">
        <f>IF(OR(('19_Расчет_аналитики'!AK2454-'19_Расчет_аналитики'!AK2482)=0,23&lt;='01_Вводные'!$B$297),0,('19_Расчет_аналитики'!AK2454-'19_Расчет_аналитики'!AK2482)*IF('01_Вводные'!$B$239="Да",MeanMinAge23+'19_Расчет_аналитики'!AK2584*SUMIF(ThresholdAge23,"&lt;"&amp;'19_Расчет_аналитики'!AK2584,WeightedRevAge23)-SUMIF(ThresholdAge23,"&lt;"&amp;'19_Расчет_аналитики'!AK2584,WeightedMinAge23),MAX(CapacityAge23*'01_Вводные'!$B$218*'19_Расчет_аналитики'!AK2584,MeanMinAge23)))</f>
        <v/>
      </c>
      <c r="AL2538">
        <f>IF(OR(('19_Расчет_аналитики'!AL2454-'19_Расчет_аналитики'!AL2482)=0,23&lt;='01_Вводные'!$B$297),0,('19_Расчет_аналитики'!AL2454-'19_Расчет_аналитики'!AL2482)*IF('01_Вводные'!$B$239="Да",MeanMinAge23+'19_Расчет_аналитики'!AL2584*SUMIF(ThresholdAge23,"&lt;"&amp;'19_Расчет_аналитики'!AL2584,WeightedRevAge23)-SUMIF(ThresholdAge23,"&lt;"&amp;'19_Расчет_аналитики'!AL2584,WeightedMinAge23),MAX(CapacityAge23*'01_Вводные'!$B$218*'19_Расчет_аналитики'!AL2584,MeanMinAge23)))</f>
        <v/>
      </c>
      <c r="AM2538">
        <f>IF(OR(('19_Расчет_аналитики'!AM2454-'19_Расчет_аналитики'!AM2482)=0,23&lt;='01_Вводные'!$B$297),0,('19_Расчет_аналитики'!AM2454-'19_Расчет_аналитики'!AM2482)*IF('01_Вводные'!$B$239="Да",MeanMinAge23+'19_Расчет_аналитики'!AM2584*SUMIF(ThresholdAge23,"&lt;"&amp;'19_Расчет_аналитики'!AM2584,WeightedRevAge23)-SUMIF(ThresholdAge23,"&lt;"&amp;'19_Расчет_аналитики'!AM2584,WeightedMinAge23),MAX(CapacityAge23*'01_Вводные'!$B$218*'19_Расчет_аналитики'!AM2584,MeanMinAge23)))</f>
        <v/>
      </c>
      <c r="AN2538">
        <f>IF(OR(('19_Расчет_аналитики'!AN2454-'19_Расчет_аналитики'!AN2482)=0,23&lt;='01_Вводные'!$B$297),0,('19_Расчет_аналитики'!AN2454-'19_Расчет_аналитики'!AN2482)*IF('01_Вводные'!$B$239="Да",MeanMinAge23+'19_Расчет_аналитики'!AN2584*SUMIF(ThresholdAge23,"&lt;"&amp;'19_Расчет_аналитики'!AN2584,WeightedRevAge23)-SUMIF(ThresholdAge23,"&lt;"&amp;'19_Расчет_аналитики'!AN2584,WeightedMinAge23),MAX(CapacityAge23*'01_Вводные'!$B$218*'19_Расчет_аналитики'!AN2584,MeanMinAge23)))</f>
        <v/>
      </c>
      <c r="AO2538">
        <f>IF(OR(('19_Расчет_аналитики'!AO2454-'19_Расчет_аналитики'!AO2482)=0,23&lt;='01_Вводные'!$B$297),0,('19_Расчет_аналитики'!AO2454-'19_Расчет_аналитики'!AO2482)*IF('01_Вводные'!$B$239="Да",MeanMinAge23+'19_Расчет_аналитики'!AO2584*SUMIF(ThresholdAge23,"&lt;"&amp;'19_Расчет_аналитики'!AO2584,WeightedRevAge23)-SUMIF(ThresholdAge23,"&lt;"&amp;'19_Расчет_аналитики'!AO2584,WeightedMinAge23),MAX(CapacityAge23*'01_Вводные'!$B$218*'19_Расчет_аналитики'!AO2584,MeanMinAge23)))</f>
        <v/>
      </c>
      <c r="AP2538">
        <f>IF(OR(('19_Расчет_аналитики'!AP2454-'19_Расчет_аналитики'!AP2482)=0,23&lt;='01_Вводные'!$B$297),0,('19_Расчет_аналитики'!AP2454-'19_Расчет_аналитики'!AP2482)*IF('01_Вводные'!$B$239="Да",MeanMinAge23+'19_Расчет_аналитики'!AP2584*SUMIF(ThresholdAge23,"&lt;"&amp;'19_Расчет_аналитики'!AP2584,WeightedRevAge23)-SUMIF(ThresholdAge23,"&lt;"&amp;'19_Расчет_аналитики'!AP2584,WeightedMinAge23),MAX(CapacityAge23*'01_Вводные'!$B$218*'19_Расчет_аналитики'!AP2584,MeanMinAge23)))</f>
        <v/>
      </c>
      <c r="AQ2538">
        <f>IF(OR(('19_Расчет_аналитики'!AQ2454-'19_Расчет_аналитики'!AQ2482)=0,23&lt;='01_Вводные'!$B$297),0,('19_Расчет_аналитики'!AQ2454-'19_Расчет_аналитики'!AQ2482)*IF('01_Вводные'!$B$239="Да",MeanMinAge23+'19_Расчет_аналитики'!AQ2584*SUMIF(ThresholdAge23,"&lt;"&amp;'19_Расчет_аналитики'!AQ2584,WeightedRevAge23)-SUMIF(ThresholdAge23,"&lt;"&amp;'19_Расчет_аналитики'!AQ2584,WeightedMinAge23),MAX(CapacityAge23*'01_Вводные'!$B$218*'19_Расчет_аналитики'!AQ2584,MeanMinAge23)))</f>
        <v/>
      </c>
      <c r="AR2538">
        <f>IF(OR(('19_Расчет_аналитики'!AR2454-'19_Расчет_аналитики'!AR2482)=0,23&lt;='01_Вводные'!$B$297),0,('19_Расчет_аналитики'!AR2454-'19_Расчет_аналитики'!AR2482)*IF('01_Вводные'!$B$239="Да",MeanMinAge23+'19_Расчет_аналитики'!AR2584*SUMIF(ThresholdAge23,"&lt;"&amp;'19_Расчет_аналитики'!AR2584,WeightedRevAge23)-SUMIF(ThresholdAge23,"&lt;"&amp;'19_Расчет_аналитики'!AR2584,WeightedMinAge23),MAX(CapacityAge23*'01_Вводные'!$B$218*'19_Расчет_аналитики'!AR2584,MeanMinAge23)))</f>
        <v/>
      </c>
      <c r="AS2538">
        <f>IF(OR(('19_Расчет_аналитики'!AS2454-'19_Расчет_аналитики'!AS2482)=0,23&lt;='01_Вводные'!$B$297),0,('19_Расчет_аналитики'!AS2454-'19_Расчет_аналитики'!AS2482)*IF('01_Вводные'!$B$239="Да",MeanMinAge23+'19_Расчет_аналитики'!AS2584*SUMIF(ThresholdAge23,"&lt;"&amp;'19_Расчет_аналитики'!AS2584,WeightedRevAge23)-SUMIF(ThresholdAge23,"&lt;"&amp;'19_Расчет_аналитики'!AS2584,WeightedMinAge23),MAX(CapacityAge23*'01_Вводные'!$B$218*'19_Расчет_аналитики'!AS2584,MeanMinAge23)))</f>
        <v/>
      </c>
      <c r="AT2538">
        <f>IF(OR(('19_Расчет_аналитики'!AT2454-'19_Расчет_аналитики'!AT2482)=0,23&lt;='01_Вводные'!$B$297),0,('19_Расчет_аналитики'!AT2454-'19_Расчет_аналитики'!AT2482)*IF('01_Вводные'!$B$239="Да",MeanMinAge23+'19_Расчет_аналитики'!AT2584*SUMIF(ThresholdAge23,"&lt;"&amp;'19_Расчет_аналитики'!AT2584,WeightedRevAge23)-SUMIF(ThresholdAge23,"&lt;"&amp;'19_Расчет_аналитики'!AT2584,WeightedMinAge23),MAX(CapacityAge23*'01_Вводные'!$B$218*'19_Расчет_аналитики'!AT2584,MeanMinAge23)))</f>
        <v/>
      </c>
      <c r="AU2538">
        <f>IF(OR(('19_Расчет_аналитики'!AU2454-'19_Расчет_аналитики'!AU2482)=0,23&lt;='01_Вводные'!$B$297),0,('19_Расчет_аналитики'!AU2454-'19_Расчет_аналитики'!AU2482)*IF('01_Вводные'!$B$239="Да",MeanMinAge23+'19_Расчет_аналитики'!AU2584*SUMIF(ThresholdAge23,"&lt;"&amp;'19_Расчет_аналитики'!AU2584,WeightedRevAge23)-SUMIF(ThresholdAge23,"&lt;"&amp;'19_Расчет_аналитики'!AU2584,WeightedMinAge23),MAX(CapacityAge23*'01_Вводные'!$B$218*'19_Расчет_аналитики'!AU2584,MeanMinAge23)))</f>
        <v/>
      </c>
      <c r="AV2538">
        <f>IF(OR(('19_Расчет_аналитики'!AV2454-'19_Расчет_аналитики'!AV2482)=0,23&lt;='01_Вводные'!$B$297),0,('19_Расчет_аналитики'!AV2454-'19_Расчет_аналитики'!AV2482)*IF('01_Вводные'!$B$239="Да",MeanMinAge23+'19_Расчет_аналитики'!AV2584*SUMIF(ThresholdAge23,"&lt;"&amp;'19_Расчет_аналитики'!AV2584,WeightedRevAge23)-SUMIF(ThresholdAge23,"&lt;"&amp;'19_Расчет_аналитики'!AV2584,WeightedMinAge23),MAX(CapacityAge23*'01_Вводные'!$B$218*'19_Расчет_аналитики'!AV2584,MeanMinAge23)))</f>
        <v/>
      </c>
      <c r="AW2538">
        <f>IF(OR(('19_Расчет_аналитики'!AW2454-'19_Расчет_аналитики'!AW2482)=0,23&lt;='01_Вводные'!$B$297),0,('19_Расчет_аналитики'!AW2454-'19_Расчет_аналитики'!AW2482)*IF('01_Вводные'!$B$239="Да",MeanMinAge23+'19_Расчет_аналитики'!AW2584*SUMIF(ThresholdAge23,"&lt;"&amp;'19_Расчет_аналитики'!AW2584,WeightedRevAge23)-SUMIF(ThresholdAge23,"&lt;"&amp;'19_Расчет_аналитики'!AW2584,WeightedMinAge23),MAX(CapacityAge23*'01_Вводные'!$B$218*'19_Расчет_аналитики'!AW2584,MeanMinAge23)))</f>
        <v/>
      </c>
      <c r="AX2538">
        <f>IF(OR(('19_Расчет_аналитики'!AX2454-'19_Расчет_аналитики'!AX2482)=0,23&lt;='01_Вводные'!$B$297),0,('19_Расчет_аналитики'!AX2454-'19_Расчет_аналитики'!AX2482)*IF('01_Вводные'!$B$239="Да",MeanMinAge23+'19_Расчет_аналитики'!AX2584*SUMIF(ThresholdAge23,"&lt;"&amp;'19_Расчет_аналитики'!AX2584,WeightedRevAge23)-SUMIF(ThresholdAge23,"&lt;"&amp;'19_Расчет_аналитики'!AX2584,WeightedMinAge23),MAX(CapacityAge23*'01_Вводные'!$B$218*'19_Расчет_аналитики'!AX2584,MeanMinAge23)))</f>
        <v/>
      </c>
      <c r="AY2538">
        <f>IF(OR(('19_Расчет_аналитики'!AY2454-'19_Расчет_аналитики'!AY2482)=0,23&lt;='01_Вводные'!$B$297),0,('19_Расчет_аналитики'!AY2454-'19_Расчет_аналитики'!AY2482)*IF('01_Вводные'!$B$239="Да",MeanMinAge23+'19_Расчет_аналитики'!AY2584*SUMIF(ThresholdAge23,"&lt;"&amp;'19_Расчет_аналитики'!AY2584,WeightedRevAge23)-SUMIF(ThresholdAge23,"&lt;"&amp;'19_Расчет_аналитики'!AY2584,WeightedMinAge23),MAX(CapacityAge23*'01_Вводные'!$B$218*'19_Расчет_аналитики'!AY2584,MeanMinAge23)))</f>
        <v/>
      </c>
      <c r="AZ2538">
        <f>IF(OR(('19_Расчет_аналитики'!AZ2454-'19_Расчет_аналитики'!AZ2482)=0,23&lt;='01_Вводные'!$B$297),0,('19_Расчет_аналитики'!AZ2454-'19_Расчет_аналитики'!AZ2482)*IF('01_Вводные'!$B$239="Да",MeanMinAge23+'19_Расчет_аналитики'!AZ2584*SUMIF(ThresholdAge23,"&lt;"&amp;'19_Расчет_аналитики'!AZ2584,WeightedRevAge23)-SUMIF(ThresholdAge23,"&lt;"&amp;'19_Расчет_аналитики'!AZ2584,WeightedMinAge23),MAX(CapacityAge23*'01_Вводные'!$B$218*'19_Расчет_аналитики'!AZ2584,MeanMinAge23)))</f>
        <v/>
      </c>
      <c r="BA2538">
        <f>IF(OR(('19_Расчет_аналитики'!BA2454-'19_Расчет_аналитики'!BA2482)=0,23&lt;='01_Вводные'!$B$297),0,('19_Расчет_аналитики'!BA2454-'19_Расчет_аналитики'!BA2482)*IF('01_Вводные'!$B$239="Да",MeanMinAge23+'19_Расчет_аналитики'!BA2584*SUMIF(ThresholdAge23,"&lt;"&amp;'19_Расчет_аналитики'!BA2584,WeightedRevAge23)-SUMIF(ThresholdAge23,"&lt;"&amp;'19_Расчет_аналитики'!BA2584,WeightedMinAge23),MAX(CapacityAge23*'01_Вводные'!$B$218*'19_Расчет_аналитики'!BA2584,MeanMinAge23)))</f>
        <v/>
      </c>
      <c r="BB2538">
        <f>IF(OR(('19_Расчет_аналитики'!BB2454-'19_Расчет_аналитики'!BB2482)=0,23&lt;='01_Вводные'!$B$297),0,('19_Расчет_аналитики'!BB2454-'19_Расчет_аналитики'!BB2482)*IF('01_Вводные'!$B$239="Да",MeanMinAge23+'19_Расчет_аналитики'!BB2584*SUMIF(ThresholdAge23,"&lt;"&amp;'19_Расчет_аналитики'!BB2584,WeightedRevAge23)-SUMIF(ThresholdAge23,"&lt;"&amp;'19_Расчет_аналитики'!BB2584,WeightedMinAge23),MAX(CapacityAge23*'01_Вводные'!$B$218*'19_Расчет_аналитики'!BB2584,MeanMinAge23)))</f>
        <v/>
      </c>
      <c r="BC2538">
        <f>IF(OR(('19_Расчет_аналитики'!BC2454-'19_Расчет_аналитики'!BC2482)=0,23&lt;='01_Вводные'!$B$297),0,('19_Расчет_аналитики'!BC2454-'19_Расчет_аналитики'!BC2482)*IF('01_Вводные'!$B$239="Да",MeanMinAge23+'19_Расчет_аналитики'!BC2584*SUMIF(ThresholdAge23,"&lt;"&amp;'19_Расчет_аналитики'!BC2584,WeightedRevAge23)-SUMIF(ThresholdAge23,"&lt;"&amp;'19_Расчет_аналитики'!BC2584,WeightedMinAge23),MAX(CapacityAge23*'01_Вводные'!$B$218*'19_Расчет_аналитики'!BC2584,MeanMinAge23)))</f>
        <v/>
      </c>
      <c r="BD2538">
        <f>IF(OR(('19_Расчет_аналитики'!BD2454-'19_Расчет_аналитики'!BD2482)=0,23&lt;='01_Вводные'!$B$297),0,('19_Расчет_аналитики'!BD2454-'19_Расчет_аналитики'!BD2482)*IF('01_Вводные'!$B$239="Да",MeanMinAge23+'19_Расчет_аналитики'!BD2584*SUMIF(ThresholdAge23,"&lt;"&amp;'19_Расчет_аналитики'!BD2584,WeightedRevAge23)-SUMIF(ThresholdAge23,"&lt;"&amp;'19_Расчет_аналитики'!BD2584,WeightedMinAge23),MAX(CapacityAge23*'01_Вводные'!$B$218*'19_Расчет_аналитики'!BD2584,MeanMinAge23)))</f>
        <v/>
      </c>
      <c r="BE2538">
        <f>IF(OR(('19_Расчет_аналитики'!BE2454-'19_Расчет_аналитики'!BE2482)=0,23&lt;='01_Вводные'!$B$297),0,('19_Расчет_аналитики'!BE2454-'19_Расчет_аналитики'!BE2482)*IF('01_Вводные'!$B$239="Да",MeanMinAge23+'19_Расчет_аналитики'!BE2584*SUMIF(ThresholdAge23,"&lt;"&amp;'19_Расчет_аналитики'!BE2584,WeightedRevAge23)-SUMIF(ThresholdAge23,"&lt;"&amp;'19_Расчет_аналитики'!BE2584,WeightedMinAge23),MAX(CapacityAge23*'01_Вводные'!$B$218*'19_Расчет_аналитики'!BE2584,MeanMinAge23)))</f>
        <v/>
      </c>
      <c r="BF2538">
        <f>IF(OR(('19_Расчет_аналитики'!BF2454-'19_Расчет_аналитики'!BF2482)=0,23&lt;='01_Вводные'!$B$297),0,('19_Расчет_аналитики'!BF2454-'19_Расчет_аналитики'!BF2482)*IF('01_Вводные'!$B$239="Да",MeanMinAge23+'19_Расчет_аналитики'!BF2584*SUMIF(ThresholdAge23,"&lt;"&amp;'19_Расчет_аналитики'!BF2584,WeightedRevAge23)-SUMIF(ThresholdAge23,"&lt;"&amp;'19_Расчет_аналитики'!BF2584,WeightedMinAge23),MAX(CapacityAge23*'01_Вводные'!$B$218*'19_Расчет_аналитики'!BF2584,MeanMinAge23)))</f>
        <v/>
      </c>
      <c r="BG2538">
        <f>IF(OR(('19_Расчет_аналитики'!BG2454-'19_Расчет_аналитики'!BG2482)=0,23&lt;='01_Вводные'!$B$297),0,('19_Расчет_аналитики'!BG2454-'19_Расчет_аналитики'!BG2482)*IF('01_Вводные'!$B$239="Да",MeanMinAge23+'19_Расчет_аналитики'!BG2584*SUMIF(ThresholdAge23,"&lt;"&amp;'19_Расчет_аналитики'!BG2584,WeightedRevAge23)-SUMIF(ThresholdAge23,"&lt;"&amp;'19_Расчет_аналитики'!BG2584,WeightedMinAge23),MAX(CapacityAge23*'01_Вводные'!$B$218*'19_Расчет_аналитики'!BG2584,MeanMinAge23)))</f>
        <v/>
      </c>
      <c r="BH2538">
        <f>IF(OR(('19_Расчет_аналитики'!BH2454-'19_Расчет_аналитики'!BH2482)=0,23&lt;='01_Вводные'!$B$297),0,('19_Расчет_аналитики'!BH2454-'19_Расчет_аналитики'!BH2482)*IF('01_Вводные'!$B$239="Да",MeanMinAge23+'19_Расчет_аналитики'!BH2584*SUMIF(ThresholdAge23,"&lt;"&amp;'19_Расчет_аналитики'!BH2584,WeightedRevAge23)-SUMIF(ThresholdAge23,"&lt;"&amp;'19_Расчет_аналитики'!BH2584,WeightedMinAge23),MAX(CapacityAge23*'01_Вводные'!$B$218*'19_Расчет_аналитики'!BH2584,MeanMinAge23)))</f>
        <v/>
      </c>
      <c r="BI2538">
        <f>IF(OR(('19_Расчет_аналитики'!BI2454-'19_Расчет_аналитики'!BI2482)=0,23&lt;='01_Вводные'!$B$297),0,('19_Расчет_аналитики'!BI2454-'19_Расчет_аналитики'!BI2482)*IF('01_Вводные'!$B$239="Да",MeanMinAge23+'19_Расчет_аналитики'!BI2584*SUMIF(ThresholdAge23,"&lt;"&amp;'19_Расчет_аналитики'!BI2584,WeightedRevAge23)-SUMIF(ThresholdAge23,"&lt;"&amp;'19_Расчет_аналитики'!BI2584,WeightedMinAge23),MAX(CapacityAge23*'01_Вводные'!$B$218*'19_Расчет_аналитики'!BI2584,MeanMinAge23)))</f>
        <v/>
      </c>
      <c r="BJ2538">
        <f>IF(OR(('19_Расчет_аналитики'!BJ2454-'19_Расчет_аналитики'!BJ2482)=0,23&lt;='01_Вводные'!$B$297),0,('19_Расчет_аналитики'!BJ2454-'19_Расчет_аналитики'!BJ2482)*IF('01_Вводные'!$B$239="Да",MeanMinAge23+'19_Расчет_аналитики'!BJ2584*SUMIF(ThresholdAge23,"&lt;"&amp;'19_Расчет_аналитики'!BJ2584,WeightedRevAge23)-SUMIF(ThresholdAge23,"&lt;"&amp;'19_Расчет_аналитики'!BJ2584,WeightedMinAge23),MAX(CapacityAge23*'01_Вводные'!$B$218*'19_Расчет_аналитики'!BJ2584,MeanMinAge23)))</f>
        <v/>
      </c>
      <c r="BK2538">
        <f>IF(OR(('19_Расчет_аналитики'!BK2454-'19_Расчет_аналитики'!BK2482)=0,23&lt;='01_Вводные'!$B$297),0,('19_Расчет_аналитики'!BK2454-'19_Расчет_аналитики'!BK2482)*IF('01_Вводные'!$B$239="Да",MeanMinAge23+'19_Расчет_аналитики'!BK2584*SUMIF(ThresholdAge23,"&lt;"&amp;'19_Расчет_аналитики'!BK2584,WeightedRevAge23)-SUMIF(ThresholdAge23,"&lt;"&amp;'19_Расчет_аналитики'!BK2584,WeightedMinAge23),MAX(CapacityAge23*'01_Вводные'!$B$218*'19_Расчет_аналитики'!BK2584,MeanMinAge23)))</f>
        <v/>
      </c>
      <c r="BL2538">
        <f>IF(OR(('19_Расчет_аналитики'!BL2454-'19_Расчет_аналитики'!BL2482)=0,23&lt;='01_Вводные'!$B$297),0,('19_Расчет_аналитики'!BL2454-'19_Расчет_аналитики'!BL2482)*IF('01_Вводные'!$B$239="Да",MeanMinAge23+'19_Расчет_аналитики'!BL2584*SUMIF(ThresholdAge23,"&lt;"&amp;'19_Расчет_аналитики'!BL2584,WeightedRevAge23)-SUMIF(ThresholdAge23,"&lt;"&amp;'19_Расчет_аналитики'!BL2584,WeightedMinAge23),MAX(CapacityAge23*'01_Вводные'!$B$218*'19_Расчет_аналитики'!BL2584,MeanMinAge23)))</f>
        <v/>
      </c>
      <c r="BM2538">
        <f>IF(OR(('19_Расчет_аналитики'!BM2454-'19_Расчет_аналитики'!BM2482)=0,23&lt;='01_Вводные'!$B$297),0,('19_Расчет_аналитики'!BM2454-'19_Расчет_аналитики'!BM2482)*IF('01_Вводные'!$B$239="Да",MeanMinAge23+'19_Расчет_аналитики'!BM2584*SUMIF(ThresholdAge23,"&lt;"&amp;'19_Расчет_аналитики'!BM2584,WeightedRevAge23)-SUMIF(ThresholdAge23,"&lt;"&amp;'19_Расчет_аналитики'!BM2584,WeightedMinAge23),MAX(CapacityAge23*'01_Вводные'!$B$218*'19_Расчет_аналитики'!BM2584,MeanMinAge23)))</f>
        <v/>
      </c>
      <c r="BN2538">
        <f>IF(OR(('19_Расчет_аналитики'!BN2454-'19_Расчет_аналитики'!BN2482)=0,23&lt;='01_Вводные'!$B$297),0,('19_Расчет_аналитики'!BN2454-'19_Расчет_аналитики'!BN2482)*IF('01_Вводные'!$B$239="Да",MeanMinAge23+'19_Расчет_аналитики'!BN2584*SUMIF(ThresholdAge23,"&lt;"&amp;'19_Расчет_аналитики'!BN2584,WeightedRevAge23)-SUMIF(ThresholdAge23,"&lt;"&amp;'19_Расчет_аналитики'!BN2584,WeightedMinAge23),MAX(CapacityAge23*'01_Вводные'!$B$218*'19_Расчет_аналитики'!BN2584,MeanMinAge23)))</f>
        <v/>
      </c>
      <c r="BO2538">
        <f>IF(OR(('19_Расчет_аналитики'!BO2454-'19_Расчет_аналитики'!BO2482)=0,23&lt;='01_Вводные'!$B$297),0,('19_Расчет_аналитики'!BO2454-'19_Расчет_аналитики'!BO2482)*IF('01_Вводные'!$B$239="Да",MeanMinAge23+'19_Расчет_аналитики'!BO2584*SUMIF(ThresholdAge23,"&lt;"&amp;'19_Расчет_аналитики'!BO2584,WeightedRevAge23)-SUMIF(ThresholdAge23,"&lt;"&amp;'19_Расчет_аналитики'!BO2584,WeightedMinAge23),MAX(CapacityAge23*'01_Вводные'!$B$218*'19_Расчет_аналитики'!BO2584,MeanMinAge23)))</f>
        <v/>
      </c>
    </row>
    <row r="2539">
      <c r="B2539">
        <f>IF(OR(('06_Сеть_и_дети'!B76-'06_Сеть_и_дети'!B104)=0,24&lt;='01_Вводные'!$B$297),0,('06_Сеть_и_дети'!B76-'06_Сеть_и_дети'!B104)*IF('01_Вводные'!$B$239="Да",MeanMinAge24+'19_Расчет_аналитики'!B2584*SUMIF(ThresholdAge24,"&lt;"&amp;'19_Расчет_аналитики'!B2584,WeightedRevAge24)-SUMIF(ThresholdAge24,"&lt;"&amp;'19_Расчет_аналитики'!B2584,WeightedMinAge24),MAX(CapacityAge24*'01_Вводные'!$B$218*'19_Расчет_аналитики'!B2584,MeanMinAge24)))</f>
        <v/>
      </c>
      <c r="C2539">
        <f>IF(OR(('06_Сеть_и_дети'!C76-'06_Сеть_и_дети'!C104)=0,24&lt;='01_Вводные'!$B$297),0,('06_Сеть_и_дети'!C76-'06_Сеть_и_дети'!C104)*IF('01_Вводные'!$B$239="Да",MeanMinAge24+'19_Расчет_аналитики'!C2584*SUMIF(ThresholdAge24,"&lt;"&amp;'19_Расчет_аналитики'!C2584,WeightedRevAge24)-SUMIF(ThresholdAge24,"&lt;"&amp;'19_Расчет_аналитики'!C2584,WeightedMinAge24),MAX(CapacityAge24*'01_Вводные'!$B$218*'19_Расчет_аналитики'!C2584,MeanMinAge24)))</f>
        <v/>
      </c>
      <c r="D2539">
        <f>IF(OR(('06_Сеть_и_дети'!D76-'06_Сеть_и_дети'!D104)=0,24&lt;='01_Вводные'!$B$297),0,('06_Сеть_и_дети'!D76-'06_Сеть_и_дети'!D104)*IF('01_Вводные'!$B$239="Да",MeanMinAge24+'19_Расчет_аналитики'!D2584*SUMIF(ThresholdAge24,"&lt;"&amp;'19_Расчет_аналитики'!D2584,WeightedRevAge24)-SUMIF(ThresholdAge24,"&lt;"&amp;'19_Расчет_аналитики'!D2584,WeightedMinAge24),MAX(CapacityAge24*'01_Вводные'!$B$218*'19_Расчет_аналитики'!D2584,MeanMinAge24)))</f>
        <v/>
      </c>
      <c r="E2539">
        <f>IF(OR(('06_Сеть_и_дети'!E76-'06_Сеть_и_дети'!E104)=0,24&lt;='01_Вводные'!$B$297),0,('06_Сеть_и_дети'!E76-'06_Сеть_и_дети'!E104)*IF('01_Вводные'!$B$239="Да",MeanMinAge24+'19_Расчет_аналитики'!E2584*SUMIF(ThresholdAge24,"&lt;"&amp;'19_Расчет_аналитики'!E2584,WeightedRevAge24)-SUMIF(ThresholdAge24,"&lt;"&amp;'19_Расчет_аналитики'!E2584,WeightedMinAge24),MAX(CapacityAge24*'01_Вводные'!$B$218*'19_Расчет_аналитики'!E2584,MeanMinAge24)))</f>
        <v/>
      </c>
      <c r="F2539">
        <f>IF(OR(('06_Сеть_и_дети'!F76-'06_Сеть_и_дети'!F104)=0,24&lt;='01_Вводные'!$B$297),0,('06_Сеть_и_дети'!F76-'06_Сеть_и_дети'!F104)*IF('01_Вводные'!$B$239="Да",MeanMinAge24+'19_Расчет_аналитики'!F2584*SUMIF(ThresholdAge24,"&lt;"&amp;'19_Расчет_аналитики'!F2584,WeightedRevAge24)-SUMIF(ThresholdAge24,"&lt;"&amp;'19_Расчет_аналитики'!F2584,WeightedMinAge24),MAX(CapacityAge24*'01_Вводные'!$B$218*'19_Расчет_аналитики'!F2584,MeanMinAge24)))</f>
        <v/>
      </c>
      <c r="G2539">
        <f>IF(OR(('06_Сеть_и_дети'!G76-'06_Сеть_и_дети'!G104)=0,24&lt;='01_Вводные'!$B$297),0,('06_Сеть_и_дети'!G76-'06_Сеть_и_дети'!G104)*IF('01_Вводные'!$B$239="Да",MeanMinAge24+'19_Расчет_аналитики'!G2584*SUMIF(ThresholdAge24,"&lt;"&amp;'19_Расчет_аналитики'!G2584,WeightedRevAge24)-SUMIF(ThresholdAge24,"&lt;"&amp;'19_Расчет_аналитики'!G2584,WeightedMinAge24),MAX(CapacityAge24*'01_Вводные'!$B$218*'19_Расчет_аналитики'!G2584,MeanMinAge24)))</f>
        <v/>
      </c>
      <c r="H2539">
        <f>IF(OR(('06_Сеть_и_дети'!H76-'06_Сеть_и_дети'!H104)=0,24&lt;='01_Вводные'!$B$297),0,('06_Сеть_и_дети'!H76-'06_Сеть_и_дети'!H104)*IF('01_Вводные'!$B$239="Да",MeanMinAge24+'19_Расчет_аналитики'!H2584*SUMIF(ThresholdAge24,"&lt;"&amp;'19_Расчет_аналитики'!H2584,WeightedRevAge24)-SUMIF(ThresholdAge24,"&lt;"&amp;'19_Расчет_аналитики'!H2584,WeightedMinAge24),MAX(CapacityAge24*'01_Вводные'!$B$218*'19_Расчет_аналитики'!H2584,MeanMinAge24)))</f>
        <v/>
      </c>
      <c r="I2539">
        <f>IF(OR(('06_Сеть_и_дети'!I76-'06_Сеть_и_дети'!I104)=0,24&lt;='01_Вводные'!$B$297),0,('06_Сеть_и_дети'!I76-'06_Сеть_и_дети'!I104)*IF('01_Вводные'!$B$239="Да",MeanMinAge24+'19_Расчет_аналитики'!I2584*SUMIF(ThresholdAge24,"&lt;"&amp;'19_Расчет_аналитики'!I2584,WeightedRevAge24)-SUMIF(ThresholdAge24,"&lt;"&amp;'19_Расчет_аналитики'!I2584,WeightedMinAge24),MAX(CapacityAge24*'01_Вводные'!$B$218*'19_Расчет_аналитики'!I2584,MeanMinAge24)))</f>
        <v/>
      </c>
      <c r="J2539">
        <f>IF(OR(('06_Сеть_и_дети'!J76-'06_Сеть_и_дети'!J104)=0,24&lt;='01_Вводные'!$B$297),0,('06_Сеть_и_дети'!J76-'06_Сеть_и_дети'!J104)*IF('01_Вводные'!$B$239="Да",MeanMinAge24+'19_Расчет_аналитики'!J2584*SUMIF(ThresholdAge24,"&lt;"&amp;'19_Расчет_аналитики'!J2584,WeightedRevAge24)-SUMIF(ThresholdAge24,"&lt;"&amp;'19_Расчет_аналитики'!J2584,WeightedMinAge24),MAX(CapacityAge24*'01_Вводные'!$B$218*'19_Расчет_аналитики'!J2584,MeanMinAge24)))</f>
        <v/>
      </c>
      <c r="K2539">
        <f>IF(OR(('06_Сеть_и_дети'!K76-'06_Сеть_и_дети'!K104)=0,24&lt;='01_Вводные'!$B$297),0,('06_Сеть_и_дети'!K76-'06_Сеть_и_дети'!K104)*IF('01_Вводные'!$B$239="Да",MeanMinAge24+'19_Расчет_аналитики'!K2584*SUMIF(ThresholdAge24,"&lt;"&amp;'19_Расчет_аналитики'!K2584,WeightedRevAge24)-SUMIF(ThresholdAge24,"&lt;"&amp;'19_Расчет_аналитики'!K2584,WeightedMinAge24),MAX(CapacityAge24*'01_Вводные'!$B$218*'19_Расчет_аналитики'!K2584,MeanMinAge24)))</f>
        <v/>
      </c>
      <c r="L2539">
        <f>IF(OR(('06_Сеть_и_дети'!L76-'06_Сеть_и_дети'!L104)=0,24&lt;='01_Вводные'!$B$297),0,('06_Сеть_и_дети'!L76-'06_Сеть_и_дети'!L104)*IF('01_Вводные'!$B$239="Да",MeanMinAge24+'19_Расчет_аналитики'!L2584*SUMIF(ThresholdAge24,"&lt;"&amp;'19_Расчет_аналитики'!L2584,WeightedRevAge24)-SUMIF(ThresholdAge24,"&lt;"&amp;'19_Расчет_аналитики'!L2584,WeightedMinAge24),MAX(CapacityAge24*'01_Вводные'!$B$218*'19_Расчет_аналитики'!L2584,MeanMinAge24)))</f>
        <v/>
      </c>
      <c r="M2539">
        <f>IF(OR(('06_Сеть_и_дети'!M76-'06_Сеть_и_дети'!M104)=0,24&lt;='01_Вводные'!$B$297),0,('06_Сеть_и_дети'!M76-'06_Сеть_и_дети'!M104)*IF('01_Вводные'!$B$239="Да",MeanMinAge24+'19_Расчет_аналитики'!M2584*SUMIF(ThresholdAge24,"&lt;"&amp;'19_Расчет_аналитики'!M2584,WeightedRevAge24)-SUMIF(ThresholdAge24,"&lt;"&amp;'19_Расчет_аналитики'!M2584,WeightedMinAge24),MAX(CapacityAge24*'01_Вводные'!$B$218*'19_Расчет_аналитики'!M2584,MeanMinAge24)))</f>
        <v/>
      </c>
      <c r="N2539">
        <f>IF(OR(('06_Сеть_и_дети'!N76-'06_Сеть_и_дети'!N104)=0,24&lt;='01_Вводные'!$B$297),0,('06_Сеть_и_дети'!N76-'06_Сеть_и_дети'!N104)*IF('01_Вводные'!$B$239="Да",MeanMinAge24+'19_Расчет_аналитики'!N2584*SUMIF(ThresholdAge24,"&lt;"&amp;'19_Расчет_аналитики'!N2584,WeightedRevAge24)-SUMIF(ThresholdAge24,"&lt;"&amp;'19_Расчет_аналитики'!N2584,WeightedMinAge24),MAX(CapacityAge24*'01_Вводные'!$B$218*'19_Расчет_аналитики'!N2584,MeanMinAge24)))</f>
        <v/>
      </c>
      <c r="O2539">
        <f>IF(OR(('06_Сеть_и_дети'!O76-'06_Сеть_и_дети'!O104)=0,24&lt;='01_Вводные'!$B$297),0,('06_Сеть_и_дети'!O76-'06_Сеть_и_дети'!O104)*IF('01_Вводные'!$B$239="Да",MeanMinAge24+'19_Расчет_аналитики'!O2584*SUMIF(ThresholdAge24,"&lt;"&amp;'19_Расчет_аналитики'!O2584,WeightedRevAge24)-SUMIF(ThresholdAge24,"&lt;"&amp;'19_Расчет_аналитики'!O2584,WeightedMinAge24),MAX(CapacityAge24*'01_Вводные'!$B$218*'19_Расчет_аналитики'!O2584,MeanMinAge24)))</f>
        <v/>
      </c>
      <c r="P2539">
        <f>IF(OR(('06_Сеть_и_дети'!P76-'06_Сеть_и_дети'!P104)=0,24&lt;='01_Вводные'!$B$297),0,('06_Сеть_и_дети'!P76-'06_Сеть_и_дети'!P104)*IF('01_Вводные'!$B$239="Да",MeanMinAge24+'19_Расчет_аналитики'!P2584*SUMIF(ThresholdAge24,"&lt;"&amp;'19_Расчет_аналитики'!P2584,WeightedRevAge24)-SUMIF(ThresholdAge24,"&lt;"&amp;'19_Расчет_аналитики'!P2584,WeightedMinAge24),MAX(CapacityAge24*'01_Вводные'!$B$218*'19_Расчет_аналитики'!P2584,MeanMinAge24)))</f>
        <v/>
      </c>
      <c r="Q2539">
        <f>IF(OR(('06_Сеть_и_дети'!Q76-'06_Сеть_и_дети'!Q104)=0,24&lt;='01_Вводные'!$B$297),0,('06_Сеть_и_дети'!Q76-'06_Сеть_и_дети'!Q104)*IF('01_Вводные'!$B$239="Да",MeanMinAge24+'19_Расчет_аналитики'!Q2584*SUMIF(ThresholdAge24,"&lt;"&amp;'19_Расчет_аналитики'!Q2584,WeightedRevAge24)-SUMIF(ThresholdAge24,"&lt;"&amp;'19_Расчет_аналитики'!Q2584,WeightedMinAge24),MAX(CapacityAge24*'01_Вводные'!$B$218*'19_Расчет_аналитики'!Q2584,MeanMinAge24)))</f>
        <v/>
      </c>
      <c r="R2539">
        <f>IF(OR(('06_Сеть_и_дети'!R76-'06_Сеть_и_дети'!R104)=0,24&lt;='01_Вводные'!$B$297),0,('06_Сеть_и_дети'!R76-'06_Сеть_и_дети'!R104)*IF('01_Вводные'!$B$239="Да",MeanMinAge24+'19_Расчет_аналитики'!R2584*SUMIF(ThresholdAge24,"&lt;"&amp;'19_Расчет_аналитики'!R2584,WeightedRevAge24)-SUMIF(ThresholdAge24,"&lt;"&amp;'19_Расчет_аналитики'!R2584,WeightedMinAge24),MAX(CapacityAge24*'01_Вводные'!$B$218*'19_Расчет_аналитики'!R2584,MeanMinAge24)))</f>
        <v/>
      </c>
      <c r="S2539">
        <f>IF(OR(('06_Сеть_и_дети'!S76-'06_Сеть_и_дети'!S104)=0,24&lt;='01_Вводные'!$B$297),0,('06_Сеть_и_дети'!S76-'06_Сеть_и_дети'!S104)*IF('01_Вводные'!$B$239="Да",MeanMinAge24+'19_Расчет_аналитики'!S2584*SUMIF(ThresholdAge24,"&lt;"&amp;'19_Расчет_аналитики'!S2584,WeightedRevAge24)-SUMIF(ThresholdAge24,"&lt;"&amp;'19_Расчет_аналитики'!S2584,WeightedMinAge24),MAX(CapacityAge24*'01_Вводные'!$B$218*'19_Расчет_аналитики'!S2584,MeanMinAge24)))</f>
        <v/>
      </c>
      <c r="T2539">
        <f>IF(OR(('06_Сеть_и_дети'!T76-'06_Сеть_и_дети'!T104)=0,24&lt;='01_Вводные'!$B$297),0,('06_Сеть_и_дети'!T76-'06_Сеть_и_дети'!T104)*IF('01_Вводные'!$B$239="Да",MeanMinAge24+'19_Расчет_аналитики'!T2584*SUMIF(ThresholdAge24,"&lt;"&amp;'19_Расчет_аналитики'!T2584,WeightedRevAge24)-SUMIF(ThresholdAge24,"&lt;"&amp;'19_Расчет_аналитики'!T2584,WeightedMinAge24),MAX(CapacityAge24*'01_Вводные'!$B$218*'19_Расчет_аналитики'!T2584,MeanMinAge24)))</f>
        <v/>
      </c>
      <c r="U2539">
        <f>IF(OR(('06_Сеть_и_дети'!U76-'06_Сеть_и_дети'!U104)=0,24&lt;='01_Вводные'!$B$297),0,('06_Сеть_и_дети'!U76-'06_Сеть_и_дети'!U104)*IF('01_Вводные'!$B$239="Да",MeanMinAge24+'19_Расчет_аналитики'!U2584*SUMIF(ThresholdAge24,"&lt;"&amp;'19_Расчет_аналитики'!U2584,WeightedRevAge24)-SUMIF(ThresholdAge24,"&lt;"&amp;'19_Расчет_аналитики'!U2584,WeightedMinAge24),MAX(CapacityAge24*'01_Вводные'!$B$218*'19_Расчет_аналитики'!U2584,MeanMinAge24)))</f>
        <v/>
      </c>
      <c r="V2539">
        <f>IF(OR(('06_Сеть_и_дети'!V76-'06_Сеть_и_дети'!V104)=0,24&lt;='01_Вводные'!$B$297),0,('06_Сеть_и_дети'!V76-'06_Сеть_и_дети'!V104)*IF('01_Вводные'!$B$239="Да",MeanMinAge24+'19_Расчет_аналитики'!V2584*SUMIF(ThresholdAge24,"&lt;"&amp;'19_Расчет_аналитики'!V2584,WeightedRevAge24)-SUMIF(ThresholdAge24,"&lt;"&amp;'19_Расчет_аналитики'!V2584,WeightedMinAge24),MAX(CapacityAge24*'01_Вводные'!$B$218*'19_Расчет_аналитики'!V2584,MeanMinAge24)))</f>
        <v/>
      </c>
      <c r="W2539">
        <f>IF(OR(('06_Сеть_и_дети'!W76-'06_Сеть_и_дети'!W104)=0,24&lt;='01_Вводные'!$B$297),0,('06_Сеть_и_дети'!W76-'06_Сеть_и_дети'!W104)*IF('01_Вводные'!$B$239="Да",MeanMinAge24+'19_Расчет_аналитики'!W2584*SUMIF(ThresholdAge24,"&lt;"&amp;'19_Расчет_аналитики'!W2584,WeightedRevAge24)-SUMIF(ThresholdAge24,"&lt;"&amp;'19_Расчет_аналитики'!W2584,WeightedMinAge24),MAX(CapacityAge24*'01_Вводные'!$B$218*'19_Расчет_аналитики'!W2584,MeanMinAge24)))</f>
        <v/>
      </c>
      <c r="X2539">
        <f>IF(OR(('06_Сеть_и_дети'!X76-'06_Сеть_и_дети'!X104)=0,24&lt;='01_Вводные'!$B$297),0,('06_Сеть_и_дети'!X76-'06_Сеть_и_дети'!X104)*IF('01_Вводные'!$B$239="Да",MeanMinAge24+'19_Расчет_аналитики'!X2584*SUMIF(ThresholdAge24,"&lt;"&amp;'19_Расчет_аналитики'!X2584,WeightedRevAge24)-SUMIF(ThresholdAge24,"&lt;"&amp;'19_Расчет_аналитики'!X2584,WeightedMinAge24),MAX(CapacityAge24*'01_Вводные'!$B$218*'19_Расчет_аналитики'!X2584,MeanMinAge24)))</f>
        <v/>
      </c>
      <c r="Y2539">
        <f>IF(OR(('19_Расчет_аналитики'!Y2455-'19_Расчет_аналитики'!Y2483)=0,24&lt;='01_Вводные'!$B$297),0,('19_Расчет_аналитики'!Y2455-'19_Расчет_аналитики'!Y2483)*IF('01_Вводные'!$B$239="Да",MeanMinAge24+'19_Расчет_аналитики'!Y2584*SUMIF(ThresholdAge24,"&lt;"&amp;'19_Расчет_аналитики'!Y2584,WeightedRevAge24)-SUMIF(ThresholdAge24,"&lt;"&amp;'19_Расчет_аналитики'!Y2584,WeightedMinAge24),MAX(CapacityAge24*'01_Вводные'!$B$218*'19_Расчет_аналитики'!Y2584,MeanMinAge24)))</f>
        <v/>
      </c>
      <c r="Z2539">
        <f>IF(OR(('19_Расчет_аналитики'!Z2455-'19_Расчет_аналитики'!Z2483)=0,24&lt;='01_Вводные'!$B$297),0,('19_Расчет_аналитики'!Z2455-'19_Расчет_аналитики'!Z2483)*IF('01_Вводные'!$B$239="Да",MeanMinAge24+'19_Расчет_аналитики'!Z2584*SUMIF(ThresholdAge24,"&lt;"&amp;'19_Расчет_аналитики'!Z2584,WeightedRevAge24)-SUMIF(ThresholdAge24,"&lt;"&amp;'19_Расчет_аналитики'!Z2584,WeightedMinAge24),MAX(CapacityAge24*'01_Вводные'!$B$218*'19_Расчет_аналитики'!Z2584,MeanMinAge24)))</f>
        <v/>
      </c>
      <c r="AA2539">
        <f>IF(OR(('19_Расчет_аналитики'!AA2455-'19_Расчет_аналитики'!AA2483)=0,24&lt;='01_Вводные'!$B$297),0,('19_Расчет_аналитики'!AA2455-'19_Расчет_аналитики'!AA2483)*IF('01_Вводные'!$B$239="Да",MeanMinAge24+'19_Расчет_аналитики'!AA2584*SUMIF(ThresholdAge24,"&lt;"&amp;'19_Расчет_аналитики'!AA2584,WeightedRevAge24)-SUMIF(ThresholdAge24,"&lt;"&amp;'19_Расчет_аналитики'!AA2584,WeightedMinAge24),MAX(CapacityAge24*'01_Вводные'!$B$218*'19_Расчет_аналитики'!AA2584,MeanMinAge24)))</f>
        <v/>
      </c>
      <c r="AB2539">
        <f>IF(OR(('19_Расчет_аналитики'!AB2455-'19_Расчет_аналитики'!AB2483)=0,24&lt;='01_Вводные'!$B$297),0,('19_Расчет_аналитики'!AB2455-'19_Расчет_аналитики'!AB2483)*IF('01_Вводные'!$B$239="Да",MeanMinAge24+'19_Расчет_аналитики'!AB2584*SUMIF(ThresholdAge24,"&lt;"&amp;'19_Расчет_аналитики'!AB2584,WeightedRevAge24)-SUMIF(ThresholdAge24,"&lt;"&amp;'19_Расчет_аналитики'!AB2584,WeightedMinAge24),MAX(CapacityAge24*'01_Вводные'!$B$218*'19_Расчет_аналитики'!AB2584,MeanMinAge24)))</f>
        <v/>
      </c>
      <c r="AC2539">
        <f>IF(OR(('19_Расчет_аналитики'!AC2455-'19_Расчет_аналитики'!AC2483)=0,24&lt;='01_Вводные'!$B$297),0,('19_Расчет_аналитики'!AC2455-'19_Расчет_аналитики'!AC2483)*IF('01_Вводные'!$B$239="Да",MeanMinAge24+'19_Расчет_аналитики'!AC2584*SUMIF(ThresholdAge24,"&lt;"&amp;'19_Расчет_аналитики'!AC2584,WeightedRevAge24)-SUMIF(ThresholdAge24,"&lt;"&amp;'19_Расчет_аналитики'!AC2584,WeightedMinAge24),MAX(CapacityAge24*'01_Вводные'!$B$218*'19_Расчет_аналитики'!AC2584,MeanMinAge24)))</f>
        <v/>
      </c>
      <c r="AD2539">
        <f>IF(OR(('19_Расчет_аналитики'!AD2455-'19_Расчет_аналитики'!AD2483)=0,24&lt;='01_Вводные'!$B$297),0,('19_Расчет_аналитики'!AD2455-'19_Расчет_аналитики'!AD2483)*IF('01_Вводные'!$B$239="Да",MeanMinAge24+'19_Расчет_аналитики'!AD2584*SUMIF(ThresholdAge24,"&lt;"&amp;'19_Расчет_аналитики'!AD2584,WeightedRevAge24)-SUMIF(ThresholdAge24,"&lt;"&amp;'19_Расчет_аналитики'!AD2584,WeightedMinAge24),MAX(CapacityAge24*'01_Вводные'!$B$218*'19_Расчет_аналитики'!AD2584,MeanMinAge24)))</f>
        <v/>
      </c>
      <c r="AE2539">
        <f>IF(OR(('19_Расчет_аналитики'!AE2455-'19_Расчет_аналитики'!AE2483)=0,24&lt;='01_Вводные'!$B$297),0,('19_Расчет_аналитики'!AE2455-'19_Расчет_аналитики'!AE2483)*IF('01_Вводные'!$B$239="Да",MeanMinAge24+'19_Расчет_аналитики'!AE2584*SUMIF(ThresholdAge24,"&lt;"&amp;'19_Расчет_аналитики'!AE2584,WeightedRevAge24)-SUMIF(ThresholdAge24,"&lt;"&amp;'19_Расчет_аналитики'!AE2584,WeightedMinAge24),MAX(CapacityAge24*'01_Вводные'!$B$218*'19_Расчет_аналитики'!AE2584,MeanMinAge24)))</f>
        <v/>
      </c>
      <c r="AF2539">
        <f>IF(OR(('19_Расчет_аналитики'!AF2455-'19_Расчет_аналитики'!AF2483)=0,24&lt;='01_Вводные'!$B$297),0,('19_Расчет_аналитики'!AF2455-'19_Расчет_аналитики'!AF2483)*IF('01_Вводные'!$B$239="Да",MeanMinAge24+'19_Расчет_аналитики'!AF2584*SUMIF(ThresholdAge24,"&lt;"&amp;'19_Расчет_аналитики'!AF2584,WeightedRevAge24)-SUMIF(ThresholdAge24,"&lt;"&amp;'19_Расчет_аналитики'!AF2584,WeightedMinAge24),MAX(CapacityAge24*'01_Вводные'!$B$218*'19_Расчет_аналитики'!AF2584,MeanMinAge24)))</f>
        <v/>
      </c>
      <c r="AG2539">
        <f>IF(OR(('19_Расчет_аналитики'!AG2455-'19_Расчет_аналитики'!AG2483)=0,24&lt;='01_Вводные'!$B$297),0,('19_Расчет_аналитики'!AG2455-'19_Расчет_аналитики'!AG2483)*IF('01_Вводные'!$B$239="Да",MeanMinAge24+'19_Расчет_аналитики'!AG2584*SUMIF(ThresholdAge24,"&lt;"&amp;'19_Расчет_аналитики'!AG2584,WeightedRevAge24)-SUMIF(ThresholdAge24,"&lt;"&amp;'19_Расчет_аналитики'!AG2584,WeightedMinAge24),MAX(CapacityAge24*'01_Вводные'!$B$218*'19_Расчет_аналитики'!AG2584,MeanMinAge24)))</f>
        <v/>
      </c>
      <c r="AH2539">
        <f>IF(OR(('19_Расчет_аналитики'!AH2455-'19_Расчет_аналитики'!AH2483)=0,24&lt;='01_Вводные'!$B$297),0,('19_Расчет_аналитики'!AH2455-'19_Расчет_аналитики'!AH2483)*IF('01_Вводные'!$B$239="Да",MeanMinAge24+'19_Расчет_аналитики'!AH2584*SUMIF(ThresholdAge24,"&lt;"&amp;'19_Расчет_аналитики'!AH2584,WeightedRevAge24)-SUMIF(ThresholdAge24,"&lt;"&amp;'19_Расчет_аналитики'!AH2584,WeightedMinAge24),MAX(CapacityAge24*'01_Вводные'!$B$218*'19_Расчет_аналитики'!AH2584,MeanMinAge24)))</f>
        <v/>
      </c>
      <c r="AI2539">
        <f>IF(OR(('19_Расчет_аналитики'!AI2455-'19_Расчет_аналитики'!AI2483)=0,24&lt;='01_Вводные'!$B$297),0,('19_Расчет_аналитики'!AI2455-'19_Расчет_аналитики'!AI2483)*IF('01_Вводные'!$B$239="Да",MeanMinAge24+'19_Расчет_аналитики'!AI2584*SUMIF(ThresholdAge24,"&lt;"&amp;'19_Расчет_аналитики'!AI2584,WeightedRevAge24)-SUMIF(ThresholdAge24,"&lt;"&amp;'19_Расчет_аналитики'!AI2584,WeightedMinAge24),MAX(CapacityAge24*'01_Вводные'!$B$218*'19_Расчет_аналитики'!AI2584,MeanMinAge24)))</f>
        <v/>
      </c>
      <c r="AJ2539">
        <f>IF(OR(('19_Расчет_аналитики'!AJ2455-'19_Расчет_аналитики'!AJ2483)=0,24&lt;='01_Вводные'!$B$297),0,('19_Расчет_аналитики'!AJ2455-'19_Расчет_аналитики'!AJ2483)*IF('01_Вводные'!$B$239="Да",MeanMinAge24+'19_Расчет_аналитики'!AJ2584*SUMIF(ThresholdAge24,"&lt;"&amp;'19_Расчет_аналитики'!AJ2584,WeightedRevAge24)-SUMIF(ThresholdAge24,"&lt;"&amp;'19_Расчет_аналитики'!AJ2584,WeightedMinAge24),MAX(CapacityAge24*'01_Вводные'!$B$218*'19_Расчет_аналитики'!AJ2584,MeanMinAge24)))</f>
        <v/>
      </c>
      <c r="AK2539">
        <f>IF(OR(('19_Расчет_аналитики'!AK2455-'19_Расчет_аналитики'!AK2483)=0,24&lt;='01_Вводные'!$B$297),0,('19_Расчет_аналитики'!AK2455-'19_Расчет_аналитики'!AK2483)*IF('01_Вводные'!$B$239="Да",MeanMinAge24+'19_Расчет_аналитики'!AK2584*SUMIF(ThresholdAge24,"&lt;"&amp;'19_Расчет_аналитики'!AK2584,WeightedRevAge24)-SUMIF(ThresholdAge24,"&lt;"&amp;'19_Расчет_аналитики'!AK2584,WeightedMinAge24),MAX(CapacityAge24*'01_Вводные'!$B$218*'19_Расчет_аналитики'!AK2584,MeanMinAge24)))</f>
        <v/>
      </c>
      <c r="AL2539">
        <f>IF(OR(('19_Расчет_аналитики'!AL2455-'19_Расчет_аналитики'!AL2483)=0,24&lt;='01_Вводные'!$B$297),0,('19_Расчет_аналитики'!AL2455-'19_Расчет_аналитики'!AL2483)*IF('01_Вводные'!$B$239="Да",MeanMinAge24+'19_Расчет_аналитики'!AL2584*SUMIF(ThresholdAge24,"&lt;"&amp;'19_Расчет_аналитики'!AL2584,WeightedRevAge24)-SUMIF(ThresholdAge24,"&lt;"&amp;'19_Расчет_аналитики'!AL2584,WeightedMinAge24),MAX(CapacityAge24*'01_Вводные'!$B$218*'19_Расчет_аналитики'!AL2584,MeanMinAge24)))</f>
        <v/>
      </c>
      <c r="AM2539">
        <f>IF(OR(('19_Расчет_аналитики'!AM2455-'19_Расчет_аналитики'!AM2483)=0,24&lt;='01_Вводные'!$B$297),0,('19_Расчет_аналитики'!AM2455-'19_Расчет_аналитики'!AM2483)*IF('01_Вводные'!$B$239="Да",MeanMinAge24+'19_Расчет_аналитики'!AM2584*SUMIF(ThresholdAge24,"&lt;"&amp;'19_Расчет_аналитики'!AM2584,WeightedRevAge24)-SUMIF(ThresholdAge24,"&lt;"&amp;'19_Расчет_аналитики'!AM2584,WeightedMinAge24),MAX(CapacityAge24*'01_Вводные'!$B$218*'19_Расчет_аналитики'!AM2584,MeanMinAge24)))</f>
        <v/>
      </c>
      <c r="AN2539">
        <f>IF(OR(('19_Расчет_аналитики'!AN2455-'19_Расчет_аналитики'!AN2483)=0,24&lt;='01_Вводные'!$B$297),0,('19_Расчет_аналитики'!AN2455-'19_Расчет_аналитики'!AN2483)*IF('01_Вводные'!$B$239="Да",MeanMinAge24+'19_Расчет_аналитики'!AN2584*SUMIF(ThresholdAge24,"&lt;"&amp;'19_Расчет_аналитики'!AN2584,WeightedRevAge24)-SUMIF(ThresholdAge24,"&lt;"&amp;'19_Расчет_аналитики'!AN2584,WeightedMinAge24),MAX(CapacityAge24*'01_Вводные'!$B$218*'19_Расчет_аналитики'!AN2584,MeanMinAge24)))</f>
        <v/>
      </c>
      <c r="AO2539">
        <f>IF(OR(('19_Расчет_аналитики'!AO2455-'19_Расчет_аналитики'!AO2483)=0,24&lt;='01_Вводные'!$B$297),0,('19_Расчет_аналитики'!AO2455-'19_Расчет_аналитики'!AO2483)*IF('01_Вводные'!$B$239="Да",MeanMinAge24+'19_Расчет_аналитики'!AO2584*SUMIF(ThresholdAge24,"&lt;"&amp;'19_Расчет_аналитики'!AO2584,WeightedRevAge24)-SUMIF(ThresholdAge24,"&lt;"&amp;'19_Расчет_аналитики'!AO2584,WeightedMinAge24),MAX(CapacityAge24*'01_Вводные'!$B$218*'19_Расчет_аналитики'!AO2584,MeanMinAge24)))</f>
        <v/>
      </c>
      <c r="AP2539">
        <f>IF(OR(('19_Расчет_аналитики'!AP2455-'19_Расчет_аналитики'!AP2483)=0,24&lt;='01_Вводные'!$B$297),0,('19_Расчет_аналитики'!AP2455-'19_Расчет_аналитики'!AP2483)*IF('01_Вводные'!$B$239="Да",MeanMinAge24+'19_Расчет_аналитики'!AP2584*SUMIF(ThresholdAge24,"&lt;"&amp;'19_Расчет_аналитики'!AP2584,WeightedRevAge24)-SUMIF(ThresholdAge24,"&lt;"&amp;'19_Расчет_аналитики'!AP2584,WeightedMinAge24),MAX(CapacityAge24*'01_Вводные'!$B$218*'19_Расчет_аналитики'!AP2584,MeanMinAge24)))</f>
        <v/>
      </c>
      <c r="AQ2539">
        <f>IF(OR(('19_Расчет_аналитики'!AQ2455-'19_Расчет_аналитики'!AQ2483)=0,24&lt;='01_Вводные'!$B$297),0,('19_Расчет_аналитики'!AQ2455-'19_Расчет_аналитики'!AQ2483)*IF('01_Вводные'!$B$239="Да",MeanMinAge24+'19_Расчет_аналитики'!AQ2584*SUMIF(ThresholdAge24,"&lt;"&amp;'19_Расчет_аналитики'!AQ2584,WeightedRevAge24)-SUMIF(ThresholdAge24,"&lt;"&amp;'19_Расчет_аналитики'!AQ2584,WeightedMinAge24),MAX(CapacityAge24*'01_Вводные'!$B$218*'19_Расчет_аналитики'!AQ2584,MeanMinAge24)))</f>
        <v/>
      </c>
      <c r="AR2539">
        <f>IF(OR(('19_Расчет_аналитики'!AR2455-'19_Расчет_аналитики'!AR2483)=0,24&lt;='01_Вводные'!$B$297),0,('19_Расчет_аналитики'!AR2455-'19_Расчет_аналитики'!AR2483)*IF('01_Вводные'!$B$239="Да",MeanMinAge24+'19_Расчет_аналитики'!AR2584*SUMIF(ThresholdAge24,"&lt;"&amp;'19_Расчет_аналитики'!AR2584,WeightedRevAge24)-SUMIF(ThresholdAge24,"&lt;"&amp;'19_Расчет_аналитики'!AR2584,WeightedMinAge24),MAX(CapacityAge24*'01_Вводные'!$B$218*'19_Расчет_аналитики'!AR2584,MeanMinAge24)))</f>
        <v/>
      </c>
      <c r="AS2539">
        <f>IF(OR(('19_Расчет_аналитики'!AS2455-'19_Расчет_аналитики'!AS2483)=0,24&lt;='01_Вводные'!$B$297),0,('19_Расчет_аналитики'!AS2455-'19_Расчет_аналитики'!AS2483)*IF('01_Вводные'!$B$239="Да",MeanMinAge24+'19_Расчет_аналитики'!AS2584*SUMIF(ThresholdAge24,"&lt;"&amp;'19_Расчет_аналитики'!AS2584,WeightedRevAge24)-SUMIF(ThresholdAge24,"&lt;"&amp;'19_Расчет_аналитики'!AS2584,WeightedMinAge24),MAX(CapacityAge24*'01_Вводные'!$B$218*'19_Расчет_аналитики'!AS2584,MeanMinAge24)))</f>
        <v/>
      </c>
      <c r="AT2539">
        <f>IF(OR(('19_Расчет_аналитики'!AT2455-'19_Расчет_аналитики'!AT2483)=0,24&lt;='01_Вводные'!$B$297),0,('19_Расчет_аналитики'!AT2455-'19_Расчет_аналитики'!AT2483)*IF('01_Вводные'!$B$239="Да",MeanMinAge24+'19_Расчет_аналитики'!AT2584*SUMIF(ThresholdAge24,"&lt;"&amp;'19_Расчет_аналитики'!AT2584,WeightedRevAge24)-SUMIF(ThresholdAge24,"&lt;"&amp;'19_Расчет_аналитики'!AT2584,WeightedMinAge24),MAX(CapacityAge24*'01_Вводные'!$B$218*'19_Расчет_аналитики'!AT2584,MeanMinAge24)))</f>
        <v/>
      </c>
      <c r="AU2539">
        <f>IF(OR(('19_Расчет_аналитики'!AU2455-'19_Расчет_аналитики'!AU2483)=0,24&lt;='01_Вводные'!$B$297),0,('19_Расчет_аналитики'!AU2455-'19_Расчет_аналитики'!AU2483)*IF('01_Вводные'!$B$239="Да",MeanMinAge24+'19_Расчет_аналитики'!AU2584*SUMIF(ThresholdAge24,"&lt;"&amp;'19_Расчет_аналитики'!AU2584,WeightedRevAge24)-SUMIF(ThresholdAge24,"&lt;"&amp;'19_Расчет_аналитики'!AU2584,WeightedMinAge24),MAX(CapacityAge24*'01_Вводные'!$B$218*'19_Расчет_аналитики'!AU2584,MeanMinAge24)))</f>
        <v/>
      </c>
      <c r="AV2539">
        <f>IF(OR(('19_Расчет_аналитики'!AV2455-'19_Расчет_аналитики'!AV2483)=0,24&lt;='01_Вводные'!$B$297),0,('19_Расчет_аналитики'!AV2455-'19_Расчет_аналитики'!AV2483)*IF('01_Вводные'!$B$239="Да",MeanMinAge24+'19_Расчет_аналитики'!AV2584*SUMIF(ThresholdAge24,"&lt;"&amp;'19_Расчет_аналитики'!AV2584,WeightedRevAge24)-SUMIF(ThresholdAge24,"&lt;"&amp;'19_Расчет_аналитики'!AV2584,WeightedMinAge24),MAX(CapacityAge24*'01_Вводные'!$B$218*'19_Расчет_аналитики'!AV2584,MeanMinAge24)))</f>
        <v/>
      </c>
      <c r="AW2539">
        <f>IF(OR(('19_Расчет_аналитики'!AW2455-'19_Расчет_аналитики'!AW2483)=0,24&lt;='01_Вводные'!$B$297),0,('19_Расчет_аналитики'!AW2455-'19_Расчет_аналитики'!AW2483)*IF('01_Вводные'!$B$239="Да",MeanMinAge24+'19_Расчет_аналитики'!AW2584*SUMIF(ThresholdAge24,"&lt;"&amp;'19_Расчет_аналитики'!AW2584,WeightedRevAge24)-SUMIF(ThresholdAge24,"&lt;"&amp;'19_Расчет_аналитики'!AW2584,WeightedMinAge24),MAX(CapacityAge24*'01_Вводные'!$B$218*'19_Расчет_аналитики'!AW2584,MeanMinAge24)))</f>
        <v/>
      </c>
      <c r="AX2539">
        <f>IF(OR(('19_Расчет_аналитики'!AX2455-'19_Расчет_аналитики'!AX2483)=0,24&lt;='01_Вводные'!$B$297),0,('19_Расчет_аналитики'!AX2455-'19_Расчет_аналитики'!AX2483)*IF('01_Вводные'!$B$239="Да",MeanMinAge24+'19_Расчет_аналитики'!AX2584*SUMIF(ThresholdAge24,"&lt;"&amp;'19_Расчет_аналитики'!AX2584,WeightedRevAge24)-SUMIF(ThresholdAge24,"&lt;"&amp;'19_Расчет_аналитики'!AX2584,WeightedMinAge24),MAX(CapacityAge24*'01_Вводные'!$B$218*'19_Расчет_аналитики'!AX2584,MeanMinAge24)))</f>
        <v/>
      </c>
      <c r="AY2539">
        <f>IF(OR(('19_Расчет_аналитики'!AY2455-'19_Расчет_аналитики'!AY2483)=0,24&lt;='01_Вводные'!$B$297),0,('19_Расчет_аналитики'!AY2455-'19_Расчет_аналитики'!AY2483)*IF('01_Вводные'!$B$239="Да",MeanMinAge24+'19_Расчет_аналитики'!AY2584*SUMIF(ThresholdAge24,"&lt;"&amp;'19_Расчет_аналитики'!AY2584,WeightedRevAge24)-SUMIF(ThresholdAge24,"&lt;"&amp;'19_Расчет_аналитики'!AY2584,WeightedMinAge24),MAX(CapacityAge24*'01_Вводные'!$B$218*'19_Расчет_аналитики'!AY2584,MeanMinAge24)))</f>
        <v/>
      </c>
      <c r="AZ2539">
        <f>IF(OR(('19_Расчет_аналитики'!AZ2455-'19_Расчет_аналитики'!AZ2483)=0,24&lt;='01_Вводные'!$B$297),0,('19_Расчет_аналитики'!AZ2455-'19_Расчет_аналитики'!AZ2483)*IF('01_Вводные'!$B$239="Да",MeanMinAge24+'19_Расчет_аналитики'!AZ2584*SUMIF(ThresholdAge24,"&lt;"&amp;'19_Расчет_аналитики'!AZ2584,WeightedRevAge24)-SUMIF(ThresholdAge24,"&lt;"&amp;'19_Расчет_аналитики'!AZ2584,WeightedMinAge24),MAX(CapacityAge24*'01_Вводные'!$B$218*'19_Расчет_аналитики'!AZ2584,MeanMinAge24)))</f>
        <v/>
      </c>
      <c r="BA2539">
        <f>IF(OR(('19_Расчет_аналитики'!BA2455-'19_Расчет_аналитики'!BA2483)=0,24&lt;='01_Вводные'!$B$297),0,('19_Расчет_аналитики'!BA2455-'19_Расчет_аналитики'!BA2483)*IF('01_Вводные'!$B$239="Да",MeanMinAge24+'19_Расчет_аналитики'!BA2584*SUMIF(ThresholdAge24,"&lt;"&amp;'19_Расчет_аналитики'!BA2584,WeightedRevAge24)-SUMIF(ThresholdAge24,"&lt;"&amp;'19_Расчет_аналитики'!BA2584,WeightedMinAge24),MAX(CapacityAge24*'01_Вводные'!$B$218*'19_Расчет_аналитики'!BA2584,MeanMinAge24)))</f>
        <v/>
      </c>
      <c r="BB2539">
        <f>IF(OR(('19_Расчет_аналитики'!BB2455-'19_Расчет_аналитики'!BB2483)=0,24&lt;='01_Вводные'!$B$297),0,('19_Расчет_аналитики'!BB2455-'19_Расчет_аналитики'!BB2483)*IF('01_Вводные'!$B$239="Да",MeanMinAge24+'19_Расчет_аналитики'!BB2584*SUMIF(ThresholdAge24,"&lt;"&amp;'19_Расчет_аналитики'!BB2584,WeightedRevAge24)-SUMIF(ThresholdAge24,"&lt;"&amp;'19_Расчет_аналитики'!BB2584,WeightedMinAge24),MAX(CapacityAge24*'01_Вводные'!$B$218*'19_Расчет_аналитики'!BB2584,MeanMinAge24)))</f>
        <v/>
      </c>
      <c r="BC2539">
        <f>IF(OR(('19_Расчет_аналитики'!BC2455-'19_Расчет_аналитики'!BC2483)=0,24&lt;='01_Вводные'!$B$297),0,('19_Расчет_аналитики'!BC2455-'19_Расчет_аналитики'!BC2483)*IF('01_Вводные'!$B$239="Да",MeanMinAge24+'19_Расчет_аналитики'!BC2584*SUMIF(ThresholdAge24,"&lt;"&amp;'19_Расчет_аналитики'!BC2584,WeightedRevAge24)-SUMIF(ThresholdAge24,"&lt;"&amp;'19_Расчет_аналитики'!BC2584,WeightedMinAge24),MAX(CapacityAge24*'01_Вводные'!$B$218*'19_Расчет_аналитики'!BC2584,MeanMinAge24)))</f>
        <v/>
      </c>
      <c r="BD2539">
        <f>IF(OR(('19_Расчет_аналитики'!BD2455-'19_Расчет_аналитики'!BD2483)=0,24&lt;='01_Вводные'!$B$297),0,('19_Расчет_аналитики'!BD2455-'19_Расчет_аналитики'!BD2483)*IF('01_Вводные'!$B$239="Да",MeanMinAge24+'19_Расчет_аналитики'!BD2584*SUMIF(ThresholdAge24,"&lt;"&amp;'19_Расчет_аналитики'!BD2584,WeightedRevAge24)-SUMIF(ThresholdAge24,"&lt;"&amp;'19_Расчет_аналитики'!BD2584,WeightedMinAge24),MAX(CapacityAge24*'01_Вводные'!$B$218*'19_Расчет_аналитики'!BD2584,MeanMinAge24)))</f>
        <v/>
      </c>
      <c r="BE2539">
        <f>IF(OR(('19_Расчет_аналитики'!BE2455-'19_Расчет_аналитики'!BE2483)=0,24&lt;='01_Вводные'!$B$297),0,('19_Расчет_аналитики'!BE2455-'19_Расчет_аналитики'!BE2483)*IF('01_Вводные'!$B$239="Да",MeanMinAge24+'19_Расчет_аналитики'!BE2584*SUMIF(ThresholdAge24,"&lt;"&amp;'19_Расчет_аналитики'!BE2584,WeightedRevAge24)-SUMIF(ThresholdAge24,"&lt;"&amp;'19_Расчет_аналитики'!BE2584,WeightedMinAge24),MAX(CapacityAge24*'01_Вводные'!$B$218*'19_Расчет_аналитики'!BE2584,MeanMinAge24)))</f>
        <v/>
      </c>
      <c r="BF2539">
        <f>IF(OR(('19_Расчет_аналитики'!BF2455-'19_Расчет_аналитики'!BF2483)=0,24&lt;='01_Вводные'!$B$297),0,('19_Расчет_аналитики'!BF2455-'19_Расчет_аналитики'!BF2483)*IF('01_Вводные'!$B$239="Да",MeanMinAge24+'19_Расчет_аналитики'!BF2584*SUMIF(ThresholdAge24,"&lt;"&amp;'19_Расчет_аналитики'!BF2584,WeightedRevAge24)-SUMIF(ThresholdAge24,"&lt;"&amp;'19_Расчет_аналитики'!BF2584,WeightedMinAge24),MAX(CapacityAge24*'01_Вводные'!$B$218*'19_Расчет_аналитики'!BF2584,MeanMinAge24)))</f>
        <v/>
      </c>
      <c r="BG2539">
        <f>IF(OR(('19_Расчет_аналитики'!BG2455-'19_Расчет_аналитики'!BG2483)=0,24&lt;='01_Вводные'!$B$297),0,('19_Расчет_аналитики'!BG2455-'19_Расчет_аналитики'!BG2483)*IF('01_Вводные'!$B$239="Да",MeanMinAge24+'19_Расчет_аналитики'!BG2584*SUMIF(ThresholdAge24,"&lt;"&amp;'19_Расчет_аналитики'!BG2584,WeightedRevAge24)-SUMIF(ThresholdAge24,"&lt;"&amp;'19_Расчет_аналитики'!BG2584,WeightedMinAge24),MAX(CapacityAge24*'01_Вводные'!$B$218*'19_Расчет_аналитики'!BG2584,MeanMinAge24)))</f>
        <v/>
      </c>
      <c r="BH2539">
        <f>IF(OR(('19_Расчет_аналитики'!BH2455-'19_Расчет_аналитики'!BH2483)=0,24&lt;='01_Вводные'!$B$297),0,('19_Расчет_аналитики'!BH2455-'19_Расчет_аналитики'!BH2483)*IF('01_Вводные'!$B$239="Да",MeanMinAge24+'19_Расчет_аналитики'!BH2584*SUMIF(ThresholdAge24,"&lt;"&amp;'19_Расчет_аналитики'!BH2584,WeightedRevAge24)-SUMIF(ThresholdAge24,"&lt;"&amp;'19_Расчет_аналитики'!BH2584,WeightedMinAge24),MAX(CapacityAge24*'01_Вводные'!$B$218*'19_Расчет_аналитики'!BH2584,MeanMinAge24)))</f>
        <v/>
      </c>
      <c r="BI2539">
        <f>IF(OR(('19_Расчет_аналитики'!BI2455-'19_Расчет_аналитики'!BI2483)=0,24&lt;='01_Вводные'!$B$297),0,('19_Расчет_аналитики'!BI2455-'19_Расчет_аналитики'!BI2483)*IF('01_Вводные'!$B$239="Да",MeanMinAge24+'19_Расчет_аналитики'!BI2584*SUMIF(ThresholdAge24,"&lt;"&amp;'19_Расчет_аналитики'!BI2584,WeightedRevAge24)-SUMIF(ThresholdAge24,"&lt;"&amp;'19_Расчет_аналитики'!BI2584,WeightedMinAge24),MAX(CapacityAge24*'01_Вводные'!$B$218*'19_Расчет_аналитики'!BI2584,MeanMinAge24)))</f>
        <v/>
      </c>
      <c r="BJ2539">
        <f>IF(OR(('19_Расчет_аналитики'!BJ2455-'19_Расчет_аналитики'!BJ2483)=0,24&lt;='01_Вводные'!$B$297),0,('19_Расчет_аналитики'!BJ2455-'19_Расчет_аналитики'!BJ2483)*IF('01_Вводные'!$B$239="Да",MeanMinAge24+'19_Расчет_аналитики'!BJ2584*SUMIF(ThresholdAge24,"&lt;"&amp;'19_Расчет_аналитики'!BJ2584,WeightedRevAge24)-SUMIF(ThresholdAge24,"&lt;"&amp;'19_Расчет_аналитики'!BJ2584,WeightedMinAge24),MAX(CapacityAge24*'01_Вводные'!$B$218*'19_Расчет_аналитики'!BJ2584,MeanMinAge24)))</f>
        <v/>
      </c>
      <c r="BK2539">
        <f>IF(OR(('19_Расчет_аналитики'!BK2455-'19_Расчет_аналитики'!BK2483)=0,24&lt;='01_Вводные'!$B$297),0,('19_Расчет_аналитики'!BK2455-'19_Расчет_аналитики'!BK2483)*IF('01_Вводные'!$B$239="Да",MeanMinAge24+'19_Расчет_аналитики'!BK2584*SUMIF(ThresholdAge24,"&lt;"&amp;'19_Расчет_аналитики'!BK2584,WeightedRevAge24)-SUMIF(ThresholdAge24,"&lt;"&amp;'19_Расчет_аналитики'!BK2584,WeightedMinAge24),MAX(CapacityAge24*'01_Вводные'!$B$218*'19_Расчет_аналитики'!BK2584,MeanMinAge24)))</f>
        <v/>
      </c>
      <c r="BL2539">
        <f>IF(OR(('19_Расчет_аналитики'!BL2455-'19_Расчет_аналитики'!BL2483)=0,24&lt;='01_Вводные'!$B$297),0,('19_Расчет_аналитики'!BL2455-'19_Расчет_аналитики'!BL2483)*IF('01_Вводные'!$B$239="Да",MeanMinAge24+'19_Расчет_аналитики'!BL2584*SUMIF(ThresholdAge24,"&lt;"&amp;'19_Расчет_аналитики'!BL2584,WeightedRevAge24)-SUMIF(ThresholdAge24,"&lt;"&amp;'19_Расчет_аналитики'!BL2584,WeightedMinAge24),MAX(CapacityAge24*'01_Вводные'!$B$218*'19_Расчет_аналитики'!BL2584,MeanMinAge24)))</f>
        <v/>
      </c>
      <c r="BM2539">
        <f>IF(OR(('19_Расчет_аналитики'!BM2455-'19_Расчет_аналитики'!BM2483)=0,24&lt;='01_Вводные'!$B$297),0,('19_Расчет_аналитики'!BM2455-'19_Расчет_аналитики'!BM2483)*IF('01_Вводные'!$B$239="Да",MeanMinAge24+'19_Расчет_аналитики'!BM2584*SUMIF(ThresholdAge24,"&lt;"&amp;'19_Расчет_аналитики'!BM2584,WeightedRevAge24)-SUMIF(ThresholdAge24,"&lt;"&amp;'19_Расчет_аналитики'!BM2584,WeightedMinAge24),MAX(CapacityAge24*'01_Вводные'!$B$218*'19_Расчет_аналитики'!BM2584,MeanMinAge24)))</f>
        <v/>
      </c>
      <c r="BN2539">
        <f>IF(OR(('19_Расчет_аналитики'!BN2455-'19_Расчет_аналитики'!BN2483)=0,24&lt;='01_Вводные'!$B$297),0,('19_Расчет_аналитики'!BN2455-'19_Расчет_аналитики'!BN2483)*IF('01_Вводные'!$B$239="Да",MeanMinAge24+'19_Расчет_аналитики'!BN2584*SUMIF(ThresholdAge24,"&lt;"&amp;'19_Расчет_аналитики'!BN2584,WeightedRevAge24)-SUMIF(ThresholdAge24,"&lt;"&amp;'19_Расчет_аналитики'!BN2584,WeightedMinAge24),MAX(CapacityAge24*'01_Вводные'!$B$218*'19_Расчет_аналитики'!BN2584,MeanMinAge24)))</f>
        <v/>
      </c>
      <c r="BO2539">
        <f>IF(OR(('19_Расчет_аналитики'!BO2455-'19_Расчет_аналитики'!BO2483)=0,24&lt;='01_Вводные'!$B$297),0,('19_Расчет_аналитики'!BO2455-'19_Расчет_аналитики'!BO2483)*IF('01_Вводные'!$B$239="Да",MeanMinAge24+'19_Расчет_аналитики'!BO2584*SUMIF(ThresholdAge24,"&lt;"&amp;'19_Расчет_аналитики'!BO2584,WeightedRevAge24)-SUMIF(ThresholdAge24,"&lt;"&amp;'19_Расчет_аналитики'!BO2584,WeightedMinAge24),MAX(CapacityAge24*'01_Вводные'!$B$218*'19_Расчет_аналитики'!BO2584,MeanMinAge24)))</f>
        <v/>
      </c>
    </row>
    <row r="2540">
      <c r="B2540">
        <f>IF(OR(('06_Сеть_и_дети'!B77-'06_Сеть_и_дети'!B105)=0,25&lt;='01_Вводные'!$B$297),0,('06_Сеть_и_дети'!B77-'06_Сеть_и_дети'!B105)*IF('01_Вводные'!$B$239="Да",MeanMinAge25+'19_Расчет_аналитики'!B2584*SUMIF(ThresholdAge25,"&lt;"&amp;'19_Расчет_аналитики'!B2584,WeightedRevAge25)-SUMIF(ThresholdAge25,"&lt;"&amp;'19_Расчет_аналитики'!B2584,WeightedMinAge25),MAX(CapacityAge25*'01_Вводные'!$B$218*'19_Расчет_аналитики'!B2584,MeanMinAge25)))</f>
        <v/>
      </c>
      <c r="C2540">
        <f>IF(OR(('06_Сеть_и_дети'!C77-'06_Сеть_и_дети'!C105)=0,25&lt;='01_Вводные'!$B$297),0,('06_Сеть_и_дети'!C77-'06_Сеть_и_дети'!C105)*IF('01_Вводные'!$B$239="Да",MeanMinAge25+'19_Расчет_аналитики'!C2584*SUMIF(ThresholdAge25,"&lt;"&amp;'19_Расчет_аналитики'!C2584,WeightedRevAge25)-SUMIF(ThresholdAge25,"&lt;"&amp;'19_Расчет_аналитики'!C2584,WeightedMinAge25),MAX(CapacityAge25*'01_Вводные'!$B$218*'19_Расчет_аналитики'!C2584,MeanMinAge25)))</f>
        <v/>
      </c>
      <c r="D2540">
        <f>IF(OR(('06_Сеть_и_дети'!D77-'06_Сеть_и_дети'!D105)=0,25&lt;='01_Вводные'!$B$297),0,('06_Сеть_и_дети'!D77-'06_Сеть_и_дети'!D105)*IF('01_Вводные'!$B$239="Да",MeanMinAge25+'19_Расчет_аналитики'!D2584*SUMIF(ThresholdAge25,"&lt;"&amp;'19_Расчет_аналитики'!D2584,WeightedRevAge25)-SUMIF(ThresholdAge25,"&lt;"&amp;'19_Расчет_аналитики'!D2584,WeightedMinAge25),MAX(CapacityAge25*'01_Вводные'!$B$218*'19_Расчет_аналитики'!D2584,MeanMinAge25)))</f>
        <v/>
      </c>
      <c r="E2540">
        <f>IF(OR(('06_Сеть_и_дети'!E77-'06_Сеть_и_дети'!E105)=0,25&lt;='01_Вводные'!$B$297),0,('06_Сеть_и_дети'!E77-'06_Сеть_и_дети'!E105)*IF('01_Вводные'!$B$239="Да",MeanMinAge25+'19_Расчет_аналитики'!E2584*SUMIF(ThresholdAge25,"&lt;"&amp;'19_Расчет_аналитики'!E2584,WeightedRevAge25)-SUMIF(ThresholdAge25,"&lt;"&amp;'19_Расчет_аналитики'!E2584,WeightedMinAge25),MAX(CapacityAge25*'01_Вводные'!$B$218*'19_Расчет_аналитики'!E2584,MeanMinAge25)))</f>
        <v/>
      </c>
      <c r="F2540">
        <f>IF(OR(('06_Сеть_и_дети'!F77-'06_Сеть_и_дети'!F105)=0,25&lt;='01_Вводные'!$B$297),0,('06_Сеть_и_дети'!F77-'06_Сеть_и_дети'!F105)*IF('01_Вводные'!$B$239="Да",MeanMinAge25+'19_Расчет_аналитики'!F2584*SUMIF(ThresholdAge25,"&lt;"&amp;'19_Расчет_аналитики'!F2584,WeightedRevAge25)-SUMIF(ThresholdAge25,"&lt;"&amp;'19_Расчет_аналитики'!F2584,WeightedMinAge25),MAX(CapacityAge25*'01_Вводные'!$B$218*'19_Расчет_аналитики'!F2584,MeanMinAge25)))</f>
        <v/>
      </c>
      <c r="G2540">
        <f>IF(OR(('06_Сеть_и_дети'!G77-'06_Сеть_и_дети'!G105)=0,25&lt;='01_Вводные'!$B$297),0,('06_Сеть_и_дети'!G77-'06_Сеть_и_дети'!G105)*IF('01_Вводные'!$B$239="Да",MeanMinAge25+'19_Расчет_аналитики'!G2584*SUMIF(ThresholdAge25,"&lt;"&amp;'19_Расчет_аналитики'!G2584,WeightedRevAge25)-SUMIF(ThresholdAge25,"&lt;"&amp;'19_Расчет_аналитики'!G2584,WeightedMinAge25),MAX(CapacityAge25*'01_Вводные'!$B$218*'19_Расчет_аналитики'!G2584,MeanMinAge25)))</f>
        <v/>
      </c>
      <c r="H2540">
        <f>IF(OR(('06_Сеть_и_дети'!H77-'06_Сеть_и_дети'!H105)=0,25&lt;='01_Вводные'!$B$297),0,('06_Сеть_и_дети'!H77-'06_Сеть_и_дети'!H105)*IF('01_Вводные'!$B$239="Да",MeanMinAge25+'19_Расчет_аналитики'!H2584*SUMIF(ThresholdAge25,"&lt;"&amp;'19_Расчет_аналитики'!H2584,WeightedRevAge25)-SUMIF(ThresholdAge25,"&lt;"&amp;'19_Расчет_аналитики'!H2584,WeightedMinAge25),MAX(CapacityAge25*'01_Вводные'!$B$218*'19_Расчет_аналитики'!H2584,MeanMinAge25)))</f>
        <v/>
      </c>
      <c r="I2540">
        <f>IF(OR(('06_Сеть_и_дети'!I77-'06_Сеть_и_дети'!I105)=0,25&lt;='01_Вводные'!$B$297),0,('06_Сеть_и_дети'!I77-'06_Сеть_и_дети'!I105)*IF('01_Вводные'!$B$239="Да",MeanMinAge25+'19_Расчет_аналитики'!I2584*SUMIF(ThresholdAge25,"&lt;"&amp;'19_Расчет_аналитики'!I2584,WeightedRevAge25)-SUMIF(ThresholdAge25,"&lt;"&amp;'19_Расчет_аналитики'!I2584,WeightedMinAge25),MAX(CapacityAge25*'01_Вводные'!$B$218*'19_Расчет_аналитики'!I2584,MeanMinAge25)))</f>
        <v/>
      </c>
      <c r="J2540">
        <f>IF(OR(('06_Сеть_и_дети'!J77-'06_Сеть_и_дети'!J105)=0,25&lt;='01_Вводные'!$B$297),0,('06_Сеть_и_дети'!J77-'06_Сеть_и_дети'!J105)*IF('01_Вводные'!$B$239="Да",MeanMinAge25+'19_Расчет_аналитики'!J2584*SUMIF(ThresholdAge25,"&lt;"&amp;'19_Расчет_аналитики'!J2584,WeightedRevAge25)-SUMIF(ThresholdAge25,"&lt;"&amp;'19_Расчет_аналитики'!J2584,WeightedMinAge25),MAX(CapacityAge25*'01_Вводные'!$B$218*'19_Расчет_аналитики'!J2584,MeanMinAge25)))</f>
        <v/>
      </c>
      <c r="K2540">
        <f>IF(OR(('06_Сеть_и_дети'!K77-'06_Сеть_и_дети'!K105)=0,25&lt;='01_Вводные'!$B$297),0,('06_Сеть_и_дети'!K77-'06_Сеть_и_дети'!K105)*IF('01_Вводные'!$B$239="Да",MeanMinAge25+'19_Расчет_аналитики'!K2584*SUMIF(ThresholdAge25,"&lt;"&amp;'19_Расчет_аналитики'!K2584,WeightedRevAge25)-SUMIF(ThresholdAge25,"&lt;"&amp;'19_Расчет_аналитики'!K2584,WeightedMinAge25),MAX(CapacityAge25*'01_Вводные'!$B$218*'19_Расчет_аналитики'!K2584,MeanMinAge25)))</f>
        <v/>
      </c>
      <c r="L2540">
        <f>IF(OR(('06_Сеть_и_дети'!L77-'06_Сеть_и_дети'!L105)=0,25&lt;='01_Вводные'!$B$297),0,('06_Сеть_и_дети'!L77-'06_Сеть_и_дети'!L105)*IF('01_Вводные'!$B$239="Да",MeanMinAge25+'19_Расчет_аналитики'!L2584*SUMIF(ThresholdAge25,"&lt;"&amp;'19_Расчет_аналитики'!L2584,WeightedRevAge25)-SUMIF(ThresholdAge25,"&lt;"&amp;'19_Расчет_аналитики'!L2584,WeightedMinAge25),MAX(CapacityAge25*'01_Вводные'!$B$218*'19_Расчет_аналитики'!L2584,MeanMinAge25)))</f>
        <v/>
      </c>
      <c r="M2540">
        <f>IF(OR(('06_Сеть_и_дети'!M77-'06_Сеть_и_дети'!M105)=0,25&lt;='01_Вводные'!$B$297),0,('06_Сеть_и_дети'!M77-'06_Сеть_и_дети'!M105)*IF('01_Вводные'!$B$239="Да",MeanMinAge25+'19_Расчет_аналитики'!M2584*SUMIF(ThresholdAge25,"&lt;"&amp;'19_Расчет_аналитики'!M2584,WeightedRevAge25)-SUMIF(ThresholdAge25,"&lt;"&amp;'19_Расчет_аналитики'!M2584,WeightedMinAge25),MAX(CapacityAge25*'01_Вводные'!$B$218*'19_Расчет_аналитики'!M2584,MeanMinAge25)))</f>
        <v/>
      </c>
      <c r="N2540">
        <f>IF(OR(('06_Сеть_и_дети'!N77-'06_Сеть_и_дети'!N105)=0,25&lt;='01_Вводные'!$B$297),0,('06_Сеть_и_дети'!N77-'06_Сеть_и_дети'!N105)*IF('01_Вводные'!$B$239="Да",MeanMinAge25+'19_Расчет_аналитики'!N2584*SUMIF(ThresholdAge25,"&lt;"&amp;'19_Расчет_аналитики'!N2584,WeightedRevAge25)-SUMIF(ThresholdAge25,"&lt;"&amp;'19_Расчет_аналитики'!N2584,WeightedMinAge25),MAX(CapacityAge25*'01_Вводные'!$B$218*'19_Расчет_аналитики'!N2584,MeanMinAge25)))</f>
        <v/>
      </c>
      <c r="O2540">
        <f>IF(OR(('06_Сеть_и_дети'!O77-'06_Сеть_и_дети'!O105)=0,25&lt;='01_Вводные'!$B$297),0,('06_Сеть_и_дети'!O77-'06_Сеть_и_дети'!O105)*IF('01_Вводные'!$B$239="Да",MeanMinAge25+'19_Расчет_аналитики'!O2584*SUMIF(ThresholdAge25,"&lt;"&amp;'19_Расчет_аналитики'!O2584,WeightedRevAge25)-SUMIF(ThresholdAge25,"&lt;"&amp;'19_Расчет_аналитики'!O2584,WeightedMinAge25),MAX(CapacityAge25*'01_Вводные'!$B$218*'19_Расчет_аналитики'!O2584,MeanMinAge25)))</f>
        <v/>
      </c>
      <c r="P2540">
        <f>IF(OR(('06_Сеть_и_дети'!P77-'06_Сеть_и_дети'!P105)=0,25&lt;='01_Вводные'!$B$297),0,('06_Сеть_и_дети'!P77-'06_Сеть_и_дети'!P105)*IF('01_Вводные'!$B$239="Да",MeanMinAge25+'19_Расчет_аналитики'!P2584*SUMIF(ThresholdAge25,"&lt;"&amp;'19_Расчет_аналитики'!P2584,WeightedRevAge25)-SUMIF(ThresholdAge25,"&lt;"&amp;'19_Расчет_аналитики'!P2584,WeightedMinAge25),MAX(CapacityAge25*'01_Вводные'!$B$218*'19_Расчет_аналитики'!P2584,MeanMinAge25)))</f>
        <v/>
      </c>
      <c r="Q2540">
        <f>IF(OR(('06_Сеть_и_дети'!Q77-'06_Сеть_и_дети'!Q105)=0,25&lt;='01_Вводные'!$B$297),0,('06_Сеть_и_дети'!Q77-'06_Сеть_и_дети'!Q105)*IF('01_Вводные'!$B$239="Да",MeanMinAge25+'19_Расчет_аналитики'!Q2584*SUMIF(ThresholdAge25,"&lt;"&amp;'19_Расчет_аналитики'!Q2584,WeightedRevAge25)-SUMIF(ThresholdAge25,"&lt;"&amp;'19_Расчет_аналитики'!Q2584,WeightedMinAge25),MAX(CapacityAge25*'01_Вводные'!$B$218*'19_Расчет_аналитики'!Q2584,MeanMinAge25)))</f>
        <v/>
      </c>
      <c r="R2540">
        <f>IF(OR(('06_Сеть_и_дети'!R77-'06_Сеть_и_дети'!R105)=0,25&lt;='01_Вводные'!$B$297),0,('06_Сеть_и_дети'!R77-'06_Сеть_и_дети'!R105)*IF('01_Вводные'!$B$239="Да",MeanMinAge25+'19_Расчет_аналитики'!R2584*SUMIF(ThresholdAge25,"&lt;"&amp;'19_Расчет_аналитики'!R2584,WeightedRevAge25)-SUMIF(ThresholdAge25,"&lt;"&amp;'19_Расчет_аналитики'!R2584,WeightedMinAge25),MAX(CapacityAge25*'01_Вводные'!$B$218*'19_Расчет_аналитики'!R2584,MeanMinAge25)))</f>
        <v/>
      </c>
      <c r="S2540">
        <f>IF(OR(('06_Сеть_и_дети'!S77-'06_Сеть_и_дети'!S105)=0,25&lt;='01_Вводные'!$B$297),0,('06_Сеть_и_дети'!S77-'06_Сеть_и_дети'!S105)*IF('01_Вводные'!$B$239="Да",MeanMinAge25+'19_Расчет_аналитики'!S2584*SUMIF(ThresholdAge25,"&lt;"&amp;'19_Расчет_аналитики'!S2584,WeightedRevAge25)-SUMIF(ThresholdAge25,"&lt;"&amp;'19_Расчет_аналитики'!S2584,WeightedMinAge25),MAX(CapacityAge25*'01_Вводные'!$B$218*'19_Расчет_аналитики'!S2584,MeanMinAge25)))</f>
        <v/>
      </c>
      <c r="T2540">
        <f>IF(OR(('06_Сеть_и_дети'!T77-'06_Сеть_и_дети'!T105)=0,25&lt;='01_Вводные'!$B$297),0,('06_Сеть_и_дети'!T77-'06_Сеть_и_дети'!T105)*IF('01_Вводные'!$B$239="Да",MeanMinAge25+'19_Расчет_аналитики'!T2584*SUMIF(ThresholdAge25,"&lt;"&amp;'19_Расчет_аналитики'!T2584,WeightedRevAge25)-SUMIF(ThresholdAge25,"&lt;"&amp;'19_Расчет_аналитики'!T2584,WeightedMinAge25),MAX(CapacityAge25*'01_Вводные'!$B$218*'19_Расчет_аналитики'!T2584,MeanMinAge25)))</f>
        <v/>
      </c>
      <c r="U2540">
        <f>IF(OR(('06_Сеть_и_дети'!U77-'06_Сеть_и_дети'!U105)=0,25&lt;='01_Вводные'!$B$297),0,('06_Сеть_и_дети'!U77-'06_Сеть_и_дети'!U105)*IF('01_Вводные'!$B$239="Да",MeanMinAge25+'19_Расчет_аналитики'!U2584*SUMIF(ThresholdAge25,"&lt;"&amp;'19_Расчет_аналитики'!U2584,WeightedRevAge25)-SUMIF(ThresholdAge25,"&lt;"&amp;'19_Расчет_аналитики'!U2584,WeightedMinAge25),MAX(CapacityAge25*'01_Вводные'!$B$218*'19_Расчет_аналитики'!U2584,MeanMinAge25)))</f>
        <v/>
      </c>
      <c r="V2540">
        <f>IF(OR(('06_Сеть_и_дети'!V77-'06_Сеть_и_дети'!V105)=0,25&lt;='01_Вводные'!$B$297),0,('06_Сеть_и_дети'!V77-'06_Сеть_и_дети'!V105)*IF('01_Вводные'!$B$239="Да",MeanMinAge25+'19_Расчет_аналитики'!V2584*SUMIF(ThresholdAge25,"&lt;"&amp;'19_Расчет_аналитики'!V2584,WeightedRevAge25)-SUMIF(ThresholdAge25,"&lt;"&amp;'19_Расчет_аналитики'!V2584,WeightedMinAge25),MAX(CapacityAge25*'01_Вводные'!$B$218*'19_Расчет_аналитики'!V2584,MeanMinAge25)))</f>
        <v/>
      </c>
      <c r="W2540">
        <f>IF(OR(('06_Сеть_и_дети'!W77-'06_Сеть_и_дети'!W105)=0,25&lt;='01_Вводные'!$B$297),0,('06_Сеть_и_дети'!W77-'06_Сеть_и_дети'!W105)*IF('01_Вводные'!$B$239="Да",MeanMinAge25+'19_Расчет_аналитики'!W2584*SUMIF(ThresholdAge25,"&lt;"&amp;'19_Расчет_аналитики'!W2584,WeightedRevAge25)-SUMIF(ThresholdAge25,"&lt;"&amp;'19_Расчет_аналитики'!W2584,WeightedMinAge25),MAX(CapacityAge25*'01_Вводные'!$B$218*'19_Расчет_аналитики'!W2584,MeanMinAge25)))</f>
        <v/>
      </c>
      <c r="X2540">
        <f>IF(OR(('06_Сеть_и_дети'!X77-'06_Сеть_и_дети'!X105)=0,25&lt;='01_Вводные'!$B$297),0,('06_Сеть_и_дети'!X77-'06_Сеть_и_дети'!X105)*IF('01_Вводные'!$B$239="Да",MeanMinAge25+'19_Расчет_аналитики'!X2584*SUMIF(ThresholdAge25,"&lt;"&amp;'19_Расчет_аналитики'!X2584,WeightedRevAge25)-SUMIF(ThresholdAge25,"&lt;"&amp;'19_Расчет_аналитики'!X2584,WeightedMinAge25),MAX(CapacityAge25*'01_Вводные'!$B$218*'19_Расчет_аналитики'!X2584,MeanMinAge25)))</f>
        <v/>
      </c>
      <c r="Y2540">
        <f>IF(OR(('06_Сеть_и_дети'!Y77-'06_Сеть_и_дети'!Y105)=0,25&lt;='01_Вводные'!$B$297),0,('06_Сеть_и_дети'!Y77-'06_Сеть_и_дети'!Y105)*IF('01_Вводные'!$B$239="Да",MeanMinAge25+'19_Расчет_аналитики'!Y2584*SUMIF(ThresholdAge25,"&lt;"&amp;'19_Расчет_аналитики'!Y2584,WeightedRevAge25)-SUMIF(ThresholdAge25,"&lt;"&amp;'19_Расчет_аналитики'!Y2584,WeightedMinAge25),MAX(CapacityAge25*'01_Вводные'!$B$218*'19_Расчет_аналитики'!Y2584,MeanMinAge25)))</f>
        <v/>
      </c>
      <c r="Z2540">
        <f>IF(OR(('19_Расчет_аналитики'!Z2456-'19_Расчет_аналитики'!Z2484)=0,25&lt;='01_Вводные'!$B$297),0,('19_Расчет_аналитики'!Z2456-'19_Расчет_аналитики'!Z2484)*IF('01_Вводные'!$B$239="Да",MeanMinAge25+'19_Расчет_аналитики'!Z2584*SUMIF(ThresholdAge25,"&lt;"&amp;'19_Расчет_аналитики'!Z2584,WeightedRevAge25)-SUMIF(ThresholdAge25,"&lt;"&amp;'19_Расчет_аналитики'!Z2584,WeightedMinAge25),MAX(CapacityAge25*'01_Вводные'!$B$218*'19_Расчет_аналитики'!Z2584,MeanMinAge25)))</f>
        <v/>
      </c>
      <c r="AA2540">
        <f>IF(OR(('19_Расчет_аналитики'!AA2456-'19_Расчет_аналитики'!AA2484)=0,25&lt;='01_Вводные'!$B$297),0,('19_Расчет_аналитики'!AA2456-'19_Расчет_аналитики'!AA2484)*IF('01_Вводные'!$B$239="Да",MeanMinAge25+'19_Расчет_аналитики'!AA2584*SUMIF(ThresholdAge25,"&lt;"&amp;'19_Расчет_аналитики'!AA2584,WeightedRevAge25)-SUMIF(ThresholdAge25,"&lt;"&amp;'19_Расчет_аналитики'!AA2584,WeightedMinAge25),MAX(CapacityAge25*'01_Вводные'!$B$218*'19_Расчет_аналитики'!AA2584,MeanMinAge25)))</f>
        <v/>
      </c>
      <c r="AB2540">
        <f>IF(OR(('19_Расчет_аналитики'!AB2456-'19_Расчет_аналитики'!AB2484)=0,25&lt;='01_Вводные'!$B$297),0,('19_Расчет_аналитики'!AB2456-'19_Расчет_аналитики'!AB2484)*IF('01_Вводные'!$B$239="Да",MeanMinAge25+'19_Расчет_аналитики'!AB2584*SUMIF(ThresholdAge25,"&lt;"&amp;'19_Расчет_аналитики'!AB2584,WeightedRevAge25)-SUMIF(ThresholdAge25,"&lt;"&amp;'19_Расчет_аналитики'!AB2584,WeightedMinAge25),MAX(CapacityAge25*'01_Вводные'!$B$218*'19_Расчет_аналитики'!AB2584,MeanMinAge25)))</f>
        <v/>
      </c>
      <c r="AC2540">
        <f>IF(OR(('19_Расчет_аналитики'!AC2456-'19_Расчет_аналитики'!AC2484)=0,25&lt;='01_Вводные'!$B$297),0,('19_Расчет_аналитики'!AC2456-'19_Расчет_аналитики'!AC2484)*IF('01_Вводные'!$B$239="Да",MeanMinAge25+'19_Расчет_аналитики'!AC2584*SUMIF(ThresholdAge25,"&lt;"&amp;'19_Расчет_аналитики'!AC2584,WeightedRevAge25)-SUMIF(ThresholdAge25,"&lt;"&amp;'19_Расчет_аналитики'!AC2584,WeightedMinAge25),MAX(CapacityAge25*'01_Вводные'!$B$218*'19_Расчет_аналитики'!AC2584,MeanMinAge25)))</f>
        <v/>
      </c>
      <c r="AD2540">
        <f>IF(OR(('19_Расчет_аналитики'!AD2456-'19_Расчет_аналитики'!AD2484)=0,25&lt;='01_Вводные'!$B$297),0,('19_Расчет_аналитики'!AD2456-'19_Расчет_аналитики'!AD2484)*IF('01_Вводные'!$B$239="Да",MeanMinAge25+'19_Расчет_аналитики'!AD2584*SUMIF(ThresholdAge25,"&lt;"&amp;'19_Расчет_аналитики'!AD2584,WeightedRevAge25)-SUMIF(ThresholdAge25,"&lt;"&amp;'19_Расчет_аналитики'!AD2584,WeightedMinAge25),MAX(CapacityAge25*'01_Вводные'!$B$218*'19_Расчет_аналитики'!AD2584,MeanMinAge25)))</f>
        <v/>
      </c>
      <c r="AE2540">
        <f>IF(OR(('19_Расчет_аналитики'!AE2456-'19_Расчет_аналитики'!AE2484)=0,25&lt;='01_Вводные'!$B$297),0,('19_Расчет_аналитики'!AE2456-'19_Расчет_аналитики'!AE2484)*IF('01_Вводные'!$B$239="Да",MeanMinAge25+'19_Расчет_аналитики'!AE2584*SUMIF(ThresholdAge25,"&lt;"&amp;'19_Расчет_аналитики'!AE2584,WeightedRevAge25)-SUMIF(ThresholdAge25,"&lt;"&amp;'19_Расчет_аналитики'!AE2584,WeightedMinAge25),MAX(CapacityAge25*'01_Вводные'!$B$218*'19_Расчет_аналитики'!AE2584,MeanMinAge25)))</f>
        <v/>
      </c>
      <c r="AF2540">
        <f>IF(OR(('19_Расчет_аналитики'!AF2456-'19_Расчет_аналитики'!AF2484)=0,25&lt;='01_Вводные'!$B$297),0,('19_Расчет_аналитики'!AF2456-'19_Расчет_аналитики'!AF2484)*IF('01_Вводные'!$B$239="Да",MeanMinAge25+'19_Расчет_аналитики'!AF2584*SUMIF(ThresholdAge25,"&lt;"&amp;'19_Расчет_аналитики'!AF2584,WeightedRevAge25)-SUMIF(ThresholdAge25,"&lt;"&amp;'19_Расчет_аналитики'!AF2584,WeightedMinAge25),MAX(CapacityAge25*'01_Вводные'!$B$218*'19_Расчет_аналитики'!AF2584,MeanMinAge25)))</f>
        <v/>
      </c>
      <c r="AG2540">
        <f>IF(OR(('19_Расчет_аналитики'!AG2456-'19_Расчет_аналитики'!AG2484)=0,25&lt;='01_Вводные'!$B$297),0,('19_Расчет_аналитики'!AG2456-'19_Расчет_аналитики'!AG2484)*IF('01_Вводные'!$B$239="Да",MeanMinAge25+'19_Расчет_аналитики'!AG2584*SUMIF(ThresholdAge25,"&lt;"&amp;'19_Расчет_аналитики'!AG2584,WeightedRevAge25)-SUMIF(ThresholdAge25,"&lt;"&amp;'19_Расчет_аналитики'!AG2584,WeightedMinAge25),MAX(CapacityAge25*'01_Вводные'!$B$218*'19_Расчет_аналитики'!AG2584,MeanMinAge25)))</f>
        <v/>
      </c>
      <c r="AH2540">
        <f>IF(OR(('19_Расчет_аналитики'!AH2456-'19_Расчет_аналитики'!AH2484)=0,25&lt;='01_Вводные'!$B$297),0,('19_Расчет_аналитики'!AH2456-'19_Расчет_аналитики'!AH2484)*IF('01_Вводные'!$B$239="Да",MeanMinAge25+'19_Расчет_аналитики'!AH2584*SUMIF(ThresholdAge25,"&lt;"&amp;'19_Расчет_аналитики'!AH2584,WeightedRevAge25)-SUMIF(ThresholdAge25,"&lt;"&amp;'19_Расчет_аналитики'!AH2584,WeightedMinAge25),MAX(CapacityAge25*'01_Вводные'!$B$218*'19_Расчет_аналитики'!AH2584,MeanMinAge25)))</f>
        <v/>
      </c>
      <c r="AI2540">
        <f>IF(OR(('19_Расчет_аналитики'!AI2456-'19_Расчет_аналитики'!AI2484)=0,25&lt;='01_Вводные'!$B$297),0,('19_Расчет_аналитики'!AI2456-'19_Расчет_аналитики'!AI2484)*IF('01_Вводные'!$B$239="Да",MeanMinAge25+'19_Расчет_аналитики'!AI2584*SUMIF(ThresholdAge25,"&lt;"&amp;'19_Расчет_аналитики'!AI2584,WeightedRevAge25)-SUMIF(ThresholdAge25,"&lt;"&amp;'19_Расчет_аналитики'!AI2584,WeightedMinAge25),MAX(CapacityAge25*'01_Вводные'!$B$218*'19_Расчет_аналитики'!AI2584,MeanMinAge25)))</f>
        <v/>
      </c>
      <c r="AJ2540">
        <f>IF(OR(('19_Расчет_аналитики'!AJ2456-'19_Расчет_аналитики'!AJ2484)=0,25&lt;='01_Вводные'!$B$297),0,('19_Расчет_аналитики'!AJ2456-'19_Расчет_аналитики'!AJ2484)*IF('01_Вводные'!$B$239="Да",MeanMinAge25+'19_Расчет_аналитики'!AJ2584*SUMIF(ThresholdAge25,"&lt;"&amp;'19_Расчет_аналитики'!AJ2584,WeightedRevAge25)-SUMIF(ThresholdAge25,"&lt;"&amp;'19_Расчет_аналитики'!AJ2584,WeightedMinAge25),MAX(CapacityAge25*'01_Вводные'!$B$218*'19_Расчет_аналитики'!AJ2584,MeanMinAge25)))</f>
        <v/>
      </c>
      <c r="AK2540">
        <f>IF(OR(('19_Расчет_аналитики'!AK2456-'19_Расчет_аналитики'!AK2484)=0,25&lt;='01_Вводные'!$B$297),0,('19_Расчет_аналитики'!AK2456-'19_Расчет_аналитики'!AK2484)*IF('01_Вводные'!$B$239="Да",MeanMinAge25+'19_Расчет_аналитики'!AK2584*SUMIF(ThresholdAge25,"&lt;"&amp;'19_Расчет_аналитики'!AK2584,WeightedRevAge25)-SUMIF(ThresholdAge25,"&lt;"&amp;'19_Расчет_аналитики'!AK2584,WeightedMinAge25),MAX(CapacityAge25*'01_Вводные'!$B$218*'19_Расчет_аналитики'!AK2584,MeanMinAge25)))</f>
        <v/>
      </c>
      <c r="AL2540">
        <f>IF(OR(('19_Расчет_аналитики'!AL2456-'19_Расчет_аналитики'!AL2484)=0,25&lt;='01_Вводные'!$B$297),0,('19_Расчет_аналитики'!AL2456-'19_Расчет_аналитики'!AL2484)*IF('01_Вводные'!$B$239="Да",MeanMinAge25+'19_Расчет_аналитики'!AL2584*SUMIF(ThresholdAge25,"&lt;"&amp;'19_Расчет_аналитики'!AL2584,WeightedRevAge25)-SUMIF(ThresholdAge25,"&lt;"&amp;'19_Расчет_аналитики'!AL2584,WeightedMinAge25),MAX(CapacityAge25*'01_Вводные'!$B$218*'19_Расчет_аналитики'!AL2584,MeanMinAge25)))</f>
        <v/>
      </c>
      <c r="AM2540">
        <f>IF(OR(('19_Расчет_аналитики'!AM2456-'19_Расчет_аналитики'!AM2484)=0,25&lt;='01_Вводные'!$B$297),0,('19_Расчет_аналитики'!AM2456-'19_Расчет_аналитики'!AM2484)*IF('01_Вводные'!$B$239="Да",MeanMinAge25+'19_Расчет_аналитики'!AM2584*SUMIF(ThresholdAge25,"&lt;"&amp;'19_Расчет_аналитики'!AM2584,WeightedRevAge25)-SUMIF(ThresholdAge25,"&lt;"&amp;'19_Расчет_аналитики'!AM2584,WeightedMinAge25),MAX(CapacityAge25*'01_Вводные'!$B$218*'19_Расчет_аналитики'!AM2584,MeanMinAge25)))</f>
        <v/>
      </c>
      <c r="AN2540">
        <f>IF(OR(('19_Расчет_аналитики'!AN2456-'19_Расчет_аналитики'!AN2484)=0,25&lt;='01_Вводные'!$B$297),0,('19_Расчет_аналитики'!AN2456-'19_Расчет_аналитики'!AN2484)*IF('01_Вводные'!$B$239="Да",MeanMinAge25+'19_Расчет_аналитики'!AN2584*SUMIF(ThresholdAge25,"&lt;"&amp;'19_Расчет_аналитики'!AN2584,WeightedRevAge25)-SUMIF(ThresholdAge25,"&lt;"&amp;'19_Расчет_аналитики'!AN2584,WeightedMinAge25),MAX(CapacityAge25*'01_Вводные'!$B$218*'19_Расчет_аналитики'!AN2584,MeanMinAge25)))</f>
        <v/>
      </c>
      <c r="AO2540">
        <f>IF(OR(('19_Расчет_аналитики'!AO2456-'19_Расчет_аналитики'!AO2484)=0,25&lt;='01_Вводные'!$B$297),0,('19_Расчет_аналитики'!AO2456-'19_Расчет_аналитики'!AO2484)*IF('01_Вводные'!$B$239="Да",MeanMinAge25+'19_Расчет_аналитики'!AO2584*SUMIF(ThresholdAge25,"&lt;"&amp;'19_Расчет_аналитики'!AO2584,WeightedRevAge25)-SUMIF(ThresholdAge25,"&lt;"&amp;'19_Расчет_аналитики'!AO2584,WeightedMinAge25),MAX(CapacityAge25*'01_Вводные'!$B$218*'19_Расчет_аналитики'!AO2584,MeanMinAge25)))</f>
        <v/>
      </c>
      <c r="AP2540">
        <f>IF(OR(('19_Расчет_аналитики'!AP2456-'19_Расчет_аналитики'!AP2484)=0,25&lt;='01_Вводные'!$B$297),0,('19_Расчет_аналитики'!AP2456-'19_Расчет_аналитики'!AP2484)*IF('01_Вводные'!$B$239="Да",MeanMinAge25+'19_Расчет_аналитики'!AP2584*SUMIF(ThresholdAge25,"&lt;"&amp;'19_Расчет_аналитики'!AP2584,WeightedRevAge25)-SUMIF(ThresholdAge25,"&lt;"&amp;'19_Расчет_аналитики'!AP2584,WeightedMinAge25),MAX(CapacityAge25*'01_Вводные'!$B$218*'19_Расчет_аналитики'!AP2584,MeanMinAge25)))</f>
        <v/>
      </c>
      <c r="AQ2540">
        <f>IF(OR(('19_Расчет_аналитики'!AQ2456-'19_Расчет_аналитики'!AQ2484)=0,25&lt;='01_Вводные'!$B$297),0,('19_Расчет_аналитики'!AQ2456-'19_Расчет_аналитики'!AQ2484)*IF('01_Вводные'!$B$239="Да",MeanMinAge25+'19_Расчет_аналитики'!AQ2584*SUMIF(ThresholdAge25,"&lt;"&amp;'19_Расчет_аналитики'!AQ2584,WeightedRevAge25)-SUMIF(ThresholdAge25,"&lt;"&amp;'19_Расчет_аналитики'!AQ2584,WeightedMinAge25),MAX(CapacityAge25*'01_Вводные'!$B$218*'19_Расчет_аналитики'!AQ2584,MeanMinAge25)))</f>
        <v/>
      </c>
      <c r="AR2540">
        <f>IF(OR(('19_Расчет_аналитики'!AR2456-'19_Расчет_аналитики'!AR2484)=0,25&lt;='01_Вводные'!$B$297),0,('19_Расчет_аналитики'!AR2456-'19_Расчет_аналитики'!AR2484)*IF('01_Вводные'!$B$239="Да",MeanMinAge25+'19_Расчет_аналитики'!AR2584*SUMIF(ThresholdAge25,"&lt;"&amp;'19_Расчет_аналитики'!AR2584,WeightedRevAge25)-SUMIF(ThresholdAge25,"&lt;"&amp;'19_Расчет_аналитики'!AR2584,WeightedMinAge25),MAX(CapacityAge25*'01_Вводные'!$B$218*'19_Расчет_аналитики'!AR2584,MeanMinAge25)))</f>
        <v/>
      </c>
      <c r="AS2540">
        <f>IF(OR(('19_Расчет_аналитики'!AS2456-'19_Расчет_аналитики'!AS2484)=0,25&lt;='01_Вводные'!$B$297),0,('19_Расчет_аналитики'!AS2456-'19_Расчет_аналитики'!AS2484)*IF('01_Вводные'!$B$239="Да",MeanMinAge25+'19_Расчет_аналитики'!AS2584*SUMIF(ThresholdAge25,"&lt;"&amp;'19_Расчет_аналитики'!AS2584,WeightedRevAge25)-SUMIF(ThresholdAge25,"&lt;"&amp;'19_Расчет_аналитики'!AS2584,WeightedMinAge25),MAX(CapacityAge25*'01_Вводные'!$B$218*'19_Расчет_аналитики'!AS2584,MeanMinAge25)))</f>
        <v/>
      </c>
      <c r="AT2540">
        <f>IF(OR(('19_Расчет_аналитики'!AT2456-'19_Расчет_аналитики'!AT2484)=0,25&lt;='01_Вводные'!$B$297),0,('19_Расчет_аналитики'!AT2456-'19_Расчет_аналитики'!AT2484)*IF('01_Вводные'!$B$239="Да",MeanMinAge25+'19_Расчет_аналитики'!AT2584*SUMIF(ThresholdAge25,"&lt;"&amp;'19_Расчет_аналитики'!AT2584,WeightedRevAge25)-SUMIF(ThresholdAge25,"&lt;"&amp;'19_Расчет_аналитики'!AT2584,WeightedMinAge25),MAX(CapacityAge25*'01_Вводные'!$B$218*'19_Расчет_аналитики'!AT2584,MeanMinAge25)))</f>
        <v/>
      </c>
      <c r="AU2540">
        <f>IF(OR(('19_Расчет_аналитики'!AU2456-'19_Расчет_аналитики'!AU2484)=0,25&lt;='01_Вводные'!$B$297),0,('19_Расчет_аналитики'!AU2456-'19_Расчет_аналитики'!AU2484)*IF('01_Вводные'!$B$239="Да",MeanMinAge25+'19_Расчет_аналитики'!AU2584*SUMIF(ThresholdAge25,"&lt;"&amp;'19_Расчет_аналитики'!AU2584,WeightedRevAge25)-SUMIF(ThresholdAge25,"&lt;"&amp;'19_Расчет_аналитики'!AU2584,WeightedMinAge25),MAX(CapacityAge25*'01_Вводные'!$B$218*'19_Расчет_аналитики'!AU2584,MeanMinAge25)))</f>
        <v/>
      </c>
      <c r="AV2540">
        <f>IF(OR(('19_Расчет_аналитики'!AV2456-'19_Расчет_аналитики'!AV2484)=0,25&lt;='01_Вводные'!$B$297),0,('19_Расчет_аналитики'!AV2456-'19_Расчет_аналитики'!AV2484)*IF('01_Вводные'!$B$239="Да",MeanMinAge25+'19_Расчет_аналитики'!AV2584*SUMIF(ThresholdAge25,"&lt;"&amp;'19_Расчет_аналитики'!AV2584,WeightedRevAge25)-SUMIF(ThresholdAge25,"&lt;"&amp;'19_Расчет_аналитики'!AV2584,WeightedMinAge25),MAX(CapacityAge25*'01_Вводные'!$B$218*'19_Расчет_аналитики'!AV2584,MeanMinAge25)))</f>
        <v/>
      </c>
      <c r="AW2540">
        <f>IF(OR(('19_Расчет_аналитики'!AW2456-'19_Расчет_аналитики'!AW2484)=0,25&lt;='01_Вводные'!$B$297),0,('19_Расчет_аналитики'!AW2456-'19_Расчет_аналитики'!AW2484)*IF('01_Вводные'!$B$239="Да",MeanMinAge25+'19_Расчет_аналитики'!AW2584*SUMIF(ThresholdAge25,"&lt;"&amp;'19_Расчет_аналитики'!AW2584,WeightedRevAge25)-SUMIF(ThresholdAge25,"&lt;"&amp;'19_Расчет_аналитики'!AW2584,WeightedMinAge25),MAX(CapacityAge25*'01_Вводные'!$B$218*'19_Расчет_аналитики'!AW2584,MeanMinAge25)))</f>
        <v/>
      </c>
      <c r="AX2540">
        <f>IF(OR(('19_Расчет_аналитики'!AX2456-'19_Расчет_аналитики'!AX2484)=0,25&lt;='01_Вводные'!$B$297),0,('19_Расчет_аналитики'!AX2456-'19_Расчет_аналитики'!AX2484)*IF('01_Вводные'!$B$239="Да",MeanMinAge25+'19_Расчет_аналитики'!AX2584*SUMIF(ThresholdAge25,"&lt;"&amp;'19_Расчет_аналитики'!AX2584,WeightedRevAge25)-SUMIF(ThresholdAge25,"&lt;"&amp;'19_Расчет_аналитики'!AX2584,WeightedMinAge25),MAX(CapacityAge25*'01_Вводные'!$B$218*'19_Расчет_аналитики'!AX2584,MeanMinAge25)))</f>
        <v/>
      </c>
      <c r="AY2540">
        <f>IF(OR(('19_Расчет_аналитики'!AY2456-'19_Расчет_аналитики'!AY2484)=0,25&lt;='01_Вводные'!$B$297),0,('19_Расчет_аналитики'!AY2456-'19_Расчет_аналитики'!AY2484)*IF('01_Вводные'!$B$239="Да",MeanMinAge25+'19_Расчет_аналитики'!AY2584*SUMIF(ThresholdAge25,"&lt;"&amp;'19_Расчет_аналитики'!AY2584,WeightedRevAge25)-SUMIF(ThresholdAge25,"&lt;"&amp;'19_Расчет_аналитики'!AY2584,WeightedMinAge25),MAX(CapacityAge25*'01_Вводные'!$B$218*'19_Расчет_аналитики'!AY2584,MeanMinAge25)))</f>
        <v/>
      </c>
      <c r="AZ2540">
        <f>IF(OR(('19_Расчет_аналитики'!AZ2456-'19_Расчет_аналитики'!AZ2484)=0,25&lt;='01_Вводные'!$B$297),0,('19_Расчет_аналитики'!AZ2456-'19_Расчет_аналитики'!AZ2484)*IF('01_Вводные'!$B$239="Да",MeanMinAge25+'19_Расчет_аналитики'!AZ2584*SUMIF(ThresholdAge25,"&lt;"&amp;'19_Расчет_аналитики'!AZ2584,WeightedRevAge25)-SUMIF(ThresholdAge25,"&lt;"&amp;'19_Расчет_аналитики'!AZ2584,WeightedMinAge25),MAX(CapacityAge25*'01_Вводные'!$B$218*'19_Расчет_аналитики'!AZ2584,MeanMinAge25)))</f>
        <v/>
      </c>
      <c r="BA2540">
        <f>IF(OR(('19_Расчет_аналитики'!BA2456-'19_Расчет_аналитики'!BA2484)=0,25&lt;='01_Вводные'!$B$297),0,('19_Расчет_аналитики'!BA2456-'19_Расчет_аналитики'!BA2484)*IF('01_Вводные'!$B$239="Да",MeanMinAge25+'19_Расчет_аналитики'!BA2584*SUMIF(ThresholdAge25,"&lt;"&amp;'19_Расчет_аналитики'!BA2584,WeightedRevAge25)-SUMIF(ThresholdAge25,"&lt;"&amp;'19_Расчет_аналитики'!BA2584,WeightedMinAge25),MAX(CapacityAge25*'01_Вводные'!$B$218*'19_Расчет_аналитики'!BA2584,MeanMinAge25)))</f>
        <v/>
      </c>
      <c r="BB2540">
        <f>IF(OR(('19_Расчет_аналитики'!BB2456-'19_Расчет_аналитики'!BB2484)=0,25&lt;='01_Вводные'!$B$297),0,('19_Расчет_аналитики'!BB2456-'19_Расчет_аналитики'!BB2484)*IF('01_Вводные'!$B$239="Да",MeanMinAge25+'19_Расчет_аналитики'!BB2584*SUMIF(ThresholdAge25,"&lt;"&amp;'19_Расчет_аналитики'!BB2584,WeightedRevAge25)-SUMIF(ThresholdAge25,"&lt;"&amp;'19_Расчет_аналитики'!BB2584,WeightedMinAge25),MAX(CapacityAge25*'01_Вводные'!$B$218*'19_Расчет_аналитики'!BB2584,MeanMinAge25)))</f>
        <v/>
      </c>
      <c r="BC2540">
        <f>IF(OR(('19_Расчет_аналитики'!BC2456-'19_Расчет_аналитики'!BC2484)=0,25&lt;='01_Вводные'!$B$297),0,('19_Расчет_аналитики'!BC2456-'19_Расчет_аналитики'!BC2484)*IF('01_Вводные'!$B$239="Да",MeanMinAge25+'19_Расчет_аналитики'!BC2584*SUMIF(ThresholdAge25,"&lt;"&amp;'19_Расчет_аналитики'!BC2584,WeightedRevAge25)-SUMIF(ThresholdAge25,"&lt;"&amp;'19_Расчет_аналитики'!BC2584,WeightedMinAge25),MAX(CapacityAge25*'01_Вводные'!$B$218*'19_Расчет_аналитики'!BC2584,MeanMinAge25)))</f>
        <v/>
      </c>
      <c r="BD2540">
        <f>IF(OR(('19_Расчет_аналитики'!BD2456-'19_Расчет_аналитики'!BD2484)=0,25&lt;='01_Вводные'!$B$297),0,('19_Расчет_аналитики'!BD2456-'19_Расчет_аналитики'!BD2484)*IF('01_Вводные'!$B$239="Да",MeanMinAge25+'19_Расчет_аналитики'!BD2584*SUMIF(ThresholdAge25,"&lt;"&amp;'19_Расчет_аналитики'!BD2584,WeightedRevAge25)-SUMIF(ThresholdAge25,"&lt;"&amp;'19_Расчет_аналитики'!BD2584,WeightedMinAge25),MAX(CapacityAge25*'01_Вводные'!$B$218*'19_Расчет_аналитики'!BD2584,MeanMinAge25)))</f>
        <v/>
      </c>
      <c r="BE2540">
        <f>IF(OR(('19_Расчет_аналитики'!BE2456-'19_Расчет_аналитики'!BE2484)=0,25&lt;='01_Вводные'!$B$297),0,('19_Расчет_аналитики'!BE2456-'19_Расчет_аналитики'!BE2484)*IF('01_Вводные'!$B$239="Да",MeanMinAge25+'19_Расчет_аналитики'!BE2584*SUMIF(ThresholdAge25,"&lt;"&amp;'19_Расчет_аналитики'!BE2584,WeightedRevAge25)-SUMIF(ThresholdAge25,"&lt;"&amp;'19_Расчет_аналитики'!BE2584,WeightedMinAge25),MAX(CapacityAge25*'01_Вводные'!$B$218*'19_Расчет_аналитики'!BE2584,MeanMinAge25)))</f>
        <v/>
      </c>
      <c r="BF2540">
        <f>IF(OR(('19_Расчет_аналитики'!BF2456-'19_Расчет_аналитики'!BF2484)=0,25&lt;='01_Вводные'!$B$297),0,('19_Расчет_аналитики'!BF2456-'19_Расчет_аналитики'!BF2484)*IF('01_Вводные'!$B$239="Да",MeanMinAge25+'19_Расчет_аналитики'!BF2584*SUMIF(ThresholdAge25,"&lt;"&amp;'19_Расчет_аналитики'!BF2584,WeightedRevAge25)-SUMIF(ThresholdAge25,"&lt;"&amp;'19_Расчет_аналитики'!BF2584,WeightedMinAge25),MAX(CapacityAge25*'01_Вводные'!$B$218*'19_Расчет_аналитики'!BF2584,MeanMinAge25)))</f>
        <v/>
      </c>
      <c r="BG2540">
        <f>IF(OR(('19_Расчет_аналитики'!BG2456-'19_Расчет_аналитики'!BG2484)=0,25&lt;='01_Вводные'!$B$297),0,('19_Расчет_аналитики'!BG2456-'19_Расчет_аналитики'!BG2484)*IF('01_Вводные'!$B$239="Да",MeanMinAge25+'19_Расчет_аналитики'!BG2584*SUMIF(ThresholdAge25,"&lt;"&amp;'19_Расчет_аналитики'!BG2584,WeightedRevAge25)-SUMIF(ThresholdAge25,"&lt;"&amp;'19_Расчет_аналитики'!BG2584,WeightedMinAge25),MAX(CapacityAge25*'01_Вводные'!$B$218*'19_Расчет_аналитики'!BG2584,MeanMinAge25)))</f>
        <v/>
      </c>
      <c r="BH2540">
        <f>IF(OR(('19_Расчет_аналитики'!BH2456-'19_Расчет_аналитики'!BH2484)=0,25&lt;='01_Вводные'!$B$297),0,('19_Расчет_аналитики'!BH2456-'19_Расчет_аналитики'!BH2484)*IF('01_Вводные'!$B$239="Да",MeanMinAge25+'19_Расчет_аналитики'!BH2584*SUMIF(ThresholdAge25,"&lt;"&amp;'19_Расчет_аналитики'!BH2584,WeightedRevAge25)-SUMIF(ThresholdAge25,"&lt;"&amp;'19_Расчет_аналитики'!BH2584,WeightedMinAge25),MAX(CapacityAge25*'01_Вводные'!$B$218*'19_Расчет_аналитики'!BH2584,MeanMinAge25)))</f>
        <v/>
      </c>
      <c r="BI2540">
        <f>IF(OR(('19_Расчет_аналитики'!BI2456-'19_Расчет_аналитики'!BI2484)=0,25&lt;='01_Вводные'!$B$297),0,('19_Расчет_аналитики'!BI2456-'19_Расчет_аналитики'!BI2484)*IF('01_Вводные'!$B$239="Да",MeanMinAge25+'19_Расчет_аналитики'!BI2584*SUMIF(ThresholdAge25,"&lt;"&amp;'19_Расчет_аналитики'!BI2584,WeightedRevAge25)-SUMIF(ThresholdAge25,"&lt;"&amp;'19_Расчет_аналитики'!BI2584,WeightedMinAge25),MAX(CapacityAge25*'01_Вводные'!$B$218*'19_Расчет_аналитики'!BI2584,MeanMinAge25)))</f>
        <v/>
      </c>
      <c r="BJ2540">
        <f>IF(OR(('19_Расчет_аналитики'!BJ2456-'19_Расчет_аналитики'!BJ2484)=0,25&lt;='01_Вводные'!$B$297),0,('19_Расчет_аналитики'!BJ2456-'19_Расчет_аналитики'!BJ2484)*IF('01_Вводные'!$B$239="Да",MeanMinAge25+'19_Расчет_аналитики'!BJ2584*SUMIF(ThresholdAge25,"&lt;"&amp;'19_Расчет_аналитики'!BJ2584,WeightedRevAge25)-SUMIF(ThresholdAge25,"&lt;"&amp;'19_Расчет_аналитики'!BJ2584,WeightedMinAge25),MAX(CapacityAge25*'01_Вводные'!$B$218*'19_Расчет_аналитики'!BJ2584,MeanMinAge25)))</f>
        <v/>
      </c>
      <c r="BK2540">
        <f>IF(OR(('19_Расчет_аналитики'!BK2456-'19_Расчет_аналитики'!BK2484)=0,25&lt;='01_Вводные'!$B$297),0,('19_Расчет_аналитики'!BK2456-'19_Расчет_аналитики'!BK2484)*IF('01_Вводные'!$B$239="Да",MeanMinAge25+'19_Расчет_аналитики'!BK2584*SUMIF(ThresholdAge25,"&lt;"&amp;'19_Расчет_аналитики'!BK2584,WeightedRevAge25)-SUMIF(ThresholdAge25,"&lt;"&amp;'19_Расчет_аналитики'!BK2584,WeightedMinAge25),MAX(CapacityAge25*'01_Вводные'!$B$218*'19_Расчет_аналитики'!BK2584,MeanMinAge25)))</f>
        <v/>
      </c>
      <c r="BL2540">
        <f>IF(OR(('19_Расчет_аналитики'!BL2456-'19_Расчет_аналитики'!BL2484)=0,25&lt;='01_Вводные'!$B$297),0,('19_Расчет_аналитики'!BL2456-'19_Расчет_аналитики'!BL2484)*IF('01_Вводные'!$B$239="Да",MeanMinAge25+'19_Расчет_аналитики'!BL2584*SUMIF(ThresholdAge25,"&lt;"&amp;'19_Расчет_аналитики'!BL2584,WeightedRevAge25)-SUMIF(ThresholdAge25,"&lt;"&amp;'19_Расчет_аналитики'!BL2584,WeightedMinAge25),MAX(CapacityAge25*'01_Вводные'!$B$218*'19_Расчет_аналитики'!BL2584,MeanMinAge25)))</f>
        <v/>
      </c>
      <c r="BM2540">
        <f>IF(OR(('19_Расчет_аналитики'!BM2456-'19_Расчет_аналитики'!BM2484)=0,25&lt;='01_Вводные'!$B$297),0,('19_Расчет_аналитики'!BM2456-'19_Расчет_аналитики'!BM2484)*IF('01_Вводные'!$B$239="Да",MeanMinAge25+'19_Расчет_аналитики'!BM2584*SUMIF(ThresholdAge25,"&lt;"&amp;'19_Расчет_аналитики'!BM2584,WeightedRevAge25)-SUMIF(ThresholdAge25,"&lt;"&amp;'19_Расчет_аналитики'!BM2584,WeightedMinAge25),MAX(CapacityAge25*'01_Вводные'!$B$218*'19_Расчет_аналитики'!BM2584,MeanMinAge25)))</f>
        <v/>
      </c>
      <c r="BN2540">
        <f>IF(OR(('19_Расчет_аналитики'!BN2456-'19_Расчет_аналитики'!BN2484)=0,25&lt;='01_Вводные'!$B$297),0,('19_Расчет_аналитики'!BN2456-'19_Расчет_аналитики'!BN2484)*IF('01_Вводные'!$B$239="Да",MeanMinAge25+'19_Расчет_аналитики'!BN2584*SUMIF(ThresholdAge25,"&lt;"&amp;'19_Расчет_аналитики'!BN2584,WeightedRevAge25)-SUMIF(ThresholdAge25,"&lt;"&amp;'19_Расчет_аналитики'!BN2584,WeightedMinAge25),MAX(CapacityAge25*'01_Вводные'!$B$218*'19_Расчет_аналитики'!BN2584,MeanMinAge25)))</f>
        <v/>
      </c>
      <c r="BO2540">
        <f>IF(OR(('19_Расчет_аналитики'!BO2456-'19_Расчет_аналитики'!BO2484)=0,25&lt;='01_Вводные'!$B$297),0,('19_Расчет_аналитики'!BO2456-'19_Расчет_аналитики'!BO2484)*IF('01_Вводные'!$B$239="Да",MeanMinAge25+'19_Расчет_аналитики'!BO2584*SUMIF(ThresholdAge25,"&lt;"&amp;'19_Расчет_аналитики'!BO2584,WeightedRevAge25)-SUMIF(ThresholdAge25,"&lt;"&amp;'19_Расчет_аналитики'!BO2584,WeightedMinAge25),MAX(CapacityAge25*'01_Вводные'!$B$218*'19_Расчет_аналитики'!BO2584,MeanMinAge25)))</f>
        <v/>
      </c>
    </row>
    <row r="2541"/>
    <row r="2542"/>
    <row r="2543"/>
    <row r="2544">
      <c r="B2544">
        <f>IF(IF('01_Вводные'!$B$296="Новый сезон",FALSE,FALSE),'19_Расчет_аналитики'!B2432*CapacityAge01*'19_Расчет_аналитики'!$F$2235,0)</f>
        <v/>
      </c>
      <c r="C2544">
        <f>IF(IF('01_Вводные'!$B$296="Новый сезон",FALSE,FALSE),'19_Расчет_аналитики'!C2432*CapacityAge01*'19_Расчет_аналитики'!$F$2235,0)</f>
        <v/>
      </c>
      <c r="D2544">
        <f>IF(IF('01_Вводные'!$B$296="Новый сезон",FALSE,FALSE),'19_Расчет_аналитики'!D2432*CapacityAge01*'19_Расчет_аналитики'!$F$2235,0)</f>
        <v/>
      </c>
      <c r="E2544">
        <f>IF(IF('01_Вводные'!$B$296="Новый сезон",FALSE,FALSE),'19_Расчет_аналитики'!E2432*CapacityAge01*'19_Расчет_аналитики'!$F$2235,0)</f>
        <v/>
      </c>
      <c r="F2544">
        <f>IF(IF('01_Вводные'!$B$296="Новый сезон",FALSE,FALSE),'19_Расчет_аналитики'!F2432*CapacityAge01*'19_Расчет_аналитики'!$F$2235,0)</f>
        <v/>
      </c>
      <c r="G2544">
        <f>IF(IF('01_Вводные'!$B$296="Новый сезон",FALSE,FALSE),'19_Расчет_аналитики'!G2432*CapacityAge01*'19_Расчет_аналитики'!$F$2235,0)</f>
        <v/>
      </c>
      <c r="H2544">
        <f>IF(IF('01_Вводные'!$B$296="Новый сезон",FALSE,FALSE),'19_Расчет_аналитики'!H2432*CapacityAge01*'19_Расчет_аналитики'!$F$2235,0)</f>
        <v/>
      </c>
      <c r="I2544">
        <f>IF(IF('01_Вводные'!$B$296="Новый сезон",FALSE,FALSE),'19_Расчет_аналитики'!I2432*CapacityAge01*'19_Расчет_аналитики'!$F$2235,0)</f>
        <v/>
      </c>
      <c r="J2544">
        <f>IF(IF('01_Вводные'!$B$296="Новый сезон",FALSE,FALSE),'19_Расчет_аналитики'!J2432*CapacityAge01*'19_Расчет_аналитики'!$F$2235,0)</f>
        <v/>
      </c>
      <c r="K2544">
        <f>IF(IF('01_Вводные'!$B$296="Новый сезон",FALSE,FALSE),'19_Расчет_аналитики'!K2432*CapacityAge01*'19_Расчет_аналитики'!$F$2235,0)</f>
        <v/>
      </c>
      <c r="L2544">
        <f>IF(IF('01_Вводные'!$B$296="Новый сезон",FALSE,FALSE),'19_Расчет_аналитики'!L2432*CapacityAge01*'19_Расчет_аналитики'!$F$2235,0)</f>
        <v/>
      </c>
      <c r="M2544">
        <f>IF(IF('01_Вводные'!$B$296="Новый сезон",FALSE,FALSE),'19_Расчет_аналитики'!M2432*CapacityAge01*'19_Расчет_аналитики'!$F$2235,0)</f>
        <v/>
      </c>
      <c r="N2544">
        <f>IF(IF('01_Вводные'!$B$296="Новый сезон",FALSE,FALSE),'19_Расчет_аналитики'!N2432*CapacityAge01*'19_Расчет_аналитики'!$F$2235,0)</f>
        <v/>
      </c>
      <c r="O2544">
        <f>IF(IF('01_Вводные'!$B$296="Новый сезон",FALSE,FALSE),'19_Расчет_аналитики'!O2432*CapacityAge01*'19_Расчет_аналитики'!$F$2235,0)</f>
        <v/>
      </c>
      <c r="P2544">
        <f>IF(IF('01_Вводные'!$B$296="Новый сезон",FALSE,FALSE),'19_Расчет_аналитики'!P2432*CapacityAge01*'19_Расчет_аналитики'!$F$2235,0)</f>
        <v/>
      </c>
      <c r="Q2544">
        <f>IF(IF('01_Вводные'!$B$296="Новый сезон",FALSE,FALSE),'19_Расчет_аналитики'!Q2432*CapacityAge01*'19_Расчет_аналитики'!$F$2235,0)</f>
        <v/>
      </c>
      <c r="R2544">
        <f>IF(IF('01_Вводные'!$B$296="Новый сезон",FALSE,FALSE),'19_Расчет_аналитики'!R2432*CapacityAge01*'19_Расчет_аналитики'!$F$2235,0)</f>
        <v/>
      </c>
      <c r="S2544">
        <f>IF(IF('01_Вводные'!$B$296="Новый сезон",FALSE,FALSE),'19_Расчет_аналитики'!S2432*CapacityAge01*'19_Расчет_аналитики'!$F$2235,0)</f>
        <v/>
      </c>
      <c r="T2544">
        <f>IF(IF('01_Вводные'!$B$296="Новый сезон",FALSE,FALSE),'19_Расчет_аналитики'!T2432*CapacityAge01*'19_Расчет_аналитики'!$F$2235,0)</f>
        <v/>
      </c>
      <c r="U2544">
        <f>IF(IF('01_Вводные'!$B$296="Новый сезон",FALSE,FALSE),'19_Расчет_аналитики'!U2432*CapacityAge01*'19_Расчет_аналитики'!$F$2235,0)</f>
        <v/>
      </c>
      <c r="V2544">
        <f>IF(IF('01_Вводные'!$B$296="Новый сезон",FALSE,FALSE),'19_Расчет_аналитики'!V2432*CapacityAge01*'19_Расчет_аналитики'!$F$2235,0)</f>
        <v/>
      </c>
      <c r="W2544">
        <f>IF(IF('01_Вводные'!$B$296="Новый сезон",FALSE,FALSE),'19_Расчет_аналитики'!W2432*CapacityAge01*'19_Расчет_аналитики'!$F$2235,0)</f>
        <v/>
      </c>
      <c r="X2544">
        <f>IF(IF('01_Вводные'!$B$296="Новый сезон",FALSE,FALSE),'19_Расчет_аналитики'!X2432*CapacityAge01*'19_Расчет_аналитики'!$F$2235,0)</f>
        <v/>
      </c>
      <c r="Y2544">
        <f>IF(IF('01_Вводные'!$B$296="Новый сезон",FALSE,FALSE),'19_Расчет_аналитики'!Y2432*CapacityAge01*'19_Расчет_аналитики'!$F$2235,0)</f>
        <v/>
      </c>
      <c r="Z2544">
        <f>IF(IF('01_Вводные'!$B$296="Новый сезон",FALSE,FALSE),'19_Расчет_аналитики'!Z2432*CapacityAge01*'19_Расчет_аналитики'!$F$2235,0)</f>
        <v/>
      </c>
      <c r="AA2544">
        <f>IF(IF('01_Вводные'!$B$296="Новый сезон",FALSE,FALSE),'19_Расчет_аналитики'!AA2432*CapacityAge01*'19_Расчет_аналитики'!$F$2235,0)</f>
        <v/>
      </c>
      <c r="AB2544">
        <f>IF(IF('01_Вводные'!$B$296="Новый сезон",FALSE,FALSE),'19_Расчет_аналитики'!AB2432*CapacityAge01*'19_Расчет_аналитики'!$F$2235,0)</f>
        <v/>
      </c>
      <c r="AC2544">
        <f>IF(IF('01_Вводные'!$B$296="Новый сезон",FALSE,FALSE),'19_Расчет_аналитики'!AC2432*CapacityAge01*'19_Расчет_аналитики'!$F$2235,0)</f>
        <v/>
      </c>
      <c r="AD2544">
        <f>IF(IF('01_Вводные'!$B$296="Новый сезон",FALSE,FALSE),'19_Расчет_аналитики'!AD2432*CapacityAge01*'19_Расчет_аналитики'!$F$2235,0)</f>
        <v/>
      </c>
      <c r="AE2544">
        <f>IF(IF('01_Вводные'!$B$296="Новый сезон",FALSE,FALSE),'19_Расчет_аналитики'!AE2432*CapacityAge01*'19_Расчет_аналитики'!$F$2235,0)</f>
        <v/>
      </c>
      <c r="AF2544">
        <f>IF(IF('01_Вводные'!$B$296="Новый сезон",FALSE,FALSE),'19_Расчет_аналитики'!AF2432*CapacityAge01*'19_Расчет_аналитики'!$F$2235,0)</f>
        <v/>
      </c>
      <c r="AG2544">
        <f>IF(IF('01_Вводные'!$B$296="Новый сезон",FALSE,FALSE),'19_Расчет_аналитики'!AG2432*CapacityAge01*'19_Расчет_аналитики'!$F$2235,0)</f>
        <v/>
      </c>
      <c r="AH2544">
        <f>IF(IF('01_Вводные'!$B$296="Новый сезон",FALSE,FALSE),'19_Расчет_аналитики'!AH2432*CapacityAge01*'19_Расчет_аналитики'!$F$2235,0)</f>
        <v/>
      </c>
      <c r="AI2544">
        <f>IF(IF('01_Вводные'!$B$296="Новый сезон",FALSE,FALSE),'19_Расчет_аналитики'!AI2432*CapacityAge01*'19_Расчет_аналитики'!$F$2235,0)</f>
        <v/>
      </c>
      <c r="AJ2544">
        <f>IF(IF('01_Вводные'!$B$296="Новый сезон",FALSE,FALSE),'19_Расчет_аналитики'!AJ2432*CapacityAge01*'19_Расчет_аналитики'!$F$2235,0)</f>
        <v/>
      </c>
      <c r="AK2544">
        <f>IF(IF('01_Вводные'!$B$296="Новый сезон",FALSE,FALSE),'19_Расчет_аналитики'!AK2432*CapacityAge01*'19_Расчет_аналитики'!$F$2235,0)</f>
        <v/>
      </c>
      <c r="AL2544">
        <f>IF(IF('01_Вводные'!$B$296="Новый сезон",FALSE,FALSE),'19_Расчет_аналитики'!AL2432*CapacityAge01*'19_Расчет_аналитики'!$F$2235,0)</f>
        <v/>
      </c>
      <c r="AM2544">
        <f>IF(IF('01_Вводные'!$B$296="Новый сезон",FALSE,FALSE),'19_Расчет_аналитики'!AM2432*CapacityAge01*'19_Расчет_аналитики'!$F$2235,0)</f>
        <v/>
      </c>
      <c r="AN2544">
        <f>IF(IF('01_Вводные'!$B$296="Новый сезон",FALSE,FALSE),'19_Расчет_аналитики'!AN2432*CapacityAge01*'19_Расчет_аналитики'!$F$2235,0)</f>
        <v/>
      </c>
      <c r="AO2544">
        <f>IF(IF('01_Вводные'!$B$296="Новый сезон",FALSE,FALSE),'19_Расчет_аналитики'!AO2432*CapacityAge01*'19_Расчет_аналитики'!$F$2235,0)</f>
        <v/>
      </c>
      <c r="AP2544">
        <f>IF(IF('01_Вводные'!$B$296="Новый сезон",FALSE,FALSE),'19_Расчет_аналитики'!AP2432*CapacityAge01*'19_Расчет_аналитики'!$F$2235,0)</f>
        <v/>
      </c>
      <c r="AQ2544">
        <f>IF(IF('01_Вводные'!$B$296="Новый сезон",FALSE,FALSE),'19_Расчет_аналитики'!AQ2432*CapacityAge01*'19_Расчет_аналитики'!$F$2235,0)</f>
        <v/>
      </c>
      <c r="AR2544">
        <f>IF(IF('01_Вводные'!$B$296="Новый сезон",FALSE,FALSE),'19_Расчет_аналитики'!AR2432*CapacityAge01*'19_Расчет_аналитики'!$F$2235,0)</f>
        <v/>
      </c>
      <c r="AS2544">
        <f>IF(IF('01_Вводные'!$B$296="Новый сезон",FALSE,FALSE),'19_Расчет_аналитики'!AS2432*CapacityAge01*'19_Расчет_аналитики'!$F$2235,0)</f>
        <v/>
      </c>
      <c r="AT2544">
        <f>IF(IF('01_Вводные'!$B$296="Новый сезон",FALSE,FALSE),'19_Расчет_аналитики'!AT2432*CapacityAge01*'19_Расчет_аналитики'!$F$2235,0)</f>
        <v/>
      </c>
      <c r="AU2544">
        <f>IF(IF('01_Вводные'!$B$296="Новый сезон",FALSE,FALSE),'19_Расчет_аналитики'!AU2432*CapacityAge01*'19_Расчет_аналитики'!$F$2235,0)</f>
        <v/>
      </c>
      <c r="AV2544">
        <f>IF(IF('01_Вводные'!$B$296="Новый сезон",FALSE,FALSE),'19_Расчет_аналитики'!AV2432*CapacityAge01*'19_Расчет_аналитики'!$F$2235,0)</f>
        <v/>
      </c>
      <c r="AW2544">
        <f>IF(IF('01_Вводные'!$B$296="Новый сезон",FALSE,FALSE),'19_Расчет_аналитики'!AW2432*CapacityAge01*'19_Расчет_аналитики'!$F$2235,0)</f>
        <v/>
      </c>
      <c r="AX2544">
        <f>IF(IF('01_Вводные'!$B$296="Новый сезон",FALSE,FALSE),'19_Расчет_аналитики'!AX2432*CapacityAge01*'19_Расчет_аналитики'!$F$2235,0)</f>
        <v/>
      </c>
      <c r="AY2544">
        <f>IF(IF('01_Вводные'!$B$296="Новый сезон",FALSE,FALSE),'19_Расчет_аналитики'!AY2432*CapacityAge01*'19_Расчет_аналитики'!$F$2235,0)</f>
        <v/>
      </c>
      <c r="AZ2544">
        <f>IF(IF('01_Вводные'!$B$296="Новый сезон",FALSE,FALSE),'19_Расчет_аналитики'!AZ2432*CapacityAge01*'19_Расчет_аналитики'!$F$2235,0)</f>
        <v/>
      </c>
      <c r="BA2544">
        <f>IF(IF('01_Вводные'!$B$296="Новый сезон",FALSE,FALSE),'19_Расчет_аналитики'!BA2432*CapacityAge01*'19_Расчет_аналитики'!$F$2235,0)</f>
        <v/>
      </c>
      <c r="BB2544">
        <f>IF(IF('01_Вводные'!$B$296="Новый сезон",FALSE,FALSE),'19_Расчет_аналитики'!BB2432*CapacityAge01*'19_Расчет_аналитики'!$F$2235,0)</f>
        <v/>
      </c>
      <c r="BC2544">
        <f>IF(IF('01_Вводные'!$B$296="Новый сезон",FALSE,FALSE),'19_Расчет_аналитики'!BC2432*CapacityAge01*'19_Расчет_аналитики'!$F$2235,0)</f>
        <v/>
      </c>
      <c r="BD2544">
        <f>IF(IF('01_Вводные'!$B$296="Новый сезон",FALSE,FALSE),'19_Расчет_аналитики'!BD2432*CapacityAge01*'19_Расчет_аналитики'!$F$2235,0)</f>
        <v/>
      </c>
      <c r="BE2544">
        <f>IF(IF('01_Вводные'!$B$296="Новый сезон",FALSE,FALSE),'19_Расчет_аналитики'!BE2432*CapacityAge01*'19_Расчет_аналитики'!$F$2235,0)</f>
        <v/>
      </c>
      <c r="BF2544">
        <f>IF(IF('01_Вводные'!$B$296="Новый сезон",FALSE,FALSE),'19_Расчет_аналитики'!BF2432*CapacityAge01*'19_Расчет_аналитики'!$F$2235,0)</f>
        <v/>
      </c>
      <c r="BG2544">
        <f>IF(IF('01_Вводные'!$B$296="Новый сезон",FALSE,FALSE),'19_Расчет_аналитики'!BG2432*CapacityAge01*'19_Расчет_аналитики'!$F$2235,0)</f>
        <v/>
      </c>
      <c r="BH2544">
        <f>IF(IF('01_Вводные'!$B$296="Новый сезон",FALSE,FALSE),'19_Расчет_аналитики'!BH2432*CapacityAge01*'19_Расчет_аналитики'!$F$2235,0)</f>
        <v/>
      </c>
      <c r="BI2544">
        <f>IF(IF('01_Вводные'!$B$296="Новый сезон",FALSE,FALSE),'19_Расчет_аналитики'!BI2432*CapacityAge01*'19_Расчет_аналитики'!$F$2235,0)</f>
        <v/>
      </c>
      <c r="BJ2544">
        <f>IF(IF('01_Вводные'!$B$296="Новый сезон",FALSE,FALSE),'19_Расчет_аналитики'!BJ2432*CapacityAge01*'19_Расчет_аналитики'!$F$2235,0)</f>
        <v/>
      </c>
      <c r="BK2544">
        <f>IF(IF('01_Вводные'!$B$296="Новый сезон",FALSE,FALSE),'19_Расчет_аналитики'!BK2432*CapacityAge01*'19_Расчет_аналитики'!$F$2235,0)</f>
        <v/>
      </c>
      <c r="BL2544">
        <f>IF(IF('01_Вводные'!$B$296="Новый сезон",FALSE,FALSE),'19_Расчет_аналитики'!BL2432*CapacityAge01*'19_Расчет_аналитики'!$F$2235,0)</f>
        <v/>
      </c>
      <c r="BM2544">
        <f>IF(IF('01_Вводные'!$B$296="Новый сезон",FALSE,FALSE),'19_Расчет_аналитики'!BM2432*CapacityAge01*'19_Расчет_аналитики'!$F$2235,0)</f>
        <v/>
      </c>
      <c r="BN2544">
        <f>IF(IF('01_Вводные'!$B$296="Новый сезон",FALSE,FALSE),'19_Расчет_аналитики'!BN2432*CapacityAge01*'19_Расчет_аналитики'!$F$2235,0)</f>
        <v/>
      </c>
      <c r="BO2544">
        <f>IF(IF('01_Вводные'!$B$296="Новый сезон",FALSE,FALSE),'19_Расчет_аналитики'!BO2432*CapacityAge01*'19_Расчет_аналитики'!$F$2235,0)</f>
        <v/>
      </c>
    </row>
    <row r="2545">
      <c r="B2545">
        <f>IF(IF('01_Вводные'!$B$296="Новый сезон",FALSE,FALSE),'06_Сеть_и_дети'!B54*CapacityAge02*'19_Расчет_аналитики'!$F$2235,0)</f>
        <v/>
      </c>
      <c r="C2545">
        <f>IF(IF('01_Вводные'!$B$296="Новый сезон",FALSE,FALSE),'19_Расчет_аналитики'!C2433*CapacityAge02*'19_Расчет_аналитики'!$F$2235,0)</f>
        <v/>
      </c>
      <c r="D2545">
        <f>IF(IF('01_Вводные'!$B$296="Новый сезон",FALSE,FALSE),'19_Расчет_аналитики'!D2433*CapacityAge02*'19_Расчет_аналитики'!$F$2235,0)</f>
        <v/>
      </c>
      <c r="E2545">
        <f>IF(IF('01_Вводные'!$B$296="Новый сезон",FALSE,FALSE),'19_Расчет_аналитики'!E2433*CapacityAge02*'19_Расчет_аналитики'!$F$2235,0)</f>
        <v/>
      </c>
      <c r="F2545">
        <f>IF(IF('01_Вводные'!$B$296="Новый сезон",FALSE,FALSE),'19_Расчет_аналитики'!F2433*CapacityAge02*'19_Расчет_аналитики'!$F$2235,0)</f>
        <v/>
      </c>
      <c r="G2545">
        <f>IF(IF('01_Вводные'!$B$296="Новый сезон",FALSE,FALSE),'19_Расчет_аналитики'!G2433*CapacityAge02*'19_Расчет_аналитики'!$F$2235,0)</f>
        <v/>
      </c>
      <c r="H2545">
        <f>IF(IF('01_Вводные'!$B$296="Новый сезон",FALSE,FALSE),'19_Расчет_аналитики'!H2433*CapacityAge02*'19_Расчет_аналитики'!$F$2235,0)</f>
        <v/>
      </c>
      <c r="I2545">
        <f>IF(IF('01_Вводные'!$B$296="Новый сезон",FALSE,FALSE),'19_Расчет_аналитики'!I2433*CapacityAge02*'19_Расчет_аналитики'!$F$2235,0)</f>
        <v/>
      </c>
      <c r="J2545">
        <f>IF(IF('01_Вводные'!$B$296="Новый сезон",FALSE,FALSE),'19_Расчет_аналитики'!J2433*CapacityAge02*'19_Расчет_аналитики'!$F$2235,0)</f>
        <v/>
      </c>
      <c r="K2545">
        <f>IF(IF('01_Вводные'!$B$296="Новый сезон",FALSE,FALSE),'19_Расчет_аналитики'!K2433*CapacityAge02*'19_Расчет_аналитики'!$F$2235,0)</f>
        <v/>
      </c>
      <c r="L2545">
        <f>IF(IF('01_Вводные'!$B$296="Новый сезон",FALSE,FALSE),'19_Расчет_аналитики'!L2433*CapacityAge02*'19_Расчет_аналитики'!$F$2235,0)</f>
        <v/>
      </c>
      <c r="M2545">
        <f>IF(IF('01_Вводные'!$B$296="Новый сезон",FALSE,FALSE),'19_Расчет_аналитики'!M2433*CapacityAge02*'19_Расчет_аналитики'!$F$2235,0)</f>
        <v/>
      </c>
      <c r="N2545">
        <f>IF(IF('01_Вводные'!$B$296="Новый сезон",FALSE,FALSE),'19_Расчет_аналитики'!N2433*CapacityAge02*'19_Расчет_аналитики'!$F$2235,0)</f>
        <v/>
      </c>
      <c r="O2545">
        <f>IF(IF('01_Вводные'!$B$296="Новый сезон",FALSE,FALSE),'19_Расчет_аналитики'!O2433*CapacityAge02*'19_Расчет_аналитики'!$F$2235,0)</f>
        <v/>
      </c>
      <c r="P2545">
        <f>IF(IF('01_Вводные'!$B$296="Новый сезон",FALSE,FALSE),'19_Расчет_аналитики'!P2433*CapacityAge02*'19_Расчет_аналитики'!$F$2235,0)</f>
        <v/>
      </c>
      <c r="Q2545">
        <f>IF(IF('01_Вводные'!$B$296="Новый сезон",FALSE,FALSE),'19_Расчет_аналитики'!Q2433*CapacityAge02*'19_Расчет_аналитики'!$F$2235,0)</f>
        <v/>
      </c>
      <c r="R2545">
        <f>IF(IF('01_Вводные'!$B$296="Новый сезон",FALSE,FALSE),'19_Расчет_аналитики'!R2433*CapacityAge02*'19_Расчет_аналитики'!$F$2235,0)</f>
        <v/>
      </c>
      <c r="S2545">
        <f>IF(IF('01_Вводные'!$B$296="Новый сезон",FALSE,FALSE),'19_Расчет_аналитики'!S2433*CapacityAge02*'19_Расчет_аналитики'!$F$2235,0)</f>
        <v/>
      </c>
      <c r="T2545">
        <f>IF(IF('01_Вводные'!$B$296="Новый сезон",FALSE,FALSE),'19_Расчет_аналитики'!T2433*CapacityAge02*'19_Расчет_аналитики'!$F$2235,0)</f>
        <v/>
      </c>
      <c r="U2545">
        <f>IF(IF('01_Вводные'!$B$296="Новый сезон",FALSE,FALSE),'19_Расчет_аналитики'!U2433*CapacityAge02*'19_Расчет_аналитики'!$F$2235,0)</f>
        <v/>
      </c>
      <c r="V2545">
        <f>IF(IF('01_Вводные'!$B$296="Новый сезон",FALSE,FALSE),'19_Расчет_аналитики'!V2433*CapacityAge02*'19_Расчет_аналитики'!$F$2235,0)</f>
        <v/>
      </c>
      <c r="W2545">
        <f>IF(IF('01_Вводные'!$B$296="Новый сезон",FALSE,FALSE),'19_Расчет_аналитики'!W2433*CapacityAge02*'19_Расчет_аналитики'!$F$2235,0)</f>
        <v/>
      </c>
      <c r="X2545">
        <f>IF(IF('01_Вводные'!$B$296="Новый сезон",FALSE,FALSE),'19_Расчет_аналитики'!X2433*CapacityAge02*'19_Расчет_аналитики'!$F$2235,0)</f>
        <v/>
      </c>
      <c r="Y2545">
        <f>IF(IF('01_Вводные'!$B$296="Новый сезон",FALSE,FALSE),'19_Расчет_аналитики'!Y2433*CapacityAge02*'19_Расчет_аналитики'!$F$2235,0)</f>
        <v/>
      </c>
      <c r="Z2545">
        <f>IF(IF('01_Вводные'!$B$296="Новый сезон",FALSE,FALSE),'19_Расчет_аналитики'!Z2433*CapacityAge02*'19_Расчет_аналитики'!$F$2235,0)</f>
        <v/>
      </c>
      <c r="AA2545">
        <f>IF(IF('01_Вводные'!$B$296="Новый сезон",FALSE,FALSE),'19_Расчет_аналитики'!AA2433*CapacityAge02*'19_Расчет_аналитики'!$F$2235,0)</f>
        <v/>
      </c>
      <c r="AB2545">
        <f>IF(IF('01_Вводные'!$B$296="Новый сезон",FALSE,FALSE),'19_Расчет_аналитики'!AB2433*CapacityAge02*'19_Расчет_аналитики'!$F$2235,0)</f>
        <v/>
      </c>
      <c r="AC2545">
        <f>IF(IF('01_Вводные'!$B$296="Новый сезон",FALSE,FALSE),'19_Расчет_аналитики'!AC2433*CapacityAge02*'19_Расчет_аналитики'!$F$2235,0)</f>
        <v/>
      </c>
      <c r="AD2545">
        <f>IF(IF('01_Вводные'!$B$296="Новый сезон",FALSE,FALSE),'19_Расчет_аналитики'!AD2433*CapacityAge02*'19_Расчет_аналитики'!$F$2235,0)</f>
        <v/>
      </c>
      <c r="AE2545">
        <f>IF(IF('01_Вводные'!$B$296="Новый сезон",FALSE,FALSE),'19_Расчет_аналитики'!AE2433*CapacityAge02*'19_Расчет_аналитики'!$F$2235,0)</f>
        <v/>
      </c>
      <c r="AF2545">
        <f>IF(IF('01_Вводные'!$B$296="Новый сезон",FALSE,FALSE),'19_Расчет_аналитики'!AF2433*CapacityAge02*'19_Расчет_аналитики'!$F$2235,0)</f>
        <v/>
      </c>
      <c r="AG2545">
        <f>IF(IF('01_Вводные'!$B$296="Новый сезон",FALSE,FALSE),'19_Расчет_аналитики'!AG2433*CapacityAge02*'19_Расчет_аналитики'!$F$2235,0)</f>
        <v/>
      </c>
      <c r="AH2545">
        <f>IF(IF('01_Вводные'!$B$296="Новый сезон",FALSE,FALSE),'19_Расчет_аналитики'!AH2433*CapacityAge02*'19_Расчет_аналитики'!$F$2235,0)</f>
        <v/>
      </c>
      <c r="AI2545">
        <f>IF(IF('01_Вводные'!$B$296="Новый сезон",FALSE,FALSE),'19_Расчет_аналитики'!AI2433*CapacityAge02*'19_Расчет_аналитики'!$F$2235,0)</f>
        <v/>
      </c>
      <c r="AJ2545">
        <f>IF(IF('01_Вводные'!$B$296="Новый сезон",FALSE,FALSE),'19_Расчет_аналитики'!AJ2433*CapacityAge02*'19_Расчет_аналитики'!$F$2235,0)</f>
        <v/>
      </c>
      <c r="AK2545">
        <f>IF(IF('01_Вводные'!$B$296="Новый сезон",FALSE,FALSE),'19_Расчет_аналитики'!AK2433*CapacityAge02*'19_Расчет_аналитики'!$F$2235,0)</f>
        <v/>
      </c>
      <c r="AL2545">
        <f>IF(IF('01_Вводные'!$B$296="Новый сезон",FALSE,FALSE),'19_Расчет_аналитики'!AL2433*CapacityAge02*'19_Расчет_аналитики'!$F$2235,0)</f>
        <v/>
      </c>
      <c r="AM2545">
        <f>IF(IF('01_Вводные'!$B$296="Новый сезон",FALSE,FALSE),'19_Расчет_аналитики'!AM2433*CapacityAge02*'19_Расчет_аналитики'!$F$2235,0)</f>
        <v/>
      </c>
      <c r="AN2545">
        <f>IF(IF('01_Вводные'!$B$296="Новый сезон",FALSE,FALSE),'19_Расчет_аналитики'!AN2433*CapacityAge02*'19_Расчет_аналитики'!$F$2235,0)</f>
        <v/>
      </c>
      <c r="AO2545">
        <f>IF(IF('01_Вводные'!$B$296="Новый сезон",FALSE,FALSE),'19_Расчет_аналитики'!AO2433*CapacityAge02*'19_Расчет_аналитики'!$F$2235,0)</f>
        <v/>
      </c>
      <c r="AP2545">
        <f>IF(IF('01_Вводные'!$B$296="Новый сезон",FALSE,FALSE),'19_Расчет_аналитики'!AP2433*CapacityAge02*'19_Расчет_аналитики'!$F$2235,0)</f>
        <v/>
      </c>
      <c r="AQ2545">
        <f>IF(IF('01_Вводные'!$B$296="Новый сезон",FALSE,FALSE),'19_Расчет_аналитики'!AQ2433*CapacityAge02*'19_Расчет_аналитики'!$F$2235,0)</f>
        <v/>
      </c>
      <c r="AR2545">
        <f>IF(IF('01_Вводные'!$B$296="Новый сезон",FALSE,FALSE),'19_Расчет_аналитики'!AR2433*CapacityAge02*'19_Расчет_аналитики'!$F$2235,0)</f>
        <v/>
      </c>
      <c r="AS2545">
        <f>IF(IF('01_Вводные'!$B$296="Новый сезон",FALSE,FALSE),'19_Расчет_аналитики'!AS2433*CapacityAge02*'19_Расчет_аналитики'!$F$2235,0)</f>
        <v/>
      </c>
      <c r="AT2545">
        <f>IF(IF('01_Вводные'!$B$296="Новый сезон",FALSE,FALSE),'19_Расчет_аналитики'!AT2433*CapacityAge02*'19_Расчет_аналитики'!$F$2235,0)</f>
        <v/>
      </c>
      <c r="AU2545">
        <f>IF(IF('01_Вводные'!$B$296="Новый сезон",FALSE,FALSE),'19_Расчет_аналитики'!AU2433*CapacityAge02*'19_Расчет_аналитики'!$F$2235,0)</f>
        <v/>
      </c>
      <c r="AV2545">
        <f>IF(IF('01_Вводные'!$B$296="Новый сезон",FALSE,FALSE),'19_Расчет_аналитики'!AV2433*CapacityAge02*'19_Расчет_аналитики'!$F$2235,0)</f>
        <v/>
      </c>
      <c r="AW2545">
        <f>IF(IF('01_Вводные'!$B$296="Новый сезон",FALSE,FALSE),'19_Расчет_аналитики'!AW2433*CapacityAge02*'19_Расчет_аналитики'!$F$2235,0)</f>
        <v/>
      </c>
      <c r="AX2545">
        <f>IF(IF('01_Вводные'!$B$296="Новый сезон",FALSE,FALSE),'19_Расчет_аналитики'!AX2433*CapacityAge02*'19_Расчет_аналитики'!$F$2235,0)</f>
        <v/>
      </c>
      <c r="AY2545">
        <f>IF(IF('01_Вводные'!$B$296="Новый сезон",FALSE,FALSE),'19_Расчет_аналитики'!AY2433*CapacityAge02*'19_Расчет_аналитики'!$F$2235,0)</f>
        <v/>
      </c>
      <c r="AZ2545">
        <f>IF(IF('01_Вводные'!$B$296="Новый сезон",FALSE,FALSE),'19_Расчет_аналитики'!AZ2433*CapacityAge02*'19_Расчет_аналитики'!$F$2235,0)</f>
        <v/>
      </c>
      <c r="BA2545">
        <f>IF(IF('01_Вводные'!$B$296="Новый сезон",FALSE,FALSE),'19_Расчет_аналитики'!BA2433*CapacityAge02*'19_Расчет_аналитики'!$F$2235,0)</f>
        <v/>
      </c>
      <c r="BB2545">
        <f>IF(IF('01_Вводные'!$B$296="Новый сезон",FALSE,FALSE),'19_Расчет_аналитики'!BB2433*CapacityAge02*'19_Расчет_аналитики'!$F$2235,0)</f>
        <v/>
      </c>
      <c r="BC2545">
        <f>IF(IF('01_Вводные'!$B$296="Новый сезон",FALSE,FALSE),'19_Расчет_аналитики'!BC2433*CapacityAge02*'19_Расчет_аналитики'!$F$2235,0)</f>
        <v/>
      </c>
      <c r="BD2545">
        <f>IF(IF('01_Вводные'!$B$296="Новый сезон",FALSE,FALSE),'19_Расчет_аналитики'!BD2433*CapacityAge02*'19_Расчет_аналитики'!$F$2235,0)</f>
        <v/>
      </c>
      <c r="BE2545">
        <f>IF(IF('01_Вводные'!$B$296="Новый сезон",FALSE,FALSE),'19_Расчет_аналитики'!BE2433*CapacityAge02*'19_Расчет_аналитики'!$F$2235,0)</f>
        <v/>
      </c>
      <c r="BF2545">
        <f>IF(IF('01_Вводные'!$B$296="Новый сезон",FALSE,FALSE),'19_Расчет_аналитики'!BF2433*CapacityAge02*'19_Расчет_аналитики'!$F$2235,0)</f>
        <v/>
      </c>
      <c r="BG2545">
        <f>IF(IF('01_Вводные'!$B$296="Новый сезон",FALSE,FALSE),'19_Расчет_аналитики'!BG2433*CapacityAge02*'19_Расчет_аналитики'!$F$2235,0)</f>
        <v/>
      </c>
      <c r="BH2545">
        <f>IF(IF('01_Вводные'!$B$296="Новый сезон",FALSE,FALSE),'19_Расчет_аналитики'!BH2433*CapacityAge02*'19_Расчет_аналитики'!$F$2235,0)</f>
        <v/>
      </c>
      <c r="BI2545">
        <f>IF(IF('01_Вводные'!$B$296="Новый сезон",FALSE,FALSE),'19_Расчет_аналитики'!BI2433*CapacityAge02*'19_Расчет_аналитики'!$F$2235,0)</f>
        <v/>
      </c>
      <c r="BJ2545">
        <f>IF(IF('01_Вводные'!$B$296="Новый сезон",FALSE,FALSE),'19_Расчет_аналитики'!BJ2433*CapacityAge02*'19_Расчет_аналитики'!$F$2235,0)</f>
        <v/>
      </c>
      <c r="BK2545">
        <f>IF(IF('01_Вводные'!$B$296="Новый сезон",FALSE,FALSE),'19_Расчет_аналитики'!BK2433*CapacityAge02*'19_Расчет_аналитики'!$F$2235,0)</f>
        <v/>
      </c>
      <c r="BL2545">
        <f>IF(IF('01_Вводные'!$B$296="Новый сезон",FALSE,FALSE),'19_Расчет_аналитики'!BL2433*CapacityAge02*'19_Расчет_аналитики'!$F$2235,0)</f>
        <v/>
      </c>
      <c r="BM2545">
        <f>IF(IF('01_Вводные'!$B$296="Новый сезон",FALSE,FALSE),'19_Расчет_аналитики'!BM2433*CapacityAge02*'19_Расчет_аналитики'!$F$2235,0)</f>
        <v/>
      </c>
      <c r="BN2545">
        <f>IF(IF('01_Вводные'!$B$296="Новый сезон",FALSE,FALSE),'19_Расчет_аналитики'!BN2433*CapacityAge02*'19_Расчет_аналитики'!$F$2235,0)</f>
        <v/>
      </c>
      <c r="BO2545">
        <f>IF(IF('01_Вводные'!$B$296="Новый сезон",FALSE,FALSE),'19_Расчет_аналитики'!BO2433*CapacityAge02*'19_Расчет_аналитики'!$F$2235,0)</f>
        <v/>
      </c>
    </row>
    <row r="2546">
      <c r="B2546">
        <f>IF(IF('01_Вводные'!$B$296="Новый сезон",FALSE,FALSE),'06_Сеть_и_дети'!B55*CapacityAge03*'19_Расчет_аналитики'!$F$2235,0)</f>
        <v/>
      </c>
      <c r="C2546">
        <f>IF(IF('01_Вводные'!$B$296="Новый сезон",FALSE,FALSE),'06_Сеть_и_дети'!C55*CapacityAge03*'19_Расчет_аналитики'!$F$2235,0)</f>
        <v/>
      </c>
      <c r="D2546">
        <f>IF(IF('01_Вводные'!$B$296="Новый сезон",FALSE,FALSE),'19_Расчет_аналитики'!D2434*CapacityAge03*'19_Расчет_аналитики'!$F$2235,0)</f>
        <v/>
      </c>
      <c r="E2546">
        <f>IF(IF('01_Вводные'!$B$296="Новый сезон",FALSE,FALSE),'19_Расчет_аналитики'!E2434*CapacityAge03*'19_Расчет_аналитики'!$F$2235,0)</f>
        <v/>
      </c>
      <c r="F2546">
        <f>IF(IF('01_Вводные'!$B$296="Новый сезон",FALSE,FALSE),'19_Расчет_аналитики'!F2434*CapacityAge03*'19_Расчет_аналитики'!$F$2235,0)</f>
        <v/>
      </c>
      <c r="G2546">
        <f>IF(IF('01_Вводные'!$B$296="Новый сезон",FALSE,FALSE),'19_Расчет_аналитики'!G2434*CapacityAge03*'19_Расчет_аналитики'!$F$2235,0)</f>
        <v/>
      </c>
      <c r="H2546">
        <f>IF(IF('01_Вводные'!$B$296="Новый сезон",FALSE,FALSE),'19_Расчет_аналитики'!H2434*CapacityAge03*'19_Расчет_аналитики'!$F$2235,0)</f>
        <v/>
      </c>
      <c r="I2546">
        <f>IF(IF('01_Вводные'!$B$296="Новый сезон",FALSE,FALSE),'19_Расчет_аналитики'!I2434*CapacityAge03*'19_Расчет_аналитики'!$F$2235,0)</f>
        <v/>
      </c>
      <c r="J2546">
        <f>IF(IF('01_Вводные'!$B$296="Новый сезон",FALSE,FALSE),'19_Расчет_аналитики'!J2434*CapacityAge03*'19_Расчет_аналитики'!$F$2235,0)</f>
        <v/>
      </c>
      <c r="K2546">
        <f>IF(IF('01_Вводные'!$B$296="Новый сезон",FALSE,FALSE),'19_Расчет_аналитики'!K2434*CapacityAge03*'19_Расчет_аналитики'!$F$2235,0)</f>
        <v/>
      </c>
      <c r="L2546">
        <f>IF(IF('01_Вводные'!$B$296="Новый сезон",FALSE,FALSE),'19_Расчет_аналитики'!L2434*CapacityAge03*'19_Расчет_аналитики'!$F$2235,0)</f>
        <v/>
      </c>
      <c r="M2546">
        <f>IF(IF('01_Вводные'!$B$296="Новый сезон",FALSE,FALSE),'19_Расчет_аналитики'!M2434*CapacityAge03*'19_Расчет_аналитики'!$F$2235,0)</f>
        <v/>
      </c>
      <c r="N2546">
        <f>IF(IF('01_Вводные'!$B$296="Новый сезон",FALSE,FALSE),'19_Расчет_аналитики'!N2434*CapacityAge03*'19_Расчет_аналитики'!$F$2235,0)</f>
        <v/>
      </c>
      <c r="O2546">
        <f>IF(IF('01_Вводные'!$B$296="Новый сезон",FALSE,FALSE),'19_Расчет_аналитики'!O2434*CapacityAge03*'19_Расчет_аналитики'!$F$2235,0)</f>
        <v/>
      </c>
      <c r="P2546">
        <f>IF(IF('01_Вводные'!$B$296="Новый сезон",FALSE,FALSE),'19_Расчет_аналитики'!P2434*CapacityAge03*'19_Расчет_аналитики'!$F$2235,0)</f>
        <v/>
      </c>
      <c r="Q2546">
        <f>IF(IF('01_Вводные'!$B$296="Новый сезон",FALSE,FALSE),'19_Расчет_аналитики'!Q2434*CapacityAge03*'19_Расчет_аналитики'!$F$2235,0)</f>
        <v/>
      </c>
      <c r="R2546">
        <f>IF(IF('01_Вводные'!$B$296="Новый сезон",FALSE,FALSE),'19_Расчет_аналитики'!R2434*CapacityAge03*'19_Расчет_аналитики'!$F$2235,0)</f>
        <v/>
      </c>
      <c r="S2546">
        <f>IF(IF('01_Вводные'!$B$296="Новый сезон",FALSE,FALSE),'19_Расчет_аналитики'!S2434*CapacityAge03*'19_Расчет_аналитики'!$F$2235,0)</f>
        <v/>
      </c>
      <c r="T2546">
        <f>IF(IF('01_Вводные'!$B$296="Новый сезон",FALSE,FALSE),'19_Расчет_аналитики'!T2434*CapacityAge03*'19_Расчет_аналитики'!$F$2235,0)</f>
        <v/>
      </c>
      <c r="U2546">
        <f>IF(IF('01_Вводные'!$B$296="Новый сезон",FALSE,FALSE),'19_Расчет_аналитики'!U2434*CapacityAge03*'19_Расчет_аналитики'!$F$2235,0)</f>
        <v/>
      </c>
      <c r="V2546">
        <f>IF(IF('01_Вводные'!$B$296="Новый сезон",FALSE,FALSE),'19_Расчет_аналитики'!V2434*CapacityAge03*'19_Расчет_аналитики'!$F$2235,0)</f>
        <v/>
      </c>
      <c r="W2546">
        <f>IF(IF('01_Вводные'!$B$296="Новый сезон",FALSE,FALSE),'19_Расчет_аналитики'!W2434*CapacityAge03*'19_Расчет_аналитики'!$F$2235,0)</f>
        <v/>
      </c>
      <c r="X2546">
        <f>IF(IF('01_Вводные'!$B$296="Новый сезон",FALSE,FALSE),'19_Расчет_аналитики'!X2434*CapacityAge03*'19_Расчет_аналитики'!$F$2235,0)</f>
        <v/>
      </c>
      <c r="Y2546">
        <f>IF(IF('01_Вводные'!$B$296="Новый сезон",FALSE,FALSE),'19_Расчет_аналитики'!Y2434*CapacityAge03*'19_Расчет_аналитики'!$F$2235,0)</f>
        <v/>
      </c>
      <c r="Z2546">
        <f>IF(IF('01_Вводные'!$B$296="Новый сезон",FALSE,FALSE),'19_Расчет_аналитики'!Z2434*CapacityAge03*'19_Расчет_аналитики'!$F$2235,0)</f>
        <v/>
      </c>
      <c r="AA2546">
        <f>IF(IF('01_Вводные'!$B$296="Новый сезон",FALSE,FALSE),'19_Расчет_аналитики'!AA2434*CapacityAge03*'19_Расчет_аналитики'!$F$2235,0)</f>
        <v/>
      </c>
      <c r="AB2546">
        <f>IF(IF('01_Вводные'!$B$296="Новый сезон",FALSE,FALSE),'19_Расчет_аналитики'!AB2434*CapacityAge03*'19_Расчет_аналитики'!$F$2235,0)</f>
        <v/>
      </c>
      <c r="AC2546">
        <f>IF(IF('01_Вводные'!$B$296="Новый сезон",FALSE,FALSE),'19_Расчет_аналитики'!AC2434*CapacityAge03*'19_Расчет_аналитики'!$F$2235,0)</f>
        <v/>
      </c>
      <c r="AD2546">
        <f>IF(IF('01_Вводные'!$B$296="Новый сезон",FALSE,FALSE),'19_Расчет_аналитики'!AD2434*CapacityAge03*'19_Расчет_аналитики'!$F$2235,0)</f>
        <v/>
      </c>
      <c r="AE2546">
        <f>IF(IF('01_Вводные'!$B$296="Новый сезон",FALSE,FALSE),'19_Расчет_аналитики'!AE2434*CapacityAge03*'19_Расчет_аналитики'!$F$2235,0)</f>
        <v/>
      </c>
      <c r="AF2546">
        <f>IF(IF('01_Вводные'!$B$296="Новый сезон",FALSE,FALSE),'19_Расчет_аналитики'!AF2434*CapacityAge03*'19_Расчет_аналитики'!$F$2235,0)</f>
        <v/>
      </c>
      <c r="AG2546">
        <f>IF(IF('01_Вводные'!$B$296="Новый сезон",FALSE,FALSE),'19_Расчет_аналитики'!AG2434*CapacityAge03*'19_Расчет_аналитики'!$F$2235,0)</f>
        <v/>
      </c>
      <c r="AH2546">
        <f>IF(IF('01_Вводные'!$B$296="Новый сезон",FALSE,FALSE),'19_Расчет_аналитики'!AH2434*CapacityAge03*'19_Расчет_аналитики'!$F$2235,0)</f>
        <v/>
      </c>
      <c r="AI2546">
        <f>IF(IF('01_Вводные'!$B$296="Новый сезон",FALSE,FALSE),'19_Расчет_аналитики'!AI2434*CapacityAge03*'19_Расчет_аналитики'!$F$2235,0)</f>
        <v/>
      </c>
      <c r="AJ2546">
        <f>IF(IF('01_Вводные'!$B$296="Новый сезон",FALSE,FALSE),'19_Расчет_аналитики'!AJ2434*CapacityAge03*'19_Расчет_аналитики'!$F$2235,0)</f>
        <v/>
      </c>
      <c r="AK2546">
        <f>IF(IF('01_Вводные'!$B$296="Новый сезон",FALSE,FALSE),'19_Расчет_аналитики'!AK2434*CapacityAge03*'19_Расчет_аналитики'!$F$2235,0)</f>
        <v/>
      </c>
      <c r="AL2546">
        <f>IF(IF('01_Вводные'!$B$296="Новый сезон",FALSE,FALSE),'19_Расчет_аналитики'!AL2434*CapacityAge03*'19_Расчет_аналитики'!$F$2235,0)</f>
        <v/>
      </c>
      <c r="AM2546">
        <f>IF(IF('01_Вводные'!$B$296="Новый сезон",FALSE,FALSE),'19_Расчет_аналитики'!AM2434*CapacityAge03*'19_Расчет_аналитики'!$F$2235,0)</f>
        <v/>
      </c>
      <c r="AN2546">
        <f>IF(IF('01_Вводные'!$B$296="Новый сезон",FALSE,FALSE),'19_Расчет_аналитики'!AN2434*CapacityAge03*'19_Расчет_аналитики'!$F$2235,0)</f>
        <v/>
      </c>
      <c r="AO2546">
        <f>IF(IF('01_Вводные'!$B$296="Новый сезон",FALSE,FALSE),'19_Расчет_аналитики'!AO2434*CapacityAge03*'19_Расчет_аналитики'!$F$2235,0)</f>
        <v/>
      </c>
      <c r="AP2546">
        <f>IF(IF('01_Вводные'!$B$296="Новый сезон",FALSE,FALSE),'19_Расчет_аналитики'!AP2434*CapacityAge03*'19_Расчет_аналитики'!$F$2235,0)</f>
        <v/>
      </c>
      <c r="AQ2546">
        <f>IF(IF('01_Вводные'!$B$296="Новый сезон",FALSE,FALSE),'19_Расчет_аналитики'!AQ2434*CapacityAge03*'19_Расчет_аналитики'!$F$2235,0)</f>
        <v/>
      </c>
      <c r="AR2546">
        <f>IF(IF('01_Вводные'!$B$296="Новый сезон",FALSE,FALSE),'19_Расчет_аналитики'!AR2434*CapacityAge03*'19_Расчет_аналитики'!$F$2235,0)</f>
        <v/>
      </c>
      <c r="AS2546">
        <f>IF(IF('01_Вводные'!$B$296="Новый сезон",FALSE,FALSE),'19_Расчет_аналитики'!AS2434*CapacityAge03*'19_Расчет_аналитики'!$F$2235,0)</f>
        <v/>
      </c>
      <c r="AT2546">
        <f>IF(IF('01_Вводные'!$B$296="Новый сезон",FALSE,FALSE),'19_Расчет_аналитики'!AT2434*CapacityAge03*'19_Расчет_аналитики'!$F$2235,0)</f>
        <v/>
      </c>
      <c r="AU2546">
        <f>IF(IF('01_Вводные'!$B$296="Новый сезон",FALSE,FALSE),'19_Расчет_аналитики'!AU2434*CapacityAge03*'19_Расчет_аналитики'!$F$2235,0)</f>
        <v/>
      </c>
      <c r="AV2546">
        <f>IF(IF('01_Вводные'!$B$296="Новый сезон",FALSE,FALSE),'19_Расчет_аналитики'!AV2434*CapacityAge03*'19_Расчет_аналитики'!$F$2235,0)</f>
        <v/>
      </c>
      <c r="AW2546">
        <f>IF(IF('01_Вводные'!$B$296="Новый сезон",FALSE,FALSE),'19_Расчет_аналитики'!AW2434*CapacityAge03*'19_Расчет_аналитики'!$F$2235,0)</f>
        <v/>
      </c>
      <c r="AX2546">
        <f>IF(IF('01_Вводные'!$B$296="Новый сезон",FALSE,FALSE),'19_Расчет_аналитики'!AX2434*CapacityAge03*'19_Расчет_аналитики'!$F$2235,0)</f>
        <v/>
      </c>
      <c r="AY2546">
        <f>IF(IF('01_Вводные'!$B$296="Новый сезон",FALSE,FALSE),'19_Расчет_аналитики'!AY2434*CapacityAge03*'19_Расчет_аналитики'!$F$2235,0)</f>
        <v/>
      </c>
      <c r="AZ2546">
        <f>IF(IF('01_Вводные'!$B$296="Новый сезон",FALSE,FALSE),'19_Расчет_аналитики'!AZ2434*CapacityAge03*'19_Расчет_аналитики'!$F$2235,0)</f>
        <v/>
      </c>
      <c r="BA2546">
        <f>IF(IF('01_Вводные'!$B$296="Новый сезон",FALSE,FALSE),'19_Расчет_аналитики'!BA2434*CapacityAge03*'19_Расчет_аналитики'!$F$2235,0)</f>
        <v/>
      </c>
      <c r="BB2546">
        <f>IF(IF('01_Вводные'!$B$296="Новый сезон",FALSE,FALSE),'19_Расчет_аналитики'!BB2434*CapacityAge03*'19_Расчет_аналитики'!$F$2235,0)</f>
        <v/>
      </c>
      <c r="BC2546">
        <f>IF(IF('01_Вводные'!$B$296="Новый сезон",FALSE,FALSE),'19_Расчет_аналитики'!BC2434*CapacityAge03*'19_Расчет_аналитики'!$F$2235,0)</f>
        <v/>
      </c>
      <c r="BD2546">
        <f>IF(IF('01_Вводные'!$B$296="Новый сезон",FALSE,FALSE),'19_Расчет_аналитики'!BD2434*CapacityAge03*'19_Расчет_аналитики'!$F$2235,0)</f>
        <v/>
      </c>
      <c r="BE2546">
        <f>IF(IF('01_Вводные'!$B$296="Новый сезон",FALSE,FALSE),'19_Расчет_аналитики'!BE2434*CapacityAge03*'19_Расчет_аналитики'!$F$2235,0)</f>
        <v/>
      </c>
      <c r="BF2546">
        <f>IF(IF('01_Вводные'!$B$296="Новый сезон",FALSE,FALSE),'19_Расчет_аналитики'!BF2434*CapacityAge03*'19_Расчет_аналитики'!$F$2235,0)</f>
        <v/>
      </c>
      <c r="BG2546">
        <f>IF(IF('01_Вводные'!$B$296="Новый сезон",FALSE,FALSE),'19_Расчет_аналитики'!BG2434*CapacityAge03*'19_Расчет_аналитики'!$F$2235,0)</f>
        <v/>
      </c>
      <c r="BH2546">
        <f>IF(IF('01_Вводные'!$B$296="Новый сезон",FALSE,FALSE),'19_Расчет_аналитики'!BH2434*CapacityAge03*'19_Расчет_аналитики'!$F$2235,0)</f>
        <v/>
      </c>
      <c r="BI2546">
        <f>IF(IF('01_Вводные'!$B$296="Новый сезон",FALSE,FALSE),'19_Расчет_аналитики'!BI2434*CapacityAge03*'19_Расчет_аналитики'!$F$2235,0)</f>
        <v/>
      </c>
      <c r="BJ2546">
        <f>IF(IF('01_Вводные'!$B$296="Новый сезон",FALSE,FALSE),'19_Расчет_аналитики'!BJ2434*CapacityAge03*'19_Расчет_аналитики'!$F$2235,0)</f>
        <v/>
      </c>
      <c r="BK2546">
        <f>IF(IF('01_Вводные'!$B$296="Новый сезон",FALSE,FALSE),'19_Расчет_аналитики'!BK2434*CapacityAge03*'19_Расчет_аналитики'!$F$2235,0)</f>
        <v/>
      </c>
      <c r="BL2546">
        <f>IF(IF('01_Вводные'!$B$296="Новый сезон",FALSE,FALSE),'19_Расчет_аналитики'!BL2434*CapacityAge03*'19_Расчет_аналитики'!$F$2235,0)</f>
        <v/>
      </c>
      <c r="BM2546">
        <f>IF(IF('01_Вводные'!$B$296="Новый сезон",FALSE,FALSE),'19_Расчет_аналитики'!BM2434*CapacityAge03*'19_Расчет_аналитики'!$F$2235,0)</f>
        <v/>
      </c>
      <c r="BN2546">
        <f>IF(IF('01_Вводные'!$B$296="Новый сезон",FALSE,FALSE),'19_Расчет_аналитики'!BN2434*CapacityAge03*'19_Расчет_аналитики'!$F$2235,0)</f>
        <v/>
      </c>
      <c r="BO2546">
        <f>IF(IF('01_Вводные'!$B$296="Новый сезон",FALSE,FALSE),'19_Расчет_аналитики'!BO2434*CapacityAge03*'19_Расчет_аналитики'!$F$2235,0)</f>
        <v/>
      </c>
    </row>
    <row r="2547">
      <c r="B2547">
        <f>IF(IF('01_Вводные'!$B$296="Новый сезон",FALSE,FALSE),'06_Сеть_и_дети'!B56*CapacityAge04*'19_Расчет_аналитики'!$F$2235,0)</f>
        <v/>
      </c>
      <c r="C2547">
        <f>IF(IF('01_Вводные'!$B$296="Новый сезон",FALSE,FALSE),'06_Сеть_и_дети'!C56*CapacityAge04*'19_Расчет_аналитики'!$F$2235,0)</f>
        <v/>
      </c>
      <c r="D2547">
        <f>IF(IF('01_Вводные'!$B$296="Новый сезон",FALSE,FALSE),'06_Сеть_и_дети'!D56*CapacityAge04*'19_Расчет_аналитики'!$F$2235,0)</f>
        <v/>
      </c>
      <c r="E2547">
        <f>IF(IF('01_Вводные'!$B$296="Новый сезон",FALSE,FALSE),'19_Расчет_аналитики'!E2435*CapacityAge04*'19_Расчет_аналитики'!$F$2235,0)</f>
        <v/>
      </c>
      <c r="F2547">
        <f>IF(IF('01_Вводные'!$B$296="Новый сезон",FALSE,FALSE),'19_Расчет_аналитики'!F2435*CapacityAge04*'19_Расчет_аналитики'!$F$2235,0)</f>
        <v/>
      </c>
      <c r="G2547">
        <f>IF(IF('01_Вводные'!$B$296="Новый сезон",FALSE,FALSE),'19_Расчет_аналитики'!G2435*CapacityAge04*'19_Расчет_аналитики'!$F$2235,0)</f>
        <v/>
      </c>
      <c r="H2547">
        <f>IF(IF('01_Вводные'!$B$296="Новый сезон",FALSE,FALSE),'19_Расчет_аналитики'!H2435*CapacityAge04*'19_Расчет_аналитики'!$F$2235,0)</f>
        <v/>
      </c>
      <c r="I2547">
        <f>IF(IF('01_Вводные'!$B$296="Новый сезон",FALSE,FALSE),'19_Расчет_аналитики'!I2435*CapacityAge04*'19_Расчет_аналитики'!$F$2235,0)</f>
        <v/>
      </c>
      <c r="J2547">
        <f>IF(IF('01_Вводные'!$B$296="Новый сезон",FALSE,FALSE),'19_Расчет_аналитики'!J2435*CapacityAge04*'19_Расчет_аналитики'!$F$2235,0)</f>
        <v/>
      </c>
      <c r="K2547">
        <f>IF(IF('01_Вводные'!$B$296="Новый сезон",FALSE,FALSE),'19_Расчет_аналитики'!K2435*CapacityAge04*'19_Расчет_аналитики'!$F$2235,0)</f>
        <v/>
      </c>
      <c r="L2547">
        <f>IF(IF('01_Вводные'!$B$296="Новый сезон",FALSE,FALSE),'19_Расчет_аналитики'!L2435*CapacityAge04*'19_Расчет_аналитики'!$F$2235,0)</f>
        <v/>
      </c>
      <c r="M2547">
        <f>IF(IF('01_Вводные'!$B$296="Новый сезон",FALSE,FALSE),'19_Расчет_аналитики'!M2435*CapacityAge04*'19_Расчет_аналитики'!$F$2235,0)</f>
        <v/>
      </c>
      <c r="N2547">
        <f>IF(IF('01_Вводные'!$B$296="Новый сезон",FALSE,FALSE),'19_Расчет_аналитики'!N2435*CapacityAge04*'19_Расчет_аналитики'!$F$2235,0)</f>
        <v/>
      </c>
      <c r="O2547">
        <f>IF(IF('01_Вводные'!$B$296="Новый сезон",FALSE,FALSE),'19_Расчет_аналитики'!O2435*CapacityAge04*'19_Расчет_аналитики'!$F$2235,0)</f>
        <v/>
      </c>
      <c r="P2547">
        <f>IF(IF('01_Вводные'!$B$296="Новый сезон",FALSE,FALSE),'19_Расчет_аналитики'!P2435*CapacityAge04*'19_Расчет_аналитики'!$F$2235,0)</f>
        <v/>
      </c>
      <c r="Q2547">
        <f>IF(IF('01_Вводные'!$B$296="Новый сезон",FALSE,FALSE),'19_Расчет_аналитики'!Q2435*CapacityAge04*'19_Расчет_аналитики'!$F$2235,0)</f>
        <v/>
      </c>
      <c r="R2547">
        <f>IF(IF('01_Вводные'!$B$296="Новый сезон",FALSE,FALSE),'19_Расчет_аналитики'!R2435*CapacityAge04*'19_Расчет_аналитики'!$F$2235,0)</f>
        <v/>
      </c>
      <c r="S2547">
        <f>IF(IF('01_Вводные'!$B$296="Новый сезон",FALSE,FALSE),'19_Расчет_аналитики'!S2435*CapacityAge04*'19_Расчет_аналитики'!$F$2235,0)</f>
        <v/>
      </c>
      <c r="T2547">
        <f>IF(IF('01_Вводные'!$B$296="Новый сезон",FALSE,FALSE),'19_Расчет_аналитики'!T2435*CapacityAge04*'19_Расчет_аналитики'!$F$2235,0)</f>
        <v/>
      </c>
      <c r="U2547">
        <f>IF(IF('01_Вводные'!$B$296="Новый сезон",FALSE,FALSE),'19_Расчет_аналитики'!U2435*CapacityAge04*'19_Расчет_аналитики'!$F$2235,0)</f>
        <v/>
      </c>
      <c r="V2547">
        <f>IF(IF('01_Вводные'!$B$296="Новый сезон",FALSE,FALSE),'19_Расчет_аналитики'!V2435*CapacityAge04*'19_Расчет_аналитики'!$F$2235,0)</f>
        <v/>
      </c>
      <c r="W2547">
        <f>IF(IF('01_Вводные'!$B$296="Новый сезон",FALSE,FALSE),'19_Расчет_аналитики'!W2435*CapacityAge04*'19_Расчет_аналитики'!$F$2235,0)</f>
        <v/>
      </c>
      <c r="X2547">
        <f>IF(IF('01_Вводные'!$B$296="Новый сезон",FALSE,FALSE),'19_Расчет_аналитики'!X2435*CapacityAge04*'19_Расчет_аналитики'!$F$2235,0)</f>
        <v/>
      </c>
      <c r="Y2547">
        <f>IF(IF('01_Вводные'!$B$296="Новый сезон",FALSE,FALSE),'19_Расчет_аналитики'!Y2435*CapacityAge04*'19_Расчет_аналитики'!$F$2235,0)</f>
        <v/>
      </c>
      <c r="Z2547">
        <f>IF(IF('01_Вводные'!$B$296="Новый сезон",FALSE,FALSE),'19_Расчет_аналитики'!Z2435*CapacityAge04*'19_Расчет_аналитики'!$F$2235,0)</f>
        <v/>
      </c>
      <c r="AA2547">
        <f>IF(IF('01_Вводные'!$B$296="Новый сезон",FALSE,FALSE),'19_Расчет_аналитики'!AA2435*CapacityAge04*'19_Расчет_аналитики'!$F$2235,0)</f>
        <v/>
      </c>
      <c r="AB2547">
        <f>IF(IF('01_Вводные'!$B$296="Новый сезон",FALSE,FALSE),'19_Расчет_аналитики'!AB2435*CapacityAge04*'19_Расчет_аналитики'!$F$2235,0)</f>
        <v/>
      </c>
      <c r="AC2547">
        <f>IF(IF('01_Вводные'!$B$296="Новый сезон",FALSE,FALSE),'19_Расчет_аналитики'!AC2435*CapacityAge04*'19_Расчет_аналитики'!$F$2235,0)</f>
        <v/>
      </c>
      <c r="AD2547">
        <f>IF(IF('01_Вводные'!$B$296="Новый сезон",FALSE,FALSE),'19_Расчет_аналитики'!AD2435*CapacityAge04*'19_Расчет_аналитики'!$F$2235,0)</f>
        <v/>
      </c>
      <c r="AE2547">
        <f>IF(IF('01_Вводные'!$B$296="Новый сезон",FALSE,FALSE),'19_Расчет_аналитики'!AE2435*CapacityAge04*'19_Расчет_аналитики'!$F$2235,0)</f>
        <v/>
      </c>
      <c r="AF2547">
        <f>IF(IF('01_Вводные'!$B$296="Новый сезон",FALSE,FALSE),'19_Расчет_аналитики'!AF2435*CapacityAge04*'19_Расчет_аналитики'!$F$2235,0)</f>
        <v/>
      </c>
      <c r="AG2547">
        <f>IF(IF('01_Вводные'!$B$296="Новый сезон",FALSE,FALSE),'19_Расчет_аналитики'!AG2435*CapacityAge04*'19_Расчет_аналитики'!$F$2235,0)</f>
        <v/>
      </c>
      <c r="AH2547">
        <f>IF(IF('01_Вводные'!$B$296="Новый сезон",FALSE,FALSE),'19_Расчет_аналитики'!AH2435*CapacityAge04*'19_Расчет_аналитики'!$F$2235,0)</f>
        <v/>
      </c>
      <c r="AI2547">
        <f>IF(IF('01_Вводные'!$B$296="Новый сезон",FALSE,FALSE),'19_Расчет_аналитики'!AI2435*CapacityAge04*'19_Расчет_аналитики'!$F$2235,0)</f>
        <v/>
      </c>
      <c r="AJ2547">
        <f>IF(IF('01_Вводные'!$B$296="Новый сезон",FALSE,FALSE),'19_Расчет_аналитики'!AJ2435*CapacityAge04*'19_Расчет_аналитики'!$F$2235,0)</f>
        <v/>
      </c>
      <c r="AK2547">
        <f>IF(IF('01_Вводные'!$B$296="Новый сезон",FALSE,FALSE),'19_Расчет_аналитики'!AK2435*CapacityAge04*'19_Расчет_аналитики'!$F$2235,0)</f>
        <v/>
      </c>
      <c r="AL2547">
        <f>IF(IF('01_Вводные'!$B$296="Новый сезон",FALSE,FALSE),'19_Расчет_аналитики'!AL2435*CapacityAge04*'19_Расчет_аналитики'!$F$2235,0)</f>
        <v/>
      </c>
      <c r="AM2547">
        <f>IF(IF('01_Вводные'!$B$296="Новый сезон",FALSE,FALSE),'19_Расчет_аналитики'!AM2435*CapacityAge04*'19_Расчет_аналитики'!$F$2235,0)</f>
        <v/>
      </c>
      <c r="AN2547">
        <f>IF(IF('01_Вводные'!$B$296="Новый сезон",FALSE,FALSE),'19_Расчет_аналитики'!AN2435*CapacityAge04*'19_Расчет_аналитики'!$F$2235,0)</f>
        <v/>
      </c>
      <c r="AO2547">
        <f>IF(IF('01_Вводные'!$B$296="Новый сезон",FALSE,FALSE),'19_Расчет_аналитики'!AO2435*CapacityAge04*'19_Расчет_аналитики'!$F$2235,0)</f>
        <v/>
      </c>
      <c r="AP2547">
        <f>IF(IF('01_Вводные'!$B$296="Новый сезон",FALSE,FALSE),'19_Расчет_аналитики'!AP2435*CapacityAge04*'19_Расчет_аналитики'!$F$2235,0)</f>
        <v/>
      </c>
      <c r="AQ2547">
        <f>IF(IF('01_Вводные'!$B$296="Новый сезон",FALSE,FALSE),'19_Расчет_аналитики'!AQ2435*CapacityAge04*'19_Расчет_аналитики'!$F$2235,0)</f>
        <v/>
      </c>
      <c r="AR2547">
        <f>IF(IF('01_Вводные'!$B$296="Новый сезон",FALSE,FALSE),'19_Расчет_аналитики'!AR2435*CapacityAge04*'19_Расчет_аналитики'!$F$2235,0)</f>
        <v/>
      </c>
      <c r="AS2547">
        <f>IF(IF('01_Вводные'!$B$296="Новый сезон",FALSE,FALSE),'19_Расчет_аналитики'!AS2435*CapacityAge04*'19_Расчет_аналитики'!$F$2235,0)</f>
        <v/>
      </c>
      <c r="AT2547">
        <f>IF(IF('01_Вводные'!$B$296="Новый сезон",FALSE,FALSE),'19_Расчет_аналитики'!AT2435*CapacityAge04*'19_Расчет_аналитики'!$F$2235,0)</f>
        <v/>
      </c>
      <c r="AU2547">
        <f>IF(IF('01_Вводные'!$B$296="Новый сезон",FALSE,FALSE),'19_Расчет_аналитики'!AU2435*CapacityAge04*'19_Расчет_аналитики'!$F$2235,0)</f>
        <v/>
      </c>
      <c r="AV2547">
        <f>IF(IF('01_Вводные'!$B$296="Новый сезон",FALSE,FALSE),'19_Расчет_аналитики'!AV2435*CapacityAge04*'19_Расчет_аналитики'!$F$2235,0)</f>
        <v/>
      </c>
      <c r="AW2547">
        <f>IF(IF('01_Вводные'!$B$296="Новый сезон",FALSE,FALSE),'19_Расчет_аналитики'!AW2435*CapacityAge04*'19_Расчет_аналитики'!$F$2235,0)</f>
        <v/>
      </c>
      <c r="AX2547">
        <f>IF(IF('01_Вводные'!$B$296="Новый сезон",FALSE,FALSE),'19_Расчет_аналитики'!AX2435*CapacityAge04*'19_Расчет_аналитики'!$F$2235,0)</f>
        <v/>
      </c>
      <c r="AY2547">
        <f>IF(IF('01_Вводные'!$B$296="Новый сезон",FALSE,FALSE),'19_Расчет_аналитики'!AY2435*CapacityAge04*'19_Расчет_аналитики'!$F$2235,0)</f>
        <v/>
      </c>
      <c r="AZ2547">
        <f>IF(IF('01_Вводные'!$B$296="Новый сезон",FALSE,FALSE),'19_Расчет_аналитики'!AZ2435*CapacityAge04*'19_Расчет_аналитики'!$F$2235,0)</f>
        <v/>
      </c>
      <c r="BA2547">
        <f>IF(IF('01_Вводные'!$B$296="Новый сезон",FALSE,FALSE),'19_Расчет_аналитики'!BA2435*CapacityAge04*'19_Расчет_аналитики'!$F$2235,0)</f>
        <v/>
      </c>
      <c r="BB2547">
        <f>IF(IF('01_Вводные'!$B$296="Новый сезон",FALSE,FALSE),'19_Расчет_аналитики'!BB2435*CapacityAge04*'19_Расчет_аналитики'!$F$2235,0)</f>
        <v/>
      </c>
      <c r="BC2547">
        <f>IF(IF('01_Вводные'!$B$296="Новый сезон",FALSE,FALSE),'19_Расчет_аналитики'!BC2435*CapacityAge04*'19_Расчет_аналитики'!$F$2235,0)</f>
        <v/>
      </c>
      <c r="BD2547">
        <f>IF(IF('01_Вводные'!$B$296="Новый сезон",FALSE,FALSE),'19_Расчет_аналитики'!BD2435*CapacityAge04*'19_Расчет_аналитики'!$F$2235,0)</f>
        <v/>
      </c>
      <c r="BE2547">
        <f>IF(IF('01_Вводные'!$B$296="Новый сезон",FALSE,FALSE),'19_Расчет_аналитики'!BE2435*CapacityAge04*'19_Расчет_аналитики'!$F$2235,0)</f>
        <v/>
      </c>
      <c r="BF2547">
        <f>IF(IF('01_Вводные'!$B$296="Новый сезон",FALSE,FALSE),'19_Расчет_аналитики'!BF2435*CapacityAge04*'19_Расчет_аналитики'!$F$2235,0)</f>
        <v/>
      </c>
      <c r="BG2547">
        <f>IF(IF('01_Вводные'!$B$296="Новый сезон",FALSE,FALSE),'19_Расчет_аналитики'!BG2435*CapacityAge04*'19_Расчет_аналитики'!$F$2235,0)</f>
        <v/>
      </c>
      <c r="BH2547">
        <f>IF(IF('01_Вводные'!$B$296="Новый сезон",FALSE,FALSE),'19_Расчет_аналитики'!BH2435*CapacityAge04*'19_Расчет_аналитики'!$F$2235,0)</f>
        <v/>
      </c>
      <c r="BI2547">
        <f>IF(IF('01_Вводные'!$B$296="Новый сезон",FALSE,FALSE),'19_Расчет_аналитики'!BI2435*CapacityAge04*'19_Расчет_аналитики'!$F$2235,0)</f>
        <v/>
      </c>
      <c r="BJ2547">
        <f>IF(IF('01_Вводные'!$B$296="Новый сезон",FALSE,FALSE),'19_Расчет_аналитики'!BJ2435*CapacityAge04*'19_Расчет_аналитики'!$F$2235,0)</f>
        <v/>
      </c>
      <c r="BK2547">
        <f>IF(IF('01_Вводные'!$B$296="Новый сезон",FALSE,FALSE),'19_Расчет_аналитики'!BK2435*CapacityAge04*'19_Расчет_аналитики'!$F$2235,0)</f>
        <v/>
      </c>
      <c r="BL2547">
        <f>IF(IF('01_Вводные'!$B$296="Новый сезон",FALSE,FALSE),'19_Расчет_аналитики'!BL2435*CapacityAge04*'19_Расчет_аналитики'!$F$2235,0)</f>
        <v/>
      </c>
      <c r="BM2547">
        <f>IF(IF('01_Вводные'!$B$296="Новый сезон",FALSE,FALSE),'19_Расчет_аналитики'!BM2435*CapacityAge04*'19_Расчет_аналитики'!$F$2235,0)</f>
        <v/>
      </c>
      <c r="BN2547">
        <f>IF(IF('01_Вводные'!$B$296="Новый сезон",FALSE,FALSE),'19_Расчет_аналитики'!BN2435*CapacityAge04*'19_Расчет_аналитики'!$F$2235,0)</f>
        <v/>
      </c>
      <c r="BO2547">
        <f>IF(IF('01_Вводные'!$B$296="Новый сезон",FALSE,FALSE),'19_Расчет_аналитики'!BO2435*CapacityAge04*'19_Расчет_аналитики'!$F$2235,0)</f>
        <v/>
      </c>
    </row>
    <row r="2548">
      <c r="B2548">
        <f>IF(IF('01_Вводные'!$B$296="Новый сезон",5-1&gt;MOD(MONTH('06_Сеть_и_дети'!B$3)-9,12),FALSE),'06_Сеть_и_дети'!B57*CapacityAge05*'19_Расчет_аналитики'!$F$2235,0)</f>
        <v/>
      </c>
      <c r="C2548">
        <f>IF(IF('01_Вводные'!$B$296="Новый сезон",5-1&gt;MOD(MONTH('06_Сеть_и_дети'!C$3)-9,12),FALSE),'06_Сеть_и_дети'!C57*CapacityAge05*'19_Расчет_аналитики'!$F$2235,0)</f>
        <v/>
      </c>
      <c r="D2548">
        <f>IF(IF('01_Вводные'!$B$296="Новый сезон",5-1&gt;MOD(MONTH('06_Сеть_и_дети'!D$3)-9,12),FALSE),'06_Сеть_и_дети'!D57*CapacityAge05*'19_Расчет_аналитики'!$F$2235,0)</f>
        <v/>
      </c>
      <c r="E2548">
        <f>IF(IF('01_Вводные'!$B$296="Новый сезон",5-1&gt;MOD(MONTH('06_Сеть_и_дети'!E$3)-9,12),FALSE),'06_Сеть_и_дети'!E57*CapacityAge05*'19_Расчет_аналитики'!$F$2235,0)</f>
        <v/>
      </c>
      <c r="F2548">
        <f>IF(IF('01_Вводные'!$B$296="Новый сезон",5-1&gt;MOD(MONTH('06_Сеть_и_дети'!F$3)-9,12),FALSE),'19_Расчет_аналитики'!F2436*CapacityAge05*'19_Расчет_аналитики'!$F$2235,0)</f>
        <v/>
      </c>
      <c r="G2548">
        <f>IF(IF('01_Вводные'!$B$296="Новый сезон",5-1&gt;MOD(MONTH('06_Сеть_и_дети'!G$3)-9,12),FALSE),'19_Расчет_аналитики'!G2436*CapacityAge05*'19_Расчет_аналитики'!$F$2235,0)</f>
        <v/>
      </c>
      <c r="H2548">
        <f>IF(IF('01_Вводные'!$B$296="Новый сезон",5-1&gt;MOD(MONTH('06_Сеть_и_дети'!H$3)-9,12),FALSE),'19_Расчет_аналитики'!H2436*CapacityAge05*'19_Расчет_аналитики'!$F$2235,0)</f>
        <v/>
      </c>
      <c r="I2548">
        <f>IF(IF('01_Вводные'!$B$296="Новый сезон",5-1&gt;MOD(MONTH('06_Сеть_и_дети'!I$3)-9,12),FALSE),'19_Расчет_аналитики'!I2436*CapacityAge05*'19_Расчет_аналитики'!$F$2235,0)</f>
        <v/>
      </c>
      <c r="J2548">
        <f>IF(IF('01_Вводные'!$B$296="Новый сезон",5-1&gt;MOD(MONTH('06_Сеть_и_дети'!J$3)-9,12),FALSE),'19_Расчет_аналитики'!J2436*CapacityAge05*'19_Расчет_аналитики'!$F$2235,0)</f>
        <v/>
      </c>
      <c r="K2548">
        <f>IF(IF('01_Вводные'!$B$296="Новый сезон",5-1&gt;MOD(MONTH('06_Сеть_и_дети'!K$3)-9,12),FALSE),'19_Расчет_аналитики'!K2436*CapacityAge05*'19_Расчет_аналитики'!$F$2235,0)</f>
        <v/>
      </c>
      <c r="L2548">
        <f>IF(IF('01_Вводные'!$B$296="Новый сезон",5-1&gt;MOD(MONTH('06_Сеть_и_дети'!L$3)-9,12),FALSE),'19_Расчет_аналитики'!L2436*CapacityAge05*'19_Расчет_аналитики'!$F$2235,0)</f>
        <v/>
      </c>
      <c r="M2548">
        <f>IF(IF('01_Вводные'!$B$296="Новый сезон",5-1&gt;MOD(MONTH('06_Сеть_и_дети'!M$3)-9,12),FALSE),'19_Расчет_аналитики'!M2436*CapacityAge05*'19_Расчет_аналитики'!$F$2235,0)</f>
        <v/>
      </c>
      <c r="N2548">
        <f>IF(IF('01_Вводные'!$B$296="Новый сезон",5-1&gt;MOD(MONTH('06_Сеть_и_дети'!N$3)-9,12),FALSE),'19_Расчет_аналитики'!N2436*CapacityAge05*'19_Расчет_аналитики'!$F$2235,0)</f>
        <v/>
      </c>
      <c r="O2548">
        <f>IF(IF('01_Вводные'!$B$296="Новый сезон",5-1&gt;MOD(MONTH('06_Сеть_и_дети'!O$3)-9,12),FALSE),'19_Расчет_аналитики'!O2436*CapacityAge05*'19_Расчет_аналитики'!$F$2235,0)</f>
        <v/>
      </c>
      <c r="P2548">
        <f>IF(IF('01_Вводные'!$B$296="Новый сезон",5-1&gt;MOD(MONTH('06_Сеть_и_дети'!P$3)-9,12),FALSE),'19_Расчет_аналитики'!P2436*CapacityAge05*'19_Расчет_аналитики'!$F$2235,0)</f>
        <v/>
      </c>
      <c r="Q2548">
        <f>IF(IF('01_Вводные'!$B$296="Новый сезон",5-1&gt;MOD(MONTH('06_Сеть_и_дети'!Q$3)-9,12),FALSE),'19_Расчет_аналитики'!Q2436*CapacityAge05*'19_Расчет_аналитики'!$F$2235,0)</f>
        <v/>
      </c>
      <c r="R2548">
        <f>IF(IF('01_Вводные'!$B$296="Новый сезон",5-1&gt;MOD(MONTH('06_Сеть_и_дети'!R$3)-9,12),FALSE),'19_Расчет_аналитики'!R2436*CapacityAge05*'19_Расчет_аналитики'!$F$2235,0)</f>
        <v/>
      </c>
      <c r="S2548">
        <f>IF(IF('01_Вводные'!$B$296="Новый сезон",5-1&gt;MOD(MONTH('06_Сеть_и_дети'!S$3)-9,12),FALSE),'19_Расчет_аналитики'!S2436*CapacityAge05*'19_Расчет_аналитики'!$F$2235,0)</f>
        <v/>
      </c>
      <c r="T2548">
        <f>IF(IF('01_Вводные'!$B$296="Новый сезон",5-1&gt;MOD(MONTH('06_Сеть_и_дети'!T$3)-9,12),FALSE),'19_Расчет_аналитики'!T2436*CapacityAge05*'19_Расчет_аналитики'!$F$2235,0)</f>
        <v/>
      </c>
      <c r="U2548">
        <f>IF(IF('01_Вводные'!$B$296="Новый сезон",5-1&gt;MOD(MONTH('06_Сеть_и_дети'!U$3)-9,12),FALSE),'19_Расчет_аналитики'!U2436*CapacityAge05*'19_Расчет_аналитики'!$F$2235,0)</f>
        <v/>
      </c>
      <c r="V2548">
        <f>IF(IF('01_Вводные'!$B$296="Новый сезон",5-1&gt;MOD(MONTH('06_Сеть_и_дети'!V$3)-9,12),FALSE),'19_Расчет_аналитики'!V2436*CapacityAge05*'19_Расчет_аналитики'!$F$2235,0)</f>
        <v/>
      </c>
      <c r="W2548">
        <f>IF(IF('01_Вводные'!$B$296="Новый сезон",5-1&gt;MOD(MONTH('06_Сеть_и_дети'!W$3)-9,12),FALSE),'19_Расчет_аналитики'!W2436*CapacityAge05*'19_Расчет_аналитики'!$F$2235,0)</f>
        <v/>
      </c>
      <c r="X2548">
        <f>IF(IF('01_Вводные'!$B$296="Новый сезон",5-1&gt;MOD(MONTH('06_Сеть_и_дети'!X$3)-9,12),FALSE),'19_Расчет_аналитики'!X2436*CapacityAge05*'19_Расчет_аналитики'!$F$2235,0)</f>
        <v/>
      </c>
      <c r="Y2548">
        <f>IF(IF('01_Вводные'!$B$296="Новый сезон",5-1&gt;MOD(MONTH('06_Сеть_и_дети'!Y$3)-9,12),FALSE),'19_Расчет_аналитики'!Y2436*CapacityAge05*'19_Расчет_аналитики'!$F$2235,0)</f>
        <v/>
      </c>
      <c r="Z2548">
        <f>IF(IF('01_Вводные'!$B$296="Новый сезон",5-1&gt;MOD(MONTH('06_Сеть_и_дети'!Z$3)-9,12),FALSE),'19_Расчет_аналитики'!Z2436*CapacityAge05*'19_Расчет_аналитики'!$F$2235,0)</f>
        <v/>
      </c>
      <c r="AA2548">
        <f>IF(IF('01_Вводные'!$B$296="Новый сезон",5-1&gt;MOD(MONTH('06_Сеть_и_дети'!AA$3)-9,12),FALSE),'19_Расчет_аналитики'!AA2436*CapacityAge05*'19_Расчет_аналитики'!$F$2235,0)</f>
        <v/>
      </c>
      <c r="AB2548">
        <f>IF(IF('01_Вводные'!$B$296="Новый сезон",5-1&gt;MOD(MONTH('06_Сеть_и_дети'!AB$3)-9,12),FALSE),'19_Расчет_аналитики'!AB2436*CapacityAge05*'19_Расчет_аналитики'!$F$2235,0)</f>
        <v/>
      </c>
      <c r="AC2548">
        <f>IF(IF('01_Вводные'!$B$296="Новый сезон",5-1&gt;MOD(MONTH('06_Сеть_и_дети'!AC$3)-9,12),FALSE),'19_Расчет_аналитики'!AC2436*CapacityAge05*'19_Расчет_аналитики'!$F$2235,0)</f>
        <v/>
      </c>
      <c r="AD2548">
        <f>IF(IF('01_Вводные'!$B$296="Новый сезон",5-1&gt;MOD(MONTH('06_Сеть_и_дети'!AD$3)-9,12),FALSE),'19_Расчет_аналитики'!AD2436*CapacityAge05*'19_Расчет_аналитики'!$F$2235,0)</f>
        <v/>
      </c>
      <c r="AE2548">
        <f>IF(IF('01_Вводные'!$B$296="Новый сезон",5-1&gt;MOD(MONTH('06_Сеть_и_дети'!AE$3)-9,12),FALSE),'19_Расчет_аналитики'!AE2436*CapacityAge05*'19_Расчет_аналитики'!$F$2235,0)</f>
        <v/>
      </c>
      <c r="AF2548">
        <f>IF(IF('01_Вводные'!$B$296="Новый сезон",5-1&gt;MOD(MONTH('06_Сеть_и_дети'!AF$3)-9,12),FALSE),'19_Расчет_аналитики'!AF2436*CapacityAge05*'19_Расчет_аналитики'!$F$2235,0)</f>
        <v/>
      </c>
      <c r="AG2548">
        <f>IF(IF('01_Вводные'!$B$296="Новый сезон",5-1&gt;MOD(MONTH('06_Сеть_и_дети'!AG$3)-9,12),FALSE),'19_Расчет_аналитики'!AG2436*CapacityAge05*'19_Расчет_аналитики'!$F$2235,0)</f>
        <v/>
      </c>
      <c r="AH2548">
        <f>IF(IF('01_Вводные'!$B$296="Новый сезон",5-1&gt;MOD(MONTH('06_Сеть_и_дети'!AH$3)-9,12),FALSE),'19_Расчет_аналитики'!AH2436*CapacityAge05*'19_Расчет_аналитики'!$F$2235,0)</f>
        <v/>
      </c>
      <c r="AI2548">
        <f>IF(IF('01_Вводные'!$B$296="Новый сезон",5-1&gt;MOD(MONTH('06_Сеть_и_дети'!AI$3)-9,12),FALSE),'19_Расчет_аналитики'!AI2436*CapacityAge05*'19_Расчет_аналитики'!$F$2235,0)</f>
        <v/>
      </c>
      <c r="AJ2548">
        <f>IF(IF('01_Вводные'!$B$296="Новый сезон",5-1&gt;MOD(MONTH('06_Сеть_и_дети'!AJ$3)-9,12),FALSE),'19_Расчет_аналитики'!AJ2436*CapacityAge05*'19_Расчет_аналитики'!$F$2235,0)</f>
        <v/>
      </c>
      <c r="AK2548">
        <f>IF(IF('01_Вводные'!$B$296="Новый сезон",5-1&gt;MOD(MONTH('06_Сеть_и_дети'!AK$3)-9,12),FALSE),'19_Расчет_аналитики'!AK2436*CapacityAge05*'19_Расчет_аналитики'!$F$2235,0)</f>
        <v/>
      </c>
      <c r="AL2548">
        <f>IF(IF('01_Вводные'!$B$296="Новый сезон",5-1&gt;MOD(MONTH('06_Сеть_и_дети'!AL$3)-9,12),FALSE),'19_Расчет_аналитики'!AL2436*CapacityAge05*'19_Расчет_аналитики'!$F$2235,0)</f>
        <v/>
      </c>
      <c r="AM2548">
        <f>IF(IF('01_Вводные'!$B$296="Новый сезон",5-1&gt;MOD(MONTH('06_Сеть_и_дети'!AM$3)-9,12),FALSE),'19_Расчет_аналитики'!AM2436*CapacityAge05*'19_Расчет_аналитики'!$F$2235,0)</f>
        <v/>
      </c>
      <c r="AN2548">
        <f>IF(IF('01_Вводные'!$B$296="Новый сезон",5-1&gt;MOD(MONTH('06_Сеть_и_дети'!AN$3)-9,12),FALSE),'19_Расчет_аналитики'!AN2436*CapacityAge05*'19_Расчет_аналитики'!$F$2235,0)</f>
        <v/>
      </c>
      <c r="AO2548">
        <f>IF(IF('01_Вводные'!$B$296="Новый сезон",5-1&gt;MOD(MONTH('06_Сеть_и_дети'!AO$3)-9,12),FALSE),'19_Расчет_аналитики'!AO2436*CapacityAge05*'19_Расчет_аналитики'!$F$2235,0)</f>
        <v/>
      </c>
      <c r="AP2548">
        <f>IF(IF('01_Вводные'!$B$296="Новый сезон",5-1&gt;MOD(MONTH('06_Сеть_и_дети'!AP$3)-9,12),FALSE),'19_Расчет_аналитики'!AP2436*CapacityAge05*'19_Расчет_аналитики'!$F$2235,0)</f>
        <v/>
      </c>
      <c r="AQ2548">
        <f>IF(IF('01_Вводные'!$B$296="Новый сезон",5-1&gt;MOD(MONTH('06_Сеть_и_дети'!AQ$3)-9,12),FALSE),'19_Расчет_аналитики'!AQ2436*CapacityAge05*'19_Расчет_аналитики'!$F$2235,0)</f>
        <v/>
      </c>
      <c r="AR2548">
        <f>IF(IF('01_Вводные'!$B$296="Новый сезон",5-1&gt;MOD(MONTH('06_Сеть_и_дети'!AR$3)-9,12),FALSE),'19_Расчет_аналитики'!AR2436*CapacityAge05*'19_Расчет_аналитики'!$F$2235,0)</f>
        <v/>
      </c>
      <c r="AS2548">
        <f>IF(IF('01_Вводные'!$B$296="Новый сезон",5-1&gt;MOD(MONTH('06_Сеть_и_дети'!AS$3)-9,12),FALSE),'19_Расчет_аналитики'!AS2436*CapacityAge05*'19_Расчет_аналитики'!$F$2235,0)</f>
        <v/>
      </c>
      <c r="AT2548">
        <f>IF(IF('01_Вводные'!$B$296="Новый сезон",5-1&gt;MOD(MONTH('06_Сеть_и_дети'!AT$3)-9,12),FALSE),'19_Расчет_аналитики'!AT2436*CapacityAge05*'19_Расчет_аналитики'!$F$2235,0)</f>
        <v/>
      </c>
      <c r="AU2548">
        <f>IF(IF('01_Вводные'!$B$296="Новый сезон",5-1&gt;MOD(MONTH('06_Сеть_и_дети'!AU$3)-9,12),FALSE),'19_Расчет_аналитики'!AU2436*CapacityAge05*'19_Расчет_аналитики'!$F$2235,0)</f>
        <v/>
      </c>
      <c r="AV2548">
        <f>IF(IF('01_Вводные'!$B$296="Новый сезон",5-1&gt;MOD(MONTH('06_Сеть_и_дети'!AV$3)-9,12),FALSE),'19_Расчет_аналитики'!AV2436*CapacityAge05*'19_Расчет_аналитики'!$F$2235,0)</f>
        <v/>
      </c>
      <c r="AW2548">
        <f>IF(IF('01_Вводные'!$B$296="Новый сезон",5-1&gt;MOD(MONTH('06_Сеть_и_дети'!AW$3)-9,12),FALSE),'19_Расчет_аналитики'!AW2436*CapacityAge05*'19_Расчет_аналитики'!$F$2235,0)</f>
        <v/>
      </c>
      <c r="AX2548">
        <f>IF(IF('01_Вводные'!$B$296="Новый сезон",5-1&gt;MOD(MONTH('06_Сеть_и_дети'!AX$3)-9,12),FALSE),'19_Расчет_аналитики'!AX2436*CapacityAge05*'19_Расчет_аналитики'!$F$2235,0)</f>
        <v/>
      </c>
      <c r="AY2548">
        <f>IF(IF('01_Вводные'!$B$296="Новый сезон",5-1&gt;MOD(MONTH('06_Сеть_и_дети'!AY$3)-9,12),FALSE),'19_Расчет_аналитики'!AY2436*CapacityAge05*'19_Расчет_аналитики'!$F$2235,0)</f>
        <v/>
      </c>
      <c r="AZ2548">
        <f>IF(IF('01_Вводные'!$B$296="Новый сезон",5-1&gt;MOD(MONTH('06_Сеть_и_дети'!AZ$3)-9,12),FALSE),'19_Расчет_аналитики'!AZ2436*CapacityAge05*'19_Расчет_аналитики'!$F$2235,0)</f>
        <v/>
      </c>
      <c r="BA2548">
        <f>IF(IF('01_Вводные'!$B$296="Новый сезон",5-1&gt;MOD(MONTH('06_Сеть_и_дети'!BA$3)-9,12),FALSE),'19_Расчет_аналитики'!BA2436*CapacityAge05*'19_Расчет_аналитики'!$F$2235,0)</f>
        <v/>
      </c>
      <c r="BB2548">
        <f>IF(IF('01_Вводные'!$B$296="Новый сезон",5-1&gt;MOD(MONTH('06_Сеть_и_дети'!BB$3)-9,12),FALSE),'19_Расчет_аналитики'!BB2436*CapacityAge05*'19_Расчет_аналитики'!$F$2235,0)</f>
        <v/>
      </c>
      <c r="BC2548">
        <f>IF(IF('01_Вводные'!$B$296="Новый сезон",5-1&gt;MOD(MONTH('06_Сеть_и_дети'!BC$3)-9,12),FALSE),'19_Расчет_аналитики'!BC2436*CapacityAge05*'19_Расчет_аналитики'!$F$2235,0)</f>
        <v/>
      </c>
      <c r="BD2548">
        <f>IF(IF('01_Вводные'!$B$296="Новый сезон",5-1&gt;MOD(MONTH('06_Сеть_и_дети'!BD$3)-9,12),FALSE),'19_Расчет_аналитики'!BD2436*CapacityAge05*'19_Расчет_аналитики'!$F$2235,0)</f>
        <v/>
      </c>
      <c r="BE2548">
        <f>IF(IF('01_Вводные'!$B$296="Новый сезон",5-1&gt;MOD(MONTH('06_Сеть_и_дети'!BE$3)-9,12),FALSE),'19_Расчет_аналитики'!BE2436*CapacityAge05*'19_Расчет_аналитики'!$F$2235,0)</f>
        <v/>
      </c>
      <c r="BF2548">
        <f>IF(IF('01_Вводные'!$B$296="Новый сезон",5-1&gt;MOD(MONTH('06_Сеть_и_дети'!BF$3)-9,12),FALSE),'19_Расчет_аналитики'!BF2436*CapacityAge05*'19_Расчет_аналитики'!$F$2235,0)</f>
        <v/>
      </c>
      <c r="BG2548">
        <f>IF(IF('01_Вводные'!$B$296="Новый сезон",5-1&gt;MOD(MONTH('06_Сеть_и_дети'!BG$3)-9,12),FALSE),'19_Расчет_аналитики'!BG2436*CapacityAge05*'19_Расчет_аналитики'!$F$2235,0)</f>
        <v/>
      </c>
      <c r="BH2548">
        <f>IF(IF('01_Вводные'!$B$296="Новый сезон",5-1&gt;MOD(MONTH('06_Сеть_и_дети'!BH$3)-9,12),FALSE),'19_Расчет_аналитики'!BH2436*CapacityAge05*'19_Расчет_аналитики'!$F$2235,0)</f>
        <v/>
      </c>
      <c r="BI2548">
        <f>IF(IF('01_Вводные'!$B$296="Новый сезон",5-1&gt;MOD(MONTH('06_Сеть_и_дети'!BI$3)-9,12),FALSE),'19_Расчет_аналитики'!BI2436*CapacityAge05*'19_Расчет_аналитики'!$F$2235,0)</f>
        <v/>
      </c>
      <c r="BJ2548">
        <f>IF(IF('01_Вводные'!$B$296="Новый сезон",5-1&gt;MOD(MONTH('06_Сеть_и_дети'!BJ$3)-9,12),FALSE),'19_Расчет_аналитики'!BJ2436*CapacityAge05*'19_Расчет_аналитики'!$F$2235,0)</f>
        <v/>
      </c>
      <c r="BK2548">
        <f>IF(IF('01_Вводные'!$B$296="Новый сезон",5-1&gt;MOD(MONTH('06_Сеть_и_дети'!BK$3)-9,12),FALSE),'19_Расчет_аналитики'!BK2436*CapacityAge05*'19_Расчет_аналитики'!$F$2235,0)</f>
        <v/>
      </c>
      <c r="BL2548">
        <f>IF(IF('01_Вводные'!$B$296="Новый сезон",5-1&gt;MOD(MONTH('06_Сеть_и_дети'!BL$3)-9,12),FALSE),'19_Расчет_аналитики'!BL2436*CapacityAge05*'19_Расчет_аналитики'!$F$2235,0)</f>
        <v/>
      </c>
      <c r="BM2548">
        <f>IF(IF('01_Вводные'!$B$296="Новый сезон",5-1&gt;MOD(MONTH('06_Сеть_и_дети'!BM$3)-9,12),FALSE),'19_Расчет_аналитики'!BM2436*CapacityAge05*'19_Расчет_аналитики'!$F$2235,0)</f>
        <v/>
      </c>
      <c r="BN2548">
        <f>IF(IF('01_Вводные'!$B$296="Новый сезон",5-1&gt;MOD(MONTH('06_Сеть_и_дети'!BN$3)-9,12),FALSE),'19_Расчет_аналитики'!BN2436*CapacityAge05*'19_Расчет_аналитики'!$F$2235,0)</f>
        <v/>
      </c>
      <c r="BO2548">
        <f>IF(IF('01_Вводные'!$B$296="Новый сезон",5-1&gt;MOD(MONTH('06_Сеть_и_дети'!BO$3)-9,12),FALSE),'19_Расчет_аналитики'!BO2436*CapacityAge05*'19_Расчет_аналитики'!$F$2235,0)</f>
        <v/>
      </c>
    </row>
    <row r="2549">
      <c r="B2549">
        <f>IF(IF('01_Вводные'!$B$296="Новый сезон",6-1&gt;MOD(MONTH('06_Сеть_и_дети'!B$3)-9,12),FALSE),'06_Сеть_и_дети'!B58*CapacityAge06*'19_Расчет_аналитики'!$F$2235,0)</f>
        <v/>
      </c>
      <c r="C2549">
        <f>IF(IF('01_Вводные'!$B$296="Новый сезон",6-1&gt;MOD(MONTH('06_Сеть_и_дети'!C$3)-9,12),FALSE),'06_Сеть_и_дети'!C58*CapacityAge06*'19_Расчет_аналитики'!$F$2235,0)</f>
        <v/>
      </c>
      <c r="D2549">
        <f>IF(IF('01_Вводные'!$B$296="Новый сезон",6-1&gt;MOD(MONTH('06_Сеть_и_дети'!D$3)-9,12),FALSE),'06_Сеть_и_дети'!D58*CapacityAge06*'19_Расчет_аналитики'!$F$2235,0)</f>
        <v/>
      </c>
      <c r="E2549">
        <f>IF(IF('01_Вводные'!$B$296="Новый сезон",6-1&gt;MOD(MONTH('06_Сеть_и_дети'!E$3)-9,12),FALSE),'06_Сеть_и_дети'!E58*CapacityAge06*'19_Расчет_аналитики'!$F$2235,0)</f>
        <v/>
      </c>
      <c r="F2549">
        <f>IF(IF('01_Вводные'!$B$296="Новый сезон",6-1&gt;MOD(MONTH('06_Сеть_и_дети'!F$3)-9,12),FALSE),'06_Сеть_и_дети'!F58*CapacityAge06*'19_Расчет_аналитики'!$F$2235,0)</f>
        <v/>
      </c>
      <c r="G2549">
        <f>IF(IF('01_Вводные'!$B$296="Новый сезон",6-1&gt;MOD(MONTH('06_Сеть_и_дети'!G$3)-9,12),FALSE),'19_Расчет_аналитики'!G2437*CapacityAge06*'19_Расчет_аналитики'!$F$2235,0)</f>
        <v/>
      </c>
      <c r="H2549">
        <f>IF(IF('01_Вводные'!$B$296="Новый сезон",6-1&gt;MOD(MONTH('06_Сеть_и_дети'!H$3)-9,12),FALSE),'19_Расчет_аналитики'!H2437*CapacityAge06*'19_Расчет_аналитики'!$F$2235,0)</f>
        <v/>
      </c>
      <c r="I2549">
        <f>IF(IF('01_Вводные'!$B$296="Новый сезон",6-1&gt;MOD(MONTH('06_Сеть_и_дети'!I$3)-9,12),FALSE),'19_Расчет_аналитики'!I2437*CapacityAge06*'19_Расчет_аналитики'!$F$2235,0)</f>
        <v/>
      </c>
      <c r="J2549">
        <f>IF(IF('01_Вводные'!$B$296="Новый сезон",6-1&gt;MOD(MONTH('06_Сеть_и_дети'!J$3)-9,12),FALSE),'19_Расчет_аналитики'!J2437*CapacityAge06*'19_Расчет_аналитики'!$F$2235,0)</f>
        <v/>
      </c>
      <c r="K2549">
        <f>IF(IF('01_Вводные'!$B$296="Новый сезон",6-1&gt;MOD(MONTH('06_Сеть_и_дети'!K$3)-9,12),FALSE),'19_Расчет_аналитики'!K2437*CapacityAge06*'19_Расчет_аналитики'!$F$2235,0)</f>
        <v/>
      </c>
      <c r="L2549">
        <f>IF(IF('01_Вводные'!$B$296="Новый сезон",6-1&gt;MOD(MONTH('06_Сеть_и_дети'!L$3)-9,12),FALSE),'19_Расчет_аналитики'!L2437*CapacityAge06*'19_Расчет_аналитики'!$F$2235,0)</f>
        <v/>
      </c>
      <c r="M2549">
        <f>IF(IF('01_Вводные'!$B$296="Новый сезон",6-1&gt;MOD(MONTH('06_Сеть_и_дети'!M$3)-9,12),FALSE),'19_Расчет_аналитики'!M2437*CapacityAge06*'19_Расчет_аналитики'!$F$2235,0)</f>
        <v/>
      </c>
      <c r="N2549">
        <f>IF(IF('01_Вводные'!$B$296="Новый сезон",6-1&gt;MOD(MONTH('06_Сеть_и_дети'!N$3)-9,12),FALSE),'19_Расчет_аналитики'!N2437*CapacityAge06*'19_Расчет_аналитики'!$F$2235,0)</f>
        <v/>
      </c>
      <c r="O2549">
        <f>IF(IF('01_Вводные'!$B$296="Новый сезон",6-1&gt;MOD(MONTH('06_Сеть_и_дети'!O$3)-9,12),FALSE),'19_Расчет_аналитики'!O2437*CapacityAge06*'19_Расчет_аналитики'!$F$2235,0)</f>
        <v/>
      </c>
      <c r="P2549">
        <f>IF(IF('01_Вводные'!$B$296="Новый сезон",6-1&gt;MOD(MONTH('06_Сеть_и_дети'!P$3)-9,12),FALSE),'19_Расчет_аналитики'!P2437*CapacityAge06*'19_Расчет_аналитики'!$F$2235,0)</f>
        <v/>
      </c>
      <c r="Q2549">
        <f>IF(IF('01_Вводные'!$B$296="Новый сезон",6-1&gt;MOD(MONTH('06_Сеть_и_дети'!Q$3)-9,12),FALSE),'19_Расчет_аналитики'!Q2437*CapacityAge06*'19_Расчет_аналитики'!$F$2235,0)</f>
        <v/>
      </c>
      <c r="R2549">
        <f>IF(IF('01_Вводные'!$B$296="Новый сезон",6-1&gt;MOD(MONTH('06_Сеть_и_дети'!R$3)-9,12),FALSE),'19_Расчет_аналитики'!R2437*CapacityAge06*'19_Расчет_аналитики'!$F$2235,0)</f>
        <v/>
      </c>
      <c r="S2549">
        <f>IF(IF('01_Вводные'!$B$296="Новый сезон",6-1&gt;MOD(MONTH('06_Сеть_и_дети'!S$3)-9,12),FALSE),'19_Расчет_аналитики'!S2437*CapacityAge06*'19_Расчет_аналитики'!$F$2235,0)</f>
        <v/>
      </c>
      <c r="T2549">
        <f>IF(IF('01_Вводные'!$B$296="Новый сезон",6-1&gt;MOD(MONTH('06_Сеть_и_дети'!T$3)-9,12),FALSE),'19_Расчет_аналитики'!T2437*CapacityAge06*'19_Расчет_аналитики'!$F$2235,0)</f>
        <v/>
      </c>
      <c r="U2549">
        <f>IF(IF('01_Вводные'!$B$296="Новый сезон",6-1&gt;MOD(MONTH('06_Сеть_и_дети'!U$3)-9,12),FALSE),'19_Расчет_аналитики'!U2437*CapacityAge06*'19_Расчет_аналитики'!$F$2235,0)</f>
        <v/>
      </c>
      <c r="V2549">
        <f>IF(IF('01_Вводные'!$B$296="Новый сезон",6-1&gt;MOD(MONTH('06_Сеть_и_дети'!V$3)-9,12),FALSE),'19_Расчет_аналитики'!V2437*CapacityAge06*'19_Расчет_аналитики'!$F$2235,0)</f>
        <v/>
      </c>
      <c r="W2549">
        <f>IF(IF('01_Вводные'!$B$296="Новый сезон",6-1&gt;MOD(MONTH('06_Сеть_и_дети'!W$3)-9,12),FALSE),'19_Расчет_аналитики'!W2437*CapacityAge06*'19_Расчет_аналитики'!$F$2235,0)</f>
        <v/>
      </c>
      <c r="X2549">
        <f>IF(IF('01_Вводные'!$B$296="Новый сезон",6-1&gt;MOD(MONTH('06_Сеть_и_дети'!X$3)-9,12),FALSE),'19_Расчет_аналитики'!X2437*CapacityAge06*'19_Расчет_аналитики'!$F$2235,0)</f>
        <v/>
      </c>
      <c r="Y2549">
        <f>IF(IF('01_Вводные'!$B$296="Новый сезон",6-1&gt;MOD(MONTH('06_Сеть_и_дети'!Y$3)-9,12),FALSE),'19_Расчет_аналитики'!Y2437*CapacityAge06*'19_Расчет_аналитики'!$F$2235,0)</f>
        <v/>
      </c>
      <c r="Z2549">
        <f>IF(IF('01_Вводные'!$B$296="Новый сезон",6-1&gt;MOD(MONTH('06_Сеть_и_дети'!Z$3)-9,12),FALSE),'19_Расчет_аналитики'!Z2437*CapacityAge06*'19_Расчет_аналитики'!$F$2235,0)</f>
        <v/>
      </c>
      <c r="AA2549">
        <f>IF(IF('01_Вводные'!$B$296="Новый сезон",6-1&gt;MOD(MONTH('06_Сеть_и_дети'!AA$3)-9,12),FALSE),'19_Расчет_аналитики'!AA2437*CapacityAge06*'19_Расчет_аналитики'!$F$2235,0)</f>
        <v/>
      </c>
      <c r="AB2549">
        <f>IF(IF('01_Вводные'!$B$296="Новый сезон",6-1&gt;MOD(MONTH('06_Сеть_и_дети'!AB$3)-9,12),FALSE),'19_Расчет_аналитики'!AB2437*CapacityAge06*'19_Расчет_аналитики'!$F$2235,0)</f>
        <v/>
      </c>
      <c r="AC2549">
        <f>IF(IF('01_Вводные'!$B$296="Новый сезон",6-1&gt;MOD(MONTH('06_Сеть_и_дети'!AC$3)-9,12),FALSE),'19_Расчет_аналитики'!AC2437*CapacityAge06*'19_Расчет_аналитики'!$F$2235,0)</f>
        <v/>
      </c>
      <c r="AD2549">
        <f>IF(IF('01_Вводные'!$B$296="Новый сезон",6-1&gt;MOD(MONTH('06_Сеть_и_дети'!AD$3)-9,12),FALSE),'19_Расчет_аналитики'!AD2437*CapacityAge06*'19_Расчет_аналитики'!$F$2235,0)</f>
        <v/>
      </c>
      <c r="AE2549">
        <f>IF(IF('01_Вводные'!$B$296="Новый сезон",6-1&gt;MOD(MONTH('06_Сеть_и_дети'!AE$3)-9,12),FALSE),'19_Расчет_аналитики'!AE2437*CapacityAge06*'19_Расчет_аналитики'!$F$2235,0)</f>
        <v/>
      </c>
      <c r="AF2549">
        <f>IF(IF('01_Вводные'!$B$296="Новый сезон",6-1&gt;MOD(MONTH('06_Сеть_и_дети'!AF$3)-9,12),FALSE),'19_Расчет_аналитики'!AF2437*CapacityAge06*'19_Расчет_аналитики'!$F$2235,0)</f>
        <v/>
      </c>
      <c r="AG2549">
        <f>IF(IF('01_Вводные'!$B$296="Новый сезон",6-1&gt;MOD(MONTH('06_Сеть_и_дети'!AG$3)-9,12),FALSE),'19_Расчет_аналитики'!AG2437*CapacityAge06*'19_Расчет_аналитики'!$F$2235,0)</f>
        <v/>
      </c>
      <c r="AH2549">
        <f>IF(IF('01_Вводные'!$B$296="Новый сезон",6-1&gt;MOD(MONTH('06_Сеть_и_дети'!AH$3)-9,12),FALSE),'19_Расчет_аналитики'!AH2437*CapacityAge06*'19_Расчет_аналитики'!$F$2235,0)</f>
        <v/>
      </c>
      <c r="AI2549">
        <f>IF(IF('01_Вводные'!$B$296="Новый сезон",6-1&gt;MOD(MONTH('06_Сеть_и_дети'!AI$3)-9,12),FALSE),'19_Расчет_аналитики'!AI2437*CapacityAge06*'19_Расчет_аналитики'!$F$2235,0)</f>
        <v/>
      </c>
      <c r="AJ2549">
        <f>IF(IF('01_Вводные'!$B$296="Новый сезон",6-1&gt;MOD(MONTH('06_Сеть_и_дети'!AJ$3)-9,12),FALSE),'19_Расчет_аналитики'!AJ2437*CapacityAge06*'19_Расчет_аналитики'!$F$2235,0)</f>
        <v/>
      </c>
      <c r="AK2549">
        <f>IF(IF('01_Вводные'!$B$296="Новый сезон",6-1&gt;MOD(MONTH('06_Сеть_и_дети'!AK$3)-9,12),FALSE),'19_Расчет_аналитики'!AK2437*CapacityAge06*'19_Расчет_аналитики'!$F$2235,0)</f>
        <v/>
      </c>
      <c r="AL2549">
        <f>IF(IF('01_Вводные'!$B$296="Новый сезон",6-1&gt;MOD(MONTH('06_Сеть_и_дети'!AL$3)-9,12),FALSE),'19_Расчет_аналитики'!AL2437*CapacityAge06*'19_Расчет_аналитики'!$F$2235,0)</f>
        <v/>
      </c>
      <c r="AM2549">
        <f>IF(IF('01_Вводные'!$B$296="Новый сезон",6-1&gt;MOD(MONTH('06_Сеть_и_дети'!AM$3)-9,12),FALSE),'19_Расчет_аналитики'!AM2437*CapacityAge06*'19_Расчет_аналитики'!$F$2235,0)</f>
        <v/>
      </c>
      <c r="AN2549">
        <f>IF(IF('01_Вводные'!$B$296="Новый сезон",6-1&gt;MOD(MONTH('06_Сеть_и_дети'!AN$3)-9,12),FALSE),'19_Расчет_аналитики'!AN2437*CapacityAge06*'19_Расчет_аналитики'!$F$2235,0)</f>
        <v/>
      </c>
      <c r="AO2549">
        <f>IF(IF('01_Вводные'!$B$296="Новый сезон",6-1&gt;MOD(MONTH('06_Сеть_и_дети'!AO$3)-9,12),FALSE),'19_Расчет_аналитики'!AO2437*CapacityAge06*'19_Расчет_аналитики'!$F$2235,0)</f>
        <v/>
      </c>
      <c r="AP2549">
        <f>IF(IF('01_Вводные'!$B$296="Новый сезон",6-1&gt;MOD(MONTH('06_Сеть_и_дети'!AP$3)-9,12),FALSE),'19_Расчет_аналитики'!AP2437*CapacityAge06*'19_Расчет_аналитики'!$F$2235,0)</f>
        <v/>
      </c>
      <c r="AQ2549">
        <f>IF(IF('01_Вводные'!$B$296="Новый сезон",6-1&gt;MOD(MONTH('06_Сеть_и_дети'!AQ$3)-9,12),FALSE),'19_Расчет_аналитики'!AQ2437*CapacityAge06*'19_Расчет_аналитики'!$F$2235,0)</f>
        <v/>
      </c>
      <c r="AR2549">
        <f>IF(IF('01_Вводные'!$B$296="Новый сезон",6-1&gt;MOD(MONTH('06_Сеть_и_дети'!AR$3)-9,12),FALSE),'19_Расчет_аналитики'!AR2437*CapacityAge06*'19_Расчет_аналитики'!$F$2235,0)</f>
        <v/>
      </c>
      <c r="AS2549">
        <f>IF(IF('01_Вводные'!$B$296="Новый сезон",6-1&gt;MOD(MONTH('06_Сеть_и_дети'!AS$3)-9,12),FALSE),'19_Расчет_аналитики'!AS2437*CapacityAge06*'19_Расчет_аналитики'!$F$2235,0)</f>
        <v/>
      </c>
      <c r="AT2549">
        <f>IF(IF('01_Вводные'!$B$296="Новый сезон",6-1&gt;MOD(MONTH('06_Сеть_и_дети'!AT$3)-9,12),FALSE),'19_Расчет_аналитики'!AT2437*CapacityAge06*'19_Расчет_аналитики'!$F$2235,0)</f>
        <v/>
      </c>
      <c r="AU2549">
        <f>IF(IF('01_Вводные'!$B$296="Новый сезон",6-1&gt;MOD(MONTH('06_Сеть_и_дети'!AU$3)-9,12),FALSE),'19_Расчет_аналитики'!AU2437*CapacityAge06*'19_Расчет_аналитики'!$F$2235,0)</f>
        <v/>
      </c>
      <c r="AV2549">
        <f>IF(IF('01_Вводные'!$B$296="Новый сезон",6-1&gt;MOD(MONTH('06_Сеть_и_дети'!AV$3)-9,12),FALSE),'19_Расчет_аналитики'!AV2437*CapacityAge06*'19_Расчет_аналитики'!$F$2235,0)</f>
        <v/>
      </c>
      <c r="AW2549">
        <f>IF(IF('01_Вводные'!$B$296="Новый сезон",6-1&gt;MOD(MONTH('06_Сеть_и_дети'!AW$3)-9,12),FALSE),'19_Расчет_аналитики'!AW2437*CapacityAge06*'19_Расчет_аналитики'!$F$2235,0)</f>
        <v/>
      </c>
      <c r="AX2549">
        <f>IF(IF('01_Вводные'!$B$296="Новый сезон",6-1&gt;MOD(MONTH('06_Сеть_и_дети'!AX$3)-9,12),FALSE),'19_Расчет_аналитики'!AX2437*CapacityAge06*'19_Расчет_аналитики'!$F$2235,0)</f>
        <v/>
      </c>
      <c r="AY2549">
        <f>IF(IF('01_Вводные'!$B$296="Новый сезон",6-1&gt;MOD(MONTH('06_Сеть_и_дети'!AY$3)-9,12),FALSE),'19_Расчет_аналитики'!AY2437*CapacityAge06*'19_Расчет_аналитики'!$F$2235,0)</f>
        <v/>
      </c>
      <c r="AZ2549">
        <f>IF(IF('01_Вводные'!$B$296="Новый сезон",6-1&gt;MOD(MONTH('06_Сеть_и_дети'!AZ$3)-9,12),FALSE),'19_Расчет_аналитики'!AZ2437*CapacityAge06*'19_Расчет_аналитики'!$F$2235,0)</f>
        <v/>
      </c>
      <c r="BA2549">
        <f>IF(IF('01_Вводные'!$B$296="Новый сезон",6-1&gt;MOD(MONTH('06_Сеть_и_дети'!BA$3)-9,12),FALSE),'19_Расчет_аналитики'!BA2437*CapacityAge06*'19_Расчет_аналитики'!$F$2235,0)</f>
        <v/>
      </c>
      <c r="BB2549">
        <f>IF(IF('01_Вводные'!$B$296="Новый сезон",6-1&gt;MOD(MONTH('06_Сеть_и_дети'!BB$3)-9,12),FALSE),'19_Расчет_аналитики'!BB2437*CapacityAge06*'19_Расчет_аналитики'!$F$2235,0)</f>
        <v/>
      </c>
      <c r="BC2549">
        <f>IF(IF('01_Вводные'!$B$296="Новый сезон",6-1&gt;MOD(MONTH('06_Сеть_и_дети'!BC$3)-9,12),FALSE),'19_Расчет_аналитики'!BC2437*CapacityAge06*'19_Расчет_аналитики'!$F$2235,0)</f>
        <v/>
      </c>
      <c r="BD2549">
        <f>IF(IF('01_Вводные'!$B$296="Новый сезон",6-1&gt;MOD(MONTH('06_Сеть_и_дети'!BD$3)-9,12),FALSE),'19_Расчет_аналитики'!BD2437*CapacityAge06*'19_Расчет_аналитики'!$F$2235,0)</f>
        <v/>
      </c>
      <c r="BE2549">
        <f>IF(IF('01_Вводные'!$B$296="Новый сезон",6-1&gt;MOD(MONTH('06_Сеть_и_дети'!BE$3)-9,12),FALSE),'19_Расчет_аналитики'!BE2437*CapacityAge06*'19_Расчет_аналитики'!$F$2235,0)</f>
        <v/>
      </c>
      <c r="BF2549">
        <f>IF(IF('01_Вводные'!$B$296="Новый сезон",6-1&gt;MOD(MONTH('06_Сеть_и_дети'!BF$3)-9,12),FALSE),'19_Расчет_аналитики'!BF2437*CapacityAge06*'19_Расчет_аналитики'!$F$2235,0)</f>
        <v/>
      </c>
      <c r="BG2549">
        <f>IF(IF('01_Вводные'!$B$296="Новый сезон",6-1&gt;MOD(MONTH('06_Сеть_и_дети'!BG$3)-9,12),FALSE),'19_Расчет_аналитики'!BG2437*CapacityAge06*'19_Расчет_аналитики'!$F$2235,0)</f>
        <v/>
      </c>
      <c r="BH2549">
        <f>IF(IF('01_Вводные'!$B$296="Новый сезон",6-1&gt;MOD(MONTH('06_Сеть_и_дети'!BH$3)-9,12),FALSE),'19_Расчет_аналитики'!BH2437*CapacityAge06*'19_Расчет_аналитики'!$F$2235,0)</f>
        <v/>
      </c>
      <c r="BI2549">
        <f>IF(IF('01_Вводные'!$B$296="Новый сезон",6-1&gt;MOD(MONTH('06_Сеть_и_дети'!BI$3)-9,12),FALSE),'19_Расчет_аналитики'!BI2437*CapacityAge06*'19_Расчет_аналитики'!$F$2235,0)</f>
        <v/>
      </c>
      <c r="BJ2549">
        <f>IF(IF('01_Вводные'!$B$296="Новый сезон",6-1&gt;MOD(MONTH('06_Сеть_и_дети'!BJ$3)-9,12),FALSE),'19_Расчет_аналитики'!BJ2437*CapacityAge06*'19_Расчет_аналитики'!$F$2235,0)</f>
        <v/>
      </c>
      <c r="BK2549">
        <f>IF(IF('01_Вводные'!$B$296="Новый сезон",6-1&gt;MOD(MONTH('06_Сеть_и_дети'!BK$3)-9,12),FALSE),'19_Расчет_аналитики'!BK2437*CapacityAge06*'19_Расчет_аналитики'!$F$2235,0)</f>
        <v/>
      </c>
      <c r="BL2549">
        <f>IF(IF('01_Вводные'!$B$296="Новый сезон",6-1&gt;MOD(MONTH('06_Сеть_и_дети'!BL$3)-9,12),FALSE),'19_Расчет_аналитики'!BL2437*CapacityAge06*'19_Расчет_аналитики'!$F$2235,0)</f>
        <v/>
      </c>
      <c r="BM2549">
        <f>IF(IF('01_Вводные'!$B$296="Новый сезон",6-1&gt;MOD(MONTH('06_Сеть_и_дети'!BM$3)-9,12),FALSE),'19_Расчет_аналитики'!BM2437*CapacityAge06*'19_Расчет_аналитики'!$F$2235,0)</f>
        <v/>
      </c>
      <c r="BN2549">
        <f>IF(IF('01_Вводные'!$B$296="Новый сезон",6-1&gt;MOD(MONTH('06_Сеть_и_дети'!BN$3)-9,12),FALSE),'19_Расчет_аналитики'!BN2437*CapacityAge06*'19_Расчет_аналитики'!$F$2235,0)</f>
        <v/>
      </c>
      <c r="BO2549">
        <f>IF(IF('01_Вводные'!$B$296="Новый сезон",6-1&gt;MOD(MONTH('06_Сеть_и_дети'!BO$3)-9,12),FALSE),'19_Расчет_аналитики'!BO2437*CapacityAge06*'19_Расчет_аналитики'!$F$2235,0)</f>
        <v/>
      </c>
    </row>
    <row r="2550">
      <c r="B2550">
        <f>IF(IF('01_Вводные'!$B$296="Новый сезон",7-1&gt;MOD(MONTH('06_Сеть_и_дети'!B$3)-9,12),FALSE),'06_Сеть_и_дети'!B59*CapacityAge07*'19_Расчет_аналитики'!$F$2235,0)</f>
        <v/>
      </c>
      <c r="C2550">
        <f>IF(IF('01_Вводные'!$B$296="Новый сезон",7-1&gt;MOD(MONTH('06_Сеть_и_дети'!C$3)-9,12),FALSE),'06_Сеть_и_дети'!C59*CapacityAge07*'19_Расчет_аналитики'!$F$2235,0)</f>
        <v/>
      </c>
      <c r="D2550">
        <f>IF(IF('01_Вводные'!$B$296="Новый сезон",7-1&gt;MOD(MONTH('06_Сеть_и_дети'!D$3)-9,12),FALSE),'06_Сеть_и_дети'!D59*CapacityAge07*'19_Расчет_аналитики'!$F$2235,0)</f>
        <v/>
      </c>
      <c r="E2550">
        <f>IF(IF('01_Вводные'!$B$296="Новый сезон",7-1&gt;MOD(MONTH('06_Сеть_и_дети'!E$3)-9,12),FALSE),'06_Сеть_и_дети'!E59*CapacityAge07*'19_Расчет_аналитики'!$F$2235,0)</f>
        <v/>
      </c>
      <c r="F2550">
        <f>IF(IF('01_Вводные'!$B$296="Новый сезон",7-1&gt;MOD(MONTH('06_Сеть_и_дети'!F$3)-9,12),FALSE),'06_Сеть_и_дети'!F59*CapacityAge07*'19_Расчет_аналитики'!$F$2235,0)</f>
        <v/>
      </c>
      <c r="G2550">
        <f>IF(IF('01_Вводные'!$B$296="Новый сезон",7-1&gt;MOD(MONTH('06_Сеть_и_дети'!G$3)-9,12),FALSE),'06_Сеть_и_дети'!G59*CapacityAge07*'19_Расчет_аналитики'!$F$2235,0)</f>
        <v/>
      </c>
      <c r="H2550">
        <f>IF(IF('01_Вводные'!$B$296="Новый сезон",7-1&gt;MOD(MONTH('06_Сеть_и_дети'!H$3)-9,12),FALSE),'19_Расчет_аналитики'!H2438*CapacityAge07*'19_Расчет_аналитики'!$F$2235,0)</f>
        <v/>
      </c>
      <c r="I2550">
        <f>IF(IF('01_Вводные'!$B$296="Новый сезон",7-1&gt;MOD(MONTH('06_Сеть_и_дети'!I$3)-9,12),FALSE),'19_Расчет_аналитики'!I2438*CapacityAge07*'19_Расчет_аналитики'!$F$2235,0)</f>
        <v/>
      </c>
      <c r="J2550">
        <f>IF(IF('01_Вводные'!$B$296="Новый сезон",7-1&gt;MOD(MONTH('06_Сеть_и_дети'!J$3)-9,12),FALSE),'19_Расчет_аналитики'!J2438*CapacityAge07*'19_Расчет_аналитики'!$F$2235,0)</f>
        <v/>
      </c>
      <c r="K2550">
        <f>IF(IF('01_Вводные'!$B$296="Новый сезон",7-1&gt;MOD(MONTH('06_Сеть_и_дети'!K$3)-9,12),FALSE),'19_Расчет_аналитики'!K2438*CapacityAge07*'19_Расчет_аналитики'!$F$2235,0)</f>
        <v/>
      </c>
      <c r="L2550">
        <f>IF(IF('01_Вводные'!$B$296="Новый сезон",7-1&gt;MOD(MONTH('06_Сеть_и_дети'!L$3)-9,12),FALSE),'19_Расчет_аналитики'!L2438*CapacityAge07*'19_Расчет_аналитики'!$F$2235,0)</f>
        <v/>
      </c>
      <c r="M2550">
        <f>IF(IF('01_Вводные'!$B$296="Новый сезон",7-1&gt;MOD(MONTH('06_Сеть_и_дети'!M$3)-9,12),FALSE),'19_Расчет_аналитики'!M2438*CapacityAge07*'19_Расчет_аналитики'!$F$2235,0)</f>
        <v/>
      </c>
      <c r="N2550">
        <f>IF(IF('01_Вводные'!$B$296="Новый сезон",7-1&gt;MOD(MONTH('06_Сеть_и_дети'!N$3)-9,12),FALSE),'19_Расчет_аналитики'!N2438*CapacityAge07*'19_Расчет_аналитики'!$F$2235,0)</f>
        <v/>
      </c>
      <c r="O2550">
        <f>IF(IF('01_Вводные'!$B$296="Новый сезон",7-1&gt;MOD(MONTH('06_Сеть_и_дети'!O$3)-9,12),FALSE),'19_Расчет_аналитики'!O2438*CapacityAge07*'19_Расчет_аналитики'!$F$2235,0)</f>
        <v/>
      </c>
      <c r="P2550">
        <f>IF(IF('01_Вводные'!$B$296="Новый сезон",7-1&gt;MOD(MONTH('06_Сеть_и_дети'!P$3)-9,12),FALSE),'19_Расчет_аналитики'!P2438*CapacityAge07*'19_Расчет_аналитики'!$F$2235,0)</f>
        <v/>
      </c>
      <c r="Q2550">
        <f>IF(IF('01_Вводные'!$B$296="Новый сезон",7-1&gt;MOD(MONTH('06_Сеть_и_дети'!Q$3)-9,12),FALSE),'19_Расчет_аналитики'!Q2438*CapacityAge07*'19_Расчет_аналитики'!$F$2235,0)</f>
        <v/>
      </c>
      <c r="R2550">
        <f>IF(IF('01_Вводные'!$B$296="Новый сезон",7-1&gt;MOD(MONTH('06_Сеть_и_дети'!R$3)-9,12),FALSE),'19_Расчет_аналитики'!R2438*CapacityAge07*'19_Расчет_аналитики'!$F$2235,0)</f>
        <v/>
      </c>
      <c r="S2550">
        <f>IF(IF('01_Вводные'!$B$296="Новый сезон",7-1&gt;MOD(MONTH('06_Сеть_и_дети'!S$3)-9,12),FALSE),'19_Расчет_аналитики'!S2438*CapacityAge07*'19_Расчет_аналитики'!$F$2235,0)</f>
        <v/>
      </c>
      <c r="T2550">
        <f>IF(IF('01_Вводные'!$B$296="Новый сезон",7-1&gt;MOD(MONTH('06_Сеть_и_дети'!T$3)-9,12),FALSE),'19_Расчет_аналитики'!T2438*CapacityAge07*'19_Расчет_аналитики'!$F$2235,0)</f>
        <v/>
      </c>
      <c r="U2550">
        <f>IF(IF('01_Вводные'!$B$296="Новый сезон",7-1&gt;MOD(MONTH('06_Сеть_и_дети'!U$3)-9,12),FALSE),'19_Расчет_аналитики'!U2438*CapacityAge07*'19_Расчет_аналитики'!$F$2235,0)</f>
        <v/>
      </c>
      <c r="V2550">
        <f>IF(IF('01_Вводные'!$B$296="Новый сезон",7-1&gt;MOD(MONTH('06_Сеть_и_дети'!V$3)-9,12),FALSE),'19_Расчет_аналитики'!V2438*CapacityAge07*'19_Расчет_аналитики'!$F$2235,0)</f>
        <v/>
      </c>
      <c r="W2550">
        <f>IF(IF('01_Вводные'!$B$296="Новый сезон",7-1&gt;MOD(MONTH('06_Сеть_и_дети'!W$3)-9,12),FALSE),'19_Расчет_аналитики'!W2438*CapacityAge07*'19_Расчет_аналитики'!$F$2235,0)</f>
        <v/>
      </c>
      <c r="X2550">
        <f>IF(IF('01_Вводные'!$B$296="Новый сезон",7-1&gt;MOD(MONTH('06_Сеть_и_дети'!X$3)-9,12),FALSE),'19_Расчет_аналитики'!X2438*CapacityAge07*'19_Расчет_аналитики'!$F$2235,0)</f>
        <v/>
      </c>
      <c r="Y2550">
        <f>IF(IF('01_Вводные'!$B$296="Новый сезон",7-1&gt;MOD(MONTH('06_Сеть_и_дети'!Y$3)-9,12),FALSE),'19_Расчет_аналитики'!Y2438*CapacityAge07*'19_Расчет_аналитики'!$F$2235,0)</f>
        <v/>
      </c>
      <c r="Z2550">
        <f>IF(IF('01_Вводные'!$B$296="Новый сезон",7-1&gt;MOD(MONTH('06_Сеть_и_дети'!Z$3)-9,12),FALSE),'19_Расчет_аналитики'!Z2438*CapacityAge07*'19_Расчет_аналитики'!$F$2235,0)</f>
        <v/>
      </c>
      <c r="AA2550">
        <f>IF(IF('01_Вводные'!$B$296="Новый сезон",7-1&gt;MOD(MONTH('06_Сеть_и_дети'!AA$3)-9,12),FALSE),'19_Расчет_аналитики'!AA2438*CapacityAge07*'19_Расчет_аналитики'!$F$2235,0)</f>
        <v/>
      </c>
      <c r="AB2550">
        <f>IF(IF('01_Вводные'!$B$296="Новый сезон",7-1&gt;MOD(MONTH('06_Сеть_и_дети'!AB$3)-9,12),FALSE),'19_Расчет_аналитики'!AB2438*CapacityAge07*'19_Расчет_аналитики'!$F$2235,0)</f>
        <v/>
      </c>
      <c r="AC2550">
        <f>IF(IF('01_Вводные'!$B$296="Новый сезон",7-1&gt;MOD(MONTH('06_Сеть_и_дети'!AC$3)-9,12),FALSE),'19_Расчет_аналитики'!AC2438*CapacityAge07*'19_Расчет_аналитики'!$F$2235,0)</f>
        <v/>
      </c>
      <c r="AD2550">
        <f>IF(IF('01_Вводные'!$B$296="Новый сезон",7-1&gt;MOD(MONTH('06_Сеть_и_дети'!AD$3)-9,12),FALSE),'19_Расчет_аналитики'!AD2438*CapacityAge07*'19_Расчет_аналитики'!$F$2235,0)</f>
        <v/>
      </c>
      <c r="AE2550">
        <f>IF(IF('01_Вводные'!$B$296="Новый сезон",7-1&gt;MOD(MONTH('06_Сеть_и_дети'!AE$3)-9,12),FALSE),'19_Расчет_аналитики'!AE2438*CapacityAge07*'19_Расчет_аналитики'!$F$2235,0)</f>
        <v/>
      </c>
      <c r="AF2550">
        <f>IF(IF('01_Вводные'!$B$296="Новый сезон",7-1&gt;MOD(MONTH('06_Сеть_и_дети'!AF$3)-9,12),FALSE),'19_Расчет_аналитики'!AF2438*CapacityAge07*'19_Расчет_аналитики'!$F$2235,0)</f>
        <v/>
      </c>
      <c r="AG2550">
        <f>IF(IF('01_Вводные'!$B$296="Новый сезон",7-1&gt;MOD(MONTH('06_Сеть_и_дети'!AG$3)-9,12),FALSE),'19_Расчет_аналитики'!AG2438*CapacityAge07*'19_Расчет_аналитики'!$F$2235,0)</f>
        <v/>
      </c>
      <c r="AH2550">
        <f>IF(IF('01_Вводные'!$B$296="Новый сезон",7-1&gt;MOD(MONTH('06_Сеть_и_дети'!AH$3)-9,12),FALSE),'19_Расчет_аналитики'!AH2438*CapacityAge07*'19_Расчет_аналитики'!$F$2235,0)</f>
        <v/>
      </c>
      <c r="AI2550">
        <f>IF(IF('01_Вводные'!$B$296="Новый сезон",7-1&gt;MOD(MONTH('06_Сеть_и_дети'!AI$3)-9,12),FALSE),'19_Расчет_аналитики'!AI2438*CapacityAge07*'19_Расчет_аналитики'!$F$2235,0)</f>
        <v/>
      </c>
      <c r="AJ2550">
        <f>IF(IF('01_Вводные'!$B$296="Новый сезон",7-1&gt;MOD(MONTH('06_Сеть_и_дети'!AJ$3)-9,12),FALSE),'19_Расчет_аналитики'!AJ2438*CapacityAge07*'19_Расчет_аналитики'!$F$2235,0)</f>
        <v/>
      </c>
      <c r="AK2550">
        <f>IF(IF('01_Вводные'!$B$296="Новый сезон",7-1&gt;MOD(MONTH('06_Сеть_и_дети'!AK$3)-9,12),FALSE),'19_Расчет_аналитики'!AK2438*CapacityAge07*'19_Расчет_аналитики'!$F$2235,0)</f>
        <v/>
      </c>
      <c r="AL2550">
        <f>IF(IF('01_Вводные'!$B$296="Новый сезон",7-1&gt;MOD(MONTH('06_Сеть_и_дети'!AL$3)-9,12),FALSE),'19_Расчет_аналитики'!AL2438*CapacityAge07*'19_Расчет_аналитики'!$F$2235,0)</f>
        <v/>
      </c>
      <c r="AM2550">
        <f>IF(IF('01_Вводные'!$B$296="Новый сезон",7-1&gt;MOD(MONTH('06_Сеть_и_дети'!AM$3)-9,12),FALSE),'19_Расчет_аналитики'!AM2438*CapacityAge07*'19_Расчет_аналитики'!$F$2235,0)</f>
        <v/>
      </c>
      <c r="AN2550">
        <f>IF(IF('01_Вводные'!$B$296="Новый сезон",7-1&gt;MOD(MONTH('06_Сеть_и_дети'!AN$3)-9,12),FALSE),'19_Расчет_аналитики'!AN2438*CapacityAge07*'19_Расчет_аналитики'!$F$2235,0)</f>
        <v/>
      </c>
      <c r="AO2550">
        <f>IF(IF('01_Вводные'!$B$296="Новый сезон",7-1&gt;MOD(MONTH('06_Сеть_и_дети'!AO$3)-9,12),FALSE),'19_Расчет_аналитики'!AO2438*CapacityAge07*'19_Расчет_аналитики'!$F$2235,0)</f>
        <v/>
      </c>
      <c r="AP2550">
        <f>IF(IF('01_Вводные'!$B$296="Новый сезон",7-1&gt;MOD(MONTH('06_Сеть_и_дети'!AP$3)-9,12),FALSE),'19_Расчет_аналитики'!AP2438*CapacityAge07*'19_Расчет_аналитики'!$F$2235,0)</f>
        <v/>
      </c>
      <c r="AQ2550">
        <f>IF(IF('01_Вводные'!$B$296="Новый сезон",7-1&gt;MOD(MONTH('06_Сеть_и_дети'!AQ$3)-9,12),FALSE),'19_Расчет_аналитики'!AQ2438*CapacityAge07*'19_Расчет_аналитики'!$F$2235,0)</f>
        <v/>
      </c>
      <c r="AR2550">
        <f>IF(IF('01_Вводные'!$B$296="Новый сезон",7-1&gt;MOD(MONTH('06_Сеть_и_дети'!AR$3)-9,12),FALSE),'19_Расчет_аналитики'!AR2438*CapacityAge07*'19_Расчет_аналитики'!$F$2235,0)</f>
        <v/>
      </c>
      <c r="AS2550">
        <f>IF(IF('01_Вводные'!$B$296="Новый сезон",7-1&gt;MOD(MONTH('06_Сеть_и_дети'!AS$3)-9,12),FALSE),'19_Расчет_аналитики'!AS2438*CapacityAge07*'19_Расчет_аналитики'!$F$2235,0)</f>
        <v/>
      </c>
      <c r="AT2550">
        <f>IF(IF('01_Вводные'!$B$296="Новый сезон",7-1&gt;MOD(MONTH('06_Сеть_и_дети'!AT$3)-9,12),FALSE),'19_Расчет_аналитики'!AT2438*CapacityAge07*'19_Расчет_аналитики'!$F$2235,0)</f>
        <v/>
      </c>
      <c r="AU2550">
        <f>IF(IF('01_Вводные'!$B$296="Новый сезон",7-1&gt;MOD(MONTH('06_Сеть_и_дети'!AU$3)-9,12),FALSE),'19_Расчет_аналитики'!AU2438*CapacityAge07*'19_Расчет_аналитики'!$F$2235,0)</f>
        <v/>
      </c>
      <c r="AV2550">
        <f>IF(IF('01_Вводные'!$B$296="Новый сезон",7-1&gt;MOD(MONTH('06_Сеть_и_дети'!AV$3)-9,12),FALSE),'19_Расчет_аналитики'!AV2438*CapacityAge07*'19_Расчет_аналитики'!$F$2235,0)</f>
        <v/>
      </c>
      <c r="AW2550">
        <f>IF(IF('01_Вводные'!$B$296="Новый сезон",7-1&gt;MOD(MONTH('06_Сеть_и_дети'!AW$3)-9,12),FALSE),'19_Расчет_аналитики'!AW2438*CapacityAge07*'19_Расчет_аналитики'!$F$2235,0)</f>
        <v/>
      </c>
      <c r="AX2550">
        <f>IF(IF('01_Вводные'!$B$296="Новый сезон",7-1&gt;MOD(MONTH('06_Сеть_и_дети'!AX$3)-9,12),FALSE),'19_Расчет_аналитики'!AX2438*CapacityAge07*'19_Расчет_аналитики'!$F$2235,0)</f>
        <v/>
      </c>
      <c r="AY2550">
        <f>IF(IF('01_Вводные'!$B$296="Новый сезон",7-1&gt;MOD(MONTH('06_Сеть_и_дети'!AY$3)-9,12),FALSE),'19_Расчет_аналитики'!AY2438*CapacityAge07*'19_Расчет_аналитики'!$F$2235,0)</f>
        <v/>
      </c>
      <c r="AZ2550">
        <f>IF(IF('01_Вводные'!$B$296="Новый сезон",7-1&gt;MOD(MONTH('06_Сеть_и_дети'!AZ$3)-9,12),FALSE),'19_Расчет_аналитики'!AZ2438*CapacityAge07*'19_Расчет_аналитики'!$F$2235,0)</f>
        <v/>
      </c>
      <c r="BA2550">
        <f>IF(IF('01_Вводные'!$B$296="Новый сезон",7-1&gt;MOD(MONTH('06_Сеть_и_дети'!BA$3)-9,12),FALSE),'19_Расчет_аналитики'!BA2438*CapacityAge07*'19_Расчет_аналитики'!$F$2235,0)</f>
        <v/>
      </c>
      <c r="BB2550">
        <f>IF(IF('01_Вводные'!$B$296="Новый сезон",7-1&gt;MOD(MONTH('06_Сеть_и_дети'!BB$3)-9,12),FALSE),'19_Расчет_аналитики'!BB2438*CapacityAge07*'19_Расчет_аналитики'!$F$2235,0)</f>
        <v/>
      </c>
      <c r="BC2550">
        <f>IF(IF('01_Вводные'!$B$296="Новый сезон",7-1&gt;MOD(MONTH('06_Сеть_и_дети'!BC$3)-9,12),FALSE),'19_Расчет_аналитики'!BC2438*CapacityAge07*'19_Расчет_аналитики'!$F$2235,0)</f>
        <v/>
      </c>
      <c r="BD2550">
        <f>IF(IF('01_Вводные'!$B$296="Новый сезон",7-1&gt;MOD(MONTH('06_Сеть_и_дети'!BD$3)-9,12),FALSE),'19_Расчет_аналитики'!BD2438*CapacityAge07*'19_Расчет_аналитики'!$F$2235,0)</f>
        <v/>
      </c>
      <c r="BE2550">
        <f>IF(IF('01_Вводные'!$B$296="Новый сезон",7-1&gt;MOD(MONTH('06_Сеть_и_дети'!BE$3)-9,12),FALSE),'19_Расчет_аналитики'!BE2438*CapacityAge07*'19_Расчет_аналитики'!$F$2235,0)</f>
        <v/>
      </c>
      <c r="BF2550">
        <f>IF(IF('01_Вводные'!$B$296="Новый сезон",7-1&gt;MOD(MONTH('06_Сеть_и_дети'!BF$3)-9,12),FALSE),'19_Расчет_аналитики'!BF2438*CapacityAge07*'19_Расчет_аналитики'!$F$2235,0)</f>
        <v/>
      </c>
      <c r="BG2550">
        <f>IF(IF('01_Вводные'!$B$296="Новый сезон",7-1&gt;MOD(MONTH('06_Сеть_и_дети'!BG$3)-9,12),FALSE),'19_Расчет_аналитики'!BG2438*CapacityAge07*'19_Расчет_аналитики'!$F$2235,0)</f>
        <v/>
      </c>
      <c r="BH2550">
        <f>IF(IF('01_Вводные'!$B$296="Новый сезон",7-1&gt;MOD(MONTH('06_Сеть_и_дети'!BH$3)-9,12),FALSE),'19_Расчет_аналитики'!BH2438*CapacityAge07*'19_Расчет_аналитики'!$F$2235,0)</f>
        <v/>
      </c>
      <c r="BI2550">
        <f>IF(IF('01_Вводные'!$B$296="Новый сезон",7-1&gt;MOD(MONTH('06_Сеть_и_дети'!BI$3)-9,12),FALSE),'19_Расчет_аналитики'!BI2438*CapacityAge07*'19_Расчет_аналитики'!$F$2235,0)</f>
        <v/>
      </c>
      <c r="BJ2550">
        <f>IF(IF('01_Вводные'!$B$296="Новый сезон",7-1&gt;MOD(MONTH('06_Сеть_и_дети'!BJ$3)-9,12),FALSE),'19_Расчет_аналитики'!BJ2438*CapacityAge07*'19_Расчет_аналитики'!$F$2235,0)</f>
        <v/>
      </c>
      <c r="BK2550">
        <f>IF(IF('01_Вводные'!$B$296="Новый сезон",7-1&gt;MOD(MONTH('06_Сеть_и_дети'!BK$3)-9,12),FALSE),'19_Расчет_аналитики'!BK2438*CapacityAge07*'19_Расчет_аналитики'!$F$2235,0)</f>
        <v/>
      </c>
      <c r="BL2550">
        <f>IF(IF('01_Вводные'!$B$296="Новый сезон",7-1&gt;MOD(MONTH('06_Сеть_и_дети'!BL$3)-9,12),FALSE),'19_Расчет_аналитики'!BL2438*CapacityAge07*'19_Расчет_аналитики'!$F$2235,0)</f>
        <v/>
      </c>
      <c r="BM2550">
        <f>IF(IF('01_Вводные'!$B$296="Новый сезон",7-1&gt;MOD(MONTH('06_Сеть_и_дети'!BM$3)-9,12),FALSE),'19_Расчет_аналитики'!BM2438*CapacityAge07*'19_Расчет_аналитики'!$F$2235,0)</f>
        <v/>
      </c>
      <c r="BN2550">
        <f>IF(IF('01_Вводные'!$B$296="Новый сезон",7-1&gt;MOD(MONTH('06_Сеть_и_дети'!BN$3)-9,12),FALSE),'19_Расчет_аналитики'!BN2438*CapacityAge07*'19_Расчет_аналитики'!$F$2235,0)</f>
        <v/>
      </c>
      <c r="BO2550">
        <f>IF(IF('01_Вводные'!$B$296="Новый сезон",7-1&gt;MOD(MONTH('06_Сеть_и_дети'!BO$3)-9,12),FALSE),'19_Расчет_аналитики'!BO2438*CapacityAge07*'19_Расчет_аналитики'!$F$2235,0)</f>
        <v/>
      </c>
    </row>
    <row r="2551">
      <c r="B2551">
        <f>IF(IF('01_Вводные'!$B$296="Новый сезон",8-1&gt;MOD(MONTH('06_Сеть_и_дети'!B$3)-9,12),FALSE),'06_Сеть_и_дети'!B60*CapacityAge08*'19_Расчет_аналитики'!$F$2235,0)</f>
        <v/>
      </c>
      <c r="C2551">
        <f>IF(IF('01_Вводные'!$B$296="Новый сезон",8-1&gt;MOD(MONTH('06_Сеть_и_дети'!C$3)-9,12),FALSE),'06_Сеть_и_дети'!C60*CapacityAge08*'19_Расчет_аналитики'!$F$2235,0)</f>
        <v/>
      </c>
      <c r="D2551">
        <f>IF(IF('01_Вводные'!$B$296="Новый сезон",8-1&gt;MOD(MONTH('06_Сеть_и_дети'!D$3)-9,12),FALSE),'06_Сеть_и_дети'!D60*CapacityAge08*'19_Расчет_аналитики'!$F$2235,0)</f>
        <v/>
      </c>
      <c r="E2551">
        <f>IF(IF('01_Вводные'!$B$296="Новый сезон",8-1&gt;MOD(MONTH('06_Сеть_и_дети'!E$3)-9,12),FALSE),'06_Сеть_и_дети'!E60*CapacityAge08*'19_Расчет_аналитики'!$F$2235,0)</f>
        <v/>
      </c>
      <c r="F2551">
        <f>IF(IF('01_Вводные'!$B$296="Новый сезон",8-1&gt;MOD(MONTH('06_Сеть_и_дети'!F$3)-9,12),FALSE),'06_Сеть_и_дети'!F60*CapacityAge08*'19_Расчет_аналитики'!$F$2235,0)</f>
        <v/>
      </c>
      <c r="G2551">
        <f>IF(IF('01_Вводные'!$B$296="Новый сезон",8-1&gt;MOD(MONTH('06_Сеть_и_дети'!G$3)-9,12),FALSE),'06_Сеть_и_дети'!G60*CapacityAge08*'19_Расчет_аналитики'!$F$2235,0)</f>
        <v/>
      </c>
      <c r="H2551">
        <f>IF(IF('01_Вводные'!$B$296="Новый сезон",8-1&gt;MOD(MONTH('06_Сеть_и_дети'!H$3)-9,12),FALSE),'06_Сеть_и_дети'!H60*CapacityAge08*'19_Расчет_аналитики'!$F$2235,0)</f>
        <v/>
      </c>
      <c r="I2551">
        <f>IF(IF('01_Вводные'!$B$296="Новый сезон",8-1&gt;MOD(MONTH('06_Сеть_и_дети'!I$3)-9,12),FALSE),'19_Расчет_аналитики'!I2439*CapacityAge08*'19_Расчет_аналитики'!$F$2235,0)</f>
        <v/>
      </c>
      <c r="J2551">
        <f>IF(IF('01_Вводные'!$B$296="Новый сезон",8-1&gt;MOD(MONTH('06_Сеть_и_дети'!J$3)-9,12),FALSE),'19_Расчет_аналитики'!J2439*CapacityAge08*'19_Расчет_аналитики'!$F$2235,0)</f>
        <v/>
      </c>
      <c r="K2551">
        <f>IF(IF('01_Вводные'!$B$296="Новый сезон",8-1&gt;MOD(MONTH('06_Сеть_и_дети'!K$3)-9,12),FALSE),'19_Расчет_аналитики'!K2439*CapacityAge08*'19_Расчет_аналитики'!$F$2235,0)</f>
        <v/>
      </c>
      <c r="L2551">
        <f>IF(IF('01_Вводные'!$B$296="Новый сезон",8-1&gt;MOD(MONTH('06_Сеть_и_дети'!L$3)-9,12),FALSE),'19_Расчет_аналитики'!L2439*CapacityAge08*'19_Расчет_аналитики'!$F$2235,0)</f>
        <v/>
      </c>
      <c r="M2551">
        <f>IF(IF('01_Вводные'!$B$296="Новый сезон",8-1&gt;MOD(MONTH('06_Сеть_и_дети'!M$3)-9,12),FALSE),'19_Расчет_аналитики'!M2439*CapacityAge08*'19_Расчет_аналитики'!$F$2235,0)</f>
        <v/>
      </c>
      <c r="N2551">
        <f>IF(IF('01_Вводные'!$B$296="Новый сезон",8-1&gt;MOD(MONTH('06_Сеть_и_дети'!N$3)-9,12),FALSE),'19_Расчет_аналитики'!N2439*CapacityAge08*'19_Расчет_аналитики'!$F$2235,0)</f>
        <v/>
      </c>
      <c r="O2551">
        <f>IF(IF('01_Вводные'!$B$296="Новый сезон",8-1&gt;MOD(MONTH('06_Сеть_и_дети'!O$3)-9,12),FALSE),'19_Расчет_аналитики'!O2439*CapacityAge08*'19_Расчет_аналитики'!$F$2235,0)</f>
        <v/>
      </c>
      <c r="P2551">
        <f>IF(IF('01_Вводные'!$B$296="Новый сезон",8-1&gt;MOD(MONTH('06_Сеть_и_дети'!P$3)-9,12),FALSE),'19_Расчет_аналитики'!P2439*CapacityAge08*'19_Расчет_аналитики'!$F$2235,0)</f>
        <v/>
      </c>
      <c r="Q2551">
        <f>IF(IF('01_Вводные'!$B$296="Новый сезон",8-1&gt;MOD(MONTH('06_Сеть_и_дети'!Q$3)-9,12),FALSE),'19_Расчет_аналитики'!Q2439*CapacityAge08*'19_Расчет_аналитики'!$F$2235,0)</f>
        <v/>
      </c>
      <c r="R2551">
        <f>IF(IF('01_Вводные'!$B$296="Новый сезон",8-1&gt;MOD(MONTH('06_Сеть_и_дети'!R$3)-9,12),FALSE),'19_Расчет_аналитики'!R2439*CapacityAge08*'19_Расчет_аналитики'!$F$2235,0)</f>
        <v/>
      </c>
      <c r="S2551">
        <f>IF(IF('01_Вводные'!$B$296="Новый сезон",8-1&gt;MOD(MONTH('06_Сеть_и_дети'!S$3)-9,12),FALSE),'19_Расчет_аналитики'!S2439*CapacityAge08*'19_Расчет_аналитики'!$F$2235,0)</f>
        <v/>
      </c>
      <c r="T2551">
        <f>IF(IF('01_Вводные'!$B$296="Новый сезон",8-1&gt;MOD(MONTH('06_Сеть_и_дети'!T$3)-9,12),FALSE),'19_Расчет_аналитики'!T2439*CapacityAge08*'19_Расчет_аналитики'!$F$2235,0)</f>
        <v/>
      </c>
      <c r="U2551">
        <f>IF(IF('01_Вводные'!$B$296="Новый сезон",8-1&gt;MOD(MONTH('06_Сеть_и_дети'!U$3)-9,12),FALSE),'19_Расчет_аналитики'!U2439*CapacityAge08*'19_Расчет_аналитики'!$F$2235,0)</f>
        <v/>
      </c>
      <c r="V2551">
        <f>IF(IF('01_Вводные'!$B$296="Новый сезон",8-1&gt;MOD(MONTH('06_Сеть_и_дети'!V$3)-9,12),FALSE),'19_Расчет_аналитики'!V2439*CapacityAge08*'19_Расчет_аналитики'!$F$2235,0)</f>
        <v/>
      </c>
      <c r="W2551">
        <f>IF(IF('01_Вводные'!$B$296="Новый сезон",8-1&gt;MOD(MONTH('06_Сеть_и_дети'!W$3)-9,12),FALSE),'19_Расчет_аналитики'!W2439*CapacityAge08*'19_Расчет_аналитики'!$F$2235,0)</f>
        <v/>
      </c>
      <c r="X2551">
        <f>IF(IF('01_Вводные'!$B$296="Новый сезон",8-1&gt;MOD(MONTH('06_Сеть_и_дети'!X$3)-9,12),FALSE),'19_Расчет_аналитики'!X2439*CapacityAge08*'19_Расчет_аналитики'!$F$2235,0)</f>
        <v/>
      </c>
      <c r="Y2551">
        <f>IF(IF('01_Вводные'!$B$296="Новый сезон",8-1&gt;MOD(MONTH('06_Сеть_и_дети'!Y$3)-9,12),FALSE),'19_Расчет_аналитики'!Y2439*CapacityAge08*'19_Расчет_аналитики'!$F$2235,0)</f>
        <v/>
      </c>
      <c r="Z2551">
        <f>IF(IF('01_Вводные'!$B$296="Новый сезон",8-1&gt;MOD(MONTH('06_Сеть_и_дети'!Z$3)-9,12),FALSE),'19_Расчет_аналитики'!Z2439*CapacityAge08*'19_Расчет_аналитики'!$F$2235,0)</f>
        <v/>
      </c>
      <c r="AA2551">
        <f>IF(IF('01_Вводные'!$B$296="Новый сезон",8-1&gt;MOD(MONTH('06_Сеть_и_дети'!AA$3)-9,12),FALSE),'19_Расчет_аналитики'!AA2439*CapacityAge08*'19_Расчет_аналитики'!$F$2235,0)</f>
        <v/>
      </c>
      <c r="AB2551">
        <f>IF(IF('01_Вводные'!$B$296="Новый сезон",8-1&gt;MOD(MONTH('06_Сеть_и_дети'!AB$3)-9,12),FALSE),'19_Расчет_аналитики'!AB2439*CapacityAge08*'19_Расчет_аналитики'!$F$2235,0)</f>
        <v/>
      </c>
      <c r="AC2551">
        <f>IF(IF('01_Вводные'!$B$296="Новый сезон",8-1&gt;MOD(MONTH('06_Сеть_и_дети'!AC$3)-9,12),FALSE),'19_Расчет_аналитики'!AC2439*CapacityAge08*'19_Расчет_аналитики'!$F$2235,0)</f>
        <v/>
      </c>
      <c r="AD2551">
        <f>IF(IF('01_Вводные'!$B$296="Новый сезон",8-1&gt;MOD(MONTH('06_Сеть_и_дети'!AD$3)-9,12),FALSE),'19_Расчет_аналитики'!AD2439*CapacityAge08*'19_Расчет_аналитики'!$F$2235,0)</f>
        <v/>
      </c>
      <c r="AE2551">
        <f>IF(IF('01_Вводные'!$B$296="Новый сезон",8-1&gt;MOD(MONTH('06_Сеть_и_дети'!AE$3)-9,12),FALSE),'19_Расчет_аналитики'!AE2439*CapacityAge08*'19_Расчет_аналитики'!$F$2235,0)</f>
        <v/>
      </c>
      <c r="AF2551">
        <f>IF(IF('01_Вводные'!$B$296="Новый сезон",8-1&gt;MOD(MONTH('06_Сеть_и_дети'!AF$3)-9,12),FALSE),'19_Расчет_аналитики'!AF2439*CapacityAge08*'19_Расчет_аналитики'!$F$2235,0)</f>
        <v/>
      </c>
      <c r="AG2551">
        <f>IF(IF('01_Вводные'!$B$296="Новый сезон",8-1&gt;MOD(MONTH('06_Сеть_и_дети'!AG$3)-9,12),FALSE),'19_Расчет_аналитики'!AG2439*CapacityAge08*'19_Расчет_аналитики'!$F$2235,0)</f>
        <v/>
      </c>
      <c r="AH2551">
        <f>IF(IF('01_Вводные'!$B$296="Новый сезон",8-1&gt;MOD(MONTH('06_Сеть_и_дети'!AH$3)-9,12),FALSE),'19_Расчет_аналитики'!AH2439*CapacityAge08*'19_Расчет_аналитики'!$F$2235,0)</f>
        <v/>
      </c>
      <c r="AI2551">
        <f>IF(IF('01_Вводные'!$B$296="Новый сезон",8-1&gt;MOD(MONTH('06_Сеть_и_дети'!AI$3)-9,12),FALSE),'19_Расчет_аналитики'!AI2439*CapacityAge08*'19_Расчет_аналитики'!$F$2235,0)</f>
        <v/>
      </c>
      <c r="AJ2551">
        <f>IF(IF('01_Вводные'!$B$296="Новый сезон",8-1&gt;MOD(MONTH('06_Сеть_и_дети'!AJ$3)-9,12),FALSE),'19_Расчет_аналитики'!AJ2439*CapacityAge08*'19_Расчет_аналитики'!$F$2235,0)</f>
        <v/>
      </c>
      <c r="AK2551">
        <f>IF(IF('01_Вводные'!$B$296="Новый сезон",8-1&gt;MOD(MONTH('06_Сеть_и_дети'!AK$3)-9,12),FALSE),'19_Расчет_аналитики'!AK2439*CapacityAge08*'19_Расчет_аналитики'!$F$2235,0)</f>
        <v/>
      </c>
      <c r="AL2551">
        <f>IF(IF('01_Вводные'!$B$296="Новый сезон",8-1&gt;MOD(MONTH('06_Сеть_и_дети'!AL$3)-9,12),FALSE),'19_Расчет_аналитики'!AL2439*CapacityAge08*'19_Расчет_аналитики'!$F$2235,0)</f>
        <v/>
      </c>
      <c r="AM2551">
        <f>IF(IF('01_Вводные'!$B$296="Новый сезон",8-1&gt;MOD(MONTH('06_Сеть_и_дети'!AM$3)-9,12),FALSE),'19_Расчет_аналитики'!AM2439*CapacityAge08*'19_Расчет_аналитики'!$F$2235,0)</f>
        <v/>
      </c>
      <c r="AN2551">
        <f>IF(IF('01_Вводные'!$B$296="Новый сезон",8-1&gt;MOD(MONTH('06_Сеть_и_дети'!AN$3)-9,12),FALSE),'19_Расчет_аналитики'!AN2439*CapacityAge08*'19_Расчет_аналитики'!$F$2235,0)</f>
        <v/>
      </c>
      <c r="AO2551">
        <f>IF(IF('01_Вводные'!$B$296="Новый сезон",8-1&gt;MOD(MONTH('06_Сеть_и_дети'!AO$3)-9,12),FALSE),'19_Расчет_аналитики'!AO2439*CapacityAge08*'19_Расчет_аналитики'!$F$2235,0)</f>
        <v/>
      </c>
      <c r="AP2551">
        <f>IF(IF('01_Вводные'!$B$296="Новый сезон",8-1&gt;MOD(MONTH('06_Сеть_и_дети'!AP$3)-9,12),FALSE),'19_Расчет_аналитики'!AP2439*CapacityAge08*'19_Расчет_аналитики'!$F$2235,0)</f>
        <v/>
      </c>
      <c r="AQ2551">
        <f>IF(IF('01_Вводные'!$B$296="Новый сезон",8-1&gt;MOD(MONTH('06_Сеть_и_дети'!AQ$3)-9,12),FALSE),'19_Расчет_аналитики'!AQ2439*CapacityAge08*'19_Расчет_аналитики'!$F$2235,0)</f>
        <v/>
      </c>
      <c r="AR2551">
        <f>IF(IF('01_Вводные'!$B$296="Новый сезон",8-1&gt;MOD(MONTH('06_Сеть_и_дети'!AR$3)-9,12),FALSE),'19_Расчет_аналитики'!AR2439*CapacityAge08*'19_Расчет_аналитики'!$F$2235,0)</f>
        <v/>
      </c>
      <c r="AS2551">
        <f>IF(IF('01_Вводные'!$B$296="Новый сезон",8-1&gt;MOD(MONTH('06_Сеть_и_дети'!AS$3)-9,12),FALSE),'19_Расчет_аналитики'!AS2439*CapacityAge08*'19_Расчет_аналитики'!$F$2235,0)</f>
        <v/>
      </c>
      <c r="AT2551">
        <f>IF(IF('01_Вводные'!$B$296="Новый сезон",8-1&gt;MOD(MONTH('06_Сеть_и_дети'!AT$3)-9,12),FALSE),'19_Расчет_аналитики'!AT2439*CapacityAge08*'19_Расчет_аналитики'!$F$2235,0)</f>
        <v/>
      </c>
      <c r="AU2551">
        <f>IF(IF('01_Вводные'!$B$296="Новый сезон",8-1&gt;MOD(MONTH('06_Сеть_и_дети'!AU$3)-9,12),FALSE),'19_Расчет_аналитики'!AU2439*CapacityAge08*'19_Расчет_аналитики'!$F$2235,0)</f>
        <v/>
      </c>
      <c r="AV2551">
        <f>IF(IF('01_Вводные'!$B$296="Новый сезон",8-1&gt;MOD(MONTH('06_Сеть_и_дети'!AV$3)-9,12),FALSE),'19_Расчет_аналитики'!AV2439*CapacityAge08*'19_Расчет_аналитики'!$F$2235,0)</f>
        <v/>
      </c>
      <c r="AW2551">
        <f>IF(IF('01_Вводные'!$B$296="Новый сезон",8-1&gt;MOD(MONTH('06_Сеть_и_дети'!AW$3)-9,12),FALSE),'19_Расчет_аналитики'!AW2439*CapacityAge08*'19_Расчет_аналитики'!$F$2235,0)</f>
        <v/>
      </c>
      <c r="AX2551">
        <f>IF(IF('01_Вводные'!$B$296="Новый сезон",8-1&gt;MOD(MONTH('06_Сеть_и_дети'!AX$3)-9,12),FALSE),'19_Расчет_аналитики'!AX2439*CapacityAge08*'19_Расчет_аналитики'!$F$2235,0)</f>
        <v/>
      </c>
      <c r="AY2551">
        <f>IF(IF('01_Вводные'!$B$296="Новый сезон",8-1&gt;MOD(MONTH('06_Сеть_и_дети'!AY$3)-9,12),FALSE),'19_Расчет_аналитики'!AY2439*CapacityAge08*'19_Расчет_аналитики'!$F$2235,0)</f>
        <v/>
      </c>
      <c r="AZ2551">
        <f>IF(IF('01_Вводные'!$B$296="Новый сезон",8-1&gt;MOD(MONTH('06_Сеть_и_дети'!AZ$3)-9,12),FALSE),'19_Расчет_аналитики'!AZ2439*CapacityAge08*'19_Расчет_аналитики'!$F$2235,0)</f>
        <v/>
      </c>
      <c r="BA2551">
        <f>IF(IF('01_Вводные'!$B$296="Новый сезон",8-1&gt;MOD(MONTH('06_Сеть_и_дети'!BA$3)-9,12),FALSE),'19_Расчет_аналитики'!BA2439*CapacityAge08*'19_Расчет_аналитики'!$F$2235,0)</f>
        <v/>
      </c>
      <c r="BB2551">
        <f>IF(IF('01_Вводные'!$B$296="Новый сезон",8-1&gt;MOD(MONTH('06_Сеть_и_дети'!BB$3)-9,12),FALSE),'19_Расчет_аналитики'!BB2439*CapacityAge08*'19_Расчет_аналитики'!$F$2235,0)</f>
        <v/>
      </c>
      <c r="BC2551">
        <f>IF(IF('01_Вводные'!$B$296="Новый сезон",8-1&gt;MOD(MONTH('06_Сеть_и_дети'!BC$3)-9,12),FALSE),'19_Расчет_аналитики'!BC2439*CapacityAge08*'19_Расчет_аналитики'!$F$2235,0)</f>
        <v/>
      </c>
      <c r="BD2551">
        <f>IF(IF('01_Вводные'!$B$296="Новый сезон",8-1&gt;MOD(MONTH('06_Сеть_и_дети'!BD$3)-9,12),FALSE),'19_Расчет_аналитики'!BD2439*CapacityAge08*'19_Расчет_аналитики'!$F$2235,0)</f>
        <v/>
      </c>
      <c r="BE2551">
        <f>IF(IF('01_Вводные'!$B$296="Новый сезон",8-1&gt;MOD(MONTH('06_Сеть_и_дети'!BE$3)-9,12),FALSE),'19_Расчет_аналитики'!BE2439*CapacityAge08*'19_Расчет_аналитики'!$F$2235,0)</f>
        <v/>
      </c>
      <c r="BF2551">
        <f>IF(IF('01_Вводные'!$B$296="Новый сезон",8-1&gt;MOD(MONTH('06_Сеть_и_дети'!BF$3)-9,12),FALSE),'19_Расчет_аналитики'!BF2439*CapacityAge08*'19_Расчет_аналитики'!$F$2235,0)</f>
        <v/>
      </c>
      <c r="BG2551">
        <f>IF(IF('01_Вводные'!$B$296="Новый сезон",8-1&gt;MOD(MONTH('06_Сеть_и_дети'!BG$3)-9,12),FALSE),'19_Расчет_аналитики'!BG2439*CapacityAge08*'19_Расчет_аналитики'!$F$2235,0)</f>
        <v/>
      </c>
      <c r="BH2551">
        <f>IF(IF('01_Вводные'!$B$296="Новый сезон",8-1&gt;MOD(MONTH('06_Сеть_и_дети'!BH$3)-9,12),FALSE),'19_Расчет_аналитики'!BH2439*CapacityAge08*'19_Расчет_аналитики'!$F$2235,0)</f>
        <v/>
      </c>
      <c r="BI2551">
        <f>IF(IF('01_Вводные'!$B$296="Новый сезон",8-1&gt;MOD(MONTH('06_Сеть_и_дети'!BI$3)-9,12),FALSE),'19_Расчет_аналитики'!BI2439*CapacityAge08*'19_Расчет_аналитики'!$F$2235,0)</f>
        <v/>
      </c>
      <c r="BJ2551">
        <f>IF(IF('01_Вводные'!$B$296="Новый сезон",8-1&gt;MOD(MONTH('06_Сеть_и_дети'!BJ$3)-9,12),FALSE),'19_Расчет_аналитики'!BJ2439*CapacityAge08*'19_Расчет_аналитики'!$F$2235,0)</f>
        <v/>
      </c>
      <c r="BK2551">
        <f>IF(IF('01_Вводные'!$B$296="Новый сезон",8-1&gt;MOD(MONTH('06_Сеть_и_дети'!BK$3)-9,12),FALSE),'19_Расчет_аналитики'!BK2439*CapacityAge08*'19_Расчет_аналитики'!$F$2235,0)</f>
        <v/>
      </c>
      <c r="BL2551">
        <f>IF(IF('01_Вводные'!$B$296="Новый сезон",8-1&gt;MOD(MONTH('06_Сеть_и_дети'!BL$3)-9,12),FALSE),'19_Расчет_аналитики'!BL2439*CapacityAge08*'19_Расчет_аналитики'!$F$2235,0)</f>
        <v/>
      </c>
      <c r="BM2551">
        <f>IF(IF('01_Вводные'!$B$296="Новый сезон",8-1&gt;MOD(MONTH('06_Сеть_и_дети'!BM$3)-9,12),FALSE),'19_Расчет_аналитики'!BM2439*CapacityAge08*'19_Расчет_аналитики'!$F$2235,0)</f>
        <v/>
      </c>
      <c r="BN2551">
        <f>IF(IF('01_Вводные'!$B$296="Новый сезон",8-1&gt;MOD(MONTH('06_Сеть_и_дети'!BN$3)-9,12),FALSE),'19_Расчет_аналитики'!BN2439*CapacityAge08*'19_Расчет_аналитики'!$F$2235,0)</f>
        <v/>
      </c>
      <c r="BO2551">
        <f>IF(IF('01_Вводные'!$B$296="Новый сезон",8-1&gt;MOD(MONTH('06_Сеть_и_дети'!BO$3)-9,12),FALSE),'19_Расчет_аналитики'!BO2439*CapacityAge08*'19_Расчет_аналитики'!$F$2235,0)</f>
        <v/>
      </c>
    </row>
    <row r="2552">
      <c r="B2552">
        <f>IF(IF('01_Вводные'!$B$296="Новый сезон",9-1&gt;MOD(MONTH('06_Сеть_и_дети'!B$3)-9,12),FALSE),'06_Сеть_и_дети'!B61*CapacityAge09*'19_Расчет_аналитики'!$F$2235,0)</f>
        <v/>
      </c>
      <c r="C2552">
        <f>IF(IF('01_Вводные'!$B$296="Новый сезон",9-1&gt;MOD(MONTH('06_Сеть_и_дети'!C$3)-9,12),FALSE),'06_Сеть_и_дети'!C61*CapacityAge09*'19_Расчет_аналитики'!$F$2235,0)</f>
        <v/>
      </c>
      <c r="D2552">
        <f>IF(IF('01_Вводные'!$B$296="Новый сезон",9-1&gt;MOD(MONTH('06_Сеть_и_дети'!D$3)-9,12),FALSE),'06_Сеть_и_дети'!D61*CapacityAge09*'19_Расчет_аналитики'!$F$2235,0)</f>
        <v/>
      </c>
      <c r="E2552">
        <f>IF(IF('01_Вводные'!$B$296="Новый сезон",9-1&gt;MOD(MONTH('06_Сеть_и_дети'!E$3)-9,12),FALSE),'06_Сеть_и_дети'!E61*CapacityAge09*'19_Расчет_аналитики'!$F$2235,0)</f>
        <v/>
      </c>
      <c r="F2552">
        <f>IF(IF('01_Вводные'!$B$296="Новый сезон",9-1&gt;MOD(MONTH('06_Сеть_и_дети'!F$3)-9,12),FALSE),'06_Сеть_и_дети'!F61*CapacityAge09*'19_Расчет_аналитики'!$F$2235,0)</f>
        <v/>
      </c>
      <c r="G2552">
        <f>IF(IF('01_Вводные'!$B$296="Новый сезон",9-1&gt;MOD(MONTH('06_Сеть_и_дети'!G$3)-9,12),FALSE),'06_Сеть_и_дети'!G61*CapacityAge09*'19_Расчет_аналитики'!$F$2235,0)</f>
        <v/>
      </c>
      <c r="H2552">
        <f>IF(IF('01_Вводные'!$B$296="Новый сезон",9-1&gt;MOD(MONTH('06_Сеть_и_дети'!H$3)-9,12),FALSE),'06_Сеть_и_дети'!H61*CapacityAge09*'19_Расчет_аналитики'!$F$2235,0)</f>
        <v/>
      </c>
      <c r="I2552">
        <f>IF(IF('01_Вводные'!$B$296="Новый сезон",9-1&gt;MOD(MONTH('06_Сеть_и_дети'!I$3)-9,12),FALSE),'06_Сеть_и_дети'!I61*CapacityAge09*'19_Расчет_аналитики'!$F$2235,0)</f>
        <v/>
      </c>
      <c r="J2552">
        <f>IF(IF('01_Вводные'!$B$296="Новый сезон",9-1&gt;MOD(MONTH('06_Сеть_и_дети'!J$3)-9,12),FALSE),'19_Расчет_аналитики'!J2440*CapacityAge09*'19_Расчет_аналитики'!$F$2235,0)</f>
        <v/>
      </c>
      <c r="K2552">
        <f>IF(IF('01_Вводные'!$B$296="Новый сезон",9-1&gt;MOD(MONTH('06_Сеть_и_дети'!K$3)-9,12),FALSE),'19_Расчет_аналитики'!K2440*CapacityAge09*'19_Расчет_аналитики'!$F$2235,0)</f>
        <v/>
      </c>
      <c r="L2552">
        <f>IF(IF('01_Вводные'!$B$296="Новый сезон",9-1&gt;MOD(MONTH('06_Сеть_и_дети'!L$3)-9,12),FALSE),'19_Расчет_аналитики'!L2440*CapacityAge09*'19_Расчет_аналитики'!$F$2235,0)</f>
        <v/>
      </c>
      <c r="M2552">
        <f>IF(IF('01_Вводные'!$B$296="Новый сезон",9-1&gt;MOD(MONTH('06_Сеть_и_дети'!M$3)-9,12),FALSE),'19_Расчет_аналитики'!M2440*CapacityAge09*'19_Расчет_аналитики'!$F$2235,0)</f>
        <v/>
      </c>
      <c r="N2552">
        <f>IF(IF('01_Вводные'!$B$296="Новый сезон",9-1&gt;MOD(MONTH('06_Сеть_и_дети'!N$3)-9,12),FALSE),'19_Расчет_аналитики'!N2440*CapacityAge09*'19_Расчет_аналитики'!$F$2235,0)</f>
        <v/>
      </c>
      <c r="O2552">
        <f>IF(IF('01_Вводные'!$B$296="Новый сезон",9-1&gt;MOD(MONTH('06_Сеть_и_дети'!O$3)-9,12),FALSE),'19_Расчет_аналитики'!O2440*CapacityAge09*'19_Расчет_аналитики'!$F$2235,0)</f>
        <v/>
      </c>
      <c r="P2552">
        <f>IF(IF('01_Вводные'!$B$296="Новый сезон",9-1&gt;MOD(MONTH('06_Сеть_и_дети'!P$3)-9,12),FALSE),'19_Расчет_аналитики'!P2440*CapacityAge09*'19_Расчет_аналитики'!$F$2235,0)</f>
        <v/>
      </c>
      <c r="Q2552">
        <f>IF(IF('01_Вводные'!$B$296="Новый сезон",9-1&gt;MOD(MONTH('06_Сеть_и_дети'!Q$3)-9,12),FALSE),'19_Расчет_аналитики'!Q2440*CapacityAge09*'19_Расчет_аналитики'!$F$2235,0)</f>
        <v/>
      </c>
      <c r="R2552">
        <f>IF(IF('01_Вводные'!$B$296="Новый сезон",9-1&gt;MOD(MONTH('06_Сеть_и_дети'!R$3)-9,12),FALSE),'19_Расчет_аналитики'!R2440*CapacityAge09*'19_Расчет_аналитики'!$F$2235,0)</f>
        <v/>
      </c>
      <c r="S2552">
        <f>IF(IF('01_Вводные'!$B$296="Новый сезон",9-1&gt;MOD(MONTH('06_Сеть_и_дети'!S$3)-9,12),FALSE),'19_Расчет_аналитики'!S2440*CapacityAge09*'19_Расчет_аналитики'!$F$2235,0)</f>
        <v/>
      </c>
      <c r="T2552">
        <f>IF(IF('01_Вводные'!$B$296="Новый сезон",9-1&gt;MOD(MONTH('06_Сеть_и_дети'!T$3)-9,12),FALSE),'19_Расчет_аналитики'!T2440*CapacityAge09*'19_Расчет_аналитики'!$F$2235,0)</f>
        <v/>
      </c>
      <c r="U2552">
        <f>IF(IF('01_Вводные'!$B$296="Новый сезон",9-1&gt;MOD(MONTH('06_Сеть_и_дети'!U$3)-9,12),FALSE),'19_Расчет_аналитики'!U2440*CapacityAge09*'19_Расчет_аналитики'!$F$2235,0)</f>
        <v/>
      </c>
      <c r="V2552">
        <f>IF(IF('01_Вводные'!$B$296="Новый сезон",9-1&gt;MOD(MONTH('06_Сеть_и_дети'!V$3)-9,12),FALSE),'19_Расчет_аналитики'!V2440*CapacityAge09*'19_Расчет_аналитики'!$F$2235,0)</f>
        <v/>
      </c>
      <c r="W2552">
        <f>IF(IF('01_Вводные'!$B$296="Новый сезон",9-1&gt;MOD(MONTH('06_Сеть_и_дети'!W$3)-9,12),FALSE),'19_Расчет_аналитики'!W2440*CapacityAge09*'19_Расчет_аналитики'!$F$2235,0)</f>
        <v/>
      </c>
      <c r="X2552">
        <f>IF(IF('01_Вводные'!$B$296="Новый сезон",9-1&gt;MOD(MONTH('06_Сеть_и_дети'!X$3)-9,12),FALSE),'19_Расчет_аналитики'!X2440*CapacityAge09*'19_Расчет_аналитики'!$F$2235,0)</f>
        <v/>
      </c>
      <c r="Y2552">
        <f>IF(IF('01_Вводные'!$B$296="Новый сезон",9-1&gt;MOD(MONTH('06_Сеть_и_дети'!Y$3)-9,12),FALSE),'19_Расчет_аналитики'!Y2440*CapacityAge09*'19_Расчет_аналитики'!$F$2235,0)</f>
        <v/>
      </c>
      <c r="Z2552">
        <f>IF(IF('01_Вводные'!$B$296="Новый сезон",9-1&gt;MOD(MONTH('06_Сеть_и_дети'!Z$3)-9,12),FALSE),'19_Расчет_аналитики'!Z2440*CapacityAge09*'19_Расчет_аналитики'!$F$2235,0)</f>
        <v/>
      </c>
      <c r="AA2552">
        <f>IF(IF('01_Вводные'!$B$296="Новый сезон",9-1&gt;MOD(MONTH('06_Сеть_и_дети'!AA$3)-9,12),FALSE),'19_Расчет_аналитики'!AA2440*CapacityAge09*'19_Расчет_аналитики'!$F$2235,0)</f>
        <v/>
      </c>
      <c r="AB2552">
        <f>IF(IF('01_Вводные'!$B$296="Новый сезон",9-1&gt;MOD(MONTH('06_Сеть_и_дети'!AB$3)-9,12),FALSE),'19_Расчет_аналитики'!AB2440*CapacityAge09*'19_Расчет_аналитики'!$F$2235,0)</f>
        <v/>
      </c>
      <c r="AC2552">
        <f>IF(IF('01_Вводные'!$B$296="Новый сезон",9-1&gt;MOD(MONTH('06_Сеть_и_дети'!AC$3)-9,12),FALSE),'19_Расчет_аналитики'!AC2440*CapacityAge09*'19_Расчет_аналитики'!$F$2235,0)</f>
        <v/>
      </c>
      <c r="AD2552">
        <f>IF(IF('01_Вводные'!$B$296="Новый сезон",9-1&gt;MOD(MONTH('06_Сеть_и_дети'!AD$3)-9,12),FALSE),'19_Расчет_аналитики'!AD2440*CapacityAge09*'19_Расчет_аналитики'!$F$2235,0)</f>
        <v/>
      </c>
      <c r="AE2552">
        <f>IF(IF('01_Вводные'!$B$296="Новый сезон",9-1&gt;MOD(MONTH('06_Сеть_и_дети'!AE$3)-9,12),FALSE),'19_Расчет_аналитики'!AE2440*CapacityAge09*'19_Расчет_аналитики'!$F$2235,0)</f>
        <v/>
      </c>
      <c r="AF2552">
        <f>IF(IF('01_Вводные'!$B$296="Новый сезон",9-1&gt;MOD(MONTH('06_Сеть_и_дети'!AF$3)-9,12),FALSE),'19_Расчет_аналитики'!AF2440*CapacityAge09*'19_Расчет_аналитики'!$F$2235,0)</f>
        <v/>
      </c>
      <c r="AG2552">
        <f>IF(IF('01_Вводные'!$B$296="Новый сезон",9-1&gt;MOD(MONTH('06_Сеть_и_дети'!AG$3)-9,12),FALSE),'19_Расчет_аналитики'!AG2440*CapacityAge09*'19_Расчет_аналитики'!$F$2235,0)</f>
        <v/>
      </c>
      <c r="AH2552">
        <f>IF(IF('01_Вводные'!$B$296="Новый сезон",9-1&gt;MOD(MONTH('06_Сеть_и_дети'!AH$3)-9,12),FALSE),'19_Расчет_аналитики'!AH2440*CapacityAge09*'19_Расчет_аналитики'!$F$2235,0)</f>
        <v/>
      </c>
      <c r="AI2552">
        <f>IF(IF('01_Вводные'!$B$296="Новый сезон",9-1&gt;MOD(MONTH('06_Сеть_и_дети'!AI$3)-9,12),FALSE),'19_Расчет_аналитики'!AI2440*CapacityAge09*'19_Расчет_аналитики'!$F$2235,0)</f>
        <v/>
      </c>
      <c r="AJ2552">
        <f>IF(IF('01_Вводные'!$B$296="Новый сезон",9-1&gt;MOD(MONTH('06_Сеть_и_дети'!AJ$3)-9,12),FALSE),'19_Расчет_аналитики'!AJ2440*CapacityAge09*'19_Расчет_аналитики'!$F$2235,0)</f>
        <v/>
      </c>
      <c r="AK2552">
        <f>IF(IF('01_Вводные'!$B$296="Новый сезон",9-1&gt;MOD(MONTH('06_Сеть_и_дети'!AK$3)-9,12),FALSE),'19_Расчет_аналитики'!AK2440*CapacityAge09*'19_Расчет_аналитики'!$F$2235,0)</f>
        <v/>
      </c>
      <c r="AL2552">
        <f>IF(IF('01_Вводные'!$B$296="Новый сезон",9-1&gt;MOD(MONTH('06_Сеть_и_дети'!AL$3)-9,12),FALSE),'19_Расчет_аналитики'!AL2440*CapacityAge09*'19_Расчет_аналитики'!$F$2235,0)</f>
        <v/>
      </c>
      <c r="AM2552">
        <f>IF(IF('01_Вводные'!$B$296="Новый сезон",9-1&gt;MOD(MONTH('06_Сеть_и_дети'!AM$3)-9,12),FALSE),'19_Расчет_аналитики'!AM2440*CapacityAge09*'19_Расчет_аналитики'!$F$2235,0)</f>
        <v/>
      </c>
      <c r="AN2552">
        <f>IF(IF('01_Вводные'!$B$296="Новый сезон",9-1&gt;MOD(MONTH('06_Сеть_и_дети'!AN$3)-9,12),FALSE),'19_Расчет_аналитики'!AN2440*CapacityAge09*'19_Расчет_аналитики'!$F$2235,0)</f>
        <v/>
      </c>
      <c r="AO2552">
        <f>IF(IF('01_Вводные'!$B$296="Новый сезон",9-1&gt;MOD(MONTH('06_Сеть_и_дети'!AO$3)-9,12),FALSE),'19_Расчет_аналитики'!AO2440*CapacityAge09*'19_Расчет_аналитики'!$F$2235,0)</f>
        <v/>
      </c>
      <c r="AP2552">
        <f>IF(IF('01_Вводные'!$B$296="Новый сезон",9-1&gt;MOD(MONTH('06_Сеть_и_дети'!AP$3)-9,12),FALSE),'19_Расчет_аналитики'!AP2440*CapacityAge09*'19_Расчет_аналитики'!$F$2235,0)</f>
        <v/>
      </c>
      <c r="AQ2552">
        <f>IF(IF('01_Вводные'!$B$296="Новый сезон",9-1&gt;MOD(MONTH('06_Сеть_и_дети'!AQ$3)-9,12),FALSE),'19_Расчет_аналитики'!AQ2440*CapacityAge09*'19_Расчет_аналитики'!$F$2235,0)</f>
        <v/>
      </c>
      <c r="AR2552">
        <f>IF(IF('01_Вводные'!$B$296="Новый сезон",9-1&gt;MOD(MONTH('06_Сеть_и_дети'!AR$3)-9,12),FALSE),'19_Расчет_аналитики'!AR2440*CapacityAge09*'19_Расчет_аналитики'!$F$2235,0)</f>
        <v/>
      </c>
      <c r="AS2552">
        <f>IF(IF('01_Вводные'!$B$296="Новый сезон",9-1&gt;MOD(MONTH('06_Сеть_и_дети'!AS$3)-9,12),FALSE),'19_Расчет_аналитики'!AS2440*CapacityAge09*'19_Расчет_аналитики'!$F$2235,0)</f>
        <v/>
      </c>
      <c r="AT2552">
        <f>IF(IF('01_Вводные'!$B$296="Новый сезон",9-1&gt;MOD(MONTH('06_Сеть_и_дети'!AT$3)-9,12),FALSE),'19_Расчет_аналитики'!AT2440*CapacityAge09*'19_Расчет_аналитики'!$F$2235,0)</f>
        <v/>
      </c>
      <c r="AU2552">
        <f>IF(IF('01_Вводные'!$B$296="Новый сезон",9-1&gt;MOD(MONTH('06_Сеть_и_дети'!AU$3)-9,12),FALSE),'19_Расчет_аналитики'!AU2440*CapacityAge09*'19_Расчет_аналитики'!$F$2235,0)</f>
        <v/>
      </c>
      <c r="AV2552">
        <f>IF(IF('01_Вводные'!$B$296="Новый сезон",9-1&gt;MOD(MONTH('06_Сеть_и_дети'!AV$3)-9,12),FALSE),'19_Расчет_аналитики'!AV2440*CapacityAge09*'19_Расчет_аналитики'!$F$2235,0)</f>
        <v/>
      </c>
      <c r="AW2552">
        <f>IF(IF('01_Вводные'!$B$296="Новый сезон",9-1&gt;MOD(MONTH('06_Сеть_и_дети'!AW$3)-9,12),FALSE),'19_Расчет_аналитики'!AW2440*CapacityAge09*'19_Расчет_аналитики'!$F$2235,0)</f>
        <v/>
      </c>
      <c r="AX2552">
        <f>IF(IF('01_Вводные'!$B$296="Новый сезон",9-1&gt;MOD(MONTH('06_Сеть_и_дети'!AX$3)-9,12),FALSE),'19_Расчет_аналитики'!AX2440*CapacityAge09*'19_Расчет_аналитики'!$F$2235,0)</f>
        <v/>
      </c>
      <c r="AY2552">
        <f>IF(IF('01_Вводные'!$B$296="Новый сезон",9-1&gt;MOD(MONTH('06_Сеть_и_дети'!AY$3)-9,12),FALSE),'19_Расчет_аналитики'!AY2440*CapacityAge09*'19_Расчет_аналитики'!$F$2235,0)</f>
        <v/>
      </c>
      <c r="AZ2552">
        <f>IF(IF('01_Вводные'!$B$296="Новый сезон",9-1&gt;MOD(MONTH('06_Сеть_и_дети'!AZ$3)-9,12),FALSE),'19_Расчет_аналитики'!AZ2440*CapacityAge09*'19_Расчет_аналитики'!$F$2235,0)</f>
        <v/>
      </c>
      <c r="BA2552">
        <f>IF(IF('01_Вводные'!$B$296="Новый сезон",9-1&gt;MOD(MONTH('06_Сеть_и_дети'!BA$3)-9,12),FALSE),'19_Расчет_аналитики'!BA2440*CapacityAge09*'19_Расчет_аналитики'!$F$2235,0)</f>
        <v/>
      </c>
      <c r="BB2552">
        <f>IF(IF('01_Вводные'!$B$296="Новый сезон",9-1&gt;MOD(MONTH('06_Сеть_и_дети'!BB$3)-9,12),FALSE),'19_Расчет_аналитики'!BB2440*CapacityAge09*'19_Расчет_аналитики'!$F$2235,0)</f>
        <v/>
      </c>
      <c r="BC2552">
        <f>IF(IF('01_Вводные'!$B$296="Новый сезон",9-1&gt;MOD(MONTH('06_Сеть_и_дети'!BC$3)-9,12),FALSE),'19_Расчет_аналитики'!BC2440*CapacityAge09*'19_Расчет_аналитики'!$F$2235,0)</f>
        <v/>
      </c>
      <c r="BD2552">
        <f>IF(IF('01_Вводные'!$B$296="Новый сезон",9-1&gt;MOD(MONTH('06_Сеть_и_дети'!BD$3)-9,12),FALSE),'19_Расчет_аналитики'!BD2440*CapacityAge09*'19_Расчет_аналитики'!$F$2235,0)</f>
        <v/>
      </c>
      <c r="BE2552">
        <f>IF(IF('01_Вводные'!$B$296="Новый сезон",9-1&gt;MOD(MONTH('06_Сеть_и_дети'!BE$3)-9,12),FALSE),'19_Расчет_аналитики'!BE2440*CapacityAge09*'19_Расчет_аналитики'!$F$2235,0)</f>
        <v/>
      </c>
      <c r="BF2552">
        <f>IF(IF('01_Вводные'!$B$296="Новый сезон",9-1&gt;MOD(MONTH('06_Сеть_и_дети'!BF$3)-9,12),FALSE),'19_Расчет_аналитики'!BF2440*CapacityAge09*'19_Расчет_аналитики'!$F$2235,0)</f>
        <v/>
      </c>
      <c r="BG2552">
        <f>IF(IF('01_Вводные'!$B$296="Новый сезон",9-1&gt;MOD(MONTH('06_Сеть_и_дети'!BG$3)-9,12),FALSE),'19_Расчет_аналитики'!BG2440*CapacityAge09*'19_Расчет_аналитики'!$F$2235,0)</f>
        <v/>
      </c>
      <c r="BH2552">
        <f>IF(IF('01_Вводные'!$B$296="Новый сезон",9-1&gt;MOD(MONTH('06_Сеть_и_дети'!BH$3)-9,12),FALSE),'19_Расчет_аналитики'!BH2440*CapacityAge09*'19_Расчет_аналитики'!$F$2235,0)</f>
        <v/>
      </c>
      <c r="BI2552">
        <f>IF(IF('01_Вводные'!$B$296="Новый сезон",9-1&gt;MOD(MONTH('06_Сеть_и_дети'!BI$3)-9,12),FALSE),'19_Расчет_аналитики'!BI2440*CapacityAge09*'19_Расчет_аналитики'!$F$2235,0)</f>
        <v/>
      </c>
      <c r="BJ2552">
        <f>IF(IF('01_Вводные'!$B$296="Новый сезон",9-1&gt;MOD(MONTH('06_Сеть_и_дети'!BJ$3)-9,12),FALSE),'19_Расчет_аналитики'!BJ2440*CapacityAge09*'19_Расчет_аналитики'!$F$2235,0)</f>
        <v/>
      </c>
      <c r="BK2552">
        <f>IF(IF('01_Вводные'!$B$296="Новый сезон",9-1&gt;MOD(MONTH('06_Сеть_и_дети'!BK$3)-9,12),FALSE),'19_Расчет_аналитики'!BK2440*CapacityAge09*'19_Расчет_аналитики'!$F$2235,0)</f>
        <v/>
      </c>
      <c r="BL2552">
        <f>IF(IF('01_Вводные'!$B$296="Новый сезон",9-1&gt;MOD(MONTH('06_Сеть_и_дети'!BL$3)-9,12),FALSE),'19_Расчет_аналитики'!BL2440*CapacityAge09*'19_Расчет_аналитики'!$F$2235,0)</f>
        <v/>
      </c>
      <c r="BM2552">
        <f>IF(IF('01_Вводные'!$B$296="Новый сезон",9-1&gt;MOD(MONTH('06_Сеть_и_дети'!BM$3)-9,12),FALSE),'19_Расчет_аналитики'!BM2440*CapacityAge09*'19_Расчет_аналитики'!$F$2235,0)</f>
        <v/>
      </c>
      <c r="BN2552">
        <f>IF(IF('01_Вводные'!$B$296="Новый сезон",9-1&gt;MOD(MONTH('06_Сеть_и_дети'!BN$3)-9,12),FALSE),'19_Расчет_аналитики'!BN2440*CapacityAge09*'19_Расчет_аналитики'!$F$2235,0)</f>
        <v/>
      </c>
      <c r="BO2552">
        <f>IF(IF('01_Вводные'!$B$296="Новый сезон",9-1&gt;MOD(MONTH('06_Сеть_и_дети'!BO$3)-9,12),FALSE),'19_Расчет_аналитики'!BO2440*CapacityAge09*'19_Расчет_аналитики'!$F$2235,0)</f>
        <v/>
      </c>
    </row>
    <row r="2553">
      <c r="B2553">
        <f>IF(IF('01_Вводные'!$B$296="Новый сезон",10-1&gt;MOD(MONTH('06_Сеть_и_дети'!B$3)-9,12),FALSE),'06_Сеть_и_дети'!B62*CapacityAge10*'19_Расчет_аналитики'!$F$2235,0)</f>
        <v/>
      </c>
      <c r="C2553">
        <f>IF(IF('01_Вводные'!$B$296="Новый сезон",10-1&gt;MOD(MONTH('06_Сеть_и_дети'!C$3)-9,12),FALSE),'06_Сеть_и_дети'!C62*CapacityAge10*'19_Расчет_аналитики'!$F$2235,0)</f>
        <v/>
      </c>
      <c r="D2553">
        <f>IF(IF('01_Вводные'!$B$296="Новый сезон",10-1&gt;MOD(MONTH('06_Сеть_и_дети'!D$3)-9,12),FALSE),'06_Сеть_и_дети'!D62*CapacityAge10*'19_Расчет_аналитики'!$F$2235,0)</f>
        <v/>
      </c>
      <c r="E2553">
        <f>IF(IF('01_Вводные'!$B$296="Новый сезон",10-1&gt;MOD(MONTH('06_Сеть_и_дети'!E$3)-9,12),FALSE),'06_Сеть_и_дети'!E62*CapacityAge10*'19_Расчет_аналитики'!$F$2235,0)</f>
        <v/>
      </c>
      <c r="F2553">
        <f>IF(IF('01_Вводные'!$B$296="Новый сезон",10-1&gt;MOD(MONTH('06_Сеть_и_дети'!F$3)-9,12),FALSE),'06_Сеть_и_дети'!F62*CapacityAge10*'19_Расчет_аналитики'!$F$2235,0)</f>
        <v/>
      </c>
      <c r="G2553">
        <f>IF(IF('01_Вводные'!$B$296="Новый сезон",10-1&gt;MOD(MONTH('06_Сеть_и_дети'!G$3)-9,12),FALSE),'06_Сеть_и_дети'!G62*CapacityAge10*'19_Расчет_аналитики'!$F$2235,0)</f>
        <v/>
      </c>
      <c r="H2553">
        <f>IF(IF('01_Вводные'!$B$296="Новый сезон",10-1&gt;MOD(MONTH('06_Сеть_и_дети'!H$3)-9,12),FALSE),'06_Сеть_и_дети'!H62*CapacityAge10*'19_Расчет_аналитики'!$F$2235,0)</f>
        <v/>
      </c>
      <c r="I2553">
        <f>IF(IF('01_Вводные'!$B$296="Новый сезон",10-1&gt;MOD(MONTH('06_Сеть_и_дети'!I$3)-9,12),FALSE),'06_Сеть_и_дети'!I62*CapacityAge10*'19_Расчет_аналитики'!$F$2235,0)</f>
        <v/>
      </c>
      <c r="J2553">
        <f>IF(IF('01_Вводные'!$B$296="Новый сезон",10-1&gt;MOD(MONTH('06_Сеть_и_дети'!J$3)-9,12),FALSE),'06_Сеть_и_дети'!J62*CapacityAge10*'19_Расчет_аналитики'!$F$2235,0)</f>
        <v/>
      </c>
      <c r="K2553">
        <f>IF(IF('01_Вводные'!$B$296="Новый сезон",10-1&gt;MOD(MONTH('06_Сеть_и_дети'!K$3)-9,12),FALSE),'19_Расчет_аналитики'!K2441*CapacityAge10*'19_Расчет_аналитики'!$F$2235,0)</f>
        <v/>
      </c>
      <c r="L2553">
        <f>IF(IF('01_Вводные'!$B$296="Новый сезон",10-1&gt;MOD(MONTH('06_Сеть_и_дети'!L$3)-9,12),FALSE),'19_Расчет_аналитики'!L2441*CapacityAge10*'19_Расчет_аналитики'!$F$2235,0)</f>
        <v/>
      </c>
      <c r="M2553">
        <f>IF(IF('01_Вводные'!$B$296="Новый сезон",10-1&gt;MOD(MONTH('06_Сеть_и_дети'!M$3)-9,12),FALSE),'19_Расчет_аналитики'!M2441*CapacityAge10*'19_Расчет_аналитики'!$F$2235,0)</f>
        <v/>
      </c>
      <c r="N2553">
        <f>IF(IF('01_Вводные'!$B$296="Новый сезон",10-1&gt;MOD(MONTH('06_Сеть_и_дети'!N$3)-9,12),FALSE),'19_Расчет_аналитики'!N2441*CapacityAge10*'19_Расчет_аналитики'!$F$2235,0)</f>
        <v/>
      </c>
      <c r="O2553">
        <f>IF(IF('01_Вводные'!$B$296="Новый сезон",10-1&gt;MOD(MONTH('06_Сеть_и_дети'!O$3)-9,12),FALSE),'19_Расчет_аналитики'!O2441*CapacityAge10*'19_Расчет_аналитики'!$F$2235,0)</f>
        <v/>
      </c>
      <c r="P2553">
        <f>IF(IF('01_Вводные'!$B$296="Новый сезон",10-1&gt;MOD(MONTH('06_Сеть_и_дети'!P$3)-9,12),FALSE),'19_Расчет_аналитики'!P2441*CapacityAge10*'19_Расчет_аналитики'!$F$2235,0)</f>
        <v/>
      </c>
      <c r="Q2553">
        <f>IF(IF('01_Вводные'!$B$296="Новый сезон",10-1&gt;MOD(MONTH('06_Сеть_и_дети'!Q$3)-9,12),FALSE),'19_Расчет_аналитики'!Q2441*CapacityAge10*'19_Расчет_аналитики'!$F$2235,0)</f>
        <v/>
      </c>
      <c r="R2553">
        <f>IF(IF('01_Вводные'!$B$296="Новый сезон",10-1&gt;MOD(MONTH('06_Сеть_и_дети'!R$3)-9,12),FALSE),'19_Расчет_аналитики'!R2441*CapacityAge10*'19_Расчет_аналитики'!$F$2235,0)</f>
        <v/>
      </c>
      <c r="S2553">
        <f>IF(IF('01_Вводные'!$B$296="Новый сезон",10-1&gt;MOD(MONTH('06_Сеть_и_дети'!S$3)-9,12),FALSE),'19_Расчет_аналитики'!S2441*CapacityAge10*'19_Расчет_аналитики'!$F$2235,0)</f>
        <v/>
      </c>
      <c r="T2553">
        <f>IF(IF('01_Вводные'!$B$296="Новый сезон",10-1&gt;MOD(MONTH('06_Сеть_и_дети'!T$3)-9,12),FALSE),'19_Расчет_аналитики'!T2441*CapacityAge10*'19_Расчет_аналитики'!$F$2235,0)</f>
        <v/>
      </c>
      <c r="U2553">
        <f>IF(IF('01_Вводные'!$B$296="Новый сезон",10-1&gt;MOD(MONTH('06_Сеть_и_дети'!U$3)-9,12),FALSE),'19_Расчет_аналитики'!U2441*CapacityAge10*'19_Расчет_аналитики'!$F$2235,0)</f>
        <v/>
      </c>
      <c r="V2553">
        <f>IF(IF('01_Вводные'!$B$296="Новый сезон",10-1&gt;MOD(MONTH('06_Сеть_и_дети'!V$3)-9,12),FALSE),'19_Расчет_аналитики'!V2441*CapacityAge10*'19_Расчет_аналитики'!$F$2235,0)</f>
        <v/>
      </c>
      <c r="W2553">
        <f>IF(IF('01_Вводные'!$B$296="Новый сезон",10-1&gt;MOD(MONTH('06_Сеть_и_дети'!W$3)-9,12),FALSE),'19_Расчет_аналитики'!W2441*CapacityAge10*'19_Расчет_аналитики'!$F$2235,0)</f>
        <v/>
      </c>
      <c r="X2553">
        <f>IF(IF('01_Вводные'!$B$296="Новый сезон",10-1&gt;MOD(MONTH('06_Сеть_и_дети'!X$3)-9,12),FALSE),'19_Расчет_аналитики'!X2441*CapacityAge10*'19_Расчет_аналитики'!$F$2235,0)</f>
        <v/>
      </c>
      <c r="Y2553">
        <f>IF(IF('01_Вводные'!$B$296="Новый сезон",10-1&gt;MOD(MONTH('06_Сеть_и_дети'!Y$3)-9,12),FALSE),'19_Расчет_аналитики'!Y2441*CapacityAge10*'19_Расчет_аналитики'!$F$2235,0)</f>
        <v/>
      </c>
      <c r="Z2553">
        <f>IF(IF('01_Вводные'!$B$296="Новый сезон",10-1&gt;MOD(MONTH('06_Сеть_и_дети'!Z$3)-9,12),FALSE),'19_Расчет_аналитики'!Z2441*CapacityAge10*'19_Расчет_аналитики'!$F$2235,0)</f>
        <v/>
      </c>
      <c r="AA2553">
        <f>IF(IF('01_Вводные'!$B$296="Новый сезон",10-1&gt;MOD(MONTH('06_Сеть_и_дети'!AA$3)-9,12),FALSE),'19_Расчет_аналитики'!AA2441*CapacityAge10*'19_Расчет_аналитики'!$F$2235,0)</f>
        <v/>
      </c>
      <c r="AB2553">
        <f>IF(IF('01_Вводные'!$B$296="Новый сезон",10-1&gt;MOD(MONTH('06_Сеть_и_дети'!AB$3)-9,12),FALSE),'19_Расчет_аналитики'!AB2441*CapacityAge10*'19_Расчет_аналитики'!$F$2235,0)</f>
        <v/>
      </c>
      <c r="AC2553">
        <f>IF(IF('01_Вводные'!$B$296="Новый сезон",10-1&gt;MOD(MONTH('06_Сеть_и_дети'!AC$3)-9,12),FALSE),'19_Расчет_аналитики'!AC2441*CapacityAge10*'19_Расчет_аналитики'!$F$2235,0)</f>
        <v/>
      </c>
      <c r="AD2553">
        <f>IF(IF('01_Вводные'!$B$296="Новый сезон",10-1&gt;MOD(MONTH('06_Сеть_и_дети'!AD$3)-9,12),FALSE),'19_Расчет_аналитики'!AD2441*CapacityAge10*'19_Расчет_аналитики'!$F$2235,0)</f>
        <v/>
      </c>
      <c r="AE2553">
        <f>IF(IF('01_Вводные'!$B$296="Новый сезон",10-1&gt;MOD(MONTH('06_Сеть_и_дети'!AE$3)-9,12),FALSE),'19_Расчет_аналитики'!AE2441*CapacityAge10*'19_Расчет_аналитики'!$F$2235,0)</f>
        <v/>
      </c>
      <c r="AF2553">
        <f>IF(IF('01_Вводные'!$B$296="Новый сезон",10-1&gt;MOD(MONTH('06_Сеть_и_дети'!AF$3)-9,12),FALSE),'19_Расчет_аналитики'!AF2441*CapacityAge10*'19_Расчет_аналитики'!$F$2235,0)</f>
        <v/>
      </c>
      <c r="AG2553">
        <f>IF(IF('01_Вводные'!$B$296="Новый сезон",10-1&gt;MOD(MONTH('06_Сеть_и_дети'!AG$3)-9,12),FALSE),'19_Расчет_аналитики'!AG2441*CapacityAge10*'19_Расчет_аналитики'!$F$2235,0)</f>
        <v/>
      </c>
      <c r="AH2553">
        <f>IF(IF('01_Вводные'!$B$296="Новый сезон",10-1&gt;MOD(MONTH('06_Сеть_и_дети'!AH$3)-9,12),FALSE),'19_Расчет_аналитики'!AH2441*CapacityAge10*'19_Расчет_аналитики'!$F$2235,0)</f>
        <v/>
      </c>
      <c r="AI2553">
        <f>IF(IF('01_Вводные'!$B$296="Новый сезон",10-1&gt;MOD(MONTH('06_Сеть_и_дети'!AI$3)-9,12),FALSE),'19_Расчет_аналитики'!AI2441*CapacityAge10*'19_Расчет_аналитики'!$F$2235,0)</f>
        <v/>
      </c>
      <c r="AJ2553">
        <f>IF(IF('01_Вводные'!$B$296="Новый сезон",10-1&gt;MOD(MONTH('06_Сеть_и_дети'!AJ$3)-9,12),FALSE),'19_Расчет_аналитики'!AJ2441*CapacityAge10*'19_Расчет_аналитики'!$F$2235,0)</f>
        <v/>
      </c>
      <c r="AK2553">
        <f>IF(IF('01_Вводные'!$B$296="Новый сезон",10-1&gt;MOD(MONTH('06_Сеть_и_дети'!AK$3)-9,12),FALSE),'19_Расчет_аналитики'!AK2441*CapacityAge10*'19_Расчет_аналитики'!$F$2235,0)</f>
        <v/>
      </c>
      <c r="AL2553">
        <f>IF(IF('01_Вводные'!$B$296="Новый сезон",10-1&gt;MOD(MONTH('06_Сеть_и_дети'!AL$3)-9,12),FALSE),'19_Расчет_аналитики'!AL2441*CapacityAge10*'19_Расчет_аналитики'!$F$2235,0)</f>
        <v/>
      </c>
      <c r="AM2553">
        <f>IF(IF('01_Вводные'!$B$296="Новый сезон",10-1&gt;MOD(MONTH('06_Сеть_и_дети'!AM$3)-9,12),FALSE),'19_Расчет_аналитики'!AM2441*CapacityAge10*'19_Расчет_аналитики'!$F$2235,0)</f>
        <v/>
      </c>
      <c r="AN2553">
        <f>IF(IF('01_Вводные'!$B$296="Новый сезон",10-1&gt;MOD(MONTH('06_Сеть_и_дети'!AN$3)-9,12),FALSE),'19_Расчет_аналитики'!AN2441*CapacityAge10*'19_Расчет_аналитики'!$F$2235,0)</f>
        <v/>
      </c>
      <c r="AO2553">
        <f>IF(IF('01_Вводные'!$B$296="Новый сезон",10-1&gt;MOD(MONTH('06_Сеть_и_дети'!AO$3)-9,12),FALSE),'19_Расчет_аналитики'!AO2441*CapacityAge10*'19_Расчет_аналитики'!$F$2235,0)</f>
        <v/>
      </c>
      <c r="AP2553">
        <f>IF(IF('01_Вводные'!$B$296="Новый сезон",10-1&gt;MOD(MONTH('06_Сеть_и_дети'!AP$3)-9,12),FALSE),'19_Расчет_аналитики'!AP2441*CapacityAge10*'19_Расчет_аналитики'!$F$2235,0)</f>
        <v/>
      </c>
      <c r="AQ2553">
        <f>IF(IF('01_Вводные'!$B$296="Новый сезон",10-1&gt;MOD(MONTH('06_Сеть_и_дети'!AQ$3)-9,12),FALSE),'19_Расчет_аналитики'!AQ2441*CapacityAge10*'19_Расчет_аналитики'!$F$2235,0)</f>
        <v/>
      </c>
      <c r="AR2553">
        <f>IF(IF('01_Вводные'!$B$296="Новый сезон",10-1&gt;MOD(MONTH('06_Сеть_и_дети'!AR$3)-9,12),FALSE),'19_Расчет_аналитики'!AR2441*CapacityAge10*'19_Расчет_аналитики'!$F$2235,0)</f>
        <v/>
      </c>
      <c r="AS2553">
        <f>IF(IF('01_Вводные'!$B$296="Новый сезон",10-1&gt;MOD(MONTH('06_Сеть_и_дети'!AS$3)-9,12),FALSE),'19_Расчет_аналитики'!AS2441*CapacityAge10*'19_Расчет_аналитики'!$F$2235,0)</f>
        <v/>
      </c>
      <c r="AT2553">
        <f>IF(IF('01_Вводные'!$B$296="Новый сезон",10-1&gt;MOD(MONTH('06_Сеть_и_дети'!AT$3)-9,12),FALSE),'19_Расчет_аналитики'!AT2441*CapacityAge10*'19_Расчет_аналитики'!$F$2235,0)</f>
        <v/>
      </c>
      <c r="AU2553">
        <f>IF(IF('01_Вводные'!$B$296="Новый сезон",10-1&gt;MOD(MONTH('06_Сеть_и_дети'!AU$3)-9,12),FALSE),'19_Расчет_аналитики'!AU2441*CapacityAge10*'19_Расчет_аналитики'!$F$2235,0)</f>
        <v/>
      </c>
      <c r="AV2553">
        <f>IF(IF('01_Вводные'!$B$296="Новый сезон",10-1&gt;MOD(MONTH('06_Сеть_и_дети'!AV$3)-9,12),FALSE),'19_Расчет_аналитики'!AV2441*CapacityAge10*'19_Расчет_аналитики'!$F$2235,0)</f>
        <v/>
      </c>
      <c r="AW2553">
        <f>IF(IF('01_Вводные'!$B$296="Новый сезон",10-1&gt;MOD(MONTH('06_Сеть_и_дети'!AW$3)-9,12),FALSE),'19_Расчет_аналитики'!AW2441*CapacityAge10*'19_Расчет_аналитики'!$F$2235,0)</f>
        <v/>
      </c>
      <c r="AX2553">
        <f>IF(IF('01_Вводные'!$B$296="Новый сезон",10-1&gt;MOD(MONTH('06_Сеть_и_дети'!AX$3)-9,12),FALSE),'19_Расчет_аналитики'!AX2441*CapacityAge10*'19_Расчет_аналитики'!$F$2235,0)</f>
        <v/>
      </c>
      <c r="AY2553">
        <f>IF(IF('01_Вводные'!$B$296="Новый сезон",10-1&gt;MOD(MONTH('06_Сеть_и_дети'!AY$3)-9,12),FALSE),'19_Расчет_аналитики'!AY2441*CapacityAge10*'19_Расчет_аналитики'!$F$2235,0)</f>
        <v/>
      </c>
      <c r="AZ2553">
        <f>IF(IF('01_Вводные'!$B$296="Новый сезон",10-1&gt;MOD(MONTH('06_Сеть_и_дети'!AZ$3)-9,12),FALSE),'19_Расчет_аналитики'!AZ2441*CapacityAge10*'19_Расчет_аналитики'!$F$2235,0)</f>
        <v/>
      </c>
      <c r="BA2553">
        <f>IF(IF('01_Вводные'!$B$296="Новый сезон",10-1&gt;MOD(MONTH('06_Сеть_и_дети'!BA$3)-9,12),FALSE),'19_Расчет_аналитики'!BA2441*CapacityAge10*'19_Расчет_аналитики'!$F$2235,0)</f>
        <v/>
      </c>
      <c r="BB2553">
        <f>IF(IF('01_Вводные'!$B$296="Новый сезон",10-1&gt;MOD(MONTH('06_Сеть_и_дети'!BB$3)-9,12),FALSE),'19_Расчет_аналитики'!BB2441*CapacityAge10*'19_Расчет_аналитики'!$F$2235,0)</f>
        <v/>
      </c>
      <c r="BC2553">
        <f>IF(IF('01_Вводные'!$B$296="Новый сезон",10-1&gt;MOD(MONTH('06_Сеть_и_дети'!BC$3)-9,12),FALSE),'19_Расчет_аналитики'!BC2441*CapacityAge10*'19_Расчет_аналитики'!$F$2235,0)</f>
        <v/>
      </c>
      <c r="BD2553">
        <f>IF(IF('01_Вводные'!$B$296="Новый сезон",10-1&gt;MOD(MONTH('06_Сеть_и_дети'!BD$3)-9,12),FALSE),'19_Расчет_аналитики'!BD2441*CapacityAge10*'19_Расчет_аналитики'!$F$2235,0)</f>
        <v/>
      </c>
      <c r="BE2553">
        <f>IF(IF('01_Вводные'!$B$296="Новый сезон",10-1&gt;MOD(MONTH('06_Сеть_и_дети'!BE$3)-9,12),FALSE),'19_Расчет_аналитики'!BE2441*CapacityAge10*'19_Расчет_аналитики'!$F$2235,0)</f>
        <v/>
      </c>
      <c r="BF2553">
        <f>IF(IF('01_Вводные'!$B$296="Новый сезон",10-1&gt;MOD(MONTH('06_Сеть_и_дети'!BF$3)-9,12),FALSE),'19_Расчет_аналитики'!BF2441*CapacityAge10*'19_Расчет_аналитики'!$F$2235,0)</f>
        <v/>
      </c>
      <c r="BG2553">
        <f>IF(IF('01_Вводные'!$B$296="Новый сезон",10-1&gt;MOD(MONTH('06_Сеть_и_дети'!BG$3)-9,12),FALSE),'19_Расчет_аналитики'!BG2441*CapacityAge10*'19_Расчет_аналитики'!$F$2235,0)</f>
        <v/>
      </c>
      <c r="BH2553">
        <f>IF(IF('01_Вводные'!$B$296="Новый сезон",10-1&gt;MOD(MONTH('06_Сеть_и_дети'!BH$3)-9,12),FALSE),'19_Расчет_аналитики'!BH2441*CapacityAge10*'19_Расчет_аналитики'!$F$2235,0)</f>
        <v/>
      </c>
      <c r="BI2553">
        <f>IF(IF('01_Вводные'!$B$296="Новый сезон",10-1&gt;MOD(MONTH('06_Сеть_и_дети'!BI$3)-9,12),FALSE),'19_Расчет_аналитики'!BI2441*CapacityAge10*'19_Расчет_аналитики'!$F$2235,0)</f>
        <v/>
      </c>
      <c r="BJ2553">
        <f>IF(IF('01_Вводные'!$B$296="Новый сезон",10-1&gt;MOD(MONTH('06_Сеть_и_дети'!BJ$3)-9,12),FALSE),'19_Расчет_аналитики'!BJ2441*CapacityAge10*'19_Расчет_аналитики'!$F$2235,0)</f>
        <v/>
      </c>
      <c r="BK2553">
        <f>IF(IF('01_Вводные'!$B$296="Новый сезон",10-1&gt;MOD(MONTH('06_Сеть_и_дети'!BK$3)-9,12),FALSE),'19_Расчет_аналитики'!BK2441*CapacityAge10*'19_Расчет_аналитики'!$F$2235,0)</f>
        <v/>
      </c>
      <c r="BL2553">
        <f>IF(IF('01_Вводные'!$B$296="Новый сезон",10-1&gt;MOD(MONTH('06_Сеть_и_дети'!BL$3)-9,12),FALSE),'19_Расчет_аналитики'!BL2441*CapacityAge10*'19_Расчет_аналитики'!$F$2235,0)</f>
        <v/>
      </c>
      <c r="BM2553">
        <f>IF(IF('01_Вводные'!$B$296="Новый сезон",10-1&gt;MOD(MONTH('06_Сеть_и_дети'!BM$3)-9,12),FALSE),'19_Расчет_аналитики'!BM2441*CapacityAge10*'19_Расчет_аналитики'!$F$2235,0)</f>
        <v/>
      </c>
      <c r="BN2553">
        <f>IF(IF('01_Вводные'!$B$296="Новый сезон",10-1&gt;MOD(MONTH('06_Сеть_и_дети'!BN$3)-9,12),FALSE),'19_Расчет_аналитики'!BN2441*CapacityAge10*'19_Расчет_аналитики'!$F$2235,0)</f>
        <v/>
      </c>
      <c r="BO2553">
        <f>IF(IF('01_Вводные'!$B$296="Новый сезон",10-1&gt;MOD(MONTH('06_Сеть_и_дети'!BO$3)-9,12),FALSE),'19_Расчет_аналитики'!BO2441*CapacityAge10*'19_Расчет_аналитики'!$F$2235,0)</f>
        <v/>
      </c>
    </row>
    <row r="2554">
      <c r="B2554">
        <f>IF(IF('01_Вводные'!$B$296="Новый сезон",11-1&gt;MOD(MONTH('06_Сеть_и_дети'!B$3)-9,12),FALSE),'06_Сеть_и_дети'!B63*CapacityAge11*'19_Расчет_аналитики'!$F$2235,0)</f>
        <v/>
      </c>
      <c r="C2554">
        <f>IF(IF('01_Вводные'!$B$296="Новый сезон",11-1&gt;MOD(MONTH('06_Сеть_и_дети'!C$3)-9,12),FALSE),'06_Сеть_и_дети'!C63*CapacityAge11*'19_Расчет_аналитики'!$F$2235,0)</f>
        <v/>
      </c>
      <c r="D2554">
        <f>IF(IF('01_Вводные'!$B$296="Новый сезон",11-1&gt;MOD(MONTH('06_Сеть_и_дети'!D$3)-9,12),FALSE),'06_Сеть_и_дети'!D63*CapacityAge11*'19_Расчет_аналитики'!$F$2235,0)</f>
        <v/>
      </c>
      <c r="E2554">
        <f>IF(IF('01_Вводные'!$B$296="Новый сезон",11-1&gt;MOD(MONTH('06_Сеть_и_дети'!E$3)-9,12),FALSE),'06_Сеть_и_дети'!E63*CapacityAge11*'19_Расчет_аналитики'!$F$2235,0)</f>
        <v/>
      </c>
      <c r="F2554">
        <f>IF(IF('01_Вводные'!$B$296="Новый сезон",11-1&gt;MOD(MONTH('06_Сеть_и_дети'!F$3)-9,12),FALSE),'06_Сеть_и_дети'!F63*CapacityAge11*'19_Расчет_аналитики'!$F$2235,0)</f>
        <v/>
      </c>
      <c r="G2554">
        <f>IF(IF('01_Вводные'!$B$296="Новый сезон",11-1&gt;MOD(MONTH('06_Сеть_и_дети'!G$3)-9,12),FALSE),'06_Сеть_и_дети'!G63*CapacityAge11*'19_Расчет_аналитики'!$F$2235,0)</f>
        <v/>
      </c>
      <c r="H2554">
        <f>IF(IF('01_Вводные'!$B$296="Новый сезон",11-1&gt;MOD(MONTH('06_Сеть_и_дети'!H$3)-9,12),FALSE),'06_Сеть_и_дети'!H63*CapacityAge11*'19_Расчет_аналитики'!$F$2235,0)</f>
        <v/>
      </c>
      <c r="I2554">
        <f>IF(IF('01_Вводные'!$B$296="Новый сезон",11-1&gt;MOD(MONTH('06_Сеть_и_дети'!I$3)-9,12),FALSE),'06_Сеть_и_дети'!I63*CapacityAge11*'19_Расчет_аналитики'!$F$2235,0)</f>
        <v/>
      </c>
      <c r="J2554">
        <f>IF(IF('01_Вводные'!$B$296="Новый сезон",11-1&gt;MOD(MONTH('06_Сеть_и_дети'!J$3)-9,12),FALSE),'06_Сеть_и_дети'!J63*CapacityAge11*'19_Расчет_аналитики'!$F$2235,0)</f>
        <v/>
      </c>
      <c r="K2554">
        <f>IF(IF('01_Вводные'!$B$296="Новый сезон",11-1&gt;MOD(MONTH('06_Сеть_и_дети'!K$3)-9,12),FALSE),'06_Сеть_и_дети'!K63*CapacityAge11*'19_Расчет_аналитики'!$F$2235,0)</f>
        <v/>
      </c>
      <c r="L2554">
        <f>IF(IF('01_Вводные'!$B$296="Новый сезон",11-1&gt;MOD(MONTH('06_Сеть_и_дети'!L$3)-9,12),FALSE),'19_Расчет_аналитики'!L2442*CapacityAge11*'19_Расчет_аналитики'!$F$2235,0)</f>
        <v/>
      </c>
      <c r="M2554">
        <f>IF(IF('01_Вводные'!$B$296="Новый сезон",11-1&gt;MOD(MONTH('06_Сеть_и_дети'!M$3)-9,12),FALSE),'19_Расчет_аналитики'!M2442*CapacityAge11*'19_Расчет_аналитики'!$F$2235,0)</f>
        <v/>
      </c>
      <c r="N2554">
        <f>IF(IF('01_Вводные'!$B$296="Новый сезон",11-1&gt;MOD(MONTH('06_Сеть_и_дети'!N$3)-9,12),FALSE),'19_Расчет_аналитики'!N2442*CapacityAge11*'19_Расчет_аналитики'!$F$2235,0)</f>
        <v/>
      </c>
      <c r="O2554">
        <f>IF(IF('01_Вводные'!$B$296="Новый сезон",11-1&gt;MOD(MONTH('06_Сеть_и_дети'!O$3)-9,12),FALSE),'19_Расчет_аналитики'!O2442*CapacityAge11*'19_Расчет_аналитики'!$F$2235,0)</f>
        <v/>
      </c>
      <c r="P2554">
        <f>IF(IF('01_Вводные'!$B$296="Новый сезон",11-1&gt;MOD(MONTH('06_Сеть_и_дети'!P$3)-9,12),FALSE),'19_Расчет_аналитики'!P2442*CapacityAge11*'19_Расчет_аналитики'!$F$2235,0)</f>
        <v/>
      </c>
      <c r="Q2554">
        <f>IF(IF('01_Вводные'!$B$296="Новый сезон",11-1&gt;MOD(MONTH('06_Сеть_и_дети'!Q$3)-9,12),FALSE),'19_Расчет_аналитики'!Q2442*CapacityAge11*'19_Расчет_аналитики'!$F$2235,0)</f>
        <v/>
      </c>
      <c r="R2554">
        <f>IF(IF('01_Вводные'!$B$296="Новый сезон",11-1&gt;MOD(MONTH('06_Сеть_и_дети'!R$3)-9,12),FALSE),'19_Расчет_аналитики'!R2442*CapacityAge11*'19_Расчет_аналитики'!$F$2235,0)</f>
        <v/>
      </c>
      <c r="S2554">
        <f>IF(IF('01_Вводные'!$B$296="Новый сезон",11-1&gt;MOD(MONTH('06_Сеть_и_дети'!S$3)-9,12),FALSE),'19_Расчет_аналитики'!S2442*CapacityAge11*'19_Расчет_аналитики'!$F$2235,0)</f>
        <v/>
      </c>
      <c r="T2554">
        <f>IF(IF('01_Вводные'!$B$296="Новый сезон",11-1&gt;MOD(MONTH('06_Сеть_и_дети'!T$3)-9,12),FALSE),'19_Расчет_аналитики'!T2442*CapacityAge11*'19_Расчет_аналитики'!$F$2235,0)</f>
        <v/>
      </c>
      <c r="U2554">
        <f>IF(IF('01_Вводные'!$B$296="Новый сезон",11-1&gt;MOD(MONTH('06_Сеть_и_дети'!U$3)-9,12),FALSE),'19_Расчет_аналитики'!U2442*CapacityAge11*'19_Расчет_аналитики'!$F$2235,0)</f>
        <v/>
      </c>
      <c r="V2554">
        <f>IF(IF('01_Вводные'!$B$296="Новый сезон",11-1&gt;MOD(MONTH('06_Сеть_и_дети'!V$3)-9,12),FALSE),'19_Расчет_аналитики'!V2442*CapacityAge11*'19_Расчет_аналитики'!$F$2235,0)</f>
        <v/>
      </c>
      <c r="W2554">
        <f>IF(IF('01_Вводные'!$B$296="Новый сезон",11-1&gt;MOD(MONTH('06_Сеть_и_дети'!W$3)-9,12),FALSE),'19_Расчет_аналитики'!W2442*CapacityAge11*'19_Расчет_аналитики'!$F$2235,0)</f>
        <v/>
      </c>
      <c r="X2554">
        <f>IF(IF('01_Вводные'!$B$296="Новый сезон",11-1&gt;MOD(MONTH('06_Сеть_и_дети'!X$3)-9,12),FALSE),'19_Расчет_аналитики'!X2442*CapacityAge11*'19_Расчет_аналитики'!$F$2235,0)</f>
        <v/>
      </c>
      <c r="Y2554">
        <f>IF(IF('01_Вводные'!$B$296="Новый сезон",11-1&gt;MOD(MONTH('06_Сеть_и_дети'!Y$3)-9,12),FALSE),'19_Расчет_аналитики'!Y2442*CapacityAge11*'19_Расчет_аналитики'!$F$2235,0)</f>
        <v/>
      </c>
      <c r="Z2554">
        <f>IF(IF('01_Вводные'!$B$296="Новый сезон",11-1&gt;MOD(MONTH('06_Сеть_и_дети'!Z$3)-9,12),FALSE),'19_Расчет_аналитики'!Z2442*CapacityAge11*'19_Расчет_аналитики'!$F$2235,0)</f>
        <v/>
      </c>
      <c r="AA2554">
        <f>IF(IF('01_Вводные'!$B$296="Новый сезон",11-1&gt;MOD(MONTH('06_Сеть_и_дети'!AA$3)-9,12),FALSE),'19_Расчет_аналитики'!AA2442*CapacityAge11*'19_Расчет_аналитики'!$F$2235,0)</f>
        <v/>
      </c>
      <c r="AB2554">
        <f>IF(IF('01_Вводные'!$B$296="Новый сезон",11-1&gt;MOD(MONTH('06_Сеть_и_дети'!AB$3)-9,12),FALSE),'19_Расчет_аналитики'!AB2442*CapacityAge11*'19_Расчет_аналитики'!$F$2235,0)</f>
        <v/>
      </c>
      <c r="AC2554">
        <f>IF(IF('01_Вводные'!$B$296="Новый сезон",11-1&gt;MOD(MONTH('06_Сеть_и_дети'!AC$3)-9,12),FALSE),'19_Расчет_аналитики'!AC2442*CapacityAge11*'19_Расчет_аналитики'!$F$2235,0)</f>
        <v/>
      </c>
      <c r="AD2554">
        <f>IF(IF('01_Вводные'!$B$296="Новый сезон",11-1&gt;MOD(MONTH('06_Сеть_и_дети'!AD$3)-9,12),FALSE),'19_Расчет_аналитики'!AD2442*CapacityAge11*'19_Расчет_аналитики'!$F$2235,0)</f>
        <v/>
      </c>
      <c r="AE2554">
        <f>IF(IF('01_Вводные'!$B$296="Новый сезон",11-1&gt;MOD(MONTH('06_Сеть_и_дети'!AE$3)-9,12),FALSE),'19_Расчет_аналитики'!AE2442*CapacityAge11*'19_Расчет_аналитики'!$F$2235,0)</f>
        <v/>
      </c>
      <c r="AF2554">
        <f>IF(IF('01_Вводные'!$B$296="Новый сезон",11-1&gt;MOD(MONTH('06_Сеть_и_дети'!AF$3)-9,12),FALSE),'19_Расчет_аналитики'!AF2442*CapacityAge11*'19_Расчет_аналитики'!$F$2235,0)</f>
        <v/>
      </c>
      <c r="AG2554">
        <f>IF(IF('01_Вводные'!$B$296="Новый сезон",11-1&gt;MOD(MONTH('06_Сеть_и_дети'!AG$3)-9,12),FALSE),'19_Расчет_аналитики'!AG2442*CapacityAge11*'19_Расчет_аналитики'!$F$2235,0)</f>
        <v/>
      </c>
      <c r="AH2554">
        <f>IF(IF('01_Вводные'!$B$296="Новый сезон",11-1&gt;MOD(MONTH('06_Сеть_и_дети'!AH$3)-9,12),FALSE),'19_Расчет_аналитики'!AH2442*CapacityAge11*'19_Расчет_аналитики'!$F$2235,0)</f>
        <v/>
      </c>
      <c r="AI2554">
        <f>IF(IF('01_Вводные'!$B$296="Новый сезон",11-1&gt;MOD(MONTH('06_Сеть_и_дети'!AI$3)-9,12),FALSE),'19_Расчет_аналитики'!AI2442*CapacityAge11*'19_Расчет_аналитики'!$F$2235,0)</f>
        <v/>
      </c>
      <c r="AJ2554">
        <f>IF(IF('01_Вводные'!$B$296="Новый сезон",11-1&gt;MOD(MONTH('06_Сеть_и_дети'!AJ$3)-9,12),FALSE),'19_Расчет_аналитики'!AJ2442*CapacityAge11*'19_Расчет_аналитики'!$F$2235,0)</f>
        <v/>
      </c>
      <c r="AK2554">
        <f>IF(IF('01_Вводные'!$B$296="Новый сезон",11-1&gt;MOD(MONTH('06_Сеть_и_дети'!AK$3)-9,12),FALSE),'19_Расчет_аналитики'!AK2442*CapacityAge11*'19_Расчет_аналитики'!$F$2235,0)</f>
        <v/>
      </c>
      <c r="AL2554">
        <f>IF(IF('01_Вводные'!$B$296="Новый сезон",11-1&gt;MOD(MONTH('06_Сеть_и_дети'!AL$3)-9,12),FALSE),'19_Расчет_аналитики'!AL2442*CapacityAge11*'19_Расчет_аналитики'!$F$2235,0)</f>
        <v/>
      </c>
      <c r="AM2554">
        <f>IF(IF('01_Вводные'!$B$296="Новый сезон",11-1&gt;MOD(MONTH('06_Сеть_и_дети'!AM$3)-9,12),FALSE),'19_Расчет_аналитики'!AM2442*CapacityAge11*'19_Расчет_аналитики'!$F$2235,0)</f>
        <v/>
      </c>
      <c r="AN2554">
        <f>IF(IF('01_Вводные'!$B$296="Новый сезон",11-1&gt;MOD(MONTH('06_Сеть_и_дети'!AN$3)-9,12),FALSE),'19_Расчет_аналитики'!AN2442*CapacityAge11*'19_Расчет_аналитики'!$F$2235,0)</f>
        <v/>
      </c>
      <c r="AO2554">
        <f>IF(IF('01_Вводные'!$B$296="Новый сезон",11-1&gt;MOD(MONTH('06_Сеть_и_дети'!AO$3)-9,12),FALSE),'19_Расчет_аналитики'!AO2442*CapacityAge11*'19_Расчет_аналитики'!$F$2235,0)</f>
        <v/>
      </c>
      <c r="AP2554">
        <f>IF(IF('01_Вводные'!$B$296="Новый сезон",11-1&gt;MOD(MONTH('06_Сеть_и_дети'!AP$3)-9,12),FALSE),'19_Расчет_аналитики'!AP2442*CapacityAge11*'19_Расчет_аналитики'!$F$2235,0)</f>
        <v/>
      </c>
      <c r="AQ2554">
        <f>IF(IF('01_Вводные'!$B$296="Новый сезон",11-1&gt;MOD(MONTH('06_Сеть_и_дети'!AQ$3)-9,12),FALSE),'19_Расчет_аналитики'!AQ2442*CapacityAge11*'19_Расчет_аналитики'!$F$2235,0)</f>
        <v/>
      </c>
      <c r="AR2554">
        <f>IF(IF('01_Вводные'!$B$296="Новый сезон",11-1&gt;MOD(MONTH('06_Сеть_и_дети'!AR$3)-9,12),FALSE),'19_Расчет_аналитики'!AR2442*CapacityAge11*'19_Расчет_аналитики'!$F$2235,0)</f>
        <v/>
      </c>
      <c r="AS2554">
        <f>IF(IF('01_Вводные'!$B$296="Новый сезон",11-1&gt;MOD(MONTH('06_Сеть_и_дети'!AS$3)-9,12),FALSE),'19_Расчет_аналитики'!AS2442*CapacityAge11*'19_Расчет_аналитики'!$F$2235,0)</f>
        <v/>
      </c>
      <c r="AT2554">
        <f>IF(IF('01_Вводные'!$B$296="Новый сезон",11-1&gt;MOD(MONTH('06_Сеть_и_дети'!AT$3)-9,12),FALSE),'19_Расчет_аналитики'!AT2442*CapacityAge11*'19_Расчет_аналитики'!$F$2235,0)</f>
        <v/>
      </c>
      <c r="AU2554">
        <f>IF(IF('01_Вводные'!$B$296="Новый сезон",11-1&gt;MOD(MONTH('06_Сеть_и_дети'!AU$3)-9,12),FALSE),'19_Расчет_аналитики'!AU2442*CapacityAge11*'19_Расчет_аналитики'!$F$2235,0)</f>
        <v/>
      </c>
      <c r="AV2554">
        <f>IF(IF('01_Вводные'!$B$296="Новый сезон",11-1&gt;MOD(MONTH('06_Сеть_и_дети'!AV$3)-9,12),FALSE),'19_Расчет_аналитики'!AV2442*CapacityAge11*'19_Расчет_аналитики'!$F$2235,0)</f>
        <v/>
      </c>
      <c r="AW2554">
        <f>IF(IF('01_Вводные'!$B$296="Новый сезон",11-1&gt;MOD(MONTH('06_Сеть_и_дети'!AW$3)-9,12),FALSE),'19_Расчет_аналитики'!AW2442*CapacityAge11*'19_Расчет_аналитики'!$F$2235,0)</f>
        <v/>
      </c>
      <c r="AX2554">
        <f>IF(IF('01_Вводные'!$B$296="Новый сезон",11-1&gt;MOD(MONTH('06_Сеть_и_дети'!AX$3)-9,12),FALSE),'19_Расчет_аналитики'!AX2442*CapacityAge11*'19_Расчет_аналитики'!$F$2235,0)</f>
        <v/>
      </c>
      <c r="AY2554">
        <f>IF(IF('01_Вводные'!$B$296="Новый сезон",11-1&gt;MOD(MONTH('06_Сеть_и_дети'!AY$3)-9,12),FALSE),'19_Расчет_аналитики'!AY2442*CapacityAge11*'19_Расчет_аналитики'!$F$2235,0)</f>
        <v/>
      </c>
      <c r="AZ2554">
        <f>IF(IF('01_Вводные'!$B$296="Новый сезон",11-1&gt;MOD(MONTH('06_Сеть_и_дети'!AZ$3)-9,12),FALSE),'19_Расчет_аналитики'!AZ2442*CapacityAge11*'19_Расчет_аналитики'!$F$2235,0)</f>
        <v/>
      </c>
      <c r="BA2554">
        <f>IF(IF('01_Вводные'!$B$296="Новый сезон",11-1&gt;MOD(MONTH('06_Сеть_и_дети'!BA$3)-9,12),FALSE),'19_Расчет_аналитики'!BA2442*CapacityAge11*'19_Расчет_аналитики'!$F$2235,0)</f>
        <v/>
      </c>
      <c r="BB2554">
        <f>IF(IF('01_Вводные'!$B$296="Новый сезон",11-1&gt;MOD(MONTH('06_Сеть_и_дети'!BB$3)-9,12),FALSE),'19_Расчет_аналитики'!BB2442*CapacityAge11*'19_Расчет_аналитики'!$F$2235,0)</f>
        <v/>
      </c>
      <c r="BC2554">
        <f>IF(IF('01_Вводные'!$B$296="Новый сезон",11-1&gt;MOD(MONTH('06_Сеть_и_дети'!BC$3)-9,12),FALSE),'19_Расчет_аналитики'!BC2442*CapacityAge11*'19_Расчет_аналитики'!$F$2235,0)</f>
        <v/>
      </c>
      <c r="BD2554">
        <f>IF(IF('01_Вводные'!$B$296="Новый сезон",11-1&gt;MOD(MONTH('06_Сеть_и_дети'!BD$3)-9,12),FALSE),'19_Расчет_аналитики'!BD2442*CapacityAge11*'19_Расчет_аналитики'!$F$2235,0)</f>
        <v/>
      </c>
      <c r="BE2554">
        <f>IF(IF('01_Вводные'!$B$296="Новый сезон",11-1&gt;MOD(MONTH('06_Сеть_и_дети'!BE$3)-9,12),FALSE),'19_Расчет_аналитики'!BE2442*CapacityAge11*'19_Расчет_аналитики'!$F$2235,0)</f>
        <v/>
      </c>
      <c r="BF2554">
        <f>IF(IF('01_Вводные'!$B$296="Новый сезон",11-1&gt;MOD(MONTH('06_Сеть_и_дети'!BF$3)-9,12),FALSE),'19_Расчет_аналитики'!BF2442*CapacityAge11*'19_Расчет_аналитики'!$F$2235,0)</f>
        <v/>
      </c>
      <c r="BG2554">
        <f>IF(IF('01_Вводные'!$B$296="Новый сезон",11-1&gt;MOD(MONTH('06_Сеть_и_дети'!BG$3)-9,12),FALSE),'19_Расчет_аналитики'!BG2442*CapacityAge11*'19_Расчет_аналитики'!$F$2235,0)</f>
        <v/>
      </c>
      <c r="BH2554">
        <f>IF(IF('01_Вводные'!$B$296="Новый сезон",11-1&gt;MOD(MONTH('06_Сеть_и_дети'!BH$3)-9,12),FALSE),'19_Расчет_аналитики'!BH2442*CapacityAge11*'19_Расчет_аналитики'!$F$2235,0)</f>
        <v/>
      </c>
      <c r="BI2554">
        <f>IF(IF('01_Вводные'!$B$296="Новый сезон",11-1&gt;MOD(MONTH('06_Сеть_и_дети'!BI$3)-9,12),FALSE),'19_Расчет_аналитики'!BI2442*CapacityAge11*'19_Расчет_аналитики'!$F$2235,0)</f>
        <v/>
      </c>
      <c r="BJ2554">
        <f>IF(IF('01_Вводные'!$B$296="Новый сезон",11-1&gt;MOD(MONTH('06_Сеть_и_дети'!BJ$3)-9,12),FALSE),'19_Расчет_аналитики'!BJ2442*CapacityAge11*'19_Расчет_аналитики'!$F$2235,0)</f>
        <v/>
      </c>
      <c r="BK2554">
        <f>IF(IF('01_Вводные'!$B$296="Новый сезон",11-1&gt;MOD(MONTH('06_Сеть_и_дети'!BK$3)-9,12),FALSE),'19_Расчет_аналитики'!BK2442*CapacityAge11*'19_Расчет_аналитики'!$F$2235,0)</f>
        <v/>
      </c>
      <c r="BL2554">
        <f>IF(IF('01_Вводные'!$B$296="Новый сезон",11-1&gt;MOD(MONTH('06_Сеть_и_дети'!BL$3)-9,12),FALSE),'19_Расчет_аналитики'!BL2442*CapacityAge11*'19_Расчет_аналитики'!$F$2235,0)</f>
        <v/>
      </c>
      <c r="BM2554">
        <f>IF(IF('01_Вводные'!$B$296="Новый сезон",11-1&gt;MOD(MONTH('06_Сеть_и_дети'!BM$3)-9,12),FALSE),'19_Расчет_аналитики'!BM2442*CapacityAge11*'19_Расчет_аналитики'!$F$2235,0)</f>
        <v/>
      </c>
      <c r="BN2554">
        <f>IF(IF('01_Вводные'!$B$296="Новый сезон",11-1&gt;MOD(MONTH('06_Сеть_и_дети'!BN$3)-9,12),FALSE),'19_Расчет_аналитики'!BN2442*CapacityAge11*'19_Расчет_аналитики'!$F$2235,0)</f>
        <v/>
      </c>
      <c r="BO2554">
        <f>IF(IF('01_Вводные'!$B$296="Новый сезон",11-1&gt;MOD(MONTH('06_Сеть_и_дети'!BO$3)-9,12),FALSE),'19_Расчет_аналитики'!BO2442*CapacityAge11*'19_Расчет_аналитики'!$F$2235,0)</f>
        <v/>
      </c>
    </row>
    <row r="2555">
      <c r="B2555">
        <f>IF(IF('01_Вводные'!$B$296="Новый сезон",12-1&gt;MOD(MONTH('06_Сеть_и_дети'!B$3)-9,12),FALSE),'06_Сеть_и_дети'!B64*CapacityAge12*'19_Расчет_аналитики'!$F$2235,0)</f>
        <v/>
      </c>
      <c r="C2555">
        <f>IF(IF('01_Вводные'!$B$296="Новый сезон",12-1&gt;MOD(MONTH('06_Сеть_и_дети'!C$3)-9,12),FALSE),'06_Сеть_и_дети'!C64*CapacityAge12*'19_Расчет_аналитики'!$F$2235,0)</f>
        <v/>
      </c>
      <c r="D2555">
        <f>IF(IF('01_Вводные'!$B$296="Новый сезон",12-1&gt;MOD(MONTH('06_Сеть_и_дети'!D$3)-9,12),FALSE),'06_Сеть_и_дети'!D64*CapacityAge12*'19_Расчет_аналитики'!$F$2235,0)</f>
        <v/>
      </c>
      <c r="E2555">
        <f>IF(IF('01_Вводные'!$B$296="Новый сезон",12-1&gt;MOD(MONTH('06_Сеть_и_дети'!E$3)-9,12),FALSE),'06_Сеть_и_дети'!E64*CapacityAge12*'19_Расчет_аналитики'!$F$2235,0)</f>
        <v/>
      </c>
      <c r="F2555">
        <f>IF(IF('01_Вводные'!$B$296="Новый сезон",12-1&gt;MOD(MONTH('06_Сеть_и_дети'!F$3)-9,12),FALSE),'06_Сеть_и_дети'!F64*CapacityAge12*'19_Расчет_аналитики'!$F$2235,0)</f>
        <v/>
      </c>
      <c r="G2555">
        <f>IF(IF('01_Вводные'!$B$296="Новый сезон",12-1&gt;MOD(MONTH('06_Сеть_и_дети'!G$3)-9,12),FALSE),'06_Сеть_и_дети'!G64*CapacityAge12*'19_Расчет_аналитики'!$F$2235,0)</f>
        <v/>
      </c>
      <c r="H2555">
        <f>IF(IF('01_Вводные'!$B$296="Новый сезон",12-1&gt;MOD(MONTH('06_Сеть_и_дети'!H$3)-9,12),FALSE),'06_Сеть_и_дети'!H64*CapacityAge12*'19_Расчет_аналитики'!$F$2235,0)</f>
        <v/>
      </c>
      <c r="I2555">
        <f>IF(IF('01_Вводные'!$B$296="Новый сезон",12-1&gt;MOD(MONTH('06_Сеть_и_дети'!I$3)-9,12),FALSE),'06_Сеть_и_дети'!I64*CapacityAge12*'19_Расчет_аналитики'!$F$2235,0)</f>
        <v/>
      </c>
      <c r="J2555">
        <f>IF(IF('01_Вводные'!$B$296="Новый сезон",12-1&gt;MOD(MONTH('06_Сеть_и_дети'!J$3)-9,12),FALSE),'06_Сеть_и_дети'!J64*CapacityAge12*'19_Расчет_аналитики'!$F$2235,0)</f>
        <v/>
      </c>
      <c r="K2555">
        <f>IF(IF('01_Вводные'!$B$296="Новый сезон",12-1&gt;MOD(MONTH('06_Сеть_и_дети'!K$3)-9,12),FALSE),'06_Сеть_и_дети'!K64*CapacityAge12*'19_Расчет_аналитики'!$F$2235,0)</f>
        <v/>
      </c>
      <c r="L2555">
        <f>IF(IF('01_Вводные'!$B$296="Новый сезон",12-1&gt;MOD(MONTH('06_Сеть_и_дети'!L$3)-9,12),FALSE),'06_Сеть_и_дети'!L64*CapacityAge12*'19_Расчет_аналитики'!$F$2235,0)</f>
        <v/>
      </c>
      <c r="M2555">
        <f>IF(IF('01_Вводные'!$B$296="Новый сезон",12-1&gt;MOD(MONTH('06_Сеть_и_дети'!M$3)-9,12),FALSE),'19_Расчет_аналитики'!M2443*CapacityAge12*'19_Расчет_аналитики'!$F$2235,0)</f>
        <v/>
      </c>
      <c r="N2555">
        <f>IF(IF('01_Вводные'!$B$296="Новый сезон",12-1&gt;MOD(MONTH('06_Сеть_и_дети'!N$3)-9,12),FALSE),'19_Расчет_аналитики'!N2443*CapacityAge12*'19_Расчет_аналитики'!$F$2235,0)</f>
        <v/>
      </c>
      <c r="O2555">
        <f>IF(IF('01_Вводные'!$B$296="Новый сезон",12-1&gt;MOD(MONTH('06_Сеть_и_дети'!O$3)-9,12),FALSE),'19_Расчет_аналитики'!O2443*CapacityAge12*'19_Расчет_аналитики'!$F$2235,0)</f>
        <v/>
      </c>
      <c r="P2555">
        <f>IF(IF('01_Вводные'!$B$296="Новый сезон",12-1&gt;MOD(MONTH('06_Сеть_и_дети'!P$3)-9,12),FALSE),'19_Расчет_аналитики'!P2443*CapacityAge12*'19_Расчет_аналитики'!$F$2235,0)</f>
        <v/>
      </c>
      <c r="Q2555">
        <f>IF(IF('01_Вводные'!$B$296="Новый сезон",12-1&gt;MOD(MONTH('06_Сеть_и_дети'!Q$3)-9,12),FALSE),'19_Расчет_аналитики'!Q2443*CapacityAge12*'19_Расчет_аналитики'!$F$2235,0)</f>
        <v/>
      </c>
      <c r="R2555">
        <f>IF(IF('01_Вводные'!$B$296="Новый сезон",12-1&gt;MOD(MONTH('06_Сеть_и_дети'!R$3)-9,12),FALSE),'19_Расчет_аналитики'!R2443*CapacityAge12*'19_Расчет_аналитики'!$F$2235,0)</f>
        <v/>
      </c>
      <c r="S2555">
        <f>IF(IF('01_Вводные'!$B$296="Новый сезон",12-1&gt;MOD(MONTH('06_Сеть_и_дети'!S$3)-9,12),FALSE),'19_Расчет_аналитики'!S2443*CapacityAge12*'19_Расчет_аналитики'!$F$2235,0)</f>
        <v/>
      </c>
      <c r="T2555">
        <f>IF(IF('01_Вводные'!$B$296="Новый сезон",12-1&gt;MOD(MONTH('06_Сеть_и_дети'!T$3)-9,12),FALSE),'19_Расчет_аналитики'!T2443*CapacityAge12*'19_Расчет_аналитики'!$F$2235,0)</f>
        <v/>
      </c>
      <c r="U2555">
        <f>IF(IF('01_Вводные'!$B$296="Новый сезон",12-1&gt;MOD(MONTH('06_Сеть_и_дети'!U$3)-9,12),FALSE),'19_Расчет_аналитики'!U2443*CapacityAge12*'19_Расчет_аналитики'!$F$2235,0)</f>
        <v/>
      </c>
      <c r="V2555">
        <f>IF(IF('01_Вводные'!$B$296="Новый сезон",12-1&gt;MOD(MONTH('06_Сеть_и_дети'!V$3)-9,12),FALSE),'19_Расчет_аналитики'!V2443*CapacityAge12*'19_Расчет_аналитики'!$F$2235,0)</f>
        <v/>
      </c>
      <c r="W2555">
        <f>IF(IF('01_Вводные'!$B$296="Новый сезон",12-1&gt;MOD(MONTH('06_Сеть_и_дети'!W$3)-9,12),FALSE),'19_Расчет_аналитики'!W2443*CapacityAge12*'19_Расчет_аналитики'!$F$2235,0)</f>
        <v/>
      </c>
      <c r="X2555">
        <f>IF(IF('01_Вводные'!$B$296="Новый сезон",12-1&gt;MOD(MONTH('06_Сеть_и_дети'!X$3)-9,12),FALSE),'19_Расчет_аналитики'!X2443*CapacityAge12*'19_Расчет_аналитики'!$F$2235,0)</f>
        <v/>
      </c>
      <c r="Y2555">
        <f>IF(IF('01_Вводные'!$B$296="Новый сезон",12-1&gt;MOD(MONTH('06_Сеть_и_дети'!Y$3)-9,12),FALSE),'19_Расчет_аналитики'!Y2443*CapacityAge12*'19_Расчет_аналитики'!$F$2235,0)</f>
        <v/>
      </c>
      <c r="Z2555">
        <f>IF(IF('01_Вводные'!$B$296="Новый сезон",12-1&gt;MOD(MONTH('06_Сеть_и_дети'!Z$3)-9,12),FALSE),'19_Расчет_аналитики'!Z2443*CapacityAge12*'19_Расчет_аналитики'!$F$2235,0)</f>
        <v/>
      </c>
      <c r="AA2555">
        <f>IF(IF('01_Вводные'!$B$296="Новый сезон",12-1&gt;MOD(MONTH('06_Сеть_и_дети'!AA$3)-9,12),FALSE),'19_Расчет_аналитики'!AA2443*CapacityAge12*'19_Расчет_аналитики'!$F$2235,0)</f>
        <v/>
      </c>
      <c r="AB2555">
        <f>IF(IF('01_Вводные'!$B$296="Новый сезон",12-1&gt;MOD(MONTH('06_Сеть_и_дети'!AB$3)-9,12),FALSE),'19_Расчет_аналитики'!AB2443*CapacityAge12*'19_Расчет_аналитики'!$F$2235,0)</f>
        <v/>
      </c>
      <c r="AC2555">
        <f>IF(IF('01_Вводные'!$B$296="Новый сезон",12-1&gt;MOD(MONTH('06_Сеть_и_дети'!AC$3)-9,12),FALSE),'19_Расчет_аналитики'!AC2443*CapacityAge12*'19_Расчет_аналитики'!$F$2235,0)</f>
        <v/>
      </c>
      <c r="AD2555">
        <f>IF(IF('01_Вводные'!$B$296="Новый сезон",12-1&gt;MOD(MONTH('06_Сеть_и_дети'!AD$3)-9,12),FALSE),'19_Расчет_аналитики'!AD2443*CapacityAge12*'19_Расчет_аналитики'!$F$2235,0)</f>
        <v/>
      </c>
      <c r="AE2555">
        <f>IF(IF('01_Вводные'!$B$296="Новый сезон",12-1&gt;MOD(MONTH('06_Сеть_и_дети'!AE$3)-9,12),FALSE),'19_Расчет_аналитики'!AE2443*CapacityAge12*'19_Расчет_аналитики'!$F$2235,0)</f>
        <v/>
      </c>
      <c r="AF2555">
        <f>IF(IF('01_Вводные'!$B$296="Новый сезон",12-1&gt;MOD(MONTH('06_Сеть_и_дети'!AF$3)-9,12),FALSE),'19_Расчет_аналитики'!AF2443*CapacityAge12*'19_Расчет_аналитики'!$F$2235,0)</f>
        <v/>
      </c>
      <c r="AG2555">
        <f>IF(IF('01_Вводные'!$B$296="Новый сезон",12-1&gt;MOD(MONTH('06_Сеть_и_дети'!AG$3)-9,12),FALSE),'19_Расчет_аналитики'!AG2443*CapacityAge12*'19_Расчет_аналитики'!$F$2235,0)</f>
        <v/>
      </c>
      <c r="AH2555">
        <f>IF(IF('01_Вводные'!$B$296="Новый сезон",12-1&gt;MOD(MONTH('06_Сеть_и_дети'!AH$3)-9,12),FALSE),'19_Расчет_аналитики'!AH2443*CapacityAge12*'19_Расчет_аналитики'!$F$2235,0)</f>
        <v/>
      </c>
      <c r="AI2555">
        <f>IF(IF('01_Вводные'!$B$296="Новый сезон",12-1&gt;MOD(MONTH('06_Сеть_и_дети'!AI$3)-9,12),FALSE),'19_Расчет_аналитики'!AI2443*CapacityAge12*'19_Расчет_аналитики'!$F$2235,0)</f>
        <v/>
      </c>
      <c r="AJ2555">
        <f>IF(IF('01_Вводные'!$B$296="Новый сезон",12-1&gt;MOD(MONTH('06_Сеть_и_дети'!AJ$3)-9,12),FALSE),'19_Расчет_аналитики'!AJ2443*CapacityAge12*'19_Расчет_аналитики'!$F$2235,0)</f>
        <v/>
      </c>
      <c r="AK2555">
        <f>IF(IF('01_Вводные'!$B$296="Новый сезон",12-1&gt;MOD(MONTH('06_Сеть_и_дети'!AK$3)-9,12),FALSE),'19_Расчет_аналитики'!AK2443*CapacityAge12*'19_Расчет_аналитики'!$F$2235,0)</f>
        <v/>
      </c>
      <c r="AL2555">
        <f>IF(IF('01_Вводные'!$B$296="Новый сезон",12-1&gt;MOD(MONTH('06_Сеть_и_дети'!AL$3)-9,12),FALSE),'19_Расчет_аналитики'!AL2443*CapacityAge12*'19_Расчет_аналитики'!$F$2235,0)</f>
        <v/>
      </c>
      <c r="AM2555">
        <f>IF(IF('01_Вводные'!$B$296="Новый сезон",12-1&gt;MOD(MONTH('06_Сеть_и_дети'!AM$3)-9,12),FALSE),'19_Расчет_аналитики'!AM2443*CapacityAge12*'19_Расчет_аналитики'!$F$2235,0)</f>
        <v/>
      </c>
      <c r="AN2555">
        <f>IF(IF('01_Вводные'!$B$296="Новый сезон",12-1&gt;MOD(MONTH('06_Сеть_и_дети'!AN$3)-9,12),FALSE),'19_Расчет_аналитики'!AN2443*CapacityAge12*'19_Расчет_аналитики'!$F$2235,0)</f>
        <v/>
      </c>
      <c r="AO2555">
        <f>IF(IF('01_Вводные'!$B$296="Новый сезон",12-1&gt;MOD(MONTH('06_Сеть_и_дети'!AO$3)-9,12),FALSE),'19_Расчет_аналитики'!AO2443*CapacityAge12*'19_Расчет_аналитики'!$F$2235,0)</f>
        <v/>
      </c>
      <c r="AP2555">
        <f>IF(IF('01_Вводные'!$B$296="Новый сезон",12-1&gt;MOD(MONTH('06_Сеть_и_дети'!AP$3)-9,12),FALSE),'19_Расчет_аналитики'!AP2443*CapacityAge12*'19_Расчет_аналитики'!$F$2235,0)</f>
        <v/>
      </c>
      <c r="AQ2555">
        <f>IF(IF('01_Вводные'!$B$296="Новый сезон",12-1&gt;MOD(MONTH('06_Сеть_и_дети'!AQ$3)-9,12),FALSE),'19_Расчет_аналитики'!AQ2443*CapacityAge12*'19_Расчет_аналитики'!$F$2235,0)</f>
        <v/>
      </c>
      <c r="AR2555">
        <f>IF(IF('01_Вводные'!$B$296="Новый сезон",12-1&gt;MOD(MONTH('06_Сеть_и_дети'!AR$3)-9,12),FALSE),'19_Расчет_аналитики'!AR2443*CapacityAge12*'19_Расчет_аналитики'!$F$2235,0)</f>
        <v/>
      </c>
      <c r="AS2555">
        <f>IF(IF('01_Вводные'!$B$296="Новый сезон",12-1&gt;MOD(MONTH('06_Сеть_и_дети'!AS$3)-9,12),FALSE),'19_Расчет_аналитики'!AS2443*CapacityAge12*'19_Расчет_аналитики'!$F$2235,0)</f>
        <v/>
      </c>
      <c r="AT2555">
        <f>IF(IF('01_Вводные'!$B$296="Новый сезон",12-1&gt;MOD(MONTH('06_Сеть_и_дети'!AT$3)-9,12),FALSE),'19_Расчет_аналитики'!AT2443*CapacityAge12*'19_Расчет_аналитики'!$F$2235,0)</f>
        <v/>
      </c>
      <c r="AU2555">
        <f>IF(IF('01_Вводные'!$B$296="Новый сезон",12-1&gt;MOD(MONTH('06_Сеть_и_дети'!AU$3)-9,12),FALSE),'19_Расчет_аналитики'!AU2443*CapacityAge12*'19_Расчет_аналитики'!$F$2235,0)</f>
        <v/>
      </c>
      <c r="AV2555">
        <f>IF(IF('01_Вводные'!$B$296="Новый сезон",12-1&gt;MOD(MONTH('06_Сеть_и_дети'!AV$3)-9,12),FALSE),'19_Расчет_аналитики'!AV2443*CapacityAge12*'19_Расчет_аналитики'!$F$2235,0)</f>
        <v/>
      </c>
      <c r="AW2555">
        <f>IF(IF('01_Вводные'!$B$296="Новый сезон",12-1&gt;MOD(MONTH('06_Сеть_и_дети'!AW$3)-9,12),FALSE),'19_Расчет_аналитики'!AW2443*CapacityAge12*'19_Расчет_аналитики'!$F$2235,0)</f>
        <v/>
      </c>
      <c r="AX2555">
        <f>IF(IF('01_Вводные'!$B$296="Новый сезон",12-1&gt;MOD(MONTH('06_Сеть_и_дети'!AX$3)-9,12),FALSE),'19_Расчет_аналитики'!AX2443*CapacityAge12*'19_Расчет_аналитики'!$F$2235,0)</f>
        <v/>
      </c>
      <c r="AY2555">
        <f>IF(IF('01_Вводные'!$B$296="Новый сезон",12-1&gt;MOD(MONTH('06_Сеть_и_дети'!AY$3)-9,12),FALSE),'19_Расчет_аналитики'!AY2443*CapacityAge12*'19_Расчет_аналитики'!$F$2235,0)</f>
        <v/>
      </c>
      <c r="AZ2555">
        <f>IF(IF('01_Вводные'!$B$296="Новый сезон",12-1&gt;MOD(MONTH('06_Сеть_и_дети'!AZ$3)-9,12),FALSE),'19_Расчет_аналитики'!AZ2443*CapacityAge12*'19_Расчет_аналитики'!$F$2235,0)</f>
        <v/>
      </c>
      <c r="BA2555">
        <f>IF(IF('01_Вводные'!$B$296="Новый сезон",12-1&gt;MOD(MONTH('06_Сеть_и_дети'!BA$3)-9,12),FALSE),'19_Расчет_аналитики'!BA2443*CapacityAge12*'19_Расчет_аналитики'!$F$2235,0)</f>
        <v/>
      </c>
      <c r="BB2555">
        <f>IF(IF('01_Вводные'!$B$296="Новый сезон",12-1&gt;MOD(MONTH('06_Сеть_и_дети'!BB$3)-9,12),FALSE),'19_Расчет_аналитики'!BB2443*CapacityAge12*'19_Расчет_аналитики'!$F$2235,0)</f>
        <v/>
      </c>
      <c r="BC2555">
        <f>IF(IF('01_Вводные'!$B$296="Новый сезон",12-1&gt;MOD(MONTH('06_Сеть_и_дети'!BC$3)-9,12),FALSE),'19_Расчет_аналитики'!BC2443*CapacityAge12*'19_Расчет_аналитики'!$F$2235,0)</f>
        <v/>
      </c>
      <c r="BD2555">
        <f>IF(IF('01_Вводные'!$B$296="Новый сезон",12-1&gt;MOD(MONTH('06_Сеть_и_дети'!BD$3)-9,12),FALSE),'19_Расчет_аналитики'!BD2443*CapacityAge12*'19_Расчет_аналитики'!$F$2235,0)</f>
        <v/>
      </c>
      <c r="BE2555">
        <f>IF(IF('01_Вводные'!$B$296="Новый сезон",12-1&gt;MOD(MONTH('06_Сеть_и_дети'!BE$3)-9,12),FALSE),'19_Расчет_аналитики'!BE2443*CapacityAge12*'19_Расчет_аналитики'!$F$2235,0)</f>
        <v/>
      </c>
      <c r="BF2555">
        <f>IF(IF('01_Вводные'!$B$296="Новый сезон",12-1&gt;MOD(MONTH('06_Сеть_и_дети'!BF$3)-9,12),FALSE),'19_Расчет_аналитики'!BF2443*CapacityAge12*'19_Расчет_аналитики'!$F$2235,0)</f>
        <v/>
      </c>
      <c r="BG2555">
        <f>IF(IF('01_Вводные'!$B$296="Новый сезон",12-1&gt;MOD(MONTH('06_Сеть_и_дети'!BG$3)-9,12),FALSE),'19_Расчет_аналитики'!BG2443*CapacityAge12*'19_Расчет_аналитики'!$F$2235,0)</f>
        <v/>
      </c>
      <c r="BH2555">
        <f>IF(IF('01_Вводные'!$B$296="Новый сезон",12-1&gt;MOD(MONTH('06_Сеть_и_дети'!BH$3)-9,12),FALSE),'19_Расчет_аналитики'!BH2443*CapacityAge12*'19_Расчет_аналитики'!$F$2235,0)</f>
        <v/>
      </c>
      <c r="BI2555">
        <f>IF(IF('01_Вводные'!$B$296="Новый сезон",12-1&gt;MOD(MONTH('06_Сеть_и_дети'!BI$3)-9,12),FALSE),'19_Расчет_аналитики'!BI2443*CapacityAge12*'19_Расчет_аналитики'!$F$2235,0)</f>
        <v/>
      </c>
      <c r="BJ2555">
        <f>IF(IF('01_Вводные'!$B$296="Новый сезон",12-1&gt;MOD(MONTH('06_Сеть_и_дети'!BJ$3)-9,12),FALSE),'19_Расчет_аналитики'!BJ2443*CapacityAge12*'19_Расчет_аналитики'!$F$2235,0)</f>
        <v/>
      </c>
      <c r="BK2555">
        <f>IF(IF('01_Вводные'!$B$296="Новый сезон",12-1&gt;MOD(MONTH('06_Сеть_и_дети'!BK$3)-9,12),FALSE),'19_Расчет_аналитики'!BK2443*CapacityAge12*'19_Расчет_аналитики'!$F$2235,0)</f>
        <v/>
      </c>
      <c r="BL2555">
        <f>IF(IF('01_Вводные'!$B$296="Новый сезон",12-1&gt;MOD(MONTH('06_Сеть_и_дети'!BL$3)-9,12),FALSE),'19_Расчет_аналитики'!BL2443*CapacityAge12*'19_Расчет_аналитики'!$F$2235,0)</f>
        <v/>
      </c>
      <c r="BM2555">
        <f>IF(IF('01_Вводные'!$B$296="Новый сезон",12-1&gt;MOD(MONTH('06_Сеть_и_дети'!BM$3)-9,12),FALSE),'19_Расчет_аналитики'!BM2443*CapacityAge12*'19_Расчет_аналитики'!$F$2235,0)</f>
        <v/>
      </c>
      <c r="BN2555">
        <f>IF(IF('01_Вводные'!$B$296="Новый сезон",12-1&gt;MOD(MONTH('06_Сеть_и_дети'!BN$3)-9,12),FALSE),'19_Расчет_аналитики'!BN2443*CapacityAge12*'19_Расчет_аналитики'!$F$2235,0)</f>
        <v/>
      </c>
      <c r="BO2555">
        <f>IF(IF('01_Вводные'!$B$296="Новый сезон",12-1&gt;MOD(MONTH('06_Сеть_и_дети'!BO$3)-9,12),FALSE),'19_Расчет_аналитики'!BO2443*CapacityAge12*'19_Расчет_аналитики'!$F$2235,0)</f>
        <v/>
      </c>
    </row>
    <row r="2556">
      <c r="B2556">
        <f>IF(IF('01_Вводные'!$B$296="Новый сезон",TRUE,TRUE),'06_Сеть_и_дети'!B65*CapacityAge13*'19_Расчет_аналитики'!$F$2235,0)</f>
        <v/>
      </c>
      <c r="C2556">
        <f>IF(IF('01_Вводные'!$B$296="Новый сезон",TRUE,TRUE),'06_Сеть_и_дети'!C65*CapacityAge13*'19_Расчет_аналитики'!$F$2235,0)</f>
        <v/>
      </c>
      <c r="D2556">
        <f>IF(IF('01_Вводные'!$B$296="Новый сезон",TRUE,TRUE),'06_Сеть_и_дети'!D65*CapacityAge13*'19_Расчет_аналитики'!$F$2235,0)</f>
        <v/>
      </c>
      <c r="E2556">
        <f>IF(IF('01_Вводные'!$B$296="Новый сезон",TRUE,TRUE),'06_Сеть_и_дети'!E65*CapacityAge13*'19_Расчет_аналитики'!$F$2235,0)</f>
        <v/>
      </c>
      <c r="F2556">
        <f>IF(IF('01_Вводные'!$B$296="Новый сезон",TRUE,TRUE),'06_Сеть_и_дети'!F65*CapacityAge13*'19_Расчет_аналитики'!$F$2235,0)</f>
        <v/>
      </c>
      <c r="G2556">
        <f>IF(IF('01_Вводные'!$B$296="Новый сезон",TRUE,TRUE),'06_Сеть_и_дети'!G65*CapacityAge13*'19_Расчет_аналитики'!$F$2235,0)</f>
        <v/>
      </c>
      <c r="H2556">
        <f>IF(IF('01_Вводные'!$B$296="Новый сезон",TRUE,TRUE),'06_Сеть_и_дети'!H65*CapacityAge13*'19_Расчет_аналитики'!$F$2235,0)</f>
        <v/>
      </c>
      <c r="I2556">
        <f>IF(IF('01_Вводные'!$B$296="Новый сезон",TRUE,TRUE),'06_Сеть_и_дети'!I65*CapacityAge13*'19_Расчет_аналитики'!$F$2235,0)</f>
        <v/>
      </c>
      <c r="J2556">
        <f>IF(IF('01_Вводные'!$B$296="Новый сезон",TRUE,TRUE),'06_Сеть_и_дети'!J65*CapacityAge13*'19_Расчет_аналитики'!$F$2235,0)</f>
        <v/>
      </c>
      <c r="K2556">
        <f>IF(IF('01_Вводные'!$B$296="Новый сезон",TRUE,TRUE),'06_Сеть_и_дети'!K65*CapacityAge13*'19_Расчет_аналитики'!$F$2235,0)</f>
        <v/>
      </c>
      <c r="L2556">
        <f>IF(IF('01_Вводные'!$B$296="Новый сезон",TRUE,TRUE),'06_Сеть_и_дети'!L65*CapacityAge13*'19_Расчет_аналитики'!$F$2235,0)</f>
        <v/>
      </c>
      <c r="M2556">
        <f>IF(IF('01_Вводные'!$B$296="Новый сезон",TRUE,TRUE),'06_Сеть_и_дети'!M65*CapacityAge13*'19_Расчет_аналитики'!$F$2235,0)</f>
        <v/>
      </c>
      <c r="N2556">
        <f>IF(IF('01_Вводные'!$B$296="Новый сезон",TRUE,TRUE),'19_Расчет_аналитики'!N2444*CapacityAge13*'19_Расчет_аналитики'!$F$2235,0)</f>
        <v/>
      </c>
      <c r="O2556">
        <f>IF(IF('01_Вводные'!$B$296="Новый сезон",TRUE,TRUE),'19_Расчет_аналитики'!O2444*CapacityAge13*'19_Расчет_аналитики'!$F$2235,0)</f>
        <v/>
      </c>
      <c r="P2556">
        <f>IF(IF('01_Вводные'!$B$296="Новый сезон",TRUE,TRUE),'19_Расчет_аналитики'!P2444*CapacityAge13*'19_Расчет_аналитики'!$F$2235,0)</f>
        <v/>
      </c>
      <c r="Q2556">
        <f>IF(IF('01_Вводные'!$B$296="Новый сезон",TRUE,TRUE),'19_Расчет_аналитики'!Q2444*CapacityAge13*'19_Расчет_аналитики'!$F$2235,0)</f>
        <v/>
      </c>
      <c r="R2556">
        <f>IF(IF('01_Вводные'!$B$296="Новый сезон",TRUE,TRUE),'19_Расчет_аналитики'!R2444*CapacityAge13*'19_Расчет_аналитики'!$F$2235,0)</f>
        <v/>
      </c>
      <c r="S2556">
        <f>IF(IF('01_Вводные'!$B$296="Новый сезон",TRUE,TRUE),'19_Расчет_аналитики'!S2444*CapacityAge13*'19_Расчет_аналитики'!$F$2235,0)</f>
        <v/>
      </c>
      <c r="T2556">
        <f>IF(IF('01_Вводные'!$B$296="Новый сезон",TRUE,TRUE),'19_Расчет_аналитики'!T2444*CapacityAge13*'19_Расчет_аналитики'!$F$2235,0)</f>
        <v/>
      </c>
      <c r="U2556">
        <f>IF(IF('01_Вводные'!$B$296="Новый сезон",TRUE,TRUE),'19_Расчет_аналитики'!U2444*CapacityAge13*'19_Расчет_аналитики'!$F$2235,0)</f>
        <v/>
      </c>
      <c r="V2556">
        <f>IF(IF('01_Вводные'!$B$296="Новый сезон",TRUE,TRUE),'19_Расчет_аналитики'!V2444*CapacityAge13*'19_Расчет_аналитики'!$F$2235,0)</f>
        <v/>
      </c>
      <c r="W2556">
        <f>IF(IF('01_Вводные'!$B$296="Новый сезон",TRUE,TRUE),'19_Расчет_аналитики'!W2444*CapacityAge13*'19_Расчет_аналитики'!$F$2235,0)</f>
        <v/>
      </c>
      <c r="X2556">
        <f>IF(IF('01_Вводные'!$B$296="Новый сезон",TRUE,TRUE),'19_Расчет_аналитики'!X2444*CapacityAge13*'19_Расчет_аналитики'!$F$2235,0)</f>
        <v/>
      </c>
      <c r="Y2556">
        <f>IF(IF('01_Вводные'!$B$296="Новый сезон",TRUE,TRUE),'19_Расчет_аналитики'!Y2444*CapacityAge13*'19_Расчет_аналитики'!$F$2235,0)</f>
        <v/>
      </c>
      <c r="Z2556">
        <f>IF(IF('01_Вводные'!$B$296="Новый сезон",TRUE,TRUE),'19_Расчет_аналитики'!Z2444*CapacityAge13*'19_Расчет_аналитики'!$F$2235,0)</f>
        <v/>
      </c>
      <c r="AA2556">
        <f>IF(IF('01_Вводные'!$B$296="Новый сезон",TRUE,TRUE),'19_Расчет_аналитики'!AA2444*CapacityAge13*'19_Расчет_аналитики'!$F$2235,0)</f>
        <v/>
      </c>
      <c r="AB2556">
        <f>IF(IF('01_Вводные'!$B$296="Новый сезон",TRUE,TRUE),'19_Расчет_аналитики'!AB2444*CapacityAge13*'19_Расчет_аналитики'!$F$2235,0)</f>
        <v/>
      </c>
      <c r="AC2556">
        <f>IF(IF('01_Вводные'!$B$296="Новый сезон",TRUE,TRUE),'19_Расчет_аналитики'!AC2444*CapacityAge13*'19_Расчет_аналитики'!$F$2235,0)</f>
        <v/>
      </c>
      <c r="AD2556">
        <f>IF(IF('01_Вводные'!$B$296="Новый сезон",TRUE,TRUE),'19_Расчет_аналитики'!AD2444*CapacityAge13*'19_Расчет_аналитики'!$F$2235,0)</f>
        <v/>
      </c>
      <c r="AE2556">
        <f>IF(IF('01_Вводные'!$B$296="Новый сезон",TRUE,TRUE),'19_Расчет_аналитики'!AE2444*CapacityAge13*'19_Расчет_аналитики'!$F$2235,0)</f>
        <v/>
      </c>
      <c r="AF2556">
        <f>IF(IF('01_Вводные'!$B$296="Новый сезон",TRUE,TRUE),'19_Расчет_аналитики'!AF2444*CapacityAge13*'19_Расчет_аналитики'!$F$2235,0)</f>
        <v/>
      </c>
      <c r="AG2556">
        <f>IF(IF('01_Вводные'!$B$296="Новый сезон",TRUE,TRUE),'19_Расчет_аналитики'!AG2444*CapacityAge13*'19_Расчет_аналитики'!$F$2235,0)</f>
        <v/>
      </c>
      <c r="AH2556">
        <f>IF(IF('01_Вводные'!$B$296="Новый сезон",TRUE,TRUE),'19_Расчет_аналитики'!AH2444*CapacityAge13*'19_Расчет_аналитики'!$F$2235,0)</f>
        <v/>
      </c>
      <c r="AI2556">
        <f>IF(IF('01_Вводные'!$B$296="Новый сезон",TRUE,TRUE),'19_Расчет_аналитики'!AI2444*CapacityAge13*'19_Расчет_аналитики'!$F$2235,0)</f>
        <v/>
      </c>
      <c r="AJ2556">
        <f>IF(IF('01_Вводные'!$B$296="Новый сезон",TRUE,TRUE),'19_Расчет_аналитики'!AJ2444*CapacityAge13*'19_Расчет_аналитики'!$F$2235,0)</f>
        <v/>
      </c>
      <c r="AK2556">
        <f>IF(IF('01_Вводные'!$B$296="Новый сезон",TRUE,TRUE),'19_Расчет_аналитики'!AK2444*CapacityAge13*'19_Расчет_аналитики'!$F$2235,0)</f>
        <v/>
      </c>
      <c r="AL2556">
        <f>IF(IF('01_Вводные'!$B$296="Новый сезон",TRUE,TRUE),'19_Расчет_аналитики'!AL2444*CapacityAge13*'19_Расчет_аналитики'!$F$2235,0)</f>
        <v/>
      </c>
      <c r="AM2556">
        <f>IF(IF('01_Вводные'!$B$296="Новый сезон",TRUE,TRUE),'19_Расчет_аналитики'!AM2444*CapacityAge13*'19_Расчет_аналитики'!$F$2235,0)</f>
        <v/>
      </c>
      <c r="AN2556">
        <f>IF(IF('01_Вводные'!$B$296="Новый сезон",TRUE,TRUE),'19_Расчет_аналитики'!AN2444*CapacityAge13*'19_Расчет_аналитики'!$F$2235,0)</f>
        <v/>
      </c>
      <c r="AO2556">
        <f>IF(IF('01_Вводные'!$B$296="Новый сезон",TRUE,TRUE),'19_Расчет_аналитики'!AO2444*CapacityAge13*'19_Расчет_аналитики'!$F$2235,0)</f>
        <v/>
      </c>
      <c r="AP2556">
        <f>IF(IF('01_Вводные'!$B$296="Новый сезон",TRUE,TRUE),'19_Расчет_аналитики'!AP2444*CapacityAge13*'19_Расчет_аналитики'!$F$2235,0)</f>
        <v/>
      </c>
      <c r="AQ2556">
        <f>IF(IF('01_Вводные'!$B$296="Новый сезон",TRUE,TRUE),'19_Расчет_аналитики'!AQ2444*CapacityAge13*'19_Расчет_аналитики'!$F$2235,0)</f>
        <v/>
      </c>
      <c r="AR2556">
        <f>IF(IF('01_Вводные'!$B$296="Новый сезон",TRUE,TRUE),'19_Расчет_аналитики'!AR2444*CapacityAge13*'19_Расчет_аналитики'!$F$2235,0)</f>
        <v/>
      </c>
      <c r="AS2556">
        <f>IF(IF('01_Вводные'!$B$296="Новый сезон",TRUE,TRUE),'19_Расчет_аналитики'!AS2444*CapacityAge13*'19_Расчет_аналитики'!$F$2235,0)</f>
        <v/>
      </c>
      <c r="AT2556">
        <f>IF(IF('01_Вводные'!$B$296="Новый сезон",TRUE,TRUE),'19_Расчет_аналитики'!AT2444*CapacityAge13*'19_Расчет_аналитики'!$F$2235,0)</f>
        <v/>
      </c>
      <c r="AU2556">
        <f>IF(IF('01_Вводные'!$B$296="Новый сезон",TRUE,TRUE),'19_Расчет_аналитики'!AU2444*CapacityAge13*'19_Расчет_аналитики'!$F$2235,0)</f>
        <v/>
      </c>
      <c r="AV2556">
        <f>IF(IF('01_Вводные'!$B$296="Новый сезон",TRUE,TRUE),'19_Расчет_аналитики'!AV2444*CapacityAge13*'19_Расчет_аналитики'!$F$2235,0)</f>
        <v/>
      </c>
      <c r="AW2556">
        <f>IF(IF('01_Вводные'!$B$296="Новый сезон",TRUE,TRUE),'19_Расчет_аналитики'!AW2444*CapacityAge13*'19_Расчет_аналитики'!$F$2235,0)</f>
        <v/>
      </c>
      <c r="AX2556">
        <f>IF(IF('01_Вводные'!$B$296="Новый сезон",TRUE,TRUE),'19_Расчет_аналитики'!AX2444*CapacityAge13*'19_Расчет_аналитики'!$F$2235,0)</f>
        <v/>
      </c>
      <c r="AY2556">
        <f>IF(IF('01_Вводные'!$B$296="Новый сезон",TRUE,TRUE),'19_Расчет_аналитики'!AY2444*CapacityAge13*'19_Расчет_аналитики'!$F$2235,0)</f>
        <v/>
      </c>
      <c r="AZ2556">
        <f>IF(IF('01_Вводные'!$B$296="Новый сезон",TRUE,TRUE),'19_Расчет_аналитики'!AZ2444*CapacityAge13*'19_Расчет_аналитики'!$F$2235,0)</f>
        <v/>
      </c>
      <c r="BA2556">
        <f>IF(IF('01_Вводные'!$B$296="Новый сезон",TRUE,TRUE),'19_Расчет_аналитики'!BA2444*CapacityAge13*'19_Расчет_аналитики'!$F$2235,0)</f>
        <v/>
      </c>
      <c r="BB2556">
        <f>IF(IF('01_Вводные'!$B$296="Новый сезон",TRUE,TRUE),'19_Расчет_аналитики'!BB2444*CapacityAge13*'19_Расчет_аналитики'!$F$2235,0)</f>
        <v/>
      </c>
      <c r="BC2556">
        <f>IF(IF('01_Вводные'!$B$296="Новый сезон",TRUE,TRUE),'19_Расчет_аналитики'!BC2444*CapacityAge13*'19_Расчет_аналитики'!$F$2235,0)</f>
        <v/>
      </c>
      <c r="BD2556">
        <f>IF(IF('01_Вводные'!$B$296="Новый сезон",TRUE,TRUE),'19_Расчет_аналитики'!BD2444*CapacityAge13*'19_Расчет_аналитики'!$F$2235,0)</f>
        <v/>
      </c>
      <c r="BE2556">
        <f>IF(IF('01_Вводные'!$B$296="Новый сезон",TRUE,TRUE),'19_Расчет_аналитики'!BE2444*CapacityAge13*'19_Расчет_аналитики'!$F$2235,0)</f>
        <v/>
      </c>
      <c r="BF2556">
        <f>IF(IF('01_Вводные'!$B$296="Новый сезон",TRUE,TRUE),'19_Расчет_аналитики'!BF2444*CapacityAge13*'19_Расчет_аналитики'!$F$2235,0)</f>
        <v/>
      </c>
      <c r="BG2556">
        <f>IF(IF('01_Вводные'!$B$296="Новый сезон",TRUE,TRUE),'19_Расчет_аналитики'!BG2444*CapacityAge13*'19_Расчет_аналитики'!$F$2235,0)</f>
        <v/>
      </c>
      <c r="BH2556">
        <f>IF(IF('01_Вводные'!$B$296="Новый сезон",TRUE,TRUE),'19_Расчет_аналитики'!BH2444*CapacityAge13*'19_Расчет_аналитики'!$F$2235,0)</f>
        <v/>
      </c>
      <c r="BI2556">
        <f>IF(IF('01_Вводные'!$B$296="Новый сезон",TRUE,TRUE),'19_Расчет_аналитики'!BI2444*CapacityAge13*'19_Расчет_аналитики'!$F$2235,0)</f>
        <v/>
      </c>
      <c r="BJ2556">
        <f>IF(IF('01_Вводные'!$B$296="Новый сезон",TRUE,TRUE),'19_Расчет_аналитики'!BJ2444*CapacityAge13*'19_Расчет_аналитики'!$F$2235,0)</f>
        <v/>
      </c>
      <c r="BK2556">
        <f>IF(IF('01_Вводные'!$B$296="Новый сезон",TRUE,TRUE),'19_Расчет_аналитики'!BK2444*CapacityAge13*'19_Расчет_аналитики'!$F$2235,0)</f>
        <v/>
      </c>
      <c r="BL2556">
        <f>IF(IF('01_Вводные'!$B$296="Новый сезон",TRUE,TRUE),'19_Расчет_аналитики'!BL2444*CapacityAge13*'19_Расчет_аналитики'!$F$2235,0)</f>
        <v/>
      </c>
      <c r="BM2556">
        <f>IF(IF('01_Вводные'!$B$296="Новый сезон",TRUE,TRUE),'19_Расчет_аналитики'!BM2444*CapacityAge13*'19_Расчет_аналитики'!$F$2235,0)</f>
        <v/>
      </c>
      <c r="BN2556">
        <f>IF(IF('01_Вводные'!$B$296="Новый сезон",TRUE,TRUE),'19_Расчет_аналитики'!BN2444*CapacityAge13*'19_Расчет_аналитики'!$F$2235,0)</f>
        <v/>
      </c>
      <c r="BO2556">
        <f>IF(IF('01_Вводные'!$B$296="Новый сезон",TRUE,TRUE),'19_Расчет_аналитики'!BO2444*CapacityAge13*'19_Расчет_аналитики'!$F$2235,0)</f>
        <v/>
      </c>
    </row>
    <row r="2557">
      <c r="B2557">
        <f>IF(IF('01_Вводные'!$B$296="Новый сезон",TRUE,TRUE),'06_Сеть_и_дети'!B66*CapacityAge14*'19_Расчет_аналитики'!$F$2235,0)</f>
        <v/>
      </c>
      <c r="C2557">
        <f>IF(IF('01_Вводные'!$B$296="Новый сезон",TRUE,TRUE),'06_Сеть_и_дети'!C66*CapacityAge14*'19_Расчет_аналитики'!$F$2235,0)</f>
        <v/>
      </c>
      <c r="D2557">
        <f>IF(IF('01_Вводные'!$B$296="Новый сезон",TRUE,TRUE),'06_Сеть_и_дети'!D66*CapacityAge14*'19_Расчет_аналитики'!$F$2235,0)</f>
        <v/>
      </c>
      <c r="E2557">
        <f>IF(IF('01_Вводные'!$B$296="Новый сезон",TRUE,TRUE),'06_Сеть_и_дети'!E66*CapacityAge14*'19_Расчет_аналитики'!$F$2235,0)</f>
        <v/>
      </c>
      <c r="F2557">
        <f>IF(IF('01_Вводные'!$B$296="Новый сезон",TRUE,TRUE),'06_Сеть_и_дети'!F66*CapacityAge14*'19_Расчет_аналитики'!$F$2235,0)</f>
        <v/>
      </c>
      <c r="G2557">
        <f>IF(IF('01_Вводные'!$B$296="Новый сезон",TRUE,TRUE),'06_Сеть_и_дети'!G66*CapacityAge14*'19_Расчет_аналитики'!$F$2235,0)</f>
        <v/>
      </c>
      <c r="H2557">
        <f>IF(IF('01_Вводные'!$B$296="Новый сезон",TRUE,TRUE),'06_Сеть_и_дети'!H66*CapacityAge14*'19_Расчет_аналитики'!$F$2235,0)</f>
        <v/>
      </c>
      <c r="I2557">
        <f>IF(IF('01_Вводные'!$B$296="Новый сезон",TRUE,TRUE),'06_Сеть_и_дети'!I66*CapacityAge14*'19_Расчет_аналитики'!$F$2235,0)</f>
        <v/>
      </c>
      <c r="J2557">
        <f>IF(IF('01_Вводные'!$B$296="Новый сезон",TRUE,TRUE),'06_Сеть_и_дети'!J66*CapacityAge14*'19_Расчет_аналитики'!$F$2235,0)</f>
        <v/>
      </c>
      <c r="K2557">
        <f>IF(IF('01_Вводные'!$B$296="Новый сезон",TRUE,TRUE),'06_Сеть_и_дети'!K66*CapacityAge14*'19_Расчет_аналитики'!$F$2235,0)</f>
        <v/>
      </c>
      <c r="L2557">
        <f>IF(IF('01_Вводные'!$B$296="Новый сезон",TRUE,TRUE),'06_Сеть_и_дети'!L66*CapacityAge14*'19_Расчет_аналитики'!$F$2235,0)</f>
        <v/>
      </c>
      <c r="M2557">
        <f>IF(IF('01_Вводные'!$B$296="Новый сезон",TRUE,TRUE),'06_Сеть_и_дети'!M66*CapacityAge14*'19_Расчет_аналитики'!$F$2235,0)</f>
        <v/>
      </c>
      <c r="N2557">
        <f>IF(IF('01_Вводные'!$B$296="Новый сезон",TRUE,TRUE),'06_Сеть_и_дети'!N66*CapacityAge14*'19_Расчет_аналитики'!$F$2235,0)</f>
        <v/>
      </c>
      <c r="O2557">
        <f>IF(IF('01_Вводные'!$B$296="Новый сезон",TRUE,TRUE),'19_Расчет_аналитики'!O2445*CapacityAge14*'19_Расчет_аналитики'!$F$2235,0)</f>
        <v/>
      </c>
      <c r="P2557">
        <f>IF(IF('01_Вводные'!$B$296="Новый сезон",TRUE,TRUE),'19_Расчет_аналитики'!P2445*CapacityAge14*'19_Расчет_аналитики'!$F$2235,0)</f>
        <v/>
      </c>
      <c r="Q2557">
        <f>IF(IF('01_Вводные'!$B$296="Новый сезон",TRUE,TRUE),'19_Расчет_аналитики'!Q2445*CapacityAge14*'19_Расчет_аналитики'!$F$2235,0)</f>
        <v/>
      </c>
      <c r="R2557">
        <f>IF(IF('01_Вводные'!$B$296="Новый сезон",TRUE,TRUE),'19_Расчет_аналитики'!R2445*CapacityAge14*'19_Расчет_аналитики'!$F$2235,0)</f>
        <v/>
      </c>
      <c r="S2557">
        <f>IF(IF('01_Вводные'!$B$296="Новый сезон",TRUE,TRUE),'19_Расчет_аналитики'!S2445*CapacityAge14*'19_Расчет_аналитики'!$F$2235,0)</f>
        <v/>
      </c>
      <c r="T2557">
        <f>IF(IF('01_Вводные'!$B$296="Новый сезон",TRUE,TRUE),'19_Расчет_аналитики'!T2445*CapacityAge14*'19_Расчет_аналитики'!$F$2235,0)</f>
        <v/>
      </c>
      <c r="U2557">
        <f>IF(IF('01_Вводные'!$B$296="Новый сезон",TRUE,TRUE),'19_Расчет_аналитики'!U2445*CapacityAge14*'19_Расчет_аналитики'!$F$2235,0)</f>
        <v/>
      </c>
      <c r="V2557">
        <f>IF(IF('01_Вводные'!$B$296="Новый сезон",TRUE,TRUE),'19_Расчет_аналитики'!V2445*CapacityAge14*'19_Расчет_аналитики'!$F$2235,0)</f>
        <v/>
      </c>
      <c r="W2557">
        <f>IF(IF('01_Вводные'!$B$296="Новый сезон",TRUE,TRUE),'19_Расчет_аналитики'!W2445*CapacityAge14*'19_Расчет_аналитики'!$F$2235,0)</f>
        <v/>
      </c>
      <c r="X2557">
        <f>IF(IF('01_Вводные'!$B$296="Новый сезон",TRUE,TRUE),'19_Расчет_аналитики'!X2445*CapacityAge14*'19_Расчет_аналитики'!$F$2235,0)</f>
        <v/>
      </c>
      <c r="Y2557">
        <f>IF(IF('01_Вводные'!$B$296="Новый сезон",TRUE,TRUE),'19_Расчет_аналитики'!Y2445*CapacityAge14*'19_Расчет_аналитики'!$F$2235,0)</f>
        <v/>
      </c>
      <c r="Z2557">
        <f>IF(IF('01_Вводные'!$B$296="Новый сезон",TRUE,TRUE),'19_Расчет_аналитики'!Z2445*CapacityAge14*'19_Расчет_аналитики'!$F$2235,0)</f>
        <v/>
      </c>
      <c r="AA2557">
        <f>IF(IF('01_Вводные'!$B$296="Новый сезон",TRUE,TRUE),'19_Расчет_аналитики'!AA2445*CapacityAge14*'19_Расчет_аналитики'!$F$2235,0)</f>
        <v/>
      </c>
      <c r="AB2557">
        <f>IF(IF('01_Вводные'!$B$296="Новый сезон",TRUE,TRUE),'19_Расчет_аналитики'!AB2445*CapacityAge14*'19_Расчет_аналитики'!$F$2235,0)</f>
        <v/>
      </c>
      <c r="AC2557">
        <f>IF(IF('01_Вводные'!$B$296="Новый сезон",TRUE,TRUE),'19_Расчет_аналитики'!AC2445*CapacityAge14*'19_Расчет_аналитики'!$F$2235,0)</f>
        <v/>
      </c>
      <c r="AD2557">
        <f>IF(IF('01_Вводные'!$B$296="Новый сезон",TRUE,TRUE),'19_Расчет_аналитики'!AD2445*CapacityAge14*'19_Расчет_аналитики'!$F$2235,0)</f>
        <v/>
      </c>
      <c r="AE2557">
        <f>IF(IF('01_Вводные'!$B$296="Новый сезон",TRUE,TRUE),'19_Расчет_аналитики'!AE2445*CapacityAge14*'19_Расчет_аналитики'!$F$2235,0)</f>
        <v/>
      </c>
      <c r="AF2557">
        <f>IF(IF('01_Вводные'!$B$296="Новый сезон",TRUE,TRUE),'19_Расчет_аналитики'!AF2445*CapacityAge14*'19_Расчет_аналитики'!$F$2235,0)</f>
        <v/>
      </c>
      <c r="AG2557">
        <f>IF(IF('01_Вводные'!$B$296="Новый сезон",TRUE,TRUE),'19_Расчет_аналитики'!AG2445*CapacityAge14*'19_Расчет_аналитики'!$F$2235,0)</f>
        <v/>
      </c>
      <c r="AH2557">
        <f>IF(IF('01_Вводные'!$B$296="Новый сезон",TRUE,TRUE),'19_Расчет_аналитики'!AH2445*CapacityAge14*'19_Расчет_аналитики'!$F$2235,0)</f>
        <v/>
      </c>
      <c r="AI2557">
        <f>IF(IF('01_Вводные'!$B$296="Новый сезон",TRUE,TRUE),'19_Расчет_аналитики'!AI2445*CapacityAge14*'19_Расчет_аналитики'!$F$2235,0)</f>
        <v/>
      </c>
      <c r="AJ2557">
        <f>IF(IF('01_Вводные'!$B$296="Новый сезон",TRUE,TRUE),'19_Расчет_аналитики'!AJ2445*CapacityAge14*'19_Расчет_аналитики'!$F$2235,0)</f>
        <v/>
      </c>
      <c r="AK2557">
        <f>IF(IF('01_Вводные'!$B$296="Новый сезон",TRUE,TRUE),'19_Расчет_аналитики'!AK2445*CapacityAge14*'19_Расчет_аналитики'!$F$2235,0)</f>
        <v/>
      </c>
      <c r="AL2557">
        <f>IF(IF('01_Вводные'!$B$296="Новый сезон",TRUE,TRUE),'19_Расчет_аналитики'!AL2445*CapacityAge14*'19_Расчет_аналитики'!$F$2235,0)</f>
        <v/>
      </c>
      <c r="AM2557">
        <f>IF(IF('01_Вводные'!$B$296="Новый сезон",TRUE,TRUE),'19_Расчет_аналитики'!AM2445*CapacityAge14*'19_Расчет_аналитики'!$F$2235,0)</f>
        <v/>
      </c>
      <c r="AN2557">
        <f>IF(IF('01_Вводные'!$B$296="Новый сезон",TRUE,TRUE),'19_Расчет_аналитики'!AN2445*CapacityAge14*'19_Расчет_аналитики'!$F$2235,0)</f>
        <v/>
      </c>
      <c r="AO2557">
        <f>IF(IF('01_Вводные'!$B$296="Новый сезон",TRUE,TRUE),'19_Расчет_аналитики'!AO2445*CapacityAge14*'19_Расчет_аналитики'!$F$2235,0)</f>
        <v/>
      </c>
      <c r="AP2557">
        <f>IF(IF('01_Вводные'!$B$296="Новый сезон",TRUE,TRUE),'19_Расчет_аналитики'!AP2445*CapacityAge14*'19_Расчет_аналитики'!$F$2235,0)</f>
        <v/>
      </c>
      <c r="AQ2557">
        <f>IF(IF('01_Вводные'!$B$296="Новый сезон",TRUE,TRUE),'19_Расчет_аналитики'!AQ2445*CapacityAge14*'19_Расчет_аналитики'!$F$2235,0)</f>
        <v/>
      </c>
      <c r="AR2557">
        <f>IF(IF('01_Вводные'!$B$296="Новый сезон",TRUE,TRUE),'19_Расчет_аналитики'!AR2445*CapacityAge14*'19_Расчет_аналитики'!$F$2235,0)</f>
        <v/>
      </c>
      <c r="AS2557">
        <f>IF(IF('01_Вводные'!$B$296="Новый сезон",TRUE,TRUE),'19_Расчет_аналитики'!AS2445*CapacityAge14*'19_Расчет_аналитики'!$F$2235,0)</f>
        <v/>
      </c>
      <c r="AT2557">
        <f>IF(IF('01_Вводные'!$B$296="Новый сезон",TRUE,TRUE),'19_Расчет_аналитики'!AT2445*CapacityAge14*'19_Расчет_аналитики'!$F$2235,0)</f>
        <v/>
      </c>
      <c r="AU2557">
        <f>IF(IF('01_Вводные'!$B$296="Новый сезон",TRUE,TRUE),'19_Расчет_аналитики'!AU2445*CapacityAge14*'19_Расчет_аналитики'!$F$2235,0)</f>
        <v/>
      </c>
      <c r="AV2557">
        <f>IF(IF('01_Вводные'!$B$296="Новый сезон",TRUE,TRUE),'19_Расчет_аналитики'!AV2445*CapacityAge14*'19_Расчет_аналитики'!$F$2235,0)</f>
        <v/>
      </c>
      <c r="AW2557">
        <f>IF(IF('01_Вводные'!$B$296="Новый сезон",TRUE,TRUE),'19_Расчет_аналитики'!AW2445*CapacityAge14*'19_Расчет_аналитики'!$F$2235,0)</f>
        <v/>
      </c>
      <c r="AX2557">
        <f>IF(IF('01_Вводные'!$B$296="Новый сезон",TRUE,TRUE),'19_Расчет_аналитики'!AX2445*CapacityAge14*'19_Расчет_аналитики'!$F$2235,0)</f>
        <v/>
      </c>
      <c r="AY2557">
        <f>IF(IF('01_Вводные'!$B$296="Новый сезон",TRUE,TRUE),'19_Расчет_аналитики'!AY2445*CapacityAge14*'19_Расчет_аналитики'!$F$2235,0)</f>
        <v/>
      </c>
      <c r="AZ2557">
        <f>IF(IF('01_Вводные'!$B$296="Новый сезон",TRUE,TRUE),'19_Расчет_аналитики'!AZ2445*CapacityAge14*'19_Расчет_аналитики'!$F$2235,0)</f>
        <v/>
      </c>
      <c r="BA2557">
        <f>IF(IF('01_Вводные'!$B$296="Новый сезон",TRUE,TRUE),'19_Расчет_аналитики'!BA2445*CapacityAge14*'19_Расчет_аналитики'!$F$2235,0)</f>
        <v/>
      </c>
      <c r="BB2557">
        <f>IF(IF('01_Вводные'!$B$296="Новый сезон",TRUE,TRUE),'19_Расчет_аналитики'!BB2445*CapacityAge14*'19_Расчет_аналитики'!$F$2235,0)</f>
        <v/>
      </c>
      <c r="BC2557">
        <f>IF(IF('01_Вводные'!$B$296="Новый сезон",TRUE,TRUE),'19_Расчет_аналитики'!BC2445*CapacityAge14*'19_Расчет_аналитики'!$F$2235,0)</f>
        <v/>
      </c>
      <c r="BD2557">
        <f>IF(IF('01_Вводные'!$B$296="Новый сезон",TRUE,TRUE),'19_Расчет_аналитики'!BD2445*CapacityAge14*'19_Расчет_аналитики'!$F$2235,0)</f>
        <v/>
      </c>
      <c r="BE2557">
        <f>IF(IF('01_Вводные'!$B$296="Новый сезон",TRUE,TRUE),'19_Расчет_аналитики'!BE2445*CapacityAge14*'19_Расчет_аналитики'!$F$2235,0)</f>
        <v/>
      </c>
      <c r="BF2557">
        <f>IF(IF('01_Вводные'!$B$296="Новый сезон",TRUE,TRUE),'19_Расчет_аналитики'!BF2445*CapacityAge14*'19_Расчет_аналитики'!$F$2235,0)</f>
        <v/>
      </c>
      <c r="BG2557">
        <f>IF(IF('01_Вводные'!$B$296="Новый сезон",TRUE,TRUE),'19_Расчет_аналитики'!BG2445*CapacityAge14*'19_Расчет_аналитики'!$F$2235,0)</f>
        <v/>
      </c>
      <c r="BH2557">
        <f>IF(IF('01_Вводные'!$B$296="Новый сезон",TRUE,TRUE),'19_Расчет_аналитики'!BH2445*CapacityAge14*'19_Расчет_аналитики'!$F$2235,0)</f>
        <v/>
      </c>
      <c r="BI2557">
        <f>IF(IF('01_Вводные'!$B$296="Новый сезон",TRUE,TRUE),'19_Расчет_аналитики'!BI2445*CapacityAge14*'19_Расчет_аналитики'!$F$2235,0)</f>
        <v/>
      </c>
      <c r="BJ2557">
        <f>IF(IF('01_Вводные'!$B$296="Новый сезон",TRUE,TRUE),'19_Расчет_аналитики'!BJ2445*CapacityAge14*'19_Расчет_аналитики'!$F$2235,0)</f>
        <v/>
      </c>
      <c r="BK2557">
        <f>IF(IF('01_Вводные'!$B$296="Новый сезон",TRUE,TRUE),'19_Расчет_аналитики'!BK2445*CapacityAge14*'19_Расчет_аналитики'!$F$2235,0)</f>
        <v/>
      </c>
      <c r="BL2557">
        <f>IF(IF('01_Вводные'!$B$296="Новый сезон",TRUE,TRUE),'19_Расчет_аналитики'!BL2445*CapacityAge14*'19_Расчет_аналитики'!$F$2235,0)</f>
        <v/>
      </c>
      <c r="BM2557">
        <f>IF(IF('01_Вводные'!$B$296="Новый сезон",TRUE,TRUE),'19_Расчет_аналитики'!BM2445*CapacityAge14*'19_Расчет_аналитики'!$F$2235,0)</f>
        <v/>
      </c>
      <c r="BN2557">
        <f>IF(IF('01_Вводные'!$B$296="Новый сезон",TRUE,TRUE),'19_Расчет_аналитики'!BN2445*CapacityAge14*'19_Расчет_аналитики'!$F$2235,0)</f>
        <v/>
      </c>
      <c r="BO2557">
        <f>IF(IF('01_Вводные'!$B$296="Новый сезон",TRUE,TRUE),'19_Расчет_аналитики'!BO2445*CapacityAge14*'19_Расчет_аналитики'!$F$2235,0)</f>
        <v/>
      </c>
    </row>
    <row r="2558">
      <c r="B2558">
        <f>IF(IF('01_Вводные'!$B$296="Новый сезон",TRUE,TRUE),'06_Сеть_и_дети'!B67*CapacityAge15*'19_Расчет_аналитики'!$F$2235,0)</f>
        <v/>
      </c>
      <c r="C2558">
        <f>IF(IF('01_Вводные'!$B$296="Новый сезон",TRUE,TRUE),'06_Сеть_и_дети'!C67*CapacityAge15*'19_Расчет_аналитики'!$F$2235,0)</f>
        <v/>
      </c>
      <c r="D2558">
        <f>IF(IF('01_Вводные'!$B$296="Новый сезон",TRUE,TRUE),'06_Сеть_и_дети'!D67*CapacityAge15*'19_Расчет_аналитики'!$F$2235,0)</f>
        <v/>
      </c>
      <c r="E2558">
        <f>IF(IF('01_Вводные'!$B$296="Новый сезон",TRUE,TRUE),'06_Сеть_и_дети'!E67*CapacityAge15*'19_Расчет_аналитики'!$F$2235,0)</f>
        <v/>
      </c>
      <c r="F2558">
        <f>IF(IF('01_Вводные'!$B$296="Новый сезон",TRUE,TRUE),'06_Сеть_и_дети'!F67*CapacityAge15*'19_Расчет_аналитики'!$F$2235,0)</f>
        <v/>
      </c>
      <c r="G2558">
        <f>IF(IF('01_Вводные'!$B$296="Новый сезон",TRUE,TRUE),'06_Сеть_и_дети'!G67*CapacityAge15*'19_Расчет_аналитики'!$F$2235,0)</f>
        <v/>
      </c>
      <c r="H2558">
        <f>IF(IF('01_Вводные'!$B$296="Новый сезон",TRUE,TRUE),'06_Сеть_и_дети'!H67*CapacityAge15*'19_Расчет_аналитики'!$F$2235,0)</f>
        <v/>
      </c>
      <c r="I2558">
        <f>IF(IF('01_Вводные'!$B$296="Новый сезон",TRUE,TRUE),'06_Сеть_и_дети'!I67*CapacityAge15*'19_Расчет_аналитики'!$F$2235,0)</f>
        <v/>
      </c>
      <c r="J2558">
        <f>IF(IF('01_Вводные'!$B$296="Новый сезон",TRUE,TRUE),'06_Сеть_и_дети'!J67*CapacityAge15*'19_Расчет_аналитики'!$F$2235,0)</f>
        <v/>
      </c>
      <c r="K2558">
        <f>IF(IF('01_Вводные'!$B$296="Новый сезон",TRUE,TRUE),'06_Сеть_и_дети'!K67*CapacityAge15*'19_Расчет_аналитики'!$F$2235,0)</f>
        <v/>
      </c>
      <c r="L2558">
        <f>IF(IF('01_Вводные'!$B$296="Новый сезон",TRUE,TRUE),'06_Сеть_и_дети'!L67*CapacityAge15*'19_Расчет_аналитики'!$F$2235,0)</f>
        <v/>
      </c>
      <c r="M2558">
        <f>IF(IF('01_Вводные'!$B$296="Новый сезон",TRUE,TRUE),'06_Сеть_и_дети'!M67*CapacityAge15*'19_Расчет_аналитики'!$F$2235,0)</f>
        <v/>
      </c>
      <c r="N2558">
        <f>IF(IF('01_Вводные'!$B$296="Новый сезон",TRUE,TRUE),'06_Сеть_и_дети'!N67*CapacityAge15*'19_Расчет_аналитики'!$F$2235,0)</f>
        <v/>
      </c>
      <c r="O2558">
        <f>IF(IF('01_Вводные'!$B$296="Новый сезон",TRUE,TRUE),'06_Сеть_и_дети'!O67*CapacityAge15*'19_Расчет_аналитики'!$F$2235,0)</f>
        <v/>
      </c>
      <c r="P2558">
        <f>IF(IF('01_Вводные'!$B$296="Новый сезон",TRUE,TRUE),'19_Расчет_аналитики'!P2446*CapacityAge15*'19_Расчет_аналитики'!$F$2235,0)</f>
        <v/>
      </c>
      <c r="Q2558">
        <f>IF(IF('01_Вводные'!$B$296="Новый сезон",TRUE,TRUE),'19_Расчет_аналитики'!Q2446*CapacityAge15*'19_Расчет_аналитики'!$F$2235,0)</f>
        <v/>
      </c>
      <c r="R2558">
        <f>IF(IF('01_Вводные'!$B$296="Новый сезон",TRUE,TRUE),'19_Расчет_аналитики'!R2446*CapacityAge15*'19_Расчет_аналитики'!$F$2235,0)</f>
        <v/>
      </c>
      <c r="S2558">
        <f>IF(IF('01_Вводные'!$B$296="Новый сезон",TRUE,TRUE),'19_Расчет_аналитики'!S2446*CapacityAge15*'19_Расчет_аналитики'!$F$2235,0)</f>
        <v/>
      </c>
      <c r="T2558">
        <f>IF(IF('01_Вводные'!$B$296="Новый сезон",TRUE,TRUE),'19_Расчет_аналитики'!T2446*CapacityAge15*'19_Расчет_аналитики'!$F$2235,0)</f>
        <v/>
      </c>
      <c r="U2558">
        <f>IF(IF('01_Вводные'!$B$296="Новый сезон",TRUE,TRUE),'19_Расчет_аналитики'!U2446*CapacityAge15*'19_Расчет_аналитики'!$F$2235,0)</f>
        <v/>
      </c>
      <c r="V2558">
        <f>IF(IF('01_Вводные'!$B$296="Новый сезон",TRUE,TRUE),'19_Расчет_аналитики'!V2446*CapacityAge15*'19_Расчет_аналитики'!$F$2235,0)</f>
        <v/>
      </c>
      <c r="W2558">
        <f>IF(IF('01_Вводные'!$B$296="Новый сезон",TRUE,TRUE),'19_Расчет_аналитики'!W2446*CapacityAge15*'19_Расчет_аналитики'!$F$2235,0)</f>
        <v/>
      </c>
      <c r="X2558">
        <f>IF(IF('01_Вводные'!$B$296="Новый сезон",TRUE,TRUE),'19_Расчет_аналитики'!X2446*CapacityAge15*'19_Расчет_аналитики'!$F$2235,0)</f>
        <v/>
      </c>
      <c r="Y2558">
        <f>IF(IF('01_Вводные'!$B$296="Новый сезон",TRUE,TRUE),'19_Расчет_аналитики'!Y2446*CapacityAge15*'19_Расчет_аналитики'!$F$2235,0)</f>
        <v/>
      </c>
      <c r="Z2558">
        <f>IF(IF('01_Вводные'!$B$296="Новый сезон",TRUE,TRUE),'19_Расчет_аналитики'!Z2446*CapacityAge15*'19_Расчет_аналитики'!$F$2235,0)</f>
        <v/>
      </c>
      <c r="AA2558">
        <f>IF(IF('01_Вводные'!$B$296="Новый сезон",TRUE,TRUE),'19_Расчет_аналитики'!AA2446*CapacityAge15*'19_Расчет_аналитики'!$F$2235,0)</f>
        <v/>
      </c>
      <c r="AB2558">
        <f>IF(IF('01_Вводные'!$B$296="Новый сезон",TRUE,TRUE),'19_Расчет_аналитики'!AB2446*CapacityAge15*'19_Расчет_аналитики'!$F$2235,0)</f>
        <v/>
      </c>
      <c r="AC2558">
        <f>IF(IF('01_Вводные'!$B$296="Новый сезон",TRUE,TRUE),'19_Расчет_аналитики'!AC2446*CapacityAge15*'19_Расчет_аналитики'!$F$2235,0)</f>
        <v/>
      </c>
      <c r="AD2558">
        <f>IF(IF('01_Вводные'!$B$296="Новый сезон",TRUE,TRUE),'19_Расчет_аналитики'!AD2446*CapacityAge15*'19_Расчет_аналитики'!$F$2235,0)</f>
        <v/>
      </c>
      <c r="AE2558">
        <f>IF(IF('01_Вводные'!$B$296="Новый сезон",TRUE,TRUE),'19_Расчет_аналитики'!AE2446*CapacityAge15*'19_Расчет_аналитики'!$F$2235,0)</f>
        <v/>
      </c>
      <c r="AF2558">
        <f>IF(IF('01_Вводные'!$B$296="Новый сезон",TRUE,TRUE),'19_Расчет_аналитики'!AF2446*CapacityAge15*'19_Расчет_аналитики'!$F$2235,0)</f>
        <v/>
      </c>
      <c r="AG2558">
        <f>IF(IF('01_Вводные'!$B$296="Новый сезон",TRUE,TRUE),'19_Расчет_аналитики'!AG2446*CapacityAge15*'19_Расчет_аналитики'!$F$2235,0)</f>
        <v/>
      </c>
      <c r="AH2558">
        <f>IF(IF('01_Вводные'!$B$296="Новый сезон",TRUE,TRUE),'19_Расчет_аналитики'!AH2446*CapacityAge15*'19_Расчет_аналитики'!$F$2235,0)</f>
        <v/>
      </c>
      <c r="AI2558">
        <f>IF(IF('01_Вводные'!$B$296="Новый сезон",TRUE,TRUE),'19_Расчет_аналитики'!AI2446*CapacityAge15*'19_Расчет_аналитики'!$F$2235,0)</f>
        <v/>
      </c>
      <c r="AJ2558">
        <f>IF(IF('01_Вводные'!$B$296="Новый сезон",TRUE,TRUE),'19_Расчет_аналитики'!AJ2446*CapacityAge15*'19_Расчет_аналитики'!$F$2235,0)</f>
        <v/>
      </c>
      <c r="AK2558">
        <f>IF(IF('01_Вводные'!$B$296="Новый сезон",TRUE,TRUE),'19_Расчет_аналитики'!AK2446*CapacityAge15*'19_Расчет_аналитики'!$F$2235,0)</f>
        <v/>
      </c>
      <c r="AL2558">
        <f>IF(IF('01_Вводные'!$B$296="Новый сезон",TRUE,TRUE),'19_Расчет_аналитики'!AL2446*CapacityAge15*'19_Расчет_аналитики'!$F$2235,0)</f>
        <v/>
      </c>
      <c r="AM2558">
        <f>IF(IF('01_Вводные'!$B$296="Новый сезон",TRUE,TRUE),'19_Расчет_аналитики'!AM2446*CapacityAge15*'19_Расчет_аналитики'!$F$2235,0)</f>
        <v/>
      </c>
      <c r="AN2558">
        <f>IF(IF('01_Вводные'!$B$296="Новый сезон",TRUE,TRUE),'19_Расчет_аналитики'!AN2446*CapacityAge15*'19_Расчет_аналитики'!$F$2235,0)</f>
        <v/>
      </c>
      <c r="AO2558">
        <f>IF(IF('01_Вводные'!$B$296="Новый сезон",TRUE,TRUE),'19_Расчет_аналитики'!AO2446*CapacityAge15*'19_Расчет_аналитики'!$F$2235,0)</f>
        <v/>
      </c>
      <c r="AP2558">
        <f>IF(IF('01_Вводные'!$B$296="Новый сезон",TRUE,TRUE),'19_Расчет_аналитики'!AP2446*CapacityAge15*'19_Расчет_аналитики'!$F$2235,0)</f>
        <v/>
      </c>
      <c r="AQ2558">
        <f>IF(IF('01_Вводные'!$B$296="Новый сезон",TRUE,TRUE),'19_Расчет_аналитики'!AQ2446*CapacityAge15*'19_Расчет_аналитики'!$F$2235,0)</f>
        <v/>
      </c>
      <c r="AR2558">
        <f>IF(IF('01_Вводные'!$B$296="Новый сезон",TRUE,TRUE),'19_Расчет_аналитики'!AR2446*CapacityAge15*'19_Расчет_аналитики'!$F$2235,0)</f>
        <v/>
      </c>
      <c r="AS2558">
        <f>IF(IF('01_Вводные'!$B$296="Новый сезон",TRUE,TRUE),'19_Расчет_аналитики'!AS2446*CapacityAge15*'19_Расчет_аналитики'!$F$2235,0)</f>
        <v/>
      </c>
      <c r="AT2558">
        <f>IF(IF('01_Вводные'!$B$296="Новый сезон",TRUE,TRUE),'19_Расчет_аналитики'!AT2446*CapacityAge15*'19_Расчет_аналитики'!$F$2235,0)</f>
        <v/>
      </c>
      <c r="AU2558">
        <f>IF(IF('01_Вводные'!$B$296="Новый сезон",TRUE,TRUE),'19_Расчет_аналитики'!AU2446*CapacityAge15*'19_Расчет_аналитики'!$F$2235,0)</f>
        <v/>
      </c>
      <c r="AV2558">
        <f>IF(IF('01_Вводные'!$B$296="Новый сезон",TRUE,TRUE),'19_Расчет_аналитики'!AV2446*CapacityAge15*'19_Расчет_аналитики'!$F$2235,0)</f>
        <v/>
      </c>
      <c r="AW2558">
        <f>IF(IF('01_Вводные'!$B$296="Новый сезон",TRUE,TRUE),'19_Расчет_аналитики'!AW2446*CapacityAge15*'19_Расчет_аналитики'!$F$2235,0)</f>
        <v/>
      </c>
      <c r="AX2558">
        <f>IF(IF('01_Вводные'!$B$296="Новый сезон",TRUE,TRUE),'19_Расчет_аналитики'!AX2446*CapacityAge15*'19_Расчет_аналитики'!$F$2235,0)</f>
        <v/>
      </c>
      <c r="AY2558">
        <f>IF(IF('01_Вводные'!$B$296="Новый сезон",TRUE,TRUE),'19_Расчет_аналитики'!AY2446*CapacityAge15*'19_Расчет_аналитики'!$F$2235,0)</f>
        <v/>
      </c>
      <c r="AZ2558">
        <f>IF(IF('01_Вводные'!$B$296="Новый сезон",TRUE,TRUE),'19_Расчет_аналитики'!AZ2446*CapacityAge15*'19_Расчет_аналитики'!$F$2235,0)</f>
        <v/>
      </c>
      <c r="BA2558">
        <f>IF(IF('01_Вводные'!$B$296="Новый сезон",TRUE,TRUE),'19_Расчет_аналитики'!BA2446*CapacityAge15*'19_Расчет_аналитики'!$F$2235,0)</f>
        <v/>
      </c>
      <c r="BB2558">
        <f>IF(IF('01_Вводные'!$B$296="Новый сезон",TRUE,TRUE),'19_Расчет_аналитики'!BB2446*CapacityAge15*'19_Расчет_аналитики'!$F$2235,0)</f>
        <v/>
      </c>
      <c r="BC2558">
        <f>IF(IF('01_Вводные'!$B$296="Новый сезон",TRUE,TRUE),'19_Расчет_аналитики'!BC2446*CapacityAge15*'19_Расчет_аналитики'!$F$2235,0)</f>
        <v/>
      </c>
      <c r="BD2558">
        <f>IF(IF('01_Вводные'!$B$296="Новый сезон",TRUE,TRUE),'19_Расчет_аналитики'!BD2446*CapacityAge15*'19_Расчет_аналитики'!$F$2235,0)</f>
        <v/>
      </c>
      <c r="BE2558">
        <f>IF(IF('01_Вводные'!$B$296="Новый сезон",TRUE,TRUE),'19_Расчет_аналитики'!BE2446*CapacityAge15*'19_Расчет_аналитики'!$F$2235,0)</f>
        <v/>
      </c>
      <c r="BF2558">
        <f>IF(IF('01_Вводные'!$B$296="Новый сезон",TRUE,TRUE),'19_Расчет_аналитики'!BF2446*CapacityAge15*'19_Расчет_аналитики'!$F$2235,0)</f>
        <v/>
      </c>
      <c r="BG2558">
        <f>IF(IF('01_Вводные'!$B$296="Новый сезон",TRUE,TRUE),'19_Расчет_аналитики'!BG2446*CapacityAge15*'19_Расчет_аналитики'!$F$2235,0)</f>
        <v/>
      </c>
      <c r="BH2558">
        <f>IF(IF('01_Вводные'!$B$296="Новый сезон",TRUE,TRUE),'19_Расчет_аналитики'!BH2446*CapacityAge15*'19_Расчет_аналитики'!$F$2235,0)</f>
        <v/>
      </c>
      <c r="BI2558">
        <f>IF(IF('01_Вводные'!$B$296="Новый сезон",TRUE,TRUE),'19_Расчет_аналитики'!BI2446*CapacityAge15*'19_Расчет_аналитики'!$F$2235,0)</f>
        <v/>
      </c>
      <c r="BJ2558">
        <f>IF(IF('01_Вводные'!$B$296="Новый сезон",TRUE,TRUE),'19_Расчет_аналитики'!BJ2446*CapacityAge15*'19_Расчет_аналитики'!$F$2235,0)</f>
        <v/>
      </c>
      <c r="BK2558">
        <f>IF(IF('01_Вводные'!$B$296="Новый сезон",TRUE,TRUE),'19_Расчет_аналитики'!BK2446*CapacityAge15*'19_Расчет_аналитики'!$F$2235,0)</f>
        <v/>
      </c>
      <c r="BL2558">
        <f>IF(IF('01_Вводные'!$B$296="Новый сезон",TRUE,TRUE),'19_Расчет_аналитики'!BL2446*CapacityAge15*'19_Расчет_аналитики'!$F$2235,0)</f>
        <v/>
      </c>
      <c r="BM2558">
        <f>IF(IF('01_Вводные'!$B$296="Новый сезон",TRUE,TRUE),'19_Расчет_аналитики'!BM2446*CapacityAge15*'19_Расчет_аналитики'!$F$2235,0)</f>
        <v/>
      </c>
      <c r="BN2558">
        <f>IF(IF('01_Вводные'!$B$296="Новый сезон",TRUE,TRUE),'19_Расчет_аналитики'!BN2446*CapacityAge15*'19_Расчет_аналитики'!$F$2235,0)</f>
        <v/>
      </c>
      <c r="BO2558">
        <f>IF(IF('01_Вводные'!$B$296="Новый сезон",TRUE,TRUE),'19_Расчет_аналитики'!BO2446*CapacityAge15*'19_Расчет_аналитики'!$F$2235,0)</f>
        <v/>
      </c>
    </row>
    <row r="2559">
      <c r="B2559">
        <f>IF(IF('01_Вводные'!$B$296="Новый сезон",TRUE,TRUE),'06_Сеть_и_дети'!B68*CapacityAge16*'19_Расчет_аналитики'!$F$2235,0)</f>
        <v/>
      </c>
      <c r="C2559">
        <f>IF(IF('01_Вводные'!$B$296="Новый сезон",TRUE,TRUE),'06_Сеть_и_дети'!C68*CapacityAge16*'19_Расчет_аналитики'!$F$2235,0)</f>
        <v/>
      </c>
      <c r="D2559">
        <f>IF(IF('01_Вводные'!$B$296="Новый сезон",TRUE,TRUE),'06_Сеть_и_дети'!D68*CapacityAge16*'19_Расчет_аналитики'!$F$2235,0)</f>
        <v/>
      </c>
      <c r="E2559">
        <f>IF(IF('01_Вводные'!$B$296="Новый сезон",TRUE,TRUE),'06_Сеть_и_дети'!E68*CapacityAge16*'19_Расчет_аналитики'!$F$2235,0)</f>
        <v/>
      </c>
      <c r="F2559">
        <f>IF(IF('01_Вводные'!$B$296="Новый сезон",TRUE,TRUE),'06_Сеть_и_дети'!F68*CapacityAge16*'19_Расчет_аналитики'!$F$2235,0)</f>
        <v/>
      </c>
      <c r="G2559">
        <f>IF(IF('01_Вводные'!$B$296="Новый сезон",TRUE,TRUE),'06_Сеть_и_дети'!G68*CapacityAge16*'19_Расчет_аналитики'!$F$2235,0)</f>
        <v/>
      </c>
      <c r="H2559">
        <f>IF(IF('01_Вводные'!$B$296="Новый сезон",TRUE,TRUE),'06_Сеть_и_дети'!H68*CapacityAge16*'19_Расчет_аналитики'!$F$2235,0)</f>
        <v/>
      </c>
      <c r="I2559">
        <f>IF(IF('01_Вводные'!$B$296="Новый сезон",TRUE,TRUE),'06_Сеть_и_дети'!I68*CapacityAge16*'19_Расчет_аналитики'!$F$2235,0)</f>
        <v/>
      </c>
      <c r="J2559">
        <f>IF(IF('01_Вводные'!$B$296="Новый сезон",TRUE,TRUE),'06_Сеть_и_дети'!J68*CapacityAge16*'19_Расчет_аналитики'!$F$2235,0)</f>
        <v/>
      </c>
      <c r="K2559">
        <f>IF(IF('01_Вводные'!$B$296="Новый сезон",TRUE,TRUE),'06_Сеть_и_дети'!K68*CapacityAge16*'19_Расчет_аналитики'!$F$2235,0)</f>
        <v/>
      </c>
      <c r="L2559">
        <f>IF(IF('01_Вводные'!$B$296="Новый сезон",TRUE,TRUE),'06_Сеть_и_дети'!L68*CapacityAge16*'19_Расчет_аналитики'!$F$2235,0)</f>
        <v/>
      </c>
      <c r="M2559">
        <f>IF(IF('01_Вводные'!$B$296="Новый сезон",TRUE,TRUE),'06_Сеть_и_дети'!M68*CapacityAge16*'19_Расчет_аналитики'!$F$2235,0)</f>
        <v/>
      </c>
      <c r="N2559">
        <f>IF(IF('01_Вводные'!$B$296="Новый сезон",TRUE,TRUE),'06_Сеть_и_дети'!N68*CapacityAge16*'19_Расчет_аналитики'!$F$2235,0)</f>
        <v/>
      </c>
      <c r="O2559">
        <f>IF(IF('01_Вводные'!$B$296="Новый сезон",TRUE,TRUE),'06_Сеть_и_дети'!O68*CapacityAge16*'19_Расчет_аналитики'!$F$2235,0)</f>
        <v/>
      </c>
      <c r="P2559">
        <f>IF(IF('01_Вводные'!$B$296="Новый сезон",TRUE,TRUE),'06_Сеть_и_дети'!P68*CapacityAge16*'19_Расчет_аналитики'!$F$2235,0)</f>
        <v/>
      </c>
      <c r="Q2559">
        <f>IF(IF('01_Вводные'!$B$296="Новый сезон",TRUE,TRUE),'19_Расчет_аналитики'!Q2447*CapacityAge16*'19_Расчет_аналитики'!$F$2235,0)</f>
        <v/>
      </c>
      <c r="R2559">
        <f>IF(IF('01_Вводные'!$B$296="Новый сезон",TRUE,TRUE),'19_Расчет_аналитики'!R2447*CapacityAge16*'19_Расчет_аналитики'!$F$2235,0)</f>
        <v/>
      </c>
      <c r="S2559">
        <f>IF(IF('01_Вводные'!$B$296="Новый сезон",TRUE,TRUE),'19_Расчет_аналитики'!S2447*CapacityAge16*'19_Расчет_аналитики'!$F$2235,0)</f>
        <v/>
      </c>
      <c r="T2559">
        <f>IF(IF('01_Вводные'!$B$296="Новый сезон",TRUE,TRUE),'19_Расчет_аналитики'!T2447*CapacityAge16*'19_Расчет_аналитики'!$F$2235,0)</f>
        <v/>
      </c>
      <c r="U2559">
        <f>IF(IF('01_Вводные'!$B$296="Новый сезон",TRUE,TRUE),'19_Расчет_аналитики'!U2447*CapacityAge16*'19_Расчет_аналитики'!$F$2235,0)</f>
        <v/>
      </c>
      <c r="V2559">
        <f>IF(IF('01_Вводные'!$B$296="Новый сезон",TRUE,TRUE),'19_Расчет_аналитики'!V2447*CapacityAge16*'19_Расчет_аналитики'!$F$2235,0)</f>
        <v/>
      </c>
      <c r="W2559">
        <f>IF(IF('01_Вводные'!$B$296="Новый сезон",TRUE,TRUE),'19_Расчет_аналитики'!W2447*CapacityAge16*'19_Расчет_аналитики'!$F$2235,0)</f>
        <v/>
      </c>
      <c r="X2559">
        <f>IF(IF('01_Вводные'!$B$296="Новый сезон",TRUE,TRUE),'19_Расчет_аналитики'!X2447*CapacityAge16*'19_Расчет_аналитики'!$F$2235,0)</f>
        <v/>
      </c>
      <c r="Y2559">
        <f>IF(IF('01_Вводные'!$B$296="Новый сезон",TRUE,TRUE),'19_Расчет_аналитики'!Y2447*CapacityAge16*'19_Расчет_аналитики'!$F$2235,0)</f>
        <v/>
      </c>
      <c r="Z2559">
        <f>IF(IF('01_Вводные'!$B$296="Новый сезон",TRUE,TRUE),'19_Расчет_аналитики'!Z2447*CapacityAge16*'19_Расчет_аналитики'!$F$2235,0)</f>
        <v/>
      </c>
      <c r="AA2559">
        <f>IF(IF('01_Вводные'!$B$296="Новый сезон",TRUE,TRUE),'19_Расчет_аналитики'!AA2447*CapacityAge16*'19_Расчет_аналитики'!$F$2235,0)</f>
        <v/>
      </c>
      <c r="AB2559">
        <f>IF(IF('01_Вводные'!$B$296="Новый сезон",TRUE,TRUE),'19_Расчет_аналитики'!AB2447*CapacityAge16*'19_Расчет_аналитики'!$F$2235,0)</f>
        <v/>
      </c>
      <c r="AC2559">
        <f>IF(IF('01_Вводные'!$B$296="Новый сезон",TRUE,TRUE),'19_Расчет_аналитики'!AC2447*CapacityAge16*'19_Расчет_аналитики'!$F$2235,0)</f>
        <v/>
      </c>
      <c r="AD2559">
        <f>IF(IF('01_Вводные'!$B$296="Новый сезон",TRUE,TRUE),'19_Расчет_аналитики'!AD2447*CapacityAge16*'19_Расчет_аналитики'!$F$2235,0)</f>
        <v/>
      </c>
      <c r="AE2559">
        <f>IF(IF('01_Вводные'!$B$296="Новый сезон",TRUE,TRUE),'19_Расчет_аналитики'!AE2447*CapacityAge16*'19_Расчет_аналитики'!$F$2235,0)</f>
        <v/>
      </c>
      <c r="AF2559">
        <f>IF(IF('01_Вводные'!$B$296="Новый сезон",TRUE,TRUE),'19_Расчет_аналитики'!AF2447*CapacityAge16*'19_Расчет_аналитики'!$F$2235,0)</f>
        <v/>
      </c>
      <c r="AG2559">
        <f>IF(IF('01_Вводные'!$B$296="Новый сезон",TRUE,TRUE),'19_Расчет_аналитики'!AG2447*CapacityAge16*'19_Расчет_аналитики'!$F$2235,0)</f>
        <v/>
      </c>
      <c r="AH2559">
        <f>IF(IF('01_Вводные'!$B$296="Новый сезон",TRUE,TRUE),'19_Расчет_аналитики'!AH2447*CapacityAge16*'19_Расчет_аналитики'!$F$2235,0)</f>
        <v/>
      </c>
      <c r="AI2559">
        <f>IF(IF('01_Вводные'!$B$296="Новый сезон",TRUE,TRUE),'19_Расчет_аналитики'!AI2447*CapacityAge16*'19_Расчет_аналитики'!$F$2235,0)</f>
        <v/>
      </c>
      <c r="AJ2559">
        <f>IF(IF('01_Вводные'!$B$296="Новый сезон",TRUE,TRUE),'19_Расчет_аналитики'!AJ2447*CapacityAge16*'19_Расчет_аналитики'!$F$2235,0)</f>
        <v/>
      </c>
      <c r="AK2559">
        <f>IF(IF('01_Вводные'!$B$296="Новый сезон",TRUE,TRUE),'19_Расчет_аналитики'!AK2447*CapacityAge16*'19_Расчет_аналитики'!$F$2235,0)</f>
        <v/>
      </c>
      <c r="AL2559">
        <f>IF(IF('01_Вводные'!$B$296="Новый сезон",TRUE,TRUE),'19_Расчет_аналитики'!AL2447*CapacityAge16*'19_Расчет_аналитики'!$F$2235,0)</f>
        <v/>
      </c>
      <c r="AM2559">
        <f>IF(IF('01_Вводные'!$B$296="Новый сезон",TRUE,TRUE),'19_Расчет_аналитики'!AM2447*CapacityAge16*'19_Расчет_аналитики'!$F$2235,0)</f>
        <v/>
      </c>
      <c r="AN2559">
        <f>IF(IF('01_Вводные'!$B$296="Новый сезон",TRUE,TRUE),'19_Расчет_аналитики'!AN2447*CapacityAge16*'19_Расчет_аналитики'!$F$2235,0)</f>
        <v/>
      </c>
      <c r="AO2559">
        <f>IF(IF('01_Вводные'!$B$296="Новый сезон",TRUE,TRUE),'19_Расчет_аналитики'!AO2447*CapacityAge16*'19_Расчет_аналитики'!$F$2235,0)</f>
        <v/>
      </c>
      <c r="AP2559">
        <f>IF(IF('01_Вводные'!$B$296="Новый сезон",TRUE,TRUE),'19_Расчет_аналитики'!AP2447*CapacityAge16*'19_Расчет_аналитики'!$F$2235,0)</f>
        <v/>
      </c>
      <c r="AQ2559">
        <f>IF(IF('01_Вводные'!$B$296="Новый сезон",TRUE,TRUE),'19_Расчет_аналитики'!AQ2447*CapacityAge16*'19_Расчет_аналитики'!$F$2235,0)</f>
        <v/>
      </c>
      <c r="AR2559">
        <f>IF(IF('01_Вводные'!$B$296="Новый сезон",TRUE,TRUE),'19_Расчет_аналитики'!AR2447*CapacityAge16*'19_Расчет_аналитики'!$F$2235,0)</f>
        <v/>
      </c>
      <c r="AS2559">
        <f>IF(IF('01_Вводные'!$B$296="Новый сезон",TRUE,TRUE),'19_Расчет_аналитики'!AS2447*CapacityAge16*'19_Расчет_аналитики'!$F$2235,0)</f>
        <v/>
      </c>
      <c r="AT2559">
        <f>IF(IF('01_Вводные'!$B$296="Новый сезон",TRUE,TRUE),'19_Расчет_аналитики'!AT2447*CapacityAge16*'19_Расчет_аналитики'!$F$2235,0)</f>
        <v/>
      </c>
      <c r="AU2559">
        <f>IF(IF('01_Вводные'!$B$296="Новый сезон",TRUE,TRUE),'19_Расчет_аналитики'!AU2447*CapacityAge16*'19_Расчет_аналитики'!$F$2235,0)</f>
        <v/>
      </c>
      <c r="AV2559">
        <f>IF(IF('01_Вводные'!$B$296="Новый сезон",TRUE,TRUE),'19_Расчет_аналитики'!AV2447*CapacityAge16*'19_Расчет_аналитики'!$F$2235,0)</f>
        <v/>
      </c>
      <c r="AW2559">
        <f>IF(IF('01_Вводные'!$B$296="Новый сезон",TRUE,TRUE),'19_Расчет_аналитики'!AW2447*CapacityAge16*'19_Расчет_аналитики'!$F$2235,0)</f>
        <v/>
      </c>
      <c r="AX2559">
        <f>IF(IF('01_Вводные'!$B$296="Новый сезон",TRUE,TRUE),'19_Расчет_аналитики'!AX2447*CapacityAge16*'19_Расчет_аналитики'!$F$2235,0)</f>
        <v/>
      </c>
      <c r="AY2559">
        <f>IF(IF('01_Вводные'!$B$296="Новый сезон",TRUE,TRUE),'19_Расчет_аналитики'!AY2447*CapacityAge16*'19_Расчет_аналитики'!$F$2235,0)</f>
        <v/>
      </c>
      <c r="AZ2559">
        <f>IF(IF('01_Вводные'!$B$296="Новый сезон",TRUE,TRUE),'19_Расчет_аналитики'!AZ2447*CapacityAge16*'19_Расчет_аналитики'!$F$2235,0)</f>
        <v/>
      </c>
      <c r="BA2559">
        <f>IF(IF('01_Вводные'!$B$296="Новый сезон",TRUE,TRUE),'19_Расчет_аналитики'!BA2447*CapacityAge16*'19_Расчет_аналитики'!$F$2235,0)</f>
        <v/>
      </c>
      <c r="BB2559">
        <f>IF(IF('01_Вводные'!$B$296="Новый сезон",TRUE,TRUE),'19_Расчет_аналитики'!BB2447*CapacityAge16*'19_Расчет_аналитики'!$F$2235,0)</f>
        <v/>
      </c>
      <c r="BC2559">
        <f>IF(IF('01_Вводные'!$B$296="Новый сезон",TRUE,TRUE),'19_Расчет_аналитики'!BC2447*CapacityAge16*'19_Расчет_аналитики'!$F$2235,0)</f>
        <v/>
      </c>
      <c r="BD2559">
        <f>IF(IF('01_Вводные'!$B$296="Новый сезон",TRUE,TRUE),'19_Расчет_аналитики'!BD2447*CapacityAge16*'19_Расчет_аналитики'!$F$2235,0)</f>
        <v/>
      </c>
      <c r="BE2559">
        <f>IF(IF('01_Вводные'!$B$296="Новый сезон",TRUE,TRUE),'19_Расчет_аналитики'!BE2447*CapacityAge16*'19_Расчет_аналитики'!$F$2235,0)</f>
        <v/>
      </c>
      <c r="BF2559">
        <f>IF(IF('01_Вводные'!$B$296="Новый сезон",TRUE,TRUE),'19_Расчет_аналитики'!BF2447*CapacityAge16*'19_Расчет_аналитики'!$F$2235,0)</f>
        <v/>
      </c>
      <c r="BG2559">
        <f>IF(IF('01_Вводные'!$B$296="Новый сезон",TRUE,TRUE),'19_Расчет_аналитики'!BG2447*CapacityAge16*'19_Расчет_аналитики'!$F$2235,0)</f>
        <v/>
      </c>
      <c r="BH2559">
        <f>IF(IF('01_Вводные'!$B$296="Новый сезон",TRUE,TRUE),'19_Расчет_аналитики'!BH2447*CapacityAge16*'19_Расчет_аналитики'!$F$2235,0)</f>
        <v/>
      </c>
      <c r="BI2559">
        <f>IF(IF('01_Вводные'!$B$296="Новый сезон",TRUE,TRUE),'19_Расчет_аналитики'!BI2447*CapacityAge16*'19_Расчет_аналитики'!$F$2235,0)</f>
        <v/>
      </c>
      <c r="BJ2559">
        <f>IF(IF('01_Вводные'!$B$296="Новый сезон",TRUE,TRUE),'19_Расчет_аналитики'!BJ2447*CapacityAge16*'19_Расчет_аналитики'!$F$2235,0)</f>
        <v/>
      </c>
      <c r="BK2559">
        <f>IF(IF('01_Вводные'!$B$296="Новый сезон",TRUE,TRUE),'19_Расчет_аналитики'!BK2447*CapacityAge16*'19_Расчет_аналитики'!$F$2235,0)</f>
        <v/>
      </c>
      <c r="BL2559">
        <f>IF(IF('01_Вводные'!$B$296="Новый сезон",TRUE,TRUE),'19_Расчет_аналитики'!BL2447*CapacityAge16*'19_Расчет_аналитики'!$F$2235,0)</f>
        <v/>
      </c>
      <c r="BM2559">
        <f>IF(IF('01_Вводные'!$B$296="Новый сезон",TRUE,TRUE),'19_Расчет_аналитики'!BM2447*CapacityAge16*'19_Расчет_аналитики'!$F$2235,0)</f>
        <v/>
      </c>
      <c r="BN2559">
        <f>IF(IF('01_Вводные'!$B$296="Новый сезон",TRUE,TRUE),'19_Расчет_аналитики'!BN2447*CapacityAge16*'19_Расчет_аналитики'!$F$2235,0)</f>
        <v/>
      </c>
      <c r="BO2559">
        <f>IF(IF('01_Вводные'!$B$296="Новый сезон",TRUE,TRUE),'19_Расчет_аналитики'!BO2447*CapacityAge16*'19_Расчет_аналитики'!$F$2235,0)</f>
        <v/>
      </c>
    </row>
    <row r="2560">
      <c r="B2560">
        <f>IF(IF('01_Вводные'!$B$296="Новый сезон",TRUE,TRUE),'06_Сеть_и_дети'!B69*CapacityAge17*'19_Расчет_аналитики'!$F$2235,0)</f>
        <v/>
      </c>
      <c r="C2560">
        <f>IF(IF('01_Вводные'!$B$296="Новый сезон",TRUE,TRUE),'06_Сеть_и_дети'!C69*CapacityAge17*'19_Расчет_аналитики'!$F$2235,0)</f>
        <v/>
      </c>
      <c r="D2560">
        <f>IF(IF('01_Вводные'!$B$296="Новый сезон",TRUE,TRUE),'06_Сеть_и_дети'!D69*CapacityAge17*'19_Расчет_аналитики'!$F$2235,0)</f>
        <v/>
      </c>
      <c r="E2560">
        <f>IF(IF('01_Вводные'!$B$296="Новый сезон",TRUE,TRUE),'06_Сеть_и_дети'!E69*CapacityAge17*'19_Расчет_аналитики'!$F$2235,0)</f>
        <v/>
      </c>
      <c r="F2560">
        <f>IF(IF('01_Вводные'!$B$296="Новый сезон",TRUE,TRUE),'06_Сеть_и_дети'!F69*CapacityAge17*'19_Расчет_аналитики'!$F$2235,0)</f>
        <v/>
      </c>
      <c r="G2560">
        <f>IF(IF('01_Вводные'!$B$296="Новый сезон",TRUE,TRUE),'06_Сеть_и_дети'!G69*CapacityAge17*'19_Расчет_аналитики'!$F$2235,0)</f>
        <v/>
      </c>
      <c r="H2560">
        <f>IF(IF('01_Вводные'!$B$296="Новый сезон",TRUE,TRUE),'06_Сеть_и_дети'!H69*CapacityAge17*'19_Расчет_аналитики'!$F$2235,0)</f>
        <v/>
      </c>
      <c r="I2560">
        <f>IF(IF('01_Вводные'!$B$296="Новый сезон",TRUE,TRUE),'06_Сеть_и_дети'!I69*CapacityAge17*'19_Расчет_аналитики'!$F$2235,0)</f>
        <v/>
      </c>
      <c r="J2560">
        <f>IF(IF('01_Вводные'!$B$296="Новый сезон",TRUE,TRUE),'06_Сеть_и_дети'!J69*CapacityAge17*'19_Расчет_аналитики'!$F$2235,0)</f>
        <v/>
      </c>
      <c r="K2560">
        <f>IF(IF('01_Вводные'!$B$296="Новый сезон",TRUE,TRUE),'06_Сеть_и_дети'!K69*CapacityAge17*'19_Расчет_аналитики'!$F$2235,0)</f>
        <v/>
      </c>
      <c r="L2560">
        <f>IF(IF('01_Вводные'!$B$296="Новый сезон",TRUE,TRUE),'06_Сеть_и_дети'!L69*CapacityAge17*'19_Расчет_аналитики'!$F$2235,0)</f>
        <v/>
      </c>
      <c r="M2560">
        <f>IF(IF('01_Вводные'!$B$296="Новый сезон",TRUE,TRUE),'06_Сеть_и_дети'!M69*CapacityAge17*'19_Расчет_аналитики'!$F$2235,0)</f>
        <v/>
      </c>
      <c r="N2560">
        <f>IF(IF('01_Вводные'!$B$296="Новый сезон",TRUE,TRUE),'06_Сеть_и_дети'!N69*CapacityAge17*'19_Расчет_аналитики'!$F$2235,0)</f>
        <v/>
      </c>
      <c r="O2560">
        <f>IF(IF('01_Вводные'!$B$296="Новый сезон",TRUE,TRUE),'06_Сеть_и_дети'!O69*CapacityAge17*'19_Расчет_аналитики'!$F$2235,0)</f>
        <v/>
      </c>
      <c r="P2560">
        <f>IF(IF('01_Вводные'!$B$296="Новый сезон",TRUE,TRUE),'06_Сеть_и_дети'!P69*CapacityAge17*'19_Расчет_аналитики'!$F$2235,0)</f>
        <v/>
      </c>
      <c r="Q2560">
        <f>IF(IF('01_Вводные'!$B$296="Новый сезон",TRUE,TRUE),'06_Сеть_и_дети'!Q69*CapacityAge17*'19_Расчет_аналитики'!$F$2235,0)</f>
        <v/>
      </c>
      <c r="R2560">
        <f>IF(IF('01_Вводные'!$B$296="Новый сезон",TRUE,TRUE),'19_Расчет_аналитики'!R2448*CapacityAge17*'19_Расчет_аналитики'!$F$2235,0)</f>
        <v/>
      </c>
      <c r="S2560">
        <f>IF(IF('01_Вводные'!$B$296="Новый сезон",TRUE,TRUE),'19_Расчет_аналитики'!S2448*CapacityAge17*'19_Расчет_аналитики'!$F$2235,0)</f>
        <v/>
      </c>
      <c r="T2560">
        <f>IF(IF('01_Вводные'!$B$296="Новый сезон",TRUE,TRUE),'19_Расчет_аналитики'!T2448*CapacityAge17*'19_Расчет_аналитики'!$F$2235,0)</f>
        <v/>
      </c>
      <c r="U2560">
        <f>IF(IF('01_Вводные'!$B$296="Новый сезон",TRUE,TRUE),'19_Расчет_аналитики'!U2448*CapacityAge17*'19_Расчет_аналитики'!$F$2235,0)</f>
        <v/>
      </c>
      <c r="V2560">
        <f>IF(IF('01_Вводные'!$B$296="Новый сезон",TRUE,TRUE),'19_Расчет_аналитики'!V2448*CapacityAge17*'19_Расчет_аналитики'!$F$2235,0)</f>
        <v/>
      </c>
      <c r="W2560">
        <f>IF(IF('01_Вводные'!$B$296="Новый сезон",TRUE,TRUE),'19_Расчет_аналитики'!W2448*CapacityAge17*'19_Расчет_аналитики'!$F$2235,0)</f>
        <v/>
      </c>
      <c r="X2560">
        <f>IF(IF('01_Вводные'!$B$296="Новый сезон",TRUE,TRUE),'19_Расчет_аналитики'!X2448*CapacityAge17*'19_Расчет_аналитики'!$F$2235,0)</f>
        <v/>
      </c>
      <c r="Y2560">
        <f>IF(IF('01_Вводные'!$B$296="Новый сезон",TRUE,TRUE),'19_Расчет_аналитики'!Y2448*CapacityAge17*'19_Расчет_аналитики'!$F$2235,0)</f>
        <v/>
      </c>
      <c r="Z2560">
        <f>IF(IF('01_Вводные'!$B$296="Новый сезон",TRUE,TRUE),'19_Расчет_аналитики'!Z2448*CapacityAge17*'19_Расчет_аналитики'!$F$2235,0)</f>
        <v/>
      </c>
      <c r="AA2560">
        <f>IF(IF('01_Вводные'!$B$296="Новый сезон",TRUE,TRUE),'19_Расчет_аналитики'!AA2448*CapacityAge17*'19_Расчет_аналитики'!$F$2235,0)</f>
        <v/>
      </c>
      <c r="AB2560">
        <f>IF(IF('01_Вводные'!$B$296="Новый сезон",TRUE,TRUE),'19_Расчет_аналитики'!AB2448*CapacityAge17*'19_Расчет_аналитики'!$F$2235,0)</f>
        <v/>
      </c>
      <c r="AC2560">
        <f>IF(IF('01_Вводные'!$B$296="Новый сезон",TRUE,TRUE),'19_Расчет_аналитики'!AC2448*CapacityAge17*'19_Расчет_аналитики'!$F$2235,0)</f>
        <v/>
      </c>
      <c r="AD2560">
        <f>IF(IF('01_Вводные'!$B$296="Новый сезон",TRUE,TRUE),'19_Расчет_аналитики'!AD2448*CapacityAge17*'19_Расчет_аналитики'!$F$2235,0)</f>
        <v/>
      </c>
      <c r="AE2560">
        <f>IF(IF('01_Вводные'!$B$296="Новый сезон",TRUE,TRUE),'19_Расчет_аналитики'!AE2448*CapacityAge17*'19_Расчет_аналитики'!$F$2235,0)</f>
        <v/>
      </c>
      <c r="AF2560">
        <f>IF(IF('01_Вводные'!$B$296="Новый сезон",TRUE,TRUE),'19_Расчет_аналитики'!AF2448*CapacityAge17*'19_Расчет_аналитики'!$F$2235,0)</f>
        <v/>
      </c>
      <c r="AG2560">
        <f>IF(IF('01_Вводные'!$B$296="Новый сезон",TRUE,TRUE),'19_Расчет_аналитики'!AG2448*CapacityAge17*'19_Расчет_аналитики'!$F$2235,0)</f>
        <v/>
      </c>
      <c r="AH2560">
        <f>IF(IF('01_Вводные'!$B$296="Новый сезон",TRUE,TRUE),'19_Расчет_аналитики'!AH2448*CapacityAge17*'19_Расчет_аналитики'!$F$2235,0)</f>
        <v/>
      </c>
      <c r="AI2560">
        <f>IF(IF('01_Вводные'!$B$296="Новый сезон",TRUE,TRUE),'19_Расчет_аналитики'!AI2448*CapacityAge17*'19_Расчет_аналитики'!$F$2235,0)</f>
        <v/>
      </c>
      <c r="AJ2560">
        <f>IF(IF('01_Вводные'!$B$296="Новый сезон",TRUE,TRUE),'19_Расчет_аналитики'!AJ2448*CapacityAge17*'19_Расчет_аналитики'!$F$2235,0)</f>
        <v/>
      </c>
      <c r="AK2560">
        <f>IF(IF('01_Вводные'!$B$296="Новый сезон",TRUE,TRUE),'19_Расчет_аналитики'!AK2448*CapacityAge17*'19_Расчет_аналитики'!$F$2235,0)</f>
        <v/>
      </c>
      <c r="AL2560">
        <f>IF(IF('01_Вводные'!$B$296="Новый сезон",TRUE,TRUE),'19_Расчет_аналитики'!AL2448*CapacityAge17*'19_Расчет_аналитики'!$F$2235,0)</f>
        <v/>
      </c>
      <c r="AM2560">
        <f>IF(IF('01_Вводные'!$B$296="Новый сезон",TRUE,TRUE),'19_Расчет_аналитики'!AM2448*CapacityAge17*'19_Расчет_аналитики'!$F$2235,0)</f>
        <v/>
      </c>
      <c r="AN2560">
        <f>IF(IF('01_Вводные'!$B$296="Новый сезон",TRUE,TRUE),'19_Расчет_аналитики'!AN2448*CapacityAge17*'19_Расчет_аналитики'!$F$2235,0)</f>
        <v/>
      </c>
      <c r="AO2560">
        <f>IF(IF('01_Вводные'!$B$296="Новый сезон",TRUE,TRUE),'19_Расчет_аналитики'!AO2448*CapacityAge17*'19_Расчет_аналитики'!$F$2235,0)</f>
        <v/>
      </c>
      <c r="AP2560">
        <f>IF(IF('01_Вводные'!$B$296="Новый сезон",TRUE,TRUE),'19_Расчет_аналитики'!AP2448*CapacityAge17*'19_Расчет_аналитики'!$F$2235,0)</f>
        <v/>
      </c>
      <c r="AQ2560">
        <f>IF(IF('01_Вводные'!$B$296="Новый сезон",TRUE,TRUE),'19_Расчет_аналитики'!AQ2448*CapacityAge17*'19_Расчет_аналитики'!$F$2235,0)</f>
        <v/>
      </c>
      <c r="AR2560">
        <f>IF(IF('01_Вводные'!$B$296="Новый сезон",TRUE,TRUE),'19_Расчет_аналитики'!AR2448*CapacityAge17*'19_Расчет_аналитики'!$F$2235,0)</f>
        <v/>
      </c>
      <c r="AS2560">
        <f>IF(IF('01_Вводные'!$B$296="Новый сезон",TRUE,TRUE),'19_Расчет_аналитики'!AS2448*CapacityAge17*'19_Расчет_аналитики'!$F$2235,0)</f>
        <v/>
      </c>
      <c r="AT2560">
        <f>IF(IF('01_Вводные'!$B$296="Новый сезон",TRUE,TRUE),'19_Расчет_аналитики'!AT2448*CapacityAge17*'19_Расчет_аналитики'!$F$2235,0)</f>
        <v/>
      </c>
      <c r="AU2560">
        <f>IF(IF('01_Вводные'!$B$296="Новый сезон",TRUE,TRUE),'19_Расчет_аналитики'!AU2448*CapacityAge17*'19_Расчет_аналитики'!$F$2235,0)</f>
        <v/>
      </c>
      <c r="AV2560">
        <f>IF(IF('01_Вводные'!$B$296="Новый сезон",TRUE,TRUE),'19_Расчет_аналитики'!AV2448*CapacityAge17*'19_Расчет_аналитики'!$F$2235,0)</f>
        <v/>
      </c>
      <c r="AW2560">
        <f>IF(IF('01_Вводные'!$B$296="Новый сезон",TRUE,TRUE),'19_Расчет_аналитики'!AW2448*CapacityAge17*'19_Расчет_аналитики'!$F$2235,0)</f>
        <v/>
      </c>
      <c r="AX2560">
        <f>IF(IF('01_Вводные'!$B$296="Новый сезон",TRUE,TRUE),'19_Расчет_аналитики'!AX2448*CapacityAge17*'19_Расчет_аналитики'!$F$2235,0)</f>
        <v/>
      </c>
      <c r="AY2560">
        <f>IF(IF('01_Вводные'!$B$296="Новый сезон",TRUE,TRUE),'19_Расчет_аналитики'!AY2448*CapacityAge17*'19_Расчет_аналитики'!$F$2235,0)</f>
        <v/>
      </c>
      <c r="AZ2560">
        <f>IF(IF('01_Вводные'!$B$296="Новый сезон",TRUE,TRUE),'19_Расчет_аналитики'!AZ2448*CapacityAge17*'19_Расчет_аналитики'!$F$2235,0)</f>
        <v/>
      </c>
      <c r="BA2560">
        <f>IF(IF('01_Вводные'!$B$296="Новый сезон",TRUE,TRUE),'19_Расчет_аналитики'!BA2448*CapacityAge17*'19_Расчет_аналитики'!$F$2235,0)</f>
        <v/>
      </c>
      <c r="BB2560">
        <f>IF(IF('01_Вводные'!$B$296="Новый сезон",TRUE,TRUE),'19_Расчет_аналитики'!BB2448*CapacityAge17*'19_Расчет_аналитики'!$F$2235,0)</f>
        <v/>
      </c>
      <c r="BC2560">
        <f>IF(IF('01_Вводные'!$B$296="Новый сезон",TRUE,TRUE),'19_Расчет_аналитики'!BC2448*CapacityAge17*'19_Расчет_аналитики'!$F$2235,0)</f>
        <v/>
      </c>
      <c r="BD2560">
        <f>IF(IF('01_Вводные'!$B$296="Новый сезон",TRUE,TRUE),'19_Расчет_аналитики'!BD2448*CapacityAge17*'19_Расчет_аналитики'!$F$2235,0)</f>
        <v/>
      </c>
      <c r="BE2560">
        <f>IF(IF('01_Вводные'!$B$296="Новый сезон",TRUE,TRUE),'19_Расчет_аналитики'!BE2448*CapacityAge17*'19_Расчет_аналитики'!$F$2235,0)</f>
        <v/>
      </c>
      <c r="BF2560">
        <f>IF(IF('01_Вводные'!$B$296="Новый сезон",TRUE,TRUE),'19_Расчет_аналитики'!BF2448*CapacityAge17*'19_Расчет_аналитики'!$F$2235,0)</f>
        <v/>
      </c>
      <c r="BG2560">
        <f>IF(IF('01_Вводные'!$B$296="Новый сезон",TRUE,TRUE),'19_Расчет_аналитики'!BG2448*CapacityAge17*'19_Расчет_аналитики'!$F$2235,0)</f>
        <v/>
      </c>
      <c r="BH2560">
        <f>IF(IF('01_Вводные'!$B$296="Новый сезон",TRUE,TRUE),'19_Расчет_аналитики'!BH2448*CapacityAge17*'19_Расчет_аналитики'!$F$2235,0)</f>
        <v/>
      </c>
      <c r="BI2560">
        <f>IF(IF('01_Вводные'!$B$296="Новый сезон",TRUE,TRUE),'19_Расчет_аналитики'!BI2448*CapacityAge17*'19_Расчет_аналитики'!$F$2235,0)</f>
        <v/>
      </c>
      <c r="BJ2560">
        <f>IF(IF('01_Вводные'!$B$296="Новый сезон",TRUE,TRUE),'19_Расчет_аналитики'!BJ2448*CapacityAge17*'19_Расчет_аналитики'!$F$2235,0)</f>
        <v/>
      </c>
      <c r="BK2560">
        <f>IF(IF('01_Вводные'!$B$296="Новый сезон",TRUE,TRUE),'19_Расчет_аналитики'!BK2448*CapacityAge17*'19_Расчет_аналитики'!$F$2235,0)</f>
        <v/>
      </c>
      <c r="BL2560">
        <f>IF(IF('01_Вводные'!$B$296="Новый сезон",TRUE,TRUE),'19_Расчет_аналитики'!BL2448*CapacityAge17*'19_Расчет_аналитики'!$F$2235,0)</f>
        <v/>
      </c>
      <c r="BM2560">
        <f>IF(IF('01_Вводные'!$B$296="Новый сезон",TRUE,TRUE),'19_Расчет_аналитики'!BM2448*CapacityAge17*'19_Расчет_аналитики'!$F$2235,0)</f>
        <v/>
      </c>
      <c r="BN2560">
        <f>IF(IF('01_Вводные'!$B$296="Новый сезон",TRUE,TRUE),'19_Расчет_аналитики'!BN2448*CapacityAge17*'19_Расчет_аналитики'!$F$2235,0)</f>
        <v/>
      </c>
      <c r="BO2560">
        <f>IF(IF('01_Вводные'!$B$296="Новый сезон",TRUE,TRUE),'19_Расчет_аналитики'!BO2448*CapacityAge17*'19_Расчет_аналитики'!$F$2235,0)</f>
        <v/>
      </c>
    </row>
    <row r="2561">
      <c r="B2561">
        <f>IF(IF('01_Вводные'!$B$296="Новый сезон",TRUE,TRUE),'06_Сеть_и_дети'!B70*CapacityAge18*'19_Расчет_аналитики'!$F$2235,0)</f>
        <v/>
      </c>
      <c r="C2561">
        <f>IF(IF('01_Вводные'!$B$296="Новый сезон",TRUE,TRUE),'06_Сеть_и_дети'!C70*CapacityAge18*'19_Расчет_аналитики'!$F$2235,0)</f>
        <v/>
      </c>
      <c r="D2561">
        <f>IF(IF('01_Вводные'!$B$296="Новый сезон",TRUE,TRUE),'06_Сеть_и_дети'!D70*CapacityAge18*'19_Расчет_аналитики'!$F$2235,0)</f>
        <v/>
      </c>
      <c r="E2561">
        <f>IF(IF('01_Вводные'!$B$296="Новый сезон",TRUE,TRUE),'06_Сеть_и_дети'!E70*CapacityAge18*'19_Расчет_аналитики'!$F$2235,0)</f>
        <v/>
      </c>
      <c r="F2561">
        <f>IF(IF('01_Вводные'!$B$296="Новый сезон",TRUE,TRUE),'06_Сеть_и_дети'!F70*CapacityAge18*'19_Расчет_аналитики'!$F$2235,0)</f>
        <v/>
      </c>
      <c r="G2561">
        <f>IF(IF('01_Вводные'!$B$296="Новый сезон",TRUE,TRUE),'06_Сеть_и_дети'!G70*CapacityAge18*'19_Расчет_аналитики'!$F$2235,0)</f>
        <v/>
      </c>
      <c r="H2561">
        <f>IF(IF('01_Вводные'!$B$296="Новый сезон",TRUE,TRUE),'06_Сеть_и_дети'!H70*CapacityAge18*'19_Расчет_аналитики'!$F$2235,0)</f>
        <v/>
      </c>
      <c r="I2561">
        <f>IF(IF('01_Вводные'!$B$296="Новый сезон",TRUE,TRUE),'06_Сеть_и_дети'!I70*CapacityAge18*'19_Расчет_аналитики'!$F$2235,0)</f>
        <v/>
      </c>
      <c r="J2561">
        <f>IF(IF('01_Вводные'!$B$296="Новый сезон",TRUE,TRUE),'06_Сеть_и_дети'!J70*CapacityAge18*'19_Расчет_аналитики'!$F$2235,0)</f>
        <v/>
      </c>
      <c r="K2561">
        <f>IF(IF('01_Вводные'!$B$296="Новый сезон",TRUE,TRUE),'06_Сеть_и_дети'!K70*CapacityAge18*'19_Расчет_аналитики'!$F$2235,0)</f>
        <v/>
      </c>
      <c r="L2561">
        <f>IF(IF('01_Вводные'!$B$296="Новый сезон",TRUE,TRUE),'06_Сеть_и_дети'!L70*CapacityAge18*'19_Расчет_аналитики'!$F$2235,0)</f>
        <v/>
      </c>
      <c r="M2561">
        <f>IF(IF('01_Вводные'!$B$296="Новый сезон",TRUE,TRUE),'06_Сеть_и_дети'!M70*CapacityAge18*'19_Расчет_аналитики'!$F$2235,0)</f>
        <v/>
      </c>
      <c r="N2561">
        <f>IF(IF('01_Вводные'!$B$296="Новый сезон",TRUE,TRUE),'06_Сеть_и_дети'!N70*CapacityAge18*'19_Расчет_аналитики'!$F$2235,0)</f>
        <v/>
      </c>
      <c r="O2561">
        <f>IF(IF('01_Вводные'!$B$296="Новый сезон",TRUE,TRUE),'06_Сеть_и_дети'!O70*CapacityAge18*'19_Расчет_аналитики'!$F$2235,0)</f>
        <v/>
      </c>
      <c r="P2561">
        <f>IF(IF('01_Вводные'!$B$296="Новый сезон",TRUE,TRUE),'06_Сеть_и_дети'!P70*CapacityAge18*'19_Расчет_аналитики'!$F$2235,0)</f>
        <v/>
      </c>
      <c r="Q2561">
        <f>IF(IF('01_Вводные'!$B$296="Новый сезон",TRUE,TRUE),'06_Сеть_и_дети'!Q70*CapacityAge18*'19_Расчет_аналитики'!$F$2235,0)</f>
        <v/>
      </c>
      <c r="R2561">
        <f>IF(IF('01_Вводные'!$B$296="Новый сезон",TRUE,TRUE),'06_Сеть_и_дети'!R70*CapacityAge18*'19_Расчет_аналитики'!$F$2235,0)</f>
        <v/>
      </c>
      <c r="S2561">
        <f>IF(IF('01_Вводные'!$B$296="Новый сезон",TRUE,TRUE),'19_Расчет_аналитики'!S2449*CapacityAge18*'19_Расчет_аналитики'!$F$2235,0)</f>
        <v/>
      </c>
      <c r="T2561">
        <f>IF(IF('01_Вводные'!$B$296="Новый сезон",TRUE,TRUE),'19_Расчет_аналитики'!T2449*CapacityAge18*'19_Расчет_аналитики'!$F$2235,0)</f>
        <v/>
      </c>
      <c r="U2561">
        <f>IF(IF('01_Вводные'!$B$296="Новый сезон",TRUE,TRUE),'19_Расчет_аналитики'!U2449*CapacityAge18*'19_Расчет_аналитики'!$F$2235,0)</f>
        <v/>
      </c>
      <c r="V2561">
        <f>IF(IF('01_Вводные'!$B$296="Новый сезон",TRUE,TRUE),'19_Расчет_аналитики'!V2449*CapacityAge18*'19_Расчет_аналитики'!$F$2235,0)</f>
        <v/>
      </c>
      <c r="W2561">
        <f>IF(IF('01_Вводные'!$B$296="Новый сезон",TRUE,TRUE),'19_Расчет_аналитики'!W2449*CapacityAge18*'19_Расчет_аналитики'!$F$2235,0)</f>
        <v/>
      </c>
      <c r="X2561">
        <f>IF(IF('01_Вводные'!$B$296="Новый сезон",TRUE,TRUE),'19_Расчет_аналитики'!X2449*CapacityAge18*'19_Расчет_аналитики'!$F$2235,0)</f>
        <v/>
      </c>
      <c r="Y2561">
        <f>IF(IF('01_Вводные'!$B$296="Новый сезон",TRUE,TRUE),'19_Расчет_аналитики'!Y2449*CapacityAge18*'19_Расчет_аналитики'!$F$2235,0)</f>
        <v/>
      </c>
      <c r="Z2561">
        <f>IF(IF('01_Вводные'!$B$296="Новый сезон",TRUE,TRUE),'19_Расчет_аналитики'!Z2449*CapacityAge18*'19_Расчет_аналитики'!$F$2235,0)</f>
        <v/>
      </c>
      <c r="AA2561">
        <f>IF(IF('01_Вводные'!$B$296="Новый сезон",TRUE,TRUE),'19_Расчет_аналитики'!AA2449*CapacityAge18*'19_Расчет_аналитики'!$F$2235,0)</f>
        <v/>
      </c>
      <c r="AB2561">
        <f>IF(IF('01_Вводные'!$B$296="Новый сезон",TRUE,TRUE),'19_Расчет_аналитики'!AB2449*CapacityAge18*'19_Расчет_аналитики'!$F$2235,0)</f>
        <v/>
      </c>
      <c r="AC2561">
        <f>IF(IF('01_Вводные'!$B$296="Новый сезон",TRUE,TRUE),'19_Расчет_аналитики'!AC2449*CapacityAge18*'19_Расчет_аналитики'!$F$2235,0)</f>
        <v/>
      </c>
      <c r="AD2561">
        <f>IF(IF('01_Вводные'!$B$296="Новый сезон",TRUE,TRUE),'19_Расчет_аналитики'!AD2449*CapacityAge18*'19_Расчет_аналитики'!$F$2235,0)</f>
        <v/>
      </c>
      <c r="AE2561">
        <f>IF(IF('01_Вводные'!$B$296="Новый сезон",TRUE,TRUE),'19_Расчет_аналитики'!AE2449*CapacityAge18*'19_Расчет_аналитики'!$F$2235,0)</f>
        <v/>
      </c>
      <c r="AF2561">
        <f>IF(IF('01_Вводные'!$B$296="Новый сезон",TRUE,TRUE),'19_Расчет_аналитики'!AF2449*CapacityAge18*'19_Расчет_аналитики'!$F$2235,0)</f>
        <v/>
      </c>
      <c r="AG2561">
        <f>IF(IF('01_Вводные'!$B$296="Новый сезон",TRUE,TRUE),'19_Расчет_аналитики'!AG2449*CapacityAge18*'19_Расчет_аналитики'!$F$2235,0)</f>
        <v/>
      </c>
      <c r="AH2561">
        <f>IF(IF('01_Вводные'!$B$296="Новый сезон",TRUE,TRUE),'19_Расчет_аналитики'!AH2449*CapacityAge18*'19_Расчет_аналитики'!$F$2235,0)</f>
        <v/>
      </c>
      <c r="AI2561">
        <f>IF(IF('01_Вводные'!$B$296="Новый сезон",TRUE,TRUE),'19_Расчет_аналитики'!AI2449*CapacityAge18*'19_Расчет_аналитики'!$F$2235,0)</f>
        <v/>
      </c>
      <c r="AJ2561">
        <f>IF(IF('01_Вводные'!$B$296="Новый сезон",TRUE,TRUE),'19_Расчет_аналитики'!AJ2449*CapacityAge18*'19_Расчет_аналитики'!$F$2235,0)</f>
        <v/>
      </c>
      <c r="AK2561">
        <f>IF(IF('01_Вводные'!$B$296="Новый сезон",TRUE,TRUE),'19_Расчет_аналитики'!AK2449*CapacityAge18*'19_Расчет_аналитики'!$F$2235,0)</f>
        <v/>
      </c>
      <c r="AL2561">
        <f>IF(IF('01_Вводные'!$B$296="Новый сезон",TRUE,TRUE),'19_Расчет_аналитики'!AL2449*CapacityAge18*'19_Расчет_аналитики'!$F$2235,0)</f>
        <v/>
      </c>
      <c r="AM2561">
        <f>IF(IF('01_Вводные'!$B$296="Новый сезон",TRUE,TRUE),'19_Расчет_аналитики'!AM2449*CapacityAge18*'19_Расчет_аналитики'!$F$2235,0)</f>
        <v/>
      </c>
      <c r="AN2561">
        <f>IF(IF('01_Вводные'!$B$296="Новый сезон",TRUE,TRUE),'19_Расчет_аналитики'!AN2449*CapacityAge18*'19_Расчет_аналитики'!$F$2235,0)</f>
        <v/>
      </c>
      <c r="AO2561">
        <f>IF(IF('01_Вводные'!$B$296="Новый сезон",TRUE,TRUE),'19_Расчет_аналитики'!AO2449*CapacityAge18*'19_Расчет_аналитики'!$F$2235,0)</f>
        <v/>
      </c>
      <c r="AP2561">
        <f>IF(IF('01_Вводные'!$B$296="Новый сезон",TRUE,TRUE),'19_Расчет_аналитики'!AP2449*CapacityAge18*'19_Расчет_аналитики'!$F$2235,0)</f>
        <v/>
      </c>
      <c r="AQ2561">
        <f>IF(IF('01_Вводные'!$B$296="Новый сезон",TRUE,TRUE),'19_Расчет_аналитики'!AQ2449*CapacityAge18*'19_Расчет_аналитики'!$F$2235,0)</f>
        <v/>
      </c>
      <c r="AR2561">
        <f>IF(IF('01_Вводные'!$B$296="Новый сезон",TRUE,TRUE),'19_Расчет_аналитики'!AR2449*CapacityAge18*'19_Расчет_аналитики'!$F$2235,0)</f>
        <v/>
      </c>
      <c r="AS2561">
        <f>IF(IF('01_Вводные'!$B$296="Новый сезон",TRUE,TRUE),'19_Расчет_аналитики'!AS2449*CapacityAge18*'19_Расчет_аналитики'!$F$2235,0)</f>
        <v/>
      </c>
      <c r="AT2561">
        <f>IF(IF('01_Вводные'!$B$296="Новый сезон",TRUE,TRUE),'19_Расчет_аналитики'!AT2449*CapacityAge18*'19_Расчет_аналитики'!$F$2235,0)</f>
        <v/>
      </c>
      <c r="AU2561">
        <f>IF(IF('01_Вводные'!$B$296="Новый сезон",TRUE,TRUE),'19_Расчет_аналитики'!AU2449*CapacityAge18*'19_Расчет_аналитики'!$F$2235,0)</f>
        <v/>
      </c>
      <c r="AV2561">
        <f>IF(IF('01_Вводные'!$B$296="Новый сезон",TRUE,TRUE),'19_Расчет_аналитики'!AV2449*CapacityAge18*'19_Расчет_аналитики'!$F$2235,0)</f>
        <v/>
      </c>
      <c r="AW2561">
        <f>IF(IF('01_Вводные'!$B$296="Новый сезон",TRUE,TRUE),'19_Расчет_аналитики'!AW2449*CapacityAge18*'19_Расчет_аналитики'!$F$2235,0)</f>
        <v/>
      </c>
      <c r="AX2561">
        <f>IF(IF('01_Вводные'!$B$296="Новый сезон",TRUE,TRUE),'19_Расчет_аналитики'!AX2449*CapacityAge18*'19_Расчет_аналитики'!$F$2235,0)</f>
        <v/>
      </c>
      <c r="AY2561">
        <f>IF(IF('01_Вводные'!$B$296="Новый сезон",TRUE,TRUE),'19_Расчет_аналитики'!AY2449*CapacityAge18*'19_Расчет_аналитики'!$F$2235,0)</f>
        <v/>
      </c>
      <c r="AZ2561">
        <f>IF(IF('01_Вводные'!$B$296="Новый сезон",TRUE,TRUE),'19_Расчет_аналитики'!AZ2449*CapacityAge18*'19_Расчет_аналитики'!$F$2235,0)</f>
        <v/>
      </c>
      <c r="BA2561">
        <f>IF(IF('01_Вводные'!$B$296="Новый сезон",TRUE,TRUE),'19_Расчет_аналитики'!BA2449*CapacityAge18*'19_Расчет_аналитики'!$F$2235,0)</f>
        <v/>
      </c>
      <c r="BB2561">
        <f>IF(IF('01_Вводные'!$B$296="Новый сезон",TRUE,TRUE),'19_Расчет_аналитики'!BB2449*CapacityAge18*'19_Расчет_аналитики'!$F$2235,0)</f>
        <v/>
      </c>
      <c r="BC2561">
        <f>IF(IF('01_Вводные'!$B$296="Новый сезон",TRUE,TRUE),'19_Расчет_аналитики'!BC2449*CapacityAge18*'19_Расчет_аналитики'!$F$2235,0)</f>
        <v/>
      </c>
      <c r="BD2561">
        <f>IF(IF('01_Вводные'!$B$296="Новый сезон",TRUE,TRUE),'19_Расчет_аналитики'!BD2449*CapacityAge18*'19_Расчет_аналитики'!$F$2235,0)</f>
        <v/>
      </c>
      <c r="BE2561">
        <f>IF(IF('01_Вводные'!$B$296="Новый сезон",TRUE,TRUE),'19_Расчет_аналитики'!BE2449*CapacityAge18*'19_Расчет_аналитики'!$F$2235,0)</f>
        <v/>
      </c>
      <c r="BF2561">
        <f>IF(IF('01_Вводные'!$B$296="Новый сезон",TRUE,TRUE),'19_Расчет_аналитики'!BF2449*CapacityAge18*'19_Расчет_аналитики'!$F$2235,0)</f>
        <v/>
      </c>
      <c r="BG2561">
        <f>IF(IF('01_Вводные'!$B$296="Новый сезон",TRUE,TRUE),'19_Расчет_аналитики'!BG2449*CapacityAge18*'19_Расчет_аналитики'!$F$2235,0)</f>
        <v/>
      </c>
      <c r="BH2561">
        <f>IF(IF('01_Вводные'!$B$296="Новый сезон",TRUE,TRUE),'19_Расчет_аналитики'!BH2449*CapacityAge18*'19_Расчет_аналитики'!$F$2235,0)</f>
        <v/>
      </c>
      <c r="BI2561">
        <f>IF(IF('01_Вводные'!$B$296="Новый сезон",TRUE,TRUE),'19_Расчет_аналитики'!BI2449*CapacityAge18*'19_Расчет_аналитики'!$F$2235,0)</f>
        <v/>
      </c>
      <c r="BJ2561">
        <f>IF(IF('01_Вводные'!$B$296="Новый сезон",TRUE,TRUE),'19_Расчет_аналитики'!BJ2449*CapacityAge18*'19_Расчет_аналитики'!$F$2235,0)</f>
        <v/>
      </c>
      <c r="BK2561">
        <f>IF(IF('01_Вводные'!$B$296="Новый сезон",TRUE,TRUE),'19_Расчет_аналитики'!BK2449*CapacityAge18*'19_Расчет_аналитики'!$F$2235,0)</f>
        <v/>
      </c>
      <c r="BL2561">
        <f>IF(IF('01_Вводные'!$B$296="Новый сезон",TRUE,TRUE),'19_Расчет_аналитики'!BL2449*CapacityAge18*'19_Расчет_аналитики'!$F$2235,0)</f>
        <v/>
      </c>
      <c r="BM2561">
        <f>IF(IF('01_Вводные'!$B$296="Новый сезон",TRUE,TRUE),'19_Расчет_аналитики'!BM2449*CapacityAge18*'19_Расчет_аналитики'!$F$2235,0)</f>
        <v/>
      </c>
      <c r="BN2561">
        <f>IF(IF('01_Вводные'!$B$296="Новый сезон",TRUE,TRUE),'19_Расчет_аналитики'!BN2449*CapacityAge18*'19_Расчет_аналитики'!$F$2235,0)</f>
        <v/>
      </c>
      <c r="BO2561">
        <f>IF(IF('01_Вводные'!$B$296="Новый сезон",TRUE,TRUE),'19_Расчет_аналитики'!BO2449*CapacityAge18*'19_Расчет_аналитики'!$F$2235,0)</f>
        <v/>
      </c>
    </row>
    <row r="2562">
      <c r="B2562">
        <f>IF(IF('01_Вводные'!$B$296="Новый сезон",TRUE,TRUE),'06_Сеть_и_дети'!B71*CapacityAge19*'19_Расчет_аналитики'!$F$2235,0)</f>
        <v/>
      </c>
      <c r="C2562">
        <f>IF(IF('01_Вводные'!$B$296="Новый сезон",TRUE,TRUE),'06_Сеть_и_дети'!C71*CapacityAge19*'19_Расчет_аналитики'!$F$2235,0)</f>
        <v/>
      </c>
      <c r="D2562">
        <f>IF(IF('01_Вводные'!$B$296="Новый сезон",TRUE,TRUE),'06_Сеть_и_дети'!D71*CapacityAge19*'19_Расчет_аналитики'!$F$2235,0)</f>
        <v/>
      </c>
      <c r="E2562">
        <f>IF(IF('01_Вводные'!$B$296="Новый сезон",TRUE,TRUE),'06_Сеть_и_дети'!E71*CapacityAge19*'19_Расчет_аналитики'!$F$2235,0)</f>
        <v/>
      </c>
      <c r="F2562">
        <f>IF(IF('01_Вводные'!$B$296="Новый сезон",TRUE,TRUE),'06_Сеть_и_дети'!F71*CapacityAge19*'19_Расчет_аналитики'!$F$2235,0)</f>
        <v/>
      </c>
      <c r="G2562">
        <f>IF(IF('01_Вводные'!$B$296="Новый сезон",TRUE,TRUE),'06_Сеть_и_дети'!G71*CapacityAge19*'19_Расчет_аналитики'!$F$2235,0)</f>
        <v/>
      </c>
      <c r="H2562">
        <f>IF(IF('01_Вводные'!$B$296="Новый сезон",TRUE,TRUE),'06_Сеть_и_дети'!H71*CapacityAge19*'19_Расчет_аналитики'!$F$2235,0)</f>
        <v/>
      </c>
      <c r="I2562">
        <f>IF(IF('01_Вводные'!$B$296="Новый сезон",TRUE,TRUE),'06_Сеть_и_дети'!I71*CapacityAge19*'19_Расчет_аналитики'!$F$2235,0)</f>
        <v/>
      </c>
      <c r="J2562">
        <f>IF(IF('01_Вводные'!$B$296="Новый сезон",TRUE,TRUE),'06_Сеть_и_дети'!J71*CapacityAge19*'19_Расчет_аналитики'!$F$2235,0)</f>
        <v/>
      </c>
      <c r="K2562">
        <f>IF(IF('01_Вводные'!$B$296="Новый сезон",TRUE,TRUE),'06_Сеть_и_дети'!K71*CapacityAge19*'19_Расчет_аналитики'!$F$2235,0)</f>
        <v/>
      </c>
      <c r="L2562">
        <f>IF(IF('01_Вводные'!$B$296="Новый сезон",TRUE,TRUE),'06_Сеть_и_дети'!L71*CapacityAge19*'19_Расчет_аналитики'!$F$2235,0)</f>
        <v/>
      </c>
      <c r="M2562">
        <f>IF(IF('01_Вводные'!$B$296="Новый сезон",TRUE,TRUE),'06_Сеть_и_дети'!M71*CapacityAge19*'19_Расчет_аналитики'!$F$2235,0)</f>
        <v/>
      </c>
      <c r="N2562">
        <f>IF(IF('01_Вводные'!$B$296="Новый сезон",TRUE,TRUE),'06_Сеть_и_дети'!N71*CapacityAge19*'19_Расчет_аналитики'!$F$2235,0)</f>
        <v/>
      </c>
      <c r="O2562">
        <f>IF(IF('01_Вводные'!$B$296="Новый сезон",TRUE,TRUE),'06_Сеть_и_дети'!O71*CapacityAge19*'19_Расчет_аналитики'!$F$2235,0)</f>
        <v/>
      </c>
      <c r="P2562">
        <f>IF(IF('01_Вводные'!$B$296="Новый сезон",TRUE,TRUE),'06_Сеть_и_дети'!P71*CapacityAge19*'19_Расчет_аналитики'!$F$2235,0)</f>
        <v/>
      </c>
      <c r="Q2562">
        <f>IF(IF('01_Вводные'!$B$296="Новый сезон",TRUE,TRUE),'06_Сеть_и_дети'!Q71*CapacityAge19*'19_Расчет_аналитики'!$F$2235,0)</f>
        <v/>
      </c>
      <c r="R2562">
        <f>IF(IF('01_Вводные'!$B$296="Новый сезон",TRUE,TRUE),'06_Сеть_и_дети'!R71*CapacityAge19*'19_Расчет_аналитики'!$F$2235,0)</f>
        <v/>
      </c>
      <c r="S2562">
        <f>IF(IF('01_Вводные'!$B$296="Новый сезон",TRUE,TRUE),'06_Сеть_и_дети'!S71*CapacityAge19*'19_Расчет_аналитики'!$F$2235,0)</f>
        <v/>
      </c>
      <c r="T2562">
        <f>IF(IF('01_Вводные'!$B$296="Новый сезон",TRUE,TRUE),'19_Расчет_аналитики'!T2450*CapacityAge19*'19_Расчет_аналитики'!$F$2235,0)</f>
        <v/>
      </c>
      <c r="U2562">
        <f>IF(IF('01_Вводные'!$B$296="Новый сезон",TRUE,TRUE),'19_Расчет_аналитики'!U2450*CapacityAge19*'19_Расчет_аналитики'!$F$2235,0)</f>
        <v/>
      </c>
      <c r="V2562">
        <f>IF(IF('01_Вводные'!$B$296="Новый сезон",TRUE,TRUE),'19_Расчет_аналитики'!V2450*CapacityAge19*'19_Расчет_аналитики'!$F$2235,0)</f>
        <v/>
      </c>
      <c r="W2562">
        <f>IF(IF('01_Вводные'!$B$296="Новый сезон",TRUE,TRUE),'19_Расчет_аналитики'!W2450*CapacityAge19*'19_Расчет_аналитики'!$F$2235,0)</f>
        <v/>
      </c>
      <c r="X2562">
        <f>IF(IF('01_Вводные'!$B$296="Новый сезон",TRUE,TRUE),'19_Расчет_аналитики'!X2450*CapacityAge19*'19_Расчет_аналитики'!$F$2235,0)</f>
        <v/>
      </c>
      <c r="Y2562">
        <f>IF(IF('01_Вводные'!$B$296="Новый сезон",TRUE,TRUE),'19_Расчет_аналитики'!Y2450*CapacityAge19*'19_Расчет_аналитики'!$F$2235,0)</f>
        <v/>
      </c>
      <c r="Z2562">
        <f>IF(IF('01_Вводные'!$B$296="Новый сезон",TRUE,TRUE),'19_Расчет_аналитики'!Z2450*CapacityAge19*'19_Расчет_аналитики'!$F$2235,0)</f>
        <v/>
      </c>
      <c r="AA2562">
        <f>IF(IF('01_Вводные'!$B$296="Новый сезон",TRUE,TRUE),'19_Расчет_аналитики'!AA2450*CapacityAge19*'19_Расчет_аналитики'!$F$2235,0)</f>
        <v/>
      </c>
      <c r="AB2562">
        <f>IF(IF('01_Вводные'!$B$296="Новый сезон",TRUE,TRUE),'19_Расчет_аналитики'!AB2450*CapacityAge19*'19_Расчет_аналитики'!$F$2235,0)</f>
        <v/>
      </c>
      <c r="AC2562">
        <f>IF(IF('01_Вводные'!$B$296="Новый сезон",TRUE,TRUE),'19_Расчет_аналитики'!AC2450*CapacityAge19*'19_Расчет_аналитики'!$F$2235,0)</f>
        <v/>
      </c>
      <c r="AD2562">
        <f>IF(IF('01_Вводные'!$B$296="Новый сезон",TRUE,TRUE),'19_Расчет_аналитики'!AD2450*CapacityAge19*'19_Расчет_аналитики'!$F$2235,0)</f>
        <v/>
      </c>
      <c r="AE2562">
        <f>IF(IF('01_Вводные'!$B$296="Новый сезон",TRUE,TRUE),'19_Расчет_аналитики'!AE2450*CapacityAge19*'19_Расчет_аналитики'!$F$2235,0)</f>
        <v/>
      </c>
      <c r="AF2562">
        <f>IF(IF('01_Вводные'!$B$296="Новый сезон",TRUE,TRUE),'19_Расчет_аналитики'!AF2450*CapacityAge19*'19_Расчет_аналитики'!$F$2235,0)</f>
        <v/>
      </c>
      <c r="AG2562">
        <f>IF(IF('01_Вводные'!$B$296="Новый сезон",TRUE,TRUE),'19_Расчет_аналитики'!AG2450*CapacityAge19*'19_Расчет_аналитики'!$F$2235,0)</f>
        <v/>
      </c>
      <c r="AH2562">
        <f>IF(IF('01_Вводные'!$B$296="Новый сезон",TRUE,TRUE),'19_Расчет_аналитики'!AH2450*CapacityAge19*'19_Расчет_аналитики'!$F$2235,0)</f>
        <v/>
      </c>
      <c r="AI2562">
        <f>IF(IF('01_Вводные'!$B$296="Новый сезон",TRUE,TRUE),'19_Расчет_аналитики'!AI2450*CapacityAge19*'19_Расчет_аналитики'!$F$2235,0)</f>
        <v/>
      </c>
      <c r="AJ2562">
        <f>IF(IF('01_Вводные'!$B$296="Новый сезон",TRUE,TRUE),'19_Расчет_аналитики'!AJ2450*CapacityAge19*'19_Расчет_аналитики'!$F$2235,0)</f>
        <v/>
      </c>
      <c r="AK2562">
        <f>IF(IF('01_Вводные'!$B$296="Новый сезон",TRUE,TRUE),'19_Расчет_аналитики'!AK2450*CapacityAge19*'19_Расчет_аналитики'!$F$2235,0)</f>
        <v/>
      </c>
      <c r="AL2562">
        <f>IF(IF('01_Вводные'!$B$296="Новый сезон",TRUE,TRUE),'19_Расчет_аналитики'!AL2450*CapacityAge19*'19_Расчет_аналитики'!$F$2235,0)</f>
        <v/>
      </c>
      <c r="AM2562">
        <f>IF(IF('01_Вводные'!$B$296="Новый сезон",TRUE,TRUE),'19_Расчет_аналитики'!AM2450*CapacityAge19*'19_Расчет_аналитики'!$F$2235,0)</f>
        <v/>
      </c>
      <c r="AN2562">
        <f>IF(IF('01_Вводные'!$B$296="Новый сезон",TRUE,TRUE),'19_Расчет_аналитики'!AN2450*CapacityAge19*'19_Расчет_аналитики'!$F$2235,0)</f>
        <v/>
      </c>
      <c r="AO2562">
        <f>IF(IF('01_Вводные'!$B$296="Новый сезон",TRUE,TRUE),'19_Расчет_аналитики'!AO2450*CapacityAge19*'19_Расчет_аналитики'!$F$2235,0)</f>
        <v/>
      </c>
      <c r="AP2562">
        <f>IF(IF('01_Вводные'!$B$296="Новый сезон",TRUE,TRUE),'19_Расчет_аналитики'!AP2450*CapacityAge19*'19_Расчет_аналитики'!$F$2235,0)</f>
        <v/>
      </c>
      <c r="AQ2562">
        <f>IF(IF('01_Вводные'!$B$296="Новый сезон",TRUE,TRUE),'19_Расчет_аналитики'!AQ2450*CapacityAge19*'19_Расчет_аналитики'!$F$2235,0)</f>
        <v/>
      </c>
      <c r="AR2562">
        <f>IF(IF('01_Вводные'!$B$296="Новый сезон",TRUE,TRUE),'19_Расчет_аналитики'!AR2450*CapacityAge19*'19_Расчет_аналитики'!$F$2235,0)</f>
        <v/>
      </c>
      <c r="AS2562">
        <f>IF(IF('01_Вводные'!$B$296="Новый сезон",TRUE,TRUE),'19_Расчет_аналитики'!AS2450*CapacityAge19*'19_Расчет_аналитики'!$F$2235,0)</f>
        <v/>
      </c>
      <c r="AT2562">
        <f>IF(IF('01_Вводные'!$B$296="Новый сезон",TRUE,TRUE),'19_Расчет_аналитики'!AT2450*CapacityAge19*'19_Расчет_аналитики'!$F$2235,0)</f>
        <v/>
      </c>
      <c r="AU2562">
        <f>IF(IF('01_Вводные'!$B$296="Новый сезон",TRUE,TRUE),'19_Расчет_аналитики'!AU2450*CapacityAge19*'19_Расчет_аналитики'!$F$2235,0)</f>
        <v/>
      </c>
      <c r="AV2562">
        <f>IF(IF('01_Вводные'!$B$296="Новый сезон",TRUE,TRUE),'19_Расчет_аналитики'!AV2450*CapacityAge19*'19_Расчет_аналитики'!$F$2235,0)</f>
        <v/>
      </c>
      <c r="AW2562">
        <f>IF(IF('01_Вводные'!$B$296="Новый сезон",TRUE,TRUE),'19_Расчет_аналитики'!AW2450*CapacityAge19*'19_Расчет_аналитики'!$F$2235,0)</f>
        <v/>
      </c>
      <c r="AX2562">
        <f>IF(IF('01_Вводные'!$B$296="Новый сезон",TRUE,TRUE),'19_Расчет_аналитики'!AX2450*CapacityAge19*'19_Расчет_аналитики'!$F$2235,0)</f>
        <v/>
      </c>
      <c r="AY2562">
        <f>IF(IF('01_Вводные'!$B$296="Новый сезон",TRUE,TRUE),'19_Расчет_аналитики'!AY2450*CapacityAge19*'19_Расчет_аналитики'!$F$2235,0)</f>
        <v/>
      </c>
      <c r="AZ2562">
        <f>IF(IF('01_Вводные'!$B$296="Новый сезон",TRUE,TRUE),'19_Расчет_аналитики'!AZ2450*CapacityAge19*'19_Расчет_аналитики'!$F$2235,0)</f>
        <v/>
      </c>
      <c r="BA2562">
        <f>IF(IF('01_Вводные'!$B$296="Новый сезон",TRUE,TRUE),'19_Расчет_аналитики'!BA2450*CapacityAge19*'19_Расчет_аналитики'!$F$2235,0)</f>
        <v/>
      </c>
      <c r="BB2562">
        <f>IF(IF('01_Вводные'!$B$296="Новый сезон",TRUE,TRUE),'19_Расчет_аналитики'!BB2450*CapacityAge19*'19_Расчет_аналитики'!$F$2235,0)</f>
        <v/>
      </c>
      <c r="BC2562">
        <f>IF(IF('01_Вводные'!$B$296="Новый сезон",TRUE,TRUE),'19_Расчет_аналитики'!BC2450*CapacityAge19*'19_Расчет_аналитики'!$F$2235,0)</f>
        <v/>
      </c>
      <c r="BD2562">
        <f>IF(IF('01_Вводные'!$B$296="Новый сезон",TRUE,TRUE),'19_Расчет_аналитики'!BD2450*CapacityAge19*'19_Расчет_аналитики'!$F$2235,0)</f>
        <v/>
      </c>
      <c r="BE2562">
        <f>IF(IF('01_Вводные'!$B$296="Новый сезон",TRUE,TRUE),'19_Расчет_аналитики'!BE2450*CapacityAge19*'19_Расчет_аналитики'!$F$2235,0)</f>
        <v/>
      </c>
      <c r="BF2562">
        <f>IF(IF('01_Вводные'!$B$296="Новый сезон",TRUE,TRUE),'19_Расчет_аналитики'!BF2450*CapacityAge19*'19_Расчет_аналитики'!$F$2235,0)</f>
        <v/>
      </c>
      <c r="BG2562">
        <f>IF(IF('01_Вводные'!$B$296="Новый сезон",TRUE,TRUE),'19_Расчет_аналитики'!BG2450*CapacityAge19*'19_Расчет_аналитики'!$F$2235,0)</f>
        <v/>
      </c>
      <c r="BH2562">
        <f>IF(IF('01_Вводные'!$B$296="Новый сезон",TRUE,TRUE),'19_Расчет_аналитики'!BH2450*CapacityAge19*'19_Расчет_аналитики'!$F$2235,0)</f>
        <v/>
      </c>
      <c r="BI2562">
        <f>IF(IF('01_Вводные'!$B$296="Новый сезон",TRUE,TRUE),'19_Расчет_аналитики'!BI2450*CapacityAge19*'19_Расчет_аналитики'!$F$2235,0)</f>
        <v/>
      </c>
      <c r="BJ2562">
        <f>IF(IF('01_Вводные'!$B$296="Новый сезон",TRUE,TRUE),'19_Расчет_аналитики'!BJ2450*CapacityAge19*'19_Расчет_аналитики'!$F$2235,0)</f>
        <v/>
      </c>
      <c r="BK2562">
        <f>IF(IF('01_Вводные'!$B$296="Новый сезон",TRUE,TRUE),'19_Расчет_аналитики'!BK2450*CapacityAge19*'19_Расчет_аналитики'!$F$2235,0)</f>
        <v/>
      </c>
      <c r="BL2562">
        <f>IF(IF('01_Вводные'!$B$296="Новый сезон",TRUE,TRUE),'19_Расчет_аналитики'!BL2450*CapacityAge19*'19_Расчет_аналитики'!$F$2235,0)</f>
        <v/>
      </c>
      <c r="BM2562">
        <f>IF(IF('01_Вводные'!$B$296="Новый сезон",TRUE,TRUE),'19_Расчет_аналитики'!BM2450*CapacityAge19*'19_Расчет_аналитики'!$F$2235,0)</f>
        <v/>
      </c>
      <c r="BN2562">
        <f>IF(IF('01_Вводные'!$B$296="Новый сезон",TRUE,TRUE),'19_Расчет_аналитики'!BN2450*CapacityAge19*'19_Расчет_аналитики'!$F$2235,0)</f>
        <v/>
      </c>
      <c r="BO2562">
        <f>IF(IF('01_Вводные'!$B$296="Новый сезон",TRUE,TRUE),'19_Расчет_аналитики'!BO2450*CapacityAge19*'19_Расчет_аналитики'!$F$2235,0)</f>
        <v/>
      </c>
    </row>
    <row r="2563">
      <c r="B2563">
        <f>IF(IF('01_Вводные'!$B$296="Новый сезон",TRUE,TRUE),'06_Сеть_и_дети'!B72*CapacityAge20*'19_Расчет_аналитики'!$F$2235,0)</f>
        <v/>
      </c>
      <c r="C2563">
        <f>IF(IF('01_Вводные'!$B$296="Новый сезон",TRUE,TRUE),'06_Сеть_и_дети'!C72*CapacityAge20*'19_Расчет_аналитики'!$F$2235,0)</f>
        <v/>
      </c>
      <c r="D2563">
        <f>IF(IF('01_Вводные'!$B$296="Новый сезон",TRUE,TRUE),'06_Сеть_и_дети'!D72*CapacityAge20*'19_Расчет_аналитики'!$F$2235,0)</f>
        <v/>
      </c>
      <c r="E2563">
        <f>IF(IF('01_Вводные'!$B$296="Новый сезон",TRUE,TRUE),'06_Сеть_и_дети'!E72*CapacityAge20*'19_Расчет_аналитики'!$F$2235,0)</f>
        <v/>
      </c>
      <c r="F2563">
        <f>IF(IF('01_Вводные'!$B$296="Новый сезон",TRUE,TRUE),'06_Сеть_и_дети'!F72*CapacityAge20*'19_Расчет_аналитики'!$F$2235,0)</f>
        <v/>
      </c>
      <c r="G2563">
        <f>IF(IF('01_Вводные'!$B$296="Новый сезон",TRUE,TRUE),'06_Сеть_и_дети'!G72*CapacityAge20*'19_Расчет_аналитики'!$F$2235,0)</f>
        <v/>
      </c>
      <c r="H2563">
        <f>IF(IF('01_Вводные'!$B$296="Новый сезон",TRUE,TRUE),'06_Сеть_и_дети'!H72*CapacityAge20*'19_Расчет_аналитики'!$F$2235,0)</f>
        <v/>
      </c>
      <c r="I2563">
        <f>IF(IF('01_Вводные'!$B$296="Новый сезон",TRUE,TRUE),'06_Сеть_и_дети'!I72*CapacityAge20*'19_Расчет_аналитики'!$F$2235,0)</f>
        <v/>
      </c>
      <c r="J2563">
        <f>IF(IF('01_Вводные'!$B$296="Новый сезон",TRUE,TRUE),'06_Сеть_и_дети'!J72*CapacityAge20*'19_Расчет_аналитики'!$F$2235,0)</f>
        <v/>
      </c>
      <c r="K2563">
        <f>IF(IF('01_Вводные'!$B$296="Новый сезон",TRUE,TRUE),'06_Сеть_и_дети'!K72*CapacityAge20*'19_Расчет_аналитики'!$F$2235,0)</f>
        <v/>
      </c>
      <c r="L2563">
        <f>IF(IF('01_Вводные'!$B$296="Новый сезон",TRUE,TRUE),'06_Сеть_и_дети'!L72*CapacityAge20*'19_Расчет_аналитики'!$F$2235,0)</f>
        <v/>
      </c>
      <c r="M2563">
        <f>IF(IF('01_Вводные'!$B$296="Новый сезон",TRUE,TRUE),'06_Сеть_и_дети'!M72*CapacityAge20*'19_Расчет_аналитики'!$F$2235,0)</f>
        <v/>
      </c>
      <c r="N2563">
        <f>IF(IF('01_Вводные'!$B$296="Новый сезон",TRUE,TRUE),'06_Сеть_и_дети'!N72*CapacityAge20*'19_Расчет_аналитики'!$F$2235,0)</f>
        <v/>
      </c>
      <c r="O2563">
        <f>IF(IF('01_Вводные'!$B$296="Новый сезон",TRUE,TRUE),'06_Сеть_и_дети'!O72*CapacityAge20*'19_Расчет_аналитики'!$F$2235,0)</f>
        <v/>
      </c>
      <c r="P2563">
        <f>IF(IF('01_Вводные'!$B$296="Новый сезон",TRUE,TRUE),'06_Сеть_и_дети'!P72*CapacityAge20*'19_Расчет_аналитики'!$F$2235,0)</f>
        <v/>
      </c>
      <c r="Q2563">
        <f>IF(IF('01_Вводные'!$B$296="Новый сезон",TRUE,TRUE),'06_Сеть_и_дети'!Q72*CapacityAge20*'19_Расчет_аналитики'!$F$2235,0)</f>
        <v/>
      </c>
      <c r="R2563">
        <f>IF(IF('01_Вводные'!$B$296="Новый сезон",TRUE,TRUE),'06_Сеть_и_дети'!R72*CapacityAge20*'19_Расчет_аналитики'!$F$2235,0)</f>
        <v/>
      </c>
      <c r="S2563">
        <f>IF(IF('01_Вводные'!$B$296="Новый сезон",TRUE,TRUE),'06_Сеть_и_дети'!S72*CapacityAge20*'19_Расчет_аналитики'!$F$2235,0)</f>
        <v/>
      </c>
      <c r="T2563">
        <f>IF(IF('01_Вводные'!$B$296="Новый сезон",TRUE,TRUE),'06_Сеть_и_дети'!T72*CapacityAge20*'19_Расчет_аналитики'!$F$2235,0)</f>
        <v/>
      </c>
      <c r="U2563">
        <f>IF(IF('01_Вводные'!$B$296="Новый сезон",TRUE,TRUE),'19_Расчет_аналитики'!U2451*CapacityAge20*'19_Расчет_аналитики'!$F$2235,0)</f>
        <v/>
      </c>
      <c r="V2563">
        <f>IF(IF('01_Вводные'!$B$296="Новый сезон",TRUE,TRUE),'19_Расчет_аналитики'!V2451*CapacityAge20*'19_Расчет_аналитики'!$F$2235,0)</f>
        <v/>
      </c>
      <c r="W2563">
        <f>IF(IF('01_Вводные'!$B$296="Новый сезон",TRUE,TRUE),'19_Расчет_аналитики'!W2451*CapacityAge20*'19_Расчет_аналитики'!$F$2235,0)</f>
        <v/>
      </c>
      <c r="X2563">
        <f>IF(IF('01_Вводные'!$B$296="Новый сезон",TRUE,TRUE),'19_Расчет_аналитики'!X2451*CapacityAge20*'19_Расчет_аналитики'!$F$2235,0)</f>
        <v/>
      </c>
      <c r="Y2563">
        <f>IF(IF('01_Вводные'!$B$296="Новый сезон",TRUE,TRUE),'19_Расчет_аналитики'!Y2451*CapacityAge20*'19_Расчет_аналитики'!$F$2235,0)</f>
        <v/>
      </c>
      <c r="Z2563">
        <f>IF(IF('01_Вводные'!$B$296="Новый сезон",TRUE,TRUE),'19_Расчет_аналитики'!Z2451*CapacityAge20*'19_Расчет_аналитики'!$F$2235,0)</f>
        <v/>
      </c>
      <c r="AA2563">
        <f>IF(IF('01_Вводные'!$B$296="Новый сезон",TRUE,TRUE),'19_Расчет_аналитики'!AA2451*CapacityAge20*'19_Расчет_аналитики'!$F$2235,0)</f>
        <v/>
      </c>
      <c r="AB2563">
        <f>IF(IF('01_Вводные'!$B$296="Новый сезон",TRUE,TRUE),'19_Расчет_аналитики'!AB2451*CapacityAge20*'19_Расчет_аналитики'!$F$2235,0)</f>
        <v/>
      </c>
      <c r="AC2563">
        <f>IF(IF('01_Вводные'!$B$296="Новый сезон",TRUE,TRUE),'19_Расчет_аналитики'!AC2451*CapacityAge20*'19_Расчет_аналитики'!$F$2235,0)</f>
        <v/>
      </c>
      <c r="AD2563">
        <f>IF(IF('01_Вводные'!$B$296="Новый сезон",TRUE,TRUE),'19_Расчет_аналитики'!AD2451*CapacityAge20*'19_Расчет_аналитики'!$F$2235,0)</f>
        <v/>
      </c>
      <c r="AE2563">
        <f>IF(IF('01_Вводные'!$B$296="Новый сезон",TRUE,TRUE),'19_Расчет_аналитики'!AE2451*CapacityAge20*'19_Расчет_аналитики'!$F$2235,0)</f>
        <v/>
      </c>
      <c r="AF2563">
        <f>IF(IF('01_Вводные'!$B$296="Новый сезон",TRUE,TRUE),'19_Расчет_аналитики'!AF2451*CapacityAge20*'19_Расчет_аналитики'!$F$2235,0)</f>
        <v/>
      </c>
      <c r="AG2563">
        <f>IF(IF('01_Вводные'!$B$296="Новый сезон",TRUE,TRUE),'19_Расчет_аналитики'!AG2451*CapacityAge20*'19_Расчет_аналитики'!$F$2235,0)</f>
        <v/>
      </c>
      <c r="AH2563">
        <f>IF(IF('01_Вводные'!$B$296="Новый сезон",TRUE,TRUE),'19_Расчет_аналитики'!AH2451*CapacityAge20*'19_Расчет_аналитики'!$F$2235,0)</f>
        <v/>
      </c>
      <c r="AI2563">
        <f>IF(IF('01_Вводные'!$B$296="Новый сезон",TRUE,TRUE),'19_Расчет_аналитики'!AI2451*CapacityAge20*'19_Расчет_аналитики'!$F$2235,0)</f>
        <v/>
      </c>
      <c r="AJ2563">
        <f>IF(IF('01_Вводные'!$B$296="Новый сезон",TRUE,TRUE),'19_Расчет_аналитики'!AJ2451*CapacityAge20*'19_Расчет_аналитики'!$F$2235,0)</f>
        <v/>
      </c>
      <c r="AK2563">
        <f>IF(IF('01_Вводные'!$B$296="Новый сезон",TRUE,TRUE),'19_Расчет_аналитики'!AK2451*CapacityAge20*'19_Расчет_аналитики'!$F$2235,0)</f>
        <v/>
      </c>
      <c r="AL2563">
        <f>IF(IF('01_Вводные'!$B$296="Новый сезон",TRUE,TRUE),'19_Расчет_аналитики'!AL2451*CapacityAge20*'19_Расчет_аналитики'!$F$2235,0)</f>
        <v/>
      </c>
      <c r="AM2563">
        <f>IF(IF('01_Вводные'!$B$296="Новый сезон",TRUE,TRUE),'19_Расчет_аналитики'!AM2451*CapacityAge20*'19_Расчет_аналитики'!$F$2235,0)</f>
        <v/>
      </c>
      <c r="AN2563">
        <f>IF(IF('01_Вводные'!$B$296="Новый сезон",TRUE,TRUE),'19_Расчет_аналитики'!AN2451*CapacityAge20*'19_Расчет_аналитики'!$F$2235,0)</f>
        <v/>
      </c>
      <c r="AO2563">
        <f>IF(IF('01_Вводные'!$B$296="Новый сезон",TRUE,TRUE),'19_Расчет_аналитики'!AO2451*CapacityAge20*'19_Расчет_аналитики'!$F$2235,0)</f>
        <v/>
      </c>
      <c r="AP2563">
        <f>IF(IF('01_Вводные'!$B$296="Новый сезон",TRUE,TRUE),'19_Расчет_аналитики'!AP2451*CapacityAge20*'19_Расчет_аналитики'!$F$2235,0)</f>
        <v/>
      </c>
      <c r="AQ2563">
        <f>IF(IF('01_Вводные'!$B$296="Новый сезон",TRUE,TRUE),'19_Расчет_аналитики'!AQ2451*CapacityAge20*'19_Расчет_аналитики'!$F$2235,0)</f>
        <v/>
      </c>
      <c r="AR2563">
        <f>IF(IF('01_Вводные'!$B$296="Новый сезон",TRUE,TRUE),'19_Расчет_аналитики'!AR2451*CapacityAge20*'19_Расчет_аналитики'!$F$2235,0)</f>
        <v/>
      </c>
      <c r="AS2563">
        <f>IF(IF('01_Вводные'!$B$296="Новый сезон",TRUE,TRUE),'19_Расчет_аналитики'!AS2451*CapacityAge20*'19_Расчет_аналитики'!$F$2235,0)</f>
        <v/>
      </c>
      <c r="AT2563">
        <f>IF(IF('01_Вводные'!$B$296="Новый сезон",TRUE,TRUE),'19_Расчет_аналитики'!AT2451*CapacityAge20*'19_Расчет_аналитики'!$F$2235,0)</f>
        <v/>
      </c>
      <c r="AU2563">
        <f>IF(IF('01_Вводные'!$B$296="Новый сезон",TRUE,TRUE),'19_Расчет_аналитики'!AU2451*CapacityAge20*'19_Расчет_аналитики'!$F$2235,0)</f>
        <v/>
      </c>
      <c r="AV2563">
        <f>IF(IF('01_Вводные'!$B$296="Новый сезон",TRUE,TRUE),'19_Расчет_аналитики'!AV2451*CapacityAge20*'19_Расчет_аналитики'!$F$2235,0)</f>
        <v/>
      </c>
      <c r="AW2563">
        <f>IF(IF('01_Вводные'!$B$296="Новый сезон",TRUE,TRUE),'19_Расчет_аналитики'!AW2451*CapacityAge20*'19_Расчет_аналитики'!$F$2235,0)</f>
        <v/>
      </c>
      <c r="AX2563">
        <f>IF(IF('01_Вводные'!$B$296="Новый сезон",TRUE,TRUE),'19_Расчет_аналитики'!AX2451*CapacityAge20*'19_Расчет_аналитики'!$F$2235,0)</f>
        <v/>
      </c>
      <c r="AY2563">
        <f>IF(IF('01_Вводные'!$B$296="Новый сезон",TRUE,TRUE),'19_Расчет_аналитики'!AY2451*CapacityAge20*'19_Расчет_аналитики'!$F$2235,0)</f>
        <v/>
      </c>
      <c r="AZ2563">
        <f>IF(IF('01_Вводные'!$B$296="Новый сезон",TRUE,TRUE),'19_Расчет_аналитики'!AZ2451*CapacityAge20*'19_Расчет_аналитики'!$F$2235,0)</f>
        <v/>
      </c>
      <c r="BA2563">
        <f>IF(IF('01_Вводные'!$B$296="Новый сезон",TRUE,TRUE),'19_Расчет_аналитики'!BA2451*CapacityAge20*'19_Расчет_аналитики'!$F$2235,0)</f>
        <v/>
      </c>
      <c r="BB2563">
        <f>IF(IF('01_Вводные'!$B$296="Новый сезон",TRUE,TRUE),'19_Расчет_аналитики'!BB2451*CapacityAge20*'19_Расчет_аналитики'!$F$2235,0)</f>
        <v/>
      </c>
      <c r="BC2563">
        <f>IF(IF('01_Вводные'!$B$296="Новый сезон",TRUE,TRUE),'19_Расчет_аналитики'!BC2451*CapacityAge20*'19_Расчет_аналитики'!$F$2235,0)</f>
        <v/>
      </c>
      <c r="BD2563">
        <f>IF(IF('01_Вводные'!$B$296="Новый сезон",TRUE,TRUE),'19_Расчет_аналитики'!BD2451*CapacityAge20*'19_Расчет_аналитики'!$F$2235,0)</f>
        <v/>
      </c>
      <c r="BE2563">
        <f>IF(IF('01_Вводные'!$B$296="Новый сезон",TRUE,TRUE),'19_Расчет_аналитики'!BE2451*CapacityAge20*'19_Расчет_аналитики'!$F$2235,0)</f>
        <v/>
      </c>
      <c r="BF2563">
        <f>IF(IF('01_Вводные'!$B$296="Новый сезон",TRUE,TRUE),'19_Расчет_аналитики'!BF2451*CapacityAge20*'19_Расчет_аналитики'!$F$2235,0)</f>
        <v/>
      </c>
      <c r="BG2563">
        <f>IF(IF('01_Вводные'!$B$296="Новый сезон",TRUE,TRUE),'19_Расчет_аналитики'!BG2451*CapacityAge20*'19_Расчет_аналитики'!$F$2235,0)</f>
        <v/>
      </c>
      <c r="BH2563">
        <f>IF(IF('01_Вводные'!$B$296="Новый сезон",TRUE,TRUE),'19_Расчет_аналитики'!BH2451*CapacityAge20*'19_Расчет_аналитики'!$F$2235,0)</f>
        <v/>
      </c>
      <c r="BI2563">
        <f>IF(IF('01_Вводные'!$B$296="Новый сезон",TRUE,TRUE),'19_Расчет_аналитики'!BI2451*CapacityAge20*'19_Расчет_аналитики'!$F$2235,0)</f>
        <v/>
      </c>
      <c r="BJ2563">
        <f>IF(IF('01_Вводные'!$B$296="Новый сезон",TRUE,TRUE),'19_Расчет_аналитики'!BJ2451*CapacityAge20*'19_Расчет_аналитики'!$F$2235,0)</f>
        <v/>
      </c>
      <c r="BK2563">
        <f>IF(IF('01_Вводные'!$B$296="Новый сезон",TRUE,TRUE),'19_Расчет_аналитики'!BK2451*CapacityAge20*'19_Расчет_аналитики'!$F$2235,0)</f>
        <v/>
      </c>
      <c r="BL2563">
        <f>IF(IF('01_Вводные'!$B$296="Новый сезон",TRUE,TRUE),'19_Расчет_аналитики'!BL2451*CapacityAge20*'19_Расчет_аналитики'!$F$2235,0)</f>
        <v/>
      </c>
      <c r="BM2563">
        <f>IF(IF('01_Вводные'!$B$296="Новый сезон",TRUE,TRUE),'19_Расчет_аналитики'!BM2451*CapacityAge20*'19_Расчет_аналитики'!$F$2235,0)</f>
        <v/>
      </c>
      <c r="BN2563">
        <f>IF(IF('01_Вводные'!$B$296="Новый сезон",TRUE,TRUE),'19_Расчет_аналитики'!BN2451*CapacityAge20*'19_Расчет_аналитики'!$F$2235,0)</f>
        <v/>
      </c>
      <c r="BO2563">
        <f>IF(IF('01_Вводные'!$B$296="Новый сезон",TRUE,TRUE),'19_Расчет_аналитики'!BO2451*CapacityAge20*'19_Расчет_аналитики'!$F$2235,0)</f>
        <v/>
      </c>
    </row>
    <row r="2564">
      <c r="B2564">
        <f>IF(IF('01_Вводные'!$B$296="Новый сезон",TRUE,TRUE),'06_Сеть_и_дети'!B73*CapacityAge21*'19_Расчет_аналитики'!$F$2235,0)</f>
        <v/>
      </c>
      <c r="C2564">
        <f>IF(IF('01_Вводные'!$B$296="Новый сезон",TRUE,TRUE),'06_Сеть_и_дети'!C73*CapacityAge21*'19_Расчет_аналитики'!$F$2235,0)</f>
        <v/>
      </c>
      <c r="D2564">
        <f>IF(IF('01_Вводные'!$B$296="Новый сезон",TRUE,TRUE),'06_Сеть_и_дети'!D73*CapacityAge21*'19_Расчет_аналитики'!$F$2235,0)</f>
        <v/>
      </c>
      <c r="E2564">
        <f>IF(IF('01_Вводные'!$B$296="Новый сезон",TRUE,TRUE),'06_Сеть_и_дети'!E73*CapacityAge21*'19_Расчет_аналитики'!$F$2235,0)</f>
        <v/>
      </c>
      <c r="F2564">
        <f>IF(IF('01_Вводные'!$B$296="Новый сезон",TRUE,TRUE),'06_Сеть_и_дети'!F73*CapacityAge21*'19_Расчет_аналитики'!$F$2235,0)</f>
        <v/>
      </c>
      <c r="G2564">
        <f>IF(IF('01_Вводные'!$B$296="Новый сезон",TRUE,TRUE),'06_Сеть_и_дети'!G73*CapacityAge21*'19_Расчет_аналитики'!$F$2235,0)</f>
        <v/>
      </c>
      <c r="H2564">
        <f>IF(IF('01_Вводные'!$B$296="Новый сезон",TRUE,TRUE),'06_Сеть_и_дети'!H73*CapacityAge21*'19_Расчет_аналитики'!$F$2235,0)</f>
        <v/>
      </c>
      <c r="I2564">
        <f>IF(IF('01_Вводные'!$B$296="Новый сезон",TRUE,TRUE),'06_Сеть_и_дети'!I73*CapacityAge21*'19_Расчет_аналитики'!$F$2235,0)</f>
        <v/>
      </c>
      <c r="J2564">
        <f>IF(IF('01_Вводные'!$B$296="Новый сезон",TRUE,TRUE),'06_Сеть_и_дети'!J73*CapacityAge21*'19_Расчет_аналитики'!$F$2235,0)</f>
        <v/>
      </c>
      <c r="K2564">
        <f>IF(IF('01_Вводные'!$B$296="Новый сезон",TRUE,TRUE),'06_Сеть_и_дети'!K73*CapacityAge21*'19_Расчет_аналитики'!$F$2235,0)</f>
        <v/>
      </c>
      <c r="L2564">
        <f>IF(IF('01_Вводные'!$B$296="Новый сезон",TRUE,TRUE),'06_Сеть_и_дети'!L73*CapacityAge21*'19_Расчет_аналитики'!$F$2235,0)</f>
        <v/>
      </c>
      <c r="M2564">
        <f>IF(IF('01_Вводные'!$B$296="Новый сезон",TRUE,TRUE),'06_Сеть_и_дети'!M73*CapacityAge21*'19_Расчет_аналитики'!$F$2235,0)</f>
        <v/>
      </c>
      <c r="N2564">
        <f>IF(IF('01_Вводные'!$B$296="Новый сезон",TRUE,TRUE),'06_Сеть_и_дети'!N73*CapacityAge21*'19_Расчет_аналитики'!$F$2235,0)</f>
        <v/>
      </c>
      <c r="O2564">
        <f>IF(IF('01_Вводные'!$B$296="Новый сезон",TRUE,TRUE),'06_Сеть_и_дети'!O73*CapacityAge21*'19_Расчет_аналитики'!$F$2235,0)</f>
        <v/>
      </c>
      <c r="P2564">
        <f>IF(IF('01_Вводные'!$B$296="Новый сезон",TRUE,TRUE),'06_Сеть_и_дети'!P73*CapacityAge21*'19_Расчет_аналитики'!$F$2235,0)</f>
        <v/>
      </c>
      <c r="Q2564">
        <f>IF(IF('01_Вводные'!$B$296="Новый сезон",TRUE,TRUE),'06_Сеть_и_дети'!Q73*CapacityAge21*'19_Расчет_аналитики'!$F$2235,0)</f>
        <v/>
      </c>
      <c r="R2564">
        <f>IF(IF('01_Вводные'!$B$296="Новый сезон",TRUE,TRUE),'06_Сеть_и_дети'!R73*CapacityAge21*'19_Расчет_аналитики'!$F$2235,0)</f>
        <v/>
      </c>
      <c r="S2564">
        <f>IF(IF('01_Вводные'!$B$296="Новый сезон",TRUE,TRUE),'06_Сеть_и_дети'!S73*CapacityAge21*'19_Расчет_аналитики'!$F$2235,0)</f>
        <v/>
      </c>
      <c r="T2564">
        <f>IF(IF('01_Вводные'!$B$296="Новый сезон",TRUE,TRUE),'06_Сеть_и_дети'!T73*CapacityAge21*'19_Расчет_аналитики'!$F$2235,0)</f>
        <v/>
      </c>
      <c r="U2564">
        <f>IF(IF('01_Вводные'!$B$296="Новый сезон",TRUE,TRUE),'06_Сеть_и_дети'!U73*CapacityAge21*'19_Расчет_аналитики'!$F$2235,0)</f>
        <v/>
      </c>
      <c r="V2564">
        <f>IF(IF('01_Вводные'!$B$296="Новый сезон",TRUE,TRUE),'19_Расчет_аналитики'!V2452*CapacityAge21*'19_Расчет_аналитики'!$F$2235,0)</f>
        <v/>
      </c>
      <c r="W2564">
        <f>IF(IF('01_Вводные'!$B$296="Новый сезон",TRUE,TRUE),'19_Расчет_аналитики'!W2452*CapacityAge21*'19_Расчет_аналитики'!$F$2235,0)</f>
        <v/>
      </c>
      <c r="X2564">
        <f>IF(IF('01_Вводные'!$B$296="Новый сезон",TRUE,TRUE),'19_Расчет_аналитики'!X2452*CapacityAge21*'19_Расчет_аналитики'!$F$2235,0)</f>
        <v/>
      </c>
      <c r="Y2564">
        <f>IF(IF('01_Вводные'!$B$296="Новый сезон",TRUE,TRUE),'19_Расчет_аналитики'!Y2452*CapacityAge21*'19_Расчет_аналитики'!$F$2235,0)</f>
        <v/>
      </c>
      <c r="Z2564">
        <f>IF(IF('01_Вводные'!$B$296="Новый сезон",TRUE,TRUE),'19_Расчет_аналитики'!Z2452*CapacityAge21*'19_Расчет_аналитики'!$F$2235,0)</f>
        <v/>
      </c>
      <c r="AA2564">
        <f>IF(IF('01_Вводные'!$B$296="Новый сезон",TRUE,TRUE),'19_Расчет_аналитики'!AA2452*CapacityAge21*'19_Расчет_аналитики'!$F$2235,0)</f>
        <v/>
      </c>
      <c r="AB2564">
        <f>IF(IF('01_Вводные'!$B$296="Новый сезон",TRUE,TRUE),'19_Расчет_аналитики'!AB2452*CapacityAge21*'19_Расчет_аналитики'!$F$2235,0)</f>
        <v/>
      </c>
      <c r="AC2564">
        <f>IF(IF('01_Вводные'!$B$296="Новый сезон",TRUE,TRUE),'19_Расчет_аналитики'!AC2452*CapacityAge21*'19_Расчет_аналитики'!$F$2235,0)</f>
        <v/>
      </c>
      <c r="AD2564">
        <f>IF(IF('01_Вводные'!$B$296="Новый сезон",TRUE,TRUE),'19_Расчет_аналитики'!AD2452*CapacityAge21*'19_Расчет_аналитики'!$F$2235,0)</f>
        <v/>
      </c>
      <c r="AE2564">
        <f>IF(IF('01_Вводные'!$B$296="Новый сезон",TRUE,TRUE),'19_Расчет_аналитики'!AE2452*CapacityAge21*'19_Расчет_аналитики'!$F$2235,0)</f>
        <v/>
      </c>
      <c r="AF2564">
        <f>IF(IF('01_Вводные'!$B$296="Новый сезон",TRUE,TRUE),'19_Расчет_аналитики'!AF2452*CapacityAge21*'19_Расчет_аналитики'!$F$2235,0)</f>
        <v/>
      </c>
      <c r="AG2564">
        <f>IF(IF('01_Вводные'!$B$296="Новый сезон",TRUE,TRUE),'19_Расчет_аналитики'!AG2452*CapacityAge21*'19_Расчет_аналитики'!$F$2235,0)</f>
        <v/>
      </c>
      <c r="AH2564">
        <f>IF(IF('01_Вводные'!$B$296="Новый сезон",TRUE,TRUE),'19_Расчет_аналитики'!AH2452*CapacityAge21*'19_Расчет_аналитики'!$F$2235,0)</f>
        <v/>
      </c>
      <c r="AI2564">
        <f>IF(IF('01_Вводные'!$B$296="Новый сезон",TRUE,TRUE),'19_Расчет_аналитики'!AI2452*CapacityAge21*'19_Расчет_аналитики'!$F$2235,0)</f>
        <v/>
      </c>
      <c r="AJ2564">
        <f>IF(IF('01_Вводные'!$B$296="Новый сезон",TRUE,TRUE),'19_Расчет_аналитики'!AJ2452*CapacityAge21*'19_Расчет_аналитики'!$F$2235,0)</f>
        <v/>
      </c>
      <c r="AK2564">
        <f>IF(IF('01_Вводные'!$B$296="Новый сезон",TRUE,TRUE),'19_Расчет_аналитики'!AK2452*CapacityAge21*'19_Расчет_аналитики'!$F$2235,0)</f>
        <v/>
      </c>
      <c r="AL2564">
        <f>IF(IF('01_Вводные'!$B$296="Новый сезон",TRUE,TRUE),'19_Расчет_аналитики'!AL2452*CapacityAge21*'19_Расчет_аналитики'!$F$2235,0)</f>
        <v/>
      </c>
      <c r="AM2564">
        <f>IF(IF('01_Вводные'!$B$296="Новый сезон",TRUE,TRUE),'19_Расчет_аналитики'!AM2452*CapacityAge21*'19_Расчет_аналитики'!$F$2235,0)</f>
        <v/>
      </c>
      <c r="AN2564">
        <f>IF(IF('01_Вводные'!$B$296="Новый сезон",TRUE,TRUE),'19_Расчет_аналитики'!AN2452*CapacityAge21*'19_Расчет_аналитики'!$F$2235,0)</f>
        <v/>
      </c>
      <c r="AO2564">
        <f>IF(IF('01_Вводные'!$B$296="Новый сезон",TRUE,TRUE),'19_Расчет_аналитики'!AO2452*CapacityAge21*'19_Расчет_аналитики'!$F$2235,0)</f>
        <v/>
      </c>
      <c r="AP2564">
        <f>IF(IF('01_Вводные'!$B$296="Новый сезон",TRUE,TRUE),'19_Расчет_аналитики'!AP2452*CapacityAge21*'19_Расчет_аналитики'!$F$2235,0)</f>
        <v/>
      </c>
      <c r="AQ2564">
        <f>IF(IF('01_Вводные'!$B$296="Новый сезон",TRUE,TRUE),'19_Расчет_аналитики'!AQ2452*CapacityAge21*'19_Расчет_аналитики'!$F$2235,0)</f>
        <v/>
      </c>
      <c r="AR2564">
        <f>IF(IF('01_Вводные'!$B$296="Новый сезон",TRUE,TRUE),'19_Расчет_аналитики'!AR2452*CapacityAge21*'19_Расчет_аналитики'!$F$2235,0)</f>
        <v/>
      </c>
      <c r="AS2564">
        <f>IF(IF('01_Вводные'!$B$296="Новый сезон",TRUE,TRUE),'19_Расчет_аналитики'!AS2452*CapacityAge21*'19_Расчет_аналитики'!$F$2235,0)</f>
        <v/>
      </c>
      <c r="AT2564">
        <f>IF(IF('01_Вводные'!$B$296="Новый сезон",TRUE,TRUE),'19_Расчет_аналитики'!AT2452*CapacityAge21*'19_Расчет_аналитики'!$F$2235,0)</f>
        <v/>
      </c>
      <c r="AU2564">
        <f>IF(IF('01_Вводные'!$B$296="Новый сезон",TRUE,TRUE),'19_Расчет_аналитики'!AU2452*CapacityAge21*'19_Расчет_аналитики'!$F$2235,0)</f>
        <v/>
      </c>
      <c r="AV2564">
        <f>IF(IF('01_Вводные'!$B$296="Новый сезон",TRUE,TRUE),'19_Расчет_аналитики'!AV2452*CapacityAge21*'19_Расчет_аналитики'!$F$2235,0)</f>
        <v/>
      </c>
      <c r="AW2564">
        <f>IF(IF('01_Вводные'!$B$296="Новый сезон",TRUE,TRUE),'19_Расчет_аналитики'!AW2452*CapacityAge21*'19_Расчет_аналитики'!$F$2235,0)</f>
        <v/>
      </c>
      <c r="AX2564">
        <f>IF(IF('01_Вводные'!$B$296="Новый сезон",TRUE,TRUE),'19_Расчет_аналитики'!AX2452*CapacityAge21*'19_Расчет_аналитики'!$F$2235,0)</f>
        <v/>
      </c>
      <c r="AY2564">
        <f>IF(IF('01_Вводные'!$B$296="Новый сезон",TRUE,TRUE),'19_Расчет_аналитики'!AY2452*CapacityAge21*'19_Расчет_аналитики'!$F$2235,0)</f>
        <v/>
      </c>
      <c r="AZ2564">
        <f>IF(IF('01_Вводные'!$B$296="Новый сезон",TRUE,TRUE),'19_Расчет_аналитики'!AZ2452*CapacityAge21*'19_Расчет_аналитики'!$F$2235,0)</f>
        <v/>
      </c>
      <c r="BA2564">
        <f>IF(IF('01_Вводные'!$B$296="Новый сезон",TRUE,TRUE),'19_Расчет_аналитики'!BA2452*CapacityAge21*'19_Расчет_аналитики'!$F$2235,0)</f>
        <v/>
      </c>
      <c r="BB2564">
        <f>IF(IF('01_Вводные'!$B$296="Новый сезон",TRUE,TRUE),'19_Расчет_аналитики'!BB2452*CapacityAge21*'19_Расчет_аналитики'!$F$2235,0)</f>
        <v/>
      </c>
      <c r="BC2564">
        <f>IF(IF('01_Вводные'!$B$296="Новый сезон",TRUE,TRUE),'19_Расчет_аналитики'!BC2452*CapacityAge21*'19_Расчет_аналитики'!$F$2235,0)</f>
        <v/>
      </c>
      <c r="BD2564">
        <f>IF(IF('01_Вводные'!$B$296="Новый сезон",TRUE,TRUE),'19_Расчет_аналитики'!BD2452*CapacityAge21*'19_Расчет_аналитики'!$F$2235,0)</f>
        <v/>
      </c>
      <c r="BE2564">
        <f>IF(IF('01_Вводные'!$B$296="Новый сезон",TRUE,TRUE),'19_Расчет_аналитики'!BE2452*CapacityAge21*'19_Расчет_аналитики'!$F$2235,0)</f>
        <v/>
      </c>
      <c r="BF2564">
        <f>IF(IF('01_Вводные'!$B$296="Новый сезон",TRUE,TRUE),'19_Расчет_аналитики'!BF2452*CapacityAge21*'19_Расчет_аналитики'!$F$2235,0)</f>
        <v/>
      </c>
      <c r="BG2564">
        <f>IF(IF('01_Вводные'!$B$296="Новый сезон",TRUE,TRUE),'19_Расчет_аналитики'!BG2452*CapacityAge21*'19_Расчет_аналитики'!$F$2235,0)</f>
        <v/>
      </c>
      <c r="BH2564">
        <f>IF(IF('01_Вводные'!$B$296="Новый сезон",TRUE,TRUE),'19_Расчет_аналитики'!BH2452*CapacityAge21*'19_Расчет_аналитики'!$F$2235,0)</f>
        <v/>
      </c>
      <c r="BI2564">
        <f>IF(IF('01_Вводные'!$B$296="Новый сезон",TRUE,TRUE),'19_Расчет_аналитики'!BI2452*CapacityAge21*'19_Расчет_аналитики'!$F$2235,0)</f>
        <v/>
      </c>
      <c r="BJ2564">
        <f>IF(IF('01_Вводные'!$B$296="Новый сезон",TRUE,TRUE),'19_Расчет_аналитики'!BJ2452*CapacityAge21*'19_Расчет_аналитики'!$F$2235,0)</f>
        <v/>
      </c>
      <c r="BK2564">
        <f>IF(IF('01_Вводные'!$B$296="Новый сезон",TRUE,TRUE),'19_Расчет_аналитики'!BK2452*CapacityAge21*'19_Расчет_аналитики'!$F$2235,0)</f>
        <v/>
      </c>
      <c r="BL2564">
        <f>IF(IF('01_Вводные'!$B$296="Новый сезон",TRUE,TRUE),'19_Расчет_аналитики'!BL2452*CapacityAge21*'19_Расчет_аналитики'!$F$2235,0)</f>
        <v/>
      </c>
      <c r="BM2564">
        <f>IF(IF('01_Вводные'!$B$296="Новый сезон",TRUE,TRUE),'19_Расчет_аналитики'!BM2452*CapacityAge21*'19_Расчет_аналитики'!$F$2235,0)</f>
        <v/>
      </c>
      <c r="BN2564">
        <f>IF(IF('01_Вводные'!$B$296="Новый сезон",TRUE,TRUE),'19_Расчет_аналитики'!BN2452*CapacityAge21*'19_Расчет_аналитики'!$F$2235,0)</f>
        <v/>
      </c>
      <c r="BO2564">
        <f>IF(IF('01_Вводные'!$B$296="Новый сезон",TRUE,TRUE),'19_Расчет_аналитики'!BO2452*CapacityAge21*'19_Расчет_аналитики'!$F$2235,0)</f>
        <v/>
      </c>
    </row>
    <row r="2565">
      <c r="B2565">
        <f>IF(IF('01_Вводные'!$B$296="Новый сезон",TRUE,TRUE),'06_Сеть_и_дети'!B74*CapacityAge22*'19_Расчет_аналитики'!$F$2235,0)</f>
        <v/>
      </c>
      <c r="C2565">
        <f>IF(IF('01_Вводные'!$B$296="Новый сезон",TRUE,TRUE),'06_Сеть_и_дети'!C74*CapacityAge22*'19_Расчет_аналитики'!$F$2235,0)</f>
        <v/>
      </c>
      <c r="D2565">
        <f>IF(IF('01_Вводные'!$B$296="Новый сезон",TRUE,TRUE),'06_Сеть_и_дети'!D74*CapacityAge22*'19_Расчет_аналитики'!$F$2235,0)</f>
        <v/>
      </c>
      <c r="E2565">
        <f>IF(IF('01_Вводные'!$B$296="Новый сезон",TRUE,TRUE),'06_Сеть_и_дети'!E74*CapacityAge22*'19_Расчет_аналитики'!$F$2235,0)</f>
        <v/>
      </c>
      <c r="F2565">
        <f>IF(IF('01_Вводные'!$B$296="Новый сезон",TRUE,TRUE),'06_Сеть_и_дети'!F74*CapacityAge22*'19_Расчет_аналитики'!$F$2235,0)</f>
        <v/>
      </c>
      <c r="G2565">
        <f>IF(IF('01_Вводные'!$B$296="Новый сезон",TRUE,TRUE),'06_Сеть_и_дети'!G74*CapacityAge22*'19_Расчет_аналитики'!$F$2235,0)</f>
        <v/>
      </c>
      <c r="H2565">
        <f>IF(IF('01_Вводные'!$B$296="Новый сезон",TRUE,TRUE),'06_Сеть_и_дети'!H74*CapacityAge22*'19_Расчет_аналитики'!$F$2235,0)</f>
        <v/>
      </c>
      <c r="I2565">
        <f>IF(IF('01_Вводные'!$B$296="Новый сезон",TRUE,TRUE),'06_Сеть_и_дети'!I74*CapacityAge22*'19_Расчет_аналитики'!$F$2235,0)</f>
        <v/>
      </c>
      <c r="J2565">
        <f>IF(IF('01_Вводные'!$B$296="Новый сезон",TRUE,TRUE),'06_Сеть_и_дети'!J74*CapacityAge22*'19_Расчет_аналитики'!$F$2235,0)</f>
        <v/>
      </c>
      <c r="K2565">
        <f>IF(IF('01_Вводные'!$B$296="Новый сезон",TRUE,TRUE),'06_Сеть_и_дети'!K74*CapacityAge22*'19_Расчет_аналитики'!$F$2235,0)</f>
        <v/>
      </c>
      <c r="L2565">
        <f>IF(IF('01_Вводные'!$B$296="Новый сезон",TRUE,TRUE),'06_Сеть_и_дети'!L74*CapacityAge22*'19_Расчет_аналитики'!$F$2235,0)</f>
        <v/>
      </c>
      <c r="M2565">
        <f>IF(IF('01_Вводные'!$B$296="Новый сезон",TRUE,TRUE),'06_Сеть_и_дети'!M74*CapacityAge22*'19_Расчет_аналитики'!$F$2235,0)</f>
        <v/>
      </c>
      <c r="N2565">
        <f>IF(IF('01_Вводные'!$B$296="Новый сезон",TRUE,TRUE),'06_Сеть_и_дети'!N74*CapacityAge22*'19_Расчет_аналитики'!$F$2235,0)</f>
        <v/>
      </c>
      <c r="O2565">
        <f>IF(IF('01_Вводные'!$B$296="Новый сезон",TRUE,TRUE),'06_Сеть_и_дети'!O74*CapacityAge22*'19_Расчет_аналитики'!$F$2235,0)</f>
        <v/>
      </c>
      <c r="P2565">
        <f>IF(IF('01_Вводные'!$B$296="Новый сезон",TRUE,TRUE),'06_Сеть_и_дети'!P74*CapacityAge22*'19_Расчет_аналитики'!$F$2235,0)</f>
        <v/>
      </c>
      <c r="Q2565">
        <f>IF(IF('01_Вводные'!$B$296="Новый сезон",TRUE,TRUE),'06_Сеть_и_дети'!Q74*CapacityAge22*'19_Расчет_аналитики'!$F$2235,0)</f>
        <v/>
      </c>
      <c r="R2565">
        <f>IF(IF('01_Вводные'!$B$296="Новый сезон",TRUE,TRUE),'06_Сеть_и_дети'!R74*CapacityAge22*'19_Расчет_аналитики'!$F$2235,0)</f>
        <v/>
      </c>
      <c r="S2565">
        <f>IF(IF('01_Вводные'!$B$296="Новый сезон",TRUE,TRUE),'06_Сеть_и_дети'!S74*CapacityAge22*'19_Расчет_аналитики'!$F$2235,0)</f>
        <v/>
      </c>
      <c r="T2565">
        <f>IF(IF('01_Вводные'!$B$296="Новый сезон",TRUE,TRUE),'06_Сеть_и_дети'!T74*CapacityAge22*'19_Расчет_аналитики'!$F$2235,0)</f>
        <v/>
      </c>
      <c r="U2565">
        <f>IF(IF('01_Вводные'!$B$296="Новый сезон",TRUE,TRUE),'06_Сеть_и_дети'!U74*CapacityAge22*'19_Расчет_аналитики'!$F$2235,0)</f>
        <v/>
      </c>
      <c r="V2565">
        <f>IF(IF('01_Вводные'!$B$296="Новый сезон",TRUE,TRUE),'06_Сеть_и_дети'!V74*CapacityAge22*'19_Расчет_аналитики'!$F$2235,0)</f>
        <v/>
      </c>
      <c r="W2565">
        <f>IF(IF('01_Вводные'!$B$296="Новый сезон",TRUE,TRUE),'19_Расчет_аналитики'!W2453*CapacityAge22*'19_Расчет_аналитики'!$F$2235,0)</f>
        <v/>
      </c>
      <c r="X2565">
        <f>IF(IF('01_Вводные'!$B$296="Новый сезон",TRUE,TRUE),'19_Расчет_аналитики'!X2453*CapacityAge22*'19_Расчет_аналитики'!$F$2235,0)</f>
        <v/>
      </c>
      <c r="Y2565">
        <f>IF(IF('01_Вводные'!$B$296="Новый сезон",TRUE,TRUE),'19_Расчет_аналитики'!Y2453*CapacityAge22*'19_Расчет_аналитики'!$F$2235,0)</f>
        <v/>
      </c>
      <c r="Z2565">
        <f>IF(IF('01_Вводные'!$B$296="Новый сезон",TRUE,TRUE),'19_Расчет_аналитики'!Z2453*CapacityAge22*'19_Расчет_аналитики'!$F$2235,0)</f>
        <v/>
      </c>
      <c r="AA2565">
        <f>IF(IF('01_Вводные'!$B$296="Новый сезон",TRUE,TRUE),'19_Расчет_аналитики'!AA2453*CapacityAge22*'19_Расчет_аналитики'!$F$2235,0)</f>
        <v/>
      </c>
      <c r="AB2565">
        <f>IF(IF('01_Вводные'!$B$296="Новый сезон",TRUE,TRUE),'19_Расчет_аналитики'!AB2453*CapacityAge22*'19_Расчет_аналитики'!$F$2235,0)</f>
        <v/>
      </c>
      <c r="AC2565">
        <f>IF(IF('01_Вводные'!$B$296="Новый сезон",TRUE,TRUE),'19_Расчет_аналитики'!AC2453*CapacityAge22*'19_Расчет_аналитики'!$F$2235,0)</f>
        <v/>
      </c>
      <c r="AD2565">
        <f>IF(IF('01_Вводные'!$B$296="Новый сезон",TRUE,TRUE),'19_Расчет_аналитики'!AD2453*CapacityAge22*'19_Расчет_аналитики'!$F$2235,0)</f>
        <v/>
      </c>
      <c r="AE2565">
        <f>IF(IF('01_Вводные'!$B$296="Новый сезон",TRUE,TRUE),'19_Расчет_аналитики'!AE2453*CapacityAge22*'19_Расчет_аналитики'!$F$2235,0)</f>
        <v/>
      </c>
      <c r="AF2565">
        <f>IF(IF('01_Вводные'!$B$296="Новый сезон",TRUE,TRUE),'19_Расчет_аналитики'!AF2453*CapacityAge22*'19_Расчет_аналитики'!$F$2235,0)</f>
        <v/>
      </c>
      <c r="AG2565">
        <f>IF(IF('01_Вводные'!$B$296="Новый сезон",TRUE,TRUE),'19_Расчет_аналитики'!AG2453*CapacityAge22*'19_Расчет_аналитики'!$F$2235,0)</f>
        <v/>
      </c>
      <c r="AH2565">
        <f>IF(IF('01_Вводные'!$B$296="Новый сезон",TRUE,TRUE),'19_Расчет_аналитики'!AH2453*CapacityAge22*'19_Расчет_аналитики'!$F$2235,0)</f>
        <v/>
      </c>
      <c r="AI2565">
        <f>IF(IF('01_Вводные'!$B$296="Новый сезон",TRUE,TRUE),'19_Расчет_аналитики'!AI2453*CapacityAge22*'19_Расчет_аналитики'!$F$2235,0)</f>
        <v/>
      </c>
      <c r="AJ2565">
        <f>IF(IF('01_Вводные'!$B$296="Новый сезон",TRUE,TRUE),'19_Расчет_аналитики'!AJ2453*CapacityAge22*'19_Расчет_аналитики'!$F$2235,0)</f>
        <v/>
      </c>
      <c r="AK2565">
        <f>IF(IF('01_Вводные'!$B$296="Новый сезон",TRUE,TRUE),'19_Расчет_аналитики'!AK2453*CapacityAge22*'19_Расчет_аналитики'!$F$2235,0)</f>
        <v/>
      </c>
      <c r="AL2565">
        <f>IF(IF('01_Вводные'!$B$296="Новый сезон",TRUE,TRUE),'19_Расчет_аналитики'!AL2453*CapacityAge22*'19_Расчет_аналитики'!$F$2235,0)</f>
        <v/>
      </c>
      <c r="AM2565">
        <f>IF(IF('01_Вводные'!$B$296="Новый сезон",TRUE,TRUE),'19_Расчет_аналитики'!AM2453*CapacityAge22*'19_Расчет_аналитики'!$F$2235,0)</f>
        <v/>
      </c>
      <c r="AN2565">
        <f>IF(IF('01_Вводные'!$B$296="Новый сезон",TRUE,TRUE),'19_Расчет_аналитики'!AN2453*CapacityAge22*'19_Расчет_аналитики'!$F$2235,0)</f>
        <v/>
      </c>
      <c r="AO2565">
        <f>IF(IF('01_Вводные'!$B$296="Новый сезон",TRUE,TRUE),'19_Расчет_аналитики'!AO2453*CapacityAge22*'19_Расчет_аналитики'!$F$2235,0)</f>
        <v/>
      </c>
      <c r="AP2565">
        <f>IF(IF('01_Вводные'!$B$296="Новый сезон",TRUE,TRUE),'19_Расчет_аналитики'!AP2453*CapacityAge22*'19_Расчет_аналитики'!$F$2235,0)</f>
        <v/>
      </c>
      <c r="AQ2565">
        <f>IF(IF('01_Вводные'!$B$296="Новый сезон",TRUE,TRUE),'19_Расчет_аналитики'!AQ2453*CapacityAge22*'19_Расчет_аналитики'!$F$2235,0)</f>
        <v/>
      </c>
      <c r="AR2565">
        <f>IF(IF('01_Вводные'!$B$296="Новый сезон",TRUE,TRUE),'19_Расчет_аналитики'!AR2453*CapacityAge22*'19_Расчет_аналитики'!$F$2235,0)</f>
        <v/>
      </c>
      <c r="AS2565">
        <f>IF(IF('01_Вводные'!$B$296="Новый сезон",TRUE,TRUE),'19_Расчет_аналитики'!AS2453*CapacityAge22*'19_Расчет_аналитики'!$F$2235,0)</f>
        <v/>
      </c>
      <c r="AT2565">
        <f>IF(IF('01_Вводные'!$B$296="Новый сезон",TRUE,TRUE),'19_Расчет_аналитики'!AT2453*CapacityAge22*'19_Расчет_аналитики'!$F$2235,0)</f>
        <v/>
      </c>
      <c r="AU2565">
        <f>IF(IF('01_Вводные'!$B$296="Новый сезон",TRUE,TRUE),'19_Расчет_аналитики'!AU2453*CapacityAge22*'19_Расчет_аналитики'!$F$2235,0)</f>
        <v/>
      </c>
      <c r="AV2565">
        <f>IF(IF('01_Вводные'!$B$296="Новый сезон",TRUE,TRUE),'19_Расчет_аналитики'!AV2453*CapacityAge22*'19_Расчет_аналитики'!$F$2235,0)</f>
        <v/>
      </c>
      <c r="AW2565">
        <f>IF(IF('01_Вводные'!$B$296="Новый сезон",TRUE,TRUE),'19_Расчет_аналитики'!AW2453*CapacityAge22*'19_Расчет_аналитики'!$F$2235,0)</f>
        <v/>
      </c>
      <c r="AX2565">
        <f>IF(IF('01_Вводные'!$B$296="Новый сезон",TRUE,TRUE),'19_Расчет_аналитики'!AX2453*CapacityAge22*'19_Расчет_аналитики'!$F$2235,0)</f>
        <v/>
      </c>
      <c r="AY2565">
        <f>IF(IF('01_Вводные'!$B$296="Новый сезон",TRUE,TRUE),'19_Расчет_аналитики'!AY2453*CapacityAge22*'19_Расчет_аналитики'!$F$2235,0)</f>
        <v/>
      </c>
      <c r="AZ2565">
        <f>IF(IF('01_Вводные'!$B$296="Новый сезон",TRUE,TRUE),'19_Расчет_аналитики'!AZ2453*CapacityAge22*'19_Расчет_аналитики'!$F$2235,0)</f>
        <v/>
      </c>
      <c r="BA2565">
        <f>IF(IF('01_Вводные'!$B$296="Новый сезон",TRUE,TRUE),'19_Расчет_аналитики'!BA2453*CapacityAge22*'19_Расчет_аналитики'!$F$2235,0)</f>
        <v/>
      </c>
      <c r="BB2565">
        <f>IF(IF('01_Вводные'!$B$296="Новый сезон",TRUE,TRUE),'19_Расчет_аналитики'!BB2453*CapacityAge22*'19_Расчет_аналитики'!$F$2235,0)</f>
        <v/>
      </c>
      <c r="BC2565">
        <f>IF(IF('01_Вводные'!$B$296="Новый сезон",TRUE,TRUE),'19_Расчет_аналитики'!BC2453*CapacityAge22*'19_Расчет_аналитики'!$F$2235,0)</f>
        <v/>
      </c>
      <c r="BD2565">
        <f>IF(IF('01_Вводные'!$B$296="Новый сезон",TRUE,TRUE),'19_Расчет_аналитики'!BD2453*CapacityAge22*'19_Расчет_аналитики'!$F$2235,0)</f>
        <v/>
      </c>
      <c r="BE2565">
        <f>IF(IF('01_Вводные'!$B$296="Новый сезон",TRUE,TRUE),'19_Расчет_аналитики'!BE2453*CapacityAge22*'19_Расчет_аналитики'!$F$2235,0)</f>
        <v/>
      </c>
      <c r="BF2565">
        <f>IF(IF('01_Вводные'!$B$296="Новый сезон",TRUE,TRUE),'19_Расчет_аналитики'!BF2453*CapacityAge22*'19_Расчет_аналитики'!$F$2235,0)</f>
        <v/>
      </c>
      <c r="BG2565">
        <f>IF(IF('01_Вводные'!$B$296="Новый сезон",TRUE,TRUE),'19_Расчет_аналитики'!BG2453*CapacityAge22*'19_Расчет_аналитики'!$F$2235,0)</f>
        <v/>
      </c>
      <c r="BH2565">
        <f>IF(IF('01_Вводные'!$B$296="Новый сезон",TRUE,TRUE),'19_Расчет_аналитики'!BH2453*CapacityAge22*'19_Расчет_аналитики'!$F$2235,0)</f>
        <v/>
      </c>
      <c r="BI2565">
        <f>IF(IF('01_Вводные'!$B$296="Новый сезон",TRUE,TRUE),'19_Расчет_аналитики'!BI2453*CapacityAge22*'19_Расчет_аналитики'!$F$2235,0)</f>
        <v/>
      </c>
      <c r="BJ2565">
        <f>IF(IF('01_Вводные'!$B$296="Новый сезон",TRUE,TRUE),'19_Расчет_аналитики'!BJ2453*CapacityAge22*'19_Расчет_аналитики'!$F$2235,0)</f>
        <v/>
      </c>
      <c r="BK2565">
        <f>IF(IF('01_Вводные'!$B$296="Новый сезон",TRUE,TRUE),'19_Расчет_аналитики'!BK2453*CapacityAge22*'19_Расчет_аналитики'!$F$2235,0)</f>
        <v/>
      </c>
      <c r="BL2565">
        <f>IF(IF('01_Вводные'!$B$296="Новый сезон",TRUE,TRUE),'19_Расчет_аналитики'!BL2453*CapacityAge22*'19_Расчет_аналитики'!$F$2235,0)</f>
        <v/>
      </c>
      <c r="BM2565">
        <f>IF(IF('01_Вводные'!$B$296="Новый сезон",TRUE,TRUE),'19_Расчет_аналитики'!BM2453*CapacityAge22*'19_Расчет_аналитики'!$F$2235,0)</f>
        <v/>
      </c>
      <c r="BN2565">
        <f>IF(IF('01_Вводные'!$B$296="Новый сезон",TRUE,TRUE),'19_Расчет_аналитики'!BN2453*CapacityAge22*'19_Расчет_аналитики'!$F$2235,0)</f>
        <v/>
      </c>
      <c r="BO2565">
        <f>IF(IF('01_Вводные'!$B$296="Новый сезон",TRUE,TRUE),'19_Расчет_аналитики'!BO2453*CapacityAge22*'19_Расчет_аналитики'!$F$2235,0)</f>
        <v/>
      </c>
    </row>
    <row r="2566">
      <c r="B2566">
        <f>IF(IF('01_Вводные'!$B$296="Новый сезон",TRUE,TRUE),'06_Сеть_и_дети'!B75*CapacityAge23*'19_Расчет_аналитики'!$F$2235,0)</f>
        <v/>
      </c>
      <c r="C2566">
        <f>IF(IF('01_Вводные'!$B$296="Новый сезон",TRUE,TRUE),'06_Сеть_и_дети'!C75*CapacityAge23*'19_Расчет_аналитики'!$F$2235,0)</f>
        <v/>
      </c>
      <c r="D2566">
        <f>IF(IF('01_Вводные'!$B$296="Новый сезон",TRUE,TRUE),'06_Сеть_и_дети'!D75*CapacityAge23*'19_Расчет_аналитики'!$F$2235,0)</f>
        <v/>
      </c>
      <c r="E2566">
        <f>IF(IF('01_Вводные'!$B$296="Новый сезон",TRUE,TRUE),'06_Сеть_и_дети'!E75*CapacityAge23*'19_Расчет_аналитики'!$F$2235,0)</f>
        <v/>
      </c>
      <c r="F2566">
        <f>IF(IF('01_Вводные'!$B$296="Новый сезон",TRUE,TRUE),'06_Сеть_и_дети'!F75*CapacityAge23*'19_Расчет_аналитики'!$F$2235,0)</f>
        <v/>
      </c>
      <c r="G2566">
        <f>IF(IF('01_Вводные'!$B$296="Новый сезон",TRUE,TRUE),'06_Сеть_и_дети'!G75*CapacityAge23*'19_Расчет_аналитики'!$F$2235,0)</f>
        <v/>
      </c>
      <c r="H2566">
        <f>IF(IF('01_Вводные'!$B$296="Новый сезон",TRUE,TRUE),'06_Сеть_и_дети'!H75*CapacityAge23*'19_Расчет_аналитики'!$F$2235,0)</f>
        <v/>
      </c>
      <c r="I2566">
        <f>IF(IF('01_Вводные'!$B$296="Новый сезон",TRUE,TRUE),'06_Сеть_и_дети'!I75*CapacityAge23*'19_Расчет_аналитики'!$F$2235,0)</f>
        <v/>
      </c>
      <c r="J2566">
        <f>IF(IF('01_Вводные'!$B$296="Новый сезон",TRUE,TRUE),'06_Сеть_и_дети'!J75*CapacityAge23*'19_Расчет_аналитики'!$F$2235,0)</f>
        <v/>
      </c>
      <c r="K2566">
        <f>IF(IF('01_Вводные'!$B$296="Новый сезон",TRUE,TRUE),'06_Сеть_и_дети'!K75*CapacityAge23*'19_Расчет_аналитики'!$F$2235,0)</f>
        <v/>
      </c>
      <c r="L2566">
        <f>IF(IF('01_Вводные'!$B$296="Новый сезон",TRUE,TRUE),'06_Сеть_и_дети'!L75*CapacityAge23*'19_Расчет_аналитики'!$F$2235,0)</f>
        <v/>
      </c>
      <c r="M2566">
        <f>IF(IF('01_Вводные'!$B$296="Новый сезон",TRUE,TRUE),'06_Сеть_и_дети'!M75*CapacityAge23*'19_Расчет_аналитики'!$F$2235,0)</f>
        <v/>
      </c>
      <c r="N2566">
        <f>IF(IF('01_Вводные'!$B$296="Новый сезон",TRUE,TRUE),'06_Сеть_и_дети'!N75*CapacityAge23*'19_Расчет_аналитики'!$F$2235,0)</f>
        <v/>
      </c>
      <c r="O2566">
        <f>IF(IF('01_Вводные'!$B$296="Новый сезон",TRUE,TRUE),'06_Сеть_и_дети'!O75*CapacityAge23*'19_Расчет_аналитики'!$F$2235,0)</f>
        <v/>
      </c>
      <c r="P2566">
        <f>IF(IF('01_Вводные'!$B$296="Новый сезон",TRUE,TRUE),'06_Сеть_и_дети'!P75*CapacityAge23*'19_Расчет_аналитики'!$F$2235,0)</f>
        <v/>
      </c>
      <c r="Q2566">
        <f>IF(IF('01_Вводные'!$B$296="Новый сезон",TRUE,TRUE),'06_Сеть_и_дети'!Q75*CapacityAge23*'19_Расчет_аналитики'!$F$2235,0)</f>
        <v/>
      </c>
      <c r="R2566">
        <f>IF(IF('01_Вводные'!$B$296="Новый сезон",TRUE,TRUE),'06_Сеть_и_дети'!R75*CapacityAge23*'19_Расчет_аналитики'!$F$2235,0)</f>
        <v/>
      </c>
      <c r="S2566">
        <f>IF(IF('01_Вводные'!$B$296="Новый сезон",TRUE,TRUE),'06_Сеть_и_дети'!S75*CapacityAge23*'19_Расчет_аналитики'!$F$2235,0)</f>
        <v/>
      </c>
      <c r="T2566">
        <f>IF(IF('01_Вводные'!$B$296="Новый сезон",TRUE,TRUE),'06_Сеть_и_дети'!T75*CapacityAge23*'19_Расчет_аналитики'!$F$2235,0)</f>
        <v/>
      </c>
      <c r="U2566">
        <f>IF(IF('01_Вводные'!$B$296="Новый сезон",TRUE,TRUE),'06_Сеть_и_дети'!U75*CapacityAge23*'19_Расчет_аналитики'!$F$2235,0)</f>
        <v/>
      </c>
      <c r="V2566">
        <f>IF(IF('01_Вводные'!$B$296="Новый сезон",TRUE,TRUE),'06_Сеть_и_дети'!V75*CapacityAge23*'19_Расчет_аналитики'!$F$2235,0)</f>
        <v/>
      </c>
      <c r="W2566">
        <f>IF(IF('01_Вводные'!$B$296="Новый сезон",TRUE,TRUE),'06_Сеть_и_дети'!W75*CapacityAge23*'19_Расчет_аналитики'!$F$2235,0)</f>
        <v/>
      </c>
      <c r="X2566">
        <f>IF(IF('01_Вводные'!$B$296="Новый сезон",TRUE,TRUE),'19_Расчет_аналитики'!X2454*CapacityAge23*'19_Расчет_аналитики'!$F$2235,0)</f>
        <v/>
      </c>
      <c r="Y2566">
        <f>IF(IF('01_Вводные'!$B$296="Новый сезон",TRUE,TRUE),'19_Расчет_аналитики'!Y2454*CapacityAge23*'19_Расчет_аналитики'!$F$2235,0)</f>
        <v/>
      </c>
      <c r="Z2566">
        <f>IF(IF('01_Вводные'!$B$296="Новый сезон",TRUE,TRUE),'19_Расчет_аналитики'!Z2454*CapacityAge23*'19_Расчет_аналитики'!$F$2235,0)</f>
        <v/>
      </c>
      <c r="AA2566">
        <f>IF(IF('01_Вводные'!$B$296="Новый сезон",TRUE,TRUE),'19_Расчет_аналитики'!AA2454*CapacityAge23*'19_Расчет_аналитики'!$F$2235,0)</f>
        <v/>
      </c>
      <c r="AB2566">
        <f>IF(IF('01_Вводные'!$B$296="Новый сезон",TRUE,TRUE),'19_Расчет_аналитики'!AB2454*CapacityAge23*'19_Расчет_аналитики'!$F$2235,0)</f>
        <v/>
      </c>
      <c r="AC2566">
        <f>IF(IF('01_Вводные'!$B$296="Новый сезон",TRUE,TRUE),'19_Расчет_аналитики'!AC2454*CapacityAge23*'19_Расчет_аналитики'!$F$2235,0)</f>
        <v/>
      </c>
      <c r="AD2566">
        <f>IF(IF('01_Вводные'!$B$296="Новый сезон",TRUE,TRUE),'19_Расчет_аналитики'!AD2454*CapacityAge23*'19_Расчет_аналитики'!$F$2235,0)</f>
        <v/>
      </c>
      <c r="AE2566">
        <f>IF(IF('01_Вводные'!$B$296="Новый сезон",TRUE,TRUE),'19_Расчет_аналитики'!AE2454*CapacityAge23*'19_Расчет_аналитики'!$F$2235,0)</f>
        <v/>
      </c>
      <c r="AF2566">
        <f>IF(IF('01_Вводные'!$B$296="Новый сезон",TRUE,TRUE),'19_Расчет_аналитики'!AF2454*CapacityAge23*'19_Расчет_аналитики'!$F$2235,0)</f>
        <v/>
      </c>
      <c r="AG2566">
        <f>IF(IF('01_Вводные'!$B$296="Новый сезон",TRUE,TRUE),'19_Расчет_аналитики'!AG2454*CapacityAge23*'19_Расчет_аналитики'!$F$2235,0)</f>
        <v/>
      </c>
      <c r="AH2566">
        <f>IF(IF('01_Вводные'!$B$296="Новый сезон",TRUE,TRUE),'19_Расчет_аналитики'!AH2454*CapacityAge23*'19_Расчет_аналитики'!$F$2235,0)</f>
        <v/>
      </c>
      <c r="AI2566">
        <f>IF(IF('01_Вводные'!$B$296="Новый сезон",TRUE,TRUE),'19_Расчет_аналитики'!AI2454*CapacityAge23*'19_Расчет_аналитики'!$F$2235,0)</f>
        <v/>
      </c>
      <c r="AJ2566">
        <f>IF(IF('01_Вводные'!$B$296="Новый сезон",TRUE,TRUE),'19_Расчет_аналитики'!AJ2454*CapacityAge23*'19_Расчет_аналитики'!$F$2235,0)</f>
        <v/>
      </c>
      <c r="AK2566">
        <f>IF(IF('01_Вводные'!$B$296="Новый сезон",TRUE,TRUE),'19_Расчет_аналитики'!AK2454*CapacityAge23*'19_Расчет_аналитики'!$F$2235,0)</f>
        <v/>
      </c>
      <c r="AL2566">
        <f>IF(IF('01_Вводные'!$B$296="Новый сезон",TRUE,TRUE),'19_Расчет_аналитики'!AL2454*CapacityAge23*'19_Расчет_аналитики'!$F$2235,0)</f>
        <v/>
      </c>
      <c r="AM2566">
        <f>IF(IF('01_Вводные'!$B$296="Новый сезон",TRUE,TRUE),'19_Расчет_аналитики'!AM2454*CapacityAge23*'19_Расчет_аналитики'!$F$2235,0)</f>
        <v/>
      </c>
      <c r="AN2566">
        <f>IF(IF('01_Вводные'!$B$296="Новый сезон",TRUE,TRUE),'19_Расчет_аналитики'!AN2454*CapacityAge23*'19_Расчет_аналитики'!$F$2235,0)</f>
        <v/>
      </c>
      <c r="AO2566">
        <f>IF(IF('01_Вводные'!$B$296="Новый сезон",TRUE,TRUE),'19_Расчет_аналитики'!AO2454*CapacityAge23*'19_Расчет_аналитики'!$F$2235,0)</f>
        <v/>
      </c>
      <c r="AP2566">
        <f>IF(IF('01_Вводные'!$B$296="Новый сезон",TRUE,TRUE),'19_Расчет_аналитики'!AP2454*CapacityAge23*'19_Расчет_аналитики'!$F$2235,0)</f>
        <v/>
      </c>
      <c r="AQ2566">
        <f>IF(IF('01_Вводные'!$B$296="Новый сезон",TRUE,TRUE),'19_Расчет_аналитики'!AQ2454*CapacityAge23*'19_Расчет_аналитики'!$F$2235,0)</f>
        <v/>
      </c>
      <c r="AR2566">
        <f>IF(IF('01_Вводные'!$B$296="Новый сезон",TRUE,TRUE),'19_Расчет_аналитики'!AR2454*CapacityAge23*'19_Расчет_аналитики'!$F$2235,0)</f>
        <v/>
      </c>
      <c r="AS2566">
        <f>IF(IF('01_Вводные'!$B$296="Новый сезон",TRUE,TRUE),'19_Расчет_аналитики'!AS2454*CapacityAge23*'19_Расчет_аналитики'!$F$2235,0)</f>
        <v/>
      </c>
      <c r="AT2566">
        <f>IF(IF('01_Вводные'!$B$296="Новый сезон",TRUE,TRUE),'19_Расчет_аналитики'!AT2454*CapacityAge23*'19_Расчет_аналитики'!$F$2235,0)</f>
        <v/>
      </c>
      <c r="AU2566">
        <f>IF(IF('01_Вводные'!$B$296="Новый сезон",TRUE,TRUE),'19_Расчет_аналитики'!AU2454*CapacityAge23*'19_Расчет_аналитики'!$F$2235,0)</f>
        <v/>
      </c>
      <c r="AV2566">
        <f>IF(IF('01_Вводные'!$B$296="Новый сезон",TRUE,TRUE),'19_Расчет_аналитики'!AV2454*CapacityAge23*'19_Расчет_аналитики'!$F$2235,0)</f>
        <v/>
      </c>
      <c r="AW2566">
        <f>IF(IF('01_Вводные'!$B$296="Новый сезон",TRUE,TRUE),'19_Расчет_аналитики'!AW2454*CapacityAge23*'19_Расчет_аналитики'!$F$2235,0)</f>
        <v/>
      </c>
      <c r="AX2566">
        <f>IF(IF('01_Вводные'!$B$296="Новый сезон",TRUE,TRUE),'19_Расчет_аналитики'!AX2454*CapacityAge23*'19_Расчет_аналитики'!$F$2235,0)</f>
        <v/>
      </c>
      <c r="AY2566">
        <f>IF(IF('01_Вводные'!$B$296="Новый сезон",TRUE,TRUE),'19_Расчет_аналитики'!AY2454*CapacityAge23*'19_Расчет_аналитики'!$F$2235,0)</f>
        <v/>
      </c>
      <c r="AZ2566">
        <f>IF(IF('01_Вводные'!$B$296="Новый сезон",TRUE,TRUE),'19_Расчет_аналитики'!AZ2454*CapacityAge23*'19_Расчет_аналитики'!$F$2235,0)</f>
        <v/>
      </c>
      <c r="BA2566">
        <f>IF(IF('01_Вводные'!$B$296="Новый сезон",TRUE,TRUE),'19_Расчет_аналитики'!BA2454*CapacityAge23*'19_Расчет_аналитики'!$F$2235,0)</f>
        <v/>
      </c>
      <c r="BB2566">
        <f>IF(IF('01_Вводные'!$B$296="Новый сезон",TRUE,TRUE),'19_Расчет_аналитики'!BB2454*CapacityAge23*'19_Расчет_аналитики'!$F$2235,0)</f>
        <v/>
      </c>
      <c r="BC2566">
        <f>IF(IF('01_Вводные'!$B$296="Новый сезон",TRUE,TRUE),'19_Расчет_аналитики'!BC2454*CapacityAge23*'19_Расчет_аналитики'!$F$2235,0)</f>
        <v/>
      </c>
      <c r="BD2566">
        <f>IF(IF('01_Вводные'!$B$296="Новый сезон",TRUE,TRUE),'19_Расчет_аналитики'!BD2454*CapacityAge23*'19_Расчет_аналитики'!$F$2235,0)</f>
        <v/>
      </c>
      <c r="BE2566">
        <f>IF(IF('01_Вводные'!$B$296="Новый сезон",TRUE,TRUE),'19_Расчет_аналитики'!BE2454*CapacityAge23*'19_Расчет_аналитики'!$F$2235,0)</f>
        <v/>
      </c>
      <c r="BF2566">
        <f>IF(IF('01_Вводные'!$B$296="Новый сезон",TRUE,TRUE),'19_Расчет_аналитики'!BF2454*CapacityAge23*'19_Расчет_аналитики'!$F$2235,0)</f>
        <v/>
      </c>
      <c r="BG2566">
        <f>IF(IF('01_Вводные'!$B$296="Новый сезон",TRUE,TRUE),'19_Расчет_аналитики'!BG2454*CapacityAge23*'19_Расчет_аналитики'!$F$2235,0)</f>
        <v/>
      </c>
      <c r="BH2566">
        <f>IF(IF('01_Вводные'!$B$296="Новый сезон",TRUE,TRUE),'19_Расчет_аналитики'!BH2454*CapacityAge23*'19_Расчет_аналитики'!$F$2235,0)</f>
        <v/>
      </c>
      <c r="BI2566">
        <f>IF(IF('01_Вводные'!$B$296="Новый сезон",TRUE,TRUE),'19_Расчет_аналитики'!BI2454*CapacityAge23*'19_Расчет_аналитики'!$F$2235,0)</f>
        <v/>
      </c>
      <c r="BJ2566">
        <f>IF(IF('01_Вводные'!$B$296="Новый сезон",TRUE,TRUE),'19_Расчет_аналитики'!BJ2454*CapacityAge23*'19_Расчет_аналитики'!$F$2235,0)</f>
        <v/>
      </c>
      <c r="BK2566">
        <f>IF(IF('01_Вводные'!$B$296="Новый сезон",TRUE,TRUE),'19_Расчет_аналитики'!BK2454*CapacityAge23*'19_Расчет_аналитики'!$F$2235,0)</f>
        <v/>
      </c>
      <c r="BL2566">
        <f>IF(IF('01_Вводные'!$B$296="Новый сезон",TRUE,TRUE),'19_Расчет_аналитики'!BL2454*CapacityAge23*'19_Расчет_аналитики'!$F$2235,0)</f>
        <v/>
      </c>
      <c r="BM2566">
        <f>IF(IF('01_Вводные'!$B$296="Новый сезон",TRUE,TRUE),'19_Расчет_аналитики'!BM2454*CapacityAge23*'19_Расчет_аналитики'!$F$2235,0)</f>
        <v/>
      </c>
      <c r="BN2566">
        <f>IF(IF('01_Вводные'!$B$296="Новый сезон",TRUE,TRUE),'19_Расчет_аналитики'!BN2454*CapacityAge23*'19_Расчет_аналитики'!$F$2235,0)</f>
        <v/>
      </c>
      <c r="BO2566">
        <f>IF(IF('01_Вводные'!$B$296="Новый сезон",TRUE,TRUE),'19_Расчет_аналитики'!BO2454*CapacityAge23*'19_Расчет_аналитики'!$F$2235,0)</f>
        <v/>
      </c>
    </row>
    <row r="2567">
      <c r="B2567">
        <f>IF(IF('01_Вводные'!$B$296="Новый сезон",TRUE,TRUE),'06_Сеть_и_дети'!B76*CapacityAge24*'19_Расчет_аналитики'!$F$2235,0)</f>
        <v/>
      </c>
      <c r="C2567">
        <f>IF(IF('01_Вводные'!$B$296="Новый сезон",TRUE,TRUE),'06_Сеть_и_дети'!C76*CapacityAge24*'19_Расчет_аналитики'!$F$2235,0)</f>
        <v/>
      </c>
      <c r="D2567">
        <f>IF(IF('01_Вводные'!$B$296="Новый сезон",TRUE,TRUE),'06_Сеть_и_дети'!D76*CapacityAge24*'19_Расчет_аналитики'!$F$2235,0)</f>
        <v/>
      </c>
      <c r="E2567">
        <f>IF(IF('01_Вводные'!$B$296="Новый сезон",TRUE,TRUE),'06_Сеть_и_дети'!E76*CapacityAge24*'19_Расчет_аналитики'!$F$2235,0)</f>
        <v/>
      </c>
      <c r="F2567">
        <f>IF(IF('01_Вводные'!$B$296="Новый сезон",TRUE,TRUE),'06_Сеть_и_дети'!F76*CapacityAge24*'19_Расчет_аналитики'!$F$2235,0)</f>
        <v/>
      </c>
      <c r="G2567">
        <f>IF(IF('01_Вводные'!$B$296="Новый сезон",TRUE,TRUE),'06_Сеть_и_дети'!G76*CapacityAge24*'19_Расчет_аналитики'!$F$2235,0)</f>
        <v/>
      </c>
      <c r="H2567">
        <f>IF(IF('01_Вводные'!$B$296="Новый сезон",TRUE,TRUE),'06_Сеть_и_дети'!H76*CapacityAge24*'19_Расчет_аналитики'!$F$2235,0)</f>
        <v/>
      </c>
      <c r="I2567">
        <f>IF(IF('01_Вводные'!$B$296="Новый сезон",TRUE,TRUE),'06_Сеть_и_дети'!I76*CapacityAge24*'19_Расчет_аналитики'!$F$2235,0)</f>
        <v/>
      </c>
      <c r="J2567">
        <f>IF(IF('01_Вводные'!$B$296="Новый сезон",TRUE,TRUE),'06_Сеть_и_дети'!J76*CapacityAge24*'19_Расчет_аналитики'!$F$2235,0)</f>
        <v/>
      </c>
      <c r="K2567">
        <f>IF(IF('01_Вводные'!$B$296="Новый сезон",TRUE,TRUE),'06_Сеть_и_дети'!K76*CapacityAge24*'19_Расчет_аналитики'!$F$2235,0)</f>
        <v/>
      </c>
      <c r="L2567">
        <f>IF(IF('01_Вводные'!$B$296="Новый сезон",TRUE,TRUE),'06_Сеть_и_дети'!L76*CapacityAge24*'19_Расчет_аналитики'!$F$2235,0)</f>
        <v/>
      </c>
      <c r="M2567">
        <f>IF(IF('01_Вводные'!$B$296="Новый сезон",TRUE,TRUE),'06_Сеть_и_дети'!M76*CapacityAge24*'19_Расчет_аналитики'!$F$2235,0)</f>
        <v/>
      </c>
      <c r="N2567">
        <f>IF(IF('01_Вводные'!$B$296="Новый сезон",TRUE,TRUE),'06_Сеть_и_дети'!N76*CapacityAge24*'19_Расчет_аналитики'!$F$2235,0)</f>
        <v/>
      </c>
      <c r="O2567">
        <f>IF(IF('01_Вводные'!$B$296="Новый сезон",TRUE,TRUE),'06_Сеть_и_дети'!O76*CapacityAge24*'19_Расчет_аналитики'!$F$2235,0)</f>
        <v/>
      </c>
      <c r="P2567">
        <f>IF(IF('01_Вводные'!$B$296="Новый сезон",TRUE,TRUE),'06_Сеть_и_дети'!P76*CapacityAge24*'19_Расчет_аналитики'!$F$2235,0)</f>
        <v/>
      </c>
      <c r="Q2567">
        <f>IF(IF('01_Вводные'!$B$296="Новый сезон",TRUE,TRUE),'06_Сеть_и_дети'!Q76*CapacityAge24*'19_Расчет_аналитики'!$F$2235,0)</f>
        <v/>
      </c>
      <c r="R2567">
        <f>IF(IF('01_Вводные'!$B$296="Новый сезон",TRUE,TRUE),'06_Сеть_и_дети'!R76*CapacityAge24*'19_Расчет_аналитики'!$F$2235,0)</f>
        <v/>
      </c>
      <c r="S2567">
        <f>IF(IF('01_Вводные'!$B$296="Новый сезон",TRUE,TRUE),'06_Сеть_и_дети'!S76*CapacityAge24*'19_Расчет_аналитики'!$F$2235,0)</f>
        <v/>
      </c>
      <c r="T2567">
        <f>IF(IF('01_Вводные'!$B$296="Новый сезон",TRUE,TRUE),'06_Сеть_и_дети'!T76*CapacityAge24*'19_Расчет_аналитики'!$F$2235,0)</f>
        <v/>
      </c>
      <c r="U2567">
        <f>IF(IF('01_Вводные'!$B$296="Новый сезон",TRUE,TRUE),'06_Сеть_и_дети'!U76*CapacityAge24*'19_Расчет_аналитики'!$F$2235,0)</f>
        <v/>
      </c>
      <c r="V2567">
        <f>IF(IF('01_Вводные'!$B$296="Новый сезон",TRUE,TRUE),'06_Сеть_и_дети'!V76*CapacityAge24*'19_Расчет_аналитики'!$F$2235,0)</f>
        <v/>
      </c>
      <c r="W2567">
        <f>IF(IF('01_Вводные'!$B$296="Новый сезон",TRUE,TRUE),'06_Сеть_и_дети'!W76*CapacityAge24*'19_Расчет_аналитики'!$F$2235,0)</f>
        <v/>
      </c>
      <c r="X2567">
        <f>IF(IF('01_Вводные'!$B$296="Новый сезон",TRUE,TRUE),'06_Сеть_и_дети'!X76*CapacityAge24*'19_Расчет_аналитики'!$F$2235,0)</f>
        <v/>
      </c>
      <c r="Y2567">
        <f>IF(IF('01_Вводные'!$B$296="Новый сезон",TRUE,TRUE),'19_Расчет_аналитики'!Y2455*CapacityAge24*'19_Расчет_аналитики'!$F$2235,0)</f>
        <v/>
      </c>
      <c r="Z2567">
        <f>IF(IF('01_Вводные'!$B$296="Новый сезон",TRUE,TRUE),'19_Расчет_аналитики'!Z2455*CapacityAge24*'19_Расчет_аналитики'!$F$2235,0)</f>
        <v/>
      </c>
      <c r="AA2567">
        <f>IF(IF('01_Вводные'!$B$296="Новый сезон",TRUE,TRUE),'19_Расчет_аналитики'!AA2455*CapacityAge24*'19_Расчет_аналитики'!$F$2235,0)</f>
        <v/>
      </c>
      <c r="AB2567">
        <f>IF(IF('01_Вводные'!$B$296="Новый сезон",TRUE,TRUE),'19_Расчет_аналитики'!AB2455*CapacityAge24*'19_Расчет_аналитики'!$F$2235,0)</f>
        <v/>
      </c>
      <c r="AC2567">
        <f>IF(IF('01_Вводные'!$B$296="Новый сезон",TRUE,TRUE),'19_Расчет_аналитики'!AC2455*CapacityAge24*'19_Расчет_аналитики'!$F$2235,0)</f>
        <v/>
      </c>
      <c r="AD2567">
        <f>IF(IF('01_Вводные'!$B$296="Новый сезон",TRUE,TRUE),'19_Расчет_аналитики'!AD2455*CapacityAge24*'19_Расчет_аналитики'!$F$2235,0)</f>
        <v/>
      </c>
      <c r="AE2567">
        <f>IF(IF('01_Вводные'!$B$296="Новый сезон",TRUE,TRUE),'19_Расчет_аналитики'!AE2455*CapacityAge24*'19_Расчет_аналитики'!$F$2235,0)</f>
        <v/>
      </c>
      <c r="AF2567">
        <f>IF(IF('01_Вводные'!$B$296="Новый сезон",TRUE,TRUE),'19_Расчет_аналитики'!AF2455*CapacityAge24*'19_Расчет_аналитики'!$F$2235,0)</f>
        <v/>
      </c>
      <c r="AG2567">
        <f>IF(IF('01_Вводные'!$B$296="Новый сезон",TRUE,TRUE),'19_Расчет_аналитики'!AG2455*CapacityAge24*'19_Расчет_аналитики'!$F$2235,0)</f>
        <v/>
      </c>
      <c r="AH2567">
        <f>IF(IF('01_Вводные'!$B$296="Новый сезон",TRUE,TRUE),'19_Расчет_аналитики'!AH2455*CapacityAge24*'19_Расчет_аналитики'!$F$2235,0)</f>
        <v/>
      </c>
      <c r="AI2567">
        <f>IF(IF('01_Вводные'!$B$296="Новый сезон",TRUE,TRUE),'19_Расчет_аналитики'!AI2455*CapacityAge24*'19_Расчет_аналитики'!$F$2235,0)</f>
        <v/>
      </c>
      <c r="AJ2567">
        <f>IF(IF('01_Вводные'!$B$296="Новый сезон",TRUE,TRUE),'19_Расчет_аналитики'!AJ2455*CapacityAge24*'19_Расчет_аналитики'!$F$2235,0)</f>
        <v/>
      </c>
      <c r="AK2567">
        <f>IF(IF('01_Вводные'!$B$296="Новый сезон",TRUE,TRUE),'19_Расчет_аналитики'!AK2455*CapacityAge24*'19_Расчет_аналитики'!$F$2235,0)</f>
        <v/>
      </c>
      <c r="AL2567">
        <f>IF(IF('01_Вводные'!$B$296="Новый сезон",TRUE,TRUE),'19_Расчет_аналитики'!AL2455*CapacityAge24*'19_Расчет_аналитики'!$F$2235,0)</f>
        <v/>
      </c>
      <c r="AM2567">
        <f>IF(IF('01_Вводные'!$B$296="Новый сезон",TRUE,TRUE),'19_Расчет_аналитики'!AM2455*CapacityAge24*'19_Расчет_аналитики'!$F$2235,0)</f>
        <v/>
      </c>
      <c r="AN2567">
        <f>IF(IF('01_Вводные'!$B$296="Новый сезон",TRUE,TRUE),'19_Расчет_аналитики'!AN2455*CapacityAge24*'19_Расчет_аналитики'!$F$2235,0)</f>
        <v/>
      </c>
      <c r="AO2567">
        <f>IF(IF('01_Вводные'!$B$296="Новый сезон",TRUE,TRUE),'19_Расчет_аналитики'!AO2455*CapacityAge24*'19_Расчет_аналитики'!$F$2235,0)</f>
        <v/>
      </c>
      <c r="AP2567">
        <f>IF(IF('01_Вводные'!$B$296="Новый сезон",TRUE,TRUE),'19_Расчет_аналитики'!AP2455*CapacityAge24*'19_Расчет_аналитики'!$F$2235,0)</f>
        <v/>
      </c>
      <c r="AQ2567">
        <f>IF(IF('01_Вводные'!$B$296="Новый сезон",TRUE,TRUE),'19_Расчет_аналитики'!AQ2455*CapacityAge24*'19_Расчет_аналитики'!$F$2235,0)</f>
        <v/>
      </c>
      <c r="AR2567">
        <f>IF(IF('01_Вводные'!$B$296="Новый сезон",TRUE,TRUE),'19_Расчет_аналитики'!AR2455*CapacityAge24*'19_Расчет_аналитики'!$F$2235,0)</f>
        <v/>
      </c>
      <c r="AS2567">
        <f>IF(IF('01_Вводные'!$B$296="Новый сезон",TRUE,TRUE),'19_Расчет_аналитики'!AS2455*CapacityAge24*'19_Расчет_аналитики'!$F$2235,0)</f>
        <v/>
      </c>
      <c r="AT2567">
        <f>IF(IF('01_Вводные'!$B$296="Новый сезон",TRUE,TRUE),'19_Расчет_аналитики'!AT2455*CapacityAge24*'19_Расчет_аналитики'!$F$2235,0)</f>
        <v/>
      </c>
      <c r="AU2567">
        <f>IF(IF('01_Вводные'!$B$296="Новый сезон",TRUE,TRUE),'19_Расчет_аналитики'!AU2455*CapacityAge24*'19_Расчет_аналитики'!$F$2235,0)</f>
        <v/>
      </c>
      <c r="AV2567">
        <f>IF(IF('01_Вводные'!$B$296="Новый сезон",TRUE,TRUE),'19_Расчет_аналитики'!AV2455*CapacityAge24*'19_Расчет_аналитики'!$F$2235,0)</f>
        <v/>
      </c>
      <c r="AW2567">
        <f>IF(IF('01_Вводные'!$B$296="Новый сезон",TRUE,TRUE),'19_Расчет_аналитики'!AW2455*CapacityAge24*'19_Расчет_аналитики'!$F$2235,0)</f>
        <v/>
      </c>
      <c r="AX2567">
        <f>IF(IF('01_Вводные'!$B$296="Новый сезон",TRUE,TRUE),'19_Расчет_аналитики'!AX2455*CapacityAge24*'19_Расчет_аналитики'!$F$2235,0)</f>
        <v/>
      </c>
      <c r="AY2567">
        <f>IF(IF('01_Вводные'!$B$296="Новый сезон",TRUE,TRUE),'19_Расчет_аналитики'!AY2455*CapacityAge24*'19_Расчет_аналитики'!$F$2235,0)</f>
        <v/>
      </c>
      <c r="AZ2567">
        <f>IF(IF('01_Вводные'!$B$296="Новый сезон",TRUE,TRUE),'19_Расчет_аналитики'!AZ2455*CapacityAge24*'19_Расчет_аналитики'!$F$2235,0)</f>
        <v/>
      </c>
      <c r="BA2567">
        <f>IF(IF('01_Вводные'!$B$296="Новый сезон",TRUE,TRUE),'19_Расчет_аналитики'!BA2455*CapacityAge24*'19_Расчет_аналитики'!$F$2235,0)</f>
        <v/>
      </c>
      <c r="BB2567">
        <f>IF(IF('01_Вводные'!$B$296="Новый сезон",TRUE,TRUE),'19_Расчет_аналитики'!BB2455*CapacityAge24*'19_Расчет_аналитики'!$F$2235,0)</f>
        <v/>
      </c>
      <c r="BC2567">
        <f>IF(IF('01_Вводные'!$B$296="Новый сезон",TRUE,TRUE),'19_Расчет_аналитики'!BC2455*CapacityAge24*'19_Расчет_аналитики'!$F$2235,0)</f>
        <v/>
      </c>
      <c r="BD2567">
        <f>IF(IF('01_Вводные'!$B$296="Новый сезон",TRUE,TRUE),'19_Расчет_аналитики'!BD2455*CapacityAge24*'19_Расчет_аналитики'!$F$2235,0)</f>
        <v/>
      </c>
      <c r="BE2567">
        <f>IF(IF('01_Вводные'!$B$296="Новый сезон",TRUE,TRUE),'19_Расчет_аналитики'!BE2455*CapacityAge24*'19_Расчет_аналитики'!$F$2235,0)</f>
        <v/>
      </c>
      <c r="BF2567">
        <f>IF(IF('01_Вводные'!$B$296="Новый сезон",TRUE,TRUE),'19_Расчет_аналитики'!BF2455*CapacityAge24*'19_Расчет_аналитики'!$F$2235,0)</f>
        <v/>
      </c>
      <c r="BG2567">
        <f>IF(IF('01_Вводные'!$B$296="Новый сезон",TRUE,TRUE),'19_Расчет_аналитики'!BG2455*CapacityAge24*'19_Расчет_аналитики'!$F$2235,0)</f>
        <v/>
      </c>
      <c r="BH2567">
        <f>IF(IF('01_Вводные'!$B$296="Новый сезон",TRUE,TRUE),'19_Расчет_аналитики'!BH2455*CapacityAge24*'19_Расчет_аналитики'!$F$2235,0)</f>
        <v/>
      </c>
      <c r="BI2567">
        <f>IF(IF('01_Вводные'!$B$296="Новый сезон",TRUE,TRUE),'19_Расчет_аналитики'!BI2455*CapacityAge24*'19_Расчет_аналитики'!$F$2235,0)</f>
        <v/>
      </c>
      <c r="BJ2567">
        <f>IF(IF('01_Вводные'!$B$296="Новый сезон",TRUE,TRUE),'19_Расчет_аналитики'!BJ2455*CapacityAge24*'19_Расчет_аналитики'!$F$2235,0)</f>
        <v/>
      </c>
      <c r="BK2567">
        <f>IF(IF('01_Вводные'!$B$296="Новый сезон",TRUE,TRUE),'19_Расчет_аналитики'!BK2455*CapacityAge24*'19_Расчет_аналитики'!$F$2235,0)</f>
        <v/>
      </c>
      <c r="BL2567">
        <f>IF(IF('01_Вводные'!$B$296="Новый сезон",TRUE,TRUE),'19_Расчет_аналитики'!BL2455*CapacityAge24*'19_Расчет_аналитики'!$F$2235,0)</f>
        <v/>
      </c>
      <c r="BM2567">
        <f>IF(IF('01_Вводные'!$B$296="Новый сезон",TRUE,TRUE),'19_Расчет_аналитики'!BM2455*CapacityAge24*'19_Расчет_аналитики'!$F$2235,0)</f>
        <v/>
      </c>
      <c r="BN2567">
        <f>IF(IF('01_Вводные'!$B$296="Новый сезон",TRUE,TRUE),'19_Расчет_аналитики'!BN2455*CapacityAge24*'19_Расчет_аналитики'!$F$2235,0)</f>
        <v/>
      </c>
      <c r="BO2567">
        <f>IF(IF('01_Вводные'!$B$296="Новый сезон",TRUE,TRUE),'19_Расчет_аналитики'!BO2455*CapacityAge24*'19_Расчет_аналитики'!$F$2235,0)</f>
        <v/>
      </c>
    </row>
    <row r="2568">
      <c r="B2568">
        <f>IF(IF('01_Вводные'!$B$296="Новый сезон",TRUE,TRUE),'06_Сеть_и_дети'!B77*CapacityAge25*'19_Расчет_аналитики'!$F$2235,0)</f>
        <v/>
      </c>
      <c r="C2568">
        <f>IF(IF('01_Вводные'!$B$296="Новый сезон",TRUE,TRUE),'06_Сеть_и_дети'!C77*CapacityAge25*'19_Расчет_аналитики'!$F$2235,0)</f>
        <v/>
      </c>
      <c r="D2568">
        <f>IF(IF('01_Вводные'!$B$296="Новый сезон",TRUE,TRUE),'06_Сеть_и_дети'!D77*CapacityAge25*'19_Расчет_аналитики'!$F$2235,0)</f>
        <v/>
      </c>
      <c r="E2568">
        <f>IF(IF('01_Вводные'!$B$296="Новый сезон",TRUE,TRUE),'06_Сеть_и_дети'!E77*CapacityAge25*'19_Расчет_аналитики'!$F$2235,0)</f>
        <v/>
      </c>
      <c r="F2568">
        <f>IF(IF('01_Вводные'!$B$296="Новый сезон",TRUE,TRUE),'06_Сеть_и_дети'!F77*CapacityAge25*'19_Расчет_аналитики'!$F$2235,0)</f>
        <v/>
      </c>
      <c r="G2568">
        <f>IF(IF('01_Вводные'!$B$296="Новый сезон",TRUE,TRUE),'06_Сеть_и_дети'!G77*CapacityAge25*'19_Расчет_аналитики'!$F$2235,0)</f>
        <v/>
      </c>
      <c r="H2568">
        <f>IF(IF('01_Вводные'!$B$296="Новый сезон",TRUE,TRUE),'06_Сеть_и_дети'!H77*CapacityAge25*'19_Расчет_аналитики'!$F$2235,0)</f>
        <v/>
      </c>
      <c r="I2568">
        <f>IF(IF('01_Вводные'!$B$296="Новый сезон",TRUE,TRUE),'06_Сеть_и_дети'!I77*CapacityAge25*'19_Расчет_аналитики'!$F$2235,0)</f>
        <v/>
      </c>
      <c r="J2568">
        <f>IF(IF('01_Вводные'!$B$296="Новый сезон",TRUE,TRUE),'06_Сеть_и_дети'!J77*CapacityAge25*'19_Расчет_аналитики'!$F$2235,0)</f>
        <v/>
      </c>
      <c r="K2568">
        <f>IF(IF('01_Вводные'!$B$296="Новый сезон",TRUE,TRUE),'06_Сеть_и_дети'!K77*CapacityAge25*'19_Расчет_аналитики'!$F$2235,0)</f>
        <v/>
      </c>
      <c r="L2568">
        <f>IF(IF('01_Вводные'!$B$296="Новый сезон",TRUE,TRUE),'06_Сеть_и_дети'!L77*CapacityAge25*'19_Расчет_аналитики'!$F$2235,0)</f>
        <v/>
      </c>
      <c r="M2568">
        <f>IF(IF('01_Вводные'!$B$296="Новый сезон",TRUE,TRUE),'06_Сеть_и_дети'!M77*CapacityAge25*'19_Расчет_аналитики'!$F$2235,0)</f>
        <v/>
      </c>
      <c r="N2568">
        <f>IF(IF('01_Вводные'!$B$296="Новый сезон",TRUE,TRUE),'06_Сеть_и_дети'!N77*CapacityAge25*'19_Расчет_аналитики'!$F$2235,0)</f>
        <v/>
      </c>
      <c r="O2568">
        <f>IF(IF('01_Вводные'!$B$296="Новый сезон",TRUE,TRUE),'06_Сеть_и_дети'!O77*CapacityAge25*'19_Расчет_аналитики'!$F$2235,0)</f>
        <v/>
      </c>
      <c r="P2568">
        <f>IF(IF('01_Вводные'!$B$296="Новый сезон",TRUE,TRUE),'06_Сеть_и_дети'!P77*CapacityAge25*'19_Расчет_аналитики'!$F$2235,0)</f>
        <v/>
      </c>
      <c r="Q2568">
        <f>IF(IF('01_Вводные'!$B$296="Новый сезон",TRUE,TRUE),'06_Сеть_и_дети'!Q77*CapacityAge25*'19_Расчет_аналитики'!$F$2235,0)</f>
        <v/>
      </c>
      <c r="R2568">
        <f>IF(IF('01_Вводные'!$B$296="Новый сезон",TRUE,TRUE),'06_Сеть_и_дети'!R77*CapacityAge25*'19_Расчет_аналитики'!$F$2235,0)</f>
        <v/>
      </c>
      <c r="S2568">
        <f>IF(IF('01_Вводные'!$B$296="Новый сезон",TRUE,TRUE),'06_Сеть_и_дети'!S77*CapacityAge25*'19_Расчет_аналитики'!$F$2235,0)</f>
        <v/>
      </c>
      <c r="T2568">
        <f>IF(IF('01_Вводные'!$B$296="Новый сезон",TRUE,TRUE),'06_Сеть_и_дети'!T77*CapacityAge25*'19_Расчет_аналитики'!$F$2235,0)</f>
        <v/>
      </c>
      <c r="U2568">
        <f>IF(IF('01_Вводные'!$B$296="Новый сезон",TRUE,TRUE),'06_Сеть_и_дети'!U77*CapacityAge25*'19_Расчет_аналитики'!$F$2235,0)</f>
        <v/>
      </c>
      <c r="V2568">
        <f>IF(IF('01_Вводные'!$B$296="Новый сезон",TRUE,TRUE),'06_Сеть_и_дети'!V77*CapacityAge25*'19_Расчет_аналитики'!$F$2235,0)</f>
        <v/>
      </c>
      <c r="W2568">
        <f>IF(IF('01_Вводные'!$B$296="Новый сезон",TRUE,TRUE),'06_Сеть_и_дети'!W77*CapacityAge25*'19_Расчет_аналитики'!$F$2235,0)</f>
        <v/>
      </c>
      <c r="X2568">
        <f>IF(IF('01_Вводные'!$B$296="Новый сезон",TRUE,TRUE),'06_Сеть_и_дети'!X77*CapacityAge25*'19_Расчет_аналитики'!$F$2235,0)</f>
        <v/>
      </c>
      <c r="Y2568">
        <f>IF(IF('01_Вводные'!$B$296="Новый сезон",TRUE,TRUE),'06_Сеть_и_дети'!Y77*CapacityAge25*'19_Расчет_аналитики'!$F$2235,0)</f>
        <v/>
      </c>
      <c r="Z2568">
        <f>IF(IF('01_Вводные'!$B$296="Новый сезон",TRUE,TRUE),'19_Расчет_аналитики'!Z2456*CapacityAge25*'19_Расчет_аналитики'!$F$2235,0)</f>
        <v/>
      </c>
      <c r="AA2568">
        <f>IF(IF('01_Вводные'!$B$296="Новый сезон",TRUE,TRUE),'19_Расчет_аналитики'!AA2456*CapacityAge25*'19_Расчет_аналитики'!$F$2235,0)</f>
        <v/>
      </c>
      <c r="AB2568">
        <f>IF(IF('01_Вводные'!$B$296="Новый сезон",TRUE,TRUE),'19_Расчет_аналитики'!AB2456*CapacityAge25*'19_Расчет_аналитики'!$F$2235,0)</f>
        <v/>
      </c>
      <c r="AC2568">
        <f>IF(IF('01_Вводные'!$B$296="Новый сезон",TRUE,TRUE),'19_Расчет_аналитики'!AC2456*CapacityAge25*'19_Расчет_аналитики'!$F$2235,0)</f>
        <v/>
      </c>
      <c r="AD2568">
        <f>IF(IF('01_Вводные'!$B$296="Новый сезон",TRUE,TRUE),'19_Расчет_аналитики'!AD2456*CapacityAge25*'19_Расчет_аналитики'!$F$2235,0)</f>
        <v/>
      </c>
      <c r="AE2568">
        <f>IF(IF('01_Вводные'!$B$296="Новый сезон",TRUE,TRUE),'19_Расчет_аналитики'!AE2456*CapacityAge25*'19_Расчет_аналитики'!$F$2235,0)</f>
        <v/>
      </c>
      <c r="AF2568">
        <f>IF(IF('01_Вводные'!$B$296="Новый сезон",TRUE,TRUE),'19_Расчет_аналитики'!AF2456*CapacityAge25*'19_Расчет_аналитики'!$F$2235,0)</f>
        <v/>
      </c>
      <c r="AG2568">
        <f>IF(IF('01_Вводные'!$B$296="Новый сезон",TRUE,TRUE),'19_Расчет_аналитики'!AG2456*CapacityAge25*'19_Расчет_аналитики'!$F$2235,0)</f>
        <v/>
      </c>
      <c r="AH2568">
        <f>IF(IF('01_Вводные'!$B$296="Новый сезон",TRUE,TRUE),'19_Расчет_аналитики'!AH2456*CapacityAge25*'19_Расчет_аналитики'!$F$2235,0)</f>
        <v/>
      </c>
      <c r="AI2568">
        <f>IF(IF('01_Вводные'!$B$296="Новый сезон",TRUE,TRUE),'19_Расчет_аналитики'!AI2456*CapacityAge25*'19_Расчет_аналитики'!$F$2235,0)</f>
        <v/>
      </c>
      <c r="AJ2568">
        <f>IF(IF('01_Вводные'!$B$296="Новый сезон",TRUE,TRUE),'19_Расчет_аналитики'!AJ2456*CapacityAge25*'19_Расчет_аналитики'!$F$2235,0)</f>
        <v/>
      </c>
      <c r="AK2568">
        <f>IF(IF('01_Вводные'!$B$296="Новый сезон",TRUE,TRUE),'19_Расчет_аналитики'!AK2456*CapacityAge25*'19_Расчет_аналитики'!$F$2235,0)</f>
        <v/>
      </c>
      <c r="AL2568">
        <f>IF(IF('01_Вводные'!$B$296="Новый сезон",TRUE,TRUE),'19_Расчет_аналитики'!AL2456*CapacityAge25*'19_Расчет_аналитики'!$F$2235,0)</f>
        <v/>
      </c>
      <c r="AM2568">
        <f>IF(IF('01_Вводные'!$B$296="Новый сезон",TRUE,TRUE),'19_Расчет_аналитики'!AM2456*CapacityAge25*'19_Расчет_аналитики'!$F$2235,0)</f>
        <v/>
      </c>
      <c r="AN2568">
        <f>IF(IF('01_Вводные'!$B$296="Новый сезон",TRUE,TRUE),'19_Расчет_аналитики'!AN2456*CapacityAge25*'19_Расчет_аналитики'!$F$2235,0)</f>
        <v/>
      </c>
      <c r="AO2568">
        <f>IF(IF('01_Вводные'!$B$296="Новый сезон",TRUE,TRUE),'19_Расчет_аналитики'!AO2456*CapacityAge25*'19_Расчет_аналитики'!$F$2235,0)</f>
        <v/>
      </c>
      <c r="AP2568">
        <f>IF(IF('01_Вводные'!$B$296="Новый сезон",TRUE,TRUE),'19_Расчет_аналитики'!AP2456*CapacityAge25*'19_Расчет_аналитики'!$F$2235,0)</f>
        <v/>
      </c>
      <c r="AQ2568">
        <f>IF(IF('01_Вводные'!$B$296="Новый сезон",TRUE,TRUE),'19_Расчет_аналитики'!AQ2456*CapacityAge25*'19_Расчет_аналитики'!$F$2235,0)</f>
        <v/>
      </c>
      <c r="AR2568">
        <f>IF(IF('01_Вводные'!$B$296="Новый сезон",TRUE,TRUE),'19_Расчет_аналитики'!AR2456*CapacityAge25*'19_Расчет_аналитики'!$F$2235,0)</f>
        <v/>
      </c>
      <c r="AS2568">
        <f>IF(IF('01_Вводные'!$B$296="Новый сезон",TRUE,TRUE),'19_Расчет_аналитики'!AS2456*CapacityAge25*'19_Расчет_аналитики'!$F$2235,0)</f>
        <v/>
      </c>
      <c r="AT2568">
        <f>IF(IF('01_Вводные'!$B$296="Новый сезон",TRUE,TRUE),'19_Расчет_аналитики'!AT2456*CapacityAge25*'19_Расчет_аналитики'!$F$2235,0)</f>
        <v/>
      </c>
      <c r="AU2568">
        <f>IF(IF('01_Вводные'!$B$296="Новый сезон",TRUE,TRUE),'19_Расчет_аналитики'!AU2456*CapacityAge25*'19_Расчет_аналитики'!$F$2235,0)</f>
        <v/>
      </c>
      <c r="AV2568">
        <f>IF(IF('01_Вводные'!$B$296="Новый сезон",TRUE,TRUE),'19_Расчет_аналитики'!AV2456*CapacityAge25*'19_Расчет_аналитики'!$F$2235,0)</f>
        <v/>
      </c>
      <c r="AW2568">
        <f>IF(IF('01_Вводные'!$B$296="Новый сезон",TRUE,TRUE),'19_Расчет_аналитики'!AW2456*CapacityAge25*'19_Расчет_аналитики'!$F$2235,0)</f>
        <v/>
      </c>
      <c r="AX2568">
        <f>IF(IF('01_Вводные'!$B$296="Новый сезон",TRUE,TRUE),'19_Расчет_аналитики'!AX2456*CapacityAge25*'19_Расчет_аналитики'!$F$2235,0)</f>
        <v/>
      </c>
      <c r="AY2568">
        <f>IF(IF('01_Вводные'!$B$296="Новый сезон",TRUE,TRUE),'19_Расчет_аналитики'!AY2456*CapacityAge25*'19_Расчет_аналитики'!$F$2235,0)</f>
        <v/>
      </c>
      <c r="AZ2568">
        <f>IF(IF('01_Вводные'!$B$296="Новый сезон",TRUE,TRUE),'19_Расчет_аналитики'!AZ2456*CapacityAge25*'19_Расчет_аналитики'!$F$2235,0)</f>
        <v/>
      </c>
      <c r="BA2568">
        <f>IF(IF('01_Вводные'!$B$296="Новый сезон",TRUE,TRUE),'19_Расчет_аналитики'!BA2456*CapacityAge25*'19_Расчет_аналитики'!$F$2235,0)</f>
        <v/>
      </c>
      <c r="BB2568">
        <f>IF(IF('01_Вводные'!$B$296="Новый сезон",TRUE,TRUE),'19_Расчет_аналитики'!BB2456*CapacityAge25*'19_Расчет_аналитики'!$F$2235,0)</f>
        <v/>
      </c>
      <c r="BC2568">
        <f>IF(IF('01_Вводные'!$B$296="Новый сезон",TRUE,TRUE),'19_Расчет_аналитики'!BC2456*CapacityAge25*'19_Расчет_аналитики'!$F$2235,0)</f>
        <v/>
      </c>
      <c r="BD2568">
        <f>IF(IF('01_Вводные'!$B$296="Новый сезон",TRUE,TRUE),'19_Расчет_аналитики'!BD2456*CapacityAge25*'19_Расчет_аналитики'!$F$2235,0)</f>
        <v/>
      </c>
      <c r="BE2568">
        <f>IF(IF('01_Вводные'!$B$296="Новый сезон",TRUE,TRUE),'19_Расчет_аналитики'!BE2456*CapacityAge25*'19_Расчет_аналитики'!$F$2235,0)</f>
        <v/>
      </c>
      <c r="BF2568">
        <f>IF(IF('01_Вводные'!$B$296="Новый сезон",TRUE,TRUE),'19_Расчет_аналитики'!BF2456*CapacityAge25*'19_Расчет_аналитики'!$F$2235,0)</f>
        <v/>
      </c>
      <c r="BG2568">
        <f>IF(IF('01_Вводные'!$B$296="Новый сезон",TRUE,TRUE),'19_Расчет_аналитики'!BG2456*CapacityAge25*'19_Расчет_аналитики'!$F$2235,0)</f>
        <v/>
      </c>
      <c r="BH2568">
        <f>IF(IF('01_Вводные'!$B$296="Новый сезон",TRUE,TRUE),'19_Расчет_аналитики'!BH2456*CapacityAge25*'19_Расчет_аналитики'!$F$2235,0)</f>
        <v/>
      </c>
      <c r="BI2568">
        <f>IF(IF('01_Вводные'!$B$296="Новый сезон",TRUE,TRUE),'19_Расчет_аналитики'!BI2456*CapacityAge25*'19_Расчет_аналитики'!$F$2235,0)</f>
        <v/>
      </c>
      <c r="BJ2568">
        <f>IF(IF('01_Вводные'!$B$296="Новый сезон",TRUE,TRUE),'19_Расчет_аналитики'!BJ2456*CapacityAge25*'19_Расчет_аналитики'!$F$2235,0)</f>
        <v/>
      </c>
      <c r="BK2568">
        <f>IF(IF('01_Вводные'!$B$296="Новый сезон",TRUE,TRUE),'19_Расчет_аналитики'!BK2456*CapacityAge25*'19_Расчет_аналитики'!$F$2235,0)</f>
        <v/>
      </c>
      <c r="BL2568">
        <f>IF(IF('01_Вводные'!$B$296="Новый сезон",TRUE,TRUE),'19_Расчет_аналитики'!BL2456*CapacityAge25*'19_Расчет_аналитики'!$F$2235,0)</f>
        <v/>
      </c>
      <c r="BM2568">
        <f>IF(IF('01_Вводные'!$B$296="Новый сезон",TRUE,TRUE),'19_Расчет_аналитики'!BM2456*CapacityAge25*'19_Расчет_аналитики'!$F$2235,0)</f>
        <v/>
      </c>
      <c r="BN2568">
        <f>IF(IF('01_Вводные'!$B$296="Новый сезон",TRUE,TRUE),'19_Расчет_аналитики'!BN2456*CapacityAge25*'19_Расчет_аналитики'!$F$2235,0)</f>
        <v/>
      </c>
      <c r="BO2568">
        <f>IF(IF('01_Вводные'!$B$296="Новый сезон",TRUE,TRUE),'19_Расчет_аналитики'!BO2456*CapacityAge25*'19_Расчет_аналитики'!$F$2235,0)</f>
        <v/>
      </c>
    </row>
    <row r="2569"/>
    <row r="2570">
      <c r="B2570">
        <f>SUM('19_Расчет_аналитики'!B2544:B2568)</f>
        <v/>
      </c>
      <c r="C2570">
        <f>SUM('19_Расчет_аналитики'!C2544:C2568)</f>
        <v/>
      </c>
      <c r="D2570">
        <f>SUM('19_Расчет_аналитики'!D2544:D2568)</f>
        <v/>
      </c>
      <c r="E2570">
        <f>SUM('19_Расчет_аналитики'!E2544:E2568)</f>
        <v/>
      </c>
      <c r="F2570">
        <f>SUM('19_Расчет_аналитики'!F2544:F2568)</f>
        <v/>
      </c>
      <c r="G2570">
        <f>SUM('19_Расчет_аналитики'!G2544:G2568)</f>
        <v/>
      </c>
      <c r="H2570">
        <f>SUM('19_Расчет_аналитики'!H2544:H2568)</f>
        <v/>
      </c>
      <c r="I2570">
        <f>SUM('19_Расчет_аналитики'!I2544:I2568)</f>
        <v/>
      </c>
      <c r="J2570">
        <f>SUM('19_Расчет_аналитики'!J2544:J2568)</f>
        <v/>
      </c>
      <c r="K2570">
        <f>SUM('19_Расчет_аналитики'!K2544:K2568)</f>
        <v/>
      </c>
      <c r="L2570">
        <f>SUM('19_Расчет_аналитики'!L2544:L2568)</f>
        <v/>
      </c>
      <c r="M2570">
        <f>SUM('19_Расчет_аналитики'!M2544:M2568)</f>
        <v/>
      </c>
      <c r="N2570">
        <f>SUM('19_Расчет_аналитики'!N2544:N2568)</f>
        <v/>
      </c>
      <c r="O2570">
        <f>SUM('19_Расчет_аналитики'!O2544:O2568)</f>
        <v/>
      </c>
      <c r="P2570">
        <f>SUM('19_Расчет_аналитики'!P2544:P2568)</f>
        <v/>
      </c>
      <c r="Q2570">
        <f>SUM('19_Расчет_аналитики'!Q2544:Q2568)</f>
        <v/>
      </c>
      <c r="R2570">
        <f>SUM('19_Расчет_аналитики'!R2544:R2568)</f>
        <v/>
      </c>
      <c r="S2570">
        <f>SUM('19_Расчет_аналитики'!S2544:S2568)</f>
        <v/>
      </c>
      <c r="T2570">
        <f>SUM('19_Расчет_аналитики'!T2544:T2568)</f>
        <v/>
      </c>
      <c r="U2570">
        <f>SUM('19_Расчет_аналитики'!U2544:U2568)</f>
        <v/>
      </c>
      <c r="V2570">
        <f>SUM('19_Расчет_аналитики'!V2544:V2568)</f>
        <v/>
      </c>
      <c r="W2570">
        <f>SUM('19_Расчет_аналитики'!W2544:W2568)</f>
        <v/>
      </c>
      <c r="X2570">
        <f>SUM('19_Расчет_аналитики'!X2544:X2568)</f>
        <v/>
      </c>
      <c r="Y2570">
        <f>SUM('19_Расчет_аналитики'!Y2544:Y2568)</f>
        <v/>
      </c>
      <c r="Z2570">
        <f>SUM('19_Расчет_аналитики'!Z2544:Z2568)</f>
        <v/>
      </c>
      <c r="AA2570">
        <f>SUM('19_Расчет_аналитики'!AA2544:AA2568)</f>
        <v/>
      </c>
      <c r="AB2570">
        <f>SUM('19_Расчет_аналитики'!AB2544:AB2568)</f>
        <v/>
      </c>
      <c r="AC2570">
        <f>SUM('19_Расчет_аналитики'!AC2544:AC2568)</f>
        <v/>
      </c>
      <c r="AD2570">
        <f>SUM('19_Расчет_аналитики'!AD2544:AD2568)</f>
        <v/>
      </c>
      <c r="AE2570">
        <f>SUM('19_Расчет_аналитики'!AE2544:AE2568)</f>
        <v/>
      </c>
      <c r="AF2570">
        <f>SUM('19_Расчет_аналитики'!AF2544:AF2568)</f>
        <v/>
      </c>
      <c r="AG2570">
        <f>SUM('19_Расчет_аналитики'!AG2544:AG2568)</f>
        <v/>
      </c>
      <c r="AH2570">
        <f>SUM('19_Расчет_аналитики'!AH2544:AH2568)</f>
        <v/>
      </c>
      <c r="AI2570">
        <f>SUM('19_Расчет_аналитики'!AI2544:AI2568)</f>
        <v/>
      </c>
      <c r="AJ2570">
        <f>SUM('19_Расчет_аналитики'!AJ2544:AJ2568)</f>
        <v/>
      </c>
      <c r="AK2570">
        <f>SUM('19_Расчет_аналитики'!AK2544:AK2568)</f>
        <v/>
      </c>
      <c r="AL2570">
        <f>SUM('19_Расчет_аналитики'!AL2544:AL2568)</f>
        <v/>
      </c>
      <c r="AM2570">
        <f>SUM('19_Расчет_аналитики'!AM2544:AM2568)</f>
        <v/>
      </c>
      <c r="AN2570">
        <f>SUM('19_Расчет_аналитики'!AN2544:AN2568)</f>
        <v/>
      </c>
      <c r="AO2570">
        <f>SUM('19_Расчет_аналитики'!AO2544:AO2568)</f>
        <v/>
      </c>
      <c r="AP2570">
        <f>SUM('19_Расчет_аналитики'!AP2544:AP2568)</f>
        <v/>
      </c>
      <c r="AQ2570">
        <f>SUM('19_Расчет_аналитики'!AQ2544:AQ2568)</f>
        <v/>
      </c>
      <c r="AR2570">
        <f>SUM('19_Расчет_аналитики'!AR2544:AR2568)</f>
        <v/>
      </c>
      <c r="AS2570">
        <f>SUM('19_Расчет_аналитики'!AS2544:AS2568)</f>
        <v/>
      </c>
      <c r="AT2570">
        <f>SUM('19_Расчет_аналитики'!AT2544:AT2568)</f>
        <v/>
      </c>
      <c r="AU2570">
        <f>SUM('19_Расчет_аналитики'!AU2544:AU2568)</f>
        <v/>
      </c>
      <c r="AV2570">
        <f>SUM('19_Расчет_аналитики'!AV2544:AV2568)</f>
        <v/>
      </c>
      <c r="AW2570">
        <f>SUM('19_Расчет_аналитики'!AW2544:AW2568)</f>
        <v/>
      </c>
      <c r="AX2570">
        <f>SUM('19_Расчет_аналитики'!AX2544:AX2568)</f>
        <v/>
      </c>
      <c r="AY2570">
        <f>SUM('19_Расчет_аналитики'!AY2544:AY2568)</f>
        <v/>
      </c>
      <c r="AZ2570">
        <f>SUM('19_Расчет_аналитики'!AZ2544:AZ2568)</f>
        <v/>
      </c>
      <c r="BA2570">
        <f>SUM('19_Расчет_аналитики'!BA2544:BA2568)</f>
        <v/>
      </c>
      <c r="BB2570">
        <f>SUM('19_Расчет_аналитики'!BB2544:BB2568)</f>
        <v/>
      </c>
      <c r="BC2570">
        <f>SUM('19_Расчет_аналитики'!BC2544:BC2568)</f>
        <v/>
      </c>
      <c r="BD2570">
        <f>SUM('19_Расчет_аналитики'!BD2544:BD2568)</f>
        <v/>
      </c>
      <c r="BE2570">
        <f>SUM('19_Расчет_аналитики'!BE2544:BE2568)</f>
        <v/>
      </c>
      <c r="BF2570">
        <f>SUM('19_Расчет_аналитики'!BF2544:BF2568)</f>
        <v/>
      </c>
      <c r="BG2570">
        <f>SUM('19_Расчет_аналитики'!BG2544:BG2568)</f>
        <v/>
      </c>
      <c r="BH2570">
        <f>SUM('19_Расчет_аналитики'!BH2544:BH2568)</f>
        <v/>
      </c>
      <c r="BI2570">
        <f>SUM('19_Расчет_аналитики'!BI2544:BI2568)</f>
        <v/>
      </c>
      <c r="BJ2570">
        <f>SUM('19_Расчет_аналитики'!BJ2544:BJ2568)</f>
        <v/>
      </c>
      <c r="BK2570">
        <f>SUM('19_Расчет_аналитики'!BK2544:BK2568)</f>
        <v/>
      </c>
      <c r="BL2570">
        <f>SUM('19_Расчет_аналитики'!BL2544:BL2568)</f>
        <v/>
      </c>
      <c r="BM2570">
        <f>SUM('19_Расчет_аналитики'!BM2544:BM2568)</f>
        <v/>
      </c>
      <c r="BN2570">
        <f>SUM('19_Расчет_аналитики'!BN2544:BN2568)</f>
        <v/>
      </c>
      <c r="BO2570">
        <f>SUM('19_Расчет_аналитики'!BO2544:BO2568)</f>
        <v/>
      </c>
    </row>
    <row r="2571"/>
    <row r="2572"/>
    <row r="2573"/>
    <row r="2574"/>
    <row r="2575"/>
    <row r="2576"/>
    <row r="2577"/>
    <row r="2578"/>
    <row r="2579"/>
    <row r="2580"/>
    <row r="2581">
      <c r="B2581">
        <f>'06_Сеть_и_дети'!B5*'19_Расчет_аналитики'!$F$2235*'19_Расчет_аналитики'!$F$2236*'18_Календарь_тарифы'!B4</f>
        <v/>
      </c>
      <c r="C2581">
        <f>'06_Сеть_и_дети'!C5*'19_Расчет_аналитики'!$F$2235*'19_Расчет_аналитики'!$F$2236*'18_Календарь_тарифы'!C4</f>
        <v/>
      </c>
      <c r="D2581">
        <f>'06_Сеть_и_дети'!D5*'19_Расчет_аналитики'!$F$2235*'19_Расчет_аналитики'!$F$2236*'18_Календарь_тарифы'!D4</f>
        <v/>
      </c>
      <c r="E2581">
        <f>'06_Сеть_и_дети'!E5*'19_Расчет_аналитики'!$F$2235*'19_Расчет_аналитики'!$F$2236*'18_Календарь_тарифы'!E4</f>
        <v/>
      </c>
      <c r="F2581">
        <f>'06_Сеть_и_дети'!F5*'19_Расчет_аналитики'!$F$2235*'19_Расчет_аналитики'!$F$2236*'18_Календарь_тарифы'!F4</f>
        <v/>
      </c>
      <c r="G2581">
        <f>'06_Сеть_и_дети'!G5*'19_Расчет_аналитики'!$F$2235*'19_Расчет_аналитики'!$F$2236*'18_Календарь_тарифы'!G4</f>
        <v/>
      </c>
      <c r="H2581">
        <f>'06_Сеть_и_дети'!H5*'19_Расчет_аналитики'!$F$2235*'19_Расчет_аналитики'!$F$2236*'18_Календарь_тарифы'!H4</f>
        <v/>
      </c>
      <c r="I2581">
        <f>'06_Сеть_и_дети'!I5*'19_Расчет_аналитики'!$F$2235*'19_Расчет_аналитики'!$F$2236*'18_Календарь_тарифы'!I4</f>
        <v/>
      </c>
      <c r="J2581">
        <f>'06_Сеть_и_дети'!J5*'19_Расчет_аналитики'!$F$2235*'19_Расчет_аналитики'!$F$2236*'18_Календарь_тарифы'!J4</f>
        <v/>
      </c>
      <c r="K2581">
        <f>'06_Сеть_и_дети'!K5*'19_Расчет_аналитики'!$F$2235*'19_Расчет_аналитики'!$F$2236*'18_Календарь_тарифы'!K4</f>
        <v/>
      </c>
      <c r="L2581">
        <f>'06_Сеть_и_дети'!L5*'19_Расчет_аналитики'!$F$2235*'19_Расчет_аналитики'!$F$2236*'18_Календарь_тарифы'!L4</f>
        <v/>
      </c>
      <c r="M2581">
        <f>'06_Сеть_и_дети'!M5*'19_Расчет_аналитики'!$F$2235*'19_Расчет_аналитики'!$F$2236*'18_Календарь_тарифы'!M4</f>
        <v/>
      </c>
      <c r="N2581">
        <f>'06_Сеть_и_дети'!N5*'19_Расчет_аналитики'!$F$2235*'19_Расчет_аналитики'!$F$2236*'18_Календарь_тарифы'!N4</f>
        <v/>
      </c>
      <c r="O2581">
        <f>'06_Сеть_и_дети'!O5*'19_Расчет_аналитики'!$F$2235*'19_Расчет_аналитики'!$F$2236*'18_Календарь_тарифы'!O4</f>
        <v/>
      </c>
      <c r="P2581">
        <f>'06_Сеть_и_дети'!P5*'19_Расчет_аналитики'!$F$2235*'19_Расчет_аналитики'!$F$2236*'18_Календарь_тарифы'!P4</f>
        <v/>
      </c>
      <c r="Q2581">
        <f>'06_Сеть_и_дети'!Q5*'19_Расчет_аналитики'!$F$2235*'19_Расчет_аналитики'!$F$2236*'18_Календарь_тарифы'!Q4</f>
        <v/>
      </c>
      <c r="R2581">
        <f>'06_Сеть_и_дети'!R5*'19_Расчет_аналитики'!$F$2235*'19_Расчет_аналитики'!$F$2236*'18_Календарь_тарифы'!R4</f>
        <v/>
      </c>
      <c r="S2581">
        <f>'06_Сеть_и_дети'!S5*'19_Расчет_аналитики'!$F$2235*'19_Расчет_аналитики'!$F$2236*'18_Календарь_тарифы'!S4</f>
        <v/>
      </c>
      <c r="T2581">
        <f>'06_Сеть_и_дети'!T5*'19_Расчет_аналитики'!$F$2235*'19_Расчет_аналитики'!$F$2236*'18_Календарь_тарифы'!T4</f>
        <v/>
      </c>
      <c r="U2581">
        <f>'06_Сеть_и_дети'!U5*'19_Расчет_аналитики'!$F$2235*'19_Расчет_аналитики'!$F$2236*'18_Календарь_тарифы'!U4</f>
        <v/>
      </c>
      <c r="V2581">
        <f>'06_Сеть_и_дети'!V5*'19_Расчет_аналитики'!$F$2235*'19_Расчет_аналитики'!$F$2236*'18_Календарь_тарифы'!V4</f>
        <v/>
      </c>
      <c r="W2581">
        <f>'06_Сеть_и_дети'!W5*'19_Расчет_аналитики'!$F$2235*'19_Расчет_аналитики'!$F$2236*'18_Календарь_тарифы'!W4</f>
        <v/>
      </c>
      <c r="X2581">
        <f>'06_Сеть_и_дети'!X5*'19_Расчет_аналитики'!$F$2235*'19_Расчет_аналитики'!$F$2236*'18_Календарь_тарифы'!X4</f>
        <v/>
      </c>
      <c r="Y2581">
        <f>'06_Сеть_и_дети'!Y5*'19_Расчет_аналитики'!$F$2235*'19_Расчет_аналитики'!$F$2236*'18_Календарь_тарифы'!Y4</f>
        <v/>
      </c>
      <c r="Z2581">
        <f>'06_Сеть_и_дети'!Z5*'19_Расчет_аналитики'!$F$2235*'19_Расчет_аналитики'!$F$2236*'18_Календарь_тарифы'!Z4</f>
        <v/>
      </c>
      <c r="AA2581">
        <f>'06_Сеть_и_дети'!AA5*'19_Расчет_аналитики'!$F$2235*'19_Расчет_аналитики'!$F$2236*'18_Календарь_тарифы'!AA4</f>
        <v/>
      </c>
      <c r="AB2581">
        <f>'06_Сеть_и_дети'!AB5*'19_Расчет_аналитики'!$F$2235*'19_Расчет_аналитики'!$F$2236*'18_Календарь_тарифы'!AB4</f>
        <v/>
      </c>
      <c r="AC2581">
        <f>'06_Сеть_и_дети'!AC5*'19_Расчет_аналитики'!$F$2235*'19_Расчет_аналитики'!$F$2236*'18_Календарь_тарифы'!AC4</f>
        <v/>
      </c>
      <c r="AD2581">
        <f>'06_Сеть_и_дети'!AD5*'19_Расчет_аналитики'!$F$2235*'19_Расчет_аналитики'!$F$2236*'18_Календарь_тарифы'!AD4</f>
        <v/>
      </c>
      <c r="AE2581">
        <f>'06_Сеть_и_дети'!AE5*'19_Расчет_аналитики'!$F$2235*'19_Расчет_аналитики'!$F$2236*'18_Календарь_тарифы'!AE4</f>
        <v/>
      </c>
      <c r="AF2581">
        <f>'06_Сеть_и_дети'!AF5*'19_Расчет_аналитики'!$F$2235*'19_Расчет_аналитики'!$F$2236*'18_Календарь_тарифы'!AF4</f>
        <v/>
      </c>
      <c r="AG2581">
        <f>'06_Сеть_и_дети'!AG5*'19_Расчет_аналитики'!$F$2235*'19_Расчет_аналитики'!$F$2236*'18_Календарь_тарифы'!AG4</f>
        <v/>
      </c>
      <c r="AH2581">
        <f>'06_Сеть_и_дети'!AH5*'19_Расчет_аналитики'!$F$2235*'19_Расчет_аналитики'!$F$2236*'18_Календарь_тарифы'!AH4</f>
        <v/>
      </c>
      <c r="AI2581">
        <f>'06_Сеть_и_дети'!AI5*'19_Расчет_аналитики'!$F$2235*'19_Расчет_аналитики'!$F$2236*'18_Календарь_тарифы'!AI4</f>
        <v/>
      </c>
      <c r="AJ2581">
        <f>'06_Сеть_и_дети'!AJ5*'19_Расчет_аналитики'!$F$2235*'19_Расчет_аналитики'!$F$2236*'18_Календарь_тарифы'!AJ4</f>
        <v/>
      </c>
      <c r="AK2581">
        <f>'06_Сеть_и_дети'!AK5*'19_Расчет_аналитики'!$F$2235*'19_Расчет_аналитики'!$F$2236*'18_Календарь_тарифы'!AK4</f>
        <v/>
      </c>
      <c r="AL2581">
        <f>'06_Сеть_и_дети'!AL5*'19_Расчет_аналитики'!$F$2235*'19_Расчет_аналитики'!$F$2236*'18_Календарь_тарифы'!AL4</f>
        <v/>
      </c>
      <c r="AM2581">
        <f>'06_Сеть_и_дети'!AM5*'19_Расчет_аналитики'!$F$2235*'19_Расчет_аналитики'!$F$2236*'18_Календарь_тарифы'!AM4</f>
        <v/>
      </c>
      <c r="AN2581">
        <f>'06_Сеть_и_дети'!AN5*'19_Расчет_аналитики'!$F$2235*'19_Расчет_аналитики'!$F$2236*'18_Календарь_тарифы'!AN4</f>
        <v/>
      </c>
      <c r="AO2581">
        <f>'06_Сеть_и_дети'!AO5*'19_Расчет_аналитики'!$F$2235*'19_Расчет_аналитики'!$F$2236*'18_Календарь_тарифы'!AO4</f>
        <v/>
      </c>
      <c r="AP2581">
        <f>'06_Сеть_и_дети'!AP5*'19_Расчет_аналитики'!$F$2235*'19_Расчет_аналитики'!$F$2236*'18_Календарь_тарифы'!AP4</f>
        <v/>
      </c>
      <c r="AQ2581">
        <f>'06_Сеть_и_дети'!AQ5*'19_Расчет_аналитики'!$F$2235*'19_Расчет_аналитики'!$F$2236*'18_Календарь_тарифы'!AQ4</f>
        <v/>
      </c>
      <c r="AR2581">
        <f>'06_Сеть_и_дети'!AR5*'19_Расчет_аналитики'!$F$2235*'19_Расчет_аналитики'!$F$2236*'18_Календарь_тарифы'!AR4</f>
        <v/>
      </c>
      <c r="AS2581">
        <f>'06_Сеть_и_дети'!AS5*'19_Расчет_аналитики'!$F$2235*'19_Расчет_аналитики'!$F$2236*'18_Календарь_тарифы'!AS4</f>
        <v/>
      </c>
      <c r="AT2581">
        <f>'06_Сеть_и_дети'!AT5*'19_Расчет_аналитики'!$F$2235*'19_Расчет_аналитики'!$F$2236*'18_Календарь_тарифы'!AT4</f>
        <v/>
      </c>
      <c r="AU2581">
        <f>'06_Сеть_и_дети'!AU5*'19_Расчет_аналитики'!$F$2235*'19_Расчет_аналитики'!$F$2236*'18_Календарь_тарифы'!AU4</f>
        <v/>
      </c>
      <c r="AV2581">
        <f>'06_Сеть_и_дети'!AV5*'19_Расчет_аналитики'!$F$2235*'19_Расчет_аналитики'!$F$2236*'18_Календарь_тарифы'!AV4</f>
        <v/>
      </c>
      <c r="AW2581">
        <f>'06_Сеть_и_дети'!AW5*'19_Расчет_аналитики'!$F$2235*'19_Расчет_аналитики'!$F$2236*'18_Календарь_тарифы'!AW4</f>
        <v/>
      </c>
      <c r="AX2581">
        <f>'06_Сеть_и_дети'!AX5*'19_Расчет_аналитики'!$F$2235*'19_Расчет_аналитики'!$F$2236*'18_Календарь_тарифы'!AX4</f>
        <v/>
      </c>
      <c r="AY2581">
        <f>'06_Сеть_и_дети'!AY5*'19_Расчет_аналитики'!$F$2235*'19_Расчет_аналитики'!$F$2236*'18_Календарь_тарифы'!AY4</f>
        <v/>
      </c>
      <c r="AZ2581">
        <f>'06_Сеть_и_дети'!AZ5*'19_Расчет_аналитики'!$F$2235*'19_Расчет_аналитики'!$F$2236*'18_Календарь_тарифы'!AZ4</f>
        <v/>
      </c>
      <c r="BA2581">
        <f>'06_Сеть_и_дети'!BA5*'19_Расчет_аналитики'!$F$2235*'19_Расчет_аналитики'!$F$2236*'18_Календарь_тарифы'!BA4</f>
        <v/>
      </c>
      <c r="BB2581">
        <f>'06_Сеть_и_дети'!BB5*'19_Расчет_аналитики'!$F$2235*'19_Расчет_аналитики'!$F$2236*'18_Календарь_тарифы'!BB4</f>
        <v/>
      </c>
      <c r="BC2581">
        <f>'06_Сеть_и_дети'!BC5*'19_Расчет_аналитики'!$F$2235*'19_Расчет_аналитики'!$F$2236*'18_Календарь_тарифы'!BC4</f>
        <v/>
      </c>
      <c r="BD2581">
        <f>'06_Сеть_и_дети'!BD5*'19_Расчет_аналитики'!$F$2235*'19_Расчет_аналитики'!$F$2236*'18_Календарь_тарифы'!BD4</f>
        <v/>
      </c>
      <c r="BE2581">
        <f>'06_Сеть_и_дети'!BE5*'19_Расчет_аналитики'!$F$2235*'19_Расчет_аналитики'!$F$2236*'18_Календарь_тарифы'!BE4</f>
        <v/>
      </c>
      <c r="BF2581">
        <f>'06_Сеть_и_дети'!BF5*'19_Расчет_аналитики'!$F$2235*'19_Расчет_аналитики'!$F$2236*'18_Календарь_тарифы'!BF4</f>
        <v/>
      </c>
      <c r="BG2581">
        <f>'06_Сеть_и_дети'!BG5*'19_Расчет_аналитики'!$F$2235*'19_Расчет_аналитики'!$F$2236*'18_Календарь_тарифы'!BG4</f>
        <v/>
      </c>
      <c r="BH2581">
        <f>'06_Сеть_и_дети'!BH5*'19_Расчет_аналитики'!$F$2235*'19_Расчет_аналитики'!$F$2236*'18_Календарь_тарифы'!BH4</f>
        <v/>
      </c>
      <c r="BI2581">
        <f>'06_Сеть_и_дети'!BI5*'19_Расчет_аналитики'!$F$2235*'19_Расчет_аналитики'!$F$2236*'18_Календарь_тарифы'!BI4</f>
        <v/>
      </c>
      <c r="BJ2581">
        <f>'06_Сеть_и_дети'!BJ5*'19_Расчет_аналитики'!$F$2235*'19_Расчет_аналитики'!$F$2236*'18_Календарь_тарифы'!BJ4</f>
        <v/>
      </c>
      <c r="BK2581">
        <f>'06_Сеть_и_дети'!BK5*'19_Расчет_аналитики'!$F$2235*'19_Расчет_аналитики'!$F$2236*'18_Календарь_тарифы'!BK4</f>
        <v/>
      </c>
      <c r="BL2581">
        <f>'06_Сеть_и_дети'!BL5*'19_Расчет_аналитики'!$F$2235*'19_Расчет_аналитики'!$F$2236*'18_Календарь_тарифы'!BL4</f>
        <v/>
      </c>
      <c r="BM2581">
        <f>'06_Сеть_и_дети'!BM5*'19_Расчет_аналитики'!$F$2235*'19_Расчет_аналитики'!$F$2236*'18_Календарь_тарифы'!BM4</f>
        <v/>
      </c>
      <c r="BN2581">
        <f>'06_Сеть_и_дети'!BN5*'19_Расчет_аналитики'!$F$2235*'19_Расчет_аналитики'!$F$2236*'18_Календарь_тарифы'!BN4</f>
        <v/>
      </c>
      <c r="BO2581">
        <f>'06_Сеть_и_дети'!BO5*'19_Расчет_аналитики'!$F$2235*'19_Расчет_аналитики'!$F$2236*'18_Календарь_тарифы'!BO4</f>
        <v/>
      </c>
    </row>
    <row r="2582"/>
    <row r="2583">
      <c r="B2583">
        <f>'19_Расчет_аналитики'!B2581*IF('06_Сеть_и_дети'!B$3&gt;='01_Вводные'!$B$245,'01_Вводные'!$B$57,'01_Вводные'!$B$55)</f>
        <v/>
      </c>
      <c r="C2583">
        <f>'19_Расчет_аналитики'!C2581*IF('06_Сеть_и_дети'!C$3&gt;='01_Вводные'!$B$245,'01_Вводные'!$B$57,'01_Вводные'!$B$55)</f>
        <v/>
      </c>
      <c r="D2583">
        <f>'19_Расчет_аналитики'!D2581*IF('06_Сеть_и_дети'!D$3&gt;='01_Вводные'!$B$245,'01_Вводные'!$B$57,'01_Вводные'!$B$55)</f>
        <v/>
      </c>
      <c r="E2583">
        <f>'19_Расчет_аналитики'!E2581*IF('06_Сеть_и_дети'!E$3&gt;='01_Вводные'!$B$245,'01_Вводные'!$B$57,'01_Вводные'!$B$55)</f>
        <v/>
      </c>
      <c r="F2583">
        <f>'19_Расчет_аналитики'!F2581*IF('06_Сеть_и_дети'!F$3&gt;='01_Вводные'!$B$245,'01_Вводные'!$B$57,'01_Вводные'!$B$55)</f>
        <v/>
      </c>
      <c r="G2583">
        <f>'19_Расчет_аналитики'!G2581*IF('06_Сеть_и_дети'!G$3&gt;='01_Вводные'!$B$245,'01_Вводные'!$B$57,'01_Вводные'!$B$55)</f>
        <v/>
      </c>
      <c r="H2583">
        <f>'19_Расчет_аналитики'!H2581*IF('06_Сеть_и_дети'!H$3&gt;='01_Вводные'!$B$245,'01_Вводные'!$B$57,'01_Вводные'!$B$55)</f>
        <v/>
      </c>
      <c r="I2583">
        <f>'19_Расчет_аналитики'!I2581*IF('06_Сеть_и_дети'!I$3&gt;='01_Вводные'!$B$245,'01_Вводные'!$B$57,'01_Вводные'!$B$55)</f>
        <v/>
      </c>
      <c r="J2583">
        <f>'19_Расчет_аналитики'!J2581*IF('06_Сеть_и_дети'!J$3&gt;='01_Вводные'!$B$245,'01_Вводные'!$B$57,'01_Вводные'!$B$55)</f>
        <v/>
      </c>
      <c r="K2583">
        <f>'19_Расчет_аналитики'!K2581*IF('06_Сеть_и_дети'!K$3&gt;='01_Вводные'!$B$245,'01_Вводные'!$B$57,'01_Вводные'!$B$55)</f>
        <v/>
      </c>
      <c r="L2583">
        <f>'19_Расчет_аналитики'!L2581*IF('06_Сеть_и_дети'!L$3&gt;='01_Вводные'!$B$245,'01_Вводные'!$B$57,'01_Вводные'!$B$55)</f>
        <v/>
      </c>
      <c r="M2583">
        <f>'19_Расчет_аналитики'!M2581*IF('06_Сеть_и_дети'!M$3&gt;='01_Вводные'!$B$245,'01_Вводные'!$B$57,'01_Вводные'!$B$55)</f>
        <v/>
      </c>
      <c r="N2583">
        <f>'19_Расчет_аналитики'!N2581*IF('06_Сеть_и_дети'!N$3&gt;='01_Вводные'!$B$245,'01_Вводные'!$B$57,'01_Вводные'!$B$55)</f>
        <v/>
      </c>
      <c r="O2583">
        <f>'19_Расчет_аналитики'!O2581*IF('06_Сеть_и_дети'!O$3&gt;='01_Вводные'!$B$245,'01_Вводные'!$B$57,'01_Вводные'!$B$55)</f>
        <v/>
      </c>
      <c r="P2583">
        <f>'19_Расчет_аналитики'!P2581*IF('06_Сеть_и_дети'!P$3&gt;='01_Вводные'!$B$245,'01_Вводные'!$B$57,'01_Вводные'!$B$55)</f>
        <v/>
      </c>
      <c r="Q2583">
        <f>'19_Расчет_аналитики'!Q2581*IF('06_Сеть_и_дети'!Q$3&gt;='01_Вводные'!$B$245,'01_Вводные'!$B$57,'01_Вводные'!$B$55)</f>
        <v/>
      </c>
      <c r="R2583">
        <f>'19_Расчет_аналитики'!R2581*IF('06_Сеть_и_дети'!R$3&gt;='01_Вводные'!$B$245,'01_Вводные'!$B$57,'01_Вводные'!$B$55)</f>
        <v/>
      </c>
      <c r="S2583">
        <f>'19_Расчет_аналитики'!S2581*IF('06_Сеть_и_дети'!S$3&gt;='01_Вводные'!$B$245,'01_Вводные'!$B$57,'01_Вводные'!$B$55)</f>
        <v/>
      </c>
      <c r="T2583">
        <f>'19_Расчет_аналитики'!T2581*IF('06_Сеть_и_дети'!T$3&gt;='01_Вводные'!$B$245,'01_Вводные'!$B$57,'01_Вводные'!$B$55)</f>
        <v/>
      </c>
      <c r="U2583">
        <f>'19_Расчет_аналитики'!U2581*IF('06_Сеть_и_дети'!U$3&gt;='01_Вводные'!$B$245,'01_Вводные'!$B$57,'01_Вводные'!$B$55)</f>
        <v/>
      </c>
      <c r="V2583">
        <f>'19_Расчет_аналитики'!V2581*IF('06_Сеть_и_дети'!V$3&gt;='01_Вводные'!$B$245,'01_Вводные'!$B$57,'01_Вводные'!$B$55)</f>
        <v/>
      </c>
      <c r="W2583">
        <f>'19_Расчет_аналитики'!W2581*IF('06_Сеть_и_дети'!W$3&gt;='01_Вводные'!$B$245,'01_Вводные'!$B$57,'01_Вводные'!$B$55)</f>
        <v/>
      </c>
      <c r="X2583">
        <f>'19_Расчет_аналитики'!X2581*IF('06_Сеть_и_дети'!X$3&gt;='01_Вводные'!$B$245,'01_Вводные'!$B$57,'01_Вводные'!$B$55)</f>
        <v/>
      </c>
      <c r="Y2583">
        <f>'19_Расчет_аналитики'!Y2581*IF('06_Сеть_и_дети'!Y$3&gt;='01_Вводные'!$B$245,'01_Вводные'!$B$57,'01_Вводные'!$B$55)</f>
        <v/>
      </c>
      <c r="Z2583">
        <f>'19_Расчет_аналитики'!Z2581*IF('06_Сеть_и_дети'!Z$3&gt;='01_Вводные'!$B$245,'01_Вводные'!$B$57,'01_Вводные'!$B$55)</f>
        <v/>
      </c>
      <c r="AA2583">
        <f>'19_Расчет_аналитики'!AA2581*IF('06_Сеть_и_дети'!AA$3&gt;='01_Вводные'!$B$245,'01_Вводные'!$B$57,'01_Вводные'!$B$55)</f>
        <v/>
      </c>
      <c r="AB2583">
        <f>'19_Расчет_аналитики'!AB2581*IF('06_Сеть_и_дети'!AB$3&gt;='01_Вводные'!$B$245,'01_Вводные'!$B$57,'01_Вводные'!$B$55)</f>
        <v/>
      </c>
      <c r="AC2583">
        <f>'19_Расчет_аналитики'!AC2581*IF('06_Сеть_и_дети'!AC$3&gt;='01_Вводные'!$B$245,'01_Вводные'!$B$57,'01_Вводные'!$B$55)</f>
        <v/>
      </c>
      <c r="AD2583">
        <f>'19_Расчет_аналитики'!AD2581*IF('06_Сеть_и_дети'!AD$3&gt;='01_Вводные'!$B$245,'01_Вводные'!$B$57,'01_Вводные'!$B$55)</f>
        <v/>
      </c>
      <c r="AE2583">
        <f>'19_Расчет_аналитики'!AE2581*IF('06_Сеть_и_дети'!AE$3&gt;='01_Вводные'!$B$245,'01_Вводные'!$B$57,'01_Вводные'!$B$55)</f>
        <v/>
      </c>
      <c r="AF2583">
        <f>'19_Расчет_аналитики'!AF2581*IF('06_Сеть_и_дети'!AF$3&gt;='01_Вводные'!$B$245,'01_Вводные'!$B$57,'01_Вводные'!$B$55)</f>
        <v/>
      </c>
      <c r="AG2583">
        <f>'19_Расчет_аналитики'!AG2581*IF('06_Сеть_и_дети'!AG$3&gt;='01_Вводные'!$B$245,'01_Вводные'!$B$57,'01_Вводные'!$B$55)</f>
        <v/>
      </c>
      <c r="AH2583">
        <f>'19_Расчет_аналитики'!AH2581*IF('06_Сеть_и_дети'!AH$3&gt;='01_Вводные'!$B$245,'01_Вводные'!$B$57,'01_Вводные'!$B$55)</f>
        <v/>
      </c>
      <c r="AI2583">
        <f>'19_Расчет_аналитики'!AI2581*IF('06_Сеть_и_дети'!AI$3&gt;='01_Вводные'!$B$245,'01_Вводные'!$B$57,'01_Вводные'!$B$55)</f>
        <v/>
      </c>
      <c r="AJ2583">
        <f>'19_Расчет_аналитики'!AJ2581*IF('06_Сеть_и_дети'!AJ$3&gt;='01_Вводные'!$B$245,'01_Вводные'!$B$57,'01_Вводные'!$B$55)</f>
        <v/>
      </c>
      <c r="AK2583">
        <f>'19_Расчет_аналитики'!AK2581*IF('06_Сеть_и_дети'!AK$3&gt;='01_Вводные'!$B$245,'01_Вводные'!$B$57,'01_Вводные'!$B$55)</f>
        <v/>
      </c>
      <c r="AL2583">
        <f>'19_Расчет_аналитики'!AL2581*IF('06_Сеть_и_дети'!AL$3&gt;='01_Вводные'!$B$245,'01_Вводные'!$B$57,'01_Вводные'!$B$55)</f>
        <v/>
      </c>
      <c r="AM2583">
        <f>'19_Расчет_аналитики'!AM2581*IF('06_Сеть_и_дети'!AM$3&gt;='01_Вводные'!$B$245,'01_Вводные'!$B$57,'01_Вводные'!$B$55)</f>
        <v/>
      </c>
      <c r="AN2583">
        <f>'19_Расчет_аналитики'!AN2581*IF('06_Сеть_и_дети'!AN$3&gt;='01_Вводные'!$B$245,'01_Вводные'!$B$57,'01_Вводные'!$B$55)</f>
        <v/>
      </c>
      <c r="AO2583">
        <f>'19_Расчет_аналитики'!AO2581*IF('06_Сеть_и_дети'!AO$3&gt;='01_Вводные'!$B$245,'01_Вводные'!$B$57,'01_Вводные'!$B$55)</f>
        <v/>
      </c>
      <c r="AP2583">
        <f>'19_Расчет_аналитики'!AP2581*IF('06_Сеть_и_дети'!AP$3&gt;='01_Вводные'!$B$245,'01_Вводные'!$B$57,'01_Вводные'!$B$55)</f>
        <v/>
      </c>
      <c r="AQ2583">
        <f>'19_Расчет_аналитики'!AQ2581*IF('06_Сеть_и_дети'!AQ$3&gt;='01_Вводные'!$B$245,'01_Вводные'!$B$57,'01_Вводные'!$B$55)</f>
        <v/>
      </c>
      <c r="AR2583">
        <f>'19_Расчет_аналитики'!AR2581*IF('06_Сеть_и_дети'!AR$3&gt;='01_Вводные'!$B$245,'01_Вводные'!$B$57,'01_Вводные'!$B$55)</f>
        <v/>
      </c>
      <c r="AS2583">
        <f>'19_Расчет_аналитики'!AS2581*IF('06_Сеть_и_дети'!AS$3&gt;='01_Вводные'!$B$245,'01_Вводные'!$B$57,'01_Вводные'!$B$55)</f>
        <v/>
      </c>
      <c r="AT2583">
        <f>'19_Расчет_аналитики'!AT2581*IF('06_Сеть_и_дети'!AT$3&gt;='01_Вводные'!$B$245,'01_Вводные'!$B$57,'01_Вводные'!$B$55)</f>
        <v/>
      </c>
      <c r="AU2583">
        <f>'19_Расчет_аналитики'!AU2581*IF('06_Сеть_и_дети'!AU$3&gt;='01_Вводные'!$B$245,'01_Вводные'!$B$57,'01_Вводные'!$B$55)</f>
        <v/>
      </c>
      <c r="AV2583">
        <f>'19_Расчет_аналитики'!AV2581*IF('06_Сеть_и_дети'!AV$3&gt;='01_Вводные'!$B$245,'01_Вводные'!$B$57,'01_Вводные'!$B$55)</f>
        <v/>
      </c>
      <c r="AW2583">
        <f>'19_Расчет_аналитики'!AW2581*IF('06_Сеть_и_дети'!AW$3&gt;='01_Вводные'!$B$245,'01_Вводные'!$B$57,'01_Вводные'!$B$55)</f>
        <v/>
      </c>
      <c r="AX2583">
        <f>'19_Расчет_аналитики'!AX2581*IF('06_Сеть_и_дети'!AX$3&gt;='01_Вводные'!$B$245,'01_Вводные'!$B$57,'01_Вводные'!$B$55)</f>
        <v/>
      </c>
      <c r="AY2583">
        <f>'19_Расчет_аналитики'!AY2581*IF('06_Сеть_и_дети'!AY$3&gt;='01_Вводные'!$B$245,'01_Вводные'!$B$57,'01_Вводные'!$B$55)</f>
        <v/>
      </c>
      <c r="AZ2583">
        <f>'19_Расчет_аналитики'!AZ2581*IF('06_Сеть_и_дети'!AZ$3&gt;='01_Вводные'!$B$245,'01_Вводные'!$B$57,'01_Вводные'!$B$55)</f>
        <v/>
      </c>
      <c r="BA2583">
        <f>'19_Расчет_аналитики'!BA2581*IF('06_Сеть_и_дети'!BA$3&gt;='01_Вводные'!$B$245,'01_Вводные'!$B$57,'01_Вводные'!$B$55)</f>
        <v/>
      </c>
      <c r="BB2583">
        <f>'19_Расчет_аналитики'!BB2581*IF('06_Сеть_и_дети'!BB$3&gt;='01_Вводные'!$B$245,'01_Вводные'!$B$57,'01_Вводные'!$B$55)</f>
        <v/>
      </c>
      <c r="BC2583">
        <f>'19_Расчет_аналитики'!BC2581*IF('06_Сеть_и_дети'!BC$3&gt;='01_Вводные'!$B$245,'01_Вводные'!$B$57,'01_Вводные'!$B$55)</f>
        <v/>
      </c>
      <c r="BD2583">
        <f>'19_Расчет_аналитики'!BD2581*IF('06_Сеть_и_дети'!BD$3&gt;='01_Вводные'!$B$245,'01_Вводные'!$B$57,'01_Вводные'!$B$55)</f>
        <v/>
      </c>
      <c r="BE2583">
        <f>'19_Расчет_аналитики'!BE2581*IF('06_Сеть_и_дети'!BE$3&gt;='01_Вводные'!$B$245,'01_Вводные'!$B$57,'01_Вводные'!$B$55)</f>
        <v/>
      </c>
      <c r="BF2583">
        <f>'19_Расчет_аналитики'!BF2581*IF('06_Сеть_и_дети'!BF$3&gt;='01_Вводные'!$B$245,'01_Вводные'!$B$57,'01_Вводные'!$B$55)</f>
        <v/>
      </c>
      <c r="BG2583">
        <f>'19_Расчет_аналитики'!BG2581*IF('06_Сеть_и_дети'!BG$3&gt;='01_Вводные'!$B$245,'01_Вводные'!$B$57,'01_Вводные'!$B$55)</f>
        <v/>
      </c>
      <c r="BH2583">
        <f>'19_Расчет_аналитики'!BH2581*IF('06_Сеть_и_дети'!BH$3&gt;='01_Вводные'!$B$245,'01_Вводные'!$B$57,'01_Вводные'!$B$55)</f>
        <v/>
      </c>
      <c r="BI2583">
        <f>'19_Расчет_аналитики'!BI2581*IF('06_Сеть_и_дети'!BI$3&gt;='01_Вводные'!$B$245,'01_Вводные'!$B$57,'01_Вводные'!$B$55)</f>
        <v/>
      </c>
      <c r="BJ2583">
        <f>'19_Расчет_аналитики'!BJ2581*IF('06_Сеть_и_дети'!BJ$3&gt;='01_Вводные'!$B$245,'01_Вводные'!$B$57,'01_Вводные'!$B$55)</f>
        <v/>
      </c>
      <c r="BK2583">
        <f>'19_Расчет_аналитики'!BK2581*IF('06_Сеть_и_дети'!BK$3&gt;='01_Вводные'!$B$245,'01_Вводные'!$B$57,'01_Вводные'!$B$55)</f>
        <v/>
      </c>
      <c r="BL2583">
        <f>'19_Расчет_аналитики'!BL2581*IF('06_Сеть_и_дети'!BL$3&gt;='01_Вводные'!$B$245,'01_Вводные'!$B$57,'01_Вводные'!$B$55)</f>
        <v/>
      </c>
      <c r="BM2583">
        <f>'19_Расчет_аналитики'!BM2581*IF('06_Сеть_и_дети'!BM$3&gt;='01_Вводные'!$B$245,'01_Вводные'!$B$57,'01_Вводные'!$B$55)</f>
        <v/>
      </c>
      <c r="BN2583">
        <f>'19_Расчет_аналитики'!BN2581*IF('06_Сеть_и_дети'!BN$3&gt;='01_Вводные'!$B$245,'01_Вводные'!$B$57,'01_Вводные'!$B$55)</f>
        <v/>
      </c>
      <c r="BO2583">
        <f>'19_Расчет_аналитики'!BO2581*IF('06_Сеть_и_дети'!BO$3&gt;='01_Вводные'!$B$245,'01_Вводные'!$B$57,'01_Вводные'!$B$55)</f>
        <v/>
      </c>
    </row>
    <row r="2584">
      <c r="B2584">
        <f>'19_Расчет_аналитики'!B2581*IF('06_Сеть_и_дети'!B$3&gt;='01_Вводные'!$B$245,'01_Вводные'!$B$57,'01_Вводные'!$B$56)</f>
        <v/>
      </c>
      <c r="C2584">
        <f>'19_Расчет_аналитики'!C2581*IF('06_Сеть_и_дети'!C$3&gt;='01_Вводные'!$B$245,'01_Вводные'!$B$57,'01_Вводные'!$B$56)</f>
        <v/>
      </c>
      <c r="D2584">
        <f>'19_Расчет_аналитики'!D2581*IF('06_Сеть_и_дети'!D$3&gt;='01_Вводные'!$B$245,'01_Вводные'!$B$57,'01_Вводные'!$B$56)</f>
        <v/>
      </c>
      <c r="E2584">
        <f>'19_Расчет_аналитики'!E2581*IF('06_Сеть_и_дети'!E$3&gt;='01_Вводные'!$B$245,'01_Вводные'!$B$57,'01_Вводные'!$B$56)</f>
        <v/>
      </c>
      <c r="F2584">
        <f>'19_Расчет_аналитики'!F2581*IF('06_Сеть_и_дети'!F$3&gt;='01_Вводные'!$B$245,'01_Вводные'!$B$57,'01_Вводные'!$B$56)</f>
        <v/>
      </c>
      <c r="G2584">
        <f>'19_Расчет_аналитики'!G2581*IF('06_Сеть_и_дети'!G$3&gt;='01_Вводные'!$B$245,'01_Вводные'!$B$57,'01_Вводные'!$B$56)</f>
        <v/>
      </c>
      <c r="H2584">
        <f>'19_Расчет_аналитики'!H2581*IF('06_Сеть_и_дети'!H$3&gt;='01_Вводные'!$B$245,'01_Вводные'!$B$57,'01_Вводные'!$B$56)</f>
        <v/>
      </c>
      <c r="I2584">
        <f>'19_Расчет_аналитики'!I2581*IF('06_Сеть_и_дети'!I$3&gt;='01_Вводные'!$B$245,'01_Вводные'!$B$57,'01_Вводные'!$B$56)</f>
        <v/>
      </c>
      <c r="J2584">
        <f>'19_Расчет_аналитики'!J2581*IF('06_Сеть_и_дети'!J$3&gt;='01_Вводные'!$B$245,'01_Вводные'!$B$57,'01_Вводные'!$B$56)</f>
        <v/>
      </c>
      <c r="K2584">
        <f>'19_Расчет_аналитики'!K2581*IF('06_Сеть_и_дети'!K$3&gt;='01_Вводные'!$B$245,'01_Вводные'!$B$57,'01_Вводные'!$B$56)</f>
        <v/>
      </c>
      <c r="L2584">
        <f>'19_Расчет_аналитики'!L2581*IF('06_Сеть_и_дети'!L$3&gt;='01_Вводные'!$B$245,'01_Вводные'!$B$57,'01_Вводные'!$B$56)</f>
        <v/>
      </c>
      <c r="M2584">
        <f>'19_Расчет_аналитики'!M2581*IF('06_Сеть_и_дети'!M$3&gt;='01_Вводные'!$B$245,'01_Вводные'!$B$57,'01_Вводные'!$B$56)</f>
        <v/>
      </c>
      <c r="N2584">
        <f>'19_Расчет_аналитики'!N2581*IF('06_Сеть_и_дети'!N$3&gt;='01_Вводные'!$B$245,'01_Вводные'!$B$57,'01_Вводные'!$B$56)</f>
        <v/>
      </c>
      <c r="O2584">
        <f>'19_Расчет_аналитики'!O2581*IF('06_Сеть_и_дети'!O$3&gt;='01_Вводные'!$B$245,'01_Вводные'!$B$57,'01_Вводные'!$B$56)</f>
        <v/>
      </c>
      <c r="P2584">
        <f>'19_Расчет_аналитики'!P2581*IF('06_Сеть_и_дети'!P$3&gt;='01_Вводные'!$B$245,'01_Вводные'!$B$57,'01_Вводные'!$B$56)</f>
        <v/>
      </c>
      <c r="Q2584">
        <f>'19_Расчет_аналитики'!Q2581*IF('06_Сеть_и_дети'!Q$3&gt;='01_Вводные'!$B$245,'01_Вводные'!$B$57,'01_Вводные'!$B$56)</f>
        <v/>
      </c>
      <c r="R2584">
        <f>'19_Расчет_аналитики'!R2581*IF('06_Сеть_и_дети'!R$3&gt;='01_Вводные'!$B$245,'01_Вводные'!$B$57,'01_Вводные'!$B$56)</f>
        <v/>
      </c>
      <c r="S2584">
        <f>'19_Расчет_аналитики'!S2581*IF('06_Сеть_и_дети'!S$3&gt;='01_Вводные'!$B$245,'01_Вводные'!$B$57,'01_Вводные'!$B$56)</f>
        <v/>
      </c>
      <c r="T2584">
        <f>'19_Расчет_аналитики'!T2581*IF('06_Сеть_и_дети'!T$3&gt;='01_Вводные'!$B$245,'01_Вводные'!$B$57,'01_Вводные'!$B$56)</f>
        <v/>
      </c>
      <c r="U2584">
        <f>'19_Расчет_аналитики'!U2581*IF('06_Сеть_и_дети'!U$3&gt;='01_Вводные'!$B$245,'01_Вводные'!$B$57,'01_Вводные'!$B$56)</f>
        <v/>
      </c>
      <c r="V2584">
        <f>'19_Расчет_аналитики'!V2581*IF('06_Сеть_и_дети'!V$3&gt;='01_Вводные'!$B$245,'01_Вводные'!$B$57,'01_Вводные'!$B$56)</f>
        <v/>
      </c>
      <c r="W2584">
        <f>'19_Расчет_аналитики'!W2581*IF('06_Сеть_и_дети'!W$3&gt;='01_Вводные'!$B$245,'01_Вводные'!$B$57,'01_Вводные'!$B$56)</f>
        <v/>
      </c>
      <c r="X2584">
        <f>'19_Расчет_аналитики'!X2581*IF('06_Сеть_и_дети'!X$3&gt;='01_Вводные'!$B$245,'01_Вводные'!$B$57,'01_Вводные'!$B$56)</f>
        <v/>
      </c>
      <c r="Y2584">
        <f>'19_Расчет_аналитики'!Y2581*IF('06_Сеть_и_дети'!Y$3&gt;='01_Вводные'!$B$245,'01_Вводные'!$B$57,'01_Вводные'!$B$56)</f>
        <v/>
      </c>
      <c r="Z2584">
        <f>'19_Расчет_аналитики'!Z2581*IF('06_Сеть_и_дети'!Z$3&gt;='01_Вводные'!$B$245,'01_Вводные'!$B$57,'01_Вводные'!$B$56)</f>
        <v/>
      </c>
      <c r="AA2584">
        <f>'19_Расчет_аналитики'!AA2581*IF('06_Сеть_и_дети'!AA$3&gt;='01_Вводные'!$B$245,'01_Вводные'!$B$57,'01_Вводные'!$B$56)</f>
        <v/>
      </c>
      <c r="AB2584">
        <f>'19_Расчет_аналитики'!AB2581*IF('06_Сеть_и_дети'!AB$3&gt;='01_Вводные'!$B$245,'01_Вводные'!$B$57,'01_Вводные'!$B$56)</f>
        <v/>
      </c>
      <c r="AC2584">
        <f>'19_Расчет_аналитики'!AC2581*IF('06_Сеть_и_дети'!AC$3&gt;='01_Вводные'!$B$245,'01_Вводные'!$B$57,'01_Вводные'!$B$56)</f>
        <v/>
      </c>
      <c r="AD2584">
        <f>'19_Расчет_аналитики'!AD2581*IF('06_Сеть_и_дети'!AD$3&gt;='01_Вводные'!$B$245,'01_Вводные'!$B$57,'01_Вводные'!$B$56)</f>
        <v/>
      </c>
      <c r="AE2584">
        <f>'19_Расчет_аналитики'!AE2581*IF('06_Сеть_и_дети'!AE$3&gt;='01_Вводные'!$B$245,'01_Вводные'!$B$57,'01_Вводные'!$B$56)</f>
        <v/>
      </c>
      <c r="AF2584">
        <f>'19_Расчет_аналитики'!AF2581*IF('06_Сеть_и_дети'!AF$3&gt;='01_Вводные'!$B$245,'01_Вводные'!$B$57,'01_Вводные'!$B$56)</f>
        <v/>
      </c>
      <c r="AG2584">
        <f>'19_Расчет_аналитики'!AG2581*IF('06_Сеть_и_дети'!AG$3&gt;='01_Вводные'!$B$245,'01_Вводные'!$B$57,'01_Вводные'!$B$56)</f>
        <v/>
      </c>
      <c r="AH2584">
        <f>'19_Расчет_аналитики'!AH2581*IF('06_Сеть_и_дети'!AH$3&gt;='01_Вводные'!$B$245,'01_Вводные'!$B$57,'01_Вводные'!$B$56)</f>
        <v/>
      </c>
      <c r="AI2584">
        <f>'19_Расчет_аналитики'!AI2581*IF('06_Сеть_и_дети'!AI$3&gt;='01_Вводные'!$B$245,'01_Вводные'!$B$57,'01_Вводные'!$B$56)</f>
        <v/>
      </c>
      <c r="AJ2584">
        <f>'19_Расчет_аналитики'!AJ2581*IF('06_Сеть_и_дети'!AJ$3&gt;='01_Вводные'!$B$245,'01_Вводные'!$B$57,'01_Вводные'!$B$56)</f>
        <v/>
      </c>
      <c r="AK2584">
        <f>'19_Расчет_аналитики'!AK2581*IF('06_Сеть_и_дети'!AK$3&gt;='01_Вводные'!$B$245,'01_Вводные'!$B$57,'01_Вводные'!$B$56)</f>
        <v/>
      </c>
      <c r="AL2584">
        <f>'19_Расчет_аналитики'!AL2581*IF('06_Сеть_и_дети'!AL$3&gt;='01_Вводные'!$B$245,'01_Вводные'!$B$57,'01_Вводные'!$B$56)</f>
        <v/>
      </c>
      <c r="AM2584">
        <f>'19_Расчет_аналитики'!AM2581*IF('06_Сеть_и_дети'!AM$3&gt;='01_Вводные'!$B$245,'01_Вводные'!$B$57,'01_Вводные'!$B$56)</f>
        <v/>
      </c>
      <c r="AN2584">
        <f>'19_Расчет_аналитики'!AN2581*IF('06_Сеть_и_дети'!AN$3&gt;='01_Вводные'!$B$245,'01_Вводные'!$B$57,'01_Вводные'!$B$56)</f>
        <v/>
      </c>
      <c r="AO2584">
        <f>'19_Расчет_аналитики'!AO2581*IF('06_Сеть_и_дети'!AO$3&gt;='01_Вводные'!$B$245,'01_Вводные'!$B$57,'01_Вводные'!$B$56)</f>
        <v/>
      </c>
      <c r="AP2584">
        <f>'19_Расчет_аналитики'!AP2581*IF('06_Сеть_и_дети'!AP$3&gt;='01_Вводные'!$B$245,'01_Вводные'!$B$57,'01_Вводные'!$B$56)</f>
        <v/>
      </c>
      <c r="AQ2584">
        <f>'19_Расчет_аналитики'!AQ2581*IF('06_Сеть_и_дети'!AQ$3&gt;='01_Вводные'!$B$245,'01_Вводные'!$B$57,'01_Вводные'!$B$56)</f>
        <v/>
      </c>
      <c r="AR2584">
        <f>'19_Расчет_аналитики'!AR2581*IF('06_Сеть_и_дети'!AR$3&gt;='01_Вводные'!$B$245,'01_Вводные'!$B$57,'01_Вводные'!$B$56)</f>
        <v/>
      </c>
      <c r="AS2584">
        <f>'19_Расчет_аналитики'!AS2581*IF('06_Сеть_и_дети'!AS$3&gt;='01_Вводные'!$B$245,'01_Вводные'!$B$57,'01_Вводные'!$B$56)</f>
        <v/>
      </c>
      <c r="AT2584">
        <f>'19_Расчет_аналитики'!AT2581*IF('06_Сеть_и_дети'!AT$3&gt;='01_Вводные'!$B$245,'01_Вводные'!$B$57,'01_Вводные'!$B$56)</f>
        <v/>
      </c>
      <c r="AU2584">
        <f>'19_Расчет_аналитики'!AU2581*IF('06_Сеть_и_дети'!AU$3&gt;='01_Вводные'!$B$245,'01_Вводные'!$B$57,'01_Вводные'!$B$56)</f>
        <v/>
      </c>
      <c r="AV2584">
        <f>'19_Расчет_аналитики'!AV2581*IF('06_Сеть_и_дети'!AV$3&gt;='01_Вводные'!$B$245,'01_Вводные'!$B$57,'01_Вводные'!$B$56)</f>
        <v/>
      </c>
      <c r="AW2584">
        <f>'19_Расчет_аналитики'!AW2581*IF('06_Сеть_и_дети'!AW$3&gt;='01_Вводные'!$B$245,'01_Вводные'!$B$57,'01_Вводные'!$B$56)</f>
        <v/>
      </c>
      <c r="AX2584">
        <f>'19_Расчет_аналитики'!AX2581*IF('06_Сеть_и_дети'!AX$3&gt;='01_Вводные'!$B$245,'01_Вводные'!$B$57,'01_Вводные'!$B$56)</f>
        <v/>
      </c>
      <c r="AY2584">
        <f>'19_Расчет_аналитики'!AY2581*IF('06_Сеть_и_дети'!AY$3&gt;='01_Вводные'!$B$245,'01_Вводные'!$B$57,'01_Вводные'!$B$56)</f>
        <v/>
      </c>
      <c r="AZ2584">
        <f>'19_Расчет_аналитики'!AZ2581*IF('06_Сеть_и_дети'!AZ$3&gt;='01_Вводные'!$B$245,'01_Вводные'!$B$57,'01_Вводные'!$B$56)</f>
        <v/>
      </c>
      <c r="BA2584">
        <f>'19_Расчет_аналитики'!BA2581*IF('06_Сеть_и_дети'!BA$3&gt;='01_Вводные'!$B$245,'01_Вводные'!$B$57,'01_Вводные'!$B$56)</f>
        <v/>
      </c>
      <c r="BB2584">
        <f>'19_Расчет_аналитики'!BB2581*IF('06_Сеть_и_дети'!BB$3&gt;='01_Вводные'!$B$245,'01_Вводные'!$B$57,'01_Вводные'!$B$56)</f>
        <v/>
      </c>
      <c r="BC2584">
        <f>'19_Расчет_аналитики'!BC2581*IF('06_Сеть_и_дети'!BC$3&gt;='01_Вводные'!$B$245,'01_Вводные'!$B$57,'01_Вводные'!$B$56)</f>
        <v/>
      </c>
      <c r="BD2584">
        <f>'19_Расчет_аналитики'!BD2581*IF('06_Сеть_и_дети'!BD$3&gt;='01_Вводные'!$B$245,'01_Вводные'!$B$57,'01_Вводные'!$B$56)</f>
        <v/>
      </c>
      <c r="BE2584">
        <f>'19_Расчет_аналитики'!BE2581*IF('06_Сеть_и_дети'!BE$3&gt;='01_Вводные'!$B$245,'01_Вводные'!$B$57,'01_Вводные'!$B$56)</f>
        <v/>
      </c>
      <c r="BF2584">
        <f>'19_Расчет_аналитики'!BF2581*IF('06_Сеть_и_дети'!BF$3&gt;='01_Вводные'!$B$245,'01_Вводные'!$B$57,'01_Вводные'!$B$56)</f>
        <v/>
      </c>
      <c r="BG2584">
        <f>'19_Расчет_аналитики'!BG2581*IF('06_Сеть_и_дети'!BG$3&gt;='01_Вводные'!$B$245,'01_Вводные'!$B$57,'01_Вводные'!$B$56)</f>
        <v/>
      </c>
      <c r="BH2584">
        <f>'19_Расчет_аналитики'!BH2581*IF('06_Сеть_и_дети'!BH$3&gt;='01_Вводные'!$B$245,'01_Вводные'!$B$57,'01_Вводные'!$B$56)</f>
        <v/>
      </c>
      <c r="BI2584">
        <f>'19_Расчет_аналитики'!BI2581*IF('06_Сеть_и_дети'!BI$3&gt;='01_Вводные'!$B$245,'01_Вводные'!$B$57,'01_Вводные'!$B$56)</f>
        <v/>
      </c>
      <c r="BJ2584">
        <f>'19_Расчет_аналитики'!BJ2581*IF('06_Сеть_и_дети'!BJ$3&gt;='01_Вводные'!$B$245,'01_Вводные'!$B$57,'01_Вводные'!$B$56)</f>
        <v/>
      </c>
      <c r="BK2584">
        <f>'19_Расчет_аналитики'!BK2581*IF('06_Сеть_и_дети'!BK$3&gt;='01_Вводные'!$B$245,'01_Вводные'!$B$57,'01_Вводные'!$B$56)</f>
        <v/>
      </c>
      <c r="BL2584">
        <f>'19_Расчет_аналитики'!BL2581*IF('06_Сеть_и_дети'!BL$3&gt;='01_Вводные'!$B$245,'01_Вводные'!$B$57,'01_Вводные'!$B$56)</f>
        <v/>
      </c>
      <c r="BM2584">
        <f>'19_Расчет_аналитики'!BM2581*IF('06_Сеть_и_дети'!BM$3&gt;='01_Вводные'!$B$245,'01_Вводные'!$B$57,'01_Вводные'!$B$56)</f>
        <v/>
      </c>
      <c r="BN2584">
        <f>'19_Расчет_аналитики'!BN2581*IF('06_Сеть_и_дети'!BN$3&gt;='01_Вводные'!$B$245,'01_Вводные'!$B$57,'01_Вводные'!$B$56)</f>
        <v/>
      </c>
      <c r="BO2584">
        <f>'19_Расчет_аналитики'!BO2581*IF('06_Сеть_и_дети'!BO$3&gt;='01_Вводные'!$B$245,'01_Вводные'!$B$57,'01_Вводные'!$B$56)</f>
        <v/>
      </c>
    </row>
    <row r="2585">
      <c r="B2585">
        <f>SUM('19_Расчет_аналитики'!B2432:B2456)-'19_Расчет_аналитики'!B2395</f>
        <v/>
      </c>
      <c r="C2585">
        <f>SUM('19_Расчет_аналитики'!C2432:C2456)-'19_Расчет_аналитики'!C2395</f>
        <v/>
      </c>
      <c r="D2585">
        <f>SUM('19_Расчет_аналитики'!D2432:D2456)-'19_Расчет_аналитики'!D2395</f>
        <v/>
      </c>
      <c r="E2585">
        <f>SUM('19_Расчет_аналитики'!E2432:E2456)-'19_Расчет_аналитики'!E2395</f>
        <v/>
      </c>
      <c r="F2585">
        <f>SUM('19_Расчет_аналитики'!F2432:F2456)-'19_Расчет_аналитики'!F2395</f>
        <v/>
      </c>
      <c r="G2585">
        <f>SUM('19_Расчет_аналитики'!G2432:G2456)-'19_Расчет_аналитики'!G2395</f>
        <v/>
      </c>
      <c r="H2585">
        <f>SUM('19_Расчет_аналитики'!H2432:H2456)-'19_Расчет_аналитики'!H2395</f>
        <v/>
      </c>
      <c r="I2585">
        <f>SUM('19_Расчет_аналитики'!I2432:I2456)-'19_Расчет_аналитики'!I2395</f>
        <v/>
      </c>
      <c r="J2585">
        <f>SUM('19_Расчет_аналитики'!J2432:J2456)-'19_Расчет_аналитики'!J2395</f>
        <v/>
      </c>
      <c r="K2585">
        <f>SUM('19_Расчет_аналитики'!K2432:K2456)-'19_Расчет_аналитики'!K2395</f>
        <v/>
      </c>
      <c r="L2585">
        <f>SUM('19_Расчет_аналитики'!L2432:L2456)-'19_Расчет_аналитики'!L2395</f>
        <v/>
      </c>
      <c r="M2585">
        <f>SUM('19_Расчет_аналитики'!M2432:M2456)-'19_Расчет_аналитики'!M2395</f>
        <v/>
      </c>
      <c r="N2585">
        <f>SUM('19_Расчет_аналитики'!N2432:N2456)-'19_Расчет_аналитики'!N2395</f>
        <v/>
      </c>
      <c r="O2585">
        <f>SUM('19_Расчет_аналитики'!O2432:O2456)-'19_Расчет_аналитики'!O2395</f>
        <v/>
      </c>
      <c r="P2585">
        <f>SUM('19_Расчет_аналитики'!P2432:P2456)-'19_Расчет_аналитики'!P2395</f>
        <v/>
      </c>
      <c r="Q2585">
        <f>SUM('19_Расчет_аналитики'!Q2432:Q2456)-'19_Расчет_аналитики'!Q2395</f>
        <v/>
      </c>
      <c r="R2585">
        <f>SUM('19_Расчет_аналитики'!R2432:R2456)-'19_Расчет_аналитики'!R2395</f>
        <v/>
      </c>
      <c r="S2585">
        <f>SUM('19_Расчет_аналитики'!S2432:S2456)-'19_Расчет_аналитики'!S2395</f>
        <v/>
      </c>
      <c r="T2585">
        <f>SUM('19_Расчет_аналитики'!T2432:T2456)-'19_Расчет_аналитики'!T2395</f>
        <v/>
      </c>
      <c r="U2585">
        <f>SUM('19_Расчет_аналитики'!U2432:U2456)-'19_Расчет_аналитики'!U2395</f>
        <v/>
      </c>
      <c r="V2585">
        <f>SUM('19_Расчет_аналитики'!V2432:V2456)-'19_Расчет_аналитики'!V2395</f>
        <v/>
      </c>
      <c r="W2585">
        <f>SUM('19_Расчет_аналитики'!W2432:W2456)-'19_Расчет_аналитики'!W2395</f>
        <v/>
      </c>
      <c r="X2585">
        <f>SUM('19_Расчет_аналитики'!X2432:X2456)-'19_Расчет_аналитики'!X2395</f>
        <v/>
      </c>
      <c r="Y2585">
        <f>SUM('19_Расчет_аналитики'!Y2432:Y2456)-'19_Расчет_аналитики'!Y2395</f>
        <v/>
      </c>
      <c r="Z2585">
        <f>SUM('19_Расчет_аналитики'!Z2432:Z2456)-'19_Расчет_аналитики'!Z2395</f>
        <v/>
      </c>
      <c r="AA2585">
        <f>SUM('19_Расчет_аналитики'!AA2432:AA2456)-'19_Расчет_аналитики'!AA2395</f>
        <v/>
      </c>
      <c r="AB2585">
        <f>SUM('19_Расчет_аналитики'!AB2432:AB2456)-'19_Расчет_аналитики'!AB2395</f>
        <v/>
      </c>
      <c r="AC2585">
        <f>SUM('19_Расчет_аналитики'!AC2432:AC2456)-'19_Расчет_аналитики'!AC2395</f>
        <v/>
      </c>
      <c r="AD2585">
        <f>SUM('19_Расчет_аналитики'!AD2432:AD2456)-'19_Расчет_аналитики'!AD2395</f>
        <v/>
      </c>
      <c r="AE2585">
        <f>SUM('19_Расчет_аналитики'!AE2432:AE2456)-'19_Расчет_аналитики'!AE2395</f>
        <v/>
      </c>
      <c r="AF2585">
        <f>SUM('19_Расчет_аналитики'!AF2432:AF2456)-'19_Расчет_аналитики'!AF2395</f>
        <v/>
      </c>
      <c r="AG2585">
        <f>SUM('19_Расчет_аналитики'!AG2432:AG2456)-'19_Расчет_аналитики'!AG2395</f>
        <v/>
      </c>
      <c r="AH2585">
        <f>SUM('19_Расчет_аналитики'!AH2432:AH2456)-'19_Расчет_аналитики'!AH2395</f>
        <v/>
      </c>
      <c r="AI2585">
        <f>SUM('19_Расчет_аналитики'!AI2432:AI2456)-'19_Расчет_аналитики'!AI2395</f>
        <v/>
      </c>
      <c r="AJ2585">
        <f>SUM('19_Расчет_аналитики'!AJ2432:AJ2456)-'19_Расчет_аналитики'!AJ2395</f>
        <v/>
      </c>
      <c r="AK2585">
        <f>SUM('19_Расчет_аналитики'!AK2432:AK2456)-'19_Расчет_аналитики'!AK2395</f>
        <v/>
      </c>
      <c r="AL2585">
        <f>SUM('19_Расчет_аналитики'!AL2432:AL2456)-'19_Расчет_аналитики'!AL2395</f>
        <v/>
      </c>
      <c r="AM2585">
        <f>SUM('19_Расчет_аналитики'!AM2432:AM2456)-'19_Расчет_аналитики'!AM2395</f>
        <v/>
      </c>
      <c r="AN2585">
        <f>SUM('19_Расчет_аналитики'!AN2432:AN2456)-'19_Расчет_аналитики'!AN2395</f>
        <v/>
      </c>
      <c r="AO2585">
        <f>SUM('19_Расчет_аналитики'!AO2432:AO2456)-'19_Расчет_аналитики'!AO2395</f>
        <v/>
      </c>
      <c r="AP2585">
        <f>SUM('19_Расчет_аналитики'!AP2432:AP2456)-'19_Расчет_аналитики'!AP2395</f>
        <v/>
      </c>
      <c r="AQ2585">
        <f>SUM('19_Расчет_аналитики'!AQ2432:AQ2456)-'19_Расчет_аналитики'!AQ2395</f>
        <v/>
      </c>
      <c r="AR2585">
        <f>SUM('19_Расчет_аналитики'!AR2432:AR2456)-'19_Расчет_аналитики'!AR2395</f>
        <v/>
      </c>
      <c r="AS2585">
        <f>SUM('19_Расчет_аналитики'!AS2432:AS2456)-'19_Расчет_аналитики'!AS2395</f>
        <v/>
      </c>
      <c r="AT2585">
        <f>SUM('19_Расчет_аналитики'!AT2432:AT2456)-'19_Расчет_аналитики'!AT2395</f>
        <v/>
      </c>
      <c r="AU2585">
        <f>SUM('19_Расчет_аналитики'!AU2432:AU2456)-'19_Расчет_аналитики'!AU2395</f>
        <v/>
      </c>
      <c r="AV2585">
        <f>SUM('19_Расчет_аналитики'!AV2432:AV2456)-'19_Расчет_аналитики'!AV2395</f>
        <v/>
      </c>
      <c r="AW2585">
        <f>SUM('19_Расчет_аналитики'!AW2432:AW2456)-'19_Расчет_аналитики'!AW2395</f>
        <v/>
      </c>
      <c r="AX2585">
        <f>SUM('19_Расчет_аналитики'!AX2432:AX2456)-'19_Расчет_аналитики'!AX2395</f>
        <v/>
      </c>
      <c r="AY2585">
        <f>SUM('19_Расчет_аналитики'!AY2432:AY2456)-'19_Расчет_аналитики'!AY2395</f>
        <v/>
      </c>
      <c r="AZ2585">
        <f>SUM('19_Расчет_аналитики'!AZ2432:AZ2456)-'19_Расчет_аналитики'!AZ2395</f>
        <v/>
      </c>
      <c r="BA2585">
        <f>SUM('19_Расчет_аналитики'!BA2432:BA2456)-'19_Расчет_аналитики'!BA2395</f>
        <v/>
      </c>
      <c r="BB2585">
        <f>SUM('19_Расчет_аналитики'!BB2432:BB2456)-'19_Расчет_аналитики'!BB2395</f>
        <v/>
      </c>
      <c r="BC2585">
        <f>SUM('19_Расчет_аналитики'!BC2432:BC2456)-'19_Расчет_аналитики'!BC2395</f>
        <v/>
      </c>
      <c r="BD2585">
        <f>SUM('19_Расчет_аналитики'!BD2432:BD2456)-'19_Расчет_аналитики'!BD2395</f>
        <v/>
      </c>
      <c r="BE2585">
        <f>SUM('19_Расчет_аналитики'!BE2432:BE2456)-'19_Расчет_аналитики'!BE2395</f>
        <v/>
      </c>
      <c r="BF2585">
        <f>SUM('19_Расчет_аналитики'!BF2432:BF2456)-'19_Расчет_аналитики'!BF2395</f>
        <v/>
      </c>
      <c r="BG2585">
        <f>SUM('19_Расчет_аналитики'!BG2432:BG2456)-'19_Расчет_аналитики'!BG2395</f>
        <v/>
      </c>
      <c r="BH2585">
        <f>SUM('19_Расчет_аналитики'!BH2432:BH2456)-'19_Расчет_аналитики'!BH2395</f>
        <v/>
      </c>
      <c r="BI2585">
        <f>SUM('19_Расчет_аналитики'!BI2432:BI2456)-'19_Расчет_аналитики'!BI2395</f>
        <v/>
      </c>
      <c r="BJ2585">
        <f>SUM('19_Расчет_аналитики'!BJ2432:BJ2456)-'19_Расчет_аналитики'!BJ2395</f>
        <v/>
      </c>
      <c r="BK2585">
        <f>SUM('19_Расчет_аналитики'!BK2432:BK2456)-'19_Расчет_аналитики'!BK2395</f>
        <v/>
      </c>
      <c r="BL2585">
        <f>SUM('19_Расчет_аналитики'!BL2432:BL2456)-'19_Расчет_аналитики'!BL2395</f>
        <v/>
      </c>
      <c r="BM2585">
        <f>SUM('19_Расчет_аналитики'!BM2432:BM2456)-'19_Расчет_аналитики'!BM2395</f>
        <v/>
      </c>
      <c r="BN2585">
        <f>SUM('19_Расчет_аналитики'!BN2432:BN2456)-'19_Расчет_аналитики'!BN2395</f>
        <v/>
      </c>
      <c r="BO2585">
        <f>SUM('19_Расчет_аналитики'!BO2432:BO2456)-'19_Расчет_аналитики'!BO2395</f>
        <v/>
      </c>
    </row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>
      <c r="F2630">
        <f>'06_Сеть_и_дети'!F19*'19_Расчет_аналитики'!$B$2110*'07_Мерч'!F4</f>
        <v/>
      </c>
      <c r="G2630">
        <f>'06_Сеть_и_дети'!G19*'19_Расчет_аналитики'!$B$2110*'07_Мерч'!G4</f>
        <v/>
      </c>
      <c r="H2630">
        <f>'06_Сеть_и_дети'!H19*'19_Расчет_аналитики'!$B$2110*'07_Мерч'!H4</f>
        <v/>
      </c>
      <c r="I2630">
        <f>'06_Сеть_и_дети'!I19*'19_Расчет_аналитики'!$B$2110*'07_Мерч'!I4</f>
        <v/>
      </c>
      <c r="J2630">
        <f>'06_Сеть_и_дети'!J19*'19_Расчет_аналитики'!$B$2110*'07_Мерч'!J4</f>
        <v/>
      </c>
      <c r="K2630">
        <f>'06_Сеть_и_дети'!K19*'19_Расчет_аналитики'!$B$2110*'07_Мерч'!K4</f>
        <v/>
      </c>
      <c r="L2630">
        <f>'06_Сеть_и_дети'!L19*'19_Расчет_аналитики'!$B$2110*'07_Мерч'!L4</f>
        <v/>
      </c>
      <c r="M2630">
        <f>'06_Сеть_и_дети'!M19*'19_Расчет_аналитики'!$B$2110*'07_Мерч'!M4</f>
        <v/>
      </c>
      <c r="N2630">
        <f>'06_Сеть_и_дети'!N19*'19_Расчет_аналитики'!$B$2110*'07_Мерч'!N4</f>
        <v/>
      </c>
      <c r="O2630">
        <f>'06_Сеть_и_дети'!O19*'19_Расчет_аналитики'!$B$2110*'07_Мерч'!O4</f>
        <v/>
      </c>
      <c r="P2630">
        <f>'06_Сеть_и_дети'!P19*'19_Расчет_аналитики'!$B$2110*'07_Мерч'!P4</f>
        <v/>
      </c>
      <c r="Q2630">
        <f>'06_Сеть_и_дети'!Q19*'19_Расчет_аналитики'!$B$2110*'07_Мерч'!Q4</f>
        <v/>
      </c>
      <c r="R2630">
        <f>'06_Сеть_и_дети'!R19*'19_Расчет_аналитики'!$B$2110*'07_Мерч'!R4</f>
        <v/>
      </c>
      <c r="S2630">
        <f>'06_Сеть_и_дети'!S19*'19_Расчет_аналитики'!$B$2110*'07_Мерч'!S4</f>
        <v/>
      </c>
      <c r="T2630">
        <f>'06_Сеть_и_дети'!T19*'19_Расчет_аналитики'!$B$2110*'07_Мерч'!T4</f>
        <v/>
      </c>
      <c r="U2630">
        <f>'06_Сеть_и_дети'!U19*'19_Расчет_аналитики'!$B$2110*'07_Мерч'!U4</f>
        <v/>
      </c>
      <c r="V2630">
        <f>'06_Сеть_и_дети'!V19*'19_Расчет_аналитики'!$B$2110*'07_Мерч'!V4</f>
        <v/>
      </c>
      <c r="W2630">
        <f>'06_Сеть_и_дети'!W19*'19_Расчет_аналитики'!$B$2110*'07_Мерч'!W4</f>
        <v/>
      </c>
      <c r="X2630">
        <f>'06_Сеть_и_дети'!X19*'19_Расчет_аналитики'!$B$2110*'07_Мерч'!X4</f>
        <v/>
      </c>
      <c r="Y2630">
        <f>'06_Сеть_и_дети'!Y19*'19_Расчет_аналитики'!$B$2110*'07_Мерч'!Y4</f>
        <v/>
      </c>
      <c r="Z2630">
        <f>'06_Сеть_и_дети'!Z19*'19_Расчет_аналитики'!$B$2110*'07_Мерч'!Z4</f>
        <v/>
      </c>
      <c r="AA2630">
        <f>'06_Сеть_и_дети'!AA19*'19_Расчет_аналитики'!$B$2110*'07_Мерч'!AA4</f>
        <v/>
      </c>
      <c r="AB2630">
        <f>'06_Сеть_и_дети'!AB19*'19_Расчет_аналитики'!$B$2110*'07_Мерч'!AB4</f>
        <v/>
      </c>
      <c r="AC2630">
        <f>'06_Сеть_и_дети'!AC19*'19_Расчет_аналитики'!$B$2110*'07_Мерч'!AC4</f>
        <v/>
      </c>
      <c r="AD2630">
        <f>'06_Сеть_и_дети'!AD19*'19_Расчет_аналитики'!$B$2110*'07_Мерч'!AD4</f>
        <v/>
      </c>
      <c r="AE2630">
        <f>'06_Сеть_и_дети'!AE19*'19_Расчет_аналитики'!$B$2110*'07_Мерч'!AE4</f>
        <v/>
      </c>
      <c r="AF2630">
        <f>'06_Сеть_и_дети'!AF19*'19_Расчет_аналитики'!$B$2110*'07_Мерч'!AF4</f>
        <v/>
      </c>
      <c r="AG2630">
        <f>'06_Сеть_и_дети'!AG19*'19_Расчет_аналитики'!$B$2110*'07_Мерч'!AG4</f>
        <v/>
      </c>
      <c r="AH2630">
        <f>'06_Сеть_и_дети'!AH19*'19_Расчет_аналитики'!$B$2110*'07_Мерч'!AH4</f>
        <v/>
      </c>
      <c r="AI2630">
        <f>'06_Сеть_и_дети'!AI19*'19_Расчет_аналитики'!$B$2110*'07_Мерч'!AI4</f>
        <v/>
      </c>
      <c r="AJ2630">
        <f>'06_Сеть_и_дети'!AJ19*'19_Расчет_аналитики'!$B$2110*'07_Мерч'!AJ4</f>
        <v/>
      </c>
      <c r="AK2630">
        <f>'06_Сеть_и_дети'!AK19*'19_Расчет_аналитики'!$B$2110*'07_Мерч'!AK4</f>
        <v/>
      </c>
      <c r="AL2630">
        <f>'06_Сеть_и_дети'!AL19*'19_Расчет_аналитики'!$B$2110*'07_Мерч'!AL4</f>
        <v/>
      </c>
      <c r="AM2630">
        <f>'06_Сеть_и_дети'!AM19*'19_Расчет_аналитики'!$B$2110*'07_Мерч'!AM4</f>
        <v/>
      </c>
      <c r="AN2630">
        <f>'06_Сеть_и_дети'!AN19*'19_Расчет_аналитики'!$B$2110*'07_Мерч'!AN4</f>
        <v/>
      </c>
      <c r="AO2630">
        <f>'06_Сеть_и_дети'!AO19*'19_Расчет_аналитики'!$B$2110*'07_Мерч'!AO4</f>
        <v/>
      </c>
      <c r="AP2630">
        <f>'06_Сеть_и_дети'!AP19*'19_Расчет_аналитики'!$B$2110*'07_Мерч'!AP4</f>
        <v/>
      </c>
      <c r="AQ2630">
        <f>'06_Сеть_и_дети'!AQ19*'19_Расчет_аналитики'!$B$2110*'07_Мерч'!AQ4</f>
        <v/>
      </c>
      <c r="AR2630">
        <f>'06_Сеть_и_дети'!AR19*'19_Расчет_аналитики'!$B$2110*'07_Мерч'!AR4</f>
        <v/>
      </c>
      <c r="AS2630">
        <f>'06_Сеть_и_дети'!AS19*'19_Расчет_аналитики'!$B$2110*'07_Мерч'!AS4</f>
        <v/>
      </c>
      <c r="AT2630">
        <f>'06_Сеть_и_дети'!AT19*'19_Расчет_аналитики'!$B$2110*'07_Мерч'!AT4</f>
        <v/>
      </c>
      <c r="AU2630">
        <f>'06_Сеть_и_дети'!AU19*'19_Расчет_аналитики'!$B$2110*'07_Мерч'!AU4</f>
        <v/>
      </c>
      <c r="AV2630">
        <f>'06_Сеть_и_дети'!AV19*'19_Расчет_аналитики'!$B$2110*'07_Мерч'!AV4</f>
        <v/>
      </c>
      <c r="AW2630">
        <f>'06_Сеть_и_дети'!AW19*'19_Расчет_аналитики'!$B$2110*'07_Мерч'!AW4</f>
        <v/>
      </c>
      <c r="AX2630">
        <f>'06_Сеть_и_дети'!AX19*'19_Расчет_аналитики'!$B$2110*'07_Мерч'!AX4</f>
        <v/>
      </c>
      <c r="AY2630">
        <f>'06_Сеть_и_дети'!AY19*'19_Расчет_аналитики'!$B$2110*'07_Мерч'!AY4</f>
        <v/>
      </c>
      <c r="AZ2630">
        <f>'06_Сеть_и_дети'!AZ19*'19_Расчет_аналитики'!$B$2110*'07_Мерч'!AZ4</f>
        <v/>
      </c>
      <c r="BA2630">
        <f>'06_Сеть_и_дети'!BA19*'19_Расчет_аналитики'!$B$2110*'07_Мерч'!BA4</f>
        <v/>
      </c>
      <c r="BB2630">
        <f>'06_Сеть_и_дети'!BB19*'19_Расчет_аналитики'!$B$2110*'07_Мерч'!BB4</f>
        <v/>
      </c>
      <c r="BC2630">
        <f>'06_Сеть_и_дети'!BC19*'19_Расчет_аналитики'!$B$2110*'07_Мерч'!BC4</f>
        <v/>
      </c>
      <c r="BD2630">
        <f>'06_Сеть_и_дети'!BD19*'19_Расчет_аналитики'!$B$2110*'07_Мерч'!BD4</f>
        <v/>
      </c>
      <c r="BE2630">
        <f>'06_Сеть_и_дети'!BE19*'19_Расчет_аналитики'!$B$2110*'07_Мерч'!BE4</f>
        <v/>
      </c>
      <c r="BF2630">
        <f>'06_Сеть_и_дети'!BF19*'19_Расчет_аналитики'!$B$2110*'07_Мерч'!BF4</f>
        <v/>
      </c>
      <c r="BG2630">
        <f>'06_Сеть_и_дети'!BG19*'19_Расчет_аналитики'!$B$2110*'07_Мерч'!BG4</f>
        <v/>
      </c>
      <c r="BH2630">
        <f>'06_Сеть_и_дети'!BH19*'19_Расчет_аналитики'!$B$2110*'07_Мерч'!BH4</f>
        <v/>
      </c>
      <c r="BI2630">
        <f>'06_Сеть_и_дети'!BI19*'19_Расчет_аналитики'!$B$2110*'07_Мерч'!BI4</f>
        <v/>
      </c>
      <c r="BJ2630">
        <f>'06_Сеть_и_дети'!BJ19*'19_Расчет_аналитики'!$B$2110*'07_Мерч'!BJ4</f>
        <v/>
      </c>
      <c r="BK2630">
        <f>'06_Сеть_и_дети'!BK19*'19_Расчет_аналитики'!$B$2110*'07_Мерч'!BK4</f>
        <v/>
      </c>
      <c r="BL2630">
        <f>'06_Сеть_и_дети'!BL19*'19_Расчет_аналитики'!$B$2110*'07_Мерч'!BL4</f>
        <v/>
      </c>
      <c r="BM2630">
        <f>'06_Сеть_и_дети'!BM19*'19_Расчет_аналитики'!$B$2110*'07_Мерч'!BM4</f>
        <v/>
      </c>
      <c r="BN2630">
        <f>'06_Сеть_и_дети'!BN19*'19_Расчет_аналитики'!$B$2110*'07_Мерч'!BN4</f>
        <v/>
      </c>
      <c r="BO2630">
        <f>'06_Сеть_и_дети'!BO19*'19_Расчет_аналитики'!$B$2110*'07_Мерч'!BO4</f>
        <v/>
      </c>
    </row>
    <row r="2631">
      <c r="F2631">
        <f>'19_Расчет_аналитики'!F2630*'18_Календарь_тарифы'!F10</f>
        <v/>
      </c>
      <c r="G2631">
        <f>'19_Расчет_аналитики'!G2630*'18_Календарь_тарифы'!G10</f>
        <v/>
      </c>
      <c r="H2631">
        <f>'19_Расчет_аналитики'!H2630*'18_Календарь_тарифы'!H10</f>
        <v/>
      </c>
      <c r="I2631">
        <f>'19_Расчет_аналитики'!I2630*'18_Календарь_тарифы'!I10</f>
        <v/>
      </c>
      <c r="J2631">
        <f>'19_Расчет_аналитики'!J2630*'18_Календарь_тарифы'!J10</f>
        <v/>
      </c>
      <c r="K2631">
        <f>'19_Расчет_аналитики'!K2630*'18_Календарь_тарифы'!K10</f>
        <v/>
      </c>
      <c r="L2631">
        <f>'19_Расчет_аналитики'!L2630*'18_Календарь_тарифы'!L10</f>
        <v/>
      </c>
      <c r="M2631">
        <f>'19_Расчет_аналитики'!M2630*'18_Календарь_тарифы'!M10</f>
        <v/>
      </c>
      <c r="N2631">
        <f>'19_Расчет_аналитики'!N2630*'18_Календарь_тарифы'!N10</f>
        <v/>
      </c>
      <c r="O2631">
        <f>'19_Расчет_аналитики'!O2630*'18_Календарь_тарифы'!O10</f>
        <v/>
      </c>
      <c r="P2631">
        <f>'19_Расчет_аналитики'!P2630*'18_Календарь_тарифы'!P10</f>
        <v/>
      </c>
      <c r="Q2631">
        <f>'19_Расчет_аналитики'!Q2630*'18_Календарь_тарифы'!Q10</f>
        <v/>
      </c>
      <c r="R2631">
        <f>'19_Расчет_аналитики'!R2630*'18_Календарь_тарифы'!R10</f>
        <v/>
      </c>
      <c r="S2631">
        <f>'19_Расчет_аналитики'!S2630*'18_Календарь_тарифы'!S10</f>
        <v/>
      </c>
      <c r="T2631">
        <f>'19_Расчет_аналитики'!T2630*'18_Календарь_тарифы'!T10</f>
        <v/>
      </c>
      <c r="U2631">
        <f>'19_Расчет_аналитики'!U2630*'18_Календарь_тарифы'!U10</f>
        <v/>
      </c>
      <c r="V2631">
        <f>'19_Расчет_аналитики'!V2630*'18_Календарь_тарифы'!V10</f>
        <v/>
      </c>
      <c r="W2631">
        <f>'19_Расчет_аналитики'!W2630*'18_Календарь_тарифы'!W10</f>
        <v/>
      </c>
      <c r="X2631">
        <f>'19_Расчет_аналитики'!X2630*'18_Календарь_тарифы'!X10</f>
        <v/>
      </c>
      <c r="Y2631">
        <f>'19_Расчет_аналитики'!Y2630*'18_Календарь_тарифы'!Y10</f>
        <v/>
      </c>
      <c r="Z2631">
        <f>'19_Расчет_аналитики'!Z2630*'18_Календарь_тарифы'!Z10</f>
        <v/>
      </c>
      <c r="AA2631">
        <f>'19_Расчет_аналитики'!AA2630*'18_Календарь_тарифы'!AA10</f>
        <v/>
      </c>
      <c r="AB2631">
        <f>'19_Расчет_аналитики'!AB2630*'18_Календарь_тарифы'!AB10</f>
        <v/>
      </c>
      <c r="AC2631">
        <f>'19_Расчет_аналитики'!AC2630*'18_Календарь_тарифы'!AC10</f>
        <v/>
      </c>
      <c r="AD2631">
        <f>'19_Расчет_аналитики'!AD2630*'18_Календарь_тарифы'!AD10</f>
        <v/>
      </c>
      <c r="AE2631">
        <f>'19_Расчет_аналитики'!AE2630*'18_Календарь_тарифы'!AE10</f>
        <v/>
      </c>
      <c r="AF2631">
        <f>'19_Расчет_аналитики'!AF2630*'18_Календарь_тарифы'!AF10</f>
        <v/>
      </c>
      <c r="AG2631">
        <f>'19_Расчет_аналитики'!AG2630*'18_Календарь_тарифы'!AG10</f>
        <v/>
      </c>
      <c r="AH2631">
        <f>'19_Расчет_аналитики'!AH2630*'18_Календарь_тарифы'!AH10</f>
        <v/>
      </c>
      <c r="AI2631">
        <f>'19_Расчет_аналитики'!AI2630*'18_Календарь_тарифы'!AI10</f>
        <v/>
      </c>
      <c r="AJ2631">
        <f>'19_Расчет_аналитики'!AJ2630*'18_Календарь_тарифы'!AJ10</f>
        <v/>
      </c>
      <c r="AK2631">
        <f>'19_Расчет_аналитики'!AK2630*'18_Календарь_тарифы'!AK10</f>
        <v/>
      </c>
      <c r="AL2631">
        <f>'19_Расчет_аналитики'!AL2630*'18_Календарь_тарифы'!AL10</f>
        <v/>
      </c>
      <c r="AM2631">
        <f>'19_Расчет_аналитики'!AM2630*'18_Календарь_тарифы'!AM10</f>
        <v/>
      </c>
      <c r="AN2631">
        <f>'19_Расчет_аналитики'!AN2630*'18_Календарь_тарифы'!AN10</f>
        <v/>
      </c>
      <c r="AO2631">
        <f>'19_Расчет_аналитики'!AO2630*'18_Календарь_тарифы'!AO10</f>
        <v/>
      </c>
      <c r="AP2631">
        <f>'19_Расчет_аналитики'!AP2630*'18_Календарь_тарифы'!AP10</f>
        <v/>
      </c>
      <c r="AQ2631">
        <f>'19_Расчет_аналитики'!AQ2630*'18_Календарь_тарифы'!AQ10</f>
        <v/>
      </c>
      <c r="AR2631">
        <f>'19_Расчет_аналитики'!AR2630*'18_Календарь_тарифы'!AR10</f>
        <v/>
      </c>
      <c r="AS2631">
        <f>'19_Расчет_аналитики'!AS2630*'18_Календарь_тарифы'!AS10</f>
        <v/>
      </c>
      <c r="AT2631">
        <f>'19_Расчет_аналитики'!AT2630*'18_Календарь_тарифы'!AT10</f>
        <v/>
      </c>
      <c r="AU2631">
        <f>'19_Расчет_аналитики'!AU2630*'18_Календарь_тарифы'!AU10</f>
        <v/>
      </c>
      <c r="AV2631">
        <f>'19_Расчет_аналитики'!AV2630*'18_Календарь_тарифы'!AV10</f>
        <v/>
      </c>
      <c r="AW2631">
        <f>'19_Расчет_аналитики'!AW2630*'18_Календарь_тарифы'!AW10</f>
        <v/>
      </c>
      <c r="AX2631">
        <f>'19_Расчет_аналитики'!AX2630*'18_Календарь_тарифы'!AX10</f>
        <v/>
      </c>
      <c r="AY2631">
        <f>'19_Расчет_аналитики'!AY2630*'18_Календарь_тарифы'!AY10</f>
        <v/>
      </c>
      <c r="AZ2631">
        <f>'19_Расчет_аналитики'!AZ2630*'18_Календарь_тарифы'!AZ10</f>
        <v/>
      </c>
      <c r="BA2631">
        <f>'19_Расчет_аналитики'!BA2630*'18_Календарь_тарифы'!BA10</f>
        <v/>
      </c>
      <c r="BB2631">
        <f>'19_Расчет_аналитики'!BB2630*'18_Календарь_тарифы'!BB10</f>
        <v/>
      </c>
      <c r="BC2631">
        <f>'19_Расчет_аналитики'!BC2630*'18_Календарь_тарифы'!BC10</f>
        <v/>
      </c>
      <c r="BD2631">
        <f>'19_Расчет_аналитики'!BD2630*'18_Календарь_тарифы'!BD10</f>
        <v/>
      </c>
      <c r="BE2631">
        <f>'19_Расчет_аналитики'!BE2630*'18_Календарь_тарифы'!BE10</f>
        <v/>
      </c>
      <c r="BF2631">
        <f>'19_Расчет_аналитики'!BF2630*'18_Календарь_тарифы'!BF10</f>
        <v/>
      </c>
      <c r="BG2631">
        <f>'19_Расчет_аналитики'!BG2630*'18_Календарь_тарифы'!BG10</f>
        <v/>
      </c>
      <c r="BH2631">
        <f>'19_Расчет_аналитики'!BH2630*'18_Календарь_тарифы'!BH10</f>
        <v/>
      </c>
      <c r="BI2631">
        <f>'19_Расчет_аналитики'!BI2630*'18_Календарь_тарифы'!BI10</f>
        <v/>
      </c>
      <c r="BJ2631">
        <f>'19_Расчет_аналитики'!BJ2630*'18_Календарь_тарифы'!BJ10</f>
        <v/>
      </c>
      <c r="BK2631">
        <f>'19_Расчет_аналитики'!BK2630*'18_Календарь_тарифы'!BK10</f>
        <v/>
      </c>
      <c r="BL2631">
        <f>'19_Расчет_аналитики'!BL2630*'18_Календарь_тарифы'!BL10</f>
        <v/>
      </c>
      <c r="BM2631">
        <f>'19_Расчет_аналитики'!BM2630*'18_Календарь_тарифы'!BM10</f>
        <v/>
      </c>
      <c r="BN2631">
        <f>'19_Расчет_аналитики'!BN2630*'18_Календарь_тарифы'!BN10</f>
        <v/>
      </c>
      <c r="BO2631">
        <f>'19_Расчет_аналитики'!BO2630*'18_Календарь_тарифы'!BO10</f>
        <v/>
      </c>
    </row>
    <row r="2632">
      <c r="F2632">
        <f>'19_Расчет_аналитики'!F2630*'18_Календарь_тарифы'!F9</f>
        <v/>
      </c>
      <c r="G2632">
        <f>'19_Расчет_аналитики'!G2630*'18_Календарь_тарифы'!G9</f>
        <v/>
      </c>
      <c r="H2632">
        <f>'19_Расчет_аналитики'!H2630*'18_Календарь_тарифы'!H9</f>
        <v/>
      </c>
      <c r="I2632">
        <f>'19_Расчет_аналитики'!I2630*'18_Календарь_тарифы'!I9</f>
        <v/>
      </c>
      <c r="J2632">
        <f>'19_Расчет_аналитики'!J2630*'18_Календарь_тарифы'!J9</f>
        <v/>
      </c>
      <c r="K2632">
        <f>'19_Расчет_аналитики'!K2630*'18_Календарь_тарифы'!K9</f>
        <v/>
      </c>
      <c r="L2632">
        <f>'19_Расчет_аналитики'!L2630*'18_Календарь_тарифы'!L9</f>
        <v/>
      </c>
      <c r="M2632">
        <f>'19_Расчет_аналитики'!M2630*'18_Календарь_тарифы'!M9</f>
        <v/>
      </c>
      <c r="N2632">
        <f>'19_Расчет_аналитики'!N2630*'18_Календарь_тарифы'!N9</f>
        <v/>
      </c>
      <c r="O2632">
        <f>'19_Расчет_аналитики'!O2630*'18_Календарь_тарифы'!O9</f>
        <v/>
      </c>
      <c r="P2632">
        <f>'19_Расчет_аналитики'!P2630*'18_Календарь_тарифы'!P9</f>
        <v/>
      </c>
      <c r="Q2632">
        <f>'19_Расчет_аналитики'!Q2630*'18_Календарь_тарифы'!Q9</f>
        <v/>
      </c>
      <c r="R2632">
        <f>'19_Расчет_аналитики'!R2630*'18_Календарь_тарифы'!R9</f>
        <v/>
      </c>
      <c r="S2632">
        <f>'19_Расчет_аналитики'!S2630*'18_Календарь_тарифы'!S9</f>
        <v/>
      </c>
      <c r="T2632">
        <f>'19_Расчет_аналитики'!T2630*'18_Календарь_тарифы'!T9</f>
        <v/>
      </c>
      <c r="U2632">
        <f>'19_Расчет_аналитики'!U2630*'18_Календарь_тарифы'!U9</f>
        <v/>
      </c>
      <c r="V2632">
        <f>'19_Расчет_аналитики'!V2630*'18_Календарь_тарифы'!V9</f>
        <v/>
      </c>
      <c r="W2632">
        <f>'19_Расчет_аналитики'!W2630*'18_Календарь_тарифы'!W9</f>
        <v/>
      </c>
      <c r="X2632">
        <f>'19_Расчет_аналитики'!X2630*'18_Календарь_тарифы'!X9</f>
        <v/>
      </c>
      <c r="Y2632">
        <f>'19_Расчет_аналитики'!Y2630*'18_Календарь_тарифы'!Y9</f>
        <v/>
      </c>
      <c r="Z2632">
        <f>'19_Расчет_аналитики'!Z2630*'18_Календарь_тарифы'!Z9</f>
        <v/>
      </c>
      <c r="AA2632">
        <f>'19_Расчет_аналитики'!AA2630*'18_Календарь_тарифы'!AA9</f>
        <v/>
      </c>
      <c r="AB2632">
        <f>'19_Расчет_аналитики'!AB2630*'18_Календарь_тарифы'!AB9</f>
        <v/>
      </c>
      <c r="AC2632">
        <f>'19_Расчет_аналитики'!AC2630*'18_Календарь_тарифы'!AC9</f>
        <v/>
      </c>
      <c r="AD2632">
        <f>'19_Расчет_аналитики'!AD2630*'18_Календарь_тарифы'!AD9</f>
        <v/>
      </c>
      <c r="AE2632">
        <f>'19_Расчет_аналитики'!AE2630*'18_Календарь_тарифы'!AE9</f>
        <v/>
      </c>
      <c r="AF2632">
        <f>'19_Расчет_аналитики'!AF2630*'18_Календарь_тарифы'!AF9</f>
        <v/>
      </c>
      <c r="AG2632">
        <f>'19_Расчет_аналитики'!AG2630*'18_Календарь_тарифы'!AG9</f>
        <v/>
      </c>
      <c r="AH2632">
        <f>'19_Расчет_аналитики'!AH2630*'18_Календарь_тарифы'!AH9</f>
        <v/>
      </c>
      <c r="AI2632">
        <f>'19_Расчет_аналитики'!AI2630*'18_Календарь_тарифы'!AI9</f>
        <v/>
      </c>
      <c r="AJ2632">
        <f>'19_Расчет_аналитики'!AJ2630*'18_Календарь_тарифы'!AJ9</f>
        <v/>
      </c>
      <c r="AK2632">
        <f>'19_Расчет_аналитики'!AK2630*'18_Календарь_тарифы'!AK9</f>
        <v/>
      </c>
      <c r="AL2632">
        <f>'19_Расчет_аналитики'!AL2630*'18_Календарь_тарифы'!AL9</f>
        <v/>
      </c>
      <c r="AM2632">
        <f>'19_Расчет_аналитики'!AM2630*'18_Календарь_тарифы'!AM9</f>
        <v/>
      </c>
      <c r="AN2632">
        <f>'19_Расчет_аналитики'!AN2630*'18_Календарь_тарифы'!AN9</f>
        <v/>
      </c>
      <c r="AO2632">
        <f>'19_Расчет_аналитики'!AO2630*'18_Календарь_тарифы'!AO9</f>
        <v/>
      </c>
      <c r="AP2632">
        <f>'19_Расчет_аналитики'!AP2630*'18_Календарь_тарифы'!AP9</f>
        <v/>
      </c>
      <c r="AQ2632">
        <f>'19_Расчет_аналитики'!AQ2630*'18_Календарь_тарифы'!AQ9</f>
        <v/>
      </c>
      <c r="AR2632">
        <f>'19_Расчет_аналитики'!AR2630*'18_Календарь_тарифы'!AR9</f>
        <v/>
      </c>
      <c r="AS2632">
        <f>'19_Расчет_аналитики'!AS2630*'18_Календарь_тарифы'!AS9</f>
        <v/>
      </c>
      <c r="AT2632">
        <f>'19_Расчет_аналитики'!AT2630*'18_Календарь_тарифы'!AT9</f>
        <v/>
      </c>
      <c r="AU2632">
        <f>'19_Расчет_аналитики'!AU2630*'18_Календарь_тарифы'!AU9</f>
        <v/>
      </c>
      <c r="AV2632">
        <f>'19_Расчет_аналитики'!AV2630*'18_Календарь_тарифы'!AV9</f>
        <v/>
      </c>
      <c r="AW2632">
        <f>'19_Расчет_аналитики'!AW2630*'18_Календарь_тарифы'!AW9</f>
        <v/>
      </c>
      <c r="AX2632">
        <f>'19_Расчет_аналитики'!AX2630*'18_Календарь_тарифы'!AX9</f>
        <v/>
      </c>
      <c r="AY2632">
        <f>'19_Расчет_аналитики'!AY2630*'18_Календарь_тарифы'!AY9</f>
        <v/>
      </c>
      <c r="AZ2632">
        <f>'19_Расчет_аналитики'!AZ2630*'18_Календарь_тарифы'!AZ9</f>
        <v/>
      </c>
      <c r="BA2632">
        <f>'19_Расчет_аналитики'!BA2630*'18_Календарь_тарифы'!BA9</f>
        <v/>
      </c>
      <c r="BB2632">
        <f>'19_Расчет_аналитики'!BB2630*'18_Календарь_тарифы'!BB9</f>
        <v/>
      </c>
      <c r="BC2632">
        <f>'19_Расчет_аналитики'!BC2630*'18_Календарь_тарифы'!BC9</f>
        <v/>
      </c>
      <c r="BD2632">
        <f>'19_Расчет_аналитики'!BD2630*'18_Календарь_тарифы'!BD9</f>
        <v/>
      </c>
      <c r="BE2632">
        <f>'19_Расчет_аналитики'!BE2630*'18_Календарь_тарифы'!BE9</f>
        <v/>
      </c>
      <c r="BF2632">
        <f>'19_Расчет_аналитики'!BF2630*'18_Календарь_тарифы'!BF9</f>
        <v/>
      </c>
      <c r="BG2632">
        <f>'19_Расчет_аналитики'!BG2630*'18_Календарь_тарифы'!BG9</f>
        <v/>
      </c>
      <c r="BH2632">
        <f>'19_Расчет_аналитики'!BH2630*'18_Календарь_тарифы'!BH9</f>
        <v/>
      </c>
      <c r="BI2632">
        <f>'19_Расчет_аналитики'!BI2630*'18_Календарь_тарифы'!BI9</f>
        <v/>
      </c>
      <c r="BJ2632">
        <f>'19_Расчет_аналитики'!BJ2630*'18_Календарь_тарифы'!BJ9</f>
        <v/>
      </c>
      <c r="BK2632">
        <f>'19_Расчет_аналитики'!BK2630*'18_Календарь_тарифы'!BK9</f>
        <v/>
      </c>
      <c r="BL2632">
        <f>'19_Расчет_аналитики'!BL2630*'18_Календарь_тарифы'!BL9</f>
        <v/>
      </c>
      <c r="BM2632">
        <f>'19_Расчет_аналитики'!BM2630*'18_Календарь_тарифы'!BM9</f>
        <v/>
      </c>
      <c r="BN2632">
        <f>'19_Расчет_аналитики'!BN2630*'18_Календарь_тарифы'!BN9</f>
        <v/>
      </c>
      <c r="BO2632">
        <f>'19_Расчет_аналитики'!BO2630*'18_Календарь_тарифы'!BO9</f>
        <v/>
      </c>
    </row>
    <row r="2633"/>
    <row r="2634">
      <c r="B2634">
        <f>'07_Мерч'!B9</f>
        <v/>
      </c>
      <c r="C2634">
        <f>('19_Расчет_аналитики'!B2387*'01_Вводные'!$B$87*'01_Вводные'!$B$14^1)*'19_Расчет_аналитики'!$B$2082*'19_Расчет_аналитики'!$B$2110</f>
        <v/>
      </c>
      <c r="D2634">
        <f>('19_Расчет_аналитики'!C2387*'01_Вводные'!$B$87*'01_Вводные'!$B$14^1+'19_Расчет_аналитики'!B2387*'01_Вводные'!$B$88*'01_Вводные'!$B$14^2)*'19_Расчет_аналитики'!$B$2082*'19_Расчет_аналитики'!$B$2110</f>
        <v/>
      </c>
      <c r="E2634">
        <f>('19_Расчет_аналитики'!D2387*'01_Вводные'!$B$87*'01_Вводные'!$B$14^1+'19_Расчет_аналитики'!C2387*'01_Вводные'!$B$88*'01_Вводные'!$B$14^2+'19_Расчет_аналитики'!B2387*'01_Вводные'!$B$89*'01_Вводные'!$B$14^3)*'19_Расчет_аналитики'!$B$2082*'19_Расчет_аналитики'!$B$2110</f>
        <v/>
      </c>
      <c r="F2634">
        <f>('19_Расчет_аналитики'!E2387*'01_Вводные'!$B$87*'01_Вводные'!$B$14^1+'19_Расчет_аналитики'!D2387*'01_Вводные'!$B$88*'01_Вводные'!$B$14^2+'19_Расчет_аналитики'!C2387*'01_Вводные'!$B$89*'01_Вводные'!$B$14^3)*'19_Расчет_аналитики'!$B$2082*'19_Расчет_аналитики'!$B$2110</f>
        <v/>
      </c>
      <c r="G2634">
        <f>('19_Расчет_аналитики'!F2387*'01_Вводные'!$B$87*'01_Вводные'!$B$14^1+'19_Расчет_аналитики'!E2387*'01_Вводные'!$B$88*'01_Вводные'!$B$14^2+'19_Расчет_аналитики'!D2387*'01_Вводные'!$B$89*'01_Вводные'!$B$14^3)*'19_Расчет_аналитики'!$B$2082*'19_Расчет_аналитики'!$B$2110</f>
        <v/>
      </c>
      <c r="H2634">
        <f>('19_Расчет_аналитики'!G2387*'01_Вводные'!$B$87*'01_Вводные'!$B$14^1+'19_Расчет_аналитики'!F2387*'01_Вводные'!$B$88*'01_Вводные'!$B$14^2+'19_Расчет_аналитики'!E2387*'01_Вводные'!$B$89*'01_Вводные'!$B$14^3)*'19_Расчет_аналитики'!$B$2082*'19_Расчет_аналитики'!$B$2110</f>
        <v/>
      </c>
      <c r="I2634">
        <f>('19_Расчет_аналитики'!H2387*'01_Вводные'!$B$87*'01_Вводные'!$B$14^1+'19_Расчет_аналитики'!G2387*'01_Вводные'!$B$88*'01_Вводные'!$B$14^2+'19_Расчет_аналитики'!F2387*'01_Вводные'!$B$89*'01_Вводные'!$B$14^3)*'19_Расчет_аналитики'!$B$2082*'19_Расчет_аналитики'!$B$2110</f>
        <v/>
      </c>
      <c r="J2634">
        <f>('19_Расчет_аналитики'!I2387*'01_Вводные'!$B$87*'01_Вводные'!$B$14^1+'19_Расчет_аналитики'!H2387*'01_Вводные'!$B$88*'01_Вводные'!$B$14^2+'19_Расчет_аналитики'!G2387*'01_Вводные'!$B$89*'01_Вводные'!$B$14^3)*'19_Расчет_аналитики'!$B$2082*'19_Расчет_аналитики'!$B$2110</f>
        <v/>
      </c>
      <c r="K2634">
        <f>('19_Расчет_аналитики'!J2387*'01_Вводные'!$B$87*'01_Вводные'!$B$14^1+'19_Расчет_аналитики'!I2387*'01_Вводные'!$B$88*'01_Вводные'!$B$14^2+'19_Расчет_аналитики'!H2387*'01_Вводные'!$B$89*'01_Вводные'!$B$14^3)*'19_Расчет_аналитики'!$B$2082*'19_Расчет_аналитики'!$B$2110</f>
        <v/>
      </c>
      <c r="L2634">
        <f>('19_Расчет_аналитики'!K2387*'01_Вводные'!$B$87*'01_Вводные'!$B$14^1+'19_Расчет_аналитики'!J2387*'01_Вводные'!$B$88*'01_Вводные'!$B$14^2+'19_Расчет_аналитики'!I2387*'01_Вводные'!$B$89*'01_Вводные'!$B$14^3)*'19_Расчет_аналитики'!$B$2082*'19_Расчет_аналитики'!$B$2110</f>
        <v/>
      </c>
      <c r="M2634">
        <f>('19_Расчет_аналитики'!L2387*'01_Вводные'!$B$87*'01_Вводные'!$B$14^1+'19_Расчет_аналитики'!K2387*'01_Вводные'!$B$88*'01_Вводные'!$B$14^2+'19_Расчет_аналитики'!J2387*'01_Вводные'!$B$89*'01_Вводные'!$B$14^3)*'19_Расчет_аналитики'!$B$2082*'19_Расчет_аналитики'!$B$2110</f>
        <v/>
      </c>
      <c r="N2634">
        <f>('19_Расчет_аналитики'!M2387*'01_Вводные'!$B$87*'01_Вводные'!$B$14^1+'19_Расчет_аналитики'!L2387*'01_Вводные'!$B$88*'01_Вводные'!$B$14^2+'19_Расчет_аналитики'!K2387*'01_Вводные'!$B$89*'01_Вводные'!$B$14^3)*'19_Расчет_аналитики'!$B$2082*'19_Расчет_аналитики'!$B$2110</f>
        <v/>
      </c>
      <c r="O2634">
        <f>('19_Расчет_аналитики'!N2387*'01_Вводные'!$B$87*'01_Вводные'!$B$14^1+'19_Расчет_аналитики'!M2387*'01_Вводные'!$B$88*'01_Вводные'!$B$14^2+'19_Расчет_аналитики'!L2387*'01_Вводные'!$B$89*'01_Вводные'!$B$14^3)*'19_Расчет_аналитики'!$B$2082*'19_Расчет_аналитики'!$B$2110</f>
        <v/>
      </c>
      <c r="P2634">
        <f>('19_Расчет_аналитики'!O2387*'01_Вводные'!$B$87*'01_Вводные'!$B$14^1+'19_Расчет_аналитики'!N2387*'01_Вводные'!$B$88*'01_Вводные'!$B$14^2+'19_Расчет_аналитики'!M2387*'01_Вводные'!$B$89*'01_Вводные'!$B$14^3)*'19_Расчет_аналитики'!$B$2082*'19_Расчет_аналитики'!$B$2110</f>
        <v/>
      </c>
      <c r="Q2634">
        <f>('19_Расчет_аналитики'!P2387*'01_Вводные'!$B$87*'01_Вводные'!$B$14^1+'19_Расчет_аналитики'!O2387*'01_Вводные'!$B$88*'01_Вводные'!$B$14^2+'19_Расчет_аналитики'!N2387*'01_Вводные'!$B$89*'01_Вводные'!$B$14^3)*'19_Расчет_аналитики'!$B$2082*'19_Расчет_аналитики'!$B$2110</f>
        <v/>
      </c>
      <c r="R2634">
        <f>('19_Расчет_аналитики'!Q2387*'01_Вводные'!$B$87*'01_Вводные'!$B$14^1+'19_Расчет_аналитики'!P2387*'01_Вводные'!$B$88*'01_Вводные'!$B$14^2+'19_Расчет_аналитики'!O2387*'01_Вводные'!$B$89*'01_Вводные'!$B$14^3)*'19_Расчет_аналитики'!$B$2082*'19_Расчет_аналитики'!$B$2110</f>
        <v/>
      </c>
      <c r="S2634">
        <f>('19_Расчет_аналитики'!R2387*'01_Вводные'!$B$87*'01_Вводные'!$B$14^1+'19_Расчет_аналитики'!Q2387*'01_Вводные'!$B$88*'01_Вводные'!$B$14^2+'19_Расчет_аналитики'!P2387*'01_Вводные'!$B$89*'01_Вводные'!$B$14^3)*'19_Расчет_аналитики'!$B$2082*'19_Расчет_аналитики'!$B$2110</f>
        <v/>
      </c>
      <c r="T2634">
        <f>('19_Расчет_аналитики'!S2387*'01_Вводные'!$B$87*'01_Вводные'!$B$14^1+'19_Расчет_аналитики'!R2387*'01_Вводные'!$B$88*'01_Вводные'!$B$14^2+'19_Расчет_аналитики'!Q2387*'01_Вводные'!$B$89*'01_Вводные'!$B$14^3)*'19_Расчет_аналитики'!$B$2082*'19_Расчет_аналитики'!$B$2110</f>
        <v/>
      </c>
      <c r="U2634">
        <f>('19_Расчет_аналитики'!T2387*'01_Вводные'!$B$87*'01_Вводные'!$B$14^1+'19_Расчет_аналитики'!S2387*'01_Вводные'!$B$88*'01_Вводные'!$B$14^2+'19_Расчет_аналитики'!R2387*'01_Вводные'!$B$89*'01_Вводные'!$B$14^3)*'19_Расчет_аналитики'!$B$2082*'19_Расчет_аналитики'!$B$2110</f>
        <v/>
      </c>
      <c r="V2634">
        <f>('19_Расчет_аналитики'!U2387*'01_Вводные'!$B$87*'01_Вводные'!$B$14^1+'19_Расчет_аналитики'!T2387*'01_Вводные'!$B$88*'01_Вводные'!$B$14^2+'19_Расчет_аналитики'!S2387*'01_Вводные'!$B$89*'01_Вводные'!$B$14^3)*'19_Расчет_аналитики'!$B$2082*'19_Расчет_аналитики'!$B$2110</f>
        <v/>
      </c>
      <c r="W2634">
        <f>('19_Расчет_аналитики'!V2387*'01_Вводные'!$B$87*'01_Вводные'!$B$14^1+'19_Расчет_аналитики'!U2387*'01_Вводные'!$B$88*'01_Вводные'!$B$14^2+'19_Расчет_аналитики'!T2387*'01_Вводные'!$B$89*'01_Вводные'!$B$14^3)*'19_Расчет_аналитики'!$B$2082*'19_Расчет_аналитики'!$B$2110</f>
        <v/>
      </c>
      <c r="X2634">
        <f>('19_Расчет_аналитики'!W2387*'01_Вводные'!$B$87*'01_Вводные'!$B$14^1+'19_Расчет_аналитики'!V2387*'01_Вводные'!$B$88*'01_Вводные'!$B$14^2+'19_Расчет_аналитики'!U2387*'01_Вводные'!$B$89*'01_Вводные'!$B$14^3)*'19_Расчет_аналитики'!$B$2082*'19_Расчет_аналитики'!$B$2110</f>
        <v/>
      </c>
      <c r="Y2634">
        <f>('19_Расчет_аналитики'!X2387*'01_Вводные'!$B$87*'01_Вводные'!$B$14^1+'19_Расчет_аналитики'!W2387*'01_Вводные'!$B$88*'01_Вводные'!$B$14^2+'19_Расчет_аналитики'!V2387*'01_Вводные'!$B$89*'01_Вводные'!$B$14^3)*'19_Расчет_аналитики'!$B$2082*'19_Расчет_аналитики'!$B$2110</f>
        <v/>
      </c>
      <c r="Z2634">
        <f>('19_Расчет_аналитики'!Y2387*'01_Вводные'!$B$87*'01_Вводные'!$B$14^1+'19_Расчет_аналитики'!X2387*'01_Вводные'!$B$88*'01_Вводные'!$B$14^2+'19_Расчет_аналитики'!W2387*'01_Вводные'!$B$89*'01_Вводные'!$B$14^3)*'19_Расчет_аналитики'!$B$2082*'19_Расчет_аналитики'!$B$2110</f>
        <v/>
      </c>
      <c r="AA2634">
        <f>('19_Расчет_аналитики'!Z2387*'01_Вводные'!$B$87*'01_Вводные'!$B$14^1+'19_Расчет_аналитики'!Y2387*'01_Вводные'!$B$88*'01_Вводные'!$B$14^2+'19_Расчет_аналитики'!X2387*'01_Вводные'!$B$89*'01_Вводные'!$B$14^3)*'19_Расчет_аналитики'!$B$2082*'19_Расчет_аналитики'!$B$2110</f>
        <v/>
      </c>
      <c r="AB2634">
        <f>('19_Расчет_аналитики'!AA2387*'01_Вводные'!$B$87*'01_Вводные'!$B$14^1+'19_Расчет_аналитики'!Z2387*'01_Вводные'!$B$88*'01_Вводные'!$B$14^2+'19_Расчет_аналитики'!Y2387*'01_Вводные'!$B$89*'01_Вводные'!$B$14^3)*'19_Расчет_аналитики'!$B$2082*'19_Расчет_аналитики'!$B$2110</f>
        <v/>
      </c>
      <c r="AC2634">
        <f>('19_Расчет_аналитики'!AB2387*'01_Вводные'!$B$87*'01_Вводные'!$B$14^1+'19_Расчет_аналитики'!AA2387*'01_Вводные'!$B$88*'01_Вводные'!$B$14^2+'19_Расчет_аналитики'!Z2387*'01_Вводные'!$B$89*'01_Вводные'!$B$14^3)*'19_Расчет_аналитики'!$B$2082*'19_Расчет_аналитики'!$B$2110</f>
        <v/>
      </c>
      <c r="AD2634">
        <f>('19_Расчет_аналитики'!AC2387*'01_Вводные'!$B$87*'01_Вводные'!$B$14^1+'19_Расчет_аналитики'!AB2387*'01_Вводные'!$B$88*'01_Вводные'!$B$14^2+'19_Расчет_аналитики'!AA2387*'01_Вводные'!$B$89*'01_Вводные'!$B$14^3)*'19_Расчет_аналитики'!$B$2082*'19_Расчет_аналитики'!$B$2110</f>
        <v/>
      </c>
      <c r="AE2634">
        <f>('19_Расчет_аналитики'!AD2387*'01_Вводные'!$B$87*'01_Вводные'!$B$14^1+'19_Расчет_аналитики'!AC2387*'01_Вводные'!$B$88*'01_Вводные'!$B$14^2+'19_Расчет_аналитики'!AB2387*'01_Вводные'!$B$89*'01_Вводные'!$B$14^3)*'19_Расчет_аналитики'!$B$2082*'19_Расчет_аналитики'!$B$2110</f>
        <v/>
      </c>
      <c r="AF2634">
        <f>('19_Расчет_аналитики'!AE2387*'01_Вводные'!$B$87*'01_Вводные'!$B$14^1+'19_Расчет_аналитики'!AD2387*'01_Вводные'!$B$88*'01_Вводные'!$B$14^2+'19_Расчет_аналитики'!AC2387*'01_Вводные'!$B$89*'01_Вводные'!$B$14^3)*'19_Расчет_аналитики'!$B$2082*'19_Расчет_аналитики'!$B$2110</f>
        <v/>
      </c>
      <c r="AG2634">
        <f>('19_Расчет_аналитики'!AF2387*'01_Вводные'!$B$87*'01_Вводные'!$B$14^1+'19_Расчет_аналитики'!AE2387*'01_Вводные'!$B$88*'01_Вводные'!$B$14^2+'19_Расчет_аналитики'!AD2387*'01_Вводные'!$B$89*'01_Вводные'!$B$14^3)*'19_Расчет_аналитики'!$B$2082*'19_Расчет_аналитики'!$B$2110</f>
        <v/>
      </c>
      <c r="AH2634">
        <f>('19_Расчет_аналитики'!AG2387*'01_Вводные'!$B$87*'01_Вводные'!$B$14^1+'19_Расчет_аналитики'!AF2387*'01_Вводные'!$B$88*'01_Вводные'!$B$14^2+'19_Расчет_аналитики'!AE2387*'01_Вводные'!$B$89*'01_Вводные'!$B$14^3)*'19_Расчет_аналитики'!$B$2082*'19_Расчет_аналитики'!$B$2110</f>
        <v/>
      </c>
      <c r="AI2634">
        <f>('19_Расчет_аналитики'!AH2387*'01_Вводные'!$B$87*'01_Вводные'!$B$14^1+'19_Расчет_аналитики'!AG2387*'01_Вводные'!$B$88*'01_Вводные'!$B$14^2+'19_Расчет_аналитики'!AF2387*'01_Вводные'!$B$89*'01_Вводные'!$B$14^3)*'19_Расчет_аналитики'!$B$2082*'19_Расчет_аналитики'!$B$2110</f>
        <v/>
      </c>
      <c r="AJ2634">
        <f>('19_Расчет_аналитики'!AI2387*'01_Вводные'!$B$87*'01_Вводные'!$B$14^1+'19_Расчет_аналитики'!AH2387*'01_Вводные'!$B$88*'01_Вводные'!$B$14^2+'19_Расчет_аналитики'!AG2387*'01_Вводные'!$B$89*'01_Вводные'!$B$14^3)*'19_Расчет_аналитики'!$B$2082*'19_Расчет_аналитики'!$B$2110</f>
        <v/>
      </c>
      <c r="AK2634">
        <f>('19_Расчет_аналитики'!AJ2387*'01_Вводные'!$B$87*'01_Вводные'!$B$14^1+'19_Расчет_аналитики'!AI2387*'01_Вводные'!$B$88*'01_Вводные'!$B$14^2+'19_Расчет_аналитики'!AH2387*'01_Вводные'!$B$89*'01_Вводные'!$B$14^3)*'19_Расчет_аналитики'!$B$2082*'19_Расчет_аналитики'!$B$2110</f>
        <v/>
      </c>
      <c r="AL2634">
        <f>('19_Расчет_аналитики'!AK2387*'01_Вводные'!$B$87*'01_Вводные'!$B$14^1+'19_Расчет_аналитики'!AJ2387*'01_Вводные'!$B$88*'01_Вводные'!$B$14^2+'19_Расчет_аналитики'!AI2387*'01_Вводные'!$B$89*'01_Вводные'!$B$14^3)*'19_Расчет_аналитики'!$B$2082*'19_Расчет_аналитики'!$B$2110</f>
        <v/>
      </c>
      <c r="AM2634">
        <f>('19_Расчет_аналитики'!AL2387*'01_Вводные'!$B$87*'01_Вводные'!$B$14^1+'19_Расчет_аналитики'!AK2387*'01_Вводные'!$B$88*'01_Вводные'!$B$14^2+'19_Расчет_аналитики'!AJ2387*'01_Вводные'!$B$89*'01_Вводные'!$B$14^3)*'19_Расчет_аналитики'!$B$2082*'19_Расчет_аналитики'!$B$2110</f>
        <v/>
      </c>
      <c r="AN2634">
        <f>('19_Расчет_аналитики'!AM2387*'01_Вводные'!$B$87*'01_Вводные'!$B$14^1+'19_Расчет_аналитики'!AL2387*'01_Вводные'!$B$88*'01_Вводные'!$B$14^2+'19_Расчет_аналитики'!AK2387*'01_Вводные'!$B$89*'01_Вводные'!$B$14^3)*'19_Расчет_аналитики'!$B$2082*'19_Расчет_аналитики'!$B$2110</f>
        <v/>
      </c>
      <c r="AO2634">
        <f>('19_Расчет_аналитики'!AN2387*'01_Вводные'!$B$87*'01_Вводные'!$B$14^1+'19_Расчет_аналитики'!AM2387*'01_Вводные'!$B$88*'01_Вводные'!$B$14^2+'19_Расчет_аналитики'!AL2387*'01_Вводные'!$B$89*'01_Вводные'!$B$14^3)*'19_Расчет_аналитики'!$B$2082*'19_Расчет_аналитики'!$B$2110</f>
        <v/>
      </c>
      <c r="AP2634">
        <f>('19_Расчет_аналитики'!AO2387*'01_Вводные'!$B$87*'01_Вводные'!$B$14^1+'19_Расчет_аналитики'!AN2387*'01_Вводные'!$B$88*'01_Вводные'!$B$14^2+'19_Расчет_аналитики'!AM2387*'01_Вводные'!$B$89*'01_Вводные'!$B$14^3)*'19_Расчет_аналитики'!$B$2082*'19_Расчет_аналитики'!$B$2110</f>
        <v/>
      </c>
      <c r="AQ2634">
        <f>('19_Расчет_аналитики'!AP2387*'01_Вводные'!$B$87*'01_Вводные'!$B$14^1+'19_Расчет_аналитики'!AO2387*'01_Вводные'!$B$88*'01_Вводные'!$B$14^2+'19_Расчет_аналитики'!AN2387*'01_Вводные'!$B$89*'01_Вводные'!$B$14^3)*'19_Расчет_аналитики'!$B$2082*'19_Расчет_аналитики'!$B$2110</f>
        <v/>
      </c>
      <c r="AR2634">
        <f>('19_Расчет_аналитики'!AQ2387*'01_Вводные'!$B$87*'01_Вводные'!$B$14^1+'19_Расчет_аналитики'!AP2387*'01_Вводные'!$B$88*'01_Вводные'!$B$14^2+'19_Расчет_аналитики'!AO2387*'01_Вводные'!$B$89*'01_Вводные'!$B$14^3)*'19_Расчет_аналитики'!$B$2082*'19_Расчет_аналитики'!$B$2110</f>
        <v/>
      </c>
      <c r="AS2634">
        <f>('19_Расчет_аналитики'!AR2387*'01_Вводные'!$B$87*'01_Вводные'!$B$14^1+'19_Расчет_аналитики'!AQ2387*'01_Вводные'!$B$88*'01_Вводные'!$B$14^2+'19_Расчет_аналитики'!AP2387*'01_Вводные'!$B$89*'01_Вводные'!$B$14^3)*'19_Расчет_аналитики'!$B$2082*'19_Расчет_аналитики'!$B$2110</f>
        <v/>
      </c>
      <c r="AT2634">
        <f>('19_Расчет_аналитики'!AS2387*'01_Вводные'!$B$87*'01_Вводные'!$B$14^1+'19_Расчет_аналитики'!AR2387*'01_Вводные'!$B$88*'01_Вводные'!$B$14^2+'19_Расчет_аналитики'!AQ2387*'01_Вводные'!$B$89*'01_Вводные'!$B$14^3)*'19_Расчет_аналитики'!$B$2082*'19_Расчет_аналитики'!$B$2110</f>
        <v/>
      </c>
      <c r="AU2634">
        <f>('19_Расчет_аналитики'!AT2387*'01_Вводные'!$B$87*'01_Вводные'!$B$14^1+'19_Расчет_аналитики'!AS2387*'01_Вводные'!$B$88*'01_Вводные'!$B$14^2+'19_Расчет_аналитики'!AR2387*'01_Вводные'!$B$89*'01_Вводные'!$B$14^3)*'19_Расчет_аналитики'!$B$2082*'19_Расчет_аналитики'!$B$2110</f>
        <v/>
      </c>
      <c r="AV2634">
        <f>('19_Расчет_аналитики'!AU2387*'01_Вводные'!$B$87*'01_Вводные'!$B$14^1+'19_Расчет_аналитики'!AT2387*'01_Вводные'!$B$88*'01_Вводные'!$B$14^2+'19_Расчет_аналитики'!AS2387*'01_Вводные'!$B$89*'01_Вводные'!$B$14^3)*'19_Расчет_аналитики'!$B$2082*'19_Расчет_аналитики'!$B$2110</f>
        <v/>
      </c>
      <c r="AW2634">
        <f>('19_Расчет_аналитики'!AV2387*'01_Вводные'!$B$87*'01_Вводные'!$B$14^1+'19_Расчет_аналитики'!AU2387*'01_Вводные'!$B$88*'01_Вводные'!$B$14^2+'19_Расчет_аналитики'!AT2387*'01_Вводные'!$B$89*'01_Вводные'!$B$14^3)*'19_Расчет_аналитики'!$B$2082*'19_Расчет_аналитики'!$B$2110</f>
        <v/>
      </c>
      <c r="AX2634">
        <f>('19_Расчет_аналитики'!AW2387*'01_Вводные'!$B$87*'01_Вводные'!$B$14^1+'19_Расчет_аналитики'!AV2387*'01_Вводные'!$B$88*'01_Вводные'!$B$14^2+'19_Расчет_аналитики'!AU2387*'01_Вводные'!$B$89*'01_Вводные'!$B$14^3)*'19_Расчет_аналитики'!$B$2082*'19_Расчет_аналитики'!$B$2110</f>
        <v/>
      </c>
      <c r="AY2634">
        <f>('19_Расчет_аналитики'!AX2387*'01_Вводные'!$B$87*'01_Вводные'!$B$14^1+'19_Расчет_аналитики'!AW2387*'01_Вводные'!$B$88*'01_Вводные'!$B$14^2+'19_Расчет_аналитики'!AV2387*'01_Вводные'!$B$89*'01_Вводные'!$B$14^3)*'19_Расчет_аналитики'!$B$2082*'19_Расчет_аналитики'!$B$2110</f>
        <v/>
      </c>
      <c r="AZ2634">
        <f>('19_Расчет_аналитики'!AY2387*'01_Вводные'!$B$87*'01_Вводные'!$B$14^1+'19_Расчет_аналитики'!AX2387*'01_Вводные'!$B$88*'01_Вводные'!$B$14^2+'19_Расчет_аналитики'!AW2387*'01_Вводные'!$B$89*'01_Вводные'!$B$14^3)*'19_Расчет_аналитики'!$B$2082*'19_Расчет_аналитики'!$B$2110</f>
        <v/>
      </c>
      <c r="BA2634">
        <f>('19_Расчет_аналитики'!AZ2387*'01_Вводные'!$B$87*'01_Вводные'!$B$14^1+'19_Расчет_аналитики'!AY2387*'01_Вводные'!$B$88*'01_Вводные'!$B$14^2+'19_Расчет_аналитики'!AX2387*'01_Вводные'!$B$89*'01_Вводные'!$B$14^3)*'19_Расчет_аналитики'!$B$2082*'19_Расчет_аналитики'!$B$2110</f>
        <v/>
      </c>
      <c r="BB2634">
        <f>('19_Расчет_аналитики'!BA2387*'01_Вводные'!$B$87*'01_Вводные'!$B$14^1+'19_Расчет_аналитики'!AZ2387*'01_Вводные'!$B$88*'01_Вводные'!$B$14^2+'19_Расчет_аналитики'!AY2387*'01_Вводные'!$B$89*'01_Вводные'!$B$14^3)*'19_Расчет_аналитики'!$B$2082*'19_Расчет_аналитики'!$B$2110</f>
        <v/>
      </c>
      <c r="BC2634">
        <f>('19_Расчет_аналитики'!BB2387*'01_Вводные'!$B$87*'01_Вводные'!$B$14^1+'19_Расчет_аналитики'!BA2387*'01_Вводные'!$B$88*'01_Вводные'!$B$14^2+'19_Расчет_аналитики'!AZ2387*'01_Вводные'!$B$89*'01_Вводные'!$B$14^3)*'19_Расчет_аналитики'!$B$2082*'19_Расчет_аналитики'!$B$2110</f>
        <v/>
      </c>
      <c r="BD2634">
        <f>('19_Расчет_аналитики'!BC2387*'01_Вводные'!$B$87*'01_Вводные'!$B$14^1+'19_Расчет_аналитики'!BB2387*'01_Вводные'!$B$88*'01_Вводные'!$B$14^2+'19_Расчет_аналитики'!BA2387*'01_Вводные'!$B$89*'01_Вводные'!$B$14^3)*'19_Расчет_аналитики'!$B$2082*'19_Расчет_аналитики'!$B$2110</f>
        <v/>
      </c>
      <c r="BE2634">
        <f>('19_Расчет_аналитики'!BD2387*'01_Вводные'!$B$87*'01_Вводные'!$B$14^1+'19_Расчет_аналитики'!BC2387*'01_Вводные'!$B$88*'01_Вводные'!$B$14^2+'19_Расчет_аналитики'!BB2387*'01_Вводные'!$B$89*'01_Вводные'!$B$14^3)*'19_Расчет_аналитики'!$B$2082*'19_Расчет_аналитики'!$B$2110</f>
        <v/>
      </c>
      <c r="BF2634">
        <f>('19_Расчет_аналитики'!BE2387*'01_Вводные'!$B$87*'01_Вводные'!$B$14^1+'19_Расчет_аналитики'!BD2387*'01_Вводные'!$B$88*'01_Вводные'!$B$14^2+'19_Расчет_аналитики'!BC2387*'01_Вводные'!$B$89*'01_Вводные'!$B$14^3)*'19_Расчет_аналитики'!$B$2082*'19_Расчет_аналитики'!$B$2110</f>
        <v/>
      </c>
      <c r="BG2634">
        <f>('19_Расчет_аналитики'!BF2387*'01_Вводные'!$B$87*'01_Вводные'!$B$14^1+'19_Расчет_аналитики'!BE2387*'01_Вводные'!$B$88*'01_Вводные'!$B$14^2+'19_Расчет_аналитики'!BD2387*'01_Вводные'!$B$89*'01_Вводные'!$B$14^3)*'19_Расчет_аналитики'!$B$2082*'19_Расчет_аналитики'!$B$2110</f>
        <v/>
      </c>
      <c r="BH2634">
        <f>('19_Расчет_аналитики'!BG2387*'01_Вводные'!$B$87*'01_Вводные'!$B$14^1+'19_Расчет_аналитики'!BF2387*'01_Вводные'!$B$88*'01_Вводные'!$B$14^2+'19_Расчет_аналитики'!BE2387*'01_Вводные'!$B$89*'01_Вводные'!$B$14^3)*'19_Расчет_аналитики'!$B$2082*'19_Расчет_аналитики'!$B$2110</f>
        <v/>
      </c>
      <c r="BI2634">
        <f>('19_Расчет_аналитики'!BH2387*'01_Вводные'!$B$87*'01_Вводные'!$B$14^1+'19_Расчет_аналитики'!BG2387*'01_Вводные'!$B$88*'01_Вводные'!$B$14^2+'19_Расчет_аналитики'!BF2387*'01_Вводные'!$B$89*'01_Вводные'!$B$14^3)*'19_Расчет_аналитики'!$B$2082*'19_Расчет_аналитики'!$B$2110</f>
        <v/>
      </c>
      <c r="BJ2634">
        <f>('19_Расчет_аналитики'!BI2387*'01_Вводные'!$B$87*'01_Вводные'!$B$14^1+'19_Расчет_аналитики'!BH2387*'01_Вводные'!$B$88*'01_Вводные'!$B$14^2+'19_Расчет_аналитики'!BG2387*'01_Вводные'!$B$89*'01_Вводные'!$B$14^3)*'19_Расчет_аналитики'!$B$2082*'19_Расчет_аналитики'!$B$2110</f>
        <v/>
      </c>
      <c r="BK2634">
        <f>('19_Расчет_аналитики'!BJ2387*'01_Вводные'!$B$87*'01_Вводные'!$B$14^1+'19_Расчет_аналитики'!BI2387*'01_Вводные'!$B$88*'01_Вводные'!$B$14^2+'19_Расчет_аналитики'!BH2387*'01_Вводные'!$B$89*'01_Вводные'!$B$14^3)*'19_Расчет_аналитики'!$B$2082*'19_Расчет_аналитики'!$B$2110</f>
        <v/>
      </c>
      <c r="BL2634">
        <f>('19_Расчет_аналитики'!BK2387*'01_Вводные'!$B$87*'01_Вводные'!$B$14^1+'19_Расчет_аналитики'!BJ2387*'01_Вводные'!$B$88*'01_Вводные'!$B$14^2+'19_Расчет_аналитики'!BI2387*'01_Вводные'!$B$89*'01_Вводные'!$B$14^3)*'19_Расчет_аналитики'!$B$2082*'19_Расчет_аналитики'!$B$2110</f>
        <v/>
      </c>
      <c r="BM2634">
        <f>('19_Расчет_аналитики'!BL2387*'01_Вводные'!$B$87*'01_Вводные'!$B$14^1+'19_Расчет_аналитики'!BK2387*'01_Вводные'!$B$88*'01_Вводные'!$B$14^2+'19_Расчет_аналитики'!BJ2387*'01_Вводные'!$B$89*'01_Вводные'!$B$14^3)*'19_Расчет_аналитики'!$B$2082*'19_Расчет_аналитики'!$B$2110</f>
        <v/>
      </c>
      <c r="BN2634">
        <f>('19_Расчет_аналитики'!BM2387*'01_Вводные'!$B$87*'01_Вводные'!$B$14^1+'19_Расчет_аналитики'!BL2387*'01_Вводные'!$B$88*'01_Вводные'!$B$14^2+'19_Расчет_аналитики'!BK2387*'01_Вводные'!$B$89*'01_Вводные'!$B$14^3)*'19_Расчет_аналитики'!$B$2082*'19_Расчет_аналитики'!$B$2110</f>
        <v/>
      </c>
      <c r="BO2634">
        <f>('19_Расчет_аналитики'!BN2387*'01_Вводные'!$B$87*'01_Вводные'!$B$14^1+'19_Расчет_аналитики'!BM2387*'01_Вводные'!$B$88*'01_Вводные'!$B$14^2+'19_Расчет_аналитики'!BL2387*'01_Вводные'!$B$89*'01_Вводные'!$B$14^3)*'19_Расчет_аналитики'!$B$2082*'19_Расчет_аналитики'!$B$2110</f>
        <v/>
      </c>
    </row>
    <row r="2635">
      <c r="B2635">
        <f>'19_Расчет_аналитики'!B2570*'19_Расчет_аналитики'!$B$2110*'07_Мерч'!B4</f>
        <v/>
      </c>
      <c r="C2635">
        <f>'19_Расчет_аналитики'!C2570*'19_Расчет_аналитики'!$B$2110*'07_Мерч'!C4</f>
        <v/>
      </c>
      <c r="D2635">
        <f>'19_Расчет_аналитики'!D2570*'19_Расчет_аналитики'!$B$2110*'07_Мерч'!D4</f>
        <v/>
      </c>
      <c r="E2635">
        <f>'19_Расчет_аналитики'!E2570*'19_Расчет_аналитики'!$B$2110*'07_Мерч'!E4</f>
        <v/>
      </c>
      <c r="F2635">
        <f>'19_Расчет_аналитики'!F2570*'19_Расчет_аналитики'!$B$2110*'07_Мерч'!F4</f>
        <v/>
      </c>
      <c r="G2635">
        <f>'19_Расчет_аналитики'!G2570*'19_Расчет_аналитики'!$B$2110*'07_Мерч'!G4</f>
        <v/>
      </c>
      <c r="H2635">
        <f>'19_Расчет_аналитики'!H2570*'19_Расчет_аналитики'!$B$2110*'07_Мерч'!H4</f>
        <v/>
      </c>
      <c r="I2635">
        <f>'19_Расчет_аналитики'!I2570*'19_Расчет_аналитики'!$B$2110*'07_Мерч'!I4</f>
        <v/>
      </c>
      <c r="J2635">
        <f>'19_Расчет_аналитики'!J2570*'19_Расчет_аналитики'!$B$2110*'07_Мерч'!J4</f>
        <v/>
      </c>
      <c r="K2635">
        <f>'19_Расчет_аналитики'!K2570*'19_Расчет_аналитики'!$B$2110*'07_Мерч'!K4</f>
        <v/>
      </c>
      <c r="L2635">
        <f>'19_Расчет_аналитики'!L2570*'19_Расчет_аналитики'!$B$2110*'07_Мерч'!L4</f>
        <v/>
      </c>
      <c r="M2635">
        <f>'19_Расчет_аналитики'!M2570*'19_Расчет_аналитики'!$B$2110*'07_Мерч'!M4</f>
        <v/>
      </c>
      <c r="N2635">
        <f>'19_Расчет_аналитики'!N2570*'19_Расчет_аналитики'!$B$2110*'07_Мерч'!N4</f>
        <v/>
      </c>
      <c r="O2635">
        <f>'19_Расчет_аналитики'!O2570*'19_Расчет_аналитики'!$B$2110*'07_Мерч'!O4</f>
        <v/>
      </c>
      <c r="P2635">
        <f>'19_Расчет_аналитики'!P2570*'19_Расчет_аналитики'!$B$2110*'07_Мерч'!P4</f>
        <v/>
      </c>
      <c r="Q2635">
        <f>'19_Расчет_аналитики'!Q2570*'19_Расчет_аналитики'!$B$2110*'07_Мерч'!Q4</f>
        <v/>
      </c>
      <c r="R2635">
        <f>'19_Расчет_аналитики'!R2570*'19_Расчет_аналитики'!$B$2110*'07_Мерч'!R4</f>
        <v/>
      </c>
      <c r="S2635">
        <f>'19_Расчет_аналитики'!S2570*'19_Расчет_аналитики'!$B$2110*'07_Мерч'!S4</f>
        <v/>
      </c>
      <c r="T2635">
        <f>'19_Расчет_аналитики'!T2570*'19_Расчет_аналитики'!$B$2110*'07_Мерч'!T4</f>
        <v/>
      </c>
      <c r="U2635">
        <f>'19_Расчет_аналитики'!U2570*'19_Расчет_аналитики'!$B$2110*'07_Мерч'!U4</f>
        <v/>
      </c>
      <c r="V2635">
        <f>'19_Расчет_аналитики'!V2570*'19_Расчет_аналитики'!$B$2110*'07_Мерч'!V4</f>
        <v/>
      </c>
      <c r="W2635">
        <f>'19_Расчет_аналитики'!W2570*'19_Расчет_аналитики'!$B$2110*'07_Мерч'!W4</f>
        <v/>
      </c>
      <c r="X2635">
        <f>'19_Расчет_аналитики'!X2570*'19_Расчет_аналитики'!$B$2110*'07_Мерч'!X4</f>
        <v/>
      </c>
      <c r="Y2635">
        <f>'19_Расчет_аналитики'!Y2570*'19_Расчет_аналитики'!$B$2110*'07_Мерч'!Y4</f>
        <v/>
      </c>
      <c r="Z2635">
        <f>'19_Расчет_аналитики'!Z2570*'19_Расчет_аналитики'!$B$2110*'07_Мерч'!Z4</f>
        <v/>
      </c>
      <c r="AA2635">
        <f>'19_Расчет_аналитики'!AA2570*'19_Расчет_аналитики'!$B$2110*'07_Мерч'!AA4</f>
        <v/>
      </c>
      <c r="AB2635">
        <f>'19_Расчет_аналитики'!AB2570*'19_Расчет_аналитики'!$B$2110*'07_Мерч'!AB4</f>
        <v/>
      </c>
      <c r="AC2635">
        <f>'19_Расчет_аналитики'!AC2570*'19_Расчет_аналитики'!$B$2110*'07_Мерч'!AC4</f>
        <v/>
      </c>
      <c r="AD2635">
        <f>'19_Расчет_аналитики'!AD2570*'19_Расчет_аналитики'!$B$2110*'07_Мерч'!AD4</f>
        <v/>
      </c>
      <c r="AE2635">
        <f>'19_Расчет_аналитики'!AE2570*'19_Расчет_аналитики'!$B$2110*'07_Мерч'!AE4</f>
        <v/>
      </c>
      <c r="AF2635">
        <f>'19_Расчет_аналитики'!AF2570*'19_Расчет_аналитики'!$B$2110*'07_Мерч'!AF4</f>
        <v/>
      </c>
      <c r="AG2635">
        <f>'19_Расчет_аналитики'!AG2570*'19_Расчет_аналитики'!$B$2110*'07_Мерч'!AG4</f>
        <v/>
      </c>
      <c r="AH2635">
        <f>'19_Расчет_аналитики'!AH2570*'19_Расчет_аналитики'!$B$2110*'07_Мерч'!AH4</f>
        <v/>
      </c>
      <c r="AI2635">
        <f>'19_Расчет_аналитики'!AI2570*'19_Расчет_аналитики'!$B$2110*'07_Мерч'!AI4</f>
        <v/>
      </c>
      <c r="AJ2635">
        <f>'19_Расчет_аналитики'!AJ2570*'19_Расчет_аналитики'!$B$2110*'07_Мерч'!AJ4</f>
        <v/>
      </c>
      <c r="AK2635">
        <f>'19_Расчет_аналитики'!AK2570*'19_Расчет_аналитики'!$B$2110*'07_Мерч'!AK4</f>
        <v/>
      </c>
      <c r="AL2635">
        <f>'19_Расчет_аналитики'!AL2570*'19_Расчет_аналитики'!$B$2110*'07_Мерч'!AL4</f>
        <v/>
      </c>
      <c r="AM2635">
        <f>'19_Расчет_аналитики'!AM2570*'19_Расчет_аналитики'!$B$2110*'07_Мерч'!AM4</f>
        <v/>
      </c>
      <c r="AN2635">
        <f>'19_Расчет_аналитики'!AN2570*'19_Расчет_аналитики'!$B$2110*'07_Мерч'!AN4</f>
        <v/>
      </c>
      <c r="AO2635">
        <f>'19_Расчет_аналитики'!AO2570*'19_Расчет_аналитики'!$B$2110*'07_Мерч'!AO4</f>
        <v/>
      </c>
      <c r="AP2635">
        <f>'19_Расчет_аналитики'!AP2570*'19_Расчет_аналитики'!$B$2110*'07_Мерч'!AP4</f>
        <v/>
      </c>
      <c r="AQ2635">
        <f>'19_Расчет_аналитики'!AQ2570*'19_Расчет_аналитики'!$B$2110*'07_Мерч'!AQ4</f>
        <v/>
      </c>
      <c r="AR2635">
        <f>'19_Расчет_аналитики'!AR2570*'19_Расчет_аналитики'!$B$2110*'07_Мерч'!AR4</f>
        <v/>
      </c>
      <c r="AS2635">
        <f>'19_Расчет_аналитики'!AS2570*'19_Расчет_аналитики'!$B$2110*'07_Мерч'!AS4</f>
        <v/>
      </c>
      <c r="AT2635">
        <f>'19_Расчет_аналитики'!AT2570*'19_Расчет_аналитики'!$B$2110*'07_Мерч'!AT4</f>
        <v/>
      </c>
      <c r="AU2635">
        <f>'19_Расчет_аналитики'!AU2570*'19_Расчет_аналитики'!$B$2110*'07_Мерч'!AU4</f>
        <v/>
      </c>
      <c r="AV2635">
        <f>'19_Расчет_аналитики'!AV2570*'19_Расчет_аналитики'!$B$2110*'07_Мерч'!AV4</f>
        <v/>
      </c>
      <c r="AW2635">
        <f>'19_Расчет_аналитики'!AW2570*'19_Расчет_аналитики'!$B$2110*'07_Мерч'!AW4</f>
        <v/>
      </c>
      <c r="AX2635">
        <f>'19_Расчет_аналитики'!AX2570*'19_Расчет_аналитики'!$B$2110*'07_Мерч'!AX4</f>
        <v/>
      </c>
      <c r="AY2635">
        <f>'19_Расчет_аналитики'!AY2570*'19_Расчет_аналитики'!$B$2110*'07_Мерч'!AY4</f>
        <v/>
      </c>
      <c r="AZ2635">
        <f>'19_Расчет_аналитики'!AZ2570*'19_Расчет_аналитики'!$B$2110*'07_Мерч'!AZ4</f>
        <v/>
      </c>
      <c r="BA2635">
        <f>'19_Расчет_аналитики'!BA2570*'19_Расчет_аналитики'!$B$2110*'07_Мерч'!BA4</f>
        <v/>
      </c>
      <c r="BB2635">
        <f>'19_Расчет_аналитики'!BB2570*'19_Расчет_аналитики'!$B$2110*'07_Мерч'!BB4</f>
        <v/>
      </c>
      <c r="BC2635">
        <f>'19_Расчет_аналитики'!BC2570*'19_Расчет_аналитики'!$B$2110*'07_Мерч'!BC4</f>
        <v/>
      </c>
      <c r="BD2635">
        <f>'19_Расчет_аналитики'!BD2570*'19_Расчет_аналитики'!$B$2110*'07_Мерч'!BD4</f>
        <v/>
      </c>
      <c r="BE2635">
        <f>'19_Расчет_аналитики'!BE2570*'19_Расчет_аналитики'!$B$2110*'07_Мерч'!BE4</f>
        <v/>
      </c>
      <c r="BF2635">
        <f>'19_Расчет_аналитики'!BF2570*'19_Расчет_аналитики'!$B$2110*'07_Мерч'!BF4</f>
        <v/>
      </c>
      <c r="BG2635">
        <f>'19_Расчет_аналитики'!BG2570*'19_Расчет_аналитики'!$B$2110*'07_Мерч'!BG4</f>
        <v/>
      </c>
      <c r="BH2635">
        <f>'19_Расчет_аналитики'!BH2570*'19_Расчет_аналитики'!$B$2110*'07_Мерч'!BH4</f>
        <v/>
      </c>
      <c r="BI2635">
        <f>'19_Расчет_аналитики'!BI2570*'19_Расчет_аналитики'!$B$2110*'07_Мерч'!BI4</f>
        <v/>
      </c>
      <c r="BJ2635">
        <f>'19_Расчет_аналитики'!BJ2570*'19_Расчет_аналитики'!$B$2110*'07_Мерч'!BJ4</f>
        <v/>
      </c>
      <c r="BK2635">
        <f>'19_Расчет_аналитики'!BK2570*'19_Расчет_аналитики'!$B$2110*'07_Мерч'!BK4</f>
        <v/>
      </c>
      <c r="BL2635">
        <f>'19_Расчет_аналитики'!BL2570*'19_Расчет_аналитики'!$B$2110*'07_Мерч'!BL4</f>
        <v/>
      </c>
      <c r="BM2635">
        <f>'19_Расчет_аналитики'!BM2570*'19_Расчет_аналитики'!$B$2110*'07_Мерч'!BM4</f>
        <v/>
      </c>
      <c r="BN2635">
        <f>'19_Расчет_аналитики'!BN2570*'19_Расчет_аналитики'!$B$2110*'07_Мерч'!BN4</f>
        <v/>
      </c>
      <c r="BO2635">
        <f>'19_Расчет_аналитики'!BO2570*'19_Расчет_аналитики'!$B$2110*'07_Мерч'!BO4</f>
        <v/>
      </c>
    </row>
    <row r="2636">
      <c r="B2636">
        <f>SUM('19_Расчет_аналитики'!B2634:B2635)*'18_Календарь_тарифы'!B10</f>
        <v/>
      </c>
      <c r="C2636">
        <f>SUM('19_Расчет_аналитики'!C2634:C2635)*'18_Календарь_тарифы'!C10</f>
        <v/>
      </c>
      <c r="D2636">
        <f>SUM('19_Расчет_аналитики'!D2634:D2635)*'18_Календарь_тарифы'!D10</f>
        <v/>
      </c>
      <c r="E2636">
        <f>SUM('19_Расчет_аналитики'!E2634:E2635)*'18_Календарь_тарифы'!E10</f>
        <v/>
      </c>
      <c r="F2636">
        <f>SUM('19_Расчет_аналитики'!F2634:F2635)*'18_Календарь_тарифы'!F10</f>
        <v/>
      </c>
      <c r="G2636">
        <f>SUM('19_Расчет_аналитики'!G2634:G2635)*'18_Календарь_тарифы'!G10</f>
        <v/>
      </c>
      <c r="H2636">
        <f>SUM('19_Расчет_аналитики'!H2634:H2635)*'18_Календарь_тарифы'!H10</f>
        <v/>
      </c>
      <c r="I2636">
        <f>SUM('19_Расчет_аналитики'!I2634:I2635)*'18_Календарь_тарифы'!I10</f>
        <v/>
      </c>
      <c r="J2636">
        <f>SUM('19_Расчет_аналитики'!J2634:J2635)*'18_Календарь_тарифы'!J10</f>
        <v/>
      </c>
      <c r="K2636">
        <f>SUM('19_Расчет_аналитики'!K2634:K2635)*'18_Календарь_тарифы'!K10</f>
        <v/>
      </c>
      <c r="L2636">
        <f>SUM('19_Расчет_аналитики'!L2634:L2635)*'18_Календарь_тарифы'!L10</f>
        <v/>
      </c>
      <c r="M2636">
        <f>SUM('19_Расчет_аналитики'!M2634:M2635)*'18_Календарь_тарифы'!M10</f>
        <v/>
      </c>
      <c r="N2636">
        <f>SUM('19_Расчет_аналитики'!N2634:N2635)*'18_Календарь_тарифы'!N10</f>
        <v/>
      </c>
      <c r="O2636">
        <f>SUM('19_Расчет_аналитики'!O2634:O2635)*'18_Календарь_тарифы'!O10</f>
        <v/>
      </c>
      <c r="P2636">
        <f>SUM('19_Расчет_аналитики'!P2634:P2635)*'18_Календарь_тарифы'!P10</f>
        <v/>
      </c>
      <c r="Q2636">
        <f>SUM('19_Расчет_аналитики'!Q2634:Q2635)*'18_Календарь_тарифы'!Q10</f>
        <v/>
      </c>
      <c r="R2636">
        <f>SUM('19_Расчет_аналитики'!R2634:R2635)*'18_Календарь_тарифы'!R10</f>
        <v/>
      </c>
      <c r="S2636">
        <f>SUM('19_Расчет_аналитики'!S2634:S2635)*'18_Календарь_тарифы'!S10</f>
        <v/>
      </c>
      <c r="T2636">
        <f>SUM('19_Расчет_аналитики'!T2634:T2635)*'18_Календарь_тарифы'!T10</f>
        <v/>
      </c>
      <c r="U2636">
        <f>SUM('19_Расчет_аналитики'!U2634:U2635)*'18_Календарь_тарифы'!U10</f>
        <v/>
      </c>
      <c r="V2636">
        <f>SUM('19_Расчет_аналитики'!V2634:V2635)*'18_Календарь_тарифы'!V10</f>
        <v/>
      </c>
      <c r="W2636">
        <f>SUM('19_Расчет_аналитики'!W2634:W2635)*'18_Календарь_тарифы'!W10</f>
        <v/>
      </c>
      <c r="X2636">
        <f>SUM('19_Расчет_аналитики'!X2634:X2635)*'18_Календарь_тарифы'!X10</f>
        <v/>
      </c>
      <c r="Y2636">
        <f>SUM('19_Расчет_аналитики'!Y2634:Y2635)*'18_Календарь_тарифы'!Y10</f>
        <v/>
      </c>
      <c r="Z2636">
        <f>SUM('19_Расчет_аналитики'!Z2634:Z2635)*'18_Календарь_тарифы'!Z10</f>
        <v/>
      </c>
      <c r="AA2636">
        <f>SUM('19_Расчет_аналитики'!AA2634:AA2635)*'18_Календарь_тарифы'!AA10</f>
        <v/>
      </c>
      <c r="AB2636">
        <f>SUM('19_Расчет_аналитики'!AB2634:AB2635)*'18_Календарь_тарифы'!AB10</f>
        <v/>
      </c>
      <c r="AC2636">
        <f>SUM('19_Расчет_аналитики'!AC2634:AC2635)*'18_Календарь_тарифы'!AC10</f>
        <v/>
      </c>
      <c r="AD2636">
        <f>SUM('19_Расчет_аналитики'!AD2634:AD2635)*'18_Календарь_тарифы'!AD10</f>
        <v/>
      </c>
      <c r="AE2636">
        <f>SUM('19_Расчет_аналитики'!AE2634:AE2635)*'18_Календарь_тарифы'!AE10</f>
        <v/>
      </c>
      <c r="AF2636">
        <f>SUM('19_Расчет_аналитики'!AF2634:AF2635)*'18_Календарь_тарифы'!AF10</f>
        <v/>
      </c>
      <c r="AG2636">
        <f>SUM('19_Расчет_аналитики'!AG2634:AG2635)*'18_Календарь_тарифы'!AG10</f>
        <v/>
      </c>
      <c r="AH2636">
        <f>SUM('19_Расчет_аналитики'!AH2634:AH2635)*'18_Календарь_тарифы'!AH10</f>
        <v/>
      </c>
      <c r="AI2636">
        <f>SUM('19_Расчет_аналитики'!AI2634:AI2635)*'18_Календарь_тарифы'!AI10</f>
        <v/>
      </c>
      <c r="AJ2636">
        <f>SUM('19_Расчет_аналитики'!AJ2634:AJ2635)*'18_Календарь_тарифы'!AJ10</f>
        <v/>
      </c>
      <c r="AK2636">
        <f>SUM('19_Расчет_аналитики'!AK2634:AK2635)*'18_Календарь_тарифы'!AK10</f>
        <v/>
      </c>
      <c r="AL2636">
        <f>SUM('19_Расчет_аналитики'!AL2634:AL2635)*'18_Календарь_тарифы'!AL10</f>
        <v/>
      </c>
      <c r="AM2636">
        <f>SUM('19_Расчет_аналитики'!AM2634:AM2635)*'18_Календарь_тарифы'!AM10</f>
        <v/>
      </c>
      <c r="AN2636">
        <f>SUM('19_Расчет_аналитики'!AN2634:AN2635)*'18_Календарь_тарифы'!AN10</f>
        <v/>
      </c>
      <c r="AO2636">
        <f>SUM('19_Расчет_аналитики'!AO2634:AO2635)*'18_Календарь_тарифы'!AO10</f>
        <v/>
      </c>
      <c r="AP2636">
        <f>SUM('19_Расчет_аналитики'!AP2634:AP2635)*'18_Календарь_тарифы'!AP10</f>
        <v/>
      </c>
      <c r="AQ2636">
        <f>SUM('19_Расчет_аналитики'!AQ2634:AQ2635)*'18_Календарь_тарифы'!AQ10</f>
        <v/>
      </c>
      <c r="AR2636">
        <f>SUM('19_Расчет_аналитики'!AR2634:AR2635)*'18_Календарь_тарифы'!AR10</f>
        <v/>
      </c>
      <c r="AS2636">
        <f>SUM('19_Расчет_аналитики'!AS2634:AS2635)*'18_Календарь_тарифы'!AS10</f>
        <v/>
      </c>
      <c r="AT2636">
        <f>SUM('19_Расчет_аналитики'!AT2634:AT2635)*'18_Календарь_тарифы'!AT10</f>
        <v/>
      </c>
      <c r="AU2636">
        <f>SUM('19_Расчет_аналитики'!AU2634:AU2635)*'18_Календарь_тарифы'!AU10</f>
        <v/>
      </c>
      <c r="AV2636">
        <f>SUM('19_Расчет_аналитики'!AV2634:AV2635)*'18_Календарь_тарифы'!AV10</f>
        <v/>
      </c>
      <c r="AW2636">
        <f>SUM('19_Расчет_аналитики'!AW2634:AW2635)*'18_Календарь_тарифы'!AW10</f>
        <v/>
      </c>
      <c r="AX2636">
        <f>SUM('19_Расчет_аналитики'!AX2634:AX2635)*'18_Календарь_тарифы'!AX10</f>
        <v/>
      </c>
      <c r="AY2636">
        <f>SUM('19_Расчет_аналитики'!AY2634:AY2635)*'18_Календарь_тарифы'!AY10</f>
        <v/>
      </c>
      <c r="AZ2636">
        <f>SUM('19_Расчет_аналитики'!AZ2634:AZ2635)*'18_Календарь_тарифы'!AZ10</f>
        <v/>
      </c>
      <c r="BA2636">
        <f>SUM('19_Расчет_аналитики'!BA2634:BA2635)*'18_Календарь_тарифы'!BA10</f>
        <v/>
      </c>
      <c r="BB2636">
        <f>SUM('19_Расчет_аналитики'!BB2634:BB2635)*'18_Календарь_тарифы'!BB10</f>
        <v/>
      </c>
      <c r="BC2636">
        <f>SUM('19_Расчет_аналитики'!BC2634:BC2635)*'18_Календарь_тарифы'!BC10</f>
        <v/>
      </c>
      <c r="BD2636">
        <f>SUM('19_Расчет_аналитики'!BD2634:BD2635)*'18_Календарь_тарифы'!BD10</f>
        <v/>
      </c>
      <c r="BE2636">
        <f>SUM('19_Расчет_аналитики'!BE2634:BE2635)*'18_Календарь_тарифы'!BE10</f>
        <v/>
      </c>
      <c r="BF2636">
        <f>SUM('19_Расчет_аналитики'!BF2634:BF2635)*'18_Календарь_тарифы'!BF10</f>
        <v/>
      </c>
      <c r="BG2636">
        <f>SUM('19_Расчет_аналитики'!BG2634:BG2635)*'18_Календарь_тарифы'!BG10</f>
        <v/>
      </c>
      <c r="BH2636">
        <f>SUM('19_Расчет_аналитики'!BH2634:BH2635)*'18_Календарь_тарифы'!BH10</f>
        <v/>
      </c>
      <c r="BI2636">
        <f>SUM('19_Расчет_аналитики'!BI2634:BI2635)*'18_Календарь_тарифы'!BI10</f>
        <v/>
      </c>
      <c r="BJ2636">
        <f>SUM('19_Расчет_аналитики'!BJ2634:BJ2635)*'18_Календарь_тарифы'!BJ10</f>
        <v/>
      </c>
      <c r="BK2636">
        <f>SUM('19_Расчет_аналитики'!BK2634:BK2635)*'18_Календарь_тарифы'!BK10</f>
        <v/>
      </c>
      <c r="BL2636">
        <f>SUM('19_Расчет_аналитики'!BL2634:BL2635)*'18_Календарь_тарифы'!BL10</f>
        <v/>
      </c>
      <c r="BM2636">
        <f>SUM('19_Расчет_аналитики'!BM2634:BM2635)*'18_Календарь_тарифы'!BM10</f>
        <v/>
      </c>
      <c r="BN2636">
        <f>SUM('19_Расчет_аналитики'!BN2634:BN2635)*'18_Календарь_тарифы'!BN10</f>
        <v/>
      </c>
      <c r="BO2636">
        <f>SUM('19_Расчет_аналитики'!BO2634:BO2635)*'18_Календарь_тарифы'!BO10</f>
        <v/>
      </c>
    </row>
    <row r="2637">
      <c r="B2637">
        <f>SUM('19_Расчет_аналитики'!B2634:B2635)*'18_Календарь_тарифы'!B9</f>
        <v/>
      </c>
      <c r="C2637">
        <f>SUM('19_Расчет_аналитики'!C2634:C2635)*'18_Календарь_тарифы'!C9</f>
        <v/>
      </c>
      <c r="D2637">
        <f>SUM('19_Расчет_аналитики'!D2634:D2635)*'18_Календарь_тарифы'!D9</f>
        <v/>
      </c>
      <c r="E2637">
        <f>SUM('19_Расчет_аналитики'!E2634:E2635)*'18_Календарь_тарифы'!E9</f>
        <v/>
      </c>
      <c r="F2637">
        <f>SUM('19_Расчет_аналитики'!F2634:F2635)*'18_Календарь_тарифы'!F9</f>
        <v/>
      </c>
      <c r="G2637">
        <f>SUM('19_Расчет_аналитики'!G2634:G2635)*'18_Календарь_тарифы'!G9</f>
        <v/>
      </c>
      <c r="H2637">
        <f>SUM('19_Расчет_аналитики'!H2634:H2635)*'18_Календарь_тарифы'!H9</f>
        <v/>
      </c>
      <c r="I2637">
        <f>SUM('19_Расчет_аналитики'!I2634:I2635)*'18_Календарь_тарифы'!I9</f>
        <v/>
      </c>
      <c r="J2637">
        <f>SUM('19_Расчет_аналитики'!J2634:J2635)*'18_Календарь_тарифы'!J9</f>
        <v/>
      </c>
      <c r="K2637">
        <f>SUM('19_Расчет_аналитики'!K2634:K2635)*'18_Календарь_тарифы'!K9</f>
        <v/>
      </c>
      <c r="L2637">
        <f>SUM('19_Расчет_аналитики'!L2634:L2635)*'18_Календарь_тарифы'!L9</f>
        <v/>
      </c>
      <c r="M2637">
        <f>SUM('19_Расчет_аналитики'!M2634:M2635)*'18_Календарь_тарифы'!M9</f>
        <v/>
      </c>
      <c r="N2637">
        <f>SUM('19_Расчет_аналитики'!N2634:N2635)*'18_Календарь_тарифы'!N9</f>
        <v/>
      </c>
      <c r="O2637">
        <f>SUM('19_Расчет_аналитики'!O2634:O2635)*'18_Календарь_тарифы'!O9</f>
        <v/>
      </c>
      <c r="P2637">
        <f>SUM('19_Расчет_аналитики'!P2634:P2635)*'18_Календарь_тарифы'!P9</f>
        <v/>
      </c>
      <c r="Q2637">
        <f>SUM('19_Расчет_аналитики'!Q2634:Q2635)*'18_Календарь_тарифы'!Q9</f>
        <v/>
      </c>
      <c r="R2637">
        <f>SUM('19_Расчет_аналитики'!R2634:R2635)*'18_Календарь_тарифы'!R9</f>
        <v/>
      </c>
      <c r="S2637">
        <f>SUM('19_Расчет_аналитики'!S2634:S2635)*'18_Календарь_тарифы'!S9</f>
        <v/>
      </c>
      <c r="T2637">
        <f>SUM('19_Расчет_аналитики'!T2634:T2635)*'18_Календарь_тарифы'!T9</f>
        <v/>
      </c>
      <c r="U2637">
        <f>SUM('19_Расчет_аналитики'!U2634:U2635)*'18_Календарь_тарифы'!U9</f>
        <v/>
      </c>
      <c r="V2637">
        <f>SUM('19_Расчет_аналитики'!V2634:V2635)*'18_Календарь_тарифы'!V9</f>
        <v/>
      </c>
      <c r="W2637">
        <f>SUM('19_Расчет_аналитики'!W2634:W2635)*'18_Календарь_тарифы'!W9</f>
        <v/>
      </c>
      <c r="X2637">
        <f>SUM('19_Расчет_аналитики'!X2634:X2635)*'18_Календарь_тарифы'!X9</f>
        <v/>
      </c>
      <c r="Y2637">
        <f>SUM('19_Расчет_аналитики'!Y2634:Y2635)*'18_Календарь_тарифы'!Y9</f>
        <v/>
      </c>
      <c r="Z2637">
        <f>SUM('19_Расчет_аналитики'!Z2634:Z2635)*'18_Календарь_тарифы'!Z9</f>
        <v/>
      </c>
      <c r="AA2637">
        <f>SUM('19_Расчет_аналитики'!AA2634:AA2635)*'18_Календарь_тарифы'!AA9</f>
        <v/>
      </c>
      <c r="AB2637">
        <f>SUM('19_Расчет_аналитики'!AB2634:AB2635)*'18_Календарь_тарифы'!AB9</f>
        <v/>
      </c>
      <c r="AC2637">
        <f>SUM('19_Расчет_аналитики'!AC2634:AC2635)*'18_Календарь_тарифы'!AC9</f>
        <v/>
      </c>
      <c r="AD2637">
        <f>SUM('19_Расчет_аналитики'!AD2634:AD2635)*'18_Календарь_тарифы'!AD9</f>
        <v/>
      </c>
      <c r="AE2637">
        <f>SUM('19_Расчет_аналитики'!AE2634:AE2635)*'18_Календарь_тарифы'!AE9</f>
        <v/>
      </c>
      <c r="AF2637">
        <f>SUM('19_Расчет_аналитики'!AF2634:AF2635)*'18_Календарь_тарифы'!AF9</f>
        <v/>
      </c>
      <c r="AG2637">
        <f>SUM('19_Расчет_аналитики'!AG2634:AG2635)*'18_Календарь_тарифы'!AG9</f>
        <v/>
      </c>
      <c r="AH2637">
        <f>SUM('19_Расчет_аналитики'!AH2634:AH2635)*'18_Календарь_тарифы'!AH9</f>
        <v/>
      </c>
      <c r="AI2637">
        <f>SUM('19_Расчет_аналитики'!AI2634:AI2635)*'18_Календарь_тарифы'!AI9</f>
        <v/>
      </c>
      <c r="AJ2637">
        <f>SUM('19_Расчет_аналитики'!AJ2634:AJ2635)*'18_Календарь_тарифы'!AJ9</f>
        <v/>
      </c>
      <c r="AK2637">
        <f>SUM('19_Расчет_аналитики'!AK2634:AK2635)*'18_Календарь_тарифы'!AK9</f>
        <v/>
      </c>
      <c r="AL2637">
        <f>SUM('19_Расчет_аналитики'!AL2634:AL2635)*'18_Календарь_тарифы'!AL9</f>
        <v/>
      </c>
      <c r="AM2637">
        <f>SUM('19_Расчет_аналитики'!AM2634:AM2635)*'18_Календарь_тарифы'!AM9</f>
        <v/>
      </c>
      <c r="AN2637">
        <f>SUM('19_Расчет_аналитики'!AN2634:AN2635)*'18_Календарь_тарифы'!AN9</f>
        <v/>
      </c>
      <c r="AO2637">
        <f>SUM('19_Расчет_аналитики'!AO2634:AO2635)*'18_Календарь_тарифы'!AO9</f>
        <v/>
      </c>
      <c r="AP2637">
        <f>SUM('19_Расчет_аналитики'!AP2634:AP2635)*'18_Календарь_тарифы'!AP9</f>
        <v/>
      </c>
      <c r="AQ2637">
        <f>SUM('19_Расчет_аналитики'!AQ2634:AQ2635)*'18_Календарь_тарифы'!AQ9</f>
        <v/>
      </c>
      <c r="AR2637">
        <f>SUM('19_Расчет_аналитики'!AR2634:AR2635)*'18_Календарь_тарифы'!AR9</f>
        <v/>
      </c>
      <c r="AS2637">
        <f>SUM('19_Расчет_аналитики'!AS2634:AS2635)*'18_Календарь_тарифы'!AS9</f>
        <v/>
      </c>
      <c r="AT2637">
        <f>SUM('19_Расчет_аналитики'!AT2634:AT2635)*'18_Календарь_тарифы'!AT9</f>
        <v/>
      </c>
      <c r="AU2637">
        <f>SUM('19_Расчет_аналитики'!AU2634:AU2635)*'18_Календарь_тарифы'!AU9</f>
        <v/>
      </c>
      <c r="AV2637">
        <f>SUM('19_Расчет_аналитики'!AV2634:AV2635)*'18_Календарь_тарифы'!AV9</f>
        <v/>
      </c>
      <c r="AW2637">
        <f>SUM('19_Расчет_аналитики'!AW2634:AW2635)*'18_Календарь_тарифы'!AW9</f>
        <v/>
      </c>
      <c r="AX2637">
        <f>SUM('19_Расчет_аналитики'!AX2634:AX2635)*'18_Календарь_тарифы'!AX9</f>
        <v/>
      </c>
      <c r="AY2637">
        <f>SUM('19_Расчет_аналитики'!AY2634:AY2635)*'18_Календарь_тарифы'!AY9</f>
        <v/>
      </c>
      <c r="AZ2637">
        <f>SUM('19_Расчет_аналитики'!AZ2634:AZ2635)*'18_Календарь_тарифы'!AZ9</f>
        <v/>
      </c>
      <c r="BA2637">
        <f>SUM('19_Расчет_аналитики'!BA2634:BA2635)*'18_Календарь_тарифы'!BA9</f>
        <v/>
      </c>
      <c r="BB2637">
        <f>SUM('19_Расчет_аналитики'!BB2634:BB2635)*'18_Календарь_тарифы'!BB9</f>
        <v/>
      </c>
      <c r="BC2637">
        <f>SUM('19_Расчет_аналитики'!BC2634:BC2635)*'18_Календарь_тарифы'!BC9</f>
        <v/>
      </c>
      <c r="BD2637">
        <f>SUM('19_Расчет_аналитики'!BD2634:BD2635)*'18_Календарь_тарифы'!BD9</f>
        <v/>
      </c>
      <c r="BE2637">
        <f>SUM('19_Расчет_аналитики'!BE2634:BE2635)*'18_Календарь_тарифы'!BE9</f>
        <v/>
      </c>
      <c r="BF2637">
        <f>SUM('19_Расчет_аналитики'!BF2634:BF2635)*'18_Календарь_тарифы'!BF9</f>
        <v/>
      </c>
      <c r="BG2637">
        <f>SUM('19_Расчет_аналитики'!BG2634:BG2635)*'18_Календарь_тарифы'!BG9</f>
        <v/>
      </c>
      <c r="BH2637">
        <f>SUM('19_Расчет_аналитики'!BH2634:BH2635)*'18_Календарь_тарифы'!BH9</f>
        <v/>
      </c>
      <c r="BI2637">
        <f>SUM('19_Расчет_аналитики'!BI2634:BI2635)*'18_Календарь_тарифы'!BI9</f>
        <v/>
      </c>
      <c r="BJ2637">
        <f>SUM('19_Расчет_аналитики'!BJ2634:BJ2635)*'18_Календарь_тарифы'!BJ9</f>
        <v/>
      </c>
      <c r="BK2637">
        <f>SUM('19_Расчет_аналитики'!BK2634:BK2635)*'18_Календарь_тарифы'!BK9</f>
        <v/>
      </c>
      <c r="BL2637">
        <f>SUM('19_Расчет_аналитики'!BL2634:BL2635)*'18_Календарь_тарифы'!BL9</f>
        <v/>
      </c>
      <c r="BM2637">
        <f>SUM('19_Расчет_аналитики'!BM2634:BM2635)*'18_Календарь_тарифы'!BM9</f>
        <v/>
      </c>
      <c r="BN2637">
        <f>SUM('19_Расчет_аналитики'!BN2634:BN2635)*'18_Календарь_тарифы'!BN9</f>
        <v/>
      </c>
      <c r="BO2637">
        <f>SUM('19_Расчет_аналитики'!BO2634:BO2635)*'18_Календарь_тарифы'!BO9</f>
        <v/>
      </c>
    </row>
    <row r="2638"/>
    <row r="2639">
      <c r="B2639">
        <f>'07_Мерч'!B6+'19_Расчет_аналитики'!B2636</f>
        <v/>
      </c>
      <c r="C2639">
        <f>'07_Мерч'!C6+'19_Расчет_аналитики'!C2636</f>
        <v/>
      </c>
      <c r="D2639">
        <f>'07_Мерч'!D6+'19_Расчет_аналитики'!D2636</f>
        <v/>
      </c>
      <c r="E2639">
        <f>'07_Мерч'!E6+'19_Расчет_аналитики'!E2636</f>
        <v/>
      </c>
      <c r="F2639">
        <f>'19_Расчет_аналитики'!F2631+'19_Расчет_аналитики'!F2636</f>
        <v/>
      </c>
      <c r="G2639">
        <f>'19_Расчет_аналитики'!G2631+'19_Расчет_аналитики'!G2636</f>
        <v/>
      </c>
      <c r="H2639">
        <f>'19_Расчет_аналитики'!H2631+'19_Расчет_аналитики'!H2636</f>
        <v/>
      </c>
      <c r="I2639">
        <f>'19_Расчет_аналитики'!I2631+'19_Расчет_аналитики'!I2636</f>
        <v/>
      </c>
      <c r="J2639">
        <f>'19_Расчет_аналитики'!J2631+'19_Расчет_аналитики'!J2636</f>
        <v/>
      </c>
      <c r="K2639">
        <f>'19_Расчет_аналитики'!K2631+'19_Расчет_аналитики'!K2636</f>
        <v/>
      </c>
      <c r="L2639">
        <f>'19_Расчет_аналитики'!L2631+'19_Расчет_аналитики'!L2636</f>
        <v/>
      </c>
      <c r="M2639">
        <f>'19_Расчет_аналитики'!M2631+'19_Расчет_аналитики'!M2636</f>
        <v/>
      </c>
      <c r="N2639">
        <f>'19_Расчет_аналитики'!N2631+'19_Расчет_аналитики'!N2636</f>
        <v/>
      </c>
      <c r="O2639">
        <f>'19_Расчет_аналитики'!O2631+'19_Расчет_аналитики'!O2636</f>
        <v/>
      </c>
      <c r="P2639">
        <f>'19_Расчет_аналитики'!P2631+'19_Расчет_аналитики'!P2636</f>
        <v/>
      </c>
      <c r="Q2639">
        <f>'19_Расчет_аналитики'!Q2631+'19_Расчет_аналитики'!Q2636</f>
        <v/>
      </c>
      <c r="R2639">
        <f>'19_Расчет_аналитики'!R2631+'19_Расчет_аналитики'!R2636</f>
        <v/>
      </c>
      <c r="S2639">
        <f>'19_Расчет_аналитики'!S2631+'19_Расчет_аналитики'!S2636</f>
        <v/>
      </c>
      <c r="T2639">
        <f>'19_Расчет_аналитики'!T2631+'19_Расчет_аналитики'!T2636</f>
        <v/>
      </c>
      <c r="U2639">
        <f>'19_Расчет_аналитики'!U2631+'19_Расчет_аналитики'!U2636</f>
        <v/>
      </c>
      <c r="V2639">
        <f>'19_Расчет_аналитики'!V2631+'19_Расчет_аналитики'!V2636</f>
        <v/>
      </c>
      <c r="W2639">
        <f>'19_Расчет_аналитики'!W2631+'19_Расчет_аналитики'!W2636</f>
        <v/>
      </c>
      <c r="X2639">
        <f>'19_Расчет_аналитики'!X2631+'19_Расчет_аналитики'!X2636</f>
        <v/>
      </c>
      <c r="Y2639">
        <f>'19_Расчет_аналитики'!Y2631+'19_Расчет_аналитики'!Y2636</f>
        <v/>
      </c>
      <c r="Z2639">
        <f>'19_Расчет_аналитики'!Z2631+'19_Расчет_аналитики'!Z2636</f>
        <v/>
      </c>
      <c r="AA2639">
        <f>'19_Расчет_аналитики'!AA2631+'19_Расчет_аналитики'!AA2636</f>
        <v/>
      </c>
      <c r="AB2639">
        <f>'19_Расчет_аналитики'!AB2631+'19_Расчет_аналитики'!AB2636</f>
        <v/>
      </c>
      <c r="AC2639">
        <f>'19_Расчет_аналитики'!AC2631+'19_Расчет_аналитики'!AC2636</f>
        <v/>
      </c>
      <c r="AD2639">
        <f>'19_Расчет_аналитики'!AD2631+'19_Расчет_аналитики'!AD2636</f>
        <v/>
      </c>
      <c r="AE2639">
        <f>'19_Расчет_аналитики'!AE2631+'19_Расчет_аналитики'!AE2636</f>
        <v/>
      </c>
      <c r="AF2639">
        <f>'19_Расчет_аналитики'!AF2631+'19_Расчет_аналитики'!AF2636</f>
        <v/>
      </c>
      <c r="AG2639">
        <f>'19_Расчет_аналитики'!AG2631+'19_Расчет_аналитики'!AG2636</f>
        <v/>
      </c>
      <c r="AH2639">
        <f>'19_Расчет_аналитики'!AH2631+'19_Расчет_аналитики'!AH2636</f>
        <v/>
      </c>
      <c r="AI2639">
        <f>'19_Расчет_аналитики'!AI2631+'19_Расчет_аналитики'!AI2636</f>
        <v/>
      </c>
      <c r="AJ2639">
        <f>'19_Расчет_аналитики'!AJ2631+'19_Расчет_аналитики'!AJ2636</f>
        <v/>
      </c>
      <c r="AK2639">
        <f>'19_Расчет_аналитики'!AK2631+'19_Расчет_аналитики'!AK2636</f>
        <v/>
      </c>
      <c r="AL2639">
        <f>'19_Расчет_аналитики'!AL2631+'19_Расчет_аналитики'!AL2636</f>
        <v/>
      </c>
      <c r="AM2639">
        <f>'19_Расчет_аналитики'!AM2631+'19_Расчет_аналитики'!AM2636</f>
        <v/>
      </c>
      <c r="AN2639">
        <f>'19_Расчет_аналитики'!AN2631+'19_Расчет_аналитики'!AN2636</f>
        <v/>
      </c>
      <c r="AO2639">
        <f>'19_Расчет_аналитики'!AO2631+'19_Расчет_аналитики'!AO2636</f>
        <v/>
      </c>
      <c r="AP2639">
        <f>'19_Расчет_аналитики'!AP2631+'19_Расчет_аналитики'!AP2636</f>
        <v/>
      </c>
      <c r="AQ2639">
        <f>'19_Расчет_аналитики'!AQ2631+'19_Расчет_аналитики'!AQ2636</f>
        <v/>
      </c>
      <c r="AR2639">
        <f>'19_Расчет_аналитики'!AR2631+'19_Расчет_аналитики'!AR2636</f>
        <v/>
      </c>
      <c r="AS2639">
        <f>'19_Расчет_аналитики'!AS2631+'19_Расчет_аналитики'!AS2636</f>
        <v/>
      </c>
      <c r="AT2639">
        <f>'19_Расчет_аналитики'!AT2631+'19_Расчет_аналитики'!AT2636</f>
        <v/>
      </c>
      <c r="AU2639">
        <f>'19_Расчет_аналитики'!AU2631+'19_Расчет_аналитики'!AU2636</f>
        <v/>
      </c>
      <c r="AV2639">
        <f>'19_Расчет_аналитики'!AV2631+'19_Расчет_аналитики'!AV2636</f>
        <v/>
      </c>
      <c r="AW2639">
        <f>'19_Расчет_аналитики'!AW2631+'19_Расчет_аналитики'!AW2636</f>
        <v/>
      </c>
      <c r="AX2639">
        <f>'19_Расчет_аналитики'!AX2631+'19_Расчет_аналитики'!AX2636</f>
        <v/>
      </c>
      <c r="AY2639">
        <f>'19_Расчет_аналитики'!AY2631+'19_Расчет_аналитики'!AY2636</f>
        <v/>
      </c>
      <c r="AZ2639">
        <f>'19_Расчет_аналитики'!AZ2631+'19_Расчет_аналитики'!AZ2636</f>
        <v/>
      </c>
      <c r="BA2639">
        <f>'19_Расчет_аналитики'!BA2631+'19_Расчет_аналитики'!BA2636</f>
        <v/>
      </c>
      <c r="BB2639">
        <f>'19_Расчет_аналитики'!BB2631+'19_Расчет_аналитики'!BB2636</f>
        <v/>
      </c>
      <c r="BC2639">
        <f>'19_Расчет_аналитики'!BC2631+'19_Расчет_аналитики'!BC2636</f>
        <v/>
      </c>
      <c r="BD2639">
        <f>'19_Расчет_аналитики'!BD2631+'19_Расчет_аналитики'!BD2636</f>
        <v/>
      </c>
      <c r="BE2639">
        <f>'19_Расчет_аналитики'!BE2631+'19_Расчет_аналитики'!BE2636</f>
        <v/>
      </c>
      <c r="BF2639">
        <f>'19_Расчет_аналитики'!BF2631+'19_Расчет_аналитики'!BF2636</f>
        <v/>
      </c>
      <c r="BG2639">
        <f>'19_Расчет_аналитики'!BG2631+'19_Расчет_аналитики'!BG2636</f>
        <v/>
      </c>
      <c r="BH2639">
        <f>'19_Расчет_аналитики'!BH2631+'19_Расчет_аналитики'!BH2636</f>
        <v/>
      </c>
      <c r="BI2639">
        <f>'19_Расчет_аналитики'!BI2631+'19_Расчет_аналитики'!BI2636</f>
        <v/>
      </c>
      <c r="BJ2639">
        <f>'19_Расчет_аналитики'!BJ2631+'19_Расчет_аналитики'!BJ2636</f>
        <v/>
      </c>
      <c r="BK2639">
        <f>'19_Расчет_аналитики'!BK2631+'19_Расчет_аналитики'!BK2636</f>
        <v/>
      </c>
      <c r="BL2639">
        <f>'19_Расчет_аналитики'!BL2631+'19_Расчет_аналитики'!BL2636</f>
        <v/>
      </c>
      <c r="BM2639">
        <f>'19_Расчет_аналитики'!BM2631+'19_Расчет_аналитики'!BM2636</f>
        <v/>
      </c>
      <c r="BN2639">
        <f>'19_Расчет_аналитики'!BN2631+'19_Расчет_аналитики'!BN2636</f>
        <v/>
      </c>
      <c r="BO2639">
        <f>'19_Расчет_аналитики'!BO2631+'19_Расчет_аналитики'!BO2636</f>
        <v/>
      </c>
    </row>
    <row r="2640">
      <c r="B2640">
        <f>'19_Расчет_аналитики'!B2639/(1+'01_Вводные'!$B$58)</f>
        <v/>
      </c>
      <c r="C2640">
        <f>'19_Расчет_аналитики'!C2639/(1+'01_Вводные'!$B$58)</f>
        <v/>
      </c>
      <c r="D2640">
        <f>'19_Расчет_аналитики'!D2639/(1+'01_Вводные'!$B$58)</f>
        <v/>
      </c>
      <c r="E2640">
        <f>'19_Расчет_аналитики'!E2639/(1+'01_Вводные'!$B$58)</f>
        <v/>
      </c>
      <c r="F2640">
        <f>'19_Расчет_аналитики'!F2639/(1+'01_Вводные'!$B$58)</f>
        <v/>
      </c>
      <c r="G2640">
        <f>'19_Расчет_аналитики'!G2639/(1+'01_Вводные'!$B$58)</f>
        <v/>
      </c>
      <c r="H2640">
        <f>'19_Расчет_аналитики'!H2639/(1+'01_Вводные'!$B$58)</f>
        <v/>
      </c>
      <c r="I2640">
        <f>'19_Расчет_аналитики'!I2639/(1+'01_Вводные'!$B$58)</f>
        <v/>
      </c>
      <c r="J2640">
        <f>'19_Расчет_аналитики'!J2639/(1+'01_Вводные'!$B$58)</f>
        <v/>
      </c>
      <c r="K2640">
        <f>'19_Расчет_аналитики'!K2639/(1+'01_Вводные'!$B$58)</f>
        <v/>
      </c>
      <c r="L2640">
        <f>'19_Расчет_аналитики'!L2639/(1+'01_Вводные'!$B$58)</f>
        <v/>
      </c>
      <c r="M2640">
        <f>'19_Расчет_аналитики'!M2639/(1+'01_Вводные'!$B$58)</f>
        <v/>
      </c>
      <c r="N2640">
        <f>'19_Расчет_аналитики'!N2639/(1+'01_Вводные'!$B$58)</f>
        <v/>
      </c>
      <c r="O2640">
        <f>'19_Расчет_аналитики'!O2639/(1+'01_Вводные'!$B$58)</f>
        <v/>
      </c>
      <c r="P2640">
        <f>'19_Расчет_аналитики'!P2639/(1+'01_Вводные'!$B$58)</f>
        <v/>
      </c>
      <c r="Q2640">
        <f>'19_Расчет_аналитики'!Q2639/(1+'01_Вводные'!$B$58)</f>
        <v/>
      </c>
      <c r="R2640">
        <f>'19_Расчет_аналитики'!R2639/(1+'01_Вводные'!$B$58)</f>
        <v/>
      </c>
      <c r="S2640">
        <f>'19_Расчет_аналитики'!S2639/(1+'01_Вводные'!$B$58)</f>
        <v/>
      </c>
      <c r="T2640">
        <f>'19_Расчет_аналитики'!T2639/(1+'01_Вводные'!$B$58)</f>
        <v/>
      </c>
      <c r="U2640">
        <f>'19_Расчет_аналитики'!U2639/(1+'01_Вводные'!$B$58)</f>
        <v/>
      </c>
      <c r="V2640">
        <f>'19_Расчет_аналитики'!V2639/(1+'01_Вводные'!$B$58)</f>
        <v/>
      </c>
      <c r="W2640">
        <f>'19_Расчет_аналитики'!W2639/(1+'01_Вводные'!$B$58)</f>
        <v/>
      </c>
      <c r="X2640">
        <f>'19_Расчет_аналитики'!X2639/(1+'01_Вводные'!$B$58)</f>
        <v/>
      </c>
      <c r="Y2640">
        <f>'19_Расчет_аналитики'!Y2639/(1+'01_Вводные'!$B$58)</f>
        <v/>
      </c>
      <c r="Z2640">
        <f>'19_Расчет_аналитики'!Z2639/(1+'01_Вводные'!$B$58)</f>
        <v/>
      </c>
      <c r="AA2640">
        <f>'19_Расчет_аналитики'!AA2639/(1+'01_Вводные'!$B$58)</f>
        <v/>
      </c>
      <c r="AB2640">
        <f>'19_Расчет_аналитики'!AB2639/(1+'01_Вводные'!$B$58)</f>
        <v/>
      </c>
      <c r="AC2640">
        <f>'19_Расчет_аналитики'!AC2639/(1+'01_Вводные'!$B$58)</f>
        <v/>
      </c>
      <c r="AD2640">
        <f>'19_Расчет_аналитики'!AD2639/(1+'01_Вводные'!$B$58)</f>
        <v/>
      </c>
      <c r="AE2640">
        <f>'19_Расчет_аналитики'!AE2639/(1+'01_Вводные'!$B$58)</f>
        <v/>
      </c>
      <c r="AF2640">
        <f>'19_Расчет_аналитики'!AF2639/(1+'01_Вводные'!$B$58)</f>
        <v/>
      </c>
      <c r="AG2640">
        <f>'19_Расчет_аналитики'!AG2639/(1+'01_Вводные'!$B$58)</f>
        <v/>
      </c>
      <c r="AH2640">
        <f>'19_Расчет_аналитики'!AH2639/(1+'01_Вводные'!$B$58)</f>
        <v/>
      </c>
      <c r="AI2640">
        <f>'19_Расчет_аналитики'!AI2639/(1+'01_Вводные'!$B$58)</f>
        <v/>
      </c>
      <c r="AJ2640">
        <f>'19_Расчет_аналитики'!AJ2639/(1+'01_Вводные'!$B$58)</f>
        <v/>
      </c>
      <c r="AK2640">
        <f>'19_Расчет_аналитики'!AK2639/(1+'01_Вводные'!$B$58)</f>
        <v/>
      </c>
      <c r="AL2640">
        <f>'19_Расчет_аналитики'!AL2639/(1+'01_Вводные'!$B$58)</f>
        <v/>
      </c>
      <c r="AM2640">
        <f>'19_Расчет_аналитики'!AM2639/(1+'01_Вводные'!$B$58)</f>
        <v/>
      </c>
      <c r="AN2640">
        <f>'19_Расчет_аналитики'!AN2639/(1+'01_Вводные'!$B$58)</f>
        <v/>
      </c>
      <c r="AO2640">
        <f>'19_Расчет_аналитики'!AO2639/(1+'01_Вводные'!$B$58)</f>
        <v/>
      </c>
      <c r="AP2640">
        <f>'19_Расчет_аналитики'!AP2639/(1+'01_Вводные'!$B$58)</f>
        <v/>
      </c>
      <c r="AQ2640">
        <f>'19_Расчет_аналитики'!AQ2639/(1+'01_Вводные'!$B$58)</f>
        <v/>
      </c>
      <c r="AR2640">
        <f>'19_Расчет_аналитики'!AR2639/(1+'01_Вводные'!$B$58)</f>
        <v/>
      </c>
      <c r="AS2640">
        <f>'19_Расчет_аналитики'!AS2639/(1+'01_Вводные'!$B$58)</f>
        <v/>
      </c>
      <c r="AT2640">
        <f>'19_Расчет_аналитики'!AT2639/(1+'01_Вводные'!$B$58)</f>
        <v/>
      </c>
      <c r="AU2640">
        <f>'19_Расчет_аналитики'!AU2639/(1+'01_Вводные'!$B$58)</f>
        <v/>
      </c>
      <c r="AV2640">
        <f>'19_Расчет_аналитики'!AV2639/(1+'01_Вводные'!$B$58)</f>
        <v/>
      </c>
      <c r="AW2640">
        <f>'19_Расчет_аналитики'!AW2639/(1+'01_Вводные'!$B$58)</f>
        <v/>
      </c>
      <c r="AX2640">
        <f>'19_Расчет_аналитики'!AX2639/(1+'01_Вводные'!$B$58)</f>
        <v/>
      </c>
      <c r="AY2640">
        <f>'19_Расчет_аналитики'!AY2639/(1+'01_Вводные'!$B$58)</f>
        <v/>
      </c>
      <c r="AZ2640">
        <f>'19_Расчет_аналитики'!AZ2639/(1+'01_Вводные'!$B$58)</f>
        <v/>
      </c>
      <c r="BA2640">
        <f>'19_Расчет_аналитики'!BA2639/(1+'01_Вводные'!$B$58)</f>
        <v/>
      </c>
      <c r="BB2640">
        <f>'19_Расчет_аналитики'!BB2639/(1+'01_Вводные'!$B$58)</f>
        <v/>
      </c>
      <c r="BC2640">
        <f>'19_Расчет_аналитики'!BC2639/(1+'01_Вводные'!$B$58)</f>
        <v/>
      </c>
      <c r="BD2640">
        <f>'19_Расчет_аналитики'!BD2639/(1+'01_Вводные'!$B$58)</f>
        <v/>
      </c>
      <c r="BE2640">
        <f>'19_Расчет_аналитики'!BE2639/(1+'01_Вводные'!$B$58)</f>
        <v/>
      </c>
      <c r="BF2640">
        <f>'19_Расчет_аналитики'!BF2639/(1+'01_Вводные'!$B$58)</f>
        <v/>
      </c>
      <c r="BG2640">
        <f>'19_Расчет_аналитики'!BG2639/(1+'01_Вводные'!$B$58)</f>
        <v/>
      </c>
      <c r="BH2640">
        <f>'19_Расчет_аналитики'!BH2639/(1+'01_Вводные'!$B$58)</f>
        <v/>
      </c>
      <c r="BI2640">
        <f>'19_Расчет_аналитики'!BI2639/(1+'01_Вводные'!$B$58)</f>
        <v/>
      </c>
      <c r="BJ2640">
        <f>'19_Расчет_аналитики'!BJ2639/(1+'01_Вводные'!$B$58)</f>
        <v/>
      </c>
      <c r="BK2640">
        <f>'19_Расчет_аналитики'!BK2639/(1+'01_Вводные'!$B$58)</f>
        <v/>
      </c>
      <c r="BL2640">
        <f>'19_Расчет_аналитики'!BL2639/(1+'01_Вводные'!$B$58)</f>
        <v/>
      </c>
      <c r="BM2640">
        <f>'19_Расчет_аналитики'!BM2639/(1+'01_Вводные'!$B$58)</f>
        <v/>
      </c>
      <c r="BN2640">
        <f>'19_Расчет_аналитики'!BN2639/(1+'01_Вводные'!$B$58)</f>
        <v/>
      </c>
      <c r="BO2640">
        <f>'19_Расчет_аналитики'!BO2639/(1+'01_Вводные'!$B$58)</f>
        <v/>
      </c>
    </row>
    <row r="2641">
      <c r="B2641">
        <f>'07_Мерч'!B7+'19_Расчет_аналитики'!B2637</f>
        <v/>
      </c>
      <c r="C2641">
        <f>'07_Мерч'!C7+'19_Расчет_аналитики'!C2637</f>
        <v/>
      </c>
      <c r="D2641">
        <f>'07_Мерч'!D7+'19_Расчет_аналитики'!D2637</f>
        <v/>
      </c>
      <c r="E2641">
        <f>'07_Мерч'!E7+'19_Расчет_аналитики'!E2637</f>
        <v/>
      </c>
      <c r="F2641">
        <f>'19_Расчет_аналитики'!F2632+'19_Расчет_аналитики'!F2637</f>
        <v/>
      </c>
      <c r="G2641">
        <f>'19_Расчет_аналитики'!G2632+'19_Расчет_аналитики'!G2637</f>
        <v/>
      </c>
      <c r="H2641">
        <f>'19_Расчет_аналитики'!H2632+'19_Расчет_аналитики'!H2637</f>
        <v/>
      </c>
      <c r="I2641">
        <f>'19_Расчет_аналитики'!I2632+'19_Расчет_аналитики'!I2637</f>
        <v/>
      </c>
      <c r="J2641">
        <f>'19_Расчет_аналитики'!J2632+'19_Расчет_аналитики'!J2637</f>
        <v/>
      </c>
      <c r="K2641">
        <f>'19_Расчет_аналитики'!K2632+'19_Расчет_аналитики'!K2637</f>
        <v/>
      </c>
      <c r="L2641">
        <f>'19_Расчет_аналитики'!L2632+'19_Расчет_аналитики'!L2637</f>
        <v/>
      </c>
      <c r="M2641">
        <f>'19_Расчет_аналитики'!M2632+'19_Расчет_аналитики'!M2637</f>
        <v/>
      </c>
      <c r="N2641">
        <f>'19_Расчет_аналитики'!N2632+'19_Расчет_аналитики'!N2637</f>
        <v/>
      </c>
      <c r="O2641">
        <f>'19_Расчет_аналитики'!O2632+'19_Расчет_аналитики'!O2637</f>
        <v/>
      </c>
      <c r="P2641">
        <f>'19_Расчет_аналитики'!P2632+'19_Расчет_аналитики'!P2637</f>
        <v/>
      </c>
      <c r="Q2641">
        <f>'19_Расчет_аналитики'!Q2632+'19_Расчет_аналитики'!Q2637</f>
        <v/>
      </c>
      <c r="R2641">
        <f>'19_Расчет_аналитики'!R2632+'19_Расчет_аналитики'!R2637</f>
        <v/>
      </c>
      <c r="S2641">
        <f>'19_Расчет_аналитики'!S2632+'19_Расчет_аналитики'!S2637</f>
        <v/>
      </c>
      <c r="T2641">
        <f>'19_Расчет_аналитики'!T2632+'19_Расчет_аналитики'!T2637</f>
        <v/>
      </c>
      <c r="U2641">
        <f>'19_Расчет_аналитики'!U2632+'19_Расчет_аналитики'!U2637</f>
        <v/>
      </c>
      <c r="V2641">
        <f>'19_Расчет_аналитики'!V2632+'19_Расчет_аналитики'!V2637</f>
        <v/>
      </c>
      <c r="W2641">
        <f>'19_Расчет_аналитики'!W2632+'19_Расчет_аналитики'!W2637</f>
        <v/>
      </c>
      <c r="X2641">
        <f>'19_Расчет_аналитики'!X2632+'19_Расчет_аналитики'!X2637</f>
        <v/>
      </c>
      <c r="Y2641">
        <f>'19_Расчет_аналитики'!Y2632+'19_Расчет_аналитики'!Y2637</f>
        <v/>
      </c>
      <c r="Z2641">
        <f>'19_Расчет_аналитики'!Z2632+'19_Расчет_аналитики'!Z2637</f>
        <v/>
      </c>
      <c r="AA2641">
        <f>'19_Расчет_аналитики'!AA2632+'19_Расчет_аналитики'!AA2637</f>
        <v/>
      </c>
      <c r="AB2641">
        <f>'19_Расчет_аналитики'!AB2632+'19_Расчет_аналитики'!AB2637</f>
        <v/>
      </c>
      <c r="AC2641">
        <f>'19_Расчет_аналитики'!AC2632+'19_Расчет_аналитики'!AC2637</f>
        <v/>
      </c>
      <c r="AD2641">
        <f>'19_Расчет_аналитики'!AD2632+'19_Расчет_аналитики'!AD2637</f>
        <v/>
      </c>
      <c r="AE2641">
        <f>'19_Расчет_аналитики'!AE2632+'19_Расчет_аналитики'!AE2637</f>
        <v/>
      </c>
      <c r="AF2641">
        <f>'19_Расчет_аналитики'!AF2632+'19_Расчет_аналитики'!AF2637</f>
        <v/>
      </c>
      <c r="AG2641">
        <f>'19_Расчет_аналитики'!AG2632+'19_Расчет_аналитики'!AG2637</f>
        <v/>
      </c>
      <c r="AH2641">
        <f>'19_Расчет_аналитики'!AH2632+'19_Расчет_аналитики'!AH2637</f>
        <v/>
      </c>
      <c r="AI2641">
        <f>'19_Расчет_аналитики'!AI2632+'19_Расчет_аналитики'!AI2637</f>
        <v/>
      </c>
      <c r="AJ2641">
        <f>'19_Расчет_аналитики'!AJ2632+'19_Расчет_аналитики'!AJ2637</f>
        <v/>
      </c>
      <c r="AK2641">
        <f>'19_Расчет_аналитики'!AK2632+'19_Расчет_аналитики'!AK2637</f>
        <v/>
      </c>
      <c r="AL2641">
        <f>'19_Расчет_аналитики'!AL2632+'19_Расчет_аналитики'!AL2637</f>
        <v/>
      </c>
      <c r="AM2641">
        <f>'19_Расчет_аналитики'!AM2632+'19_Расчет_аналитики'!AM2637</f>
        <v/>
      </c>
      <c r="AN2641">
        <f>'19_Расчет_аналитики'!AN2632+'19_Расчет_аналитики'!AN2637</f>
        <v/>
      </c>
      <c r="AO2641">
        <f>'19_Расчет_аналитики'!AO2632+'19_Расчет_аналитики'!AO2637</f>
        <v/>
      </c>
      <c r="AP2641">
        <f>'19_Расчет_аналитики'!AP2632+'19_Расчет_аналитики'!AP2637</f>
        <v/>
      </c>
      <c r="AQ2641">
        <f>'19_Расчет_аналитики'!AQ2632+'19_Расчет_аналитики'!AQ2637</f>
        <v/>
      </c>
      <c r="AR2641">
        <f>'19_Расчет_аналитики'!AR2632+'19_Расчет_аналитики'!AR2637</f>
        <v/>
      </c>
      <c r="AS2641">
        <f>'19_Расчет_аналитики'!AS2632+'19_Расчет_аналитики'!AS2637</f>
        <v/>
      </c>
      <c r="AT2641">
        <f>'19_Расчет_аналитики'!AT2632+'19_Расчет_аналитики'!AT2637</f>
        <v/>
      </c>
      <c r="AU2641">
        <f>'19_Расчет_аналитики'!AU2632+'19_Расчет_аналитики'!AU2637</f>
        <v/>
      </c>
      <c r="AV2641">
        <f>'19_Расчет_аналитики'!AV2632+'19_Расчет_аналитики'!AV2637</f>
        <v/>
      </c>
      <c r="AW2641">
        <f>'19_Расчет_аналитики'!AW2632+'19_Расчет_аналитики'!AW2637</f>
        <v/>
      </c>
      <c r="AX2641">
        <f>'19_Расчет_аналитики'!AX2632+'19_Расчет_аналитики'!AX2637</f>
        <v/>
      </c>
      <c r="AY2641">
        <f>'19_Расчет_аналитики'!AY2632+'19_Расчет_аналитики'!AY2637</f>
        <v/>
      </c>
      <c r="AZ2641">
        <f>'19_Расчет_аналитики'!AZ2632+'19_Расчет_аналитики'!AZ2637</f>
        <v/>
      </c>
      <c r="BA2641">
        <f>'19_Расчет_аналитики'!BA2632+'19_Расчет_аналитики'!BA2637</f>
        <v/>
      </c>
      <c r="BB2641">
        <f>'19_Расчет_аналитики'!BB2632+'19_Расчет_аналитики'!BB2637</f>
        <v/>
      </c>
      <c r="BC2641">
        <f>'19_Расчет_аналитики'!BC2632+'19_Расчет_аналитики'!BC2637</f>
        <v/>
      </c>
      <c r="BD2641">
        <f>'19_Расчет_аналитики'!BD2632+'19_Расчет_аналитики'!BD2637</f>
        <v/>
      </c>
      <c r="BE2641">
        <f>'19_Расчет_аналитики'!BE2632+'19_Расчет_аналитики'!BE2637</f>
        <v/>
      </c>
      <c r="BF2641">
        <f>'19_Расчет_аналитики'!BF2632+'19_Расчет_аналитики'!BF2637</f>
        <v/>
      </c>
      <c r="BG2641">
        <f>'19_Расчет_аналитики'!BG2632+'19_Расчет_аналитики'!BG2637</f>
        <v/>
      </c>
      <c r="BH2641">
        <f>'19_Расчет_аналитики'!BH2632+'19_Расчет_аналитики'!BH2637</f>
        <v/>
      </c>
      <c r="BI2641">
        <f>'19_Расчет_аналитики'!BI2632+'19_Расчет_аналитики'!BI2637</f>
        <v/>
      </c>
      <c r="BJ2641">
        <f>'19_Расчет_аналитики'!BJ2632+'19_Расчет_аналитики'!BJ2637</f>
        <v/>
      </c>
      <c r="BK2641">
        <f>'19_Расчет_аналитики'!BK2632+'19_Расчет_аналитики'!BK2637</f>
        <v/>
      </c>
      <c r="BL2641">
        <f>'19_Расчет_аналитики'!BL2632+'19_Расчет_аналитики'!BL2637</f>
        <v/>
      </c>
      <c r="BM2641">
        <f>'19_Расчет_аналитики'!BM2632+'19_Расчет_аналитики'!BM2637</f>
        <v/>
      </c>
      <c r="BN2641">
        <f>'19_Расчет_аналитики'!BN2632+'19_Расчет_аналитики'!BN2637</f>
        <v/>
      </c>
      <c r="BO2641">
        <f>'19_Расчет_аналитики'!BO2632+'19_Расчет_аналитики'!BO2637</f>
        <v/>
      </c>
    </row>
    <row r="2642">
      <c r="B2642">
        <f>'19_Расчет_аналитики'!B2640*'01_Вводные'!$B$75</f>
        <v/>
      </c>
      <c r="C2642">
        <f>'19_Расчет_аналитики'!C2640*'01_Вводные'!$B$75</f>
        <v/>
      </c>
      <c r="D2642">
        <f>'19_Расчет_аналитики'!D2640*'01_Вводные'!$B$75</f>
        <v/>
      </c>
      <c r="E2642">
        <f>'19_Расчет_аналитики'!E2640*'01_Вводные'!$B$75</f>
        <v/>
      </c>
      <c r="F2642">
        <f>'19_Расчет_аналитики'!F2640*'01_Вводные'!$B$75</f>
        <v/>
      </c>
      <c r="G2642">
        <f>'19_Расчет_аналитики'!G2640*'01_Вводные'!$B$75</f>
        <v/>
      </c>
      <c r="H2642">
        <f>'19_Расчет_аналитики'!H2640*'01_Вводные'!$B$75</f>
        <v/>
      </c>
      <c r="I2642">
        <f>'19_Расчет_аналитики'!I2640*'01_Вводные'!$B$75</f>
        <v/>
      </c>
      <c r="J2642">
        <f>'19_Расчет_аналитики'!J2640*'01_Вводные'!$B$75</f>
        <v/>
      </c>
      <c r="K2642">
        <f>'19_Расчет_аналитики'!K2640*'01_Вводные'!$B$75</f>
        <v/>
      </c>
      <c r="L2642">
        <f>'19_Расчет_аналитики'!L2640*'01_Вводные'!$B$75</f>
        <v/>
      </c>
      <c r="M2642">
        <f>'19_Расчет_аналитики'!M2640*'01_Вводные'!$B$75</f>
        <v/>
      </c>
      <c r="N2642">
        <f>'19_Расчет_аналитики'!N2640*'01_Вводные'!$B$75</f>
        <v/>
      </c>
      <c r="O2642">
        <f>'19_Расчет_аналитики'!O2640*'01_Вводные'!$B$75</f>
        <v/>
      </c>
      <c r="P2642">
        <f>'19_Расчет_аналитики'!P2640*'01_Вводные'!$B$75</f>
        <v/>
      </c>
      <c r="Q2642">
        <f>'19_Расчет_аналитики'!Q2640*'01_Вводные'!$B$75</f>
        <v/>
      </c>
      <c r="R2642">
        <f>'19_Расчет_аналитики'!R2640*'01_Вводные'!$B$75</f>
        <v/>
      </c>
      <c r="S2642">
        <f>'19_Расчет_аналитики'!S2640*'01_Вводные'!$B$75</f>
        <v/>
      </c>
      <c r="T2642">
        <f>'19_Расчет_аналитики'!T2640*'01_Вводные'!$B$75</f>
        <v/>
      </c>
      <c r="U2642">
        <f>'19_Расчет_аналитики'!U2640*'01_Вводные'!$B$75</f>
        <v/>
      </c>
      <c r="V2642">
        <f>'19_Расчет_аналитики'!V2640*'01_Вводные'!$B$75</f>
        <v/>
      </c>
      <c r="W2642">
        <f>'19_Расчет_аналитики'!W2640*'01_Вводные'!$B$75</f>
        <v/>
      </c>
      <c r="X2642">
        <f>'19_Расчет_аналитики'!X2640*'01_Вводные'!$B$75</f>
        <v/>
      </c>
      <c r="Y2642">
        <f>'19_Расчет_аналитики'!Y2640*'01_Вводные'!$B$75</f>
        <v/>
      </c>
      <c r="Z2642">
        <f>'19_Расчет_аналитики'!Z2640*'01_Вводные'!$B$75</f>
        <v/>
      </c>
      <c r="AA2642">
        <f>'19_Расчет_аналитики'!AA2640*'01_Вводные'!$B$75</f>
        <v/>
      </c>
      <c r="AB2642">
        <f>'19_Расчет_аналитики'!AB2640*'01_Вводные'!$B$75</f>
        <v/>
      </c>
      <c r="AC2642">
        <f>'19_Расчет_аналитики'!AC2640*'01_Вводные'!$B$75</f>
        <v/>
      </c>
      <c r="AD2642">
        <f>'19_Расчет_аналитики'!AD2640*'01_Вводные'!$B$75</f>
        <v/>
      </c>
      <c r="AE2642">
        <f>'19_Расчет_аналитики'!AE2640*'01_Вводные'!$B$75</f>
        <v/>
      </c>
      <c r="AF2642">
        <f>'19_Расчет_аналитики'!AF2640*'01_Вводные'!$B$75</f>
        <v/>
      </c>
      <c r="AG2642">
        <f>'19_Расчет_аналитики'!AG2640*'01_Вводные'!$B$75</f>
        <v/>
      </c>
      <c r="AH2642">
        <f>'19_Расчет_аналитики'!AH2640*'01_Вводные'!$B$75</f>
        <v/>
      </c>
      <c r="AI2642">
        <f>'19_Расчет_аналитики'!AI2640*'01_Вводные'!$B$75</f>
        <v/>
      </c>
      <c r="AJ2642">
        <f>'19_Расчет_аналитики'!AJ2640*'01_Вводные'!$B$75</f>
        <v/>
      </c>
      <c r="AK2642">
        <f>'19_Расчет_аналитики'!AK2640*'01_Вводные'!$B$75</f>
        <v/>
      </c>
      <c r="AL2642">
        <f>'19_Расчет_аналитики'!AL2640*'01_Вводные'!$B$75</f>
        <v/>
      </c>
      <c r="AM2642">
        <f>'19_Расчет_аналитики'!AM2640*'01_Вводные'!$B$75</f>
        <v/>
      </c>
      <c r="AN2642">
        <f>'19_Расчет_аналитики'!AN2640*'01_Вводные'!$B$75</f>
        <v/>
      </c>
      <c r="AO2642">
        <f>'19_Расчет_аналитики'!AO2640*'01_Вводные'!$B$75</f>
        <v/>
      </c>
      <c r="AP2642">
        <f>'19_Расчет_аналитики'!AP2640*'01_Вводные'!$B$75</f>
        <v/>
      </c>
      <c r="AQ2642">
        <f>'19_Расчет_аналитики'!AQ2640*'01_Вводные'!$B$75</f>
        <v/>
      </c>
      <c r="AR2642">
        <f>'19_Расчет_аналитики'!AR2640*'01_Вводные'!$B$75</f>
        <v/>
      </c>
      <c r="AS2642">
        <f>'19_Расчет_аналитики'!AS2640*'01_Вводные'!$B$75</f>
        <v/>
      </c>
      <c r="AT2642">
        <f>'19_Расчет_аналитики'!AT2640*'01_Вводные'!$B$75</f>
        <v/>
      </c>
      <c r="AU2642">
        <f>'19_Расчет_аналитики'!AU2640*'01_Вводные'!$B$75</f>
        <v/>
      </c>
      <c r="AV2642">
        <f>'19_Расчет_аналитики'!AV2640*'01_Вводные'!$B$75</f>
        <v/>
      </c>
      <c r="AW2642">
        <f>'19_Расчет_аналитики'!AW2640*'01_Вводные'!$B$75</f>
        <v/>
      </c>
      <c r="AX2642">
        <f>'19_Расчет_аналитики'!AX2640*'01_Вводные'!$B$75</f>
        <v/>
      </c>
      <c r="AY2642">
        <f>'19_Расчет_аналитики'!AY2640*'01_Вводные'!$B$75</f>
        <v/>
      </c>
      <c r="AZ2642">
        <f>'19_Расчет_аналитики'!AZ2640*'01_Вводные'!$B$75</f>
        <v/>
      </c>
      <c r="BA2642">
        <f>'19_Расчет_аналитики'!BA2640*'01_Вводные'!$B$75</f>
        <v/>
      </c>
      <c r="BB2642">
        <f>'19_Расчет_аналитики'!BB2640*'01_Вводные'!$B$75</f>
        <v/>
      </c>
      <c r="BC2642">
        <f>'19_Расчет_аналитики'!BC2640*'01_Вводные'!$B$75</f>
        <v/>
      </c>
      <c r="BD2642">
        <f>'19_Расчет_аналитики'!BD2640*'01_Вводные'!$B$75</f>
        <v/>
      </c>
      <c r="BE2642">
        <f>'19_Расчет_аналитики'!BE2640*'01_Вводные'!$B$75</f>
        <v/>
      </c>
      <c r="BF2642">
        <f>'19_Расчет_аналитики'!BF2640*'01_Вводные'!$B$75</f>
        <v/>
      </c>
      <c r="BG2642">
        <f>'19_Расчет_аналитики'!BG2640*'01_Вводные'!$B$75</f>
        <v/>
      </c>
      <c r="BH2642">
        <f>'19_Расчет_аналитики'!BH2640*'01_Вводные'!$B$75</f>
        <v/>
      </c>
      <c r="BI2642">
        <f>'19_Расчет_аналитики'!BI2640*'01_Вводные'!$B$75</f>
        <v/>
      </c>
      <c r="BJ2642">
        <f>'19_Расчет_аналитики'!BJ2640*'01_Вводные'!$B$75</f>
        <v/>
      </c>
      <c r="BK2642">
        <f>'19_Расчет_аналитики'!BK2640*'01_Вводные'!$B$75</f>
        <v/>
      </c>
      <c r="BL2642">
        <f>'19_Расчет_аналитики'!BL2640*'01_Вводные'!$B$75</f>
        <v/>
      </c>
      <c r="BM2642">
        <f>'19_Расчет_аналитики'!BM2640*'01_Вводные'!$B$75</f>
        <v/>
      </c>
      <c r="BN2642">
        <f>'19_Расчет_аналитики'!BN2640*'01_Вводные'!$B$75</f>
        <v/>
      </c>
      <c r="BO2642">
        <f>'19_Расчет_аналитики'!BO2640*'01_Вводные'!$B$75</f>
        <v/>
      </c>
    </row>
    <row r="2643">
      <c r="B2643">
        <f>MAX(0,'19_Расчет_аналитики'!B2640-'19_Расчет_аналитики'!B2641-'19_Расчет_аналитики'!B2642)</f>
        <v/>
      </c>
      <c r="C2643">
        <f>MAX(0,'19_Расчет_аналитики'!C2640-'19_Расчет_аналитики'!C2641-'19_Расчет_аналитики'!C2642)</f>
        <v/>
      </c>
      <c r="D2643">
        <f>MAX(0,'19_Расчет_аналитики'!D2640-'19_Расчет_аналитики'!D2641-'19_Расчет_аналитики'!D2642)</f>
        <v/>
      </c>
      <c r="E2643">
        <f>MAX(0,'19_Расчет_аналитики'!E2640-'19_Расчет_аналитики'!E2641-'19_Расчет_аналитики'!E2642)</f>
        <v/>
      </c>
      <c r="F2643">
        <f>MAX(0,'19_Расчет_аналитики'!F2640-'19_Расчет_аналитики'!F2641-'19_Расчет_аналитики'!F2642)</f>
        <v/>
      </c>
      <c r="G2643">
        <f>MAX(0,'19_Расчет_аналитики'!G2640-'19_Расчет_аналитики'!G2641-'19_Расчет_аналитики'!G2642)</f>
        <v/>
      </c>
      <c r="H2643">
        <f>MAX(0,'19_Расчет_аналитики'!H2640-'19_Расчет_аналитики'!H2641-'19_Расчет_аналитики'!H2642)</f>
        <v/>
      </c>
      <c r="I2643">
        <f>MAX(0,'19_Расчет_аналитики'!I2640-'19_Расчет_аналитики'!I2641-'19_Расчет_аналитики'!I2642)</f>
        <v/>
      </c>
      <c r="J2643">
        <f>MAX(0,'19_Расчет_аналитики'!J2640-'19_Расчет_аналитики'!J2641-'19_Расчет_аналитики'!J2642)</f>
        <v/>
      </c>
      <c r="K2643">
        <f>MAX(0,'19_Расчет_аналитики'!K2640-'19_Расчет_аналитики'!K2641-'19_Расчет_аналитики'!K2642)</f>
        <v/>
      </c>
      <c r="L2643">
        <f>MAX(0,'19_Расчет_аналитики'!L2640-'19_Расчет_аналитики'!L2641-'19_Расчет_аналитики'!L2642)</f>
        <v/>
      </c>
      <c r="M2643">
        <f>MAX(0,'19_Расчет_аналитики'!M2640-'19_Расчет_аналитики'!M2641-'19_Расчет_аналитики'!M2642)</f>
        <v/>
      </c>
      <c r="N2643">
        <f>MAX(0,'19_Расчет_аналитики'!N2640-'19_Расчет_аналитики'!N2641-'19_Расчет_аналитики'!N2642)</f>
        <v/>
      </c>
      <c r="O2643">
        <f>MAX(0,'19_Расчет_аналитики'!O2640-'19_Расчет_аналитики'!O2641-'19_Расчет_аналитики'!O2642)</f>
        <v/>
      </c>
      <c r="P2643">
        <f>MAX(0,'19_Расчет_аналитики'!P2640-'19_Расчет_аналитики'!P2641-'19_Расчет_аналитики'!P2642)</f>
        <v/>
      </c>
      <c r="Q2643">
        <f>MAX(0,'19_Расчет_аналитики'!Q2640-'19_Расчет_аналитики'!Q2641-'19_Расчет_аналитики'!Q2642)</f>
        <v/>
      </c>
      <c r="R2643">
        <f>MAX(0,'19_Расчет_аналитики'!R2640-'19_Расчет_аналитики'!R2641-'19_Расчет_аналитики'!R2642)</f>
        <v/>
      </c>
      <c r="S2643">
        <f>MAX(0,'19_Расчет_аналитики'!S2640-'19_Расчет_аналитики'!S2641-'19_Расчет_аналитики'!S2642)</f>
        <v/>
      </c>
      <c r="T2643">
        <f>MAX(0,'19_Расчет_аналитики'!T2640-'19_Расчет_аналитики'!T2641-'19_Расчет_аналитики'!T2642)</f>
        <v/>
      </c>
      <c r="U2643">
        <f>MAX(0,'19_Расчет_аналитики'!U2640-'19_Расчет_аналитики'!U2641-'19_Расчет_аналитики'!U2642)</f>
        <v/>
      </c>
      <c r="V2643">
        <f>MAX(0,'19_Расчет_аналитики'!V2640-'19_Расчет_аналитики'!V2641-'19_Расчет_аналитики'!V2642)</f>
        <v/>
      </c>
      <c r="W2643">
        <f>MAX(0,'19_Расчет_аналитики'!W2640-'19_Расчет_аналитики'!W2641-'19_Расчет_аналитики'!W2642)</f>
        <v/>
      </c>
      <c r="X2643">
        <f>MAX(0,'19_Расчет_аналитики'!X2640-'19_Расчет_аналитики'!X2641-'19_Расчет_аналитики'!X2642)</f>
        <v/>
      </c>
      <c r="Y2643">
        <f>MAX(0,'19_Расчет_аналитики'!Y2640-'19_Расчет_аналитики'!Y2641-'19_Расчет_аналитики'!Y2642)</f>
        <v/>
      </c>
      <c r="Z2643">
        <f>MAX(0,'19_Расчет_аналитики'!Z2640-'19_Расчет_аналитики'!Z2641-'19_Расчет_аналитики'!Z2642)</f>
        <v/>
      </c>
      <c r="AA2643">
        <f>MAX(0,'19_Расчет_аналитики'!AA2640-'19_Расчет_аналитики'!AA2641-'19_Расчет_аналитики'!AA2642)</f>
        <v/>
      </c>
      <c r="AB2643">
        <f>MAX(0,'19_Расчет_аналитики'!AB2640-'19_Расчет_аналитики'!AB2641-'19_Расчет_аналитики'!AB2642)</f>
        <v/>
      </c>
      <c r="AC2643">
        <f>MAX(0,'19_Расчет_аналитики'!AC2640-'19_Расчет_аналитики'!AC2641-'19_Расчет_аналитики'!AC2642)</f>
        <v/>
      </c>
      <c r="AD2643">
        <f>MAX(0,'19_Расчет_аналитики'!AD2640-'19_Расчет_аналитики'!AD2641-'19_Расчет_аналитики'!AD2642)</f>
        <v/>
      </c>
      <c r="AE2643">
        <f>MAX(0,'19_Расчет_аналитики'!AE2640-'19_Расчет_аналитики'!AE2641-'19_Расчет_аналитики'!AE2642)</f>
        <v/>
      </c>
      <c r="AF2643">
        <f>MAX(0,'19_Расчет_аналитики'!AF2640-'19_Расчет_аналитики'!AF2641-'19_Расчет_аналитики'!AF2642)</f>
        <v/>
      </c>
      <c r="AG2643">
        <f>MAX(0,'19_Расчет_аналитики'!AG2640-'19_Расчет_аналитики'!AG2641-'19_Расчет_аналитики'!AG2642)</f>
        <v/>
      </c>
      <c r="AH2643">
        <f>MAX(0,'19_Расчет_аналитики'!AH2640-'19_Расчет_аналитики'!AH2641-'19_Расчет_аналитики'!AH2642)</f>
        <v/>
      </c>
      <c r="AI2643">
        <f>MAX(0,'19_Расчет_аналитики'!AI2640-'19_Расчет_аналитики'!AI2641-'19_Расчет_аналитики'!AI2642)</f>
        <v/>
      </c>
      <c r="AJ2643">
        <f>MAX(0,'19_Расчет_аналитики'!AJ2640-'19_Расчет_аналитики'!AJ2641-'19_Расчет_аналитики'!AJ2642)</f>
        <v/>
      </c>
      <c r="AK2643">
        <f>MAX(0,'19_Расчет_аналитики'!AK2640-'19_Расчет_аналитики'!AK2641-'19_Расчет_аналитики'!AK2642)</f>
        <v/>
      </c>
      <c r="AL2643">
        <f>MAX(0,'19_Расчет_аналитики'!AL2640-'19_Расчет_аналитики'!AL2641-'19_Расчет_аналитики'!AL2642)</f>
        <v/>
      </c>
      <c r="AM2643">
        <f>MAX(0,'19_Расчет_аналитики'!AM2640-'19_Расчет_аналитики'!AM2641-'19_Расчет_аналитики'!AM2642)</f>
        <v/>
      </c>
      <c r="AN2643">
        <f>MAX(0,'19_Расчет_аналитики'!AN2640-'19_Расчет_аналитики'!AN2641-'19_Расчет_аналитики'!AN2642)</f>
        <v/>
      </c>
      <c r="AO2643">
        <f>MAX(0,'19_Расчет_аналитики'!AO2640-'19_Расчет_аналитики'!AO2641-'19_Расчет_аналитики'!AO2642)</f>
        <v/>
      </c>
      <c r="AP2643">
        <f>MAX(0,'19_Расчет_аналитики'!AP2640-'19_Расчет_аналитики'!AP2641-'19_Расчет_аналитики'!AP2642)</f>
        <v/>
      </c>
      <c r="AQ2643">
        <f>MAX(0,'19_Расчет_аналитики'!AQ2640-'19_Расчет_аналитики'!AQ2641-'19_Расчет_аналитики'!AQ2642)</f>
        <v/>
      </c>
      <c r="AR2643">
        <f>MAX(0,'19_Расчет_аналитики'!AR2640-'19_Расчет_аналитики'!AR2641-'19_Расчет_аналитики'!AR2642)</f>
        <v/>
      </c>
      <c r="AS2643">
        <f>MAX(0,'19_Расчет_аналитики'!AS2640-'19_Расчет_аналитики'!AS2641-'19_Расчет_аналитики'!AS2642)</f>
        <v/>
      </c>
      <c r="AT2643">
        <f>MAX(0,'19_Расчет_аналитики'!AT2640-'19_Расчет_аналитики'!AT2641-'19_Расчет_аналитики'!AT2642)</f>
        <v/>
      </c>
      <c r="AU2643">
        <f>MAX(0,'19_Расчет_аналитики'!AU2640-'19_Расчет_аналитики'!AU2641-'19_Расчет_аналитики'!AU2642)</f>
        <v/>
      </c>
      <c r="AV2643">
        <f>MAX(0,'19_Расчет_аналитики'!AV2640-'19_Расчет_аналитики'!AV2641-'19_Расчет_аналитики'!AV2642)</f>
        <v/>
      </c>
      <c r="AW2643">
        <f>MAX(0,'19_Расчет_аналитики'!AW2640-'19_Расчет_аналитики'!AW2641-'19_Расчет_аналитики'!AW2642)</f>
        <v/>
      </c>
      <c r="AX2643">
        <f>MAX(0,'19_Расчет_аналитики'!AX2640-'19_Расчет_аналитики'!AX2641-'19_Расчет_аналитики'!AX2642)</f>
        <v/>
      </c>
      <c r="AY2643">
        <f>MAX(0,'19_Расчет_аналитики'!AY2640-'19_Расчет_аналитики'!AY2641-'19_Расчет_аналитики'!AY2642)</f>
        <v/>
      </c>
      <c r="AZ2643">
        <f>MAX(0,'19_Расчет_аналитики'!AZ2640-'19_Расчет_аналитики'!AZ2641-'19_Расчет_аналитики'!AZ2642)</f>
        <v/>
      </c>
      <c r="BA2643">
        <f>MAX(0,'19_Расчет_аналитики'!BA2640-'19_Расчет_аналитики'!BA2641-'19_Расчет_аналитики'!BA2642)</f>
        <v/>
      </c>
      <c r="BB2643">
        <f>MAX(0,'19_Расчет_аналитики'!BB2640-'19_Расчет_аналитики'!BB2641-'19_Расчет_аналитики'!BB2642)</f>
        <v/>
      </c>
      <c r="BC2643">
        <f>MAX(0,'19_Расчет_аналитики'!BC2640-'19_Расчет_аналитики'!BC2641-'19_Расчет_аналитики'!BC2642)</f>
        <v/>
      </c>
      <c r="BD2643">
        <f>MAX(0,'19_Расчет_аналитики'!BD2640-'19_Расчет_аналитики'!BD2641-'19_Расчет_аналитики'!BD2642)</f>
        <v/>
      </c>
      <c r="BE2643">
        <f>MAX(0,'19_Расчет_аналитики'!BE2640-'19_Расчет_аналитики'!BE2641-'19_Расчет_аналитики'!BE2642)</f>
        <v/>
      </c>
      <c r="BF2643">
        <f>MAX(0,'19_Расчет_аналитики'!BF2640-'19_Расчет_аналитики'!BF2641-'19_Расчет_аналитики'!BF2642)</f>
        <v/>
      </c>
      <c r="BG2643">
        <f>MAX(0,'19_Расчет_аналитики'!BG2640-'19_Расчет_аналитики'!BG2641-'19_Расчет_аналитики'!BG2642)</f>
        <v/>
      </c>
      <c r="BH2643">
        <f>MAX(0,'19_Расчет_аналитики'!BH2640-'19_Расчет_аналитики'!BH2641-'19_Расчет_аналитики'!BH2642)</f>
        <v/>
      </c>
      <c r="BI2643">
        <f>MAX(0,'19_Расчет_аналитики'!BI2640-'19_Расчет_аналитики'!BI2641-'19_Расчет_аналитики'!BI2642)</f>
        <v/>
      </c>
      <c r="BJ2643">
        <f>MAX(0,'19_Расчет_аналитики'!BJ2640-'19_Расчет_аналитики'!BJ2641-'19_Расчет_аналитики'!BJ2642)</f>
        <v/>
      </c>
      <c r="BK2643">
        <f>MAX(0,'19_Расчет_аналитики'!BK2640-'19_Расчет_аналитики'!BK2641-'19_Расчет_аналитики'!BK2642)</f>
        <v/>
      </c>
      <c r="BL2643">
        <f>MAX(0,'19_Расчет_аналитики'!BL2640-'19_Расчет_аналитики'!BL2641-'19_Расчет_аналитики'!BL2642)</f>
        <v/>
      </c>
      <c r="BM2643">
        <f>MAX(0,'19_Расчет_аналитики'!BM2640-'19_Расчет_аналитики'!BM2641-'19_Расчет_аналитики'!BM2642)</f>
        <v/>
      </c>
      <c r="BN2643">
        <f>MAX(0,'19_Расчет_аналитики'!BN2640-'19_Расчет_аналитики'!BN2641-'19_Расчет_аналитики'!BN2642)</f>
        <v/>
      </c>
      <c r="BO2643">
        <f>MAX(0,'19_Расчет_аналитики'!BO2640-'19_Расчет_аналитики'!BO2641-'19_Расчет_аналитики'!BO2642)</f>
        <v/>
      </c>
    </row>
    <row r="2644">
      <c r="B2644">
        <f>'19_Расчет_аналитики'!B2643*'01_Вводные'!$B$76</f>
        <v/>
      </c>
      <c r="C2644">
        <f>'19_Расчет_аналитики'!C2643*'01_Вводные'!$B$76</f>
        <v/>
      </c>
      <c r="D2644">
        <f>'19_Расчет_аналитики'!D2643*'01_Вводные'!$B$76</f>
        <v/>
      </c>
      <c r="E2644">
        <f>'19_Расчет_аналитики'!E2643*'01_Вводные'!$B$76</f>
        <v/>
      </c>
      <c r="F2644">
        <f>'19_Расчет_аналитики'!F2643*'01_Вводные'!$B$76</f>
        <v/>
      </c>
      <c r="G2644">
        <f>'19_Расчет_аналитики'!G2643*'01_Вводные'!$B$76</f>
        <v/>
      </c>
      <c r="H2644">
        <f>'19_Расчет_аналитики'!H2643*'01_Вводные'!$B$76</f>
        <v/>
      </c>
      <c r="I2644">
        <f>'19_Расчет_аналитики'!I2643*'01_Вводные'!$B$76</f>
        <v/>
      </c>
      <c r="J2644">
        <f>'19_Расчет_аналитики'!J2643*'01_Вводные'!$B$76</f>
        <v/>
      </c>
      <c r="K2644">
        <f>'19_Расчет_аналитики'!K2643*'01_Вводные'!$B$76</f>
        <v/>
      </c>
      <c r="L2644">
        <f>'19_Расчет_аналитики'!L2643*'01_Вводные'!$B$76</f>
        <v/>
      </c>
      <c r="M2644">
        <f>'19_Расчет_аналитики'!M2643*'01_Вводные'!$B$76</f>
        <v/>
      </c>
      <c r="N2644">
        <f>'19_Расчет_аналитики'!N2643*'01_Вводные'!$B$76</f>
        <v/>
      </c>
      <c r="O2644">
        <f>'19_Расчет_аналитики'!O2643*'01_Вводные'!$B$76</f>
        <v/>
      </c>
      <c r="P2644">
        <f>'19_Расчет_аналитики'!P2643*'01_Вводные'!$B$76</f>
        <v/>
      </c>
      <c r="Q2644">
        <f>'19_Расчет_аналитики'!Q2643*'01_Вводные'!$B$76</f>
        <v/>
      </c>
      <c r="R2644">
        <f>'19_Расчет_аналитики'!R2643*'01_Вводные'!$B$76</f>
        <v/>
      </c>
      <c r="S2644">
        <f>'19_Расчет_аналитики'!S2643*'01_Вводные'!$B$76</f>
        <v/>
      </c>
      <c r="T2644">
        <f>'19_Расчет_аналитики'!T2643*'01_Вводные'!$B$76</f>
        <v/>
      </c>
      <c r="U2644">
        <f>'19_Расчет_аналитики'!U2643*'01_Вводные'!$B$76</f>
        <v/>
      </c>
      <c r="V2644">
        <f>'19_Расчет_аналитики'!V2643*'01_Вводные'!$B$76</f>
        <v/>
      </c>
      <c r="W2644">
        <f>'19_Расчет_аналитики'!W2643*'01_Вводные'!$B$76</f>
        <v/>
      </c>
      <c r="X2644">
        <f>'19_Расчет_аналитики'!X2643*'01_Вводные'!$B$76</f>
        <v/>
      </c>
      <c r="Y2644">
        <f>'19_Расчет_аналитики'!Y2643*'01_Вводные'!$B$76</f>
        <v/>
      </c>
      <c r="Z2644">
        <f>'19_Расчет_аналитики'!Z2643*'01_Вводные'!$B$76</f>
        <v/>
      </c>
      <c r="AA2644">
        <f>'19_Расчет_аналитики'!AA2643*'01_Вводные'!$B$76</f>
        <v/>
      </c>
      <c r="AB2644">
        <f>'19_Расчет_аналитики'!AB2643*'01_Вводные'!$B$76</f>
        <v/>
      </c>
      <c r="AC2644">
        <f>'19_Расчет_аналитики'!AC2643*'01_Вводные'!$B$76</f>
        <v/>
      </c>
      <c r="AD2644">
        <f>'19_Расчет_аналитики'!AD2643*'01_Вводные'!$B$76</f>
        <v/>
      </c>
      <c r="AE2644">
        <f>'19_Расчет_аналитики'!AE2643*'01_Вводные'!$B$76</f>
        <v/>
      </c>
      <c r="AF2644">
        <f>'19_Расчет_аналитики'!AF2643*'01_Вводные'!$B$76</f>
        <v/>
      </c>
      <c r="AG2644">
        <f>'19_Расчет_аналитики'!AG2643*'01_Вводные'!$B$76</f>
        <v/>
      </c>
      <c r="AH2644">
        <f>'19_Расчет_аналитики'!AH2643*'01_Вводные'!$B$76</f>
        <v/>
      </c>
      <c r="AI2644">
        <f>'19_Расчет_аналитики'!AI2643*'01_Вводные'!$B$76</f>
        <v/>
      </c>
      <c r="AJ2644">
        <f>'19_Расчет_аналитики'!AJ2643*'01_Вводные'!$B$76</f>
        <v/>
      </c>
      <c r="AK2644">
        <f>'19_Расчет_аналитики'!AK2643*'01_Вводные'!$B$76</f>
        <v/>
      </c>
      <c r="AL2644">
        <f>'19_Расчет_аналитики'!AL2643*'01_Вводные'!$B$76</f>
        <v/>
      </c>
      <c r="AM2644">
        <f>'19_Расчет_аналитики'!AM2643*'01_Вводные'!$B$76</f>
        <v/>
      </c>
      <c r="AN2644">
        <f>'19_Расчет_аналитики'!AN2643*'01_Вводные'!$B$76</f>
        <v/>
      </c>
      <c r="AO2644">
        <f>'19_Расчет_аналитики'!AO2643*'01_Вводные'!$B$76</f>
        <v/>
      </c>
      <c r="AP2644">
        <f>'19_Расчет_аналитики'!AP2643*'01_Вводные'!$B$76</f>
        <v/>
      </c>
      <c r="AQ2644">
        <f>'19_Расчет_аналитики'!AQ2643*'01_Вводные'!$B$76</f>
        <v/>
      </c>
      <c r="AR2644">
        <f>'19_Расчет_аналитики'!AR2643*'01_Вводные'!$B$76</f>
        <v/>
      </c>
      <c r="AS2644">
        <f>'19_Расчет_аналитики'!AS2643*'01_Вводные'!$B$76</f>
        <v/>
      </c>
      <c r="AT2644">
        <f>'19_Расчет_аналитики'!AT2643*'01_Вводные'!$B$76</f>
        <v/>
      </c>
      <c r="AU2644">
        <f>'19_Расчет_аналитики'!AU2643*'01_Вводные'!$B$76</f>
        <v/>
      </c>
      <c r="AV2644">
        <f>'19_Расчет_аналитики'!AV2643*'01_Вводные'!$B$76</f>
        <v/>
      </c>
      <c r="AW2644">
        <f>'19_Расчет_аналитики'!AW2643*'01_Вводные'!$B$76</f>
        <v/>
      </c>
      <c r="AX2644">
        <f>'19_Расчет_аналитики'!AX2643*'01_Вводные'!$B$76</f>
        <v/>
      </c>
      <c r="AY2644">
        <f>'19_Расчет_аналитики'!AY2643*'01_Вводные'!$B$76</f>
        <v/>
      </c>
      <c r="AZ2644">
        <f>'19_Расчет_аналитики'!AZ2643*'01_Вводные'!$B$76</f>
        <v/>
      </c>
      <c r="BA2644">
        <f>'19_Расчет_аналитики'!BA2643*'01_Вводные'!$B$76</f>
        <v/>
      </c>
      <c r="BB2644">
        <f>'19_Расчет_аналитики'!BB2643*'01_Вводные'!$B$76</f>
        <v/>
      </c>
      <c r="BC2644">
        <f>'19_Расчет_аналитики'!BC2643*'01_Вводные'!$B$76</f>
        <v/>
      </c>
      <c r="BD2644">
        <f>'19_Расчет_аналитики'!BD2643*'01_Вводные'!$B$76</f>
        <v/>
      </c>
      <c r="BE2644">
        <f>'19_Расчет_аналитики'!BE2643*'01_Вводные'!$B$76</f>
        <v/>
      </c>
      <c r="BF2644">
        <f>'19_Расчет_аналитики'!BF2643*'01_Вводные'!$B$76</f>
        <v/>
      </c>
      <c r="BG2644">
        <f>'19_Расчет_аналитики'!BG2643*'01_Вводные'!$B$76</f>
        <v/>
      </c>
      <c r="BH2644">
        <f>'19_Расчет_аналитики'!BH2643*'01_Вводные'!$B$76</f>
        <v/>
      </c>
      <c r="BI2644">
        <f>'19_Расчет_аналитики'!BI2643*'01_Вводные'!$B$76</f>
        <v/>
      </c>
      <c r="BJ2644">
        <f>'19_Расчет_аналитики'!BJ2643*'01_Вводные'!$B$76</f>
        <v/>
      </c>
      <c r="BK2644">
        <f>'19_Расчет_аналитики'!BK2643*'01_Вводные'!$B$76</f>
        <v/>
      </c>
      <c r="BL2644">
        <f>'19_Расчет_аналитики'!BL2643*'01_Вводные'!$B$76</f>
        <v/>
      </c>
      <c r="BM2644">
        <f>'19_Расчет_аналитики'!BM2643*'01_Вводные'!$B$76</f>
        <v/>
      </c>
      <c r="BN2644">
        <f>'19_Расчет_аналитики'!BN2643*'01_Вводные'!$B$76</f>
        <v/>
      </c>
      <c r="BO2644">
        <f>'19_Расчет_аналитики'!BO2643*'01_Вводные'!$B$76</f>
        <v/>
      </c>
    </row>
    <row r="2645"/>
    <row r="2646"/>
    <row r="2647">
      <c r="C2647">
        <f>'19_Расчет_аналитики'!B2651</f>
        <v/>
      </c>
      <c r="D2647">
        <f>'19_Расчет_аналитики'!C2651</f>
        <v/>
      </c>
      <c r="E2647">
        <f>'19_Расчет_аналитики'!D2651</f>
        <v/>
      </c>
      <c r="F2647">
        <f>'19_Расчет_аналитики'!E2651</f>
        <v/>
      </c>
      <c r="G2647">
        <f>'19_Расчет_аналитики'!F2651</f>
        <v/>
      </c>
      <c r="H2647">
        <f>'19_Расчет_аналитики'!G2651</f>
        <v/>
      </c>
      <c r="I2647">
        <f>'19_Расчет_аналитики'!H2651</f>
        <v/>
      </c>
      <c r="J2647">
        <f>'19_Расчет_аналитики'!I2651</f>
        <v/>
      </c>
      <c r="K2647">
        <f>'19_Расчет_аналитики'!J2651</f>
        <v/>
      </c>
      <c r="L2647">
        <f>'19_Расчет_аналитики'!K2651</f>
        <v/>
      </c>
      <c r="M2647">
        <f>'19_Расчет_аналитики'!L2651</f>
        <v/>
      </c>
      <c r="N2647">
        <f>'19_Расчет_аналитики'!M2651</f>
        <v/>
      </c>
      <c r="O2647">
        <f>'19_Расчет_аналитики'!N2651</f>
        <v/>
      </c>
      <c r="P2647">
        <f>'19_Расчет_аналитики'!O2651</f>
        <v/>
      </c>
      <c r="Q2647">
        <f>'19_Расчет_аналитики'!P2651</f>
        <v/>
      </c>
      <c r="R2647">
        <f>'19_Расчет_аналитики'!Q2651</f>
        <v/>
      </c>
      <c r="S2647">
        <f>'19_Расчет_аналитики'!R2651</f>
        <v/>
      </c>
      <c r="T2647">
        <f>'19_Расчет_аналитики'!S2651</f>
        <v/>
      </c>
      <c r="U2647">
        <f>'19_Расчет_аналитики'!T2651</f>
        <v/>
      </c>
      <c r="V2647">
        <f>'19_Расчет_аналитики'!U2651</f>
        <v/>
      </c>
      <c r="W2647">
        <f>'19_Расчет_аналитики'!V2651</f>
        <v/>
      </c>
      <c r="X2647">
        <f>'19_Расчет_аналитики'!W2651</f>
        <v/>
      </c>
      <c r="Y2647">
        <f>'19_Расчет_аналитики'!X2651</f>
        <v/>
      </c>
      <c r="Z2647">
        <f>'19_Расчет_аналитики'!Y2651</f>
        <v/>
      </c>
      <c r="AA2647">
        <f>'19_Расчет_аналитики'!Z2651</f>
        <v/>
      </c>
      <c r="AB2647">
        <f>'19_Расчет_аналитики'!AA2651</f>
        <v/>
      </c>
      <c r="AC2647">
        <f>'19_Расчет_аналитики'!AB2651</f>
        <v/>
      </c>
      <c r="AD2647">
        <f>'19_Расчет_аналитики'!AC2651</f>
        <v/>
      </c>
      <c r="AE2647">
        <f>'19_Расчет_аналитики'!AD2651</f>
        <v/>
      </c>
      <c r="AF2647">
        <f>'19_Расчет_аналитики'!AE2651</f>
        <v/>
      </c>
      <c r="AG2647">
        <f>'19_Расчет_аналитики'!AF2651</f>
        <v/>
      </c>
      <c r="AH2647">
        <f>'19_Расчет_аналитики'!AG2651</f>
        <v/>
      </c>
      <c r="AI2647">
        <f>'19_Расчет_аналитики'!AH2651</f>
        <v/>
      </c>
      <c r="AJ2647">
        <f>'19_Расчет_аналитики'!AI2651</f>
        <v/>
      </c>
      <c r="AK2647">
        <f>'19_Расчет_аналитики'!AJ2651</f>
        <v/>
      </c>
      <c r="AL2647">
        <f>'19_Расчет_аналитики'!AK2651</f>
        <v/>
      </c>
      <c r="AM2647">
        <f>'19_Расчет_аналитики'!AL2651</f>
        <v/>
      </c>
      <c r="AN2647">
        <f>'19_Расчет_аналитики'!AM2651</f>
        <v/>
      </c>
      <c r="AO2647">
        <f>'19_Расчет_аналитики'!AN2651</f>
        <v/>
      </c>
      <c r="AP2647">
        <f>'19_Расчет_аналитики'!AO2651</f>
        <v/>
      </c>
      <c r="AQ2647">
        <f>'19_Расчет_аналитики'!AP2651</f>
        <v/>
      </c>
      <c r="AR2647">
        <f>'19_Расчет_аналитики'!AQ2651</f>
        <v/>
      </c>
      <c r="AS2647">
        <f>'19_Расчет_аналитики'!AR2651</f>
        <v/>
      </c>
      <c r="AT2647">
        <f>'19_Расчет_аналитики'!AS2651</f>
        <v/>
      </c>
      <c r="AU2647">
        <f>'19_Расчет_аналитики'!AT2651</f>
        <v/>
      </c>
      <c r="AV2647">
        <f>'19_Расчет_аналитики'!AU2651</f>
        <v/>
      </c>
      <c r="AW2647">
        <f>'19_Расчет_аналитики'!AV2651</f>
        <v/>
      </c>
      <c r="AX2647">
        <f>'19_Расчет_аналитики'!AW2651</f>
        <v/>
      </c>
      <c r="AY2647">
        <f>'19_Расчет_аналитики'!AX2651</f>
        <v/>
      </c>
      <c r="AZ2647">
        <f>'19_Расчет_аналитики'!AY2651</f>
        <v/>
      </c>
      <c r="BA2647">
        <f>'19_Расчет_аналитики'!AZ2651</f>
        <v/>
      </c>
      <c r="BB2647">
        <f>'19_Расчет_аналитики'!BA2651</f>
        <v/>
      </c>
      <c r="BC2647">
        <f>'19_Расчет_аналитики'!BB2651</f>
        <v/>
      </c>
      <c r="BD2647">
        <f>'19_Расчет_аналитики'!BC2651</f>
        <v/>
      </c>
      <c r="BE2647">
        <f>'19_Расчет_аналитики'!BD2651</f>
        <v/>
      </c>
      <c r="BF2647">
        <f>'19_Расчет_аналитики'!BE2651</f>
        <v/>
      </c>
      <c r="BG2647">
        <f>'19_Расчет_аналитики'!BF2651</f>
        <v/>
      </c>
      <c r="BH2647">
        <f>'19_Расчет_аналитики'!BG2651</f>
        <v/>
      </c>
      <c r="BI2647">
        <f>'19_Расчет_аналитики'!BH2651</f>
        <v/>
      </c>
      <c r="BJ2647">
        <f>'19_Расчет_аналитики'!BI2651</f>
        <v/>
      </c>
      <c r="BK2647">
        <f>'19_Расчет_аналитики'!BJ2651</f>
        <v/>
      </c>
      <c r="BL2647">
        <f>'19_Расчет_аналитики'!BK2651</f>
        <v/>
      </c>
      <c r="BM2647">
        <f>'19_Расчет_аналитики'!BL2651</f>
        <v/>
      </c>
      <c r="BN2647">
        <f>'19_Расчет_аналитики'!BM2651</f>
        <v/>
      </c>
      <c r="BO2647">
        <f>'19_Расчет_аналитики'!BN2651</f>
        <v/>
      </c>
    </row>
    <row r="2648">
      <c r="B2648">
        <f>'19_Расчет_аналитики'!B2641</f>
        <v/>
      </c>
      <c r="C2648">
        <f>'19_Расчет_аналитики'!C2641</f>
        <v/>
      </c>
      <c r="D2648">
        <f>'19_Расчет_аналитики'!D2641</f>
        <v/>
      </c>
      <c r="E2648">
        <f>'19_Расчет_аналитики'!E2641</f>
        <v/>
      </c>
      <c r="F2648">
        <f>'19_Расчет_аналитики'!F2641</f>
        <v/>
      </c>
      <c r="G2648">
        <f>'19_Расчет_аналитики'!G2641</f>
        <v/>
      </c>
      <c r="H2648">
        <f>'19_Расчет_аналитики'!H2641</f>
        <v/>
      </c>
      <c r="I2648">
        <f>'19_Расчет_аналитики'!I2641</f>
        <v/>
      </c>
      <c r="J2648">
        <f>'19_Расчет_аналитики'!J2641</f>
        <v/>
      </c>
      <c r="K2648">
        <f>'19_Расчет_аналитики'!K2641</f>
        <v/>
      </c>
      <c r="L2648">
        <f>'19_Расчет_аналитики'!L2641</f>
        <v/>
      </c>
      <c r="M2648">
        <f>'19_Расчет_аналитики'!M2641</f>
        <v/>
      </c>
      <c r="N2648">
        <f>'19_Расчет_аналитики'!N2641</f>
        <v/>
      </c>
      <c r="O2648">
        <f>'19_Расчет_аналитики'!O2641</f>
        <v/>
      </c>
      <c r="P2648">
        <f>'19_Расчет_аналитики'!P2641</f>
        <v/>
      </c>
      <c r="Q2648">
        <f>'19_Расчет_аналитики'!Q2641</f>
        <v/>
      </c>
      <c r="R2648">
        <f>'19_Расчет_аналитики'!R2641</f>
        <v/>
      </c>
      <c r="S2648">
        <f>'19_Расчет_аналитики'!S2641</f>
        <v/>
      </c>
      <c r="T2648">
        <f>'19_Расчет_аналитики'!T2641</f>
        <v/>
      </c>
      <c r="U2648">
        <f>'19_Расчет_аналитики'!U2641</f>
        <v/>
      </c>
      <c r="V2648">
        <f>'19_Расчет_аналитики'!V2641</f>
        <v/>
      </c>
      <c r="W2648">
        <f>'19_Расчет_аналитики'!W2641</f>
        <v/>
      </c>
      <c r="X2648">
        <f>'19_Расчет_аналитики'!X2641</f>
        <v/>
      </c>
      <c r="Y2648">
        <f>'19_Расчет_аналитики'!Y2641</f>
        <v/>
      </c>
      <c r="Z2648">
        <f>'19_Расчет_аналитики'!Z2641</f>
        <v/>
      </c>
      <c r="AA2648">
        <f>'19_Расчет_аналитики'!AA2641</f>
        <v/>
      </c>
      <c r="AB2648">
        <f>'19_Расчет_аналитики'!AB2641</f>
        <v/>
      </c>
      <c r="AC2648">
        <f>'19_Расчет_аналитики'!AC2641</f>
        <v/>
      </c>
      <c r="AD2648">
        <f>'19_Расчет_аналитики'!AD2641</f>
        <v/>
      </c>
      <c r="AE2648">
        <f>'19_Расчет_аналитики'!AE2641</f>
        <v/>
      </c>
      <c r="AF2648">
        <f>'19_Расчет_аналитики'!AF2641</f>
        <v/>
      </c>
      <c r="AG2648">
        <f>'19_Расчет_аналитики'!AG2641</f>
        <v/>
      </c>
      <c r="AH2648">
        <f>'19_Расчет_аналитики'!AH2641</f>
        <v/>
      </c>
      <c r="AI2648">
        <f>'19_Расчет_аналитики'!AI2641</f>
        <v/>
      </c>
      <c r="AJ2648">
        <f>'19_Расчет_аналитики'!AJ2641</f>
        <v/>
      </c>
      <c r="AK2648">
        <f>'19_Расчет_аналитики'!AK2641</f>
        <v/>
      </c>
      <c r="AL2648">
        <f>'19_Расчет_аналитики'!AL2641</f>
        <v/>
      </c>
      <c r="AM2648">
        <f>'19_Расчет_аналитики'!AM2641</f>
        <v/>
      </c>
      <c r="AN2648">
        <f>'19_Расчет_аналитики'!AN2641</f>
        <v/>
      </c>
      <c r="AO2648">
        <f>'19_Расчет_аналитики'!AO2641</f>
        <v/>
      </c>
      <c r="AP2648">
        <f>'19_Расчет_аналитики'!AP2641</f>
        <v/>
      </c>
      <c r="AQ2648">
        <f>'19_Расчет_аналитики'!AQ2641</f>
        <v/>
      </c>
      <c r="AR2648">
        <f>'19_Расчет_аналитики'!AR2641</f>
        <v/>
      </c>
      <c r="AS2648">
        <f>'19_Расчет_аналитики'!AS2641</f>
        <v/>
      </c>
      <c r="AT2648">
        <f>'19_Расчет_аналитики'!AT2641</f>
        <v/>
      </c>
      <c r="AU2648">
        <f>'19_Расчет_аналитики'!AU2641</f>
        <v/>
      </c>
      <c r="AV2648">
        <f>'19_Расчет_аналитики'!AV2641</f>
        <v/>
      </c>
      <c r="AW2648">
        <f>'19_Расчет_аналитики'!AW2641</f>
        <v/>
      </c>
      <c r="AX2648">
        <f>'19_Расчет_аналитики'!AX2641</f>
        <v/>
      </c>
      <c r="AY2648">
        <f>'19_Расчет_аналитики'!AY2641</f>
        <v/>
      </c>
      <c r="AZ2648">
        <f>'19_Расчет_аналитики'!AZ2641</f>
        <v/>
      </c>
      <c r="BA2648">
        <f>'19_Расчет_аналитики'!BA2641</f>
        <v/>
      </c>
      <c r="BB2648">
        <f>'19_Расчет_аналитики'!BB2641</f>
        <v/>
      </c>
      <c r="BC2648">
        <f>'19_Расчет_аналитики'!BC2641</f>
        <v/>
      </c>
      <c r="BD2648">
        <f>'19_Расчет_аналитики'!BD2641</f>
        <v/>
      </c>
      <c r="BE2648">
        <f>'19_Расчет_аналитики'!BE2641</f>
        <v/>
      </c>
      <c r="BF2648">
        <f>'19_Расчет_аналитики'!BF2641</f>
        <v/>
      </c>
      <c r="BG2648">
        <f>'19_Расчет_аналитики'!BG2641</f>
        <v/>
      </c>
      <c r="BH2648">
        <f>'19_Расчет_аналитики'!BH2641</f>
        <v/>
      </c>
      <c r="BI2648">
        <f>'19_Расчет_аналитики'!BI2641</f>
        <v/>
      </c>
      <c r="BJ2648">
        <f>'19_Расчет_аналитики'!BJ2641</f>
        <v/>
      </c>
      <c r="BK2648">
        <f>'19_Расчет_аналитики'!BK2641</f>
        <v/>
      </c>
      <c r="BL2648">
        <f>'19_Расчет_аналитики'!BL2641</f>
        <v/>
      </c>
      <c r="BM2648">
        <f>'19_Расчет_аналитики'!BM2641</f>
        <v/>
      </c>
      <c r="BN2648">
        <f>'19_Расчет_аналитики'!BN2641</f>
        <v/>
      </c>
      <c r="BO2648">
        <f>'19_Расчет_аналитики'!BO2641</f>
        <v/>
      </c>
    </row>
    <row r="2649">
      <c r="B2649">
        <f>SUM(IF('01_Вводные'!$B$80&gt;=1,'19_Расчет_аналитики'!C2641,0),IF('01_Вводные'!$B$80&gt;=2,'19_Расчет_аналитики'!D2641,0),IF('01_Вводные'!$B$80&gt;=3,'19_Расчет_аналитики'!E2641,0),IF('01_Вводные'!$B$80&gt;=4,'19_Расчет_аналитики'!F2641,0),IF('01_Вводные'!$B$80&gt;=5,'19_Расчет_аналитики'!G2641,0),IF('01_Вводные'!$B$80&gt;=6,'19_Расчет_аналитики'!H2641,0))</f>
        <v/>
      </c>
      <c r="C2649">
        <f>SUM(IF('01_Вводные'!$B$80&gt;=1,'19_Расчет_аналитики'!D2641,0),IF('01_Вводные'!$B$80&gt;=2,'19_Расчет_аналитики'!E2641,0),IF('01_Вводные'!$B$80&gt;=3,'19_Расчет_аналитики'!F2641,0),IF('01_Вводные'!$B$80&gt;=4,'19_Расчет_аналитики'!G2641,0),IF('01_Вводные'!$B$80&gt;=5,'19_Расчет_аналитики'!H2641,0),IF('01_Вводные'!$B$80&gt;=6,'19_Расчет_аналитики'!I2641,0))</f>
        <v/>
      </c>
      <c r="D2649">
        <f>SUM(IF('01_Вводные'!$B$80&gt;=1,'19_Расчет_аналитики'!E2641,0),IF('01_Вводные'!$B$80&gt;=2,'19_Расчет_аналитики'!F2641,0),IF('01_Вводные'!$B$80&gt;=3,'19_Расчет_аналитики'!G2641,0),IF('01_Вводные'!$B$80&gt;=4,'19_Расчет_аналитики'!H2641,0),IF('01_Вводные'!$B$80&gt;=5,'19_Расчет_аналитики'!I2641,0),IF('01_Вводные'!$B$80&gt;=6,'19_Расчет_аналитики'!J2641,0))</f>
        <v/>
      </c>
      <c r="E2649">
        <f>SUM(IF('01_Вводные'!$B$80&gt;=1,'19_Расчет_аналитики'!F2641,0),IF('01_Вводные'!$B$80&gt;=2,'19_Расчет_аналитики'!G2641,0),IF('01_Вводные'!$B$80&gt;=3,'19_Расчет_аналитики'!H2641,0),IF('01_Вводные'!$B$80&gt;=4,'19_Расчет_аналитики'!I2641,0),IF('01_Вводные'!$B$80&gt;=5,'19_Расчет_аналитики'!J2641,0),IF('01_Вводные'!$B$80&gt;=6,'19_Расчет_аналитики'!K2641,0))</f>
        <v/>
      </c>
      <c r="F2649">
        <f>SUM(IF('01_Вводные'!$B$80&gt;=1,'19_Расчет_аналитики'!G2641,0),IF('01_Вводные'!$B$80&gt;=2,'19_Расчет_аналитики'!H2641,0),IF('01_Вводные'!$B$80&gt;=3,'19_Расчет_аналитики'!I2641,0),IF('01_Вводные'!$B$80&gt;=4,'19_Расчет_аналитики'!J2641,0),IF('01_Вводные'!$B$80&gt;=5,'19_Расчет_аналитики'!K2641,0),IF('01_Вводные'!$B$80&gt;=6,'19_Расчет_аналитики'!L2641,0))</f>
        <v/>
      </c>
      <c r="G2649">
        <f>SUM(IF('01_Вводные'!$B$80&gt;=1,'19_Расчет_аналитики'!H2641,0),IF('01_Вводные'!$B$80&gt;=2,'19_Расчет_аналитики'!I2641,0),IF('01_Вводные'!$B$80&gt;=3,'19_Расчет_аналитики'!J2641,0),IF('01_Вводные'!$B$80&gt;=4,'19_Расчет_аналитики'!K2641,0),IF('01_Вводные'!$B$80&gt;=5,'19_Расчет_аналитики'!L2641,0),IF('01_Вводные'!$B$80&gt;=6,'19_Расчет_аналитики'!M2641,0))</f>
        <v/>
      </c>
      <c r="H2649">
        <f>SUM(IF('01_Вводные'!$B$80&gt;=1,'19_Расчет_аналитики'!I2641,0),IF('01_Вводные'!$B$80&gt;=2,'19_Расчет_аналитики'!J2641,0),IF('01_Вводные'!$B$80&gt;=3,'19_Расчет_аналитики'!K2641,0),IF('01_Вводные'!$B$80&gt;=4,'19_Расчет_аналитики'!L2641,0),IF('01_Вводные'!$B$80&gt;=5,'19_Расчет_аналитики'!M2641,0),IF('01_Вводные'!$B$80&gt;=6,'19_Расчет_аналитики'!N2641,0))</f>
        <v/>
      </c>
      <c r="I2649">
        <f>SUM(IF('01_Вводные'!$B$80&gt;=1,'19_Расчет_аналитики'!J2641,0),IF('01_Вводные'!$B$80&gt;=2,'19_Расчет_аналитики'!K2641,0),IF('01_Вводные'!$B$80&gt;=3,'19_Расчет_аналитики'!L2641,0),IF('01_Вводные'!$B$80&gt;=4,'19_Расчет_аналитики'!M2641,0),IF('01_Вводные'!$B$80&gt;=5,'19_Расчет_аналитики'!N2641,0),IF('01_Вводные'!$B$80&gt;=6,'19_Расчет_аналитики'!O2641,0))</f>
        <v/>
      </c>
      <c r="J2649">
        <f>SUM(IF('01_Вводные'!$B$80&gt;=1,'19_Расчет_аналитики'!K2641,0),IF('01_Вводные'!$B$80&gt;=2,'19_Расчет_аналитики'!L2641,0),IF('01_Вводные'!$B$80&gt;=3,'19_Расчет_аналитики'!M2641,0),IF('01_Вводные'!$B$80&gt;=4,'19_Расчет_аналитики'!N2641,0),IF('01_Вводные'!$B$80&gt;=5,'19_Расчет_аналитики'!O2641,0),IF('01_Вводные'!$B$80&gt;=6,'19_Расчет_аналитики'!P2641,0))</f>
        <v/>
      </c>
      <c r="K2649">
        <f>SUM(IF('01_Вводные'!$B$80&gt;=1,'19_Расчет_аналитики'!L2641,0),IF('01_Вводные'!$B$80&gt;=2,'19_Расчет_аналитики'!M2641,0),IF('01_Вводные'!$B$80&gt;=3,'19_Расчет_аналитики'!N2641,0),IF('01_Вводные'!$B$80&gt;=4,'19_Расчет_аналитики'!O2641,0),IF('01_Вводные'!$B$80&gt;=5,'19_Расчет_аналитики'!P2641,0),IF('01_Вводные'!$B$80&gt;=6,'19_Расчет_аналитики'!Q2641,0))</f>
        <v/>
      </c>
      <c r="L2649">
        <f>SUM(IF('01_Вводные'!$B$80&gt;=1,'19_Расчет_аналитики'!M2641,0),IF('01_Вводные'!$B$80&gt;=2,'19_Расчет_аналитики'!N2641,0),IF('01_Вводные'!$B$80&gt;=3,'19_Расчет_аналитики'!O2641,0),IF('01_Вводные'!$B$80&gt;=4,'19_Расчет_аналитики'!P2641,0),IF('01_Вводные'!$B$80&gt;=5,'19_Расчет_аналитики'!Q2641,0),IF('01_Вводные'!$B$80&gt;=6,'19_Расчет_аналитики'!R2641,0))</f>
        <v/>
      </c>
      <c r="M2649">
        <f>SUM(IF('01_Вводные'!$B$80&gt;=1,'19_Расчет_аналитики'!N2641,0),IF('01_Вводные'!$B$80&gt;=2,'19_Расчет_аналитики'!O2641,0),IF('01_Вводные'!$B$80&gt;=3,'19_Расчет_аналитики'!P2641,0),IF('01_Вводные'!$B$80&gt;=4,'19_Расчет_аналитики'!Q2641,0),IF('01_Вводные'!$B$80&gt;=5,'19_Расчет_аналитики'!R2641,0),IF('01_Вводные'!$B$80&gt;=6,'19_Расчет_аналитики'!S2641,0))</f>
        <v/>
      </c>
      <c r="N2649">
        <f>SUM(IF('01_Вводные'!$B$80&gt;=1,'19_Расчет_аналитики'!O2641,0),IF('01_Вводные'!$B$80&gt;=2,'19_Расчет_аналитики'!P2641,0),IF('01_Вводные'!$B$80&gt;=3,'19_Расчет_аналитики'!Q2641,0),IF('01_Вводные'!$B$80&gt;=4,'19_Расчет_аналитики'!R2641,0),IF('01_Вводные'!$B$80&gt;=5,'19_Расчет_аналитики'!S2641,0),IF('01_Вводные'!$B$80&gt;=6,'19_Расчет_аналитики'!T2641,0))</f>
        <v/>
      </c>
      <c r="O2649">
        <f>SUM(IF('01_Вводные'!$B$80&gt;=1,'19_Расчет_аналитики'!P2641,0),IF('01_Вводные'!$B$80&gt;=2,'19_Расчет_аналитики'!Q2641,0),IF('01_Вводные'!$B$80&gt;=3,'19_Расчет_аналитики'!R2641,0),IF('01_Вводные'!$B$80&gt;=4,'19_Расчет_аналитики'!S2641,0),IF('01_Вводные'!$B$80&gt;=5,'19_Расчет_аналитики'!T2641,0),IF('01_Вводные'!$B$80&gt;=6,'19_Расчет_аналитики'!U2641,0))</f>
        <v/>
      </c>
      <c r="P2649">
        <f>SUM(IF('01_Вводные'!$B$80&gt;=1,'19_Расчет_аналитики'!Q2641,0),IF('01_Вводные'!$B$80&gt;=2,'19_Расчет_аналитики'!R2641,0),IF('01_Вводные'!$B$80&gt;=3,'19_Расчет_аналитики'!S2641,0),IF('01_Вводные'!$B$80&gt;=4,'19_Расчет_аналитики'!T2641,0),IF('01_Вводные'!$B$80&gt;=5,'19_Расчет_аналитики'!U2641,0),IF('01_Вводные'!$B$80&gt;=6,'19_Расчет_аналитики'!V2641,0))</f>
        <v/>
      </c>
      <c r="Q2649">
        <f>SUM(IF('01_Вводные'!$B$80&gt;=1,'19_Расчет_аналитики'!R2641,0),IF('01_Вводные'!$B$80&gt;=2,'19_Расчет_аналитики'!S2641,0),IF('01_Вводные'!$B$80&gt;=3,'19_Расчет_аналитики'!T2641,0),IF('01_Вводные'!$B$80&gt;=4,'19_Расчет_аналитики'!U2641,0),IF('01_Вводные'!$B$80&gt;=5,'19_Расчет_аналитики'!V2641,0),IF('01_Вводные'!$B$80&gt;=6,'19_Расчет_аналитики'!W2641,0))</f>
        <v/>
      </c>
      <c r="R2649">
        <f>SUM(IF('01_Вводные'!$B$80&gt;=1,'19_Расчет_аналитики'!S2641,0),IF('01_Вводные'!$B$80&gt;=2,'19_Расчет_аналитики'!T2641,0),IF('01_Вводные'!$B$80&gt;=3,'19_Расчет_аналитики'!U2641,0),IF('01_Вводные'!$B$80&gt;=4,'19_Расчет_аналитики'!V2641,0),IF('01_Вводные'!$B$80&gt;=5,'19_Расчет_аналитики'!W2641,0),IF('01_Вводные'!$B$80&gt;=6,'19_Расчет_аналитики'!X2641,0))</f>
        <v/>
      </c>
      <c r="S2649">
        <f>SUM(IF('01_Вводные'!$B$80&gt;=1,'19_Расчет_аналитики'!T2641,0),IF('01_Вводные'!$B$80&gt;=2,'19_Расчет_аналитики'!U2641,0),IF('01_Вводные'!$B$80&gt;=3,'19_Расчет_аналитики'!V2641,0),IF('01_Вводные'!$B$80&gt;=4,'19_Расчет_аналитики'!W2641,0),IF('01_Вводные'!$B$80&gt;=5,'19_Расчет_аналитики'!X2641,0),IF('01_Вводные'!$B$80&gt;=6,'19_Расчет_аналитики'!Y2641,0))</f>
        <v/>
      </c>
      <c r="T2649">
        <f>SUM(IF('01_Вводные'!$B$80&gt;=1,'19_Расчет_аналитики'!U2641,0),IF('01_Вводные'!$B$80&gt;=2,'19_Расчет_аналитики'!V2641,0),IF('01_Вводные'!$B$80&gt;=3,'19_Расчет_аналитики'!W2641,0),IF('01_Вводные'!$B$80&gt;=4,'19_Расчет_аналитики'!X2641,0),IF('01_Вводные'!$B$80&gt;=5,'19_Расчет_аналитики'!Y2641,0),IF('01_Вводные'!$B$80&gt;=6,'19_Расчет_аналитики'!Z2641,0))</f>
        <v/>
      </c>
      <c r="U2649">
        <f>SUM(IF('01_Вводные'!$B$80&gt;=1,'19_Расчет_аналитики'!V2641,0),IF('01_Вводные'!$B$80&gt;=2,'19_Расчет_аналитики'!W2641,0),IF('01_Вводные'!$B$80&gt;=3,'19_Расчет_аналитики'!X2641,0),IF('01_Вводные'!$B$80&gt;=4,'19_Расчет_аналитики'!Y2641,0),IF('01_Вводные'!$B$80&gt;=5,'19_Расчет_аналитики'!Z2641,0),IF('01_Вводные'!$B$80&gt;=6,'19_Расчет_аналитики'!AA2641,0))</f>
        <v/>
      </c>
      <c r="V2649">
        <f>SUM(IF('01_Вводные'!$B$80&gt;=1,'19_Расчет_аналитики'!W2641,0),IF('01_Вводные'!$B$80&gt;=2,'19_Расчет_аналитики'!X2641,0),IF('01_Вводные'!$B$80&gt;=3,'19_Расчет_аналитики'!Y2641,0),IF('01_Вводные'!$B$80&gt;=4,'19_Расчет_аналитики'!Z2641,0),IF('01_Вводные'!$B$80&gt;=5,'19_Расчет_аналитики'!AA2641,0),IF('01_Вводные'!$B$80&gt;=6,'19_Расчет_аналитики'!AB2641,0))</f>
        <v/>
      </c>
      <c r="W2649">
        <f>SUM(IF('01_Вводные'!$B$80&gt;=1,'19_Расчет_аналитики'!X2641,0),IF('01_Вводные'!$B$80&gt;=2,'19_Расчет_аналитики'!Y2641,0),IF('01_Вводные'!$B$80&gt;=3,'19_Расчет_аналитики'!Z2641,0),IF('01_Вводные'!$B$80&gt;=4,'19_Расчет_аналитики'!AA2641,0),IF('01_Вводные'!$B$80&gt;=5,'19_Расчет_аналитики'!AB2641,0),IF('01_Вводные'!$B$80&gt;=6,'19_Расчет_аналитики'!AC2641,0))</f>
        <v/>
      </c>
      <c r="X2649">
        <f>SUM(IF('01_Вводные'!$B$80&gt;=1,'19_Расчет_аналитики'!Y2641,0),IF('01_Вводные'!$B$80&gt;=2,'19_Расчет_аналитики'!Z2641,0),IF('01_Вводные'!$B$80&gt;=3,'19_Расчет_аналитики'!AA2641,0),IF('01_Вводные'!$B$80&gt;=4,'19_Расчет_аналитики'!AB2641,0),IF('01_Вводные'!$B$80&gt;=5,'19_Расчет_аналитики'!AC2641,0),IF('01_Вводные'!$B$80&gt;=6,'19_Расчет_аналитики'!AD2641,0))</f>
        <v/>
      </c>
      <c r="Y2649">
        <f>SUM(IF('01_Вводные'!$B$80&gt;=1,'19_Расчет_аналитики'!Z2641,0),IF('01_Вводные'!$B$80&gt;=2,'19_Расчет_аналитики'!AA2641,0),IF('01_Вводные'!$B$80&gt;=3,'19_Расчет_аналитики'!AB2641,0),IF('01_Вводные'!$B$80&gt;=4,'19_Расчет_аналитики'!AC2641,0),IF('01_Вводные'!$B$80&gt;=5,'19_Расчет_аналитики'!AD2641,0),IF('01_Вводные'!$B$80&gt;=6,'19_Расчет_аналитики'!AE2641,0))</f>
        <v/>
      </c>
      <c r="Z2649">
        <f>SUM(IF('01_Вводные'!$B$80&gt;=1,'19_Расчет_аналитики'!AA2641,0),IF('01_Вводные'!$B$80&gt;=2,'19_Расчет_аналитики'!AB2641,0),IF('01_Вводные'!$B$80&gt;=3,'19_Расчет_аналитики'!AC2641,0),IF('01_Вводные'!$B$80&gt;=4,'19_Расчет_аналитики'!AD2641,0),IF('01_Вводные'!$B$80&gt;=5,'19_Расчет_аналитики'!AE2641,0),IF('01_Вводные'!$B$80&gt;=6,'19_Расчет_аналитики'!AF2641,0))</f>
        <v/>
      </c>
      <c r="AA2649">
        <f>SUM(IF('01_Вводные'!$B$80&gt;=1,'19_Расчет_аналитики'!AB2641,0),IF('01_Вводные'!$B$80&gt;=2,'19_Расчет_аналитики'!AC2641,0),IF('01_Вводные'!$B$80&gt;=3,'19_Расчет_аналитики'!AD2641,0),IF('01_Вводные'!$B$80&gt;=4,'19_Расчет_аналитики'!AE2641,0),IF('01_Вводные'!$B$80&gt;=5,'19_Расчет_аналитики'!AF2641,0),IF('01_Вводные'!$B$80&gt;=6,'19_Расчет_аналитики'!AG2641,0))</f>
        <v/>
      </c>
      <c r="AB2649">
        <f>SUM(IF('01_Вводные'!$B$80&gt;=1,'19_Расчет_аналитики'!AC2641,0),IF('01_Вводные'!$B$80&gt;=2,'19_Расчет_аналитики'!AD2641,0),IF('01_Вводные'!$B$80&gt;=3,'19_Расчет_аналитики'!AE2641,0),IF('01_Вводные'!$B$80&gt;=4,'19_Расчет_аналитики'!AF2641,0),IF('01_Вводные'!$B$80&gt;=5,'19_Расчет_аналитики'!AG2641,0),IF('01_Вводные'!$B$80&gt;=6,'19_Расчет_аналитики'!AH2641,0))</f>
        <v/>
      </c>
      <c r="AC2649">
        <f>SUM(IF('01_Вводные'!$B$80&gt;=1,'19_Расчет_аналитики'!AD2641,0),IF('01_Вводные'!$B$80&gt;=2,'19_Расчет_аналитики'!AE2641,0),IF('01_Вводные'!$B$80&gt;=3,'19_Расчет_аналитики'!AF2641,0),IF('01_Вводные'!$B$80&gt;=4,'19_Расчет_аналитики'!AG2641,0),IF('01_Вводные'!$B$80&gt;=5,'19_Расчет_аналитики'!AH2641,0),IF('01_Вводные'!$B$80&gt;=6,'19_Расчет_аналитики'!AI2641,0))</f>
        <v/>
      </c>
      <c r="AD2649">
        <f>SUM(IF('01_Вводные'!$B$80&gt;=1,'19_Расчет_аналитики'!AE2641,0),IF('01_Вводные'!$B$80&gt;=2,'19_Расчет_аналитики'!AF2641,0),IF('01_Вводные'!$B$80&gt;=3,'19_Расчет_аналитики'!AG2641,0),IF('01_Вводные'!$B$80&gt;=4,'19_Расчет_аналитики'!AH2641,0),IF('01_Вводные'!$B$80&gt;=5,'19_Расчет_аналитики'!AI2641,0),IF('01_Вводные'!$B$80&gt;=6,'19_Расчет_аналитики'!AJ2641,0))</f>
        <v/>
      </c>
      <c r="AE2649">
        <f>SUM(IF('01_Вводные'!$B$80&gt;=1,'19_Расчет_аналитики'!AF2641,0),IF('01_Вводные'!$B$80&gt;=2,'19_Расчет_аналитики'!AG2641,0),IF('01_Вводные'!$B$80&gt;=3,'19_Расчет_аналитики'!AH2641,0),IF('01_Вводные'!$B$80&gt;=4,'19_Расчет_аналитики'!AI2641,0),IF('01_Вводные'!$B$80&gt;=5,'19_Расчет_аналитики'!AJ2641,0),IF('01_Вводные'!$B$80&gt;=6,'19_Расчет_аналитики'!AK2641,0))</f>
        <v/>
      </c>
      <c r="AF2649">
        <f>SUM(IF('01_Вводные'!$B$80&gt;=1,'19_Расчет_аналитики'!AG2641,0),IF('01_Вводные'!$B$80&gt;=2,'19_Расчет_аналитики'!AH2641,0),IF('01_Вводные'!$B$80&gt;=3,'19_Расчет_аналитики'!AI2641,0),IF('01_Вводные'!$B$80&gt;=4,'19_Расчет_аналитики'!AJ2641,0),IF('01_Вводные'!$B$80&gt;=5,'19_Расчет_аналитики'!AK2641,0),IF('01_Вводные'!$B$80&gt;=6,'19_Расчет_аналитики'!AL2641,0))</f>
        <v/>
      </c>
      <c r="AG2649">
        <f>SUM(IF('01_Вводные'!$B$80&gt;=1,'19_Расчет_аналитики'!AH2641,0),IF('01_Вводные'!$B$80&gt;=2,'19_Расчет_аналитики'!AI2641,0),IF('01_Вводные'!$B$80&gt;=3,'19_Расчет_аналитики'!AJ2641,0),IF('01_Вводные'!$B$80&gt;=4,'19_Расчет_аналитики'!AK2641,0),IF('01_Вводные'!$B$80&gt;=5,'19_Расчет_аналитики'!AL2641,0),IF('01_Вводные'!$B$80&gt;=6,'19_Расчет_аналитики'!AM2641,0))</f>
        <v/>
      </c>
      <c r="AH2649">
        <f>SUM(IF('01_Вводные'!$B$80&gt;=1,'19_Расчет_аналитики'!AI2641,0),IF('01_Вводные'!$B$80&gt;=2,'19_Расчет_аналитики'!AJ2641,0),IF('01_Вводные'!$B$80&gt;=3,'19_Расчет_аналитики'!AK2641,0),IF('01_Вводные'!$B$80&gt;=4,'19_Расчет_аналитики'!AL2641,0),IF('01_Вводные'!$B$80&gt;=5,'19_Расчет_аналитики'!AM2641,0),IF('01_Вводные'!$B$80&gt;=6,'19_Расчет_аналитики'!AN2641,0))</f>
        <v/>
      </c>
      <c r="AI2649">
        <f>SUM(IF('01_Вводные'!$B$80&gt;=1,'19_Расчет_аналитики'!AJ2641,0),IF('01_Вводные'!$B$80&gt;=2,'19_Расчет_аналитики'!AK2641,0),IF('01_Вводные'!$B$80&gt;=3,'19_Расчет_аналитики'!AL2641,0),IF('01_Вводные'!$B$80&gt;=4,'19_Расчет_аналитики'!AM2641,0),IF('01_Вводные'!$B$80&gt;=5,'19_Расчет_аналитики'!AN2641,0),IF('01_Вводные'!$B$80&gt;=6,'19_Расчет_аналитики'!AO2641,0))</f>
        <v/>
      </c>
      <c r="AJ2649">
        <f>SUM(IF('01_Вводные'!$B$80&gt;=1,'19_Расчет_аналитики'!AK2641,0),IF('01_Вводные'!$B$80&gt;=2,'19_Расчет_аналитики'!AL2641,0),IF('01_Вводные'!$B$80&gt;=3,'19_Расчет_аналитики'!AM2641,0),IF('01_Вводные'!$B$80&gt;=4,'19_Расчет_аналитики'!AN2641,0),IF('01_Вводные'!$B$80&gt;=5,'19_Расчет_аналитики'!AO2641,0),IF('01_Вводные'!$B$80&gt;=6,'19_Расчет_аналитики'!AP2641,0))</f>
        <v/>
      </c>
      <c r="AK2649">
        <f>SUM(IF('01_Вводные'!$B$80&gt;=1,'19_Расчет_аналитики'!AL2641,0),IF('01_Вводные'!$B$80&gt;=2,'19_Расчет_аналитики'!AM2641,0),IF('01_Вводные'!$B$80&gt;=3,'19_Расчет_аналитики'!AN2641,0),IF('01_Вводные'!$B$80&gt;=4,'19_Расчет_аналитики'!AO2641,0),IF('01_Вводные'!$B$80&gt;=5,'19_Расчет_аналитики'!AP2641,0),IF('01_Вводные'!$B$80&gt;=6,'19_Расчет_аналитики'!AQ2641,0))</f>
        <v/>
      </c>
      <c r="AL2649">
        <f>SUM(IF('01_Вводные'!$B$80&gt;=1,'19_Расчет_аналитики'!AM2641,0),IF('01_Вводные'!$B$80&gt;=2,'19_Расчет_аналитики'!AN2641,0),IF('01_Вводные'!$B$80&gt;=3,'19_Расчет_аналитики'!AO2641,0),IF('01_Вводные'!$B$80&gt;=4,'19_Расчет_аналитики'!AP2641,0),IF('01_Вводные'!$B$80&gt;=5,'19_Расчет_аналитики'!AQ2641,0),IF('01_Вводные'!$B$80&gt;=6,'19_Расчет_аналитики'!AR2641,0))</f>
        <v/>
      </c>
      <c r="AM2649">
        <f>SUM(IF('01_Вводные'!$B$80&gt;=1,'19_Расчет_аналитики'!AN2641,0),IF('01_Вводные'!$B$80&gt;=2,'19_Расчет_аналитики'!AO2641,0),IF('01_Вводные'!$B$80&gt;=3,'19_Расчет_аналитики'!AP2641,0),IF('01_Вводные'!$B$80&gt;=4,'19_Расчет_аналитики'!AQ2641,0),IF('01_Вводные'!$B$80&gt;=5,'19_Расчет_аналитики'!AR2641,0),IF('01_Вводные'!$B$80&gt;=6,'19_Расчет_аналитики'!AS2641,0))</f>
        <v/>
      </c>
      <c r="AN2649">
        <f>SUM(IF('01_Вводные'!$B$80&gt;=1,'19_Расчет_аналитики'!AO2641,0),IF('01_Вводные'!$B$80&gt;=2,'19_Расчет_аналитики'!AP2641,0),IF('01_Вводные'!$B$80&gt;=3,'19_Расчет_аналитики'!AQ2641,0),IF('01_Вводные'!$B$80&gt;=4,'19_Расчет_аналитики'!AR2641,0),IF('01_Вводные'!$B$80&gt;=5,'19_Расчет_аналитики'!AS2641,0),IF('01_Вводные'!$B$80&gt;=6,'19_Расчет_аналитики'!AT2641,0))</f>
        <v/>
      </c>
      <c r="AO2649">
        <f>SUM(IF('01_Вводные'!$B$80&gt;=1,'19_Расчет_аналитики'!AP2641,0),IF('01_Вводные'!$B$80&gt;=2,'19_Расчет_аналитики'!AQ2641,0),IF('01_Вводные'!$B$80&gt;=3,'19_Расчет_аналитики'!AR2641,0),IF('01_Вводные'!$B$80&gt;=4,'19_Расчет_аналитики'!AS2641,0),IF('01_Вводные'!$B$80&gt;=5,'19_Расчет_аналитики'!AT2641,0),IF('01_Вводные'!$B$80&gt;=6,'19_Расчет_аналитики'!AU2641,0))</f>
        <v/>
      </c>
      <c r="AP2649">
        <f>SUM(IF('01_Вводные'!$B$80&gt;=1,'19_Расчет_аналитики'!AQ2641,0),IF('01_Вводные'!$B$80&gt;=2,'19_Расчет_аналитики'!AR2641,0),IF('01_Вводные'!$B$80&gt;=3,'19_Расчет_аналитики'!AS2641,0),IF('01_Вводные'!$B$80&gt;=4,'19_Расчет_аналитики'!AT2641,0),IF('01_Вводные'!$B$80&gt;=5,'19_Расчет_аналитики'!AU2641,0),IF('01_Вводные'!$B$80&gt;=6,'19_Расчет_аналитики'!AV2641,0))</f>
        <v/>
      </c>
      <c r="AQ2649">
        <f>SUM(IF('01_Вводные'!$B$80&gt;=1,'19_Расчет_аналитики'!AR2641,0),IF('01_Вводные'!$B$80&gt;=2,'19_Расчет_аналитики'!AS2641,0),IF('01_Вводные'!$B$80&gt;=3,'19_Расчет_аналитики'!AT2641,0),IF('01_Вводные'!$B$80&gt;=4,'19_Расчет_аналитики'!AU2641,0),IF('01_Вводные'!$B$80&gt;=5,'19_Расчет_аналитики'!AV2641,0),IF('01_Вводные'!$B$80&gt;=6,'19_Расчет_аналитики'!AW2641,0))</f>
        <v/>
      </c>
      <c r="AR2649">
        <f>SUM(IF('01_Вводные'!$B$80&gt;=1,'19_Расчет_аналитики'!AS2641,0),IF('01_Вводные'!$B$80&gt;=2,'19_Расчет_аналитики'!AT2641,0),IF('01_Вводные'!$B$80&gt;=3,'19_Расчет_аналитики'!AU2641,0),IF('01_Вводные'!$B$80&gt;=4,'19_Расчет_аналитики'!AV2641,0),IF('01_Вводные'!$B$80&gt;=5,'19_Расчет_аналитики'!AW2641,0),IF('01_Вводные'!$B$80&gt;=6,'19_Расчет_аналитики'!AX2641,0))</f>
        <v/>
      </c>
      <c r="AS2649">
        <f>SUM(IF('01_Вводные'!$B$80&gt;=1,'19_Расчет_аналитики'!AT2641,0),IF('01_Вводные'!$B$80&gt;=2,'19_Расчет_аналитики'!AU2641,0),IF('01_Вводные'!$B$80&gt;=3,'19_Расчет_аналитики'!AV2641,0),IF('01_Вводные'!$B$80&gt;=4,'19_Расчет_аналитики'!AW2641,0),IF('01_Вводные'!$B$80&gt;=5,'19_Расчет_аналитики'!AX2641,0),IF('01_Вводные'!$B$80&gt;=6,'19_Расчет_аналитики'!AY2641,0))</f>
        <v/>
      </c>
      <c r="AT2649">
        <f>SUM(IF('01_Вводные'!$B$80&gt;=1,'19_Расчет_аналитики'!AU2641,0),IF('01_Вводные'!$B$80&gt;=2,'19_Расчет_аналитики'!AV2641,0),IF('01_Вводные'!$B$80&gt;=3,'19_Расчет_аналитики'!AW2641,0),IF('01_Вводные'!$B$80&gt;=4,'19_Расчет_аналитики'!AX2641,0),IF('01_Вводные'!$B$80&gt;=5,'19_Расчет_аналитики'!AY2641,0),IF('01_Вводные'!$B$80&gt;=6,'19_Расчет_аналитики'!AZ2641,0))</f>
        <v/>
      </c>
      <c r="AU2649">
        <f>SUM(IF('01_Вводные'!$B$80&gt;=1,'19_Расчет_аналитики'!AV2641,0),IF('01_Вводные'!$B$80&gt;=2,'19_Расчет_аналитики'!AW2641,0),IF('01_Вводные'!$B$80&gt;=3,'19_Расчет_аналитики'!AX2641,0),IF('01_Вводные'!$B$80&gt;=4,'19_Расчет_аналитики'!AY2641,0),IF('01_Вводные'!$B$80&gt;=5,'19_Расчет_аналитики'!AZ2641,0),IF('01_Вводные'!$B$80&gt;=6,'19_Расчет_аналитики'!BA2641,0))</f>
        <v/>
      </c>
      <c r="AV2649">
        <f>SUM(IF('01_Вводные'!$B$80&gt;=1,'19_Расчет_аналитики'!AW2641,0),IF('01_Вводные'!$B$80&gt;=2,'19_Расчет_аналитики'!AX2641,0),IF('01_Вводные'!$B$80&gt;=3,'19_Расчет_аналитики'!AY2641,0),IF('01_Вводные'!$B$80&gt;=4,'19_Расчет_аналитики'!AZ2641,0),IF('01_Вводные'!$B$80&gt;=5,'19_Расчет_аналитики'!BA2641,0),IF('01_Вводные'!$B$80&gt;=6,'19_Расчет_аналитики'!BB2641,0))</f>
        <v/>
      </c>
      <c r="AW2649">
        <f>SUM(IF('01_Вводные'!$B$80&gt;=1,'19_Расчет_аналитики'!AX2641,0),IF('01_Вводные'!$B$80&gt;=2,'19_Расчет_аналитики'!AY2641,0),IF('01_Вводные'!$B$80&gt;=3,'19_Расчет_аналитики'!AZ2641,0),IF('01_Вводные'!$B$80&gt;=4,'19_Расчет_аналитики'!BA2641,0),IF('01_Вводные'!$B$80&gt;=5,'19_Расчет_аналитики'!BB2641,0),IF('01_Вводные'!$B$80&gt;=6,'19_Расчет_аналитики'!BC2641,0))</f>
        <v/>
      </c>
      <c r="AX2649">
        <f>SUM(IF('01_Вводные'!$B$80&gt;=1,'19_Расчет_аналитики'!AY2641,0),IF('01_Вводные'!$B$80&gt;=2,'19_Расчет_аналитики'!AZ2641,0),IF('01_Вводные'!$B$80&gt;=3,'19_Расчет_аналитики'!BA2641,0),IF('01_Вводные'!$B$80&gt;=4,'19_Расчет_аналитики'!BB2641,0),IF('01_Вводные'!$B$80&gt;=5,'19_Расчет_аналитики'!BC2641,0),IF('01_Вводные'!$B$80&gt;=6,'19_Расчет_аналитики'!BD2641,0))</f>
        <v/>
      </c>
      <c r="AY2649">
        <f>SUM(IF('01_Вводные'!$B$80&gt;=1,'19_Расчет_аналитики'!AZ2641,0),IF('01_Вводные'!$B$80&gt;=2,'19_Расчет_аналитики'!BA2641,0),IF('01_Вводные'!$B$80&gt;=3,'19_Расчет_аналитики'!BB2641,0),IF('01_Вводные'!$B$80&gt;=4,'19_Расчет_аналитики'!BC2641,0),IF('01_Вводные'!$B$80&gt;=5,'19_Расчет_аналитики'!BD2641,0),IF('01_Вводные'!$B$80&gt;=6,'19_Расчет_аналитики'!BE2641,0))</f>
        <v/>
      </c>
      <c r="AZ2649">
        <f>SUM(IF('01_Вводные'!$B$80&gt;=1,'19_Расчет_аналитики'!BA2641,0),IF('01_Вводные'!$B$80&gt;=2,'19_Расчет_аналитики'!BB2641,0),IF('01_Вводные'!$B$80&gt;=3,'19_Расчет_аналитики'!BC2641,0),IF('01_Вводные'!$B$80&gt;=4,'19_Расчет_аналитики'!BD2641,0),IF('01_Вводные'!$B$80&gt;=5,'19_Расчет_аналитики'!BE2641,0),IF('01_Вводные'!$B$80&gt;=6,'19_Расчет_аналитики'!BF2641,0))</f>
        <v/>
      </c>
      <c r="BA2649">
        <f>SUM(IF('01_Вводные'!$B$80&gt;=1,'19_Расчет_аналитики'!BB2641,0),IF('01_Вводные'!$B$80&gt;=2,'19_Расчет_аналитики'!BC2641,0),IF('01_Вводные'!$B$80&gt;=3,'19_Расчет_аналитики'!BD2641,0),IF('01_Вводные'!$B$80&gt;=4,'19_Расчет_аналитики'!BE2641,0),IF('01_Вводные'!$B$80&gt;=5,'19_Расчет_аналитики'!BF2641,0),IF('01_Вводные'!$B$80&gt;=6,'19_Расчет_аналитики'!BG2641,0))</f>
        <v/>
      </c>
      <c r="BB2649">
        <f>SUM(IF('01_Вводные'!$B$80&gt;=1,'19_Расчет_аналитики'!BC2641,0),IF('01_Вводные'!$B$80&gt;=2,'19_Расчет_аналитики'!BD2641,0),IF('01_Вводные'!$B$80&gt;=3,'19_Расчет_аналитики'!BE2641,0),IF('01_Вводные'!$B$80&gt;=4,'19_Расчет_аналитики'!BF2641,0),IF('01_Вводные'!$B$80&gt;=5,'19_Расчет_аналитики'!BG2641,0),IF('01_Вводные'!$B$80&gt;=6,'19_Расчет_аналитики'!BH2641,0))</f>
        <v/>
      </c>
      <c r="BC2649">
        <f>SUM(IF('01_Вводные'!$B$80&gt;=1,'19_Расчет_аналитики'!BD2641,0),IF('01_Вводные'!$B$80&gt;=2,'19_Расчет_аналитики'!BE2641,0),IF('01_Вводные'!$B$80&gt;=3,'19_Расчет_аналитики'!BF2641,0),IF('01_Вводные'!$B$80&gt;=4,'19_Расчет_аналитики'!BG2641,0),IF('01_Вводные'!$B$80&gt;=5,'19_Расчет_аналитики'!BH2641,0),IF('01_Вводные'!$B$80&gt;=6,'19_Расчет_аналитики'!BI2641,0))</f>
        <v/>
      </c>
      <c r="BD2649">
        <f>SUM(IF('01_Вводные'!$B$80&gt;=1,'19_Расчет_аналитики'!BE2641,0),IF('01_Вводные'!$B$80&gt;=2,'19_Расчет_аналитики'!BF2641,0),IF('01_Вводные'!$B$80&gt;=3,'19_Расчет_аналитики'!BG2641,0),IF('01_Вводные'!$B$80&gt;=4,'19_Расчет_аналитики'!BH2641,0),IF('01_Вводные'!$B$80&gt;=5,'19_Расчет_аналитики'!BI2641,0),IF('01_Вводные'!$B$80&gt;=6,'19_Расчет_аналитики'!BJ2641,0))</f>
        <v/>
      </c>
      <c r="BE2649">
        <f>SUM(IF('01_Вводные'!$B$80&gt;=1,'19_Расчет_аналитики'!BF2641,0),IF('01_Вводные'!$B$80&gt;=2,'19_Расчет_аналитики'!BG2641,0),IF('01_Вводные'!$B$80&gt;=3,'19_Расчет_аналитики'!BH2641,0),IF('01_Вводные'!$B$80&gt;=4,'19_Расчет_аналитики'!BI2641,0),IF('01_Вводные'!$B$80&gt;=5,'19_Расчет_аналитики'!BJ2641,0),IF('01_Вводные'!$B$80&gt;=6,'19_Расчет_аналитики'!BK2641,0))</f>
        <v/>
      </c>
      <c r="BF2649">
        <f>SUM(IF('01_Вводные'!$B$80&gt;=1,'19_Расчет_аналитики'!BG2641,0),IF('01_Вводные'!$B$80&gt;=2,'19_Расчет_аналитики'!BH2641,0),IF('01_Вводные'!$B$80&gt;=3,'19_Расчет_аналитики'!BI2641,0),IF('01_Вводные'!$B$80&gt;=4,'19_Расчет_аналитики'!BJ2641,0),IF('01_Вводные'!$B$80&gt;=5,'19_Расчет_аналитики'!BK2641,0),IF('01_Вводные'!$B$80&gt;=6,'19_Расчет_аналитики'!BL2641,0))</f>
        <v/>
      </c>
      <c r="BG2649">
        <f>SUM(IF('01_Вводные'!$B$80&gt;=1,'19_Расчет_аналитики'!BH2641,0),IF('01_Вводные'!$B$80&gt;=2,'19_Расчет_аналитики'!BI2641,0),IF('01_Вводные'!$B$80&gt;=3,'19_Расчет_аналитики'!BJ2641,0),IF('01_Вводные'!$B$80&gt;=4,'19_Расчет_аналитики'!BK2641,0),IF('01_Вводные'!$B$80&gt;=5,'19_Расчет_аналитики'!BL2641,0),IF('01_Вводные'!$B$80&gt;=6,'19_Расчет_аналитики'!BM2641,0))</f>
        <v/>
      </c>
      <c r="BH2649">
        <f>SUM(IF('01_Вводные'!$B$80&gt;=1,'19_Расчет_аналитики'!BI2641,0),IF('01_Вводные'!$B$80&gt;=2,'19_Расчет_аналитики'!BJ2641,0),IF('01_Вводные'!$B$80&gt;=3,'19_Расчет_аналитики'!BK2641,0),IF('01_Вводные'!$B$80&gt;=4,'19_Расчет_аналитики'!BL2641,0),IF('01_Вводные'!$B$80&gt;=5,'19_Расчет_аналитики'!BM2641,0),IF('01_Вводные'!$B$80&gt;=6,'19_Расчет_аналитики'!BN2641,0))</f>
        <v/>
      </c>
      <c r="BI2649">
        <f>SUM(IF('01_Вводные'!$B$80&gt;=1,'19_Расчет_аналитики'!BJ2641,0),IF('01_Вводные'!$B$80&gt;=2,'19_Расчет_аналитики'!BK2641,0),IF('01_Вводные'!$B$80&gt;=3,'19_Расчет_аналитики'!BL2641,0),IF('01_Вводные'!$B$80&gt;=4,'19_Расчет_аналитики'!BM2641,0),IF('01_Вводные'!$B$80&gt;=5,'19_Расчет_аналитики'!BN2641,0),IF('01_Вводные'!$B$80&gt;=6,'19_Расчет_аналитики'!BO2641,0))</f>
        <v/>
      </c>
    </row>
    <row r="2650">
      <c r="B2650">
        <f>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2649-('07_Мерч'!B22-'19_Расчет_аналитики'!B2648)),0)</f>
        <v/>
      </c>
      <c r="C2650">
        <f>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2649-('19_Расчет_аналитики'!C2647-'19_Расчет_аналитики'!C2648)),0)</f>
        <v/>
      </c>
      <c r="D2650">
        <f>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2649-('19_Расчет_аналитики'!D2647-'19_Расчет_аналитики'!D2648)),0)</f>
        <v/>
      </c>
      <c r="E2650">
        <f>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2649-('19_Расчет_аналитики'!E2647-'19_Расчет_аналитики'!E2648)),0)</f>
        <v/>
      </c>
      <c r="F2650">
        <f>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2649-('19_Расчет_аналитики'!F2647-'19_Расчет_аналитики'!F2648)),0)</f>
        <v/>
      </c>
      <c r="G2650">
        <f>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2649-('19_Расчет_аналитики'!G2647-'19_Расчет_аналитики'!G2648)),0)</f>
        <v/>
      </c>
      <c r="H2650">
        <f>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2649-('19_Расчет_аналитики'!H2647-'19_Расчет_аналитики'!H2648)),0)</f>
        <v/>
      </c>
      <c r="I2650">
        <f>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2649-('19_Расчет_аналитики'!I2647-'19_Расчет_аналитики'!I2648)),0)</f>
        <v/>
      </c>
      <c r="J2650">
        <f>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2649-('19_Расчет_аналитики'!J2647-'19_Расчет_аналитики'!J2648)),0)</f>
        <v/>
      </c>
      <c r="K2650">
        <f>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2649-('19_Расчет_аналитики'!K2647-'19_Расчет_аналитики'!K2648)),0)</f>
        <v/>
      </c>
      <c r="L2650">
        <f>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2649-('19_Расчет_аналитики'!L2647-'19_Расчет_аналитики'!L2648)),0)</f>
        <v/>
      </c>
      <c r="M2650">
        <f>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2649-('19_Расчет_аналитики'!M2647-'19_Расчет_аналитики'!M2648)),0)</f>
        <v/>
      </c>
      <c r="N2650">
        <f>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2649-('19_Расчет_аналитики'!N2647-'19_Расчет_аналитики'!N2648)),0)</f>
        <v/>
      </c>
      <c r="O2650">
        <f>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2649-('19_Расчет_аналитики'!O2647-'19_Расчет_аналитики'!O2648)),0)</f>
        <v/>
      </c>
      <c r="P2650">
        <f>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2649-('19_Расчет_аналитики'!P2647-'19_Расчет_аналитики'!P2648)),0)</f>
        <v/>
      </c>
      <c r="Q2650">
        <f>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2649-('19_Расчет_аналитики'!Q2647-'19_Расчет_аналитики'!Q2648)),0)</f>
        <v/>
      </c>
      <c r="R2650">
        <f>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2649-('19_Расчет_аналитики'!R2647-'19_Расчет_аналитики'!R2648)),0)</f>
        <v/>
      </c>
      <c r="S2650">
        <f>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2649-('19_Расчет_аналитики'!S2647-'19_Расчет_аналитики'!S2648)),0)</f>
        <v/>
      </c>
      <c r="T2650">
        <f>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2649-('19_Расчет_аналитики'!T2647-'19_Расчет_аналитики'!T2648)),0)</f>
        <v/>
      </c>
      <c r="U2650">
        <f>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2649-('19_Расчет_аналитики'!U2647-'19_Расчет_аналитики'!U2648)),0)</f>
        <v/>
      </c>
      <c r="V2650">
        <f>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2649-('19_Расчет_аналитики'!V2647-'19_Расчет_аналитики'!V2648)),0)</f>
        <v/>
      </c>
      <c r="W2650">
        <f>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2649-('19_Расчет_аналитики'!W2647-'19_Расчет_аналитики'!W2648)),0)</f>
        <v/>
      </c>
      <c r="X2650">
        <f>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2649-('19_Расчет_аналитики'!X2647-'19_Расчет_аналитики'!X2648)),0)</f>
        <v/>
      </c>
      <c r="Y2650">
        <f>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2649-('19_Расчет_аналитики'!Y2647-'19_Расчет_аналитики'!Y2648)),0)</f>
        <v/>
      </c>
      <c r="Z2650">
        <f>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2649-('19_Расчет_аналитики'!Z2647-'19_Расчет_аналитики'!Z2648)),0)</f>
        <v/>
      </c>
      <c r="AA2650">
        <f>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2649-('19_Расчет_аналитики'!AA2647-'19_Расчет_аналитики'!AA2648)),0)</f>
        <v/>
      </c>
      <c r="AB2650">
        <f>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2649-('19_Расчет_аналитики'!AB2647-'19_Расчет_аналитики'!AB2648)),0)</f>
        <v/>
      </c>
      <c r="AC2650">
        <f>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2649-('19_Расчет_аналитики'!AC2647-'19_Расчет_аналитики'!AC2648)),0)</f>
        <v/>
      </c>
      <c r="AD2650">
        <f>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2649-('19_Расчет_аналитики'!AD2647-'19_Расчет_аналитики'!AD2648)),0)</f>
        <v/>
      </c>
      <c r="AE2650">
        <f>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2649-('19_Расчет_аналитики'!AE2647-'19_Расчет_аналитики'!AE2648)),0)</f>
        <v/>
      </c>
      <c r="AF2650">
        <f>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2649-('19_Расчет_аналитики'!AF2647-'19_Расчет_аналитики'!AF2648)),0)</f>
        <v/>
      </c>
      <c r="AG2650">
        <f>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2649-('19_Расчет_аналитики'!AG2647-'19_Расчет_аналитики'!AG2648)),0)</f>
        <v/>
      </c>
      <c r="AH2650">
        <f>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2649-('19_Расчет_аналитики'!AH2647-'19_Расчет_аналитики'!AH2648)),0)</f>
        <v/>
      </c>
      <c r="AI2650">
        <f>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2649-('19_Расчет_аналитики'!AI2647-'19_Расчет_аналитики'!AI2648)),0)</f>
        <v/>
      </c>
      <c r="AJ2650">
        <f>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2649-('19_Расчет_аналитики'!AJ2647-'19_Расчет_аналитики'!AJ2648)),0)</f>
        <v/>
      </c>
      <c r="AK2650">
        <f>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2649-('19_Расчет_аналитики'!AK2647-'19_Расчет_аналитики'!AK2648)),0)</f>
        <v/>
      </c>
      <c r="AL2650">
        <f>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2649-('19_Расчет_аналитики'!AL2647-'19_Расчет_аналитики'!AL2648)),0)</f>
        <v/>
      </c>
      <c r="AM2650">
        <f>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2649-('19_Расчет_аналитики'!AM2647-'19_Расчет_аналитики'!AM2648)),0)</f>
        <v/>
      </c>
      <c r="AN2650">
        <f>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2649-('19_Расчет_аналитики'!AN2647-'19_Расчет_аналитики'!AN2648)),0)</f>
        <v/>
      </c>
      <c r="AO2650">
        <f>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2649-('19_Расчет_аналитики'!AO2647-'19_Расчет_аналитики'!AO2648)),0)</f>
        <v/>
      </c>
      <c r="AP2650">
        <f>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2649-('19_Расчет_аналитики'!AP2647-'19_Расчет_аналитики'!AP2648)),0)</f>
        <v/>
      </c>
      <c r="AQ2650">
        <f>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2649-('19_Расчет_аналитики'!AQ2647-'19_Расчет_аналитики'!AQ2648)),0)</f>
        <v/>
      </c>
      <c r="AR2650">
        <f>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2649-('19_Расчет_аналитики'!AR2647-'19_Расчет_аналитики'!AR2648)),0)</f>
        <v/>
      </c>
      <c r="AS2650">
        <f>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2649-('19_Расчет_аналитики'!AS2647-'19_Расчет_аналитики'!AS2648)),0)</f>
        <v/>
      </c>
      <c r="AT2650">
        <f>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2649-('19_Расчет_аналитики'!AT2647-'19_Расчет_аналитики'!AT2648)),0)</f>
        <v/>
      </c>
      <c r="AU2650">
        <f>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2649-('19_Расчет_аналитики'!AU2647-'19_Расчет_аналитики'!AU2648)),0)</f>
        <v/>
      </c>
      <c r="AV2650">
        <f>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2649-('19_Расчет_аналитики'!AV2647-'19_Расчет_аналитики'!AV2648)),0)</f>
        <v/>
      </c>
      <c r="AW2650">
        <f>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2649-('19_Расчет_аналитики'!AW2647-'19_Расчет_аналитики'!AW2648)),0)</f>
        <v/>
      </c>
      <c r="AX2650">
        <f>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2649-('19_Расчет_аналитики'!AX2647-'19_Расчет_аналитики'!AX2648)),0)</f>
        <v/>
      </c>
      <c r="AY2650">
        <f>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2649-('19_Расчет_аналитики'!AY2647-'19_Расчет_аналитики'!AY2648)),0)</f>
        <v/>
      </c>
      <c r="AZ2650">
        <f>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2649-('19_Расчет_аналитики'!AZ2647-'19_Расчет_аналитики'!AZ2648)),0)</f>
        <v/>
      </c>
      <c r="BA2650">
        <f>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2649-('19_Расчет_аналитики'!BA2647-'19_Расчет_аналитики'!BA2648)),0)</f>
        <v/>
      </c>
      <c r="BB2650">
        <f>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2649-('19_Расчет_аналитики'!BB2647-'19_Расчет_аналитики'!BB2648)),0)</f>
        <v/>
      </c>
      <c r="BC2650">
        <f>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2649-('19_Расчет_аналитики'!BC2647-'19_Расчет_аналитики'!BC2648)),0)</f>
        <v/>
      </c>
      <c r="BD2650">
        <f>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2649-('19_Расчет_аналитики'!BD2647-'19_Расчет_аналитики'!BD2648)),0)</f>
        <v/>
      </c>
      <c r="BE2650">
        <f>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2649-('19_Расчет_аналитики'!BE2647-'19_Расчет_аналитики'!BE2648)),0)</f>
        <v/>
      </c>
      <c r="BF2650">
        <f>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2649-('19_Расчет_аналитики'!BF2647-'19_Расчет_аналитики'!BF2648)),0)</f>
        <v/>
      </c>
      <c r="BG2650">
        <f>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2649-('19_Расчет_аналитики'!BG2647-'19_Расчет_аналитики'!BG2648)),0)</f>
        <v/>
      </c>
      <c r="BH2650">
        <f>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2649-('19_Расчет_аналитики'!BH2647-'19_Расчет_аналитики'!BH2648)),0)</f>
        <v/>
      </c>
      <c r="BI2650">
        <f>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2649-('19_Расчет_аналитики'!BI2647-'19_Расчет_аналитики'!BI2648)),0)</f>
        <v/>
      </c>
      <c r="BJ2650">
        <f>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2647-'19_Расчет_аналитики'!BJ2648)),0)</f>
        <v/>
      </c>
      <c r="BK2650">
        <f>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2647-'19_Расчет_аналитики'!BK2648)),0)</f>
        <v/>
      </c>
      <c r="BL2650">
        <f>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2647-'19_Расчет_аналитики'!BL2648)),0)</f>
        <v/>
      </c>
      <c r="BM2650">
        <f>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2647-'19_Расчет_аналитики'!BM2648)),0)</f>
        <v/>
      </c>
      <c r="BN2650">
        <f>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2647-'19_Расчет_аналитики'!BN2648)),0)</f>
        <v/>
      </c>
      <c r="BO2650">
        <f>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2647-'19_Расчет_аналитики'!BO2648)),0)</f>
        <v/>
      </c>
    </row>
    <row r="2651">
      <c r="B2651">
        <f>'07_Мерч'!B22+'19_Расчет_аналитики'!B2650-'19_Расчет_аналитики'!B2648</f>
        <v/>
      </c>
      <c r="C2651">
        <f>'19_Расчет_аналитики'!C2647+'19_Расчет_аналитики'!C2650-'19_Расчет_аналитики'!C2648</f>
        <v/>
      </c>
      <c r="D2651">
        <f>'19_Расчет_аналитики'!D2647+'19_Расчет_аналитики'!D2650-'19_Расчет_аналитики'!D2648</f>
        <v/>
      </c>
      <c r="E2651">
        <f>'19_Расчет_аналитики'!E2647+'19_Расчет_аналитики'!E2650-'19_Расчет_аналитики'!E2648</f>
        <v/>
      </c>
      <c r="F2651">
        <f>'19_Расчет_аналитики'!F2647+'19_Расчет_аналитики'!F2650-'19_Расчет_аналитики'!F2648</f>
        <v/>
      </c>
      <c r="G2651">
        <f>'19_Расчет_аналитики'!G2647+'19_Расчет_аналитики'!G2650-'19_Расчет_аналитики'!G2648</f>
        <v/>
      </c>
      <c r="H2651">
        <f>'19_Расчет_аналитики'!H2647+'19_Расчет_аналитики'!H2650-'19_Расчет_аналитики'!H2648</f>
        <v/>
      </c>
      <c r="I2651">
        <f>'19_Расчет_аналитики'!I2647+'19_Расчет_аналитики'!I2650-'19_Расчет_аналитики'!I2648</f>
        <v/>
      </c>
      <c r="J2651">
        <f>'19_Расчет_аналитики'!J2647+'19_Расчет_аналитики'!J2650-'19_Расчет_аналитики'!J2648</f>
        <v/>
      </c>
      <c r="K2651">
        <f>'19_Расчет_аналитики'!K2647+'19_Расчет_аналитики'!K2650-'19_Расчет_аналитики'!K2648</f>
        <v/>
      </c>
      <c r="L2651">
        <f>'19_Расчет_аналитики'!L2647+'19_Расчет_аналитики'!L2650-'19_Расчет_аналитики'!L2648</f>
        <v/>
      </c>
      <c r="M2651">
        <f>'19_Расчет_аналитики'!M2647+'19_Расчет_аналитики'!M2650-'19_Расчет_аналитики'!M2648</f>
        <v/>
      </c>
      <c r="N2651">
        <f>'19_Расчет_аналитики'!N2647+'19_Расчет_аналитики'!N2650-'19_Расчет_аналитики'!N2648</f>
        <v/>
      </c>
      <c r="O2651">
        <f>'19_Расчет_аналитики'!O2647+'19_Расчет_аналитики'!O2650-'19_Расчет_аналитики'!O2648</f>
        <v/>
      </c>
      <c r="P2651">
        <f>'19_Расчет_аналитики'!P2647+'19_Расчет_аналитики'!P2650-'19_Расчет_аналитики'!P2648</f>
        <v/>
      </c>
      <c r="Q2651">
        <f>'19_Расчет_аналитики'!Q2647+'19_Расчет_аналитики'!Q2650-'19_Расчет_аналитики'!Q2648</f>
        <v/>
      </c>
      <c r="R2651">
        <f>'19_Расчет_аналитики'!R2647+'19_Расчет_аналитики'!R2650-'19_Расчет_аналитики'!R2648</f>
        <v/>
      </c>
      <c r="S2651">
        <f>'19_Расчет_аналитики'!S2647+'19_Расчет_аналитики'!S2650-'19_Расчет_аналитики'!S2648</f>
        <v/>
      </c>
      <c r="T2651">
        <f>'19_Расчет_аналитики'!T2647+'19_Расчет_аналитики'!T2650-'19_Расчет_аналитики'!T2648</f>
        <v/>
      </c>
      <c r="U2651">
        <f>'19_Расчет_аналитики'!U2647+'19_Расчет_аналитики'!U2650-'19_Расчет_аналитики'!U2648</f>
        <v/>
      </c>
      <c r="V2651">
        <f>'19_Расчет_аналитики'!V2647+'19_Расчет_аналитики'!V2650-'19_Расчет_аналитики'!V2648</f>
        <v/>
      </c>
      <c r="W2651">
        <f>'19_Расчет_аналитики'!W2647+'19_Расчет_аналитики'!W2650-'19_Расчет_аналитики'!W2648</f>
        <v/>
      </c>
      <c r="X2651">
        <f>'19_Расчет_аналитики'!X2647+'19_Расчет_аналитики'!X2650-'19_Расчет_аналитики'!X2648</f>
        <v/>
      </c>
      <c r="Y2651">
        <f>'19_Расчет_аналитики'!Y2647+'19_Расчет_аналитики'!Y2650-'19_Расчет_аналитики'!Y2648</f>
        <v/>
      </c>
      <c r="Z2651">
        <f>'19_Расчет_аналитики'!Z2647+'19_Расчет_аналитики'!Z2650-'19_Расчет_аналитики'!Z2648</f>
        <v/>
      </c>
      <c r="AA2651">
        <f>'19_Расчет_аналитики'!AA2647+'19_Расчет_аналитики'!AA2650-'19_Расчет_аналитики'!AA2648</f>
        <v/>
      </c>
      <c r="AB2651">
        <f>'19_Расчет_аналитики'!AB2647+'19_Расчет_аналитики'!AB2650-'19_Расчет_аналитики'!AB2648</f>
        <v/>
      </c>
      <c r="AC2651">
        <f>'19_Расчет_аналитики'!AC2647+'19_Расчет_аналитики'!AC2650-'19_Расчет_аналитики'!AC2648</f>
        <v/>
      </c>
      <c r="AD2651">
        <f>'19_Расчет_аналитики'!AD2647+'19_Расчет_аналитики'!AD2650-'19_Расчет_аналитики'!AD2648</f>
        <v/>
      </c>
      <c r="AE2651">
        <f>'19_Расчет_аналитики'!AE2647+'19_Расчет_аналитики'!AE2650-'19_Расчет_аналитики'!AE2648</f>
        <v/>
      </c>
      <c r="AF2651">
        <f>'19_Расчет_аналитики'!AF2647+'19_Расчет_аналитики'!AF2650-'19_Расчет_аналитики'!AF2648</f>
        <v/>
      </c>
      <c r="AG2651">
        <f>'19_Расчет_аналитики'!AG2647+'19_Расчет_аналитики'!AG2650-'19_Расчет_аналитики'!AG2648</f>
        <v/>
      </c>
      <c r="AH2651">
        <f>'19_Расчет_аналитики'!AH2647+'19_Расчет_аналитики'!AH2650-'19_Расчет_аналитики'!AH2648</f>
        <v/>
      </c>
      <c r="AI2651">
        <f>'19_Расчет_аналитики'!AI2647+'19_Расчет_аналитики'!AI2650-'19_Расчет_аналитики'!AI2648</f>
        <v/>
      </c>
      <c r="AJ2651">
        <f>'19_Расчет_аналитики'!AJ2647+'19_Расчет_аналитики'!AJ2650-'19_Расчет_аналитики'!AJ2648</f>
        <v/>
      </c>
      <c r="AK2651">
        <f>'19_Расчет_аналитики'!AK2647+'19_Расчет_аналитики'!AK2650-'19_Расчет_аналитики'!AK2648</f>
        <v/>
      </c>
      <c r="AL2651">
        <f>'19_Расчет_аналитики'!AL2647+'19_Расчет_аналитики'!AL2650-'19_Расчет_аналитики'!AL2648</f>
        <v/>
      </c>
      <c r="AM2651">
        <f>'19_Расчет_аналитики'!AM2647+'19_Расчет_аналитики'!AM2650-'19_Расчет_аналитики'!AM2648</f>
        <v/>
      </c>
      <c r="AN2651">
        <f>'19_Расчет_аналитики'!AN2647+'19_Расчет_аналитики'!AN2650-'19_Расчет_аналитики'!AN2648</f>
        <v/>
      </c>
      <c r="AO2651">
        <f>'19_Расчет_аналитики'!AO2647+'19_Расчет_аналитики'!AO2650-'19_Расчет_аналитики'!AO2648</f>
        <v/>
      </c>
      <c r="AP2651">
        <f>'19_Расчет_аналитики'!AP2647+'19_Расчет_аналитики'!AP2650-'19_Расчет_аналитики'!AP2648</f>
        <v/>
      </c>
      <c r="AQ2651">
        <f>'19_Расчет_аналитики'!AQ2647+'19_Расчет_аналитики'!AQ2650-'19_Расчет_аналитики'!AQ2648</f>
        <v/>
      </c>
      <c r="AR2651">
        <f>'19_Расчет_аналитики'!AR2647+'19_Расчет_аналитики'!AR2650-'19_Расчет_аналитики'!AR2648</f>
        <v/>
      </c>
      <c r="AS2651">
        <f>'19_Расчет_аналитики'!AS2647+'19_Расчет_аналитики'!AS2650-'19_Расчет_аналитики'!AS2648</f>
        <v/>
      </c>
      <c r="AT2651">
        <f>'19_Расчет_аналитики'!AT2647+'19_Расчет_аналитики'!AT2650-'19_Расчет_аналитики'!AT2648</f>
        <v/>
      </c>
      <c r="AU2651">
        <f>'19_Расчет_аналитики'!AU2647+'19_Расчет_аналитики'!AU2650-'19_Расчет_аналитики'!AU2648</f>
        <v/>
      </c>
      <c r="AV2651">
        <f>'19_Расчет_аналитики'!AV2647+'19_Расчет_аналитики'!AV2650-'19_Расчет_аналитики'!AV2648</f>
        <v/>
      </c>
      <c r="AW2651">
        <f>'19_Расчет_аналитики'!AW2647+'19_Расчет_аналитики'!AW2650-'19_Расчет_аналитики'!AW2648</f>
        <v/>
      </c>
      <c r="AX2651">
        <f>'19_Расчет_аналитики'!AX2647+'19_Расчет_аналитики'!AX2650-'19_Расчет_аналитики'!AX2648</f>
        <v/>
      </c>
      <c r="AY2651">
        <f>'19_Расчет_аналитики'!AY2647+'19_Расчет_аналитики'!AY2650-'19_Расчет_аналитики'!AY2648</f>
        <v/>
      </c>
      <c r="AZ2651">
        <f>'19_Расчет_аналитики'!AZ2647+'19_Расчет_аналитики'!AZ2650-'19_Расчет_аналитики'!AZ2648</f>
        <v/>
      </c>
      <c r="BA2651">
        <f>'19_Расчет_аналитики'!BA2647+'19_Расчет_аналитики'!BA2650-'19_Расчет_аналитики'!BA2648</f>
        <v/>
      </c>
      <c r="BB2651">
        <f>'19_Расчет_аналитики'!BB2647+'19_Расчет_аналитики'!BB2650-'19_Расчет_аналитики'!BB2648</f>
        <v/>
      </c>
      <c r="BC2651">
        <f>'19_Расчет_аналитики'!BC2647+'19_Расчет_аналитики'!BC2650-'19_Расчет_аналитики'!BC2648</f>
        <v/>
      </c>
      <c r="BD2651">
        <f>'19_Расчет_аналитики'!BD2647+'19_Расчет_аналитики'!BD2650-'19_Расчет_аналитики'!BD2648</f>
        <v/>
      </c>
      <c r="BE2651">
        <f>'19_Расчет_аналитики'!BE2647+'19_Расчет_аналитики'!BE2650-'19_Расчет_аналитики'!BE2648</f>
        <v/>
      </c>
      <c r="BF2651">
        <f>'19_Расчет_аналитики'!BF2647+'19_Расчет_аналитики'!BF2650-'19_Расчет_аналитики'!BF2648</f>
        <v/>
      </c>
      <c r="BG2651">
        <f>'19_Расчет_аналитики'!BG2647+'19_Расчет_аналитики'!BG2650-'19_Расчет_аналитики'!BG2648</f>
        <v/>
      </c>
      <c r="BH2651">
        <f>'19_Расчет_аналитики'!BH2647+'19_Расчет_аналитики'!BH2650-'19_Расчет_аналитики'!BH2648</f>
        <v/>
      </c>
      <c r="BI2651">
        <f>'19_Расчет_аналитики'!BI2647+'19_Расчет_аналитики'!BI2650-'19_Расчет_аналитики'!BI2648</f>
        <v/>
      </c>
      <c r="BJ2651">
        <f>'19_Расчет_аналитики'!BJ2647+'19_Расчет_аналитики'!BJ2650-'19_Расчет_аналитики'!BJ2648</f>
        <v/>
      </c>
      <c r="BK2651">
        <f>'19_Расчет_аналитики'!BK2647+'19_Расчет_аналитики'!BK2650-'19_Расчет_аналитики'!BK2648</f>
        <v/>
      </c>
      <c r="BL2651">
        <f>'19_Расчет_аналитики'!BL2647+'19_Расчет_аналитики'!BL2650-'19_Расчет_аналитики'!BL2648</f>
        <v/>
      </c>
      <c r="BM2651">
        <f>'19_Расчет_аналитики'!BM2647+'19_Расчет_аналитики'!BM2650-'19_Расчет_аналитики'!BM2648</f>
        <v/>
      </c>
      <c r="BN2651">
        <f>'19_Расчет_аналитики'!BN2647+'19_Расчет_аналитики'!BN2650-'19_Расчет_аналитики'!BN2648</f>
        <v/>
      </c>
      <c r="BO2651">
        <f>'19_Расчет_аналитики'!BO2647+'19_Расчет_аналитики'!BO2650-'19_Расчет_аналитики'!BO2648</f>
        <v/>
      </c>
    </row>
    <row r="2652">
      <c r="B2652">
        <f>MAX(0,-'19_Расчет_аналитики'!B2651)</f>
        <v/>
      </c>
      <c r="C2652">
        <f>MAX(0,-'19_Расчет_аналитики'!C2651)</f>
        <v/>
      </c>
      <c r="D2652">
        <f>MAX(0,-'19_Расчет_аналитики'!D2651)</f>
        <v/>
      </c>
      <c r="E2652">
        <f>MAX(0,-'19_Расчет_аналитики'!E2651)</f>
        <v/>
      </c>
      <c r="F2652">
        <f>MAX(0,-'19_Расчет_аналитики'!F2651)</f>
        <v/>
      </c>
      <c r="G2652">
        <f>MAX(0,-'19_Расчет_аналитики'!G2651)</f>
        <v/>
      </c>
      <c r="H2652">
        <f>MAX(0,-'19_Расчет_аналитики'!H2651)</f>
        <v/>
      </c>
      <c r="I2652">
        <f>MAX(0,-'19_Расчет_аналитики'!I2651)</f>
        <v/>
      </c>
      <c r="J2652">
        <f>MAX(0,-'19_Расчет_аналитики'!J2651)</f>
        <v/>
      </c>
      <c r="K2652">
        <f>MAX(0,-'19_Расчет_аналитики'!K2651)</f>
        <v/>
      </c>
      <c r="L2652">
        <f>MAX(0,-'19_Расчет_аналитики'!L2651)</f>
        <v/>
      </c>
      <c r="M2652">
        <f>MAX(0,-'19_Расчет_аналитики'!M2651)</f>
        <v/>
      </c>
      <c r="N2652">
        <f>MAX(0,-'19_Расчет_аналитики'!N2651)</f>
        <v/>
      </c>
      <c r="O2652">
        <f>MAX(0,-'19_Расчет_аналитики'!O2651)</f>
        <v/>
      </c>
      <c r="P2652">
        <f>MAX(0,-'19_Расчет_аналитики'!P2651)</f>
        <v/>
      </c>
      <c r="Q2652">
        <f>MAX(0,-'19_Расчет_аналитики'!Q2651)</f>
        <v/>
      </c>
      <c r="R2652">
        <f>MAX(0,-'19_Расчет_аналитики'!R2651)</f>
        <v/>
      </c>
      <c r="S2652">
        <f>MAX(0,-'19_Расчет_аналитики'!S2651)</f>
        <v/>
      </c>
      <c r="T2652">
        <f>MAX(0,-'19_Расчет_аналитики'!T2651)</f>
        <v/>
      </c>
      <c r="U2652">
        <f>MAX(0,-'19_Расчет_аналитики'!U2651)</f>
        <v/>
      </c>
      <c r="V2652">
        <f>MAX(0,-'19_Расчет_аналитики'!V2651)</f>
        <v/>
      </c>
      <c r="W2652">
        <f>MAX(0,-'19_Расчет_аналитики'!W2651)</f>
        <v/>
      </c>
      <c r="X2652">
        <f>MAX(0,-'19_Расчет_аналитики'!X2651)</f>
        <v/>
      </c>
      <c r="Y2652">
        <f>MAX(0,-'19_Расчет_аналитики'!Y2651)</f>
        <v/>
      </c>
      <c r="Z2652">
        <f>MAX(0,-'19_Расчет_аналитики'!Z2651)</f>
        <v/>
      </c>
      <c r="AA2652">
        <f>MAX(0,-'19_Расчет_аналитики'!AA2651)</f>
        <v/>
      </c>
      <c r="AB2652">
        <f>MAX(0,-'19_Расчет_аналитики'!AB2651)</f>
        <v/>
      </c>
      <c r="AC2652">
        <f>MAX(0,-'19_Расчет_аналитики'!AC2651)</f>
        <v/>
      </c>
      <c r="AD2652">
        <f>MAX(0,-'19_Расчет_аналитики'!AD2651)</f>
        <v/>
      </c>
      <c r="AE2652">
        <f>MAX(0,-'19_Расчет_аналитики'!AE2651)</f>
        <v/>
      </c>
      <c r="AF2652">
        <f>MAX(0,-'19_Расчет_аналитики'!AF2651)</f>
        <v/>
      </c>
      <c r="AG2652">
        <f>MAX(0,-'19_Расчет_аналитики'!AG2651)</f>
        <v/>
      </c>
      <c r="AH2652">
        <f>MAX(0,-'19_Расчет_аналитики'!AH2651)</f>
        <v/>
      </c>
      <c r="AI2652">
        <f>MAX(0,-'19_Расчет_аналитики'!AI2651)</f>
        <v/>
      </c>
      <c r="AJ2652">
        <f>MAX(0,-'19_Расчет_аналитики'!AJ2651)</f>
        <v/>
      </c>
      <c r="AK2652">
        <f>MAX(0,-'19_Расчет_аналитики'!AK2651)</f>
        <v/>
      </c>
      <c r="AL2652">
        <f>MAX(0,-'19_Расчет_аналитики'!AL2651)</f>
        <v/>
      </c>
      <c r="AM2652">
        <f>MAX(0,-'19_Расчет_аналитики'!AM2651)</f>
        <v/>
      </c>
      <c r="AN2652">
        <f>MAX(0,-'19_Расчет_аналитики'!AN2651)</f>
        <v/>
      </c>
      <c r="AO2652">
        <f>MAX(0,-'19_Расчет_аналитики'!AO2651)</f>
        <v/>
      </c>
      <c r="AP2652">
        <f>MAX(0,-'19_Расчет_аналитики'!AP2651)</f>
        <v/>
      </c>
      <c r="AQ2652">
        <f>MAX(0,-'19_Расчет_аналитики'!AQ2651)</f>
        <v/>
      </c>
      <c r="AR2652">
        <f>MAX(0,-'19_Расчет_аналитики'!AR2651)</f>
        <v/>
      </c>
      <c r="AS2652">
        <f>MAX(0,-'19_Расчет_аналитики'!AS2651)</f>
        <v/>
      </c>
      <c r="AT2652">
        <f>MAX(0,-'19_Расчет_аналитики'!AT2651)</f>
        <v/>
      </c>
      <c r="AU2652">
        <f>MAX(0,-'19_Расчет_аналитики'!AU2651)</f>
        <v/>
      </c>
      <c r="AV2652">
        <f>MAX(0,-'19_Расчет_аналитики'!AV2651)</f>
        <v/>
      </c>
      <c r="AW2652">
        <f>MAX(0,-'19_Расчет_аналитики'!AW2651)</f>
        <v/>
      </c>
      <c r="AX2652">
        <f>MAX(0,-'19_Расчет_аналитики'!AX2651)</f>
        <v/>
      </c>
      <c r="AY2652">
        <f>MAX(0,-'19_Расчет_аналитики'!AY2651)</f>
        <v/>
      </c>
      <c r="AZ2652">
        <f>MAX(0,-'19_Расчет_аналитики'!AZ2651)</f>
        <v/>
      </c>
      <c r="BA2652">
        <f>MAX(0,-'19_Расчет_аналитики'!BA2651)</f>
        <v/>
      </c>
      <c r="BB2652">
        <f>MAX(0,-'19_Расчет_аналитики'!BB2651)</f>
        <v/>
      </c>
      <c r="BC2652">
        <f>MAX(0,-'19_Расчет_аналитики'!BC2651)</f>
        <v/>
      </c>
      <c r="BD2652">
        <f>MAX(0,-'19_Расчет_аналитики'!BD2651)</f>
        <v/>
      </c>
      <c r="BE2652">
        <f>MAX(0,-'19_Расчет_аналитики'!BE2651)</f>
        <v/>
      </c>
      <c r="BF2652">
        <f>MAX(0,-'19_Расчет_аналитики'!BF2651)</f>
        <v/>
      </c>
      <c r="BG2652">
        <f>MAX(0,-'19_Расчет_аналитики'!BG2651)</f>
        <v/>
      </c>
      <c r="BH2652">
        <f>MAX(0,-'19_Расчет_аналитики'!BH2651)</f>
        <v/>
      </c>
      <c r="BI2652">
        <f>MAX(0,-'19_Расчет_аналитики'!BI2651)</f>
        <v/>
      </c>
      <c r="BJ2652">
        <f>MAX(0,-'19_Расчет_аналитики'!BJ2651)</f>
        <v/>
      </c>
      <c r="BK2652">
        <f>MAX(0,-'19_Расчет_аналитики'!BK2651)</f>
        <v/>
      </c>
      <c r="BL2652">
        <f>MAX(0,-'19_Расчет_аналитики'!BL2651)</f>
        <v/>
      </c>
      <c r="BM2652">
        <f>MAX(0,-'19_Расчет_аналитики'!BM2651)</f>
        <v/>
      </c>
      <c r="BN2652">
        <f>MAX(0,-'19_Расчет_аналитики'!BN2651)</f>
        <v/>
      </c>
      <c r="BO2652">
        <f>MAX(0,-'19_Расчет_аналитики'!BO2651)</f>
        <v/>
      </c>
    </row>
    <row r="2653"/>
    <row r="2654">
      <c r="C2654">
        <f>'19_Расчет_аналитики'!B2657</f>
        <v/>
      </c>
      <c r="D2654">
        <f>'19_Расчет_аналитики'!C2657</f>
        <v/>
      </c>
      <c r="E2654">
        <f>'19_Расчет_аналитики'!D2657</f>
        <v/>
      </c>
      <c r="F2654">
        <f>'19_Расчет_аналитики'!E2657</f>
        <v/>
      </c>
      <c r="G2654">
        <f>'19_Расчет_аналитики'!F2657</f>
        <v/>
      </c>
      <c r="H2654">
        <f>'19_Расчет_аналитики'!G2657</f>
        <v/>
      </c>
      <c r="I2654">
        <f>'19_Расчет_аналитики'!H2657</f>
        <v/>
      </c>
      <c r="J2654">
        <f>'19_Расчет_аналитики'!I2657</f>
        <v/>
      </c>
      <c r="K2654">
        <f>'19_Расчет_аналитики'!J2657</f>
        <v/>
      </c>
      <c r="L2654">
        <f>'19_Расчет_аналитики'!K2657</f>
        <v/>
      </c>
      <c r="M2654">
        <f>'19_Расчет_аналитики'!L2657</f>
        <v/>
      </c>
      <c r="N2654">
        <f>'19_Расчет_аналитики'!M2657</f>
        <v/>
      </c>
      <c r="O2654">
        <f>'19_Расчет_аналитики'!N2657</f>
        <v/>
      </c>
      <c r="P2654">
        <f>'19_Расчет_аналитики'!O2657</f>
        <v/>
      </c>
      <c r="Q2654">
        <f>'19_Расчет_аналитики'!P2657</f>
        <v/>
      </c>
      <c r="R2654">
        <f>'19_Расчет_аналитики'!Q2657</f>
        <v/>
      </c>
      <c r="S2654">
        <f>'19_Расчет_аналитики'!R2657</f>
        <v/>
      </c>
      <c r="T2654">
        <f>'19_Расчет_аналитики'!S2657</f>
        <v/>
      </c>
      <c r="U2654">
        <f>'19_Расчет_аналитики'!T2657</f>
        <v/>
      </c>
      <c r="V2654">
        <f>'19_Расчет_аналитики'!U2657</f>
        <v/>
      </c>
      <c r="W2654">
        <f>'19_Расчет_аналитики'!V2657</f>
        <v/>
      </c>
      <c r="X2654">
        <f>'19_Расчет_аналитики'!W2657</f>
        <v/>
      </c>
      <c r="Y2654">
        <f>'19_Расчет_аналитики'!X2657</f>
        <v/>
      </c>
      <c r="Z2654">
        <f>'19_Расчет_аналитики'!Y2657</f>
        <v/>
      </c>
      <c r="AA2654">
        <f>'19_Расчет_аналитики'!Z2657</f>
        <v/>
      </c>
      <c r="AB2654">
        <f>'19_Расчет_аналитики'!AA2657</f>
        <v/>
      </c>
      <c r="AC2654">
        <f>'19_Расчет_аналитики'!AB2657</f>
        <v/>
      </c>
      <c r="AD2654">
        <f>'19_Расчет_аналитики'!AC2657</f>
        <v/>
      </c>
      <c r="AE2654">
        <f>'19_Расчет_аналитики'!AD2657</f>
        <v/>
      </c>
      <c r="AF2654">
        <f>'19_Расчет_аналитики'!AE2657</f>
        <v/>
      </c>
      <c r="AG2654">
        <f>'19_Расчет_аналитики'!AF2657</f>
        <v/>
      </c>
      <c r="AH2654">
        <f>'19_Расчет_аналитики'!AG2657</f>
        <v/>
      </c>
      <c r="AI2654">
        <f>'19_Расчет_аналитики'!AH2657</f>
        <v/>
      </c>
      <c r="AJ2654">
        <f>'19_Расчет_аналитики'!AI2657</f>
        <v/>
      </c>
      <c r="AK2654">
        <f>'19_Расчет_аналитики'!AJ2657</f>
        <v/>
      </c>
      <c r="AL2654">
        <f>'19_Расчет_аналитики'!AK2657</f>
        <v/>
      </c>
      <c r="AM2654">
        <f>'19_Расчет_аналитики'!AL2657</f>
        <v/>
      </c>
      <c r="AN2654">
        <f>'19_Расчет_аналитики'!AM2657</f>
        <v/>
      </c>
      <c r="AO2654">
        <f>'19_Расчет_аналитики'!AN2657</f>
        <v/>
      </c>
      <c r="AP2654">
        <f>'19_Расчет_аналитики'!AO2657</f>
        <v/>
      </c>
      <c r="AQ2654">
        <f>'19_Расчет_аналитики'!AP2657</f>
        <v/>
      </c>
      <c r="AR2654">
        <f>'19_Расчет_аналитики'!AQ2657</f>
        <v/>
      </c>
      <c r="AS2654">
        <f>'19_Расчет_аналитики'!AR2657</f>
        <v/>
      </c>
      <c r="AT2654">
        <f>'19_Расчет_аналитики'!AS2657</f>
        <v/>
      </c>
      <c r="AU2654">
        <f>'19_Расчет_аналитики'!AT2657</f>
        <v/>
      </c>
      <c r="AV2654">
        <f>'19_Расчет_аналитики'!AU2657</f>
        <v/>
      </c>
      <c r="AW2654">
        <f>'19_Расчет_аналитики'!AV2657</f>
        <v/>
      </c>
      <c r="AX2654">
        <f>'19_Расчет_аналитики'!AW2657</f>
        <v/>
      </c>
      <c r="AY2654">
        <f>'19_Расчет_аналитики'!AX2657</f>
        <v/>
      </c>
      <c r="AZ2654">
        <f>'19_Расчет_аналитики'!AY2657</f>
        <v/>
      </c>
      <c r="BA2654">
        <f>'19_Расчет_аналитики'!AZ2657</f>
        <v/>
      </c>
      <c r="BB2654">
        <f>'19_Расчет_аналитики'!BA2657</f>
        <v/>
      </c>
      <c r="BC2654">
        <f>'19_Расчет_аналитики'!BB2657</f>
        <v/>
      </c>
      <c r="BD2654">
        <f>'19_Расчет_аналитики'!BC2657</f>
        <v/>
      </c>
      <c r="BE2654">
        <f>'19_Расчет_аналитики'!BD2657</f>
        <v/>
      </c>
      <c r="BF2654">
        <f>'19_Расчет_аналитики'!BE2657</f>
        <v/>
      </c>
      <c r="BG2654">
        <f>'19_Расчет_аналитики'!BF2657</f>
        <v/>
      </c>
      <c r="BH2654">
        <f>'19_Расчет_аналитики'!BG2657</f>
        <v/>
      </c>
      <c r="BI2654">
        <f>'19_Расчет_аналитики'!BH2657</f>
        <v/>
      </c>
      <c r="BJ2654">
        <f>'19_Расчет_аналитики'!BI2657</f>
        <v/>
      </c>
      <c r="BK2654">
        <f>'19_Расчет_аналитики'!BJ2657</f>
        <v/>
      </c>
      <c r="BL2654">
        <f>'19_Расчет_аналитики'!BK2657</f>
        <v/>
      </c>
      <c r="BM2654">
        <f>'19_Расчет_аналитики'!BL2657</f>
        <v/>
      </c>
      <c r="BN2654">
        <f>'19_Расчет_аналитики'!BM2657</f>
        <v/>
      </c>
      <c r="BO2654">
        <f>'19_Расчет_аналитики'!BN2657</f>
        <v/>
      </c>
    </row>
    <row r="2655">
      <c r="B2655">
        <f>MIN('07_Мерч'!B29,'19_Расчет_аналитики'!B2641*'01_Вводные'!$B$79)</f>
        <v/>
      </c>
      <c r="C2655">
        <f>MIN('19_Расчет_аналитики'!C2654,'19_Расчет_аналитики'!C2641*'01_Вводные'!$B$79)</f>
        <v/>
      </c>
      <c r="D2655">
        <f>MIN('19_Расчет_аналитики'!D2654,'19_Расчет_аналитики'!D2641*'01_Вводные'!$B$79)</f>
        <v/>
      </c>
      <c r="E2655">
        <f>MIN('19_Расчет_аналитики'!E2654,'19_Расчет_аналитики'!E2641*'01_Вводные'!$B$79)</f>
        <v/>
      </c>
      <c r="F2655">
        <f>MIN('19_Расчет_аналитики'!F2654,'19_Расчет_аналитики'!F2641*'01_Вводные'!$B$79)</f>
        <v/>
      </c>
      <c r="G2655">
        <f>MIN('19_Расчет_аналитики'!G2654,'19_Расчет_аналитики'!G2641*'01_Вводные'!$B$79)</f>
        <v/>
      </c>
      <c r="H2655">
        <f>MIN('19_Расчет_аналитики'!H2654,'19_Расчет_аналитики'!H2641*'01_Вводные'!$B$79)</f>
        <v/>
      </c>
      <c r="I2655">
        <f>MIN('19_Расчет_аналитики'!I2654,'19_Расчет_аналитики'!I2641*'01_Вводные'!$B$79)</f>
        <v/>
      </c>
      <c r="J2655">
        <f>MIN('19_Расчет_аналитики'!J2654,'19_Расчет_аналитики'!J2641*'01_Вводные'!$B$79)</f>
        <v/>
      </c>
      <c r="K2655">
        <f>MIN('19_Расчет_аналитики'!K2654,'19_Расчет_аналитики'!K2641*'01_Вводные'!$B$79)</f>
        <v/>
      </c>
      <c r="L2655">
        <f>MIN('19_Расчет_аналитики'!L2654,'19_Расчет_аналитики'!L2641*'01_Вводные'!$B$79)</f>
        <v/>
      </c>
      <c r="M2655">
        <f>MIN('19_Расчет_аналитики'!M2654,'19_Расчет_аналитики'!M2641*'01_Вводные'!$B$79)</f>
        <v/>
      </c>
      <c r="N2655">
        <f>MIN('19_Расчет_аналитики'!N2654,'19_Расчет_аналитики'!N2641*'01_Вводные'!$B$79)</f>
        <v/>
      </c>
      <c r="O2655">
        <f>MIN('19_Расчет_аналитики'!O2654,'19_Расчет_аналитики'!O2641*'01_Вводные'!$B$79)</f>
        <v/>
      </c>
      <c r="P2655">
        <f>MIN('19_Расчет_аналитики'!P2654,'19_Расчет_аналитики'!P2641*'01_Вводные'!$B$79)</f>
        <v/>
      </c>
      <c r="Q2655">
        <f>MIN('19_Расчет_аналитики'!Q2654,'19_Расчет_аналитики'!Q2641*'01_Вводные'!$B$79)</f>
        <v/>
      </c>
      <c r="R2655">
        <f>MIN('19_Расчет_аналитики'!R2654,'19_Расчет_аналитики'!R2641*'01_Вводные'!$B$79)</f>
        <v/>
      </c>
      <c r="S2655">
        <f>MIN('19_Расчет_аналитики'!S2654,'19_Расчет_аналитики'!S2641*'01_Вводные'!$B$79)</f>
        <v/>
      </c>
      <c r="T2655">
        <f>MIN('19_Расчет_аналитики'!T2654,'19_Расчет_аналитики'!T2641*'01_Вводные'!$B$79)</f>
        <v/>
      </c>
      <c r="U2655">
        <f>MIN('19_Расчет_аналитики'!U2654,'19_Расчет_аналитики'!U2641*'01_Вводные'!$B$79)</f>
        <v/>
      </c>
      <c r="V2655">
        <f>MIN('19_Расчет_аналитики'!V2654,'19_Расчет_аналитики'!V2641*'01_Вводные'!$B$79)</f>
        <v/>
      </c>
      <c r="W2655">
        <f>MIN('19_Расчет_аналитики'!W2654,'19_Расчет_аналитики'!W2641*'01_Вводные'!$B$79)</f>
        <v/>
      </c>
      <c r="X2655">
        <f>MIN('19_Расчет_аналитики'!X2654,'19_Расчет_аналитики'!X2641*'01_Вводные'!$B$79)</f>
        <v/>
      </c>
      <c r="Y2655">
        <f>MIN('19_Расчет_аналитики'!Y2654,'19_Расчет_аналитики'!Y2641*'01_Вводные'!$B$79)</f>
        <v/>
      </c>
      <c r="Z2655">
        <f>MIN('19_Расчет_аналитики'!Z2654,'19_Расчет_аналитики'!Z2641*'01_Вводные'!$B$79)</f>
        <v/>
      </c>
      <c r="AA2655">
        <f>MIN('19_Расчет_аналитики'!AA2654,'19_Расчет_аналитики'!AA2641*'01_Вводные'!$B$79)</f>
        <v/>
      </c>
      <c r="AB2655">
        <f>MIN('19_Расчет_аналитики'!AB2654,'19_Расчет_аналитики'!AB2641*'01_Вводные'!$B$79)</f>
        <v/>
      </c>
      <c r="AC2655">
        <f>MIN('19_Расчет_аналитики'!AC2654,'19_Расчет_аналитики'!AC2641*'01_Вводные'!$B$79)</f>
        <v/>
      </c>
      <c r="AD2655">
        <f>MIN('19_Расчет_аналитики'!AD2654,'19_Расчет_аналитики'!AD2641*'01_Вводные'!$B$79)</f>
        <v/>
      </c>
      <c r="AE2655">
        <f>MIN('19_Расчет_аналитики'!AE2654,'19_Расчет_аналитики'!AE2641*'01_Вводные'!$B$79)</f>
        <v/>
      </c>
      <c r="AF2655">
        <f>MIN('19_Расчет_аналитики'!AF2654,'19_Расчет_аналитики'!AF2641*'01_Вводные'!$B$79)</f>
        <v/>
      </c>
      <c r="AG2655">
        <f>MIN('19_Расчет_аналитики'!AG2654,'19_Расчет_аналитики'!AG2641*'01_Вводные'!$B$79)</f>
        <v/>
      </c>
      <c r="AH2655">
        <f>MIN('19_Расчет_аналитики'!AH2654,'19_Расчет_аналитики'!AH2641*'01_Вводные'!$B$79)</f>
        <v/>
      </c>
      <c r="AI2655">
        <f>MIN('19_Расчет_аналитики'!AI2654,'19_Расчет_аналитики'!AI2641*'01_Вводные'!$B$79)</f>
        <v/>
      </c>
      <c r="AJ2655">
        <f>MIN('19_Расчет_аналитики'!AJ2654,'19_Расчет_аналитики'!AJ2641*'01_Вводные'!$B$79)</f>
        <v/>
      </c>
      <c r="AK2655">
        <f>MIN('19_Расчет_аналитики'!AK2654,'19_Расчет_аналитики'!AK2641*'01_Вводные'!$B$79)</f>
        <v/>
      </c>
      <c r="AL2655">
        <f>MIN('19_Расчет_аналитики'!AL2654,'19_Расчет_аналитики'!AL2641*'01_Вводные'!$B$79)</f>
        <v/>
      </c>
      <c r="AM2655">
        <f>MIN('19_Расчет_аналитики'!AM2654,'19_Расчет_аналитики'!AM2641*'01_Вводные'!$B$79)</f>
        <v/>
      </c>
      <c r="AN2655">
        <f>MIN('19_Расчет_аналитики'!AN2654,'19_Расчет_аналитики'!AN2641*'01_Вводные'!$B$79)</f>
        <v/>
      </c>
      <c r="AO2655">
        <f>MIN('19_Расчет_аналитики'!AO2654,'19_Расчет_аналитики'!AO2641*'01_Вводные'!$B$79)</f>
        <v/>
      </c>
      <c r="AP2655">
        <f>MIN('19_Расчет_аналитики'!AP2654,'19_Расчет_аналитики'!AP2641*'01_Вводные'!$B$79)</f>
        <v/>
      </c>
      <c r="AQ2655">
        <f>MIN('19_Расчет_аналитики'!AQ2654,'19_Расчет_аналитики'!AQ2641*'01_Вводные'!$B$79)</f>
        <v/>
      </c>
      <c r="AR2655">
        <f>MIN('19_Расчет_аналитики'!AR2654,'19_Расчет_аналитики'!AR2641*'01_Вводные'!$B$79)</f>
        <v/>
      </c>
      <c r="AS2655">
        <f>MIN('19_Расчет_аналитики'!AS2654,'19_Расчет_аналитики'!AS2641*'01_Вводные'!$B$79)</f>
        <v/>
      </c>
      <c r="AT2655">
        <f>MIN('19_Расчет_аналитики'!AT2654,'19_Расчет_аналитики'!AT2641*'01_Вводные'!$B$79)</f>
        <v/>
      </c>
      <c r="AU2655">
        <f>MIN('19_Расчет_аналитики'!AU2654,'19_Расчет_аналитики'!AU2641*'01_Вводные'!$B$79)</f>
        <v/>
      </c>
      <c r="AV2655">
        <f>MIN('19_Расчет_аналитики'!AV2654,'19_Расчет_аналитики'!AV2641*'01_Вводные'!$B$79)</f>
        <v/>
      </c>
      <c r="AW2655">
        <f>MIN('19_Расчет_аналитики'!AW2654,'19_Расчет_аналитики'!AW2641*'01_Вводные'!$B$79)</f>
        <v/>
      </c>
      <c r="AX2655">
        <f>MIN('19_Расчет_аналитики'!AX2654,'19_Расчет_аналитики'!AX2641*'01_Вводные'!$B$79)</f>
        <v/>
      </c>
      <c r="AY2655">
        <f>MIN('19_Расчет_аналитики'!AY2654,'19_Расчет_аналитики'!AY2641*'01_Вводные'!$B$79)</f>
        <v/>
      </c>
      <c r="AZ2655">
        <f>MIN('19_Расчет_аналитики'!AZ2654,'19_Расчет_аналитики'!AZ2641*'01_Вводные'!$B$79)</f>
        <v/>
      </c>
      <c r="BA2655">
        <f>MIN('19_Расчет_аналитики'!BA2654,'19_Расчет_аналитики'!BA2641*'01_Вводные'!$B$79)</f>
        <v/>
      </c>
      <c r="BB2655">
        <f>MIN('19_Расчет_аналитики'!BB2654,'19_Расчет_аналитики'!BB2641*'01_Вводные'!$B$79)</f>
        <v/>
      </c>
      <c r="BC2655">
        <f>MIN('19_Расчет_аналитики'!BC2654,'19_Расчет_аналитики'!BC2641*'01_Вводные'!$B$79)</f>
        <v/>
      </c>
      <c r="BD2655">
        <f>MIN('19_Расчет_аналитики'!BD2654,'19_Расчет_аналитики'!BD2641*'01_Вводные'!$B$79)</f>
        <v/>
      </c>
      <c r="BE2655">
        <f>MIN('19_Расчет_аналитики'!BE2654,'19_Расчет_аналитики'!BE2641*'01_Вводные'!$B$79)</f>
        <v/>
      </c>
      <c r="BF2655">
        <f>MIN('19_Расчет_аналитики'!BF2654,'19_Расчет_аналитики'!BF2641*'01_Вводные'!$B$79)</f>
        <v/>
      </c>
      <c r="BG2655">
        <f>MIN('19_Расчет_аналитики'!BG2654,'19_Расчет_аналитики'!BG2641*'01_Вводные'!$B$79)</f>
        <v/>
      </c>
      <c r="BH2655">
        <f>MIN('19_Расчет_аналитики'!BH2654,'19_Расчет_аналитики'!BH2641*'01_Вводные'!$B$79)</f>
        <v/>
      </c>
      <c r="BI2655">
        <f>MIN('19_Расчет_аналитики'!BI2654,'19_Расчет_аналитики'!BI2641*'01_Вводные'!$B$79)</f>
        <v/>
      </c>
      <c r="BJ2655">
        <f>MIN('19_Расчет_аналитики'!BJ2654,'19_Расчет_аналитики'!BJ2641*'01_Вводные'!$B$79)</f>
        <v/>
      </c>
      <c r="BK2655">
        <f>MIN('19_Расчет_аналитики'!BK2654,'19_Расчет_аналитики'!BK2641*'01_Вводные'!$B$79)</f>
        <v/>
      </c>
      <c r="BL2655">
        <f>MIN('19_Расчет_аналитики'!BL2654,'19_Расчет_аналитики'!BL2641*'01_Вводные'!$B$79)</f>
        <v/>
      </c>
      <c r="BM2655">
        <f>MIN('19_Расчет_аналитики'!BM2654,'19_Расчет_аналитики'!BM2641*'01_Вводные'!$B$79)</f>
        <v/>
      </c>
      <c r="BN2655">
        <f>MIN('19_Расчет_аналитики'!BN2654,'19_Расчет_аналитики'!BN2641*'01_Вводные'!$B$79)</f>
        <v/>
      </c>
      <c r="BO2655">
        <f>MIN('19_Расчет_аналитики'!BO2654,'19_Расчет_аналитики'!BO2641*'01_Вводные'!$B$79)</f>
        <v/>
      </c>
    </row>
    <row r="2656">
      <c r="B2656">
        <f>IF(OR('01_Вводные'!$B$238="Нет",'19_Расчет_аналитики'!B2651&gt;='19_Расчет_аналитики'!B2363-0.01),MIN('19_Расчет_аналитики'!B2655,MAX(0,'19_Расчет_аналитики'!B2811)),0)</f>
        <v/>
      </c>
      <c r="C2656">
        <f>IF(OR('01_Вводные'!$B$238="Нет",'19_Расчет_аналитики'!C2651&gt;='19_Расчет_аналитики'!C2363-0.01),MIN('19_Расчет_аналитики'!C2655,MAX(0,'19_Расчет_аналитики'!C2811)),0)</f>
        <v/>
      </c>
      <c r="D2656">
        <f>IF(OR('01_Вводные'!$B$238="Нет",'19_Расчет_аналитики'!D2651&gt;='19_Расчет_аналитики'!D2363-0.01),MIN('19_Расчет_аналитики'!D2655,MAX(0,'19_Расчет_аналитики'!D2811)),0)</f>
        <v/>
      </c>
      <c r="E2656">
        <f>IF(OR('01_Вводные'!$B$238="Нет",'19_Расчет_аналитики'!E2651&gt;='19_Расчет_аналитики'!E2363-0.01),MIN('19_Расчет_аналитики'!E2655,MAX(0,'19_Расчет_аналитики'!E2811)),0)</f>
        <v/>
      </c>
      <c r="F2656">
        <f>IF(OR('01_Вводные'!$B$238="Нет",'19_Расчет_аналитики'!F2651&gt;='19_Расчет_аналитики'!F2363-0.01),MIN('19_Расчет_аналитики'!F2655,MAX(0,'19_Расчет_аналитики'!F2811)),0)</f>
        <v/>
      </c>
      <c r="G2656">
        <f>IF(OR('01_Вводные'!$B$238="Нет",'19_Расчет_аналитики'!G2651&gt;='19_Расчет_аналитики'!G2363-0.01),MIN('19_Расчет_аналитики'!G2655,MAX(0,'19_Расчет_аналитики'!G2811)),0)</f>
        <v/>
      </c>
      <c r="H2656">
        <f>IF(OR('01_Вводные'!$B$238="Нет",'19_Расчет_аналитики'!H2651&gt;='19_Расчет_аналитики'!H2363-0.01),MIN('19_Расчет_аналитики'!H2655,MAX(0,'19_Расчет_аналитики'!H2811)),0)</f>
        <v/>
      </c>
      <c r="I2656">
        <f>IF(OR('01_Вводные'!$B$238="Нет",'19_Расчет_аналитики'!I2651&gt;='19_Расчет_аналитики'!I2363-0.01),MIN('19_Расчет_аналитики'!I2655,MAX(0,'19_Расчет_аналитики'!I2811)),0)</f>
        <v/>
      </c>
      <c r="J2656">
        <f>IF(OR('01_Вводные'!$B$238="Нет",'19_Расчет_аналитики'!J2651&gt;='19_Расчет_аналитики'!J2363-0.01),MIN('19_Расчет_аналитики'!J2655,MAX(0,'19_Расчет_аналитики'!J2811)),0)</f>
        <v/>
      </c>
      <c r="K2656">
        <f>IF(OR('01_Вводные'!$B$238="Нет",'19_Расчет_аналитики'!K2651&gt;='19_Расчет_аналитики'!K2363-0.01),MIN('19_Расчет_аналитики'!K2655,MAX(0,'19_Расчет_аналитики'!K2811)),0)</f>
        <v/>
      </c>
      <c r="L2656">
        <f>IF(OR('01_Вводные'!$B$238="Нет",'19_Расчет_аналитики'!L2651&gt;='19_Расчет_аналитики'!L2363-0.01),MIN('19_Расчет_аналитики'!L2655,MAX(0,'19_Расчет_аналитики'!L2811)),0)</f>
        <v/>
      </c>
      <c r="M2656">
        <f>IF(OR('01_Вводные'!$B$238="Нет",'19_Расчет_аналитики'!M2651&gt;='19_Расчет_аналитики'!M2363-0.01),MIN('19_Расчет_аналитики'!M2655,MAX(0,'19_Расчет_аналитики'!M2811)),0)</f>
        <v/>
      </c>
      <c r="N2656">
        <f>IF(OR('01_Вводные'!$B$238="Нет",'19_Расчет_аналитики'!N2651&gt;='19_Расчет_аналитики'!N2363-0.01),MIN('19_Расчет_аналитики'!N2655,MAX(0,'19_Расчет_аналитики'!N2811)),0)</f>
        <v/>
      </c>
      <c r="O2656">
        <f>IF(OR('01_Вводные'!$B$238="Нет",'19_Расчет_аналитики'!O2651&gt;='19_Расчет_аналитики'!O2363-0.01),MIN('19_Расчет_аналитики'!O2655,MAX(0,'19_Расчет_аналитики'!O2811)),0)</f>
        <v/>
      </c>
      <c r="P2656">
        <f>IF(OR('01_Вводные'!$B$238="Нет",'19_Расчет_аналитики'!P2651&gt;='19_Расчет_аналитики'!P2363-0.01),MIN('19_Расчет_аналитики'!P2655,MAX(0,'19_Расчет_аналитики'!P2811)),0)</f>
        <v/>
      </c>
      <c r="Q2656">
        <f>IF(OR('01_Вводные'!$B$238="Нет",'19_Расчет_аналитики'!Q2651&gt;='19_Расчет_аналитики'!Q2363-0.01),MIN('19_Расчет_аналитики'!Q2655,MAX(0,'19_Расчет_аналитики'!Q2811)),0)</f>
        <v/>
      </c>
      <c r="R2656">
        <f>IF(OR('01_Вводные'!$B$238="Нет",'19_Расчет_аналитики'!R2651&gt;='19_Расчет_аналитики'!R2363-0.01),MIN('19_Расчет_аналитики'!R2655,MAX(0,'19_Расчет_аналитики'!R2811)),0)</f>
        <v/>
      </c>
      <c r="S2656">
        <f>IF(OR('01_Вводные'!$B$238="Нет",'19_Расчет_аналитики'!S2651&gt;='19_Расчет_аналитики'!S2363-0.01),MIN('19_Расчет_аналитики'!S2655,MAX(0,'19_Расчет_аналитики'!S2811)),0)</f>
        <v/>
      </c>
      <c r="T2656">
        <f>IF(OR('01_Вводные'!$B$238="Нет",'19_Расчет_аналитики'!T2651&gt;='19_Расчет_аналитики'!T2363-0.01),MIN('19_Расчет_аналитики'!T2655,MAX(0,'19_Расчет_аналитики'!T2811)),0)</f>
        <v/>
      </c>
      <c r="U2656">
        <f>IF(OR('01_Вводные'!$B$238="Нет",'19_Расчет_аналитики'!U2651&gt;='19_Расчет_аналитики'!U2363-0.01),MIN('19_Расчет_аналитики'!U2655,MAX(0,'19_Расчет_аналитики'!U2811)),0)</f>
        <v/>
      </c>
      <c r="V2656">
        <f>IF(OR('01_Вводные'!$B$238="Нет",'19_Расчет_аналитики'!V2651&gt;='19_Расчет_аналитики'!V2363-0.01),MIN('19_Расчет_аналитики'!V2655,MAX(0,'19_Расчет_аналитики'!V2811)),0)</f>
        <v/>
      </c>
      <c r="W2656">
        <f>IF(OR('01_Вводные'!$B$238="Нет",'19_Расчет_аналитики'!W2651&gt;='19_Расчет_аналитики'!W2363-0.01),MIN('19_Расчет_аналитики'!W2655,MAX(0,'19_Расчет_аналитики'!W2811)),0)</f>
        <v/>
      </c>
      <c r="X2656">
        <f>IF(OR('01_Вводные'!$B$238="Нет",'19_Расчет_аналитики'!X2651&gt;='19_Расчет_аналитики'!X2363-0.01),MIN('19_Расчет_аналитики'!X2655,MAX(0,'19_Расчет_аналитики'!X2811)),0)</f>
        <v/>
      </c>
      <c r="Y2656">
        <f>IF(OR('01_Вводные'!$B$238="Нет",'19_Расчет_аналитики'!Y2651&gt;='19_Расчет_аналитики'!Y2363-0.01),MIN('19_Расчет_аналитики'!Y2655,MAX(0,'19_Расчет_аналитики'!Y2811)),0)</f>
        <v/>
      </c>
      <c r="Z2656">
        <f>IF(OR('01_Вводные'!$B$238="Нет",'19_Расчет_аналитики'!Z2651&gt;='19_Расчет_аналитики'!Z2363-0.01),MIN('19_Расчет_аналитики'!Z2655,MAX(0,'19_Расчет_аналитики'!Z2811)),0)</f>
        <v/>
      </c>
      <c r="AA2656">
        <f>IF(OR('01_Вводные'!$B$238="Нет",'19_Расчет_аналитики'!AA2651&gt;='19_Расчет_аналитики'!AA2363-0.01),MIN('19_Расчет_аналитики'!AA2655,MAX(0,'19_Расчет_аналитики'!AA2811)),0)</f>
        <v/>
      </c>
      <c r="AB2656">
        <f>IF(OR('01_Вводные'!$B$238="Нет",'19_Расчет_аналитики'!AB2651&gt;='19_Расчет_аналитики'!AB2363-0.01),MIN('19_Расчет_аналитики'!AB2655,MAX(0,'19_Расчет_аналитики'!AB2811)),0)</f>
        <v/>
      </c>
      <c r="AC2656">
        <f>IF(OR('01_Вводные'!$B$238="Нет",'19_Расчет_аналитики'!AC2651&gt;='19_Расчет_аналитики'!AC2363-0.01),MIN('19_Расчет_аналитики'!AC2655,MAX(0,'19_Расчет_аналитики'!AC2811)),0)</f>
        <v/>
      </c>
      <c r="AD2656">
        <f>IF(OR('01_Вводные'!$B$238="Нет",'19_Расчет_аналитики'!AD2651&gt;='19_Расчет_аналитики'!AD2363-0.01),MIN('19_Расчет_аналитики'!AD2655,MAX(0,'19_Расчет_аналитики'!AD2811)),0)</f>
        <v/>
      </c>
      <c r="AE2656">
        <f>IF(OR('01_Вводные'!$B$238="Нет",'19_Расчет_аналитики'!AE2651&gt;='19_Расчет_аналитики'!AE2363-0.01),MIN('19_Расчет_аналитики'!AE2655,MAX(0,'19_Расчет_аналитики'!AE2811)),0)</f>
        <v/>
      </c>
      <c r="AF2656">
        <f>IF(OR('01_Вводные'!$B$238="Нет",'19_Расчет_аналитики'!AF2651&gt;='19_Расчет_аналитики'!AF2363-0.01),MIN('19_Расчет_аналитики'!AF2655,MAX(0,'19_Расчет_аналитики'!AF2811)),0)</f>
        <v/>
      </c>
      <c r="AG2656">
        <f>IF(OR('01_Вводные'!$B$238="Нет",'19_Расчет_аналитики'!AG2651&gt;='19_Расчет_аналитики'!AG2363-0.01),MIN('19_Расчет_аналитики'!AG2655,MAX(0,'19_Расчет_аналитики'!AG2811)),0)</f>
        <v/>
      </c>
      <c r="AH2656">
        <f>IF(OR('01_Вводные'!$B$238="Нет",'19_Расчет_аналитики'!AH2651&gt;='19_Расчет_аналитики'!AH2363-0.01),MIN('19_Расчет_аналитики'!AH2655,MAX(0,'19_Расчет_аналитики'!AH2811)),0)</f>
        <v/>
      </c>
      <c r="AI2656">
        <f>IF(OR('01_Вводные'!$B$238="Нет",'19_Расчет_аналитики'!AI2651&gt;='19_Расчет_аналитики'!AI2363-0.01),MIN('19_Расчет_аналитики'!AI2655,MAX(0,'19_Расчет_аналитики'!AI2811)),0)</f>
        <v/>
      </c>
      <c r="AJ2656">
        <f>IF(OR('01_Вводные'!$B$238="Нет",'19_Расчет_аналитики'!AJ2651&gt;='19_Расчет_аналитики'!AJ2363-0.01),MIN('19_Расчет_аналитики'!AJ2655,MAX(0,'19_Расчет_аналитики'!AJ2811)),0)</f>
        <v/>
      </c>
      <c r="AK2656">
        <f>IF(OR('01_Вводные'!$B$238="Нет",'19_Расчет_аналитики'!AK2651&gt;='19_Расчет_аналитики'!AK2363-0.01),MIN('19_Расчет_аналитики'!AK2655,MAX(0,'19_Расчет_аналитики'!AK2811)),0)</f>
        <v/>
      </c>
      <c r="AL2656">
        <f>IF(OR('01_Вводные'!$B$238="Нет",'19_Расчет_аналитики'!AL2651&gt;='19_Расчет_аналитики'!AL2363-0.01),MIN('19_Расчет_аналитики'!AL2655,MAX(0,'19_Расчет_аналитики'!AL2811)),0)</f>
        <v/>
      </c>
      <c r="AM2656">
        <f>IF(OR('01_Вводные'!$B$238="Нет",'19_Расчет_аналитики'!AM2651&gt;='19_Расчет_аналитики'!AM2363-0.01),MIN('19_Расчет_аналитики'!AM2655,MAX(0,'19_Расчет_аналитики'!AM2811)),0)</f>
        <v/>
      </c>
      <c r="AN2656">
        <f>IF(OR('01_Вводные'!$B$238="Нет",'19_Расчет_аналитики'!AN2651&gt;='19_Расчет_аналитики'!AN2363-0.01),MIN('19_Расчет_аналитики'!AN2655,MAX(0,'19_Расчет_аналитики'!AN2811)),0)</f>
        <v/>
      </c>
      <c r="AO2656">
        <f>IF(OR('01_Вводные'!$B$238="Нет",'19_Расчет_аналитики'!AO2651&gt;='19_Расчет_аналитики'!AO2363-0.01),MIN('19_Расчет_аналитики'!AO2655,MAX(0,'19_Расчет_аналитики'!AO2811)),0)</f>
        <v/>
      </c>
      <c r="AP2656">
        <f>IF(OR('01_Вводные'!$B$238="Нет",'19_Расчет_аналитики'!AP2651&gt;='19_Расчет_аналитики'!AP2363-0.01),MIN('19_Расчет_аналитики'!AP2655,MAX(0,'19_Расчет_аналитики'!AP2811)),0)</f>
        <v/>
      </c>
      <c r="AQ2656">
        <f>IF(OR('01_Вводные'!$B$238="Нет",'19_Расчет_аналитики'!AQ2651&gt;='19_Расчет_аналитики'!AQ2363-0.01),MIN('19_Расчет_аналитики'!AQ2655,MAX(0,'19_Расчет_аналитики'!AQ2811)),0)</f>
        <v/>
      </c>
      <c r="AR2656">
        <f>IF(OR('01_Вводные'!$B$238="Нет",'19_Расчет_аналитики'!AR2651&gt;='19_Расчет_аналитики'!AR2363-0.01),MIN('19_Расчет_аналитики'!AR2655,MAX(0,'19_Расчет_аналитики'!AR2811)),0)</f>
        <v/>
      </c>
      <c r="AS2656">
        <f>IF(OR('01_Вводные'!$B$238="Нет",'19_Расчет_аналитики'!AS2651&gt;='19_Расчет_аналитики'!AS2363-0.01),MIN('19_Расчет_аналитики'!AS2655,MAX(0,'19_Расчет_аналитики'!AS2811)),0)</f>
        <v/>
      </c>
      <c r="AT2656">
        <f>IF(OR('01_Вводные'!$B$238="Нет",'19_Расчет_аналитики'!AT2651&gt;='19_Расчет_аналитики'!AT2363-0.01),MIN('19_Расчет_аналитики'!AT2655,MAX(0,'19_Расчет_аналитики'!AT2811)),0)</f>
        <v/>
      </c>
      <c r="AU2656">
        <f>IF(OR('01_Вводные'!$B$238="Нет",'19_Расчет_аналитики'!AU2651&gt;='19_Расчет_аналитики'!AU2363-0.01),MIN('19_Расчет_аналитики'!AU2655,MAX(0,'19_Расчет_аналитики'!AU2811)),0)</f>
        <v/>
      </c>
      <c r="AV2656">
        <f>IF(OR('01_Вводные'!$B$238="Нет",'19_Расчет_аналитики'!AV2651&gt;='19_Расчет_аналитики'!AV2363-0.01),MIN('19_Расчет_аналитики'!AV2655,MAX(0,'19_Расчет_аналитики'!AV2811)),0)</f>
        <v/>
      </c>
      <c r="AW2656">
        <f>IF(OR('01_Вводные'!$B$238="Нет",'19_Расчет_аналитики'!AW2651&gt;='19_Расчет_аналитики'!AW2363-0.01),MIN('19_Расчет_аналитики'!AW2655,MAX(0,'19_Расчет_аналитики'!AW2811)),0)</f>
        <v/>
      </c>
      <c r="AX2656">
        <f>IF(OR('01_Вводные'!$B$238="Нет",'19_Расчет_аналитики'!AX2651&gt;='19_Расчет_аналитики'!AX2363-0.01),MIN('19_Расчет_аналитики'!AX2655,MAX(0,'19_Расчет_аналитики'!AX2811)),0)</f>
        <v/>
      </c>
      <c r="AY2656">
        <f>IF(OR('01_Вводные'!$B$238="Нет",'19_Расчет_аналитики'!AY2651&gt;='19_Расчет_аналитики'!AY2363-0.01),MIN('19_Расчет_аналитики'!AY2655,MAX(0,'19_Расчет_аналитики'!AY2811)),0)</f>
        <v/>
      </c>
      <c r="AZ2656">
        <f>IF(OR('01_Вводные'!$B$238="Нет",'19_Расчет_аналитики'!AZ2651&gt;='19_Расчет_аналитики'!AZ2363-0.01),MIN('19_Расчет_аналитики'!AZ2655,MAX(0,'19_Расчет_аналитики'!AZ2811)),0)</f>
        <v/>
      </c>
      <c r="BA2656">
        <f>IF(OR('01_Вводные'!$B$238="Нет",'19_Расчет_аналитики'!BA2651&gt;='19_Расчет_аналитики'!BA2363-0.01),MIN('19_Расчет_аналитики'!BA2655,MAX(0,'19_Расчет_аналитики'!BA2811)),0)</f>
        <v/>
      </c>
      <c r="BB2656">
        <f>IF(OR('01_Вводные'!$B$238="Нет",'19_Расчет_аналитики'!BB2651&gt;='19_Расчет_аналитики'!BB2363-0.01),MIN('19_Расчет_аналитики'!BB2655,MAX(0,'19_Расчет_аналитики'!BB2811)),0)</f>
        <v/>
      </c>
      <c r="BC2656">
        <f>IF(OR('01_Вводные'!$B$238="Нет",'19_Расчет_аналитики'!BC2651&gt;='19_Расчет_аналитики'!BC2363-0.01),MIN('19_Расчет_аналитики'!BC2655,MAX(0,'19_Расчет_аналитики'!BC2811)),0)</f>
        <v/>
      </c>
      <c r="BD2656">
        <f>IF(OR('01_Вводные'!$B$238="Нет",'19_Расчет_аналитики'!BD2651&gt;='19_Расчет_аналитики'!BD2363-0.01),MIN('19_Расчет_аналитики'!BD2655,MAX(0,'19_Расчет_аналитики'!BD2811)),0)</f>
        <v/>
      </c>
      <c r="BE2656">
        <f>IF(OR('01_Вводные'!$B$238="Нет",'19_Расчет_аналитики'!BE2651&gt;='19_Расчет_аналитики'!BE2363-0.01),MIN('19_Расчет_аналитики'!BE2655,MAX(0,'19_Расчет_аналитики'!BE2811)),0)</f>
        <v/>
      </c>
      <c r="BF2656">
        <f>IF(OR('01_Вводные'!$B$238="Нет",'19_Расчет_аналитики'!BF2651&gt;='19_Расчет_аналитики'!BF2363-0.01),MIN('19_Расчет_аналитики'!BF2655,MAX(0,'19_Расчет_аналитики'!BF2811)),0)</f>
        <v/>
      </c>
      <c r="BG2656">
        <f>IF(OR('01_Вводные'!$B$238="Нет",'19_Расчет_аналитики'!BG2651&gt;='19_Расчет_аналитики'!BG2363-0.01),MIN('19_Расчет_аналитики'!BG2655,MAX(0,'19_Расчет_аналитики'!BG2811)),0)</f>
        <v/>
      </c>
      <c r="BH2656">
        <f>IF(OR('01_Вводные'!$B$238="Нет",'19_Расчет_аналитики'!BH2651&gt;='19_Расчет_аналитики'!BH2363-0.01),MIN('19_Расчет_аналитики'!BH2655,MAX(0,'19_Расчет_аналитики'!BH2811)),0)</f>
        <v/>
      </c>
      <c r="BI2656">
        <f>IF(OR('01_Вводные'!$B$238="Нет",'19_Расчет_аналитики'!BI2651&gt;='19_Расчет_аналитики'!BI2363-0.01),MIN('19_Расчет_аналитики'!BI2655,MAX(0,'19_Расчет_аналитики'!BI2811)),0)</f>
        <v/>
      </c>
    </row>
    <row r="2657">
      <c r="B2657">
        <f>MAX(0,'07_Мерч'!B29-'19_Расчет_аналитики'!B2656)</f>
        <v/>
      </c>
      <c r="C2657">
        <f>MAX(0,'19_Расчет_аналитики'!C2654-'19_Расчет_аналитики'!C2656)</f>
        <v/>
      </c>
      <c r="D2657">
        <f>MAX(0,'19_Расчет_аналитики'!D2654-'19_Расчет_аналитики'!D2656)</f>
        <v/>
      </c>
      <c r="E2657">
        <f>MAX(0,'19_Расчет_аналитики'!E2654-'19_Расчет_аналитики'!E2656)</f>
        <v/>
      </c>
      <c r="F2657">
        <f>MAX(0,'19_Расчет_аналитики'!F2654-'19_Расчет_аналитики'!F2656)</f>
        <v/>
      </c>
      <c r="G2657">
        <f>MAX(0,'19_Расчет_аналитики'!G2654-'19_Расчет_аналитики'!G2656)</f>
        <v/>
      </c>
      <c r="H2657">
        <f>MAX(0,'19_Расчет_аналитики'!H2654-'19_Расчет_аналитики'!H2656)</f>
        <v/>
      </c>
      <c r="I2657">
        <f>MAX(0,'19_Расчет_аналитики'!I2654-'19_Расчет_аналитики'!I2656)</f>
        <v/>
      </c>
      <c r="J2657">
        <f>MAX(0,'19_Расчет_аналитики'!J2654-'19_Расчет_аналитики'!J2656)</f>
        <v/>
      </c>
      <c r="K2657">
        <f>MAX(0,'19_Расчет_аналитики'!K2654-'19_Расчет_аналитики'!K2656)</f>
        <v/>
      </c>
      <c r="L2657">
        <f>MAX(0,'19_Расчет_аналитики'!L2654-'19_Расчет_аналитики'!L2656)</f>
        <v/>
      </c>
      <c r="M2657">
        <f>MAX(0,'19_Расчет_аналитики'!M2654-'19_Расчет_аналитики'!M2656)</f>
        <v/>
      </c>
      <c r="N2657">
        <f>MAX(0,'19_Расчет_аналитики'!N2654-'19_Расчет_аналитики'!N2656)</f>
        <v/>
      </c>
      <c r="O2657">
        <f>MAX(0,'19_Расчет_аналитики'!O2654-'19_Расчет_аналитики'!O2656)</f>
        <v/>
      </c>
      <c r="P2657">
        <f>MAX(0,'19_Расчет_аналитики'!P2654-'19_Расчет_аналитики'!P2656)</f>
        <v/>
      </c>
      <c r="Q2657">
        <f>MAX(0,'19_Расчет_аналитики'!Q2654-'19_Расчет_аналитики'!Q2656)</f>
        <v/>
      </c>
      <c r="R2657">
        <f>MAX(0,'19_Расчет_аналитики'!R2654-'19_Расчет_аналитики'!R2656)</f>
        <v/>
      </c>
      <c r="S2657">
        <f>MAX(0,'19_Расчет_аналитики'!S2654-'19_Расчет_аналитики'!S2656)</f>
        <v/>
      </c>
      <c r="T2657">
        <f>MAX(0,'19_Расчет_аналитики'!T2654-'19_Расчет_аналитики'!T2656)</f>
        <v/>
      </c>
      <c r="U2657">
        <f>MAX(0,'19_Расчет_аналитики'!U2654-'19_Расчет_аналитики'!U2656)</f>
        <v/>
      </c>
      <c r="V2657">
        <f>MAX(0,'19_Расчет_аналитики'!V2654-'19_Расчет_аналитики'!V2656)</f>
        <v/>
      </c>
      <c r="W2657">
        <f>MAX(0,'19_Расчет_аналитики'!W2654-'19_Расчет_аналитики'!W2656)</f>
        <v/>
      </c>
      <c r="X2657">
        <f>MAX(0,'19_Расчет_аналитики'!X2654-'19_Расчет_аналитики'!X2656)</f>
        <v/>
      </c>
      <c r="Y2657">
        <f>MAX(0,'19_Расчет_аналитики'!Y2654-'19_Расчет_аналитики'!Y2656)</f>
        <v/>
      </c>
      <c r="Z2657">
        <f>MAX(0,'19_Расчет_аналитики'!Z2654-'19_Расчет_аналитики'!Z2656)</f>
        <v/>
      </c>
      <c r="AA2657">
        <f>MAX(0,'19_Расчет_аналитики'!AA2654-'19_Расчет_аналитики'!AA2656)</f>
        <v/>
      </c>
      <c r="AB2657">
        <f>MAX(0,'19_Расчет_аналитики'!AB2654-'19_Расчет_аналитики'!AB2656)</f>
        <v/>
      </c>
      <c r="AC2657">
        <f>MAX(0,'19_Расчет_аналитики'!AC2654-'19_Расчет_аналитики'!AC2656)</f>
        <v/>
      </c>
      <c r="AD2657">
        <f>MAX(0,'19_Расчет_аналитики'!AD2654-'19_Расчет_аналитики'!AD2656)</f>
        <v/>
      </c>
      <c r="AE2657">
        <f>MAX(0,'19_Расчет_аналитики'!AE2654-'19_Расчет_аналитики'!AE2656)</f>
        <v/>
      </c>
      <c r="AF2657">
        <f>MAX(0,'19_Расчет_аналитики'!AF2654-'19_Расчет_аналитики'!AF2656)</f>
        <v/>
      </c>
      <c r="AG2657">
        <f>MAX(0,'19_Расчет_аналитики'!AG2654-'19_Расчет_аналитики'!AG2656)</f>
        <v/>
      </c>
      <c r="AH2657">
        <f>MAX(0,'19_Расчет_аналитики'!AH2654-'19_Расчет_аналитики'!AH2656)</f>
        <v/>
      </c>
      <c r="AI2657">
        <f>MAX(0,'19_Расчет_аналитики'!AI2654-'19_Расчет_аналитики'!AI2656)</f>
        <v/>
      </c>
      <c r="AJ2657">
        <f>MAX(0,'19_Расчет_аналитики'!AJ2654-'19_Расчет_аналитики'!AJ2656)</f>
        <v/>
      </c>
      <c r="AK2657">
        <f>MAX(0,'19_Расчет_аналитики'!AK2654-'19_Расчет_аналитики'!AK2656)</f>
        <v/>
      </c>
      <c r="AL2657">
        <f>MAX(0,'19_Расчет_аналитики'!AL2654-'19_Расчет_аналитики'!AL2656)</f>
        <v/>
      </c>
      <c r="AM2657">
        <f>MAX(0,'19_Расчет_аналитики'!AM2654-'19_Расчет_аналитики'!AM2656)</f>
        <v/>
      </c>
      <c r="AN2657">
        <f>MAX(0,'19_Расчет_аналитики'!AN2654-'19_Расчет_аналитики'!AN2656)</f>
        <v/>
      </c>
      <c r="AO2657">
        <f>MAX(0,'19_Расчет_аналитики'!AO2654-'19_Расчет_аналитики'!AO2656)</f>
        <v/>
      </c>
      <c r="AP2657">
        <f>MAX(0,'19_Расчет_аналитики'!AP2654-'19_Расчет_аналитики'!AP2656)</f>
        <v/>
      </c>
      <c r="AQ2657">
        <f>MAX(0,'19_Расчет_аналитики'!AQ2654-'19_Расчет_аналитики'!AQ2656)</f>
        <v/>
      </c>
      <c r="AR2657">
        <f>MAX(0,'19_Расчет_аналитики'!AR2654-'19_Расчет_аналитики'!AR2656)</f>
        <v/>
      </c>
      <c r="AS2657">
        <f>MAX(0,'19_Расчет_аналитики'!AS2654-'19_Расчет_аналитики'!AS2656)</f>
        <v/>
      </c>
      <c r="AT2657">
        <f>MAX(0,'19_Расчет_аналитики'!AT2654-'19_Расчет_аналитики'!AT2656)</f>
        <v/>
      </c>
      <c r="AU2657">
        <f>MAX(0,'19_Расчет_аналитики'!AU2654-'19_Расчет_аналитики'!AU2656)</f>
        <v/>
      </c>
      <c r="AV2657">
        <f>MAX(0,'19_Расчет_аналитики'!AV2654-'19_Расчет_аналитики'!AV2656)</f>
        <v/>
      </c>
      <c r="AW2657">
        <f>MAX(0,'19_Расчет_аналитики'!AW2654-'19_Расчет_аналитики'!AW2656)</f>
        <v/>
      </c>
      <c r="AX2657">
        <f>MAX(0,'19_Расчет_аналитики'!AX2654-'19_Расчет_аналитики'!AX2656)</f>
        <v/>
      </c>
      <c r="AY2657">
        <f>MAX(0,'19_Расчет_аналитики'!AY2654-'19_Расчет_аналитики'!AY2656)</f>
        <v/>
      </c>
      <c r="AZ2657">
        <f>MAX(0,'19_Расчет_аналитики'!AZ2654-'19_Расчет_аналитики'!AZ2656)</f>
        <v/>
      </c>
      <c r="BA2657">
        <f>MAX(0,'19_Расчет_аналитики'!BA2654-'19_Расчет_аналитики'!BA2656)</f>
        <v/>
      </c>
      <c r="BB2657">
        <f>MAX(0,'19_Расчет_аналитики'!BB2654-'19_Расчет_аналитики'!BB2656)</f>
        <v/>
      </c>
      <c r="BC2657">
        <f>MAX(0,'19_Расчет_аналитики'!BC2654-'19_Расчет_аналитики'!BC2656)</f>
        <v/>
      </c>
      <c r="BD2657">
        <f>MAX(0,'19_Расчет_аналитики'!BD2654-'19_Расчет_аналитики'!BD2656)</f>
        <v/>
      </c>
      <c r="BE2657">
        <f>MAX(0,'19_Расчет_аналитики'!BE2654-'19_Расчет_аналитики'!BE2656)</f>
        <v/>
      </c>
      <c r="BF2657">
        <f>MAX(0,'19_Расчет_аналитики'!BF2654-'19_Расчет_аналитики'!BF2656)</f>
        <v/>
      </c>
      <c r="BG2657">
        <f>MAX(0,'19_Расчет_аналитики'!BG2654-'19_Расчет_аналитики'!BG2656)</f>
        <v/>
      </c>
      <c r="BH2657">
        <f>MAX(0,'19_Расчет_аналитики'!BH2654-'19_Расчет_аналитики'!BH2656)</f>
        <v/>
      </c>
      <c r="BI2657">
        <f>MAX(0,'19_Расчет_аналитики'!BI2654-'19_Расчет_аналитики'!BI2656)</f>
        <v/>
      </c>
      <c r="BJ2657">
        <f>MAX(0,'19_Расчет_аналитики'!BJ2654-'07_Мерч'!BJ31)</f>
        <v/>
      </c>
      <c r="BK2657">
        <f>MAX(0,'19_Расчет_аналитики'!BK2654-'07_Мерч'!BK31)</f>
        <v/>
      </c>
      <c r="BL2657">
        <f>MAX(0,'19_Расчет_аналитики'!BL2654-'07_Мерч'!BL31)</f>
        <v/>
      </c>
      <c r="BM2657">
        <f>MAX(0,'19_Расчет_аналитики'!BM2654-'07_Мерч'!BM31)</f>
        <v/>
      </c>
      <c r="BN2657">
        <f>MAX(0,'19_Расчет_аналитики'!BN2654-'07_Мерч'!BN31)</f>
        <v/>
      </c>
      <c r="BO2657">
        <f>MAX(0,'19_Расчет_аналитики'!BO2654-'07_Мерч'!BO31)</f>
        <v/>
      </c>
    </row>
    <row r="2658"/>
    <row r="2659"/>
    <row r="2660"/>
    <row r="2661"/>
    <row r="2662"/>
    <row r="2663"/>
    <row r="2664"/>
    <row r="2665"/>
    <row r="2666"/>
    <row r="2667"/>
    <row r="2668"/>
    <row r="2669"/>
    <row r="2670"/>
    <row r="2671">
      <c r="C2671">
        <f>MAX(0,MAX('01_Вводные'!$B$118,INT('19_Расчет_аналитики'!C2731/'01_Вводные'!$B$117)+1)-'01_Вводные'!$B$118)</f>
        <v/>
      </c>
      <c r="D2671">
        <f>MAX(0,MAX('01_Вводные'!$B$118,INT('19_Расчет_аналитики'!D2731/'01_Вводные'!$B$117)+1)-'01_Вводные'!$B$118)</f>
        <v/>
      </c>
      <c r="E2671">
        <f>MAX(0,MAX('01_Вводные'!$B$118,INT('19_Расчет_аналитики'!E2731/'01_Вводные'!$B$117)+1)-'01_Вводные'!$B$118)</f>
        <v/>
      </c>
      <c r="F2671">
        <f>MAX(0,MAX('01_Вводные'!$B$118,INT('19_Расчет_аналитики'!F2731/'01_Вводные'!$B$117)+1)-'01_Вводные'!$B$118)</f>
        <v/>
      </c>
      <c r="G2671">
        <f>MAX(0,MAX('01_Вводные'!$B$118,INT('19_Расчет_аналитики'!G2731/'01_Вводные'!$B$117)+1)-'01_Вводные'!$B$118)</f>
        <v/>
      </c>
      <c r="H2671">
        <f>MAX(0,MAX('01_Вводные'!$B$118,INT('19_Расчет_аналитики'!H2731/'01_Вводные'!$B$117)+1)-'01_Вводные'!$B$118)</f>
        <v/>
      </c>
      <c r="I2671">
        <f>MAX(0,MAX('01_Вводные'!$B$118,INT('19_Расчет_аналитики'!I2731/'01_Вводные'!$B$117)+1)-'01_Вводные'!$B$118)</f>
        <v/>
      </c>
      <c r="J2671">
        <f>MAX(0,MAX('01_Вводные'!$B$118,INT('19_Расчет_аналитики'!J2731/'01_Вводные'!$B$117)+1)-'01_Вводные'!$B$118)</f>
        <v/>
      </c>
      <c r="K2671">
        <f>MAX(0,MAX('01_Вводные'!$B$118,INT('19_Расчет_аналитики'!K2731/'01_Вводные'!$B$117)+1)-'01_Вводные'!$B$118)</f>
        <v/>
      </c>
      <c r="L2671">
        <f>MAX(0,MAX('01_Вводные'!$B$118,INT('19_Расчет_аналитики'!L2731/'01_Вводные'!$B$117)+1)-'01_Вводные'!$B$118)</f>
        <v/>
      </c>
      <c r="M2671">
        <f>MAX(0,MAX('01_Вводные'!$B$118,INT('19_Расчет_аналитики'!M2731/'01_Вводные'!$B$117)+1)-'01_Вводные'!$B$118)</f>
        <v/>
      </c>
      <c r="N2671">
        <f>MAX(0,MAX('01_Вводные'!$B$118,INT('19_Расчет_аналитики'!N2731/'01_Вводные'!$B$117)+1)-'01_Вводные'!$B$118)</f>
        <v/>
      </c>
      <c r="O2671">
        <f>MAX(0,MAX('01_Вводные'!$B$118,INT('19_Расчет_аналитики'!O2731/'01_Вводные'!$B$117)+1)-'01_Вводные'!$B$118)</f>
        <v/>
      </c>
      <c r="P2671">
        <f>MAX(0,MAX('01_Вводные'!$B$118,INT('19_Расчет_аналитики'!P2731/'01_Вводные'!$B$117)+1)-'01_Вводные'!$B$118)</f>
        <v/>
      </c>
      <c r="Q2671">
        <f>MAX(0,MAX('01_Вводные'!$B$118,INT('19_Расчет_аналитики'!Q2731/'01_Вводные'!$B$117)+1)-'01_Вводные'!$B$118)</f>
        <v/>
      </c>
      <c r="R2671">
        <f>MAX(0,MAX('01_Вводные'!$B$118,INT('19_Расчет_аналитики'!R2731/'01_Вводные'!$B$117)+1)-'01_Вводные'!$B$118)</f>
        <v/>
      </c>
      <c r="S2671">
        <f>MAX(0,MAX('01_Вводные'!$B$118,INT('19_Расчет_аналитики'!S2731/'01_Вводные'!$B$117)+1)-'01_Вводные'!$B$118)</f>
        <v/>
      </c>
      <c r="T2671">
        <f>MAX(0,MAX('01_Вводные'!$B$118,INT('19_Расчет_аналитики'!T2731/'01_Вводные'!$B$117)+1)-'01_Вводные'!$B$118)</f>
        <v/>
      </c>
      <c r="U2671">
        <f>MAX(0,MAX('01_Вводные'!$B$118,INT('19_Расчет_аналитики'!U2731/'01_Вводные'!$B$117)+1)-'01_Вводные'!$B$118)</f>
        <v/>
      </c>
      <c r="V2671">
        <f>MAX(0,MAX('01_Вводные'!$B$118,INT('19_Расчет_аналитики'!V2731/'01_Вводные'!$B$117)+1)-'01_Вводные'!$B$118)</f>
        <v/>
      </c>
      <c r="W2671">
        <f>MAX(0,MAX('01_Вводные'!$B$118,INT('19_Расчет_аналитики'!W2731/'01_Вводные'!$B$117)+1)-'01_Вводные'!$B$118)</f>
        <v/>
      </c>
      <c r="X2671">
        <f>MAX(0,MAX('01_Вводные'!$B$118,INT('19_Расчет_аналитики'!X2731/'01_Вводные'!$B$117)+1)-'01_Вводные'!$B$118)</f>
        <v/>
      </c>
      <c r="Y2671">
        <f>MAX(0,MAX('01_Вводные'!$B$118,INT('19_Расчет_аналитики'!Y2731/'01_Вводные'!$B$117)+1)-'01_Вводные'!$B$118)</f>
        <v/>
      </c>
      <c r="Z2671">
        <f>MAX(0,MAX('01_Вводные'!$B$118,INT('19_Расчет_аналитики'!Z2731/'01_Вводные'!$B$117)+1)-'01_Вводные'!$B$118)</f>
        <v/>
      </c>
      <c r="AA2671">
        <f>MAX(0,MAX('01_Вводные'!$B$118,INT('19_Расчет_аналитики'!AA2731/'01_Вводные'!$B$117)+1)-'01_Вводные'!$B$118)</f>
        <v/>
      </c>
      <c r="AB2671">
        <f>MAX(0,MAX('01_Вводные'!$B$118,INT('19_Расчет_аналитики'!AB2731/'01_Вводные'!$B$117)+1)-'01_Вводные'!$B$118)</f>
        <v/>
      </c>
      <c r="AC2671">
        <f>MAX(0,MAX('01_Вводные'!$B$118,INT('19_Расчет_аналитики'!AC2731/'01_Вводные'!$B$117)+1)-'01_Вводные'!$B$118)</f>
        <v/>
      </c>
      <c r="AD2671">
        <f>MAX(0,MAX('01_Вводные'!$B$118,INT('19_Расчет_аналитики'!AD2731/'01_Вводные'!$B$117)+1)-'01_Вводные'!$B$118)</f>
        <v/>
      </c>
      <c r="AE2671">
        <f>MAX(0,MAX('01_Вводные'!$B$118,INT('19_Расчет_аналитики'!AE2731/'01_Вводные'!$B$117)+1)-'01_Вводные'!$B$118)</f>
        <v/>
      </c>
      <c r="AF2671">
        <f>MAX(0,MAX('01_Вводные'!$B$118,INT('19_Расчет_аналитики'!AF2731/'01_Вводные'!$B$117)+1)-'01_Вводные'!$B$118)</f>
        <v/>
      </c>
      <c r="AG2671">
        <f>MAX(0,MAX('01_Вводные'!$B$118,INT('19_Расчет_аналитики'!AG2731/'01_Вводные'!$B$117)+1)-'01_Вводные'!$B$118)</f>
        <v/>
      </c>
      <c r="AH2671">
        <f>MAX(0,MAX('01_Вводные'!$B$118,INT('19_Расчет_аналитики'!AH2731/'01_Вводные'!$B$117)+1)-'01_Вводные'!$B$118)</f>
        <v/>
      </c>
      <c r="AI2671">
        <f>MAX(0,MAX('01_Вводные'!$B$118,INT('19_Расчет_аналитики'!AI2731/'01_Вводные'!$B$117)+1)-'01_Вводные'!$B$118)</f>
        <v/>
      </c>
      <c r="AJ2671">
        <f>MAX(0,MAX('01_Вводные'!$B$118,INT('19_Расчет_аналитики'!AJ2731/'01_Вводные'!$B$117)+1)-'01_Вводные'!$B$118)</f>
        <v/>
      </c>
      <c r="AK2671">
        <f>MAX(0,MAX('01_Вводные'!$B$118,INT('19_Расчет_аналитики'!AK2731/'01_Вводные'!$B$117)+1)-'01_Вводные'!$B$118)</f>
        <v/>
      </c>
      <c r="AL2671">
        <f>MAX(0,MAX('01_Вводные'!$B$118,INT('19_Расчет_аналитики'!AL2731/'01_Вводные'!$B$117)+1)-'01_Вводные'!$B$118)</f>
        <v/>
      </c>
      <c r="AM2671">
        <f>MAX(0,MAX('01_Вводные'!$B$118,INT('19_Расчет_аналитики'!AM2731/'01_Вводные'!$B$117)+1)-'01_Вводные'!$B$118)</f>
        <v/>
      </c>
      <c r="AN2671">
        <f>MAX(0,MAX('01_Вводные'!$B$118,INT('19_Расчет_аналитики'!AN2731/'01_Вводные'!$B$117)+1)-'01_Вводные'!$B$118)</f>
        <v/>
      </c>
      <c r="AO2671">
        <f>MAX(0,MAX('01_Вводные'!$B$118,INT('19_Расчет_аналитики'!AO2731/'01_Вводные'!$B$117)+1)-'01_Вводные'!$B$118)</f>
        <v/>
      </c>
      <c r="AP2671">
        <f>MAX(0,MAX('01_Вводные'!$B$118,INT('19_Расчет_аналитики'!AP2731/'01_Вводные'!$B$117)+1)-'01_Вводные'!$B$118)</f>
        <v/>
      </c>
      <c r="AQ2671">
        <f>MAX(0,MAX('01_Вводные'!$B$118,INT('19_Расчет_аналитики'!AQ2731/'01_Вводные'!$B$117)+1)-'01_Вводные'!$B$118)</f>
        <v/>
      </c>
      <c r="AR2671">
        <f>MAX(0,MAX('01_Вводные'!$B$118,INT('19_Расчет_аналитики'!AR2731/'01_Вводные'!$B$117)+1)-'01_Вводные'!$B$118)</f>
        <v/>
      </c>
      <c r="AS2671">
        <f>MAX(0,MAX('01_Вводные'!$B$118,INT('19_Расчет_аналитики'!AS2731/'01_Вводные'!$B$117)+1)-'01_Вводные'!$B$118)</f>
        <v/>
      </c>
      <c r="AT2671">
        <f>MAX(0,MAX('01_Вводные'!$B$118,INT('19_Расчет_аналитики'!AT2731/'01_Вводные'!$B$117)+1)-'01_Вводные'!$B$118)</f>
        <v/>
      </c>
      <c r="AU2671">
        <f>MAX(0,MAX('01_Вводные'!$B$118,INT('19_Расчет_аналитики'!AU2731/'01_Вводные'!$B$117)+1)-'01_Вводные'!$B$118)</f>
        <v/>
      </c>
      <c r="AV2671">
        <f>MAX(0,MAX('01_Вводные'!$B$118,INT('19_Расчет_аналитики'!AV2731/'01_Вводные'!$B$117)+1)-'01_Вводные'!$B$118)</f>
        <v/>
      </c>
      <c r="AW2671">
        <f>MAX(0,MAX('01_Вводные'!$B$118,INT('19_Расчет_аналитики'!AW2731/'01_Вводные'!$B$117)+1)-'01_Вводные'!$B$118)</f>
        <v/>
      </c>
      <c r="AX2671">
        <f>MAX(0,MAX('01_Вводные'!$B$118,INT('19_Расчет_аналитики'!AX2731/'01_Вводные'!$B$117)+1)-'01_Вводные'!$B$118)</f>
        <v/>
      </c>
      <c r="AY2671">
        <f>MAX(0,MAX('01_Вводные'!$B$118,INT('19_Расчет_аналитики'!AY2731/'01_Вводные'!$B$117)+1)-'01_Вводные'!$B$118)</f>
        <v/>
      </c>
      <c r="AZ2671">
        <f>MAX(0,MAX('01_Вводные'!$B$118,INT('19_Расчет_аналитики'!AZ2731/'01_Вводные'!$B$117)+1)-'01_Вводные'!$B$118)</f>
        <v/>
      </c>
      <c r="BA2671">
        <f>MAX(0,MAX('01_Вводные'!$B$118,INT('19_Расчет_аналитики'!BA2731/'01_Вводные'!$B$117)+1)-'01_Вводные'!$B$118)</f>
        <v/>
      </c>
      <c r="BB2671">
        <f>MAX(0,MAX('01_Вводные'!$B$118,INT('19_Расчет_аналитики'!BB2731/'01_Вводные'!$B$117)+1)-'01_Вводные'!$B$118)</f>
        <v/>
      </c>
      <c r="BC2671">
        <f>MAX(0,MAX('01_Вводные'!$B$118,INT('19_Расчет_аналитики'!BC2731/'01_Вводные'!$B$117)+1)-'01_Вводные'!$B$118)</f>
        <v/>
      </c>
      <c r="BD2671">
        <f>MAX(0,MAX('01_Вводные'!$B$118,INT('19_Расчет_аналитики'!BD2731/'01_Вводные'!$B$117)+1)-'01_Вводные'!$B$118)</f>
        <v/>
      </c>
      <c r="BE2671">
        <f>MAX(0,MAX('01_Вводные'!$B$118,INT('19_Расчет_аналитики'!BE2731/'01_Вводные'!$B$117)+1)-'01_Вводные'!$B$118)</f>
        <v/>
      </c>
      <c r="BF2671">
        <f>MAX(0,MAX('01_Вводные'!$B$118,INT('19_Расчет_аналитики'!BF2731/'01_Вводные'!$B$117)+1)-'01_Вводные'!$B$118)</f>
        <v/>
      </c>
      <c r="BG2671">
        <f>MAX(0,MAX('01_Вводные'!$B$118,INT('19_Расчет_аналитики'!BG2731/'01_Вводные'!$B$117)+1)-'01_Вводные'!$B$118)</f>
        <v/>
      </c>
      <c r="BH2671">
        <f>MAX(0,MAX('01_Вводные'!$B$118,INT('19_Расчет_аналитики'!BH2731/'01_Вводные'!$B$117)+1)-'01_Вводные'!$B$118)</f>
        <v/>
      </c>
      <c r="BI2671">
        <f>MAX(0,MAX('01_Вводные'!$B$118,INT('19_Расчет_аналитики'!BI2731/'01_Вводные'!$B$117)+1)-'01_Вводные'!$B$118)</f>
        <v/>
      </c>
    </row>
    <row r="2672">
      <c r="C2672">
        <f>'19_Расчет_аналитики'!C2671*'01_Вводные'!$B$119*'08_ФОТ'!C5</f>
        <v/>
      </c>
      <c r="D2672">
        <f>'19_Расчет_аналитики'!D2671*'01_Вводные'!$B$119*'08_ФОТ'!D5</f>
        <v/>
      </c>
      <c r="E2672">
        <f>'19_Расчет_аналитики'!E2671*'01_Вводные'!$B$119*'08_ФОТ'!E5</f>
        <v/>
      </c>
      <c r="F2672">
        <f>'19_Расчет_аналитики'!F2671*'01_Вводные'!$B$119*'08_ФОТ'!F5</f>
        <v/>
      </c>
      <c r="G2672">
        <f>'19_Расчет_аналитики'!G2671*'01_Вводные'!$B$119*'08_ФОТ'!G5</f>
        <v/>
      </c>
      <c r="H2672">
        <f>'19_Расчет_аналитики'!H2671*'01_Вводные'!$B$119*'08_ФОТ'!H5</f>
        <v/>
      </c>
      <c r="I2672">
        <f>'19_Расчет_аналитики'!I2671*'01_Вводные'!$B$119*'08_ФОТ'!I5</f>
        <v/>
      </c>
      <c r="J2672">
        <f>'19_Расчет_аналитики'!J2671*'01_Вводные'!$B$119*'08_ФОТ'!J5</f>
        <v/>
      </c>
      <c r="K2672">
        <f>'19_Расчет_аналитики'!K2671*'01_Вводные'!$B$119*'08_ФОТ'!K5</f>
        <v/>
      </c>
      <c r="L2672">
        <f>'19_Расчет_аналитики'!L2671*'01_Вводные'!$B$119*'08_ФОТ'!L5</f>
        <v/>
      </c>
      <c r="M2672">
        <f>'19_Расчет_аналитики'!M2671*'01_Вводные'!$B$119*'08_ФОТ'!M5</f>
        <v/>
      </c>
      <c r="N2672">
        <f>'19_Расчет_аналитики'!N2671*'01_Вводные'!$B$119*'08_ФОТ'!N5</f>
        <v/>
      </c>
      <c r="O2672">
        <f>'19_Расчет_аналитики'!O2671*'01_Вводные'!$B$119*'08_ФОТ'!O5</f>
        <v/>
      </c>
      <c r="P2672">
        <f>'19_Расчет_аналитики'!P2671*'01_Вводные'!$B$119*'08_ФОТ'!P5</f>
        <v/>
      </c>
      <c r="Q2672">
        <f>'19_Расчет_аналитики'!Q2671*'01_Вводные'!$B$119*'08_ФОТ'!Q5</f>
        <v/>
      </c>
      <c r="R2672">
        <f>'19_Расчет_аналитики'!R2671*'01_Вводные'!$B$119*'08_ФОТ'!R5</f>
        <v/>
      </c>
      <c r="S2672">
        <f>'19_Расчет_аналитики'!S2671*'01_Вводные'!$B$119*'08_ФОТ'!S5</f>
        <v/>
      </c>
      <c r="T2672">
        <f>'19_Расчет_аналитики'!T2671*'01_Вводные'!$B$119*'08_ФОТ'!T5</f>
        <v/>
      </c>
      <c r="U2672">
        <f>'19_Расчет_аналитики'!U2671*'01_Вводные'!$B$119*'08_ФОТ'!U5</f>
        <v/>
      </c>
      <c r="V2672">
        <f>'19_Расчет_аналитики'!V2671*'01_Вводные'!$B$119*'08_ФОТ'!V5</f>
        <v/>
      </c>
      <c r="W2672">
        <f>'19_Расчет_аналитики'!W2671*'01_Вводные'!$B$119*'08_ФОТ'!W5</f>
        <v/>
      </c>
      <c r="X2672">
        <f>'19_Расчет_аналитики'!X2671*'01_Вводные'!$B$119*'08_ФОТ'!X5</f>
        <v/>
      </c>
      <c r="Y2672">
        <f>'19_Расчет_аналитики'!Y2671*'01_Вводные'!$B$119*'08_ФОТ'!Y5</f>
        <v/>
      </c>
      <c r="Z2672">
        <f>'19_Расчет_аналитики'!Z2671*'01_Вводные'!$B$119*'08_ФОТ'!Z5</f>
        <v/>
      </c>
      <c r="AA2672">
        <f>'19_Расчет_аналитики'!AA2671*'01_Вводные'!$B$119*'08_ФОТ'!AA5</f>
        <v/>
      </c>
      <c r="AB2672">
        <f>'19_Расчет_аналитики'!AB2671*'01_Вводные'!$B$119*'08_ФОТ'!AB5</f>
        <v/>
      </c>
      <c r="AC2672">
        <f>'19_Расчет_аналитики'!AC2671*'01_Вводные'!$B$119*'08_ФОТ'!AC5</f>
        <v/>
      </c>
      <c r="AD2672">
        <f>'19_Расчет_аналитики'!AD2671*'01_Вводные'!$B$119*'08_ФОТ'!AD5</f>
        <v/>
      </c>
      <c r="AE2672">
        <f>'19_Расчет_аналитики'!AE2671*'01_Вводные'!$B$119*'08_ФОТ'!AE5</f>
        <v/>
      </c>
      <c r="AF2672">
        <f>'19_Расчет_аналитики'!AF2671*'01_Вводные'!$B$119*'08_ФОТ'!AF5</f>
        <v/>
      </c>
      <c r="AG2672">
        <f>'19_Расчет_аналитики'!AG2671*'01_Вводные'!$B$119*'08_ФОТ'!AG5</f>
        <v/>
      </c>
      <c r="AH2672">
        <f>'19_Расчет_аналитики'!AH2671*'01_Вводные'!$B$119*'08_ФОТ'!AH5</f>
        <v/>
      </c>
      <c r="AI2672">
        <f>'19_Расчет_аналитики'!AI2671*'01_Вводные'!$B$119*'08_ФОТ'!AI5</f>
        <v/>
      </c>
      <c r="AJ2672">
        <f>'19_Расчет_аналитики'!AJ2671*'01_Вводные'!$B$119*'08_ФОТ'!AJ5</f>
        <v/>
      </c>
      <c r="AK2672">
        <f>'19_Расчет_аналитики'!AK2671*'01_Вводные'!$B$119*'08_ФОТ'!AK5</f>
        <v/>
      </c>
      <c r="AL2672">
        <f>'19_Расчет_аналитики'!AL2671*'01_Вводные'!$B$119*'08_ФОТ'!AL5</f>
        <v/>
      </c>
      <c r="AM2672">
        <f>'19_Расчет_аналитики'!AM2671*'01_Вводные'!$B$119*'08_ФОТ'!AM5</f>
        <v/>
      </c>
      <c r="AN2672">
        <f>'19_Расчет_аналитики'!AN2671*'01_Вводные'!$B$119*'08_ФОТ'!AN5</f>
        <v/>
      </c>
      <c r="AO2672">
        <f>'19_Расчет_аналитики'!AO2671*'01_Вводные'!$B$119*'08_ФОТ'!AO5</f>
        <v/>
      </c>
      <c r="AP2672">
        <f>'19_Расчет_аналитики'!AP2671*'01_Вводные'!$B$119*'08_ФОТ'!AP5</f>
        <v/>
      </c>
      <c r="AQ2672">
        <f>'19_Расчет_аналитики'!AQ2671*'01_Вводные'!$B$119*'08_ФОТ'!AQ5</f>
        <v/>
      </c>
      <c r="AR2672">
        <f>'19_Расчет_аналитики'!AR2671*'01_Вводные'!$B$119*'08_ФОТ'!AR5</f>
        <v/>
      </c>
      <c r="AS2672">
        <f>'19_Расчет_аналитики'!AS2671*'01_Вводные'!$B$119*'08_ФОТ'!AS5</f>
        <v/>
      </c>
      <c r="AT2672">
        <f>'19_Расчет_аналитики'!AT2671*'01_Вводные'!$B$119*'08_ФОТ'!AT5</f>
        <v/>
      </c>
      <c r="AU2672">
        <f>'19_Расчет_аналитики'!AU2671*'01_Вводные'!$B$119*'08_ФОТ'!AU5</f>
        <v/>
      </c>
      <c r="AV2672">
        <f>'19_Расчет_аналитики'!AV2671*'01_Вводные'!$B$119*'08_ФОТ'!AV5</f>
        <v/>
      </c>
      <c r="AW2672">
        <f>'19_Расчет_аналитики'!AW2671*'01_Вводные'!$B$119*'08_ФОТ'!AW5</f>
        <v/>
      </c>
      <c r="AX2672">
        <f>'19_Расчет_аналитики'!AX2671*'01_Вводные'!$B$119*'08_ФОТ'!AX5</f>
        <v/>
      </c>
      <c r="AY2672">
        <f>'19_Расчет_аналитики'!AY2671*'01_Вводные'!$B$119*'08_ФОТ'!AY5</f>
        <v/>
      </c>
      <c r="AZ2672">
        <f>'19_Расчет_аналитики'!AZ2671*'01_Вводные'!$B$119*'08_ФОТ'!AZ5</f>
        <v/>
      </c>
      <c r="BA2672">
        <f>'19_Расчет_аналитики'!BA2671*'01_Вводные'!$B$119*'08_ФОТ'!BA5</f>
        <v/>
      </c>
      <c r="BB2672">
        <f>'19_Расчет_аналитики'!BB2671*'01_Вводные'!$B$119*'08_ФОТ'!BB5</f>
        <v/>
      </c>
      <c r="BC2672">
        <f>'19_Расчет_аналитики'!BC2671*'01_Вводные'!$B$119*'08_ФОТ'!BC5</f>
        <v/>
      </c>
      <c r="BD2672">
        <f>'19_Расчет_аналитики'!BD2671*'01_Вводные'!$B$119*'08_ФОТ'!BD5</f>
        <v/>
      </c>
      <c r="BE2672">
        <f>'19_Расчет_аналитики'!BE2671*'01_Вводные'!$B$119*'08_ФОТ'!BE5</f>
        <v/>
      </c>
      <c r="BF2672">
        <f>'19_Расчет_аналитики'!BF2671*'01_Вводные'!$B$119*'08_ФОТ'!BF5</f>
        <v/>
      </c>
      <c r="BG2672">
        <f>'19_Расчет_аналитики'!BG2671*'01_Вводные'!$B$119*'08_ФОТ'!BG5</f>
        <v/>
      </c>
      <c r="BH2672">
        <f>'19_Расчет_аналитики'!BH2671*'01_Вводные'!$B$119*'08_ФОТ'!BH5</f>
        <v/>
      </c>
      <c r="BI2672">
        <f>'19_Расчет_аналитики'!BI2671*'01_Вводные'!$B$119*'08_ФОТ'!BI5</f>
        <v/>
      </c>
    </row>
    <row r="2673">
      <c r="C2673">
        <f>SUM('08_ФОТ'!C7:C9,'19_Расчет_аналитики'!C2672)</f>
        <v/>
      </c>
      <c r="D2673">
        <f>SUM('08_ФОТ'!D7:D9,'19_Расчет_аналитики'!D2672)</f>
        <v/>
      </c>
      <c r="E2673">
        <f>SUM('08_ФОТ'!E7:E9,'19_Расчет_аналитики'!E2672)</f>
        <v/>
      </c>
      <c r="F2673">
        <f>SUM('08_ФОТ'!F7:F9,'19_Расчет_аналитики'!F2672)</f>
        <v/>
      </c>
      <c r="G2673">
        <f>SUM('08_ФОТ'!G7:G9,'19_Расчет_аналитики'!G2672)</f>
        <v/>
      </c>
      <c r="H2673">
        <f>SUM('08_ФОТ'!H7:H9,'19_Расчет_аналитики'!H2672)</f>
        <v/>
      </c>
      <c r="I2673">
        <f>SUM('08_ФОТ'!I7:I9,'19_Расчет_аналитики'!I2672)</f>
        <v/>
      </c>
      <c r="J2673">
        <f>SUM('08_ФОТ'!J7:J9,'19_Расчет_аналитики'!J2672)</f>
        <v/>
      </c>
      <c r="K2673">
        <f>SUM('08_ФОТ'!K7:K9,'19_Расчет_аналитики'!K2672)</f>
        <v/>
      </c>
      <c r="L2673">
        <f>SUM('08_ФОТ'!L7:L9,'19_Расчет_аналитики'!L2672)</f>
        <v/>
      </c>
      <c r="M2673">
        <f>SUM('08_ФОТ'!M7:M9,'19_Расчет_аналитики'!M2672)</f>
        <v/>
      </c>
      <c r="N2673">
        <f>SUM('08_ФОТ'!N7:N9,'19_Расчет_аналитики'!N2672)</f>
        <v/>
      </c>
      <c r="O2673">
        <f>SUM('08_ФОТ'!O7:O9,'19_Расчет_аналитики'!O2672)</f>
        <v/>
      </c>
      <c r="P2673">
        <f>SUM('08_ФОТ'!P7:P9,'19_Расчет_аналитики'!P2672)</f>
        <v/>
      </c>
      <c r="Q2673">
        <f>SUM('08_ФОТ'!Q7:Q9,'19_Расчет_аналитики'!Q2672)</f>
        <v/>
      </c>
      <c r="R2673">
        <f>SUM('08_ФОТ'!R7:R9,'19_Расчет_аналитики'!R2672)</f>
        <v/>
      </c>
      <c r="S2673">
        <f>SUM('08_ФОТ'!S7:S9,'19_Расчет_аналитики'!S2672)</f>
        <v/>
      </c>
      <c r="T2673">
        <f>SUM('08_ФОТ'!T7:T9,'19_Расчет_аналитики'!T2672)</f>
        <v/>
      </c>
      <c r="U2673">
        <f>SUM('08_ФОТ'!U7:U9,'19_Расчет_аналитики'!U2672)</f>
        <v/>
      </c>
      <c r="V2673">
        <f>SUM('08_ФОТ'!V7:V9,'19_Расчет_аналитики'!V2672)</f>
        <v/>
      </c>
      <c r="W2673">
        <f>SUM('08_ФОТ'!W7:W9,'19_Расчет_аналитики'!W2672)</f>
        <v/>
      </c>
      <c r="X2673">
        <f>SUM('08_ФОТ'!X7:X9,'19_Расчет_аналитики'!X2672)</f>
        <v/>
      </c>
      <c r="Y2673">
        <f>SUM('08_ФОТ'!Y7:Y9,'19_Расчет_аналитики'!Y2672)</f>
        <v/>
      </c>
      <c r="Z2673">
        <f>SUM('08_ФОТ'!Z7:Z9,'19_Расчет_аналитики'!Z2672)</f>
        <v/>
      </c>
      <c r="AA2673">
        <f>SUM('08_ФОТ'!AA7:AA9,'19_Расчет_аналитики'!AA2672)</f>
        <v/>
      </c>
      <c r="AB2673">
        <f>SUM('08_ФОТ'!AB7:AB9,'19_Расчет_аналитики'!AB2672)</f>
        <v/>
      </c>
      <c r="AC2673">
        <f>SUM('08_ФОТ'!AC7:AC9,'19_Расчет_аналитики'!AC2672)</f>
        <v/>
      </c>
      <c r="AD2673">
        <f>SUM('08_ФОТ'!AD7:AD9,'19_Расчет_аналитики'!AD2672)</f>
        <v/>
      </c>
      <c r="AE2673">
        <f>SUM('08_ФОТ'!AE7:AE9,'19_Расчет_аналитики'!AE2672)</f>
        <v/>
      </c>
      <c r="AF2673">
        <f>SUM('08_ФОТ'!AF7:AF9,'19_Расчет_аналитики'!AF2672)</f>
        <v/>
      </c>
      <c r="AG2673">
        <f>SUM('08_ФОТ'!AG7:AG9,'19_Расчет_аналитики'!AG2672)</f>
        <v/>
      </c>
      <c r="AH2673">
        <f>SUM('08_ФОТ'!AH7:AH9,'19_Расчет_аналитики'!AH2672)</f>
        <v/>
      </c>
      <c r="AI2673">
        <f>SUM('08_ФОТ'!AI7:AI9,'19_Расчет_аналитики'!AI2672)</f>
        <v/>
      </c>
      <c r="AJ2673">
        <f>SUM('08_ФОТ'!AJ7:AJ9,'19_Расчет_аналитики'!AJ2672)</f>
        <v/>
      </c>
      <c r="AK2673">
        <f>SUM('08_ФОТ'!AK7:AK9,'19_Расчет_аналитики'!AK2672)</f>
        <v/>
      </c>
      <c r="AL2673">
        <f>SUM('08_ФОТ'!AL7:AL9,'19_Расчет_аналитики'!AL2672)</f>
        <v/>
      </c>
      <c r="AM2673">
        <f>SUM('08_ФОТ'!AM7:AM9,'19_Расчет_аналитики'!AM2672)</f>
        <v/>
      </c>
      <c r="AN2673">
        <f>SUM('08_ФОТ'!AN7:AN9,'19_Расчет_аналитики'!AN2672)</f>
        <v/>
      </c>
      <c r="AO2673">
        <f>SUM('08_ФОТ'!AO7:AO9,'19_Расчет_аналитики'!AO2672)</f>
        <v/>
      </c>
      <c r="AP2673">
        <f>SUM('08_ФОТ'!AP7:AP9,'19_Расчет_аналитики'!AP2672)</f>
        <v/>
      </c>
      <c r="AQ2673">
        <f>SUM('08_ФОТ'!AQ7:AQ9,'19_Расчет_аналитики'!AQ2672)</f>
        <v/>
      </c>
      <c r="AR2673">
        <f>SUM('08_ФОТ'!AR7:AR9,'19_Расчет_аналитики'!AR2672)</f>
        <v/>
      </c>
      <c r="AS2673">
        <f>SUM('08_ФОТ'!AS7:AS9,'19_Расчет_аналитики'!AS2672)</f>
        <v/>
      </c>
      <c r="AT2673">
        <f>SUM('08_ФОТ'!AT7:AT9,'19_Расчет_аналитики'!AT2672)</f>
        <v/>
      </c>
      <c r="AU2673">
        <f>SUM('08_ФОТ'!AU7:AU9,'19_Расчет_аналитики'!AU2672)</f>
        <v/>
      </c>
      <c r="AV2673">
        <f>SUM('08_ФОТ'!AV7:AV9,'19_Расчет_аналитики'!AV2672)</f>
        <v/>
      </c>
      <c r="AW2673">
        <f>SUM('08_ФОТ'!AW7:AW9,'19_Расчет_аналитики'!AW2672)</f>
        <v/>
      </c>
      <c r="AX2673">
        <f>SUM('08_ФОТ'!AX7:AX9,'19_Расчет_аналитики'!AX2672)</f>
        <v/>
      </c>
      <c r="AY2673">
        <f>SUM('08_ФОТ'!AY7:AY9,'19_Расчет_аналитики'!AY2672)</f>
        <v/>
      </c>
      <c r="AZ2673">
        <f>SUM('08_ФОТ'!AZ7:AZ9,'19_Расчет_аналитики'!AZ2672)</f>
        <v/>
      </c>
      <c r="BA2673">
        <f>SUM('08_ФОТ'!BA7:BA9,'19_Расчет_аналитики'!BA2672)</f>
        <v/>
      </c>
      <c r="BB2673">
        <f>SUM('08_ФОТ'!BB7:BB9,'19_Расчет_аналитики'!BB2672)</f>
        <v/>
      </c>
      <c r="BC2673">
        <f>SUM('08_ФОТ'!BC7:BC9,'19_Расчет_аналитики'!BC2672)</f>
        <v/>
      </c>
      <c r="BD2673">
        <f>SUM('08_ФОТ'!BD7:BD9,'19_Расчет_аналитики'!BD2672)</f>
        <v/>
      </c>
      <c r="BE2673">
        <f>SUM('08_ФОТ'!BE7:BE9,'19_Расчет_аналитики'!BE2672)</f>
        <v/>
      </c>
      <c r="BF2673">
        <f>SUM('08_ФОТ'!BF7:BF9,'19_Расчет_аналитики'!BF2672)</f>
        <v/>
      </c>
      <c r="BG2673">
        <f>SUM('08_ФОТ'!BG7:BG9,'19_Расчет_аналитики'!BG2672)</f>
        <v/>
      </c>
      <c r="BH2673">
        <f>SUM('08_ФОТ'!BH7:BH9,'19_Расчет_аналитики'!BH2672)</f>
        <v/>
      </c>
      <c r="BI2673">
        <f>SUM('08_ФОТ'!BI7:BI9,'19_Расчет_аналитики'!BI2672)</f>
        <v/>
      </c>
    </row>
    <row r="2674">
      <c r="C2674">
        <f>'19_Расчет_аналитики'!C2673*'01_Вводные'!$B$131</f>
        <v/>
      </c>
      <c r="D2674">
        <f>'19_Расчет_аналитики'!D2673*'01_Вводные'!$B$131</f>
        <v/>
      </c>
      <c r="E2674">
        <f>'19_Расчет_аналитики'!E2673*'01_Вводные'!$B$131</f>
        <v/>
      </c>
      <c r="F2674">
        <f>'19_Расчет_аналитики'!F2673*'01_Вводные'!$B$131</f>
        <v/>
      </c>
      <c r="G2674">
        <f>'19_Расчет_аналитики'!G2673*'01_Вводные'!$B$131</f>
        <v/>
      </c>
      <c r="H2674">
        <f>'19_Расчет_аналитики'!H2673*'01_Вводные'!$B$131</f>
        <v/>
      </c>
      <c r="I2674">
        <f>'19_Расчет_аналитики'!I2673*'01_Вводные'!$B$131</f>
        <v/>
      </c>
      <c r="J2674">
        <f>'19_Расчет_аналитики'!J2673*'01_Вводные'!$B$131</f>
        <v/>
      </c>
      <c r="K2674">
        <f>'19_Расчет_аналитики'!K2673*'01_Вводные'!$B$131</f>
        <v/>
      </c>
      <c r="L2674">
        <f>'19_Расчет_аналитики'!L2673*'01_Вводные'!$B$131</f>
        <v/>
      </c>
      <c r="M2674">
        <f>'19_Расчет_аналитики'!M2673*'01_Вводные'!$B$131</f>
        <v/>
      </c>
      <c r="N2674">
        <f>'19_Расчет_аналитики'!N2673*'01_Вводные'!$B$131</f>
        <v/>
      </c>
      <c r="O2674">
        <f>'19_Расчет_аналитики'!O2673*'01_Вводные'!$B$131</f>
        <v/>
      </c>
      <c r="P2674">
        <f>'19_Расчет_аналитики'!P2673*'01_Вводные'!$B$131</f>
        <v/>
      </c>
      <c r="Q2674">
        <f>'19_Расчет_аналитики'!Q2673*'01_Вводные'!$B$131</f>
        <v/>
      </c>
      <c r="R2674">
        <f>'19_Расчет_аналитики'!R2673*'01_Вводные'!$B$131</f>
        <v/>
      </c>
      <c r="S2674">
        <f>'19_Расчет_аналитики'!S2673*'01_Вводные'!$B$131</f>
        <v/>
      </c>
      <c r="T2674">
        <f>'19_Расчет_аналитики'!T2673*'01_Вводные'!$B$131</f>
        <v/>
      </c>
      <c r="U2674">
        <f>'19_Расчет_аналитики'!U2673*'01_Вводные'!$B$131</f>
        <v/>
      </c>
      <c r="V2674">
        <f>'19_Расчет_аналитики'!V2673*'01_Вводные'!$B$131</f>
        <v/>
      </c>
      <c r="W2674">
        <f>'19_Расчет_аналитики'!W2673*'01_Вводные'!$B$131</f>
        <v/>
      </c>
      <c r="X2674">
        <f>'19_Расчет_аналитики'!X2673*'01_Вводные'!$B$131</f>
        <v/>
      </c>
      <c r="Y2674">
        <f>'19_Расчет_аналитики'!Y2673*'01_Вводные'!$B$131</f>
        <v/>
      </c>
      <c r="Z2674">
        <f>'19_Расчет_аналитики'!Z2673*'01_Вводные'!$B$131</f>
        <v/>
      </c>
      <c r="AA2674">
        <f>'19_Расчет_аналитики'!AA2673*'01_Вводные'!$B$131</f>
        <v/>
      </c>
      <c r="AB2674">
        <f>'19_Расчет_аналитики'!AB2673*'01_Вводные'!$B$131</f>
        <v/>
      </c>
      <c r="AC2674">
        <f>'19_Расчет_аналитики'!AC2673*'01_Вводные'!$B$131</f>
        <v/>
      </c>
      <c r="AD2674">
        <f>'19_Расчет_аналитики'!AD2673*'01_Вводные'!$B$131</f>
        <v/>
      </c>
      <c r="AE2674">
        <f>'19_Расчет_аналитики'!AE2673*'01_Вводные'!$B$131</f>
        <v/>
      </c>
      <c r="AF2674">
        <f>'19_Расчет_аналитики'!AF2673*'01_Вводные'!$B$131</f>
        <v/>
      </c>
      <c r="AG2674">
        <f>'19_Расчет_аналитики'!AG2673*'01_Вводные'!$B$131</f>
        <v/>
      </c>
      <c r="AH2674">
        <f>'19_Расчет_аналитики'!AH2673*'01_Вводные'!$B$131</f>
        <v/>
      </c>
      <c r="AI2674">
        <f>'19_Расчет_аналитики'!AI2673*'01_Вводные'!$B$131</f>
        <v/>
      </c>
      <c r="AJ2674">
        <f>'19_Расчет_аналитики'!AJ2673*'01_Вводные'!$B$131</f>
        <v/>
      </c>
      <c r="AK2674">
        <f>'19_Расчет_аналитики'!AK2673*'01_Вводные'!$B$131</f>
        <v/>
      </c>
      <c r="AL2674">
        <f>'19_Расчет_аналитики'!AL2673*'01_Вводные'!$B$131</f>
        <v/>
      </c>
      <c r="AM2674">
        <f>'19_Расчет_аналитики'!AM2673*'01_Вводные'!$B$131</f>
        <v/>
      </c>
      <c r="AN2674">
        <f>'19_Расчет_аналитики'!AN2673*'01_Вводные'!$B$131</f>
        <v/>
      </c>
      <c r="AO2674">
        <f>'19_Расчет_аналитики'!AO2673*'01_Вводные'!$B$131</f>
        <v/>
      </c>
      <c r="AP2674">
        <f>'19_Расчет_аналитики'!AP2673*'01_Вводные'!$B$131</f>
        <v/>
      </c>
      <c r="AQ2674">
        <f>'19_Расчет_аналитики'!AQ2673*'01_Вводные'!$B$131</f>
        <v/>
      </c>
      <c r="AR2674">
        <f>'19_Расчет_аналитики'!AR2673*'01_Вводные'!$B$131</f>
        <v/>
      </c>
      <c r="AS2674">
        <f>'19_Расчет_аналитики'!AS2673*'01_Вводные'!$B$131</f>
        <v/>
      </c>
      <c r="AT2674">
        <f>'19_Расчет_аналитики'!AT2673*'01_Вводные'!$B$131</f>
        <v/>
      </c>
      <c r="AU2674">
        <f>'19_Расчет_аналитики'!AU2673*'01_Вводные'!$B$131</f>
        <v/>
      </c>
      <c r="AV2674">
        <f>'19_Расчет_аналитики'!AV2673*'01_Вводные'!$B$131</f>
        <v/>
      </c>
      <c r="AW2674">
        <f>'19_Расчет_аналитики'!AW2673*'01_Вводные'!$B$131</f>
        <v/>
      </c>
      <c r="AX2674">
        <f>'19_Расчет_аналитики'!AX2673*'01_Вводные'!$B$131</f>
        <v/>
      </c>
      <c r="AY2674">
        <f>'19_Расчет_аналитики'!AY2673*'01_Вводные'!$B$131</f>
        <v/>
      </c>
      <c r="AZ2674">
        <f>'19_Расчет_аналитики'!AZ2673*'01_Вводные'!$B$131</f>
        <v/>
      </c>
      <c r="BA2674">
        <f>'19_Расчет_аналитики'!BA2673*'01_Вводные'!$B$131</f>
        <v/>
      </c>
      <c r="BB2674">
        <f>'19_Расчет_аналитики'!BB2673*'01_Вводные'!$B$131</f>
        <v/>
      </c>
      <c r="BC2674">
        <f>'19_Расчет_аналитики'!BC2673*'01_Вводные'!$B$131</f>
        <v/>
      </c>
      <c r="BD2674">
        <f>'19_Расчет_аналитики'!BD2673*'01_Вводные'!$B$131</f>
        <v/>
      </c>
      <c r="BE2674">
        <f>'19_Расчет_аналитики'!BE2673*'01_Вводные'!$B$131</f>
        <v/>
      </c>
      <c r="BF2674">
        <f>'19_Расчет_аналитики'!BF2673*'01_Вводные'!$B$131</f>
        <v/>
      </c>
      <c r="BG2674">
        <f>'19_Расчет_аналитики'!BG2673*'01_Вводные'!$B$131</f>
        <v/>
      </c>
      <c r="BH2674">
        <f>'19_Расчет_аналитики'!BH2673*'01_Вводные'!$B$131</f>
        <v/>
      </c>
      <c r="BI2674">
        <f>'19_Расчет_аналитики'!BI2673*'01_Вводные'!$B$131</f>
        <v/>
      </c>
    </row>
    <row r="2675"/>
    <row r="2676">
      <c r="C2676">
        <f>('01_Вводные'!$B$118+'19_Расчет_аналитики'!C2671+1)*IF('08_ФОТ'!C$3&lt;'01_Вводные'!$B$250,'01_Вводные'!$B$123,'01_Вводные'!$B$124)/'01_Вводные'!$B$132</f>
        <v/>
      </c>
      <c r="D2676">
        <f>('01_Вводные'!$B$118+'19_Расчет_аналитики'!D2671+1)*IF('08_ФОТ'!D$3&lt;'01_Вводные'!$B$250,'01_Вводные'!$B$123,'01_Вводные'!$B$124)/'01_Вводные'!$B$132</f>
        <v/>
      </c>
      <c r="E2676">
        <f>('01_Вводные'!$B$118+'19_Расчет_аналитики'!E2671+1)*IF('08_ФОТ'!E$3&lt;'01_Вводные'!$B$250,'01_Вводные'!$B$123,'01_Вводные'!$B$124)/'01_Вводные'!$B$132</f>
        <v/>
      </c>
      <c r="F2676">
        <f>('01_Вводные'!$B$118+'19_Расчет_аналитики'!F2671+1)*IF('08_ФОТ'!F$3&lt;'01_Вводные'!$B$250,'01_Вводные'!$B$123,'01_Вводные'!$B$124)/'01_Вводные'!$B$132</f>
        <v/>
      </c>
      <c r="G2676">
        <f>('01_Вводные'!$B$118+'19_Расчет_аналитики'!G2671+1)*IF('08_ФОТ'!G$3&lt;'01_Вводные'!$B$250,'01_Вводные'!$B$123,'01_Вводные'!$B$124)/'01_Вводные'!$B$132</f>
        <v/>
      </c>
      <c r="H2676">
        <f>('01_Вводные'!$B$118+'19_Расчет_аналитики'!H2671+1)*IF('08_ФОТ'!H$3&lt;'01_Вводные'!$B$250,'01_Вводные'!$B$123,'01_Вводные'!$B$124)/'01_Вводные'!$B$132</f>
        <v/>
      </c>
      <c r="I2676">
        <f>('01_Вводные'!$B$118+'19_Расчет_аналитики'!I2671+1)*IF('08_ФОТ'!I$3&lt;'01_Вводные'!$B$250,'01_Вводные'!$B$123,'01_Вводные'!$B$124)/'01_Вводные'!$B$132</f>
        <v/>
      </c>
      <c r="J2676">
        <f>('01_Вводные'!$B$118+'19_Расчет_аналитики'!J2671+1)*IF('08_ФОТ'!J$3&lt;'01_Вводные'!$B$250,'01_Вводные'!$B$123,'01_Вводные'!$B$124)/'01_Вводные'!$B$132</f>
        <v/>
      </c>
      <c r="K2676">
        <f>('01_Вводные'!$B$118+'19_Расчет_аналитики'!K2671+1)*IF('08_ФОТ'!K$3&lt;'01_Вводные'!$B$250,'01_Вводные'!$B$123,'01_Вводные'!$B$124)/'01_Вводные'!$B$132</f>
        <v/>
      </c>
      <c r="L2676">
        <f>('01_Вводные'!$B$118+'19_Расчет_аналитики'!L2671+1)*IF('08_ФОТ'!L$3&lt;'01_Вводные'!$B$250,'01_Вводные'!$B$123,'01_Вводные'!$B$124)/'01_Вводные'!$B$132</f>
        <v/>
      </c>
      <c r="M2676">
        <f>('01_Вводные'!$B$118+'19_Расчет_аналитики'!M2671+1)*IF('08_ФОТ'!M$3&lt;'01_Вводные'!$B$250,'01_Вводные'!$B$123,'01_Вводные'!$B$124)/'01_Вводные'!$B$132</f>
        <v/>
      </c>
      <c r="N2676">
        <f>('01_Вводные'!$B$118+'19_Расчет_аналитики'!N2671+1)*IF('08_ФОТ'!N$3&lt;'01_Вводные'!$B$250,'01_Вводные'!$B$123,'01_Вводные'!$B$124)/'01_Вводные'!$B$132</f>
        <v/>
      </c>
      <c r="O2676">
        <f>('01_Вводные'!$B$118+'19_Расчет_аналитики'!O2671+1)*IF('08_ФОТ'!O$3&lt;'01_Вводные'!$B$250,'01_Вводные'!$B$123,'01_Вводные'!$B$124)/'01_Вводные'!$B$132</f>
        <v/>
      </c>
      <c r="P2676">
        <f>('01_Вводные'!$B$118+'19_Расчет_аналитики'!P2671+1)*IF('08_ФОТ'!P$3&lt;'01_Вводные'!$B$250,'01_Вводные'!$B$123,'01_Вводные'!$B$124)/'01_Вводные'!$B$132</f>
        <v/>
      </c>
      <c r="Q2676">
        <f>('01_Вводные'!$B$118+'19_Расчет_аналитики'!Q2671+1)*IF('08_ФОТ'!Q$3&lt;'01_Вводные'!$B$250,'01_Вводные'!$B$123,'01_Вводные'!$B$124)/'01_Вводные'!$B$132</f>
        <v/>
      </c>
      <c r="R2676">
        <f>('01_Вводные'!$B$118+'19_Расчет_аналитики'!R2671+1)*IF('08_ФОТ'!R$3&lt;'01_Вводные'!$B$250,'01_Вводные'!$B$123,'01_Вводные'!$B$124)/'01_Вводные'!$B$132</f>
        <v/>
      </c>
      <c r="S2676">
        <f>('01_Вводные'!$B$118+'19_Расчет_аналитики'!S2671+1)*IF('08_ФОТ'!S$3&lt;'01_Вводные'!$B$250,'01_Вводные'!$B$123,'01_Вводные'!$B$124)/'01_Вводные'!$B$132</f>
        <v/>
      </c>
      <c r="T2676">
        <f>('01_Вводные'!$B$118+'19_Расчет_аналитики'!T2671+1)*IF('08_ФОТ'!T$3&lt;'01_Вводные'!$B$250,'01_Вводные'!$B$123,'01_Вводные'!$B$124)/'01_Вводные'!$B$132</f>
        <v/>
      </c>
      <c r="U2676">
        <f>('01_Вводные'!$B$118+'19_Расчет_аналитики'!U2671+1)*IF('08_ФОТ'!U$3&lt;'01_Вводные'!$B$250,'01_Вводные'!$B$123,'01_Вводные'!$B$124)/'01_Вводные'!$B$132</f>
        <v/>
      </c>
      <c r="V2676">
        <f>('01_Вводные'!$B$118+'19_Расчет_аналитики'!V2671+1)*IF('08_ФОТ'!V$3&lt;'01_Вводные'!$B$250,'01_Вводные'!$B$123,'01_Вводные'!$B$124)/'01_Вводные'!$B$132</f>
        <v/>
      </c>
      <c r="W2676">
        <f>('01_Вводные'!$B$118+'19_Расчет_аналитики'!W2671+1)*IF('08_ФОТ'!W$3&lt;'01_Вводные'!$B$250,'01_Вводные'!$B$123,'01_Вводные'!$B$124)/'01_Вводные'!$B$132</f>
        <v/>
      </c>
      <c r="X2676">
        <f>('01_Вводные'!$B$118+'19_Расчет_аналитики'!X2671+1)*IF('08_ФОТ'!X$3&lt;'01_Вводные'!$B$250,'01_Вводные'!$B$123,'01_Вводные'!$B$124)/'01_Вводные'!$B$132</f>
        <v/>
      </c>
      <c r="Y2676">
        <f>('01_Вводные'!$B$118+'19_Расчет_аналитики'!Y2671+1)*IF('08_ФОТ'!Y$3&lt;'01_Вводные'!$B$250,'01_Вводные'!$B$123,'01_Вводные'!$B$124)/'01_Вводные'!$B$132</f>
        <v/>
      </c>
      <c r="Z2676">
        <f>('01_Вводные'!$B$118+'19_Расчет_аналитики'!Z2671+1)*IF('08_ФОТ'!Z$3&lt;'01_Вводные'!$B$250,'01_Вводные'!$B$123,'01_Вводные'!$B$124)/'01_Вводные'!$B$132</f>
        <v/>
      </c>
      <c r="AA2676">
        <f>('01_Вводные'!$B$118+'19_Расчет_аналитики'!AA2671+1)*IF('08_ФОТ'!AA$3&lt;'01_Вводные'!$B$250,'01_Вводные'!$B$123,'01_Вводные'!$B$124)/'01_Вводные'!$B$132</f>
        <v/>
      </c>
      <c r="AB2676">
        <f>('01_Вводные'!$B$118+'19_Расчет_аналитики'!AB2671+1)*IF('08_ФОТ'!AB$3&lt;'01_Вводные'!$B$250,'01_Вводные'!$B$123,'01_Вводные'!$B$124)/'01_Вводные'!$B$132</f>
        <v/>
      </c>
      <c r="AC2676">
        <f>('01_Вводные'!$B$118+'19_Расчет_аналитики'!AC2671+1)*IF('08_ФОТ'!AC$3&lt;'01_Вводные'!$B$250,'01_Вводные'!$B$123,'01_Вводные'!$B$124)/'01_Вводные'!$B$132</f>
        <v/>
      </c>
      <c r="AD2676">
        <f>('01_Вводные'!$B$118+'19_Расчет_аналитики'!AD2671+1)*IF('08_ФОТ'!AD$3&lt;'01_Вводные'!$B$250,'01_Вводные'!$B$123,'01_Вводные'!$B$124)/'01_Вводные'!$B$132</f>
        <v/>
      </c>
      <c r="AE2676">
        <f>('01_Вводные'!$B$118+'19_Расчет_аналитики'!AE2671+1)*IF('08_ФОТ'!AE$3&lt;'01_Вводные'!$B$250,'01_Вводные'!$B$123,'01_Вводные'!$B$124)/'01_Вводные'!$B$132</f>
        <v/>
      </c>
      <c r="AF2676">
        <f>('01_Вводные'!$B$118+'19_Расчет_аналитики'!AF2671+1)*IF('08_ФОТ'!AF$3&lt;'01_Вводные'!$B$250,'01_Вводные'!$B$123,'01_Вводные'!$B$124)/'01_Вводные'!$B$132</f>
        <v/>
      </c>
      <c r="AG2676">
        <f>('01_Вводные'!$B$118+'19_Расчет_аналитики'!AG2671+1)*IF('08_ФОТ'!AG$3&lt;'01_Вводные'!$B$250,'01_Вводные'!$B$123,'01_Вводные'!$B$124)/'01_Вводные'!$B$132</f>
        <v/>
      </c>
      <c r="AH2676">
        <f>('01_Вводные'!$B$118+'19_Расчет_аналитики'!AH2671+1)*IF('08_ФОТ'!AH$3&lt;'01_Вводные'!$B$250,'01_Вводные'!$B$123,'01_Вводные'!$B$124)/'01_Вводные'!$B$132</f>
        <v/>
      </c>
      <c r="AI2676">
        <f>('01_Вводные'!$B$118+'19_Расчет_аналитики'!AI2671+1)*IF('08_ФОТ'!AI$3&lt;'01_Вводные'!$B$250,'01_Вводные'!$B$123,'01_Вводные'!$B$124)/'01_Вводные'!$B$132</f>
        <v/>
      </c>
      <c r="AJ2676">
        <f>('01_Вводные'!$B$118+'19_Расчет_аналитики'!AJ2671+1)*IF('08_ФОТ'!AJ$3&lt;'01_Вводные'!$B$250,'01_Вводные'!$B$123,'01_Вводные'!$B$124)/'01_Вводные'!$B$132</f>
        <v/>
      </c>
      <c r="AK2676">
        <f>('01_Вводные'!$B$118+'19_Расчет_аналитики'!AK2671+1)*IF('08_ФОТ'!AK$3&lt;'01_Вводные'!$B$250,'01_Вводные'!$B$123,'01_Вводные'!$B$124)/'01_Вводные'!$B$132</f>
        <v/>
      </c>
      <c r="AL2676">
        <f>('01_Вводные'!$B$118+'19_Расчет_аналитики'!AL2671+1)*IF('08_ФОТ'!AL$3&lt;'01_Вводные'!$B$250,'01_Вводные'!$B$123,'01_Вводные'!$B$124)/'01_Вводные'!$B$132</f>
        <v/>
      </c>
      <c r="AM2676">
        <f>('01_Вводные'!$B$118+'19_Расчет_аналитики'!AM2671+1)*IF('08_ФОТ'!AM$3&lt;'01_Вводные'!$B$250,'01_Вводные'!$B$123,'01_Вводные'!$B$124)/'01_Вводные'!$B$132</f>
        <v/>
      </c>
      <c r="AN2676">
        <f>('01_Вводные'!$B$118+'19_Расчет_аналитики'!AN2671+1)*IF('08_ФОТ'!AN$3&lt;'01_Вводные'!$B$250,'01_Вводные'!$B$123,'01_Вводные'!$B$124)/'01_Вводные'!$B$132</f>
        <v/>
      </c>
      <c r="AO2676">
        <f>('01_Вводные'!$B$118+'19_Расчет_аналитики'!AO2671+1)*IF('08_ФОТ'!AO$3&lt;'01_Вводные'!$B$250,'01_Вводные'!$B$123,'01_Вводные'!$B$124)/'01_Вводные'!$B$132</f>
        <v/>
      </c>
      <c r="AP2676">
        <f>('01_Вводные'!$B$118+'19_Расчет_аналитики'!AP2671+1)*IF('08_ФОТ'!AP$3&lt;'01_Вводные'!$B$250,'01_Вводные'!$B$123,'01_Вводные'!$B$124)/'01_Вводные'!$B$132</f>
        <v/>
      </c>
      <c r="AQ2676">
        <f>('01_Вводные'!$B$118+'19_Расчет_аналитики'!AQ2671+1)*IF('08_ФОТ'!AQ$3&lt;'01_Вводные'!$B$250,'01_Вводные'!$B$123,'01_Вводные'!$B$124)/'01_Вводные'!$B$132</f>
        <v/>
      </c>
      <c r="AR2676">
        <f>('01_Вводные'!$B$118+'19_Расчет_аналитики'!AR2671+1)*IF('08_ФОТ'!AR$3&lt;'01_Вводные'!$B$250,'01_Вводные'!$B$123,'01_Вводные'!$B$124)/'01_Вводные'!$B$132</f>
        <v/>
      </c>
      <c r="AS2676">
        <f>('01_Вводные'!$B$118+'19_Расчет_аналитики'!AS2671+1)*IF('08_ФОТ'!AS$3&lt;'01_Вводные'!$B$250,'01_Вводные'!$B$123,'01_Вводные'!$B$124)/'01_Вводные'!$B$132</f>
        <v/>
      </c>
      <c r="AT2676">
        <f>('01_Вводные'!$B$118+'19_Расчет_аналитики'!AT2671+1)*IF('08_ФОТ'!AT$3&lt;'01_Вводные'!$B$250,'01_Вводные'!$B$123,'01_Вводные'!$B$124)/'01_Вводные'!$B$132</f>
        <v/>
      </c>
      <c r="AU2676">
        <f>('01_Вводные'!$B$118+'19_Расчет_аналитики'!AU2671+1)*IF('08_ФОТ'!AU$3&lt;'01_Вводные'!$B$250,'01_Вводные'!$B$123,'01_Вводные'!$B$124)/'01_Вводные'!$B$132</f>
        <v/>
      </c>
      <c r="AV2676">
        <f>('01_Вводные'!$B$118+'19_Расчет_аналитики'!AV2671+1)*IF('08_ФОТ'!AV$3&lt;'01_Вводные'!$B$250,'01_Вводные'!$B$123,'01_Вводные'!$B$124)/'01_Вводные'!$B$132</f>
        <v/>
      </c>
      <c r="AW2676">
        <f>('01_Вводные'!$B$118+'19_Расчет_аналитики'!AW2671+1)*IF('08_ФОТ'!AW$3&lt;'01_Вводные'!$B$250,'01_Вводные'!$B$123,'01_Вводные'!$B$124)/'01_Вводные'!$B$132</f>
        <v/>
      </c>
      <c r="AX2676">
        <f>('01_Вводные'!$B$118+'19_Расчет_аналитики'!AX2671+1)*IF('08_ФОТ'!AX$3&lt;'01_Вводные'!$B$250,'01_Вводные'!$B$123,'01_Вводные'!$B$124)/'01_Вводные'!$B$132</f>
        <v/>
      </c>
      <c r="AY2676">
        <f>('01_Вводные'!$B$118+'19_Расчет_аналитики'!AY2671+1)*IF('08_ФОТ'!AY$3&lt;'01_Вводные'!$B$250,'01_Вводные'!$B$123,'01_Вводные'!$B$124)/'01_Вводные'!$B$132</f>
        <v/>
      </c>
      <c r="AZ2676">
        <f>('01_Вводные'!$B$118+'19_Расчет_аналитики'!AZ2671+1)*IF('08_ФОТ'!AZ$3&lt;'01_Вводные'!$B$250,'01_Вводные'!$B$123,'01_Вводные'!$B$124)/'01_Вводные'!$B$132</f>
        <v/>
      </c>
      <c r="BA2676">
        <f>('01_Вводные'!$B$118+'19_Расчет_аналитики'!BA2671+1)*IF('08_ФОТ'!BA$3&lt;'01_Вводные'!$B$250,'01_Вводные'!$B$123,'01_Вводные'!$B$124)/'01_Вводные'!$B$132</f>
        <v/>
      </c>
      <c r="BB2676">
        <f>('01_Вводные'!$B$118+'19_Расчет_аналитики'!BB2671+1)*IF('08_ФОТ'!BB$3&lt;'01_Вводные'!$B$250,'01_Вводные'!$B$123,'01_Вводные'!$B$124)/'01_Вводные'!$B$132</f>
        <v/>
      </c>
      <c r="BC2676">
        <f>('01_Вводные'!$B$118+'19_Расчет_аналитики'!BC2671+1)*IF('08_ФОТ'!BC$3&lt;'01_Вводные'!$B$250,'01_Вводные'!$B$123,'01_Вводные'!$B$124)/'01_Вводные'!$B$132</f>
        <v/>
      </c>
      <c r="BD2676">
        <f>('01_Вводные'!$B$118+'19_Расчет_аналитики'!BD2671+1)*IF('08_ФОТ'!BD$3&lt;'01_Вводные'!$B$250,'01_Вводные'!$B$123,'01_Вводные'!$B$124)/'01_Вводные'!$B$132</f>
        <v/>
      </c>
      <c r="BE2676">
        <f>('01_Вводные'!$B$118+'19_Расчет_аналитики'!BE2671+1)*IF('08_ФОТ'!BE$3&lt;'01_Вводные'!$B$250,'01_Вводные'!$B$123,'01_Вводные'!$B$124)/'01_Вводные'!$B$132</f>
        <v/>
      </c>
      <c r="BF2676">
        <f>('01_Вводные'!$B$118+'19_Расчет_аналитики'!BF2671+1)*IF('08_ФОТ'!BF$3&lt;'01_Вводные'!$B$250,'01_Вводные'!$B$123,'01_Вводные'!$B$124)/'01_Вводные'!$B$132</f>
        <v/>
      </c>
      <c r="BG2676">
        <f>('01_Вводные'!$B$118+'19_Расчет_аналитики'!BG2671+1)*IF('08_ФОТ'!BG$3&lt;'01_Вводные'!$B$250,'01_Вводные'!$B$123,'01_Вводные'!$B$124)/'01_Вводные'!$B$132</f>
        <v/>
      </c>
      <c r="BH2676">
        <f>('01_Вводные'!$B$118+'19_Расчет_аналитики'!BH2671+1)*IF('08_ФОТ'!BH$3&lt;'01_Вводные'!$B$250,'01_Вводные'!$B$123,'01_Вводные'!$B$124)/'01_Вводные'!$B$132</f>
        <v/>
      </c>
      <c r="BI2676">
        <f>('01_Вводные'!$B$118+'19_Расчет_аналитики'!BI2671+1)*IF('08_ФОТ'!BI$3&lt;'01_Вводные'!$B$250,'01_Вводные'!$B$123,'01_Вводные'!$B$124)/'01_Вводные'!$B$132</f>
        <v/>
      </c>
    </row>
    <row r="2677">
      <c r="C2677">
        <f>'19_Расчет_аналитики'!C2676*'01_Вводные'!$B$131</f>
        <v/>
      </c>
      <c r="D2677">
        <f>'19_Расчет_аналитики'!D2676*'01_Вводные'!$B$131</f>
        <v/>
      </c>
      <c r="E2677">
        <f>'19_Расчет_аналитики'!E2676*'01_Вводные'!$B$131</f>
        <v/>
      </c>
      <c r="F2677">
        <f>'19_Расчет_аналитики'!F2676*'01_Вводные'!$B$131</f>
        <v/>
      </c>
      <c r="G2677">
        <f>'19_Расчет_аналитики'!G2676*'01_Вводные'!$B$131</f>
        <v/>
      </c>
      <c r="H2677">
        <f>'19_Расчет_аналитики'!H2676*'01_Вводные'!$B$131</f>
        <v/>
      </c>
      <c r="I2677">
        <f>'19_Расчет_аналитики'!I2676*'01_Вводные'!$B$131</f>
        <v/>
      </c>
      <c r="J2677">
        <f>'19_Расчет_аналитики'!J2676*'01_Вводные'!$B$131</f>
        <v/>
      </c>
      <c r="K2677">
        <f>'19_Расчет_аналитики'!K2676*'01_Вводные'!$B$131</f>
        <v/>
      </c>
      <c r="L2677">
        <f>'19_Расчет_аналитики'!L2676*'01_Вводные'!$B$131</f>
        <v/>
      </c>
      <c r="M2677">
        <f>'19_Расчет_аналитики'!M2676*'01_Вводные'!$B$131</f>
        <v/>
      </c>
      <c r="N2677">
        <f>'19_Расчет_аналитики'!N2676*'01_Вводные'!$B$131</f>
        <v/>
      </c>
      <c r="O2677">
        <f>'19_Расчет_аналитики'!O2676*'01_Вводные'!$B$131</f>
        <v/>
      </c>
      <c r="P2677">
        <f>'19_Расчет_аналитики'!P2676*'01_Вводные'!$B$131</f>
        <v/>
      </c>
      <c r="Q2677">
        <f>'19_Расчет_аналитики'!Q2676*'01_Вводные'!$B$131</f>
        <v/>
      </c>
      <c r="R2677">
        <f>'19_Расчет_аналитики'!R2676*'01_Вводные'!$B$131</f>
        <v/>
      </c>
      <c r="S2677">
        <f>'19_Расчет_аналитики'!S2676*'01_Вводные'!$B$131</f>
        <v/>
      </c>
      <c r="T2677">
        <f>'19_Расчет_аналитики'!T2676*'01_Вводные'!$B$131</f>
        <v/>
      </c>
      <c r="U2677">
        <f>'19_Расчет_аналитики'!U2676*'01_Вводные'!$B$131</f>
        <v/>
      </c>
      <c r="V2677">
        <f>'19_Расчет_аналитики'!V2676*'01_Вводные'!$B$131</f>
        <v/>
      </c>
      <c r="W2677">
        <f>'19_Расчет_аналитики'!W2676*'01_Вводные'!$B$131</f>
        <v/>
      </c>
      <c r="X2677">
        <f>'19_Расчет_аналитики'!X2676*'01_Вводные'!$B$131</f>
        <v/>
      </c>
      <c r="Y2677">
        <f>'19_Расчет_аналитики'!Y2676*'01_Вводные'!$B$131</f>
        <v/>
      </c>
      <c r="Z2677">
        <f>'19_Расчет_аналитики'!Z2676*'01_Вводные'!$B$131</f>
        <v/>
      </c>
      <c r="AA2677">
        <f>'19_Расчет_аналитики'!AA2676*'01_Вводные'!$B$131</f>
        <v/>
      </c>
      <c r="AB2677">
        <f>'19_Расчет_аналитики'!AB2676*'01_Вводные'!$B$131</f>
        <v/>
      </c>
      <c r="AC2677">
        <f>'19_Расчет_аналитики'!AC2676*'01_Вводные'!$B$131</f>
        <v/>
      </c>
      <c r="AD2677">
        <f>'19_Расчет_аналитики'!AD2676*'01_Вводные'!$B$131</f>
        <v/>
      </c>
      <c r="AE2677">
        <f>'19_Расчет_аналитики'!AE2676*'01_Вводные'!$B$131</f>
        <v/>
      </c>
      <c r="AF2677">
        <f>'19_Расчет_аналитики'!AF2676*'01_Вводные'!$B$131</f>
        <v/>
      </c>
      <c r="AG2677">
        <f>'19_Расчет_аналитики'!AG2676*'01_Вводные'!$B$131</f>
        <v/>
      </c>
      <c r="AH2677">
        <f>'19_Расчет_аналитики'!AH2676*'01_Вводные'!$B$131</f>
        <v/>
      </c>
      <c r="AI2677">
        <f>'19_Расчет_аналитики'!AI2676*'01_Вводные'!$B$131</f>
        <v/>
      </c>
      <c r="AJ2677">
        <f>'19_Расчет_аналитики'!AJ2676*'01_Вводные'!$B$131</f>
        <v/>
      </c>
      <c r="AK2677">
        <f>'19_Расчет_аналитики'!AK2676*'01_Вводные'!$B$131</f>
        <v/>
      </c>
      <c r="AL2677">
        <f>'19_Расчет_аналитики'!AL2676*'01_Вводные'!$B$131</f>
        <v/>
      </c>
      <c r="AM2677">
        <f>'19_Расчет_аналитики'!AM2676*'01_Вводные'!$B$131</f>
        <v/>
      </c>
      <c r="AN2677">
        <f>'19_Расчет_аналитики'!AN2676*'01_Вводные'!$B$131</f>
        <v/>
      </c>
      <c r="AO2677">
        <f>'19_Расчет_аналитики'!AO2676*'01_Вводные'!$B$131</f>
        <v/>
      </c>
      <c r="AP2677">
        <f>'19_Расчет_аналитики'!AP2676*'01_Вводные'!$B$131</f>
        <v/>
      </c>
      <c r="AQ2677">
        <f>'19_Расчет_аналитики'!AQ2676*'01_Вводные'!$B$131</f>
        <v/>
      </c>
      <c r="AR2677">
        <f>'19_Расчет_аналитики'!AR2676*'01_Вводные'!$B$131</f>
        <v/>
      </c>
      <c r="AS2677">
        <f>'19_Расчет_аналитики'!AS2676*'01_Вводные'!$B$131</f>
        <v/>
      </c>
      <c r="AT2677">
        <f>'19_Расчет_аналитики'!AT2676*'01_Вводные'!$B$131</f>
        <v/>
      </c>
      <c r="AU2677">
        <f>'19_Расчет_аналитики'!AU2676*'01_Вводные'!$B$131</f>
        <v/>
      </c>
      <c r="AV2677">
        <f>'19_Расчет_аналитики'!AV2676*'01_Вводные'!$B$131</f>
        <v/>
      </c>
      <c r="AW2677">
        <f>'19_Расчет_аналитики'!AW2676*'01_Вводные'!$B$131</f>
        <v/>
      </c>
      <c r="AX2677">
        <f>'19_Расчет_аналитики'!AX2676*'01_Вводные'!$B$131</f>
        <v/>
      </c>
      <c r="AY2677">
        <f>'19_Расчет_аналитики'!AY2676*'01_Вводные'!$B$131</f>
        <v/>
      </c>
      <c r="AZ2677">
        <f>'19_Расчет_аналитики'!AZ2676*'01_Вводные'!$B$131</f>
        <v/>
      </c>
      <c r="BA2677">
        <f>'19_Расчет_аналитики'!BA2676*'01_Вводные'!$B$131</f>
        <v/>
      </c>
      <c r="BB2677">
        <f>'19_Расчет_аналитики'!BB2676*'01_Вводные'!$B$131</f>
        <v/>
      </c>
      <c r="BC2677">
        <f>'19_Расчет_аналитики'!BC2676*'01_Вводные'!$B$131</f>
        <v/>
      </c>
      <c r="BD2677">
        <f>'19_Расчет_аналитики'!BD2676*'01_Вводные'!$B$131</f>
        <v/>
      </c>
      <c r="BE2677">
        <f>'19_Расчет_аналитики'!BE2676*'01_Вводные'!$B$131</f>
        <v/>
      </c>
      <c r="BF2677">
        <f>'19_Расчет_аналитики'!BF2676*'01_Вводные'!$B$131</f>
        <v/>
      </c>
      <c r="BG2677">
        <f>'19_Расчет_аналитики'!BG2676*'01_Вводные'!$B$131</f>
        <v/>
      </c>
      <c r="BH2677">
        <f>'19_Расчет_аналитики'!BH2676*'01_Вводные'!$B$131</f>
        <v/>
      </c>
      <c r="BI2677">
        <f>'19_Расчет_аналитики'!BI2676*'01_Вводные'!$B$131</f>
        <v/>
      </c>
    </row>
    <row r="2678">
      <c r="C2678">
        <f>IF('19_Расчет_аналитики'!C2362&gt;=2,'19_Расчет_аналитики'!C2373*'01_Вводные'!$B$125/(1+'01_Вводные'!$B$131),0)</f>
        <v/>
      </c>
      <c r="D2678">
        <f>IF('19_Расчет_аналитики'!D2362&gt;=2,'19_Расчет_аналитики'!D2373*'01_Вводные'!$B$125/(1+'01_Вводные'!$B$131),0)</f>
        <v/>
      </c>
      <c r="E2678">
        <f>IF('19_Расчет_аналитики'!E2362&gt;=2,'19_Расчет_аналитики'!E2373*'01_Вводные'!$B$125/(1+'01_Вводные'!$B$131),0)</f>
        <v/>
      </c>
      <c r="F2678">
        <f>IF('19_Расчет_аналитики'!F2362&gt;=2,'19_Расчет_аналитики'!F2373*'01_Вводные'!$B$125/(1+'01_Вводные'!$B$131),0)</f>
        <v/>
      </c>
      <c r="G2678">
        <f>IF('19_Расчет_аналитики'!G2362&gt;=2,'19_Расчет_аналитики'!G2373*'01_Вводные'!$B$125/(1+'01_Вводные'!$B$131),0)</f>
        <v/>
      </c>
      <c r="H2678">
        <f>IF('19_Расчет_аналитики'!H2362&gt;=2,'19_Расчет_аналитики'!H2373*'01_Вводные'!$B$125/(1+'01_Вводные'!$B$131),0)</f>
        <v/>
      </c>
      <c r="I2678">
        <f>IF('19_Расчет_аналитики'!I2362&gt;=2,'19_Расчет_аналитики'!I2373*'01_Вводные'!$B$125/(1+'01_Вводные'!$B$131),0)</f>
        <v/>
      </c>
      <c r="J2678">
        <f>IF('19_Расчет_аналитики'!J2362&gt;=2,'19_Расчет_аналитики'!J2373*'01_Вводные'!$B$125/(1+'01_Вводные'!$B$131),0)</f>
        <v/>
      </c>
      <c r="K2678">
        <f>IF('19_Расчет_аналитики'!K2362&gt;=2,'19_Расчет_аналитики'!K2373*'01_Вводные'!$B$125/(1+'01_Вводные'!$B$131),0)</f>
        <v/>
      </c>
      <c r="L2678">
        <f>IF('19_Расчет_аналитики'!L2362&gt;=2,'19_Расчет_аналитики'!L2373*'01_Вводные'!$B$125/(1+'01_Вводные'!$B$131),0)</f>
        <v/>
      </c>
      <c r="M2678">
        <f>IF('19_Расчет_аналитики'!M2362&gt;=2,'19_Расчет_аналитики'!M2373*'01_Вводные'!$B$125/(1+'01_Вводные'!$B$131),0)</f>
        <v/>
      </c>
      <c r="N2678">
        <f>IF('19_Расчет_аналитики'!N2362&gt;=2,'19_Расчет_аналитики'!N2373*'01_Вводные'!$B$125/(1+'01_Вводные'!$B$131),0)</f>
        <v/>
      </c>
      <c r="O2678">
        <f>IF('19_Расчет_аналитики'!O2362&gt;=2,'19_Расчет_аналитики'!O2373*'01_Вводные'!$B$125/(1+'01_Вводные'!$B$131),0)</f>
        <v/>
      </c>
      <c r="P2678">
        <f>IF('19_Расчет_аналитики'!P2362&gt;=2,'19_Расчет_аналитики'!P2373*'01_Вводные'!$B$125/(1+'01_Вводные'!$B$131),0)</f>
        <v/>
      </c>
      <c r="Q2678">
        <f>IF('19_Расчет_аналитики'!Q2362&gt;=2,'19_Расчет_аналитики'!Q2373*'01_Вводные'!$B$125/(1+'01_Вводные'!$B$131),0)</f>
        <v/>
      </c>
      <c r="R2678">
        <f>IF('19_Расчет_аналитики'!R2362&gt;=2,'19_Расчет_аналитики'!R2373*'01_Вводные'!$B$125/(1+'01_Вводные'!$B$131),0)</f>
        <v/>
      </c>
      <c r="S2678">
        <f>IF('19_Расчет_аналитики'!S2362&gt;=2,'19_Расчет_аналитики'!S2373*'01_Вводные'!$B$125/(1+'01_Вводные'!$B$131),0)</f>
        <v/>
      </c>
      <c r="T2678">
        <f>IF('19_Расчет_аналитики'!T2362&gt;=2,'19_Расчет_аналитики'!T2373*'01_Вводные'!$B$125/(1+'01_Вводные'!$B$131),0)</f>
        <v/>
      </c>
      <c r="U2678">
        <f>IF('19_Расчет_аналитики'!U2362&gt;=2,'19_Расчет_аналитики'!U2373*'01_Вводные'!$B$125/(1+'01_Вводные'!$B$131),0)</f>
        <v/>
      </c>
      <c r="V2678">
        <f>IF('19_Расчет_аналитики'!V2362&gt;=2,'19_Расчет_аналитики'!V2373*'01_Вводные'!$B$125/(1+'01_Вводные'!$B$131),0)</f>
        <v/>
      </c>
      <c r="W2678">
        <f>IF('19_Расчет_аналитики'!W2362&gt;=2,'19_Расчет_аналитики'!W2373*'01_Вводные'!$B$125/(1+'01_Вводные'!$B$131),0)</f>
        <v/>
      </c>
      <c r="X2678">
        <f>IF('19_Расчет_аналитики'!X2362&gt;=2,'19_Расчет_аналитики'!X2373*'01_Вводные'!$B$125/(1+'01_Вводные'!$B$131),0)</f>
        <v/>
      </c>
      <c r="Y2678">
        <f>IF('19_Расчет_аналитики'!Y2362&gt;=2,'19_Расчет_аналитики'!Y2373*'01_Вводные'!$B$125/(1+'01_Вводные'!$B$131),0)</f>
        <v/>
      </c>
      <c r="Z2678">
        <f>IF('19_Расчет_аналитики'!Z2362&gt;=2,'19_Расчет_аналитики'!Z2373*'01_Вводные'!$B$125/(1+'01_Вводные'!$B$131),0)</f>
        <v/>
      </c>
      <c r="AA2678">
        <f>IF('19_Расчет_аналитики'!AA2362&gt;=2,'19_Расчет_аналитики'!AA2373*'01_Вводные'!$B$125/(1+'01_Вводные'!$B$131),0)</f>
        <v/>
      </c>
      <c r="AB2678">
        <f>IF('19_Расчет_аналитики'!AB2362&gt;=2,'19_Расчет_аналитики'!AB2373*'01_Вводные'!$B$125/(1+'01_Вводные'!$B$131),0)</f>
        <v/>
      </c>
      <c r="AC2678">
        <f>IF('19_Расчет_аналитики'!AC2362&gt;=2,'19_Расчет_аналитики'!AC2373*'01_Вводные'!$B$125/(1+'01_Вводные'!$B$131),0)</f>
        <v/>
      </c>
      <c r="AD2678">
        <f>IF('19_Расчет_аналитики'!AD2362&gt;=2,'19_Расчет_аналитики'!AD2373*'01_Вводные'!$B$125/(1+'01_Вводные'!$B$131),0)</f>
        <v/>
      </c>
      <c r="AE2678">
        <f>IF('19_Расчет_аналитики'!AE2362&gt;=2,'19_Расчет_аналитики'!AE2373*'01_Вводные'!$B$125/(1+'01_Вводные'!$B$131),0)</f>
        <v/>
      </c>
      <c r="AF2678">
        <f>IF('19_Расчет_аналитики'!AF2362&gt;=2,'19_Расчет_аналитики'!AF2373*'01_Вводные'!$B$125/(1+'01_Вводные'!$B$131),0)</f>
        <v/>
      </c>
      <c r="AG2678">
        <f>IF('19_Расчет_аналитики'!AG2362&gt;=2,'19_Расчет_аналитики'!AG2373*'01_Вводные'!$B$125/(1+'01_Вводные'!$B$131),0)</f>
        <v/>
      </c>
      <c r="AH2678">
        <f>IF('19_Расчет_аналитики'!AH2362&gt;=2,'19_Расчет_аналитики'!AH2373*'01_Вводные'!$B$125/(1+'01_Вводные'!$B$131),0)</f>
        <v/>
      </c>
      <c r="AI2678">
        <f>IF('19_Расчет_аналитики'!AI2362&gt;=2,'19_Расчет_аналитики'!AI2373*'01_Вводные'!$B$125/(1+'01_Вводные'!$B$131),0)</f>
        <v/>
      </c>
      <c r="AJ2678">
        <f>IF('19_Расчет_аналитики'!AJ2362&gt;=2,'19_Расчет_аналитики'!AJ2373*'01_Вводные'!$B$125/(1+'01_Вводные'!$B$131),0)</f>
        <v/>
      </c>
      <c r="AK2678">
        <f>IF('19_Расчет_аналитики'!AK2362&gt;=2,'19_Расчет_аналитики'!AK2373*'01_Вводные'!$B$125/(1+'01_Вводные'!$B$131),0)</f>
        <v/>
      </c>
      <c r="AL2678">
        <f>IF('19_Расчет_аналитики'!AL2362&gt;=2,'19_Расчет_аналитики'!AL2373*'01_Вводные'!$B$125/(1+'01_Вводные'!$B$131),0)</f>
        <v/>
      </c>
      <c r="AM2678">
        <f>IF('19_Расчет_аналитики'!AM2362&gt;=2,'19_Расчет_аналитики'!AM2373*'01_Вводные'!$B$125/(1+'01_Вводные'!$B$131),0)</f>
        <v/>
      </c>
      <c r="AN2678">
        <f>IF('19_Расчет_аналитики'!AN2362&gt;=2,'19_Расчет_аналитики'!AN2373*'01_Вводные'!$B$125/(1+'01_Вводные'!$B$131),0)</f>
        <v/>
      </c>
      <c r="AO2678">
        <f>IF('19_Расчет_аналитики'!AO2362&gt;=2,'19_Расчет_аналитики'!AO2373*'01_Вводные'!$B$125/(1+'01_Вводные'!$B$131),0)</f>
        <v/>
      </c>
      <c r="AP2678">
        <f>IF('19_Расчет_аналитики'!AP2362&gt;=2,'19_Расчет_аналитики'!AP2373*'01_Вводные'!$B$125/(1+'01_Вводные'!$B$131),0)</f>
        <v/>
      </c>
      <c r="AQ2678">
        <f>IF('19_Расчет_аналитики'!AQ2362&gt;=2,'19_Расчет_аналитики'!AQ2373*'01_Вводные'!$B$125/(1+'01_Вводные'!$B$131),0)</f>
        <v/>
      </c>
      <c r="AR2678">
        <f>IF('19_Расчет_аналитики'!AR2362&gt;=2,'19_Расчет_аналитики'!AR2373*'01_Вводные'!$B$125/(1+'01_Вводные'!$B$131),0)</f>
        <v/>
      </c>
      <c r="AS2678">
        <f>IF('19_Расчет_аналитики'!AS2362&gt;=2,'19_Расчет_аналитики'!AS2373*'01_Вводные'!$B$125/(1+'01_Вводные'!$B$131),0)</f>
        <v/>
      </c>
      <c r="AT2678">
        <f>IF('19_Расчет_аналитики'!AT2362&gt;=2,'19_Расчет_аналитики'!AT2373*'01_Вводные'!$B$125/(1+'01_Вводные'!$B$131),0)</f>
        <v/>
      </c>
      <c r="AU2678">
        <f>IF('19_Расчет_аналитики'!AU2362&gt;=2,'19_Расчет_аналитики'!AU2373*'01_Вводные'!$B$125/(1+'01_Вводные'!$B$131),0)</f>
        <v/>
      </c>
      <c r="AV2678">
        <f>IF('19_Расчет_аналитики'!AV2362&gt;=2,'19_Расчет_аналитики'!AV2373*'01_Вводные'!$B$125/(1+'01_Вводные'!$B$131),0)</f>
        <v/>
      </c>
      <c r="AW2678">
        <f>IF('19_Расчет_аналитики'!AW2362&gt;=2,'19_Расчет_аналитики'!AW2373*'01_Вводные'!$B$125/(1+'01_Вводные'!$B$131),0)</f>
        <v/>
      </c>
      <c r="AX2678">
        <f>IF('19_Расчет_аналитики'!AX2362&gt;=2,'19_Расчет_аналитики'!AX2373*'01_Вводные'!$B$125/(1+'01_Вводные'!$B$131),0)</f>
        <v/>
      </c>
      <c r="AY2678">
        <f>IF('19_Расчет_аналитики'!AY2362&gt;=2,'19_Расчет_аналитики'!AY2373*'01_Вводные'!$B$125/(1+'01_Вводные'!$B$131),0)</f>
        <v/>
      </c>
      <c r="AZ2678">
        <f>IF('19_Расчет_аналитики'!AZ2362&gt;=2,'19_Расчет_аналитики'!AZ2373*'01_Вводные'!$B$125/(1+'01_Вводные'!$B$131),0)</f>
        <v/>
      </c>
      <c r="BA2678">
        <f>IF('19_Расчет_аналитики'!BA2362&gt;=2,'19_Расчет_аналитики'!BA2373*'01_Вводные'!$B$125/(1+'01_Вводные'!$B$131),0)</f>
        <v/>
      </c>
      <c r="BB2678">
        <f>IF('19_Расчет_аналитики'!BB2362&gt;=2,'19_Расчет_аналитики'!BB2373*'01_Вводные'!$B$125/(1+'01_Вводные'!$B$131),0)</f>
        <v/>
      </c>
      <c r="BC2678">
        <f>IF('19_Расчет_аналитики'!BC2362&gt;=2,'19_Расчет_аналитики'!BC2373*'01_Вводные'!$B$125/(1+'01_Вводные'!$B$131),0)</f>
        <v/>
      </c>
      <c r="BD2678">
        <f>IF('19_Расчет_аналитики'!BD2362&gt;=2,'19_Расчет_аналитики'!BD2373*'01_Вводные'!$B$125/(1+'01_Вводные'!$B$131),0)</f>
        <v/>
      </c>
      <c r="BE2678">
        <f>IF('19_Расчет_аналитики'!BE2362&gt;=2,'19_Расчет_аналитики'!BE2373*'01_Вводные'!$B$125/(1+'01_Вводные'!$B$131),0)</f>
        <v/>
      </c>
      <c r="BF2678">
        <f>IF('19_Расчет_аналитики'!BF2362&gt;=2,'19_Расчет_аналитики'!BF2373*'01_Вводные'!$B$125/(1+'01_Вводные'!$B$131),0)</f>
        <v/>
      </c>
      <c r="BG2678">
        <f>IF('19_Расчет_аналитики'!BG2362&gt;=2,'19_Расчет_аналитики'!BG2373*'01_Вводные'!$B$125/(1+'01_Вводные'!$B$131),0)</f>
        <v/>
      </c>
      <c r="BH2678">
        <f>IF('19_Расчет_аналитики'!BH2362&gt;=2,'19_Расчет_аналитики'!BH2373*'01_Вводные'!$B$125/(1+'01_Вводные'!$B$131),0)</f>
        <v/>
      </c>
      <c r="BI2678">
        <f>IF('19_Расчет_аналитики'!BI2362&gt;=2,'19_Расчет_аналитики'!BI2373*'01_Вводные'!$B$125/(1+'01_Вводные'!$B$131),0)</f>
        <v/>
      </c>
    </row>
    <row r="2679">
      <c r="C2679">
        <f>'19_Расчет_аналитики'!C2678*'01_Вводные'!$B$131</f>
        <v/>
      </c>
      <c r="D2679">
        <f>'19_Расчет_аналитики'!D2678*'01_Вводные'!$B$131</f>
        <v/>
      </c>
      <c r="E2679">
        <f>'19_Расчет_аналитики'!E2678*'01_Вводные'!$B$131</f>
        <v/>
      </c>
      <c r="F2679">
        <f>'19_Расчет_аналитики'!F2678*'01_Вводные'!$B$131</f>
        <v/>
      </c>
      <c r="G2679">
        <f>'19_Расчет_аналитики'!G2678*'01_Вводные'!$B$131</f>
        <v/>
      </c>
      <c r="H2679">
        <f>'19_Расчет_аналитики'!H2678*'01_Вводные'!$B$131</f>
        <v/>
      </c>
      <c r="I2679">
        <f>'19_Расчет_аналитики'!I2678*'01_Вводные'!$B$131</f>
        <v/>
      </c>
      <c r="J2679">
        <f>'19_Расчет_аналитики'!J2678*'01_Вводные'!$B$131</f>
        <v/>
      </c>
      <c r="K2679">
        <f>'19_Расчет_аналитики'!K2678*'01_Вводные'!$B$131</f>
        <v/>
      </c>
      <c r="L2679">
        <f>'19_Расчет_аналитики'!L2678*'01_Вводные'!$B$131</f>
        <v/>
      </c>
      <c r="M2679">
        <f>'19_Расчет_аналитики'!M2678*'01_Вводные'!$B$131</f>
        <v/>
      </c>
      <c r="N2679">
        <f>'19_Расчет_аналитики'!N2678*'01_Вводные'!$B$131</f>
        <v/>
      </c>
      <c r="O2679">
        <f>'19_Расчет_аналитики'!O2678*'01_Вводные'!$B$131</f>
        <v/>
      </c>
      <c r="P2679">
        <f>'19_Расчет_аналитики'!P2678*'01_Вводные'!$B$131</f>
        <v/>
      </c>
      <c r="Q2679">
        <f>'19_Расчет_аналитики'!Q2678*'01_Вводные'!$B$131</f>
        <v/>
      </c>
      <c r="R2679">
        <f>'19_Расчет_аналитики'!R2678*'01_Вводные'!$B$131</f>
        <v/>
      </c>
      <c r="S2679">
        <f>'19_Расчет_аналитики'!S2678*'01_Вводные'!$B$131</f>
        <v/>
      </c>
      <c r="T2679">
        <f>'19_Расчет_аналитики'!T2678*'01_Вводные'!$B$131</f>
        <v/>
      </c>
      <c r="U2679">
        <f>'19_Расчет_аналитики'!U2678*'01_Вводные'!$B$131</f>
        <v/>
      </c>
      <c r="V2679">
        <f>'19_Расчет_аналитики'!V2678*'01_Вводные'!$B$131</f>
        <v/>
      </c>
      <c r="W2679">
        <f>'19_Расчет_аналитики'!W2678*'01_Вводные'!$B$131</f>
        <v/>
      </c>
      <c r="X2679">
        <f>'19_Расчет_аналитики'!X2678*'01_Вводные'!$B$131</f>
        <v/>
      </c>
      <c r="Y2679">
        <f>'19_Расчет_аналитики'!Y2678*'01_Вводные'!$B$131</f>
        <v/>
      </c>
      <c r="Z2679">
        <f>'19_Расчет_аналитики'!Z2678*'01_Вводные'!$B$131</f>
        <v/>
      </c>
      <c r="AA2679">
        <f>'19_Расчет_аналитики'!AA2678*'01_Вводные'!$B$131</f>
        <v/>
      </c>
      <c r="AB2679">
        <f>'19_Расчет_аналитики'!AB2678*'01_Вводные'!$B$131</f>
        <v/>
      </c>
      <c r="AC2679">
        <f>'19_Расчет_аналитики'!AC2678*'01_Вводные'!$B$131</f>
        <v/>
      </c>
      <c r="AD2679">
        <f>'19_Расчет_аналитики'!AD2678*'01_Вводные'!$B$131</f>
        <v/>
      </c>
      <c r="AE2679">
        <f>'19_Расчет_аналитики'!AE2678*'01_Вводные'!$B$131</f>
        <v/>
      </c>
      <c r="AF2679">
        <f>'19_Расчет_аналитики'!AF2678*'01_Вводные'!$B$131</f>
        <v/>
      </c>
      <c r="AG2679">
        <f>'19_Расчет_аналитики'!AG2678*'01_Вводные'!$B$131</f>
        <v/>
      </c>
      <c r="AH2679">
        <f>'19_Расчет_аналитики'!AH2678*'01_Вводные'!$B$131</f>
        <v/>
      </c>
      <c r="AI2679">
        <f>'19_Расчет_аналитики'!AI2678*'01_Вводные'!$B$131</f>
        <v/>
      </c>
      <c r="AJ2679">
        <f>'19_Расчет_аналитики'!AJ2678*'01_Вводные'!$B$131</f>
        <v/>
      </c>
      <c r="AK2679">
        <f>'19_Расчет_аналитики'!AK2678*'01_Вводные'!$B$131</f>
        <v/>
      </c>
      <c r="AL2679">
        <f>'19_Расчет_аналитики'!AL2678*'01_Вводные'!$B$131</f>
        <v/>
      </c>
      <c r="AM2679">
        <f>'19_Расчет_аналитики'!AM2678*'01_Вводные'!$B$131</f>
        <v/>
      </c>
      <c r="AN2679">
        <f>'19_Расчет_аналитики'!AN2678*'01_Вводные'!$B$131</f>
        <v/>
      </c>
      <c r="AO2679">
        <f>'19_Расчет_аналитики'!AO2678*'01_Вводные'!$B$131</f>
        <v/>
      </c>
      <c r="AP2679">
        <f>'19_Расчет_аналитики'!AP2678*'01_Вводные'!$B$131</f>
        <v/>
      </c>
      <c r="AQ2679">
        <f>'19_Расчет_аналитики'!AQ2678*'01_Вводные'!$B$131</f>
        <v/>
      </c>
      <c r="AR2679">
        <f>'19_Расчет_аналитики'!AR2678*'01_Вводные'!$B$131</f>
        <v/>
      </c>
      <c r="AS2679">
        <f>'19_Расчет_аналитики'!AS2678*'01_Вводные'!$B$131</f>
        <v/>
      </c>
      <c r="AT2679">
        <f>'19_Расчет_аналитики'!AT2678*'01_Вводные'!$B$131</f>
        <v/>
      </c>
      <c r="AU2679">
        <f>'19_Расчет_аналитики'!AU2678*'01_Вводные'!$B$131</f>
        <v/>
      </c>
      <c r="AV2679">
        <f>'19_Расчет_аналитики'!AV2678*'01_Вводные'!$B$131</f>
        <v/>
      </c>
      <c r="AW2679">
        <f>'19_Расчет_аналитики'!AW2678*'01_Вводные'!$B$131</f>
        <v/>
      </c>
      <c r="AX2679">
        <f>'19_Расчет_аналитики'!AX2678*'01_Вводные'!$B$131</f>
        <v/>
      </c>
      <c r="AY2679">
        <f>'19_Расчет_аналитики'!AY2678*'01_Вводные'!$B$131</f>
        <v/>
      </c>
      <c r="AZ2679">
        <f>'19_Расчет_аналитики'!AZ2678*'01_Вводные'!$B$131</f>
        <v/>
      </c>
      <c r="BA2679">
        <f>'19_Расчет_аналитики'!BA2678*'01_Вводные'!$B$131</f>
        <v/>
      </c>
      <c r="BB2679">
        <f>'19_Расчет_аналитики'!BB2678*'01_Вводные'!$B$131</f>
        <v/>
      </c>
      <c r="BC2679">
        <f>'19_Расчет_аналитики'!BC2678*'01_Вводные'!$B$131</f>
        <v/>
      </c>
      <c r="BD2679">
        <f>'19_Расчет_аналитики'!BD2678*'01_Вводные'!$B$131</f>
        <v/>
      </c>
      <c r="BE2679">
        <f>'19_Расчет_аналитики'!BE2678*'01_Вводные'!$B$131</f>
        <v/>
      </c>
      <c r="BF2679">
        <f>'19_Расчет_аналитики'!BF2678*'01_Вводные'!$B$131</f>
        <v/>
      </c>
      <c r="BG2679">
        <f>'19_Расчет_аналитики'!BG2678*'01_Вводные'!$B$131</f>
        <v/>
      </c>
      <c r="BH2679">
        <f>'19_Расчет_аналитики'!BH2678*'01_Вводные'!$B$131</f>
        <v/>
      </c>
      <c r="BI2679">
        <f>'19_Расчет_аналитики'!BI2678*'01_Вводные'!$B$131</f>
        <v/>
      </c>
    </row>
    <row r="2680">
      <c r="C2680">
        <f>IF('19_Расчет_аналитики'!C2362&gt;='01_Вводные'!$B$126,IF('01_Вводные'!$B$129="ИП",'01_Вводные'!$B$127+'19_Расчет_аналитики'!C2373*'01_Вводные'!$B$128,('01_Вводные'!$B$127/'01_Вводные'!$B$132+'19_Расчет_аналитики'!C2373*'01_Вводные'!$B$128)*(1+'01_Вводные'!$B$131)),0)</f>
        <v/>
      </c>
      <c r="D2680">
        <f>IF('19_Расчет_аналитики'!D2362&gt;='01_Вводные'!$B$126,IF('01_Вводные'!$B$129="ИП",'01_Вводные'!$B$127+'19_Расчет_аналитики'!D2373*'01_Вводные'!$B$128,('01_Вводные'!$B$127/'01_Вводные'!$B$132+'19_Расчет_аналитики'!D2373*'01_Вводные'!$B$128)*(1+'01_Вводные'!$B$131)),0)</f>
        <v/>
      </c>
      <c r="E2680">
        <f>IF('19_Расчет_аналитики'!E2362&gt;='01_Вводные'!$B$126,IF('01_Вводные'!$B$129="ИП",'01_Вводные'!$B$127+'19_Расчет_аналитики'!E2373*'01_Вводные'!$B$128,('01_Вводные'!$B$127/'01_Вводные'!$B$132+'19_Расчет_аналитики'!E2373*'01_Вводные'!$B$128)*(1+'01_Вводные'!$B$131)),0)</f>
        <v/>
      </c>
      <c r="F2680">
        <f>IF('19_Расчет_аналитики'!F2362&gt;='01_Вводные'!$B$126,IF('01_Вводные'!$B$129="ИП",'01_Вводные'!$B$127+'19_Расчет_аналитики'!F2373*'01_Вводные'!$B$128,('01_Вводные'!$B$127/'01_Вводные'!$B$132+'19_Расчет_аналитики'!F2373*'01_Вводные'!$B$128)*(1+'01_Вводные'!$B$131)),0)</f>
        <v/>
      </c>
      <c r="G2680">
        <f>IF('19_Расчет_аналитики'!G2362&gt;='01_Вводные'!$B$126,IF('01_Вводные'!$B$129="ИП",'01_Вводные'!$B$127+'19_Расчет_аналитики'!G2373*'01_Вводные'!$B$128,('01_Вводные'!$B$127/'01_Вводные'!$B$132+'19_Расчет_аналитики'!G2373*'01_Вводные'!$B$128)*(1+'01_Вводные'!$B$131)),0)</f>
        <v/>
      </c>
      <c r="H2680">
        <f>IF('19_Расчет_аналитики'!H2362&gt;='01_Вводные'!$B$126,IF('01_Вводные'!$B$129="ИП",'01_Вводные'!$B$127+'19_Расчет_аналитики'!H2373*'01_Вводные'!$B$128,('01_Вводные'!$B$127/'01_Вводные'!$B$132+'19_Расчет_аналитики'!H2373*'01_Вводные'!$B$128)*(1+'01_Вводные'!$B$131)),0)</f>
        <v/>
      </c>
      <c r="I2680">
        <f>IF('19_Расчет_аналитики'!I2362&gt;='01_Вводные'!$B$126,IF('01_Вводные'!$B$129="ИП",'01_Вводные'!$B$127+'19_Расчет_аналитики'!I2373*'01_Вводные'!$B$128,('01_Вводные'!$B$127/'01_Вводные'!$B$132+'19_Расчет_аналитики'!I2373*'01_Вводные'!$B$128)*(1+'01_Вводные'!$B$131)),0)</f>
        <v/>
      </c>
      <c r="J2680">
        <f>IF('19_Расчет_аналитики'!J2362&gt;='01_Вводные'!$B$126,IF('01_Вводные'!$B$129="ИП",'01_Вводные'!$B$127+'19_Расчет_аналитики'!J2373*'01_Вводные'!$B$128,('01_Вводные'!$B$127/'01_Вводные'!$B$132+'19_Расчет_аналитики'!J2373*'01_Вводные'!$B$128)*(1+'01_Вводные'!$B$131)),0)</f>
        <v/>
      </c>
      <c r="K2680">
        <f>IF('19_Расчет_аналитики'!K2362&gt;='01_Вводные'!$B$126,IF('01_Вводные'!$B$129="ИП",'01_Вводные'!$B$127+'19_Расчет_аналитики'!K2373*'01_Вводные'!$B$128,('01_Вводные'!$B$127/'01_Вводные'!$B$132+'19_Расчет_аналитики'!K2373*'01_Вводные'!$B$128)*(1+'01_Вводные'!$B$131)),0)</f>
        <v/>
      </c>
      <c r="L2680">
        <f>IF('19_Расчет_аналитики'!L2362&gt;='01_Вводные'!$B$126,IF('01_Вводные'!$B$129="ИП",'01_Вводные'!$B$127+'19_Расчет_аналитики'!L2373*'01_Вводные'!$B$128,('01_Вводные'!$B$127/'01_Вводные'!$B$132+'19_Расчет_аналитики'!L2373*'01_Вводные'!$B$128)*(1+'01_Вводные'!$B$131)),0)</f>
        <v/>
      </c>
      <c r="M2680">
        <f>IF('19_Расчет_аналитики'!M2362&gt;='01_Вводные'!$B$126,IF('01_Вводные'!$B$129="ИП",'01_Вводные'!$B$127+'19_Расчет_аналитики'!M2373*'01_Вводные'!$B$128,('01_Вводные'!$B$127/'01_Вводные'!$B$132+'19_Расчет_аналитики'!M2373*'01_Вводные'!$B$128)*(1+'01_Вводные'!$B$131)),0)</f>
        <v/>
      </c>
      <c r="N2680">
        <f>IF('19_Расчет_аналитики'!N2362&gt;='01_Вводные'!$B$126,IF('01_Вводные'!$B$129="ИП",'01_Вводные'!$B$127+'19_Расчет_аналитики'!N2373*'01_Вводные'!$B$128,('01_Вводные'!$B$127/'01_Вводные'!$B$132+'19_Расчет_аналитики'!N2373*'01_Вводные'!$B$128)*(1+'01_Вводные'!$B$131)),0)</f>
        <v/>
      </c>
      <c r="O2680">
        <f>IF('19_Расчет_аналитики'!O2362&gt;='01_Вводные'!$B$126,IF('01_Вводные'!$B$129="ИП",'01_Вводные'!$B$127+'19_Расчет_аналитики'!O2373*'01_Вводные'!$B$128,('01_Вводные'!$B$127/'01_Вводные'!$B$132+'19_Расчет_аналитики'!O2373*'01_Вводные'!$B$128)*(1+'01_Вводные'!$B$131)),0)</f>
        <v/>
      </c>
      <c r="P2680">
        <f>IF('19_Расчет_аналитики'!P2362&gt;='01_Вводные'!$B$126,IF('01_Вводные'!$B$129="ИП",'01_Вводные'!$B$127+'19_Расчет_аналитики'!P2373*'01_Вводные'!$B$128,('01_Вводные'!$B$127/'01_Вводные'!$B$132+'19_Расчет_аналитики'!P2373*'01_Вводные'!$B$128)*(1+'01_Вводные'!$B$131)),0)</f>
        <v/>
      </c>
      <c r="Q2680">
        <f>IF('19_Расчет_аналитики'!Q2362&gt;='01_Вводные'!$B$126,IF('01_Вводные'!$B$129="ИП",'01_Вводные'!$B$127+'19_Расчет_аналитики'!Q2373*'01_Вводные'!$B$128,('01_Вводные'!$B$127/'01_Вводные'!$B$132+'19_Расчет_аналитики'!Q2373*'01_Вводные'!$B$128)*(1+'01_Вводные'!$B$131)),0)</f>
        <v/>
      </c>
      <c r="R2680">
        <f>IF('19_Расчет_аналитики'!R2362&gt;='01_Вводные'!$B$126,IF('01_Вводные'!$B$129="ИП",'01_Вводные'!$B$127+'19_Расчет_аналитики'!R2373*'01_Вводные'!$B$128,('01_Вводные'!$B$127/'01_Вводные'!$B$132+'19_Расчет_аналитики'!R2373*'01_Вводные'!$B$128)*(1+'01_Вводные'!$B$131)),0)</f>
        <v/>
      </c>
      <c r="S2680">
        <f>IF('19_Расчет_аналитики'!S2362&gt;='01_Вводные'!$B$126,IF('01_Вводные'!$B$129="ИП",'01_Вводные'!$B$127+'19_Расчет_аналитики'!S2373*'01_Вводные'!$B$128,('01_Вводные'!$B$127/'01_Вводные'!$B$132+'19_Расчет_аналитики'!S2373*'01_Вводные'!$B$128)*(1+'01_Вводные'!$B$131)),0)</f>
        <v/>
      </c>
      <c r="T2680">
        <f>IF('19_Расчет_аналитики'!T2362&gt;='01_Вводные'!$B$126,IF('01_Вводные'!$B$129="ИП",'01_Вводные'!$B$127+'19_Расчет_аналитики'!T2373*'01_Вводные'!$B$128,('01_Вводные'!$B$127/'01_Вводные'!$B$132+'19_Расчет_аналитики'!T2373*'01_Вводные'!$B$128)*(1+'01_Вводные'!$B$131)),0)</f>
        <v/>
      </c>
      <c r="U2680">
        <f>IF('19_Расчет_аналитики'!U2362&gt;='01_Вводные'!$B$126,IF('01_Вводные'!$B$129="ИП",'01_Вводные'!$B$127+'19_Расчет_аналитики'!U2373*'01_Вводные'!$B$128,('01_Вводные'!$B$127/'01_Вводные'!$B$132+'19_Расчет_аналитики'!U2373*'01_Вводные'!$B$128)*(1+'01_Вводные'!$B$131)),0)</f>
        <v/>
      </c>
      <c r="V2680">
        <f>IF('19_Расчет_аналитики'!V2362&gt;='01_Вводные'!$B$126,IF('01_Вводные'!$B$129="ИП",'01_Вводные'!$B$127+'19_Расчет_аналитики'!V2373*'01_Вводные'!$B$128,('01_Вводные'!$B$127/'01_Вводные'!$B$132+'19_Расчет_аналитики'!V2373*'01_Вводные'!$B$128)*(1+'01_Вводные'!$B$131)),0)</f>
        <v/>
      </c>
      <c r="W2680">
        <f>IF('19_Расчет_аналитики'!W2362&gt;='01_Вводные'!$B$126,IF('01_Вводные'!$B$129="ИП",'01_Вводные'!$B$127+'19_Расчет_аналитики'!W2373*'01_Вводные'!$B$128,('01_Вводные'!$B$127/'01_Вводные'!$B$132+'19_Расчет_аналитики'!W2373*'01_Вводные'!$B$128)*(1+'01_Вводные'!$B$131)),0)</f>
        <v/>
      </c>
      <c r="X2680">
        <f>IF('19_Расчет_аналитики'!X2362&gt;='01_Вводные'!$B$126,IF('01_Вводные'!$B$129="ИП",'01_Вводные'!$B$127+'19_Расчет_аналитики'!X2373*'01_Вводные'!$B$128,('01_Вводные'!$B$127/'01_Вводные'!$B$132+'19_Расчет_аналитики'!X2373*'01_Вводные'!$B$128)*(1+'01_Вводные'!$B$131)),0)</f>
        <v/>
      </c>
      <c r="Y2680">
        <f>IF('19_Расчет_аналитики'!Y2362&gt;='01_Вводные'!$B$126,IF('01_Вводные'!$B$129="ИП",'01_Вводные'!$B$127+'19_Расчет_аналитики'!Y2373*'01_Вводные'!$B$128,('01_Вводные'!$B$127/'01_Вводные'!$B$132+'19_Расчет_аналитики'!Y2373*'01_Вводные'!$B$128)*(1+'01_Вводные'!$B$131)),0)</f>
        <v/>
      </c>
      <c r="Z2680">
        <f>IF('19_Расчет_аналитики'!Z2362&gt;='01_Вводные'!$B$126,IF('01_Вводные'!$B$129="ИП",'01_Вводные'!$B$127+'19_Расчет_аналитики'!Z2373*'01_Вводные'!$B$128,('01_Вводные'!$B$127/'01_Вводные'!$B$132+'19_Расчет_аналитики'!Z2373*'01_Вводные'!$B$128)*(1+'01_Вводные'!$B$131)),0)</f>
        <v/>
      </c>
      <c r="AA2680">
        <f>IF('19_Расчет_аналитики'!AA2362&gt;='01_Вводные'!$B$126,IF('01_Вводные'!$B$129="ИП",'01_Вводные'!$B$127+'19_Расчет_аналитики'!AA2373*'01_Вводные'!$B$128,('01_Вводные'!$B$127/'01_Вводные'!$B$132+'19_Расчет_аналитики'!AA2373*'01_Вводные'!$B$128)*(1+'01_Вводные'!$B$131)),0)</f>
        <v/>
      </c>
      <c r="AB2680">
        <f>IF('19_Расчет_аналитики'!AB2362&gt;='01_Вводные'!$B$126,IF('01_Вводные'!$B$129="ИП",'01_Вводные'!$B$127+'19_Расчет_аналитики'!AB2373*'01_Вводные'!$B$128,('01_Вводные'!$B$127/'01_Вводные'!$B$132+'19_Расчет_аналитики'!AB2373*'01_Вводные'!$B$128)*(1+'01_Вводные'!$B$131)),0)</f>
        <v/>
      </c>
      <c r="AC2680">
        <f>IF('19_Расчет_аналитики'!AC2362&gt;='01_Вводные'!$B$126,IF('01_Вводные'!$B$129="ИП",'01_Вводные'!$B$127+'19_Расчет_аналитики'!AC2373*'01_Вводные'!$B$128,('01_Вводные'!$B$127/'01_Вводные'!$B$132+'19_Расчет_аналитики'!AC2373*'01_Вводные'!$B$128)*(1+'01_Вводные'!$B$131)),0)</f>
        <v/>
      </c>
      <c r="AD2680">
        <f>IF('19_Расчет_аналитики'!AD2362&gt;='01_Вводные'!$B$126,IF('01_Вводные'!$B$129="ИП",'01_Вводные'!$B$127+'19_Расчет_аналитики'!AD2373*'01_Вводные'!$B$128,('01_Вводные'!$B$127/'01_Вводные'!$B$132+'19_Расчет_аналитики'!AD2373*'01_Вводные'!$B$128)*(1+'01_Вводные'!$B$131)),0)</f>
        <v/>
      </c>
      <c r="AE2680">
        <f>IF('19_Расчет_аналитики'!AE2362&gt;='01_Вводные'!$B$126,IF('01_Вводные'!$B$129="ИП",'01_Вводные'!$B$127+'19_Расчет_аналитики'!AE2373*'01_Вводные'!$B$128,('01_Вводные'!$B$127/'01_Вводные'!$B$132+'19_Расчет_аналитики'!AE2373*'01_Вводные'!$B$128)*(1+'01_Вводные'!$B$131)),0)</f>
        <v/>
      </c>
      <c r="AF2680">
        <f>IF('19_Расчет_аналитики'!AF2362&gt;='01_Вводные'!$B$126,IF('01_Вводные'!$B$129="ИП",'01_Вводные'!$B$127+'19_Расчет_аналитики'!AF2373*'01_Вводные'!$B$128,('01_Вводные'!$B$127/'01_Вводные'!$B$132+'19_Расчет_аналитики'!AF2373*'01_Вводные'!$B$128)*(1+'01_Вводные'!$B$131)),0)</f>
        <v/>
      </c>
      <c r="AG2680">
        <f>IF('19_Расчет_аналитики'!AG2362&gt;='01_Вводные'!$B$126,IF('01_Вводные'!$B$129="ИП",'01_Вводные'!$B$127+'19_Расчет_аналитики'!AG2373*'01_Вводные'!$B$128,('01_Вводные'!$B$127/'01_Вводные'!$B$132+'19_Расчет_аналитики'!AG2373*'01_Вводные'!$B$128)*(1+'01_Вводные'!$B$131)),0)</f>
        <v/>
      </c>
      <c r="AH2680">
        <f>IF('19_Расчет_аналитики'!AH2362&gt;='01_Вводные'!$B$126,IF('01_Вводные'!$B$129="ИП",'01_Вводные'!$B$127+'19_Расчет_аналитики'!AH2373*'01_Вводные'!$B$128,('01_Вводные'!$B$127/'01_Вводные'!$B$132+'19_Расчет_аналитики'!AH2373*'01_Вводные'!$B$128)*(1+'01_Вводные'!$B$131)),0)</f>
        <v/>
      </c>
      <c r="AI2680">
        <f>IF('19_Расчет_аналитики'!AI2362&gt;='01_Вводные'!$B$126,IF('01_Вводные'!$B$129="ИП",'01_Вводные'!$B$127+'19_Расчет_аналитики'!AI2373*'01_Вводные'!$B$128,('01_Вводные'!$B$127/'01_Вводные'!$B$132+'19_Расчет_аналитики'!AI2373*'01_Вводные'!$B$128)*(1+'01_Вводные'!$B$131)),0)</f>
        <v/>
      </c>
      <c r="AJ2680">
        <f>IF('19_Расчет_аналитики'!AJ2362&gt;='01_Вводные'!$B$126,IF('01_Вводные'!$B$129="ИП",'01_Вводные'!$B$127+'19_Расчет_аналитики'!AJ2373*'01_Вводные'!$B$128,('01_Вводные'!$B$127/'01_Вводные'!$B$132+'19_Расчет_аналитики'!AJ2373*'01_Вводные'!$B$128)*(1+'01_Вводные'!$B$131)),0)</f>
        <v/>
      </c>
      <c r="AK2680">
        <f>IF('19_Расчет_аналитики'!AK2362&gt;='01_Вводные'!$B$126,IF('01_Вводные'!$B$129="ИП",'01_Вводные'!$B$127+'19_Расчет_аналитики'!AK2373*'01_Вводные'!$B$128,('01_Вводные'!$B$127/'01_Вводные'!$B$132+'19_Расчет_аналитики'!AK2373*'01_Вводные'!$B$128)*(1+'01_Вводные'!$B$131)),0)</f>
        <v/>
      </c>
      <c r="AL2680">
        <f>IF('19_Расчет_аналитики'!AL2362&gt;='01_Вводные'!$B$126,IF('01_Вводные'!$B$129="ИП",'01_Вводные'!$B$127+'19_Расчет_аналитики'!AL2373*'01_Вводные'!$B$128,('01_Вводные'!$B$127/'01_Вводные'!$B$132+'19_Расчет_аналитики'!AL2373*'01_Вводные'!$B$128)*(1+'01_Вводные'!$B$131)),0)</f>
        <v/>
      </c>
      <c r="AM2680">
        <f>IF('19_Расчет_аналитики'!AM2362&gt;='01_Вводные'!$B$126,IF('01_Вводные'!$B$129="ИП",'01_Вводные'!$B$127+'19_Расчет_аналитики'!AM2373*'01_Вводные'!$B$128,('01_Вводные'!$B$127/'01_Вводные'!$B$132+'19_Расчет_аналитики'!AM2373*'01_Вводные'!$B$128)*(1+'01_Вводные'!$B$131)),0)</f>
        <v/>
      </c>
      <c r="AN2680">
        <f>IF('19_Расчет_аналитики'!AN2362&gt;='01_Вводные'!$B$126,IF('01_Вводные'!$B$129="ИП",'01_Вводные'!$B$127+'19_Расчет_аналитики'!AN2373*'01_Вводные'!$B$128,('01_Вводные'!$B$127/'01_Вводные'!$B$132+'19_Расчет_аналитики'!AN2373*'01_Вводные'!$B$128)*(1+'01_Вводные'!$B$131)),0)</f>
        <v/>
      </c>
      <c r="AO2680">
        <f>IF('19_Расчет_аналитики'!AO2362&gt;='01_Вводные'!$B$126,IF('01_Вводные'!$B$129="ИП",'01_Вводные'!$B$127+'19_Расчет_аналитики'!AO2373*'01_Вводные'!$B$128,('01_Вводные'!$B$127/'01_Вводные'!$B$132+'19_Расчет_аналитики'!AO2373*'01_Вводные'!$B$128)*(1+'01_Вводные'!$B$131)),0)</f>
        <v/>
      </c>
      <c r="AP2680">
        <f>IF('19_Расчет_аналитики'!AP2362&gt;='01_Вводные'!$B$126,IF('01_Вводные'!$B$129="ИП",'01_Вводные'!$B$127+'19_Расчет_аналитики'!AP2373*'01_Вводные'!$B$128,('01_Вводные'!$B$127/'01_Вводные'!$B$132+'19_Расчет_аналитики'!AP2373*'01_Вводные'!$B$128)*(1+'01_Вводные'!$B$131)),0)</f>
        <v/>
      </c>
      <c r="AQ2680">
        <f>IF('19_Расчет_аналитики'!AQ2362&gt;='01_Вводные'!$B$126,IF('01_Вводные'!$B$129="ИП",'01_Вводные'!$B$127+'19_Расчет_аналитики'!AQ2373*'01_Вводные'!$B$128,('01_Вводные'!$B$127/'01_Вводные'!$B$132+'19_Расчет_аналитики'!AQ2373*'01_Вводные'!$B$128)*(1+'01_Вводные'!$B$131)),0)</f>
        <v/>
      </c>
      <c r="AR2680">
        <f>IF('19_Расчет_аналитики'!AR2362&gt;='01_Вводные'!$B$126,IF('01_Вводные'!$B$129="ИП",'01_Вводные'!$B$127+'19_Расчет_аналитики'!AR2373*'01_Вводные'!$B$128,('01_Вводные'!$B$127/'01_Вводные'!$B$132+'19_Расчет_аналитики'!AR2373*'01_Вводные'!$B$128)*(1+'01_Вводные'!$B$131)),0)</f>
        <v/>
      </c>
      <c r="AS2680">
        <f>IF('19_Расчет_аналитики'!AS2362&gt;='01_Вводные'!$B$126,IF('01_Вводные'!$B$129="ИП",'01_Вводные'!$B$127+'19_Расчет_аналитики'!AS2373*'01_Вводные'!$B$128,('01_Вводные'!$B$127/'01_Вводные'!$B$132+'19_Расчет_аналитики'!AS2373*'01_Вводные'!$B$128)*(1+'01_Вводные'!$B$131)),0)</f>
        <v/>
      </c>
      <c r="AT2680">
        <f>IF('19_Расчет_аналитики'!AT2362&gt;='01_Вводные'!$B$126,IF('01_Вводные'!$B$129="ИП",'01_Вводные'!$B$127+'19_Расчет_аналитики'!AT2373*'01_Вводные'!$B$128,('01_Вводные'!$B$127/'01_Вводные'!$B$132+'19_Расчет_аналитики'!AT2373*'01_Вводные'!$B$128)*(1+'01_Вводные'!$B$131)),0)</f>
        <v/>
      </c>
      <c r="AU2680">
        <f>IF('19_Расчет_аналитики'!AU2362&gt;='01_Вводные'!$B$126,IF('01_Вводные'!$B$129="ИП",'01_Вводные'!$B$127+'19_Расчет_аналитики'!AU2373*'01_Вводные'!$B$128,('01_Вводные'!$B$127/'01_Вводные'!$B$132+'19_Расчет_аналитики'!AU2373*'01_Вводные'!$B$128)*(1+'01_Вводные'!$B$131)),0)</f>
        <v/>
      </c>
      <c r="AV2680">
        <f>IF('19_Расчет_аналитики'!AV2362&gt;='01_Вводные'!$B$126,IF('01_Вводные'!$B$129="ИП",'01_Вводные'!$B$127+'19_Расчет_аналитики'!AV2373*'01_Вводные'!$B$128,('01_Вводные'!$B$127/'01_Вводные'!$B$132+'19_Расчет_аналитики'!AV2373*'01_Вводные'!$B$128)*(1+'01_Вводные'!$B$131)),0)</f>
        <v/>
      </c>
      <c r="AW2680">
        <f>IF('19_Расчет_аналитики'!AW2362&gt;='01_Вводные'!$B$126,IF('01_Вводные'!$B$129="ИП",'01_Вводные'!$B$127+'19_Расчет_аналитики'!AW2373*'01_Вводные'!$B$128,('01_Вводные'!$B$127/'01_Вводные'!$B$132+'19_Расчет_аналитики'!AW2373*'01_Вводные'!$B$128)*(1+'01_Вводные'!$B$131)),0)</f>
        <v/>
      </c>
      <c r="AX2680">
        <f>IF('19_Расчет_аналитики'!AX2362&gt;='01_Вводные'!$B$126,IF('01_Вводные'!$B$129="ИП",'01_Вводные'!$B$127+'19_Расчет_аналитики'!AX2373*'01_Вводные'!$B$128,('01_Вводные'!$B$127/'01_Вводные'!$B$132+'19_Расчет_аналитики'!AX2373*'01_Вводные'!$B$128)*(1+'01_Вводные'!$B$131)),0)</f>
        <v/>
      </c>
      <c r="AY2680">
        <f>IF('19_Расчет_аналитики'!AY2362&gt;='01_Вводные'!$B$126,IF('01_Вводные'!$B$129="ИП",'01_Вводные'!$B$127+'19_Расчет_аналитики'!AY2373*'01_Вводные'!$B$128,('01_Вводные'!$B$127/'01_Вводные'!$B$132+'19_Расчет_аналитики'!AY2373*'01_Вводные'!$B$128)*(1+'01_Вводные'!$B$131)),0)</f>
        <v/>
      </c>
      <c r="AZ2680">
        <f>IF('19_Расчет_аналитики'!AZ2362&gt;='01_Вводные'!$B$126,IF('01_Вводные'!$B$129="ИП",'01_Вводные'!$B$127+'19_Расчет_аналитики'!AZ2373*'01_Вводные'!$B$128,('01_Вводные'!$B$127/'01_Вводные'!$B$132+'19_Расчет_аналитики'!AZ2373*'01_Вводные'!$B$128)*(1+'01_Вводные'!$B$131)),0)</f>
        <v/>
      </c>
      <c r="BA2680">
        <f>IF('19_Расчет_аналитики'!BA2362&gt;='01_Вводные'!$B$126,IF('01_Вводные'!$B$129="ИП",'01_Вводные'!$B$127+'19_Расчет_аналитики'!BA2373*'01_Вводные'!$B$128,('01_Вводные'!$B$127/'01_Вводные'!$B$132+'19_Расчет_аналитики'!BA2373*'01_Вводные'!$B$128)*(1+'01_Вводные'!$B$131)),0)</f>
        <v/>
      </c>
      <c r="BB2680">
        <f>IF('19_Расчет_аналитики'!BB2362&gt;='01_Вводные'!$B$126,IF('01_Вводные'!$B$129="ИП",'01_Вводные'!$B$127+'19_Расчет_аналитики'!BB2373*'01_Вводные'!$B$128,('01_Вводные'!$B$127/'01_Вводные'!$B$132+'19_Расчет_аналитики'!BB2373*'01_Вводные'!$B$128)*(1+'01_Вводные'!$B$131)),0)</f>
        <v/>
      </c>
      <c r="BC2680">
        <f>IF('19_Расчет_аналитики'!BC2362&gt;='01_Вводные'!$B$126,IF('01_Вводные'!$B$129="ИП",'01_Вводные'!$B$127+'19_Расчет_аналитики'!BC2373*'01_Вводные'!$B$128,('01_Вводные'!$B$127/'01_Вводные'!$B$132+'19_Расчет_аналитики'!BC2373*'01_Вводные'!$B$128)*(1+'01_Вводные'!$B$131)),0)</f>
        <v/>
      </c>
      <c r="BD2680">
        <f>IF('19_Расчет_аналитики'!BD2362&gt;='01_Вводные'!$B$126,IF('01_Вводные'!$B$129="ИП",'01_Вводные'!$B$127+'19_Расчет_аналитики'!BD2373*'01_Вводные'!$B$128,('01_Вводные'!$B$127/'01_Вводные'!$B$132+'19_Расчет_аналитики'!BD2373*'01_Вводные'!$B$128)*(1+'01_Вводные'!$B$131)),0)</f>
        <v/>
      </c>
      <c r="BE2680">
        <f>IF('19_Расчет_аналитики'!BE2362&gt;='01_Вводные'!$B$126,IF('01_Вводные'!$B$129="ИП",'01_Вводные'!$B$127+'19_Расчет_аналитики'!BE2373*'01_Вводные'!$B$128,('01_Вводные'!$B$127/'01_Вводные'!$B$132+'19_Расчет_аналитики'!BE2373*'01_Вводные'!$B$128)*(1+'01_Вводные'!$B$131)),0)</f>
        <v/>
      </c>
      <c r="BF2680">
        <f>IF('19_Расчет_аналитики'!BF2362&gt;='01_Вводные'!$B$126,IF('01_Вводные'!$B$129="ИП",'01_Вводные'!$B$127+'19_Расчет_аналитики'!BF2373*'01_Вводные'!$B$128,('01_Вводные'!$B$127/'01_Вводные'!$B$132+'19_Расчет_аналитики'!BF2373*'01_Вводные'!$B$128)*(1+'01_Вводные'!$B$131)),0)</f>
        <v/>
      </c>
      <c r="BG2680">
        <f>IF('19_Расчет_аналитики'!BG2362&gt;='01_Вводные'!$B$126,IF('01_Вводные'!$B$129="ИП",'01_Вводные'!$B$127+'19_Расчет_аналитики'!BG2373*'01_Вводные'!$B$128,('01_Вводные'!$B$127/'01_Вводные'!$B$132+'19_Расчет_аналитики'!BG2373*'01_Вводные'!$B$128)*(1+'01_Вводные'!$B$131)),0)</f>
        <v/>
      </c>
      <c r="BH2680">
        <f>IF('19_Расчет_аналитики'!BH2362&gt;='01_Вводные'!$B$126,IF('01_Вводные'!$B$129="ИП",'01_Вводные'!$B$127+'19_Расчет_аналитики'!BH2373*'01_Вводные'!$B$128,('01_Вводные'!$B$127/'01_Вводные'!$B$132+'19_Расчет_аналитики'!BH2373*'01_Вводные'!$B$128)*(1+'01_Вводные'!$B$131)),0)</f>
        <v/>
      </c>
      <c r="BI2680">
        <f>IF('19_Расчет_аналитики'!BI2362&gt;='01_Вводные'!$B$126,IF('01_Вводные'!$B$129="ИП",'01_Вводные'!$B$127+'19_Расчет_аналитики'!BI2373*'01_Вводные'!$B$128,('01_Вводные'!$B$127/'01_Вводные'!$B$132+'19_Расчет_аналитики'!BI2373*'01_Вводные'!$B$128)*(1+'01_Вводные'!$B$131)),0)</f>
        <v/>
      </c>
    </row>
    <row r="2681"/>
    <row r="2682"/>
    <row r="2683"/>
    <row r="2684"/>
    <row r="2685">
      <c r="C2685">
        <f>(MAX(0,'19_Расчет_аналитики'!C2671-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</f>
        <v/>
      </c>
      <c r="D2685">
        <f>(MAX(0,'19_Расчет_аналитики'!D2671-'19_Расчет_аналитики'!C2671)*'01_Вводные'!$B$119*'08_ФОТ'!D5+IF('08_ФОТ'!D$3='01_Вводные'!$B$247,'01_Вводные'!$B$133/'01_Вводные'!$B$132,0)+IF('08_ФОТ'!D$3='01_Вводные'!$B$248,'01_Вводные'!$B$134/'01_Вводные'!$B$132,0))*'01_Вводные'!$B$120</f>
        <v/>
      </c>
      <c r="E2685">
        <f>(MAX(0,'19_Расчет_аналитики'!E2671-'19_Расчет_аналитики'!D2671)*'01_Вводные'!$B$119*'08_ФОТ'!E5+IF('08_ФОТ'!E$3='01_Вводные'!$B$247,'01_Вводные'!$B$133/'01_Вводные'!$B$132,0)+IF('08_ФОТ'!E$3='01_Вводные'!$B$248,'01_Вводные'!$B$134/'01_Вводные'!$B$132,0))*'01_Вводные'!$B$120</f>
        <v/>
      </c>
      <c r="F2685">
        <f>(MAX(0,'19_Расчет_аналитики'!F2671-'19_Расчет_аналитики'!E2671)*'01_Вводные'!$B$119*'08_ФОТ'!F5+IF('08_ФОТ'!F$3='01_Вводные'!$B$247,'01_Вводные'!$B$133/'01_Вводные'!$B$132,0)+IF('08_ФОТ'!F$3='01_Вводные'!$B$248,'01_Вводные'!$B$134/'01_Вводные'!$B$132,0))*'01_Вводные'!$B$120</f>
        <v/>
      </c>
      <c r="G2685">
        <f>(MAX(0,'19_Расчет_аналитики'!G2671-'19_Расчет_аналитики'!F2671)*'01_Вводные'!$B$119*'08_ФОТ'!G5+IF('08_ФОТ'!G$3='01_Вводные'!$B$247,'01_Вводные'!$B$133/'01_Вводные'!$B$132,0)+IF('08_ФОТ'!G$3='01_Вводные'!$B$248,'01_Вводные'!$B$134/'01_Вводные'!$B$132,0))*'01_Вводные'!$B$120</f>
        <v/>
      </c>
      <c r="H2685">
        <f>(MAX(0,'19_Расчет_аналитики'!H2671-'19_Расчет_аналитики'!G2671)*'01_Вводные'!$B$119*'08_ФОТ'!H5+IF('08_ФОТ'!H$3='01_Вводные'!$B$247,'01_Вводные'!$B$133/'01_Вводные'!$B$132,0)+IF('08_ФОТ'!H$3='01_Вводные'!$B$248,'01_Вводные'!$B$134/'01_Вводные'!$B$132,0))*'01_Вводные'!$B$120</f>
        <v/>
      </c>
      <c r="I2685">
        <f>(MAX(0,'19_Расчет_аналитики'!I2671-'19_Расчет_аналитики'!H2671)*'01_Вводные'!$B$119*'08_ФОТ'!I5+IF('08_ФОТ'!I$3='01_Вводные'!$B$247,'01_Вводные'!$B$133/'01_Вводные'!$B$132,0)+IF('08_ФОТ'!I$3='01_Вводные'!$B$248,'01_Вводные'!$B$134/'01_Вводные'!$B$132,0))*'01_Вводные'!$B$120</f>
        <v/>
      </c>
      <c r="J2685">
        <f>(MAX(0,'19_Расчет_аналитики'!J2671-'19_Расчет_аналитики'!I2671)*'01_Вводные'!$B$119*'08_ФОТ'!J5+IF('08_ФОТ'!J$3='01_Вводные'!$B$247,'01_Вводные'!$B$133/'01_Вводные'!$B$132,0)+IF('08_ФОТ'!J$3='01_Вводные'!$B$248,'01_Вводные'!$B$134/'01_Вводные'!$B$132,0))*'01_Вводные'!$B$120</f>
        <v/>
      </c>
      <c r="K2685">
        <f>(MAX(0,'19_Расчет_аналитики'!K2671-'19_Расчет_аналитики'!J2671)*'01_Вводные'!$B$119*'08_ФОТ'!K5+IF('08_ФОТ'!K$3='01_Вводные'!$B$247,'01_Вводные'!$B$133/'01_Вводные'!$B$132,0)+IF('08_ФОТ'!K$3='01_Вводные'!$B$248,'01_Вводные'!$B$134/'01_Вводные'!$B$132,0))*'01_Вводные'!$B$120</f>
        <v/>
      </c>
      <c r="L2685">
        <f>(MAX(0,'19_Расчет_аналитики'!L2671-'19_Расчет_аналитики'!K2671)*'01_Вводные'!$B$119*'08_ФОТ'!L5+IF('08_ФОТ'!L$3='01_Вводные'!$B$247,'01_Вводные'!$B$133/'01_Вводные'!$B$132,0)+IF('08_ФОТ'!L$3='01_Вводные'!$B$248,'01_Вводные'!$B$134/'01_Вводные'!$B$132,0))*'01_Вводные'!$B$120</f>
        <v/>
      </c>
      <c r="M2685">
        <f>(MAX(0,'19_Расчет_аналитики'!M2671-'19_Расчет_аналитики'!L2671)*'01_Вводные'!$B$119*'08_ФОТ'!M5+IF('08_ФОТ'!M$3='01_Вводные'!$B$247,'01_Вводные'!$B$133/'01_Вводные'!$B$132,0)+IF('08_ФОТ'!M$3='01_Вводные'!$B$248,'01_Вводные'!$B$134/'01_Вводные'!$B$132,0))*'01_Вводные'!$B$120</f>
        <v/>
      </c>
      <c r="N2685">
        <f>(MAX(0,'19_Расчет_аналитики'!N2671-'19_Расчет_аналитики'!M2671)*'01_Вводные'!$B$119*'08_ФОТ'!N5+IF('08_ФОТ'!N$3='01_Вводные'!$B$247,'01_Вводные'!$B$133/'01_Вводные'!$B$132,0)+IF('08_ФОТ'!N$3='01_Вводные'!$B$248,'01_Вводные'!$B$134/'01_Вводные'!$B$132,0))*'01_Вводные'!$B$120</f>
        <v/>
      </c>
      <c r="O2685">
        <f>(MAX(0,'19_Расчет_аналитики'!O2671-'19_Расчет_аналитики'!N2671)*'01_Вводные'!$B$119*'08_ФОТ'!O5+IF('08_ФОТ'!O$3='01_Вводные'!$B$247,'01_Вводные'!$B$133/'01_Вводные'!$B$132,0)+IF('08_ФОТ'!O$3='01_Вводные'!$B$248,'01_Вводные'!$B$134/'01_Вводные'!$B$132,0))*'01_Вводные'!$B$120</f>
        <v/>
      </c>
      <c r="P2685">
        <f>(MAX(0,'19_Расчет_аналитики'!P2671-'19_Расчет_аналитики'!O2671)*'01_Вводные'!$B$119*'08_ФОТ'!P5+IF('08_ФОТ'!P$3='01_Вводные'!$B$247,'01_Вводные'!$B$133/'01_Вводные'!$B$132,0)+IF('08_ФОТ'!P$3='01_Вводные'!$B$248,'01_Вводные'!$B$134/'01_Вводные'!$B$132,0))*'01_Вводные'!$B$120</f>
        <v/>
      </c>
      <c r="Q2685">
        <f>(MAX(0,'19_Расчет_аналитики'!Q2671-'19_Расчет_аналитики'!P2671)*'01_Вводные'!$B$119*'08_ФОТ'!Q5+IF('08_ФОТ'!Q$3='01_Вводные'!$B$247,'01_Вводные'!$B$133/'01_Вводные'!$B$132,0)+IF('08_ФОТ'!Q$3='01_Вводные'!$B$248,'01_Вводные'!$B$134/'01_Вводные'!$B$132,0))*'01_Вводные'!$B$120</f>
        <v/>
      </c>
      <c r="R2685">
        <f>(MAX(0,'19_Расчет_аналитики'!R2671-'19_Расчет_аналитики'!Q2671)*'01_Вводные'!$B$119*'08_ФОТ'!R5+IF('08_ФОТ'!R$3='01_Вводные'!$B$247,'01_Вводные'!$B$133/'01_Вводные'!$B$132,0)+IF('08_ФОТ'!R$3='01_Вводные'!$B$248,'01_Вводные'!$B$134/'01_Вводные'!$B$132,0))*'01_Вводные'!$B$120</f>
        <v/>
      </c>
      <c r="S2685">
        <f>(MAX(0,'19_Расчет_аналитики'!S2671-'19_Расчет_аналитики'!R2671)*'01_Вводные'!$B$119*'08_ФОТ'!S5+IF('08_ФОТ'!S$3='01_Вводные'!$B$247,'01_Вводные'!$B$133/'01_Вводные'!$B$132,0)+IF('08_ФОТ'!S$3='01_Вводные'!$B$248,'01_Вводные'!$B$134/'01_Вводные'!$B$132,0))*'01_Вводные'!$B$120</f>
        <v/>
      </c>
      <c r="T2685">
        <f>(MAX(0,'19_Расчет_аналитики'!T2671-'19_Расчет_аналитики'!S2671)*'01_Вводные'!$B$119*'08_ФОТ'!T5+IF('08_ФОТ'!T$3='01_Вводные'!$B$247,'01_Вводные'!$B$133/'01_Вводные'!$B$132,0)+IF('08_ФОТ'!T$3='01_Вводные'!$B$248,'01_Вводные'!$B$134/'01_Вводные'!$B$132,0))*'01_Вводные'!$B$120</f>
        <v/>
      </c>
      <c r="U2685">
        <f>(MAX(0,'19_Расчет_аналитики'!U2671-'19_Расчет_аналитики'!T2671)*'01_Вводные'!$B$119*'08_ФОТ'!U5+IF('08_ФОТ'!U$3='01_Вводные'!$B$247,'01_Вводные'!$B$133/'01_Вводные'!$B$132,0)+IF('08_ФОТ'!U$3='01_Вводные'!$B$248,'01_Вводные'!$B$134/'01_Вводные'!$B$132,0))*'01_Вводные'!$B$120</f>
        <v/>
      </c>
      <c r="V2685">
        <f>(MAX(0,'19_Расчет_аналитики'!V2671-'19_Расчет_аналитики'!U2671)*'01_Вводные'!$B$119*'08_ФОТ'!V5+IF('08_ФОТ'!V$3='01_Вводные'!$B$247,'01_Вводные'!$B$133/'01_Вводные'!$B$132,0)+IF('08_ФОТ'!V$3='01_Вводные'!$B$248,'01_Вводные'!$B$134/'01_Вводные'!$B$132,0))*'01_Вводные'!$B$120</f>
        <v/>
      </c>
      <c r="W2685">
        <f>(MAX(0,'19_Расчет_аналитики'!W2671-'19_Расчет_аналитики'!V2671)*'01_Вводные'!$B$119*'08_ФОТ'!W5+IF('08_ФОТ'!W$3='01_Вводные'!$B$247,'01_Вводные'!$B$133/'01_Вводные'!$B$132,0)+IF('08_ФОТ'!W$3='01_Вводные'!$B$248,'01_Вводные'!$B$134/'01_Вводные'!$B$132,0))*'01_Вводные'!$B$120</f>
        <v/>
      </c>
      <c r="X2685">
        <f>(MAX(0,'19_Расчет_аналитики'!X2671-'19_Расчет_аналитики'!W2671)*'01_Вводные'!$B$119*'08_ФОТ'!X5+IF('08_ФОТ'!X$3='01_Вводные'!$B$247,'01_Вводные'!$B$133/'01_Вводные'!$B$132,0)+IF('08_ФОТ'!X$3='01_Вводные'!$B$248,'01_Вводные'!$B$134/'01_Вводные'!$B$132,0))*'01_Вводные'!$B$120</f>
        <v/>
      </c>
      <c r="Y2685">
        <f>(MAX(0,'19_Расчет_аналитики'!Y2671-'19_Расчет_аналитики'!X2671)*'01_Вводные'!$B$119*'08_ФОТ'!Y5+IF('08_ФОТ'!Y$3='01_Вводные'!$B$247,'01_Вводные'!$B$133/'01_Вводные'!$B$132,0)+IF('08_ФОТ'!Y$3='01_Вводные'!$B$248,'01_Вводные'!$B$134/'01_Вводные'!$B$132,0))*'01_Вводные'!$B$120</f>
        <v/>
      </c>
      <c r="Z2685">
        <f>(MAX(0,'19_Расчет_аналитики'!Z2671-'19_Расчет_аналитики'!Y2671)*'01_Вводные'!$B$119*'08_ФОТ'!Z5+IF('08_ФОТ'!Z$3='01_Вводные'!$B$247,'01_Вводные'!$B$133/'01_Вводные'!$B$132,0)+IF('08_ФОТ'!Z$3='01_Вводные'!$B$248,'01_Вводные'!$B$134/'01_Вводные'!$B$132,0))*'01_Вводные'!$B$120</f>
        <v/>
      </c>
      <c r="AA2685">
        <f>(MAX(0,'19_Расчет_аналитики'!AA2671-'19_Расчет_аналитики'!Z2671)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</f>
        <v/>
      </c>
      <c r="AB2685">
        <f>(MAX(0,'19_Расчет_аналитики'!AB2671-'19_Расчет_аналитики'!AA2671)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</f>
        <v/>
      </c>
      <c r="AC2685">
        <f>(MAX(0,'19_Расчет_аналитики'!AC2671-'19_Расчет_аналитики'!AB2671)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</f>
        <v/>
      </c>
      <c r="AD2685">
        <f>(MAX(0,'19_Расчет_аналитики'!AD2671-'19_Расчет_аналитики'!AC2671)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</f>
        <v/>
      </c>
      <c r="AE2685">
        <f>(MAX(0,'19_Расчет_аналитики'!AE2671-'19_Расчет_аналитики'!AD2671)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</f>
        <v/>
      </c>
      <c r="AF2685">
        <f>(MAX(0,'19_Расчет_аналитики'!AF2671-'19_Расчет_аналитики'!AE2671)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</f>
        <v/>
      </c>
      <c r="AG2685">
        <f>(MAX(0,'19_Расчет_аналитики'!AG2671-'19_Расчет_аналитики'!AF2671)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</f>
        <v/>
      </c>
      <c r="AH2685">
        <f>(MAX(0,'19_Расчет_аналитики'!AH2671-'19_Расчет_аналитики'!AG2671)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</f>
        <v/>
      </c>
      <c r="AI2685">
        <f>(MAX(0,'19_Расчет_аналитики'!AI2671-'19_Расчет_аналитики'!AH2671)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</f>
        <v/>
      </c>
      <c r="AJ2685">
        <f>(MAX(0,'19_Расчет_аналитики'!AJ2671-'19_Расчет_аналитики'!AI2671)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</f>
        <v/>
      </c>
      <c r="AK2685">
        <f>(MAX(0,'19_Расчет_аналитики'!AK2671-'19_Расчет_аналитики'!AJ2671)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</f>
        <v/>
      </c>
      <c r="AL2685">
        <f>(MAX(0,'19_Расчет_аналитики'!AL2671-'19_Расчет_аналитики'!AK2671)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</f>
        <v/>
      </c>
      <c r="AM2685">
        <f>(MAX(0,'19_Расчет_аналитики'!AM2671-'19_Расчет_аналитики'!AL2671)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</f>
        <v/>
      </c>
      <c r="AN2685">
        <f>(MAX(0,'19_Расчет_аналитики'!AN2671-'19_Расчет_аналитики'!AM2671)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</f>
        <v/>
      </c>
      <c r="AO2685">
        <f>(MAX(0,'19_Расчет_аналитики'!AO2671-'19_Расчет_аналитики'!AN2671)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</f>
        <v/>
      </c>
      <c r="AP2685">
        <f>(MAX(0,'19_Расчет_аналитики'!AP2671-'19_Расчет_аналитики'!AO2671)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</f>
        <v/>
      </c>
      <c r="AQ2685">
        <f>(MAX(0,'19_Расчет_аналитики'!AQ2671-'19_Расчет_аналитики'!AP2671)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</f>
        <v/>
      </c>
      <c r="AR2685">
        <f>(MAX(0,'19_Расчет_аналитики'!AR2671-'19_Расчет_аналитики'!AQ2671)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</f>
        <v/>
      </c>
      <c r="AS2685">
        <f>(MAX(0,'19_Расчет_аналитики'!AS2671-'19_Расчет_аналитики'!AR2671)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</f>
        <v/>
      </c>
      <c r="AT2685">
        <f>(MAX(0,'19_Расчет_аналитики'!AT2671-'19_Расчет_аналитики'!AS2671)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</f>
        <v/>
      </c>
      <c r="AU2685">
        <f>(MAX(0,'19_Расчет_аналитики'!AU2671-'19_Расчет_аналитики'!AT2671)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</f>
        <v/>
      </c>
      <c r="AV2685">
        <f>(MAX(0,'19_Расчет_аналитики'!AV2671-'19_Расчет_аналитики'!AU2671)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</f>
        <v/>
      </c>
      <c r="AW2685">
        <f>(MAX(0,'19_Расчет_аналитики'!AW2671-'19_Расчет_аналитики'!AV2671)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</f>
        <v/>
      </c>
      <c r="AX2685">
        <f>(MAX(0,'19_Расчет_аналитики'!AX2671-'19_Расчет_аналитики'!AW2671)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</f>
        <v/>
      </c>
      <c r="AY2685">
        <f>(MAX(0,'19_Расчет_аналитики'!AY2671-'19_Расчет_аналитики'!AX2671)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</f>
        <v/>
      </c>
      <c r="AZ2685">
        <f>(MAX(0,'19_Расчет_аналитики'!AZ2671-'19_Расчет_аналитики'!AY2671)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</f>
        <v/>
      </c>
      <c r="BA2685">
        <f>(MAX(0,'19_Расчет_аналитики'!BA2671-'19_Расчет_аналитики'!AZ2671)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</f>
        <v/>
      </c>
      <c r="BB2685">
        <f>(MAX(0,'19_Расчет_аналитики'!BB2671-'19_Расчет_аналитики'!BA2671)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</f>
        <v/>
      </c>
      <c r="BC2685">
        <f>(MAX(0,'19_Расчет_аналитики'!BC2671-'19_Расчет_аналитики'!BB2671)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</f>
        <v/>
      </c>
      <c r="BD2685">
        <f>(MAX(0,'19_Расчет_аналитики'!BD2671-'19_Расчет_аналитики'!BC2671)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</f>
        <v/>
      </c>
      <c r="BE2685">
        <f>(MAX(0,'19_Расчет_аналитики'!BE2671-'19_Расчет_аналитики'!BD2671)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</f>
        <v/>
      </c>
      <c r="BF2685">
        <f>(MAX(0,'19_Расчет_аналитики'!BF2671-'19_Расчет_аналитики'!BE2671)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</f>
        <v/>
      </c>
      <c r="BG2685">
        <f>(MAX(0,'19_Расчет_аналитики'!BG2671-'19_Расчет_аналитики'!BF2671)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</f>
        <v/>
      </c>
      <c r="BH2685">
        <f>(MAX(0,'19_Расчет_аналитики'!BH2671-'19_Расчет_аналитики'!BG2671)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</f>
        <v/>
      </c>
      <c r="BI2685">
        <f>(MAX(0,'19_Расчет_аналитики'!BI2671-'19_Расчет_аналитики'!BH2671)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</f>
        <v/>
      </c>
    </row>
    <row r="2686">
      <c r="C2686">
        <f>'08_ФОТ'!C25</f>
        <v/>
      </c>
      <c r="D2686">
        <f>'08_ФОТ'!D25</f>
        <v/>
      </c>
      <c r="E2686">
        <f>'08_ФОТ'!E25</f>
        <v/>
      </c>
      <c r="F2686">
        <f>'08_ФОТ'!F25</f>
        <v/>
      </c>
      <c r="G2686">
        <f>'08_ФОТ'!G25</f>
        <v/>
      </c>
      <c r="H2686">
        <f>'08_ФОТ'!H25</f>
        <v/>
      </c>
      <c r="I2686">
        <f>'08_ФОТ'!I25</f>
        <v/>
      </c>
      <c r="J2686">
        <f>'08_ФОТ'!J25</f>
        <v/>
      </c>
      <c r="K2686">
        <f>'08_ФОТ'!K25</f>
        <v/>
      </c>
      <c r="L2686">
        <f>'08_ФОТ'!L25</f>
        <v/>
      </c>
      <c r="M2686">
        <f>'08_ФОТ'!M25</f>
        <v/>
      </c>
      <c r="N2686">
        <f>'08_ФОТ'!N25</f>
        <v/>
      </c>
      <c r="O2686">
        <f>'08_ФОТ'!O25</f>
        <v/>
      </c>
      <c r="P2686">
        <f>'08_ФОТ'!P25</f>
        <v/>
      </c>
      <c r="Q2686">
        <f>'08_ФОТ'!Q25</f>
        <v/>
      </c>
      <c r="R2686">
        <f>'08_ФОТ'!R25</f>
        <v/>
      </c>
      <c r="S2686">
        <f>'08_ФОТ'!S25</f>
        <v/>
      </c>
      <c r="T2686">
        <f>'08_ФОТ'!T25</f>
        <v/>
      </c>
      <c r="U2686">
        <f>'08_ФОТ'!U25</f>
        <v/>
      </c>
      <c r="V2686">
        <f>'08_ФОТ'!V25</f>
        <v/>
      </c>
      <c r="W2686">
        <f>'08_ФОТ'!W25</f>
        <v/>
      </c>
      <c r="X2686">
        <f>'08_ФОТ'!X25</f>
        <v/>
      </c>
      <c r="Y2686">
        <f>'08_ФОТ'!Y25</f>
        <v/>
      </c>
      <c r="Z2686">
        <f>'08_ФОТ'!Z25</f>
        <v/>
      </c>
      <c r="AA2686">
        <f>'08_ФОТ'!AA25</f>
        <v/>
      </c>
      <c r="AB2686">
        <f>'08_ФОТ'!AB25</f>
        <v/>
      </c>
      <c r="AC2686">
        <f>'08_ФОТ'!AC25</f>
        <v/>
      </c>
      <c r="AD2686">
        <f>'08_ФОТ'!AD25</f>
        <v/>
      </c>
      <c r="AE2686">
        <f>'08_ФОТ'!AE25</f>
        <v/>
      </c>
      <c r="AF2686">
        <f>'08_ФОТ'!AF25</f>
        <v/>
      </c>
      <c r="AG2686">
        <f>'08_ФОТ'!AG25</f>
        <v/>
      </c>
      <c r="AH2686">
        <f>'08_ФОТ'!AH25</f>
        <v/>
      </c>
      <c r="AI2686">
        <f>'08_ФОТ'!AI25</f>
        <v/>
      </c>
      <c r="AJ2686">
        <f>'08_ФОТ'!AJ25</f>
        <v/>
      </c>
      <c r="AK2686">
        <f>'08_ФОТ'!AK25</f>
        <v/>
      </c>
      <c r="AL2686">
        <f>'08_ФОТ'!AL25</f>
        <v/>
      </c>
      <c r="AM2686">
        <f>'08_ФОТ'!AM25</f>
        <v/>
      </c>
      <c r="AN2686">
        <f>'08_ФОТ'!AN25</f>
        <v/>
      </c>
      <c r="AO2686">
        <f>'08_ФОТ'!AO25</f>
        <v/>
      </c>
      <c r="AP2686">
        <f>'08_ФОТ'!AP25</f>
        <v/>
      </c>
      <c r="AQ2686">
        <f>'08_ФОТ'!AQ25</f>
        <v/>
      </c>
      <c r="AR2686">
        <f>'08_ФОТ'!AR25</f>
        <v/>
      </c>
      <c r="AS2686">
        <f>'08_ФОТ'!AS25</f>
        <v/>
      </c>
      <c r="AT2686">
        <f>'08_ФОТ'!AT25</f>
        <v/>
      </c>
      <c r="AU2686">
        <f>'08_ФОТ'!AU25</f>
        <v/>
      </c>
      <c r="AV2686">
        <f>'08_ФОТ'!AV25</f>
        <v/>
      </c>
      <c r="AW2686">
        <f>'08_ФОТ'!AW25</f>
        <v/>
      </c>
      <c r="AX2686">
        <f>'08_ФОТ'!AX25</f>
        <v/>
      </c>
      <c r="AY2686">
        <f>'08_ФОТ'!AY25</f>
        <v/>
      </c>
      <c r="AZ2686">
        <f>'08_ФОТ'!AZ25</f>
        <v/>
      </c>
      <c r="BA2686">
        <f>'08_ФОТ'!BA25</f>
        <v/>
      </c>
      <c r="BB2686">
        <f>'08_ФОТ'!BB25</f>
        <v/>
      </c>
      <c r="BC2686">
        <f>'08_ФОТ'!BC25</f>
        <v/>
      </c>
      <c r="BD2686">
        <f>'08_ФОТ'!BD25</f>
        <v/>
      </c>
      <c r="BE2686">
        <f>'08_ФОТ'!BE25</f>
        <v/>
      </c>
      <c r="BF2686">
        <f>'08_ФОТ'!BF25</f>
        <v/>
      </c>
      <c r="BG2686">
        <f>'08_ФОТ'!BG25</f>
        <v/>
      </c>
      <c r="BH2686">
        <f>'08_ФОТ'!BH25</f>
        <v/>
      </c>
      <c r="BI2686">
        <f>'08_ФОТ'!BI25</f>
        <v/>
      </c>
    </row>
    <row r="2687">
      <c r="C2687">
        <f>'08_ФОТ'!C26</f>
        <v/>
      </c>
      <c r="D2687">
        <f>'08_ФОТ'!D26</f>
        <v/>
      </c>
      <c r="E2687">
        <f>'08_ФОТ'!E26</f>
        <v/>
      </c>
      <c r="F2687">
        <f>'08_ФОТ'!F26</f>
        <v/>
      </c>
      <c r="G2687">
        <f>'08_ФОТ'!G26</f>
        <v/>
      </c>
      <c r="H2687">
        <f>'08_ФОТ'!H26</f>
        <v/>
      </c>
      <c r="I2687">
        <f>'08_ФОТ'!I26</f>
        <v/>
      </c>
      <c r="J2687">
        <f>'08_ФОТ'!J26</f>
        <v/>
      </c>
      <c r="K2687">
        <f>'08_ФОТ'!K26</f>
        <v/>
      </c>
      <c r="L2687">
        <f>'08_ФОТ'!L26</f>
        <v/>
      </c>
      <c r="M2687">
        <f>'08_ФОТ'!M26</f>
        <v/>
      </c>
      <c r="N2687">
        <f>'08_ФОТ'!N26</f>
        <v/>
      </c>
      <c r="O2687">
        <f>'08_ФОТ'!O26</f>
        <v/>
      </c>
      <c r="P2687">
        <f>'08_ФОТ'!P26</f>
        <v/>
      </c>
      <c r="Q2687">
        <f>'08_ФОТ'!Q26</f>
        <v/>
      </c>
      <c r="R2687">
        <f>'08_ФОТ'!R26</f>
        <v/>
      </c>
      <c r="S2687">
        <f>'08_ФОТ'!S26</f>
        <v/>
      </c>
      <c r="T2687">
        <f>'08_ФОТ'!T26</f>
        <v/>
      </c>
      <c r="U2687">
        <f>'08_ФОТ'!U26</f>
        <v/>
      </c>
      <c r="V2687">
        <f>'08_ФОТ'!V26</f>
        <v/>
      </c>
      <c r="W2687">
        <f>'08_ФОТ'!W26</f>
        <v/>
      </c>
      <c r="X2687">
        <f>'08_ФОТ'!X26</f>
        <v/>
      </c>
      <c r="Y2687">
        <f>'08_ФОТ'!Y26</f>
        <v/>
      </c>
      <c r="Z2687">
        <f>'08_ФОТ'!Z26</f>
        <v/>
      </c>
      <c r="AA2687">
        <f>'08_ФОТ'!AA26</f>
        <v/>
      </c>
      <c r="AB2687">
        <f>'08_ФОТ'!AB26</f>
        <v/>
      </c>
      <c r="AC2687">
        <f>'08_ФОТ'!AC26</f>
        <v/>
      </c>
      <c r="AD2687">
        <f>'08_ФОТ'!AD26</f>
        <v/>
      </c>
      <c r="AE2687">
        <f>'08_ФОТ'!AE26</f>
        <v/>
      </c>
      <c r="AF2687">
        <f>'08_ФОТ'!AF26</f>
        <v/>
      </c>
      <c r="AG2687">
        <f>'08_ФОТ'!AG26</f>
        <v/>
      </c>
      <c r="AH2687">
        <f>'08_ФОТ'!AH26</f>
        <v/>
      </c>
      <c r="AI2687">
        <f>'08_ФОТ'!AI26</f>
        <v/>
      </c>
      <c r="AJ2687">
        <f>'08_ФОТ'!AJ26</f>
        <v/>
      </c>
      <c r="AK2687">
        <f>'08_ФОТ'!AK26</f>
        <v/>
      </c>
      <c r="AL2687">
        <f>'08_ФОТ'!AL26</f>
        <v/>
      </c>
      <c r="AM2687">
        <f>'08_ФОТ'!AM26</f>
        <v/>
      </c>
      <c r="AN2687">
        <f>'08_ФОТ'!AN26</f>
        <v/>
      </c>
      <c r="AO2687">
        <f>'08_ФОТ'!AO26</f>
        <v/>
      </c>
      <c r="AP2687">
        <f>'08_ФОТ'!AP26</f>
        <v/>
      </c>
      <c r="AQ2687">
        <f>'08_ФОТ'!AQ26</f>
        <v/>
      </c>
      <c r="AR2687">
        <f>'08_ФОТ'!AR26</f>
        <v/>
      </c>
      <c r="AS2687">
        <f>'08_ФОТ'!AS26</f>
        <v/>
      </c>
      <c r="AT2687">
        <f>'08_ФОТ'!AT26</f>
        <v/>
      </c>
      <c r="AU2687">
        <f>'08_ФОТ'!AU26</f>
        <v/>
      </c>
      <c r="AV2687">
        <f>'08_ФОТ'!AV26</f>
        <v/>
      </c>
      <c r="AW2687">
        <f>'08_ФОТ'!AW26</f>
        <v/>
      </c>
      <c r="AX2687">
        <f>'08_ФОТ'!AX26</f>
        <v/>
      </c>
      <c r="AY2687">
        <f>'08_ФОТ'!AY26</f>
        <v/>
      </c>
      <c r="AZ2687">
        <f>'08_ФОТ'!AZ26</f>
        <v/>
      </c>
      <c r="BA2687">
        <f>'08_ФОТ'!BA26</f>
        <v/>
      </c>
      <c r="BB2687">
        <f>'08_ФОТ'!BB26</f>
        <v/>
      </c>
      <c r="BC2687">
        <f>'08_ФОТ'!BC26</f>
        <v/>
      </c>
      <c r="BD2687">
        <f>'08_ФОТ'!BD26</f>
        <v/>
      </c>
      <c r="BE2687">
        <f>'08_ФОТ'!BE26</f>
        <v/>
      </c>
      <c r="BF2687">
        <f>'08_ФОТ'!BF26</f>
        <v/>
      </c>
      <c r="BG2687">
        <f>'08_ФОТ'!BG26</f>
        <v/>
      </c>
      <c r="BH2687">
        <f>'08_ФОТ'!BH26</f>
        <v/>
      </c>
      <c r="BI2687">
        <f>'08_ФОТ'!BI26</f>
        <v/>
      </c>
    </row>
    <row r="2688"/>
    <row r="2689">
      <c r="C2689">
        <f>SUM('19_Расчет_аналитики'!C2673:C2674,'19_Расчет_аналитики'!C2676:C2680,'08_ФОТ'!C21:C22,'19_Расчет_аналитики'!C2685:C2687)</f>
        <v/>
      </c>
      <c r="D2689">
        <f>SUM('19_Расчет_аналитики'!D2673:D2674,'19_Расчет_аналитики'!D2676:D2680,'08_ФОТ'!D21:D22,'19_Расчет_аналитики'!D2685:D2687)</f>
        <v/>
      </c>
      <c r="E2689">
        <f>SUM('19_Расчет_аналитики'!E2673:E2674,'19_Расчет_аналитики'!E2676:E2680,'08_ФОТ'!E21:E22,'19_Расчет_аналитики'!E2685:E2687)</f>
        <v/>
      </c>
      <c r="F2689">
        <f>SUM('19_Расчет_аналитики'!F2673:F2674,'19_Расчет_аналитики'!F2676:F2680,'08_ФОТ'!F21:F22,'19_Расчет_аналитики'!F2685:F2687)</f>
        <v/>
      </c>
      <c r="G2689">
        <f>SUM('19_Расчет_аналитики'!G2673:G2674,'19_Расчет_аналитики'!G2676:G2680,'08_ФОТ'!G21:G22,'19_Расчет_аналитики'!G2685:G2687)</f>
        <v/>
      </c>
      <c r="H2689">
        <f>SUM('19_Расчет_аналитики'!H2673:H2674,'19_Расчет_аналитики'!H2676:H2680,'08_ФОТ'!H21:H22,'19_Расчет_аналитики'!H2685:H2687)</f>
        <v/>
      </c>
      <c r="I2689">
        <f>SUM('19_Расчет_аналитики'!I2673:I2674,'19_Расчет_аналитики'!I2676:I2680,'08_ФОТ'!I21:I22,'19_Расчет_аналитики'!I2685:I2687)</f>
        <v/>
      </c>
      <c r="J2689">
        <f>SUM('19_Расчет_аналитики'!J2673:J2674,'19_Расчет_аналитики'!J2676:J2680,'08_ФОТ'!J21:J22,'19_Расчет_аналитики'!J2685:J2687)</f>
        <v/>
      </c>
      <c r="K2689">
        <f>SUM('19_Расчет_аналитики'!K2673:K2674,'19_Расчет_аналитики'!K2676:K2680,'08_ФОТ'!K21:K22,'19_Расчет_аналитики'!K2685:K2687)</f>
        <v/>
      </c>
      <c r="L2689">
        <f>SUM('19_Расчет_аналитики'!L2673:L2674,'19_Расчет_аналитики'!L2676:L2680,'08_ФОТ'!L21:L22,'19_Расчет_аналитики'!L2685:L2687)</f>
        <v/>
      </c>
      <c r="M2689">
        <f>SUM('19_Расчет_аналитики'!M2673:M2674,'19_Расчет_аналитики'!M2676:M2680,'08_ФОТ'!M21:M22,'19_Расчет_аналитики'!M2685:M2687)</f>
        <v/>
      </c>
      <c r="N2689">
        <f>SUM('19_Расчет_аналитики'!N2673:N2674,'19_Расчет_аналитики'!N2676:N2680,'08_ФОТ'!N21:N22,'19_Расчет_аналитики'!N2685:N2687)</f>
        <v/>
      </c>
      <c r="O2689">
        <f>SUM('19_Расчет_аналитики'!O2673:O2674,'19_Расчет_аналитики'!O2676:O2680,'08_ФОТ'!O21:O22,'19_Расчет_аналитики'!O2685:O2687)</f>
        <v/>
      </c>
      <c r="P2689">
        <f>SUM('19_Расчет_аналитики'!P2673:P2674,'19_Расчет_аналитики'!P2676:P2680,'08_ФОТ'!P21:P22,'19_Расчет_аналитики'!P2685:P2687)</f>
        <v/>
      </c>
      <c r="Q2689">
        <f>SUM('19_Расчет_аналитики'!Q2673:Q2674,'19_Расчет_аналитики'!Q2676:Q2680,'08_ФОТ'!Q21:Q22,'19_Расчет_аналитики'!Q2685:Q2687)</f>
        <v/>
      </c>
      <c r="R2689">
        <f>SUM('19_Расчет_аналитики'!R2673:R2674,'19_Расчет_аналитики'!R2676:R2680,'08_ФОТ'!R21:R22,'19_Расчет_аналитики'!R2685:R2687)</f>
        <v/>
      </c>
      <c r="S2689">
        <f>SUM('19_Расчет_аналитики'!S2673:S2674,'19_Расчет_аналитики'!S2676:S2680,'08_ФОТ'!S21:S22,'19_Расчет_аналитики'!S2685:S2687)</f>
        <v/>
      </c>
      <c r="T2689">
        <f>SUM('19_Расчет_аналитики'!T2673:T2674,'19_Расчет_аналитики'!T2676:T2680,'08_ФОТ'!T21:T22,'19_Расчет_аналитики'!T2685:T2687)</f>
        <v/>
      </c>
      <c r="U2689">
        <f>SUM('19_Расчет_аналитики'!U2673:U2674,'19_Расчет_аналитики'!U2676:U2680,'08_ФОТ'!U21:U22,'19_Расчет_аналитики'!U2685:U2687)</f>
        <v/>
      </c>
      <c r="V2689">
        <f>SUM('19_Расчет_аналитики'!V2673:V2674,'19_Расчет_аналитики'!V2676:V2680,'08_ФОТ'!V21:V22,'19_Расчет_аналитики'!V2685:V2687)</f>
        <v/>
      </c>
      <c r="W2689">
        <f>SUM('19_Расчет_аналитики'!W2673:W2674,'19_Расчет_аналитики'!W2676:W2680,'08_ФОТ'!W21:W22,'19_Расчет_аналитики'!W2685:W2687)</f>
        <v/>
      </c>
      <c r="X2689">
        <f>SUM('19_Расчет_аналитики'!X2673:X2674,'19_Расчет_аналитики'!X2676:X2680,'08_ФОТ'!X21:X22,'19_Расчет_аналитики'!X2685:X2687)</f>
        <v/>
      </c>
      <c r="Y2689">
        <f>SUM('19_Расчет_аналитики'!Y2673:Y2674,'19_Расчет_аналитики'!Y2676:Y2680,'08_ФОТ'!Y21:Y22,'19_Расчет_аналитики'!Y2685:Y2687)</f>
        <v/>
      </c>
      <c r="Z2689">
        <f>SUM('19_Расчет_аналитики'!Z2673:Z2674,'19_Расчет_аналитики'!Z2676:Z2680,'08_ФОТ'!Z21:Z22,'19_Расчет_аналитики'!Z2685:Z2687)</f>
        <v/>
      </c>
      <c r="AA2689">
        <f>SUM('19_Расчет_аналитики'!AA2673:AA2674,'19_Расчет_аналитики'!AA2676:AA2680,'08_ФОТ'!AA21:AA22,'19_Расчет_аналитики'!AA2685:AA2687)</f>
        <v/>
      </c>
      <c r="AB2689">
        <f>SUM('19_Расчет_аналитики'!AB2673:AB2674,'19_Расчет_аналитики'!AB2676:AB2680,'08_ФОТ'!AB21:AB22,'19_Расчет_аналитики'!AB2685:AB2687)</f>
        <v/>
      </c>
      <c r="AC2689">
        <f>SUM('19_Расчет_аналитики'!AC2673:AC2674,'19_Расчет_аналитики'!AC2676:AC2680,'08_ФОТ'!AC21:AC22,'19_Расчет_аналитики'!AC2685:AC2687)</f>
        <v/>
      </c>
      <c r="AD2689">
        <f>SUM('19_Расчет_аналитики'!AD2673:AD2674,'19_Расчет_аналитики'!AD2676:AD2680,'08_ФОТ'!AD21:AD22,'19_Расчет_аналитики'!AD2685:AD2687)</f>
        <v/>
      </c>
      <c r="AE2689">
        <f>SUM('19_Расчет_аналитики'!AE2673:AE2674,'19_Расчет_аналитики'!AE2676:AE2680,'08_ФОТ'!AE21:AE22,'19_Расчет_аналитики'!AE2685:AE2687)</f>
        <v/>
      </c>
      <c r="AF2689">
        <f>SUM('19_Расчет_аналитики'!AF2673:AF2674,'19_Расчет_аналитики'!AF2676:AF2680,'08_ФОТ'!AF21:AF22,'19_Расчет_аналитики'!AF2685:AF2687)</f>
        <v/>
      </c>
      <c r="AG2689">
        <f>SUM('19_Расчет_аналитики'!AG2673:AG2674,'19_Расчет_аналитики'!AG2676:AG2680,'08_ФОТ'!AG21:AG22,'19_Расчет_аналитики'!AG2685:AG2687)</f>
        <v/>
      </c>
      <c r="AH2689">
        <f>SUM('19_Расчет_аналитики'!AH2673:AH2674,'19_Расчет_аналитики'!AH2676:AH2680,'08_ФОТ'!AH21:AH22,'19_Расчет_аналитики'!AH2685:AH2687)</f>
        <v/>
      </c>
      <c r="AI2689">
        <f>SUM('19_Расчет_аналитики'!AI2673:AI2674,'19_Расчет_аналитики'!AI2676:AI2680,'08_ФОТ'!AI21:AI22,'19_Расчет_аналитики'!AI2685:AI2687)</f>
        <v/>
      </c>
      <c r="AJ2689">
        <f>SUM('19_Расчет_аналитики'!AJ2673:AJ2674,'19_Расчет_аналитики'!AJ2676:AJ2680,'08_ФОТ'!AJ21:AJ22,'19_Расчет_аналитики'!AJ2685:AJ2687)</f>
        <v/>
      </c>
      <c r="AK2689">
        <f>SUM('19_Расчет_аналитики'!AK2673:AK2674,'19_Расчет_аналитики'!AK2676:AK2680,'08_ФОТ'!AK21:AK22,'19_Расчет_аналитики'!AK2685:AK2687)</f>
        <v/>
      </c>
      <c r="AL2689">
        <f>SUM('19_Расчет_аналитики'!AL2673:AL2674,'19_Расчет_аналитики'!AL2676:AL2680,'08_ФОТ'!AL21:AL22,'19_Расчет_аналитики'!AL2685:AL2687)</f>
        <v/>
      </c>
      <c r="AM2689">
        <f>SUM('19_Расчет_аналитики'!AM2673:AM2674,'19_Расчет_аналитики'!AM2676:AM2680,'08_ФОТ'!AM21:AM22,'19_Расчет_аналитики'!AM2685:AM2687)</f>
        <v/>
      </c>
      <c r="AN2689">
        <f>SUM('19_Расчет_аналитики'!AN2673:AN2674,'19_Расчет_аналитики'!AN2676:AN2680,'08_ФОТ'!AN21:AN22,'19_Расчет_аналитики'!AN2685:AN2687)</f>
        <v/>
      </c>
      <c r="AO2689">
        <f>SUM('19_Расчет_аналитики'!AO2673:AO2674,'19_Расчет_аналитики'!AO2676:AO2680,'08_ФОТ'!AO21:AO22,'19_Расчет_аналитики'!AO2685:AO2687)</f>
        <v/>
      </c>
      <c r="AP2689">
        <f>SUM('19_Расчет_аналитики'!AP2673:AP2674,'19_Расчет_аналитики'!AP2676:AP2680,'08_ФОТ'!AP21:AP22,'19_Расчет_аналитики'!AP2685:AP2687)</f>
        <v/>
      </c>
      <c r="AQ2689">
        <f>SUM('19_Расчет_аналитики'!AQ2673:AQ2674,'19_Расчет_аналитики'!AQ2676:AQ2680,'08_ФОТ'!AQ21:AQ22,'19_Расчет_аналитики'!AQ2685:AQ2687)</f>
        <v/>
      </c>
      <c r="AR2689">
        <f>SUM('19_Расчет_аналитики'!AR2673:AR2674,'19_Расчет_аналитики'!AR2676:AR2680,'08_ФОТ'!AR21:AR22,'19_Расчет_аналитики'!AR2685:AR2687)</f>
        <v/>
      </c>
      <c r="AS2689">
        <f>SUM('19_Расчет_аналитики'!AS2673:AS2674,'19_Расчет_аналитики'!AS2676:AS2680,'08_ФОТ'!AS21:AS22,'19_Расчет_аналитики'!AS2685:AS2687)</f>
        <v/>
      </c>
      <c r="AT2689">
        <f>SUM('19_Расчет_аналитики'!AT2673:AT2674,'19_Расчет_аналитики'!AT2676:AT2680,'08_ФОТ'!AT21:AT22,'19_Расчет_аналитики'!AT2685:AT2687)</f>
        <v/>
      </c>
      <c r="AU2689">
        <f>SUM('19_Расчет_аналитики'!AU2673:AU2674,'19_Расчет_аналитики'!AU2676:AU2680,'08_ФОТ'!AU21:AU22,'19_Расчет_аналитики'!AU2685:AU2687)</f>
        <v/>
      </c>
      <c r="AV2689">
        <f>SUM('19_Расчет_аналитики'!AV2673:AV2674,'19_Расчет_аналитики'!AV2676:AV2680,'08_ФОТ'!AV21:AV22,'19_Расчет_аналитики'!AV2685:AV2687)</f>
        <v/>
      </c>
      <c r="AW2689">
        <f>SUM('19_Расчет_аналитики'!AW2673:AW2674,'19_Расчет_аналитики'!AW2676:AW2680,'08_ФОТ'!AW21:AW22,'19_Расчет_аналитики'!AW2685:AW2687)</f>
        <v/>
      </c>
      <c r="AX2689">
        <f>SUM('19_Расчет_аналитики'!AX2673:AX2674,'19_Расчет_аналитики'!AX2676:AX2680,'08_ФОТ'!AX21:AX22,'19_Расчет_аналитики'!AX2685:AX2687)</f>
        <v/>
      </c>
      <c r="AY2689">
        <f>SUM('19_Расчет_аналитики'!AY2673:AY2674,'19_Расчет_аналитики'!AY2676:AY2680,'08_ФОТ'!AY21:AY22,'19_Расчет_аналитики'!AY2685:AY2687)</f>
        <v/>
      </c>
      <c r="AZ2689">
        <f>SUM('19_Расчет_аналитики'!AZ2673:AZ2674,'19_Расчет_аналитики'!AZ2676:AZ2680,'08_ФОТ'!AZ21:AZ22,'19_Расчет_аналитики'!AZ2685:AZ2687)</f>
        <v/>
      </c>
      <c r="BA2689">
        <f>SUM('19_Расчет_аналитики'!BA2673:BA2674,'19_Расчет_аналитики'!BA2676:BA2680,'08_ФОТ'!BA21:BA22,'19_Расчет_аналитики'!BA2685:BA2687)</f>
        <v/>
      </c>
      <c r="BB2689">
        <f>SUM('19_Расчет_аналитики'!BB2673:BB2674,'19_Расчет_аналитики'!BB2676:BB2680,'08_ФОТ'!BB21:BB22,'19_Расчет_аналитики'!BB2685:BB2687)</f>
        <v/>
      </c>
      <c r="BC2689">
        <f>SUM('19_Расчет_аналитики'!BC2673:BC2674,'19_Расчет_аналитики'!BC2676:BC2680,'08_ФОТ'!BC21:BC22,'19_Расчет_аналитики'!BC2685:BC2687)</f>
        <v/>
      </c>
      <c r="BD2689">
        <f>SUM('19_Расчет_аналитики'!BD2673:BD2674,'19_Расчет_аналитики'!BD2676:BD2680,'08_ФОТ'!BD21:BD22,'19_Расчет_аналитики'!BD2685:BD2687)</f>
        <v/>
      </c>
      <c r="BE2689">
        <f>SUM('19_Расчет_аналитики'!BE2673:BE2674,'19_Расчет_аналитики'!BE2676:BE2680,'08_ФОТ'!BE21:BE22,'19_Расчет_аналитики'!BE2685:BE2687)</f>
        <v/>
      </c>
      <c r="BF2689">
        <f>SUM('19_Расчет_аналитики'!BF2673:BF2674,'19_Расчет_аналитики'!BF2676:BF2680,'08_ФОТ'!BF21:BF22,'19_Расчет_аналитики'!BF2685:BF2687)</f>
        <v/>
      </c>
      <c r="BG2689">
        <f>SUM('19_Расчет_аналитики'!BG2673:BG2674,'19_Расчет_аналитики'!BG2676:BG2680,'08_ФОТ'!BG21:BG22,'19_Расчет_аналитики'!BG2685:BG2687)</f>
        <v/>
      </c>
      <c r="BH2689">
        <f>SUM('19_Расчет_аналитики'!BH2673:BH2674,'19_Расчет_аналитики'!BH2676:BH2680,'08_ФОТ'!BH21:BH22,'19_Расчет_аналитики'!BH2685:BH2687)</f>
        <v/>
      </c>
      <c r="BI2689">
        <f>SUM('19_Расчет_аналитики'!BI2673:BI2674,'19_Расчет_аналитики'!BI2676:BI2680,'08_ФОТ'!BI21:BI22,'19_Расчет_аналитики'!BI2685:BI2687)</f>
        <v/>
      </c>
    </row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>
      <c r="C2731">
        <f>'19_Расчет_аналитики'!C2389</f>
        <v/>
      </c>
      <c r="D2731">
        <f>'19_Расчет_аналитики'!D2389</f>
        <v/>
      </c>
      <c r="E2731">
        <f>'19_Расчет_аналитики'!E2389</f>
        <v/>
      </c>
      <c r="F2731">
        <f>'19_Расчет_аналитики'!F2389</f>
        <v/>
      </c>
      <c r="G2731">
        <f>'19_Расчет_аналитики'!G2389</f>
        <v/>
      </c>
      <c r="H2731">
        <f>'19_Расчет_аналитики'!H2389</f>
        <v/>
      </c>
      <c r="I2731">
        <f>'19_Расчет_аналитики'!I2389</f>
        <v/>
      </c>
      <c r="J2731">
        <f>'19_Расчет_аналитики'!J2389</f>
        <v/>
      </c>
      <c r="K2731">
        <f>'19_Расчет_аналитики'!K2389</f>
        <v/>
      </c>
      <c r="L2731">
        <f>'19_Расчет_аналитики'!L2389</f>
        <v/>
      </c>
      <c r="M2731">
        <f>'19_Расчет_аналитики'!M2389</f>
        <v/>
      </c>
      <c r="N2731">
        <f>'19_Расчет_аналитики'!N2389</f>
        <v/>
      </c>
      <c r="O2731">
        <f>'19_Расчет_аналитики'!O2389</f>
        <v/>
      </c>
      <c r="P2731">
        <f>'19_Расчет_аналитики'!P2389</f>
        <v/>
      </c>
      <c r="Q2731">
        <f>'19_Расчет_аналитики'!Q2389</f>
        <v/>
      </c>
      <c r="R2731">
        <f>'19_Расчет_аналитики'!R2389</f>
        <v/>
      </c>
      <c r="S2731">
        <f>'19_Расчет_аналитики'!S2389</f>
        <v/>
      </c>
      <c r="T2731">
        <f>'19_Расчет_аналитики'!T2389</f>
        <v/>
      </c>
      <c r="U2731">
        <f>'19_Расчет_аналитики'!U2389</f>
        <v/>
      </c>
      <c r="V2731">
        <f>'19_Расчет_аналитики'!V2389</f>
        <v/>
      </c>
      <c r="W2731">
        <f>'19_Расчет_аналитики'!W2389</f>
        <v/>
      </c>
      <c r="X2731">
        <f>'19_Расчет_аналитики'!X2389</f>
        <v/>
      </c>
      <c r="Y2731">
        <f>'19_Расчет_аналитики'!Y2389</f>
        <v/>
      </c>
      <c r="Z2731">
        <f>'19_Расчет_аналитики'!Z2389</f>
        <v/>
      </c>
      <c r="AA2731">
        <f>'19_Расчет_аналитики'!AA2389</f>
        <v/>
      </c>
      <c r="AB2731">
        <f>'19_Расчет_аналитики'!AB2389</f>
        <v/>
      </c>
      <c r="AC2731">
        <f>'19_Расчет_аналитики'!AC2389</f>
        <v/>
      </c>
      <c r="AD2731">
        <f>'19_Расчет_аналитики'!AD2389</f>
        <v/>
      </c>
      <c r="AE2731">
        <f>'19_Расчет_аналитики'!AE2389</f>
        <v/>
      </c>
      <c r="AF2731">
        <f>'19_Расчет_аналитики'!AF2389</f>
        <v/>
      </c>
      <c r="AG2731">
        <f>'19_Расчет_аналитики'!AG2389</f>
        <v/>
      </c>
      <c r="AH2731">
        <f>'19_Расчет_аналитики'!AH2389</f>
        <v/>
      </c>
      <c r="AI2731">
        <f>'19_Расчет_аналитики'!AI2389</f>
        <v/>
      </c>
      <c r="AJ2731">
        <f>'19_Расчет_аналитики'!AJ2389</f>
        <v/>
      </c>
      <c r="AK2731">
        <f>'19_Расчет_аналитики'!AK2389</f>
        <v/>
      </c>
      <c r="AL2731">
        <f>'19_Расчет_аналитики'!AL2389</f>
        <v/>
      </c>
      <c r="AM2731">
        <f>'19_Расчет_аналитики'!AM2389</f>
        <v/>
      </c>
      <c r="AN2731">
        <f>'19_Расчет_аналитики'!AN2389</f>
        <v/>
      </c>
      <c r="AO2731">
        <f>'19_Расчет_аналитики'!AO2389</f>
        <v/>
      </c>
      <c r="AP2731">
        <f>'19_Расчет_аналитики'!AP2389</f>
        <v/>
      </c>
      <c r="AQ2731">
        <f>'19_Расчет_аналитики'!AQ2389</f>
        <v/>
      </c>
      <c r="AR2731">
        <f>'19_Расчет_аналитики'!AR2389</f>
        <v/>
      </c>
      <c r="AS2731">
        <f>'19_Расчет_аналитики'!AS2389</f>
        <v/>
      </c>
      <c r="AT2731">
        <f>'19_Расчет_аналитики'!AT2389</f>
        <v/>
      </c>
      <c r="AU2731">
        <f>'19_Расчет_аналитики'!AU2389</f>
        <v/>
      </c>
      <c r="AV2731">
        <f>'19_Расчет_аналитики'!AV2389</f>
        <v/>
      </c>
      <c r="AW2731">
        <f>'19_Расчет_аналитики'!AW2389</f>
        <v/>
      </c>
      <c r="AX2731">
        <f>'19_Расчет_аналитики'!AX2389</f>
        <v/>
      </c>
      <c r="AY2731">
        <f>'19_Расчет_аналитики'!AY2389</f>
        <v/>
      </c>
      <c r="AZ2731">
        <f>'19_Расчет_аналитики'!AZ2389</f>
        <v/>
      </c>
      <c r="BA2731">
        <f>'19_Расчет_аналитики'!BA2389</f>
        <v/>
      </c>
      <c r="BB2731">
        <f>'19_Расчет_аналитики'!BB2389</f>
        <v/>
      </c>
      <c r="BC2731">
        <f>'19_Расчет_аналитики'!BC2389</f>
        <v/>
      </c>
      <c r="BD2731">
        <f>'19_Расчет_аналитики'!BD2389</f>
        <v/>
      </c>
      <c r="BE2731">
        <f>'19_Расчет_аналитики'!BE2389</f>
        <v/>
      </c>
      <c r="BF2731">
        <f>'19_Расчет_аналитики'!BF2389</f>
        <v/>
      </c>
      <c r="BG2731">
        <f>'19_Расчет_аналитики'!BG2389</f>
        <v/>
      </c>
      <c r="BH2731">
        <f>'19_Расчет_аналитики'!BH2389</f>
        <v/>
      </c>
      <c r="BI2731">
        <f>'19_Расчет_аналитики'!BI2389</f>
        <v/>
      </c>
    </row>
    <row r="2732">
      <c r="B2732">
        <f>'19_Расчет_аналитики'!B2403</f>
        <v/>
      </c>
      <c r="C2732">
        <f>'19_Расчет_аналитики'!C2403</f>
        <v/>
      </c>
      <c r="D2732">
        <f>'19_Расчет_аналитики'!D2403</f>
        <v/>
      </c>
      <c r="E2732">
        <f>'19_Расчет_аналитики'!E2403</f>
        <v/>
      </c>
      <c r="F2732">
        <f>'19_Расчет_аналитики'!F2403</f>
        <v/>
      </c>
      <c r="G2732">
        <f>'19_Расчет_аналитики'!G2403</f>
        <v/>
      </c>
      <c r="H2732">
        <f>'19_Расчет_аналитики'!H2403</f>
        <v/>
      </c>
      <c r="I2732">
        <f>'19_Расчет_аналитики'!I2403</f>
        <v/>
      </c>
      <c r="J2732">
        <f>'19_Расчет_аналитики'!J2403</f>
        <v/>
      </c>
      <c r="K2732">
        <f>'19_Расчет_аналитики'!K2403</f>
        <v/>
      </c>
      <c r="L2732">
        <f>'19_Расчет_аналитики'!L2403</f>
        <v/>
      </c>
      <c r="M2732">
        <f>'19_Расчет_аналитики'!M2403</f>
        <v/>
      </c>
      <c r="N2732">
        <f>'19_Расчет_аналитики'!N2403</f>
        <v/>
      </c>
      <c r="O2732">
        <f>'19_Расчет_аналитики'!O2403</f>
        <v/>
      </c>
      <c r="P2732">
        <f>'19_Расчет_аналитики'!P2403</f>
        <v/>
      </c>
      <c r="Q2732">
        <f>'19_Расчет_аналитики'!Q2403</f>
        <v/>
      </c>
      <c r="R2732">
        <f>'19_Расчет_аналитики'!R2403</f>
        <v/>
      </c>
      <c r="S2732">
        <f>'19_Расчет_аналитики'!S2403</f>
        <v/>
      </c>
      <c r="T2732">
        <f>'19_Расчет_аналитики'!T2403</f>
        <v/>
      </c>
      <c r="U2732">
        <f>'19_Расчет_аналитики'!U2403</f>
        <v/>
      </c>
      <c r="V2732">
        <f>'19_Расчет_аналитики'!V2403</f>
        <v/>
      </c>
      <c r="W2732">
        <f>'19_Расчет_аналитики'!W2403</f>
        <v/>
      </c>
      <c r="X2732">
        <f>'19_Расчет_аналитики'!X2403</f>
        <v/>
      </c>
      <c r="Y2732">
        <f>'19_Расчет_аналитики'!Y2403</f>
        <v/>
      </c>
      <c r="Z2732">
        <f>'19_Расчет_аналитики'!Z2403</f>
        <v/>
      </c>
      <c r="AA2732">
        <f>'19_Расчет_аналитики'!AA2403</f>
        <v/>
      </c>
      <c r="AB2732">
        <f>'19_Расчет_аналитики'!AB2403</f>
        <v/>
      </c>
      <c r="AC2732">
        <f>'19_Расчет_аналитики'!AC2403</f>
        <v/>
      </c>
      <c r="AD2732">
        <f>'19_Расчет_аналитики'!AD2403</f>
        <v/>
      </c>
      <c r="AE2732">
        <f>'19_Расчет_аналитики'!AE2403</f>
        <v/>
      </c>
      <c r="AF2732">
        <f>'19_Расчет_аналитики'!AF2403</f>
        <v/>
      </c>
      <c r="AG2732">
        <f>'19_Расчет_аналитики'!AG2403</f>
        <v/>
      </c>
      <c r="AH2732">
        <f>'19_Расчет_аналитики'!AH2403</f>
        <v/>
      </c>
      <c r="AI2732">
        <f>'19_Расчет_аналитики'!AI2403</f>
        <v/>
      </c>
      <c r="AJ2732">
        <f>'19_Расчет_аналитики'!AJ2403</f>
        <v/>
      </c>
      <c r="AK2732">
        <f>'19_Расчет_аналитики'!AK2403</f>
        <v/>
      </c>
      <c r="AL2732">
        <f>'19_Расчет_аналитики'!AL2403</f>
        <v/>
      </c>
      <c r="AM2732">
        <f>'19_Расчет_аналитики'!AM2403</f>
        <v/>
      </c>
      <c r="AN2732">
        <f>'19_Расчет_аналитики'!AN2403</f>
        <v/>
      </c>
      <c r="AO2732">
        <f>'19_Расчет_аналитики'!AO2403</f>
        <v/>
      </c>
      <c r="AP2732">
        <f>'19_Расчет_аналитики'!AP2403</f>
        <v/>
      </c>
      <c r="AQ2732">
        <f>'19_Расчет_аналитики'!AQ2403</f>
        <v/>
      </c>
      <c r="AR2732">
        <f>'19_Расчет_аналитики'!AR2403</f>
        <v/>
      </c>
      <c r="AS2732">
        <f>'19_Расчет_аналитики'!AS2403</f>
        <v/>
      </c>
      <c r="AT2732">
        <f>'19_Расчет_аналитики'!AT2403</f>
        <v/>
      </c>
      <c r="AU2732">
        <f>'19_Расчет_аналитики'!AU2403</f>
        <v/>
      </c>
      <c r="AV2732">
        <f>'19_Расчет_аналитики'!AV2403</f>
        <v/>
      </c>
      <c r="AW2732">
        <f>'19_Расчет_аналитики'!AW2403</f>
        <v/>
      </c>
      <c r="AX2732">
        <f>'19_Расчет_аналитики'!AX2403</f>
        <v/>
      </c>
      <c r="AY2732">
        <f>'19_Расчет_аналитики'!AY2403</f>
        <v/>
      </c>
      <c r="AZ2732">
        <f>'19_Расчет_аналитики'!AZ2403</f>
        <v/>
      </c>
      <c r="BA2732">
        <f>'19_Расчет_аналитики'!BA2403</f>
        <v/>
      </c>
      <c r="BB2732">
        <f>'19_Расчет_аналитики'!BB2403</f>
        <v/>
      </c>
      <c r="BC2732">
        <f>'19_Расчет_аналитики'!BC2403</f>
        <v/>
      </c>
      <c r="BD2732">
        <f>'19_Расчет_аналитики'!BD2403</f>
        <v/>
      </c>
      <c r="BE2732">
        <f>'19_Расчет_аналитики'!BE2403</f>
        <v/>
      </c>
      <c r="BF2732">
        <f>'19_Расчет_аналитики'!BF2403</f>
        <v/>
      </c>
      <c r="BG2732">
        <f>'19_Расчет_аналитики'!BG2403</f>
        <v/>
      </c>
      <c r="BH2732">
        <f>'19_Расчет_аналитики'!BH2403</f>
        <v/>
      </c>
      <c r="BI2732">
        <f>'19_Расчет_аналитики'!BI2403</f>
        <v/>
      </c>
    </row>
    <row r="2733">
      <c r="B2733">
        <f>'19_Расчет_аналитики'!B2404</f>
        <v/>
      </c>
      <c r="C2733">
        <f>'19_Расчет_аналитики'!C2404</f>
        <v/>
      </c>
      <c r="D2733">
        <f>'19_Расчет_аналитики'!D2404</f>
        <v/>
      </c>
      <c r="E2733">
        <f>'19_Расчет_аналитики'!E2404</f>
        <v/>
      </c>
      <c r="F2733">
        <f>'19_Расчет_аналитики'!F2404</f>
        <v/>
      </c>
      <c r="G2733">
        <f>'19_Расчет_аналитики'!G2404</f>
        <v/>
      </c>
      <c r="H2733">
        <f>'19_Расчет_аналитики'!H2404</f>
        <v/>
      </c>
      <c r="I2733">
        <f>'19_Расчет_аналитики'!I2404</f>
        <v/>
      </c>
      <c r="J2733">
        <f>'19_Расчет_аналитики'!J2404</f>
        <v/>
      </c>
      <c r="K2733">
        <f>'19_Расчет_аналитики'!K2404</f>
        <v/>
      </c>
      <c r="L2733">
        <f>'19_Расчет_аналитики'!L2404</f>
        <v/>
      </c>
      <c r="M2733">
        <f>'19_Расчет_аналитики'!M2404</f>
        <v/>
      </c>
      <c r="N2733">
        <f>'19_Расчет_аналитики'!N2404</f>
        <v/>
      </c>
      <c r="O2733">
        <f>'19_Расчет_аналитики'!O2404</f>
        <v/>
      </c>
      <c r="P2733">
        <f>'19_Расчет_аналитики'!P2404</f>
        <v/>
      </c>
      <c r="Q2733">
        <f>'19_Расчет_аналитики'!Q2404</f>
        <v/>
      </c>
      <c r="R2733">
        <f>'19_Расчет_аналитики'!R2404</f>
        <v/>
      </c>
      <c r="S2733">
        <f>'19_Расчет_аналитики'!S2404</f>
        <v/>
      </c>
      <c r="T2733">
        <f>'19_Расчет_аналитики'!T2404</f>
        <v/>
      </c>
      <c r="U2733">
        <f>'19_Расчет_аналитики'!U2404</f>
        <v/>
      </c>
      <c r="V2733">
        <f>'19_Расчет_аналитики'!V2404</f>
        <v/>
      </c>
      <c r="W2733">
        <f>'19_Расчет_аналитики'!W2404</f>
        <v/>
      </c>
      <c r="X2733">
        <f>'19_Расчет_аналитики'!X2404</f>
        <v/>
      </c>
      <c r="Y2733">
        <f>'19_Расчет_аналитики'!Y2404</f>
        <v/>
      </c>
      <c r="Z2733">
        <f>'19_Расчет_аналитики'!Z2404</f>
        <v/>
      </c>
      <c r="AA2733">
        <f>'19_Расчет_аналитики'!AA2404</f>
        <v/>
      </c>
      <c r="AB2733">
        <f>'19_Расчет_аналитики'!AB2404</f>
        <v/>
      </c>
      <c r="AC2733">
        <f>'19_Расчет_аналитики'!AC2404</f>
        <v/>
      </c>
      <c r="AD2733">
        <f>'19_Расчет_аналитики'!AD2404</f>
        <v/>
      </c>
      <c r="AE2733">
        <f>'19_Расчет_аналитики'!AE2404</f>
        <v/>
      </c>
      <c r="AF2733">
        <f>'19_Расчет_аналитики'!AF2404</f>
        <v/>
      </c>
      <c r="AG2733">
        <f>'19_Расчет_аналитики'!AG2404</f>
        <v/>
      </c>
      <c r="AH2733">
        <f>'19_Расчет_аналитики'!AH2404</f>
        <v/>
      </c>
      <c r="AI2733">
        <f>'19_Расчет_аналитики'!AI2404</f>
        <v/>
      </c>
      <c r="AJ2733">
        <f>'19_Расчет_аналитики'!AJ2404</f>
        <v/>
      </c>
      <c r="AK2733">
        <f>'19_Расчет_аналитики'!AK2404</f>
        <v/>
      </c>
      <c r="AL2733">
        <f>'19_Расчет_аналитики'!AL2404</f>
        <v/>
      </c>
      <c r="AM2733">
        <f>'19_Расчет_аналитики'!AM2404</f>
        <v/>
      </c>
      <c r="AN2733">
        <f>'19_Расчет_аналитики'!AN2404</f>
        <v/>
      </c>
      <c r="AO2733">
        <f>'19_Расчет_аналитики'!AO2404</f>
        <v/>
      </c>
      <c r="AP2733">
        <f>'19_Расчет_аналитики'!AP2404</f>
        <v/>
      </c>
      <c r="AQ2733">
        <f>'19_Расчет_аналитики'!AQ2404</f>
        <v/>
      </c>
      <c r="AR2733">
        <f>'19_Расчет_аналитики'!AR2404</f>
        <v/>
      </c>
      <c r="AS2733">
        <f>'19_Расчет_аналитики'!AS2404</f>
        <v/>
      </c>
      <c r="AT2733">
        <f>'19_Расчет_аналитики'!AT2404</f>
        <v/>
      </c>
      <c r="AU2733">
        <f>'19_Расчет_аналитики'!AU2404</f>
        <v/>
      </c>
      <c r="AV2733">
        <f>'19_Расчет_аналитики'!AV2404</f>
        <v/>
      </c>
      <c r="AW2733">
        <f>'19_Расчет_аналитики'!AW2404</f>
        <v/>
      </c>
      <c r="AX2733">
        <f>'19_Расчет_аналитики'!AX2404</f>
        <v/>
      </c>
      <c r="AY2733">
        <f>'19_Расчет_аналитики'!AY2404</f>
        <v/>
      </c>
      <c r="AZ2733">
        <f>'19_Расчет_аналитики'!AZ2404</f>
        <v/>
      </c>
      <c r="BA2733">
        <f>'19_Расчет_аналитики'!BA2404</f>
        <v/>
      </c>
      <c r="BB2733">
        <f>'19_Расчет_аналитики'!BB2404</f>
        <v/>
      </c>
      <c r="BC2733">
        <f>'19_Расчет_аналитики'!BC2404</f>
        <v/>
      </c>
      <c r="BD2733">
        <f>'19_Расчет_аналитики'!BD2404</f>
        <v/>
      </c>
      <c r="BE2733">
        <f>'19_Расчет_аналитики'!BE2404</f>
        <v/>
      </c>
      <c r="BF2733">
        <f>'19_Расчет_аналитики'!BF2404</f>
        <v/>
      </c>
      <c r="BG2733">
        <f>'19_Расчет_аналитики'!BG2404</f>
        <v/>
      </c>
      <c r="BH2733">
        <f>'19_Расчет_аналитики'!BH2404</f>
        <v/>
      </c>
      <c r="BI2733">
        <f>'19_Расчет_аналитики'!BI2404</f>
        <v/>
      </c>
    </row>
    <row r="2734"/>
    <row r="2735"/>
    <row r="2736">
      <c r="B2736">
        <f>'02_Модель'!B18</f>
        <v/>
      </c>
      <c r="C2736">
        <f>'19_Расчет_аналитики'!C2373</f>
        <v/>
      </c>
      <c r="D2736">
        <f>'19_Расчет_аналитики'!D2373</f>
        <v/>
      </c>
      <c r="E2736">
        <f>'19_Расчет_аналитики'!E2373</f>
        <v/>
      </c>
      <c r="F2736">
        <f>'19_Расчет_аналитики'!F2373</f>
        <v/>
      </c>
      <c r="G2736">
        <f>'19_Расчет_аналитики'!G2373</f>
        <v/>
      </c>
      <c r="H2736">
        <f>'19_Расчет_аналитики'!H2373</f>
        <v/>
      </c>
      <c r="I2736">
        <f>'19_Расчет_аналитики'!I2373</f>
        <v/>
      </c>
      <c r="J2736">
        <f>'19_Расчет_аналитики'!J2373</f>
        <v/>
      </c>
      <c r="K2736">
        <f>'19_Расчет_аналитики'!K2373</f>
        <v/>
      </c>
      <c r="L2736">
        <f>'19_Расчет_аналитики'!L2373</f>
        <v/>
      </c>
      <c r="M2736">
        <f>'19_Расчет_аналитики'!M2373</f>
        <v/>
      </c>
      <c r="N2736">
        <f>'19_Расчет_аналитики'!N2373</f>
        <v/>
      </c>
      <c r="O2736">
        <f>'19_Расчет_аналитики'!O2373</f>
        <v/>
      </c>
      <c r="P2736">
        <f>'19_Расчет_аналитики'!P2373</f>
        <v/>
      </c>
      <c r="Q2736">
        <f>'19_Расчет_аналитики'!Q2373</f>
        <v/>
      </c>
      <c r="R2736">
        <f>'19_Расчет_аналитики'!R2373</f>
        <v/>
      </c>
      <c r="S2736">
        <f>'19_Расчет_аналитики'!S2373</f>
        <v/>
      </c>
      <c r="T2736">
        <f>'19_Расчет_аналитики'!T2373</f>
        <v/>
      </c>
      <c r="U2736">
        <f>'19_Расчет_аналитики'!U2373</f>
        <v/>
      </c>
      <c r="V2736">
        <f>'19_Расчет_аналитики'!V2373</f>
        <v/>
      </c>
      <c r="W2736">
        <f>'19_Расчет_аналитики'!W2373</f>
        <v/>
      </c>
      <c r="X2736">
        <f>'19_Расчет_аналитики'!X2373</f>
        <v/>
      </c>
      <c r="Y2736">
        <f>'19_Расчет_аналитики'!Y2373</f>
        <v/>
      </c>
      <c r="Z2736">
        <f>'19_Расчет_аналитики'!Z2373</f>
        <v/>
      </c>
      <c r="AA2736">
        <f>'19_Расчет_аналитики'!AA2373</f>
        <v/>
      </c>
      <c r="AB2736">
        <f>'19_Расчет_аналитики'!AB2373</f>
        <v/>
      </c>
      <c r="AC2736">
        <f>'19_Расчет_аналитики'!AC2373</f>
        <v/>
      </c>
      <c r="AD2736">
        <f>'19_Расчет_аналитики'!AD2373</f>
        <v/>
      </c>
      <c r="AE2736">
        <f>'19_Расчет_аналитики'!AE2373</f>
        <v/>
      </c>
      <c r="AF2736">
        <f>'19_Расчет_аналитики'!AF2373</f>
        <v/>
      </c>
      <c r="AG2736">
        <f>'19_Расчет_аналитики'!AG2373</f>
        <v/>
      </c>
      <c r="AH2736">
        <f>'19_Расчет_аналитики'!AH2373</f>
        <v/>
      </c>
      <c r="AI2736">
        <f>'19_Расчет_аналитики'!AI2373</f>
        <v/>
      </c>
      <c r="AJ2736">
        <f>'19_Расчет_аналитики'!AJ2373</f>
        <v/>
      </c>
      <c r="AK2736">
        <f>'19_Расчет_аналитики'!AK2373</f>
        <v/>
      </c>
      <c r="AL2736">
        <f>'19_Расчет_аналитики'!AL2373</f>
        <v/>
      </c>
      <c r="AM2736">
        <f>'19_Расчет_аналитики'!AM2373</f>
        <v/>
      </c>
      <c r="AN2736">
        <f>'19_Расчет_аналитики'!AN2373</f>
        <v/>
      </c>
      <c r="AO2736">
        <f>'19_Расчет_аналитики'!AO2373</f>
        <v/>
      </c>
      <c r="AP2736">
        <f>'19_Расчет_аналитики'!AP2373</f>
        <v/>
      </c>
      <c r="AQ2736">
        <f>'19_Расчет_аналитики'!AQ2373</f>
        <v/>
      </c>
      <c r="AR2736">
        <f>'19_Расчет_аналитики'!AR2373</f>
        <v/>
      </c>
      <c r="AS2736">
        <f>'19_Расчет_аналитики'!AS2373</f>
        <v/>
      </c>
      <c r="AT2736">
        <f>'19_Расчет_аналитики'!AT2373</f>
        <v/>
      </c>
      <c r="AU2736">
        <f>'19_Расчет_аналитики'!AU2373</f>
        <v/>
      </c>
      <c r="AV2736">
        <f>'19_Расчет_аналитики'!AV2373</f>
        <v/>
      </c>
      <c r="AW2736">
        <f>'19_Расчет_аналитики'!AW2373</f>
        <v/>
      </c>
      <c r="AX2736">
        <f>'19_Расчет_аналитики'!AX2373</f>
        <v/>
      </c>
      <c r="AY2736">
        <f>'19_Расчет_аналитики'!AY2373</f>
        <v/>
      </c>
      <c r="AZ2736">
        <f>'19_Расчет_аналитики'!AZ2373</f>
        <v/>
      </c>
      <c r="BA2736">
        <f>'19_Расчет_аналитики'!BA2373</f>
        <v/>
      </c>
      <c r="BB2736">
        <f>'19_Расчет_аналитики'!BB2373</f>
        <v/>
      </c>
      <c r="BC2736">
        <f>'19_Расчет_аналитики'!BC2373</f>
        <v/>
      </c>
      <c r="BD2736">
        <f>'19_Расчет_аналитики'!BD2373</f>
        <v/>
      </c>
      <c r="BE2736">
        <f>'19_Расчет_аналитики'!BE2373</f>
        <v/>
      </c>
      <c r="BF2736">
        <f>'19_Расчет_аналитики'!BF2373</f>
        <v/>
      </c>
      <c r="BG2736">
        <f>'19_Расчет_аналитики'!BG2373</f>
        <v/>
      </c>
      <c r="BH2736">
        <f>'19_Расчет_аналитики'!BH2373</f>
        <v/>
      </c>
      <c r="BI2736">
        <f>'19_Расчет_аналитики'!BI2373</f>
        <v/>
      </c>
    </row>
    <row r="2737">
      <c r="B2737">
        <f>'19_Расчет_аналитики'!B2407/(1+'01_Вводные'!$B$58)</f>
        <v/>
      </c>
      <c r="C2737">
        <f>'19_Расчет_аналитики'!C2407/(1+'01_Вводные'!$B$58)</f>
        <v/>
      </c>
      <c r="D2737">
        <f>'19_Расчет_аналитики'!D2407/(1+'01_Вводные'!$B$58)</f>
        <v/>
      </c>
      <c r="E2737">
        <f>'19_Расчет_аналитики'!E2407/(1+'01_Вводные'!$B$58)</f>
        <v/>
      </c>
      <c r="F2737">
        <f>'19_Расчет_аналитики'!F2407/(1+'01_Вводные'!$B$58)</f>
        <v/>
      </c>
      <c r="G2737">
        <f>'19_Расчет_аналитики'!G2407/(1+'01_Вводные'!$B$58)</f>
        <v/>
      </c>
      <c r="H2737">
        <f>'19_Расчет_аналитики'!H2407/(1+'01_Вводные'!$B$58)</f>
        <v/>
      </c>
      <c r="I2737">
        <f>'19_Расчет_аналитики'!I2407/(1+'01_Вводные'!$B$58)</f>
        <v/>
      </c>
      <c r="J2737">
        <f>'19_Расчет_аналитики'!J2407/(1+'01_Вводные'!$B$58)</f>
        <v/>
      </c>
      <c r="K2737">
        <f>'19_Расчет_аналитики'!K2407/(1+'01_Вводные'!$B$58)</f>
        <v/>
      </c>
      <c r="L2737">
        <f>'19_Расчет_аналитики'!L2407/(1+'01_Вводные'!$B$58)</f>
        <v/>
      </c>
      <c r="M2737">
        <f>'19_Расчет_аналитики'!M2407/(1+'01_Вводные'!$B$58)</f>
        <v/>
      </c>
      <c r="N2737">
        <f>'19_Расчет_аналитики'!N2407/(1+'01_Вводные'!$B$58)</f>
        <v/>
      </c>
      <c r="O2737">
        <f>'19_Расчет_аналитики'!O2407/(1+'01_Вводные'!$B$58)</f>
        <v/>
      </c>
      <c r="P2737">
        <f>'19_Расчет_аналитики'!P2407/(1+'01_Вводные'!$B$58)</f>
        <v/>
      </c>
      <c r="Q2737">
        <f>'19_Расчет_аналитики'!Q2407/(1+'01_Вводные'!$B$58)</f>
        <v/>
      </c>
      <c r="R2737">
        <f>'19_Расчет_аналитики'!R2407/(1+'01_Вводные'!$B$58)</f>
        <v/>
      </c>
      <c r="S2737">
        <f>'19_Расчет_аналитики'!S2407/(1+'01_Вводные'!$B$58)</f>
        <v/>
      </c>
      <c r="T2737">
        <f>'19_Расчет_аналитики'!T2407/(1+'01_Вводные'!$B$58)</f>
        <v/>
      </c>
      <c r="U2737">
        <f>'19_Расчет_аналитики'!U2407/(1+'01_Вводные'!$B$58)</f>
        <v/>
      </c>
      <c r="V2737">
        <f>'19_Расчет_аналитики'!V2407/(1+'01_Вводные'!$B$58)</f>
        <v/>
      </c>
      <c r="W2737">
        <f>'19_Расчет_аналитики'!W2407/(1+'01_Вводные'!$B$58)</f>
        <v/>
      </c>
      <c r="X2737">
        <f>'19_Расчет_аналитики'!X2407/(1+'01_Вводные'!$B$58)</f>
        <v/>
      </c>
      <c r="Y2737">
        <f>'19_Расчет_аналитики'!Y2407/(1+'01_Вводные'!$B$58)</f>
        <v/>
      </c>
      <c r="Z2737">
        <f>'19_Расчет_аналитики'!Z2407/(1+'01_Вводные'!$B$58)</f>
        <v/>
      </c>
      <c r="AA2737">
        <f>'19_Расчет_аналитики'!AA2407/(1+'01_Вводные'!$B$58)</f>
        <v/>
      </c>
      <c r="AB2737">
        <f>'19_Расчет_аналитики'!AB2407/(1+'01_Вводные'!$B$58)</f>
        <v/>
      </c>
      <c r="AC2737">
        <f>'19_Расчет_аналитики'!AC2407/(1+'01_Вводные'!$B$58)</f>
        <v/>
      </c>
      <c r="AD2737">
        <f>'19_Расчет_аналитики'!AD2407/(1+'01_Вводные'!$B$58)</f>
        <v/>
      </c>
      <c r="AE2737">
        <f>'19_Расчет_аналитики'!AE2407/(1+'01_Вводные'!$B$58)</f>
        <v/>
      </c>
      <c r="AF2737">
        <f>'19_Расчет_аналитики'!AF2407/(1+'01_Вводные'!$B$58)</f>
        <v/>
      </c>
      <c r="AG2737">
        <f>'19_Расчет_аналитики'!AG2407/(1+'01_Вводные'!$B$58)</f>
        <v/>
      </c>
      <c r="AH2737">
        <f>'19_Расчет_аналитики'!AH2407/(1+'01_Вводные'!$B$58)</f>
        <v/>
      </c>
      <c r="AI2737">
        <f>'19_Расчет_аналитики'!AI2407/(1+'01_Вводные'!$B$58)</f>
        <v/>
      </c>
      <c r="AJ2737">
        <f>'19_Расчет_аналитики'!AJ2407/(1+'01_Вводные'!$B$58)</f>
        <v/>
      </c>
      <c r="AK2737">
        <f>'19_Расчет_аналитики'!AK2407/(1+'01_Вводные'!$B$58)</f>
        <v/>
      </c>
      <c r="AL2737">
        <f>'19_Расчет_аналитики'!AL2407/(1+'01_Вводные'!$B$58)</f>
        <v/>
      </c>
      <c r="AM2737">
        <f>'19_Расчет_аналитики'!AM2407/(1+'01_Вводные'!$B$58)</f>
        <v/>
      </c>
      <c r="AN2737">
        <f>'19_Расчет_аналитики'!AN2407/(1+'01_Вводные'!$B$58)</f>
        <v/>
      </c>
      <c r="AO2737">
        <f>'19_Расчет_аналитики'!AO2407/(1+'01_Вводные'!$B$58)</f>
        <v/>
      </c>
      <c r="AP2737">
        <f>'19_Расчет_аналитики'!AP2407/(1+'01_Вводные'!$B$58)</f>
        <v/>
      </c>
      <c r="AQ2737">
        <f>'19_Расчет_аналитики'!AQ2407/(1+'01_Вводные'!$B$58)</f>
        <v/>
      </c>
      <c r="AR2737">
        <f>'19_Расчет_аналитики'!AR2407/(1+'01_Вводные'!$B$58)</f>
        <v/>
      </c>
      <c r="AS2737">
        <f>'19_Расчет_аналитики'!AS2407/(1+'01_Вводные'!$B$58)</f>
        <v/>
      </c>
      <c r="AT2737">
        <f>'19_Расчет_аналитики'!AT2407/(1+'01_Вводные'!$B$58)</f>
        <v/>
      </c>
      <c r="AU2737">
        <f>'19_Расчет_аналитики'!AU2407/(1+'01_Вводные'!$B$58)</f>
        <v/>
      </c>
      <c r="AV2737">
        <f>'19_Расчет_аналитики'!AV2407/(1+'01_Вводные'!$B$58)</f>
        <v/>
      </c>
      <c r="AW2737">
        <f>'19_Расчет_аналитики'!AW2407/(1+'01_Вводные'!$B$58)</f>
        <v/>
      </c>
      <c r="AX2737">
        <f>'19_Расчет_аналитики'!AX2407/(1+'01_Вводные'!$B$58)</f>
        <v/>
      </c>
      <c r="AY2737">
        <f>'19_Расчет_аналитики'!AY2407/(1+'01_Вводные'!$B$58)</f>
        <v/>
      </c>
      <c r="AZ2737">
        <f>'19_Расчет_аналитики'!AZ2407/(1+'01_Вводные'!$B$58)</f>
        <v/>
      </c>
      <c r="BA2737">
        <f>'19_Расчет_аналитики'!BA2407/(1+'01_Вводные'!$B$58)</f>
        <v/>
      </c>
      <c r="BB2737">
        <f>'19_Расчет_аналитики'!BB2407/(1+'01_Вводные'!$B$58)</f>
        <v/>
      </c>
      <c r="BC2737">
        <f>'19_Расчет_аналитики'!BC2407/(1+'01_Вводные'!$B$58)</f>
        <v/>
      </c>
      <c r="BD2737">
        <f>'19_Расчет_аналитики'!BD2407/(1+'01_Вводные'!$B$58)</f>
        <v/>
      </c>
      <c r="BE2737">
        <f>'19_Расчет_аналитики'!BE2407/(1+'01_Вводные'!$B$58)</f>
        <v/>
      </c>
      <c r="BF2737">
        <f>'19_Расчет_аналитики'!BF2407/(1+'01_Вводные'!$B$58)</f>
        <v/>
      </c>
      <c r="BG2737">
        <f>'19_Расчет_аналитики'!BG2407/(1+'01_Вводные'!$B$58)</f>
        <v/>
      </c>
      <c r="BH2737">
        <f>'19_Расчет_аналитики'!BH2407/(1+'01_Вводные'!$B$58)</f>
        <v/>
      </c>
      <c r="BI2737">
        <f>'19_Расчет_аналитики'!BI2407/(1+'01_Вводные'!$B$58)</f>
        <v/>
      </c>
    </row>
    <row r="2738">
      <c r="B2738">
        <f>'19_Расчет_аналитики'!B2408/(1+'01_Вводные'!$B$58)</f>
        <v/>
      </c>
      <c r="C2738">
        <f>'19_Расчет_аналитики'!C2408/(1+'01_Вводные'!$B$58)</f>
        <v/>
      </c>
      <c r="D2738">
        <f>'19_Расчет_аналитики'!D2408/(1+'01_Вводные'!$B$58)</f>
        <v/>
      </c>
      <c r="E2738">
        <f>'19_Расчет_аналитики'!E2408/(1+'01_Вводные'!$B$58)</f>
        <v/>
      </c>
      <c r="F2738">
        <f>'19_Расчет_аналитики'!F2408/(1+'01_Вводные'!$B$58)</f>
        <v/>
      </c>
      <c r="G2738">
        <f>'19_Расчет_аналитики'!G2408/(1+'01_Вводные'!$B$58)</f>
        <v/>
      </c>
      <c r="H2738">
        <f>'19_Расчет_аналитики'!H2408/(1+'01_Вводные'!$B$58)</f>
        <v/>
      </c>
      <c r="I2738">
        <f>'19_Расчет_аналитики'!I2408/(1+'01_Вводные'!$B$58)</f>
        <v/>
      </c>
      <c r="J2738">
        <f>'19_Расчет_аналитики'!J2408/(1+'01_Вводные'!$B$58)</f>
        <v/>
      </c>
      <c r="K2738">
        <f>'19_Расчет_аналитики'!K2408/(1+'01_Вводные'!$B$58)</f>
        <v/>
      </c>
      <c r="L2738">
        <f>'19_Расчет_аналитики'!L2408/(1+'01_Вводные'!$B$58)</f>
        <v/>
      </c>
      <c r="M2738">
        <f>'19_Расчет_аналитики'!M2408/(1+'01_Вводные'!$B$58)</f>
        <v/>
      </c>
      <c r="N2738">
        <f>'19_Расчет_аналитики'!N2408/(1+'01_Вводные'!$B$58)</f>
        <v/>
      </c>
      <c r="O2738">
        <f>'19_Расчет_аналитики'!O2408/(1+'01_Вводные'!$B$58)</f>
        <v/>
      </c>
      <c r="P2738">
        <f>'19_Расчет_аналитики'!P2408/(1+'01_Вводные'!$B$58)</f>
        <v/>
      </c>
      <c r="Q2738">
        <f>'19_Расчет_аналитики'!Q2408/(1+'01_Вводные'!$B$58)</f>
        <v/>
      </c>
      <c r="R2738">
        <f>'19_Расчет_аналитики'!R2408/(1+'01_Вводные'!$B$58)</f>
        <v/>
      </c>
      <c r="S2738">
        <f>'19_Расчет_аналитики'!S2408/(1+'01_Вводные'!$B$58)</f>
        <v/>
      </c>
      <c r="T2738">
        <f>'19_Расчет_аналитики'!T2408/(1+'01_Вводные'!$B$58)</f>
        <v/>
      </c>
      <c r="U2738">
        <f>'19_Расчет_аналитики'!U2408/(1+'01_Вводные'!$B$58)</f>
        <v/>
      </c>
      <c r="V2738">
        <f>'19_Расчет_аналитики'!V2408/(1+'01_Вводные'!$B$58)</f>
        <v/>
      </c>
      <c r="W2738">
        <f>'19_Расчет_аналитики'!W2408/(1+'01_Вводные'!$B$58)</f>
        <v/>
      </c>
      <c r="X2738">
        <f>'19_Расчет_аналитики'!X2408/(1+'01_Вводные'!$B$58)</f>
        <v/>
      </c>
      <c r="Y2738">
        <f>'19_Расчет_аналитики'!Y2408/(1+'01_Вводные'!$B$58)</f>
        <v/>
      </c>
      <c r="Z2738">
        <f>'19_Расчет_аналитики'!Z2408/(1+'01_Вводные'!$B$58)</f>
        <v/>
      </c>
      <c r="AA2738">
        <f>'19_Расчет_аналитики'!AA2408/(1+'01_Вводные'!$B$58)</f>
        <v/>
      </c>
      <c r="AB2738">
        <f>'19_Расчет_аналитики'!AB2408/(1+'01_Вводные'!$B$58)</f>
        <v/>
      </c>
      <c r="AC2738">
        <f>'19_Расчет_аналитики'!AC2408/(1+'01_Вводные'!$B$58)</f>
        <v/>
      </c>
      <c r="AD2738">
        <f>'19_Расчет_аналитики'!AD2408/(1+'01_Вводные'!$B$58)</f>
        <v/>
      </c>
      <c r="AE2738">
        <f>'19_Расчет_аналитики'!AE2408/(1+'01_Вводные'!$B$58)</f>
        <v/>
      </c>
      <c r="AF2738">
        <f>'19_Расчет_аналитики'!AF2408/(1+'01_Вводные'!$B$58)</f>
        <v/>
      </c>
      <c r="AG2738">
        <f>'19_Расчет_аналитики'!AG2408/(1+'01_Вводные'!$B$58)</f>
        <v/>
      </c>
      <c r="AH2738">
        <f>'19_Расчет_аналитики'!AH2408/(1+'01_Вводные'!$B$58)</f>
        <v/>
      </c>
      <c r="AI2738">
        <f>'19_Расчет_аналитики'!AI2408/(1+'01_Вводные'!$B$58)</f>
        <v/>
      </c>
      <c r="AJ2738">
        <f>'19_Расчет_аналитики'!AJ2408/(1+'01_Вводные'!$B$58)</f>
        <v/>
      </c>
      <c r="AK2738">
        <f>'19_Расчет_аналитики'!AK2408/(1+'01_Вводные'!$B$58)</f>
        <v/>
      </c>
      <c r="AL2738">
        <f>'19_Расчет_аналитики'!AL2408/(1+'01_Вводные'!$B$58)</f>
        <v/>
      </c>
      <c r="AM2738">
        <f>'19_Расчет_аналитики'!AM2408/(1+'01_Вводные'!$B$58)</f>
        <v/>
      </c>
      <c r="AN2738">
        <f>'19_Расчет_аналитики'!AN2408/(1+'01_Вводные'!$B$58)</f>
        <v/>
      </c>
      <c r="AO2738">
        <f>'19_Расчет_аналитики'!AO2408/(1+'01_Вводные'!$B$58)</f>
        <v/>
      </c>
      <c r="AP2738">
        <f>'19_Расчет_аналитики'!AP2408/(1+'01_Вводные'!$B$58)</f>
        <v/>
      </c>
      <c r="AQ2738">
        <f>'19_Расчет_аналитики'!AQ2408/(1+'01_Вводные'!$B$58)</f>
        <v/>
      </c>
      <c r="AR2738">
        <f>'19_Расчет_аналитики'!AR2408/(1+'01_Вводные'!$B$58)</f>
        <v/>
      </c>
      <c r="AS2738">
        <f>'19_Расчет_аналитики'!AS2408/(1+'01_Вводные'!$B$58)</f>
        <v/>
      </c>
      <c r="AT2738">
        <f>'19_Расчет_аналитики'!AT2408/(1+'01_Вводные'!$B$58)</f>
        <v/>
      </c>
      <c r="AU2738">
        <f>'19_Расчет_аналитики'!AU2408/(1+'01_Вводные'!$B$58)</f>
        <v/>
      </c>
      <c r="AV2738">
        <f>'19_Расчет_аналитики'!AV2408/(1+'01_Вводные'!$B$58)</f>
        <v/>
      </c>
      <c r="AW2738">
        <f>'19_Расчет_аналитики'!AW2408/(1+'01_Вводные'!$B$58)</f>
        <v/>
      </c>
      <c r="AX2738">
        <f>'19_Расчет_аналитики'!AX2408/(1+'01_Вводные'!$B$58)</f>
        <v/>
      </c>
      <c r="AY2738">
        <f>'19_Расчет_аналитики'!AY2408/(1+'01_Вводные'!$B$58)</f>
        <v/>
      </c>
      <c r="AZ2738">
        <f>'19_Расчет_аналитики'!AZ2408/(1+'01_Вводные'!$B$58)</f>
        <v/>
      </c>
      <c r="BA2738">
        <f>'19_Расчет_аналитики'!BA2408/(1+'01_Вводные'!$B$58)</f>
        <v/>
      </c>
      <c r="BB2738">
        <f>'19_Расчет_аналитики'!BB2408/(1+'01_Вводные'!$B$58)</f>
        <v/>
      </c>
      <c r="BC2738">
        <f>'19_Расчет_аналитики'!BC2408/(1+'01_Вводные'!$B$58)</f>
        <v/>
      </c>
      <c r="BD2738">
        <f>'19_Расчет_аналитики'!BD2408/(1+'01_Вводные'!$B$58)</f>
        <v/>
      </c>
      <c r="BE2738">
        <f>'19_Расчет_аналитики'!BE2408/(1+'01_Вводные'!$B$58)</f>
        <v/>
      </c>
      <c r="BF2738">
        <f>'19_Расчет_аналитики'!BF2408/(1+'01_Вводные'!$B$58)</f>
        <v/>
      </c>
      <c r="BG2738">
        <f>'19_Расчет_аналитики'!BG2408/(1+'01_Вводные'!$B$58)</f>
        <v/>
      </c>
      <c r="BH2738">
        <f>'19_Расчет_аналитики'!BH2408/(1+'01_Вводные'!$B$58)</f>
        <v/>
      </c>
      <c r="BI2738">
        <f>'19_Расчет_аналитики'!BI2408/(1+'01_Вводные'!$B$58)</f>
        <v/>
      </c>
    </row>
    <row r="2739">
      <c r="B2739">
        <f>'19_Расчет_аналитики'!B2640</f>
        <v/>
      </c>
      <c r="C2739">
        <f>'19_Расчет_аналитики'!C2640</f>
        <v/>
      </c>
      <c r="D2739">
        <f>'19_Расчет_аналитики'!D2640</f>
        <v/>
      </c>
      <c r="E2739">
        <f>'19_Расчет_аналитики'!E2640</f>
        <v/>
      </c>
      <c r="F2739">
        <f>'19_Расчет_аналитики'!F2640</f>
        <v/>
      </c>
      <c r="G2739">
        <f>'19_Расчет_аналитики'!G2640</f>
        <v/>
      </c>
      <c r="H2739">
        <f>'19_Расчет_аналитики'!H2640</f>
        <v/>
      </c>
      <c r="I2739">
        <f>'19_Расчет_аналитики'!I2640</f>
        <v/>
      </c>
      <c r="J2739">
        <f>'19_Расчет_аналитики'!J2640</f>
        <v/>
      </c>
      <c r="K2739">
        <f>'19_Расчет_аналитики'!K2640</f>
        <v/>
      </c>
      <c r="L2739">
        <f>'19_Расчет_аналитики'!L2640</f>
        <v/>
      </c>
      <c r="M2739">
        <f>'19_Расчет_аналитики'!M2640</f>
        <v/>
      </c>
      <c r="N2739">
        <f>'19_Расчет_аналитики'!N2640</f>
        <v/>
      </c>
      <c r="O2739">
        <f>'19_Расчет_аналитики'!O2640</f>
        <v/>
      </c>
      <c r="P2739">
        <f>'19_Расчет_аналитики'!P2640</f>
        <v/>
      </c>
      <c r="Q2739">
        <f>'19_Расчет_аналитики'!Q2640</f>
        <v/>
      </c>
      <c r="R2739">
        <f>'19_Расчет_аналитики'!R2640</f>
        <v/>
      </c>
      <c r="S2739">
        <f>'19_Расчет_аналитики'!S2640</f>
        <v/>
      </c>
      <c r="T2739">
        <f>'19_Расчет_аналитики'!T2640</f>
        <v/>
      </c>
      <c r="U2739">
        <f>'19_Расчет_аналитики'!U2640</f>
        <v/>
      </c>
      <c r="V2739">
        <f>'19_Расчет_аналитики'!V2640</f>
        <v/>
      </c>
      <c r="W2739">
        <f>'19_Расчет_аналитики'!W2640</f>
        <v/>
      </c>
      <c r="X2739">
        <f>'19_Расчет_аналитики'!X2640</f>
        <v/>
      </c>
      <c r="Y2739">
        <f>'19_Расчет_аналитики'!Y2640</f>
        <v/>
      </c>
      <c r="Z2739">
        <f>'19_Расчет_аналитики'!Z2640</f>
        <v/>
      </c>
      <c r="AA2739">
        <f>'19_Расчет_аналитики'!AA2640</f>
        <v/>
      </c>
      <c r="AB2739">
        <f>'19_Расчет_аналитики'!AB2640</f>
        <v/>
      </c>
      <c r="AC2739">
        <f>'19_Расчет_аналитики'!AC2640</f>
        <v/>
      </c>
      <c r="AD2739">
        <f>'19_Расчет_аналитики'!AD2640</f>
        <v/>
      </c>
      <c r="AE2739">
        <f>'19_Расчет_аналитики'!AE2640</f>
        <v/>
      </c>
      <c r="AF2739">
        <f>'19_Расчет_аналитики'!AF2640</f>
        <v/>
      </c>
      <c r="AG2739">
        <f>'19_Расчет_аналитики'!AG2640</f>
        <v/>
      </c>
      <c r="AH2739">
        <f>'19_Расчет_аналитики'!AH2640</f>
        <v/>
      </c>
      <c r="AI2739">
        <f>'19_Расчет_аналитики'!AI2640</f>
        <v/>
      </c>
      <c r="AJ2739">
        <f>'19_Расчет_аналитики'!AJ2640</f>
        <v/>
      </c>
      <c r="AK2739">
        <f>'19_Расчет_аналитики'!AK2640</f>
        <v/>
      </c>
      <c r="AL2739">
        <f>'19_Расчет_аналитики'!AL2640</f>
        <v/>
      </c>
      <c r="AM2739">
        <f>'19_Расчет_аналитики'!AM2640</f>
        <v/>
      </c>
      <c r="AN2739">
        <f>'19_Расчет_аналитики'!AN2640</f>
        <v/>
      </c>
      <c r="AO2739">
        <f>'19_Расчет_аналитики'!AO2640</f>
        <v/>
      </c>
      <c r="AP2739">
        <f>'19_Расчет_аналитики'!AP2640</f>
        <v/>
      </c>
      <c r="AQ2739">
        <f>'19_Расчет_аналитики'!AQ2640</f>
        <v/>
      </c>
      <c r="AR2739">
        <f>'19_Расчет_аналитики'!AR2640</f>
        <v/>
      </c>
      <c r="AS2739">
        <f>'19_Расчет_аналитики'!AS2640</f>
        <v/>
      </c>
      <c r="AT2739">
        <f>'19_Расчет_аналитики'!AT2640</f>
        <v/>
      </c>
      <c r="AU2739">
        <f>'19_Расчет_аналитики'!AU2640</f>
        <v/>
      </c>
      <c r="AV2739">
        <f>'19_Расчет_аналитики'!AV2640</f>
        <v/>
      </c>
      <c r="AW2739">
        <f>'19_Расчет_аналитики'!AW2640</f>
        <v/>
      </c>
      <c r="AX2739">
        <f>'19_Расчет_аналитики'!AX2640</f>
        <v/>
      </c>
      <c r="AY2739">
        <f>'19_Расчет_аналитики'!AY2640</f>
        <v/>
      </c>
      <c r="AZ2739">
        <f>'19_Расчет_аналитики'!AZ2640</f>
        <v/>
      </c>
      <c r="BA2739">
        <f>'19_Расчет_аналитики'!BA2640</f>
        <v/>
      </c>
      <c r="BB2739">
        <f>'19_Расчет_аналитики'!BB2640</f>
        <v/>
      </c>
      <c r="BC2739">
        <f>'19_Расчет_аналитики'!BC2640</f>
        <v/>
      </c>
      <c r="BD2739">
        <f>'19_Расчет_аналитики'!BD2640</f>
        <v/>
      </c>
      <c r="BE2739">
        <f>'19_Расчет_аналитики'!BE2640</f>
        <v/>
      </c>
      <c r="BF2739">
        <f>'19_Расчет_аналитики'!BF2640</f>
        <v/>
      </c>
      <c r="BG2739">
        <f>'19_Расчет_аналитики'!BG2640</f>
        <v/>
      </c>
      <c r="BH2739">
        <f>'19_Расчет_аналитики'!BH2640</f>
        <v/>
      </c>
      <c r="BI2739">
        <f>'19_Расчет_аналитики'!BI2640</f>
        <v/>
      </c>
    </row>
    <row r="2740">
      <c r="B2740">
        <f>'02_Модель'!B22</f>
        <v/>
      </c>
      <c r="C2740">
        <f>'02_Модель'!C22</f>
        <v/>
      </c>
      <c r="D2740">
        <f>'02_Модель'!D22</f>
        <v/>
      </c>
      <c r="E2740">
        <f>'02_Модель'!E22</f>
        <v/>
      </c>
      <c r="F2740">
        <f>'02_Модель'!F22</f>
        <v/>
      </c>
      <c r="G2740">
        <f>'02_Модель'!G22</f>
        <v/>
      </c>
      <c r="H2740">
        <f>'02_Модель'!H22</f>
        <v/>
      </c>
      <c r="I2740">
        <f>'02_Модель'!I22</f>
        <v/>
      </c>
      <c r="J2740">
        <f>'02_Модель'!J22</f>
        <v/>
      </c>
      <c r="K2740">
        <f>'02_Модель'!K22</f>
        <v/>
      </c>
      <c r="L2740">
        <f>'02_Модель'!L22</f>
        <v/>
      </c>
      <c r="M2740">
        <f>'02_Модель'!M22</f>
        <v/>
      </c>
      <c r="N2740">
        <f>'02_Модель'!N22</f>
        <v/>
      </c>
      <c r="O2740">
        <f>'02_Модель'!O22</f>
        <v/>
      </c>
      <c r="P2740">
        <f>'02_Модель'!P22</f>
        <v/>
      </c>
      <c r="Q2740">
        <f>'02_Модель'!Q22</f>
        <v/>
      </c>
      <c r="R2740">
        <f>'02_Модель'!R22</f>
        <v/>
      </c>
      <c r="S2740">
        <f>'02_Модель'!S22</f>
        <v/>
      </c>
      <c r="T2740">
        <f>'02_Модель'!T22</f>
        <v/>
      </c>
      <c r="U2740">
        <f>'02_Модель'!U22</f>
        <v/>
      </c>
      <c r="V2740">
        <f>'02_Модель'!V22</f>
        <v/>
      </c>
      <c r="W2740">
        <f>'02_Модель'!W22</f>
        <v/>
      </c>
      <c r="X2740">
        <f>'02_Модель'!X22</f>
        <v/>
      </c>
      <c r="Y2740">
        <f>'02_Модель'!Y22</f>
        <v/>
      </c>
      <c r="Z2740">
        <f>'02_Модель'!Z22</f>
        <v/>
      </c>
      <c r="AA2740">
        <f>'02_Модель'!AA22</f>
        <v/>
      </c>
      <c r="AB2740">
        <f>'02_Модель'!AB22</f>
        <v/>
      </c>
      <c r="AC2740">
        <f>'02_Модель'!AC22</f>
        <v/>
      </c>
      <c r="AD2740">
        <f>'02_Модель'!AD22</f>
        <v/>
      </c>
      <c r="AE2740">
        <f>'02_Модель'!AE22</f>
        <v/>
      </c>
      <c r="AF2740">
        <f>'02_Модель'!AF22</f>
        <v/>
      </c>
      <c r="AG2740">
        <f>'02_Модель'!AG22</f>
        <v/>
      </c>
      <c r="AH2740">
        <f>'02_Модель'!AH22</f>
        <v/>
      </c>
      <c r="AI2740">
        <f>'02_Модель'!AI22</f>
        <v/>
      </c>
      <c r="AJ2740">
        <f>'02_Модель'!AJ22</f>
        <v/>
      </c>
      <c r="AK2740">
        <f>'02_Модель'!AK22</f>
        <v/>
      </c>
      <c r="AL2740">
        <f>'02_Модель'!AL22</f>
        <v/>
      </c>
      <c r="AM2740">
        <f>'02_Модель'!AM22</f>
        <v/>
      </c>
      <c r="AN2740">
        <f>'02_Модель'!AN22</f>
        <v/>
      </c>
      <c r="AO2740">
        <f>'02_Модель'!AO22</f>
        <v/>
      </c>
      <c r="AP2740">
        <f>'02_Модель'!AP22</f>
        <v/>
      </c>
      <c r="AQ2740">
        <f>'02_Модель'!AQ22</f>
        <v/>
      </c>
      <c r="AR2740">
        <f>'02_Модель'!AR22</f>
        <v/>
      </c>
      <c r="AS2740">
        <f>'02_Модель'!AS22</f>
        <v/>
      </c>
      <c r="AT2740">
        <f>'02_Модель'!AT22</f>
        <v/>
      </c>
      <c r="AU2740">
        <f>'02_Модель'!AU22</f>
        <v/>
      </c>
      <c r="AV2740">
        <f>'02_Модель'!AV22</f>
        <v/>
      </c>
      <c r="AW2740">
        <f>'02_Модель'!AW22</f>
        <v/>
      </c>
      <c r="AX2740">
        <f>'02_Модель'!AX22</f>
        <v/>
      </c>
      <c r="AY2740">
        <f>'02_Модель'!AY22</f>
        <v/>
      </c>
      <c r="AZ2740">
        <f>'02_Модель'!AZ22</f>
        <v/>
      </c>
      <c r="BA2740">
        <f>'02_Модель'!BA22</f>
        <v/>
      </c>
      <c r="BB2740">
        <f>'02_Модель'!BB22</f>
        <v/>
      </c>
      <c r="BC2740">
        <f>'02_Модель'!BC22</f>
        <v/>
      </c>
      <c r="BD2740">
        <f>'02_Модель'!BD22</f>
        <v/>
      </c>
      <c r="BE2740">
        <f>'02_Модель'!BE22</f>
        <v/>
      </c>
      <c r="BF2740">
        <f>'02_Модель'!BF22</f>
        <v/>
      </c>
      <c r="BG2740">
        <f>'02_Модель'!BG22</f>
        <v/>
      </c>
      <c r="BH2740">
        <f>'02_Модель'!BH22</f>
        <v/>
      </c>
      <c r="BI2740">
        <f>'02_Модель'!BI22</f>
        <v/>
      </c>
    </row>
    <row r="2741">
      <c r="B2741">
        <f>SUM('19_Расчет_аналитики'!B2736:B2740)</f>
        <v/>
      </c>
      <c r="C2741">
        <f>SUM('19_Расчет_аналитики'!C2736:C2740)</f>
        <v/>
      </c>
      <c r="D2741">
        <f>SUM('19_Расчет_аналитики'!D2736:D2740)</f>
        <v/>
      </c>
      <c r="E2741">
        <f>SUM('19_Расчет_аналитики'!E2736:E2740)</f>
        <v/>
      </c>
      <c r="F2741">
        <f>SUM('19_Расчет_аналитики'!F2736:F2740)</f>
        <v/>
      </c>
      <c r="G2741">
        <f>SUM('19_Расчет_аналитики'!G2736:G2740)</f>
        <v/>
      </c>
      <c r="H2741">
        <f>SUM('19_Расчет_аналитики'!H2736:H2740)</f>
        <v/>
      </c>
      <c r="I2741">
        <f>SUM('19_Расчет_аналитики'!I2736:I2740)</f>
        <v/>
      </c>
      <c r="J2741">
        <f>SUM('19_Расчет_аналитики'!J2736:J2740)</f>
        <v/>
      </c>
      <c r="K2741">
        <f>SUM('19_Расчет_аналитики'!K2736:K2740)</f>
        <v/>
      </c>
      <c r="L2741">
        <f>SUM('19_Расчет_аналитики'!L2736:L2740)</f>
        <v/>
      </c>
      <c r="M2741">
        <f>SUM('19_Расчет_аналитики'!M2736:M2740)</f>
        <v/>
      </c>
      <c r="N2741">
        <f>SUM('19_Расчет_аналитики'!N2736:N2740)</f>
        <v/>
      </c>
      <c r="O2741">
        <f>SUM('19_Расчет_аналитики'!O2736:O2740)</f>
        <v/>
      </c>
      <c r="P2741">
        <f>SUM('19_Расчет_аналитики'!P2736:P2740)</f>
        <v/>
      </c>
      <c r="Q2741">
        <f>SUM('19_Расчет_аналитики'!Q2736:Q2740)</f>
        <v/>
      </c>
      <c r="R2741">
        <f>SUM('19_Расчет_аналитики'!R2736:R2740)</f>
        <v/>
      </c>
      <c r="S2741">
        <f>SUM('19_Расчет_аналитики'!S2736:S2740)</f>
        <v/>
      </c>
      <c r="T2741">
        <f>SUM('19_Расчет_аналитики'!T2736:T2740)</f>
        <v/>
      </c>
      <c r="U2741">
        <f>SUM('19_Расчет_аналитики'!U2736:U2740)</f>
        <v/>
      </c>
      <c r="V2741">
        <f>SUM('19_Расчет_аналитики'!V2736:V2740)</f>
        <v/>
      </c>
      <c r="W2741">
        <f>SUM('19_Расчет_аналитики'!W2736:W2740)</f>
        <v/>
      </c>
      <c r="X2741">
        <f>SUM('19_Расчет_аналитики'!X2736:X2740)</f>
        <v/>
      </c>
      <c r="Y2741">
        <f>SUM('19_Расчет_аналитики'!Y2736:Y2740)</f>
        <v/>
      </c>
      <c r="Z2741">
        <f>SUM('19_Расчет_аналитики'!Z2736:Z2740)</f>
        <v/>
      </c>
      <c r="AA2741">
        <f>SUM('19_Расчет_аналитики'!AA2736:AA2740)</f>
        <v/>
      </c>
      <c r="AB2741">
        <f>SUM('19_Расчет_аналитики'!AB2736:AB2740)</f>
        <v/>
      </c>
      <c r="AC2741">
        <f>SUM('19_Расчет_аналитики'!AC2736:AC2740)</f>
        <v/>
      </c>
      <c r="AD2741">
        <f>SUM('19_Расчет_аналитики'!AD2736:AD2740)</f>
        <v/>
      </c>
      <c r="AE2741">
        <f>SUM('19_Расчет_аналитики'!AE2736:AE2740)</f>
        <v/>
      </c>
      <c r="AF2741">
        <f>SUM('19_Расчет_аналитики'!AF2736:AF2740)</f>
        <v/>
      </c>
      <c r="AG2741">
        <f>SUM('19_Расчет_аналитики'!AG2736:AG2740)</f>
        <v/>
      </c>
      <c r="AH2741">
        <f>SUM('19_Расчет_аналитики'!AH2736:AH2740)</f>
        <v/>
      </c>
      <c r="AI2741">
        <f>SUM('19_Расчет_аналитики'!AI2736:AI2740)</f>
        <v/>
      </c>
      <c r="AJ2741">
        <f>SUM('19_Расчет_аналитики'!AJ2736:AJ2740)</f>
        <v/>
      </c>
      <c r="AK2741">
        <f>SUM('19_Расчет_аналитики'!AK2736:AK2740)</f>
        <v/>
      </c>
      <c r="AL2741">
        <f>SUM('19_Расчет_аналитики'!AL2736:AL2740)</f>
        <v/>
      </c>
      <c r="AM2741">
        <f>SUM('19_Расчет_аналитики'!AM2736:AM2740)</f>
        <v/>
      </c>
      <c r="AN2741">
        <f>SUM('19_Расчет_аналитики'!AN2736:AN2740)</f>
        <v/>
      </c>
      <c r="AO2741">
        <f>SUM('19_Расчет_аналитики'!AO2736:AO2740)</f>
        <v/>
      </c>
      <c r="AP2741">
        <f>SUM('19_Расчет_аналитики'!AP2736:AP2740)</f>
        <v/>
      </c>
      <c r="AQ2741">
        <f>SUM('19_Расчет_аналитики'!AQ2736:AQ2740)</f>
        <v/>
      </c>
      <c r="AR2741">
        <f>SUM('19_Расчет_аналитики'!AR2736:AR2740)</f>
        <v/>
      </c>
      <c r="AS2741">
        <f>SUM('19_Расчет_аналитики'!AS2736:AS2740)</f>
        <v/>
      </c>
      <c r="AT2741">
        <f>SUM('19_Расчет_аналитики'!AT2736:AT2740)</f>
        <v/>
      </c>
      <c r="AU2741">
        <f>SUM('19_Расчет_аналитики'!AU2736:AU2740)</f>
        <v/>
      </c>
      <c r="AV2741">
        <f>SUM('19_Расчет_аналитики'!AV2736:AV2740)</f>
        <v/>
      </c>
      <c r="AW2741">
        <f>SUM('19_Расчет_аналитики'!AW2736:AW2740)</f>
        <v/>
      </c>
      <c r="AX2741">
        <f>SUM('19_Расчет_аналитики'!AX2736:AX2740)</f>
        <v/>
      </c>
      <c r="AY2741">
        <f>SUM('19_Расчет_аналитики'!AY2736:AY2740)</f>
        <v/>
      </c>
      <c r="AZ2741">
        <f>SUM('19_Расчет_аналитики'!AZ2736:AZ2740)</f>
        <v/>
      </c>
      <c r="BA2741">
        <f>SUM('19_Расчет_аналитики'!BA2736:BA2740)</f>
        <v/>
      </c>
      <c r="BB2741">
        <f>SUM('19_Расчет_аналитики'!BB2736:BB2740)</f>
        <v/>
      </c>
      <c r="BC2741">
        <f>SUM('19_Расчет_аналитики'!BC2736:BC2740)</f>
        <v/>
      </c>
      <c r="BD2741">
        <f>SUM('19_Расчет_аналитики'!BD2736:BD2740)</f>
        <v/>
      </c>
      <c r="BE2741">
        <f>SUM('19_Расчет_аналитики'!BE2736:BE2740)</f>
        <v/>
      </c>
      <c r="BF2741">
        <f>SUM('19_Расчет_аналитики'!BF2736:BF2740)</f>
        <v/>
      </c>
      <c r="BG2741">
        <f>SUM('19_Расчет_аналитики'!BG2736:BG2740)</f>
        <v/>
      </c>
      <c r="BH2741">
        <f>SUM('19_Расчет_аналитики'!BH2736:BH2740)</f>
        <v/>
      </c>
      <c r="BI2741">
        <f>SUM('19_Расчет_аналитики'!BI2736:BI2740)</f>
        <v/>
      </c>
    </row>
    <row r="2742"/>
    <row r="2743"/>
    <row r="2744">
      <c r="B2744">
        <f>'19_Расчет_аналитики'!B2641</f>
        <v/>
      </c>
      <c r="C2744">
        <f>'19_Расчет_аналитики'!C2641</f>
        <v/>
      </c>
      <c r="D2744">
        <f>'19_Расчет_аналитики'!D2641</f>
        <v/>
      </c>
      <c r="E2744">
        <f>'19_Расчет_аналитики'!E2641</f>
        <v/>
      </c>
      <c r="F2744">
        <f>'19_Расчет_аналитики'!F2641</f>
        <v/>
      </c>
      <c r="G2744">
        <f>'19_Расчет_аналитики'!G2641</f>
        <v/>
      </c>
      <c r="H2744">
        <f>'19_Расчет_аналитики'!H2641</f>
        <v/>
      </c>
      <c r="I2744">
        <f>'19_Расчет_аналитики'!I2641</f>
        <v/>
      </c>
      <c r="J2744">
        <f>'19_Расчет_аналитики'!J2641</f>
        <v/>
      </c>
      <c r="K2744">
        <f>'19_Расчет_аналитики'!K2641</f>
        <v/>
      </c>
      <c r="L2744">
        <f>'19_Расчет_аналитики'!L2641</f>
        <v/>
      </c>
      <c r="M2744">
        <f>'19_Расчет_аналитики'!M2641</f>
        <v/>
      </c>
      <c r="N2744">
        <f>'19_Расчет_аналитики'!N2641</f>
        <v/>
      </c>
      <c r="O2744">
        <f>'19_Расчет_аналитики'!O2641</f>
        <v/>
      </c>
      <c r="P2744">
        <f>'19_Расчет_аналитики'!P2641</f>
        <v/>
      </c>
      <c r="Q2744">
        <f>'19_Расчет_аналитики'!Q2641</f>
        <v/>
      </c>
      <c r="R2744">
        <f>'19_Расчет_аналитики'!R2641</f>
        <v/>
      </c>
      <c r="S2744">
        <f>'19_Расчет_аналитики'!S2641</f>
        <v/>
      </c>
      <c r="T2744">
        <f>'19_Расчет_аналитики'!T2641</f>
        <v/>
      </c>
      <c r="U2744">
        <f>'19_Расчет_аналитики'!U2641</f>
        <v/>
      </c>
      <c r="V2744">
        <f>'19_Расчет_аналитики'!V2641</f>
        <v/>
      </c>
      <c r="W2744">
        <f>'19_Расчет_аналитики'!W2641</f>
        <v/>
      </c>
      <c r="X2744">
        <f>'19_Расчет_аналитики'!X2641</f>
        <v/>
      </c>
      <c r="Y2744">
        <f>'19_Расчет_аналитики'!Y2641</f>
        <v/>
      </c>
      <c r="Z2744">
        <f>'19_Расчет_аналитики'!Z2641</f>
        <v/>
      </c>
      <c r="AA2744">
        <f>'19_Расчет_аналитики'!AA2641</f>
        <v/>
      </c>
      <c r="AB2744">
        <f>'19_Расчет_аналитики'!AB2641</f>
        <v/>
      </c>
      <c r="AC2744">
        <f>'19_Расчет_аналитики'!AC2641</f>
        <v/>
      </c>
      <c r="AD2744">
        <f>'19_Расчет_аналитики'!AD2641</f>
        <v/>
      </c>
      <c r="AE2744">
        <f>'19_Расчет_аналитики'!AE2641</f>
        <v/>
      </c>
      <c r="AF2744">
        <f>'19_Расчет_аналитики'!AF2641</f>
        <v/>
      </c>
      <c r="AG2744">
        <f>'19_Расчет_аналитики'!AG2641</f>
        <v/>
      </c>
      <c r="AH2744">
        <f>'19_Расчет_аналитики'!AH2641</f>
        <v/>
      </c>
      <c r="AI2744">
        <f>'19_Расчет_аналитики'!AI2641</f>
        <v/>
      </c>
      <c r="AJ2744">
        <f>'19_Расчет_аналитики'!AJ2641</f>
        <v/>
      </c>
      <c r="AK2744">
        <f>'19_Расчет_аналитики'!AK2641</f>
        <v/>
      </c>
      <c r="AL2744">
        <f>'19_Расчет_аналитики'!AL2641</f>
        <v/>
      </c>
      <c r="AM2744">
        <f>'19_Расчет_аналитики'!AM2641</f>
        <v/>
      </c>
      <c r="AN2744">
        <f>'19_Расчет_аналитики'!AN2641</f>
        <v/>
      </c>
      <c r="AO2744">
        <f>'19_Расчет_аналитики'!AO2641</f>
        <v/>
      </c>
      <c r="AP2744">
        <f>'19_Расчет_аналитики'!AP2641</f>
        <v/>
      </c>
      <c r="AQ2744">
        <f>'19_Расчет_аналитики'!AQ2641</f>
        <v/>
      </c>
      <c r="AR2744">
        <f>'19_Расчет_аналитики'!AR2641</f>
        <v/>
      </c>
      <c r="AS2744">
        <f>'19_Расчет_аналитики'!AS2641</f>
        <v/>
      </c>
      <c r="AT2744">
        <f>'19_Расчет_аналитики'!AT2641</f>
        <v/>
      </c>
      <c r="AU2744">
        <f>'19_Расчет_аналитики'!AU2641</f>
        <v/>
      </c>
      <c r="AV2744">
        <f>'19_Расчет_аналитики'!AV2641</f>
        <v/>
      </c>
      <c r="AW2744">
        <f>'19_Расчет_аналитики'!AW2641</f>
        <v/>
      </c>
      <c r="AX2744">
        <f>'19_Расчет_аналитики'!AX2641</f>
        <v/>
      </c>
      <c r="AY2744">
        <f>'19_Расчет_аналитики'!AY2641</f>
        <v/>
      </c>
      <c r="AZ2744">
        <f>'19_Расчет_аналитики'!AZ2641</f>
        <v/>
      </c>
      <c r="BA2744">
        <f>'19_Расчет_аналитики'!BA2641</f>
        <v/>
      </c>
      <c r="BB2744">
        <f>'19_Расчет_аналитики'!BB2641</f>
        <v/>
      </c>
      <c r="BC2744">
        <f>'19_Расчет_аналитики'!BC2641</f>
        <v/>
      </c>
      <c r="BD2744">
        <f>'19_Расчет_аналитики'!BD2641</f>
        <v/>
      </c>
      <c r="BE2744">
        <f>'19_Расчет_аналитики'!BE2641</f>
        <v/>
      </c>
      <c r="BF2744">
        <f>'19_Расчет_аналитики'!BF2641</f>
        <v/>
      </c>
      <c r="BG2744">
        <f>'19_Расчет_аналитики'!BG2641</f>
        <v/>
      </c>
      <c r="BH2744">
        <f>'19_Расчет_аналитики'!BH2641</f>
        <v/>
      </c>
      <c r="BI2744">
        <f>'19_Расчет_аналитики'!BI2641</f>
        <v/>
      </c>
    </row>
    <row r="2745">
      <c r="B2745">
        <f>'19_Расчет_аналитики'!B2642</f>
        <v/>
      </c>
      <c r="C2745">
        <f>'19_Расчет_аналитики'!C2642</f>
        <v/>
      </c>
      <c r="D2745">
        <f>'19_Расчет_аналитики'!D2642</f>
        <v/>
      </c>
      <c r="E2745">
        <f>'19_Расчет_аналитики'!E2642</f>
        <v/>
      </c>
      <c r="F2745">
        <f>'19_Расчет_аналитики'!F2642</f>
        <v/>
      </c>
      <c r="G2745">
        <f>'19_Расчет_аналитики'!G2642</f>
        <v/>
      </c>
      <c r="H2745">
        <f>'19_Расчет_аналитики'!H2642</f>
        <v/>
      </c>
      <c r="I2745">
        <f>'19_Расчет_аналитики'!I2642</f>
        <v/>
      </c>
      <c r="J2745">
        <f>'19_Расчет_аналитики'!J2642</f>
        <v/>
      </c>
      <c r="K2745">
        <f>'19_Расчет_аналитики'!K2642</f>
        <v/>
      </c>
      <c r="L2745">
        <f>'19_Расчет_аналитики'!L2642</f>
        <v/>
      </c>
      <c r="M2745">
        <f>'19_Расчет_аналитики'!M2642</f>
        <v/>
      </c>
      <c r="N2745">
        <f>'19_Расчет_аналитики'!N2642</f>
        <v/>
      </c>
      <c r="O2745">
        <f>'19_Расчет_аналитики'!O2642</f>
        <v/>
      </c>
      <c r="P2745">
        <f>'19_Расчет_аналитики'!P2642</f>
        <v/>
      </c>
      <c r="Q2745">
        <f>'19_Расчет_аналитики'!Q2642</f>
        <v/>
      </c>
      <c r="R2745">
        <f>'19_Расчет_аналитики'!R2642</f>
        <v/>
      </c>
      <c r="S2745">
        <f>'19_Расчет_аналитики'!S2642</f>
        <v/>
      </c>
      <c r="T2745">
        <f>'19_Расчет_аналитики'!T2642</f>
        <v/>
      </c>
      <c r="U2745">
        <f>'19_Расчет_аналитики'!U2642</f>
        <v/>
      </c>
      <c r="V2745">
        <f>'19_Расчет_аналитики'!V2642</f>
        <v/>
      </c>
      <c r="W2745">
        <f>'19_Расчет_аналитики'!W2642</f>
        <v/>
      </c>
      <c r="X2745">
        <f>'19_Расчет_аналитики'!X2642</f>
        <v/>
      </c>
      <c r="Y2745">
        <f>'19_Расчет_аналитики'!Y2642</f>
        <v/>
      </c>
      <c r="Z2745">
        <f>'19_Расчет_аналитики'!Z2642</f>
        <v/>
      </c>
      <c r="AA2745">
        <f>'19_Расчет_аналитики'!AA2642</f>
        <v/>
      </c>
      <c r="AB2745">
        <f>'19_Расчет_аналитики'!AB2642</f>
        <v/>
      </c>
      <c r="AC2745">
        <f>'19_Расчет_аналитики'!AC2642</f>
        <v/>
      </c>
      <c r="AD2745">
        <f>'19_Расчет_аналитики'!AD2642</f>
        <v/>
      </c>
      <c r="AE2745">
        <f>'19_Расчет_аналитики'!AE2642</f>
        <v/>
      </c>
      <c r="AF2745">
        <f>'19_Расчет_аналитики'!AF2642</f>
        <v/>
      </c>
      <c r="AG2745">
        <f>'19_Расчет_аналитики'!AG2642</f>
        <v/>
      </c>
      <c r="AH2745">
        <f>'19_Расчет_аналитики'!AH2642</f>
        <v/>
      </c>
      <c r="AI2745">
        <f>'19_Расчет_аналитики'!AI2642</f>
        <v/>
      </c>
      <c r="AJ2745">
        <f>'19_Расчет_аналитики'!AJ2642</f>
        <v/>
      </c>
      <c r="AK2745">
        <f>'19_Расчет_аналитики'!AK2642</f>
        <v/>
      </c>
      <c r="AL2745">
        <f>'19_Расчет_аналитики'!AL2642</f>
        <v/>
      </c>
      <c r="AM2745">
        <f>'19_Расчет_аналитики'!AM2642</f>
        <v/>
      </c>
      <c r="AN2745">
        <f>'19_Расчет_аналитики'!AN2642</f>
        <v/>
      </c>
      <c r="AO2745">
        <f>'19_Расчет_аналитики'!AO2642</f>
        <v/>
      </c>
      <c r="AP2745">
        <f>'19_Расчет_аналитики'!AP2642</f>
        <v/>
      </c>
      <c r="AQ2745">
        <f>'19_Расчет_аналитики'!AQ2642</f>
        <v/>
      </c>
      <c r="AR2745">
        <f>'19_Расчет_аналитики'!AR2642</f>
        <v/>
      </c>
      <c r="AS2745">
        <f>'19_Расчет_аналитики'!AS2642</f>
        <v/>
      </c>
      <c r="AT2745">
        <f>'19_Расчет_аналитики'!AT2642</f>
        <v/>
      </c>
      <c r="AU2745">
        <f>'19_Расчет_аналитики'!AU2642</f>
        <v/>
      </c>
      <c r="AV2745">
        <f>'19_Расчет_аналитики'!AV2642</f>
        <v/>
      </c>
      <c r="AW2745">
        <f>'19_Расчет_аналитики'!AW2642</f>
        <v/>
      </c>
      <c r="AX2745">
        <f>'19_Расчет_аналитики'!AX2642</f>
        <v/>
      </c>
      <c r="AY2745">
        <f>'19_Расчет_аналитики'!AY2642</f>
        <v/>
      </c>
      <c r="AZ2745">
        <f>'19_Расчет_аналитики'!AZ2642</f>
        <v/>
      </c>
      <c r="BA2745">
        <f>'19_Расчет_аналитики'!BA2642</f>
        <v/>
      </c>
      <c r="BB2745">
        <f>'19_Расчет_аналитики'!BB2642</f>
        <v/>
      </c>
      <c r="BC2745">
        <f>'19_Расчет_аналитики'!BC2642</f>
        <v/>
      </c>
      <c r="BD2745">
        <f>'19_Расчет_аналитики'!BD2642</f>
        <v/>
      </c>
      <c r="BE2745">
        <f>'19_Расчет_аналитики'!BE2642</f>
        <v/>
      </c>
      <c r="BF2745">
        <f>'19_Расчет_аналитики'!BF2642</f>
        <v/>
      </c>
      <c r="BG2745">
        <f>'19_Расчет_аналитики'!BG2642</f>
        <v/>
      </c>
      <c r="BH2745">
        <f>'19_Расчет_аналитики'!BH2642</f>
        <v/>
      </c>
      <c r="BI2745">
        <f>'19_Расчет_аналитики'!BI2642</f>
        <v/>
      </c>
    </row>
    <row r="2746">
      <c r="B2746">
        <f>'19_Расчет_аналитики'!B2644</f>
        <v/>
      </c>
      <c r="C2746">
        <f>'19_Расчет_аналитики'!C2644</f>
        <v/>
      </c>
      <c r="D2746">
        <f>'19_Расчет_аналитики'!D2644</f>
        <v/>
      </c>
      <c r="E2746">
        <f>'19_Расчет_аналитики'!E2644</f>
        <v/>
      </c>
      <c r="F2746">
        <f>'19_Расчет_аналитики'!F2644</f>
        <v/>
      </c>
      <c r="G2746">
        <f>'19_Расчет_аналитики'!G2644</f>
        <v/>
      </c>
      <c r="H2746">
        <f>'19_Расчет_аналитики'!H2644</f>
        <v/>
      </c>
      <c r="I2746">
        <f>'19_Расчет_аналитики'!I2644</f>
        <v/>
      </c>
      <c r="J2746">
        <f>'19_Расчет_аналитики'!J2644</f>
        <v/>
      </c>
      <c r="K2746">
        <f>'19_Расчет_аналитики'!K2644</f>
        <v/>
      </c>
      <c r="L2746">
        <f>'19_Расчет_аналитики'!L2644</f>
        <v/>
      </c>
      <c r="M2746">
        <f>'19_Расчет_аналитики'!M2644</f>
        <v/>
      </c>
      <c r="N2746">
        <f>'19_Расчет_аналитики'!N2644</f>
        <v/>
      </c>
      <c r="O2746">
        <f>'19_Расчет_аналитики'!O2644</f>
        <v/>
      </c>
      <c r="P2746">
        <f>'19_Расчет_аналитики'!P2644</f>
        <v/>
      </c>
      <c r="Q2746">
        <f>'19_Расчет_аналитики'!Q2644</f>
        <v/>
      </c>
      <c r="R2746">
        <f>'19_Расчет_аналитики'!R2644</f>
        <v/>
      </c>
      <c r="S2746">
        <f>'19_Расчет_аналитики'!S2644</f>
        <v/>
      </c>
      <c r="T2746">
        <f>'19_Расчет_аналитики'!T2644</f>
        <v/>
      </c>
      <c r="U2746">
        <f>'19_Расчет_аналитики'!U2644</f>
        <v/>
      </c>
      <c r="V2746">
        <f>'19_Расчет_аналитики'!V2644</f>
        <v/>
      </c>
      <c r="W2746">
        <f>'19_Расчет_аналитики'!W2644</f>
        <v/>
      </c>
      <c r="X2746">
        <f>'19_Расчет_аналитики'!X2644</f>
        <v/>
      </c>
      <c r="Y2746">
        <f>'19_Расчет_аналитики'!Y2644</f>
        <v/>
      </c>
      <c r="Z2746">
        <f>'19_Расчет_аналитики'!Z2644</f>
        <v/>
      </c>
      <c r="AA2746">
        <f>'19_Расчет_аналитики'!AA2644</f>
        <v/>
      </c>
      <c r="AB2746">
        <f>'19_Расчет_аналитики'!AB2644</f>
        <v/>
      </c>
      <c r="AC2746">
        <f>'19_Расчет_аналитики'!AC2644</f>
        <v/>
      </c>
      <c r="AD2746">
        <f>'19_Расчет_аналитики'!AD2644</f>
        <v/>
      </c>
      <c r="AE2746">
        <f>'19_Расчет_аналитики'!AE2644</f>
        <v/>
      </c>
      <c r="AF2746">
        <f>'19_Расчет_аналитики'!AF2644</f>
        <v/>
      </c>
      <c r="AG2746">
        <f>'19_Расчет_аналитики'!AG2644</f>
        <v/>
      </c>
      <c r="AH2746">
        <f>'19_Расчет_аналитики'!AH2644</f>
        <v/>
      </c>
      <c r="AI2746">
        <f>'19_Расчет_аналитики'!AI2644</f>
        <v/>
      </c>
      <c r="AJ2746">
        <f>'19_Расчет_аналитики'!AJ2644</f>
        <v/>
      </c>
      <c r="AK2746">
        <f>'19_Расчет_аналитики'!AK2644</f>
        <v/>
      </c>
      <c r="AL2746">
        <f>'19_Расчет_аналитики'!AL2644</f>
        <v/>
      </c>
      <c r="AM2746">
        <f>'19_Расчет_аналитики'!AM2644</f>
        <v/>
      </c>
      <c r="AN2746">
        <f>'19_Расчет_аналитики'!AN2644</f>
        <v/>
      </c>
      <c r="AO2746">
        <f>'19_Расчет_аналитики'!AO2644</f>
        <v/>
      </c>
      <c r="AP2746">
        <f>'19_Расчет_аналитики'!AP2644</f>
        <v/>
      </c>
      <c r="AQ2746">
        <f>'19_Расчет_аналитики'!AQ2644</f>
        <v/>
      </c>
      <c r="AR2746">
        <f>'19_Расчет_аналитики'!AR2644</f>
        <v/>
      </c>
      <c r="AS2746">
        <f>'19_Расчет_аналитики'!AS2644</f>
        <v/>
      </c>
      <c r="AT2746">
        <f>'19_Расчет_аналитики'!AT2644</f>
        <v/>
      </c>
      <c r="AU2746">
        <f>'19_Расчет_аналитики'!AU2644</f>
        <v/>
      </c>
      <c r="AV2746">
        <f>'19_Расчет_аналитики'!AV2644</f>
        <v/>
      </c>
      <c r="AW2746">
        <f>'19_Расчет_аналитики'!AW2644</f>
        <v/>
      </c>
      <c r="AX2746">
        <f>'19_Расчет_аналитики'!AX2644</f>
        <v/>
      </c>
      <c r="AY2746">
        <f>'19_Расчет_аналитики'!AY2644</f>
        <v/>
      </c>
      <c r="AZ2746">
        <f>'19_Расчет_аналитики'!AZ2644</f>
        <v/>
      </c>
      <c r="BA2746">
        <f>'19_Расчет_аналитики'!BA2644</f>
        <v/>
      </c>
      <c r="BB2746">
        <f>'19_Расчет_аналитики'!BB2644</f>
        <v/>
      </c>
      <c r="BC2746">
        <f>'19_Расчет_аналитики'!BC2644</f>
        <v/>
      </c>
      <c r="BD2746">
        <f>'19_Расчет_аналитики'!BD2644</f>
        <v/>
      </c>
      <c r="BE2746">
        <f>'19_Расчет_аналитики'!BE2644</f>
        <v/>
      </c>
      <c r="BF2746">
        <f>'19_Расчет_аналитики'!BF2644</f>
        <v/>
      </c>
      <c r="BG2746">
        <f>'19_Расчет_аналитики'!BG2644</f>
        <v/>
      </c>
      <c r="BH2746">
        <f>'19_Расчет_аналитики'!BH2644</f>
        <v/>
      </c>
      <c r="BI2746">
        <f>'19_Расчет_аналитики'!BI2644</f>
        <v/>
      </c>
    </row>
    <row r="2747">
      <c r="B2747">
        <f>'02_Модель'!B29</f>
        <v/>
      </c>
      <c r="C2747">
        <f>'19_Расчет_аналитики'!C2736*'01_Вводные'!$B$59</f>
        <v/>
      </c>
      <c r="D2747">
        <f>'19_Расчет_аналитики'!D2736*'01_Вводные'!$B$59</f>
        <v/>
      </c>
      <c r="E2747">
        <f>'19_Расчет_аналитики'!E2736*'01_Вводные'!$B$59</f>
        <v/>
      </c>
      <c r="F2747">
        <f>'19_Расчет_аналитики'!F2736*'01_Вводные'!$B$59</f>
        <v/>
      </c>
      <c r="G2747">
        <f>'19_Расчет_аналитики'!G2736*'01_Вводные'!$B$59</f>
        <v/>
      </c>
      <c r="H2747">
        <f>'19_Расчет_аналитики'!H2736*'01_Вводные'!$B$59</f>
        <v/>
      </c>
      <c r="I2747">
        <f>'19_Расчет_аналитики'!I2736*'01_Вводные'!$B$59</f>
        <v/>
      </c>
      <c r="J2747">
        <f>'19_Расчет_аналитики'!J2736*'01_Вводные'!$B$59</f>
        <v/>
      </c>
      <c r="K2747">
        <f>'19_Расчет_аналитики'!K2736*'01_Вводные'!$B$59</f>
        <v/>
      </c>
      <c r="L2747">
        <f>'19_Расчет_аналитики'!L2736*'01_Вводные'!$B$59</f>
        <v/>
      </c>
      <c r="M2747">
        <f>'19_Расчет_аналитики'!M2736*'01_Вводные'!$B$59</f>
        <v/>
      </c>
      <c r="N2747">
        <f>'19_Расчет_аналитики'!N2736*'01_Вводные'!$B$59</f>
        <v/>
      </c>
      <c r="O2747">
        <f>'19_Расчет_аналитики'!O2736*'01_Вводные'!$B$59</f>
        <v/>
      </c>
      <c r="P2747">
        <f>'19_Расчет_аналитики'!P2736*'01_Вводные'!$B$59</f>
        <v/>
      </c>
      <c r="Q2747">
        <f>'19_Расчет_аналитики'!Q2736*'01_Вводные'!$B$59</f>
        <v/>
      </c>
      <c r="R2747">
        <f>'19_Расчет_аналитики'!R2736*'01_Вводные'!$B$59</f>
        <v/>
      </c>
      <c r="S2747">
        <f>'19_Расчет_аналитики'!S2736*'01_Вводные'!$B$59</f>
        <v/>
      </c>
      <c r="T2747">
        <f>'19_Расчет_аналитики'!T2736*'01_Вводные'!$B$59</f>
        <v/>
      </c>
      <c r="U2747">
        <f>'19_Расчет_аналитики'!U2736*'01_Вводные'!$B$59</f>
        <v/>
      </c>
      <c r="V2747">
        <f>'19_Расчет_аналитики'!V2736*'01_Вводные'!$B$59</f>
        <v/>
      </c>
      <c r="W2747">
        <f>'19_Расчет_аналитики'!W2736*'01_Вводные'!$B$59</f>
        <v/>
      </c>
      <c r="X2747">
        <f>'19_Расчет_аналитики'!X2736*'01_Вводные'!$B$59</f>
        <v/>
      </c>
      <c r="Y2747">
        <f>'19_Расчет_аналитики'!Y2736*'01_Вводные'!$B$59</f>
        <v/>
      </c>
      <c r="Z2747">
        <f>'19_Расчет_аналитики'!Z2736*'01_Вводные'!$B$59</f>
        <v/>
      </c>
      <c r="AA2747">
        <f>'19_Расчет_аналитики'!AA2736*'01_Вводные'!$B$59</f>
        <v/>
      </c>
      <c r="AB2747">
        <f>'19_Расчет_аналитики'!AB2736*'01_Вводные'!$B$59</f>
        <v/>
      </c>
      <c r="AC2747">
        <f>'19_Расчет_аналитики'!AC2736*'01_Вводные'!$B$59</f>
        <v/>
      </c>
      <c r="AD2747">
        <f>'19_Расчет_аналитики'!AD2736*'01_Вводные'!$B$59</f>
        <v/>
      </c>
      <c r="AE2747">
        <f>'19_Расчет_аналитики'!AE2736*'01_Вводные'!$B$59</f>
        <v/>
      </c>
      <c r="AF2747">
        <f>'19_Расчет_аналитики'!AF2736*'01_Вводные'!$B$59</f>
        <v/>
      </c>
      <c r="AG2747">
        <f>'19_Расчет_аналитики'!AG2736*'01_Вводные'!$B$59</f>
        <v/>
      </c>
      <c r="AH2747">
        <f>'19_Расчет_аналитики'!AH2736*'01_Вводные'!$B$59</f>
        <v/>
      </c>
      <c r="AI2747">
        <f>'19_Расчет_аналитики'!AI2736*'01_Вводные'!$B$59</f>
        <v/>
      </c>
      <c r="AJ2747">
        <f>'19_Расчет_аналитики'!AJ2736*'01_Вводные'!$B$59</f>
        <v/>
      </c>
      <c r="AK2747">
        <f>'19_Расчет_аналитики'!AK2736*'01_Вводные'!$B$59</f>
        <v/>
      </c>
      <c r="AL2747">
        <f>'19_Расчет_аналитики'!AL2736*'01_Вводные'!$B$59</f>
        <v/>
      </c>
      <c r="AM2747">
        <f>'19_Расчет_аналитики'!AM2736*'01_Вводные'!$B$59</f>
        <v/>
      </c>
      <c r="AN2747">
        <f>'19_Расчет_аналитики'!AN2736*'01_Вводные'!$B$59</f>
        <v/>
      </c>
      <c r="AO2747">
        <f>'19_Расчет_аналитики'!AO2736*'01_Вводные'!$B$59</f>
        <v/>
      </c>
      <c r="AP2747">
        <f>'19_Расчет_аналитики'!AP2736*'01_Вводные'!$B$59</f>
        <v/>
      </c>
      <c r="AQ2747">
        <f>'19_Расчет_аналитики'!AQ2736*'01_Вводные'!$B$59</f>
        <v/>
      </c>
      <c r="AR2747">
        <f>'19_Расчет_аналитики'!AR2736*'01_Вводные'!$B$59</f>
        <v/>
      </c>
      <c r="AS2747">
        <f>'19_Расчет_аналитики'!AS2736*'01_Вводные'!$B$59</f>
        <v/>
      </c>
      <c r="AT2747">
        <f>'19_Расчет_аналитики'!AT2736*'01_Вводные'!$B$59</f>
        <v/>
      </c>
      <c r="AU2747">
        <f>'19_Расчет_аналитики'!AU2736*'01_Вводные'!$B$59</f>
        <v/>
      </c>
      <c r="AV2747">
        <f>'19_Расчет_аналитики'!AV2736*'01_Вводные'!$B$59</f>
        <v/>
      </c>
      <c r="AW2747">
        <f>'19_Расчет_аналитики'!AW2736*'01_Вводные'!$B$59</f>
        <v/>
      </c>
      <c r="AX2747">
        <f>'19_Расчет_аналитики'!AX2736*'01_Вводные'!$B$59</f>
        <v/>
      </c>
      <c r="AY2747">
        <f>'19_Расчет_аналитики'!AY2736*'01_Вводные'!$B$59</f>
        <v/>
      </c>
      <c r="AZ2747">
        <f>'19_Расчет_аналитики'!AZ2736*'01_Вводные'!$B$59</f>
        <v/>
      </c>
      <c r="BA2747">
        <f>'19_Расчет_аналитики'!BA2736*'01_Вводные'!$B$59</f>
        <v/>
      </c>
      <c r="BB2747">
        <f>'19_Расчет_аналитики'!BB2736*'01_Вводные'!$B$59</f>
        <v/>
      </c>
      <c r="BC2747">
        <f>'19_Расчет_аналитики'!BC2736*'01_Вводные'!$B$59</f>
        <v/>
      </c>
      <c r="BD2747">
        <f>'19_Расчет_аналитики'!BD2736*'01_Вводные'!$B$59</f>
        <v/>
      </c>
      <c r="BE2747">
        <f>'19_Расчет_аналитики'!BE2736*'01_Вводные'!$B$59</f>
        <v/>
      </c>
      <c r="BF2747">
        <f>'19_Расчет_аналитики'!BF2736*'01_Вводные'!$B$59</f>
        <v/>
      </c>
      <c r="BG2747">
        <f>'19_Расчет_аналитики'!BG2736*'01_Вводные'!$B$59</f>
        <v/>
      </c>
      <c r="BH2747">
        <f>'19_Расчет_аналитики'!BH2736*'01_Вводные'!$B$59</f>
        <v/>
      </c>
      <c r="BI2747">
        <f>'19_Расчет_аналитики'!BI2736*'01_Вводные'!$B$59</f>
        <v/>
      </c>
    </row>
    <row r="2748">
      <c r="B2748">
        <f>('19_Расчет_аналитики'!B2737+'19_Расчет_аналитики'!B2738)*'01_Вводные'!$B$60</f>
        <v/>
      </c>
      <c r="C2748">
        <f>('19_Расчет_аналитики'!C2737+'19_Расчет_аналитики'!C2738)*'01_Вводные'!$B$60</f>
        <v/>
      </c>
      <c r="D2748">
        <f>('19_Расчет_аналитики'!D2737+'19_Расчет_аналитики'!D2738)*'01_Вводные'!$B$60</f>
        <v/>
      </c>
      <c r="E2748">
        <f>('19_Расчет_аналитики'!E2737+'19_Расчет_аналитики'!E2738)*'01_Вводные'!$B$60</f>
        <v/>
      </c>
      <c r="F2748">
        <f>('19_Расчет_аналитики'!F2737+'19_Расчет_аналитики'!F2738)*'01_Вводные'!$B$60</f>
        <v/>
      </c>
      <c r="G2748">
        <f>('19_Расчет_аналитики'!G2737+'19_Расчет_аналитики'!G2738)*'01_Вводные'!$B$60</f>
        <v/>
      </c>
      <c r="H2748">
        <f>('19_Расчет_аналитики'!H2737+'19_Расчет_аналитики'!H2738)*'01_Вводные'!$B$60</f>
        <v/>
      </c>
      <c r="I2748">
        <f>('19_Расчет_аналитики'!I2737+'19_Расчет_аналитики'!I2738)*'01_Вводные'!$B$60</f>
        <v/>
      </c>
      <c r="J2748">
        <f>('19_Расчет_аналитики'!J2737+'19_Расчет_аналитики'!J2738)*'01_Вводные'!$B$60</f>
        <v/>
      </c>
      <c r="K2748">
        <f>('19_Расчет_аналитики'!K2737+'19_Расчет_аналитики'!K2738)*'01_Вводные'!$B$60</f>
        <v/>
      </c>
      <c r="L2748">
        <f>('19_Расчет_аналитики'!L2737+'19_Расчет_аналитики'!L2738)*'01_Вводные'!$B$60</f>
        <v/>
      </c>
      <c r="M2748">
        <f>('19_Расчет_аналитики'!M2737+'19_Расчет_аналитики'!M2738)*'01_Вводные'!$B$60</f>
        <v/>
      </c>
      <c r="N2748">
        <f>('19_Расчет_аналитики'!N2737+'19_Расчет_аналитики'!N2738)*'01_Вводные'!$B$60</f>
        <v/>
      </c>
      <c r="O2748">
        <f>('19_Расчет_аналитики'!O2737+'19_Расчет_аналитики'!O2738)*'01_Вводные'!$B$60</f>
        <v/>
      </c>
      <c r="P2748">
        <f>('19_Расчет_аналитики'!P2737+'19_Расчет_аналитики'!P2738)*'01_Вводные'!$B$60</f>
        <v/>
      </c>
      <c r="Q2748">
        <f>('19_Расчет_аналитики'!Q2737+'19_Расчет_аналитики'!Q2738)*'01_Вводные'!$B$60</f>
        <v/>
      </c>
      <c r="R2748">
        <f>('19_Расчет_аналитики'!R2737+'19_Расчет_аналитики'!R2738)*'01_Вводные'!$B$60</f>
        <v/>
      </c>
      <c r="S2748">
        <f>('19_Расчет_аналитики'!S2737+'19_Расчет_аналитики'!S2738)*'01_Вводные'!$B$60</f>
        <v/>
      </c>
      <c r="T2748">
        <f>('19_Расчет_аналитики'!T2737+'19_Расчет_аналитики'!T2738)*'01_Вводные'!$B$60</f>
        <v/>
      </c>
      <c r="U2748">
        <f>('19_Расчет_аналитики'!U2737+'19_Расчет_аналитики'!U2738)*'01_Вводные'!$B$60</f>
        <v/>
      </c>
      <c r="V2748">
        <f>('19_Расчет_аналитики'!V2737+'19_Расчет_аналитики'!V2738)*'01_Вводные'!$B$60</f>
        <v/>
      </c>
      <c r="W2748">
        <f>('19_Расчет_аналитики'!W2737+'19_Расчет_аналитики'!W2738)*'01_Вводные'!$B$60</f>
        <v/>
      </c>
      <c r="X2748">
        <f>('19_Расчет_аналитики'!X2737+'19_Расчет_аналитики'!X2738)*'01_Вводные'!$B$60</f>
        <v/>
      </c>
      <c r="Y2748">
        <f>('19_Расчет_аналитики'!Y2737+'19_Расчет_аналитики'!Y2738)*'01_Вводные'!$B$60</f>
        <v/>
      </c>
      <c r="Z2748">
        <f>('19_Расчет_аналитики'!Z2737+'19_Расчет_аналитики'!Z2738)*'01_Вводные'!$B$60</f>
        <v/>
      </c>
      <c r="AA2748">
        <f>('19_Расчет_аналитики'!AA2737+'19_Расчет_аналитики'!AA2738)*'01_Вводные'!$B$60</f>
        <v/>
      </c>
      <c r="AB2748">
        <f>('19_Расчет_аналитики'!AB2737+'19_Расчет_аналитики'!AB2738)*'01_Вводные'!$B$60</f>
        <v/>
      </c>
      <c r="AC2748">
        <f>('19_Расчет_аналитики'!AC2737+'19_Расчет_аналитики'!AC2738)*'01_Вводные'!$B$60</f>
        <v/>
      </c>
      <c r="AD2748">
        <f>('19_Расчет_аналитики'!AD2737+'19_Расчет_аналитики'!AD2738)*'01_Вводные'!$B$60</f>
        <v/>
      </c>
      <c r="AE2748">
        <f>('19_Расчет_аналитики'!AE2737+'19_Расчет_аналитики'!AE2738)*'01_Вводные'!$B$60</f>
        <v/>
      </c>
      <c r="AF2748">
        <f>('19_Расчет_аналитики'!AF2737+'19_Расчет_аналитики'!AF2738)*'01_Вводные'!$B$60</f>
        <v/>
      </c>
      <c r="AG2748">
        <f>('19_Расчет_аналитики'!AG2737+'19_Расчет_аналитики'!AG2738)*'01_Вводные'!$B$60</f>
        <v/>
      </c>
      <c r="AH2748">
        <f>('19_Расчет_аналитики'!AH2737+'19_Расчет_аналитики'!AH2738)*'01_Вводные'!$B$60</f>
        <v/>
      </c>
      <c r="AI2748">
        <f>('19_Расчет_аналитики'!AI2737+'19_Расчет_аналитики'!AI2738)*'01_Вводные'!$B$60</f>
        <v/>
      </c>
      <c r="AJ2748">
        <f>('19_Расчет_аналитики'!AJ2737+'19_Расчет_аналитики'!AJ2738)*'01_Вводные'!$B$60</f>
        <v/>
      </c>
      <c r="AK2748">
        <f>('19_Расчет_аналитики'!AK2737+'19_Расчет_аналитики'!AK2738)*'01_Вводные'!$B$60</f>
        <v/>
      </c>
      <c r="AL2748">
        <f>('19_Расчет_аналитики'!AL2737+'19_Расчет_аналитики'!AL2738)*'01_Вводные'!$B$60</f>
        <v/>
      </c>
      <c r="AM2748">
        <f>('19_Расчет_аналитики'!AM2737+'19_Расчет_аналитики'!AM2738)*'01_Вводные'!$B$60</f>
        <v/>
      </c>
      <c r="AN2748">
        <f>('19_Расчет_аналитики'!AN2737+'19_Расчет_аналитики'!AN2738)*'01_Вводные'!$B$60</f>
        <v/>
      </c>
      <c r="AO2748">
        <f>('19_Расчет_аналитики'!AO2737+'19_Расчет_аналитики'!AO2738)*'01_Вводные'!$B$60</f>
        <v/>
      </c>
      <c r="AP2748">
        <f>('19_Расчет_аналитики'!AP2737+'19_Расчет_аналитики'!AP2738)*'01_Вводные'!$B$60</f>
        <v/>
      </c>
      <c r="AQ2748">
        <f>('19_Расчет_аналитики'!AQ2737+'19_Расчет_аналитики'!AQ2738)*'01_Вводные'!$B$60</f>
        <v/>
      </c>
      <c r="AR2748">
        <f>('19_Расчет_аналитики'!AR2737+'19_Расчет_аналитики'!AR2738)*'01_Вводные'!$B$60</f>
        <v/>
      </c>
      <c r="AS2748">
        <f>('19_Расчет_аналитики'!AS2737+'19_Расчет_аналитики'!AS2738)*'01_Вводные'!$B$60</f>
        <v/>
      </c>
      <c r="AT2748">
        <f>('19_Расчет_аналитики'!AT2737+'19_Расчет_аналитики'!AT2738)*'01_Вводные'!$B$60</f>
        <v/>
      </c>
      <c r="AU2748">
        <f>('19_Расчет_аналитики'!AU2737+'19_Расчет_аналитики'!AU2738)*'01_Вводные'!$B$60</f>
        <v/>
      </c>
      <c r="AV2748">
        <f>('19_Расчет_аналитики'!AV2737+'19_Расчет_аналитики'!AV2738)*'01_Вводные'!$B$60</f>
        <v/>
      </c>
      <c r="AW2748">
        <f>('19_Расчет_аналитики'!AW2737+'19_Расчет_аналитики'!AW2738)*'01_Вводные'!$B$60</f>
        <v/>
      </c>
      <c r="AX2748">
        <f>('19_Расчет_аналитики'!AX2737+'19_Расчет_аналитики'!AX2738)*'01_Вводные'!$B$60</f>
        <v/>
      </c>
      <c r="AY2748">
        <f>('19_Расчет_аналитики'!AY2737+'19_Расчет_аналитики'!AY2738)*'01_Вводные'!$B$60</f>
        <v/>
      </c>
      <c r="AZ2748">
        <f>('19_Расчет_аналитики'!AZ2737+'19_Расчет_аналитики'!AZ2738)*'01_Вводные'!$B$60</f>
        <v/>
      </c>
      <c r="BA2748">
        <f>('19_Расчет_аналитики'!BA2737+'19_Расчет_аналитики'!BA2738)*'01_Вводные'!$B$60</f>
        <v/>
      </c>
      <c r="BB2748">
        <f>('19_Расчет_аналитики'!BB2737+'19_Расчет_аналитики'!BB2738)*'01_Вводные'!$B$60</f>
        <v/>
      </c>
      <c r="BC2748">
        <f>('19_Расчет_аналитики'!BC2737+'19_Расчет_аналитики'!BC2738)*'01_Вводные'!$B$60</f>
        <v/>
      </c>
      <c r="BD2748">
        <f>('19_Расчет_аналитики'!BD2737+'19_Расчет_аналитики'!BD2738)*'01_Вводные'!$B$60</f>
        <v/>
      </c>
      <c r="BE2748">
        <f>('19_Расчет_аналитики'!BE2737+'19_Расчет_аналитики'!BE2738)*'01_Вводные'!$B$60</f>
        <v/>
      </c>
      <c r="BF2748">
        <f>('19_Расчет_аналитики'!BF2737+'19_Расчет_аналитики'!BF2738)*'01_Вводные'!$B$60</f>
        <v/>
      </c>
      <c r="BG2748">
        <f>('19_Расчет_аналитики'!BG2737+'19_Расчет_аналитики'!BG2738)*'01_Вводные'!$B$60</f>
        <v/>
      </c>
      <c r="BH2748">
        <f>('19_Расчет_аналитики'!BH2737+'19_Расчет_аналитики'!BH2738)*'01_Вводные'!$B$60</f>
        <v/>
      </c>
      <c r="BI2748">
        <f>('19_Расчет_аналитики'!BI2737+'19_Расчет_аналитики'!BI2738)*'01_Вводные'!$B$60</f>
        <v/>
      </c>
    </row>
    <row r="2749">
      <c r="B2749">
        <f>'02_Модель'!B31</f>
        <v/>
      </c>
      <c r="C2749">
        <f>'02_Модель'!C31</f>
        <v/>
      </c>
      <c r="D2749">
        <f>'02_Модель'!D31</f>
        <v/>
      </c>
      <c r="E2749">
        <f>'02_Модель'!E31</f>
        <v/>
      </c>
      <c r="F2749">
        <f>'02_Модель'!F31</f>
        <v/>
      </c>
      <c r="G2749">
        <f>'02_Модель'!G31</f>
        <v/>
      </c>
      <c r="H2749">
        <f>'02_Модель'!H31</f>
        <v/>
      </c>
      <c r="I2749">
        <f>'02_Модель'!I31</f>
        <v/>
      </c>
      <c r="J2749">
        <f>'02_Модель'!J31</f>
        <v/>
      </c>
      <c r="K2749">
        <f>'02_Модель'!K31</f>
        <v/>
      </c>
      <c r="L2749">
        <f>'02_Модель'!L31</f>
        <v/>
      </c>
      <c r="M2749">
        <f>'02_Модель'!M31</f>
        <v/>
      </c>
      <c r="N2749">
        <f>'02_Модель'!N31</f>
        <v/>
      </c>
      <c r="O2749">
        <f>'02_Модель'!O31</f>
        <v/>
      </c>
      <c r="P2749">
        <f>'02_Модель'!P31</f>
        <v/>
      </c>
      <c r="Q2749">
        <f>'02_Модель'!Q31</f>
        <v/>
      </c>
      <c r="R2749">
        <f>'02_Модель'!R31</f>
        <v/>
      </c>
      <c r="S2749">
        <f>'02_Модель'!S31</f>
        <v/>
      </c>
      <c r="T2749">
        <f>'02_Модель'!T31</f>
        <v/>
      </c>
      <c r="U2749">
        <f>'02_Модель'!U31</f>
        <v/>
      </c>
      <c r="V2749">
        <f>'02_Модель'!V31</f>
        <v/>
      </c>
      <c r="W2749">
        <f>'02_Модель'!W31</f>
        <v/>
      </c>
      <c r="X2749">
        <f>'02_Модель'!X31</f>
        <v/>
      </c>
      <c r="Y2749">
        <f>'02_Модель'!Y31</f>
        <v/>
      </c>
      <c r="Z2749">
        <f>'02_Модель'!Z31</f>
        <v/>
      </c>
      <c r="AA2749">
        <f>'02_Модель'!AA31</f>
        <v/>
      </c>
      <c r="AB2749">
        <f>'02_Модель'!AB31</f>
        <v/>
      </c>
      <c r="AC2749">
        <f>'02_Модель'!AC31</f>
        <v/>
      </c>
      <c r="AD2749">
        <f>'02_Модель'!AD31</f>
        <v/>
      </c>
      <c r="AE2749">
        <f>'02_Модель'!AE31</f>
        <v/>
      </c>
      <c r="AF2749">
        <f>'02_Модель'!AF31</f>
        <v/>
      </c>
      <c r="AG2749">
        <f>'02_Модель'!AG31</f>
        <v/>
      </c>
      <c r="AH2749">
        <f>'02_Модель'!AH31</f>
        <v/>
      </c>
      <c r="AI2749">
        <f>'02_Модель'!AI31</f>
        <v/>
      </c>
      <c r="AJ2749">
        <f>'02_Модель'!AJ31</f>
        <v/>
      </c>
      <c r="AK2749">
        <f>'02_Модель'!AK31</f>
        <v/>
      </c>
      <c r="AL2749">
        <f>'02_Модель'!AL31</f>
        <v/>
      </c>
      <c r="AM2749">
        <f>'02_Модель'!AM31</f>
        <v/>
      </c>
      <c r="AN2749">
        <f>'02_Модель'!AN31</f>
        <v/>
      </c>
      <c r="AO2749">
        <f>'02_Модель'!AO31</f>
        <v/>
      </c>
      <c r="AP2749">
        <f>'02_Модель'!AP31</f>
        <v/>
      </c>
      <c r="AQ2749">
        <f>'02_Модель'!AQ31</f>
        <v/>
      </c>
      <c r="AR2749">
        <f>'02_Модель'!AR31</f>
        <v/>
      </c>
      <c r="AS2749">
        <f>'02_Модель'!AS31</f>
        <v/>
      </c>
      <c r="AT2749">
        <f>'02_Модель'!AT31</f>
        <v/>
      </c>
      <c r="AU2749">
        <f>'02_Модель'!AU31</f>
        <v/>
      </c>
      <c r="AV2749">
        <f>'02_Модель'!AV31</f>
        <v/>
      </c>
      <c r="AW2749">
        <f>'02_Модель'!AW31</f>
        <v/>
      </c>
      <c r="AX2749">
        <f>'02_Модель'!AX31</f>
        <v/>
      </c>
      <c r="AY2749">
        <f>'02_Модель'!AY31</f>
        <v/>
      </c>
      <c r="AZ2749">
        <f>'02_Модель'!AZ31</f>
        <v/>
      </c>
      <c r="BA2749">
        <f>'02_Модель'!BA31</f>
        <v/>
      </c>
      <c r="BB2749">
        <f>'02_Модель'!BB31</f>
        <v/>
      </c>
      <c r="BC2749">
        <f>'02_Модель'!BC31</f>
        <v/>
      </c>
      <c r="BD2749">
        <f>'02_Модель'!BD31</f>
        <v/>
      </c>
      <c r="BE2749">
        <f>'02_Модель'!BE31</f>
        <v/>
      </c>
      <c r="BF2749">
        <f>'02_Модель'!BF31</f>
        <v/>
      </c>
      <c r="BG2749">
        <f>'02_Модель'!BG31</f>
        <v/>
      </c>
      <c r="BH2749">
        <f>'02_Модель'!BH31</f>
        <v/>
      </c>
      <c r="BI2749">
        <f>'02_Модель'!BI31</f>
        <v/>
      </c>
    </row>
    <row r="2750">
      <c r="B2750">
        <f>SUM('19_Расчет_аналитики'!B2744:B2749)</f>
        <v/>
      </c>
      <c r="C2750">
        <f>SUM('19_Расчет_аналитики'!C2744:C2749)</f>
        <v/>
      </c>
      <c r="D2750">
        <f>SUM('19_Расчет_аналитики'!D2744:D2749)</f>
        <v/>
      </c>
      <c r="E2750">
        <f>SUM('19_Расчет_аналитики'!E2744:E2749)</f>
        <v/>
      </c>
      <c r="F2750">
        <f>SUM('19_Расчет_аналитики'!F2744:F2749)</f>
        <v/>
      </c>
      <c r="G2750">
        <f>SUM('19_Расчет_аналитики'!G2744:G2749)</f>
        <v/>
      </c>
      <c r="H2750">
        <f>SUM('19_Расчет_аналитики'!H2744:H2749)</f>
        <v/>
      </c>
      <c r="I2750">
        <f>SUM('19_Расчет_аналитики'!I2744:I2749)</f>
        <v/>
      </c>
      <c r="J2750">
        <f>SUM('19_Расчет_аналитики'!J2744:J2749)</f>
        <v/>
      </c>
      <c r="K2750">
        <f>SUM('19_Расчет_аналитики'!K2744:K2749)</f>
        <v/>
      </c>
      <c r="L2750">
        <f>SUM('19_Расчет_аналитики'!L2744:L2749)</f>
        <v/>
      </c>
      <c r="M2750">
        <f>SUM('19_Расчет_аналитики'!M2744:M2749)</f>
        <v/>
      </c>
      <c r="N2750">
        <f>SUM('19_Расчет_аналитики'!N2744:N2749)</f>
        <v/>
      </c>
      <c r="O2750">
        <f>SUM('19_Расчет_аналитики'!O2744:O2749)</f>
        <v/>
      </c>
      <c r="P2750">
        <f>SUM('19_Расчет_аналитики'!P2744:P2749)</f>
        <v/>
      </c>
      <c r="Q2750">
        <f>SUM('19_Расчет_аналитики'!Q2744:Q2749)</f>
        <v/>
      </c>
      <c r="R2750">
        <f>SUM('19_Расчет_аналитики'!R2744:R2749)</f>
        <v/>
      </c>
      <c r="S2750">
        <f>SUM('19_Расчет_аналитики'!S2744:S2749)</f>
        <v/>
      </c>
      <c r="T2750">
        <f>SUM('19_Расчет_аналитики'!T2744:T2749)</f>
        <v/>
      </c>
      <c r="U2750">
        <f>SUM('19_Расчет_аналитики'!U2744:U2749)</f>
        <v/>
      </c>
      <c r="V2750">
        <f>SUM('19_Расчет_аналитики'!V2744:V2749)</f>
        <v/>
      </c>
      <c r="W2750">
        <f>SUM('19_Расчет_аналитики'!W2744:W2749)</f>
        <v/>
      </c>
      <c r="X2750">
        <f>SUM('19_Расчет_аналитики'!X2744:X2749)</f>
        <v/>
      </c>
      <c r="Y2750">
        <f>SUM('19_Расчет_аналитики'!Y2744:Y2749)</f>
        <v/>
      </c>
      <c r="Z2750">
        <f>SUM('19_Расчет_аналитики'!Z2744:Z2749)</f>
        <v/>
      </c>
      <c r="AA2750">
        <f>SUM('19_Расчет_аналитики'!AA2744:AA2749)</f>
        <v/>
      </c>
      <c r="AB2750">
        <f>SUM('19_Расчет_аналитики'!AB2744:AB2749)</f>
        <v/>
      </c>
      <c r="AC2750">
        <f>SUM('19_Расчет_аналитики'!AC2744:AC2749)</f>
        <v/>
      </c>
      <c r="AD2750">
        <f>SUM('19_Расчет_аналитики'!AD2744:AD2749)</f>
        <v/>
      </c>
      <c r="AE2750">
        <f>SUM('19_Расчет_аналитики'!AE2744:AE2749)</f>
        <v/>
      </c>
      <c r="AF2750">
        <f>SUM('19_Расчет_аналитики'!AF2744:AF2749)</f>
        <v/>
      </c>
      <c r="AG2750">
        <f>SUM('19_Расчет_аналитики'!AG2744:AG2749)</f>
        <v/>
      </c>
      <c r="AH2750">
        <f>SUM('19_Расчет_аналитики'!AH2744:AH2749)</f>
        <v/>
      </c>
      <c r="AI2750">
        <f>SUM('19_Расчет_аналитики'!AI2744:AI2749)</f>
        <v/>
      </c>
      <c r="AJ2750">
        <f>SUM('19_Расчет_аналитики'!AJ2744:AJ2749)</f>
        <v/>
      </c>
      <c r="AK2750">
        <f>SUM('19_Расчет_аналитики'!AK2744:AK2749)</f>
        <v/>
      </c>
      <c r="AL2750">
        <f>SUM('19_Расчет_аналитики'!AL2744:AL2749)</f>
        <v/>
      </c>
      <c r="AM2750">
        <f>SUM('19_Расчет_аналитики'!AM2744:AM2749)</f>
        <v/>
      </c>
      <c r="AN2750">
        <f>SUM('19_Расчет_аналитики'!AN2744:AN2749)</f>
        <v/>
      </c>
      <c r="AO2750">
        <f>SUM('19_Расчет_аналитики'!AO2744:AO2749)</f>
        <v/>
      </c>
      <c r="AP2750">
        <f>SUM('19_Расчет_аналитики'!AP2744:AP2749)</f>
        <v/>
      </c>
      <c r="AQ2750">
        <f>SUM('19_Расчет_аналитики'!AQ2744:AQ2749)</f>
        <v/>
      </c>
      <c r="AR2750">
        <f>SUM('19_Расчет_аналитики'!AR2744:AR2749)</f>
        <v/>
      </c>
      <c r="AS2750">
        <f>SUM('19_Расчет_аналитики'!AS2744:AS2749)</f>
        <v/>
      </c>
      <c r="AT2750">
        <f>SUM('19_Расчет_аналитики'!AT2744:AT2749)</f>
        <v/>
      </c>
      <c r="AU2750">
        <f>SUM('19_Расчет_аналитики'!AU2744:AU2749)</f>
        <v/>
      </c>
      <c r="AV2750">
        <f>SUM('19_Расчет_аналитики'!AV2744:AV2749)</f>
        <v/>
      </c>
      <c r="AW2750">
        <f>SUM('19_Расчет_аналитики'!AW2744:AW2749)</f>
        <v/>
      </c>
      <c r="AX2750">
        <f>SUM('19_Расчет_аналитики'!AX2744:AX2749)</f>
        <v/>
      </c>
      <c r="AY2750">
        <f>SUM('19_Расчет_аналитики'!AY2744:AY2749)</f>
        <v/>
      </c>
      <c r="AZ2750">
        <f>SUM('19_Расчет_аналитики'!AZ2744:AZ2749)</f>
        <v/>
      </c>
      <c r="BA2750">
        <f>SUM('19_Расчет_аналитики'!BA2744:BA2749)</f>
        <v/>
      </c>
      <c r="BB2750">
        <f>SUM('19_Расчет_аналитики'!BB2744:BB2749)</f>
        <v/>
      </c>
      <c r="BC2750">
        <f>SUM('19_Расчет_аналитики'!BC2744:BC2749)</f>
        <v/>
      </c>
      <c r="BD2750">
        <f>SUM('19_Расчет_аналитики'!BD2744:BD2749)</f>
        <v/>
      </c>
      <c r="BE2750">
        <f>SUM('19_Расчет_аналитики'!BE2744:BE2749)</f>
        <v/>
      </c>
      <c r="BF2750">
        <f>SUM('19_Расчет_аналитики'!BF2744:BF2749)</f>
        <v/>
      </c>
      <c r="BG2750">
        <f>SUM('19_Расчет_аналитики'!BG2744:BG2749)</f>
        <v/>
      </c>
      <c r="BH2750">
        <f>SUM('19_Расчет_аналитики'!BH2744:BH2749)</f>
        <v/>
      </c>
      <c r="BI2750">
        <f>SUM('19_Расчет_аналитики'!BI2744:BI2749)</f>
        <v/>
      </c>
    </row>
    <row r="2751">
      <c r="B2751">
        <f>'19_Расчет_аналитики'!B2741-'19_Расчет_аналитики'!B2750</f>
        <v/>
      </c>
      <c r="C2751">
        <f>'19_Расчет_аналитики'!C2741-'19_Расчет_аналитики'!C2750</f>
        <v/>
      </c>
      <c r="D2751">
        <f>'19_Расчет_аналитики'!D2741-'19_Расчет_аналитики'!D2750</f>
        <v/>
      </c>
      <c r="E2751">
        <f>'19_Расчет_аналитики'!E2741-'19_Расчет_аналитики'!E2750</f>
        <v/>
      </c>
      <c r="F2751">
        <f>'19_Расчет_аналитики'!F2741-'19_Расчет_аналитики'!F2750</f>
        <v/>
      </c>
      <c r="G2751">
        <f>'19_Расчет_аналитики'!G2741-'19_Расчет_аналитики'!G2750</f>
        <v/>
      </c>
      <c r="H2751">
        <f>'19_Расчет_аналитики'!H2741-'19_Расчет_аналитики'!H2750</f>
        <v/>
      </c>
      <c r="I2751">
        <f>'19_Расчет_аналитики'!I2741-'19_Расчет_аналитики'!I2750</f>
        <v/>
      </c>
      <c r="J2751">
        <f>'19_Расчет_аналитики'!J2741-'19_Расчет_аналитики'!J2750</f>
        <v/>
      </c>
      <c r="K2751">
        <f>'19_Расчет_аналитики'!K2741-'19_Расчет_аналитики'!K2750</f>
        <v/>
      </c>
      <c r="L2751">
        <f>'19_Расчет_аналитики'!L2741-'19_Расчет_аналитики'!L2750</f>
        <v/>
      </c>
      <c r="M2751">
        <f>'19_Расчет_аналитики'!M2741-'19_Расчет_аналитики'!M2750</f>
        <v/>
      </c>
      <c r="N2751">
        <f>'19_Расчет_аналитики'!N2741-'19_Расчет_аналитики'!N2750</f>
        <v/>
      </c>
      <c r="O2751">
        <f>'19_Расчет_аналитики'!O2741-'19_Расчет_аналитики'!O2750</f>
        <v/>
      </c>
      <c r="P2751">
        <f>'19_Расчет_аналитики'!P2741-'19_Расчет_аналитики'!P2750</f>
        <v/>
      </c>
      <c r="Q2751">
        <f>'19_Расчет_аналитики'!Q2741-'19_Расчет_аналитики'!Q2750</f>
        <v/>
      </c>
      <c r="R2751">
        <f>'19_Расчет_аналитики'!R2741-'19_Расчет_аналитики'!R2750</f>
        <v/>
      </c>
      <c r="S2751">
        <f>'19_Расчет_аналитики'!S2741-'19_Расчет_аналитики'!S2750</f>
        <v/>
      </c>
      <c r="T2751">
        <f>'19_Расчет_аналитики'!T2741-'19_Расчет_аналитики'!T2750</f>
        <v/>
      </c>
      <c r="U2751">
        <f>'19_Расчет_аналитики'!U2741-'19_Расчет_аналитики'!U2750</f>
        <v/>
      </c>
      <c r="V2751">
        <f>'19_Расчет_аналитики'!V2741-'19_Расчет_аналитики'!V2750</f>
        <v/>
      </c>
      <c r="W2751">
        <f>'19_Расчет_аналитики'!W2741-'19_Расчет_аналитики'!W2750</f>
        <v/>
      </c>
      <c r="X2751">
        <f>'19_Расчет_аналитики'!X2741-'19_Расчет_аналитики'!X2750</f>
        <v/>
      </c>
      <c r="Y2751">
        <f>'19_Расчет_аналитики'!Y2741-'19_Расчет_аналитики'!Y2750</f>
        <v/>
      </c>
      <c r="Z2751">
        <f>'19_Расчет_аналитики'!Z2741-'19_Расчет_аналитики'!Z2750</f>
        <v/>
      </c>
      <c r="AA2751">
        <f>'19_Расчет_аналитики'!AA2741-'19_Расчет_аналитики'!AA2750</f>
        <v/>
      </c>
      <c r="AB2751">
        <f>'19_Расчет_аналитики'!AB2741-'19_Расчет_аналитики'!AB2750</f>
        <v/>
      </c>
      <c r="AC2751">
        <f>'19_Расчет_аналитики'!AC2741-'19_Расчет_аналитики'!AC2750</f>
        <v/>
      </c>
      <c r="AD2751">
        <f>'19_Расчет_аналитики'!AD2741-'19_Расчет_аналитики'!AD2750</f>
        <v/>
      </c>
      <c r="AE2751">
        <f>'19_Расчет_аналитики'!AE2741-'19_Расчет_аналитики'!AE2750</f>
        <v/>
      </c>
      <c r="AF2751">
        <f>'19_Расчет_аналитики'!AF2741-'19_Расчет_аналитики'!AF2750</f>
        <v/>
      </c>
      <c r="AG2751">
        <f>'19_Расчет_аналитики'!AG2741-'19_Расчет_аналитики'!AG2750</f>
        <v/>
      </c>
      <c r="AH2751">
        <f>'19_Расчет_аналитики'!AH2741-'19_Расчет_аналитики'!AH2750</f>
        <v/>
      </c>
      <c r="AI2751">
        <f>'19_Расчет_аналитики'!AI2741-'19_Расчет_аналитики'!AI2750</f>
        <v/>
      </c>
      <c r="AJ2751">
        <f>'19_Расчет_аналитики'!AJ2741-'19_Расчет_аналитики'!AJ2750</f>
        <v/>
      </c>
      <c r="AK2751">
        <f>'19_Расчет_аналитики'!AK2741-'19_Расчет_аналитики'!AK2750</f>
        <v/>
      </c>
      <c r="AL2751">
        <f>'19_Расчет_аналитики'!AL2741-'19_Расчет_аналитики'!AL2750</f>
        <v/>
      </c>
      <c r="AM2751">
        <f>'19_Расчет_аналитики'!AM2741-'19_Расчет_аналитики'!AM2750</f>
        <v/>
      </c>
      <c r="AN2751">
        <f>'19_Расчет_аналитики'!AN2741-'19_Расчет_аналитики'!AN2750</f>
        <v/>
      </c>
      <c r="AO2751">
        <f>'19_Расчет_аналитики'!AO2741-'19_Расчет_аналитики'!AO2750</f>
        <v/>
      </c>
      <c r="AP2751">
        <f>'19_Расчет_аналитики'!AP2741-'19_Расчет_аналитики'!AP2750</f>
        <v/>
      </c>
      <c r="AQ2751">
        <f>'19_Расчет_аналитики'!AQ2741-'19_Расчет_аналитики'!AQ2750</f>
        <v/>
      </c>
      <c r="AR2751">
        <f>'19_Расчет_аналитики'!AR2741-'19_Расчет_аналитики'!AR2750</f>
        <v/>
      </c>
      <c r="AS2751">
        <f>'19_Расчет_аналитики'!AS2741-'19_Расчет_аналитики'!AS2750</f>
        <v/>
      </c>
      <c r="AT2751">
        <f>'19_Расчет_аналитики'!AT2741-'19_Расчет_аналитики'!AT2750</f>
        <v/>
      </c>
      <c r="AU2751">
        <f>'19_Расчет_аналитики'!AU2741-'19_Расчет_аналитики'!AU2750</f>
        <v/>
      </c>
      <c r="AV2751">
        <f>'19_Расчет_аналитики'!AV2741-'19_Расчет_аналитики'!AV2750</f>
        <v/>
      </c>
      <c r="AW2751">
        <f>'19_Расчет_аналитики'!AW2741-'19_Расчет_аналитики'!AW2750</f>
        <v/>
      </c>
      <c r="AX2751">
        <f>'19_Расчет_аналитики'!AX2741-'19_Расчет_аналитики'!AX2750</f>
        <v/>
      </c>
      <c r="AY2751">
        <f>'19_Расчет_аналитики'!AY2741-'19_Расчет_аналитики'!AY2750</f>
        <v/>
      </c>
      <c r="AZ2751">
        <f>'19_Расчет_аналитики'!AZ2741-'19_Расчет_аналитики'!AZ2750</f>
        <v/>
      </c>
      <c r="BA2751">
        <f>'19_Расчет_аналитики'!BA2741-'19_Расчет_аналитики'!BA2750</f>
        <v/>
      </c>
      <c r="BB2751">
        <f>'19_Расчет_аналитики'!BB2741-'19_Расчет_аналитики'!BB2750</f>
        <v/>
      </c>
      <c r="BC2751">
        <f>'19_Расчет_аналитики'!BC2741-'19_Расчет_аналитики'!BC2750</f>
        <v/>
      </c>
      <c r="BD2751">
        <f>'19_Расчет_аналитики'!BD2741-'19_Расчет_аналитики'!BD2750</f>
        <v/>
      </c>
      <c r="BE2751">
        <f>'19_Расчет_аналитики'!BE2741-'19_Расчет_аналитики'!BE2750</f>
        <v/>
      </c>
      <c r="BF2751">
        <f>'19_Расчет_аналитики'!BF2741-'19_Расчет_аналитики'!BF2750</f>
        <v/>
      </c>
      <c r="BG2751">
        <f>'19_Расчет_аналитики'!BG2741-'19_Расчет_аналитики'!BG2750</f>
        <v/>
      </c>
      <c r="BH2751">
        <f>'19_Расчет_аналитики'!BH2741-'19_Расчет_аналитики'!BH2750</f>
        <v/>
      </c>
      <c r="BI2751">
        <f>'19_Расчет_аналитики'!BI2741-'19_Расчет_аналитики'!BI2750</f>
        <v/>
      </c>
    </row>
    <row r="2752"/>
    <row r="2753"/>
    <row r="2754">
      <c r="B2754">
        <f>'02_Модель'!B36</f>
        <v/>
      </c>
      <c r="C2754">
        <f>'19_Расчет_аналитики'!C2689</f>
        <v/>
      </c>
      <c r="D2754">
        <f>'19_Расчет_аналитики'!D2689</f>
        <v/>
      </c>
      <c r="E2754">
        <f>'19_Расчет_аналитики'!E2689</f>
        <v/>
      </c>
      <c r="F2754">
        <f>'19_Расчет_аналитики'!F2689</f>
        <v/>
      </c>
      <c r="G2754">
        <f>'19_Расчет_аналитики'!G2689</f>
        <v/>
      </c>
      <c r="H2754">
        <f>'19_Расчет_аналитики'!H2689</f>
        <v/>
      </c>
      <c r="I2754">
        <f>'19_Расчет_аналитики'!I2689</f>
        <v/>
      </c>
      <c r="J2754">
        <f>'19_Расчет_аналитики'!J2689</f>
        <v/>
      </c>
      <c r="K2754">
        <f>'19_Расчет_аналитики'!K2689</f>
        <v/>
      </c>
      <c r="L2754">
        <f>'19_Расчет_аналитики'!L2689</f>
        <v/>
      </c>
      <c r="M2754">
        <f>'19_Расчет_аналитики'!M2689</f>
        <v/>
      </c>
      <c r="N2754">
        <f>'19_Расчет_аналитики'!N2689</f>
        <v/>
      </c>
      <c r="O2754">
        <f>'19_Расчет_аналитики'!O2689</f>
        <v/>
      </c>
      <c r="P2754">
        <f>'19_Расчет_аналитики'!P2689</f>
        <v/>
      </c>
      <c r="Q2754">
        <f>'19_Расчет_аналитики'!Q2689</f>
        <v/>
      </c>
      <c r="R2754">
        <f>'19_Расчет_аналитики'!R2689</f>
        <v/>
      </c>
      <c r="S2754">
        <f>'19_Расчет_аналитики'!S2689</f>
        <v/>
      </c>
      <c r="T2754">
        <f>'19_Расчет_аналитики'!T2689</f>
        <v/>
      </c>
      <c r="U2754">
        <f>'19_Расчет_аналитики'!U2689</f>
        <v/>
      </c>
      <c r="V2754">
        <f>'19_Расчет_аналитики'!V2689</f>
        <v/>
      </c>
      <c r="W2754">
        <f>'19_Расчет_аналитики'!W2689</f>
        <v/>
      </c>
      <c r="X2754">
        <f>'19_Расчет_аналитики'!X2689</f>
        <v/>
      </c>
      <c r="Y2754">
        <f>'19_Расчет_аналитики'!Y2689</f>
        <v/>
      </c>
      <c r="Z2754">
        <f>'19_Расчет_аналитики'!Z2689</f>
        <v/>
      </c>
      <c r="AA2754">
        <f>'19_Расчет_аналитики'!AA2689</f>
        <v/>
      </c>
      <c r="AB2754">
        <f>'19_Расчет_аналитики'!AB2689</f>
        <v/>
      </c>
      <c r="AC2754">
        <f>'19_Расчет_аналитики'!AC2689</f>
        <v/>
      </c>
      <c r="AD2754">
        <f>'19_Расчет_аналитики'!AD2689</f>
        <v/>
      </c>
      <c r="AE2754">
        <f>'19_Расчет_аналитики'!AE2689</f>
        <v/>
      </c>
      <c r="AF2754">
        <f>'19_Расчет_аналитики'!AF2689</f>
        <v/>
      </c>
      <c r="AG2754">
        <f>'19_Расчет_аналитики'!AG2689</f>
        <v/>
      </c>
      <c r="AH2754">
        <f>'19_Расчет_аналитики'!AH2689</f>
        <v/>
      </c>
      <c r="AI2754">
        <f>'19_Расчет_аналитики'!AI2689</f>
        <v/>
      </c>
      <c r="AJ2754">
        <f>'19_Расчет_аналитики'!AJ2689</f>
        <v/>
      </c>
      <c r="AK2754">
        <f>'19_Расчет_аналитики'!AK2689</f>
        <v/>
      </c>
      <c r="AL2754">
        <f>'19_Расчет_аналитики'!AL2689</f>
        <v/>
      </c>
      <c r="AM2754">
        <f>'19_Расчет_аналитики'!AM2689</f>
        <v/>
      </c>
      <c r="AN2754">
        <f>'19_Расчет_аналитики'!AN2689</f>
        <v/>
      </c>
      <c r="AO2754">
        <f>'19_Расчет_аналитики'!AO2689</f>
        <v/>
      </c>
      <c r="AP2754">
        <f>'19_Расчет_аналитики'!AP2689</f>
        <v/>
      </c>
      <c r="AQ2754">
        <f>'19_Расчет_аналитики'!AQ2689</f>
        <v/>
      </c>
      <c r="AR2754">
        <f>'19_Расчет_аналитики'!AR2689</f>
        <v/>
      </c>
      <c r="AS2754">
        <f>'19_Расчет_аналитики'!AS2689</f>
        <v/>
      </c>
      <c r="AT2754">
        <f>'19_Расчет_аналитики'!AT2689</f>
        <v/>
      </c>
      <c r="AU2754">
        <f>'19_Расчет_аналитики'!AU2689</f>
        <v/>
      </c>
      <c r="AV2754">
        <f>'19_Расчет_аналитики'!AV2689</f>
        <v/>
      </c>
      <c r="AW2754">
        <f>'19_Расчет_аналитики'!AW2689</f>
        <v/>
      </c>
      <c r="AX2754">
        <f>'19_Расчет_аналитики'!AX2689</f>
        <v/>
      </c>
      <c r="AY2754">
        <f>'19_Расчет_аналитики'!AY2689</f>
        <v/>
      </c>
      <c r="AZ2754">
        <f>'19_Расчет_аналитики'!AZ2689</f>
        <v/>
      </c>
      <c r="BA2754">
        <f>'19_Расчет_аналитики'!BA2689</f>
        <v/>
      </c>
      <c r="BB2754">
        <f>'19_Расчет_аналитики'!BB2689</f>
        <v/>
      </c>
      <c r="BC2754">
        <f>'19_Расчет_аналитики'!BC2689</f>
        <v/>
      </c>
      <c r="BD2754">
        <f>'19_Расчет_аналитики'!BD2689</f>
        <v/>
      </c>
      <c r="BE2754">
        <f>'19_Расчет_аналитики'!BE2689</f>
        <v/>
      </c>
      <c r="BF2754">
        <f>'19_Расчет_аналитики'!BF2689</f>
        <v/>
      </c>
      <c r="BG2754">
        <f>'19_Расчет_аналитики'!BG2689</f>
        <v/>
      </c>
      <c r="BH2754">
        <f>'19_Расчет_аналитики'!BH2689</f>
        <v/>
      </c>
      <c r="BI2754">
        <f>'19_Расчет_аналитики'!BI2689</f>
        <v/>
      </c>
    </row>
    <row r="2755">
      <c r="B2755">
        <f>('01_Вводные'!$B$105+(MAX(0,'06_Сеть_и_дети'!B11-'01_Вводные'!$B$106)+'19_Расчет_аналитики'!B2423)*'01_Вводные'!$B$107)*'18_Календарь_тарифы'!B4</f>
        <v/>
      </c>
      <c r="C2755">
        <f>('01_Вводные'!$B$105+(MAX(0,'06_Сеть_и_дети'!C11-'01_Вводные'!$B$106)+'19_Расчет_аналитики'!C2423)*'01_Вводные'!$B$107)*'18_Календарь_тарифы'!C4</f>
        <v/>
      </c>
      <c r="D2755">
        <f>('01_Вводные'!$B$105+(MAX(0,'06_Сеть_и_дети'!D11-'01_Вводные'!$B$106)+'19_Расчет_аналитики'!D2423)*'01_Вводные'!$B$107)*'18_Календарь_тарифы'!D4</f>
        <v/>
      </c>
      <c r="E2755">
        <f>('01_Вводные'!$B$105+(MAX(0,'06_Сеть_и_дети'!E11-'01_Вводные'!$B$106)+'19_Расчет_аналитики'!E2423)*'01_Вводные'!$B$107)*'18_Календарь_тарифы'!E4</f>
        <v/>
      </c>
      <c r="F2755">
        <f>('01_Вводные'!$B$105+(MAX(0,'06_Сеть_и_дети'!F11-'01_Вводные'!$B$106)+'19_Расчет_аналитики'!F2423)*'01_Вводные'!$B$107)*'18_Календарь_тарифы'!F4</f>
        <v/>
      </c>
      <c r="G2755">
        <f>('01_Вводные'!$B$105+(MAX(0,'06_Сеть_и_дети'!G11-'01_Вводные'!$B$106)+'19_Расчет_аналитики'!G2423)*'01_Вводные'!$B$107)*'18_Календарь_тарифы'!G4</f>
        <v/>
      </c>
      <c r="H2755">
        <f>('01_Вводные'!$B$105+(MAX(0,'06_Сеть_и_дети'!H11-'01_Вводные'!$B$106)+'19_Расчет_аналитики'!H2423)*'01_Вводные'!$B$107)*'18_Календарь_тарифы'!H4</f>
        <v/>
      </c>
      <c r="I2755">
        <f>('01_Вводные'!$B$105+(MAX(0,'06_Сеть_и_дети'!I11-'01_Вводные'!$B$106)+'19_Расчет_аналитики'!I2423)*'01_Вводные'!$B$107)*'18_Календарь_тарифы'!I4</f>
        <v/>
      </c>
      <c r="J2755">
        <f>('01_Вводные'!$B$105+(MAX(0,'06_Сеть_и_дети'!J11-'01_Вводные'!$B$106)+'19_Расчет_аналитики'!J2423)*'01_Вводные'!$B$107)*'18_Календарь_тарифы'!J4</f>
        <v/>
      </c>
      <c r="K2755">
        <f>('01_Вводные'!$B$105+(MAX(0,'06_Сеть_и_дети'!K11-'01_Вводные'!$B$106)+'19_Расчет_аналитики'!K2423)*'01_Вводные'!$B$107)*'18_Календарь_тарифы'!K4</f>
        <v/>
      </c>
      <c r="L2755">
        <f>('01_Вводные'!$B$105+(MAX(0,'06_Сеть_и_дети'!L11-'01_Вводные'!$B$106)+'19_Расчет_аналитики'!L2423)*'01_Вводные'!$B$107)*'18_Календарь_тарифы'!L4</f>
        <v/>
      </c>
      <c r="M2755">
        <f>('01_Вводные'!$B$105+(MAX(0,'06_Сеть_и_дети'!M11-'01_Вводные'!$B$106)+'19_Расчет_аналитики'!M2423)*'01_Вводные'!$B$107)*'18_Календарь_тарифы'!M4</f>
        <v/>
      </c>
      <c r="N2755">
        <f>('01_Вводные'!$B$105+(MAX(0,'06_Сеть_и_дети'!N11-'01_Вводные'!$B$106)+'19_Расчет_аналитики'!N2423)*'01_Вводные'!$B$107)*'18_Календарь_тарифы'!N4</f>
        <v/>
      </c>
      <c r="O2755">
        <f>('01_Вводные'!$B$105+(MAX(0,'06_Сеть_и_дети'!O11-'01_Вводные'!$B$106)+'19_Расчет_аналитики'!O2423)*'01_Вводные'!$B$107)*'18_Календарь_тарифы'!O4</f>
        <v/>
      </c>
      <c r="P2755">
        <f>('01_Вводные'!$B$105+(MAX(0,'06_Сеть_и_дети'!P11-'01_Вводные'!$B$106)+'19_Расчет_аналитики'!P2423)*'01_Вводные'!$B$107)*'18_Календарь_тарифы'!P4</f>
        <v/>
      </c>
      <c r="Q2755">
        <f>('01_Вводные'!$B$105+(MAX(0,'06_Сеть_и_дети'!Q11-'01_Вводные'!$B$106)+'19_Расчет_аналитики'!Q2423)*'01_Вводные'!$B$107)*'18_Календарь_тарифы'!Q4</f>
        <v/>
      </c>
      <c r="R2755">
        <f>('01_Вводные'!$B$105+(MAX(0,'06_Сеть_и_дети'!R11-'01_Вводные'!$B$106)+'19_Расчет_аналитики'!R2423)*'01_Вводные'!$B$107)*'18_Календарь_тарифы'!R4</f>
        <v/>
      </c>
      <c r="S2755">
        <f>('01_Вводные'!$B$105+(MAX(0,'06_Сеть_и_дети'!S11-'01_Вводные'!$B$106)+'19_Расчет_аналитики'!S2423)*'01_Вводные'!$B$107)*'18_Календарь_тарифы'!S4</f>
        <v/>
      </c>
      <c r="T2755">
        <f>('01_Вводные'!$B$105+(MAX(0,'06_Сеть_и_дети'!T11-'01_Вводные'!$B$106)+'19_Расчет_аналитики'!T2423)*'01_Вводные'!$B$107)*'18_Календарь_тарифы'!T4</f>
        <v/>
      </c>
      <c r="U2755">
        <f>('01_Вводные'!$B$105+(MAX(0,'06_Сеть_и_дети'!U11-'01_Вводные'!$B$106)+'19_Расчет_аналитики'!U2423)*'01_Вводные'!$B$107)*'18_Календарь_тарифы'!U4</f>
        <v/>
      </c>
      <c r="V2755">
        <f>('01_Вводные'!$B$105+(MAX(0,'06_Сеть_и_дети'!V11-'01_Вводные'!$B$106)+'19_Расчет_аналитики'!V2423)*'01_Вводные'!$B$107)*'18_Календарь_тарифы'!V4</f>
        <v/>
      </c>
      <c r="W2755">
        <f>('01_Вводные'!$B$105+(MAX(0,'06_Сеть_и_дети'!W11-'01_Вводные'!$B$106)+'19_Расчет_аналитики'!W2423)*'01_Вводные'!$B$107)*'18_Календарь_тарифы'!W4</f>
        <v/>
      </c>
      <c r="X2755">
        <f>('01_Вводные'!$B$105+(MAX(0,'06_Сеть_и_дети'!X11-'01_Вводные'!$B$106)+'19_Расчет_аналитики'!X2423)*'01_Вводные'!$B$107)*'18_Календарь_тарифы'!X4</f>
        <v/>
      </c>
      <c r="Y2755">
        <f>('01_Вводные'!$B$105+(MAX(0,'06_Сеть_и_дети'!Y11-'01_Вводные'!$B$106)+'19_Расчет_аналитики'!Y2423)*'01_Вводные'!$B$107)*'18_Календарь_тарифы'!Y4</f>
        <v/>
      </c>
      <c r="Z2755">
        <f>('01_Вводные'!$B$105+(MAX(0,'06_Сеть_и_дети'!Z11-'01_Вводные'!$B$106)+'19_Расчет_аналитики'!Z2423)*'01_Вводные'!$B$107)*'18_Календарь_тарифы'!Z4</f>
        <v/>
      </c>
      <c r="AA2755">
        <f>('01_Вводные'!$B$105+(MAX(0,'06_Сеть_и_дети'!AA11-'01_Вводные'!$B$106)+'19_Расчет_аналитики'!AA2423)*'01_Вводные'!$B$107)*'18_Календарь_тарифы'!AA4</f>
        <v/>
      </c>
      <c r="AB2755">
        <f>('01_Вводные'!$B$105+(MAX(0,'06_Сеть_и_дети'!AB11-'01_Вводные'!$B$106)+'19_Расчет_аналитики'!AB2423)*'01_Вводные'!$B$107)*'18_Календарь_тарифы'!AB4</f>
        <v/>
      </c>
      <c r="AC2755">
        <f>('01_Вводные'!$B$105+(MAX(0,'06_Сеть_и_дети'!AC11-'01_Вводные'!$B$106)+'19_Расчет_аналитики'!AC2423)*'01_Вводные'!$B$107)*'18_Календарь_тарифы'!AC4</f>
        <v/>
      </c>
      <c r="AD2755">
        <f>('01_Вводные'!$B$105+(MAX(0,'06_Сеть_и_дети'!AD11-'01_Вводные'!$B$106)+'19_Расчет_аналитики'!AD2423)*'01_Вводные'!$B$107)*'18_Календарь_тарифы'!AD4</f>
        <v/>
      </c>
      <c r="AE2755">
        <f>('01_Вводные'!$B$105+(MAX(0,'06_Сеть_и_дети'!AE11-'01_Вводные'!$B$106)+'19_Расчет_аналитики'!AE2423)*'01_Вводные'!$B$107)*'18_Календарь_тарифы'!AE4</f>
        <v/>
      </c>
      <c r="AF2755">
        <f>('01_Вводные'!$B$105+(MAX(0,'06_Сеть_и_дети'!AF11-'01_Вводные'!$B$106)+'19_Расчет_аналитики'!AF2423)*'01_Вводные'!$B$107)*'18_Календарь_тарифы'!AF4</f>
        <v/>
      </c>
      <c r="AG2755">
        <f>('01_Вводные'!$B$105+(MAX(0,'06_Сеть_и_дети'!AG11-'01_Вводные'!$B$106)+'19_Расчет_аналитики'!AG2423)*'01_Вводные'!$B$107)*'18_Календарь_тарифы'!AG4</f>
        <v/>
      </c>
      <c r="AH2755">
        <f>('01_Вводные'!$B$105+(MAX(0,'06_Сеть_и_дети'!AH11-'01_Вводные'!$B$106)+'19_Расчет_аналитики'!AH2423)*'01_Вводные'!$B$107)*'18_Календарь_тарифы'!AH4</f>
        <v/>
      </c>
      <c r="AI2755">
        <f>('01_Вводные'!$B$105+(MAX(0,'06_Сеть_и_дети'!AI11-'01_Вводные'!$B$106)+'19_Расчет_аналитики'!AI2423)*'01_Вводные'!$B$107)*'18_Календарь_тарифы'!AI4</f>
        <v/>
      </c>
      <c r="AJ2755">
        <f>('01_Вводные'!$B$105+(MAX(0,'06_Сеть_и_дети'!AJ11-'01_Вводные'!$B$106)+'19_Расчет_аналитики'!AJ2423)*'01_Вводные'!$B$107)*'18_Календарь_тарифы'!AJ4</f>
        <v/>
      </c>
      <c r="AK2755">
        <f>('01_Вводные'!$B$105+(MAX(0,'06_Сеть_и_дети'!AK11-'01_Вводные'!$B$106)+'19_Расчет_аналитики'!AK2423)*'01_Вводные'!$B$107)*'18_Календарь_тарифы'!AK4</f>
        <v/>
      </c>
      <c r="AL2755">
        <f>('01_Вводные'!$B$105+(MAX(0,'06_Сеть_и_дети'!AL11-'01_Вводные'!$B$106)+'19_Расчет_аналитики'!AL2423)*'01_Вводные'!$B$107)*'18_Календарь_тарифы'!AL4</f>
        <v/>
      </c>
      <c r="AM2755">
        <f>('01_Вводные'!$B$105+(MAX(0,'06_Сеть_и_дети'!AM11-'01_Вводные'!$B$106)+'19_Расчет_аналитики'!AM2423)*'01_Вводные'!$B$107)*'18_Календарь_тарифы'!AM4</f>
        <v/>
      </c>
      <c r="AN2755">
        <f>('01_Вводные'!$B$105+(MAX(0,'06_Сеть_и_дети'!AN11-'01_Вводные'!$B$106)+'19_Расчет_аналитики'!AN2423)*'01_Вводные'!$B$107)*'18_Календарь_тарифы'!AN4</f>
        <v/>
      </c>
      <c r="AO2755">
        <f>('01_Вводные'!$B$105+(MAX(0,'06_Сеть_и_дети'!AO11-'01_Вводные'!$B$106)+'19_Расчет_аналитики'!AO2423)*'01_Вводные'!$B$107)*'18_Календарь_тарифы'!AO4</f>
        <v/>
      </c>
      <c r="AP2755">
        <f>('01_Вводные'!$B$105+(MAX(0,'06_Сеть_и_дети'!AP11-'01_Вводные'!$B$106)+'19_Расчет_аналитики'!AP2423)*'01_Вводные'!$B$107)*'18_Календарь_тарифы'!AP4</f>
        <v/>
      </c>
      <c r="AQ2755">
        <f>('01_Вводные'!$B$105+(MAX(0,'06_Сеть_и_дети'!AQ11-'01_Вводные'!$B$106)+'19_Расчет_аналитики'!AQ2423)*'01_Вводные'!$B$107)*'18_Календарь_тарифы'!AQ4</f>
        <v/>
      </c>
      <c r="AR2755">
        <f>('01_Вводные'!$B$105+(MAX(0,'06_Сеть_и_дети'!AR11-'01_Вводные'!$B$106)+'19_Расчет_аналитики'!AR2423)*'01_Вводные'!$B$107)*'18_Календарь_тарифы'!AR4</f>
        <v/>
      </c>
      <c r="AS2755">
        <f>('01_Вводные'!$B$105+(MAX(0,'06_Сеть_и_дети'!AS11-'01_Вводные'!$B$106)+'19_Расчет_аналитики'!AS2423)*'01_Вводные'!$B$107)*'18_Календарь_тарифы'!AS4</f>
        <v/>
      </c>
      <c r="AT2755">
        <f>('01_Вводные'!$B$105+(MAX(0,'06_Сеть_и_дети'!AT11-'01_Вводные'!$B$106)+'19_Расчет_аналитики'!AT2423)*'01_Вводные'!$B$107)*'18_Календарь_тарифы'!AT4</f>
        <v/>
      </c>
      <c r="AU2755">
        <f>('01_Вводные'!$B$105+(MAX(0,'06_Сеть_и_дети'!AU11-'01_Вводные'!$B$106)+'19_Расчет_аналитики'!AU2423)*'01_Вводные'!$B$107)*'18_Календарь_тарифы'!AU4</f>
        <v/>
      </c>
      <c r="AV2755">
        <f>('01_Вводные'!$B$105+(MAX(0,'06_Сеть_и_дети'!AV11-'01_Вводные'!$B$106)+'19_Расчет_аналитики'!AV2423)*'01_Вводные'!$B$107)*'18_Календарь_тарифы'!AV4</f>
        <v/>
      </c>
      <c r="AW2755">
        <f>('01_Вводные'!$B$105+(MAX(0,'06_Сеть_и_дети'!AW11-'01_Вводные'!$B$106)+'19_Расчет_аналитики'!AW2423)*'01_Вводные'!$B$107)*'18_Календарь_тарифы'!AW4</f>
        <v/>
      </c>
      <c r="AX2755">
        <f>('01_Вводные'!$B$105+(MAX(0,'06_Сеть_и_дети'!AX11-'01_Вводные'!$B$106)+'19_Расчет_аналитики'!AX2423)*'01_Вводные'!$B$107)*'18_Календарь_тарифы'!AX4</f>
        <v/>
      </c>
      <c r="AY2755">
        <f>('01_Вводные'!$B$105+(MAX(0,'06_Сеть_и_дети'!AY11-'01_Вводные'!$B$106)+'19_Расчет_аналитики'!AY2423)*'01_Вводные'!$B$107)*'18_Календарь_тарифы'!AY4</f>
        <v/>
      </c>
      <c r="AZ2755">
        <f>('01_Вводные'!$B$105+(MAX(0,'06_Сеть_и_дети'!AZ11-'01_Вводные'!$B$106)+'19_Расчет_аналитики'!AZ2423)*'01_Вводные'!$B$107)*'18_Календарь_тарифы'!AZ4</f>
        <v/>
      </c>
      <c r="BA2755">
        <f>('01_Вводные'!$B$105+(MAX(0,'06_Сеть_и_дети'!BA11-'01_Вводные'!$B$106)+'19_Расчет_аналитики'!BA2423)*'01_Вводные'!$B$107)*'18_Календарь_тарифы'!BA4</f>
        <v/>
      </c>
      <c r="BB2755">
        <f>('01_Вводные'!$B$105+(MAX(0,'06_Сеть_и_дети'!BB11-'01_Вводные'!$B$106)+'19_Расчет_аналитики'!BB2423)*'01_Вводные'!$B$107)*'18_Календарь_тарифы'!BB4</f>
        <v/>
      </c>
      <c r="BC2755">
        <f>('01_Вводные'!$B$105+(MAX(0,'06_Сеть_и_дети'!BC11-'01_Вводные'!$B$106)+'19_Расчет_аналитики'!BC2423)*'01_Вводные'!$B$107)*'18_Календарь_тарифы'!BC4</f>
        <v/>
      </c>
      <c r="BD2755">
        <f>('01_Вводные'!$B$105+(MAX(0,'06_Сеть_и_дети'!BD11-'01_Вводные'!$B$106)+'19_Расчет_аналитики'!BD2423)*'01_Вводные'!$B$107)*'18_Календарь_тарифы'!BD4</f>
        <v/>
      </c>
      <c r="BE2755">
        <f>('01_Вводные'!$B$105+(MAX(0,'06_Сеть_и_дети'!BE11-'01_Вводные'!$B$106)+'19_Расчет_аналитики'!BE2423)*'01_Вводные'!$B$107)*'18_Календарь_тарифы'!BE4</f>
        <v/>
      </c>
      <c r="BF2755">
        <f>('01_Вводные'!$B$105+(MAX(0,'06_Сеть_и_дети'!BF11-'01_Вводные'!$B$106)+'19_Расчет_аналитики'!BF2423)*'01_Вводные'!$B$107)*'18_Календарь_тарифы'!BF4</f>
        <v/>
      </c>
      <c r="BG2755">
        <f>('01_Вводные'!$B$105+(MAX(0,'06_Сеть_и_дети'!BG11-'01_Вводные'!$B$106)+'19_Расчет_аналитики'!BG2423)*'01_Вводные'!$B$107)*'18_Календарь_тарифы'!BG4</f>
        <v/>
      </c>
      <c r="BH2755">
        <f>('01_Вводные'!$B$105+(MAX(0,'06_Сеть_и_дети'!BH11-'01_Вводные'!$B$106)+'19_Расчет_аналитики'!BH2423)*'01_Вводные'!$B$107)*'18_Календарь_тарифы'!BH4</f>
        <v/>
      </c>
      <c r="BI2755">
        <f>('01_Вводные'!$B$105+(MAX(0,'06_Сеть_и_дети'!BI11-'01_Вводные'!$B$106)+'19_Расчет_аналитики'!BI2423)*'01_Вводные'!$B$107)*'18_Календарь_тарифы'!BI4</f>
        <v/>
      </c>
    </row>
    <row r="2756">
      <c r="B2756">
        <f>'02_Модель'!B38</f>
        <v/>
      </c>
      <c r="C2756">
        <f>'02_Модель'!C38</f>
        <v/>
      </c>
      <c r="D2756">
        <f>'02_Модель'!D38</f>
        <v/>
      </c>
      <c r="E2756">
        <f>'02_Модель'!E38</f>
        <v/>
      </c>
      <c r="F2756">
        <f>'02_Модель'!F38</f>
        <v/>
      </c>
      <c r="G2756">
        <f>'02_Модель'!G38</f>
        <v/>
      </c>
      <c r="H2756">
        <f>'02_Модель'!H38</f>
        <v/>
      </c>
      <c r="I2756">
        <f>'02_Модель'!I38</f>
        <v/>
      </c>
      <c r="J2756">
        <f>'02_Модель'!J38</f>
        <v/>
      </c>
      <c r="K2756">
        <f>'02_Модель'!K38</f>
        <v/>
      </c>
      <c r="L2756">
        <f>'02_Модель'!L38</f>
        <v/>
      </c>
      <c r="M2756">
        <f>'02_Модель'!M38</f>
        <v/>
      </c>
      <c r="N2756">
        <f>'02_Модель'!N38</f>
        <v/>
      </c>
      <c r="O2756">
        <f>'02_Модель'!O38</f>
        <v/>
      </c>
      <c r="P2756">
        <f>'02_Модель'!P38</f>
        <v/>
      </c>
      <c r="Q2756">
        <f>'02_Модель'!Q38</f>
        <v/>
      </c>
      <c r="R2756">
        <f>'02_Модель'!R38</f>
        <v/>
      </c>
      <c r="S2756">
        <f>'02_Модель'!S38</f>
        <v/>
      </c>
      <c r="T2756">
        <f>'02_Модель'!T38</f>
        <v/>
      </c>
      <c r="U2756">
        <f>'02_Модель'!U38</f>
        <v/>
      </c>
      <c r="V2756">
        <f>'02_Модель'!V38</f>
        <v/>
      </c>
      <c r="W2756">
        <f>'02_Модель'!W38</f>
        <v/>
      </c>
      <c r="X2756">
        <f>'02_Модель'!X38</f>
        <v/>
      </c>
      <c r="Y2756">
        <f>'02_Модель'!Y38</f>
        <v/>
      </c>
      <c r="Z2756">
        <f>'02_Модель'!Z38</f>
        <v/>
      </c>
      <c r="AA2756">
        <f>'02_Модель'!AA38</f>
        <v/>
      </c>
      <c r="AB2756">
        <f>'02_Модель'!AB38</f>
        <v/>
      </c>
      <c r="AC2756">
        <f>'02_Модель'!AC38</f>
        <v/>
      </c>
      <c r="AD2756">
        <f>'02_Модель'!AD38</f>
        <v/>
      </c>
      <c r="AE2756">
        <f>'02_Модель'!AE38</f>
        <v/>
      </c>
      <c r="AF2756">
        <f>'02_Модель'!AF38</f>
        <v/>
      </c>
      <c r="AG2756">
        <f>'02_Модель'!AG38</f>
        <v/>
      </c>
      <c r="AH2756">
        <f>'02_Модель'!AH38</f>
        <v/>
      </c>
      <c r="AI2756">
        <f>'02_Модель'!AI38</f>
        <v/>
      </c>
      <c r="AJ2756">
        <f>'02_Модель'!AJ38</f>
        <v/>
      </c>
      <c r="AK2756">
        <f>'02_Модель'!AK38</f>
        <v/>
      </c>
      <c r="AL2756">
        <f>'02_Модель'!AL38</f>
        <v/>
      </c>
      <c r="AM2756">
        <f>'02_Модель'!AM38</f>
        <v/>
      </c>
      <c r="AN2756">
        <f>'02_Модель'!AN38</f>
        <v/>
      </c>
      <c r="AO2756">
        <f>'02_Модель'!AO38</f>
        <v/>
      </c>
      <c r="AP2756">
        <f>'02_Модель'!AP38</f>
        <v/>
      </c>
      <c r="AQ2756">
        <f>'02_Модель'!AQ38</f>
        <v/>
      </c>
      <c r="AR2756">
        <f>'02_Модель'!AR38</f>
        <v/>
      </c>
      <c r="AS2756">
        <f>'02_Модель'!AS38</f>
        <v/>
      </c>
      <c r="AT2756">
        <f>'02_Модель'!AT38</f>
        <v/>
      </c>
      <c r="AU2756">
        <f>'02_Модель'!AU38</f>
        <v/>
      </c>
      <c r="AV2756">
        <f>'02_Модель'!AV38</f>
        <v/>
      </c>
      <c r="AW2756">
        <f>'02_Модель'!AW38</f>
        <v/>
      </c>
      <c r="AX2756">
        <f>'02_Модель'!AX38</f>
        <v/>
      </c>
      <c r="AY2756">
        <f>'02_Модель'!AY38</f>
        <v/>
      </c>
      <c r="AZ2756">
        <f>'02_Модель'!AZ38</f>
        <v/>
      </c>
      <c r="BA2756">
        <f>'02_Модель'!BA38</f>
        <v/>
      </c>
      <c r="BB2756">
        <f>'02_Модель'!BB38</f>
        <v/>
      </c>
      <c r="BC2756">
        <f>'02_Модель'!BC38</f>
        <v/>
      </c>
      <c r="BD2756">
        <f>'02_Модель'!BD38</f>
        <v/>
      </c>
      <c r="BE2756">
        <f>'02_Модель'!BE38</f>
        <v/>
      </c>
      <c r="BF2756">
        <f>'02_Модель'!BF38</f>
        <v/>
      </c>
      <c r="BG2756">
        <f>'02_Модель'!BG38</f>
        <v/>
      </c>
      <c r="BH2756">
        <f>'02_Модель'!BH38</f>
        <v/>
      </c>
      <c r="BI2756">
        <f>'02_Модель'!BI38</f>
        <v/>
      </c>
    </row>
    <row r="2757">
      <c r="B2757">
        <f>'02_Модель'!B39</f>
        <v/>
      </c>
      <c r="C2757">
        <f>'02_Модель'!C39</f>
        <v/>
      </c>
      <c r="D2757">
        <f>'02_Модель'!D39</f>
        <v/>
      </c>
      <c r="E2757">
        <f>'02_Модель'!E39</f>
        <v/>
      </c>
      <c r="F2757">
        <f>'02_Модель'!F39</f>
        <v/>
      </c>
      <c r="G2757">
        <f>'02_Модель'!G39</f>
        <v/>
      </c>
      <c r="H2757">
        <f>'02_Модель'!H39</f>
        <v/>
      </c>
      <c r="I2757">
        <f>'02_Модель'!I39</f>
        <v/>
      </c>
      <c r="J2757">
        <f>'02_Модель'!J39</f>
        <v/>
      </c>
      <c r="K2757">
        <f>'02_Модель'!K39</f>
        <v/>
      </c>
      <c r="L2757">
        <f>'02_Модель'!L39</f>
        <v/>
      </c>
      <c r="M2757">
        <f>'02_Модель'!M39</f>
        <v/>
      </c>
      <c r="N2757">
        <f>'02_Модель'!N39</f>
        <v/>
      </c>
      <c r="O2757">
        <f>'02_Модель'!O39</f>
        <v/>
      </c>
      <c r="P2757">
        <f>'02_Модель'!P39</f>
        <v/>
      </c>
      <c r="Q2757">
        <f>'02_Модель'!Q39</f>
        <v/>
      </c>
      <c r="R2757">
        <f>'02_Модель'!R39</f>
        <v/>
      </c>
      <c r="S2757">
        <f>'02_Модель'!S39</f>
        <v/>
      </c>
      <c r="T2757">
        <f>'02_Модель'!T39</f>
        <v/>
      </c>
      <c r="U2757">
        <f>'02_Модель'!U39</f>
        <v/>
      </c>
      <c r="V2757">
        <f>'02_Модель'!V39</f>
        <v/>
      </c>
      <c r="W2757">
        <f>'02_Модель'!W39</f>
        <v/>
      </c>
      <c r="X2757">
        <f>'02_Модель'!X39</f>
        <v/>
      </c>
      <c r="Y2757">
        <f>'02_Модель'!Y39</f>
        <v/>
      </c>
      <c r="Z2757">
        <f>'02_Модель'!Z39</f>
        <v/>
      </c>
      <c r="AA2757">
        <f>'02_Модель'!AA39</f>
        <v/>
      </c>
      <c r="AB2757">
        <f>'02_Модель'!AB39</f>
        <v/>
      </c>
      <c r="AC2757">
        <f>'02_Модель'!AC39</f>
        <v/>
      </c>
      <c r="AD2757">
        <f>'02_Модель'!AD39</f>
        <v/>
      </c>
      <c r="AE2757">
        <f>'02_Модель'!AE39</f>
        <v/>
      </c>
      <c r="AF2757">
        <f>'02_Модель'!AF39</f>
        <v/>
      </c>
      <c r="AG2757">
        <f>'02_Модель'!AG39</f>
        <v/>
      </c>
      <c r="AH2757">
        <f>'02_Модель'!AH39</f>
        <v/>
      </c>
      <c r="AI2757">
        <f>'02_Модель'!AI39</f>
        <v/>
      </c>
      <c r="AJ2757">
        <f>'02_Модель'!AJ39</f>
        <v/>
      </c>
      <c r="AK2757">
        <f>'02_Модель'!AK39</f>
        <v/>
      </c>
      <c r="AL2757">
        <f>'02_Модель'!AL39</f>
        <v/>
      </c>
      <c r="AM2757">
        <f>'02_Модель'!AM39</f>
        <v/>
      </c>
      <c r="AN2757">
        <f>'02_Модель'!AN39</f>
        <v/>
      </c>
      <c r="AO2757">
        <f>'02_Модель'!AO39</f>
        <v/>
      </c>
      <c r="AP2757">
        <f>'02_Модель'!AP39</f>
        <v/>
      </c>
      <c r="AQ2757">
        <f>'02_Модель'!AQ39</f>
        <v/>
      </c>
      <c r="AR2757">
        <f>'02_Модель'!AR39</f>
        <v/>
      </c>
      <c r="AS2757">
        <f>'02_Модель'!AS39</f>
        <v/>
      </c>
      <c r="AT2757">
        <f>'02_Модель'!AT39</f>
        <v/>
      </c>
      <c r="AU2757">
        <f>'02_Модель'!AU39</f>
        <v/>
      </c>
      <c r="AV2757">
        <f>'02_Модель'!AV39</f>
        <v/>
      </c>
      <c r="AW2757">
        <f>'02_Модель'!AW39</f>
        <v/>
      </c>
      <c r="AX2757">
        <f>'02_Модель'!AX39</f>
        <v/>
      </c>
      <c r="AY2757">
        <f>'02_Модель'!AY39</f>
        <v/>
      </c>
      <c r="AZ2757">
        <f>'02_Модель'!AZ39</f>
        <v/>
      </c>
      <c r="BA2757">
        <f>'02_Модель'!BA39</f>
        <v/>
      </c>
      <c r="BB2757">
        <f>'02_Модель'!BB39</f>
        <v/>
      </c>
      <c r="BC2757">
        <f>'02_Модель'!BC39</f>
        <v/>
      </c>
      <c r="BD2757">
        <f>'02_Модель'!BD39</f>
        <v/>
      </c>
      <c r="BE2757">
        <f>'02_Модель'!BE39</f>
        <v/>
      </c>
      <c r="BF2757">
        <f>'02_Модель'!BF39</f>
        <v/>
      </c>
      <c r="BG2757">
        <f>'02_Модель'!BG39</f>
        <v/>
      </c>
      <c r="BH2757">
        <f>'02_Модель'!BH39</f>
        <v/>
      </c>
      <c r="BI2757">
        <f>'02_Модель'!BI39</f>
        <v/>
      </c>
    </row>
    <row r="2758">
      <c r="B2758">
        <f>'02_Модель'!B40</f>
        <v/>
      </c>
      <c r="C2758">
        <f>'02_Модель'!C40</f>
        <v/>
      </c>
      <c r="D2758">
        <f>'02_Модель'!D40</f>
        <v/>
      </c>
      <c r="E2758">
        <f>'02_Модель'!E40</f>
        <v/>
      </c>
      <c r="F2758">
        <f>'02_Модель'!F40</f>
        <v/>
      </c>
      <c r="G2758">
        <f>'02_Модель'!G40</f>
        <v/>
      </c>
      <c r="H2758">
        <f>'02_Модель'!H40</f>
        <v/>
      </c>
      <c r="I2758">
        <f>'02_Модель'!I40</f>
        <v/>
      </c>
      <c r="J2758">
        <f>'02_Модель'!J40</f>
        <v/>
      </c>
      <c r="K2758">
        <f>'02_Модель'!K40</f>
        <v/>
      </c>
      <c r="L2758">
        <f>'02_Модель'!L40</f>
        <v/>
      </c>
      <c r="M2758">
        <f>'02_Модель'!M40</f>
        <v/>
      </c>
      <c r="N2758">
        <f>'02_Модель'!N40</f>
        <v/>
      </c>
      <c r="O2758">
        <f>'02_Модель'!O40</f>
        <v/>
      </c>
      <c r="P2758">
        <f>'02_Модель'!P40</f>
        <v/>
      </c>
      <c r="Q2758">
        <f>'02_Модель'!Q40</f>
        <v/>
      </c>
      <c r="R2758">
        <f>'02_Модель'!R40</f>
        <v/>
      </c>
      <c r="S2758">
        <f>'02_Модель'!S40</f>
        <v/>
      </c>
      <c r="T2758">
        <f>'02_Модель'!T40</f>
        <v/>
      </c>
      <c r="U2758">
        <f>'02_Модель'!U40</f>
        <v/>
      </c>
      <c r="V2758">
        <f>'02_Модель'!V40</f>
        <v/>
      </c>
      <c r="W2758">
        <f>'02_Модель'!W40</f>
        <v/>
      </c>
      <c r="X2758">
        <f>'02_Модель'!X40</f>
        <v/>
      </c>
      <c r="Y2758">
        <f>'02_Модель'!Y40</f>
        <v/>
      </c>
      <c r="Z2758">
        <f>'02_Модель'!Z40</f>
        <v/>
      </c>
      <c r="AA2758">
        <f>'02_Модель'!AA40</f>
        <v/>
      </c>
      <c r="AB2758">
        <f>'02_Модель'!AB40</f>
        <v/>
      </c>
      <c r="AC2758">
        <f>'02_Модель'!AC40</f>
        <v/>
      </c>
      <c r="AD2758">
        <f>'02_Модель'!AD40</f>
        <v/>
      </c>
      <c r="AE2758">
        <f>'02_Модель'!AE40</f>
        <v/>
      </c>
      <c r="AF2758">
        <f>'02_Модель'!AF40</f>
        <v/>
      </c>
      <c r="AG2758">
        <f>'02_Модель'!AG40</f>
        <v/>
      </c>
      <c r="AH2758">
        <f>'02_Модель'!AH40</f>
        <v/>
      </c>
      <c r="AI2758">
        <f>'02_Модель'!AI40</f>
        <v/>
      </c>
      <c r="AJ2758">
        <f>'02_Модель'!AJ40</f>
        <v/>
      </c>
      <c r="AK2758">
        <f>'02_Модель'!AK40</f>
        <v/>
      </c>
      <c r="AL2758">
        <f>'02_Модель'!AL40</f>
        <v/>
      </c>
      <c r="AM2758">
        <f>'02_Модель'!AM40</f>
        <v/>
      </c>
      <c r="AN2758">
        <f>'02_Модель'!AN40</f>
        <v/>
      </c>
      <c r="AO2758">
        <f>'02_Модель'!AO40</f>
        <v/>
      </c>
      <c r="AP2758">
        <f>'02_Модель'!AP40</f>
        <v/>
      </c>
      <c r="AQ2758">
        <f>'02_Модель'!AQ40</f>
        <v/>
      </c>
      <c r="AR2758">
        <f>'02_Модель'!AR40</f>
        <v/>
      </c>
      <c r="AS2758">
        <f>'02_Модель'!AS40</f>
        <v/>
      </c>
      <c r="AT2758">
        <f>'02_Модель'!AT40</f>
        <v/>
      </c>
      <c r="AU2758">
        <f>'02_Модель'!AU40</f>
        <v/>
      </c>
      <c r="AV2758">
        <f>'02_Модель'!AV40</f>
        <v/>
      </c>
      <c r="AW2758">
        <f>'02_Модель'!AW40</f>
        <v/>
      </c>
      <c r="AX2758">
        <f>'02_Модель'!AX40</f>
        <v/>
      </c>
      <c r="AY2758">
        <f>'02_Модель'!AY40</f>
        <v/>
      </c>
      <c r="AZ2758">
        <f>'02_Модель'!AZ40</f>
        <v/>
      </c>
      <c r="BA2758">
        <f>'02_Модель'!BA40</f>
        <v/>
      </c>
      <c r="BB2758">
        <f>'02_Модель'!BB40</f>
        <v/>
      </c>
      <c r="BC2758">
        <f>'02_Модель'!BC40</f>
        <v/>
      </c>
      <c r="BD2758">
        <f>'02_Модель'!BD40</f>
        <v/>
      </c>
      <c r="BE2758">
        <f>'02_Модель'!BE40</f>
        <v/>
      </c>
      <c r="BF2758">
        <f>'02_Модель'!BF40</f>
        <v/>
      </c>
      <c r="BG2758">
        <f>'02_Модель'!BG40</f>
        <v/>
      </c>
      <c r="BH2758">
        <f>'02_Модель'!BH40</f>
        <v/>
      </c>
      <c r="BI2758">
        <f>'02_Модель'!BI40</f>
        <v/>
      </c>
    </row>
    <row r="2759">
      <c r="B2759">
        <f>'02_Модель'!B41</f>
        <v/>
      </c>
      <c r="C2759">
        <f>'02_Модель'!C41</f>
        <v/>
      </c>
      <c r="D2759">
        <f>'02_Модель'!D41</f>
        <v/>
      </c>
      <c r="E2759">
        <f>'02_Модель'!E41</f>
        <v/>
      </c>
      <c r="F2759">
        <f>'02_Модель'!F41</f>
        <v/>
      </c>
      <c r="G2759">
        <f>'02_Модель'!G41</f>
        <v/>
      </c>
      <c r="H2759">
        <f>'02_Модель'!H41</f>
        <v/>
      </c>
      <c r="I2759">
        <f>'02_Модель'!I41</f>
        <v/>
      </c>
      <c r="J2759">
        <f>'02_Модель'!J41</f>
        <v/>
      </c>
      <c r="K2759">
        <f>'02_Модель'!K41</f>
        <v/>
      </c>
      <c r="L2759">
        <f>'02_Модель'!L41</f>
        <v/>
      </c>
      <c r="M2759">
        <f>'02_Модель'!M41</f>
        <v/>
      </c>
      <c r="N2759">
        <f>'02_Модель'!N41</f>
        <v/>
      </c>
      <c r="O2759">
        <f>'02_Модель'!O41</f>
        <v/>
      </c>
      <c r="P2759">
        <f>'02_Модель'!P41</f>
        <v/>
      </c>
      <c r="Q2759">
        <f>'02_Модель'!Q41</f>
        <v/>
      </c>
      <c r="R2759">
        <f>'02_Модель'!R41</f>
        <v/>
      </c>
      <c r="S2759">
        <f>'02_Модель'!S41</f>
        <v/>
      </c>
      <c r="T2759">
        <f>'02_Модель'!T41</f>
        <v/>
      </c>
      <c r="U2759">
        <f>'02_Модель'!U41</f>
        <v/>
      </c>
      <c r="V2759">
        <f>'02_Модель'!V41</f>
        <v/>
      </c>
      <c r="W2759">
        <f>'02_Модель'!W41</f>
        <v/>
      </c>
      <c r="X2759">
        <f>'02_Модель'!X41</f>
        <v/>
      </c>
      <c r="Y2759">
        <f>'02_Модель'!Y41</f>
        <v/>
      </c>
      <c r="Z2759">
        <f>'02_Модель'!Z41</f>
        <v/>
      </c>
      <c r="AA2759">
        <f>'02_Модель'!AA41</f>
        <v/>
      </c>
      <c r="AB2759">
        <f>'02_Модель'!AB41</f>
        <v/>
      </c>
      <c r="AC2759">
        <f>'02_Модель'!AC41</f>
        <v/>
      </c>
      <c r="AD2759">
        <f>'02_Модель'!AD41</f>
        <v/>
      </c>
      <c r="AE2759">
        <f>'02_Модель'!AE41</f>
        <v/>
      </c>
      <c r="AF2759">
        <f>'02_Модель'!AF41</f>
        <v/>
      </c>
      <c r="AG2759">
        <f>'02_Модель'!AG41</f>
        <v/>
      </c>
      <c r="AH2759">
        <f>'02_Модель'!AH41</f>
        <v/>
      </c>
      <c r="AI2759">
        <f>'02_Модель'!AI41</f>
        <v/>
      </c>
      <c r="AJ2759">
        <f>'02_Модель'!AJ41</f>
        <v/>
      </c>
      <c r="AK2759">
        <f>'02_Модель'!AK41</f>
        <v/>
      </c>
      <c r="AL2759">
        <f>'02_Модель'!AL41</f>
        <v/>
      </c>
      <c r="AM2759">
        <f>'02_Модель'!AM41</f>
        <v/>
      </c>
      <c r="AN2759">
        <f>'02_Модель'!AN41</f>
        <v/>
      </c>
      <c r="AO2759">
        <f>'02_Модель'!AO41</f>
        <v/>
      </c>
      <c r="AP2759">
        <f>'02_Модель'!AP41</f>
        <v/>
      </c>
      <c r="AQ2759">
        <f>'02_Модель'!AQ41</f>
        <v/>
      </c>
      <c r="AR2759">
        <f>'02_Модель'!AR41</f>
        <v/>
      </c>
      <c r="AS2759">
        <f>'02_Модель'!AS41</f>
        <v/>
      </c>
      <c r="AT2759">
        <f>'02_Модель'!AT41</f>
        <v/>
      </c>
      <c r="AU2759">
        <f>'02_Модель'!AU41</f>
        <v/>
      </c>
      <c r="AV2759">
        <f>'02_Модель'!AV41</f>
        <v/>
      </c>
      <c r="AW2759">
        <f>'02_Модель'!AW41</f>
        <v/>
      </c>
      <c r="AX2759">
        <f>'02_Модель'!AX41</f>
        <v/>
      </c>
      <c r="AY2759">
        <f>'02_Модель'!AY41</f>
        <v/>
      </c>
      <c r="AZ2759">
        <f>'02_Модель'!AZ41</f>
        <v/>
      </c>
      <c r="BA2759">
        <f>'02_Модель'!BA41</f>
        <v/>
      </c>
      <c r="BB2759">
        <f>'02_Модель'!BB41</f>
        <v/>
      </c>
      <c r="BC2759">
        <f>'02_Модель'!BC41</f>
        <v/>
      </c>
      <c r="BD2759">
        <f>'02_Модель'!BD41</f>
        <v/>
      </c>
      <c r="BE2759">
        <f>'02_Модель'!BE41</f>
        <v/>
      </c>
      <c r="BF2759">
        <f>'02_Модель'!BF41</f>
        <v/>
      </c>
      <c r="BG2759">
        <f>'02_Модель'!BG41</f>
        <v/>
      </c>
      <c r="BH2759">
        <f>'02_Модель'!BH41</f>
        <v/>
      </c>
      <c r="BI2759">
        <f>'02_Модель'!BI41</f>
        <v/>
      </c>
    </row>
    <row r="2760">
      <c r="B2760">
        <f>'19_Расчет_аналитики'!B2370</f>
        <v/>
      </c>
      <c r="C2760">
        <f>'19_Расчет_аналитики'!C2370</f>
        <v/>
      </c>
      <c r="D2760">
        <f>'19_Расчет_аналитики'!D2370</f>
        <v/>
      </c>
      <c r="E2760">
        <f>'19_Расчет_аналитики'!E2370</f>
        <v/>
      </c>
      <c r="F2760">
        <f>'19_Расчет_аналитики'!F2370</f>
        <v/>
      </c>
      <c r="G2760">
        <f>'19_Расчет_аналитики'!G2370</f>
        <v/>
      </c>
      <c r="H2760">
        <f>'19_Расчет_аналитики'!H2370</f>
        <v/>
      </c>
      <c r="I2760">
        <f>'19_Расчет_аналитики'!I2370</f>
        <v/>
      </c>
      <c r="J2760">
        <f>'19_Расчет_аналитики'!J2370</f>
        <v/>
      </c>
      <c r="K2760">
        <f>'19_Расчет_аналитики'!K2370</f>
        <v/>
      </c>
      <c r="L2760">
        <f>'19_Расчет_аналитики'!L2370</f>
        <v/>
      </c>
      <c r="M2760">
        <f>'19_Расчет_аналитики'!M2370</f>
        <v/>
      </c>
      <c r="N2760">
        <f>'19_Расчет_аналитики'!N2370</f>
        <v/>
      </c>
      <c r="O2760">
        <f>'19_Расчет_аналитики'!O2370</f>
        <v/>
      </c>
      <c r="P2760">
        <f>'19_Расчет_аналитики'!P2370</f>
        <v/>
      </c>
      <c r="Q2760">
        <f>'19_Расчет_аналитики'!Q2370</f>
        <v/>
      </c>
      <c r="R2760">
        <f>'19_Расчет_аналитики'!R2370</f>
        <v/>
      </c>
      <c r="S2760">
        <f>'19_Расчет_аналитики'!S2370</f>
        <v/>
      </c>
      <c r="T2760">
        <f>'19_Расчет_аналитики'!T2370</f>
        <v/>
      </c>
      <c r="U2760">
        <f>'19_Расчет_аналитики'!U2370</f>
        <v/>
      </c>
      <c r="V2760">
        <f>'19_Расчет_аналитики'!V2370</f>
        <v/>
      </c>
      <c r="W2760">
        <f>'19_Расчет_аналитики'!W2370</f>
        <v/>
      </c>
      <c r="X2760">
        <f>'19_Расчет_аналитики'!X2370</f>
        <v/>
      </c>
      <c r="Y2760">
        <f>'19_Расчет_аналитики'!Y2370</f>
        <v/>
      </c>
      <c r="Z2760">
        <f>'19_Расчет_аналитики'!Z2370</f>
        <v/>
      </c>
      <c r="AA2760">
        <f>'19_Расчет_аналитики'!AA2370</f>
        <v/>
      </c>
      <c r="AB2760">
        <f>'19_Расчет_аналитики'!AB2370</f>
        <v/>
      </c>
      <c r="AC2760">
        <f>'19_Расчет_аналитики'!AC2370</f>
        <v/>
      </c>
      <c r="AD2760">
        <f>'19_Расчет_аналитики'!AD2370</f>
        <v/>
      </c>
      <c r="AE2760">
        <f>'19_Расчет_аналитики'!AE2370</f>
        <v/>
      </c>
      <c r="AF2760">
        <f>'19_Расчет_аналитики'!AF2370</f>
        <v/>
      </c>
      <c r="AG2760">
        <f>'19_Расчет_аналитики'!AG2370</f>
        <v/>
      </c>
      <c r="AH2760">
        <f>'19_Расчет_аналитики'!AH2370</f>
        <v/>
      </c>
      <c r="AI2760">
        <f>'19_Расчет_аналитики'!AI2370</f>
        <v/>
      </c>
      <c r="AJ2760">
        <f>'19_Расчет_аналитики'!AJ2370</f>
        <v/>
      </c>
      <c r="AK2760">
        <f>'19_Расчет_аналитики'!AK2370</f>
        <v/>
      </c>
      <c r="AL2760">
        <f>'19_Расчет_аналитики'!AL2370</f>
        <v/>
      </c>
      <c r="AM2760">
        <f>'19_Расчет_аналитики'!AM2370</f>
        <v/>
      </c>
      <c r="AN2760">
        <f>'19_Расчет_аналитики'!AN2370</f>
        <v/>
      </c>
      <c r="AO2760">
        <f>'19_Расчет_аналитики'!AO2370</f>
        <v/>
      </c>
      <c r="AP2760">
        <f>'19_Расчет_аналитики'!AP2370</f>
        <v/>
      </c>
      <c r="AQ2760">
        <f>'19_Расчет_аналитики'!AQ2370</f>
        <v/>
      </c>
      <c r="AR2760">
        <f>'19_Расчет_аналитики'!AR2370</f>
        <v/>
      </c>
      <c r="AS2760">
        <f>'19_Расчет_аналитики'!AS2370</f>
        <v/>
      </c>
      <c r="AT2760">
        <f>'19_Расчет_аналитики'!AT2370</f>
        <v/>
      </c>
      <c r="AU2760">
        <f>'19_Расчет_аналитики'!AU2370</f>
        <v/>
      </c>
      <c r="AV2760">
        <f>'19_Расчет_аналитики'!AV2370</f>
        <v/>
      </c>
      <c r="AW2760">
        <f>'19_Расчет_аналитики'!AW2370</f>
        <v/>
      </c>
      <c r="AX2760">
        <f>'19_Расчет_аналитики'!AX2370</f>
        <v/>
      </c>
      <c r="AY2760">
        <f>'19_Расчет_аналитики'!AY2370</f>
        <v/>
      </c>
      <c r="AZ2760">
        <f>'19_Расчет_аналитики'!AZ2370</f>
        <v/>
      </c>
      <c r="BA2760">
        <f>'19_Расчет_аналитики'!BA2370</f>
        <v/>
      </c>
      <c r="BB2760">
        <f>'19_Расчет_аналитики'!BB2370</f>
        <v/>
      </c>
      <c r="BC2760">
        <f>'19_Расчет_аналитики'!BC2370</f>
        <v/>
      </c>
      <c r="BD2760">
        <f>'19_Расчет_аналитики'!BD2370</f>
        <v/>
      </c>
      <c r="BE2760">
        <f>'19_Расчет_аналитики'!BE2370</f>
        <v/>
      </c>
      <c r="BF2760">
        <f>'19_Расчет_аналитики'!BF2370</f>
        <v/>
      </c>
      <c r="BG2760">
        <f>'19_Расчет_аналитики'!BG2370</f>
        <v/>
      </c>
      <c r="BH2760">
        <f>'19_Расчет_аналитики'!BH2370</f>
        <v/>
      </c>
      <c r="BI2760">
        <f>'19_Расчет_аналитики'!BI2370</f>
        <v/>
      </c>
    </row>
    <row r="2761">
      <c r="B2761">
        <f>SUM('19_Расчет_аналитики'!B2754:B2760)</f>
        <v/>
      </c>
      <c r="C2761">
        <f>SUM('19_Расчет_аналитики'!C2754:C2760)</f>
        <v/>
      </c>
      <c r="D2761">
        <f>SUM('19_Расчет_аналитики'!D2754:D2760)</f>
        <v/>
      </c>
      <c r="E2761">
        <f>SUM('19_Расчет_аналитики'!E2754:E2760)</f>
        <v/>
      </c>
      <c r="F2761">
        <f>SUM('19_Расчет_аналитики'!F2754:F2760)</f>
        <v/>
      </c>
      <c r="G2761">
        <f>SUM('19_Расчет_аналитики'!G2754:G2760)</f>
        <v/>
      </c>
      <c r="H2761">
        <f>SUM('19_Расчет_аналитики'!H2754:H2760)</f>
        <v/>
      </c>
      <c r="I2761">
        <f>SUM('19_Расчет_аналитики'!I2754:I2760)</f>
        <v/>
      </c>
      <c r="J2761">
        <f>SUM('19_Расчет_аналитики'!J2754:J2760)</f>
        <v/>
      </c>
      <c r="K2761">
        <f>SUM('19_Расчет_аналитики'!K2754:K2760)</f>
        <v/>
      </c>
      <c r="L2761">
        <f>SUM('19_Расчет_аналитики'!L2754:L2760)</f>
        <v/>
      </c>
      <c r="M2761">
        <f>SUM('19_Расчет_аналитики'!M2754:M2760)</f>
        <v/>
      </c>
      <c r="N2761">
        <f>SUM('19_Расчет_аналитики'!N2754:N2760)</f>
        <v/>
      </c>
      <c r="O2761">
        <f>SUM('19_Расчет_аналитики'!O2754:O2760)</f>
        <v/>
      </c>
      <c r="P2761">
        <f>SUM('19_Расчет_аналитики'!P2754:P2760)</f>
        <v/>
      </c>
      <c r="Q2761">
        <f>SUM('19_Расчет_аналитики'!Q2754:Q2760)</f>
        <v/>
      </c>
      <c r="R2761">
        <f>SUM('19_Расчет_аналитики'!R2754:R2760)</f>
        <v/>
      </c>
      <c r="S2761">
        <f>SUM('19_Расчет_аналитики'!S2754:S2760)</f>
        <v/>
      </c>
      <c r="T2761">
        <f>SUM('19_Расчет_аналитики'!T2754:T2760)</f>
        <v/>
      </c>
      <c r="U2761">
        <f>SUM('19_Расчет_аналитики'!U2754:U2760)</f>
        <v/>
      </c>
      <c r="V2761">
        <f>SUM('19_Расчет_аналитики'!V2754:V2760)</f>
        <v/>
      </c>
      <c r="W2761">
        <f>SUM('19_Расчет_аналитики'!W2754:W2760)</f>
        <v/>
      </c>
      <c r="X2761">
        <f>SUM('19_Расчет_аналитики'!X2754:X2760)</f>
        <v/>
      </c>
      <c r="Y2761">
        <f>SUM('19_Расчет_аналитики'!Y2754:Y2760)</f>
        <v/>
      </c>
      <c r="Z2761">
        <f>SUM('19_Расчет_аналитики'!Z2754:Z2760)</f>
        <v/>
      </c>
      <c r="AA2761">
        <f>SUM('19_Расчет_аналитики'!AA2754:AA2760)</f>
        <v/>
      </c>
      <c r="AB2761">
        <f>SUM('19_Расчет_аналитики'!AB2754:AB2760)</f>
        <v/>
      </c>
      <c r="AC2761">
        <f>SUM('19_Расчет_аналитики'!AC2754:AC2760)</f>
        <v/>
      </c>
      <c r="AD2761">
        <f>SUM('19_Расчет_аналитики'!AD2754:AD2760)</f>
        <v/>
      </c>
      <c r="AE2761">
        <f>SUM('19_Расчет_аналитики'!AE2754:AE2760)</f>
        <v/>
      </c>
      <c r="AF2761">
        <f>SUM('19_Расчет_аналитики'!AF2754:AF2760)</f>
        <v/>
      </c>
      <c r="AG2761">
        <f>SUM('19_Расчет_аналитики'!AG2754:AG2760)</f>
        <v/>
      </c>
      <c r="AH2761">
        <f>SUM('19_Расчет_аналитики'!AH2754:AH2760)</f>
        <v/>
      </c>
      <c r="AI2761">
        <f>SUM('19_Расчет_аналитики'!AI2754:AI2760)</f>
        <v/>
      </c>
      <c r="AJ2761">
        <f>SUM('19_Расчет_аналитики'!AJ2754:AJ2760)</f>
        <v/>
      </c>
      <c r="AK2761">
        <f>SUM('19_Расчет_аналитики'!AK2754:AK2760)</f>
        <v/>
      </c>
      <c r="AL2761">
        <f>SUM('19_Расчет_аналитики'!AL2754:AL2760)</f>
        <v/>
      </c>
      <c r="AM2761">
        <f>SUM('19_Расчет_аналитики'!AM2754:AM2760)</f>
        <v/>
      </c>
      <c r="AN2761">
        <f>SUM('19_Расчет_аналитики'!AN2754:AN2760)</f>
        <v/>
      </c>
      <c r="AO2761">
        <f>SUM('19_Расчет_аналитики'!AO2754:AO2760)</f>
        <v/>
      </c>
      <c r="AP2761">
        <f>SUM('19_Расчет_аналитики'!AP2754:AP2760)</f>
        <v/>
      </c>
      <c r="AQ2761">
        <f>SUM('19_Расчет_аналитики'!AQ2754:AQ2760)</f>
        <v/>
      </c>
      <c r="AR2761">
        <f>SUM('19_Расчет_аналитики'!AR2754:AR2760)</f>
        <v/>
      </c>
      <c r="AS2761">
        <f>SUM('19_Расчет_аналитики'!AS2754:AS2760)</f>
        <v/>
      </c>
      <c r="AT2761">
        <f>SUM('19_Расчет_аналитики'!AT2754:AT2760)</f>
        <v/>
      </c>
      <c r="AU2761">
        <f>SUM('19_Расчет_аналитики'!AU2754:AU2760)</f>
        <v/>
      </c>
      <c r="AV2761">
        <f>SUM('19_Расчет_аналитики'!AV2754:AV2760)</f>
        <v/>
      </c>
      <c r="AW2761">
        <f>SUM('19_Расчет_аналитики'!AW2754:AW2760)</f>
        <v/>
      </c>
      <c r="AX2761">
        <f>SUM('19_Расчет_аналитики'!AX2754:AX2760)</f>
        <v/>
      </c>
      <c r="AY2761">
        <f>SUM('19_Расчет_аналитики'!AY2754:AY2760)</f>
        <v/>
      </c>
      <c r="AZ2761">
        <f>SUM('19_Расчет_аналитики'!AZ2754:AZ2760)</f>
        <v/>
      </c>
      <c r="BA2761">
        <f>SUM('19_Расчет_аналитики'!BA2754:BA2760)</f>
        <v/>
      </c>
      <c r="BB2761">
        <f>SUM('19_Расчет_аналитики'!BB2754:BB2760)</f>
        <v/>
      </c>
      <c r="BC2761">
        <f>SUM('19_Расчет_аналитики'!BC2754:BC2760)</f>
        <v/>
      </c>
      <c r="BD2761">
        <f>SUM('19_Расчет_аналитики'!BD2754:BD2760)</f>
        <v/>
      </c>
      <c r="BE2761">
        <f>SUM('19_Расчет_аналитики'!BE2754:BE2760)</f>
        <v/>
      </c>
      <c r="BF2761">
        <f>SUM('19_Расчет_аналитики'!BF2754:BF2760)</f>
        <v/>
      </c>
      <c r="BG2761">
        <f>SUM('19_Расчет_аналитики'!BG2754:BG2760)</f>
        <v/>
      </c>
      <c r="BH2761">
        <f>SUM('19_Расчет_аналитики'!BH2754:BH2760)</f>
        <v/>
      </c>
      <c r="BI2761">
        <f>SUM('19_Расчет_аналитики'!BI2754:BI2760)</f>
        <v/>
      </c>
    </row>
    <row r="2762">
      <c r="B2762">
        <f>'19_Расчет_аналитики'!B2751-'19_Расчет_аналитики'!B2761</f>
        <v/>
      </c>
      <c r="C2762">
        <f>'19_Расчет_аналитики'!C2751-'19_Расчет_аналитики'!C2761</f>
        <v/>
      </c>
      <c r="D2762">
        <f>'19_Расчет_аналитики'!D2751-'19_Расчет_аналитики'!D2761</f>
        <v/>
      </c>
      <c r="E2762">
        <f>'19_Расчет_аналитики'!E2751-'19_Расчет_аналитики'!E2761</f>
        <v/>
      </c>
      <c r="F2762">
        <f>'19_Расчет_аналитики'!F2751-'19_Расчет_аналитики'!F2761</f>
        <v/>
      </c>
      <c r="G2762">
        <f>'19_Расчет_аналитики'!G2751-'19_Расчет_аналитики'!G2761</f>
        <v/>
      </c>
      <c r="H2762">
        <f>'19_Расчет_аналитики'!H2751-'19_Расчет_аналитики'!H2761</f>
        <v/>
      </c>
      <c r="I2762">
        <f>'19_Расчет_аналитики'!I2751-'19_Расчет_аналитики'!I2761</f>
        <v/>
      </c>
      <c r="J2762">
        <f>'19_Расчет_аналитики'!J2751-'19_Расчет_аналитики'!J2761</f>
        <v/>
      </c>
      <c r="K2762">
        <f>'19_Расчет_аналитики'!K2751-'19_Расчет_аналитики'!K2761</f>
        <v/>
      </c>
      <c r="L2762">
        <f>'19_Расчет_аналитики'!L2751-'19_Расчет_аналитики'!L2761</f>
        <v/>
      </c>
      <c r="M2762">
        <f>'19_Расчет_аналитики'!M2751-'19_Расчет_аналитики'!M2761</f>
        <v/>
      </c>
      <c r="N2762">
        <f>'19_Расчет_аналитики'!N2751-'19_Расчет_аналитики'!N2761</f>
        <v/>
      </c>
      <c r="O2762">
        <f>'19_Расчет_аналитики'!O2751-'19_Расчет_аналитики'!O2761</f>
        <v/>
      </c>
      <c r="P2762">
        <f>'19_Расчет_аналитики'!P2751-'19_Расчет_аналитики'!P2761</f>
        <v/>
      </c>
      <c r="Q2762">
        <f>'19_Расчет_аналитики'!Q2751-'19_Расчет_аналитики'!Q2761</f>
        <v/>
      </c>
      <c r="R2762">
        <f>'19_Расчет_аналитики'!R2751-'19_Расчет_аналитики'!R2761</f>
        <v/>
      </c>
      <c r="S2762">
        <f>'19_Расчет_аналитики'!S2751-'19_Расчет_аналитики'!S2761</f>
        <v/>
      </c>
      <c r="T2762">
        <f>'19_Расчет_аналитики'!T2751-'19_Расчет_аналитики'!T2761</f>
        <v/>
      </c>
      <c r="U2762">
        <f>'19_Расчет_аналитики'!U2751-'19_Расчет_аналитики'!U2761</f>
        <v/>
      </c>
      <c r="V2762">
        <f>'19_Расчет_аналитики'!V2751-'19_Расчет_аналитики'!V2761</f>
        <v/>
      </c>
      <c r="W2762">
        <f>'19_Расчет_аналитики'!W2751-'19_Расчет_аналитики'!W2761</f>
        <v/>
      </c>
      <c r="X2762">
        <f>'19_Расчет_аналитики'!X2751-'19_Расчет_аналитики'!X2761</f>
        <v/>
      </c>
      <c r="Y2762">
        <f>'19_Расчет_аналитики'!Y2751-'19_Расчет_аналитики'!Y2761</f>
        <v/>
      </c>
      <c r="Z2762">
        <f>'19_Расчет_аналитики'!Z2751-'19_Расчет_аналитики'!Z2761</f>
        <v/>
      </c>
      <c r="AA2762">
        <f>'19_Расчет_аналитики'!AA2751-'19_Расчет_аналитики'!AA2761</f>
        <v/>
      </c>
      <c r="AB2762">
        <f>'19_Расчет_аналитики'!AB2751-'19_Расчет_аналитики'!AB2761</f>
        <v/>
      </c>
      <c r="AC2762">
        <f>'19_Расчет_аналитики'!AC2751-'19_Расчет_аналитики'!AC2761</f>
        <v/>
      </c>
      <c r="AD2762">
        <f>'19_Расчет_аналитики'!AD2751-'19_Расчет_аналитики'!AD2761</f>
        <v/>
      </c>
      <c r="AE2762">
        <f>'19_Расчет_аналитики'!AE2751-'19_Расчет_аналитики'!AE2761</f>
        <v/>
      </c>
      <c r="AF2762">
        <f>'19_Расчет_аналитики'!AF2751-'19_Расчет_аналитики'!AF2761</f>
        <v/>
      </c>
      <c r="AG2762">
        <f>'19_Расчет_аналитики'!AG2751-'19_Расчет_аналитики'!AG2761</f>
        <v/>
      </c>
      <c r="AH2762">
        <f>'19_Расчет_аналитики'!AH2751-'19_Расчет_аналитики'!AH2761</f>
        <v/>
      </c>
      <c r="AI2762">
        <f>'19_Расчет_аналитики'!AI2751-'19_Расчет_аналитики'!AI2761</f>
        <v/>
      </c>
      <c r="AJ2762">
        <f>'19_Расчет_аналитики'!AJ2751-'19_Расчет_аналитики'!AJ2761</f>
        <v/>
      </c>
      <c r="AK2762">
        <f>'19_Расчет_аналитики'!AK2751-'19_Расчет_аналитики'!AK2761</f>
        <v/>
      </c>
      <c r="AL2762">
        <f>'19_Расчет_аналитики'!AL2751-'19_Расчет_аналитики'!AL2761</f>
        <v/>
      </c>
      <c r="AM2762">
        <f>'19_Расчет_аналитики'!AM2751-'19_Расчет_аналитики'!AM2761</f>
        <v/>
      </c>
      <c r="AN2762">
        <f>'19_Расчет_аналитики'!AN2751-'19_Расчет_аналитики'!AN2761</f>
        <v/>
      </c>
      <c r="AO2762">
        <f>'19_Расчет_аналитики'!AO2751-'19_Расчет_аналитики'!AO2761</f>
        <v/>
      </c>
      <c r="AP2762">
        <f>'19_Расчет_аналитики'!AP2751-'19_Расчет_аналитики'!AP2761</f>
        <v/>
      </c>
      <c r="AQ2762">
        <f>'19_Расчет_аналитики'!AQ2751-'19_Расчет_аналитики'!AQ2761</f>
        <v/>
      </c>
      <c r="AR2762">
        <f>'19_Расчет_аналитики'!AR2751-'19_Расчет_аналитики'!AR2761</f>
        <v/>
      </c>
      <c r="AS2762">
        <f>'19_Расчет_аналитики'!AS2751-'19_Расчет_аналитики'!AS2761</f>
        <v/>
      </c>
      <c r="AT2762">
        <f>'19_Расчет_аналитики'!AT2751-'19_Расчет_аналитики'!AT2761</f>
        <v/>
      </c>
      <c r="AU2762">
        <f>'19_Расчет_аналитики'!AU2751-'19_Расчет_аналитики'!AU2761</f>
        <v/>
      </c>
      <c r="AV2762">
        <f>'19_Расчет_аналитики'!AV2751-'19_Расчет_аналитики'!AV2761</f>
        <v/>
      </c>
      <c r="AW2762">
        <f>'19_Расчет_аналитики'!AW2751-'19_Расчет_аналитики'!AW2761</f>
        <v/>
      </c>
      <c r="AX2762">
        <f>'19_Расчет_аналитики'!AX2751-'19_Расчет_аналитики'!AX2761</f>
        <v/>
      </c>
      <c r="AY2762">
        <f>'19_Расчет_аналитики'!AY2751-'19_Расчет_аналитики'!AY2761</f>
        <v/>
      </c>
      <c r="AZ2762">
        <f>'19_Расчет_аналитики'!AZ2751-'19_Расчет_аналитики'!AZ2761</f>
        <v/>
      </c>
      <c r="BA2762">
        <f>'19_Расчет_аналитики'!BA2751-'19_Расчет_аналитики'!BA2761</f>
        <v/>
      </c>
      <c r="BB2762">
        <f>'19_Расчет_аналитики'!BB2751-'19_Расчет_аналитики'!BB2761</f>
        <v/>
      </c>
      <c r="BC2762">
        <f>'19_Расчет_аналитики'!BC2751-'19_Расчет_аналитики'!BC2761</f>
        <v/>
      </c>
      <c r="BD2762">
        <f>'19_Расчет_аналитики'!BD2751-'19_Расчет_аналитики'!BD2761</f>
        <v/>
      </c>
      <c r="BE2762">
        <f>'19_Расчет_аналитики'!BE2751-'19_Расчет_аналитики'!BE2761</f>
        <v/>
      </c>
      <c r="BF2762">
        <f>'19_Расчет_аналитики'!BF2751-'19_Расчет_аналитики'!BF2761</f>
        <v/>
      </c>
      <c r="BG2762">
        <f>'19_Расчет_аналитики'!BG2751-'19_Расчет_аналитики'!BG2761</f>
        <v/>
      </c>
      <c r="BH2762">
        <f>'19_Расчет_аналитики'!BH2751-'19_Расчет_аналитики'!BH2761</f>
        <v/>
      </c>
      <c r="BI2762">
        <f>'19_Расчет_аналитики'!BI2751-'19_Расчет_аналитики'!BI2761</f>
        <v/>
      </c>
    </row>
    <row r="2763">
      <c r="B2763">
        <f>IF('19_Расчет_аналитики'!B2741=0,0,'19_Расчет_аналитики'!B2762/'19_Расчет_аналитики'!B2741)</f>
        <v/>
      </c>
      <c r="C2763">
        <f>IF('19_Расчет_аналитики'!C2741=0,0,'19_Расчет_аналитики'!C2762/'19_Расчет_аналитики'!C2741)</f>
        <v/>
      </c>
      <c r="D2763">
        <f>IF('19_Расчет_аналитики'!D2741=0,0,'19_Расчет_аналитики'!D2762/'19_Расчет_аналитики'!D2741)</f>
        <v/>
      </c>
      <c r="E2763">
        <f>IF('19_Расчет_аналитики'!E2741=0,0,'19_Расчет_аналитики'!E2762/'19_Расчет_аналитики'!E2741)</f>
        <v/>
      </c>
      <c r="F2763">
        <f>IF('19_Расчет_аналитики'!F2741=0,0,'19_Расчет_аналитики'!F2762/'19_Расчет_аналитики'!F2741)</f>
        <v/>
      </c>
      <c r="G2763">
        <f>IF('19_Расчет_аналитики'!G2741=0,0,'19_Расчет_аналитики'!G2762/'19_Расчет_аналитики'!G2741)</f>
        <v/>
      </c>
      <c r="H2763">
        <f>IF('19_Расчет_аналитики'!H2741=0,0,'19_Расчет_аналитики'!H2762/'19_Расчет_аналитики'!H2741)</f>
        <v/>
      </c>
      <c r="I2763">
        <f>IF('19_Расчет_аналитики'!I2741=0,0,'19_Расчет_аналитики'!I2762/'19_Расчет_аналитики'!I2741)</f>
        <v/>
      </c>
      <c r="J2763">
        <f>IF('19_Расчет_аналитики'!J2741=0,0,'19_Расчет_аналитики'!J2762/'19_Расчет_аналитики'!J2741)</f>
        <v/>
      </c>
      <c r="K2763">
        <f>IF('19_Расчет_аналитики'!K2741=0,0,'19_Расчет_аналитики'!K2762/'19_Расчет_аналитики'!K2741)</f>
        <v/>
      </c>
      <c r="L2763">
        <f>IF('19_Расчет_аналитики'!L2741=0,0,'19_Расчет_аналитики'!L2762/'19_Расчет_аналитики'!L2741)</f>
        <v/>
      </c>
      <c r="M2763">
        <f>IF('19_Расчет_аналитики'!M2741=0,0,'19_Расчет_аналитики'!M2762/'19_Расчет_аналитики'!M2741)</f>
        <v/>
      </c>
      <c r="N2763">
        <f>IF('19_Расчет_аналитики'!N2741=0,0,'19_Расчет_аналитики'!N2762/'19_Расчет_аналитики'!N2741)</f>
        <v/>
      </c>
      <c r="O2763">
        <f>IF('19_Расчет_аналитики'!O2741=0,0,'19_Расчет_аналитики'!O2762/'19_Расчет_аналитики'!O2741)</f>
        <v/>
      </c>
      <c r="P2763">
        <f>IF('19_Расчет_аналитики'!P2741=0,0,'19_Расчет_аналитики'!P2762/'19_Расчет_аналитики'!P2741)</f>
        <v/>
      </c>
      <c r="Q2763">
        <f>IF('19_Расчет_аналитики'!Q2741=0,0,'19_Расчет_аналитики'!Q2762/'19_Расчет_аналитики'!Q2741)</f>
        <v/>
      </c>
      <c r="R2763">
        <f>IF('19_Расчет_аналитики'!R2741=0,0,'19_Расчет_аналитики'!R2762/'19_Расчет_аналитики'!R2741)</f>
        <v/>
      </c>
      <c r="S2763">
        <f>IF('19_Расчет_аналитики'!S2741=0,0,'19_Расчет_аналитики'!S2762/'19_Расчет_аналитики'!S2741)</f>
        <v/>
      </c>
      <c r="T2763">
        <f>IF('19_Расчет_аналитики'!T2741=0,0,'19_Расчет_аналитики'!T2762/'19_Расчет_аналитики'!T2741)</f>
        <v/>
      </c>
      <c r="U2763">
        <f>IF('19_Расчет_аналитики'!U2741=0,0,'19_Расчет_аналитики'!U2762/'19_Расчет_аналитики'!U2741)</f>
        <v/>
      </c>
      <c r="V2763">
        <f>IF('19_Расчет_аналитики'!V2741=0,0,'19_Расчет_аналитики'!V2762/'19_Расчет_аналитики'!V2741)</f>
        <v/>
      </c>
      <c r="W2763">
        <f>IF('19_Расчет_аналитики'!W2741=0,0,'19_Расчет_аналитики'!W2762/'19_Расчет_аналитики'!W2741)</f>
        <v/>
      </c>
      <c r="X2763">
        <f>IF('19_Расчет_аналитики'!X2741=0,0,'19_Расчет_аналитики'!X2762/'19_Расчет_аналитики'!X2741)</f>
        <v/>
      </c>
      <c r="Y2763">
        <f>IF('19_Расчет_аналитики'!Y2741=0,0,'19_Расчет_аналитики'!Y2762/'19_Расчет_аналитики'!Y2741)</f>
        <v/>
      </c>
      <c r="Z2763">
        <f>IF('19_Расчет_аналитики'!Z2741=0,0,'19_Расчет_аналитики'!Z2762/'19_Расчет_аналитики'!Z2741)</f>
        <v/>
      </c>
      <c r="AA2763">
        <f>IF('19_Расчет_аналитики'!AA2741=0,0,'19_Расчет_аналитики'!AA2762/'19_Расчет_аналитики'!AA2741)</f>
        <v/>
      </c>
      <c r="AB2763">
        <f>IF('19_Расчет_аналитики'!AB2741=0,0,'19_Расчет_аналитики'!AB2762/'19_Расчет_аналитики'!AB2741)</f>
        <v/>
      </c>
      <c r="AC2763">
        <f>IF('19_Расчет_аналитики'!AC2741=0,0,'19_Расчет_аналитики'!AC2762/'19_Расчет_аналитики'!AC2741)</f>
        <v/>
      </c>
      <c r="AD2763">
        <f>IF('19_Расчет_аналитики'!AD2741=0,0,'19_Расчет_аналитики'!AD2762/'19_Расчет_аналитики'!AD2741)</f>
        <v/>
      </c>
      <c r="AE2763">
        <f>IF('19_Расчет_аналитики'!AE2741=0,0,'19_Расчет_аналитики'!AE2762/'19_Расчет_аналитики'!AE2741)</f>
        <v/>
      </c>
      <c r="AF2763">
        <f>IF('19_Расчет_аналитики'!AF2741=0,0,'19_Расчет_аналитики'!AF2762/'19_Расчет_аналитики'!AF2741)</f>
        <v/>
      </c>
      <c r="AG2763">
        <f>IF('19_Расчет_аналитики'!AG2741=0,0,'19_Расчет_аналитики'!AG2762/'19_Расчет_аналитики'!AG2741)</f>
        <v/>
      </c>
      <c r="AH2763">
        <f>IF('19_Расчет_аналитики'!AH2741=0,0,'19_Расчет_аналитики'!AH2762/'19_Расчет_аналитики'!AH2741)</f>
        <v/>
      </c>
      <c r="AI2763">
        <f>IF('19_Расчет_аналитики'!AI2741=0,0,'19_Расчет_аналитики'!AI2762/'19_Расчет_аналитики'!AI2741)</f>
        <v/>
      </c>
      <c r="AJ2763">
        <f>IF('19_Расчет_аналитики'!AJ2741=0,0,'19_Расчет_аналитики'!AJ2762/'19_Расчет_аналитики'!AJ2741)</f>
        <v/>
      </c>
      <c r="AK2763">
        <f>IF('19_Расчет_аналитики'!AK2741=0,0,'19_Расчет_аналитики'!AK2762/'19_Расчет_аналитики'!AK2741)</f>
        <v/>
      </c>
      <c r="AL2763">
        <f>IF('19_Расчет_аналитики'!AL2741=0,0,'19_Расчет_аналитики'!AL2762/'19_Расчет_аналитики'!AL2741)</f>
        <v/>
      </c>
      <c r="AM2763">
        <f>IF('19_Расчет_аналитики'!AM2741=0,0,'19_Расчет_аналитики'!AM2762/'19_Расчет_аналитики'!AM2741)</f>
        <v/>
      </c>
      <c r="AN2763">
        <f>IF('19_Расчет_аналитики'!AN2741=0,0,'19_Расчет_аналитики'!AN2762/'19_Расчет_аналитики'!AN2741)</f>
        <v/>
      </c>
      <c r="AO2763">
        <f>IF('19_Расчет_аналитики'!AO2741=0,0,'19_Расчет_аналитики'!AO2762/'19_Расчет_аналитики'!AO2741)</f>
        <v/>
      </c>
      <c r="AP2763">
        <f>IF('19_Расчет_аналитики'!AP2741=0,0,'19_Расчет_аналитики'!AP2762/'19_Расчет_аналитики'!AP2741)</f>
        <v/>
      </c>
      <c r="AQ2763">
        <f>IF('19_Расчет_аналитики'!AQ2741=0,0,'19_Расчет_аналитики'!AQ2762/'19_Расчет_аналитики'!AQ2741)</f>
        <v/>
      </c>
      <c r="AR2763">
        <f>IF('19_Расчет_аналитики'!AR2741=0,0,'19_Расчет_аналитики'!AR2762/'19_Расчет_аналитики'!AR2741)</f>
        <v/>
      </c>
      <c r="AS2763">
        <f>IF('19_Расчет_аналитики'!AS2741=0,0,'19_Расчет_аналитики'!AS2762/'19_Расчет_аналитики'!AS2741)</f>
        <v/>
      </c>
      <c r="AT2763">
        <f>IF('19_Расчет_аналитики'!AT2741=0,0,'19_Расчет_аналитики'!AT2762/'19_Расчет_аналитики'!AT2741)</f>
        <v/>
      </c>
      <c r="AU2763">
        <f>IF('19_Расчет_аналитики'!AU2741=0,0,'19_Расчет_аналитики'!AU2762/'19_Расчет_аналитики'!AU2741)</f>
        <v/>
      </c>
      <c r="AV2763">
        <f>IF('19_Расчет_аналитики'!AV2741=0,0,'19_Расчет_аналитики'!AV2762/'19_Расчет_аналитики'!AV2741)</f>
        <v/>
      </c>
      <c r="AW2763">
        <f>IF('19_Расчет_аналитики'!AW2741=0,0,'19_Расчет_аналитики'!AW2762/'19_Расчет_аналитики'!AW2741)</f>
        <v/>
      </c>
      <c r="AX2763">
        <f>IF('19_Расчет_аналитики'!AX2741=0,0,'19_Расчет_аналитики'!AX2762/'19_Расчет_аналитики'!AX2741)</f>
        <v/>
      </c>
      <c r="AY2763">
        <f>IF('19_Расчет_аналитики'!AY2741=0,0,'19_Расчет_аналитики'!AY2762/'19_Расчет_аналитики'!AY2741)</f>
        <v/>
      </c>
      <c r="AZ2763">
        <f>IF('19_Расчет_аналитики'!AZ2741=0,0,'19_Расчет_аналитики'!AZ2762/'19_Расчет_аналитики'!AZ2741)</f>
        <v/>
      </c>
      <c r="BA2763">
        <f>IF('19_Расчет_аналитики'!BA2741=0,0,'19_Расчет_аналитики'!BA2762/'19_Расчет_аналитики'!BA2741)</f>
        <v/>
      </c>
      <c r="BB2763">
        <f>IF('19_Расчет_аналитики'!BB2741=0,0,'19_Расчет_аналитики'!BB2762/'19_Расчет_аналитики'!BB2741)</f>
        <v/>
      </c>
      <c r="BC2763">
        <f>IF('19_Расчет_аналитики'!BC2741=0,0,'19_Расчет_аналитики'!BC2762/'19_Расчет_аналитики'!BC2741)</f>
        <v/>
      </c>
      <c r="BD2763">
        <f>IF('19_Расчет_аналитики'!BD2741=0,0,'19_Расчет_аналитики'!BD2762/'19_Расчет_аналитики'!BD2741)</f>
        <v/>
      </c>
      <c r="BE2763">
        <f>IF('19_Расчет_аналитики'!BE2741=0,0,'19_Расчет_аналитики'!BE2762/'19_Расчет_аналитики'!BE2741)</f>
        <v/>
      </c>
      <c r="BF2763">
        <f>IF('19_Расчет_аналитики'!BF2741=0,0,'19_Расчет_аналитики'!BF2762/'19_Расчет_аналитики'!BF2741)</f>
        <v/>
      </c>
      <c r="BG2763">
        <f>IF('19_Расчет_аналитики'!BG2741=0,0,'19_Расчет_аналитики'!BG2762/'19_Расчет_аналитики'!BG2741)</f>
        <v/>
      </c>
      <c r="BH2763">
        <f>IF('19_Расчет_аналитики'!BH2741=0,0,'19_Расчет_аналитики'!BH2762/'19_Расчет_аналитики'!BH2741)</f>
        <v/>
      </c>
      <c r="BI2763">
        <f>IF('19_Расчет_аналитики'!BI2741=0,0,'19_Расчет_аналитики'!BI2762/'19_Расчет_аналитики'!BI2741)</f>
        <v/>
      </c>
    </row>
    <row r="2764">
      <c r="B2764">
        <f>MAX('01_Вводные'!$B$157*'19_Расчет_аналитики'!B2741,'01_Вводные'!$B$156*MAX(0,'19_Расчет_аналитики'!B2762))</f>
        <v/>
      </c>
      <c r="C2764">
        <f>MAX('01_Вводные'!$B$157*'19_Расчет_аналитики'!C2741,'01_Вводные'!$B$156*MAX(0,'19_Расчет_аналитики'!C2762))</f>
        <v/>
      </c>
      <c r="D2764">
        <f>MAX('01_Вводные'!$B$157*'19_Расчет_аналитики'!D2741,'01_Вводные'!$B$156*MAX(0,'19_Расчет_аналитики'!D2762))</f>
        <v/>
      </c>
      <c r="E2764">
        <f>MAX('01_Вводные'!$B$157*'19_Расчет_аналитики'!E2741,'01_Вводные'!$B$156*MAX(0,'19_Расчет_аналитики'!E2762))</f>
        <v/>
      </c>
      <c r="F2764">
        <f>MAX('01_Вводные'!$B$157*'19_Расчет_аналитики'!F2741,'01_Вводные'!$B$156*MAX(0,'19_Расчет_аналитики'!F2762))</f>
        <v/>
      </c>
      <c r="G2764">
        <f>MAX('01_Вводные'!$B$157*'19_Расчет_аналитики'!G2741,'01_Вводные'!$B$156*MAX(0,'19_Расчет_аналитики'!G2762))</f>
        <v/>
      </c>
      <c r="H2764">
        <f>MAX('01_Вводные'!$B$157*'19_Расчет_аналитики'!H2741,'01_Вводные'!$B$156*MAX(0,'19_Расчет_аналитики'!H2762))</f>
        <v/>
      </c>
      <c r="I2764">
        <f>MAX('01_Вводные'!$B$157*'19_Расчет_аналитики'!I2741,'01_Вводные'!$B$156*MAX(0,'19_Расчет_аналитики'!I2762))</f>
        <v/>
      </c>
      <c r="J2764">
        <f>MAX('01_Вводные'!$B$157*'19_Расчет_аналитики'!J2741,'01_Вводные'!$B$156*MAX(0,'19_Расчет_аналитики'!J2762))</f>
        <v/>
      </c>
      <c r="K2764">
        <f>MAX('01_Вводные'!$B$157*'19_Расчет_аналитики'!K2741,'01_Вводные'!$B$156*MAX(0,'19_Расчет_аналитики'!K2762))</f>
        <v/>
      </c>
      <c r="L2764">
        <f>MAX('01_Вводные'!$B$157*'19_Расчет_аналитики'!L2741,'01_Вводные'!$B$156*MAX(0,'19_Расчет_аналитики'!L2762))</f>
        <v/>
      </c>
      <c r="M2764">
        <f>MAX('01_Вводные'!$B$157*'19_Расчет_аналитики'!M2741,'01_Вводные'!$B$156*MAX(0,'19_Расчет_аналитики'!M2762))</f>
        <v/>
      </c>
      <c r="N2764">
        <f>MAX('01_Вводные'!$B$157*'19_Расчет_аналитики'!N2741,'01_Вводные'!$B$156*MAX(0,'19_Расчет_аналитики'!N2762))</f>
        <v/>
      </c>
      <c r="O2764">
        <f>MAX('01_Вводные'!$B$157*'19_Расчет_аналитики'!O2741,'01_Вводные'!$B$156*MAX(0,'19_Расчет_аналитики'!O2762))</f>
        <v/>
      </c>
      <c r="P2764">
        <f>MAX('01_Вводные'!$B$157*'19_Расчет_аналитики'!P2741,'01_Вводные'!$B$156*MAX(0,'19_Расчет_аналитики'!P2762))</f>
        <v/>
      </c>
      <c r="Q2764">
        <f>MAX('01_Вводные'!$B$157*'19_Расчет_аналитики'!Q2741,'01_Вводные'!$B$156*MAX(0,'19_Расчет_аналитики'!Q2762))</f>
        <v/>
      </c>
      <c r="R2764">
        <f>MAX('01_Вводные'!$B$157*'19_Расчет_аналитики'!R2741,'01_Вводные'!$B$156*MAX(0,'19_Расчет_аналитики'!R2762))</f>
        <v/>
      </c>
      <c r="S2764">
        <f>MAX('01_Вводные'!$B$157*'19_Расчет_аналитики'!S2741,'01_Вводные'!$B$156*MAX(0,'19_Расчет_аналитики'!S2762))</f>
        <v/>
      </c>
      <c r="T2764">
        <f>MAX('01_Вводные'!$B$157*'19_Расчет_аналитики'!T2741,'01_Вводные'!$B$156*MAX(0,'19_Расчет_аналитики'!T2762))</f>
        <v/>
      </c>
      <c r="U2764">
        <f>MAX('01_Вводные'!$B$157*'19_Расчет_аналитики'!U2741,'01_Вводные'!$B$156*MAX(0,'19_Расчет_аналитики'!U2762))</f>
        <v/>
      </c>
      <c r="V2764">
        <f>MAX('01_Вводные'!$B$157*'19_Расчет_аналитики'!V2741,'01_Вводные'!$B$156*MAX(0,'19_Расчет_аналитики'!V2762))</f>
        <v/>
      </c>
      <c r="W2764">
        <f>MAX('01_Вводные'!$B$157*'19_Расчет_аналитики'!W2741,'01_Вводные'!$B$156*MAX(0,'19_Расчет_аналитики'!W2762))</f>
        <v/>
      </c>
      <c r="X2764">
        <f>MAX('01_Вводные'!$B$157*'19_Расчет_аналитики'!X2741,'01_Вводные'!$B$156*MAX(0,'19_Расчет_аналитики'!X2762))</f>
        <v/>
      </c>
      <c r="Y2764">
        <f>MAX('01_Вводные'!$B$157*'19_Расчет_аналитики'!Y2741,'01_Вводные'!$B$156*MAX(0,'19_Расчет_аналитики'!Y2762))</f>
        <v/>
      </c>
      <c r="Z2764">
        <f>MAX('01_Вводные'!$B$157*'19_Расчет_аналитики'!Z2741,'01_Вводные'!$B$156*MAX(0,'19_Расчет_аналитики'!Z2762))</f>
        <v/>
      </c>
      <c r="AA2764">
        <f>MAX('01_Вводные'!$B$157*'19_Расчет_аналитики'!AA2741,'01_Вводные'!$B$156*MAX(0,'19_Расчет_аналитики'!AA2762))</f>
        <v/>
      </c>
      <c r="AB2764">
        <f>MAX('01_Вводные'!$B$157*'19_Расчет_аналитики'!AB2741,'01_Вводные'!$B$156*MAX(0,'19_Расчет_аналитики'!AB2762))</f>
        <v/>
      </c>
      <c r="AC2764">
        <f>MAX('01_Вводные'!$B$157*'19_Расчет_аналитики'!AC2741,'01_Вводные'!$B$156*MAX(0,'19_Расчет_аналитики'!AC2762))</f>
        <v/>
      </c>
      <c r="AD2764">
        <f>MAX('01_Вводные'!$B$157*'19_Расчет_аналитики'!AD2741,'01_Вводные'!$B$156*MAX(0,'19_Расчет_аналитики'!AD2762))</f>
        <v/>
      </c>
      <c r="AE2764">
        <f>MAX('01_Вводные'!$B$157*'19_Расчет_аналитики'!AE2741,'01_Вводные'!$B$156*MAX(0,'19_Расчет_аналитики'!AE2762))</f>
        <v/>
      </c>
      <c r="AF2764">
        <f>MAX('01_Вводные'!$B$157*'19_Расчет_аналитики'!AF2741,'01_Вводные'!$B$156*MAX(0,'19_Расчет_аналитики'!AF2762))</f>
        <v/>
      </c>
      <c r="AG2764">
        <f>MAX('01_Вводные'!$B$157*'19_Расчет_аналитики'!AG2741,'01_Вводные'!$B$156*MAX(0,'19_Расчет_аналитики'!AG2762))</f>
        <v/>
      </c>
      <c r="AH2764">
        <f>MAX('01_Вводные'!$B$157*'19_Расчет_аналитики'!AH2741,'01_Вводные'!$B$156*MAX(0,'19_Расчет_аналитики'!AH2762))</f>
        <v/>
      </c>
      <c r="AI2764">
        <f>MAX('01_Вводные'!$B$157*'19_Расчет_аналитики'!AI2741,'01_Вводные'!$B$156*MAX(0,'19_Расчет_аналитики'!AI2762))</f>
        <v/>
      </c>
      <c r="AJ2764">
        <f>MAX('01_Вводные'!$B$157*'19_Расчет_аналитики'!AJ2741,'01_Вводные'!$B$156*MAX(0,'19_Расчет_аналитики'!AJ2762))</f>
        <v/>
      </c>
      <c r="AK2764">
        <f>MAX('01_Вводные'!$B$157*'19_Расчет_аналитики'!AK2741,'01_Вводные'!$B$156*MAX(0,'19_Расчет_аналитики'!AK2762))</f>
        <v/>
      </c>
      <c r="AL2764">
        <f>MAX('01_Вводные'!$B$157*'19_Расчет_аналитики'!AL2741,'01_Вводные'!$B$156*MAX(0,'19_Расчет_аналитики'!AL2762))</f>
        <v/>
      </c>
      <c r="AM2764">
        <f>MAX('01_Вводные'!$B$157*'19_Расчет_аналитики'!AM2741,'01_Вводные'!$B$156*MAX(0,'19_Расчет_аналитики'!AM2762))</f>
        <v/>
      </c>
      <c r="AN2764">
        <f>MAX('01_Вводные'!$B$157*'19_Расчет_аналитики'!AN2741,'01_Вводные'!$B$156*MAX(0,'19_Расчет_аналитики'!AN2762))</f>
        <v/>
      </c>
      <c r="AO2764">
        <f>MAX('01_Вводные'!$B$157*'19_Расчет_аналитики'!AO2741,'01_Вводные'!$B$156*MAX(0,'19_Расчет_аналитики'!AO2762))</f>
        <v/>
      </c>
      <c r="AP2764">
        <f>MAX('01_Вводные'!$B$157*'19_Расчет_аналитики'!AP2741,'01_Вводные'!$B$156*MAX(0,'19_Расчет_аналитики'!AP2762))</f>
        <v/>
      </c>
      <c r="AQ2764">
        <f>MAX('01_Вводные'!$B$157*'19_Расчет_аналитики'!AQ2741,'01_Вводные'!$B$156*MAX(0,'19_Расчет_аналитики'!AQ2762))</f>
        <v/>
      </c>
      <c r="AR2764">
        <f>MAX('01_Вводные'!$B$157*'19_Расчет_аналитики'!AR2741,'01_Вводные'!$B$156*MAX(0,'19_Расчет_аналитики'!AR2762))</f>
        <v/>
      </c>
      <c r="AS2764">
        <f>MAX('01_Вводные'!$B$157*'19_Расчет_аналитики'!AS2741,'01_Вводные'!$B$156*MAX(0,'19_Расчет_аналитики'!AS2762))</f>
        <v/>
      </c>
      <c r="AT2764">
        <f>MAX('01_Вводные'!$B$157*'19_Расчет_аналитики'!AT2741,'01_Вводные'!$B$156*MAX(0,'19_Расчет_аналитики'!AT2762))</f>
        <v/>
      </c>
      <c r="AU2764">
        <f>MAX('01_Вводные'!$B$157*'19_Расчет_аналитики'!AU2741,'01_Вводные'!$B$156*MAX(0,'19_Расчет_аналитики'!AU2762))</f>
        <v/>
      </c>
      <c r="AV2764">
        <f>MAX('01_Вводные'!$B$157*'19_Расчет_аналитики'!AV2741,'01_Вводные'!$B$156*MAX(0,'19_Расчет_аналитики'!AV2762))</f>
        <v/>
      </c>
      <c r="AW2764">
        <f>MAX('01_Вводные'!$B$157*'19_Расчет_аналитики'!AW2741,'01_Вводные'!$B$156*MAX(0,'19_Расчет_аналитики'!AW2762))</f>
        <v/>
      </c>
      <c r="AX2764">
        <f>MAX('01_Вводные'!$B$157*'19_Расчет_аналитики'!AX2741,'01_Вводные'!$B$156*MAX(0,'19_Расчет_аналитики'!AX2762))</f>
        <v/>
      </c>
      <c r="AY2764">
        <f>MAX('01_Вводные'!$B$157*'19_Расчет_аналитики'!AY2741,'01_Вводные'!$B$156*MAX(0,'19_Расчет_аналитики'!AY2762))</f>
        <v/>
      </c>
      <c r="AZ2764">
        <f>MAX('01_Вводные'!$B$157*'19_Расчет_аналитики'!AZ2741,'01_Вводные'!$B$156*MAX(0,'19_Расчет_аналитики'!AZ2762))</f>
        <v/>
      </c>
      <c r="BA2764">
        <f>MAX('01_Вводные'!$B$157*'19_Расчет_аналитики'!BA2741,'01_Вводные'!$B$156*MAX(0,'19_Расчет_аналитики'!BA2762))</f>
        <v/>
      </c>
      <c r="BB2764">
        <f>MAX('01_Вводные'!$B$157*'19_Расчет_аналитики'!BB2741,'01_Вводные'!$B$156*MAX(0,'19_Расчет_аналитики'!BB2762))</f>
        <v/>
      </c>
      <c r="BC2764">
        <f>MAX('01_Вводные'!$B$157*'19_Расчет_аналитики'!BC2741,'01_Вводные'!$B$156*MAX(0,'19_Расчет_аналитики'!BC2762))</f>
        <v/>
      </c>
      <c r="BD2764">
        <f>MAX('01_Вводные'!$B$157*'19_Расчет_аналитики'!BD2741,'01_Вводные'!$B$156*MAX(0,'19_Расчет_аналитики'!BD2762))</f>
        <v/>
      </c>
      <c r="BE2764">
        <f>MAX('01_Вводные'!$B$157*'19_Расчет_аналитики'!BE2741,'01_Вводные'!$B$156*MAX(0,'19_Расчет_аналитики'!BE2762))</f>
        <v/>
      </c>
      <c r="BF2764">
        <f>MAX('01_Вводные'!$B$157*'19_Расчет_аналитики'!BF2741,'01_Вводные'!$B$156*MAX(0,'19_Расчет_аналитики'!BF2762))</f>
        <v/>
      </c>
      <c r="BG2764">
        <f>MAX('01_Вводные'!$B$157*'19_Расчет_аналитики'!BG2741,'01_Вводные'!$B$156*MAX(0,'19_Расчет_аналитики'!BG2762))</f>
        <v/>
      </c>
      <c r="BH2764">
        <f>MAX('01_Вводные'!$B$157*'19_Расчет_аналитики'!BH2741,'01_Вводные'!$B$156*MAX(0,'19_Расчет_аналитики'!BH2762))</f>
        <v/>
      </c>
      <c r="BI2764">
        <f>MAX('01_Вводные'!$B$157*'19_Расчет_аналитики'!BI2741,'01_Вводные'!$B$156*MAX(0,'19_Расчет_аналитики'!BI2762))</f>
        <v/>
      </c>
    </row>
    <row r="2765">
      <c r="B2765">
        <f>'19_Расчет_аналитики'!B2762-'19_Расчет_аналитики'!B2764</f>
        <v/>
      </c>
      <c r="C2765">
        <f>'19_Расчет_аналитики'!C2762-'19_Расчет_аналитики'!C2764</f>
        <v/>
      </c>
      <c r="D2765">
        <f>'19_Расчет_аналитики'!D2762-'19_Расчет_аналитики'!D2764</f>
        <v/>
      </c>
      <c r="E2765">
        <f>'19_Расчет_аналитики'!E2762-'19_Расчет_аналитики'!E2764</f>
        <v/>
      </c>
      <c r="F2765">
        <f>'19_Расчет_аналитики'!F2762-'19_Расчет_аналитики'!F2764</f>
        <v/>
      </c>
      <c r="G2765">
        <f>'19_Расчет_аналитики'!G2762-'19_Расчет_аналитики'!G2764</f>
        <v/>
      </c>
      <c r="H2765">
        <f>'19_Расчет_аналитики'!H2762-'19_Расчет_аналитики'!H2764</f>
        <v/>
      </c>
      <c r="I2765">
        <f>'19_Расчет_аналитики'!I2762-'19_Расчет_аналитики'!I2764</f>
        <v/>
      </c>
      <c r="J2765">
        <f>'19_Расчет_аналитики'!J2762-'19_Расчет_аналитики'!J2764</f>
        <v/>
      </c>
      <c r="K2765">
        <f>'19_Расчет_аналитики'!K2762-'19_Расчет_аналитики'!K2764</f>
        <v/>
      </c>
      <c r="L2765">
        <f>'19_Расчет_аналитики'!L2762-'19_Расчет_аналитики'!L2764</f>
        <v/>
      </c>
      <c r="M2765">
        <f>'19_Расчет_аналитики'!M2762-'19_Расчет_аналитики'!M2764</f>
        <v/>
      </c>
      <c r="N2765">
        <f>'19_Расчет_аналитики'!N2762-'19_Расчет_аналитики'!N2764</f>
        <v/>
      </c>
      <c r="O2765">
        <f>'19_Расчет_аналитики'!O2762-'19_Расчет_аналитики'!O2764</f>
        <v/>
      </c>
      <c r="P2765">
        <f>'19_Расчет_аналитики'!P2762-'19_Расчет_аналитики'!P2764</f>
        <v/>
      </c>
      <c r="Q2765">
        <f>'19_Расчет_аналитики'!Q2762-'19_Расчет_аналитики'!Q2764</f>
        <v/>
      </c>
      <c r="R2765">
        <f>'19_Расчет_аналитики'!R2762-'19_Расчет_аналитики'!R2764</f>
        <v/>
      </c>
      <c r="S2765">
        <f>'19_Расчет_аналитики'!S2762-'19_Расчет_аналитики'!S2764</f>
        <v/>
      </c>
      <c r="T2765">
        <f>'19_Расчет_аналитики'!T2762-'19_Расчет_аналитики'!T2764</f>
        <v/>
      </c>
      <c r="U2765">
        <f>'19_Расчет_аналитики'!U2762-'19_Расчет_аналитики'!U2764</f>
        <v/>
      </c>
      <c r="V2765">
        <f>'19_Расчет_аналитики'!V2762-'19_Расчет_аналитики'!V2764</f>
        <v/>
      </c>
      <c r="W2765">
        <f>'19_Расчет_аналитики'!W2762-'19_Расчет_аналитики'!W2764</f>
        <v/>
      </c>
      <c r="X2765">
        <f>'19_Расчет_аналитики'!X2762-'19_Расчет_аналитики'!X2764</f>
        <v/>
      </c>
      <c r="Y2765">
        <f>'19_Расчет_аналитики'!Y2762-'19_Расчет_аналитики'!Y2764</f>
        <v/>
      </c>
      <c r="Z2765">
        <f>'19_Расчет_аналитики'!Z2762-'19_Расчет_аналитики'!Z2764</f>
        <v/>
      </c>
      <c r="AA2765">
        <f>'19_Расчет_аналитики'!AA2762-'19_Расчет_аналитики'!AA2764</f>
        <v/>
      </c>
      <c r="AB2765">
        <f>'19_Расчет_аналитики'!AB2762-'19_Расчет_аналитики'!AB2764</f>
        <v/>
      </c>
      <c r="AC2765">
        <f>'19_Расчет_аналитики'!AC2762-'19_Расчет_аналитики'!AC2764</f>
        <v/>
      </c>
      <c r="AD2765">
        <f>'19_Расчет_аналитики'!AD2762-'19_Расчет_аналитики'!AD2764</f>
        <v/>
      </c>
      <c r="AE2765">
        <f>'19_Расчет_аналитики'!AE2762-'19_Расчет_аналитики'!AE2764</f>
        <v/>
      </c>
      <c r="AF2765">
        <f>'19_Расчет_аналитики'!AF2762-'19_Расчет_аналитики'!AF2764</f>
        <v/>
      </c>
      <c r="AG2765">
        <f>'19_Расчет_аналитики'!AG2762-'19_Расчет_аналитики'!AG2764</f>
        <v/>
      </c>
      <c r="AH2765">
        <f>'19_Расчет_аналитики'!AH2762-'19_Расчет_аналитики'!AH2764</f>
        <v/>
      </c>
      <c r="AI2765">
        <f>'19_Расчет_аналитики'!AI2762-'19_Расчет_аналитики'!AI2764</f>
        <v/>
      </c>
      <c r="AJ2765">
        <f>'19_Расчет_аналитики'!AJ2762-'19_Расчет_аналитики'!AJ2764</f>
        <v/>
      </c>
      <c r="AK2765">
        <f>'19_Расчет_аналитики'!AK2762-'19_Расчет_аналитики'!AK2764</f>
        <v/>
      </c>
      <c r="AL2765">
        <f>'19_Расчет_аналитики'!AL2762-'19_Расчет_аналитики'!AL2764</f>
        <v/>
      </c>
      <c r="AM2765">
        <f>'19_Расчет_аналитики'!AM2762-'19_Расчет_аналитики'!AM2764</f>
        <v/>
      </c>
      <c r="AN2765">
        <f>'19_Расчет_аналитики'!AN2762-'19_Расчет_аналитики'!AN2764</f>
        <v/>
      </c>
      <c r="AO2765">
        <f>'19_Расчет_аналитики'!AO2762-'19_Расчет_аналитики'!AO2764</f>
        <v/>
      </c>
      <c r="AP2765">
        <f>'19_Расчет_аналитики'!AP2762-'19_Расчет_аналитики'!AP2764</f>
        <v/>
      </c>
      <c r="AQ2765">
        <f>'19_Расчет_аналитики'!AQ2762-'19_Расчет_аналитики'!AQ2764</f>
        <v/>
      </c>
      <c r="AR2765">
        <f>'19_Расчет_аналитики'!AR2762-'19_Расчет_аналитики'!AR2764</f>
        <v/>
      </c>
      <c r="AS2765">
        <f>'19_Расчет_аналитики'!AS2762-'19_Расчет_аналитики'!AS2764</f>
        <v/>
      </c>
      <c r="AT2765">
        <f>'19_Расчет_аналитики'!AT2762-'19_Расчет_аналитики'!AT2764</f>
        <v/>
      </c>
      <c r="AU2765">
        <f>'19_Расчет_аналитики'!AU2762-'19_Расчет_аналитики'!AU2764</f>
        <v/>
      </c>
      <c r="AV2765">
        <f>'19_Расчет_аналитики'!AV2762-'19_Расчет_аналитики'!AV2764</f>
        <v/>
      </c>
      <c r="AW2765">
        <f>'19_Расчет_аналитики'!AW2762-'19_Расчет_аналитики'!AW2764</f>
        <v/>
      </c>
      <c r="AX2765">
        <f>'19_Расчет_аналитики'!AX2762-'19_Расчет_аналитики'!AX2764</f>
        <v/>
      </c>
      <c r="AY2765">
        <f>'19_Расчет_аналитики'!AY2762-'19_Расчет_аналитики'!AY2764</f>
        <v/>
      </c>
      <c r="AZ2765">
        <f>'19_Расчет_аналитики'!AZ2762-'19_Расчет_аналитики'!AZ2764</f>
        <v/>
      </c>
      <c r="BA2765">
        <f>'19_Расчет_аналитики'!BA2762-'19_Расчет_аналитики'!BA2764</f>
        <v/>
      </c>
      <c r="BB2765">
        <f>'19_Расчет_аналитики'!BB2762-'19_Расчет_аналитики'!BB2764</f>
        <v/>
      </c>
      <c r="BC2765">
        <f>'19_Расчет_аналитики'!BC2762-'19_Расчет_аналитики'!BC2764</f>
        <v/>
      </c>
      <c r="BD2765">
        <f>'19_Расчет_аналитики'!BD2762-'19_Расчет_аналитики'!BD2764</f>
        <v/>
      </c>
      <c r="BE2765">
        <f>'19_Расчет_аналитики'!BE2762-'19_Расчет_аналитики'!BE2764</f>
        <v/>
      </c>
      <c r="BF2765">
        <f>'19_Расчет_аналитики'!BF2762-'19_Расчет_аналитики'!BF2764</f>
        <v/>
      </c>
      <c r="BG2765">
        <f>'19_Расчет_аналитики'!BG2762-'19_Расчет_аналитики'!BG2764</f>
        <v/>
      </c>
      <c r="BH2765">
        <f>'19_Расчет_аналитики'!BH2762-'19_Расчет_аналитики'!BH2764</f>
        <v/>
      </c>
      <c r="BI2765">
        <f>'19_Расчет_аналитики'!BI2762-'19_Расчет_аналитики'!BI2764</f>
        <v/>
      </c>
    </row>
    <row r="2766"/>
    <row r="2767"/>
    <row r="2768"/>
    <row r="2769">
      <c r="C2769">
        <f>'19_Расчет_аналитики'!B2790</f>
        <v/>
      </c>
      <c r="D2769">
        <f>'19_Расчет_аналитики'!C2790</f>
        <v/>
      </c>
      <c r="E2769">
        <f>'19_Расчет_аналитики'!D2790</f>
        <v/>
      </c>
      <c r="F2769">
        <f>'19_Расчет_аналитики'!E2790</f>
        <v/>
      </c>
      <c r="G2769">
        <f>'19_Расчет_аналитики'!F2790</f>
        <v/>
      </c>
      <c r="H2769">
        <f>'19_Расчет_аналитики'!G2790</f>
        <v/>
      </c>
      <c r="I2769">
        <f>'19_Расчет_аналитики'!H2790</f>
        <v/>
      </c>
      <c r="J2769">
        <f>'19_Расчет_аналитики'!I2790</f>
        <v/>
      </c>
      <c r="K2769">
        <f>'19_Расчет_аналитики'!J2790</f>
        <v/>
      </c>
      <c r="L2769">
        <f>'19_Расчет_аналитики'!K2790</f>
        <v/>
      </c>
      <c r="M2769">
        <f>'19_Расчет_аналитики'!L2790</f>
        <v/>
      </c>
      <c r="N2769">
        <f>'19_Расчет_аналитики'!M2790</f>
        <v/>
      </c>
      <c r="O2769">
        <f>'19_Расчет_аналитики'!N2790</f>
        <v/>
      </c>
      <c r="P2769">
        <f>'19_Расчет_аналитики'!O2790</f>
        <v/>
      </c>
      <c r="Q2769">
        <f>'19_Расчет_аналитики'!P2790</f>
        <v/>
      </c>
      <c r="R2769">
        <f>'19_Расчет_аналитики'!Q2790</f>
        <v/>
      </c>
      <c r="S2769">
        <f>'19_Расчет_аналитики'!R2790</f>
        <v/>
      </c>
      <c r="T2769">
        <f>'19_Расчет_аналитики'!S2790</f>
        <v/>
      </c>
      <c r="U2769">
        <f>'19_Расчет_аналитики'!T2790</f>
        <v/>
      </c>
      <c r="V2769">
        <f>'19_Расчет_аналитики'!U2790</f>
        <v/>
      </c>
      <c r="W2769">
        <f>'19_Расчет_аналитики'!V2790</f>
        <v/>
      </c>
      <c r="X2769">
        <f>'19_Расчет_аналитики'!W2790</f>
        <v/>
      </c>
      <c r="Y2769">
        <f>'19_Расчет_аналитики'!X2790</f>
        <v/>
      </c>
      <c r="Z2769">
        <f>'19_Расчет_аналитики'!Y2790</f>
        <v/>
      </c>
      <c r="AA2769">
        <f>'19_Расчет_аналитики'!Z2790</f>
        <v/>
      </c>
      <c r="AB2769">
        <f>'19_Расчет_аналитики'!AA2790</f>
        <v/>
      </c>
      <c r="AC2769">
        <f>'19_Расчет_аналитики'!AB2790</f>
        <v/>
      </c>
      <c r="AD2769">
        <f>'19_Расчет_аналитики'!AC2790</f>
        <v/>
      </c>
      <c r="AE2769">
        <f>'19_Расчет_аналитики'!AD2790</f>
        <v/>
      </c>
      <c r="AF2769">
        <f>'19_Расчет_аналитики'!AE2790</f>
        <v/>
      </c>
      <c r="AG2769">
        <f>'19_Расчет_аналитики'!AF2790</f>
        <v/>
      </c>
      <c r="AH2769">
        <f>'19_Расчет_аналитики'!AG2790</f>
        <v/>
      </c>
      <c r="AI2769">
        <f>'19_Расчет_аналитики'!AH2790</f>
        <v/>
      </c>
      <c r="AJ2769">
        <f>'19_Расчет_аналитики'!AI2790</f>
        <v/>
      </c>
      <c r="AK2769">
        <f>'19_Расчет_аналитики'!AJ2790</f>
        <v/>
      </c>
      <c r="AL2769">
        <f>'19_Расчет_аналитики'!AK2790</f>
        <v/>
      </c>
      <c r="AM2769">
        <f>'19_Расчет_аналитики'!AL2790</f>
        <v/>
      </c>
      <c r="AN2769">
        <f>'19_Расчет_аналитики'!AM2790</f>
        <v/>
      </c>
      <c r="AO2769">
        <f>'19_Расчет_аналитики'!AN2790</f>
        <v/>
      </c>
      <c r="AP2769">
        <f>'19_Расчет_аналитики'!AO2790</f>
        <v/>
      </c>
      <c r="AQ2769">
        <f>'19_Расчет_аналитики'!AP2790</f>
        <v/>
      </c>
      <c r="AR2769">
        <f>'19_Расчет_аналитики'!AQ2790</f>
        <v/>
      </c>
      <c r="AS2769">
        <f>'19_Расчет_аналитики'!AR2790</f>
        <v/>
      </c>
      <c r="AT2769">
        <f>'19_Расчет_аналитики'!AS2790</f>
        <v/>
      </c>
      <c r="AU2769">
        <f>'19_Расчет_аналитики'!AT2790</f>
        <v/>
      </c>
      <c r="AV2769">
        <f>'19_Расчет_аналитики'!AU2790</f>
        <v/>
      </c>
      <c r="AW2769">
        <f>'19_Расчет_аналитики'!AV2790</f>
        <v/>
      </c>
      <c r="AX2769">
        <f>'19_Расчет_аналитики'!AW2790</f>
        <v/>
      </c>
      <c r="AY2769">
        <f>'19_Расчет_аналитики'!AX2790</f>
        <v/>
      </c>
      <c r="AZ2769">
        <f>'19_Расчет_аналитики'!AY2790</f>
        <v/>
      </c>
      <c r="BA2769">
        <f>'19_Расчет_аналитики'!AZ2790</f>
        <v/>
      </c>
      <c r="BB2769">
        <f>'19_Расчет_аналитики'!BA2790</f>
        <v/>
      </c>
      <c r="BC2769">
        <f>'19_Расчет_аналитики'!BB2790</f>
        <v/>
      </c>
      <c r="BD2769">
        <f>'19_Расчет_аналитики'!BC2790</f>
        <v/>
      </c>
      <c r="BE2769">
        <f>'19_Расчет_аналитики'!BD2790</f>
        <v/>
      </c>
      <c r="BF2769">
        <f>'19_Расчет_аналитики'!BE2790</f>
        <v/>
      </c>
      <c r="BG2769">
        <f>'19_Расчет_аналитики'!BF2790</f>
        <v/>
      </c>
      <c r="BH2769">
        <f>'19_Расчет_аналитики'!BG2790</f>
        <v/>
      </c>
      <c r="BI2769">
        <f>'19_Расчет_аналитики'!BH2790</f>
        <v/>
      </c>
    </row>
    <row r="2770">
      <c r="B2770">
        <f>'02_Модель'!B52</f>
        <v/>
      </c>
      <c r="C2770">
        <f>'19_Расчет_аналитики'!C2372</f>
        <v/>
      </c>
      <c r="D2770">
        <f>'19_Расчет_аналитики'!D2372</f>
        <v/>
      </c>
      <c r="E2770">
        <f>'19_Расчет_аналитики'!E2372</f>
        <v/>
      </c>
      <c r="F2770">
        <f>'19_Расчет_аналитики'!F2372</f>
        <v/>
      </c>
      <c r="G2770">
        <f>'19_Расчет_аналитики'!G2372</f>
        <v/>
      </c>
      <c r="H2770">
        <f>'19_Расчет_аналитики'!H2372</f>
        <v/>
      </c>
      <c r="I2770">
        <f>'19_Расчет_аналитики'!I2372</f>
        <v/>
      </c>
      <c r="J2770">
        <f>'19_Расчет_аналитики'!J2372</f>
        <v/>
      </c>
      <c r="K2770">
        <f>'19_Расчет_аналитики'!K2372</f>
        <v/>
      </c>
      <c r="L2770">
        <f>'19_Расчет_аналитики'!L2372</f>
        <v/>
      </c>
      <c r="M2770">
        <f>'19_Расчет_аналитики'!M2372</f>
        <v/>
      </c>
      <c r="N2770">
        <f>'19_Расчет_аналитики'!N2372</f>
        <v/>
      </c>
      <c r="O2770">
        <f>'19_Расчет_аналитики'!O2372</f>
        <v/>
      </c>
      <c r="P2770">
        <f>'19_Расчет_аналитики'!P2372</f>
        <v/>
      </c>
      <c r="Q2770">
        <f>'19_Расчет_аналитики'!Q2372</f>
        <v/>
      </c>
      <c r="R2770">
        <f>'19_Расчет_аналитики'!R2372</f>
        <v/>
      </c>
      <c r="S2770">
        <f>'19_Расчет_аналитики'!S2372</f>
        <v/>
      </c>
      <c r="T2770">
        <f>'19_Расчет_аналитики'!T2372</f>
        <v/>
      </c>
      <c r="U2770">
        <f>'19_Расчет_аналитики'!U2372</f>
        <v/>
      </c>
      <c r="V2770">
        <f>'19_Расчет_аналитики'!V2372</f>
        <v/>
      </c>
      <c r="W2770">
        <f>'19_Расчет_аналитики'!W2372</f>
        <v/>
      </c>
      <c r="X2770">
        <f>'19_Расчет_аналитики'!X2372</f>
        <v/>
      </c>
      <c r="Y2770">
        <f>'19_Расчет_аналитики'!Y2372</f>
        <v/>
      </c>
      <c r="Z2770">
        <f>'19_Расчет_аналитики'!Z2372</f>
        <v/>
      </c>
      <c r="AA2770">
        <f>'19_Расчет_аналитики'!AA2372</f>
        <v/>
      </c>
      <c r="AB2770">
        <f>'19_Расчет_аналитики'!AB2372</f>
        <v/>
      </c>
      <c r="AC2770">
        <f>'19_Расчет_аналитики'!AC2372</f>
        <v/>
      </c>
      <c r="AD2770">
        <f>'19_Расчет_аналитики'!AD2372</f>
        <v/>
      </c>
      <c r="AE2770">
        <f>'19_Расчет_аналитики'!AE2372</f>
        <v/>
      </c>
      <c r="AF2770">
        <f>'19_Расчет_аналитики'!AF2372</f>
        <v/>
      </c>
      <c r="AG2770">
        <f>'19_Расчет_аналитики'!AG2372</f>
        <v/>
      </c>
      <c r="AH2770">
        <f>'19_Расчет_аналитики'!AH2372</f>
        <v/>
      </c>
      <c r="AI2770">
        <f>'19_Расчет_аналитики'!AI2372</f>
        <v/>
      </c>
      <c r="AJ2770">
        <f>'19_Расчет_аналитики'!AJ2372</f>
        <v/>
      </c>
      <c r="AK2770">
        <f>'19_Расчет_аналитики'!AK2372</f>
        <v/>
      </c>
      <c r="AL2770">
        <f>'19_Расчет_аналитики'!AL2372</f>
        <v/>
      </c>
      <c r="AM2770">
        <f>'19_Расчет_аналитики'!AM2372</f>
        <v/>
      </c>
      <c r="AN2770">
        <f>'19_Расчет_аналитики'!AN2372</f>
        <v/>
      </c>
      <c r="AO2770">
        <f>'19_Расчет_аналитики'!AO2372</f>
        <v/>
      </c>
      <c r="AP2770">
        <f>'19_Расчет_аналитики'!AP2372</f>
        <v/>
      </c>
      <c r="AQ2770">
        <f>'19_Расчет_аналитики'!AQ2372</f>
        <v/>
      </c>
      <c r="AR2770">
        <f>'19_Расчет_аналитики'!AR2372</f>
        <v/>
      </c>
      <c r="AS2770">
        <f>'19_Расчет_аналитики'!AS2372</f>
        <v/>
      </c>
      <c r="AT2770">
        <f>'19_Расчет_аналитики'!AT2372</f>
        <v/>
      </c>
      <c r="AU2770">
        <f>'19_Расчет_аналитики'!AU2372</f>
        <v/>
      </c>
      <c r="AV2770">
        <f>'19_Расчет_аналитики'!AV2372</f>
        <v/>
      </c>
      <c r="AW2770">
        <f>'19_Расчет_аналитики'!AW2372</f>
        <v/>
      </c>
      <c r="AX2770">
        <f>'19_Расчет_аналитики'!AX2372</f>
        <v/>
      </c>
      <c r="AY2770">
        <f>'19_Расчет_аналитики'!AY2372</f>
        <v/>
      </c>
      <c r="AZ2770">
        <f>'19_Расчет_аналитики'!AZ2372</f>
        <v/>
      </c>
      <c r="BA2770">
        <f>'19_Расчет_аналитики'!BA2372</f>
        <v/>
      </c>
      <c r="BB2770">
        <f>'19_Расчет_аналитики'!BB2372</f>
        <v/>
      </c>
      <c r="BC2770">
        <f>'19_Расчет_аналитики'!BC2372</f>
        <v/>
      </c>
      <c r="BD2770">
        <f>'19_Расчет_аналитики'!BD2372</f>
        <v/>
      </c>
      <c r="BE2770">
        <f>'19_Расчет_аналитики'!BE2372</f>
        <v/>
      </c>
      <c r="BF2770">
        <f>'19_Расчет_аналитики'!BF2372</f>
        <v/>
      </c>
      <c r="BG2770">
        <f>'19_Расчет_аналитики'!BG2372</f>
        <v/>
      </c>
      <c r="BH2770">
        <f>'19_Расчет_аналитики'!BH2372</f>
        <v/>
      </c>
      <c r="BI2770">
        <f>'19_Расчет_аналитики'!BI2372</f>
        <v/>
      </c>
    </row>
    <row r="2771">
      <c r="B2771">
        <f>'19_Расчет_аналитики'!$B$2056*('19_Расчет_аналитики'!B2737+'19_Расчет_аналитики'!B2738)*(1+'01_Вводные'!$B$58)+(1-'19_Расчет_аналитики'!$B$2056)*0</f>
        <v/>
      </c>
      <c r="C2771">
        <f>'19_Расчет_аналитики'!$B$2056*('19_Расчет_аналитики'!C2737+'19_Расчет_аналитики'!C2738)*(1+'01_Вводные'!$B$58)+(1-'19_Расчет_аналитики'!$B$2056)*('19_Расчет_аналитики'!B2737+'19_Расчет_аналитики'!B2738)*(1+'01_Вводные'!$B$58)</f>
        <v/>
      </c>
      <c r="D2771">
        <f>'19_Расчет_аналитики'!$B$2056*('19_Расчет_аналитики'!D2737+'19_Расчет_аналитики'!D2738)*(1+'01_Вводные'!$B$58)+(1-'19_Расчет_аналитики'!$B$2056)*('19_Расчет_аналитики'!C2737+'19_Расчет_аналитики'!C2738)*(1+'01_Вводные'!$B$58)</f>
        <v/>
      </c>
      <c r="E2771">
        <f>'19_Расчет_аналитики'!$B$2056*('19_Расчет_аналитики'!E2737+'19_Расчет_аналитики'!E2738)*(1+'01_Вводные'!$B$58)+(1-'19_Расчет_аналитики'!$B$2056)*('19_Расчет_аналитики'!D2737+'19_Расчет_аналитики'!D2738)*(1+'01_Вводные'!$B$58)</f>
        <v/>
      </c>
      <c r="F2771">
        <f>'19_Расчет_аналитики'!$B$2056*('19_Расчет_аналитики'!F2737+'19_Расчет_аналитики'!F2738)*(1+'01_Вводные'!$B$58)+(1-'19_Расчет_аналитики'!$B$2056)*('19_Расчет_аналитики'!E2737+'19_Расчет_аналитики'!E2738)*(1+'01_Вводные'!$B$58)</f>
        <v/>
      </c>
      <c r="G2771">
        <f>'19_Расчет_аналитики'!$B$2056*('19_Расчет_аналитики'!G2737+'19_Расчет_аналитики'!G2738)*(1+'01_Вводные'!$B$58)+(1-'19_Расчет_аналитики'!$B$2056)*('19_Расчет_аналитики'!F2737+'19_Расчет_аналитики'!F2738)*(1+'01_Вводные'!$B$58)</f>
        <v/>
      </c>
      <c r="H2771">
        <f>'19_Расчет_аналитики'!$B$2056*('19_Расчет_аналитики'!H2737+'19_Расчет_аналитики'!H2738)*(1+'01_Вводные'!$B$58)+(1-'19_Расчет_аналитики'!$B$2056)*('19_Расчет_аналитики'!G2737+'19_Расчет_аналитики'!G2738)*(1+'01_Вводные'!$B$58)</f>
        <v/>
      </c>
      <c r="I2771">
        <f>'19_Расчет_аналитики'!$B$2056*('19_Расчет_аналитики'!I2737+'19_Расчет_аналитики'!I2738)*(1+'01_Вводные'!$B$58)+(1-'19_Расчет_аналитики'!$B$2056)*('19_Расчет_аналитики'!H2737+'19_Расчет_аналитики'!H2738)*(1+'01_Вводные'!$B$58)</f>
        <v/>
      </c>
      <c r="J2771">
        <f>'19_Расчет_аналитики'!$B$2056*('19_Расчет_аналитики'!J2737+'19_Расчет_аналитики'!J2738)*(1+'01_Вводные'!$B$58)+(1-'19_Расчет_аналитики'!$B$2056)*('19_Расчет_аналитики'!I2737+'19_Расчет_аналитики'!I2738)*(1+'01_Вводные'!$B$58)</f>
        <v/>
      </c>
      <c r="K2771">
        <f>'19_Расчет_аналитики'!$B$2056*('19_Расчет_аналитики'!K2737+'19_Расчет_аналитики'!K2738)*(1+'01_Вводные'!$B$58)+(1-'19_Расчет_аналитики'!$B$2056)*('19_Расчет_аналитики'!J2737+'19_Расчет_аналитики'!J2738)*(1+'01_Вводные'!$B$58)</f>
        <v/>
      </c>
      <c r="L2771">
        <f>'19_Расчет_аналитики'!$B$2056*('19_Расчет_аналитики'!L2737+'19_Расчет_аналитики'!L2738)*(1+'01_Вводные'!$B$58)+(1-'19_Расчет_аналитики'!$B$2056)*('19_Расчет_аналитики'!K2737+'19_Расчет_аналитики'!K2738)*(1+'01_Вводные'!$B$58)</f>
        <v/>
      </c>
      <c r="M2771">
        <f>'19_Расчет_аналитики'!$B$2056*('19_Расчет_аналитики'!M2737+'19_Расчет_аналитики'!M2738)*(1+'01_Вводные'!$B$58)+(1-'19_Расчет_аналитики'!$B$2056)*('19_Расчет_аналитики'!L2737+'19_Расчет_аналитики'!L2738)*(1+'01_Вводные'!$B$58)</f>
        <v/>
      </c>
      <c r="N2771">
        <f>'19_Расчет_аналитики'!$B$2056*('19_Расчет_аналитики'!N2737+'19_Расчет_аналитики'!N2738)*(1+'01_Вводные'!$B$58)+(1-'19_Расчет_аналитики'!$B$2056)*('19_Расчет_аналитики'!M2737+'19_Расчет_аналитики'!M2738)*(1+'01_Вводные'!$B$58)</f>
        <v/>
      </c>
      <c r="O2771">
        <f>'19_Расчет_аналитики'!$B$2056*('19_Расчет_аналитики'!O2737+'19_Расчет_аналитики'!O2738)*(1+'01_Вводные'!$B$58)+(1-'19_Расчет_аналитики'!$B$2056)*('19_Расчет_аналитики'!N2737+'19_Расчет_аналитики'!N2738)*(1+'01_Вводные'!$B$58)</f>
        <v/>
      </c>
      <c r="P2771">
        <f>'19_Расчет_аналитики'!$B$2056*('19_Расчет_аналитики'!P2737+'19_Расчет_аналитики'!P2738)*(1+'01_Вводные'!$B$58)+(1-'19_Расчет_аналитики'!$B$2056)*('19_Расчет_аналитики'!O2737+'19_Расчет_аналитики'!O2738)*(1+'01_Вводные'!$B$58)</f>
        <v/>
      </c>
      <c r="Q2771">
        <f>'19_Расчет_аналитики'!$B$2056*('19_Расчет_аналитики'!Q2737+'19_Расчет_аналитики'!Q2738)*(1+'01_Вводные'!$B$58)+(1-'19_Расчет_аналитики'!$B$2056)*('19_Расчет_аналитики'!P2737+'19_Расчет_аналитики'!P2738)*(1+'01_Вводные'!$B$58)</f>
        <v/>
      </c>
      <c r="R2771">
        <f>'19_Расчет_аналитики'!$B$2056*('19_Расчет_аналитики'!R2737+'19_Расчет_аналитики'!R2738)*(1+'01_Вводные'!$B$58)+(1-'19_Расчет_аналитики'!$B$2056)*('19_Расчет_аналитики'!Q2737+'19_Расчет_аналитики'!Q2738)*(1+'01_Вводные'!$B$58)</f>
        <v/>
      </c>
      <c r="S2771">
        <f>'19_Расчет_аналитики'!$B$2056*('19_Расчет_аналитики'!S2737+'19_Расчет_аналитики'!S2738)*(1+'01_Вводные'!$B$58)+(1-'19_Расчет_аналитики'!$B$2056)*('19_Расчет_аналитики'!R2737+'19_Расчет_аналитики'!R2738)*(1+'01_Вводные'!$B$58)</f>
        <v/>
      </c>
      <c r="T2771">
        <f>'19_Расчет_аналитики'!$B$2056*('19_Расчет_аналитики'!T2737+'19_Расчет_аналитики'!T2738)*(1+'01_Вводные'!$B$58)+(1-'19_Расчет_аналитики'!$B$2056)*('19_Расчет_аналитики'!S2737+'19_Расчет_аналитики'!S2738)*(1+'01_Вводные'!$B$58)</f>
        <v/>
      </c>
      <c r="U2771">
        <f>'19_Расчет_аналитики'!$B$2056*('19_Расчет_аналитики'!U2737+'19_Расчет_аналитики'!U2738)*(1+'01_Вводные'!$B$58)+(1-'19_Расчет_аналитики'!$B$2056)*('19_Расчет_аналитики'!T2737+'19_Расчет_аналитики'!T2738)*(1+'01_Вводные'!$B$58)</f>
        <v/>
      </c>
      <c r="V2771">
        <f>'19_Расчет_аналитики'!$B$2056*('19_Расчет_аналитики'!V2737+'19_Расчет_аналитики'!V2738)*(1+'01_Вводные'!$B$58)+(1-'19_Расчет_аналитики'!$B$2056)*('19_Расчет_аналитики'!U2737+'19_Расчет_аналитики'!U2738)*(1+'01_Вводные'!$B$58)</f>
        <v/>
      </c>
      <c r="W2771">
        <f>'19_Расчет_аналитики'!$B$2056*('19_Расчет_аналитики'!W2737+'19_Расчет_аналитики'!W2738)*(1+'01_Вводные'!$B$58)+(1-'19_Расчет_аналитики'!$B$2056)*('19_Расчет_аналитики'!V2737+'19_Расчет_аналитики'!V2738)*(1+'01_Вводные'!$B$58)</f>
        <v/>
      </c>
      <c r="X2771">
        <f>'19_Расчет_аналитики'!$B$2056*('19_Расчет_аналитики'!X2737+'19_Расчет_аналитики'!X2738)*(1+'01_Вводные'!$B$58)+(1-'19_Расчет_аналитики'!$B$2056)*('19_Расчет_аналитики'!W2737+'19_Расчет_аналитики'!W2738)*(1+'01_Вводные'!$B$58)</f>
        <v/>
      </c>
      <c r="Y2771">
        <f>'19_Расчет_аналитики'!$B$2056*('19_Расчет_аналитики'!Y2737+'19_Расчет_аналитики'!Y2738)*(1+'01_Вводные'!$B$58)+(1-'19_Расчет_аналитики'!$B$2056)*('19_Расчет_аналитики'!X2737+'19_Расчет_аналитики'!X2738)*(1+'01_Вводные'!$B$58)</f>
        <v/>
      </c>
      <c r="Z2771">
        <f>'19_Расчет_аналитики'!$B$2056*('19_Расчет_аналитики'!Z2737+'19_Расчет_аналитики'!Z2738)*(1+'01_Вводные'!$B$58)+(1-'19_Расчет_аналитики'!$B$2056)*('19_Расчет_аналитики'!Y2737+'19_Расчет_аналитики'!Y2738)*(1+'01_Вводные'!$B$58)</f>
        <v/>
      </c>
      <c r="AA2771">
        <f>'19_Расчет_аналитики'!$B$2056*('19_Расчет_аналитики'!AA2737+'19_Расчет_аналитики'!AA2738)*(1+'01_Вводные'!$B$58)+(1-'19_Расчет_аналитики'!$B$2056)*('19_Расчет_аналитики'!Z2737+'19_Расчет_аналитики'!Z2738)*(1+'01_Вводные'!$B$58)</f>
        <v/>
      </c>
      <c r="AB2771">
        <f>'19_Расчет_аналитики'!$B$2056*('19_Расчет_аналитики'!AB2737+'19_Расчет_аналитики'!AB2738)*(1+'01_Вводные'!$B$58)+(1-'19_Расчет_аналитики'!$B$2056)*('19_Расчет_аналитики'!AA2737+'19_Расчет_аналитики'!AA2738)*(1+'01_Вводные'!$B$58)</f>
        <v/>
      </c>
      <c r="AC2771">
        <f>'19_Расчет_аналитики'!$B$2056*('19_Расчет_аналитики'!AC2737+'19_Расчет_аналитики'!AC2738)*(1+'01_Вводные'!$B$58)+(1-'19_Расчет_аналитики'!$B$2056)*('19_Расчет_аналитики'!AB2737+'19_Расчет_аналитики'!AB2738)*(1+'01_Вводные'!$B$58)</f>
        <v/>
      </c>
      <c r="AD2771">
        <f>'19_Расчет_аналитики'!$B$2056*('19_Расчет_аналитики'!AD2737+'19_Расчет_аналитики'!AD2738)*(1+'01_Вводные'!$B$58)+(1-'19_Расчет_аналитики'!$B$2056)*('19_Расчет_аналитики'!AC2737+'19_Расчет_аналитики'!AC2738)*(1+'01_Вводные'!$B$58)</f>
        <v/>
      </c>
      <c r="AE2771">
        <f>'19_Расчет_аналитики'!$B$2056*('19_Расчет_аналитики'!AE2737+'19_Расчет_аналитики'!AE2738)*(1+'01_Вводные'!$B$58)+(1-'19_Расчет_аналитики'!$B$2056)*('19_Расчет_аналитики'!AD2737+'19_Расчет_аналитики'!AD2738)*(1+'01_Вводные'!$B$58)</f>
        <v/>
      </c>
      <c r="AF2771">
        <f>'19_Расчет_аналитики'!$B$2056*('19_Расчет_аналитики'!AF2737+'19_Расчет_аналитики'!AF2738)*(1+'01_Вводные'!$B$58)+(1-'19_Расчет_аналитики'!$B$2056)*('19_Расчет_аналитики'!AE2737+'19_Расчет_аналитики'!AE2738)*(1+'01_Вводные'!$B$58)</f>
        <v/>
      </c>
      <c r="AG2771">
        <f>'19_Расчет_аналитики'!$B$2056*('19_Расчет_аналитики'!AG2737+'19_Расчет_аналитики'!AG2738)*(1+'01_Вводные'!$B$58)+(1-'19_Расчет_аналитики'!$B$2056)*('19_Расчет_аналитики'!AF2737+'19_Расчет_аналитики'!AF2738)*(1+'01_Вводные'!$B$58)</f>
        <v/>
      </c>
      <c r="AH2771">
        <f>'19_Расчет_аналитики'!$B$2056*('19_Расчет_аналитики'!AH2737+'19_Расчет_аналитики'!AH2738)*(1+'01_Вводные'!$B$58)+(1-'19_Расчет_аналитики'!$B$2056)*('19_Расчет_аналитики'!AG2737+'19_Расчет_аналитики'!AG2738)*(1+'01_Вводные'!$B$58)</f>
        <v/>
      </c>
      <c r="AI2771">
        <f>'19_Расчет_аналитики'!$B$2056*('19_Расчет_аналитики'!AI2737+'19_Расчет_аналитики'!AI2738)*(1+'01_Вводные'!$B$58)+(1-'19_Расчет_аналитики'!$B$2056)*('19_Расчет_аналитики'!AH2737+'19_Расчет_аналитики'!AH2738)*(1+'01_Вводные'!$B$58)</f>
        <v/>
      </c>
      <c r="AJ2771">
        <f>'19_Расчет_аналитики'!$B$2056*('19_Расчет_аналитики'!AJ2737+'19_Расчет_аналитики'!AJ2738)*(1+'01_Вводные'!$B$58)+(1-'19_Расчет_аналитики'!$B$2056)*('19_Расчет_аналитики'!AI2737+'19_Расчет_аналитики'!AI2738)*(1+'01_Вводные'!$B$58)</f>
        <v/>
      </c>
      <c r="AK2771">
        <f>'19_Расчет_аналитики'!$B$2056*('19_Расчет_аналитики'!AK2737+'19_Расчет_аналитики'!AK2738)*(1+'01_Вводные'!$B$58)+(1-'19_Расчет_аналитики'!$B$2056)*('19_Расчет_аналитики'!AJ2737+'19_Расчет_аналитики'!AJ2738)*(1+'01_Вводные'!$B$58)</f>
        <v/>
      </c>
      <c r="AL2771">
        <f>'19_Расчет_аналитики'!$B$2056*('19_Расчет_аналитики'!AL2737+'19_Расчет_аналитики'!AL2738)*(1+'01_Вводные'!$B$58)+(1-'19_Расчет_аналитики'!$B$2056)*('19_Расчет_аналитики'!AK2737+'19_Расчет_аналитики'!AK2738)*(1+'01_Вводные'!$B$58)</f>
        <v/>
      </c>
      <c r="AM2771">
        <f>'19_Расчет_аналитики'!$B$2056*('19_Расчет_аналитики'!AM2737+'19_Расчет_аналитики'!AM2738)*(1+'01_Вводные'!$B$58)+(1-'19_Расчет_аналитики'!$B$2056)*('19_Расчет_аналитики'!AL2737+'19_Расчет_аналитики'!AL2738)*(1+'01_Вводные'!$B$58)</f>
        <v/>
      </c>
      <c r="AN2771">
        <f>'19_Расчет_аналитики'!$B$2056*('19_Расчет_аналитики'!AN2737+'19_Расчет_аналитики'!AN2738)*(1+'01_Вводные'!$B$58)+(1-'19_Расчет_аналитики'!$B$2056)*('19_Расчет_аналитики'!AM2737+'19_Расчет_аналитики'!AM2738)*(1+'01_Вводные'!$B$58)</f>
        <v/>
      </c>
      <c r="AO2771">
        <f>'19_Расчет_аналитики'!$B$2056*('19_Расчет_аналитики'!AO2737+'19_Расчет_аналитики'!AO2738)*(1+'01_Вводные'!$B$58)+(1-'19_Расчет_аналитики'!$B$2056)*('19_Расчет_аналитики'!AN2737+'19_Расчет_аналитики'!AN2738)*(1+'01_Вводные'!$B$58)</f>
        <v/>
      </c>
      <c r="AP2771">
        <f>'19_Расчет_аналитики'!$B$2056*('19_Расчет_аналитики'!AP2737+'19_Расчет_аналитики'!AP2738)*(1+'01_Вводные'!$B$58)+(1-'19_Расчет_аналитики'!$B$2056)*('19_Расчет_аналитики'!AO2737+'19_Расчет_аналитики'!AO2738)*(1+'01_Вводные'!$B$58)</f>
        <v/>
      </c>
      <c r="AQ2771">
        <f>'19_Расчет_аналитики'!$B$2056*('19_Расчет_аналитики'!AQ2737+'19_Расчет_аналитики'!AQ2738)*(1+'01_Вводные'!$B$58)+(1-'19_Расчет_аналитики'!$B$2056)*('19_Расчет_аналитики'!AP2737+'19_Расчет_аналитики'!AP2738)*(1+'01_Вводные'!$B$58)</f>
        <v/>
      </c>
      <c r="AR2771">
        <f>'19_Расчет_аналитики'!$B$2056*('19_Расчет_аналитики'!AR2737+'19_Расчет_аналитики'!AR2738)*(1+'01_Вводные'!$B$58)+(1-'19_Расчет_аналитики'!$B$2056)*('19_Расчет_аналитики'!AQ2737+'19_Расчет_аналитики'!AQ2738)*(1+'01_Вводные'!$B$58)</f>
        <v/>
      </c>
      <c r="AS2771">
        <f>'19_Расчет_аналитики'!$B$2056*('19_Расчет_аналитики'!AS2737+'19_Расчет_аналитики'!AS2738)*(1+'01_Вводные'!$B$58)+(1-'19_Расчет_аналитики'!$B$2056)*('19_Расчет_аналитики'!AR2737+'19_Расчет_аналитики'!AR2738)*(1+'01_Вводные'!$B$58)</f>
        <v/>
      </c>
      <c r="AT2771">
        <f>'19_Расчет_аналитики'!$B$2056*('19_Расчет_аналитики'!AT2737+'19_Расчет_аналитики'!AT2738)*(1+'01_Вводные'!$B$58)+(1-'19_Расчет_аналитики'!$B$2056)*('19_Расчет_аналитики'!AS2737+'19_Расчет_аналитики'!AS2738)*(1+'01_Вводные'!$B$58)</f>
        <v/>
      </c>
      <c r="AU2771">
        <f>'19_Расчет_аналитики'!$B$2056*('19_Расчет_аналитики'!AU2737+'19_Расчет_аналитики'!AU2738)*(1+'01_Вводные'!$B$58)+(1-'19_Расчет_аналитики'!$B$2056)*('19_Расчет_аналитики'!AT2737+'19_Расчет_аналитики'!AT2738)*(1+'01_Вводные'!$B$58)</f>
        <v/>
      </c>
      <c r="AV2771">
        <f>'19_Расчет_аналитики'!$B$2056*('19_Расчет_аналитики'!AV2737+'19_Расчет_аналитики'!AV2738)*(1+'01_Вводные'!$B$58)+(1-'19_Расчет_аналитики'!$B$2056)*('19_Расчет_аналитики'!AU2737+'19_Расчет_аналитики'!AU2738)*(1+'01_Вводные'!$B$58)</f>
        <v/>
      </c>
      <c r="AW2771">
        <f>'19_Расчет_аналитики'!$B$2056*('19_Расчет_аналитики'!AW2737+'19_Расчет_аналитики'!AW2738)*(1+'01_Вводные'!$B$58)+(1-'19_Расчет_аналитики'!$B$2056)*('19_Расчет_аналитики'!AV2737+'19_Расчет_аналитики'!AV2738)*(1+'01_Вводные'!$B$58)</f>
        <v/>
      </c>
      <c r="AX2771">
        <f>'19_Расчет_аналитики'!$B$2056*('19_Расчет_аналитики'!AX2737+'19_Расчет_аналитики'!AX2738)*(1+'01_Вводные'!$B$58)+(1-'19_Расчет_аналитики'!$B$2056)*('19_Расчет_аналитики'!AW2737+'19_Расчет_аналитики'!AW2738)*(1+'01_Вводные'!$B$58)</f>
        <v/>
      </c>
      <c r="AY2771">
        <f>'19_Расчет_аналитики'!$B$2056*('19_Расчет_аналитики'!AY2737+'19_Расчет_аналитики'!AY2738)*(1+'01_Вводные'!$B$58)+(1-'19_Расчет_аналитики'!$B$2056)*('19_Расчет_аналитики'!AX2737+'19_Расчет_аналитики'!AX2738)*(1+'01_Вводные'!$B$58)</f>
        <v/>
      </c>
      <c r="AZ2771">
        <f>'19_Расчет_аналитики'!$B$2056*('19_Расчет_аналитики'!AZ2737+'19_Расчет_аналитики'!AZ2738)*(1+'01_Вводные'!$B$58)+(1-'19_Расчет_аналитики'!$B$2056)*('19_Расчет_аналитики'!AY2737+'19_Расчет_аналитики'!AY2738)*(1+'01_Вводные'!$B$58)</f>
        <v/>
      </c>
      <c r="BA2771">
        <f>'19_Расчет_аналитики'!$B$2056*('19_Расчет_аналитики'!BA2737+'19_Расчет_аналитики'!BA2738)*(1+'01_Вводные'!$B$58)+(1-'19_Расчет_аналитики'!$B$2056)*('19_Расчет_аналитики'!AZ2737+'19_Расчет_аналитики'!AZ2738)*(1+'01_Вводные'!$B$58)</f>
        <v/>
      </c>
      <c r="BB2771">
        <f>'19_Расчет_аналитики'!$B$2056*('19_Расчет_аналитики'!BB2737+'19_Расчет_аналитики'!BB2738)*(1+'01_Вводные'!$B$58)+(1-'19_Расчет_аналитики'!$B$2056)*('19_Расчет_аналитики'!BA2737+'19_Расчет_аналитики'!BA2738)*(1+'01_Вводные'!$B$58)</f>
        <v/>
      </c>
      <c r="BC2771">
        <f>'19_Расчет_аналитики'!$B$2056*('19_Расчет_аналитики'!BC2737+'19_Расчет_аналитики'!BC2738)*(1+'01_Вводные'!$B$58)+(1-'19_Расчет_аналитики'!$B$2056)*('19_Расчет_аналитики'!BB2737+'19_Расчет_аналитики'!BB2738)*(1+'01_Вводные'!$B$58)</f>
        <v/>
      </c>
      <c r="BD2771">
        <f>'19_Расчет_аналитики'!$B$2056*('19_Расчет_аналитики'!BD2737+'19_Расчет_аналитики'!BD2738)*(1+'01_Вводные'!$B$58)+(1-'19_Расчет_аналитики'!$B$2056)*('19_Расчет_аналитики'!BC2737+'19_Расчет_аналитики'!BC2738)*(1+'01_Вводные'!$B$58)</f>
        <v/>
      </c>
      <c r="BE2771">
        <f>'19_Расчет_аналитики'!$B$2056*('19_Расчет_аналитики'!BE2737+'19_Расчет_аналитики'!BE2738)*(1+'01_Вводные'!$B$58)+(1-'19_Расчет_аналитики'!$B$2056)*('19_Расчет_аналитики'!BD2737+'19_Расчет_аналитики'!BD2738)*(1+'01_Вводные'!$B$58)</f>
        <v/>
      </c>
      <c r="BF2771">
        <f>'19_Расчет_аналитики'!$B$2056*('19_Расчет_аналитики'!BF2737+'19_Расчет_аналитики'!BF2738)*(1+'01_Вводные'!$B$58)+(1-'19_Расчет_аналитики'!$B$2056)*('19_Расчет_аналитики'!BE2737+'19_Расчет_аналитики'!BE2738)*(1+'01_Вводные'!$B$58)</f>
        <v/>
      </c>
      <c r="BG2771">
        <f>'19_Расчет_аналитики'!$B$2056*('19_Расчет_аналитики'!BG2737+'19_Расчет_аналитики'!BG2738)*(1+'01_Вводные'!$B$58)+(1-'19_Расчет_аналитики'!$B$2056)*('19_Расчет_аналитики'!BF2737+'19_Расчет_аналитики'!BF2738)*(1+'01_Вводные'!$B$58)</f>
        <v/>
      </c>
      <c r="BH2771">
        <f>'19_Расчет_аналитики'!$B$2056*('19_Расчет_аналитики'!BH2737+'19_Расчет_аналитики'!BH2738)*(1+'01_Вводные'!$B$58)+(1-'19_Расчет_аналитики'!$B$2056)*('19_Расчет_аналитики'!BG2737+'19_Расчет_аналитики'!BG2738)*(1+'01_Вводные'!$B$58)</f>
        <v/>
      </c>
      <c r="BI2771">
        <f>'19_Расчет_аналитики'!$B$2056*('19_Расчет_аналитики'!BI2737+'19_Расчет_аналитики'!BI2738)*(1+'01_Вводные'!$B$58)+(1-'19_Расчет_аналитики'!$B$2056)*('19_Расчет_аналитики'!BH2737+'19_Расчет_аналитики'!BH2738)*(1+'01_Вводные'!$B$58)</f>
        <v/>
      </c>
    </row>
    <row r="2772">
      <c r="B2772">
        <f>'19_Расчет_аналитики'!B2639</f>
        <v/>
      </c>
      <c r="C2772">
        <f>'19_Расчет_аналитики'!C2639</f>
        <v/>
      </c>
      <c r="D2772">
        <f>'19_Расчет_аналитики'!D2639</f>
        <v/>
      </c>
      <c r="E2772">
        <f>'19_Расчет_аналитики'!E2639</f>
        <v/>
      </c>
      <c r="F2772">
        <f>'19_Расчет_аналитики'!F2639</f>
        <v/>
      </c>
      <c r="G2772">
        <f>'19_Расчет_аналитики'!G2639</f>
        <v/>
      </c>
      <c r="H2772">
        <f>'19_Расчет_аналитики'!H2639</f>
        <v/>
      </c>
      <c r="I2772">
        <f>'19_Расчет_аналитики'!I2639</f>
        <v/>
      </c>
      <c r="J2772">
        <f>'19_Расчет_аналитики'!J2639</f>
        <v/>
      </c>
      <c r="K2772">
        <f>'19_Расчет_аналитики'!K2639</f>
        <v/>
      </c>
      <c r="L2772">
        <f>'19_Расчет_аналитики'!L2639</f>
        <v/>
      </c>
      <c r="M2772">
        <f>'19_Расчет_аналитики'!M2639</f>
        <v/>
      </c>
      <c r="N2772">
        <f>'19_Расчет_аналитики'!N2639</f>
        <v/>
      </c>
      <c r="O2772">
        <f>'19_Расчет_аналитики'!O2639</f>
        <v/>
      </c>
      <c r="P2772">
        <f>'19_Расчет_аналитики'!P2639</f>
        <v/>
      </c>
      <c r="Q2772">
        <f>'19_Расчет_аналитики'!Q2639</f>
        <v/>
      </c>
      <c r="R2772">
        <f>'19_Расчет_аналитики'!R2639</f>
        <v/>
      </c>
      <c r="S2772">
        <f>'19_Расчет_аналитики'!S2639</f>
        <v/>
      </c>
      <c r="T2772">
        <f>'19_Расчет_аналитики'!T2639</f>
        <v/>
      </c>
      <c r="U2772">
        <f>'19_Расчет_аналитики'!U2639</f>
        <v/>
      </c>
      <c r="V2772">
        <f>'19_Расчет_аналитики'!V2639</f>
        <v/>
      </c>
      <c r="W2772">
        <f>'19_Расчет_аналитики'!W2639</f>
        <v/>
      </c>
      <c r="X2772">
        <f>'19_Расчет_аналитики'!X2639</f>
        <v/>
      </c>
      <c r="Y2772">
        <f>'19_Расчет_аналитики'!Y2639</f>
        <v/>
      </c>
      <c r="Z2772">
        <f>'19_Расчет_аналитики'!Z2639</f>
        <v/>
      </c>
      <c r="AA2772">
        <f>'19_Расчет_аналитики'!AA2639</f>
        <v/>
      </c>
      <c r="AB2772">
        <f>'19_Расчет_аналитики'!AB2639</f>
        <v/>
      </c>
      <c r="AC2772">
        <f>'19_Расчет_аналитики'!AC2639</f>
        <v/>
      </c>
      <c r="AD2772">
        <f>'19_Расчет_аналитики'!AD2639</f>
        <v/>
      </c>
      <c r="AE2772">
        <f>'19_Расчет_аналитики'!AE2639</f>
        <v/>
      </c>
      <c r="AF2772">
        <f>'19_Расчет_аналитики'!AF2639</f>
        <v/>
      </c>
      <c r="AG2772">
        <f>'19_Расчет_аналитики'!AG2639</f>
        <v/>
      </c>
      <c r="AH2772">
        <f>'19_Расчет_аналитики'!AH2639</f>
        <v/>
      </c>
      <c r="AI2772">
        <f>'19_Расчет_аналитики'!AI2639</f>
        <v/>
      </c>
      <c r="AJ2772">
        <f>'19_Расчет_аналитики'!AJ2639</f>
        <v/>
      </c>
      <c r="AK2772">
        <f>'19_Расчет_аналитики'!AK2639</f>
        <v/>
      </c>
      <c r="AL2772">
        <f>'19_Расчет_аналитики'!AL2639</f>
        <v/>
      </c>
      <c r="AM2772">
        <f>'19_Расчет_аналитики'!AM2639</f>
        <v/>
      </c>
      <c r="AN2772">
        <f>'19_Расчет_аналитики'!AN2639</f>
        <v/>
      </c>
      <c r="AO2772">
        <f>'19_Расчет_аналитики'!AO2639</f>
        <v/>
      </c>
      <c r="AP2772">
        <f>'19_Расчет_аналитики'!AP2639</f>
        <v/>
      </c>
      <c r="AQ2772">
        <f>'19_Расчет_аналитики'!AQ2639</f>
        <v/>
      </c>
      <c r="AR2772">
        <f>'19_Расчет_аналитики'!AR2639</f>
        <v/>
      </c>
      <c r="AS2772">
        <f>'19_Расчет_аналитики'!AS2639</f>
        <v/>
      </c>
      <c r="AT2772">
        <f>'19_Расчет_аналитики'!AT2639</f>
        <v/>
      </c>
      <c r="AU2772">
        <f>'19_Расчет_аналитики'!AU2639</f>
        <v/>
      </c>
      <c r="AV2772">
        <f>'19_Расчет_аналитики'!AV2639</f>
        <v/>
      </c>
      <c r="AW2772">
        <f>'19_Расчет_аналитики'!AW2639</f>
        <v/>
      </c>
      <c r="AX2772">
        <f>'19_Расчет_аналитики'!AX2639</f>
        <v/>
      </c>
      <c r="AY2772">
        <f>'19_Расчет_аналитики'!AY2639</f>
        <v/>
      </c>
      <c r="AZ2772">
        <f>'19_Расчет_аналитики'!AZ2639</f>
        <v/>
      </c>
      <c r="BA2772">
        <f>'19_Расчет_аналитики'!BA2639</f>
        <v/>
      </c>
      <c r="BB2772">
        <f>'19_Расчет_аналитики'!BB2639</f>
        <v/>
      </c>
      <c r="BC2772">
        <f>'19_Расчет_аналитики'!BC2639</f>
        <v/>
      </c>
      <c r="BD2772">
        <f>'19_Расчет_аналитики'!BD2639</f>
        <v/>
      </c>
      <c r="BE2772">
        <f>'19_Расчет_аналитики'!BE2639</f>
        <v/>
      </c>
      <c r="BF2772">
        <f>'19_Расчет_аналитики'!BF2639</f>
        <v/>
      </c>
      <c r="BG2772">
        <f>'19_Расчет_аналитики'!BG2639</f>
        <v/>
      </c>
      <c r="BH2772">
        <f>'19_Расчет_аналитики'!BH2639</f>
        <v/>
      </c>
      <c r="BI2772">
        <f>'19_Расчет_аналитики'!BI2639</f>
        <v/>
      </c>
    </row>
    <row r="2773">
      <c r="B2773">
        <f>'02_Модель'!B55</f>
        <v/>
      </c>
      <c r="C2773">
        <f>'02_Модель'!C55</f>
        <v/>
      </c>
      <c r="D2773">
        <f>'02_Модель'!D55</f>
        <v/>
      </c>
      <c r="E2773">
        <f>'02_Модель'!E55</f>
        <v/>
      </c>
      <c r="F2773">
        <f>'02_Модель'!F55</f>
        <v/>
      </c>
      <c r="G2773">
        <f>'02_Модель'!G55</f>
        <v/>
      </c>
      <c r="H2773">
        <f>'02_Модель'!H55</f>
        <v/>
      </c>
      <c r="I2773">
        <f>'02_Модель'!I55</f>
        <v/>
      </c>
      <c r="J2773">
        <f>'02_Модель'!J55</f>
        <v/>
      </c>
      <c r="K2773">
        <f>'02_Модель'!K55</f>
        <v/>
      </c>
      <c r="L2773">
        <f>'02_Модель'!L55</f>
        <v/>
      </c>
      <c r="M2773">
        <f>'02_Модель'!M55</f>
        <v/>
      </c>
      <c r="N2773">
        <f>'02_Модель'!N55</f>
        <v/>
      </c>
      <c r="O2773">
        <f>'02_Модель'!O55</f>
        <v/>
      </c>
      <c r="P2773">
        <f>'02_Модель'!P55</f>
        <v/>
      </c>
      <c r="Q2773">
        <f>'02_Модель'!Q55</f>
        <v/>
      </c>
      <c r="R2773">
        <f>'02_Модель'!R55</f>
        <v/>
      </c>
      <c r="S2773">
        <f>'02_Модель'!S55</f>
        <v/>
      </c>
      <c r="T2773">
        <f>'02_Модель'!T55</f>
        <v/>
      </c>
      <c r="U2773">
        <f>'02_Модель'!U55</f>
        <v/>
      </c>
      <c r="V2773">
        <f>'02_Модель'!V55</f>
        <v/>
      </c>
      <c r="W2773">
        <f>'02_Модель'!W55</f>
        <v/>
      </c>
      <c r="X2773">
        <f>'02_Модель'!X55</f>
        <v/>
      </c>
      <c r="Y2773">
        <f>'02_Модель'!Y55</f>
        <v/>
      </c>
      <c r="Z2773">
        <f>'02_Модель'!Z55</f>
        <v/>
      </c>
      <c r="AA2773">
        <f>'02_Модель'!AA55</f>
        <v/>
      </c>
      <c r="AB2773">
        <f>'02_Модель'!AB55</f>
        <v/>
      </c>
      <c r="AC2773">
        <f>'02_Модель'!AC55</f>
        <v/>
      </c>
      <c r="AD2773">
        <f>'02_Модель'!AD55</f>
        <v/>
      </c>
      <c r="AE2773">
        <f>'02_Модель'!AE55</f>
        <v/>
      </c>
      <c r="AF2773">
        <f>'02_Модель'!AF55</f>
        <v/>
      </c>
      <c r="AG2773">
        <f>'02_Модель'!AG55</f>
        <v/>
      </c>
      <c r="AH2773">
        <f>'02_Модель'!AH55</f>
        <v/>
      </c>
      <c r="AI2773">
        <f>'02_Модель'!AI55</f>
        <v/>
      </c>
      <c r="AJ2773">
        <f>'02_Модель'!AJ55</f>
        <v/>
      </c>
      <c r="AK2773">
        <f>'02_Модель'!AK55</f>
        <v/>
      </c>
      <c r="AL2773">
        <f>'02_Модель'!AL55</f>
        <v/>
      </c>
      <c r="AM2773">
        <f>'02_Модель'!AM55</f>
        <v/>
      </c>
      <c r="AN2773">
        <f>'02_Модель'!AN55</f>
        <v/>
      </c>
      <c r="AO2773">
        <f>'02_Модель'!AO55</f>
        <v/>
      </c>
      <c r="AP2773">
        <f>'02_Модель'!AP55</f>
        <v/>
      </c>
      <c r="AQ2773">
        <f>'02_Модель'!AQ55</f>
        <v/>
      </c>
      <c r="AR2773">
        <f>'02_Модель'!AR55</f>
        <v/>
      </c>
      <c r="AS2773">
        <f>'02_Модель'!AS55</f>
        <v/>
      </c>
      <c r="AT2773">
        <f>'02_Модель'!AT55</f>
        <v/>
      </c>
      <c r="AU2773">
        <f>'02_Модель'!AU55</f>
        <v/>
      </c>
      <c r="AV2773">
        <f>'02_Модель'!AV55</f>
        <v/>
      </c>
      <c r="AW2773">
        <f>'02_Модель'!AW55</f>
        <v/>
      </c>
      <c r="AX2773">
        <f>'02_Модель'!AX55</f>
        <v/>
      </c>
      <c r="AY2773">
        <f>'02_Модель'!AY55</f>
        <v/>
      </c>
      <c r="AZ2773">
        <f>'02_Модель'!AZ55</f>
        <v/>
      </c>
      <c r="BA2773">
        <f>'02_Модель'!BA55</f>
        <v/>
      </c>
      <c r="BB2773">
        <f>'02_Модель'!BB55</f>
        <v/>
      </c>
      <c r="BC2773">
        <f>'02_Модель'!BC55</f>
        <v/>
      </c>
      <c r="BD2773">
        <f>'02_Модель'!BD55</f>
        <v/>
      </c>
      <c r="BE2773">
        <f>'02_Модель'!BE55</f>
        <v/>
      </c>
      <c r="BF2773">
        <f>'02_Модель'!BF55</f>
        <v/>
      </c>
      <c r="BG2773">
        <f>'02_Модель'!BG55</f>
        <v/>
      </c>
      <c r="BH2773">
        <f>'02_Модель'!BH55</f>
        <v/>
      </c>
      <c r="BI2773">
        <f>'02_Модель'!BI55</f>
        <v/>
      </c>
    </row>
    <row r="2774">
      <c r="B2774">
        <f>SUM('19_Расчет_аналитики'!B2770:B2773)</f>
        <v/>
      </c>
      <c r="C2774">
        <f>SUM('19_Расчет_аналитики'!C2770:C2773)</f>
        <v/>
      </c>
      <c r="D2774">
        <f>SUM('19_Расчет_аналитики'!D2770:D2773)</f>
        <v/>
      </c>
      <c r="E2774">
        <f>SUM('19_Расчет_аналитики'!E2770:E2773)</f>
        <v/>
      </c>
      <c r="F2774">
        <f>SUM('19_Расчет_аналитики'!F2770:F2773)</f>
        <v/>
      </c>
      <c r="G2774">
        <f>SUM('19_Расчет_аналитики'!G2770:G2773)</f>
        <v/>
      </c>
      <c r="H2774">
        <f>SUM('19_Расчет_аналитики'!H2770:H2773)</f>
        <v/>
      </c>
      <c r="I2774">
        <f>SUM('19_Расчет_аналитики'!I2770:I2773)</f>
        <v/>
      </c>
      <c r="J2774">
        <f>SUM('19_Расчет_аналитики'!J2770:J2773)</f>
        <v/>
      </c>
      <c r="K2774">
        <f>SUM('19_Расчет_аналитики'!K2770:K2773)</f>
        <v/>
      </c>
      <c r="L2774">
        <f>SUM('19_Расчет_аналитики'!L2770:L2773)</f>
        <v/>
      </c>
      <c r="M2774">
        <f>SUM('19_Расчет_аналитики'!M2770:M2773)</f>
        <v/>
      </c>
      <c r="N2774">
        <f>SUM('19_Расчет_аналитики'!N2770:N2773)</f>
        <v/>
      </c>
      <c r="O2774">
        <f>SUM('19_Расчет_аналитики'!O2770:O2773)</f>
        <v/>
      </c>
      <c r="P2774">
        <f>SUM('19_Расчет_аналитики'!P2770:P2773)</f>
        <v/>
      </c>
      <c r="Q2774">
        <f>SUM('19_Расчет_аналитики'!Q2770:Q2773)</f>
        <v/>
      </c>
      <c r="R2774">
        <f>SUM('19_Расчет_аналитики'!R2770:R2773)</f>
        <v/>
      </c>
      <c r="S2774">
        <f>SUM('19_Расчет_аналитики'!S2770:S2773)</f>
        <v/>
      </c>
      <c r="T2774">
        <f>SUM('19_Расчет_аналитики'!T2770:T2773)</f>
        <v/>
      </c>
      <c r="U2774">
        <f>SUM('19_Расчет_аналитики'!U2770:U2773)</f>
        <v/>
      </c>
      <c r="V2774">
        <f>SUM('19_Расчет_аналитики'!V2770:V2773)</f>
        <v/>
      </c>
      <c r="W2774">
        <f>SUM('19_Расчет_аналитики'!W2770:W2773)</f>
        <v/>
      </c>
      <c r="X2774">
        <f>SUM('19_Расчет_аналитики'!X2770:X2773)</f>
        <v/>
      </c>
      <c r="Y2774">
        <f>SUM('19_Расчет_аналитики'!Y2770:Y2773)</f>
        <v/>
      </c>
      <c r="Z2774">
        <f>SUM('19_Расчет_аналитики'!Z2770:Z2773)</f>
        <v/>
      </c>
      <c r="AA2774">
        <f>SUM('19_Расчет_аналитики'!AA2770:AA2773)</f>
        <v/>
      </c>
      <c r="AB2774">
        <f>SUM('19_Расчет_аналитики'!AB2770:AB2773)</f>
        <v/>
      </c>
      <c r="AC2774">
        <f>SUM('19_Расчет_аналитики'!AC2770:AC2773)</f>
        <v/>
      </c>
      <c r="AD2774">
        <f>SUM('19_Расчет_аналитики'!AD2770:AD2773)</f>
        <v/>
      </c>
      <c r="AE2774">
        <f>SUM('19_Расчет_аналитики'!AE2770:AE2773)</f>
        <v/>
      </c>
      <c r="AF2774">
        <f>SUM('19_Расчет_аналитики'!AF2770:AF2773)</f>
        <v/>
      </c>
      <c r="AG2774">
        <f>SUM('19_Расчет_аналитики'!AG2770:AG2773)</f>
        <v/>
      </c>
      <c r="AH2774">
        <f>SUM('19_Расчет_аналитики'!AH2770:AH2773)</f>
        <v/>
      </c>
      <c r="AI2774">
        <f>SUM('19_Расчет_аналитики'!AI2770:AI2773)</f>
        <v/>
      </c>
      <c r="AJ2774">
        <f>SUM('19_Расчет_аналитики'!AJ2770:AJ2773)</f>
        <v/>
      </c>
      <c r="AK2774">
        <f>SUM('19_Расчет_аналитики'!AK2770:AK2773)</f>
        <v/>
      </c>
      <c r="AL2774">
        <f>SUM('19_Расчет_аналитики'!AL2770:AL2773)</f>
        <v/>
      </c>
      <c r="AM2774">
        <f>SUM('19_Расчет_аналитики'!AM2770:AM2773)</f>
        <v/>
      </c>
      <c r="AN2774">
        <f>SUM('19_Расчет_аналитики'!AN2770:AN2773)</f>
        <v/>
      </c>
      <c r="AO2774">
        <f>SUM('19_Расчет_аналитики'!AO2770:AO2773)</f>
        <v/>
      </c>
      <c r="AP2774">
        <f>SUM('19_Расчет_аналитики'!AP2770:AP2773)</f>
        <v/>
      </c>
      <c r="AQ2774">
        <f>SUM('19_Расчет_аналитики'!AQ2770:AQ2773)</f>
        <v/>
      </c>
      <c r="AR2774">
        <f>SUM('19_Расчет_аналитики'!AR2770:AR2773)</f>
        <v/>
      </c>
      <c r="AS2774">
        <f>SUM('19_Расчет_аналитики'!AS2770:AS2773)</f>
        <v/>
      </c>
      <c r="AT2774">
        <f>SUM('19_Расчет_аналитики'!AT2770:AT2773)</f>
        <v/>
      </c>
      <c r="AU2774">
        <f>SUM('19_Расчет_аналитики'!AU2770:AU2773)</f>
        <v/>
      </c>
      <c r="AV2774">
        <f>SUM('19_Расчет_аналитики'!AV2770:AV2773)</f>
        <v/>
      </c>
      <c r="AW2774">
        <f>SUM('19_Расчет_аналитики'!AW2770:AW2773)</f>
        <v/>
      </c>
      <c r="AX2774">
        <f>SUM('19_Расчет_аналитики'!AX2770:AX2773)</f>
        <v/>
      </c>
      <c r="AY2774">
        <f>SUM('19_Расчет_аналитики'!AY2770:AY2773)</f>
        <v/>
      </c>
      <c r="AZ2774">
        <f>SUM('19_Расчет_аналитики'!AZ2770:AZ2773)</f>
        <v/>
      </c>
      <c r="BA2774">
        <f>SUM('19_Расчет_аналитики'!BA2770:BA2773)</f>
        <v/>
      </c>
      <c r="BB2774">
        <f>SUM('19_Расчет_аналитики'!BB2770:BB2773)</f>
        <v/>
      </c>
      <c r="BC2774">
        <f>SUM('19_Расчет_аналитики'!BC2770:BC2773)</f>
        <v/>
      </c>
      <c r="BD2774">
        <f>SUM('19_Расчет_аналитики'!BD2770:BD2773)</f>
        <v/>
      </c>
      <c r="BE2774">
        <f>SUM('19_Расчет_аналитики'!BE2770:BE2773)</f>
        <v/>
      </c>
      <c r="BF2774">
        <f>SUM('19_Расчет_аналитики'!BF2770:BF2773)</f>
        <v/>
      </c>
      <c r="BG2774">
        <f>SUM('19_Расчет_аналитики'!BG2770:BG2773)</f>
        <v/>
      </c>
      <c r="BH2774">
        <f>SUM('19_Расчет_аналитики'!BH2770:BH2773)</f>
        <v/>
      </c>
      <c r="BI2774">
        <f>SUM('19_Расчет_аналитики'!BI2770:BI2773)</f>
        <v/>
      </c>
    </row>
    <row r="2775">
      <c r="B2775">
        <f>'19_Расчет_аналитики'!B2817</f>
        <v/>
      </c>
      <c r="C2775">
        <f>'19_Расчет_аналитики'!C2817</f>
        <v/>
      </c>
      <c r="D2775">
        <f>'19_Расчет_аналитики'!D2817</f>
        <v/>
      </c>
      <c r="E2775">
        <f>'19_Расчет_аналитики'!E2817</f>
        <v/>
      </c>
      <c r="F2775">
        <f>'19_Расчет_аналитики'!F2817</f>
        <v/>
      </c>
      <c r="G2775">
        <f>'19_Расчет_аналитики'!G2817</f>
        <v/>
      </c>
      <c r="H2775">
        <f>'19_Расчет_аналитики'!H2817</f>
        <v/>
      </c>
      <c r="I2775">
        <f>'19_Расчет_аналитики'!I2817</f>
        <v/>
      </c>
      <c r="J2775">
        <f>'19_Расчет_аналитики'!J2817</f>
        <v/>
      </c>
      <c r="K2775">
        <f>'19_Расчет_аналитики'!K2817</f>
        <v/>
      </c>
      <c r="L2775">
        <f>'19_Расчет_аналитики'!L2817</f>
        <v/>
      </c>
      <c r="M2775">
        <f>'19_Расчет_аналитики'!M2817</f>
        <v/>
      </c>
      <c r="N2775">
        <f>'19_Расчет_аналитики'!N2817</f>
        <v/>
      </c>
      <c r="O2775">
        <f>'19_Расчет_аналитики'!O2817</f>
        <v/>
      </c>
      <c r="P2775">
        <f>'19_Расчет_аналитики'!P2817</f>
        <v/>
      </c>
      <c r="Q2775">
        <f>'19_Расчет_аналитики'!Q2817</f>
        <v/>
      </c>
      <c r="R2775">
        <f>'19_Расчет_аналитики'!R2817</f>
        <v/>
      </c>
      <c r="S2775">
        <f>'19_Расчет_аналитики'!S2817</f>
        <v/>
      </c>
      <c r="T2775">
        <f>'19_Расчет_аналитики'!T2817</f>
        <v/>
      </c>
      <c r="U2775">
        <f>'19_Расчет_аналитики'!U2817</f>
        <v/>
      </c>
      <c r="V2775">
        <f>'19_Расчет_аналитики'!V2817</f>
        <v/>
      </c>
      <c r="W2775">
        <f>'19_Расчет_аналитики'!W2817</f>
        <v/>
      </c>
      <c r="X2775">
        <f>'19_Расчет_аналитики'!X2817</f>
        <v/>
      </c>
      <c r="Y2775">
        <f>'19_Расчет_аналитики'!Y2817</f>
        <v/>
      </c>
      <c r="Z2775">
        <f>'19_Расчет_аналитики'!Z2817</f>
        <v/>
      </c>
      <c r="AA2775">
        <f>'19_Расчет_аналитики'!AA2817</f>
        <v/>
      </c>
      <c r="AB2775">
        <f>'19_Расчет_аналитики'!AB2817</f>
        <v/>
      </c>
      <c r="AC2775">
        <f>'19_Расчет_аналитики'!AC2817</f>
        <v/>
      </c>
      <c r="AD2775">
        <f>'19_Расчет_аналитики'!AD2817</f>
        <v/>
      </c>
      <c r="AE2775">
        <f>'19_Расчет_аналитики'!AE2817</f>
        <v/>
      </c>
      <c r="AF2775">
        <f>'19_Расчет_аналитики'!AF2817</f>
        <v/>
      </c>
      <c r="AG2775">
        <f>'19_Расчет_аналитики'!AG2817</f>
        <v/>
      </c>
      <c r="AH2775">
        <f>'19_Расчет_аналитики'!AH2817</f>
        <v/>
      </c>
      <c r="AI2775">
        <f>'19_Расчет_аналитики'!AI2817</f>
        <v/>
      </c>
      <c r="AJ2775">
        <f>'19_Расчет_аналитики'!AJ2817</f>
        <v/>
      </c>
      <c r="AK2775">
        <f>'19_Расчет_аналитики'!AK2817</f>
        <v/>
      </c>
      <c r="AL2775">
        <f>'19_Расчет_аналитики'!AL2817</f>
        <v/>
      </c>
      <c r="AM2775">
        <f>'19_Расчет_аналитики'!AM2817</f>
        <v/>
      </c>
      <c r="AN2775">
        <f>'19_Расчет_аналитики'!AN2817</f>
        <v/>
      </c>
      <c r="AO2775">
        <f>'19_Расчет_аналитики'!AO2817</f>
        <v/>
      </c>
      <c r="AP2775">
        <f>'19_Расчет_аналитики'!AP2817</f>
        <v/>
      </c>
      <c r="AQ2775">
        <f>'19_Расчет_аналитики'!AQ2817</f>
        <v/>
      </c>
      <c r="AR2775">
        <f>'19_Расчет_аналитики'!AR2817</f>
        <v/>
      </c>
      <c r="AS2775">
        <f>'19_Расчет_аналитики'!AS2817</f>
        <v/>
      </c>
      <c r="AT2775">
        <f>'19_Расчет_аналитики'!AT2817</f>
        <v/>
      </c>
      <c r="AU2775">
        <f>'19_Расчет_аналитики'!AU2817</f>
        <v/>
      </c>
      <c r="AV2775">
        <f>'19_Расчет_аналитики'!AV2817</f>
        <v/>
      </c>
      <c r="AW2775">
        <f>'19_Расчет_аналитики'!AW2817</f>
        <v/>
      </c>
      <c r="AX2775">
        <f>'19_Расчет_аналитики'!AX2817</f>
        <v/>
      </c>
      <c r="AY2775">
        <f>'19_Расчет_аналитики'!AY2817</f>
        <v/>
      </c>
      <c r="AZ2775">
        <f>'19_Расчет_аналитики'!AZ2817</f>
        <v/>
      </c>
      <c r="BA2775">
        <f>'19_Расчет_аналитики'!BA2817</f>
        <v/>
      </c>
      <c r="BB2775">
        <f>'19_Расчет_аналитики'!BB2817</f>
        <v/>
      </c>
      <c r="BC2775">
        <f>'19_Расчет_аналитики'!BC2817</f>
        <v/>
      </c>
      <c r="BD2775">
        <f>'19_Расчет_аналитики'!BD2817</f>
        <v/>
      </c>
      <c r="BE2775">
        <f>'19_Расчет_аналитики'!BE2817</f>
        <v/>
      </c>
      <c r="BF2775">
        <f>'19_Расчет_аналитики'!BF2817</f>
        <v/>
      </c>
      <c r="BG2775">
        <f>'19_Расчет_аналитики'!BG2817</f>
        <v/>
      </c>
      <c r="BH2775">
        <f>'19_Расчет_аналитики'!BH2817</f>
        <v/>
      </c>
      <c r="BI2775">
        <f>'19_Расчет_аналитики'!BI2817</f>
        <v/>
      </c>
    </row>
    <row r="2776">
      <c r="B2776">
        <f>'19_Расчет_аналитики'!B2745</f>
        <v/>
      </c>
      <c r="C2776">
        <f>'19_Расчет_аналитики'!C2745</f>
        <v/>
      </c>
      <c r="D2776">
        <f>'19_Расчет_аналитики'!D2745</f>
        <v/>
      </c>
      <c r="E2776">
        <f>'19_Расчет_аналитики'!E2745</f>
        <v/>
      </c>
      <c r="F2776">
        <f>'19_Расчет_аналитики'!F2745</f>
        <v/>
      </c>
      <c r="G2776">
        <f>'19_Расчет_аналитики'!G2745</f>
        <v/>
      </c>
      <c r="H2776">
        <f>'19_Расчет_аналитики'!H2745</f>
        <v/>
      </c>
      <c r="I2776">
        <f>'19_Расчет_аналитики'!I2745</f>
        <v/>
      </c>
      <c r="J2776">
        <f>'19_Расчет_аналитики'!J2745</f>
        <v/>
      </c>
      <c r="K2776">
        <f>'19_Расчет_аналитики'!K2745</f>
        <v/>
      </c>
      <c r="L2776">
        <f>'19_Расчет_аналитики'!L2745</f>
        <v/>
      </c>
      <c r="M2776">
        <f>'19_Расчет_аналитики'!M2745</f>
        <v/>
      </c>
      <c r="N2776">
        <f>'19_Расчет_аналитики'!N2745</f>
        <v/>
      </c>
      <c r="O2776">
        <f>'19_Расчет_аналитики'!O2745</f>
        <v/>
      </c>
      <c r="P2776">
        <f>'19_Расчет_аналитики'!P2745</f>
        <v/>
      </c>
      <c r="Q2776">
        <f>'19_Расчет_аналитики'!Q2745</f>
        <v/>
      </c>
      <c r="R2776">
        <f>'19_Расчет_аналитики'!R2745</f>
        <v/>
      </c>
      <c r="S2776">
        <f>'19_Расчет_аналитики'!S2745</f>
        <v/>
      </c>
      <c r="T2776">
        <f>'19_Расчет_аналитики'!T2745</f>
        <v/>
      </c>
      <c r="U2776">
        <f>'19_Расчет_аналитики'!U2745</f>
        <v/>
      </c>
      <c r="V2776">
        <f>'19_Расчет_аналитики'!V2745</f>
        <v/>
      </c>
      <c r="W2776">
        <f>'19_Расчет_аналитики'!W2745</f>
        <v/>
      </c>
      <c r="X2776">
        <f>'19_Расчет_аналитики'!X2745</f>
        <v/>
      </c>
      <c r="Y2776">
        <f>'19_Расчет_аналитики'!Y2745</f>
        <v/>
      </c>
      <c r="Z2776">
        <f>'19_Расчет_аналитики'!Z2745</f>
        <v/>
      </c>
      <c r="AA2776">
        <f>'19_Расчет_аналитики'!AA2745</f>
        <v/>
      </c>
      <c r="AB2776">
        <f>'19_Расчет_аналитики'!AB2745</f>
        <v/>
      </c>
      <c r="AC2776">
        <f>'19_Расчет_аналитики'!AC2745</f>
        <v/>
      </c>
      <c r="AD2776">
        <f>'19_Расчет_аналитики'!AD2745</f>
        <v/>
      </c>
      <c r="AE2776">
        <f>'19_Расчет_аналитики'!AE2745</f>
        <v/>
      </c>
      <c r="AF2776">
        <f>'19_Расчет_аналитики'!AF2745</f>
        <v/>
      </c>
      <c r="AG2776">
        <f>'19_Расчет_аналитики'!AG2745</f>
        <v/>
      </c>
      <c r="AH2776">
        <f>'19_Расчет_аналитики'!AH2745</f>
        <v/>
      </c>
      <c r="AI2776">
        <f>'19_Расчет_аналитики'!AI2745</f>
        <v/>
      </c>
      <c r="AJ2776">
        <f>'19_Расчет_аналитики'!AJ2745</f>
        <v/>
      </c>
      <c r="AK2776">
        <f>'19_Расчет_аналитики'!AK2745</f>
        <v/>
      </c>
      <c r="AL2776">
        <f>'19_Расчет_аналитики'!AL2745</f>
        <v/>
      </c>
      <c r="AM2776">
        <f>'19_Расчет_аналитики'!AM2745</f>
        <v/>
      </c>
      <c r="AN2776">
        <f>'19_Расчет_аналитики'!AN2745</f>
        <v/>
      </c>
      <c r="AO2776">
        <f>'19_Расчет_аналитики'!AO2745</f>
        <v/>
      </c>
      <c r="AP2776">
        <f>'19_Расчет_аналитики'!AP2745</f>
        <v/>
      </c>
      <c r="AQ2776">
        <f>'19_Расчет_аналитики'!AQ2745</f>
        <v/>
      </c>
      <c r="AR2776">
        <f>'19_Расчет_аналитики'!AR2745</f>
        <v/>
      </c>
      <c r="AS2776">
        <f>'19_Расчет_аналитики'!AS2745</f>
        <v/>
      </c>
      <c r="AT2776">
        <f>'19_Расчет_аналитики'!AT2745</f>
        <v/>
      </c>
      <c r="AU2776">
        <f>'19_Расчет_аналитики'!AU2745</f>
        <v/>
      </c>
      <c r="AV2776">
        <f>'19_Расчет_аналитики'!AV2745</f>
        <v/>
      </c>
      <c r="AW2776">
        <f>'19_Расчет_аналитики'!AW2745</f>
        <v/>
      </c>
      <c r="AX2776">
        <f>'19_Расчет_аналитики'!AX2745</f>
        <v/>
      </c>
      <c r="AY2776">
        <f>'19_Расчет_аналитики'!AY2745</f>
        <v/>
      </c>
      <c r="AZ2776">
        <f>'19_Расчет_аналитики'!AZ2745</f>
        <v/>
      </c>
      <c r="BA2776">
        <f>'19_Расчет_аналитики'!BA2745</f>
        <v/>
      </c>
      <c r="BB2776">
        <f>'19_Расчет_аналитики'!BB2745</f>
        <v/>
      </c>
      <c r="BC2776">
        <f>'19_Расчет_аналитики'!BC2745</f>
        <v/>
      </c>
      <c r="BD2776">
        <f>'19_Расчет_аналитики'!BD2745</f>
        <v/>
      </c>
      <c r="BE2776">
        <f>'19_Расчет_аналитики'!BE2745</f>
        <v/>
      </c>
      <c r="BF2776">
        <f>'19_Расчет_аналитики'!BF2745</f>
        <v/>
      </c>
      <c r="BG2776">
        <f>'19_Расчет_аналитики'!BG2745</f>
        <v/>
      </c>
      <c r="BH2776">
        <f>'19_Расчет_аналитики'!BH2745</f>
        <v/>
      </c>
      <c r="BI2776">
        <f>'19_Расчет_аналитики'!BI2745</f>
        <v/>
      </c>
    </row>
    <row r="2777">
      <c r="B2777">
        <f>'01_Вводные'!$B$21*('19_Расчет_аналитики'!B2755+'02_Модель'!B38+'02_Модель'!B39+'02_Модель'!B40+'02_Модель'!B41+'19_Расчет_аналитики'!B2760+'19_Расчет_аналитики'!B2650)+(1-'01_Вводные'!$B$21)*0</f>
        <v/>
      </c>
      <c r="C2777">
        <f>'01_Вводные'!$B$21*('19_Расчет_аналитики'!C2755+'02_Модель'!C38+'02_Модель'!C39+'02_Модель'!C40+'02_Модель'!C41+'19_Расчет_аналитики'!C2760+'19_Расчет_аналитики'!C2650)+(1-'01_Вводные'!$B$21)*('19_Расчет_аналитики'!B2755+'02_Модель'!B38+'02_Модель'!B39+'02_Модель'!B40+'02_Модель'!B41+'19_Расчет_аналитики'!B2760+'19_Расчет_аналитики'!B2650)</f>
        <v/>
      </c>
      <c r="D2777">
        <f>'01_Вводные'!$B$21*('19_Расчет_аналитики'!D2755+'02_Модель'!D38+'02_Модель'!D39+'02_Модель'!D40+'02_Модель'!D41+'19_Расчет_аналитики'!D2760+'19_Расчет_аналитики'!D2650)+(1-'01_Вводные'!$B$21)*('19_Расчет_аналитики'!C2755+'02_Модель'!C38+'02_Модель'!C39+'02_Модель'!C40+'02_Модель'!C41+'19_Расчет_аналитики'!C2760+'19_Расчет_аналитики'!C2650)</f>
        <v/>
      </c>
      <c r="E2777">
        <f>'01_Вводные'!$B$21*('19_Расчет_аналитики'!E2755+'02_Модель'!E38+'02_Модель'!E39+'02_Модель'!E40+'02_Модель'!E41+'19_Расчет_аналитики'!E2760+'19_Расчет_аналитики'!E2650)+(1-'01_Вводные'!$B$21)*('19_Расчет_аналитики'!D2755+'02_Модель'!D38+'02_Модель'!D39+'02_Модель'!D40+'02_Модель'!D41+'19_Расчет_аналитики'!D2760+'19_Расчет_аналитики'!D2650)</f>
        <v/>
      </c>
      <c r="F2777">
        <f>'01_Вводные'!$B$21*('19_Расчет_аналитики'!F2755+'02_Модель'!F38+'02_Модель'!F39+'02_Модель'!F40+'02_Модель'!F41+'19_Расчет_аналитики'!F2760+'19_Расчет_аналитики'!F2650)+(1-'01_Вводные'!$B$21)*('19_Расчет_аналитики'!E2755+'02_Модель'!E38+'02_Модель'!E39+'02_Модель'!E40+'02_Модель'!E41+'19_Расчет_аналитики'!E2760+'19_Расчет_аналитики'!E2650)</f>
        <v/>
      </c>
      <c r="G2777">
        <f>'01_Вводные'!$B$21*('19_Расчет_аналитики'!G2755+'02_Модель'!G38+'02_Модель'!G39+'02_Модель'!G40+'02_Модель'!G41+'19_Расчет_аналитики'!G2760+'19_Расчет_аналитики'!G2650)+(1-'01_Вводные'!$B$21)*('19_Расчет_аналитики'!F2755+'02_Модель'!F38+'02_Модель'!F39+'02_Модель'!F40+'02_Модель'!F41+'19_Расчет_аналитики'!F2760+'19_Расчет_аналитики'!F2650)</f>
        <v/>
      </c>
      <c r="H2777">
        <f>'01_Вводные'!$B$21*('19_Расчет_аналитики'!H2755+'02_Модель'!H38+'02_Модель'!H39+'02_Модель'!H40+'02_Модель'!H41+'19_Расчет_аналитики'!H2760+'19_Расчет_аналитики'!H2650)+(1-'01_Вводные'!$B$21)*('19_Расчет_аналитики'!G2755+'02_Модель'!G38+'02_Модель'!G39+'02_Модель'!G40+'02_Модель'!G41+'19_Расчет_аналитики'!G2760+'19_Расчет_аналитики'!G2650)</f>
        <v/>
      </c>
      <c r="I2777">
        <f>'01_Вводные'!$B$21*('19_Расчет_аналитики'!I2755+'02_Модель'!I38+'02_Модель'!I39+'02_Модель'!I40+'02_Модель'!I41+'19_Расчет_аналитики'!I2760+'19_Расчет_аналитики'!I2650)+(1-'01_Вводные'!$B$21)*('19_Расчет_аналитики'!H2755+'02_Модель'!H38+'02_Модель'!H39+'02_Модель'!H40+'02_Модель'!H41+'19_Расчет_аналитики'!H2760+'19_Расчет_аналитики'!H2650)</f>
        <v/>
      </c>
      <c r="J2777">
        <f>'01_Вводные'!$B$21*('19_Расчет_аналитики'!J2755+'02_Модель'!J38+'02_Модель'!J39+'02_Модель'!J40+'02_Модель'!J41+'19_Расчет_аналитики'!J2760+'19_Расчет_аналитики'!J2650)+(1-'01_Вводные'!$B$21)*('19_Расчет_аналитики'!I2755+'02_Модель'!I38+'02_Модель'!I39+'02_Модель'!I40+'02_Модель'!I41+'19_Расчет_аналитики'!I2760+'19_Расчет_аналитики'!I2650)</f>
        <v/>
      </c>
      <c r="K2777">
        <f>'01_Вводные'!$B$21*('19_Расчет_аналитики'!K2755+'02_Модель'!K38+'02_Модель'!K39+'02_Модель'!K40+'02_Модель'!K41+'19_Расчет_аналитики'!K2760+'19_Расчет_аналитики'!K2650)+(1-'01_Вводные'!$B$21)*('19_Расчет_аналитики'!J2755+'02_Модель'!J38+'02_Модель'!J39+'02_Модель'!J40+'02_Модель'!J41+'19_Расчет_аналитики'!J2760+'19_Расчет_аналитики'!J2650)</f>
        <v/>
      </c>
      <c r="L2777">
        <f>'01_Вводные'!$B$21*('19_Расчет_аналитики'!L2755+'02_Модель'!L38+'02_Модель'!L39+'02_Модель'!L40+'02_Модель'!L41+'19_Расчет_аналитики'!L2760+'19_Расчет_аналитики'!L2650)+(1-'01_Вводные'!$B$21)*('19_Расчет_аналитики'!K2755+'02_Модель'!K38+'02_Модель'!K39+'02_Модель'!K40+'02_Модель'!K41+'19_Расчет_аналитики'!K2760+'19_Расчет_аналитики'!K2650)</f>
        <v/>
      </c>
      <c r="M2777">
        <f>'01_Вводные'!$B$21*('19_Расчет_аналитики'!M2755+'02_Модель'!M38+'02_Модель'!M39+'02_Модель'!M40+'02_Модель'!M41+'19_Расчет_аналитики'!M2760+'19_Расчет_аналитики'!M2650)+(1-'01_Вводные'!$B$21)*('19_Расчет_аналитики'!L2755+'02_Модель'!L38+'02_Модель'!L39+'02_Модель'!L40+'02_Модель'!L41+'19_Расчет_аналитики'!L2760+'19_Расчет_аналитики'!L2650)</f>
        <v/>
      </c>
      <c r="N2777">
        <f>'01_Вводные'!$B$21*('19_Расчет_аналитики'!N2755+'02_Модель'!N38+'02_Модель'!N39+'02_Модель'!N40+'02_Модель'!N41+'19_Расчет_аналитики'!N2760+'19_Расчет_аналитики'!N2650)+(1-'01_Вводные'!$B$21)*('19_Расчет_аналитики'!M2755+'02_Модель'!M38+'02_Модель'!M39+'02_Модель'!M40+'02_Модель'!M41+'19_Расчет_аналитики'!M2760+'19_Расчет_аналитики'!M2650)</f>
        <v/>
      </c>
      <c r="O2777">
        <f>'01_Вводные'!$B$21*('19_Расчет_аналитики'!O2755+'02_Модель'!O38+'02_Модель'!O39+'02_Модель'!O40+'02_Модель'!O41+'19_Расчет_аналитики'!O2760+'19_Расчет_аналитики'!O2650)+(1-'01_Вводные'!$B$21)*('19_Расчет_аналитики'!N2755+'02_Модель'!N38+'02_Модель'!N39+'02_Модель'!N40+'02_Модель'!N41+'19_Расчет_аналитики'!N2760+'19_Расчет_аналитики'!N2650)</f>
        <v/>
      </c>
      <c r="P2777">
        <f>'01_Вводные'!$B$21*('19_Расчет_аналитики'!P2755+'02_Модель'!P38+'02_Модель'!P39+'02_Модель'!P40+'02_Модель'!P41+'19_Расчет_аналитики'!P2760+'19_Расчет_аналитики'!P2650)+(1-'01_Вводные'!$B$21)*('19_Расчет_аналитики'!O2755+'02_Модель'!O38+'02_Модель'!O39+'02_Модель'!O40+'02_Модель'!O41+'19_Расчет_аналитики'!O2760+'19_Расчет_аналитики'!O2650)</f>
        <v/>
      </c>
      <c r="Q2777">
        <f>'01_Вводные'!$B$21*('19_Расчет_аналитики'!Q2755+'02_Модель'!Q38+'02_Модель'!Q39+'02_Модель'!Q40+'02_Модель'!Q41+'19_Расчет_аналитики'!Q2760+'19_Расчет_аналитики'!Q2650)+(1-'01_Вводные'!$B$21)*('19_Расчет_аналитики'!P2755+'02_Модель'!P38+'02_Модель'!P39+'02_Модель'!P40+'02_Модель'!P41+'19_Расчет_аналитики'!P2760+'19_Расчет_аналитики'!P2650)</f>
        <v/>
      </c>
      <c r="R2777">
        <f>'01_Вводные'!$B$21*('19_Расчет_аналитики'!R2755+'02_Модель'!R38+'02_Модель'!R39+'02_Модель'!R40+'02_Модель'!R41+'19_Расчет_аналитики'!R2760+'19_Расчет_аналитики'!R2650)+(1-'01_Вводные'!$B$21)*('19_Расчет_аналитики'!Q2755+'02_Модель'!Q38+'02_Модель'!Q39+'02_Модель'!Q40+'02_Модель'!Q41+'19_Расчет_аналитики'!Q2760+'19_Расчет_аналитики'!Q2650)</f>
        <v/>
      </c>
      <c r="S2777">
        <f>'01_Вводные'!$B$21*('19_Расчет_аналитики'!S2755+'02_Модель'!S38+'02_Модель'!S39+'02_Модель'!S40+'02_Модель'!S41+'19_Расчет_аналитики'!S2760+'19_Расчет_аналитики'!S2650)+(1-'01_Вводные'!$B$21)*('19_Расчет_аналитики'!R2755+'02_Модель'!R38+'02_Модель'!R39+'02_Модель'!R40+'02_Модель'!R41+'19_Расчет_аналитики'!R2760+'19_Расчет_аналитики'!R2650)</f>
        <v/>
      </c>
      <c r="T2777">
        <f>'01_Вводные'!$B$21*('19_Расчет_аналитики'!T2755+'02_Модель'!T38+'02_Модель'!T39+'02_Модель'!T40+'02_Модель'!T41+'19_Расчет_аналитики'!T2760+'19_Расчет_аналитики'!T2650)+(1-'01_Вводные'!$B$21)*('19_Расчет_аналитики'!S2755+'02_Модель'!S38+'02_Модель'!S39+'02_Модель'!S40+'02_Модель'!S41+'19_Расчет_аналитики'!S2760+'19_Расчет_аналитики'!S2650)</f>
        <v/>
      </c>
      <c r="U2777">
        <f>'01_Вводные'!$B$21*('19_Расчет_аналитики'!U2755+'02_Модель'!U38+'02_Модель'!U39+'02_Модель'!U40+'02_Модель'!U41+'19_Расчет_аналитики'!U2760+'19_Расчет_аналитики'!U2650)+(1-'01_Вводные'!$B$21)*('19_Расчет_аналитики'!T2755+'02_Модель'!T38+'02_Модель'!T39+'02_Модель'!T40+'02_Модель'!T41+'19_Расчет_аналитики'!T2760+'19_Расчет_аналитики'!T2650)</f>
        <v/>
      </c>
      <c r="V2777">
        <f>'01_Вводные'!$B$21*('19_Расчет_аналитики'!V2755+'02_Модель'!V38+'02_Модель'!V39+'02_Модель'!V40+'02_Модель'!V41+'19_Расчет_аналитики'!V2760+'19_Расчет_аналитики'!V2650)+(1-'01_Вводные'!$B$21)*('19_Расчет_аналитики'!U2755+'02_Модель'!U38+'02_Модель'!U39+'02_Модель'!U40+'02_Модель'!U41+'19_Расчет_аналитики'!U2760+'19_Расчет_аналитики'!U2650)</f>
        <v/>
      </c>
      <c r="W2777">
        <f>'01_Вводные'!$B$21*('19_Расчет_аналитики'!W2755+'02_Модель'!W38+'02_Модель'!W39+'02_Модель'!W40+'02_Модель'!W41+'19_Расчет_аналитики'!W2760+'19_Расчет_аналитики'!W2650)+(1-'01_Вводные'!$B$21)*('19_Расчет_аналитики'!V2755+'02_Модель'!V38+'02_Модель'!V39+'02_Модель'!V40+'02_Модель'!V41+'19_Расчет_аналитики'!V2760+'19_Расчет_аналитики'!V2650)</f>
        <v/>
      </c>
      <c r="X2777">
        <f>'01_Вводные'!$B$21*('19_Расчет_аналитики'!X2755+'02_Модель'!X38+'02_Модель'!X39+'02_Модель'!X40+'02_Модель'!X41+'19_Расчет_аналитики'!X2760+'19_Расчет_аналитики'!X2650)+(1-'01_Вводные'!$B$21)*('19_Расчет_аналитики'!W2755+'02_Модель'!W38+'02_Модель'!W39+'02_Модель'!W40+'02_Модель'!W41+'19_Расчет_аналитики'!W2760+'19_Расчет_аналитики'!W2650)</f>
        <v/>
      </c>
      <c r="Y2777">
        <f>'01_Вводные'!$B$21*('19_Расчет_аналитики'!Y2755+'02_Модель'!Y38+'02_Модель'!Y39+'02_Модель'!Y40+'02_Модель'!Y41+'19_Расчет_аналитики'!Y2760+'19_Расчет_аналитики'!Y2650)+(1-'01_Вводные'!$B$21)*('19_Расчет_аналитики'!X2755+'02_Модель'!X38+'02_Модель'!X39+'02_Модель'!X40+'02_Модель'!X41+'19_Расчет_аналитики'!X2760+'19_Расчет_аналитики'!X2650)</f>
        <v/>
      </c>
      <c r="Z2777">
        <f>'01_Вводные'!$B$21*('19_Расчет_аналитики'!Z2755+'02_Модель'!Z38+'02_Модель'!Z39+'02_Модель'!Z40+'02_Модель'!Z41+'19_Расчет_аналитики'!Z2760+'19_Расчет_аналитики'!Z2650)+(1-'01_Вводные'!$B$21)*('19_Расчет_аналитики'!Y2755+'02_Модель'!Y38+'02_Модель'!Y39+'02_Модель'!Y40+'02_Модель'!Y41+'19_Расчет_аналитики'!Y2760+'19_Расчет_аналитики'!Y2650)</f>
        <v/>
      </c>
      <c r="AA2777">
        <f>'01_Вводные'!$B$21*('19_Расчет_аналитики'!AA2755+'02_Модель'!AA38+'02_Модель'!AA39+'02_Модель'!AA40+'02_Модель'!AA41+'19_Расчет_аналитики'!AA2760+'19_Расчет_аналитики'!AA2650)+(1-'01_Вводные'!$B$21)*('19_Расчет_аналитики'!Z2755+'02_Модель'!Z38+'02_Модель'!Z39+'02_Модель'!Z40+'02_Модель'!Z41+'19_Расчет_аналитики'!Z2760+'19_Расчет_аналитики'!Z2650)</f>
        <v/>
      </c>
      <c r="AB2777">
        <f>'01_Вводные'!$B$21*('19_Расчет_аналитики'!AB2755+'02_Модель'!AB38+'02_Модель'!AB39+'02_Модель'!AB40+'02_Модель'!AB41+'19_Расчет_аналитики'!AB2760+'19_Расчет_аналитики'!AB2650)+(1-'01_Вводные'!$B$21)*('19_Расчет_аналитики'!AA2755+'02_Модель'!AA38+'02_Модель'!AA39+'02_Модель'!AA40+'02_Модель'!AA41+'19_Расчет_аналитики'!AA2760+'19_Расчет_аналитики'!AA2650)</f>
        <v/>
      </c>
      <c r="AC2777">
        <f>'01_Вводные'!$B$21*('19_Расчет_аналитики'!AC2755+'02_Модель'!AC38+'02_Модель'!AC39+'02_Модель'!AC40+'02_Модель'!AC41+'19_Расчет_аналитики'!AC2760+'19_Расчет_аналитики'!AC2650)+(1-'01_Вводные'!$B$21)*('19_Расчет_аналитики'!AB2755+'02_Модель'!AB38+'02_Модель'!AB39+'02_Модель'!AB40+'02_Модель'!AB41+'19_Расчет_аналитики'!AB2760+'19_Расчет_аналитики'!AB2650)</f>
        <v/>
      </c>
      <c r="AD2777">
        <f>'01_Вводные'!$B$21*('19_Расчет_аналитики'!AD2755+'02_Модель'!AD38+'02_Модель'!AD39+'02_Модель'!AD40+'02_Модель'!AD41+'19_Расчет_аналитики'!AD2760+'19_Расчет_аналитики'!AD2650)+(1-'01_Вводные'!$B$21)*('19_Расчет_аналитики'!AC2755+'02_Модель'!AC38+'02_Модель'!AC39+'02_Модель'!AC40+'02_Модель'!AC41+'19_Расчет_аналитики'!AC2760+'19_Расчет_аналитики'!AC2650)</f>
        <v/>
      </c>
      <c r="AE2777">
        <f>'01_Вводные'!$B$21*('19_Расчет_аналитики'!AE2755+'02_Модель'!AE38+'02_Модель'!AE39+'02_Модель'!AE40+'02_Модель'!AE41+'19_Расчет_аналитики'!AE2760+'19_Расчет_аналитики'!AE2650)+(1-'01_Вводные'!$B$21)*('19_Расчет_аналитики'!AD2755+'02_Модель'!AD38+'02_Модель'!AD39+'02_Модель'!AD40+'02_Модель'!AD41+'19_Расчет_аналитики'!AD2760+'19_Расчет_аналитики'!AD2650)</f>
        <v/>
      </c>
      <c r="AF2777">
        <f>'01_Вводные'!$B$21*('19_Расчет_аналитики'!AF2755+'02_Модель'!AF38+'02_Модель'!AF39+'02_Модель'!AF40+'02_Модель'!AF41+'19_Расчет_аналитики'!AF2760+'19_Расчет_аналитики'!AF2650)+(1-'01_Вводные'!$B$21)*('19_Расчет_аналитики'!AE2755+'02_Модель'!AE38+'02_Модель'!AE39+'02_Модель'!AE40+'02_Модель'!AE41+'19_Расчет_аналитики'!AE2760+'19_Расчет_аналитики'!AE2650)</f>
        <v/>
      </c>
      <c r="AG2777">
        <f>'01_Вводные'!$B$21*('19_Расчет_аналитики'!AG2755+'02_Модель'!AG38+'02_Модель'!AG39+'02_Модель'!AG40+'02_Модель'!AG41+'19_Расчет_аналитики'!AG2760+'19_Расчет_аналитики'!AG2650)+(1-'01_Вводные'!$B$21)*('19_Расчет_аналитики'!AF2755+'02_Модель'!AF38+'02_Модель'!AF39+'02_Модель'!AF40+'02_Модель'!AF41+'19_Расчет_аналитики'!AF2760+'19_Расчет_аналитики'!AF2650)</f>
        <v/>
      </c>
      <c r="AH2777">
        <f>'01_Вводные'!$B$21*('19_Расчет_аналитики'!AH2755+'02_Модель'!AH38+'02_Модель'!AH39+'02_Модель'!AH40+'02_Модель'!AH41+'19_Расчет_аналитики'!AH2760+'19_Расчет_аналитики'!AH2650)+(1-'01_Вводные'!$B$21)*('19_Расчет_аналитики'!AG2755+'02_Модель'!AG38+'02_Модель'!AG39+'02_Модель'!AG40+'02_Модель'!AG41+'19_Расчет_аналитики'!AG2760+'19_Расчет_аналитики'!AG2650)</f>
        <v/>
      </c>
      <c r="AI2777">
        <f>'01_Вводные'!$B$21*('19_Расчет_аналитики'!AI2755+'02_Модель'!AI38+'02_Модель'!AI39+'02_Модель'!AI40+'02_Модель'!AI41+'19_Расчет_аналитики'!AI2760+'19_Расчет_аналитики'!AI2650)+(1-'01_Вводные'!$B$21)*('19_Расчет_аналитики'!AH2755+'02_Модель'!AH38+'02_Модель'!AH39+'02_Модель'!AH40+'02_Модель'!AH41+'19_Расчет_аналитики'!AH2760+'19_Расчет_аналитики'!AH2650)</f>
        <v/>
      </c>
      <c r="AJ2777">
        <f>'01_Вводные'!$B$21*('19_Расчет_аналитики'!AJ2755+'02_Модель'!AJ38+'02_Модель'!AJ39+'02_Модель'!AJ40+'02_Модель'!AJ41+'19_Расчет_аналитики'!AJ2760+'19_Расчет_аналитики'!AJ2650)+(1-'01_Вводные'!$B$21)*('19_Расчет_аналитики'!AI2755+'02_Модель'!AI38+'02_Модель'!AI39+'02_Модель'!AI40+'02_Модель'!AI41+'19_Расчет_аналитики'!AI2760+'19_Расчет_аналитики'!AI2650)</f>
        <v/>
      </c>
      <c r="AK2777">
        <f>'01_Вводные'!$B$21*('19_Расчет_аналитики'!AK2755+'02_Модель'!AK38+'02_Модель'!AK39+'02_Модель'!AK40+'02_Модель'!AK41+'19_Расчет_аналитики'!AK2760+'19_Расчет_аналитики'!AK2650)+(1-'01_Вводные'!$B$21)*('19_Расчет_аналитики'!AJ2755+'02_Модель'!AJ38+'02_Модель'!AJ39+'02_Модель'!AJ40+'02_Модель'!AJ41+'19_Расчет_аналитики'!AJ2760+'19_Расчет_аналитики'!AJ2650)</f>
        <v/>
      </c>
      <c r="AL2777">
        <f>'01_Вводные'!$B$21*('19_Расчет_аналитики'!AL2755+'02_Модель'!AL38+'02_Модель'!AL39+'02_Модель'!AL40+'02_Модель'!AL41+'19_Расчет_аналитики'!AL2760+'19_Расчет_аналитики'!AL2650)+(1-'01_Вводные'!$B$21)*('19_Расчет_аналитики'!AK2755+'02_Модель'!AK38+'02_Модель'!AK39+'02_Модель'!AK40+'02_Модель'!AK41+'19_Расчет_аналитики'!AK2760+'19_Расчет_аналитики'!AK2650)</f>
        <v/>
      </c>
      <c r="AM2777">
        <f>'01_Вводные'!$B$21*('19_Расчет_аналитики'!AM2755+'02_Модель'!AM38+'02_Модель'!AM39+'02_Модель'!AM40+'02_Модель'!AM41+'19_Расчет_аналитики'!AM2760+'19_Расчет_аналитики'!AM2650)+(1-'01_Вводные'!$B$21)*('19_Расчет_аналитики'!AL2755+'02_Модель'!AL38+'02_Модель'!AL39+'02_Модель'!AL40+'02_Модель'!AL41+'19_Расчет_аналитики'!AL2760+'19_Расчет_аналитики'!AL2650)</f>
        <v/>
      </c>
      <c r="AN2777">
        <f>'01_Вводные'!$B$21*('19_Расчет_аналитики'!AN2755+'02_Модель'!AN38+'02_Модель'!AN39+'02_Модель'!AN40+'02_Модель'!AN41+'19_Расчет_аналитики'!AN2760+'19_Расчет_аналитики'!AN2650)+(1-'01_Вводные'!$B$21)*('19_Расчет_аналитики'!AM2755+'02_Модель'!AM38+'02_Модель'!AM39+'02_Модель'!AM40+'02_Модель'!AM41+'19_Расчет_аналитики'!AM2760+'19_Расчет_аналитики'!AM2650)</f>
        <v/>
      </c>
      <c r="AO2777">
        <f>'01_Вводные'!$B$21*('19_Расчет_аналитики'!AO2755+'02_Модель'!AO38+'02_Модель'!AO39+'02_Модель'!AO40+'02_Модель'!AO41+'19_Расчет_аналитики'!AO2760+'19_Расчет_аналитики'!AO2650)+(1-'01_Вводные'!$B$21)*('19_Расчет_аналитики'!AN2755+'02_Модель'!AN38+'02_Модель'!AN39+'02_Модель'!AN40+'02_Модель'!AN41+'19_Расчет_аналитики'!AN2760+'19_Расчет_аналитики'!AN2650)</f>
        <v/>
      </c>
      <c r="AP2777">
        <f>'01_Вводные'!$B$21*('19_Расчет_аналитики'!AP2755+'02_Модель'!AP38+'02_Модель'!AP39+'02_Модель'!AP40+'02_Модель'!AP41+'19_Расчет_аналитики'!AP2760+'19_Расчет_аналитики'!AP2650)+(1-'01_Вводные'!$B$21)*('19_Расчет_аналитики'!AO2755+'02_Модель'!AO38+'02_Модель'!AO39+'02_Модель'!AO40+'02_Модель'!AO41+'19_Расчет_аналитики'!AO2760+'19_Расчет_аналитики'!AO2650)</f>
        <v/>
      </c>
      <c r="AQ2777">
        <f>'01_Вводные'!$B$21*('19_Расчет_аналитики'!AQ2755+'02_Модель'!AQ38+'02_Модель'!AQ39+'02_Модель'!AQ40+'02_Модель'!AQ41+'19_Расчет_аналитики'!AQ2760+'19_Расчет_аналитики'!AQ2650)+(1-'01_Вводные'!$B$21)*('19_Расчет_аналитики'!AP2755+'02_Модель'!AP38+'02_Модель'!AP39+'02_Модель'!AP40+'02_Модель'!AP41+'19_Расчет_аналитики'!AP2760+'19_Расчет_аналитики'!AP2650)</f>
        <v/>
      </c>
      <c r="AR2777">
        <f>'01_Вводные'!$B$21*('19_Расчет_аналитики'!AR2755+'02_Модель'!AR38+'02_Модель'!AR39+'02_Модель'!AR40+'02_Модель'!AR41+'19_Расчет_аналитики'!AR2760+'19_Расчет_аналитики'!AR2650)+(1-'01_Вводные'!$B$21)*('19_Расчет_аналитики'!AQ2755+'02_Модель'!AQ38+'02_Модель'!AQ39+'02_Модель'!AQ40+'02_Модель'!AQ41+'19_Расчет_аналитики'!AQ2760+'19_Расчет_аналитики'!AQ2650)</f>
        <v/>
      </c>
      <c r="AS2777">
        <f>'01_Вводные'!$B$21*('19_Расчет_аналитики'!AS2755+'02_Модель'!AS38+'02_Модель'!AS39+'02_Модель'!AS40+'02_Модель'!AS41+'19_Расчет_аналитики'!AS2760+'19_Расчет_аналитики'!AS2650)+(1-'01_Вводные'!$B$21)*('19_Расчет_аналитики'!AR2755+'02_Модель'!AR38+'02_Модель'!AR39+'02_Модель'!AR40+'02_Модель'!AR41+'19_Расчет_аналитики'!AR2760+'19_Расчет_аналитики'!AR2650)</f>
        <v/>
      </c>
      <c r="AT2777">
        <f>'01_Вводные'!$B$21*('19_Расчет_аналитики'!AT2755+'02_Модель'!AT38+'02_Модель'!AT39+'02_Модель'!AT40+'02_Модель'!AT41+'19_Расчет_аналитики'!AT2760+'19_Расчет_аналитики'!AT2650)+(1-'01_Вводные'!$B$21)*('19_Расчет_аналитики'!AS2755+'02_Модель'!AS38+'02_Модель'!AS39+'02_Модель'!AS40+'02_Модель'!AS41+'19_Расчет_аналитики'!AS2760+'19_Расчет_аналитики'!AS2650)</f>
        <v/>
      </c>
      <c r="AU2777">
        <f>'01_Вводные'!$B$21*('19_Расчет_аналитики'!AU2755+'02_Модель'!AU38+'02_Модель'!AU39+'02_Модель'!AU40+'02_Модель'!AU41+'19_Расчет_аналитики'!AU2760+'19_Расчет_аналитики'!AU2650)+(1-'01_Вводные'!$B$21)*('19_Расчет_аналитики'!AT2755+'02_Модель'!AT38+'02_Модель'!AT39+'02_Модель'!AT40+'02_Модель'!AT41+'19_Расчет_аналитики'!AT2760+'19_Расчет_аналитики'!AT2650)</f>
        <v/>
      </c>
      <c r="AV2777">
        <f>'01_Вводные'!$B$21*('19_Расчет_аналитики'!AV2755+'02_Модель'!AV38+'02_Модель'!AV39+'02_Модель'!AV40+'02_Модель'!AV41+'19_Расчет_аналитики'!AV2760+'19_Расчет_аналитики'!AV2650)+(1-'01_Вводные'!$B$21)*('19_Расчет_аналитики'!AU2755+'02_Модель'!AU38+'02_Модель'!AU39+'02_Модель'!AU40+'02_Модель'!AU41+'19_Расчет_аналитики'!AU2760+'19_Расчет_аналитики'!AU2650)</f>
        <v/>
      </c>
      <c r="AW2777">
        <f>'01_Вводные'!$B$21*('19_Расчет_аналитики'!AW2755+'02_Модель'!AW38+'02_Модель'!AW39+'02_Модель'!AW40+'02_Модель'!AW41+'19_Расчет_аналитики'!AW2760+'19_Расчет_аналитики'!AW2650)+(1-'01_Вводные'!$B$21)*('19_Расчет_аналитики'!AV2755+'02_Модель'!AV38+'02_Модель'!AV39+'02_Модель'!AV40+'02_Модель'!AV41+'19_Расчет_аналитики'!AV2760+'19_Расчет_аналитики'!AV2650)</f>
        <v/>
      </c>
      <c r="AX2777">
        <f>'01_Вводные'!$B$21*('19_Расчет_аналитики'!AX2755+'02_Модель'!AX38+'02_Модель'!AX39+'02_Модель'!AX40+'02_Модель'!AX41+'19_Расчет_аналитики'!AX2760+'19_Расчет_аналитики'!AX2650)+(1-'01_Вводные'!$B$21)*('19_Расчет_аналитики'!AW2755+'02_Модель'!AW38+'02_Модель'!AW39+'02_Модель'!AW40+'02_Модель'!AW41+'19_Расчет_аналитики'!AW2760+'19_Расчет_аналитики'!AW2650)</f>
        <v/>
      </c>
      <c r="AY2777">
        <f>'01_Вводные'!$B$21*('19_Расчет_аналитики'!AY2755+'02_Модель'!AY38+'02_Модель'!AY39+'02_Модель'!AY40+'02_Модель'!AY41+'19_Расчет_аналитики'!AY2760+'19_Расчет_аналитики'!AY2650)+(1-'01_Вводные'!$B$21)*('19_Расчет_аналитики'!AX2755+'02_Модель'!AX38+'02_Модель'!AX39+'02_Модель'!AX40+'02_Модель'!AX41+'19_Расчет_аналитики'!AX2760+'19_Расчет_аналитики'!AX2650)</f>
        <v/>
      </c>
      <c r="AZ2777">
        <f>'01_Вводные'!$B$21*('19_Расчет_аналитики'!AZ2755+'02_Модель'!AZ38+'02_Модель'!AZ39+'02_Модель'!AZ40+'02_Модель'!AZ41+'19_Расчет_аналитики'!AZ2760+'19_Расчет_аналитики'!AZ2650)+(1-'01_Вводные'!$B$21)*('19_Расчет_аналитики'!AY2755+'02_Модель'!AY38+'02_Модель'!AY39+'02_Модель'!AY40+'02_Модель'!AY41+'19_Расчет_аналитики'!AY2760+'19_Расчет_аналитики'!AY2650)</f>
        <v/>
      </c>
      <c r="BA2777">
        <f>'01_Вводные'!$B$21*('19_Расчет_аналитики'!BA2755+'02_Модель'!BA38+'02_Модель'!BA39+'02_Модель'!BA40+'02_Модель'!BA41+'19_Расчет_аналитики'!BA2760+'19_Расчет_аналитики'!BA2650)+(1-'01_Вводные'!$B$21)*('19_Расчет_аналитики'!AZ2755+'02_Модель'!AZ38+'02_Модель'!AZ39+'02_Модель'!AZ40+'02_Модель'!AZ41+'19_Расчет_аналитики'!AZ2760+'19_Расчет_аналитики'!AZ2650)</f>
        <v/>
      </c>
      <c r="BB2777">
        <f>'01_Вводные'!$B$21*('19_Расчет_аналитики'!BB2755+'02_Модель'!BB38+'02_Модель'!BB39+'02_Модель'!BB40+'02_Модель'!BB41+'19_Расчет_аналитики'!BB2760+'19_Расчет_аналитики'!BB2650)+(1-'01_Вводные'!$B$21)*('19_Расчет_аналитики'!BA2755+'02_Модель'!BA38+'02_Модель'!BA39+'02_Модель'!BA40+'02_Модель'!BA41+'19_Расчет_аналитики'!BA2760+'19_Расчет_аналитики'!BA2650)</f>
        <v/>
      </c>
      <c r="BC2777">
        <f>'01_Вводные'!$B$21*('19_Расчет_аналитики'!BC2755+'02_Модель'!BC38+'02_Модель'!BC39+'02_Модель'!BC40+'02_Модель'!BC41+'19_Расчет_аналитики'!BC2760+'19_Расчет_аналитики'!BC2650)+(1-'01_Вводные'!$B$21)*('19_Расчет_аналитики'!BB2755+'02_Модель'!BB38+'02_Модель'!BB39+'02_Модель'!BB40+'02_Модель'!BB41+'19_Расчет_аналитики'!BB2760+'19_Расчет_аналитики'!BB2650)</f>
        <v/>
      </c>
      <c r="BD2777">
        <f>'01_Вводные'!$B$21*('19_Расчет_аналитики'!BD2755+'02_Модель'!BD38+'02_Модель'!BD39+'02_Модель'!BD40+'02_Модель'!BD41+'19_Расчет_аналитики'!BD2760+'19_Расчет_аналитики'!BD2650)+(1-'01_Вводные'!$B$21)*('19_Расчет_аналитики'!BC2755+'02_Модель'!BC38+'02_Модель'!BC39+'02_Модель'!BC40+'02_Модель'!BC41+'19_Расчет_аналитики'!BC2760+'19_Расчет_аналитики'!BC2650)</f>
        <v/>
      </c>
      <c r="BE2777">
        <f>'01_Вводные'!$B$21*('19_Расчет_аналитики'!BE2755+'02_Модель'!BE38+'02_Модель'!BE39+'02_Модель'!BE40+'02_Модель'!BE41+'19_Расчет_аналитики'!BE2760+'19_Расчет_аналитики'!BE2650)+(1-'01_Вводные'!$B$21)*('19_Расчет_аналитики'!BD2755+'02_Модель'!BD38+'02_Модель'!BD39+'02_Модель'!BD40+'02_Модель'!BD41+'19_Расчет_аналитики'!BD2760+'19_Расчет_аналитики'!BD2650)</f>
        <v/>
      </c>
      <c r="BF2777">
        <f>'01_Вводные'!$B$21*('19_Расчет_аналитики'!BF2755+'02_Модель'!BF38+'02_Модель'!BF39+'02_Модель'!BF40+'02_Модель'!BF41+'19_Расчет_аналитики'!BF2760+'19_Расчет_аналитики'!BF2650)+(1-'01_Вводные'!$B$21)*('19_Расчет_аналитики'!BE2755+'02_Модель'!BE38+'02_Модель'!BE39+'02_Модель'!BE40+'02_Модель'!BE41+'19_Расчет_аналитики'!BE2760+'19_Расчет_аналитики'!BE2650)</f>
        <v/>
      </c>
      <c r="BG2777">
        <f>'01_Вводные'!$B$21*('19_Расчет_аналитики'!BG2755+'02_Модель'!BG38+'02_Модель'!BG39+'02_Модель'!BG40+'02_Модель'!BG41+'19_Расчет_аналитики'!BG2760+'19_Расчет_аналитики'!BG2650)+(1-'01_Вводные'!$B$21)*('19_Расчет_аналитики'!BF2755+'02_Модель'!BF38+'02_Модель'!BF39+'02_Модель'!BF40+'02_Модель'!BF41+'19_Расчет_аналитики'!BF2760+'19_Расчет_аналитики'!BF2650)</f>
        <v/>
      </c>
      <c r="BH2777">
        <f>'01_Вводные'!$B$21*('19_Расчет_аналитики'!BH2755+'02_Модель'!BH38+'02_Модель'!BH39+'02_Модель'!BH40+'02_Модель'!BH41+'19_Расчет_аналитики'!BH2760+'19_Расчет_аналитики'!BH2650)+(1-'01_Вводные'!$B$21)*('19_Расчет_аналитики'!BG2755+'02_Модель'!BG38+'02_Модель'!BG39+'02_Модель'!BG40+'02_Модель'!BG41+'19_Расчет_аналитики'!BG2760+'19_Расчет_аналитики'!BG2650)</f>
        <v/>
      </c>
      <c r="BI2777">
        <f>'01_Вводные'!$B$21*('19_Расчет_аналитики'!BI2755+'02_Модель'!BI38+'02_Модель'!BI39+'02_Модель'!BI40+'02_Модель'!BI41+'19_Расчет_аналитики'!BI2760+'19_Расчет_аналитики'!BI2650)+(1-'01_Вводные'!$B$21)*('19_Расчет_аналитики'!BH2755+'02_Модель'!BH38+'02_Модель'!BH39+'02_Модель'!BH40+'02_Модель'!BH41+'19_Расчет_аналитики'!BH2760+'19_Расчет_аналитики'!BH2650)</f>
        <v/>
      </c>
    </row>
    <row r="2778">
      <c r="B2778">
        <f>'02_Модель'!B60</f>
        <v/>
      </c>
      <c r="C2778">
        <f>'19_Расчет_аналитики'!C2754</f>
        <v/>
      </c>
      <c r="D2778">
        <f>'19_Расчет_аналитики'!D2754</f>
        <v/>
      </c>
      <c r="E2778">
        <f>'19_Расчет_аналитики'!E2754</f>
        <v/>
      </c>
      <c r="F2778">
        <f>'19_Расчет_аналитики'!F2754</f>
        <v/>
      </c>
      <c r="G2778">
        <f>'19_Расчет_аналитики'!G2754</f>
        <v/>
      </c>
      <c r="H2778">
        <f>'19_Расчет_аналитики'!H2754</f>
        <v/>
      </c>
      <c r="I2778">
        <f>'19_Расчет_аналитики'!I2754</f>
        <v/>
      </c>
      <c r="J2778">
        <f>'19_Расчет_аналитики'!J2754</f>
        <v/>
      </c>
      <c r="K2778">
        <f>'19_Расчет_аналитики'!K2754</f>
        <v/>
      </c>
      <c r="L2778">
        <f>'19_Расчет_аналитики'!L2754</f>
        <v/>
      </c>
      <c r="M2778">
        <f>'19_Расчет_аналитики'!M2754</f>
        <v/>
      </c>
      <c r="N2778">
        <f>'19_Расчет_аналитики'!N2754</f>
        <v/>
      </c>
      <c r="O2778">
        <f>'19_Расчет_аналитики'!O2754</f>
        <v/>
      </c>
      <c r="P2778">
        <f>'19_Расчет_аналитики'!P2754</f>
        <v/>
      </c>
      <c r="Q2778">
        <f>'19_Расчет_аналитики'!Q2754</f>
        <v/>
      </c>
      <c r="R2778">
        <f>'19_Расчет_аналитики'!R2754</f>
        <v/>
      </c>
      <c r="S2778">
        <f>'19_Расчет_аналитики'!S2754</f>
        <v/>
      </c>
      <c r="T2778">
        <f>'19_Расчет_аналитики'!T2754</f>
        <v/>
      </c>
      <c r="U2778">
        <f>'19_Расчет_аналитики'!U2754</f>
        <v/>
      </c>
      <c r="V2778">
        <f>'19_Расчет_аналитики'!V2754</f>
        <v/>
      </c>
      <c r="W2778">
        <f>'19_Расчет_аналитики'!W2754</f>
        <v/>
      </c>
      <c r="X2778">
        <f>'19_Расчет_аналитики'!X2754</f>
        <v/>
      </c>
      <c r="Y2778">
        <f>'19_Расчет_аналитики'!Y2754</f>
        <v/>
      </c>
      <c r="Z2778">
        <f>'19_Расчет_аналитики'!Z2754</f>
        <v/>
      </c>
      <c r="AA2778">
        <f>'19_Расчет_аналитики'!AA2754</f>
        <v/>
      </c>
      <c r="AB2778">
        <f>'19_Расчет_аналитики'!AB2754</f>
        <v/>
      </c>
      <c r="AC2778">
        <f>'19_Расчет_аналитики'!AC2754</f>
        <v/>
      </c>
      <c r="AD2778">
        <f>'19_Расчет_аналитики'!AD2754</f>
        <v/>
      </c>
      <c r="AE2778">
        <f>'19_Расчет_аналитики'!AE2754</f>
        <v/>
      </c>
      <c r="AF2778">
        <f>'19_Расчет_аналитики'!AF2754</f>
        <v/>
      </c>
      <c r="AG2778">
        <f>'19_Расчет_аналитики'!AG2754</f>
        <v/>
      </c>
      <c r="AH2778">
        <f>'19_Расчет_аналитики'!AH2754</f>
        <v/>
      </c>
      <c r="AI2778">
        <f>'19_Расчет_аналитики'!AI2754</f>
        <v/>
      </c>
      <c r="AJ2778">
        <f>'19_Расчет_аналитики'!AJ2754</f>
        <v/>
      </c>
      <c r="AK2778">
        <f>'19_Расчет_аналитики'!AK2754</f>
        <v/>
      </c>
      <c r="AL2778">
        <f>'19_Расчет_аналитики'!AL2754</f>
        <v/>
      </c>
      <c r="AM2778">
        <f>'19_Расчет_аналитики'!AM2754</f>
        <v/>
      </c>
      <c r="AN2778">
        <f>'19_Расчет_аналитики'!AN2754</f>
        <v/>
      </c>
      <c r="AO2778">
        <f>'19_Расчет_аналитики'!AO2754</f>
        <v/>
      </c>
      <c r="AP2778">
        <f>'19_Расчет_аналитики'!AP2754</f>
        <v/>
      </c>
      <c r="AQ2778">
        <f>'19_Расчет_аналитики'!AQ2754</f>
        <v/>
      </c>
      <c r="AR2778">
        <f>'19_Расчет_аналитики'!AR2754</f>
        <v/>
      </c>
      <c r="AS2778">
        <f>'19_Расчет_аналитики'!AS2754</f>
        <v/>
      </c>
      <c r="AT2778">
        <f>'19_Расчет_аналитики'!AT2754</f>
        <v/>
      </c>
      <c r="AU2778">
        <f>'19_Расчет_аналитики'!AU2754</f>
        <v/>
      </c>
      <c r="AV2778">
        <f>'19_Расчет_аналитики'!AV2754</f>
        <v/>
      </c>
      <c r="AW2778">
        <f>'19_Расчет_аналитики'!AW2754</f>
        <v/>
      </c>
      <c r="AX2778">
        <f>'19_Расчет_аналитики'!AX2754</f>
        <v/>
      </c>
      <c r="AY2778">
        <f>'19_Расчет_аналитики'!AY2754</f>
        <v/>
      </c>
      <c r="AZ2778">
        <f>'19_Расчет_аналитики'!AZ2754</f>
        <v/>
      </c>
      <c r="BA2778">
        <f>'19_Расчет_аналитики'!BA2754</f>
        <v/>
      </c>
      <c r="BB2778">
        <f>'19_Расчет_аналитики'!BB2754</f>
        <v/>
      </c>
      <c r="BC2778">
        <f>'19_Расчет_аналитики'!BC2754</f>
        <v/>
      </c>
      <c r="BD2778">
        <f>'19_Расчет_аналитики'!BD2754</f>
        <v/>
      </c>
      <c r="BE2778">
        <f>'19_Расчет_аналитики'!BE2754</f>
        <v/>
      </c>
      <c r="BF2778">
        <f>'19_Расчет_аналитики'!BF2754</f>
        <v/>
      </c>
      <c r="BG2778">
        <f>'19_Расчет_аналитики'!BG2754</f>
        <v/>
      </c>
      <c r="BH2778">
        <f>'19_Расчет_аналитики'!BH2754</f>
        <v/>
      </c>
      <c r="BI2778">
        <f>'19_Расчет_аналитики'!BI2754</f>
        <v/>
      </c>
    </row>
    <row r="2779">
      <c r="B2779">
        <f>'02_Модель'!B29+('19_Расчет_аналитики'!B2771/(1+'01_Вводные'!$B$58))*'01_Вводные'!$B$60+'19_Расчет_аналитики'!B2746</f>
        <v/>
      </c>
      <c r="C2779">
        <f>'19_Расчет_аналитики'!C2747+('19_Расчет_аналитики'!C2771/(1+'01_Вводные'!$B$58))*'01_Вводные'!$B$60+'19_Расчет_аналитики'!C2746</f>
        <v/>
      </c>
      <c r="D2779">
        <f>'19_Расчет_аналитики'!D2747+('19_Расчет_аналитики'!D2771/(1+'01_Вводные'!$B$58))*'01_Вводные'!$B$60+'19_Расчет_аналитики'!D2746</f>
        <v/>
      </c>
      <c r="E2779">
        <f>'19_Расчет_аналитики'!E2747+('19_Расчет_аналитики'!E2771/(1+'01_Вводные'!$B$58))*'01_Вводные'!$B$60+'19_Расчет_аналитики'!E2746</f>
        <v/>
      </c>
      <c r="F2779">
        <f>'19_Расчет_аналитики'!F2747+('19_Расчет_аналитики'!F2771/(1+'01_Вводные'!$B$58))*'01_Вводные'!$B$60+'19_Расчет_аналитики'!F2746</f>
        <v/>
      </c>
      <c r="G2779">
        <f>'19_Расчет_аналитики'!G2747+('19_Расчет_аналитики'!G2771/(1+'01_Вводные'!$B$58))*'01_Вводные'!$B$60+'19_Расчет_аналитики'!G2746</f>
        <v/>
      </c>
      <c r="H2779">
        <f>'19_Расчет_аналитики'!H2747+('19_Расчет_аналитики'!H2771/(1+'01_Вводные'!$B$58))*'01_Вводные'!$B$60+'19_Расчет_аналитики'!H2746</f>
        <v/>
      </c>
      <c r="I2779">
        <f>'19_Расчет_аналитики'!I2747+('19_Расчет_аналитики'!I2771/(1+'01_Вводные'!$B$58))*'01_Вводные'!$B$60+'19_Расчет_аналитики'!I2746</f>
        <v/>
      </c>
      <c r="J2779">
        <f>'19_Расчет_аналитики'!J2747+('19_Расчет_аналитики'!J2771/(1+'01_Вводные'!$B$58))*'01_Вводные'!$B$60+'19_Расчет_аналитики'!J2746</f>
        <v/>
      </c>
      <c r="K2779">
        <f>'19_Расчет_аналитики'!K2747+('19_Расчет_аналитики'!K2771/(1+'01_Вводные'!$B$58))*'01_Вводные'!$B$60+'19_Расчет_аналитики'!K2746</f>
        <v/>
      </c>
      <c r="L2779">
        <f>'19_Расчет_аналитики'!L2747+('19_Расчет_аналитики'!L2771/(1+'01_Вводные'!$B$58))*'01_Вводные'!$B$60+'19_Расчет_аналитики'!L2746</f>
        <v/>
      </c>
      <c r="M2779">
        <f>'19_Расчет_аналитики'!M2747+('19_Расчет_аналитики'!M2771/(1+'01_Вводные'!$B$58))*'01_Вводные'!$B$60+'19_Расчет_аналитики'!M2746</f>
        <v/>
      </c>
      <c r="N2779">
        <f>'19_Расчет_аналитики'!N2747+('19_Расчет_аналитики'!N2771/(1+'01_Вводные'!$B$58))*'01_Вводные'!$B$60+'19_Расчет_аналитики'!N2746</f>
        <v/>
      </c>
      <c r="O2779">
        <f>'19_Расчет_аналитики'!O2747+('19_Расчет_аналитики'!O2771/(1+'01_Вводные'!$B$58))*'01_Вводные'!$B$60+'19_Расчет_аналитики'!O2746</f>
        <v/>
      </c>
      <c r="P2779">
        <f>'19_Расчет_аналитики'!P2747+('19_Расчет_аналитики'!P2771/(1+'01_Вводные'!$B$58))*'01_Вводные'!$B$60+'19_Расчет_аналитики'!P2746</f>
        <v/>
      </c>
      <c r="Q2779">
        <f>'19_Расчет_аналитики'!Q2747+('19_Расчет_аналитики'!Q2771/(1+'01_Вводные'!$B$58))*'01_Вводные'!$B$60+'19_Расчет_аналитики'!Q2746</f>
        <v/>
      </c>
      <c r="R2779">
        <f>'19_Расчет_аналитики'!R2747+('19_Расчет_аналитики'!R2771/(1+'01_Вводные'!$B$58))*'01_Вводные'!$B$60+'19_Расчет_аналитики'!R2746</f>
        <v/>
      </c>
      <c r="S2779">
        <f>'19_Расчет_аналитики'!S2747+('19_Расчет_аналитики'!S2771/(1+'01_Вводные'!$B$58))*'01_Вводные'!$B$60+'19_Расчет_аналитики'!S2746</f>
        <v/>
      </c>
      <c r="T2779">
        <f>'19_Расчет_аналитики'!T2747+('19_Расчет_аналитики'!T2771/(1+'01_Вводные'!$B$58))*'01_Вводные'!$B$60+'19_Расчет_аналитики'!T2746</f>
        <v/>
      </c>
      <c r="U2779">
        <f>'19_Расчет_аналитики'!U2747+('19_Расчет_аналитики'!U2771/(1+'01_Вводные'!$B$58))*'01_Вводные'!$B$60+'19_Расчет_аналитики'!U2746</f>
        <v/>
      </c>
      <c r="V2779">
        <f>'19_Расчет_аналитики'!V2747+('19_Расчет_аналитики'!V2771/(1+'01_Вводные'!$B$58))*'01_Вводные'!$B$60+'19_Расчет_аналитики'!V2746</f>
        <v/>
      </c>
      <c r="W2779">
        <f>'19_Расчет_аналитики'!W2747+('19_Расчет_аналитики'!W2771/(1+'01_Вводные'!$B$58))*'01_Вводные'!$B$60+'19_Расчет_аналитики'!W2746</f>
        <v/>
      </c>
      <c r="X2779">
        <f>'19_Расчет_аналитики'!X2747+('19_Расчет_аналитики'!X2771/(1+'01_Вводные'!$B$58))*'01_Вводные'!$B$60+'19_Расчет_аналитики'!X2746</f>
        <v/>
      </c>
      <c r="Y2779">
        <f>'19_Расчет_аналитики'!Y2747+('19_Расчет_аналитики'!Y2771/(1+'01_Вводные'!$B$58))*'01_Вводные'!$B$60+'19_Расчет_аналитики'!Y2746</f>
        <v/>
      </c>
      <c r="Z2779">
        <f>'19_Расчет_аналитики'!Z2747+('19_Расчет_аналитики'!Z2771/(1+'01_Вводные'!$B$58))*'01_Вводные'!$B$60+'19_Расчет_аналитики'!Z2746</f>
        <v/>
      </c>
      <c r="AA2779">
        <f>'19_Расчет_аналитики'!AA2747+('19_Расчет_аналитики'!AA2771/(1+'01_Вводные'!$B$58))*'01_Вводные'!$B$60+'19_Расчет_аналитики'!AA2746</f>
        <v/>
      </c>
      <c r="AB2779">
        <f>'19_Расчет_аналитики'!AB2747+('19_Расчет_аналитики'!AB2771/(1+'01_Вводные'!$B$58))*'01_Вводные'!$B$60+'19_Расчет_аналитики'!AB2746</f>
        <v/>
      </c>
      <c r="AC2779">
        <f>'19_Расчет_аналитики'!AC2747+('19_Расчет_аналитики'!AC2771/(1+'01_Вводные'!$B$58))*'01_Вводные'!$B$60+'19_Расчет_аналитики'!AC2746</f>
        <v/>
      </c>
      <c r="AD2779">
        <f>'19_Расчет_аналитики'!AD2747+('19_Расчет_аналитики'!AD2771/(1+'01_Вводные'!$B$58))*'01_Вводные'!$B$60+'19_Расчет_аналитики'!AD2746</f>
        <v/>
      </c>
      <c r="AE2779">
        <f>'19_Расчет_аналитики'!AE2747+('19_Расчет_аналитики'!AE2771/(1+'01_Вводные'!$B$58))*'01_Вводные'!$B$60+'19_Расчет_аналитики'!AE2746</f>
        <v/>
      </c>
      <c r="AF2779">
        <f>'19_Расчет_аналитики'!AF2747+('19_Расчет_аналитики'!AF2771/(1+'01_Вводные'!$B$58))*'01_Вводные'!$B$60+'19_Расчет_аналитики'!AF2746</f>
        <v/>
      </c>
      <c r="AG2779">
        <f>'19_Расчет_аналитики'!AG2747+('19_Расчет_аналитики'!AG2771/(1+'01_Вводные'!$B$58))*'01_Вводные'!$B$60+'19_Расчет_аналитики'!AG2746</f>
        <v/>
      </c>
      <c r="AH2779">
        <f>'19_Расчет_аналитики'!AH2747+('19_Расчет_аналитики'!AH2771/(1+'01_Вводные'!$B$58))*'01_Вводные'!$B$60+'19_Расчет_аналитики'!AH2746</f>
        <v/>
      </c>
      <c r="AI2779">
        <f>'19_Расчет_аналитики'!AI2747+('19_Расчет_аналитики'!AI2771/(1+'01_Вводные'!$B$58))*'01_Вводные'!$B$60+'19_Расчет_аналитики'!AI2746</f>
        <v/>
      </c>
      <c r="AJ2779">
        <f>'19_Расчет_аналитики'!AJ2747+('19_Расчет_аналитики'!AJ2771/(1+'01_Вводные'!$B$58))*'01_Вводные'!$B$60+'19_Расчет_аналитики'!AJ2746</f>
        <v/>
      </c>
      <c r="AK2779">
        <f>'19_Расчет_аналитики'!AK2747+('19_Расчет_аналитики'!AK2771/(1+'01_Вводные'!$B$58))*'01_Вводные'!$B$60+'19_Расчет_аналитики'!AK2746</f>
        <v/>
      </c>
      <c r="AL2779">
        <f>'19_Расчет_аналитики'!AL2747+('19_Расчет_аналитики'!AL2771/(1+'01_Вводные'!$B$58))*'01_Вводные'!$B$60+'19_Расчет_аналитики'!AL2746</f>
        <v/>
      </c>
      <c r="AM2779">
        <f>'19_Расчет_аналитики'!AM2747+('19_Расчет_аналитики'!AM2771/(1+'01_Вводные'!$B$58))*'01_Вводные'!$B$60+'19_Расчет_аналитики'!AM2746</f>
        <v/>
      </c>
      <c r="AN2779">
        <f>'19_Расчет_аналитики'!AN2747+('19_Расчет_аналитики'!AN2771/(1+'01_Вводные'!$B$58))*'01_Вводные'!$B$60+'19_Расчет_аналитики'!AN2746</f>
        <v/>
      </c>
      <c r="AO2779">
        <f>'19_Расчет_аналитики'!AO2747+('19_Расчет_аналитики'!AO2771/(1+'01_Вводные'!$B$58))*'01_Вводные'!$B$60+'19_Расчет_аналитики'!AO2746</f>
        <v/>
      </c>
      <c r="AP2779">
        <f>'19_Расчет_аналитики'!AP2747+('19_Расчет_аналитики'!AP2771/(1+'01_Вводные'!$B$58))*'01_Вводные'!$B$60+'19_Расчет_аналитики'!AP2746</f>
        <v/>
      </c>
      <c r="AQ2779">
        <f>'19_Расчет_аналитики'!AQ2747+('19_Расчет_аналитики'!AQ2771/(1+'01_Вводные'!$B$58))*'01_Вводные'!$B$60+'19_Расчет_аналитики'!AQ2746</f>
        <v/>
      </c>
      <c r="AR2779">
        <f>'19_Расчет_аналитики'!AR2747+('19_Расчет_аналитики'!AR2771/(1+'01_Вводные'!$B$58))*'01_Вводные'!$B$60+'19_Расчет_аналитики'!AR2746</f>
        <v/>
      </c>
      <c r="AS2779">
        <f>'19_Расчет_аналитики'!AS2747+('19_Расчет_аналитики'!AS2771/(1+'01_Вводные'!$B$58))*'01_Вводные'!$B$60+'19_Расчет_аналитики'!AS2746</f>
        <v/>
      </c>
      <c r="AT2779">
        <f>'19_Расчет_аналитики'!AT2747+('19_Расчет_аналитики'!AT2771/(1+'01_Вводные'!$B$58))*'01_Вводные'!$B$60+'19_Расчет_аналитики'!AT2746</f>
        <v/>
      </c>
      <c r="AU2779">
        <f>'19_Расчет_аналитики'!AU2747+('19_Расчет_аналитики'!AU2771/(1+'01_Вводные'!$B$58))*'01_Вводные'!$B$60+'19_Расчет_аналитики'!AU2746</f>
        <v/>
      </c>
      <c r="AV2779">
        <f>'19_Расчет_аналитики'!AV2747+('19_Расчет_аналитики'!AV2771/(1+'01_Вводные'!$B$58))*'01_Вводные'!$B$60+'19_Расчет_аналитики'!AV2746</f>
        <v/>
      </c>
      <c r="AW2779">
        <f>'19_Расчет_аналитики'!AW2747+('19_Расчет_аналитики'!AW2771/(1+'01_Вводные'!$B$58))*'01_Вводные'!$B$60+'19_Расчет_аналитики'!AW2746</f>
        <v/>
      </c>
      <c r="AX2779">
        <f>'19_Расчет_аналитики'!AX2747+('19_Расчет_аналитики'!AX2771/(1+'01_Вводные'!$B$58))*'01_Вводные'!$B$60+'19_Расчет_аналитики'!AX2746</f>
        <v/>
      </c>
      <c r="AY2779">
        <f>'19_Расчет_аналитики'!AY2747+('19_Расчет_аналитики'!AY2771/(1+'01_Вводные'!$B$58))*'01_Вводные'!$B$60+'19_Расчет_аналитики'!AY2746</f>
        <v/>
      </c>
      <c r="AZ2779">
        <f>'19_Расчет_аналитики'!AZ2747+('19_Расчет_аналитики'!AZ2771/(1+'01_Вводные'!$B$58))*'01_Вводные'!$B$60+'19_Расчет_аналитики'!AZ2746</f>
        <v/>
      </c>
      <c r="BA2779">
        <f>'19_Расчет_аналитики'!BA2747+('19_Расчет_аналитики'!BA2771/(1+'01_Вводные'!$B$58))*'01_Вводные'!$B$60+'19_Расчет_аналитики'!BA2746</f>
        <v/>
      </c>
      <c r="BB2779">
        <f>'19_Расчет_аналитики'!BB2747+('19_Расчет_аналитики'!BB2771/(1+'01_Вводные'!$B$58))*'01_Вводные'!$B$60+'19_Расчет_аналитики'!BB2746</f>
        <v/>
      </c>
      <c r="BC2779">
        <f>'19_Расчет_аналитики'!BC2747+('19_Расчет_аналитики'!BC2771/(1+'01_Вводные'!$B$58))*'01_Вводные'!$B$60+'19_Расчет_аналитики'!BC2746</f>
        <v/>
      </c>
      <c r="BD2779">
        <f>'19_Расчет_аналитики'!BD2747+('19_Расчет_аналитики'!BD2771/(1+'01_Вводные'!$B$58))*'01_Вводные'!$B$60+'19_Расчет_аналитики'!BD2746</f>
        <v/>
      </c>
      <c r="BE2779">
        <f>'19_Расчет_аналитики'!BE2747+('19_Расчет_аналитики'!BE2771/(1+'01_Вводные'!$B$58))*'01_Вводные'!$B$60+'19_Расчет_аналитики'!BE2746</f>
        <v/>
      </c>
      <c r="BF2779">
        <f>'19_Расчет_аналитики'!BF2747+('19_Расчет_аналитики'!BF2771/(1+'01_Вводные'!$B$58))*'01_Вводные'!$B$60+'19_Расчет_аналитики'!BF2746</f>
        <v/>
      </c>
      <c r="BG2779">
        <f>'19_Расчет_аналитики'!BG2747+('19_Расчет_аналитики'!BG2771/(1+'01_Вводные'!$B$58))*'01_Вводные'!$B$60+'19_Расчет_аналитики'!BG2746</f>
        <v/>
      </c>
      <c r="BH2779">
        <f>'19_Расчет_аналитики'!BH2747+('19_Расчет_аналитики'!BH2771/(1+'01_Вводные'!$B$58))*'01_Вводные'!$B$60+'19_Расчет_аналитики'!BH2746</f>
        <v/>
      </c>
      <c r="BI2779">
        <f>'19_Расчет_аналитики'!BI2747+('19_Расчет_аналитики'!BI2771/(1+'01_Вводные'!$B$58))*'01_Вводные'!$B$60+'19_Расчет_аналитики'!BI2746</f>
        <v/>
      </c>
    </row>
    <row r="2780">
      <c r="B2780">
        <f>('02_Модель'!B52+'19_Расчет_аналитики'!B2771+'19_Расчет_аналитики'!B2772)-('02_Модель'!B52+'19_Расчет_аналитики'!B2771+'19_Расчет_аналитики'!B2772)/(1+'01_Вводные'!$B$58)</f>
        <v/>
      </c>
      <c r="C2780">
        <f>('19_Расчет_аналитики'!C2770+'19_Расчет_аналитики'!C2771+'19_Расчет_аналитики'!C2772)-('19_Расчет_аналитики'!C2770+'19_Расчет_аналитики'!C2771+'19_Расчет_аналитики'!C2772)/(1+'01_Вводные'!$B$58)</f>
        <v/>
      </c>
      <c r="D2780">
        <f>('19_Расчет_аналитики'!D2770+'19_Расчет_аналитики'!D2771+'19_Расчет_аналитики'!D2772)-('19_Расчет_аналитики'!D2770+'19_Расчет_аналитики'!D2771+'19_Расчет_аналитики'!D2772)/(1+'01_Вводные'!$B$58)</f>
        <v/>
      </c>
      <c r="E2780">
        <f>('19_Расчет_аналитики'!E2770+'19_Расчет_аналитики'!E2771+'19_Расчет_аналитики'!E2772)-('19_Расчет_аналитики'!E2770+'19_Расчет_аналитики'!E2771+'19_Расчет_аналитики'!E2772)/(1+'01_Вводные'!$B$58)</f>
        <v/>
      </c>
      <c r="F2780">
        <f>('19_Расчет_аналитики'!F2770+'19_Расчет_аналитики'!F2771+'19_Расчет_аналитики'!F2772)-('19_Расчет_аналитики'!F2770+'19_Расчет_аналитики'!F2771+'19_Расчет_аналитики'!F2772)/(1+'01_Вводные'!$B$58)</f>
        <v/>
      </c>
      <c r="G2780">
        <f>('19_Расчет_аналитики'!G2770+'19_Расчет_аналитики'!G2771+'19_Расчет_аналитики'!G2772)-('19_Расчет_аналитики'!G2770+'19_Расчет_аналитики'!G2771+'19_Расчет_аналитики'!G2772)/(1+'01_Вводные'!$B$58)</f>
        <v/>
      </c>
      <c r="H2780">
        <f>('19_Расчет_аналитики'!H2770+'19_Расчет_аналитики'!H2771+'19_Расчет_аналитики'!H2772)-('19_Расчет_аналитики'!H2770+'19_Расчет_аналитики'!H2771+'19_Расчет_аналитики'!H2772)/(1+'01_Вводные'!$B$58)</f>
        <v/>
      </c>
      <c r="I2780">
        <f>('19_Расчет_аналитики'!I2770+'19_Расчет_аналитики'!I2771+'19_Расчет_аналитики'!I2772)-('19_Расчет_аналитики'!I2770+'19_Расчет_аналитики'!I2771+'19_Расчет_аналитики'!I2772)/(1+'01_Вводные'!$B$58)</f>
        <v/>
      </c>
      <c r="J2780">
        <f>('19_Расчет_аналитики'!J2770+'19_Расчет_аналитики'!J2771+'19_Расчет_аналитики'!J2772)-('19_Расчет_аналитики'!J2770+'19_Расчет_аналитики'!J2771+'19_Расчет_аналитики'!J2772)/(1+'01_Вводные'!$B$58)</f>
        <v/>
      </c>
      <c r="K2780">
        <f>('19_Расчет_аналитики'!K2770+'19_Расчет_аналитики'!K2771+'19_Расчет_аналитики'!K2772)-('19_Расчет_аналитики'!K2770+'19_Расчет_аналитики'!K2771+'19_Расчет_аналитики'!K2772)/(1+'01_Вводные'!$B$58)</f>
        <v/>
      </c>
      <c r="L2780">
        <f>('19_Расчет_аналитики'!L2770+'19_Расчет_аналитики'!L2771+'19_Расчет_аналитики'!L2772)-('19_Расчет_аналитики'!L2770+'19_Расчет_аналитики'!L2771+'19_Расчет_аналитики'!L2772)/(1+'01_Вводные'!$B$58)</f>
        <v/>
      </c>
      <c r="M2780">
        <f>('19_Расчет_аналитики'!M2770+'19_Расчет_аналитики'!M2771+'19_Расчет_аналитики'!M2772)-('19_Расчет_аналитики'!M2770+'19_Расчет_аналитики'!M2771+'19_Расчет_аналитики'!M2772)/(1+'01_Вводные'!$B$58)</f>
        <v/>
      </c>
      <c r="N2780">
        <f>('19_Расчет_аналитики'!N2770+'19_Расчет_аналитики'!N2771+'19_Расчет_аналитики'!N2772)-('19_Расчет_аналитики'!N2770+'19_Расчет_аналитики'!N2771+'19_Расчет_аналитики'!N2772)/(1+'01_Вводные'!$B$58)</f>
        <v/>
      </c>
      <c r="O2780">
        <f>('19_Расчет_аналитики'!O2770+'19_Расчет_аналитики'!O2771+'19_Расчет_аналитики'!O2772)-('19_Расчет_аналитики'!O2770+'19_Расчет_аналитики'!O2771+'19_Расчет_аналитики'!O2772)/(1+'01_Вводные'!$B$58)</f>
        <v/>
      </c>
      <c r="P2780">
        <f>('19_Расчет_аналитики'!P2770+'19_Расчет_аналитики'!P2771+'19_Расчет_аналитики'!P2772)-('19_Расчет_аналитики'!P2770+'19_Расчет_аналитики'!P2771+'19_Расчет_аналитики'!P2772)/(1+'01_Вводные'!$B$58)</f>
        <v/>
      </c>
      <c r="Q2780">
        <f>('19_Расчет_аналитики'!Q2770+'19_Расчет_аналитики'!Q2771+'19_Расчет_аналитики'!Q2772)-('19_Расчет_аналитики'!Q2770+'19_Расчет_аналитики'!Q2771+'19_Расчет_аналитики'!Q2772)/(1+'01_Вводные'!$B$58)</f>
        <v/>
      </c>
      <c r="R2780">
        <f>('19_Расчет_аналитики'!R2770+'19_Расчет_аналитики'!R2771+'19_Расчет_аналитики'!R2772)-('19_Расчет_аналитики'!R2770+'19_Расчет_аналитики'!R2771+'19_Расчет_аналитики'!R2772)/(1+'01_Вводные'!$B$58)</f>
        <v/>
      </c>
      <c r="S2780">
        <f>('19_Расчет_аналитики'!S2770+'19_Расчет_аналитики'!S2771+'19_Расчет_аналитики'!S2772)-('19_Расчет_аналитики'!S2770+'19_Расчет_аналитики'!S2771+'19_Расчет_аналитики'!S2772)/(1+'01_Вводные'!$B$58)</f>
        <v/>
      </c>
      <c r="T2780">
        <f>('19_Расчет_аналитики'!T2770+'19_Расчет_аналитики'!T2771+'19_Расчет_аналитики'!T2772)-('19_Расчет_аналитики'!T2770+'19_Расчет_аналитики'!T2771+'19_Расчет_аналитики'!T2772)/(1+'01_Вводные'!$B$58)</f>
        <v/>
      </c>
      <c r="U2780">
        <f>('19_Расчет_аналитики'!U2770+'19_Расчет_аналитики'!U2771+'19_Расчет_аналитики'!U2772)-('19_Расчет_аналитики'!U2770+'19_Расчет_аналитики'!U2771+'19_Расчет_аналитики'!U2772)/(1+'01_Вводные'!$B$58)</f>
        <v/>
      </c>
      <c r="V2780">
        <f>('19_Расчет_аналитики'!V2770+'19_Расчет_аналитики'!V2771+'19_Расчет_аналитики'!V2772)-('19_Расчет_аналитики'!V2770+'19_Расчет_аналитики'!V2771+'19_Расчет_аналитики'!V2772)/(1+'01_Вводные'!$B$58)</f>
        <v/>
      </c>
      <c r="W2780">
        <f>('19_Расчет_аналитики'!W2770+'19_Расчет_аналитики'!W2771+'19_Расчет_аналитики'!W2772)-('19_Расчет_аналитики'!W2770+'19_Расчет_аналитики'!W2771+'19_Расчет_аналитики'!W2772)/(1+'01_Вводные'!$B$58)</f>
        <v/>
      </c>
      <c r="X2780">
        <f>('19_Расчет_аналитики'!X2770+'19_Расчет_аналитики'!X2771+'19_Расчет_аналитики'!X2772)-('19_Расчет_аналитики'!X2770+'19_Расчет_аналитики'!X2771+'19_Расчет_аналитики'!X2772)/(1+'01_Вводные'!$B$58)</f>
        <v/>
      </c>
      <c r="Y2780">
        <f>('19_Расчет_аналитики'!Y2770+'19_Расчет_аналитики'!Y2771+'19_Расчет_аналитики'!Y2772)-('19_Расчет_аналитики'!Y2770+'19_Расчет_аналитики'!Y2771+'19_Расчет_аналитики'!Y2772)/(1+'01_Вводные'!$B$58)</f>
        <v/>
      </c>
      <c r="Z2780">
        <f>('19_Расчет_аналитики'!Z2770+'19_Расчет_аналитики'!Z2771+'19_Расчет_аналитики'!Z2772)-('19_Расчет_аналитики'!Z2770+'19_Расчет_аналитики'!Z2771+'19_Расчет_аналитики'!Z2772)/(1+'01_Вводные'!$B$58)</f>
        <v/>
      </c>
      <c r="AA2780">
        <f>('19_Расчет_аналитики'!AA2770+'19_Расчет_аналитики'!AA2771+'19_Расчет_аналитики'!AA2772)-('19_Расчет_аналитики'!AA2770+'19_Расчет_аналитики'!AA2771+'19_Расчет_аналитики'!AA2772)/(1+'01_Вводные'!$B$58)</f>
        <v/>
      </c>
      <c r="AB2780">
        <f>('19_Расчет_аналитики'!AB2770+'19_Расчет_аналитики'!AB2771+'19_Расчет_аналитики'!AB2772)-('19_Расчет_аналитики'!AB2770+'19_Расчет_аналитики'!AB2771+'19_Расчет_аналитики'!AB2772)/(1+'01_Вводные'!$B$58)</f>
        <v/>
      </c>
      <c r="AC2780">
        <f>('19_Расчет_аналитики'!AC2770+'19_Расчет_аналитики'!AC2771+'19_Расчет_аналитики'!AC2772)-('19_Расчет_аналитики'!AC2770+'19_Расчет_аналитики'!AC2771+'19_Расчет_аналитики'!AC2772)/(1+'01_Вводные'!$B$58)</f>
        <v/>
      </c>
      <c r="AD2780">
        <f>('19_Расчет_аналитики'!AD2770+'19_Расчет_аналитики'!AD2771+'19_Расчет_аналитики'!AD2772)-('19_Расчет_аналитики'!AD2770+'19_Расчет_аналитики'!AD2771+'19_Расчет_аналитики'!AD2772)/(1+'01_Вводные'!$B$58)</f>
        <v/>
      </c>
      <c r="AE2780">
        <f>('19_Расчет_аналитики'!AE2770+'19_Расчет_аналитики'!AE2771+'19_Расчет_аналитики'!AE2772)-('19_Расчет_аналитики'!AE2770+'19_Расчет_аналитики'!AE2771+'19_Расчет_аналитики'!AE2772)/(1+'01_Вводные'!$B$58)</f>
        <v/>
      </c>
      <c r="AF2780">
        <f>('19_Расчет_аналитики'!AF2770+'19_Расчет_аналитики'!AF2771+'19_Расчет_аналитики'!AF2772)-('19_Расчет_аналитики'!AF2770+'19_Расчет_аналитики'!AF2771+'19_Расчет_аналитики'!AF2772)/(1+'01_Вводные'!$B$58)</f>
        <v/>
      </c>
      <c r="AG2780">
        <f>('19_Расчет_аналитики'!AG2770+'19_Расчет_аналитики'!AG2771+'19_Расчет_аналитики'!AG2772)-('19_Расчет_аналитики'!AG2770+'19_Расчет_аналитики'!AG2771+'19_Расчет_аналитики'!AG2772)/(1+'01_Вводные'!$B$58)</f>
        <v/>
      </c>
      <c r="AH2780">
        <f>('19_Расчет_аналитики'!AH2770+'19_Расчет_аналитики'!AH2771+'19_Расчет_аналитики'!AH2772)-('19_Расчет_аналитики'!AH2770+'19_Расчет_аналитики'!AH2771+'19_Расчет_аналитики'!AH2772)/(1+'01_Вводные'!$B$58)</f>
        <v/>
      </c>
      <c r="AI2780">
        <f>('19_Расчет_аналитики'!AI2770+'19_Расчет_аналитики'!AI2771+'19_Расчет_аналитики'!AI2772)-('19_Расчет_аналитики'!AI2770+'19_Расчет_аналитики'!AI2771+'19_Расчет_аналитики'!AI2772)/(1+'01_Вводные'!$B$58)</f>
        <v/>
      </c>
      <c r="AJ2780">
        <f>('19_Расчет_аналитики'!AJ2770+'19_Расчет_аналитики'!AJ2771+'19_Расчет_аналитики'!AJ2772)-('19_Расчет_аналитики'!AJ2770+'19_Расчет_аналитики'!AJ2771+'19_Расчет_аналитики'!AJ2772)/(1+'01_Вводные'!$B$58)</f>
        <v/>
      </c>
      <c r="AK2780">
        <f>('19_Расчет_аналитики'!AK2770+'19_Расчет_аналитики'!AK2771+'19_Расчет_аналитики'!AK2772)-('19_Расчет_аналитики'!AK2770+'19_Расчет_аналитики'!AK2771+'19_Расчет_аналитики'!AK2772)/(1+'01_Вводные'!$B$58)</f>
        <v/>
      </c>
      <c r="AL2780">
        <f>('19_Расчет_аналитики'!AL2770+'19_Расчет_аналитики'!AL2771+'19_Расчет_аналитики'!AL2772)-('19_Расчет_аналитики'!AL2770+'19_Расчет_аналитики'!AL2771+'19_Расчет_аналитики'!AL2772)/(1+'01_Вводные'!$B$58)</f>
        <v/>
      </c>
      <c r="AM2780">
        <f>('19_Расчет_аналитики'!AM2770+'19_Расчет_аналитики'!AM2771+'19_Расчет_аналитики'!AM2772)-('19_Расчет_аналитики'!AM2770+'19_Расчет_аналитики'!AM2771+'19_Расчет_аналитики'!AM2772)/(1+'01_Вводные'!$B$58)</f>
        <v/>
      </c>
      <c r="AN2780">
        <f>('19_Расчет_аналитики'!AN2770+'19_Расчет_аналитики'!AN2771+'19_Расчет_аналитики'!AN2772)-('19_Расчет_аналитики'!AN2770+'19_Расчет_аналитики'!AN2771+'19_Расчет_аналитики'!AN2772)/(1+'01_Вводные'!$B$58)</f>
        <v/>
      </c>
      <c r="AO2780">
        <f>('19_Расчет_аналитики'!AO2770+'19_Расчет_аналитики'!AO2771+'19_Расчет_аналитики'!AO2772)-('19_Расчет_аналитики'!AO2770+'19_Расчет_аналитики'!AO2771+'19_Расчет_аналитики'!AO2772)/(1+'01_Вводные'!$B$58)</f>
        <v/>
      </c>
      <c r="AP2780">
        <f>('19_Расчет_аналитики'!AP2770+'19_Расчет_аналитики'!AP2771+'19_Расчет_аналитики'!AP2772)-('19_Расчет_аналитики'!AP2770+'19_Расчет_аналитики'!AP2771+'19_Расчет_аналитики'!AP2772)/(1+'01_Вводные'!$B$58)</f>
        <v/>
      </c>
      <c r="AQ2780">
        <f>('19_Расчет_аналитики'!AQ2770+'19_Расчет_аналитики'!AQ2771+'19_Расчет_аналитики'!AQ2772)-('19_Расчет_аналитики'!AQ2770+'19_Расчет_аналитики'!AQ2771+'19_Расчет_аналитики'!AQ2772)/(1+'01_Вводные'!$B$58)</f>
        <v/>
      </c>
      <c r="AR2780">
        <f>('19_Расчет_аналитики'!AR2770+'19_Расчет_аналитики'!AR2771+'19_Расчет_аналитики'!AR2772)-('19_Расчет_аналитики'!AR2770+'19_Расчет_аналитики'!AR2771+'19_Расчет_аналитики'!AR2772)/(1+'01_Вводные'!$B$58)</f>
        <v/>
      </c>
      <c r="AS2780">
        <f>('19_Расчет_аналитики'!AS2770+'19_Расчет_аналитики'!AS2771+'19_Расчет_аналитики'!AS2772)-('19_Расчет_аналитики'!AS2770+'19_Расчет_аналитики'!AS2771+'19_Расчет_аналитики'!AS2772)/(1+'01_Вводные'!$B$58)</f>
        <v/>
      </c>
      <c r="AT2780">
        <f>('19_Расчет_аналитики'!AT2770+'19_Расчет_аналитики'!AT2771+'19_Расчет_аналитики'!AT2772)-('19_Расчет_аналитики'!AT2770+'19_Расчет_аналитики'!AT2771+'19_Расчет_аналитики'!AT2772)/(1+'01_Вводные'!$B$58)</f>
        <v/>
      </c>
      <c r="AU2780">
        <f>('19_Расчет_аналитики'!AU2770+'19_Расчет_аналитики'!AU2771+'19_Расчет_аналитики'!AU2772)-('19_Расчет_аналитики'!AU2770+'19_Расчет_аналитики'!AU2771+'19_Расчет_аналитики'!AU2772)/(1+'01_Вводные'!$B$58)</f>
        <v/>
      </c>
      <c r="AV2780">
        <f>('19_Расчет_аналитики'!AV2770+'19_Расчет_аналитики'!AV2771+'19_Расчет_аналитики'!AV2772)-('19_Расчет_аналитики'!AV2770+'19_Расчет_аналитики'!AV2771+'19_Расчет_аналитики'!AV2772)/(1+'01_Вводные'!$B$58)</f>
        <v/>
      </c>
      <c r="AW2780">
        <f>('19_Расчет_аналитики'!AW2770+'19_Расчет_аналитики'!AW2771+'19_Расчет_аналитики'!AW2772)-('19_Расчет_аналитики'!AW2770+'19_Расчет_аналитики'!AW2771+'19_Расчет_аналитики'!AW2772)/(1+'01_Вводные'!$B$58)</f>
        <v/>
      </c>
      <c r="AX2780">
        <f>('19_Расчет_аналитики'!AX2770+'19_Расчет_аналитики'!AX2771+'19_Расчет_аналитики'!AX2772)-('19_Расчет_аналитики'!AX2770+'19_Расчет_аналитики'!AX2771+'19_Расчет_аналитики'!AX2772)/(1+'01_Вводные'!$B$58)</f>
        <v/>
      </c>
      <c r="AY2780">
        <f>('19_Расчет_аналитики'!AY2770+'19_Расчет_аналитики'!AY2771+'19_Расчет_аналитики'!AY2772)-('19_Расчет_аналитики'!AY2770+'19_Расчет_аналитики'!AY2771+'19_Расчет_аналитики'!AY2772)/(1+'01_Вводные'!$B$58)</f>
        <v/>
      </c>
      <c r="AZ2780">
        <f>('19_Расчет_аналитики'!AZ2770+'19_Расчет_аналитики'!AZ2771+'19_Расчет_аналитики'!AZ2772)-('19_Расчет_аналитики'!AZ2770+'19_Расчет_аналитики'!AZ2771+'19_Расчет_аналитики'!AZ2772)/(1+'01_Вводные'!$B$58)</f>
        <v/>
      </c>
      <c r="BA2780">
        <f>('19_Расчет_аналитики'!BA2770+'19_Расчет_аналитики'!BA2771+'19_Расчет_аналитики'!BA2772)-('19_Расчет_аналитики'!BA2770+'19_Расчет_аналитики'!BA2771+'19_Расчет_аналитики'!BA2772)/(1+'01_Вводные'!$B$58)</f>
        <v/>
      </c>
      <c r="BB2780">
        <f>('19_Расчет_аналитики'!BB2770+'19_Расчет_аналитики'!BB2771+'19_Расчет_аналитики'!BB2772)-('19_Расчет_аналитики'!BB2770+'19_Расчет_аналитики'!BB2771+'19_Расчет_аналитики'!BB2772)/(1+'01_Вводные'!$B$58)</f>
        <v/>
      </c>
      <c r="BC2780">
        <f>('19_Расчет_аналитики'!BC2770+'19_Расчет_аналитики'!BC2771+'19_Расчет_аналитики'!BC2772)-('19_Расчет_аналитики'!BC2770+'19_Расчет_аналитики'!BC2771+'19_Расчет_аналитики'!BC2772)/(1+'01_Вводные'!$B$58)</f>
        <v/>
      </c>
      <c r="BD2780">
        <f>('19_Расчет_аналитики'!BD2770+'19_Расчет_аналитики'!BD2771+'19_Расчет_аналитики'!BD2772)-('19_Расчет_аналитики'!BD2770+'19_Расчет_аналитики'!BD2771+'19_Расчет_аналитики'!BD2772)/(1+'01_Вводные'!$B$58)</f>
        <v/>
      </c>
      <c r="BE2780">
        <f>('19_Расчет_аналитики'!BE2770+'19_Расчет_аналитики'!BE2771+'19_Расчет_аналитики'!BE2772)-('19_Расчет_аналитики'!BE2770+'19_Расчет_аналитики'!BE2771+'19_Расчет_аналитики'!BE2772)/(1+'01_Вводные'!$B$58)</f>
        <v/>
      </c>
      <c r="BF2780">
        <f>('19_Расчет_аналитики'!BF2770+'19_Расчет_аналитики'!BF2771+'19_Расчет_аналитики'!BF2772)-('19_Расчет_аналитики'!BF2770+'19_Расчет_аналитики'!BF2771+'19_Расчет_аналитики'!BF2772)/(1+'01_Вводные'!$B$58)</f>
        <v/>
      </c>
      <c r="BG2780">
        <f>('19_Расчет_аналитики'!BG2770+'19_Расчет_аналитики'!BG2771+'19_Расчет_аналитики'!BG2772)-('19_Расчет_аналитики'!BG2770+'19_Расчет_аналитики'!BG2771+'19_Расчет_аналитики'!BG2772)/(1+'01_Вводные'!$B$58)</f>
        <v/>
      </c>
      <c r="BH2780">
        <f>('19_Расчет_аналитики'!BH2770+'19_Расчет_аналитики'!BH2771+'19_Расчет_аналитики'!BH2772)-('19_Расчет_аналитики'!BH2770+'19_Расчет_аналитики'!BH2771+'19_Расчет_аналитики'!BH2772)/(1+'01_Вводные'!$B$58)</f>
        <v/>
      </c>
      <c r="BI2780">
        <f>('19_Расчет_аналитики'!BI2770+'19_Расчет_аналитики'!BI2771+'19_Расчет_аналитики'!BI2772)-('19_Расчет_аналитики'!BI2770+'19_Расчет_аналитики'!BI2771+'19_Расчет_аналитики'!BI2772)/(1+'01_Вводные'!$B$58)</f>
        <v/>
      </c>
    </row>
    <row r="2781">
      <c r="B2781">
        <f>'02_Модель'!B63</f>
        <v/>
      </c>
      <c r="C2781">
        <f>'02_Модель'!C63</f>
        <v/>
      </c>
      <c r="D2781">
        <f>'02_Модель'!D63</f>
        <v/>
      </c>
      <c r="E2781">
        <f>'02_Модель'!E63</f>
        <v/>
      </c>
      <c r="F2781">
        <f>'02_Модель'!F63</f>
        <v/>
      </c>
      <c r="G2781">
        <f>'02_Модель'!G63</f>
        <v/>
      </c>
      <c r="H2781">
        <f>'02_Модель'!H63</f>
        <v/>
      </c>
      <c r="I2781">
        <f>'02_Модель'!I63</f>
        <v/>
      </c>
      <c r="J2781">
        <f>'02_Модель'!J63</f>
        <v/>
      </c>
      <c r="K2781">
        <f>'02_Модель'!K63</f>
        <v/>
      </c>
      <c r="L2781">
        <f>'02_Модель'!L63</f>
        <v/>
      </c>
      <c r="M2781">
        <f>'02_Модель'!M63</f>
        <v/>
      </c>
      <c r="N2781">
        <f>'02_Модель'!N63</f>
        <v/>
      </c>
      <c r="O2781">
        <f>'02_Модель'!O63</f>
        <v/>
      </c>
      <c r="P2781">
        <f>'02_Модель'!P63</f>
        <v/>
      </c>
      <c r="Q2781">
        <f>'02_Модель'!Q63</f>
        <v/>
      </c>
      <c r="R2781">
        <f>'02_Модель'!R63</f>
        <v/>
      </c>
      <c r="S2781">
        <f>'02_Модель'!S63</f>
        <v/>
      </c>
      <c r="T2781">
        <f>'02_Модель'!T63</f>
        <v/>
      </c>
      <c r="U2781">
        <f>'02_Модель'!U63</f>
        <v/>
      </c>
      <c r="V2781">
        <f>'02_Модель'!V63</f>
        <v/>
      </c>
      <c r="W2781">
        <f>'02_Модель'!W63</f>
        <v/>
      </c>
      <c r="X2781">
        <f>'02_Модель'!X63</f>
        <v/>
      </c>
      <c r="Y2781">
        <f>'02_Модель'!Y63</f>
        <v/>
      </c>
      <c r="Z2781">
        <f>'02_Модель'!Z63</f>
        <v/>
      </c>
      <c r="AA2781">
        <f>'02_Модель'!AA63</f>
        <v/>
      </c>
      <c r="AB2781">
        <f>'02_Модель'!AB63</f>
        <v/>
      </c>
      <c r="AC2781">
        <f>'02_Модель'!AC63</f>
        <v/>
      </c>
      <c r="AD2781">
        <f>'02_Модель'!AD63</f>
        <v/>
      </c>
      <c r="AE2781">
        <f>'02_Модель'!AE63</f>
        <v/>
      </c>
      <c r="AF2781">
        <f>'02_Модель'!AF63</f>
        <v/>
      </c>
      <c r="AG2781">
        <f>'02_Модель'!AG63</f>
        <v/>
      </c>
      <c r="AH2781">
        <f>'02_Модель'!AH63</f>
        <v/>
      </c>
      <c r="AI2781">
        <f>'02_Модель'!AI63</f>
        <v/>
      </c>
      <c r="AJ2781">
        <f>'02_Модель'!AJ63</f>
        <v/>
      </c>
      <c r="AK2781">
        <f>'02_Модель'!AK63</f>
        <v/>
      </c>
      <c r="AL2781">
        <f>'02_Модель'!AL63</f>
        <v/>
      </c>
      <c r="AM2781">
        <f>'02_Модель'!AM63</f>
        <v/>
      </c>
      <c r="AN2781">
        <f>'02_Модель'!AN63</f>
        <v/>
      </c>
      <c r="AO2781">
        <f>'02_Модель'!AO63</f>
        <v/>
      </c>
      <c r="AP2781">
        <f>'02_Модель'!AP63</f>
        <v/>
      </c>
      <c r="AQ2781">
        <f>'02_Модель'!AQ63</f>
        <v/>
      </c>
      <c r="AR2781">
        <f>'02_Модель'!AR63</f>
        <v/>
      </c>
      <c r="AS2781">
        <f>'02_Модель'!AS63</f>
        <v/>
      </c>
      <c r="AT2781">
        <f>'02_Модель'!AT63</f>
        <v/>
      </c>
      <c r="AU2781">
        <f>'02_Модель'!AU63</f>
        <v/>
      </c>
      <c r="AV2781">
        <f>'02_Модель'!AV63</f>
        <v/>
      </c>
      <c r="AW2781">
        <f>'02_Модель'!AW63</f>
        <v/>
      </c>
      <c r="AX2781">
        <f>'02_Модель'!AX63</f>
        <v/>
      </c>
      <c r="AY2781">
        <f>'02_Модель'!AY63</f>
        <v/>
      </c>
      <c r="AZ2781">
        <f>'02_Модель'!AZ63</f>
        <v/>
      </c>
      <c r="BA2781">
        <f>'02_Модель'!BA63</f>
        <v/>
      </c>
      <c r="BB2781">
        <f>'02_Модель'!BB63</f>
        <v/>
      </c>
      <c r="BC2781">
        <f>'02_Модель'!BC63</f>
        <v/>
      </c>
      <c r="BD2781">
        <f>'02_Модель'!BD63</f>
        <v/>
      </c>
      <c r="BE2781">
        <f>'02_Модель'!BE63</f>
        <v/>
      </c>
      <c r="BF2781">
        <f>'02_Модель'!BF63</f>
        <v/>
      </c>
      <c r="BG2781">
        <f>'02_Модель'!BG63</f>
        <v/>
      </c>
      <c r="BH2781">
        <f>'02_Модель'!BH63</f>
        <v/>
      </c>
      <c r="BI2781">
        <f>'02_Модель'!BI63</f>
        <v/>
      </c>
    </row>
    <row r="2782">
      <c r="B2782">
        <f>'19_Расчет_аналитики'!B2764</f>
        <v/>
      </c>
      <c r="C2782">
        <f>'19_Расчет_аналитики'!C2764</f>
        <v/>
      </c>
      <c r="D2782">
        <f>'19_Расчет_аналитики'!D2764</f>
        <v/>
      </c>
      <c r="E2782">
        <f>'19_Расчет_аналитики'!E2764</f>
        <v/>
      </c>
      <c r="F2782">
        <f>'19_Расчет_аналитики'!F2764</f>
        <v/>
      </c>
      <c r="G2782">
        <f>'19_Расчет_аналитики'!G2764</f>
        <v/>
      </c>
      <c r="H2782">
        <f>'19_Расчет_аналитики'!H2764</f>
        <v/>
      </c>
      <c r="I2782">
        <f>'19_Расчет_аналитики'!I2764</f>
        <v/>
      </c>
      <c r="J2782">
        <f>'19_Расчет_аналитики'!J2764</f>
        <v/>
      </c>
      <c r="K2782">
        <f>'19_Расчет_аналитики'!K2764</f>
        <v/>
      </c>
      <c r="L2782">
        <f>'19_Расчет_аналитики'!L2764</f>
        <v/>
      </c>
      <c r="M2782">
        <f>'19_Расчет_аналитики'!M2764</f>
        <v/>
      </c>
      <c r="N2782">
        <f>'19_Расчет_аналитики'!N2764</f>
        <v/>
      </c>
      <c r="O2782">
        <f>'19_Расчет_аналитики'!O2764</f>
        <v/>
      </c>
      <c r="P2782">
        <f>'19_Расчет_аналитики'!P2764</f>
        <v/>
      </c>
      <c r="Q2782">
        <f>'19_Расчет_аналитики'!Q2764</f>
        <v/>
      </c>
      <c r="R2782">
        <f>'19_Расчет_аналитики'!R2764</f>
        <v/>
      </c>
      <c r="S2782">
        <f>'19_Расчет_аналитики'!S2764</f>
        <v/>
      </c>
      <c r="T2782">
        <f>'19_Расчет_аналитики'!T2764</f>
        <v/>
      </c>
      <c r="U2782">
        <f>'19_Расчет_аналитики'!U2764</f>
        <v/>
      </c>
      <c r="V2782">
        <f>'19_Расчет_аналитики'!V2764</f>
        <v/>
      </c>
      <c r="W2782">
        <f>'19_Расчет_аналитики'!W2764</f>
        <v/>
      </c>
      <c r="X2782">
        <f>'19_Расчет_аналитики'!X2764</f>
        <v/>
      </c>
      <c r="Y2782">
        <f>'19_Расчет_аналитики'!Y2764</f>
        <v/>
      </c>
      <c r="Z2782">
        <f>'19_Расчет_аналитики'!Z2764</f>
        <v/>
      </c>
      <c r="AA2782">
        <f>'19_Расчет_аналитики'!AA2764</f>
        <v/>
      </c>
      <c r="AB2782">
        <f>'19_Расчет_аналитики'!AB2764</f>
        <v/>
      </c>
      <c r="AC2782">
        <f>'19_Расчет_аналитики'!AC2764</f>
        <v/>
      </c>
      <c r="AD2782">
        <f>'19_Расчет_аналитики'!AD2764</f>
        <v/>
      </c>
      <c r="AE2782">
        <f>'19_Расчет_аналитики'!AE2764</f>
        <v/>
      </c>
      <c r="AF2782">
        <f>'19_Расчет_аналитики'!AF2764</f>
        <v/>
      </c>
      <c r="AG2782">
        <f>'19_Расчет_аналитики'!AG2764</f>
        <v/>
      </c>
      <c r="AH2782">
        <f>'19_Расчет_аналитики'!AH2764</f>
        <v/>
      </c>
      <c r="AI2782">
        <f>'19_Расчет_аналитики'!AI2764</f>
        <v/>
      </c>
      <c r="AJ2782">
        <f>'19_Расчет_аналитики'!AJ2764</f>
        <v/>
      </c>
      <c r="AK2782">
        <f>'19_Расчет_аналитики'!AK2764</f>
        <v/>
      </c>
      <c r="AL2782">
        <f>'19_Расчет_аналитики'!AL2764</f>
        <v/>
      </c>
      <c r="AM2782">
        <f>'19_Расчет_аналитики'!AM2764</f>
        <v/>
      </c>
      <c r="AN2782">
        <f>'19_Расчет_аналитики'!AN2764</f>
        <v/>
      </c>
      <c r="AO2782">
        <f>'19_Расчет_аналитики'!AO2764</f>
        <v/>
      </c>
      <c r="AP2782">
        <f>'19_Расчет_аналитики'!AP2764</f>
        <v/>
      </c>
      <c r="AQ2782">
        <f>'19_Расчет_аналитики'!AQ2764</f>
        <v/>
      </c>
      <c r="AR2782">
        <f>'19_Расчет_аналитики'!AR2764</f>
        <v/>
      </c>
      <c r="AS2782">
        <f>'19_Расчет_аналитики'!AS2764</f>
        <v/>
      </c>
      <c r="AT2782">
        <f>'19_Расчет_аналитики'!AT2764</f>
        <v/>
      </c>
      <c r="AU2782">
        <f>'19_Расчет_аналитики'!AU2764</f>
        <v/>
      </c>
      <c r="AV2782">
        <f>'19_Расчет_аналитики'!AV2764</f>
        <v/>
      </c>
      <c r="AW2782">
        <f>'19_Расчет_аналитики'!AW2764</f>
        <v/>
      </c>
      <c r="AX2782">
        <f>'19_Расчет_аналитики'!AX2764</f>
        <v/>
      </c>
      <c r="AY2782">
        <f>'19_Расчет_аналитики'!AY2764</f>
        <v/>
      </c>
      <c r="AZ2782">
        <f>'19_Расчет_аналитики'!AZ2764</f>
        <v/>
      </c>
      <c r="BA2782">
        <f>'19_Расчет_аналитики'!BA2764</f>
        <v/>
      </c>
      <c r="BB2782">
        <f>'19_Расчет_аналитики'!BB2764</f>
        <v/>
      </c>
      <c r="BC2782">
        <f>'19_Расчет_аналитики'!BC2764</f>
        <v/>
      </c>
      <c r="BD2782">
        <f>'19_Расчет_аналитики'!BD2764</f>
        <v/>
      </c>
      <c r="BE2782">
        <f>'19_Расчет_аналитики'!BE2764</f>
        <v/>
      </c>
      <c r="BF2782">
        <f>'19_Расчет_аналитики'!BF2764</f>
        <v/>
      </c>
      <c r="BG2782">
        <f>'19_Расчет_аналитики'!BG2764</f>
        <v/>
      </c>
      <c r="BH2782">
        <f>'19_Расчет_аналитики'!BH2764</f>
        <v/>
      </c>
      <c r="BI2782">
        <f>'19_Расчет_аналитики'!BI2764</f>
        <v/>
      </c>
    </row>
    <row r="2783">
      <c r="B2783">
        <f>'19_Расчет_аналитики'!B2650</f>
        <v/>
      </c>
      <c r="C2783">
        <f>'19_Расчет_аналитики'!C2650</f>
        <v/>
      </c>
      <c r="D2783">
        <f>'19_Расчет_аналитики'!D2650</f>
        <v/>
      </c>
      <c r="E2783">
        <f>'19_Расчет_аналитики'!E2650</f>
        <v/>
      </c>
      <c r="F2783">
        <f>'19_Расчет_аналитики'!F2650</f>
        <v/>
      </c>
      <c r="G2783">
        <f>'19_Расчет_аналитики'!G2650</f>
        <v/>
      </c>
      <c r="H2783">
        <f>'19_Расчет_аналитики'!H2650</f>
        <v/>
      </c>
      <c r="I2783">
        <f>'19_Расчет_аналитики'!I2650</f>
        <v/>
      </c>
      <c r="J2783">
        <f>'19_Расчет_аналитики'!J2650</f>
        <v/>
      </c>
      <c r="K2783">
        <f>'19_Расчет_аналитики'!K2650</f>
        <v/>
      </c>
      <c r="L2783">
        <f>'19_Расчет_аналитики'!L2650</f>
        <v/>
      </c>
      <c r="M2783">
        <f>'19_Расчет_аналитики'!M2650</f>
        <v/>
      </c>
      <c r="N2783">
        <f>'19_Расчет_аналитики'!N2650</f>
        <v/>
      </c>
      <c r="O2783">
        <f>'19_Расчет_аналитики'!O2650</f>
        <v/>
      </c>
      <c r="P2783">
        <f>'19_Расчет_аналитики'!P2650</f>
        <v/>
      </c>
      <c r="Q2783">
        <f>'19_Расчет_аналитики'!Q2650</f>
        <v/>
      </c>
      <c r="R2783">
        <f>'19_Расчет_аналитики'!R2650</f>
        <v/>
      </c>
      <c r="S2783">
        <f>'19_Расчет_аналитики'!S2650</f>
        <v/>
      </c>
      <c r="T2783">
        <f>'19_Расчет_аналитики'!T2650</f>
        <v/>
      </c>
      <c r="U2783">
        <f>'19_Расчет_аналитики'!U2650</f>
        <v/>
      </c>
      <c r="V2783">
        <f>'19_Расчет_аналитики'!V2650</f>
        <v/>
      </c>
      <c r="W2783">
        <f>'19_Расчет_аналитики'!W2650</f>
        <v/>
      </c>
      <c r="X2783">
        <f>'19_Расчет_аналитики'!X2650</f>
        <v/>
      </c>
      <c r="Y2783">
        <f>'19_Расчет_аналитики'!Y2650</f>
        <v/>
      </c>
      <c r="Z2783">
        <f>'19_Расчет_аналитики'!Z2650</f>
        <v/>
      </c>
      <c r="AA2783">
        <f>'19_Расчет_аналитики'!AA2650</f>
        <v/>
      </c>
      <c r="AB2783">
        <f>'19_Расчет_аналитики'!AB2650</f>
        <v/>
      </c>
      <c r="AC2783">
        <f>'19_Расчет_аналитики'!AC2650</f>
        <v/>
      </c>
      <c r="AD2783">
        <f>'19_Расчет_аналитики'!AD2650</f>
        <v/>
      </c>
      <c r="AE2783">
        <f>'19_Расчет_аналитики'!AE2650</f>
        <v/>
      </c>
      <c r="AF2783">
        <f>'19_Расчет_аналитики'!AF2650</f>
        <v/>
      </c>
      <c r="AG2783">
        <f>'19_Расчет_аналитики'!AG2650</f>
        <v/>
      </c>
      <c r="AH2783">
        <f>'19_Расчет_аналитики'!AH2650</f>
        <v/>
      </c>
      <c r="AI2783">
        <f>'19_Расчет_аналитики'!AI2650</f>
        <v/>
      </c>
      <c r="AJ2783">
        <f>'19_Расчет_аналитики'!AJ2650</f>
        <v/>
      </c>
      <c r="AK2783">
        <f>'19_Расчет_аналитики'!AK2650</f>
        <v/>
      </c>
      <c r="AL2783">
        <f>'19_Расчет_аналитики'!AL2650</f>
        <v/>
      </c>
      <c r="AM2783">
        <f>'19_Расчет_аналитики'!AM2650</f>
        <v/>
      </c>
      <c r="AN2783">
        <f>'19_Расчет_аналитики'!AN2650</f>
        <v/>
      </c>
      <c r="AO2783">
        <f>'19_Расчет_аналитики'!AO2650</f>
        <v/>
      </c>
      <c r="AP2783">
        <f>'19_Расчет_аналитики'!AP2650</f>
        <v/>
      </c>
      <c r="AQ2783">
        <f>'19_Расчет_аналитики'!AQ2650</f>
        <v/>
      </c>
      <c r="AR2783">
        <f>'19_Расчет_аналитики'!AR2650</f>
        <v/>
      </c>
      <c r="AS2783">
        <f>'19_Расчет_аналитики'!AS2650</f>
        <v/>
      </c>
      <c r="AT2783">
        <f>'19_Расчет_аналитики'!AT2650</f>
        <v/>
      </c>
      <c r="AU2783">
        <f>'19_Расчет_аналитики'!AU2650</f>
        <v/>
      </c>
      <c r="AV2783">
        <f>'19_Расчет_аналитики'!AV2650</f>
        <v/>
      </c>
      <c r="AW2783">
        <f>'19_Расчет_аналитики'!AW2650</f>
        <v/>
      </c>
      <c r="AX2783">
        <f>'19_Расчет_аналитики'!AX2650</f>
        <v/>
      </c>
      <c r="AY2783">
        <f>'19_Расчет_аналитики'!AY2650</f>
        <v/>
      </c>
      <c r="AZ2783">
        <f>'19_Расчет_аналитики'!AZ2650</f>
        <v/>
      </c>
      <c r="BA2783">
        <f>'19_Расчет_аналитики'!BA2650</f>
        <v/>
      </c>
      <c r="BB2783">
        <f>'19_Расчет_аналитики'!BB2650</f>
        <v/>
      </c>
      <c r="BC2783">
        <f>'19_Расчет_аналитики'!BC2650</f>
        <v/>
      </c>
      <c r="BD2783">
        <f>'19_Расчет_аналитики'!BD2650</f>
        <v/>
      </c>
      <c r="BE2783">
        <f>'19_Расчет_аналитики'!BE2650</f>
        <v/>
      </c>
      <c r="BF2783">
        <f>'19_Расчет_аналитики'!BF2650</f>
        <v/>
      </c>
      <c r="BG2783">
        <f>'19_Расчет_аналитики'!BG2650</f>
        <v/>
      </c>
      <c r="BH2783">
        <f>'19_Расчет_аналитики'!BH2650</f>
        <v/>
      </c>
      <c r="BI2783">
        <f>'19_Расчет_аналитики'!BI2650</f>
        <v/>
      </c>
    </row>
    <row r="2784"/>
    <row r="2785">
      <c r="B2785">
        <f>SUM('19_Расчет_аналитики'!B2775:B2782)+'02_Модель'!B66</f>
        <v/>
      </c>
      <c r="C2785">
        <f>SUM('19_Расчет_аналитики'!C2775:C2782)+'02_Модель'!C66</f>
        <v/>
      </c>
      <c r="D2785">
        <f>SUM('19_Расчет_аналитики'!D2775:D2782)+'02_Модель'!D66</f>
        <v/>
      </c>
      <c r="E2785">
        <f>SUM('19_Расчет_аналитики'!E2775:E2782)+'02_Модель'!E66</f>
        <v/>
      </c>
      <c r="F2785">
        <f>SUM('19_Расчет_аналитики'!F2775:F2782)+'02_Модель'!F66</f>
        <v/>
      </c>
      <c r="G2785">
        <f>SUM('19_Расчет_аналитики'!G2775:G2782)+'02_Модель'!G66</f>
        <v/>
      </c>
      <c r="H2785">
        <f>SUM('19_Расчет_аналитики'!H2775:H2782)+'02_Модель'!H66</f>
        <v/>
      </c>
      <c r="I2785">
        <f>SUM('19_Расчет_аналитики'!I2775:I2782)+'02_Модель'!I66</f>
        <v/>
      </c>
      <c r="J2785">
        <f>SUM('19_Расчет_аналитики'!J2775:J2782)+'02_Модель'!J66</f>
        <v/>
      </c>
      <c r="K2785">
        <f>SUM('19_Расчет_аналитики'!K2775:K2782)+'02_Модель'!K66</f>
        <v/>
      </c>
      <c r="L2785">
        <f>SUM('19_Расчет_аналитики'!L2775:L2782)+'02_Модель'!L66</f>
        <v/>
      </c>
      <c r="M2785">
        <f>SUM('19_Расчет_аналитики'!M2775:M2782)+'02_Модель'!M66</f>
        <v/>
      </c>
      <c r="N2785">
        <f>SUM('19_Расчет_аналитики'!N2775:N2782)+'02_Модель'!N66</f>
        <v/>
      </c>
      <c r="O2785">
        <f>SUM('19_Расчет_аналитики'!O2775:O2782)+'02_Модель'!O66</f>
        <v/>
      </c>
      <c r="P2785">
        <f>SUM('19_Расчет_аналитики'!P2775:P2782)+'02_Модель'!P66</f>
        <v/>
      </c>
      <c r="Q2785">
        <f>SUM('19_Расчет_аналитики'!Q2775:Q2782)+'02_Модель'!Q66</f>
        <v/>
      </c>
      <c r="R2785">
        <f>SUM('19_Расчет_аналитики'!R2775:R2782)+'02_Модель'!R66</f>
        <v/>
      </c>
      <c r="S2785">
        <f>SUM('19_Расчет_аналитики'!S2775:S2782)+'02_Модель'!S66</f>
        <v/>
      </c>
      <c r="T2785">
        <f>SUM('19_Расчет_аналитики'!T2775:T2782)+'02_Модель'!T66</f>
        <v/>
      </c>
      <c r="U2785">
        <f>SUM('19_Расчет_аналитики'!U2775:U2782)+'02_Модель'!U66</f>
        <v/>
      </c>
      <c r="V2785">
        <f>SUM('19_Расчет_аналитики'!V2775:V2782)+'02_Модель'!V66</f>
        <v/>
      </c>
      <c r="W2785">
        <f>SUM('19_Расчет_аналитики'!W2775:W2782)+'02_Модель'!W66</f>
        <v/>
      </c>
      <c r="X2785">
        <f>SUM('19_Расчет_аналитики'!X2775:X2782)+'02_Модель'!X66</f>
        <v/>
      </c>
      <c r="Y2785">
        <f>SUM('19_Расчет_аналитики'!Y2775:Y2782)+'02_Модель'!Y66</f>
        <v/>
      </c>
      <c r="Z2785">
        <f>SUM('19_Расчет_аналитики'!Z2775:Z2782)+'02_Модель'!Z66</f>
        <v/>
      </c>
      <c r="AA2785">
        <f>SUM('19_Расчет_аналитики'!AA2775:AA2782)+'02_Модель'!AA66</f>
        <v/>
      </c>
      <c r="AB2785">
        <f>SUM('19_Расчет_аналитики'!AB2775:AB2782)+'02_Модель'!AB66</f>
        <v/>
      </c>
      <c r="AC2785">
        <f>SUM('19_Расчет_аналитики'!AC2775:AC2782)+'02_Модель'!AC66</f>
        <v/>
      </c>
      <c r="AD2785">
        <f>SUM('19_Расчет_аналитики'!AD2775:AD2782)+'02_Модель'!AD66</f>
        <v/>
      </c>
      <c r="AE2785">
        <f>SUM('19_Расчет_аналитики'!AE2775:AE2782)+'02_Модель'!AE66</f>
        <v/>
      </c>
      <c r="AF2785">
        <f>SUM('19_Расчет_аналитики'!AF2775:AF2782)+'02_Модель'!AF66</f>
        <v/>
      </c>
      <c r="AG2785">
        <f>SUM('19_Расчет_аналитики'!AG2775:AG2782)+'02_Модель'!AG66</f>
        <v/>
      </c>
      <c r="AH2785">
        <f>SUM('19_Расчет_аналитики'!AH2775:AH2782)+'02_Модель'!AH66</f>
        <v/>
      </c>
      <c r="AI2785">
        <f>SUM('19_Расчет_аналитики'!AI2775:AI2782)+'02_Модель'!AI66</f>
        <v/>
      </c>
      <c r="AJ2785">
        <f>SUM('19_Расчет_аналитики'!AJ2775:AJ2782)+'02_Модель'!AJ66</f>
        <v/>
      </c>
      <c r="AK2785">
        <f>SUM('19_Расчет_аналитики'!AK2775:AK2782)+'02_Модель'!AK66</f>
        <v/>
      </c>
      <c r="AL2785">
        <f>SUM('19_Расчет_аналитики'!AL2775:AL2782)+'02_Модель'!AL66</f>
        <v/>
      </c>
      <c r="AM2785">
        <f>SUM('19_Расчет_аналитики'!AM2775:AM2782)+'02_Модель'!AM66</f>
        <v/>
      </c>
      <c r="AN2785">
        <f>SUM('19_Расчет_аналитики'!AN2775:AN2782)+'02_Модель'!AN66</f>
        <v/>
      </c>
      <c r="AO2785">
        <f>SUM('19_Расчет_аналитики'!AO2775:AO2782)+'02_Модель'!AO66</f>
        <v/>
      </c>
      <c r="AP2785">
        <f>SUM('19_Расчет_аналитики'!AP2775:AP2782)+'02_Модель'!AP66</f>
        <v/>
      </c>
      <c r="AQ2785">
        <f>SUM('19_Расчет_аналитики'!AQ2775:AQ2782)+'02_Модель'!AQ66</f>
        <v/>
      </c>
      <c r="AR2785">
        <f>SUM('19_Расчет_аналитики'!AR2775:AR2782)+'02_Модель'!AR66</f>
        <v/>
      </c>
      <c r="AS2785">
        <f>SUM('19_Расчет_аналитики'!AS2775:AS2782)+'02_Модель'!AS66</f>
        <v/>
      </c>
      <c r="AT2785">
        <f>SUM('19_Расчет_аналитики'!AT2775:AT2782)+'02_Модель'!AT66</f>
        <v/>
      </c>
      <c r="AU2785">
        <f>SUM('19_Расчет_аналитики'!AU2775:AU2782)+'02_Модель'!AU66</f>
        <v/>
      </c>
      <c r="AV2785">
        <f>SUM('19_Расчет_аналитики'!AV2775:AV2782)+'02_Модель'!AV66</f>
        <v/>
      </c>
      <c r="AW2785">
        <f>SUM('19_Расчет_аналитики'!AW2775:AW2782)+'02_Модель'!AW66</f>
        <v/>
      </c>
      <c r="AX2785">
        <f>SUM('19_Расчет_аналитики'!AX2775:AX2782)+'02_Модель'!AX66</f>
        <v/>
      </c>
      <c r="AY2785">
        <f>SUM('19_Расчет_аналитики'!AY2775:AY2782)+'02_Модель'!AY66</f>
        <v/>
      </c>
      <c r="AZ2785">
        <f>SUM('19_Расчет_аналитики'!AZ2775:AZ2782)+'02_Модель'!AZ66</f>
        <v/>
      </c>
      <c r="BA2785">
        <f>SUM('19_Расчет_аналитики'!BA2775:BA2782)+'02_Модель'!BA66</f>
        <v/>
      </c>
      <c r="BB2785">
        <f>SUM('19_Расчет_аналитики'!BB2775:BB2782)+'02_Модель'!BB66</f>
        <v/>
      </c>
      <c r="BC2785">
        <f>SUM('19_Расчет_аналитики'!BC2775:BC2782)+'02_Модель'!BC66</f>
        <v/>
      </c>
      <c r="BD2785">
        <f>SUM('19_Расчет_аналитики'!BD2775:BD2782)+'02_Модель'!BD66</f>
        <v/>
      </c>
      <c r="BE2785">
        <f>SUM('19_Расчет_аналитики'!BE2775:BE2782)+'02_Модель'!BE66</f>
        <v/>
      </c>
      <c r="BF2785">
        <f>SUM('19_Расчет_аналитики'!BF2775:BF2782)+'02_Модель'!BF66</f>
        <v/>
      </c>
      <c r="BG2785">
        <f>SUM('19_Расчет_аналитики'!BG2775:BG2782)+'02_Модель'!BG66</f>
        <v/>
      </c>
      <c r="BH2785">
        <f>SUM('19_Расчет_аналитики'!BH2775:BH2782)+'02_Модель'!BH66</f>
        <v/>
      </c>
      <c r="BI2785">
        <f>SUM('19_Расчет_аналитики'!BI2775:BI2782)+'02_Модель'!BI66</f>
        <v/>
      </c>
    </row>
    <row r="2786">
      <c r="B2786">
        <f>'19_Расчет_аналитики'!B2774-'19_Расчет_аналитики'!B2785</f>
        <v/>
      </c>
      <c r="C2786">
        <f>'19_Расчет_аналитики'!C2774-'19_Расчет_аналитики'!C2785</f>
        <v/>
      </c>
      <c r="D2786">
        <f>'19_Расчет_аналитики'!D2774-'19_Расчет_аналитики'!D2785</f>
        <v/>
      </c>
      <c r="E2786">
        <f>'19_Расчет_аналитики'!E2774-'19_Расчет_аналитики'!E2785</f>
        <v/>
      </c>
      <c r="F2786">
        <f>'19_Расчет_аналитики'!F2774-'19_Расчет_аналитики'!F2785</f>
        <v/>
      </c>
      <c r="G2786">
        <f>'19_Расчет_аналитики'!G2774-'19_Расчет_аналитики'!G2785</f>
        <v/>
      </c>
      <c r="H2786">
        <f>'19_Расчет_аналитики'!H2774-'19_Расчет_аналитики'!H2785</f>
        <v/>
      </c>
      <c r="I2786">
        <f>'19_Расчет_аналитики'!I2774-'19_Расчет_аналитики'!I2785</f>
        <v/>
      </c>
      <c r="J2786">
        <f>'19_Расчет_аналитики'!J2774-'19_Расчет_аналитики'!J2785</f>
        <v/>
      </c>
      <c r="K2786">
        <f>'19_Расчет_аналитики'!K2774-'19_Расчет_аналитики'!K2785</f>
        <v/>
      </c>
      <c r="L2786">
        <f>'19_Расчет_аналитики'!L2774-'19_Расчет_аналитики'!L2785</f>
        <v/>
      </c>
      <c r="M2786">
        <f>'19_Расчет_аналитики'!M2774-'19_Расчет_аналитики'!M2785</f>
        <v/>
      </c>
      <c r="N2786">
        <f>'19_Расчет_аналитики'!N2774-'19_Расчет_аналитики'!N2785</f>
        <v/>
      </c>
      <c r="O2786">
        <f>'19_Расчет_аналитики'!O2774-'19_Расчет_аналитики'!O2785</f>
        <v/>
      </c>
      <c r="P2786">
        <f>'19_Расчет_аналитики'!P2774-'19_Расчет_аналитики'!P2785</f>
        <v/>
      </c>
      <c r="Q2786">
        <f>'19_Расчет_аналитики'!Q2774-'19_Расчет_аналитики'!Q2785</f>
        <v/>
      </c>
      <c r="R2786">
        <f>'19_Расчет_аналитики'!R2774-'19_Расчет_аналитики'!R2785</f>
        <v/>
      </c>
      <c r="S2786">
        <f>'19_Расчет_аналитики'!S2774-'19_Расчет_аналитики'!S2785</f>
        <v/>
      </c>
      <c r="T2786">
        <f>'19_Расчет_аналитики'!T2774-'19_Расчет_аналитики'!T2785</f>
        <v/>
      </c>
      <c r="U2786">
        <f>'19_Расчет_аналитики'!U2774-'19_Расчет_аналитики'!U2785</f>
        <v/>
      </c>
      <c r="V2786">
        <f>'19_Расчет_аналитики'!V2774-'19_Расчет_аналитики'!V2785</f>
        <v/>
      </c>
      <c r="W2786">
        <f>'19_Расчет_аналитики'!W2774-'19_Расчет_аналитики'!W2785</f>
        <v/>
      </c>
      <c r="X2786">
        <f>'19_Расчет_аналитики'!X2774-'19_Расчет_аналитики'!X2785</f>
        <v/>
      </c>
      <c r="Y2786">
        <f>'19_Расчет_аналитики'!Y2774-'19_Расчет_аналитики'!Y2785</f>
        <v/>
      </c>
      <c r="Z2786">
        <f>'19_Расчет_аналитики'!Z2774-'19_Расчет_аналитики'!Z2785</f>
        <v/>
      </c>
      <c r="AA2786">
        <f>'19_Расчет_аналитики'!AA2774-'19_Расчет_аналитики'!AA2785</f>
        <v/>
      </c>
      <c r="AB2786">
        <f>'19_Расчет_аналитики'!AB2774-'19_Расчет_аналитики'!AB2785</f>
        <v/>
      </c>
      <c r="AC2786">
        <f>'19_Расчет_аналитики'!AC2774-'19_Расчет_аналитики'!AC2785</f>
        <v/>
      </c>
      <c r="AD2786">
        <f>'19_Расчет_аналитики'!AD2774-'19_Расчет_аналитики'!AD2785</f>
        <v/>
      </c>
      <c r="AE2786">
        <f>'19_Расчет_аналитики'!AE2774-'19_Расчет_аналитики'!AE2785</f>
        <v/>
      </c>
      <c r="AF2786">
        <f>'19_Расчет_аналитики'!AF2774-'19_Расчет_аналитики'!AF2785</f>
        <v/>
      </c>
      <c r="AG2786">
        <f>'19_Расчет_аналитики'!AG2774-'19_Расчет_аналитики'!AG2785</f>
        <v/>
      </c>
      <c r="AH2786">
        <f>'19_Расчет_аналитики'!AH2774-'19_Расчет_аналитики'!AH2785</f>
        <v/>
      </c>
      <c r="AI2786">
        <f>'19_Расчет_аналитики'!AI2774-'19_Расчет_аналитики'!AI2785</f>
        <v/>
      </c>
      <c r="AJ2786">
        <f>'19_Расчет_аналитики'!AJ2774-'19_Расчет_аналитики'!AJ2785</f>
        <v/>
      </c>
      <c r="AK2786">
        <f>'19_Расчет_аналитики'!AK2774-'19_Расчет_аналитики'!AK2785</f>
        <v/>
      </c>
      <c r="AL2786">
        <f>'19_Расчет_аналитики'!AL2774-'19_Расчет_аналитики'!AL2785</f>
        <v/>
      </c>
      <c r="AM2786">
        <f>'19_Расчет_аналитики'!AM2774-'19_Расчет_аналитики'!AM2785</f>
        <v/>
      </c>
      <c r="AN2786">
        <f>'19_Расчет_аналитики'!AN2774-'19_Расчет_аналитики'!AN2785</f>
        <v/>
      </c>
      <c r="AO2786">
        <f>'19_Расчет_аналитики'!AO2774-'19_Расчет_аналитики'!AO2785</f>
        <v/>
      </c>
      <c r="AP2786">
        <f>'19_Расчет_аналитики'!AP2774-'19_Расчет_аналитики'!AP2785</f>
        <v/>
      </c>
      <c r="AQ2786">
        <f>'19_Расчет_аналитики'!AQ2774-'19_Расчет_аналитики'!AQ2785</f>
        <v/>
      </c>
      <c r="AR2786">
        <f>'19_Расчет_аналитики'!AR2774-'19_Расчет_аналитики'!AR2785</f>
        <v/>
      </c>
      <c r="AS2786">
        <f>'19_Расчет_аналитики'!AS2774-'19_Расчет_аналитики'!AS2785</f>
        <v/>
      </c>
      <c r="AT2786">
        <f>'19_Расчет_аналитики'!AT2774-'19_Расчет_аналитики'!AT2785</f>
        <v/>
      </c>
      <c r="AU2786">
        <f>'19_Расчет_аналитики'!AU2774-'19_Расчет_аналитики'!AU2785</f>
        <v/>
      </c>
      <c r="AV2786">
        <f>'19_Расчет_аналитики'!AV2774-'19_Расчет_аналитики'!AV2785</f>
        <v/>
      </c>
      <c r="AW2786">
        <f>'19_Расчет_аналитики'!AW2774-'19_Расчет_аналитики'!AW2785</f>
        <v/>
      </c>
      <c r="AX2786">
        <f>'19_Расчет_аналитики'!AX2774-'19_Расчет_аналитики'!AX2785</f>
        <v/>
      </c>
      <c r="AY2786">
        <f>'19_Расчет_аналитики'!AY2774-'19_Расчет_аналитики'!AY2785</f>
        <v/>
      </c>
      <c r="AZ2786">
        <f>'19_Расчет_аналитики'!AZ2774-'19_Расчет_аналитики'!AZ2785</f>
        <v/>
      </c>
      <c r="BA2786">
        <f>'19_Расчет_аналитики'!BA2774-'19_Расчет_аналитики'!BA2785</f>
        <v/>
      </c>
      <c r="BB2786">
        <f>'19_Расчет_аналитики'!BB2774-'19_Расчет_аналитики'!BB2785</f>
        <v/>
      </c>
      <c r="BC2786">
        <f>'19_Расчет_аналитики'!BC2774-'19_Расчет_аналитики'!BC2785</f>
        <v/>
      </c>
      <c r="BD2786">
        <f>'19_Расчет_аналитики'!BD2774-'19_Расчет_аналитики'!BD2785</f>
        <v/>
      </c>
      <c r="BE2786">
        <f>'19_Расчет_аналитики'!BE2774-'19_Расчет_аналитики'!BE2785</f>
        <v/>
      </c>
      <c r="BF2786">
        <f>'19_Расчет_аналитики'!BF2774-'19_Расчет_аналитики'!BF2785</f>
        <v/>
      </c>
      <c r="BG2786">
        <f>'19_Расчет_аналитики'!BG2774-'19_Расчет_аналитики'!BG2785</f>
        <v/>
      </c>
      <c r="BH2786">
        <f>'19_Расчет_аналитики'!BH2774-'19_Расчет_аналитики'!BH2785</f>
        <v/>
      </c>
      <c r="BI2786">
        <f>'19_Расчет_аналитики'!BI2774-'19_Расчет_аналитики'!BI2785</f>
        <v/>
      </c>
    </row>
    <row r="2787">
      <c r="B2787">
        <f>'02_Модель'!B51+'19_Расчет_аналитики'!B2786</f>
        <v/>
      </c>
      <c r="C2787">
        <f>'19_Расчет_аналитики'!C2769+'19_Расчет_аналитики'!C2786</f>
        <v/>
      </c>
      <c r="D2787">
        <f>'19_Расчет_аналитики'!D2769+'19_Расчет_аналитики'!D2786</f>
        <v/>
      </c>
      <c r="E2787">
        <f>'19_Расчет_аналитики'!E2769+'19_Расчет_аналитики'!E2786</f>
        <v/>
      </c>
      <c r="F2787">
        <f>'19_Расчет_аналитики'!F2769+'19_Расчет_аналитики'!F2786</f>
        <v/>
      </c>
      <c r="G2787">
        <f>'19_Расчет_аналитики'!G2769+'19_Расчет_аналитики'!G2786</f>
        <v/>
      </c>
      <c r="H2787">
        <f>'19_Расчет_аналитики'!H2769+'19_Расчет_аналитики'!H2786</f>
        <v/>
      </c>
      <c r="I2787">
        <f>'19_Расчет_аналитики'!I2769+'19_Расчет_аналитики'!I2786</f>
        <v/>
      </c>
      <c r="J2787">
        <f>'19_Расчет_аналитики'!J2769+'19_Расчет_аналитики'!J2786</f>
        <v/>
      </c>
      <c r="K2787">
        <f>'19_Расчет_аналитики'!K2769+'19_Расчет_аналитики'!K2786</f>
        <v/>
      </c>
      <c r="L2787">
        <f>'19_Расчет_аналитики'!L2769+'19_Расчет_аналитики'!L2786</f>
        <v/>
      </c>
      <c r="M2787">
        <f>'19_Расчет_аналитики'!M2769+'19_Расчет_аналитики'!M2786</f>
        <v/>
      </c>
      <c r="N2787">
        <f>'19_Расчет_аналитики'!N2769+'19_Расчет_аналитики'!N2786</f>
        <v/>
      </c>
      <c r="O2787">
        <f>'19_Расчет_аналитики'!O2769+'19_Расчет_аналитики'!O2786</f>
        <v/>
      </c>
      <c r="P2787">
        <f>'19_Расчет_аналитики'!P2769+'19_Расчет_аналитики'!P2786</f>
        <v/>
      </c>
      <c r="Q2787">
        <f>'19_Расчет_аналитики'!Q2769+'19_Расчет_аналитики'!Q2786</f>
        <v/>
      </c>
      <c r="R2787">
        <f>'19_Расчет_аналитики'!R2769+'19_Расчет_аналитики'!R2786</f>
        <v/>
      </c>
      <c r="S2787">
        <f>'19_Расчет_аналитики'!S2769+'19_Расчет_аналитики'!S2786</f>
        <v/>
      </c>
      <c r="T2787">
        <f>'19_Расчет_аналитики'!T2769+'19_Расчет_аналитики'!T2786</f>
        <v/>
      </c>
      <c r="U2787">
        <f>'19_Расчет_аналитики'!U2769+'19_Расчет_аналитики'!U2786</f>
        <v/>
      </c>
      <c r="V2787">
        <f>'19_Расчет_аналитики'!V2769+'19_Расчет_аналитики'!V2786</f>
        <v/>
      </c>
      <c r="W2787">
        <f>'19_Расчет_аналитики'!W2769+'19_Расчет_аналитики'!W2786</f>
        <v/>
      </c>
      <c r="X2787">
        <f>'19_Расчет_аналитики'!X2769+'19_Расчет_аналитики'!X2786</f>
        <v/>
      </c>
      <c r="Y2787">
        <f>'19_Расчет_аналитики'!Y2769+'19_Расчет_аналитики'!Y2786</f>
        <v/>
      </c>
      <c r="Z2787">
        <f>'19_Расчет_аналитики'!Z2769+'19_Расчет_аналитики'!Z2786</f>
        <v/>
      </c>
      <c r="AA2787">
        <f>'19_Расчет_аналитики'!AA2769+'19_Расчет_аналитики'!AA2786</f>
        <v/>
      </c>
      <c r="AB2787">
        <f>'19_Расчет_аналитики'!AB2769+'19_Расчет_аналитики'!AB2786</f>
        <v/>
      </c>
      <c r="AC2787">
        <f>'19_Расчет_аналитики'!AC2769+'19_Расчет_аналитики'!AC2786</f>
        <v/>
      </c>
      <c r="AD2787">
        <f>'19_Расчет_аналитики'!AD2769+'19_Расчет_аналитики'!AD2786</f>
        <v/>
      </c>
      <c r="AE2787">
        <f>'19_Расчет_аналитики'!AE2769+'19_Расчет_аналитики'!AE2786</f>
        <v/>
      </c>
      <c r="AF2787">
        <f>'19_Расчет_аналитики'!AF2769+'19_Расчет_аналитики'!AF2786</f>
        <v/>
      </c>
      <c r="AG2787">
        <f>'19_Расчет_аналитики'!AG2769+'19_Расчет_аналитики'!AG2786</f>
        <v/>
      </c>
      <c r="AH2787">
        <f>'19_Расчет_аналитики'!AH2769+'19_Расчет_аналитики'!AH2786</f>
        <v/>
      </c>
      <c r="AI2787">
        <f>'19_Расчет_аналитики'!AI2769+'19_Расчет_аналитики'!AI2786</f>
        <v/>
      </c>
      <c r="AJ2787">
        <f>'19_Расчет_аналитики'!AJ2769+'19_Расчет_аналитики'!AJ2786</f>
        <v/>
      </c>
      <c r="AK2787">
        <f>'19_Расчет_аналитики'!AK2769+'19_Расчет_аналитики'!AK2786</f>
        <v/>
      </c>
      <c r="AL2787">
        <f>'19_Расчет_аналитики'!AL2769+'19_Расчет_аналитики'!AL2786</f>
        <v/>
      </c>
      <c r="AM2787">
        <f>'19_Расчет_аналитики'!AM2769+'19_Расчет_аналитики'!AM2786</f>
        <v/>
      </c>
      <c r="AN2787">
        <f>'19_Расчет_аналитики'!AN2769+'19_Расчет_аналитики'!AN2786</f>
        <v/>
      </c>
      <c r="AO2787">
        <f>'19_Расчет_аналитики'!AO2769+'19_Расчет_аналитики'!AO2786</f>
        <v/>
      </c>
      <c r="AP2787">
        <f>'19_Расчет_аналитики'!AP2769+'19_Расчет_аналитики'!AP2786</f>
        <v/>
      </c>
      <c r="AQ2787">
        <f>'19_Расчет_аналитики'!AQ2769+'19_Расчет_аналитики'!AQ2786</f>
        <v/>
      </c>
      <c r="AR2787">
        <f>'19_Расчет_аналитики'!AR2769+'19_Расчет_аналитики'!AR2786</f>
        <v/>
      </c>
      <c r="AS2787">
        <f>'19_Расчет_аналитики'!AS2769+'19_Расчет_аналитики'!AS2786</f>
        <v/>
      </c>
      <c r="AT2787">
        <f>'19_Расчет_аналитики'!AT2769+'19_Расчет_аналитики'!AT2786</f>
        <v/>
      </c>
      <c r="AU2787">
        <f>'19_Расчет_аналитики'!AU2769+'19_Расчет_аналитики'!AU2786</f>
        <v/>
      </c>
      <c r="AV2787">
        <f>'19_Расчет_аналитики'!AV2769+'19_Расчет_аналитики'!AV2786</f>
        <v/>
      </c>
      <c r="AW2787">
        <f>'19_Расчет_аналитики'!AW2769+'19_Расчет_аналитики'!AW2786</f>
        <v/>
      </c>
      <c r="AX2787">
        <f>'19_Расчет_аналитики'!AX2769+'19_Расчет_аналитики'!AX2786</f>
        <v/>
      </c>
      <c r="AY2787">
        <f>'19_Расчет_аналитики'!AY2769+'19_Расчет_аналитики'!AY2786</f>
        <v/>
      </c>
      <c r="AZ2787">
        <f>'19_Расчет_аналитики'!AZ2769+'19_Расчет_аналитики'!AZ2786</f>
        <v/>
      </c>
      <c r="BA2787">
        <f>'19_Расчет_аналитики'!BA2769+'19_Расчет_аналитики'!BA2786</f>
        <v/>
      </c>
      <c r="BB2787">
        <f>'19_Расчет_аналитики'!BB2769+'19_Расчет_аналитики'!BB2786</f>
        <v/>
      </c>
      <c r="BC2787">
        <f>'19_Расчет_аналитики'!BC2769+'19_Расчет_аналитики'!BC2786</f>
        <v/>
      </c>
      <c r="BD2787">
        <f>'19_Расчет_аналитики'!BD2769+'19_Расчет_аналитики'!BD2786</f>
        <v/>
      </c>
      <c r="BE2787">
        <f>'19_Расчет_аналитики'!BE2769+'19_Расчет_аналитики'!BE2786</f>
        <v/>
      </c>
      <c r="BF2787">
        <f>'19_Расчет_аналитики'!BF2769+'19_Расчет_аналитики'!BF2786</f>
        <v/>
      </c>
      <c r="BG2787">
        <f>'19_Расчет_аналитики'!BG2769+'19_Расчет_аналитики'!BG2786</f>
        <v/>
      </c>
      <c r="BH2787">
        <f>'19_Расчет_аналитики'!BH2769+'19_Расчет_аналитики'!BH2786</f>
        <v/>
      </c>
      <c r="BI2787">
        <f>'19_Расчет_аналитики'!BI2769+'19_Расчет_аналитики'!BI2786</f>
        <v/>
      </c>
    </row>
    <row r="2788">
      <c r="B2788">
        <f>'19_Расчет_аналитики'!B2656</f>
        <v/>
      </c>
      <c r="C2788">
        <f>'19_Расчет_аналитики'!C2656</f>
        <v/>
      </c>
      <c r="D2788">
        <f>'19_Расчет_аналитики'!D2656</f>
        <v/>
      </c>
      <c r="E2788">
        <f>'19_Расчет_аналитики'!E2656</f>
        <v/>
      </c>
      <c r="F2788">
        <f>'19_Расчет_аналитики'!F2656</f>
        <v/>
      </c>
      <c r="G2788">
        <f>'19_Расчет_аналитики'!G2656</f>
        <v/>
      </c>
      <c r="H2788">
        <f>'19_Расчет_аналитики'!H2656</f>
        <v/>
      </c>
      <c r="I2788">
        <f>'19_Расчет_аналитики'!I2656</f>
        <v/>
      </c>
      <c r="J2788">
        <f>'19_Расчет_аналитики'!J2656</f>
        <v/>
      </c>
      <c r="K2788">
        <f>'19_Расчет_аналитики'!K2656</f>
        <v/>
      </c>
      <c r="L2788">
        <f>'19_Расчет_аналитики'!L2656</f>
        <v/>
      </c>
      <c r="M2788">
        <f>'19_Расчет_аналитики'!M2656</f>
        <v/>
      </c>
      <c r="N2788">
        <f>'19_Расчет_аналитики'!N2656</f>
        <v/>
      </c>
      <c r="O2788">
        <f>'19_Расчет_аналитики'!O2656</f>
        <v/>
      </c>
      <c r="P2788">
        <f>'19_Расчет_аналитики'!P2656</f>
        <v/>
      </c>
      <c r="Q2788">
        <f>'19_Расчет_аналитики'!Q2656</f>
        <v/>
      </c>
      <c r="R2788">
        <f>'19_Расчет_аналитики'!R2656</f>
        <v/>
      </c>
      <c r="S2788">
        <f>'19_Расчет_аналитики'!S2656</f>
        <v/>
      </c>
      <c r="T2788">
        <f>'19_Расчет_аналитики'!T2656</f>
        <v/>
      </c>
      <c r="U2788">
        <f>'19_Расчет_аналитики'!U2656</f>
        <v/>
      </c>
      <c r="V2788">
        <f>'19_Расчет_аналитики'!V2656</f>
        <v/>
      </c>
      <c r="W2788">
        <f>'19_Расчет_аналитики'!W2656</f>
        <v/>
      </c>
      <c r="X2788">
        <f>'19_Расчет_аналитики'!X2656</f>
        <v/>
      </c>
      <c r="Y2788">
        <f>'19_Расчет_аналитики'!Y2656</f>
        <v/>
      </c>
      <c r="Z2788">
        <f>'19_Расчет_аналитики'!Z2656</f>
        <v/>
      </c>
      <c r="AA2788">
        <f>'19_Расчет_аналитики'!AA2656</f>
        <v/>
      </c>
      <c r="AB2788">
        <f>'19_Расчет_аналитики'!AB2656</f>
        <v/>
      </c>
      <c r="AC2788">
        <f>'19_Расчет_аналитики'!AC2656</f>
        <v/>
      </c>
      <c r="AD2788">
        <f>'19_Расчет_аналитики'!AD2656</f>
        <v/>
      </c>
      <c r="AE2788">
        <f>'19_Расчет_аналитики'!AE2656</f>
        <v/>
      </c>
      <c r="AF2788">
        <f>'19_Расчет_аналитики'!AF2656</f>
        <v/>
      </c>
      <c r="AG2788">
        <f>'19_Расчет_аналитики'!AG2656</f>
        <v/>
      </c>
      <c r="AH2788">
        <f>'19_Расчет_аналитики'!AH2656</f>
        <v/>
      </c>
      <c r="AI2788">
        <f>'19_Расчет_аналитики'!AI2656</f>
        <v/>
      </c>
      <c r="AJ2788">
        <f>'19_Расчет_аналитики'!AJ2656</f>
        <v/>
      </c>
      <c r="AK2788">
        <f>'19_Расчет_аналитики'!AK2656</f>
        <v/>
      </c>
      <c r="AL2788">
        <f>'19_Расчет_аналитики'!AL2656</f>
        <v/>
      </c>
      <c r="AM2788">
        <f>'19_Расчет_аналитики'!AM2656</f>
        <v/>
      </c>
      <c r="AN2788">
        <f>'19_Расчет_аналитики'!AN2656</f>
        <v/>
      </c>
      <c r="AO2788">
        <f>'19_Расчет_аналитики'!AO2656</f>
        <v/>
      </c>
      <c r="AP2788">
        <f>'19_Расчет_аналитики'!AP2656</f>
        <v/>
      </c>
      <c r="AQ2788">
        <f>'19_Расчет_аналитики'!AQ2656</f>
        <v/>
      </c>
      <c r="AR2788">
        <f>'19_Расчет_аналитики'!AR2656</f>
        <v/>
      </c>
      <c r="AS2788">
        <f>'19_Расчет_аналитики'!AS2656</f>
        <v/>
      </c>
      <c r="AT2788">
        <f>'19_Расчет_аналитики'!AT2656</f>
        <v/>
      </c>
      <c r="AU2788">
        <f>'19_Расчет_аналитики'!AU2656</f>
        <v/>
      </c>
      <c r="AV2788">
        <f>'19_Расчет_аналитики'!AV2656</f>
        <v/>
      </c>
      <c r="AW2788">
        <f>'19_Расчет_аналитики'!AW2656</f>
        <v/>
      </c>
      <c r="AX2788">
        <f>'19_Расчет_аналитики'!AX2656</f>
        <v/>
      </c>
      <c r="AY2788">
        <f>'19_Расчет_аналитики'!AY2656</f>
        <v/>
      </c>
      <c r="AZ2788">
        <f>'19_Расчет_аналитики'!AZ2656</f>
        <v/>
      </c>
      <c r="BA2788">
        <f>'19_Расчет_аналитики'!BA2656</f>
        <v/>
      </c>
      <c r="BB2788">
        <f>'19_Расчет_аналитики'!BB2656</f>
        <v/>
      </c>
      <c r="BC2788">
        <f>'19_Расчет_аналитики'!BC2656</f>
        <v/>
      </c>
      <c r="BD2788">
        <f>'19_Расчет_аналитики'!BD2656</f>
        <v/>
      </c>
      <c r="BE2788">
        <f>'19_Расчет_аналитики'!BE2656</f>
        <v/>
      </c>
      <c r="BF2788">
        <f>'19_Расчет_аналитики'!BF2656</f>
        <v/>
      </c>
      <c r="BG2788">
        <f>'19_Расчет_аналитики'!BG2656</f>
        <v/>
      </c>
      <c r="BH2788">
        <f>'19_Расчет_аналитики'!BH2656</f>
        <v/>
      </c>
      <c r="BI2788">
        <f>'19_Расчет_аналитики'!BI2656</f>
        <v/>
      </c>
    </row>
    <row r="2789">
      <c r="B2789">
        <f>'19_Расчет_аналитики'!B2786-'19_Расчет_аналитики'!B2788</f>
        <v/>
      </c>
      <c r="C2789">
        <f>'19_Расчет_аналитики'!C2786-'19_Расчет_аналитики'!C2788</f>
        <v/>
      </c>
      <c r="D2789">
        <f>'19_Расчет_аналитики'!D2786-'19_Расчет_аналитики'!D2788</f>
        <v/>
      </c>
      <c r="E2789">
        <f>'19_Расчет_аналитики'!E2786-'19_Расчет_аналитики'!E2788</f>
        <v/>
      </c>
      <c r="F2789">
        <f>'19_Расчет_аналитики'!F2786-'19_Расчет_аналитики'!F2788</f>
        <v/>
      </c>
      <c r="G2789">
        <f>'19_Расчет_аналитики'!G2786-'19_Расчет_аналитики'!G2788</f>
        <v/>
      </c>
      <c r="H2789">
        <f>'19_Расчет_аналитики'!H2786-'19_Расчет_аналитики'!H2788</f>
        <v/>
      </c>
      <c r="I2789">
        <f>'19_Расчет_аналитики'!I2786-'19_Расчет_аналитики'!I2788</f>
        <v/>
      </c>
      <c r="J2789">
        <f>'19_Расчет_аналитики'!J2786-'19_Расчет_аналитики'!J2788</f>
        <v/>
      </c>
      <c r="K2789">
        <f>'19_Расчет_аналитики'!K2786-'19_Расчет_аналитики'!K2788</f>
        <v/>
      </c>
      <c r="L2789">
        <f>'19_Расчет_аналитики'!L2786-'19_Расчет_аналитики'!L2788</f>
        <v/>
      </c>
      <c r="M2789">
        <f>'19_Расчет_аналитики'!M2786-'19_Расчет_аналитики'!M2788</f>
        <v/>
      </c>
      <c r="N2789">
        <f>'19_Расчет_аналитики'!N2786-'19_Расчет_аналитики'!N2788</f>
        <v/>
      </c>
      <c r="O2789">
        <f>'19_Расчет_аналитики'!O2786-'19_Расчет_аналитики'!O2788</f>
        <v/>
      </c>
      <c r="P2789">
        <f>'19_Расчет_аналитики'!P2786-'19_Расчет_аналитики'!P2788</f>
        <v/>
      </c>
      <c r="Q2789">
        <f>'19_Расчет_аналитики'!Q2786-'19_Расчет_аналитики'!Q2788</f>
        <v/>
      </c>
      <c r="R2789">
        <f>'19_Расчет_аналитики'!R2786-'19_Расчет_аналитики'!R2788</f>
        <v/>
      </c>
      <c r="S2789">
        <f>'19_Расчет_аналитики'!S2786-'19_Расчет_аналитики'!S2788</f>
        <v/>
      </c>
      <c r="T2789">
        <f>'19_Расчет_аналитики'!T2786-'19_Расчет_аналитики'!T2788</f>
        <v/>
      </c>
      <c r="U2789">
        <f>'19_Расчет_аналитики'!U2786-'19_Расчет_аналитики'!U2788</f>
        <v/>
      </c>
      <c r="V2789">
        <f>'19_Расчет_аналитики'!V2786-'19_Расчет_аналитики'!V2788</f>
        <v/>
      </c>
      <c r="W2789">
        <f>'19_Расчет_аналитики'!W2786-'19_Расчет_аналитики'!W2788</f>
        <v/>
      </c>
      <c r="X2789">
        <f>'19_Расчет_аналитики'!X2786-'19_Расчет_аналитики'!X2788</f>
        <v/>
      </c>
      <c r="Y2789">
        <f>'19_Расчет_аналитики'!Y2786-'19_Расчет_аналитики'!Y2788</f>
        <v/>
      </c>
      <c r="Z2789">
        <f>'19_Расчет_аналитики'!Z2786-'19_Расчет_аналитики'!Z2788</f>
        <v/>
      </c>
      <c r="AA2789">
        <f>'19_Расчет_аналитики'!AA2786-'19_Расчет_аналитики'!AA2788</f>
        <v/>
      </c>
      <c r="AB2789">
        <f>'19_Расчет_аналитики'!AB2786-'19_Расчет_аналитики'!AB2788</f>
        <v/>
      </c>
      <c r="AC2789">
        <f>'19_Расчет_аналитики'!AC2786-'19_Расчет_аналитики'!AC2788</f>
        <v/>
      </c>
      <c r="AD2789">
        <f>'19_Расчет_аналитики'!AD2786-'19_Расчет_аналитики'!AD2788</f>
        <v/>
      </c>
      <c r="AE2789">
        <f>'19_Расчет_аналитики'!AE2786-'19_Расчет_аналитики'!AE2788</f>
        <v/>
      </c>
      <c r="AF2789">
        <f>'19_Расчет_аналитики'!AF2786-'19_Расчет_аналитики'!AF2788</f>
        <v/>
      </c>
      <c r="AG2789">
        <f>'19_Расчет_аналитики'!AG2786-'19_Расчет_аналитики'!AG2788</f>
        <v/>
      </c>
      <c r="AH2789">
        <f>'19_Расчет_аналитики'!AH2786-'19_Расчет_аналитики'!AH2788</f>
        <v/>
      </c>
      <c r="AI2789">
        <f>'19_Расчет_аналитики'!AI2786-'19_Расчет_аналитики'!AI2788</f>
        <v/>
      </c>
      <c r="AJ2789">
        <f>'19_Расчет_аналитики'!AJ2786-'19_Расчет_аналитики'!AJ2788</f>
        <v/>
      </c>
      <c r="AK2789">
        <f>'19_Расчет_аналитики'!AK2786-'19_Расчет_аналитики'!AK2788</f>
        <v/>
      </c>
      <c r="AL2789">
        <f>'19_Расчет_аналитики'!AL2786-'19_Расчет_аналитики'!AL2788</f>
        <v/>
      </c>
      <c r="AM2789">
        <f>'19_Расчет_аналитики'!AM2786-'19_Расчет_аналитики'!AM2788</f>
        <v/>
      </c>
      <c r="AN2789">
        <f>'19_Расчет_аналитики'!AN2786-'19_Расчет_аналитики'!AN2788</f>
        <v/>
      </c>
      <c r="AO2789">
        <f>'19_Расчет_аналитики'!AO2786-'19_Расчет_аналитики'!AO2788</f>
        <v/>
      </c>
      <c r="AP2789">
        <f>'19_Расчет_аналитики'!AP2786-'19_Расчет_аналитики'!AP2788</f>
        <v/>
      </c>
      <c r="AQ2789">
        <f>'19_Расчет_аналитики'!AQ2786-'19_Расчет_аналитики'!AQ2788</f>
        <v/>
      </c>
      <c r="AR2789">
        <f>'19_Расчет_аналитики'!AR2786-'19_Расчет_аналитики'!AR2788</f>
        <v/>
      </c>
      <c r="AS2789">
        <f>'19_Расчет_аналитики'!AS2786-'19_Расчет_аналитики'!AS2788</f>
        <v/>
      </c>
      <c r="AT2789">
        <f>'19_Расчет_аналитики'!AT2786-'19_Расчет_аналитики'!AT2788</f>
        <v/>
      </c>
      <c r="AU2789">
        <f>'19_Расчет_аналитики'!AU2786-'19_Расчет_аналитики'!AU2788</f>
        <v/>
      </c>
      <c r="AV2789">
        <f>'19_Расчет_аналитики'!AV2786-'19_Расчет_аналитики'!AV2788</f>
        <v/>
      </c>
      <c r="AW2789">
        <f>'19_Расчет_аналитики'!AW2786-'19_Расчет_аналитики'!AW2788</f>
        <v/>
      </c>
      <c r="AX2789">
        <f>'19_Расчет_аналитики'!AX2786-'19_Расчет_аналитики'!AX2788</f>
        <v/>
      </c>
      <c r="AY2789">
        <f>'19_Расчет_аналитики'!AY2786-'19_Расчет_аналитики'!AY2788</f>
        <v/>
      </c>
      <c r="AZ2789">
        <f>'19_Расчет_аналитики'!AZ2786-'19_Расчет_аналитики'!AZ2788</f>
        <v/>
      </c>
      <c r="BA2789">
        <f>'19_Расчет_аналитики'!BA2786-'19_Расчет_аналитики'!BA2788</f>
        <v/>
      </c>
      <c r="BB2789">
        <f>'19_Расчет_аналитики'!BB2786-'19_Расчет_аналитики'!BB2788</f>
        <v/>
      </c>
      <c r="BC2789">
        <f>'19_Расчет_аналитики'!BC2786-'19_Расчет_аналитики'!BC2788</f>
        <v/>
      </c>
      <c r="BD2789">
        <f>'19_Расчет_аналитики'!BD2786-'19_Расчет_аналитики'!BD2788</f>
        <v/>
      </c>
      <c r="BE2789">
        <f>'19_Расчет_аналитики'!BE2786-'19_Расчет_аналитики'!BE2788</f>
        <v/>
      </c>
      <c r="BF2789">
        <f>'19_Расчет_аналитики'!BF2786-'19_Расчет_аналитики'!BF2788</f>
        <v/>
      </c>
      <c r="BG2789">
        <f>'19_Расчет_аналитики'!BG2786-'19_Расчет_аналитики'!BG2788</f>
        <v/>
      </c>
      <c r="BH2789">
        <f>'19_Расчет_аналитики'!BH2786-'19_Расчет_аналитики'!BH2788</f>
        <v/>
      </c>
      <c r="BI2789">
        <f>'19_Расчет_аналитики'!BI2786-'19_Расчет_аналитики'!BI2788</f>
        <v/>
      </c>
    </row>
    <row r="2790">
      <c r="B2790">
        <f>'02_Модель'!B51+'19_Расчет_аналитики'!B2789</f>
        <v/>
      </c>
      <c r="C2790">
        <f>'19_Расчет_аналитики'!C2769+'19_Расчет_аналитики'!C2789</f>
        <v/>
      </c>
      <c r="D2790">
        <f>'19_Расчет_аналитики'!D2769+'19_Расчет_аналитики'!D2789</f>
        <v/>
      </c>
      <c r="E2790">
        <f>'19_Расчет_аналитики'!E2769+'19_Расчет_аналитики'!E2789</f>
        <v/>
      </c>
      <c r="F2790">
        <f>'19_Расчет_аналитики'!F2769+'19_Расчет_аналитики'!F2789</f>
        <v/>
      </c>
      <c r="G2790">
        <f>'19_Расчет_аналитики'!G2769+'19_Расчет_аналитики'!G2789</f>
        <v/>
      </c>
      <c r="H2790">
        <f>'19_Расчет_аналитики'!H2769+'19_Расчет_аналитики'!H2789</f>
        <v/>
      </c>
      <c r="I2790">
        <f>'19_Расчет_аналитики'!I2769+'19_Расчет_аналитики'!I2789</f>
        <v/>
      </c>
      <c r="J2790">
        <f>'19_Расчет_аналитики'!J2769+'19_Расчет_аналитики'!J2789</f>
        <v/>
      </c>
      <c r="K2790">
        <f>'19_Расчет_аналитики'!K2769+'19_Расчет_аналитики'!K2789</f>
        <v/>
      </c>
      <c r="L2790">
        <f>'19_Расчет_аналитики'!L2769+'19_Расчет_аналитики'!L2789</f>
        <v/>
      </c>
      <c r="M2790">
        <f>'19_Расчет_аналитики'!M2769+'19_Расчет_аналитики'!M2789</f>
        <v/>
      </c>
      <c r="N2790">
        <f>'19_Расчет_аналитики'!N2769+'19_Расчет_аналитики'!N2789</f>
        <v/>
      </c>
      <c r="O2790">
        <f>'19_Расчет_аналитики'!O2769+'19_Расчет_аналитики'!O2789</f>
        <v/>
      </c>
      <c r="P2790">
        <f>'19_Расчет_аналитики'!P2769+'19_Расчет_аналитики'!P2789</f>
        <v/>
      </c>
      <c r="Q2790">
        <f>'19_Расчет_аналитики'!Q2769+'19_Расчет_аналитики'!Q2789</f>
        <v/>
      </c>
      <c r="R2790">
        <f>'19_Расчет_аналитики'!R2769+'19_Расчет_аналитики'!R2789</f>
        <v/>
      </c>
      <c r="S2790">
        <f>'19_Расчет_аналитики'!S2769+'19_Расчет_аналитики'!S2789</f>
        <v/>
      </c>
      <c r="T2790">
        <f>'19_Расчет_аналитики'!T2769+'19_Расчет_аналитики'!T2789</f>
        <v/>
      </c>
      <c r="U2790">
        <f>'19_Расчет_аналитики'!U2769+'19_Расчет_аналитики'!U2789</f>
        <v/>
      </c>
      <c r="V2790">
        <f>'19_Расчет_аналитики'!V2769+'19_Расчет_аналитики'!V2789</f>
        <v/>
      </c>
      <c r="W2790">
        <f>'19_Расчет_аналитики'!W2769+'19_Расчет_аналитики'!W2789</f>
        <v/>
      </c>
      <c r="X2790">
        <f>'19_Расчет_аналитики'!X2769+'19_Расчет_аналитики'!X2789</f>
        <v/>
      </c>
      <c r="Y2790">
        <f>'19_Расчет_аналитики'!Y2769+'19_Расчет_аналитики'!Y2789</f>
        <v/>
      </c>
      <c r="Z2790">
        <f>'19_Расчет_аналитики'!Z2769+'19_Расчет_аналитики'!Z2789</f>
        <v/>
      </c>
      <c r="AA2790">
        <f>'19_Расчет_аналитики'!AA2769+'19_Расчет_аналитики'!AA2789</f>
        <v/>
      </c>
      <c r="AB2790">
        <f>'19_Расчет_аналитики'!AB2769+'19_Расчет_аналитики'!AB2789</f>
        <v/>
      </c>
      <c r="AC2790">
        <f>'19_Расчет_аналитики'!AC2769+'19_Расчет_аналитики'!AC2789</f>
        <v/>
      </c>
      <c r="AD2790">
        <f>'19_Расчет_аналитики'!AD2769+'19_Расчет_аналитики'!AD2789</f>
        <v/>
      </c>
      <c r="AE2790">
        <f>'19_Расчет_аналитики'!AE2769+'19_Расчет_аналитики'!AE2789</f>
        <v/>
      </c>
      <c r="AF2790">
        <f>'19_Расчет_аналитики'!AF2769+'19_Расчет_аналитики'!AF2789</f>
        <v/>
      </c>
      <c r="AG2790">
        <f>'19_Расчет_аналитики'!AG2769+'19_Расчет_аналитики'!AG2789</f>
        <v/>
      </c>
      <c r="AH2790">
        <f>'19_Расчет_аналитики'!AH2769+'19_Расчет_аналитики'!AH2789</f>
        <v/>
      </c>
      <c r="AI2790">
        <f>'19_Расчет_аналитики'!AI2769+'19_Расчет_аналитики'!AI2789</f>
        <v/>
      </c>
      <c r="AJ2790">
        <f>'19_Расчет_аналитики'!AJ2769+'19_Расчет_аналитики'!AJ2789</f>
        <v/>
      </c>
      <c r="AK2790">
        <f>'19_Расчет_аналитики'!AK2769+'19_Расчет_аналитики'!AK2789</f>
        <v/>
      </c>
      <c r="AL2790">
        <f>'19_Расчет_аналитики'!AL2769+'19_Расчет_аналитики'!AL2789</f>
        <v/>
      </c>
      <c r="AM2790">
        <f>'19_Расчет_аналитики'!AM2769+'19_Расчет_аналитики'!AM2789</f>
        <v/>
      </c>
      <c r="AN2790">
        <f>'19_Расчет_аналитики'!AN2769+'19_Расчет_аналитики'!AN2789</f>
        <v/>
      </c>
      <c r="AO2790">
        <f>'19_Расчет_аналитики'!AO2769+'19_Расчет_аналитики'!AO2789</f>
        <v/>
      </c>
      <c r="AP2790">
        <f>'19_Расчет_аналитики'!AP2769+'19_Расчет_аналитики'!AP2789</f>
        <v/>
      </c>
      <c r="AQ2790">
        <f>'19_Расчет_аналитики'!AQ2769+'19_Расчет_аналитики'!AQ2789</f>
        <v/>
      </c>
      <c r="AR2790">
        <f>'19_Расчет_аналитики'!AR2769+'19_Расчет_аналитики'!AR2789</f>
        <v/>
      </c>
      <c r="AS2790">
        <f>'19_Расчет_аналитики'!AS2769+'19_Расчет_аналитики'!AS2789</f>
        <v/>
      </c>
      <c r="AT2790">
        <f>'19_Расчет_аналитики'!AT2769+'19_Расчет_аналитики'!AT2789</f>
        <v/>
      </c>
      <c r="AU2790">
        <f>'19_Расчет_аналитики'!AU2769+'19_Расчет_аналитики'!AU2789</f>
        <v/>
      </c>
      <c r="AV2790">
        <f>'19_Расчет_аналитики'!AV2769+'19_Расчет_аналитики'!AV2789</f>
        <v/>
      </c>
      <c r="AW2790">
        <f>'19_Расчет_аналитики'!AW2769+'19_Расчет_аналитики'!AW2789</f>
        <v/>
      </c>
      <c r="AX2790">
        <f>'19_Расчет_аналитики'!AX2769+'19_Расчет_аналитики'!AX2789</f>
        <v/>
      </c>
      <c r="AY2790">
        <f>'19_Расчет_аналитики'!AY2769+'19_Расчет_аналитики'!AY2789</f>
        <v/>
      </c>
      <c r="AZ2790">
        <f>'19_Расчет_аналитики'!AZ2769+'19_Расчет_аналитики'!AZ2789</f>
        <v/>
      </c>
      <c r="BA2790">
        <f>'19_Расчет_аналитики'!BA2769+'19_Расчет_аналитики'!BA2789</f>
        <v/>
      </c>
      <c r="BB2790">
        <f>'19_Расчет_аналитики'!BB2769+'19_Расчет_аналитики'!BB2789</f>
        <v/>
      </c>
      <c r="BC2790">
        <f>'19_Расчет_аналитики'!BC2769+'19_Расчет_аналитики'!BC2789</f>
        <v/>
      </c>
      <c r="BD2790">
        <f>'19_Расчет_аналитики'!BD2769+'19_Расчет_аналитики'!BD2789</f>
        <v/>
      </c>
      <c r="BE2790">
        <f>'19_Расчет_аналитики'!BE2769+'19_Расчет_аналитики'!BE2789</f>
        <v/>
      </c>
      <c r="BF2790">
        <f>'19_Расчет_аналитики'!BF2769+'19_Расчет_аналитики'!BF2789</f>
        <v/>
      </c>
      <c r="BG2790">
        <f>'19_Расчет_аналитики'!BG2769+'19_Расчет_аналитики'!BG2789</f>
        <v/>
      </c>
      <c r="BH2790">
        <f>'19_Расчет_аналитики'!BH2769+'19_Расчет_аналитики'!BH2789</f>
        <v/>
      </c>
      <c r="BI2790">
        <f>'19_Расчет_аналитики'!BI2769+'19_Расчет_аналитики'!BI2789</f>
        <v/>
      </c>
    </row>
    <row r="2791"/>
    <row r="2792"/>
    <row r="2793">
      <c r="B2793">
        <f>'19_Расчет_аналитики'!B2657</f>
        <v/>
      </c>
      <c r="C2793">
        <f>'19_Расчет_аналитики'!C2657</f>
        <v/>
      </c>
      <c r="D2793">
        <f>'19_Расчет_аналитики'!D2657</f>
        <v/>
      </c>
      <c r="E2793">
        <f>'19_Расчет_аналитики'!E2657</f>
        <v/>
      </c>
      <c r="F2793">
        <f>'19_Расчет_аналитики'!F2657</f>
        <v/>
      </c>
      <c r="G2793">
        <f>'19_Расчет_аналитики'!G2657</f>
        <v/>
      </c>
      <c r="H2793">
        <f>'19_Расчет_аналитики'!H2657</f>
        <v/>
      </c>
      <c r="I2793">
        <f>'19_Расчет_аналитики'!I2657</f>
        <v/>
      </c>
      <c r="J2793">
        <f>'19_Расчет_аналитики'!J2657</f>
        <v/>
      </c>
      <c r="K2793">
        <f>'19_Расчет_аналитики'!K2657</f>
        <v/>
      </c>
      <c r="L2793">
        <f>'19_Расчет_аналитики'!L2657</f>
        <v/>
      </c>
      <c r="M2793">
        <f>'19_Расчет_аналитики'!M2657</f>
        <v/>
      </c>
      <c r="N2793">
        <f>'19_Расчет_аналитики'!N2657</f>
        <v/>
      </c>
      <c r="O2793">
        <f>'19_Расчет_аналитики'!O2657</f>
        <v/>
      </c>
      <c r="P2793">
        <f>'19_Расчет_аналитики'!P2657</f>
        <v/>
      </c>
      <c r="Q2793">
        <f>'19_Расчет_аналитики'!Q2657</f>
        <v/>
      </c>
      <c r="R2793">
        <f>'19_Расчет_аналитики'!R2657</f>
        <v/>
      </c>
      <c r="S2793">
        <f>'19_Расчет_аналитики'!S2657</f>
        <v/>
      </c>
      <c r="T2793">
        <f>'19_Расчет_аналитики'!T2657</f>
        <v/>
      </c>
      <c r="U2793">
        <f>'19_Расчет_аналитики'!U2657</f>
        <v/>
      </c>
      <c r="V2793">
        <f>'19_Расчет_аналитики'!V2657</f>
        <v/>
      </c>
      <c r="W2793">
        <f>'19_Расчет_аналитики'!W2657</f>
        <v/>
      </c>
      <c r="X2793">
        <f>'19_Расчет_аналитики'!X2657</f>
        <v/>
      </c>
      <c r="Y2793">
        <f>'19_Расчет_аналитики'!Y2657</f>
        <v/>
      </c>
      <c r="Z2793">
        <f>'19_Расчет_аналитики'!Z2657</f>
        <v/>
      </c>
      <c r="AA2793">
        <f>'19_Расчет_аналитики'!AA2657</f>
        <v/>
      </c>
      <c r="AB2793">
        <f>'19_Расчет_аналитики'!AB2657</f>
        <v/>
      </c>
      <c r="AC2793">
        <f>'19_Расчет_аналитики'!AC2657</f>
        <v/>
      </c>
      <c r="AD2793">
        <f>'19_Расчет_аналитики'!AD2657</f>
        <v/>
      </c>
      <c r="AE2793">
        <f>'19_Расчет_аналитики'!AE2657</f>
        <v/>
      </c>
      <c r="AF2793">
        <f>'19_Расчет_аналитики'!AF2657</f>
        <v/>
      </c>
      <c r="AG2793">
        <f>'19_Расчет_аналитики'!AG2657</f>
        <v/>
      </c>
      <c r="AH2793">
        <f>'19_Расчет_аналитики'!AH2657</f>
        <v/>
      </c>
      <c r="AI2793">
        <f>'19_Расчет_аналитики'!AI2657</f>
        <v/>
      </c>
      <c r="AJ2793">
        <f>'19_Расчет_аналитики'!AJ2657</f>
        <v/>
      </c>
      <c r="AK2793">
        <f>'19_Расчет_аналитики'!AK2657</f>
        <v/>
      </c>
      <c r="AL2793">
        <f>'19_Расчет_аналитики'!AL2657</f>
        <v/>
      </c>
      <c r="AM2793">
        <f>'19_Расчет_аналитики'!AM2657</f>
        <v/>
      </c>
      <c r="AN2793">
        <f>'19_Расчет_аналитики'!AN2657</f>
        <v/>
      </c>
      <c r="AO2793">
        <f>'19_Расчет_аналитики'!AO2657</f>
        <v/>
      </c>
      <c r="AP2793">
        <f>'19_Расчет_аналитики'!AP2657</f>
        <v/>
      </c>
      <c r="AQ2793">
        <f>'19_Расчет_аналитики'!AQ2657</f>
        <v/>
      </c>
      <c r="AR2793">
        <f>'19_Расчет_аналитики'!AR2657</f>
        <v/>
      </c>
      <c r="AS2793">
        <f>'19_Расчет_аналитики'!AS2657</f>
        <v/>
      </c>
      <c r="AT2793">
        <f>'19_Расчет_аналитики'!AT2657</f>
        <v/>
      </c>
      <c r="AU2793">
        <f>'19_Расчет_аналитики'!AU2657</f>
        <v/>
      </c>
      <c r="AV2793">
        <f>'19_Расчет_аналитики'!AV2657</f>
        <v/>
      </c>
      <c r="AW2793">
        <f>'19_Расчет_аналитики'!AW2657</f>
        <v/>
      </c>
      <c r="AX2793">
        <f>'19_Расчет_аналитики'!AX2657</f>
        <v/>
      </c>
      <c r="AY2793">
        <f>'19_Расчет_аналитики'!AY2657</f>
        <v/>
      </c>
      <c r="AZ2793">
        <f>'19_Расчет_аналитики'!AZ2657</f>
        <v/>
      </c>
      <c r="BA2793">
        <f>'19_Расчет_аналитики'!BA2657</f>
        <v/>
      </c>
      <c r="BB2793">
        <f>'19_Расчет_аналитики'!BB2657</f>
        <v/>
      </c>
      <c r="BC2793">
        <f>'19_Расчет_аналитики'!BC2657</f>
        <v/>
      </c>
      <c r="BD2793">
        <f>'19_Расчет_аналитики'!BD2657</f>
        <v/>
      </c>
      <c r="BE2793">
        <f>'19_Расчет_аналитики'!BE2657</f>
        <v/>
      </c>
      <c r="BF2793">
        <f>'19_Расчет_аналитики'!BF2657</f>
        <v/>
      </c>
      <c r="BG2793">
        <f>'19_Расчет_аналитики'!BG2657</f>
        <v/>
      </c>
      <c r="BH2793">
        <f>'19_Расчет_аналитики'!BH2657</f>
        <v/>
      </c>
      <c r="BI2793">
        <f>'19_Расчет_аналитики'!BI2657</f>
        <v/>
      </c>
    </row>
    <row r="2794">
      <c r="B2794">
        <f>'19_Расчет_аналитики'!B2651</f>
        <v/>
      </c>
      <c r="C2794">
        <f>'19_Расчет_аналитики'!C2651</f>
        <v/>
      </c>
      <c r="D2794">
        <f>'19_Расчет_аналитики'!D2651</f>
        <v/>
      </c>
      <c r="E2794">
        <f>'19_Расчет_аналитики'!E2651</f>
        <v/>
      </c>
      <c r="F2794">
        <f>'19_Расчет_аналитики'!F2651</f>
        <v/>
      </c>
      <c r="G2794">
        <f>'19_Расчет_аналитики'!G2651</f>
        <v/>
      </c>
      <c r="H2794">
        <f>'19_Расчет_аналитики'!H2651</f>
        <v/>
      </c>
      <c r="I2794">
        <f>'19_Расчет_аналитики'!I2651</f>
        <v/>
      </c>
      <c r="J2794">
        <f>'19_Расчет_аналитики'!J2651</f>
        <v/>
      </c>
      <c r="K2794">
        <f>'19_Расчет_аналитики'!K2651</f>
        <v/>
      </c>
      <c r="L2794">
        <f>'19_Расчет_аналитики'!L2651</f>
        <v/>
      </c>
      <c r="M2794">
        <f>'19_Расчет_аналитики'!M2651</f>
        <v/>
      </c>
      <c r="N2794">
        <f>'19_Расчет_аналитики'!N2651</f>
        <v/>
      </c>
      <c r="O2794">
        <f>'19_Расчет_аналитики'!O2651</f>
        <v/>
      </c>
      <c r="P2794">
        <f>'19_Расчет_аналитики'!P2651</f>
        <v/>
      </c>
      <c r="Q2794">
        <f>'19_Расчет_аналитики'!Q2651</f>
        <v/>
      </c>
      <c r="R2794">
        <f>'19_Расчет_аналитики'!R2651</f>
        <v/>
      </c>
      <c r="S2794">
        <f>'19_Расчет_аналитики'!S2651</f>
        <v/>
      </c>
      <c r="T2794">
        <f>'19_Расчет_аналитики'!T2651</f>
        <v/>
      </c>
      <c r="U2794">
        <f>'19_Расчет_аналитики'!U2651</f>
        <v/>
      </c>
      <c r="V2794">
        <f>'19_Расчет_аналитики'!V2651</f>
        <v/>
      </c>
      <c r="W2794">
        <f>'19_Расчет_аналитики'!W2651</f>
        <v/>
      </c>
      <c r="X2794">
        <f>'19_Расчет_аналитики'!X2651</f>
        <v/>
      </c>
      <c r="Y2794">
        <f>'19_Расчет_аналитики'!Y2651</f>
        <v/>
      </c>
      <c r="Z2794">
        <f>'19_Расчет_аналитики'!Z2651</f>
        <v/>
      </c>
      <c r="AA2794">
        <f>'19_Расчет_аналитики'!AA2651</f>
        <v/>
      </c>
      <c r="AB2794">
        <f>'19_Расчет_аналитики'!AB2651</f>
        <v/>
      </c>
      <c r="AC2794">
        <f>'19_Расчет_аналитики'!AC2651</f>
        <v/>
      </c>
      <c r="AD2794">
        <f>'19_Расчет_аналитики'!AD2651</f>
        <v/>
      </c>
      <c r="AE2794">
        <f>'19_Расчет_аналитики'!AE2651</f>
        <v/>
      </c>
      <c r="AF2794">
        <f>'19_Расчет_аналитики'!AF2651</f>
        <v/>
      </c>
      <c r="AG2794">
        <f>'19_Расчет_аналитики'!AG2651</f>
        <v/>
      </c>
      <c r="AH2794">
        <f>'19_Расчет_аналитики'!AH2651</f>
        <v/>
      </c>
      <c r="AI2794">
        <f>'19_Расчет_аналитики'!AI2651</f>
        <v/>
      </c>
      <c r="AJ2794">
        <f>'19_Расчет_аналитики'!AJ2651</f>
        <v/>
      </c>
      <c r="AK2794">
        <f>'19_Расчет_аналитики'!AK2651</f>
        <v/>
      </c>
      <c r="AL2794">
        <f>'19_Расчет_аналитики'!AL2651</f>
        <v/>
      </c>
      <c r="AM2794">
        <f>'19_Расчет_аналитики'!AM2651</f>
        <v/>
      </c>
      <c r="AN2794">
        <f>'19_Расчет_аналитики'!AN2651</f>
        <v/>
      </c>
      <c r="AO2794">
        <f>'19_Расчет_аналитики'!AO2651</f>
        <v/>
      </c>
      <c r="AP2794">
        <f>'19_Расчет_аналитики'!AP2651</f>
        <v/>
      </c>
      <c r="AQ2794">
        <f>'19_Расчет_аналитики'!AQ2651</f>
        <v/>
      </c>
      <c r="AR2794">
        <f>'19_Расчет_аналитики'!AR2651</f>
        <v/>
      </c>
      <c r="AS2794">
        <f>'19_Расчет_аналитики'!AS2651</f>
        <v/>
      </c>
      <c r="AT2794">
        <f>'19_Расчет_аналитики'!AT2651</f>
        <v/>
      </c>
      <c r="AU2794">
        <f>'19_Расчет_аналитики'!AU2651</f>
        <v/>
      </c>
      <c r="AV2794">
        <f>'19_Расчет_аналитики'!AV2651</f>
        <v/>
      </c>
      <c r="AW2794">
        <f>'19_Расчет_аналитики'!AW2651</f>
        <v/>
      </c>
      <c r="AX2794">
        <f>'19_Расчет_аналитики'!AX2651</f>
        <v/>
      </c>
      <c r="AY2794">
        <f>'19_Расчет_аналитики'!AY2651</f>
        <v/>
      </c>
      <c r="AZ2794">
        <f>'19_Расчет_аналитики'!AZ2651</f>
        <v/>
      </c>
      <c r="BA2794">
        <f>'19_Расчет_аналитики'!BA2651</f>
        <v/>
      </c>
      <c r="BB2794">
        <f>'19_Расчет_аналитики'!BB2651</f>
        <v/>
      </c>
      <c r="BC2794">
        <f>'19_Расчет_аналитики'!BC2651</f>
        <v/>
      </c>
      <c r="BD2794">
        <f>'19_Расчет_аналитики'!BD2651</f>
        <v/>
      </c>
      <c r="BE2794">
        <f>'19_Расчет_аналитики'!BE2651</f>
        <v/>
      </c>
      <c r="BF2794">
        <f>'19_Расчет_аналитики'!BF2651</f>
        <v/>
      </c>
      <c r="BG2794">
        <f>'19_Расчет_аналитики'!BG2651</f>
        <v/>
      </c>
      <c r="BH2794">
        <f>'19_Расчет_аналитики'!BH2651</f>
        <v/>
      </c>
      <c r="BI2794">
        <f>'19_Расчет_аналитики'!BI2651</f>
        <v/>
      </c>
    </row>
    <row r="2795">
      <c r="B2795">
        <f>'19_Расчет_аналитики'!B2649</f>
        <v/>
      </c>
      <c r="C2795">
        <f>'19_Расчет_аналитики'!C2649</f>
        <v/>
      </c>
      <c r="D2795">
        <f>'19_Расчет_аналитики'!D2649</f>
        <v/>
      </c>
      <c r="E2795">
        <f>'19_Расчет_аналитики'!E2649</f>
        <v/>
      </c>
      <c r="F2795">
        <f>'19_Расчет_аналитики'!F2649</f>
        <v/>
      </c>
      <c r="G2795">
        <f>'19_Расчет_аналитики'!G2649</f>
        <v/>
      </c>
      <c r="H2795">
        <f>'19_Расчет_аналитики'!H2649</f>
        <v/>
      </c>
      <c r="I2795">
        <f>'19_Расчет_аналитики'!I2649</f>
        <v/>
      </c>
      <c r="J2795">
        <f>'19_Расчет_аналитики'!J2649</f>
        <v/>
      </c>
      <c r="K2795">
        <f>'19_Расчет_аналитики'!K2649</f>
        <v/>
      </c>
      <c r="L2795">
        <f>'19_Расчет_аналитики'!L2649</f>
        <v/>
      </c>
      <c r="M2795">
        <f>'19_Расчет_аналитики'!M2649</f>
        <v/>
      </c>
      <c r="N2795">
        <f>'19_Расчет_аналитики'!N2649</f>
        <v/>
      </c>
      <c r="O2795">
        <f>'19_Расчет_аналитики'!O2649</f>
        <v/>
      </c>
      <c r="P2795">
        <f>'19_Расчет_аналитики'!P2649</f>
        <v/>
      </c>
      <c r="Q2795">
        <f>'19_Расчет_аналитики'!Q2649</f>
        <v/>
      </c>
      <c r="R2795">
        <f>'19_Расчет_аналитики'!R2649</f>
        <v/>
      </c>
      <c r="S2795">
        <f>'19_Расчет_аналитики'!S2649</f>
        <v/>
      </c>
      <c r="T2795">
        <f>'19_Расчет_аналитики'!T2649</f>
        <v/>
      </c>
      <c r="U2795">
        <f>'19_Расчет_аналитики'!U2649</f>
        <v/>
      </c>
      <c r="V2795">
        <f>'19_Расчет_аналитики'!V2649</f>
        <v/>
      </c>
      <c r="W2795">
        <f>'19_Расчет_аналитики'!W2649</f>
        <v/>
      </c>
      <c r="X2795">
        <f>'19_Расчет_аналитики'!X2649</f>
        <v/>
      </c>
      <c r="Y2795">
        <f>'19_Расчет_аналитики'!Y2649</f>
        <v/>
      </c>
      <c r="Z2795">
        <f>'19_Расчет_аналитики'!Z2649</f>
        <v/>
      </c>
      <c r="AA2795">
        <f>'19_Расчет_аналитики'!AA2649</f>
        <v/>
      </c>
      <c r="AB2795">
        <f>'19_Расчет_аналитики'!AB2649</f>
        <v/>
      </c>
      <c r="AC2795">
        <f>'19_Расчет_аналитики'!AC2649</f>
        <v/>
      </c>
      <c r="AD2795">
        <f>'19_Расчет_аналитики'!AD2649</f>
        <v/>
      </c>
      <c r="AE2795">
        <f>'19_Расчет_аналитики'!AE2649</f>
        <v/>
      </c>
      <c r="AF2795">
        <f>'19_Расчет_аналитики'!AF2649</f>
        <v/>
      </c>
      <c r="AG2795">
        <f>'19_Расчет_аналитики'!AG2649</f>
        <v/>
      </c>
      <c r="AH2795">
        <f>'19_Расчет_аналитики'!AH2649</f>
        <v/>
      </c>
      <c r="AI2795">
        <f>'19_Расчет_аналитики'!AI2649</f>
        <v/>
      </c>
      <c r="AJ2795">
        <f>'19_Расчет_аналитики'!AJ2649</f>
        <v/>
      </c>
      <c r="AK2795">
        <f>'19_Расчет_аналитики'!AK2649</f>
        <v/>
      </c>
      <c r="AL2795">
        <f>'19_Расчет_аналитики'!AL2649</f>
        <v/>
      </c>
      <c r="AM2795">
        <f>'19_Расчет_аналитики'!AM2649</f>
        <v/>
      </c>
      <c r="AN2795">
        <f>'19_Расчет_аналитики'!AN2649</f>
        <v/>
      </c>
      <c r="AO2795">
        <f>'19_Расчет_аналитики'!AO2649</f>
        <v/>
      </c>
      <c r="AP2795">
        <f>'19_Расчет_аналитики'!AP2649</f>
        <v/>
      </c>
      <c r="AQ2795">
        <f>'19_Расчет_аналитики'!AQ2649</f>
        <v/>
      </c>
      <c r="AR2795">
        <f>'19_Расчет_аналитики'!AR2649</f>
        <v/>
      </c>
      <c r="AS2795">
        <f>'19_Расчет_аналитики'!AS2649</f>
        <v/>
      </c>
      <c r="AT2795">
        <f>'19_Расчет_аналитики'!AT2649</f>
        <v/>
      </c>
      <c r="AU2795">
        <f>'19_Расчет_аналитики'!AU2649</f>
        <v/>
      </c>
      <c r="AV2795">
        <f>'19_Расчет_аналитики'!AV2649</f>
        <v/>
      </c>
      <c r="AW2795">
        <f>'19_Расчет_аналитики'!AW2649</f>
        <v/>
      </c>
      <c r="AX2795">
        <f>'19_Расчет_аналитики'!AX2649</f>
        <v/>
      </c>
      <c r="AY2795">
        <f>'19_Расчет_аналитики'!AY2649</f>
        <v/>
      </c>
      <c r="AZ2795">
        <f>'19_Расчет_аналитики'!AZ2649</f>
        <v/>
      </c>
      <c r="BA2795">
        <f>'19_Расчет_аналитики'!BA2649</f>
        <v/>
      </c>
      <c r="BB2795">
        <f>'19_Расчет_аналитики'!BB2649</f>
        <v/>
      </c>
      <c r="BC2795">
        <f>'19_Расчет_аналитики'!BC2649</f>
        <v/>
      </c>
      <c r="BD2795">
        <f>'19_Расчет_аналитики'!BD2649</f>
        <v/>
      </c>
      <c r="BE2795">
        <f>'19_Расчет_аналитики'!BE2649</f>
        <v/>
      </c>
      <c r="BF2795">
        <f>'19_Расчет_аналитики'!BF2649</f>
        <v/>
      </c>
      <c r="BG2795">
        <f>'19_Расчет_аналитики'!BG2649</f>
        <v/>
      </c>
      <c r="BH2795">
        <f>'19_Расчет_аналитики'!BH2649</f>
        <v/>
      </c>
      <c r="BI2795">
        <f>'19_Расчет_аналитики'!BI2649</f>
        <v/>
      </c>
    </row>
    <row r="2796">
      <c r="B2796">
        <f>'19_Расчет_аналитики'!B2652</f>
        <v/>
      </c>
      <c r="C2796">
        <f>'19_Расчет_аналитики'!C2652</f>
        <v/>
      </c>
      <c r="D2796">
        <f>'19_Расчет_аналитики'!D2652</f>
        <v/>
      </c>
      <c r="E2796">
        <f>'19_Расчет_аналитики'!E2652</f>
        <v/>
      </c>
      <c r="F2796">
        <f>'19_Расчет_аналитики'!F2652</f>
        <v/>
      </c>
      <c r="G2796">
        <f>'19_Расчет_аналитики'!G2652</f>
        <v/>
      </c>
      <c r="H2796">
        <f>'19_Расчет_аналитики'!H2652</f>
        <v/>
      </c>
      <c r="I2796">
        <f>'19_Расчет_аналитики'!I2652</f>
        <v/>
      </c>
      <c r="J2796">
        <f>'19_Расчет_аналитики'!J2652</f>
        <v/>
      </c>
      <c r="K2796">
        <f>'19_Расчет_аналитики'!K2652</f>
        <v/>
      </c>
      <c r="L2796">
        <f>'19_Расчет_аналитики'!L2652</f>
        <v/>
      </c>
      <c r="M2796">
        <f>'19_Расчет_аналитики'!M2652</f>
        <v/>
      </c>
      <c r="N2796">
        <f>'19_Расчет_аналитики'!N2652</f>
        <v/>
      </c>
      <c r="O2796">
        <f>'19_Расчет_аналитики'!O2652</f>
        <v/>
      </c>
      <c r="P2796">
        <f>'19_Расчет_аналитики'!P2652</f>
        <v/>
      </c>
      <c r="Q2796">
        <f>'19_Расчет_аналитики'!Q2652</f>
        <v/>
      </c>
      <c r="R2796">
        <f>'19_Расчет_аналитики'!R2652</f>
        <v/>
      </c>
      <c r="S2796">
        <f>'19_Расчет_аналитики'!S2652</f>
        <v/>
      </c>
      <c r="T2796">
        <f>'19_Расчет_аналитики'!T2652</f>
        <v/>
      </c>
      <c r="U2796">
        <f>'19_Расчет_аналитики'!U2652</f>
        <v/>
      </c>
      <c r="V2796">
        <f>'19_Расчет_аналитики'!V2652</f>
        <v/>
      </c>
      <c r="W2796">
        <f>'19_Расчет_аналитики'!W2652</f>
        <v/>
      </c>
      <c r="X2796">
        <f>'19_Расчет_аналитики'!X2652</f>
        <v/>
      </c>
      <c r="Y2796">
        <f>'19_Расчет_аналитики'!Y2652</f>
        <v/>
      </c>
      <c r="Z2796">
        <f>'19_Расчет_аналитики'!Z2652</f>
        <v/>
      </c>
      <c r="AA2796">
        <f>'19_Расчет_аналитики'!AA2652</f>
        <v/>
      </c>
      <c r="AB2796">
        <f>'19_Расчет_аналитики'!AB2652</f>
        <v/>
      </c>
      <c r="AC2796">
        <f>'19_Расчет_аналитики'!AC2652</f>
        <v/>
      </c>
      <c r="AD2796">
        <f>'19_Расчет_аналитики'!AD2652</f>
        <v/>
      </c>
      <c r="AE2796">
        <f>'19_Расчет_аналитики'!AE2652</f>
        <v/>
      </c>
      <c r="AF2796">
        <f>'19_Расчет_аналитики'!AF2652</f>
        <v/>
      </c>
      <c r="AG2796">
        <f>'19_Расчет_аналитики'!AG2652</f>
        <v/>
      </c>
      <c r="AH2796">
        <f>'19_Расчет_аналитики'!AH2652</f>
        <v/>
      </c>
      <c r="AI2796">
        <f>'19_Расчет_аналитики'!AI2652</f>
        <v/>
      </c>
      <c r="AJ2796">
        <f>'19_Расчет_аналитики'!AJ2652</f>
        <v/>
      </c>
      <c r="AK2796">
        <f>'19_Расчет_аналитики'!AK2652</f>
        <v/>
      </c>
      <c r="AL2796">
        <f>'19_Расчет_аналитики'!AL2652</f>
        <v/>
      </c>
      <c r="AM2796">
        <f>'19_Расчет_аналитики'!AM2652</f>
        <v/>
      </c>
      <c r="AN2796">
        <f>'19_Расчет_аналитики'!AN2652</f>
        <v/>
      </c>
      <c r="AO2796">
        <f>'19_Расчет_аналитики'!AO2652</f>
        <v/>
      </c>
      <c r="AP2796">
        <f>'19_Расчет_аналитики'!AP2652</f>
        <v/>
      </c>
      <c r="AQ2796">
        <f>'19_Расчет_аналитики'!AQ2652</f>
        <v/>
      </c>
      <c r="AR2796">
        <f>'19_Расчет_аналитики'!AR2652</f>
        <v/>
      </c>
      <c r="AS2796">
        <f>'19_Расчет_аналитики'!AS2652</f>
        <v/>
      </c>
      <c r="AT2796">
        <f>'19_Расчет_аналитики'!AT2652</f>
        <v/>
      </c>
      <c r="AU2796">
        <f>'19_Расчет_аналитики'!AU2652</f>
        <v/>
      </c>
      <c r="AV2796">
        <f>'19_Расчет_аналитики'!AV2652</f>
        <v/>
      </c>
      <c r="AW2796">
        <f>'19_Расчет_аналитики'!AW2652</f>
        <v/>
      </c>
      <c r="AX2796">
        <f>'19_Расчет_аналитики'!AX2652</f>
        <v/>
      </c>
      <c r="AY2796">
        <f>'19_Расчет_аналитики'!AY2652</f>
        <v/>
      </c>
      <c r="AZ2796">
        <f>'19_Расчет_аналитики'!AZ2652</f>
        <v/>
      </c>
      <c r="BA2796">
        <f>'19_Расчет_аналитики'!BA2652</f>
        <v/>
      </c>
      <c r="BB2796">
        <f>'19_Расчет_аналитики'!BB2652</f>
        <v/>
      </c>
      <c r="BC2796">
        <f>'19_Расчет_аналитики'!BC2652</f>
        <v/>
      </c>
      <c r="BD2796">
        <f>'19_Расчет_аналитики'!BD2652</f>
        <v/>
      </c>
      <c r="BE2796">
        <f>'19_Расчет_аналитики'!BE2652</f>
        <v/>
      </c>
      <c r="BF2796">
        <f>'19_Расчет_аналитики'!BF2652</f>
        <v/>
      </c>
      <c r="BG2796">
        <f>'19_Расчет_аналитики'!BG2652</f>
        <v/>
      </c>
      <c r="BH2796">
        <f>'19_Расчет_аналитики'!BH2652</f>
        <v/>
      </c>
      <c r="BI2796">
        <f>'19_Расчет_аналитики'!BI2652</f>
        <v/>
      </c>
    </row>
    <row r="2797"/>
    <row r="2798">
      <c r="B2798">
        <f>0+'19_Расчет_аналитики'!B2737+'19_Расчет_аналитики'!B2738-'19_Расчет_аналитики'!B2771/(1+'01_Вводные'!$B$58)</f>
        <v/>
      </c>
      <c r="C2798">
        <f>'19_Расчет_аналитики'!B2798+'19_Расчет_аналитики'!C2737+'19_Расчет_аналитики'!C2738-'19_Расчет_аналитики'!C2771/(1+'01_Вводные'!$B$58)</f>
        <v/>
      </c>
      <c r="D2798">
        <f>'19_Расчет_аналитики'!C2798+'19_Расчет_аналитики'!D2737+'19_Расчет_аналитики'!D2738-'19_Расчет_аналитики'!D2771/(1+'01_Вводные'!$B$58)</f>
        <v/>
      </c>
      <c r="E2798">
        <f>'19_Расчет_аналитики'!D2798+'19_Расчет_аналитики'!E2737+'19_Расчет_аналитики'!E2738-'19_Расчет_аналитики'!E2771/(1+'01_Вводные'!$B$58)</f>
        <v/>
      </c>
      <c r="F2798">
        <f>'19_Расчет_аналитики'!E2798+'19_Расчет_аналитики'!F2737+'19_Расчет_аналитики'!F2738-'19_Расчет_аналитики'!F2771/(1+'01_Вводные'!$B$58)</f>
        <v/>
      </c>
      <c r="G2798">
        <f>'19_Расчет_аналитики'!F2798+'19_Расчет_аналитики'!G2737+'19_Расчет_аналитики'!G2738-'19_Расчет_аналитики'!G2771/(1+'01_Вводные'!$B$58)</f>
        <v/>
      </c>
      <c r="H2798">
        <f>'19_Расчет_аналитики'!G2798+'19_Расчет_аналитики'!H2737+'19_Расчет_аналитики'!H2738-'19_Расчет_аналитики'!H2771/(1+'01_Вводные'!$B$58)</f>
        <v/>
      </c>
      <c r="I2798">
        <f>'19_Расчет_аналитики'!H2798+'19_Расчет_аналитики'!I2737+'19_Расчет_аналитики'!I2738-'19_Расчет_аналитики'!I2771/(1+'01_Вводные'!$B$58)</f>
        <v/>
      </c>
      <c r="J2798">
        <f>'19_Расчет_аналитики'!I2798+'19_Расчет_аналитики'!J2737+'19_Расчет_аналитики'!J2738-'19_Расчет_аналитики'!J2771/(1+'01_Вводные'!$B$58)</f>
        <v/>
      </c>
      <c r="K2798">
        <f>'19_Расчет_аналитики'!J2798+'19_Расчет_аналитики'!K2737+'19_Расчет_аналитики'!K2738-'19_Расчет_аналитики'!K2771/(1+'01_Вводные'!$B$58)</f>
        <v/>
      </c>
      <c r="L2798">
        <f>'19_Расчет_аналитики'!K2798+'19_Расчет_аналитики'!L2737+'19_Расчет_аналитики'!L2738-'19_Расчет_аналитики'!L2771/(1+'01_Вводные'!$B$58)</f>
        <v/>
      </c>
      <c r="M2798">
        <f>'19_Расчет_аналитики'!L2798+'19_Расчет_аналитики'!M2737+'19_Расчет_аналитики'!M2738-'19_Расчет_аналитики'!M2771/(1+'01_Вводные'!$B$58)</f>
        <v/>
      </c>
      <c r="N2798">
        <f>'19_Расчет_аналитики'!M2798+'19_Расчет_аналитики'!N2737+'19_Расчет_аналитики'!N2738-'19_Расчет_аналитики'!N2771/(1+'01_Вводные'!$B$58)</f>
        <v/>
      </c>
      <c r="O2798">
        <f>'19_Расчет_аналитики'!N2798+'19_Расчет_аналитики'!O2737+'19_Расчет_аналитики'!O2738-'19_Расчет_аналитики'!O2771/(1+'01_Вводные'!$B$58)</f>
        <v/>
      </c>
      <c r="P2798">
        <f>'19_Расчет_аналитики'!O2798+'19_Расчет_аналитики'!P2737+'19_Расчет_аналитики'!P2738-'19_Расчет_аналитики'!P2771/(1+'01_Вводные'!$B$58)</f>
        <v/>
      </c>
      <c r="Q2798">
        <f>'19_Расчет_аналитики'!P2798+'19_Расчет_аналитики'!Q2737+'19_Расчет_аналитики'!Q2738-'19_Расчет_аналитики'!Q2771/(1+'01_Вводные'!$B$58)</f>
        <v/>
      </c>
      <c r="R2798">
        <f>'19_Расчет_аналитики'!Q2798+'19_Расчет_аналитики'!R2737+'19_Расчет_аналитики'!R2738-'19_Расчет_аналитики'!R2771/(1+'01_Вводные'!$B$58)</f>
        <v/>
      </c>
      <c r="S2798">
        <f>'19_Расчет_аналитики'!R2798+'19_Расчет_аналитики'!S2737+'19_Расчет_аналитики'!S2738-'19_Расчет_аналитики'!S2771/(1+'01_Вводные'!$B$58)</f>
        <v/>
      </c>
      <c r="T2798">
        <f>'19_Расчет_аналитики'!S2798+'19_Расчет_аналитики'!T2737+'19_Расчет_аналитики'!T2738-'19_Расчет_аналитики'!T2771/(1+'01_Вводные'!$B$58)</f>
        <v/>
      </c>
      <c r="U2798">
        <f>'19_Расчет_аналитики'!T2798+'19_Расчет_аналитики'!U2737+'19_Расчет_аналитики'!U2738-'19_Расчет_аналитики'!U2771/(1+'01_Вводные'!$B$58)</f>
        <v/>
      </c>
      <c r="V2798">
        <f>'19_Расчет_аналитики'!U2798+'19_Расчет_аналитики'!V2737+'19_Расчет_аналитики'!V2738-'19_Расчет_аналитики'!V2771/(1+'01_Вводные'!$B$58)</f>
        <v/>
      </c>
      <c r="W2798">
        <f>'19_Расчет_аналитики'!V2798+'19_Расчет_аналитики'!W2737+'19_Расчет_аналитики'!W2738-'19_Расчет_аналитики'!W2771/(1+'01_Вводные'!$B$58)</f>
        <v/>
      </c>
      <c r="X2798">
        <f>'19_Расчет_аналитики'!W2798+'19_Расчет_аналитики'!X2737+'19_Расчет_аналитики'!X2738-'19_Расчет_аналитики'!X2771/(1+'01_Вводные'!$B$58)</f>
        <v/>
      </c>
      <c r="Y2798">
        <f>'19_Расчет_аналитики'!X2798+'19_Расчет_аналитики'!Y2737+'19_Расчет_аналитики'!Y2738-'19_Расчет_аналитики'!Y2771/(1+'01_Вводные'!$B$58)</f>
        <v/>
      </c>
      <c r="Z2798">
        <f>'19_Расчет_аналитики'!Y2798+'19_Расчет_аналитики'!Z2737+'19_Расчет_аналитики'!Z2738-'19_Расчет_аналитики'!Z2771/(1+'01_Вводные'!$B$58)</f>
        <v/>
      </c>
      <c r="AA2798">
        <f>'19_Расчет_аналитики'!Z2798+'19_Расчет_аналитики'!AA2737+'19_Расчет_аналитики'!AA2738-'19_Расчет_аналитики'!AA2771/(1+'01_Вводные'!$B$58)</f>
        <v/>
      </c>
      <c r="AB2798">
        <f>'19_Расчет_аналитики'!AA2798+'19_Расчет_аналитики'!AB2737+'19_Расчет_аналитики'!AB2738-'19_Расчет_аналитики'!AB2771/(1+'01_Вводные'!$B$58)</f>
        <v/>
      </c>
      <c r="AC2798">
        <f>'19_Расчет_аналитики'!AB2798+'19_Расчет_аналитики'!AC2737+'19_Расчет_аналитики'!AC2738-'19_Расчет_аналитики'!AC2771/(1+'01_Вводные'!$B$58)</f>
        <v/>
      </c>
      <c r="AD2798">
        <f>'19_Расчет_аналитики'!AC2798+'19_Расчет_аналитики'!AD2737+'19_Расчет_аналитики'!AD2738-'19_Расчет_аналитики'!AD2771/(1+'01_Вводные'!$B$58)</f>
        <v/>
      </c>
      <c r="AE2798">
        <f>'19_Расчет_аналитики'!AD2798+'19_Расчет_аналитики'!AE2737+'19_Расчет_аналитики'!AE2738-'19_Расчет_аналитики'!AE2771/(1+'01_Вводные'!$B$58)</f>
        <v/>
      </c>
      <c r="AF2798">
        <f>'19_Расчет_аналитики'!AE2798+'19_Расчет_аналитики'!AF2737+'19_Расчет_аналитики'!AF2738-'19_Расчет_аналитики'!AF2771/(1+'01_Вводные'!$B$58)</f>
        <v/>
      </c>
      <c r="AG2798">
        <f>'19_Расчет_аналитики'!AF2798+'19_Расчет_аналитики'!AG2737+'19_Расчет_аналитики'!AG2738-'19_Расчет_аналитики'!AG2771/(1+'01_Вводные'!$B$58)</f>
        <v/>
      </c>
      <c r="AH2798">
        <f>'19_Расчет_аналитики'!AG2798+'19_Расчет_аналитики'!AH2737+'19_Расчет_аналитики'!AH2738-'19_Расчет_аналитики'!AH2771/(1+'01_Вводные'!$B$58)</f>
        <v/>
      </c>
      <c r="AI2798">
        <f>'19_Расчет_аналитики'!AH2798+'19_Расчет_аналитики'!AI2737+'19_Расчет_аналитики'!AI2738-'19_Расчет_аналитики'!AI2771/(1+'01_Вводные'!$B$58)</f>
        <v/>
      </c>
      <c r="AJ2798">
        <f>'19_Расчет_аналитики'!AI2798+'19_Расчет_аналитики'!AJ2737+'19_Расчет_аналитики'!AJ2738-'19_Расчет_аналитики'!AJ2771/(1+'01_Вводные'!$B$58)</f>
        <v/>
      </c>
      <c r="AK2798">
        <f>'19_Расчет_аналитики'!AJ2798+'19_Расчет_аналитики'!AK2737+'19_Расчет_аналитики'!AK2738-'19_Расчет_аналитики'!AK2771/(1+'01_Вводные'!$B$58)</f>
        <v/>
      </c>
      <c r="AL2798">
        <f>'19_Расчет_аналитики'!AK2798+'19_Расчет_аналитики'!AL2737+'19_Расчет_аналитики'!AL2738-'19_Расчет_аналитики'!AL2771/(1+'01_Вводные'!$B$58)</f>
        <v/>
      </c>
      <c r="AM2798">
        <f>'19_Расчет_аналитики'!AL2798+'19_Расчет_аналитики'!AM2737+'19_Расчет_аналитики'!AM2738-'19_Расчет_аналитики'!AM2771/(1+'01_Вводные'!$B$58)</f>
        <v/>
      </c>
      <c r="AN2798">
        <f>'19_Расчет_аналитики'!AM2798+'19_Расчет_аналитики'!AN2737+'19_Расчет_аналитики'!AN2738-'19_Расчет_аналитики'!AN2771/(1+'01_Вводные'!$B$58)</f>
        <v/>
      </c>
      <c r="AO2798">
        <f>'19_Расчет_аналитики'!AN2798+'19_Расчет_аналитики'!AO2737+'19_Расчет_аналитики'!AO2738-'19_Расчет_аналитики'!AO2771/(1+'01_Вводные'!$B$58)</f>
        <v/>
      </c>
      <c r="AP2798">
        <f>'19_Расчет_аналитики'!AO2798+'19_Расчет_аналитики'!AP2737+'19_Расчет_аналитики'!AP2738-'19_Расчет_аналитики'!AP2771/(1+'01_Вводные'!$B$58)</f>
        <v/>
      </c>
      <c r="AQ2798">
        <f>'19_Расчет_аналитики'!AP2798+'19_Расчет_аналитики'!AQ2737+'19_Расчет_аналитики'!AQ2738-'19_Расчет_аналитики'!AQ2771/(1+'01_Вводные'!$B$58)</f>
        <v/>
      </c>
      <c r="AR2798">
        <f>'19_Расчет_аналитики'!AQ2798+'19_Расчет_аналитики'!AR2737+'19_Расчет_аналитики'!AR2738-'19_Расчет_аналитики'!AR2771/(1+'01_Вводные'!$B$58)</f>
        <v/>
      </c>
      <c r="AS2798">
        <f>'19_Расчет_аналитики'!AR2798+'19_Расчет_аналитики'!AS2737+'19_Расчет_аналитики'!AS2738-'19_Расчет_аналитики'!AS2771/(1+'01_Вводные'!$B$58)</f>
        <v/>
      </c>
      <c r="AT2798">
        <f>'19_Расчет_аналитики'!AS2798+'19_Расчет_аналитики'!AT2737+'19_Расчет_аналитики'!AT2738-'19_Расчет_аналитики'!AT2771/(1+'01_Вводные'!$B$58)</f>
        <v/>
      </c>
      <c r="AU2798">
        <f>'19_Расчет_аналитики'!AT2798+'19_Расчет_аналитики'!AU2737+'19_Расчет_аналитики'!AU2738-'19_Расчет_аналитики'!AU2771/(1+'01_Вводные'!$B$58)</f>
        <v/>
      </c>
      <c r="AV2798">
        <f>'19_Расчет_аналитики'!AU2798+'19_Расчет_аналитики'!AV2737+'19_Расчет_аналитики'!AV2738-'19_Расчет_аналитики'!AV2771/(1+'01_Вводные'!$B$58)</f>
        <v/>
      </c>
      <c r="AW2798">
        <f>'19_Расчет_аналитики'!AV2798+'19_Расчет_аналитики'!AW2737+'19_Расчет_аналитики'!AW2738-'19_Расчет_аналитики'!AW2771/(1+'01_Вводные'!$B$58)</f>
        <v/>
      </c>
      <c r="AX2798">
        <f>'19_Расчет_аналитики'!AW2798+'19_Расчет_аналитики'!AX2737+'19_Расчет_аналитики'!AX2738-'19_Расчет_аналитики'!AX2771/(1+'01_Вводные'!$B$58)</f>
        <v/>
      </c>
      <c r="AY2798">
        <f>'19_Расчет_аналитики'!AX2798+'19_Расчет_аналитики'!AY2737+'19_Расчет_аналитики'!AY2738-'19_Расчет_аналитики'!AY2771/(1+'01_Вводные'!$B$58)</f>
        <v/>
      </c>
      <c r="AZ2798">
        <f>'19_Расчет_аналитики'!AY2798+'19_Расчет_аналитики'!AZ2737+'19_Расчет_аналитики'!AZ2738-'19_Расчет_аналитики'!AZ2771/(1+'01_Вводные'!$B$58)</f>
        <v/>
      </c>
      <c r="BA2798">
        <f>'19_Расчет_аналитики'!AZ2798+'19_Расчет_аналитики'!BA2737+'19_Расчет_аналитики'!BA2738-'19_Расчет_аналитики'!BA2771/(1+'01_Вводные'!$B$58)</f>
        <v/>
      </c>
      <c r="BB2798">
        <f>'19_Расчет_аналитики'!BA2798+'19_Расчет_аналитики'!BB2737+'19_Расчет_аналитики'!BB2738-'19_Расчет_аналитики'!BB2771/(1+'01_Вводные'!$B$58)</f>
        <v/>
      </c>
      <c r="BC2798">
        <f>'19_Расчет_аналитики'!BB2798+'19_Расчет_аналитики'!BC2737+'19_Расчет_аналитики'!BC2738-'19_Расчет_аналитики'!BC2771/(1+'01_Вводные'!$B$58)</f>
        <v/>
      </c>
      <c r="BD2798">
        <f>'19_Расчет_аналитики'!BC2798+'19_Расчет_аналитики'!BD2737+'19_Расчет_аналитики'!BD2738-'19_Расчет_аналитики'!BD2771/(1+'01_Вводные'!$B$58)</f>
        <v/>
      </c>
      <c r="BE2798">
        <f>'19_Расчет_аналитики'!BD2798+'19_Расчет_аналитики'!BE2737+'19_Расчет_аналитики'!BE2738-'19_Расчет_аналитики'!BE2771/(1+'01_Вводные'!$B$58)</f>
        <v/>
      </c>
      <c r="BF2798">
        <f>'19_Расчет_аналитики'!BE2798+'19_Расчет_аналитики'!BF2737+'19_Расчет_аналитики'!BF2738-'19_Расчет_аналитики'!BF2771/(1+'01_Вводные'!$B$58)</f>
        <v/>
      </c>
      <c r="BG2798">
        <f>'19_Расчет_аналитики'!BF2798+'19_Расчет_аналитики'!BG2737+'19_Расчет_аналитики'!BG2738-'19_Расчет_аналитики'!BG2771/(1+'01_Вводные'!$B$58)</f>
        <v/>
      </c>
      <c r="BH2798">
        <f>'19_Расчет_аналитики'!BG2798+'19_Расчет_аналитики'!BH2737+'19_Расчет_аналитики'!BH2738-'19_Расчет_аналитики'!BH2771/(1+'01_Вводные'!$B$58)</f>
        <v/>
      </c>
      <c r="BI2798">
        <f>'19_Расчет_аналитики'!BH2798+'19_Расчет_аналитики'!BI2737+'19_Расчет_аналитики'!BI2738-'19_Расчет_аналитики'!BI2771/(1+'01_Вводные'!$B$58)</f>
        <v/>
      </c>
    </row>
    <row r="2799">
      <c r="B2799">
        <f>0+SUM('19_Расчет_аналитики'!B2755:B2760)+'19_Расчет_аналитики'!B2650-'19_Расчет_аналитики'!B2777</f>
        <v/>
      </c>
      <c r="C2799">
        <f>'19_Расчет_аналитики'!B2799+SUM('19_Расчет_аналитики'!C2755:C2760)+'19_Расчет_аналитики'!C2650-'19_Расчет_аналитики'!C2777</f>
        <v/>
      </c>
      <c r="D2799">
        <f>'19_Расчет_аналитики'!C2799+SUM('19_Расчет_аналитики'!D2755:D2760)+'19_Расчет_аналитики'!D2650-'19_Расчет_аналитики'!D2777</f>
        <v/>
      </c>
      <c r="E2799">
        <f>'19_Расчет_аналитики'!D2799+SUM('19_Расчет_аналитики'!E2755:E2760)+'19_Расчет_аналитики'!E2650-'19_Расчет_аналитики'!E2777</f>
        <v/>
      </c>
      <c r="F2799">
        <f>'19_Расчет_аналитики'!E2799+SUM('19_Расчет_аналитики'!F2755:F2760)+'19_Расчет_аналитики'!F2650-'19_Расчет_аналитики'!F2777</f>
        <v/>
      </c>
      <c r="G2799">
        <f>'19_Расчет_аналитики'!F2799+SUM('19_Расчет_аналитики'!G2755:G2760)+'19_Расчет_аналитики'!G2650-'19_Расчет_аналитики'!G2777</f>
        <v/>
      </c>
      <c r="H2799">
        <f>'19_Расчет_аналитики'!G2799+SUM('19_Расчет_аналитики'!H2755:H2760)+'19_Расчет_аналитики'!H2650-'19_Расчет_аналитики'!H2777</f>
        <v/>
      </c>
      <c r="I2799">
        <f>'19_Расчет_аналитики'!H2799+SUM('19_Расчет_аналитики'!I2755:I2760)+'19_Расчет_аналитики'!I2650-'19_Расчет_аналитики'!I2777</f>
        <v/>
      </c>
      <c r="J2799">
        <f>'19_Расчет_аналитики'!I2799+SUM('19_Расчет_аналитики'!J2755:J2760)+'19_Расчет_аналитики'!J2650-'19_Расчет_аналитики'!J2777</f>
        <v/>
      </c>
      <c r="K2799">
        <f>'19_Расчет_аналитики'!J2799+SUM('19_Расчет_аналитики'!K2755:K2760)+'19_Расчет_аналитики'!K2650-'19_Расчет_аналитики'!K2777</f>
        <v/>
      </c>
      <c r="L2799">
        <f>'19_Расчет_аналитики'!K2799+SUM('19_Расчет_аналитики'!L2755:L2760)+'19_Расчет_аналитики'!L2650-'19_Расчет_аналитики'!L2777</f>
        <v/>
      </c>
      <c r="M2799">
        <f>'19_Расчет_аналитики'!L2799+SUM('19_Расчет_аналитики'!M2755:M2760)+'19_Расчет_аналитики'!M2650-'19_Расчет_аналитики'!M2777</f>
        <v/>
      </c>
      <c r="N2799">
        <f>'19_Расчет_аналитики'!M2799+SUM('19_Расчет_аналитики'!N2755:N2760)+'19_Расчет_аналитики'!N2650-'19_Расчет_аналитики'!N2777</f>
        <v/>
      </c>
      <c r="O2799">
        <f>'19_Расчет_аналитики'!N2799+SUM('19_Расчет_аналитики'!O2755:O2760)+'19_Расчет_аналитики'!O2650-'19_Расчет_аналитики'!O2777</f>
        <v/>
      </c>
      <c r="P2799">
        <f>'19_Расчет_аналитики'!O2799+SUM('19_Расчет_аналитики'!P2755:P2760)+'19_Расчет_аналитики'!P2650-'19_Расчет_аналитики'!P2777</f>
        <v/>
      </c>
      <c r="Q2799">
        <f>'19_Расчет_аналитики'!P2799+SUM('19_Расчет_аналитики'!Q2755:Q2760)+'19_Расчет_аналитики'!Q2650-'19_Расчет_аналитики'!Q2777</f>
        <v/>
      </c>
      <c r="R2799">
        <f>'19_Расчет_аналитики'!Q2799+SUM('19_Расчет_аналитики'!R2755:R2760)+'19_Расчет_аналитики'!R2650-'19_Расчет_аналитики'!R2777</f>
        <v/>
      </c>
      <c r="S2799">
        <f>'19_Расчет_аналитики'!R2799+SUM('19_Расчет_аналитики'!S2755:S2760)+'19_Расчет_аналитики'!S2650-'19_Расчет_аналитики'!S2777</f>
        <v/>
      </c>
      <c r="T2799">
        <f>'19_Расчет_аналитики'!S2799+SUM('19_Расчет_аналитики'!T2755:T2760)+'19_Расчет_аналитики'!T2650-'19_Расчет_аналитики'!T2777</f>
        <v/>
      </c>
      <c r="U2799">
        <f>'19_Расчет_аналитики'!T2799+SUM('19_Расчет_аналитики'!U2755:U2760)+'19_Расчет_аналитики'!U2650-'19_Расчет_аналитики'!U2777</f>
        <v/>
      </c>
      <c r="V2799">
        <f>'19_Расчет_аналитики'!U2799+SUM('19_Расчет_аналитики'!V2755:V2760)+'19_Расчет_аналитики'!V2650-'19_Расчет_аналитики'!V2777</f>
        <v/>
      </c>
      <c r="W2799">
        <f>'19_Расчет_аналитики'!V2799+SUM('19_Расчет_аналитики'!W2755:W2760)+'19_Расчет_аналитики'!W2650-'19_Расчет_аналитики'!W2777</f>
        <v/>
      </c>
      <c r="X2799">
        <f>'19_Расчет_аналитики'!W2799+SUM('19_Расчет_аналитики'!X2755:X2760)+'19_Расчет_аналитики'!X2650-'19_Расчет_аналитики'!X2777</f>
        <v/>
      </c>
      <c r="Y2799">
        <f>'19_Расчет_аналитики'!X2799+SUM('19_Расчет_аналитики'!Y2755:Y2760)+'19_Расчет_аналитики'!Y2650-'19_Расчет_аналитики'!Y2777</f>
        <v/>
      </c>
      <c r="Z2799">
        <f>'19_Расчет_аналитики'!Y2799+SUM('19_Расчет_аналитики'!Z2755:Z2760)+'19_Расчет_аналитики'!Z2650-'19_Расчет_аналитики'!Z2777</f>
        <v/>
      </c>
      <c r="AA2799">
        <f>'19_Расчет_аналитики'!Z2799+SUM('19_Расчет_аналитики'!AA2755:AA2760)+'19_Расчет_аналитики'!AA2650-'19_Расчет_аналитики'!AA2777</f>
        <v/>
      </c>
      <c r="AB2799">
        <f>'19_Расчет_аналитики'!AA2799+SUM('19_Расчет_аналитики'!AB2755:AB2760)+'19_Расчет_аналитики'!AB2650-'19_Расчет_аналитики'!AB2777</f>
        <v/>
      </c>
      <c r="AC2799">
        <f>'19_Расчет_аналитики'!AB2799+SUM('19_Расчет_аналитики'!AC2755:AC2760)+'19_Расчет_аналитики'!AC2650-'19_Расчет_аналитики'!AC2777</f>
        <v/>
      </c>
      <c r="AD2799">
        <f>'19_Расчет_аналитики'!AC2799+SUM('19_Расчет_аналитики'!AD2755:AD2760)+'19_Расчет_аналитики'!AD2650-'19_Расчет_аналитики'!AD2777</f>
        <v/>
      </c>
      <c r="AE2799">
        <f>'19_Расчет_аналитики'!AD2799+SUM('19_Расчет_аналитики'!AE2755:AE2760)+'19_Расчет_аналитики'!AE2650-'19_Расчет_аналитики'!AE2777</f>
        <v/>
      </c>
      <c r="AF2799">
        <f>'19_Расчет_аналитики'!AE2799+SUM('19_Расчет_аналитики'!AF2755:AF2760)+'19_Расчет_аналитики'!AF2650-'19_Расчет_аналитики'!AF2777</f>
        <v/>
      </c>
      <c r="AG2799">
        <f>'19_Расчет_аналитики'!AF2799+SUM('19_Расчет_аналитики'!AG2755:AG2760)+'19_Расчет_аналитики'!AG2650-'19_Расчет_аналитики'!AG2777</f>
        <v/>
      </c>
      <c r="AH2799">
        <f>'19_Расчет_аналитики'!AG2799+SUM('19_Расчет_аналитики'!AH2755:AH2760)+'19_Расчет_аналитики'!AH2650-'19_Расчет_аналитики'!AH2777</f>
        <v/>
      </c>
      <c r="AI2799">
        <f>'19_Расчет_аналитики'!AH2799+SUM('19_Расчет_аналитики'!AI2755:AI2760)+'19_Расчет_аналитики'!AI2650-'19_Расчет_аналитики'!AI2777</f>
        <v/>
      </c>
      <c r="AJ2799">
        <f>'19_Расчет_аналитики'!AI2799+SUM('19_Расчет_аналитики'!AJ2755:AJ2760)+'19_Расчет_аналитики'!AJ2650-'19_Расчет_аналитики'!AJ2777</f>
        <v/>
      </c>
      <c r="AK2799">
        <f>'19_Расчет_аналитики'!AJ2799+SUM('19_Расчет_аналитики'!AK2755:AK2760)+'19_Расчет_аналитики'!AK2650-'19_Расчет_аналитики'!AK2777</f>
        <v/>
      </c>
      <c r="AL2799">
        <f>'19_Расчет_аналитики'!AK2799+SUM('19_Расчет_аналитики'!AL2755:AL2760)+'19_Расчет_аналитики'!AL2650-'19_Расчет_аналитики'!AL2777</f>
        <v/>
      </c>
      <c r="AM2799">
        <f>'19_Расчет_аналитики'!AL2799+SUM('19_Расчет_аналитики'!AM2755:AM2760)+'19_Расчет_аналитики'!AM2650-'19_Расчет_аналитики'!AM2777</f>
        <v/>
      </c>
      <c r="AN2799">
        <f>'19_Расчет_аналитики'!AM2799+SUM('19_Расчет_аналитики'!AN2755:AN2760)+'19_Расчет_аналитики'!AN2650-'19_Расчет_аналитики'!AN2777</f>
        <v/>
      </c>
      <c r="AO2799">
        <f>'19_Расчет_аналитики'!AN2799+SUM('19_Расчет_аналитики'!AO2755:AO2760)+'19_Расчет_аналитики'!AO2650-'19_Расчет_аналитики'!AO2777</f>
        <v/>
      </c>
      <c r="AP2799">
        <f>'19_Расчет_аналитики'!AO2799+SUM('19_Расчет_аналитики'!AP2755:AP2760)+'19_Расчет_аналитики'!AP2650-'19_Расчет_аналитики'!AP2777</f>
        <v/>
      </c>
      <c r="AQ2799">
        <f>'19_Расчет_аналитики'!AP2799+SUM('19_Расчет_аналитики'!AQ2755:AQ2760)+'19_Расчет_аналитики'!AQ2650-'19_Расчет_аналитики'!AQ2777</f>
        <v/>
      </c>
      <c r="AR2799">
        <f>'19_Расчет_аналитики'!AQ2799+SUM('19_Расчет_аналитики'!AR2755:AR2760)+'19_Расчет_аналитики'!AR2650-'19_Расчет_аналитики'!AR2777</f>
        <v/>
      </c>
      <c r="AS2799">
        <f>'19_Расчет_аналитики'!AR2799+SUM('19_Расчет_аналитики'!AS2755:AS2760)+'19_Расчет_аналитики'!AS2650-'19_Расчет_аналитики'!AS2777</f>
        <v/>
      </c>
      <c r="AT2799">
        <f>'19_Расчет_аналитики'!AS2799+SUM('19_Расчет_аналитики'!AT2755:AT2760)+'19_Расчет_аналитики'!AT2650-'19_Расчет_аналитики'!AT2777</f>
        <v/>
      </c>
      <c r="AU2799">
        <f>'19_Расчет_аналитики'!AT2799+SUM('19_Расчет_аналитики'!AU2755:AU2760)+'19_Расчет_аналитики'!AU2650-'19_Расчет_аналитики'!AU2777</f>
        <v/>
      </c>
      <c r="AV2799">
        <f>'19_Расчет_аналитики'!AU2799+SUM('19_Расчет_аналитики'!AV2755:AV2760)+'19_Расчет_аналитики'!AV2650-'19_Расчет_аналитики'!AV2777</f>
        <v/>
      </c>
      <c r="AW2799">
        <f>'19_Расчет_аналитики'!AV2799+SUM('19_Расчет_аналитики'!AW2755:AW2760)+'19_Расчет_аналитики'!AW2650-'19_Расчет_аналитики'!AW2777</f>
        <v/>
      </c>
      <c r="AX2799">
        <f>'19_Расчет_аналитики'!AW2799+SUM('19_Расчет_аналитики'!AX2755:AX2760)+'19_Расчет_аналитики'!AX2650-'19_Расчет_аналитики'!AX2777</f>
        <v/>
      </c>
      <c r="AY2799">
        <f>'19_Расчет_аналитики'!AX2799+SUM('19_Расчет_аналитики'!AY2755:AY2760)+'19_Расчет_аналитики'!AY2650-'19_Расчет_аналитики'!AY2777</f>
        <v/>
      </c>
      <c r="AZ2799">
        <f>'19_Расчет_аналитики'!AY2799+SUM('19_Расчет_аналитики'!AZ2755:AZ2760)+'19_Расчет_аналитики'!AZ2650-'19_Расчет_аналитики'!AZ2777</f>
        <v/>
      </c>
      <c r="BA2799">
        <f>'19_Расчет_аналитики'!AZ2799+SUM('19_Расчет_аналитики'!BA2755:BA2760)+'19_Расчет_аналитики'!BA2650-'19_Расчет_аналитики'!BA2777</f>
        <v/>
      </c>
      <c r="BB2799">
        <f>'19_Расчет_аналитики'!BA2799+SUM('19_Расчет_аналитики'!BB2755:BB2760)+'19_Расчет_аналитики'!BB2650-'19_Расчет_аналитики'!BB2777</f>
        <v/>
      </c>
      <c r="BC2799">
        <f>'19_Расчет_аналитики'!BB2799+SUM('19_Расчет_аналитики'!BC2755:BC2760)+'19_Расчет_аналитики'!BC2650-'19_Расчет_аналитики'!BC2777</f>
        <v/>
      </c>
      <c r="BD2799">
        <f>'19_Расчет_аналитики'!BC2799+SUM('19_Расчет_аналитики'!BD2755:BD2760)+'19_Расчет_аналитики'!BD2650-'19_Расчет_аналитики'!BD2777</f>
        <v/>
      </c>
      <c r="BE2799">
        <f>'19_Расчет_аналитики'!BD2799+SUM('19_Расчет_аналитики'!BE2755:BE2760)+'19_Расчет_аналитики'!BE2650-'19_Расчет_аналитики'!BE2777</f>
        <v/>
      </c>
      <c r="BF2799">
        <f>'19_Расчет_аналитики'!BE2799+SUM('19_Расчет_аналитики'!BF2755:BF2760)+'19_Расчет_аналитики'!BF2650-'19_Расчет_аналитики'!BF2777</f>
        <v/>
      </c>
      <c r="BG2799">
        <f>'19_Расчет_аналитики'!BF2799+SUM('19_Расчет_аналитики'!BG2755:BG2760)+'19_Расчет_аналитики'!BG2650-'19_Расчет_аналитики'!BG2777</f>
        <v/>
      </c>
      <c r="BH2799">
        <f>'19_Расчет_аналитики'!BG2799+SUM('19_Расчет_аналитики'!BH2755:BH2760)+'19_Расчет_аналитики'!BH2650-'19_Расчет_аналитики'!BH2777</f>
        <v/>
      </c>
      <c r="BI2799">
        <f>'19_Расчет_аналитики'!BH2799+SUM('19_Расчет_аналитики'!BI2755:BI2760)+'19_Расчет_аналитики'!BI2650-'19_Расчет_аналитики'!BI2777</f>
        <v/>
      </c>
    </row>
    <row r="2800"/>
    <row r="2801"/>
    <row r="2802">
      <c r="B2802">
        <f>'19_Расчет_аналитики'!B2651-'07_Мерч'!B22</f>
        <v/>
      </c>
      <c r="C2802">
        <f>'19_Расчет_аналитики'!C2651-'19_Расчет_аналитики'!C2647</f>
        <v/>
      </c>
      <c r="D2802">
        <f>'19_Расчет_аналитики'!D2651-'19_Расчет_аналитики'!D2647</f>
        <v/>
      </c>
      <c r="E2802">
        <f>'19_Расчет_аналитики'!E2651-'19_Расчет_аналитики'!E2647</f>
        <v/>
      </c>
      <c r="F2802">
        <f>'19_Расчет_аналитики'!F2651-'19_Расчет_аналитики'!F2647</f>
        <v/>
      </c>
      <c r="G2802">
        <f>'19_Расчет_аналитики'!G2651-'19_Расчет_аналитики'!G2647</f>
        <v/>
      </c>
      <c r="H2802">
        <f>'19_Расчет_аналитики'!H2651-'19_Расчет_аналитики'!H2647</f>
        <v/>
      </c>
      <c r="I2802">
        <f>'19_Расчет_аналитики'!I2651-'19_Расчет_аналитики'!I2647</f>
        <v/>
      </c>
      <c r="J2802">
        <f>'19_Расчет_аналитики'!J2651-'19_Расчет_аналитики'!J2647</f>
        <v/>
      </c>
      <c r="K2802">
        <f>'19_Расчет_аналитики'!K2651-'19_Расчет_аналитики'!K2647</f>
        <v/>
      </c>
      <c r="L2802">
        <f>'19_Расчет_аналитики'!L2651-'19_Расчет_аналитики'!L2647</f>
        <v/>
      </c>
      <c r="M2802">
        <f>'19_Расчет_аналитики'!M2651-'19_Расчет_аналитики'!M2647</f>
        <v/>
      </c>
      <c r="N2802">
        <f>'19_Расчет_аналитики'!N2651-'19_Расчет_аналитики'!N2647</f>
        <v/>
      </c>
      <c r="O2802">
        <f>'19_Расчет_аналитики'!O2651-'19_Расчет_аналитики'!O2647</f>
        <v/>
      </c>
      <c r="P2802">
        <f>'19_Расчет_аналитики'!P2651-'19_Расчет_аналитики'!P2647</f>
        <v/>
      </c>
      <c r="Q2802">
        <f>'19_Расчет_аналитики'!Q2651-'19_Расчет_аналитики'!Q2647</f>
        <v/>
      </c>
      <c r="R2802">
        <f>'19_Расчет_аналитики'!R2651-'19_Расчет_аналитики'!R2647</f>
        <v/>
      </c>
      <c r="S2802">
        <f>'19_Расчет_аналитики'!S2651-'19_Расчет_аналитики'!S2647</f>
        <v/>
      </c>
      <c r="T2802">
        <f>'19_Расчет_аналитики'!T2651-'19_Расчет_аналитики'!T2647</f>
        <v/>
      </c>
      <c r="U2802">
        <f>'19_Расчет_аналитики'!U2651-'19_Расчет_аналитики'!U2647</f>
        <v/>
      </c>
      <c r="V2802">
        <f>'19_Расчет_аналитики'!V2651-'19_Расчет_аналитики'!V2647</f>
        <v/>
      </c>
      <c r="W2802">
        <f>'19_Расчет_аналитики'!W2651-'19_Расчет_аналитики'!W2647</f>
        <v/>
      </c>
      <c r="X2802">
        <f>'19_Расчет_аналитики'!X2651-'19_Расчет_аналитики'!X2647</f>
        <v/>
      </c>
      <c r="Y2802">
        <f>'19_Расчет_аналитики'!Y2651-'19_Расчет_аналитики'!Y2647</f>
        <v/>
      </c>
      <c r="Z2802">
        <f>'19_Расчет_аналитики'!Z2651-'19_Расчет_аналитики'!Z2647</f>
        <v/>
      </c>
      <c r="AA2802">
        <f>'19_Расчет_аналитики'!AA2651-'19_Расчет_аналитики'!AA2647</f>
        <v/>
      </c>
      <c r="AB2802">
        <f>'19_Расчет_аналитики'!AB2651-'19_Расчет_аналитики'!AB2647</f>
        <v/>
      </c>
      <c r="AC2802">
        <f>'19_Расчет_аналитики'!AC2651-'19_Расчет_аналитики'!AC2647</f>
        <v/>
      </c>
      <c r="AD2802">
        <f>'19_Расчет_аналитики'!AD2651-'19_Расчет_аналитики'!AD2647</f>
        <v/>
      </c>
      <c r="AE2802">
        <f>'19_Расчет_аналитики'!AE2651-'19_Расчет_аналитики'!AE2647</f>
        <v/>
      </c>
      <c r="AF2802">
        <f>'19_Расчет_аналитики'!AF2651-'19_Расчет_аналитики'!AF2647</f>
        <v/>
      </c>
      <c r="AG2802">
        <f>'19_Расчет_аналитики'!AG2651-'19_Расчет_аналитики'!AG2647</f>
        <v/>
      </c>
      <c r="AH2802">
        <f>'19_Расчет_аналитики'!AH2651-'19_Расчет_аналитики'!AH2647</f>
        <v/>
      </c>
      <c r="AI2802">
        <f>'19_Расчет_аналитики'!AI2651-'19_Расчет_аналитики'!AI2647</f>
        <v/>
      </c>
      <c r="AJ2802">
        <f>'19_Расчет_аналитики'!AJ2651-'19_Расчет_аналитики'!AJ2647</f>
        <v/>
      </c>
      <c r="AK2802">
        <f>'19_Расчет_аналитики'!AK2651-'19_Расчет_аналитики'!AK2647</f>
        <v/>
      </c>
      <c r="AL2802">
        <f>'19_Расчет_аналитики'!AL2651-'19_Расчет_аналитики'!AL2647</f>
        <v/>
      </c>
      <c r="AM2802">
        <f>'19_Расчет_аналитики'!AM2651-'19_Расчет_аналитики'!AM2647</f>
        <v/>
      </c>
      <c r="AN2802">
        <f>'19_Расчет_аналитики'!AN2651-'19_Расчет_аналитики'!AN2647</f>
        <v/>
      </c>
      <c r="AO2802">
        <f>'19_Расчет_аналитики'!AO2651-'19_Расчет_аналитики'!AO2647</f>
        <v/>
      </c>
      <c r="AP2802">
        <f>'19_Расчет_аналитики'!AP2651-'19_Расчет_аналитики'!AP2647</f>
        <v/>
      </c>
      <c r="AQ2802">
        <f>'19_Расчет_аналитики'!AQ2651-'19_Расчет_аналитики'!AQ2647</f>
        <v/>
      </c>
      <c r="AR2802">
        <f>'19_Расчет_аналитики'!AR2651-'19_Расчет_аналитики'!AR2647</f>
        <v/>
      </c>
      <c r="AS2802">
        <f>'19_Расчет_аналитики'!AS2651-'19_Расчет_аналитики'!AS2647</f>
        <v/>
      </c>
      <c r="AT2802">
        <f>'19_Расчет_аналитики'!AT2651-'19_Расчет_аналитики'!AT2647</f>
        <v/>
      </c>
      <c r="AU2802">
        <f>'19_Расчет_аналитики'!AU2651-'19_Расчет_аналитики'!AU2647</f>
        <v/>
      </c>
      <c r="AV2802">
        <f>'19_Расчет_аналитики'!AV2651-'19_Расчет_аналитики'!AV2647</f>
        <v/>
      </c>
      <c r="AW2802">
        <f>'19_Расчет_аналитики'!AW2651-'19_Расчет_аналитики'!AW2647</f>
        <v/>
      </c>
      <c r="AX2802">
        <f>'19_Расчет_аналитики'!AX2651-'19_Расчет_аналитики'!AX2647</f>
        <v/>
      </c>
      <c r="AY2802">
        <f>'19_Расчет_аналитики'!AY2651-'19_Расчет_аналитики'!AY2647</f>
        <v/>
      </c>
      <c r="AZ2802">
        <f>'19_Расчет_аналитики'!AZ2651-'19_Расчет_аналитики'!AZ2647</f>
        <v/>
      </c>
      <c r="BA2802">
        <f>'19_Расчет_аналитики'!BA2651-'19_Расчет_аналитики'!BA2647</f>
        <v/>
      </c>
      <c r="BB2802">
        <f>'19_Расчет_аналитики'!BB2651-'19_Расчет_аналитики'!BB2647</f>
        <v/>
      </c>
      <c r="BC2802">
        <f>'19_Расчет_аналитики'!BC2651-'19_Расчет_аналитики'!BC2647</f>
        <v/>
      </c>
      <c r="BD2802">
        <f>'19_Расчет_аналитики'!BD2651-'19_Расчет_аналитики'!BD2647</f>
        <v/>
      </c>
      <c r="BE2802">
        <f>'19_Расчет_аналитики'!BE2651-'19_Расчет_аналитики'!BE2647</f>
        <v/>
      </c>
      <c r="BF2802">
        <f>'19_Расчет_аналитики'!BF2651-'19_Расчет_аналитики'!BF2647</f>
        <v/>
      </c>
      <c r="BG2802">
        <f>'19_Расчет_аналитики'!BG2651-'19_Расчет_аналитики'!BG2647</f>
        <v/>
      </c>
      <c r="BH2802">
        <f>'19_Расчет_аналитики'!BH2651-'19_Расчет_аналитики'!BH2647</f>
        <v/>
      </c>
      <c r="BI2802">
        <f>'19_Расчет_аналитики'!BI2651-'19_Расчет_аналитики'!BI2647</f>
        <v/>
      </c>
    </row>
    <row r="2803">
      <c r="B2803">
        <f>'19_Расчет_аналитики'!B2762-'19_Расчет_аналитики'!B2764-('19_Расчет_аналитики'!B2798-0)+('19_Расчет_аналитики'!B2799-0)+('02_Модель'!B82-0)-('02_Модель'!B83-0)-'19_Расчет_аналитики'!B2802-'19_Расчет_аналитики'!B2788+('19_Расчет_аналитики'!B2806-0)-'19_Расчет_аналитики'!B2775</f>
        <v/>
      </c>
      <c r="C2803">
        <f>'19_Расчет_аналитики'!C2762-'19_Расчет_аналитики'!C2764-('19_Расчет_аналитики'!C2798-'19_Расчет_аналитики'!B2798)+('19_Расчет_аналитики'!C2799-'19_Расчет_аналитики'!B2799)+('02_Модель'!C82-'02_Модель'!B82)-('02_Модель'!C83-'02_Модель'!B83)-'19_Расчет_аналитики'!C2802-'19_Расчет_аналитики'!C2788+('19_Расчет_аналитики'!C2806-'19_Расчет_аналитики'!B2806)-'19_Расчет_аналитики'!C2775</f>
        <v/>
      </c>
      <c r="D2803">
        <f>'19_Расчет_аналитики'!D2762-'19_Расчет_аналитики'!D2764-('19_Расчет_аналитики'!D2798-'19_Расчет_аналитики'!C2798)+('19_Расчет_аналитики'!D2799-'19_Расчет_аналитики'!C2799)+('02_Модель'!D82-'02_Модель'!C82)-('02_Модель'!D83-'02_Модель'!C83)-'19_Расчет_аналитики'!D2802-'19_Расчет_аналитики'!D2788+('19_Расчет_аналитики'!D2806-'19_Расчет_аналитики'!C2806)-'19_Расчет_аналитики'!D2775</f>
        <v/>
      </c>
      <c r="E2803">
        <f>'19_Расчет_аналитики'!E2762-'19_Расчет_аналитики'!E2764-('19_Расчет_аналитики'!E2798-'19_Расчет_аналитики'!D2798)+('19_Расчет_аналитики'!E2799-'19_Расчет_аналитики'!D2799)+('02_Модель'!E82-'02_Модель'!D82)-('02_Модель'!E83-'02_Модель'!D83)-'19_Расчет_аналитики'!E2802-'19_Расчет_аналитики'!E2788+('19_Расчет_аналитики'!E2806-'19_Расчет_аналитики'!D2806)-'19_Расчет_аналитики'!E2775</f>
        <v/>
      </c>
      <c r="F2803">
        <f>'19_Расчет_аналитики'!F2762-'19_Расчет_аналитики'!F2764-('19_Расчет_аналитики'!F2798-'19_Расчет_аналитики'!E2798)+('19_Расчет_аналитики'!F2799-'19_Расчет_аналитики'!E2799)+('02_Модель'!F82-'02_Модель'!E82)-('02_Модель'!F83-'02_Модель'!E83)-'19_Расчет_аналитики'!F2802-'19_Расчет_аналитики'!F2788+('19_Расчет_аналитики'!F2806-'19_Расчет_аналитики'!E2806)-'19_Расчет_аналитики'!F2775</f>
        <v/>
      </c>
      <c r="G2803">
        <f>'19_Расчет_аналитики'!G2762-'19_Расчет_аналитики'!G2764-('19_Расчет_аналитики'!G2798-'19_Расчет_аналитики'!F2798)+('19_Расчет_аналитики'!G2799-'19_Расчет_аналитики'!F2799)+('02_Модель'!G82-'02_Модель'!F82)-('02_Модель'!G83-'02_Модель'!F83)-'19_Расчет_аналитики'!G2802-'19_Расчет_аналитики'!G2788+('19_Расчет_аналитики'!G2806-'19_Расчет_аналитики'!F2806)-'19_Расчет_аналитики'!G2775</f>
        <v/>
      </c>
      <c r="H2803">
        <f>'19_Расчет_аналитики'!H2762-'19_Расчет_аналитики'!H2764-('19_Расчет_аналитики'!H2798-'19_Расчет_аналитики'!G2798)+('19_Расчет_аналитики'!H2799-'19_Расчет_аналитики'!G2799)+('02_Модель'!H82-'02_Модель'!G82)-('02_Модель'!H83-'02_Модель'!G83)-'19_Расчет_аналитики'!H2802-'19_Расчет_аналитики'!H2788+('19_Расчет_аналитики'!H2806-'19_Расчет_аналитики'!G2806)-'19_Расчет_аналитики'!H2775</f>
        <v/>
      </c>
      <c r="I2803">
        <f>'19_Расчет_аналитики'!I2762-'19_Расчет_аналитики'!I2764-('19_Расчет_аналитики'!I2798-'19_Расчет_аналитики'!H2798)+('19_Расчет_аналитики'!I2799-'19_Расчет_аналитики'!H2799)+('02_Модель'!I82-'02_Модель'!H82)-('02_Модель'!I83-'02_Модель'!H83)-'19_Расчет_аналитики'!I2802-'19_Расчет_аналитики'!I2788+('19_Расчет_аналитики'!I2806-'19_Расчет_аналитики'!H2806)-'19_Расчет_аналитики'!I2775</f>
        <v/>
      </c>
      <c r="J2803">
        <f>'19_Расчет_аналитики'!J2762-'19_Расчет_аналитики'!J2764-('19_Расчет_аналитики'!J2798-'19_Расчет_аналитики'!I2798)+('19_Расчет_аналитики'!J2799-'19_Расчет_аналитики'!I2799)+('02_Модель'!J82-'02_Модель'!I82)-('02_Модель'!J83-'02_Модель'!I83)-'19_Расчет_аналитики'!J2802-'19_Расчет_аналитики'!J2788+('19_Расчет_аналитики'!J2806-'19_Расчет_аналитики'!I2806)-'19_Расчет_аналитики'!J2775</f>
        <v/>
      </c>
      <c r="K2803">
        <f>'19_Расчет_аналитики'!K2762-'19_Расчет_аналитики'!K2764-('19_Расчет_аналитики'!K2798-'19_Расчет_аналитики'!J2798)+('19_Расчет_аналитики'!K2799-'19_Расчет_аналитики'!J2799)+('02_Модель'!K82-'02_Модель'!J82)-('02_Модель'!K83-'02_Модель'!J83)-'19_Расчет_аналитики'!K2802-'19_Расчет_аналитики'!K2788+('19_Расчет_аналитики'!K2806-'19_Расчет_аналитики'!J2806)-'19_Расчет_аналитики'!K2775</f>
        <v/>
      </c>
      <c r="L2803">
        <f>'19_Расчет_аналитики'!L2762-'19_Расчет_аналитики'!L2764-('19_Расчет_аналитики'!L2798-'19_Расчет_аналитики'!K2798)+('19_Расчет_аналитики'!L2799-'19_Расчет_аналитики'!K2799)+('02_Модель'!L82-'02_Модель'!K82)-('02_Модель'!L83-'02_Модель'!K83)-'19_Расчет_аналитики'!L2802-'19_Расчет_аналитики'!L2788+('19_Расчет_аналитики'!L2806-'19_Расчет_аналитики'!K2806)-'19_Расчет_аналитики'!L2775</f>
        <v/>
      </c>
      <c r="M2803">
        <f>'19_Расчет_аналитики'!M2762-'19_Расчет_аналитики'!M2764-('19_Расчет_аналитики'!M2798-'19_Расчет_аналитики'!L2798)+('19_Расчет_аналитики'!M2799-'19_Расчет_аналитики'!L2799)+('02_Модель'!M82-'02_Модель'!L82)-('02_Модель'!M83-'02_Модель'!L83)-'19_Расчет_аналитики'!M2802-'19_Расчет_аналитики'!M2788+('19_Расчет_аналитики'!M2806-'19_Расчет_аналитики'!L2806)-'19_Расчет_аналитики'!M2775</f>
        <v/>
      </c>
      <c r="N2803">
        <f>'19_Расчет_аналитики'!N2762-'19_Расчет_аналитики'!N2764-('19_Расчет_аналитики'!N2798-'19_Расчет_аналитики'!M2798)+('19_Расчет_аналитики'!N2799-'19_Расчет_аналитики'!M2799)+('02_Модель'!N82-'02_Модель'!M82)-('02_Модель'!N83-'02_Модель'!M83)-'19_Расчет_аналитики'!N2802-'19_Расчет_аналитики'!N2788+('19_Расчет_аналитики'!N2806-'19_Расчет_аналитики'!M2806)-'19_Расчет_аналитики'!N2775</f>
        <v/>
      </c>
      <c r="O2803">
        <f>'19_Расчет_аналитики'!O2762-'19_Расчет_аналитики'!O2764-('19_Расчет_аналитики'!O2798-'19_Расчет_аналитики'!N2798)+('19_Расчет_аналитики'!O2799-'19_Расчет_аналитики'!N2799)+('02_Модель'!O82-'02_Модель'!N82)-('02_Модель'!O83-'02_Модель'!N83)-'19_Расчет_аналитики'!O2802-'19_Расчет_аналитики'!O2788+('19_Расчет_аналитики'!O2806-'19_Расчет_аналитики'!N2806)-'19_Расчет_аналитики'!O2775</f>
        <v/>
      </c>
      <c r="P2803">
        <f>'19_Расчет_аналитики'!P2762-'19_Расчет_аналитики'!P2764-('19_Расчет_аналитики'!P2798-'19_Расчет_аналитики'!O2798)+('19_Расчет_аналитики'!P2799-'19_Расчет_аналитики'!O2799)+('02_Модель'!P82-'02_Модель'!O82)-('02_Модель'!P83-'02_Модель'!O83)-'19_Расчет_аналитики'!P2802-'19_Расчет_аналитики'!P2788+('19_Расчет_аналитики'!P2806-'19_Расчет_аналитики'!O2806)-'19_Расчет_аналитики'!P2775</f>
        <v/>
      </c>
      <c r="Q2803">
        <f>'19_Расчет_аналитики'!Q2762-'19_Расчет_аналитики'!Q2764-('19_Расчет_аналитики'!Q2798-'19_Расчет_аналитики'!P2798)+('19_Расчет_аналитики'!Q2799-'19_Расчет_аналитики'!P2799)+('02_Модель'!Q82-'02_Модель'!P82)-('02_Модель'!Q83-'02_Модель'!P83)-'19_Расчет_аналитики'!Q2802-'19_Расчет_аналитики'!Q2788+('19_Расчет_аналитики'!Q2806-'19_Расчет_аналитики'!P2806)-'19_Расчет_аналитики'!Q2775</f>
        <v/>
      </c>
      <c r="R2803">
        <f>'19_Расчет_аналитики'!R2762-'19_Расчет_аналитики'!R2764-('19_Расчет_аналитики'!R2798-'19_Расчет_аналитики'!Q2798)+('19_Расчет_аналитики'!R2799-'19_Расчет_аналитики'!Q2799)+('02_Модель'!R82-'02_Модель'!Q82)-('02_Модель'!R83-'02_Модель'!Q83)-'19_Расчет_аналитики'!R2802-'19_Расчет_аналитики'!R2788+('19_Расчет_аналитики'!R2806-'19_Расчет_аналитики'!Q2806)-'19_Расчет_аналитики'!R2775</f>
        <v/>
      </c>
      <c r="S2803">
        <f>'19_Расчет_аналитики'!S2762-'19_Расчет_аналитики'!S2764-('19_Расчет_аналитики'!S2798-'19_Расчет_аналитики'!R2798)+('19_Расчет_аналитики'!S2799-'19_Расчет_аналитики'!R2799)+('02_Модель'!S82-'02_Модель'!R82)-('02_Модель'!S83-'02_Модель'!R83)-'19_Расчет_аналитики'!S2802-'19_Расчет_аналитики'!S2788+('19_Расчет_аналитики'!S2806-'19_Расчет_аналитики'!R2806)-'19_Расчет_аналитики'!S2775</f>
        <v/>
      </c>
      <c r="T2803">
        <f>'19_Расчет_аналитики'!T2762-'19_Расчет_аналитики'!T2764-('19_Расчет_аналитики'!T2798-'19_Расчет_аналитики'!S2798)+('19_Расчет_аналитики'!T2799-'19_Расчет_аналитики'!S2799)+('02_Модель'!T82-'02_Модель'!S82)-('02_Модель'!T83-'02_Модель'!S83)-'19_Расчет_аналитики'!T2802-'19_Расчет_аналитики'!T2788+('19_Расчет_аналитики'!T2806-'19_Расчет_аналитики'!S2806)-'19_Расчет_аналитики'!T2775</f>
        <v/>
      </c>
      <c r="U2803">
        <f>'19_Расчет_аналитики'!U2762-'19_Расчет_аналитики'!U2764-('19_Расчет_аналитики'!U2798-'19_Расчет_аналитики'!T2798)+('19_Расчет_аналитики'!U2799-'19_Расчет_аналитики'!T2799)+('02_Модель'!U82-'02_Модель'!T82)-('02_Модель'!U83-'02_Модель'!T83)-'19_Расчет_аналитики'!U2802-'19_Расчет_аналитики'!U2788+('19_Расчет_аналитики'!U2806-'19_Расчет_аналитики'!T2806)-'19_Расчет_аналитики'!U2775</f>
        <v/>
      </c>
      <c r="V2803">
        <f>'19_Расчет_аналитики'!V2762-'19_Расчет_аналитики'!V2764-('19_Расчет_аналитики'!V2798-'19_Расчет_аналитики'!U2798)+('19_Расчет_аналитики'!V2799-'19_Расчет_аналитики'!U2799)+('02_Модель'!V82-'02_Модель'!U82)-('02_Модель'!V83-'02_Модель'!U83)-'19_Расчет_аналитики'!V2802-'19_Расчет_аналитики'!V2788+('19_Расчет_аналитики'!V2806-'19_Расчет_аналитики'!U2806)-'19_Расчет_аналитики'!V2775</f>
        <v/>
      </c>
      <c r="W2803">
        <f>'19_Расчет_аналитики'!W2762-'19_Расчет_аналитики'!W2764-('19_Расчет_аналитики'!W2798-'19_Расчет_аналитики'!V2798)+('19_Расчет_аналитики'!W2799-'19_Расчет_аналитики'!V2799)+('02_Модель'!W82-'02_Модель'!V82)-('02_Модель'!W83-'02_Модель'!V83)-'19_Расчет_аналитики'!W2802-'19_Расчет_аналитики'!W2788+('19_Расчет_аналитики'!W2806-'19_Расчет_аналитики'!V2806)-'19_Расчет_аналитики'!W2775</f>
        <v/>
      </c>
      <c r="X2803">
        <f>'19_Расчет_аналитики'!X2762-'19_Расчет_аналитики'!X2764-('19_Расчет_аналитики'!X2798-'19_Расчет_аналитики'!W2798)+('19_Расчет_аналитики'!X2799-'19_Расчет_аналитики'!W2799)+('02_Модель'!X82-'02_Модель'!W82)-('02_Модель'!X83-'02_Модель'!W83)-'19_Расчет_аналитики'!X2802-'19_Расчет_аналитики'!X2788+('19_Расчет_аналитики'!X2806-'19_Расчет_аналитики'!W2806)-'19_Расчет_аналитики'!X2775</f>
        <v/>
      </c>
      <c r="Y2803">
        <f>'19_Расчет_аналитики'!Y2762-'19_Расчет_аналитики'!Y2764-('19_Расчет_аналитики'!Y2798-'19_Расчет_аналитики'!X2798)+('19_Расчет_аналитики'!Y2799-'19_Расчет_аналитики'!X2799)+('02_Модель'!Y82-'02_Модель'!X82)-('02_Модель'!Y83-'02_Модель'!X83)-'19_Расчет_аналитики'!Y2802-'19_Расчет_аналитики'!Y2788+('19_Расчет_аналитики'!Y2806-'19_Расчет_аналитики'!X2806)-'19_Расчет_аналитики'!Y2775</f>
        <v/>
      </c>
      <c r="Z2803">
        <f>'19_Расчет_аналитики'!Z2762-'19_Расчет_аналитики'!Z2764-('19_Расчет_аналитики'!Z2798-'19_Расчет_аналитики'!Y2798)+('19_Расчет_аналитики'!Z2799-'19_Расчет_аналитики'!Y2799)+('02_Модель'!Z82-'02_Модель'!Y82)-('02_Модель'!Z83-'02_Модель'!Y83)-'19_Расчет_аналитики'!Z2802-'19_Расчет_аналитики'!Z2788+('19_Расчет_аналитики'!Z2806-'19_Расчет_аналитики'!Y2806)-'19_Расчет_аналитики'!Z2775</f>
        <v/>
      </c>
      <c r="AA2803">
        <f>'19_Расчет_аналитики'!AA2762-'19_Расчет_аналитики'!AA2764-('19_Расчет_аналитики'!AA2798-'19_Расчет_аналитики'!Z2798)+('19_Расчет_аналитики'!AA2799-'19_Расчет_аналитики'!Z2799)+('02_Модель'!AA82-'02_Модель'!Z82)-('02_Модель'!AA83-'02_Модель'!Z83)-'19_Расчет_аналитики'!AA2802-'19_Расчет_аналитики'!AA2788+('19_Расчет_аналитики'!AA2806-'19_Расчет_аналитики'!Z2806)-'19_Расчет_аналитики'!AA2775</f>
        <v/>
      </c>
      <c r="AB2803">
        <f>'19_Расчет_аналитики'!AB2762-'19_Расчет_аналитики'!AB2764-('19_Расчет_аналитики'!AB2798-'19_Расчет_аналитики'!AA2798)+('19_Расчет_аналитики'!AB2799-'19_Расчет_аналитики'!AA2799)+('02_Модель'!AB82-'02_Модель'!AA82)-('02_Модель'!AB83-'02_Модель'!AA83)-'19_Расчет_аналитики'!AB2802-'19_Расчет_аналитики'!AB2788+('19_Расчет_аналитики'!AB2806-'19_Расчет_аналитики'!AA2806)-'19_Расчет_аналитики'!AB2775</f>
        <v/>
      </c>
      <c r="AC2803">
        <f>'19_Расчет_аналитики'!AC2762-'19_Расчет_аналитики'!AC2764-('19_Расчет_аналитики'!AC2798-'19_Расчет_аналитики'!AB2798)+('19_Расчет_аналитики'!AC2799-'19_Расчет_аналитики'!AB2799)+('02_Модель'!AC82-'02_Модель'!AB82)-('02_Модель'!AC83-'02_Модель'!AB83)-'19_Расчет_аналитики'!AC2802-'19_Расчет_аналитики'!AC2788+('19_Расчет_аналитики'!AC2806-'19_Расчет_аналитики'!AB2806)-'19_Расчет_аналитики'!AC2775</f>
        <v/>
      </c>
      <c r="AD2803">
        <f>'19_Расчет_аналитики'!AD2762-'19_Расчет_аналитики'!AD2764-('19_Расчет_аналитики'!AD2798-'19_Расчет_аналитики'!AC2798)+('19_Расчет_аналитики'!AD2799-'19_Расчет_аналитики'!AC2799)+('02_Модель'!AD82-'02_Модель'!AC82)-('02_Модель'!AD83-'02_Модель'!AC83)-'19_Расчет_аналитики'!AD2802-'19_Расчет_аналитики'!AD2788+('19_Расчет_аналитики'!AD2806-'19_Расчет_аналитики'!AC2806)-'19_Расчет_аналитики'!AD2775</f>
        <v/>
      </c>
      <c r="AE2803">
        <f>'19_Расчет_аналитики'!AE2762-'19_Расчет_аналитики'!AE2764-('19_Расчет_аналитики'!AE2798-'19_Расчет_аналитики'!AD2798)+('19_Расчет_аналитики'!AE2799-'19_Расчет_аналитики'!AD2799)+('02_Модель'!AE82-'02_Модель'!AD82)-('02_Модель'!AE83-'02_Модель'!AD83)-'19_Расчет_аналитики'!AE2802-'19_Расчет_аналитики'!AE2788+('19_Расчет_аналитики'!AE2806-'19_Расчет_аналитики'!AD2806)-'19_Расчет_аналитики'!AE2775</f>
        <v/>
      </c>
      <c r="AF2803">
        <f>'19_Расчет_аналитики'!AF2762-'19_Расчет_аналитики'!AF2764-('19_Расчет_аналитики'!AF2798-'19_Расчет_аналитики'!AE2798)+('19_Расчет_аналитики'!AF2799-'19_Расчет_аналитики'!AE2799)+('02_Модель'!AF82-'02_Модель'!AE82)-('02_Модель'!AF83-'02_Модель'!AE83)-'19_Расчет_аналитики'!AF2802-'19_Расчет_аналитики'!AF2788+('19_Расчет_аналитики'!AF2806-'19_Расчет_аналитики'!AE2806)-'19_Расчет_аналитики'!AF2775</f>
        <v/>
      </c>
      <c r="AG2803">
        <f>'19_Расчет_аналитики'!AG2762-'19_Расчет_аналитики'!AG2764-('19_Расчет_аналитики'!AG2798-'19_Расчет_аналитики'!AF2798)+('19_Расчет_аналитики'!AG2799-'19_Расчет_аналитики'!AF2799)+('02_Модель'!AG82-'02_Модель'!AF82)-('02_Модель'!AG83-'02_Модель'!AF83)-'19_Расчет_аналитики'!AG2802-'19_Расчет_аналитики'!AG2788+('19_Расчет_аналитики'!AG2806-'19_Расчет_аналитики'!AF2806)-'19_Расчет_аналитики'!AG2775</f>
        <v/>
      </c>
      <c r="AH2803">
        <f>'19_Расчет_аналитики'!AH2762-'19_Расчет_аналитики'!AH2764-('19_Расчет_аналитики'!AH2798-'19_Расчет_аналитики'!AG2798)+('19_Расчет_аналитики'!AH2799-'19_Расчет_аналитики'!AG2799)+('02_Модель'!AH82-'02_Модель'!AG82)-('02_Модель'!AH83-'02_Модель'!AG83)-'19_Расчет_аналитики'!AH2802-'19_Расчет_аналитики'!AH2788+('19_Расчет_аналитики'!AH2806-'19_Расчет_аналитики'!AG2806)-'19_Расчет_аналитики'!AH2775</f>
        <v/>
      </c>
      <c r="AI2803">
        <f>'19_Расчет_аналитики'!AI2762-'19_Расчет_аналитики'!AI2764-('19_Расчет_аналитики'!AI2798-'19_Расчет_аналитики'!AH2798)+('19_Расчет_аналитики'!AI2799-'19_Расчет_аналитики'!AH2799)+('02_Модель'!AI82-'02_Модель'!AH82)-('02_Модель'!AI83-'02_Модель'!AH83)-'19_Расчет_аналитики'!AI2802-'19_Расчет_аналитики'!AI2788+('19_Расчет_аналитики'!AI2806-'19_Расчет_аналитики'!AH2806)-'19_Расчет_аналитики'!AI2775</f>
        <v/>
      </c>
      <c r="AJ2803">
        <f>'19_Расчет_аналитики'!AJ2762-'19_Расчет_аналитики'!AJ2764-('19_Расчет_аналитики'!AJ2798-'19_Расчет_аналитики'!AI2798)+('19_Расчет_аналитики'!AJ2799-'19_Расчет_аналитики'!AI2799)+('02_Модель'!AJ82-'02_Модель'!AI82)-('02_Модель'!AJ83-'02_Модель'!AI83)-'19_Расчет_аналитики'!AJ2802-'19_Расчет_аналитики'!AJ2788+('19_Расчет_аналитики'!AJ2806-'19_Расчет_аналитики'!AI2806)-'19_Расчет_аналитики'!AJ2775</f>
        <v/>
      </c>
      <c r="AK2803">
        <f>'19_Расчет_аналитики'!AK2762-'19_Расчет_аналитики'!AK2764-('19_Расчет_аналитики'!AK2798-'19_Расчет_аналитики'!AJ2798)+('19_Расчет_аналитики'!AK2799-'19_Расчет_аналитики'!AJ2799)+('02_Модель'!AK82-'02_Модель'!AJ82)-('02_Модель'!AK83-'02_Модель'!AJ83)-'19_Расчет_аналитики'!AK2802-'19_Расчет_аналитики'!AK2788+('19_Расчет_аналитики'!AK2806-'19_Расчет_аналитики'!AJ2806)-'19_Расчет_аналитики'!AK2775</f>
        <v/>
      </c>
      <c r="AL2803">
        <f>'19_Расчет_аналитики'!AL2762-'19_Расчет_аналитики'!AL2764-('19_Расчет_аналитики'!AL2798-'19_Расчет_аналитики'!AK2798)+('19_Расчет_аналитики'!AL2799-'19_Расчет_аналитики'!AK2799)+('02_Модель'!AL82-'02_Модель'!AK82)-('02_Модель'!AL83-'02_Модель'!AK83)-'19_Расчет_аналитики'!AL2802-'19_Расчет_аналитики'!AL2788+('19_Расчет_аналитики'!AL2806-'19_Расчет_аналитики'!AK2806)-'19_Расчет_аналитики'!AL2775</f>
        <v/>
      </c>
      <c r="AM2803">
        <f>'19_Расчет_аналитики'!AM2762-'19_Расчет_аналитики'!AM2764-('19_Расчет_аналитики'!AM2798-'19_Расчет_аналитики'!AL2798)+('19_Расчет_аналитики'!AM2799-'19_Расчет_аналитики'!AL2799)+('02_Модель'!AM82-'02_Модель'!AL82)-('02_Модель'!AM83-'02_Модель'!AL83)-'19_Расчет_аналитики'!AM2802-'19_Расчет_аналитики'!AM2788+('19_Расчет_аналитики'!AM2806-'19_Расчет_аналитики'!AL2806)-'19_Расчет_аналитики'!AM2775</f>
        <v/>
      </c>
      <c r="AN2803">
        <f>'19_Расчет_аналитики'!AN2762-'19_Расчет_аналитики'!AN2764-('19_Расчет_аналитики'!AN2798-'19_Расчет_аналитики'!AM2798)+('19_Расчет_аналитики'!AN2799-'19_Расчет_аналитики'!AM2799)+('02_Модель'!AN82-'02_Модель'!AM82)-('02_Модель'!AN83-'02_Модель'!AM83)-'19_Расчет_аналитики'!AN2802-'19_Расчет_аналитики'!AN2788+('19_Расчет_аналитики'!AN2806-'19_Расчет_аналитики'!AM2806)-'19_Расчет_аналитики'!AN2775</f>
        <v/>
      </c>
      <c r="AO2803">
        <f>'19_Расчет_аналитики'!AO2762-'19_Расчет_аналитики'!AO2764-('19_Расчет_аналитики'!AO2798-'19_Расчет_аналитики'!AN2798)+('19_Расчет_аналитики'!AO2799-'19_Расчет_аналитики'!AN2799)+('02_Модель'!AO82-'02_Модель'!AN82)-('02_Модель'!AO83-'02_Модель'!AN83)-'19_Расчет_аналитики'!AO2802-'19_Расчет_аналитики'!AO2788+('19_Расчет_аналитики'!AO2806-'19_Расчет_аналитики'!AN2806)-'19_Расчет_аналитики'!AO2775</f>
        <v/>
      </c>
      <c r="AP2803">
        <f>'19_Расчет_аналитики'!AP2762-'19_Расчет_аналитики'!AP2764-('19_Расчет_аналитики'!AP2798-'19_Расчет_аналитики'!AO2798)+('19_Расчет_аналитики'!AP2799-'19_Расчет_аналитики'!AO2799)+('02_Модель'!AP82-'02_Модель'!AO82)-('02_Модель'!AP83-'02_Модель'!AO83)-'19_Расчет_аналитики'!AP2802-'19_Расчет_аналитики'!AP2788+('19_Расчет_аналитики'!AP2806-'19_Расчет_аналитики'!AO2806)-'19_Расчет_аналитики'!AP2775</f>
        <v/>
      </c>
      <c r="AQ2803">
        <f>'19_Расчет_аналитики'!AQ2762-'19_Расчет_аналитики'!AQ2764-('19_Расчет_аналитики'!AQ2798-'19_Расчет_аналитики'!AP2798)+('19_Расчет_аналитики'!AQ2799-'19_Расчет_аналитики'!AP2799)+('02_Модель'!AQ82-'02_Модель'!AP82)-('02_Модель'!AQ83-'02_Модель'!AP83)-'19_Расчет_аналитики'!AQ2802-'19_Расчет_аналитики'!AQ2788+('19_Расчет_аналитики'!AQ2806-'19_Расчет_аналитики'!AP2806)-'19_Расчет_аналитики'!AQ2775</f>
        <v/>
      </c>
      <c r="AR2803">
        <f>'19_Расчет_аналитики'!AR2762-'19_Расчет_аналитики'!AR2764-('19_Расчет_аналитики'!AR2798-'19_Расчет_аналитики'!AQ2798)+('19_Расчет_аналитики'!AR2799-'19_Расчет_аналитики'!AQ2799)+('02_Модель'!AR82-'02_Модель'!AQ82)-('02_Модель'!AR83-'02_Модель'!AQ83)-'19_Расчет_аналитики'!AR2802-'19_Расчет_аналитики'!AR2788+('19_Расчет_аналитики'!AR2806-'19_Расчет_аналитики'!AQ2806)-'19_Расчет_аналитики'!AR2775</f>
        <v/>
      </c>
      <c r="AS2803">
        <f>'19_Расчет_аналитики'!AS2762-'19_Расчет_аналитики'!AS2764-('19_Расчет_аналитики'!AS2798-'19_Расчет_аналитики'!AR2798)+('19_Расчет_аналитики'!AS2799-'19_Расчет_аналитики'!AR2799)+('02_Модель'!AS82-'02_Модель'!AR82)-('02_Модель'!AS83-'02_Модель'!AR83)-'19_Расчет_аналитики'!AS2802-'19_Расчет_аналитики'!AS2788+('19_Расчет_аналитики'!AS2806-'19_Расчет_аналитики'!AR2806)-'19_Расчет_аналитики'!AS2775</f>
        <v/>
      </c>
      <c r="AT2803">
        <f>'19_Расчет_аналитики'!AT2762-'19_Расчет_аналитики'!AT2764-('19_Расчет_аналитики'!AT2798-'19_Расчет_аналитики'!AS2798)+('19_Расчет_аналитики'!AT2799-'19_Расчет_аналитики'!AS2799)+('02_Модель'!AT82-'02_Модель'!AS82)-('02_Модель'!AT83-'02_Модель'!AS83)-'19_Расчет_аналитики'!AT2802-'19_Расчет_аналитики'!AT2788+('19_Расчет_аналитики'!AT2806-'19_Расчет_аналитики'!AS2806)-'19_Расчет_аналитики'!AT2775</f>
        <v/>
      </c>
      <c r="AU2803">
        <f>'19_Расчет_аналитики'!AU2762-'19_Расчет_аналитики'!AU2764-('19_Расчет_аналитики'!AU2798-'19_Расчет_аналитики'!AT2798)+('19_Расчет_аналитики'!AU2799-'19_Расчет_аналитики'!AT2799)+('02_Модель'!AU82-'02_Модель'!AT82)-('02_Модель'!AU83-'02_Модель'!AT83)-'19_Расчет_аналитики'!AU2802-'19_Расчет_аналитики'!AU2788+('19_Расчет_аналитики'!AU2806-'19_Расчет_аналитики'!AT2806)-'19_Расчет_аналитики'!AU2775</f>
        <v/>
      </c>
      <c r="AV2803">
        <f>'19_Расчет_аналитики'!AV2762-'19_Расчет_аналитики'!AV2764-('19_Расчет_аналитики'!AV2798-'19_Расчет_аналитики'!AU2798)+('19_Расчет_аналитики'!AV2799-'19_Расчет_аналитики'!AU2799)+('02_Модель'!AV82-'02_Модель'!AU82)-('02_Модель'!AV83-'02_Модель'!AU83)-'19_Расчет_аналитики'!AV2802-'19_Расчет_аналитики'!AV2788+('19_Расчет_аналитики'!AV2806-'19_Расчет_аналитики'!AU2806)-'19_Расчет_аналитики'!AV2775</f>
        <v/>
      </c>
      <c r="AW2803">
        <f>'19_Расчет_аналитики'!AW2762-'19_Расчет_аналитики'!AW2764-('19_Расчет_аналитики'!AW2798-'19_Расчет_аналитики'!AV2798)+('19_Расчет_аналитики'!AW2799-'19_Расчет_аналитики'!AV2799)+('02_Модель'!AW82-'02_Модель'!AV82)-('02_Модель'!AW83-'02_Модель'!AV83)-'19_Расчет_аналитики'!AW2802-'19_Расчет_аналитики'!AW2788+('19_Расчет_аналитики'!AW2806-'19_Расчет_аналитики'!AV2806)-'19_Расчет_аналитики'!AW2775</f>
        <v/>
      </c>
      <c r="AX2803">
        <f>'19_Расчет_аналитики'!AX2762-'19_Расчет_аналитики'!AX2764-('19_Расчет_аналитики'!AX2798-'19_Расчет_аналитики'!AW2798)+('19_Расчет_аналитики'!AX2799-'19_Расчет_аналитики'!AW2799)+('02_Модель'!AX82-'02_Модель'!AW82)-('02_Модель'!AX83-'02_Модель'!AW83)-'19_Расчет_аналитики'!AX2802-'19_Расчет_аналитики'!AX2788+('19_Расчет_аналитики'!AX2806-'19_Расчет_аналитики'!AW2806)-'19_Расчет_аналитики'!AX2775</f>
        <v/>
      </c>
      <c r="AY2803">
        <f>'19_Расчет_аналитики'!AY2762-'19_Расчет_аналитики'!AY2764-('19_Расчет_аналитики'!AY2798-'19_Расчет_аналитики'!AX2798)+('19_Расчет_аналитики'!AY2799-'19_Расчет_аналитики'!AX2799)+('02_Модель'!AY82-'02_Модель'!AX82)-('02_Модель'!AY83-'02_Модель'!AX83)-'19_Расчет_аналитики'!AY2802-'19_Расчет_аналитики'!AY2788+('19_Расчет_аналитики'!AY2806-'19_Расчет_аналитики'!AX2806)-'19_Расчет_аналитики'!AY2775</f>
        <v/>
      </c>
      <c r="AZ2803">
        <f>'19_Расчет_аналитики'!AZ2762-'19_Расчет_аналитики'!AZ2764-('19_Расчет_аналитики'!AZ2798-'19_Расчет_аналитики'!AY2798)+('19_Расчет_аналитики'!AZ2799-'19_Расчет_аналитики'!AY2799)+('02_Модель'!AZ82-'02_Модель'!AY82)-('02_Модель'!AZ83-'02_Модель'!AY83)-'19_Расчет_аналитики'!AZ2802-'19_Расчет_аналитики'!AZ2788+('19_Расчет_аналитики'!AZ2806-'19_Расчет_аналитики'!AY2806)-'19_Расчет_аналитики'!AZ2775</f>
        <v/>
      </c>
      <c r="BA2803">
        <f>'19_Расчет_аналитики'!BA2762-'19_Расчет_аналитики'!BA2764-('19_Расчет_аналитики'!BA2798-'19_Расчет_аналитики'!AZ2798)+('19_Расчет_аналитики'!BA2799-'19_Расчет_аналитики'!AZ2799)+('02_Модель'!BA82-'02_Модель'!AZ82)-('02_Модель'!BA83-'02_Модель'!AZ83)-'19_Расчет_аналитики'!BA2802-'19_Расчет_аналитики'!BA2788+('19_Расчет_аналитики'!BA2806-'19_Расчет_аналитики'!AZ2806)-'19_Расчет_аналитики'!BA2775</f>
        <v/>
      </c>
      <c r="BB2803">
        <f>'19_Расчет_аналитики'!BB2762-'19_Расчет_аналитики'!BB2764-('19_Расчет_аналитики'!BB2798-'19_Расчет_аналитики'!BA2798)+('19_Расчет_аналитики'!BB2799-'19_Расчет_аналитики'!BA2799)+('02_Модель'!BB82-'02_Модель'!BA82)-('02_Модель'!BB83-'02_Модель'!BA83)-'19_Расчет_аналитики'!BB2802-'19_Расчет_аналитики'!BB2788+('19_Расчет_аналитики'!BB2806-'19_Расчет_аналитики'!BA2806)-'19_Расчет_аналитики'!BB2775</f>
        <v/>
      </c>
      <c r="BC2803">
        <f>'19_Расчет_аналитики'!BC2762-'19_Расчет_аналитики'!BC2764-('19_Расчет_аналитики'!BC2798-'19_Расчет_аналитики'!BB2798)+('19_Расчет_аналитики'!BC2799-'19_Расчет_аналитики'!BB2799)+('02_Модель'!BC82-'02_Модель'!BB82)-('02_Модель'!BC83-'02_Модель'!BB83)-'19_Расчет_аналитики'!BC2802-'19_Расчет_аналитики'!BC2788+('19_Расчет_аналитики'!BC2806-'19_Расчет_аналитики'!BB2806)-'19_Расчет_аналитики'!BC2775</f>
        <v/>
      </c>
      <c r="BD2803">
        <f>'19_Расчет_аналитики'!BD2762-'19_Расчет_аналитики'!BD2764-('19_Расчет_аналитики'!BD2798-'19_Расчет_аналитики'!BC2798)+('19_Расчет_аналитики'!BD2799-'19_Расчет_аналитики'!BC2799)+('02_Модель'!BD82-'02_Модель'!BC82)-('02_Модель'!BD83-'02_Модель'!BC83)-'19_Расчет_аналитики'!BD2802-'19_Расчет_аналитики'!BD2788+('19_Расчет_аналитики'!BD2806-'19_Расчет_аналитики'!BC2806)-'19_Расчет_аналитики'!BD2775</f>
        <v/>
      </c>
      <c r="BE2803">
        <f>'19_Расчет_аналитики'!BE2762-'19_Расчет_аналитики'!BE2764-('19_Расчет_аналитики'!BE2798-'19_Расчет_аналитики'!BD2798)+('19_Расчет_аналитики'!BE2799-'19_Расчет_аналитики'!BD2799)+('02_Модель'!BE82-'02_Модель'!BD82)-('02_Модель'!BE83-'02_Модель'!BD83)-'19_Расчет_аналитики'!BE2802-'19_Расчет_аналитики'!BE2788+('19_Расчет_аналитики'!BE2806-'19_Расчет_аналитики'!BD2806)-'19_Расчет_аналитики'!BE2775</f>
        <v/>
      </c>
      <c r="BF2803">
        <f>'19_Расчет_аналитики'!BF2762-'19_Расчет_аналитики'!BF2764-('19_Расчет_аналитики'!BF2798-'19_Расчет_аналитики'!BE2798)+('19_Расчет_аналитики'!BF2799-'19_Расчет_аналитики'!BE2799)+('02_Модель'!BF82-'02_Модель'!BE82)-('02_Модель'!BF83-'02_Модель'!BE83)-'19_Расчет_аналитики'!BF2802-'19_Расчет_аналитики'!BF2788+('19_Расчет_аналитики'!BF2806-'19_Расчет_аналитики'!BE2806)-'19_Расчет_аналитики'!BF2775</f>
        <v/>
      </c>
      <c r="BG2803">
        <f>'19_Расчет_аналитики'!BG2762-'19_Расчет_аналитики'!BG2764-('19_Расчет_аналитики'!BG2798-'19_Расчет_аналитики'!BF2798)+('19_Расчет_аналитики'!BG2799-'19_Расчет_аналитики'!BF2799)+('02_Модель'!BG82-'02_Модель'!BF82)-('02_Модель'!BG83-'02_Модель'!BF83)-'19_Расчет_аналитики'!BG2802-'19_Расчет_аналитики'!BG2788+('19_Расчет_аналитики'!BG2806-'19_Расчет_аналитики'!BF2806)-'19_Расчет_аналитики'!BG2775</f>
        <v/>
      </c>
      <c r="BH2803">
        <f>'19_Расчет_аналитики'!BH2762-'19_Расчет_аналитики'!BH2764-('19_Расчет_аналитики'!BH2798-'19_Расчет_аналитики'!BG2798)+('19_Расчет_аналитики'!BH2799-'19_Расчет_аналитики'!BG2799)+('02_Модель'!BH82-'02_Модель'!BG82)-('02_Модель'!BH83-'02_Модель'!BG83)-'19_Расчет_аналитики'!BH2802-'19_Расчет_аналитики'!BH2788+('19_Расчет_аналитики'!BH2806-'19_Расчет_аналитики'!BG2806)-'19_Расчет_аналитики'!BH2775</f>
        <v/>
      </c>
      <c r="BI2803">
        <f>'19_Расчет_аналитики'!BI2762-'19_Расчет_аналитики'!BI2764-('19_Расчет_аналитики'!BI2798-'19_Расчет_аналитики'!BH2798)+('19_Расчет_аналитики'!BI2799-'19_Расчет_аналитики'!BH2799)+('02_Модель'!BI82-'02_Модель'!BH82)-('02_Модель'!BI83-'02_Модель'!BH83)-'19_Расчет_аналитики'!BI2802-'19_Расчет_аналитики'!BI2788+('19_Расчет_аналитики'!BI2806-'19_Расчет_аналитики'!BH2806)-'19_Расчет_аналитики'!BI2775</f>
        <v/>
      </c>
    </row>
    <row r="2804">
      <c r="B2804">
        <f>'19_Расчет_аналитики'!B2803-'19_Расчет_аналитики'!B2789</f>
        <v/>
      </c>
      <c r="C2804">
        <f>'19_Расчет_аналитики'!C2803-'19_Расчет_аналитики'!C2789</f>
        <v/>
      </c>
      <c r="D2804">
        <f>'19_Расчет_аналитики'!D2803-'19_Расчет_аналитики'!D2789</f>
        <v/>
      </c>
      <c r="E2804">
        <f>'19_Расчет_аналитики'!E2803-'19_Расчет_аналитики'!E2789</f>
        <v/>
      </c>
      <c r="F2804">
        <f>'19_Расчет_аналитики'!F2803-'19_Расчет_аналитики'!F2789</f>
        <v/>
      </c>
      <c r="G2804">
        <f>'19_Расчет_аналитики'!G2803-'19_Расчет_аналитики'!G2789</f>
        <v/>
      </c>
      <c r="H2804">
        <f>'19_Расчет_аналитики'!H2803-'19_Расчет_аналитики'!H2789</f>
        <v/>
      </c>
      <c r="I2804">
        <f>'19_Расчет_аналитики'!I2803-'19_Расчет_аналитики'!I2789</f>
        <v/>
      </c>
      <c r="J2804">
        <f>'19_Расчет_аналитики'!J2803-'19_Расчет_аналитики'!J2789</f>
        <v/>
      </c>
      <c r="K2804">
        <f>'19_Расчет_аналитики'!K2803-'19_Расчет_аналитики'!K2789</f>
        <v/>
      </c>
      <c r="L2804">
        <f>'19_Расчет_аналитики'!L2803-'19_Расчет_аналитики'!L2789</f>
        <v/>
      </c>
      <c r="M2804">
        <f>'19_Расчет_аналитики'!M2803-'19_Расчет_аналитики'!M2789</f>
        <v/>
      </c>
      <c r="N2804">
        <f>'19_Расчет_аналитики'!N2803-'19_Расчет_аналитики'!N2789</f>
        <v/>
      </c>
      <c r="O2804">
        <f>'19_Расчет_аналитики'!O2803-'19_Расчет_аналитики'!O2789</f>
        <v/>
      </c>
      <c r="P2804">
        <f>'19_Расчет_аналитики'!P2803-'19_Расчет_аналитики'!P2789</f>
        <v/>
      </c>
      <c r="Q2804">
        <f>'19_Расчет_аналитики'!Q2803-'19_Расчет_аналитики'!Q2789</f>
        <v/>
      </c>
      <c r="R2804">
        <f>'19_Расчет_аналитики'!R2803-'19_Расчет_аналитики'!R2789</f>
        <v/>
      </c>
      <c r="S2804">
        <f>'19_Расчет_аналитики'!S2803-'19_Расчет_аналитики'!S2789</f>
        <v/>
      </c>
      <c r="T2804">
        <f>'19_Расчет_аналитики'!T2803-'19_Расчет_аналитики'!T2789</f>
        <v/>
      </c>
      <c r="U2804">
        <f>'19_Расчет_аналитики'!U2803-'19_Расчет_аналитики'!U2789</f>
        <v/>
      </c>
      <c r="V2804">
        <f>'19_Расчет_аналитики'!V2803-'19_Расчет_аналитики'!V2789</f>
        <v/>
      </c>
      <c r="W2804">
        <f>'19_Расчет_аналитики'!W2803-'19_Расчет_аналитики'!W2789</f>
        <v/>
      </c>
      <c r="X2804">
        <f>'19_Расчет_аналитики'!X2803-'19_Расчет_аналитики'!X2789</f>
        <v/>
      </c>
      <c r="Y2804">
        <f>'19_Расчет_аналитики'!Y2803-'19_Расчет_аналитики'!Y2789</f>
        <v/>
      </c>
      <c r="Z2804">
        <f>'19_Расчет_аналитики'!Z2803-'19_Расчет_аналитики'!Z2789</f>
        <v/>
      </c>
      <c r="AA2804">
        <f>'19_Расчет_аналитики'!AA2803-'19_Расчет_аналитики'!AA2789</f>
        <v/>
      </c>
      <c r="AB2804">
        <f>'19_Расчет_аналитики'!AB2803-'19_Расчет_аналитики'!AB2789</f>
        <v/>
      </c>
      <c r="AC2804">
        <f>'19_Расчет_аналитики'!AC2803-'19_Расчет_аналитики'!AC2789</f>
        <v/>
      </c>
      <c r="AD2804">
        <f>'19_Расчет_аналитики'!AD2803-'19_Расчет_аналитики'!AD2789</f>
        <v/>
      </c>
      <c r="AE2804">
        <f>'19_Расчет_аналитики'!AE2803-'19_Расчет_аналитики'!AE2789</f>
        <v/>
      </c>
      <c r="AF2804">
        <f>'19_Расчет_аналитики'!AF2803-'19_Расчет_аналитики'!AF2789</f>
        <v/>
      </c>
      <c r="AG2804">
        <f>'19_Расчет_аналитики'!AG2803-'19_Расчет_аналитики'!AG2789</f>
        <v/>
      </c>
      <c r="AH2804">
        <f>'19_Расчет_аналитики'!AH2803-'19_Расчет_аналитики'!AH2789</f>
        <v/>
      </c>
      <c r="AI2804">
        <f>'19_Расчет_аналитики'!AI2803-'19_Расчет_аналитики'!AI2789</f>
        <v/>
      </c>
      <c r="AJ2804">
        <f>'19_Расчет_аналитики'!AJ2803-'19_Расчет_аналитики'!AJ2789</f>
        <v/>
      </c>
      <c r="AK2804">
        <f>'19_Расчет_аналитики'!AK2803-'19_Расчет_аналитики'!AK2789</f>
        <v/>
      </c>
      <c r="AL2804">
        <f>'19_Расчет_аналитики'!AL2803-'19_Расчет_аналитики'!AL2789</f>
        <v/>
      </c>
      <c r="AM2804">
        <f>'19_Расчет_аналитики'!AM2803-'19_Расчет_аналитики'!AM2789</f>
        <v/>
      </c>
      <c r="AN2804">
        <f>'19_Расчет_аналитики'!AN2803-'19_Расчет_аналитики'!AN2789</f>
        <v/>
      </c>
      <c r="AO2804">
        <f>'19_Расчет_аналитики'!AO2803-'19_Расчет_аналитики'!AO2789</f>
        <v/>
      </c>
      <c r="AP2804">
        <f>'19_Расчет_аналитики'!AP2803-'19_Расчет_аналитики'!AP2789</f>
        <v/>
      </c>
      <c r="AQ2804">
        <f>'19_Расчет_аналитики'!AQ2803-'19_Расчет_аналитики'!AQ2789</f>
        <v/>
      </c>
      <c r="AR2804">
        <f>'19_Расчет_аналитики'!AR2803-'19_Расчет_аналитики'!AR2789</f>
        <v/>
      </c>
      <c r="AS2804">
        <f>'19_Расчет_аналитики'!AS2803-'19_Расчет_аналитики'!AS2789</f>
        <v/>
      </c>
      <c r="AT2804">
        <f>'19_Расчет_аналитики'!AT2803-'19_Расчет_аналитики'!AT2789</f>
        <v/>
      </c>
      <c r="AU2804">
        <f>'19_Расчет_аналитики'!AU2803-'19_Расчет_аналитики'!AU2789</f>
        <v/>
      </c>
      <c r="AV2804">
        <f>'19_Расчет_аналитики'!AV2803-'19_Расчет_аналитики'!AV2789</f>
        <v/>
      </c>
      <c r="AW2804">
        <f>'19_Расчет_аналитики'!AW2803-'19_Расчет_аналитики'!AW2789</f>
        <v/>
      </c>
      <c r="AX2804">
        <f>'19_Расчет_аналитики'!AX2803-'19_Расчет_аналитики'!AX2789</f>
        <v/>
      </c>
      <c r="AY2804">
        <f>'19_Расчет_аналитики'!AY2803-'19_Расчет_аналитики'!AY2789</f>
        <v/>
      </c>
      <c r="AZ2804">
        <f>'19_Расчет_аналитики'!AZ2803-'19_Расчет_аналитики'!AZ2789</f>
        <v/>
      </c>
      <c r="BA2804">
        <f>'19_Расчет_аналитики'!BA2803-'19_Расчет_аналитики'!BA2789</f>
        <v/>
      </c>
      <c r="BB2804">
        <f>'19_Расчет_аналитики'!BB2803-'19_Расчет_аналитики'!BB2789</f>
        <v/>
      </c>
      <c r="BC2804">
        <f>'19_Расчет_аналитики'!BC2803-'19_Расчет_аналитики'!BC2789</f>
        <v/>
      </c>
      <c r="BD2804">
        <f>'19_Расчет_аналитики'!BD2803-'19_Расчет_аналитики'!BD2789</f>
        <v/>
      </c>
      <c r="BE2804">
        <f>'19_Расчет_аналитики'!BE2803-'19_Расчет_аналитики'!BE2789</f>
        <v/>
      </c>
      <c r="BF2804">
        <f>'19_Расчет_аналитики'!BF2803-'19_Расчет_аналитики'!BF2789</f>
        <v/>
      </c>
      <c r="BG2804">
        <f>'19_Расчет_аналитики'!BG2803-'19_Расчет_аналитики'!BG2789</f>
        <v/>
      </c>
      <c r="BH2804">
        <f>'19_Расчет_аналитики'!BH2803-'19_Расчет_аналитики'!BH2789</f>
        <v/>
      </c>
      <c r="BI2804">
        <f>'19_Расчет_аналитики'!BI2803-'19_Расчет_аналитики'!BI2789</f>
        <v/>
      </c>
    </row>
    <row r="2805">
      <c r="B2805">
        <f>'07_Мерч'!B22+'19_Расчет_аналитики'!B2650-'19_Расчет_аналитики'!B2648-'19_Расчет_аналитики'!B2651</f>
        <v/>
      </c>
      <c r="C2805">
        <f>'19_Расчет_аналитики'!C2647+'19_Расчет_аналитики'!C2650-'19_Расчет_аналитики'!C2648-'19_Расчет_аналитики'!C2651</f>
        <v/>
      </c>
      <c r="D2805">
        <f>'19_Расчет_аналитики'!D2647+'19_Расчет_аналитики'!D2650-'19_Расчет_аналитики'!D2648-'19_Расчет_аналитики'!D2651</f>
        <v/>
      </c>
      <c r="E2805">
        <f>'19_Расчет_аналитики'!E2647+'19_Расчет_аналитики'!E2650-'19_Расчет_аналитики'!E2648-'19_Расчет_аналитики'!E2651</f>
        <v/>
      </c>
      <c r="F2805">
        <f>'19_Расчет_аналитики'!F2647+'19_Расчет_аналитики'!F2650-'19_Расчет_аналитики'!F2648-'19_Расчет_аналитики'!F2651</f>
        <v/>
      </c>
      <c r="G2805">
        <f>'19_Расчет_аналитики'!G2647+'19_Расчет_аналитики'!G2650-'19_Расчет_аналитики'!G2648-'19_Расчет_аналитики'!G2651</f>
        <v/>
      </c>
      <c r="H2805">
        <f>'19_Расчет_аналитики'!H2647+'19_Расчет_аналитики'!H2650-'19_Расчет_аналитики'!H2648-'19_Расчет_аналитики'!H2651</f>
        <v/>
      </c>
      <c r="I2805">
        <f>'19_Расчет_аналитики'!I2647+'19_Расчет_аналитики'!I2650-'19_Расчет_аналитики'!I2648-'19_Расчет_аналитики'!I2651</f>
        <v/>
      </c>
      <c r="J2805">
        <f>'19_Расчет_аналитики'!J2647+'19_Расчет_аналитики'!J2650-'19_Расчет_аналитики'!J2648-'19_Расчет_аналитики'!J2651</f>
        <v/>
      </c>
      <c r="K2805">
        <f>'19_Расчет_аналитики'!K2647+'19_Расчет_аналитики'!K2650-'19_Расчет_аналитики'!K2648-'19_Расчет_аналитики'!K2651</f>
        <v/>
      </c>
      <c r="L2805">
        <f>'19_Расчет_аналитики'!L2647+'19_Расчет_аналитики'!L2650-'19_Расчет_аналитики'!L2648-'19_Расчет_аналитики'!L2651</f>
        <v/>
      </c>
      <c r="M2805">
        <f>'19_Расчет_аналитики'!M2647+'19_Расчет_аналитики'!M2650-'19_Расчет_аналитики'!M2648-'19_Расчет_аналитики'!M2651</f>
        <v/>
      </c>
      <c r="N2805">
        <f>'19_Расчет_аналитики'!N2647+'19_Расчет_аналитики'!N2650-'19_Расчет_аналитики'!N2648-'19_Расчет_аналитики'!N2651</f>
        <v/>
      </c>
      <c r="O2805">
        <f>'19_Расчет_аналитики'!O2647+'19_Расчет_аналитики'!O2650-'19_Расчет_аналитики'!O2648-'19_Расчет_аналитики'!O2651</f>
        <v/>
      </c>
      <c r="P2805">
        <f>'19_Расчет_аналитики'!P2647+'19_Расчет_аналитики'!P2650-'19_Расчет_аналитики'!P2648-'19_Расчет_аналитики'!P2651</f>
        <v/>
      </c>
      <c r="Q2805">
        <f>'19_Расчет_аналитики'!Q2647+'19_Расчет_аналитики'!Q2650-'19_Расчет_аналитики'!Q2648-'19_Расчет_аналитики'!Q2651</f>
        <v/>
      </c>
      <c r="R2805">
        <f>'19_Расчет_аналитики'!R2647+'19_Расчет_аналитики'!R2650-'19_Расчет_аналитики'!R2648-'19_Расчет_аналитики'!R2651</f>
        <v/>
      </c>
      <c r="S2805">
        <f>'19_Расчет_аналитики'!S2647+'19_Расчет_аналитики'!S2650-'19_Расчет_аналитики'!S2648-'19_Расчет_аналитики'!S2651</f>
        <v/>
      </c>
      <c r="T2805">
        <f>'19_Расчет_аналитики'!T2647+'19_Расчет_аналитики'!T2650-'19_Расчет_аналитики'!T2648-'19_Расчет_аналитики'!T2651</f>
        <v/>
      </c>
      <c r="U2805">
        <f>'19_Расчет_аналитики'!U2647+'19_Расчет_аналитики'!U2650-'19_Расчет_аналитики'!U2648-'19_Расчет_аналитики'!U2651</f>
        <v/>
      </c>
      <c r="V2805">
        <f>'19_Расчет_аналитики'!V2647+'19_Расчет_аналитики'!V2650-'19_Расчет_аналитики'!V2648-'19_Расчет_аналитики'!V2651</f>
        <v/>
      </c>
      <c r="W2805">
        <f>'19_Расчет_аналитики'!W2647+'19_Расчет_аналитики'!W2650-'19_Расчет_аналитики'!W2648-'19_Расчет_аналитики'!W2651</f>
        <v/>
      </c>
      <c r="X2805">
        <f>'19_Расчет_аналитики'!X2647+'19_Расчет_аналитики'!X2650-'19_Расчет_аналитики'!X2648-'19_Расчет_аналитики'!X2651</f>
        <v/>
      </c>
      <c r="Y2805">
        <f>'19_Расчет_аналитики'!Y2647+'19_Расчет_аналитики'!Y2650-'19_Расчет_аналитики'!Y2648-'19_Расчет_аналитики'!Y2651</f>
        <v/>
      </c>
      <c r="Z2805">
        <f>'19_Расчет_аналитики'!Z2647+'19_Расчет_аналитики'!Z2650-'19_Расчет_аналитики'!Z2648-'19_Расчет_аналитики'!Z2651</f>
        <v/>
      </c>
      <c r="AA2805">
        <f>'19_Расчет_аналитики'!AA2647+'19_Расчет_аналитики'!AA2650-'19_Расчет_аналитики'!AA2648-'19_Расчет_аналитики'!AA2651</f>
        <v/>
      </c>
      <c r="AB2805">
        <f>'19_Расчет_аналитики'!AB2647+'19_Расчет_аналитики'!AB2650-'19_Расчет_аналитики'!AB2648-'19_Расчет_аналитики'!AB2651</f>
        <v/>
      </c>
      <c r="AC2805">
        <f>'19_Расчет_аналитики'!AC2647+'19_Расчет_аналитики'!AC2650-'19_Расчет_аналитики'!AC2648-'19_Расчет_аналитики'!AC2651</f>
        <v/>
      </c>
      <c r="AD2805">
        <f>'19_Расчет_аналитики'!AD2647+'19_Расчет_аналитики'!AD2650-'19_Расчет_аналитики'!AD2648-'19_Расчет_аналитики'!AD2651</f>
        <v/>
      </c>
      <c r="AE2805">
        <f>'19_Расчет_аналитики'!AE2647+'19_Расчет_аналитики'!AE2650-'19_Расчет_аналитики'!AE2648-'19_Расчет_аналитики'!AE2651</f>
        <v/>
      </c>
      <c r="AF2805">
        <f>'19_Расчет_аналитики'!AF2647+'19_Расчет_аналитики'!AF2650-'19_Расчет_аналитики'!AF2648-'19_Расчет_аналитики'!AF2651</f>
        <v/>
      </c>
      <c r="AG2805">
        <f>'19_Расчет_аналитики'!AG2647+'19_Расчет_аналитики'!AG2650-'19_Расчет_аналитики'!AG2648-'19_Расчет_аналитики'!AG2651</f>
        <v/>
      </c>
      <c r="AH2805">
        <f>'19_Расчет_аналитики'!AH2647+'19_Расчет_аналитики'!AH2650-'19_Расчет_аналитики'!AH2648-'19_Расчет_аналитики'!AH2651</f>
        <v/>
      </c>
      <c r="AI2805">
        <f>'19_Расчет_аналитики'!AI2647+'19_Расчет_аналитики'!AI2650-'19_Расчет_аналитики'!AI2648-'19_Расчет_аналитики'!AI2651</f>
        <v/>
      </c>
      <c r="AJ2805">
        <f>'19_Расчет_аналитики'!AJ2647+'19_Расчет_аналитики'!AJ2650-'19_Расчет_аналитики'!AJ2648-'19_Расчет_аналитики'!AJ2651</f>
        <v/>
      </c>
      <c r="AK2805">
        <f>'19_Расчет_аналитики'!AK2647+'19_Расчет_аналитики'!AK2650-'19_Расчет_аналитики'!AK2648-'19_Расчет_аналитики'!AK2651</f>
        <v/>
      </c>
      <c r="AL2805">
        <f>'19_Расчет_аналитики'!AL2647+'19_Расчет_аналитики'!AL2650-'19_Расчет_аналитики'!AL2648-'19_Расчет_аналитики'!AL2651</f>
        <v/>
      </c>
      <c r="AM2805">
        <f>'19_Расчет_аналитики'!AM2647+'19_Расчет_аналитики'!AM2650-'19_Расчет_аналитики'!AM2648-'19_Расчет_аналитики'!AM2651</f>
        <v/>
      </c>
      <c r="AN2805">
        <f>'19_Расчет_аналитики'!AN2647+'19_Расчет_аналитики'!AN2650-'19_Расчет_аналитики'!AN2648-'19_Расчет_аналитики'!AN2651</f>
        <v/>
      </c>
      <c r="AO2805">
        <f>'19_Расчет_аналитики'!AO2647+'19_Расчет_аналитики'!AO2650-'19_Расчет_аналитики'!AO2648-'19_Расчет_аналитики'!AO2651</f>
        <v/>
      </c>
      <c r="AP2805">
        <f>'19_Расчет_аналитики'!AP2647+'19_Расчет_аналитики'!AP2650-'19_Расчет_аналитики'!AP2648-'19_Расчет_аналитики'!AP2651</f>
        <v/>
      </c>
      <c r="AQ2805">
        <f>'19_Расчет_аналитики'!AQ2647+'19_Расчет_аналитики'!AQ2650-'19_Расчет_аналитики'!AQ2648-'19_Расчет_аналитики'!AQ2651</f>
        <v/>
      </c>
      <c r="AR2805">
        <f>'19_Расчет_аналитики'!AR2647+'19_Расчет_аналитики'!AR2650-'19_Расчет_аналитики'!AR2648-'19_Расчет_аналитики'!AR2651</f>
        <v/>
      </c>
      <c r="AS2805">
        <f>'19_Расчет_аналитики'!AS2647+'19_Расчет_аналитики'!AS2650-'19_Расчет_аналитики'!AS2648-'19_Расчет_аналитики'!AS2651</f>
        <v/>
      </c>
      <c r="AT2805">
        <f>'19_Расчет_аналитики'!AT2647+'19_Расчет_аналитики'!AT2650-'19_Расчет_аналитики'!AT2648-'19_Расчет_аналитики'!AT2651</f>
        <v/>
      </c>
      <c r="AU2805">
        <f>'19_Расчет_аналитики'!AU2647+'19_Расчет_аналитики'!AU2650-'19_Расчет_аналитики'!AU2648-'19_Расчет_аналитики'!AU2651</f>
        <v/>
      </c>
      <c r="AV2805">
        <f>'19_Расчет_аналитики'!AV2647+'19_Расчет_аналитики'!AV2650-'19_Расчет_аналитики'!AV2648-'19_Расчет_аналитики'!AV2651</f>
        <v/>
      </c>
      <c r="AW2805">
        <f>'19_Расчет_аналитики'!AW2647+'19_Расчет_аналитики'!AW2650-'19_Расчет_аналитики'!AW2648-'19_Расчет_аналитики'!AW2651</f>
        <v/>
      </c>
      <c r="AX2805">
        <f>'19_Расчет_аналитики'!AX2647+'19_Расчет_аналитики'!AX2650-'19_Расчет_аналитики'!AX2648-'19_Расчет_аналитики'!AX2651</f>
        <v/>
      </c>
      <c r="AY2805">
        <f>'19_Расчет_аналитики'!AY2647+'19_Расчет_аналитики'!AY2650-'19_Расчет_аналитики'!AY2648-'19_Расчет_аналитики'!AY2651</f>
        <v/>
      </c>
      <c r="AZ2805">
        <f>'19_Расчет_аналитики'!AZ2647+'19_Расчет_аналитики'!AZ2650-'19_Расчет_аналитики'!AZ2648-'19_Расчет_аналитики'!AZ2651</f>
        <v/>
      </c>
      <c r="BA2805">
        <f>'19_Расчет_аналитики'!BA2647+'19_Расчет_аналитики'!BA2650-'19_Расчет_аналитики'!BA2648-'19_Расчет_аналитики'!BA2651</f>
        <v/>
      </c>
      <c r="BB2805">
        <f>'19_Расчет_аналитики'!BB2647+'19_Расчет_аналитики'!BB2650-'19_Расчет_аналитики'!BB2648-'19_Расчет_аналитики'!BB2651</f>
        <v/>
      </c>
      <c r="BC2805">
        <f>'19_Расчет_аналитики'!BC2647+'19_Расчет_аналитики'!BC2650-'19_Расчет_аналитики'!BC2648-'19_Расчет_аналитики'!BC2651</f>
        <v/>
      </c>
      <c r="BD2805">
        <f>'19_Расчет_аналитики'!BD2647+'19_Расчет_аналитики'!BD2650-'19_Расчет_аналитики'!BD2648-'19_Расчет_аналитики'!BD2651</f>
        <v/>
      </c>
      <c r="BE2805">
        <f>'19_Расчет_аналитики'!BE2647+'19_Расчет_аналитики'!BE2650-'19_Расчет_аналитики'!BE2648-'19_Расчет_аналитики'!BE2651</f>
        <v/>
      </c>
      <c r="BF2805">
        <f>'19_Расчет_аналитики'!BF2647+'19_Расчет_аналитики'!BF2650-'19_Расчет_аналитики'!BF2648-'19_Расчет_аналитики'!BF2651</f>
        <v/>
      </c>
      <c r="BG2805">
        <f>'19_Расчет_аналитики'!BG2647+'19_Расчет_аналитики'!BG2650-'19_Расчет_аналитики'!BG2648-'19_Расчет_аналитики'!BG2651</f>
        <v/>
      </c>
      <c r="BH2805">
        <f>'19_Расчет_аналитики'!BH2647+'19_Расчет_аналитики'!BH2650-'19_Расчет_аналитики'!BH2648-'19_Расчет_аналитики'!BH2651</f>
        <v/>
      </c>
      <c r="BI2805">
        <f>'19_Расчет_аналитики'!BI2647+'19_Расчет_аналитики'!BI2650-'19_Расчет_аналитики'!BI2648-'19_Расчет_аналитики'!BI2651</f>
        <v/>
      </c>
    </row>
    <row r="2806">
      <c r="B2806">
        <f>0+SUM('19_Расчет_аналитики'!B2746:B2748)-'19_Расчет_аналитики'!B2779</f>
        <v/>
      </c>
      <c r="C2806">
        <f>'19_Расчет_аналитики'!B2806+SUM('19_Расчет_аналитики'!C2746:C2748)-'19_Расчет_аналитики'!C2779</f>
        <v/>
      </c>
      <c r="D2806">
        <f>'19_Расчет_аналитики'!C2806+SUM('19_Расчет_аналитики'!D2746:D2748)-'19_Расчет_аналитики'!D2779</f>
        <v/>
      </c>
      <c r="E2806">
        <f>'19_Расчет_аналитики'!D2806+SUM('19_Расчет_аналитики'!E2746:E2748)-'19_Расчет_аналитики'!E2779</f>
        <v/>
      </c>
      <c r="F2806">
        <f>'19_Расчет_аналитики'!E2806+SUM('19_Расчет_аналитики'!F2746:F2748)-'19_Расчет_аналитики'!F2779</f>
        <v/>
      </c>
      <c r="G2806">
        <f>'19_Расчет_аналитики'!F2806+SUM('19_Расчет_аналитики'!G2746:G2748)-'19_Расчет_аналитики'!G2779</f>
        <v/>
      </c>
      <c r="H2806">
        <f>'19_Расчет_аналитики'!G2806+SUM('19_Расчет_аналитики'!H2746:H2748)-'19_Расчет_аналитики'!H2779</f>
        <v/>
      </c>
      <c r="I2806">
        <f>'19_Расчет_аналитики'!H2806+SUM('19_Расчет_аналитики'!I2746:I2748)-'19_Расчет_аналитики'!I2779</f>
        <v/>
      </c>
      <c r="J2806">
        <f>'19_Расчет_аналитики'!I2806+SUM('19_Расчет_аналитики'!J2746:J2748)-'19_Расчет_аналитики'!J2779</f>
        <v/>
      </c>
      <c r="K2806">
        <f>'19_Расчет_аналитики'!J2806+SUM('19_Расчет_аналитики'!K2746:K2748)-'19_Расчет_аналитики'!K2779</f>
        <v/>
      </c>
      <c r="L2806">
        <f>'19_Расчет_аналитики'!K2806+SUM('19_Расчет_аналитики'!L2746:L2748)-'19_Расчет_аналитики'!L2779</f>
        <v/>
      </c>
      <c r="M2806">
        <f>'19_Расчет_аналитики'!L2806+SUM('19_Расчет_аналитики'!M2746:M2748)-'19_Расчет_аналитики'!M2779</f>
        <v/>
      </c>
      <c r="N2806">
        <f>'19_Расчет_аналитики'!M2806+SUM('19_Расчет_аналитики'!N2746:N2748)-'19_Расчет_аналитики'!N2779</f>
        <v/>
      </c>
      <c r="O2806">
        <f>'19_Расчет_аналитики'!N2806+SUM('19_Расчет_аналитики'!O2746:O2748)-'19_Расчет_аналитики'!O2779</f>
        <v/>
      </c>
      <c r="P2806">
        <f>'19_Расчет_аналитики'!O2806+SUM('19_Расчет_аналитики'!P2746:P2748)-'19_Расчет_аналитики'!P2779</f>
        <v/>
      </c>
      <c r="Q2806">
        <f>'19_Расчет_аналитики'!P2806+SUM('19_Расчет_аналитики'!Q2746:Q2748)-'19_Расчет_аналитики'!Q2779</f>
        <v/>
      </c>
      <c r="R2806">
        <f>'19_Расчет_аналитики'!Q2806+SUM('19_Расчет_аналитики'!R2746:R2748)-'19_Расчет_аналитики'!R2779</f>
        <v/>
      </c>
      <c r="S2806">
        <f>'19_Расчет_аналитики'!R2806+SUM('19_Расчет_аналитики'!S2746:S2748)-'19_Расчет_аналитики'!S2779</f>
        <v/>
      </c>
      <c r="T2806">
        <f>'19_Расчет_аналитики'!S2806+SUM('19_Расчет_аналитики'!T2746:T2748)-'19_Расчет_аналитики'!T2779</f>
        <v/>
      </c>
      <c r="U2806">
        <f>'19_Расчет_аналитики'!T2806+SUM('19_Расчет_аналитики'!U2746:U2748)-'19_Расчет_аналитики'!U2779</f>
        <v/>
      </c>
      <c r="V2806">
        <f>'19_Расчет_аналитики'!U2806+SUM('19_Расчет_аналитики'!V2746:V2748)-'19_Расчет_аналитики'!V2779</f>
        <v/>
      </c>
      <c r="W2806">
        <f>'19_Расчет_аналитики'!V2806+SUM('19_Расчет_аналитики'!W2746:W2748)-'19_Расчет_аналитики'!W2779</f>
        <v/>
      </c>
      <c r="X2806">
        <f>'19_Расчет_аналитики'!W2806+SUM('19_Расчет_аналитики'!X2746:X2748)-'19_Расчет_аналитики'!X2779</f>
        <v/>
      </c>
      <c r="Y2806">
        <f>'19_Расчет_аналитики'!X2806+SUM('19_Расчет_аналитики'!Y2746:Y2748)-'19_Расчет_аналитики'!Y2779</f>
        <v/>
      </c>
      <c r="Z2806">
        <f>'19_Расчет_аналитики'!Y2806+SUM('19_Расчет_аналитики'!Z2746:Z2748)-'19_Расчет_аналитики'!Z2779</f>
        <v/>
      </c>
      <c r="AA2806">
        <f>'19_Расчет_аналитики'!Z2806+SUM('19_Расчет_аналитики'!AA2746:AA2748)-'19_Расчет_аналитики'!AA2779</f>
        <v/>
      </c>
      <c r="AB2806">
        <f>'19_Расчет_аналитики'!AA2806+SUM('19_Расчет_аналитики'!AB2746:AB2748)-'19_Расчет_аналитики'!AB2779</f>
        <v/>
      </c>
      <c r="AC2806">
        <f>'19_Расчет_аналитики'!AB2806+SUM('19_Расчет_аналитики'!AC2746:AC2748)-'19_Расчет_аналитики'!AC2779</f>
        <v/>
      </c>
      <c r="AD2806">
        <f>'19_Расчет_аналитики'!AC2806+SUM('19_Расчет_аналитики'!AD2746:AD2748)-'19_Расчет_аналитики'!AD2779</f>
        <v/>
      </c>
      <c r="AE2806">
        <f>'19_Расчет_аналитики'!AD2806+SUM('19_Расчет_аналитики'!AE2746:AE2748)-'19_Расчет_аналитики'!AE2779</f>
        <v/>
      </c>
      <c r="AF2806">
        <f>'19_Расчет_аналитики'!AE2806+SUM('19_Расчет_аналитики'!AF2746:AF2748)-'19_Расчет_аналитики'!AF2779</f>
        <v/>
      </c>
      <c r="AG2806">
        <f>'19_Расчет_аналитики'!AF2806+SUM('19_Расчет_аналитики'!AG2746:AG2748)-'19_Расчет_аналитики'!AG2779</f>
        <v/>
      </c>
      <c r="AH2806">
        <f>'19_Расчет_аналитики'!AG2806+SUM('19_Расчет_аналитики'!AH2746:AH2748)-'19_Расчет_аналитики'!AH2779</f>
        <v/>
      </c>
      <c r="AI2806">
        <f>'19_Расчет_аналитики'!AH2806+SUM('19_Расчет_аналитики'!AI2746:AI2748)-'19_Расчет_аналитики'!AI2779</f>
        <v/>
      </c>
      <c r="AJ2806">
        <f>'19_Расчет_аналитики'!AI2806+SUM('19_Расчет_аналитики'!AJ2746:AJ2748)-'19_Расчет_аналитики'!AJ2779</f>
        <v/>
      </c>
      <c r="AK2806">
        <f>'19_Расчет_аналитики'!AJ2806+SUM('19_Расчет_аналитики'!AK2746:AK2748)-'19_Расчет_аналитики'!AK2779</f>
        <v/>
      </c>
      <c r="AL2806">
        <f>'19_Расчет_аналитики'!AK2806+SUM('19_Расчет_аналитики'!AL2746:AL2748)-'19_Расчет_аналитики'!AL2779</f>
        <v/>
      </c>
      <c r="AM2806">
        <f>'19_Расчет_аналитики'!AL2806+SUM('19_Расчет_аналитики'!AM2746:AM2748)-'19_Расчет_аналитики'!AM2779</f>
        <v/>
      </c>
      <c r="AN2806">
        <f>'19_Расчет_аналитики'!AM2806+SUM('19_Расчет_аналитики'!AN2746:AN2748)-'19_Расчет_аналитики'!AN2779</f>
        <v/>
      </c>
      <c r="AO2806">
        <f>'19_Расчет_аналитики'!AN2806+SUM('19_Расчет_аналитики'!AO2746:AO2748)-'19_Расчет_аналитики'!AO2779</f>
        <v/>
      </c>
      <c r="AP2806">
        <f>'19_Расчет_аналитики'!AO2806+SUM('19_Расчет_аналитики'!AP2746:AP2748)-'19_Расчет_аналитики'!AP2779</f>
        <v/>
      </c>
      <c r="AQ2806">
        <f>'19_Расчет_аналитики'!AP2806+SUM('19_Расчет_аналитики'!AQ2746:AQ2748)-'19_Расчет_аналитики'!AQ2779</f>
        <v/>
      </c>
      <c r="AR2806">
        <f>'19_Расчет_аналитики'!AQ2806+SUM('19_Расчет_аналитики'!AR2746:AR2748)-'19_Расчет_аналитики'!AR2779</f>
        <v/>
      </c>
      <c r="AS2806">
        <f>'19_Расчет_аналитики'!AR2806+SUM('19_Расчет_аналитики'!AS2746:AS2748)-'19_Расчет_аналитики'!AS2779</f>
        <v/>
      </c>
      <c r="AT2806">
        <f>'19_Расчет_аналитики'!AS2806+SUM('19_Расчет_аналитики'!AT2746:AT2748)-'19_Расчет_аналитики'!AT2779</f>
        <v/>
      </c>
      <c r="AU2806">
        <f>'19_Расчет_аналитики'!AT2806+SUM('19_Расчет_аналитики'!AU2746:AU2748)-'19_Расчет_аналитики'!AU2779</f>
        <v/>
      </c>
      <c r="AV2806">
        <f>'19_Расчет_аналитики'!AU2806+SUM('19_Расчет_аналитики'!AV2746:AV2748)-'19_Расчет_аналитики'!AV2779</f>
        <v/>
      </c>
      <c r="AW2806">
        <f>'19_Расчет_аналитики'!AV2806+SUM('19_Расчет_аналитики'!AW2746:AW2748)-'19_Расчет_аналитики'!AW2779</f>
        <v/>
      </c>
      <c r="AX2806">
        <f>'19_Расчет_аналитики'!AW2806+SUM('19_Расчет_аналитики'!AX2746:AX2748)-'19_Расчет_аналитики'!AX2779</f>
        <v/>
      </c>
      <c r="AY2806">
        <f>'19_Расчет_аналитики'!AX2806+SUM('19_Расчет_аналитики'!AY2746:AY2748)-'19_Расчет_аналитики'!AY2779</f>
        <v/>
      </c>
      <c r="AZ2806">
        <f>'19_Расчет_аналитики'!AY2806+SUM('19_Расчет_аналитики'!AZ2746:AZ2748)-'19_Расчет_аналитики'!AZ2779</f>
        <v/>
      </c>
      <c r="BA2806">
        <f>'19_Расчет_аналитики'!AZ2806+SUM('19_Расчет_аналитики'!BA2746:BA2748)-'19_Расчет_аналитики'!BA2779</f>
        <v/>
      </c>
      <c r="BB2806">
        <f>'19_Расчет_аналитики'!BA2806+SUM('19_Расчет_аналитики'!BB2746:BB2748)-'19_Расчет_аналитики'!BB2779</f>
        <v/>
      </c>
      <c r="BC2806">
        <f>'19_Расчет_аналитики'!BB2806+SUM('19_Расчет_аналитики'!BC2746:BC2748)-'19_Расчет_аналитики'!BC2779</f>
        <v/>
      </c>
      <c r="BD2806">
        <f>'19_Расчет_аналитики'!BC2806+SUM('19_Расчет_аналитики'!BD2746:BD2748)-'19_Расчет_аналитики'!BD2779</f>
        <v/>
      </c>
      <c r="BE2806">
        <f>'19_Расчет_аналитики'!BD2806+SUM('19_Расчет_аналитики'!BE2746:BE2748)-'19_Расчет_аналитики'!BE2779</f>
        <v/>
      </c>
      <c r="BF2806">
        <f>'19_Расчет_аналитики'!BE2806+SUM('19_Расчет_аналитики'!BF2746:BF2748)-'19_Расчет_аналитики'!BF2779</f>
        <v/>
      </c>
      <c r="BG2806">
        <f>'19_Расчет_аналитики'!BF2806+SUM('19_Расчет_аналитики'!BG2746:BG2748)-'19_Расчет_аналитики'!BG2779</f>
        <v/>
      </c>
      <c r="BH2806">
        <f>'19_Расчет_аналитики'!BG2806+SUM('19_Расчет_аналитики'!BH2746:BH2748)-'19_Расчет_аналитики'!BH2779</f>
        <v/>
      </c>
      <c r="BI2806">
        <f>'19_Расчет_аналитики'!BH2806+SUM('19_Расчет_аналитики'!BI2746:BI2748)-'19_Расчет_аналитики'!BI2779</f>
        <v/>
      </c>
    </row>
    <row r="2807"/>
    <row r="2808"/>
    <row r="2809"/>
    <row r="2810"/>
    <row r="2811">
      <c r="B2811">
        <f>MAX(0,'19_Расчет_аналитики'!B2787-'01_Вводные'!$B$237-'19_Расчет_аналитики'!B2812)</f>
        <v/>
      </c>
      <c r="C2811">
        <f>MAX(0,'19_Расчет_аналитики'!C2787-'01_Вводные'!$B$237-'19_Расчет_аналитики'!C2812)</f>
        <v/>
      </c>
      <c r="D2811">
        <f>MAX(0,'19_Расчет_аналитики'!D2787-'01_Вводные'!$B$237-'19_Расчет_аналитики'!D2812)</f>
        <v/>
      </c>
      <c r="E2811">
        <f>MAX(0,'19_Расчет_аналитики'!E2787-'01_Вводные'!$B$237-'19_Расчет_аналитики'!E2812)</f>
        <v/>
      </c>
      <c r="F2811">
        <f>MAX(0,'19_Расчет_аналитики'!F2787-'01_Вводные'!$B$237-'19_Расчет_аналитики'!F2812)</f>
        <v/>
      </c>
      <c r="G2811">
        <f>MAX(0,'19_Расчет_аналитики'!G2787-'01_Вводные'!$B$237-'19_Расчет_аналитики'!G2812)</f>
        <v/>
      </c>
      <c r="H2811">
        <f>MAX(0,'19_Расчет_аналитики'!H2787-'01_Вводные'!$B$237-'19_Расчет_аналитики'!H2812)</f>
        <v/>
      </c>
      <c r="I2811">
        <f>MAX(0,'19_Расчет_аналитики'!I2787-'01_Вводные'!$B$237-'19_Расчет_аналитики'!I2812)</f>
        <v/>
      </c>
      <c r="J2811">
        <f>MAX(0,'19_Расчет_аналитики'!J2787-'01_Вводные'!$B$237-'19_Расчет_аналитики'!J2812)</f>
        <v/>
      </c>
      <c r="K2811">
        <f>MAX(0,'19_Расчет_аналитики'!K2787-'01_Вводные'!$B$237-'19_Расчет_аналитики'!K2812)</f>
        <v/>
      </c>
      <c r="L2811">
        <f>MAX(0,'19_Расчет_аналитики'!L2787-'01_Вводные'!$B$237-'19_Расчет_аналитики'!L2812)</f>
        <v/>
      </c>
      <c r="M2811">
        <f>MAX(0,'19_Расчет_аналитики'!M2787-'01_Вводные'!$B$237-'19_Расчет_аналитики'!M2812)</f>
        <v/>
      </c>
      <c r="N2811">
        <f>MAX(0,'19_Расчет_аналитики'!N2787-'01_Вводные'!$B$237-'19_Расчет_аналитики'!N2812)</f>
        <v/>
      </c>
      <c r="O2811">
        <f>MAX(0,'19_Расчет_аналитики'!O2787-'01_Вводные'!$B$237-'19_Расчет_аналитики'!O2812)</f>
        <v/>
      </c>
      <c r="P2811">
        <f>MAX(0,'19_Расчет_аналитики'!P2787-'01_Вводные'!$B$237-'19_Расчет_аналитики'!P2812)</f>
        <v/>
      </c>
      <c r="Q2811">
        <f>MAX(0,'19_Расчет_аналитики'!Q2787-'01_Вводные'!$B$237-'19_Расчет_аналитики'!Q2812)</f>
        <v/>
      </c>
      <c r="R2811">
        <f>MAX(0,'19_Расчет_аналитики'!R2787-'01_Вводные'!$B$237-'19_Расчет_аналитики'!R2812)</f>
        <v/>
      </c>
      <c r="S2811">
        <f>MAX(0,'19_Расчет_аналитики'!S2787-'01_Вводные'!$B$237-'19_Расчет_аналитики'!S2812)</f>
        <v/>
      </c>
      <c r="T2811">
        <f>MAX(0,'19_Расчет_аналитики'!T2787-'01_Вводные'!$B$237-'19_Расчет_аналитики'!T2812)</f>
        <v/>
      </c>
      <c r="U2811">
        <f>MAX(0,'19_Расчет_аналитики'!U2787-'01_Вводные'!$B$237-'19_Расчет_аналитики'!U2812)</f>
        <v/>
      </c>
      <c r="V2811">
        <f>MAX(0,'19_Расчет_аналитики'!V2787-'01_Вводные'!$B$237-'19_Расчет_аналитики'!V2812)</f>
        <v/>
      </c>
      <c r="W2811">
        <f>MAX(0,'19_Расчет_аналитики'!W2787-'01_Вводные'!$B$237-'19_Расчет_аналитики'!W2812)</f>
        <v/>
      </c>
      <c r="X2811">
        <f>MAX(0,'19_Расчет_аналитики'!X2787-'01_Вводные'!$B$237-'19_Расчет_аналитики'!X2812)</f>
        <v/>
      </c>
      <c r="Y2811">
        <f>MAX(0,'19_Расчет_аналитики'!Y2787-'01_Вводные'!$B$237-'19_Расчет_аналитики'!Y2812)</f>
        <v/>
      </c>
      <c r="Z2811">
        <f>MAX(0,'19_Расчет_аналитики'!Z2787-'01_Вводные'!$B$237-'19_Расчет_аналитики'!Z2812)</f>
        <v/>
      </c>
      <c r="AA2811">
        <f>MAX(0,'19_Расчет_аналитики'!AA2787-'01_Вводные'!$B$237-'19_Расчет_аналитики'!AA2812)</f>
        <v/>
      </c>
      <c r="AB2811">
        <f>MAX(0,'19_Расчет_аналитики'!AB2787-'01_Вводные'!$B$237-'19_Расчет_аналитики'!AB2812)</f>
        <v/>
      </c>
      <c r="AC2811">
        <f>MAX(0,'19_Расчет_аналитики'!AC2787-'01_Вводные'!$B$237-'19_Расчет_аналитики'!AC2812)</f>
        <v/>
      </c>
      <c r="AD2811">
        <f>MAX(0,'19_Расчет_аналитики'!AD2787-'01_Вводные'!$B$237-'19_Расчет_аналитики'!AD2812)</f>
        <v/>
      </c>
      <c r="AE2811">
        <f>MAX(0,'19_Расчет_аналитики'!AE2787-'01_Вводные'!$B$237-'19_Расчет_аналитики'!AE2812)</f>
        <v/>
      </c>
      <c r="AF2811">
        <f>MAX(0,'19_Расчет_аналитики'!AF2787-'01_Вводные'!$B$237-'19_Расчет_аналитики'!AF2812)</f>
        <v/>
      </c>
      <c r="AG2811">
        <f>MAX(0,'19_Расчет_аналитики'!AG2787-'01_Вводные'!$B$237-'19_Расчет_аналитики'!AG2812)</f>
        <v/>
      </c>
      <c r="AH2811">
        <f>MAX(0,'19_Расчет_аналитики'!AH2787-'01_Вводные'!$B$237-'19_Расчет_аналитики'!AH2812)</f>
        <v/>
      </c>
      <c r="AI2811">
        <f>MAX(0,'19_Расчет_аналитики'!AI2787-'01_Вводные'!$B$237-'19_Расчет_аналитики'!AI2812)</f>
        <v/>
      </c>
      <c r="AJ2811">
        <f>MAX(0,'19_Расчет_аналитики'!AJ2787-'01_Вводные'!$B$237-'19_Расчет_аналитики'!AJ2812)</f>
        <v/>
      </c>
      <c r="AK2811">
        <f>MAX(0,'19_Расчет_аналитики'!AK2787-'01_Вводные'!$B$237-'19_Расчет_аналитики'!AK2812)</f>
        <v/>
      </c>
      <c r="AL2811">
        <f>MAX(0,'19_Расчет_аналитики'!AL2787-'01_Вводные'!$B$237-'19_Расчет_аналитики'!AL2812)</f>
        <v/>
      </c>
      <c r="AM2811">
        <f>MAX(0,'19_Расчет_аналитики'!AM2787-'01_Вводные'!$B$237-'19_Расчет_аналитики'!AM2812)</f>
        <v/>
      </c>
      <c r="AN2811">
        <f>MAX(0,'19_Расчет_аналитики'!AN2787-'01_Вводные'!$B$237-'19_Расчет_аналитики'!AN2812)</f>
        <v/>
      </c>
      <c r="AO2811">
        <f>MAX(0,'19_Расчет_аналитики'!AO2787-'01_Вводные'!$B$237-'19_Расчет_аналитики'!AO2812)</f>
        <v/>
      </c>
      <c r="AP2811">
        <f>MAX(0,'19_Расчет_аналитики'!AP2787-'01_Вводные'!$B$237-'19_Расчет_аналитики'!AP2812)</f>
        <v/>
      </c>
      <c r="AQ2811">
        <f>MAX(0,'19_Расчет_аналитики'!AQ2787-'01_Вводные'!$B$237-'19_Расчет_аналитики'!AQ2812)</f>
        <v/>
      </c>
      <c r="AR2811">
        <f>MAX(0,'19_Расчет_аналитики'!AR2787-'01_Вводные'!$B$237-'19_Расчет_аналитики'!AR2812)</f>
        <v/>
      </c>
      <c r="AS2811">
        <f>MAX(0,'19_Расчет_аналитики'!AS2787-'01_Вводные'!$B$237-'19_Расчет_аналитики'!AS2812)</f>
        <v/>
      </c>
      <c r="AT2811">
        <f>MAX(0,'19_Расчет_аналитики'!AT2787-'01_Вводные'!$B$237-'19_Расчет_аналитики'!AT2812)</f>
        <v/>
      </c>
      <c r="AU2811">
        <f>MAX(0,'19_Расчет_аналитики'!AU2787-'01_Вводные'!$B$237-'19_Расчет_аналитики'!AU2812)</f>
        <v/>
      </c>
      <c r="AV2811">
        <f>MAX(0,'19_Расчет_аналитики'!AV2787-'01_Вводные'!$B$237-'19_Расчет_аналитики'!AV2812)</f>
        <v/>
      </c>
      <c r="AW2811">
        <f>MAX(0,'19_Расчет_аналитики'!AW2787-'01_Вводные'!$B$237-'19_Расчет_аналитики'!AW2812)</f>
        <v/>
      </c>
      <c r="AX2811">
        <f>MAX(0,'19_Расчет_аналитики'!AX2787-'01_Вводные'!$B$237-'19_Расчет_аналитики'!AX2812)</f>
        <v/>
      </c>
      <c r="AY2811">
        <f>MAX(0,'19_Расчет_аналитики'!AY2787-'01_Вводные'!$B$237-'19_Расчет_аналитики'!AY2812)</f>
        <v/>
      </c>
      <c r="AZ2811">
        <f>MAX(0,'19_Расчет_аналитики'!AZ2787-'01_Вводные'!$B$237-'19_Расчет_аналитики'!AZ2812)</f>
        <v/>
      </c>
      <c r="BA2811">
        <f>MAX(0,'19_Расчет_аналитики'!BA2787-'01_Вводные'!$B$237-'19_Расчет_аналитики'!BA2812)</f>
        <v/>
      </c>
      <c r="BB2811">
        <f>MAX(0,'19_Расчет_аналитики'!BB2787-'01_Вводные'!$B$237-'19_Расчет_аналитики'!BB2812)</f>
        <v/>
      </c>
      <c r="BC2811">
        <f>MAX(0,'19_Расчет_аналитики'!BC2787-'01_Вводные'!$B$237-'19_Расчет_аналитики'!BC2812)</f>
        <v/>
      </c>
      <c r="BD2811">
        <f>MAX(0,'19_Расчет_аналитики'!BD2787-'01_Вводные'!$B$237-'19_Расчет_аналитики'!BD2812)</f>
        <v/>
      </c>
      <c r="BE2811">
        <f>MAX(0,'19_Расчет_аналитики'!BE2787-'01_Вводные'!$B$237-'19_Расчет_аналитики'!BE2812)</f>
        <v/>
      </c>
      <c r="BF2811">
        <f>MAX(0,'19_Расчет_аналитики'!BF2787-'01_Вводные'!$B$237-'19_Расчет_аналитики'!BF2812)</f>
        <v/>
      </c>
      <c r="BG2811">
        <f>MAX(0,'19_Расчет_аналитики'!BG2787-'01_Вводные'!$B$237-'19_Расчет_аналитики'!BG2812)</f>
        <v/>
      </c>
      <c r="BH2811">
        <f>MAX(0,'19_Расчет_аналитики'!BH2787-'01_Вводные'!$B$237-'19_Расчет_аналитики'!BH2812)</f>
        <v/>
      </c>
      <c r="BI2811">
        <f>MAX(0,'19_Расчет_аналитики'!BI2787-'01_Вводные'!$B$237-'19_Расчет_аналитики'!BI2812)</f>
        <v/>
      </c>
    </row>
    <row r="2812">
      <c r="B2812">
        <f>MAX(0,'19_Расчет_аналитики'!C2812-'19_Расчет_аналитики'!C2786)</f>
        <v/>
      </c>
      <c r="C2812">
        <f>MAX(0,'19_Расчет_аналитики'!D2812-'19_Расчет_аналитики'!D2786)</f>
        <v/>
      </c>
      <c r="D2812">
        <f>MAX(0,'19_Расчет_аналитики'!E2812-'19_Расчет_аналитики'!E2786)</f>
        <v/>
      </c>
      <c r="E2812">
        <f>MAX(0,'19_Расчет_аналитики'!F2812-'19_Расчет_аналитики'!F2786)</f>
        <v/>
      </c>
      <c r="F2812">
        <f>MAX(0,'19_Расчет_аналитики'!G2812-'19_Расчет_аналитики'!G2786)</f>
        <v/>
      </c>
      <c r="G2812">
        <f>MAX(0,'19_Расчет_аналитики'!H2812-'19_Расчет_аналитики'!H2786)</f>
        <v/>
      </c>
      <c r="H2812">
        <f>MAX(0,'19_Расчет_аналитики'!I2812-'19_Расчет_аналитики'!I2786)</f>
        <v/>
      </c>
      <c r="I2812">
        <f>MAX(0,'19_Расчет_аналитики'!J2812-'19_Расчет_аналитики'!J2786)</f>
        <v/>
      </c>
      <c r="J2812">
        <f>MAX(0,'19_Расчет_аналитики'!K2812-'19_Расчет_аналитики'!K2786)</f>
        <v/>
      </c>
      <c r="K2812">
        <f>MAX(0,'19_Расчет_аналитики'!L2812-'19_Расчет_аналитики'!L2786)</f>
        <v/>
      </c>
      <c r="L2812">
        <f>MAX(0,'19_Расчет_аналитики'!M2812-'19_Расчет_аналитики'!M2786)</f>
        <v/>
      </c>
      <c r="M2812">
        <f>MAX(0,'19_Расчет_аналитики'!N2812-'19_Расчет_аналитики'!N2786)</f>
        <v/>
      </c>
      <c r="N2812">
        <f>MAX(0,'19_Расчет_аналитики'!O2812-'19_Расчет_аналитики'!O2786)</f>
        <v/>
      </c>
      <c r="O2812">
        <f>MAX(0,'19_Расчет_аналитики'!P2812-'19_Расчет_аналитики'!P2786)</f>
        <v/>
      </c>
      <c r="P2812">
        <f>MAX(0,'19_Расчет_аналитики'!Q2812-'19_Расчет_аналитики'!Q2786)</f>
        <v/>
      </c>
      <c r="Q2812">
        <f>MAX(0,'19_Расчет_аналитики'!R2812-'19_Расчет_аналитики'!R2786)</f>
        <v/>
      </c>
      <c r="R2812">
        <f>MAX(0,'19_Расчет_аналитики'!S2812-'19_Расчет_аналитики'!S2786)</f>
        <v/>
      </c>
      <c r="S2812">
        <f>MAX(0,'19_Расчет_аналитики'!T2812-'19_Расчет_аналитики'!T2786)</f>
        <v/>
      </c>
      <c r="T2812">
        <f>MAX(0,'19_Расчет_аналитики'!U2812-'19_Расчет_аналитики'!U2786)</f>
        <v/>
      </c>
      <c r="U2812">
        <f>MAX(0,'19_Расчет_аналитики'!V2812-'19_Расчет_аналитики'!V2786)</f>
        <v/>
      </c>
      <c r="V2812">
        <f>MAX(0,'19_Расчет_аналитики'!W2812-'19_Расчет_аналитики'!W2786)</f>
        <v/>
      </c>
      <c r="W2812">
        <f>MAX(0,'19_Расчет_аналитики'!X2812-'19_Расчет_аналитики'!X2786)</f>
        <v/>
      </c>
      <c r="X2812">
        <f>MAX(0,'19_Расчет_аналитики'!Y2812-'19_Расчет_аналитики'!Y2786)</f>
        <v/>
      </c>
      <c r="Y2812">
        <f>MAX(0,'19_Расчет_аналитики'!Z2812-'19_Расчет_аналитики'!Z2786)</f>
        <v/>
      </c>
      <c r="Z2812">
        <f>MAX(0,'19_Расчет_аналитики'!AA2812-'19_Расчет_аналитики'!AA2786)</f>
        <v/>
      </c>
      <c r="AA2812">
        <f>MAX(0,'19_Расчет_аналитики'!AB2812-'19_Расчет_аналитики'!AB2786)</f>
        <v/>
      </c>
      <c r="AB2812">
        <f>MAX(0,'19_Расчет_аналитики'!AC2812-'19_Расчет_аналитики'!AC2786)</f>
        <v/>
      </c>
      <c r="AC2812">
        <f>MAX(0,'19_Расчет_аналитики'!AD2812-'19_Расчет_аналитики'!AD2786)</f>
        <v/>
      </c>
      <c r="AD2812">
        <f>MAX(0,'19_Расчет_аналитики'!AE2812-'19_Расчет_аналитики'!AE2786)</f>
        <v/>
      </c>
      <c r="AE2812">
        <f>MAX(0,'19_Расчет_аналитики'!AF2812-'19_Расчет_аналитики'!AF2786)</f>
        <v/>
      </c>
      <c r="AF2812">
        <f>MAX(0,'19_Расчет_аналитики'!AG2812-'19_Расчет_аналитики'!AG2786)</f>
        <v/>
      </c>
      <c r="AG2812">
        <f>MAX(0,'19_Расчет_аналитики'!AH2812-'19_Расчет_аналитики'!AH2786)</f>
        <v/>
      </c>
      <c r="AH2812">
        <f>MAX(0,'19_Расчет_аналитики'!AI2812-'19_Расчет_аналитики'!AI2786)</f>
        <v/>
      </c>
      <c r="AI2812">
        <f>MAX(0,'19_Расчет_аналитики'!AJ2812-'19_Расчет_аналитики'!AJ2786)</f>
        <v/>
      </c>
      <c r="AJ2812">
        <f>MAX(0,'19_Расчет_аналитики'!AK2812-'19_Расчет_аналитики'!AK2786)</f>
        <v/>
      </c>
      <c r="AK2812">
        <f>MAX(0,'19_Расчет_аналитики'!AL2812-'19_Расчет_аналитики'!AL2786)</f>
        <v/>
      </c>
      <c r="AL2812">
        <f>MAX(0,'19_Расчет_аналитики'!AM2812-'19_Расчет_аналитики'!AM2786)</f>
        <v/>
      </c>
      <c r="AM2812">
        <f>MAX(0,'19_Расчет_аналитики'!AN2812-'19_Расчет_аналитики'!AN2786)</f>
        <v/>
      </c>
      <c r="AN2812">
        <f>MAX(0,'19_Расчет_аналитики'!AO2812-'19_Расчет_аналитики'!AO2786)</f>
        <v/>
      </c>
      <c r="AO2812">
        <f>MAX(0,'19_Расчет_аналитики'!AP2812-'19_Расчет_аналитики'!AP2786)</f>
        <v/>
      </c>
      <c r="AP2812">
        <f>MAX(0,'19_Расчет_аналитики'!AQ2812-'19_Расчет_аналитики'!AQ2786)</f>
        <v/>
      </c>
      <c r="AQ2812">
        <f>MAX(0,'19_Расчет_аналитики'!AR2812-'19_Расчет_аналитики'!AR2786)</f>
        <v/>
      </c>
      <c r="AR2812">
        <f>MAX(0,'19_Расчет_аналитики'!AS2812-'19_Расчет_аналитики'!AS2786)</f>
        <v/>
      </c>
      <c r="AS2812">
        <f>MAX(0,'19_Расчет_аналитики'!AT2812-'19_Расчет_аналитики'!AT2786)</f>
        <v/>
      </c>
      <c r="AT2812">
        <f>MAX(0,'19_Расчет_аналитики'!AU2812-'19_Расчет_аналитики'!AU2786)</f>
        <v/>
      </c>
      <c r="AU2812">
        <f>MAX(0,'19_Расчет_аналитики'!AV2812-'19_Расчет_аналитики'!AV2786)</f>
        <v/>
      </c>
      <c r="AV2812">
        <f>MAX(0,'19_Расчет_аналитики'!AW2812-'19_Расчет_аналитики'!AW2786)</f>
        <v/>
      </c>
      <c r="AW2812">
        <f>MAX(0,'19_Расчет_аналитики'!AX2812-'19_Расчет_аналитики'!AX2786)</f>
        <v/>
      </c>
      <c r="AX2812">
        <f>MAX(0,'19_Расчет_аналитики'!AY2812-'19_Расчет_аналитики'!AY2786)</f>
        <v/>
      </c>
      <c r="AY2812">
        <f>MAX(0,'19_Расчет_аналитики'!AZ2812-'19_Расчет_аналитики'!AZ2786)</f>
        <v/>
      </c>
      <c r="AZ2812">
        <f>MAX(0,'19_Расчет_аналитики'!BA2812-'19_Расчет_аналитики'!BA2786)</f>
        <v/>
      </c>
      <c r="BA2812">
        <f>MAX(0,'19_Расчет_аналитики'!BB2812-'19_Расчет_аналитики'!BB2786)</f>
        <v/>
      </c>
      <c r="BB2812">
        <f>MAX(0,'19_Расчет_аналитики'!BC2812-'19_Расчет_аналитики'!BC2786)</f>
        <v/>
      </c>
      <c r="BC2812">
        <f>MAX(0,'19_Расчет_аналитики'!BD2812-'19_Расчет_аналитики'!BD2786)</f>
        <v/>
      </c>
      <c r="BD2812">
        <f>MAX(0,'19_Расчет_аналитики'!BE2812-'19_Расчет_аналитики'!BE2786)</f>
        <v/>
      </c>
      <c r="BE2812">
        <f>MAX(0,'19_Расчет_аналитики'!BF2812-'19_Расчет_аналитики'!BF2786)</f>
        <v/>
      </c>
      <c r="BF2812">
        <f>MAX(0,'19_Расчет_аналитики'!BG2812-'19_Расчет_аналитики'!BG2786)</f>
        <v/>
      </c>
      <c r="BG2812">
        <f>MAX(0,'19_Расчет_аналитики'!BH2812-'19_Расчет_аналитики'!BH2786)</f>
        <v/>
      </c>
      <c r="BH2812">
        <f>MAX(0,'19_Расчет_аналитики'!BI2812-'19_Расчет_аналитики'!BI2786)</f>
        <v/>
      </c>
      <c r="BI2812" t="n">
        <v>0</v>
      </c>
    </row>
    <row r="2813"/>
    <row r="2814">
      <c r="B2814">
        <f>IF('01_Вводные'!$B$288="С НДС",SUM('19_Расчет_аналитики'!B2736:B2739)*(1+'01_Вводные'!$B$58)+'09_Лагеря'!B10,'19_Расчет_аналитики'!B2741)</f>
        <v/>
      </c>
      <c r="C2814">
        <f>IF('01_Вводные'!$B$288="С НДС",SUM('19_Расчет_аналитики'!C2736:C2739)*(1+'01_Вводные'!$B$58)+'09_Лагеря'!C10,'19_Расчет_аналитики'!C2741)</f>
        <v/>
      </c>
      <c r="D2814">
        <f>IF('01_Вводные'!$B$288="С НДС",SUM('19_Расчет_аналитики'!D2736:D2739)*(1+'01_Вводные'!$B$58)+'09_Лагеря'!D10,'19_Расчет_аналитики'!D2741)</f>
        <v/>
      </c>
      <c r="E2814">
        <f>IF('01_Вводные'!$B$288="С НДС",SUM('19_Расчет_аналитики'!E2736:E2739)*(1+'01_Вводные'!$B$58)+'09_Лагеря'!E10,'19_Расчет_аналитики'!E2741)</f>
        <v/>
      </c>
      <c r="F2814">
        <f>IF('01_Вводные'!$B$288="С НДС",SUM('19_Расчет_аналитики'!F2736:F2739)*(1+'01_Вводные'!$B$58)+'09_Лагеря'!F10,'19_Расчет_аналитики'!F2741)</f>
        <v/>
      </c>
      <c r="G2814">
        <f>IF('01_Вводные'!$B$288="С НДС",SUM('19_Расчет_аналитики'!G2736:G2739)*(1+'01_Вводные'!$B$58)+'09_Лагеря'!G10,'19_Расчет_аналитики'!G2741)</f>
        <v/>
      </c>
      <c r="H2814">
        <f>IF('01_Вводные'!$B$288="С НДС",SUM('19_Расчет_аналитики'!H2736:H2739)*(1+'01_Вводные'!$B$58)+'09_Лагеря'!H10,'19_Расчет_аналитики'!H2741)</f>
        <v/>
      </c>
      <c r="I2814">
        <f>IF('01_Вводные'!$B$288="С НДС",SUM('19_Расчет_аналитики'!I2736:I2739)*(1+'01_Вводные'!$B$58)+'09_Лагеря'!I10,'19_Расчет_аналитики'!I2741)</f>
        <v/>
      </c>
      <c r="J2814">
        <f>IF('01_Вводные'!$B$288="С НДС",SUM('19_Расчет_аналитики'!J2736:J2739)*(1+'01_Вводные'!$B$58)+'09_Лагеря'!J10,'19_Расчет_аналитики'!J2741)</f>
        <v/>
      </c>
      <c r="K2814">
        <f>IF('01_Вводные'!$B$288="С НДС",SUM('19_Расчет_аналитики'!K2736:K2739)*(1+'01_Вводные'!$B$58)+'09_Лагеря'!K10,'19_Расчет_аналитики'!K2741)</f>
        <v/>
      </c>
      <c r="L2814">
        <f>IF('01_Вводные'!$B$288="С НДС",SUM('19_Расчет_аналитики'!L2736:L2739)*(1+'01_Вводные'!$B$58)+'09_Лагеря'!L10,'19_Расчет_аналитики'!L2741)</f>
        <v/>
      </c>
      <c r="M2814">
        <f>IF('01_Вводные'!$B$288="С НДС",SUM('19_Расчет_аналитики'!M2736:M2739)*(1+'01_Вводные'!$B$58)+'09_Лагеря'!M10,'19_Расчет_аналитики'!M2741)</f>
        <v/>
      </c>
      <c r="N2814">
        <f>IF('01_Вводные'!$B$288="С НДС",SUM('19_Расчет_аналитики'!N2736:N2739)*(1+'01_Вводные'!$B$58)+'09_Лагеря'!N10,'19_Расчет_аналитики'!N2741)</f>
        <v/>
      </c>
      <c r="O2814">
        <f>IF('01_Вводные'!$B$288="С НДС",SUM('19_Расчет_аналитики'!O2736:O2739)*(1+'01_Вводные'!$B$58)+'09_Лагеря'!O10,'19_Расчет_аналитики'!O2741)</f>
        <v/>
      </c>
      <c r="P2814">
        <f>IF('01_Вводные'!$B$288="С НДС",SUM('19_Расчет_аналитики'!P2736:P2739)*(1+'01_Вводные'!$B$58)+'09_Лагеря'!P10,'19_Расчет_аналитики'!P2741)</f>
        <v/>
      </c>
      <c r="Q2814">
        <f>IF('01_Вводные'!$B$288="С НДС",SUM('19_Расчет_аналитики'!Q2736:Q2739)*(1+'01_Вводные'!$B$58)+'09_Лагеря'!Q10,'19_Расчет_аналитики'!Q2741)</f>
        <v/>
      </c>
      <c r="R2814">
        <f>IF('01_Вводные'!$B$288="С НДС",SUM('19_Расчет_аналитики'!R2736:R2739)*(1+'01_Вводные'!$B$58)+'09_Лагеря'!R10,'19_Расчет_аналитики'!R2741)</f>
        <v/>
      </c>
      <c r="S2814">
        <f>IF('01_Вводные'!$B$288="С НДС",SUM('19_Расчет_аналитики'!S2736:S2739)*(1+'01_Вводные'!$B$58)+'09_Лагеря'!S10,'19_Расчет_аналитики'!S2741)</f>
        <v/>
      </c>
      <c r="T2814">
        <f>IF('01_Вводные'!$B$288="С НДС",SUM('19_Расчет_аналитики'!T2736:T2739)*(1+'01_Вводные'!$B$58)+'09_Лагеря'!T10,'19_Расчет_аналитики'!T2741)</f>
        <v/>
      </c>
      <c r="U2814">
        <f>IF('01_Вводные'!$B$288="С НДС",SUM('19_Расчет_аналитики'!U2736:U2739)*(1+'01_Вводные'!$B$58)+'09_Лагеря'!U10,'19_Расчет_аналитики'!U2741)</f>
        <v/>
      </c>
      <c r="V2814">
        <f>IF('01_Вводные'!$B$288="С НДС",SUM('19_Расчет_аналитики'!V2736:V2739)*(1+'01_Вводные'!$B$58)+'09_Лагеря'!V10,'19_Расчет_аналитики'!V2741)</f>
        <v/>
      </c>
      <c r="W2814">
        <f>IF('01_Вводные'!$B$288="С НДС",SUM('19_Расчет_аналитики'!W2736:W2739)*(1+'01_Вводные'!$B$58)+'09_Лагеря'!W10,'19_Расчет_аналитики'!W2741)</f>
        <v/>
      </c>
      <c r="X2814">
        <f>IF('01_Вводные'!$B$288="С НДС",SUM('19_Расчет_аналитики'!X2736:X2739)*(1+'01_Вводные'!$B$58)+'09_Лагеря'!X10,'19_Расчет_аналитики'!X2741)</f>
        <v/>
      </c>
      <c r="Y2814">
        <f>IF('01_Вводные'!$B$288="С НДС",SUM('19_Расчет_аналитики'!Y2736:Y2739)*(1+'01_Вводные'!$B$58)+'09_Лагеря'!Y10,'19_Расчет_аналитики'!Y2741)</f>
        <v/>
      </c>
      <c r="Z2814">
        <f>IF('01_Вводные'!$B$288="С НДС",SUM('19_Расчет_аналитики'!Z2736:Z2739)*(1+'01_Вводные'!$B$58)+'09_Лагеря'!Z10,'19_Расчет_аналитики'!Z2741)</f>
        <v/>
      </c>
      <c r="AA2814">
        <f>IF('01_Вводные'!$B$288="С НДС",SUM('19_Расчет_аналитики'!AA2736:AA2739)*(1+'01_Вводные'!$B$58)+'09_Лагеря'!AA10,'19_Расчет_аналитики'!AA2741)</f>
        <v/>
      </c>
      <c r="AB2814">
        <f>IF('01_Вводные'!$B$288="С НДС",SUM('19_Расчет_аналитики'!AB2736:AB2739)*(1+'01_Вводные'!$B$58)+'09_Лагеря'!AB10,'19_Расчет_аналитики'!AB2741)</f>
        <v/>
      </c>
      <c r="AC2814">
        <f>IF('01_Вводные'!$B$288="С НДС",SUM('19_Расчет_аналитики'!AC2736:AC2739)*(1+'01_Вводные'!$B$58)+'09_Лагеря'!AC10,'19_Расчет_аналитики'!AC2741)</f>
        <v/>
      </c>
      <c r="AD2814">
        <f>IF('01_Вводные'!$B$288="С НДС",SUM('19_Расчет_аналитики'!AD2736:AD2739)*(1+'01_Вводные'!$B$58)+'09_Лагеря'!AD10,'19_Расчет_аналитики'!AD2741)</f>
        <v/>
      </c>
      <c r="AE2814">
        <f>IF('01_Вводные'!$B$288="С НДС",SUM('19_Расчет_аналитики'!AE2736:AE2739)*(1+'01_Вводные'!$B$58)+'09_Лагеря'!AE10,'19_Расчет_аналитики'!AE2741)</f>
        <v/>
      </c>
      <c r="AF2814">
        <f>IF('01_Вводные'!$B$288="С НДС",SUM('19_Расчет_аналитики'!AF2736:AF2739)*(1+'01_Вводные'!$B$58)+'09_Лагеря'!AF10,'19_Расчет_аналитики'!AF2741)</f>
        <v/>
      </c>
      <c r="AG2814">
        <f>IF('01_Вводные'!$B$288="С НДС",SUM('19_Расчет_аналитики'!AG2736:AG2739)*(1+'01_Вводные'!$B$58)+'09_Лагеря'!AG10,'19_Расчет_аналитики'!AG2741)</f>
        <v/>
      </c>
      <c r="AH2814">
        <f>IF('01_Вводные'!$B$288="С НДС",SUM('19_Расчет_аналитики'!AH2736:AH2739)*(1+'01_Вводные'!$B$58)+'09_Лагеря'!AH10,'19_Расчет_аналитики'!AH2741)</f>
        <v/>
      </c>
      <c r="AI2814">
        <f>IF('01_Вводные'!$B$288="С НДС",SUM('19_Расчет_аналитики'!AI2736:AI2739)*(1+'01_Вводные'!$B$58)+'09_Лагеря'!AI10,'19_Расчет_аналитики'!AI2741)</f>
        <v/>
      </c>
      <c r="AJ2814">
        <f>IF('01_Вводные'!$B$288="С НДС",SUM('19_Расчет_аналитики'!AJ2736:AJ2739)*(1+'01_Вводные'!$B$58)+'09_Лагеря'!AJ10,'19_Расчет_аналитики'!AJ2741)</f>
        <v/>
      </c>
      <c r="AK2814">
        <f>IF('01_Вводные'!$B$288="С НДС",SUM('19_Расчет_аналитики'!AK2736:AK2739)*(1+'01_Вводные'!$B$58)+'09_Лагеря'!AK10,'19_Расчет_аналитики'!AK2741)</f>
        <v/>
      </c>
      <c r="AL2814">
        <f>IF('01_Вводные'!$B$288="С НДС",SUM('19_Расчет_аналитики'!AL2736:AL2739)*(1+'01_Вводные'!$B$58)+'09_Лагеря'!AL10,'19_Расчет_аналитики'!AL2741)</f>
        <v/>
      </c>
      <c r="AM2814">
        <f>IF('01_Вводные'!$B$288="С НДС",SUM('19_Расчет_аналитики'!AM2736:AM2739)*(1+'01_Вводные'!$B$58)+'09_Лагеря'!AM10,'19_Расчет_аналитики'!AM2741)</f>
        <v/>
      </c>
      <c r="AN2814">
        <f>IF('01_Вводные'!$B$288="С НДС",SUM('19_Расчет_аналитики'!AN2736:AN2739)*(1+'01_Вводные'!$B$58)+'09_Лагеря'!AN10,'19_Расчет_аналитики'!AN2741)</f>
        <v/>
      </c>
      <c r="AO2814">
        <f>IF('01_Вводные'!$B$288="С НДС",SUM('19_Расчет_аналитики'!AO2736:AO2739)*(1+'01_Вводные'!$B$58)+'09_Лагеря'!AO10,'19_Расчет_аналитики'!AO2741)</f>
        <v/>
      </c>
      <c r="AP2814">
        <f>IF('01_Вводные'!$B$288="С НДС",SUM('19_Расчет_аналитики'!AP2736:AP2739)*(1+'01_Вводные'!$B$58)+'09_Лагеря'!AP10,'19_Расчет_аналитики'!AP2741)</f>
        <v/>
      </c>
      <c r="AQ2814">
        <f>IF('01_Вводные'!$B$288="С НДС",SUM('19_Расчет_аналитики'!AQ2736:AQ2739)*(1+'01_Вводные'!$B$58)+'09_Лагеря'!AQ10,'19_Расчет_аналитики'!AQ2741)</f>
        <v/>
      </c>
      <c r="AR2814">
        <f>IF('01_Вводные'!$B$288="С НДС",SUM('19_Расчет_аналитики'!AR2736:AR2739)*(1+'01_Вводные'!$B$58)+'09_Лагеря'!AR10,'19_Расчет_аналитики'!AR2741)</f>
        <v/>
      </c>
      <c r="AS2814">
        <f>IF('01_Вводные'!$B$288="С НДС",SUM('19_Расчет_аналитики'!AS2736:AS2739)*(1+'01_Вводные'!$B$58)+'09_Лагеря'!AS10,'19_Расчет_аналитики'!AS2741)</f>
        <v/>
      </c>
      <c r="AT2814">
        <f>IF('01_Вводные'!$B$288="С НДС",SUM('19_Расчет_аналитики'!AT2736:AT2739)*(1+'01_Вводные'!$B$58)+'09_Лагеря'!AT10,'19_Расчет_аналитики'!AT2741)</f>
        <v/>
      </c>
      <c r="AU2814">
        <f>IF('01_Вводные'!$B$288="С НДС",SUM('19_Расчет_аналитики'!AU2736:AU2739)*(1+'01_Вводные'!$B$58)+'09_Лагеря'!AU10,'19_Расчет_аналитики'!AU2741)</f>
        <v/>
      </c>
      <c r="AV2814">
        <f>IF('01_Вводные'!$B$288="С НДС",SUM('19_Расчет_аналитики'!AV2736:AV2739)*(1+'01_Вводные'!$B$58)+'09_Лагеря'!AV10,'19_Расчет_аналитики'!AV2741)</f>
        <v/>
      </c>
      <c r="AW2814">
        <f>IF('01_Вводные'!$B$288="С НДС",SUM('19_Расчет_аналитики'!AW2736:AW2739)*(1+'01_Вводные'!$B$58)+'09_Лагеря'!AW10,'19_Расчет_аналитики'!AW2741)</f>
        <v/>
      </c>
      <c r="AX2814">
        <f>IF('01_Вводные'!$B$288="С НДС",SUM('19_Расчет_аналитики'!AX2736:AX2739)*(1+'01_Вводные'!$B$58)+'09_Лагеря'!AX10,'19_Расчет_аналитики'!AX2741)</f>
        <v/>
      </c>
      <c r="AY2814">
        <f>IF('01_Вводные'!$B$288="С НДС",SUM('19_Расчет_аналитики'!AY2736:AY2739)*(1+'01_Вводные'!$B$58)+'09_Лагеря'!AY10,'19_Расчет_аналитики'!AY2741)</f>
        <v/>
      </c>
      <c r="AZ2814">
        <f>IF('01_Вводные'!$B$288="С НДС",SUM('19_Расчет_аналитики'!AZ2736:AZ2739)*(1+'01_Вводные'!$B$58)+'09_Лагеря'!AZ10,'19_Расчет_аналитики'!AZ2741)</f>
        <v/>
      </c>
      <c r="BA2814">
        <f>IF('01_Вводные'!$B$288="С НДС",SUM('19_Расчет_аналитики'!BA2736:BA2739)*(1+'01_Вводные'!$B$58)+'09_Лагеря'!BA10,'19_Расчет_аналитики'!BA2741)</f>
        <v/>
      </c>
      <c r="BB2814">
        <f>IF('01_Вводные'!$B$288="С НДС",SUM('19_Расчет_аналитики'!BB2736:BB2739)*(1+'01_Вводные'!$B$58)+'09_Лагеря'!BB10,'19_Расчет_аналитики'!BB2741)</f>
        <v/>
      </c>
      <c r="BC2814">
        <f>IF('01_Вводные'!$B$288="С НДС",SUM('19_Расчет_аналитики'!BC2736:BC2739)*(1+'01_Вводные'!$B$58)+'09_Лагеря'!BC10,'19_Расчет_аналитики'!BC2741)</f>
        <v/>
      </c>
      <c r="BD2814">
        <f>IF('01_Вводные'!$B$288="С НДС",SUM('19_Расчет_аналитики'!BD2736:BD2739)*(1+'01_Вводные'!$B$58)+'09_Лагеря'!BD10,'19_Расчет_аналитики'!BD2741)</f>
        <v/>
      </c>
      <c r="BE2814">
        <f>IF('01_Вводные'!$B$288="С НДС",SUM('19_Расчет_аналитики'!BE2736:BE2739)*(1+'01_Вводные'!$B$58)+'09_Лагеря'!BE10,'19_Расчет_аналитики'!BE2741)</f>
        <v/>
      </c>
      <c r="BF2814">
        <f>IF('01_Вводные'!$B$288="С НДС",SUM('19_Расчет_аналитики'!BF2736:BF2739)*(1+'01_Вводные'!$B$58)+'09_Лагеря'!BF10,'19_Расчет_аналитики'!BF2741)</f>
        <v/>
      </c>
      <c r="BG2814">
        <f>IF('01_Вводные'!$B$288="С НДС",SUM('19_Расчет_аналитики'!BG2736:BG2739)*(1+'01_Вводные'!$B$58)+'09_Лагеря'!BG10,'19_Расчет_аналитики'!BG2741)</f>
        <v/>
      </c>
      <c r="BH2814">
        <f>IF('01_Вводные'!$B$288="С НДС",SUM('19_Расчет_аналитики'!BH2736:BH2739)*(1+'01_Вводные'!$B$58)+'09_Лагеря'!BH10,'19_Расчет_аналитики'!BH2741)</f>
        <v/>
      </c>
      <c r="BI2814">
        <f>IF('01_Вводные'!$B$288="С НДС",SUM('19_Расчет_аналитики'!BI2736:BI2739)*(1+'01_Вводные'!$B$58)+'09_Лагеря'!BI10,'19_Расчет_аналитики'!BI2741)</f>
        <v/>
      </c>
    </row>
    <row r="2815">
      <c r="B2815">
        <f>IF('01_Вводные'!$B$290="Да",'19_Расчет_аналитики'!B2814*'01_Вводные'!$B$286,0)</f>
        <v/>
      </c>
      <c r="C2815">
        <f>IF('01_Вводные'!$B$290="Да",'19_Расчет_аналитики'!C2814*'01_Вводные'!$B$286,0)</f>
        <v/>
      </c>
      <c r="D2815">
        <f>IF('01_Вводные'!$B$290="Да",'19_Расчет_аналитики'!D2814*'01_Вводные'!$B$286,0)</f>
        <v/>
      </c>
      <c r="E2815">
        <f>IF('01_Вводные'!$B$290="Да",'19_Расчет_аналитики'!E2814*'01_Вводные'!$B$286,0)</f>
        <v/>
      </c>
      <c r="F2815">
        <f>IF('01_Вводные'!$B$290="Да",'19_Расчет_аналитики'!F2814*'01_Вводные'!$B$286,0)</f>
        <v/>
      </c>
      <c r="G2815">
        <f>IF('01_Вводные'!$B$290="Да",'19_Расчет_аналитики'!G2814*'01_Вводные'!$B$286,0)</f>
        <v/>
      </c>
      <c r="H2815">
        <f>IF('01_Вводные'!$B$290="Да",'19_Расчет_аналитики'!H2814*'01_Вводные'!$B$286,0)</f>
        <v/>
      </c>
      <c r="I2815">
        <f>IF('01_Вводные'!$B$290="Да",'19_Расчет_аналитики'!I2814*'01_Вводные'!$B$286,0)</f>
        <v/>
      </c>
      <c r="J2815">
        <f>IF('01_Вводные'!$B$290="Да",'19_Расчет_аналитики'!J2814*'01_Вводные'!$B$286,0)</f>
        <v/>
      </c>
      <c r="K2815">
        <f>IF('01_Вводные'!$B$290="Да",'19_Расчет_аналитики'!K2814*'01_Вводные'!$B$286,0)</f>
        <v/>
      </c>
      <c r="L2815">
        <f>IF('01_Вводные'!$B$290="Да",'19_Расчет_аналитики'!L2814*'01_Вводные'!$B$286,0)</f>
        <v/>
      </c>
      <c r="M2815">
        <f>IF('01_Вводные'!$B$290="Да",'19_Расчет_аналитики'!M2814*'01_Вводные'!$B$286,0)</f>
        <v/>
      </c>
      <c r="N2815">
        <f>IF('01_Вводные'!$B$290="Да",'19_Расчет_аналитики'!N2814*'01_Вводные'!$B$286,0)</f>
        <v/>
      </c>
      <c r="O2815">
        <f>IF('01_Вводные'!$B$290="Да",'19_Расчет_аналитики'!O2814*'01_Вводные'!$B$286,0)</f>
        <v/>
      </c>
      <c r="P2815">
        <f>IF('01_Вводные'!$B$290="Да",'19_Расчет_аналитики'!P2814*'01_Вводные'!$B$286,0)</f>
        <v/>
      </c>
      <c r="Q2815">
        <f>IF('01_Вводные'!$B$290="Да",'19_Расчет_аналитики'!Q2814*'01_Вводные'!$B$286,0)</f>
        <v/>
      </c>
      <c r="R2815">
        <f>IF('01_Вводные'!$B$290="Да",'19_Расчет_аналитики'!R2814*'01_Вводные'!$B$286,0)</f>
        <v/>
      </c>
      <c r="S2815">
        <f>IF('01_Вводные'!$B$290="Да",'19_Расчет_аналитики'!S2814*'01_Вводные'!$B$286,0)</f>
        <v/>
      </c>
      <c r="T2815">
        <f>IF('01_Вводные'!$B$290="Да",'19_Расчет_аналитики'!T2814*'01_Вводные'!$B$286,0)</f>
        <v/>
      </c>
      <c r="U2815">
        <f>IF('01_Вводные'!$B$290="Да",'19_Расчет_аналитики'!U2814*'01_Вводные'!$B$286,0)</f>
        <v/>
      </c>
      <c r="V2815">
        <f>IF('01_Вводные'!$B$290="Да",'19_Расчет_аналитики'!V2814*'01_Вводные'!$B$286,0)</f>
        <v/>
      </c>
      <c r="W2815">
        <f>IF('01_Вводные'!$B$290="Да",'19_Расчет_аналитики'!W2814*'01_Вводные'!$B$286,0)</f>
        <v/>
      </c>
      <c r="X2815">
        <f>IF('01_Вводные'!$B$290="Да",'19_Расчет_аналитики'!X2814*'01_Вводные'!$B$286,0)</f>
        <v/>
      </c>
      <c r="Y2815">
        <f>IF('01_Вводные'!$B$290="Да",'19_Расчет_аналитики'!Y2814*'01_Вводные'!$B$286,0)</f>
        <v/>
      </c>
      <c r="Z2815">
        <f>IF('01_Вводные'!$B$290="Да",'19_Расчет_аналитики'!Z2814*'01_Вводные'!$B$286,0)</f>
        <v/>
      </c>
      <c r="AA2815">
        <f>IF('01_Вводные'!$B$290="Да",'19_Расчет_аналитики'!AA2814*'01_Вводные'!$B$286,0)</f>
        <v/>
      </c>
      <c r="AB2815">
        <f>IF('01_Вводные'!$B$290="Да",'19_Расчет_аналитики'!AB2814*'01_Вводные'!$B$286,0)</f>
        <v/>
      </c>
      <c r="AC2815">
        <f>IF('01_Вводные'!$B$290="Да",'19_Расчет_аналитики'!AC2814*'01_Вводные'!$B$286,0)</f>
        <v/>
      </c>
      <c r="AD2815">
        <f>IF('01_Вводные'!$B$290="Да",'19_Расчет_аналитики'!AD2814*'01_Вводные'!$B$286,0)</f>
        <v/>
      </c>
      <c r="AE2815">
        <f>IF('01_Вводные'!$B$290="Да",'19_Расчет_аналитики'!AE2814*'01_Вводные'!$B$286,0)</f>
        <v/>
      </c>
      <c r="AF2815">
        <f>IF('01_Вводные'!$B$290="Да",'19_Расчет_аналитики'!AF2814*'01_Вводные'!$B$286,0)</f>
        <v/>
      </c>
      <c r="AG2815">
        <f>IF('01_Вводные'!$B$290="Да",'19_Расчет_аналитики'!AG2814*'01_Вводные'!$B$286,0)</f>
        <v/>
      </c>
      <c r="AH2815">
        <f>IF('01_Вводные'!$B$290="Да",'19_Расчет_аналитики'!AH2814*'01_Вводные'!$B$286,0)</f>
        <v/>
      </c>
      <c r="AI2815">
        <f>IF('01_Вводные'!$B$290="Да",'19_Расчет_аналитики'!AI2814*'01_Вводные'!$B$286,0)</f>
        <v/>
      </c>
      <c r="AJ2815">
        <f>IF('01_Вводные'!$B$290="Да",'19_Расчет_аналитики'!AJ2814*'01_Вводные'!$B$286,0)</f>
        <v/>
      </c>
      <c r="AK2815">
        <f>IF('01_Вводные'!$B$290="Да",'19_Расчет_аналитики'!AK2814*'01_Вводные'!$B$286,0)</f>
        <v/>
      </c>
      <c r="AL2815">
        <f>IF('01_Вводные'!$B$290="Да",'19_Расчет_аналитики'!AL2814*'01_Вводные'!$B$286,0)</f>
        <v/>
      </c>
      <c r="AM2815">
        <f>IF('01_Вводные'!$B$290="Да",'19_Расчет_аналитики'!AM2814*'01_Вводные'!$B$286,0)</f>
        <v/>
      </c>
      <c r="AN2815">
        <f>IF('01_Вводные'!$B$290="Да",'19_Расчет_аналитики'!AN2814*'01_Вводные'!$B$286,0)</f>
        <v/>
      </c>
      <c r="AO2815">
        <f>IF('01_Вводные'!$B$290="Да",'19_Расчет_аналитики'!AO2814*'01_Вводные'!$B$286,0)</f>
        <v/>
      </c>
      <c r="AP2815">
        <f>IF('01_Вводные'!$B$290="Да",'19_Расчет_аналитики'!AP2814*'01_Вводные'!$B$286,0)</f>
        <v/>
      </c>
      <c r="AQ2815">
        <f>IF('01_Вводные'!$B$290="Да",'19_Расчет_аналитики'!AQ2814*'01_Вводные'!$B$286,0)</f>
        <v/>
      </c>
      <c r="AR2815">
        <f>IF('01_Вводные'!$B$290="Да",'19_Расчет_аналитики'!AR2814*'01_Вводные'!$B$286,0)</f>
        <v/>
      </c>
      <c r="AS2815">
        <f>IF('01_Вводные'!$B$290="Да",'19_Расчет_аналитики'!AS2814*'01_Вводные'!$B$286,0)</f>
        <v/>
      </c>
      <c r="AT2815">
        <f>IF('01_Вводные'!$B$290="Да",'19_Расчет_аналитики'!AT2814*'01_Вводные'!$B$286,0)</f>
        <v/>
      </c>
      <c r="AU2815">
        <f>IF('01_Вводные'!$B$290="Да",'19_Расчет_аналитики'!AU2814*'01_Вводные'!$B$286,0)</f>
        <v/>
      </c>
      <c r="AV2815">
        <f>IF('01_Вводные'!$B$290="Да",'19_Расчет_аналитики'!AV2814*'01_Вводные'!$B$286,0)</f>
        <v/>
      </c>
      <c r="AW2815">
        <f>IF('01_Вводные'!$B$290="Да",'19_Расчет_аналитики'!AW2814*'01_Вводные'!$B$286,0)</f>
        <v/>
      </c>
      <c r="AX2815">
        <f>IF('01_Вводные'!$B$290="Да",'19_Расчет_аналитики'!AX2814*'01_Вводные'!$B$286,0)</f>
        <v/>
      </c>
      <c r="AY2815">
        <f>IF('01_Вводные'!$B$290="Да",'19_Расчет_аналитики'!AY2814*'01_Вводные'!$B$286,0)</f>
        <v/>
      </c>
      <c r="AZ2815">
        <f>IF('01_Вводные'!$B$290="Да",'19_Расчет_аналитики'!AZ2814*'01_Вводные'!$B$286,0)</f>
        <v/>
      </c>
      <c r="BA2815">
        <f>IF('01_Вводные'!$B$290="Да",'19_Расчет_аналитики'!BA2814*'01_Вводные'!$B$286,0)</f>
        <v/>
      </c>
      <c r="BB2815">
        <f>IF('01_Вводные'!$B$290="Да",'19_Расчет_аналитики'!BB2814*'01_Вводные'!$B$286,0)</f>
        <v/>
      </c>
      <c r="BC2815">
        <f>IF('01_Вводные'!$B$290="Да",'19_Расчет_аналитики'!BC2814*'01_Вводные'!$B$286,0)</f>
        <v/>
      </c>
      <c r="BD2815">
        <f>IF('01_Вводные'!$B$290="Да",'19_Расчет_аналитики'!BD2814*'01_Вводные'!$B$286,0)</f>
        <v/>
      </c>
      <c r="BE2815">
        <f>IF('01_Вводные'!$B$290="Да",'19_Расчет_аналитики'!BE2814*'01_Вводные'!$B$286,0)</f>
        <v/>
      </c>
      <c r="BF2815">
        <f>IF('01_Вводные'!$B$290="Да",'19_Расчет_аналитики'!BF2814*'01_Вводные'!$B$286,0)</f>
        <v/>
      </c>
      <c r="BG2815">
        <f>IF('01_Вводные'!$B$290="Да",'19_Расчет_аналитики'!BG2814*'01_Вводные'!$B$286,0)</f>
        <v/>
      </c>
      <c r="BH2815">
        <f>IF('01_Вводные'!$B$290="Да",'19_Расчет_аналитики'!BH2814*'01_Вводные'!$B$286,0)</f>
        <v/>
      </c>
      <c r="BI2815">
        <f>IF('01_Вводные'!$B$290="Да",'19_Расчет_аналитики'!BI2814*'01_Вводные'!$B$286,0)</f>
        <v/>
      </c>
    </row>
    <row r="2816">
      <c r="B2816">
        <f>'02_Модель'!B98</f>
        <v/>
      </c>
      <c r="C2816">
        <f>'02_Модель'!C98</f>
        <v/>
      </c>
      <c r="D2816">
        <f>'02_Модель'!D98</f>
        <v/>
      </c>
      <c r="E2816">
        <f>'02_Модель'!E98</f>
        <v/>
      </c>
      <c r="F2816">
        <f>'02_Модель'!F98</f>
        <v/>
      </c>
      <c r="G2816">
        <f>'02_Модель'!G98</f>
        <v/>
      </c>
      <c r="H2816">
        <f>'02_Модель'!H98</f>
        <v/>
      </c>
      <c r="I2816">
        <f>'02_Модель'!I98</f>
        <v/>
      </c>
      <c r="J2816">
        <f>'02_Модель'!J98</f>
        <v/>
      </c>
      <c r="K2816">
        <f>'02_Модель'!K98</f>
        <v/>
      </c>
      <c r="L2816">
        <f>'02_Модель'!L98</f>
        <v/>
      </c>
      <c r="M2816">
        <f>'02_Модель'!M98</f>
        <v/>
      </c>
      <c r="N2816">
        <f>'02_Модель'!N98</f>
        <v/>
      </c>
      <c r="O2816">
        <f>'02_Модель'!O98</f>
        <v/>
      </c>
      <c r="P2816">
        <f>'02_Модель'!P98</f>
        <v/>
      </c>
      <c r="Q2816">
        <f>'02_Модель'!Q98</f>
        <v/>
      </c>
      <c r="R2816">
        <f>'02_Модель'!R98</f>
        <v/>
      </c>
      <c r="S2816">
        <f>'02_Модель'!S98</f>
        <v/>
      </c>
      <c r="T2816">
        <f>'02_Модель'!T98</f>
        <v/>
      </c>
      <c r="U2816">
        <f>'02_Модель'!U98</f>
        <v/>
      </c>
      <c r="V2816">
        <f>'02_Модель'!V98</f>
        <v/>
      </c>
      <c r="W2816">
        <f>'02_Модель'!W98</f>
        <v/>
      </c>
      <c r="X2816">
        <f>'02_Модель'!X98</f>
        <v/>
      </c>
      <c r="Y2816">
        <f>'02_Модель'!Y98</f>
        <v/>
      </c>
      <c r="Z2816">
        <f>'02_Модель'!Z98</f>
        <v/>
      </c>
      <c r="AA2816">
        <f>'02_Модель'!AA98</f>
        <v/>
      </c>
      <c r="AB2816">
        <f>'02_Модель'!AB98</f>
        <v/>
      </c>
      <c r="AC2816">
        <f>'02_Модель'!AC98</f>
        <v/>
      </c>
      <c r="AD2816">
        <f>'02_Модель'!AD98</f>
        <v/>
      </c>
      <c r="AE2816">
        <f>'02_Модель'!AE98</f>
        <v/>
      </c>
      <c r="AF2816">
        <f>'02_Модель'!AF98</f>
        <v/>
      </c>
      <c r="AG2816">
        <f>'02_Модель'!AG98</f>
        <v/>
      </c>
      <c r="AH2816">
        <f>'02_Модель'!AH98</f>
        <v/>
      </c>
      <c r="AI2816">
        <f>'02_Модель'!AI98</f>
        <v/>
      </c>
      <c r="AJ2816">
        <f>'02_Модель'!AJ98</f>
        <v/>
      </c>
      <c r="AK2816">
        <f>'02_Модель'!AK98</f>
        <v/>
      </c>
      <c r="AL2816">
        <f>'02_Модель'!AL98</f>
        <v/>
      </c>
      <c r="AM2816">
        <f>'02_Модель'!AM98</f>
        <v/>
      </c>
      <c r="AN2816">
        <f>'02_Модель'!AN98</f>
        <v/>
      </c>
      <c r="AO2816">
        <f>'02_Модель'!AO98</f>
        <v/>
      </c>
      <c r="AP2816">
        <f>'02_Модель'!AP98</f>
        <v/>
      </c>
      <c r="AQ2816">
        <f>'02_Модель'!AQ98</f>
        <v/>
      </c>
      <c r="AR2816">
        <f>'02_Модель'!AR98</f>
        <v/>
      </c>
      <c r="AS2816">
        <f>'02_Модель'!AS98</f>
        <v/>
      </c>
      <c r="AT2816">
        <f>'02_Модель'!AT98</f>
        <v/>
      </c>
      <c r="AU2816">
        <f>'02_Модель'!AU98</f>
        <v/>
      </c>
      <c r="AV2816">
        <f>'02_Модель'!AV98</f>
        <v/>
      </c>
      <c r="AW2816">
        <f>'02_Модель'!AW98</f>
        <v/>
      </c>
      <c r="AX2816">
        <f>'02_Модель'!AX98</f>
        <v/>
      </c>
      <c r="AY2816">
        <f>'02_Модель'!AY98</f>
        <v/>
      </c>
      <c r="AZ2816">
        <f>'02_Модель'!AZ98</f>
        <v/>
      </c>
      <c r="BA2816">
        <f>'02_Модель'!BA98</f>
        <v/>
      </c>
      <c r="BB2816">
        <f>'02_Модель'!BB98</f>
        <v/>
      </c>
      <c r="BC2816">
        <f>'02_Модель'!BC98</f>
        <v/>
      </c>
      <c r="BD2816">
        <f>'02_Модель'!BD98</f>
        <v/>
      </c>
      <c r="BE2816">
        <f>'02_Модель'!BE98</f>
        <v/>
      </c>
      <c r="BF2816">
        <f>'02_Модель'!BF98</f>
        <v/>
      </c>
      <c r="BG2816">
        <f>'02_Модель'!BG98</f>
        <v/>
      </c>
      <c r="BH2816">
        <f>'02_Модель'!BH98</f>
        <v/>
      </c>
      <c r="BI2816">
        <f>'02_Модель'!BI98</f>
        <v/>
      </c>
    </row>
    <row r="2817">
      <c r="B2817">
        <f>SUM('19_Расчет_аналитики'!B2815:B2816)</f>
        <v/>
      </c>
      <c r="C2817">
        <f>SUM('19_Расчет_аналитики'!C2815:C2816)</f>
        <v/>
      </c>
      <c r="D2817">
        <f>SUM('19_Расчет_аналитики'!D2815:D2816)</f>
        <v/>
      </c>
      <c r="E2817">
        <f>SUM('19_Расчет_аналитики'!E2815:E2816)</f>
        <v/>
      </c>
      <c r="F2817">
        <f>SUM('19_Расчет_аналитики'!F2815:F2816)</f>
        <v/>
      </c>
      <c r="G2817">
        <f>SUM('19_Расчет_аналитики'!G2815:G2816)</f>
        <v/>
      </c>
      <c r="H2817">
        <f>SUM('19_Расчет_аналитики'!H2815:H2816)</f>
        <v/>
      </c>
      <c r="I2817">
        <f>SUM('19_Расчет_аналитики'!I2815:I2816)</f>
        <v/>
      </c>
      <c r="J2817">
        <f>SUM('19_Расчет_аналитики'!J2815:J2816)</f>
        <v/>
      </c>
      <c r="K2817">
        <f>SUM('19_Расчет_аналитики'!K2815:K2816)</f>
        <v/>
      </c>
      <c r="L2817">
        <f>SUM('19_Расчет_аналитики'!L2815:L2816)</f>
        <v/>
      </c>
      <c r="M2817">
        <f>SUM('19_Расчет_аналитики'!M2815:M2816)</f>
        <v/>
      </c>
      <c r="N2817">
        <f>SUM('19_Расчет_аналитики'!N2815:N2816)</f>
        <v/>
      </c>
      <c r="O2817">
        <f>SUM('19_Расчет_аналитики'!O2815:O2816)</f>
        <v/>
      </c>
      <c r="P2817">
        <f>SUM('19_Расчет_аналитики'!P2815:P2816)</f>
        <v/>
      </c>
      <c r="Q2817">
        <f>SUM('19_Расчет_аналитики'!Q2815:Q2816)</f>
        <v/>
      </c>
      <c r="R2817">
        <f>SUM('19_Расчет_аналитики'!R2815:R2816)</f>
        <v/>
      </c>
      <c r="S2817">
        <f>SUM('19_Расчет_аналитики'!S2815:S2816)</f>
        <v/>
      </c>
      <c r="T2817">
        <f>SUM('19_Расчет_аналитики'!T2815:T2816)</f>
        <v/>
      </c>
      <c r="U2817">
        <f>SUM('19_Расчет_аналитики'!U2815:U2816)</f>
        <v/>
      </c>
      <c r="V2817">
        <f>SUM('19_Расчет_аналитики'!V2815:V2816)</f>
        <v/>
      </c>
      <c r="W2817">
        <f>SUM('19_Расчет_аналитики'!W2815:W2816)</f>
        <v/>
      </c>
      <c r="X2817">
        <f>SUM('19_Расчет_аналитики'!X2815:X2816)</f>
        <v/>
      </c>
      <c r="Y2817">
        <f>SUM('19_Расчет_аналитики'!Y2815:Y2816)</f>
        <v/>
      </c>
      <c r="Z2817">
        <f>SUM('19_Расчет_аналитики'!Z2815:Z2816)</f>
        <v/>
      </c>
      <c r="AA2817">
        <f>SUM('19_Расчет_аналитики'!AA2815:AA2816)</f>
        <v/>
      </c>
      <c r="AB2817">
        <f>SUM('19_Расчет_аналитики'!AB2815:AB2816)</f>
        <v/>
      </c>
      <c r="AC2817">
        <f>SUM('19_Расчет_аналитики'!AC2815:AC2816)</f>
        <v/>
      </c>
      <c r="AD2817">
        <f>SUM('19_Расчет_аналитики'!AD2815:AD2816)</f>
        <v/>
      </c>
      <c r="AE2817">
        <f>SUM('19_Расчет_аналитики'!AE2815:AE2816)</f>
        <v/>
      </c>
      <c r="AF2817">
        <f>SUM('19_Расчет_аналитики'!AF2815:AF2816)</f>
        <v/>
      </c>
      <c r="AG2817">
        <f>SUM('19_Расчет_аналитики'!AG2815:AG2816)</f>
        <v/>
      </c>
      <c r="AH2817">
        <f>SUM('19_Расчет_аналитики'!AH2815:AH2816)</f>
        <v/>
      </c>
      <c r="AI2817">
        <f>SUM('19_Расчет_аналитики'!AI2815:AI2816)</f>
        <v/>
      </c>
      <c r="AJ2817">
        <f>SUM('19_Расчет_аналитики'!AJ2815:AJ2816)</f>
        <v/>
      </c>
      <c r="AK2817">
        <f>SUM('19_Расчет_аналитики'!AK2815:AK2816)</f>
        <v/>
      </c>
      <c r="AL2817">
        <f>SUM('19_Расчет_аналитики'!AL2815:AL2816)</f>
        <v/>
      </c>
      <c r="AM2817">
        <f>SUM('19_Расчет_аналитики'!AM2815:AM2816)</f>
        <v/>
      </c>
      <c r="AN2817">
        <f>SUM('19_Расчет_аналитики'!AN2815:AN2816)</f>
        <v/>
      </c>
      <c r="AO2817">
        <f>SUM('19_Расчет_аналитики'!AO2815:AO2816)</f>
        <v/>
      </c>
      <c r="AP2817">
        <f>SUM('19_Расчет_аналитики'!AP2815:AP2816)</f>
        <v/>
      </c>
      <c r="AQ2817">
        <f>SUM('19_Расчет_аналитики'!AQ2815:AQ2816)</f>
        <v/>
      </c>
      <c r="AR2817">
        <f>SUM('19_Расчет_аналитики'!AR2815:AR2816)</f>
        <v/>
      </c>
      <c r="AS2817">
        <f>SUM('19_Расчет_аналитики'!AS2815:AS2816)</f>
        <v/>
      </c>
      <c r="AT2817">
        <f>SUM('19_Расчет_аналитики'!AT2815:AT2816)</f>
        <v/>
      </c>
      <c r="AU2817">
        <f>SUM('19_Расчет_аналитики'!AU2815:AU2816)</f>
        <v/>
      </c>
      <c r="AV2817">
        <f>SUM('19_Расчет_аналитики'!AV2815:AV2816)</f>
        <v/>
      </c>
      <c r="AW2817">
        <f>SUM('19_Расчет_аналитики'!AW2815:AW2816)</f>
        <v/>
      </c>
      <c r="AX2817">
        <f>SUM('19_Расчет_аналитики'!AX2815:AX2816)</f>
        <v/>
      </c>
      <c r="AY2817">
        <f>SUM('19_Расчет_аналитики'!AY2815:AY2816)</f>
        <v/>
      </c>
      <c r="AZ2817">
        <f>SUM('19_Расчет_аналитики'!AZ2815:AZ2816)</f>
        <v/>
      </c>
      <c r="BA2817">
        <f>SUM('19_Расчет_аналитики'!BA2815:BA2816)</f>
        <v/>
      </c>
      <c r="BB2817">
        <f>SUM('19_Расчет_аналитики'!BB2815:BB2816)</f>
        <v/>
      </c>
      <c r="BC2817">
        <f>SUM('19_Расчет_аналитики'!BC2815:BC2816)</f>
        <v/>
      </c>
      <c r="BD2817">
        <f>SUM('19_Расчет_аналитики'!BD2815:BD2816)</f>
        <v/>
      </c>
      <c r="BE2817">
        <f>SUM('19_Расчет_аналитики'!BE2815:BE2816)</f>
        <v/>
      </c>
      <c r="BF2817">
        <f>SUM('19_Расчет_аналитики'!BF2815:BF2816)</f>
        <v/>
      </c>
      <c r="BG2817">
        <f>SUM('19_Расчет_аналитики'!BG2815:BG2816)</f>
        <v/>
      </c>
      <c r="BH2817">
        <f>SUM('19_Расчет_аналитики'!BH2815:BH2816)</f>
        <v/>
      </c>
      <c r="BI2817">
        <f>SUM('19_Расчет_аналитики'!BI2815:BI2816)</f>
        <v/>
      </c>
    </row>
    <row r="2818">
      <c r="B2818">
        <f>SUM('19_Расчет_аналитики'!$B2817:B2817)</f>
        <v/>
      </c>
      <c r="C2818">
        <f>SUM('19_Расчет_аналитики'!$B2817:C2817)</f>
        <v/>
      </c>
      <c r="D2818">
        <f>SUM('19_Расчет_аналитики'!$B2817:D2817)</f>
        <v/>
      </c>
      <c r="E2818">
        <f>SUM('19_Расчет_аналитики'!$B2817:E2817)</f>
        <v/>
      </c>
      <c r="F2818">
        <f>SUM('19_Расчет_аналитики'!$B2817:F2817)</f>
        <v/>
      </c>
      <c r="G2818">
        <f>SUM('19_Расчет_аналитики'!$B2817:G2817)</f>
        <v/>
      </c>
      <c r="H2818">
        <f>SUM('19_Расчет_аналитики'!$B2817:H2817)</f>
        <v/>
      </c>
      <c r="I2818">
        <f>SUM('19_Расчет_аналитики'!$B2817:I2817)</f>
        <v/>
      </c>
      <c r="J2818">
        <f>SUM('19_Расчет_аналитики'!$B2817:J2817)</f>
        <v/>
      </c>
      <c r="K2818">
        <f>SUM('19_Расчет_аналитики'!$B2817:K2817)</f>
        <v/>
      </c>
      <c r="L2818">
        <f>SUM('19_Расчет_аналитики'!$B2817:L2817)</f>
        <v/>
      </c>
      <c r="M2818">
        <f>SUM('19_Расчет_аналитики'!$B2817:M2817)</f>
        <v/>
      </c>
      <c r="N2818">
        <f>SUM('19_Расчет_аналитики'!$B2817:N2817)</f>
        <v/>
      </c>
      <c r="O2818">
        <f>SUM('19_Расчет_аналитики'!$B2817:O2817)</f>
        <v/>
      </c>
      <c r="P2818">
        <f>SUM('19_Расчет_аналитики'!$B2817:P2817)</f>
        <v/>
      </c>
      <c r="Q2818">
        <f>SUM('19_Расчет_аналитики'!$B2817:Q2817)</f>
        <v/>
      </c>
      <c r="R2818">
        <f>SUM('19_Расчет_аналитики'!$B2817:R2817)</f>
        <v/>
      </c>
      <c r="S2818">
        <f>SUM('19_Расчет_аналитики'!$B2817:S2817)</f>
        <v/>
      </c>
      <c r="T2818">
        <f>SUM('19_Расчет_аналитики'!$B2817:T2817)</f>
        <v/>
      </c>
      <c r="U2818">
        <f>SUM('19_Расчет_аналитики'!$B2817:U2817)</f>
        <v/>
      </c>
      <c r="V2818">
        <f>SUM('19_Расчет_аналитики'!$B2817:V2817)</f>
        <v/>
      </c>
      <c r="W2818">
        <f>SUM('19_Расчет_аналитики'!$B2817:W2817)</f>
        <v/>
      </c>
      <c r="X2818">
        <f>SUM('19_Расчет_аналитики'!$B2817:X2817)</f>
        <v/>
      </c>
      <c r="Y2818">
        <f>SUM('19_Расчет_аналитики'!$B2817:Y2817)</f>
        <v/>
      </c>
      <c r="Z2818">
        <f>SUM('19_Расчет_аналитики'!$B2817:Z2817)</f>
        <v/>
      </c>
      <c r="AA2818">
        <f>SUM('19_Расчет_аналитики'!$B2817:AA2817)</f>
        <v/>
      </c>
      <c r="AB2818">
        <f>SUM('19_Расчет_аналитики'!$B2817:AB2817)</f>
        <v/>
      </c>
      <c r="AC2818">
        <f>SUM('19_Расчет_аналитики'!$B2817:AC2817)</f>
        <v/>
      </c>
      <c r="AD2818">
        <f>SUM('19_Расчет_аналитики'!$B2817:AD2817)</f>
        <v/>
      </c>
      <c r="AE2818">
        <f>SUM('19_Расчет_аналитики'!$B2817:AE2817)</f>
        <v/>
      </c>
      <c r="AF2818">
        <f>SUM('19_Расчет_аналитики'!$B2817:AF2817)</f>
        <v/>
      </c>
      <c r="AG2818">
        <f>SUM('19_Расчет_аналитики'!$B2817:AG2817)</f>
        <v/>
      </c>
      <c r="AH2818">
        <f>SUM('19_Расчет_аналитики'!$B2817:AH2817)</f>
        <v/>
      </c>
      <c r="AI2818">
        <f>SUM('19_Расчет_аналитики'!$B2817:AI2817)</f>
        <v/>
      </c>
      <c r="AJ2818">
        <f>SUM('19_Расчет_аналитики'!$B2817:AJ2817)</f>
        <v/>
      </c>
      <c r="AK2818">
        <f>SUM('19_Расчет_аналитики'!$B2817:AK2817)</f>
        <v/>
      </c>
      <c r="AL2818">
        <f>SUM('19_Расчет_аналитики'!$B2817:AL2817)</f>
        <v/>
      </c>
      <c r="AM2818">
        <f>SUM('19_Расчет_аналитики'!$B2817:AM2817)</f>
        <v/>
      </c>
      <c r="AN2818">
        <f>SUM('19_Расчет_аналитики'!$B2817:AN2817)</f>
        <v/>
      </c>
      <c r="AO2818">
        <f>SUM('19_Расчет_аналитики'!$B2817:AO2817)</f>
        <v/>
      </c>
      <c r="AP2818">
        <f>SUM('19_Расчет_аналитики'!$B2817:AP2817)</f>
        <v/>
      </c>
      <c r="AQ2818">
        <f>SUM('19_Расчет_аналитики'!$B2817:AQ2817)</f>
        <v/>
      </c>
      <c r="AR2818">
        <f>SUM('19_Расчет_аналитики'!$B2817:AR2817)</f>
        <v/>
      </c>
      <c r="AS2818">
        <f>SUM('19_Расчет_аналитики'!$B2817:AS2817)</f>
        <v/>
      </c>
      <c r="AT2818">
        <f>SUM('19_Расчет_аналитики'!$B2817:AT2817)</f>
        <v/>
      </c>
      <c r="AU2818">
        <f>SUM('19_Расчет_аналитики'!$B2817:AU2817)</f>
        <v/>
      </c>
      <c r="AV2818">
        <f>SUM('19_Расчет_аналитики'!$B2817:AV2817)</f>
        <v/>
      </c>
      <c r="AW2818">
        <f>SUM('19_Расчет_аналитики'!$B2817:AW2817)</f>
        <v/>
      </c>
      <c r="AX2818">
        <f>SUM('19_Расчет_аналитики'!$B2817:AX2817)</f>
        <v/>
      </c>
      <c r="AY2818">
        <f>SUM('19_Расчет_аналитики'!$B2817:AY2817)</f>
        <v/>
      </c>
      <c r="AZ2818">
        <f>SUM('19_Расчет_аналитики'!$B2817:AZ2817)</f>
        <v/>
      </c>
      <c r="BA2818">
        <f>SUM('19_Расчет_аналитики'!$B2817:BA2817)</f>
        <v/>
      </c>
      <c r="BB2818">
        <f>SUM('19_Расчет_аналитики'!$B2817:BB2817)</f>
        <v/>
      </c>
      <c r="BC2818">
        <f>SUM('19_Расчет_аналитики'!$B2817:BC2817)</f>
        <v/>
      </c>
      <c r="BD2818">
        <f>SUM('19_Расчет_аналитики'!$B2817:BD2817)</f>
        <v/>
      </c>
      <c r="BE2818">
        <f>SUM('19_Расчет_аналитики'!$B2817:BE2817)</f>
        <v/>
      </c>
      <c r="BF2818">
        <f>SUM('19_Расчет_аналитики'!$B2817:BF2817)</f>
        <v/>
      </c>
      <c r="BG2818">
        <f>SUM('19_Расчет_аналитики'!$B2817:BG2817)</f>
        <v/>
      </c>
      <c r="BH2818">
        <f>SUM('19_Расчет_аналитики'!$B2817:BH2817)</f>
        <v/>
      </c>
      <c r="BI2818">
        <f>SUM('19_Расчет_аналитики'!$B2817:BI2817)</f>
        <v/>
      </c>
    </row>
    <row r="2819"/>
    <row r="2820"/>
    <row r="2821"/>
    <row r="2822"/>
    <row r="2823"/>
    <row r="2824"/>
    <row r="2825"/>
    <row r="2826"/>
    <row r="2827"/>
    <row r="2828"/>
    <row r="2829">
      <c r="B2829">
        <f>INDEX('19_Расчет_аналитики'!$C$2099:$C$2103,MIN(5,INT(0/12)+1),1)*'18_Календарь_тарифы'!B4</f>
        <v/>
      </c>
      <c r="C2829">
        <f>INDEX('19_Расчет_аналитики'!$C$2099:$C$2103,MIN(5,INT(1/12)+1),1)*'18_Календарь_тарифы'!C4</f>
        <v/>
      </c>
      <c r="D2829">
        <f>INDEX('19_Расчет_аналитики'!$C$2099:$C$2103,MIN(5,INT(2/12)+1),1)*'18_Календарь_тарифы'!D4</f>
        <v/>
      </c>
      <c r="E2829">
        <f>INDEX('19_Расчет_аналитики'!$C$2099:$C$2103,MIN(5,INT(3/12)+1),1)*'18_Календарь_тарифы'!E4</f>
        <v/>
      </c>
      <c r="F2829">
        <f>INDEX('19_Расчет_аналитики'!$C$2099:$C$2103,MIN(5,INT(4/12)+1),1)*'18_Календарь_тарифы'!F4</f>
        <v/>
      </c>
      <c r="G2829">
        <f>INDEX('19_Расчет_аналитики'!$C$2099:$C$2103,MIN(5,INT(5/12)+1),1)*'18_Календарь_тарифы'!G4</f>
        <v/>
      </c>
      <c r="H2829">
        <f>INDEX('19_Расчет_аналитики'!$C$2099:$C$2103,MIN(5,INT(6/12)+1),1)*'18_Календарь_тарифы'!H4</f>
        <v/>
      </c>
      <c r="I2829">
        <f>INDEX('19_Расчет_аналитики'!$C$2099:$C$2103,MIN(5,INT(7/12)+1),1)*'18_Календарь_тарифы'!I4</f>
        <v/>
      </c>
      <c r="J2829">
        <f>INDEX('19_Расчет_аналитики'!$C$2099:$C$2103,MIN(5,INT(8/12)+1),1)*'18_Календарь_тарифы'!J4</f>
        <v/>
      </c>
      <c r="K2829">
        <f>INDEX('19_Расчет_аналитики'!$C$2099:$C$2103,MIN(5,INT(9/12)+1),1)*'18_Календарь_тарифы'!K4</f>
        <v/>
      </c>
      <c r="L2829">
        <f>INDEX('19_Расчет_аналитики'!$C$2099:$C$2103,MIN(5,INT(10/12)+1),1)*'18_Календарь_тарифы'!L4</f>
        <v/>
      </c>
      <c r="M2829">
        <f>INDEX('19_Расчет_аналитики'!$C$2099:$C$2103,MIN(5,INT(11/12)+1),1)*'18_Календарь_тарифы'!M4</f>
        <v/>
      </c>
      <c r="N2829">
        <f>INDEX('19_Расчет_аналитики'!$C$2099:$C$2103,MIN(5,INT(12/12)+1),1)*'18_Календарь_тарифы'!N4</f>
        <v/>
      </c>
      <c r="O2829">
        <f>INDEX('19_Расчет_аналитики'!$C$2099:$C$2103,MIN(5,INT(13/12)+1),1)*'18_Календарь_тарифы'!O4</f>
        <v/>
      </c>
      <c r="P2829">
        <f>INDEX('19_Расчет_аналитики'!$C$2099:$C$2103,MIN(5,INT(14/12)+1),1)*'18_Календарь_тарифы'!P4</f>
        <v/>
      </c>
      <c r="Q2829">
        <f>INDEX('19_Расчет_аналитики'!$C$2099:$C$2103,MIN(5,INT(15/12)+1),1)*'18_Календарь_тарифы'!Q4</f>
        <v/>
      </c>
      <c r="R2829">
        <f>INDEX('19_Расчет_аналитики'!$C$2099:$C$2103,MIN(5,INT(16/12)+1),1)*'18_Календарь_тарифы'!R4</f>
        <v/>
      </c>
      <c r="S2829">
        <f>INDEX('19_Расчет_аналитики'!$C$2099:$C$2103,MIN(5,INT(17/12)+1),1)*'18_Календарь_тарифы'!S4</f>
        <v/>
      </c>
      <c r="T2829">
        <f>INDEX('19_Расчет_аналитики'!$C$2099:$C$2103,MIN(5,INT(18/12)+1),1)*'18_Календарь_тарифы'!T4</f>
        <v/>
      </c>
      <c r="U2829">
        <f>INDEX('19_Расчет_аналитики'!$C$2099:$C$2103,MIN(5,INT(19/12)+1),1)*'18_Календарь_тарифы'!U4</f>
        <v/>
      </c>
      <c r="V2829">
        <f>INDEX('19_Расчет_аналитики'!$C$2099:$C$2103,MIN(5,INT(20/12)+1),1)*'18_Календарь_тарифы'!V4</f>
        <v/>
      </c>
      <c r="W2829">
        <f>INDEX('19_Расчет_аналитики'!$C$2099:$C$2103,MIN(5,INT(21/12)+1),1)*'18_Календарь_тарифы'!W4</f>
        <v/>
      </c>
      <c r="X2829">
        <f>INDEX('19_Расчет_аналитики'!$C$2099:$C$2103,MIN(5,INT(22/12)+1),1)*'18_Календарь_тарифы'!X4</f>
        <v/>
      </c>
      <c r="Y2829">
        <f>INDEX('19_Расчет_аналитики'!$C$2099:$C$2103,MIN(5,INT(23/12)+1),1)*'18_Календарь_тарифы'!Y4</f>
        <v/>
      </c>
      <c r="Z2829">
        <f>INDEX('19_Расчет_аналитики'!$C$2099:$C$2103,MIN(5,INT(24/12)+1),1)*'18_Календарь_тарифы'!Z4</f>
        <v/>
      </c>
      <c r="AA2829">
        <f>INDEX('19_Расчет_аналитики'!$C$2099:$C$2103,MIN(5,INT(25/12)+1),1)*'18_Календарь_тарифы'!AA4</f>
        <v/>
      </c>
      <c r="AB2829">
        <f>INDEX('19_Расчет_аналитики'!$C$2099:$C$2103,MIN(5,INT(26/12)+1),1)*'18_Календарь_тарифы'!AB4</f>
        <v/>
      </c>
      <c r="AC2829">
        <f>INDEX('19_Расчет_аналитики'!$C$2099:$C$2103,MIN(5,INT(27/12)+1),1)*'18_Календарь_тарифы'!AC4</f>
        <v/>
      </c>
      <c r="AD2829">
        <f>INDEX('19_Расчет_аналитики'!$C$2099:$C$2103,MIN(5,INT(28/12)+1),1)*'18_Календарь_тарифы'!AD4</f>
        <v/>
      </c>
      <c r="AE2829">
        <f>INDEX('19_Расчет_аналитики'!$C$2099:$C$2103,MIN(5,INT(29/12)+1),1)*'18_Календарь_тарифы'!AE4</f>
        <v/>
      </c>
      <c r="AF2829">
        <f>INDEX('19_Расчет_аналитики'!$C$2099:$C$2103,MIN(5,INT(30/12)+1),1)*'18_Календарь_тарифы'!AF4</f>
        <v/>
      </c>
      <c r="AG2829">
        <f>INDEX('19_Расчет_аналитики'!$C$2099:$C$2103,MIN(5,INT(31/12)+1),1)*'18_Календарь_тарифы'!AG4</f>
        <v/>
      </c>
      <c r="AH2829">
        <f>INDEX('19_Расчет_аналитики'!$C$2099:$C$2103,MIN(5,INT(32/12)+1),1)*'18_Календарь_тарифы'!AH4</f>
        <v/>
      </c>
      <c r="AI2829">
        <f>INDEX('19_Расчет_аналитики'!$C$2099:$C$2103,MIN(5,INT(33/12)+1),1)*'18_Календарь_тарифы'!AI4</f>
        <v/>
      </c>
      <c r="AJ2829">
        <f>INDEX('19_Расчет_аналитики'!$C$2099:$C$2103,MIN(5,INT(34/12)+1),1)*'18_Календарь_тарифы'!AJ4</f>
        <v/>
      </c>
      <c r="AK2829">
        <f>INDEX('19_Расчет_аналитики'!$C$2099:$C$2103,MIN(5,INT(35/12)+1),1)*'18_Календарь_тарифы'!AK4</f>
        <v/>
      </c>
      <c r="AL2829">
        <f>INDEX('19_Расчет_аналитики'!$C$2099:$C$2103,MIN(5,INT(36/12)+1),1)*'18_Календарь_тарифы'!AL4</f>
        <v/>
      </c>
      <c r="AM2829">
        <f>INDEX('19_Расчет_аналитики'!$C$2099:$C$2103,MIN(5,INT(37/12)+1),1)*'18_Календарь_тарифы'!AM4</f>
        <v/>
      </c>
      <c r="AN2829">
        <f>INDEX('19_Расчет_аналитики'!$C$2099:$C$2103,MIN(5,INT(38/12)+1),1)*'18_Календарь_тарифы'!AN4</f>
        <v/>
      </c>
      <c r="AO2829">
        <f>INDEX('19_Расчет_аналитики'!$C$2099:$C$2103,MIN(5,INT(39/12)+1),1)*'18_Календарь_тарифы'!AO4</f>
        <v/>
      </c>
      <c r="AP2829">
        <f>INDEX('19_Расчет_аналитики'!$C$2099:$C$2103,MIN(5,INT(40/12)+1),1)*'18_Календарь_тарифы'!AP4</f>
        <v/>
      </c>
      <c r="AQ2829">
        <f>INDEX('19_Расчет_аналитики'!$C$2099:$C$2103,MIN(5,INT(41/12)+1),1)*'18_Календарь_тарифы'!AQ4</f>
        <v/>
      </c>
      <c r="AR2829">
        <f>INDEX('19_Расчет_аналитики'!$C$2099:$C$2103,MIN(5,INT(42/12)+1),1)*'18_Календарь_тарифы'!AR4</f>
        <v/>
      </c>
      <c r="AS2829">
        <f>INDEX('19_Расчет_аналитики'!$C$2099:$C$2103,MIN(5,INT(43/12)+1),1)*'18_Календарь_тарифы'!AS4</f>
        <v/>
      </c>
      <c r="AT2829">
        <f>INDEX('19_Расчет_аналитики'!$C$2099:$C$2103,MIN(5,INT(44/12)+1),1)*'18_Календарь_тарифы'!AT4</f>
        <v/>
      </c>
      <c r="AU2829">
        <f>INDEX('19_Расчет_аналитики'!$C$2099:$C$2103,MIN(5,INT(45/12)+1),1)*'18_Календарь_тарифы'!AU4</f>
        <v/>
      </c>
      <c r="AV2829">
        <f>INDEX('19_Расчет_аналитики'!$C$2099:$C$2103,MIN(5,INT(46/12)+1),1)*'18_Календарь_тарифы'!AV4</f>
        <v/>
      </c>
      <c r="AW2829">
        <f>INDEX('19_Расчет_аналитики'!$C$2099:$C$2103,MIN(5,INT(47/12)+1),1)*'18_Календарь_тарифы'!AW4</f>
        <v/>
      </c>
      <c r="AX2829">
        <f>INDEX('19_Расчет_аналитики'!$C$2099:$C$2103,MIN(5,INT(48/12)+1),1)*'18_Календарь_тарифы'!AX4</f>
        <v/>
      </c>
      <c r="AY2829">
        <f>INDEX('19_Расчет_аналитики'!$C$2099:$C$2103,MIN(5,INT(49/12)+1),1)*'18_Календарь_тарифы'!AY4</f>
        <v/>
      </c>
      <c r="AZ2829">
        <f>INDEX('19_Расчет_аналитики'!$C$2099:$C$2103,MIN(5,INT(50/12)+1),1)*'18_Календарь_тарифы'!AZ4</f>
        <v/>
      </c>
      <c r="BA2829">
        <f>INDEX('19_Расчет_аналитики'!$C$2099:$C$2103,MIN(5,INT(51/12)+1),1)*'18_Календарь_тарифы'!BA4</f>
        <v/>
      </c>
      <c r="BB2829">
        <f>INDEX('19_Расчет_аналитики'!$C$2099:$C$2103,MIN(5,INT(52/12)+1),1)*'18_Календарь_тарифы'!BB4</f>
        <v/>
      </c>
      <c r="BC2829">
        <f>INDEX('19_Расчет_аналитики'!$C$2099:$C$2103,MIN(5,INT(53/12)+1),1)*'18_Календарь_тарифы'!BC4</f>
        <v/>
      </c>
      <c r="BD2829">
        <f>INDEX('19_Расчет_аналитики'!$C$2099:$C$2103,MIN(5,INT(54/12)+1),1)*'18_Календарь_тарифы'!BD4</f>
        <v/>
      </c>
      <c r="BE2829">
        <f>INDEX('19_Расчет_аналитики'!$C$2099:$C$2103,MIN(5,INT(55/12)+1),1)*'18_Календарь_тарифы'!BE4</f>
        <v/>
      </c>
      <c r="BF2829">
        <f>INDEX('19_Расчет_аналитики'!$C$2099:$C$2103,MIN(5,INT(56/12)+1),1)*'18_Календарь_тарифы'!BF4</f>
        <v/>
      </c>
      <c r="BG2829">
        <f>INDEX('19_Расчет_аналитики'!$C$2099:$C$2103,MIN(5,INT(57/12)+1),1)*'18_Календарь_тарифы'!BG4</f>
        <v/>
      </c>
      <c r="BH2829">
        <f>INDEX('19_Расчет_аналитики'!$C$2099:$C$2103,MIN(5,INT(58/12)+1),1)*'18_Календарь_тарифы'!BH4</f>
        <v/>
      </c>
      <c r="BI2829">
        <f>INDEX('19_Расчет_аналитики'!$C$2099:$C$2103,MIN(5,INT(59/12)+1),1)*'18_Календарь_тарифы'!BI4</f>
        <v/>
      </c>
      <c r="BJ2829">
        <f>INDEX('19_Расчет_аналитики'!$C$2099:$C$2103,MIN(5,INT(60/12)+1),1)*'18_Календарь_тарифы'!BJ4</f>
        <v/>
      </c>
      <c r="BK2829">
        <f>INDEX('19_Расчет_аналитики'!$C$2099:$C$2103,MIN(5,INT(61/12)+1),1)*'18_Календарь_тарифы'!BK4</f>
        <v/>
      </c>
      <c r="BL2829">
        <f>INDEX('19_Расчет_аналитики'!$C$2099:$C$2103,MIN(5,INT(62/12)+1),1)*'18_Календарь_тарифы'!BL4</f>
        <v/>
      </c>
      <c r="BM2829">
        <f>INDEX('19_Расчет_аналитики'!$C$2099:$C$2103,MIN(5,INT(63/12)+1),1)*'18_Календарь_тарифы'!BM4</f>
        <v/>
      </c>
      <c r="BN2829">
        <f>INDEX('19_Расчет_аналитики'!$C$2099:$C$2103,MIN(5,INT(64/12)+1),1)*'18_Календарь_тарифы'!BN4</f>
        <v/>
      </c>
      <c r="BO2829">
        <f>INDEX('19_Расчет_аналитики'!$C$2099:$C$2103,MIN(5,INT(65/12)+1),1)*'18_Календарь_тарифы'!BO4</f>
        <v/>
      </c>
    </row>
    <row r="2830">
      <c r="B2830">
        <f>'19_Расчет_аналитики'!$B$2087*'18_Календарь_тарифы'!B4</f>
        <v/>
      </c>
      <c r="C2830">
        <f>'19_Расчет_аналитики'!$B$2087*'18_Календарь_тарифы'!C4</f>
        <v/>
      </c>
      <c r="D2830">
        <f>'19_Расчет_аналитики'!$B$2087*'18_Календарь_тарифы'!D4</f>
        <v/>
      </c>
      <c r="E2830">
        <f>'19_Расчет_аналитики'!$B$2087*'18_Календарь_тарифы'!E4</f>
        <v/>
      </c>
      <c r="F2830">
        <f>'19_Расчет_аналитики'!$B$2087*'18_Календарь_тарифы'!F4</f>
        <v/>
      </c>
      <c r="G2830">
        <f>'19_Расчет_аналитики'!$B$2087*'18_Календарь_тарифы'!G4</f>
        <v/>
      </c>
      <c r="H2830">
        <f>'19_Расчет_аналитики'!$B$2087*'18_Календарь_тарифы'!H4</f>
        <v/>
      </c>
      <c r="I2830">
        <f>'19_Расчет_аналитики'!$B$2087*'18_Календарь_тарифы'!I4</f>
        <v/>
      </c>
      <c r="J2830">
        <f>'19_Расчет_аналитики'!$B$2087*'18_Календарь_тарифы'!J4</f>
        <v/>
      </c>
      <c r="K2830">
        <f>'19_Расчет_аналитики'!$B$2087*'18_Календарь_тарифы'!K4</f>
        <v/>
      </c>
      <c r="L2830">
        <f>'19_Расчет_аналитики'!$B$2087*'18_Календарь_тарифы'!L4</f>
        <v/>
      </c>
      <c r="M2830">
        <f>'19_Расчет_аналитики'!$B$2087*'18_Календарь_тарифы'!M4</f>
        <v/>
      </c>
      <c r="N2830">
        <f>'19_Расчет_аналитики'!$B$2087*'18_Календарь_тарифы'!N4</f>
        <v/>
      </c>
      <c r="O2830">
        <f>'19_Расчет_аналитики'!$B$2087*'18_Календарь_тарифы'!O4</f>
        <v/>
      </c>
      <c r="P2830">
        <f>'19_Расчет_аналитики'!$B$2087*'18_Календарь_тарифы'!P4</f>
        <v/>
      </c>
      <c r="Q2830">
        <f>'19_Расчет_аналитики'!$B$2087*'18_Календарь_тарифы'!Q4</f>
        <v/>
      </c>
      <c r="R2830">
        <f>'19_Расчет_аналитики'!$B$2087*'18_Календарь_тарифы'!R4</f>
        <v/>
      </c>
      <c r="S2830">
        <f>'19_Расчет_аналитики'!$B$2087*'18_Календарь_тарифы'!S4</f>
        <v/>
      </c>
      <c r="T2830">
        <f>'19_Расчет_аналитики'!$B$2087*'18_Календарь_тарифы'!T4</f>
        <v/>
      </c>
      <c r="U2830">
        <f>'19_Расчет_аналитики'!$B$2087*'18_Календарь_тарифы'!U4</f>
        <v/>
      </c>
      <c r="V2830">
        <f>'19_Расчет_аналитики'!$B$2087*'18_Календарь_тарифы'!V4</f>
        <v/>
      </c>
      <c r="W2830">
        <f>'19_Расчет_аналитики'!$B$2087*'18_Календарь_тарифы'!W4</f>
        <v/>
      </c>
      <c r="X2830">
        <f>'19_Расчет_аналитики'!$B$2087*'18_Календарь_тарифы'!X4</f>
        <v/>
      </c>
      <c r="Y2830">
        <f>'19_Расчет_аналитики'!$B$2087*'18_Календарь_тарифы'!Y4</f>
        <v/>
      </c>
      <c r="Z2830">
        <f>'19_Расчет_аналитики'!$B$2087*'18_Календарь_тарифы'!Z4</f>
        <v/>
      </c>
      <c r="AA2830">
        <f>'19_Расчет_аналитики'!$B$2087*'18_Календарь_тарифы'!AA4</f>
        <v/>
      </c>
      <c r="AB2830">
        <f>'19_Расчет_аналитики'!$B$2087*'18_Календарь_тарифы'!AB4</f>
        <v/>
      </c>
      <c r="AC2830">
        <f>'19_Расчет_аналитики'!$B$2087*'18_Календарь_тарифы'!AC4</f>
        <v/>
      </c>
      <c r="AD2830">
        <f>'19_Расчет_аналитики'!$B$2087*'18_Календарь_тарифы'!AD4</f>
        <v/>
      </c>
      <c r="AE2830">
        <f>'19_Расчет_аналитики'!$B$2087*'18_Календарь_тарифы'!AE4</f>
        <v/>
      </c>
      <c r="AF2830">
        <f>'19_Расчет_аналитики'!$B$2087*'18_Календарь_тарифы'!AF4</f>
        <v/>
      </c>
      <c r="AG2830">
        <f>'19_Расчет_аналитики'!$B$2087*'18_Календарь_тарифы'!AG4</f>
        <v/>
      </c>
      <c r="AH2830">
        <f>'19_Расчет_аналитики'!$B$2087*'18_Календарь_тарифы'!AH4</f>
        <v/>
      </c>
      <c r="AI2830">
        <f>'19_Расчет_аналитики'!$B$2087*'18_Календарь_тарифы'!AI4</f>
        <v/>
      </c>
      <c r="AJ2830">
        <f>'19_Расчет_аналитики'!$B$2087*'18_Календарь_тарифы'!AJ4</f>
        <v/>
      </c>
      <c r="AK2830">
        <f>'19_Расчет_аналитики'!$B$2087*'18_Календарь_тарифы'!AK4</f>
        <v/>
      </c>
      <c r="AL2830">
        <f>'19_Расчет_аналитики'!$B$2087*'18_Календарь_тарифы'!AL4</f>
        <v/>
      </c>
      <c r="AM2830">
        <f>'19_Расчет_аналитики'!$B$2087*'18_Календарь_тарифы'!AM4</f>
        <v/>
      </c>
      <c r="AN2830">
        <f>'19_Расчет_аналитики'!$B$2087*'18_Календарь_тарифы'!AN4</f>
        <v/>
      </c>
      <c r="AO2830">
        <f>'19_Расчет_аналитики'!$B$2087*'18_Календарь_тарифы'!AO4</f>
        <v/>
      </c>
      <c r="AP2830">
        <f>'19_Расчет_аналитики'!$B$2087*'18_Календарь_тарифы'!AP4</f>
        <v/>
      </c>
      <c r="AQ2830">
        <f>'19_Расчет_аналитики'!$B$2087*'18_Календарь_тарифы'!AQ4</f>
        <v/>
      </c>
      <c r="AR2830">
        <f>'19_Расчет_аналитики'!$B$2087*'18_Календарь_тарифы'!AR4</f>
        <v/>
      </c>
      <c r="AS2830">
        <f>'19_Расчет_аналитики'!$B$2087*'18_Календарь_тарифы'!AS4</f>
        <v/>
      </c>
      <c r="AT2830">
        <f>'19_Расчет_аналитики'!$B$2087*'18_Календарь_тарифы'!AT4</f>
        <v/>
      </c>
      <c r="AU2830">
        <f>'19_Расчет_аналитики'!$B$2087*'18_Календарь_тарифы'!AU4</f>
        <v/>
      </c>
      <c r="AV2830">
        <f>'19_Расчет_аналитики'!$B$2087*'18_Календарь_тарифы'!AV4</f>
        <v/>
      </c>
      <c r="AW2830">
        <f>'19_Расчет_аналитики'!$B$2087*'18_Календарь_тарифы'!AW4</f>
        <v/>
      </c>
      <c r="AX2830">
        <f>'19_Расчет_аналитики'!$B$2087*'18_Календарь_тарифы'!AX4</f>
        <v/>
      </c>
      <c r="AY2830">
        <f>'19_Расчет_аналитики'!$B$2087*'18_Календарь_тарифы'!AY4</f>
        <v/>
      </c>
      <c r="AZ2830">
        <f>'19_Расчет_аналитики'!$B$2087*'18_Календарь_тарифы'!AZ4</f>
        <v/>
      </c>
      <c r="BA2830">
        <f>'19_Расчет_аналитики'!$B$2087*'18_Календарь_тарифы'!BA4</f>
        <v/>
      </c>
      <c r="BB2830">
        <f>'19_Расчет_аналитики'!$B$2087*'18_Календарь_тарифы'!BB4</f>
        <v/>
      </c>
      <c r="BC2830">
        <f>'19_Расчет_аналитики'!$B$2087*'18_Календарь_тарифы'!BC4</f>
        <v/>
      </c>
      <c r="BD2830">
        <f>'19_Расчет_аналитики'!$B$2087*'18_Календарь_тарифы'!BD4</f>
        <v/>
      </c>
      <c r="BE2830">
        <f>'19_Расчет_аналитики'!$B$2087*'18_Календарь_тарифы'!BE4</f>
        <v/>
      </c>
      <c r="BF2830">
        <f>'19_Расчет_аналитики'!$B$2087*'18_Календарь_тарифы'!BF4</f>
        <v/>
      </c>
      <c r="BG2830">
        <f>'19_Расчет_аналитики'!$B$2087*'18_Календарь_тарифы'!BG4</f>
        <v/>
      </c>
      <c r="BH2830">
        <f>'19_Расчет_аналитики'!$B$2087*'18_Календарь_тарифы'!BH4</f>
        <v/>
      </c>
      <c r="BI2830">
        <f>'19_Расчет_аналитики'!$B$2087*'18_Календарь_тарифы'!BI4</f>
        <v/>
      </c>
      <c r="BJ2830">
        <f>'19_Расчет_аналитики'!$B$2087*'18_Календарь_тарифы'!BJ4</f>
        <v/>
      </c>
      <c r="BK2830">
        <f>'19_Расчет_аналитики'!$B$2087*'18_Календарь_тарифы'!BK4</f>
        <v/>
      </c>
      <c r="BL2830">
        <f>'19_Расчет_аналитики'!$B$2087*'18_Календарь_тарифы'!BL4</f>
        <v/>
      </c>
      <c r="BM2830">
        <f>'19_Расчет_аналитики'!$B$2087*'18_Календарь_тарифы'!BM4</f>
        <v/>
      </c>
      <c r="BN2830">
        <f>'19_Расчет_аналитики'!$B$2087*'18_Календарь_тарифы'!BN4</f>
        <v/>
      </c>
      <c r="BO2830">
        <f>'19_Расчет_аналитики'!$B$2087*'18_Календарь_тарифы'!BO4</f>
        <v/>
      </c>
    </row>
    <row r="2831"/>
    <row r="2832"/>
    <row r="2833">
      <c r="B2833">
        <f>'19_Расчет_аналитики'!$B$2062*'18_Календарь_тарифы'!B4</f>
        <v/>
      </c>
      <c r="C2833">
        <f>'19_Расчет_аналитики'!$B$2062*'18_Календарь_тарифы'!C4</f>
        <v/>
      </c>
      <c r="D2833">
        <f>'19_Расчет_аналитики'!$B$2062*'18_Календарь_тарифы'!D4</f>
        <v/>
      </c>
      <c r="E2833">
        <f>'19_Расчет_аналитики'!$B$2062*'18_Календарь_тарифы'!E4</f>
        <v/>
      </c>
      <c r="F2833">
        <f>'19_Расчет_аналитики'!$B$2062*'18_Календарь_тарифы'!F4</f>
        <v/>
      </c>
      <c r="G2833">
        <f>'19_Расчет_аналитики'!$B$2062*'18_Календарь_тарифы'!G4</f>
        <v/>
      </c>
      <c r="H2833">
        <f>'19_Расчет_аналитики'!$B$2062*'18_Календарь_тарифы'!H4</f>
        <v/>
      </c>
      <c r="I2833">
        <f>'19_Расчет_аналитики'!$B$2062*'18_Календарь_тарифы'!I4</f>
        <v/>
      </c>
      <c r="J2833">
        <f>'19_Расчет_аналитики'!$B$2062*'18_Календарь_тарифы'!J4</f>
        <v/>
      </c>
      <c r="K2833">
        <f>'19_Расчет_аналитики'!$B$2062*'18_Календарь_тарифы'!K4</f>
        <v/>
      </c>
      <c r="L2833">
        <f>'19_Расчет_аналитики'!$B$2062*'18_Календарь_тарифы'!L4</f>
        <v/>
      </c>
      <c r="M2833">
        <f>'19_Расчет_аналитики'!$B$2062*'18_Календарь_тарифы'!M4</f>
        <v/>
      </c>
      <c r="N2833">
        <f>'19_Расчет_аналитики'!$B$2062*'18_Календарь_тарифы'!N4</f>
        <v/>
      </c>
      <c r="O2833">
        <f>'19_Расчет_аналитики'!$B$2062*'18_Календарь_тарифы'!O4</f>
        <v/>
      </c>
      <c r="P2833">
        <f>'19_Расчет_аналитики'!$B$2062*'18_Календарь_тарифы'!P4</f>
        <v/>
      </c>
      <c r="Q2833">
        <f>'19_Расчет_аналитики'!$B$2062*'18_Календарь_тарифы'!Q4</f>
        <v/>
      </c>
      <c r="R2833">
        <f>'19_Расчет_аналитики'!$B$2062*'18_Календарь_тарифы'!R4</f>
        <v/>
      </c>
      <c r="S2833">
        <f>'19_Расчет_аналитики'!$B$2062*'18_Календарь_тарифы'!S4</f>
        <v/>
      </c>
      <c r="T2833">
        <f>'19_Расчет_аналитики'!$B$2062*'18_Календарь_тарифы'!T4</f>
        <v/>
      </c>
      <c r="U2833">
        <f>'19_Расчет_аналитики'!$B$2062*'18_Календарь_тарифы'!U4</f>
        <v/>
      </c>
      <c r="V2833">
        <f>'19_Расчет_аналитики'!$B$2062*'18_Календарь_тарифы'!V4</f>
        <v/>
      </c>
      <c r="W2833">
        <f>'19_Расчет_аналитики'!$B$2062*'18_Календарь_тарифы'!W4</f>
        <v/>
      </c>
      <c r="X2833">
        <f>'19_Расчет_аналитики'!$B$2062*'18_Календарь_тарифы'!X4</f>
        <v/>
      </c>
      <c r="Y2833">
        <f>'19_Расчет_аналитики'!$B$2062*'18_Календарь_тарифы'!Y4</f>
        <v/>
      </c>
      <c r="Z2833">
        <f>'19_Расчет_аналитики'!$B$2062*'18_Календарь_тарифы'!Z4</f>
        <v/>
      </c>
      <c r="AA2833">
        <f>'19_Расчет_аналитики'!$B$2062*'18_Календарь_тарифы'!AA4</f>
        <v/>
      </c>
      <c r="AB2833">
        <f>'19_Расчет_аналитики'!$B$2062*'18_Календарь_тарифы'!AB4</f>
        <v/>
      </c>
      <c r="AC2833">
        <f>'19_Расчет_аналитики'!$B$2062*'18_Календарь_тарифы'!AC4</f>
        <v/>
      </c>
      <c r="AD2833">
        <f>'19_Расчет_аналитики'!$B$2062*'18_Календарь_тарифы'!AD4</f>
        <v/>
      </c>
      <c r="AE2833">
        <f>'19_Расчет_аналитики'!$B$2062*'18_Календарь_тарифы'!AE4</f>
        <v/>
      </c>
      <c r="AF2833">
        <f>'19_Расчет_аналитики'!$B$2062*'18_Календарь_тарифы'!AF4</f>
        <v/>
      </c>
      <c r="AG2833">
        <f>'19_Расчет_аналитики'!$B$2062*'18_Календарь_тарифы'!AG4</f>
        <v/>
      </c>
      <c r="AH2833">
        <f>'19_Расчет_аналитики'!$B$2062*'18_Календарь_тарифы'!AH4</f>
        <v/>
      </c>
      <c r="AI2833">
        <f>'19_Расчет_аналитики'!$B$2062*'18_Календарь_тарифы'!AI4</f>
        <v/>
      </c>
      <c r="AJ2833">
        <f>'19_Расчет_аналитики'!$B$2062*'18_Календарь_тарифы'!AJ4</f>
        <v/>
      </c>
      <c r="AK2833">
        <f>'19_Расчет_аналитики'!$B$2062*'18_Календарь_тарифы'!AK4</f>
        <v/>
      </c>
      <c r="AL2833">
        <f>'19_Расчет_аналитики'!$B$2062*'18_Календарь_тарифы'!AL4</f>
        <v/>
      </c>
      <c r="AM2833">
        <f>'19_Расчет_аналитики'!$B$2062*'18_Календарь_тарифы'!AM4</f>
        <v/>
      </c>
      <c r="AN2833">
        <f>'19_Расчет_аналитики'!$B$2062*'18_Календарь_тарифы'!AN4</f>
        <v/>
      </c>
      <c r="AO2833">
        <f>'19_Расчет_аналитики'!$B$2062*'18_Календарь_тарифы'!AO4</f>
        <v/>
      </c>
      <c r="AP2833">
        <f>'19_Расчет_аналитики'!$B$2062*'18_Календарь_тарифы'!AP4</f>
        <v/>
      </c>
      <c r="AQ2833">
        <f>'19_Расчет_аналитики'!$B$2062*'18_Календарь_тарифы'!AQ4</f>
        <v/>
      </c>
      <c r="AR2833">
        <f>'19_Расчет_аналитики'!$B$2062*'18_Календарь_тарифы'!AR4</f>
        <v/>
      </c>
      <c r="AS2833">
        <f>'19_Расчет_аналитики'!$B$2062*'18_Календарь_тарифы'!AS4</f>
        <v/>
      </c>
      <c r="AT2833">
        <f>'19_Расчет_аналитики'!$B$2062*'18_Календарь_тарифы'!AT4</f>
        <v/>
      </c>
      <c r="AU2833">
        <f>'19_Расчет_аналитики'!$B$2062*'18_Календарь_тарифы'!AU4</f>
        <v/>
      </c>
      <c r="AV2833">
        <f>'19_Расчет_аналитики'!$B$2062*'18_Календарь_тарифы'!AV4</f>
        <v/>
      </c>
      <c r="AW2833">
        <f>'19_Расчет_аналитики'!$B$2062*'18_Календарь_тарифы'!AW4</f>
        <v/>
      </c>
      <c r="AX2833">
        <f>'19_Расчет_аналитики'!$B$2062*'18_Календарь_тарифы'!AX4</f>
        <v/>
      </c>
      <c r="AY2833">
        <f>'19_Расчет_аналитики'!$B$2062*'18_Календарь_тарифы'!AY4</f>
        <v/>
      </c>
      <c r="AZ2833">
        <f>'19_Расчет_аналитики'!$B$2062*'18_Календарь_тарифы'!AZ4</f>
        <v/>
      </c>
      <c r="BA2833">
        <f>'19_Расчет_аналитики'!$B$2062*'18_Календарь_тарифы'!BA4</f>
        <v/>
      </c>
      <c r="BB2833">
        <f>'19_Расчет_аналитики'!$B$2062*'18_Календарь_тарифы'!BB4</f>
        <v/>
      </c>
      <c r="BC2833">
        <f>'19_Расчет_аналитики'!$B$2062*'18_Календарь_тарифы'!BC4</f>
        <v/>
      </c>
      <c r="BD2833">
        <f>'19_Расчет_аналитики'!$B$2062*'18_Календарь_тарифы'!BD4</f>
        <v/>
      </c>
      <c r="BE2833">
        <f>'19_Расчет_аналитики'!$B$2062*'18_Календарь_тарифы'!BE4</f>
        <v/>
      </c>
      <c r="BF2833">
        <f>'19_Расчет_аналитики'!$B$2062*'18_Календарь_тарифы'!BF4</f>
        <v/>
      </c>
      <c r="BG2833">
        <f>'19_Расчет_аналитики'!$B$2062*'18_Календарь_тарифы'!BG4</f>
        <v/>
      </c>
      <c r="BH2833">
        <f>'19_Расчет_аналитики'!$B$2062*'18_Календарь_тарифы'!BH4</f>
        <v/>
      </c>
      <c r="BI2833">
        <f>'19_Расчет_аналитики'!$B$2062*'18_Календарь_тарифы'!BI4</f>
        <v/>
      </c>
      <c r="BJ2833">
        <f>'19_Расчет_аналитики'!$B$2062*'18_Календарь_тарифы'!BJ4</f>
        <v/>
      </c>
      <c r="BK2833">
        <f>'19_Расчет_аналитики'!$B$2062*'18_Календарь_тарифы'!BK4</f>
        <v/>
      </c>
      <c r="BL2833">
        <f>'19_Расчет_аналитики'!$B$2062*'18_Календарь_тарифы'!BL4</f>
        <v/>
      </c>
      <c r="BM2833">
        <f>'19_Расчет_аналитики'!$B$2062*'18_Календарь_тарифы'!BM4</f>
        <v/>
      </c>
      <c r="BN2833">
        <f>'19_Расчет_аналитики'!$B$2062*'18_Календарь_тарифы'!BN4</f>
        <v/>
      </c>
      <c r="BO2833">
        <f>'19_Расчет_аналитики'!$B$2062*'18_Календарь_тарифы'!BO4</f>
        <v/>
      </c>
    </row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>
      <c r="A3039" t="inlineStr">
        <is>
          <t>Sensitivity minus</t>
        </is>
      </c>
    </row>
    <row r="3040"/>
    <row r="3041">
      <c r="B3041">
        <f>IF('01_Вводные'!$B$257=1,1-'01_Вводные'!$B$258,1)</f>
        <v/>
      </c>
      <c r="C3041">
        <f>IF('01_Вводные'!$B$257=2,1-'01_Вводные'!$B$258,1)</f>
        <v/>
      </c>
      <c r="D3041">
        <f>IF('01_Вводные'!$B$257=3,1-'01_Вводные'!$B$258,1)</f>
        <v/>
      </c>
      <c r="E3041">
        <f>IF('01_Вводные'!$B$257=4,1-'01_Вводные'!$B$258,1)</f>
        <v/>
      </c>
      <c r="F3041">
        <f>IF('01_Вводные'!$B$257=5,1-'01_Вводные'!$B$258,1)</f>
        <v/>
      </c>
      <c r="G3041">
        <f>IF('01_Вводные'!$B$257=6,1-'01_Вводные'!$B$258,1)</f>
        <v/>
      </c>
    </row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>
      <c r="B3066">
        <f>'01_Вводные'!$B$225*'19_Расчет_аналитики'!$F$3251</f>
        <v/>
      </c>
    </row>
    <row r="3067"/>
    <row r="3068">
      <c r="B3068">
        <f>MAX(0,MIN(1,(30-'19_Расчет_аналитики'!B3066)/30))</f>
        <v/>
      </c>
    </row>
    <row r="3069"/>
    <row r="3070"/>
    <row r="3071"/>
    <row r="3072"/>
    <row r="3073"/>
    <row r="3074">
      <c r="B3074">
        <f>'01_Вводные'!$B$224*'19_Расчет_аналитики'!$F$3250</f>
        <v/>
      </c>
    </row>
    <row r="3075"/>
    <row r="3076"/>
    <row r="3077"/>
    <row r="3078"/>
    <row r="3079"/>
    <row r="3080"/>
    <row r="3081"/>
    <row r="3082"/>
    <row r="3083"/>
    <row r="3084">
      <c r="B3084">
        <f>'01_Вводные'!$B$210*'19_Расчет_аналитики'!$F$3246</f>
        <v/>
      </c>
    </row>
    <row r="3085">
      <c r="B3085">
        <f>'01_Вводные'!$B$211*'19_Расчет_аналитики'!$F$3246</f>
        <v/>
      </c>
    </row>
    <row r="3086">
      <c r="B3086">
        <f>'01_Вводные'!$B$212*'19_Расчет_аналитики'!$F$3246</f>
        <v/>
      </c>
    </row>
    <row r="3087">
      <c r="B3087">
        <f>'01_Вводные'!$B$213*'19_Расчет_аналитики'!$F$3246</f>
        <v/>
      </c>
    </row>
    <row r="3088">
      <c r="B3088">
        <f>'01_Вводные'!$B$214*'19_Расчет_аналитики'!$F$3246</f>
        <v/>
      </c>
    </row>
    <row r="3089"/>
    <row r="3090"/>
    <row r="3091"/>
    <row r="3092"/>
    <row r="3093"/>
    <row r="3094">
      <c r="B3094">
        <f>'01_Вводные'!$B$215*'19_Расчет_аналитики'!$F$3247</f>
        <v/>
      </c>
    </row>
    <row r="3095">
      <c r="B3095">
        <f>'01_Вводные'!$B$216*'19_Расчет_аналитики'!$F$3247</f>
        <v/>
      </c>
    </row>
    <row r="3096"/>
    <row r="3097"/>
    <row r="3098"/>
    <row r="3099">
      <c r="B3099">
        <f>'01_Вводные'!$B$217*'19_Расчет_аналитики'!$F$3248</f>
        <v/>
      </c>
    </row>
    <row r="3100"/>
    <row r="3101"/>
    <row r="3102"/>
    <row r="3103"/>
    <row r="3104"/>
    <row r="3105"/>
    <row r="3106"/>
    <row r="3107"/>
    <row r="3108"/>
    <row r="3109"/>
    <row r="3110"/>
    <row r="3111">
      <c r="C3111">
        <f>'01_Вводные'!$B$218*'19_Расчет_аналитики'!$F$3248</f>
        <v/>
      </c>
    </row>
    <row r="3112">
      <c r="C3112">
        <f>'01_Вводные'!$B$219*'19_Расчет_аналитики'!$F$3248</f>
        <v/>
      </c>
    </row>
    <row r="3113">
      <c r="C3113">
        <f>'01_Вводные'!$B$220*'19_Расчет_аналитики'!$F$3248</f>
        <v/>
      </c>
    </row>
    <row r="3114">
      <c r="C3114">
        <f>'01_Вводные'!$B$221*'19_Расчет_аналитики'!$F$3248</f>
        <v/>
      </c>
    </row>
    <row r="3115">
      <c r="C3115">
        <f>'01_Вводные'!$B$222*'19_Расчет_аналитики'!$F$3248</f>
        <v/>
      </c>
    </row>
    <row r="3116"/>
    <row r="3117"/>
    <row r="3118"/>
    <row r="3119"/>
    <row r="3120"/>
    <row r="3121"/>
    <row r="3122">
      <c r="B3122">
        <f>'01_Вводные'!$B$223*'19_Расчет_аналитики'!$F$3249</f>
        <v/>
      </c>
    </row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>
      <c r="F3246">
        <f>'19_Расчет_аналитики'!$B$3041</f>
        <v/>
      </c>
    </row>
    <row r="3247">
      <c r="F3247">
        <f>'19_Расчет_аналитики'!$C$3041</f>
        <v/>
      </c>
    </row>
    <row r="3248">
      <c r="F3248">
        <f>'19_Расчет_аналитики'!$D$3041</f>
        <v/>
      </c>
    </row>
    <row r="3249">
      <c r="F3249">
        <f>'19_Расчет_аналитики'!$E$3041</f>
        <v/>
      </c>
    </row>
    <row r="3250">
      <c r="F3250">
        <f>'19_Расчет_аналитики'!$F$3041</f>
        <v/>
      </c>
    </row>
    <row r="3251">
      <c r="F3251">
        <f>'19_Расчет_аналитики'!$G$3041</f>
        <v/>
      </c>
    </row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>
      <c r="B3364">
        <f>IF('01_Вводные'!$B$234="Да",'19_Расчет_аналитики'!B3084,0)</f>
        <v/>
      </c>
      <c r="D3364">
        <f>IF('01_Вводные'!$B$234="Да",SUM('19_Расчет_аналитики'!B3374:M3374),0)</f>
        <v/>
      </c>
      <c r="E3364">
        <f>IF('01_Вводные'!$B$234="Да",ROUND('19_Расчет_аналитики'!D3364-'19_Расчет_аналитики'!B3364,8),0)</f>
        <v/>
      </c>
    </row>
    <row r="3365">
      <c r="B3365">
        <f>IF('01_Вводные'!$B$234="Да",'19_Расчет_аналитики'!B3085,0)</f>
        <v/>
      </c>
      <c r="D3365">
        <f>IF('01_Вводные'!$B$234="Да",SUM('19_Расчет_аналитики'!N3374:Y3374),0)</f>
        <v/>
      </c>
      <c r="E3365">
        <f>IF('01_Вводные'!$B$234="Да",ROUND('19_Расчет_аналитики'!D3365-'19_Расчет_аналитики'!B3365,8),0)</f>
        <v/>
      </c>
    </row>
    <row r="3366">
      <c r="B3366">
        <f>IF('01_Вводные'!$B$234="Да",'19_Расчет_аналитики'!B3086,0)</f>
        <v/>
      </c>
      <c r="D3366">
        <f>IF('01_Вводные'!$B$234="Да",SUM('19_Расчет_аналитики'!Z3374:AK3374),0)</f>
        <v/>
      </c>
      <c r="E3366">
        <f>IF('01_Вводные'!$B$234="Да",ROUND('19_Расчет_аналитики'!D3366-'19_Расчет_аналитики'!B3366,8),0)</f>
        <v/>
      </c>
    </row>
    <row r="3367">
      <c r="B3367">
        <f>IF('01_Вводные'!$B$234="Да",'19_Расчет_аналитики'!B3087,0)</f>
        <v/>
      </c>
      <c r="D3367">
        <f>IF('01_Вводные'!$B$234="Да",SUM('19_Расчет_аналитики'!AL3374:AW3374),0)</f>
        <v/>
      </c>
      <c r="E3367">
        <f>IF('01_Вводные'!$B$234="Да",ROUND('19_Расчет_аналитики'!D3367-'19_Расчет_аналитики'!B3367,8),0)</f>
        <v/>
      </c>
    </row>
    <row r="3368">
      <c r="B3368">
        <f>IF('01_Вводные'!$B$234="Да",'19_Расчет_аналитики'!B3088,0)</f>
        <v/>
      </c>
      <c r="D3368">
        <f>IF('01_Вводные'!$B$234="Да",SUM('19_Расчет_аналитики'!AX3374:BI3374),0)</f>
        <v/>
      </c>
      <c r="E3368">
        <f>IF('01_Вводные'!$B$234="Да",ROUND('19_Расчет_аналитики'!D3368-'19_Расчет_аналитики'!B3368,8),0)</f>
        <v/>
      </c>
    </row>
    <row r="3369"/>
    <row r="3370"/>
    <row r="3371"/>
    <row r="3372"/>
    <row r="3373"/>
    <row r="3374">
      <c r="B3374">
        <f>0</f>
        <v/>
      </c>
      <c r="C3374">
        <f>IF('01_Вводные'!$B$234="Да",'19_Расчет_аналитики'!$B$3084*INDEX('01_Вводные'!$C$36:$N$36,1,MOD(MONTH('06_Сеть_и_дети'!C$3)-9,12)+1)/(SUM('01_Вводные'!$C$36:$N$36)-INDEX('01_Вводные'!$C$36:$N$36,1,MOD(MONTH('01_Вводные'!$B$7)-9,12)+1)),0)</f>
        <v/>
      </c>
      <c r="D3374">
        <f>IF('01_Вводные'!$B$234="Да",'19_Расчет_аналитики'!$B$3084*INDEX('01_Вводные'!$C$36:$N$36,1,MOD(MONTH('06_Сеть_и_дети'!D$3)-9,12)+1)/(SUM('01_Вводные'!$C$36:$N$36)-INDEX('01_Вводные'!$C$36:$N$36,1,MOD(MONTH('01_Вводные'!$B$7)-9,12)+1)),0)</f>
        <v/>
      </c>
      <c r="E3374">
        <f>IF('01_Вводные'!$B$234="Да",'19_Расчет_аналитики'!$B$3084*INDEX('01_Вводные'!$C$36:$N$36,1,MOD(MONTH('06_Сеть_и_дети'!E$3)-9,12)+1)/(SUM('01_Вводные'!$C$36:$N$36)-INDEX('01_Вводные'!$C$36:$N$36,1,MOD(MONTH('01_Вводные'!$B$7)-9,12)+1)),0)</f>
        <v/>
      </c>
      <c r="F3374">
        <f>IF('01_Вводные'!$B$234="Да",'19_Расчет_аналитики'!$B$3084*INDEX('01_Вводные'!$C$36:$N$36,1,MOD(MONTH('06_Сеть_и_дети'!F$3)-9,12)+1)/(SUM('01_Вводные'!$C$36:$N$36)-INDEX('01_Вводные'!$C$36:$N$36,1,MOD(MONTH('01_Вводные'!$B$7)-9,12)+1)),0)</f>
        <v/>
      </c>
      <c r="G3374">
        <f>IF('01_Вводные'!$B$234="Да",'19_Расчет_аналитики'!$B$3084*INDEX('01_Вводные'!$C$36:$N$36,1,MOD(MONTH('06_Сеть_и_дети'!G$3)-9,12)+1)/(SUM('01_Вводные'!$C$36:$N$36)-INDEX('01_Вводные'!$C$36:$N$36,1,MOD(MONTH('01_Вводные'!$B$7)-9,12)+1)),0)</f>
        <v/>
      </c>
      <c r="H3374">
        <f>IF('01_Вводные'!$B$234="Да",'19_Расчет_аналитики'!$B$3084*INDEX('01_Вводные'!$C$36:$N$36,1,MOD(MONTH('06_Сеть_и_дети'!H$3)-9,12)+1)/(SUM('01_Вводные'!$C$36:$N$36)-INDEX('01_Вводные'!$C$36:$N$36,1,MOD(MONTH('01_Вводные'!$B$7)-9,12)+1)),0)</f>
        <v/>
      </c>
      <c r="I3374">
        <f>IF('01_Вводные'!$B$234="Да",'19_Расчет_аналитики'!$B$3084*INDEX('01_Вводные'!$C$36:$N$36,1,MOD(MONTH('06_Сеть_и_дети'!I$3)-9,12)+1)/(SUM('01_Вводные'!$C$36:$N$36)-INDEX('01_Вводные'!$C$36:$N$36,1,MOD(MONTH('01_Вводные'!$B$7)-9,12)+1)),0)</f>
        <v/>
      </c>
      <c r="J3374">
        <f>IF('01_Вводные'!$B$234="Да",'19_Расчет_аналитики'!$B$3084*INDEX('01_Вводные'!$C$36:$N$36,1,MOD(MONTH('06_Сеть_и_дети'!J$3)-9,12)+1)/(SUM('01_Вводные'!$C$36:$N$36)-INDEX('01_Вводные'!$C$36:$N$36,1,MOD(MONTH('01_Вводные'!$B$7)-9,12)+1)),0)</f>
        <v/>
      </c>
      <c r="K3374">
        <f>IF('01_Вводные'!$B$234="Да",'19_Расчет_аналитики'!$B$3084*INDEX('01_Вводные'!$C$36:$N$36,1,MOD(MONTH('06_Сеть_и_дети'!K$3)-9,12)+1)/(SUM('01_Вводные'!$C$36:$N$36)-INDEX('01_Вводные'!$C$36:$N$36,1,MOD(MONTH('01_Вводные'!$B$7)-9,12)+1)),0)</f>
        <v/>
      </c>
      <c r="L3374">
        <f>IF('01_Вводные'!$B$234="Да",'19_Расчет_аналитики'!$B$3084*INDEX('01_Вводные'!$C$36:$N$36,1,MOD(MONTH('06_Сеть_и_дети'!L$3)-9,12)+1)/(SUM('01_Вводные'!$C$36:$N$36)-INDEX('01_Вводные'!$C$36:$N$36,1,MOD(MONTH('01_Вводные'!$B$7)-9,12)+1)),0)</f>
        <v/>
      </c>
      <c r="M3374">
        <f>IF('01_Вводные'!$B$234="Да",'19_Расчет_аналитики'!$B$3084*INDEX('01_Вводные'!$C$36:$N$36,1,MOD(MONTH('06_Сеть_и_дети'!M$3)-9,12)+1)/(SUM('01_Вводные'!$C$36:$N$36)-INDEX('01_Вводные'!$C$36:$N$36,1,MOD(MONTH('01_Вводные'!$B$7)-9,12)+1)),0)</f>
        <v/>
      </c>
      <c r="N3374">
        <f>IF('01_Вводные'!$B$234="Да",'19_Расчет_аналитики'!$B$3085*INDEX('01_Вводные'!$C$37:$N$37,1,MOD(MONTH('06_Сеть_и_дети'!N$3)-9,12)+1)/SUM('01_Вводные'!$C$37:$N$37),0)</f>
        <v/>
      </c>
      <c r="O3374">
        <f>IF('01_Вводные'!$B$234="Да",'19_Расчет_аналитики'!$B$3085*INDEX('01_Вводные'!$C$37:$N$37,1,MOD(MONTH('06_Сеть_и_дети'!O$3)-9,12)+1)/SUM('01_Вводные'!$C$37:$N$37),0)</f>
        <v/>
      </c>
      <c r="P3374">
        <f>IF('01_Вводные'!$B$234="Да",'19_Расчет_аналитики'!$B$3085*INDEX('01_Вводные'!$C$37:$N$37,1,MOD(MONTH('06_Сеть_и_дети'!P$3)-9,12)+1)/SUM('01_Вводные'!$C$37:$N$37),0)</f>
        <v/>
      </c>
      <c r="Q3374">
        <f>IF('01_Вводные'!$B$234="Да",'19_Расчет_аналитики'!$B$3085*INDEX('01_Вводные'!$C$37:$N$37,1,MOD(MONTH('06_Сеть_и_дети'!Q$3)-9,12)+1)/SUM('01_Вводные'!$C$37:$N$37),0)</f>
        <v/>
      </c>
      <c r="R3374">
        <f>IF('01_Вводные'!$B$234="Да",'19_Расчет_аналитики'!$B$3085*INDEX('01_Вводные'!$C$37:$N$37,1,MOD(MONTH('06_Сеть_и_дети'!R$3)-9,12)+1)/SUM('01_Вводные'!$C$37:$N$37),0)</f>
        <v/>
      </c>
      <c r="S3374">
        <f>IF('01_Вводные'!$B$234="Да",'19_Расчет_аналитики'!$B$3085*INDEX('01_Вводные'!$C$37:$N$37,1,MOD(MONTH('06_Сеть_и_дети'!S$3)-9,12)+1)/SUM('01_Вводные'!$C$37:$N$37),0)</f>
        <v/>
      </c>
      <c r="T3374">
        <f>IF('01_Вводные'!$B$234="Да",'19_Расчет_аналитики'!$B$3085*INDEX('01_Вводные'!$C$37:$N$37,1,MOD(MONTH('06_Сеть_и_дети'!T$3)-9,12)+1)/SUM('01_Вводные'!$C$37:$N$37),0)</f>
        <v/>
      </c>
      <c r="U3374">
        <f>IF('01_Вводные'!$B$234="Да",'19_Расчет_аналитики'!$B$3085*INDEX('01_Вводные'!$C$37:$N$37,1,MOD(MONTH('06_Сеть_и_дети'!U$3)-9,12)+1)/SUM('01_Вводные'!$C$37:$N$37),0)</f>
        <v/>
      </c>
      <c r="V3374">
        <f>IF('01_Вводные'!$B$234="Да",'19_Расчет_аналитики'!$B$3085*INDEX('01_Вводные'!$C$37:$N$37,1,MOD(MONTH('06_Сеть_и_дети'!V$3)-9,12)+1)/SUM('01_Вводные'!$C$37:$N$37),0)</f>
        <v/>
      </c>
      <c r="W3374">
        <f>IF('01_Вводные'!$B$234="Да",'19_Расчет_аналитики'!$B$3085*INDEX('01_Вводные'!$C$37:$N$37,1,MOD(MONTH('06_Сеть_и_дети'!W$3)-9,12)+1)/SUM('01_Вводные'!$C$37:$N$37),0)</f>
        <v/>
      </c>
      <c r="X3374">
        <f>IF('01_Вводные'!$B$234="Да",'19_Расчет_аналитики'!$B$3085*INDEX('01_Вводные'!$C$37:$N$37,1,MOD(MONTH('06_Сеть_и_дети'!X$3)-9,12)+1)/SUM('01_Вводные'!$C$37:$N$37),0)</f>
        <v/>
      </c>
      <c r="Y3374">
        <f>IF('01_Вводные'!$B$234="Да",'19_Расчет_аналитики'!$B$3085*INDEX('01_Вводные'!$C$37:$N$37,1,MOD(MONTH('06_Сеть_и_дети'!Y$3)-9,12)+1)/SUM('01_Вводные'!$C$37:$N$37),0)</f>
        <v/>
      </c>
      <c r="Z3374">
        <f>IF('01_Вводные'!$B$234="Да",'19_Расчет_аналитики'!$B$3086*INDEX('01_Вводные'!$C$38:$N$38,1,MOD(MONTH('06_Сеть_и_дети'!Z$3)-9,12)+1)/SUM('01_Вводные'!$C$38:$N$38),0)</f>
        <v/>
      </c>
      <c r="AA3374">
        <f>IF('01_Вводные'!$B$234="Да",'19_Расчет_аналитики'!$B$3086*INDEX('01_Вводные'!$C$38:$N$38,1,MOD(MONTH('06_Сеть_и_дети'!AA$3)-9,12)+1)/SUM('01_Вводные'!$C$38:$N$38),0)</f>
        <v/>
      </c>
      <c r="AB3374">
        <f>IF('01_Вводные'!$B$234="Да",'19_Расчет_аналитики'!$B$3086*INDEX('01_Вводные'!$C$38:$N$38,1,MOD(MONTH('06_Сеть_и_дети'!AB$3)-9,12)+1)/SUM('01_Вводные'!$C$38:$N$38),0)</f>
        <v/>
      </c>
      <c r="AC3374">
        <f>IF('01_Вводные'!$B$234="Да",'19_Расчет_аналитики'!$B$3086*INDEX('01_Вводные'!$C$38:$N$38,1,MOD(MONTH('06_Сеть_и_дети'!AC$3)-9,12)+1)/SUM('01_Вводные'!$C$38:$N$38),0)</f>
        <v/>
      </c>
      <c r="AD3374">
        <f>IF('01_Вводные'!$B$234="Да",'19_Расчет_аналитики'!$B$3086*INDEX('01_Вводные'!$C$38:$N$38,1,MOD(MONTH('06_Сеть_и_дети'!AD$3)-9,12)+1)/SUM('01_Вводные'!$C$38:$N$38),0)</f>
        <v/>
      </c>
      <c r="AE3374">
        <f>IF('01_Вводные'!$B$234="Да",'19_Расчет_аналитики'!$B$3086*INDEX('01_Вводные'!$C$38:$N$38,1,MOD(MONTH('06_Сеть_и_дети'!AE$3)-9,12)+1)/SUM('01_Вводные'!$C$38:$N$38),0)</f>
        <v/>
      </c>
      <c r="AF3374">
        <f>IF('01_Вводные'!$B$234="Да",'19_Расчет_аналитики'!$B$3086*INDEX('01_Вводные'!$C$38:$N$38,1,MOD(MONTH('06_Сеть_и_дети'!AF$3)-9,12)+1)/SUM('01_Вводные'!$C$38:$N$38),0)</f>
        <v/>
      </c>
      <c r="AG3374">
        <f>IF('01_Вводные'!$B$234="Да",'19_Расчет_аналитики'!$B$3086*INDEX('01_Вводные'!$C$38:$N$38,1,MOD(MONTH('06_Сеть_и_дети'!AG$3)-9,12)+1)/SUM('01_Вводные'!$C$38:$N$38),0)</f>
        <v/>
      </c>
      <c r="AH3374">
        <f>IF('01_Вводные'!$B$234="Да",'19_Расчет_аналитики'!$B$3086*INDEX('01_Вводные'!$C$38:$N$38,1,MOD(MONTH('06_Сеть_и_дети'!AH$3)-9,12)+1)/SUM('01_Вводные'!$C$38:$N$38),0)</f>
        <v/>
      </c>
      <c r="AI3374">
        <f>IF('01_Вводные'!$B$234="Да",'19_Расчет_аналитики'!$B$3086*INDEX('01_Вводные'!$C$38:$N$38,1,MOD(MONTH('06_Сеть_и_дети'!AI$3)-9,12)+1)/SUM('01_Вводные'!$C$38:$N$38),0)</f>
        <v/>
      </c>
      <c r="AJ3374">
        <f>IF('01_Вводные'!$B$234="Да",'19_Расчет_аналитики'!$B$3086*INDEX('01_Вводные'!$C$38:$N$38,1,MOD(MONTH('06_Сеть_и_дети'!AJ$3)-9,12)+1)/SUM('01_Вводные'!$C$38:$N$38),0)</f>
        <v/>
      </c>
      <c r="AK3374">
        <f>IF('01_Вводные'!$B$234="Да",'19_Расчет_аналитики'!$B$3086*INDEX('01_Вводные'!$C$38:$N$38,1,MOD(MONTH('06_Сеть_и_дети'!AK$3)-9,12)+1)/SUM('01_Вводные'!$C$38:$N$38),0)</f>
        <v/>
      </c>
      <c r="AL3374">
        <f>IF('01_Вводные'!$B$234="Да",'19_Расчет_аналитики'!$B$3087*INDEX('01_Вводные'!$C$39:$N$39,1,MOD(MONTH('06_Сеть_и_дети'!AL$3)-9,12)+1)/SUM('01_Вводные'!$C$39:$N$39),0)</f>
        <v/>
      </c>
      <c r="AM3374">
        <f>IF('01_Вводные'!$B$234="Да",'19_Расчет_аналитики'!$B$3087*INDEX('01_Вводные'!$C$39:$N$39,1,MOD(MONTH('06_Сеть_и_дети'!AM$3)-9,12)+1)/SUM('01_Вводные'!$C$39:$N$39),0)</f>
        <v/>
      </c>
      <c r="AN3374">
        <f>IF('01_Вводные'!$B$234="Да",'19_Расчет_аналитики'!$B$3087*INDEX('01_Вводные'!$C$39:$N$39,1,MOD(MONTH('06_Сеть_и_дети'!AN$3)-9,12)+1)/SUM('01_Вводные'!$C$39:$N$39),0)</f>
        <v/>
      </c>
      <c r="AO3374">
        <f>IF('01_Вводные'!$B$234="Да",'19_Расчет_аналитики'!$B$3087*INDEX('01_Вводные'!$C$39:$N$39,1,MOD(MONTH('06_Сеть_и_дети'!AO$3)-9,12)+1)/SUM('01_Вводные'!$C$39:$N$39),0)</f>
        <v/>
      </c>
      <c r="AP3374">
        <f>IF('01_Вводные'!$B$234="Да",'19_Расчет_аналитики'!$B$3087*INDEX('01_Вводные'!$C$39:$N$39,1,MOD(MONTH('06_Сеть_и_дети'!AP$3)-9,12)+1)/SUM('01_Вводные'!$C$39:$N$39),0)</f>
        <v/>
      </c>
      <c r="AQ3374">
        <f>IF('01_Вводные'!$B$234="Да",'19_Расчет_аналитики'!$B$3087*INDEX('01_Вводные'!$C$39:$N$39,1,MOD(MONTH('06_Сеть_и_дети'!AQ$3)-9,12)+1)/SUM('01_Вводные'!$C$39:$N$39),0)</f>
        <v/>
      </c>
      <c r="AR3374">
        <f>IF('01_Вводные'!$B$234="Да",'19_Расчет_аналитики'!$B$3087*INDEX('01_Вводные'!$C$39:$N$39,1,MOD(MONTH('06_Сеть_и_дети'!AR$3)-9,12)+1)/SUM('01_Вводные'!$C$39:$N$39),0)</f>
        <v/>
      </c>
      <c r="AS3374">
        <f>IF('01_Вводные'!$B$234="Да",'19_Расчет_аналитики'!$B$3087*INDEX('01_Вводные'!$C$39:$N$39,1,MOD(MONTH('06_Сеть_и_дети'!AS$3)-9,12)+1)/SUM('01_Вводные'!$C$39:$N$39),0)</f>
        <v/>
      </c>
      <c r="AT3374">
        <f>IF('01_Вводные'!$B$234="Да",'19_Расчет_аналитики'!$B$3087*INDEX('01_Вводные'!$C$39:$N$39,1,MOD(MONTH('06_Сеть_и_дети'!AT$3)-9,12)+1)/SUM('01_Вводные'!$C$39:$N$39),0)</f>
        <v/>
      </c>
      <c r="AU3374">
        <f>IF('01_Вводные'!$B$234="Да",'19_Расчет_аналитики'!$B$3087*INDEX('01_Вводные'!$C$39:$N$39,1,MOD(MONTH('06_Сеть_и_дети'!AU$3)-9,12)+1)/SUM('01_Вводные'!$C$39:$N$39),0)</f>
        <v/>
      </c>
      <c r="AV3374">
        <f>IF('01_Вводные'!$B$234="Да",'19_Расчет_аналитики'!$B$3087*INDEX('01_Вводные'!$C$39:$N$39,1,MOD(MONTH('06_Сеть_и_дети'!AV$3)-9,12)+1)/SUM('01_Вводные'!$C$39:$N$39),0)</f>
        <v/>
      </c>
      <c r="AW3374">
        <f>IF('01_Вводные'!$B$234="Да",'19_Расчет_аналитики'!$B$3087*INDEX('01_Вводные'!$C$39:$N$39,1,MOD(MONTH('06_Сеть_и_дети'!AW$3)-9,12)+1)/SUM('01_Вводные'!$C$39:$N$39),0)</f>
        <v/>
      </c>
      <c r="AX3374">
        <f>IF('01_Вводные'!$B$234="Да",'19_Расчет_аналитики'!$B$3088*INDEX('01_Вводные'!$C$40:$N$40,1,MOD(MONTH('06_Сеть_и_дети'!AX$3)-9,12)+1)/SUM('01_Вводные'!$C$40:$N$40),0)</f>
        <v/>
      </c>
      <c r="AY3374">
        <f>IF('01_Вводные'!$B$234="Да",'19_Расчет_аналитики'!$B$3088*INDEX('01_Вводные'!$C$40:$N$40,1,MOD(MONTH('06_Сеть_и_дети'!AY$3)-9,12)+1)/SUM('01_Вводные'!$C$40:$N$40),0)</f>
        <v/>
      </c>
      <c r="AZ3374">
        <f>IF('01_Вводные'!$B$234="Да",'19_Расчет_аналитики'!$B$3088*INDEX('01_Вводные'!$C$40:$N$40,1,MOD(MONTH('06_Сеть_и_дети'!AZ$3)-9,12)+1)/SUM('01_Вводные'!$C$40:$N$40),0)</f>
        <v/>
      </c>
      <c r="BA3374">
        <f>IF('01_Вводные'!$B$234="Да",'19_Расчет_аналитики'!$B$3088*INDEX('01_Вводные'!$C$40:$N$40,1,MOD(MONTH('06_Сеть_и_дети'!BA$3)-9,12)+1)/SUM('01_Вводные'!$C$40:$N$40),0)</f>
        <v/>
      </c>
      <c r="BB3374">
        <f>IF('01_Вводные'!$B$234="Да",'19_Расчет_аналитики'!$B$3088*INDEX('01_Вводные'!$C$40:$N$40,1,MOD(MONTH('06_Сеть_и_дети'!BB$3)-9,12)+1)/SUM('01_Вводные'!$C$40:$N$40),0)</f>
        <v/>
      </c>
      <c r="BC3374">
        <f>IF('01_Вводные'!$B$234="Да",'19_Расчет_аналитики'!$B$3088*INDEX('01_Вводные'!$C$40:$N$40,1,MOD(MONTH('06_Сеть_и_дети'!BC$3)-9,12)+1)/SUM('01_Вводные'!$C$40:$N$40),0)</f>
        <v/>
      </c>
      <c r="BD3374">
        <f>IF('01_Вводные'!$B$234="Да",'19_Расчет_аналитики'!$B$3088*INDEX('01_Вводные'!$C$40:$N$40,1,MOD(MONTH('06_Сеть_и_дети'!BD$3)-9,12)+1)/SUM('01_Вводные'!$C$40:$N$40),0)</f>
        <v/>
      </c>
      <c r="BE3374">
        <f>IF('01_Вводные'!$B$234="Да",'19_Расчет_аналитики'!$B$3088*INDEX('01_Вводные'!$C$40:$N$40,1,MOD(MONTH('06_Сеть_и_дети'!BE$3)-9,12)+1)/SUM('01_Вводные'!$C$40:$N$40),0)</f>
        <v/>
      </c>
      <c r="BF3374">
        <f>IF('01_Вводные'!$B$234="Да",'19_Расчет_аналитики'!$B$3088*INDEX('01_Вводные'!$C$40:$N$40,1,MOD(MONTH('06_Сеть_и_дети'!BF$3)-9,12)+1)/SUM('01_Вводные'!$C$40:$N$40),0)</f>
        <v/>
      </c>
      <c r="BG3374">
        <f>IF('01_Вводные'!$B$234="Да",'19_Расчет_аналитики'!$B$3088*INDEX('01_Вводные'!$C$40:$N$40,1,MOD(MONTH('06_Сеть_и_дети'!BG$3)-9,12)+1)/SUM('01_Вводные'!$C$40:$N$40),0)</f>
        <v/>
      </c>
      <c r="BH3374">
        <f>IF('01_Вводные'!$B$234="Да",'19_Расчет_аналитики'!$B$3088*INDEX('01_Вводные'!$C$40:$N$40,1,MOD(MONTH('06_Сеть_и_дети'!BH$3)-9,12)+1)/SUM('01_Вводные'!$C$40:$N$40),0)</f>
        <v/>
      </c>
      <c r="BI3374">
        <f>IF('01_Вводные'!$B$234="Да",'19_Расчет_аналитики'!$B$3088*INDEX('01_Вводные'!$C$40:$N$40,1,MOD(MONTH('06_Сеть_и_дети'!BI$3)-9,12)+1)/SUM('01_Вводные'!$C$40:$N$40),0)</f>
        <v/>
      </c>
    </row>
    <row r="3375">
      <c r="A3375" t="inlineStr">
        <is>
          <t>Минимальный запас для возврата займа</t>
        </is>
      </c>
      <c r="B3375">
        <f>SUM(IF('01_Вводные'!$B$310&gt;=1,'19_Расчет_аналитики'!C3653,0),IF('01_Вводные'!$B$310&gt;=2,'19_Расчет_аналитики'!D3653,0),IF('01_Вводные'!$B$310&gt;=3,'19_Расчет_аналитики'!E3653,0),IF('01_Вводные'!$B$310&gt;=4,'19_Расчет_аналитики'!F3653,0),IF('01_Вводные'!$B$310&gt;=5,'19_Расчет_аналитики'!G3653,0),IF('01_Вводные'!$B$310&gt;=6,'19_Расчет_аналитики'!H3653,0))</f>
        <v/>
      </c>
      <c r="C3375">
        <f>SUM(IF('01_Вводные'!$B$310&gt;=1,'19_Расчет_аналитики'!D3653,0),IF('01_Вводные'!$B$310&gt;=2,'19_Расчет_аналитики'!E3653,0),IF('01_Вводные'!$B$310&gt;=3,'19_Расчет_аналитики'!F3653,0),IF('01_Вводные'!$B$310&gt;=4,'19_Расчет_аналитики'!G3653,0),IF('01_Вводные'!$B$310&gt;=5,'19_Расчет_аналитики'!H3653,0),IF('01_Вводные'!$B$310&gt;=6,'19_Расчет_аналитики'!I3653,0))</f>
        <v/>
      </c>
      <c r="D3375">
        <f>SUM(IF('01_Вводные'!$B$310&gt;=1,'19_Расчет_аналитики'!E3653,0),IF('01_Вводные'!$B$310&gt;=2,'19_Расчет_аналитики'!F3653,0),IF('01_Вводные'!$B$310&gt;=3,'19_Расчет_аналитики'!G3653,0),IF('01_Вводные'!$B$310&gt;=4,'19_Расчет_аналитики'!H3653,0),IF('01_Вводные'!$B$310&gt;=5,'19_Расчет_аналитики'!I3653,0),IF('01_Вводные'!$B$310&gt;=6,'19_Расчет_аналитики'!J3653,0))</f>
        <v/>
      </c>
      <c r="E3375">
        <f>SUM(IF('01_Вводные'!$B$310&gt;=1,'19_Расчет_аналитики'!F3653,0),IF('01_Вводные'!$B$310&gt;=2,'19_Расчет_аналитики'!G3653,0),IF('01_Вводные'!$B$310&gt;=3,'19_Расчет_аналитики'!H3653,0),IF('01_Вводные'!$B$310&gt;=4,'19_Расчет_аналитики'!I3653,0),IF('01_Вводные'!$B$310&gt;=5,'19_Расчет_аналитики'!J3653,0),IF('01_Вводные'!$B$310&gt;=6,'19_Расчет_аналитики'!K3653,0))</f>
        <v/>
      </c>
      <c r="F3375">
        <f>SUM(IF('01_Вводные'!$B$310&gt;=1,'19_Расчет_аналитики'!G3653,0),IF('01_Вводные'!$B$310&gt;=2,'19_Расчет_аналитики'!H3653,0),IF('01_Вводные'!$B$310&gt;=3,'19_Расчет_аналитики'!I3653,0),IF('01_Вводные'!$B$310&gt;=4,'19_Расчет_аналитики'!J3653,0),IF('01_Вводные'!$B$310&gt;=5,'19_Расчет_аналитики'!K3653,0),IF('01_Вводные'!$B$310&gt;=6,'19_Расчет_аналитики'!L3653,0))</f>
        <v/>
      </c>
      <c r="G3375">
        <f>SUM(IF('01_Вводные'!$B$310&gt;=1,'19_Расчет_аналитики'!H3653,0),IF('01_Вводные'!$B$310&gt;=2,'19_Расчет_аналитики'!I3653,0),IF('01_Вводные'!$B$310&gt;=3,'19_Расчет_аналитики'!J3653,0),IF('01_Вводные'!$B$310&gt;=4,'19_Расчет_аналитики'!K3653,0),IF('01_Вводные'!$B$310&gt;=5,'19_Расчет_аналитики'!L3653,0),IF('01_Вводные'!$B$310&gt;=6,'19_Расчет_аналитики'!M3653,0))</f>
        <v/>
      </c>
      <c r="H3375">
        <f>SUM(IF('01_Вводные'!$B$310&gt;=1,'19_Расчет_аналитики'!I3653,0),IF('01_Вводные'!$B$310&gt;=2,'19_Расчет_аналитики'!J3653,0),IF('01_Вводные'!$B$310&gt;=3,'19_Расчет_аналитики'!K3653,0),IF('01_Вводные'!$B$310&gt;=4,'19_Расчет_аналитики'!L3653,0),IF('01_Вводные'!$B$310&gt;=5,'19_Расчет_аналитики'!M3653,0),IF('01_Вводные'!$B$310&gt;=6,'19_Расчет_аналитики'!N3653,0))</f>
        <v/>
      </c>
      <c r="I3375">
        <f>SUM(IF('01_Вводные'!$B$310&gt;=1,'19_Расчет_аналитики'!J3653,0),IF('01_Вводные'!$B$310&gt;=2,'19_Расчет_аналитики'!K3653,0),IF('01_Вводные'!$B$310&gt;=3,'19_Расчет_аналитики'!L3653,0),IF('01_Вводные'!$B$310&gt;=4,'19_Расчет_аналитики'!M3653,0),IF('01_Вводные'!$B$310&gt;=5,'19_Расчет_аналитики'!N3653,0),IF('01_Вводные'!$B$310&gt;=6,'19_Расчет_аналитики'!O3653,0))</f>
        <v/>
      </c>
      <c r="J3375">
        <f>SUM(IF('01_Вводные'!$B$310&gt;=1,'19_Расчет_аналитики'!K3653,0),IF('01_Вводные'!$B$310&gt;=2,'19_Расчет_аналитики'!L3653,0),IF('01_Вводные'!$B$310&gt;=3,'19_Расчет_аналитики'!M3653,0),IF('01_Вводные'!$B$310&gt;=4,'19_Расчет_аналитики'!N3653,0),IF('01_Вводные'!$B$310&gt;=5,'19_Расчет_аналитики'!O3653,0),IF('01_Вводные'!$B$310&gt;=6,'19_Расчет_аналитики'!P3653,0))</f>
        <v/>
      </c>
      <c r="K3375">
        <f>SUM(IF('01_Вводные'!$B$310&gt;=1,'19_Расчет_аналитики'!L3653,0),IF('01_Вводные'!$B$310&gt;=2,'19_Расчет_аналитики'!M3653,0),IF('01_Вводные'!$B$310&gt;=3,'19_Расчет_аналитики'!N3653,0),IF('01_Вводные'!$B$310&gt;=4,'19_Расчет_аналитики'!O3653,0),IF('01_Вводные'!$B$310&gt;=5,'19_Расчет_аналитики'!P3653,0),IF('01_Вводные'!$B$310&gt;=6,'19_Расчет_аналитики'!Q3653,0))</f>
        <v/>
      </c>
      <c r="L3375">
        <f>SUM(IF('01_Вводные'!$B$310&gt;=1,'19_Расчет_аналитики'!M3653,0),IF('01_Вводные'!$B$310&gt;=2,'19_Расчет_аналитики'!N3653,0),IF('01_Вводные'!$B$310&gt;=3,'19_Расчет_аналитики'!O3653,0),IF('01_Вводные'!$B$310&gt;=4,'19_Расчет_аналитики'!P3653,0),IF('01_Вводные'!$B$310&gt;=5,'19_Расчет_аналитики'!Q3653,0),IF('01_Вводные'!$B$310&gt;=6,'19_Расчет_аналитики'!R3653,0))</f>
        <v/>
      </c>
      <c r="M3375">
        <f>SUM(IF('01_Вводные'!$B$310&gt;=1,'19_Расчет_аналитики'!N3653,0),IF('01_Вводные'!$B$310&gt;=2,'19_Расчет_аналитики'!O3653,0),IF('01_Вводные'!$B$310&gt;=3,'19_Расчет_аналитики'!P3653,0),IF('01_Вводные'!$B$310&gt;=4,'19_Расчет_аналитики'!Q3653,0),IF('01_Вводные'!$B$310&gt;=5,'19_Расчет_аналитики'!R3653,0),IF('01_Вводные'!$B$310&gt;=6,'19_Расчет_аналитики'!S3653,0))</f>
        <v/>
      </c>
      <c r="N3375">
        <f>SUM(IF('01_Вводные'!$B$310&gt;=1,'19_Расчет_аналитики'!O3653,0),IF('01_Вводные'!$B$310&gt;=2,'19_Расчет_аналитики'!P3653,0),IF('01_Вводные'!$B$310&gt;=3,'19_Расчет_аналитики'!Q3653,0),IF('01_Вводные'!$B$310&gt;=4,'19_Расчет_аналитики'!R3653,0),IF('01_Вводные'!$B$310&gt;=5,'19_Расчет_аналитики'!S3653,0),IF('01_Вводные'!$B$310&gt;=6,'19_Расчет_аналитики'!T3653,0))</f>
        <v/>
      </c>
      <c r="O3375">
        <f>SUM(IF('01_Вводные'!$B$310&gt;=1,'19_Расчет_аналитики'!P3653,0),IF('01_Вводные'!$B$310&gt;=2,'19_Расчет_аналитики'!Q3653,0),IF('01_Вводные'!$B$310&gt;=3,'19_Расчет_аналитики'!R3653,0),IF('01_Вводные'!$B$310&gt;=4,'19_Расчет_аналитики'!S3653,0),IF('01_Вводные'!$B$310&gt;=5,'19_Расчет_аналитики'!T3653,0),IF('01_Вводные'!$B$310&gt;=6,'19_Расчет_аналитики'!U3653,0))</f>
        <v/>
      </c>
      <c r="P3375">
        <f>SUM(IF('01_Вводные'!$B$310&gt;=1,'19_Расчет_аналитики'!Q3653,0),IF('01_Вводные'!$B$310&gt;=2,'19_Расчет_аналитики'!R3653,0),IF('01_Вводные'!$B$310&gt;=3,'19_Расчет_аналитики'!S3653,0),IF('01_Вводные'!$B$310&gt;=4,'19_Расчет_аналитики'!T3653,0),IF('01_Вводные'!$B$310&gt;=5,'19_Расчет_аналитики'!U3653,0),IF('01_Вводные'!$B$310&gt;=6,'19_Расчет_аналитики'!V3653,0))</f>
        <v/>
      </c>
      <c r="Q3375">
        <f>SUM(IF('01_Вводные'!$B$310&gt;=1,'19_Расчет_аналитики'!R3653,0),IF('01_Вводные'!$B$310&gt;=2,'19_Расчет_аналитики'!S3653,0),IF('01_Вводные'!$B$310&gt;=3,'19_Расчет_аналитики'!T3653,0),IF('01_Вводные'!$B$310&gt;=4,'19_Расчет_аналитики'!U3653,0),IF('01_Вводные'!$B$310&gt;=5,'19_Расчет_аналитики'!V3653,0),IF('01_Вводные'!$B$310&gt;=6,'19_Расчет_аналитики'!W3653,0))</f>
        <v/>
      </c>
      <c r="R3375">
        <f>SUM(IF('01_Вводные'!$B$310&gt;=1,'19_Расчет_аналитики'!S3653,0),IF('01_Вводные'!$B$310&gt;=2,'19_Расчет_аналитики'!T3653,0),IF('01_Вводные'!$B$310&gt;=3,'19_Расчет_аналитики'!U3653,0),IF('01_Вводные'!$B$310&gt;=4,'19_Расчет_аналитики'!V3653,0),IF('01_Вводные'!$B$310&gt;=5,'19_Расчет_аналитики'!W3653,0),IF('01_Вводные'!$B$310&gt;=6,'19_Расчет_аналитики'!X3653,0))</f>
        <v/>
      </c>
      <c r="S3375">
        <f>SUM(IF('01_Вводные'!$B$310&gt;=1,'19_Расчет_аналитики'!T3653,0),IF('01_Вводные'!$B$310&gt;=2,'19_Расчет_аналитики'!U3653,0),IF('01_Вводные'!$B$310&gt;=3,'19_Расчет_аналитики'!V3653,0),IF('01_Вводные'!$B$310&gt;=4,'19_Расчет_аналитики'!W3653,0),IF('01_Вводные'!$B$310&gt;=5,'19_Расчет_аналитики'!X3653,0),IF('01_Вводные'!$B$310&gt;=6,'19_Расчет_аналитики'!Y3653,0))</f>
        <v/>
      </c>
      <c r="T3375">
        <f>SUM(IF('01_Вводные'!$B$310&gt;=1,'19_Расчет_аналитики'!U3653,0),IF('01_Вводные'!$B$310&gt;=2,'19_Расчет_аналитики'!V3653,0),IF('01_Вводные'!$B$310&gt;=3,'19_Расчет_аналитики'!W3653,0),IF('01_Вводные'!$B$310&gt;=4,'19_Расчет_аналитики'!X3653,0),IF('01_Вводные'!$B$310&gt;=5,'19_Расчет_аналитики'!Y3653,0),IF('01_Вводные'!$B$310&gt;=6,'19_Расчет_аналитики'!Z3653,0))</f>
        <v/>
      </c>
      <c r="U3375">
        <f>SUM(IF('01_Вводные'!$B$310&gt;=1,'19_Расчет_аналитики'!V3653,0),IF('01_Вводные'!$B$310&gt;=2,'19_Расчет_аналитики'!W3653,0),IF('01_Вводные'!$B$310&gt;=3,'19_Расчет_аналитики'!X3653,0),IF('01_Вводные'!$B$310&gt;=4,'19_Расчет_аналитики'!Y3653,0),IF('01_Вводные'!$B$310&gt;=5,'19_Расчет_аналитики'!Z3653,0),IF('01_Вводные'!$B$310&gt;=6,'19_Расчет_аналитики'!AA3653,0))</f>
        <v/>
      </c>
      <c r="V3375">
        <f>SUM(IF('01_Вводные'!$B$310&gt;=1,'19_Расчет_аналитики'!W3653,0),IF('01_Вводные'!$B$310&gt;=2,'19_Расчет_аналитики'!X3653,0),IF('01_Вводные'!$B$310&gt;=3,'19_Расчет_аналитики'!Y3653,0),IF('01_Вводные'!$B$310&gt;=4,'19_Расчет_аналитики'!Z3653,0),IF('01_Вводные'!$B$310&gt;=5,'19_Расчет_аналитики'!AA3653,0),IF('01_Вводные'!$B$310&gt;=6,'19_Расчет_аналитики'!AB3653,0))</f>
        <v/>
      </c>
      <c r="W3375">
        <f>SUM(IF('01_Вводные'!$B$310&gt;=1,'19_Расчет_аналитики'!X3653,0),IF('01_Вводные'!$B$310&gt;=2,'19_Расчет_аналитики'!Y3653,0),IF('01_Вводные'!$B$310&gt;=3,'19_Расчет_аналитики'!Z3653,0),IF('01_Вводные'!$B$310&gt;=4,'19_Расчет_аналитики'!AA3653,0),IF('01_Вводные'!$B$310&gt;=5,'19_Расчет_аналитики'!AB3653,0),IF('01_Вводные'!$B$310&gt;=6,'19_Расчет_аналитики'!AC3653,0))</f>
        <v/>
      </c>
      <c r="X3375">
        <f>SUM(IF('01_Вводные'!$B$310&gt;=1,'19_Расчет_аналитики'!Y3653,0),IF('01_Вводные'!$B$310&gt;=2,'19_Расчет_аналитики'!Z3653,0),IF('01_Вводные'!$B$310&gt;=3,'19_Расчет_аналитики'!AA3653,0),IF('01_Вводные'!$B$310&gt;=4,'19_Расчет_аналитики'!AB3653,0),IF('01_Вводные'!$B$310&gt;=5,'19_Расчет_аналитики'!AC3653,0),IF('01_Вводные'!$B$310&gt;=6,'19_Расчет_аналитики'!AD3653,0))</f>
        <v/>
      </c>
      <c r="Y3375">
        <f>SUM(IF('01_Вводные'!$B$310&gt;=1,'19_Расчет_аналитики'!Z3653,0),IF('01_Вводные'!$B$310&gt;=2,'19_Расчет_аналитики'!AA3653,0),IF('01_Вводные'!$B$310&gt;=3,'19_Расчет_аналитики'!AB3653,0),IF('01_Вводные'!$B$310&gt;=4,'19_Расчет_аналитики'!AC3653,0),IF('01_Вводные'!$B$310&gt;=5,'19_Расчет_аналитики'!AD3653,0),IF('01_Вводные'!$B$310&gt;=6,'19_Расчет_аналитики'!AE3653,0))</f>
        <v/>
      </c>
      <c r="Z3375">
        <f>SUM(IF('01_Вводные'!$B$310&gt;=1,'19_Расчет_аналитики'!AA3653,0),IF('01_Вводные'!$B$310&gt;=2,'19_Расчет_аналитики'!AB3653,0),IF('01_Вводные'!$B$310&gt;=3,'19_Расчет_аналитики'!AC3653,0),IF('01_Вводные'!$B$310&gt;=4,'19_Расчет_аналитики'!AD3653,0),IF('01_Вводные'!$B$310&gt;=5,'19_Расчет_аналитики'!AE3653,0),IF('01_Вводные'!$B$310&gt;=6,'19_Расчет_аналитики'!AF3653,0))</f>
        <v/>
      </c>
      <c r="AA3375">
        <f>SUM(IF('01_Вводные'!$B$310&gt;=1,'19_Расчет_аналитики'!AB3653,0),IF('01_Вводные'!$B$310&gt;=2,'19_Расчет_аналитики'!AC3653,0),IF('01_Вводные'!$B$310&gt;=3,'19_Расчет_аналитики'!AD3653,0),IF('01_Вводные'!$B$310&gt;=4,'19_Расчет_аналитики'!AE3653,0),IF('01_Вводные'!$B$310&gt;=5,'19_Расчет_аналитики'!AF3653,0),IF('01_Вводные'!$B$310&gt;=6,'19_Расчет_аналитики'!AG3653,0))</f>
        <v/>
      </c>
      <c r="AB3375">
        <f>SUM(IF('01_Вводные'!$B$310&gt;=1,'19_Расчет_аналитики'!AC3653,0),IF('01_Вводные'!$B$310&gt;=2,'19_Расчет_аналитики'!AD3653,0),IF('01_Вводные'!$B$310&gt;=3,'19_Расчет_аналитики'!AE3653,0),IF('01_Вводные'!$B$310&gt;=4,'19_Расчет_аналитики'!AF3653,0),IF('01_Вводные'!$B$310&gt;=5,'19_Расчет_аналитики'!AG3653,0),IF('01_Вводные'!$B$310&gt;=6,'19_Расчет_аналитики'!AH3653,0))</f>
        <v/>
      </c>
      <c r="AC3375">
        <f>SUM(IF('01_Вводные'!$B$310&gt;=1,'19_Расчет_аналитики'!AD3653,0),IF('01_Вводные'!$B$310&gt;=2,'19_Расчет_аналитики'!AE3653,0),IF('01_Вводные'!$B$310&gt;=3,'19_Расчет_аналитики'!AF3653,0),IF('01_Вводные'!$B$310&gt;=4,'19_Расчет_аналитики'!AG3653,0),IF('01_Вводные'!$B$310&gt;=5,'19_Расчет_аналитики'!AH3653,0),IF('01_Вводные'!$B$310&gt;=6,'19_Расчет_аналитики'!AI3653,0))</f>
        <v/>
      </c>
      <c r="AD3375">
        <f>SUM(IF('01_Вводные'!$B$310&gt;=1,'19_Расчет_аналитики'!AE3653,0),IF('01_Вводные'!$B$310&gt;=2,'19_Расчет_аналитики'!AF3653,0),IF('01_Вводные'!$B$310&gt;=3,'19_Расчет_аналитики'!AG3653,0),IF('01_Вводные'!$B$310&gt;=4,'19_Расчет_аналитики'!AH3653,0),IF('01_Вводные'!$B$310&gt;=5,'19_Расчет_аналитики'!AI3653,0),IF('01_Вводные'!$B$310&gt;=6,'19_Расчет_аналитики'!AJ3653,0))</f>
        <v/>
      </c>
      <c r="AE3375">
        <f>SUM(IF('01_Вводные'!$B$310&gt;=1,'19_Расчет_аналитики'!AF3653,0),IF('01_Вводные'!$B$310&gt;=2,'19_Расчет_аналитики'!AG3653,0),IF('01_Вводные'!$B$310&gt;=3,'19_Расчет_аналитики'!AH3653,0),IF('01_Вводные'!$B$310&gt;=4,'19_Расчет_аналитики'!AI3653,0),IF('01_Вводные'!$B$310&gt;=5,'19_Расчет_аналитики'!AJ3653,0),IF('01_Вводные'!$B$310&gt;=6,'19_Расчет_аналитики'!AK3653,0))</f>
        <v/>
      </c>
      <c r="AF3375">
        <f>SUM(IF('01_Вводные'!$B$310&gt;=1,'19_Расчет_аналитики'!AG3653,0),IF('01_Вводные'!$B$310&gt;=2,'19_Расчет_аналитики'!AH3653,0),IF('01_Вводные'!$B$310&gt;=3,'19_Расчет_аналитики'!AI3653,0),IF('01_Вводные'!$B$310&gt;=4,'19_Расчет_аналитики'!AJ3653,0),IF('01_Вводные'!$B$310&gt;=5,'19_Расчет_аналитики'!AK3653,0),IF('01_Вводные'!$B$310&gt;=6,'19_Расчет_аналитики'!AL3653,0))</f>
        <v/>
      </c>
      <c r="AG3375">
        <f>SUM(IF('01_Вводные'!$B$310&gt;=1,'19_Расчет_аналитики'!AH3653,0),IF('01_Вводные'!$B$310&gt;=2,'19_Расчет_аналитики'!AI3653,0),IF('01_Вводные'!$B$310&gt;=3,'19_Расчет_аналитики'!AJ3653,0),IF('01_Вводные'!$B$310&gt;=4,'19_Расчет_аналитики'!AK3653,0),IF('01_Вводные'!$B$310&gt;=5,'19_Расчет_аналитики'!AL3653,0),IF('01_Вводные'!$B$310&gt;=6,'19_Расчет_аналитики'!AM3653,0))</f>
        <v/>
      </c>
      <c r="AH3375">
        <f>SUM(IF('01_Вводные'!$B$310&gt;=1,'19_Расчет_аналитики'!AI3653,0),IF('01_Вводные'!$B$310&gt;=2,'19_Расчет_аналитики'!AJ3653,0),IF('01_Вводные'!$B$310&gt;=3,'19_Расчет_аналитики'!AK3653,0),IF('01_Вводные'!$B$310&gt;=4,'19_Расчет_аналитики'!AL3653,0),IF('01_Вводные'!$B$310&gt;=5,'19_Расчет_аналитики'!AM3653,0),IF('01_Вводные'!$B$310&gt;=6,'19_Расчет_аналитики'!AN3653,0))</f>
        <v/>
      </c>
      <c r="AI3375">
        <f>SUM(IF('01_Вводные'!$B$310&gt;=1,'19_Расчет_аналитики'!AJ3653,0),IF('01_Вводные'!$B$310&gt;=2,'19_Расчет_аналитики'!AK3653,0),IF('01_Вводные'!$B$310&gt;=3,'19_Расчет_аналитики'!AL3653,0),IF('01_Вводные'!$B$310&gt;=4,'19_Расчет_аналитики'!AM3653,0),IF('01_Вводные'!$B$310&gt;=5,'19_Расчет_аналитики'!AN3653,0),IF('01_Вводные'!$B$310&gt;=6,'19_Расчет_аналитики'!AO3653,0))</f>
        <v/>
      </c>
      <c r="AJ3375">
        <f>SUM(IF('01_Вводные'!$B$310&gt;=1,'19_Расчет_аналитики'!AK3653,0),IF('01_Вводные'!$B$310&gt;=2,'19_Расчет_аналитики'!AL3653,0),IF('01_Вводные'!$B$310&gt;=3,'19_Расчет_аналитики'!AM3653,0),IF('01_Вводные'!$B$310&gt;=4,'19_Расчет_аналитики'!AN3653,0),IF('01_Вводные'!$B$310&gt;=5,'19_Расчет_аналитики'!AO3653,0),IF('01_Вводные'!$B$310&gt;=6,'19_Расчет_аналитики'!AP3653,0))</f>
        <v/>
      </c>
      <c r="AK3375">
        <f>SUM(IF('01_Вводные'!$B$310&gt;=1,'19_Расчет_аналитики'!AL3653,0),IF('01_Вводные'!$B$310&gt;=2,'19_Расчет_аналитики'!AM3653,0),IF('01_Вводные'!$B$310&gt;=3,'19_Расчет_аналитики'!AN3653,0),IF('01_Вводные'!$B$310&gt;=4,'19_Расчет_аналитики'!AO3653,0),IF('01_Вводные'!$B$310&gt;=5,'19_Расчет_аналитики'!AP3653,0),IF('01_Вводные'!$B$310&gt;=6,'19_Расчет_аналитики'!AQ3653,0))</f>
        <v/>
      </c>
      <c r="AL3375">
        <f>SUM(IF('01_Вводные'!$B$310&gt;=1,'19_Расчет_аналитики'!AM3653,0),IF('01_Вводные'!$B$310&gt;=2,'19_Расчет_аналитики'!AN3653,0),IF('01_Вводные'!$B$310&gt;=3,'19_Расчет_аналитики'!AO3653,0),IF('01_Вводные'!$B$310&gt;=4,'19_Расчет_аналитики'!AP3653,0),IF('01_Вводные'!$B$310&gt;=5,'19_Расчет_аналитики'!AQ3653,0),IF('01_Вводные'!$B$310&gt;=6,'19_Расчет_аналитики'!AR3653,0))</f>
        <v/>
      </c>
      <c r="AM3375">
        <f>SUM(IF('01_Вводные'!$B$310&gt;=1,'19_Расчет_аналитики'!AN3653,0),IF('01_Вводные'!$B$310&gt;=2,'19_Расчет_аналитики'!AO3653,0),IF('01_Вводные'!$B$310&gt;=3,'19_Расчет_аналитики'!AP3653,0),IF('01_Вводные'!$B$310&gt;=4,'19_Расчет_аналитики'!AQ3653,0),IF('01_Вводные'!$B$310&gt;=5,'19_Расчет_аналитики'!AR3653,0),IF('01_Вводные'!$B$310&gt;=6,'19_Расчет_аналитики'!AS3653,0))</f>
        <v/>
      </c>
      <c r="AN3375">
        <f>SUM(IF('01_Вводные'!$B$310&gt;=1,'19_Расчет_аналитики'!AO3653,0),IF('01_Вводные'!$B$310&gt;=2,'19_Расчет_аналитики'!AP3653,0),IF('01_Вводные'!$B$310&gt;=3,'19_Расчет_аналитики'!AQ3653,0),IF('01_Вводные'!$B$310&gt;=4,'19_Расчет_аналитики'!AR3653,0),IF('01_Вводные'!$B$310&gt;=5,'19_Расчет_аналитики'!AS3653,0),IF('01_Вводные'!$B$310&gt;=6,'19_Расчет_аналитики'!AT3653,0))</f>
        <v/>
      </c>
      <c r="AO3375">
        <f>SUM(IF('01_Вводные'!$B$310&gt;=1,'19_Расчет_аналитики'!AP3653,0),IF('01_Вводные'!$B$310&gt;=2,'19_Расчет_аналитики'!AQ3653,0),IF('01_Вводные'!$B$310&gt;=3,'19_Расчет_аналитики'!AR3653,0),IF('01_Вводные'!$B$310&gt;=4,'19_Расчет_аналитики'!AS3653,0),IF('01_Вводные'!$B$310&gt;=5,'19_Расчет_аналитики'!AT3653,0),IF('01_Вводные'!$B$310&gt;=6,'19_Расчет_аналитики'!AU3653,0))</f>
        <v/>
      </c>
      <c r="AP3375">
        <f>SUM(IF('01_Вводные'!$B$310&gt;=1,'19_Расчет_аналитики'!AQ3653,0),IF('01_Вводные'!$B$310&gt;=2,'19_Расчет_аналитики'!AR3653,0),IF('01_Вводные'!$B$310&gt;=3,'19_Расчет_аналитики'!AS3653,0),IF('01_Вводные'!$B$310&gt;=4,'19_Расчет_аналитики'!AT3653,0),IF('01_Вводные'!$B$310&gt;=5,'19_Расчет_аналитики'!AU3653,0),IF('01_Вводные'!$B$310&gt;=6,'19_Расчет_аналитики'!AV3653,0))</f>
        <v/>
      </c>
      <c r="AQ3375">
        <f>SUM(IF('01_Вводные'!$B$310&gt;=1,'19_Расчет_аналитики'!AR3653,0),IF('01_Вводные'!$B$310&gt;=2,'19_Расчет_аналитики'!AS3653,0),IF('01_Вводные'!$B$310&gt;=3,'19_Расчет_аналитики'!AT3653,0),IF('01_Вводные'!$B$310&gt;=4,'19_Расчет_аналитики'!AU3653,0),IF('01_Вводные'!$B$310&gt;=5,'19_Расчет_аналитики'!AV3653,0),IF('01_Вводные'!$B$310&gt;=6,'19_Расчет_аналитики'!AW3653,0))</f>
        <v/>
      </c>
      <c r="AR3375">
        <f>SUM(IF('01_Вводные'!$B$310&gt;=1,'19_Расчет_аналитики'!AS3653,0),IF('01_Вводные'!$B$310&gt;=2,'19_Расчет_аналитики'!AT3653,0),IF('01_Вводные'!$B$310&gt;=3,'19_Расчет_аналитики'!AU3653,0),IF('01_Вводные'!$B$310&gt;=4,'19_Расчет_аналитики'!AV3653,0),IF('01_Вводные'!$B$310&gt;=5,'19_Расчет_аналитики'!AW3653,0),IF('01_Вводные'!$B$310&gt;=6,'19_Расчет_аналитики'!AX3653,0))</f>
        <v/>
      </c>
      <c r="AS3375">
        <f>SUM(IF('01_Вводные'!$B$310&gt;=1,'19_Расчет_аналитики'!AT3653,0),IF('01_Вводные'!$B$310&gt;=2,'19_Расчет_аналитики'!AU3653,0),IF('01_Вводные'!$B$310&gt;=3,'19_Расчет_аналитики'!AV3653,0),IF('01_Вводные'!$B$310&gt;=4,'19_Расчет_аналитики'!AW3653,0),IF('01_Вводные'!$B$310&gt;=5,'19_Расчет_аналитики'!AX3653,0),IF('01_Вводные'!$B$310&gt;=6,'19_Расчет_аналитики'!AY3653,0))</f>
        <v/>
      </c>
      <c r="AT3375">
        <f>SUM(IF('01_Вводные'!$B$310&gt;=1,'19_Расчет_аналитики'!AU3653,0),IF('01_Вводные'!$B$310&gt;=2,'19_Расчет_аналитики'!AV3653,0),IF('01_Вводные'!$B$310&gt;=3,'19_Расчет_аналитики'!AW3653,0),IF('01_Вводные'!$B$310&gt;=4,'19_Расчет_аналитики'!AX3653,0),IF('01_Вводные'!$B$310&gt;=5,'19_Расчет_аналитики'!AY3653,0),IF('01_Вводные'!$B$310&gt;=6,'19_Расчет_аналитики'!AZ3653,0))</f>
        <v/>
      </c>
      <c r="AU3375">
        <f>SUM(IF('01_Вводные'!$B$310&gt;=1,'19_Расчет_аналитики'!AV3653,0),IF('01_Вводные'!$B$310&gt;=2,'19_Расчет_аналитики'!AW3653,0),IF('01_Вводные'!$B$310&gt;=3,'19_Расчет_аналитики'!AX3653,0),IF('01_Вводные'!$B$310&gt;=4,'19_Расчет_аналитики'!AY3653,0),IF('01_Вводные'!$B$310&gt;=5,'19_Расчет_аналитики'!AZ3653,0),IF('01_Вводные'!$B$310&gt;=6,'19_Расчет_аналитики'!BA3653,0))</f>
        <v/>
      </c>
      <c r="AV3375">
        <f>SUM(IF('01_Вводные'!$B$310&gt;=1,'19_Расчет_аналитики'!AW3653,0),IF('01_Вводные'!$B$310&gt;=2,'19_Расчет_аналитики'!AX3653,0),IF('01_Вводные'!$B$310&gt;=3,'19_Расчет_аналитики'!AY3653,0),IF('01_Вводные'!$B$310&gt;=4,'19_Расчет_аналитики'!AZ3653,0),IF('01_Вводные'!$B$310&gt;=5,'19_Расчет_аналитики'!BA3653,0),IF('01_Вводные'!$B$310&gt;=6,'19_Расчет_аналитики'!BB3653,0))</f>
        <v/>
      </c>
      <c r="AW3375">
        <f>SUM(IF('01_Вводные'!$B$310&gt;=1,'19_Расчет_аналитики'!AX3653,0),IF('01_Вводные'!$B$310&gt;=2,'19_Расчет_аналитики'!AY3653,0),IF('01_Вводные'!$B$310&gt;=3,'19_Расчет_аналитики'!AZ3653,0),IF('01_Вводные'!$B$310&gt;=4,'19_Расчет_аналитики'!BA3653,0),IF('01_Вводные'!$B$310&gt;=5,'19_Расчет_аналитики'!BB3653,0),IF('01_Вводные'!$B$310&gt;=6,'19_Расчет_аналитики'!BC3653,0))</f>
        <v/>
      </c>
      <c r="AX3375">
        <f>SUM(IF('01_Вводные'!$B$310&gt;=1,'19_Расчет_аналитики'!AY3653,0),IF('01_Вводные'!$B$310&gt;=2,'19_Расчет_аналитики'!AZ3653,0),IF('01_Вводные'!$B$310&gt;=3,'19_Расчет_аналитики'!BA3653,0),IF('01_Вводные'!$B$310&gt;=4,'19_Расчет_аналитики'!BB3653,0),IF('01_Вводные'!$B$310&gt;=5,'19_Расчет_аналитики'!BC3653,0),IF('01_Вводные'!$B$310&gt;=6,'19_Расчет_аналитики'!BD3653,0))</f>
        <v/>
      </c>
      <c r="AY3375">
        <f>SUM(IF('01_Вводные'!$B$310&gt;=1,'19_Расчет_аналитики'!AZ3653,0),IF('01_Вводные'!$B$310&gt;=2,'19_Расчет_аналитики'!BA3653,0),IF('01_Вводные'!$B$310&gt;=3,'19_Расчет_аналитики'!BB3653,0),IF('01_Вводные'!$B$310&gt;=4,'19_Расчет_аналитики'!BC3653,0),IF('01_Вводные'!$B$310&gt;=5,'19_Расчет_аналитики'!BD3653,0),IF('01_Вводные'!$B$310&gt;=6,'19_Расчет_аналитики'!BE3653,0))</f>
        <v/>
      </c>
      <c r="AZ3375">
        <f>SUM(IF('01_Вводные'!$B$310&gt;=1,'19_Расчет_аналитики'!BA3653,0),IF('01_Вводные'!$B$310&gt;=2,'19_Расчет_аналитики'!BB3653,0),IF('01_Вводные'!$B$310&gt;=3,'19_Расчет_аналитики'!BC3653,0),IF('01_Вводные'!$B$310&gt;=4,'19_Расчет_аналитики'!BD3653,0),IF('01_Вводные'!$B$310&gt;=5,'19_Расчет_аналитики'!BE3653,0),IF('01_Вводные'!$B$310&gt;=6,'19_Расчет_аналитики'!BF3653,0))</f>
        <v/>
      </c>
      <c r="BA3375">
        <f>SUM(IF('01_Вводные'!$B$310&gt;=1,'19_Расчет_аналитики'!BB3653,0),IF('01_Вводные'!$B$310&gt;=2,'19_Расчет_аналитики'!BC3653,0),IF('01_Вводные'!$B$310&gt;=3,'19_Расчет_аналитики'!BD3653,0),IF('01_Вводные'!$B$310&gt;=4,'19_Расчет_аналитики'!BE3653,0),IF('01_Вводные'!$B$310&gt;=5,'19_Расчет_аналитики'!BF3653,0),IF('01_Вводные'!$B$310&gt;=6,'19_Расчет_аналитики'!BG3653,0))</f>
        <v/>
      </c>
      <c r="BB3375">
        <f>SUM(IF('01_Вводные'!$B$310&gt;=1,'19_Расчет_аналитики'!BC3653,0),IF('01_Вводные'!$B$310&gt;=2,'19_Расчет_аналитики'!BD3653,0),IF('01_Вводные'!$B$310&gt;=3,'19_Расчет_аналитики'!BE3653,0),IF('01_Вводные'!$B$310&gt;=4,'19_Расчет_аналитики'!BF3653,0),IF('01_Вводные'!$B$310&gt;=5,'19_Расчет_аналитики'!BG3653,0),IF('01_Вводные'!$B$310&gt;=6,'19_Расчет_аналитики'!BH3653,0))</f>
        <v/>
      </c>
      <c r="BC3375">
        <f>SUM(IF('01_Вводные'!$B$310&gt;=1,'19_Расчет_аналитики'!BD3653,0),IF('01_Вводные'!$B$310&gt;=2,'19_Расчет_аналитики'!BE3653,0),IF('01_Вводные'!$B$310&gt;=3,'19_Расчет_аналитики'!BF3653,0),IF('01_Вводные'!$B$310&gt;=4,'19_Расчет_аналитики'!BG3653,0),IF('01_Вводные'!$B$310&gt;=5,'19_Расчет_аналитики'!BH3653,0),IF('01_Вводные'!$B$310&gt;=6,'19_Расчет_аналитики'!BI3653,0))</f>
        <v/>
      </c>
      <c r="BD3375">
        <f>SUM(IF('01_Вводные'!$B$310&gt;=1,'19_Расчет_аналитики'!BE3653,0),IF('01_Вводные'!$B$310&gt;=2,'19_Расчет_аналитики'!BF3653,0),IF('01_Вводные'!$B$310&gt;=3,'19_Расчет_аналитики'!BG3653,0),IF('01_Вводные'!$B$310&gt;=4,'19_Расчет_аналитики'!BH3653,0),IF('01_Вводные'!$B$310&gt;=5,'19_Расчет_аналитики'!BI3653,0),IF('01_Вводные'!$B$310&gt;=6,'19_Расчет_аналитики'!BJ3653,0))</f>
        <v/>
      </c>
      <c r="BE3375">
        <f>SUM(IF('01_Вводные'!$B$310&gt;=1,'19_Расчет_аналитики'!BF3653,0),IF('01_Вводные'!$B$310&gt;=2,'19_Расчет_аналитики'!BG3653,0),IF('01_Вводные'!$B$310&gt;=3,'19_Расчет_аналитики'!BH3653,0),IF('01_Вводные'!$B$310&gt;=4,'19_Расчет_аналитики'!BI3653,0),IF('01_Вводные'!$B$310&gt;=5,'19_Расчет_аналитики'!BJ3653,0),IF('01_Вводные'!$B$310&gt;=6,'19_Расчет_аналитики'!BK3653,0))</f>
        <v/>
      </c>
      <c r="BF3375">
        <f>SUM(IF('01_Вводные'!$B$310&gt;=1,'19_Расчет_аналитики'!BG3653,0),IF('01_Вводные'!$B$310&gt;=2,'19_Расчет_аналитики'!BH3653,0),IF('01_Вводные'!$B$310&gt;=3,'19_Расчет_аналитики'!BI3653,0),IF('01_Вводные'!$B$310&gt;=4,'19_Расчет_аналитики'!BJ3653,0),IF('01_Вводные'!$B$310&gt;=5,'19_Расчет_аналитики'!BK3653,0),IF('01_Вводные'!$B$310&gt;=6,'19_Расчет_аналитики'!BL3653,0))</f>
        <v/>
      </c>
      <c r="BG3375">
        <f>SUM(IF('01_Вводные'!$B$310&gt;=1,'19_Расчет_аналитики'!BH3653,0),IF('01_Вводные'!$B$310&gt;=2,'19_Расчет_аналитики'!BI3653,0),IF('01_Вводные'!$B$310&gt;=3,'19_Расчет_аналитики'!BJ3653,0),IF('01_Вводные'!$B$310&gt;=4,'19_Расчет_аналитики'!BK3653,0),IF('01_Вводные'!$B$310&gt;=5,'19_Расчет_аналитики'!BL3653,0),IF('01_Вводные'!$B$310&gt;=6,'19_Расчет_аналитики'!BM3653,0))</f>
        <v/>
      </c>
      <c r="BH3375">
        <f>SUM(IF('01_Вводные'!$B$310&gt;=1,'19_Расчет_аналитики'!BI3653,0),IF('01_Вводные'!$B$310&gt;=2,'19_Расчет_аналитики'!BJ3653,0),IF('01_Вводные'!$B$310&gt;=3,'19_Расчет_аналитики'!BK3653,0),IF('01_Вводные'!$B$310&gt;=4,'19_Расчет_аналитики'!BL3653,0),IF('01_Вводные'!$B$310&gt;=5,'19_Расчет_аналитики'!BM3653,0),IF('01_Вводные'!$B$310&gt;=6,'19_Расчет_аналитики'!BN3653,0))</f>
        <v/>
      </c>
      <c r="BI3375">
        <f>SUM(IF('01_Вводные'!$B$310&gt;=1,'19_Расчет_аналитики'!BJ3653,0),IF('01_Вводные'!$B$310&gt;=2,'19_Расчет_аналитики'!BK3653,0),IF('01_Вводные'!$B$310&gt;=3,'19_Расчет_аналитики'!BL3653,0),IF('01_Вводные'!$B$310&gt;=4,'19_Расчет_аналитики'!BM3653,0),IF('01_Вводные'!$B$310&gt;=5,'19_Расчет_аналитики'!BN3653,0),IF('01_Вводные'!$B$310&gt;=6,'19_Расчет_аналитики'!BO3653,0))</f>
        <v/>
      </c>
      <c r="BJ3375">
        <f>SUM(IF('01_Вводные'!$B$310&gt;=1,'19_Расчет_аналитики'!BK3653,0),IF('01_Вводные'!$B$310&gt;=2,'19_Расчет_аналитики'!BL3653,0),IF('01_Вводные'!$B$310&gt;=3,'19_Расчет_аналитики'!BM3653,0),IF('01_Вводные'!$B$310&gt;=4,'19_Расчет_аналитики'!BN3653,0),IF('01_Вводные'!$B$310&gt;=5,'19_Расчет_аналитики'!BO3653,0),IF('01_Вводные'!$B$310&gt;=6,'19_Расчет_аналитики'!BP3653,0))</f>
        <v/>
      </c>
      <c r="BK3375">
        <f>SUM(IF('01_Вводные'!$B$310&gt;=1,'19_Расчет_аналитики'!BL3653,0),IF('01_Вводные'!$B$310&gt;=2,'19_Расчет_аналитики'!BM3653,0),IF('01_Вводные'!$B$310&gt;=3,'19_Расчет_аналитики'!BN3653,0),IF('01_Вводные'!$B$310&gt;=4,'19_Расчет_аналитики'!BO3653,0),IF('01_Вводные'!$B$310&gt;=5,'19_Расчет_аналитики'!BP3653,0),IF('01_Вводные'!$B$310&gt;=6,'19_Расчет_аналитики'!BQ3653,0))</f>
        <v/>
      </c>
      <c r="BL3375">
        <f>SUM(IF('01_Вводные'!$B$310&gt;=1,'19_Расчет_аналитики'!BM3653,0),IF('01_Вводные'!$B$310&gt;=2,'19_Расчет_аналитики'!BN3653,0),IF('01_Вводные'!$B$310&gt;=3,'19_Расчет_аналитики'!BO3653,0),IF('01_Вводные'!$B$310&gt;=4,'19_Расчет_аналитики'!BP3653,0),IF('01_Вводные'!$B$310&gt;=5,'19_Расчет_аналитики'!BQ3653,0),IF('01_Вводные'!$B$310&gt;=6,'19_Расчет_аналитики'!BR3653,0))</f>
        <v/>
      </c>
      <c r="BM3375">
        <f>SUM(IF('01_Вводные'!$B$310&gt;=1,'19_Расчет_аналитики'!BN3653,0),IF('01_Вводные'!$B$310&gt;=2,'19_Расчет_аналитики'!BO3653,0),IF('01_Вводные'!$B$310&gt;=3,'19_Расчет_аналитики'!BP3653,0),IF('01_Вводные'!$B$310&gt;=4,'19_Расчет_аналитики'!BQ3653,0),IF('01_Вводные'!$B$310&gt;=5,'19_Расчет_аналитики'!BR3653,0),IF('01_Вводные'!$B$310&gt;=6,'19_Расчет_аналитики'!BS3653,0))</f>
        <v/>
      </c>
      <c r="BN3375">
        <f>SUM(IF('01_Вводные'!$B$310&gt;=1,'19_Расчет_аналитики'!BO3653,0),IF('01_Вводные'!$B$310&gt;=2,'19_Расчет_аналитики'!BP3653,0),IF('01_Вводные'!$B$310&gt;=3,'19_Расчет_аналитики'!BQ3653,0),IF('01_Вводные'!$B$310&gt;=4,'19_Расчет_аналитики'!BR3653,0),IF('01_Вводные'!$B$310&gt;=5,'19_Расчет_аналитики'!BS3653,0),IF('01_Вводные'!$B$310&gt;=6,'19_Расчет_аналитики'!BT3653,0))</f>
        <v/>
      </c>
      <c r="BO3375">
        <f>SUM(IF('01_Вводные'!$B$310&gt;=1,'19_Расчет_аналитики'!BP3653,0),IF('01_Вводные'!$B$310&gt;=2,'19_Расчет_аналитики'!BQ3653,0),IF('01_Вводные'!$B$310&gt;=3,'19_Расчет_аналитики'!BR3653,0),IF('01_Вводные'!$B$310&gt;=4,'19_Расчет_аналитики'!BS3653,0),IF('01_Вводные'!$B$310&gt;=5,'19_Расчет_аналитики'!BT3653,0),IF('01_Вводные'!$B$310&gt;=6,'19_Расчет_аналитики'!BU3653,0))</f>
        <v/>
      </c>
    </row>
    <row r="3376">
      <c r="C3376">
        <f>IF('01_Вводные'!$B$234="Да",IF('01_Вводные'!$B$25&gt;0,ROUNDUP(ROUND('19_Расчет_аналитики'!C3374/'01_Вводные'!$B$25,10),0),0),0)</f>
        <v/>
      </c>
      <c r="D3376">
        <f>IF('01_Вводные'!$B$234="Да",IF('01_Вводные'!$B$25&gt;0,ROUNDUP(ROUND('19_Расчет_аналитики'!D3374/'01_Вводные'!$B$25,10),0),0),0)</f>
        <v/>
      </c>
      <c r="E3376">
        <f>IF('01_Вводные'!$B$234="Да",IF('01_Вводные'!$B$25&gt;0,ROUNDUP(ROUND('19_Расчет_аналитики'!E3374/'01_Вводные'!$B$25,10),0),0),0)</f>
        <v/>
      </c>
      <c r="F3376">
        <f>IF('01_Вводные'!$B$234="Да",IF('01_Вводные'!$B$25&gt;0,ROUNDUP(ROUND('19_Расчет_аналитики'!F3374/'01_Вводные'!$B$25,10),0),0),0)</f>
        <v/>
      </c>
      <c r="G3376">
        <f>IF('01_Вводные'!$B$234="Да",IF('01_Вводные'!$B$25&gt;0,ROUNDUP(ROUND('19_Расчет_аналитики'!G3374/'01_Вводные'!$B$25,10),0),0),0)</f>
        <v/>
      </c>
      <c r="H3376">
        <f>IF('01_Вводные'!$B$234="Да",IF('01_Вводные'!$B$25&gt;0,ROUNDUP(ROUND('19_Расчет_аналитики'!H3374/'01_Вводные'!$B$25,10),0),0),0)</f>
        <v/>
      </c>
      <c r="I3376">
        <f>IF('01_Вводные'!$B$234="Да",IF('01_Вводные'!$B$25&gt;0,ROUNDUP(ROUND('19_Расчет_аналитики'!I3374/'01_Вводные'!$B$25,10),0),0),0)</f>
        <v/>
      </c>
      <c r="J3376">
        <f>IF('01_Вводные'!$B$234="Да",IF('01_Вводные'!$B$25&gt;0,ROUNDUP(ROUND('19_Расчет_аналитики'!J3374/'01_Вводные'!$B$25,10),0),0),0)</f>
        <v/>
      </c>
      <c r="K3376">
        <f>IF('01_Вводные'!$B$234="Да",IF('01_Вводные'!$B$25&gt;0,ROUNDUP(ROUND('19_Расчет_аналитики'!K3374/'01_Вводные'!$B$25,10),0),0),0)</f>
        <v/>
      </c>
      <c r="L3376">
        <f>IF('01_Вводные'!$B$234="Да",IF('01_Вводные'!$B$25&gt;0,ROUNDUP(ROUND('19_Расчет_аналитики'!L3374/'01_Вводные'!$B$25,10),0),0),0)</f>
        <v/>
      </c>
      <c r="M3376">
        <f>IF('01_Вводные'!$B$234="Да",IF('01_Вводные'!$B$25&gt;0,ROUNDUP(ROUND('19_Расчет_аналитики'!M3374/'01_Вводные'!$B$25,10),0),0),0)</f>
        <v/>
      </c>
      <c r="N3376">
        <f>IF('01_Вводные'!$B$234="Да",IF('01_Вводные'!$B$25&gt;0,ROUNDUP(ROUND('19_Расчет_аналитики'!N3374/'01_Вводные'!$B$25,10),0),0),0)</f>
        <v/>
      </c>
      <c r="O3376">
        <f>IF('01_Вводные'!$B$234="Да",IF('01_Вводные'!$B$25&gt;0,ROUNDUP(ROUND('19_Расчет_аналитики'!O3374/'01_Вводные'!$B$25,10),0),0),0)</f>
        <v/>
      </c>
      <c r="P3376">
        <f>IF('01_Вводные'!$B$234="Да",IF('01_Вводные'!$B$25&gt;0,ROUNDUP(ROUND('19_Расчет_аналитики'!P3374/'01_Вводные'!$B$25,10),0),0),0)</f>
        <v/>
      </c>
      <c r="Q3376">
        <f>IF('01_Вводные'!$B$234="Да",IF('01_Вводные'!$B$25&gt;0,ROUNDUP(ROUND('19_Расчет_аналитики'!Q3374/'01_Вводные'!$B$25,10),0),0),0)</f>
        <v/>
      </c>
      <c r="R3376">
        <f>IF('01_Вводные'!$B$234="Да",IF('01_Вводные'!$B$25&gt;0,ROUNDUP(ROUND('19_Расчет_аналитики'!R3374/'01_Вводные'!$B$25,10),0),0),0)</f>
        <v/>
      </c>
      <c r="S3376">
        <f>IF('01_Вводные'!$B$234="Да",IF('01_Вводные'!$B$25&gt;0,ROUNDUP(ROUND('19_Расчет_аналитики'!S3374/'01_Вводные'!$B$25,10),0),0),0)</f>
        <v/>
      </c>
      <c r="T3376">
        <f>IF('01_Вводные'!$B$234="Да",IF('01_Вводные'!$B$25&gt;0,ROUNDUP(ROUND('19_Расчет_аналитики'!T3374/'01_Вводные'!$B$25,10),0),0),0)</f>
        <v/>
      </c>
      <c r="U3376">
        <f>IF('01_Вводные'!$B$234="Да",IF('01_Вводные'!$B$25&gt;0,ROUNDUP(ROUND('19_Расчет_аналитики'!U3374/'01_Вводные'!$B$25,10),0),0),0)</f>
        <v/>
      </c>
      <c r="V3376">
        <f>IF('01_Вводные'!$B$234="Да",IF('01_Вводные'!$B$25&gt;0,ROUNDUP(ROUND('19_Расчет_аналитики'!V3374/'01_Вводные'!$B$25,10),0),0),0)</f>
        <v/>
      </c>
      <c r="W3376">
        <f>IF('01_Вводные'!$B$234="Да",IF('01_Вводные'!$B$25&gt;0,ROUNDUP(ROUND('19_Расчет_аналитики'!W3374/'01_Вводные'!$B$25,10),0),0),0)</f>
        <v/>
      </c>
      <c r="X3376">
        <f>IF('01_Вводные'!$B$234="Да",IF('01_Вводные'!$B$25&gt;0,ROUNDUP(ROUND('19_Расчет_аналитики'!X3374/'01_Вводные'!$B$25,10),0),0),0)</f>
        <v/>
      </c>
      <c r="Y3376">
        <f>IF('01_Вводные'!$B$234="Да",IF('01_Вводные'!$B$25&gt;0,ROUNDUP(ROUND('19_Расчет_аналитики'!Y3374/'01_Вводные'!$B$25,10),0),0),0)</f>
        <v/>
      </c>
      <c r="Z3376">
        <f>IF('01_Вводные'!$B$234="Да",IF('01_Вводные'!$B$25&gt;0,ROUNDUP(ROUND('19_Расчет_аналитики'!Z3374/'01_Вводные'!$B$25,10),0),0),0)</f>
        <v/>
      </c>
      <c r="AA3376">
        <f>IF('01_Вводные'!$B$234="Да",IF('01_Вводные'!$B$25&gt;0,ROUNDUP(ROUND('19_Расчет_аналитики'!AA3374/'01_Вводные'!$B$25,10),0),0),0)</f>
        <v/>
      </c>
      <c r="AB3376">
        <f>IF('01_Вводные'!$B$234="Да",IF('01_Вводные'!$B$25&gt;0,ROUNDUP(ROUND('19_Расчет_аналитики'!AB3374/'01_Вводные'!$B$25,10),0),0),0)</f>
        <v/>
      </c>
      <c r="AC3376">
        <f>IF('01_Вводные'!$B$234="Да",IF('01_Вводные'!$B$25&gt;0,ROUNDUP(ROUND('19_Расчет_аналитики'!AC3374/'01_Вводные'!$B$25,10),0),0),0)</f>
        <v/>
      </c>
      <c r="AD3376">
        <f>IF('01_Вводные'!$B$234="Да",IF('01_Вводные'!$B$25&gt;0,ROUNDUP(ROUND('19_Расчет_аналитики'!AD3374/'01_Вводные'!$B$25,10),0),0),0)</f>
        <v/>
      </c>
      <c r="AE3376">
        <f>IF('01_Вводные'!$B$234="Да",IF('01_Вводные'!$B$25&gt;0,ROUNDUP(ROUND('19_Расчет_аналитики'!AE3374/'01_Вводные'!$B$25,10),0),0),0)</f>
        <v/>
      </c>
      <c r="AF3376">
        <f>IF('01_Вводные'!$B$234="Да",IF('01_Вводные'!$B$25&gt;0,ROUNDUP(ROUND('19_Расчет_аналитики'!AF3374/'01_Вводные'!$B$25,10),0),0),0)</f>
        <v/>
      </c>
      <c r="AG3376">
        <f>IF('01_Вводные'!$B$234="Да",IF('01_Вводные'!$B$25&gt;0,ROUNDUP(ROUND('19_Расчет_аналитики'!AG3374/'01_Вводные'!$B$25,10),0),0),0)</f>
        <v/>
      </c>
      <c r="AH3376">
        <f>IF('01_Вводные'!$B$234="Да",IF('01_Вводные'!$B$25&gt;0,ROUNDUP(ROUND('19_Расчет_аналитики'!AH3374/'01_Вводные'!$B$25,10),0),0),0)</f>
        <v/>
      </c>
      <c r="AI3376">
        <f>IF('01_Вводные'!$B$234="Да",IF('01_Вводные'!$B$25&gt;0,ROUNDUP(ROUND('19_Расчет_аналитики'!AI3374/'01_Вводные'!$B$25,10),0),0),0)</f>
        <v/>
      </c>
      <c r="AJ3376">
        <f>IF('01_Вводные'!$B$234="Да",IF('01_Вводные'!$B$25&gt;0,ROUNDUP(ROUND('19_Расчет_аналитики'!AJ3374/'01_Вводные'!$B$25,10),0),0),0)</f>
        <v/>
      </c>
      <c r="AK3376">
        <f>IF('01_Вводные'!$B$234="Да",IF('01_Вводные'!$B$25&gt;0,ROUNDUP(ROUND('19_Расчет_аналитики'!AK3374/'01_Вводные'!$B$25,10),0),0),0)</f>
        <v/>
      </c>
      <c r="AL3376">
        <f>IF('01_Вводные'!$B$234="Да",IF('01_Вводные'!$B$25&gt;0,ROUNDUP(ROUND('19_Расчет_аналитики'!AL3374/'01_Вводные'!$B$25,10),0),0),0)</f>
        <v/>
      </c>
      <c r="AM3376">
        <f>IF('01_Вводные'!$B$234="Да",IF('01_Вводные'!$B$25&gt;0,ROUNDUP(ROUND('19_Расчет_аналитики'!AM3374/'01_Вводные'!$B$25,10),0),0),0)</f>
        <v/>
      </c>
      <c r="AN3376">
        <f>IF('01_Вводные'!$B$234="Да",IF('01_Вводные'!$B$25&gt;0,ROUNDUP(ROUND('19_Расчет_аналитики'!AN3374/'01_Вводные'!$B$25,10),0),0),0)</f>
        <v/>
      </c>
      <c r="AO3376">
        <f>IF('01_Вводные'!$B$234="Да",IF('01_Вводные'!$B$25&gt;0,ROUNDUP(ROUND('19_Расчет_аналитики'!AO3374/'01_Вводные'!$B$25,10),0),0),0)</f>
        <v/>
      </c>
      <c r="AP3376">
        <f>IF('01_Вводные'!$B$234="Да",IF('01_Вводные'!$B$25&gt;0,ROUNDUP(ROUND('19_Расчет_аналитики'!AP3374/'01_Вводные'!$B$25,10),0),0),0)</f>
        <v/>
      </c>
      <c r="AQ3376">
        <f>IF('01_Вводные'!$B$234="Да",IF('01_Вводные'!$B$25&gt;0,ROUNDUP(ROUND('19_Расчет_аналитики'!AQ3374/'01_Вводные'!$B$25,10),0),0),0)</f>
        <v/>
      </c>
      <c r="AR3376">
        <f>IF('01_Вводные'!$B$234="Да",IF('01_Вводные'!$B$25&gt;0,ROUNDUP(ROUND('19_Расчет_аналитики'!AR3374/'01_Вводные'!$B$25,10),0),0),0)</f>
        <v/>
      </c>
      <c r="AS3376">
        <f>IF('01_Вводные'!$B$234="Да",IF('01_Вводные'!$B$25&gt;0,ROUNDUP(ROUND('19_Расчет_аналитики'!AS3374/'01_Вводные'!$B$25,10),0),0),0)</f>
        <v/>
      </c>
      <c r="AT3376">
        <f>IF('01_Вводные'!$B$234="Да",IF('01_Вводные'!$B$25&gt;0,ROUNDUP(ROUND('19_Расчет_аналитики'!AT3374/'01_Вводные'!$B$25,10),0),0),0)</f>
        <v/>
      </c>
      <c r="AU3376">
        <f>IF('01_Вводные'!$B$234="Да",IF('01_Вводные'!$B$25&gt;0,ROUNDUP(ROUND('19_Расчет_аналитики'!AU3374/'01_Вводные'!$B$25,10),0),0),0)</f>
        <v/>
      </c>
      <c r="AV3376">
        <f>IF('01_Вводные'!$B$234="Да",IF('01_Вводные'!$B$25&gt;0,ROUNDUP(ROUND('19_Расчет_аналитики'!AV3374/'01_Вводные'!$B$25,10),0),0),0)</f>
        <v/>
      </c>
      <c r="AW3376">
        <f>IF('01_Вводные'!$B$234="Да",IF('01_Вводные'!$B$25&gt;0,ROUNDUP(ROUND('19_Расчет_аналитики'!AW3374/'01_Вводные'!$B$25,10),0),0),0)</f>
        <v/>
      </c>
      <c r="AX3376">
        <f>IF('01_Вводные'!$B$234="Да",IF('01_Вводные'!$B$25&gt;0,ROUNDUP(ROUND('19_Расчет_аналитики'!AX3374/'01_Вводные'!$B$25,10),0),0),0)</f>
        <v/>
      </c>
      <c r="AY3376">
        <f>IF('01_Вводные'!$B$234="Да",IF('01_Вводные'!$B$25&gt;0,ROUNDUP(ROUND('19_Расчет_аналитики'!AY3374/'01_Вводные'!$B$25,10),0),0),0)</f>
        <v/>
      </c>
      <c r="AZ3376">
        <f>IF('01_Вводные'!$B$234="Да",IF('01_Вводные'!$B$25&gt;0,ROUNDUP(ROUND('19_Расчет_аналитики'!AZ3374/'01_Вводные'!$B$25,10),0),0),0)</f>
        <v/>
      </c>
      <c r="BA3376">
        <f>IF('01_Вводные'!$B$234="Да",IF('01_Вводные'!$B$25&gt;0,ROUNDUP(ROUND('19_Расчет_аналитики'!BA3374/'01_Вводные'!$B$25,10),0),0),0)</f>
        <v/>
      </c>
      <c r="BB3376">
        <f>IF('01_Вводные'!$B$234="Да",IF('01_Вводные'!$B$25&gt;0,ROUNDUP(ROUND('19_Расчет_аналитики'!BB3374/'01_Вводные'!$B$25,10),0),0),0)</f>
        <v/>
      </c>
      <c r="BC3376">
        <f>IF('01_Вводные'!$B$234="Да",IF('01_Вводные'!$B$25&gt;0,ROUNDUP(ROUND('19_Расчет_аналитики'!BC3374/'01_Вводные'!$B$25,10),0),0),0)</f>
        <v/>
      </c>
      <c r="BD3376">
        <f>IF('01_Вводные'!$B$234="Да",IF('01_Вводные'!$B$25&gt;0,ROUNDUP(ROUND('19_Расчет_аналитики'!BD3374/'01_Вводные'!$B$25,10),0),0),0)</f>
        <v/>
      </c>
      <c r="BE3376">
        <f>IF('01_Вводные'!$B$234="Да",IF('01_Вводные'!$B$25&gt;0,ROUNDUP(ROUND('19_Расчет_аналитики'!BE3374/'01_Вводные'!$B$25,10),0),0),0)</f>
        <v/>
      </c>
      <c r="BF3376">
        <f>IF('01_Вводные'!$B$234="Да",IF('01_Вводные'!$B$25&gt;0,ROUNDUP(ROUND('19_Расчет_аналитики'!BF3374/'01_Вводные'!$B$25,10),0),0),0)</f>
        <v/>
      </c>
      <c r="BG3376">
        <f>IF('01_Вводные'!$B$234="Да",IF('01_Вводные'!$B$25&gt;0,ROUNDUP(ROUND('19_Расчет_аналитики'!BG3374/'01_Вводные'!$B$25,10),0),0),0)</f>
        <v/>
      </c>
      <c r="BH3376">
        <f>IF('01_Вводные'!$B$234="Да",IF('01_Вводные'!$B$25&gt;0,ROUNDUP(ROUND('19_Расчет_аналитики'!BH3374/'01_Вводные'!$B$25,10),0),0),0)</f>
        <v/>
      </c>
      <c r="BI3376">
        <f>IF('01_Вводные'!$B$234="Да",IF('01_Вводные'!$B$25&gt;0,ROUNDUP(ROUND('19_Расчет_аналитики'!BI3374/'01_Вводные'!$B$25,10),0),0),0)</f>
        <v/>
      </c>
    </row>
    <row r="3377">
      <c r="B3377">
        <f>IF('01_Вводные'!$B$234="Да",IF(1&lt;='01_Вводные'!$B$15,0,INDEX('19_Расчет_аналитики'!$B$3374:$BI$3374,1,1-'01_Вводные'!$B$15))*'01_Вводные'!$B$298,0)</f>
        <v/>
      </c>
      <c r="C3377">
        <f>IF('01_Вводные'!$B$234="Да",IF(2&lt;='01_Вводные'!$B$15,0,INDEX('19_Расчет_аналитики'!$B$3374:$BI$3374,1,2-'01_Вводные'!$B$15))*'01_Вводные'!$B$298,0)</f>
        <v/>
      </c>
      <c r="D3377">
        <f>IF('01_Вводные'!$B$234="Да",IF(3&lt;='01_Вводные'!$B$15,0,INDEX('19_Расчет_аналитики'!$B$3374:$BI$3374,1,3-'01_Вводные'!$B$15))*'01_Вводные'!$B$298,0)</f>
        <v/>
      </c>
      <c r="E3377">
        <f>IF('01_Вводные'!$B$234="Да",IF(4&lt;='01_Вводные'!$B$15,0,INDEX('19_Расчет_аналитики'!$B$3374:$BI$3374,1,4-'01_Вводные'!$B$15))*'01_Вводные'!$B$298,0)</f>
        <v/>
      </c>
      <c r="F3377">
        <f>IF('01_Вводные'!$B$234="Да",IF(5&lt;='01_Вводные'!$B$15,0,INDEX('19_Расчет_аналитики'!$B$3374:$BI$3374,1,5-'01_Вводные'!$B$15))*'01_Вводные'!$B$298,0)</f>
        <v/>
      </c>
      <c r="G3377">
        <f>IF('01_Вводные'!$B$234="Да",IF(6&lt;='01_Вводные'!$B$15,0,INDEX('19_Расчет_аналитики'!$B$3374:$BI$3374,1,6-'01_Вводные'!$B$15))*'01_Вводные'!$B$298,0)</f>
        <v/>
      </c>
      <c r="H3377">
        <f>IF('01_Вводные'!$B$234="Да",IF(7&lt;='01_Вводные'!$B$15,0,INDEX('19_Расчет_аналитики'!$B$3374:$BI$3374,1,7-'01_Вводные'!$B$15))*'01_Вводные'!$B$298,0)</f>
        <v/>
      </c>
      <c r="I3377">
        <f>IF('01_Вводные'!$B$234="Да",IF(8&lt;='01_Вводные'!$B$15,0,INDEX('19_Расчет_аналитики'!$B$3374:$BI$3374,1,8-'01_Вводные'!$B$15))*'01_Вводные'!$B$298,0)</f>
        <v/>
      </c>
      <c r="J3377">
        <f>IF('01_Вводные'!$B$234="Да",IF(9&lt;='01_Вводные'!$B$15,0,INDEX('19_Расчет_аналитики'!$B$3374:$BI$3374,1,9-'01_Вводные'!$B$15))*'01_Вводные'!$B$298,0)</f>
        <v/>
      </c>
      <c r="K3377">
        <f>IF('01_Вводные'!$B$234="Да",IF(10&lt;='01_Вводные'!$B$15,0,INDEX('19_Расчет_аналитики'!$B$3374:$BI$3374,1,10-'01_Вводные'!$B$15))*'01_Вводные'!$B$298,0)</f>
        <v/>
      </c>
      <c r="L3377">
        <f>IF('01_Вводные'!$B$234="Да",IF(11&lt;='01_Вводные'!$B$15,0,INDEX('19_Расчет_аналитики'!$B$3374:$BI$3374,1,11-'01_Вводные'!$B$15))*'01_Вводные'!$B$298,0)</f>
        <v/>
      </c>
      <c r="M3377">
        <f>IF('01_Вводные'!$B$234="Да",IF(12&lt;='01_Вводные'!$B$15,0,INDEX('19_Расчет_аналитики'!$B$3374:$BI$3374,1,12-'01_Вводные'!$B$15))*'01_Вводные'!$B$298,0)</f>
        <v/>
      </c>
      <c r="N3377">
        <f>IF('01_Вводные'!$B$234="Да",IF(13&lt;='01_Вводные'!$B$15,0,INDEX('19_Расчет_аналитики'!$B$3374:$BI$3374,1,13-'01_Вводные'!$B$15))*'01_Вводные'!$B$298,0)</f>
        <v/>
      </c>
      <c r="O3377">
        <f>IF('01_Вводные'!$B$234="Да",IF(14&lt;='01_Вводные'!$B$15,0,INDEX('19_Расчет_аналитики'!$B$3374:$BI$3374,1,14-'01_Вводные'!$B$15))*'01_Вводные'!$B$298,0)</f>
        <v/>
      </c>
      <c r="P3377">
        <f>IF('01_Вводные'!$B$234="Да",IF(15&lt;='01_Вводные'!$B$15,0,INDEX('19_Расчет_аналитики'!$B$3374:$BI$3374,1,15-'01_Вводные'!$B$15))*'01_Вводные'!$B$298,0)</f>
        <v/>
      </c>
      <c r="Q3377">
        <f>IF('01_Вводные'!$B$234="Да",IF(16&lt;='01_Вводные'!$B$15,0,INDEX('19_Расчет_аналитики'!$B$3374:$BI$3374,1,16-'01_Вводные'!$B$15))*'01_Вводные'!$B$298,0)</f>
        <v/>
      </c>
      <c r="R3377">
        <f>IF('01_Вводные'!$B$234="Да",IF(17&lt;='01_Вводные'!$B$15,0,INDEX('19_Расчет_аналитики'!$B$3374:$BI$3374,1,17-'01_Вводные'!$B$15))*'01_Вводные'!$B$298,0)</f>
        <v/>
      </c>
      <c r="S3377">
        <f>IF('01_Вводные'!$B$234="Да",IF(18&lt;='01_Вводные'!$B$15,0,INDEX('19_Расчет_аналитики'!$B$3374:$BI$3374,1,18-'01_Вводные'!$B$15))*'01_Вводные'!$B$298,0)</f>
        <v/>
      </c>
      <c r="T3377">
        <f>IF('01_Вводные'!$B$234="Да",IF(19&lt;='01_Вводные'!$B$15,0,INDEX('19_Расчет_аналитики'!$B$3374:$BI$3374,1,19-'01_Вводные'!$B$15))*'01_Вводные'!$B$298,0)</f>
        <v/>
      </c>
      <c r="U3377">
        <f>IF('01_Вводные'!$B$234="Да",IF(20&lt;='01_Вводные'!$B$15,0,INDEX('19_Расчет_аналитики'!$B$3374:$BI$3374,1,20-'01_Вводные'!$B$15))*'01_Вводные'!$B$298,0)</f>
        <v/>
      </c>
      <c r="V3377">
        <f>IF('01_Вводные'!$B$234="Да",IF(21&lt;='01_Вводные'!$B$15,0,INDEX('19_Расчет_аналитики'!$B$3374:$BI$3374,1,21-'01_Вводные'!$B$15))*'01_Вводные'!$B$298,0)</f>
        <v/>
      </c>
      <c r="W3377">
        <f>IF('01_Вводные'!$B$234="Да",IF(22&lt;='01_Вводные'!$B$15,0,INDEX('19_Расчет_аналитики'!$B$3374:$BI$3374,1,22-'01_Вводные'!$B$15))*'01_Вводные'!$B$298,0)</f>
        <v/>
      </c>
      <c r="X3377">
        <f>IF('01_Вводные'!$B$234="Да",IF(23&lt;='01_Вводные'!$B$15,0,INDEX('19_Расчет_аналитики'!$B$3374:$BI$3374,1,23-'01_Вводные'!$B$15))*'01_Вводные'!$B$298,0)</f>
        <v/>
      </c>
      <c r="Y3377">
        <f>IF('01_Вводные'!$B$234="Да",IF(24&lt;='01_Вводные'!$B$15,0,INDEX('19_Расчет_аналитики'!$B$3374:$BI$3374,1,24-'01_Вводные'!$B$15))*'01_Вводные'!$B$298,0)</f>
        <v/>
      </c>
      <c r="Z3377">
        <f>IF('01_Вводные'!$B$234="Да",IF(25&lt;='01_Вводные'!$B$15,0,INDEX('19_Расчет_аналитики'!$B$3374:$BI$3374,1,25-'01_Вводные'!$B$15))*'01_Вводные'!$B$298,0)</f>
        <v/>
      </c>
      <c r="AA3377">
        <f>IF('01_Вводные'!$B$234="Да",IF(26&lt;='01_Вводные'!$B$15,0,INDEX('19_Расчет_аналитики'!$B$3374:$BI$3374,1,26-'01_Вводные'!$B$15))*'01_Вводные'!$B$298,0)</f>
        <v/>
      </c>
      <c r="AB3377">
        <f>IF('01_Вводные'!$B$234="Да",IF(27&lt;='01_Вводные'!$B$15,0,INDEX('19_Расчет_аналитики'!$B$3374:$BI$3374,1,27-'01_Вводные'!$B$15))*'01_Вводные'!$B$298,0)</f>
        <v/>
      </c>
      <c r="AC3377">
        <f>IF('01_Вводные'!$B$234="Да",IF(28&lt;='01_Вводные'!$B$15,0,INDEX('19_Расчет_аналитики'!$B$3374:$BI$3374,1,28-'01_Вводные'!$B$15))*'01_Вводные'!$B$298,0)</f>
        <v/>
      </c>
      <c r="AD3377">
        <f>IF('01_Вводные'!$B$234="Да",IF(29&lt;='01_Вводные'!$B$15,0,INDEX('19_Расчет_аналитики'!$B$3374:$BI$3374,1,29-'01_Вводные'!$B$15))*'01_Вводные'!$B$298,0)</f>
        <v/>
      </c>
      <c r="AE3377">
        <f>IF('01_Вводные'!$B$234="Да",IF(30&lt;='01_Вводные'!$B$15,0,INDEX('19_Расчет_аналитики'!$B$3374:$BI$3374,1,30-'01_Вводные'!$B$15))*'01_Вводные'!$B$298,0)</f>
        <v/>
      </c>
      <c r="AF3377">
        <f>IF('01_Вводные'!$B$234="Да",IF(31&lt;='01_Вводные'!$B$15,0,INDEX('19_Расчет_аналитики'!$B$3374:$BI$3374,1,31-'01_Вводные'!$B$15))*'01_Вводные'!$B$298,0)</f>
        <v/>
      </c>
      <c r="AG3377">
        <f>IF('01_Вводные'!$B$234="Да",IF(32&lt;='01_Вводные'!$B$15,0,INDEX('19_Расчет_аналитики'!$B$3374:$BI$3374,1,32-'01_Вводные'!$B$15))*'01_Вводные'!$B$298,0)</f>
        <v/>
      </c>
      <c r="AH3377">
        <f>IF('01_Вводные'!$B$234="Да",IF(33&lt;='01_Вводные'!$B$15,0,INDEX('19_Расчет_аналитики'!$B$3374:$BI$3374,1,33-'01_Вводные'!$B$15))*'01_Вводные'!$B$298,0)</f>
        <v/>
      </c>
      <c r="AI3377">
        <f>IF('01_Вводные'!$B$234="Да",IF(34&lt;='01_Вводные'!$B$15,0,INDEX('19_Расчет_аналитики'!$B$3374:$BI$3374,1,34-'01_Вводные'!$B$15))*'01_Вводные'!$B$298,0)</f>
        <v/>
      </c>
      <c r="AJ3377">
        <f>IF('01_Вводные'!$B$234="Да",IF(35&lt;='01_Вводные'!$B$15,0,INDEX('19_Расчет_аналитики'!$B$3374:$BI$3374,1,35-'01_Вводные'!$B$15))*'01_Вводные'!$B$298,0)</f>
        <v/>
      </c>
      <c r="AK3377">
        <f>IF('01_Вводные'!$B$234="Да",IF(36&lt;='01_Вводные'!$B$15,0,INDEX('19_Расчет_аналитики'!$B$3374:$BI$3374,1,36-'01_Вводные'!$B$15))*'01_Вводные'!$B$298,0)</f>
        <v/>
      </c>
      <c r="AL3377">
        <f>IF('01_Вводные'!$B$234="Да",IF(37&lt;='01_Вводные'!$B$15,0,INDEX('19_Расчет_аналитики'!$B$3374:$BI$3374,1,37-'01_Вводные'!$B$15))*'01_Вводные'!$B$298,0)</f>
        <v/>
      </c>
      <c r="AM3377">
        <f>IF('01_Вводные'!$B$234="Да",IF(38&lt;='01_Вводные'!$B$15,0,INDEX('19_Расчет_аналитики'!$B$3374:$BI$3374,1,38-'01_Вводные'!$B$15))*'01_Вводные'!$B$298,0)</f>
        <v/>
      </c>
      <c r="AN3377">
        <f>IF('01_Вводные'!$B$234="Да",IF(39&lt;='01_Вводные'!$B$15,0,INDEX('19_Расчет_аналитики'!$B$3374:$BI$3374,1,39-'01_Вводные'!$B$15))*'01_Вводные'!$B$298,0)</f>
        <v/>
      </c>
      <c r="AO3377">
        <f>IF('01_Вводные'!$B$234="Да",IF(40&lt;='01_Вводные'!$B$15,0,INDEX('19_Расчет_аналитики'!$B$3374:$BI$3374,1,40-'01_Вводные'!$B$15))*'01_Вводные'!$B$298,0)</f>
        <v/>
      </c>
      <c r="AP3377">
        <f>IF('01_Вводные'!$B$234="Да",IF(41&lt;='01_Вводные'!$B$15,0,INDEX('19_Расчет_аналитики'!$B$3374:$BI$3374,1,41-'01_Вводные'!$B$15))*'01_Вводные'!$B$298,0)</f>
        <v/>
      </c>
      <c r="AQ3377">
        <f>IF('01_Вводные'!$B$234="Да",IF(42&lt;='01_Вводные'!$B$15,0,INDEX('19_Расчет_аналитики'!$B$3374:$BI$3374,1,42-'01_Вводные'!$B$15))*'01_Вводные'!$B$298,0)</f>
        <v/>
      </c>
      <c r="AR3377">
        <f>IF('01_Вводные'!$B$234="Да",IF(43&lt;='01_Вводные'!$B$15,0,INDEX('19_Расчет_аналитики'!$B$3374:$BI$3374,1,43-'01_Вводные'!$B$15))*'01_Вводные'!$B$298,0)</f>
        <v/>
      </c>
      <c r="AS3377">
        <f>IF('01_Вводные'!$B$234="Да",IF(44&lt;='01_Вводные'!$B$15,0,INDEX('19_Расчет_аналитики'!$B$3374:$BI$3374,1,44-'01_Вводные'!$B$15))*'01_Вводные'!$B$298,0)</f>
        <v/>
      </c>
      <c r="AT3377">
        <f>IF('01_Вводные'!$B$234="Да",IF(45&lt;='01_Вводные'!$B$15,0,INDEX('19_Расчет_аналитики'!$B$3374:$BI$3374,1,45-'01_Вводные'!$B$15))*'01_Вводные'!$B$298,0)</f>
        <v/>
      </c>
      <c r="AU3377">
        <f>IF('01_Вводные'!$B$234="Да",IF(46&lt;='01_Вводные'!$B$15,0,INDEX('19_Расчет_аналитики'!$B$3374:$BI$3374,1,46-'01_Вводные'!$B$15))*'01_Вводные'!$B$298,0)</f>
        <v/>
      </c>
      <c r="AV3377">
        <f>IF('01_Вводные'!$B$234="Да",IF(47&lt;='01_Вводные'!$B$15,0,INDEX('19_Расчет_аналитики'!$B$3374:$BI$3374,1,47-'01_Вводные'!$B$15))*'01_Вводные'!$B$298,0)</f>
        <v/>
      </c>
      <c r="AW3377">
        <f>IF('01_Вводные'!$B$234="Да",IF(48&lt;='01_Вводные'!$B$15,0,INDEX('19_Расчет_аналитики'!$B$3374:$BI$3374,1,48-'01_Вводные'!$B$15))*'01_Вводные'!$B$298,0)</f>
        <v/>
      </c>
      <c r="AX3377">
        <f>IF('01_Вводные'!$B$234="Да",IF(49&lt;='01_Вводные'!$B$15,0,INDEX('19_Расчет_аналитики'!$B$3374:$BI$3374,1,49-'01_Вводные'!$B$15))*'01_Вводные'!$B$298,0)</f>
        <v/>
      </c>
      <c r="AY3377">
        <f>IF('01_Вводные'!$B$234="Да",IF(50&lt;='01_Вводные'!$B$15,0,INDEX('19_Расчет_аналитики'!$B$3374:$BI$3374,1,50-'01_Вводные'!$B$15))*'01_Вводные'!$B$298,0)</f>
        <v/>
      </c>
      <c r="AZ3377">
        <f>IF('01_Вводные'!$B$234="Да",IF(51&lt;='01_Вводные'!$B$15,0,INDEX('19_Расчет_аналитики'!$B$3374:$BI$3374,1,51-'01_Вводные'!$B$15))*'01_Вводные'!$B$298,0)</f>
        <v/>
      </c>
      <c r="BA3377">
        <f>IF('01_Вводные'!$B$234="Да",IF(52&lt;='01_Вводные'!$B$15,0,INDEX('19_Расчет_аналитики'!$B$3374:$BI$3374,1,52-'01_Вводные'!$B$15))*'01_Вводные'!$B$298,0)</f>
        <v/>
      </c>
      <c r="BB3377">
        <f>IF('01_Вводные'!$B$234="Да",IF(53&lt;='01_Вводные'!$B$15,0,INDEX('19_Расчет_аналитики'!$B$3374:$BI$3374,1,53-'01_Вводные'!$B$15))*'01_Вводные'!$B$298,0)</f>
        <v/>
      </c>
      <c r="BC3377">
        <f>IF('01_Вводные'!$B$234="Да",IF(54&lt;='01_Вводные'!$B$15,0,INDEX('19_Расчет_аналитики'!$B$3374:$BI$3374,1,54-'01_Вводные'!$B$15))*'01_Вводные'!$B$298,0)</f>
        <v/>
      </c>
      <c r="BD3377">
        <f>IF('01_Вводные'!$B$234="Да",IF(55&lt;='01_Вводные'!$B$15,0,INDEX('19_Расчет_аналитики'!$B$3374:$BI$3374,1,55-'01_Вводные'!$B$15))*'01_Вводные'!$B$298,0)</f>
        <v/>
      </c>
      <c r="BE3377">
        <f>IF('01_Вводные'!$B$234="Да",IF(56&lt;='01_Вводные'!$B$15,0,INDEX('19_Расчет_аналитики'!$B$3374:$BI$3374,1,56-'01_Вводные'!$B$15))*'01_Вводные'!$B$298,0)</f>
        <v/>
      </c>
      <c r="BF3377">
        <f>IF('01_Вводные'!$B$234="Да",IF(57&lt;='01_Вводные'!$B$15,0,INDEX('19_Расчет_аналитики'!$B$3374:$BI$3374,1,57-'01_Вводные'!$B$15))*'01_Вводные'!$B$298,0)</f>
        <v/>
      </c>
      <c r="BG3377">
        <f>IF('01_Вводные'!$B$234="Да",IF(58&lt;='01_Вводные'!$B$15,0,INDEX('19_Расчет_аналитики'!$B$3374:$BI$3374,1,58-'01_Вводные'!$B$15))*'01_Вводные'!$B$298,0)</f>
        <v/>
      </c>
      <c r="BH3377">
        <f>IF('01_Вводные'!$B$234="Да",IF(59&lt;='01_Вводные'!$B$15,0,INDEX('19_Расчет_аналитики'!$B$3374:$BI$3374,1,59-'01_Вводные'!$B$15))*'01_Вводные'!$B$298,0)</f>
        <v/>
      </c>
      <c r="BI3377">
        <f>IF('01_Вводные'!$B$234="Да",IF(60&lt;='01_Вводные'!$B$15,0,INDEX('19_Расчет_аналитики'!$B$3374:$BI$3374,1,60-'01_Вводные'!$B$15))*'01_Вводные'!$B$298,0)</f>
        <v/>
      </c>
    </row>
    <row r="3378"/>
    <row r="3379"/>
    <row r="3380">
      <c r="B3380">
        <f>IF('01_Вводные'!$B$234="Да",SUMIF('04_Продажи'!$B$28:$BI$28,'04_Продажи'!B$11,'19_Расчет_аналитики'!$B$3374:$BI$3374)*'19_Расчет_аналитики'!B3845,0)</f>
        <v/>
      </c>
      <c r="C3380">
        <f>IF('01_Вводные'!$B$234="Да",SUMIF('04_Продажи'!$B$28:$BI$28,'04_Продажи'!C$11,'19_Расчет_аналитики'!$B$3374:$BI$3374)*'19_Расчет_аналитики'!C3845,0)</f>
        <v/>
      </c>
      <c r="D3380">
        <f>IF('01_Вводные'!$B$234="Да",SUMIF('04_Продажи'!$B$28:$BI$28,'04_Продажи'!D$11,'19_Расчет_аналитики'!$B$3374:$BI$3374)*'19_Расчет_аналитики'!D3845,0)</f>
        <v/>
      </c>
      <c r="E3380">
        <f>IF('01_Вводные'!$B$234="Да",SUMIF('04_Продажи'!$B$28:$BI$28,'04_Продажи'!E$11,'19_Расчет_аналитики'!$B$3374:$BI$3374)*'19_Расчет_аналитики'!E3845,0)</f>
        <v/>
      </c>
      <c r="F3380">
        <f>IF('01_Вводные'!$B$234="Да",SUMIF('04_Продажи'!$B$28:$BI$28,'04_Продажи'!F$11,'19_Расчет_аналитики'!$B$3374:$BI$3374)*'19_Расчет_аналитики'!F3845,0)</f>
        <v/>
      </c>
      <c r="G3380">
        <f>IF('01_Вводные'!$B$234="Да",SUMIF('04_Продажи'!$B$28:$BI$28,'04_Продажи'!G$11,'19_Расчет_аналитики'!$B$3374:$BI$3374)*'19_Расчет_аналитики'!G3845,0)</f>
        <v/>
      </c>
      <c r="H3380">
        <f>IF('01_Вводные'!$B$234="Да",SUMIF('04_Продажи'!$B$28:$BI$28,'04_Продажи'!H$11,'19_Расчет_аналитики'!$B$3374:$BI$3374)*'19_Расчет_аналитики'!H3845,0)</f>
        <v/>
      </c>
      <c r="I3380">
        <f>IF('01_Вводные'!$B$234="Да",SUMIF('04_Продажи'!$B$28:$BI$28,'04_Продажи'!I$11,'19_Расчет_аналитики'!$B$3374:$BI$3374)*'19_Расчет_аналитики'!I3845,0)</f>
        <v/>
      </c>
      <c r="J3380">
        <f>IF('01_Вводные'!$B$234="Да",SUMIF('04_Продажи'!$B$28:$BI$28,'04_Продажи'!J$11,'19_Расчет_аналитики'!$B$3374:$BI$3374)*'19_Расчет_аналитики'!J3845,0)</f>
        <v/>
      </c>
      <c r="K3380">
        <f>IF('01_Вводные'!$B$234="Да",SUMIF('04_Продажи'!$B$28:$BI$28,'04_Продажи'!K$11,'19_Расчет_аналитики'!$B$3374:$BI$3374)*'19_Расчет_аналитики'!K3845,0)</f>
        <v/>
      </c>
      <c r="L3380">
        <f>IF('01_Вводные'!$B$234="Да",SUMIF('04_Продажи'!$B$28:$BI$28,'04_Продажи'!L$11,'19_Расчет_аналитики'!$B$3374:$BI$3374)*'19_Расчет_аналитики'!L3845,0)</f>
        <v/>
      </c>
      <c r="M3380">
        <f>IF('01_Вводные'!$B$234="Да",SUMIF('04_Продажи'!$B$28:$BI$28,'04_Продажи'!M$11,'19_Расчет_аналитики'!$B$3374:$BI$3374)*'19_Расчет_аналитики'!M3845,0)</f>
        <v/>
      </c>
      <c r="N3380">
        <f>IF('01_Вводные'!$B$234="Да",SUMIF('04_Продажи'!$B$28:$BI$28,'04_Продажи'!N$11,'19_Расчет_аналитики'!$B$3374:$BI$3374)*'19_Расчет_аналитики'!N3845,0)</f>
        <v/>
      </c>
      <c r="O3380">
        <f>IF('01_Вводные'!$B$234="Да",SUMIF('04_Продажи'!$B$28:$BI$28,'04_Продажи'!O$11,'19_Расчет_аналитики'!$B$3374:$BI$3374)*'19_Расчет_аналитики'!O3845,0)</f>
        <v/>
      </c>
      <c r="P3380">
        <f>IF('01_Вводные'!$B$234="Да",SUMIF('04_Продажи'!$B$28:$BI$28,'04_Продажи'!P$11,'19_Расчет_аналитики'!$B$3374:$BI$3374)*'19_Расчет_аналитики'!P3845,0)</f>
        <v/>
      </c>
      <c r="Q3380">
        <f>IF('01_Вводные'!$B$234="Да",SUMIF('04_Продажи'!$B$28:$BI$28,'04_Продажи'!Q$11,'19_Расчет_аналитики'!$B$3374:$BI$3374)*'19_Расчет_аналитики'!Q3845,0)</f>
        <v/>
      </c>
      <c r="R3380">
        <f>IF('01_Вводные'!$B$234="Да",SUMIF('04_Продажи'!$B$28:$BI$28,'04_Продажи'!R$11,'19_Расчет_аналитики'!$B$3374:$BI$3374)*'19_Расчет_аналитики'!R3845,0)</f>
        <v/>
      </c>
      <c r="S3380">
        <f>IF('01_Вводные'!$B$234="Да",SUMIF('04_Продажи'!$B$28:$BI$28,'04_Продажи'!S$11,'19_Расчет_аналитики'!$B$3374:$BI$3374)*'19_Расчет_аналитики'!S3845,0)</f>
        <v/>
      </c>
      <c r="T3380">
        <f>IF('01_Вводные'!$B$234="Да",SUMIF('04_Продажи'!$B$28:$BI$28,'04_Продажи'!T$11,'19_Расчет_аналитики'!$B$3374:$BI$3374)*'19_Расчет_аналитики'!T3845,0)</f>
        <v/>
      </c>
      <c r="U3380">
        <f>IF('01_Вводные'!$B$234="Да",SUMIF('04_Продажи'!$B$28:$BI$28,'04_Продажи'!U$11,'19_Расчет_аналитики'!$B$3374:$BI$3374)*'19_Расчет_аналитики'!U3845,0)</f>
        <v/>
      </c>
      <c r="V3380">
        <f>IF('01_Вводные'!$B$234="Да",SUMIF('04_Продажи'!$B$28:$BI$28,'04_Продажи'!V$11,'19_Расчет_аналитики'!$B$3374:$BI$3374)*'19_Расчет_аналитики'!V3845,0)</f>
        <v/>
      </c>
      <c r="W3380">
        <f>IF('01_Вводные'!$B$234="Да",SUMIF('04_Продажи'!$B$28:$BI$28,'04_Продажи'!W$11,'19_Расчет_аналитики'!$B$3374:$BI$3374)*'19_Расчет_аналитики'!W3845,0)</f>
        <v/>
      </c>
      <c r="X3380">
        <f>IF('01_Вводные'!$B$234="Да",SUMIF('04_Продажи'!$B$28:$BI$28,'04_Продажи'!X$11,'19_Расчет_аналитики'!$B$3374:$BI$3374)*'19_Расчет_аналитики'!X3845,0)</f>
        <v/>
      </c>
      <c r="Y3380">
        <f>IF('01_Вводные'!$B$234="Да",SUMIF('04_Продажи'!$B$28:$BI$28,'04_Продажи'!Y$11,'19_Расчет_аналитики'!$B$3374:$BI$3374)*'19_Расчет_аналитики'!Y3845,0)</f>
        <v/>
      </c>
      <c r="Z3380">
        <f>IF('01_Вводные'!$B$234="Да",SUMIF('04_Продажи'!$B$28:$BI$28,'04_Продажи'!Z$11,'19_Расчет_аналитики'!$B$3374:$BI$3374)*'19_Расчет_аналитики'!Z3845,0)</f>
        <v/>
      </c>
      <c r="AA3380">
        <f>IF('01_Вводные'!$B$234="Да",SUMIF('04_Продажи'!$B$28:$BI$28,'04_Продажи'!AA$11,'19_Расчет_аналитики'!$B$3374:$BI$3374)*'19_Расчет_аналитики'!AA3845,0)</f>
        <v/>
      </c>
      <c r="AB3380">
        <f>IF('01_Вводные'!$B$234="Да",SUMIF('04_Продажи'!$B$28:$BI$28,'04_Продажи'!AB$11,'19_Расчет_аналитики'!$B$3374:$BI$3374)*'19_Расчет_аналитики'!AB3845,0)</f>
        <v/>
      </c>
      <c r="AC3380">
        <f>IF('01_Вводные'!$B$234="Да",SUMIF('04_Продажи'!$B$28:$BI$28,'04_Продажи'!AC$11,'19_Расчет_аналитики'!$B$3374:$BI$3374)*'19_Расчет_аналитики'!AC3845,0)</f>
        <v/>
      </c>
      <c r="AD3380">
        <f>IF('01_Вводные'!$B$234="Да",SUMIF('04_Продажи'!$B$28:$BI$28,'04_Продажи'!AD$11,'19_Расчет_аналитики'!$B$3374:$BI$3374)*'19_Расчет_аналитики'!AD3845,0)</f>
        <v/>
      </c>
      <c r="AE3380">
        <f>IF('01_Вводные'!$B$234="Да",SUMIF('04_Продажи'!$B$28:$BI$28,'04_Продажи'!AE$11,'19_Расчет_аналитики'!$B$3374:$BI$3374)*'19_Расчет_аналитики'!AE3845,0)</f>
        <v/>
      </c>
      <c r="AF3380">
        <f>IF('01_Вводные'!$B$234="Да",SUMIF('04_Продажи'!$B$28:$BI$28,'04_Продажи'!AF$11,'19_Расчет_аналитики'!$B$3374:$BI$3374)*'19_Расчет_аналитики'!AF3845,0)</f>
        <v/>
      </c>
      <c r="AG3380">
        <f>IF('01_Вводные'!$B$234="Да",SUMIF('04_Продажи'!$B$28:$BI$28,'04_Продажи'!AG$11,'19_Расчет_аналитики'!$B$3374:$BI$3374)*'19_Расчет_аналитики'!AG3845,0)</f>
        <v/>
      </c>
      <c r="AH3380">
        <f>IF('01_Вводные'!$B$234="Да",SUMIF('04_Продажи'!$B$28:$BI$28,'04_Продажи'!AH$11,'19_Расчет_аналитики'!$B$3374:$BI$3374)*'19_Расчет_аналитики'!AH3845,0)</f>
        <v/>
      </c>
      <c r="AI3380">
        <f>IF('01_Вводные'!$B$234="Да",SUMIF('04_Продажи'!$B$28:$BI$28,'04_Продажи'!AI$11,'19_Расчет_аналитики'!$B$3374:$BI$3374)*'19_Расчет_аналитики'!AI3845,0)</f>
        <v/>
      </c>
      <c r="AJ3380">
        <f>IF('01_Вводные'!$B$234="Да",SUMIF('04_Продажи'!$B$28:$BI$28,'04_Продажи'!AJ$11,'19_Расчет_аналитики'!$B$3374:$BI$3374)*'19_Расчет_аналитики'!AJ3845,0)</f>
        <v/>
      </c>
      <c r="AK3380">
        <f>IF('01_Вводные'!$B$234="Да",SUMIF('04_Продажи'!$B$28:$BI$28,'04_Продажи'!AK$11,'19_Расчет_аналитики'!$B$3374:$BI$3374)*'19_Расчет_аналитики'!AK3845,0)</f>
        <v/>
      </c>
      <c r="AL3380">
        <f>IF('01_Вводные'!$B$234="Да",SUMIF('04_Продажи'!$B$28:$BI$28,'04_Продажи'!AL$11,'19_Расчет_аналитики'!$B$3374:$BI$3374)*'19_Расчет_аналитики'!AL3845,0)</f>
        <v/>
      </c>
      <c r="AM3380">
        <f>IF('01_Вводные'!$B$234="Да",SUMIF('04_Продажи'!$B$28:$BI$28,'04_Продажи'!AM$11,'19_Расчет_аналитики'!$B$3374:$BI$3374)*'19_Расчет_аналитики'!AM3845,0)</f>
        <v/>
      </c>
      <c r="AN3380">
        <f>IF('01_Вводные'!$B$234="Да",SUMIF('04_Продажи'!$B$28:$BI$28,'04_Продажи'!AN$11,'19_Расчет_аналитики'!$B$3374:$BI$3374)*'19_Расчет_аналитики'!AN3845,0)</f>
        <v/>
      </c>
      <c r="AO3380">
        <f>IF('01_Вводные'!$B$234="Да",SUMIF('04_Продажи'!$B$28:$BI$28,'04_Продажи'!AO$11,'19_Расчет_аналитики'!$B$3374:$BI$3374)*'19_Расчет_аналитики'!AO3845,0)</f>
        <v/>
      </c>
      <c r="AP3380">
        <f>IF('01_Вводные'!$B$234="Да",SUMIF('04_Продажи'!$B$28:$BI$28,'04_Продажи'!AP$11,'19_Расчет_аналитики'!$B$3374:$BI$3374)*'19_Расчет_аналитики'!AP3845,0)</f>
        <v/>
      </c>
      <c r="AQ3380">
        <f>IF('01_Вводные'!$B$234="Да",SUMIF('04_Продажи'!$B$28:$BI$28,'04_Продажи'!AQ$11,'19_Расчет_аналитики'!$B$3374:$BI$3374)*'19_Расчет_аналитики'!AQ3845,0)</f>
        <v/>
      </c>
      <c r="AR3380">
        <f>IF('01_Вводные'!$B$234="Да",SUMIF('04_Продажи'!$B$28:$BI$28,'04_Продажи'!AR$11,'19_Расчет_аналитики'!$B$3374:$BI$3374)*'19_Расчет_аналитики'!AR3845,0)</f>
        <v/>
      </c>
      <c r="AS3380">
        <f>IF('01_Вводные'!$B$234="Да",SUMIF('04_Продажи'!$B$28:$BI$28,'04_Продажи'!AS$11,'19_Расчет_аналитики'!$B$3374:$BI$3374)*'19_Расчет_аналитики'!AS3845,0)</f>
        <v/>
      </c>
      <c r="AT3380">
        <f>IF('01_Вводные'!$B$234="Да",SUMIF('04_Продажи'!$B$28:$BI$28,'04_Продажи'!AT$11,'19_Расчет_аналитики'!$B$3374:$BI$3374)*'19_Расчет_аналитики'!AT3845,0)</f>
        <v/>
      </c>
      <c r="AU3380">
        <f>IF('01_Вводные'!$B$234="Да",SUMIF('04_Продажи'!$B$28:$BI$28,'04_Продажи'!AU$11,'19_Расчет_аналитики'!$B$3374:$BI$3374)*'19_Расчет_аналитики'!AU3845,0)</f>
        <v/>
      </c>
      <c r="AV3380">
        <f>IF('01_Вводные'!$B$234="Да",SUMIF('04_Продажи'!$B$28:$BI$28,'04_Продажи'!AV$11,'19_Расчет_аналитики'!$B$3374:$BI$3374)*'19_Расчет_аналитики'!AV3845,0)</f>
        <v/>
      </c>
      <c r="AW3380">
        <f>IF('01_Вводные'!$B$234="Да",SUMIF('04_Продажи'!$B$28:$BI$28,'04_Продажи'!AW$11,'19_Расчет_аналитики'!$B$3374:$BI$3374)*'19_Расчет_аналитики'!AW3845,0)</f>
        <v/>
      </c>
      <c r="AX3380">
        <f>IF('01_Вводные'!$B$234="Да",SUMIF('04_Продажи'!$B$28:$BI$28,'04_Продажи'!AX$11,'19_Расчет_аналитики'!$B$3374:$BI$3374)*'19_Расчет_аналитики'!AX3845,0)</f>
        <v/>
      </c>
      <c r="AY3380">
        <f>IF('01_Вводные'!$B$234="Да",SUMIF('04_Продажи'!$B$28:$BI$28,'04_Продажи'!AY$11,'19_Расчет_аналитики'!$B$3374:$BI$3374)*'19_Расчет_аналитики'!AY3845,0)</f>
        <v/>
      </c>
      <c r="AZ3380">
        <f>IF('01_Вводные'!$B$234="Да",SUMIF('04_Продажи'!$B$28:$BI$28,'04_Продажи'!AZ$11,'19_Расчет_аналитики'!$B$3374:$BI$3374)*'19_Расчет_аналитики'!AZ3845,0)</f>
        <v/>
      </c>
      <c r="BA3380">
        <f>IF('01_Вводные'!$B$234="Да",SUMIF('04_Продажи'!$B$28:$BI$28,'04_Продажи'!BA$11,'19_Расчет_аналитики'!$B$3374:$BI$3374)*'19_Расчет_аналитики'!BA3845,0)</f>
        <v/>
      </c>
      <c r="BB3380">
        <f>IF('01_Вводные'!$B$234="Да",SUMIF('04_Продажи'!$B$28:$BI$28,'04_Продажи'!BB$11,'19_Расчет_аналитики'!$B$3374:$BI$3374)*'19_Расчет_аналитики'!BB3845,0)</f>
        <v/>
      </c>
      <c r="BC3380">
        <f>IF('01_Вводные'!$B$234="Да",SUMIF('04_Продажи'!$B$28:$BI$28,'04_Продажи'!BC$11,'19_Расчет_аналитики'!$B$3374:$BI$3374)*'19_Расчет_аналитики'!BC3845,0)</f>
        <v/>
      </c>
      <c r="BD3380">
        <f>IF('01_Вводные'!$B$234="Да",SUMIF('04_Продажи'!$B$28:$BI$28,'04_Продажи'!BD$11,'19_Расчет_аналитики'!$B$3374:$BI$3374)*'19_Расчет_аналитики'!BD3845,0)</f>
        <v/>
      </c>
      <c r="BE3380">
        <f>IF('01_Вводные'!$B$234="Да",SUMIF('04_Продажи'!$B$28:$BI$28,'04_Продажи'!BE$11,'19_Расчет_аналитики'!$B$3374:$BI$3374)*'19_Расчет_аналитики'!BE3845,0)</f>
        <v/>
      </c>
      <c r="BF3380">
        <f>IF('01_Вводные'!$B$234="Да",SUMIF('04_Продажи'!$B$28:$BI$28,'04_Продажи'!BF$11,'19_Расчет_аналитики'!$B$3374:$BI$3374)*'19_Расчет_аналитики'!BF3845,0)</f>
        <v/>
      </c>
      <c r="BG3380">
        <f>IF('01_Вводные'!$B$234="Да",SUMIF('04_Продажи'!$B$28:$BI$28,'04_Продажи'!BG$11,'19_Расчет_аналитики'!$B$3374:$BI$3374)*'19_Расчет_аналитики'!BG3845,0)</f>
        <v/>
      </c>
      <c r="BH3380">
        <f>IF('01_Вводные'!$B$234="Да",SUMIF('04_Продажи'!$B$28:$BI$28,'04_Продажи'!BH$11,'19_Расчет_аналитики'!$B$3374:$BI$3374)*'19_Расчет_аналитики'!BH3845,0)</f>
        <v/>
      </c>
      <c r="BI3380">
        <f>IF('01_Вводные'!$B$234="Да",SUMIF('04_Продажи'!$B$28:$BI$28,'04_Продажи'!BI$11,'19_Расчет_аналитики'!$B$3374:$BI$3374)*'19_Расчет_аналитики'!BI3845,0)</f>
        <v/>
      </c>
    </row>
    <row r="3381"/>
    <row r="3382">
      <c r="B3382">
        <f>IF('01_Вводные'!$B$234="Да",'19_Расчет_аналитики'!B3380+'04_Продажи'!B22,0)</f>
        <v/>
      </c>
      <c r="C3382">
        <f>IF('01_Вводные'!$B$234="Да",'19_Расчет_аналитики'!C3380+'04_Продажи'!C22,0)</f>
        <v/>
      </c>
      <c r="D3382">
        <f>IF('01_Вводные'!$B$234="Да",'19_Расчет_аналитики'!D3380+'04_Продажи'!D22,0)</f>
        <v/>
      </c>
      <c r="E3382">
        <f>IF('01_Вводные'!$B$234="Да",'19_Расчет_аналитики'!E3380+'04_Продажи'!E22,0)</f>
        <v/>
      </c>
      <c r="F3382">
        <f>IF('01_Вводные'!$B$234="Да",'19_Расчет_аналитики'!F3380+'04_Продажи'!F22,0)</f>
        <v/>
      </c>
      <c r="G3382">
        <f>IF('01_Вводные'!$B$234="Да",'19_Расчет_аналитики'!G3380+'04_Продажи'!G22,0)</f>
        <v/>
      </c>
      <c r="H3382">
        <f>IF('01_Вводные'!$B$234="Да",'19_Расчет_аналитики'!H3380+'04_Продажи'!H22,0)</f>
        <v/>
      </c>
      <c r="I3382">
        <f>IF('01_Вводные'!$B$234="Да",'19_Расчет_аналитики'!I3380+'04_Продажи'!I22,0)</f>
        <v/>
      </c>
      <c r="J3382">
        <f>IF('01_Вводные'!$B$234="Да",'19_Расчет_аналитики'!J3380+'04_Продажи'!J22,0)</f>
        <v/>
      </c>
      <c r="K3382">
        <f>IF('01_Вводные'!$B$234="Да",'19_Расчет_аналитики'!K3380+'04_Продажи'!K22,0)</f>
        <v/>
      </c>
      <c r="L3382">
        <f>IF('01_Вводные'!$B$234="Да",'19_Расчет_аналитики'!L3380+'04_Продажи'!L22,0)</f>
        <v/>
      </c>
      <c r="M3382">
        <f>IF('01_Вводные'!$B$234="Да",'19_Расчет_аналитики'!M3380+'04_Продажи'!M22,0)</f>
        <v/>
      </c>
      <c r="N3382">
        <f>IF('01_Вводные'!$B$234="Да",'19_Расчет_аналитики'!N3380+'04_Продажи'!N22,0)</f>
        <v/>
      </c>
      <c r="O3382">
        <f>IF('01_Вводные'!$B$234="Да",'19_Расчет_аналитики'!O3380+'04_Продажи'!O22,0)</f>
        <v/>
      </c>
      <c r="P3382">
        <f>IF('01_Вводные'!$B$234="Да",'19_Расчет_аналитики'!P3380+'04_Продажи'!P22,0)</f>
        <v/>
      </c>
      <c r="Q3382">
        <f>IF('01_Вводные'!$B$234="Да",'19_Расчет_аналитики'!Q3380+'04_Продажи'!Q22,0)</f>
        <v/>
      </c>
      <c r="R3382">
        <f>IF('01_Вводные'!$B$234="Да",'19_Расчет_аналитики'!R3380+'04_Продажи'!R22,0)</f>
        <v/>
      </c>
      <c r="S3382">
        <f>IF('01_Вводные'!$B$234="Да",'19_Расчет_аналитики'!S3380+'04_Продажи'!S22,0)</f>
        <v/>
      </c>
      <c r="T3382">
        <f>IF('01_Вводные'!$B$234="Да",'19_Расчет_аналитики'!T3380+'04_Продажи'!T22,0)</f>
        <v/>
      </c>
      <c r="U3382">
        <f>IF('01_Вводные'!$B$234="Да",'19_Расчет_аналитики'!U3380+'04_Продажи'!U22,0)</f>
        <v/>
      </c>
      <c r="V3382">
        <f>IF('01_Вводные'!$B$234="Да",'19_Расчет_аналитики'!V3380+'04_Продажи'!V22,0)</f>
        <v/>
      </c>
      <c r="W3382">
        <f>IF('01_Вводные'!$B$234="Да",'19_Расчет_аналитики'!W3380+'04_Продажи'!W22,0)</f>
        <v/>
      </c>
      <c r="X3382">
        <f>IF('01_Вводные'!$B$234="Да",'19_Расчет_аналитики'!X3380+'04_Продажи'!X22,0)</f>
        <v/>
      </c>
      <c r="Y3382">
        <f>IF('01_Вводные'!$B$234="Да",'19_Расчет_аналитики'!Y3380+'04_Продажи'!Y22,0)</f>
        <v/>
      </c>
      <c r="Z3382">
        <f>IF('01_Вводные'!$B$234="Да",'19_Расчет_аналитики'!Z3380+'04_Продажи'!Z22,0)</f>
        <v/>
      </c>
      <c r="AA3382">
        <f>IF('01_Вводные'!$B$234="Да",'19_Расчет_аналитики'!AA3380+'04_Продажи'!AA22,0)</f>
        <v/>
      </c>
      <c r="AB3382">
        <f>IF('01_Вводные'!$B$234="Да",'19_Расчет_аналитики'!AB3380+'04_Продажи'!AB22,0)</f>
        <v/>
      </c>
      <c r="AC3382">
        <f>IF('01_Вводные'!$B$234="Да",'19_Расчет_аналитики'!AC3380+'04_Продажи'!AC22,0)</f>
        <v/>
      </c>
      <c r="AD3382">
        <f>IF('01_Вводные'!$B$234="Да",'19_Расчет_аналитики'!AD3380+'04_Продажи'!AD22,0)</f>
        <v/>
      </c>
      <c r="AE3382">
        <f>IF('01_Вводные'!$B$234="Да",'19_Расчет_аналитики'!AE3380+'04_Продажи'!AE22,0)</f>
        <v/>
      </c>
      <c r="AF3382">
        <f>IF('01_Вводные'!$B$234="Да",'19_Расчет_аналитики'!AF3380+'04_Продажи'!AF22,0)</f>
        <v/>
      </c>
      <c r="AG3382">
        <f>IF('01_Вводные'!$B$234="Да",'19_Расчет_аналитики'!AG3380+'04_Продажи'!AG22,0)</f>
        <v/>
      </c>
      <c r="AH3382">
        <f>IF('01_Вводные'!$B$234="Да",'19_Расчет_аналитики'!AH3380+'04_Продажи'!AH22,0)</f>
        <v/>
      </c>
      <c r="AI3382">
        <f>IF('01_Вводные'!$B$234="Да",'19_Расчет_аналитики'!AI3380+'04_Продажи'!AI22,0)</f>
        <v/>
      </c>
      <c r="AJ3382">
        <f>IF('01_Вводные'!$B$234="Да",'19_Расчет_аналитики'!AJ3380+'04_Продажи'!AJ22,0)</f>
        <v/>
      </c>
      <c r="AK3382">
        <f>IF('01_Вводные'!$B$234="Да",'19_Расчет_аналитики'!AK3380+'04_Продажи'!AK22,0)</f>
        <v/>
      </c>
      <c r="AL3382">
        <f>IF('01_Вводные'!$B$234="Да",'19_Расчет_аналитики'!AL3380+'04_Продажи'!AL22,0)</f>
        <v/>
      </c>
      <c r="AM3382">
        <f>IF('01_Вводные'!$B$234="Да",'19_Расчет_аналитики'!AM3380+'04_Продажи'!AM22,0)</f>
        <v/>
      </c>
      <c r="AN3382">
        <f>IF('01_Вводные'!$B$234="Да",'19_Расчет_аналитики'!AN3380+'04_Продажи'!AN22,0)</f>
        <v/>
      </c>
      <c r="AO3382">
        <f>IF('01_Вводные'!$B$234="Да",'19_Расчет_аналитики'!AO3380+'04_Продажи'!AO22,0)</f>
        <v/>
      </c>
      <c r="AP3382">
        <f>IF('01_Вводные'!$B$234="Да",'19_Расчет_аналитики'!AP3380+'04_Продажи'!AP22,0)</f>
        <v/>
      </c>
      <c r="AQ3382">
        <f>IF('01_Вводные'!$B$234="Да",'19_Расчет_аналитики'!AQ3380+'04_Продажи'!AQ22,0)</f>
        <v/>
      </c>
      <c r="AR3382">
        <f>IF('01_Вводные'!$B$234="Да",'19_Расчет_аналитики'!AR3380+'04_Продажи'!AR22,0)</f>
        <v/>
      </c>
      <c r="AS3382">
        <f>IF('01_Вводные'!$B$234="Да",'19_Расчет_аналитики'!AS3380+'04_Продажи'!AS22,0)</f>
        <v/>
      </c>
      <c r="AT3382">
        <f>IF('01_Вводные'!$B$234="Да",'19_Расчет_аналитики'!AT3380+'04_Продажи'!AT22,0)</f>
        <v/>
      </c>
      <c r="AU3382">
        <f>IF('01_Вводные'!$B$234="Да",'19_Расчет_аналитики'!AU3380+'04_Продажи'!AU22,0)</f>
        <v/>
      </c>
      <c r="AV3382">
        <f>IF('01_Вводные'!$B$234="Да",'19_Расчет_аналитики'!AV3380+'04_Продажи'!AV22,0)</f>
        <v/>
      </c>
      <c r="AW3382">
        <f>IF('01_Вводные'!$B$234="Да",'19_Расчет_аналитики'!AW3380+'04_Продажи'!AW22,0)</f>
        <v/>
      </c>
      <c r="AX3382">
        <f>IF('01_Вводные'!$B$234="Да",'19_Расчет_аналитики'!AX3380+'04_Продажи'!AX22,0)</f>
        <v/>
      </c>
      <c r="AY3382">
        <f>IF('01_Вводные'!$B$234="Да",'19_Расчет_аналитики'!AY3380+'04_Продажи'!AY22,0)</f>
        <v/>
      </c>
      <c r="AZ3382">
        <f>IF('01_Вводные'!$B$234="Да",'19_Расчет_аналитики'!AZ3380+'04_Продажи'!AZ22,0)</f>
        <v/>
      </c>
      <c r="BA3382">
        <f>IF('01_Вводные'!$B$234="Да",'19_Расчет_аналитики'!BA3380+'04_Продажи'!BA22,0)</f>
        <v/>
      </c>
      <c r="BB3382">
        <f>IF('01_Вводные'!$B$234="Да",'19_Расчет_аналитики'!BB3380+'04_Продажи'!BB22,0)</f>
        <v/>
      </c>
      <c r="BC3382">
        <f>IF('01_Вводные'!$B$234="Да",'19_Расчет_аналитики'!BC3380+'04_Продажи'!BC22,0)</f>
        <v/>
      </c>
      <c r="BD3382">
        <f>IF('01_Вводные'!$B$234="Да",'19_Расчет_аналитики'!BD3380+'04_Продажи'!BD22,0)</f>
        <v/>
      </c>
      <c r="BE3382">
        <f>IF('01_Вводные'!$B$234="Да",'19_Расчет_аналитики'!BE3380+'04_Продажи'!BE22,0)</f>
        <v/>
      </c>
      <c r="BF3382">
        <f>IF('01_Вводные'!$B$234="Да",'19_Расчет_аналитики'!BF3380+'04_Продажи'!BF22,0)</f>
        <v/>
      </c>
      <c r="BG3382">
        <f>IF('01_Вводные'!$B$234="Да",'19_Расчет_аналитики'!BG3380+'04_Продажи'!BG22,0)</f>
        <v/>
      </c>
      <c r="BH3382">
        <f>IF('01_Вводные'!$B$234="Да",'19_Расчет_аналитики'!BH3380+'04_Продажи'!BH22,0)</f>
        <v/>
      </c>
      <c r="BI3382">
        <f>IF('01_Вводные'!$B$234="Да",'19_Расчет_аналитики'!BI3380+'04_Продажи'!BI22,0)</f>
        <v/>
      </c>
    </row>
    <row r="3383"/>
    <row r="3384">
      <c r="C3384">
        <f>IF('01_Вводные'!$B$234="Да",'19_Расчет_аналитики'!C3374*'18_Календарь_тарифы'!C6,0)</f>
        <v/>
      </c>
      <c r="D3384">
        <f>IF('01_Вводные'!$B$234="Да",'19_Расчет_аналитики'!D3374*'18_Календарь_тарифы'!D6,0)</f>
        <v/>
      </c>
      <c r="E3384">
        <f>IF('01_Вводные'!$B$234="Да",'19_Расчет_аналитики'!E3374*'18_Календарь_тарифы'!E6,0)</f>
        <v/>
      </c>
      <c r="F3384">
        <f>IF('01_Вводные'!$B$234="Да",'19_Расчет_аналитики'!F3374*'18_Календарь_тарифы'!F6,0)</f>
        <v/>
      </c>
      <c r="G3384">
        <f>IF('01_Вводные'!$B$234="Да",'19_Расчет_аналитики'!G3374*'18_Календарь_тарифы'!G6,0)</f>
        <v/>
      </c>
      <c r="H3384">
        <f>IF('01_Вводные'!$B$234="Да",'19_Расчет_аналитики'!H3374*'18_Календарь_тарифы'!H6,0)</f>
        <v/>
      </c>
      <c r="I3384">
        <f>IF('01_Вводные'!$B$234="Да",'19_Расчет_аналитики'!I3374*'18_Календарь_тарифы'!I6,0)</f>
        <v/>
      </c>
      <c r="J3384">
        <f>IF('01_Вводные'!$B$234="Да",'19_Расчет_аналитики'!J3374*'18_Календарь_тарифы'!J6,0)</f>
        <v/>
      </c>
      <c r="K3384">
        <f>IF('01_Вводные'!$B$234="Да",'19_Расчет_аналитики'!K3374*'18_Календарь_тарифы'!K6,0)</f>
        <v/>
      </c>
      <c r="L3384">
        <f>IF('01_Вводные'!$B$234="Да",'19_Расчет_аналитики'!L3374*'18_Календарь_тарифы'!L6,0)</f>
        <v/>
      </c>
      <c r="M3384">
        <f>IF('01_Вводные'!$B$234="Да",'19_Расчет_аналитики'!M3374*'18_Календарь_тарифы'!M6,0)</f>
        <v/>
      </c>
      <c r="N3384">
        <f>IF('01_Вводные'!$B$234="Да",'19_Расчет_аналитики'!N3374*'18_Календарь_тарифы'!N6,0)</f>
        <v/>
      </c>
      <c r="O3384">
        <f>IF('01_Вводные'!$B$234="Да",'19_Расчет_аналитики'!O3374*'18_Календарь_тарифы'!O6,0)</f>
        <v/>
      </c>
      <c r="P3384">
        <f>IF('01_Вводные'!$B$234="Да",'19_Расчет_аналитики'!P3374*'18_Календарь_тарифы'!P6,0)</f>
        <v/>
      </c>
      <c r="Q3384">
        <f>IF('01_Вводные'!$B$234="Да",'19_Расчет_аналитики'!Q3374*'18_Календарь_тарифы'!Q6,0)</f>
        <v/>
      </c>
      <c r="R3384">
        <f>IF('01_Вводные'!$B$234="Да",'19_Расчет_аналитики'!R3374*'18_Календарь_тарифы'!R6,0)</f>
        <v/>
      </c>
      <c r="S3384">
        <f>IF('01_Вводные'!$B$234="Да",'19_Расчет_аналитики'!S3374*'18_Календарь_тарифы'!S6,0)</f>
        <v/>
      </c>
      <c r="T3384">
        <f>IF('01_Вводные'!$B$234="Да",'19_Расчет_аналитики'!T3374*'18_Календарь_тарифы'!T6,0)</f>
        <v/>
      </c>
      <c r="U3384">
        <f>IF('01_Вводные'!$B$234="Да",'19_Расчет_аналитики'!U3374*'18_Календарь_тарифы'!U6,0)</f>
        <v/>
      </c>
      <c r="V3384">
        <f>IF('01_Вводные'!$B$234="Да",'19_Расчет_аналитики'!V3374*'18_Календарь_тарифы'!V6,0)</f>
        <v/>
      </c>
      <c r="W3384">
        <f>IF('01_Вводные'!$B$234="Да",'19_Расчет_аналитики'!W3374*'18_Календарь_тарифы'!W6,0)</f>
        <v/>
      </c>
      <c r="X3384">
        <f>IF('01_Вводные'!$B$234="Да",'19_Расчет_аналитики'!X3374*'18_Календарь_тарифы'!X6,0)</f>
        <v/>
      </c>
      <c r="Y3384">
        <f>IF('01_Вводные'!$B$234="Да",'19_Расчет_аналитики'!Y3374*'18_Календарь_тарифы'!Y6,0)</f>
        <v/>
      </c>
      <c r="Z3384">
        <f>IF('01_Вводные'!$B$234="Да",'19_Расчет_аналитики'!Z3374*'18_Календарь_тарифы'!Z6,0)</f>
        <v/>
      </c>
      <c r="AA3384">
        <f>IF('01_Вводные'!$B$234="Да",'19_Расчет_аналитики'!AA3374*'18_Календарь_тарифы'!AA6,0)</f>
        <v/>
      </c>
      <c r="AB3384">
        <f>IF('01_Вводные'!$B$234="Да",'19_Расчет_аналитики'!AB3374*'18_Календарь_тарифы'!AB6,0)</f>
        <v/>
      </c>
      <c r="AC3384">
        <f>IF('01_Вводные'!$B$234="Да",'19_Расчет_аналитики'!AC3374*'18_Календарь_тарифы'!AC6,0)</f>
        <v/>
      </c>
      <c r="AD3384">
        <f>IF('01_Вводные'!$B$234="Да",'19_Расчет_аналитики'!AD3374*'18_Календарь_тарифы'!AD6,0)</f>
        <v/>
      </c>
      <c r="AE3384">
        <f>IF('01_Вводные'!$B$234="Да",'19_Расчет_аналитики'!AE3374*'18_Календарь_тарифы'!AE6,0)</f>
        <v/>
      </c>
      <c r="AF3384">
        <f>IF('01_Вводные'!$B$234="Да",'19_Расчет_аналитики'!AF3374*'18_Календарь_тарифы'!AF6,0)</f>
        <v/>
      </c>
      <c r="AG3384">
        <f>IF('01_Вводные'!$B$234="Да",'19_Расчет_аналитики'!AG3374*'18_Календарь_тарифы'!AG6,0)</f>
        <v/>
      </c>
      <c r="AH3384">
        <f>IF('01_Вводные'!$B$234="Да",'19_Расчет_аналитики'!AH3374*'18_Календарь_тарифы'!AH6,0)</f>
        <v/>
      </c>
      <c r="AI3384">
        <f>IF('01_Вводные'!$B$234="Да",'19_Расчет_аналитики'!AI3374*'18_Календарь_тарифы'!AI6,0)</f>
        <v/>
      </c>
      <c r="AJ3384">
        <f>IF('01_Вводные'!$B$234="Да",'19_Расчет_аналитики'!AJ3374*'18_Календарь_тарифы'!AJ6,0)</f>
        <v/>
      </c>
      <c r="AK3384">
        <f>IF('01_Вводные'!$B$234="Да",'19_Расчет_аналитики'!AK3374*'18_Календарь_тарифы'!AK6,0)</f>
        <v/>
      </c>
      <c r="AL3384">
        <f>IF('01_Вводные'!$B$234="Да",'19_Расчет_аналитики'!AL3374*'18_Календарь_тарифы'!AL6,0)</f>
        <v/>
      </c>
      <c r="AM3384">
        <f>IF('01_Вводные'!$B$234="Да",'19_Расчет_аналитики'!AM3374*'18_Календарь_тарифы'!AM6,0)</f>
        <v/>
      </c>
      <c r="AN3384">
        <f>IF('01_Вводные'!$B$234="Да",'19_Расчет_аналитики'!AN3374*'18_Календарь_тарифы'!AN6,0)</f>
        <v/>
      </c>
      <c r="AO3384">
        <f>IF('01_Вводные'!$B$234="Да",'19_Расчет_аналитики'!AO3374*'18_Календарь_тарифы'!AO6,0)</f>
        <v/>
      </c>
      <c r="AP3384">
        <f>IF('01_Вводные'!$B$234="Да",'19_Расчет_аналитики'!AP3374*'18_Календарь_тарифы'!AP6,0)</f>
        <v/>
      </c>
      <c r="AQ3384">
        <f>IF('01_Вводные'!$B$234="Да",'19_Расчет_аналитики'!AQ3374*'18_Календарь_тарифы'!AQ6,0)</f>
        <v/>
      </c>
      <c r="AR3384">
        <f>IF('01_Вводные'!$B$234="Да",'19_Расчет_аналитики'!AR3374*'18_Календарь_тарифы'!AR6,0)</f>
        <v/>
      </c>
      <c r="AS3384">
        <f>IF('01_Вводные'!$B$234="Да",'19_Расчет_аналитики'!AS3374*'18_Календарь_тарифы'!AS6,0)</f>
        <v/>
      </c>
      <c r="AT3384">
        <f>IF('01_Вводные'!$B$234="Да",'19_Расчет_аналитики'!AT3374*'18_Календарь_тарифы'!AT6,0)</f>
        <v/>
      </c>
      <c r="AU3384">
        <f>IF('01_Вводные'!$B$234="Да",'19_Расчет_аналитики'!AU3374*'18_Календарь_тарифы'!AU6,0)</f>
        <v/>
      </c>
      <c r="AV3384">
        <f>IF('01_Вводные'!$B$234="Да",'19_Расчет_аналитики'!AV3374*'18_Календарь_тарифы'!AV6,0)</f>
        <v/>
      </c>
      <c r="AW3384">
        <f>IF('01_Вводные'!$B$234="Да",'19_Расчет_аналитики'!AW3374*'18_Календарь_тарифы'!AW6,0)</f>
        <v/>
      </c>
      <c r="AX3384">
        <f>IF('01_Вводные'!$B$234="Да",'19_Расчет_аналитики'!AX3374*'18_Календарь_тарифы'!AX6,0)</f>
        <v/>
      </c>
      <c r="AY3384">
        <f>IF('01_Вводные'!$B$234="Да",'19_Расчет_аналитики'!AY3374*'18_Календарь_тарифы'!AY6,0)</f>
        <v/>
      </c>
      <c r="AZ3384">
        <f>IF('01_Вводные'!$B$234="Да",'19_Расчет_аналитики'!AZ3374*'18_Календарь_тарифы'!AZ6,0)</f>
        <v/>
      </c>
      <c r="BA3384">
        <f>IF('01_Вводные'!$B$234="Да",'19_Расчет_аналитики'!BA3374*'18_Календарь_тарифы'!BA6,0)</f>
        <v/>
      </c>
      <c r="BB3384">
        <f>IF('01_Вводные'!$B$234="Да",'19_Расчет_аналитики'!BB3374*'18_Календарь_тарифы'!BB6,0)</f>
        <v/>
      </c>
      <c r="BC3384">
        <f>IF('01_Вводные'!$B$234="Да",'19_Расчет_аналитики'!BC3374*'18_Календарь_тарифы'!BC6,0)</f>
        <v/>
      </c>
      <c r="BD3384">
        <f>IF('01_Вводные'!$B$234="Да",'19_Расчет_аналитики'!BD3374*'18_Календарь_тарифы'!BD6,0)</f>
        <v/>
      </c>
      <c r="BE3384">
        <f>IF('01_Вводные'!$B$234="Да",'19_Расчет_аналитики'!BE3374*'18_Календарь_тарифы'!BE6,0)</f>
        <v/>
      </c>
      <c r="BF3384">
        <f>IF('01_Вводные'!$B$234="Да",'19_Расчет_аналитики'!BF3374*'18_Календарь_тарифы'!BF6,0)</f>
        <v/>
      </c>
      <c r="BG3384">
        <f>IF('01_Вводные'!$B$234="Да",'19_Расчет_аналитики'!BG3374*'18_Календарь_тарифы'!BG6,0)</f>
        <v/>
      </c>
      <c r="BH3384">
        <f>IF('01_Вводные'!$B$234="Да",'19_Расчет_аналитики'!BH3374*'18_Календарь_тарифы'!BH6,0)</f>
        <v/>
      </c>
      <c r="BI3384">
        <f>IF('01_Вводные'!$B$234="Да",'19_Расчет_аналитики'!BI3374*'18_Календарь_тарифы'!BI6,0)</f>
        <v/>
      </c>
    </row>
    <row r="3385">
      <c r="C3385">
        <f>IF('01_Вводные'!$B$234="Да",'19_Расчет_аналитики'!C3384/(1+'01_Вводные'!$B$58),0)</f>
        <v/>
      </c>
      <c r="D3385">
        <f>IF('01_Вводные'!$B$234="Да",'19_Расчет_аналитики'!D3384/(1+'01_Вводные'!$B$58),0)</f>
        <v/>
      </c>
      <c r="E3385">
        <f>IF('01_Вводные'!$B$234="Да",'19_Расчет_аналитики'!E3384/(1+'01_Вводные'!$B$58),0)</f>
        <v/>
      </c>
      <c r="F3385">
        <f>IF('01_Вводные'!$B$234="Да",'19_Расчет_аналитики'!F3384/(1+'01_Вводные'!$B$58),0)</f>
        <v/>
      </c>
      <c r="G3385">
        <f>IF('01_Вводные'!$B$234="Да",'19_Расчет_аналитики'!G3384/(1+'01_Вводные'!$B$58),0)</f>
        <v/>
      </c>
      <c r="H3385">
        <f>IF('01_Вводные'!$B$234="Да",'19_Расчет_аналитики'!H3384/(1+'01_Вводные'!$B$58),0)</f>
        <v/>
      </c>
      <c r="I3385">
        <f>IF('01_Вводные'!$B$234="Да",'19_Расчет_аналитики'!I3384/(1+'01_Вводные'!$B$58),0)</f>
        <v/>
      </c>
      <c r="J3385">
        <f>IF('01_Вводные'!$B$234="Да",'19_Расчет_аналитики'!J3384/(1+'01_Вводные'!$B$58),0)</f>
        <v/>
      </c>
      <c r="K3385">
        <f>IF('01_Вводные'!$B$234="Да",'19_Расчет_аналитики'!K3384/(1+'01_Вводные'!$B$58),0)</f>
        <v/>
      </c>
      <c r="L3385">
        <f>IF('01_Вводные'!$B$234="Да",'19_Расчет_аналитики'!L3384/(1+'01_Вводные'!$B$58),0)</f>
        <v/>
      </c>
      <c r="M3385">
        <f>IF('01_Вводные'!$B$234="Да",'19_Расчет_аналитики'!M3384/(1+'01_Вводные'!$B$58),0)</f>
        <v/>
      </c>
      <c r="N3385">
        <f>IF('01_Вводные'!$B$234="Да",'19_Расчет_аналитики'!N3384/(1+'01_Вводные'!$B$58),0)</f>
        <v/>
      </c>
      <c r="O3385">
        <f>IF('01_Вводные'!$B$234="Да",'19_Расчет_аналитики'!O3384/(1+'01_Вводные'!$B$58),0)</f>
        <v/>
      </c>
      <c r="P3385">
        <f>IF('01_Вводные'!$B$234="Да",'19_Расчет_аналитики'!P3384/(1+'01_Вводные'!$B$58),0)</f>
        <v/>
      </c>
      <c r="Q3385">
        <f>IF('01_Вводные'!$B$234="Да",'19_Расчет_аналитики'!Q3384/(1+'01_Вводные'!$B$58),0)</f>
        <v/>
      </c>
      <c r="R3385">
        <f>IF('01_Вводные'!$B$234="Да",'19_Расчет_аналитики'!R3384/(1+'01_Вводные'!$B$58),0)</f>
        <v/>
      </c>
      <c r="S3385">
        <f>IF('01_Вводные'!$B$234="Да",'19_Расчет_аналитики'!S3384/(1+'01_Вводные'!$B$58),0)</f>
        <v/>
      </c>
      <c r="T3385">
        <f>IF('01_Вводные'!$B$234="Да",'19_Расчет_аналитики'!T3384/(1+'01_Вводные'!$B$58),0)</f>
        <v/>
      </c>
      <c r="U3385">
        <f>IF('01_Вводные'!$B$234="Да",'19_Расчет_аналитики'!U3384/(1+'01_Вводные'!$B$58),0)</f>
        <v/>
      </c>
      <c r="V3385">
        <f>IF('01_Вводные'!$B$234="Да",'19_Расчет_аналитики'!V3384/(1+'01_Вводные'!$B$58),0)</f>
        <v/>
      </c>
      <c r="W3385">
        <f>IF('01_Вводные'!$B$234="Да",'19_Расчет_аналитики'!W3384/(1+'01_Вводные'!$B$58),0)</f>
        <v/>
      </c>
      <c r="X3385">
        <f>IF('01_Вводные'!$B$234="Да",'19_Расчет_аналитики'!X3384/(1+'01_Вводные'!$B$58),0)</f>
        <v/>
      </c>
      <c r="Y3385">
        <f>IF('01_Вводные'!$B$234="Да",'19_Расчет_аналитики'!Y3384/(1+'01_Вводные'!$B$58),0)</f>
        <v/>
      </c>
      <c r="Z3385">
        <f>IF('01_Вводные'!$B$234="Да",'19_Расчет_аналитики'!Z3384/(1+'01_Вводные'!$B$58),0)</f>
        <v/>
      </c>
      <c r="AA3385">
        <f>IF('01_Вводные'!$B$234="Да",'19_Расчет_аналитики'!AA3384/(1+'01_Вводные'!$B$58),0)</f>
        <v/>
      </c>
      <c r="AB3385">
        <f>IF('01_Вводные'!$B$234="Да",'19_Расчет_аналитики'!AB3384/(1+'01_Вводные'!$B$58),0)</f>
        <v/>
      </c>
      <c r="AC3385">
        <f>IF('01_Вводные'!$B$234="Да",'19_Расчет_аналитики'!AC3384/(1+'01_Вводные'!$B$58),0)</f>
        <v/>
      </c>
      <c r="AD3385">
        <f>IF('01_Вводные'!$B$234="Да",'19_Расчет_аналитики'!AD3384/(1+'01_Вводные'!$B$58),0)</f>
        <v/>
      </c>
      <c r="AE3385">
        <f>IF('01_Вводные'!$B$234="Да",'19_Расчет_аналитики'!AE3384/(1+'01_Вводные'!$B$58),0)</f>
        <v/>
      </c>
      <c r="AF3385">
        <f>IF('01_Вводные'!$B$234="Да",'19_Расчет_аналитики'!AF3384/(1+'01_Вводные'!$B$58),0)</f>
        <v/>
      </c>
      <c r="AG3385">
        <f>IF('01_Вводные'!$B$234="Да",'19_Расчет_аналитики'!AG3384/(1+'01_Вводные'!$B$58),0)</f>
        <v/>
      </c>
      <c r="AH3385">
        <f>IF('01_Вводные'!$B$234="Да",'19_Расчет_аналитики'!AH3384/(1+'01_Вводные'!$B$58),0)</f>
        <v/>
      </c>
      <c r="AI3385">
        <f>IF('01_Вводные'!$B$234="Да",'19_Расчет_аналитики'!AI3384/(1+'01_Вводные'!$B$58),0)</f>
        <v/>
      </c>
      <c r="AJ3385">
        <f>IF('01_Вводные'!$B$234="Да",'19_Расчет_аналитики'!AJ3384/(1+'01_Вводные'!$B$58),0)</f>
        <v/>
      </c>
      <c r="AK3385">
        <f>IF('01_Вводные'!$B$234="Да",'19_Расчет_аналитики'!AK3384/(1+'01_Вводные'!$B$58),0)</f>
        <v/>
      </c>
      <c r="AL3385">
        <f>IF('01_Вводные'!$B$234="Да",'19_Расчет_аналитики'!AL3384/(1+'01_Вводные'!$B$58),0)</f>
        <v/>
      </c>
      <c r="AM3385">
        <f>IF('01_Вводные'!$B$234="Да",'19_Расчет_аналитики'!AM3384/(1+'01_Вводные'!$B$58),0)</f>
        <v/>
      </c>
      <c r="AN3385">
        <f>IF('01_Вводные'!$B$234="Да",'19_Расчет_аналитики'!AN3384/(1+'01_Вводные'!$B$58),0)</f>
        <v/>
      </c>
      <c r="AO3385">
        <f>IF('01_Вводные'!$B$234="Да",'19_Расчет_аналитики'!AO3384/(1+'01_Вводные'!$B$58),0)</f>
        <v/>
      </c>
      <c r="AP3385">
        <f>IF('01_Вводные'!$B$234="Да",'19_Расчет_аналитики'!AP3384/(1+'01_Вводные'!$B$58),0)</f>
        <v/>
      </c>
      <c r="AQ3385">
        <f>IF('01_Вводные'!$B$234="Да",'19_Расчет_аналитики'!AQ3384/(1+'01_Вводные'!$B$58),0)</f>
        <v/>
      </c>
      <c r="AR3385">
        <f>IF('01_Вводные'!$B$234="Да",'19_Расчет_аналитики'!AR3384/(1+'01_Вводные'!$B$58),0)</f>
        <v/>
      </c>
      <c r="AS3385">
        <f>IF('01_Вводные'!$B$234="Да",'19_Расчет_аналитики'!AS3384/(1+'01_Вводные'!$B$58),0)</f>
        <v/>
      </c>
      <c r="AT3385">
        <f>IF('01_Вводные'!$B$234="Да",'19_Расчет_аналитики'!AT3384/(1+'01_Вводные'!$B$58),0)</f>
        <v/>
      </c>
      <c r="AU3385">
        <f>IF('01_Вводные'!$B$234="Да",'19_Расчет_аналитики'!AU3384/(1+'01_Вводные'!$B$58),0)</f>
        <v/>
      </c>
      <c r="AV3385">
        <f>IF('01_Вводные'!$B$234="Да",'19_Расчет_аналитики'!AV3384/(1+'01_Вводные'!$B$58),0)</f>
        <v/>
      </c>
      <c r="AW3385">
        <f>IF('01_Вводные'!$B$234="Да",'19_Расчет_аналитики'!AW3384/(1+'01_Вводные'!$B$58),0)</f>
        <v/>
      </c>
      <c r="AX3385">
        <f>IF('01_Вводные'!$B$234="Да",'19_Расчет_аналитики'!AX3384/(1+'01_Вводные'!$B$58),0)</f>
        <v/>
      </c>
      <c r="AY3385">
        <f>IF('01_Вводные'!$B$234="Да",'19_Расчет_аналитики'!AY3384/(1+'01_Вводные'!$B$58),0)</f>
        <v/>
      </c>
      <c r="AZ3385">
        <f>IF('01_Вводные'!$B$234="Да",'19_Расчет_аналитики'!AZ3384/(1+'01_Вводные'!$B$58),0)</f>
        <v/>
      </c>
      <c r="BA3385">
        <f>IF('01_Вводные'!$B$234="Да",'19_Расчет_аналитики'!BA3384/(1+'01_Вводные'!$B$58),0)</f>
        <v/>
      </c>
      <c r="BB3385">
        <f>IF('01_Вводные'!$B$234="Да",'19_Расчет_аналитики'!BB3384/(1+'01_Вводные'!$B$58),0)</f>
        <v/>
      </c>
      <c r="BC3385">
        <f>IF('01_Вводные'!$B$234="Да",'19_Расчет_аналитики'!BC3384/(1+'01_Вводные'!$B$58),0)</f>
        <v/>
      </c>
      <c r="BD3385">
        <f>IF('01_Вводные'!$B$234="Да",'19_Расчет_аналитики'!BD3384/(1+'01_Вводные'!$B$58),0)</f>
        <v/>
      </c>
      <c r="BE3385">
        <f>IF('01_Вводные'!$B$234="Да",'19_Расчет_аналитики'!BE3384/(1+'01_Вводные'!$B$58),0)</f>
        <v/>
      </c>
      <c r="BF3385">
        <f>IF('01_Вводные'!$B$234="Да",'19_Расчет_аналитики'!BF3384/(1+'01_Вводные'!$B$58),0)</f>
        <v/>
      </c>
      <c r="BG3385">
        <f>IF('01_Вводные'!$B$234="Да",'19_Расчет_аналитики'!BG3384/(1+'01_Вводные'!$B$58),0)</f>
        <v/>
      </c>
      <c r="BH3385">
        <f>IF('01_Вводные'!$B$234="Да",'19_Расчет_аналитики'!BH3384/(1+'01_Вводные'!$B$58),0)</f>
        <v/>
      </c>
      <c r="BI3385">
        <f>IF('01_Вводные'!$B$234="Да",'19_Расчет_аналитики'!BI3384/(1+'01_Вводные'!$B$58),0)</f>
        <v/>
      </c>
    </row>
    <row r="3386"/>
    <row r="3387"/>
    <row r="3388"/>
    <row r="3389"/>
    <row r="3390"/>
    <row r="3391"/>
    <row r="3392"/>
    <row r="3393"/>
    <row r="3394"/>
    <row r="3395"/>
    <row r="3396"/>
    <row r="3397"/>
    <row r="3398">
      <c r="C3398">
        <f>IF('01_Вводные'!$B$234="Да",'19_Расчет_аналитики'!C3374,0)</f>
        <v/>
      </c>
      <c r="D3398">
        <f>IF('01_Вводные'!$B$234="Да",'19_Расчет_аналитики'!D3374,0)</f>
        <v/>
      </c>
      <c r="E3398">
        <f>IF('01_Вводные'!$B$234="Да",'19_Расчет_аналитики'!E3374,0)</f>
        <v/>
      </c>
      <c r="F3398">
        <f>IF('01_Вводные'!$B$234="Да",'19_Расчет_аналитики'!F3374,0)</f>
        <v/>
      </c>
      <c r="G3398">
        <f>IF('01_Вводные'!$B$234="Да",'19_Расчет_аналитики'!G3374,0)</f>
        <v/>
      </c>
      <c r="H3398">
        <f>IF('01_Вводные'!$B$234="Да",'19_Расчет_аналитики'!H3374,0)</f>
        <v/>
      </c>
      <c r="I3398">
        <f>IF('01_Вводные'!$B$234="Да",'19_Расчет_аналитики'!I3374,0)</f>
        <v/>
      </c>
      <c r="J3398">
        <f>IF('01_Вводные'!$B$234="Да",'19_Расчет_аналитики'!J3374,0)</f>
        <v/>
      </c>
      <c r="K3398">
        <f>IF('01_Вводные'!$B$234="Да",'19_Расчет_аналитики'!K3374,0)</f>
        <v/>
      </c>
      <c r="L3398">
        <f>IF('01_Вводные'!$B$234="Да",'19_Расчет_аналитики'!L3374,0)</f>
        <v/>
      </c>
      <c r="M3398">
        <f>IF('01_Вводные'!$B$234="Да",'19_Расчет_аналитики'!M3374,0)</f>
        <v/>
      </c>
      <c r="N3398">
        <f>IF('01_Вводные'!$B$234="Да",'19_Расчет_аналитики'!N3374,0)</f>
        <v/>
      </c>
      <c r="O3398">
        <f>IF('01_Вводные'!$B$234="Да",'19_Расчет_аналитики'!O3374,0)</f>
        <v/>
      </c>
      <c r="P3398">
        <f>IF('01_Вводные'!$B$234="Да",'19_Расчет_аналитики'!P3374,0)</f>
        <v/>
      </c>
      <c r="Q3398">
        <f>IF('01_Вводные'!$B$234="Да",'19_Расчет_аналитики'!Q3374,0)</f>
        <v/>
      </c>
      <c r="R3398">
        <f>IF('01_Вводные'!$B$234="Да",'19_Расчет_аналитики'!R3374,0)</f>
        <v/>
      </c>
      <c r="S3398">
        <f>IF('01_Вводные'!$B$234="Да",'19_Расчет_аналитики'!S3374,0)</f>
        <v/>
      </c>
      <c r="T3398">
        <f>IF('01_Вводные'!$B$234="Да",'19_Расчет_аналитики'!T3374,0)</f>
        <v/>
      </c>
      <c r="U3398">
        <f>IF('01_Вводные'!$B$234="Да",'19_Расчет_аналитики'!U3374,0)</f>
        <v/>
      </c>
      <c r="V3398">
        <f>IF('01_Вводные'!$B$234="Да",'19_Расчет_аналитики'!V3374,0)</f>
        <v/>
      </c>
      <c r="W3398">
        <f>IF('01_Вводные'!$B$234="Да",'19_Расчет_аналитики'!W3374,0)</f>
        <v/>
      </c>
      <c r="X3398">
        <f>IF('01_Вводные'!$B$234="Да",'19_Расчет_аналитики'!X3374,0)</f>
        <v/>
      </c>
      <c r="Y3398">
        <f>IF('01_Вводные'!$B$234="Да",'19_Расчет_аналитики'!Y3374,0)</f>
        <v/>
      </c>
      <c r="Z3398">
        <f>IF('01_Вводные'!$B$234="Да",'19_Расчет_аналитики'!Z3374,0)</f>
        <v/>
      </c>
      <c r="AA3398">
        <f>IF('01_Вводные'!$B$234="Да",'19_Расчет_аналитики'!AA3374,0)</f>
        <v/>
      </c>
      <c r="AB3398">
        <f>IF('01_Вводные'!$B$234="Да",'19_Расчет_аналитики'!AB3374,0)</f>
        <v/>
      </c>
      <c r="AC3398">
        <f>IF('01_Вводные'!$B$234="Да",'19_Расчет_аналитики'!AC3374,0)</f>
        <v/>
      </c>
      <c r="AD3398">
        <f>IF('01_Вводные'!$B$234="Да",'19_Расчет_аналитики'!AD3374,0)</f>
        <v/>
      </c>
      <c r="AE3398">
        <f>IF('01_Вводные'!$B$234="Да",'19_Расчет_аналитики'!AE3374,0)</f>
        <v/>
      </c>
      <c r="AF3398">
        <f>IF('01_Вводные'!$B$234="Да",'19_Расчет_аналитики'!AF3374,0)</f>
        <v/>
      </c>
      <c r="AG3398">
        <f>IF('01_Вводные'!$B$234="Да",'19_Расчет_аналитики'!AG3374,0)</f>
        <v/>
      </c>
      <c r="AH3398">
        <f>IF('01_Вводные'!$B$234="Да",'19_Расчет_аналитики'!AH3374,0)</f>
        <v/>
      </c>
      <c r="AI3398">
        <f>IF('01_Вводные'!$B$234="Да",'19_Расчет_аналитики'!AI3374,0)</f>
        <v/>
      </c>
      <c r="AJ3398">
        <f>IF('01_Вводные'!$B$234="Да",'19_Расчет_аналитики'!AJ3374,0)</f>
        <v/>
      </c>
      <c r="AK3398">
        <f>IF('01_Вводные'!$B$234="Да",'19_Расчет_аналитики'!AK3374,0)</f>
        <v/>
      </c>
      <c r="AL3398">
        <f>IF('01_Вводные'!$B$234="Да",'19_Расчет_аналитики'!AL3374,0)</f>
        <v/>
      </c>
      <c r="AM3398">
        <f>IF('01_Вводные'!$B$234="Да",'19_Расчет_аналитики'!AM3374,0)</f>
        <v/>
      </c>
      <c r="AN3398">
        <f>IF('01_Вводные'!$B$234="Да",'19_Расчет_аналитики'!AN3374,0)</f>
        <v/>
      </c>
      <c r="AO3398">
        <f>IF('01_Вводные'!$B$234="Да",'19_Расчет_аналитики'!AO3374,0)</f>
        <v/>
      </c>
      <c r="AP3398">
        <f>IF('01_Вводные'!$B$234="Да",'19_Расчет_аналитики'!AP3374,0)</f>
        <v/>
      </c>
      <c r="AQ3398">
        <f>IF('01_Вводные'!$B$234="Да",'19_Расчет_аналитики'!AQ3374,0)</f>
        <v/>
      </c>
      <c r="AR3398">
        <f>IF('01_Вводные'!$B$234="Да",'19_Расчет_аналитики'!AR3374,0)</f>
        <v/>
      </c>
      <c r="AS3398">
        <f>IF('01_Вводные'!$B$234="Да",'19_Расчет_аналитики'!AS3374,0)</f>
        <v/>
      </c>
      <c r="AT3398">
        <f>IF('01_Вводные'!$B$234="Да",'19_Расчет_аналитики'!AT3374,0)</f>
        <v/>
      </c>
      <c r="AU3398">
        <f>IF('01_Вводные'!$B$234="Да",'19_Расчет_аналитики'!AU3374,0)</f>
        <v/>
      </c>
      <c r="AV3398">
        <f>IF('01_Вводные'!$B$234="Да",'19_Расчет_аналитики'!AV3374,0)</f>
        <v/>
      </c>
      <c r="AW3398">
        <f>IF('01_Вводные'!$B$234="Да",'19_Расчет_аналитики'!AW3374,0)</f>
        <v/>
      </c>
      <c r="AX3398">
        <f>IF('01_Вводные'!$B$234="Да",'19_Расчет_аналитики'!AX3374,0)</f>
        <v/>
      </c>
      <c r="AY3398">
        <f>IF('01_Вводные'!$B$234="Да",'19_Расчет_аналитики'!AY3374,0)</f>
        <v/>
      </c>
      <c r="AZ3398">
        <f>IF('01_Вводные'!$B$234="Да",'19_Расчет_аналитики'!AZ3374,0)</f>
        <v/>
      </c>
      <c r="BA3398">
        <f>IF('01_Вводные'!$B$234="Да",'19_Расчет_аналитики'!BA3374,0)</f>
        <v/>
      </c>
      <c r="BB3398">
        <f>IF('01_Вводные'!$B$234="Да",'19_Расчет_аналитики'!BB3374,0)</f>
        <v/>
      </c>
      <c r="BC3398">
        <f>IF('01_Вводные'!$B$234="Да",'19_Расчет_аналитики'!BC3374,0)</f>
        <v/>
      </c>
      <c r="BD3398">
        <f>IF('01_Вводные'!$B$234="Да",'19_Расчет_аналитики'!BD3374,0)</f>
        <v/>
      </c>
      <c r="BE3398">
        <f>IF('01_Вводные'!$B$234="Да",'19_Расчет_аналитики'!BE3374,0)</f>
        <v/>
      </c>
      <c r="BF3398">
        <f>IF('01_Вводные'!$B$234="Да",'19_Расчет_аналитики'!BF3374,0)</f>
        <v/>
      </c>
      <c r="BG3398">
        <f>IF('01_Вводные'!$B$234="Да",'19_Расчет_аналитики'!BG3374,0)</f>
        <v/>
      </c>
      <c r="BH3398">
        <f>IF('01_Вводные'!$B$234="Да",'19_Расчет_аналитики'!BH3374,0)</f>
        <v/>
      </c>
      <c r="BI3398">
        <f>IF('01_Вводные'!$B$234="Да",'19_Расчет_аналитики'!BI3374,0)</f>
        <v/>
      </c>
    </row>
    <row r="3399">
      <c r="B3399">
        <f>IF(OR(1&lt;='01_Вводные'!$B$15,1-'01_Вводные'!$B$15&gt;60),0,INDEX('19_Расчет_аналитики'!$B$3374:$BI$3374,1,1-'01_Вводные'!$B$15))*'01_Вводные'!$B$298*MIN(1,'01_Вводные'!$B$22)+IF(OR(1&lt;=('01_Вводные'!$B$15+'01_Вводные'!$B$311),1-('01_Вводные'!$B$15+'01_Вводные'!$B$311)&gt;60),0,INDEX('19_Расчет_аналитики'!$B$3374:$BI$3374,1,1-('01_Вводные'!$B$15+'01_Вводные'!$B$311)))*'01_Вводные'!$B$298*MAX(0,'01_Вводные'!$B$22-1)</f>
        <v/>
      </c>
      <c r="C3399">
        <f>IF(OR(2&lt;='01_Вводные'!$B$15,2-'01_Вводные'!$B$15&gt;60),0,INDEX('19_Расчет_аналитики'!$B$3374:$BI$3374,1,2-'01_Вводные'!$B$15))*'01_Вводные'!$B$298*MIN(1,'01_Вводные'!$B$22)+IF(OR(2&lt;=('01_Вводные'!$B$15+'01_Вводные'!$B$311),2-('01_Вводные'!$B$15+'01_Вводные'!$B$311)&gt;60),0,INDEX('19_Расчет_аналитики'!$B$3374:$BI$3374,1,2-('01_Вводные'!$B$15+'01_Вводные'!$B$311)))*'01_Вводные'!$B$298*MAX(0,'01_Вводные'!$B$22-1)</f>
        <v/>
      </c>
      <c r="D3399">
        <f>IF(OR(3&lt;='01_Вводные'!$B$15,3-'01_Вводные'!$B$15&gt;60),0,INDEX('19_Расчет_аналитики'!$B$3374:$BI$3374,1,3-'01_Вводные'!$B$15))*'01_Вводные'!$B$298*MIN(1,'01_Вводные'!$B$22)+IF(OR(3&lt;=('01_Вводные'!$B$15+'01_Вводные'!$B$311),3-('01_Вводные'!$B$15+'01_Вводные'!$B$311)&gt;60),0,INDEX('19_Расчет_аналитики'!$B$3374:$BI$3374,1,3-('01_Вводные'!$B$15+'01_Вводные'!$B$311)))*'01_Вводные'!$B$298*MAX(0,'01_Вводные'!$B$22-1)</f>
        <v/>
      </c>
      <c r="E3399">
        <f>IF(OR(4&lt;='01_Вводные'!$B$15,4-'01_Вводные'!$B$15&gt;60),0,INDEX('19_Расчет_аналитики'!$B$3374:$BI$3374,1,4-'01_Вводные'!$B$15))*'01_Вводные'!$B$298*MIN(1,'01_Вводные'!$B$22)+IF(OR(4&lt;=('01_Вводные'!$B$15+'01_Вводные'!$B$311),4-('01_Вводные'!$B$15+'01_Вводные'!$B$311)&gt;60),0,INDEX('19_Расчет_аналитики'!$B$3374:$BI$3374,1,4-('01_Вводные'!$B$15+'01_Вводные'!$B$311)))*'01_Вводные'!$B$298*MAX(0,'01_Вводные'!$B$22-1)</f>
        <v/>
      </c>
      <c r="F3399">
        <f>IF(OR(5&lt;='01_Вводные'!$B$15,5-'01_Вводные'!$B$15&gt;60),0,INDEX('19_Расчет_аналитики'!$B$3374:$BI$3374,1,5-'01_Вводные'!$B$15))*'01_Вводные'!$B$298*MIN(1,'01_Вводные'!$B$22)+IF(OR(5&lt;=('01_Вводные'!$B$15+'01_Вводные'!$B$311),5-('01_Вводные'!$B$15+'01_Вводные'!$B$311)&gt;60),0,INDEX('19_Расчет_аналитики'!$B$3374:$BI$3374,1,5-('01_Вводные'!$B$15+'01_Вводные'!$B$311)))*'01_Вводные'!$B$298*MAX(0,'01_Вводные'!$B$22-1)</f>
        <v/>
      </c>
      <c r="G3399">
        <f>IF(OR(6&lt;='01_Вводные'!$B$15,6-'01_Вводные'!$B$15&gt;60),0,INDEX('19_Расчет_аналитики'!$B$3374:$BI$3374,1,6-'01_Вводные'!$B$15))*'01_Вводные'!$B$298*MIN(1,'01_Вводные'!$B$22)+IF(OR(6&lt;=('01_Вводные'!$B$15+'01_Вводные'!$B$311),6-('01_Вводные'!$B$15+'01_Вводные'!$B$311)&gt;60),0,INDEX('19_Расчет_аналитики'!$B$3374:$BI$3374,1,6-('01_Вводные'!$B$15+'01_Вводные'!$B$311)))*'01_Вводные'!$B$298*MAX(0,'01_Вводные'!$B$22-1)</f>
        <v/>
      </c>
      <c r="H3399">
        <f>IF(OR(7&lt;='01_Вводные'!$B$15,7-'01_Вводные'!$B$15&gt;60),0,INDEX('19_Расчет_аналитики'!$B$3374:$BI$3374,1,7-'01_Вводные'!$B$15))*'01_Вводные'!$B$298*MIN(1,'01_Вводные'!$B$22)+IF(OR(7&lt;=('01_Вводные'!$B$15+'01_Вводные'!$B$311),7-('01_Вводные'!$B$15+'01_Вводные'!$B$311)&gt;60),0,INDEX('19_Расчет_аналитики'!$B$3374:$BI$3374,1,7-('01_Вводные'!$B$15+'01_Вводные'!$B$311)))*'01_Вводные'!$B$298*MAX(0,'01_Вводные'!$B$22-1)</f>
        <v/>
      </c>
      <c r="I3399">
        <f>IF(OR(8&lt;='01_Вводные'!$B$15,8-'01_Вводные'!$B$15&gt;60),0,INDEX('19_Расчет_аналитики'!$B$3374:$BI$3374,1,8-'01_Вводные'!$B$15))*'01_Вводные'!$B$298*MIN(1,'01_Вводные'!$B$22)+IF(OR(8&lt;=('01_Вводные'!$B$15+'01_Вводные'!$B$311),8-('01_Вводные'!$B$15+'01_Вводные'!$B$311)&gt;60),0,INDEX('19_Расчет_аналитики'!$B$3374:$BI$3374,1,8-('01_Вводные'!$B$15+'01_Вводные'!$B$311)))*'01_Вводные'!$B$298*MAX(0,'01_Вводные'!$B$22-1)</f>
        <v/>
      </c>
      <c r="J3399">
        <f>IF(OR(9&lt;='01_Вводные'!$B$15,9-'01_Вводные'!$B$15&gt;60),0,INDEX('19_Расчет_аналитики'!$B$3374:$BI$3374,1,9-'01_Вводные'!$B$15))*'01_Вводные'!$B$298*MIN(1,'01_Вводные'!$B$22)+IF(OR(9&lt;=('01_Вводные'!$B$15+'01_Вводные'!$B$311),9-('01_Вводные'!$B$15+'01_Вводные'!$B$311)&gt;60),0,INDEX('19_Расчет_аналитики'!$B$3374:$BI$3374,1,9-('01_Вводные'!$B$15+'01_Вводные'!$B$311)))*'01_Вводные'!$B$298*MAX(0,'01_Вводные'!$B$22-1)</f>
        <v/>
      </c>
      <c r="K3399">
        <f>IF(OR(10&lt;='01_Вводные'!$B$15,10-'01_Вводные'!$B$15&gt;60),0,INDEX('19_Расчет_аналитики'!$B$3374:$BI$3374,1,10-'01_Вводные'!$B$15))*'01_Вводные'!$B$298*MIN(1,'01_Вводные'!$B$22)+IF(OR(10&lt;=('01_Вводные'!$B$15+'01_Вводные'!$B$311),10-('01_Вводные'!$B$15+'01_Вводные'!$B$311)&gt;60),0,INDEX('19_Расчет_аналитики'!$B$3374:$BI$3374,1,10-('01_Вводные'!$B$15+'01_Вводные'!$B$311)))*'01_Вводные'!$B$298*MAX(0,'01_Вводные'!$B$22-1)</f>
        <v/>
      </c>
      <c r="L3399">
        <f>IF(OR(11&lt;='01_Вводные'!$B$15,11-'01_Вводные'!$B$15&gt;60),0,INDEX('19_Расчет_аналитики'!$B$3374:$BI$3374,1,11-'01_Вводные'!$B$15))*'01_Вводные'!$B$298*MIN(1,'01_Вводные'!$B$22)+IF(OR(11&lt;=('01_Вводные'!$B$15+'01_Вводные'!$B$311),11-('01_Вводные'!$B$15+'01_Вводные'!$B$311)&gt;60),0,INDEX('19_Расчет_аналитики'!$B$3374:$BI$3374,1,11-('01_Вводные'!$B$15+'01_Вводные'!$B$311)))*'01_Вводные'!$B$298*MAX(0,'01_Вводные'!$B$22-1)</f>
        <v/>
      </c>
      <c r="M3399">
        <f>IF(OR(12&lt;='01_Вводные'!$B$15,12-'01_Вводные'!$B$15&gt;60),0,INDEX('19_Расчет_аналитики'!$B$3374:$BI$3374,1,12-'01_Вводные'!$B$15))*'01_Вводные'!$B$298*MIN(1,'01_Вводные'!$B$22)+IF(OR(12&lt;=('01_Вводные'!$B$15+'01_Вводные'!$B$311),12-('01_Вводные'!$B$15+'01_Вводные'!$B$311)&gt;60),0,INDEX('19_Расчет_аналитики'!$B$3374:$BI$3374,1,12-('01_Вводные'!$B$15+'01_Вводные'!$B$311)))*'01_Вводные'!$B$298*MAX(0,'01_Вводные'!$B$22-1)</f>
        <v/>
      </c>
      <c r="N3399">
        <f>IF(OR(13&lt;='01_Вводные'!$B$15,13-'01_Вводные'!$B$15&gt;60),0,INDEX('19_Расчет_аналитики'!$B$3374:$BI$3374,1,13-'01_Вводные'!$B$15))*'01_Вводные'!$B$298*MIN(1,'01_Вводные'!$B$22)+IF(OR(13&lt;=('01_Вводные'!$B$15+'01_Вводные'!$B$311),13-('01_Вводные'!$B$15+'01_Вводные'!$B$311)&gt;60),0,INDEX('19_Расчет_аналитики'!$B$3374:$BI$3374,1,13-('01_Вводные'!$B$15+'01_Вводные'!$B$311)))*'01_Вводные'!$B$298*MAX(0,'01_Вводные'!$B$22-1)</f>
        <v/>
      </c>
      <c r="O3399">
        <f>IF(OR(14&lt;='01_Вводные'!$B$15,14-'01_Вводные'!$B$15&gt;60),0,INDEX('19_Расчет_аналитики'!$B$3374:$BI$3374,1,14-'01_Вводные'!$B$15))*'01_Вводные'!$B$298*MIN(1,'01_Вводные'!$B$22)+IF(OR(14&lt;=('01_Вводные'!$B$15+'01_Вводные'!$B$311),14-('01_Вводные'!$B$15+'01_Вводные'!$B$311)&gt;60),0,INDEX('19_Расчет_аналитики'!$B$3374:$BI$3374,1,14-('01_Вводные'!$B$15+'01_Вводные'!$B$311)))*'01_Вводные'!$B$298*MAX(0,'01_Вводные'!$B$22-1)</f>
        <v/>
      </c>
      <c r="P3399">
        <f>IF(OR(15&lt;='01_Вводные'!$B$15,15-'01_Вводные'!$B$15&gt;60),0,INDEX('19_Расчет_аналитики'!$B$3374:$BI$3374,1,15-'01_Вводные'!$B$15))*'01_Вводные'!$B$298*MIN(1,'01_Вводные'!$B$22)+IF(OR(15&lt;=('01_Вводные'!$B$15+'01_Вводные'!$B$311),15-('01_Вводные'!$B$15+'01_Вводные'!$B$311)&gt;60),0,INDEX('19_Расчет_аналитики'!$B$3374:$BI$3374,1,15-('01_Вводные'!$B$15+'01_Вводные'!$B$311)))*'01_Вводные'!$B$298*MAX(0,'01_Вводные'!$B$22-1)</f>
        <v/>
      </c>
      <c r="Q3399">
        <f>IF(OR(16&lt;='01_Вводные'!$B$15,16-'01_Вводные'!$B$15&gt;60),0,INDEX('19_Расчет_аналитики'!$B$3374:$BI$3374,1,16-'01_Вводные'!$B$15))*'01_Вводные'!$B$298*MIN(1,'01_Вводные'!$B$22)+IF(OR(16&lt;=('01_Вводные'!$B$15+'01_Вводные'!$B$311),16-('01_Вводные'!$B$15+'01_Вводные'!$B$311)&gt;60),0,INDEX('19_Расчет_аналитики'!$B$3374:$BI$3374,1,16-('01_Вводные'!$B$15+'01_Вводные'!$B$311)))*'01_Вводные'!$B$298*MAX(0,'01_Вводные'!$B$22-1)</f>
        <v/>
      </c>
      <c r="R3399">
        <f>IF(OR(17&lt;='01_Вводные'!$B$15,17-'01_Вводные'!$B$15&gt;60),0,INDEX('19_Расчет_аналитики'!$B$3374:$BI$3374,1,17-'01_Вводные'!$B$15))*'01_Вводные'!$B$298*MIN(1,'01_Вводные'!$B$22)+IF(OR(17&lt;=('01_Вводные'!$B$15+'01_Вводные'!$B$311),17-('01_Вводные'!$B$15+'01_Вводные'!$B$311)&gt;60),0,INDEX('19_Расчет_аналитики'!$B$3374:$BI$3374,1,17-('01_Вводные'!$B$15+'01_Вводные'!$B$311)))*'01_Вводные'!$B$298*MAX(0,'01_Вводные'!$B$22-1)</f>
        <v/>
      </c>
      <c r="S3399">
        <f>IF(OR(18&lt;='01_Вводные'!$B$15,18-'01_Вводные'!$B$15&gt;60),0,INDEX('19_Расчет_аналитики'!$B$3374:$BI$3374,1,18-'01_Вводные'!$B$15))*'01_Вводные'!$B$298*MIN(1,'01_Вводные'!$B$22)+IF(OR(18&lt;=('01_Вводные'!$B$15+'01_Вводные'!$B$311),18-('01_Вводные'!$B$15+'01_Вводные'!$B$311)&gt;60),0,INDEX('19_Расчет_аналитики'!$B$3374:$BI$3374,1,18-('01_Вводные'!$B$15+'01_Вводные'!$B$311)))*'01_Вводные'!$B$298*MAX(0,'01_Вводные'!$B$22-1)</f>
        <v/>
      </c>
      <c r="T3399">
        <f>IF(OR(19&lt;='01_Вводные'!$B$15,19-'01_Вводные'!$B$15&gt;60),0,INDEX('19_Расчет_аналитики'!$B$3374:$BI$3374,1,19-'01_Вводные'!$B$15))*'01_Вводные'!$B$298*MIN(1,'01_Вводные'!$B$22)+IF(OR(19&lt;=('01_Вводные'!$B$15+'01_Вводные'!$B$311),19-('01_Вводные'!$B$15+'01_Вводные'!$B$311)&gt;60),0,INDEX('19_Расчет_аналитики'!$B$3374:$BI$3374,1,19-('01_Вводные'!$B$15+'01_Вводные'!$B$311)))*'01_Вводные'!$B$298*MAX(0,'01_Вводные'!$B$22-1)</f>
        <v/>
      </c>
      <c r="U3399">
        <f>IF(OR(20&lt;='01_Вводные'!$B$15,20-'01_Вводные'!$B$15&gt;60),0,INDEX('19_Расчет_аналитики'!$B$3374:$BI$3374,1,20-'01_Вводные'!$B$15))*'01_Вводные'!$B$298*MIN(1,'01_Вводные'!$B$22)+IF(OR(20&lt;=('01_Вводные'!$B$15+'01_Вводные'!$B$311),20-('01_Вводные'!$B$15+'01_Вводные'!$B$311)&gt;60),0,INDEX('19_Расчет_аналитики'!$B$3374:$BI$3374,1,20-('01_Вводные'!$B$15+'01_Вводные'!$B$311)))*'01_Вводные'!$B$298*MAX(0,'01_Вводные'!$B$22-1)</f>
        <v/>
      </c>
      <c r="V3399">
        <f>IF(OR(21&lt;='01_Вводные'!$B$15,21-'01_Вводные'!$B$15&gt;60),0,INDEX('19_Расчет_аналитики'!$B$3374:$BI$3374,1,21-'01_Вводные'!$B$15))*'01_Вводные'!$B$298*MIN(1,'01_Вводные'!$B$22)+IF(OR(21&lt;=('01_Вводные'!$B$15+'01_Вводные'!$B$311),21-('01_Вводные'!$B$15+'01_Вводные'!$B$311)&gt;60),0,INDEX('19_Расчет_аналитики'!$B$3374:$BI$3374,1,21-('01_Вводные'!$B$15+'01_Вводные'!$B$311)))*'01_Вводные'!$B$298*MAX(0,'01_Вводные'!$B$22-1)</f>
        <v/>
      </c>
      <c r="W3399">
        <f>IF(OR(22&lt;='01_Вводные'!$B$15,22-'01_Вводные'!$B$15&gt;60),0,INDEX('19_Расчет_аналитики'!$B$3374:$BI$3374,1,22-'01_Вводные'!$B$15))*'01_Вводные'!$B$298*MIN(1,'01_Вводные'!$B$22)+IF(OR(22&lt;=('01_Вводные'!$B$15+'01_Вводные'!$B$311),22-('01_Вводные'!$B$15+'01_Вводные'!$B$311)&gt;60),0,INDEX('19_Расчет_аналитики'!$B$3374:$BI$3374,1,22-('01_Вводные'!$B$15+'01_Вводные'!$B$311)))*'01_Вводные'!$B$298*MAX(0,'01_Вводные'!$B$22-1)</f>
        <v/>
      </c>
      <c r="X3399">
        <f>IF(OR(23&lt;='01_Вводные'!$B$15,23-'01_Вводные'!$B$15&gt;60),0,INDEX('19_Расчет_аналитики'!$B$3374:$BI$3374,1,23-'01_Вводные'!$B$15))*'01_Вводные'!$B$298*MIN(1,'01_Вводные'!$B$22)+IF(OR(23&lt;=('01_Вводные'!$B$15+'01_Вводные'!$B$311),23-('01_Вводные'!$B$15+'01_Вводные'!$B$311)&gt;60),0,INDEX('19_Расчет_аналитики'!$B$3374:$BI$3374,1,23-('01_Вводные'!$B$15+'01_Вводные'!$B$311)))*'01_Вводные'!$B$298*MAX(0,'01_Вводные'!$B$22-1)</f>
        <v/>
      </c>
      <c r="Y3399">
        <f>IF(OR(24&lt;='01_Вводные'!$B$15,24-'01_Вводные'!$B$15&gt;60),0,INDEX('19_Расчет_аналитики'!$B$3374:$BI$3374,1,24-'01_Вводные'!$B$15))*'01_Вводные'!$B$298*MIN(1,'01_Вводные'!$B$22)+IF(OR(24&lt;=('01_Вводные'!$B$15+'01_Вводные'!$B$311),24-('01_Вводные'!$B$15+'01_Вводные'!$B$311)&gt;60),0,INDEX('19_Расчет_аналитики'!$B$3374:$BI$3374,1,24-('01_Вводные'!$B$15+'01_Вводные'!$B$311)))*'01_Вводные'!$B$298*MAX(0,'01_Вводные'!$B$22-1)</f>
        <v/>
      </c>
      <c r="Z3399">
        <f>IF(OR(25&lt;='01_Вводные'!$B$15,25-'01_Вводные'!$B$15&gt;60),0,INDEX('19_Расчет_аналитики'!$B$3374:$BI$3374,1,25-'01_Вводные'!$B$15))*'01_Вводные'!$B$298*MIN(1,'01_Вводные'!$B$22)+IF(OR(25&lt;=('01_Вводные'!$B$15+'01_Вводные'!$B$311),25-('01_Вводные'!$B$15+'01_Вводные'!$B$311)&gt;60),0,INDEX('19_Расчет_аналитики'!$B$3374:$BI$3374,1,25-('01_Вводные'!$B$15+'01_Вводные'!$B$311)))*'01_Вводные'!$B$298*MAX(0,'01_Вводные'!$B$22-1)</f>
        <v/>
      </c>
      <c r="AA3399">
        <f>IF(OR(26&lt;='01_Вводные'!$B$15,26-'01_Вводные'!$B$15&gt;60),0,INDEX('19_Расчет_аналитики'!$B$3374:$BI$3374,1,26-'01_Вводные'!$B$15))*'01_Вводные'!$B$298*MIN(1,'01_Вводные'!$B$22)+IF(OR(26&lt;=('01_Вводные'!$B$15+'01_Вводные'!$B$311),26-('01_Вводные'!$B$15+'01_Вводные'!$B$311)&gt;60),0,INDEX('19_Расчет_аналитики'!$B$3374:$BI$3374,1,26-('01_Вводные'!$B$15+'01_Вводные'!$B$311)))*'01_Вводные'!$B$298*MAX(0,'01_Вводные'!$B$22-1)</f>
        <v/>
      </c>
      <c r="AB3399">
        <f>IF(OR(27&lt;='01_Вводные'!$B$15,27-'01_Вводные'!$B$15&gt;60),0,INDEX('19_Расчет_аналитики'!$B$3374:$BI$3374,1,27-'01_Вводные'!$B$15))*'01_Вводные'!$B$298*MIN(1,'01_Вводные'!$B$22)+IF(OR(27&lt;=('01_Вводные'!$B$15+'01_Вводные'!$B$311),27-('01_Вводные'!$B$15+'01_Вводные'!$B$311)&gt;60),0,INDEX('19_Расчет_аналитики'!$B$3374:$BI$3374,1,27-('01_Вводные'!$B$15+'01_Вводные'!$B$311)))*'01_Вводные'!$B$298*MAX(0,'01_Вводные'!$B$22-1)</f>
        <v/>
      </c>
      <c r="AC3399">
        <f>IF(OR(28&lt;='01_Вводные'!$B$15,28-'01_Вводные'!$B$15&gt;60),0,INDEX('19_Расчет_аналитики'!$B$3374:$BI$3374,1,28-'01_Вводные'!$B$15))*'01_Вводные'!$B$298*MIN(1,'01_Вводные'!$B$22)+IF(OR(28&lt;=('01_Вводные'!$B$15+'01_Вводные'!$B$311),28-('01_Вводные'!$B$15+'01_Вводные'!$B$311)&gt;60),0,INDEX('19_Расчет_аналитики'!$B$3374:$BI$3374,1,28-('01_Вводные'!$B$15+'01_Вводные'!$B$311)))*'01_Вводные'!$B$298*MAX(0,'01_Вводные'!$B$22-1)</f>
        <v/>
      </c>
      <c r="AD3399">
        <f>IF(OR(29&lt;='01_Вводные'!$B$15,29-'01_Вводные'!$B$15&gt;60),0,INDEX('19_Расчет_аналитики'!$B$3374:$BI$3374,1,29-'01_Вводные'!$B$15))*'01_Вводные'!$B$298*MIN(1,'01_Вводные'!$B$22)+IF(OR(29&lt;=('01_Вводные'!$B$15+'01_Вводные'!$B$311),29-('01_Вводные'!$B$15+'01_Вводные'!$B$311)&gt;60),0,INDEX('19_Расчет_аналитики'!$B$3374:$BI$3374,1,29-('01_Вводные'!$B$15+'01_Вводные'!$B$311)))*'01_Вводные'!$B$298*MAX(0,'01_Вводные'!$B$22-1)</f>
        <v/>
      </c>
      <c r="AE3399">
        <f>IF(OR(30&lt;='01_Вводные'!$B$15,30-'01_Вводные'!$B$15&gt;60),0,INDEX('19_Расчет_аналитики'!$B$3374:$BI$3374,1,30-'01_Вводные'!$B$15))*'01_Вводные'!$B$298*MIN(1,'01_Вводные'!$B$22)+IF(OR(30&lt;=('01_Вводные'!$B$15+'01_Вводные'!$B$311),30-('01_Вводные'!$B$15+'01_Вводные'!$B$311)&gt;60),0,INDEX('19_Расчет_аналитики'!$B$3374:$BI$3374,1,30-('01_Вводные'!$B$15+'01_Вводные'!$B$311)))*'01_Вводные'!$B$298*MAX(0,'01_Вводные'!$B$22-1)</f>
        <v/>
      </c>
      <c r="AF3399">
        <f>IF(OR(31&lt;='01_Вводные'!$B$15,31-'01_Вводные'!$B$15&gt;60),0,INDEX('19_Расчет_аналитики'!$B$3374:$BI$3374,1,31-'01_Вводные'!$B$15))*'01_Вводные'!$B$298*MIN(1,'01_Вводные'!$B$22)+IF(OR(31&lt;=('01_Вводные'!$B$15+'01_Вводные'!$B$311),31-('01_Вводные'!$B$15+'01_Вводные'!$B$311)&gt;60),0,INDEX('19_Расчет_аналитики'!$B$3374:$BI$3374,1,31-('01_Вводные'!$B$15+'01_Вводные'!$B$311)))*'01_Вводные'!$B$298*MAX(0,'01_Вводные'!$B$22-1)</f>
        <v/>
      </c>
      <c r="AG3399">
        <f>IF(OR(32&lt;='01_Вводные'!$B$15,32-'01_Вводные'!$B$15&gt;60),0,INDEX('19_Расчет_аналитики'!$B$3374:$BI$3374,1,32-'01_Вводные'!$B$15))*'01_Вводные'!$B$298*MIN(1,'01_Вводные'!$B$22)+IF(OR(32&lt;=('01_Вводные'!$B$15+'01_Вводные'!$B$311),32-('01_Вводные'!$B$15+'01_Вводные'!$B$311)&gt;60),0,INDEX('19_Расчет_аналитики'!$B$3374:$BI$3374,1,32-('01_Вводные'!$B$15+'01_Вводные'!$B$311)))*'01_Вводные'!$B$298*MAX(0,'01_Вводные'!$B$22-1)</f>
        <v/>
      </c>
      <c r="AH3399">
        <f>IF(OR(33&lt;='01_Вводные'!$B$15,33-'01_Вводные'!$B$15&gt;60),0,INDEX('19_Расчет_аналитики'!$B$3374:$BI$3374,1,33-'01_Вводные'!$B$15))*'01_Вводные'!$B$298*MIN(1,'01_Вводные'!$B$22)+IF(OR(33&lt;=('01_Вводные'!$B$15+'01_Вводные'!$B$311),33-('01_Вводные'!$B$15+'01_Вводные'!$B$311)&gt;60),0,INDEX('19_Расчет_аналитики'!$B$3374:$BI$3374,1,33-('01_Вводные'!$B$15+'01_Вводные'!$B$311)))*'01_Вводные'!$B$298*MAX(0,'01_Вводные'!$B$22-1)</f>
        <v/>
      </c>
      <c r="AI3399">
        <f>IF(OR(34&lt;='01_Вводные'!$B$15,34-'01_Вводные'!$B$15&gt;60),0,INDEX('19_Расчет_аналитики'!$B$3374:$BI$3374,1,34-'01_Вводные'!$B$15))*'01_Вводные'!$B$298*MIN(1,'01_Вводные'!$B$22)+IF(OR(34&lt;=('01_Вводные'!$B$15+'01_Вводные'!$B$311),34-('01_Вводные'!$B$15+'01_Вводные'!$B$311)&gt;60),0,INDEX('19_Расчет_аналитики'!$B$3374:$BI$3374,1,34-('01_Вводные'!$B$15+'01_Вводные'!$B$311)))*'01_Вводные'!$B$298*MAX(0,'01_Вводные'!$B$22-1)</f>
        <v/>
      </c>
      <c r="AJ3399">
        <f>IF(OR(35&lt;='01_Вводные'!$B$15,35-'01_Вводные'!$B$15&gt;60),0,INDEX('19_Расчет_аналитики'!$B$3374:$BI$3374,1,35-'01_Вводные'!$B$15))*'01_Вводные'!$B$298*MIN(1,'01_Вводные'!$B$22)+IF(OR(35&lt;=('01_Вводные'!$B$15+'01_Вводные'!$B$311),35-('01_Вводные'!$B$15+'01_Вводные'!$B$311)&gt;60),0,INDEX('19_Расчет_аналитики'!$B$3374:$BI$3374,1,35-('01_Вводные'!$B$15+'01_Вводные'!$B$311)))*'01_Вводные'!$B$298*MAX(0,'01_Вводные'!$B$22-1)</f>
        <v/>
      </c>
      <c r="AK3399">
        <f>IF(OR(36&lt;='01_Вводные'!$B$15,36-'01_Вводные'!$B$15&gt;60),0,INDEX('19_Расчет_аналитики'!$B$3374:$BI$3374,1,36-'01_Вводные'!$B$15))*'01_Вводные'!$B$298*MIN(1,'01_Вводные'!$B$22)+IF(OR(36&lt;=('01_Вводные'!$B$15+'01_Вводные'!$B$311),36-('01_Вводные'!$B$15+'01_Вводные'!$B$311)&gt;60),0,INDEX('19_Расчет_аналитики'!$B$3374:$BI$3374,1,36-('01_Вводные'!$B$15+'01_Вводные'!$B$311)))*'01_Вводные'!$B$298*MAX(0,'01_Вводные'!$B$22-1)</f>
        <v/>
      </c>
      <c r="AL3399">
        <f>IF(OR(37&lt;='01_Вводные'!$B$15,37-'01_Вводные'!$B$15&gt;60),0,INDEX('19_Расчет_аналитики'!$B$3374:$BI$3374,1,37-'01_Вводные'!$B$15))*'01_Вводные'!$B$298*MIN(1,'01_Вводные'!$B$22)+IF(OR(37&lt;=('01_Вводные'!$B$15+'01_Вводные'!$B$311),37-('01_Вводные'!$B$15+'01_Вводные'!$B$311)&gt;60),0,INDEX('19_Расчет_аналитики'!$B$3374:$BI$3374,1,37-('01_Вводные'!$B$15+'01_Вводные'!$B$311)))*'01_Вводные'!$B$298*MAX(0,'01_Вводные'!$B$22-1)</f>
        <v/>
      </c>
      <c r="AM3399">
        <f>IF(OR(38&lt;='01_Вводные'!$B$15,38-'01_Вводные'!$B$15&gt;60),0,INDEX('19_Расчет_аналитики'!$B$3374:$BI$3374,1,38-'01_Вводные'!$B$15))*'01_Вводные'!$B$298*MIN(1,'01_Вводные'!$B$22)+IF(OR(38&lt;=('01_Вводные'!$B$15+'01_Вводные'!$B$311),38-('01_Вводные'!$B$15+'01_Вводные'!$B$311)&gt;60),0,INDEX('19_Расчет_аналитики'!$B$3374:$BI$3374,1,38-('01_Вводные'!$B$15+'01_Вводные'!$B$311)))*'01_Вводные'!$B$298*MAX(0,'01_Вводные'!$B$22-1)</f>
        <v/>
      </c>
      <c r="AN3399">
        <f>IF(OR(39&lt;='01_Вводные'!$B$15,39-'01_Вводные'!$B$15&gt;60),0,INDEX('19_Расчет_аналитики'!$B$3374:$BI$3374,1,39-'01_Вводные'!$B$15))*'01_Вводные'!$B$298*MIN(1,'01_Вводные'!$B$22)+IF(OR(39&lt;=('01_Вводные'!$B$15+'01_Вводные'!$B$311),39-('01_Вводные'!$B$15+'01_Вводные'!$B$311)&gt;60),0,INDEX('19_Расчет_аналитики'!$B$3374:$BI$3374,1,39-('01_Вводные'!$B$15+'01_Вводные'!$B$311)))*'01_Вводные'!$B$298*MAX(0,'01_Вводные'!$B$22-1)</f>
        <v/>
      </c>
      <c r="AO3399">
        <f>IF(OR(40&lt;='01_Вводные'!$B$15,40-'01_Вводные'!$B$15&gt;60),0,INDEX('19_Расчет_аналитики'!$B$3374:$BI$3374,1,40-'01_Вводные'!$B$15))*'01_Вводные'!$B$298*MIN(1,'01_Вводные'!$B$22)+IF(OR(40&lt;=('01_Вводные'!$B$15+'01_Вводные'!$B$311),40-('01_Вводные'!$B$15+'01_Вводные'!$B$311)&gt;60),0,INDEX('19_Расчет_аналитики'!$B$3374:$BI$3374,1,40-('01_Вводные'!$B$15+'01_Вводные'!$B$311)))*'01_Вводные'!$B$298*MAX(0,'01_Вводные'!$B$22-1)</f>
        <v/>
      </c>
      <c r="AP3399">
        <f>IF(OR(41&lt;='01_Вводные'!$B$15,41-'01_Вводные'!$B$15&gt;60),0,INDEX('19_Расчет_аналитики'!$B$3374:$BI$3374,1,41-'01_Вводные'!$B$15))*'01_Вводные'!$B$298*MIN(1,'01_Вводные'!$B$22)+IF(OR(41&lt;=('01_Вводные'!$B$15+'01_Вводные'!$B$311),41-('01_Вводные'!$B$15+'01_Вводные'!$B$311)&gt;60),0,INDEX('19_Расчет_аналитики'!$B$3374:$BI$3374,1,41-('01_Вводные'!$B$15+'01_Вводные'!$B$311)))*'01_Вводные'!$B$298*MAX(0,'01_Вводные'!$B$22-1)</f>
        <v/>
      </c>
      <c r="AQ3399">
        <f>IF(OR(42&lt;='01_Вводные'!$B$15,42-'01_Вводные'!$B$15&gt;60),0,INDEX('19_Расчет_аналитики'!$B$3374:$BI$3374,1,42-'01_Вводные'!$B$15))*'01_Вводные'!$B$298*MIN(1,'01_Вводные'!$B$22)+IF(OR(42&lt;=('01_Вводные'!$B$15+'01_Вводные'!$B$311),42-('01_Вводные'!$B$15+'01_Вводные'!$B$311)&gt;60),0,INDEX('19_Расчет_аналитики'!$B$3374:$BI$3374,1,42-('01_Вводные'!$B$15+'01_Вводные'!$B$311)))*'01_Вводные'!$B$298*MAX(0,'01_Вводные'!$B$22-1)</f>
        <v/>
      </c>
      <c r="AR3399">
        <f>IF(OR(43&lt;='01_Вводные'!$B$15,43-'01_Вводные'!$B$15&gt;60),0,INDEX('19_Расчет_аналитики'!$B$3374:$BI$3374,1,43-'01_Вводные'!$B$15))*'01_Вводные'!$B$298*MIN(1,'01_Вводные'!$B$22)+IF(OR(43&lt;=('01_Вводные'!$B$15+'01_Вводные'!$B$311),43-('01_Вводные'!$B$15+'01_Вводные'!$B$311)&gt;60),0,INDEX('19_Расчет_аналитики'!$B$3374:$BI$3374,1,43-('01_Вводные'!$B$15+'01_Вводные'!$B$311)))*'01_Вводные'!$B$298*MAX(0,'01_Вводные'!$B$22-1)</f>
        <v/>
      </c>
      <c r="AS3399">
        <f>IF(OR(44&lt;='01_Вводные'!$B$15,44-'01_Вводные'!$B$15&gt;60),0,INDEX('19_Расчет_аналитики'!$B$3374:$BI$3374,1,44-'01_Вводные'!$B$15))*'01_Вводные'!$B$298*MIN(1,'01_Вводные'!$B$22)+IF(OR(44&lt;=('01_Вводные'!$B$15+'01_Вводные'!$B$311),44-('01_Вводные'!$B$15+'01_Вводные'!$B$311)&gt;60),0,INDEX('19_Расчет_аналитики'!$B$3374:$BI$3374,1,44-('01_Вводные'!$B$15+'01_Вводные'!$B$311)))*'01_Вводные'!$B$298*MAX(0,'01_Вводные'!$B$22-1)</f>
        <v/>
      </c>
      <c r="AT3399">
        <f>IF(OR(45&lt;='01_Вводные'!$B$15,45-'01_Вводные'!$B$15&gt;60),0,INDEX('19_Расчет_аналитики'!$B$3374:$BI$3374,1,45-'01_Вводные'!$B$15))*'01_Вводные'!$B$298*MIN(1,'01_Вводные'!$B$22)+IF(OR(45&lt;=('01_Вводные'!$B$15+'01_Вводные'!$B$311),45-('01_Вводные'!$B$15+'01_Вводные'!$B$311)&gt;60),0,INDEX('19_Расчет_аналитики'!$B$3374:$BI$3374,1,45-('01_Вводные'!$B$15+'01_Вводные'!$B$311)))*'01_Вводные'!$B$298*MAX(0,'01_Вводные'!$B$22-1)</f>
        <v/>
      </c>
      <c r="AU3399">
        <f>IF(OR(46&lt;='01_Вводные'!$B$15,46-'01_Вводные'!$B$15&gt;60),0,INDEX('19_Расчет_аналитики'!$B$3374:$BI$3374,1,46-'01_Вводные'!$B$15))*'01_Вводные'!$B$298*MIN(1,'01_Вводные'!$B$22)+IF(OR(46&lt;=('01_Вводные'!$B$15+'01_Вводные'!$B$311),46-('01_Вводные'!$B$15+'01_Вводные'!$B$311)&gt;60),0,INDEX('19_Расчет_аналитики'!$B$3374:$BI$3374,1,46-('01_Вводные'!$B$15+'01_Вводные'!$B$311)))*'01_Вводные'!$B$298*MAX(0,'01_Вводные'!$B$22-1)</f>
        <v/>
      </c>
      <c r="AV3399">
        <f>IF(OR(47&lt;='01_Вводные'!$B$15,47-'01_Вводные'!$B$15&gt;60),0,INDEX('19_Расчет_аналитики'!$B$3374:$BI$3374,1,47-'01_Вводные'!$B$15))*'01_Вводные'!$B$298*MIN(1,'01_Вводные'!$B$22)+IF(OR(47&lt;=('01_Вводные'!$B$15+'01_Вводные'!$B$311),47-('01_Вводные'!$B$15+'01_Вводные'!$B$311)&gt;60),0,INDEX('19_Расчет_аналитики'!$B$3374:$BI$3374,1,47-('01_Вводные'!$B$15+'01_Вводные'!$B$311)))*'01_Вводные'!$B$298*MAX(0,'01_Вводные'!$B$22-1)</f>
        <v/>
      </c>
      <c r="AW3399">
        <f>IF(OR(48&lt;='01_Вводные'!$B$15,48-'01_Вводные'!$B$15&gt;60),0,INDEX('19_Расчет_аналитики'!$B$3374:$BI$3374,1,48-'01_Вводные'!$B$15))*'01_Вводные'!$B$298*MIN(1,'01_Вводные'!$B$22)+IF(OR(48&lt;=('01_Вводные'!$B$15+'01_Вводные'!$B$311),48-('01_Вводные'!$B$15+'01_Вводные'!$B$311)&gt;60),0,INDEX('19_Расчет_аналитики'!$B$3374:$BI$3374,1,48-('01_Вводные'!$B$15+'01_Вводные'!$B$311)))*'01_Вводные'!$B$298*MAX(0,'01_Вводные'!$B$22-1)</f>
        <v/>
      </c>
      <c r="AX3399">
        <f>IF(OR(49&lt;='01_Вводные'!$B$15,49-'01_Вводные'!$B$15&gt;60),0,INDEX('19_Расчет_аналитики'!$B$3374:$BI$3374,1,49-'01_Вводные'!$B$15))*'01_Вводные'!$B$298*MIN(1,'01_Вводные'!$B$22)+IF(OR(49&lt;=('01_Вводные'!$B$15+'01_Вводные'!$B$311),49-('01_Вводные'!$B$15+'01_Вводные'!$B$311)&gt;60),0,INDEX('19_Расчет_аналитики'!$B$3374:$BI$3374,1,49-('01_Вводные'!$B$15+'01_Вводные'!$B$311)))*'01_Вводные'!$B$298*MAX(0,'01_Вводные'!$B$22-1)</f>
        <v/>
      </c>
      <c r="AY3399">
        <f>IF(OR(50&lt;='01_Вводные'!$B$15,50-'01_Вводные'!$B$15&gt;60),0,INDEX('19_Расчет_аналитики'!$B$3374:$BI$3374,1,50-'01_Вводные'!$B$15))*'01_Вводные'!$B$298*MIN(1,'01_Вводные'!$B$22)+IF(OR(50&lt;=('01_Вводные'!$B$15+'01_Вводные'!$B$311),50-('01_Вводные'!$B$15+'01_Вводные'!$B$311)&gt;60),0,INDEX('19_Расчет_аналитики'!$B$3374:$BI$3374,1,50-('01_Вводные'!$B$15+'01_Вводные'!$B$311)))*'01_Вводные'!$B$298*MAX(0,'01_Вводные'!$B$22-1)</f>
        <v/>
      </c>
      <c r="AZ3399">
        <f>IF(OR(51&lt;='01_Вводные'!$B$15,51-'01_Вводные'!$B$15&gt;60),0,INDEX('19_Расчет_аналитики'!$B$3374:$BI$3374,1,51-'01_Вводные'!$B$15))*'01_Вводные'!$B$298*MIN(1,'01_Вводные'!$B$22)+IF(OR(51&lt;=('01_Вводные'!$B$15+'01_Вводные'!$B$311),51-('01_Вводные'!$B$15+'01_Вводные'!$B$311)&gt;60),0,INDEX('19_Расчет_аналитики'!$B$3374:$BI$3374,1,51-('01_Вводные'!$B$15+'01_Вводные'!$B$311)))*'01_Вводные'!$B$298*MAX(0,'01_Вводные'!$B$22-1)</f>
        <v/>
      </c>
      <c r="BA3399">
        <f>IF(OR(52&lt;='01_Вводные'!$B$15,52-'01_Вводные'!$B$15&gt;60),0,INDEX('19_Расчет_аналитики'!$B$3374:$BI$3374,1,52-'01_Вводные'!$B$15))*'01_Вводные'!$B$298*MIN(1,'01_Вводные'!$B$22)+IF(OR(52&lt;=('01_Вводные'!$B$15+'01_Вводные'!$B$311),52-('01_Вводные'!$B$15+'01_Вводные'!$B$311)&gt;60),0,INDEX('19_Расчет_аналитики'!$B$3374:$BI$3374,1,52-('01_Вводные'!$B$15+'01_Вводные'!$B$311)))*'01_Вводные'!$B$298*MAX(0,'01_Вводные'!$B$22-1)</f>
        <v/>
      </c>
      <c r="BB3399">
        <f>IF(OR(53&lt;='01_Вводные'!$B$15,53-'01_Вводные'!$B$15&gt;60),0,INDEX('19_Расчет_аналитики'!$B$3374:$BI$3374,1,53-'01_Вводные'!$B$15))*'01_Вводные'!$B$298*MIN(1,'01_Вводные'!$B$22)+IF(OR(53&lt;=('01_Вводные'!$B$15+'01_Вводные'!$B$311),53-('01_Вводные'!$B$15+'01_Вводные'!$B$311)&gt;60),0,INDEX('19_Расчет_аналитики'!$B$3374:$BI$3374,1,53-('01_Вводные'!$B$15+'01_Вводные'!$B$311)))*'01_Вводные'!$B$298*MAX(0,'01_Вводные'!$B$22-1)</f>
        <v/>
      </c>
      <c r="BC3399">
        <f>IF(OR(54&lt;='01_Вводные'!$B$15,54-'01_Вводные'!$B$15&gt;60),0,INDEX('19_Расчет_аналитики'!$B$3374:$BI$3374,1,54-'01_Вводные'!$B$15))*'01_Вводные'!$B$298*MIN(1,'01_Вводные'!$B$22)+IF(OR(54&lt;=('01_Вводные'!$B$15+'01_Вводные'!$B$311),54-('01_Вводные'!$B$15+'01_Вводные'!$B$311)&gt;60),0,INDEX('19_Расчет_аналитики'!$B$3374:$BI$3374,1,54-('01_Вводные'!$B$15+'01_Вводные'!$B$311)))*'01_Вводные'!$B$298*MAX(0,'01_Вводные'!$B$22-1)</f>
        <v/>
      </c>
      <c r="BD3399">
        <f>IF(OR(55&lt;='01_Вводные'!$B$15,55-'01_Вводные'!$B$15&gt;60),0,INDEX('19_Расчет_аналитики'!$B$3374:$BI$3374,1,55-'01_Вводные'!$B$15))*'01_Вводные'!$B$298*MIN(1,'01_Вводные'!$B$22)+IF(OR(55&lt;=('01_Вводные'!$B$15+'01_Вводные'!$B$311),55-('01_Вводные'!$B$15+'01_Вводные'!$B$311)&gt;60),0,INDEX('19_Расчет_аналитики'!$B$3374:$BI$3374,1,55-('01_Вводные'!$B$15+'01_Вводные'!$B$311)))*'01_Вводные'!$B$298*MAX(0,'01_Вводные'!$B$22-1)</f>
        <v/>
      </c>
      <c r="BE3399">
        <f>IF(OR(56&lt;='01_Вводные'!$B$15,56-'01_Вводные'!$B$15&gt;60),0,INDEX('19_Расчет_аналитики'!$B$3374:$BI$3374,1,56-'01_Вводные'!$B$15))*'01_Вводные'!$B$298*MIN(1,'01_Вводные'!$B$22)+IF(OR(56&lt;=('01_Вводные'!$B$15+'01_Вводные'!$B$311),56-('01_Вводные'!$B$15+'01_Вводные'!$B$311)&gt;60),0,INDEX('19_Расчет_аналитики'!$B$3374:$BI$3374,1,56-('01_Вводные'!$B$15+'01_Вводные'!$B$311)))*'01_Вводные'!$B$298*MAX(0,'01_Вводные'!$B$22-1)</f>
        <v/>
      </c>
      <c r="BF3399">
        <f>IF(OR(57&lt;='01_Вводные'!$B$15,57-'01_Вводные'!$B$15&gt;60),0,INDEX('19_Расчет_аналитики'!$B$3374:$BI$3374,1,57-'01_Вводные'!$B$15))*'01_Вводные'!$B$298*MIN(1,'01_Вводные'!$B$22)+IF(OR(57&lt;=('01_Вводные'!$B$15+'01_Вводные'!$B$311),57-('01_Вводные'!$B$15+'01_Вводные'!$B$311)&gt;60),0,INDEX('19_Расчет_аналитики'!$B$3374:$BI$3374,1,57-('01_Вводные'!$B$15+'01_Вводные'!$B$311)))*'01_Вводные'!$B$298*MAX(0,'01_Вводные'!$B$22-1)</f>
        <v/>
      </c>
      <c r="BG3399">
        <f>IF(OR(58&lt;='01_Вводные'!$B$15,58-'01_Вводные'!$B$15&gt;60),0,INDEX('19_Расчет_аналитики'!$B$3374:$BI$3374,1,58-'01_Вводные'!$B$15))*'01_Вводные'!$B$298*MIN(1,'01_Вводные'!$B$22)+IF(OR(58&lt;=('01_Вводные'!$B$15+'01_Вводные'!$B$311),58-('01_Вводные'!$B$15+'01_Вводные'!$B$311)&gt;60),0,INDEX('19_Расчет_аналитики'!$B$3374:$BI$3374,1,58-('01_Вводные'!$B$15+'01_Вводные'!$B$311)))*'01_Вводные'!$B$298*MAX(0,'01_Вводные'!$B$22-1)</f>
        <v/>
      </c>
      <c r="BH3399">
        <f>IF(OR(59&lt;='01_Вводные'!$B$15,59-'01_Вводные'!$B$15&gt;60),0,INDEX('19_Расчет_аналитики'!$B$3374:$BI$3374,1,59-'01_Вводные'!$B$15))*'01_Вводные'!$B$298*MIN(1,'01_Вводные'!$B$22)+IF(OR(59&lt;=('01_Вводные'!$B$15+'01_Вводные'!$B$311),59-('01_Вводные'!$B$15+'01_Вводные'!$B$311)&gt;60),0,INDEX('19_Расчет_аналитики'!$B$3374:$BI$3374,1,59-('01_Вводные'!$B$15+'01_Вводные'!$B$311)))*'01_Вводные'!$B$298*MAX(0,'01_Вводные'!$B$22-1)</f>
        <v/>
      </c>
      <c r="BI3399">
        <f>IF(OR(60&lt;='01_Вводные'!$B$15,60-'01_Вводные'!$B$15&gt;60),0,INDEX('19_Расчет_аналитики'!$B$3374:$BI$3374,1,60-'01_Вводные'!$B$15))*'01_Вводные'!$B$298*MIN(1,'01_Вводные'!$B$22)+IF(OR(60&lt;=('01_Вводные'!$B$15+'01_Вводные'!$B$311),60-('01_Вводные'!$B$15+'01_Вводные'!$B$311)&gt;60),0,INDEX('19_Расчет_аналитики'!$B$3374:$BI$3374,1,60-('01_Вводные'!$B$15+'01_Вводные'!$B$311)))*'01_Вводные'!$B$298*MAX(0,'01_Вводные'!$B$22-1)</f>
        <v/>
      </c>
      <c r="BJ3399">
        <f>IF(OR(61&lt;='01_Вводные'!$B$15,61-'01_Вводные'!$B$15&gt;60),0,INDEX('19_Расчет_аналитики'!$B$3374:$BI$3374,1,61-'01_Вводные'!$B$15))*'01_Вводные'!$B$298*MIN(1,'01_Вводные'!$B$22)+IF(OR(61&lt;=('01_Вводные'!$B$15+'01_Вводные'!$B$311),61-('01_Вводные'!$B$15+'01_Вводные'!$B$311)&gt;60),0,INDEX('19_Расчет_аналитики'!$B$3374:$BI$3374,1,61-('01_Вводные'!$B$15+'01_Вводные'!$B$311)))*'01_Вводные'!$B$298*MAX(0,'01_Вводные'!$B$22-1)</f>
        <v/>
      </c>
      <c r="BK3399">
        <f>IF(OR(62&lt;='01_Вводные'!$B$15,62-'01_Вводные'!$B$15&gt;60),0,INDEX('19_Расчет_аналитики'!$B$3374:$BI$3374,1,62-'01_Вводные'!$B$15))*'01_Вводные'!$B$298*MIN(1,'01_Вводные'!$B$22)+IF(OR(62&lt;=('01_Вводные'!$B$15+'01_Вводные'!$B$311),62-('01_Вводные'!$B$15+'01_Вводные'!$B$311)&gt;60),0,INDEX('19_Расчет_аналитики'!$B$3374:$BI$3374,1,62-('01_Вводные'!$B$15+'01_Вводные'!$B$311)))*'01_Вводные'!$B$298*MAX(0,'01_Вводные'!$B$22-1)</f>
        <v/>
      </c>
      <c r="BL3399">
        <f>IF(OR(63&lt;='01_Вводные'!$B$15,63-'01_Вводные'!$B$15&gt;60),0,INDEX('19_Расчет_аналитики'!$B$3374:$BI$3374,1,63-'01_Вводные'!$B$15))*'01_Вводные'!$B$298*MIN(1,'01_Вводные'!$B$22)+IF(OR(63&lt;=('01_Вводные'!$B$15+'01_Вводные'!$B$311),63-('01_Вводные'!$B$15+'01_Вводные'!$B$311)&gt;60),0,INDEX('19_Расчет_аналитики'!$B$3374:$BI$3374,1,63-('01_Вводные'!$B$15+'01_Вводные'!$B$311)))*'01_Вводные'!$B$298*MAX(0,'01_Вводные'!$B$22-1)</f>
        <v/>
      </c>
      <c r="BM3399">
        <f>IF(OR(64&lt;='01_Вводные'!$B$15,64-'01_Вводные'!$B$15&gt;60),0,INDEX('19_Расчет_аналитики'!$B$3374:$BI$3374,1,64-'01_Вводные'!$B$15))*'01_Вводные'!$B$298*MIN(1,'01_Вводные'!$B$22)+IF(OR(64&lt;=('01_Вводные'!$B$15+'01_Вводные'!$B$311),64-('01_Вводные'!$B$15+'01_Вводные'!$B$311)&gt;60),0,INDEX('19_Расчет_аналитики'!$B$3374:$BI$3374,1,64-('01_Вводные'!$B$15+'01_Вводные'!$B$311)))*'01_Вводные'!$B$298*MAX(0,'01_Вводные'!$B$22-1)</f>
        <v/>
      </c>
      <c r="BN3399">
        <f>IF(OR(65&lt;='01_Вводные'!$B$15,65-'01_Вводные'!$B$15&gt;60),0,INDEX('19_Расчет_аналитики'!$B$3374:$BI$3374,1,65-'01_Вводные'!$B$15))*'01_Вводные'!$B$298*MIN(1,'01_Вводные'!$B$22)+IF(OR(65&lt;=('01_Вводные'!$B$15+'01_Вводные'!$B$311),65-('01_Вводные'!$B$15+'01_Вводные'!$B$311)&gt;60),0,INDEX('19_Расчет_аналитики'!$B$3374:$BI$3374,1,65-('01_Вводные'!$B$15+'01_Вводные'!$B$311)))*'01_Вводные'!$B$298*MAX(0,'01_Вводные'!$B$22-1)</f>
        <v/>
      </c>
      <c r="BO3399">
        <f>IF(OR(66&lt;='01_Вводные'!$B$15,66-'01_Вводные'!$B$15&gt;60),0,INDEX('19_Расчет_аналитики'!$B$3374:$BI$3374,1,66-'01_Вводные'!$B$15))*'01_Вводные'!$B$298*MIN(1,'01_Вводные'!$B$22)+IF(OR(66&lt;=('01_Вводные'!$B$15+'01_Вводные'!$B$311),66-('01_Вводные'!$B$15+'01_Вводные'!$B$311)&gt;60),0,INDEX('19_Расчет_аналитики'!$B$3374:$BI$3374,1,66-('01_Вводные'!$B$15+'01_Вводные'!$B$311)))*'01_Вводные'!$B$298*MAX(0,'01_Вводные'!$B$22-1)</f>
        <v/>
      </c>
    </row>
    <row r="3400">
      <c r="C3400">
        <f>IF('01_Вводные'!$B$234="Да",'19_Расчет_аналитики'!C3398*'01_Вводные'!$B$16,0)</f>
        <v/>
      </c>
      <c r="D3400">
        <f>IF('01_Вводные'!$B$234="Да",'19_Расчет_аналитики'!D3398*'01_Вводные'!$B$16,0)</f>
        <v/>
      </c>
      <c r="E3400">
        <f>IF('01_Вводные'!$B$234="Да",'19_Расчет_аналитики'!E3398*'01_Вводные'!$B$16,0)</f>
        <v/>
      </c>
      <c r="F3400">
        <f>IF('01_Вводные'!$B$234="Да",'19_Расчет_аналитики'!F3398*'01_Вводные'!$B$16,0)</f>
        <v/>
      </c>
      <c r="G3400">
        <f>IF('01_Вводные'!$B$234="Да",'19_Расчет_аналитики'!G3398*'01_Вводные'!$B$16,0)</f>
        <v/>
      </c>
      <c r="H3400">
        <f>IF('01_Вводные'!$B$234="Да",'19_Расчет_аналитики'!H3398*'01_Вводные'!$B$16,0)</f>
        <v/>
      </c>
      <c r="I3400">
        <f>IF('01_Вводные'!$B$234="Да",'19_Расчет_аналитики'!I3398*'01_Вводные'!$B$16,0)</f>
        <v/>
      </c>
      <c r="J3400">
        <f>IF('01_Вводные'!$B$234="Да",'19_Расчет_аналитики'!J3398*'01_Вводные'!$B$16,0)</f>
        <v/>
      </c>
      <c r="K3400">
        <f>IF('01_Вводные'!$B$234="Да",'19_Расчет_аналитики'!K3398*'01_Вводные'!$B$16,0)</f>
        <v/>
      </c>
      <c r="L3400">
        <f>IF('01_Вводные'!$B$234="Да",'19_Расчет_аналитики'!L3398*'01_Вводные'!$B$16,0)</f>
        <v/>
      </c>
      <c r="M3400">
        <f>IF('01_Вводные'!$B$234="Да",'19_Расчет_аналитики'!M3398*'01_Вводные'!$B$16,0)</f>
        <v/>
      </c>
      <c r="N3400">
        <f>IF('01_Вводные'!$B$234="Да",'19_Расчет_аналитики'!N3398*'01_Вводные'!$B$16,0)</f>
        <v/>
      </c>
      <c r="O3400">
        <f>IF('01_Вводные'!$B$234="Да",'19_Расчет_аналитики'!O3398*'01_Вводные'!$B$16,0)</f>
        <v/>
      </c>
      <c r="P3400">
        <f>IF('01_Вводные'!$B$234="Да",'19_Расчет_аналитики'!P3398*'01_Вводные'!$B$16,0)</f>
        <v/>
      </c>
      <c r="Q3400">
        <f>IF('01_Вводные'!$B$234="Да",'19_Расчет_аналитики'!Q3398*'01_Вводные'!$B$16,0)</f>
        <v/>
      </c>
      <c r="R3400">
        <f>IF('01_Вводные'!$B$234="Да",'19_Расчет_аналитики'!R3398*'01_Вводные'!$B$16,0)</f>
        <v/>
      </c>
      <c r="S3400">
        <f>IF('01_Вводные'!$B$234="Да",'19_Расчет_аналитики'!S3398*'01_Вводные'!$B$16,0)</f>
        <v/>
      </c>
      <c r="T3400">
        <f>IF('01_Вводные'!$B$234="Да",'19_Расчет_аналитики'!T3398*'01_Вводные'!$B$16,0)</f>
        <v/>
      </c>
      <c r="U3400">
        <f>IF('01_Вводные'!$B$234="Да",'19_Расчет_аналитики'!U3398*'01_Вводные'!$B$16,0)</f>
        <v/>
      </c>
      <c r="V3400">
        <f>IF('01_Вводные'!$B$234="Да",'19_Расчет_аналитики'!V3398*'01_Вводные'!$B$16,0)</f>
        <v/>
      </c>
      <c r="W3400">
        <f>IF('01_Вводные'!$B$234="Да",'19_Расчет_аналитики'!W3398*'01_Вводные'!$B$16,0)</f>
        <v/>
      </c>
      <c r="X3400">
        <f>IF('01_Вводные'!$B$234="Да",'19_Расчет_аналитики'!X3398*'01_Вводные'!$B$16,0)</f>
        <v/>
      </c>
      <c r="Y3400">
        <f>IF('01_Вводные'!$B$234="Да",'19_Расчет_аналитики'!Y3398*'01_Вводные'!$B$16,0)</f>
        <v/>
      </c>
      <c r="Z3400">
        <f>IF('01_Вводные'!$B$234="Да",'19_Расчет_аналитики'!Z3398*'01_Вводные'!$B$16,0)</f>
        <v/>
      </c>
      <c r="AA3400">
        <f>IF('01_Вводные'!$B$234="Да",'19_Расчет_аналитики'!AA3398*'01_Вводные'!$B$16,0)</f>
        <v/>
      </c>
      <c r="AB3400">
        <f>IF('01_Вводные'!$B$234="Да",'19_Расчет_аналитики'!AB3398*'01_Вводные'!$B$16,0)</f>
        <v/>
      </c>
      <c r="AC3400">
        <f>IF('01_Вводные'!$B$234="Да",'19_Расчет_аналитики'!AC3398*'01_Вводные'!$B$16,0)</f>
        <v/>
      </c>
      <c r="AD3400">
        <f>IF('01_Вводные'!$B$234="Да",'19_Расчет_аналитики'!AD3398*'01_Вводные'!$B$16,0)</f>
        <v/>
      </c>
      <c r="AE3400">
        <f>IF('01_Вводные'!$B$234="Да",'19_Расчет_аналитики'!AE3398*'01_Вводные'!$B$16,0)</f>
        <v/>
      </c>
      <c r="AF3400">
        <f>IF('01_Вводные'!$B$234="Да",'19_Расчет_аналитики'!AF3398*'01_Вводные'!$B$16,0)</f>
        <v/>
      </c>
      <c r="AG3400">
        <f>IF('01_Вводные'!$B$234="Да",'19_Расчет_аналитики'!AG3398*'01_Вводные'!$B$16,0)</f>
        <v/>
      </c>
      <c r="AH3400">
        <f>IF('01_Вводные'!$B$234="Да",'19_Расчет_аналитики'!AH3398*'01_Вводные'!$B$16,0)</f>
        <v/>
      </c>
      <c r="AI3400">
        <f>IF('01_Вводные'!$B$234="Да",'19_Расчет_аналитики'!AI3398*'01_Вводные'!$B$16,0)</f>
        <v/>
      </c>
      <c r="AJ3400">
        <f>IF('01_Вводные'!$B$234="Да",'19_Расчет_аналитики'!AJ3398*'01_Вводные'!$B$16,0)</f>
        <v/>
      </c>
      <c r="AK3400">
        <f>IF('01_Вводные'!$B$234="Да",'19_Расчет_аналитики'!AK3398*'01_Вводные'!$B$16,0)</f>
        <v/>
      </c>
      <c r="AL3400">
        <f>IF('01_Вводные'!$B$234="Да",'19_Расчет_аналитики'!AL3398*'01_Вводные'!$B$16,0)</f>
        <v/>
      </c>
      <c r="AM3400">
        <f>IF('01_Вводные'!$B$234="Да",'19_Расчет_аналитики'!AM3398*'01_Вводные'!$B$16,0)</f>
        <v/>
      </c>
      <c r="AN3400">
        <f>IF('01_Вводные'!$B$234="Да",'19_Расчет_аналитики'!AN3398*'01_Вводные'!$B$16,0)</f>
        <v/>
      </c>
      <c r="AO3400">
        <f>IF('01_Вводные'!$B$234="Да",'19_Расчет_аналитики'!AO3398*'01_Вводные'!$B$16,0)</f>
        <v/>
      </c>
      <c r="AP3400">
        <f>IF('01_Вводные'!$B$234="Да",'19_Расчет_аналитики'!AP3398*'01_Вводные'!$B$16,0)</f>
        <v/>
      </c>
      <c r="AQ3400">
        <f>IF('01_Вводные'!$B$234="Да",'19_Расчет_аналитики'!AQ3398*'01_Вводные'!$B$16,0)</f>
        <v/>
      </c>
      <c r="AR3400">
        <f>IF('01_Вводные'!$B$234="Да",'19_Расчет_аналитики'!AR3398*'01_Вводные'!$B$16,0)</f>
        <v/>
      </c>
      <c r="AS3400">
        <f>IF('01_Вводные'!$B$234="Да",'19_Расчет_аналитики'!AS3398*'01_Вводные'!$B$16,0)</f>
        <v/>
      </c>
      <c r="AT3400">
        <f>IF('01_Вводные'!$B$234="Да",'19_Расчет_аналитики'!AT3398*'01_Вводные'!$B$16,0)</f>
        <v/>
      </c>
      <c r="AU3400">
        <f>IF('01_Вводные'!$B$234="Да",'19_Расчет_аналитики'!AU3398*'01_Вводные'!$B$16,0)</f>
        <v/>
      </c>
      <c r="AV3400">
        <f>IF('01_Вводные'!$B$234="Да",'19_Расчет_аналитики'!AV3398*'01_Вводные'!$B$16,0)</f>
        <v/>
      </c>
      <c r="AW3400">
        <f>IF('01_Вводные'!$B$234="Да",'19_Расчет_аналитики'!AW3398*'01_Вводные'!$B$16,0)</f>
        <v/>
      </c>
      <c r="AX3400">
        <f>IF('01_Вводные'!$B$234="Да",'19_Расчет_аналитики'!AX3398*'01_Вводные'!$B$16,0)</f>
        <v/>
      </c>
      <c r="AY3400">
        <f>IF('01_Вводные'!$B$234="Да",'19_Расчет_аналитики'!AY3398*'01_Вводные'!$B$16,0)</f>
        <v/>
      </c>
      <c r="AZ3400">
        <f>IF('01_Вводные'!$B$234="Да",'19_Расчет_аналитики'!AZ3398*'01_Вводные'!$B$16,0)</f>
        <v/>
      </c>
      <c r="BA3400">
        <f>IF('01_Вводные'!$B$234="Да",'19_Расчет_аналитики'!BA3398*'01_Вводные'!$B$16,0)</f>
        <v/>
      </c>
      <c r="BB3400">
        <f>IF('01_Вводные'!$B$234="Да",'19_Расчет_аналитики'!BB3398*'01_Вводные'!$B$16,0)</f>
        <v/>
      </c>
      <c r="BC3400">
        <f>IF('01_Вводные'!$B$234="Да",'19_Расчет_аналитики'!BC3398*'01_Вводные'!$B$16,0)</f>
        <v/>
      </c>
      <c r="BD3400">
        <f>IF('01_Вводные'!$B$234="Да",'19_Расчет_аналитики'!BD3398*'01_Вводные'!$B$16,0)</f>
        <v/>
      </c>
      <c r="BE3400">
        <f>IF('01_Вводные'!$B$234="Да",'19_Расчет_аналитики'!BE3398*'01_Вводные'!$B$16,0)</f>
        <v/>
      </c>
      <c r="BF3400">
        <f>IF('01_Вводные'!$B$234="Да",'19_Расчет_аналитики'!BF3398*'01_Вводные'!$B$16,0)</f>
        <v/>
      </c>
      <c r="BG3400">
        <f>IF('01_Вводные'!$B$234="Да",'19_Расчет_аналитики'!BG3398*'01_Вводные'!$B$16,0)</f>
        <v/>
      </c>
      <c r="BH3400">
        <f>IF('01_Вводные'!$B$234="Да",'19_Расчет_аналитики'!BH3398*'01_Вводные'!$B$16,0)</f>
        <v/>
      </c>
      <c r="BI3400">
        <f>IF('01_Вводные'!$B$234="Да",'19_Расчет_аналитики'!BI3398*'01_Вводные'!$B$16,0)</f>
        <v/>
      </c>
    </row>
    <row r="3401">
      <c r="C3401">
        <f>IF('01_Вводные'!$B$234="Да",'06_Сеть_и_дети'!B10*'01_Вводные'!$B$14+'19_Расчет_аналитики'!C3400,0)</f>
        <v/>
      </c>
      <c r="D3401">
        <f>IF('01_Вводные'!$B$234="Да",'19_Расчет_аналитики'!C3401*'01_Вводные'!$B$14+'19_Расчет_аналитики'!D3400,0)</f>
        <v/>
      </c>
      <c r="E3401">
        <f>IF('01_Вводные'!$B$234="Да",'19_Расчет_аналитики'!D3401*'01_Вводные'!$B$14+'19_Расчет_аналитики'!E3400,0)</f>
        <v/>
      </c>
      <c r="F3401">
        <f>IF('01_Вводные'!$B$234="Да",'19_Расчет_аналитики'!E3401*'01_Вводные'!$B$14+'19_Расчет_аналитики'!F3400,0)</f>
        <v/>
      </c>
      <c r="G3401">
        <f>IF('01_Вводные'!$B$234="Да",'19_Расчет_аналитики'!F3401*'01_Вводные'!$B$14+'19_Расчет_аналитики'!G3400,0)</f>
        <v/>
      </c>
      <c r="H3401">
        <f>IF('01_Вводные'!$B$234="Да",'19_Расчет_аналитики'!G3401*'01_Вводные'!$B$14+'19_Расчет_аналитики'!H3400,0)</f>
        <v/>
      </c>
      <c r="I3401">
        <f>IF('01_Вводные'!$B$234="Да",'19_Расчет_аналитики'!H3401*'01_Вводные'!$B$14+'19_Расчет_аналитики'!I3400,0)</f>
        <v/>
      </c>
      <c r="J3401">
        <f>IF('01_Вводные'!$B$234="Да",'19_Расчет_аналитики'!I3401*'01_Вводные'!$B$14+'19_Расчет_аналитики'!J3400,0)</f>
        <v/>
      </c>
      <c r="K3401">
        <f>IF('01_Вводные'!$B$234="Да",'19_Расчет_аналитики'!J3401*'01_Вводные'!$B$14+'19_Расчет_аналитики'!K3400,0)</f>
        <v/>
      </c>
      <c r="L3401">
        <f>IF('01_Вводные'!$B$234="Да",'19_Расчет_аналитики'!K3401*'01_Вводные'!$B$14+'19_Расчет_аналитики'!L3400,0)</f>
        <v/>
      </c>
      <c r="M3401">
        <f>IF('01_Вводные'!$B$234="Да",'19_Расчет_аналитики'!L3401*'01_Вводные'!$B$14+'19_Расчет_аналитики'!M3400,0)</f>
        <v/>
      </c>
      <c r="N3401">
        <f>IF('01_Вводные'!$B$234="Да",'19_Расчет_аналитики'!M3401*'01_Вводные'!$B$14+'19_Расчет_аналитики'!N3400,0)</f>
        <v/>
      </c>
      <c r="O3401">
        <f>IF('01_Вводные'!$B$234="Да",'19_Расчет_аналитики'!N3401*'01_Вводные'!$B$14+'19_Расчет_аналитики'!O3400,0)</f>
        <v/>
      </c>
      <c r="P3401">
        <f>IF('01_Вводные'!$B$234="Да",'19_Расчет_аналитики'!O3401*'01_Вводные'!$B$14+'19_Расчет_аналитики'!P3400,0)</f>
        <v/>
      </c>
      <c r="Q3401">
        <f>IF('01_Вводные'!$B$234="Да",'19_Расчет_аналитики'!P3401*'01_Вводные'!$B$14+'19_Расчет_аналитики'!Q3400,0)</f>
        <v/>
      </c>
      <c r="R3401">
        <f>IF('01_Вводные'!$B$234="Да",'19_Расчет_аналитики'!Q3401*'01_Вводные'!$B$14+'19_Расчет_аналитики'!R3400,0)</f>
        <v/>
      </c>
      <c r="S3401">
        <f>IF('01_Вводные'!$B$234="Да",'19_Расчет_аналитики'!R3401*'01_Вводные'!$B$14+'19_Расчет_аналитики'!S3400,0)</f>
        <v/>
      </c>
      <c r="T3401">
        <f>IF('01_Вводные'!$B$234="Да",'19_Расчет_аналитики'!S3401*'01_Вводные'!$B$14+'19_Расчет_аналитики'!T3400,0)</f>
        <v/>
      </c>
      <c r="U3401">
        <f>IF('01_Вводные'!$B$234="Да",'19_Расчет_аналитики'!T3401*'01_Вводные'!$B$14+'19_Расчет_аналитики'!U3400,0)</f>
        <v/>
      </c>
      <c r="V3401">
        <f>IF('01_Вводные'!$B$234="Да",'19_Расчет_аналитики'!U3401*'01_Вводные'!$B$14+'19_Расчет_аналитики'!V3400,0)</f>
        <v/>
      </c>
      <c r="W3401">
        <f>IF('01_Вводные'!$B$234="Да",'19_Расчет_аналитики'!V3401*'01_Вводные'!$B$14+'19_Расчет_аналитики'!W3400,0)</f>
        <v/>
      </c>
      <c r="X3401">
        <f>IF('01_Вводные'!$B$234="Да",'19_Расчет_аналитики'!W3401*'01_Вводные'!$B$14+'19_Расчет_аналитики'!X3400,0)</f>
        <v/>
      </c>
      <c r="Y3401">
        <f>IF('01_Вводные'!$B$234="Да",'19_Расчет_аналитики'!X3401*'01_Вводные'!$B$14+'19_Расчет_аналитики'!Y3400,0)</f>
        <v/>
      </c>
      <c r="Z3401">
        <f>IF('01_Вводные'!$B$234="Да",'19_Расчет_аналитики'!Y3401*'01_Вводные'!$B$14+'19_Расчет_аналитики'!Z3400,0)</f>
        <v/>
      </c>
      <c r="AA3401">
        <f>IF('01_Вводные'!$B$234="Да",'19_Расчет_аналитики'!Z3401*'01_Вводные'!$B$14+'19_Расчет_аналитики'!AA3400,0)</f>
        <v/>
      </c>
      <c r="AB3401">
        <f>IF('01_Вводные'!$B$234="Да",'19_Расчет_аналитики'!AA3401*'01_Вводные'!$B$14+'19_Расчет_аналитики'!AB3400,0)</f>
        <v/>
      </c>
      <c r="AC3401">
        <f>IF('01_Вводные'!$B$234="Да",'19_Расчет_аналитики'!AB3401*'01_Вводные'!$B$14+'19_Расчет_аналитики'!AC3400,0)</f>
        <v/>
      </c>
      <c r="AD3401">
        <f>IF('01_Вводные'!$B$234="Да",'19_Расчет_аналитики'!AC3401*'01_Вводные'!$B$14+'19_Расчет_аналитики'!AD3400,0)</f>
        <v/>
      </c>
      <c r="AE3401">
        <f>IF('01_Вводные'!$B$234="Да",'19_Расчет_аналитики'!AD3401*'01_Вводные'!$B$14+'19_Расчет_аналитики'!AE3400,0)</f>
        <v/>
      </c>
      <c r="AF3401">
        <f>IF('01_Вводные'!$B$234="Да",'19_Расчет_аналитики'!AE3401*'01_Вводные'!$B$14+'19_Расчет_аналитики'!AF3400,0)</f>
        <v/>
      </c>
      <c r="AG3401">
        <f>IF('01_Вводные'!$B$234="Да",'19_Расчет_аналитики'!AF3401*'01_Вводные'!$B$14+'19_Расчет_аналитики'!AG3400,0)</f>
        <v/>
      </c>
      <c r="AH3401">
        <f>IF('01_Вводные'!$B$234="Да",'19_Расчет_аналитики'!AG3401*'01_Вводные'!$B$14+'19_Расчет_аналитики'!AH3400,0)</f>
        <v/>
      </c>
      <c r="AI3401">
        <f>IF('01_Вводные'!$B$234="Да",'19_Расчет_аналитики'!AH3401*'01_Вводные'!$B$14+'19_Расчет_аналитики'!AI3400,0)</f>
        <v/>
      </c>
      <c r="AJ3401">
        <f>IF('01_Вводные'!$B$234="Да",'19_Расчет_аналитики'!AI3401*'01_Вводные'!$B$14+'19_Расчет_аналитики'!AJ3400,0)</f>
        <v/>
      </c>
      <c r="AK3401">
        <f>IF('01_Вводные'!$B$234="Да",'19_Расчет_аналитики'!AJ3401*'01_Вводные'!$B$14+'19_Расчет_аналитики'!AK3400,0)</f>
        <v/>
      </c>
      <c r="AL3401">
        <f>IF('01_Вводные'!$B$234="Да",'19_Расчет_аналитики'!AK3401*'01_Вводные'!$B$14+'19_Расчет_аналитики'!AL3400,0)</f>
        <v/>
      </c>
      <c r="AM3401">
        <f>IF('01_Вводные'!$B$234="Да",'19_Расчет_аналитики'!AL3401*'01_Вводные'!$B$14+'19_Расчет_аналитики'!AM3400,0)</f>
        <v/>
      </c>
      <c r="AN3401">
        <f>IF('01_Вводные'!$B$234="Да",'19_Расчет_аналитики'!AM3401*'01_Вводные'!$B$14+'19_Расчет_аналитики'!AN3400,0)</f>
        <v/>
      </c>
      <c r="AO3401">
        <f>IF('01_Вводные'!$B$234="Да",'19_Расчет_аналитики'!AN3401*'01_Вводные'!$B$14+'19_Расчет_аналитики'!AO3400,0)</f>
        <v/>
      </c>
      <c r="AP3401">
        <f>IF('01_Вводные'!$B$234="Да",'19_Расчет_аналитики'!AO3401*'01_Вводные'!$B$14+'19_Расчет_аналитики'!AP3400,0)</f>
        <v/>
      </c>
      <c r="AQ3401">
        <f>IF('01_Вводные'!$B$234="Да",'19_Расчет_аналитики'!AP3401*'01_Вводные'!$B$14+'19_Расчет_аналитики'!AQ3400,0)</f>
        <v/>
      </c>
      <c r="AR3401">
        <f>IF('01_Вводные'!$B$234="Да",'19_Расчет_аналитики'!AQ3401*'01_Вводные'!$B$14+'19_Расчет_аналитики'!AR3400,0)</f>
        <v/>
      </c>
      <c r="AS3401">
        <f>IF('01_Вводные'!$B$234="Да",'19_Расчет_аналитики'!AR3401*'01_Вводные'!$B$14+'19_Расчет_аналитики'!AS3400,0)</f>
        <v/>
      </c>
      <c r="AT3401">
        <f>IF('01_Вводные'!$B$234="Да",'19_Расчет_аналитики'!AS3401*'01_Вводные'!$B$14+'19_Расчет_аналитики'!AT3400,0)</f>
        <v/>
      </c>
      <c r="AU3401">
        <f>IF('01_Вводные'!$B$234="Да",'19_Расчет_аналитики'!AT3401*'01_Вводные'!$B$14+'19_Расчет_аналитики'!AU3400,0)</f>
        <v/>
      </c>
      <c r="AV3401">
        <f>IF('01_Вводные'!$B$234="Да",'19_Расчет_аналитики'!AU3401*'01_Вводные'!$B$14+'19_Расчет_аналитики'!AV3400,0)</f>
        <v/>
      </c>
      <c r="AW3401">
        <f>IF('01_Вводные'!$B$234="Да",'19_Расчет_аналитики'!AV3401*'01_Вводные'!$B$14+'19_Расчет_аналитики'!AW3400,0)</f>
        <v/>
      </c>
      <c r="AX3401">
        <f>IF('01_Вводные'!$B$234="Да",'19_Расчет_аналитики'!AW3401*'01_Вводные'!$B$14+'19_Расчет_аналитики'!AX3400,0)</f>
        <v/>
      </c>
      <c r="AY3401">
        <f>IF('01_Вводные'!$B$234="Да",'19_Расчет_аналитики'!AX3401*'01_Вводные'!$B$14+'19_Расчет_аналитики'!AY3400,0)</f>
        <v/>
      </c>
      <c r="AZ3401">
        <f>IF('01_Вводные'!$B$234="Да",'19_Расчет_аналитики'!AY3401*'01_Вводные'!$B$14+'19_Расчет_аналитики'!AZ3400,0)</f>
        <v/>
      </c>
      <c r="BA3401">
        <f>IF('01_Вводные'!$B$234="Да",'19_Расчет_аналитики'!AZ3401*'01_Вводные'!$B$14+'19_Расчет_аналитики'!BA3400,0)</f>
        <v/>
      </c>
      <c r="BB3401">
        <f>IF('01_Вводные'!$B$234="Да",'19_Расчет_аналитики'!BA3401*'01_Вводные'!$B$14+'19_Расчет_аналитики'!BB3400,0)</f>
        <v/>
      </c>
      <c r="BC3401">
        <f>IF('01_Вводные'!$B$234="Да",'19_Расчет_аналитики'!BB3401*'01_Вводные'!$B$14+'19_Расчет_аналитики'!BC3400,0)</f>
        <v/>
      </c>
      <c r="BD3401">
        <f>IF('01_Вводные'!$B$234="Да",'19_Расчет_аналитики'!BC3401*'01_Вводные'!$B$14+'19_Расчет_аналитики'!BD3400,0)</f>
        <v/>
      </c>
      <c r="BE3401">
        <f>IF('01_Вводные'!$B$234="Да",'19_Расчет_аналитики'!BD3401*'01_Вводные'!$B$14+'19_Расчет_аналитики'!BE3400,0)</f>
        <v/>
      </c>
      <c r="BF3401">
        <f>IF('01_Вводные'!$B$234="Да",'19_Расчет_аналитики'!BE3401*'01_Вводные'!$B$14+'19_Расчет_аналитики'!BF3400,0)</f>
        <v/>
      </c>
      <c r="BG3401">
        <f>IF('01_Вводные'!$B$234="Да",'19_Расчет_аналитики'!BF3401*'01_Вводные'!$B$14+'19_Расчет_аналитики'!BG3400,0)</f>
        <v/>
      </c>
      <c r="BH3401">
        <f>IF('01_Вводные'!$B$234="Да",'19_Расчет_аналитики'!BG3401*'01_Вводные'!$B$14+'19_Расчет_аналитики'!BH3400,0)</f>
        <v/>
      </c>
      <c r="BI3401">
        <f>IF('01_Вводные'!$B$234="Да",'19_Расчет_аналитики'!BH3401*'01_Вводные'!$B$14+'19_Расчет_аналитики'!BI3400,0)</f>
        <v/>
      </c>
      <c r="BJ3401">
        <f>IF('01_Вводные'!$B$234="Да",'19_Расчет_аналитики'!BI3401*'01_Вводные'!$B$14+'06_Сеть_и_дети'!BJ9,0)</f>
        <v/>
      </c>
      <c r="BK3401">
        <f>IF('01_Вводные'!$B$234="Да",'19_Расчет_аналитики'!BJ3401*'01_Вводные'!$B$14+'06_Сеть_и_дети'!BK9,0)</f>
        <v/>
      </c>
      <c r="BL3401">
        <f>IF('01_Вводные'!$B$234="Да",'19_Расчет_аналитики'!BK3401*'01_Вводные'!$B$14+'06_Сеть_и_дети'!BL9,0)</f>
        <v/>
      </c>
      <c r="BM3401">
        <f>IF('01_Вводные'!$B$234="Да",'19_Расчет_аналитики'!BL3401*'01_Вводные'!$B$14+'06_Сеть_и_дети'!BM9,0)</f>
        <v/>
      </c>
      <c r="BN3401">
        <f>IF('01_Вводные'!$B$234="Да",'19_Расчет_аналитики'!BM3401*'01_Вводные'!$B$14+'06_Сеть_и_дети'!BN9,0)</f>
        <v/>
      </c>
      <c r="BO3401">
        <f>IF('01_Вводные'!$B$234="Да",'19_Расчет_аналитики'!BN3401*'01_Вводные'!$B$14+'06_Сеть_и_дети'!BO9,0)</f>
        <v/>
      </c>
    </row>
    <row r="3402"/>
    <row r="3403"/>
    <row r="3404">
      <c r="B3404">
        <f>IF('01_Вводные'!$B$234="Да",SUM('19_Расчет_аналитики'!B3444:B3455),0)</f>
        <v/>
      </c>
      <c r="C3404">
        <f>IF('01_Вводные'!$B$234="Да",SUM('19_Расчет_аналитики'!C3444:C3455),0)</f>
        <v/>
      </c>
      <c r="D3404">
        <f>IF('01_Вводные'!$B$234="Да",SUM('19_Расчет_аналитики'!D3444:D3455),0)</f>
        <v/>
      </c>
      <c r="E3404">
        <f>IF('01_Вводные'!$B$234="Да",SUM('19_Расчет_аналитики'!E3444:E3455),0)</f>
        <v/>
      </c>
      <c r="F3404">
        <f>IF('01_Вводные'!$B$234="Да",SUM('19_Расчет_аналитики'!F3444:F3455),0)</f>
        <v/>
      </c>
      <c r="G3404">
        <f>IF('01_Вводные'!$B$234="Да",SUM('19_Расчет_аналитики'!G3444:G3455),0)</f>
        <v/>
      </c>
      <c r="H3404">
        <f>IF('01_Вводные'!$B$234="Да",SUM('19_Расчет_аналитики'!H3444:H3455),0)</f>
        <v/>
      </c>
      <c r="I3404">
        <f>IF('01_Вводные'!$B$234="Да",SUM('19_Расчет_аналитики'!I3444:I3455),0)</f>
        <v/>
      </c>
      <c r="J3404">
        <f>IF('01_Вводные'!$B$234="Да",SUM('19_Расчет_аналитики'!J3444:J3455),0)</f>
        <v/>
      </c>
      <c r="K3404">
        <f>IF('01_Вводные'!$B$234="Да",SUM('19_Расчет_аналитики'!K3444:K3455),0)</f>
        <v/>
      </c>
      <c r="L3404">
        <f>IF('01_Вводные'!$B$234="Да",SUM('19_Расчет_аналитики'!L3444:L3455),0)</f>
        <v/>
      </c>
      <c r="M3404">
        <f>IF('01_Вводные'!$B$234="Да",SUM('19_Расчет_аналитики'!M3444:M3455),0)</f>
        <v/>
      </c>
      <c r="N3404">
        <f>IF('01_Вводные'!$B$234="Да",SUM('19_Расчет_аналитики'!N3444:N3455),0)</f>
        <v/>
      </c>
      <c r="O3404">
        <f>IF('01_Вводные'!$B$234="Да",SUM('19_Расчет_аналитики'!O3444:O3455),0)</f>
        <v/>
      </c>
      <c r="P3404">
        <f>IF('01_Вводные'!$B$234="Да",SUM('19_Расчет_аналитики'!P3444:P3455),0)</f>
        <v/>
      </c>
      <c r="Q3404">
        <f>IF('01_Вводные'!$B$234="Да",SUM('19_Расчет_аналитики'!Q3444:Q3455),0)</f>
        <v/>
      </c>
      <c r="R3404">
        <f>IF('01_Вводные'!$B$234="Да",SUM('19_Расчет_аналитики'!R3444:R3455),0)</f>
        <v/>
      </c>
      <c r="S3404">
        <f>IF('01_Вводные'!$B$234="Да",SUM('19_Расчет_аналитики'!S3444:S3455),0)</f>
        <v/>
      </c>
      <c r="T3404">
        <f>IF('01_Вводные'!$B$234="Да",SUM('19_Расчет_аналитики'!T3444:T3455),0)</f>
        <v/>
      </c>
      <c r="U3404">
        <f>IF('01_Вводные'!$B$234="Да",SUM('19_Расчет_аналитики'!U3444:U3455),0)</f>
        <v/>
      </c>
      <c r="V3404">
        <f>IF('01_Вводные'!$B$234="Да",SUM('19_Расчет_аналитики'!V3444:V3455),0)</f>
        <v/>
      </c>
      <c r="W3404">
        <f>IF('01_Вводные'!$B$234="Да",SUM('19_Расчет_аналитики'!W3444:W3455),0)</f>
        <v/>
      </c>
      <c r="X3404">
        <f>IF('01_Вводные'!$B$234="Да",SUM('19_Расчет_аналитики'!X3444:X3455),0)</f>
        <v/>
      </c>
      <c r="Y3404">
        <f>IF('01_Вводные'!$B$234="Да",SUM('19_Расчет_аналитики'!Y3444:Y3455),0)</f>
        <v/>
      </c>
      <c r="Z3404">
        <f>IF('01_Вводные'!$B$234="Да",SUM('19_Расчет_аналитики'!Z3444:Z3455),0)</f>
        <v/>
      </c>
      <c r="AA3404">
        <f>IF('01_Вводные'!$B$234="Да",SUM('19_Расчет_аналитики'!AA3444:AA3455),0)</f>
        <v/>
      </c>
      <c r="AB3404">
        <f>IF('01_Вводные'!$B$234="Да",SUM('19_Расчет_аналитики'!AB3444:AB3455),0)</f>
        <v/>
      </c>
      <c r="AC3404">
        <f>IF('01_Вводные'!$B$234="Да",SUM('19_Расчет_аналитики'!AC3444:AC3455),0)</f>
        <v/>
      </c>
      <c r="AD3404">
        <f>IF('01_Вводные'!$B$234="Да",SUM('19_Расчет_аналитики'!AD3444:AD3455),0)</f>
        <v/>
      </c>
      <c r="AE3404">
        <f>IF('01_Вводные'!$B$234="Да",SUM('19_Расчет_аналитики'!AE3444:AE3455),0)</f>
        <v/>
      </c>
      <c r="AF3404">
        <f>IF('01_Вводные'!$B$234="Да",SUM('19_Расчет_аналитики'!AF3444:AF3455),0)</f>
        <v/>
      </c>
      <c r="AG3404">
        <f>IF('01_Вводные'!$B$234="Да",SUM('19_Расчет_аналитики'!AG3444:AG3455),0)</f>
        <v/>
      </c>
      <c r="AH3404">
        <f>IF('01_Вводные'!$B$234="Да",SUM('19_Расчет_аналитики'!AH3444:AH3455),0)</f>
        <v/>
      </c>
      <c r="AI3404">
        <f>IF('01_Вводные'!$B$234="Да",SUM('19_Расчет_аналитики'!AI3444:AI3455),0)</f>
        <v/>
      </c>
      <c r="AJ3404">
        <f>IF('01_Вводные'!$B$234="Да",SUM('19_Расчет_аналитики'!AJ3444:AJ3455),0)</f>
        <v/>
      </c>
      <c r="AK3404">
        <f>IF('01_Вводные'!$B$234="Да",SUM('19_Расчет_аналитики'!AK3444:AK3455),0)</f>
        <v/>
      </c>
      <c r="AL3404">
        <f>IF('01_Вводные'!$B$234="Да",SUM('19_Расчет_аналитики'!AL3444:AL3455),0)</f>
        <v/>
      </c>
      <c r="AM3404">
        <f>IF('01_Вводные'!$B$234="Да",SUM('19_Расчет_аналитики'!AM3444:AM3455),0)</f>
        <v/>
      </c>
      <c r="AN3404">
        <f>IF('01_Вводные'!$B$234="Да",SUM('19_Расчет_аналитики'!AN3444:AN3455),0)</f>
        <v/>
      </c>
      <c r="AO3404">
        <f>IF('01_Вводные'!$B$234="Да",SUM('19_Расчет_аналитики'!AO3444:AO3455),0)</f>
        <v/>
      </c>
      <c r="AP3404">
        <f>IF('01_Вводные'!$B$234="Да",SUM('19_Расчет_аналитики'!AP3444:AP3455),0)</f>
        <v/>
      </c>
      <c r="AQ3404">
        <f>IF('01_Вводные'!$B$234="Да",SUM('19_Расчет_аналитики'!AQ3444:AQ3455),0)</f>
        <v/>
      </c>
      <c r="AR3404">
        <f>IF('01_Вводные'!$B$234="Да",SUM('19_Расчет_аналитики'!AR3444:AR3455),0)</f>
        <v/>
      </c>
      <c r="AS3404">
        <f>IF('01_Вводные'!$B$234="Да",SUM('19_Расчет_аналитики'!AS3444:AS3455),0)</f>
        <v/>
      </c>
      <c r="AT3404">
        <f>IF('01_Вводные'!$B$234="Да",SUM('19_Расчет_аналитики'!AT3444:AT3455),0)</f>
        <v/>
      </c>
      <c r="AU3404">
        <f>IF('01_Вводные'!$B$234="Да",SUM('19_Расчет_аналитики'!AU3444:AU3455),0)</f>
        <v/>
      </c>
      <c r="AV3404">
        <f>IF('01_Вводные'!$B$234="Да",SUM('19_Расчет_аналитики'!AV3444:AV3455),0)</f>
        <v/>
      </c>
      <c r="AW3404">
        <f>IF('01_Вводные'!$B$234="Да",SUM('19_Расчет_аналитики'!AW3444:AW3455),0)</f>
        <v/>
      </c>
      <c r="AX3404">
        <f>IF('01_Вводные'!$B$234="Да",SUM('19_Расчет_аналитики'!AX3444:AX3455),0)</f>
        <v/>
      </c>
      <c r="AY3404">
        <f>IF('01_Вводные'!$B$234="Да",SUM('19_Расчет_аналитики'!AY3444:AY3455),0)</f>
        <v/>
      </c>
      <c r="AZ3404">
        <f>IF('01_Вводные'!$B$234="Да",SUM('19_Расчет_аналитики'!AZ3444:AZ3455),0)</f>
        <v/>
      </c>
      <c r="BA3404">
        <f>IF('01_Вводные'!$B$234="Да",SUM('19_Расчет_аналитики'!BA3444:BA3455),0)</f>
        <v/>
      </c>
      <c r="BB3404">
        <f>IF('01_Вводные'!$B$234="Да",SUM('19_Расчет_аналитики'!BB3444:BB3455),0)</f>
        <v/>
      </c>
      <c r="BC3404">
        <f>IF('01_Вводные'!$B$234="Да",SUM('19_Расчет_аналитики'!BC3444:BC3455),0)</f>
        <v/>
      </c>
      <c r="BD3404">
        <f>IF('01_Вводные'!$B$234="Да",SUM('19_Расчет_аналитики'!BD3444:BD3455),0)</f>
        <v/>
      </c>
      <c r="BE3404">
        <f>IF('01_Вводные'!$B$234="Да",SUM('19_Расчет_аналитики'!BE3444:BE3455),0)</f>
        <v/>
      </c>
      <c r="BF3404">
        <f>IF('01_Вводные'!$B$234="Да",SUM('19_Расчет_аналитики'!BF3444:BF3455),0)</f>
        <v/>
      </c>
      <c r="BG3404">
        <f>IF('01_Вводные'!$B$234="Да",SUM('19_Расчет_аналитики'!BG3444:BG3455),0)</f>
        <v/>
      </c>
      <c r="BH3404">
        <f>IF('01_Вводные'!$B$234="Да",SUM('19_Расчет_аналитики'!BH3444:BH3455),0)</f>
        <v/>
      </c>
      <c r="BI3404">
        <f>IF('01_Вводные'!$B$234="Да",SUM('19_Расчет_аналитики'!BI3444:BI3455),0)</f>
        <v/>
      </c>
      <c r="BJ3404">
        <f>IF('01_Вводные'!$B$234="Да",SUM('19_Расчет_аналитики'!BJ3444:BJ3455),0)</f>
        <v/>
      </c>
      <c r="BK3404">
        <f>IF('01_Вводные'!$B$234="Да",SUM('19_Расчет_аналитики'!BK3444:BK3455),0)</f>
        <v/>
      </c>
      <c r="BL3404">
        <f>IF('01_Вводные'!$B$234="Да",SUM('19_Расчет_аналитики'!BL3444:BL3455),0)</f>
        <v/>
      </c>
      <c r="BM3404">
        <f>IF('01_Вводные'!$B$234="Да",SUM('19_Расчет_аналитики'!BM3444:BM3455),0)</f>
        <v/>
      </c>
      <c r="BN3404">
        <f>IF('01_Вводные'!$B$234="Да",SUM('19_Расчет_аналитики'!BN3444:BN3455),0)</f>
        <v/>
      </c>
      <c r="BO3404">
        <f>IF('01_Вводные'!$B$234="Да",SUM('19_Расчет_аналитики'!BO3444:BO3455),0)</f>
        <v/>
      </c>
    </row>
    <row r="3405">
      <c r="B3405">
        <f>'06_Сеть_и_дети'!B14</f>
        <v/>
      </c>
      <c r="C3405">
        <f>'06_Сеть_и_дети'!C14</f>
        <v/>
      </c>
      <c r="D3405">
        <f>'06_Сеть_и_дети'!D14</f>
        <v/>
      </c>
      <c r="E3405">
        <f>'06_Сеть_и_дети'!E14</f>
        <v/>
      </c>
      <c r="F3405">
        <f>'06_Сеть_и_дети'!F14</f>
        <v/>
      </c>
      <c r="G3405">
        <f>'06_Сеть_и_дети'!G14</f>
        <v/>
      </c>
      <c r="H3405">
        <f>'06_Сеть_и_дети'!H14</f>
        <v/>
      </c>
      <c r="I3405">
        <f>'06_Сеть_и_дети'!I14</f>
        <v/>
      </c>
      <c r="J3405">
        <f>'06_Сеть_и_дети'!J14</f>
        <v/>
      </c>
      <c r="K3405">
        <f>'06_Сеть_и_дети'!K14</f>
        <v/>
      </c>
      <c r="L3405">
        <f>'06_Сеть_и_дети'!L14</f>
        <v/>
      </c>
      <c r="M3405">
        <f>'06_Сеть_и_дети'!M14</f>
        <v/>
      </c>
      <c r="N3405">
        <f>IF('01_Вводные'!$B$234="Да",SUM('19_Расчет_аналитики'!N3456:N3467),0)</f>
        <v/>
      </c>
      <c r="O3405">
        <f>IF('01_Вводные'!$B$234="Да",SUM('19_Расчет_аналитики'!O3456:O3467),0)</f>
        <v/>
      </c>
      <c r="P3405">
        <f>IF('01_Вводные'!$B$234="Да",SUM('19_Расчет_аналитики'!P3456:P3467),0)</f>
        <v/>
      </c>
      <c r="Q3405">
        <f>IF('01_Вводные'!$B$234="Да",SUM('19_Расчет_аналитики'!Q3456:Q3467),0)</f>
        <v/>
      </c>
      <c r="R3405">
        <f>IF('01_Вводные'!$B$234="Да",SUM('19_Расчет_аналитики'!R3456:R3467),0)</f>
        <v/>
      </c>
      <c r="S3405">
        <f>IF('01_Вводные'!$B$234="Да",SUM('19_Расчет_аналитики'!S3456:S3467),0)</f>
        <v/>
      </c>
      <c r="T3405">
        <f>IF('01_Вводные'!$B$234="Да",SUM('19_Расчет_аналитики'!T3456:T3467),0)</f>
        <v/>
      </c>
      <c r="U3405">
        <f>IF('01_Вводные'!$B$234="Да",SUM('19_Расчет_аналитики'!U3456:U3467),0)</f>
        <v/>
      </c>
      <c r="V3405">
        <f>IF('01_Вводные'!$B$234="Да",SUM('19_Расчет_аналитики'!V3456:V3467),0)</f>
        <v/>
      </c>
      <c r="W3405">
        <f>IF('01_Вводные'!$B$234="Да",SUM('19_Расчет_аналитики'!W3456:W3467),0)</f>
        <v/>
      </c>
      <c r="X3405">
        <f>IF('01_Вводные'!$B$234="Да",SUM('19_Расчет_аналитики'!X3456:X3467),0)</f>
        <v/>
      </c>
      <c r="Y3405">
        <f>IF('01_Вводные'!$B$234="Да",SUM('19_Расчет_аналитики'!Y3456:Y3467),0)</f>
        <v/>
      </c>
      <c r="Z3405">
        <f>IF('01_Вводные'!$B$234="Да",SUM('19_Расчет_аналитики'!Z3456:Z3467),0)</f>
        <v/>
      </c>
      <c r="AA3405">
        <f>IF('01_Вводные'!$B$234="Да",SUM('19_Расчет_аналитики'!AA3456:AA3467),0)</f>
        <v/>
      </c>
      <c r="AB3405">
        <f>IF('01_Вводные'!$B$234="Да",SUM('19_Расчет_аналитики'!AB3456:AB3467),0)</f>
        <v/>
      </c>
      <c r="AC3405">
        <f>IF('01_Вводные'!$B$234="Да",SUM('19_Расчет_аналитики'!AC3456:AC3467),0)</f>
        <v/>
      </c>
      <c r="AD3405">
        <f>IF('01_Вводные'!$B$234="Да",SUM('19_Расчет_аналитики'!AD3456:AD3467),0)</f>
        <v/>
      </c>
      <c r="AE3405">
        <f>IF('01_Вводные'!$B$234="Да",SUM('19_Расчет_аналитики'!AE3456:AE3467),0)</f>
        <v/>
      </c>
      <c r="AF3405">
        <f>IF('01_Вводные'!$B$234="Да",SUM('19_Расчет_аналитики'!AF3456:AF3467),0)</f>
        <v/>
      </c>
      <c r="AG3405">
        <f>IF('01_Вводные'!$B$234="Да",SUM('19_Расчет_аналитики'!AG3456:AG3467),0)</f>
        <v/>
      </c>
      <c r="AH3405">
        <f>IF('01_Вводные'!$B$234="Да",SUM('19_Расчет_аналитики'!AH3456:AH3467),0)</f>
        <v/>
      </c>
      <c r="AI3405">
        <f>IF('01_Вводные'!$B$234="Да",SUM('19_Расчет_аналитики'!AI3456:AI3467),0)</f>
        <v/>
      </c>
      <c r="AJ3405">
        <f>IF('01_Вводные'!$B$234="Да",SUM('19_Расчет_аналитики'!AJ3456:AJ3467),0)</f>
        <v/>
      </c>
      <c r="AK3405">
        <f>IF('01_Вводные'!$B$234="Да",SUM('19_Расчет_аналитики'!AK3456:AK3467),0)</f>
        <v/>
      </c>
      <c r="AL3405">
        <f>IF('01_Вводные'!$B$234="Да",SUM('19_Расчет_аналитики'!AL3456:AL3467),0)</f>
        <v/>
      </c>
      <c r="AM3405">
        <f>IF('01_Вводные'!$B$234="Да",SUM('19_Расчет_аналитики'!AM3456:AM3467),0)</f>
        <v/>
      </c>
      <c r="AN3405">
        <f>IF('01_Вводные'!$B$234="Да",SUM('19_Расчет_аналитики'!AN3456:AN3467),0)</f>
        <v/>
      </c>
      <c r="AO3405">
        <f>IF('01_Вводные'!$B$234="Да",SUM('19_Расчет_аналитики'!AO3456:AO3467),0)</f>
        <v/>
      </c>
      <c r="AP3405">
        <f>IF('01_Вводные'!$B$234="Да",SUM('19_Расчет_аналитики'!AP3456:AP3467),0)</f>
        <v/>
      </c>
      <c r="AQ3405">
        <f>IF('01_Вводные'!$B$234="Да",SUM('19_Расчет_аналитики'!AQ3456:AQ3467),0)</f>
        <v/>
      </c>
      <c r="AR3405">
        <f>IF('01_Вводные'!$B$234="Да",SUM('19_Расчет_аналитики'!AR3456:AR3467),0)</f>
        <v/>
      </c>
      <c r="AS3405">
        <f>IF('01_Вводные'!$B$234="Да",SUM('19_Расчет_аналитики'!AS3456:AS3467),0)</f>
        <v/>
      </c>
      <c r="AT3405">
        <f>IF('01_Вводные'!$B$234="Да",SUM('19_Расчет_аналитики'!AT3456:AT3467),0)</f>
        <v/>
      </c>
      <c r="AU3405">
        <f>IF('01_Вводные'!$B$234="Да",SUM('19_Расчет_аналитики'!AU3456:AU3467),0)</f>
        <v/>
      </c>
      <c r="AV3405">
        <f>IF('01_Вводные'!$B$234="Да",SUM('19_Расчет_аналитики'!AV3456:AV3467),0)</f>
        <v/>
      </c>
      <c r="AW3405">
        <f>IF('01_Вводные'!$B$234="Да",SUM('19_Расчет_аналитики'!AW3456:AW3467),0)</f>
        <v/>
      </c>
      <c r="AX3405">
        <f>IF('01_Вводные'!$B$234="Да",SUM('19_Расчет_аналитики'!AX3456:AX3467),0)</f>
        <v/>
      </c>
      <c r="AY3405">
        <f>IF('01_Вводные'!$B$234="Да",SUM('19_Расчет_аналитики'!AY3456:AY3467),0)</f>
        <v/>
      </c>
      <c r="AZ3405">
        <f>IF('01_Вводные'!$B$234="Да",SUM('19_Расчет_аналитики'!AZ3456:AZ3467),0)</f>
        <v/>
      </c>
      <c r="BA3405">
        <f>IF('01_Вводные'!$B$234="Да",SUM('19_Расчет_аналитики'!BA3456:BA3467),0)</f>
        <v/>
      </c>
      <c r="BB3405">
        <f>IF('01_Вводные'!$B$234="Да",SUM('19_Расчет_аналитики'!BB3456:BB3467),0)</f>
        <v/>
      </c>
      <c r="BC3405">
        <f>IF('01_Вводные'!$B$234="Да",SUM('19_Расчет_аналитики'!BC3456:BC3467),0)</f>
        <v/>
      </c>
      <c r="BD3405">
        <f>IF('01_Вводные'!$B$234="Да",SUM('19_Расчет_аналитики'!BD3456:BD3467),0)</f>
        <v/>
      </c>
      <c r="BE3405">
        <f>IF('01_Вводные'!$B$234="Да",SUM('19_Расчет_аналитики'!BE3456:BE3467),0)</f>
        <v/>
      </c>
      <c r="BF3405">
        <f>IF('01_Вводные'!$B$234="Да",SUM('19_Расчет_аналитики'!BF3456:BF3467),0)</f>
        <v/>
      </c>
      <c r="BG3405">
        <f>IF('01_Вводные'!$B$234="Да",SUM('19_Расчет_аналитики'!BG3456:BG3467),0)</f>
        <v/>
      </c>
      <c r="BH3405">
        <f>IF('01_Вводные'!$B$234="Да",SUM('19_Расчет_аналитики'!BH3456:BH3467),0)</f>
        <v/>
      </c>
      <c r="BI3405">
        <f>IF('01_Вводные'!$B$234="Да",SUM('19_Расчет_аналитики'!BI3456:BI3467),0)</f>
        <v/>
      </c>
      <c r="BJ3405">
        <f>IF('01_Вводные'!$B$234="Да",SUM('19_Расчет_аналитики'!BJ3456:BJ3467),0)</f>
        <v/>
      </c>
      <c r="BK3405">
        <f>IF('01_Вводные'!$B$234="Да",SUM('19_Расчет_аналитики'!BK3456:BK3467),0)</f>
        <v/>
      </c>
      <c r="BL3405">
        <f>IF('01_Вводные'!$B$234="Да",SUM('19_Расчет_аналитики'!BL3456:BL3467),0)</f>
        <v/>
      </c>
      <c r="BM3405">
        <f>IF('01_Вводные'!$B$234="Да",SUM('19_Расчет_аналитики'!BM3456:BM3467),0)</f>
        <v/>
      </c>
      <c r="BN3405">
        <f>IF('01_Вводные'!$B$234="Да",SUM('19_Расчет_аналитики'!BN3456:BN3467),0)</f>
        <v/>
      </c>
      <c r="BO3405">
        <f>IF('01_Вводные'!$B$234="Да",SUM('19_Расчет_аналитики'!BO3456:BO3467),0)</f>
        <v/>
      </c>
    </row>
    <row r="3406">
      <c r="B3406">
        <f>'06_Сеть_и_дети'!B15</f>
        <v/>
      </c>
      <c r="C3406">
        <f>'06_Сеть_и_дети'!C15</f>
        <v/>
      </c>
      <c r="D3406">
        <f>'06_Сеть_и_дети'!D15</f>
        <v/>
      </c>
      <c r="E3406">
        <f>'06_Сеть_и_дети'!E15</f>
        <v/>
      </c>
      <c r="F3406">
        <f>'06_Сеть_и_дети'!F15</f>
        <v/>
      </c>
      <c r="G3406">
        <f>'06_Сеть_и_дети'!G15</f>
        <v/>
      </c>
      <c r="H3406">
        <f>'06_Сеть_и_дети'!H15</f>
        <v/>
      </c>
      <c r="I3406">
        <f>'06_Сеть_и_дети'!I15</f>
        <v/>
      </c>
      <c r="J3406">
        <f>'06_Сеть_и_дети'!J15</f>
        <v/>
      </c>
      <c r="K3406">
        <f>'06_Сеть_и_дети'!K15</f>
        <v/>
      </c>
      <c r="L3406">
        <f>'06_Сеть_и_дети'!L15</f>
        <v/>
      </c>
      <c r="M3406">
        <f>'06_Сеть_и_дети'!M15</f>
        <v/>
      </c>
      <c r="N3406">
        <f>'06_Сеть_и_дети'!N15</f>
        <v/>
      </c>
      <c r="O3406">
        <f>'06_Сеть_и_дети'!O15</f>
        <v/>
      </c>
      <c r="P3406">
        <f>'06_Сеть_и_дети'!P15</f>
        <v/>
      </c>
      <c r="Q3406">
        <f>'06_Сеть_и_дети'!Q15</f>
        <v/>
      </c>
      <c r="R3406">
        <f>'06_Сеть_и_дети'!R15</f>
        <v/>
      </c>
      <c r="S3406">
        <f>'06_Сеть_и_дети'!S15</f>
        <v/>
      </c>
      <c r="T3406">
        <f>'06_Сеть_и_дети'!T15</f>
        <v/>
      </c>
      <c r="U3406">
        <f>'06_Сеть_и_дети'!U15</f>
        <v/>
      </c>
      <c r="V3406">
        <f>'06_Сеть_и_дети'!V15</f>
        <v/>
      </c>
      <c r="W3406">
        <f>'06_Сеть_и_дети'!W15</f>
        <v/>
      </c>
      <c r="X3406">
        <f>'06_Сеть_и_дети'!X15</f>
        <v/>
      </c>
      <c r="Y3406">
        <f>'06_Сеть_и_дети'!Y15</f>
        <v/>
      </c>
      <c r="Z3406">
        <f>IF('01_Вводные'!$B$234="Да",'19_Расчет_аналитики'!Z3468,0)</f>
        <v/>
      </c>
      <c r="AA3406">
        <f>IF('01_Вводные'!$B$234="Да",'19_Расчет_аналитики'!AA3468,0)</f>
        <v/>
      </c>
      <c r="AB3406">
        <f>IF('01_Вводные'!$B$234="Да",'19_Расчет_аналитики'!AB3468,0)</f>
        <v/>
      </c>
      <c r="AC3406">
        <f>IF('01_Вводные'!$B$234="Да",'19_Расчет_аналитики'!AC3468,0)</f>
        <v/>
      </c>
      <c r="AD3406">
        <f>IF('01_Вводные'!$B$234="Да",'19_Расчет_аналитики'!AD3468,0)</f>
        <v/>
      </c>
      <c r="AE3406">
        <f>IF('01_Вводные'!$B$234="Да",'19_Расчет_аналитики'!AE3468,0)</f>
        <v/>
      </c>
      <c r="AF3406">
        <f>IF('01_Вводные'!$B$234="Да",'19_Расчет_аналитики'!AF3468,0)</f>
        <v/>
      </c>
      <c r="AG3406">
        <f>IF('01_Вводные'!$B$234="Да",'19_Расчет_аналитики'!AG3468,0)</f>
        <v/>
      </c>
      <c r="AH3406">
        <f>IF('01_Вводные'!$B$234="Да",'19_Расчет_аналитики'!AH3468,0)</f>
        <v/>
      </c>
      <c r="AI3406">
        <f>IF('01_Вводные'!$B$234="Да",'19_Расчет_аналитики'!AI3468,0)</f>
        <v/>
      </c>
      <c r="AJ3406">
        <f>IF('01_Вводные'!$B$234="Да",'19_Расчет_аналитики'!AJ3468,0)</f>
        <v/>
      </c>
      <c r="AK3406">
        <f>IF('01_Вводные'!$B$234="Да",'19_Расчет_аналитики'!AK3468,0)</f>
        <v/>
      </c>
      <c r="AL3406">
        <f>IF('01_Вводные'!$B$234="Да",'19_Расчет_аналитики'!AL3468,0)</f>
        <v/>
      </c>
      <c r="AM3406">
        <f>IF('01_Вводные'!$B$234="Да",'19_Расчет_аналитики'!AM3468,0)</f>
        <v/>
      </c>
      <c r="AN3406">
        <f>IF('01_Вводные'!$B$234="Да",'19_Расчет_аналитики'!AN3468,0)</f>
        <v/>
      </c>
      <c r="AO3406">
        <f>IF('01_Вводные'!$B$234="Да",'19_Расчет_аналитики'!AO3468,0)</f>
        <v/>
      </c>
      <c r="AP3406">
        <f>IF('01_Вводные'!$B$234="Да",'19_Расчет_аналитики'!AP3468,0)</f>
        <v/>
      </c>
      <c r="AQ3406">
        <f>IF('01_Вводные'!$B$234="Да",'19_Расчет_аналитики'!AQ3468,0)</f>
        <v/>
      </c>
      <c r="AR3406">
        <f>IF('01_Вводные'!$B$234="Да",'19_Расчет_аналитики'!AR3468,0)</f>
        <v/>
      </c>
      <c r="AS3406">
        <f>IF('01_Вводные'!$B$234="Да",'19_Расчет_аналитики'!AS3468,0)</f>
        <v/>
      </c>
      <c r="AT3406">
        <f>IF('01_Вводные'!$B$234="Да",'19_Расчет_аналитики'!AT3468,0)</f>
        <v/>
      </c>
      <c r="AU3406">
        <f>IF('01_Вводные'!$B$234="Да",'19_Расчет_аналитики'!AU3468,0)</f>
        <v/>
      </c>
      <c r="AV3406">
        <f>IF('01_Вводные'!$B$234="Да",'19_Расчет_аналитики'!AV3468,0)</f>
        <v/>
      </c>
      <c r="AW3406">
        <f>IF('01_Вводные'!$B$234="Да",'19_Расчет_аналитики'!AW3468,0)</f>
        <v/>
      </c>
      <c r="AX3406">
        <f>IF('01_Вводные'!$B$234="Да",'19_Расчет_аналитики'!AX3468,0)</f>
        <v/>
      </c>
      <c r="AY3406">
        <f>IF('01_Вводные'!$B$234="Да",'19_Расчет_аналитики'!AY3468,0)</f>
        <v/>
      </c>
      <c r="AZ3406">
        <f>IF('01_Вводные'!$B$234="Да",'19_Расчет_аналитики'!AZ3468,0)</f>
        <v/>
      </c>
      <c r="BA3406">
        <f>IF('01_Вводные'!$B$234="Да",'19_Расчет_аналитики'!BA3468,0)</f>
        <v/>
      </c>
      <c r="BB3406">
        <f>IF('01_Вводные'!$B$234="Да",'19_Расчет_аналитики'!BB3468,0)</f>
        <v/>
      </c>
      <c r="BC3406">
        <f>IF('01_Вводные'!$B$234="Да",'19_Расчет_аналитики'!BC3468,0)</f>
        <v/>
      </c>
      <c r="BD3406">
        <f>IF('01_Вводные'!$B$234="Да",'19_Расчет_аналитики'!BD3468,0)</f>
        <v/>
      </c>
      <c r="BE3406">
        <f>IF('01_Вводные'!$B$234="Да",'19_Расчет_аналитики'!BE3468,0)</f>
        <v/>
      </c>
      <c r="BF3406">
        <f>IF('01_Вводные'!$B$234="Да",'19_Расчет_аналитики'!BF3468,0)</f>
        <v/>
      </c>
      <c r="BG3406">
        <f>IF('01_Вводные'!$B$234="Да",'19_Расчет_аналитики'!BG3468,0)</f>
        <v/>
      </c>
      <c r="BH3406">
        <f>IF('01_Вводные'!$B$234="Да",'19_Расчет_аналитики'!BH3468,0)</f>
        <v/>
      </c>
      <c r="BI3406">
        <f>IF('01_Вводные'!$B$234="Да",'19_Расчет_аналитики'!BI3468,0)</f>
        <v/>
      </c>
      <c r="BJ3406">
        <f>IF('01_Вводные'!$B$234="Да",'19_Расчет_аналитики'!BJ3468,0)</f>
        <v/>
      </c>
      <c r="BK3406">
        <f>IF('01_Вводные'!$B$234="Да",'19_Расчет_аналитики'!BK3468,0)</f>
        <v/>
      </c>
      <c r="BL3406">
        <f>IF('01_Вводные'!$B$234="Да",'19_Расчет_аналитики'!BL3468,0)</f>
        <v/>
      </c>
      <c r="BM3406">
        <f>IF('01_Вводные'!$B$234="Да",'19_Расчет_аналитики'!BM3468,0)</f>
        <v/>
      </c>
      <c r="BN3406">
        <f>IF('01_Вводные'!$B$234="Да",'19_Расчет_аналитики'!BN3468,0)</f>
        <v/>
      </c>
      <c r="BO3406">
        <f>IF('01_Вводные'!$B$234="Да",'19_Расчет_аналитики'!BO3468,0)</f>
        <v/>
      </c>
    </row>
    <row r="3407">
      <c r="B3407">
        <f>IF('01_Вводные'!$B$234="Да",SUM('19_Расчет_аналитики'!B3404:B3406),0)</f>
        <v/>
      </c>
      <c r="C3407">
        <f>IF('01_Вводные'!$B$234="Да",SUM('19_Расчет_аналитики'!C3404:C3406),0)</f>
        <v/>
      </c>
      <c r="D3407">
        <f>IF('01_Вводные'!$B$234="Да",SUM('19_Расчет_аналитики'!D3404:D3406),0)</f>
        <v/>
      </c>
      <c r="E3407">
        <f>IF('01_Вводные'!$B$234="Да",SUM('19_Расчет_аналитики'!E3404:E3406),0)</f>
        <v/>
      </c>
      <c r="F3407">
        <f>IF('01_Вводные'!$B$234="Да",SUM('19_Расчет_аналитики'!F3404:F3406),0)</f>
        <v/>
      </c>
      <c r="G3407">
        <f>IF('01_Вводные'!$B$234="Да",SUM('19_Расчет_аналитики'!G3404:G3406),0)</f>
        <v/>
      </c>
      <c r="H3407">
        <f>IF('01_Вводные'!$B$234="Да",SUM('19_Расчет_аналитики'!H3404:H3406),0)</f>
        <v/>
      </c>
      <c r="I3407">
        <f>IF('01_Вводные'!$B$234="Да",SUM('19_Расчет_аналитики'!I3404:I3406),0)</f>
        <v/>
      </c>
      <c r="J3407">
        <f>IF('01_Вводные'!$B$234="Да",SUM('19_Расчет_аналитики'!J3404:J3406),0)</f>
        <v/>
      </c>
      <c r="K3407">
        <f>IF('01_Вводные'!$B$234="Да",SUM('19_Расчет_аналитики'!K3404:K3406),0)</f>
        <v/>
      </c>
      <c r="L3407">
        <f>IF('01_Вводные'!$B$234="Да",SUM('19_Расчет_аналитики'!L3404:L3406),0)</f>
        <v/>
      </c>
      <c r="M3407">
        <f>IF('01_Вводные'!$B$234="Да",SUM('19_Расчет_аналитики'!M3404:M3406),0)</f>
        <v/>
      </c>
      <c r="N3407">
        <f>IF('01_Вводные'!$B$234="Да",SUM('19_Расчет_аналитики'!N3404:N3406),0)</f>
        <v/>
      </c>
      <c r="O3407">
        <f>IF('01_Вводные'!$B$234="Да",SUM('19_Расчет_аналитики'!O3404:O3406),0)</f>
        <v/>
      </c>
      <c r="P3407">
        <f>IF('01_Вводные'!$B$234="Да",SUM('19_Расчет_аналитики'!P3404:P3406),0)</f>
        <v/>
      </c>
      <c r="Q3407">
        <f>IF('01_Вводные'!$B$234="Да",SUM('19_Расчет_аналитики'!Q3404:Q3406),0)</f>
        <v/>
      </c>
      <c r="R3407">
        <f>IF('01_Вводные'!$B$234="Да",SUM('19_Расчет_аналитики'!R3404:R3406),0)</f>
        <v/>
      </c>
      <c r="S3407">
        <f>IF('01_Вводные'!$B$234="Да",SUM('19_Расчет_аналитики'!S3404:S3406),0)</f>
        <v/>
      </c>
      <c r="T3407">
        <f>IF('01_Вводные'!$B$234="Да",SUM('19_Расчет_аналитики'!T3404:T3406),0)</f>
        <v/>
      </c>
      <c r="U3407">
        <f>IF('01_Вводные'!$B$234="Да",SUM('19_Расчет_аналитики'!U3404:U3406),0)</f>
        <v/>
      </c>
      <c r="V3407">
        <f>IF('01_Вводные'!$B$234="Да",SUM('19_Расчет_аналитики'!V3404:V3406),0)</f>
        <v/>
      </c>
      <c r="W3407">
        <f>IF('01_Вводные'!$B$234="Да",SUM('19_Расчет_аналитики'!W3404:W3406),0)</f>
        <v/>
      </c>
      <c r="X3407">
        <f>IF('01_Вводные'!$B$234="Да",SUM('19_Расчет_аналитики'!X3404:X3406),0)</f>
        <v/>
      </c>
      <c r="Y3407">
        <f>IF('01_Вводные'!$B$234="Да",SUM('19_Расчет_аналитики'!Y3404:Y3406),0)</f>
        <v/>
      </c>
      <c r="Z3407">
        <f>IF('01_Вводные'!$B$234="Да",SUM('19_Расчет_аналитики'!Z3404:Z3406),0)</f>
        <v/>
      </c>
      <c r="AA3407">
        <f>IF('01_Вводные'!$B$234="Да",SUM('19_Расчет_аналитики'!AA3404:AA3406),0)</f>
        <v/>
      </c>
      <c r="AB3407">
        <f>IF('01_Вводные'!$B$234="Да",SUM('19_Расчет_аналитики'!AB3404:AB3406),0)</f>
        <v/>
      </c>
      <c r="AC3407">
        <f>IF('01_Вводные'!$B$234="Да",SUM('19_Расчет_аналитики'!AC3404:AC3406),0)</f>
        <v/>
      </c>
      <c r="AD3407">
        <f>IF('01_Вводные'!$B$234="Да",SUM('19_Расчет_аналитики'!AD3404:AD3406),0)</f>
        <v/>
      </c>
      <c r="AE3407">
        <f>IF('01_Вводные'!$B$234="Да",SUM('19_Расчет_аналитики'!AE3404:AE3406),0)</f>
        <v/>
      </c>
      <c r="AF3407">
        <f>IF('01_Вводные'!$B$234="Да",SUM('19_Расчет_аналитики'!AF3404:AF3406),0)</f>
        <v/>
      </c>
      <c r="AG3407">
        <f>IF('01_Вводные'!$B$234="Да",SUM('19_Расчет_аналитики'!AG3404:AG3406),0)</f>
        <v/>
      </c>
      <c r="AH3407">
        <f>IF('01_Вводные'!$B$234="Да",SUM('19_Расчет_аналитики'!AH3404:AH3406),0)</f>
        <v/>
      </c>
      <c r="AI3407">
        <f>IF('01_Вводные'!$B$234="Да",SUM('19_Расчет_аналитики'!AI3404:AI3406),0)</f>
        <v/>
      </c>
      <c r="AJ3407">
        <f>IF('01_Вводные'!$B$234="Да",SUM('19_Расчет_аналитики'!AJ3404:AJ3406),0)</f>
        <v/>
      </c>
      <c r="AK3407">
        <f>IF('01_Вводные'!$B$234="Да",SUM('19_Расчет_аналитики'!AK3404:AK3406),0)</f>
        <v/>
      </c>
      <c r="AL3407">
        <f>IF('01_Вводные'!$B$234="Да",SUM('19_Расчет_аналитики'!AL3404:AL3406),0)</f>
        <v/>
      </c>
      <c r="AM3407">
        <f>IF('01_Вводные'!$B$234="Да",SUM('19_Расчет_аналитики'!AM3404:AM3406),0)</f>
        <v/>
      </c>
      <c r="AN3407">
        <f>IF('01_Вводные'!$B$234="Да",SUM('19_Расчет_аналитики'!AN3404:AN3406),0)</f>
        <v/>
      </c>
      <c r="AO3407">
        <f>IF('01_Вводные'!$B$234="Да",SUM('19_Расчет_аналитики'!AO3404:AO3406),0)</f>
        <v/>
      </c>
      <c r="AP3407">
        <f>IF('01_Вводные'!$B$234="Да",SUM('19_Расчет_аналитики'!AP3404:AP3406),0)</f>
        <v/>
      </c>
      <c r="AQ3407">
        <f>IF('01_Вводные'!$B$234="Да",SUM('19_Расчет_аналитики'!AQ3404:AQ3406),0)</f>
        <v/>
      </c>
      <c r="AR3407">
        <f>IF('01_Вводные'!$B$234="Да",SUM('19_Расчет_аналитики'!AR3404:AR3406),0)</f>
        <v/>
      </c>
      <c r="AS3407">
        <f>IF('01_Вводные'!$B$234="Да",SUM('19_Расчет_аналитики'!AS3404:AS3406),0)</f>
        <v/>
      </c>
      <c r="AT3407">
        <f>IF('01_Вводные'!$B$234="Да",SUM('19_Расчет_аналитики'!AT3404:AT3406),0)</f>
        <v/>
      </c>
      <c r="AU3407">
        <f>IF('01_Вводные'!$B$234="Да",SUM('19_Расчет_аналитики'!AU3404:AU3406),0)</f>
        <v/>
      </c>
      <c r="AV3407">
        <f>IF('01_Вводные'!$B$234="Да",SUM('19_Расчет_аналитики'!AV3404:AV3406),0)</f>
        <v/>
      </c>
      <c r="AW3407">
        <f>IF('01_Вводные'!$B$234="Да",SUM('19_Расчет_аналитики'!AW3404:AW3406),0)</f>
        <v/>
      </c>
      <c r="AX3407">
        <f>IF('01_Вводные'!$B$234="Да",SUM('19_Расчет_аналитики'!AX3404:AX3406),0)</f>
        <v/>
      </c>
      <c r="AY3407">
        <f>IF('01_Вводные'!$B$234="Да",SUM('19_Расчет_аналитики'!AY3404:AY3406),0)</f>
        <v/>
      </c>
      <c r="AZ3407">
        <f>IF('01_Вводные'!$B$234="Да",SUM('19_Расчет_аналитики'!AZ3404:AZ3406),0)</f>
        <v/>
      </c>
      <c r="BA3407">
        <f>IF('01_Вводные'!$B$234="Да",SUM('19_Расчет_аналитики'!BA3404:BA3406),0)</f>
        <v/>
      </c>
      <c r="BB3407">
        <f>IF('01_Вводные'!$B$234="Да",SUM('19_Расчет_аналитики'!BB3404:BB3406),0)</f>
        <v/>
      </c>
      <c r="BC3407">
        <f>IF('01_Вводные'!$B$234="Да",SUM('19_Расчет_аналитики'!BC3404:BC3406),0)</f>
        <v/>
      </c>
      <c r="BD3407">
        <f>IF('01_Вводные'!$B$234="Да",SUM('19_Расчет_аналитики'!BD3404:BD3406),0)</f>
        <v/>
      </c>
      <c r="BE3407">
        <f>IF('01_Вводные'!$B$234="Да",SUM('19_Расчет_аналитики'!BE3404:BE3406),0)</f>
        <v/>
      </c>
      <c r="BF3407">
        <f>IF('01_Вводные'!$B$234="Да",SUM('19_Расчет_аналитики'!BF3404:BF3406),0)</f>
        <v/>
      </c>
      <c r="BG3407">
        <f>IF('01_Вводные'!$B$234="Да",SUM('19_Расчет_аналитики'!BG3404:BG3406),0)</f>
        <v/>
      </c>
      <c r="BH3407">
        <f>IF('01_Вводные'!$B$234="Да",SUM('19_Расчет_аналитики'!BH3404:BH3406),0)</f>
        <v/>
      </c>
      <c r="BI3407">
        <f>IF('01_Вводные'!$B$234="Да",SUM('19_Расчет_аналитики'!BI3404:BI3406),0)</f>
        <v/>
      </c>
      <c r="BJ3407">
        <f>IF('01_Вводные'!$B$234="Да",SUM('19_Расчет_аналитики'!BJ3404:BJ3406),0)</f>
        <v/>
      </c>
      <c r="BK3407">
        <f>IF('01_Вводные'!$B$234="Да",SUM('19_Расчет_аналитики'!BK3404:BK3406),0)</f>
        <v/>
      </c>
      <c r="BL3407">
        <f>IF('01_Вводные'!$B$234="Да",SUM('19_Расчет_аналитики'!BL3404:BL3406),0)</f>
        <v/>
      </c>
      <c r="BM3407">
        <f>IF('01_Вводные'!$B$234="Да",SUM('19_Расчет_аналитики'!BM3404:BM3406),0)</f>
        <v/>
      </c>
      <c r="BN3407">
        <f>IF('01_Вводные'!$B$234="Да",SUM('19_Расчет_аналитики'!BN3404:BN3406),0)</f>
        <v/>
      </c>
      <c r="BO3407">
        <f>IF('01_Вводные'!$B$234="Да",SUM('19_Расчет_аналитики'!BO3404:BO3406),0)</f>
        <v/>
      </c>
    </row>
    <row r="3408">
      <c r="B3408">
        <f>IF('01_Вводные'!$B$234="Да",'06_Сеть_и_дети'!B11+'19_Расчет_аналитики'!B3407,0)</f>
        <v/>
      </c>
      <c r="C3408">
        <f>IF('01_Вводные'!$B$234="Да",'06_Сеть_и_дети'!C11+'19_Расчет_аналитики'!C3407,0)</f>
        <v/>
      </c>
      <c r="D3408">
        <f>IF('01_Вводные'!$B$234="Да",'06_Сеть_и_дети'!D11+'19_Расчет_аналитики'!D3407,0)</f>
        <v/>
      </c>
      <c r="E3408">
        <f>IF('01_Вводные'!$B$234="Да",'06_Сеть_и_дети'!E11+'19_Расчет_аналитики'!E3407,0)</f>
        <v/>
      </c>
      <c r="F3408">
        <f>IF('01_Вводные'!$B$234="Да",'06_Сеть_и_дети'!F11+'19_Расчет_аналитики'!F3407,0)</f>
        <v/>
      </c>
      <c r="G3408">
        <f>IF('01_Вводные'!$B$234="Да",'06_Сеть_и_дети'!G11+'19_Расчет_аналитики'!G3407,0)</f>
        <v/>
      </c>
      <c r="H3408">
        <f>IF('01_Вводные'!$B$234="Да",'06_Сеть_и_дети'!H11+'19_Расчет_аналитики'!H3407,0)</f>
        <v/>
      </c>
      <c r="I3408">
        <f>IF('01_Вводные'!$B$234="Да",'06_Сеть_и_дети'!I11+'19_Расчет_аналитики'!I3407,0)</f>
        <v/>
      </c>
      <c r="J3408">
        <f>IF('01_Вводные'!$B$234="Да",'06_Сеть_и_дети'!J11+'19_Расчет_аналитики'!J3407,0)</f>
        <v/>
      </c>
      <c r="K3408">
        <f>IF('01_Вводные'!$B$234="Да",'06_Сеть_и_дети'!K11+'19_Расчет_аналитики'!K3407,0)</f>
        <v/>
      </c>
      <c r="L3408">
        <f>IF('01_Вводные'!$B$234="Да",'06_Сеть_и_дети'!L11+'19_Расчет_аналитики'!L3407,0)</f>
        <v/>
      </c>
      <c r="M3408">
        <f>IF('01_Вводные'!$B$234="Да",'06_Сеть_и_дети'!M11+'19_Расчет_аналитики'!M3407,0)</f>
        <v/>
      </c>
      <c r="N3408">
        <f>IF('01_Вводные'!$B$234="Да",'06_Сеть_и_дети'!N11+'19_Расчет_аналитики'!N3407,0)</f>
        <v/>
      </c>
      <c r="O3408">
        <f>IF('01_Вводные'!$B$234="Да",'06_Сеть_и_дети'!O11+'19_Расчет_аналитики'!O3407,0)</f>
        <v/>
      </c>
      <c r="P3408">
        <f>IF('01_Вводные'!$B$234="Да",'06_Сеть_и_дети'!P11+'19_Расчет_аналитики'!P3407,0)</f>
        <v/>
      </c>
      <c r="Q3408">
        <f>IF('01_Вводные'!$B$234="Да",'06_Сеть_и_дети'!Q11+'19_Расчет_аналитики'!Q3407,0)</f>
        <v/>
      </c>
      <c r="R3408">
        <f>IF('01_Вводные'!$B$234="Да",'06_Сеть_и_дети'!R11+'19_Расчет_аналитики'!R3407,0)</f>
        <v/>
      </c>
      <c r="S3408">
        <f>IF('01_Вводные'!$B$234="Да",'06_Сеть_и_дети'!S11+'19_Расчет_аналитики'!S3407,0)</f>
        <v/>
      </c>
      <c r="T3408">
        <f>IF('01_Вводные'!$B$234="Да",'06_Сеть_и_дети'!T11+'19_Расчет_аналитики'!T3407,0)</f>
        <v/>
      </c>
      <c r="U3408">
        <f>IF('01_Вводные'!$B$234="Да",'06_Сеть_и_дети'!U11+'19_Расчет_аналитики'!U3407,0)</f>
        <v/>
      </c>
      <c r="V3408">
        <f>IF('01_Вводные'!$B$234="Да",'06_Сеть_и_дети'!V11+'19_Расчет_аналитики'!V3407,0)</f>
        <v/>
      </c>
      <c r="W3408">
        <f>IF('01_Вводные'!$B$234="Да",'06_Сеть_и_дети'!W11+'19_Расчет_аналитики'!W3407,0)</f>
        <v/>
      </c>
      <c r="X3408">
        <f>IF('01_Вводные'!$B$234="Да",'06_Сеть_и_дети'!X11+'19_Расчет_аналитики'!X3407,0)</f>
        <v/>
      </c>
      <c r="Y3408">
        <f>IF('01_Вводные'!$B$234="Да",'06_Сеть_и_дети'!Y11+'19_Расчет_аналитики'!Y3407,0)</f>
        <v/>
      </c>
      <c r="Z3408">
        <f>IF('01_Вводные'!$B$234="Да",'06_Сеть_и_дети'!Z11+'19_Расчет_аналитики'!Z3407,0)</f>
        <v/>
      </c>
      <c r="AA3408">
        <f>IF('01_Вводные'!$B$234="Да",'06_Сеть_и_дети'!AA11+'19_Расчет_аналитики'!AA3407,0)</f>
        <v/>
      </c>
      <c r="AB3408">
        <f>IF('01_Вводные'!$B$234="Да",'06_Сеть_и_дети'!AB11+'19_Расчет_аналитики'!AB3407,0)</f>
        <v/>
      </c>
      <c r="AC3408">
        <f>IF('01_Вводные'!$B$234="Да",'06_Сеть_и_дети'!AC11+'19_Расчет_аналитики'!AC3407,0)</f>
        <v/>
      </c>
      <c r="AD3408">
        <f>IF('01_Вводные'!$B$234="Да",'06_Сеть_и_дети'!AD11+'19_Расчет_аналитики'!AD3407,0)</f>
        <v/>
      </c>
      <c r="AE3408">
        <f>IF('01_Вводные'!$B$234="Да",'06_Сеть_и_дети'!AE11+'19_Расчет_аналитики'!AE3407,0)</f>
        <v/>
      </c>
      <c r="AF3408">
        <f>IF('01_Вводные'!$B$234="Да",'06_Сеть_и_дети'!AF11+'19_Расчет_аналитики'!AF3407,0)</f>
        <v/>
      </c>
      <c r="AG3408">
        <f>IF('01_Вводные'!$B$234="Да",'06_Сеть_и_дети'!AG11+'19_Расчет_аналитики'!AG3407,0)</f>
        <v/>
      </c>
      <c r="AH3408">
        <f>IF('01_Вводные'!$B$234="Да",'06_Сеть_и_дети'!AH11+'19_Расчет_аналитики'!AH3407,0)</f>
        <v/>
      </c>
      <c r="AI3408">
        <f>IF('01_Вводные'!$B$234="Да",'06_Сеть_и_дети'!AI11+'19_Расчет_аналитики'!AI3407,0)</f>
        <v/>
      </c>
      <c r="AJ3408">
        <f>IF('01_Вводные'!$B$234="Да",'06_Сеть_и_дети'!AJ11+'19_Расчет_аналитики'!AJ3407,0)</f>
        <v/>
      </c>
      <c r="AK3408">
        <f>IF('01_Вводные'!$B$234="Да",'06_Сеть_и_дети'!AK11+'19_Расчет_аналитики'!AK3407,0)</f>
        <v/>
      </c>
      <c r="AL3408">
        <f>IF('01_Вводные'!$B$234="Да",'06_Сеть_и_дети'!AL11+'19_Расчет_аналитики'!AL3407,0)</f>
        <v/>
      </c>
      <c r="AM3408">
        <f>IF('01_Вводные'!$B$234="Да",'06_Сеть_и_дети'!AM11+'19_Расчет_аналитики'!AM3407,0)</f>
        <v/>
      </c>
      <c r="AN3408">
        <f>IF('01_Вводные'!$B$234="Да",'06_Сеть_и_дети'!AN11+'19_Расчет_аналитики'!AN3407,0)</f>
        <v/>
      </c>
      <c r="AO3408">
        <f>IF('01_Вводные'!$B$234="Да",'06_Сеть_и_дети'!AO11+'19_Расчет_аналитики'!AO3407,0)</f>
        <v/>
      </c>
      <c r="AP3408">
        <f>IF('01_Вводные'!$B$234="Да",'06_Сеть_и_дети'!AP11+'19_Расчет_аналитики'!AP3407,0)</f>
        <v/>
      </c>
      <c r="AQ3408">
        <f>IF('01_Вводные'!$B$234="Да",'06_Сеть_и_дети'!AQ11+'19_Расчет_аналитики'!AQ3407,0)</f>
        <v/>
      </c>
      <c r="AR3408">
        <f>IF('01_Вводные'!$B$234="Да",'06_Сеть_и_дети'!AR11+'19_Расчет_аналитики'!AR3407,0)</f>
        <v/>
      </c>
      <c r="AS3408">
        <f>IF('01_Вводные'!$B$234="Да",'06_Сеть_и_дети'!AS11+'19_Расчет_аналитики'!AS3407,0)</f>
        <v/>
      </c>
      <c r="AT3408">
        <f>IF('01_Вводные'!$B$234="Да",'06_Сеть_и_дети'!AT11+'19_Расчет_аналитики'!AT3407,0)</f>
        <v/>
      </c>
      <c r="AU3408">
        <f>IF('01_Вводные'!$B$234="Да",'06_Сеть_и_дети'!AU11+'19_Расчет_аналитики'!AU3407,0)</f>
        <v/>
      </c>
      <c r="AV3408">
        <f>IF('01_Вводные'!$B$234="Да",'06_Сеть_и_дети'!AV11+'19_Расчет_аналитики'!AV3407,0)</f>
        <v/>
      </c>
      <c r="AW3408">
        <f>IF('01_Вводные'!$B$234="Да",'06_Сеть_и_дети'!AW11+'19_Расчет_аналитики'!AW3407,0)</f>
        <v/>
      </c>
      <c r="AX3408">
        <f>IF('01_Вводные'!$B$234="Да",'06_Сеть_и_дети'!AX11+'19_Расчет_аналитики'!AX3407,0)</f>
        <v/>
      </c>
      <c r="AY3408">
        <f>IF('01_Вводные'!$B$234="Да",'06_Сеть_и_дети'!AY11+'19_Расчет_аналитики'!AY3407,0)</f>
        <v/>
      </c>
      <c r="AZ3408">
        <f>IF('01_Вводные'!$B$234="Да",'06_Сеть_и_дети'!AZ11+'19_Расчет_аналитики'!AZ3407,0)</f>
        <v/>
      </c>
      <c r="BA3408">
        <f>IF('01_Вводные'!$B$234="Да",'06_Сеть_и_дети'!BA11+'19_Расчет_аналитики'!BA3407,0)</f>
        <v/>
      </c>
      <c r="BB3408">
        <f>IF('01_Вводные'!$B$234="Да",'06_Сеть_и_дети'!BB11+'19_Расчет_аналитики'!BB3407,0)</f>
        <v/>
      </c>
      <c r="BC3408">
        <f>IF('01_Вводные'!$B$234="Да",'06_Сеть_и_дети'!BC11+'19_Расчет_аналитики'!BC3407,0)</f>
        <v/>
      </c>
      <c r="BD3408">
        <f>IF('01_Вводные'!$B$234="Да",'06_Сеть_и_дети'!BD11+'19_Расчет_аналитики'!BD3407,0)</f>
        <v/>
      </c>
      <c r="BE3408">
        <f>IF('01_Вводные'!$B$234="Да",'06_Сеть_и_дети'!BE11+'19_Расчет_аналитики'!BE3407,0)</f>
        <v/>
      </c>
      <c r="BF3408">
        <f>IF('01_Вводные'!$B$234="Да",'06_Сеть_и_дети'!BF11+'19_Расчет_аналитики'!BF3407,0)</f>
        <v/>
      </c>
      <c r="BG3408">
        <f>IF('01_Вводные'!$B$234="Да",'06_Сеть_и_дети'!BG11+'19_Расчет_аналитики'!BG3407,0)</f>
        <v/>
      </c>
      <c r="BH3408">
        <f>IF('01_Вводные'!$B$234="Да",'06_Сеть_и_дети'!BH11+'19_Расчет_аналитики'!BH3407,0)</f>
        <v/>
      </c>
      <c r="BI3408">
        <f>IF('01_Вводные'!$B$234="Да",'06_Сеть_и_дети'!BI11+'19_Расчет_аналитики'!BI3407,0)</f>
        <v/>
      </c>
      <c r="BJ3408">
        <f>IF('01_Вводные'!$B$234="Да",'06_Сеть_и_дети'!BJ11+'19_Расчет_аналитики'!BJ3407,0)</f>
        <v/>
      </c>
      <c r="BK3408">
        <f>IF('01_Вводные'!$B$234="Да",'06_Сеть_и_дети'!BK11+'19_Расчет_аналитики'!BK3407,0)</f>
        <v/>
      </c>
      <c r="BL3408">
        <f>IF('01_Вводные'!$B$234="Да",'06_Сеть_и_дети'!BL11+'19_Расчет_аналитики'!BL3407,0)</f>
        <v/>
      </c>
      <c r="BM3408">
        <f>IF('01_Вводные'!$B$234="Да",'06_Сеть_и_дети'!BM11+'19_Расчет_аналитики'!BM3407,0)</f>
        <v/>
      </c>
      <c r="BN3408">
        <f>IF('01_Вводные'!$B$234="Да",'06_Сеть_и_дети'!BN11+'19_Расчет_аналитики'!BN3407,0)</f>
        <v/>
      </c>
      <c r="BO3408">
        <f>IF('01_Вводные'!$B$234="Да",'06_Сеть_и_дети'!BO11+'19_Расчет_аналитики'!BO3407,0)</f>
        <v/>
      </c>
    </row>
    <row r="3409"/>
    <row r="3410"/>
    <row r="3411"/>
    <row r="3412">
      <c r="B3412">
        <f>IF('01_Вводные'!$B$234="Да",SUMPRODUCT('19_Расчет_аналитики'!B3444:B3455,CapacityYear1)*'19_Расчет_аналитики'!$F$3247*'06_Сеть_и_дети'!B5,0)</f>
        <v/>
      </c>
      <c r="C3412">
        <f>IF('01_Вводные'!$B$234="Да",SUMPRODUCT('19_Расчет_аналитики'!C3444:C3455,CapacityYear1)*'19_Расчет_аналитики'!$F$3247*'06_Сеть_и_дети'!C5,0)</f>
        <v/>
      </c>
      <c r="D3412">
        <f>IF('01_Вводные'!$B$234="Да",SUMPRODUCT('19_Расчет_аналитики'!D3444:D3455,CapacityYear1)*'19_Расчет_аналитики'!$F$3247*'06_Сеть_и_дети'!D5,0)</f>
        <v/>
      </c>
      <c r="E3412">
        <f>IF('01_Вводные'!$B$234="Да",SUMPRODUCT('19_Расчет_аналитики'!E3444:E3455,CapacityYear1)*'19_Расчет_аналитики'!$F$3247*'06_Сеть_и_дети'!E5,0)</f>
        <v/>
      </c>
      <c r="F3412">
        <f>IF('01_Вводные'!$B$234="Да",SUMPRODUCT('19_Расчет_аналитики'!F3444:F3455,CapacityYear1)*'19_Расчет_аналитики'!$F$3247*'06_Сеть_и_дети'!F5,0)</f>
        <v/>
      </c>
      <c r="G3412">
        <f>IF('01_Вводные'!$B$234="Да",SUMPRODUCT('19_Расчет_аналитики'!G3444:G3455,CapacityYear1)*'19_Расчет_аналитики'!$F$3247*'06_Сеть_и_дети'!G5,0)</f>
        <v/>
      </c>
      <c r="H3412">
        <f>IF('01_Вводные'!$B$234="Да",SUMPRODUCT('19_Расчет_аналитики'!H3444:H3455,CapacityYear1)*'19_Расчет_аналитики'!$F$3247*'06_Сеть_и_дети'!H5,0)</f>
        <v/>
      </c>
      <c r="I3412">
        <f>IF('01_Вводные'!$B$234="Да",SUMPRODUCT('19_Расчет_аналитики'!I3444:I3455,CapacityYear1)*'19_Расчет_аналитики'!$F$3247*'06_Сеть_и_дети'!I5,0)</f>
        <v/>
      </c>
      <c r="J3412">
        <f>IF('01_Вводные'!$B$234="Да",SUMPRODUCT('19_Расчет_аналитики'!J3444:J3455,CapacityYear1)*'19_Расчет_аналитики'!$F$3247*'06_Сеть_и_дети'!J5,0)</f>
        <v/>
      </c>
      <c r="K3412">
        <f>IF('01_Вводные'!$B$234="Да",SUMPRODUCT('19_Расчет_аналитики'!K3444:K3455,CapacityYear1)*'19_Расчет_аналитики'!$F$3247*'06_Сеть_и_дети'!K5,0)</f>
        <v/>
      </c>
      <c r="L3412">
        <f>IF('01_Вводные'!$B$234="Да",SUMPRODUCT('19_Расчет_аналитики'!L3444:L3455,CapacityYear1)*'19_Расчет_аналитики'!$F$3247*'06_Сеть_и_дети'!L5,0)</f>
        <v/>
      </c>
      <c r="M3412">
        <f>IF('01_Вводные'!$B$234="Да",SUMPRODUCT('19_Расчет_аналитики'!M3444:M3455,CapacityYear1)*'19_Расчет_аналитики'!$F$3247*'06_Сеть_и_дети'!M5,0)</f>
        <v/>
      </c>
      <c r="N3412">
        <f>IF('01_Вводные'!$B$234="Да",SUMPRODUCT('19_Расчет_аналитики'!N3444:N3455,CapacityYear1)*'19_Расчет_аналитики'!$F$3247*'06_Сеть_и_дети'!N5,0)</f>
        <v/>
      </c>
      <c r="O3412">
        <f>IF('01_Вводные'!$B$234="Да",SUMPRODUCT('19_Расчет_аналитики'!O3444:O3455,CapacityYear1)*'19_Расчет_аналитики'!$F$3247*'06_Сеть_и_дети'!O5,0)</f>
        <v/>
      </c>
      <c r="P3412">
        <f>IF('01_Вводные'!$B$234="Да",SUMPRODUCT('19_Расчет_аналитики'!P3444:P3455,CapacityYear1)*'19_Расчет_аналитики'!$F$3247*'06_Сеть_и_дети'!P5,0)</f>
        <v/>
      </c>
      <c r="Q3412">
        <f>IF('01_Вводные'!$B$234="Да",SUMPRODUCT('19_Расчет_аналитики'!Q3444:Q3455,CapacityYear1)*'19_Расчет_аналитики'!$F$3247*'06_Сеть_и_дети'!Q5,0)</f>
        <v/>
      </c>
      <c r="R3412">
        <f>IF('01_Вводные'!$B$234="Да",SUMPRODUCT('19_Расчет_аналитики'!R3444:R3455,CapacityYear1)*'19_Расчет_аналитики'!$F$3247*'06_Сеть_и_дети'!R5,0)</f>
        <v/>
      </c>
      <c r="S3412">
        <f>IF('01_Вводные'!$B$234="Да",SUMPRODUCT('19_Расчет_аналитики'!S3444:S3455,CapacityYear1)*'19_Расчет_аналитики'!$F$3247*'06_Сеть_и_дети'!S5,0)</f>
        <v/>
      </c>
      <c r="T3412">
        <f>IF('01_Вводные'!$B$234="Да",SUMPRODUCT('19_Расчет_аналитики'!T3444:T3455,CapacityYear1)*'19_Расчет_аналитики'!$F$3247*'06_Сеть_и_дети'!T5,0)</f>
        <v/>
      </c>
      <c r="U3412">
        <f>IF('01_Вводные'!$B$234="Да",SUMPRODUCT('19_Расчет_аналитики'!U3444:U3455,CapacityYear1)*'19_Расчет_аналитики'!$F$3247*'06_Сеть_и_дети'!U5,0)</f>
        <v/>
      </c>
      <c r="V3412">
        <f>IF('01_Вводные'!$B$234="Да",SUMPRODUCT('19_Расчет_аналитики'!V3444:V3455,CapacityYear1)*'19_Расчет_аналитики'!$F$3247*'06_Сеть_и_дети'!V5,0)</f>
        <v/>
      </c>
      <c r="W3412">
        <f>IF('01_Вводные'!$B$234="Да",SUMPRODUCT('19_Расчет_аналитики'!W3444:W3455,CapacityYear1)*'19_Расчет_аналитики'!$F$3247*'06_Сеть_и_дети'!W5,0)</f>
        <v/>
      </c>
      <c r="X3412">
        <f>IF('01_Вводные'!$B$234="Да",SUMPRODUCT('19_Расчет_аналитики'!X3444:X3455,CapacityYear1)*'19_Расчет_аналитики'!$F$3247*'06_Сеть_и_дети'!X5,0)</f>
        <v/>
      </c>
      <c r="Y3412">
        <f>IF('01_Вводные'!$B$234="Да",SUMPRODUCT('19_Расчет_аналитики'!Y3444:Y3455,CapacityYear1)*'19_Расчет_аналитики'!$F$3247*'06_Сеть_и_дети'!Y5,0)</f>
        <v/>
      </c>
      <c r="Z3412">
        <f>IF('01_Вводные'!$B$234="Да",SUMPRODUCT('19_Расчет_аналитики'!Z3444:Z3455,CapacityYear1)*'19_Расчет_аналитики'!$F$3247*'06_Сеть_и_дети'!Z5,0)</f>
        <v/>
      </c>
      <c r="AA3412">
        <f>IF('01_Вводные'!$B$234="Да",SUMPRODUCT('19_Расчет_аналитики'!AA3444:AA3455,CapacityYear1)*'19_Расчет_аналитики'!$F$3247*'06_Сеть_и_дети'!AA5,0)</f>
        <v/>
      </c>
      <c r="AB3412">
        <f>IF('01_Вводные'!$B$234="Да",SUMPRODUCT('19_Расчет_аналитики'!AB3444:AB3455,CapacityYear1)*'19_Расчет_аналитики'!$F$3247*'06_Сеть_и_дети'!AB5,0)</f>
        <v/>
      </c>
      <c r="AC3412">
        <f>IF('01_Вводные'!$B$234="Да",SUMPRODUCT('19_Расчет_аналитики'!AC3444:AC3455,CapacityYear1)*'19_Расчет_аналитики'!$F$3247*'06_Сеть_и_дети'!AC5,0)</f>
        <v/>
      </c>
      <c r="AD3412">
        <f>IF('01_Вводные'!$B$234="Да",SUMPRODUCT('19_Расчет_аналитики'!AD3444:AD3455,CapacityYear1)*'19_Расчет_аналитики'!$F$3247*'06_Сеть_и_дети'!AD5,0)</f>
        <v/>
      </c>
      <c r="AE3412">
        <f>IF('01_Вводные'!$B$234="Да",SUMPRODUCT('19_Расчет_аналитики'!AE3444:AE3455,CapacityYear1)*'19_Расчет_аналитики'!$F$3247*'06_Сеть_и_дети'!AE5,0)</f>
        <v/>
      </c>
      <c r="AF3412">
        <f>IF('01_Вводные'!$B$234="Да",SUMPRODUCT('19_Расчет_аналитики'!AF3444:AF3455,CapacityYear1)*'19_Расчет_аналитики'!$F$3247*'06_Сеть_и_дети'!AF5,0)</f>
        <v/>
      </c>
      <c r="AG3412">
        <f>IF('01_Вводные'!$B$234="Да",SUMPRODUCT('19_Расчет_аналитики'!AG3444:AG3455,CapacityYear1)*'19_Расчет_аналитики'!$F$3247*'06_Сеть_и_дети'!AG5,0)</f>
        <v/>
      </c>
      <c r="AH3412">
        <f>IF('01_Вводные'!$B$234="Да",SUMPRODUCT('19_Расчет_аналитики'!AH3444:AH3455,CapacityYear1)*'19_Расчет_аналитики'!$F$3247*'06_Сеть_и_дети'!AH5,0)</f>
        <v/>
      </c>
      <c r="AI3412">
        <f>IF('01_Вводные'!$B$234="Да",SUMPRODUCT('19_Расчет_аналитики'!AI3444:AI3455,CapacityYear1)*'19_Расчет_аналитики'!$F$3247*'06_Сеть_и_дети'!AI5,0)</f>
        <v/>
      </c>
      <c r="AJ3412">
        <f>IF('01_Вводные'!$B$234="Да",SUMPRODUCT('19_Расчет_аналитики'!AJ3444:AJ3455,CapacityYear1)*'19_Расчет_аналитики'!$F$3247*'06_Сеть_и_дети'!AJ5,0)</f>
        <v/>
      </c>
      <c r="AK3412">
        <f>IF('01_Вводные'!$B$234="Да",SUMPRODUCT('19_Расчет_аналитики'!AK3444:AK3455,CapacityYear1)*'19_Расчет_аналитики'!$F$3247*'06_Сеть_и_дети'!AK5,0)</f>
        <v/>
      </c>
      <c r="AL3412">
        <f>IF('01_Вводные'!$B$234="Да",SUMPRODUCT('19_Расчет_аналитики'!AL3444:AL3455,CapacityYear1)*'19_Расчет_аналитики'!$F$3247*'06_Сеть_и_дети'!AL5,0)</f>
        <v/>
      </c>
      <c r="AM3412">
        <f>IF('01_Вводные'!$B$234="Да",SUMPRODUCT('19_Расчет_аналитики'!AM3444:AM3455,CapacityYear1)*'19_Расчет_аналитики'!$F$3247*'06_Сеть_и_дети'!AM5,0)</f>
        <v/>
      </c>
      <c r="AN3412">
        <f>IF('01_Вводные'!$B$234="Да",SUMPRODUCT('19_Расчет_аналитики'!AN3444:AN3455,CapacityYear1)*'19_Расчет_аналитики'!$F$3247*'06_Сеть_и_дети'!AN5,0)</f>
        <v/>
      </c>
      <c r="AO3412">
        <f>IF('01_Вводные'!$B$234="Да",SUMPRODUCT('19_Расчет_аналитики'!AO3444:AO3455,CapacityYear1)*'19_Расчет_аналитики'!$F$3247*'06_Сеть_и_дети'!AO5,0)</f>
        <v/>
      </c>
      <c r="AP3412">
        <f>IF('01_Вводные'!$B$234="Да",SUMPRODUCT('19_Расчет_аналитики'!AP3444:AP3455,CapacityYear1)*'19_Расчет_аналитики'!$F$3247*'06_Сеть_и_дети'!AP5,0)</f>
        <v/>
      </c>
      <c r="AQ3412">
        <f>IF('01_Вводные'!$B$234="Да",SUMPRODUCT('19_Расчет_аналитики'!AQ3444:AQ3455,CapacityYear1)*'19_Расчет_аналитики'!$F$3247*'06_Сеть_и_дети'!AQ5,0)</f>
        <v/>
      </c>
      <c r="AR3412">
        <f>IF('01_Вводные'!$B$234="Да",SUMPRODUCT('19_Расчет_аналитики'!AR3444:AR3455,CapacityYear1)*'19_Расчет_аналитики'!$F$3247*'06_Сеть_и_дети'!AR5,0)</f>
        <v/>
      </c>
      <c r="AS3412">
        <f>IF('01_Вводные'!$B$234="Да",SUMPRODUCT('19_Расчет_аналитики'!AS3444:AS3455,CapacityYear1)*'19_Расчет_аналитики'!$F$3247*'06_Сеть_и_дети'!AS5,0)</f>
        <v/>
      </c>
      <c r="AT3412">
        <f>IF('01_Вводные'!$B$234="Да",SUMPRODUCT('19_Расчет_аналитики'!AT3444:AT3455,CapacityYear1)*'19_Расчет_аналитики'!$F$3247*'06_Сеть_и_дети'!AT5,0)</f>
        <v/>
      </c>
      <c r="AU3412">
        <f>IF('01_Вводные'!$B$234="Да",SUMPRODUCT('19_Расчет_аналитики'!AU3444:AU3455,CapacityYear1)*'19_Расчет_аналитики'!$F$3247*'06_Сеть_и_дети'!AU5,0)</f>
        <v/>
      </c>
      <c r="AV3412">
        <f>IF('01_Вводные'!$B$234="Да",SUMPRODUCT('19_Расчет_аналитики'!AV3444:AV3455,CapacityYear1)*'19_Расчет_аналитики'!$F$3247*'06_Сеть_и_дети'!AV5,0)</f>
        <v/>
      </c>
      <c r="AW3412">
        <f>IF('01_Вводные'!$B$234="Да",SUMPRODUCT('19_Расчет_аналитики'!AW3444:AW3455,CapacityYear1)*'19_Расчет_аналитики'!$F$3247*'06_Сеть_и_дети'!AW5,0)</f>
        <v/>
      </c>
      <c r="AX3412">
        <f>IF('01_Вводные'!$B$234="Да",SUMPRODUCT('19_Расчет_аналитики'!AX3444:AX3455,CapacityYear1)*'19_Расчет_аналитики'!$F$3247*'06_Сеть_и_дети'!AX5,0)</f>
        <v/>
      </c>
      <c r="AY3412">
        <f>IF('01_Вводные'!$B$234="Да",SUMPRODUCT('19_Расчет_аналитики'!AY3444:AY3455,CapacityYear1)*'19_Расчет_аналитики'!$F$3247*'06_Сеть_и_дети'!AY5,0)</f>
        <v/>
      </c>
      <c r="AZ3412">
        <f>IF('01_Вводные'!$B$234="Да",SUMPRODUCT('19_Расчет_аналитики'!AZ3444:AZ3455,CapacityYear1)*'19_Расчет_аналитики'!$F$3247*'06_Сеть_и_дети'!AZ5,0)</f>
        <v/>
      </c>
      <c r="BA3412">
        <f>IF('01_Вводные'!$B$234="Да",SUMPRODUCT('19_Расчет_аналитики'!BA3444:BA3455,CapacityYear1)*'19_Расчет_аналитики'!$F$3247*'06_Сеть_и_дети'!BA5,0)</f>
        <v/>
      </c>
      <c r="BB3412">
        <f>IF('01_Вводные'!$B$234="Да",SUMPRODUCT('19_Расчет_аналитики'!BB3444:BB3455,CapacityYear1)*'19_Расчет_аналитики'!$F$3247*'06_Сеть_и_дети'!BB5,0)</f>
        <v/>
      </c>
      <c r="BC3412">
        <f>IF('01_Вводные'!$B$234="Да",SUMPRODUCT('19_Расчет_аналитики'!BC3444:BC3455,CapacityYear1)*'19_Расчет_аналитики'!$F$3247*'06_Сеть_и_дети'!BC5,0)</f>
        <v/>
      </c>
      <c r="BD3412">
        <f>IF('01_Вводные'!$B$234="Да",SUMPRODUCT('19_Расчет_аналитики'!BD3444:BD3455,CapacityYear1)*'19_Расчет_аналитики'!$F$3247*'06_Сеть_и_дети'!BD5,0)</f>
        <v/>
      </c>
      <c r="BE3412">
        <f>IF('01_Вводные'!$B$234="Да",SUMPRODUCT('19_Расчет_аналитики'!BE3444:BE3455,CapacityYear1)*'19_Расчет_аналитики'!$F$3247*'06_Сеть_и_дети'!BE5,0)</f>
        <v/>
      </c>
      <c r="BF3412">
        <f>IF('01_Вводные'!$B$234="Да",SUMPRODUCT('19_Расчет_аналитики'!BF3444:BF3455,CapacityYear1)*'19_Расчет_аналитики'!$F$3247*'06_Сеть_и_дети'!BF5,0)</f>
        <v/>
      </c>
      <c r="BG3412">
        <f>IF('01_Вводные'!$B$234="Да",SUMPRODUCT('19_Расчет_аналитики'!BG3444:BG3455,CapacityYear1)*'19_Расчет_аналитики'!$F$3247*'06_Сеть_и_дети'!BG5,0)</f>
        <v/>
      </c>
      <c r="BH3412">
        <f>IF('01_Вводные'!$B$234="Да",SUMPRODUCT('19_Расчет_аналитики'!BH3444:BH3455,CapacityYear1)*'19_Расчет_аналитики'!$F$3247*'06_Сеть_и_дети'!BH5,0)</f>
        <v/>
      </c>
      <c r="BI3412">
        <f>IF('01_Вводные'!$B$234="Да",SUMPRODUCT('19_Расчет_аналитики'!BI3444:BI3455,CapacityYear1)*'19_Расчет_аналитики'!$F$3247*'06_Сеть_и_дети'!BI5,0)</f>
        <v/>
      </c>
      <c r="BJ3412">
        <f>IF('01_Вводные'!$B$234="Да",SUMPRODUCT('19_Расчет_аналитики'!BJ3444:BJ3455,CapacityYear1)*'19_Расчет_аналитики'!$F$3247*'06_Сеть_и_дети'!BJ5,0)</f>
        <v/>
      </c>
      <c r="BK3412">
        <f>IF('01_Вводные'!$B$234="Да",SUMPRODUCT('19_Расчет_аналитики'!BK3444:BK3455,CapacityYear1)*'19_Расчет_аналитики'!$F$3247*'06_Сеть_и_дети'!BK5,0)</f>
        <v/>
      </c>
      <c r="BL3412">
        <f>IF('01_Вводные'!$B$234="Да",SUMPRODUCT('19_Расчет_аналитики'!BL3444:BL3455,CapacityYear1)*'19_Расчет_аналитики'!$F$3247*'06_Сеть_и_дети'!BL5,0)</f>
        <v/>
      </c>
      <c r="BM3412">
        <f>IF('01_Вводные'!$B$234="Да",SUMPRODUCT('19_Расчет_аналитики'!BM3444:BM3455,CapacityYear1)*'19_Расчет_аналитики'!$F$3247*'06_Сеть_и_дети'!BM5,0)</f>
        <v/>
      </c>
      <c r="BN3412">
        <f>IF('01_Вводные'!$B$234="Да",SUMPRODUCT('19_Расчет_аналитики'!BN3444:BN3455,CapacityYear1)*'19_Расчет_аналитики'!$F$3247*'06_Сеть_и_дети'!BN5,0)</f>
        <v/>
      </c>
      <c r="BO3412">
        <f>IF('01_Вводные'!$B$234="Да",SUMPRODUCT('19_Расчет_аналитики'!BO3444:BO3455,CapacityYear1)*'19_Расчет_аналитики'!$F$3247*'06_Сеть_и_дети'!BO5,0)</f>
        <v/>
      </c>
    </row>
    <row r="3413">
      <c r="B3413">
        <f>IF('01_Вводные'!$B$234="Да",SUMPRODUCT('06_Сеть_и_дети'!B65:B76,CapacityYear2)*'19_Расчет_аналитики'!$F$3247*'06_Сеть_и_дети'!B5,0)</f>
        <v/>
      </c>
      <c r="C3413">
        <f>IF('01_Вводные'!$B$234="Да",SUMPRODUCT('06_Сеть_и_дети'!C65:C76,CapacityYear2)*'19_Расчет_аналитики'!$F$3247*'06_Сеть_и_дети'!C5,0)</f>
        <v/>
      </c>
      <c r="D3413">
        <f>IF('01_Вводные'!$B$234="Да",SUMPRODUCT('06_Сеть_и_дети'!D65:D76,CapacityYear2)*'19_Расчет_аналитики'!$F$3247*'06_Сеть_и_дети'!D5,0)</f>
        <v/>
      </c>
      <c r="E3413">
        <f>IF('01_Вводные'!$B$234="Да",SUMPRODUCT('06_Сеть_и_дети'!E65:E76,CapacityYear2)*'19_Расчет_аналитики'!$F$3247*'06_Сеть_и_дети'!E5,0)</f>
        <v/>
      </c>
      <c r="F3413">
        <f>IF('01_Вводные'!$B$234="Да",SUMPRODUCT('06_Сеть_и_дети'!F65:F76,CapacityYear2)*'19_Расчет_аналитики'!$F$3247*'06_Сеть_и_дети'!F5,0)</f>
        <v/>
      </c>
      <c r="G3413">
        <f>IF('01_Вводные'!$B$234="Да",SUMPRODUCT('06_Сеть_и_дети'!G65:G76,CapacityYear2)*'19_Расчет_аналитики'!$F$3247*'06_Сеть_и_дети'!G5,0)</f>
        <v/>
      </c>
      <c r="H3413">
        <f>IF('01_Вводные'!$B$234="Да",SUMPRODUCT('06_Сеть_и_дети'!H65:H76,CapacityYear2)*'19_Расчет_аналитики'!$F$3247*'06_Сеть_и_дети'!H5,0)</f>
        <v/>
      </c>
      <c r="I3413">
        <f>IF('01_Вводные'!$B$234="Да",SUMPRODUCT('06_Сеть_и_дети'!I65:I76,CapacityYear2)*'19_Расчет_аналитики'!$F$3247*'06_Сеть_и_дети'!I5,0)</f>
        <v/>
      </c>
      <c r="J3413">
        <f>IF('01_Вводные'!$B$234="Да",SUMPRODUCT('06_Сеть_и_дети'!J65:J76,CapacityYear2)*'19_Расчет_аналитики'!$F$3247*'06_Сеть_и_дети'!J5,0)</f>
        <v/>
      </c>
      <c r="K3413">
        <f>IF('01_Вводные'!$B$234="Да",SUMPRODUCT('06_Сеть_и_дети'!K65:K76,CapacityYear2)*'19_Расчет_аналитики'!$F$3247*'06_Сеть_и_дети'!K5,0)</f>
        <v/>
      </c>
      <c r="L3413">
        <f>IF('01_Вводные'!$B$234="Да",SUMPRODUCT('06_Сеть_и_дети'!L65:L76,CapacityYear2)*'19_Расчет_аналитики'!$F$3247*'06_Сеть_и_дети'!L5,0)</f>
        <v/>
      </c>
      <c r="M3413">
        <f>IF('01_Вводные'!$B$234="Да",SUMPRODUCT('06_Сеть_и_дети'!M65:M76,CapacityYear2)*'19_Расчет_аналитики'!$F$3247*'06_Сеть_и_дети'!M5,0)</f>
        <v/>
      </c>
      <c r="N3413">
        <f>IF('01_Вводные'!$B$234="Да",SUMPRODUCT('19_Расчет_аналитики'!N3456:N3467,CapacityYear2)*'19_Расчет_аналитики'!$F$3247*'06_Сеть_и_дети'!N5,0)</f>
        <v/>
      </c>
      <c r="O3413">
        <f>IF('01_Вводные'!$B$234="Да",SUMPRODUCT('19_Расчет_аналитики'!O3456:O3467,CapacityYear2)*'19_Расчет_аналитики'!$F$3247*'06_Сеть_и_дети'!O5,0)</f>
        <v/>
      </c>
      <c r="P3413">
        <f>IF('01_Вводные'!$B$234="Да",SUMPRODUCT('19_Расчет_аналитики'!P3456:P3467,CapacityYear2)*'19_Расчет_аналитики'!$F$3247*'06_Сеть_и_дети'!P5,0)</f>
        <v/>
      </c>
      <c r="Q3413">
        <f>IF('01_Вводные'!$B$234="Да",SUMPRODUCT('19_Расчет_аналитики'!Q3456:Q3467,CapacityYear2)*'19_Расчет_аналитики'!$F$3247*'06_Сеть_и_дети'!Q5,0)</f>
        <v/>
      </c>
      <c r="R3413">
        <f>IF('01_Вводные'!$B$234="Да",SUMPRODUCT('19_Расчет_аналитики'!R3456:R3467,CapacityYear2)*'19_Расчет_аналитики'!$F$3247*'06_Сеть_и_дети'!R5,0)</f>
        <v/>
      </c>
      <c r="S3413">
        <f>IF('01_Вводные'!$B$234="Да",SUMPRODUCT('19_Расчет_аналитики'!S3456:S3467,CapacityYear2)*'19_Расчет_аналитики'!$F$3247*'06_Сеть_и_дети'!S5,0)</f>
        <v/>
      </c>
      <c r="T3413">
        <f>IF('01_Вводные'!$B$234="Да",SUMPRODUCT('19_Расчет_аналитики'!T3456:T3467,CapacityYear2)*'19_Расчет_аналитики'!$F$3247*'06_Сеть_и_дети'!T5,0)</f>
        <v/>
      </c>
      <c r="U3413">
        <f>IF('01_Вводные'!$B$234="Да",SUMPRODUCT('19_Расчет_аналитики'!U3456:U3467,CapacityYear2)*'19_Расчет_аналитики'!$F$3247*'06_Сеть_и_дети'!U5,0)</f>
        <v/>
      </c>
      <c r="V3413">
        <f>IF('01_Вводные'!$B$234="Да",SUMPRODUCT('19_Расчет_аналитики'!V3456:V3467,CapacityYear2)*'19_Расчет_аналитики'!$F$3247*'06_Сеть_и_дети'!V5,0)</f>
        <v/>
      </c>
      <c r="W3413">
        <f>IF('01_Вводные'!$B$234="Да",SUMPRODUCT('19_Расчет_аналитики'!W3456:W3467,CapacityYear2)*'19_Расчет_аналитики'!$F$3247*'06_Сеть_и_дети'!W5,0)</f>
        <v/>
      </c>
      <c r="X3413">
        <f>IF('01_Вводные'!$B$234="Да",SUMPRODUCT('19_Расчет_аналитики'!X3456:X3467,CapacityYear2)*'19_Расчет_аналитики'!$F$3247*'06_Сеть_и_дети'!X5,0)</f>
        <v/>
      </c>
      <c r="Y3413">
        <f>IF('01_Вводные'!$B$234="Да",SUMPRODUCT('19_Расчет_аналитики'!Y3456:Y3467,CapacityYear2)*'19_Расчет_аналитики'!$F$3247*'06_Сеть_и_дети'!Y5,0)</f>
        <v/>
      </c>
      <c r="Z3413">
        <f>IF('01_Вводные'!$B$234="Да",SUMPRODUCT('19_Расчет_аналитики'!Z3456:Z3467,CapacityYear2)*'19_Расчет_аналитики'!$F$3247*'06_Сеть_и_дети'!Z5,0)</f>
        <v/>
      </c>
      <c r="AA3413">
        <f>IF('01_Вводные'!$B$234="Да",SUMPRODUCT('19_Расчет_аналитики'!AA3456:AA3467,CapacityYear2)*'19_Расчет_аналитики'!$F$3247*'06_Сеть_и_дети'!AA5,0)</f>
        <v/>
      </c>
      <c r="AB3413">
        <f>IF('01_Вводные'!$B$234="Да",SUMPRODUCT('19_Расчет_аналитики'!AB3456:AB3467,CapacityYear2)*'19_Расчет_аналитики'!$F$3247*'06_Сеть_и_дети'!AB5,0)</f>
        <v/>
      </c>
      <c r="AC3413">
        <f>IF('01_Вводные'!$B$234="Да",SUMPRODUCT('19_Расчет_аналитики'!AC3456:AC3467,CapacityYear2)*'19_Расчет_аналитики'!$F$3247*'06_Сеть_и_дети'!AC5,0)</f>
        <v/>
      </c>
      <c r="AD3413">
        <f>IF('01_Вводные'!$B$234="Да",SUMPRODUCT('19_Расчет_аналитики'!AD3456:AD3467,CapacityYear2)*'19_Расчет_аналитики'!$F$3247*'06_Сеть_и_дети'!AD5,0)</f>
        <v/>
      </c>
      <c r="AE3413">
        <f>IF('01_Вводные'!$B$234="Да",SUMPRODUCT('19_Расчет_аналитики'!AE3456:AE3467,CapacityYear2)*'19_Расчет_аналитики'!$F$3247*'06_Сеть_и_дети'!AE5,0)</f>
        <v/>
      </c>
      <c r="AF3413">
        <f>IF('01_Вводные'!$B$234="Да",SUMPRODUCT('19_Расчет_аналитики'!AF3456:AF3467,CapacityYear2)*'19_Расчет_аналитики'!$F$3247*'06_Сеть_и_дети'!AF5,0)</f>
        <v/>
      </c>
      <c r="AG3413">
        <f>IF('01_Вводные'!$B$234="Да",SUMPRODUCT('19_Расчет_аналитики'!AG3456:AG3467,CapacityYear2)*'19_Расчет_аналитики'!$F$3247*'06_Сеть_и_дети'!AG5,0)</f>
        <v/>
      </c>
      <c r="AH3413">
        <f>IF('01_Вводные'!$B$234="Да",SUMPRODUCT('19_Расчет_аналитики'!AH3456:AH3467,CapacityYear2)*'19_Расчет_аналитики'!$F$3247*'06_Сеть_и_дети'!AH5,0)</f>
        <v/>
      </c>
      <c r="AI3413">
        <f>IF('01_Вводные'!$B$234="Да",SUMPRODUCT('19_Расчет_аналитики'!AI3456:AI3467,CapacityYear2)*'19_Расчет_аналитики'!$F$3247*'06_Сеть_и_дети'!AI5,0)</f>
        <v/>
      </c>
      <c r="AJ3413">
        <f>IF('01_Вводные'!$B$234="Да",SUMPRODUCT('19_Расчет_аналитики'!AJ3456:AJ3467,CapacityYear2)*'19_Расчет_аналитики'!$F$3247*'06_Сеть_и_дети'!AJ5,0)</f>
        <v/>
      </c>
      <c r="AK3413">
        <f>IF('01_Вводные'!$B$234="Да",SUMPRODUCT('19_Расчет_аналитики'!AK3456:AK3467,CapacityYear2)*'19_Расчет_аналитики'!$F$3247*'06_Сеть_и_дети'!AK5,0)</f>
        <v/>
      </c>
      <c r="AL3413">
        <f>IF('01_Вводные'!$B$234="Да",SUMPRODUCT('19_Расчет_аналитики'!AL3456:AL3467,CapacityYear2)*'19_Расчет_аналитики'!$F$3247*'06_Сеть_и_дети'!AL5,0)</f>
        <v/>
      </c>
      <c r="AM3413">
        <f>IF('01_Вводные'!$B$234="Да",SUMPRODUCT('19_Расчет_аналитики'!AM3456:AM3467,CapacityYear2)*'19_Расчет_аналитики'!$F$3247*'06_Сеть_и_дети'!AM5,0)</f>
        <v/>
      </c>
      <c r="AN3413">
        <f>IF('01_Вводные'!$B$234="Да",SUMPRODUCT('19_Расчет_аналитики'!AN3456:AN3467,CapacityYear2)*'19_Расчет_аналитики'!$F$3247*'06_Сеть_и_дети'!AN5,0)</f>
        <v/>
      </c>
      <c r="AO3413">
        <f>IF('01_Вводные'!$B$234="Да",SUMPRODUCT('19_Расчет_аналитики'!AO3456:AO3467,CapacityYear2)*'19_Расчет_аналитики'!$F$3247*'06_Сеть_и_дети'!AO5,0)</f>
        <v/>
      </c>
      <c r="AP3413">
        <f>IF('01_Вводные'!$B$234="Да",SUMPRODUCT('19_Расчет_аналитики'!AP3456:AP3467,CapacityYear2)*'19_Расчет_аналитики'!$F$3247*'06_Сеть_и_дети'!AP5,0)</f>
        <v/>
      </c>
      <c r="AQ3413">
        <f>IF('01_Вводные'!$B$234="Да",SUMPRODUCT('19_Расчет_аналитики'!AQ3456:AQ3467,CapacityYear2)*'19_Расчет_аналитики'!$F$3247*'06_Сеть_и_дети'!AQ5,0)</f>
        <v/>
      </c>
      <c r="AR3413">
        <f>IF('01_Вводные'!$B$234="Да",SUMPRODUCT('19_Расчет_аналитики'!AR3456:AR3467,CapacityYear2)*'19_Расчет_аналитики'!$F$3247*'06_Сеть_и_дети'!AR5,0)</f>
        <v/>
      </c>
      <c r="AS3413">
        <f>IF('01_Вводные'!$B$234="Да",SUMPRODUCT('19_Расчет_аналитики'!AS3456:AS3467,CapacityYear2)*'19_Расчет_аналитики'!$F$3247*'06_Сеть_и_дети'!AS5,0)</f>
        <v/>
      </c>
      <c r="AT3413">
        <f>IF('01_Вводные'!$B$234="Да",SUMPRODUCT('19_Расчет_аналитики'!AT3456:AT3467,CapacityYear2)*'19_Расчет_аналитики'!$F$3247*'06_Сеть_и_дети'!AT5,0)</f>
        <v/>
      </c>
      <c r="AU3413">
        <f>IF('01_Вводные'!$B$234="Да",SUMPRODUCT('19_Расчет_аналитики'!AU3456:AU3467,CapacityYear2)*'19_Расчет_аналитики'!$F$3247*'06_Сеть_и_дети'!AU5,0)</f>
        <v/>
      </c>
      <c r="AV3413">
        <f>IF('01_Вводные'!$B$234="Да",SUMPRODUCT('19_Расчет_аналитики'!AV3456:AV3467,CapacityYear2)*'19_Расчет_аналитики'!$F$3247*'06_Сеть_и_дети'!AV5,0)</f>
        <v/>
      </c>
      <c r="AW3413">
        <f>IF('01_Вводные'!$B$234="Да",SUMPRODUCT('19_Расчет_аналитики'!AW3456:AW3467,CapacityYear2)*'19_Расчет_аналитики'!$F$3247*'06_Сеть_и_дети'!AW5,0)</f>
        <v/>
      </c>
      <c r="AX3413">
        <f>IF('01_Вводные'!$B$234="Да",SUMPRODUCT('19_Расчет_аналитики'!AX3456:AX3467,CapacityYear2)*'19_Расчет_аналитики'!$F$3247*'06_Сеть_и_дети'!AX5,0)</f>
        <v/>
      </c>
      <c r="AY3413">
        <f>IF('01_Вводные'!$B$234="Да",SUMPRODUCT('19_Расчет_аналитики'!AY3456:AY3467,CapacityYear2)*'19_Расчет_аналитики'!$F$3247*'06_Сеть_и_дети'!AY5,0)</f>
        <v/>
      </c>
      <c r="AZ3413">
        <f>IF('01_Вводные'!$B$234="Да",SUMPRODUCT('19_Расчет_аналитики'!AZ3456:AZ3467,CapacityYear2)*'19_Расчет_аналитики'!$F$3247*'06_Сеть_и_дети'!AZ5,0)</f>
        <v/>
      </c>
      <c r="BA3413">
        <f>IF('01_Вводные'!$B$234="Да",SUMPRODUCT('19_Расчет_аналитики'!BA3456:BA3467,CapacityYear2)*'19_Расчет_аналитики'!$F$3247*'06_Сеть_и_дети'!BA5,0)</f>
        <v/>
      </c>
      <c r="BB3413">
        <f>IF('01_Вводные'!$B$234="Да",SUMPRODUCT('19_Расчет_аналитики'!BB3456:BB3467,CapacityYear2)*'19_Расчет_аналитики'!$F$3247*'06_Сеть_и_дети'!BB5,0)</f>
        <v/>
      </c>
      <c r="BC3413">
        <f>IF('01_Вводные'!$B$234="Да",SUMPRODUCT('19_Расчет_аналитики'!BC3456:BC3467,CapacityYear2)*'19_Расчет_аналитики'!$F$3247*'06_Сеть_и_дети'!BC5,0)</f>
        <v/>
      </c>
      <c r="BD3413">
        <f>IF('01_Вводные'!$B$234="Да",SUMPRODUCT('19_Расчет_аналитики'!BD3456:BD3467,CapacityYear2)*'19_Расчет_аналитики'!$F$3247*'06_Сеть_и_дети'!BD5,0)</f>
        <v/>
      </c>
      <c r="BE3413">
        <f>IF('01_Вводные'!$B$234="Да",SUMPRODUCT('19_Расчет_аналитики'!BE3456:BE3467,CapacityYear2)*'19_Расчет_аналитики'!$F$3247*'06_Сеть_и_дети'!BE5,0)</f>
        <v/>
      </c>
      <c r="BF3413">
        <f>IF('01_Вводные'!$B$234="Да",SUMPRODUCT('19_Расчет_аналитики'!BF3456:BF3467,CapacityYear2)*'19_Расчет_аналитики'!$F$3247*'06_Сеть_и_дети'!BF5,0)</f>
        <v/>
      </c>
      <c r="BG3413">
        <f>IF('01_Вводные'!$B$234="Да",SUMPRODUCT('19_Расчет_аналитики'!BG3456:BG3467,CapacityYear2)*'19_Расчет_аналитики'!$F$3247*'06_Сеть_и_дети'!BG5,0)</f>
        <v/>
      </c>
      <c r="BH3413">
        <f>IF('01_Вводные'!$B$234="Да",SUMPRODUCT('19_Расчет_аналитики'!BH3456:BH3467,CapacityYear2)*'19_Расчет_аналитики'!$F$3247*'06_Сеть_и_дети'!BH5,0)</f>
        <v/>
      </c>
      <c r="BI3413">
        <f>IF('01_Вводные'!$B$234="Да",SUMPRODUCT('19_Расчет_аналитики'!BI3456:BI3467,CapacityYear2)*'19_Расчет_аналитики'!$F$3247*'06_Сеть_и_дети'!BI5,0)</f>
        <v/>
      </c>
      <c r="BJ3413">
        <f>IF('01_Вводные'!$B$234="Да",SUMPRODUCT('19_Расчет_аналитики'!BJ3456:BJ3467,CapacityYear2)*'19_Расчет_аналитики'!$F$3247*'06_Сеть_и_дети'!BJ5,0)</f>
        <v/>
      </c>
      <c r="BK3413">
        <f>IF('01_Вводные'!$B$234="Да",SUMPRODUCT('19_Расчет_аналитики'!BK3456:BK3467,CapacityYear2)*'19_Расчет_аналитики'!$F$3247*'06_Сеть_и_дети'!BK5,0)</f>
        <v/>
      </c>
      <c r="BL3413">
        <f>IF('01_Вводные'!$B$234="Да",SUMPRODUCT('19_Расчет_аналитики'!BL3456:BL3467,CapacityYear2)*'19_Расчет_аналитики'!$F$3247*'06_Сеть_и_дети'!BL5,0)</f>
        <v/>
      </c>
      <c r="BM3413">
        <f>IF('01_Вводные'!$B$234="Да",SUMPRODUCT('19_Расчет_аналитики'!BM3456:BM3467,CapacityYear2)*'19_Расчет_аналитики'!$F$3247*'06_Сеть_и_дети'!BM5,0)</f>
        <v/>
      </c>
      <c r="BN3413">
        <f>IF('01_Вводные'!$B$234="Да",SUMPRODUCT('19_Расчет_аналитики'!BN3456:BN3467,CapacityYear2)*'19_Расчет_аналитики'!$F$3247*'06_Сеть_и_дети'!BN5,0)</f>
        <v/>
      </c>
      <c r="BO3413">
        <f>IF('01_Вводные'!$B$234="Да",SUMPRODUCT('19_Расчет_аналитики'!BO3456:BO3467,CapacityYear2)*'19_Расчет_аналитики'!$F$3247*'06_Сеть_и_дети'!BO5,0)</f>
        <v/>
      </c>
    </row>
    <row r="3414">
      <c r="B3414">
        <f>IF('01_Вводные'!$B$234="Да",'06_Сеть_и_дети'!B77*CapacityAge25*'19_Расчет_аналитики'!$F$3247*'06_Сеть_и_дети'!B5,0)</f>
        <v/>
      </c>
      <c r="C3414">
        <f>IF('01_Вводные'!$B$234="Да",'06_Сеть_и_дети'!C77*CapacityAge25*'19_Расчет_аналитики'!$F$3247*'06_Сеть_и_дети'!C5,0)</f>
        <v/>
      </c>
      <c r="D3414">
        <f>IF('01_Вводные'!$B$234="Да",'06_Сеть_и_дети'!D77*CapacityAge25*'19_Расчет_аналитики'!$F$3247*'06_Сеть_и_дети'!D5,0)</f>
        <v/>
      </c>
      <c r="E3414">
        <f>IF('01_Вводные'!$B$234="Да",'06_Сеть_и_дети'!E77*CapacityAge25*'19_Расчет_аналитики'!$F$3247*'06_Сеть_и_дети'!E5,0)</f>
        <v/>
      </c>
      <c r="F3414">
        <f>IF('01_Вводные'!$B$234="Да",'06_Сеть_и_дети'!F77*CapacityAge25*'19_Расчет_аналитики'!$F$3247*'06_Сеть_и_дети'!F5,0)</f>
        <v/>
      </c>
      <c r="G3414">
        <f>IF('01_Вводные'!$B$234="Да",'06_Сеть_и_дети'!G77*CapacityAge25*'19_Расчет_аналитики'!$F$3247*'06_Сеть_и_дети'!G5,0)</f>
        <v/>
      </c>
      <c r="H3414">
        <f>IF('01_Вводные'!$B$234="Да",'06_Сеть_и_дети'!H77*CapacityAge25*'19_Расчет_аналитики'!$F$3247*'06_Сеть_и_дети'!H5,0)</f>
        <v/>
      </c>
      <c r="I3414">
        <f>IF('01_Вводные'!$B$234="Да",'06_Сеть_и_дети'!I77*CapacityAge25*'19_Расчет_аналитики'!$F$3247*'06_Сеть_и_дети'!I5,0)</f>
        <v/>
      </c>
      <c r="J3414">
        <f>IF('01_Вводные'!$B$234="Да",'06_Сеть_и_дети'!J77*CapacityAge25*'19_Расчет_аналитики'!$F$3247*'06_Сеть_и_дети'!J5,0)</f>
        <v/>
      </c>
      <c r="K3414">
        <f>IF('01_Вводные'!$B$234="Да",'06_Сеть_и_дети'!K77*CapacityAge25*'19_Расчет_аналитики'!$F$3247*'06_Сеть_и_дети'!K5,0)</f>
        <v/>
      </c>
      <c r="L3414">
        <f>IF('01_Вводные'!$B$234="Да",'06_Сеть_и_дети'!L77*CapacityAge25*'19_Расчет_аналитики'!$F$3247*'06_Сеть_и_дети'!L5,0)</f>
        <v/>
      </c>
      <c r="M3414">
        <f>IF('01_Вводные'!$B$234="Да",'06_Сеть_и_дети'!M77*CapacityAge25*'19_Расчет_аналитики'!$F$3247*'06_Сеть_и_дети'!M5,0)</f>
        <v/>
      </c>
      <c r="N3414">
        <f>IF('01_Вводные'!$B$234="Да",'06_Сеть_и_дети'!N77*CapacityAge25*'19_Расчет_аналитики'!$F$3247*'06_Сеть_и_дети'!N5,0)</f>
        <v/>
      </c>
      <c r="O3414">
        <f>IF('01_Вводные'!$B$234="Да",'06_Сеть_и_дети'!O77*CapacityAge25*'19_Расчет_аналитики'!$F$3247*'06_Сеть_и_дети'!O5,0)</f>
        <v/>
      </c>
      <c r="P3414">
        <f>IF('01_Вводные'!$B$234="Да",'06_Сеть_и_дети'!P77*CapacityAge25*'19_Расчет_аналитики'!$F$3247*'06_Сеть_и_дети'!P5,0)</f>
        <v/>
      </c>
      <c r="Q3414">
        <f>IF('01_Вводные'!$B$234="Да",'06_Сеть_и_дети'!Q77*CapacityAge25*'19_Расчет_аналитики'!$F$3247*'06_Сеть_и_дети'!Q5,0)</f>
        <v/>
      </c>
      <c r="R3414">
        <f>IF('01_Вводные'!$B$234="Да",'06_Сеть_и_дети'!R77*CapacityAge25*'19_Расчет_аналитики'!$F$3247*'06_Сеть_и_дети'!R5,0)</f>
        <v/>
      </c>
      <c r="S3414">
        <f>IF('01_Вводные'!$B$234="Да",'06_Сеть_и_дети'!S77*CapacityAge25*'19_Расчет_аналитики'!$F$3247*'06_Сеть_и_дети'!S5,0)</f>
        <v/>
      </c>
      <c r="T3414">
        <f>IF('01_Вводные'!$B$234="Да",'06_Сеть_и_дети'!T77*CapacityAge25*'19_Расчет_аналитики'!$F$3247*'06_Сеть_и_дети'!T5,0)</f>
        <v/>
      </c>
      <c r="U3414">
        <f>IF('01_Вводные'!$B$234="Да",'06_Сеть_и_дети'!U77*CapacityAge25*'19_Расчет_аналитики'!$F$3247*'06_Сеть_и_дети'!U5,0)</f>
        <v/>
      </c>
      <c r="V3414">
        <f>IF('01_Вводные'!$B$234="Да",'06_Сеть_и_дети'!V77*CapacityAge25*'19_Расчет_аналитики'!$F$3247*'06_Сеть_и_дети'!V5,0)</f>
        <v/>
      </c>
      <c r="W3414">
        <f>IF('01_Вводные'!$B$234="Да",'06_Сеть_и_дети'!W77*CapacityAge25*'19_Расчет_аналитики'!$F$3247*'06_Сеть_и_дети'!W5,0)</f>
        <v/>
      </c>
      <c r="X3414">
        <f>IF('01_Вводные'!$B$234="Да",'06_Сеть_и_дети'!X77*CapacityAge25*'19_Расчет_аналитики'!$F$3247*'06_Сеть_и_дети'!X5,0)</f>
        <v/>
      </c>
      <c r="Y3414">
        <f>IF('01_Вводные'!$B$234="Да",'06_Сеть_и_дети'!Y77*CapacityAge25*'19_Расчет_аналитики'!$F$3247*'06_Сеть_и_дети'!Y5,0)</f>
        <v/>
      </c>
      <c r="Z3414">
        <f>IF('01_Вводные'!$B$234="Да",'19_Расчет_аналитики'!Z3468*CapacityAge25*'19_Расчет_аналитики'!$F$3247*'06_Сеть_и_дети'!Z5,0)</f>
        <v/>
      </c>
      <c r="AA3414">
        <f>IF('01_Вводные'!$B$234="Да",'19_Расчет_аналитики'!AA3468*CapacityAge25*'19_Расчет_аналитики'!$F$3247*'06_Сеть_и_дети'!AA5,0)</f>
        <v/>
      </c>
      <c r="AB3414">
        <f>IF('01_Вводные'!$B$234="Да",'19_Расчет_аналитики'!AB3468*CapacityAge25*'19_Расчет_аналитики'!$F$3247*'06_Сеть_и_дети'!AB5,0)</f>
        <v/>
      </c>
      <c r="AC3414">
        <f>IF('01_Вводные'!$B$234="Да",'19_Расчет_аналитики'!AC3468*CapacityAge25*'19_Расчет_аналитики'!$F$3247*'06_Сеть_и_дети'!AC5,0)</f>
        <v/>
      </c>
      <c r="AD3414">
        <f>IF('01_Вводные'!$B$234="Да",'19_Расчет_аналитики'!AD3468*CapacityAge25*'19_Расчет_аналитики'!$F$3247*'06_Сеть_и_дети'!AD5,0)</f>
        <v/>
      </c>
      <c r="AE3414">
        <f>IF('01_Вводные'!$B$234="Да",'19_Расчет_аналитики'!AE3468*CapacityAge25*'19_Расчет_аналитики'!$F$3247*'06_Сеть_и_дети'!AE5,0)</f>
        <v/>
      </c>
      <c r="AF3414">
        <f>IF('01_Вводные'!$B$234="Да",'19_Расчет_аналитики'!AF3468*CapacityAge25*'19_Расчет_аналитики'!$F$3247*'06_Сеть_и_дети'!AF5,0)</f>
        <v/>
      </c>
      <c r="AG3414">
        <f>IF('01_Вводные'!$B$234="Да",'19_Расчет_аналитики'!AG3468*CapacityAge25*'19_Расчет_аналитики'!$F$3247*'06_Сеть_и_дети'!AG5,0)</f>
        <v/>
      </c>
      <c r="AH3414">
        <f>IF('01_Вводные'!$B$234="Да",'19_Расчет_аналитики'!AH3468*CapacityAge25*'19_Расчет_аналитики'!$F$3247*'06_Сеть_и_дети'!AH5,0)</f>
        <v/>
      </c>
      <c r="AI3414">
        <f>IF('01_Вводные'!$B$234="Да",'19_Расчет_аналитики'!AI3468*CapacityAge25*'19_Расчет_аналитики'!$F$3247*'06_Сеть_и_дети'!AI5,0)</f>
        <v/>
      </c>
      <c r="AJ3414">
        <f>IF('01_Вводные'!$B$234="Да",'19_Расчет_аналитики'!AJ3468*CapacityAge25*'19_Расчет_аналитики'!$F$3247*'06_Сеть_и_дети'!AJ5,0)</f>
        <v/>
      </c>
      <c r="AK3414">
        <f>IF('01_Вводные'!$B$234="Да",'19_Расчет_аналитики'!AK3468*CapacityAge25*'19_Расчет_аналитики'!$F$3247*'06_Сеть_и_дети'!AK5,0)</f>
        <v/>
      </c>
      <c r="AL3414">
        <f>IF('01_Вводные'!$B$234="Да",'19_Расчет_аналитики'!AL3468*CapacityAge25*'19_Расчет_аналитики'!$F$3247*'06_Сеть_и_дети'!AL5,0)</f>
        <v/>
      </c>
      <c r="AM3414">
        <f>IF('01_Вводные'!$B$234="Да",'19_Расчет_аналитики'!AM3468*CapacityAge25*'19_Расчет_аналитики'!$F$3247*'06_Сеть_и_дети'!AM5,0)</f>
        <v/>
      </c>
      <c r="AN3414">
        <f>IF('01_Вводные'!$B$234="Да",'19_Расчет_аналитики'!AN3468*CapacityAge25*'19_Расчет_аналитики'!$F$3247*'06_Сеть_и_дети'!AN5,0)</f>
        <v/>
      </c>
      <c r="AO3414">
        <f>IF('01_Вводные'!$B$234="Да",'19_Расчет_аналитики'!AO3468*CapacityAge25*'19_Расчет_аналитики'!$F$3247*'06_Сеть_и_дети'!AO5,0)</f>
        <v/>
      </c>
      <c r="AP3414">
        <f>IF('01_Вводные'!$B$234="Да",'19_Расчет_аналитики'!AP3468*CapacityAge25*'19_Расчет_аналитики'!$F$3247*'06_Сеть_и_дети'!AP5,0)</f>
        <v/>
      </c>
      <c r="AQ3414">
        <f>IF('01_Вводные'!$B$234="Да",'19_Расчет_аналитики'!AQ3468*CapacityAge25*'19_Расчет_аналитики'!$F$3247*'06_Сеть_и_дети'!AQ5,0)</f>
        <v/>
      </c>
      <c r="AR3414">
        <f>IF('01_Вводные'!$B$234="Да",'19_Расчет_аналитики'!AR3468*CapacityAge25*'19_Расчет_аналитики'!$F$3247*'06_Сеть_и_дети'!AR5,0)</f>
        <v/>
      </c>
      <c r="AS3414">
        <f>IF('01_Вводные'!$B$234="Да",'19_Расчет_аналитики'!AS3468*CapacityAge25*'19_Расчет_аналитики'!$F$3247*'06_Сеть_и_дети'!AS5,0)</f>
        <v/>
      </c>
      <c r="AT3414">
        <f>IF('01_Вводные'!$B$234="Да",'19_Расчет_аналитики'!AT3468*CapacityAge25*'19_Расчет_аналитики'!$F$3247*'06_Сеть_и_дети'!AT5,0)</f>
        <v/>
      </c>
      <c r="AU3414">
        <f>IF('01_Вводные'!$B$234="Да",'19_Расчет_аналитики'!AU3468*CapacityAge25*'19_Расчет_аналитики'!$F$3247*'06_Сеть_и_дети'!AU5,0)</f>
        <v/>
      </c>
      <c r="AV3414">
        <f>IF('01_Вводные'!$B$234="Да",'19_Расчет_аналитики'!AV3468*CapacityAge25*'19_Расчет_аналитики'!$F$3247*'06_Сеть_и_дети'!AV5,0)</f>
        <v/>
      </c>
      <c r="AW3414">
        <f>IF('01_Вводные'!$B$234="Да",'19_Расчет_аналитики'!AW3468*CapacityAge25*'19_Расчет_аналитики'!$F$3247*'06_Сеть_и_дети'!AW5,0)</f>
        <v/>
      </c>
      <c r="AX3414">
        <f>IF('01_Вводные'!$B$234="Да",'19_Расчет_аналитики'!AX3468*CapacityAge25*'19_Расчет_аналитики'!$F$3247*'06_Сеть_и_дети'!AX5,0)</f>
        <v/>
      </c>
      <c r="AY3414">
        <f>IF('01_Вводные'!$B$234="Да",'19_Расчет_аналитики'!AY3468*CapacityAge25*'19_Расчет_аналитики'!$F$3247*'06_Сеть_и_дети'!AY5,0)</f>
        <v/>
      </c>
      <c r="AZ3414">
        <f>IF('01_Вводные'!$B$234="Да",'19_Расчет_аналитики'!AZ3468*CapacityAge25*'19_Расчет_аналитики'!$F$3247*'06_Сеть_и_дети'!AZ5,0)</f>
        <v/>
      </c>
      <c r="BA3414">
        <f>IF('01_Вводные'!$B$234="Да",'19_Расчет_аналитики'!BA3468*CapacityAge25*'19_Расчет_аналитики'!$F$3247*'06_Сеть_и_дети'!BA5,0)</f>
        <v/>
      </c>
      <c r="BB3414">
        <f>IF('01_Вводные'!$B$234="Да",'19_Расчет_аналитики'!BB3468*CapacityAge25*'19_Расчет_аналитики'!$F$3247*'06_Сеть_и_дети'!BB5,0)</f>
        <v/>
      </c>
      <c r="BC3414">
        <f>IF('01_Вводные'!$B$234="Да",'19_Расчет_аналитики'!BC3468*CapacityAge25*'19_Расчет_аналитики'!$F$3247*'06_Сеть_и_дети'!BC5,0)</f>
        <v/>
      </c>
      <c r="BD3414">
        <f>IF('01_Вводные'!$B$234="Да",'19_Расчет_аналитики'!BD3468*CapacityAge25*'19_Расчет_аналитики'!$F$3247*'06_Сеть_и_дети'!BD5,0)</f>
        <v/>
      </c>
      <c r="BE3414">
        <f>IF('01_Вводные'!$B$234="Да",'19_Расчет_аналитики'!BE3468*CapacityAge25*'19_Расчет_аналитики'!$F$3247*'06_Сеть_и_дети'!BE5,0)</f>
        <v/>
      </c>
      <c r="BF3414">
        <f>IF('01_Вводные'!$B$234="Да",'19_Расчет_аналитики'!BF3468*CapacityAge25*'19_Расчет_аналитики'!$F$3247*'06_Сеть_и_дети'!BF5,0)</f>
        <v/>
      </c>
      <c r="BG3414">
        <f>IF('01_Вводные'!$B$234="Да",'19_Расчет_аналитики'!BG3468*CapacityAge25*'19_Расчет_аналитики'!$F$3247*'06_Сеть_и_дети'!BG5,0)</f>
        <v/>
      </c>
      <c r="BH3414">
        <f>IF('01_Вводные'!$B$234="Да",'19_Расчет_аналитики'!BH3468*CapacityAge25*'19_Расчет_аналитики'!$F$3247*'06_Сеть_и_дети'!BH5,0)</f>
        <v/>
      </c>
      <c r="BI3414">
        <f>IF('01_Вводные'!$B$234="Да",'19_Расчет_аналитики'!BI3468*CapacityAge25*'19_Расчет_аналитики'!$F$3247*'06_Сеть_и_дети'!BI5,0)</f>
        <v/>
      </c>
      <c r="BJ3414">
        <f>IF('01_Вводные'!$B$234="Да",'19_Расчет_аналитики'!BJ3468*CapacityAge25*'19_Расчет_аналитики'!$F$3247*'06_Сеть_и_дети'!BJ5,0)</f>
        <v/>
      </c>
      <c r="BK3414">
        <f>IF('01_Вводные'!$B$234="Да",'19_Расчет_аналитики'!BK3468*CapacityAge25*'19_Расчет_аналитики'!$F$3247*'06_Сеть_и_дети'!BK5,0)</f>
        <v/>
      </c>
      <c r="BL3414">
        <f>IF('01_Вводные'!$B$234="Да",'19_Расчет_аналитики'!BL3468*CapacityAge25*'19_Расчет_аналитики'!$F$3247*'06_Сеть_и_дети'!BL5,0)</f>
        <v/>
      </c>
      <c r="BM3414">
        <f>IF('01_Вводные'!$B$234="Да",'19_Расчет_аналитики'!BM3468*CapacityAge25*'19_Расчет_аналитики'!$F$3247*'06_Сеть_и_дети'!BM5,0)</f>
        <v/>
      </c>
      <c r="BN3414">
        <f>IF('01_Вводные'!$B$234="Да",'19_Расчет_аналитики'!BN3468*CapacityAge25*'19_Расчет_аналитики'!$F$3247*'06_Сеть_и_дети'!BN5,0)</f>
        <v/>
      </c>
      <c r="BO3414">
        <f>IF('01_Вводные'!$B$234="Да",'19_Расчет_аналитики'!BO3468*CapacityAge25*'19_Расчет_аналитики'!$F$3247*'06_Сеть_и_дети'!BO5,0)</f>
        <v/>
      </c>
    </row>
    <row r="3415">
      <c r="B3415">
        <f>IF('01_Вводные'!$B$234="Да",SUM('19_Расчет_аналитики'!B3412:B3414),0)</f>
        <v/>
      </c>
      <c r="C3415">
        <f>IF('01_Вводные'!$B$234="Да",SUM('19_Расчет_аналитики'!C3412:C3414),0)</f>
        <v/>
      </c>
      <c r="D3415">
        <f>IF('01_Вводные'!$B$234="Да",SUM('19_Расчет_аналитики'!D3412:D3414),0)</f>
        <v/>
      </c>
      <c r="E3415">
        <f>IF('01_Вводные'!$B$234="Да",SUM('19_Расчет_аналитики'!E3412:E3414),0)</f>
        <v/>
      </c>
      <c r="F3415">
        <f>IF('01_Вводные'!$B$234="Да",SUM('19_Расчет_аналитики'!F3412:F3414),0)</f>
        <v/>
      </c>
      <c r="G3415">
        <f>IF('01_Вводные'!$B$234="Да",SUM('19_Расчет_аналитики'!G3412:G3414),0)</f>
        <v/>
      </c>
      <c r="H3415">
        <f>IF('01_Вводные'!$B$234="Да",SUM('19_Расчет_аналитики'!H3412:H3414),0)</f>
        <v/>
      </c>
      <c r="I3415">
        <f>IF('01_Вводные'!$B$234="Да",SUM('19_Расчет_аналитики'!I3412:I3414),0)</f>
        <v/>
      </c>
      <c r="J3415">
        <f>IF('01_Вводные'!$B$234="Да",SUM('19_Расчет_аналитики'!J3412:J3414),0)</f>
        <v/>
      </c>
      <c r="K3415">
        <f>IF('01_Вводные'!$B$234="Да",SUM('19_Расчет_аналитики'!K3412:K3414),0)</f>
        <v/>
      </c>
      <c r="L3415">
        <f>IF('01_Вводные'!$B$234="Да",SUM('19_Расчет_аналитики'!L3412:L3414),0)</f>
        <v/>
      </c>
      <c r="M3415">
        <f>IF('01_Вводные'!$B$234="Да",SUM('19_Расчет_аналитики'!M3412:M3414),0)</f>
        <v/>
      </c>
      <c r="N3415">
        <f>IF('01_Вводные'!$B$234="Да",SUM('19_Расчет_аналитики'!N3412:N3414),0)</f>
        <v/>
      </c>
      <c r="O3415">
        <f>IF('01_Вводные'!$B$234="Да",SUM('19_Расчет_аналитики'!O3412:O3414),0)</f>
        <v/>
      </c>
      <c r="P3415">
        <f>IF('01_Вводные'!$B$234="Да",SUM('19_Расчет_аналитики'!P3412:P3414),0)</f>
        <v/>
      </c>
      <c r="Q3415">
        <f>IF('01_Вводные'!$B$234="Да",SUM('19_Расчет_аналитики'!Q3412:Q3414),0)</f>
        <v/>
      </c>
      <c r="R3415">
        <f>IF('01_Вводные'!$B$234="Да",SUM('19_Расчет_аналитики'!R3412:R3414),0)</f>
        <v/>
      </c>
      <c r="S3415">
        <f>IF('01_Вводные'!$B$234="Да",SUM('19_Расчет_аналитики'!S3412:S3414),0)</f>
        <v/>
      </c>
      <c r="T3415">
        <f>IF('01_Вводные'!$B$234="Да",SUM('19_Расчет_аналитики'!T3412:T3414),0)</f>
        <v/>
      </c>
      <c r="U3415">
        <f>IF('01_Вводные'!$B$234="Да",SUM('19_Расчет_аналитики'!U3412:U3414),0)</f>
        <v/>
      </c>
      <c r="V3415">
        <f>IF('01_Вводные'!$B$234="Да",SUM('19_Расчет_аналитики'!V3412:V3414),0)</f>
        <v/>
      </c>
      <c r="W3415">
        <f>IF('01_Вводные'!$B$234="Да",SUM('19_Расчет_аналитики'!W3412:W3414),0)</f>
        <v/>
      </c>
      <c r="X3415">
        <f>IF('01_Вводные'!$B$234="Да",SUM('19_Расчет_аналитики'!X3412:X3414),0)</f>
        <v/>
      </c>
      <c r="Y3415">
        <f>IF('01_Вводные'!$B$234="Да",SUM('19_Расчет_аналитики'!Y3412:Y3414),0)</f>
        <v/>
      </c>
      <c r="Z3415">
        <f>IF('01_Вводные'!$B$234="Да",SUM('19_Расчет_аналитики'!Z3412:Z3414),0)</f>
        <v/>
      </c>
      <c r="AA3415">
        <f>IF('01_Вводные'!$B$234="Да",SUM('19_Расчет_аналитики'!AA3412:AA3414),0)</f>
        <v/>
      </c>
      <c r="AB3415">
        <f>IF('01_Вводные'!$B$234="Да",SUM('19_Расчет_аналитики'!AB3412:AB3414),0)</f>
        <v/>
      </c>
      <c r="AC3415">
        <f>IF('01_Вводные'!$B$234="Да",SUM('19_Расчет_аналитики'!AC3412:AC3414),0)</f>
        <v/>
      </c>
      <c r="AD3415">
        <f>IF('01_Вводные'!$B$234="Да",SUM('19_Расчет_аналитики'!AD3412:AD3414),0)</f>
        <v/>
      </c>
      <c r="AE3415">
        <f>IF('01_Вводные'!$B$234="Да",SUM('19_Расчет_аналитики'!AE3412:AE3414),0)</f>
        <v/>
      </c>
      <c r="AF3415">
        <f>IF('01_Вводные'!$B$234="Да",SUM('19_Расчет_аналитики'!AF3412:AF3414),0)</f>
        <v/>
      </c>
      <c r="AG3415">
        <f>IF('01_Вводные'!$B$234="Да",SUM('19_Расчет_аналитики'!AG3412:AG3414),0)</f>
        <v/>
      </c>
      <c r="AH3415">
        <f>IF('01_Вводные'!$B$234="Да",SUM('19_Расчет_аналитики'!AH3412:AH3414),0)</f>
        <v/>
      </c>
      <c r="AI3415">
        <f>IF('01_Вводные'!$B$234="Да",SUM('19_Расчет_аналитики'!AI3412:AI3414),0)</f>
        <v/>
      </c>
      <c r="AJ3415">
        <f>IF('01_Вводные'!$B$234="Да",SUM('19_Расчет_аналитики'!AJ3412:AJ3414),0)</f>
        <v/>
      </c>
      <c r="AK3415">
        <f>IF('01_Вводные'!$B$234="Да",SUM('19_Расчет_аналитики'!AK3412:AK3414),0)</f>
        <v/>
      </c>
      <c r="AL3415">
        <f>IF('01_Вводные'!$B$234="Да",SUM('19_Расчет_аналитики'!AL3412:AL3414),0)</f>
        <v/>
      </c>
      <c r="AM3415">
        <f>IF('01_Вводные'!$B$234="Да",SUM('19_Расчет_аналитики'!AM3412:AM3414),0)</f>
        <v/>
      </c>
      <c r="AN3415">
        <f>IF('01_Вводные'!$B$234="Да",SUM('19_Расчет_аналитики'!AN3412:AN3414),0)</f>
        <v/>
      </c>
      <c r="AO3415">
        <f>IF('01_Вводные'!$B$234="Да",SUM('19_Расчет_аналитики'!AO3412:AO3414),0)</f>
        <v/>
      </c>
      <c r="AP3415">
        <f>IF('01_Вводные'!$B$234="Да",SUM('19_Расчет_аналитики'!AP3412:AP3414),0)</f>
        <v/>
      </c>
      <c r="AQ3415">
        <f>IF('01_Вводные'!$B$234="Да",SUM('19_Расчет_аналитики'!AQ3412:AQ3414),0)</f>
        <v/>
      </c>
      <c r="AR3415">
        <f>IF('01_Вводные'!$B$234="Да",SUM('19_Расчет_аналитики'!AR3412:AR3414),0)</f>
        <v/>
      </c>
      <c r="AS3415">
        <f>IF('01_Вводные'!$B$234="Да",SUM('19_Расчет_аналитики'!AS3412:AS3414),0)</f>
        <v/>
      </c>
      <c r="AT3415">
        <f>IF('01_Вводные'!$B$234="Да",SUM('19_Расчет_аналитики'!AT3412:AT3414),0)</f>
        <v/>
      </c>
      <c r="AU3415">
        <f>IF('01_Вводные'!$B$234="Да",SUM('19_Расчет_аналитики'!AU3412:AU3414),0)</f>
        <v/>
      </c>
      <c r="AV3415">
        <f>IF('01_Вводные'!$B$234="Да",SUM('19_Расчет_аналитики'!AV3412:AV3414),0)</f>
        <v/>
      </c>
      <c r="AW3415">
        <f>IF('01_Вводные'!$B$234="Да",SUM('19_Расчет_аналитики'!AW3412:AW3414),0)</f>
        <v/>
      </c>
      <c r="AX3415">
        <f>IF('01_Вводные'!$B$234="Да",SUM('19_Расчет_аналитики'!AX3412:AX3414),0)</f>
        <v/>
      </c>
      <c r="AY3415">
        <f>IF('01_Вводные'!$B$234="Да",SUM('19_Расчет_аналитики'!AY3412:AY3414),0)</f>
        <v/>
      </c>
      <c r="AZ3415">
        <f>IF('01_Вводные'!$B$234="Да",SUM('19_Расчет_аналитики'!AZ3412:AZ3414),0)</f>
        <v/>
      </c>
      <c r="BA3415">
        <f>IF('01_Вводные'!$B$234="Да",SUM('19_Расчет_аналитики'!BA3412:BA3414),0)</f>
        <v/>
      </c>
      <c r="BB3415">
        <f>IF('01_Вводные'!$B$234="Да",SUM('19_Расчет_аналитики'!BB3412:BB3414),0)</f>
        <v/>
      </c>
      <c r="BC3415">
        <f>IF('01_Вводные'!$B$234="Да",SUM('19_Расчет_аналитики'!BC3412:BC3414),0)</f>
        <v/>
      </c>
      <c r="BD3415">
        <f>IF('01_Вводные'!$B$234="Да",SUM('19_Расчет_аналитики'!BD3412:BD3414),0)</f>
        <v/>
      </c>
      <c r="BE3415">
        <f>IF('01_Вводные'!$B$234="Да",SUM('19_Расчет_аналитики'!BE3412:BE3414),0)</f>
        <v/>
      </c>
      <c r="BF3415">
        <f>IF('01_Вводные'!$B$234="Да",SUM('19_Расчет_аналитики'!BF3412:BF3414),0)</f>
        <v/>
      </c>
      <c r="BG3415">
        <f>IF('01_Вводные'!$B$234="Да",SUM('19_Расчет_аналитики'!BG3412:BG3414),0)</f>
        <v/>
      </c>
      <c r="BH3415">
        <f>IF('01_Вводные'!$B$234="Да",SUM('19_Расчет_аналитики'!BH3412:BH3414),0)</f>
        <v/>
      </c>
      <c r="BI3415">
        <f>IF('01_Вводные'!$B$234="Да",SUM('19_Расчет_аналитики'!BI3412:BI3414),0)</f>
        <v/>
      </c>
      <c r="BJ3415">
        <f>IF('01_Вводные'!$B$234="Да",SUM('19_Расчет_аналитики'!BJ3412:BJ3414),0)</f>
        <v/>
      </c>
      <c r="BK3415">
        <f>IF('01_Вводные'!$B$234="Да",SUM('19_Расчет_аналитики'!BK3412:BK3414),0)</f>
        <v/>
      </c>
      <c r="BL3415">
        <f>IF('01_Вводные'!$B$234="Да",SUM('19_Расчет_аналитики'!BL3412:BL3414),0)</f>
        <v/>
      </c>
      <c r="BM3415">
        <f>IF('01_Вводные'!$B$234="Да",SUM('19_Расчет_аналитики'!BM3412:BM3414),0)</f>
        <v/>
      </c>
      <c r="BN3415">
        <f>IF('01_Вводные'!$B$234="Да",SUM('19_Расчет_аналитики'!BN3412:BN3414),0)</f>
        <v/>
      </c>
      <c r="BO3415">
        <f>IF('01_Вводные'!$B$234="Да",SUM('19_Расчет_аналитики'!BO3412:BO3414),0)</f>
        <v/>
      </c>
    </row>
    <row r="3416">
      <c r="B3416">
        <f>IF('01_Вводные'!$B$234="Да",'06_Сеть_и_дети'!B20+'19_Расчет_аналитики'!B3415,0)</f>
        <v/>
      </c>
      <c r="C3416">
        <f>IF('01_Вводные'!$B$234="Да",'06_Сеть_и_дети'!C20+'19_Расчет_аналитики'!C3415,0)</f>
        <v/>
      </c>
      <c r="D3416">
        <f>IF('01_Вводные'!$B$234="Да",'06_Сеть_и_дети'!D20+'19_Расчет_аналитики'!D3415,0)</f>
        <v/>
      </c>
      <c r="E3416">
        <f>IF('01_Вводные'!$B$234="Да",'06_Сеть_и_дети'!E20+'19_Расчет_аналитики'!E3415,0)</f>
        <v/>
      </c>
      <c r="F3416">
        <f>IF('01_Вводные'!$B$234="Да",'06_Сеть_и_дети'!F20+'19_Расчет_аналитики'!F3415,0)</f>
        <v/>
      </c>
      <c r="G3416">
        <f>IF('01_Вводные'!$B$234="Да",'06_Сеть_и_дети'!G20+'19_Расчет_аналитики'!G3415,0)</f>
        <v/>
      </c>
      <c r="H3416">
        <f>IF('01_Вводные'!$B$234="Да",'06_Сеть_и_дети'!H20+'19_Расчет_аналитики'!H3415,0)</f>
        <v/>
      </c>
      <c r="I3416">
        <f>IF('01_Вводные'!$B$234="Да",'06_Сеть_и_дети'!I20+'19_Расчет_аналитики'!I3415,0)</f>
        <v/>
      </c>
      <c r="J3416">
        <f>IF('01_Вводные'!$B$234="Да",'06_Сеть_и_дети'!J20+'19_Расчет_аналитики'!J3415,0)</f>
        <v/>
      </c>
      <c r="K3416">
        <f>IF('01_Вводные'!$B$234="Да",'06_Сеть_и_дети'!K20+'19_Расчет_аналитики'!K3415,0)</f>
        <v/>
      </c>
      <c r="L3416">
        <f>IF('01_Вводные'!$B$234="Да",'06_Сеть_и_дети'!L20+'19_Расчет_аналитики'!L3415,0)</f>
        <v/>
      </c>
      <c r="M3416">
        <f>IF('01_Вводные'!$B$234="Да",'06_Сеть_и_дети'!M20+'19_Расчет_аналитики'!M3415,0)</f>
        <v/>
      </c>
      <c r="N3416">
        <f>IF('01_Вводные'!$B$234="Да",'06_Сеть_и_дети'!N20+'19_Расчет_аналитики'!N3415,0)</f>
        <v/>
      </c>
      <c r="O3416">
        <f>IF('01_Вводные'!$B$234="Да",'06_Сеть_и_дети'!O20+'19_Расчет_аналитики'!O3415,0)</f>
        <v/>
      </c>
      <c r="P3416">
        <f>IF('01_Вводные'!$B$234="Да",'06_Сеть_и_дети'!P20+'19_Расчет_аналитики'!P3415,0)</f>
        <v/>
      </c>
      <c r="Q3416">
        <f>IF('01_Вводные'!$B$234="Да",'06_Сеть_и_дети'!Q20+'19_Расчет_аналитики'!Q3415,0)</f>
        <v/>
      </c>
      <c r="R3416">
        <f>IF('01_Вводные'!$B$234="Да",'06_Сеть_и_дети'!R20+'19_Расчет_аналитики'!R3415,0)</f>
        <v/>
      </c>
      <c r="S3416">
        <f>IF('01_Вводные'!$B$234="Да",'06_Сеть_и_дети'!S20+'19_Расчет_аналитики'!S3415,0)</f>
        <v/>
      </c>
      <c r="T3416">
        <f>IF('01_Вводные'!$B$234="Да",'06_Сеть_и_дети'!T20+'19_Расчет_аналитики'!T3415,0)</f>
        <v/>
      </c>
      <c r="U3416">
        <f>IF('01_Вводные'!$B$234="Да",'06_Сеть_и_дети'!U20+'19_Расчет_аналитики'!U3415,0)</f>
        <v/>
      </c>
      <c r="V3416">
        <f>IF('01_Вводные'!$B$234="Да",'06_Сеть_и_дети'!V20+'19_Расчет_аналитики'!V3415,0)</f>
        <v/>
      </c>
      <c r="W3416">
        <f>IF('01_Вводные'!$B$234="Да",'06_Сеть_и_дети'!W20+'19_Расчет_аналитики'!W3415,0)</f>
        <v/>
      </c>
      <c r="X3416">
        <f>IF('01_Вводные'!$B$234="Да",'06_Сеть_и_дети'!X20+'19_Расчет_аналитики'!X3415,0)</f>
        <v/>
      </c>
      <c r="Y3416">
        <f>IF('01_Вводные'!$B$234="Да",'06_Сеть_и_дети'!Y20+'19_Расчет_аналитики'!Y3415,0)</f>
        <v/>
      </c>
      <c r="Z3416">
        <f>IF('01_Вводные'!$B$234="Да",'06_Сеть_и_дети'!Z20+'19_Расчет_аналитики'!Z3415,0)</f>
        <v/>
      </c>
      <c r="AA3416">
        <f>IF('01_Вводные'!$B$234="Да",'06_Сеть_и_дети'!AA20+'19_Расчет_аналитики'!AA3415,0)</f>
        <v/>
      </c>
      <c r="AB3416">
        <f>IF('01_Вводные'!$B$234="Да",'06_Сеть_и_дети'!AB20+'19_Расчет_аналитики'!AB3415,0)</f>
        <v/>
      </c>
      <c r="AC3416">
        <f>IF('01_Вводные'!$B$234="Да",'06_Сеть_и_дети'!AC20+'19_Расчет_аналитики'!AC3415,0)</f>
        <v/>
      </c>
      <c r="AD3416">
        <f>IF('01_Вводные'!$B$234="Да",'06_Сеть_и_дети'!AD20+'19_Расчет_аналитики'!AD3415,0)</f>
        <v/>
      </c>
      <c r="AE3416">
        <f>IF('01_Вводные'!$B$234="Да",'06_Сеть_и_дети'!AE20+'19_Расчет_аналитики'!AE3415,0)</f>
        <v/>
      </c>
      <c r="AF3416">
        <f>IF('01_Вводные'!$B$234="Да",'06_Сеть_и_дети'!AF20+'19_Расчет_аналитики'!AF3415,0)</f>
        <v/>
      </c>
      <c r="AG3416">
        <f>IF('01_Вводные'!$B$234="Да",'06_Сеть_и_дети'!AG20+'19_Расчет_аналитики'!AG3415,0)</f>
        <v/>
      </c>
      <c r="AH3416">
        <f>IF('01_Вводные'!$B$234="Да",'06_Сеть_и_дети'!AH20+'19_Расчет_аналитики'!AH3415,0)</f>
        <v/>
      </c>
      <c r="AI3416">
        <f>IF('01_Вводные'!$B$234="Да",'06_Сеть_и_дети'!AI20+'19_Расчет_аналитики'!AI3415,0)</f>
        <v/>
      </c>
      <c r="AJ3416">
        <f>IF('01_Вводные'!$B$234="Да",'06_Сеть_и_дети'!AJ20+'19_Расчет_аналитики'!AJ3415,0)</f>
        <v/>
      </c>
      <c r="AK3416">
        <f>IF('01_Вводные'!$B$234="Да",'06_Сеть_и_дети'!AK20+'19_Расчет_аналитики'!AK3415,0)</f>
        <v/>
      </c>
      <c r="AL3416">
        <f>IF('01_Вводные'!$B$234="Да",'06_Сеть_и_дети'!AL20+'19_Расчет_аналитики'!AL3415,0)</f>
        <v/>
      </c>
      <c r="AM3416">
        <f>IF('01_Вводные'!$B$234="Да",'06_Сеть_и_дети'!AM20+'19_Расчет_аналитики'!AM3415,0)</f>
        <v/>
      </c>
      <c r="AN3416">
        <f>IF('01_Вводные'!$B$234="Да",'06_Сеть_и_дети'!AN20+'19_Расчет_аналитики'!AN3415,0)</f>
        <v/>
      </c>
      <c r="AO3416">
        <f>IF('01_Вводные'!$B$234="Да",'06_Сеть_и_дети'!AO20+'19_Расчет_аналитики'!AO3415,0)</f>
        <v/>
      </c>
      <c r="AP3416">
        <f>IF('01_Вводные'!$B$234="Да",'06_Сеть_и_дети'!AP20+'19_Расчет_аналитики'!AP3415,0)</f>
        <v/>
      </c>
      <c r="AQ3416">
        <f>IF('01_Вводные'!$B$234="Да",'06_Сеть_и_дети'!AQ20+'19_Расчет_аналитики'!AQ3415,0)</f>
        <v/>
      </c>
      <c r="AR3416">
        <f>IF('01_Вводные'!$B$234="Да",'06_Сеть_и_дети'!AR20+'19_Расчет_аналитики'!AR3415,0)</f>
        <v/>
      </c>
      <c r="AS3416">
        <f>IF('01_Вводные'!$B$234="Да",'06_Сеть_и_дети'!AS20+'19_Расчет_аналитики'!AS3415,0)</f>
        <v/>
      </c>
      <c r="AT3416">
        <f>IF('01_Вводные'!$B$234="Да",'06_Сеть_и_дети'!AT20+'19_Расчет_аналитики'!AT3415,0)</f>
        <v/>
      </c>
      <c r="AU3416">
        <f>IF('01_Вводные'!$B$234="Да",'06_Сеть_и_дети'!AU20+'19_Расчет_аналитики'!AU3415,0)</f>
        <v/>
      </c>
      <c r="AV3416">
        <f>IF('01_Вводные'!$B$234="Да",'06_Сеть_и_дети'!AV20+'19_Расчет_аналитики'!AV3415,0)</f>
        <v/>
      </c>
      <c r="AW3416">
        <f>IF('01_Вводные'!$B$234="Да",'06_Сеть_и_дети'!AW20+'19_Расчет_аналитики'!AW3415,0)</f>
        <v/>
      </c>
      <c r="AX3416">
        <f>IF('01_Вводные'!$B$234="Да",'06_Сеть_и_дети'!AX20+'19_Расчет_аналитики'!AX3415,0)</f>
        <v/>
      </c>
      <c r="AY3416">
        <f>IF('01_Вводные'!$B$234="Да",'06_Сеть_и_дети'!AY20+'19_Расчет_аналитики'!AY3415,0)</f>
        <v/>
      </c>
      <c r="AZ3416">
        <f>IF('01_Вводные'!$B$234="Да",'06_Сеть_и_дети'!AZ20+'19_Расчет_аналитики'!AZ3415,0)</f>
        <v/>
      </c>
      <c r="BA3416">
        <f>IF('01_Вводные'!$B$234="Да",'06_Сеть_и_дети'!BA20+'19_Расчет_аналитики'!BA3415,0)</f>
        <v/>
      </c>
      <c r="BB3416">
        <f>IF('01_Вводные'!$B$234="Да",'06_Сеть_и_дети'!BB20+'19_Расчет_аналитики'!BB3415,0)</f>
        <v/>
      </c>
      <c r="BC3416">
        <f>IF('01_Вводные'!$B$234="Да",'06_Сеть_и_дети'!BC20+'19_Расчет_аналитики'!BC3415,0)</f>
        <v/>
      </c>
      <c r="BD3416">
        <f>IF('01_Вводные'!$B$234="Да",'06_Сеть_и_дети'!BD20+'19_Расчет_аналитики'!BD3415,0)</f>
        <v/>
      </c>
      <c r="BE3416">
        <f>IF('01_Вводные'!$B$234="Да",'06_Сеть_и_дети'!BE20+'19_Расчет_аналитики'!BE3415,0)</f>
        <v/>
      </c>
      <c r="BF3416">
        <f>IF('01_Вводные'!$B$234="Да",'06_Сеть_и_дети'!BF20+'19_Расчет_аналитики'!BF3415,0)</f>
        <v/>
      </c>
      <c r="BG3416">
        <f>IF('01_Вводные'!$B$234="Да",'06_Сеть_и_дети'!BG20+'19_Расчет_аналитики'!BG3415,0)</f>
        <v/>
      </c>
      <c r="BH3416">
        <f>IF('01_Вводные'!$B$234="Да",'06_Сеть_и_дети'!BH20+'19_Расчет_аналитики'!BH3415,0)</f>
        <v/>
      </c>
      <c r="BI3416">
        <f>IF('01_Вводные'!$B$234="Да",'06_Сеть_и_дети'!BI20+'19_Расчет_аналитики'!BI3415,0)</f>
        <v/>
      </c>
      <c r="BJ3416">
        <f>IF('01_Вводные'!$B$234="Да",'06_Сеть_и_дети'!BJ20+'19_Расчет_аналитики'!BJ3415,0)</f>
        <v/>
      </c>
      <c r="BK3416">
        <f>IF('01_Вводные'!$B$234="Да",'06_Сеть_и_дети'!BK20+'19_Расчет_аналитики'!BK3415,0)</f>
        <v/>
      </c>
      <c r="BL3416">
        <f>IF('01_Вводные'!$B$234="Да",'06_Сеть_и_дети'!BL20+'19_Расчет_аналитики'!BL3415,0)</f>
        <v/>
      </c>
      <c r="BM3416">
        <f>IF('01_Вводные'!$B$234="Да",'06_Сеть_и_дети'!BM20+'19_Расчет_аналитики'!BM3415,0)</f>
        <v/>
      </c>
      <c r="BN3416">
        <f>IF('01_Вводные'!$B$234="Да",'06_Сеть_и_дети'!BN20+'19_Расчет_аналитики'!BN3415,0)</f>
        <v/>
      </c>
      <c r="BO3416">
        <f>IF('01_Вводные'!$B$234="Да",'06_Сеть_и_дети'!BO20+'19_Расчет_аналитики'!BO3415,0)</f>
        <v/>
      </c>
    </row>
    <row r="3417"/>
    <row r="3418"/>
    <row r="3419">
      <c r="B3419">
        <f>IF('01_Вводные'!$B$234="Да",SUMPRODUCT(('01_Вводные'!$D$314:$D$318*'01_Вводные'!$B$314:$B$318*IF('01_Вводные'!$B$9=0,0,'06_Сеть_и_дети'!B11/'01_Вводные'!$B$9)+'06_Сеть_и_дети'!B20*'19_Расчет_аналитики'!B3842*'01_Вводные'!$C$314:$C$318*('01_Вводные'!$E$314:$E$318*('06_Сеть_и_дети'!B$3&lt;'01_Вводные'!$B$245)+'01_Вводные'!$B$57*('06_Сеть_и_дети'!B$3&gt;='01_Вводные'!$B$245))+ABS('01_Вводные'!$D$314:$D$318*'01_Вводные'!$B$314:$B$318*IF('01_Вводные'!$B$9=0,0,'06_Сеть_и_дети'!B11/'01_Вводные'!$B$9)-'06_Сеть_и_дети'!B20*'19_Расчет_аналитики'!B3842*'01_Вводные'!$C$314:$C$318*('01_Вводные'!$E$314:$E$318*('06_Сеть_и_дети'!B$3&lt;'01_Вводные'!$B$245)+'01_Вводные'!$B$57*('06_Сеть_и_дети'!B$3&gt;='01_Вводные'!$B$245))))/2),0)</f>
        <v/>
      </c>
      <c r="C3419">
        <f>IF('01_Вводные'!$B$234="Да",SUMPRODUCT(('01_Вводные'!$D$314:$D$318*'01_Вводные'!$B$314:$B$318*IF('01_Вводные'!$B$9=0,0,'06_Сеть_и_дети'!C11/'01_Вводные'!$B$9)+'06_Сеть_и_дети'!C20*'19_Расчет_аналитики'!C3842*'01_Вводные'!$C$314:$C$318*('01_Вводные'!$E$314:$E$318*('06_Сеть_и_дети'!C$3&lt;'01_Вводные'!$B$245)+'01_Вводные'!$B$57*('06_Сеть_и_дети'!C$3&gt;='01_Вводные'!$B$245))+ABS('01_Вводные'!$D$314:$D$318*'01_Вводные'!$B$314:$B$318*IF('01_Вводные'!$B$9=0,0,'06_Сеть_и_дети'!C11/'01_Вводные'!$B$9)-'06_Сеть_и_дети'!C20*'19_Расчет_аналитики'!C3842*'01_Вводные'!$C$314:$C$318*('01_Вводные'!$E$314:$E$318*('06_Сеть_и_дети'!C$3&lt;'01_Вводные'!$B$245)+'01_Вводные'!$B$57*('06_Сеть_и_дети'!C$3&gt;='01_Вводные'!$B$245))))/2),0)</f>
        <v/>
      </c>
      <c r="D3419">
        <f>IF('01_Вводные'!$B$234="Да",SUMPRODUCT(('01_Вводные'!$D$314:$D$318*'01_Вводные'!$B$314:$B$318*IF('01_Вводные'!$B$9=0,0,'06_Сеть_и_дети'!D11/'01_Вводные'!$B$9)+'06_Сеть_и_дети'!D20*'19_Расчет_аналитики'!D3842*'01_Вводные'!$C$314:$C$318*('01_Вводные'!$E$314:$E$318*('06_Сеть_и_дети'!D$3&lt;'01_Вводные'!$B$245)+'01_Вводные'!$B$57*('06_Сеть_и_дети'!D$3&gt;='01_Вводные'!$B$245))+ABS('01_Вводные'!$D$314:$D$318*'01_Вводные'!$B$314:$B$318*IF('01_Вводные'!$B$9=0,0,'06_Сеть_и_дети'!D11/'01_Вводные'!$B$9)-'06_Сеть_и_дети'!D20*'19_Расчет_аналитики'!D3842*'01_Вводные'!$C$314:$C$318*('01_Вводные'!$E$314:$E$318*('06_Сеть_и_дети'!D$3&lt;'01_Вводные'!$B$245)+'01_Вводные'!$B$57*('06_Сеть_и_дети'!D$3&gt;='01_Вводные'!$B$245))))/2),0)</f>
        <v/>
      </c>
      <c r="E3419">
        <f>IF('01_Вводные'!$B$234="Да",SUMPRODUCT(('01_Вводные'!$D$314:$D$318*'01_Вводные'!$B$314:$B$318*IF('01_Вводные'!$B$9=0,0,'06_Сеть_и_дети'!E11/'01_Вводные'!$B$9)+'06_Сеть_и_дети'!E20*'19_Расчет_аналитики'!E3842*'01_Вводные'!$C$314:$C$318*('01_Вводные'!$E$314:$E$318*('06_Сеть_и_дети'!E$3&lt;'01_Вводные'!$B$245)+'01_Вводные'!$B$57*('06_Сеть_и_дети'!E$3&gt;='01_Вводные'!$B$245))+ABS('01_Вводные'!$D$314:$D$318*'01_Вводные'!$B$314:$B$318*IF('01_Вводные'!$B$9=0,0,'06_Сеть_и_дети'!E11/'01_Вводные'!$B$9)-'06_Сеть_и_дети'!E20*'19_Расчет_аналитики'!E3842*'01_Вводные'!$C$314:$C$318*('01_Вводные'!$E$314:$E$318*('06_Сеть_и_дети'!E$3&lt;'01_Вводные'!$B$245)+'01_Вводные'!$B$57*('06_Сеть_и_дети'!E$3&gt;='01_Вводные'!$B$245))))/2),0)</f>
        <v/>
      </c>
      <c r="F3419">
        <f>IF('01_Вводные'!$B$234="Да",SUMPRODUCT(('01_Вводные'!$D$314:$D$318*'01_Вводные'!$B$314:$B$318*IF('01_Вводные'!$B$9=0,0,'06_Сеть_и_дети'!F11/'01_Вводные'!$B$9)+'06_Сеть_и_дети'!F20*'19_Расчет_аналитики'!F3842*'01_Вводные'!$C$314:$C$318*('01_Вводные'!$E$314:$E$318*('06_Сеть_и_дети'!F$3&lt;'01_Вводные'!$B$245)+'01_Вводные'!$B$57*('06_Сеть_и_дети'!F$3&gt;='01_Вводные'!$B$245))+ABS('01_Вводные'!$D$314:$D$318*'01_Вводные'!$B$314:$B$318*IF('01_Вводные'!$B$9=0,0,'06_Сеть_и_дети'!F11/'01_Вводные'!$B$9)-'06_Сеть_и_дети'!F20*'19_Расчет_аналитики'!F3842*'01_Вводные'!$C$314:$C$318*('01_Вводные'!$E$314:$E$318*('06_Сеть_и_дети'!F$3&lt;'01_Вводные'!$B$245)+'01_Вводные'!$B$57*('06_Сеть_и_дети'!F$3&gt;='01_Вводные'!$B$245))))/2),0)</f>
        <v/>
      </c>
      <c r="G3419">
        <f>IF('01_Вводные'!$B$234="Да",SUMPRODUCT(('01_Вводные'!$D$314:$D$318*'01_Вводные'!$B$314:$B$318*IF('01_Вводные'!$B$9=0,0,'06_Сеть_и_дети'!G11/'01_Вводные'!$B$9)+'06_Сеть_и_дети'!G20*'19_Расчет_аналитики'!G3842*'01_Вводные'!$C$314:$C$318*('01_Вводные'!$E$314:$E$318*('06_Сеть_и_дети'!G$3&lt;'01_Вводные'!$B$245)+'01_Вводные'!$B$57*('06_Сеть_и_дети'!G$3&gt;='01_Вводные'!$B$245))+ABS('01_Вводные'!$D$314:$D$318*'01_Вводные'!$B$314:$B$318*IF('01_Вводные'!$B$9=0,0,'06_Сеть_и_дети'!G11/'01_Вводные'!$B$9)-'06_Сеть_и_дети'!G20*'19_Расчет_аналитики'!G3842*'01_Вводные'!$C$314:$C$318*('01_Вводные'!$E$314:$E$318*('06_Сеть_и_дети'!G$3&lt;'01_Вводные'!$B$245)+'01_Вводные'!$B$57*('06_Сеть_и_дети'!G$3&gt;='01_Вводные'!$B$245))))/2),0)</f>
        <v/>
      </c>
      <c r="H3419">
        <f>IF('01_Вводные'!$B$234="Да",SUMPRODUCT(('01_Вводные'!$D$314:$D$318*'01_Вводные'!$B$314:$B$318*IF('01_Вводные'!$B$9=0,0,'06_Сеть_и_дети'!H11/'01_Вводные'!$B$9)+'06_Сеть_и_дети'!H20*'19_Расчет_аналитики'!H3842*'01_Вводные'!$C$314:$C$318*('01_Вводные'!$E$314:$E$318*('06_Сеть_и_дети'!H$3&lt;'01_Вводные'!$B$245)+'01_Вводные'!$B$57*('06_Сеть_и_дети'!H$3&gt;='01_Вводные'!$B$245))+ABS('01_Вводные'!$D$314:$D$318*'01_Вводные'!$B$314:$B$318*IF('01_Вводные'!$B$9=0,0,'06_Сеть_и_дети'!H11/'01_Вводные'!$B$9)-'06_Сеть_и_дети'!H20*'19_Расчет_аналитики'!H3842*'01_Вводные'!$C$314:$C$318*('01_Вводные'!$E$314:$E$318*('06_Сеть_и_дети'!H$3&lt;'01_Вводные'!$B$245)+'01_Вводные'!$B$57*('06_Сеть_и_дети'!H$3&gt;='01_Вводные'!$B$245))))/2),0)</f>
        <v/>
      </c>
      <c r="I3419">
        <f>IF('01_Вводные'!$B$234="Да",SUMPRODUCT(('01_Вводные'!$D$314:$D$318*'01_Вводные'!$B$314:$B$318*IF('01_Вводные'!$B$9=0,0,'06_Сеть_и_дети'!I11/'01_Вводные'!$B$9)+'06_Сеть_и_дети'!I20*'19_Расчет_аналитики'!I3842*'01_Вводные'!$C$314:$C$318*('01_Вводные'!$E$314:$E$318*('06_Сеть_и_дети'!I$3&lt;'01_Вводные'!$B$245)+'01_Вводные'!$B$57*('06_Сеть_и_дети'!I$3&gt;='01_Вводные'!$B$245))+ABS('01_Вводные'!$D$314:$D$318*'01_Вводные'!$B$314:$B$318*IF('01_Вводные'!$B$9=0,0,'06_Сеть_и_дети'!I11/'01_Вводные'!$B$9)-'06_Сеть_и_дети'!I20*'19_Расчет_аналитики'!I3842*'01_Вводные'!$C$314:$C$318*('01_Вводные'!$E$314:$E$318*('06_Сеть_и_дети'!I$3&lt;'01_Вводные'!$B$245)+'01_Вводные'!$B$57*('06_Сеть_и_дети'!I$3&gt;='01_Вводные'!$B$245))))/2),0)</f>
        <v/>
      </c>
      <c r="J3419">
        <f>IF('01_Вводные'!$B$234="Да",SUMPRODUCT(('01_Вводные'!$D$314:$D$318*'01_Вводные'!$B$314:$B$318*IF('01_Вводные'!$B$9=0,0,'06_Сеть_и_дети'!J11/'01_Вводные'!$B$9)+'06_Сеть_и_дети'!J20*'19_Расчет_аналитики'!J3842*'01_Вводные'!$C$314:$C$318*('01_Вводные'!$E$314:$E$318*('06_Сеть_и_дети'!J$3&lt;'01_Вводные'!$B$245)+'01_Вводные'!$B$57*('06_Сеть_и_дети'!J$3&gt;='01_Вводные'!$B$245))+ABS('01_Вводные'!$D$314:$D$318*'01_Вводные'!$B$314:$B$318*IF('01_Вводные'!$B$9=0,0,'06_Сеть_и_дети'!J11/'01_Вводные'!$B$9)-'06_Сеть_и_дети'!J20*'19_Расчет_аналитики'!J3842*'01_Вводные'!$C$314:$C$318*('01_Вводные'!$E$314:$E$318*('06_Сеть_и_дети'!J$3&lt;'01_Вводные'!$B$245)+'01_Вводные'!$B$57*('06_Сеть_и_дети'!J$3&gt;='01_Вводные'!$B$245))))/2),0)</f>
        <v/>
      </c>
      <c r="K3419">
        <f>IF('01_Вводные'!$B$234="Да",SUMPRODUCT(('01_Вводные'!$D$314:$D$318*'01_Вводные'!$B$314:$B$318*IF('01_Вводные'!$B$9=0,0,'06_Сеть_и_дети'!K11/'01_Вводные'!$B$9)+'06_Сеть_и_дети'!K20*'19_Расчет_аналитики'!K3842*'01_Вводные'!$C$314:$C$318*('01_Вводные'!$E$314:$E$318*('06_Сеть_и_дети'!K$3&lt;'01_Вводные'!$B$245)+'01_Вводные'!$B$57*('06_Сеть_и_дети'!K$3&gt;='01_Вводные'!$B$245))+ABS('01_Вводные'!$D$314:$D$318*'01_Вводные'!$B$314:$B$318*IF('01_Вводные'!$B$9=0,0,'06_Сеть_и_дети'!K11/'01_Вводные'!$B$9)-'06_Сеть_и_дети'!K20*'19_Расчет_аналитики'!K3842*'01_Вводные'!$C$314:$C$318*('01_Вводные'!$E$314:$E$318*('06_Сеть_и_дети'!K$3&lt;'01_Вводные'!$B$245)+'01_Вводные'!$B$57*('06_Сеть_и_дети'!K$3&gt;='01_Вводные'!$B$245))))/2),0)</f>
        <v/>
      </c>
      <c r="L3419">
        <f>IF('01_Вводные'!$B$234="Да",SUMPRODUCT(('01_Вводные'!$D$314:$D$318*'01_Вводные'!$B$314:$B$318*IF('01_Вводные'!$B$9=0,0,'06_Сеть_и_дети'!L11/'01_Вводные'!$B$9)+'06_Сеть_и_дети'!L20*'19_Расчет_аналитики'!L3842*'01_Вводные'!$C$314:$C$318*('01_Вводные'!$E$314:$E$318*('06_Сеть_и_дети'!L$3&lt;'01_Вводные'!$B$245)+'01_Вводные'!$B$57*('06_Сеть_и_дети'!L$3&gt;='01_Вводные'!$B$245))+ABS('01_Вводные'!$D$314:$D$318*'01_Вводные'!$B$314:$B$318*IF('01_Вводные'!$B$9=0,0,'06_Сеть_и_дети'!L11/'01_Вводные'!$B$9)-'06_Сеть_и_дети'!L20*'19_Расчет_аналитики'!L3842*'01_Вводные'!$C$314:$C$318*('01_Вводные'!$E$314:$E$318*('06_Сеть_и_дети'!L$3&lt;'01_Вводные'!$B$245)+'01_Вводные'!$B$57*('06_Сеть_и_дети'!L$3&gt;='01_Вводные'!$B$245))))/2),0)</f>
        <v/>
      </c>
      <c r="M3419">
        <f>IF('01_Вводные'!$B$234="Да",SUMPRODUCT(('01_Вводные'!$D$314:$D$318*'01_Вводные'!$B$314:$B$318*IF('01_Вводные'!$B$9=0,0,'06_Сеть_и_дети'!M11/'01_Вводные'!$B$9)+'06_Сеть_и_дети'!M20*'19_Расчет_аналитики'!M3842*'01_Вводные'!$C$314:$C$318*('01_Вводные'!$E$314:$E$318*('06_Сеть_и_дети'!M$3&lt;'01_Вводные'!$B$245)+'01_Вводные'!$B$57*('06_Сеть_и_дети'!M$3&gt;='01_Вводные'!$B$245))+ABS('01_Вводные'!$D$314:$D$318*'01_Вводные'!$B$314:$B$318*IF('01_Вводные'!$B$9=0,0,'06_Сеть_и_дети'!M11/'01_Вводные'!$B$9)-'06_Сеть_и_дети'!M20*'19_Расчет_аналитики'!M3842*'01_Вводные'!$C$314:$C$318*('01_Вводные'!$E$314:$E$318*('06_Сеть_и_дети'!M$3&lt;'01_Вводные'!$B$245)+'01_Вводные'!$B$57*('06_Сеть_и_дети'!M$3&gt;='01_Вводные'!$B$245))))/2),0)</f>
        <v/>
      </c>
      <c r="N3419">
        <f>IF('01_Вводные'!$B$234="Да",SUMPRODUCT(('01_Вводные'!$D$314:$D$318*'01_Вводные'!$B$314:$B$318*IF('01_Вводные'!$B$9=0,0,'06_Сеть_и_дети'!N11/'01_Вводные'!$B$9)+'06_Сеть_и_дети'!N20*'19_Расчет_аналитики'!N3842*'01_Вводные'!$C$314:$C$318*('01_Вводные'!$E$314:$E$318*('06_Сеть_и_дети'!N$3&lt;'01_Вводные'!$B$245)+'01_Вводные'!$B$57*('06_Сеть_и_дети'!N$3&gt;='01_Вводные'!$B$245))+ABS('01_Вводные'!$D$314:$D$318*'01_Вводные'!$B$314:$B$318*IF('01_Вводные'!$B$9=0,0,'06_Сеть_и_дети'!N11/'01_Вводные'!$B$9)-'06_Сеть_и_дети'!N20*'19_Расчет_аналитики'!N3842*'01_Вводные'!$C$314:$C$318*('01_Вводные'!$E$314:$E$318*('06_Сеть_и_дети'!N$3&lt;'01_Вводные'!$B$245)+'01_Вводные'!$B$57*('06_Сеть_и_дети'!N$3&gt;='01_Вводные'!$B$245))))/2),0)</f>
        <v/>
      </c>
      <c r="O3419">
        <f>IF('01_Вводные'!$B$234="Да",SUMPRODUCT(('01_Вводные'!$D$314:$D$318*'01_Вводные'!$B$314:$B$318*IF('01_Вводные'!$B$9=0,0,'06_Сеть_и_дети'!O11/'01_Вводные'!$B$9)+'06_Сеть_и_дети'!O20*'19_Расчет_аналитики'!O3842*'01_Вводные'!$C$314:$C$318*('01_Вводные'!$E$314:$E$318*('06_Сеть_и_дети'!O$3&lt;'01_Вводные'!$B$245)+'01_Вводные'!$B$57*('06_Сеть_и_дети'!O$3&gt;='01_Вводные'!$B$245))+ABS('01_Вводные'!$D$314:$D$318*'01_Вводные'!$B$314:$B$318*IF('01_Вводные'!$B$9=0,0,'06_Сеть_и_дети'!O11/'01_Вводные'!$B$9)-'06_Сеть_и_дети'!O20*'19_Расчет_аналитики'!O3842*'01_Вводные'!$C$314:$C$318*('01_Вводные'!$E$314:$E$318*('06_Сеть_и_дети'!O$3&lt;'01_Вводные'!$B$245)+'01_Вводные'!$B$57*('06_Сеть_и_дети'!O$3&gt;='01_Вводные'!$B$245))))/2),0)</f>
        <v/>
      </c>
      <c r="P3419">
        <f>IF('01_Вводные'!$B$234="Да",SUMPRODUCT(('01_Вводные'!$D$314:$D$318*'01_Вводные'!$B$314:$B$318*IF('01_Вводные'!$B$9=0,0,'06_Сеть_и_дети'!P11/'01_Вводные'!$B$9)+'06_Сеть_и_дети'!P20*'19_Расчет_аналитики'!P3842*'01_Вводные'!$C$314:$C$318*('01_Вводные'!$E$314:$E$318*('06_Сеть_и_дети'!P$3&lt;'01_Вводные'!$B$245)+'01_Вводные'!$B$57*('06_Сеть_и_дети'!P$3&gt;='01_Вводные'!$B$245))+ABS('01_Вводные'!$D$314:$D$318*'01_Вводные'!$B$314:$B$318*IF('01_Вводные'!$B$9=0,0,'06_Сеть_и_дети'!P11/'01_Вводные'!$B$9)-'06_Сеть_и_дети'!P20*'19_Расчет_аналитики'!P3842*'01_Вводные'!$C$314:$C$318*('01_Вводные'!$E$314:$E$318*('06_Сеть_и_дети'!P$3&lt;'01_Вводные'!$B$245)+'01_Вводные'!$B$57*('06_Сеть_и_дети'!P$3&gt;='01_Вводные'!$B$245))))/2),0)</f>
        <v/>
      </c>
      <c r="Q3419">
        <f>IF('01_Вводные'!$B$234="Да",SUMPRODUCT(('01_Вводные'!$D$314:$D$318*'01_Вводные'!$B$314:$B$318*IF('01_Вводные'!$B$9=0,0,'06_Сеть_и_дети'!Q11/'01_Вводные'!$B$9)+'06_Сеть_и_дети'!Q20*'19_Расчет_аналитики'!Q3842*'01_Вводные'!$C$314:$C$318*('01_Вводные'!$E$314:$E$318*('06_Сеть_и_дети'!Q$3&lt;'01_Вводные'!$B$245)+'01_Вводные'!$B$57*('06_Сеть_и_дети'!Q$3&gt;='01_Вводные'!$B$245))+ABS('01_Вводные'!$D$314:$D$318*'01_Вводные'!$B$314:$B$318*IF('01_Вводные'!$B$9=0,0,'06_Сеть_и_дети'!Q11/'01_Вводные'!$B$9)-'06_Сеть_и_дети'!Q20*'19_Расчет_аналитики'!Q3842*'01_Вводные'!$C$314:$C$318*('01_Вводные'!$E$314:$E$318*('06_Сеть_и_дети'!Q$3&lt;'01_Вводные'!$B$245)+'01_Вводные'!$B$57*('06_Сеть_и_дети'!Q$3&gt;='01_Вводные'!$B$245))))/2),0)</f>
        <v/>
      </c>
      <c r="R3419">
        <f>IF('01_Вводные'!$B$234="Да",SUMPRODUCT(('01_Вводные'!$D$314:$D$318*'01_Вводные'!$B$314:$B$318*IF('01_Вводные'!$B$9=0,0,'06_Сеть_и_дети'!R11/'01_Вводные'!$B$9)+'06_Сеть_и_дети'!R20*'19_Расчет_аналитики'!R3842*'01_Вводные'!$C$314:$C$318*('01_Вводные'!$E$314:$E$318*('06_Сеть_и_дети'!R$3&lt;'01_Вводные'!$B$245)+'01_Вводные'!$B$57*('06_Сеть_и_дети'!R$3&gt;='01_Вводные'!$B$245))+ABS('01_Вводные'!$D$314:$D$318*'01_Вводные'!$B$314:$B$318*IF('01_Вводные'!$B$9=0,0,'06_Сеть_и_дети'!R11/'01_Вводные'!$B$9)-'06_Сеть_и_дети'!R20*'19_Расчет_аналитики'!R3842*'01_Вводные'!$C$314:$C$318*('01_Вводные'!$E$314:$E$318*('06_Сеть_и_дети'!R$3&lt;'01_Вводные'!$B$245)+'01_Вводные'!$B$57*('06_Сеть_и_дети'!R$3&gt;='01_Вводные'!$B$245))))/2),0)</f>
        <v/>
      </c>
      <c r="S3419">
        <f>IF('01_Вводные'!$B$234="Да",SUMPRODUCT(('01_Вводные'!$D$314:$D$318*'01_Вводные'!$B$314:$B$318*IF('01_Вводные'!$B$9=0,0,'06_Сеть_и_дети'!S11/'01_Вводные'!$B$9)+'06_Сеть_и_дети'!S20*'19_Расчет_аналитики'!S3842*'01_Вводные'!$C$314:$C$318*('01_Вводные'!$E$314:$E$318*('06_Сеть_и_дети'!S$3&lt;'01_Вводные'!$B$245)+'01_Вводные'!$B$57*('06_Сеть_и_дети'!S$3&gt;='01_Вводные'!$B$245))+ABS('01_Вводные'!$D$314:$D$318*'01_Вводные'!$B$314:$B$318*IF('01_Вводные'!$B$9=0,0,'06_Сеть_и_дети'!S11/'01_Вводные'!$B$9)-'06_Сеть_и_дети'!S20*'19_Расчет_аналитики'!S3842*'01_Вводные'!$C$314:$C$318*('01_Вводные'!$E$314:$E$318*('06_Сеть_и_дети'!S$3&lt;'01_Вводные'!$B$245)+'01_Вводные'!$B$57*('06_Сеть_и_дети'!S$3&gt;='01_Вводные'!$B$245))))/2),0)</f>
        <v/>
      </c>
      <c r="T3419">
        <f>IF('01_Вводные'!$B$234="Да",SUMPRODUCT(('01_Вводные'!$D$314:$D$318*'01_Вводные'!$B$314:$B$318*IF('01_Вводные'!$B$9=0,0,'06_Сеть_и_дети'!T11/'01_Вводные'!$B$9)+'06_Сеть_и_дети'!T20*'19_Расчет_аналитики'!T3842*'01_Вводные'!$C$314:$C$318*('01_Вводные'!$E$314:$E$318*('06_Сеть_и_дети'!T$3&lt;'01_Вводные'!$B$245)+'01_Вводные'!$B$57*('06_Сеть_и_дети'!T$3&gt;='01_Вводные'!$B$245))+ABS('01_Вводные'!$D$314:$D$318*'01_Вводные'!$B$314:$B$318*IF('01_Вводные'!$B$9=0,0,'06_Сеть_и_дети'!T11/'01_Вводные'!$B$9)-'06_Сеть_и_дети'!T20*'19_Расчет_аналитики'!T3842*'01_Вводные'!$C$314:$C$318*('01_Вводные'!$E$314:$E$318*('06_Сеть_и_дети'!T$3&lt;'01_Вводные'!$B$245)+'01_Вводные'!$B$57*('06_Сеть_и_дети'!T$3&gt;='01_Вводные'!$B$245))))/2),0)</f>
        <v/>
      </c>
      <c r="U3419">
        <f>IF('01_Вводные'!$B$234="Да",SUMPRODUCT(('01_Вводные'!$D$314:$D$318*'01_Вводные'!$B$314:$B$318*IF('01_Вводные'!$B$9=0,0,'06_Сеть_и_дети'!U11/'01_Вводные'!$B$9)+'06_Сеть_и_дети'!U20*'19_Расчет_аналитики'!U3842*'01_Вводные'!$C$314:$C$318*('01_Вводные'!$E$314:$E$318*('06_Сеть_и_дети'!U$3&lt;'01_Вводные'!$B$245)+'01_Вводные'!$B$57*('06_Сеть_и_дети'!U$3&gt;='01_Вводные'!$B$245))+ABS('01_Вводные'!$D$314:$D$318*'01_Вводные'!$B$314:$B$318*IF('01_Вводные'!$B$9=0,0,'06_Сеть_и_дети'!U11/'01_Вводные'!$B$9)-'06_Сеть_и_дети'!U20*'19_Расчет_аналитики'!U3842*'01_Вводные'!$C$314:$C$318*('01_Вводные'!$E$314:$E$318*('06_Сеть_и_дети'!U$3&lt;'01_Вводные'!$B$245)+'01_Вводные'!$B$57*('06_Сеть_и_дети'!U$3&gt;='01_Вводные'!$B$245))))/2),0)</f>
        <v/>
      </c>
      <c r="V3419">
        <f>IF('01_Вводные'!$B$234="Да",SUMPRODUCT(('01_Вводные'!$D$314:$D$318*'01_Вводные'!$B$314:$B$318*IF('01_Вводные'!$B$9=0,0,'06_Сеть_и_дети'!V11/'01_Вводные'!$B$9)+'06_Сеть_и_дети'!V20*'19_Расчет_аналитики'!V3842*'01_Вводные'!$C$314:$C$318*('01_Вводные'!$E$314:$E$318*('06_Сеть_и_дети'!V$3&lt;'01_Вводные'!$B$245)+'01_Вводные'!$B$57*('06_Сеть_и_дети'!V$3&gt;='01_Вводные'!$B$245))+ABS('01_Вводные'!$D$314:$D$318*'01_Вводные'!$B$314:$B$318*IF('01_Вводные'!$B$9=0,0,'06_Сеть_и_дети'!V11/'01_Вводные'!$B$9)-'06_Сеть_и_дети'!V20*'19_Расчет_аналитики'!V3842*'01_Вводные'!$C$314:$C$318*('01_Вводные'!$E$314:$E$318*('06_Сеть_и_дети'!V$3&lt;'01_Вводные'!$B$245)+'01_Вводные'!$B$57*('06_Сеть_и_дети'!V$3&gt;='01_Вводные'!$B$245))))/2),0)</f>
        <v/>
      </c>
      <c r="W3419">
        <f>IF('01_Вводные'!$B$234="Да",SUMPRODUCT(('01_Вводные'!$D$314:$D$318*'01_Вводные'!$B$314:$B$318*IF('01_Вводные'!$B$9=0,0,'06_Сеть_и_дети'!W11/'01_Вводные'!$B$9)+'06_Сеть_и_дети'!W20*'19_Расчет_аналитики'!W3842*'01_Вводные'!$C$314:$C$318*('01_Вводные'!$E$314:$E$318*('06_Сеть_и_дети'!W$3&lt;'01_Вводные'!$B$245)+'01_Вводные'!$B$57*('06_Сеть_и_дети'!W$3&gt;='01_Вводные'!$B$245))+ABS('01_Вводные'!$D$314:$D$318*'01_Вводные'!$B$314:$B$318*IF('01_Вводные'!$B$9=0,0,'06_Сеть_и_дети'!W11/'01_Вводные'!$B$9)-'06_Сеть_и_дети'!W20*'19_Расчет_аналитики'!W3842*'01_Вводные'!$C$314:$C$318*('01_Вводные'!$E$314:$E$318*('06_Сеть_и_дети'!W$3&lt;'01_Вводные'!$B$245)+'01_Вводные'!$B$57*('06_Сеть_и_дети'!W$3&gt;='01_Вводные'!$B$245))))/2),0)</f>
        <v/>
      </c>
      <c r="X3419">
        <f>IF('01_Вводные'!$B$234="Да",SUMPRODUCT(('01_Вводные'!$D$314:$D$318*'01_Вводные'!$B$314:$B$318*IF('01_Вводные'!$B$9=0,0,'06_Сеть_и_дети'!X11/'01_Вводные'!$B$9)+'06_Сеть_и_дети'!X20*'19_Расчет_аналитики'!X3842*'01_Вводные'!$C$314:$C$318*('01_Вводные'!$E$314:$E$318*('06_Сеть_и_дети'!X$3&lt;'01_Вводные'!$B$245)+'01_Вводные'!$B$57*('06_Сеть_и_дети'!X$3&gt;='01_Вводные'!$B$245))+ABS('01_Вводные'!$D$314:$D$318*'01_Вводные'!$B$314:$B$318*IF('01_Вводные'!$B$9=0,0,'06_Сеть_и_дети'!X11/'01_Вводные'!$B$9)-'06_Сеть_и_дети'!X20*'19_Расчет_аналитики'!X3842*'01_Вводные'!$C$314:$C$318*('01_Вводные'!$E$314:$E$318*('06_Сеть_и_дети'!X$3&lt;'01_Вводные'!$B$245)+'01_Вводные'!$B$57*('06_Сеть_и_дети'!X$3&gt;='01_Вводные'!$B$245))))/2),0)</f>
        <v/>
      </c>
      <c r="Y3419">
        <f>IF('01_Вводные'!$B$234="Да",SUMPRODUCT(('01_Вводные'!$D$314:$D$318*'01_Вводные'!$B$314:$B$318*IF('01_Вводные'!$B$9=0,0,'06_Сеть_и_дети'!Y11/'01_Вводные'!$B$9)+'06_Сеть_и_дети'!Y20*'19_Расчет_аналитики'!Y3842*'01_Вводные'!$C$314:$C$318*('01_Вводные'!$E$314:$E$318*('06_Сеть_и_дети'!Y$3&lt;'01_Вводные'!$B$245)+'01_Вводные'!$B$57*('06_Сеть_и_дети'!Y$3&gt;='01_Вводные'!$B$245))+ABS('01_Вводные'!$D$314:$D$318*'01_Вводные'!$B$314:$B$318*IF('01_Вводные'!$B$9=0,0,'06_Сеть_и_дети'!Y11/'01_Вводные'!$B$9)-'06_Сеть_и_дети'!Y20*'19_Расчет_аналитики'!Y3842*'01_Вводные'!$C$314:$C$318*('01_Вводные'!$E$314:$E$318*('06_Сеть_и_дети'!Y$3&lt;'01_Вводные'!$B$245)+'01_Вводные'!$B$57*('06_Сеть_и_дети'!Y$3&gt;='01_Вводные'!$B$245))))/2),0)</f>
        <v/>
      </c>
      <c r="Z3419">
        <f>IF('01_Вводные'!$B$234="Да",SUMPRODUCT(('01_Вводные'!$D$314:$D$318*'01_Вводные'!$B$314:$B$318*IF('01_Вводные'!$B$9=0,0,'06_Сеть_и_дети'!Z11/'01_Вводные'!$B$9)+'06_Сеть_и_дети'!Z20*'19_Расчет_аналитики'!Z3842*'01_Вводные'!$C$314:$C$318*('01_Вводные'!$E$314:$E$318*('06_Сеть_и_дети'!Z$3&lt;'01_Вводные'!$B$245)+'01_Вводные'!$B$57*('06_Сеть_и_дети'!Z$3&gt;='01_Вводные'!$B$245))+ABS('01_Вводные'!$D$314:$D$318*'01_Вводные'!$B$314:$B$318*IF('01_Вводные'!$B$9=0,0,'06_Сеть_и_дети'!Z11/'01_Вводные'!$B$9)-'06_Сеть_и_дети'!Z20*'19_Расчет_аналитики'!Z3842*'01_Вводные'!$C$314:$C$318*('01_Вводные'!$E$314:$E$318*('06_Сеть_и_дети'!Z$3&lt;'01_Вводные'!$B$245)+'01_Вводные'!$B$57*('06_Сеть_и_дети'!Z$3&gt;='01_Вводные'!$B$245))))/2),0)</f>
        <v/>
      </c>
      <c r="AA3419">
        <f>IF('01_Вводные'!$B$234="Да",SUMPRODUCT(('01_Вводные'!$D$314:$D$318*'01_Вводные'!$B$314:$B$318*IF('01_Вводные'!$B$9=0,0,'06_Сеть_и_дети'!AA11/'01_Вводные'!$B$9)+'06_Сеть_и_дети'!AA20*'19_Расчет_аналитики'!AA3842*'01_Вводные'!$C$314:$C$318*('01_Вводные'!$E$314:$E$318*('06_Сеть_и_дети'!AA$3&lt;'01_Вводные'!$B$245)+'01_Вводные'!$B$57*('06_Сеть_и_дети'!AA$3&gt;='01_Вводные'!$B$245))+ABS('01_Вводные'!$D$314:$D$318*'01_Вводные'!$B$314:$B$318*IF('01_Вводные'!$B$9=0,0,'06_Сеть_и_дети'!AA11/'01_Вводные'!$B$9)-'06_Сеть_и_дети'!AA20*'19_Расчет_аналитики'!AA3842*'01_Вводные'!$C$314:$C$318*('01_Вводные'!$E$314:$E$318*('06_Сеть_и_дети'!AA$3&lt;'01_Вводные'!$B$245)+'01_Вводные'!$B$57*('06_Сеть_и_дети'!AA$3&gt;='01_Вводные'!$B$245))))/2),0)</f>
        <v/>
      </c>
      <c r="AB3419">
        <f>IF('01_Вводные'!$B$234="Да",SUMPRODUCT(('01_Вводные'!$D$314:$D$318*'01_Вводные'!$B$314:$B$318*IF('01_Вводные'!$B$9=0,0,'06_Сеть_и_дети'!AB11/'01_Вводные'!$B$9)+'06_Сеть_и_дети'!AB20*'19_Расчет_аналитики'!AB3842*'01_Вводные'!$C$314:$C$318*('01_Вводные'!$E$314:$E$318*('06_Сеть_и_дети'!AB$3&lt;'01_Вводные'!$B$245)+'01_Вводные'!$B$57*('06_Сеть_и_дети'!AB$3&gt;='01_Вводные'!$B$245))+ABS('01_Вводные'!$D$314:$D$318*'01_Вводные'!$B$314:$B$318*IF('01_Вводные'!$B$9=0,0,'06_Сеть_и_дети'!AB11/'01_Вводные'!$B$9)-'06_Сеть_и_дети'!AB20*'19_Расчет_аналитики'!AB3842*'01_Вводные'!$C$314:$C$318*('01_Вводные'!$E$314:$E$318*('06_Сеть_и_дети'!AB$3&lt;'01_Вводные'!$B$245)+'01_Вводные'!$B$57*('06_Сеть_и_дети'!AB$3&gt;='01_Вводные'!$B$245))))/2),0)</f>
        <v/>
      </c>
      <c r="AC3419">
        <f>IF('01_Вводные'!$B$234="Да",SUMPRODUCT(('01_Вводные'!$D$314:$D$318*'01_Вводные'!$B$314:$B$318*IF('01_Вводные'!$B$9=0,0,'06_Сеть_и_дети'!AC11/'01_Вводные'!$B$9)+'06_Сеть_и_дети'!AC20*'19_Расчет_аналитики'!AC3842*'01_Вводные'!$C$314:$C$318*('01_Вводные'!$E$314:$E$318*('06_Сеть_и_дети'!AC$3&lt;'01_Вводные'!$B$245)+'01_Вводные'!$B$57*('06_Сеть_и_дети'!AC$3&gt;='01_Вводные'!$B$245))+ABS('01_Вводные'!$D$314:$D$318*'01_Вводные'!$B$314:$B$318*IF('01_Вводные'!$B$9=0,0,'06_Сеть_и_дети'!AC11/'01_Вводные'!$B$9)-'06_Сеть_и_дети'!AC20*'19_Расчет_аналитики'!AC3842*'01_Вводные'!$C$314:$C$318*('01_Вводные'!$E$314:$E$318*('06_Сеть_и_дети'!AC$3&lt;'01_Вводные'!$B$245)+'01_Вводные'!$B$57*('06_Сеть_и_дети'!AC$3&gt;='01_Вводные'!$B$245))))/2),0)</f>
        <v/>
      </c>
      <c r="AD3419">
        <f>IF('01_Вводные'!$B$234="Да",SUMPRODUCT(('01_Вводные'!$D$314:$D$318*'01_Вводные'!$B$314:$B$318*IF('01_Вводные'!$B$9=0,0,'06_Сеть_и_дети'!AD11/'01_Вводные'!$B$9)+'06_Сеть_и_дети'!AD20*'19_Расчет_аналитики'!AD3842*'01_Вводные'!$C$314:$C$318*('01_Вводные'!$E$314:$E$318*('06_Сеть_и_дети'!AD$3&lt;'01_Вводные'!$B$245)+'01_Вводные'!$B$57*('06_Сеть_и_дети'!AD$3&gt;='01_Вводные'!$B$245))+ABS('01_Вводные'!$D$314:$D$318*'01_Вводные'!$B$314:$B$318*IF('01_Вводные'!$B$9=0,0,'06_Сеть_и_дети'!AD11/'01_Вводные'!$B$9)-'06_Сеть_и_дети'!AD20*'19_Расчет_аналитики'!AD3842*'01_Вводные'!$C$314:$C$318*('01_Вводные'!$E$314:$E$318*('06_Сеть_и_дети'!AD$3&lt;'01_Вводные'!$B$245)+'01_Вводные'!$B$57*('06_Сеть_и_дети'!AD$3&gt;='01_Вводные'!$B$245))))/2),0)</f>
        <v/>
      </c>
      <c r="AE3419">
        <f>IF('01_Вводные'!$B$234="Да",SUMPRODUCT(('01_Вводные'!$D$314:$D$318*'01_Вводные'!$B$314:$B$318*IF('01_Вводные'!$B$9=0,0,'06_Сеть_и_дети'!AE11/'01_Вводные'!$B$9)+'06_Сеть_и_дети'!AE20*'19_Расчет_аналитики'!AE3842*'01_Вводные'!$C$314:$C$318*('01_Вводные'!$E$314:$E$318*('06_Сеть_и_дети'!AE$3&lt;'01_Вводные'!$B$245)+'01_Вводные'!$B$57*('06_Сеть_и_дети'!AE$3&gt;='01_Вводные'!$B$245))+ABS('01_Вводные'!$D$314:$D$318*'01_Вводные'!$B$314:$B$318*IF('01_Вводные'!$B$9=0,0,'06_Сеть_и_дети'!AE11/'01_Вводные'!$B$9)-'06_Сеть_и_дети'!AE20*'19_Расчет_аналитики'!AE3842*'01_Вводные'!$C$314:$C$318*('01_Вводные'!$E$314:$E$318*('06_Сеть_и_дети'!AE$3&lt;'01_Вводные'!$B$245)+'01_Вводные'!$B$57*('06_Сеть_и_дети'!AE$3&gt;='01_Вводные'!$B$245))))/2),0)</f>
        <v/>
      </c>
      <c r="AF3419">
        <f>IF('01_Вводные'!$B$234="Да",SUMPRODUCT(('01_Вводные'!$D$314:$D$318*'01_Вводные'!$B$314:$B$318*IF('01_Вводные'!$B$9=0,0,'06_Сеть_и_дети'!AF11/'01_Вводные'!$B$9)+'06_Сеть_и_дети'!AF20*'19_Расчет_аналитики'!AF3842*'01_Вводные'!$C$314:$C$318*('01_Вводные'!$E$314:$E$318*('06_Сеть_и_дети'!AF$3&lt;'01_Вводные'!$B$245)+'01_Вводные'!$B$57*('06_Сеть_и_дети'!AF$3&gt;='01_Вводные'!$B$245))+ABS('01_Вводные'!$D$314:$D$318*'01_Вводные'!$B$314:$B$318*IF('01_Вводные'!$B$9=0,0,'06_Сеть_и_дети'!AF11/'01_Вводные'!$B$9)-'06_Сеть_и_дети'!AF20*'19_Расчет_аналитики'!AF3842*'01_Вводные'!$C$314:$C$318*('01_Вводные'!$E$314:$E$318*('06_Сеть_и_дети'!AF$3&lt;'01_Вводные'!$B$245)+'01_Вводные'!$B$57*('06_Сеть_и_дети'!AF$3&gt;='01_Вводные'!$B$245))))/2),0)</f>
        <v/>
      </c>
      <c r="AG3419">
        <f>IF('01_Вводные'!$B$234="Да",SUMPRODUCT(('01_Вводные'!$D$314:$D$318*'01_Вводные'!$B$314:$B$318*IF('01_Вводные'!$B$9=0,0,'06_Сеть_и_дети'!AG11/'01_Вводные'!$B$9)+'06_Сеть_и_дети'!AG20*'19_Расчет_аналитики'!AG3842*'01_Вводные'!$C$314:$C$318*('01_Вводные'!$E$314:$E$318*('06_Сеть_и_дети'!AG$3&lt;'01_Вводные'!$B$245)+'01_Вводные'!$B$57*('06_Сеть_и_дети'!AG$3&gt;='01_Вводные'!$B$245))+ABS('01_Вводные'!$D$314:$D$318*'01_Вводные'!$B$314:$B$318*IF('01_Вводные'!$B$9=0,0,'06_Сеть_и_дети'!AG11/'01_Вводные'!$B$9)-'06_Сеть_и_дети'!AG20*'19_Расчет_аналитики'!AG3842*'01_Вводные'!$C$314:$C$318*('01_Вводные'!$E$314:$E$318*('06_Сеть_и_дети'!AG$3&lt;'01_Вводные'!$B$245)+'01_Вводные'!$B$57*('06_Сеть_и_дети'!AG$3&gt;='01_Вводные'!$B$245))))/2),0)</f>
        <v/>
      </c>
      <c r="AH3419">
        <f>IF('01_Вводные'!$B$234="Да",SUMPRODUCT(('01_Вводные'!$D$314:$D$318*'01_Вводные'!$B$314:$B$318*IF('01_Вводные'!$B$9=0,0,'06_Сеть_и_дети'!AH11/'01_Вводные'!$B$9)+'06_Сеть_и_дети'!AH20*'19_Расчет_аналитики'!AH3842*'01_Вводные'!$C$314:$C$318*('01_Вводные'!$E$314:$E$318*('06_Сеть_и_дети'!AH$3&lt;'01_Вводные'!$B$245)+'01_Вводные'!$B$57*('06_Сеть_и_дети'!AH$3&gt;='01_Вводные'!$B$245))+ABS('01_Вводные'!$D$314:$D$318*'01_Вводные'!$B$314:$B$318*IF('01_Вводные'!$B$9=0,0,'06_Сеть_и_дети'!AH11/'01_Вводные'!$B$9)-'06_Сеть_и_дети'!AH20*'19_Расчет_аналитики'!AH3842*'01_Вводные'!$C$314:$C$318*('01_Вводные'!$E$314:$E$318*('06_Сеть_и_дети'!AH$3&lt;'01_Вводные'!$B$245)+'01_Вводные'!$B$57*('06_Сеть_и_дети'!AH$3&gt;='01_Вводные'!$B$245))))/2),0)</f>
        <v/>
      </c>
      <c r="AI3419">
        <f>IF('01_Вводные'!$B$234="Да",SUMPRODUCT(('01_Вводные'!$D$314:$D$318*'01_Вводные'!$B$314:$B$318*IF('01_Вводные'!$B$9=0,0,'06_Сеть_и_дети'!AI11/'01_Вводные'!$B$9)+'06_Сеть_и_дети'!AI20*'19_Расчет_аналитики'!AI3842*'01_Вводные'!$C$314:$C$318*('01_Вводные'!$E$314:$E$318*('06_Сеть_и_дети'!AI$3&lt;'01_Вводные'!$B$245)+'01_Вводные'!$B$57*('06_Сеть_и_дети'!AI$3&gt;='01_Вводные'!$B$245))+ABS('01_Вводные'!$D$314:$D$318*'01_Вводные'!$B$314:$B$318*IF('01_Вводные'!$B$9=0,0,'06_Сеть_и_дети'!AI11/'01_Вводные'!$B$9)-'06_Сеть_и_дети'!AI20*'19_Расчет_аналитики'!AI3842*'01_Вводные'!$C$314:$C$318*('01_Вводные'!$E$314:$E$318*('06_Сеть_и_дети'!AI$3&lt;'01_Вводные'!$B$245)+'01_Вводные'!$B$57*('06_Сеть_и_дети'!AI$3&gt;='01_Вводные'!$B$245))))/2),0)</f>
        <v/>
      </c>
      <c r="AJ3419">
        <f>IF('01_Вводные'!$B$234="Да",SUMPRODUCT(('01_Вводные'!$D$314:$D$318*'01_Вводные'!$B$314:$B$318*IF('01_Вводные'!$B$9=0,0,'06_Сеть_и_дети'!AJ11/'01_Вводные'!$B$9)+'06_Сеть_и_дети'!AJ20*'19_Расчет_аналитики'!AJ3842*'01_Вводные'!$C$314:$C$318*('01_Вводные'!$E$314:$E$318*('06_Сеть_и_дети'!AJ$3&lt;'01_Вводные'!$B$245)+'01_Вводные'!$B$57*('06_Сеть_и_дети'!AJ$3&gt;='01_Вводные'!$B$245))+ABS('01_Вводные'!$D$314:$D$318*'01_Вводные'!$B$314:$B$318*IF('01_Вводные'!$B$9=0,0,'06_Сеть_и_дети'!AJ11/'01_Вводные'!$B$9)-'06_Сеть_и_дети'!AJ20*'19_Расчет_аналитики'!AJ3842*'01_Вводные'!$C$314:$C$318*('01_Вводные'!$E$314:$E$318*('06_Сеть_и_дети'!AJ$3&lt;'01_Вводные'!$B$245)+'01_Вводные'!$B$57*('06_Сеть_и_дети'!AJ$3&gt;='01_Вводные'!$B$245))))/2),0)</f>
        <v/>
      </c>
      <c r="AK3419">
        <f>IF('01_Вводные'!$B$234="Да",SUMPRODUCT(('01_Вводные'!$D$314:$D$318*'01_Вводные'!$B$314:$B$318*IF('01_Вводные'!$B$9=0,0,'06_Сеть_и_дети'!AK11/'01_Вводные'!$B$9)+'06_Сеть_и_дети'!AK20*'19_Расчет_аналитики'!AK3842*'01_Вводные'!$C$314:$C$318*('01_Вводные'!$E$314:$E$318*('06_Сеть_и_дети'!AK$3&lt;'01_Вводные'!$B$245)+'01_Вводные'!$B$57*('06_Сеть_и_дети'!AK$3&gt;='01_Вводные'!$B$245))+ABS('01_Вводные'!$D$314:$D$318*'01_Вводные'!$B$314:$B$318*IF('01_Вводные'!$B$9=0,0,'06_Сеть_и_дети'!AK11/'01_Вводные'!$B$9)-'06_Сеть_и_дети'!AK20*'19_Расчет_аналитики'!AK3842*'01_Вводные'!$C$314:$C$318*('01_Вводные'!$E$314:$E$318*('06_Сеть_и_дети'!AK$3&lt;'01_Вводные'!$B$245)+'01_Вводные'!$B$57*('06_Сеть_и_дети'!AK$3&gt;='01_Вводные'!$B$245))))/2),0)</f>
        <v/>
      </c>
      <c r="AL3419">
        <f>IF('01_Вводные'!$B$234="Да",SUMPRODUCT(('01_Вводные'!$D$314:$D$318*'01_Вводные'!$B$314:$B$318*IF('01_Вводные'!$B$9=0,0,'06_Сеть_и_дети'!AL11/'01_Вводные'!$B$9)+'06_Сеть_и_дети'!AL20*'19_Расчет_аналитики'!AL3842*'01_Вводные'!$C$314:$C$318*('01_Вводные'!$E$314:$E$318*('06_Сеть_и_дети'!AL$3&lt;'01_Вводные'!$B$245)+'01_Вводные'!$B$57*('06_Сеть_и_дети'!AL$3&gt;='01_Вводные'!$B$245))+ABS('01_Вводные'!$D$314:$D$318*'01_Вводные'!$B$314:$B$318*IF('01_Вводные'!$B$9=0,0,'06_Сеть_и_дети'!AL11/'01_Вводные'!$B$9)-'06_Сеть_и_дети'!AL20*'19_Расчет_аналитики'!AL3842*'01_Вводные'!$C$314:$C$318*('01_Вводные'!$E$314:$E$318*('06_Сеть_и_дети'!AL$3&lt;'01_Вводные'!$B$245)+'01_Вводные'!$B$57*('06_Сеть_и_дети'!AL$3&gt;='01_Вводные'!$B$245))))/2),0)</f>
        <v/>
      </c>
      <c r="AM3419">
        <f>IF('01_Вводные'!$B$234="Да",SUMPRODUCT(('01_Вводные'!$D$314:$D$318*'01_Вводные'!$B$314:$B$318*IF('01_Вводные'!$B$9=0,0,'06_Сеть_и_дети'!AM11/'01_Вводные'!$B$9)+'06_Сеть_и_дети'!AM20*'19_Расчет_аналитики'!AM3842*'01_Вводные'!$C$314:$C$318*('01_Вводные'!$E$314:$E$318*('06_Сеть_и_дети'!AM$3&lt;'01_Вводные'!$B$245)+'01_Вводные'!$B$57*('06_Сеть_и_дети'!AM$3&gt;='01_Вводные'!$B$245))+ABS('01_Вводные'!$D$314:$D$318*'01_Вводные'!$B$314:$B$318*IF('01_Вводные'!$B$9=0,0,'06_Сеть_и_дети'!AM11/'01_Вводные'!$B$9)-'06_Сеть_и_дети'!AM20*'19_Расчет_аналитики'!AM3842*'01_Вводные'!$C$314:$C$318*('01_Вводные'!$E$314:$E$318*('06_Сеть_и_дети'!AM$3&lt;'01_Вводные'!$B$245)+'01_Вводные'!$B$57*('06_Сеть_и_дети'!AM$3&gt;='01_Вводные'!$B$245))))/2),0)</f>
        <v/>
      </c>
      <c r="AN3419">
        <f>IF('01_Вводные'!$B$234="Да",SUMPRODUCT(('01_Вводные'!$D$314:$D$318*'01_Вводные'!$B$314:$B$318*IF('01_Вводные'!$B$9=0,0,'06_Сеть_и_дети'!AN11/'01_Вводные'!$B$9)+'06_Сеть_и_дети'!AN20*'19_Расчет_аналитики'!AN3842*'01_Вводные'!$C$314:$C$318*('01_Вводные'!$E$314:$E$318*('06_Сеть_и_дети'!AN$3&lt;'01_Вводные'!$B$245)+'01_Вводные'!$B$57*('06_Сеть_и_дети'!AN$3&gt;='01_Вводные'!$B$245))+ABS('01_Вводные'!$D$314:$D$318*'01_Вводные'!$B$314:$B$318*IF('01_Вводные'!$B$9=0,0,'06_Сеть_и_дети'!AN11/'01_Вводные'!$B$9)-'06_Сеть_и_дети'!AN20*'19_Расчет_аналитики'!AN3842*'01_Вводные'!$C$314:$C$318*('01_Вводные'!$E$314:$E$318*('06_Сеть_и_дети'!AN$3&lt;'01_Вводные'!$B$245)+'01_Вводные'!$B$57*('06_Сеть_и_дети'!AN$3&gt;='01_Вводные'!$B$245))))/2),0)</f>
        <v/>
      </c>
      <c r="AO3419">
        <f>IF('01_Вводные'!$B$234="Да",SUMPRODUCT(('01_Вводные'!$D$314:$D$318*'01_Вводные'!$B$314:$B$318*IF('01_Вводные'!$B$9=0,0,'06_Сеть_и_дети'!AO11/'01_Вводные'!$B$9)+'06_Сеть_и_дети'!AO20*'19_Расчет_аналитики'!AO3842*'01_Вводные'!$C$314:$C$318*('01_Вводные'!$E$314:$E$318*('06_Сеть_и_дети'!AO$3&lt;'01_Вводные'!$B$245)+'01_Вводные'!$B$57*('06_Сеть_и_дети'!AO$3&gt;='01_Вводные'!$B$245))+ABS('01_Вводные'!$D$314:$D$318*'01_Вводные'!$B$314:$B$318*IF('01_Вводные'!$B$9=0,0,'06_Сеть_и_дети'!AO11/'01_Вводные'!$B$9)-'06_Сеть_и_дети'!AO20*'19_Расчет_аналитики'!AO3842*'01_Вводные'!$C$314:$C$318*('01_Вводные'!$E$314:$E$318*('06_Сеть_и_дети'!AO$3&lt;'01_Вводные'!$B$245)+'01_Вводные'!$B$57*('06_Сеть_и_дети'!AO$3&gt;='01_Вводные'!$B$245))))/2),0)</f>
        <v/>
      </c>
      <c r="AP3419">
        <f>IF('01_Вводные'!$B$234="Да",SUMPRODUCT(('01_Вводные'!$D$314:$D$318*'01_Вводные'!$B$314:$B$318*IF('01_Вводные'!$B$9=0,0,'06_Сеть_и_дети'!AP11/'01_Вводные'!$B$9)+'06_Сеть_и_дети'!AP20*'19_Расчет_аналитики'!AP3842*'01_Вводные'!$C$314:$C$318*('01_Вводные'!$E$314:$E$318*('06_Сеть_и_дети'!AP$3&lt;'01_Вводные'!$B$245)+'01_Вводные'!$B$57*('06_Сеть_и_дети'!AP$3&gt;='01_Вводные'!$B$245))+ABS('01_Вводные'!$D$314:$D$318*'01_Вводные'!$B$314:$B$318*IF('01_Вводные'!$B$9=0,0,'06_Сеть_и_дети'!AP11/'01_Вводные'!$B$9)-'06_Сеть_и_дети'!AP20*'19_Расчет_аналитики'!AP3842*'01_Вводные'!$C$314:$C$318*('01_Вводные'!$E$314:$E$318*('06_Сеть_и_дети'!AP$3&lt;'01_Вводные'!$B$245)+'01_Вводные'!$B$57*('06_Сеть_и_дети'!AP$3&gt;='01_Вводные'!$B$245))))/2),0)</f>
        <v/>
      </c>
      <c r="AQ3419">
        <f>IF('01_Вводные'!$B$234="Да",SUMPRODUCT(('01_Вводные'!$D$314:$D$318*'01_Вводные'!$B$314:$B$318*IF('01_Вводные'!$B$9=0,0,'06_Сеть_и_дети'!AQ11/'01_Вводные'!$B$9)+'06_Сеть_и_дети'!AQ20*'19_Расчет_аналитики'!AQ3842*'01_Вводные'!$C$314:$C$318*('01_Вводные'!$E$314:$E$318*('06_Сеть_и_дети'!AQ$3&lt;'01_Вводные'!$B$245)+'01_Вводные'!$B$57*('06_Сеть_и_дети'!AQ$3&gt;='01_Вводные'!$B$245))+ABS('01_Вводные'!$D$314:$D$318*'01_Вводные'!$B$314:$B$318*IF('01_Вводные'!$B$9=0,0,'06_Сеть_и_дети'!AQ11/'01_Вводные'!$B$9)-'06_Сеть_и_дети'!AQ20*'19_Расчет_аналитики'!AQ3842*'01_Вводные'!$C$314:$C$318*('01_Вводные'!$E$314:$E$318*('06_Сеть_и_дети'!AQ$3&lt;'01_Вводные'!$B$245)+'01_Вводные'!$B$57*('06_Сеть_и_дети'!AQ$3&gt;='01_Вводные'!$B$245))))/2),0)</f>
        <v/>
      </c>
      <c r="AR3419">
        <f>IF('01_Вводные'!$B$234="Да",SUMPRODUCT(('01_Вводные'!$D$314:$D$318*'01_Вводные'!$B$314:$B$318*IF('01_Вводные'!$B$9=0,0,'06_Сеть_и_дети'!AR11/'01_Вводные'!$B$9)+'06_Сеть_и_дети'!AR20*'19_Расчет_аналитики'!AR3842*'01_Вводные'!$C$314:$C$318*('01_Вводные'!$E$314:$E$318*('06_Сеть_и_дети'!AR$3&lt;'01_Вводные'!$B$245)+'01_Вводные'!$B$57*('06_Сеть_и_дети'!AR$3&gt;='01_Вводные'!$B$245))+ABS('01_Вводные'!$D$314:$D$318*'01_Вводные'!$B$314:$B$318*IF('01_Вводные'!$B$9=0,0,'06_Сеть_и_дети'!AR11/'01_Вводные'!$B$9)-'06_Сеть_и_дети'!AR20*'19_Расчет_аналитики'!AR3842*'01_Вводные'!$C$314:$C$318*('01_Вводные'!$E$314:$E$318*('06_Сеть_и_дети'!AR$3&lt;'01_Вводные'!$B$245)+'01_Вводные'!$B$57*('06_Сеть_и_дети'!AR$3&gt;='01_Вводные'!$B$245))))/2),0)</f>
        <v/>
      </c>
      <c r="AS3419">
        <f>IF('01_Вводные'!$B$234="Да",SUMPRODUCT(('01_Вводные'!$D$314:$D$318*'01_Вводные'!$B$314:$B$318*IF('01_Вводные'!$B$9=0,0,'06_Сеть_и_дети'!AS11/'01_Вводные'!$B$9)+'06_Сеть_и_дети'!AS20*'19_Расчет_аналитики'!AS3842*'01_Вводные'!$C$314:$C$318*('01_Вводные'!$E$314:$E$318*('06_Сеть_и_дети'!AS$3&lt;'01_Вводные'!$B$245)+'01_Вводные'!$B$57*('06_Сеть_и_дети'!AS$3&gt;='01_Вводные'!$B$245))+ABS('01_Вводные'!$D$314:$D$318*'01_Вводные'!$B$314:$B$318*IF('01_Вводные'!$B$9=0,0,'06_Сеть_и_дети'!AS11/'01_Вводные'!$B$9)-'06_Сеть_и_дети'!AS20*'19_Расчет_аналитики'!AS3842*'01_Вводные'!$C$314:$C$318*('01_Вводные'!$E$314:$E$318*('06_Сеть_и_дети'!AS$3&lt;'01_Вводные'!$B$245)+'01_Вводные'!$B$57*('06_Сеть_и_дети'!AS$3&gt;='01_Вводные'!$B$245))))/2),0)</f>
        <v/>
      </c>
      <c r="AT3419">
        <f>IF('01_Вводные'!$B$234="Да",SUMPRODUCT(('01_Вводные'!$D$314:$D$318*'01_Вводные'!$B$314:$B$318*IF('01_Вводные'!$B$9=0,0,'06_Сеть_и_дети'!AT11/'01_Вводные'!$B$9)+'06_Сеть_и_дети'!AT20*'19_Расчет_аналитики'!AT3842*'01_Вводные'!$C$314:$C$318*('01_Вводные'!$E$314:$E$318*('06_Сеть_и_дети'!AT$3&lt;'01_Вводные'!$B$245)+'01_Вводные'!$B$57*('06_Сеть_и_дети'!AT$3&gt;='01_Вводные'!$B$245))+ABS('01_Вводные'!$D$314:$D$318*'01_Вводные'!$B$314:$B$318*IF('01_Вводные'!$B$9=0,0,'06_Сеть_и_дети'!AT11/'01_Вводные'!$B$9)-'06_Сеть_и_дети'!AT20*'19_Расчет_аналитики'!AT3842*'01_Вводные'!$C$314:$C$318*('01_Вводные'!$E$314:$E$318*('06_Сеть_и_дети'!AT$3&lt;'01_Вводные'!$B$245)+'01_Вводные'!$B$57*('06_Сеть_и_дети'!AT$3&gt;='01_Вводные'!$B$245))))/2),0)</f>
        <v/>
      </c>
      <c r="AU3419">
        <f>IF('01_Вводные'!$B$234="Да",SUMPRODUCT(('01_Вводные'!$D$314:$D$318*'01_Вводные'!$B$314:$B$318*IF('01_Вводные'!$B$9=0,0,'06_Сеть_и_дети'!AU11/'01_Вводные'!$B$9)+'06_Сеть_и_дети'!AU20*'19_Расчет_аналитики'!AU3842*'01_Вводные'!$C$314:$C$318*('01_Вводные'!$E$314:$E$318*('06_Сеть_и_дети'!AU$3&lt;'01_Вводные'!$B$245)+'01_Вводные'!$B$57*('06_Сеть_и_дети'!AU$3&gt;='01_Вводные'!$B$245))+ABS('01_Вводные'!$D$314:$D$318*'01_Вводные'!$B$314:$B$318*IF('01_Вводные'!$B$9=0,0,'06_Сеть_и_дети'!AU11/'01_Вводные'!$B$9)-'06_Сеть_и_дети'!AU20*'19_Расчет_аналитики'!AU3842*'01_Вводные'!$C$314:$C$318*('01_Вводные'!$E$314:$E$318*('06_Сеть_и_дети'!AU$3&lt;'01_Вводные'!$B$245)+'01_Вводные'!$B$57*('06_Сеть_и_дети'!AU$3&gt;='01_Вводные'!$B$245))))/2),0)</f>
        <v/>
      </c>
      <c r="AV3419">
        <f>IF('01_Вводные'!$B$234="Да",SUMPRODUCT(('01_Вводные'!$D$314:$D$318*'01_Вводные'!$B$314:$B$318*IF('01_Вводные'!$B$9=0,0,'06_Сеть_и_дети'!AV11/'01_Вводные'!$B$9)+'06_Сеть_и_дети'!AV20*'19_Расчет_аналитики'!AV3842*'01_Вводные'!$C$314:$C$318*('01_Вводные'!$E$314:$E$318*('06_Сеть_и_дети'!AV$3&lt;'01_Вводные'!$B$245)+'01_Вводные'!$B$57*('06_Сеть_и_дети'!AV$3&gt;='01_Вводные'!$B$245))+ABS('01_Вводные'!$D$314:$D$318*'01_Вводные'!$B$314:$B$318*IF('01_Вводные'!$B$9=0,0,'06_Сеть_и_дети'!AV11/'01_Вводные'!$B$9)-'06_Сеть_и_дети'!AV20*'19_Расчет_аналитики'!AV3842*'01_Вводные'!$C$314:$C$318*('01_Вводные'!$E$314:$E$318*('06_Сеть_и_дети'!AV$3&lt;'01_Вводные'!$B$245)+'01_Вводные'!$B$57*('06_Сеть_и_дети'!AV$3&gt;='01_Вводные'!$B$245))))/2),0)</f>
        <v/>
      </c>
      <c r="AW3419">
        <f>IF('01_Вводные'!$B$234="Да",SUMPRODUCT(('01_Вводные'!$D$314:$D$318*'01_Вводные'!$B$314:$B$318*IF('01_Вводные'!$B$9=0,0,'06_Сеть_и_дети'!AW11/'01_Вводные'!$B$9)+'06_Сеть_и_дети'!AW20*'19_Расчет_аналитики'!AW3842*'01_Вводные'!$C$314:$C$318*('01_Вводные'!$E$314:$E$318*('06_Сеть_и_дети'!AW$3&lt;'01_Вводные'!$B$245)+'01_Вводные'!$B$57*('06_Сеть_и_дети'!AW$3&gt;='01_Вводные'!$B$245))+ABS('01_Вводные'!$D$314:$D$318*'01_Вводные'!$B$314:$B$318*IF('01_Вводные'!$B$9=0,0,'06_Сеть_и_дети'!AW11/'01_Вводные'!$B$9)-'06_Сеть_и_дети'!AW20*'19_Расчет_аналитики'!AW3842*'01_Вводные'!$C$314:$C$318*('01_Вводные'!$E$314:$E$318*('06_Сеть_и_дети'!AW$3&lt;'01_Вводные'!$B$245)+'01_Вводные'!$B$57*('06_Сеть_и_дети'!AW$3&gt;='01_Вводные'!$B$245))))/2),0)</f>
        <v/>
      </c>
      <c r="AX3419">
        <f>IF('01_Вводные'!$B$234="Да",SUMPRODUCT(('01_Вводные'!$D$314:$D$318*'01_Вводные'!$B$314:$B$318*IF('01_Вводные'!$B$9=0,0,'06_Сеть_и_дети'!AX11/'01_Вводные'!$B$9)+'06_Сеть_и_дети'!AX20*'19_Расчет_аналитики'!AX3842*'01_Вводные'!$C$314:$C$318*('01_Вводные'!$E$314:$E$318*('06_Сеть_и_дети'!AX$3&lt;'01_Вводные'!$B$245)+'01_Вводные'!$B$57*('06_Сеть_и_дети'!AX$3&gt;='01_Вводные'!$B$245))+ABS('01_Вводные'!$D$314:$D$318*'01_Вводные'!$B$314:$B$318*IF('01_Вводные'!$B$9=0,0,'06_Сеть_и_дети'!AX11/'01_Вводные'!$B$9)-'06_Сеть_и_дети'!AX20*'19_Расчет_аналитики'!AX3842*'01_Вводные'!$C$314:$C$318*('01_Вводные'!$E$314:$E$318*('06_Сеть_и_дети'!AX$3&lt;'01_Вводные'!$B$245)+'01_Вводные'!$B$57*('06_Сеть_и_дети'!AX$3&gt;='01_Вводные'!$B$245))))/2),0)</f>
        <v/>
      </c>
      <c r="AY3419">
        <f>IF('01_Вводные'!$B$234="Да",SUMPRODUCT(('01_Вводные'!$D$314:$D$318*'01_Вводные'!$B$314:$B$318*IF('01_Вводные'!$B$9=0,0,'06_Сеть_и_дети'!AY11/'01_Вводные'!$B$9)+'06_Сеть_и_дети'!AY20*'19_Расчет_аналитики'!AY3842*'01_Вводные'!$C$314:$C$318*('01_Вводные'!$E$314:$E$318*('06_Сеть_и_дети'!AY$3&lt;'01_Вводные'!$B$245)+'01_Вводные'!$B$57*('06_Сеть_и_дети'!AY$3&gt;='01_Вводные'!$B$245))+ABS('01_Вводные'!$D$314:$D$318*'01_Вводные'!$B$314:$B$318*IF('01_Вводные'!$B$9=0,0,'06_Сеть_и_дети'!AY11/'01_Вводные'!$B$9)-'06_Сеть_и_дети'!AY20*'19_Расчет_аналитики'!AY3842*'01_Вводные'!$C$314:$C$318*('01_Вводные'!$E$314:$E$318*('06_Сеть_и_дети'!AY$3&lt;'01_Вводные'!$B$245)+'01_Вводные'!$B$57*('06_Сеть_и_дети'!AY$3&gt;='01_Вводные'!$B$245))))/2),0)</f>
        <v/>
      </c>
      <c r="AZ3419">
        <f>IF('01_Вводные'!$B$234="Да",SUMPRODUCT(('01_Вводные'!$D$314:$D$318*'01_Вводные'!$B$314:$B$318*IF('01_Вводные'!$B$9=0,0,'06_Сеть_и_дети'!AZ11/'01_Вводные'!$B$9)+'06_Сеть_и_дети'!AZ20*'19_Расчет_аналитики'!AZ3842*'01_Вводные'!$C$314:$C$318*('01_Вводные'!$E$314:$E$318*('06_Сеть_и_дети'!AZ$3&lt;'01_Вводные'!$B$245)+'01_Вводные'!$B$57*('06_Сеть_и_дети'!AZ$3&gt;='01_Вводные'!$B$245))+ABS('01_Вводные'!$D$314:$D$318*'01_Вводные'!$B$314:$B$318*IF('01_Вводные'!$B$9=0,0,'06_Сеть_и_дети'!AZ11/'01_Вводные'!$B$9)-'06_Сеть_и_дети'!AZ20*'19_Расчет_аналитики'!AZ3842*'01_Вводные'!$C$314:$C$318*('01_Вводные'!$E$314:$E$318*('06_Сеть_и_дети'!AZ$3&lt;'01_Вводные'!$B$245)+'01_Вводные'!$B$57*('06_Сеть_и_дети'!AZ$3&gt;='01_Вводные'!$B$245))))/2),0)</f>
        <v/>
      </c>
      <c r="BA3419">
        <f>IF('01_Вводные'!$B$234="Да",SUMPRODUCT(('01_Вводные'!$D$314:$D$318*'01_Вводные'!$B$314:$B$318*IF('01_Вводные'!$B$9=0,0,'06_Сеть_и_дети'!BA11/'01_Вводные'!$B$9)+'06_Сеть_и_дети'!BA20*'19_Расчет_аналитики'!BA3842*'01_Вводные'!$C$314:$C$318*('01_Вводные'!$E$314:$E$318*('06_Сеть_и_дети'!BA$3&lt;'01_Вводные'!$B$245)+'01_Вводные'!$B$57*('06_Сеть_и_дети'!BA$3&gt;='01_Вводные'!$B$245))+ABS('01_Вводные'!$D$314:$D$318*'01_Вводные'!$B$314:$B$318*IF('01_Вводные'!$B$9=0,0,'06_Сеть_и_дети'!BA11/'01_Вводные'!$B$9)-'06_Сеть_и_дети'!BA20*'19_Расчет_аналитики'!BA3842*'01_Вводные'!$C$314:$C$318*('01_Вводные'!$E$314:$E$318*('06_Сеть_и_дети'!BA$3&lt;'01_Вводные'!$B$245)+'01_Вводные'!$B$57*('06_Сеть_и_дети'!BA$3&gt;='01_Вводные'!$B$245))))/2),0)</f>
        <v/>
      </c>
      <c r="BB3419">
        <f>IF('01_Вводные'!$B$234="Да",SUMPRODUCT(('01_Вводные'!$D$314:$D$318*'01_Вводные'!$B$314:$B$318*IF('01_Вводные'!$B$9=0,0,'06_Сеть_и_дети'!BB11/'01_Вводные'!$B$9)+'06_Сеть_и_дети'!BB20*'19_Расчет_аналитики'!BB3842*'01_Вводные'!$C$314:$C$318*('01_Вводные'!$E$314:$E$318*('06_Сеть_и_дети'!BB$3&lt;'01_Вводные'!$B$245)+'01_Вводные'!$B$57*('06_Сеть_и_дети'!BB$3&gt;='01_Вводные'!$B$245))+ABS('01_Вводные'!$D$314:$D$318*'01_Вводные'!$B$314:$B$318*IF('01_Вводные'!$B$9=0,0,'06_Сеть_и_дети'!BB11/'01_Вводные'!$B$9)-'06_Сеть_и_дети'!BB20*'19_Расчет_аналитики'!BB3842*'01_Вводные'!$C$314:$C$318*('01_Вводные'!$E$314:$E$318*('06_Сеть_и_дети'!BB$3&lt;'01_Вводные'!$B$245)+'01_Вводные'!$B$57*('06_Сеть_и_дети'!BB$3&gt;='01_Вводные'!$B$245))))/2),0)</f>
        <v/>
      </c>
      <c r="BC3419">
        <f>IF('01_Вводные'!$B$234="Да",SUMPRODUCT(('01_Вводные'!$D$314:$D$318*'01_Вводные'!$B$314:$B$318*IF('01_Вводные'!$B$9=0,0,'06_Сеть_и_дети'!BC11/'01_Вводные'!$B$9)+'06_Сеть_и_дети'!BC20*'19_Расчет_аналитики'!BC3842*'01_Вводные'!$C$314:$C$318*('01_Вводные'!$E$314:$E$318*('06_Сеть_и_дети'!BC$3&lt;'01_Вводные'!$B$245)+'01_Вводные'!$B$57*('06_Сеть_и_дети'!BC$3&gt;='01_Вводные'!$B$245))+ABS('01_Вводные'!$D$314:$D$318*'01_Вводные'!$B$314:$B$318*IF('01_Вводные'!$B$9=0,0,'06_Сеть_и_дети'!BC11/'01_Вводные'!$B$9)-'06_Сеть_и_дети'!BC20*'19_Расчет_аналитики'!BC3842*'01_Вводные'!$C$314:$C$318*('01_Вводные'!$E$314:$E$318*('06_Сеть_и_дети'!BC$3&lt;'01_Вводные'!$B$245)+'01_Вводные'!$B$57*('06_Сеть_и_дети'!BC$3&gt;='01_Вводные'!$B$245))))/2),0)</f>
        <v/>
      </c>
      <c r="BD3419">
        <f>IF('01_Вводные'!$B$234="Да",SUMPRODUCT(('01_Вводные'!$D$314:$D$318*'01_Вводные'!$B$314:$B$318*IF('01_Вводные'!$B$9=0,0,'06_Сеть_и_дети'!BD11/'01_Вводные'!$B$9)+'06_Сеть_и_дети'!BD20*'19_Расчет_аналитики'!BD3842*'01_Вводные'!$C$314:$C$318*('01_Вводные'!$E$314:$E$318*('06_Сеть_и_дети'!BD$3&lt;'01_Вводные'!$B$245)+'01_Вводные'!$B$57*('06_Сеть_и_дети'!BD$3&gt;='01_Вводные'!$B$245))+ABS('01_Вводные'!$D$314:$D$318*'01_Вводные'!$B$314:$B$318*IF('01_Вводные'!$B$9=0,0,'06_Сеть_и_дети'!BD11/'01_Вводные'!$B$9)-'06_Сеть_и_дети'!BD20*'19_Расчет_аналитики'!BD3842*'01_Вводные'!$C$314:$C$318*('01_Вводные'!$E$314:$E$318*('06_Сеть_и_дети'!BD$3&lt;'01_Вводные'!$B$245)+'01_Вводные'!$B$57*('06_Сеть_и_дети'!BD$3&gt;='01_Вводные'!$B$245))))/2),0)</f>
        <v/>
      </c>
      <c r="BE3419">
        <f>IF('01_Вводные'!$B$234="Да",SUMPRODUCT(('01_Вводные'!$D$314:$D$318*'01_Вводные'!$B$314:$B$318*IF('01_Вводные'!$B$9=0,0,'06_Сеть_и_дети'!BE11/'01_Вводные'!$B$9)+'06_Сеть_и_дети'!BE20*'19_Расчет_аналитики'!BE3842*'01_Вводные'!$C$314:$C$318*('01_Вводные'!$E$314:$E$318*('06_Сеть_и_дети'!BE$3&lt;'01_Вводные'!$B$245)+'01_Вводные'!$B$57*('06_Сеть_и_дети'!BE$3&gt;='01_Вводные'!$B$245))+ABS('01_Вводные'!$D$314:$D$318*'01_Вводные'!$B$314:$B$318*IF('01_Вводные'!$B$9=0,0,'06_Сеть_и_дети'!BE11/'01_Вводные'!$B$9)-'06_Сеть_и_дети'!BE20*'19_Расчет_аналитики'!BE3842*'01_Вводные'!$C$314:$C$318*('01_Вводные'!$E$314:$E$318*('06_Сеть_и_дети'!BE$3&lt;'01_Вводные'!$B$245)+'01_Вводные'!$B$57*('06_Сеть_и_дети'!BE$3&gt;='01_Вводные'!$B$245))))/2),0)</f>
        <v/>
      </c>
      <c r="BF3419">
        <f>IF('01_Вводные'!$B$234="Да",SUMPRODUCT(('01_Вводные'!$D$314:$D$318*'01_Вводные'!$B$314:$B$318*IF('01_Вводные'!$B$9=0,0,'06_Сеть_и_дети'!BF11/'01_Вводные'!$B$9)+'06_Сеть_и_дети'!BF20*'19_Расчет_аналитики'!BF3842*'01_Вводные'!$C$314:$C$318*('01_Вводные'!$E$314:$E$318*('06_Сеть_и_дети'!BF$3&lt;'01_Вводные'!$B$245)+'01_Вводные'!$B$57*('06_Сеть_и_дети'!BF$3&gt;='01_Вводные'!$B$245))+ABS('01_Вводные'!$D$314:$D$318*'01_Вводные'!$B$314:$B$318*IF('01_Вводные'!$B$9=0,0,'06_Сеть_и_дети'!BF11/'01_Вводные'!$B$9)-'06_Сеть_и_дети'!BF20*'19_Расчет_аналитики'!BF3842*'01_Вводные'!$C$314:$C$318*('01_Вводные'!$E$314:$E$318*('06_Сеть_и_дети'!BF$3&lt;'01_Вводные'!$B$245)+'01_Вводные'!$B$57*('06_Сеть_и_дети'!BF$3&gt;='01_Вводные'!$B$245))))/2),0)</f>
        <v/>
      </c>
      <c r="BG3419">
        <f>IF('01_Вводные'!$B$234="Да",SUMPRODUCT(('01_Вводные'!$D$314:$D$318*'01_Вводные'!$B$314:$B$318*IF('01_Вводные'!$B$9=0,0,'06_Сеть_и_дети'!BG11/'01_Вводные'!$B$9)+'06_Сеть_и_дети'!BG20*'19_Расчет_аналитики'!BG3842*'01_Вводные'!$C$314:$C$318*('01_Вводные'!$E$314:$E$318*('06_Сеть_и_дети'!BG$3&lt;'01_Вводные'!$B$245)+'01_Вводные'!$B$57*('06_Сеть_и_дети'!BG$3&gt;='01_Вводные'!$B$245))+ABS('01_Вводные'!$D$314:$D$318*'01_Вводные'!$B$314:$B$318*IF('01_Вводные'!$B$9=0,0,'06_Сеть_и_дети'!BG11/'01_Вводные'!$B$9)-'06_Сеть_и_дети'!BG20*'19_Расчет_аналитики'!BG3842*'01_Вводные'!$C$314:$C$318*('01_Вводные'!$E$314:$E$318*('06_Сеть_и_дети'!BG$3&lt;'01_Вводные'!$B$245)+'01_Вводные'!$B$57*('06_Сеть_и_дети'!BG$3&gt;='01_Вводные'!$B$245))))/2),0)</f>
        <v/>
      </c>
      <c r="BH3419">
        <f>IF('01_Вводные'!$B$234="Да",SUMPRODUCT(('01_Вводные'!$D$314:$D$318*'01_Вводные'!$B$314:$B$318*IF('01_Вводные'!$B$9=0,0,'06_Сеть_и_дети'!BH11/'01_Вводные'!$B$9)+'06_Сеть_и_дети'!BH20*'19_Расчет_аналитики'!BH3842*'01_Вводные'!$C$314:$C$318*('01_Вводные'!$E$314:$E$318*('06_Сеть_и_дети'!BH$3&lt;'01_Вводные'!$B$245)+'01_Вводные'!$B$57*('06_Сеть_и_дети'!BH$3&gt;='01_Вводные'!$B$245))+ABS('01_Вводные'!$D$314:$D$318*'01_Вводные'!$B$314:$B$318*IF('01_Вводные'!$B$9=0,0,'06_Сеть_и_дети'!BH11/'01_Вводные'!$B$9)-'06_Сеть_и_дети'!BH20*'19_Расчет_аналитики'!BH3842*'01_Вводные'!$C$314:$C$318*('01_Вводные'!$E$314:$E$318*('06_Сеть_и_дети'!BH$3&lt;'01_Вводные'!$B$245)+'01_Вводные'!$B$57*('06_Сеть_и_дети'!BH$3&gt;='01_Вводные'!$B$245))))/2),0)</f>
        <v/>
      </c>
      <c r="BI3419">
        <f>IF('01_Вводные'!$B$234="Да",SUMPRODUCT(('01_Вводные'!$D$314:$D$318*'01_Вводные'!$B$314:$B$318*IF('01_Вводные'!$B$9=0,0,'06_Сеть_и_дети'!BI11/'01_Вводные'!$B$9)+'06_Сеть_и_дети'!BI20*'19_Расчет_аналитики'!BI3842*'01_Вводные'!$C$314:$C$318*('01_Вводные'!$E$314:$E$318*('06_Сеть_и_дети'!BI$3&lt;'01_Вводные'!$B$245)+'01_Вводные'!$B$57*('06_Сеть_и_дети'!BI$3&gt;='01_Вводные'!$B$245))+ABS('01_Вводные'!$D$314:$D$318*'01_Вводные'!$B$314:$B$318*IF('01_Вводные'!$B$9=0,0,'06_Сеть_и_дети'!BI11/'01_Вводные'!$B$9)-'06_Сеть_и_дети'!BI20*'19_Расчет_аналитики'!BI3842*'01_Вводные'!$C$314:$C$318*('01_Вводные'!$E$314:$E$318*('06_Сеть_и_дети'!BI$3&lt;'01_Вводные'!$B$245)+'01_Вводные'!$B$57*('06_Сеть_и_дети'!BI$3&gt;='01_Вводные'!$B$245))))/2),0)</f>
        <v/>
      </c>
      <c r="BJ3419">
        <f>IF('01_Вводные'!$B$234="Да",SUMPRODUCT(('01_Вводные'!$D$314:$D$318*'01_Вводные'!$B$314:$B$318*IF('01_Вводные'!$B$9=0,0,'06_Сеть_и_дети'!BJ11/'01_Вводные'!$B$9)+'06_Сеть_и_дети'!BJ20*'19_Расчет_аналитики'!BJ3842*'01_Вводные'!$C$314:$C$318*('01_Вводные'!$E$314:$E$318*('06_Сеть_и_дети'!BJ$3&lt;'01_Вводные'!$B$245)+'01_Вводные'!$B$57*('06_Сеть_и_дети'!BJ$3&gt;='01_Вводные'!$B$245))+ABS('01_Вводные'!$D$314:$D$318*'01_Вводные'!$B$314:$B$318*IF('01_Вводные'!$B$9=0,0,'06_Сеть_и_дети'!BJ11/'01_Вводные'!$B$9)-'06_Сеть_и_дети'!BJ20*'19_Расчет_аналитики'!BJ3842*'01_Вводные'!$C$314:$C$318*('01_Вводные'!$E$314:$E$318*('06_Сеть_и_дети'!BJ$3&lt;'01_Вводные'!$B$245)+'01_Вводные'!$B$57*('06_Сеть_и_дети'!BJ$3&gt;='01_Вводные'!$B$245))))/2),0)</f>
        <v/>
      </c>
      <c r="BK3419">
        <f>IF('01_Вводные'!$B$234="Да",SUMPRODUCT(('01_Вводные'!$D$314:$D$318*'01_Вводные'!$B$314:$B$318*IF('01_Вводные'!$B$9=0,0,'06_Сеть_и_дети'!BK11/'01_Вводные'!$B$9)+'06_Сеть_и_дети'!BK20*'19_Расчет_аналитики'!BK3842*'01_Вводные'!$C$314:$C$318*('01_Вводные'!$E$314:$E$318*('06_Сеть_и_дети'!BK$3&lt;'01_Вводные'!$B$245)+'01_Вводные'!$B$57*('06_Сеть_и_дети'!BK$3&gt;='01_Вводные'!$B$245))+ABS('01_Вводные'!$D$314:$D$318*'01_Вводные'!$B$314:$B$318*IF('01_Вводные'!$B$9=0,0,'06_Сеть_и_дети'!BK11/'01_Вводные'!$B$9)-'06_Сеть_и_дети'!BK20*'19_Расчет_аналитики'!BK3842*'01_Вводные'!$C$314:$C$318*('01_Вводные'!$E$314:$E$318*('06_Сеть_и_дети'!BK$3&lt;'01_Вводные'!$B$245)+'01_Вводные'!$B$57*('06_Сеть_и_дети'!BK$3&gt;='01_Вводные'!$B$245))))/2),0)</f>
        <v/>
      </c>
      <c r="BL3419">
        <f>IF('01_Вводные'!$B$234="Да",SUMPRODUCT(('01_Вводные'!$D$314:$D$318*'01_Вводные'!$B$314:$B$318*IF('01_Вводные'!$B$9=0,0,'06_Сеть_и_дети'!BL11/'01_Вводные'!$B$9)+'06_Сеть_и_дети'!BL20*'19_Расчет_аналитики'!BL3842*'01_Вводные'!$C$314:$C$318*('01_Вводные'!$E$314:$E$318*('06_Сеть_и_дети'!BL$3&lt;'01_Вводные'!$B$245)+'01_Вводные'!$B$57*('06_Сеть_и_дети'!BL$3&gt;='01_Вводные'!$B$245))+ABS('01_Вводные'!$D$314:$D$318*'01_Вводные'!$B$314:$B$318*IF('01_Вводные'!$B$9=0,0,'06_Сеть_и_дети'!BL11/'01_Вводные'!$B$9)-'06_Сеть_и_дети'!BL20*'19_Расчет_аналитики'!BL3842*'01_Вводные'!$C$314:$C$318*('01_Вводные'!$E$314:$E$318*('06_Сеть_и_дети'!BL$3&lt;'01_Вводные'!$B$245)+'01_Вводные'!$B$57*('06_Сеть_и_дети'!BL$3&gt;='01_Вводные'!$B$245))))/2),0)</f>
        <v/>
      </c>
      <c r="BM3419">
        <f>IF('01_Вводные'!$B$234="Да",SUMPRODUCT(('01_Вводные'!$D$314:$D$318*'01_Вводные'!$B$314:$B$318*IF('01_Вводные'!$B$9=0,0,'06_Сеть_и_дети'!BM11/'01_Вводные'!$B$9)+'06_Сеть_и_дети'!BM20*'19_Расчет_аналитики'!BM3842*'01_Вводные'!$C$314:$C$318*('01_Вводные'!$E$314:$E$318*('06_Сеть_и_дети'!BM$3&lt;'01_Вводные'!$B$245)+'01_Вводные'!$B$57*('06_Сеть_и_дети'!BM$3&gt;='01_Вводные'!$B$245))+ABS('01_Вводные'!$D$314:$D$318*'01_Вводные'!$B$314:$B$318*IF('01_Вводные'!$B$9=0,0,'06_Сеть_и_дети'!BM11/'01_Вводные'!$B$9)-'06_Сеть_и_дети'!BM20*'19_Расчет_аналитики'!BM3842*'01_Вводные'!$C$314:$C$318*('01_Вводные'!$E$314:$E$318*('06_Сеть_и_дети'!BM$3&lt;'01_Вводные'!$B$245)+'01_Вводные'!$B$57*('06_Сеть_и_дети'!BM$3&gt;='01_Вводные'!$B$245))))/2),0)</f>
        <v/>
      </c>
      <c r="BN3419">
        <f>IF('01_Вводные'!$B$234="Да",SUMPRODUCT(('01_Вводные'!$D$314:$D$318*'01_Вводные'!$B$314:$B$318*IF('01_Вводные'!$B$9=0,0,'06_Сеть_и_дети'!BN11/'01_Вводные'!$B$9)+'06_Сеть_и_дети'!BN20*'19_Расчет_аналитики'!BN3842*'01_Вводные'!$C$314:$C$318*('01_Вводные'!$E$314:$E$318*('06_Сеть_и_дети'!BN$3&lt;'01_Вводные'!$B$245)+'01_Вводные'!$B$57*('06_Сеть_и_дети'!BN$3&gt;='01_Вводные'!$B$245))+ABS('01_Вводные'!$D$314:$D$318*'01_Вводные'!$B$314:$B$318*IF('01_Вводные'!$B$9=0,0,'06_Сеть_и_дети'!BN11/'01_Вводные'!$B$9)-'06_Сеть_и_дети'!BN20*'19_Расчет_аналитики'!BN3842*'01_Вводные'!$C$314:$C$318*('01_Вводные'!$E$314:$E$318*('06_Сеть_и_дети'!BN$3&lt;'01_Вводные'!$B$245)+'01_Вводные'!$B$57*('06_Сеть_и_дети'!BN$3&gt;='01_Вводные'!$B$245))))/2),0)</f>
        <v/>
      </c>
      <c r="BO3419">
        <f>IF('01_Вводные'!$B$234="Да",SUMPRODUCT(('01_Вводные'!$D$314:$D$318*'01_Вводные'!$B$314:$B$318*IF('01_Вводные'!$B$9=0,0,'06_Сеть_и_дети'!BO11/'01_Вводные'!$B$9)+'06_Сеть_и_дети'!BO20*'19_Расчет_аналитики'!BO3842*'01_Вводные'!$C$314:$C$318*('01_Вводные'!$E$314:$E$318*('06_Сеть_и_дети'!BO$3&lt;'01_Вводные'!$B$245)+'01_Вводные'!$B$57*('06_Сеть_и_дети'!BO$3&gt;='01_Вводные'!$B$245))+ABS('01_Вводные'!$D$314:$D$318*'01_Вводные'!$B$314:$B$318*IF('01_Вводные'!$B$9=0,0,'06_Сеть_и_дети'!BO11/'01_Вводные'!$B$9)-'06_Сеть_и_дети'!BO20*'19_Расчет_аналитики'!BO3842*'01_Вводные'!$C$314:$C$318*('01_Вводные'!$E$314:$E$318*('06_Сеть_и_дети'!BO$3&lt;'01_Вводные'!$B$245)+'01_Вводные'!$B$57*('06_Сеть_и_дети'!BO$3&gt;='01_Вводные'!$B$245))))/2),0)</f>
        <v/>
      </c>
    </row>
    <row r="3420">
      <c r="B3420">
        <f>IF('01_Вводные'!$B$234="Да",SUM('19_Расчет_аналитики'!B3500:B3524,'19_Расчет_аналитики'!B3528:B3552),0)</f>
        <v/>
      </c>
      <c r="C3420">
        <f>IF('01_Вводные'!$B$234="Да",SUM('19_Расчет_аналитики'!C3500:C3524,'19_Расчет_аналитики'!C3528:C3552),0)</f>
        <v/>
      </c>
      <c r="D3420">
        <f>IF('01_Вводные'!$B$234="Да",SUM('19_Расчет_аналитики'!D3500:D3524,'19_Расчет_аналитики'!D3528:D3552),0)</f>
        <v/>
      </c>
      <c r="E3420">
        <f>IF('01_Вводные'!$B$234="Да",SUM('19_Расчет_аналитики'!E3500:E3524,'19_Расчет_аналитики'!E3528:E3552),0)</f>
        <v/>
      </c>
      <c r="F3420">
        <f>IF('01_Вводные'!$B$234="Да",SUM('19_Расчет_аналитики'!F3500:F3524,'19_Расчет_аналитики'!F3528:F3552),0)</f>
        <v/>
      </c>
      <c r="G3420">
        <f>IF('01_Вводные'!$B$234="Да",SUM('19_Расчет_аналитики'!G3500:G3524,'19_Расчет_аналитики'!G3528:G3552),0)</f>
        <v/>
      </c>
      <c r="H3420">
        <f>IF('01_Вводные'!$B$234="Да",SUM('19_Расчет_аналитики'!H3500:H3524,'19_Расчет_аналитики'!H3528:H3552),0)</f>
        <v/>
      </c>
      <c r="I3420">
        <f>IF('01_Вводные'!$B$234="Да",SUM('19_Расчет_аналитики'!I3500:I3524,'19_Расчет_аналитики'!I3528:I3552),0)</f>
        <v/>
      </c>
      <c r="J3420">
        <f>IF('01_Вводные'!$B$234="Да",SUM('19_Расчет_аналитики'!J3500:J3524,'19_Расчет_аналитики'!J3528:J3552),0)</f>
        <v/>
      </c>
      <c r="K3420">
        <f>IF('01_Вводные'!$B$234="Да",SUM('19_Расчет_аналитики'!K3500:K3524,'19_Расчет_аналитики'!K3528:K3552),0)</f>
        <v/>
      </c>
      <c r="L3420">
        <f>IF('01_Вводные'!$B$234="Да",SUM('19_Расчет_аналитики'!L3500:L3524,'19_Расчет_аналитики'!L3528:L3552),0)</f>
        <v/>
      </c>
      <c r="M3420">
        <f>IF('01_Вводные'!$B$234="Да",SUM('19_Расчет_аналитики'!M3500:M3524,'19_Расчет_аналитики'!M3528:M3552),0)</f>
        <v/>
      </c>
      <c r="N3420">
        <f>IF('01_Вводные'!$B$234="Да",SUM('19_Расчет_аналитики'!N3500:N3524,'19_Расчет_аналитики'!N3528:N3552),0)</f>
        <v/>
      </c>
      <c r="O3420">
        <f>IF('01_Вводные'!$B$234="Да",SUM('19_Расчет_аналитики'!O3500:O3524,'19_Расчет_аналитики'!O3528:O3552),0)</f>
        <v/>
      </c>
      <c r="P3420">
        <f>IF('01_Вводные'!$B$234="Да",SUM('19_Расчет_аналитики'!P3500:P3524,'19_Расчет_аналитики'!P3528:P3552),0)</f>
        <v/>
      </c>
      <c r="Q3420">
        <f>IF('01_Вводные'!$B$234="Да",SUM('19_Расчет_аналитики'!Q3500:Q3524,'19_Расчет_аналитики'!Q3528:Q3552),0)</f>
        <v/>
      </c>
      <c r="R3420">
        <f>IF('01_Вводные'!$B$234="Да",SUM('19_Расчет_аналитики'!R3500:R3524,'19_Расчет_аналитики'!R3528:R3552),0)</f>
        <v/>
      </c>
      <c r="S3420">
        <f>IF('01_Вводные'!$B$234="Да",SUM('19_Расчет_аналитики'!S3500:S3524,'19_Расчет_аналитики'!S3528:S3552),0)</f>
        <v/>
      </c>
      <c r="T3420">
        <f>IF('01_Вводные'!$B$234="Да",SUM('19_Расчет_аналитики'!T3500:T3524,'19_Расчет_аналитики'!T3528:T3552),0)</f>
        <v/>
      </c>
      <c r="U3420">
        <f>IF('01_Вводные'!$B$234="Да",SUM('19_Расчет_аналитики'!U3500:U3524,'19_Расчет_аналитики'!U3528:U3552),0)</f>
        <v/>
      </c>
      <c r="V3420">
        <f>IF('01_Вводные'!$B$234="Да",SUM('19_Расчет_аналитики'!V3500:V3524,'19_Расчет_аналитики'!V3528:V3552),0)</f>
        <v/>
      </c>
      <c r="W3420">
        <f>IF('01_Вводные'!$B$234="Да",SUM('19_Расчет_аналитики'!W3500:W3524,'19_Расчет_аналитики'!W3528:W3552),0)</f>
        <v/>
      </c>
      <c r="X3420">
        <f>IF('01_Вводные'!$B$234="Да",SUM('19_Расчет_аналитики'!X3500:X3524,'19_Расчет_аналитики'!X3528:X3552),0)</f>
        <v/>
      </c>
      <c r="Y3420">
        <f>IF('01_Вводные'!$B$234="Да",SUM('19_Расчет_аналитики'!Y3500:Y3524,'19_Расчет_аналитики'!Y3528:Y3552),0)</f>
        <v/>
      </c>
      <c r="Z3420">
        <f>IF('01_Вводные'!$B$234="Да",SUM('19_Расчет_аналитики'!Z3500:Z3524,'19_Расчет_аналитики'!Z3528:Z3552),0)</f>
        <v/>
      </c>
      <c r="AA3420">
        <f>IF('01_Вводные'!$B$234="Да",SUM('19_Расчет_аналитики'!AA3500:AA3524,'19_Расчет_аналитики'!AA3528:AA3552),0)</f>
        <v/>
      </c>
      <c r="AB3420">
        <f>IF('01_Вводные'!$B$234="Да",SUM('19_Расчет_аналитики'!AB3500:AB3524,'19_Расчет_аналитики'!AB3528:AB3552),0)</f>
        <v/>
      </c>
      <c r="AC3420">
        <f>IF('01_Вводные'!$B$234="Да",SUM('19_Расчет_аналитики'!AC3500:AC3524,'19_Расчет_аналитики'!AC3528:AC3552),0)</f>
        <v/>
      </c>
      <c r="AD3420">
        <f>IF('01_Вводные'!$B$234="Да",SUM('19_Расчет_аналитики'!AD3500:AD3524,'19_Расчет_аналитики'!AD3528:AD3552),0)</f>
        <v/>
      </c>
      <c r="AE3420">
        <f>IF('01_Вводные'!$B$234="Да",SUM('19_Расчет_аналитики'!AE3500:AE3524,'19_Расчет_аналитики'!AE3528:AE3552),0)</f>
        <v/>
      </c>
      <c r="AF3420">
        <f>IF('01_Вводные'!$B$234="Да",SUM('19_Расчет_аналитики'!AF3500:AF3524,'19_Расчет_аналитики'!AF3528:AF3552),0)</f>
        <v/>
      </c>
      <c r="AG3420">
        <f>IF('01_Вводные'!$B$234="Да",SUM('19_Расчет_аналитики'!AG3500:AG3524,'19_Расчет_аналитики'!AG3528:AG3552),0)</f>
        <v/>
      </c>
      <c r="AH3420">
        <f>IF('01_Вводные'!$B$234="Да",SUM('19_Расчет_аналитики'!AH3500:AH3524,'19_Расчет_аналитики'!AH3528:AH3552),0)</f>
        <v/>
      </c>
      <c r="AI3420">
        <f>IF('01_Вводные'!$B$234="Да",SUM('19_Расчет_аналитики'!AI3500:AI3524,'19_Расчет_аналитики'!AI3528:AI3552),0)</f>
        <v/>
      </c>
      <c r="AJ3420">
        <f>IF('01_Вводные'!$B$234="Да",SUM('19_Расчет_аналитики'!AJ3500:AJ3524,'19_Расчет_аналитики'!AJ3528:AJ3552),0)</f>
        <v/>
      </c>
      <c r="AK3420">
        <f>IF('01_Вводные'!$B$234="Да",SUM('19_Расчет_аналитики'!AK3500:AK3524,'19_Расчет_аналитики'!AK3528:AK3552),0)</f>
        <v/>
      </c>
      <c r="AL3420">
        <f>IF('01_Вводные'!$B$234="Да",SUM('19_Расчет_аналитики'!AL3500:AL3524,'19_Расчет_аналитики'!AL3528:AL3552),0)</f>
        <v/>
      </c>
      <c r="AM3420">
        <f>IF('01_Вводные'!$B$234="Да",SUM('19_Расчет_аналитики'!AM3500:AM3524,'19_Расчет_аналитики'!AM3528:AM3552),0)</f>
        <v/>
      </c>
      <c r="AN3420">
        <f>IF('01_Вводные'!$B$234="Да",SUM('19_Расчет_аналитики'!AN3500:AN3524,'19_Расчет_аналитики'!AN3528:AN3552),0)</f>
        <v/>
      </c>
      <c r="AO3420">
        <f>IF('01_Вводные'!$B$234="Да",SUM('19_Расчет_аналитики'!AO3500:AO3524,'19_Расчет_аналитики'!AO3528:AO3552),0)</f>
        <v/>
      </c>
      <c r="AP3420">
        <f>IF('01_Вводные'!$B$234="Да",SUM('19_Расчет_аналитики'!AP3500:AP3524,'19_Расчет_аналитики'!AP3528:AP3552),0)</f>
        <v/>
      </c>
      <c r="AQ3420">
        <f>IF('01_Вводные'!$B$234="Да",SUM('19_Расчет_аналитики'!AQ3500:AQ3524,'19_Расчет_аналитики'!AQ3528:AQ3552),0)</f>
        <v/>
      </c>
      <c r="AR3420">
        <f>IF('01_Вводные'!$B$234="Да",SUM('19_Расчет_аналитики'!AR3500:AR3524,'19_Расчет_аналитики'!AR3528:AR3552),0)</f>
        <v/>
      </c>
      <c r="AS3420">
        <f>IF('01_Вводные'!$B$234="Да",SUM('19_Расчет_аналитики'!AS3500:AS3524,'19_Расчет_аналитики'!AS3528:AS3552),0)</f>
        <v/>
      </c>
      <c r="AT3420">
        <f>IF('01_Вводные'!$B$234="Да",SUM('19_Расчет_аналитики'!AT3500:AT3524,'19_Расчет_аналитики'!AT3528:AT3552),0)</f>
        <v/>
      </c>
      <c r="AU3420">
        <f>IF('01_Вводные'!$B$234="Да",SUM('19_Расчет_аналитики'!AU3500:AU3524,'19_Расчет_аналитики'!AU3528:AU3552),0)</f>
        <v/>
      </c>
      <c r="AV3420">
        <f>IF('01_Вводные'!$B$234="Да",SUM('19_Расчет_аналитики'!AV3500:AV3524,'19_Расчет_аналитики'!AV3528:AV3552),0)</f>
        <v/>
      </c>
      <c r="AW3420">
        <f>IF('01_Вводные'!$B$234="Да",SUM('19_Расчет_аналитики'!AW3500:AW3524,'19_Расчет_аналитики'!AW3528:AW3552),0)</f>
        <v/>
      </c>
      <c r="AX3420">
        <f>IF('01_Вводные'!$B$234="Да",SUM('19_Расчет_аналитики'!AX3500:AX3524,'19_Расчет_аналитики'!AX3528:AX3552),0)</f>
        <v/>
      </c>
      <c r="AY3420">
        <f>IF('01_Вводные'!$B$234="Да",SUM('19_Расчет_аналитики'!AY3500:AY3524,'19_Расчет_аналитики'!AY3528:AY3552),0)</f>
        <v/>
      </c>
      <c r="AZ3420">
        <f>IF('01_Вводные'!$B$234="Да",SUM('19_Расчет_аналитики'!AZ3500:AZ3524,'19_Расчет_аналитики'!AZ3528:AZ3552),0)</f>
        <v/>
      </c>
      <c r="BA3420">
        <f>IF('01_Вводные'!$B$234="Да",SUM('19_Расчет_аналитики'!BA3500:BA3524,'19_Расчет_аналитики'!BA3528:BA3552),0)</f>
        <v/>
      </c>
      <c r="BB3420">
        <f>IF('01_Вводные'!$B$234="Да",SUM('19_Расчет_аналитики'!BB3500:BB3524,'19_Расчет_аналитики'!BB3528:BB3552),0)</f>
        <v/>
      </c>
      <c r="BC3420">
        <f>IF('01_Вводные'!$B$234="Да",SUM('19_Расчет_аналитики'!BC3500:BC3524,'19_Расчет_аналитики'!BC3528:BC3552),0)</f>
        <v/>
      </c>
      <c r="BD3420">
        <f>IF('01_Вводные'!$B$234="Да",SUM('19_Расчет_аналитики'!BD3500:BD3524,'19_Расчет_аналитики'!BD3528:BD3552),0)</f>
        <v/>
      </c>
      <c r="BE3420">
        <f>IF('01_Вводные'!$B$234="Да",SUM('19_Расчет_аналитики'!BE3500:BE3524,'19_Расчет_аналитики'!BE3528:BE3552),0)</f>
        <v/>
      </c>
      <c r="BF3420">
        <f>IF('01_Вводные'!$B$234="Да",SUM('19_Расчет_аналитики'!BF3500:BF3524,'19_Расчет_аналитики'!BF3528:BF3552),0)</f>
        <v/>
      </c>
      <c r="BG3420">
        <f>IF('01_Вводные'!$B$234="Да",SUM('19_Расчет_аналитики'!BG3500:BG3524,'19_Расчет_аналитики'!BG3528:BG3552),0)</f>
        <v/>
      </c>
      <c r="BH3420">
        <f>IF('01_Вводные'!$B$234="Да",SUM('19_Расчет_аналитики'!BH3500:BH3524,'19_Расчет_аналитики'!BH3528:BH3552),0)</f>
        <v/>
      </c>
      <c r="BI3420">
        <f>IF('01_Вводные'!$B$234="Да",SUM('19_Расчет_аналитики'!BI3500:BI3524,'19_Расчет_аналитики'!BI3528:BI3552),0)</f>
        <v/>
      </c>
      <c r="BJ3420">
        <f>IF('01_Вводные'!$B$234="Да",SUM('19_Расчет_аналитики'!BJ3500:BJ3524,'19_Расчет_аналитики'!BJ3528:BJ3552),0)</f>
        <v/>
      </c>
      <c r="BK3420">
        <f>IF('01_Вводные'!$B$234="Да",SUM('19_Расчет_аналитики'!BK3500:BK3524,'19_Расчет_аналитики'!BK3528:BK3552),0)</f>
        <v/>
      </c>
      <c r="BL3420">
        <f>IF('01_Вводные'!$B$234="Да",SUM('19_Расчет_аналитики'!BL3500:BL3524,'19_Расчет_аналитики'!BL3528:BL3552),0)</f>
        <v/>
      </c>
      <c r="BM3420">
        <f>IF('01_Вводные'!$B$234="Да",SUM('19_Расчет_аналитики'!BM3500:BM3524,'19_Расчет_аналитики'!BM3528:BM3552),0)</f>
        <v/>
      </c>
      <c r="BN3420">
        <f>IF('01_Вводные'!$B$234="Да",SUM('19_Расчет_аналитики'!BN3500:BN3524,'19_Расчет_аналитики'!BN3528:BN3552),0)</f>
        <v/>
      </c>
      <c r="BO3420">
        <f>IF('01_Вводные'!$B$234="Да",SUM('19_Расчет_аналитики'!BO3500:BO3524,'19_Расчет_аналитики'!BO3528:BO3552),0)</f>
        <v/>
      </c>
    </row>
    <row r="3421">
      <c r="B3421">
        <f>IF('01_Вводные'!$B$234="Да",'19_Расчет_аналитики'!B3419+'19_Расчет_аналитики'!B3420,0)</f>
        <v/>
      </c>
      <c r="C3421">
        <f>IF('01_Вводные'!$B$234="Да",'19_Расчет_аналитики'!C3419+'19_Расчет_аналитики'!C3420,0)</f>
        <v/>
      </c>
      <c r="D3421">
        <f>IF('01_Вводные'!$B$234="Да",'19_Расчет_аналитики'!D3419+'19_Расчет_аналитики'!D3420,0)</f>
        <v/>
      </c>
      <c r="E3421">
        <f>IF('01_Вводные'!$B$234="Да",'19_Расчет_аналитики'!E3419+'19_Расчет_аналитики'!E3420,0)</f>
        <v/>
      </c>
      <c r="F3421">
        <f>IF('01_Вводные'!$B$234="Да",'19_Расчет_аналитики'!F3419+'19_Расчет_аналитики'!F3420,0)</f>
        <v/>
      </c>
      <c r="G3421">
        <f>IF('01_Вводные'!$B$234="Да",'19_Расчет_аналитики'!G3419+'19_Расчет_аналитики'!G3420,0)</f>
        <v/>
      </c>
      <c r="H3421">
        <f>IF('01_Вводные'!$B$234="Да",'19_Расчет_аналитики'!H3419+'19_Расчет_аналитики'!H3420,0)</f>
        <v/>
      </c>
      <c r="I3421">
        <f>IF('01_Вводные'!$B$234="Да",'19_Расчет_аналитики'!I3419+'19_Расчет_аналитики'!I3420,0)</f>
        <v/>
      </c>
      <c r="J3421">
        <f>IF('01_Вводные'!$B$234="Да",'19_Расчет_аналитики'!J3419+'19_Расчет_аналитики'!J3420,0)</f>
        <v/>
      </c>
      <c r="K3421">
        <f>IF('01_Вводные'!$B$234="Да",'19_Расчет_аналитики'!K3419+'19_Расчет_аналитики'!K3420,0)</f>
        <v/>
      </c>
      <c r="L3421">
        <f>IF('01_Вводные'!$B$234="Да",'19_Расчет_аналитики'!L3419+'19_Расчет_аналитики'!L3420,0)</f>
        <v/>
      </c>
      <c r="M3421">
        <f>IF('01_Вводные'!$B$234="Да",'19_Расчет_аналитики'!M3419+'19_Расчет_аналитики'!M3420,0)</f>
        <v/>
      </c>
      <c r="N3421">
        <f>IF('01_Вводные'!$B$234="Да",'19_Расчет_аналитики'!N3419+'19_Расчет_аналитики'!N3420,0)</f>
        <v/>
      </c>
      <c r="O3421">
        <f>IF('01_Вводные'!$B$234="Да",'19_Расчет_аналитики'!O3419+'19_Расчет_аналитики'!O3420,0)</f>
        <v/>
      </c>
      <c r="P3421">
        <f>IF('01_Вводные'!$B$234="Да",'19_Расчет_аналитики'!P3419+'19_Расчет_аналитики'!P3420,0)</f>
        <v/>
      </c>
      <c r="Q3421">
        <f>IF('01_Вводные'!$B$234="Да",'19_Расчет_аналитики'!Q3419+'19_Расчет_аналитики'!Q3420,0)</f>
        <v/>
      </c>
      <c r="R3421">
        <f>IF('01_Вводные'!$B$234="Да",'19_Расчет_аналитики'!R3419+'19_Расчет_аналитики'!R3420,0)</f>
        <v/>
      </c>
      <c r="S3421">
        <f>IF('01_Вводные'!$B$234="Да",'19_Расчет_аналитики'!S3419+'19_Расчет_аналитики'!S3420,0)</f>
        <v/>
      </c>
      <c r="T3421">
        <f>IF('01_Вводные'!$B$234="Да",'19_Расчет_аналитики'!T3419+'19_Расчет_аналитики'!T3420,0)</f>
        <v/>
      </c>
      <c r="U3421">
        <f>IF('01_Вводные'!$B$234="Да",'19_Расчет_аналитики'!U3419+'19_Расчет_аналитики'!U3420,0)</f>
        <v/>
      </c>
      <c r="V3421">
        <f>IF('01_Вводные'!$B$234="Да",'19_Расчет_аналитики'!V3419+'19_Расчет_аналитики'!V3420,0)</f>
        <v/>
      </c>
      <c r="W3421">
        <f>IF('01_Вводные'!$B$234="Да",'19_Расчет_аналитики'!W3419+'19_Расчет_аналитики'!W3420,0)</f>
        <v/>
      </c>
      <c r="X3421">
        <f>IF('01_Вводные'!$B$234="Да",'19_Расчет_аналитики'!X3419+'19_Расчет_аналитики'!X3420,0)</f>
        <v/>
      </c>
      <c r="Y3421">
        <f>IF('01_Вводные'!$B$234="Да",'19_Расчет_аналитики'!Y3419+'19_Расчет_аналитики'!Y3420,0)</f>
        <v/>
      </c>
      <c r="Z3421">
        <f>IF('01_Вводные'!$B$234="Да",'19_Расчет_аналитики'!Z3419+'19_Расчет_аналитики'!Z3420,0)</f>
        <v/>
      </c>
      <c r="AA3421">
        <f>IF('01_Вводные'!$B$234="Да",'19_Расчет_аналитики'!AA3419+'19_Расчет_аналитики'!AA3420,0)</f>
        <v/>
      </c>
      <c r="AB3421">
        <f>IF('01_Вводные'!$B$234="Да",'19_Расчет_аналитики'!AB3419+'19_Расчет_аналитики'!AB3420,0)</f>
        <v/>
      </c>
      <c r="AC3421">
        <f>IF('01_Вводные'!$B$234="Да",'19_Расчет_аналитики'!AC3419+'19_Расчет_аналитики'!AC3420,0)</f>
        <v/>
      </c>
      <c r="AD3421">
        <f>IF('01_Вводные'!$B$234="Да",'19_Расчет_аналитики'!AD3419+'19_Расчет_аналитики'!AD3420,0)</f>
        <v/>
      </c>
      <c r="AE3421">
        <f>IF('01_Вводные'!$B$234="Да",'19_Расчет_аналитики'!AE3419+'19_Расчет_аналитики'!AE3420,0)</f>
        <v/>
      </c>
      <c r="AF3421">
        <f>IF('01_Вводные'!$B$234="Да",'19_Расчет_аналитики'!AF3419+'19_Расчет_аналитики'!AF3420,0)</f>
        <v/>
      </c>
      <c r="AG3421">
        <f>IF('01_Вводные'!$B$234="Да",'19_Расчет_аналитики'!AG3419+'19_Расчет_аналитики'!AG3420,0)</f>
        <v/>
      </c>
      <c r="AH3421">
        <f>IF('01_Вводные'!$B$234="Да",'19_Расчет_аналитики'!AH3419+'19_Расчет_аналитики'!AH3420,0)</f>
        <v/>
      </c>
      <c r="AI3421">
        <f>IF('01_Вводные'!$B$234="Да",'19_Расчет_аналитики'!AI3419+'19_Расчет_аналитики'!AI3420,0)</f>
        <v/>
      </c>
      <c r="AJ3421">
        <f>IF('01_Вводные'!$B$234="Да",'19_Расчет_аналитики'!AJ3419+'19_Расчет_аналитики'!AJ3420,0)</f>
        <v/>
      </c>
      <c r="AK3421">
        <f>IF('01_Вводные'!$B$234="Да",'19_Расчет_аналитики'!AK3419+'19_Расчет_аналитики'!AK3420,0)</f>
        <v/>
      </c>
      <c r="AL3421">
        <f>IF('01_Вводные'!$B$234="Да",'19_Расчет_аналитики'!AL3419+'19_Расчет_аналитики'!AL3420,0)</f>
        <v/>
      </c>
      <c r="AM3421">
        <f>IF('01_Вводные'!$B$234="Да",'19_Расчет_аналитики'!AM3419+'19_Расчет_аналитики'!AM3420,0)</f>
        <v/>
      </c>
      <c r="AN3421">
        <f>IF('01_Вводные'!$B$234="Да",'19_Расчет_аналитики'!AN3419+'19_Расчет_аналитики'!AN3420,0)</f>
        <v/>
      </c>
      <c r="AO3421">
        <f>IF('01_Вводные'!$B$234="Да",'19_Расчет_аналитики'!AO3419+'19_Расчет_аналитики'!AO3420,0)</f>
        <v/>
      </c>
      <c r="AP3421">
        <f>IF('01_Вводные'!$B$234="Да",'19_Расчет_аналитики'!AP3419+'19_Расчет_аналитики'!AP3420,0)</f>
        <v/>
      </c>
      <c r="AQ3421">
        <f>IF('01_Вводные'!$B$234="Да",'19_Расчет_аналитики'!AQ3419+'19_Расчет_аналитики'!AQ3420,0)</f>
        <v/>
      </c>
      <c r="AR3421">
        <f>IF('01_Вводные'!$B$234="Да",'19_Расчет_аналитики'!AR3419+'19_Расчет_аналитики'!AR3420,0)</f>
        <v/>
      </c>
      <c r="AS3421">
        <f>IF('01_Вводные'!$B$234="Да",'19_Расчет_аналитики'!AS3419+'19_Расчет_аналитики'!AS3420,0)</f>
        <v/>
      </c>
      <c r="AT3421">
        <f>IF('01_Вводные'!$B$234="Да",'19_Расчет_аналитики'!AT3419+'19_Расчет_аналитики'!AT3420,0)</f>
        <v/>
      </c>
      <c r="AU3421">
        <f>IF('01_Вводные'!$B$234="Да",'19_Расчет_аналитики'!AU3419+'19_Расчет_аналитики'!AU3420,0)</f>
        <v/>
      </c>
      <c r="AV3421">
        <f>IF('01_Вводные'!$B$234="Да",'19_Расчет_аналитики'!AV3419+'19_Расчет_аналитики'!AV3420,0)</f>
        <v/>
      </c>
      <c r="AW3421">
        <f>IF('01_Вводные'!$B$234="Да",'19_Расчет_аналитики'!AW3419+'19_Расчет_аналитики'!AW3420,0)</f>
        <v/>
      </c>
      <c r="AX3421">
        <f>IF('01_Вводные'!$B$234="Да",'19_Расчет_аналитики'!AX3419+'19_Расчет_аналитики'!AX3420,0)</f>
        <v/>
      </c>
      <c r="AY3421">
        <f>IF('01_Вводные'!$B$234="Да",'19_Расчет_аналитики'!AY3419+'19_Расчет_аналитики'!AY3420,0)</f>
        <v/>
      </c>
      <c r="AZ3421">
        <f>IF('01_Вводные'!$B$234="Да",'19_Расчет_аналитики'!AZ3419+'19_Расчет_аналитики'!AZ3420,0)</f>
        <v/>
      </c>
      <c r="BA3421">
        <f>IF('01_Вводные'!$B$234="Да",'19_Расчет_аналитики'!BA3419+'19_Расчет_аналитики'!BA3420,0)</f>
        <v/>
      </c>
      <c r="BB3421">
        <f>IF('01_Вводные'!$B$234="Да",'19_Расчет_аналитики'!BB3419+'19_Расчет_аналитики'!BB3420,0)</f>
        <v/>
      </c>
      <c r="BC3421">
        <f>IF('01_Вводные'!$B$234="Да",'19_Расчет_аналитики'!BC3419+'19_Расчет_аналитики'!BC3420,0)</f>
        <v/>
      </c>
      <c r="BD3421">
        <f>IF('01_Вводные'!$B$234="Да",'19_Расчет_аналитики'!BD3419+'19_Расчет_аналитики'!BD3420,0)</f>
        <v/>
      </c>
      <c r="BE3421">
        <f>IF('01_Вводные'!$B$234="Да",'19_Расчет_аналитики'!BE3419+'19_Расчет_аналитики'!BE3420,0)</f>
        <v/>
      </c>
      <c r="BF3421">
        <f>IF('01_Вводные'!$B$234="Да",'19_Расчет_аналитики'!BF3419+'19_Расчет_аналитики'!BF3420,0)</f>
        <v/>
      </c>
      <c r="BG3421">
        <f>IF('01_Вводные'!$B$234="Да",'19_Расчет_аналитики'!BG3419+'19_Расчет_аналитики'!BG3420,0)</f>
        <v/>
      </c>
      <c r="BH3421">
        <f>IF('01_Вводные'!$B$234="Да",'19_Расчет_аналитики'!BH3419+'19_Расчет_аналитики'!BH3420,0)</f>
        <v/>
      </c>
      <c r="BI3421">
        <f>IF('01_Вводные'!$B$234="Да",'19_Расчет_аналитики'!BI3419+'19_Расчет_аналитики'!BI3420,0)</f>
        <v/>
      </c>
      <c r="BJ3421">
        <f>IF('01_Вводные'!$B$234="Да",'19_Расчет_аналитики'!BJ3419+'19_Расчет_аналитики'!BJ3420,0)</f>
        <v/>
      </c>
      <c r="BK3421">
        <f>IF('01_Вводные'!$B$234="Да",'19_Расчет_аналитики'!BK3419+'19_Расчет_аналитики'!BK3420,0)</f>
        <v/>
      </c>
      <c r="BL3421">
        <f>IF('01_Вводные'!$B$234="Да",'19_Расчет_аналитики'!BL3419+'19_Расчет_аналитики'!BL3420,0)</f>
        <v/>
      </c>
      <c r="BM3421">
        <f>IF('01_Вводные'!$B$234="Да",'19_Расчет_аналитики'!BM3419+'19_Расчет_аналитики'!BM3420,0)</f>
        <v/>
      </c>
      <c r="BN3421">
        <f>IF('01_Вводные'!$B$234="Да",'19_Расчет_аналитики'!BN3419+'19_Расчет_аналитики'!BN3420,0)</f>
        <v/>
      </c>
      <c r="BO3421">
        <f>IF('01_Вводные'!$B$234="Да",'19_Расчет_аналитики'!BO3419+'19_Расчет_аналитики'!BO3420,0)</f>
        <v/>
      </c>
    </row>
    <row r="3422"/>
    <row r="3423"/>
    <row r="3424">
      <c r="B3424">
        <f>IF('01_Вводные'!$B$234="Да",IF(OR(1&lt;='01_Вводные'!$B$15,1-'01_Вводные'!$B$15&gt;60),0,IF(INDEX('04_Продажи'!$B$11:$BI$11,1,1-'01_Вводные'!$B$15)&lt;='01_Вводные'!$B$244,'19_Расчет_аналитики'!B3399,0)),0)</f>
        <v/>
      </c>
      <c r="C3424">
        <f>IF('01_Вводные'!$B$234="Да",IF(OR(2&lt;='01_Вводные'!$B$15,2-'01_Вводные'!$B$15&gt;60),0,IF(INDEX('04_Продажи'!$B$11:$BI$11,1,2-'01_Вводные'!$B$15)&lt;='01_Вводные'!$B$244,'19_Расчет_аналитики'!C3399,0)),0)</f>
        <v/>
      </c>
      <c r="D3424">
        <f>IF('01_Вводные'!$B$234="Да",IF(OR(3&lt;='01_Вводные'!$B$15,3-'01_Вводные'!$B$15&gt;60),0,IF(INDEX('04_Продажи'!$B$11:$BI$11,1,3-'01_Вводные'!$B$15)&lt;='01_Вводные'!$B$244,'19_Расчет_аналитики'!D3399,0)),0)</f>
        <v/>
      </c>
      <c r="E3424">
        <f>IF('01_Вводные'!$B$234="Да",IF(OR(4&lt;='01_Вводные'!$B$15,4-'01_Вводные'!$B$15&gt;60),0,IF(INDEX('04_Продажи'!$B$11:$BI$11,1,4-'01_Вводные'!$B$15)&lt;='01_Вводные'!$B$244,'19_Расчет_аналитики'!E3399,0)),0)</f>
        <v/>
      </c>
      <c r="F3424">
        <f>IF('01_Вводные'!$B$234="Да",IF(OR(5&lt;='01_Вводные'!$B$15,5-'01_Вводные'!$B$15&gt;60),0,IF(INDEX('04_Продажи'!$B$11:$BI$11,1,5-'01_Вводные'!$B$15)&lt;='01_Вводные'!$B$244,'19_Расчет_аналитики'!F3399,0)),0)</f>
        <v/>
      </c>
      <c r="G3424">
        <f>IF('01_Вводные'!$B$234="Да",IF(OR(6&lt;='01_Вводные'!$B$15,6-'01_Вводные'!$B$15&gt;60),0,IF(INDEX('04_Продажи'!$B$11:$BI$11,1,6-'01_Вводные'!$B$15)&lt;='01_Вводные'!$B$244,'19_Расчет_аналитики'!G3399,0)),0)</f>
        <v/>
      </c>
      <c r="H3424">
        <f>IF('01_Вводные'!$B$234="Да",IF(OR(7&lt;='01_Вводные'!$B$15,7-'01_Вводные'!$B$15&gt;60),0,IF(INDEX('04_Продажи'!$B$11:$BI$11,1,7-'01_Вводные'!$B$15)&lt;='01_Вводные'!$B$244,'19_Расчет_аналитики'!H3399,0)),0)</f>
        <v/>
      </c>
      <c r="I3424">
        <f>IF('01_Вводные'!$B$234="Да",IF(OR(8&lt;='01_Вводные'!$B$15,8-'01_Вводные'!$B$15&gt;60),0,IF(INDEX('04_Продажи'!$B$11:$BI$11,1,8-'01_Вводные'!$B$15)&lt;='01_Вводные'!$B$244,'19_Расчет_аналитики'!I3399,0)),0)</f>
        <v/>
      </c>
      <c r="J3424">
        <f>IF('01_Вводные'!$B$234="Да",IF(OR(9&lt;='01_Вводные'!$B$15,9-'01_Вводные'!$B$15&gt;60),0,IF(INDEX('04_Продажи'!$B$11:$BI$11,1,9-'01_Вводные'!$B$15)&lt;='01_Вводные'!$B$244,'19_Расчет_аналитики'!J3399,0)),0)</f>
        <v/>
      </c>
      <c r="K3424">
        <f>IF('01_Вводные'!$B$234="Да",IF(OR(10&lt;='01_Вводные'!$B$15,10-'01_Вводные'!$B$15&gt;60),0,IF(INDEX('04_Продажи'!$B$11:$BI$11,1,10-'01_Вводные'!$B$15)&lt;='01_Вводные'!$B$244,'19_Расчет_аналитики'!K3399,0)),0)</f>
        <v/>
      </c>
      <c r="L3424">
        <f>IF('01_Вводные'!$B$234="Да",IF(OR(11&lt;='01_Вводные'!$B$15,11-'01_Вводные'!$B$15&gt;60),0,IF(INDEX('04_Продажи'!$B$11:$BI$11,1,11-'01_Вводные'!$B$15)&lt;='01_Вводные'!$B$244,'19_Расчет_аналитики'!L3399,0)),0)</f>
        <v/>
      </c>
      <c r="M3424">
        <f>IF('01_Вводные'!$B$234="Да",IF(OR(12&lt;='01_Вводные'!$B$15,12-'01_Вводные'!$B$15&gt;60),0,IF(INDEX('04_Продажи'!$B$11:$BI$11,1,12-'01_Вводные'!$B$15)&lt;='01_Вводные'!$B$244,'19_Расчет_аналитики'!M3399,0)),0)</f>
        <v/>
      </c>
      <c r="N3424">
        <f>IF('01_Вводные'!$B$234="Да",IF(OR(13&lt;='01_Вводные'!$B$15,13-'01_Вводные'!$B$15&gt;60),0,IF(INDEX('04_Продажи'!$B$11:$BI$11,1,13-'01_Вводные'!$B$15)&lt;='01_Вводные'!$B$244,'19_Расчет_аналитики'!N3399,0)),0)</f>
        <v/>
      </c>
      <c r="O3424">
        <f>IF('01_Вводные'!$B$234="Да",IF(OR(14&lt;='01_Вводные'!$B$15,14-'01_Вводные'!$B$15&gt;60),0,IF(INDEX('04_Продажи'!$B$11:$BI$11,1,14-'01_Вводные'!$B$15)&lt;='01_Вводные'!$B$244,'19_Расчет_аналитики'!O3399,0)),0)</f>
        <v/>
      </c>
      <c r="P3424">
        <f>IF('01_Вводные'!$B$234="Да",IF(OR(15&lt;='01_Вводные'!$B$15,15-'01_Вводные'!$B$15&gt;60),0,IF(INDEX('04_Продажи'!$B$11:$BI$11,1,15-'01_Вводные'!$B$15)&lt;='01_Вводные'!$B$244,'19_Расчет_аналитики'!P3399,0)),0)</f>
        <v/>
      </c>
      <c r="Q3424">
        <f>IF('01_Вводные'!$B$234="Да",IF(OR(16&lt;='01_Вводные'!$B$15,16-'01_Вводные'!$B$15&gt;60),0,IF(INDEX('04_Продажи'!$B$11:$BI$11,1,16-'01_Вводные'!$B$15)&lt;='01_Вводные'!$B$244,'19_Расчет_аналитики'!Q3399,0)),0)</f>
        <v/>
      </c>
      <c r="R3424">
        <f>IF('01_Вводные'!$B$234="Да",IF(OR(17&lt;='01_Вводные'!$B$15,17-'01_Вводные'!$B$15&gt;60),0,IF(INDEX('04_Продажи'!$B$11:$BI$11,1,17-'01_Вводные'!$B$15)&lt;='01_Вводные'!$B$244,'19_Расчет_аналитики'!R3399,0)),0)</f>
        <v/>
      </c>
      <c r="S3424">
        <f>IF('01_Вводные'!$B$234="Да",IF(OR(18&lt;='01_Вводные'!$B$15,18-'01_Вводные'!$B$15&gt;60),0,IF(INDEX('04_Продажи'!$B$11:$BI$11,1,18-'01_Вводные'!$B$15)&lt;='01_Вводные'!$B$244,'19_Расчет_аналитики'!S3399,0)),0)</f>
        <v/>
      </c>
      <c r="T3424">
        <f>IF('01_Вводные'!$B$234="Да",IF(OR(19&lt;='01_Вводные'!$B$15,19-'01_Вводные'!$B$15&gt;60),0,IF(INDEX('04_Продажи'!$B$11:$BI$11,1,19-'01_Вводные'!$B$15)&lt;='01_Вводные'!$B$244,'19_Расчет_аналитики'!T3399,0)),0)</f>
        <v/>
      </c>
      <c r="U3424">
        <f>IF('01_Вводные'!$B$234="Да",IF(OR(20&lt;='01_Вводные'!$B$15,20-'01_Вводные'!$B$15&gt;60),0,IF(INDEX('04_Продажи'!$B$11:$BI$11,1,20-'01_Вводные'!$B$15)&lt;='01_Вводные'!$B$244,'19_Расчет_аналитики'!U3399,0)),0)</f>
        <v/>
      </c>
      <c r="V3424">
        <f>IF('01_Вводные'!$B$234="Да",IF(OR(21&lt;='01_Вводные'!$B$15,21-'01_Вводные'!$B$15&gt;60),0,IF(INDEX('04_Продажи'!$B$11:$BI$11,1,21-'01_Вводные'!$B$15)&lt;='01_Вводные'!$B$244,'19_Расчет_аналитики'!V3399,0)),0)</f>
        <v/>
      </c>
      <c r="W3424">
        <f>IF('01_Вводные'!$B$234="Да",IF(OR(22&lt;='01_Вводные'!$B$15,22-'01_Вводные'!$B$15&gt;60),0,IF(INDEX('04_Продажи'!$B$11:$BI$11,1,22-'01_Вводные'!$B$15)&lt;='01_Вводные'!$B$244,'19_Расчет_аналитики'!W3399,0)),0)</f>
        <v/>
      </c>
      <c r="X3424">
        <f>IF('01_Вводные'!$B$234="Да",IF(OR(23&lt;='01_Вводные'!$B$15,23-'01_Вводные'!$B$15&gt;60),0,IF(INDEX('04_Продажи'!$B$11:$BI$11,1,23-'01_Вводные'!$B$15)&lt;='01_Вводные'!$B$244,'19_Расчет_аналитики'!X3399,0)),0)</f>
        <v/>
      </c>
      <c r="Y3424">
        <f>IF('01_Вводные'!$B$234="Да",IF(OR(24&lt;='01_Вводные'!$B$15,24-'01_Вводные'!$B$15&gt;60),0,IF(INDEX('04_Продажи'!$B$11:$BI$11,1,24-'01_Вводные'!$B$15)&lt;='01_Вводные'!$B$244,'19_Расчет_аналитики'!Y3399,0)),0)</f>
        <v/>
      </c>
      <c r="Z3424">
        <f>IF('01_Вводные'!$B$234="Да",IF(OR(25&lt;='01_Вводные'!$B$15,25-'01_Вводные'!$B$15&gt;60),0,IF(INDEX('04_Продажи'!$B$11:$BI$11,1,25-'01_Вводные'!$B$15)&lt;='01_Вводные'!$B$244,'19_Расчет_аналитики'!Z3399,0)),0)</f>
        <v/>
      </c>
      <c r="AA3424">
        <f>IF('01_Вводные'!$B$234="Да",IF(OR(26&lt;='01_Вводные'!$B$15,26-'01_Вводные'!$B$15&gt;60),0,IF(INDEX('04_Продажи'!$B$11:$BI$11,1,26-'01_Вводные'!$B$15)&lt;='01_Вводные'!$B$244,'19_Расчет_аналитики'!AA3399,0)),0)</f>
        <v/>
      </c>
      <c r="AB3424">
        <f>IF('01_Вводные'!$B$234="Да",IF(OR(27&lt;='01_Вводные'!$B$15,27-'01_Вводные'!$B$15&gt;60),0,IF(INDEX('04_Продажи'!$B$11:$BI$11,1,27-'01_Вводные'!$B$15)&lt;='01_Вводные'!$B$244,'19_Расчет_аналитики'!AB3399,0)),0)</f>
        <v/>
      </c>
      <c r="AC3424">
        <f>IF('01_Вводные'!$B$234="Да",IF(OR(28&lt;='01_Вводные'!$B$15,28-'01_Вводные'!$B$15&gt;60),0,IF(INDEX('04_Продажи'!$B$11:$BI$11,1,28-'01_Вводные'!$B$15)&lt;='01_Вводные'!$B$244,'19_Расчет_аналитики'!AC3399,0)),0)</f>
        <v/>
      </c>
      <c r="AD3424">
        <f>IF('01_Вводные'!$B$234="Да",IF(OR(29&lt;='01_Вводные'!$B$15,29-'01_Вводные'!$B$15&gt;60),0,IF(INDEX('04_Продажи'!$B$11:$BI$11,1,29-'01_Вводные'!$B$15)&lt;='01_Вводные'!$B$244,'19_Расчет_аналитики'!AD3399,0)),0)</f>
        <v/>
      </c>
      <c r="AE3424">
        <f>IF('01_Вводные'!$B$234="Да",IF(OR(30&lt;='01_Вводные'!$B$15,30-'01_Вводные'!$B$15&gt;60),0,IF(INDEX('04_Продажи'!$B$11:$BI$11,1,30-'01_Вводные'!$B$15)&lt;='01_Вводные'!$B$244,'19_Расчет_аналитики'!AE3399,0)),0)</f>
        <v/>
      </c>
      <c r="AF3424">
        <f>IF('01_Вводные'!$B$234="Да",IF(OR(31&lt;='01_Вводные'!$B$15,31-'01_Вводные'!$B$15&gt;60),0,IF(INDEX('04_Продажи'!$B$11:$BI$11,1,31-'01_Вводные'!$B$15)&lt;='01_Вводные'!$B$244,'19_Расчет_аналитики'!AF3399,0)),0)</f>
        <v/>
      </c>
      <c r="AG3424">
        <f>IF('01_Вводные'!$B$234="Да",IF(OR(32&lt;='01_Вводные'!$B$15,32-'01_Вводные'!$B$15&gt;60),0,IF(INDEX('04_Продажи'!$B$11:$BI$11,1,32-'01_Вводные'!$B$15)&lt;='01_Вводные'!$B$244,'19_Расчет_аналитики'!AG3399,0)),0)</f>
        <v/>
      </c>
      <c r="AH3424">
        <f>IF('01_Вводные'!$B$234="Да",IF(OR(33&lt;='01_Вводные'!$B$15,33-'01_Вводные'!$B$15&gt;60),0,IF(INDEX('04_Продажи'!$B$11:$BI$11,1,33-'01_Вводные'!$B$15)&lt;='01_Вводные'!$B$244,'19_Расчет_аналитики'!AH3399,0)),0)</f>
        <v/>
      </c>
      <c r="AI3424">
        <f>IF('01_Вводные'!$B$234="Да",IF(OR(34&lt;='01_Вводные'!$B$15,34-'01_Вводные'!$B$15&gt;60),0,IF(INDEX('04_Продажи'!$B$11:$BI$11,1,34-'01_Вводные'!$B$15)&lt;='01_Вводные'!$B$244,'19_Расчет_аналитики'!AI3399,0)),0)</f>
        <v/>
      </c>
      <c r="AJ3424">
        <f>IF('01_Вводные'!$B$234="Да",IF(OR(35&lt;='01_Вводные'!$B$15,35-'01_Вводные'!$B$15&gt;60),0,IF(INDEX('04_Продажи'!$B$11:$BI$11,1,35-'01_Вводные'!$B$15)&lt;='01_Вводные'!$B$244,'19_Расчет_аналитики'!AJ3399,0)),0)</f>
        <v/>
      </c>
      <c r="AK3424">
        <f>IF('01_Вводные'!$B$234="Да",IF(OR(36&lt;='01_Вводные'!$B$15,36-'01_Вводные'!$B$15&gt;60),0,IF(INDEX('04_Продажи'!$B$11:$BI$11,1,36-'01_Вводные'!$B$15)&lt;='01_Вводные'!$B$244,'19_Расчет_аналитики'!AK3399,0)),0)</f>
        <v/>
      </c>
      <c r="AL3424">
        <f>IF('01_Вводные'!$B$234="Да",IF(OR(37&lt;='01_Вводные'!$B$15,37-'01_Вводные'!$B$15&gt;60),0,IF(INDEX('04_Продажи'!$B$11:$BI$11,1,37-'01_Вводные'!$B$15)&lt;='01_Вводные'!$B$244,'19_Расчет_аналитики'!AL3399,0)),0)</f>
        <v/>
      </c>
      <c r="AM3424">
        <f>IF('01_Вводные'!$B$234="Да",IF(OR(38&lt;='01_Вводные'!$B$15,38-'01_Вводные'!$B$15&gt;60),0,IF(INDEX('04_Продажи'!$B$11:$BI$11,1,38-'01_Вводные'!$B$15)&lt;='01_Вводные'!$B$244,'19_Расчет_аналитики'!AM3399,0)),0)</f>
        <v/>
      </c>
      <c r="AN3424">
        <f>IF('01_Вводные'!$B$234="Да",IF(OR(39&lt;='01_Вводные'!$B$15,39-'01_Вводные'!$B$15&gt;60),0,IF(INDEX('04_Продажи'!$B$11:$BI$11,1,39-'01_Вводные'!$B$15)&lt;='01_Вводные'!$B$244,'19_Расчет_аналитики'!AN3399,0)),0)</f>
        <v/>
      </c>
      <c r="AO3424">
        <f>IF('01_Вводные'!$B$234="Да",IF(OR(40&lt;='01_Вводные'!$B$15,40-'01_Вводные'!$B$15&gt;60),0,IF(INDEX('04_Продажи'!$B$11:$BI$11,1,40-'01_Вводные'!$B$15)&lt;='01_Вводные'!$B$244,'19_Расчет_аналитики'!AO3399,0)),0)</f>
        <v/>
      </c>
      <c r="AP3424">
        <f>IF('01_Вводные'!$B$234="Да",IF(OR(41&lt;='01_Вводные'!$B$15,41-'01_Вводные'!$B$15&gt;60),0,IF(INDEX('04_Продажи'!$B$11:$BI$11,1,41-'01_Вводные'!$B$15)&lt;='01_Вводные'!$B$244,'19_Расчет_аналитики'!AP3399,0)),0)</f>
        <v/>
      </c>
      <c r="AQ3424">
        <f>IF('01_Вводные'!$B$234="Да",IF(OR(42&lt;='01_Вводные'!$B$15,42-'01_Вводные'!$B$15&gt;60),0,IF(INDEX('04_Продажи'!$B$11:$BI$11,1,42-'01_Вводные'!$B$15)&lt;='01_Вводные'!$B$244,'19_Расчет_аналитики'!AQ3399,0)),0)</f>
        <v/>
      </c>
      <c r="AR3424">
        <f>IF('01_Вводные'!$B$234="Да",IF(OR(43&lt;='01_Вводные'!$B$15,43-'01_Вводные'!$B$15&gt;60),0,IF(INDEX('04_Продажи'!$B$11:$BI$11,1,43-'01_Вводные'!$B$15)&lt;='01_Вводные'!$B$244,'19_Расчет_аналитики'!AR3399,0)),0)</f>
        <v/>
      </c>
      <c r="AS3424">
        <f>IF('01_Вводные'!$B$234="Да",IF(OR(44&lt;='01_Вводные'!$B$15,44-'01_Вводные'!$B$15&gt;60),0,IF(INDEX('04_Продажи'!$B$11:$BI$11,1,44-'01_Вводные'!$B$15)&lt;='01_Вводные'!$B$244,'19_Расчет_аналитики'!AS3399,0)),0)</f>
        <v/>
      </c>
      <c r="AT3424">
        <f>IF('01_Вводные'!$B$234="Да",IF(OR(45&lt;='01_Вводные'!$B$15,45-'01_Вводные'!$B$15&gt;60),0,IF(INDEX('04_Продажи'!$B$11:$BI$11,1,45-'01_Вводные'!$B$15)&lt;='01_Вводные'!$B$244,'19_Расчет_аналитики'!AT3399,0)),0)</f>
        <v/>
      </c>
      <c r="AU3424">
        <f>IF('01_Вводные'!$B$234="Да",IF(OR(46&lt;='01_Вводные'!$B$15,46-'01_Вводные'!$B$15&gt;60),0,IF(INDEX('04_Продажи'!$B$11:$BI$11,1,46-'01_Вводные'!$B$15)&lt;='01_Вводные'!$B$244,'19_Расчет_аналитики'!AU3399,0)),0)</f>
        <v/>
      </c>
      <c r="AV3424">
        <f>IF('01_Вводные'!$B$234="Да",IF(OR(47&lt;='01_Вводные'!$B$15,47-'01_Вводные'!$B$15&gt;60),0,IF(INDEX('04_Продажи'!$B$11:$BI$11,1,47-'01_Вводные'!$B$15)&lt;='01_Вводные'!$B$244,'19_Расчет_аналитики'!AV3399,0)),0)</f>
        <v/>
      </c>
      <c r="AW3424">
        <f>IF('01_Вводные'!$B$234="Да",IF(OR(48&lt;='01_Вводные'!$B$15,48-'01_Вводные'!$B$15&gt;60),0,IF(INDEX('04_Продажи'!$B$11:$BI$11,1,48-'01_Вводные'!$B$15)&lt;='01_Вводные'!$B$244,'19_Расчет_аналитики'!AW3399,0)),0)</f>
        <v/>
      </c>
      <c r="AX3424">
        <f>IF('01_Вводные'!$B$234="Да",IF(OR(49&lt;='01_Вводные'!$B$15,49-'01_Вводные'!$B$15&gt;60),0,IF(INDEX('04_Продажи'!$B$11:$BI$11,1,49-'01_Вводные'!$B$15)&lt;='01_Вводные'!$B$244,'19_Расчет_аналитики'!AX3399,0)),0)</f>
        <v/>
      </c>
      <c r="AY3424">
        <f>IF('01_Вводные'!$B$234="Да",IF(OR(50&lt;='01_Вводные'!$B$15,50-'01_Вводные'!$B$15&gt;60),0,IF(INDEX('04_Продажи'!$B$11:$BI$11,1,50-'01_Вводные'!$B$15)&lt;='01_Вводные'!$B$244,'19_Расчет_аналитики'!AY3399,0)),0)</f>
        <v/>
      </c>
      <c r="AZ3424">
        <f>IF('01_Вводные'!$B$234="Да",IF(OR(51&lt;='01_Вводные'!$B$15,51-'01_Вводные'!$B$15&gt;60),0,IF(INDEX('04_Продажи'!$B$11:$BI$11,1,51-'01_Вводные'!$B$15)&lt;='01_Вводные'!$B$244,'19_Расчет_аналитики'!AZ3399,0)),0)</f>
        <v/>
      </c>
      <c r="BA3424">
        <f>IF('01_Вводные'!$B$234="Да",IF(OR(52&lt;='01_Вводные'!$B$15,52-'01_Вводные'!$B$15&gt;60),0,IF(INDEX('04_Продажи'!$B$11:$BI$11,1,52-'01_Вводные'!$B$15)&lt;='01_Вводные'!$B$244,'19_Расчет_аналитики'!BA3399,0)),0)</f>
        <v/>
      </c>
      <c r="BB3424">
        <f>IF('01_Вводные'!$B$234="Да",IF(OR(53&lt;='01_Вводные'!$B$15,53-'01_Вводные'!$B$15&gt;60),0,IF(INDEX('04_Продажи'!$B$11:$BI$11,1,53-'01_Вводные'!$B$15)&lt;='01_Вводные'!$B$244,'19_Расчет_аналитики'!BB3399,0)),0)</f>
        <v/>
      </c>
      <c r="BC3424">
        <f>IF('01_Вводные'!$B$234="Да",IF(OR(54&lt;='01_Вводные'!$B$15,54-'01_Вводные'!$B$15&gt;60),0,IF(INDEX('04_Продажи'!$B$11:$BI$11,1,54-'01_Вводные'!$B$15)&lt;='01_Вводные'!$B$244,'19_Расчет_аналитики'!BC3399,0)),0)</f>
        <v/>
      </c>
      <c r="BD3424">
        <f>IF('01_Вводные'!$B$234="Да",IF(OR(55&lt;='01_Вводные'!$B$15,55-'01_Вводные'!$B$15&gt;60),0,IF(INDEX('04_Продажи'!$B$11:$BI$11,1,55-'01_Вводные'!$B$15)&lt;='01_Вводные'!$B$244,'19_Расчет_аналитики'!BD3399,0)),0)</f>
        <v/>
      </c>
      <c r="BE3424">
        <f>IF('01_Вводные'!$B$234="Да",IF(OR(56&lt;='01_Вводные'!$B$15,56-'01_Вводные'!$B$15&gt;60),0,IF(INDEX('04_Продажи'!$B$11:$BI$11,1,56-'01_Вводные'!$B$15)&lt;='01_Вводные'!$B$244,'19_Расчет_аналитики'!BE3399,0)),0)</f>
        <v/>
      </c>
      <c r="BF3424">
        <f>IF('01_Вводные'!$B$234="Да",IF(OR(57&lt;='01_Вводные'!$B$15,57-'01_Вводные'!$B$15&gt;60),0,IF(INDEX('04_Продажи'!$B$11:$BI$11,1,57-'01_Вводные'!$B$15)&lt;='01_Вводные'!$B$244,'19_Расчет_аналитики'!BF3399,0)),0)</f>
        <v/>
      </c>
      <c r="BG3424">
        <f>IF('01_Вводные'!$B$234="Да",IF(OR(58&lt;='01_Вводные'!$B$15,58-'01_Вводные'!$B$15&gt;60),0,IF(INDEX('04_Продажи'!$B$11:$BI$11,1,58-'01_Вводные'!$B$15)&lt;='01_Вводные'!$B$244,'19_Расчет_аналитики'!BG3399,0)),0)</f>
        <v/>
      </c>
      <c r="BH3424">
        <f>IF('01_Вводные'!$B$234="Да",IF(OR(59&lt;='01_Вводные'!$B$15,59-'01_Вводные'!$B$15&gt;60),0,IF(INDEX('04_Продажи'!$B$11:$BI$11,1,59-'01_Вводные'!$B$15)&lt;='01_Вводные'!$B$244,'19_Расчет_аналитики'!BH3399,0)),0)</f>
        <v/>
      </c>
      <c r="BI3424">
        <f>IF('01_Вводные'!$B$234="Да",IF(OR(60&lt;='01_Вводные'!$B$15,60-'01_Вводные'!$B$15&gt;60),0,IF(INDEX('04_Продажи'!$B$11:$BI$11,1,60-'01_Вводные'!$B$15)&lt;='01_Вводные'!$B$244,'19_Расчет_аналитики'!BI3399,0)),0)</f>
        <v/>
      </c>
      <c r="BJ3424">
        <f>IF('01_Вводные'!$B$234="Да",IF(OR(61&lt;='01_Вводные'!$B$15,61-'01_Вводные'!$B$15&gt;60),0,IF(INDEX('04_Продажи'!$B$11:$BI$11,1,61-'01_Вводные'!$B$15)&lt;='01_Вводные'!$B$244,'19_Расчет_аналитики'!BJ3399,0)),0)</f>
        <v/>
      </c>
      <c r="BK3424">
        <f>IF('01_Вводные'!$B$234="Да",IF(OR(62&lt;='01_Вводные'!$B$15,62-'01_Вводные'!$B$15&gt;60),0,IF(INDEX('04_Продажи'!$B$11:$BI$11,1,62-'01_Вводные'!$B$15)&lt;='01_Вводные'!$B$244,'19_Расчет_аналитики'!BK3399,0)),0)</f>
        <v/>
      </c>
      <c r="BL3424">
        <f>IF('01_Вводные'!$B$234="Да",IF(OR(63&lt;='01_Вводные'!$B$15,63-'01_Вводные'!$B$15&gt;60),0,IF(INDEX('04_Продажи'!$B$11:$BI$11,1,63-'01_Вводные'!$B$15)&lt;='01_Вводные'!$B$244,'19_Расчет_аналитики'!BL3399,0)),0)</f>
        <v/>
      </c>
      <c r="BM3424">
        <f>IF('01_Вводные'!$B$234="Да",IF(OR(64&lt;='01_Вводные'!$B$15,64-'01_Вводные'!$B$15&gt;60),0,IF(INDEX('04_Продажи'!$B$11:$BI$11,1,64-'01_Вводные'!$B$15)&lt;='01_Вводные'!$B$244,'19_Расчет_аналитики'!BM3399,0)),0)</f>
        <v/>
      </c>
      <c r="BN3424">
        <f>IF('01_Вводные'!$B$234="Да",IF(OR(65&lt;='01_Вводные'!$B$15,65-'01_Вводные'!$B$15&gt;60),0,IF(INDEX('04_Продажи'!$B$11:$BI$11,1,65-'01_Вводные'!$B$15)&lt;='01_Вводные'!$B$244,'19_Расчет_аналитики'!BN3399,0)),0)</f>
        <v/>
      </c>
      <c r="BO3424">
        <f>IF('01_Вводные'!$B$234="Да",IF(OR(66&lt;='01_Вводные'!$B$15,66-'01_Вводные'!$B$15&gt;60),0,IF(INDEX('04_Продажи'!$B$11:$BI$11,1,66-'01_Вводные'!$B$15)&lt;='01_Вводные'!$B$244,'19_Расчет_аналитики'!BO3399,0)),0)</f>
        <v/>
      </c>
    </row>
    <row r="3425">
      <c r="B3425">
        <f>IF('01_Вводные'!$B$234="Да",SUM('19_Расчет_аналитики'!B3472:B3483),0)</f>
        <v/>
      </c>
      <c r="C3425">
        <f>IF('01_Вводные'!$B$234="Да",SUM('19_Расчет_аналитики'!C3472:C3483),0)</f>
        <v/>
      </c>
      <c r="D3425">
        <f>IF('01_Вводные'!$B$234="Да",SUM('19_Расчет_аналитики'!D3472:D3483),0)</f>
        <v/>
      </c>
      <c r="E3425">
        <f>IF('01_Вводные'!$B$234="Да",SUM('19_Расчет_аналитики'!E3472:E3483),0)</f>
        <v/>
      </c>
      <c r="F3425">
        <f>IF('01_Вводные'!$B$234="Да",SUM('19_Расчет_аналитики'!F3472:F3483),0)</f>
        <v/>
      </c>
      <c r="G3425">
        <f>IF('01_Вводные'!$B$234="Да",SUM('19_Расчет_аналитики'!G3472:G3483),0)</f>
        <v/>
      </c>
      <c r="H3425">
        <f>IF('01_Вводные'!$B$234="Да",SUM('19_Расчет_аналитики'!H3472:H3483),0)</f>
        <v/>
      </c>
      <c r="I3425">
        <f>IF('01_Вводные'!$B$234="Да",SUM('19_Расчет_аналитики'!I3472:I3483),0)</f>
        <v/>
      </c>
      <c r="J3425">
        <f>IF('01_Вводные'!$B$234="Да",SUM('19_Расчет_аналитики'!J3472:J3483),0)</f>
        <v/>
      </c>
      <c r="K3425">
        <f>IF('01_Вводные'!$B$234="Да",SUM('19_Расчет_аналитики'!K3472:K3483),0)</f>
        <v/>
      </c>
      <c r="L3425">
        <f>IF('01_Вводные'!$B$234="Да",SUM('19_Расчет_аналитики'!L3472:L3483),0)</f>
        <v/>
      </c>
      <c r="M3425">
        <f>IF('01_Вводные'!$B$234="Да",SUM('19_Расчет_аналитики'!M3472:M3483),0)</f>
        <v/>
      </c>
      <c r="N3425">
        <f>IF('01_Вводные'!$B$234="Да",SUM('19_Расчет_аналитики'!N3472:N3483),0)</f>
        <v/>
      </c>
      <c r="O3425">
        <f>IF('01_Вводные'!$B$234="Да",SUM('19_Расчет_аналитики'!O3472:O3483),0)</f>
        <v/>
      </c>
      <c r="P3425">
        <f>IF('01_Вводные'!$B$234="Да",SUM('19_Расчет_аналитики'!P3472:P3483),0)</f>
        <v/>
      </c>
      <c r="Q3425">
        <f>IF('01_Вводные'!$B$234="Да",SUM('19_Расчет_аналитики'!Q3472:Q3483),0)</f>
        <v/>
      </c>
      <c r="R3425">
        <f>IF('01_Вводные'!$B$234="Да",SUM('19_Расчет_аналитики'!R3472:R3483),0)</f>
        <v/>
      </c>
      <c r="S3425">
        <f>IF('01_Вводные'!$B$234="Да",SUM('19_Расчет_аналитики'!S3472:S3483),0)</f>
        <v/>
      </c>
      <c r="T3425">
        <f>IF('01_Вводные'!$B$234="Да",SUM('19_Расчет_аналитики'!T3472:T3483),0)</f>
        <v/>
      </c>
      <c r="U3425">
        <f>IF('01_Вводные'!$B$234="Да",SUM('19_Расчет_аналитики'!U3472:U3483),0)</f>
        <v/>
      </c>
      <c r="V3425">
        <f>IF('01_Вводные'!$B$234="Да",SUM('19_Расчет_аналитики'!V3472:V3483),0)</f>
        <v/>
      </c>
      <c r="W3425">
        <f>IF('01_Вводные'!$B$234="Да",SUM('19_Расчет_аналитики'!W3472:W3483),0)</f>
        <v/>
      </c>
      <c r="X3425">
        <f>IF('01_Вводные'!$B$234="Да",SUM('19_Расчет_аналитики'!X3472:X3483),0)</f>
        <v/>
      </c>
      <c r="Y3425">
        <f>IF('01_Вводные'!$B$234="Да",SUM('19_Расчет_аналитики'!Y3472:Y3483),0)</f>
        <v/>
      </c>
      <c r="Z3425">
        <f>IF('01_Вводные'!$B$234="Да",SUM('19_Расчет_аналитики'!Z3472:Z3483),0)</f>
        <v/>
      </c>
      <c r="AA3425">
        <f>IF('01_Вводные'!$B$234="Да",SUM('19_Расчет_аналитики'!AA3472:AA3483),0)</f>
        <v/>
      </c>
      <c r="AB3425">
        <f>IF('01_Вводные'!$B$234="Да",SUM('19_Расчет_аналитики'!AB3472:AB3483),0)</f>
        <v/>
      </c>
      <c r="AC3425">
        <f>IF('01_Вводные'!$B$234="Да",SUM('19_Расчет_аналитики'!AC3472:AC3483),0)</f>
        <v/>
      </c>
      <c r="AD3425">
        <f>IF('01_Вводные'!$B$234="Да",SUM('19_Расчет_аналитики'!AD3472:AD3483),0)</f>
        <v/>
      </c>
      <c r="AE3425">
        <f>IF('01_Вводные'!$B$234="Да",SUM('19_Расчет_аналитики'!AE3472:AE3483),0)</f>
        <v/>
      </c>
      <c r="AF3425">
        <f>IF('01_Вводные'!$B$234="Да",SUM('19_Расчет_аналитики'!AF3472:AF3483),0)</f>
        <v/>
      </c>
      <c r="AG3425">
        <f>IF('01_Вводные'!$B$234="Да",SUM('19_Расчет_аналитики'!AG3472:AG3483),0)</f>
        <v/>
      </c>
      <c r="AH3425">
        <f>IF('01_Вводные'!$B$234="Да",SUM('19_Расчет_аналитики'!AH3472:AH3483),0)</f>
        <v/>
      </c>
      <c r="AI3425">
        <f>IF('01_Вводные'!$B$234="Да",SUM('19_Расчет_аналитики'!AI3472:AI3483),0)</f>
        <v/>
      </c>
      <c r="AJ3425">
        <f>IF('01_Вводные'!$B$234="Да",SUM('19_Расчет_аналитики'!AJ3472:AJ3483),0)</f>
        <v/>
      </c>
      <c r="AK3425">
        <f>IF('01_Вводные'!$B$234="Да",SUM('19_Расчет_аналитики'!AK3472:AK3483),0)</f>
        <v/>
      </c>
      <c r="AL3425">
        <f>IF('01_Вводные'!$B$234="Да",SUM('19_Расчет_аналитики'!AL3472:AL3483),0)</f>
        <v/>
      </c>
      <c r="AM3425">
        <f>IF('01_Вводные'!$B$234="Да",SUM('19_Расчет_аналитики'!AM3472:AM3483),0)</f>
        <v/>
      </c>
      <c r="AN3425">
        <f>IF('01_Вводные'!$B$234="Да",SUM('19_Расчет_аналитики'!AN3472:AN3483),0)</f>
        <v/>
      </c>
      <c r="AO3425">
        <f>IF('01_Вводные'!$B$234="Да",SUM('19_Расчет_аналитики'!AO3472:AO3483),0)</f>
        <v/>
      </c>
      <c r="AP3425">
        <f>IF('01_Вводные'!$B$234="Да",SUM('19_Расчет_аналитики'!AP3472:AP3483),0)</f>
        <v/>
      </c>
      <c r="AQ3425">
        <f>IF('01_Вводные'!$B$234="Да",SUM('19_Расчет_аналитики'!AQ3472:AQ3483),0)</f>
        <v/>
      </c>
      <c r="AR3425">
        <f>IF('01_Вводные'!$B$234="Да",SUM('19_Расчет_аналитики'!AR3472:AR3483),0)</f>
        <v/>
      </c>
      <c r="AS3425">
        <f>IF('01_Вводные'!$B$234="Да",SUM('19_Расчет_аналитики'!AS3472:AS3483),0)</f>
        <v/>
      </c>
      <c r="AT3425">
        <f>IF('01_Вводные'!$B$234="Да",SUM('19_Расчет_аналитики'!AT3472:AT3483),0)</f>
        <v/>
      </c>
      <c r="AU3425">
        <f>IF('01_Вводные'!$B$234="Да",SUM('19_Расчет_аналитики'!AU3472:AU3483),0)</f>
        <v/>
      </c>
      <c r="AV3425">
        <f>IF('01_Вводные'!$B$234="Да",SUM('19_Расчет_аналитики'!AV3472:AV3483),0)</f>
        <v/>
      </c>
      <c r="AW3425">
        <f>IF('01_Вводные'!$B$234="Да",SUM('19_Расчет_аналитики'!AW3472:AW3483),0)</f>
        <v/>
      </c>
      <c r="AX3425">
        <f>IF('01_Вводные'!$B$234="Да",SUM('19_Расчет_аналитики'!AX3472:AX3483),0)</f>
        <v/>
      </c>
      <c r="AY3425">
        <f>IF('01_Вводные'!$B$234="Да",SUM('19_Расчет_аналитики'!AY3472:AY3483),0)</f>
        <v/>
      </c>
      <c r="AZ3425">
        <f>IF('01_Вводные'!$B$234="Да",SUM('19_Расчет_аналитики'!AZ3472:AZ3483),0)</f>
        <v/>
      </c>
      <c r="BA3425">
        <f>IF('01_Вводные'!$B$234="Да",SUM('19_Расчет_аналитики'!BA3472:BA3483),0)</f>
        <v/>
      </c>
      <c r="BB3425">
        <f>IF('01_Вводные'!$B$234="Да",SUM('19_Расчет_аналитики'!BB3472:BB3483),0)</f>
        <v/>
      </c>
      <c r="BC3425">
        <f>IF('01_Вводные'!$B$234="Да",SUM('19_Расчет_аналитики'!BC3472:BC3483),0)</f>
        <v/>
      </c>
      <c r="BD3425">
        <f>IF('01_Вводные'!$B$234="Да",SUM('19_Расчет_аналитики'!BD3472:BD3483),0)</f>
        <v/>
      </c>
      <c r="BE3425">
        <f>IF('01_Вводные'!$B$234="Да",SUM('19_Расчет_аналитики'!BE3472:BE3483),0)</f>
        <v/>
      </c>
      <c r="BF3425">
        <f>IF('01_Вводные'!$B$234="Да",SUM('19_Расчет_аналитики'!BF3472:BF3483),0)</f>
        <v/>
      </c>
      <c r="BG3425">
        <f>IF('01_Вводные'!$B$234="Да",SUM('19_Расчет_аналитики'!BG3472:BG3483),0)</f>
        <v/>
      </c>
      <c r="BH3425">
        <f>IF('01_Вводные'!$B$234="Да",SUM('19_Расчет_аналитики'!BH3472:BH3483),0)</f>
        <v/>
      </c>
      <c r="BI3425">
        <f>IF('01_Вводные'!$B$234="Да",SUM('19_Расчет_аналитики'!BI3472:BI3483),0)</f>
        <v/>
      </c>
      <c r="BJ3425">
        <f>IF('01_Вводные'!$B$234="Да",SUM('19_Расчет_аналитики'!BJ3472:BJ3483),0)</f>
        <v/>
      </c>
      <c r="BK3425">
        <f>IF('01_Вводные'!$B$234="Да",SUM('19_Расчет_аналитики'!BK3472:BK3483),0)</f>
        <v/>
      </c>
      <c r="BL3425">
        <f>IF('01_Вводные'!$B$234="Да",SUM('19_Расчет_аналитики'!BL3472:BL3483),0)</f>
        <v/>
      </c>
      <c r="BM3425">
        <f>IF('01_Вводные'!$B$234="Да",SUM('19_Расчет_аналитики'!BM3472:BM3483),0)</f>
        <v/>
      </c>
      <c r="BN3425">
        <f>IF('01_Вводные'!$B$234="Да",SUM('19_Расчет_аналитики'!BN3472:BN3483),0)</f>
        <v/>
      </c>
      <c r="BO3425">
        <f>IF('01_Вводные'!$B$234="Да",SUM('19_Расчет_аналитики'!BO3472:BO3483),0)</f>
        <v/>
      </c>
    </row>
    <row r="3426"/>
    <row r="3427">
      <c r="B3427">
        <f>IF('01_Вводные'!$B$234="Да",MAX(0,'19_Расчет_аналитики'!B3404-'19_Расчет_аналитики'!B3425),0)</f>
        <v/>
      </c>
      <c r="C3427">
        <f>IF('01_Вводные'!$B$234="Да",MAX(0,'19_Расчет_аналитики'!C3404-'19_Расчет_аналитики'!C3425),0)</f>
        <v/>
      </c>
      <c r="D3427">
        <f>IF('01_Вводные'!$B$234="Да",MAX(0,'19_Расчет_аналитики'!D3404-'19_Расчет_аналитики'!D3425),0)</f>
        <v/>
      </c>
      <c r="E3427">
        <f>IF('01_Вводные'!$B$234="Да",MAX(0,'19_Расчет_аналитики'!E3404-'19_Расчет_аналитики'!E3425),0)</f>
        <v/>
      </c>
      <c r="F3427">
        <f>IF('01_Вводные'!$B$234="Да",MAX(0,'19_Расчет_аналитики'!F3404-'19_Расчет_аналитики'!F3425),0)</f>
        <v/>
      </c>
      <c r="G3427">
        <f>IF('01_Вводные'!$B$234="Да",MAX(0,'19_Расчет_аналитики'!G3404-'19_Расчет_аналитики'!G3425),0)</f>
        <v/>
      </c>
      <c r="H3427">
        <f>IF('01_Вводные'!$B$234="Да",MAX(0,'19_Расчет_аналитики'!H3404-'19_Расчет_аналитики'!H3425),0)</f>
        <v/>
      </c>
      <c r="I3427">
        <f>IF('01_Вводные'!$B$234="Да",MAX(0,'19_Расчет_аналитики'!I3404-'19_Расчет_аналитики'!I3425),0)</f>
        <v/>
      </c>
      <c r="J3427">
        <f>IF('01_Вводные'!$B$234="Да",MAX(0,'19_Расчет_аналитики'!J3404-'19_Расчет_аналитики'!J3425),0)</f>
        <v/>
      </c>
      <c r="K3427">
        <f>IF('01_Вводные'!$B$234="Да",MAX(0,'19_Расчет_аналитики'!K3404-'19_Расчет_аналитики'!K3425),0)</f>
        <v/>
      </c>
      <c r="L3427">
        <f>IF('01_Вводные'!$B$234="Да",MAX(0,'19_Расчет_аналитики'!L3404-'19_Расчет_аналитики'!L3425),0)</f>
        <v/>
      </c>
      <c r="M3427">
        <f>IF('01_Вводные'!$B$234="Да",MAX(0,'19_Расчет_аналитики'!M3404-'19_Расчет_аналитики'!M3425),0)</f>
        <v/>
      </c>
      <c r="N3427">
        <f>IF('01_Вводные'!$B$234="Да",MAX(0,'19_Расчет_аналитики'!N3404-'19_Расчет_аналитики'!N3425),0)</f>
        <v/>
      </c>
      <c r="O3427">
        <f>IF('01_Вводные'!$B$234="Да",MAX(0,'19_Расчет_аналитики'!O3404-'19_Расчет_аналитики'!O3425),0)</f>
        <v/>
      </c>
      <c r="P3427">
        <f>IF('01_Вводные'!$B$234="Да",MAX(0,'19_Расчет_аналитики'!P3404-'19_Расчет_аналитики'!P3425),0)</f>
        <v/>
      </c>
      <c r="Q3427">
        <f>IF('01_Вводные'!$B$234="Да",MAX(0,'19_Расчет_аналитики'!Q3404-'19_Расчет_аналитики'!Q3425),0)</f>
        <v/>
      </c>
      <c r="R3427">
        <f>IF('01_Вводные'!$B$234="Да",MAX(0,'19_Расчет_аналитики'!R3404-'19_Расчет_аналитики'!R3425),0)</f>
        <v/>
      </c>
      <c r="S3427">
        <f>IF('01_Вводные'!$B$234="Да",MAX(0,'19_Расчет_аналитики'!S3404-'19_Расчет_аналитики'!S3425),0)</f>
        <v/>
      </c>
      <c r="T3427">
        <f>IF('01_Вводные'!$B$234="Да",MAX(0,'19_Расчет_аналитики'!T3404-'19_Расчет_аналитики'!T3425),0)</f>
        <v/>
      </c>
      <c r="U3427">
        <f>IF('01_Вводные'!$B$234="Да",MAX(0,'19_Расчет_аналитики'!U3404-'19_Расчет_аналитики'!U3425),0)</f>
        <v/>
      </c>
      <c r="V3427">
        <f>IF('01_Вводные'!$B$234="Да",MAX(0,'19_Расчет_аналитики'!V3404-'19_Расчет_аналитики'!V3425),0)</f>
        <v/>
      </c>
      <c r="W3427">
        <f>IF('01_Вводные'!$B$234="Да",MAX(0,'19_Расчет_аналитики'!W3404-'19_Расчет_аналитики'!W3425),0)</f>
        <v/>
      </c>
      <c r="X3427">
        <f>IF('01_Вводные'!$B$234="Да",MAX(0,'19_Расчет_аналитики'!X3404-'19_Расчет_аналитики'!X3425),0)</f>
        <v/>
      </c>
      <c r="Y3427">
        <f>IF('01_Вводные'!$B$234="Да",MAX(0,'19_Расчет_аналитики'!Y3404-'19_Расчет_аналитики'!Y3425),0)</f>
        <v/>
      </c>
      <c r="Z3427">
        <f>IF('01_Вводные'!$B$234="Да",MAX(0,'19_Расчет_аналитики'!Z3404-'19_Расчет_аналитики'!Z3425),0)</f>
        <v/>
      </c>
      <c r="AA3427">
        <f>IF('01_Вводные'!$B$234="Да",MAX(0,'19_Расчет_аналитики'!AA3404-'19_Расчет_аналитики'!AA3425),0)</f>
        <v/>
      </c>
      <c r="AB3427">
        <f>IF('01_Вводные'!$B$234="Да",MAX(0,'19_Расчет_аналитики'!AB3404-'19_Расчет_аналитики'!AB3425),0)</f>
        <v/>
      </c>
      <c r="AC3427">
        <f>IF('01_Вводные'!$B$234="Да",MAX(0,'19_Расчет_аналитики'!AC3404-'19_Расчет_аналитики'!AC3425),0)</f>
        <v/>
      </c>
      <c r="AD3427">
        <f>IF('01_Вводные'!$B$234="Да",MAX(0,'19_Расчет_аналитики'!AD3404-'19_Расчет_аналитики'!AD3425),0)</f>
        <v/>
      </c>
      <c r="AE3427">
        <f>IF('01_Вводные'!$B$234="Да",MAX(0,'19_Расчет_аналитики'!AE3404-'19_Расчет_аналитики'!AE3425),0)</f>
        <v/>
      </c>
      <c r="AF3427">
        <f>IF('01_Вводные'!$B$234="Да",MAX(0,'19_Расчет_аналитики'!AF3404-'19_Расчет_аналитики'!AF3425),0)</f>
        <v/>
      </c>
      <c r="AG3427">
        <f>IF('01_Вводные'!$B$234="Да",MAX(0,'19_Расчет_аналитики'!AG3404-'19_Расчет_аналитики'!AG3425),0)</f>
        <v/>
      </c>
      <c r="AH3427">
        <f>IF('01_Вводные'!$B$234="Да",MAX(0,'19_Расчет_аналитики'!AH3404-'19_Расчет_аналитики'!AH3425),0)</f>
        <v/>
      </c>
      <c r="AI3427">
        <f>IF('01_Вводные'!$B$234="Да",MAX(0,'19_Расчет_аналитики'!AI3404-'19_Расчет_аналитики'!AI3425),0)</f>
        <v/>
      </c>
      <c r="AJ3427">
        <f>IF('01_Вводные'!$B$234="Да",MAX(0,'19_Расчет_аналитики'!AJ3404-'19_Расчет_аналитики'!AJ3425),0)</f>
        <v/>
      </c>
      <c r="AK3427">
        <f>IF('01_Вводные'!$B$234="Да",MAX(0,'19_Расчет_аналитики'!AK3404-'19_Расчет_аналитики'!AK3425),0)</f>
        <v/>
      </c>
      <c r="AL3427">
        <f>IF('01_Вводные'!$B$234="Да",MAX(0,'19_Расчет_аналитики'!AL3404-'19_Расчет_аналитики'!AL3425),0)</f>
        <v/>
      </c>
      <c r="AM3427">
        <f>IF('01_Вводные'!$B$234="Да",MAX(0,'19_Расчет_аналитики'!AM3404-'19_Расчет_аналитики'!AM3425),0)</f>
        <v/>
      </c>
      <c r="AN3427">
        <f>IF('01_Вводные'!$B$234="Да",MAX(0,'19_Расчет_аналитики'!AN3404-'19_Расчет_аналитики'!AN3425),0)</f>
        <v/>
      </c>
      <c r="AO3427">
        <f>IF('01_Вводные'!$B$234="Да",MAX(0,'19_Расчет_аналитики'!AO3404-'19_Расчет_аналитики'!AO3425),0)</f>
        <v/>
      </c>
      <c r="AP3427">
        <f>IF('01_Вводные'!$B$234="Да",MAX(0,'19_Расчет_аналитики'!AP3404-'19_Расчет_аналитики'!AP3425),0)</f>
        <v/>
      </c>
      <c r="AQ3427">
        <f>IF('01_Вводные'!$B$234="Да",MAX(0,'19_Расчет_аналитики'!AQ3404-'19_Расчет_аналитики'!AQ3425),0)</f>
        <v/>
      </c>
      <c r="AR3427">
        <f>IF('01_Вводные'!$B$234="Да",MAX(0,'19_Расчет_аналитики'!AR3404-'19_Расчет_аналитики'!AR3425),0)</f>
        <v/>
      </c>
      <c r="AS3427">
        <f>IF('01_Вводные'!$B$234="Да",MAX(0,'19_Расчет_аналитики'!AS3404-'19_Расчет_аналитики'!AS3425),0)</f>
        <v/>
      </c>
      <c r="AT3427">
        <f>IF('01_Вводные'!$B$234="Да",MAX(0,'19_Расчет_аналитики'!AT3404-'19_Расчет_аналитики'!AT3425),0)</f>
        <v/>
      </c>
      <c r="AU3427">
        <f>IF('01_Вводные'!$B$234="Да",MAX(0,'19_Расчет_аналитики'!AU3404-'19_Расчет_аналитики'!AU3425),0)</f>
        <v/>
      </c>
      <c r="AV3427">
        <f>IF('01_Вводные'!$B$234="Да",MAX(0,'19_Расчет_аналитики'!AV3404-'19_Расчет_аналитики'!AV3425),0)</f>
        <v/>
      </c>
      <c r="AW3427">
        <f>IF('01_Вводные'!$B$234="Да",MAX(0,'19_Расчет_аналитики'!AW3404-'19_Расчет_аналитики'!AW3425),0)</f>
        <v/>
      </c>
      <c r="AX3427">
        <f>IF('01_Вводные'!$B$234="Да",MAX(0,'19_Расчет_аналитики'!AX3404-'19_Расчет_аналитики'!AX3425),0)</f>
        <v/>
      </c>
      <c r="AY3427">
        <f>IF('01_Вводные'!$B$234="Да",MAX(0,'19_Расчет_аналитики'!AY3404-'19_Расчет_аналитики'!AY3425),0)</f>
        <v/>
      </c>
      <c r="AZ3427">
        <f>IF('01_Вводные'!$B$234="Да",MAX(0,'19_Расчет_аналитики'!AZ3404-'19_Расчет_аналитики'!AZ3425),0)</f>
        <v/>
      </c>
      <c r="BA3427">
        <f>IF('01_Вводные'!$B$234="Да",MAX(0,'19_Расчет_аналитики'!BA3404-'19_Расчет_аналитики'!BA3425),0)</f>
        <v/>
      </c>
      <c r="BB3427">
        <f>IF('01_Вводные'!$B$234="Да",MAX(0,'19_Расчет_аналитики'!BB3404-'19_Расчет_аналитики'!BB3425),0)</f>
        <v/>
      </c>
      <c r="BC3427">
        <f>IF('01_Вводные'!$B$234="Да",MAX(0,'19_Расчет_аналитики'!BC3404-'19_Расчет_аналитики'!BC3425),0)</f>
        <v/>
      </c>
      <c r="BD3427">
        <f>IF('01_Вводные'!$B$234="Да",MAX(0,'19_Расчет_аналитики'!BD3404-'19_Расчет_аналитики'!BD3425),0)</f>
        <v/>
      </c>
      <c r="BE3427">
        <f>IF('01_Вводные'!$B$234="Да",MAX(0,'19_Расчет_аналитики'!BE3404-'19_Расчет_аналитики'!BE3425),0)</f>
        <v/>
      </c>
      <c r="BF3427">
        <f>IF('01_Вводные'!$B$234="Да",MAX(0,'19_Расчет_аналитики'!BF3404-'19_Расчет_аналитики'!BF3425),0)</f>
        <v/>
      </c>
      <c r="BG3427">
        <f>IF('01_Вводные'!$B$234="Да",MAX(0,'19_Расчет_аналитики'!BG3404-'19_Расчет_аналитики'!BG3425),0)</f>
        <v/>
      </c>
      <c r="BH3427">
        <f>IF('01_Вводные'!$B$234="Да",MAX(0,'19_Расчет_аналитики'!BH3404-'19_Расчет_аналитики'!BH3425),0)</f>
        <v/>
      </c>
      <c r="BI3427">
        <f>IF('01_Вводные'!$B$234="Да",MAX(0,'19_Расчет_аналитики'!BI3404-'19_Расчет_аналитики'!BI3425),0)</f>
        <v/>
      </c>
      <c r="BJ3427">
        <f>IF('01_Вводные'!$B$234="Да",MAX(0,'19_Расчет_аналитики'!BJ3404-'19_Расчет_аналитики'!BJ3425),0)</f>
        <v/>
      </c>
      <c r="BK3427">
        <f>IF('01_Вводные'!$B$234="Да",MAX(0,'19_Расчет_аналитики'!BK3404-'19_Расчет_аналитики'!BK3425),0)</f>
        <v/>
      </c>
      <c r="BL3427">
        <f>IF('01_Вводные'!$B$234="Да",MAX(0,'19_Расчет_аналитики'!BL3404-'19_Расчет_аналитики'!BL3425),0)</f>
        <v/>
      </c>
      <c r="BM3427">
        <f>IF('01_Вводные'!$B$234="Да",MAX(0,'19_Расчет_аналитики'!BM3404-'19_Расчет_аналитики'!BM3425),0)</f>
        <v/>
      </c>
      <c r="BN3427">
        <f>IF('01_Вводные'!$B$234="Да",MAX(0,'19_Расчет_аналитики'!BN3404-'19_Расчет_аналитики'!BN3425),0)</f>
        <v/>
      </c>
      <c r="BO3427">
        <f>IF('01_Вводные'!$B$234="Да",MAX(0,'19_Расчет_аналитики'!BO3404-'19_Расчет_аналитики'!BO3425),0)</f>
        <v/>
      </c>
    </row>
    <row r="3428"/>
    <row r="3429"/>
    <row r="3430"/>
    <row r="3431"/>
    <row r="3432"/>
    <row r="3433"/>
    <row r="3434">
      <c r="B3434">
        <f>IF('01_Вводные'!$B$234="Да",IF(1&lt;='01_Вводные'!$B$235,0,INDEX('19_Расчет_аналитики'!$B$3399:$BO$3399,1,1-'01_Вводные'!$B$235)*'01_Вводные'!$B$14^'01_Вводные'!$B$235),0)</f>
        <v/>
      </c>
      <c r="C3434">
        <f>IF('01_Вводные'!$B$234="Да",IF(2&lt;='01_Вводные'!$B$235,0,INDEX('19_Расчет_аналитики'!$B$3399:$BO$3399,1,2-'01_Вводные'!$B$235)*'01_Вводные'!$B$14^'01_Вводные'!$B$235),0)</f>
        <v/>
      </c>
      <c r="D3434">
        <f>IF('01_Вводные'!$B$234="Да",IF(3&lt;='01_Вводные'!$B$235,0,INDEX('19_Расчет_аналитики'!$B$3399:$BO$3399,1,3-'01_Вводные'!$B$235)*'01_Вводные'!$B$14^'01_Вводные'!$B$235),0)</f>
        <v/>
      </c>
      <c r="E3434">
        <f>IF('01_Вводные'!$B$234="Да",IF(4&lt;='01_Вводные'!$B$235,0,INDEX('19_Расчет_аналитики'!$B$3399:$BO$3399,1,4-'01_Вводные'!$B$235)*'01_Вводные'!$B$14^'01_Вводные'!$B$235),0)</f>
        <v/>
      </c>
      <c r="F3434">
        <f>IF('01_Вводные'!$B$234="Да",IF(5&lt;='01_Вводные'!$B$235,0,INDEX('19_Расчет_аналитики'!$B$3399:$BO$3399,1,5-'01_Вводные'!$B$235)*'01_Вводные'!$B$14^'01_Вводные'!$B$235),0)</f>
        <v/>
      </c>
      <c r="G3434">
        <f>IF('01_Вводные'!$B$234="Да",IF(6&lt;='01_Вводные'!$B$235,0,INDEX('19_Расчет_аналитики'!$B$3399:$BO$3399,1,6-'01_Вводные'!$B$235)*'01_Вводные'!$B$14^'01_Вводные'!$B$235),0)</f>
        <v/>
      </c>
      <c r="H3434">
        <f>IF('01_Вводные'!$B$234="Да",IF(7&lt;='01_Вводные'!$B$235,0,INDEX('19_Расчет_аналитики'!$B$3399:$BO$3399,1,7-'01_Вводные'!$B$235)*'01_Вводные'!$B$14^'01_Вводные'!$B$235),0)</f>
        <v/>
      </c>
      <c r="I3434">
        <f>IF('01_Вводные'!$B$234="Да",IF(8&lt;='01_Вводные'!$B$235,0,INDEX('19_Расчет_аналитики'!$B$3399:$BO$3399,1,8-'01_Вводные'!$B$235)*'01_Вводные'!$B$14^'01_Вводные'!$B$235),0)</f>
        <v/>
      </c>
      <c r="J3434">
        <f>IF('01_Вводные'!$B$234="Да",IF(9&lt;='01_Вводные'!$B$235,0,INDEX('19_Расчет_аналитики'!$B$3399:$BO$3399,1,9-'01_Вводные'!$B$235)*'01_Вводные'!$B$14^'01_Вводные'!$B$235),0)</f>
        <v/>
      </c>
      <c r="K3434">
        <f>IF('01_Вводные'!$B$234="Да",IF(10&lt;='01_Вводные'!$B$235,0,INDEX('19_Расчет_аналитики'!$B$3399:$BO$3399,1,10-'01_Вводные'!$B$235)*'01_Вводные'!$B$14^'01_Вводные'!$B$235),0)</f>
        <v/>
      </c>
      <c r="L3434">
        <f>IF('01_Вводные'!$B$234="Да",IF(11&lt;='01_Вводные'!$B$235,0,INDEX('19_Расчет_аналитики'!$B$3399:$BO$3399,1,11-'01_Вводные'!$B$235)*'01_Вводные'!$B$14^'01_Вводные'!$B$235),0)</f>
        <v/>
      </c>
      <c r="M3434">
        <f>IF('01_Вводные'!$B$234="Да",IF(12&lt;='01_Вводные'!$B$235,0,INDEX('19_Расчет_аналитики'!$B$3399:$BO$3399,1,12-'01_Вводные'!$B$235)*'01_Вводные'!$B$14^'01_Вводные'!$B$235),0)</f>
        <v/>
      </c>
      <c r="N3434">
        <f>IF('01_Вводные'!$B$234="Да",IF(13&lt;='01_Вводные'!$B$235,0,INDEX('19_Расчет_аналитики'!$B$3399:$BO$3399,1,13-'01_Вводные'!$B$235)*'01_Вводные'!$B$14^'01_Вводные'!$B$235),0)</f>
        <v/>
      </c>
      <c r="O3434">
        <f>IF('01_Вводные'!$B$234="Да",IF(14&lt;='01_Вводные'!$B$235,0,INDEX('19_Расчет_аналитики'!$B$3399:$BO$3399,1,14-'01_Вводные'!$B$235)*'01_Вводные'!$B$14^'01_Вводные'!$B$235),0)</f>
        <v/>
      </c>
      <c r="P3434">
        <f>IF('01_Вводные'!$B$234="Да",IF(15&lt;='01_Вводные'!$B$235,0,INDEX('19_Расчет_аналитики'!$B$3399:$BO$3399,1,15-'01_Вводные'!$B$235)*'01_Вводные'!$B$14^'01_Вводные'!$B$235),0)</f>
        <v/>
      </c>
      <c r="Q3434">
        <f>IF('01_Вводные'!$B$234="Да",IF(16&lt;='01_Вводные'!$B$235,0,INDEX('19_Расчет_аналитики'!$B$3399:$BO$3399,1,16-'01_Вводные'!$B$235)*'01_Вводные'!$B$14^'01_Вводные'!$B$235),0)</f>
        <v/>
      </c>
      <c r="R3434">
        <f>IF('01_Вводные'!$B$234="Да",IF(17&lt;='01_Вводные'!$B$235,0,INDEX('19_Расчет_аналитики'!$B$3399:$BO$3399,1,17-'01_Вводные'!$B$235)*'01_Вводные'!$B$14^'01_Вводные'!$B$235),0)</f>
        <v/>
      </c>
      <c r="S3434">
        <f>IF('01_Вводные'!$B$234="Да",IF(18&lt;='01_Вводные'!$B$235,0,INDEX('19_Расчет_аналитики'!$B$3399:$BO$3399,1,18-'01_Вводные'!$B$235)*'01_Вводные'!$B$14^'01_Вводные'!$B$235),0)</f>
        <v/>
      </c>
      <c r="T3434">
        <f>IF('01_Вводные'!$B$234="Да",IF(19&lt;='01_Вводные'!$B$235,0,INDEX('19_Расчет_аналитики'!$B$3399:$BO$3399,1,19-'01_Вводные'!$B$235)*'01_Вводные'!$B$14^'01_Вводные'!$B$235),0)</f>
        <v/>
      </c>
      <c r="U3434">
        <f>IF('01_Вводные'!$B$234="Да",IF(20&lt;='01_Вводные'!$B$235,0,INDEX('19_Расчет_аналитики'!$B$3399:$BO$3399,1,20-'01_Вводные'!$B$235)*'01_Вводные'!$B$14^'01_Вводные'!$B$235),0)</f>
        <v/>
      </c>
      <c r="V3434">
        <f>IF('01_Вводные'!$B$234="Да",IF(21&lt;='01_Вводные'!$B$235,0,INDEX('19_Расчет_аналитики'!$B$3399:$BO$3399,1,21-'01_Вводные'!$B$235)*'01_Вводные'!$B$14^'01_Вводные'!$B$235),0)</f>
        <v/>
      </c>
      <c r="W3434">
        <f>IF('01_Вводные'!$B$234="Да",IF(22&lt;='01_Вводные'!$B$235,0,INDEX('19_Расчет_аналитики'!$B$3399:$BO$3399,1,22-'01_Вводные'!$B$235)*'01_Вводные'!$B$14^'01_Вводные'!$B$235),0)</f>
        <v/>
      </c>
      <c r="X3434">
        <f>IF('01_Вводные'!$B$234="Да",IF(23&lt;='01_Вводные'!$B$235,0,INDEX('19_Расчет_аналитики'!$B$3399:$BO$3399,1,23-'01_Вводные'!$B$235)*'01_Вводные'!$B$14^'01_Вводные'!$B$235),0)</f>
        <v/>
      </c>
      <c r="Y3434">
        <f>IF('01_Вводные'!$B$234="Да",IF(24&lt;='01_Вводные'!$B$235,0,INDEX('19_Расчет_аналитики'!$B$3399:$BO$3399,1,24-'01_Вводные'!$B$235)*'01_Вводные'!$B$14^'01_Вводные'!$B$235),0)</f>
        <v/>
      </c>
      <c r="Z3434">
        <f>IF('01_Вводные'!$B$234="Да",IF(25&lt;='01_Вводные'!$B$235,0,INDEX('19_Расчет_аналитики'!$B$3399:$BO$3399,1,25-'01_Вводные'!$B$235)*'01_Вводные'!$B$14^'01_Вводные'!$B$235),0)</f>
        <v/>
      </c>
      <c r="AA3434">
        <f>IF('01_Вводные'!$B$234="Да",IF(26&lt;='01_Вводные'!$B$235,0,INDEX('19_Расчет_аналитики'!$B$3399:$BO$3399,1,26-'01_Вводные'!$B$235)*'01_Вводные'!$B$14^'01_Вводные'!$B$235),0)</f>
        <v/>
      </c>
      <c r="AB3434">
        <f>IF('01_Вводные'!$B$234="Да",IF(27&lt;='01_Вводные'!$B$235,0,INDEX('19_Расчет_аналитики'!$B$3399:$BO$3399,1,27-'01_Вводные'!$B$235)*'01_Вводные'!$B$14^'01_Вводные'!$B$235),0)</f>
        <v/>
      </c>
      <c r="AC3434">
        <f>IF('01_Вводные'!$B$234="Да",IF(28&lt;='01_Вводные'!$B$235,0,INDEX('19_Расчет_аналитики'!$B$3399:$BO$3399,1,28-'01_Вводные'!$B$235)*'01_Вводные'!$B$14^'01_Вводные'!$B$235),0)</f>
        <v/>
      </c>
      <c r="AD3434">
        <f>IF('01_Вводные'!$B$234="Да",IF(29&lt;='01_Вводные'!$B$235,0,INDEX('19_Расчет_аналитики'!$B$3399:$BO$3399,1,29-'01_Вводные'!$B$235)*'01_Вводные'!$B$14^'01_Вводные'!$B$235),0)</f>
        <v/>
      </c>
      <c r="AE3434">
        <f>IF('01_Вводные'!$B$234="Да",IF(30&lt;='01_Вводные'!$B$235,0,INDEX('19_Расчет_аналитики'!$B$3399:$BO$3399,1,30-'01_Вводные'!$B$235)*'01_Вводные'!$B$14^'01_Вводные'!$B$235),0)</f>
        <v/>
      </c>
      <c r="AF3434">
        <f>IF('01_Вводные'!$B$234="Да",IF(31&lt;='01_Вводные'!$B$235,0,INDEX('19_Расчет_аналитики'!$B$3399:$BO$3399,1,31-'01_Вводные'!$B$235)*'01_Вводные'!$B$14^'01_Вводные'!$B$235),0)</f>
        <v/>
      </c>
      <c r="AG3434">
        <f>IF('01_Вводные'!$B$234="Да",IF(32&lt;='01_Вводные'!$B$235,0,INDEX('19_Расчет_аналитики'!$B$3399:$BO$3399,1,32-'01_Вводные'!$B$235)*'01_Вводные'!$B$14^'01_Вводные'!$B$235),0)</f>
        <v/>
      </c>
      <c r="AH3434">
        <f>IF('01_Вводные'!$B$234="Да",IF(33&lt;='01_Вводные'!$B$235,0,INDEX('19_Расчет_аналитики'!$B$3399:$BO$3399,1,33-'01_Вводные'!$B$235)*'01_Вводные'!$B$14^'01_Вводные'!$B$235),0)</f>
        <v/>
      </c>
      <c r="AI3434">
        <f>IF('01_Вводные'!$B$234="Да",IF(34&lt;='01_Вводные'!$B$235,0,INDEX('19_Расчет_аналитики'!$B$3399:$BO$3399,1,34-'01_Вводные'!$B$235)*'01_Вводные'!$B$14^'01_Вводные'!$B$235),0)</f>
        <v/>
      </c>
      <c r="AJ3434">
        <f>IF('01_Вводные'!$B$234="Да",IF(35&lt;='01_Вводные'!$B$235,0,INDEX('19_Расчет_аналитики'!$B$3399:$BO$3399,1,35-'01_Вводные'!$B$235)*'01_Вводные'!$B$14^'01_Вводные'!$B$235),0)</f>
        <v/>
      </c>
      <c r="AK3434">
        <f>IF('01_Вводные'!$B$234="Да",IF(36&lt;='01_Вводные'!$B$235,0,INDEX('19_Расчет_аналитики'!$B$3399:$BO$3399,1,36-'01_Вводные'!$B$235)*'01_Вводные'!$B$14^'01_Вводные'!$B$235),0)</f>
        <v/>
      </c>
      <c r="AL3434">
        <f>IF('01_Вводные'!$B$234="Да",IF(37&lt;='01_Вводные'!$B$235,0,INDEX('19_Расчет_аналитики'!$B$3399:$BO$3399,1,37-'01_Вводные'!$B$235)*'01_Вводные'!$B$14^'01_Вводные'!$B$235),0)</f>
        <v/>
      </c>
      <c r="AM3434">
        <f>IF('01_Вводные'!$B$234="Да",IF(38&lt;='01_Вводные'!$B$235,0,INDEX('19_Расчет_аналитики'!$B$3399:$BO$3399,1,38-'01_Вводные'!$B$235)*'01_Вводные'!$B$14^'01_Вводные'!$B$235),0)</f>
        <v/>
      </c>
      <c r="AN3434">
        <f>IF('01_Вводные'!$B$234="Да",IF(39&lt;='01_Вводные'!$B$235,0,INDEX('19_Расчет_аналитики'!$B$3399:$BO$3399,1,39-'01_Вводные'!$B$235)*'01_Вводные'!$B$14^'01_Вводные'!$B$235),0)</f>
        <v/>
      </c>
      <c r="AO3434">
        <f>IF('01_Вводные'!$B$234="Да",IF(40&lt;='01_Вводные'!$B$235,0,INDEX('19_Расчет_аналитики'!$B$3399:$BO$3399,1,40-'01_Вводные'!$B$235)*'01_Вводные'!$B$14^'01_Вводные'!$B$235),0)</f>
        <v/>
      </c>
      <c r="AP3434">
        <f>IF('01_Вводные'!$B$234="Да",IF(41&lt;='01_Вводные'!$B$235,0,INDEX('19_Расчет_аналитики'!$B$3399:$BO$3399,1,41-'01_Вводные'!$B$235)*'01_Вводные'!$B$14^'01_Вводные'!$B$235),0)</f>
        <v/>
      </c>
      <c r="AQ3434">
        <f>IF('01_Вводные'!$B$234="Да",IF(42&lt;='01_Вводные'!$B$235,0,INDEX('19_Расчет_аналитики'!$B$3399:$BO$3399,1,42-'01_Вводные'!$B$235)*'01_Вводные'!$B$14^'01_Вводные'!$B$235),0)</f>
        <v/>
      </c>
      <c r="AR3434">
        <f>IF('01_Вводные'!$B$234="Да",IF(43&lt;='01_Вводные'!$B$235,0,INDEX('19_Расчет_аналитики'!$B$3399:$BO$3399,1,43-'01_Вводные'!$B$235)*'01_Вводные'!$B$14^'01_Вводные'!$B$235),0)</f>
        <v/>
      </c>
      <c r="AS3434">
        <f>IF('01_Вводные'!$B$234="Да",IF(44&lt;='01_Вводные'!$B$235,0,INDEX('19_Расчет_аналитики'!$B$3399:$BO$3399,1,44-'01_Вводные'!$B$235)*'01_Вводные'!$B$14^'01_Вводные'!$B$235),0)</f>
        <v/>
      </c>
      <c r="AT3434">
        <f>IF('01_Вводные'!$B$234="Да",IF(45&lt;='01_Вводные'!$B$235,0,INDEX('19_Расчет_аналитики'!$B$3399:$BO$3399,1,45-'01_Вводные'!$B$235)*'01_Вводные'!$B$14^'01_Вводные'!$B$235),0)</f>
        <v/>
      </c>
      <c r="AU3434">
        <f>IF('01_Вводные'!$B$234="Да",IF(46&lt;='01_Вводные'!$B$235,0,INDEX('19_Расчет_аналитики'!$B$3399:$BO$3399,1,46-'01_Вводные'!$B$235)*'01_Вводные'!$B$14^'01_Вводные'!$B$235),0)</f>
        <v/>
      </c>
      <c r="AV3434">
        <f>IF('01_Вводные'!$B$234="Да",IF(47&lt;='01_Вводные'!$B$235,0,INDEX('19_Расчет_аналитики'!$B$3399:$BO$3399,1,47-'01_Вводные'!$B$235)*'01_Вводные'!$B$14^'01_Вводные'!$B$235),0)</f>
        <v/>
      </c>
      <c r="AW3434">
        <f>IF('01_Вводные'!$B$234="Да",IF(48&lt;='01_Вводные'!$B$235,0,INDEX('19_Расчет_аналитики'!$B$3399:$BO$3399,1,48-'01_Вводные'!$B$235)*'01_Вводные'!$B$14^'01_Вводные'!$B$235),0)</f>
        <v/>
      </c>
      <c r="AX3434">
        <f>IF('01_Вводные'!$B$234="Да",IF(49&lt;='01_Вводные'!$B$235,0,INDEX('19_Расчет_аналитики'!$B$3399:$BO$3399,1,49-'01_Вводные'!$B$235)*'01_Вводные'!$B$14^'01_Вводные'!$B$235),0)</f>
        <v/>
      </c>
      <c r="AY3434">
        <f>IF('01_Вводные'!$B$234="Да",IF(50&lt;='01_Вводные'!$B$235,0,INDEX('19_Расчет_аналитики'!$B$3399:$BO$3399,1,50-'01_Вводные'!$B$235)*'01_Вводные'!$B$14^'01_Вводные'!$B$235),0)</f>
        <v/>
      </c>
      <c r="AZ3434">
        <f>IF('01_Вводные'!$B$234="Да",IF(51&lt;='01_Вводные'!$B$235,0,INDEX('19_Расчет_аналитики'!$B$3399:$BO$3399,1,51-'01_Вводные'!$B$235)*'01_Вводные'!$B$14^'01_Вводные'!$B$235),0)</f>
        <v/>
      </c>
      <c r="BA3434">
        <f>IF('01_Вводные'!$B$234="Да",IF(52&lt;='01_Вводные'!$B$235,0,INDEX('19_Расчет_аналитики'!$B$3399:$BO$3399,1,52-'01_Вводные'!$B$235)*'01_Вводные'!$B$14^'01_Вводные'!$B$235),0)</f>
        <v/>
      </c>
      <c r="BB3434">
        <f>IF('01_Вводные'!$B$234="Да",IF(53&lt;='01_Вводные'!$B$235,0,INDEX('19_Расчет_аналитики'!$B$3399:$BO$3399,1,53-'01_Вводные'!$B$235)*'01_Вводные'!$B$14^'01_Вводные'!$B$235),0)</f>
        <v/>
      </c>
      <c r="BC3434">
        <f>IF('01_Вводные'!$B$234="Да",IF(54&lt;='01_Вводные'!$B$235,0,INDEX('19_Расчет_аналитики'!$B$3399:$BO$3399,1,54-'01_Вводные'!$B$235)*'01_Вводные'!$B$14^'01_Вводные'!$B$235),0)</f>
        <v/>
      </c>
      <c r="BD3434">
        <f>IF('01_Вводные'!$B$234="Да",IF(55&lt;='01_Вводные'!$B$235,0,INDEX('19_Расчет_аналитики'!$B$3399:$BO$3399,1,55-'01_Вводные'!$B$235)*'01_Вводные'!$B$14^'01_Вводные'!$B$235),0)</f>
        <v/>
      </c>
      <c r="BE3434">
        <f>IF('01_Вводные'!$B$234="Да",IF(56&lt;='01_Вводные'!$B$235,0,INDEX('19_Расчет_аналитики'!$B$3399:$BO$3399,1,56-'01_Вводные'!$B$235)*'01_Вводные'!$B$14^'01_Вводные'!$B$235),0)</f>
        <v/>
      </c>
      <c r="BF3434">
        <f>IF('01_Вводные'!$B$234="Да",IF(57&lt;='01_Вводные'!$B$235,0,INDEX('19_Расчет_аналитики'!$B$3399:$BO$3399,1,57-'01_Вводные'!$B$235)*'01_Вводные'!$B$14^'01_Вводные'!$B$235),0)</f>
        <v/>
      </c>
      <c r="BG3434">
        <f>IF('01_Вводные'!$B$234="Да",IF(58&lt;='01_Вводные'!$B$235,0,INDEX('19_Расчет_аналитики'!$B$3399:$BO$3399,1,58-'01_Вводные'!$B$235)*'01_Вводные'!$B$14^'01_Вводные'!$B$235),0)</f>
        <v/>
      </c>
      <c r="BH3434">
        <f>IF('01_Вводные'!$B$234="Да",IF(59&lt;='01_Вводные'!$B$235,0,INDEX('19_Расчет_аналитики'!$B$3399:$BO$3399,1,59-'01_Вводные'!$B$235)*'01_Вводные'!$B$14^'01_Вводные'!$B$235),0)</f>
        <v/>
      </c>
      <c r="BI3434">
        <f>IF('01_Вводные'!$B$234="Да",IF(60&lt;='01_Вводные'!$B$235,0,INDEX('19_Расчет_аналитики'!$B$3399:$BO$3399,1,60-'01_Вводные'!$B$235)*'01_Вводные'!$B$14^'01_Вводные'!$B$235),0)</f>
        <v/>
      </c>
      <c r="BJ3434">
        <f>IF('01_Вводные'!$B$234="Да",IF(61&lt;='01_Вводные'!$B$235,0,INDEX('19_Расчет_аналитики'!$B$3399:$BO$3399,1,61-'01_Вводные'!$B$235)*'01_Вводные'!$B$14^'01_Вводные'!$B$235),0)</f>
        <v/>
      </c>
      <c r="BK3434">
        <f>IF('01_Вводные'!$B$234="Да",IF(62&lt;='01_Вводные'!$B$235,0,INDEX('19_Расчет_аналитики'!$B$3399:$BO$3399,1,62-'01_Вводные'!$B$235)*'01_Вводные'!$B$14^'01_Вводные'!$B$235),0)</f>
        <v/>
      </c>
      <c r="BL3434">
        <f>IF('01_Вводные'!$B$234="Да",IF(63&lt;='01_Вводные'!$B$235,0,INDEX('19_Расчет_аналитики'!$B$3399:$BO$3399,1,63-'01_Вводные'!$B$235)*'01_Вводные'!$B$14^'01_Вводные'!$B$235),0)</f>
        <v/>
      </c>
      <c r="BM3434">
        <f>IF('01_Вводные'!$B$234="Да",IF(64&lt;='01_Вводные'!$B$235,0,INDEX('19_Расчет_аналитики'!$B$3399:$BO$3399,1,64-'01_Вводные'!$B$235)*'01_Вводные'!$B$14^'01_Вводные'!$B$235),0)</f>
        <v/>
      </c>
      <c r="BN3434">
        <f>IF('01_Вводные'!$B$234="Да",IF(65&lt;='01_Вводные'!$B$235,0,INDEX('19_Расчет_аналитики'!$B$3399:$BO$3399,1,65-'01_Вводные'!$B$235)*'01_Вводные'!$B$14^'01_Вводные'!$B$235),0)</f>
        <v/>
      </c>
      <c r="BO3434">
        <f>IF('01_Вводные'!$B$234="Да",IF(66&lt;='01_Вводные'!$B$235,0,INDEX('19_Расчет_аналитики'!$B$3399:$BO$3399,1,66-'01_Вводные'!$B$235)*'01_Вводные'!$B$14^'01_Вводные'!$B$235),0)</f>
        <v/>
      </c>
    </row>
    <row r="3435">
      <c r="B3435">
        <f>IF('01_Вводные'!$B$234="Да",'19_Расчет_аналитики'!B3434,0)</f>
        <v/>
      </c>
      <c r="C3435">
        <f>IF('01_Вводные'!$B$234="Да",'19_Расчет_аналитики'!B3435*'01_Вводные'!$B$14+'19_Расчет_аналитики'!C3434,0)</f>
        <v/>
      </c>
      <c r="D3435">
        <f>IF('01_Вводные'!$B$234="Да",'19_Расчет_аналитики'!C3435*'01_Вводные'!$B$14+'19_Расчет_аналитики'!D3434,0)</f>
        <v/>
      </c>
      <c r="E3435">
        <f>IF('01_Вводные'!$B$234="Да",'19_Расчет_аналитики'!D3435*'01_Вводные'!$B$14+'19_Расчет_аналитики'!E3434,0)</f>
        <v/>
      </c>
      <c r="F3435">
        <f>IF('01_Вводные'!$B$234="Да",'19_Расчет_аналитики'!E3435*'01_Вводные'!$B$14+'19_Расчет_аналитики'!F3434,0)</f>
        <v/>
      </c>
      <c r="G3435">
        <f>IF('01_Вводные'!$B$234="Да",'19_Расчет_аналитики'!F3435*'01_Вводные'!$B$14+'19_Расчет_аналитики'!G3434,0)</f>
        <v/>
      </c>
      <c r="H3435">
        <f>IF('01_Вводные'!$B$234="Да",'19_Расчет_аналитики'!G3435*'01_Вводные'!$B$14+'19_Расчет_аналитики'!H3434,0)</f>
        <v/>
      </c>
      <c r="I3435">
        <f>IF('01_Вводные'!$B$234="Да",'19_Расчет_аналитики'!H3435*'01_Вводные'!$B$14+'19_Расчет_аналитики'!I3434,0)</f>
        <v/>
      </c>
      <c r="J3435">
        <f>IF('01_Вводные'!$B$234="Да",'19_Расчет_аналитики'!I3435*'01_Вводные'!$B$14+'19_Расчет_аналитики'!J3434,0)</f>
        <v/>
      </c>
      <c r="K3435">
        <f>IF('01_Вводные'!$B$234="Да",'19_Расчет_аналитики'!J3435*'01_Вводные'!$B$14+'19_Расчет_аналитики'!K3434,0)</f>
        <v/>
      </c>
      <c r="L3435">
        <f>IF('01_Вводные'!$B$234="Да",'19_Расчет_аналитики'!K3435*'01_Вводные'!$B$14+'19_Расчет_аналитики'!L3434,0)</f>
        <v/>
      </c>
      <c r="M3435">
        <f>IF('01_Вводные'!$B$234="Да",'19_Расчет_аналитики'!L3435*'01_Вводные'!$B$14+'19_Расчет_аналитики'!M3434,0)</f>
        <v/>
      </c>
      <c r="N3435">
        <f>IF('01_Вводные'!$B$234="Да",'19_Расчет_аналитики'!M3435*'01_Вводные'!$B$14+'19_Расчет_аналитики'!N3434,0)</f>
        <v/>
      </c>
      <c r="O3435">
        <f>IF('01_Вводные'!$B$234="Да",'19_Расчет_аналитики'!N3435*'01_Вводные'!$B$14+'19_Расчет_аналитики'!O3434,0)</f>
        <v/>
      </c>
      <c r="P3435">
        <f>IF('01_Вводные'!$B$234="Да",'19_Расчет_аналитики'!O3435*'01_Вводные'!$B$14+'19_Расчет_аналитики'!P3434,0)</f>
        <v/>
      </c>
      <c r="Q3435">
        <f>IF('01_Вводные'!$B$234="Да",'19_Расчет_аналитики'!P3435*'01_Вводные'!$B$14+'19_Расчет_аналитики'!Q3434,0)</f>
        <v/>
      </c>
      <c r="R3435">
        <f>IF('01_Вводные'!$B$234="Да",'19_Расчет_аналитики'!Q3435*'01_Вводные'!$B$14+'19_Расчет_аналитики'!R3434,0)</f>
        <v/>
      </c>
      <c r="S3435">
        <f>IF('01_Вводные'!$B$234="Да",'19_Расчет_аналитики'!R3435*'01_Вводные'!$B$14+'19_Расчет_аналитики'!S3434,0)</f>
        <v/>
      </c>
      <c r="T3435">
        <f>IF('01_Вводные'!$B$234="Да",'19_Расчет_аналитики'!S3435*'01_Вводные'!$B$14+'19_Расчет_аналитики'!T3434,0)</f>
        <v/>
      </c>
      <c r="U3435">
        <f>IF('01_Вводные'!$B$234="Да",'19_Расчет_аналитики'!T3435*'01_Вводные'!$B$14+'19_Расчет_аналитики'!U3434,0)</f>
        <v/>
      </c>
      <c r="V3435">
        <f>IF('01_Вводные'!$B$234="Да",'19_Расчет_аналитики'!U3435*'01_Вводные'!$B$14+'19_Расчет_аналитики'!V3434,0)</f>
        <v/>
      </c>
      <c r="W3435">
        <f>IF('01_Вводные'!$B$234="Да",'19_Расчет_аналитики'!V3435*'01_Вводные'!$B$14+'19_Расчет_аналитики'!W3434,0)</f>
        <v/>
      </c>
      <c r="X3435">
        <f>IF('01_Вводные'!$B$234="Да",'19_Расчет_аналитики'!W3435*'01_Вводные'!$B$14+'19_Расчет_аналитики'!X3434,0)</f>
        <v/>
      </c>
      <c r="Y3435">
        <f>IF('01_Вводные'!$B$234="Да",'19_Расчет_аналитики'!X3435*'01_Вводные'!$B$14+'19_Расчет_аналитики'!Y3434,0)</f>
        <v/>
      </c>
      <c r="Z3435">
        <f>IF('01_Вводные'!$B$234="Да",'19_Расчет_аналитики'!Y3435*'01_Вводные'!$B$14+'19_Расчет_аналитики'!Z3434,0)</f>
        <v/>
      </c>
      <c r="AA3435">
        <f>IF('01_Вводные'!$B$234="Да",'19_Расчет_аналитики'!Z3435*'01_Вводные'!$B$14+'19_Расчет_аналитики'!AA3434,0)</f>
        <v/>
      </c>
      <c r="AB3435">
        <f>IF('01_Вводные'!$B$234="Да",'19_Расчет_аналитики'!AA3435*'01_Вводные'!$B$14+'19_Расчет_аналитики'!AB3434,0)</f>
        <v/>
      </c>
      <c r="AC3435">
        <f>IF('01_Вводные'!$B$234="Да",'19_Расчет_аналитики'!AB3435*'01_Вводные'!$B$14+'19_Расчет_аналитики'!AC3434,0)</f>
        <v/>
      </c>
      <c r="AD3435">
        <f>IF('01_Вводные'!$B$234="Да",'19_Расчет_аналитики'!AC3435*'01_Вводные'!$B$14+'19_Расчет_аналитики'!AD3434,0)</f>
        <v/>
      </c>
      <c r="AE3435">
        <f>IF('01_Вводные'!$B$234="Да",'19_Расчет_аналитики'!AD3435*'01_Вводные'!$B$14+'19_Расчет_аналитики'!AE3434,0)</f>
        <v/>
      </c>
      <c r="AF3435">
        <f>IF('01_Вводные'!$B$234="Да",'19_Расчет_аналитики'!AE3435*'01_Вводные'!$B$14+'19_Расчет_аналитики'!AF3434,0)</f>
        <v/>
      </c>
      <c r="AG3435">
        <f>IF('01_Вводные'!$B$234="Да",'19_Расчет_аналитики'!AF3435*'01_Вводные'!$B$14+'19_Расчет_аналитики'!AG3434,0)</f>
        <v/>
      </c>
      <c r="AH3435">
        <f>IF('01_Вводные'!$B$234="Да",'19_Расчет_аналитики'!AG3435*'01_Вводные'!$B$14+'19_Расчет_аналитики'!AH3434,0)</f>
        <v/>
      </c>
      <c r="AI3435">
        <f>IF('01_Вводные'!$B$234="Да",'19_Расчет_аналитики'!AH3435*'01_Вводные'!$B$14+'19_Расчет_аналитики'!AI3434,0)</f>
        <v/>
      </c>
      <c r="AJ3435">
        <f>IF('01_Вводные'!$B$234="Да",'19_Расчет_аналитики'!AI3435*'01_Вводные'!$B$14+'19_Расчет_аналитики'!AJ3434,0)</f>
        <v/>
      </c>
      <c r="AK3435">
        <f>IF('01_Вводные'!$B$234="Да",'19_Расчет_аналитики'!AJ3435*'01_Вводные'!$B$14+'19_Расчет_аналитики'!AK3434,0)</f>
        <v/>
      </c>
      <c r="AL3435">
        <f>IF('01_Вводные'!$B$234="Да",'19_Расчет_аналитики'!AK3435*'01_Вводные'!$B$14+'19_Расчет_аналитики'!AL3434,0)</f>
        <v/>
      </c>
      <c r="AM3435">
        <f>IF('01_Вводные'!$B$234="Да",'19_Расчет_аналитики'!AL3435*'01_Вводные'!$B$14+'19_Расчет_аналитики'!AM3434,0)</f>
        <v/>
      </c>
      <c r="AN3435">
        <f>IF('01_Вводные'!$B$234="Да",'19_Расчет_аналитики'!AM3435*'01_Вводные'!$B$14+'19_Расчет_аналитики'!AN3434,0)</f>
        <v/>
      </c>
      <c r="AO3435">
        <f>IF('01_Вводные'!$B$234="Да",'19_Расчет_аналитики'!AN3435*'01_Вводные'!$B$14+'19_Расчет_аналитики'!AO3434,0)</f>
        <v/>
      </c>
      <c r="AP3435">
        <f>IF('01_Вводные'!$B$234="Да",'19_Расчет_аналитики'!AO3435*'01_Вводные'!$B$14+'19_Расчет_аналитики'!AP3434,0)</f>
        <v/>
      </c>
      <c r="AQ3435">
        <f>IF('01_Вводные'!$B$234="Да",'19_Расчет_аналитики'!AP3435*'01_Вводные'!$B$14+'19_Расчет_аналитики'!AQ3434,0)</f>
        <v/>
      </c>
      <c r="AR3435">
        <f>IF('01_Вводные'!$B$234="Да",'19_Расчет_аналитики'!AQ3435*'01_Вводные'!$B$14+'19_Расчет_аналитики'!AR3434,0)</f>
        <v/>
      </c>
      <c r="AS3435">
        <f>IF('01_Вводные'!$B$234="Да",'19_Расчет_аналитики'!AR3435*'01_Вводные'!$B$14+'19_Расчет_аналитики'!AS3434,0)</f>
        <v/>
      </c>
      <c r="AT3435">
        <f>IF('01_Вводные'!$B$234="Да",'19_Расчет_аналитики'!AS3435*'01_Вводные'!$B$14+'19_Расчет_аналитики'!AT3434,0)</f>
        <v/>
      </c>
      <c r="AU3435">
        <f>IF('01_Вводные'!$B$234="Да",'19_Расчет_аналитики'!AT3435*'01_Вводные'!$B$14+'19_Расчет_аналитики'!AU3434,0)</f>
        <v/>
      </c>
      <c r="AV3435">
        <f>IF('01_Вводные'!$B$234="Да",'19_Расчет_аналитики'!AU3435*'01_Вводные'!$B$14+'19_Расчет_аналитики'!AV3434,0)</f>
        <v/>
      </c>
      <c r="AW3435">
        <f>IF('01_Вводные'!$B$234="Да",'19_Расчет_аналитики'!AV3435*'01_Вводные'!$B$14+'19_Расчет_аналитики'!AW3434,0)</f>
        <v/>
      </c>
      <c r="AX3435">
        <f>IF('01_Вводные'!$B$234="Да",'19_Расчет_аналитики'!AW3435*'01_Вводные'!$B$14+'19_Расчет_аналитики'!AX3434,0)</f>
        <v/>
      </c>
      <c r="AY3435">
        <f>IF('01_Вводные'!$B$234="Да",'19_Расчет_аналитики'!AX3435*'01_Вводные'!$B$14+'19_Расчет_аналитики'!AY3434,0)</f>
        <v/>
      </c>
      <c r="AZ3435">
        <f>IF('01_Вводные'!$B$234="Да",'19_Расчет_аналитики'!AY3435*'01_Вводные'!$B$14+'19_Расчет_аналитики'!AZ3434,0)</f>
        <v/>
      </c>
      <c r="BA3435">
        <f>IF('01_Вводные'!$B$234="Да",'19_Расчет_аналитики'!AZ3435*'01_Вводные'!$B$14+'19_Расчет_аналитики'!BA3434,0)</f>
        <v/>
      </c>
      <c r="BB3435">
        <f>IF('01_Вводные'!$B$234="Да",'19_Расчет_аналитики'!BA3435*'01_Вводные'!$B$14+'19_Расчет_аналитики'!BB3434,0)</f>
        <v/>
      </c>
      <c r="BC3435">
        <f>IF('01_Вводные'!$B$234="Да",'19_Расчет_аналитики'!BB3435*'01_Вводные'!$B$14+'19_Расчет_аналитики'!BC3434,0)</f>
        <v/>
      </c>
      <c r="BD3435">
        <f>IF('01_Вводные'!$B$234="Да",'19_Расчет_аналитики'!BC3435*'01_Вводные'!$B$14+'19_Расчет_аналитики'!BD3434,0)</f>
        <v/>
      </c>
      <c r="BE3435">
        <f>IF('01_Вводные'!$B$234="Да",'19_Расчет_аналитики'!BD3435*'01_Вводные'!$B$14+'19_Расчет_аналитики'!BE3434,0)</f>
        <v/>
      </c>
      <c r="BF3435">
        <f>IF('01_Вводные'!$B$234="Да",'19_Расчет_аналитики'!BE3435*'01_Вводные'!$B$14+'19_Расчет_аналитики'!BF3434,0)</f>
        <v/>
      </c>
      <c r="BG3435">
        <f>IF('01_Вводные'!$B$234="Да",'19_Расчет_аналитики'!BF3435*'01_Вводные'!$B$14+'19_Расчет_аналитики'!BG3434,0)</f>
        <v/>
      </c>
      <c r="BH3435">
        <f>IF('01_Вводные'!$B$234="Да",'19_Расчет_аналитики'!BG3435*'01_Вводные'!$B$14+'19_Расчет_аналитики'!BH3434,0)</f>
        <v/>
      </c>
      <c r="BI3435">
        <f>IF('01_Вводные'!$B$234="Да",'19_Расчет_аналитики'!BH3435*'01_Вводные'!$B$14+'19_Расчет_аналитики'!BI3434,0)</f>
        <v/>
      </c>
      <c r="BJ3435">
        <f>IF('01_Вводные'!$B$234="Да",'19_Расчет_аналитики'!BI3435*'01_Вводные'!$B$14+'19_Расчет_аналитики'!BJ3434,0)</f>
        <v/>
      </c>
      <c r="BK3435">
        <f>IF('01_Вводные'!$B$234="Да",'19_Расчет_аналитики'!BJ3435*'01_Вводные'!$B$14+'19_Расчет_аналитики'!BK3434,0)</f>
        <v/>
      </c>
      <c r="BL3435">
        <f>IF('01_Вводные'!$B$234="Да",'19_Расчет_аналитики'!BK3435*'01_Вводные'!$B$14+'19_Расчет_аналитики'!BL3434,0)</f>
        <v/>
      </c>
      <c r="BM3435">
        <f>IF('01_Вводные'!$B$234="Да",'19_Расчет_аналитики'!BL3435*'01_Вводные'!$B$14+'19_Расчет_аналитики'!BM3434,0)</f>
        <v/>
      </c>
      <c r="BN3435">
        <f>IF('01_Вводные'!$B$234="Да",'19_Расчет_аналитики'!BM3435*'01_Вводные'!$B$14+'19_Расчет_аналитики'!BN3434,0)</f>
        <v/>
      </c>
      <c r="BO3435">
        <f>IF('01_Вводные'!$B$234="Да",'19_Расчет_аналитики'!BN3435*'01_Вводные'!$B$14+'19_Расчет_аналитики'!BO3434,0)</f>
        <v/>
      </c>
    </row>
    <row r="3436"/>
    <row r="3437"/>
    <row r="3438"/>
    <row r="3439"/>
    <row r="3440"/>
    <row r="3441"/>
    <row r="3442"/>
    <row r="3443"/>
    <row r="3444">
      <c r="B3444">
        <f>IF('01_Вводные'!$B$234="Да",'19_Расчет_аналитики'!B3399,0)</f>
        <v/>
      </c>
      <c r="C3444">
        <f>IF('01_Вводные'!$B$234="Да",'19_Расчет_аналитики'!C3399,0)</f>
        <v/>
      </c>
      <c r="D3444">
        <f>IF('01_Вводные'!$B$234="Да",'19_Расчет_аналитики'!D3399,0)</f>
        <v/>
      </c>
      <c r="E3444">
        <f>IF('01_Вводные'!$B$234="Да",'19_Расчет_аналитики'!E3399,0)</f>
        <v/>
      </c>
      <c r="F3444">
        <f>IF('01_Вводные'!$B$234="Да",'19_Расчет_аналитики'!F3399,0)</f>
        <v/>
      </c>
      <c r="G3444">
        <f>IF('01_Вводные'!$B$234="Да",'19_Расчет_аналитики'!G3399,0)</f>
        <v/>
      </c>
      <c r="H3444">
        <f>IF('01_Вводные'!$B$234="Да",'19_Расчет_аналитики'!H3399,0)</f>
        <v/>
      </c>
      <c r="I3444">
        <f>IF('01_Вводные'!$B$234="Да",'19_Расчет_аналитики'!I3399,0)</f>
        <v/>
      </c>
      <c r="J3444">
        <f>IF('01_Вводные'!$B$234="Да",'19_Расчет_аналитики'!J3399,0)</f>
        <v/>
      </c>
      <c r="K3444">
        <f>IF('01_Вводные'!$B$234="Да",'19_Расчет_аналитики'!K3399,0)</f>
        <v/>
      </c>
      <c r="L3444">
        <f>IF('01_Вводные'!$B$234="Да",'19_Расчет_аналитики'!L3399,0)</f>
        <v/>
      </c>
      <c r="M3444">
        <f>IF('01_Вводные'!$B$234="Да",'19_Расчет_аналитики'!M3399,0)</f>
        <v/>
      </c>
      <c r="N3444">
        <f>IF('01_Вводные'!$B$234="Да",'19_Расчет_аналитики'!N3399,0)</f>
        <v/>
      </c>
      <c r="O3444">
        <f>IF('01_Вводные'!$B$234="Да",'19_Расчет_аналитики'!O3399,0)</f>
        <v/>
      </c>
      <c r="P3444">
        <f>IF('01_Вводные'!$B$234="Да",'19_Расчет_аналитики'!P3399,0)</f>
        <v/>
      </c>
      <c r="Q3444">
        <f>IF('01_Вводные'!$B$234="Да",'19_Расчет_аналитики'!Q3399,0)</f>
        <v/>
      </c>
      <c r="R3444">
        <f>IF('01_Вводные'!$B$234="Да",'19_Расчет_аналитики'!R3399,0)</f>
        <v/>
      </c>
      <c r="S3444">
        <f>IF('01_Вводные'!$B$234="Да",'19_Расчет_аналитики'!S3399,0)</f>
        <v/>
      </c>
      <c r="T3444">
        <f>IF('01_Вводные'!$B$234="Да",'19_Расчет_аналитики'!T3399,0)</f>
        <v/>
      </c>
      <c r="U3444">
        <f>IF('01_Вводные'!$B$234="Да",'19_Расчет_аналитики'!U3399,0)</f>
        <v/>
      </c>
      <c r="V3444">
        <f>IF('01_Вводные'!$B$234="Да",'19_Расчет_аналитики'!V3399,0)</f>
        <v/>
      </c>
      <c r="W3444">
        <f>IF('01_Вводные'!$B$234="Да",'19_Расчет_аналитики'!W3399,0)</f>
        <v/>
      </c>
      <c r="X3444">
        <f>IF('01_Вводные'!$B$234="Да",'19_Расчет_аналитики'!X3399,0)</f>
        <v/>
      </c>
      <c r="Y3444">
        <f>IF('01_Вводные'!$B$234="Да",'19_Расчет_аналитики'!Y3399,0)</f>
        <v/>
      </c>
      <c r="Z3444">
        <f>IF('01_Вводные'!$B$234="Да",'19_Расчет_аналитики'!Z3399,0)</f>
        <v/>
      </c>
      <c r="AA3444">
        <f>IF('01_Вводные'!$B$234="Да",'19_Расчет_аналитики'!AA3399,0)</f>
        <v/>
      </c>
      <c r="AB3444">
        <f>IF('01_Вводные'!$B$234="Да",'19_Расчет_аналитики'!AB3399,0)</f>
        <v/>
      </c>
      <c r="AC3444">
        <f>IF('01_Вводные'!$B$234="Да",'19_Расчет_аналитики'!AC3399,0)</f>
        <v/>
      </c>
      <c r="AD3444">
        <f>IF('01_Вводные'!$B$234="Да",'19_Расчет_аналитики'!AD3399,0)</f>
        <v/>
      </c>
      <c r="AE3444">
        <f>IF('01_Вводные'!$B$234="Да",'19_Расчет_аналитики'!AE3399,0)</f>
        <v/>
      </c>
      <c r="AF3444">
        <f>IF('01_Вводные'!$B$234="Да",'19_Расчет_аналитики'!AF3399,0)</f>
        <v/>
      </c>
      <c r="AG3444">
        <f>IF('01_Вводные'!$B$234="Да",'19_Расчет_аналитики'!AG3399,0)</f>
        <v/>
      </c>
      <c r="AH3444">
        <f>IF('01_Вводные'!$B$234="Да",'19_Расчет_аналитики'!AH3399,0)</f>
        <v/>
      </c>
      <c r="AI3444">
        <f>IF('01_Вводные'!$B$234="Да",'19_Расчет_аналитики'!AI3399,0)</f>
        <v/>
      </c>
      <c r="AJ3444">
        <f>IF('01_Вводные'!$B$234="Да",'19_Расчет_аналитики'!AJ3399,0)</f>
        <v/>
      </c>
      <c r="AK3444">
        <f>IF('01_Вводные'!$B$234="Да",'19_Расчет_аналитики'!AK3399,0)</f>
        <v/>
      </c>
      <c r="AL3444">
        <f>IF('01_Вводные'!$B$234="Да",'19_Расчет_аналитики'!AL3399,0)</f>
        <v/>
      </c>
      <c r="AM3444">
        <f>IF('01_Вводные'!$B$234="Да",'19_Расчет_аналитики'!AM3399,0)</f>
        <v/>
      </c>
      <c r="AN3444">
        <f>IF('01_Вводные'!$B$234="Да",'19_Расчет_аналитики'!AN3399,0)</f>
        <v/>
      </c>
      <c r="AO3444">
        <f>IF('01_Вводные'!$B$234="Да",'19_Расчет_аналитики'!AO3399,0)</f>
        <v/>
      </c>
      <c r="AP3444">
        <f>IF('01_Вводные'!$B$234="Да",'19_Расчет_аналитики'!AP3399,0)</f>
        <v/>
      </c>
      <c r="AQ3444">
        <f>IF('01_Вводные'!$B$234="Да",'19_Расчет_аналитики'!AQ3399,0)</f>
        <v/>
      </c>
      <c r="AR3444">
        <f>IF('01_Вводные'!$B$234="Да",'19_Расчет_аналитики'!AR3399,0)</f>
        <v/>
      </c>
      <c r="AS3444">
        <f>IF('01_Вводные'!$B$234="Да",'19_Расчет_аналитики'!AS3399,0)</f>
        <v/>
      </c>
      <c r="AT3444">
        <f>IF('01_Вводные'!$B$234="Да",'19_Расчет_аналитики'!AT3399,0)</f>
        <v/>
      </c>
      <c r="AU3444">
        <f>IF('01_Вводные'!$B$234="Да",'19_Расчет_аналитики'!AU3399,0)</f>
        <v/>
      </c>
      <c r="AV3444">
        <f>IF('01_Вводные'!$B$234="Да",'19_Расчет_аналитики'!AV3399,0)</f>
        <v/>
      </c>
      <c r="AW3444">
        <f>IF('01_Вводные'!$B$234="Да",'19_Расчет_аналитики'!AW3399,0)</f>
        <v/>
      </c>
      <c r="AX3444">
        <f>IF('01_Вводные'!$B$234="Да",'19_Расчет_аналитики'!AX3399,0)</f>
        <v/>
      </c>
      <c r="AY3444">
        <f>IF('01_Вводные'!$B$234="Да",'19_Расчет_аналитики'!AY3399,0)</f>
        <v/>
      </c>
      <c r="AZ3444">
        <f>IF('01_Вводные'!$B$234="Да",'19_Расчет_аналитики'!AZ3399,0)</f>
        <v/>
      </c>
      <c r="BA3444">
        <f>IF('01_Вводные'!$B$234="Да",'19_Расчет_аналитики'!BA3399,0)</f>
        <v/>
      </c>
      <c r="BB3444">
        <f>IF('01_Вводные'!$B$234="Да",'19_Расчет_аналитики'!BB3399,0)</f>
        <v/>
      </c>
      <c r="BC3444">
        <f>IF('01_Вводные'!$B$234="Да",'19_Расчет_аналитики'!BC3399,0)</f>
        <v/>
      </c>
      <c r="BD3444">
        <f>IF('01_Вводные'!$B$234="Да",'19_Расчет_аналитики'!BD3399,0)</f>
        <v/>
      </c>
      <c r="BE3444">
        <f>IF('01_Вводные'!$B$234="Да",'19_Расчет_аналитики'!BE3399,0)</f>
        <v/>
      </c>
      <c r="BF3444">
        <f>IF('01_Вводные'!$B$234="Да",'19_Расчет_аналитики'!BF3399,0)</f>
        <v/>
      </c>
      <c r="BG3444">
        <f>IF('01_Вводные'!$B$234="Да",'19_Расчет_аналитики'!BG3399,0)</f>
        <v/>
      </c>
      <c r="BH3444">
        <f>IF('01_Вводные'!$B$234="Да",'19_Расчет_аналитики'!BH3399,0)</f>
        <v/>
      </c>
      <c r="BI3444">
        <f>IF('01_Вводные'!$B$234="Да",'19_Расчет_аналитики'!BI3399,0)</f>
        <v/>
      </c>
      <c r="BJ3444">
        <f>IF('01_Вводные'!$B$234="Да",'19_Расчет_аналитики'!BJ3399,0)</f>
        <v/>
      </c>
      <c r="BK3444">
        <f>IF('01_Вводные'!$B$234="Да",'19_Расчет_аналитики'!BK3399,0)</f>
        <v/>
      </c>
      <c r="BL3444">
        <f>IF('01_Вводные'!$B$234="Да",'19_Расчет_аналитики'!BL3399,0)</f>
        <v/>
      </c>
      <c r="BM3444">
        <f>IF('01_Вводные'!$B$234="Да",'19_Расчет_аналитики'!BM3399,0)</f>
        <v/>
      </c>
      <c r="BN3444">
        <f>IF('01_Вводные'!$B$234="Да",'19_Расчет_аналитики'!BN3399,0)</f>
        <v/>
      </c>
      <c r="BO3444">
        <f>IF('01_Вводные'!$B$234="Да",'19_Расчет_аналитики'!BO3399,0)</f>
        <v/>
      </c>
    </row>
    <row r="3445">
      <c r="B3445">
        <f>'06_Сеть_и_дети'!B54</f>
        <v/>
      </c>
      <c r="C3445">
        <f>IF('01_Вводные'!$B$234="Да",'19_Расчет_аналитики'!B3444*'01_Вводные'!$B$14,0)</f>
        <v/>
      </c>
      <c r="D3445">
        <f>IF('01_Вводные'!$B$234="Да",'19_Расчет_аналитики'!C3444*'01_Вводные'!$B$14,0)</f>
        <v/>
      </c>
      <c r="E3445">
        <f>IF('01_Вводные'!$B$234="Да",'19_Расчет_аналитики'!D3444*'01_Вводные'!$B$14,0)</f>
        <v/>
      </c>
      <c r="F3445">
        <f>IF('01_Вводные'!$B$234="Да",'19_Расчет_аналитики'!E3444*'01_Вводные'!$B$14,0)</f>
        <v/>
      </c>
      <c r="G3445">
        <f>IF('01_Вводные'!$B$234="Да",'19_Расчет_аналитики'!F3444*'01_Вводные'!$B$14,0)</f>
        <v/>
      </c>
      <c r="H3445">
        <f>IF('01_Вводные'!$B$234="Да",'19_Расчет_аналитики'!G3444*'01_Вводные'!$B$14,0)</f>
        <v/>
      </c>
      <c r="I3445">
        <f>IF('01_Вводные'!$B$234="Да",'19_Расчет_аналитики'!H3444*'01_Вводные'!$B$14,0)</f>
        <v/>
      </c>
      <c r="J3445">
        <f>IF('01_Вводные'!$B$234="Да",'19_Расчет_аналитики'!I3444*'01_Вводные'!$B$14,0)</f>
        <v/>
      </c>
      <c r="K3445">
        <f>IF('01_Вводные'!$B$234="Да",'19_Расчет_аналитики'!J3444*'01_Вводные'!$B$14,0)</f>
        <v/>
      </c>
      <c r="L3445">
        <f>IF('01_Вводные'!$B$234="Да",'19_Расчет_аналитики'!K3444*'01_Вводные'!$B$14,0)</f>
        <v/>
      </c>
      <c r="M3445">
        <f>IF('01_Вводные'!$B$234="Да",'19_Расчет_аналитики'!L3444*'01_Вводные'!$B$14,0)</f>
        <v/>
      </c>
      <c r="N3445">
        <f>IF('01_Вводные'!$B$234="Да",'19_Расчет_аналитики'!M3444*'01_Вводные'!$B$14,0)</f>
        <v/>
      </c>
      <c r="O3445">
        <f>IF('01_Вводные'!$B$234="Да",'19_Расчет_аналитики'!N3444*'01_Вводные'!$B$14,0)</f>
        <v/>
      </c>
      <c r="P3445">
        <f>IF('01_Вводные'!$B$234="Да",'19_Расчет_аналитики'!O3444*'01_Вводные'!$B$14,0)</f>
        <v/>
      </c>
      <c r="Q3445">
        <f>IF('01_Вводные'!$B$234="Да",'19_Расчет_аналитики'!P3444*'01_Вводные'!$B$14,0)</f>
        <v/>
      </c>
      <c r="R3445">
        <f>IF('01_Вводные'!$B$234="Да",'19_Расчет_аналитики'!Q3444*'01_Вводные'!$B$14,0)</f>
        <v/>
      </c>
      <c r="S3445">
        <f>IF('01_Вводные'!$B$234="Да",'19_Расчет_аналитики'!R3444*'01_Вводные'!$B$14,0)</f>
        <v/>
      </c>
      <c r="T3445">
        <f>IF('01_Вводные'!$B$234="Да",'19_Расчет_аналитики'!S3444*'01_Вводные'!$B$14,0)</f>
        <v/>
      </c>
      <c r="U3445">
        <f>IF('01_Вводные'!$B$234="Да",'19_Расчет_аналитики'!T3444*'01_Вводные'!$B$14,0)</f>
        <v/>
      </c>
      <c r="V3445">
        <f>IF('01_Вводные'!$B$234="Да",'19_Расчет_аналитики'!U3444*'01_Вводные'!$B$14,0)</f>
        <v/>
      </c>
      <c r="W3445">
        <f>IF('01_Вводные'!$B$234="Да",'19_Расчет_аналитики'!V3444*'01_Вводные'!$B$14,0)</f>
        <v/>
      </c>
      <c r="X3445">
        <f>IF('01_Вводные'!$B$234="Да",'19_Расчет_аналитики'!W3444*'01_Вводные'!$B$14,0)</f>
        <v/>
      </c>
      <c r="Y3445">
        <f>IF('01_Вводные'!$B$234="Да",'19_Расчет_аналитики'!X3444*'01_Вводные'!$B$14,0)</f>
        <v/>
      </c>
      <c r="Z3445">
        <f>IF('01_Вводные'!$B$234="Да",'19_Расчет_аналитики'!Y3444*'01_Вводные'!$B$14,0)</f>
        <v/>
      </c>
      <c r="AA3445">
        <f>IF('01_Вводные'!$B$234="Да",'19_Расчет_аналитики'!Z3444*'01_Вводные'!$B$14,0)</f>
        <v/>
      </c>
      <c r="AB3445">
        <f>IF('01_Вводные'!$B$234="Да",'19_Расчет_аналитики'!AA3444*'01_Вводные'!$B$14,0)</f>
        <v/>
      </c>
      <c r="AC3445">
        <f>IF('01_Вводные'!$B$234="Да",'19_Расчет_аналитики'!AB3444*'01_Вводные'!$B$14,0)</f>
        <v/>
      </c>
      <c r="AD3445">
        <f>IF('01_Вводные'!$B$234="Да",'19_Расчет_аналитики'!AC3444*'01_Вводные'!$B$14,0)</f>
        <v/>
      </c>
      <c r="AE3445">
        <f>IF('01_Вводные'!$B$234="Да",'19_Расчет_аналитики'!AD3444*'01_Вводные'!$B$14,0)</f>
        <v/>
      </c>
      <c r="AF3445">
        <f>IF('01_Вводные'!$B$234="Да",'19_Расчет_аналитики'!AE3444*'01_Вводные'!$B$14,0)</f>
        <v/>
      </c>
      <c r="AG3445">
        <f>IF('01_Вводные'!$B$234="Да",'19_Расчет_аналитики'!AF3444*'01_Вводные'!$B$14,0)</f>
        <v/>
      </c>
      <c r="AH3445">
        <f>IF('01_Вводные'!$B$234="Да",'19_Расчет_аналитики'!AG3444*'01_Вводные'!$B$14,0)</f>
        <v/>
      </c>
      <c r="AI3445">
        <f>IF('01_Вводные'!$B$234="Да",'19_Расчет_аналитики'!AH3444*'01_Вводные'!$B$14,0)</f>
        <v/>
      </c>
      <c r="AJ3445">
        <f>IF('01_Вводные'!$B$234="Да",'19_Расчет_аналитики'!AI3444*'01_Вводные'!$B$14,0)</f>
        <v/>
      </c>
      <c r="AK3445">
        <f>IF('01_Вводные'!$B$234="Да",'19_Расчет_аналитики'!AJ3444*'01_Вводные'!$B$14,0)</f>
        <v/>
      </c>
      <c r="AL3445">
        <f>IF('01_Вводные'!$B$234="Да",'19_Расчет_аналитики'!AK3444*'01_Вводные'!$B$14,0)</f>
        <v/>
      </c>
      <c r="AM3445">
        <f>IF('01_Вводные'!$B$234="Да",'19_Расчет_аналитики'!AL3444*'01_Вводные'!$B$14,0)</f>
        <v/>
      </c>
      <c r="AN3445">
        <f>IF('01_Вводные'!$B$234="Да",'19_Расчет_аналитики'!AM3444*'01_Вводные'!$B$14,0)</f>
        <v/>
      </c>
      <c r="AO3445">
        <f>IF('01_Вводные'!$B$234="Да",'19_Расчет_аналитики'!AN3444*'01_Вводные'!$B$14,0)</f>
        <v/>
      </c>
      <c r="AP3445">
        <f>IF('01_Вводные'!$B$234="Да",'19_Расчет_аналитики'!AO3444*'01_Вводные'!$B$14,0)</f>
        <v/>
      </c>
      <c r="AQ3445">
        <f>IF('01_Вводные'!$B$234="Да",'19_Расчет_аналитики'!AP3444*'01_Вводные'!$B$14,0)</f>
        <v/>
      </c>
      <c r="AR3445">
        <f>IF('01_Вводные'!$B$234="Да",'19_Расчет_аналитики'!AQ3444*'01_Вводные'!$B$14,0)</f>
        <v/>
      </c>
      <c r="AS3445">
        <f>IF('01_Вводные'!$B$234="Да",'19_Расчет_аналитики'!AR3444*'01_Вводные'!$B$14,0)</f>
        <v/>
      </c>
      <c r="AT3445">
        <f>IF('01_Вводные'!$B$234="Да",'19_Расчет_аналитики'!AS3444*'01_Вводные'!$B$14,0)</f>
        <v/>
      </c>
      <c r="AU3445">
        <f>IF('01_Вводные'!$B$234="Да",'19_Расчет_аналитики'!AT3444*'01_Вводные'!$B$14,0)</f>
        <v/>
      </c>
      <c r="AV3445">
        <f>IF('01_Вводные'!$B$234="Да",'19_Расчет_аналитики'!AU3444*'01_Вводные'!$B$14,0)</f>
        <v/>
      </c>
      <c r="AW3445">
        <f>IF('01_Вводные'!$B$234="Да",'19_Расчет_аналитики'!AV3444*'01_Вводные'!$B$14,0)</f>
        <v/>
      </c>
      <c r="AX3445">
        <f>IF('01_Вводные'!$B$234="Да",'19_Расчет_аналитики'!AW3444*'01_Вводные'!$B$14,0)</f>
        <v/>
      </c>
      <c r="AY3445">
        <f>IF('01_Вводные'!$B$234="Да",'19_Расчет_аналитики'!AX3444*'01_Вводные'!$B$14,0)</f>
        <v/>
      </c>
      <c r="AZ3445">
        <f>IF('01_Вводные'!$B$234="Да",'19_Расчет_аналитики'!AY3444*'01_Вводные'!$B$14,0)</f>
        <v/>
      </c>
      <c r="BA3445">
        <f>IF('01_Вводные'!$B$234="Да",'19_Расчет_аналитики'!AZ3444*'01_Вводные'!$B$14,0)</f>
        <v/>
      </c>
      <c r="BB3445">
        <f>IF('01_Вводные'!$B$234="Да",'19_Расчет_аналитики'!BA3444*'01_Вводные'!$B$14,0)</f>
        <v/>
      </c>
      <c r="BC3445">
        <f>IF('01_Вводные'!$B$234="Да",'19_Расчет_аналитики'!BB3444*'01_Вводные'!$B$14,0)</f>
        <v/>
      </c>
      <c r="BD3445">
        <f>IF('01_Вводные'!$B$234="Да",'19_Расчет_аналитики'!BC3444*'01_Вводные'!$B$14,0)</f>
        <v/>
      </c>
      <c r="BE3445">
        <f>IF('01_Вводные'!$B$234="Да",'19_Расчет_аналитики'!BD3444*'01_Вводные'!$B$14,0)</f>
        <v/>
      </c>
      <c r="BF3445">
        <f>IF('01_Вводные'!$B$234="Да",'19_Расчет_аналитики'!BE3444*'01_Вводные'!$B$14,0)</f>
        <v/>
      </c>
      <c r="BG3445">
        <f>IF('01_Вводные'!$B$234="Да",'19_Расчет_аналитики'!BF3444*'01_Вводные'!$B$14,0)</f>
        <v/>
      </c>
      <c r="BH3445">
        <f>IF('01_Вводные'!$B$234="Да",'19_Расчет_аналитики'!BG3444*'01_Вводные'!$B$14,0)</f>
        <v/>
      </c>
      <c r="BI3445">
        <f>IF('01_Вводные'!$B$234="Да",'19_Расчет_аналитики'!BH3444*'01_Вводные'!$B$14,0)</f>
        <v/>
      </c>
      <c r="BJ3445">
        <f>IF('01_Вводные'!$B$234="Да",'19_Расчет_аналитики'!BI3444*'01_Вводные'!$B$14,0)</f>
        <v/>
      </c>
      <c r="BK3445">
        <f>IF('01_Вводные'!$B$234="Да",'19_Расчет_аналитики'!BJ3444*'01_Вводные'!$B$14,0)</f>
        <v/>
      </c>
      <c r="BL3445">
        <f>IF('01_Вводные'!$B$234="Да",'19_Расчет_аналитики'!BK3444*'01_Вводные'!$B$14,0)</f>
        <v/>
      </c>
      <c r="BM3445">
        <f>IF('01_Вводные'!$B$234="Да",'19_Расчет_аналитики'!BL3444*'01_Вводные'!$B$14,0)</f>
        <v/>
      </c>
      <c r="BN3445">
        <f>IF('01_Вводные'!$B$234="Да",'19_Расчет_аналитики'!BM3444*'01_Вводные'!$B$14,0)</f>
        <v/>
      </c>
      <c r="BO3445">
        <f>IF('01_Вводные'!$B$234="Да",'19_Расчет_аналитики'!BN3444*'01_Вводные'!$B$14,0)</f>
        <v/>
      </c>
    </row>
    <row r="3446">
      <c r="B3446">
        <f>'06_Сеть_и_дети'!B55</f>
        <v/>
      </c>
      <c r="C3446">
        <f>'06_Сеть_и_дети'!C55</f>
        <v/>
      </c>
      <c r="D3446">
        <f>IF('01_Вводные'!$B$234="Да",'19_Расчет_аналитики'!C3445*'01_Вводные'!$B$14,0)</f>
        <v/>
      </c>
      <c r="E3446">
        <f>IF('01_Вводные'!$B$234="Да",'19_Расчет_аналитики'!D3445*'01_Вводные'!$B$14,0)</f>
        <v/>
      </c>
      <c r="F3446">
        <f>IF('01_Вводные'!$B$234="Да",'19_Расчет_аналитики'!E3445*'01_Вводные'!$B$14,0)</f>
        <v/>
      </c>
      <c r="G3446">
        <f>IF('01_Вводные'!$B$234="Да",'19_Расчет_аналитики'!F3445*'01_Вводные'!$B$14,0)</f>
        <v/>
      </c>
      <c r="H3446">
        <f>IF('01_Вводные'!$B$234="Да",'19_Расчет_аналитики'!G3445*'01_Вводные'!$B$14,0)</f>
        <v/>
      </c>
      <c r="I3446">
        <f>IF('01_Вводные'!$B$234="Да",'19_Расчет_аналитики'!H3445*'01_Вводные'!$B$14,0)</f>
        <v/>
      </c>
      <c r="J3446">
        <f>IF('01_Вводные'!$B$234="Да",'19_Расчет_аналитики'!I3445*'01_Вводные'!$B$14,0)</f>
        <v/>
      </c>
      <c r="K3446">
        <f>IF('01_Вводные'!$B$234="Да",'19_Расчет_аналитики'!J3445*'01_Вводные'!$B$14,0)</f>
        <v/>
      </c>
      <c r="L3446">
        <f>IF('01_Вводные'!$B$234="Да",'19_Расчет_аналитики'!K3445*'01_Вводные'!$B$14,0)</f>
        <v/>
      </c>
      <c r="M3446">
        <f>IF('01_Вводные'!$B$234="Да",'19_Расчет_аналитики'!L3445*'01_Вводные'!$B$14,0)</f>
        <v/>
      </c>
      <c r="N3446">
        <f>IF('01_Вводные'!$B$234="Да",'19_Расчет_аналитики'!M3445*'01_Вводные'!$B$14,0)</f>
        <v/>
      </c>
      <c r="O3446">
        <f>IF('01_Вводные'!$B$234="Да",'19_Расчет_аналитики'!N3445*'01_Вводные'!$B$14,0)</f>
        <v/>
      </c>
      <c r="P3446">
        <f>IF('01_Вводные'!$B$234="Да",'19_Расчет_аналитики'!O3445*'01_Вводные'!$B$14,0)</f>
        <v/>
      </c>
      <c r="Q3446">
        <f>IF('01_Вводные'!$B$234="Да",'19_Расчет_аналитики'!P3445*'01_Вводные'!$B$14,0)</f>
        <v/>
      </c>
      <c r="R3446">
        <f>IF('01_Вводные'!$B$234="Да",'19_Расчет_аналитики'!Q3445*'01_Вводные'!$B$14,0)</f>
        <v/>
      </c>
      <c r="S3446">
        <f>IF('01_Вводные'!$B$234="Да",'19_Расчет_аналитики'!R3445*'01_Вводные'!$B$14,0)</f>
        <v/>
      </c>
      <c r="T3446">
        <f>IF('01_Вводные'!$B$234="Да",'19_Расчет_аналитики'!S3445*'01_Вводные'!$B$14,0)</f>
        <v/>
      </c>
      <c r="U3446">
        <f>IF('01_Вводные'!$B$234="Да",'19_Расчет_аналитики'!T3445*'01_Вводные'!$B$14,0)</f>
        <v/>
      </c>
      <c r="V3446">
        <f>IF('01_Вводные'!$B$234="Да",'19_Расчет_аналитики'!U3445*'01_Вводные'!$B$14,0)</f>
        <v/>
      </c>
      <c r="W3446">
        <f>IF('01_Вводные'!$B$234="Да",'19_Расчет_аналитики'!V3445*'01_Вводные'!$B$14,0)</f>
        <v/>
      </c>
      <c r="X3446">
        <f>IF('01_Вводные'!$B$234="Да",'19_Расчет_аналитики'!W3445*'01_Вводные'!$B$14,0)</f>
        <v/>
      </c>
      <c r="Y3446">
        <f>IF('01_Вводные'!$B$234="Да",'19_Расчет_аналитики'!X3445*'01_Вводные'!$B$14,0)</f>
        <v/>
      </c>
      <c r="Z3446">
        <f>IF('01_Вводные'!$B$234="Да",'19_Расчет_аналитики'!Y3445*'01_Вводные'!$B$14,0)</f>
        <v/>
      </c>
      <c r="AA3446">
        <f>IF('01_Вводные'!$B$234="Да",'19_Расчет_аналитики'!Z3445*'01_Вводные'!$B$14,0)</f>
        <v/>
      </c>
      <c r="AB3446">
        <f>IF('01_Вводные'!$B$234="Да",'19_Расчет_аналитики'!AA3445*'01_Вводные'!$B$14,0)</f>
        <v/>
      </c>
      <c r="AC3446">
        <f>IF('01_Вводные'!$B$234="Да",'19_Расчет_аналитики'!AB3445*'01_Вводные'!$B$14,0)</f>
        <v/>
      </c>
      <c r="AD3446">
        <f>IF('01_Вводные'!$B$234="Да",'19_Расчет_аналитики'!AC3445*'01_Вводные'!$B$14,0)</f>
        <v/>
      </c>
      <c r="AE3446">
        <f>IF('01_Вводные'!$B$234="Да",'19_Расчет_аналитики'!AD3445*'01_Вводные'!$B$14,0)</f>
        <v/>
      </c>
      <c r="AF3446">
        <f>IF('01_Вводные'!$B$234="Да",'19_Расчет_аналитики'!AE3445*'01_Вводные'!$B$14,0)</f>
        <v/>
      </c>
      <c r="AG3446">
        <f>IF('01_Вводные'!$B$234="Да",'19_Расчет_аналитики'!AF3445*'01_Вводные'!$B$14,0)</f>
        <v/>
      </c>
      <c r="AH3446">
        <f>IF('01_Вводные'!$B$234="Да",'19_Расчет_аналитики'!AG3445*'01_Вводные'!$B$14,0)</f>
        <v/>
      </c>
      <c r="AI3446">
        <f>IF('01_Вводные'!$B$234="Да",'19_Расчет_аналитики'!AH3445*'01_Вводные'!$B$14,0)</f>
        <v/>
      </c>
      <c r="AJ3446">
        <f>IF('01_Вводные'!$B$234="Да",'19_Расчет_аналитики'!AI3445*'01_Вводные'!$B$14,0)</f>
        <v/>
      </c>
      <c r="AK3446">
        <f>IF('01_Вводные'!$B$234="Да",'19_Расчет_аналитики'!AJ3445*'01_Вводные'!$B$14,0)</f>
        <v/>
      </c>
      <c r="AL3446">
        <f>IF('01_Вводные'!$B$234="Да",'19_Расчет_аналитики'!AK3445*'01_Вводные'!$B$14,0)</f>
        <v/>
      </c>
      <c r="AM3446">
        <f>IF('01_Вводные'!$B$234="Да",'19_Расчет_аналитики'!AL3445*'01_Вводные'!$B$14,0)</f>
        <v/>
      </c>
      <c r="AN3446">
        <f>IF('01_Вводные'!$B$234="Да",'19_Расчет_аналитики'!AM3445*'01_Вводные'!$B$14,0)</f>
        <v/>
      </c>
      <c r="AO3446">
        <f>IF('01_Вводные'!$B$234="Да",'19_Расчет_аналитики'!AN3445*'01_Вводные'!$B$14,0)</f>
        <v/>
      </c>
      <c r="AP3446">
        <f>IF('01_Вводные'!$B$234="Да",'19_Расчет_аналитики'!AO3445*'01_Вводные'!$B$14,0)</f>
        <v/>
      </c>
      <c r="AQ3446">
        <f>IF('01_Вводные'!$B$234="Да",'19_Расчет_аналитики'!AP3445*'01_Вводные'!$B$14,0)</f>
        <v/>
      </c>
      <c r="AR3446">
        <f>IF('01_Вводные'!$B$234="Да",'19_Расчет_аналитики'!AQ3445*'01_Вводные'!$B$14,0)</f>
        <v/>
      </c>
      <c r="AS3446">
        <f>IF('01_Вводные'!$B$234="Да",'19_Расчет_аналитики'!AR3445*'01_Вводные'!$B$14,0)</f>
        <v/>
      </c>
      <c r="AT3446">
        <f>IF('01_Вводные'!$B$234="Да",'19_Расчет_аналитики'!AS3445*'01_Вводные'!$B$14,0)</f>
        <v/>
      </c>
      <c r="AU3446">
        <f>IF('01_Вводные'!$B$234="Да",'19_Расчет_аналитики'!AT3445*'01_Вводные'!$B$14,0)</f>
        <v/>
      </c>
      <c r="AV3446">
        <f>IF('01_Вводные'!$B$234="Да",'19_Расчет_аналитики'!AU3445*'01_Вводные'!$B$14,0)</f>
        <v/>
      </c>
      <c r="AW3446">
        <f>IF('01_Вводные'!$B$234="Да",'19_Расчет_аналитики'!AV3445*'01_Вводные'!$B$14,0)</f>
        <v/>
      </c>
      <c r="AX3446">
        <f>IF('01_Вводные'!$B$234="Да",'19_Расчет_аналитики'!AW3445*'01_Вводные'!$B$14,0)</f>
        <v/>
      </c>
      <c r="AY3446">
        <f>IF('01_Вводные'!$B$234="Да",'19_Расчет_аналитики'!AX3445*'01_Вводные'!$B$14,0)</f>
        <v/>
      </c>
      <c r="AZ3446">
        <f>IF('01_Вводные'!$B$234="Да",'19_Расчет_аналитики'!AY3445*'01_Вводные'!$B$14,0)</f>
        <v/>
      </c>
      <c r="BA3446">
        <f>IF('01_Вводные'!$B$234="Да",'19_Расчет_аналитики'!AZ3445*'01_Вводные'!$B$14,0)</f>
        <v/>
      </c>
      <c r="BB3446">
        <f>IF('01_Вводные'!$B$234="Да",'19_Расчет_аналитики'!BA3445*'01_Вводные'!$B$14,0)</f>
        <v/>
      </c>
      <c r="BC3446">
        <f>IF('01_Вводные'!$B$234="Да",'19_Расчет_аналитики'!BB3445*'01_Вводные'!$B$14,0)</f>
        <v/>
      </c>
      <c r="BD3446">
        <f>IF('01_Вводные'!$B$234="Да",'19_Расчет_аналитики'!BC3445*'01_Вводные'!$B$14,0)</f>
        <v/>
      </c>
      <c r="BE3446">
        <f>IF('01_Вводные'!$B$234="Да",'19_Расчет_аналитики'!BD3445*'01_Вводные'!$B$14,0)</f>
        <v/>
      </c>
      <c r="BF3446">
        <f>IF('01_Вводные'!$B$234="Да",'19_Расчет_аналитики'!BE3445*'01_Вводные'!$B$14,0)</f>
        <v/>
      </c>
      <c r="BG3446">
        <f>IF('01_Вводные'!$B$234="Да",'19_Расчет_аналитики'!BF3445*'01_Вводные'!$B$14,0)</f>
        <v/>
      </c>
      <c r="BH3446">
        <f>IF('01_Вводные'!$B$234="Да",'19_Расчет_аналитики'!BG3445*'01_Вводные'!$B$14,0)</f>
        <v/>
      </c>
      <c r="BI3446">
        <f>IF('01_Вводные'!$B$234="Да",'19_Расчет_аналитики'!BH3445*'01_Вводные'!$B$14,0)</f>
        <v/>
      </c>
      <c r="BJ3446">
        <f>IF('01_Вводные'!$B$234="Да",'19_Расчет_аналитики'!BI3445*'01_Вводные'!$B$14,0)</f>
        <v/>
      </c>
      <c r="BK3446">
        <f>IF('01_Вводные'!$B$234="Да",'19_Расчет_аналитики'!BJ3445*'01_Вводные'!$B$14,0)</f>
        <v/>
      </c>
      <c r="BL3446">
        <f>IF('01_Вводные'!$B$234="Да",'19_Расчет_аналитики'!BK3445*'01_Вводные'!$B$14,0)</f>
        <v/>
      </c>
      <c r="BM3446">
        <f>IF('01_Вводные'!$B$234="Да",'19_Расчет_аналитики'!BL3445*'01_Вводные'!$B$14,0)</f>
        <v/>
      </c>
      <c r="BN3446">
        <f>IF('01_Вводные'!$B$234="Да",'19_Расчет_аналитики'!BM3445*'01_Вводные'!$B$14,0)</f>
        <v/>
      </c>
      <c r="BO3446">
        <f>IF('01_Вводные'!$B$234="Да",'19_Расчет_аналитики'!BN3445*'01_Вводные'!$B$14,0)</f>
        <v/>
      </c>
    </row>
    <row r="3447">
      <c r="B3447">
        <f>'06_Сеть_и_дети'!B56</f>
        <v/>
      </c>
      <c r="C3447">
        <f>'06_Сеть_и_дети'!C56</f>
        <v/>
      </c>
      <c r="D3447">
        <f>'06_Сеть_и_дети'!D56</f>
        <v/>
      </c>
      <c r="E3447">
        <f>IF('01_Вводные'!$B$234="Да",'19_Расчет_аналитики'!D3446*'01_Вводные'!$B$14,0)</f>
        <v/>
      </c>
      <c r="F3447">
        <f>IF('01_Вводные'!$B$234="Да",'19_Расчет_аналитики'!E3446*'01_Вводные'!$B$14,0)</f>
        <v/>
      </c>
      <c r="G3447">
        <f>IF('01_Вводные'!$B$234="Да",'19_Расчет_аналитики'!F3446*'01_Вводные'!$B$14,0)</f>
        <v/>
      </c>
      <c r="H3447">
        <f>IF('01_Вводные'!$B$234="Да",'19_Расчет_аналитики'!G3446*'01_Вводные'!$B$14,0)</f>
        <v/>
      </c>
      <c r="I3447">
        <f>IF('01_Вводные'!$B$234="Да",'19_Расчет_аналитики'!H3446*'01_Вводные'!$B$14,0)</f>
        <v/>
      </c>
      <c r="J3447">
        <f>IF('01_Вводные'!$B$234="Да",'19_Расчет_аналитики'!I3446*'01_Вводные'!$B$14,0)</f>
        <v/>
      </c>
      <c r="K3447">
        <f>IF('01_Вводные'!$B$234="Да",'19_Расчет_аналитики'!J3446*'01_Вводные'!$B$14,0)</f>
        <v/>
      </c>
      <c r="L3447">
        <f>IF('01_Вводные'!$B$234="Да",'19_Расчет_аналитики'!K3446*'01_Вводные'!$B$14,0)</f>
        <v/>
      </c>
      <c r="M3447">
        <f>IF('01_Вводные'!$B$234="Да",'19_Расчет_аналитики'!L3446*'01_Вводные'!$B$14,0)</f>
        <v/>
      </c>
      <c r="N3447">
        <f>IF('01_Вводные'!$B$234="Да",'19_Расчет_аналитики'!M3446*'01_Вводные'!$B$14,0)</f>
        <v/>
      </c>
      <c r="O3447">
        <f>IF('01_Вводные'!$B$234="Да",'19_Расчет_аналитики'!N3446*'01_Вводные'!$B$14,0)</f>
        <v/>
      </c>
      <c r="P3447">
        <f>IF('01_Вводные'!$B$234="Да",'19_Расчет_аналитики'!O3446*'01_Вводные'!$B$14,0)</f>
        <v/>
      </c>
      <c r="Q3447">
        <f>IF('01_Вводные'!$B$234="Да",'19_Расчет_аналитики'!P3446*'01_Вводные'!$B$14,0)</f>
        <v/>
      </c>
      <c r="R3447">
        <f>IF('01_Вводные'!$B$234="Да",'19_Расчет_аналитики'!Q3446*'01_Вводные'!$B$14,0)</f>
        <v/>
      </c>
      <c r="S3447">
        <f>IF('01_Вводные'!$B$234="Да",'19_Расчет_аналитики'!R3446*'01_Вводные'!$B$14,0)</f>
        <v/>
      </c>
      <c r="T3447">
        <f>IF('01_Вводные'!$B$234="Да",'19_Расчет_аналитики'!S3446*'01_Вводные'!$B$14,0)</f>
        <v/>
      </c>
      <c r="U3447">
        <f>IF('01_Вводные'!$B$234="Да",'19_Расчет_аналитики'!T3446*'01_Вводные'!$B$14,0)</f>
        <v/>
      </c>
      <c r="V3447">
        <f>IF('01_Вводные'!$B$234="Да",'19_Расчет_аналитики'!U3446*'01_Вводные'!$B$14,0)</f>
        <v/>
      </c>
      <c r="W3447">
        <f>IF('01_Вводные'!$B$234="Да",'19_Расчет_аналитики'!V3446*'01_Вводные'!$B$14,0)</f>
        <v/>
      </c>
      <c r="X3447">
        <f>IF('01_Вводные'!$B$234="Да",'19_Расчет_аналитики'!W3446*'01_Вводные'!$B$14,0)</f>
        <v/>
      </c>
      <c r="Y3447">
        <f>IF('01_Вводные'!$B$234="Да",'19_Расчет_аналитики'!X3446*'01_Вводные'!$B$14,0)</f>
        <v/>
      </c>
      <c r="Z3447">
        <f>IF('01_Вводные'!$B$234="Да",'19_Расчет_аналитики'!Y3446*'01_Вводные'!$B$14,0)</f>
        <v/>
      </c>
      <c r="AA3447">
        <f>IF('01_Вводные'!$B$234="Да",'19_Расчет_аналитики'!Z3446*'01_Вводные'!$B$14,0)</f>
        <v/>
      </c>
      <c r="AB3447">
        <f>IF('01_Вводные'!$B$234="Да",'19_Расчет_аналитики'!AA3446*'01_Вводные'!$B$14,0)</f>
        <v/>
      </c>
      <c r="AC3447">
        <f>IF('01_Вводные'!$B$234="Да",'19_Расчет_аналитики'!AB3446*'01_Вводные'!$B$14,0)</f>
        <v/>
      </c>
      <c r="AD3447">
        <f>IF('01_Вводные'!$B$234="Да",'19_Расчет_аналитики'!AC3446*'01_Вводные'!$B$14,0)</f>
        <v/>
      </c>
      <c r="AE3447">
        <f>IF('01_Вводные'!$B$234="Да",'19_Расчет_аналитики'!AD3446*'01_Вводные'!$B$14,0)</f>
        <v/>
      </c>
      <c r="AF3447">
        <f>IF('01_Вводные'!$B$234="Да",'19_Расчет_аналитики'!AE3446*'01_Вводные'!$B$14,0)</f>
        <v/>
      </c>
      <c r="AG3447">
        <f>IF('01_Вводные'!$B$234="Да",'19_Расчет_аналитики'!AF3446*'01_Вводные'!$B$14,0)</f>
        <v/>
      </c>
      <c r="AH3447">
        <f>IF('01_Вводные'!$B$234="Да",'19_Расчет_аналитики'!AG3446*'01_Вводные'!$B$14,0)</f>
        <v/>
      </c>
      <c r="AI3447">
        <f>IF('01_Вводные'!$B$234="Да",'19_Расчет_аналитики'!AH3446*'01_Вводные'!$B$14,0)</f>
        <v/>
      </c>
      <c r="AJ3447">
        <f>IF('01_Вводные'!$B$234="Да",'19_Расчет_аналитики'!AI3446*'01_Вводные'!$B$14,0)</f>
        <v/>
      </c>
      <c r="AK3447">
        <f>IF('01_Вводные'!$B$234="Да",'19_Расчет_аналитики'!AJ3446*'01_Вводные'!$B$14,0)</f>
        <v/>
      </c>
      <c r="AL3447">
        <f>IF('01_Вводные'!$B$234="Да",'19_Расчет_аналитики'!AK3446*'01_Вводные'!$B$14,0)</f>
        <v/>
      </c>
      <c r="AM3447">
        <f>IF('01_Вводные'!$B$234="Да",'19_Расчет_аналитики'!AL3446*'01_Вводные'!$B$14,0)</f>
        <v/>
      </c>
      <c r="AN3447">
        <f>IF('01_Вводные'!$B$234="Да",'19_Расчет_аналитики'!AM3446*'01_Вводные'!$B$14,0)</f>
        <v/>
      </c>
      <c r="AO3447">
        <f>IF('01_Вводные'!$B$234="Да",'19_Расчет_аналитики'!AN3446*'01_Вводные'!$B$14,0)</f>
        <v/>
      </c>
      <c r="AP3447">
        <f>IF('01_Вводные'!$B$234="Да",'19_Расчет_аналитики'!AO3446*'01_Вводные'!$B$14,0)</f>
        <v/>
      </c>
      <c r="AQ3447">
        <f>IF('01_Вводные'!$B$234="Да",'19_Расчет_аналитики'!AP3446*'01_Вводные'!$B$14,0)</f>
        <v/>
      </c>
      <c r="AR3447">
        <f>IF('01_Вводные'!$B$234="Да",'19_Расчет_аналитики'!AQ3446*'01_Вводные'!$B$14,0)</f>
        <v/>
      </c>
      <c r="AS3447">
        <f>IF('01_Вводные'!$B$234="Да",'19_Расчет_аналитики'!AR3446*'01_Вводные'!$B$14,0)</f>
        <v/>
      </c>
      <c r="AT3447">
        <f>IF('01_Вводные'!$B$234="Да",'19_Расчет_аналитики'!AS3446*'01_Вводные'!$B$14,0)</f>
        <v/>
      </c>
      <c r="AU3447">
        <f>IF('01_Вводные'!$B$234="Да",'19_Расчет_аналитики'!AT3446*'01_Вводные'!$B$14,0)</f>
        <v/>
      </c>
      <c r="AV3447">
        <f>IF('01_Вводные'!$B$234="Да",'19_Расчет_аналитики'!AU3446*'01_Вводные'!$B$14,0)</f>
        <v/>
      </c>
      <c r="AW3447">
        <f>IF('01_Вводные'!$B$234="Да",'19_Расчет_аналитики'!AV3446*'01_Вводные'!$B$14,0)</f>
        <v/>
      </c>
      <c r="AX3447">
        <f>IF('01_Вводные'!$B$234="Да",'19_Расчет_аналитики'!AW3446*'01_Вводные'!$B$14,0)</f>
        <v/>
      </c>
      <c r="AY3447">
        <f>IF('01_Вводные'!$B$234="Да",'19_Расчет_аналитики'!AX3446*'01_Вводные'!$B$14,0)</f>
        <v/>
      </c>
      <c r="AZ3447">
        <f>IF('01_Вводные'!$B$234="Да",'19_Расчет_аналитики'!AY3446*'01_Вводные'!$B$14,0)</f>
        <v/>
      </c>
      <c r="BA3447">
        <f>IF('01_Вводные'!$B$234="Да",'19_Расчет_аналитики'!AZ3446*'01_Вводные'!$B$14,0)</f>
        <v/>
      </c>
      <c r="BB3447">
        <f>IF('01_Вводные'!$B$234="Да",'19_Расчет_аналитики'!BA3446*'01_Вводные'!$B$14,0)</f>
        <v/>
      </c>
      <c r="BC3447">
        <f>IF('01_Вводные'!$B$234="Да",'19_Расчет_аналитики'!BB3446*'01_Вводные'!$B$14,0)</f>
        <v/>
      </c>
      <c r="BD3447">
        <f>IF('01_Вводные'!$B$234="Да",'19_Расчет_аналитики'!BC3446*'01_Вводные'!$B$14,0)</f>
        <v/>
      </c>
      <c r="BE3447">
        <f>IF('01_Вводные'!$B$234="Да",'19_Расчет_аналитики'!BD3446*'01_Вводные'!$B$14,0)</f>
        <v/>
      </c>
      <c r="BF3447">
        <f>IF('01_Вводные'!$B$234="Да",'19_Расчет_аналитики'!BE3446*'01_Вводные'!$B$14,0)</f>
        <v/>
      </c>
      <c r="BG3447">
        <f>IF('01_Вводные'!$B$234="Да",'19_Расчет_аналитики'!BF3446*'01_Вводные'!$B$14,0)</f>
        <v/>
      </c>
      <c r="BH3447">
        <f>IF('01_Вводные'!$B$234="Да",'19_Расчет_аналитики'!BG3446*'01_Вводные'!$B$14,0)</f>
        <v/>
      </c>
      <c r="BI3447">
        <f>IF('01_Вводные'!$B$234="Да",'19_Расчет_аналитики'!BH3446*'01_Вводные'!$B$14,0)</f>
        <v/>
      </c>
      <c r="BJ3447">
        <f>IF('01_Вводные'!$B$234="Да",'19_Расчет_аналитики'!BI3446*'01_Вводные'!$B$14,0)</f>
        <v/>
      </c>
      <c r="BK3447">
        <f>IF('01_Вводные'!$B$234="Да",'19_Расчет_аналитики'!BJ3446*'01_Вводные'!$B$14,0)</f>
        <v/>
      </c>
      <c r="BL3447">
        <f>IF('01_Вводные'!$B$234="Да",'19_Расчет_аналитики'!BK3446*'01_Вводные'!$B$14,0)</f>
        <v/>
      </c>
      <c r="BM3447">
        <f>IF('01_Вводные'!$B$234="Да",'19_Расчет_аналитики'!BL3446*'01_Вводные'!$B$14,0)</f>
        <v/>
      </c>
      <c r="BN3447">
        <f>IF('01_Вводные'!$B$234="Да",'19_Расчет_аналитики'!BM3446*'01_Вводные'!$B$14,0)</f>
        <v/>
      </c>
      <c r="BO3447">
        <f>IF('01_Вводные'!$B$234="Да",'19_Расчет_аналитики'!BN3446*'01_Вводные'!$B$14,0)</f>
        <v/>
      </c>
    </row>
    <row r="3448">
      <c r="B3448">
        <f>'06_Сеть_и_дети'!B57</f>
        <v/>
      </c>
      <c r="C3448">
        <f>'06_Сеть_и_дети'!C57</f>
        <v/>
      </c>
      <c r="D3448">
        <f>'06_Сеть_и_дети'!D57</f>
        <v/>
      </c>
      <c r="E3448">
        <f>'06_Сеть_и_дети'!E57</f>
        <v/>
      </c>
      <c r="F3448">
        <f>IF('01_Вводные'!$B$234="Да",'19_Расчет_аналитики'!E3447*'01_Вводные'!$B$14,0)</f>
        <v/>
      </c>
      <c r="G3448">
        <f>IF('01_Вводные'!$B$234="Да",'19_Расчет_аналитики'!F3447*'01_Вводные'!$B$14,0)</f>
        <v/>
      </c>
      <c r="H3448">
        <f>IF('01_Вводные'!$B$234="Да",'19_Расчет_аналитики'!G3447*'01_Вводные'!$B$14,0)</f>
        <v/>
      </c>
      <c r="I3448">
        <f>IF('01_Вводные'!$B$234="Да",'19_Расчет_аналитики'!H3447*'01_Вводные'!$B$14,0)</f>
        <v/>
      </c>
      <c r="J3448">
        <f>IF('01_Вводные'!$B$234="Да",'19_Расчет_аналитики'!I3447*'01_Вводные'!$B$14,0)</f>
        <v/>
      </c>
      <c r="K3448">
        <f>IF('01_Вводные'!$B$234="Да",'19_Расчет_аналитики'!J3447*'01_Вводные'!$B$14,0)</f>
        <v/>
      </c>
      <c r="L3448">
        <f>IF('01_Вводные'!$B$234="Да",'19_Расчет_аналитики'!K3447*'01_Вводные'!$B$14,0)</f>
        <v/>
      </c>
      <c r="M3448">
        <f>IF('01_Вводные'!$B$234="Да",'19_Расчет_аналитики'!L3447*'01_Вводные'!$B$14,0)</f>
        <v/>
      </c>
      <c r="N3448">
        <f>IF('01_Вводные'!$B$234="Да",'19_Расчет_аналитики'!M3447*'01_Вводные'!$B$14,0)</f>
        <v/>
      </c>
      <c r="O3448">
        <f>IF('01_Вводные'!$B$234="Да",'19_Расчет_аналитики'!N3447*'01_Вводные'!$B$14,0)</f>
        <v/>
      </c>
      <c r="P3448">
        <f>IF('01_Вводные'!$B$234="Да",'19_Расчет_аналитики'!O3447*'01_Вводные'!$B$14,0)</f>
        <v/>
      </c>
      <c r="Q3448">
        <f>IF('01_Вводные'!$B$234="Да",'19_Расчет_аналитики'!P3447*'01_Вводные'!$B$14,0)</f>
        <v/>
      </c>
      <c r="R3448">
        <f>IF('01_Вводные'!$B$234="Да",'19_Расчет_аналитики'!Q3447*'01_Вводные'!$B$14,0)</f>
        <v/>
      </c>
      <c r="S3448">
        <f>IF('01_Вводные'!$B$234="Да",'19_Расчет_аналитики'!R3447*'01_Вводные'!$B$14,0)</f>
        <v/>
      </c>
      <c r="T3448">
        <f>IF('01_Вводные'!$B$234="Да",'19_Расчет_аналитики'!S3447*'01_Вводные'!$B$14,0)</f>
        <v/>
      </c>
      <c r="U3448">
        <f>IF('01_Вводные'!$B$234="Да",'19_Расчет_аналитики'!T3447*'01_Вводные'!$B$14,0)</f>
        <v/>
      </c>
      <c r="V3448">
        <f>IF('01_Вводные'!$B$234="Да",'19_Расчет_аналитики'!U3447*'01_Вводные'!$B$14,0)</f>
        <v/>
      </c>
      <c r="W3448">
        <f>IF('01_Вводные'!$B$234="Да",'19_Расчет_аналитики'!V3447*'01_Вводные'!$B$14,0)</f>
        <v/>
      </c>
      <c r="X3448">
        <f>IF('01_Вводные'!$B$234="Да",'19_Расчет_аналитики'!W3447*'01_Вводные'!$B$14,0)</f>
        <v/>
      </c>
      <c r="Y3448">
        <f>IF('01_Вводные'!$B$234="Да",'19_Расчет_аналитики'!X3447*'01_Вводные'!$B$14,0)</f>
        <v/>
      </c>
      <c r="Z3448">
        <f>IF('01_Вводные'!$B$234="Да",'19_Расчет_аналитики'!Y3447*'01_Вводные'!$B$14,0)</f>
        <v/>
      </c>
      <c r="AA3448">
        <f>IF('01_Вводные'!$B$234="Да",'19_Расчет_аналитики'!Z3447*'01_Вводные'!$B$14,0)</f>
        <v/>
      </c>
      <c r="AB3448">
        <f>IF('01_Вводные'!$B$234="Да",'19_Расчет_аналитики'!AA3447*'01_Вводные'!$B$14,0)</f>
        <v/>
      </c>
      <c r="AC3448">
        <f>IF('01_Вводные'!$B$234="Да",'19_Расчет_аналитики'!AB3447*'01_Вводные'!$B$14,0)</f>
        <v/>
      </c>
      <c r="AD3448">
        <f>IF('01_Вводные'!$B$234="Да",'19_Расчет_аналитики'!AC3447*'01_Вводные'!$B$14,0)</f>
        <v/>
      </c>
      <c r="AE3448">
        <f>IF('01_Вводные'!$B$234="Да",'19_Расчет_аналитики'!AD3447*'01_Вводные'!$B$14,0)</f>
        <v/>
      </c>
      <c r="AF3448">
        <f>IF('01_Вводные'!$B$234="Да",'19_Расчет_аналитики'!AE3447*'01_Вводные'!$B$14,0)</f>
        <v/>
      </c>
      <c r="AG3448">
        <f>IF('01_Вводные'!$B$234="Да",'19_Расчет_аналитики'!AF3447*'01_Вводные'!$B$14,0)</f>
        <v/>
      </c>
      <c r="AH3448">
        <f>IF('01_Вводные'!$B$234="Да",'19_Расчет_аналитики'!AG3447*'01_Вводные'!$B$14,0)</f>
        <v/>
      </c>
      <c r="AI3448">
        <f>IF('01_Вводные'!$B$234="Да",'19_Расчет_аналитики'!AH3447*'01_Вводные'!$B$14,0)</f>
        <v/>
      </c>
      <c r="AJ3448">
        <f>IF('01_Вводные'!$B$234="Да",'19_Расчет_аналитики'!AI3447*'01_Вводные'!$B$14,0)</f>
        <v/>
      </c>
      <c r="AK3448">
        <f>IF('01_Вводные'!$B$234="Да",'19_Расчет_аналитики'!AJ3447*'01_Вводные'!$B$14,0)</f>
        <v/>
      </c>
      <c r="AL3448">
        <f>IF('01_Вводные'!$B$234="Да",'19_Расчет_аналитики'!AK3447*'01_Вводные'!$B$14,0)</f>
        <v/>
      </c>
      <c r="AM3448">
        <f>IF('01_Вводные'!$B$234="Да",'19_Расчет_аналитики'!AL3447*'01_Вводные'!$B$14,0)</f>
        <v/>
      </c>
      <c r="AN3448">
        <f>IF('01_Вводные'!$B$234="Да",'19_Расчет_аналитики'!AM3447*'01_Вводные'!$B$14,0)</f>
        <v/>
      </c>
      <c r="AO3448">
        <f>IF('01_Вводные'!$B$234="Да",'19_Расчет_аналитики'!AN3447*'01_Вводные'!$B$14,0)</f>
        <v/>
      </c>
      <c r="AP3448">
        <f>IF('01_Вводные'!$B$234="Да",'19_Расчет_аналитики'!AO3447*'01_Вводные'!$B$14,0)</f>
        <v/>
      </c>
      <c r="AQ3448">
        <f>IF('01_Вводные'!$B$234="Да",'19_Расчет_аналитики'!AP3447*'01_Вводные'!$B$14,0)</f>
        <v/>
      </c>
      <c r="AR3448">
        <f>IF('01_Вводные'!$B$234="Да",'19_Расчет_аналитики'!AQ3447*'01_Вводные'!$B$14,0)</f>
        <v/>
      </c>
      <c r="AS3448">
        <f>IF('01_Вводные'!$B$234="Да",'19_Расчет_аналитики'!AR3447*'01_Вводные'!$B$14,0)</f>
        <v/>
      </c>
      <c r="AT3448">
        <f>IF('01_Вводные'!$B$234="Да",'19_Расчет_аналитики'!AS3447*'01_Вводные'!$B$14,0)</f>
        <v/>
      </c>
      <c r="AU3448">
        <f>IF('01_Вводные'!$B$234="Да",'19_Расчет_аналитики'!AT3447*'01_Вводные'!$B$14,0)</f>
        <v/>
      </c>
      <c r="AV3448">
        <f>IF('01_Вводные'!$B$234="Да",'19_Расчет_аналитики'!AU3447*'01_Вводные'!$B$14,0)</f>
        <v/>
      </c>
      <c r="AW3448">
        <f>IF('01_Вводные'!$B$234="Да",'19_Расчет_аналитики'!AV3447*'01_Вводные'!$B$14,0)</f>
        <v/>
      </c>
      <c r="AX3448">
        <f>IF('01_Вводные'!$B$234="Да",'19_Расчет_аналитики'!AW3447*'01_Вводные'!$B$14,0)</f>
        <v/>
      </c>
      <c r="AY3448">
        <f>IF('01_Вводные'!$B$234="Да",'19_Расчет_аналитики'!AX3447*'01_Вводные'!$B$14,0)</f>
        <v/>
      </c>
      <c r="AZ3448">
        <f>IF('01_Вводные'!$B$234="Да",'19_Расчет_аналитики'!AY3447*'01_Вводные'!$B$14,0)</f>
        <v/>
      </c>
      <c r="BA3448">
        <f>IF('01_Вводные'!$B$234="Да",'19_Расчет_аналитики'!AZ3447*'01_Вводные'!$B$14,0)</f>
        <v/>
      </c>
      <c r="BB3448">
        <f>IF('01_Вводные'!$B$234="Да",'19_Расчет_аналитики'!BA3447*'01_Вводные'!$B$14,0)</f>
        <v/>
      </c>
      <c r="BC3448">
        <f>IF('01_Вводные'!$B$234="Да",'19_Расчет_аналитики'!BB3447*'01_Вводные'!$B$14,0)</f>
        <v/>
      </c>
      <c r="BD3448">
        <f>IF('01_Вводные'!$B$234="Да",'19_Расчет_аналитики'!BC3447*'01_Вводные'!$B$14,0)</f>
        <v/>
      </c>
      <c r="BE3448">
        <f>IF('01_Вводные'!$B$234="Да",'19_Расчет_аналитики'!BD3447*'01_Вводные'!$B$14,0)</f>
        <v/>
      </c>
      <c r="BF3448">
        <f>IF('01_Вводные'!$B$234="Да",'19_Расчет_аналитики'!BE3447*'01_Вводные'!$B$14,0)</f>
        <v/>
      </c>
      <c r="BG3448">
        <f>IF('01_Вводные'!$B$234="Да",'19_Расчет_аналитики'!BF3447*'01_Вводные'!$B$14,0)</f>
        <v/>
      </c>
      <c r="BH3448">
        <f>IF('01_Вводные'!$B$234="Да",'19_Расчет_аналитики'!BG3447*'01_Вводные'!$B$14,0)</f>
        <v/>
      </c>
      <c r="BI3448">
        <f>IF('01_Вводные'!$B$234="Да",'19_Расчет_аналитики'!BH3447*'01_Вводные'!$B$14,0)</f>
        <v/>
      </c>
      <c r="BJ3448">
        <f>IF('01_Вводные'!$B$234="Да",'19_Расчет_аналитики'!BI3447*'01_Вводные'!$B$14,0)</f>
        <v/>
      </c>
      <c r="BK3448">
        <f>IF('01_Вводные'!$B$234="Да",'19_Расчет_аналитики'!BJ3447*'01_Вводные'!$B$14,0)</f>
        <v/>
      </c>
      <c r="BL3448">
        <f>IF('01_Вводные'!$B$234="Да",'19_Расчет_аналитики'!BK3447*'01_Вводные'!$B$14,0)</f>
        <v/>
      </c>
      <c r="BM3448">
        <f>IF('01_Вводные'!$B$234="Да",'19_Расчет_аналитики'!BL3447*'01_Вводные'!$B$14,0)</f>
        <v/>
      </c>
      <c r="BN3448">
        <f>IF('01_Вводные'!$B$234="Да",'19_Расчет_аналитики'!BM3447*'01_Вводные'!$B$14,0)</f>
        <v/>
      </c>
      <c r="BO3448">
        <f>IF('01_Вводные'!$B$234="Да",'19_Расчет_аналитики'!BN3447*'01_Вводные'!$B$14,0)</f>
        <v/>
      </c>
    </row>
    <row r="3449">
      <c r="B3449">
        <f>'06_Сеть_и_дети'!B58</f>
        <v/>
      </c>
      <c r="C3449">
        <f>'06_Сеть_и_дети'!C58</f>
        <v/>
      </c>
      <c r="D3449">
        <f>'06_Сеть_и_дети'!D58</f>
        <v/>
      </c>
      <c r="E3449">
        <f>'06_Сеть_и_дети'!E58</f>
        <v/>
      </c>
      <c r="F3449">
        <f>'06_Сеть_и_дети'!F58</f>
        <v/>
      </c>
      <c r="G3449">
        <f>IF('01_Вводные'!$B$234="Да",'19_Расчет_аналитики'!F3448*'01_Вводные'!$B$14,0)</f>
        <v/>
      </c>
      <c r="H3449">
        <f>IF('01_Вводные'!$B$234="Да",'19_Расчет_аналитики'!G3448*'01_Вводные'!$B$14,0)</f>
        <v/>
      </c>
      <c r="I3449">
        <f>IF('01_Вводные'!$B$234="Да",'19_Расчет_аналитики'!H3448*'01_Вводные'!$B$14,0)</f>
        <v/>
      </c>
      <c r="J3449">
        <f>IF('01_Вводные'!$B$234="Да",'19_Расчет_аналитики'!I3448*'01_Вводные'!$B$14,0)</f>
        <v/>
      </c>
      <c r="K3449">
        <f>IF('01_Вводные'!$B$234="Да",'19_Расчет_аналитики'!J3448*'01_Вводные'!$B$14,0)</f>
        <v/>
      </c>
      <c r="L3449">
        <f>IF('01_Вводные'!$B$234="Да",'19_Расчет_аналитики'!K3448*'01_Вводные'!$B$14,0)</f>
        <v/>
      </c>
      <c r="M3449">
        <f>IF('01_Вводные'!$B$234="Да",'19_Расчет_аналитики'!L3448*'01_Вводные'!$B$14,0)</f>
        <v/>
      </c>
      <c r="N3449">
        <f>IF('01_Вводные'!$B$234="Да",'19_Расчет_аналитики'!M3448*'01_Вводные'!$B$14,0)</f>
        <v/>
      </c>
      <c r="O3449">
        <f>IF('01_Вводные'!$B$234="Да",'19_Расчет_аналитики'!N3448*'01_Вводные'!$B$14,0)</f>
        <v/>
      </c>
      <c r="P3449">
        <f>IF('01_Вводные'!$B$234="Да",'19_Расчет_аналитики'!O3448*'01_Вводные'!$B$14,0)</f>
        <v/>
      </c>
      <c r="Q3449">
        <f>IF('01_Вводные'!$B$234="Да",'19_Расчет_аналитики'!P3448*'01_Вводные'!$B$14,0)</f>
        <v/>
      </c>
      <c r="R3449">
        <f>IF('01_Вводные'!$B$234="Да",'19_Расчет_аналитики'!Q3448*'01_Вводные'!$B$14,0)</f>
        <v/>
      </c>
      <c r="S3449">
        <f>IF('01_Вводные'!$B$234="Да",'19_Расчет_аналитики'!R3448*'01_Вводные'!$B$14,0)</f>
        <v/>
      </c>
      <c r="T3449">
        <f>IF('01_Вводные'!$B$234="Да",'19_Расчет_аналитики'!S3448*'01_Вводные'!$B$14,0)</f>
        <v/>
      </c>
      <c r="U3449">
        <f>IF('01_Вводные'!$B$234="Да",'19_Расчет_аналитики'!T3448*'01_Вводные'!$B$14,0)</f>
        <v/>
      </c>
      <c r="V3449">
        <f>IF('01_Вводные'!$B$234="Да",'19_Расчет_аналитики'!U3448*'01_Вводные'!$B$14,0)</f>
        <v/>
      </c>
      <c r="W3449">
        <f>IF('01_Вводные'!$B$234="Да",'19_Расчет_аналитики'!V3448*'01_Вводные'!$B$14,0)</f>
        <v/>
      </c>
      <c r="X3449">
        <f>IF('01_Вводные'!$B$234="Да",'19_Расчет_аналитики'!W3448*'01_Вводные'!$B$14,0)</f>
        <v/>
      </c>
      <c r="Y3449">
        <f>IF('01_Вводные'!$B$234="Да",'19_Расчет_аналитики'!X3448*'01_Вводные'!$B$14,0)</f>
        <v/>
      </c>
      <c r="Z3449">
        <f>IF('01_Вводные'!$B$234="Да",'19_Расчет_аналитики'!Y3448*'01_Вводные'!$B$14,0)</f>
        <v/>
      </c>
      <c r="AA3449">
        <f>IF('01_Вводные'!$B$234="Да",'19_Расчет_аналитики'!Z3448*'01_Вводные'!$B$14,0)</f>
        <v/>
      </c>
      <c r="AB3449">
        <f>IF('01_Вводные'!$B$234="Да",'19_Расчет_аналитики'!AA3448*'01_Вводные'!$B$14,0)</f>
        <v/>
      </c>
      <c r="AC3449">
        <f>IF('01_Вводные'!$B$234="Да",'19_Расчет_аналитики'!AB3448*'01_Вводные'!$B$14,0)</f>
        <v/>
      </c>
      <c r="AD3449">
        <f>IF('01_Вводные'!$B$234="Да",'19_Расчет_аналитики'!AC3448*'01_Вводные'!$B$14,0)</f>
        <v/>
      </c>
      <c r="AE3449">
        <f>IF('01_Вводные'!$B$234="Да",'19_Расчет_аналитики'!AD3448*'01_Вводные'!$B$14,0)</f>
        <v/>
      </c>
      <c r="AF3449">
        <f>IF('01_Вводные'!$B$234="Да",'19_Расчет_аналитики'!AE3448*'01_Вводные'!$B$14,0)</f>
        <v/>
      </c>
      <c r="AG3449">
        <f>IF('01_Вводные'!$B$234="Да",'19_Расчет_аналитики'!AF3448*'01_Вводные'!$B$14,0)</f>
        <v/>
      </c>
      <c r="AH3449">
        <f>IF('01_Вводные'!$B$234="Да",'19_Расчет_аналитики'!AG3448*'01_Вводные'!$B$14,0)</f>
        <v/>
      </c>
      <c r="AI3449">
        <f>IF('01_Вводные'!$B$234="Да",'19_Расчет_аналитики'!AH3448*'01_Вводные'!$B$14,0)</f>
        <v/>
      </c>
      <c r="AJ3449">
        <f>IF('01_Вводные'!$B$234="Да",'19_Расчет_аналитики'!AI3448*'01_Вводные'!$B$14,0)</f>
        <v/>
      </c>
      <c r="AK3449">
        <f>IF('01_Вводные'!$B$234="Да",'19_Расчет_аналитики'!AJ3448*'01_Вводные'!$B$14,0)</f>
        <v/>
      </c>
      <c r="AL3449">
        <f>IF('01_Вводные'!$B$234="Да",'19_Расчет_аналитики'!AK3448*'01_Вводные'!$B$14,0)</f>
        <v/>
      </c>
      <c r="AM3449">
        <f>IF('01_Вводные'!$B$234="Да",'19_Расчет_аналитики'!AL3448*'01_Вводные'!$B$14,0)</f>
        <v/>
      </c>
      <c r="AN3449">
        <f>IF('01_Вводные'!$B$234="Да",'19_Расчет_аналитики'!AM3448*'01_Вводные'!$B$14,0)</f>
        <v/>
      </c>
      <c r="AO3449">
        <f>IF('01_Вводные'!$B$234="Да",'19_Расчет_аналитики'!AN3448*'01_Вводные'!$B$14,0)</f>
        <v/>
      </c>
      <c r="AP3449">
        <f>IF('01_Вводные'!$B$234="Да",'19_Расчет_аналитики'!AO3448*'01_Вводные'!$B$14,0)</f>
        <v/>
      </c>
      <c r="AQ3449">
        <f>IF('01_Вводные'!$B$234="Да",'19_Расчет_аналитики'!AP3448*'01_Вводные'!$B$14,0)</f>
        <v/>
      </c>
      <c r="AR3449">
        <f>IF('01_Вводные'!$B$234="Да",'19_Расчет_аналитики'!AQ3448*'01_Вводные'!$B$14,0)</f>
        <v/>
      </c>
      <c r="AS3449">
        <f>IF('01_Вводные'!$B$234="Да",'19_Расчет_аналитики'!AR3448*'01_Вводные'!$B$14,0)</f>
        <v/>
      </c>
      <c r="AT3449">
        <f>IF('01_Вводные'!$B$234="Да",'19_Расчет_аналитики'!AS3448*'01_Вводные'!$B$14,0)</f>
        <v/>
      </c>
      <c r="AU3449">
        <f>IF('01_Вводные'!$B$234="Да",'19_Расчет_аналитики'!AT3448*'01_Вводные'!$B$14,0)</f>
        <v/>
      </c>
      <c r="AV3449">
        <f>IF('01_Вводные'!$B$234="Да",'19_Расчет_аналитики'!AU3448*'01_Вводные'!$B$14,0)</f>
        <v/>
      </c>
      <c r="AW3449">
        <f>IF('01_Вводные'!$B$234="Да",'19_Расчет_аналитики'!AV3448*'01_Вводные'!$B$14,0)</f>
        <v/>
      </c>
      <c r="AX3449">
        <f>IF('01_Вводные'!$B$234="Да",'19_Расчет_аналитики'!AW3448*'01_Вводные'!$B$14,0)</f>
        <v/>
      </c>
      <c r="AY3449">
        <f>IF('01_Вводные'!$B$234="Да",'19_Расчет_аналитики'!AX3448*'01_Вводные'!$B$14,0)</f>
        <v/>
      </c>
      <c r="AZ3449">
        <f>IF('01_Вводные'!$B$234="Да",'19_Расчет_аналитики'!AY3448*'01_Вводные'!$B$14,0)</f>
        <v/>
      </c>
      <c r="BA3449">
        <f>IF('01_Вводные'!$B$234="Да",'19_Расчет_аналитики'!AZ3448*'01_Вводные'!$B$14,0)</f>
        <v/>
      </c>
      <c r="BB3449">
        <f>IF('01_Вводные'!$B$234="Да",'19_Расчет_аналитики'!BA3448*'01_Вводные'!$B$14,0)</f>
        <v/>
      </c>
      <c r="BC3449">
        <f>IF('01_Вводные'!$B$234="Да",'19_Расчет_аналитики'!BB3448*'01_Вводные'!$B$14,0)</f>
        <v/>
      </c>
      <c r="BD3449">
        <f>IF('01_Вводные'!$B$234="Да",'19_Расчет_аналитики'!BC3448*'01_Вводные'!$B$14,0)</f>
        <v/>
      </c>
      <c r="BE3449">
        <f>IF('01_Вводные'!$B$234="Да",'19_Расчет_аналитики'!BD3448*'01_Вводные'!$B$14,0)</f>
        <v/>
      </c>
      <c r="BF3449">
        <f>IF('01_Вводные'!$B$234="Да",'19_Расчет_аналитики'!BE3448*'01_Вводные'!$B$14,0)</f>
        <v/>
      </c>
      <c r="BG3449">
        <f>IF('01_Вводные'!$B$234="Да",'19_Расчет_аналитики'!BF3448*'01_Вводные'!$B$14,0)</f>
        <v/>
      </c>
      <c r="BH3449">
        <f>IF('01_Вводные'!$B$234="Да",'19_Расчет_аналитики'!BG3448*'01_Вводные'!$B$14,0)</f>
        <v/>
      </c>
      <c r="BI3449">
        <f>IF('01_Вводные'!$B$234="Да",'19_Расчет_аналитики'!BH3448*'01_Вводные'!$B$14,0)</f>
        <v/>
      </c>
      <c r="BJ3449">
        <f>IF('01_Вводные'!$B$234="Да",'19_Расчет_аналитики'!BI3448*'01_Вводные'!$B$14,0)</f>
        <v/>
      </c>
      <c r="BK3449">
        <f>IF('01_Вводные'!$B$234="Да",'19_Расчет_аналитики'!BJ3448*'01_Вводные'!$B$14,0)</f>
        <v/>
      </c>
      <c r="BL3449">
        <f>IF('01_Вводные'!$B$234="Да",'19_Расчет_аналитики'!BK3448*'01_Вводные'!$B$14,0)</f>
        <v/>
      </c>
      <c r="BM3449">
        <f>IF('01_Вводные'!$B$234="Да",'19_Расчет_аналитики'!BL3448*'01_Вводные'!$B$14,0)</f>
        <v/>
      </c>
      <c r="BN3449">
        <f>IF('01_Вводные'!$B$234="Да",'19_Расчет_аналитики'!BM3448*'01_Вводные'!$B$14,0)</f>
        <v/>
      </c>
      <c r="BO3449">
        <f>IF('01_Вводные'!$B$234="Да",'19_Расчет_аналитики'!BN3448*'01_Вводные'!$B$14,0)</f>
        <v/>
      </c>
    </row>
    <row r="3450">
      <c r="B3450">
        <f>'06_Сеть_и_дети'!B59</f>
        <v/>
      </c>
      <c r="C3450">
        <f>'06_Сеть_и_дети'!C59</f>
        <v/>
      </c>
      <c r="D3450">
        <f>'06_Сеть_и_дети'!D59</f>
        <v/>
      </c>
      <c r="E3450">
        <f>'06_Сеть_и_дети'!E59</f>
        <v/>
      </c>
      <c r="F3450">
        <f>'06_Сеть_и_дети'!F59</f>
        <v/>
      </c>
      <c r="G3450">
        <f>'06_Сеть_и_дети'!G59</f>
        <v/>
      </c>
      <c r="H3450">
        <f>IF('01_Вводные'!$B$234="Да",'19_Расчет_аналитики'!G3449*'01_Вводные'!$B$14,0)</f>
        <v/>
      </c>
      <c r="I3450">
        <f>IF('01_Вводные'!$B$234="Да",'19_Расчет_аналитики'!H3449*'01_Вводные'!$B$14,0)</f>
        <v/>
      </c>
      <c r="J3450">
        <f>IF('01_Вводные'!$B$234="Да",'19_Расчет_аналитики'!I3449*'01_Вводные'!$B$14,0)</f>
        <v/>
      </c>
      <c r="K3450">
        <f>IF('01_Вводные'!$B$234="Да",'19_Расчет_аналитики'!J3449*'01_Вводные'!$B$14,0)</f>
        <v/>
      </c>
      <c r="L3450">
        <f>IF('01_Вводные'!$B$234="Да",'19_Расчет_аналитики'!K3449*'01_Вводные'!$B$14,0)</f>
        <v/>
      </c>
      <c r="M3450">
        <f>IF('01_Вводные'!$B$234="Да",'19_Расчет_аналитики'!L3449*'01_Вводные'!$B$14,0)</f>
        <v/>
      </c>
      <c r="N3450">
        <f>IF('01_Вводные'!$B$234="Да",'19_Расчет_аналитики'!M3449*'01_Вводные'!$B$14,0)</f>
        <v/>
      </c>
      <c r="O3450">
        <f>IF('01_Вводные'!$B$234="Да",'19_Расчет_аналитики'!N3449*'01_Вводные'!$B$14,0)</f>
        <v/>
      </c>
      <c r="P3450">
        <f>IF('01_Вводные'!$B$234="Да",'19_Расчет_аналитики'!O3449*'01_Вводные'!$B$14,0)</f>
        <v/>
      </c>
      <c r="Q3450">
        <f>IF('01_Вводные'!$B$234="Да",'19_Расчет_аналитики'!P3449*'01_Вводные'!$B$14,0)</f>
        <v/>
      </c>
      <c r="R3450">
        <f>IF('01_Вводные'!$B$234="Да",'19_Расчет_аналитики'!Q3449*'01_Вводные'!$B$14,0)</f>
        <v/>
      </c>
      <c r="S3450">
        <f>IF('01_Вводные'!$B$234="Да",'19_Расчет_аналитики'!R3449*'01_Вводные'!$B$14,0)</f>
        <v/>
      </c>
      <c r="T3450">
        <f>IF('01_Вводные'!$B$234="Да",'19_Расчет_аналитики'!S3449*'01_Вводные'!$B$14,0)</f>
        <v/>
      </c>
      <c r="U3450">
        <f>IF('01_Вводные'!$B$234="Да",'19_Расчет_аналитики'!T3449*'01_Вводные'!$B$14,0)</f>
        <v/>
      </c>
      <c r="V3450">
        <f>IF('01_Вводные'!$B$234="Да",'19_Расчет_аналитики'!U3449*'01_Вводные'!$B$14,0)</f>
        <v/>
      </c>
      <c r="W3450">
        <f>IF('01_Вводные'!$B$234="Да",'19_Расчет_аналитики'!V3449*'01_Вводные'!$B$14,0)</f>
        <v/>
      </c>
      <c r="X3450">
        <f>IF('01_Вводные'!$B$234="Да",'19_Расчет_аналитики'!W3449*'01_Вводные'!$B$14,0)</f>
        <v/>
      </c>
      <c r="Y3450">
        <f>IF('01_Вводные'!$B$234="Да",'19_Расчет_аналитики'!X3449*'01_Вводные'!$B$14,0)</f>
        <v/>
      </c>
      <c r="Z3450">
        <f>IF('01_Вводные'!$B$234="Да",'19_Расчет_аналитики'!Y3449*'01_Вводные'!$B$14,0)</f>
        <v/>
      </c>
      <c r="AA3450">
        <f>IF('01_Вводные'!$B$234="Да",'19_Расчет_аналитики'!Z3449*'01_Вводные'!$B$14,0)</f>
        <v/>
      </c>
      <c r="AB3450">
        <f>IF('01_Вводные'!$B$234="Да",'19_Расчет_аналитики'!AA3449*'01_Вводные'!$B$14,0)</f>
        <v/>
      </c>
      <c r="AC3450">
        <f>IF('01_Вводные'!$B$234="Да",'19_Расчет_аналитики'!AB3449*'01_Вводные'!$B$14,0)</f>
        <v/>
      </c>
      <c r="AD3450">
        <f>IF('01_Вводные'!$B$234="Да",'19_Расчет_аналитики'!AC3449*'01_Вводные'!$B$14,0)</f>
        <v/>
      </c>
      <c r="AE3450">
        <f>IF('01_Вводные'!$B$234="Да",'19_Расчет_аналитики'!AD3449*'01_Вводные'!$B$14,0)</f>
        <v/>
      </c>
      <c r="AF3450">
        <f>IF('01_Вводные'!$B$234="Да",'19_Расчет_аналитики'!AE3449*'01_Вводные'!$B$14,0)</f>
        <v/>
      </c>
      <c r="AG3450">
        <f>IF('01_Вводные'!$B$234="Да",'19_Расчет_аналитики'!AF3449*'01_Вводные'!$B$14,0)</f>
        <v/>
      </c>
      <c r="AH3450">
        <f>IF('01_Вводные'!$B$234="Да",'19_Расчет_аналитики'!AG3449*'01_Вводные'!$B$14,0)</f>
        <v/>
      </c>
      <c r="AI3450">
        <f>IF('01_Вводные'!$B$234="Да",'19_Расчет_аналитики'!AH3449*'01_Вводные'!$B$14,0)</f>
        <v/>
      </c>
      <c r="AJ3450">
        <f>IF('01_Вводные'!$B$234="Да",'19_Расчет_аналитики'!AI3449*'01_Вводные'!$B$14,0)</f>
        <v/>
      </c>
      <c r="AK3450">
        <f>IF('01_Вводные'!$B$234="Да",'19_Расчет_аналитики'!AJ3449*'01_Вводные'!$B$14,0)</f>
        <v/>
      </c>
      <c r="AL3450">
        <f>IF('01_Вводные'!$B$234="Да",'19_Расчет_аналитики'!AK3449*'01_Вводные'!$B$14,0)</f>
        <v/>
      </c>
      <c r="AM3450">
        <f>IF('01_Вводные'!$B$234="Да",'19_Расчет_аналитики'!AL3449*'01_Вводные'!$B$14,0)</f>
        <v/>
      </c>
      <c r="AN3450">
        <f>IF('01_Вводные'!$B$234="Да",'19_Расчет_аналитики'!AM3449*'01_Вводные'!$B$14,0)</f>
        <v/>
      </c>
      <c r="AO3450">
        <f>IF('01_Вводные'!$B$234="Да",'19_Расчет_аналитики'!AN3449*'01_Вводные'!$B$14,0)</f>
        <v/>
      </c>
      <c r="AP3450">
        <f>IF('01_Вводные'!$B$234="Да",'19_Расчет_аналитики'!AO3449*'01_Вводные'!$B$14,0)</f>
        <v/>
      </c>
      <c r="AQ3450">
        <f>IF('01_Вводные'!$B$234="Да",'19_Расчет_аналитики'!AP3449*'01_Вводные'!$B$14,0)</f>
        <v/>
      </c>
      <c r="AR3450">
        <f>IF('01_Вводные'!$B$234="Да",'19_Расчет_аналитики'!AQ3449*'01_Вводные'!$B$14,0)</f>
        <v/>
      </c>
      <c r="AS3450">
        <f>IF('01_Вводные'!$B$234="Да",'19_Расчет_аналитики'!AR3449*'01_Вводные'!$B$14,0)</f>
        <v/>
      </c>
      <c r="AT3450">
        <f>IF('01_Вводные'!$B$234="Да",'19_Расчет_аналитики'!AS3449*'01_Вводные'!$B$14,0)</f>
        <v/>
      </c>
      <c r="AU3450">
        <f>IF('01_Вводные'!$B$234="Да",'19_Расчет_аналитики'!AT3449*'01_Вводные'!$B$14,0)</f>
        <v/>
      </c>
      <c r="AV3450">
        <f>IF('01_Вводные'!$B$234="Да",'19_Расчет_аналитики'!AU3449*'01_Вводные'!$B$14,0)</f>
        <v/>
      </c>
      <c r="AW3450">
        <f>IF('01_Вводные'!$B$234="Да",'19_Расчет_аналитики'!AV3449*'01_Вводные'!$B$14,0)</f>
        <v/>
      </c>
      <c r="AX3450">
        <f>IF('01_Вводные'!$B$234="Да",'19_Расчет_аналитики'!AW3449*'01_Вводные'!$B$14,0)</f>
        <v/>
      </c>
      <c r="AY3450">
        <f>IF('01_Вводные'!$B$234="Да",'19_Расчет_аналитики'!AX3449*'01_Вводные'!$B$14,0)</f>
        <v/>
      </c>
      <c r="AZ3450">
        <f>IF('01_Вводные'!$B$234="Да",'19_Расчет_аналитики'!AY3449*'01_Вводные'!$B$14,0)</f>
        <v/>
      </c>
      <c r="BA3450">
        <f>IF('01_Вводные'!$B$234="Да",'19_Расчет_аналитики'!AZ3449*'01_Вводные'!$B$14,0)</f>
        <v/>
      </c>
      <c r="BB3450">
        <f>IF('01_Вводные'!$B$234="Да",'19_Расчет_аналитики'!BA3449*'01_Вводные'!$B$14,0)</f>
        <v/>
      </c>
      <c r="BC3450">
        <f>IF('01_Вводные'!$B$234="Да",'19_Расчет_аналитики'!BB3449*'01_Вводные'!$B$14,0)</f>
        <v/>
      </c>
      <c r="BD3450">
        <f>IF('01_Вводные'!$B$234="Да",'19_Расчет_аналитики'!BC3449*'01_Вводные'!$B$14,0)</f>
        <v/>
      </c>
      <c r="BE3450">
        <f>IF('01_Вводные'!$B$234="Да",'19_Расчет_аналитики'!BD3449*'01_Вводные'!$B$14,0)</f>
        <v/>
      </c>
      <c r="BF3450">
        <f>IF('01_Вводные'!$B$234="Да",'19_Расчет_аналитики'!BE3449*'01_Вводные'!$B$14,0)</f>
        <v/>
      </c>
      <c r="BG3450">
        <f>IF('01_Вводные'!$B$234="Да",'19_Расчет_аналитики'!BF3449*'01_Вводные'!$B$14,0)</f>
        <v/>
      </c>
      <c r="BH3450">
        <f>IF('01_Вводные'!$B$234="Да",'19_Расчет_аналитики'!BG3449*'01_Вводные'!$B$14,0)</f>
        <v/>
      </c>
      <c r="BI3450">
        <f>IF('01_Вводные'!$B$234="Да",'19_Расчет_аналитики'!BH3449*'01_Вводные'!$B$14,0)</f>
        <v/>
      </c>
      <c r="BJ3450">
        <f>IF('01_Вводные'!$B$234="Да",'19_Расчет_аналитики'!BI3449*'01_Вводные'!$B$14,0)</f>
        <v/>
      </c>
      <c r="BK3450">
        <f>IF('01_Вводные'!$B$234="Да",'19_Расчет_аналитики'!BJ3449*'01_Вводные'!$B$14,0)</f>
        <v/>
      </c>
      <c r="BL3450">
        <f>IF('01_Вводные'!$B$234="Да",'19_Расчет_аналитики'!BK3449*'01_Вводные'!$B$14,0)</f>
        <v/>
      </c>
      <c r="BM3450">
        <f>IF('01_Вводные'!$B$234="Да",'19_Расчет_аналитики'!BL3449*'01_Вводные'!$B$14,0)</f>
        <v/>
      </c>
      <c r="BN3450">
        <f>IF('01_Вводные'!$B$234="Да",'19_Расчет_аналитики'!BM3449*'01_Вводные'!$B$14,0)</f>
        <v/>
      </c>
      <c r="BO3450">
        <f>IF('01_Вводные'!$B$234="Да",'19_Расчет_аналитики'!BN3449*'01_Вводные'!$B$14,0)</f>
        <v/>
      </c>
    </row>
    <row r="3451">
      <c r="B3451">
        <f>'06_Сеть_и_дети'!B60</f>
        <v/>
      </c>
      <c r="C3451">
        <f>'06_Сеть_и_дети'!C60</f>
        <v/>
      </c>
      <c r="D3451">
        <f>'06_Сеть_и_дети'!D60</f>
        <v/>
      </c>
      <c r="E3451">
        <f>'06_Сеть_и_дети'!E60</f>
        <v/>
      </c>
      <c r="F3451">
        <f>'06_Сеть_и_дети'!F60</f>
        <v/>
      </c>
      <c r="G3451">
        <f>'06_Сеть_и_дети'!G60</f>
        <v/>
      </c>
      <c r="H3451">
        <f>'06_Сеть_и_дети'!H60</f>
        <v/>
      </c>
      <c r="I3451">
        <f>IF('01_Вводные'!$B$234="Да",'19_Расчет_аналитики'!H3450*'01_Вводные'!$B$14,0)</f>
        <v/>
      </c>
      <c r="J3451">
        <f>IF('01_Вводные'!$B$234="Да",'19_Расчет_аналитики'!I3450*'01_Вводные'!$B$14,0)</f>
        <v/>
      </c>
      <c r="K3451">
        <f>IF('01_Вводные'!$B$234="Да",'19_Расчет_аналитики'!J3450*'01_Вводные'!$B$14,0)</f>
        <v/>
      </c>
      <c r="L3451">
        <f>IF('01_Вводные'!$B$234="Да",'19_Расчет_аналитики'!K3450*'01_Вводные'!$B$14,0)</f>
        <v/>
      </c>
      <c r="M3451">
        <f>IF('01_Вводные'!$B$234="Да",'19_Расчет_аналитики'!L3450*'01_Вводные'!$B$14,0)</f>
        <v/>
      </c>
      <c r="N3451">
        <f>IF('01_Вводные'!$B$234="Да",'19_Расчет_аналитики'!M3450*'01_Вводные'!$B$14,0)</f>
        <v/>
      </c>
      <c r="O3451">
        <f>IF('01_Вводные'!$B$234="Да",'19_Расчет_аналитики'!N3450*'01_Вводные'!$B$14,0)</f>
        <v/>
      </c>
      <c r="P3451">
        <f>IF('01_Вводные'!$B$234="Да",'19_Расчет_аналитики'!O3450*'01_Вводные'!$B$14,0)</f>
        <v/>
      </c>
      <c r="Q3451">
        <f>IF('01_Вводные'!$B$234="Да",'19_Расчет_аналитики'!P3450*'01_Вводные'!$B$14,0)</f>
        <v/>
      </c>
      <c r="R3451">
        <f>IF('01_Вводные'!$B$234="Да",'19_Расчет_аналитики'!Q3450*'01_Вводные'!$B$14,0)</f>
        <v/>
      </c>
      <c r="S3451">
        <f>IF('01_Вводные'!$B$234="Да",'19_Расчет_аналитики'!R3450*'01_Вводные'!$B$14,0)</f>
        <v/>
      </c>
      <c r="T3451">
        <f>IF('01_Вводные'!$B$234="Да",'19_Расчет_аналитики'!S3450*'01_Вводные'!$B$14,0)</f>
        <v/>
      </c>
      <c r="U3451">
        <f>IF('01_Вводные'!$B$234="Да",'19_Расчет_аналитики'!T3450*'01_Вводные'!$B$14,0)</f>
        <v/>
      </c>
      <c r="V3451">
        <f>IF('01_Вводные'!$B$234="Да",'19_Расчет_аналитики'!U3450*'01_Вводные'!$B$14,0)</f>
        <v/>
      </c>
      <c r="W3451">
        <f>IF('01_Вводные'!$B$234="Да",'19_Расчет_аналитики'!V3450*'01_Вводные'!$B$14,0)</f>
        <v/>
      </c>
      <c r="X3451">
        <f>IF('01_Вводные'!$B$234="Да",'19_Расчет_аналитики'!W3450*'01_Вводные'!$B$14,0)</f>
        <v/>
      </c>
      <c r="Y3451">
        <f>IF('01_Вводные'!$B$234="Да",'19_Расчет_аналитики'!X3450*'01_Вводные'!$B$14,0)</f>
        <v/>
      </c>
      <c r="Z3451">
        <f>IF('01_Вводные'!$B$234="Да",'19_Расчет_аналитики'!Y3450*'01_Вводные'!$B$14,0)</f>
        <v/>
      </c>
      <c r="AA3451">
        <f>IF('01_Вводные'!$B$234="Да",'19_Расчет_аналитики'!Z3450*'01_Вводные'!$B$14,0)</f>
        <v/>
      </c>
      <c r="AB3451">
        <f>IF('01_Вводные'!$B$234="Да",'19_Расчет_аналитики'!AA3450*'01_Вводные'!$B$14,0)</f>
        <v/>
      </c>
      <c r="AC3451">
        <f>IF('01_Вводные'!$B$234="Да",'19_Расчет_аналитики'!AB3450*'01_Вводные'!$B$14,0)</f>
        <v/>
      </c>
      <c r="AD3451">
        <f>IF('01_Вводные'!$B$234="Да",'19_Расчет_аналитики'!AC3450*'01_Вводные'!$B$14,0)</f>
        <v/>
      </c>
      <c r="AE3451">
        <f>IF('01_Вводные'!$B$234="Да",'19_Расчет_аналитики'!AD3450*'01_Вводные'!$B$14,0)</f>
        <v/>
      </c>
      <c r="AF3451">
        <f>IF('01_Вводные'!$B$234="Да",'19_Расчет_аналитики'!AE3450*'01_Вводные'!$B$14,0)</f>
        <v/>
      </c>
      <c r="AG3451">
        <f>IF('01_Вводные'!$B$234="Да",'19_Расчет_аналитики'!AF3450*'01_Вводные'!$B$14,0)</f>
        <v/>
      </c>
      <c r="AH3451">
        <f>IF('01_Вводные'!$B$234="Да",'19_Расчет_аналитики'!AG3450*'01_Вводные'!$B$14,0)</f>
        <v/>
      </c>
      <c r="AI3451">
        <f>IF('01_Вводные'!$B$234="Да",'19_Расчет_аналитики'!AH3450*'01_Вводные'!$B$14,0)</f>
        <v/>
      </c>
      <c r="AJ3451">
        <f>IF('01_Вводные'!$B$234="Да",'19_Расчет_аналитики'!AI3450*'01_Вводные'!$B$14,0)</f>
        <v/>
      </c>
      <c r="AK3451">
        <f>IF('01_Вводные'!$B$234="Да",'19_Расчет_аналитики'!AJ3450*'01_Вводные'!$B$14,0)</f>
        <v/>
      </c>
      <c r="AL3451">
        <f>IF('01_Вводные'!$B$234="Да",'19_Расчет_аналитики'!AK3450*'01_Вводные'!$B$14,0)</f>
        <v/>
      </c>
      <c r="AM3451">
        <f>IF('01_Вводные'!$B$234="Да",'19_Расчет_аналитики'!AL3450*'01_Вводные'!$B$14,0)</f>
        <v/>
      </c>
      <c r="AN3451">
        <f>IF('01_Вводные'!$B$234="Да",'19_Расчет_аналитики'!AM3450*'01_Вводные'!$B$14,0)</f>
        <v/>
      </c>
      <c r="AO3451">
        <f>IF('01_Вводные'!$B$234="Да",'19_Расчет_аналитики'!AN3450*'01_Вводные'!$B$14,0)</f>
        <v/>
      </c>
      <c r="AP3451">
        <f>IF('01_Вводные'!$B$234="Да",'19_Расчет_аналитики'!AO3450*'01_Вводные'!$B$14,0)</f>
        <v/>
      </c>
      <c r="AQ3451">
        <f>IF('01_Вводные'!$B$234="Да",'19_Расчет_аналитики'!AP3450*'01_Вводные'!$B$14,0)</f>
        <v/>
      </c>
      <c r="AR3451">
        <f>IF('01_Вводные'!$B$234="Да",'19_Расчет_аналитики'!AQ3450*'01_Вводные'!$B$14,0)</f>
        <v/>
      </c>
      <c r="AS3451">
        <f>IF('01_Вводные'!$B$234="Да",'19_Расчет_аналитики'!AR3450*'01_Вводные'!$B$14,0)</f>
        <v/>
      </c>
      <c r="AT3451">
        <f>IF('01_Вводные'!$B$234="Да",'19_Расчет_аналитики'!AS3450*'01_Вводные'!$B$14,0)</f>
        <v/>
      </c>
      <c r="AU3451">
        <f>IF('01_Вводные'!$B$234="Да",'19_Расчет_аналитики'!AT3450*'01_Вводные'!$B$14,0)</f>
        <v/>
      </c>
      <c r="AV3451">
        <f>IF('01_Вводные'!$B$234="Да",'19_Расчет_аналитики'!AU3450*'01_Вводные'!$B$14,0)</f>
        <v/>
      </c>
      <c r="AW3451">
        <f>IF('01_Вводные'!$B$234="Да",'19_Расчет_аналитики'!AV3450*'01_Вводные'!$B$14,0)</f>
        <v/>
      </c>
      <c r="AX3451">
        <f>IF('01_Вводные'!$B$234="Да",'19_Расчет_аналитики'!AW3450*'01_Вводные'!$B$14,0)</f>
        <v/>
      </c>
      <c r="AY3451">
        <f>IF('01_Вводные'!$B$234="Да",'19_Расчет_аналитики'!AX3450*'01_Вводные'!$B$14,0)</f>
        <v/>
      </c>
      <c r="AZ3451">
        <f>IF('01_Вводные'!$B$234="Да",'19_Расчет_аналитики'!AY3450*'01_Вводные'!$B$14,0)</f>
        <v/>
      </c>
      <c r="BA3451">
        <f>IF('01_Вводные'!$B$234="Да",'19_Расчет_аналитики'!AZ3450*'01_Вводные'!$B$14,0)</f>
        <v/>
      </c>
      <c r="BB3451">
        <f>IF('01_Вводные'!$B$234="Да",'19_Расчет_аналитики'!BA3450*'01_Вводные'!$B$14,0)</f>
        <v/>
      </c>
      <c r="BC3451">
        <f>IF('01_Вводные'!$B$234="Да",'19_Расчет_аналитики'!BB3450*'01_Вводные'!$B$14,0)</f>
        <v/>
      </c>
      <c r="BD3451">
        <f>IF('01_Вводные'!$B$234="Да",'19_Расчет_аналитики'!BC3450*'01_Вводные'!$B$14,0)</f>
        <v/>
      </c>
      <c r="BE3451">
        <f>IF('01_Вводные'!$B$234="Да",'19_Расчет_аналитики'!BD3450*'01_Вводные'!$B$14,0)</f>
        <v/>
      </c>
      <c r="BF3451">
        <f>IF('01_Вводные'!$B$234="Да",'19_Расчет_аналитики'!BE3450*'01_Вводные'!$B$14,0)</f>
        <v/>
      </c>
      <c r="BG3451">
        <f>IF('01_Вводные'!$B$234="Да",'19_Расчет_аналитики'!BF3450*'01_Вводные'!$B$14,0)</f>
        <v/>
      </c>
      <c r="BH3451">
        <f>IF('01_Вводные'!$B$234="Да",'19_Расчет_аналитики'!BG3450*'01_Вводные'!$B$14,0)</f>
        <v/>
      </c>
      <c r="BI3451">
        <f>IF('01_Вводные'!$B$234="Да",'19_Расчет_аналитики'!BH3450*'01_Вводные'!$B$14,0)</f>
        <v/>
      </c>
      <c r="BJ3451">
        <f>IF('01_Вводные'!$B$234="Да",'19_Расчет_аналитики'!BI3450*'01_Вводные'!$B$14,0)</f>
        <v/>
      </c>
      <c r="BK3451">
        <f>IF('01_Вводные'!$B$234="Да",'19_Расчет_аналитики'!BJ3450*'01_Вводные'!$B$14,0)</f>
        <v/>
      </c>
      <c r="BL3451">
        <f>IF('01_Вводные'!$B$234="Да",'19_Расчет_аналитики'!BK3450*'01_Вводные'!$B$14,0)</f>
        <v/>
      </c>
      <c r="BM3451">
        <f>IF('01_Вводные'!$B$234="Да",'19_Расчет_аналитики'!BL3450*'01_Вводные'!$B$14,0)</f>
        <v/>
      </c>
      <c r="BN3451">
        <f>IF('01_Вводные'!$B$234="Да",'19_Расчет_аналитики'!BM3450*'01_Вводные'!$B$14,0)</f>
        <v/>
      </c>
      <c r="BO3451">
        <f>IF('01_Вводные'!$B$234="Да",'19_Расчет_аналитики'!BN3450*'01_Вводные'!$B$14,0)</f>
        <v/>
      </c>
    </row>
    <row r="3452">
      <c r="B3452">
        <f>'06_Сеть_и_дети'!B61</f>
        <v/>
      </c>
      <c r="C3452">
        <f>'06_Сеть_и_дети'!C61</f>
        <v/>
      </c>
      <c r="D3452">
        <f>'06_Сеть_и_дети'!D61</f>
        <v/>
      </c>
      <c r="E3452">
        <f>'06_Сеть_и_дети'!E61</f>
        <v/>
      </c>
      <c r="F3452">
        <f>'06_Сеть_и_дети'!F61</f>
        <v/>
      </c>
      <c r="G3452">
        <f>'06_Сеть_и_дети'!G61</f>
        <v/>
      </c>
      <c r="H3452">
        <f>'06_Сеть_и_дети'!H61</f>
        <v/>
      </c>
      <c r="I3452">
        <f>'06_Сеть_и_дети'!I61</f>
        <v/>
      </c>
      <c r="J3452">
        <f>IF('01_Вводные'!$B$234="Да",'19_Расчет_аналитики'!I3451*'01_Вводные'!$B$14,0)</f>
        <v/>
      </c>
      <c r="K3452">
        <f>IF('01_Вводные'!$B$234="Да",'19_Расчет_аналитики'!J3451*'01_Вводные'!$B$14,0)</f>
        <v/>
      </c>
      <c r="L3452">
        <f>IF('01_Вводные'!$B$234="Да",'19_Расчет_аналитики'!K3451*'01_Вводные'!$B$14,0)</f>
        <v/>
      </c>
      <c r="M3452">
        <f>IF('01_Вводные'!$B$234="Да",'19_Расчет_аналитики'!L3451*'01_Вводные'!$B$14,0)</f>
        <v/>
      </c>
      <c r="N3452">
        <f>IF('01_Вводные'!$B$234="Да",'19_Расчет_аналитики'!M3451*'01_Вводные'!$B$14,0)</f>
        <v/>
      </c>
      <c r="O3452">
        <f>IF('01_Вводные'!$B$234="Да",'19_Расчет_аналитики'!N3451*'01_Вводные'!$B$14,0)</f>
        <v/>
      </c>
      <c r="P3452">
        <f>IF('01_Вводные'!$B$234="Да",'19_Расчет_аналитики'!O3451*'01_Вводные'!$B$14,0)</f>
        <v/>
      </c>
      <c r="Q3452">
        <f>IF('01_Вводные'!$B$234="Да",'19_Расчет_аналитики'!P3451*'01_Вводные'!$B$14,0)</f>
        <v/>
      </c>
      <c r="R3452">
        <f>IF('01_Вводные'!$B$234="Да",'19_Расчет_аналитики'!Q3451*'01_Вводные'!$B$14,0)</f>
        <v/>
      </c>
      <c r="S3452">
        <f>IF('01_Вводные'!$B$234="Да",'19_Расчет_аналитики'!R3451*'01_Вводные'!$B$14,0)</f>
        <v/>
      </c>
      <c r="T3452">
        <f>IF('01_Вводные'!$B$234="Да",'19_Расчет_аналитики'!S3451*'01_Вводные'!$B$14,0)</f>
        <v/>
      </c>
      <c r="U3452">
        <f>IF('01_Вводные'!$B$234="Да",'19_Расчет_аналитики'!T3451*'01_Вводные'!$B$14,0)</f>
        <v/>
      </c>
      <c r="V3452">
        <f>IF('01_Вводные'!$B$234="Да",'19_Расчет_аналитики'!U3451*'01_Вводные'!$B$14,0)</f>
        <v/>
      </c>
      <c r="W3452">
        <f>IF('01_Вводные'!$B$234="Да",'19_Расчет_аналитики'!V3451*'01_Вводные'!$B$14,0)</f>
        <v/>
      </c>
      <c r="X3452">
        <f>IF('01_Вводные'!$B$234="Да",'19_Расчет_аналитики'!W3451*'01_Вводные'!$B$14,0)</f>
        <v/>
      </c>
      <c r="Y3452">
        <f>IF('01_Вводные'!$B$234="Да",'19_Расчет_аналитики'!X3451*'01_Вводные'!$B$14,0)</f>
        <v/>
      </c>
      <c r="Z3452">
        <f>IF('01_Вводные'!$B$234="Да",'19_Расчет_аналитики'!Y3451*'01_Вводные'!$B$14,0)</f>
        <v/>
      </c>
      <c r="AA3452">
        <f>IF('01_Вводные'!$B$234="Да",'19_Расчет_аналитики'!Z3451*'01_Вводные'!$B$14,0)</f>
        <v/>
      </c>
      <c r="AB3452">
        <f>IF('01_Вводные'!$B$234="Да",'19_Расчет_аналитики'!AA3451*'01_Вводные'!$B$14,0)</f>
        <v/>
      </c>
      <c r="AC3452">
        <f>IF('01_Вводные'!$B$234="Да",'19_Расчет_аналитики'!AB3451*'01_Вводные'!$B$14,0)</f>
        <v/>
      </c>
      <c r="AD3452">
        <f>IF('01_Вводные'!$B$234="Да",'19_Расчет_аналитики'!AC3451*'01_Вводные'!$B$14,0)</f>
        <v/>
      </c>
      <c r="AE3452">
        <f>IF('01_Вводные'!$B$234="Да",'19_Расчет_аналитики'!AD3451*'01_Вводные'!$B$14,0)</f>
        <v/>
      </c>
      <c r="AF3452">
        <f>IF('01_Вводные'!$B$234="Да",'19_Расчет_аналитики'!AE3451*'01_Вводные'!$B$14,0)</f>
        <v/>
      </c>
      <c r="AG3452">
        <f>IF('01_Вводные'!$B$234="Да",'19_Расчет_аналитики'!AF3451*'01_Вводные'!$B$14,0)</f>
        <v/>
      </c>
      <c r="AH3452">
        <f>IF('01_Вводные'!$B$234="Да",'19_Расчет_аналитики'!AG3451*'01_Вводные'!$B$14,0)</f>
        <v/>
      </c>
      <c r="AI3452">
        <f>IF('01_Вводные'!$B$234="Да",'19_Расчет_аналитики'!AH3451*'01_Вводные'!$B$14,0)</f>
        <v/>
      </c>
      <c r="AJ3452">
        <f>IF('01_Вводные'!$B$234="Да",'19_Расчет_аналитики'!AI3451*'01_Вводные'!$B$14,0)</f>
        <v/>
      </c>
      <c r="AK3452">
        <f>IF('01_Вводные'!$B$234="Да",'19_Расчет_аналитики'!AJ3451*'01_Вводные'!$B$14,0)</f>
        <v/>
      </c>
      <c r="AL3452">
        <f>IF('01_Вводные'!$B$234="Да",'19_Расчет_аналитики'!AK3451*'01_Вводные'!$B$14,0)</f>
        <v/>
      </c>
      <c r="AM3452">
        <f>IF('01_Вводные'!$B$234="Да",'19_Расчет_аналитики'!AL3451*'01_Вводные'!$B$14,0)</f>
        <v/>
      </c>
      <c r="AN3452">
        <f>IF('01_Вводные'!$B$234="Да",'19_Расчет_аналитики'!AM3451*'01_Вводные'!$B$14,0)</f>
        <v/>
      </c>
      <c r="AO3452">
        <f>IF('01_Вводные'!$B$234="Да",'19_Расчет_аналитики'!AN3451*'01_Вводные'!$B$14,0)</f>
        <v/>
      </c>
      <c r="AP3452">
        <f>IF('01_Вводные'!$B$234="Да",'19_Расчет_аналитики'!AO3451*'01_Вводные'!$B$14,0)</f>
        <v/>
      </c>
      <c r="AQ3452">
        <f>IF('01_Вводные'!$B$234="Да",'19_Расчет_аналитики'!AP3451*'01_Вводные'!$B$14,0)</f>
        <v/>
      </c>
      <c r="AR3452">
        <f>IF('01_Вводные'!$B$234="Да",'19_Расчет_аналитики'!AQ3451*'01_Вводные'!$B$14,0)</f>
        <v/>
      </c>
      <c r="AS3452">
        <f>IF('01_Вводные'!$B$234="Да",'19_Расчет_аналитики'!AR3451*'01_Вводные'!$B$14,0)</f>
        <v/>
      </c>
      <c r="AT3452">
        <f>IF('01_Вводные'!$B$234="Да",'19_Расчет_аналитики'!AS3451*'01_Вводные'!$B$14,0)</f>
        <v/>
      </c>
      <c r="AU3452">
        <f>IF('01_Вводные'!$B$234="Да",'19_Расчет_аналитики'!AT3451*'01_Вводные'!$B$14,0)</f>
        <v/>
      </c>
      <c r="AV3452">
        <f>IF('01_Вводные'!$B$234="Да",'19_Расчет_аналитики'!AU3451*'01_Вводные'!$B$14,0)</f>
        <v/>
      </c>
      <c r="AW3452">
        <f>IF('01_Вводные'!$B$234="Да",'19_Расчет_аналитики'!AV3451*'01_Вводные'!$B$14,0)</f>
        <v/>
      </c>
      <c r="AX3452">
        <f>IF('01_Вводные'!$B$234="Да",'19_Расчет_аналитики'!AW3451*'01_Вводные'!$B$14,0)</f>
        <v/>
      </c>
      <c r="AY3452">
        <f>IF('01_Вводные'!$B$234="Да",'19_Расчет_аналитики'!AX3451*'01_Вводные'!$B$14,0)</f>
        <v/>
      </c>
      <c r="AZ3452">
        <f>IF('01_Вводные'!$B$234="Да",'19_Расчет_аналитики'!AY3451*'01_Вводные'!$B$14,0)</f>
        <v/>
      </c>
      <c r="BA3452">
        <f>IF('01_Вводные'!$B$234="Да",'19_Расчет_аналитики'!AZ3451*'01_Вводные'!$B$14,0)</f>
        <v/>
      </c>
      <c r="BB3452">
        <f>IF('01_Вводные'!$B$234="Да",'19_Расчет_аналитики'!BA3451*'01_Вводные'!$B$14,0)</f>
        <v/>
      </c>
      <c r="BC3452">
        <f>IF('01_Вводные'!$B$234="Да",'19_Расчет_аналитики'!BB3451*'01_Вводные'!$B$14,0)</f>
        <v/>
      </c>
      <c r="BD3452">
        <f>IF('01_Вводные'!$B$234="Да",'19_Расчет_аналитики'!BC3451*'01_Вводные'!$B$14,0)</f>
        <v/>
      </c>
      <c r="BE3452">
        <f>IF('01_Вводные'!$B$234="Да",'19_Расчет_аналитики'!BD3451*'01_Вводные'!$B$14,0)</f>
        <v/>
      </c>
      <c r="BF3452">
        <f>IF('01_Вводные'!$B$234="Да",'19_Расчет_аналитики'!BE3451*'01_Вводные'!$B$14,0)</f>
        <v/>
      </c>
      <c r="BG3452">
        <f>IF('01_Вводные'!$B$234="Да",'19_Расчет_аналитики'!BF3451*'01_Вводные'!$B$14,0)</f>
        <v/>
      </c>
      <c r="BH3452">
        <f>IF('01_Вводные'!$B$234="Да",'19_Расчет_аналитики'!BG3451*'01_Вводные'!$B$14,0)</f>
        <v/>
      </c>
      <c r="BI3452">
        <f>IF('01_Вводные'!$B$234="Да",'19_Расчет_аналитики'!BH3451*'01_Вводные'!$B$14,0)</f>
        <v/>
      </c>
      <c r="BJ3452">
        <f>IF('01_Вводные'!$B$234="Да",'19_Расчет_аналитики'!BI3451*'01_Вводные'!$B$14,0)</f>
        <v/>
      </c>
      <c r="BK3452">
        <f>IF('01_Вводные'!$B$234="Да",'19_Расчет_аналитики'!BJ3451*'01_Вводные'!$B$14,0)</f>
        <v/>
      </c>
      <c r="BL3452">
        <f>IF('01_Вводные'!$B$234="Да",'19_Расчет_аналитики'!BK3451*'01_Вводные'!$B$14,0)</f>
        <v/>
      </c>
      <c r="BM3452">
        <f>IF('01_Вводные'!$B$234="Да",'19_Расчет_аналитики'!BL3451*'01_Вводные'!$B$14,0)</f>
        <v/>
      </c>
      <c r="BN3452">
        <f>IF('01_Вводные'!$B$234="Да",'19_Расчет_аналитики'!BM3451*'01_Вводные'!$B$14,0)</f>
        <v/>
      </c>
      <c r="BO3452">
        <f>IF('01_Вводные'!$B$234="Да",'19_Расчет_аналитики'!BN3451*'01_Вводные'!$B$14,0)</f>
        <v/>
      </c>
    </row>
    <row r="3453">
      <c r="B3453">
        <f>'06_Сеть_и_дети'!B62</f>
        <v/>
      </c>
      <c r="C3453">
        <f>'06_Сеть_и_дети'!C62</f>
        <v/>
      </c>
      <c r="D3453">
        <f>'06_Сеть_и_дети'!D62</f>
        <v/>
      </c>
      <c r="E3453">
        <f>'06_Сеть_и_дети'!E62</f>
        <v/>
      </c>
      <c r="F3453">
        <f>'06_Сеть_и_дети'!F62</f>
        <v/>
      </c>
      <c r="G3453">
        <f>'06_Сеть_и_дети'!G62</f>
        <v/>
      </c>
      <c r="H3453">
        <f>'06_Сеть_и_дети'!H62</f>
        <v/>
      </c>
      <c r="I3453">
        <f>'06_Сеть_и_дети'!I62</f>
        <v/>
      </c>
      <c r="J3453">
        <f>'06_Сеть_и_дети'!J62</f>
        <v/>
      </c>
      <c r="K3453">
        <f>IF('01_Вводные'!$B$234="Да",'19_Расчет_аналитики'!J3452*'01_Вводные'!$B$14,0)</f>
        <v/>
      </c>
      <c r="L3453">
        <f>IF('01_Вводные'!$B$234="Да",'19_Расчет_аналитики'!K3452*'01_Вводные'!$B$14,0)</f>
        <v/>
      </c>
      <c r="M3453">
        <f>IF('01_Вводные'!$B$234="Да",'19_Расчет_аналитики'!L3452*'01_Вводные'!$B$14,0)</f>
        <v/>
      </c>
      <c r="N3453">
        <f>IF('01_Вводные'!$B$234="Да",'19_Расчет_аналитики'!M3452*'01_Вводные'!$B$14,0)</f>
        <v/>
      </c>
      <c r="O3453">
        <f>IF('01_Вводные'!$B$234="Да",'19_Расчет_аналитики'!N3452*'01_Вводные'!$B$14,0)</f>
        <v/>
      </c>
      <c r="P3453">
        <f>IF('01_Вводные'!$B$234="Да",'19_Расчет_аналитики'!O3452*'01_Вводные'!$B$14,0)</f>
        <v/>
      </c>
      <c r="Q3453">
        <f>IF('01_Вводные'!$B$234="Да",'19_Расчет_аналитики'!P3452*'01_Вводные'!$B$14,0)</f>
        <v/>
      </c>
      <c r="R3453">
        <f>IF('01_Вводные'!$B$234="Да",'19_Расчет_аналитики'!Q3452*'01_Вводные'!$B$14,0)</f>
        <v/>
      </c>
      <c r="S3453">
        <f>IF('01_Вводные'!$B$234="Да",'19_Расчет_аналитики'!R3452*'01_Вводные'!$B$14,0)</f>
        <v/>
      </c>
      <c r="T3453">
        <f>IF('01_Вводные'!$B$234="Да",'19_Расчет_аналитики'!S3452*'01_Вводные'!$B$14,0)</f>
        <v/>
      </c>
      <c r="U3453">
        <f>IF('01_Вводные'!$B$234="Да",'19_Расчет_аналитики'!T3452*'01_Вводные'!$B$14,0)</f>
        <v/>
      </c>
      <c r="V3453">
        <f>IF('01_Вводные'!$B$234="Да",'19_Расчет_аналитики'!U3452*'01_Вводные'!$B$14,0)</f>
        <v/>
      </c>
      <c r="W3453">
        <f>IF('01_Вводные'!$B$234="Да",'19_Расчет_аналитики'!V3452*'01_Вводные'!$B$14,0)</f>
        <v/>
      </c>
      <c r="X3453">
        <f>IF('01_Вводные'!$B$234="Да",'19_Расчет_аналитики'!W3452*'01_Вводные'!$B$14,0)</f>
        <v/>
      </c>
      <c r="Y3453">
        <f>IF('01_Вводные'!$B$234="Да",'19_Расчет_аналитики'!X3452*'01_Вводные'!$B$14,0)</f>
        <v/>
      </c>
      <c r="Z3453">
        <f>IF('01_Вводные'!$B$234="Да",'19_Расчет_аналитики'!Y3452*'01_Вводные'!$B$14,0)</f>
        <v/>
      </c>
      <c r="AA3453">
        <f>IF('01_Вводные'!$B$234="Да",'19_Расчет_аналитики'!Z3452*'01_Вводные'!$B$14,0)</f>
        <v/>
      </c>
      <c r="AB3453">
        <f>IF('01_Вводные'!$B$234="Да",'19_Расчет_аналитики'!AA3452*'01_Вводные'!$B$14,0)</f>
        <v/>
      </c>
      <c r="AC3453">
        <f>IF('01_Вводные'!$B$234="Да",'19_Расчет_аналитики'!AB3452*'01_Вводные'!$B$14,0)</f>
        <v/>
      </c>
      <c r="AD3453">
        <f>IF('01_Вводные'!$B$234="Да",'19_Расчет_аналитики'!AC3452*'01_Вводные'!$B$14,0)</f>
        <v/>
      </c>
      <c r="AE3453">
        <f>IF('01_Вводные'!$B$234="Да",'19_Расчет_аналитики'!AD3452*'01_Вводные'!$B$14,0)</f>
        <v/>
      </c>
      <c r="AF3453">
        <f>IF('01_Вводные'!$B$234="Да",'19_Расчет_аналитики'!AE3452*'01_Вводные'!$B$14,0)</f>
        <v/>
      </c>
      <c r="AG3453">
        <f>IF('01_Вводные'!$B$234="Да",'19_Расчет_аналитики'!AF3452*'01_Вводные'!$B$14,0)</f>
        <v/>
      </c>
      <c r="AH3453">
        <f>IF('01_Вводные'!$B$234="Да",'19_Расчет_аналитики'!AG3452*'01_Вводные'!$B$14,0)</f>
        <v/>
      </c>
      <c r="AI3453">
        <f>IF('01_Вводные'!$B$234="Да",'19_Расчет_аналитики'!AH3452*'01_Вводные'!$B$14,0)</f>
        <v/>
      </c>
      <c r="AJ3453">
        <f>IF('01_Вводные'!$B$234="Да",'19_Расчет_аналитики'!AI3452*'01_Вводные'!$B$14,0)</f>
        <v/>
      </c>
      <c r="AK3453">
        <f>IF('01_Вводные'!$B$234="Да",'19_Расчет_аналитики'!AJ3452*'01_Вводные'!$B$14,0)</f>
        <v/>
      </c>
      <c r="AL3453">
        <f>IF('01_Вводные'!$B$234="Да",'19_Расчет_аналитики'!AK3452*'01_Вводные'!$B$14,0)</f>
        <v/>
      </c>
      <c r="AM3453">
        <f>IF('01_Вводные'!$B$234="Да",'19_Расчет_аналитики'!AL3452*'01_Вводные'!$B$14,0)</f>
        <v/>
      </c>
      <c r="AN3453">
        <f>IF('01_Вводные'!$B$234="Да",'19_Расчет_аналитики'!AM3452*'01_Вводные'!$B$14,0)</f>
        <v/>
      </c>
      <c r="AO3453">
        <f>IF('01_Вводные'!$B$234="Да",'19_Расчет_аналитики'!AN3452*'01_Вводные'!$B$14,0)</f>
        <v/>
      </c>
      <c r="AP3453">
        <f>IF('01_Вводные'!$B$234="Да",'19_Расчет_аналитики'!AO3452*'01_Вводные'!$B$14,0)</f>
        <v/>
      </c>
      <c r="AQ3453">
        <f>IF('01_Вводные'!$B$234="Да",'19_Расчет_аналитики'!AP3452*'01_Вводные'!$B$14,0)</f>
        <v/>
      </c>
      <c r="AR3453">
        <f>IF('01_Вводные'!$B$234="Да",'19_Расчет_аналитики'!AQ3452*'01_Вводные'!$B$14,0)</f>
        <v/>
      </c>
      <c r="AS3453">
        <f>IF('01_Вводные'!$B$234="Да",'19_Расчет_аналитики'!AR3452*'01_Вводные'!$B$14,0)</f>
        <v/>
      </c>
      <c r="AT3453">
        <f>IF('01_Вводные'!$B$234="Да",'19_Расчет_аналитики'!AS3452*'01_Вводные'!$B$14,0)</f>
        <v/>
      </c>
      <c r="AU3453">
        <f>IF('01_Вводные'!$B$234="Да",'19_Расчет_аналитики'!AT3452*'01_Вводные'!$B$14,0)</f>
        <v/>
      </c>
      <c r="AV3453">
        <f>IF('01_Вводные'!$B$234="Да",'19_Расчет_аналитики'!AU3452*'01_Вводные'!$B$14,0)</f>
        <v/>
      </c>
      <c r="AW3453">
        <f>IF('01_Вводные'!$B$234="Да",'19_Расчет_аналитики'!AV3452*'01_Вводные'!$B$14,0)</f>
        <v/>
      </c>
      <c r="AX3453">
        <f>IF('01_Вводные'!$B$234="Да",'19_Расчет_аналитики'!AW3452*'01_Вводные'!$B$14,0)</f>
        <v/>
      </c>
      <c r="AY3453">
        <f>IF('01_Вводные'!$B$234="Да",'19_Расчет_аналитики'!AX3452*'01_Вводные'!$B$14,0)</f>
        <v/>
      </c>
      <c r="AZ3453">
        <f>IF('01_Вводные'!$B$234="Да",'19_Расчет_аналитики'!AY3452*'01_Вводные'!$B$14,0)</f>
        <v/>
      </c>
      <c r="BA3453">
        <f>IF('01_Вводные'!$B$234="Да",'19_Расчет_аналитики'!AZ3452*'01_Вводные'!$B$14,0)</f>
        <v/>
      </c>
      <c r="BB3453">
        <f>IF('01_Вводные'!$B$234="Да",'19_Расчет_аналитики'!BA3452*'01_Вводные'!$B$14,0)</f>
        <v/>
      </c>
      <c r="BC3453">
        <f>IF('01_Вводные'!$B$234="Да",'19_Расчет_аналитики'!BB3452*'01_Вводные'!$B$14,0)</f>
        <v/>
      </c>
      <c r="BD3453">
        <f>IF('01_Вводные'!$B$234="Да",'19_Расчет_аналитики'!BC3452*'01_Вводные'!$B$14,0)</f>
        <v/>
      </c>
      <c r="BE3453">
        <f>IF('01_Вводные'!$B$234="Да",'19_Расчет_аналитики'!BD3452*'01_Вводные'!$B$14,0)</f>
        <v/>
      </c>
      <c r="BF3453">
        <f>IF('01_Вводные'!$B$234="Да",'19_Расчет_аналитики'!BE3452*'01_Вводные'!$B$14,0)</f>
        <v/>
      </c>
      <c r="BG3453">
        <f>IF('01_Вводные'!$B$234="Да",'19_Расчет_аналитики'!BF3452*'01_Вводные'!$B$14,0)</f>
        <v/>
      </c>
      <c r="BH3453">
        <f>IF('01_Вводные'!$B$234="Да",'19_Расчет_аналитики'!BG3452*'01_Вводные'!$B$14,0)</f>
        <v/>
      </c>
      <c r="BI3453">
        <f>IF('01_Вводные'!$B$234="Да",'19_Расчет_аналитики'!BH3452*'01_Вводные'!$B$14,0)</f>
        <v/>
      </c>
      <c r="BJ3453">
        <f>IF('01_Вводные'!$B$234="Да",'19_Расчет_аналитики'!BI3452*'01_Вводные'!$B$14,0)</f>
        <v/>
      </c>
      <c r="BK3453">
        <f>IF('01_Вводные'!$B$234="Да",'19_Расчет_аналитики'!BJ3452*'01_Вводные'!$B$14,0)</f>
        <v/>
      </c>
      <c r="BL3453">
        <f>IF('01_Вводные'!$B$234="Да",'19_Расчет_аналитики'!BK3452*'01_Вводные'!$B$14,0)</f>
        <v/>
      </c>
      <c r="BM3453">
        <f>IF('01_Вводные'!$B$234="Да",'19_Расчет_аналитики'!BL3452*'01_Вводные'!$B$14,0)</f>
        <v/>
      </c>
      <c r="BN3453">
        <f>IF('01_Вводные'!$B$234="Да",'19_Расчет_аналитики'!BM3452*'01_Вводные'!$B$14,0)</f>
        <v/>
      </c>
      <c r="BO3453">
        <f>IF('01_Вводные'!$B$234="Да",'19_Расчет_аналитики'!BN3452*'01_Вводные'!$B$14,0)</f>
        <v/>
      </c>
    </row>
    <row r="3454">
      <c r="B3454">
        <f>'06_Сеть_и_дети'!B63</f>
        <v/>
      </c>
      <c r="C3454">
        <f>'06_Сеть_и_дети'!C63</f>
        <v/>
      </c>
      <c r="D3454">
        <f>'06_Сеть_и_дети'!D63</f>
        <v/>
      </c>
      <c r="E3454">
        <f>'06_Сеть_и_дети'!E63</f>
        <v/>
      </c>
      <c r="F3454">
        <f>'06_Сеть_и_дети'!F63</f>
        <v/>
      </c>
      <c r="G3454">
        <f>'06_Сеть_и_дети'!G63</f>
        <v/>
      </c>
      <c r="H3454">
        <f>'06_Сеть_и_дети'!H63</f>
        <v/>
      </c>
      <c r="I3454">
        <f>'06_Сеть_и_дети'!I63</f>
        <v/>
      </c>
      <c r="J3454">
        <f>'06_Сеть_и_дети'!J63</f>
        <v/>
      </c>
      <c r="K3454">
        <f>'06_Сеть_и_дети'!K63</f>
        <v/>
      </c>
      <c r="L3454">
        <f>IF('01_Вводные'!$B$234="Да",'19_Расчет_аналитики'!K3453*'01_Вводные'!$B$14,0)</f>
        <v/>
      </c>
      <c r="M3454">
        <f>IF('01_Вводные'!$B$234="Да",'19_Расчет_аналитики'!L3453*'01_Вводные'!$B$14,0)</f>
        <v/>
      </c>
      <c r="N3454">
        <f>IF('01_Вводные'!$B$234="Да",'19_Расчет_аналитики'!M3453*'01_Вводные'!$B$14,0)</f>
        <v/>
      </c>
      <c r="O3454">
        <f>IF('01_Вводные'!$B$234="Да",'19_Расчет_аналитики'!N3453*'01_Вводные'!$B$14,0)</f>
        <v/>
      </c>
      <c r="P3454">
        <f>IF('01_Вводные'!$B$234="Да",'19_Расчет_аналитики'!O3453*'01_Вводные'!$B$14,0)</f>
        <v/>
      </c>
      <c r="Q3454">
        <f>IF('01_Вводные'!$B$234="Да",'19_Расчет_аналитики'!P3453*'01_Вводные'!$B$14,0)</f>
        <v/>
      </c>
      <c r="R3454">
        <f>IF('01_Вводные'!$B$234="Да",'19_Расчет_аналитики'!Q3453*'01_Вводные'!$B$14,0)</f>
        <v/>
      </c>
      <c r="S3454">
        <f>IF('01_Вводные'!$B$234="Да",'19_Расчет_аналитики'!R3453*'01_Вводные'!$B$14,0)</f>
        <v/>
      </c>
      <c r="T3454">
        <f>IF('01_Вводные'!$B$234="Да",'19_Расчет_аналитики'!S3453*'01_Вводные'!$B$14,0)</f>
        <v/>
      </c>
      <c r="U3454">
        <f>IF('01_Вводные'!$B$234="Да",'19_Расчет_аналитики'!T3453*'01_Вводные'!$B$14,0)</f>
        <v/>
      </c>
      <c r="V3454">
        <f>IF('01_Вводные'!$B$234="Да",'19_Расчет_аналитики'!U3453*'01_Вводные'!$B$14,0)</f>
        <v/>
      </c>
      <c r="W3454">
        <f>IF('01_Вводные'!$B$234="Да",'19_Расчет_аналитики'!V3453*'01_Вводные'!$B$14,0)</f>
        <v/>
      </c>
      <c r="X3454">
        <f>IF('01_Вводные'!$B$234="Да",'19_Расчет_аналитики'!W3453*'01_Вводные'!$B$14,0)</f>
        <v/>
      </c>
      <c r="Y3454">
        <f>IF('01_Вводные'!$B$234="Да",'19_Расчет_аналитики'!X3453*'01_Вводные'!$B$14,0)</f>
        <v/>
      </c>
      <c r="Z3454">
        <f>IF('01_Вводные'!$B$234="Да",'19_Расчет_аналитики'!Y3453*'01_Вводные'!$B$14,0)</f>
        <v/>
      </c>
      <c r="AA3454">
        <f>IF('01_Вводные'!$B$234="Да",'19_Расчет_аналитики'!Z3453*'01_Вводные'!$B$14,0)</f>
        <v/>
      </c>
      <c r="AB3454">
        <f>IF('01_Вводные'!$B$234="Да",'19_Расчет_аналитики'!AA3453*'01_Вводные'!$B$14,0)</f>
        <v/>
      </c>
      <c r="AC3454">
        <f>IF('01_Вводные'!$B$234="Да",'19_Расчет_аналитики'!AB3453*'01_Вводные'!$B$14,0)</f>
        <v/>
      </c>
      <c r="AD3454">
        <f>IF('01_Вводные'!$B$234="Да",'19_Расчет_аналитики'!AC3453*'01_Вводные'!$B$14,0)</f>
        <v/>
      </c>
      <c r="AE3454">
        <f>IF('01_Вводные'!$B$234="Да",'19_Расчет_аналитики'!AD3453*'01_Вводные'!$B$14,0)</f>
        <v/>
      </c>
      <c r="AF3454">
        <f>IF('01_Вводные'!$B$234="Да",'19_Расчет_аналитики'!AE3453*'01_Вводные'!$B$14,0)</f>
        <v/>
      </c>
      <c r="AG3454">
        <f>IF('01_Вводные'!$B$234="Да",'19_Расчет_аналитики'!AF3453*'01_Вводные'!$B$14,0)</f>
        <v/>
      </c>
      <c r="AH3454">
        <f>IF('01_Вводные'!$B$234="Да",'19_Расчет_аналитики'!AG3453*'01_Вводные'!$B$14,0)</f>
        <v/>
      </c>
      <c r="AI3454">
        <f>IF('01_Вводные'!$B$234="Да",'19_Расчет_аналитики'!AH3453*'01_Вводные'!$B$14,0)</f>
        <v/>
      </c>
      <c r="AJ3454">
        <f>IF('01_Вводные'!$B$234="Да",'19_Расчет_аналитики'!AI3453*'01_Вводные'!$B$14,0)</f>
        <v/>
      </c>
      <c r="AK3454">
        <f>IF('01_Вводные'!$B$234="Да",'19_Расчет_аналитики'!AJ3453*'01_Вводные'!$B$14,0)</f>
        <v/>
      </c>
      <c r="AL3454">
        <f>IF('01_Вводные'!$B$234="Да",'19_Расчет_аналитики'!AK3453*'01_Вводные'!$B$14,0)</f>
        <v/>
      </c>
      <c r="AM3454">
        <f>IF('01_Вводные'!$B$234="Да",'19_Расчет_аналитики'!AL3453*'01_Вводные'!$B$14,0)</f>
        <v/>
      </c>
      <c r="AN3454">
        <f>IF('01_Вводные'!$B$234="Да",'19_Расчет_аналитики'!AM3453*'01_Вводные'!$B$14,0)</f>
        <v/>
      </c>
      <c r="AO3454">
        <f>IF('01_Вводные'!$B$234="Да",'19_Расчет_аналитики'!AN3453*'01_Вводные'!$B$14,0)</f>
        <v/>
      </c>
      <c r="AP3454">
        <f>IF('01_Вводные'!$B$234="Да",'19_Расчет_аналитики'!AO3453*'01_Вводные'!$B$14,0)</f>
        <v/>
      </c>
      <c r="AQ3454">
        <f>IF('01_Вводные'!$B$234="Да",'19_Расчет_аналитики'!AP3453*'01_Вводные'!$B$14,0)</f>
        <v/>
      </c>
      <c r="AR3454">
        <f>IF('01_Вводные'!$B$234="Да",'19_Расчет_аналитики'!AQ3453*'01_Вводные'!$B$14,0)</f>
        <v/>
      </c>
      <c r="AS3454">
        <f>IF('01_Вводные'!$B$234="Да",'19_Расчет_аналитики'!AR3453*'01_Вводные'!$B$14,0)</f>
        <v/>
      </c>
      <c r="AT3454">
        <f>IF('01_Вводные'!$B$234="Да",'19_Расчет_аналитики'!AS3453*'01_Вводные'!$B$14,0)</f>
        <v/>
      </c>
      <c r="AU3454">
        <f>IF('01_Вводные'!$B$234="Да",'19_Расчет_аналитики'!AT3453*'01_Вводные'!$B$14,0)</f>
        <v/>
      </c>
      <c r="AV3454">
        <f>IF('01_Вводные'!$B$234="Да",'19_Расчет_аналитики'!AU3453*'01_Вводные'!$B$14,0)</f>
        <v/>
      </c>
      <c r="AW3454">
        <f>IF('01_Вводные'!$B$234="Да",'19_Расчет_аналитики'!AV3453*'01_Вводные'!$B$14,0)</f>
        <v/>
      </c>
      <c r="AX3454">
        <f>IF('01_Вводные'!$B$234="Да",'19_Расчет_аналитики'!AW3453*'01_Вводные'!$B$14,0)</f>
        <v/>
      </c>
      <c r="AY3454">
        <f>IF('01_Вводные'!$B$234="Да",'19_Расчет_аналитики'!AX3453*'01_Вводные'!$B$14,0)</f>
        <v/>
      </c>
      <c r="AZ3454">
        <f>IF('01_Вводные'!$B$234="Да",'19_Расчет_аналитики'!AY3453*'01_Вводные'!$B$14,0)</f>
        <v/>
      </c>
      <c r="BA3454">
        <f>IF('01_Вводные'!$B$234="Да",'19_Расчет_аналитики'!AZ3453*'01_Вводные'!$B$14,0)</f>
        <v/>
      </c>
      <c r="BB3454">
        <f>IF('01_Вводные'!$B$234="Да",'19_Расчет_аналитики'!BA3453*'01_Вводные'!$B$14,0)</f>
        <v/>
      </c>
      <c r="BC3454">
        <f>IF('01_Вводные'!$B$234="Да",'19_Расчет_аналитики'!BB3453*'01_Вводные'!$B$14,0)</f>
        <v/>
      </c>
      <c r="BD3454">
        <f>IF('01_Вводные'!$B$234="Да",'19_Расчет_аналитики'!BC3453*'01_Вводные'!$B$14,0)</f>
        <v/>
      </c>
      <c r="BE3454">
        <f>IF('01_Вводные'!$B$234="Да",'19_Расчет_аналитики'!BD3453*'01_Вводные'!$B$14,0)</f>
        <v/>
      </c>
      <c r="BF3454">
        <f>IF('01_Вводные'!$B$234="Да",'19_Расчет_аналитики'!BE3453*'01_Вводные'!$B$14,0)</f>
        <v/>
      </c>
      <c r="BG3454">
        <f>IF('01_Вводные'!$B$234="Да",'19_Расчет_аналитики'!BF3453*'01_Вводные'!$B$14,0)</f>
        <v/>
      </c>
      <c r="BH3454">
        <f>IF('01_Вводные'!$B$234="Да",'19_Расчет_аналитики'!BG3453*'01_Вводные'!$B$14,0)</f>
        <v/>
      </c>
      <c r="BI3454">
        <f>IF('01_Вводные'!$B$234="Да",'19_Расчет_аналитики'!BH3453*'01_Вводные'!$B$14,0)</f>
        <v/>
      </c>
      <c r="BJ3454">
        <f>IF('01_Вводные'!$B$234="Да",'19_Расчет_аналитики'!BI3453*'01_Вводные'!$B$14,0)</f>
        <v/>
      </c>
      <c r="BK3454">
        <f>IF('01_Вводные'!$B$234="Да",'19_Расчет_аналитики'!BJ3453*'01_Вводные'!$B$14,0)</f>
        <v/>
      </c>
      <c r="BL3454">
        <f>IF('01_Вводные'!$B$234="Да",'19_Расчет_аналитики'!BK3453*'01_Вводные'!$B$14,0)</f>
        <v/>
      </c>
      <c r="BM3454">
        <f>IF('01_Вводные'!$B$234="Да",'19_Расчет_аналитики'!BL3453*'01_Вводные'!$B$14,0)</f>
        <v/>
      </c>
      <c r="BN3454">
        <f>IF('01_Вводные'!$B$234="Да",'19_Расчет_аналитики'!BM3453*'01_Вводные'!$B$14,0)</f>
        <v/>
      </c>
      <c r="BO3454">
        <f>IF('01_Вводные'!$B$234="Да",'19_Расчет_аналитики'!BN3453*'01_Вводные'!$B$14,0)</f>
        <v/>
      </c>
    </row>
    <row r="3455">
      <c r="B3455">
        <f>'06_Сеть_и_дети'!B64</f>
        <v/>
      </c>
      <c r="C3455">
        <f>'06_Сеть_и_дети'!C64</f>
        <v/>
      </c>
      <c r="D3455">
        <f>'06_Сеть_и_дети'!D64</f>
        <v/>
      </c>
      <c r="E3455">
        <f>'06_Сеть_и_дети'!E64</f>
        <v/>
      </c>
      <c r="F3455">
        <f>'06_Сеть_и_дети'!F64</f>
        <v/>
      </c>
      <c r="G3455">
        <f>'06_Сеть_и_дети'!G64</f>
        <v/>
      </c>
      <c r="H3455">
        <f>'06_Сеть_и_дети'!H64</f>
        <v/>
      </c>
      <c r="I3455">
        <f>'06_Сеть_и_дети'!I64</f>
        <v/>
      </c>
      <c r="J3455">
        <f>'06_Сеть_и_дети'!J64</f>
        <v/>
      </c>
      <c r="K3455">
        <f>'06_Сеть_и_дети'!K64</f>
        <v/>
      </c>
      <c r="L3455">
        <f>'06_Сеть_и_дети'!L64</f>
        <v/>
      </c>
      <c r="M3455">
        <f>IF('01_Вводные'!$B$234="Да",'19_Расчет_аналитики'!L3454*'01_Вводные'!$B$14,0)</f>
        <v/>
      </c>
      <c r="N3455">
        <f>IF('01_Вводные'!$B$234="Да",'19_Расчет_аналитики'!M3454*'01_Вводные'!$B$14,0)</f>
        <v/>
      </c>
      <c r="O3455">
        <f>IF('01_Вводные'!$B$234="Да",'19_Расчет_аналитики'!N3454*'01_Вводные'!$B$14,0)</f>
        <v/>
      </c>
      <c r="P3455">
        <f>IF('01_Вводные'!$B$234="Да",'19_Расчет_аналитики'!O3454*'01_Вводные'!$B$14,0)</f>
        <v/>
      </c>
      <c r="Q3455">
        <f>IF('01_Вводные'!$B$234="Да",'19_Расчет_аналитики'!P3454*'01_Вводные'!$B$14,0)</f>
        <v/>
      </c>
      <c r="R3455">
        <f>IF('01_Вводные'!$B$234="Да",'19_Расчет_аналитики'!Q3454*'01_Вводные'!$B$14,0)</f>
        <v/>
      </c>
      <c r="S3455">
        <f>IF('01_Вводные'!$B$234="Да",'19_Расчет_аналитики'!R3454*'01_Вводные'!$B$14,0)</f>
        <v/>
      </c>
      <c r="T3455">
        <f>IF('01_Вводные'!$B$234="Да",'19_Расчет_аналитики'!S3454*'01_Вводные'!$B$14,0)</f>
        <v/>
      </c>
      <c r="U3455">
        <f>IF('01_Вводные'!$B$234="Да",'19_Расчет_аналитики'!T3454*'01_Вводные'!$B$14,0)</f>
        <v/>
      </c>
      <c r="V3455">
        <f>IF('01_Вводные'!$B$234="Да",'19_Расчет_аналитики'!U3454*'01_Вводные'!$B$14,0)</f>
        <v/>
      </c>
      <c r="W3455">
        <f>IF('01_Вводные'!$B$234="Да",'19_Расчет_аналитики'!V3454*'01_Вводные'!$B$14,0)</f>
        <v/>
      </c>
      <c r="X3455">
        <f>IF('01_Вводные'!$B$234="Да",'19_Расчет_аналитики'!W3454*'01_Вводные'!$B$14,0)</f>
        <v/>
      </c>
      <c r="Y3455">
        <f>IF('01_Вводные'!$B$234="Да",'19_Расчет_аналитики'!X3454*'01_Вводные'!$B$14,0)</f>
        <v/>
      </c>
      <c r="Z3455">
        <f>IF('01_Вводные'!$B$234="Да",'19_Расчет_аналитики'!Y3454*'01_Вводные'!$B$14,0)</f>
        <v/>
      </c>
      <c r="AA3455">
        <f>IF('01_Вводные'!$B$234="Да",'19_Расчет_аналитики'!Z3454*'01_Вводные'!$B$14,0)</f>
        <v/>
      </c>
      <c r="AB3455">
        <f>IF('01_Вводные'!$B$234="Да",'19_Расчет_аналитики'!AA3454*'01_Вводные'!$B$14,0)</f>
        <v/>
      </c>
      <c r="AC3455">
        <f>IF('01_Вводные'!$B$234="Да",'19_Расчет_аналитики'!AB3454*'01_Вводные'!$B$14,0)</f>
        <v/>
      </c>
      <c r="AD3455">
        <f>IF('01_Вводные'!$B$234="Да",'19_Расчет_аналитики'!AC3454*'01_Вводные'!$B$14,0)</f>
        <v/>
      </c>
      <c r="AE3455">
        <f>IF('01_Вводные'!$B$234="Да",'19_Расчет_аналитики'!AD3454*'01_Вводные'!$B$14,0)</f>
        <v/>
      </c>
      <c r="AF3455">
        <f>IF('01_Вводные'!$B$234="Да",'19_Расчет_аналитики'!AE3454*'01_Вводные'!$B$14,0)</f>
        <v/>
      </c>
      <c r="AG3455">
        <f>IF('01_Вводные'!$B$234="Да",'19_Расчет_аналитики'!AF3454*'01_Вводные'!$B$14,0)</f>
        <v/>
      </c>
      <c r="AH3455">
        <f>IF('01_Вводные'!$B$234="Да",'19_Расчет_аналитики'!AG3454*'01_Вводные'!$B$14,0)</f>
        <v/>
      </c>
      <c r="AI3455">
        <f>IF('01_Вводные'!$B$234="Да",'19_Расчет_аналитики'!AH3454*'01_Вводные'!$B$14,0)</f>
        <v/>
      </c>
      <c r="AJ3455">
        <f>IF('01_Вводные'!$B$234="Да",'19_Расчет_аналитики'!AI3454*'01_Вводные'!$B$14,0)</f>
        <v/>
      </c>
      <c r="AK3455">
        <f>IF('01_Вводные'!$B$234="Да",'19_Расчет_аналитики'!AJ3454*'01_Вводные'!$B$14,0)</f>
        <v/>
      </c>
      <c r="AL3455">
        <f>IF('01_Вводные'!$B$234="Да",'19_Расчет_аналитики'!AK3454*'01_Вводные'!$B$14,0)</f>
        <v/>
      </c>
      <c r="AM3455">
        <f>IF('01_Вводные'!$B$234="Да",'19_Расчет_аналитики'!AL3454*'01_Вводные'!$B$14,0)</f>
        <v/>
      </c>
      <c r="AN3455">
        <f>IF('01_Вводные'!$B$234="Да",'19_Расчет_аналитики'!AM3454*'01_Вводные'!$B$14,0)</f>
        <v/>
      </c>
      <c r="AO3455">
        <f>IF('01_Вводные'!$B$234="Да",'19_Расчет_аналитики'!AN3454*'01_Вводные'!$B$14,0)</f>
        <v/>
      </c>
      <c r="AP3455">
        <f>IF('01_Вводные'!$B$234="Да",'19_Расчет_аналитики'!AO3454*'01_Вводные'!$B$14,0)</f>
        <v/>
      </c>
      <c r="AQ3455">
        <f>IF('01_Вводные'!$B$234="Да",'19_Расчет_аналитики'!AP3454*'01_Вводные'!$B$14,0)</f>
        <v/>
      </c>
      <c r="AR3455">
        <f>IF('01_Вводные'!$B$234="Да",'19_Расчет_аналитики'!AQ3454*'01_Вводные'!$B$14,0)</f>
        <v/>
      </c>
      <c r="AS3455">
        <f>IF('01_Вводные'!$B$234="Да",'19_Расчет_аналитики'!AR3454*'01_Вводные'!$B$14,0)</f>
        <v/>
      </c>
      <c r="AT3455">
        <f>IF('01_Вводные'!$B$234="Да",'19_Расчет_аналитики'!AS3454*'01_Вводные'!$B$14,0)</f>
        <v/>
      </c>
      <c r="AU3455">
        <f>IF('01_Вводные'!$B$234="Да",'19_Расчет_аналитики'!AT3454*'01_Вводные'!$B$14,0)</f>
        <v/>
      </c>
      <c r="AV3455">
        <f>IF('01_Вводные'!$B$234="Да",'19_Расчет_аналитики'!AU3454*'01_Вводные'!$B$14,0)</f>
        <v/>
      </c>
      <c r="AW3455">
        <f>IF('01_Вводные'!$B$234="Да",'19_Расчет_аналитики'!AV3454*'01_Вводные'!$B$14,0)</f>
        <v/>
      </c>
      <c r="AX3455">
        <f>IF('01_Вводные'!$B$234="Да",'19_Расчет_аналитики'!AW3454*'01_Вводные'!$B$14,0)</f>
        <v/>
      </c>
      <c r="AY3455">
        <f>IF('01_Вводные'!$B$234="Да",'19_Расчет_аналитики'!AX3454*'01_Вводные'!$B$14,0)</f>
        <v/>
      </c>
      <c r="AZ3455">
        <f>IF('01_Вводные'!$B$234="Да",'19_Расчет_аналитики'!AY3454*'01_Вводные'!$B$14,0)</f>
        <v/>
      </c>
      <c r="BA3455">
        <f>IF('01_Вводные'!$B$234="Да",'19_Расчет_аналитики'!AZ3454*'01_Вводные'!$B$14,0)</f>
        <v/>
      </c>
      <c r="BB3455">
        <f>IF('01_Вводные'!$B$234="Да",'19_Расчет_аналитики'!BA3454*'01_Вводные'!$B$14,0)</f>
        <v/>
      </c>
      <c r="BC3455">
        <f>IF('01_Вводные'!$B$234="Да",'19_Расчет_аналитики'!BB3454*'01_Вводные'!$B$14,0)</f>
        <v/>
      </c>
      <c r="BD3455">
        <f>IF('01_Вводные'!$B$234="Да",'19_Расчет_аналитики'!BC3454*'01_Вводные'!$B$14,0)</f>
        <v/>
      </c>
      <c r="BE3455">
        <f>IF('01_Вводные'!$B$234="Да",'19_Расчет_аналитики'!BD3454*'01_Вводные'!$B$14,0)</f>
        <v/>
      </c>
      <c r="BF3455">
        <f>IF('01_Вводные'!$B$234="Да",'19_Расчет_аналитики'!BE3454*'01_Вводные'!$B$14,0)</f>
        <v/>
      </c>
      <c r="BG3455">
        <f>IF('01_Вводные'!$B$234="Да",'19_Расчет_аналитики'!BF3454*'01_Вводные'!$B$14,0)</f>
        <v/>
      </c>
      <c r="BH3455">
        <f>IF('01_Вводные'!$B$234="Да",'19_Расчет_аналитики'!BG3454*'01_Вводные'!$B$14,0)</f>
        <v/>
      </c>
      <c r="BI3455">
        <f>IF('01_Вводные'!$B$234="Да",'19_Расчет_аналитики'!BH3454*'01_Вводные'!$B$14,0)</f>
        <v/>
      </c>
      <c r="BJ3455">
        <f>IF('01_Вводные'!$B$234="Да",'19_Расчет_аналитики'!BI3454*'01_Вводные'!$B$14,0)</f>
        <v/>
      </c>
      <c r="BK3455">
        <f>IF('01_Вводные'!$B$234="Да",'19_Расчет_аналитики'!BJ3454*'01_Вводные'!$B$14,0)</f>
        <v/>
      </c>
      <c r="BL3455">
        <f>IF('01_Вводные'!$B$234="Да",'19_Расчет_аналитики'!BK3454*'01_Вводные'!$B$14,0)</f>
        <v/>
      </c>
      <c r="BM3455">
        <f>IF('01_Вводные'!$B$234="Да",'19_Расчет_аналитики'!BL3454*'01_Вводные'!$B$14,0)</f>
        <v/>
      </c>
      <c r="BN3455">
        <f>IF('01_Вводные'!$B$234="Да",'19_Расчет_аналитики'!BM3454*'01_Вводные'!$B$14,0)</f>
        <v/>
      </c>
      <c r="BO3455">
        <f>IF('01_Вводные'!$B$234="Да",'19_Расчет_аналитики'!BN3454*'01_Вводные'!$B$14,0)</f>
        <v/>
      </c>
    </row>
    <row r="3456">
      <c r="B3456">
        <f>'06_Сеть_и_дети'!B65</f>
        <v/>
      </c>
      <c r="C3456">
        <f>'06_Сеть_и_дети'!C65</f>
        <v/>
      </c>
      <c r="D3456">
        <f>'06_Сеть_и_дети'!D65</f>
        <v/>
      </c>
      <c r="E3456">
        <f>'06_Сеть_и_дети'!E65</f>
        <v/>
      </c>
      <c r="F3456">
        <f>'06_Сеть_и_дети'!F65</f>
        <v/>
      </c>
      <c r="G3456">
        <f>'06_Сеть_и_дети'!G65</f>
        <v/>
      </c>
      <c r="H3456">
        <f>'06_Сеть_и_дети'!H65</f>
        <v/>
      </c>
      <c r="I3456">
        <f>'06_Сеть_и_дети'!I65</f>
        <v/>
      </c>
      <c r="J3456">
        <f>'06_Сеть_и_дети'!J65</f>
        <v/>
      </c>
      <c r="K3456">
        <f>'06_Сеть_и_дети'!K65</f>
        <v/>
      </c>
      <c r="L3456">
        <f>'06_Сеть_и_дети'!L65</f>
        <v/>
      </c>
      <c r="M3456">
        <f>'06_Сеть_и_дети'!M65</f>
        <v/>
      </c>
      <c r="N3456">
        <f>IF('01_Вводные'!$B$234="Да",'19_Расчет_аналитики'!M3455*'01_Вводные'!$B$14,0)</f>
        <v/>
      </c>
      <c r="O3456">
        <f>IF('01_Вводные'!$B$234="Да",'19_Расчет_аналитики'!N3455*'01_Вводные'!$B$14,0)</f>
        <v/>
      </c>
      <c r="P3456">
        <f>IF('01_Вводные'!$B$234="Да",'19_Расчет_аналитики'!O3455*'01_Вводные'!$B$14,0)</f>
        <v/>
      </c>
      <c r="Q3456">
        <f>IF('01_Вводные'!$B$234="Да",'19_Расчет_аналитики'!P3455*'01_Вводные'!$B$14,0)</f>
        <v/>
      </c>
      <c r="R3456">
        <f>IF('01_Вводные'!$B$234="Да",'19_Расчет_аналитики'!Q3455*'01_Вводные'!$B$14,0)</f>
        <v/>
      </c>
      <c r="S3456">
        <f>IF('01_Вводные'!$B$234="Да",'19_Расчет_аналитики'!R3455*'01_Вводные'!$B$14,0)</f>
        <v/>
      </c>
      <c r="T3456">
        <f>IF('01_Вводные'!$B$234="Да",'19_Расчет_аналитики'!S3455*'01_Вводные'!$B$14,0)</f>
        <v/>
      </c>
      <c r="U3456">
        <f>IF('01_Вводные'!$B$234="Да",'19_Расчет_аналитики'!T3455*'01_Вводные'!$B$14,0)</f>
        <v/>
      </c>
      <c r="V3456">
        <f>IF('01_Вводные'!$B$234="Да",'19_Расчет_аналитики'!U3455*'01_Вводные'!$B$14,0)</f>
        <v/>
      </c>
      <c r="W3456">
        <f>IF('01_Вводные'!$B$234="Да",'19_Расчет_аналитики'!V3455*'01_Вводные'!$B$14,0)</f>
        <v/>
      </c>
      <c r="X3456">
        <f>IF('01_Вводные'!$B$234="Да",'19_Расчет_аналитики'!W3455*'01_Вводные'!$B$14,0)</f>
        <v/>
      </c>
      <c r="Y3456">
        <f>IF('01_Вводные'!$B$234="Да",'19_Расчет_аналитики'!X3455*'01_Вводные'!$B$14,0)</f>
        <v/>
      </c>
      <c r="Z3456">
        <f>IF('01_Вводные'!$B$234="Да",'19_Расчет_аналитики'!Y3455*'01_Вводные'!$B$14,0)</f>
        <v/>
      </c>
      <c r="AA3456">
        <f>IF('01_Вводные'!$B$234="Да",'19_Расчет_аналитики'!Z3455*'01_Вводные'!$B$14,0)</f>
        <v/>
      </c>
      <c r="AB3456">
        <f>IF('01_Вводные'!$B$234="Да",'19_Расчет_аналитики'!AA3455*'01_Вводные'!$B$14,0)</f>
        <v/>
      </c>
      <c r="AC3456">
        <f>IF('01_Вводные'!$B$234="Да",'19_Расчет_аналитики'!AB3455*'01_Вводные'!$B$14,0)</f>
        <v/>
      </c>
      <c r="AD3456">
        <f>IF('01_Вводные'!$B$234="Да",'19_Расчет_аналитики'!AC3455*'01_Вводные'!$B$14,0)</f>
        <v/>
      </c>
      <c r="AE3456">
        <f>IF('01_Вводные'!$B$234="Да",'19_Расчет_аналитики'!AD3455*'01_Вводные'!$B$14,0)</f>
        <v/>
      </c>
      <c r="AF3456">
        <f>IF('01_Вводные'!$B$234="Да",'19_Расчет_аналитики'!AE3455*'01_Вводные'!$B$14,0)</f>
        <v/>
      </c>
      <c r="AG3456">
        <f>IF('01_Вводные'!$B$234="Да",'19_Расчет_аналитики'!AF3455*'01_Вводные'!$B$14,0)</f>
        <v/>
      </c>
      <c r="AH3456">
        <f>IF('01_Вводные'!$B$234="Да",'19_Расчет_аналитики'!AG3455*'01_Вводные'!$B$14,0)</f>
        <v/>
      </c>
      <c r="AI3456">
        <f>IF('01_Вводные'!$B$234="Да",'19_Расчет_аналитики'!AH3455*'01_Вводные'!$B$14,0)</f>
        <v/>
      </c>
      <c r="AJ3456">
        <f>IF('01_Вводные'!$B$234="Да",'19_Расчет_аналитики'!AI3455*'01_Вводные'!$B$14,0)</f>
        <v/>
      </c>
      <c r="AK3456">
        <f>IF('01_Вводные'!$B$234="Да",'19_Расчет_аналитики'!AJ3455*'01_Вводные'!$B$14,0)</f>
        <v/>
      </c>
      <c r="AL3456">
        <f>IF('01_Вводные'!$B$234="Да",'19_Расчет_аналитики'!AK3455*'01_Вводные'!$B$14,0)</f>
        <v/>
      </c>
      <c r="AM3456">
        <f>IF('01_Вводные'!$B$234="Да",'19_Расчет_аналитики'!AL3455*'01_Вводные'!$B$14,0)</f>
        <v/>
      </c>
      <c r="AN3456">
        <f>IF('01_Вводные'!$B$234="Да",'19_Расчет_аналитики'!AM3455*'01_Вводные'!$B$14,0)</f>
        <v/>
      </c>
      <c r="AO3456">
        <f>IF('01_Вводные'!$B$234="Да",'19_Расчет_аналитики'!AN3455*'01_Вводные'!$B$14,0)</f>
        <v/>
      </c>
      <c r="AP3456">
        <f>IF('01_Вводные'!$B$234="Да",'19_Расчет_аналитики'!AO3455*'01_Вводные'!$B$14,0)</f>
        <v/>
      </c>
      <c r="AQ3456">
        <f>IF('01_Вводные'!$B$234="Да",'19_Расчет_аналитики'!AP3455*'01_Вводные'!$B$14,0)</f>
        <v/>
      </c>
      <c r="AR3456">
        <f>IF('01_Вводные'!$B$234="Да",'19_Расчет_аналитики'!AQ3455*'01_Вводные'!$B$14,0)</f>
        <v/>
      </c>
      <c r="AS3456">
        <f>IF('01_Вводные'!$B$234="Да",'19_Расчет_аналитики'!AR3455*'01_Вводные'!$B$14,0)</f>
        <v/>
      </c>
      <c r="AT3456">
        <f>IF('01_Вводные'!$B$234="Да",'19_Расчет_аналитики'!AS3455*'01_Вводные'!$B$14,0)</f>
        <v/>
      </c>
      <c r="AU3456">
        <f>IF('01_Вводные'!$B$234="Да",'19_Расчет_аналитики'!AT3455*'01_Вводные'!$B$14,0)</f>
        <v/>
      </c>
      <c r="AV3456">
        <f>IF('01_Вводные'!$B$234="Да",'19_Расчет_аналитики'!AU3455*'01_Вводные'!$B$14,0)</f>
        <v/>
      </c>
      <c r="AW3456">
        <f>IF('01_Вводные'!$B$234="Да",'19_Расчет_аналитики'!AV3455*'01_Вводные'!$B$14,0)</f>
        <v/>
      </c>
      <c r="AX3456">
        <f>IF('01_Вводные'!$B$234="Да",'19_Расчет_аналитики'!AW3455*'01_Вводные'!$B$14,0)</f>
        <v/>
      </c>
      <c r="AY3456">
        <f>IF('01_Вводные'!$B$234="Да",'19_Расчет_аналитики'!AX3455*'01_Вводные'!$B$14,0)</f>
        <v/>
      </c>
      <c r="AZ3456">
        <f>IF('01_Вводные'!$B$234="Да",'19_Расчет_аналитики'!AY3455*'01_Вводные'!$B$14,0)</f>
        <v/>
      </c>
      <c r="BA3456">
        <f>IF('01_Вводные'!$B$234="Да",'19_Расчет_аналитики'!AZ3455*'01_Вводные'!$B$14,0)</f>
        <v/>
      </c>
      <c r="BB3456">
        <f>IF('01_Вводные'!$B$234="Да",'19_Расчет_аналитики'!BA3455*'01_Вводные'!$B$14,0)</f>
        <v/>
      </c>
      <c r="BC3456">
        <f>IF('01_Вводные'!$B$234="Да",'19_Расчет_аналитики'!BB3455*'01_Вводные'!$B$14,0)</f>
        <v/>
      </c>
      <c r="BD3456">
        <f>IF('01_Вводные'!$B$234="Да",'19_Расчет_аналитики'!BC3455*'01_Вводные'!$B$14,0)</f>
        <v/>
      </c>
      <c r="BE3456">
        <f>IF('01_Вводные'!$B$234="Да",'19_Расчет_аналитики'!BD3455*'01_Вводные'!$B$14,0)</f>
        <v/>
      </c>
      <c r="BF3456">
        <f>IF('01_Вводные'!$B$234="Да",'19_Расчет_аналитики'!BE3455*'01_Вводные'!$B$14,0)</f>
        <v/>
      </c>
      <c r="BG3456">
        <f>IF('01_Вводные'!$B$234="Да",'19_Расчет_аналитики'!BF3455*'01_Вводные'!$B$14,0)</f>
        <v/>
      </c>
      <c r="BH3456">
        <f>IF('01_Вводные'!$B$234="Да",'19_Расчет_аналитики'!BG3455*'01_Вводные'!$B$14,0)</f>
        <v/>
      </c>
      <c r="BI3456">
        <f>IF('01_Вводные'!$B$234="Да",'19_Расчет_аналитики'!BH3455*'01_Вводные'!$B$14,0)</f>
        <v/>
      </c>
      <c r="BJ3456">
        <f>IF('01_Вводные'!$B$234="Да",'19_Расчет_аналитики'!BI3455*'01_Вводные'!$B$14,0)</f>
        <v/>
      </c>
      <c r="BK3456">
        <f>IF('01_Вводные'!$B$234="Да",'19_Расчет_аналитики'!BJ3455*'01_Вводные'!$B$14,0)</f>
        <v/>
      </c>
      <c r="BL3456">
        <f>IF('01_Вводные'!$B$234="Да",'19_Расчет_аналитики'!BK3455*'01_Вводные'!$B$14,0)</f>
        <v/>
      </c>
      <c r="BM3456">
        <f>IF('01_Вводные'!$B$234="Да",'19_Расчет_аналитики'!BL3455*'01_Вводные'!$B$14,0)</f>
        <v/>
      </c>
      <c r="BN3456">
        <f>IF('01_Вводные'!$B$234="Да",'19_Расчет_аналитики'!BM3455*'01_Вводные'!$B$14,0)</f>
        <v/>
      </c>
      <c r="BO3456">
        <f>IF('01_Вводные'!$B$234="Да",'19_Расчет_аналитики'!BN3455*'01_Вводные'!$B$14,0)</f>
        <v/>
      </c>
    </row>
    <row r="3457">
      <c r="B3457">
        <f>'06_Сеть_и_дети'!B66</f>
        <v/>
      </c>
      <c r="C3457">
        <f>'06_Сеть_и_дети'!C66</f>
        <v/>
      </c>
      <c r="D3457">
        <f>'06_Сеть_и_дети'!D66</f>
        <v/>
      </c>
      <c r="E3457">
        <f>'06_Сеть_и_дети'!E66</f>
        <v/>
      </c>
      <c r="F3457">
        <f>'06_Сеть_и_дети'!F66</f>
        <v/>
      </c>
      <c r="G3457">
        <f>'06_Сеть_и_дети'!G66</f>
        <v/>
      </c>
      <c r="H3457">
        <f>'06_Сеть_и_дети'!H66</f>
        <v/>
      </c>
      <c r="I3457">
        <f>'06_Сеть_и_дети'!I66</f>
        <v/>
      </c>
      <c r="J3457">
        <f>'06_Сеть_и_дети'!J66</f>
        <v/>
      </c>
      <c r="K3457">
        <f>'06_Сеть_и_дети'!K66</f>
        <v/>
      </c>
      <c r="L3457">
        <f>'06_Сеть_и_дети'!L66</f>
        <v/>
      </c>
      <c r="M3457">
        <f>'06_Сеть_и_дети'!M66</f>
        <v/>
      </c>
      <c r="N3457">
        <f>'06_Сеть_и_дети'!N66</f>
        <v/>
      </c>
      <c r="O3457">
        <f>IF('01_Вводные'!$B$234="Да",'19_Расчет_аналитики'!N3456*'01_Вводные'!$B$14,0)</f>
        <v/>
      </c>
      <c r="P3457">
        <f>IF('01_Вводные'!$B$234="Да",'19_Расчет_аналитики'!O3456*'01_Вводные'!$B$14,0)</f>
        <v/>
      </c>
      <c r="Q3457">
        <f>IF('01_Вводные'!$B$234="Да",'19_Расчет_аналитики'!P3456*'01_Вводные'!$B$14,0)</f>
        <v/>
      </c>
      <c r="R3457">
        <f>IF('01_Вводные'!$B$234="Да",'19_Расчет_аналитики'!Q3456*'01_Вводные'!$B$14,0)</f>
        <v/>
      </c>
      <c r="S3457">
        <f>IF('01_Вводные'!$B$234="Да",'19_Расчет_аналитики'!R3456*'01_Вводные'!$B$14,0)</f>
        <v/>
      </c>
      <c r="T3457">
        <f>IF('01_Вводные'!$B$234="Да",'19_Расчет_аналитики'!S3456*'01_Вводные'!$B$14,0)</f>
        <v/>
      </c>
      <c r="U3457">
        <f>IF('01_Вводные'!$B$234="Да",'19_Расчет_аналитики'!T3456*'01_Вводные'!$B$14,0)</f>
        <v/>
      </c>
      <c r="V3457">
        <f>IF('01_Вводные'!$B$234="Да",'19_Расчет_аналитики'!U3456*'01_Вводные'!$B$14,0)</f>
        <v/>
      </c>
      <c r="W3457">
        <f>IF('01_Вводные'!$B$234="Да",'19_Расчет_аналитики'!V3456*'01_Вводные'!$B$14,0)</f>
        <v/>
      </c>
      <c r="X3457">
        <f>IF('01_Вводные'!$B$234="Да",'19_Расчет_аналитики'!W3456*'01_Вводные'!$B$14,0)</f>
        <v/>
      </c>
      <c r="Y3457">
        <f>IF('01_Вводные'!$B$234="Да",'19_Расчет_аналитики'!X3456*'01_Вводные'!$B$14,0)</f>
        <v/>
      </c>
      <c r="Z3457">
        <f>IF('01_Вводные'!$B$234="Да",'19_Расчет_аналитики'!Y3456*'01_Вводные'!$B$14,0)</f>
        <v/>
      </c>
      <c r="AA3457">
        <f>IF('01_Вводные'!$B$234="Да",'19_Расчет_аналитики'!Z3456*'01_Вводные'!$B$14,0)</f>
        <v/>
      </c>
      <c r="AB3457">
        <f>IF('01_Вводные'!$B$234="Да",'19_Расчет_аналитики'!AA3456*'01_Вводные'!$B$14,0)</f>
        <v/>
      </c>
      <c r="AC3457">
        <f>IF('01_Вводные'!$B$234="Да",'19_Расчет_аналитики'!AB3456*'01_Вводные'!$B$14,0)</f>
        <v/>
      </c>
      <c r="AD3457">
        <f>IF('01_Вводные'!$B$234="Да",'19_Расчет_аналитики'!AC3456*'01_Вводные'!$B$14,0)</f>
        <v/>
      </c>
      <c r="AE3457">
        <f>IF('01_Вводные'!$B$234="Да",'19_Расчет_аналитики'!AD3456*'01_Вводные'!$B$14,0)</f>
        <v/>
      </c>
      <c r="AF3457">
        <f>IF('01_Вводные'!$B$234="Да",'19_Расчет_аналитики'!AE3456*'01_Вводные'!$B$14,0)</f>
        <v/>
      </c>
      <c r="AG3457">
        <f>IF('01_Вводные'!$B$234="Да",'19_Расчет_аналитики'!AF3456*'01_Вводные'!$B$14,0)</f>
        <v/>
      </c>
      <c r="AH3457">
        <f>IF('01_Вводные'!$B$234="Да",'19_Расчет_аналитики'!AG3456*'01_Вводные'!$B$14,0)</f>
        <v/>
      </c>
      <c r="AI3457">
        <f>IF('01_Вводные'!$B$234="Да",'19_Расчет_аналитики'!AH3456*'01_Вводные'!$B$14,0)</f>
        <v/>
      </c>
      <c r="AJ3457">
        <f>IF('01_Вводные'!$B$234="Да",'19_Расчет_аналитики'!AI3456*'01_Вводные'!$B$14,0)</f>
        <v/>
      </c>
      <c r="AK3457">
        <f>IF('01_Вводные'!$B$234="Да",'19_Расчет_аналитики'!AJ3456*'01_Вводные'!$B$14,0)</f>
        <v/>
      </c>
      <c r="AL3457">
        <f>IF('01_Вводные'!$B$234="Да",'19_Расчет_аналитики'!AK3456*'01_Вводные'!$B$14,0)</f>
        <v/>
      </c>
      <c r="AM3457">
        <f>IF('01_Вводные'!$B$234="Да",'19_Расчет_аналитики'!AL3456*'01_Вводные'!$B$14,0)</f>
        <v/>
      </c>
      <c r="AN3457">
        <f>IF('01_Вводные'!$B$234="Да",'19_Расчет_аналитики'!AM3456*'01_Вводные'!$B$14,0)</f>
        <v/>
      </c>
      <c r="AO3457">
        <f>IF('01_Вводные'!$B$234="Да",'19_Расчет_аналитики'!AN3456*'01_Вводные'!$B$14,0)</f>
        <v/>
      </c>
      <c r="AP3457">
        <f>IF('01_Вводные'!$B$234="Да",'19_Расчет_аналитики'!AO3456*'01_Вводные'!$B$14,0)</f>
        <v/>
      </c>
      <c r="AQ3457">
        <f>IF('01_Вводные'!$B$234="Да",'19_Расчет_аналитики'!AP3456*'01_Вводные'!$B$14,0)</f>
        <v/>
      </c>
      <c r="AR3457">
        <f>IF('01_Вводные'!$B$234="Да",'19_Расчет_аналитики'!AQ3456*'01_Вводные'!$B$14,0)</f>
        <v/>
      </c>
      <c r="AS3457">
        <f>IF('01_Вводные'!$B$234="Да",'19_Расчет_аналитики'!AR3456*'01_Вводные'!$B$14,0)</f>
        <v/>
      </c>
      <c r="AT3457">
        <f>IF('01_Вводные'!$B$234="Да",'19_Расчет_аналитики'!AS3456*'01_Вводные'!$B$14,0)</f>
        <v/>
      </c>
      <c r="AU3457">
        <f>IF('01_Вводные'!$B$234="Да",'19_Расчет_аналитики'!AT3456*'01_Вводные'!$B$14,0)</f>
        <v/>
      </c>
      <c r="AV3457">
        <f>IF('01_Вводные'!$B$234="Да",'19_Расчет_аналитики'!AU3456*'01_Вводные'!$B$14,0)</f>
        <v/>
      </c>
      <c r="AW3457">
        <f>IF('01_Вводные'!$B$234="Да",'19_Расчет_аналитики'!AV3456*'01_Вводные'!$B$14,0)</f>
        <v/>
      </c>
      <c r="AX3457">
        <f>IF('01_Вводные'!$B$234="Да",'19_Расчет_аналитики'!AW3456*'01_Вводные'!$B$14,0)</f>
        <v/>
      </c>
      <c r="AY3457">
        <f>IF('01_Вводные'!$B$234="Да",'19_Расчет_аналитики'!AX3456*'01_Вводные'!$B$14,0)</f>
        <v/>
      </c>
      <c r="AZ3457">
        <f>IF('01_Вводные'!$B$234="Да",'19_Расчет_аналитики'!AY3456*'01_Вводные'!$B$14,0)</f>
        <v/>
      </c>
      <c r="BA3457">
        <f>IF('01_Вводные'!$B$234="Да",'19_Расчет_аналитики'!AZ3456*'01_Вводные'!$B$14,0)</f>
        <v/>
      </c>
      <c r="BB3457">
        <f>IF('01_Вводные'!$B$234="Да",'19_Расчет_аналитики'!BA3456*'01_Вводные'!$B$14,0)</f>
        <v/>
      </c>
      <c r="BC3457">
        <f>IF('01_Вводные'!$B$234="Да",'19_Расчет_аналитики'!BB3456*'01_Вводные'!$B$14,0)</f>
        <v/>
      </c>
      <c r="BD3457">
        <f>IF('01_Вводные'!$B$234="Да",'19_Расчет_аналитики'!BC3456*'01_Вводные'!$B$14,0)</f>
        <v/>
      </c>
      <c r="BE3457">
        <f>IF('01_Вводные'!$B$234="Да",'19_Расчет_аналитики'!BD3456*'01_Вводные'!$B$14,0)</f>
        <v/>
      </c>
      <c r="BF3457">
        <f>IF('01_Вводные'!$B$234="Да",'19_Расчет_аналитики'!BE3456*'01_Вводные'!$B$14,0)</f>
        <v/>
      </c>
      <c r="BG3457">
        <f>IF('01_Вводные'!$B$234="Да",'19_Расчет_аналитики'!BF3456*'01_Вводные'!$B$14,0)</f>
        <v/>
      </c>
      <c r="BH3457">
        <f>IF('01_Вводные'!$B$234="Да",'19_Расчет_аналитики'!BG3456*'01_Вводные'!$B$14,0)</f>
        <v/>
      </c>
      <c r="BI3457">
        <f>IF('01_Вводные'!$B$234="Да",'19_Расчет_аналитики'!BH3456*'01_Вводные'!$B$14,0)</f>
        <v/>
      </c>
      <c r="BJ3457">
        <f>IF('01_Вводные'!$B$234="Да",'19_Расчет_аналитики'!BI3456*'01_Вводные'!$B$14,0)</f>
        <v/>
      </c>
      <c r="BK3457">
        <f>IF('01_Вводные'!$B$234="Да",'19_Расчет_аналитики'!BJ3456*'01_Вводные'!$B$14,0)</f>
        <v/>
      </c>
      <c r="BL3457">
        <f>IF('01_Вводные'!$B$234="Да",'19_Расчет_аналитики'!BK3456*'01_Вводные'!$B$14,0)</f>
        <v/>
      </c>
      <c r="BM3457">
        <f>IF('01_Вводные'!$B$234="Да",'19_Расчет_аналитики'!BL3456*'01_Вводные'!$B$14,0)</f>
        <v/>
      </c>
      <c r="BN3457">
        <f>IF('01_Вводные'!$B$234="Да",'19_Расчет_аналитики'!BM3456*'01_Вводные'!$B$14,0)</f>
        <v/>
      </c>
      <c r="BO3457">
        <f>IF('01_Вводные'!$B$234="Да",'19_Расчет_аналитики'!BN3456*'01_Вводные'!$B$14,0)</f>
        <v/>
      </c>
    </row>
    <row r="3458">
      <c r="B3458">
        <f>'06_Сеть_и_дети'!B67</f>
        <v/>
      </c>
      <c r="C3458">
        <f>'06_Сеть_и_дети'!C67</f>
        <v/>
      </c>
      <c r="D3458">
        <f>'06_Сеть_и_дети'!D67</f>
        <v/>
      </c>
      <c r="E3458">
        <f>'06_Сеть_и_дети'!E67</f>
        <v/>
      </c>
      <c r="F3458">
        <f>'06_Сеть_и_дети'!F67</f>
        <v/>
      </c>
      <c r="G3458">
        <f>'06_Сеть_и_дети'!G67</f>
        <v/>
      </c>
      <c r="H3458">
        <f>'06_Сеть_и_дети'!H67</f>
        <v/>
      </c>
      <c r="I3458">
        <f>'06_Сеть_и_дети'!I67</f>
        <v/>
      </c>
      <c r="J3458">
        <f>'06_Сеть_и_дети'!J67</f>
        <v/>
      </c>
      <c r="K3458">
        <f>'06_Сеть_и_дети'!K67</f>
        <v/>
      </c>
      <c r="L3458">
        <f>'06_Сеть_и_дети'!L67</f>
        <v/>
      </c>
      <c r="M3458">
        <f>'06_Сеть_и_дети'!M67</f>
        <v/>
      </c>
      <c r="N3458">
        <f>'06_Сеть_и_дети'!N67</f>
        <v/>
      </c>
      <c r="O3458">
        <f>'06_Сеть_и_дети'!O67</f>
        <v/>
      </c>
      <c r="P3458">
        <f>IF('01_Вводные'!$B$234="Да",'19_Расчет_аналитики'!O3457*'01_Вводные'!$B$14,0)</f>
        <v/>
      </c>
      <c r="Q3458">
        <f>IF('01_Вводные'!$B$234="Да",'19_Расчет_аналитики'!P3457*'01_Вводные'!$B$14,0)</f>
        <v/>
      </c>
      <c r="R3458">
        <f>IF('01_Вводные'!$B$234="Да",'19_Расчет_аналитики'!Q3457*'01_Вводные'!$B$14,0)</f>
        <v/>
      </c>
      <c r="S3458">
        <f>IF('01_Вводные'!$B$234="Да",'19_Расчет_аналитики'!R3457*'01_Вводные'!$B$14,0)</f>
        <v/>
      </c>
      <c r="T3458">
        <f>IF('01_Вводные'!$B$234="Да",'19_Расчет_аналитики'!S3457*'01_Вводные'!$B$14,0)</f>
        <v/>
      </c>
      <c r="U3458">
        <f>IF('01_Вводные'!$B$234="Да",'19_Расчет_аналитики'!T3457*'01_Вводные'!$B$14,0)</f>
        <v/>
      </c>
      <c r="V3458">
        <f>IF('01_Вводные'!$B$234="Да",'19_Расчет_аналитики'!U3457*'01_Вводные'!$B$14,0)</f>
        <v/>
      </c>
      <c r="W3458">
        <f>IF('01_Вводные'!$B$234="Да",'19_Расчет_аналитики'!V3457*'01_Вводные'!$B$14,0)</f>
        <v/>
      </c>
      <c r="X3458">
        <f>IF('01_Вводные'!$B$234="Да",'19_Расчет_аналитики'!W3457*'01_Вводные'!$B$14,0)</f>
        <v/>
      </c>
      <c r="Y3458">
        <f>IF('01_Вводные'!$B$234="Да",'19_Расчет_аналитики'!X3457*'01_Вводные'!$B$14,0)</f>
        <v/>
      </c>
      <c r="Z3458">
        <f>IF('01_Вводные'!$B$234="Да",'19_Расчет_аналитики'!Y3457*'01_Вводные'!$B$14,0)</f>
        <v/>
      </c>
      <c r="AA3458">
        <f>IF('01_Вводные'!$B$234="Да",'19_Расчет_аналитики'!Z3457*'01_Вводные'!$B$14,0)</f>
        <v/>
      </c>
      <c r="AB3458">
        <f>IF('01_Вводные'!$B$234="Да",'19_Расчет_аналитики'!AA3457*'01_Вводные'!$B$14,0)</f>
        <v/>
      </c>
      <c r="AC3458">
        <f>IF('01_Вводные'!$B$234="Да",'19_Расчет_аналитики'!AB3457*'01_Вводные'!$B$14,0)</f>
        <v/>
      </c>
      <c r="AD3458">
        <f>IF('01_Вводные'!$B$234="Да",'19_Расчет_аналитики'!AC3457*'01_Вводные'!$B$14,0)</f>
        <v/>
      </c>
      <c r="AE3458">
        <f>IF('01_Вводные'!$B$234="Да",'19_Расчет_аналитики'!AD3457*'01_Вводные'!$B$14,0)</f>
        <v/>
      </c>
      <c r="AF3458">
        <f>IF('01_Вводные'!$B$234="Да",'19_Расчет_аналитики'!AE3457*'01_Вводные'!$B$14,0)</f>
        <v/>
      </c>
      <c r="AG3458">
        <f>IF('01_Вводные'!$B$234="Да",'19_Расчет_аналитики'!AF3457*'01_Вводные'!$B$14,0)</f>
        <v/>
      </c>
      <c r="AH3458">
        <f>IF('01_Вводные'!$B$234="Да",'19_Расчет_аналитики'!AG3457*'01_Вводные'!$B$14,0)</f>
        <v/>
      </c>
      <c r="AI3458">
        <f>IF('01_Вводные'!$B$234="Да",'19_Расчет_аналитики'!AH3457*'01_Вводные'!$B$14,0)</f>
        <v/>
      </c>
      <c r="AJ3458">
        <f>IF('01_Вводные'!$B$234="Да",'19_Расчет_аналитики'!AI3457*'01_Вводные'!$B$14,0)</f>
        <v/>
      </c>
      <c r="AK3458">
        <f>IF('01_Вводные'!$B$234="Да",'19_Расчет_аналитики'!AJ3457*'01_Вводные'!$B$14,0)</f>
        <v/>
      </c>
      <c r="AL3458">
        <f>IF('01_Вводные'!$B$234="Да",'19_Расчет_аналитики'!AK3457*'01_Вводные'!$B$14,0)</f>
        <v/>
      </c>
      <c r="AM3458">
        <f>IF('01_Вводные'!$B$234="Да",'19_Расчет_аналитики'!AL3457*'01_Вводные'!$B$14,0)</f>
        <v/>
      </c>
      <c r="AN3458">
        <f>IF('01_Вводные'!$B$234="Да",'19_Расчет_аналитики'!AM3457*'01_Вводные'!$B$14,0)</f>
        <v/>
      </c>
      <c r="AO3458">
        <f>IF('01_Вводные'!$B$234="Да",'19_Расчет_аналитики'!AN3457*'01_Вводные'!$B$14,0)</f>
        <v/>
      </c>
      <c r="AP3458">
        <f>IF('01_Вводные'!$B$234="Да",'19_Расчет_аналитики'!AO3457*'01_Вводные'!$B$14,0)</f>
        <v/>
      </c>
      <c r="AQ3458">
        <f>IF('01_Вводные'!$B$234="Да",'19_Расчет_аналитики'!AP3457*'01_Вводные'!$B$14,0)</f>
        <v/>
      </c>
      <c r="AR3458">
        <f>IF('01_Вводные'!$B$234="Да",'19_Расчет_аналитики'!AQ3457*'01_Вводные'!$B$14,0)</f>
        <v/>
      </c>
      <c r="AS3458">
        <f>IF('01_Вводные'!$B$234="Да",'19_Расчет_аналитики'!AR3457*'01_Вводные'!$B$14,0)</f>
        <v/>
      </c>
      <c r="AT3458">
        <f>IF('01_Вводные'!$B$234="Да",'19_Расчет_аналитики'!AS3457*'01_Вводные'!$B$14,0)</f>
        <v/>
      </c>
      <c r="AU3458">
        <f>IF('01_Вводные'!$B$234="Да",'19_Расчет_аналитики'!AT3457*'01_Вводные'!$B$14,0)</f>
        <v/>
      </c>
      <c r="AV3458">
        <f>IF('01_Вводные'!$B$234="Да",'19_Расчет_аналитики'!AU3457*'01_Вводные'!$B$14,0)</f>
        <v/>
      </c>
      <c r="AW3458">
        <f>IF('01_Вводные'!$B$234="Да",'19_Расчет_аналитики'!AV3457*'01_Вводные'!$B$14,0)</f>
        <v/>
      </c>
      <c r="AX3458">
        <f>IF('01_Вводные'!$B$234="Да",'19_Расчет_аналитики'!AW3457*'01_Вводные'!$B$14,0)</f>
        <v/>
      </c>
      <c r="AY3458">
        <f>IF('01_Вводные'!$B$234="Да",'19_Расчет_аналитики'!AX3457*'01_Вводные'!$B$14,0)</f>
        <v/>
      </c>
      <c r="AZ3458">
        <f>IF('01_Вводные'!$B$234="Да",'19_Расчет_аналитики'!AY3457*'01_Вводные'!$B$14,0)</f>
        <v/>
      </c>
      <c r="BA3458">
        <f>IF('01_Вводные'!$B$234="Да",'19_Расчет_аналитики'!AZ3457*'01_Вводные'!$B$14,0)</f>
        <v/>
      </c>
      <c r="BB3458">
        <f>IF('01_Вводные'!$B$234="Да",'19_Расчет_аналитики'!BA3457*'01_Вводные'!$B$14,0)</f>
        <v/>
      </c>
      <c r="BC3458">
        <f>IF('01_Вводные'!$B$234="Да",'19_Расчет_аналитики'!BB3457*'01_Вводные'!$B$14,0)</f>
        <v/>
      </c>
      <c r="BD3458">
        <f>IF('01_Вводные'!$B$234="Да",'19_Расчет_аналитики'!BC3457*'01_Вводные'!$B$14,0)</f>
        <v/>
      </c>
      <c r="BE3458">
        <f>IF('01_Вводные'!$B$234="Да",'19_Расчет_аналитики'!BD3457*'01_Вводные'!$B$14,0)</f>
        <v/>
      </c>
      <c r="BF3458">
        <f>IF('01_Вводные'!$B$234="Да",'19_Расчет_аналитики'!BE3457*'01_Вводные'!$B$14,0)</f>
        <v/>
      </c>
      <c r="BG3458">
        <f>IF('01_Вводные'!$B$234="Да",'19_Расчет_аналитики'!BF3457*'01_Вводные'!$B$14,0)</f>
        <v/>
      </c>
      <c r="BH3458">
        <f>IF('01_Вводные'!$B$234="Да",'19_Расчет_аналитики'!BG3457*'01_Вводные'!$B$14,0)</f>
        <v/>
      </c>
      <c r="BI3458">
        <f>IF('01_Вводные'!$B$234="Да",'19_Расчет_аналитики'!BH3457*'01_Вводные'!$B$14,0)</f>
        <v/>
      </c>
      <c r="BJ3458">
        <f>IF('01_Вводные'!$B$234="Да",'19_Расчет_аналитики'!BI3457*'01_Вводные'!$B$14,0)</f>
        <v/>
      </c>
      <c r="BK3458">
        <f>IF('01_Вводные'!$B$234="Да",'19_Расчет_аналитики'!BJ3457*'01_Вводные'!$B$14,0)</f>
        <v/>
      </c>
      <c r="BL3458">
        <f>IF('01_Вводные'!$B$234="Да",'19_Расчет_аналитики'!BK3457*'01_Вводные'!$B$14,0)</f>
        <v/>
      </c>
      <c r="BM3458">
        <f>IF('01_Вводные'!$B$234="Да",'19_Расчет_аналитики'!BL3457*'01_Вводные'!$B$14,0)</f>
        <v/>
      </c>
      <c r="BN3458">
        <f>IF('01_Вводные'!$B$234="Да",'19_Расчет_аналитики'!BM3457*'01_Вводные'!$B$14,0)</f>
        <v/>
      </c>
      <c r="BO3458">
        <f>IF('01_Вводные'!$B$234="Да",'19_Расчет_аналитики'!BN3457*'01_Вводные'!$B$14,0)</f>
        <v/>
      </c>
    </row>
    <row r="3459">
      <c r="B3459">
        <f>'06_Сеть_и_дети'!B68</f>
        <v/>
      </c>
      <c r="C3459">
        <f>'06_Сеть_и_дети'!C68</f>
        <v/>
      </c>
      <c r="D3459">
        <f>'06_Сеть_и_дети'!D68</f>
        <v/>
      </c>
      <c r="E3459">
        <f>'06_Сеть_и_дети'!E68</f>
        <v/>
      </c>
      <c r="F3459">
        <f>'06_Сеть_и_дети'!F68</f>
        <v/>
      </c>
      <c r="G3459">
        <f>'06_Сеть_и_дети'!G68</f>
        <v/>
      </c>
      <c r="H3459">
        <f>'06_Сеть_и_дети'!H68</f>
        <v/>
      </c>
      <c r="I3459">
        <f>'06_Сеть_и_дети'!I68</f>
        <v/>
      </c>
      <c r="J3459">
        <f>'06_Сеть_и_дети'!J68</f>
        <v/>
      </c>
      <c r="K3459">
        <f>'06_Сеть_и_дети'!K68</f>
        <v/>
      </c>
      <c r="L3459">
        <f>'06_Сеть_и_дети'!L68</f>
        <v/>
      </c>
      <c r="M3459">
        <f>'06_Сеть_и_дети'!M68</f>
        <v/>
      </c>
      <c r="N3459">
        <f>'06_Сеть_и_дети'!N68</f>
        <v/>
      </c>
      <c r="O3459">
        <f>'06_Сеть_и_дети'!O68</f>
        <v/>
      </c>
      <c r="P3459">
        <f>'06_Сеть_и_дети'!P68</f>
        <v/>
      </c>
      <c r="Q3459">
        <f>IF('01_Вводные'!$B$234="Да",'19_Расчет_аналитики'!P3458*'01_Вводные'!$B$14,0)</f>
        <v/>
      </c>
      <c r="R3459">
        <f>IF('01_Вводные'!$B$234="Да",'19_Расчет_аналитики'!Q3458*'01_Вводные'!$B$14,0)</f>
        <v/>
      </c>
      <c r="S3459">
        <f>IF('01_Вводные'!$B$234="Да",'19_Расчет_аналитики'!R3458*'01_Вводные'!$B$14,0)</f>
        <v/>
      </c>
      <c r="T3459">
        <f>IF('01_Вводные'!$B$234="Да",'19_Расчет_аналитики'!S3458*'01_Вводные'!$B$14,0)</f>
        <v/>
      </c>
      <c r="U3459">
        <f>IF('01_Вводные'!$B$234="Да",'19_Расчет_аналитики'!T3458*'01_Вводные'!$B$14,0)</f>
        <v/>
      </c>
      <c r="V3459">
        <f>IF('01_Вводные'!$B$234="Да",'19_Расчет_аналитики'!U3458*'01_Вводные'!$B$14,0)</f>
        <v/>
      </c>
      <c r="W3459">
        <f>IF('01_Вводные'!$B$234="Да",'19_Расчет_аналитики'!V3458*'01_Вводные'!$B$14,0)</f>
        <v/>
      </c>
      <c r="X3459">
        <f>IF('01_Вводные'!$B$234="Да",'19_Расчет_аналитики'!W3458*'01_Вводные'!$B$14,0)</f>
        <v/>
      </c>
      <c r="Y3459">
        <f>IF('01_Вводные'!$B$234="Да",'19_Расчет_аналитики'!X3458*'01_Вводные'!$B$14,0)</f>
        <v/>
      </c>
      <c r="Z3459">
        <f>IF('01_Вводные'!$B$234="Да",'19_Расчет_аналитики'!Y3458*'01_Вводные'!$B$14,0)</f>
        <v/>
      </c>
      <c r="AA3459">
        <f>IF('01_Вводные'!$B$234="Да",'19_Расчет_аналитики'!Z3458*'01_Вводные'!$B$14,0)</f>
        <v/>
      </c>
      <c r="AB3459">
        <f>IF('01_Вводные'!$B$234="Да",'19_Расчет_аналитики'!AA3458*'01_Вводные'!$B$14,0)</f>
        <v/>
      </c>
      <c r="AC3459">
        <f>IF('01_Вводные'!$B$234="Да",'19_Расчет_аналитики'!AB3458*'01_Вводные'!$B$14,0)</f>
        <v/>
      </c>
      <c r="AD3459">
        <f>IF('01_Вводные'!$B$234="Да",'19_Расчет_аналитики'!AC3458*'01_Вводные'!$B$14,0)</f>
        <v/>
      </c>
      <c r="AE3459">
        <f>IF('01_Вводные'!$B$234="Да",'19_Расчет_аналитики'!AD3458*'01_Вводные'!$B$14,0)</f>
        <v/>
      </c>
      <c r="AF3459">
        <f>IF('01_Вводные'!$B$234="Да",'19_Расчет_аналитики'!AE3458*'01_Вводные'!$B$14,0)</f>
        <v/>
      </c>
      <c r="AG3459">
        <f>IF('01_Вводные'!$B$234="Да",'19_Расчет_аналитики'!AF3458*'01_Вводные'!$B$14,0)</f>
        <v/>
      </c>
      <c r="AH3459">
        <f>IF('01_Вводные'!$B$234="Да",'19_Расчет_аналитики'!AG3458*'01_Вводные'!$B$14,0)</f>
        <v/>
      </c>
      <c r="AI3459">
        <f>IF('01_Вводные'!$B$234="Да",'19_Расчет_аналитики'!AH3458*'01_Вводные'!$B$14,0)</f>
        <v/>
      </c>
      <c r="AJ3459">
        <f>IF('01_Вводные'!$B$234="Да",'19_Расчет_аналитики'!AI3458*'01_Вводные'!$B$14,0)</f>
        <v/>
      </c>
      <c r="AK3459">
        <f>IF('01_Вводные'!$B$234="Да",'19_Расчет_аналитики'!AJ3458*'01_Вводные'!$B$14,0)</f>
        <v/>
      </c>
      <c r="AL3459">
        <f>IF('01_Вводные'!$B$234="Да",'19_Расчет_аналитики'!AK3458*'01_Вводные'!$B$14,0)</f>
        <v/>
      </c>
      <c r="AM3459">
        <f>IF('01_Вводные'!$B$234="Да",'19_Расчет_аналитики'!AL3458*'01_Вводные'!$B$14,0)</f>
        <v/>
      </c>
      <c r="AN3459">
        <f>IF('01_Вводные'!$B$234="Да",'19_Расчет_аналитики'!AM3458*'01_Вводные'!$B$14,0)</f>
        <v/>
      </c>
      <c r="AO3459">
        <f>IF('01_Вводные'!$B$234="Да",'19_Расчет_аналитики'!AN3458*'01_Вводные'!$B$14,0)</f>
        <v/>
      </c>
      <c r="AP3459">
        <f>IF('01_Вводные'!$B$234="Да",'19_Расчет_аналитики'!AO3458*'01_Вводные'!$B$14,0)</f>
        <v/>
      </c>
      <c r="AQ3459">
        <f>IF('01_Вводные'!$B$234="Да",'19_Расчет_аналитики'!AP3458*'01_Вводные'!$B$14,0)</f>
        <v/>
      </c>
      <c r="AR3459">
        <f>IF('01_Вводные'!$B$234="Да",'19_Расчет_аналитики'!AQ3458*'01_Вводные'!$B$14,0)</f>
        <v/>
      </c>
      <c r="AS3459">
        <f>IF('01_Вводные'!$B$234="Да",'19_Расчет_аналитики'!AR3458*'01_Вводные'!$B$14,0)</f>
        <v/>
      </c>
      <c r="AT3459">
        <f>IF('01_Вводные'!$B$234="Да",'19_Расчет_аналитики'!AS3458*'01_Вводные'!$B$14,0)</f>
        <v/>
      </c>
      <c r="AU3459">
        <f>IF('01_Вводные'!$B$234="Да",'19_Расчет_аналитики'!AT3458*'01_Вводные'!$B$14,0)</f>
        <v/>
      </c>
      <c r="AV3459">
        <f>IF('01_Вводные'!$B$234="Да",'19_Расчет_аналитики'!AU3458*'01_Вводные'!$B$14,0)</f>
        <v/>
      </c>
      <c r="AW3459">
        <f>IF('01_Вводные'!$B$234="Да",'19_Расчет_аналитики'!AV3458*'01_Вводные'!$B$14,0)</f>
        <v/>
      </c>
      <c r="AX3459">
        <f>IF('01_Вводные'!$B$234="Да",'19_Расчет_аналитики'!AW3458*'01_Вводные'!$B$14,0)</f>
        <v/>
      </c>
      <c r="AY3459">
        <f>IF('01_Вводные'!$B$234="Да",'19_Расчет_аналитики'!AX3458*'01_Вводные'!$B$14,0)</f>
        <v/>
      </c>
      <c r="AZ3459">
        <f>IF('01_Вводные'!$B$234="Да",'19_Расчет_аналитики'!AY3458*'01_Вводные'!$B$14,0)</f>
        <v/>
      </c>
      <c r="BA3459">
        <f>IF('01_Вводные'!$B$234="Да",'19_Расчет_аналитики'!AZ3458*'01_Вводные'!$B$14,0)</f>
        <v/>
      </c>
      <c r="BB3459">
        <f>IF('01_Вводные'!$B$234="Да",'19_Расчет_аналитики'!BA3458*'01_Вводные'!$B$14,0)</f>
        <v/>
      </c>
      <c r="BC3459">
        <f>IF('01_Вводные'!$B$234="Да",'19_Расчет_аналитики'!BB3458*'01_Вводные'!$B$14,0)</f>
        <v/>
      </c>
      <c r="BD3459">
        <f>IF('01_Вводные'!$B$234="Да",'19_Расчет_аналитики'!BC3458*'01_Вводные'!$B$14,0)</f>
        <v/>
      </c>
      <c r="BE3459">
        <f>IF('01_Вводные'!$B$234="Да",'19_Расчет_аналитики'!BD3458*'01_Вводные'!$B$14,0)</f>
        <v/>
      </c>
      <c r="BF3459">
        <f>IF('01_Вводные'!$B$234="Да",'19_Расчет_аналитики'!BE3458*'01_Вводные'!$B$14,0)</f>
        <v/>
      </c>
      <c r="BG3459">
        <f>IF('01_Вводные'!$B$234="Да",'19_Расчет_аналитики'!BF3458*'01_Вводные'!$B$14,0)</f>
        <v/>
      </c>
      <c r="BH3459">
        <f>IF('01_Вводные'!$B$234="Да",'19_Расчет_аналитики'!BG3458*'01_Вводные'!$B$14,0)</f>
        <v/>
      </c>
      <c r="BI3459">
        <f>IF('01_Вводные'!$B$234="Да",'19_Расчет_аналитики'!BH3458*'01_Вводные'!$B$14,0)</f>
        <v/>
      </c>
      <c r="BJ3459">
        <f>IF('01_Вводные'!$B$234="Да",'19_Расчет_аналитики'!BI3458*'01_Вводные'!$B$14,0)</f>
        <v/>
      </c>
      <c r="BK3459">
        <f>IF('01_Вводные'!$B$234="Да",'19_Расчет_аналитики'!BJ3458*'01_Вводные'!$B$14,0)</f>
        <v/>
      </c>
      <c r="BL3459">
        <f>IF('01_Вводные'!$B$234="Да",'19_Расчет_аналитики'!BK3458*'01_Вводные'!$B$14,0)</f>
        <v/>
      </c>
      <c r="BM3459">
        <f>IF('01_Вводные'!$B$234="Да",'19_Расчет_аналитики'!BL3458*'01_Вводные'!$B$14,0)</f>
        <v/>
      </c>
      <c r="BN3459">
        <f>IF('01_Вводные'!$B$234="Да",'19_Расчет_аналитики'!BM3458*'01_Вводные'!$B$14,0)</f>
        <v/>
      </c>
      <c r="BO3459">
        <f>IF('01_Вводные'!$B$234="Да",'19_Расчет_аналитики'!BN3458*'01_Вводные'!$B$14,0)</f>
        <v/>
      </c>
    </row>
    <row r="3460">
      <c r="B3460">
        <f>'06_Сеть_и_дети'!B69</f>
        <v/>
      </c>
      <c r="C3460">
        <f>'06_Сеть_и_дети'!C69</f>
        <v/>
      </c>
      <c r="D3460">
        <f>'06_Сеть_и_дети'!D69</f>
        <v/>
      </c>
      <c r="E3460">
        <f>'06_Сеть_и_дети'!E69</f>
        <v/>
      </c>
      <c r="F3460">
        <f>'06_Сеть_и_дети'!F69</f>
        <v/>
      </c>
      <c r="G3460">
        <f>'06_Сеть_и_дети'!G69</f>
        <v/>
      </c>
      <c r="H3460">
        <f>'06_Сеть_и_дети'!H69</f>
        <v/>
      </c>
      <c r="I3460">
        <f>'06_Сеть_и_дети'!I69</f>
        <v/>
      </c>
      <c r="J3460">
        <f>'06_Сеть_и_дети'!J69</f>
        <v/>
      </c>
      <c r="K3460">
        <f>'06_Сеть_и_дети'!K69</f>
        <v/>
      </c>
      <c r="L3460">
        <f>'06_Сеть_и_дети'!L69</f>
        <v/>
      </c>
      <c r="M3460">
        <f>'06_Сеть_и_дети'!M69</f>
        <v/>
      </c>
      <c r="N3460">
        <f>'06_Сеть_и_дети'!N69</f>
        <v/>
      </c>
      <c r="O3460">
        <f>'06_Сеть_и_дети'!O69</f>
        <v/>
      </c>
      <c r="P3460">
        <f>'06_Сеть_и_дети'!P69</f>
        <v/>
      </c>
      <c r="Q3460">
        <f>'06_Сеть_и_дети'!Q69</f>
        <v/>
      </c>
      <c r="R3460">
        <f>IF('01_Вводные'!$B$234="Да",'19_Расчет_аналитики'!Q3459*'01_Вводные'!$B$14,0)</f>
        <v/>
      </c>
      <c r="S3460">
        <f>IF('01_Вводные'!$B$234="Да",'19_Расчет_аналитики'!R3459*'01_Вводные'!$B$14,0)</f>
        <v/>
      </c>
      <c r="T3460">
        <f>IF('01_Вводные'!$B$234="Да",'19_Расчет_аналитики'!S3459*'01_Вводные'!$B$14,0)</f>
        <v/>
      </c>
      <c r="U3460">
        <f>IF('01_Вводные'!$B$234="Да",'19_Расчет_аналитики'!T3459*'01_Вводные'!$B$14,0)</f>
        <v/>
      </c>
      <c r="V3460">
        <f>IF('01_Вводные'!$B$234="Да",'19_Расчет_аналитики'!U3459*'01_Вводные'!$B$14,0)</f>
        <v/>
      </c>
      <c r="W3460">
        <f>IF('01_Вводные'!$B$234="Да",'19_Расчет_аналитики'!V3459*'01_Вводные'!$B$14,0)</f>
        <v/>
      </c>
      <c r="X3460">
        <f>IF('01_Вводные'!$B$234="Да",'19_Расчет_аналитики'!W3459*'01_Вводные'!$B$14,0)</f>
        <v/>
      </c>
      <c r="Y3460">
        <f>IF('01_Вводные'!$B$234="Да",'19_Расчет_аналитики'!X3459*'01_Вводные'!$B$14,0)</f>
        <v/>
      </c>
      <c r="Z3460">
        <f>IF('01_Вводные'!$B$234="Да",'19_Расчет_аналитики'!Y3459*'01_Вводные'!$B$14,0)</f>
        <v/>
      </c>
      <c r="AA3460">
        <f>IF('01_Вводные'!$B$234="Да",'19_Расчет_аналитики'!Z3459*'01_Вводные'!$B$14,0)</f>
        <v/>
      </c>
      <c r="AB3460">
        <f>IF('01_Вводные'!$B$234="Да",'19_Расчет_аналитики'!AA3459*'01_Вводные'!$B$14,0)</f>
        <v/>
      </c>
      <c r="AC3460">
        <f>IF('01_Вводные'!$B$234="Да",'19_Расчет_аналитики'!AB3459*'01_Вводные'!$B$14,0)</f>
        <v/>
      </c>
      <c r="AD3460">
        <f>IF('01_Вводные'!$B$234="Да",'19_Расчет_аналитики'!AC3459*'01_Вводные'!$B$14,0)</f>
        <v/>
      </c>
      <c r="AE3460">
        <f>IF('01_Вводные'!$B$234="Да",'19_Расчет_аналитики'!AD3459*'01_Вводные'!$B$14,0)</f>
        <v/>
      </c>
      <c r="AF3460">
        <f>IF('01_Вводные'!$B$234="Да",'19_Расчет_аналитики'!AE3459*'01_Вводные'!$B$14,0)</f>
        <v/>
      </c>
      <c r="AG3460">
        <f>IF('01_Вводные'!$B$234="Да",'19_Расчет_аналитики'!AF3459*'01_Вводные'!$B$14,0)</f>
        <v/>
      </c>
      <c r="AH3460">
        <f>IF('01_Вводные'!$B$234="Да",'19_Расчет_аналитики'!AG3459*'01_Вводные'!$B$14,0)</f>
        <v/>
      </c>
      <c r="AI3460">
        <f>IF('01_Вводные'!$B$234="Да",'19_Расчет_аналитики'!AH3459*'01_Вводные'!$B$14,0)</f>
        <v/>
      </c>
      <c r="AJ3460">
        <f>IF('01_Вводные'!$B$234="Да",'19_Расчет_аналитики'!AI3459*'01_Вводные'!$B$14,0)</f>
        <v/>
      </c>
      <c r="AK3460">
        <f>IF('01_Вводные'!$B$234="Да",'19_Расчет_аналитики'!AJ3459*'01_Вводные'!$B$14,0)</f>
        <v/>
      </c>
      <c r="AL3460">
        <f>IF('01_Вводные'!$B$234="Да",'19_Расчет_аналитики'!AK3459*'01_Вводные'!$B$14,0)</f>
        <v/>
      </c>
      <c r="AM3460">
        <f>IF('01_Вводные'!$B$234="Да",'19_Расчет_аналитики'!AL3459*'01_Вводные'!$B$14,0)</f>
        <v/>
      </c>
      <c r="AN3460">
        <f>IF('01_Вводные'!$B$234="Да",'19_Расчет_аналитики'!AM3459*'01_Вводные'!$B$14,0)</f>
        <v/>
      </c>
      <c r="AO3460">
        <f>IF('01_Вводные'!$B$234="Да",'19_Расчет_аналитики'!AN3459*'01_Вводные'!$B$14,0)</f>
        <v/>
      </c>
      <c r="AP3460">
        <f>IF('01_Вводные'!$B$234="Да",'19_Расчет_аналитики'!AO3459*'01_Вводные'!$B$14,0)</f>
        <v/>
      </c>
      <c r="AQ3460">
        <f>IF('01_Вводные'!$B$234="Да",'19_Расчет_аналитики'!AP3459*'01_Вводные'!$B$14,0)</f>
        <v/>
      </c>
      <c r="AR3460">
        <f>IF('01_Вводные'!$B$234="Да",'19_Расчет_аналитики'!AQ3459*'01_Вводные'!$B$14,0)</f>
        <v/>
      </c>
      <c r="AS3460">
        <f>IF('01_Вводные'!$B$234="Да",'19_Расчет_аналитики'!AR3459*'01_Вводные'!$B$14,0)</f>
        <v/>
      </c>
      <c r="AT3460">
        <f>IF('01_Вводные'!$B$234="Да",'19_Расчет_аналитики'!AS3459*'01_Вводные'!$B$14,0)</f>
        <v/>
      </c>
      <c r="AU3460">
        <f>IF('01_Вводные'!$B$234="Да",'19_Расчет_аналитики'!AT3459*'01_Вводные'!$B$14,0)</f>
        <v/>
      </c>
      <c r="AV3460">
        <f>IF('01_Вводные'!$B$234="Да",'19_Расчет_аналитики'!AU3459*'01_Вводные'!$B$14,0)</f>
        <v/>
      </c>
      <c r="AW3460">
        <f>IF('01_Вводные'!$B$234="Да",'19_Расчет_аналитики'!AV3459*'01_Вводные'!$B$14,0)</f>
        <v/>
      </c>
      <c r="AX3460">
        <f>IF('01_Вводные'!$B$234="Да",'19_Расчет_аналитики'!AW3459*'01_Вводные'!$B$14,0)</f>
        <v/>
      </c>
      <c r="AY3460">
        <f>IF('01_Вводные'!$B$234="Да",'19_Расчет_аналитики'!AX3459*'01_Вводные'!$B$14,0)</f>
        <v/>
      </c>
      <c r="AZ3460">
        <f>IF('01_Вводные'!$B$234="Да",'19_Расчет_аналитики'!AY3459*'01_Вводные'!$B$14,0)</f>
        <v/>
      </c>
      <c r="BA3460">
        <f>IF('01_Вводные'!$B$234="Да",'19_Расчет_аналитики'!AZ3459*'01_Вводные'!$B$14,0)</f>
        <v/>
      </c>
      <c r="BB3460">
        <f>IF('01_Вводные'!$B$234="Да",'19_Расчет_аналитики'!BA3459*'01_Вводные'!$B$14,0)</f>
        <v/>
      </c>
      <c r="BC3460">
        <f>IF('01_Вводные'!$B$234="Да",'19_Расчет_аналитики'!BB3459*'01_Вводные'!$B$14,0)</f>
        <v/>
      </c>
      <c r="BD3460">
        <f>IF('01_Вводные'!$B$234="Да",'19_Расчет_аналитики'!BC3459*'01_Вводные'!$B$14,0)</f>
        <v/>
      </c>
      <c r="BE3460">
        <f>IF('01_Вводные'!$B$234="Да",'19_Расчет_аналитики'!BD3459*'01_Вводные'!$B$14,0)</f>
        <v/>
      </c>
      <c r="BF3460">
        <f>IF('01_Вводные'!$B$234="Да",'19_Расчет_аналитики'!BE3459*'01_Вводные'!$B$14,0)</f>
        <v/>
      </c>
      <c r="BG3460">
        <f>IF('01_Вводные'!$B$234="Да",'19_Расчет_аналитики'!BF3459*'01_Вводные'!$B$14,0)</f>
        <v/>
      </c>
      <c r="BH3460">
        <f>IF('01_Вводные'!$B$234="Да",'19_Расчет_аналитики'!BG3459*'01_Вводные'!$B$14,0)</f>
        <v/>
      </c>
      <c r="BI3460">
        <f>IF('01_Вводные'!$B$234="Да",'19_Расчет_аналитики'!BH3459*'01_Вводные'!$B$14,0)</f>
        <v/>
      </c>
      <c r="BJ3460">
        <f>IF('01_Вводные'!$B$234="Да",'19_Расчет_аналитики'!BI3459*'01_Вводные'!$B$14,0)</f>
        <v/>
      </c>
      <c r="BK3460">
        <f>IF('01_Вводные'!$B$234="Да",'19_Расчет_аналитики'!BJ3459*'01_Вводные'!$B$14,0)</f>
        <v/>
      </c>
      <c r="BL3460">
        <f>IF('01_Вводные'!$B$234="Да",'19_Расчет_аналитики'!BK3459*'01_Вводные'!$B$14,0)</f>
        <v/>
      </c>
      <c r="BM3460">
        <f>IF('01_Вводные'!$B$234="Да",'19_Расчет_аналитики'!BL3459*'01_Вводные'!$B$14,0)</f>
        <v/>
      </c>
      <c r="BN3460">
        <f>IF('01_Вводные'!$B$234="Да",'19_Расчет_аналитики'!BM3459*'01_Вводные'!$B$14,0)</f>
        <v/>
      </c>
      <c r="BO3460">
        <f>IF('01_Вводные'!$B$234="Да",'19_Расчет_аналитики'!BN3459*'01_Вводные'!$B$14,0)</f>
        <v/>
      </c>
    </row>
    <row r="3461">
      <c r="B3461">
        <f>'06_Сеть_и_дети'!B70</f>
        <v/>
      </c>
      <c r="C3461">
        <f>'06_Сеть_и_дети'!C70</f>
        <v/>
      </c>
      <c r="D3461">
        <f>'06_Сеть_и_дети'!D70</f>
        <v/>
      </c>
      <c r="E3461">
        <f>'06_Сеть_и_дети'!E70</f>
        <v/>
      </c>
      <c r="F3461">
        <f>'06_Сеть_и_дети'!F70</f>
        <v/>
      </c>
      <c r="G3461">
        <f>'06_Сеть_и_дети'!G70</f>
        <v/>
      </c>
      <c r="H3461">
        <f>'06_Сеть_и_дети'!H70</f>
        <v/>
      </c>
      <c r="I3461">
        <f>'06_Сеть_и_дети'!I70</f>
        <v/>
      </c>
      <c r="J3461">
        <f>'06_Сеть_и_дети'!J70</f>
        <v/>
      </c>
      <c r="K3461">
        <f>'06_Сеть_и_дети'!K70</f>
        <v/>
      </c>
      <c r="L3461">
        <f>'06_Сеть_и_дети'!L70</f>
        <v/>
      </c>
      <c r="M3461">
        <f>'06_Сеть_и_дети'!M70</f>
        <v/>
      </c>
      <c r="N3461">
        <f>'06_Сеть_и_дети'!N70</f>
        <v/>
      </c>
      <c r="O3461">
        <f>'06_Сеть_и_дети'!O70</f>
        <v/>
      </c>
      <c r="P3461">
        <f>'06_Сеть_и_дети'!P70</f>
        <v/>
      </c>
      <c r="Q3461">
        <f>'06_Сеть_и_дети'!Q70</f>
        <v/>
      </c>
      <c r="R3461">
        <f>'06_Сеть_и_дети'!R70</f>
        <v/>
      </c>
      <c r="S3461">
        <f>IF('01_Вводные'!$B$234="Да",'19_Расчет_аналитики'!R3460*'01_Вводные'!$B$14,0)</f>
        <v/>
      </c>
      <c r="T3461">
        <f>IF('01_Вводные'!$B$234="Да",'19_Расчет_аналитики'!S3460*'01_Вводные'!$B$14,0)</f>
        <v/>
      </c>
      <c r="U3461">
        <f>IF('01_Вводные'!$B$234="Да",'19_Расчет_аналитики'!T3460*'01_Вводные'!$B$14,0)</f>
        <v/>
      </c>
      <c r="V3461">
        <f>IF('01_Вводные'!$B$234="Да",'19_Расчет_аналитики'!U3460*'01_Вводные'!$B$14,0)</f>
        <v/>
      </c>
      <c r="W3461">
        <f>IF('01_Вводные'!$B$234="Да",'19_Расчет_аналитики'!V3460*'01_Вводные'!$B$14,0)</f>
        <v/>
      </c>
      <c r="X3461">
        <f>IF('01_Вводные'!$B$234="Да",'19_Расчет_аналитики'!W3460*'01_Вводные'!$B$14,0)</f>
        <v/>
      </c>
      <c r="Y3461">
        <f>IF('01_Вводные'!$B$234="Да",'19_Расчет_аналитики'!X3460*'01_Вводные'!$B$14,0)</f>
        <v/>
      </c>
      <c r="Z3461">
        <f>IF('01_Вводные'!$B$234="Да",'19_Расчет_аналитики'!Y3460*'01_Вводные'!$B$14,0)</f>
        <v/>
      </c>
      <c r="AA3461">
        <f>IF('01_Вводные'!$B$234="Да",'19_Расчет_аналитики'!Z3460*'01_Вводные'!$B$14,0)</f>
        <v/>
      </c>
      <c r="AB3461">
        <f>IF('01_Вводные'!$B$234="Да",'19_Расчет_аналитики'!AA3460*'01_Вводные'!$B$14,0)</f>
        <v/>
      </c>
      <c r="AC3461">
        <f>IF('01_Вводные'!$B$234="Да",'19_Расчет_аналитики'!AB3460*'01_Вводные'!$B$14,0)</f>
        <v/>
      </c>
      <c r="AD3461">
        <f>IF('01_Вводные'!$B$234="Да",'19_Расчет_аналитики'!AC3460*'01_Вводные'!$B$14,0)</f>
        <v/>
      </c>
      <c r="AE3461">
        <f>IF('01_Вводные'!$B$234="Да",'19_Расчет_аналитики'!AD3460*'01_Вводные'!$B$14,0)</f>
        <v/>
      </c>
      <c r="AF3461">
        <f>IF('01_Вводные'!$B$234="Да",'19_Расчет_аналитики'!AE3460*'01_Вводные'!$B$14,0)</f>
        <v/>
      </c>
      <c r="AG3461">
        <f>IF('01_Вводные'!$B$234="Да",'19_Расчет_аналитики'!AF3460*'01_Вводные'!$B$14,0)</f>
        <v/>
      </c>
      <c r="AH3461">
        <f>IF('01_Вводные'!$B$234="Да",'19_Расчет_аналитики'!AG3460*'01_Вводные'!$B$14,0)</f>
        <v/>
      </c>
      <c r="AI3461">
        <f>IF('01_Вводные'!$B$234="Да",'19_Расчет_аналитики'!AH3460*'01_Вводные'!$B$14,0)</f>
        <v/>
      </c>
      <c r="AJ3461">
        <f>IF('01_Вводные'!$B$234="Да",'19_Расчет_аналитики'!AI3460*'01_Вводные'!$B$14,0)</f>
        <v/>
      </c>
      <c r="AK3461">
        <f>IF('01_Вводные'!$B$234="Да",'19_Расчет_аналитики'!AJ3460*'01_Вводные'!$B$14,0)</f>
        <v/>
      </c>
      <c r="AL3461">
        <f>IF('01_Вводные'!$B$234="Да",'19_Расчет_аналитики'!AK3460*'01_Вводные'!$B$14,0)</f>
        <v/>
      </c>
      <c r="AM3461">
        <f>IF('01_Вводные'!$B$234="Да",'19_Расчет_аналитики'!AL3460*'01_Вводные'!$B$14,0)</f>
        <v/>
      </c>
      <c r="AN3461">
        <f>IF('01_Вводные'!$B$234="Да",'19_Расчет_аналитики'!AM3460*'01_Вводные'!$B$14,0)</f>
        <v/>
      </c>
      <c r="AO3461">
        <f>IF('01_Вводные'!$B$234="Да",'19_Расчет_аналитики'!AN3460*'01_Вводные'!$B$14,0)</f>
        <v/>
      </c>
      <c r="AP3461">
        <f>IF('01_Вводные'!$B$234="Да",'19_Расчет_аналитики'!AO3460*'01_Вводные'!$B$14,0)</f>
        <v/>
      </c>
      <c r="AQ3461">
        <f>IF('01_Вводные'!$B$234="Да",'19_Расчет_аналитики'!AP3460*'01_Вводные'!$B$14,0)</f>
        <v/>
      </c>
      <c r="AR3461">
        <f>IF('01_Вводные'!$B$234="Да",'19_Расчет_аналитики'!AQ3460*'01_Вводные'!$B$14,0)</f>
        <v/>
      </c>
      <c r="AS3461">
        <f>IF('01_Вводные'!$B$234="Да",'19_Расчет_аналитики'!AR3460*'01_Вводные'!$B$14,0)</f>
        <v/>
      </c>
      <c r="AT3461">
        <f>IF('01_Вводные'!$B$234="Да",'19_Расчет_аналитики'!AS3460*'01_Вводные'!$B$14,0)</f>
        <v/>
      </c>
      <c r="AU3461">
        <f>IF('01_Вводные'!$B$234="Да",'19_Расчет_аналитики'!AT3460*'01_Вводные'!$B$14,0)</f>
        <v/>
      </c>
      <c r="AV3461">
        <f>IF('01_Вводные'!$B$234="Да",'19_Расчет_аналитики'!AU3460*'01_Вводные'!$B$14,0)</f>
        <v/>
      </c>
      <c r="AW3461">
        <f>IF('01_Вводные'!$B$234="Да",'19_Расчет_аналитики'!AV3460*'01_Вводные'!$B$14,0)</f>
        <v/>
      </c>
      <c r="AX3461">
        <f>IF('01_Вводные'!$B$234="Да",'19_Расчет_аналитики'!AW3460*'01_Вводные'!$B$14,0)</f>
        <v/>
      </c>
      <c r="AY3461">
        <f>IF('01_Вводные'!$B$234="Да",'19_Расчет_аналитики'!AX3460*'01_Вводные'!$B$14,0)</f>
        <v/>
      </c>
      <c r="AZ3461">
        <f>IF('01_Вводные'!$B$234="Да",'19_Расчет_аналитики'!AY3460*'01_Вводные'!$B$14,0)</f>
        <v/>
      </c>
      <c r="BA3461">
        <f>IF('01_Вводные'!$B$234="Да",'19_Расчет_аналитики'!AZ3460*'01_Вводные'!$B$14,0)</f>
        <v/>
      </c>
      <c r="BB3461">
        <f>IF('01_Вводные'!$B$234="Да",'19_Расчет_аналитики'!BA3460*'01_Вводные'!$B$14,0)</f>
        <v/>
      </c>
      <c r="BC3461">
        <f>IF('01_Вводные'!$B$234="Да",'19_Расчет_аналитики'!BB3460*'01_Вводные'!$B$14,0)</f>
        <v/>
      </c>
      <c r="BD3461">
        <f>IF('01_Вводные'!$B$234="Да",'19_Расчет_аналитики'!BC3460*'01_Вводные'!$B$14,0)</f>
        <v/>
      </c>
      <c r="BE3461">
        <f>IF('01_Вводные'!$B$234="Да",'19_Расчет_аналитики'!BD3460*'01_Вводные'!$B$14,0)</f>
        <v/>
      </c>
      <c r="BF3461">
        <f>IF('01_Вводные'!$B$234="Да",'19_Расчет_аналитики'!BE3460*'01_Вводные'!$B$14,0)</f>
        <v/>
      </c>
      <c r="BG3461">
        <f>IF('01_Вводные'!$B$234="Да",'19_Расчет_аналитики'!BF3460*'01_Вводные'!$B$14,0)</f>
        <v/>
      </c>
      <c r="BH3461">
        <f>IF('01_Вводные'!$B$234="Да",'19_Расчет_аналитики'!BG3460*'01_Вводные'!$B$14,0)</f>
        <v/>
      </c>
      <c r="BI3461">
        <f>IF('01_Вводные'!$B$234="Да",'19_Расчет_аналитики'!BH3460*'01_Вводные'!$B$14,0)</f>
        <v/>
      </c>
      <c r="BJ3461">
        <f>IF('01_Вводные'!$B$234="Да",'19_Расчет_аналитики'!BI3460*'01_Вводные'!$B$14,0)</f>
        <v/>
      </c>
      <c r="BK3461">
        <f>IF('01_Вводные'!$B$234="Да",'19_Расчет_аналитики'!BJ3460*'01_Вводные'!$B$14,0)</f>
        <v/>
      </c>
      <c r="BL3461">
        <f>IF('01_Вводные'!$B$234="Да",'19_Расчет_аналитики'!BK3460*'01_Вводные'!$B$14,0)</f>
        <v/>
      </c>
      <c r="BM3461">
        <f>IF('01_Вводные'!$B$234="Да",'19_Расчет_аналитики'!BL3460*'01_Вводные'!$B$14,0)</f>
        <v/>
      </c>
      <c r="BN3461">
        <f>IF('01_Вводные'!$B$234="Да",'19_Расчет_аналитики'!BM3460*'01_Вводные'!$B$14,0)</f>
        <v/>
      </c>
      <c r="BO3461">
        <f>IF('01_Вводные'!$B$234="Да",'19_Расчет_аналитики'!BN3460*'01_Вводные'!$B$14,0)</f>
        <v/>
      </c>
    </row>
    <row r="3462">
      <c r="B3462">
        <f>'06_Сеть_и_дети'!B71</f>
        <v/>
      </c>
      <c r="C3462">
        <f>'06_Сеть_и_дети'!C71</f>
        <v/>
      </c>
      <c r="D3462">
        <f>'06_Сеть_и_дети'!D71</f>
        <v/>
      </c>
      <c r="E3462">
        <f>'06_Сеть_и_дети'!E71</f>
        <v/>
      </c>
      <c r="F3462">
        <f>'06_Сеть_и_дети'!F71</f>
        <v/>
      </c>
      <c r="G3462">
        <f>'06_Сеть_и_дети'!G71</f>
        <v/>
      </c>
      <c r="H3462">
        <f>'06_Сеть_и_дети'!H71</f>
        <v/>
      </c>
      <c r="I3462">
        <f>'06_Сеть_и_дети'!I71</f>
        <v/>
      </c>
      <c r="J3462">
        <f>'06_Сеть_и_дети'!J71</f>
        <v/>
      </c>
      <c r="K3462">
        <f>'06_Сеть_и_дети'!K71</f>
        <v/>
      </c>
      <c r="L3462">
        <f>'06_Сеть_и_дети'!L71</f>
        <v/>
      </c>
      <c r="M3462">
        <f>'06_Сеть_и_дети'!M71</f>
        <v/>
      </c>
      <c r="N3462">
        <f>'06_Сеть_и_дети'!N71</f>
        <v/>
      </c>
      <c r="O3462">
        <f>'06_Сеть_и_дети'!O71</f>
        <v/>
      </c>
      <c r="P3462">
        <f>'06_Сеть_и_дети'!P71</f>
        <v/>
      </c>
      <c r="Q3462">
        <f>'06_Сеть_и_дети'!Q71</f>
        <v/>
      </c>
      <c r="R3462">
        <f>'06_Сеть_и_дети'!R71</f>
        <v/>
      </c>
      <c r="S3462">
        <f>'06_Сеть_и_дети'!S71</f>
        <v/>
      </c>
      <c r="T3462">
        <f>IF('01_Вводные'!$B$234="Да",'19_Расчет_аналитики'!S3461*'01_Вводные'!$B$14,0)</f>
        <v/>
      </c>
      <c r="U3462">
        <f>IF('01_Вводные'!$B$234="Да",'19_Расчет_аналитики'!T3461*'01_Вводные'!$B$14,0)</f>
        <v/>
      </c>
      <c r="V3462">
        <f>IF('01_Вводные'!$B$234="Да",'19_Расчет_аналитики'!U3461*'01_Вводные'!$B$14,0)</f>
        <v/>
      </c>
      <c r="W3462">
        <f>IF('01_Вводные'!$B$234="Да",'19_Расчет_аналитики'!V3461*'01_Вводные'!$B$14,0)</f>
        <v/>
      </c>
      <c r="X3462">
        <f>IF('01_Вводные'!$B$234="Да",'19_Расчет_аналитики'!W3461*'01_Вводные'!$B$14,0)</f>
        <v/>
      </c>
      <c r="Y3462">
        <f>IF('01_Вводные'!$B$234="Да",'19_Расчет_аналитики'!X3461*'01_Вводные'!$B$14,0)</f>
        <v/>
      </c>
      <c r="Z3462">
        <f>IF('01_Вводные'!$B$234="Да",'19_Расчет_аналитики'!Y3461*'01_Вводные'!$B$14,0)</f>
        <v/>
      </c>
      <c r="AA3462">
        <f>IF('01_Вводные'!$B$234="Да",'19_Расчет_аналитики'!Z3461*'01_Вводные'!$B$14,0)</f>
        <v/>
      </c>
      <c r="AB3462">
        <f>IF('01_Вводные'!$B$234="Да",'19_Расчет_аналитики'!AA3461*'01_Вводные'!$B$14,0)</f>
        <v/>
      </c>
      <c r="AC3462">
        <f>IF('01_Вводные'!$B$234="Да",'19_Расчет_аналитики'!AB3461*'01_Вводные'!$B$14,0)</f>
        <v/>
      </c>
      <c r="AD3462">
        <f>IF('01_Вводные'!$B$234="Да",'19_Расчет_аналитики'!AC3461*'01_Вводные'!$B$14,0)</f>
        <v/>
      </c>
      <c r="AE3462">
        <f>IF('01_Вводные'!$B$234="Да",'19_Расчет_аналитики'!AD3461*'01_Вводные'!$B$14,0)</f>
        <v/>
      </c>
      <c r="AF3462">
        <f>IF('01_Вводные'!$B$234="Да",'19_Расчет_аналитики'!AE3461*'01_Вводные'!$B$14,0)</f>
        <v/>
      </c>
      <c r="AG3462">
        <f>IF('01_Вводные'!$B$234="Да",'19_Расчет_аналитики'!AF3461*'01_Вводные'!$B$14,0)</f>
        <v/>
      </c>
      <c r="AH3462">
        <f>IF('01_Вводные'!$B$234="Да",'19_Расчет_аналитики'!AG3461*'01_Вводные'!$B$14,0)</f>
        <v/>
      </c>
      <c r="AI3462">
        <f>IF('01_Вводные'!$B$234="Да",'19_Расчет_аналитики'!AH3461*'01_Вводные'!$B$14,0)</f>
        <v/>
      </c>
      <c r="AJ3462">
        <f>IF('01_Вводные'!$B$234="Да",'19_Расчет_аналитики'!AI3461*'01_Вводные'!$B$14,0)</f>
        <v/>
      </c>
      <c r="AK3462">
        <f>IF('01_Вводные'!$B$234="Да",'19_Расчет_аналитики'!AJ3461*'01_Вводные'!$B$14,0)</f>
        <v/>
      </c>
      <c r="AL3462">
        <f>IF('01_Вводные'!$B$234="Да",'19_Расчет_аналитики'!AK3461*'01_Вводные'!$B$14,0)</f>
        <v/>
      </c>
      <c r="AM3462">
        <f>IF('01_Вводные'!$B$234="Да",'19_Расчет_аналитики'!AL3461*'01_Вводные'!$B$14,0)</f>
        <v/>
      </c>
      <c r="AN3462">
        <f>IF('01_Вводные'!$B$234="Да",'19_Расчет_аналитики'!AM3461*'01_Вводные'!$B$14,0)</f>
        <v/>
      </c>
      <c r="AO3462">
        <f>IF('01_Вводные'!$B$234="Да",'19_Расчет_аналитики'!AN3461*'01_Вводные'!$B$14,0)</f>
        <v/>
      </c>
      <c r="AP3462">
        <f>IF('01_Вводные'!$B$234="Да",'19_Расчет_аналитики'!AO3461*'01_Вводные'!$B$14,0)</f>
        <v/>
      </c>
      <c r="AQ3462">
        <f>IF('01_Вводные'!$B$234="Да",'19_Расчет_аналитики'!AP3461*'01_Вводные'!$B$14,0)</f>
        <v/>
      </c>
      <c r="AR3462">
        <f>IF('01_Вводные'!$B$234="Да",'19_Расчет_аналитики'!AQ3461*'01_Вводные'!$B$14,0)</f>
        <v/>
      </c>
      <c r="AS3462">
        <f>IF('01_Вводные'!$B$234="Да",'19_Расчет_аналитики'!AR3461*'01_Вводные'!$B$14,0)</f>
        <v/>
      </c>
      <c r="AT3462">
        <f>IF('01_Вводные'!$B$234="Да",'19_Расчет_аналитики'!AS3461*'01_Вводные'!$B$14,0)</f>
        <v/>
      </c>
      <c r="AU3462">
        <f>IF('01_Вводные'!$B$234="Да",'19_Расчет_аналитики'!AT3461*'01_Вводные'!$B$14,0)</f>
        <v/>
      </c>
      <c r="AV3462">
        <f>IF('01_Вводные'!$B$234="Да",'19_Расчет_аналитики'!AU3461*'01_Вводные'!$B$14,0)</f>
        <v/>
      </c>
      <c r="AW3462">
        <f>IF('01_Вводные'!$B$234="Да",'19_Расчет_аналитики'!AV3461*'01_Вводные'!$B$14,0)</f>
        <v/>
      </c>
      <c r="AX3462">
        <f>IF('01_Вводные'!$B$234="Да",'19_Расчет_аналитики'!AW3461*'01_Вводные'!$B$14,0)</f>
        <v/>
      </c>
      <c r="AY3462">
        <f>IF('01_Вводные'!$B$234="Да",'19_Расчет_аналитики'!AX3461*'01_Вводные'!$B$14,0)</f>
        <v/>
      </c>
      <c r="AZ3462">
        <f>IF('01_Вводные'!$B$234="Да",'19_Расчет_аналитики'!AY3461*'01_Вводные'!$B$14,0)</f>
        <v/>
      </c>
      <c r="BA3462">
        <f>IF('01_Вводные'!$B$234="Да",'19_Расчет_аналитики'!AZ3461*'01_Вводные'!$B$14,0)</f>
        <v/>
      </c>
      <c r="BB3462">
        <f>IF('01_Вводные'!$B$234="Да",'19_Расчет_аналитики'!BA3461*'01_Вводные'!$B$14,0)</f>
        <v/>
      </c>
      <c r="BC3462">
        <f>IF('01_Вводные'!$B$234="Да",'19_Расчет_аналитики'!BB3461*'01_Вводные'!$B$14,0)</f>
        <v/>
      </c>
      <c r="BD3462">
        <f>IF('01_Вводные'!$B$234="Да",'19_Расчет_аналитики'!BC3461*'01_Вводные'!$B$14,0)</f>
        <v/>
      </c>
      <c r="BE3462">
        <f>IF('01_Вводные'!$B$234="Да",'19_Расчет_аналитики'!BD3461*'01_Вводные'!$B$14,0)</f>
        <v/>
      </c>
      <c r="BF3462">
        <f>IF('01_Вводные'!$B$234="Да",'19_Расчет_аналитики'!BE3461*'01_Вводные'!$B$14,0)</f>
        <v/>
      </c>
      <c r="BG3462">
        <f>IF('01_Вводные'!$B$234="Да",'19_Расчет_аналитики'!BF3461*'01_Вводные'!$B$14,0)</f>
        <v/>
      </c>
      <c r="BH3462">
        <f>IF('01_Вводные'!$B$234="Да",'19_Расчет_аналитики'!BG3461*'01_Вводные'!$B$14,0)</f>
        <v/>
      </c>
      <c r="BI3462">
        <f>IF('01_Вводные'!$B$234="Да",'19_Расчет_аналитики'!BH3461*'01_Вводные'!$B$14,0)</f>
        <v/>
      </c>
      <c r="BJ3462">
        <f>IF('01_Вводные'!$B$234="Да",'19_Расчет_аналитики'!BI3461*'01_Вводные'!$B$14,0)</f>
        <v/>
      </c>
      <c r="BK3462">
        <f>IF('01_Вводные'!$B$234="Да",'19_Расчет_аналитики'!BJ3461*'01_Вводные'!$B$14,0)</f>
        <v/>
      </c>
      <c r="BL3462">
        <f>IF('01_Вводные'!$B$234="Да",'19_Расчет_аналитики'!BK3461*'01_Вводные'!$B$14,0)</f>
        <v/>
      </c>
      <c r="BM3462">
        <f>IF('01_Вводные'!$B$234="Да",'19_Расчет_аналитики'!BL3461*'01_Вводные'!$B$14,0)</f>
        <v/>
      </c>
      <c r="BN3462">
        <f>IF('01_Вводные'!$B$234="Да",'19_Расчет_аналитики'!BM3461*'01_Вводные'!$B$14,0)</f>
        <v/>
      </c>
      <c r="BO3462">
        <f>IF('01_Вводные'!$B$234="Да",'19_Расчет_аналитики'!BN3461*'01_Вводные'!$B$14,0)</f>
        <v/>
      </c>
    </row>
    <row r="3463">
      <c r="B3463">
        <f>'06_Сеть_и_дети'!B72</f>
        <v/>
      </c>
      <c r="C3463">
        <f>'06_Сеть_и_дети'!C72</f>
        <v/>
      </c>
      <c r="D3463">
        <f>'06_Сеть_и_дети'!D72</f>
        <v/>
      </c>
      <c r="E3463">
        <f>'06_Сеть_и_дети'!E72</f>
        <v/>
      </c>
      <c r="F3463">
        <f>'06_Сеть_и_дети'!F72</f>
        <v/>
      </c>
      <c r="G3463">
        <f>'06_Сеть_и_дети'!G72</f>
        <v/>
      </c>
      <c r="H3463">
        <f>'06_Сеть_и_дети'!H72</f>
        <v/>
      </c>
      <c r="I3463">
        <f>'06_Сеть_и_дети'!I72</f>
        <v/>
      </c>
      <c r="J3463">
        <f>'06_Сеть_и_дети'!J72</f>
        <v/>
      </c>
      <c r="K3463">
        <f>'06_Сеть_и_дети'!K72</f>
        <v/>
      </c>
      <c r="L3463">
        <f>'06_Сеть_и_дети'!L72</f>
        <v/>
      </c>
      <c r="M3463">
        <f>'06_Сеть_и_дети'!M72</f>
        <v/>
      </c>
      <c r="N3463">
        <f>'06_Сеть_и_дети'!N72</f>
        <v/>
      </c>
      <c r="O3463">
        <f>'06_Сеть_и_дети'!O72</f>
        <v/>
      </c>
      <c r="P3463">
        <f>'06_Сеть_и_дети'!P72</f>
        <v/>
      </c>
      <c r="Q3463">
        <f>'06_Сеть_и_дети'!Q72</f>
        <v/>
      </c>
      <c r="R3463">
        <f>'06_Сеть_и_дети'!R72</f>
        <v/>
      </c>
      <c r="S3463">
        <f>'06_Сеть_и_дети'!S72</f>
        <v/>
      </c>
      <c r="T3463">
        <f>'06_Сеть_и_дети'!T72</f>
        <v/>
      </c>
      <c r="U3463">
        <f>IF('01_Вводные'!$B$234="Да",'19_Расчет_аналитики'!T3462*'01_Вводные'!$B$14,0)</f>
        <v/>
      </c>
      <c r="V3463">
        <f>IF('01_Вводные'!$B$234="Да",'19_Расчет_аналитики'!U3462*'01_Вводные'!$B$14,0)</f>
        <v/>
      </c>
      <c r="W3463">
        <f>IF('01_Вводные'!$B$234="Да",'19_Расчет_аналитики'!V3462*'01_Вводные'!$B$14,0)</f>
        <v/>
      </c>
      <c r="X3463">
        <f>IF('01_Вводные'!$B$234="Да",'19_Расчет_аналитики'!W3462*'01_Вводные'!$B$14,0)</f>
        <v/>
      </c>
      <c r="Y3463">
        <f>IF('01_Вводные'!$B$234="Да",'19_Расчет_аналитики'!X3462*'01_Вводные'!$B$14,0)</f>
        <v/>
      </c>
      <c r="Z3463">
        <f>IF('01_Вводные'!$B$234="Да",'19_Расчет_аналитики'!Y3462*'01_Вводные'!$B$14,0)</f>
        <v/>
      </c>
      <c r="AA3463">
        <f>IF('01_Вводные'!$B$234="Да",'19_Расчет_аналитики'!Z3462*'01_Вводные'!$B$14,0)</f>
        <v/>
      </c>
      <c r="AB3463">
        <f>IF('01_Вводные'!$B$234="Да",'19_Расчет_аналитики'!AA3462*'01_Вводные'!$B$14,0)</f>
        <v/>
      </c>
      <c r="AC3463">
        <f>IF('01_Вводные'!$B$234="Да",'19_Расчет_аналитики'!AB3462*'01_Вводные'!$B$14,0)</f>
        <v/>
      </c>
      <c r="AD3463">
        <f>IF('01_Вводные'!$B$234="Да",'19_Расчет_аналитики'!AC3462*'01_Вводные'!$B$14,0)</f>
        <v/>
      </c>
      <c r="AE3463">
        <f>IF('01_Вводные'!$B$234="Да",'19_Расчет_аналитики'!AD3462*'01_Вводные'!$B$14,0)</f>
        <v/>
      </c>
      <c r="AF3463">
        <f>IF('01_Вводные'!$B$234="Да",'19_Расчет_аналитики'!AE3462*'01_Вводные'!$B$14,0)</f>
        <v/>
      </c>
      <c r="AG3463">
        <f>IF('01_Вводные'!$B$234="Да",'19_Расчет_аналитики'!AF3462*'01_Вводные'!$B$14,0)</f>
        <v/>
      </c>
      <c r="AH3463">
        <f>IF('01_Вводные'!$B$234="Да",'19_Расчет_аналитики'!AG3462*'01_Вводные'!$B$14,0)</f>
        <v/>
      </c>
      <c r="AI3463">
        <f>IF('01_Вводные'!$B$234="Да",'19_Расчет_аналитики'!AH3462*'01_Вводные'!$B$14,0)</f>
        <v/>
      </c>
      <c r="AJ3463">
        <f>IF('01_Вводные'!$B$234="Да",'19_Расчет_аналитики'!AI3462*'01_Вводные'!$B$14,0)</f>
        <v/>
      </c>
      <c r="AK3463">
        <f>IF('01_Вводные'!$B$234="Да",'19_Расчет_аналитики'!AJ3462*'01_Вводные'!$B$14,0)</f>
        <v/>
      </c>
      <c r="AL3463">
        <f>IF('01_Вводные'!$B$234="Да",'19_Расчет_аналитики'!AK3462*'01_Вводные'!$B$14,0)</f>
        <v/>
      </c>
      <c r="AM3463">
        <f>IF('01_Вводные'!$B$234="Да",'19_Расчет_аналитики'!AL3462*'01_Вводные'!$B$14,0)</f>
        <v/>
      </c>
      <c r="AN3463">
        <f>IF('01_Вводные'!$B$234="Да",'19_Расчет_аналитики'!AM3462*'01_Вводные'!$B$14,0)</f>
        <v/>
      </c>
      <c r="AO3463">
        <f>IF('01_Вводные'!$B$234="Да",'19_Расчет_аналитики'!AN3462*'01_Вводные'!$B$14,0)</f>
        <v/>
      </c>
      <c r="AP3463">
        <f>IF('01_Вводные'!$B$234="Да",'19_Расчет_аналитики'!AO3462*'01_Вводные'!$B$14,0)</f>
        <v/>
      </c>
      <c r="AQ3463">
        <f>IF('01_Вводные'!$B$234="Да",'19_Расчет_аналитики'!AP3462*'01_Вводные'!$B$14,0)</f>
        <v/>
      </c>
      <c r="AR3463">
        <f>IF('01_Вводные'!$B$234="Да",'19_Расчет_аналитики'!AQ3462*'01_Вводные'!$B$14,0)</f>
        <v/>
      </c>
      <c r="AS3463">
        <f>IF('01_Вводные'!$B$234="Да",'19_Расчет_аналитики'!AR3462*'01_Вводные'!$B$14,0)</f>
        <v/>
      </c>
      <c r="AT3463">
        <f>IF('01_Вводные'!$B$234="Да",'19_Расчет_аналитики'!AS3462*'01_Вводные'!$B$14,0)</f>
        <v/>
      </c>
      <c r="AU3463">
        <f>IF('01_Вводные'!$B$234="Да",'19_Расчет_аналитики'!AT3462*'01_Вводные'!$B$14,0)</f>
        <v/>
      </c>
      <c r="AV3463">
        <f>IF('01_Вводные'!$B$234="Да",'19_Расчет_аналитики'!AU3462*'01_Вводные'!$B$14,0)</f>
        <v/>
      </c>
      <c r="AW3463">
        <f>IF('01_Вводные'!$B$234="Да",'19_Расчет_аналитики'!AV3462*'01_Вводные'!$B$14,0)</f>
        <v/>
      </c>
      <c r="AX3463">
        <f>IF('01_Вводные'!$B$234="Да",'19_Расчет_аналитики'!AW3462*'01_Вводные'!$B$14,0)</f>
        <v/>
      </c>
      <c r="AY3463">
        <f>IF('01_Вводные'!$B$234="Да",'19_Расчет_аналитики'!AX3462*'01_Вводные'!$B$14,0)</f>
        <v/>
      </c>
      <c r="AZ3463">
        <f>IF('01_Вводные'!$B$234="Да",'19_Расчет_аналитики'!AY3462*'01_Вводные'!$B$14,0)</f>
        <v/>
      </c>
      <c r="BA3463">
        <f>IF('01_Вводные'!$B$234="Да",'19_Расчет_аналитики'!AZ3462*'01_Вводные'!$B$14,0)</f>
        <v/>
      </c>
      <c r="BB3463">
        <f>IF('01_Вводные'!$B$234="Да",'19_Расчет_аналитики'!BA3462*'01_Вводные'!$B$14,0)</f>
        <v/>
      </c>
      <c r="BC3463">
        <f>IF('01_Вводные'!$B$234="Да",'19_Расчет_аналитики'!BB3462*'01_Вводные'!$B$14,0)</f>
        <v/>
      </c>
      <c r="BD3463">
        <f>IF('01_Вводные'!$B$234="Да",'19_Расчет_аналитики'!BC3462*'01_Вводные'!$B$14,0)</f>
        <v/>
      </c>
      <c r="BE3463">
        <f>IF('01_Вводные'!$B$234="Да",'19_Расчет_аналитики'!BD3462*'01_Вводные'!$B$14,0)</f>
        <v/>
      </c>
      <c r="BF3463">
        <f>IF('01_Вводные'!$B$234="Да",'19_Расчет_аналитики'!BE3462*'01_Вводные'!$B$14,0)</f>
        <v/>
      </c>
      <c r="BG3463">
        <f>IF('01_Вводные'!$B$234="Да",'19_Расчет_аналитики'!BF3462*'01_Вводные'!$B$14,0)</f>
        <v/>
      </c>
      <c r="BH3463">
        <f>IF('01_Вводные'!$B$234="Да",'19_Расчет_аналитики'!BG3462*'01_Вводные'!$B$14,0)</f>
        <v/>
      </c>
      <c r="BI3463">
        <f>IF('01_Вводные'!$B$234="Да",'19_Расчет_аналитики'!BH3462*'01_Вводные'!$B$14,0)</f>
        <v/>
      </c>
      <c r="BJ3463">
        <f>IF('01_Вводные'!$B$234="Да",'19_Расчет_аналитики'!BI3462*'01_Вводные'!$B$14,0)</f>
        <v/>
      </c>
      <c r="BK3463">
        <f>IF('01_Вводные'!$B$234="Да",'19_Расчет_аналитики'!BJ3462*'01_Вводные'!$B$14,0)</f>
        <v/>
      </c>
      <c r="BL3463">
        <f>IF('01_Вводные'!$B$234="Да",'19_Расчет_аналитики'!BK3462*'01_Вводные'!$B$14,0)</f>
        <v/>
      </c>
      <c r="BM3463">
        <f>IF('01_Вводные'!$B$234="Да",'19_Расчет_аналитики'!BL3462*'01_Вводные'!$B$14,0)</f>
        <v/>
      </c>
      <c r="BN3463">
        <f>IF('01_Вводные'!$B$234="Да",'19_Расчет_аналитики'!BM3462*'01_Вводные'!$B$14,0)</f>
        <v/>
      </c>
      <c r="BO3463">
        <f>IF('01_Вводные'!$B$234="Да",'19_Расчет_аналитики'!BN3462*'01_Вводные'!$B$14,0)</f>
        <v/>
      </c>
    </row>
    <row r="3464">
      <c r="B3464">
        <f>'06_Сеть_и_дети'!B73</f>
        <v/>
      </c>
      <c r="C3464">
        <f>'06_Сеть_и_дети'!C73</f>
        <v/>
      </c>
      <c r="D3464">
        <f>'06_Сеть_и_дети'!D73</f>
        <v/>
      </c>
      <c r="E3464">
        <f>'06_Сеть_и_дети'!E73</f>
        <v/>
      </c>
      <c r="F3464">
        <f>'06_Сеть_и_дети'!F73</f>
        <v/>
      </c>
      <c r="G3464">
        <f>'06_Сеть_и_дети'!G73</f>
        <v/>
      </c>
      <c r="H3464">
        <f>'06_Сеть_и_дети'!H73</f>
        <v/>
      </c>
      <c r="I3464">
        <f>'06_Сеть_и_дети'!I73</f>
        <v/>
      </c>
      <c r="J3464">
        <f>'06_Сеть_и_дети'!J73</f>
        <v/>
      </c>
      <c r="K3464">
        <f>'06_Сеть_и_дети'!K73</f>
        <v/>
      </c>
      <c r="L3464">
        <f>'06_Сеть_и_дети'!L73</f>
        <v/>
      </c>
      <c r="M3464">
        <f>'06_Сеть_и_дети'!M73</f>
        <v/>
      </c>
      <c r="N3464">
        <f>'06_Сеть_и_дети'!N73</f>
        <v/>
      </c>
      <c r="O3464">
        <f>'06_Сеть_и_дети'!O73</f>
        <v/>
      </c>
      <c r="P3464">
        <f>'06_Сеть_и_дети'!P73</f>
        <v/>
      </c>
      <c r="Q3464">
        <f>'06_Сеть_и_дети'!Q73</f>
        <v/>
      </c>
      <c r="R3464">
        <f>'06_Сеть_и_дети'!R73</f>
        <v/>
      </c>
      <c r="S3464">
        <f>'06_Сеть_и_дети'!S73</f>
        <v/>
      </c>
      <c r="T3464">
        <f>'06_Сеть_и_дети'!T73</f>
        <v/>
      </c>
      <c r="U3464">
        <f>'06_Сеть_и_дети'!U73</f>
        <v/>
      </c>
      <c r="V3464">
        <f>IF('01_Вводные'!$B$234="Да",'19_Расчет_аналитики'!U3463*'01_Вводные'!$B$14,0)</f>
        <v/>
      </c>
      <c r="W3464">
        <f>IF('01_Вводные'!$B$234="Да",'19_Расчет_аналитики'!V3463*'01_Вводные'!$B$14,0)</f>
        <v/>
      </c>
      <c r="X3464">
        <f>IF('01_Вводные'!$B$234="Да",'19_Расчет_аналитики'!W3463*'01_Вводные'!$B$14,0)</f>
        <v/>
      </c>
      <c r="Y3464">
        <f>IF('01_Вводные'!$B$234="Да",'19_Расчет_аналитики'!X3463*'01_Вводные'!$B$14,0)</f>
        <v/>
      </c>
      <c r="Z3464">
        <f>IF('01_Вводные'!$B$234="Да",'19_Расчет_аналитики'!Y3463*'01_Вводные'!$B$14,0)</f>
        <v/>
      </c>
      <c r="AA3464">
        <f>IF('01_Вводные'!$B$234="Да",'19_Расчет_аналитики'!Z3463*'01_Вводные'!$B$14,0)</f>
        <v/>
      </c>
      <c r="AB3464">
        <f>IF('01_Вводные'!$B$234="Да",'19_Расчет_аналитики'!AA3463*'01_Вводные'!$B$14,0)</f>
        <v/>
      </c>
      <c r="AC3464">
        <f>IF('01_Вводные'!$B$234="Да",'19_Расчет_аналитики'!AB3463*'01_Вводные'!$B$14,0)</f>
        <v/>
      </c>
      <c r="AD3464">
        <f>IF('01_Вводные'!$B$234="Да",'19_Расчет_аналитики'!AC3463*'01_Вводные'!$B$14,0)</f>
        <v/>
      </c>
      <c r="AE3464">
        <f>IF('01_Вводные'!$B$234="Да",'19_Расчет_аналитики'!AD3463*'01_Вводные'!$B$14,0)</f>
        <v/>
      </c>
      <c r="AF3464">
        <f>IF('01_Вводные'!$B$234="Да",'19_Расчет_аналитики'!AE3463*'01_Вводные'!$B$14,0)</f>
        <v/>
      </c>
      <c r="AG3464">
        <f>IF('01_Вводные'!$B$234="Да",'19_Расчет_аналитики'!AF3463*'01_Вводные'!$B$14,0)</f>
        <v/>
      </c>
      <c r="AH3464">
        <f>IF('01_Вводные'!$B$234="Да",'19_Расчет_аналитики'!AG3463*'01_Вводные'!$B$14,0)</f>
        <v/>
      </c>
      <c r="AI3464">
        <f>IF('01_Вводные'!$B$234="Да",'19_Расчет_аналитики'!AH3463*'01_Вводные'!$B$14,0)</f>
        <v/>
      </c>
      <c r="AJ3464">
        <f>IF('01_Вводные'!$B$234="Да",'19_Расчет_аналитики'!AI3463*'01_Вводные'!$B$14,0)</f>
        <v/>
      </c>
      <c r="AK3464">
        <f>IF('01_Вводные'!$B$234="Да",'19_Расчет_аналитики'!AJ3463*'01_Вводные'!$B$14,0)</f>
        <v/>
      </c>
      <c r="AL3464">
        <f>IF('01_Вводные'!$B$234="Да",'19_Расчет_аналитики'!AK3463*'01_Вводные'!$B$14,0)</f>
        <v/>
      </c>
      <c r="AM3464">
        <f>IF('01_Вводные'!$B$234="Да",'19_Расчет_аналитики'!AL3463*'01_Вводные'!$B$14,0)</f>
        <v/>
      </c>
      <c r="AN3464">
        <f>IF('01_Вводные'!$B$234="Да",'19_Расчет_аналитики'!AM3463*'01_Вводные'!$B$14,0)</f>
        <v/>
      </c>
      <c r="AO3464">
        <f>IF('01_Вводные'!$B$234="Да",'19_Расчет_аналитики'!AN3463*'01_Вводные'!$B$14,0)</f>
        <v/>
      </c>
      <c r="AP3464">
        <f>IF('01_Вводные'!$B$234="Да",'19_Расчет_аналитики'!AO3463*'01_Вводные'!$B$14,0)</f>
        <v/>
      </c>
      <c r="AQ3464">
        <f>IF('01_Вводные'!$B$234="Да",'19_Расчет_аналитики'!AP3463*'01_Вводные'!$B$14,0)</f>
        <v/>
      </c>
      <c r="AR3464">
        <f>IF('01_Вводные'!$B$234="Да",'19_Расчет_аналитики'!AQ3463*'01_Вводные'!$B$14,0)</f>
        <v/>
      </c>
      <c r="AS3464">
        <f>IF('01_Вводные'!$B$234="Да",'19_Расчет_аналитики'!AR3463*'01_Вводные'!$B$14,0)</f>
        <v/>
      </c>
      <c r="AT3464">
        <f>IF('01_Вводные'!$B$234="Да",'19_Расчет_аналитики'!AS3463*'01_Вводные'!$B$14,0)</f>
        <v/>
      </c>
      <c r="AU3464">
        <f>IF('01_Вводные'!$B$234="Да",'19_Расчет_аналитики'!AT3463*'01_Вводные'!$B$14,0)</f>
        <v/>
      </c>
      <c r="AV3464">
        <f>IF('01_Вводные'!$B$234="Да",'19_Расчет_аналитики'!AU3463*'01_Вводные'!$B$14,0)</f>
        <v/>
      </c>
      <c r="AW3464">
        <f>IF('01_Вводные'!$B$234="Да",'19_Расчет_аналитики'!AV3463*'01_Вводные'!$B$14,0)</f>
        <v/>
      </c>
      <c r="AX3464">
        <f>IF('01_Вводные'!$B$234="Да",'19_Расчет_аналитики'!AW3463*'01_Вводные'!$B$14,0)</f>
        <v/>
      </c>
      <c r="AY3464">
        <f>IF('01_Вводные'!$B$234="Да",'19_Расчет_аналитики'!AX3463*'01_Вводные'!$B$14,0)</f>
        <v/>
      </c>
      <c r="AZ3464">
        <f>IF('01_Вводные'!$B$234="Да",'19_Расчет_аналитики'!AY3463*'01_Вводные'!$B$14,0)</f>
        <v/>
      </c>
      <c r="BA3464">
        <f>IF('01_Вводные'!$B$234="Да",'19_Расчет_аналитики'!AZ3463*'01_Вводные'!$B$14,0)</f>
        <v/>
      </c>
      <c r="BB3464">
        <f>IF('01_Вводные'!$B$234="Да",'19_Расчет_аналитики'!BA3463*'01_Вводные'!$B$14,0)</f>
        <v/>
      </c>
      <c r="BC3464">
        <f>IF('01_Вводные'!$B$234="Да",'19_Расчет_аналитики'!BB3463*'01_Вводные'!$B$14,0)</f>
        <v/>
      </c>
      <c r="BD3464">
        <f>IF('01_Вводные'!$B$234="Да",'19_Расчет_аналитики'!BC3463*'01_Вводные'!$B$14,0)</f>
        <v/>
      </c>
      <c r="BE3464">
        <f>IF('01_Вводные'!$B$234="Да",'19_Расчет_аналитики'!BD3463*'01_Вводные'!$B$14,0)</f>
        <v/>
      </c>
      <c r="BF3464">
        <f>IF('01_Вводные'!$B$234="Да",'19_Расчет_аналитики'!BE3463*'01_Вводные'!$B$14,0)</f>
        <v/>
      </c>
      <c r="BG3464">
        <f>IF('01_Вводные'!$B$234="Да",'19_Расчет_аналитики'!BF3463*'01_Вводные'!$B$14,0)</f>
        <v/>
      </c>
      <c r="BH3464">
        <f>IF('01_Вводные'!$B$234="Да",'19_Расчет_аналитики'!BG3463*'01_Вводные'!$B$14,0)</f>
        <v/>
      </c>
      <c r="BI3464">
        <f>IF('01_Вводные'!$B$234="Да",'19_Расчет_аналитики'!BH3463*'01_Вводные'!$B$14,0)</f>
        <v/>
      </c>
      <c r="BJ3464">
        <f>IF('01_Вводные'!$B$234="Да",'19_Расчет_аналитики'!BI3463*'01_Вводные'!$B$14,0)</f>
        <v/>
      </c>
      <c r="BK3464">
        <f>IF('01_Вводные'!$B$234="Да",'19_Расчет_аналитики'!BJ3463*'01_Вводные'!$B$14,0)</f>
        <v/>
      </c>
      <c r="BL3464">
        <f>IF('01_Вводные'!$B$234="Да",'19_Расчет_аналитики'!BK3463*'01_Вводные'!$B$14,0)</f>
        <v/>
      </c>
      <c r="BM3464">
        <f>IF('01_Вводные'!$B$234="Да",'19_Расчет_аналитики'!BL3463*'01_Вводные'!$B$14,0)</f>
        <v/>
      </c>
      <c r="BN3464">
        <f>IF('01_Вводные'!$B$234="Да",'19_Расчет_аналитики'!BM3463*'01_Вводные'!$B$14,0)</f>
        <v/>
      </c>
      <c r="BO3464">
        <f>IF('01_Вводные'!$B$234="Да",'19_Расчет_аналитики'!BN3463*'01_Вводные'!$B$14,0)</f>
        <v/>
      </c>
    </row>
    <row r="3465">
      <c r="B3465">
        <f>'06_Сеть_и_дети'!B74</f>
        <v/>
      </c>
      <c r="C3465">
        <f>'06_Сеть_и_дети'!C74</f>
        <v/>
      </c>
      <c r="D3465">
        <f>'06_Сеть_и_дети'!D74</f>
        <v/>
      </c>
      <c r="E3465">
        <f>'06_Сеть_и_дети'!E74</f>
        <v/>
      </c>
      <c r="F3465">
        <f>'06_Сеть_и_дети'!F74</f>
        <v/>
      </c>
      <c r="G3465">
        <f>'06_Сеть_и_дети'!G74</f>
        <v/>
      </c>
      <c r="H3465">
        <f>'06_Сеть_и_дети'!H74</f>
        <v/>
      </c>
      <c r="I3465">
        <f>'06_Сеть_и_дети'!I74</f>
        <v/>
      </c>
      <c r="J3465">
        <f>'06_Сеть_и_дети'!J74</f>
        <v/>
      </c>
      <c r="K3465">
        <f>'06_Сеть_и_дети'!K74</f>
        <v/>
      </c>
      <c r="L3465">
        <f>'06_Сеть_и_дети'!L74</f>
        <v/>
      </c>
      <c r="M3465">
        <f>'06_Сеть_и_дети'!M74</f>
        <v/>
      </c>
      <c r="N3465">
        <f>'06_Сеть_и_дети'!N74</f>
        <v/>
      </c>
      <c r="O3465">
        <f>'06_Сеть_и_дети'!O74</f>
        <v/>
      </c>
      <c r="P3465">
        <f>'06_Сеть_и_дети'!P74</f>
        <v/>
      </c>
      <c r="Q3465">
        <f>'06_Сеть_и_дети'!Q74</f>
        <v/>
      </c>
      <c r="R3465">
        <f>'06_Сеть_и_дети'!R74</f>
        <v/>
      </c>
      <c r="S3465">
        <f>'06_Сеть_и_дети'!S74</f>
        <v/>
      </c>
      <c r="T3465">
        <f>'06_Сеть_и_дети'!T74</f>
        <v/>
      </c>
      <c r="U3465">
        <f>'06_Сеть_и_дети'!U74</f>
        <v/>
      </c>
      <c r="V3465">
        <f>'06_Сеть_и_дети'!V74</f>
        <v/>
      </c>
      <c r="W3465">
        <f>IF('01_Вводные'!$B$234="Да",'19_Расчет_аналитики'!V3464*'01_Вводные'!$B$14,0)</f>
        <v/>
      </c>
      <c r="X3465">
        <f>IF('01_Вводные'!$B$234="Да",'19_Расчет_аналитики'!W3464*'01_Вводные'!$B$14,0)</f>
        <v/>
      </c>
      <c r="Y3465">
        <f>IF('01_Вводные'!$B$234="Да",'19_Расчет_аналитики'!X3464*'01_Вводные'!$B$14,0)</f>
        <v/>
      </c>
      <c r="Z3465">
        <f>IF('01_Вводные'!$B$234="Да",'19_Расчет_аналитики'!Y3464*'01_Вводные'!$B$14,0)</f>
        <v/>
      </c>
      <c r="AA3465">
        <f>IF('01_Вводные'!$B$234="Да",'19_Расчет_аналитики'!Z3464*'01_Вводные'!$B$14,0)</f>
        <v/>
      </c>
      <c r="AB3465">
        <f>IF('01_Вводные'!$B$234="Да",'19_Расчет_аналитики'!AA3464*'01_Вводные'!$B$14,0)</f>
        <v/>
      </c>
      <c r="AC3465">
        <f>IF('01_Вводные'!$B$234="Да",'19_Расчет_аналитики'!AB3464*'01_Вводные'!$B$14,0)</f>
        <v/>
      </c>
      <c r="AD3465">
        <f>IF('01_Вводные'!$B$234="Да",'19_Расчет_аналитики'!AC3464*'01_Вводные'!$B$14,0)</f>
        <v/>
      </c>
      <c r="AE3465">
        <f>IF('01_Вводные'!$B$234="Да",'19_Расчет_аналитики'!AD3464*'01_Вводные'!$B$14,0)</f>
        <v/>
      </c>
      <c r="AF3465">
        <f>IF('01_Вводные'!$B$234="Да",'19_Расчет_аналитики'!AE3464*'01_Вводные'!$B$14,0)</f>
        <v/>
      </c>
      <c r="AG3465">
        <f>IF('01_Вводные'!$B$234="Да",'19_Расчет_аналитики'!AF3464*'01_Вводные'!$B$14,0)</f>
        <v/>
      </c>
      <c r="AH3465">
        <f>IF('01_Вводные'!$B$234="Да",'19_Расчет_аналитики'!AG3464*'01_Вводные'!$B$14,0)</f>
        <v/>
      </c>
      <c r="AI3465">
        <f>IF('01_Вводные'!$B$234="Да",'19_Расчет_аналитики'!AH3464*'01_Вводные'!$B$14,0)</f>
        <v/>
      </c>
      <c r="AJ3465">
        <f>IF('01_Вводные'!$B$234="Да",'19_Расчет_аналитики'!AI3464*'01_Вводные'!$B$14,0)</f>
        <v/>
      </c>
      <c r="AK3465">
        <f>IF('01_Вводные'!$B$234="Да",'19_Расчет_аналитики'!AJ3464*'01_Вводные'!$B$14,0)</f>
        <v/>
      </c>
      <c r="AL3465">
        <f>IF('01_Вводные'!$B$234="Да",'19_Расчет_аналитики'!AK3464*'01_Вводные'!$B$14,0)</f>
        <v/>
      </c>
      <c r="AM3465">
        <f>IF('01_Вводные'!$B$234="Да",'19_Расчет_аналитики'!AL3464*'01_Вводные'!$B$14,0)</f>
        <v/>
      </c>
      <c r="AN3465">
        <f>IF('01_Вводные'!$B$234="Да",'19_Расчет_аналитики'!AM3464*'01_Вводные'!$B$14,0)</f>
        <v/>
      </c>
      <c r="AO3465">
        <f>IF('01_Вводные'!$B$234="Да",'19_Расчет_аналитики'!AN3464*'01_Вводные'!$B$14,0)</f>
        <v/>
      </c>
      <c r="AP3465">
        <f>IF('01_Вводные'!$B$234="Да",'19_Расчет_аналитики'!AO3464*'01_Вводные'!$B$14,0)</f>
        <v/>
      </c>
      <c r="AQ3465">
        <f>IF('01_Вводные'!$B$234="Да",'19_Расчет_аналитики'!AP3464*'01_Вводные'!$B$14,0)</f>
        <v/>
      </c>
      <c r="AR3465">
        <f>IF('01_Вводные'!$B$234="Да",'19_Расчет_аналитики'!AQ3464*'01_Вводные'!$B$14,0)</f>
        <v/>
      </c>
      <c r="AS3465">
        <f>IF('01_Вводные'!$B$234="Да",'19_Расчет_аналитики'!AR3464*'01_Вводные'!$B$14,0)</f>
        <v/>
      </c>
      <c r="AT3465">
        <f>IF('01_Вводные'!$B$234="Да",'19_Расчет_аналитики'!AS3464*'01_Вводные'!$B$14,0)</f>
        <v/>
      </c>
      <c r="AU3465">
        <f>IF('01_Вводные'!$B$234="Да",'19_Расчет_аналитики'!AT3464*'01_Вводные'!$B$14,0)</f>
        <v/>
      </c>
      <c r="AV3465">
        <f>IF('01_Вводные'!$B$234="Да",'19_Расчет_аналитики'!AU3464*'01_Вводные'!$B$14,0)</f>
        <v/>
      </c>
      <c r="AW3465">
        <f>IF('01_Вводные'!$B$234="Да",'19_Расчет_аналитики'!AV3464*'01_Вводные'!$B$14,0)</f>
        <v/>
      </c>
      <c r="AX3465">
        <f>IF('01_Вводные'!$B$234="Да",'19_Расчет_аналитики'!AW3464*'01_Вводные'!$B$14,0)</f>
        <v/>
      </c>
      <c r="AY3465">
        <f>IF('01_Вводные'!$B$234="Да",'19_Расчет_аналитики'!AX3464*'01_Вводные'!$B$14,0)</f>
        <v/>
      </c>
      <c r="AZ3465">
        <f>IF('01_Вводные'!$B$234="Да",'19_Расчет_аналитики'!AY3464*'01_Вводные'!$B$14,0)</f>
        <v/>
      </c>
      <c r="BA3465">
        <f>IF('01_Вводные'!$B$234="Да",'19_Расчет_аналитики'!AZ3464*'01_Вводные'!$B$14,0)</f>
        <v/>
      </c>
      <c r="BB3465">
        <f>IF('01_Вводные'!$B$234="Да",'19_Расчет_аналитики'!BA3464*'01_Вводные'!$B$14,0)</f>
        <v/>
      </c>
      <c r="BC3465">
        <f>IF('01_Вводные'!$B$234="Да",'19_Расчет_аналитики'!BB3464*'01_Вводные'!$B$14,0)</f>
        <v/>
      </c>
      <c r="BD3465">
        <f>IF('01_Вводные'!$B$234="Да",'19_Расчет_аналитики'!BC3464*'01_Вводные'!$B$14,0)</f>
        <v/>
      </c>
      <c r="BE3465">
        <f>IF('01_Вводные'!$B$234="Да",'19_Расчет_аналитики'!BD3464*'01_Вводные'!$B$14,0)</f>
        <v/>
      </c>
      <c r="BF3465">
        <f>IF('01_Вводные'!$B$234="Да",'19_Расчет_аналитики'!BE3464*'01_Вводные'!$B$14,0)</f>
        <v/>
      </c>
      <c r="BG3465">
        <f>IF('01_Вводные'!$B$234="Да",'19_Расчет_аналитики'!BF3464*'01_Вводные'!$B$14,0)</f>
        <v/>
      </c>
      <c r="BH3465">
        <f>IF('01_Вводные'!$B$234="Да",'19_Расчет_аналитики'!BG3464*'01_Вводные'!$B$14,0)</f>
        <v/>
      </c>
      <c r="BI3465">
        <f>IF('01_Вводные'!$B$234="Да",'19_Расчет_аналитики'!BH3464*'01_Вводные'!$B$14,0)</f>
        <v/>
      </c>
      <c r="BJ3465">
        <f>IF('01_Вводные'!$B$234="Да",'19_Расчет_аналитики'!BI3464*'01_Вводные'!$B$14,0)</f>
        <v/>
      </c>
      <c r="BK3465">
        <f>IF('01_Вводные'!$B$234="Да",'19_Расчет_аналитики'!BJ3464*'01_Вводные'!$B$14,0)</f>
        <v/>
      </c>
      <c r="BL3465">
        <f>IF('01_Вводные'!$B$234="Да",'19_Расчет_аналитики'!BK3464*'01_Вводные'!$B$14,0)</f>
        <v/>
      </c>
      <c r="BM3465">
        <f>IF('01_Вводные'!$B$234="Да",'19_Расчет_аналитики'!BL3464*'01_Вводные'!$B$14,0)</f>
        <v/>
      </c>
      <c r="BN3465">
        <f>IF('01_Вводные'!$B$234="Да",'19_Расчет_аналитики'!BM3464*'01_Вводные'!$B$14,0)</f>
        <v/>
      </c>
      <c r="BO3465">
        <f>IF('01_Вводные'!$B$234="Да",'19_Расчет_аналитики'!BN3464*'01_Вводные'!$B$14,0)</f>
        <v/>
      </c>
    </row>
    <row r="3466">
      <c r="B3466">
        <f>'06_Сеть_и_дети'!B75</f>
        <v/>
      </c>
      <c r="C3466">
        <f>'06_Сеть_и_дети'!C75</f>
        <v/>
      </c>
      <c r="D3466">
        <f>'06_Сеть_и_дети'!D75</f>
        <v/>
      </c>
      <c r="E3466">
        <f>'06_Сеть_и_дети'!E75</f>
        <v/>
      </c>
      <c r="F3466">
        <f>'06_Сеть_и_дети'!F75</f>
        <v/>
      </c>
      <c r="G3466">
        <f>'06_Сеть_и_дети'!G75</f>
        <v/>
      </c>
      <c r="H3466">
        <f>'06_Сеть_и_дети'!H75</f>
        <v/>
      </c>
      <c r="I3466">
        <f>'06_Сеть_и_дети'!I75</f>
        <v/>
      </c>
      <c r="J3466">
        <f>'06_Сеть_и_дети'!J75</f>
        <v/>
      </c>
      <c r="K3466">
        <f>'06_Сеть_и_дети'!K75</f>
        <v/>
      </c>
      <c r="L3466">
        <f>'06_Сеть_и_дети'!L75</f>
        <v/>
      </c>
      <c r="M3466">
        <f>'06_Сеть_и_дети'!M75</f>
        <v/>
      </c>
      <c r="N3466">
        <f>'06_Сеть_и_дети'!N75</f>
        <v/>
      </c>
      <c r="O3466">
        <f>'06_Сеть_и_дети'!O75</f>
        <v/>
      </c>
      <c r="P3466">
        <f>'06_Сеть_и_дети'!P75</f>
        <v/>
      </c>
      <c r="Q3466">
        <f>'06_Сеть_и_дети'!Q75</f>
        <v/>
      </c>
      <c r="R3466">
        <f>'06_Сеть_и_дети'!R75</f>
        <v/>
      </c>
      <c r="S3466">
        <f>'06_Сеть_и_дети'!S75</f>
        <v/>
      </c>
      <c r="T3466">
        <f>'06_Сеть_и_дети'!T75</f>
        <v/>
      </c>
      <c r="U3466">
        <f>'06_Сеть_и_дети'!U75</f>
        <v/>
      </c>
      <c r="V3466">
        <f>'06_Сеть_и_дети'!V75</f>
        <v/>
      </c>
      <c r="W3466">
        <f>'06_Сеть_и_дети'!W75</f>
        <v/>
      </c>
      <c r="X3466">
        <f>IF('01_Вводные'!$B$234="Да",'19_Расчет_аналитики'!W3465*'01_Вводные'!$B$14,0)</f>
        <v/>
      </c>
      <c r="Y3466">
        <f>IF('01_Вводные'!$B$234="Да",'19_Расчет_аналитики'!X3465*'01_Вводные'!$B$14,0)</f>
        <v/>
      </c>
      <c r="Z3466">
        <f>IF('01_Вводные'!$B$234="Да",'19_Расчет_аналитики'!Y3465*'01_Вводные'!$B$14,0)</f>
        <v/>
      </c>
      <c r="AA3466">
        <f>IF('01_Вводные'!$B$234="Да",'19_Расчет_аналитики'!Z3465*'01_Вводные'!$B$14,0)</f>
        <v/>
      </c>
      <c r="AB3466">
        <f>IF('01_Вводные'!$B$234="Да",'19_Расчет_аналитики'!AA3465*'01_Вводные'!$B$14,0)</f>
        <v/>
      </c>
      <c r="AC3466">
        <f>IF('01_Вводные'!$B$234="Да",'19_Расчет_аналитики'!AB3465*'01_Вводные'!$B$14,0)</f>
        <v/>
      </c>
      <c r="AD3466">
        <f>IF('01_Вводные'!$B$234="Да",'19_Расчет_аналитики'!AC3465*'01_Вводные'!$B$14,0)</f>
        <v/>
      </c>
      <c r="AE3466">
        <f>IF('01_Вводные'!$B$234="Да",'19_Расчет_аналитики'!AD3465*'01_Вводные'!$B$14,0)</f>
        <v/>
      </c>
      <c r="AF3466">
        <f>IF('01_Вводные'!$B$234="Да",'19_Расчет_аналитики'!AE3465*'01_Вводные'!$B$14,0)</f>
        <v/>
      </c>
      <c r="AG3466">
        <f>IF('01_Вводные'!$B$234="Да",'19_Расчет_аналитики'!AF3465*'01_Вводные'!$B$14,0)</f>
        <v/>
      </c>
      <c r="AH3466">
        <f>IF('01_Вводные'!$B$234="Да",'19_Расчет_аналитики'!AG3465*'01_Вводные'!$B$14,0)</f>
        <v/>
      </c>
      <c r="AI3466">
        <f>IF('01_Вводные'!$B$234="Да",'19_Расчет_аналитики'!AH3465*'01_Вводные'!$B$14,0)</f>
        <v/>
      </c>
      <c r="AJ3466">
        <f>IF('01_Вводные'!$B$234="Да",'19_Расчет_аналитики'!AI3465*'01_Вводные'!$B$14,0)</f>
        <v/>
      </c>
      <c r="AK3466">
        <f>IF('01_Вводные'!$B$234="Да",'19_Расчет_аналитики'!AJ3465*'01_Вводные'!$B$14,0)</f>
        <v/>
      </c>
      <c r="AL3466">
        <f>IF('01_Вводные'!$B$234="Да",'19_Расчет_аналитики'!AK3465*'01_Вводные'!$B$14,0)</f>
        <v/>
      </c>
      <c r="AM3466">
        <f>IF('01_Вводные'!$B$234="Да",'19_Расчет_аналитики'!AL3465*'01_Вводные'!$B$14,0)</f>
        <v/>
      </c>
      <c r="AN3466">
        <f>IF('01_Вводные'!$B$234="Да",'19_Расчет_аналитики'!AM3465*'01_Вводные'!$B$14,0)</f>
        <v/>
      </c>
      <c r="AO3466">
        <f>IF('01_Вводные'!$B$234="Да",'19_Расчет_аналитики'!AN3465*'01_Вводные'!$B$14,0)</f>
        <v/>
      </c>
      <c r="AP3466">
        <f>IF('01_Вводные'!$B$234="Да",'19_Расчет_аналитики'!AO3465*'01_Вводные'!$B$14,0)</f>
        <v/>
      </c>
      <c r="AQ3466">
        <f>IF('01_Вводные'!$B$234="Да",'19_Расчет_аналитики'!AP3465*'01_Вводные'!$B$14,0)</f>
        <v/>
      </c>
      <c r="AR3466">
        <f>IF('01_Вводные'!$B$234="Да",'19_Расчет_аналитики'!AQ3465*'01_Вводные'!$B$14,0)</f>
        <v/>
      </c>
      <c r="AS3466">
        <f>IF('01_Вводные'!$B$234="Да",'19_Расчет_аналитики'!AR3465*'01_Вводные'!$B$14,0)</f>
        <v/>
      </c>
      <c r="AT3466">
        <f>IF('01_Вводные'!$B$234="Да",'19_Расчет_аналитики'!AS3465*'01_Вводные'!$B$14,0)</f>
        <v/>
      </c>
      <c r="AU3466">
        <f>IF('01_Вводные'!$B$234="Да",'19_Расчет_аналитики'!AT3465*'01_Вводные'!$B$14,0)</f>
        <v/>
      </c>
      <c r="AV3466">
        <f>IF('01_Вводные'!$B$234="Да",'19_Расчет_аналитики'!AU3465*'01_Вводные'!$B$14,0)</f>
        <v/>
      </c>
      <c r="AW3466">
        <f>IF('01_Вводные'!$B$234="Да",'19_Расчет_аналитики'!AV3465*'01_Вводные'!$B$14,0)</f>
        <v/>
      </c>
      <c r="AX3466">
        <f>IF('01_Вводные'!$B$234="Да",'19_Расчет_аналитики'!AW3465*'01_Вводные'!$B$14,0)</f>
        <v/>
      </c>
      <c r="AY3466">
        <f>IF('01_Вводные'!$B$234="Да",'19_Расчет_аналитики'!AX3465*'01_Вводные'!$B$14,0)</f>
        <v/>
      </c>
      <c r="AZ3466">
        <f>IF('01_Вводные'!$B$234="Да",'19_Расчет_аналитики'!AY3465*'01_Вводные'!$B$14,0)</f>
        <v/>
      </c>
      <c r="BA3466">
        <f>IF('01_Вводные'!$B$234="Да",'19_Расчет_аналитики'!AZ3465*'01_Вводные'!$B$14,0)</f>
        <v/>
      </c>
      <c r="BB3466">
        <f>IF('01_Вводные'!$B$234="Да",'19_Расчет_аналитики'!BA3465*'01_Вводные'!$B$14,0)</f>
        <v/>
      </c>
      <c r="BC3466">
        <f>IF('01_Вводные'!$B$234="Да",'19_Расчет_аналитики'!BB3465*'01_Вводные'!$B$14,0)</f>
        <v/>
      </c>
      <c r="BD3466">
        <f>IF('01_Вводные'!$B$234="Да",'19_Расчет_аналитики'!BC3465*'01_Вводные'!$B$14,0)</f>
        <v/>
      </c>
      <c r="BE3466">
        <f>IF('01_Вводные'!$B$234="Да",'19_Расчет_аналитики'!BD3465*'01_Вводные'!$B$14,0)</f>
        <v/>
      </c>
      <c r="BF3466">
        <f>IF('01_Вводные'!$B$234="Да",'19_Расчет_аналитики'!BE3465*'01_Вводные'!$B$14,0)</f>
        <v/>
      </c>
      <c r="BG3466">
        <f>IF('01_Вводные'!$B$234="Да",'19_Расчет_аналитики'!BF3465*'01_Вводные'!$B$14,0)</f>
        <v/>
      </c>
      <c r="BH3466">
        <f>IF('01_Вводные'!$B$234="Да",'19_Расчет_аналитики'!BG3465*'01_Вводные'!$B$14,0)</f>
        <v/>
      </c>
      <c r="BI3466">
        <f>IF('01_Вводные'!$B$234="Да",'19_Расчет_аналитики'!BH3465*'01_Вводные'!$B$14,0)</f>
        <v/>
      </c>
      <c r="BJ3466">
        <f>IF('01_Вводные'!$B$234="Да",'19_Расчет_аналитики'!BI3465*'01_Вводные'!$B$14,0)</f>
        <v/>
      </c>
      <c r="BK3466">
        <f>IF('01_Вводные'!$B$234="Да",'19_Расчет_аналитики'!BJ3465*'01_Вводные'!$B$14,0)</f>
        <v/>
      </c>
      <c r="BL3466">
        <f>IF('01_Вводные'!$B$234="Да",'19_Расчет_аналитики'!BK3465*'01_Вводные'!$B$14,0)</f>
        <v/>
      </c>
      <c r="BM3466">
        <f>IF('01_Вводные'!$B$234="Да",'19_Расчет_аналитики'!BL3465*'01_Вводные'!$B$14,0)</f>
        <v/>
      </c>
      <c r="BN3466">
        <f>IF('01_Вводные'!$B$234="Да",'19_Расчет_аналитики'!BM3465*'01_Вводные'!$B$14,0)</f>
        <v/>
      </c>
      <c r="BO3466">
        <f>IF('01_Вводные'!$B$234="Да",'19_Расчет_аналитики'!BN3465*'01_Вводные'!$B$14,0)</f>
        <v/>
      </c>
    </row>
    <row r="3467">
      <c r="B3467">
        <f>'06_Сеть_и_дети'!B76</f>
        <v/>
      </c>
      <c r="C3467">
        <f>'06_Сеть_и_дети'!C76</f>
        <v/>
      </c>
      <c r="D3467">
        <f>'06_Сеть_и_дети'!D76</f>
        <v/>
      </c>
      <c r="E3467">
        <f>'06_Сеть_и_дети'!E76</f>
        <v/>
      </c>
      <c r="F3467">
        <f>'06_Сеть_и_дети'!F76</f>
        <v/>
      </c>
      <c r="G3467">
        <f>'06_Сеть_и_дети'!G76</f>
        <v/>
      </c>
      <c r="H3467">
        <f>'06_Сеть_и_дети'!H76</f>
        <v/>
      </c>
      <c r="I3467">
        <f>'06_Сеть_и_дети'!I76</f>
        <v/>
      </c>
      <c r="J3467">
        <f>'06_Сеть_и_дети'!J76</f>
        <v/>
      </c>
      <c r="K3467">
        <f>'06_Сеть_и_дети'!K76</f>
        <v/>
      </c>
      <c r="L3467">
        <f>'06_Сеть_и_дети'!L76</f>
        <v/>
      </c>
      <c r="M3467">
        <f>'06_Сеть_и_дети'!M76</f>
        <v/>
      </c>
      <c r="N3467">
        <f>'06_Сеть_и_дети'!N76</f>
        <v/>
      </c>
      <c r="O3467">
        <f>'06_Сеть_и_дети'!O76</f>
        <v/>
      </c>
      <c r="P3467">
        <f>'06_Сеть_и_дети'!P76</f>
        <v/>
      </c>
      <c r="Q3467">
        <f>'06_Сеть_и_дети'!Q76</f>
        <v/>
      </c>
      <c r="R3467">
        <f>'06_Сеть_и_дети'!R76</f>
        <v/>
      </c>
      <c r="S3467">
        <f>'06_Сеть_и_дети'!S76</f>
        <v/>
      </c>
      <c r="T3467">
        <f>'06_Сеть_и_дети'!T76</f>
        <v/>
      </c>
      <c r="U3467">
        <f>'06_Сеть_и_дети'!U76</f>
        <v/>
      </c>
      <c r="V3467">
        <f>'06_Сеть_и_дети'!V76</f>
        <v/>
      </c>
      <c r="W3467">
        <f>'06_Сеть_и_дети'!W76</f>
        <v/>
      </c>
      <c r="X3467">
        <f>'06_Сеть_и_дети'!X76</f>
        <v/>
      </c>
      <c r="Y3467">
        <f>IF('01_Вводные'!$B$234="Да",'19_Расчет_аналитики'!X3466*'01_Вводные'!$B$14,0)</f>
        <v/>
      </c>
      <c r="Z3467">
        <f>IF('01_Вводные'!$B$234="Да",'19_Расчет_аналитики'!Y3466*'01_Вводные'!$B$14,0)</f>
        <v/>
      </c>
      <c r="AA3467">
        <f>IF('01_Вводные'!$B$234="Да",'19_Расчет_аналитики'!Z3466*'01_Вводные'!$B$14,0)</f>
        <v/>
      </c>
      <c r="AB3467">
        <f>IF('01_Вводные'!$B$234="Да",'19_Расчет_аналитики'!AA3466*'01_Вводные'!$B$14,0)</f>
        <v/>
      </c>
      <c r="AC3467">
        <f>IF('01_Вводные'!$B$234="Да",'19_Расчет_аналитики'!AB3466*'01_Вводные'!$B$14,0)</f>
        <v/>
      </c>
      <c r="AD3467">
        <f>IF('01_Вводные'!$B$234="Да",'19_Расчет_аналитики'!AC3466*'01_Вводные'!$B$14,0)</f>
        <v/>
      </c>
      <c r="AE3467">
        <f>IF('01_Вводные'!$B$234="Да",'19_Расчет_аналитики'!AD3466*'01_Вводные'!$B$14,0)</f>
        <v/>
      </c>
      <c r="AF3467">
        <f>IF('01_Вводные'!$B$234="Да",'19_Расчет_аналитики'!AE3466*'01_Вводные'!$B$14,0)</f>
        <v/>
      </c>
      <c r="AG3467">
        <f>IF('01_Вводные'!$B$234="Да",'19_Расчет_аналитики'!AF3466*'01_Вводные'!$B$14,0)</f>
        <v/>
      </c>
      <c r="AH3467">
        <f>IF('01_Вводные'!$B$234="Да",'19_Расчет_аналитики'!AG3466*'01_Вводные'!$B$14,0)</f>
        <v/>
      </c>
      <c r="AI3467">
        <f>IF('01_Вводные'!$B$234="Да",'19_Расчет_аналитики'!AH3466*'01_Вводные'!$B$14,0)</f>
        <v/>
      </c>
      <c r="AJ3467">
        <f>IF('01_Вводные'!$B$234="Да",'19_Расчет_аналитики'!AI3466*'01_Вводные'!$B$14,0)</f>
        <v/>
      </c>
      <c r="AK3467">
        <f>IF('01_Вводные'!$B$234="Да",'19_Расчет_аналитики'!AJ3466*'01_Вводные'!$B$14,0)</f>
        <v/>
      </c>
      <c r="AL3467">
        <f>IF('01_Вводные'!$B$234="Да",'19_Расчет_аналитики'!AK3466*'01_Вводные'!$B$14,0)</f>
        <v/>
      </c>
      <c r="AM3467">
        <f>IF('01_Вводные'!$B$234="Да",'19_Расчет_аналитики'!AL3466*'01_Вводные'!$B$14,0)</f>
        <v/>
      </c>
      <c r="AN3467">
        <f>IF('01_Вводные'!$B$234="Да",'19_Расчет_аналитики'!AM3466*'01_Вводные'!$B$14,0)</f>
        <v/>
      </c>
      <c r="AO3467">
        <f>IF('01_Вводные'!$B$234="Да",'19_Расчет_аналитики'!AN3466*'01_Вводные'!$B$14,0)</f>
        <v/>
      </c>
      <c r="AP3467">
        <f>IF('01_Вводные'!$B$234="Да",'19_Расчет_аналитики'!AO3466*'01_Вводные'!$B$14,0)</f>
        <v/>
      </c>
      <c r="AQ3467">
        <f>IF('01_Вводные'!$B$234="Да",'19_Расчет_аналитики'!AP3466*'01_Вводные'!$B$14,0)</f>
        <v/>
      </c>
      <c r="AR3467">
        <f>IF('01_Вводные'!$B$234="Да",'19_Расчет_аналитики'!AQ3466*'01_Вводные'!$B$14,0)</f>
        <v/>
      </c>
      <c r="AS3467">
        <f>IF('01_Вводные'!$B$234="Да",'19_Расчет_аналитики'!AR3466*'01_Вводные'!$B$14,0)</f>
        <v/>
      </c>
      <c r="AT3467">
        <f>IF('01_Вводные'!$B$234="Да",'19_Расчет_аналитики'!AS3466*'01_Вводные'!$B$14,0)</f>
        <v/>
      </c>
      <c r="AU3467">
        <f>IF('01_Вводные'!$B$234="Да",'19_Расчет_аналитики'!AT3466*'01_Вводные'!$B$14,0)</f>
        <v/>
      </c>
      <c r="AV3467">
        <f>IF('01_Вводные'!$B$234="Да",'19_Расчет_аналитики'!AU3466*'01_Вводные'!$B$14,0)</f>
        <v/>
      </c>
      <c r="AW3467">
        <f>IF('01_Вводные'!$B$234="Да",'19_Расчет_аналитики'!AV3466*'01_Вводные'!$B$14,0)</f>
        <v/>
      </c>
      <c r="AX3467">
        <f>IF('01_Вводные'!$B$234="Да",'19_Расчет_аналитики'!AW3466*'01_Вводные'!$B$14,0)</f>
        <v/>
      </c>
      <c r="AY3467">
        <f>IF('01_Вводные'!$B$234="Да",'19_Расчет_аналитики'!AX3466*'01_Вводные'!$B$14,0)</f>
        <v/>
      </c>
      <c r="AZ3467">
        <f>IF('01_Вводные'!$B$234="Да",'19_Расчет_аналитики'!AY3466*'01_Вводные'!$B$14,0)</f>
        <v/>
      </c>
      <c r="BA3467">
        <f>IF('01_Вводные'!$B$234="Да",'19_Расчет_аналитики'!AZ3466*'01_Вводные'!$B$14,0)</f>
        <v/>
      </c>
      <c r="BB3467">
        <f>IF('01_Вводные'!$B$234="Да",'19_Расчет_аналитики'!BA3466*'01_Вводные'!$B$14,0)</f>
        <v/>
      </c>
      <c r="BC3467">
        <f>IF('01_Вводные'!$B$234="Да",'19_Расчет_аналитики'!BB3466*'01_Вводные'!$B$14,0)</f>
        <v/>
      </c>
      <c r="BD3467">
        <f>IF('01_Вводные'!$B$234="Да",'19_Расчет_аналитики'!BC3466*'01_Вводные'!$B$14,0)</f>
        <v/>
      </c>
      <c r="BE3467">
        <f>IF('01_Вводные'!$B$234="Да",'19_Расчет_аналитики'!BD3466*'01_Вводные'!$B$14,0)</f>
        <v/>
      </c>
      <c r="BF3467">
        <f>IF('01_Вводные'!$B$234="Да",'19_Расчет_аналитики'!BE3466*'01_Вводные'!$B$14,0)</f>
        <v/>
      </c>
      <c r="BG3467">
        <f>IF('01_Вводные'!$B$234="Да",'19_Расчет_аналитики'!BF3466*'01_Вводные'!$B$14,0)</f>
        <v/>
      </c>
      <c r="BH3467">
        <f>IF('01_Вводные'!$B$234="Да",'19_Расчет_аналитики'!BG3466*'01_Вводные'!$B$14,0)</f>
        <v/>
      </c>
      <c r="BI3467">
        <f>IF('01_Вводные'!$B$234="Да",'19_Расчет_аналитики'!BH3466*'01_Вводные'!$B$14,0)</f>
        <v/>
      </c>
      <c r="BJ3467">
        <f>IF('01_Вводные'!$B$234="Да",'19_Расчет_аналитики'!BI3466*'01_Вводные'!$B$14,0)</f>
        <v/>
      </c>
      <c r="BK3467">
        <f>IF('01_Вводные'!$B$234="Да",'19_Расчет_аналитики'!BJ3466*'01_Вводные'!$B$14,0)</f>
        <v/>
      </c>
      <c r="BL3467">
        <f>IF('01_Вводные'!$B$234="Да",'19_Расчет_аналитики'!BK3466*'01_Вводные'!$B$14,0)</f>
        <v/>
      </c>
      <c r="BM3467">
        <f>IF('01_Вводные'!$B$234="Да",'19_Расчет_аналитики'!BL3466*'01_Вводные'!$B$14,0)</f>
        <v/>
      </c>
      <c r="BN3467">
        <f>IF('01_Вводные'!$B$234="Да",'19_Расчет_аналитики'!BM3466*'01_Вводные'!$B$14,0)</f>
        <v/>
      </c>
      <c r="BO3467">
        <f>IF('01_Вводные'!$B$234="Да",'19_Расчет_аналитики'!BN3466*'01_Вводные'!$B$14,0)</f>
        <v/>
      </c>
    </row>
    <row r="3468">
      <c r="B3468">
        <f>'06_Сеть_и_дети'!B77</f>
        <v/>
      </c>
      <c r="C3468">
        <f>'06_Сеть_и_дети'!C77</f>
        <v/>
      </c>
      <c r="D3468">
        <f>'06_Сеть_и_дети'!D77</f>
        <v/>
      </c>
      <c r="E3468">
        <f>'06_Сеть_и_дети'!E77</f>
        <v/>
      </c>
      <c r="F3468">
        <f>'06_Сеть_и_дети'!F77</f>
        <v/>
      </c>
      <c r="G3468">
        <f>'06_Сеть_и_дети'!G77</f>
        <v/>
      </c>
      <c r="H3468">
        <f>'06_Сеть_и_дети'!H77</f>
        <v/>
      </c>
      <c r="I3468">
        <f>'06_Сеть_и_дети'!I77</f>
        <v/>
      </c>
      <c r="J3468">
        <f>'06_Сеть_и_дети'!J77</f>
        <v/>
      </c>
      <c r="K3468">
        <f>'06_Сеть_и_дети'!K77</f>
        <v/>
      </c>
      <c r="L3468">
        <f>'06_Сеть_и_дети'!L77</f>
        <v/>
      </c>
      <c r="M3468">
        <f>'06_Сеть_и_дети'!M77</f>
        <v/>
      </c>
      <c r="N3468">
        <f>'06_Сеть_и_дети'!N77</f>
        <v/>
      </c>
      <c r="O3468">
        <f>'06_Сеть_и_дети'!O77</f>
        <v/>
      </c>
      <c r="P3468">
        <f>'06_Сеть_и_дети'!P77</f>
        <v/>
      </c>
      <c r="Q3468">
        <f>'06_Сеть_и_дети'!Q77</f>
        <v/>
      </c>
      <c r="R3468">
        <f>'06_Сеть_и_дети'!R77</f>
        <v/>
      </c>
      <c r="S3468">
        <f>'06_Сеть_и_дети'!S77</f>
        <v/>
      </c>
      <c r="T3468">
        <f>'06_Сеть_и_дети'!T77</f>
        <v/>
      </c>
      <c r="U3468">
        <f>'06_Сеть_и_дети'!U77</f>
        <v/>
      </c>
      <c r="V3468">
        <f>'06_Сеть_и_дети'!V77</f>
        <v/>
      </c>
      <c r="W3468">
        <f>'06_Сеть_и_дети'!W77</f>
        <v/>
      </c>
      <c r="X3468">
        <f>'06_Сеть_и_дети'!X77</f>
        <v/>
      </c>
      <c r="Y3468">
        <f>'06_Сеть_и_дети'!Y77</f>
        <v/>
      </c>
      <c r="Z3468">
        <f>IF('01_Вводные'!$B$234="Да",SUM('19_Расчет_аналитики'!Y3467:Y3468)*'01_Вводные'!$B$14,0)</f>
        <v/>
      </c>
      <c r="AA3468">
        <f>IF('01_Вводные'!$B$234="Да",SUM('19_Расчет_аналитики'!Z3467:Z3468)*'01_Вводные'!$B$14,0)</f>
        <v/>
      </c>
      <c r="AB3468">
        <f>IF('01_Вводные'!$B$234="Да",SUM('19_Расчет_аналитики'!AA3467:AA3468)*'01_Вводные'!$B$14,0)</f>
        <v/>
      </c>
      <c r="AC3468">
        <f>IF('01_Вводные'!$B$234="Да",SUM('19_Расчет_аналитики'!AB3467:AB3468)*'01_Вводные'!$B$14,0)</f>
        <v/>
      </c>
      <c r="AD3468">
        <f>IF('01_Вводные'!$B$234="Да",SUM('19_Расчет_аналитики'!AC3467:AC3468)*'01_Вводные'!$B$14,0)</f>
        <v/>
      </c>
      <c r="AE3468">
        <f>IF('01_Вводные'!$B$234="Да",SUM('19_Расчет_аналитики'!AD3467:AD3468)*'01_Вводные'!$B$14,0)</f>
        <v/>
      </c>
      <c r="AF3468">
        <f>IF('01_Вводные'!$B$234="Да",SUM('19_Расчет_аналитики'!AE3467:AE3468)*'01_Вводные'!$B$14,0)</f>
        <v/>
      </c>
      <c r="AG3468">
        <f>IF('01_Вводные'!$B$234="Да",SUM('19_Расчет_аналитики'!AF3467:AF3468)*'01_Вводные'!$B$14,0)</f>
        <v/>
      </c>
      <c r="AH3468">
        <f>IF('01_Вводные'!$B$234="Да",SUM('19_Расчет_аналитики'!AG3467:AG3468)*'01_Вводные'!$B$14,0)</f>
        <v/>
      </c>
      <c r="AI3468">
        <f>IF('01_Вводные'!$B$234="Да",SUM('19_Расчет_аналитики'!AH3467:AH3468)*'01_Вводные'!$B$14,0)</f>
        <v/>
      </c>
      <c r="AJ3468">
        <f>IF('01_Вводные'!$B$234="Да",SUM('19_Расчет_аналитики'!AI3467:AI3468)*'01_Вводные'!$B$14,0)</f>
        <v/>
      </c>
      <c r="AK3468">
        <f>IF('01_Вводные'!$B$234="Да",SUM('19_Расчет_аналитики'!AJ3467:AJ3468)*'01_Вводные'!$B$14,0)</f>
        <v/>
      </c>
      <c r="AL3468">
        <f>IF('01_Вводные'!$B$234="Да",SUM('19_Расчет_аналитики'!AK3467:AK3468)*'01_Вводные'!$B$14,0)</f>
        <v/>
      </c>
      <c r="AM3468">
        <f>IF('01_Вводные'!$B$234="Да",SUM('19_Расчет_аналитики'!AL3467:AL3468)*'01_Вводные'!$B$14,0)</f>
        <v/>
      </c>
      <c r="AN3468">
        <f>IF('01_Вводные'!$B$234="Да",SUM('19_Расчет_аналитики'!AM3467:AM3468)*'01_Вводные'!$B$14,0)</f>
        <v/>
      </c>
      <c r="AO3468">
        <f>IF('01_Вводные'!$B$234="Да",SUM('19_Расчет_аналитики'!AN3467:AN3468)*'01_Вводные'!$B$14,0)</f>
        <v/>
      </c>
      <c r="AP3468">
        <f>IF('01_Вводные'!$B$234="Да",SUM('19_Расчет_аналитики'!AO3467:AO3468)*'01_Вводные'!$B$14,0)</f>
        <v/>
      </c>
      <c r="AQ3468">
        <f>IF('01_Вводные'!$B$234="Да",SUM('19_Расчет_аналитики'!AP3467:AP3468)*'01_Вводные'!$B$14,0)</f>
        <v/>
      </c>
      <c r="AR3468">
        <f>IF('01_Вводные'!$B$234="Да",SUM('19_Расчет_аналитики'!AQ3467:AQ3468)*'01_Вводные'!$B$14,0)</f>
        <v/>
      </c>
      <c r="AS3468">
        <f>IF('01_Вводные'!$B$234="Да",SUM('19_Расчет_аналитики'!AR3467:AR3468)*'01_Вводные'!$B$14,0)</f>
        <v/>
      </c>
      <c r="AT3468">
        <f>IF('01_Вводные'!$B$234="Да",SUM('19_Расчет_аналитики'!AS3467:AS3468)*'01_Вводные'!$B$14,0)</f>
        <v/>
      </c>
      <c r="AU3468">
        <f>IF('01_Вводные'!$B$234="Да",SUM('19_Расчет_аналитики'!AT3467:AT3468)*'01_Вводные'!$B$14,0)</f>
        <v/>
      </c>
      <c r="AV3468">
        <f>IF('01_Вводные'!$B$234="Да",SUM('19_Расчет_аналитики'!AU3467:AU3468)*'01_Вводные'!$B$14,0)</f>
        <v/>
      </c>
      <c r="AW3468">
        <f>IF('01_Вводные'!$B$234="Да",SUM('19_Расчет_аналитики'!AV3467:AV3468)*'01_Вводные'!$B$14,0)</f>
        <v/>
      </c>
      <c r="AX3468">
        <f>IF('01_Вводные'!$B$234="Да",SUM('19_Расчет_аналитики'!AW3467:AW3468)*'01_Вводные'!$B$14,0)</f>
        <v/>
      </c>
      <c r="AY3468">
        <f>IF('01_Вводные'!$B$234="Да",SUM('19_Расчет_аналитики'!AX3467:AX3468)*'01_Вводные'!$B$14,0)</f>
        <v/>
      </c>
      <c r="AZ3468">
        <f>IF('01_Вводные'!$B$234="Да",SUM('19_Расчет_аналитики'!AY3467:AY3468)*'01_Вводные'!$B$14,0)</f>
        <v/>
      </c>
      <c r="BA3468">
        <f>IF('01_Вводные'!$B$234="Да",SUM('19_Расчет_аналитики'!AZ3467:AZ3468)*'01_Вводные'!$B$14,0)</f>
        <v/>
      </c>
      <c r="BB3468">
        <f>IF('01_Вводные'!$B$234="Да",SUM('19_Расчет_аналитики'!BA3467:BA3468)*'01_Вводные'!$B$14,0)</f>
        <v/>
      </c>
      <c r="BC3468">
        <f>IF('01_Вводные'!$B$234="Да",SUM('19_Расчет_аналитики'!BB3467:BB3468)*'01_Вводные'!$B$14,0)</f>
        <v/>
      </c>
      <c r="BD3468">
        <f>IF('01_Вводные'!$B$234="Да",SUM('19_Расчет_аналитики'!BC3467:BC3468)*'01_Вводные'!$B$14,0)</f>
        <v/>
      </c>
      <c r="BE3468">
        <f>IF('01_Вводные'!$B$234="Да",SUM('19_Расчет_аналитики'!BD3467:BD3468)*'01_Вводные'!$B$14,0)</f>
        <v/>
      </c>
      <c r="BF3468">
        <f>IF('01_Вводные'!$B$234="Да",SUM('19_Расчет_аналитики'!BE3467:BE3468)*'01_Вводные'!$B$14,0)</f>
        <v/>
      </c>
      <c r="BG3468">
        <f>IF('01_Вводные'!$B$234="Да",SUM('19_Расчет_аналитики'!BF3467:BF3468)*'01_Вводные'!$B$14,0)</f>
        <v/>
      </c>
      <c r="BH3468">
        <f>IF('01_Вводные'!$B$234="Да",SUM('19_Расчет_аналитики'!BG3467:BG3468)*'01_Вводные'!$B$14,0)</f>
        <v/>
      </c>
      <c r="BI3468">
        <f>IF('01_Вводные'!$B$234="Да",SUM('19_Расчет_аналитики'!BH3467:BH3468)*'01_Вводные'!$B$14,0)</f>
        <v/>
      </c>
      <c r="BJ3468">
        <f>IF('01_Вводные'!$B$234="Да",SUM('19_Расчет_аналитики'!BI3467:BI3468)*'01_Вводные'!$B$14,0)</f>
        <v/>
      </c>
      <c r="BK3468">
        <f>IF('01_Вводные'!$B$234="Да",SUM('19_Расчет_аналитики'!BJ3467:BJ3468)*'01_Вводные'!$B$14,0)</f>
        <v/>
      </c>
      <c r="BL3468">
        <f>IF('01_Вводные'!$B$234="Да",SUM('19_Расчет_аналитики'!BK3467:BK3468)*'01_Вводные'!$B$14,0)</f>
        <v/>
      </c>
      <c r="BM3468">
        <f>IF('01_Вводные'!$B$234="Да",SUM('19_Расчет_аналитики'!BL3467:BL3468)*'01_Вводные'!$B$14,0)</f>
        <v/>
      </c>
      <c r="BN3468">
        <f>IF('01_Вводные'!$B$234="Да",SUM('19_Расчет_аналитики'!BM3467:BM3468)*'01_Вводные'!$B$14,0)</f>
        <v/>
      </c>
      <c r="BO3468">
        <f>IF('01_Вводные'!$B$234="Да",SUM('19_Расчет_аналитики'!BN3467:BN3468)*'01_Вводные'!$B$14,0)</f>
        <v/>
      </c>
    </row>
    <row r="3469"/>
    <row r="3470"/>
    <row r="3471"/>
    <row r="3472">
      <c r="B3472">
        <f>IF('01_Вводные'!$B$234="Да",'19_Расчет_аналитики'!B3424,0)</f>
        <v/>
      </c>
      <c r="C3472">
        <f>IF('01_Вводные'!$B$234="Да",'19_Расчет_аналитики'!C3424,0)</f>
        <v/>
      </c>
      <c r="D3472">
        <f>IF('01_Вводные'!$B$234="Да",'19_Расчет_аналитики'!D3424,0)</f>
        <v/>
      </c>
      <c r="E3472">
        <f>IF('01_Вводные'!$B$234="Да",'19_Расчет_аналитики'!E3424,0)</f>
        <v/>
      </c>
      <c r="F3472">
        <f>IF('01_Вводные'!$B$234="Да",'19_Расчет_аналитики'!F3424,0)</f>
        <v/>
      </c>
      <c r="G3472">
        <f>IF('01_Вводные'!$B$234="Да",'19_Расчет_аналитики'!G3424,0)</f>
        <v/>
      </c>
      <c r="H3472">
        <f>IF('01_Вводные'!$B$234="Да",'19_Расчет_аналитики'!H3424,0)</f>
        <v/>
      </c>
      <c r="I3472">
        <f>IF('01_Вводные'!$B$234="Да",'19_Расчет_аналитики'!I3424,0)</f>
        <v/>
      </c>
      <c r="J3472">
        <f>IF('01_Вводные'!$B$234="Да",'19_Расчет_аналитики'!J3424,0)</f>
        <v/>
      </c>
      <c r="K3472">
        <f>IF('01_Вводные'!$B$234="Да",'19_Расчет_аналитики'!K3424,0)</f>
        <v/>
      </c>
      <c r="L3472">
        <f>IF('01_Вводные'!$B$234="Да",'19_Расчет_аналитики'!L3424,0)</f>
        <v/>
      </c>
      <c r="M3472">
        <f>IF('01_Вводные'!$B$234="Да",'19_Расчет_аналитики'!M3424,0)</f>
        <v/>
      </c>
      <c r="N3472">
        <f>IF('01_Вводные'!$B$234="Да",'19_Расчет_аналитики'!N3424,0)</f>
        <v/>
      </c>
      <c r="O3472">
        <f>IF('01_Вводные'!$B$234="Да",'19_Расчет_аналитики'!O3424,0)</f>
        <v/>
      </c>
      <c r="P3472">
        <f>IF('01_Вводные'!$B$234="Да",'19_Расчет_аналитики'!P3424,0)</f>
        <v/>
      </c>
      <c r="Q3472">
        <f>IF('01_Вводные'!$B$234="Да",'19_Расчет_аналитики'!Q3424,0)</f>
        <v/>
      </c>
      <c r="R3472">
        <f>IF('01_Вводные'!$B$234="Да",'19_Расчет_аналитики'!R3424,0)</f>
        <v/>
      </c>
      <c r="S3472">
        <f>IF('01_Вводные'!$B$234="Да",'19_Расчет_аналитики'!S3424,0)</f>
        <v/>
      </c>
      <c r="T3472">
        <f>IF('01_Вводные'!$B$234="Да",'19_Расчет_аналитики'!T3424,0)</f>
        <v/>
      </c>
      <c r="U3472">
        <f>IF('01_Вводные'!$B$234="Да",'19_Расчет_аналитики'!U3424,0)</f>
        <v/>
      </c>
      <c r="V3472">
        <f>IF('01_Вводные'!$B$234="Да",'19_Расчет_аналитики'!V3424,0)</f>
        <v/>
      </c>
      <c r="W3472">
        <f>IF('01_Вводные'!$B$234="Да",'19_Расчет_аналитики'!W3424,0)</f>
        <v/>
      </c>
      <c r="X3472">
        <f>IF('01_Вводные'!$B$234="Да",'19_Расчет_аналитики'!X3424,0)</f>
        <v/>
      </c>
      <c r="Y3472">
        <f>IF('01_Вводные'!$B$234="Да",'19_Расчет_аналитики'!Y3424,0)</f>
        <v/>
      </c>
      <c r="Z3472">
        <f>IF('01_Вводные'!$B$234="Да",'19_Расчет_аналитики'!Z3424,0)</f>
        <v/>
      </c>
      <c r="AA3472">
        <f>IF('01_Вводные'!$B$234="Да",'19_Расчет_аналитики'!AA3424,0)</f>
        <v/>
      </c>
      <c r="AB3472">
        <f>IF('01_Вводные'!$B$234="Да",'19_Расчет_аналитики'!AB3424,0)</f>
        <v/>
      </c>
      <c r="AC3472">
        <f>IF('01_Вводные'!$B$234="Да",'19_Расчет_аналитики'!AC3424,0)</f>
        <v/>
      </c>
      <c r="AD3472">
        <f>IF('01_Вводные'!$B$234="Да",'19_Расчет_аналитики'!AD3424,0)</f>
        <v/>
      </c>
      <c r="AE3472">
        <f>IF('01_Вводные'!$B$234="Да",'19_Расчет_аналитики'!AE3424,0)</f>
        <v/>
      </c>
      <c r="AF3472">
        <f>IF('01_Вводные'!$B$234="Да",'19_Расчет_аналитики'!AF3424,0)</f>
        <v/>
      </c>
      <c r="AG3472">
        <f>IF('01_Вводные'!$B$234="Да",'19_Расчет_аналитики'!AG3424,0)</f>
        <v/>
      </c>
      <c r="AH3472">
        <f>IF('01_Вводные'!$B$234="Да",'19_Расчет_аналитики'!AH3424,0)</f>
        <v/>
      </c>
      <c r="AI3472">
        <f>IF('01_Вводные'!$B$234="Да",'19_Расчет_аналитики'!AI3424,0)</f>
        <v/>
      </c>
      <c r="AJ3472">
        <f>IF('01_Вводные'!$B$234="Да",'19_Расчет_аналитики'!AJ3424,0)</f>
        <v/>
      </c>
      <c r="AK3472">
        <f>IF('01_Вводные'!$B$234="Да",'19_Расчет_аналитики'!AK3424,0)</f>
        <v/>
      </c>
      <c r="AL3472">
        <f>IF('01_Вводные'!$B$234="Да",'19_Расчет_аналитики'!AL3424,0)</f>
        <v/>
      </c>
      <c r="AM3472">
        <f>IF('01_Вводные'!$B$234="Да",'19_Расчет_аналитики'!AM3424,0)</f>
        <v/>
      </c>
      <c r="AN3472">
        <f>IF('01_Вводные'!$B$234="Да",'19_Расчет_аналитики'!AN3424,0)</f>
        <v/>
      </c>
      <c r="AO3472">
        <f>IF('01_Вводные'!$B$234="Да",'19_Расчет_аналитики'!AO3424,0)</f>
        <v/>
      </c>
      <c r="AP3472">
        <f>IF('01_Вводные'!$B$234="Да",'19_Расчет_аналитики'!AP3424,0)</f>
        <v/>
      </c>
      <c r="AQ3472">
        <f>IF('01_Вводные'!$B$234="Да",'19_Расчет_аналитики'!AQ3424,0)</f>
        <v/>
      </c>
      <c r="AR3472">
        <f>IF('01_Вводные'!$B$234="Да",'19_Расчет_аналитики'!AR3424,0)</f>
        <v/>
      </c>
      <c r="AS3472">
        <f>IF('01_Вводные'!$B$234="Да",'19_Расчет_аналитики'!AS3424,0)</f>
        <v/>
      </c>
      <c r="AT3472">
        <f>IF('01_Вводные'!$B$234="Да",'19_Расчет_аналитики'!AT3424,0)</f>
        <v/>
      </c>
      <c r="AU3472">
        <f>IF('01_Вводные'!$B$234="Да",'19_Расчет_аналитики'!AU3424,0)</f>
        <v/>
      </c>
      <c r="AV3472">
        <f>IF('01_Вводные'!$B$234="Да",'19_Расчет_аналитики'!AV3424,0)</f>
        <v/>
      </c>
      <c r="AW3472">
        <f>IF('01_Вводные'!$B$234="Да",'19_Расчет_аналитики'!AW3424,0)</f>
        <v/>
      </c>
      <c r="AX3472">
        <f>IF('01_Вводные'!$B$234="Да",'19_Расчет_аналитики'!AX3424,0)</f>
        <v/>
      </c>
      <c r="AY3472">
        <f>IF('01_Вводные'!$B$234="Да",'19_Расчет_аналитики'!AY3424,0)</f>
        <v/>
      </c>
      <c r="AZ3472">
        <f>IF('01_Вводные'!$B$234="Да",'19_Расчет_аналитики'!AZ3424,0)</f>
        <v/>
      </c>
      <c r="BA3472">
        <f>IF('01_Вводные'!$B$234="Да",'19_Расчет_аналитики'!BA3424,0)</f>
        <v/>
      </c>
      <c r="BB3472">
        <f>IF('01_Вводные'!$B$234="Да",'19_Расчет_аналитики'!BB3424,0)</f>
        <v/>
      </c>
      <c r="BC3472">
        <f>IF('01_Вводные'!$B$234="Да",'19_Расчет_аналитики'!BC3424,0)</f>
        <v/>
      </c>
      <c r="BD3472">
        <f>IF('01_Вводные'!$B$234="Да",'19_Расчет_аналитики'!BD3424,0)</f>
        <v/>
      </c>
      <c r="BE3472">
        <f>IF('01_Вводные'!$B$234="Да",'19_Расчет_аналитики'!BE3424,0)</f>
        <v/>
      </c>
      <c r="BF3472">
        <f>IF('01_Вводные'!$B$234="Да",'19_Расчет_аналитики'!BF3424,0)</f>
        <v/>
      </c>
      <c r="BG3472">
        <f>IF('01_Вводные'!$B$234="Да",'19_Расчет_аналитики'!BG3424,0)</f>
        <v/>
      </c>
      <c r="BH3472">
        <f>IF('01_Вводные'!$B$234="Да",'19_Расчет_аналитики'!BH3424,0)</f>
        <v/>
      </c>
      <c r="BI3472">
        <f>IF('01_Вводные'!$B$234="Да",'19_Расчет_аналитики'!BI3424,0)</f>
        <v/>
      </c>
      <c r="BJ3472">
        <f>IF('01_Вводные'!$B$234="Да",'19_Расчет_аналитики'!BJ3424,0)</f>
        <v/>
      </c>
      <c r="BK3472">
        <f>IF('01_Вводные'!$B$234="Да",'19_Расчет_аналитики'!BK3424,0)</f>
        <v/>
      </c>
      <c r="BL3472">
        <f>IF('01_Вводные'!$B$234="Да",'19_Расчет_аналитики'!BL3424,0)</f>
        <v/>
      </c>
      <c r="BM3472">
        <f>IF('01_Вводные'!$B$234="Да",'19_Расчет_аналитики'!BM3424,0)</f>
        <v/>
      </c>
      <c r="BN3472">
        <f>IF('01_Вводные'!$B$234="Да",'19_Расчет_аналитики'!BN3424,0)</f>
        <v/>
      </c>
      <c r="BO3472">
        <f>IF('01_Вводные'!$B$234="Да",'19_Расчет_аналитики'!BO3424,0)</f>
        <v/>
      </c>
    </row>
    <row r="3473">
      <c r="B3473">
        <f>'06_Сеть_и_дети'!B82</f>
        <v/>
      </c>
      <c r="C3473">
        <f>IF('01_Вводные'!$B$234="Да",'19_Расчет_аналитики'!B3472*'01_Вводные'!$B$14,0)</f>
        <v/>
      </c>
      <c r="D3473">
        <f>IF('01_Вводные'!$B$234="Да",'19_Расчет_аналитики'!C3472*'01_Вводные'!$B$14,0)</f>
        <v/>
      </c>
      <c r="E3473">
        <f>IF('01_Вводные'!$B$234="Да",'19_Расчет_аналитики'!D3472*'01_Вводные'!$B$14,0)</f>
        <v/>
      </c>
      <c r="F3473">
        <f>IF('01_Вводные'!$B$234="Да",'19_Расчет_аналитики'!E3472*'01_Вводные'!$B$14,0)</f>
        <v/>
      </c>
      <c r="G3473">
        <f>IF('01_Вводные'!$B$234="Да",'19_Расчет_аналитики'!F3472*'01_Вводные'!$B$14,0)</f>
        <v/>
      </c>
      <c r="H3473">
        <f>IF('01_Вводные'!$B$234="Да",'19_Расчет_аналитики'!G3472*'01_Вводные'!$B$14,0)</f>
        <v/>
      </c>
      <c r="I3473">
        <f>IF('01_Вводные'!$B$234="Да",'19_Расчет_аналитики'!H3472*'01_Вводные'!$B$14,0)</f>
        <v/>
      </c>
      <c r="J3473">
        <f>IF('01_Вводные'!$B$234="Да",'19_Расчет_аналитики'!I3472*'01_Вводные'!$B$14,0)</f>
        <v/>
      </c>
      <c r="K3473">
        <f>IF('01_Вводные'!$B$234="Да",'19_Расчет_аналитики'!J3472*'01_Вводные'!$B$14,0)</f>
        <v/>
      </c>
      <c r="L3473">
        <f>IF('01_Вводные'!$B$234="Да",'19_Расчет_аналитики'!K3472*'01_Вводные'!$B$14,0)</f>
        <v/>
      </c>
      <c r="M3473">
        <f>IF('01_Вводные'!$B$234="Да",'19_Расчет_аналитики'!L3472*'01_Вводные'!$B$14,0)</f>
        <v/>
      </c>
      <c r="N3473">
        <f>IF('01_Вводные'!$B$234="Да",'19_Расчет_аналитики'!M3472*'01_Вводные'!$B$14,0)</f>
        <v/>
      </c>
      <c r="O3473">
        <f>IF('01_Вводные'!$B$234="Да",'19_Расчет_аналитики'!N3472*'01_Вводные'!$B$14,0)</f>
        <v/>
      </c>
      <c r="P3473">
        <f>IF('01_Вводные'!$B$234="Да",'19_Расчет_аналитики'!O3472*'01_Вводные'!$B$14,0)</f>
        <v/>
      </c>
      <c r="Q3473">
        <f>IF('01_Вводные'!$B$234="Да",'19_Расчет_аналитики'!P3472*'01_Вводные'!$B$14,0)</f>
        <v/>
      </c>
      <c r="R3473">
        <f>IF('01_Вводные'!$B$234="Да",'19_Расчет_аналитики'!Q3472*'01_Вводные'!$B$14,0)</f>
        <v/>
      </c>
      <c r="S3473">
        <f>IF('01_Вводные'!$B$234="Да",'19_Расчет_аналитики'!R3472*'01_Вводные'!$B$14,0)</f>
        <v/>
      </c>
      <c r="T3473">
        <f>IF('01_Вводные'!$B$234="Да",'19_Расчет_аналитики'!S3472*'01_Вводные'!$B$14,0)</f>
        <v/>
      </c>
      <c r="U3473">
        <f>IF('01_Вводные'!$B$234="Да",'19_Расчет_аналитики'!T3472*'01_Вводные'!$B$14,0)</f>
        <v/>
      </c>
      <c r="V3473">
        <f>IF('01_Вводные'!$B$234="Да",'19_Расчет_аналитики'!U3472*'01_Вводные'!$B$14,0)</f>
        <v/>
      </c>
      <c r="W3473">
        <f>IF('01_Вводные'!$B$234="Да",'19_Расчет_аналитики'!V3472*'01_Вводные'!$B$14,0)</f>
        <v/>
      </c>
      <c r="X3473">
        <f>IF('01_Вводные'!$B$234="Да",'19_Расчет_аналитики'!W3472*'01_Вводные'!$B$14,0)</f>
        <v/>
      </c>
      <c r="Y3473">
        <f>IF('01_Вводные'!$B$234="Да",'19_Расчет_аналитики'!X3472*'01_Вводные'!$B$14,0)</f>
        <v/>
      </c>
      <c r="Z3473">
        <f>IF('01_Вводные'!$B$234="Да",'19_Расчет_аналитики'!Y3472*'01_Вводные'!$B$14,0)</f>
        <v/>
      </c>
      <c r="AA3473">
        <f>IF('01_Вводные'!$B$234="Да",'19_Расчет_аналитики'!Z3472*'01_Вводные'!$B$14,0)</f>
        <v/>
      </c>
      <c r="AB3473">
        <f>IF('01_Вводные'!$B$234="Да",'19_Расчет_аналитики'!AA3472*'01_Вводные'!$B$14,0)</f>
        <v/>
      </c>
      <c r="AC3473">
        <f>IF('01_Вводные'!$B$234="Да",'19_Расчет_аналитики'!AB3472*'01_Вводные'!$B$14,0)</f>
        <v/>
      </c>
      <c r="AD3473">
        <f>IF('01_Вводные'!$B$234="Да",'19_Расчет_аналитики'!AC3472*'01_Вводные'!$B$14,0)</f>
        <v/>
      </c>
      <c r="AE3473">
        <f>IF('01_Вводные'!$B$234="Да",'19_Расчет_аналитики'!AD3472*'01_Вводные'!$B$14,0)</f>
        <v/>
      </c>
      <c r="AF3473">
        <f>IF('01_Вводные'!$B$234="Да",'19_Расчет_аналитики'!AE3472*'01_Вводные'!$B$14,0)</f>
        <v/>
      </c>
      <c r="AG3473">
        <f>IF('01_Вводные'!$B$234="Да",'19_Расчет_аналитики'!AF3472*'01_Вводные'!$B$14,0)</f>
        <v/>
      </c>
      <c r="AH3473">
        <f>IF('01_Вводные'!$B$234="Да",'19_Расчет_аналитики'!AG3472*'01_Вводные'!$B$14,0)</f>
        <v/>
      </c>
      <c r="AI3473">
        <f>IF('01_Вводные'!$B$234="Да",'19_Расчет_аналитики'!AH3472*'01_Вводные'!$B$14,0)</f>
        <v/>
      </c>
      <c r="AJ3473">
        <f>IF('01_Вводные'!$B$234="Да",'19_Расчет_аналитики'!AI3472*'01_Вводные'!$B$14,0)</f>
        <v/>
      </c>
      <c r="AK3473">
        <f>IF('01_Вводные'!$B$234="Да",'19_Расчет_аналитики'!AJ3472*'01_Вводные'!$B$14,0)</f>
        <v/>
      </c>
      <c r="AL3473">
        <f>IF('01_Вводные'!$B$234="Да",'19_Расчет_аналитики'!AK3472*'01_Вводные'!$B$14,0)</f>
        <v/>
      </c>
      <c r="AM3473">
        <f>IF('01_Вводные'!$B$234="Да",'19_Расчет_аналитики'!AL3472*'01_Вводные'!$B$14,0)</f>
        <v/>
      </c>
      <c r="AN3473">
        <f>IF('01_Вводные'!$B$234="Да",'19_Расчет_аналитики'!AM3472*'01_Вводные'!$B$14,0)</f>
        <v/>
      </c>
      <c r="AO3473">
        <f>IF('01_Вводные'!$B$234="Да",'19_Расчет_аналитики'!AN3472*'01_Вводные'!$B$14,0)</f>
        <v/>
      </c>
      <c r="AP3473">
        <f>IF('01_Вводные'!$B$234="Да",'19_Расчет_аналитики'!AO3472*'01_Вводные'!$B$14,0)</f>
        <v/>
      </c>
      <c r="AQ3473">
        <f>IF('01_Вводные'!$B$234="Да",'19_Расчет_аналитики'!AP3472*'01_Вводные'!$B$14,0)</f>
        <v/>
      </c>
      <c r="AR3473">
        <f>IF('01_Вводные'!$B$234="Да",'19_Расчет_аналитики'!AQ3472*'01_Вводные'!$B$14,0)</f>
        <v/>
      </c>
      <c r="AS3473">
        <f>IF('01_Вводные'!$B$234="Да",'19_Расчет_аналитики'!AR3472*'01_Вводные'!$B$14,0)</f>
        <v/>
      </c>
      <c r="AT3473">
        <f>IF('01_Вводные'!$B$234="Да",'19_Расчет_аналитики'!AS3472*'01_Вводные'!$B$14,0)</f>
        <v/>
      </c>
      <c r="AU3473">
        <f>IF('01_Вводные'!$B$234="Да",'19_Расчет_аналитики'!AT3472*'01_Вводные'!$B$14,0)</f>
        <v/>
      </c>
      <c r="AV3473">
        <f>IF('01_Вводные'!$B$234="Да",'19_Расчет_аналитики'!AU3472*'01_Вводные'!$B$14,0)</f>
        <v/>
      </c>
      <c r="AW3473">
        <f>IF('01_Вводные'!$B$234="Да",'19_Расчет_аналитики'!AV3472*'01_Вводные'!$B$14,0)</f>
        <v/>
      </c>
      <c r="AX3473">
        <f>IF('01_Вводные'!$B$234="Да",'19_Расчет_аналитики'!AW3472*'01_Вводные'!$B$14,0)</f>
        <v/>
      </c>
      <c r="AY3473">
        <f>IF('01_Вводные'!$B$234="Да",'19_Расчет_аналитики'!AX3472*'01_Вводные'!$B$14,0)</f>
        <v/>
      </c>
      <c r="AZ3473">
        <f>IF('01_Вводные'!$B$234="Да",'19_Расчет_аналитики'!AY3472*'01_Вводные'!$B$14,0)</f>
        <v/>
      </c>
      <c r="BA3473">
        <f>IF('01_Вводные'!$B$234="Да",'19_Расчет_аналитики'!AZ3472*'01_Вводные'!$B$14,0)</f>
        <v/>
      </c>
      <c r="BB3473">
        <f>IF('01_Вводные'!$B$234="Да",'19_Расчет_аналитики'!BA3472*'01_Вводные'!$B$14,0)</f>
        <v/>
      </c>
      <c r="BC3473">
        <f>IF('01_Вводные'!$B$234="Да",'19_Расчет_аналитики'!BB3472*'01_Вводные'!$B$14,0)</f>
        <v/>
      </c>
      <c r="BD3473">
        <f>IF('01_Вводные'!$B$234="Да",'19_Расчет_аналитики'!BC3472*'01_Вводные'!$B$14,0)</f>
        <v/>
      </c>
      <c r="BE3473">
        <f>IF('01_Вводные'!$B$234="Да",'19_Расчет_аналитики'!BD3472*'01_Вводные'!$B$14,0)</f>
        <v/>
      </c>
      <c r="BF3473">
        <f>IF('01_Вводные'!$B$234="Да",'19_Расчет_аналитики'!BE3472*'01_Вводные'!$B$14,0)</f>
        <v/>
      </c>
      <c r="BG3473">
        <f>IF('01_Вводные'!$B$234="Да",'19_Расчет_аналитики'!BF3472*'01_Вводные'!$B$14,0)</f>
        <v/>
      </c>
      <c r="BH3473">
        <f>IF('01_Вводные'!$B$234="Да",'19_Расчет_аналитики'!BG3472*'01_Вводные'!$B$14,0)</f>
        <v/>
      </c>
      <c r="BI3473">
        <f>IF('01_Вводные'!$B$234="Да",'19_Расчет_аналитики'!BH3472*'01_Вводные'!$B$14,0)</f>
        <v/>
      </c>
      <c r="BJ3473">
        <f>IF('01_Вводные'!$B$234="Да",'19_Расчет_аналитики'!BI3472*'01_Вводные'!$B$14,0)</f>
        <v/>
      </c>
      <c r="BK3473">
        <f>IF('01_Вводные'!$B$234="Да",'19_Расчет_аналитики'!BJ3472*'01_Вводные'!$B$14,0)</f>
        <v/>
      </c>
      <c r="BL3473">
        <f>IF('01_Вводные'!$B$234="Да",'19_Расчет_аналитики'!BK3472*'01_Вводные'!$B$14,0)</f>
        <v/>
      </c>
      <c r="BM3473">
        <f>IF('01_Вводные'!$B$234="Да",'19_Расчет_аналитики'!BL3472*'01_Вводные'!$B$14,0)</f>
        <v/>
      </c>
      <c r="BN3473">
        <f>IF('01_Вводные'!$B$234="Да",'19_Расчет_аналитики'!BM3472*'01_Вводные'!$B$14,0)</f>
        <v/>
      </c>
      <c r="BO3473">
        <f>IF('01_Вводные'!$B$234="Да",'19_Расчет_аналитики'!BN3472*'01_Вводные'!$B$14,0)</f>
        <v/>
      </c>
    </row>
    <row r="3474">
      <c r="B3474">
        <f>'06_Сеть_и_дети'!B83</f>
        <v/>
      </c>
      <c r="C3474">
        <f>'06_Сеть_и_дети'!C83</f>
        <v/>
      </c>
      <c r="D3474">
        <f>IF('01_Вводные'!$B$234="Да",'19_Расчет_аналитики'!C3473*'01_Вводные'!$B$14,0)</f>
        <v/>
      </c>
      <c r="E3474">
        <f>IF('01_Вводные'!$B$234="Да",'19_Расчет_аналитики'!D3473*'01_Вводные'!$B$14,0)</f>
        <v/>
      </c>
      <c r="F3474">
        <f>IF('01_Вводные'!$B$234="Да",'19_Расчет_аналитики'!E3473*'01_Вводные'!$B$14,0)</f>
        <v/>
      </c>
      <c r="G3474">
        <f>IF('01_Вводные'!$B$234="Да",'19_Расчет_аналитики'!F3473*'01_Вводные'!$B$14,0)</f>
        <v/>
      </c>
      <c r="H3474">
        <f>IF('01_Вводные'!$B$234="Да",'19_Расчет_аналитики'!G3473*'01_Вводные'!$B$14,0)</f>
        <v/>
      </c>
      <c r="I3474">
        <f>IF('01_Вводные'!$B$234="Да",'19_Расчет_аналитики'!H3473*'01_Вводные'!$B$14,0)</f>
        <v/>
      </c>
      <c r="J3474">
        <f>IF('01_Вводные'!$B$234="Да",'19_Расчет_аналитики'!I3473*'01_Вводные'!$B$14,0)</f>
        <v/>
      </c>
      <c r="K3474">
        <f>IF('01_Вводные'!$B$234="Да",'19_Расчет_аналитики'!J3473*'01_Вводные'!$B$14,0)</f>
        <v/>
      </c>
      <c r="L3474">
        <f>IF('01_Вводные'!$B$234="Да",'19_Расчет_аналитики'!K3473*'01_Вводные'!$B$14,0)</f>
        <v/>
      </c>
      <c r="M3474">
        <f>IF('01_Вводные'!$B$234="Да",'19_Расчет_аналитики'!L3473*'01_Вводные'!$B$14,0)</f>
        <v/>
      </c>
      <c r="N3474">
        <f>IF('01_Вводные'!$B$234="Да",'19_Расчет_аналитики'!M3473*'01_Вводные'!$B$14,0)</f>
        <v/>
      </c>
      <c r="O3474">
        <f>IF('01_Вводные'!$B$234="Да",'19_Расчет_аналитики'!N3473*'01_Вводные'!$B$14,0)</f>
        <v/>
      </c>
      <c r="P3474">
        <f>IF('01_Вводные'!$B$234="Да",'19_Расчет_аналитики'!O3473*'01_Вводные'!$B$14,0)</f>
        <v/>
      </c>
      <c r="Q3474">
        <f>IF('01_Вводные'!$B$234="Да",'19_Расчет_аналитики'!P3473*'01_Вводные'!$B$14,0)</f>
        <v/>
      </c>
      <c r="R3474">
        <f>IF('01_Вводные'!$B$234="Да",'19_Расчет_аналитики'!Q3473*'01_Вводные'!$B$14,0)</f>
        <v/>
      </c>
      <c r="S3474">
        <f>IF('01_Вводные'!$B$234="Да",'19_Расчет_аналитики'!R3473*'01_Вводные'!$B$14,0)</f>
        <v/>
      </c>
      <c r="T3474">
        <f>IF('01_Вводные'!$B$234="Да",'19_Расчет_аналитики'!S3473*'01_Вводные'!$B$14,0)</f>
        <v/>
      </c>
      <c r="U3474">
        <f>IF('01_Вводные'!$B$234="Да",'19_Расчет_аналитики'!T3473*'01_Вводные'!$B$14,0)</f>
        <v/>
      </c>
      <c r="V3474">
        <f>IF('01_Вводные'!$B$234="Да",'19_Расчет_аналитики'!U3473*'01_Вводные'!$B$14,0)</f>
        <v/>
      </c>
      <c r="W3474">
        <f>IF('01_Вводные'!$B$234="Да",'19_Расчет_аналитики'!V3473*'01_Вводные'!$B$14,0)</f>
        <v/>
      </c>
      <c r="X3474">
        <f>IF('01_Вводные'!$B$234="Да",'19_Расчет_аналитики'!W3473*'01_Вводные'!$B$14,0)</f>
        <v/>
      </c>
      <c r="Y3474">
        <f>IF('01_Вводные'!$B$234="Да",'19_Расчет_аналитики'!X3473*'01_Вводные'!$B$14,0)</f>
        <v/>
      </c>
      <c r="Z3474">
        <f>IF('01_Вводные'!$B$234="Да",'19_Расчет_аналитики'!Y3473*'01_Вводные'!$B$14,0)</f>
        <v/>
      </c>
      <c r="AA3474">
        <f>IF('01_Вводные'!$B$234="Да",'19_Расчет_аналитики'!Z3473*'01_Вводные'!$B$14,0)</f>
        <v/>
      </c>
      <c r="AB3474">
        <f>IF('01_Вводные'!$B$234="Да",'19_Расчет_аналитики'!AA3473*'01_Вводные'!$B$14,0)</f>
        <v/>
      </c>
      <c r="AC3474">
        <f>IF('01_Вводные'!$B$234="Да",'19_Расчет_аналитики'!AB3473*'01_Вводные'!$B$14,0)</f>
        <v/>
      </c>
      <c r="AD3474">
        <f>IF('01_Вводные'!$B$234="Да",'19_Расчет_аналитики'!AC3473*'01_Вводные'!$B$14,0)</f>
        <v/>
      </c>
      <c r="AE3474">
        <f>IF('01_Вводные'!$B$234="Да",'19_Расчет_аналитики'!AD3473*'01_Вводные'!$B$14,0)</f>
        <v/>
      </c>
      <c r="AF3474">
        <f>IF('01_Вводные'!$B$234="Да",'19_Расчет_аналитики'!AE3473*'01_Вводные'!$B$14,0)</f>
        <v/>
      </c>
      <c r="AG3474">
        <f>IF('01_Вводные'!$B$234="Да",'19_Расчет_аналитики'!AF3473*'01_Вводные'!$B$14,0)</f>
        <v/>
      </c>
      <c r="AH3474">
        <f>IF('01_Вводные'!$B$234="Да",'19_Расчет_аналитики'!AG3473*'01_Вводные'!$B$14,0)</f>
        <v/>
      </c>
      <c r="AI3474">
        <f>IF('01_Вводные'!$B$234="Да",'19_Расчет_аналитики'!AH3473*'01_Вводные'!$B$14,0)</f>
        <v/>
      </c>
      <c r="AJ3474">
        <f>IF('01_Вводные'!$B$234="Да",'19_Расчет_аналитики'!AI3473*'01_Вводные'!$B$14,0)</f>
        <v/>
      </c>
      <c r="AK3474">
        <f>IF('01_Вводные'!$B$234="Да",'19_Расчет_аналитики'!AJ3473*'01_Вводные'!$B$14,0)</f>
        <v/>
      </c>
      <c r="AL3474">
        <f>IF('01_Вводные'!$B$234="Да",'19_Расчет_аналитики'!AK3473*'01_Вводные'!$B$14,0)</f>
        <v/>
      </c>
      <c r="AM3474">
        <f>IF('01_Вводные'!$B$234="Да",'19_Расчет_аналитики'!AL3473*'01_Вводные'!$B$14,0)</f>
        <v/>
      </c>
      <c r="AN3474">
        <f>IF('01_Вводные'!$B$234="Да",'19_Расчет_аналитики'!AM3473*'01_Вводные'!$B$14,0)</f>
        <v/>
      </c>
      <c r="AO3474">
        <f>IF('01_Вводные'!$B$234="Да",'19_Расчет_аналитики'!AN3473*'01_Вводные'!$B$14,0)</f>
        <v/>
      </c>
      <c r="AP3474">
        <f>IF('01_Вводные'!$B$234="Да",'19_Расчет_аналитики'!AO3473*'01_Вводные'!$B$14,0)</f>
        <v/>
      </c>
      <c r="AQ3474">
        <f>IF('01_Вводные'!$B$234="Да",'19_Расчет_аналитики'!AP3473*'01_Вводные'!$B$14,0)</f>
        <v/>
      </c>
      <c r="AR3474">
        <f>IF('01_Вводные'!$B$234="Да",'19_Расчет_аналитики'!AQ3473*'01_Вводные'!$B$14,0)</f>
        <v/>
      </c>
      <c r="AS3474">
        <f>IF('01_Вводные'!$B$234="Да",'19_Расчет_аналитики'!AR3473*'01_Вводные'!$B$14,0)</f>
        <v/>
      </c>
      <c r="AT3474">
        <f>IF('01_Вводные'!$B$234="Да",'19_Расчет_аналитики'!AS3473*'01_Вводные'!$B$14,0)</f>
        <v/>
      </c>
      <c r="AU3474">
        <f>IF('01_Вводные'!$B$234="Да",'19_Расчет_аналитики'!AT3473*'01_Вводные'!$B$14,0)</f>
        <v/>
      </c>
      <c r="AV3474">
        <f>IF('01_Вводные'!$B$234="Да",'19_Расчет_аналитики'!AU3473*'01_Вводные'!$B$14,0)</f>
        <v/>
      </c>
      <c r="AW3474">
        <f>IF('01_Вводные'!$B$234="Да",'19_Расчет_аналитики'!AV3473*'01_Вводные'!$B$14,0)</f>
        <v/>
      </c>
      <c r="AX3474">
        <f>IF('01_Вводные'!$B$234="Да",'19_Расчет_аналитики'!AW3473*'01_Вводные'!$B$14,0)</f>
        <v/>
      </c>
      <c r="AY3474">
        <f>IF('01_Вводные'!$B$234="Да",'19_Расчет_аналитики'!AX3473*'01_Вводные'!$B$14,0)</f>
        <v/>
      </c>
      <c r="AZ3474">
        <f>IF('01_Вводные'!$B$234="Да",'19_Расчет_аналитики'!AY3473*'01_Вводные'!$B$14,0)</f>
        <v/>
      </c>
      <c r="BA3474">
        <f>IF('01_Вводные'!$B$234="Да",'19_Расчет_аналитики'!AZ3473*'01_Вводные'!$B$14,0)</f>
        <v/>
      </c>
      <c r="BB3474">
        <f>IF('01_Вводные'!$B$234="Да",'19_Расчет_аналитики'!BA3473*'01_Вводные'!$B$14,0)</f>
        <v/>
      </c>
      <c r="BC3474">
        <f>IF('01_Вводные'!$B$234="Да",'19_Расчет_аналитики'!BB3473*'01_Вводные'!$B$14,0)</f>
        <v/>
      </c>
      <c r="BD3474">
        <f>IF('01_Вводные'!$B$234="Да",'19_Расчет_аналитики'!BC3473*'01_Вводные'!$B$14,0)</f>
        <v/>
      </c>
      <c r="BE3474">
        <f>IF('01_Вводные'!$B$234="Да",'19_Расчет_аналитики'!BD3473*'01_Вводные'!$B$14,0)</f>
        <v/>
      </c>
      <c r="BF3474">
        <f>IF('01_Вводные'!$B$234="Да",'19_Расчет_аналитики'!BE3473*'01_Вводные'!$B$14,0)</f>
        <v/>
      </c>
      <c r="BG3474">
        <f>IF('01_Вводные'!$B$234="Да",'19_Расчет_аналитики'!BF3473*'01_Вводные'!$B$14,0)</f>
        <v/>
      </c>
      <c r="BH3474">
        <f>IF('01_Вводные'!$B$234="Да",'19_Расчет_аналитики'!BG3473*'01_Вводные'!$B$14,0)</f>
        <v/>
      </c>
      <c r="BI3474">
        <f>IF('01_Вводные'!$B$234="Да",'19_Расчет_аналитики'!BH3473*'01_Вводные'!$B$14,0)</f>
        <v/>
      </c>
      <c r="BJ3474">
        <f>IF('01_Вводные'!$B$234="Да",'19_Расчет_аналитики'!BI3473*'01_Вводные'!$B$14,0)</f>
        <v/>
      </c>
      <c r="BK3474">
        <f>IF('01_Вводные'!$B$234="Да",'19_Расчет_аналитики'!BJ3473*'01_Вводные'!$B$14,0)</f>
        <v/>
      </c>
      <c r="BL3474">
        <f>IF('01_Вводные'!$B$234="Да",'19_Расчет_аналитики'!BK3473*'01_Вводные'!$B$14,0)</f>
        <v/>
      </c>
      <c r="BM3474">
        <f>IF('01_Вводные'!$B$234="Да",'19_Расчет_аналитики'!BL3473*'01_Вводные'!$B$14,0)</f>
        <v/>
      </c>
      <c r="BN3474">
        <f>IF('01_Вводные'!$B$234="Да",'19_Расчет_аналитики'!BM3473*'01_Вводные'!$B$14,0)</f>
        <v/>
      </c>
      <c r="BO3474">
        <f>IF('01_Вводные'!$B$234="Да",'19_Расчет_аналитики'!BN3473*'01_Вводные'!$B$14,0)</f>
        <v/>
      </c>
    </row>
    <row r="3475">
      <c r="B3475">
        <f>'06_Сеть_и_дети'!B84</f>
        <v/>
      </c>
      <c r="C3475">
        <f>'06_Сеть_и_дети'!C84</f>
        <v/>
      </c>
      <c r="D3475">
        <f>'06_Сеть_и_дети'!D84</f>
        <v/>
      </c>
      <c r="E3475">
        <f>IF('01_Вводные'!$B$234="Да",'19_Расчет_аналитики'!D3474*'01_Вводные'!$B$14,0)</f>
        <v/>
      </c>
      <c r="F3475">
        <f>IF('01_Вводные'!$B$234="Да",'19_Расчет_аналитики'!E3474*'01_Вводные'!$B$14,0)</f>
        <v/>
      </c>
      <c r="G3475">
        <f>IF('01_Вводные'!$B$234="Да",'19_Расчет_аналитики'!F3474*'01_Вводные'!$B$14,0)</f>
        <v/>
      </c>
      <c r="H3475">
        <f>IF('01_Вводные'!$B$234="Да",'19_Расчет_аналитики'!G3474*'01_Вводные'!$B$14,0)</f>
        <v/>
      </c>
      <c r="I3475">
        <f>IF('01_Вводные'!$B$234="Да",'19_Расчет_аналитики'!H3474*'01_Вводные'!$B$14,0)</f>
        <v/>
      </c>
      <c r="J3475">
        <f>IF('01_Вводные'!$B$234="Да",'19_Расчет_аналитики'!I3474*'01_Вводные'!$B$14,0)</f>
        <v/>
      </c>
      <c r="K3475">
        <f>IF('01_Вводные'!$B$234="Да",'19_Расчет_аналитики'!J3474*'01_Вводные'!$B$14,0)</f>
        <v/>
      </c>
      <c r="L3475">
        <f>IF('01_Вводные'!$B$234="Да",'19_Расчет_аналитики'!K3474*'01_Вводные'!$B$14,0)</f>
        <v/>
      </c>
      <c r="M3475">
        <f>IF('01_Вводные'!$B$234="Да",'19_Расчет_аналитики'!L3474*'01_Вводные'!$B$14,0)</f>
        <v/>
      </c>
      <c r="N3475">
        <f>IF('01_Вводные'!$B$234="Да",'19_Расчет_аналитики'!M3474*'01_Вводные'!$B$14,0)</f>
        <v/>
      </c>
      <c r="O3475">
        <f>IF('01_Вводные'!$B$234="Да",'19_Расчет_аналитики'!N3474*'01_Вводные'!$B$14,0)</f>
        <v/>
      </c>
      <c r="P3475">
        <f>IF('01_Вводные'!$B$234="Да",'19_Расчет_аналитики'!O3474*'01_Вводные'!$B$14,0)</f>
        <v/>
      </c>
      <c r="Q3475">
        <f>IF('01_Вводные'!$B$234="Да",'19_Расчет_аналитики'!P3474*'01_Вводные'!$B$14,0)</f>
        <v/>
      </c>
      <c r="R3475">
        <f>IF('01_Вводные'!$B$234="Да",'19_Расчет_аналитики'!Q3474*'01_Вводные'!$B$14,0)</f>
        <v/>
      </c>
      <c r="S3475">
        <f>IF('01_Вводные'!$B$234="Да",'19_Расчет_аналитики'!R3474*'01_Вводные'!$B$14,0)</f>
        <v/>
      </c>
      <c r="T3475">
        <f>IF('01_Вводные'!$B$234="Да",'19_Расчет_аналитики'!S3474*'01_Вводные'!$B$14,0)</f>
        <v/>
      </c>
      <c r="U3475">
        <f>IF('01_Вводные'!$B$234="Да",'19_Расчет_аналитики'!T3474*'01_Вводные'!$B$14,0)</f>
        <v/>
      </c>
      <c r="V3475">
        <f>IF('01_Вводные'!$B$234="Да",'19_Расчет_аналитики'!U3474*'01_Вводные'!$B$14,0)</f>
        <v/>
      </c>
      <c r="W3475">
        <f>IF('01_Вводные'!$B$234="Да",'19_Расчет_аналитики'!V3474*'01_Вводные'!$B$14,0)</f>
        <v/>
      </c>
      <c r="X3475">
        <f>IF('01_Вводные'!$B$234="Да",'19_Расчет_аналитики'!W3474*'01_Вводные'!$B$14,0)</f>
        <v/>
      </c>
      <c r="Y3475">
        <f>IF('01_Вводные'!$B$234="Да",'19_Расчет_аналитики'!X3474*'01_Вводные'!$B$14,0)</f>
        <v/>
      </c>
      <c r="Z3475">
        <f>IF('01_Вводные'!$B$234="Да",'19_Расчет_аналитики'!Y3474*'01_Вводные'!$B$14,0)</f>
        <v/>
      </c>
      <c r="AA3475">
        <f>IF('01_Вводные'!$B$234="Да",'19_Расчет_аналитики'!Z3474*'01_Вводные'!$B$14,0)</f>
        <v/>
      </c>
      <c r="AB3475">
        <f>IF('01_Вводные'!$B$234="Да",'19_Расчет_аналитики'!AA3474*'01_Вводные'!$B$14,0)</f>
        <v/>
      </c>
      <c r="AC3475">
        <f>IF('01_Вводные'!$B$234="Да",'19_Расчет_аналитики'!AB3474*'01_Вводные'!$B$14,0)</f>
        <v/>
      </c>
      <c r="AD3475">
        <f>IF('01_Вводные'!$B$234="Да",'19_Расчет_аналитики'!AC3474*'01_Вводные'!$B$14,0)</f>
        <v/>
      </c>
      <c r="AE3475">
        <f>IF('01_Вводные'!$B$234="Да",'19_Расчет_аналитики'!AD3474*'01_Вводные'!$B$14,0)</f>
        <v/>
      </c>
      <c r="AF3475">
        <f>IF('01_Вводные'!$B$234="Да",'19_Расчет_аналитики'!AE3474*'01_Вводные'!$B$14,0)</f>
        <v/>
      </c>
      <c r="AG3475">
        <f>IF('01_Вводные'!$B$234="Да",'19_Расчет_аналитики'!AF3474*'01_Вводные'!$B$14,0)</f>
        <v/>
      </c>
      <c r="AH3475">
        <f>IF('01_Вводные'!$B$234="Да",'19_Расчет_аналитики'!AG3474*'01_Вводные'!$B$14,0)</f>
        <v/>
      </c>
      <c r="AI3475">
        <f>IF('01_Вводные'!$B$234="Да",'19_Расчет_аналитики'!AH3474*'01_Вводные'!$B$14,0)</f>
        <v/>
      </c>
      <c r="AJ3475">
        <f>IF('01_Вводные'!$B$234="Да",'19_Расчет_аналитики'!AI3474*'01_Вводные'!$B$14,0)</f>
        <v/>
      </c>
      <c r="AK3475">
        <f>IF('01_Вводные'!$B$234="Да",'19_Расчет_аналитики'!AJ3474*'01_Вводные'!$B$14,0)</f>
        <v/>
      </c>
      <c r="AL3475">
        <f>IF('01_Вводные'!$B$234="Да",'19_Расчет_аналитики'!AK3474*'01_Вводные'!$B$14,0)</f>
        <v/>
      </c>
      <c r="AM3475">
        <f>IF('01_Вводные'!$B$234="Да",'19_Расчет_аналитики'!AL3474*'01_Вводные'!$B$14,0)</f>
        <v/>
      </c>
      <c r="AN3475">
        <f>IF('01_Вводные'!$B$234="Да",'19_Расчет_аналитики'!AM3474*'01_Вводные'!$B$14,0)</f>
        <v/>
      </c>
      <c r="AO3475">
        <f>IF('01_Вводные'!$B$234="Да",'19_Расчет_аналитики'!AN3474*'01_Вводные'!$B$14,0)</f>
        <v/>
      </c>
      <c r="AP3475">
        <f>IF('01_Вводные'!$B$234="Да",'19_Расчет_аналитики'!AO3474*'01_Вводные'!$B$14,0)</f>
        <v/>
      </c>
      <c r="AQ3475">
        <f>IF('01_Вводные'!$B$234="Да",'19_Расчет_аналитики'!AP3474*'01_Вводные'!$B$14,0)</f>
        <v/>
      </c>
      <c r="AR3475">
        <f>IF('01_Вводные'!$B$234="Да",'19_Расчет_аналитики'!AQ3474*'01_Вводные'!$B$14,0)</f>
        <v/>
      </c>
      <c r="AS3475">
        <f>IF('01_Вводные'!$B$234="Да",'19_Расчет_аналитики'!AR3474*'01_Вводные'!$B$14,0)</f>
        <v/>
      </c>
      <c r="AT3475">
        <f>IF('01_Вводные'!$B$234="Да",'19_Расчет_аналитики'!AS3474*'01_Вводные'!$B$14,0)</f>
        <v/>
      </c>
      <c r="AU3475">
        <f>IF('01_Вводные'!$B$234="Да",'19_Расчет_аналитики'!AT3474*'01_Вводные'!$B$14,0)</f>
        <v/>
      </c>
      <c r="AV3475">
        <f>IF('01_Вводные'!$B$234="Да",'19_Расчет_аналитики'!AU3474*'01_Вводные'!$B$14,0)</f>
        <v/>
      </c>
      <c r="AW3475">
        <f>IF('01_Вводные'!$B$234="Да",'19_Расчет_аналитики'!AV3474*'01_Вводные'!$B$14,0)</f>
        <v/>
      </c>
      <c r="AX3475">
        <f>IF('01_Вводные'!$B$234="Да",'19_Расчет_аналитики'!AW3474*'01_Вводные'!$B$14,0)</f>
        <v/>
      </c>
      <c r="AY3475">
        <f>IF('01_Вводные'!$B$234="Да",'19_Расчет_аналитики'!AX3474*'01_Вводные'!$B$14,0)</f>
        <v/>
      </c>
      <c r="AZ3475">
        <f>IF('01_Вводные'!$B$234="Да",'19_Расчет_аналитики'!AY3474*'01_Вводные'!$B$14,0)</f>
        <v/>
      </c>
      <c r="BA3475">
        <f>IF('01_Вводные'!$B$234="Да",'19_Расчет_аналитики'!AZ3474*'01_Вводные'!$B$14,0)</f>
        <v/>
      </c>
      <c r="BB3475">
        <f>IF('01_Вводные'!$B$234="Да",'19_Расчет_аналитики'!BA3474*'01_Вводные'!$B$14,0)</f>
        <v/>
      </c>
      <c r="BC3475">
        <f>IF('01_Вводные'!$B$234="Да",'19_Расчет_аналитики'!BB3474*'01_Вводные'!$B$14,0)</f>
        <v/>
      </c>
      <c r="BD3475">
        <f>IF('01_Вводные'!$B$234="Да",'19_Расчет_аналитики'!BC3474*'01_Вводные'!$B$14,0)</f>
        <v/>
      </c>
      <c r="BE3475">
        <f>IF('01_Вводные'!$B$234="Да",'19_Расчет_аналитики'!BD3474*'01_Вводные'!$B$14,0)</f>
        <v/>
      </c>
      <c r="BF3475">
        <f>IF('01_Вводные'!$B$234="Да",'19_Расчет_аналитики'!BE3474*'01_Вводные'!$B$14,0)</f>
        <v/>
      </c>
      <c r="BG3475">
        <f>IF('01_Вводные'!$B$234="Да",'19_Расчет_аналитики'!BF3474*'01_Вводные'!$B$14,0)</f>
        <v/>
      </c>
      <c r="BH3475">
        <f>IF('01_Вводные'!$B$234="Да",'19_Расчет_аналитики'!BG3474*'01_Вводные'!$B$14,0)</f>
        <v/>
      </c>
      <c r="BI3475">
        <f>IF('01_Вводные'!$B$234="Да",'19_Расчет_аналитики'!BH3474*'01_Вводные'!$B$14,0)</f>
        <v/>
      </c>
      <c r="BJ3475">
        <f>IF('01_Вводные'!$B$234="Да",'19_Расчет_аналитики'!BI3474*'01_Вводные'!$B$14,0)</f>
        <v/>
      </c>
      <c r="BK3475">
        <f>IF('01_Вводные'!$B$234="Да",'19_Расчет_аналитики'!BJ3474*'01_Вводные'!$B$14,0)</f>
        <v/>
      </c>
      <c r="BL3475">
        <f>IF('01_Вводные'!$B$234="Да",'19_Расчет_аналитики'!BK3474*'01_Вводные'!$B$14,0)</f>
        <v/>
      </c>
      <c r="BM3475">
        <f>IF('01_Вводные'!$B$234="Да",'19_Расчет_аналитики'!BL3474*'01_Вводные'!$B$14,0)</f>
        <v/>
      </c>
      <c r="BN3475">
        <f>IF('01_Вводные'!$B$234="Да",'19_Расчет_аналитики'!BM3474*'01_Вводные'!$B$14,0)</f>
        <v/>
      </c>
      <c r="BO3475">
        <f>IF('01_Вводные'!$B$234="Да",'19_Расчет_аналитики'!BN3474*'01_Вводные'!$B$14,0)</f>
        <v/>
      </c>
    </row>
    <row r="3476">
      <c r="B3476">
        <f>'06_Сеть_и_дети'!B85</f>
        <v/>
      </c>
      <c r="C3476">
        <f>'06_Сеть_и_дети'!C85</f>
        <v/>
      </c>
      <c r="D3476">
        <f>'06_Сеть_и_дети'!D85</f>
        <v/>
      </c>
      <c r="E3476">
        <f>'06_Сеть_и_дети'!E85</f>
        <v/>
      </c>
      <c r="F3476">
        <f>IF('01_Вводные'!$B$234="Да",'19_Расчет_аналитики'!E3475*'01_Вводные'!$B$14,0)</f>
        <v/>
      </c>
      <c r="G3476">
        <f>IF('01_Вводные'!$B$234="Да",'19_Расчет_аналитики'!F3475*'01_Вводные'!$B$14,0)</f>
        <v/>
      </c>
      <c r="H3476">
        <f>IF('01_Вводные'!$B$234="Да",'19_Расчет_аналитики'!G3475*'01_Вводные'!$B$14,0)</f>
        <v/>
      </c>
      <c r="I3476">
        <f>IF('01_Вводные'!$B$234="Да",'19_Расчет_аналитики'!H3475*'01_Вводные'!$B$14,0)</f>
        <v/>
      </c>
      <c r="J3476">
        <f>IF('01_Вводные'!$B$234="Да",'19_Расчет_аналитики'!I3475*'01_Вводные'!$B$14,0)</f>
        <v/>
      </c>
      <c r="K3476">
        <f>IF('01_Вводные'!$B$234="Да",'19_Расчет_аналитики'!J3475*'01_Вводные'!$B$14,0)</f>
        <v/>
      </c>
      <c r="L3476">
        <f>IF('01_Вводные'!$B$234="Да",'19_Расчет_аналитики'!K3475*'01_Вводные'!$B$14,0)</f>
        <v/>
      </c>
      <c r="M3476">
        <f>IF('01_Вводные'!$B$234="Да",'19_Расчет_аналитики'!L3475*'01_Вводные'!$B$14,0)</f>
        <v/>
      </c>
      <c r="N3476">
        <f>IF('01_Вводные'!$B$234="Да",'19_Расчет_аналитики'!M3475*'01_Вводные'!$B$14,0)</f>
        <v/>
      </c>
      <c r="O3476">
        <f>IF('01_Вводные'!$B$234="Да",'19_Расчет_аналитики'!N3475*'01_Вводные'!$B$14,0)</f>
        <v/>
      </c>
      <c r="P3476">
        <f>IF('01_Вводные'!$B$234="Да",'19_Расчет_аналитики'!O3475*'01_Вводные'!$B$14,0)</f>
        <v/>
      </c>
      <c r="Q3476">
        <f>IF('01_Вводные'!$B$234="Да",'19_Расчет_аналитики'!P3475*'01_Вводные'!$B$14,0)</f>
        <v/>
      </c>
      <c r="R3476">
        <f>IF('01_Вводные'!$B$234="Да",'19_Расчет_аналитики'!Q3475*'01_Вводные'!$B$14,0)</f>
        <v/>
      </c>
      <c r="S3476">
        <f>IF('01_Вводные'!$B$234="Да",'19_Расчет_аналитики'!R3475*'01_Вводные'!$B$14,0)</f>
        <v/>
      </c>
      <c r="T3476">
        <f>IF('01_Вводные'!$B$234="Да",'19_Расчет_аналитики'!S3475*'01_Вводные'!$B$14,0)</f>
        <v/>
      </c>
      <c r="U3476">
        <f>IF('01_Вводные'!$B$234="Да",'19_Расчет_аналитики'!T3475*'01_Вводные'!$B$14,0)</f>
        <v/>
      </c>
      <c r="V3476">
        <f>IF('01_Вводные'!$B$234="Да",'19_Расчет_аналитики'!U3475*'01_Вводные'!$B$14,0)</f>
        <v/>
      </c>
      <c r="W3476">
        <f>IF('01_Вводные'!$B$234="Да",'19_Расчет_аналитики'!V3475*'01_Вводные'!$B$14,0)</f>
        <v/>
      </c>
      <c r="X3476">
        <f>IF('01_Вводные'!$B$234="Да",'19_Расчет_аналитики'!W3475*'01_Вводные'!$B$14,0)</f>
        <v/>
      </c>
      <c r="Y3476">
        <f>IF('01_Вводные'!$B$234="Да",'19_Расчет_аналитики'!X3475*'01_Вводные'!$B$14,0)</f>
        <v/>
      </c>
      <c r="Z3476">
        <f>IF('01_Вводные'!$B$234="Да",'19_Расчет_аналитики'!Y3475*'01_Вводные'!$B$14,0)</f>
        <v/>
      </c>
      <c r="AA3476">
        <f>IF('01_Вводные'!$B$234="Да",'19_Расчет_аналитики'!Z3475*'01_Вводные'!$B$14,0)</f>
        <v/>
      </c>
      <c r="AB3476">
        <f>IF('01_Вводные'!$B$234="Да",'19_Расчет_аналитики'!AA3475*'01_Вводные'!$B$14,0)</f>
        <v/>
      </c>
      <c r="AC3476">
        <f>IF('01_Вводные'!$B$234="Да",'19_Расчет_аналитики'!AB3475*'01_Вводные'!$B$14,0)</f>
        <v/>
      </c>
      <c r="AD3476">
        <f>IF('01_Вводные'!$B$234="Да",'19_Расчет_аналитики'!AC3475*'01_Вводные'!$B$14,0)</f>
        <v/>
      </c>
      <c r="AE3476">
        <f>IF('01_Вводные'!$B$234="Да",'19_Расчет_аналитики'!AD3475*'01_Вводные'!$B$14,0)</f>
        <v/>
      </c>
      <c r="AF3476">
        <f>IF('01_Вводные'!$B$234="Да",'19_Расчет_аналитики'!AE3475*'01_Вводные'!$B$14,0)</f>
        <v/>
      </c>
      <c r="AG3476">
        <f>IF('01_Вводные'!$B$234="Да",'19_Расчет_аналитики'!AF3475*'01_Вводные'!$B$14,0)</f>
        <v/>
      </c>
      <c r="AH3476">
        <f>IF('01_Вводные'!$B$234="Да",'19_Расчет_аналитики'!AG3475*'01_Вводные'!$B$14,0)</f>
        <v/>
      </c>
      <c r="AI3476">
        <f>IF('01_Вводные'!$B$234="Да",'19_Расчет_аналитики'!AH3475*'01_Вводные'!$B$14,0)</f>
        <v/>
      </c>
      <c r="AJ3476">
        <f>IF('01_Вводные'!$B$234="Да",'19_Расчет_аналитики'!AI3475*'01_Вводные'!$B$14,0)</f>
        <v/>
      </c>
      <c r="AK3476">
        <f>IF('01_Вводные'!$B$234="Да",'19_Расчет_аналитики'!AJ3475*'01_Вводные'!$B$14,0)</f>
        <v/>
      </c>
      <c r="AL3476">
        <f>IF('01_Вводные'!$B$234="Да",'19_Расчет_аналитики'!AK3475*'01_Вводные'!$B$14,0)</f>
        <v/>
      </c>
      <c r="AM3476">
        <f>IF('01_Вводные'!$B$234="Да",'19_Расчет_аналитики'!AL3475*'01_Вводные'!$B$14,0)</f>
        <v/>
      </c>
      <c r="AN3476">
        <f>IF('01_Вводные'!$B$234="Да",'19_Расчет_аналитики'!AM3475*'01_Вводные'!$B$14,0)</f>
        <v/>
      </c>
      <c r="AO3476">
        <f>IF('01_Вводные'!$B$234="Да",'19_Расчет_аналитики'!AN3475*'01_Вводные'!$B$14,0)</f>
        <v/>
      </c>
      <c r="AP3476">
        <f>IF('01_Вводные'!$B$234="Да",'19_Расчет_аналитики'!AO3475*'01_Вводные'!$B$14,0)</f>
        <v/>
      </c>
      <c r="AQ3476">
        <f>IF('01_Вводные'!$B$234="Да",'19_Расчет_аналитики'!AP3475*'01_Вводные'!$B$14,0)</f>
        <v/>
      </c>
      <c r="AR3476">
        <f>IF('01_Вводные'!$B$234="Да",'19_Расчет_аналитики'!AQ3475*'01_Вводные'!$B$14,0)</f>
        <v/>
      </c>
      <c r="AS3476">
        <f>IF('01_Вводные'!$B$234="Да",'19_Расчет_аналитики'!AR3475*'01_Вводные'!$B$14,0)</f>
        <v/>
      </c>
      <c r="AT3476">
        <f>IF('01_Вводные'!$B$234="Да",'19_Расчет_аналитики'!AS3475*'01_Вводные'!$B$14,0)</f>
        <v/>
      </c>
      <c r="AU3476">
        <f>IF('01_Вводные'!$B$234="Да",'19_Расчет_аналитики'!AT3475*'01_Вводные'!$B$14,0)</f>
        <v/>
      </c>
      <c r="AV3476">
        <f>IF('01_Вводные'!$B$234="Да",'19_Расчет_аналитики'!AU3475*'01_Вводные'!$B$14,0)</f>
        <v/>
      </c>
      <c r="AW3476">
        <f>IF('01_Вводные'!$B$234="Да",'19_Расчет_аналитики'!AV3475*'01_Вводные'!$B$14,0)</f>
        <v/>
      </c>
      <c r="AX3476">
        <f>IF('01_Вводные'!$B$234="Да",'19_Расчет_аналитики'!AW3475*'01_Вводные'!$B$14,0)</f>
        <v/>
      </c>
      <c r="AY3476">
        <f>IF('01_Вводные'!$B$234="Да",'19_Расчет_аналитики'!AX3475*'01_Вводные'!$B$14,0)</f>
        <v/>
      </c>
      <c r="AZ3476">
        <f>IF('01_Вводные'!$B$234="Да",'19_Расчет_аналитики'!AY3475*'01_Вводные'!$B$14,0)</f>
        <v/>
      </c>
      <c r="BA3476">
        <f>IF('01_Вводные'!$B$234="Да",'19_Расчет_аналитики'!AZ3475*'01_Вводные'!$B$14,0)</f>
        <v/>
      </c>
      <c r="BB3476">
        <f>IF('01_Вводные'!$B$234="Да",'19_Расчет_аналитики'!BA3475*'01_Вводные'!$B$14,0)</f>
        <v/>
      </c>
      <c r="BC3476">
        <f>IF('01_Вводные'!$B$234="Да",'19_Расчет_аналитики'!BB3475*'01_Вводные'!$B$14,0)</f>
        <v/>
      </c>
      <c r="BD3476">
        <f>IF('01_Вводные'!$B$234="Да",'19_Расчет_аналитики'!BC3475*'01_Вводные'!$B$14,0)</f>
        <v/>
      </c>
      <c r="BE3476">
        <f>IF('01_Вводные'!$B$234="Да",'19_Расчет_аналитики'!BD3475*'01_Вводные'!$B$14,0)</f>
        <v/>
      </c>
      <c r="BF3476">
        <f>IF('01_Вводные'!$B$234="Да",'19_Расчет_аналитики'!BE3475*'01_Вводные'!$B$14,0)</f>
        <v/>
      </c>
      <c r="BG3476">
        <f>IF('01_Вводные'!$B$234="Да",'19_Расчет_аналитики'!BF3475*'01_Вводные'!$B$14,0)</f>
        <v/>
      </c>
      <c r="BH3476">
        <f>IF('01_Вводные'!$B$234="Да",'19_Расчет_аналитики'!BG3475*'01_Вводные'!$B$14,0)</f>
        <v/>
      </c>
      <c r="BI3476">
        <f>IF('01_Вводные'!$B$234="Да",'19_Расчет_аналитики'!BH3475*'01_Вводные'!$B$14,0)</f>
        <v/>
      </c>
      <c r="BJ3476">
        <f>IF('01_Вводные'!$B$234="Да",'19_Расчет_аналитики'!BI3475*'01_Вводные'!$B$14,0)</f>
        <v/>
      </c>
      <c r="BK3476">
        <f>IF('01_Вводные'!$B$234="Да",'19_Расчет_аналитики'!BJ3475*'01_Вводные'!$B$14,0)</f>
        <v/>
      </c>
      <c r="BL3476">
        <f>IF('01_Вводные'!$B$234="Да",'19_Расчет_аналитики'!BK3475*'01_Вводные'!$B$14,0)</f>
        <v/>
      </c>
      <c r="BM3476">
        <f>IF('01_Вводные'!$B$234="Да",'19_Расчет_аналитики'!BL3475*'01_Вводные'!$B$14,0)</f>
        <v/>
      </c>
      <c r="BN3476">
        <f>IF('01_Вводные'!$B$234="Да",'19_Расчет_аналитики'!BM3475*'01_Вводные'!$B$14,0)</f>
        <v/>
      </c>
      <c r="BO3476">
        <f>IF('01_Вводные'!$B$234="Да",'19_Расчет_аналитики'!BN3475*'01_Вводные'!$B$14,0)</f>
        <v/>
      </c>
    </row>
    <row r="3477">
      <c r="B3477">
        <f>'06_Сеть_и_дети'!B86</f>
        <v/>
      </c>
      <c r="C3477">
        <f>'06_Сеть_и_дети'!C86</f>
        <v/>
      </c>
      <c r="D3477">
        <f>'06_Сеть_и_дети'!D86</f>
        <v/>
      </c>
      <c r="E3477">
        <f>'06_Сеть_и_дети'!E86</f>
        <v/>
      </c>
      <c r="F3477">
        <f>'06_Сеть_и_дети'!F86</f>
        <v/>
      </c>
      <c r="G3477">
        <f>IF('01_Вводные'!$B$234="Да",'19_Расчет_аналитики'!F3476*'01_Вводные'!$B$14,0)</f>
        <v/>
      </c>
      <c r="H3477">
        <f>IF('01_Вводные'!$B$234="Да",'19_Расчет_аналитики'!G3476*'01_Вводные'!$B$14,0)</f>
        <v/>
      </c>
      <c r="I3477">
        <f>IF('01_Вводные'!$B$234="Да",'19_Расчет_аналитики'!H3476*'01_Вводные'!$B$14,0)</f>
        <v/>
      </c>
      <c r="J3477">
        <f>IF('01_Вводные'!$B$234="Да",'19_Расчет_аналитики'!I3476*'01_Вводные'!$B$14,0)</f>
        <v/>
      </c>
      <c r="K3477">
        <f>IF('01_Вводные'!$B$234="Да",'19_Расчет_аналитики'!J3476*'01_Вводные'!$B$14,0)</f>
        <v/>
      </c>
      <c r="L3477">
        <f>IF('01_Вводные'!$B$234="Да",'19_Расчет_аналитики'!K3476*'01_Вводные'!$B$14,0)</f>
        <v/>
      </c>
      <c r="M3477">
        <f>IF('01_Вводные'!$B$234="Да",'19_Расчет_аналитики'!L3476*'01_Вводные'!$B$14,0)</f>
        <v/>
      </c>
      <c r="N3477">
        <f>IF('01_Вводные'!$B$234="Да",'19_Расчет_аналитики'!M3476*'01_Вводные'!$B$14,0)</f>
        <v/>
      </c>
      <c r="O3477">
        <f>IF('01_Вводные'!$B$234="Да",'19_Расчет_аналитики'!N3476*'01_Вводные'!$B$14,0)</f>
        <v/>
      </c>
      <c r="P3477">
        <f>IF('01_Вводные'!$B$234="Да",'19_Расчет_аналитики'!O3476*'01_Вводные'!$B$14,0)</f>
        <v/>
      </c>
      <c r="Q3477">
        <f>IF('01_Вводные'!$B$234="Да",'19_Расчет_аналитики'!P3476*'01_Вводные'!$B$14,0)</f>
        <v/>
      </c>
      <c r="R3477">
        <f>IF('01_Вводные'!$B$234="Да",'19_Расчет_аналитики'!Q3476*'01_Вводные'!$B$14,0)</f>
        <v/>
      </c>
      <c r="S3477">
        <f>IF('01_Вводные'!$B$234="Да",'19_Расчет_аналитики'!R3476*'01_Вводные'!$B$14,0)</f>
        <v/>
      </c>
      <c r="T3477">
        <f>IF('01_Вводные'!$B$234="Да",'19_Расчет_аналитики'!S3476*'01_Вводные'!$B$14,0)</f>
        <v/>
      </c>
      <c r="U3477">
        <f>IF('01_Вводные'!$B$234="Да",'19_Расчет_аналитики'!T3476*'01_Вводные'!$B$14,0)</f>
        <v/>
      </c>
      <c r="V3477">
        <f>IF('01_Вводные'!$B$234="Да",'19_Расчет_аналитики'!U3476*'01_Вводные'!$B$14,0)</f>
        <v/>
      </c>
      <c r="W3477">
        <f>IF('01_Вводные'!$B$234="Да",'19_Расчет_аналитики'!V3476*'01_Вводные'!$B$14,0)</f>
        <v/>
      </c>
      <c r="X3477">
        <f>IF('01_Вводные'!$B$234="Да",'19_Расчет_аналитики'!W3476*'01_Вводные'!$B$14,0)</f>
        <v/>
      </c>
      <c r="Y3477">
        <f>IF('01_Вводные'!$B$234="Да",'19_Расчет_аналитики'!X3476*'01_Вводные'!$B$14,0)</f>
        <v/>
      </c>
      <c r="Z3477">
        <f>IF('01_Вводные'!$B$234="Да",'19_Расчет_аналитики'!Y3476*'01_Вводные'!$B$14,0)</f>
        <v/>
      </c>
      <c r="AA3477">
        <f>IF('01_Вводные'!$B$234="Да",'19_Расчет_аналитики'!Z3476*'01_Вводные'!$B$14,0)</f>
        <v/>
      </c>
      <c r="AB3477">
        <f>IF('01_Вводные'!$B$234="Да",'19_Расчет_аналитики'!AA3476*'01_Вводные'!$B$14,0)</f>
        <v/>
      </c>
      <c r="AC3477">
        <f>IF('01_Вводные'!$B$234="Да",'19_Расчет_аналитики'!AB3476*'01_Вводные'!$B$14,0)</f>
        <v/>
      </c>
      <c r="AD3477">
        <f>IF('01_Вводные'!$B$234="Да",'19_Расчет_аналитики'!AC3476*'01_Вводные'!$B$14,0)</f>
        <v/>
      </c>
      <c r="AE3477">
        <f>IF('01_Вводные'!$B$234="Да",'19_Расчет_аналитики'!AD3476*'01_Вводные'!$B$14,0)</f>
        <v/>
      </c>
      <c r="AF3477">
        <f>IF('01_Вводные'!$B$234="Да",'19_Расчет_аналитики'!AE3476*'01_Вводные'!$B$14,0)</f>
        <v/>
      </c>
      <c r="AG3477">
        <f>IF('01_Вводные'!$B$234="Да",'19_Расчет_аналитики'!AF3476*'01_Вводные'!$B$14,0)</f>
        <v/>
      </c>
      <c r="AH3477">
        <f>IF('01_Вводные'!$B$234="Да",'19_Расчет_аналитики'!AG3476*'01_Вводные'!$B$14,0)</f>
        <v/>
      </c>
      <c r="AI3477">
        <f>IF('01_Вводные'!$B$234="Да",'19_Расчет_аналитики'!AH3476*'01_Вводные'!$B$14,0)</f>
        <v/>
      </c>
      <c r="AJ3477">
        <f>IF('01_Вводные'!$B$234="Да",'19_Расчет_аналитики'!AI3476*'01_Вводные'!$B$14,0)</f>
        <v/>
      </c>
      <c r="AK3477">
        <f>IF('01_Вводные'!$B$234="Да",'19_Расчет_аналитики'!AJ3476*'01_Вводные'!$B$14,0)</f>
        <v/>
      </c>
      <c r="AL3477">
        <f>IF('01_Вводные'!$B$234="Да",'19_Расчет_аналитики'!AK3476*'01_Вводные'!$B$14,0)</f>
        <v/>
      </c>
      <c r="AM3477">
        <f>IF('01_Вводные'!$B$234="Да",'19_Расчет_аналитики'!AL3476*'01_Вводные'!$B$14,0)</f>
        <v/>
      </c>
      <c r="AN3477">
        <f>IF('01_Вводные'!$B$234="Да",'19_Расчет_аналитики'!AM3476*'01_Вводные'!$B$14,0)</f>
        <v/>
      </c>
      <c r="AO3477">
        <f>IF('01_Вводные'!$B$234="Да",'19_Расчет_аналитики'!AN3476*'01_Вводные'!$B$14,0)</f>
        <v/>
      </c>
      <c r="AP3477">
        <f>IF('01_Вводные'!$B$234="Да",'19_Расчет_аналитики'!AO3476*'01_Вводные'!$B$14,0)</f>
        <v/>
      </c>
      <c r="AQ3477">
        <f>IF('01_Вводные'!$B$234="Да",'19_Расчет_аналитики'!AP3476*'01_Вводные'!$B$14,0)</f>
        <v/>
      </c>
      <c r="AR3477">
        <f>IF('01_Вводные'!$B$234="Да",'19_Расчет_аналитики'!AQ3476*'01_Вводные'!$B$14,0)</f>
        <v/>
      </c>
      <c r="AS3477">
        <f>IF('01_Вводные'!$B$234="Да",'19_Расчет_аналитики'!AR3476*'01_Вводные'!$B$14,0)</f>
        <v/>
      </c>
      <c r="AT3477">
        <f>IF('01_Вводные'!$B$234="Да",'19_Расчет_аналитики'!AS3476*'01_Вводные'!$B$14,0)</f>
        <v/>
      </c>
      <c r="AU3477">
        <f>IF('01_Вводные'!$B$234="Да",'19_Расчет_аналитики'!AT3476*'01_Вводные'!$B$14,0)</f>
        <v/>
      </c>
      <c r="AV3477">
        <f>IF('01_Вводные'!$B$234="Да",'19_Расчет_аналитики'!AU3476*'01_Вводные'!$B$14,0)</f>
        <v/>
      </c>
      <c r="AW3477">
        <f>IF('01_Вводные'!$B$234="Да",'19_Расчет_аналитики'!AV3476*'01_Вводные'!$B$14,0)</f>
        <v/>
      </c>
      <c r="AX3477">
        <f>IF('01_Вводные'!$B$234="Да",'19_Расчет_аналитики'!AW3476*'01_Вводные'!$B$14,0)</f>
        <v/>
      </c>
      <c r="AY3477">
        <f>IF('01_Вводные'!$B$234="Да",'19_Расчет_аналитики'!AX3476*'01_Вводные'!$B$14,0)</f>
        <v/>
      </c>
      <c r="AZ3477">
        <f>IF('01_Вводные'!$B$234="Да",'19_Расчет_аналитики'!AY3476*'01_Вводные'!$B$14,0)</f>
        <v/>
      </c>
      <c r="BA3477">
        <f>IF('01_Вводные'!$B$234="Да",'19_Расчет_аналитики'!AZ3476*'01_Вводные'!$B$14,0)</f>
        <v/>
      </c>
      <c r="BB3477">
        <f>IF('01_Вводные'!$B$234="Да",'19_Расчет_аналитики'!BA3476*'01_Вводные'!$B$14,0)</f>
        <v/>
      </c>
      <c r="BC3477">
        <f>IF('01_Вводные'!$B$234="Да",'19_Расчет_аналитики'!BB3476*'01_Вводные'!$B$14,0)</f>
        <v/>
      </c>
      <c r="BD3477">
        <f>IF('01_Вводные'!$B$234="Да",'19_Расчет_аналитики'!BC3476*'01_Вводные'!$B$14,0)</f>
        <v/>
      </c>
      <c r="BE3477">
        <f>IF('01_Вводные'!$B$234="Да",'19_Расчет_аналитики'!BD3476*'01_Вводные'!$B$14,0)</f>
        <v/>
      </c>
      <c r="BF3477">
        <f>IF('01_Вводные'!$B$234="Да",'19_Расчет_аналитики'!BE3476*'01_Вводные'!$B$14,0)</f>
        <v/>
      </c>
      <c r="BG3477">
        <f>IF('01_Вводные'!$B$234="Да",'19_Расчет_аналитики'!BF3476*'01_Вводные'!$B$14,0)</f>
        <v/>
      </c>
      <c r="BH3477">
        <f>IF('01_Вводные'!$B$234="Да",'19_Расчет_аналитики'!BG3476*'01_Вводные'!$B$14,0)</f>
        <v/>
      </c>
      <c r="BI3477">
        <f>IF('01_Вводные'!$B$234="Да",'19_Расчет_аналитики'!BH3476*'01_Вводные'!$B$14,0)</f>
        <v/>
      </c>
      <c r="BJ3477">
        <f>IF('01_Вводные'!$B$234="Да",'19_Расчет_аналитики'!BI3476*'01_Вводные'!$B$14,0)</f>
        <v/>
      </c>
      <c r="BK3477">
        <f>IF('01_Вводные'!$B$234="Да",'19_Расчет_аналитики'!BJ3476*'01_Вводные'!$B$14,0)</f>
        <v/>
      </c>
      <c r="BL3477">
        <f>IF('01_Вводные'!$B$234="Да",'19_Расчет_аналитики'!BK3476*'01_Вводные'!$B$14,0)</f>
        <v/>
      </c>
      <c r="BM3477">
        <f>IF('01_Вводные'!$B$234="Да",'19_Расчет_аналитики'!BL3476*'01_Вводные'!$B$14,0)</f>
        <v/>
      </c>
      <c r="BN3477">
        <f>IF('01_Вводные'!$B$234="Да",'19_Расчет_аналитики'!BM3476*'01_Вводные'!$B$14,0)</f>
        <v/>
      </c>
      <c r="BO3477">
        <f>IF('01_Вводные'!$B$234="Да",'19_Расчет_аналитики'!BN3476*'01_Вводные'!$B$14,0)</f>
        <v/>
      </c>
    </row>
    <row r="3478">
      <c r="B3478">
        <f>'06_Сеть_и_дети'!B87</f>
        <v/>
      </c>
      <c r="C3478">
        <f>'06_Сеть_и_дети'!C87</f>
        <v/>
      </c>
      <c r="D3478">
        <f>'06_Сеть_и_дети'!D87</f>
        <v/>
      </c>
      <c r="E3478">
        <f>'06_Сеть_и_дети'!E87</f>
        <v/>
      </c>
      <c r="F3478">
        <f>'06_Сеть_и_дети'!F87</f>
        <v/>
      </c>
      <c r="G3478">
        <f>'06_Сеть_и_дети'!G87</f>
        <v/>
      </c>
      <c r="H3478">
        <f>IF('01_Вводные'!$B$234="Да",'19_Расчет_аналитики'!G3477*'01_Вводные'!$B$14,0)</f>
        <v/>
      </c>
      <c r="I3478">
        <f>IF('01_Вводные'!$B$234="Да",'19_Расчет_аналитики'!H3477*'01_Вводные'!$B$14,0)</f>
        <v/>
      </c>
      <c r="J3478">
        <f>IF('01_Вводные'!$B$234="Да",'19_Расчет_аналитики'!I3477*'01_Вводные'!$B$14,0)</f>
        <v/>
      </c>
      <c r="K3478">
        <f>IF('01_Вводные'!$B$234="Да",'19_Расчет_аналитики'!J3477*'01_Вводные'!$B$14,0)</f>
        <v/>
      </c>
      <c r="L3478">
        <f>IF('01_Вводные'!$B$234="Да",'19_Расчет_аналитики'!K3477*'01_Вводные'!$B$14,0)</f>
        <v/>
      </c>
      <c r="M3478">
        <f>IF('01_Вводные'!$B$234="Да",'19_Расчет_аналитики'!L3477*'01_Вводные'!$B$14,0)</f>
        <v/>
      </c>
      <c r="N3478">
        <f>IF('01_Вводные'!$B$234="Да",'19_Расчет_аналитики'!M3477*'01_Вводные'!$B$14,0)</f>
        <v/>
      </c>
      <c r="O3478">
        <f>IF('01_Вводные'!$B$234="Да",'19_Расчет_аналитики'!N3477*'01_Вводные'!$B$14,0)</f>
        <v/>
      </c>
      <c r="P3478">
        <f>IF('01_Вводные'!$B$234="Да",'19_Расчет_аналитики'!O3477*'01_Вводные'!$B$14,0)</f>
        <v/>
      </c>
      <c r="Q3478">
        <f>IF('01_Вводные'!$B$234="Да",'19_Расчет_аналитики'!P3477*'01_Вводные'!$B$14,0)</f>
        <v/>
      </c>
      <c r="R3478">
        <f>IF('01_Вводные'!$B$234="Да",'19_Расчет_аналитики'!Q3477*'01_Вводные'!$B$14,0)</f>
        <v/>
      </c>
      <c r="S3478">
        <f>IF('01_Вводные'!$B$234="Да",'19_Расчет_аналитики'!R3477*'01_Вводные'!$B$14,0)</f>
        <v/>
      </c>
      <c r="T3478">
        <f>IF('01_Вводные'!$B$234="Да",'19_Расчет_аналитики'!S3477*'01_Вводные'!$B$14,0)</f>
        <v/>
      </c>
      <c r="U3478">
        <f>IF('01_Вводные'!$B$234="Да",'19_Расчет_аналитики'!T3477*'01_Вводные'!$B$14,0)</f>
        <v/>
      </c>
      <c r="V3478">
        <f>IF('01_Вводные'!$B$234="Да",'19_Расчет_аналитики'!U3477*'01_Вводные'!$B$14,0)</f>
        <v/>
      </c>
      <c r="W3478">
        <f>IF('01_Вводные'!$B$234="Да",'19_Расчет_аналитики'!V3477*'01_Вводные'!$B$14,0)</f>
        <v/>
      </c>
      <c r="X3478">
        <f>IF('01_Вводные'!$B$234="Да",'19_Расчет_аналитики'!W3477*'01_Вводные'!$B$14,0)</f>
        <v/>
      </c>
      <c r="Y3478">
        <f>IF('01_Вводные'!$B$234="Да",'19_Расчет_аналитики'!X3477*'01_Вводные'!$B$14,0)</f>
        <v/>
      </c>
      <c r="Z3478">
        <f>IF('01_Вводные'!$B$234="Да",'19_Расчет_аналитики'!Y3477*'01_Вводные'!$B$14,0)</f>
        <v/>
      </c>
      <c r="AA3478">
        <f>IF('01_Вводные'!$B$234="Да",'19_Расчет_аналитики'!Z3477*'01_Вводные'!$B$14,0)</f>
        <v/>
      </c>
      <c r="AB3478">
        <f>IF('01_Вводные'!$B$234="Да",'19_Расчет_аналитики'!AA3477*'01_Вводные'!$B$14,0)</f>
        <v/>
      </c>
      <c r="AC3478">
        <f>IF('01_Вводные'!$B$234="Да",'19_Расчет_аналитики'!AB3477*'01_Вводные'!$B$14,0)</f>
        <v/>
      </c>
      <c r="AD3478">
        <f>IF('01_Вводные'!$B$234="Да",'19_Расчет_аналитики'!AC3477*'01_Вводные'!$B$14,0)</f>
        <v/>
      </c>
      <c r="AE3478">
        <f>IF('01_Вводные'!$B$234="Да",'19_Расчет_аналитики'!AD3477*'01_Вводные'!$B$14,0)</f>
        <v/>
      </c>
      <c r="AF3478">
        <f>IF('01_Вводные'!$B$234="Да",'19_Расчет_аналитики'!AE3477*'01_Вводные'!$B$14,0)</f>
        <v/>
      </c>
      <c r="AG3478">
        <f>IF('01_Вводные'!$B$234="Да",'19_Расчет_аналитики'!AF3477*'01_Вводные'!$B$14,0)</f>
        <v/>
      </c>
      <c r="AH3478">
        <f>IF('01_Вводные'!$B$234="Да",'19_Расчет_аналитики'!AG3477*'01_Вводные'!$B$14,0)</f>
        <v/>
      </c>
      <c r="AI3478">
        <f>IF('01_Вводные'!$B$234="Да",'19_Расчет_аналитики'!AH3477*'01_Вводные'!$B$14,0)</f>
        <v/>
      </c>
      <c r="AJ3478">
        <f>IF('01_Вводные'!$B$234="Да",'19_Расчет_аналитики'!AI3477*'01_Вводные'!$B$14,0)</f>
        <v/>
      </c>
      <c r="AK3478">
        <f>IF('01_Вводные'!$B$234="Да",'19_Расчет_аналитики'!AJ3477*'01_Вводные'!$B$14,0)</f>
        <v/>
      </c>
      <c r="AL3478">
        <f>IF('01_Вводные'!$B$234="Да",'19_Расчет_аналитики'!AK3477*'01_Вводные'!$B$14,0)</f>
        <v/>
      </c>
      <c r="AM3478">
        <f>IF('01_Вводные'!$B$234="Да",'19_Расчет_аналитики'!AL3477*'01_Вводные'!$B$14,0)</f>
        <v/>
      </c>
      <c r="AN3478">
        <f>IF('01_Вводные'!$B$234="Да",'19_Расчет_аналитики'!AM3477*'01_Вводные'!$B$14,0)</f>
        <v/>
      </c>
      <c r="AO3478">
        <f>IF('01_Вводные'!$B$234="Да",'19_Расчет_аналитики'!AN3477*'01_Вводные'!$B$14,0)</f>
        <v/>
      </c>
      <c r="AP3478">
        <f>IF('01_Вводные'!$B$234="Да",'19_Расчет_аналитики'!AO3477*'01_Вводные'!$B$14,0)</f>
        <v/>
      </c>
      <c r="AQ3478">
        <f>IF('01_Вводные'!$B$234="Да",'19_Расчет_аналитики'!AP3477*'01_Вводные'!$B$14,0)</f>
        <v/>
      </c>
      <c r="AR3478">
        <f>IF('01_Вводные'!$B$234="Да",'19_Расчет_аналитики'!AQ3477*'01_Вводные'!$B$14,0)</f>
        <v/>
      </c>
      <c r="AS3478">
        <f>IF('01_Вводные'!$B$234="Да",'19_Расчет_аналитики'!AR3477*'01_Вводные'!$B$14,0)</f>
        <v/>
      </c>
      <c r="AT3478">
        <f>IF('01_Вводные'!$B$234="Да",'19_Расчет_аналитики'!AS3477*'01_Вводные'!$B$14,0)</f>
        <v/>
      </c>
      <c r="AU3478">
        <f>IF('01_Вводные'!$B$234="Да",'19_Расчет_аналитики'!AT3477*'01_Вводные'!$B$14,0)</f>
        <v/>
      </c>
      <c r="AV3478">
        <f>IF('01_Вводные'!$B$234="Да",'19_Расчет_аналитики'!AU3477*'01_Вводные'!$B$14,0)</f>
        <v/>
      </c>
      <c r="AW3478">
        <f>IF('01_Вводные'!$B$234="Да",'19_Расчет_аналитики'!AV3477*'01_Вводные'!$B$14,0)</f>
        <v/>
      </c>
      <c r="AX3478">
        <f>IF('01_Вводные'!$B$234="Да",'19_Расчет_аналитики'!AW3477*'01_Вводные'!$B$14,0)</f>
        <v/>
      </c>
      <c r="AY3478">
        <f>IF('01_Вводные'!$B$234="Да",'19_Расчет_аналитики'!AX3477*'01_Вводные'!$B$14,0)</f>
        <v/>
      </c>
      <c r="AZ3478">
        <f>IF('01_Вводные'!$B$234="Да",'19_Расчет_аналитики'!AY3477*'01_Вводные'!$B$14,0)</f>
        <v/>
      </c>
      <c r="BA3478">
        <f>IF('01_Вводные'!$B$234="Да",'19_Расчет_аналитики'!AZ3477*'01_Вводные'!$B$14,0)</f>
        <v/>
      </c>
      <c r="BB3478">
        <f>IF('01_Вводные'!$B$234="Да",'19_Расчет_аналитики'!BA3477*'01_Вводные'!$B$14,0)</f>
        <v/>
      </c>
      <c r="BC3478">
        <f>IF('01_Вводные'!$B$234="Да",'19_Расчет_аналитики'!BB3477*'01_Вводные'!$B$14,0)</f>
        <v/>
      </c>
      <c r="BD3478">
        <f>IF('01_Вводные'!$B$234="Да",'19_Расчет_аналитики'!BC3477*'01_Вводные'!$B$14,0)</f>
        <v/>
      </c>
      <c r="BE3478">
        <f>IF('01_Вводные'!$B$234="Да",'19_Расчет_аналитики'!BD3477*'01_Вводные'!$B$14,0)</f>
        <v/>
      </c>
      <c r="BF3478">
        <f>IF('01_Вводные'!$B$234="Да",'19_Расчет_аналитики'!BE3477*'01_Вводные'!$B$14,0)</f>
        <v/>
      </c>
      <c r="BG3478">
        <f>IF('01_Вводные'!$B$234="Да",'19_Расчет_аналитики'!BF3477*'01_Вводные'!$B$14,0)</f>
        <v/>
      </c>
      <c r="BH3478">
        <f>IF('01_Вводные'!$B$234="Да",'19_Расчет_аналитики'!BG3477*'01_Вводные'!$B$14,0)</f>
        <v/>
      </c>
      <c r="BI3478">
        <f>IF('01_Вводные'!$B$234="Да",'19_Расчет_аналитики'!BH3477*'01_Вводные'!$B$14,0)</f>
        <v/>
      </c>
      <c r="BJ3478">
        <f>IF('01_Вводные'!$B$234="Да",'19_Расчет_аналитики'!BI3477*'01_Вводные'!$B$14,0)</f>
        <v/>
      </c>
      <c r="BK3478">
        <f>IF('01_Вводные'!$B$234="Да",'19_Расчет_аналитики'!BJ3477*'01_Вводные'!$B$14,0)</f>
        <v/>
      </c>
      <c r="BL3478">
        <f>IF('01_Вводные'!$B$234="Да",'19_Расчет_аналитики'!BK3477*'01_Вводные'!$B$14,0)</f>
        <v/>
      </c>
      <c r="BM3478">
        <f>IF('01_Вводные'!$B$234="Да",'19_Расчет_аналитики'!BL3477*'01_Вводные'!$B$14,0)</f>
        <v/>
      </c>
      <c r="BN3478">
        <f>IF('01_Вводные'!$B$234="Да",'19_Расчет_аналитики'!BM3477*'01_Вводные'!$B$14,0)</f>
        <v/>
      </c>
      <c r="BO3478">
        <f>IF('01_Вводные'!$B$234="Да",'19_Расчет_аналитики'!BN3477*'01_Вводные'!$B$14,0)</f>
        <v/>
      </c>
    </row>
    <row r="3479">
      <c r="B3479">
        <f>'06_Сеть_и_дети'!B88</f>
        <v/>
      </c>
      <c r="C3479">
        <f>'06_Сеть_и_дети'!C88</f>
        <v/>
      </c>
      <c r="D3479">
        <f>'06_Сеть_и_дети'!D88</f>
        <v/>
      </c>
      <c r="E3479">
        <f>'06_Сеть_и_дети'!E88</f>
        <v/>
      </c>
      <c r="F3479">
        <f>'06_Сеть_и_дети'!F88</f>
        <v/>
      </c>
      <c r="G3479">
        <f>'06_Сеть_и_дети'!G88</f>
        <v/>
      </c>
      <c r="H3479">
        <f>'06_Сеть_и_дети'!H88</f>
        <v/>
      </c>
      <c r="I3479">
        <f>IF('01_Вводные'!$B$234="Да",'19_Расчет_аналитики'!H3478*'01_Вводные'!$B$14,0)</f>
        <v/>
      </c>
      <c r="J3479">
        <f>IF('01_Вводные'!$B$234="Да",'19_Расчет_аналитики'!I3478*'01_Вводные'!$B$14,0)</f>
        <v/>
      </c>
      <c r="K3479">
        <f>IF('01_Вводные'!$B$234="Да",'19_Расчет_аналитики'!J3478*'01_Вводные'!$B$14,0)</f>
        <v/>
      </c>
      <c r="L3479">
        <f>IF('01_Вводные'!$B$234="Да",'19_Расчет_аналитики'!K3478*'01_Вводные'!$B$14,0)</f>
        <v/>
      </c>
      <c r="M3479">
        <f>IF('01_Вводные'!$B$234="Да",'19_Расчет_аналитики'!L3478*'01_Вводные'!$B$14,0)</f>
        <v/>
      </c>
      <c r="N3479">
        <f>IF('01_Вводные'!$B$234="Да",'19_Расчет_аналитики'!M3478*'01_Вводные'!$B$14,0)</f>
        <v/>
      </c>
      <c r="O3479">
        <f>IF('01_Вводные'!$B$234="Да",'19_Расчет_аналитики'!N3478*'01_Вводные'!$B$14,0)</f>
        <v/>
      </c>
      <c r="P3479">
        <f>IF('01_Вводные'!$B$234="Да",'19_Расчет_аналитики'!O3478*'01_Вводные'!$B$14,0)</f>
        <v/>
      </c>
      <c r="Q3479">
        <f>IF('01_Вводные'!$B$234="Да",'19_Расчет_аналитики'!P3478*'01_Вводные'!$B$14,0)</f>
        <v/>
      </c>
      <c r="R3479">
        <f>IF('01_Вводные'!$B$234="Да",'19_Расчет_аналитики'!Q3478*'01_Вводные'!$B$14,0)</f>
        <v/>
      </c>
      <c r="S3479">
        <f>IF('01_Вводные'!$B$234="Да",'19_Расчет_аналитики'!R3478*'01_Вводные'!$B$14,0)</f>
        <v/>
      </c>
      <c r="T3479">
        <f>IF('01_Вводные'!$B$234="Да",'19_Расчет_аналитики'!S3478*'01_Вводные'!$B$14,0)</f>
        <v/>
      </c>
      <c r="U3479">
        <f>IF('01_Вводные'!$B$234="Да",'19_Расчет_аналитики'!T3478*'01_Вводные'!$B$14,0)</f>
        <v/>
      </c>
      <c r="V3479">
        <f>IF('01_Вводные'!$B$234="Да",'19_Расчет_аналитики'!U3478*'01_Вводные'!$B$14,0)</f>
        <v/>
      </c>
      <c r="W3479">
        <f>IF('01_Вводные'!$B$234="Да",'19_Расчет_аналитики'!V3478*'01_Вводные'!$B$14,0)</f>
        <v/>
      </c>
      <c r="X3479">
        <f>IF('01_Вводные'!$B$234="Да",'19_Расчет_аналитики'!W3478*'01_Вводные'!$B$14,0)</f>
        <v/>
      </c>
      <c r="Y3479">
        <f>IF('01_Вводные'!$B$234="Да",'19_Расчет_аналитики'!X3478*'01_Вводные'!$B$14,0)</f>
        <v/>
      </c>
      <c r="Z3479">
        <f>IF('01_Вводные'!$B$234="Да",'19_Расчет_аналитики'!Y3478*'01_Вводные'!$B$14,0)</f>
        <v/>
      </c>
      <c r="AA3479">
        <f>IF('01_Вводные'!$B$234="Да",'19_Расчет_аналитики'!Z3478*'01_Вводные'!$B$14,0)</f>
        <v/>
      </c>
      <c r="AB3479">
        <f>IF('01_Вводные'!$B$234="Да",'19_Расчет_аналитики'!AA3478*'01_Вводные'!$B$14,0)</f>
        <v/>
      </c>
      <c r="AC3479">
        <f>IF('01_Вводные'!$B$234="Да",'19_Расчет_аналитики'!AB3478*'01_Вводные'!$B$14,0)</f>
        <v/>
      </c>
      <c r="AD3479">
        <f>IF('01_Вводные'!$B$234="Да",'19_Расчет_аналитики'!AC3478*'01_Вводные'!$B$14,0)</f>
        <v/>
      </c>
      <c r="AE3479">
        <f>IF('01_Вводные'!$B$234="Да",'19_Расчет_аналитики'!AD3478*'01_Вводные'!$B$14,0)</f>
        <v/>
      </c>
      <c r="AF3479">
        <f>IF('01_Вводные'!$B$234="Да",'19_Расчет_аналитики'!AE3478*'01_Вводные'!$B$14,0)</f>
        <v/>
      </c>
      <c r="AG3479">
        <f>IF('01_Вводные'!$B$234="Да",'19_Расчет_аналитики'!AF3478*'01_Вводные'!$B$14,0)</f>
        <v/>
      </c>
      <c r="AH3479">
        <f>IF('01_Вводные'!$B$234="Да",'19_Расчет_аналитики'!AG3478*'01_Вводные'!$B$14,0)</f>
        <v/>
      </c>
      <c r="AI3479">
        <f>IF('01_Вводные'!$B$234="Да",'19_Расчет_аналитики'!AH3478*'01_Вводные'!$B$14,0)</f>
        <v/>
      </c>
      <c r="AJ3479">
        <f>IF('01_Вводные'!$B$234="Да",'19_Расчет_аналитики'!AI3478*'01_Вводные'!$B$14,0)</f>
        <v/>
      </c>
      <c r="AK3479">
        <f>IF('01_Вводные'!$B$234="Да",'19_Расчет_аналитики'!AJ3478*'01_Вводные'!$B$14,0)</f>
        <v/>
      </c>
      <c r="AL3479">
        <f>IF('01_Вводные'!$B$234="Да",'19_Расчет_аналитики'!AK3478*'01_Вводные'!$B$14,0)</f>
        <v/>
      </c>
      <c r="AM3479">
        <f>IF('01_Вводные'!$B$234="Да",'19_Расчет_аналитики'!AL3478*'01_Вводные'!$B$14,0)</f>
        <v/>
      </c>
      <c r="AN3479">
        <f>IF('01_Вводные'!$B$234="Да",'19_Расчет_аналитики'!AM3478*'01_Вводные'!$B$14,0)</f>
        <v/>
      </c>
      <c r="AO3479">
        <f>IF('01_Вводные'!$B$234="Да",'19_Расчет_аналитики'!AN3478*'01_Вводные'!$B$14,0)</f>
        <v/>
      </c>
      <c r="AP3479">
        <f>IF('01_Вводные'!$B$234="Да",'19_Расчет_аналитики'!AO3478*'01_Вводные'!$B$14,0)</f>
        <v/>
      </c>
      <c r="AQ3479">
        <f>IF('01_Вводные'!$B$234="Да",'19_Расчет_аналитики'!AP3478*'01_Вводные'!$B$14,0)</f>
        <v/>
      </c>
      <c r="AR3479">
        <f>IF('01_Вводные'!$B$234="Да",'19_Расчет_аналитики'!AQ3478*'01_Вводные'!$B$14,0)</f>
        <v/>
      </c>
      <c r="AS3479">
        <f>IF('01_Вводные'!$B$234="Да",'19_Расчет_аналитики'!AR3478*'01_Вводные'!$B$14,0)</f>
        <v/>
      </c>
      <c r="AT3479">
        <f>IF('01_Вводные'!$B$234="Да",'19_Расчет_аналитики'!AS3478*'01_Вводные'!$B$14,0)</f>
        <v/>
      </c>
      <c r="AU3479">
        <f>IF('01_Вводные'!$B$234="Да",'19_Расчет_аналитики'!AT3478*'01_Вводные'!$B$14,0)</f>
        <v/>
      </c>
      <c r="AV3479">
        <f>IF('01_Вводные'!$B$234="Да",'19_Расчет_аналитики'!AU3478*'01_Вводные'!$B$14,0)</f>
        <v/>
      </c>
      <c r="AW3479">
        <f>IF('01_Вводные'!$B$234="Да",'19_Расчет_аналитики'!AV3478*'01_Вводные'!$B$14,0)</f>
        <v/>
      </c>
      <c r="AX3479">
        <f>IF('01_Вводные'!$B$234="Да",'19_Расчет_аналитики'!AW3478*'01_Вводные'!$B$14,0)</f>
        <v/>
      </c>
      <c r="AY3479">
        <f>IF('01_Вводные'!$B$234="Да",'19_Расчет_аналитики'!AX3478*'01_Вводные'!$B$14,0)</f>
        <v/>
      </c>
      <c r="AZ3479">
        <f>IF('01_Вводные'!$B$234="Да",'19_Расчет_аналитики'!AY3478*'01_Вводные'!$B$14,0)</f>
        <v/>
      </c>
      <c r="BA3479">
        <f>IF('01_Вводные'!$B$234="Да",'19_Расчет_аналитики'!AZ3478*'01_Вводные'!$B$14,0)</f>
        <v/>
      </c>
      <c r="BB3479">
        <f>IF('01_Вводные'!$B$234="Да",'19_Расчет_аналитики'!BA3478*'01_Вводные'!$B$14,0)</f>
        <v/>
      </c>
      <c r="BC3479">
        <f>IF('01_Вводные'!$B$234="Да",'19_Расчет_аналитики'!BB3478*'01_Вводные'!$B$14,0)</f>
        <v/>
      </c>
      <c r="BD3479">
        <f>IF('01_Вводные'!$B$234="Да",'19_Расчет_аналитики'!BC3478*'01_Вводные'!$B$14,0)</f>
        <v/>
      </c>
      <c r="BE3479">
        <f>IF('01_Вводные'!$B$234="Да",'19_Расчет_аналитики'!BD3478*'01_Вводные'!$B$14,0)</f>
        <v/>
      </c>
      <c r="BF3479">
        <f>IF('01_Вводные'!$B$234="Да",'19_Расчет_аналитики'!BE3478*'01_Вводные'!$B$14,0)</f>
        <v/>
      </c>
      <c r="BG3479">
        <f>IF('01_Вводные'!$B$234="Да",'19_Расчет_аналитики'!BF3478*'01_Вводные'!$B$14,0)</f>
        <v/>
      </c>
      <c r="BH3479">
        <f>IF('01_Вводные'!$B$234="Да",'19_Расчет_аналитики'!BG3478*'01_Вводные'!$B$14,0)</f>
        <v/>
      </c>
      <c r="BI3479">
        <f>IF('01_Вводные'!$B$234="Да",'19_Расчет_аналитики'!BH3478*'01_Вводные'!$B$14,0)</f>
        <v/>
      </c>
      <c r="BJ3479">
        <f>IF('01_Вводные'!$B$234="Да",'19_Расчет_аналитики'!BI3478*'01_Вводные'!$B$14,0)</f>
        <v/>
      </c>
      <c r="BK3479">
        <f>IF('01_Вводные'!$B$234="Да",'19_Расчет_аналитики'!BJ3478*'01_Вводные'!$B$14,0)</f>
        <v/>
      </c>
      <c r="BL3479">
        <f>IF('01_Вводные'!$B$234="Да",'19_Расчет_аналитики'!BK3478*'01_Вводные'!$B$14,0)</f>
        <v/>
      </c>
      <c r="BM3479">
        <f>IF('01_Вводные'!$B$234="Да",'19_Расчет_аналитики'!BL3478*'01_Вводные'!$B$14,0)</f>
        <v/>
      </c>
      <c r="BN3479">
        <f>IF('01_Вводные'!$B$234="Да",'19_Расчет_аналитики'!BM3478*'01_Вводные'!$B$14,0)</f>
        <v/>
      </c>
      <c r="BO3479">
        <f>IF('01_Вводные'!$B$234="Да",'19_Расчет_аналитики'!BN3478*'01_Вводные'!$B$14,0)</f>
        <v/>
      </c>
    </row>
    <row r="3480">
      <c r="B3480">
        <f>'06_Сеть_и_дети'!B89</f>
        <v/>
      </c>
      <c r="C3480">
        <f>'06_Сеть_и_дети'!C89</f>
        <v/>
      </c>
      <c r="D3480">
        <f>'06_Сеть_и_дети'!D89</f>
        <v/>
      </c>
      <c r="E3480">
        <f>'06_Сеть_и_дети'!E89</f>
        <v/>
      </c>
      <c r="F3480">
        <f>'06_Сеть_и_дети'!F89</f>
        <v/>
      </c>
      <c r="G3480">
        <f>'06_Сеть_и_дети'!G89</f>
        <v/>
      </c>
      <c r="H3480">
        <f>'06_Сеть_и_дети'!H89</f>
        <v/>
      </c>
      <c r="I3480">
        <f>'06_Сеть_и_дети'!I89</f>
        <v/>
      </c>
      <c r="J3480">
        <f>IF('01_Вводные'!$B$234="Да",'19_Расчет_аналитики'!I3479*'01_Вводные'!$B$14,0)</f>
        <v/>
      </c>
      <c r="K3480">
        <f>IF('01_Вводные'!$B$234="Да",'19_Расчет_аналитики'!J3479*'01_Вводные'!$B$14,0)</f>
        <v/>
      </c>
      <c r="L3480">
        <f>IF('01_Вводные'!$B$234="Да",'19_Расчет_аналитики'!K3479*'01_Вводные'!$B$14,0)</f>
        <v/>
      </c>
      <c r="M3480">
        <f>IF('01_Вводные'!$B$234="Да",'19_Расчет_аналитики'!L3479*'01_Вводные'!$B$14,0)</f>
        <v/>
      </c>
      <c r="N3480">
        <f>IF('01_Вводные'!$B$234="Да",'19_Расчет_аналитики'!M3479*'01_Вводные'!$B$14,0)</f>
        <v/>
      </c>
      <c r="O3480">
        <f>IF('01_Вводные'!$B$234="Да",'19_Расчет_аналитики'!N3479*'01_Вводные'!$B$14,0)</f>
        <v/>
      </c>
      <c r="P3480">
        <f>IF('01_Вводные'!$B$234="Да",'19_Расчет_аналитики'!O3479*'01_Вводные'!$B$14,0)</f>
        <v/>
      </c>
      <c r="Q3480">
        <f>IF('01_Вводные'!$B$234="Да",'19_Расчет_аналитики'!P3479*'01_Вводные'!$B$14,0)</f>
        <v/>
      </c>
      <c r="R3480">
        <f>IF('01_Вводные'!$B$234="Да",'19_Расчет_аналитики'!Q3479*'01_Вводные'!$B$14,0)</f>
        <v/>
      </c>
      <c r="S3480">
        <f>IF('01_Вводные'!$B$234="Да",'19_Расчет_аналитики'!R3479*'01_Вводные'!$B$14,0)</f>
        <v/>
      </c>
      <c r="T3480">
        <f>IF('01_Вводные'!$B$234="Да",'19_Расчет_аналитики'!S3479*'01_Вводные'!$B$14,0)</f>
        <v/>
      </c>
      <c r="U3480">
        <f>IF('01_Вводные'!$B$234="Да",'19_Расчет_аналитики'!T3479*'01_Вводные'!$B$14,0)</f>
        <v/>
      </c>
      <c r="V3480">
        <f>IF('01_Вводные'!$B$234="Да",'19_Расчет_аналитики'!U3479*'01_Вводные'!$B$14,0)</f>
        <v/>
      </c>
      <c r="W3480">
        <f>IF('01_Вводные'!$B$234="Да",'19_Расчет_аналитики'!V3479*'01_Вводные'!$B$14,0)</f>
        <v/>
      </c>
      <c r="X3480">
        <f>IF('01_Вводные'!$B$234="Да",'19_Расчет_аналитики'!W3479*'01_Вводные'!$B$14,0)</f>
        <v/>
      </c>
      <c r="Y3480">
        <f>IF('01_Вводные'!$B$234="Да",'19_Расчет_аналитики'!X3479*'01_Вводные'!$B$14,0)</f>
        <v/>
      </c>
      <c r="Z3480">
        <f>IF('01_Вводные'!$B$234="Да",'19_Расчет_аналитики'!Y3479*'01_Вводные'!$B$14,0)</f>
        <v/>
      </c>
      <c r="AA3480">
        <f>IF('01_Вводные'!$B$234="Да",'19_Расчет_аналитики'!Z3479*'01_Вводные'!$B$14,0)</f>
        <v/>
      </c>
      <c r="AB3480">
        <f>IF('01_Вводные'!$B$234="Да",'19_Расчет_аналитики'!AA3479*'01_Вводные'!$B$14,0)</f>
        <v/>
      </c>
      <c r="AC3480">
        <f>IF('01_Вводные'!$B$234="Да",'19_Расчет_аналитики'!AB3479*'01_Вводные'!$B$14,0)</f>
        <v/>
      </c>
      <c r="AD3480">
        <f>IF('01_Вводные'!$B$234="Да",'19_Расчет_аналитики'!AC3479*'01_Вводные'!$B$14,0)</f>
        <v/>
      </c>
      <c r="AE3480">
        <f>IF('01_Вводные'!$B$234="Да",'19_Расчет_аналитики'!AD3479*'01_Вводные'!$B$14,0)</f>
        <v/>
      </c>
      <c r="AF3480">
        <f>IF('01_Вводные'!$B$234="Да",'19_Расчет_аналитики'!AE3479*'01_Вводные'!$B$14,0)</f>
        <v/>
      </c>
      <c r="AG3480">
        <f>IF('01_Вводные'!$B$234="Да",'19_Расчет_аналитики'!AF3479*'01_Вводные'!$B$14,0)</f>
        <v/>
      </c>
      <c r="AH3480">
        <f>IF('01_Вводные'!$B$234="Да",'19_Расчет_аналитики'!AG3479*'01_Вводные'!$B$14,0)</f>
        <v/>
      </c>
      <c r="AI3480">
        <f>IF('01_Вводные'!$B$234="Да",'19_Расчет_аналитики'!AH3479*'01_Вводные'!$B$14,0)</f>
        <v/>
      </c>
      <c r="AJ3480">
        <f>IF('01_Вводные'!$B$234="Да",'19_Расчет_аналитики'!AI3479*'01_Вводные'!$B$14,0)</f>
        <v/>
      </c>
      <c r="AK3480">
        <f>IF('01_Вводные'!$B$234="Да",'19_Расчет_аналитики'!AJ3479*'01_Вводные'!$B$14,0)</f>
        <v/>
      </c>
      <c r="AL3480">
        <f>IF('01_Вводные'!$B$234="Да",'19_Расчет_аналитики'!AK3479*'01_Вводные'!$B$14,0)</f>
        <v/>
      </c>
      <c r="AM3480">
        <f>IF('01_Вводные'!$B$234="Да",'19_Расчет_аналитики'!AL3479*'01_Вводные'!$B$14,0)</f>
        <v/>
      </c>
      <c r="AN3480">
        <f>IF('01_Вводные'!$B$234="Да",'19_Расчет_аналитики'!AM3479*'01_Вводные'!$B$14,0)</f>
        <v/>
      </c>
      <c r="AO3480">
        <f>IF('01_Вводные'!$B$234="Да",'19_Расчет_аналитики'!AN3479*'01_Вводные'!$B$14,0)</f>
        <v/>
      </c>
      <c r="AP3480">
        <f>IF('01_Вводные'!$B$234="Да",'19_Расчет_аналитики'!AO3479*'01_Вводные'!$B$14,0)</f>
        <v/>
      </c>
      <c r="AQ3480">
        <f>IF('01_Вводные'!$B$234="Да",'19_Расчет_аналитики'!AP3479*'01_Вводные'!$B$14,0)</f>
        <v/>
      </c>
      <c r="AR3480">
        <f>IF('01_Вводные'!$B$234="Да",'19_Расчет_аналитики'!AQ3479*'01_Вводные'!$B$14,0)</f>
        <v/>
      </c>
      <c r="AS3480">
        <f>IF('01_Вводные'!$B$234="Да",'19_Расчет_аналитики'!AR3479*'01_Вводные'!$B$14,0)</f>
        <v/>
      </c>
      <c r="AT3480">
        <f>IF('01_Вводные'!$B$234="Да",'19_Расчет_аналитики'!AS3479*'01_Вводные'!$B$14,0)</f>
        <v/>
      </c>
      <c r="AU3480">
        <f>IF('01_Вводные'!$B$234="Да",'19_Расчет_аналитики'!AT3479*'01_Вводные'!$B$14,0)</f>
        <v/>
      </c>
      <c r="AV3480">
        <f>IF('01_Вводные'!$B$234="Да",'19_Расчет_аналитики'!AU3479*'01_Вводные'!$B$14,0)</f>
        <v/>
      </c>
      <c r="AW3480">
        <f>IF('01_Вводные'!$B$234="Да",'19_Расчет_аналитики'!AV3479*'01_Вводные'!$B$14,0)</f>
        <v/>
      </c>
      <c r="AX3480">
        <f>IF('01_Вводные'!$B$234="Да",'19_Расчет_аналитики'!AW3479*'01_Вводные'!$B$14,0)</f>
        <v/>
      </c>
      <c r="AY3480">
        <f>IF('01_Вводные'!$B$234="Да",'19_Расчет_аналитики'!AX3479*'01_Вводные'!$B$14,0)</f>
        <v/>
      </c>
      <c r="AZ3480">
        <f>IF('01_Вводные'!$B$234="Да",'19_Расчет_аналитики'!AY3479*'01_Вводные'!$B$14,0)</f>
        <v/>
      </c>
      <c r="BA3480">
        <f>IF('01_Вводные'!$B$234="Да",'19_Расчет_аналитики'!AZ3479*'01_Вводные'!$B$14,0)</f>
        <v/>
      </c>
      <c r="BB3480">
        <f>IF('01_Вводные'!$B$234="Да",'19_Расчет_аналитики'!BA3479*'01_Вводные'!$B$14,0)</f>
        <v/>
      </c>
      <c r="BC3480">
        <f>IF('01_Вводные'!$B$234="Да",'19_Расчет_аналитики'!BB3479*'01_Вводные'!$B$14,0)</f>
        <v/>
      </c>
      <c r="BD3480">
        <f>IF('01_Вводные'!$B$234="Да",'19_Расчет_аналитики'!BC3479*'01_Вводные'!$B$14,0)</f>
        <v/>
      </c>
      <c r="BE3480">
        <f>IF('01_Вводные'!$B$234="Да",'19_Расчет_аналитики'!BD3479*'01_Вводные'!$B$14,0)</f>
        <v/>
      </c>
      <c r="BF3480">
        <f>IF('01_Вводные'!$B$234="Да",'19_Расчет_аналитики'!BE3479*'01_Вводные'!$B$14,0)</f>
        <v/>
      </c>
      <c r="BG3480">
        <f>IF('01_Вводные'!$B$234="Да",'19_Расчет_аналитики'!BF3479*'01_Вводные'!$B$14,0)</f>
        <v/>
      </c>
      <c r="BH3480">
        <f>IF('01_Вводные'!$B$234="Да",'19_Расчет_аналитики'!BG3479*'01_Вводные'!$B$14,0)</f>
        <v/>
      </c>
      <c r="BI3480">
        <f>IF('01_Вводные'!$B$234="Да",'19_Расчет_аналитики'!BH3479*'01_Вводные'!$B$14,0)</f>
        <v/>
      </c>
      <c r="BJ3480">
        <f>IF('01_Вводные'!$B$234="Да",'19_Расчет_аналитики'!BI3479*'01_Вводные'!$B$14,0)</f>
        <v/>
      </c>
      <c r="BK3480">
        <f>IF('01_Вводные'!$B$234="Да",'19_Расчет_аналитики'!BJ3479*'01_Вводные'!$B$14,0)</f>
        <v/>
      </c>
      <c r="BL3480">
        <f>IF('01_Вводные'!$B$234="Да",'19_Расчет_аналитики'!BK3479*'01_Вводные'!$B$14,0)</f>
        <v/>
      </c>
      <c r="BM3480">
        <f>IF('01_Вводные'!$B$234="Да",'19_Расчет_аналитики'!BL3479*'01_Вводные'!$B$14,0)</f>
        <v/>
      </c>
      <c r="BN3480">
        <f>IF('01_Вводные'!$B$234="Да",'19_Расчет_аналитики'!BM3479*'01_Вводные'!$B$14,0)</f>
        <v/>
      </c>
      <c r="BO3480">
        <f>IF('01_Вводные'!$B$234="Да",'19_Расчет_аналитики'!BN3479*'01_Вводные'!$B$14,0)</f>
        <v/>
      </c>
    </row>
    <row r="3481">
      <c r="B3481">
        <f>'06_Сеть_и_дети'!B90</f>
        <v/>
      </c>
      <c r="C3481">
        <f>'06_Сеть_и_дети'!C90</f>
        <v/>
      </c>
      <c r="D3481">
        <f>'06_Сеть_и_дети'!D90</f>
        <v/>
      </c>
      <c r="E3481">
        <f>'06_Сеть_и_дети'!E90</f>
        <v/>
      </c>
      <c r="F3481">
        <f>'06_Сеть_и_дети'!F90</f>
        <v/>
      </c>
      <c r="G3481">
        <f>'06_Сеть_и_дети'!G90</f>
        <v/>
      </c>
      <c r="H3481">
        <f>'06_Сеть_и_дети'!H90</f>
        <v/>
      </c>
      <c r="I3481">
        <f>'06_Сеть_и_дети'!I90</f>
        <v/>
      </c>
      <c r="J3481">
        <f>'06_Сеть_и_дети'!J90</f>
        <v/>
      </c>
      <c r="K3481">
        <f>IF('01_Вводные'!$B$234="Да",'19_Расчет_аналитики'!J3480*'01_Вводные'!$B$14,0)</f>
        <v/>
      </c>
      <c r="L3481">
        <f>IF('01_Вводные'!$B$234="Да",'19_Расчет_аналитики'!K3480*'01_Вводные'!$B$14,0)</f>
        <v/>
      </c>
      <c r="M3481">
        <f>IF('01_Вводные'!$B$234="Да",'19_Расчет_аналитики'!L3480*'01_Вводные'!$B$14,0)</f>
        <v/>
      </c>
      <c r="N3481">
        <f>IF('01_Вводные'!$B$234="Да",'19_Расчет_аналитики'!M3480*'01_Вводные'!$B$14,0)</f>
        <v/>
      </c>
      <c r="O3481">
        <f>IF('01_Вводные'!$B$234="Да",'19_Расчет_аналитики'!N3480*'01_Вводные'!$B$14,0)</f>
        <v/>
      </c>
      <c r="P3481">
        <f>IF('01_Вводные'!$B$234="Да",'19_Расчет_аналитики'!O3480*'01_Вводные'!$B$14,0)</f>
        <v/>
      </c>
      <c r="Q3481">
        <f>IF('01_Вводные'!$B$234="Да",'19_Расчет_аналитики'!P3480*'01_Вводные'!$B$14,0)</f>
        <v/>
      </c>
      <c r="R3481">
        <f>IF('01_Вводные'!$B$234="Да",'19_Расчет_аналитики'!Q3480*'01_Вводные'!$B$14,0)</f>
        <v/>
      </c>
      <c r="S3481">
        <f>IF('01_Вводные'!$B$234="Да",'19_Расчет_аналитики'!R3480*'01_Вводные'!$B$14,0)</f>
        <v/>
      </c>
      <c r="T3481">
        <f>IF('01_Вводные'!$B$234="Да",'19_Расчет_аналитики'!S3480*'01_Вводные'!$B$14,0)</f>
        <v/>
      </c>
      <c r="U3481">
        <f>IF('01_Вводные'!$B$234="Да",'19_Расчет_аналитики'!T3480*'01_Вводные'!$B$14,0)</f>
        <v/>
      </c>
      <c r="V3481">
        <f>IF('01_Вводные'!$B$234="Да",'19_Расчет_аналитики'!U3480*'01_Вводные'!$B$14,0)</f>
        <v/>
      </c>
      <c r="W3481">
        <f>IF('01_Вводные'!$B$234="Да",'19_Расчет_аналитики'!V3480*'01_Вводные'!$B$14,0)</f>
        <v/>
      </c>
      <c r="X3481">
        <f>IF('01_Вводные'!$B$234="Да",'19_Расчет_аналитики'!W3480*'01_Вводные'!$B$14,0)</f>
        <v/>
      </c>
      <c r="Y3481">
        <f>IF('01_Вводные'!$B$234="Да",'19_Расчет_аналитики'!X3480*'01_Вводные'!$B$14,0)</f>
        <v/>
      </c>
      <c r="Z3481">
        <f>IF('01_Вводные'!$B$234="Да",'19_Расчет_аналитики'!Y3480*'01_Вводные'!$B$14,0)</f>
        <v/>
      </c>
      <c r="AA3481">
        <f>IF('01_Вводные'!$B$234="Да",'19_Расчет_аналитики'!Z3480*'01_Вводные'!$B$14,0)</f>
        <v/>
      </c>
      <c r="AB3481">
        <f>IF('01_Вводные'!$B$234="Да",'19_Расчет_аналитики'!AA3480*'01_Вводные'!$B$14,0)</f>
        <v/>
      </c>
      <c r="AC3481">
        <f>IF('01_Вводные'!$B$234="Да",'19_Расчет_аналитики'!AB3480*'01_Вводные'!$B$14,0)</f>
        <v/>
      </c>
      <c r="AD3481">
        <f>IF('01_Вводные'!$B$234="Да",'19_Расчет_аналитики'!AC3480*'01_Вводные'!$B$14,0)</f>
        <v/>
      </c>
      <c r="AE3481">
        <f>IF('01_Вводные'!$B$234="Да",'19_Расчет_аналитики'!AD3480*'01_Вводные'!$B$14,0)</f>
        <v/>
      </c>
      <c r="AF3481">
        <f>IF('01_Вводные'!$B$234="Да",'19_Расчет_аналитики'!AE3480*'01_Вводные'!$B$14,0)</f>
        <v/>
      </c>
      <c r="AG3481">
        <f>IF('01_Вводные'!$B$234="Да",'19_Расчет_аналитики'!AF3480*'01_Вводные'!$B$14,0)</f>
        <v/>
      </c>
      <c r="AH3481">
        <f>IF('01_Вводные'!$B$234="Да",'19_Расчет_аналитики'!AG3480*'01_Вводные'!$B$14,0)</f>
        <v/>
      </c>
      <c r="AI3481">
        <f>IF('01_Вводные'!$B$234="Да",'19_Расчет_аналитики'!AH3480*'01_Вводные'!$B$14,0)</f>
        <v/>
      </c>
      <c r="AJ3481">
        <f>IF('01_Вводные'!$B$234="Да",'19_Расчет_аналитики'!AI3480*'01_Вводные'!$B$14,0)</f>
        <v/>
      </c>
      <c r="AK3481">
        <f>IF('01_Вводные'!$B$234="Да",'19_Расчет_аналитики'!AJ3480*'01_Вводные'!$B$14,0)</f>
        <v/>
      </c>
      <c r="AL3481">
        <f>IF('01_Вводные'!$B$234="Да",'19_Расчет_аналитики'!AK3480*'01_Вводные'!$B$14,0)</f>
        <v/>
      </c>
      <c r="AM3481">
        <f>IF('01_Вводные'!$B$234="Да",'19_Расчет_аналитики'!AL3480*'01_Вводные'!$B$14,0)</f>
        <v/>
      </c>
      <c r="AN3481">
        <f>IF('01_Вводные'!$B$234="Да",'19_Расчет_аналитики'!AM3480*'01_Вводные'!$B$14,0)</f>
        <v/>
      </c>
      <c r="AO3481">
        <f>IF('01_Вводные'!$B$234="Да",'19_Расчет_аналитики'!AN3480*'01_Вводные'!$B$14,0)</f>
        <v/>
      </c>
      <c r="AP3481">
        <f>IF('01_Вводные'!$B$234="Да",'19_Расчет_аналитики'!AO3480*'01_Вводные'!$B$14,0)</f>
        <v/>
      </c>
      <c r="AQ3481">
        <f>IF('01_Вводные'!$B$234="Да",'19_Расчет_аналитики'!AP3480*'01_Вводные'!$B$14,0)</f>
        <v/>
      </c>
      <c r="AR3481">
        <f>IF('01_Вводные'!$B$234="Да",'19_Расчет_аналитики'!AQ3480*'01_Вводные'!$B$14,0)</f>
        <v/>
      </c>
      <c r="AS3481">
        <f>IF('01_Вводные'!$B$234="Да",'19_Расчет_аналитики'!AR3480*'01_Вводные'!$B$14,0)</f>
        <v/>
      </c>
      <c r="AT3481">
        <f>IF('01_Вводные'!$B$234="Да",'19_Расчет_аналитики'!AS3480*'01_Вводные'!$B$14,0)</f>
        <v/>
      </c>
      <c r="AU3481">
        <f>IF('01_Вводные'!$B$234="Да",'19_Расчет_аналитики'!AT3480*'01_Вводные'!$B$14,0)</f>
        <v/>
      </c>
      <c r="AV3481">
        <f>IF('01_Вводные'!$B$234="Да",'19_Расчет_аналитики'!AU3480*'01_Вводные'!$B$14,0)</f>
        <v/>
      </c>
      <c r="AW3481">
        <f>IF('01_Вводные'!$B$234="Да",'19_Расчет_аналитики'!AV3480*'01_Вводные'!$B$14,0)</f>
        <v/>
      </c>
      <c r="AX3481">
        <f>IF('01_Вводные'!$B$234="Да",'19_Расчет_аналитики'!AW3480*'01_Вводные'!$B$14,0)</f>
        <v/>
      </c>
      <c r="AY3481">
        <f>IF('01_Вводные'!$B$234="Да",'19_Расчет_аналитики'!AX3480*'01_Вводные'!$B$14,0)</f>
        <v/>
      </c>
      <c r="AZ3481">
        <f>IF('01_Вводные'!$B$234="Да",'19_Расчет_аналитики'!AY3480*'01_Вводные'!$B$14,0)</f>
        <v/>
      </c>
      <c r="BA3481">
        <f>IF('01_Вводные'!$B$234="Да",'19_Расчет_аналитики'!AZ3480*'01_Вводные'!$B$14,0)</f>
        <v/>
      </c>
      <c r="BB3481">
        <f>IF('01_Вводные'!$B$234="Да",'19_Расчет_аналитики'!BA3480*'01_Вводные'!$B$14,0)</f>
        <v/>
      </c>
      <c r="BC3481">
        <f>IF('01_Вводные'!$B$234="Да",'19_Расчет_аналитики'!BB3480*'01_Вводные'!$B$14,0)</f>
        <v/>
      </c>
      <c r="BD3481">
        <f>IF('01_Вводные'!$B$234="Да",'19_Расчет_аналитики'!BC3480*'01_Вводные'!$B$14,0)</f>
        <v/>
      </c>
      <c r="BE3481">
        <f>IF('01_Вводные'!$B$234="Да",'19_Расчет_аналитики'!BD3480*'01_Вводные'!$B$14,0)</f>
        <v/>
      </c>
      <c r="BF3481">
        <f>IF('01_Вводные'!$B$234="Да",'19_Расчет_аналитики'!BE3480*'01_Вводные'!$B$14,0)</f>
        <v/>
      </c>
      <c r="BG3481">
        <f>IF('01_Вводные'!$B$234="Да",'19_Расчет_аналитики'!BF3480*'01_Вводные'!$B$14,0)</f>
        <v/>
      </c>
      <c r="BH3481">
        <f>IF('01_Вводные'!$B$234="Да",'19_Расчет_аналитики'!BG3480*'01_Вводные'!$B$14,0)</f>
        <v/>
      </c>
      <c r="BI3481">
        <f>IF('01_Вводные'!$B$234="Да",'19_Расчет_аналитики'!BH3480*'01_Вводные'!$B$14,0)</f>
        <v/>
      </c>
      <c r="BJ3481">
        <f>IF('01_Вводные'!$B$234="Да",'19_Расчет_аналитики'!BI3480*'01_Вводные'!$B$14,0)</f>
        <v/>
      </c>
      <c r="BK3481">
        <f>IF('01_Вводные'!$B$234="Да",'19_Расчет_аналитики'!BJ3480*'01_Вводные'!$B$14,0)</f>
        <v/>
      </c>
      <c r="BL3481">
        <f>IF('01_Вводные'!$B$234="Да",'19_Расчет_аналитики'!BK3480*'01_Вводные'!$B$14,0)</f>
        <v/>
      </c>
      <c r="BM3481">
        <f>IF('01_Вводные'!$B$234="Да",'19_Расчет_аналитики'!BL3480*'01_Вводные'!$B$14,0)</f>
        <v/>
      </c>
      <c r="BN3481">
        <f>IF('01_Вводные'!$B$234="Да",'19_Расчет_аналитики'!BM3480*'01_Вводные'!$B$14,0)</f>
        <v/>
      </c>
      <c r="BO3481">
        <f>IF('01_Вводные'!$B$234="Да",'19_Расчет_аналитики'!BN3480*'01_Вводные'!$B$14,0)</f>
        <v/>
      </c>
    </row>
    <row r="3482">
      <c r="B3482">
        <f>'06_Сеть_и_дети'!B91</f>
        <v/>
      </c>
      <c r="C3482">
        <f>'06_Сеть_и_дети'!C91</f>
        <v/>
      </c>
      <c r="D3482">
        <f>'06_Сеть_и_дети'!D91</f>
        <v/>
      </c>
      <c r="E3482">
        <f>'06_Сеть_и_дети'!E91</f>
        <v/>
      </c>
      <c r="F3482">
        <f>'06_Сеть_и_дети'!F91</f>
        <v/>
      </c>
      <c r="G3482">
        <f>'06_Сеть_и_дети'!G91</f>
        <v/>
      </c>
      <c r="H3482">
        <f>'06_Сеть_и_дети'!H91</f>
        <v/>
      </c>
      <c r="I3482">
        <f>'06_Сеть_и_дети'!I91</f>
        <v/>
      </c>
      <c r="J3482">
        <f>'06_Сеть_и_дети'!J91</f>
        <v/>
      </c>
      <c r="K3482">
        <f>'06_Сеть_и_дети'!K91</f>
        <v/>
      </c>
      <c r="L3482">
        <f>IF('01_Вводные'!$B$234="Да",'19_Расчет_аналитики'!K3481*'01_Вводные'!$B$14,0)</f>
        <v/>
      </c>
      <c r="M3482">
        <f>IF('01_Вводные'!$B$234="Да",'19_Расчет_аналитики'!L3481*'01_Вводные'!$B$14,0)</f>
        <v/>
      </c>
      <c r="N3482">
        <f>IF('01_Вводные'!$B$234="Да",'19_Расчет_аналитики'!M3481*'01_Вводные'!$B$14,0)</f>
        <v/>
      </c>
      <c r="O3482">
        <f>IF('01_Вводные'!$B$234="Да",'19_Расчет_аналитики'!N3481*'01_Вводные'!$B$14,0)</f>
        <v/>
      </c>
      <c r="P3482">
        <f>IF('01_Вводные'!$B$234="Да",'19_Расчет_аналитики'!O3481*'01_Вводные'!$B$14,0)</f>
        <v/>
      </c>
      <c r="Q3482">
        <f>IF('01_Вводные'!$B$234="Да",'19_Расчет_аналитики'!P3481*'01_Вводные'!$B$14,0)</f>
        <v/>
      </c>
      <c r="R3482">
        <f>IF('01_Вводные'!$B$234="Да",'19_Расчет_аналитики'!Q3481*'01_Вводные'!$B$14,0)</f>
        <v/>
      </c>
      <c r="S3482">
        <f>IF('01_Вводные'!$B$234="Да",'19_Расчет_аналитики'!R3481*'01_Вводные'!$B$14,0)</f>
        <v/>
      </c>
      <c r="T3482">
        <f>IF('01_Вводные'!$B$234="Да",'19_Расчет_аналитики'!S3481*'01_Вводные'!$B$14,0)</f>
        <v/>
      </c>
      <c r="U3482">
        <f>IF('01_Вводные'!$B$234="Да",'19_Расчет_аналитики'!T3481*'01_Вводные'!$B$14,0)</f>
        <v/>
      </c>
      <c r="V3482">
        <f>IF('01_Вводные'!$B$234="Да",'19_Расчет_аналитики'!U3481*'01_Вводные'!$B$14,0)</f>
        <v/>
      </c>
      <c r="W3482">
        <f>IF('01_Вводные'!$B$234="Да",'19_Расчет_аналитики'!V3481*'01_Вводные'!$B$14,0)</f>
        <v/>
      </c>
      <c r="X3482">
        <f>IF('01_Вводные'!$B$234="Да",'19_Расчет_аналитики'!W3481*'01_Вводные'!$B$14,0)</f>
        <v/>
      </c>
      <c r="Y3482">
        <f>IF('01_Вводные'!$B$234="Да",'19_Расчет_аналитики'!X3481*'01_Вводные'!$B$14,0)</f>
        <v/>
      </c>
      <c r="Z3482">
        <f>IF('01_Вводные'!$B$234="Да",'19_Расчет_аналитики'!Y3481*'01_Вводные'!$B$14,0)</f>
        <v/>
      </c>
      <c r="AA3482">
        <f>IF('01_Вводные'!$B$234="Да",'19_Расчет_аналитики'!Z3481*'01_Вводные'!$B$14,0)</f>
        <v/>
      </c>
      <c r="AB3482">
        <f>IF('01_Вводные'!$B$234="Да",'19_Расчет_аналитики'!AA3481*'01_Вводные'!$B$14,0)</f>
        <v/>
      </c>
      <c r="AC3482">
        <f>IF('01_Вводные'!$B$234="Да",'19_Расчет_аналитики'!AB3481*'01_Вводные'!$B$14,0)</f>
        <v/>
      </c>
      <c r="AD3482">
        <f>IF('01_Вводные'!$B$234="Да",'19_Расчет_аналитики'!AC3481*'01_Вводные'!$B$14,0)</f>
        <v/>
      </c>
      <c r="AE3482">
        <f>IF('01_Вводные'!$B$234="Да",'19_Расчет_аналитики'!AD3481*'01_Вводные'!$B$14,0)</f>
        <v/>
      </c>
      <c r="AF3482">
        <f>IF('01_Вводные'!$B$234="Да",'19_Расчет_аналитики'!AE3481*'01_Вводные'!$B$14,0)</f>
        <v/>
      </c>
      <c r="AG3482">
        <f>IF('01_Вводные'!$B$234="Да",'19_Расчет_аналитики'!AF3481*'01_Вводные'!$B$14,0)</f>
        <v/>
      </c>
      <c r="AH3482">
        <f>IF('01_Вводные'!$B$234="Да",'19_Расчет_аналитики'!AG3481*'01_Вводные'!$B$14,0)</f>
        <v/>
      </c>
      <c r="AI3482">
        <f>IF('01_Вводные'!$B$234="Да",'19_Расчет_аналитики'!AH3481*'01_Вводные'!$B$14,0)</f>
        <v/>
      </c>
      <c r="AJ3482">
        <f>IF('01_Вводные'!$B$234="Да",'19_Расчет_аналитики'!AI3481*'01_Вводные'!$B$14,0)</f>
        <v/>
      </c>
      <c r="AK3482">
        <f>IF('01_Вводные'!$B$234="Да",'19_Расчет_аналитики'!AJ3481*'01_Вводные'!$B$14,0)</f>
        <v/>
      </c>
      <c r="AL3482">
        <f>IF('01_Вводные'!$B$234="Да",'19_Расчет_аналитики'!AK3481*'01_Вводные'!$B$14,0)</f>
        <v/>
      </c>
      <c r="AM3482">
        <f>IF('01_Вводные'!$B$234="Да",'19_Расчет_аналитики'!AL3481*'01_Вводные'!$B$14,0)</f>
        <v/>
      </c>
      <c r="AN3482">
        <f>IF('01_Вводные'!$B$234="Да",'19_Расчет_аналитики'!AM3481*'01_Вводные'!$B$14,0)</f>
        <v/>
      </c>
      <c r="AO3482">
        <f>IF('01_Вводные'!$B$234="Да",'19_Расчет_аналитики'!AN3481*'01_Вводные'!$B$14,0)</f>
        <v/>
      </c>
      <c r="AP3482">
        <f>IF('01_Вводные'!$B$234="Да",'19_Расчет_аналитики'!AO3481*'01_Вводные'!$B$14,0)</f>
        <v/>
      </c>
      <c r="AQ3482">
        <f>IF('01_Вводные'!$B$234="Да",'19_Расчет_аналитики'!AP3481*'01_Вводные'!$B$14,0)</f>
        <v/>
      </c>
      <c r="AR3482">
        <f>IF('01_Вводные'!$B$234="Да",'19_Расчет_аналитики'!AQ3481*'01_Вводные'!$B$14,0)</f>
        <v/>
      </c>
      <c r="AS3482">
        <f>IF('01_Вводные'!$B$234="Да",'19_Расчет_аналитики'!AR3481*'01_Вводные'!$B$14,0)</f>
        <v/>
      </c>
      <c r="AT3482">
        <f>IF('01_Вводные'!$B$234="Да",'19_Расчет_аналитики'!AS3481*'01_Вводные'!$B$14,0)</f>
        <v/>
      </c>
      <c r="AU3482">
        <f>IF('01_Вводные'!$B$234="Да",'19_Расчет_аналитики'!AT3481*'01_Вводные'!$B$14,0)</f>
        <v/>
      </c>
      <c r="AV3482">
        <f>IF('01_Вводные'!$B$234="Да",'19_Расчет_аналитики'!AU3481*'01_Вводные'!$B$14,0)</f>
        <v/>
      </c>
      <c r="AW3482">
        <f>IF('01_Вводные'!$B$234="Да",'19_Расчет_аналитики'!AV3481*'01_Вводные'!$B$14,0)</f>
        <v/>
      </c>
      <c r="AX3482">
        <f>IF('01_Вводные'!$B$234="Да",'19_Расчет_аналитики'!AW3481*'01_Вводные'!$B$14,0)</f>
        <v/>
      </c>
      <c r="AY3482">
        <f>IF('01_Вводные'!$B$234="Да",'19_Расчет_аналитики'!AX3481*'01_Вводные'!$B$14,0)</f>
        <v/>
      </c>
      <c r="AZ3482">
        <f>IF('01_Вводные'!$B$234="Да",'19_Расчет_аналитики'!AY3481*'01_Вводные'!$B$14,0)</f>
        <v/>
      </c>
      <c r="BA3482">
        <f>IF('01_Вводные'!$B$234="Да",'19_Расчет_аналитики'!AZ3481*'01_Вводные'!$B$14,0)</f>
        <v/>
      </c>
      <c r="BB3482">
        <f>IF('01_Вводные'!$B$234="Да",'19_Расчет_аналитики'!BA3481*'01_Вводные'!$B$14,0)</f>
        <v/>
      </c>
      <c r="BC3482">
        <f>IF('01_Вводные'!$B$234="Да",'19_Расчет_аналитики'!BB3481*'01_Вводные'!$B$14,0)</f>
        <v/>
      </c>
      <c r="BD3482">
        <f>IF('01_Вводные'!$B$234="Да",'19_Расчет_аналитики'!BC3481*'01_Вводные'!$B$14,0)</f>
        <v/>
      </c>
      <c r="BE3482">
        <f>IF('01_Вводные'!$B$234="Да",'19_Расчет_аналитики'!BD3481*'01_Вводные'!$B$14,0)</f>
        <v/>
      </c>
      <c r="BF3482">
        <f>IF('01_Вводные'!$B$234="Да",'19_Расчет_аналитики'!BE3481*'01_Вводные'!$B$14,0)</f>
        <v/>
      </c>
      <c r="BG3482">
        <f>IF('01_Вводные'!$B$234="Да",'19_Расчет_аналитики'!BF3481*'01_Вводные'!$B$14,0)</f>
        <v/>
      </c>
      <c r="BH3482">
        <f>IF('01_Вводные'!$B$234="Да",'19_Расчет_аналитики'!BG3481*'01_Вводные'!$B$14,0)</f>
        <v/>
      </c>
      <c r="BI3482">
        <f>IF('01_Вводные'!$B$234="Да",'19_Расчет_аналитики'!BH3481*'01_Вводные'!$B$14,0)</f>
        <v/>
      </c>
      <c r="BJ3482">
        <f>IF('01_Вводные'!$B$234="Да",'19_Расчет_аналитики'!BI3481*'01_Вводные'!$B$14,0)</f>
        <v/>
      </c>
      <c r="BK3482">
        <f>IF('01_Вводные'!$B$234="Да",'19_Расчет_аналитики'!BJ3481*'01_Вводные'!$B$14,0)</f>
        <v/>
      </c>
      <c r="BL3482">
        <f>IF('01_Вводные'!$B$234="Да",'19_Расчет_аналитики'!BK3481*'01_Вводные'!$B$14,0)</f>
        <v/>
      </c>
      <c r="BM3482">
        <f>IF('01_Вводные'!$B$234="Да",'19_Расчет_аналитики'!BL3481*'01_Вводные'!$B$14,0)</f>
        <v/>
      </c>
      <c r="BN3482">
        <f>IF('01_Вводные'!$B$234="Да",'19_Расчет_аналитики'!BM3481*'01_Вводные'!$B$14,0)</f>
        <v/>
      </c>
      <c r="BO3482">
        <f>IF('01_Вводные'!$B$234="Да",'19_Расчет_аналитики'!BN3481*'01_Вводные'!$B$14,0)</f>
        <v/>
      </c>
    </row>
    <row r="3483">
      <c r="B3483">
        <f>'06_Сеть_и_дети'!B92</f>
        <v/>
      </c>
      <c r="C3483">
        <f>'06_Сеть_и_дети'!C92</f>
        <v/>
      </c>
      <c r="D3483">
        <f>'06_Сеть_и_дети'!D92</f>
        <v/>
      </c>
      <c r="E3483">
        <f>'06_Сеть_и_дети'!E92</f>
        <v/>
      </c>
      <c r="F3483">
        <f>'06_Сеть_и_дети'!F92</f>
        <v/>
      </c>
      <c r="G3483">
        <f>'06_Сеть_и_дети'!G92</f>
        <v/>
      </c>
      <c r="H3483">
        <f>'06_Сеть_и_дети'!H92</f>
        <v/>
      </c>
      <c r="I3483">
        <f>'06_Сеть_и_дети'!I92</f>
        <v/>
      </c>
      <c r="J3483">
        <f>'06_Сеть_и_дети'!J92</f>
        <v/>
      </c>
      <c r="K3483">
        <f>'06_Сеть_и_дети'!K92</f>
        <v/>
      </c>
      <c r="L3483">
        <f>'06_Сеть_и_дети'!L92</f>
        <v/>
      </c>
      <c r="M3483">
        <f>IF('01_Вводные'!$B$234="Да",'19_Расчет_аналитики'!L3482*'01_Вводные'!$B$14,0)</f>
        <v/>
      </c>
      <c r="N3483">
        <f>IF('01_Вводные'!$B$234="Да",'19_Расчет_аналитики'!M3482*'01_Вводные'!$B$14,0)</f>
        <v/>
      </c>
      <c r="O3483">
        <f>IF('01_Вводные'!$B$234="Да",'19_Расчет_аналитики'!N3482*'01_Вводные'!$B$14,0)</f>
        <v/>
      </c>
      <c r="P3483">
        <f>IF('01_Вводные'!$B$234="Да",'19_Расчет_аналитики'!O3482*'01_Вводные'!$B$14,0)</f>
        <v/>
      </c>
      <c r="Q3483">
        <f>IF('01_Вводные'!$B$234="Да",'19_Расчет_аналитики'!P3482*'01_Вводные'!$B$14,0)</f>
        <v/>
      </c>
      <c r="R3483">
        <f>IF('01_Вводные'!$B$234="Да",'19_Расчет_аналитики'!Q3482*'01_Вводные'!$B$14,0)</f>
        <v/>
      </c>
      <c r="S3483">
        <f>IF('01_Вводные'!$B$234="Да",'19_Расчет_аналитики'!R3482*'01_Вводные'!$B$14,0)</f>
        <v/>
      </c>
      <c r="T3483">
        <f>IF('01_Вводные'!$B$234="Да",'19_Расчет_аналитики'!S3482*'01_Вводные'!$B$14,0)</f>
        <v/>
      </c>
      <c r="U3483">
        <f>IF('01_Вводные'!$B$234="Да",'19_Расчет_аналитики'!T3482*'01_Вводные'!$B$14,0)</f>
        <v/>
      </c>
      <c r="V3483">
        <f>IF('01_Вводные'!$B$234="Да",'19_Расчет_аналитики'!U3482*'01_Вводные'!$B$14,0)</f>
        <v/>
      </c>
      <c r="W3483">
        <f>IF('01_Вводные'!$B$234="Да",'19_Расчет_аналитики'!V3482*'01_Вводные'!$B$14,0)</f>
        <v/>
      </c>
      <c r="X3483">
        <f>IF('01_Вводные'!$B$234="Да",'19_Расчет_аналитики'!W3482*'01_Вводные'!$B$14,0)</f>
        <v/>
      </c>
      <c r="Y3483">
        <f>IF('01_Вводные'!$B$234="Да",'19_Расчет_аналитики'!X3482*'01_Вводные'!$B$14,0)</f>
        <v/>
      </c>
      <c r="Z3483">
        <f>IF('01_Вводные'!$B$234="Да",'19_Расчет_аналитики'!Y3482*'01_Вводные'!$B$14,0)</f>
        <v/>
      </c>
      <c r="AA3483">
        <f>IF('01_Вводные'!$B$234="Да",'19_Расчет_аналитики'!Z3482*'01_Вводные'!$B$14,0)</f>
        <v/>
      </c>
      <c r="AB3483">
        <f>IF('01_Вводные'!$B$234="Да",'19_Расчет_аналитики'!AA3482*'01_Вводные'!$B$14,0)</f>
        <v/>
      </c>
      <c r="AC3483">
        <f>IF('01_Вводные'!$B$234="Да",'19_Расчет_аналитики'!AB3482*'01_Вводные'!$B$14,0)</f>
        <v/>
      </c>
      <c r="AD3483">
        <f>IF('01_Вводные'!$B$234="Да",'19_Расчет_аналитики'!AC3482*'01_Вводные'!$B$14,0)</f>
        <v/>
      </c>
      <c r="AE3483">
        <f>IF('01_Вводные'!$B$234="Да",'19_Расчет_аналитики'!AD3482*'01_Вводные'!$B$14,0)</f>
        <v/>
      </c>
      <c r="AF3483">
        <f>IF('01_Вводные'!$B$234="Да",'19_Расчет_аналитики'!AE3482*'01_Вводные'!$B$14,0)</f>
        <v/>
      </c>
      <c r="AG3483">
        <f>IF('01_Вводные'!$B$234="Да",'19_Расчет_аналитики'!AF3482*'01_Вводные'!$B$14,0)</f>
        <v/>
      </c>
      <c r="AH3483">
        <f>IF('01_Вводные'!$B$234="Да",'19_Расчет_аналитики'!AG3482*'01_Вводные'!$B$14,0)</f>
        <v/>
      </c>
      <c r="AI3483">
        <f>IF('01_Вводные'!$B$234="Да",'19_Расчет_аналитики'!AH3482*'01_Вводные'!$B$14,0)</f>
        <v/>
      </c>
      <c r="AJ3483">
        <f>IF('01_Вводные'!$B$234="Да",'19_Расчет_аналитики'!AI3482*'01_Вводные'!$B$14,0)</f>
        <v/>
      </c>
      <c r="AK3483">
        <f>IF('01_Вводные'!$B$234="Да",'19_Расчет_аналитики'!AJ3482*'01_Вводные'!$B$14,0)</f>
        <v/>
      </c>
      <c r="AL3483">
        <f>IF('01_Вводные'!$B$234="Да",'19_Расчет_аналитики'!AK3482*'01_Вводные'!$B$14,0)</f>
        <v/>
      </c>
      <c r="AM3483">
        <f>IF('01_Вводные'!$B$234="Да",'19_Расчет_аналитики'!AL3482*'01_Вводные'!$B$14,0)</f>
        <v/>
      </c>
      <c r="AN3483">
        <f>IF('01_Вводные'!$B$234="Да",'19_Расчет_аналитики'!AM3482*'01_Вводные'!$B$14,0)</f>
        <v/>
      </c>
      <c r="AO3483">
        <f>IF('01_Вводные'!$B$234="Да",'19_Расчет_аналитики'!AN3482*'01_Вводные'!$B$14,0)</f>
        <v/>
      </c>
      <c r="AP3483">
        <f>IF('01_Вводные'!$B$234="Да",'19_Расчет_аналитики'!AO3482*'01_Вводные'!$B$14,0)</f>
        <v/>
      </c>
      <c r="AQ3483">
        <f>IF('01_Вводные'!$B$234="Да",'19_Расчет_аналитики'!AP3482*'01_Вводные'!$B$14,0)</f>
        <v/>
      </c>
      <c r="AR3483">
        <f>IF('01_Вводные'!$B$234="Да",'19_Расчет_аналитики'!AQ3482*'01_Вводные'!$B$14,0)</f>
        <v/>
      </c>
      <c r="AS3483">
        <f>IF('01_Вводные'!$B$234="Да",'19_Расчет_аналитики'!AR3482*'01_Вводные'!$B$14,0)</f>
        <v/>
      </c>
      <c r="AT3483">
        <f>IF('01_Вводные'!$B$234="Да",'19_Расчет_аналитики'!AS3482*'01_Вводные'!$B$14,0)</f>
        <v/>
      </c>
      <c r="AU3483">
        <f>IF('01_Вводные'!$B$234="Да",'19_Расчет_аналитики'!AT3482*'01_Вводные'!$B$14,0)</f>
        <v/>
      </c>
      <c r="AV3483">
        <f>IF('01_Вводные'!$B$234="Да",'19_Расчет_аналитики'!AU3482*'01_Вводные'!$B$14,0)</f>
        <v/>
      </c>
      <c r="AW3483">
        <f>IF('01_Вводные'!$B$234="Да",'19_Расчет_аналитики'!AV3482*'01_Вводные'!$B$14,0)</f>
        <v/>
      </c>
      <c r="AX3483">
        <f>IF('01_Вводные'!$B$234="Да",'19_Расчет_аналитики'!AW3482*'01_Вводные'!$B$14,0)</f>
        <v/>
      </c>
      <c r="AY3483">
        <f>IF('01_Вводные'!$B$234="Да",'19_Расчет_аналитики'!AX3482*'01_Вводные'!$B$14,0)</f>
        <v/>
      </c>
      <c r="AZ3483">
        <f>IF('01_Вводные'!$B$234="Да",'19_Расчет_аналитики'!AY3482*'01_Вводные'!$B$14,0)</f>
        <v/>
      </c>
      <c r="BA3483">
        <f>IF('01_Вводные'!$B$234="Да",'19_Расчет_аналитики'!AZ3482*'01_Вводные'!$B$14,0)</f>
        <v/>
      </c>
      <c r="BB3483">
        <f>IF('01_Вводные'!$B$234="Да",'19_Расчет_аналитики'!BA3482*'01_Вводные'!$B$14,0)</f>
        <v/>
      </c>
      <c r="BC3483">
        <f>IF('01_Вводные'!$B$234="Да",'19_Расчет_аналитики'!BB3482*'01_Вводные'!$B$14,0)</f>
        <v/>
      </c>
      <c r="BD3483">
        <f>IF('01_Вводные'!$B$234="Да",'19_Расчет_аналитики'!BC3482*'01_Вводные'!$B$14,0)</f>
        <v/>
      </c>
      <c r="BE3483">
        <f>IF('01_Вводные'!$B$234="Да",'19_Расчет_аналитики'!BD3482*'01_Вводные'!$B$14,0)</f>
        <v/>
      </c>
      <c r="BF3483">
        <f>IF('01_Вводные'!$B$234="Да",'19_Расчет_аналитики'!BE3482*'01_Вводные'!$B$14,0)</f>
        <v/>
      </c>
      <c r="BG3483">
        <f>IF('01_Вводные'!$B$234="Да",'19_Расчет_аналитики'!BF3482*'01_Вводные'!$B$14,0)</f>
        <v/>
      </c>
      <c r="BH3483">
        <f>IF('01_Вводные'!$B$234="Да",'19_Расчет_аналитики'!BG3482*'01_Вводные'!$B$14,0)</f>
        <v/>
      </c>
      <c r="BI3483">
        <f>IF('01_Вводные'!$B$234="Да",'19_Расчет_аналитики'!BH3482*'01_Вводные'!$B$14,0)</f>
        <v/>
      </c>
      <c r="BJ3483">
        <f>IF('01_Вводные'!$B$234="Да",'19_Расчет_аналитики'!BI3482*'01_Вводные'!$B$14,0)</f>
        <v/>
      </c>
      <c r="BK3483">
        <f>IF('01_Вводные'!$B$234="Да",'19_Расчет_аналитики'!BJ3482*'01_Вводные'!$B$14,0)</f>
        <v/>
      </c>
      <c r="BL3483">
        <f>IF('01_Вводные'!$B$234="Да",'19_Расчет_аналитики'!BK3482*'01_Вводные'!$B$14,0)</f>
        <v/>
      </c>
      <c r="BM3483">
        <f>IF('01_Вводные'!$B$234="Да",'19_Расчет_аналитики'!BL3482*'01_Вводные'!$B$14,0)</f>
        <v/>
      </c>
      <c r="BN3483">
        <f>IF('01_Вводные'!$B$234="Да",'19_Расчет_аналитики'!BM3482*'01_Вводные'!$B$14,0)</f>
        <v/>
      </c>
      <c r="BO3483">
        <f>IF('01_Вводные'!$B$234="Да",'19_Расчет_аналитики'!BN3482*'01_Вводные'!$B$14,0)</f>
        <v/>
      </c>
    </row>
    <row r="3484">
      <c r="N3484">
        <f>IF('01_Вводные'!$B$234="Да",'19_Расчет_аналитики'!M3483*'01_Вводные'!$B$14,0)</f>
        <v/>
      </c>
      <c r="O3484">
        <f>IF('01_Вводные'!$B$234="Да",'19_Расчет_аналитики'!N3483*'01_Вводные'!$B$14,0)</f>
        <v/>
      </c>
      <c r="P3484">
        <f>IF('01_Вводные'!$B$234="Да",'19_Расчет_аналитики'!O3483*'01_Вводные'!$B$14,0)</f>
        <v/>
      </c>
      <c r="Q3484">
        <f>IF('01_Вводные'!$B$234="Да",'19_Расчет_аналитики'!P3483*'01_Вводные'!$B$14,0)</f>
        <v/>
      </c>
      <c r="R3484">
        <f>IF('01_Вводные'!$B$234="Да",'19_Расчет_аналитики'!Q3483*'01_Вводные'!$B$14,0)</f>
        <v/>
      </c>
      <c r="S3484">
        <f>IF('01_Вводные'!$B$234="Да",'19_Расчет_аналитики'!R3483*'01_Вводные'!$B$14,0)</f>
        <v/>
      </c>
      <c r="T3484">
        <f>IF('01_Вводные'!$B$234="Да",'19_Расчет_аналитики'!S3483*'01_Вводные'!$B$14,0)</f>
        <v/>
      </c>
      <c r="U3484">
        <f>IF('01_Вводные'!$B$234="Да",'19_Расчет_аналитики'!T3483*'01_Вводные'!$B$14,0)</f>
        <v/>
      </c>
      <c r="V3484">
        <f>IF('01_Вводные'!$B$234="Да",'19_Расчет_аналитики'!U3483*'01_Вводные'!$B$14,0)</f>
        <v/>
      </c>
      <c r="W3484">
        <f>IF('01_Вводные'!$B$234="Да",'19_Расчет_аналитики'!V3483*'01_Вводные'!$B$14,0)</f>
        <v/>
      </c>
      <c r="X3484">
        <f>IF('01_Вводные'!$B$234="Да",'19_Расчет_аналитики'!W3483*'01_Вводные'!$B$14,0)</f>
        <v/>
      </c>
      <c r="Y3484">
        <f>IF('01_Вводные'!$B$234="Да",'19_Расчет_аналитики'!X3483*'01_Вводные'!$B$14,0)</f>
        <v/>
      </c>
      <c r="Z3484">
        <f>IF('01_Вводные'!$B$234="Да",'19_Расчет_аналитики'!Y3483*'01_Вводные'!$B$14,0)</f>
        <v/>
      </c>
      <c r="AA3484">
        <f>IF('01_Вводные'!$B$234="Да",'19_Расчет_аналитики'!Z3483*'01_Вводные'!$B$14,0)</f>
        <v/>
      </c>
      <c r="AB3484">
        <f>IF('01_Вводные'!$B$234="Да",'19_Расчет_аналитики'!AA3483*'01_Вводные'!$B$14,0)</f>
        <v/>
      </c>
      <c r="AC3484">
        <f>IF('01_Вводные'!$B$234="Да",'19_Расчет_аналитики'!AB3483*'01_Вводные'!$B$14,0)</f>
        <v/>
      </c>
      <c r="AD3484">
        <f>IF('01_Вводные'!$B$234="Да",'19_Расчет_аналитики'!AC3483*'01_Вводные'!$B$14,0)</f>
        <v/>
      </c>
      <c r="AE3484">
        <f>IF('01_Вводные'!$B$234="Да",'19_Расчет_аналитики'!AD3483*'01_Вводные'!$B$14,0)</f>
        <v/>
      </c>
      <c r="AF3484">
        <f>IF('01_Вводные'!$B$234="Да",'19_Расчет_аналитики'!AE3483*'01_Вводные'!$B$14,0)</f>
        <v/>
      </c>
      <c r="AG3484">
        <f>IF('01_Вводные'!$B$234="Да",'19_Расчет_аналитики'!AF3483*'01_Вводные'!$B$14,0)</f>
        <v/>
      </c>
      <c r="AH3484">
        <f>IF('01_Вводные'!$B$234="Да",'19_Расчет_аналитики'!AG3483*'01_Вводные'!$B$14,0)</f>
        <v/>
      </c>
      <c r="AI3484">
        <f>IF('01_Вводные'!$B$234="Да",'19_Расчет_аналитики'!AH3483*'01_Вводные'!$B$14,0)</f>
        <v/>
      </c>
      <c r="AJ3484">
        <f>IF('01_Вводные'!$B$234="Да",'19_Расчет_аналитики'!AI3483*'01_Вводные'!$B$14,0)</f>
        <v/>
      </c>
      <c r="AK3484">
        <f>IF('01_Вводные'!$B$234="Да",'19_Расчет_аналитики'!AJ3483*'01_Вводные'!$B$14,0)</f>
        <v/>
      </c>
      <c r="AL3484">
        <f>IF('01_Вводные'!$B$234="Да",'19_Расчет_аналитики'!AK3483*'01_Вводные'!$B$14,0)</f>
        <v/>
      </c>
      <c r="AM3484">
        <f>IF('01_Вводные'!$B$234="Да",'19_Расчет_аналитики'!AL3483*'01_Вводные'!$B$14,0)</f>
        <v/>
      </c>
      <c r="AN3484">
        <f>IF('01_Вводные'!$B$234="Да",'19_Расчет_аналитики'!AM3483*'01_Вводные'!$B$14,0)</f>
        <v/>
      </c>
      <c r="AO3484">
        <f>IF('01_Вводные'!$B$234="Да",'19_Расчет_аналитики'!AN3483*'01_Вводные'!$B$14,0)</f>
        <v/>
      </c>
      <c r="AP3484">
        <f>IF('01_Вводные'!$B$234="Да",'19_Расчет_аналитики'!AO3483*'01_Вводные'!$B$14,0)</f>
        <v/>
      </c>
      <c r="AQ3484">
        <f>IF('01_Вводные'!$B$234="Да",'19_Расчет_аналитики'!AP3483*'01_Вводные'!$B$14,0)</f>
        <v/>
      </c>
      <c r="AR3484">
        <f>IF('01_Вводные'!$B$234="Да",'19_Расчет_аналитики'!AQ3483*'01_Вводные'!$B$14,0)</f>
        <v/>
      </c>
      <c r="AS3484">
        <f>IF('01_Вводные'!$B$234="Да",'19_Расчет_аналитики'!AR3483*'01_Вводные'!$B$14,0)</f>
        <v/>
      </c>
      <c r="AT3484">
        <f>IF('01_Вводные'!$B$234="Да",'19_Расчет_аналитики'!AS3483*'01_Вводные'!$B$14,0)</f>
        <v/>
      </c>
      <c r="AU3484">
        <f>IF('01_Вводные'!$B$234="Да",'19_Расчет_аналитики'!AT3483*'01_Вводные'!$B$14,0)</f>
        <v/>
      </c>
      <c r="AV3484">
        <f>IF('01_Вводные'!$B$234="Да",'19_Расчет_аналитики'!AU3483*'01_Вводные'!$B$14,0)</f>
        <v/>
      </c>
      <c r="AW3484">
        <f>IF('01_Вводные'!$B$234="Да",'19_Расчет_аналитики'!AV3483*'01_Вводные'!$B$14,0)</f>
        <v/>
      </c>
      <c r="AX3484">
        <f>IF('01_Вводные'!$B$234="Да",'19_Расчет_аналитики'!AW3483*'01_Вводные'!$B$14,0)</f>
        <v/>
      </c>
      <c r="AY3484">
        <f>IF('01_Вводные'!$B$234="Да",'19_Расчет_аналитики'!AX3483*'01_Вводные'!$B$14,0)</f>
        <v/>
      </c>
      <c r="AZ3484">
        <f>IF('01_Вводные'!$B$234="Да",'19_Расчет_аналитики'!AY3483*'01_Вводные'!$B$14,0)</f>
        <v/>
      </c>
      <c r="BA3484">
        <f>IF('01_Вводные'!$B$234="Да",'19_Расчет_аналитики'!AZ3483*'01_Вводные'!$B$14,0)</f>
        <v/>
      </c>
      <c r="BB3484">
        <f>IF('01_Вводные'!$B$234="Да",'19_Расчет_аналитики'!BA3483*'01_Вводные'!$B$14,0)</f>
        <v/>
      </c>
      <c r="BC3484">
        <f>IF('01_Вводные'!$B$234="Да",'19_Расчет_аналитики'!BB3483*'01_Вводные'!$B$14,0)</f>
        <v/>
      </c>
      <c r="BD3484">
        <f>IF('01_Вводные'!$B$234="Да",'19_Расчет_аналитики'!BC3483*'01_Вводные'!$B$14,0)</f>
        <v/>
      </c>
      <c r="BE3484">
        <f>IF('01_Вводные'!$B$234="Да",'19_Расчет_аналитики'!BD3483*'01_Вводные'!$B$14,0)</f>
        <v/>
      </c>
      <c r="BF3484">
        <f>IF('01_Вводные'!$B$234="Да",'19_Расчет_аналитики'!BE3483*'01_Вводные'!$B$14,0)</f>
        <v/>
      </c>
      <c r="BG3484">
        <f>IF('01_Вводные'!$B$234="Да",'19_Расчет_аналитики'!BF3483*'01_Вводные'!$B$14,0)</f>
        <v/>
      </c>
      <c r="BH3484">
        <f>IF('01_Вводные'!$B$234="Да",'19_Расчет_аналитики'!BG3483*'01_Вводные'!$B$14,0)</f>
        <v/>
      </c>
      <c r="BI3484">
        <f>IF('01_Вводные'!$B$234="Да",'19_Расчет_аналитики'!BH3483*'01_Вводные'!$B$14,0)</f>
        <v/>
      </c>
      <c r="BJ3484">
        <f>IF('01_Вводные'!$B$234="Да",'19_Расчет_аналитики'!BI3483*'01_Вводные'!$B$14,0)</f>
        <v/>
      </c>
      <c r="BK3484">
        <f>IF('01_Вводные'!$B$234="Да",'19_Расчет_аналитики'!BJ3483*'01_Вводные'!$B$14,0)</f>
        <v/>
      </c>
      <c r="BL3484">
        <f>IF('01_Вводные'!$B$234="Да",'19_Расчет_аналитики'!BK3483*'01_Вводные'!$B$14,0)</f>
        <v/>
      </c>
      <c r="BM3484">
        <f>IF('01_Вводные'!$B$234="Да",'19_Расчет_аналитики'!BL3483*'01_Вводные'!$B$14,0)</f>
        <v/>
      </c>
      <c r="BN3484">
        <f>IF('01_Вводные'!$B$234="Да",'19_Расчет_аналитики'!BM3483*'01_Вводные'!$B$14,0)</f>
        <v/>
      </c>
      <c r="BO3484">
        <f>IF('01_Вводные'!$B$234="Да",'19_Расчет_аналитики'!BN3483*'01_Вводные'!$B$14,0)</f>
        <v/>
      </c>
    </row>
    <row r="3485">
      <c r="N3485">
        <f>'06_Сеть_и_дети'!N94</f>
        <v/>
      </c>
      <c r="O3485">
        <f>IF('01_Вводные'!$B$234="Да",'19_Расчет_аналитики'!N3484*'01_Вводные'!$B$14,0)</f>
        <v/>
      </c>
      <c r="P3485">
        <f>IF('01_Вводные'!$B$234="Да",'19_Расчет_аналитики'!O3484*'01_Вводные'!$B$14,0)</f>
        <v/>
      </c>
      <c r="Q3485">
        <f>IF('01_Вводные'!$B$234="Да",'19_Расчет_аналитики'!P3484*'01_Вводные'!$B$14,0)</f>
        <v/>
      </c>
      <c r="R3485">
        <f>IF('01_Вводные'!$B$234="Да",'19_Расчет_аналитики'!Q3484*'01_Вводные'!$B$14,0)</f>
        <v/>
      </c>
      <c r="S3485">
        <f>IF('01_Вводные'!$B$234="Да",'19_Расчет_аналитики'!R3484*'01_Вводные'!$B$14,0)</f>
        <v/>
      </c>
      <c r="T3485">
        <f>IF('01_Вводные'!$B$234="Да",'19_Расчет_аналитики'!S3484*'01_Вводные'!$B$14,0)</f>
        <v/>
      </c>
      <c r="U3485">
        <f>IF('01_Вводные'!$B$234="Да",'19_Расчет_аналитики'!T3484*'01_Вводные'!$B$14,0)</f>
        <v/>
      </c>
      <c r="V3485">
        <f>IF('01_Вводные'!$B$234="Да",'19_Расчет_аналитики'!U3484*'01_Вводные'!$B$14,0)</f>
        <v/>
      </c>
      <c r="W3485">
        <f>IF('01_Вводные'!$B$234="Да",'19_Расчет_аналитики'!V3484*'01_Вводные'!$B$14,0)</f>
        <v/>
      </c>
      <c r="X3485">
        <f>IF('01_Вводные'!$B$234="Да",'19_Расчет_аналитики'!W3484*'01_Вводные'!$B$14,0)</f>
        <v/>
      </c>
      <c r="Y3485">
        <f>IF('01_Вводные'!$B$234="Да",'19_Расчет_аналитики'!X3484*'01_Вводные'!$B$14,0)</f>
        <v/>
      </c>
      <c r="Z3485">
        <f>IF('01_Вводные'!$B$234="Да",'19_Расчет_аналитики'!Y3484*'01_Вводные'!$B$14,0)</f>
        <v/>
      </c>
      <c r="AA3485">
        <f>IF('01_Вводные'!$B$234="Да",'19_Расчет_аналитики'!Z3484*'01_Вводные'!$B$14,0)</f>
        <v/>
      </c>
      <c r="AB3485">
        <f>IF('01_Вводные'!$B$234="Да",'19_Расчет_аналитики'!AA3484*'01_Вводные'!$B$14,0)</f>
        <v/>
      </c>
      <c r="AC3485">
        <f>IF('01_Вводные'!$B$234="Да",'19_Расчет_аналитики'!AB3484*'01_Вводные'!$B$14,0)</f>
        <v/>
      </c>
      <c r="AD3485">
        <f>IF('01_Вводные'!$B$234="Да",'19_Расчет_аналитики'!AC3484*'01_Вводные'!$B$14,0)</f>
        <v/>
      </c>
      <c r="AE3485">
        <f>IF('01_Вводные'!$B$234="Да",'19_Расчет_аналитики'!AD3484*'01_Вводные'!$B$14,0)</f>
        <v/>
      </c>
      <c r="AF3485">
        <f>IF('01_Вводные'!$B$234="Да",'19_Расчет_аналитики'!AE3484*'01_Вводные'!$B$14,0)</f>
        <v/>
      </c>
      <c r="AG3485">
        <f>IF('01_Вводные'!$B$234="Да",'19_Расчет_аналитики'!AF3484*'01_Вводные'!$B$14,0)</f>
        <v/>
      </c>
      <c r="AH3485">
        <f>IF('01_Вводные'!$B$234="Да",'19_Расчет_аналитики'!AG3484*'01_Вводные'!$B$14,0)</f>
        <v/>
      </c>
      <c r="AI3485">
        <f>IF('01_Вводные'!$B$234="Да",'19_Расчет_аналитики'!AH3484*'01_Вводные'!$B$14,0)</f>
        <v/>
      </c>
      <c r="AJ3485">
        <f>IF('01_Вводные'!$B$234="Да",'19_Расчет_аналитики'!AI3484*'01_Вводные'!$B$14,0)</f>
        <v/>
      </c>
      <c r="AK3485">
        <f>IF('01_Вводные'!$B$234="Да",'19_Расчет_аналитики'!AJ3484*'01_Вводные'!$B$14,0)</f>
        <v/>
      </c>
      <c r="AL3485">
        <f>IF('01_Вводные'!$B$234="Да",'19_Расчет_аналитики'!AK3484*'01_Вводные'!$B$14,0)</f>
        <v/>
      </c>
      <c r="AM3485">
        <f>IF('01_Вводные'!$B$234="Да",'19_Расчет_аналитики'!AL3484*'01_Вводные'!$B$14,0)</f>
        <v/>
      </c>
      <c r="AN3485">
        <f>IF('01_Вводные'!$B$234="Да",'19_Расчет_аналитики'!AM3484*'01_Вводные'!$B$14,0)</f>
        <v/>
      </c>
      <c r="AO3485">
        <f>IF('01_Вводные'!$B$234="Да",'19_Расчет_аналитики'!AN3484*'01_Вводные'!$B$14,0)</f>
        <v/>
      </c>
      <c r="AP3485">
        <f>IF('01_Вводные'!$B$234="Да",'19_Расчет_аналитики'!AO3484*'01_Вводные'!$B$14,0)</f>
        <v/>
      </c>
      <c r="AQ3485">
        <f>IF('01_Вводные'!$B$234="Да",'19_Расчет_аналитики'!AP3484*'01_Вводные'!$B$14,0)</f>
        <v/>
      </c>
      <c r="AR3485">
        <f>IF('01_Вводные'!$B$234="Да",'19_Расчет_аналитики'!AQ3484*'01_Вводные'!$B$14,0)</f>
        <v/>
      </c>
      <c r="AS3485">
        <f>IF('01_Вводные'!$B$234="Да",'19_Расчет_аналитики'!AR3484*'01_Вводные'!$B$14,0)</f>
        <v/>
      </c>
      <c r="AT3485">
        <f>IF('01_Вводные'!$B$234="Да",'19_Расчет_аналитики'!AS3484*'01_Вводные'!$B$14,0)</f>
        <v/>
      </c>
      <c r="AU3485">
        <f>IF('01_Вводные'!$B$234="Да",'19_Расчет_аналитики'!AT3484*'01_Вводные'!$B$14,0)</f>
        <v/>
      </c>
      <c r="AV3485">
        <f>IF('01_Вводные'!$B$234="Да",'19_Расчет_аналитики'!AU3484*'01_Вводные'!$B$14,0)</f>
        <v/>
      </c>
      <c r="AW3485">
        <f>IF('01_Вводные'!$B$234="Да",'19_Расчет_аналитики'!AV3484*'01_Вводные'!$B$14,0)</f>
        <v/>
      </c>
      <c r="AX3485">
        <f>IF('01_Вводные'!$B$234="Да",'19_Расчет_аналитики'!AW3484*'01_Вводные'!$B$14,0)</f>
        <v/>
      </c>
      <c r="AY3485">
        <f>IF('01_Вводные'!$B$234="Да",'19_Расчет_аналитики'!AX3484*'01_Вводные'!$B$14,0)</f>
        <v/>
      </c>
      <c r="AZ3485">
        <f>IF('01_Вводные'!$B$234="Да",'19_Расчет_аналитики'!AY3484*'01_Вводные'!$B$14,0)</f>
        <v/>
      </c>
      <c r="BA3485">
        <f>IF('01_Вводные'!$B$234="Да",'19_Расчет_аналитики'!AZ3484*'01_Вводные'!$B$14,0)</f>
        <v/>
      </c>
      <c r="BB3485">
        <f>IF('01_Вводные'!$B$234="Да",'19_Расчет_аналитики'!BA3484*'01_Вводные'!$B$14,0)</f>
        <v/>
      </c>
      <c r="BC3485">
        <f>IF('01_Вводные'!$B$234="Да",'19_Расчет_аналитики'!BB3484*'01_Вводные'!$B$14,0)</f>
        <v/>
      </c>
      <c r="BD3485">
        <f>IF('01_Вводные'!$B$234="Да",'19_Расчет_аналитики'!BC3484*'01_Вводные'!$B$14,0)</f>
        <v/>
      </c>
      <c r="BE3485">
        <f>IF('01_Вводные'!$B$234="Да",'19_Расчет_аналитики'!BD3484*'01_Вводные'!$B$14,0)</f>
        <v/>
      </c>
      <c r="BF3485">
        <f>IF('01_Вводные'!$B$234="Да",'19_Расчет_аналитики'!BE3484*'01_Вводные'!$B$14,0)</f>
        <v/>
      </c>
      <c r="BG3485">
        <f>IF('01_Вводные'!$B$234="Да",'19_Расчет_аналитики'!BF3484*'01_Вводные'!$B$14,0)</f>
        <v/>
      </c>
      <c r="BH3485">
        <f>IF('01_Вводные'!$B$234="Да",'19_Расчет_аналитики'!BG3484*'01_Вводные'!$B$14,0)</f>
        <v/>
      </c>
      <c r="BI3485">
        <f>IF('01_Вводные'!$B$234="Да",'19_Расчет_аналитики'!BH3484*'01_Вводные'!$B$14,0)</f>
        <v/>
      </c>
      <c r="BJ3485">
        <f>IF('01_Вводные'!$B$234="Да",'19_Расчет_аналитики'!BI3484*'01_Вводные'!$B$14,0)</f>
        <v/>
      </c>
      <c r="BK3485">
        <f>IF('01_Вводные'!$B$234="Да",'19_Расчет_аналитики'!BJ3484*'01_Вводные'!$B$14,0)</f>
        <v/>
      </c>
      <c r="BL3485">
        <f>IF('01_Вводные'!$B$234="Да",'19_Расчет_аналитики'!BK3484*'01_Вводные'!$B$14,0)</f>
        <v/>
      </c>
      <c r="BM3485">
        <f>IF('01_Вводные'!$B$234="Да",'19_Расчет_аналитики'!BL3484*'01_Вводные'!$B$14,0)</f>
        <v/>
      </c>
      <c r="BN3485">
        <f>IF('01_Вводные'!$B$234="Да",'19_Расчет_аналитики'!BM3484*'01_Вводные'!$B$14,0)</f>
        <v/>
      </c>
      <c r="BO3485">
        <f>IF('01_Вводные'!$B$234="Да",'19_Расчет_аналитики'!BN3484*'01_Вводные'!$B$14,0)</f>
        <v/>
      </c>
    </row>
    <row r="3486">
      <c r="N3486">
        <f>'06_Сеть_и_дети'!N95</f>
        <v/>
      </c>
      <c r="O3486">
        <f>'06_Сеть_и_дети'!O95</f>
        <v/>
      </c>
      <c r="P3486">
        <f>IF('01_Вводные'!$B$234="Да",'19_Расчет_аналитики'!O3485*'01_Вводные'!$B$14,0)</f>
        <v/>
      </c>
      <c r="Q3486">
        <f>IF('01_Вводные'!$B$234="Да",'19_Расчет_аналитики'!P3485*'01_Вводные'!$B$14,0)</f>
        <v/>
      </c>
      <c r="R3486">
        <f>IF('01_Вводные'!$B$234="Да",'19_Расчет_аналитики'!Q3485*'01_Вводные'!$B$14,0)</f>
        <v/>
      </c>
      <c r="S3486">
        <f>IF('01_Вводные'!$B$234="Да",'19_Расчет_аналитики'!R3485*'01_Вводные'!$B$14,0)</f>
        <v/>
      </c>
      <c r="T3486">
        <f>IF('01_Вводные'!$B$234="Да",'19_Расчет_аналитики'!S3485*'01_Вводные'!$B$14,0)</f>
        <v/>
      </c>
      <c r="U3486">
        <f>IF('01_Вводные'!$B$234="Да",'19_Расчет_аналитики'!T3485*'01_Вводные'!$B$14,0)</f>
        <v/>
      </c>
      <c r="V3486">
        <f>IF('01_Вводные'!$B$234="Да",'19_Расчет_аналитики'!U3485*'01_Вводные'!$B$14,0)</f>
        <v/>
      </c>
      <c r="W3486">
        <f>IF('01_Вводные'!$B$234="Да",'19_Расчет_аналитики'!V3485*'01_Вводные'!$B$14,0)</f>
        <v/>
      </c>
      <c r="X3486">
        <f>IF('01_Вводные'!$B$234="Да",'19_Расчет_аналитики'!W3485*'01_Вводные'!$B$14,0)</f>
        <v/>
      </c>
      <c r="Y3486">
        <f>IF('01_Вводные'!$B$234="Да",'19_Расчет_аналитики'!X3485*'01_Вводные'!$B$14,0)</f>
        <v/>
      </c>
      <c r="Z3486">
        <f>IF('01_Вводные'!$B$234="Да",'19_Расчет_аналитики'!Y3485*'01_Вводные'!$B$14,0)</f>
        <v/>
      </c>
      <c r="AA3486">
        <f>IF('01_Вводные'!$B$234="Да",'19_Расчет_аналитики'!Z3485*'01_Вводные'!$B$14,0)</f>
        <v/>
      </c>
      <c r="AB3486">
        <f>IF('01_Вводные'!$B$234="Да",'19_Расчет_аналитики'!AA3485*'01_Вводные'!$B$14,0)</f>
        <v/>
      </c>
      <c r="AC3486">
        <f>IF('01_Вводные'!$B$234="Да",'19_Расчет_аналитики'!AB3485*'01_Вводные'!$B$14,0)</f>
        <v/>
      </c>
      <c r="AD3486">
        <f>IF('01_Вводные'!$B$234="Да",'19_Расчет_аналитики'!AC3485*'01_Вводные'!$B$14,0)</f>
        <v/>
      </c>
      <c r="AE3486">
        <f>IF('01_Вводные'!$B$234="Да",'19_Расчет_аналитики'!AD3485*'01_Вводные'!$B$14,0)</f>
        <v/>
      </c>
      <c r="AF3486">
        <f>IF('01_Вводные'!$B$234="Да",'19_Расчет_аналитики'!AE3485*'01_Вводные'!$B$14,0)</f>
        <v/>
      </c>
      <c r="AG3486">
        <f>IF('01_Вводные'!$B$234="Да",'19_Расчет_аналитики'!AF3485*'01_Вводные'!$B$14,0)</f>
        <v/>
      </c>
      <c r="AH3486">
        <f>IF('01_Вводные'!$B$234="Да",'19_Расчет_аналитики'!AG3485*'01_Вводные'!$B$14,0)</f>
        <v/>
      </c>
      <c r="AI3486">
        <f>IF('01_Вводные'!$B$234="Да",'19_Расчет_аналитики'!AH3485*'01_Вводные'!$B$14,0)</f>
        <v/>
      </c>
      <c r="AJ3486">
        <f>IF('01_Вводные'!$B$234="Да",'19_Расчет_аналитики'!AI3485*'01_Вводные'!$B$14,0)</f>
        <v/>
      </c>
      <c r="AK3486">
        <f>IF('01_Вводные'!$B$234="Да",'19_Расчет_аналитики'!AJ3485*'01_Вводные'!$B$14,0)</f>
        <v/>
      </c>
      <c r="AL3486">
        <f>IF('01_Вводные'!$B$234="Да",'19_Расчет_аналитики'!AK3485*'01_Вводные'!$B$14,0)</f>
        <v/>
      </c>
      <c r="AM3486">
        <f>IF('01_Вводные'!$B$234="Да",'19_Расчет_аналитики'!AL3485*'01_Вводные'!$B$14,0)</f>
        <v/>
      </c>
      <c r="AN3486">
        <f>IF('01_Вводные'!$B$234="Да",'19_Расчет_аналитики'!AM3485*'01_Вводные'!$B$14,0)</f>
        <v/>
      </c>
      <c r="AO3486">
        <f>IF('01_Вводные'!$B$234="Да",'19_Расчет_аналитики'!AN3485*'01_Вводные'!$B$14,0)</f>
        <v/>
      </c>
      <c r="AP3486">
        <f>IF('01_Вводные'!$B$234="Да",'19_Расчет_аналитики'!AO3485*'01_Вводные'!$B$14,0)</f>
        <v/>
      </c>
      <c r="AQ3486">
        <f>IF('01_Вводные'!$B$234="Да",'19_Расчет_аналитики'!AP3485*'01_Вводные'!$B$14,0)</f>
        <v/>
      </c>
      <c r="AR3486">
        <f>IF('01_Вводные'!$B$234="Да",'19_Расчет_аналитики'!AQ3485*'01_Вводные'!$B$14,0)</f>
        <v/>
      </c>
      <c r="AS3486">
        <f>IF('01_Вводные'!$B$234="Да",'19_Расчет_аналитики'!AR3485*'01_Вводные'!$B$14,0)</f>
        <v/>
      </c>
      <c r="AT3486">
        <f>IF('01_Вводные'!$B$234="Да",'19_Расчет_аналитики'!AS3485*'01_Вводные'!$B$14,0)</f>
        <v/>
      </c>
      <c r="AU3486">
        <f>IF('01_Вводные'!$B$234="Да",'19_Расчет_аналитики'!AT3485*'01_Вводные'!$B$14,0)</f>
        <v/>
      </c>
      <c r="AV3486">
        <f>IF('01_Вводные'!$B$234="Да",'19_Расчет_аналитики'!AU3485*'01_Вводные'!$B$14,0)</f>
        <v/>
      </c>
      <c r="AW3486">
        <f>IF('01_Вводные'!$B$234="Да",'19_Расчет_аналитики'!AV3485*'01_Вводные'!$B$14,0)</f>
        <v/>
      </c>
      <c r="AX3486">
        <f>IF('01_Вводные'!$B$234="Да",'19_Расчет_аналитики'!AW3485*'01_Вводные'!$B$14,0)</f>
        <v/>
      </c>
      <c r="AY3486">
        <f>IF('01_Вводные'!$B$234="Да",'19_Расчет_аналитики'!AX3485*'01_Вводные'!$B$14,0)</f>
        <v/>
      </c>
      <c r="AZ3486">
        <f>IF('01_Вводные'!$B$234="Да",'19_Расчет_аналитики'!AY3485*'01_Вводные'!$B$14,0)</f>
        <v/>
      </c>
      <c r="BA3486">
        <f>IF('01_Вводные'!$B$234="Да",'19_Расчет_аналитики'!AZ3485*'01_Вводные'!$B$14,0)</f>
        <v/>
      </c>
      <c r="BB3486">
        <f>IF('01_Вводные'!$B$234="Да",'19_Расчет_аналитики'!BA3485*'01_Вводные'!$B$14,0)</f>
        <v/>
      </c>
      <c r="BC3486">
        <f>IF('01_Вводные'!$B$234="Да",'19_Расчет_аналитики'!BB3485*'01_Вводные'!$B$14,0)</f>
        <v/>
      </c>
      <c r="BD3486">
        <f>IF('01_Вводные'!$B$234="Да",'19_Расчет_аналитики'!BC3485*'01_Вводные'!$B$14,0)</f>
        <v/>
      </c>
      <c r="BE3486">
        <f>IF('01_Вводные'!$B$234="Да",'19_Расчет_аналитики'!BD3485*'01_Вводные'!$B$14,0)</f>
        <v/>
      </c>
      <c r="BF3486">
        <f>IF('01_Вводные'!$B$234="Да",'19_Расчет_аналитики'!BE3485*'01_Вводные'!$B$14,0)</f>
        <v/>
      </c>
      <c r="BG3486">
        <f>IF('01_Вводные'!$B$234="Да",'19_Расчет_аналитики'!BF3485*'01_Вводные'!$B$14,0)</f>
        <v/>
      </c>
      <c r="BH3486">
        <f>IF('01_Вводные'!$B$234="Да",'19_Расчет_аналитики'!BG3485*'01_Вводные'!$B$14,0)</f>
        <v/>
      </c>
      <c r="BI3486">
        <f>IF('01_Вводные'!$B$234="Да",'19_Расчет_аналитики'!BH3485*'01_Вводные'!$B$14,0)</f>
        <v/>
      </c>
      <c r="BJ3486">
        <f>IF('01_Вводные'!$B$234="Да",'19_Расчет_аналитики'!BI3485*'01_Вводные'!$B$14,0)</f>
        <v/>
      </c>
      <c r="BK3486">
        <f>IF('01_Вводные'!$B$234="Да",'19_Расчет_аналитики'!BJ3485*'01_Вводные'!$B$14,0)</f>
        <v/>
      </c>
      <c r="BL3486">
        <f>IF('01_Вводные'!$B$234="Да",'19_Расчет_аналитики'!BK3485*'01_Вводные'!$B$14,0)</f>
        <v/>
      </c>
      <c r="BM3486">
        <f>IF('01_Вводные'!$B$234="Да",'19_Расчет_аналитики'!BL3485*'01_Вводные'!$B$14,0)</f>
        <v/>
      </c>
      <c r="BN3486">
        <f>IF('01_Вводные'!$B$234="Да",'19_Расчет_аналитики'!BM3485*'01_Вводные'!$B$14,0)</f>
        <v/>
      </c>
      <c r="BO3486">
        <f>IF('01_Вводные'!$B$234="Да",'19_Расчет_аналитики'!BN3485*'01_Вводные'!$B$14,0)</f>
        <v/>
      </c>
    </row>
    <row r="3487">
      <c r="N3487">
        <f>'06_Сеть_и_дети'!N96</f>
        <v/>
      </c>
      <c r="O3487">
        <f>'06_Сеть_и_дети'!O96</f>
        <v/>
      </c>
      <c r="P3487">
        <f>'06_Сеть_и_дети'!P96</f>
        <v/>
      </c>
      <c r="Q3487">
        <f>IF('01_Вводные'!$B$234="Да",'19_Расчет_аналитики'!P3486*'01_Вводные'!$B$14,0)</f>
        <v/>
      </c>
      <c r="R3487">
        <f>IF('01_Вводные'!$B$234="Да",'19_Расчет_аналитики'!Q3486*'01_Вводные'!$B$14,0)</f>
        <v/>
      </c>
      <c r="S3487">
        <f>IF('01_Вводные'!$B$234="Да",'19_Расчет_аналитики'!R3486*'01_Вводные'!$B$14,0)</f>
        <v/>
      </c>
      <c r="T3487">
        <f>IF('01_Вводные'!$B$234="Да",'19_Расчет_аналитики'!S3486*'01_Вводные'!$B$14,0)</f>
        <v/>
      </c>
      <c r="U3487">
        <f>IF('01_Вводные'!$B$234="Да",'19_Расчет_аналитики'!T3486*'01_Вводные'!$B$14,0)</f>
        <v/>
      </c>
      <c r="V3487">
        <f>IF('01_Вводные'!$B$234="Да",'19_Расчет_аналитики'!U3486*'01_Вводные'!$B$14,0)</f>
        <v/>
      </c>
      <c r="W3487">
        <f>IF('01_Вводные'!$B$234="Да",'19_Расчет_аналитики'!V3486*'01_Вводные'!$B$14,0)</f>
        <v/>
      </c>
      <c r="X3487">
        <f>IF('01_Вводные'!$B$234="Да",'19_Расчет_аналитики'!W3486*'01_Вводные'!$B$14,0)</f>
        <v/>
      </c>
      <c r="Y3487">
        <f>IF('01_Вводные'!$B$234="Да",'19_Расчет_аналитики'!X3486*'01_Вводные'!$B$14,0)</f>
        <v/>
      </c>
      <c r="Z3487">
        <f>IF('01_Вводные'!$B$234="Да",'19_Расчет_аналитики'!Y3486*'01_Вводные'!$B$14,0)</f>
        <v/>
      </c>
      <c r="AA3487">
        <f>IF('01_Вводные'!$B$234="Да",'19_Расчет_аналитики'!Z3486*'01_Вводные'!$B$14,0)</f>
        <v/>
      </c>
      <c r="AB3487">
        <f>IF('01_Вводные'!$B$234="Да",'19_Расчет_аналитики'!AA3486*'01_Вводные'!$B$14,0)</f>
        <v/>
      </c>
      <c r="AC3487">
        <f>IF('01_Вводные'!$B$234="Да",'19_Расчет_аналитики'!AB3486*'01_Вводные'!$B$14,0)</f>
        <v/>
      </c>
      <c r="AD3487">
        <f>IF('01_Вводные'!$B$234="Да",'19_Расчет_аналитики'!AC3486*'01_Вводные'!$B$14,0)</f>
        <v/>
      </c>
      <c r="AE3487">
        <f>IF('01_Вводные'!$B$234="Да",'19_Расчет_аналитики'!AD3486*'01_Вводные'!$B$14,0)</f>
        <v/>
      </c>
      <c r="AF3487">
        <f>IF('01_Вводные'!$B$234="Да",'19_Расчет_аналитики'!AE3486*'01_Вводные'!$B$14,0)</f>
        <v/>
      </c>
      <c r="AG3487">
        <f>IF('01_Вводные'!$B$234="Да",'19_Расчет_аналитики'!AF3486*'01_Вводные'!$B$14,0)</f>
        <v/>
      </c>
      <c r="AH3487">
        <f>IF('01_Вводные'!$B$234="Да",'19_Расчет_аналитики'!AG3486*'01_Вводные'!$B$14,0)</f>
        <v/>
      </c>
      <c r="AI3487">
        <f>IF('01_Вводные'!$B$234="Да",'19_Расчет_аналитики'!AH3486*'01_Вводные'!$B$14,0)</f>
        <v/>
      </c>
      <c r="AJ3487">
        <f>IF('01_Вводные'!$B$234="Да",'19_Расчет_аналитики'!AI3486*'01_Вводные'!$B$14,0)</f>
        <v/>
      </c>
      <c r="AK3487">
        <f>IF('01_Вводные'!$B$234="Да",'19_Расчет_аналитики'!AJ3486*'01_Вводные'!$B$14,0)</f>
        <v/>
      </c>
      <c r="AL3487">
        <f>IF('01_Вводные'!$B$234="Да",'19_Расчет_аналитики'!AK3486*'01_Вводные'!$B$14,0)</f>
        <v/>
      </c>
      <c r="AM3487">
        <f>IF('01_Вводные'!$B$234="Да",'19_Расчет_аналитики'!AL3486*'01_Вводные'!$B$14,0)</f>
        <v/>
      </c>
      <c r="AN3487">
        <f>IF('01_Вводные'!$B$234="Да",'19_Расчет_аналитики'!AM3486*'01_Вводные'!$B$14,0)</f>
        <v/>
      </c>
      <c r="AO3487">
        <f>IF('01_Вводные'!$B$234="Да",'19_Расчет_аналитики'!AN3486*'01_Вводные'!$B$14,0)</f>
        <v/>
      </c>
      <c r="AP3487">
        <f>IF('01_Вводные'!$B$234="Да",'19_Расчет_аналитики'!AO3486*'01_Вводные'!$B$14,0)</f>
        <v/>
      </c>
      <c r="AQ3487">
        <f>IF('01_Вводные'!$B$234="Да",'19_Расчет_аналитики'!AP3486*'01_Вводные'!$B$14,0)</f>
        <v/>
      </c>
      <c r="AR3487">
        <f>IF('01_Вводные'!$B$234="Да",'19_Расчет_аналитики'!AQ3486*'01_Вводные'!$B$14,0)</f>
        <v/>
      </c>
      <c r="AS3487">
        <f>IF('01_Вводные'!$B$234="Да",'19_Расчет_аналитики'!AR3486*'01_Вводные'!$B$14,0)</f>
        <v/>
      </c>
      <c r="AT3487">
        <f>IF('01_Вводные'!$B$234="Да",'19_Расчет_аналитики'!AS3486*'01_Вводные'!$B$14,0)</f>
        <v/>
      </c>
      <c r="AU3487">
        <f>IF('01_Вводные'!$B$234="Да",'19_Расчет_аналитики'!AT3486*'01_Вводные'!$B$14,0)</f>
        <v/>
      </c>
      <c r="AV3487">
        <f>IF('01_Вводные'!$B$234="Да",'19_Расчет_аналитики'!AU3486*'01_Вводные'!$B$14,0)</f>
        <v/>
      </c>
      <c r="AW3487">
        <f>IF('01_Вводные'!$B$234="Да",'19_Расчет_аналитики'!AV3486*'01_Вводные'!$B$14,0)</f>
        <v/>
      </c>
      <c r="AX3487">
        <f>IF('01_Вводные'!$B$234="Да",'19_Расчет_аналитики'!AW3486*'01_Вводные'!$B$14,0)</f>
        <v/>
      </c>
      <c r="AY3487">
        <f>IF('01_Вводные'!$B$234="Да",'19_Расчет_аналитики'!AX3486*'01_Вводные'!$B$14,0)</f>
        <v/>
      </c>
      <c r="AZ3487">
        <f>IF('01_Вводные'!$B$234="Да",'19_Расчет_аналитики'!AY3486*'01_Вводные'!$B$14,0)</f>
        <v/>
      </c>
      <c r="BA3487">
        <f>IF('01_Вводные'!$B$234="Да",'19_Расчет_аналитики'!AZ3486*'01_Вводные'!$B$14,0)</f>
        <v/>
      </c>
      <c r="BB3487">
        <f>IF('01_Вводные'!$B$234="Да",'19_Расчет_аналитики'!BA3486*'01_Вводные'!$B$14,0)</f>
        <v/>
      </c>
      <c r="BC3487">
        <f>IF('01_Вводные'!$B$234="Да",'19_Расчет_аналитики'!BB3486*'01_Вводные'!$B$14,0)</f>
        <v/>
      </c>
      <c r="BD3487">
        <f>IF('01_Вводные'!$B$234="Да",'19_Расчет_аналитики'!BC3486*'01_Вводные'!$B$14,0)</f>
        <v/>
      </c>
      <c r="BE3487">
        <f>IF('01_Вводные'!$B$234="Да",'19_Расчет_аналитики'!BD3486*'01_Вводные'!$B$14,0)</f>
        <v/>
      </c>
      <c r="BF3487">
        <f>IF('01_Вводные'!$B$234="Да",'19_Расчет_аналитики'!BE3486*'01_Вводные'!$B$14,0)</f>
        <v/>
      </c>
      <c r="BG3487">
        <f>IF('01_Вводные'!$B$234="Да",'19_Расчет_аналитики'!BF3486*'01_Вводные'!$B$14,0)</f>
        <v/>
      </c>
      <c r="BH3487">
        <f>IF('01_Вводные'!$B$234="Да",'19_Расчет_аналитики'!BG3486*'01_Вводные'!$B$14,0)</f>
        <v/>
      </c>
      <c r="BI3487">
        <f>IF('01_Вводные'!$B$234="Да",'19_Расчет_аналитики'!BH3486*'01_Вводные'!$B$14,0)</f>
        <v/>
      </c>
      <c r="BJ3487">
        <f>IF('01_Вводные'!$B$234="Да",'19_Расчет_аналитики'!BI3486*'01_Вводные'!$B$14,0)</f>
        <v/>
      </c>
      <c r="BK3487">
        <f>IF('01_Вводные'!$B$234="Да",'19_Расчет_аналитики'!BJ3486*'01_Вводные'!$B$14,0)</f>
        <v/>
      </c>
      <c r="BL3487">
        <f>IF('01_Вводные'!$B$234="Да",'19_Расчет_аналитики'!BK3486*'01_Вводные'!$B$14,0)</f>
        <v/>
      </c>
      <c r="BM3487">
        <f>IF('01_Вводные'!$B$234="Да",'19_Расчет_аналитики'!BL3486*'01_Вводные'!$B$14,0)</f>
        <v/>
      </c>
      <c r="BN3487">
        <f>IF('01_Вводные'!$B$234="Да",'19_Расчет_аналитики'!BM3486*'01_Вводные'!$B$14,0)</f>
        <v/>
      </c>
      <c r="BO3487">
        <f>IF('01_Вводные'!$B$234="Да",'19_Расчет_аналитики'!BN3486*'01_Вводные'!$B$14,0)</f>
        <v/>
      </c>
    </row>
    <row r="3488">
      <c r="N3488">
        <f>'06_Сеть_и_дети'!N97</f>
        <v/>
      </c>
      <c r="O3488">
        <f>'06_Сеть_и_дети'!O97</f>
        <v/>
      </c>
      <c r="P3488">
        <f>'06_Сеть_и_дети'!P97</f>
        <v/>
      </c>
      <c r="Q3488">
        <f>'06_Сеть_и_дети'!Q97</f>
        <v/>
      </c>
      <c r="R3488">
        <f>IF('01_Вводные'!$B$234="Да",'19_Расчет_аналитики'!Q3487*'01_Вводные'!$B$14,0)</f>
        <v/>
      </c>
      <c r="S3488">
        <f>IF('01_Вводные'!$B$234="Да",'19_Расчет_аналитики'!R3487*'01_Вводные'!$B$14,0)</f>
        <v/>
      </c>
      <c r="T3488">
        <f>IF('01_Вводные'!$B$234="Да",'19_Расчет_аналитики'!S3487*'01_Вводные'!$B$14,0)</f>
        <v/>
      </c>
      <c r="U3488">
        <f>IF('01_Вводные'!$B$234="Да",'19_Расчет_аналитики'!T3487*'01_Вводные'!$B$14,0)</f>
        <v/>
      </c>
      <c r="V3488">
        <f>IF('01_Вводные'!$B$234="Да",'19_Расчет_аналитики'!U3487*'01_Вводные'!$B$14,0)</f>
        <v/>
      </c>
      <c r="W3488">
        <f>IF('01_Вводные'!$B$234="Да",'19_Расчет_аналитики'!V3487*'01_Вводные'!$B$14,0)</f>
        <v/>
      </c>
      <c r="X3488">
        <f>IF('01_Вводные'!$B$234="Да",'19_Расчет_аналитики'!W3487*'01_Вводные'!$B$14,0)</f>
        <v/>
      </c>
      <c r="Y3488">
        <f>IF('01_Вводные'!$B$234="Да",'19_Расчет_аналитики'!X3487*'01_Вводные'!$B$14,0)</f>
        <v/>
      </c>
      <c r="Z3488">
        <f>IF('01_Вводные'!$B$234="Да",'19_Расчет_аналитики'!Y3487*'01_Вводные'!$B$14,0)</f>
        <v/>
      </c>
      <c r="AA3488">
        <f>IF('01_Вводные'!$B$234="Да",'19_Расчет_аналитики'!Z3487*'01_Вводные'!$B$14,0)</f>
        <v/>
      </c>
      <c r="AB3488">
        <f>IF('01_Вводные'!$B$234="Да",'19_Расчет_аналитики'!AA3487*'01_Вводные'!$B$14,0)</f>
        <v/>
      </c>
      <c r="AC3488">
        <f>IF('01_Вводные'!$B$234="Да",'19_Расчет_аналитики'!AB3487*'01_Вводные'!$B$14,0)</f>
        <v/>
      </c>
      <c r="AD3488">
        <f>IF('01_Вводные'!$B$234="Да",'19_Расчет_аналитики'!AC3487*'01_Вводные'!$B$14,0)</f>
        <v/>
      </c>
      <c r="AE3488">
        <f>IF('01_Вводные'!$B$234="Да",'19_Расчет_аналитики'!AD3487*'01_Вводные'!$B$14,0)</f>
        <v/>
      </c>
      <c r="AF3488">
        <f>IF('01_Вводные'!$B$234="Да",'19_Расчет_аналитики'!AE3487*'01_Вводные'!$B$14,0)</f>
        <v/>
      </c>
      <c r="AG3488">
        <f>IF('01_Вводные'!$B$234="Да",'19_Расчет_аналитики'!AF3487*'01_Вводные'!$B$14,0)</f>
        <v/>
      </c>
      <c r="AH3488">
        <f>IF('01_Вводные'!$B$234="Да",'19_Расчет_аналитики'!AG3487*'01_Вводные'!$B$14,0)</f>
        <v/>
      </c>
      <c r="AI3488">
        <f>IF('01_Вводные'!$B$234="Да",'19_Расчет_аналитики'!AH3487*'01_Вводные'!$B$14,0)</f>
        <v/>
      </c>
      <c r="AJ3488">
        <f>IF('01_Вводные'!$B$234="Да",'19_Расчет_аналитики'!AI3487*'01_Вводные'!$B$14,0)</f>
        <v/>
      </c>
      <c r="AK3488">
        <f>IF('01_Вводные'!$B$234="Да",'19_Расчет_аналитики'!AJ3487*'01_Вводные'!$B$14,0)</f>
        <v/>
      </c>
      <c r="AL3488">
        <f>IF('01_Вводные'!$B$234="Да",'19_Расчет_аналитики'!AK3487*'01_Вводные'!$B$14,0)</f>
        <v/>
      </c>
      <c r="AM3488">
        <f>IF('01_Вводные'!$B$234="Да",'19_Расчет_аналитики'!AL3487*'01_Вводные'!$B$14,0)</f>
        <v/>
      </c>
      <c r="AN3488">
        <f>IF('01_Вводные'!$B$234="Да",'19_Расчет_аналитики'!AM3487*'01_Вводные'!$B$14,0)</f>
        <v/>
      </c>
      <c r="AO3488">
        <f>IF('01_Вводные'!$B$234="Да",'19_Расчет_аналитики'!AN3487*'01_Вводные'!$B$14,0)</f>
        <v/>
      </c>
      <c r="AP3488">
        <f>IF('01_Вводные'!$B$234="Да",'19_Расчет_аналитики'!AO3487*'01_Вводные'!$B$14,0)</f>
        <v/>
      </c>
      <c r="AQ3488">
        <f>IF('01_Вводные'!$B$234="Да",'19_Расчет_аналитики'!AP3487*'01_Вводные'!$B$14,0)</f>
        <v/>
      </c>
      <c r="AR3488">
        <f>IF('01_Вводные'!$B$234="Да",'19_Расчет_аналитики'!AQ3487*'01_Вводные'!$B$14,0)</f>
        <v/>
      </c>
      <c r="AS3488">
        <f>IF('01_Вводные'!$B$234="Да",'19_Расчет_аналитики'!AR3487*'01_Вводные'!$B$14,0)</f>
        <v/>
      </c>
      <c r="AT3488">
        <f>IF('01_Вводные'!$B$234="Да",'19_Расчет_аналитики'!AS3487*'01_Вводные'!$B$14,0)</f>
        <v/>
      </c>
      <c r="AU3488">
        <f>IF('01_Вводные'!$B$234="Да",'19_Расчет_аналитики'!AT3487*'01_Вводные'!$B$14,0)</f>
        <v/>
      </c>
      <c r="AV3488">
        <f>IF('01_Вводные'!$B$234="Да",'19_Расчет_аналитики'!AU3487*'01_Вводные'!$B$14,0)</f>
        <v/>
      </c>
      <c r="AW3488">
        <f>IF('01_Вводные'!$B$234="Да",'19_Расчет_аналитики'!AV3487*'01_Вводные'!$B$14,0)</f>
        <v/>
      </c>
      <c r="AX3488">
        <f>IF('01_Вводные'!$B$234="Да",'19_Расчет_аналитики'!AW3487*'01_Вводные'!$B$14,0)</f>
        <v/>
      </c>
      <c r="AY3488">
        <f>IF('01_Вводные'!$B$234="Да",'19_Расчет_аналитики'!AX3487*'01_Вводные'!$B$14,0)</f>
        <v/>
      </c>
      <c r="AZ3488">
        <f>IF('01_Вводные'!$B$234="Да",'19_Расчет_аналитики'!AY3487*'01_Вводные'!$B$14,0)</f>
        <v/>
      </c>
      <c r="BA3488">
        <f>IF('01_Вводные'!$B$234="Да",'19_Расчет_аналитики'!AZ3487*'01_Вводные'!$B$14,0)</f>
        <v/>
      </c>
      <c r="BB3488">
        <f>IF('01_Вводные'!$B$234="Да",'19_Расчет_аналитики'!BA3487*'01_Вводные'!$B$14,0)</f>
        <v/>
      </c>
      <c r="BC3488">
        <f>IF('01_Вводные'!$B$234="Да",'19_Расчет_аналитики'!BB3487*'01_Вводные'!$B$14,0)</f>
        <v/>
      </c>
      <c r="BD3488">
        <f>IF('01_Вводные'!$B$234="Да",'19_Расчет_аналитики'!BC3487*'01_Вводные'!$B$14,0)</f>
        <v/>
      </c>
      <c r="BE3488">
        <f>IF('01_Вводные'!$B$234="Да",'19_Расчет_аналитики'!BD3487*'01_Вводные'!$B$14,0)</f>
        <v/>
      </c>
      <c r="BF3488">
        <f>IF('01_Вводные'!$B$234="Да",'19_Расчет_аналитики'!BE3487*'01_Вводные'!$B$14,0)</f>
        <v/>
      </c>
      <c r="BG3488">
        <f>IF('01_Вводные'!$B$234="Да",'19_Расчет_аналитики'!BF3487*'01_Вводные'!$B$14,0)</f>
        <v/>
      </c>
      <c r="BH3488">
        <f>IF('01_Вводные'!$B$234="Да",'19_Расчет_аналитики'!BG3487*'01_Вводные'!$B$14,0)</f>
        <v/>
      </c>
      <c r="BI3488">
        <f>IF('01_Вводные'!$B$234="Да",'19_Расчет_аналитики'!BH3487*'01_Вводные'!$B$14,0)</f>
        <v/>
      </c>
      <c r="BJ3488">
        <f>IF('01_Вводные'!$B$234="Да",'19_Расчет_аналитики'!BI3487*'01_Вводные'!$B$14,0)</f>
        <v/>
      </c>
      <c r="BK3488">
        <f>IF('01_Вводные'!$B$234="Да",'19_Расчет_аналитики'!BJ3487*'01_Вводные'!$B$14,0)</f>
        <v/>
      </c>
      <c r="BL3488">
        <f>IF('01_Вводные'!$B$234="Да",'19_Расчет_аналитики'!BK3487*'01_Вводные'!$B$14,0)</f>
        <v/>
      </c>
      <c r="BM3488">
        <f>IF('01_Вводные'!$B$234="Да",'19_Расчет_аналитики'!BL3487*'01_Вводные'!$B$14,0)</f>
        <v/>
      </c>
      <c r="BN3488">
        <f>IF('01_Вводные'!$B$234="Да",'19_Расчет_аналитики'!BM3487*'01_Вводные'!$B$14,0)</f>
        <v/>
      </c>
      <c r="BO3488">
        <f>IF('01_Вводные'!$B$234="Да",'19_Расчет_аналитики'!BN3487*'01_Вводные'!$B$14,0)</f>
        <v/>
      </c>
    </row>
    <row r="3489">
      <c r="N3489">
        <f>'06_Сеть_и_дети'!N98</f>
        <v/>
      </c>
      <c r="O3489">
        <f>'06_Сеть_и_дети'!O98</f>
        <v/>
      </c>
      <c r="P3489">
        <f>'06_Сеть_и_дети'!P98</f>
        <v/>
      </c>
      <c r="Q3489">
        <f>'06_Сеть_и_дети'!Q98</f>
        <v/>
      </c>
      <c r="R3489">
        <f>'06_Сеть_и_дети'!R98</f>
        <v/>
      </c>
      <c r="S3489">
        <f>IF('01_Вводные'!$B$234="Да",'19_Расчет_аналитики'!R3488*'01_Вводные'!$B$14,0)</f>
        <v/>
      </c>
      <c r="T3489">
        <f>IF('01_Вводные'!$B$234="Да",'19_Расчет_аналитики'!S3488*'01_Вводные'!$B$14,0)</f>
        <v/>
      </c>
      <c r="U3489">
        <f>IF('01_Вводные'!$B$234="Да",'19_Расчет_аналитики'!T3488*'01_Вводные'!$B$14,0)</f>
        <v/>
      </c>
      <c r="V3489">
        <f>IF('01_Вводные'!$B$234="Да",'19_Расчет_аналитики'!U3488*'01_Вводные'!$B$14,0)</f>
        <v/>
      </c>
      <c r="W3489">
        <f>IF('01_Вводные'!$B$234="Да",'19_Расчет_аналитики'!V3488*'01_Вводные'!$B$14,0)</f>
        <v/>
      </c>
      <c r="X3489">
        <f>IF('01_Вводные'!$B$234="Да",'19_Расчет_аналитики'!W3488*'01_Вводные'!$B$14,0)</f>
        <v/>
      </c>
      <c r="Y3489">
        <f>IF('01_Вводные'!$B$234="Да",'19_Расчет_аналитики'!X3488*'01_Вводные'!$B$14,0)</f>
        <v/>
      </c>
      <c r="Z3489">
        <f>IF('01_Вводные'!$B$234="Да",'19_Расчет_аналитики'!Y3488*'01_Вводные'!$B$14,0)</f>
        <v/>
      </c>
      <c r="AA3489">
        <f>IF('01_Вводные'!$B$234="Да",'19_Расчет_аналитики'!Z3488*'01_Вводные'!$B$14,0)</f>
        <v/>
      </c>
      <c r="AB3489">
        <f>IF('01_Вводные'!$B$234="Да",'19_Расчет_аналитики'!AA3488*'01_Вводные'!$B$14,0)</f>
        <v/>
      </c>
      <c r="AC3489">
        <f>IF('01_Вводные'!$B$234="Да",'19_Расчет_аналитики'!AB3488*'01_Вводные'!$B$14,0)</f>
        <v/>
      </c>
      <c r="AD3489">
        <f>IF('01_Вводные'!$B$234="Да",'19_Расчет_аналитики'!AC3488*'01_Вводные'!$B$14,0)</f>
        <v/>
      </c>
      <c r="AE3489">
        <f>IF('01_Вводные'!$B$234="Да",'19_Расчет_аналитики'!AD3488*'01_Вводные'!$B$14,0)</f>
        <v/>
      </c>
      <c r="AF3489">
        <f>IF('01_Вводные'!$B$234="Да",'19_Расчет_аналитики'!AE3488*'01_Вводные'!$B$14,0)</f>
        <v/>
      </c>
      <c r="AG3489">
        <f>IF('01_Вводные'!$B$234="Да",'19_Расчет_аналитики'!AF3488*'01_Вводные'!$B$14,0)</f>
        <v/>
      </c>
      <c r="AH3489">
        <f>IF('01_Вводные'!$B$234="Да",'19_Расчет_аналитики'!AG3488*'01_Вводные'!$B$14,0)</f>
        <v/>
      </c>
      <c r="AI3489">
        <f>IF('01_Вводные'!$B$234="Да",'19_Расчет_аналитики'!AH3488*'01_Вводные'!$B$14,0)</f>
        <v/>
      </c>
      <c r="AJ3489">
        <f>IF('01_Вводные'!$B$234="Да",'19_Расчет_аналитики'!AI3488*'01_Вводные'!$B$14,0)</f>
        <v/>
      </c>
      <c r="AK3489">
        <f>IF('01_Вводные'!$B$234="Да",'19_Расчет_аналитики'!AJ3488*'01_Вводные'!$B$14,0)</f>
        <v/>
      </c>
      <c r="AL3489">
        <f>IF('01_Вводные'!$B$234="Да",'19_Расчет_аналитики'!AK3488*'01_Вводные'!$B$14,0)</f>
        <v/>
      </c>
      <c r="AM3489">
        <f>IF('01_Вводные'!$B$234="Да",'19_Расчет_аналитики'!AL3488*'01_Вводные'!$B$14,0)</f>
        <v/>
      </c>
      <c r="AN3489">
        <f>IF('01_Вводные'!$B$234="Да",'19_Расчет_аналитики'!AM3488*'01_Вводные'!$B$14,0)</f>
        <v/>
      </c>
      <c r="AO3489">
        <f>IF('01_Вводные'!$B$234="Да",'19_Расчет_аналитики'!AN3488*'01_Вводные'!$B$14,0)</f>
        <v/>
      </c>
      <c r="AP3489">
        <f>IF('01_Вводные'!$B$234="Да",'19_Расчет_аналитики'!AO3488*'01_Вводные'!$B$14,0)</f>
        <v/>
      </c>
      <c r="AQ3489">
        <f>IF('01_Вводные'!$B$234="Да",'19_Расчет_аналитики'!AP3488*'01_Вводные'!$B$14,0)</f>
        <v/>
      </c>
      <c r="AR3489">
        <f>IF('01_Вводные'!$B$234="Да",'19_Расчет_аналитики'!AQ3488*'01_Вводные'!$B$14,0)</f>
        <v/>
      </c>
      <c r="AS3489">
        <f>IF('01_Вводные'!$B$234="Да",'19_Расчет_аналитики'!AR3488*'01_Вводные'!$B$14,0)</f>
        <v/>
      </c>
      <c r="AT3489">
        <f>IF('01_Вводные'!$B$234="Да",'19_Расчет_аналитики'!AS3488*'01_Вводные'!$B$14,0)</f>
        <v/>
      </c>
      <c r="AU3489">
        <f>IF('01_Вводные'!$B$234="Да",'19_Расчет_аналитики'!AT3488*'01_Вводные'!$B$14,0)</f>
        <v/>
      </c>
      <c r="AV3489">
        <f>IF('01_Вводные'!$B$234="Да",'19_Расчет_аналитики'!AU3488*'01_Вводные'!$B$14,0)</f>
        <v/>
      </c>
      <c r="AW3489">
        <f>IF('01_Вводные'!$B$234="Да",'19_Расчет_аналитики'!AV3488*'01_Вводные'!$B$14,0)</f>
        <v/>
      </c>
      <c r="AX3489">
        <f>IF('01_Вводные'!$B$234="Да",'19_Расчет_аналитики'!AW3488*'01_Вводные'!$B$14,0)</f>
        <v/>
      </c>
      <c r="AY3489">
        <f>IF('01_Вводные'!$B$234="Да",'19_Расчет_аналитики'!AX3488*'01_Вводные'!$B$14,0)</f>
        <v/>
      </c>
      <c r="AZ3489">
        <f>IF('01_Вводные'!$B$234="Да",'19_Расчет_аналитики'!AY3488*'01_Вводные'!$B$14,0)</f>
        <v/>
      </c>
      <c r="BA3489">
        <f>IF('01_Вводные'!$B$234="Да",'19_Расчет_аналитики'!AZ3488*'01_Вводные'!$B$14,0)</f>
        <v/>
      </c>
      <c r="BB3489">
        <f>IF('01_Вводные'!$B$234="Да",'19_Расчет_аналитики'!BA3488*'01_Вводные'!$B$14,0)</f>
        <v/>
      </c>
      <c r="BC3489">
        <f>IF('01_Вводные'!$B$234="Да",'19_Расчет_аналитики'!BB3488*'01_Вводные'!$B$14,0)</f>
        <v/>
      </c>
      <c r="BD3489">
        <f>IF('01_Вводные'!$B$234="Да",'19_Расчет_аналитики'!BC3488*'01_Вводные'!$B$14,0)</f>
        <v/>
      </c>
      <c r="BE3489">
        <f>IF('01_Вводные'!$B$234="Да",'19_Расчет_аналитики'!BD3488*'01_Вводные'!$B$14,0)</f>
        <v/>
      </c>
      <c r="BF3489">
        <f>IF('01_Вводные'!$B$234="Да",'19_Расчет_аналитики'!BE3488*'01_Вводные'!$B$14,0)</f>
        <v/>
      </c>
      <c r="BG3489">
        <f>IF('01_Вводные'!$B$234="Да",'19_Расчет_аналитики'!BF3488*'01_Вводные'!$B$14,0)</f>
        <v/>
      </c>
      <c r="BH3489">
        <f>IF('01_Вводные'!$B$234="Да",'19_Расчет_аналитики'!BG3488*'01_Вводные'!$B$14,0)</f>
        <v/>
      </c>
      <c r="BI3489">
        <f>IF('01_Вводные'!$B$234="Да",'19_Расчет_аналитики'!BH3488*'01_Вводные'!$B$14,0)</f>
        <v/>
      </c>
      <c r="BJ3489">
        <f>IF('01_Вводные'!$B$234="Да",'19_Расчет_аналитики'!BI3488*'01_Вводные'!$B$14,0)</f>
        <v/>
      </c>
      <c r="BK3489">
        <f>IF('01_Вводные'!$B$234="Да",'19_Расчет_аналитики'!BJ3488*'01_Вводные'!$B$14,0)</f>
        <v/>
      </c>
      <c r="BL3489">
        <f>IF('01_Вводные'!$B$234="Да",'19_Расчет_аналитики'!BK3488*'01_Вводные'!$B$14,0)</f>
        <v/>
      </c>
      <c r="BM3489">
        <f>IF('01_Вводные'!$B$234="Да",'19_Расчет_аналитики'!BL3488*'01_Вводные'!$B$14,0)</f>
        <v/>
      </c>
      <c r="BN3489">
        <f>IF('01_Вводные'!$B$234="Да",'19_Расчет_аналитики'!BM3488*'01_Вводные'!$B$14,0)</f>
        <v/>
      </c>
      <c r="BO3489">
        <f>IF('01_Вводные'!$B$234="Да",'19_Расчет_аналитики'!BN3488*'01_Вводные'!$B$14,0)</f>
        <v/>
      </c>
    </row>
    <row r="3490">
      <c r="N3490">
        <f>'06_Сеть_и_дети'!N99</f>
        <v/>
      </c>
      <c r="O3490">
        <f>'06_Сеть_и_дети'!O99</f>
        <v/>
      </c>
      <c r="P3490">
        <f>'06_Сеть_и_дети'!P99</f>
        <v/>
      </c>
      <c r="Q3490">
        <f>'06_Сеть_и_дети'!Q99</f>
        <v/>
      </c>
      <c r="R3490">
        <f>'06_Сеть_и_дети'!R99</f>
        <v/>
      </c>
      <c r="S3490">
        <f>'06_Сеть_и_дети'!S99</f>
        <v/>
      </c>
      <c r="T3490">
        <f>IF('01_Вводные'!$B$234="Да",'19_Расчет_аналитики'!S3489*'01_Вводные'!$B$14,0)</f>
        <v/>
      </c>
      <c r="U3490">
        <f>IF('01_Вводные'!$B$234="Да",'19_Расчет_аналитики'!T3489*'01_Вводные'!$B$14,0)</f>
        <v/>
      </c>
      <c r="V3490">
        <f>IF('01_Вводные'!$B$234="Да",'19_Расчет_аналитики'!U3489*'01_Вводные'!$B$14,0)</f>
        <v/>
      </c>
      <c r="W3490">
        <f>IF('01_Вводные'!$B$234="Да",'19_Расчет_аналитики'!V3489*'01_Вводные'!$B$14,0)</f>
        <v/>
      </c>
      <c r="X3490">
        <f>IF('01_Вводные'!$B$234="Да",'19_Расчет_аналитики'!W3489*'01_Вводные'!$B$14,0)</f>
        <v/>
      </c>
      <c r="Y3490">
        <f>IF('01_Вводные'!$B$234="Да",'19_Расчет_аналитики'!X3489*'01_Вводные'!$B$14,0)</f>
        <v/>
      </c>
      <c r="Z3490">
        <f>IF('01_Вводные'!$B$234="Да",'19_Расчет_аналитики'!Y3489*'01_Вводные'!$B$14,0)</f>
        <v/>
      </c>
      <c r="AA3490">
        <f>IF('01_Вводные'!$B$234="Да",'19_Расчет_аналитики'!Z3489*'01_Вводные'!$B$14,0)</f>
        <v/>
      </c>
      <c r="AB3490">
        <f>IF('01_Вводные'!$B$234="Да",'19_Расчет_аналитики'!AA3489*'01_Вводные'!$B$14,0)</f>
        <v/>
      </c>
      <c r="AC3490">
        <f>IF('01_Вводные'!$B$234="Да",'19_Расчет_аналитики'!AB3489*'01_Вводные'!$B$14,0)</f>
        <v/>
      </c>
      <c r="AD3490">
        <f>IF('01_Вводные'!$B$234="Да",'19_Расчет_аналитики'!AC3489*'01_Вводные'!$B$14,0)</f>
        <v/>
      </c>
      <c r="AE3490">
        <f>IF('01_Вводные'!$B$234="Да",'19_Расчет_аналитики'!AD3489*'01_Вводные'!$B$14,0)</f>
        <v/>
      </c>
      <c r="AF3490">
        <f>IF('01_Вводные'!$B$234="Да",'19_Расчет_аналитики'!AE3489*'01_Вводные'!$B$14,0)</f>
        <v/>
      </c>
      <c r="AG3490">
        <f>IF('01_Вводные'!$B$234="Да",'19_Расчет_аналитики'!AF3489*'01_Вводные'!$B$14,0)</f>
        <v/>
      </c>
      <c r="AH3490">
        <f>IF('01_Вводные'!$B$234="Да",'19_Расчет_аналитики'!AG3489*'01_Вводные'!$B$14,0)</f>
        <v/>
      </c>
      <c r="AI3490">
        <f>IF('01_Вводные'!$B$234="Да",'19_Расчет_аналитики'!AH3489*'01_Вводные'!$B$14,0)</f>
        <v/>
      </c>
      <c r="AJ3490">
        <f>IF('01_Вводные'!$B$234="Да",'19_Расчет_аналитики'!AI3489*'01_Вводные'!$B$14,0)</f>
        <v/>
      </c>
      <c r="AK3490">
        <f>IF('01_Вводные'!$B$234="Да",'19_Расчет_аналитики'!AJ3489*'01_Вводные'!$B$14,0)</f>
        <v/>
      </c>
      <c r="AL3490">
        <f>IF('01_Вводные'!$B$234="Да",'19_Расчет_аналитики'!AK3489*'01_Вводные'!$B$14,0)</f>
        <v/>
      </c>
      <c r="AM3490">
        <f>IF('01_Вводные'!$B$234="Да",'19_Расчет_аналитики'!AL3489*'01_Вводные'!$B$14,0)</f>
        <v/>
      </c>
      <c r="AN3490">
        <f>IF('01_Вводные'!$B$234="Да",'19_Расчет_аналитики'!AM3489*'01_Вводные'!$B$14,0)</f>
        <v/>
      </c>
      <c r="AO3490">
        <f>IF('01_Вводные'!$B$234="Да",'19_Расчет_аналитики'!AN3489*'01_Вводные'!$B$14,0)</f>
        <v/>
      </c>
      <c r="AP3490">
        <f>IF('01_Вводные'!$B$234="Да",'19_Расчет_аналитики'!AO3489*'01_Вводные'!$B$14,0)</f>
        <v/>
      </c>
      <c r="AQ3490">
        <f>IF('01_Вводные'!$B$234="Да",'19_Расчет_аналитики'!AP3489*'01_Вводные'!$B$14,0)</f>
        <v/>
      </c>
      <c r="AR3490">
        <f>IF('01_Вводные'!$B$234="Да",'19_Расчет_аналитики'!AQ3489*'01_Вводные'!$B$14,0)</f>
        <v/>
      </c>
      <c r="AS3490">
        <f>IF('01_Вводные'!$B$234="Да",'19_Расчет_аналитики'!AR3489*'01_Вводные'!$B$14,0)</f>
        <v/>
      </c>
      <c r="AT3490">
        <f>IF('01_Вводные'!$B$234="Да",'19_Расчет_аналитики'!AS3489*'01_Вводные'!$B$14,0)</f>
        <v/>
      </c>
      <c r="AU3490">
        <f>IF('01_Вводные'!$B$234="Да",'19_Расчет_аналитики'!AT3489*'01_Вводные'!$B$14,0)</f>
        <v/>
      </c>
      <c r="AV3490">
        <f>IF('01_Вводные'!$B$234="Да",'19_Расчет_аналитики'!AU3489*'01_Вводные'!$B$14,0)</f>
        <v/>
      </c>
      <c r="AW3490">
        <f>IF('01_Вводные'!$B$234="Да",'19_Расчет_аналитики'!AV3489*'01_Вводные'!$B$14,0)</f>
        <v/>
      </c>
      <c r="AX3490">
        <f>IF('01_Вводные'!$B$234="Да",'19_Расчет_аналитики'!AW3489*'01_Вводные'!$B$14,0)</f>
        <v/>
      </c>
      <c r="AY3490">
        <f>IF('01_Вводные'!$B$234="Да",'19_Расчет_аналитики'!AX3489*'01_Вводные'!$B$14,0)</f>
        <v/>
      </c>
      <c r="AZ3490">
        <f>IF('01_Вводные'!$B$234="Да",'19_Расчет_аналитики'!AY3489*'01_Вводные'!$B$14,0)</f>
        <v/>
      </c>
      <c r="BA3490">
        <f>IF('01_Вводные'!$B$234="Да",'19_Расчет_аналитики'!AZ3489*'01_Вводные'!$B$14,0)</f>
        <v/>
      </c>
      <c r="BB3490">
        <f>IF('01_Вводные'!$B$234="Да",'19_Расчет_аналитики'!BA3489*'01_Вводные'!$B$14,0)</f>
        <v/>
      </c>
      <c r="BC3490">
        <f>IF('01_Вводные'!$B$234="Да",'19_Расчет_аналитики'!BB3489*'01_Вводные'!$B$14,0)</f>
        <v/>
      </c>
      <c r="BD3490">
        <f>IF('01_Вводные'!$B$234="Да",'19_Расчет_аналитики'!BC3489*'01_Вводные'!$B$14,0)</f>
        <v/>
      </c>
      <c r="BE3490">
        <f>IF('01_Вводные'!$B$234="Да",'19_Расчет_аналитики'!BD3489*'01_Вводные'!$B$14,0)</f>
        <v/>
      </c>
      <c r="BF3490">
        <f>IF('01_Вводные'!$B$234="Да",'19_Расчет_аналитики'!BE3489*'01_Вводные'!$B$14,0)</f>
        <v/>
      </c>
      <c r="BG3490">
        <f>IF('01_Вводные'!$B$234="Да",'19_Расчет_аналитики'!BF3489*'01_Вводные'!$B$14,0)</f>
        <v/>
      </c>
      <c r="BH3490">
        <f>IF('01_Вводные'!$B$234="Да",'19_Расчет_аналитики'!BG3489*'01_Вводные'!$B$14,0)</f>
        <v/>
      </c>
      <c r="BI3490">
        <f>IF('01_Вводные'!$B$234="Да",'19_Расчет_аналитики'!BH3489*'01_Вводные'!$B$14,0)</f>
        <v/>
      </c>
      <c r="BJ3490">
        <f>IF('01_Вводные'!$B$234="Да",'19_Расчет_аналитики'!BI3489*'01_Вводные'!$B$14,0)</f>
        <v/>
      </c>
      <c r="BK3490">
        <f>IF('01_Вводные'!$B$234="Да",'19_Расчет_аналитики'!BJ3489*'01_Вводные'!$B$14,0)</f>
        <v/>
      </c>
      <c r="BL3490">
        <f>IF('01_Вводные'!$B$234="Да",'19_Расчет_аналитики'!BK3489*'01_Вводные'!$B$14,0)</f>
        <v/>
      </c>
      <c r="BM3490">
        <f>IF('01_Вводные'!$B$234="Да",'19_Расчет_аналитики'!BL3489*'01_Вводные'!$B$14,0)</f>
        <v/>
      </c>
      <c r="BN3490">
        <f>IF('01_Вводные'!$B$234="Да",'19_Расчет_аналитики'!BM3489*'01_Вводные'!$B$14,0)</f>
        <v/>
      </c>
      <c r="BO3490">
        <f>IF('01_Вводные'!$B$234="Да",'19_Расчет_аналитики'!BN3489*'01_Вводные'!$B$14,0)</f>
        <v/>
      </c>
    </row>
    <row r="3491">
      <c r="N3491">
        <f>'06_Сеть_и_дети'!N100</f>
        <v/>
      </c>
      <c r="O3491">
        <f>'06_Сеть_и_дети'!O100</f>
        <v/>
      </c>
      <c r="P3491">
        <f>'06_Сеть_и_дети'!P100</f>
        <v/>
      </c>
      <c r="Q3491">
        <f>'06_Сеть_и_дети'!Q100</f>
        <v/>
      </c>
      <c r="R3491">
        <f>'06_Сеть_и_дети'!R100</f>
        <v/>
      </c>
      <c r="S3491">
        <f>'06_Сеть_и_дети'!S100</f>
        <v/>
      </c>
      <c r="T3491">
        <f>'06_Сеть_и_дети'!T100</f>
        <v/>
      </c>
      <c r="U3491">
        <f>IF('01_Вводные'!$B$234="Да",'19_Расчет_аналитики'!T3490*'01_Вводные'!$B$14,0)</f>
        <v/>
      </c>
      <c r="V3491">
        <f>IF('01_Вводные'!$B$234="Да",'19_Расчет_аналитики'!U3490*'01_Вводные'!$B$14,0)</f>
        <v/>
      </c>
      <c r="W3491">
        <f>IF('01_Вводные'!$B$234="Да",'19_Расчет_аналитики'!V3490*'01_Вводные'!$B$14,0)</f>
        <v/>
      </c>
      <c r="X3491">
        <f>IF('01_Вводные'!$B$234="Да",'19_Расчет_аналитики'!W3490*'01_Вводные'!$B$14,0)</f>
        <v/>
      </c>
      <c r="Y3491">
        <f>IF('01_Вводные'!$B$234="Да",'19_Расчет_аналитики'!X3490*'01_Вводные'!$B$14,0)</f>
        <v/>
      </c>
      <c r="Z3491">
        <f>IF('01_Вводные'!$B$234="Да",'19_Расчет_аналитики'!Y3490*'01_Вводные'!$B$14,0)</f>
        <v/>
      </c>
      <c r="AA3491">
        <f>IF('01_Вводные'!$B$234="Да",'19_Расчет_аналитики'!Z3490*'01_Вводные'!$B$14,0)</f>
        <v/>
      </c>
      <c r="AB3491">
        <f>IF('01_Вводные'!$B$234="Да",'19_Расчет_аналитики'!AA3490*'01_Вводные'!$B$14,0)</f>
        <v/>
      </c>
      <c r="AC3491">
        <f>IF('01_Вводные'!$B$234="Да",'19_Расчет_аналитики'!AB3490*'01_Вводные'!$B$14,0)</f>
        <v/>
      </c>
      <c r="AD3491">
        <f>IF('01_Вводные'!$B$234="Да",'19_Расчет_аналитики'!AC3490*'01_Вводные'!$B$14,0)</f>
        <v/>
      </c>
      <c r="AE3491">
        <f>IF('01_Вводные'!$B$234="Да",'19_Расчет_аналитики'!AD3490*'01_Вводные'!$B$14,0)</f>
        <v/>
      </c>
      <c r="AF3491">
        <f>IF('01_Вводные'!$B$234="Да",'19_Расчет_аналитики'!AE3490*'01_Вводные'!$B$14,0)</f>
        <v/>
      </c>
      <c r="AG3491">
        <f>IF('01_Вводные'!$B$234="Да",'19_Расчет_аналитики'!AF3490*'01_Вводные'!$B$14,0)</f>
        <v/>
      </c>
      <c r="AH3491">
        <f>IF('01_Вводные'!$B$234="Да",'19_Расчет_аналитики'!AG3490*'01_Вводные'!$B$14,0)</f>
        <v/>
      </c>
      <c r="AI3491">
        <f>IF('01_Вводные'!$B$234="Да",'19_Расчет_аналитики'!AH3490*'01_Вводные'!$B$14,0)</f>
        <v/>
      </c>
      <c r="AJ3491">
        <f>IF('01_Вводные'!$B$234="Да",'19_Расчет_аналитики'!AI3490*'01_Вводные'!$B$14,0)</f>
        <v/>
      </c>
      <c r="AK3491">
        <f>IF('01_Вводные'!$B$234="Да",'19_Расчет_аналитики'!AJ3490*'01_Вводные'!$B$14,0)</f>
        <v/>
      </c>
      <c r="AL3491">
        <f>IF('01_Вводные'!$B$234="Да",'19_Расчет_аналитики'!AK3490*'01_Вводные'!$B$14,0)</f>
        <v/>
      </c>
      <c r="AM3491">
        <f>IF('01_Вводные'!$B$234="Да",'19_Расчет_аналитики'!AL3490*'01_Вводные'!$B$14,0)</f>
        <v/>
      </c>
      <c r="AN3491">
        <f>IF('01_Вводные'!$B$234="Да",'19_Расчет_аналитики'!AM3490*'01_Вводные'!$B$14,0)</f>
        <v/>
      </c>
      <c r="AO3491">
        <f>IF('01_Вводные'!$B$234="Да",'19_Расчет_аналитики'!AN3490*'01_Вводные'!$B$14,0)</f>
        <v/>
      </c>
      <c r="AP3491">
        <f>IF('01_Вводные'!$B$234="Да",'19_Расчет_аналитики'!AO3490*'01_Вводные'!$B$14,0)</f>
        <v/>
      </c>
      <c r="AQ3491">
        <f>IF('01_Вводные'!$B$234="Да",'19_Расчет_аналитики'!AP3490*'01_Вводные'!$B$14,0)</f>
        <v/>
      </c>
      <c r="AR3491">
        <f>IF('01_Вводные'!$B$234="Да",'19_Расчет_аналитики'!AQ3490*'01_Вводные'!$B$14,0)</f>
        <v/>
      </c>
      <c r="AS3491">
        <f>IF('01_Вводные'!$B$234="Да",'19_Расчет_аналитики'!AR3490*'01_Вводные'!$B$14,0)</f>
        <v/>
      </c>
      <c r="AT3491">
        <f>IF('01_Вводные'!$B$234="Да",'19_Расчет_аналитики'!AS3490*'01_Вводные'!$B$14,0)</f>
        <v/>
      </c>
      <c r="AU3491">
        <f>IF('01_Вводные'!$B$234="Да",'19_Расчет_аналитики'!AT3490*'01_Вводные'!$B$14,0)</f>
        <v/>
      </c>
      <c r="AV3491">
        <f>IF('01_Вводные'!$B$234="Да",'19_Расчет_аналитики'!AU3490*'01_Вводные'!$B$14,0)</f>
        <v/>
      </c>
      <c r="AW3491">
        <f>IF('01_Вводные'!$B$234="Да",'19_Расчет_аналитики'!AV3490*'01_Вводные'!$B$14,0)</f>
        <v/>
      </c>
      <c r="AX3491">
        <f>IF('01_Вводные'!$B$234="Да",'19_Расчет_аналитики'!AW3490*'01_Вводные'!$B$14,0)</f>
        <v/>
      </c>
      <c r="AY3491">
        <f>IF('01_Вводные'!$B$234="Да",'19_Расчет_аналитики'!AX3490*'01_Вводные'!$B$14,0)</f>
        <v/>
      </c>
      <c r="AZ3491">
        <f>IF('01_Вводные'!$B$234="Да",'19_Расчет_аналитики'!AY3490*'01_Вводные'!$B$14,0)</f>
        <v/>
      </c>
      <c r="BA3491">
        <f>IF('01_Вводные'!$B$234="Да",'19_Расчет_аналитики'!AZ3490*'01_Вводные'!$B$14,0)</f>
        <v/>
      </c>
      <c r="BB3491">
        <f>IF('01_Вводные'!$B$234="Да",'19_Расчет_аналитики'!BA3490*'01_Вводные'!$B$14,0)</f>
        <v/>
      </c>
      <c r="BC3491">
        <f>IF('01_Вводные'!$B$234="Да",'19_Расчет_аналитики'!BB3490*'01_Вводные'!$B$14,0)</f>
        <v/>
      </c>
      <c r="BD3491">
        <f>IF('01_Вводные'!$B$234="Да",'19_Расчет_аналитики'!BC3490*'01_Вводные'!$B$14,0)</f>
        <v/>
      </c>
      <c r="BE3491">
        <f>IF('01_Вводные'!$B$234="Да",'19_Расчет_аналитики'!BD3490*'01_Вводные'!$B$14,0)</f>
        <v/>
      </c>
      <c r="BF3491">
        <f>IF('01_Вводные'!$B$234="Да",'19_Расчет_аналитики'!BE3490*'01_Вводные'!$B$14,0)</f>
        <v/>
      </c>
      <c r="BG3491">
        <f>IF('01_Вводные'!$B$234="Да",'19_Расчет_аналитики'!BF3490*'01_Вводные'!$B$14,0)</f>
        <v/>
      </c>
      <c r="BH3491">
        <f>IF('01_Вводные'!$B$234="Да",'19_Расчет_аналитики'!BG3490*'01_Вводные'!$B$14,0)</f>
        <v/>
      </c>
      <c r="BI3491">
        <f>IF('01_Вводные'!$B$234="Да",'19_Расчет_аналитики'!BH3490*'01_Вводные'!$B$14,0)</f>
        <v/>
      </c>
      <c r="BJ3491">
        <f>IF('01_Вводные'!$B$234="Да",'19_Расчет_аналитики'!BI3490*'01_Вводные'!$B$14,0)</f>
        <v/>
      </c>
      <c r="BK3491">
        <f>IF('01_Вводные'!$B$234="Да",'19_Расчет_аналитики'!BJ3490*'01_Вводные'!$B$14,0)</f>
        <v/>
      </c>
      <c r="BL3491">
        <f>IF('01_Вводные'!$B$234="Да",'19_Расчет_аналитики'!BK3490*'01_Вводные'!$B$14,0)</f>
        <v/>
      </c>
      <c r="BM3491">
        <f>IF('01_Вводные'!$B$234="Да",'19_Расчет_аналитики'!BL3490*'01_Вводные'!$B$14,0)</f>
        <v/>
      </c>
      <c r="BN3491">
        <f>IF('01_Вводные'!$B$234="Да",'19_Расчет_аналитики'!BM3490*'01_Вводные'!$B$14,0)</f>
        <v/>
      </c>
      <c r="BO3491">
        <f>IF('01_Вводные'!$B$234="Да",'19_Расчет_аналитики'!BN3490*'01_Вводные'!$B$14,0)</f>
        <v/>
      </c>
    </row>
    <row r="3492">
      <c r="N3492">
        <f>'06_Сеть_и_дети'!N101</f>
        <v/>
      </c>
      <c r="O3492">
        <f>'06_Сеть_и_дети'!O101</f>
        <v/>
      </c>
      <c r="P3492">
        <f>'06_Сеть_и_дети'!P101</f>
        <v/>
      </c>
      <c r="Q3492">
        <f>'06_Сеть_и_дети'!Q101</f>
        <v/>
      </c>
      <c r="R3492">
        <f>'06_Сеть_и_дети'!R101</f>
        <v/>
      </c>
      <c r="S3492">
        <f>'06_Сеть_и_дети'!S101</f>
        <v/>
      </c>
      <c r="T3492">
        <f>'06_Сеть_и_дети'!T101</f>
        <v/>
      </c>
      <c r="U3492">
        <f>'06_Сеть_и_дети'!U101</f>
        <v/>
      </c>
      <c r="V3492">
        <f>IF('01_Вводные'!$B$234="Да",'19_Расчет_аналитики'!U3491*'01_Вводные'!$B$14,0)</f>
        <v/>
      </c>
      <c r="W3492">
        <f>IF('01_Вводные'!$B$234="Да",'19_Расчет_аналитики'!V3491*'01_Вводные'!$B$14,0)</f>
        <v/>
      </c>
      <c r="X3492">
        <f>IF('01_Вводные'!$B$234="Да",'19_Расчет_аналитики'!W3491*'01_Вводные'!$B$14,0)</f>
        <v/>
      </c>
      <c r="Y3492">
        <f>IF('01_Вводные'!$B$234="Да",'19_Расчет_аналитики'!X3491*'01_Вводные'!$B$14,0)</f>
        <v/>
      </c>
      <c r="Z3492">
        <f>IF('01_Вводные'!$B$234="Да",'19_Расчет_аналитики'!Y3491*'01_Вводные'!$B$14,0)</f>
        <v/>
      </c>
      <c r="AA3492">
        <f>IF('01_Вводные'!$B$234="Да",'19_Расчет_аналитики'!Z3491*'01_Вводные'!$B$14,0)</f>
        <v/>
      </c>
      <c r="AB3492">
        <f>IF('01_Вводные'!$B$234="Да",'19_Расчет_аналитики'!AA3491*'01_Вводные'!$B$14,0)</f>
        <v/>
      </c>
      <c r="AC3492">
        <f>IF('01_Вводные'!$B$234="Да",'19_Расчет_аналитики'!AB3491*'01_Вводные'!$B$14,0)</f>
        <v/>
      </c>
      <c r="AD3492">
        <f>IF('01_Вводные'!$B$234="Да",'19_Расчет_аналитики'!AC3491*'01_Вводные'!$B$14,0)</f>
        <v/>
      </c>
      <c r="AE3492">
        <f>IF('01_Вводные'!$B$234="Да",'19_Расчет_аналитики'!AD3491*'01_Вводные'!$B$14,0)</f>
        <v/>
      </c>
      <c r="AF3492">
        <f>IF('01_Вводные'!$B$234="Да",'19_Расчет_аналитики'!AE3491*'01_Вводные'!$B$14,0)</f>
        <v/>
      </c>
      <c r="AG3492">
        <f>IF('01_Вводные'!$B$234="Да",'19_Расчет_аналитики'!AF3491*'01_Вводные'!$B$14,0)</f>
        <v/>
      </c>
      <c r="AH3492">
        <f>IF('01_Вводные'!$B$234="Да",'19_Расчет_аналитики'!AG3491*'01_Вводные'!$B$14,0)</f>
        <v/>
      </c>
      <c r="AI3492">
        <f>IF('01_Вводные'!$B$234="Да",'19_Расчет_аналитики'!AH3491*'01_Вводные'!$B$14,0)</f>
        <v/>
      </c>
      <c r="AJ3492">
        <f>IF('01_Вводные'!$B$234="Да",'19_Расчет_аналитики'!AI3491*'01_Вводные'!$B$14,0)</f>
        <v/>
      </c>
      <c r="AK3492">
        <f>IF('01_Вводные'!$B$234="Да",'19_Расчет_аналитики'!AJ3491*'01_Вводные'!$B$14,0)</f>
        <v/>
      </c>
      <c r="AL3492">
        <f>IF('01_Вводные'!$B$234="Да",'19_Расчет_аналитики'!AK3491*'01_Вводные'!$B$14,0)</f>
        <v/>
      </c>
      <c r="AM3492">
        <f>IF('01_Вводные'!$B$234="Да",'19_Расчет_аналитики'!AL3491*'01_Вводные'!$B$14,0)</f>
        <v/>
      </c>
      <c r="AN3492">
        <f>IF('01_Вводные'!$B$234="Да",'19_Расчет_аналитики'!AM3491*'01_Вводные'!$B$14,0)</f>
        <v/>
      </c>
      <c r="AO3492">
        <f>IF('01_Вводные'!$B$234="Да",'19_Расчет_аналитики'!AN3491*'01_Вводные'!$B$14,0)</f>
        <v/>
      </c>
      <c r="AP3492">
        <f>IF('01_Вводные'!$B$234="Да",'19_Расчет_аналитики'!AO3491*'01_Вводные'!$B$14,0)</f>
        <v/>
      </c>
      <c r="AQ3492">
        <f>IF('01_Вводные'!$B$234="Да",'19_Расчет_аналитики'!AP3491*'01_Вводные'!$B$14,0)</f>
        <v/>
      </c>
      <c r="AR3492">
        <f>IF('01_Вводные'!$B$234="Да",'19_Расчет_аналитики'!AQ3491*'01_Вводные'!$B$14,0)</f>
        <v/>
      </c>
      <c r="AS3492">
        <f>IF('01_Вводные'!$B$234="Да",'19_Расчет_аналитики'!AR3491*'01_Вводные'!$B$14,0)</f>
        <v/>
      </c>
      <c r="AT3492">
        <f>IF('01_Вводные'!$B$234="Да",'19_Расчет_аналитики'!AS3491*'01_Вводные'!$B$14,0)</f>
        <v/>
      </c>
      <c r="AU3492">
        <f>IF('01_Вводные'!$B$234="Да",'19_Расчет_аналитики'!AT3491*'01_Вводные'!$B$14,0)</f>
        <v/>
      </c>
      <c r="AV3492">
        <f>IF('01_Вводные'!$B$234="Да",'19_Расчет_аналитики'!AU3491*'01_Вводные'!$B$14,0)</f>
        <v/>
      </c>
      <c r="AW3492">
        <f>IF('01_Вводные'!$B$234="Да",'19_Расчет_аналитики'!AV3491*'01_Вводные'!$B$14,0)</f>
        <v/>
      </c>
      <c r="AX3492">
        <f>IF('01_Вводные'!$B$234="Да",'19_Расчет_аналитики'!AW3491*'01_Вводные'!$B$14,0)</f>
        <v/>
      </c>
      <c r="AY3492">
        <f>IF('01_Вводные'!$B$234="Да",'19_Расчет_аналитики'!AX3491*'01_Вводные'!$B$14,0)</f>
        <v/>
      </c>
      <c r="AZ3492">
        <f>IF('01_Вводные'!$B$234="Да",'19_Расчет_аналитики'!AY3491*'01_Вводные'!$B$14,0)</f>
        <v/>
      </c>
      <c r="BA3492">
        <f>IF('01_Вводные'!$B$234="Да",'19_Расчет_аналитики'!AZ3491*'01_Вводные'!$B$14,0)</f>
        <v/>
      </c>
      <c r="BB3492">
        <f>IF('01_Вводные'!$B$234="Да",'19_Расчет_аналитики'!BA3491*'01_Вводные'!$B$14,0)</f>
        <v/>
      </c>
      <c r="BC3492">
        <f>IF('01_Вводные'!$B$234="Да",'19_Расчет_аналитики'!BB3491*'01_Вводные'!$B$14,0)</f>
        <v/>
      </c>
      <c r="BD3492">
        <f>IF('01_Вводные'!$B$234="Да",'19_Расчет_аналитики'!BC3491*'01_Вводные'!$B$14,0)</f>
        <v/>
      </c>
      <c r="BE3492">
        <f>IF('01_Вводные'!$B$234="Да",'19_Расчет_аналитики'!BD3491*'01_Вводные'!$B$14,0)</f>
        <v/>
      </c>
      <c r="BF3492">
        <f>IF('01_Вводные'!$B$234="Да",'19_Расчет_аналитики'!BE3491*'01_Вводные'!$B$14,0)</f>
        <v/>
      </c>
      <c r="BG3492">
        <f>IF('01_Вводные'!$B$234="Да",'19_Расчет_аналитики'!BF3491*'01_Вводные'!$B$14,0)</f>
        <v/>
      </c>
      <c r="BH3492">
        <f>IF('01_Вводные'!$B$234="Да",'19_Расчет_аналитики'!BG3491*'01_Вводные'!$B$14,0)</f>
        <v/>
      </c>
      <c r="BI3492">
        <f>IF('01_Вводные'!$B$234="Да",'19_Расчет_аналитики'!BH3491*'01_Вводные'!$B$14,0)</f>
        <v/>
      </c>
      <c r="BJ3492">
        <f>IF('01_Вводные'!$B$234="Да",'19_Расчет_аналитики'!BI3491*'01_Вводные'!$B$14,0)</f>
        <v/>
      </c>
      <c r="BK3492">
        <f>IF('01_Вводные'!$B$234="Да",'19_Расчет_аналитики'!BJ3491*'01_Вводные'!$B$14,0)</f>
        <v/>
      </c>
      <c r="BL3492">
        <f>IF('01_Вводные'!$B$234="Да",'19_Расчет_аналитики'!BK3491*'01_Вводные'!$B$14,0)</f>
        <v/>
      </c>
      <c r="BM3492">
        <f>IF('01_Вводные'!$B$234="Да",'19_Расчет_аналитики'!BL3491*'01_Вводные'!$B$14,0)</f>
        <v/>
      </c>
      <c r="BN3492">
        <f>IF('01_Вводные'!$B$234="Да",'19_Расчет_аналитики'!BM3491*'01_Вводные'!$B$14,0)</f>
        <v/>
      </c>
      <c r="BO3492">
        <f>IF('01_Вводные'!$B$234="Да",'19_Расчет_аналитики'!BN3491*'01_Вводные'!$B$14,0)</f>
        <v/>
      </c>
    </row>
    <row r="3493">
      <c r="N3493">
        <f>'06_Сеть_и_дети'!N102</f>
        <v/>
      </c>
      <c r="O3493">
        <f>'06_Сеть_и_дети'!O102</f>
        <v/>
      </c>
      <c r="P3493">
        <f>'06_Сеть_и_дети'!P102</f>
        <v/>
      </c>
      <c r="Q3493">
        <f>'06_Сеть_и_дети'!Q102</f>
        <v/>
      </c>
      <c r="R3493">
        <f>'06_Сеть_и_дети'!R102</f>
        <v/>
      </c>
      <c r="S3493">
        <f>'06_Сеть_и_дети'!S102</f>
        <v/>
      </c>
      <c r="T3493">
        <f>'06_Сеть_и_дети'!T102</f>
        <v/>
      </c>
      <c r="U3493">
        <f>'06_Сеть_и_дети'!U102</f>
        <v/>
      </c>
      <c r="V3493">
        <f>'06_Сеть_и_дети'!V102</f>
        <v/>
      </c>
      <c r="W3493">
        <f>IF('01_Вводные'!$B$234="Да",'19_Расчет_аналитики'!V3492*'01_Вводные'!$B$14,0)</f>
        <v/>
      </c>
      <c r="X3493">
        <f>IF('01_Вводные'!$B$234="Да",'19_Расчет_аналитики'!W3492*'01_Вводные'!$B$14,0)</f>
        <v/>
      </c>
      <c r="Y3493">
        <f>IF('01_Вводные'!$B$234="Да",'19_Расчет_аналитики'!X3492*'01_Вводные'!$B$14,0)</f>
        <v/>
      </c>
      <c r="Z3493">
        <f>IF('01_Вводные'!$B$234="Да",'19_Расчет_аналитики'!Y3492*'01_Вводные'!$B$14,0)</f>
        <v/>
      </c>
      <c r="AA3493">
        <f>IF('01_Вводные'!$B$234="Да",'19_Расчет_аналитики'!Z3492*'01_Вводные'!$B$14,0)</f>
        <v/>
      </c>
      <c r="AB3493">
        <f>IF('01_Вводные'!$B$234="Да",'19_Расчет_аналитики'!AA3492*'01_Вводные'!$B$14,0)</f>
        <v/>
      </c>
      <c r="AC3493">
        <f>IF('01_Вводные'!$B$234="Да",'19_Расчет_аналитики'!AB3492*'01_Вводные'!$B$14,0)</f>
        <v/>
      </c>
      <c r="AD3493">
        <f>IF('01_Вводные'!$B$234="Да",'19_Расчет_аналитики'!AC3492*'01_Вводные'!$B$14,0)</f>
        <v/>
      </c>
      <c r="AE3493">
        <f>IF('01_Вводные'!$B$234="Да",'19_Расчет_аналитики'!AD3492*'01_Вводные'!$B$14,0)</f>
        <v/>
      </c>
      <c r="AF3493">
        <f>IF('01_Вводные'!$B$234="Да",'19_Расчет_аналитики'!AE3492*'01_Вводные'!$B$14,0)</f>
        <v/>
      </c>
      <c r="AG3493">
        <f>IF('01_Вводные'!$B$234="Да",'19_Расчет_аналитики'!AF3492*'01_Вводные'!$B$14,0)</f>
        <v/>
      </c>
      <c r="AH3493">
        <f>IF('01_Вводные'!$B$234="Да",'19_Расчет_аналитики'!AG3492*'01_Вводные'!$B$14,0)</f>
        <v/>
      </c>
      <c r="AI3493">
        <f>IF('01_Вводные'!$B$234="Да",'19_Расчет_аналитики'!AH3492*'01_Вводные'!$B$14,0)</f>
        <v/>
      </c>
      <c r="AJ3493">
        <f>IF('01_Вводные'!$B$234="Да",'19_Расчет_аналитики'!AI3492*'01_Вводные'!$B$14,0)</f>
        <v/>
      </c>
      <c r="AK3493">
        <f>IF('01_Вводные'!$B$234="Да",'19_Расчет_аналитики'!AJ3492*'01_Вводные'!$B$14,0)</f>
        <v/>
      </c>
      <c r="AL3493">
        <f>IF('01_Вводные'!$B$234="Да",'19_Расчет_аналитики'!AK3492*'01_Вводные'!$B$14,0)</f>
        <v/>
      </c>
      <c r="AM3493">
        <f>IF('01_Вводные'!$B$234="Да",'19_Расчет_аналитики'!AL3492*'01_Вводные'!$B$14,0)</f>
        <v/>
      </c>
      <c r="AN3493">
        <f>IF('01_Вводные'!$B$234="Да",'19_Расчет_аналитики'!AM3492*'01_Вводные'!$B$14,0)</f>
        <v/>
      </c>
      <c r="AO3493">
        <f>IF('01_Вводные'!$B$234="Да",'19_Расчет_аналитики'!AN3492*'01_Вводные'!$B$14,0)</f>
        <v/>
      </c>
      <c r="AP3493">
        <f>IF('01_Вводные'!$B$234="Да",'19_Расчет_аналитики'!AO3492*'01_Вводные'!$B$14,0)</f>
        <v/>
      </c>
      <c r="AQ3493">
        <f>IF('01_Вводные'!$B$234="Да",'19_Расчет_аналитики'!AP3492*'01_Вводные'!$B$14,0)</f>
        <v/>
      </c>
      <c r="AR3493">
        <f>IF('01_Вводные'!$B$234="Да",'19_Расчет_аналитики'!AQ3492*'01_Вводные'!$B$14,0)</f>
        <v/>
      </c>
      <c r="AS3493">
        <f>IF('01_Вводные'!$B$234="Да",'19_Расчет_аналитики'!AR3492*'01_Вводные'!$B$14,0)</f>
        <v/>
      </c>
      <c r="AT3493">
        <f>IF('01_Вводные'!$B$234="Да",'19_Расчет_аналитики'!AS3492*'01_Вводные'!$B$14,0)</f>
        <v/>
      </c>
      <c r="AU3493">
        <f>IF('01_Вводные'!$B$234="Да",'19_Расчет_аналитики'!AT3492*'01_Вводные'!$B$14,0)</f>
        <v/>
      </c>
      <c r="AV3493">
        <f>IF('01_Вводные'!$B$234="Да",'19_Расчет_аналитики'!AU3492*'01_Вводные'!$B$14,0)</f>
        <v/>
      </c>
      <c r="AW3493">
        <f>IF('01_Вводные'!$B$234="Да",'19_Расчет_аналитики'!AV3492*'01_Вводные'!$B$14,0)</f>
        <v/>
      </c>
      <c r="AX3493">
        <f>IF('01_Вводные'!$B$234="Да",'19_Расчет_аналитики'!AW3492*'01_Вводные'!$B$14,0)</f>
        <v/>
      </c>
      <c r="AY3493">
        <f>IF('01_Вводные'!$B$234="Да",'19_Расчет_аналитики'!AX3492*'01_Вводные'!$B$14,0)</f>
        <v/>
      </c>
      <c r="AZ3493">
        <f>IF('01_Вводные'!$B$234="Да",'19_Расчет_аналитики'!AY3492*'01_Вводные'!$B$14,0)</f>
        <v/>
      </c>
      <c r="BA3493">
        <f>IF('01_Вводные'!$B$234="Да",'19_Расчет_аналитики'!AZ3492*'01_Вводные'!$B$14,0)</f>
        <v/>
      </c>
      <c r="BB3493">
        <f>IF('01_Вводные'!$B$234="Да",'19_Расчет_аналитики'!BA3492*'01_Вводные'!$B$14,0)</f>
        <v/>
      </c>
      <c r="BC3493">
        <f>IF('01_Вводные'!$B$234="Да",'19_Расчет_аналитики'!BB3492*'01_Вводные'!$B$14,0)</f>
        <v/>
      </c>
      <c r="BD3493">
        <f>IF('01_Вводные'!$B$234="Да",'19_Расчет_аналитики'!BC3492*'01_Вводные'!$B$14,0)</f>
        <v/>
      </c>
      <c r="BE3493">
        <f>IF('01_Вводные'!$B$234="Да",'19_Расчет_аналитики'!BD3492*'01_Вводные'!$B$14,0)</f>
        <v/>
      </c>
      <c r="BF3493">
        <f>IF('01_Вводные'!$B$234="Да",'19_Расчет_аналитики'!BE3492*'01_Вводные'!$B$14,0)</f>
        <v/>
      </c>
      <c r="BG3493">
        <f>IF('01_Вводные'!$B$234="Да",'19_Расчет_аналитики'!BF3492*'01_Вводные'!$B$14,0)</f>
        <v/>
      </c>
      <c r="BH3493">
        <f>IF('01_Вводные'!$B$234="Да",'19_Расчет_аналитики'!BG3492*'01_Вводные'!$B$14,0)</f>
        <v/>
      </c>
      <c r="BI3493">
        <f>IF('01_Вводные'!$B$234="Да",'19_Расчет_аналитики'!BH3492*'01_Вводные'!$B$14,0)</f>
        <v/>
      </c>
      <c r="BJ3493">
        <f>IF('01_Вводные'!$B$234="Да",'19_Расчет_аналитики'!BI3492*'01_Вводные'!$B$14,0)</f>
        <v/>
      </c>
      <c r="BK3493">
        <f>IF('01_Вводные'!$B$234="Да",'19_Расчет_аналитики'!BJ3492*'01_Вводные'!$B$14,0)</f>
        <v/>
      </c>
      <c r="BL3493">
        <f>IF('01_Вводные'!$B$234="Да",'19_Расчет_аналитики'!BK3492*'01_Вводные'!$B$14,0)</f>
        <v/>
      </c>
      <c r="BM3493">
        <f>IF('01_Вводные'!$B$234="Да",'19_Расчет_аналитики'!BL3492*'01_Вводные'!$B$14,0)</f>
        <v/>
      </c>
      <c r="BN3493">
        <f>IF('01_Вводные'!$B$234="Да",'19_Расчет_аналитики'!BM3492*'01_Вводные'!$B$14,0)</f>
        <v/>
      </c>
      <c r="BO3493">
        <f>IF('01_Вводные'!$B$234="Да",'19_Расчет_аналитики'!BN3492*'01_Вводные'!$B$14,0)</f>
        <v/>
      </c>
    </row>
    <row r="3494">
      <c r="N3494">
        <f>'06_Сеть_и_дети'!N103</f>
        <v/>
      </c>
      <c r="O3494">
        <f>'06_Сеть_и_дети'!O103</f>
        <v/>
      </c>
      <c r="P3494">
        <f>'06_Сеть_и_дети'!P103</f>
        <v/>
      </c>
      <c r="Q3494">
        <f>'06_Сеть_и_дети'!Q103</f>
        <v/>
      </c>
      <c r="R3494">
        <f>'06_Сеть_и_дети'!R103</f>
        <v/>
      </c>
      <c r="S3494">
        <f>'06_Сеть_и_дети'!S103</f>
        <v/>
      </c>
      <c r="T3494">
        <f>'06_Сеть_и_дети'!T103</f>
        <v/>
      </c>
      <c r="U3494">
        <f>'06_Сеть_и_дети'!U103</f>
        <v/>
      </c>
      <c r="V3494">
        <f>'06_Сеть_и_дети'!V103</f>
        <v/>
      </c>
      <c r="W3494">
        <f>'06_Сеть_и_дети'!W103</f>
        <v/>
      </c>
      <c r="X3494">
        <f>IF('01_Вводные'!$B$234="Да",'19_Расчет_аналитики'!W3493*'01_Вводные'!$B$14,0)</f>
        <v/>
      </c>
      <c r="Y3494">
        <f>IF('01_Вводные'!$B$234="Да",'19_Расчет_аналитики'!X3493*'01_Вводные'!$B$14,0)</f>
        <v/>
      </c>
      <c r="Z3494">
        <f>IF('01_Вводные'!$B$234="Да",'19_Расчет_аналитики'!Y3493*'01_Вводные'!$B$14,0)</f>
        <v/>
      </c>
      <c r="AA3494">
        <f>IF('01_Вводные'!$B$234="Да",'19_Расчет_аналитики'!Z3493*'01_Вводные'!$B$14,0)</f>
        <v/>
      </c>
      <c r="AB3494">
        <f>IF('01_Вводные'!$B$234="Да",'19_Расчет_аналитики'!AA3493*'01_Вводные'!$B$14,0)</f>
        <v/>
      </c>
      <c r="AC3494">
        <f>IF('01_Вводные'!$B$234="Да",'19_Расчет_аналитики'!AB3493*'01_Вводные'!$B$14,0)</f>
        <v/>
      </c>
      <c r="AD3494">
        <f>IF('01_Вводные'!$B$234="Да",'19_Расчет_аналитики'!AC3493*'01_Вводные'!$B$14,0)</f>
        <v/>
      </c>
      <c r="AE3494">
        <f>IF('01_Вводные'!$B$234="Да",'19_Расчет_аналитики'!AD3493*'01_Вводные'!$B$14,0)</f>
        <v/>
      </c>
      <c r="AF3494">
        <f>IF('01_Вводные'!$B$234="Да",'19_Расчет_аналитики'!AE3493*'01_Вводные'!$B$14,0)</f>
        <v/>
      </c>
      <c r="AG3494">
        <f>IF('01_Вводные'!$B$234="Да",'19_Расчет_аналитики'!AF3493*'01_Вводные'!$B$14,0)</f>
        <v/>
      </c>
      <c r="AH3494">
        <f>IF('01_Вводные'!$B$234="Да",'19_Расчет_аналитики'!AG3493*'01_Вводные'!$B$14,0)</f>
        <v/>
      </c>
      <c r="AI3494">
        <f>IF('01_Вводные'!$B$234="Да",'19_Расчет_аналитики'!AH3493*'01_Вводные'!$B$14,0)</f>
        <v/>
      </c>
      <c r="AJ3494">
        <f>IF('01_Вводные'!$B$234="Да",'19_Расчет_аналитики'!AI3493*'01_Вводные'!$B$14,0)</f>
        <v/>
      </c>
      <c r="AK3494">
        <f>IF('01_Вводные'!$B$234="Да",'19_Расчет_аналитики'!AJ3493*'01_Вводные'!$B$14,0)</f>
        <v/>
      </c>
      <c r="AL3494">
        <f>IF('01_Вводные'!$B$234="Да",'19_Расчет_аналитики'!AK3493*'01_Вводные'!$B$14,0)</f>
        <v/>
      </c>
      <c r="AM3494">
        <f>IF('01_Вводные'!$B$234="Да",'19_Расчет_аналитики'!AL3493*'01_Вводные'!$B$14,0)</f>
        <v/>
      </c>
      <c r="AN3494">
        <f>IF('01_Вводные'!$B$234="Да",'19_Расчет_аналитики'!AM3493*'01_Вводные'!$B$14,0)</f>
        <v/>
      </c>
      <c r="AO3494">
        <f>IF('01_Вводные'!$B$234="Да",'19_Расчет_аналитики'!AN3493*'01_Вводные'!$B$14,0)</f>
        <v/>
      </c>
      <c r="AP3494">
        <f>IF('01_Вводные'!$B$234="Да",'19_Расчет_аналитики'!AO3493*'01_Вводные'!$B$14,0)</f>
        <v/>
      </c>
      <c r="AQ3494">
        <f>IF('01_Вводные'!$B$234="Да",'19_Расчет_аналитики'!AP3493*'01_Вводные'!$B$14,0)</f>
        <v/>
      </c>
      <c r="AR3494">
        <f>IF('01_Вводные'!$B$234="Да",'19_Расчет_аналитики'!AQ3493*'01_Вводные'!$B$14,0)</f>
        <v/>
      </c>
      <c r="AS3494">
        <f>IF('01_Вводные'!$B$234="Да",'19_Расчет_аналитики'!AR3493*'01_Вводные'!$B$14,0)</f>
        <v/>
      </c>
      <c r="AT3494">
        <f>IF('01_Вводные'!$B$234="Да",'19_Расчет_аналитики'!AS3493*'01_Вводные'!$B$14,0)</f>
        <v/>
      </c>
      <c r="AU3494">
        <f>IF('01_Вводные'!$B$234="Да",'19_Расчет_аналитики'!AT3493*'01_Вводные'!$B$14,0)</f>
        <v/>
      </c>
      <c r="AV3494">
        <f>IF('01_Вводные'!$B$234="Да",'19_Расчет_аналитики'!AU3493*'01_Вводные'!$B$14,0)</f>
        <v/>
      </c>
      <c r="AW3494">
        <f>IF('01_Вводные'!$B$234="Да",'19_Расчет_аналитики'!AV3493*'01_Вводные'!$B$14,0)</f>
        <v/>
      </c>
      <c r="AX3494">
        <f>IF('01_Вводные'!$B$234="Да",'19_Расчет_аналитики'!AW3493*'01_Вводные'!$B$14,0)</f>
        <v/>
      </c>
      <c r="AY3494">
        <f>IF('01_Вводные'!$B$234="Да",'19_Расчет_аналитики'!AX3493*'01_Вводные'!$B$14,0)</f>
        <v/>
      </c>
      <c r="AZ3494">
        <f>IF('01_Вводные'!$B$234="Да",'19_Расчет_аналитики'!AY3493*'01_Вводные'!$B$14,0)</f>
        <v/>
      </c>
      <c r="BA3494">
        <f>IF('01_Вводные'!$B$234="Да",'19_Расчет_аналитики'!AZ3493*'01_Вводные'!$B$14,0)</f>
        <v/>
      </c>
      <c r="BB3494">
        <f>IF('01_Вводные'!$B$234="Да",'19_Расчет_аналитики'!BA3493*'01_Вводные'!$B$14,0)</f>
        <v/>
      </c>
      <c r="BC3494">
        <f>IF('01_Вводные'!$B$234="Да",'19_Расчет_аналитики'!BB3493*'01_Вводные'!$B$14,0)</f>
        <v/>
      </c>
      <c r="BD3494">
        <f>IF('01_Вводные'!$B$234="Да",'19_Расчет_аналитики'!BC3493*'01_Вводные'!$B$14,0)</f>
        <v/>
      </c>
      <c r="BE3494">
        <f>IF('01_Вводные'!$B$234="Да",'19_Расчет_аналитики'!BD3493*'01_Вводные'!$B$14,0)</f>
        <v/>
      </c>
      <c r="BF3494">
        <f>IF('01_Вводные'!$B$234="Да",'19_Расчет_аналитики'!BE3493*'01_Вводные'!$B$14,0)</f>
        <v/>
      </c>
      <c r="BG3494">
        <f>IF('01_Вводные'!$B$234="Да",'19_Расчет_аналитики'!BF3493*'01_Вводные'!$B$14,0)</f>
        <v/>
      </c>
      <c r="BH3494">
        <f>IF('01_Вводные'!$B$234="Да",'19_Расчет_аналитики'!BG3493*'01_Вводные'!$B$14,0)</f>
        <v/>
      </c>
      <c r="BI3494">
        <f>IF('01_Вводные'!$B$234="Да",'19_Расчет_аналитики'!BH3493*'01_Вводные'!$B$14,0)</f>
        <v/>
      </c>
      <c r="BJ3494">
        <f>IF('01_Вводные'!$B$234="Да",'19_Расчет_аналитики'!BI3493*'01_Вводные'!$B$14,0)</f>
        <v/>
      </c>
      <c r="BK3494">
        <f>IF('01_Вводные'!$B$234="Да",'19_Расчет_аналитики'!BJ3493*'01_Вводные'!$B$14,0)</f>
        <v/>
      </c>
      <c r="BL3494">
        <f>IF('01_Вводные'!$B$234="Да",'19_Расчет_аналитики'!BK3493*'01_Вводные'!$B$14,0)</f>
        <v/>
      </c>
      <c r="BM3494">
        <f>IF('01_Вводные'!$B$234="Да",'19_Расчет_аналитики'!BL3493*'01_Вводные'!$B$14,0)</f>
        <v/>
      </c>
      <c r="BN3494">
        <f>IF('01_Вводные'!$B$234="Да",'19_Расчет_аналитики'!BM3493*'01_Вводные'!$B$14,0)</f>
        <v/>
      </c>
      <c r="BO3494">
        <f>IF('01_Вводные'!$B$234="Да",'19_Расчет_аналитики'!BN3493*'01_Вводные'!$B$14,0)</f>
        <v/>
      </c>
    </row>
    <row r="3495">
      <c r="N3495">
        <f>'06_Сеть_и_дети'!N104</f>
        <v/>
      </c>
      <c r="O3495">
        <f>'06_Сеть_и_дети'!O104</f>
        <v/>
      </c>
      <c r="P3495">
        <f>'06_Сеть_и_дети'!P104</f>
        <v/>
      </c>
      <c r="Q3495">
        <f>'06_Сеть_и_дети'!Q104</f>
        <v/>
      </c>
      <c r="R3495">
        <f>'06_Сеть_и_дети'!R104</f>
        <v/>
      </c>
      <c r="S3495">
        <f>'06_Сеть_и_дети'!S104</f>
        <v/>
      </c>
      <c r="T3495">
        <f>'06_Сеть_и_дети'!T104</f>
        <v/>
      </c>
      <c r="U3495">
        <f>'06_Сеть_и_дети'!U104</f>
        <v/>
      </c>
      <c r="V3495">
        <f>'06_Сеть_и_дети'!V104</f>
        <v/>
      </c>
      <c r="W3495">
        <f>'06_Сеть_и_дети'!W104</f>
        <v/>
      </c>
      <c r="X3495">
        <f>'06_Сеть_и_дети'!X104</f>
        <v/>
      </c>
      <c r="Y3495">
        <f>IF('01_Вводные'!$B$234="Да",'19_Расчет_аналитики'!X3494*'01_Вводные'!$B$14,0)</f>
        <v/>
      </c>
      <c r="Z3495">
        <f>IF('01_Вводные'!$B$234="Да",'19_Расчет_аналитики'!Y3494*'01_Вводные'!$B$14,0)</f>
        <v/>
      </c>
      <c r="AA3495">
        <f>IF('01_Вводные'!$B$234="Да",'19_Расчет_аналитики'!Z3494*'01_Вводные'!$B$14,0)</f>
        <v/>
      </c>
      <c r="AB3495">
        <f>IF('01_Вводные'!$B$234="Да",'19_Расчет_аналитики'!AA3494*'01_Вводные'!$B$14,0)</f>
        <v/>
      </c>
      <c r="AC3495">
        <f>IF('01_Вводные'!$B$234="Да",'19_Расчет_аналитики'!AB3494*'01_Вводные'!$B$14,0)</f>
        <v/>
      </c>
      <c r="AD3495">
        <f>IF('01_Вводные'!$B$234="Да",'19_Расчет_аналитики'!AC3494*'01_Вводные'!$B$14,0)</f>
        <v/>
      </c>
      <c r="AE3495">
        <f>IF('01_Вводные'!$B$234="Да",'19_Расчет_аналитики'!AD3494*'01_Вводные'!$B$14,0)</f>
        <v/>
      </c>
      <c r="AF3495">
        <f>IF('01_Вводные'!$B$234="Да",'19_Расчет_аналитики'!AE3494*'01_Вводные'!$B$14,0)</f>
        <v/>
      </c>
      <c r="AG3495">
        <f>IF('01_Вводные'!$B$234="Да",'19_Расчет_аналитики'!AF3494*'01_Вводные'!$B$14,0)</f>
        <v/>
      </c>
      <c r="AH3495">
        <f>IF('01_Вводные'!$B$234="Да",'19_Расчет_аналитики'!AG3494*'01_Вводные'!$B$14,0)</f>
        <v/>
      </c>
      <c r="AI3495">
        <f>IF('01_Вводные'!$B$234="Да",'19_Расчет_аналитики'!AH3494*'01_Вводные'!$B$14,0)</f>
        <v/>
      </c>
      <c r="AJ3495">
        <f>IF('01_Вводные'!$B$234="Да",'19_Расчет_аналитики'!AI3494*'01_Вводные'!$B$14,0)</f>
        <v/>
      </c>
      <c r="AK3495">
        <f>IF('01_Вводные'!$B$234="Да",'19_Расчет_аналитики'!AJ3494*'01_Вводные'!$B$14,0)</f>
        <v/>
      </c>
      <c r="AL3495">
        <f>IF('01_Вводные'!$B$234="Да",'19_Расчет_аналитики'!AK3494*'01_Вводные'!$B$14,0)</f>
        <v/>
      </c>
      <c r="AM3495">
        <f>IF('01_Вводные'!$B$234="Да",'19_Расчет_аналитики'!AL3494*'01_Вводные'!$B$14,0)</f>
        <v/>
      </c>
      <c r="AN3495">
        <f>IF('01_Вводные'!$B$234="Да",'19_Расчет_аналитики'!AM3494*'01_Вводные'!$B$14,0)</f>
        <v/>
      </c>
      <c r="AO3495">
        <f>IF('01_Вводные'!$B$234="Да",'19_Расчет_аналитики'!AN3494*'01_Вводные'!$B$14,0)</f>
        <v/>
      </c>
      <c r="AP3495">
        <f>IF('01_Вводные'!$B$234="Да",'19_Расчет_аналитики'!AO3494*'01_Вводные'!$B$14,0)</f>
        <v/>
      </c>
      <c r="AQ3495">
        <f>IF('01_Вводные'!$B$234="Да",'19_Расчет_аналитики'!AP3494*'01_Вводные'!$B$14,0)</f>
        <v/>
      </c>
      <c r="AR3495">
        <f>IF('01_Вводные'!$B$234="Да",'19_Расчет_аналитики'!AQ3494*'01_Вводные'!$B$14,0)</f>
        <v/>
      </c>
      <c r="AS3495">
        <f>IF('01_Вводные'!$B$234="Да",'19_Расчет_аналитики'!AR3494*'01_Вводные'!$B$14,0)</f>
        <v/>
      </c>
      <c r="AT3495">
        <f>IF('01_Вводные'!$B$234="Да",'19_Расчет_аналитики'!AS3494*'01_Вводные'!$B$14,0)</f>
        <v/>
      </c>
      <c r="AU3495">
        <f>IF('01_Вводные'!$B$234="Да",'19_Расчет_аналитики'!AT3494*'01_Вводные'!$B$14,0)</f>
        <v/>
      </c>
      <c r="AV3495">
        <f>IF('01_Вводные'!$B$234="Да",'19_Расчет_аналитики'!AU3494*'01_Вводные'!$B$14,0)</f>
        <v/>
      </c>
      <c r="AW3495">
        <f>IF('01_Вводные'!$B$234="Да",'19_Расчет_аналитики'!AV3494*'01_Вводные'!$B$14,0)</f>
        <v/>
      </c>
      <c r="AX3495">
        <f>IF('01_Вводные'!$B$234="Да",'19_Расчет_аналитики'!AW3494*'01_Вводные'!$B$14,0)</f>
        <v/>
      </c>
      <c r="AY3495">
        <f>IF('01_Вводные'!$B$234="Да",'19_Расчет_аналитики'!AX3494*'01_Вводные'!$B$14,0)</f>
        <v/>
      </c>
      <c r="AZ3495">
        <f>IF('01_Вводные'!$B$234="Да",'19_Расчет_аналитики'!AY3494*'01_Вводные'!$B$14,0)</f>
        <v/>
      </c>
      <c r="BA3495">
        <f>IF('01_Вводные'!$B$234="Да",'19_Расчет_аналитики'!AZ3494*'01_Вводные'!$B$14,0)</f>
        <v/>
      </c>
      <c r="BB3495">
        <f>IF('01_Вводные'!$B$234="Да",'19_Расчет_аналитики'!BA3494*'01_Вводные'!$B$14,0)</f>
        <v/>
      </c>
      <c r="BC3495">
        <f>IF('01_Вводные'!$B$234="Да",'19_Расчет_аналитики'!BB3494*'01_Вводные'!$B$14,0)</f>
        <v/>
      </c>
      <c r="BD3495">
        <f>IF('01_Вводные'!$B$234="Да",'19_Расчет_аналитики'!BC3494*'01_Вводные'!$B$14,0)</f>
        <v/>
      </c>
      <c r="BE3495">
        <f>IF('01_Вводные'!$B$234="Да",'19_Расчет_аналитики'!BD3494*'01_Вводные'!$B$14,0)</f>
        <v/>
      </c>
      <c r="BF3495">
        <f>IF('01_Вводные'!$B$234="Да",'19_Расчет_аналитики'!BE3494*'01_Вводные'!$B$14,0)</f>
        <v/>
      </c>
      <c r="BG3495">
        <f>IF('01_Вводные'!$B$234="Да",'19_Расчет_аналитики'!BF3494*'01_Вводные'!$B$14,0)</f>
        <v/>
      </c>
      <c r="BH3495">
        <f>IF('01_Вводные'!$B$234="Да",'19_Расчет_аналитики'!BG3494*'01_Вводные'!$B$14,0)</f>
        <v/>
      </c>
      <c r="BI3495">
        <f>IF('01_Вводные'!$B$234="Да",'19_Расчет_аналитики'!BH3494*'01_Вводные'!$B$14,0)</f>
        <v/>
      </c>
      <c r="BJ3495">
        <f>IF('01_Вводные'!$B$234="Да",'19_Расчет_аналитики'!BI3494*'01_Вводные'!$B$14,0)</f>
        <v/>
      </c>
      <c r="BK3495">
        <f>IF('01_Вводные'!$B$234="Да",'19_Расчет_аналитики'!BJ3494*'01_Вводные'!$B$14,0)</f>
        <v/>
      </c>
      <c r="BL3495">
        <f>IF('01_Вводные'!$B$234="Да",'19_Расчет_аналитики'!BK3494*'01_Вводные'!$B$14,0)</f>
        <v/>
      </c>
      <c r="BM3495">
        <f>IF('01_Вводные'!$B$234="Да",'19_Расчет_аналитики'!BL3494*'01_Вводные'!$B$14,0)</f>
        <v/>
      </c>
      <c r="BN3495">
        <f>IF('01_Вводные'!$B$234="Да",'19_Расчет_аналитики'!BM3494*'01_Вводные'!$B$14,0)</f>
        <v/>
      </c>
      <c r="BO3495">
        <f>IF('01_Вводные'!$B$234="Да",'19_Расчет_аналитики'!BN3494*'01_Вводные'!$B$14,0)</f>
        <v/>
      </c>
    </row>
    <row r="3496">
      <c r="N3496">
        <f>'06_Сеть_и_дети'!N105</f>
        <v/>
      </c>
      <c r="O3496">
        <f>'06_Сеть_и_дети'!O105</f>
        <v/>
      </c>
      <c r="P3496">
        <f>'06_Сеть_и_дети'!P105</f>
        <v/>
      </c>
      <c r="Q3496">
        <f>'06_Сеть_и_дети'!Q105</f>
        <v/>
      </c>
      <c r="R3496">
        <f>'06_Сеть_и_дети'!R105</f>
        <v/>
      </c>
      <c r="S3496">
        <f>'06_Сеть_и_дети'!S105</f>
        <v/>
      </c>
      <c r="T3496">
        <f>'06_Сеть_и_дети'!T105</f>
        <v/>
      </c>
      <c r="U3496">
        <f>'06_Сеть_и_дети'!U105</f>
        <v/>
      </c>
      <c r="V3496">
        <f>'06_Сеть_и_дети'!V105</f>
        <v/>
      </c>
      <c r="W3496">
        <f>'06_Сеть_и_дети'!W105</f>
        <v/>
      </c>
      <c r="X3496">
        <f>'06_Сеть_и_дети'!X105</f>
        <v/>
      </c>
      <c r="Y3496">
        <f>'06_Сеть_и_дети'!Y105</f>
        <v/>
      </c>
      <c r="Z3496">
        <f>IF('01_Вводные'!$B$234="Да",SUM('19_Расчет_аналитики'!Y3495:Y3496)*'01_Вводные'!$B$14,0)</f>
        <v/>
      </c>
      <c r="AA3496">
        <f>IF('01_Вводные'!$B$234="Да",SUM('19_Расчет_аналитики'!Z3495:Z3496)*'01_Вводные'!$B$14,0)</f>
        <v/>
      </c>
      <c r="AB3496">
        <f>IF('01_Вводные'!$B$234="Да",SUM('19_Расчет_аналитики'!AA3495:AA3496)*'01_Вводные'!$B$14,0)</f>
        <v/>
      </c>
      <c r="AC3496">
        <f>IF('01_Вводные'!$B$234="Да",SUM('19_Расчет_аналитики'!AB3495:AB3496)*'01_Вводные'!$B$14,0)</f>
        <v/>
      </c>
      <c r="AD3496">
        <f>IF('01_Вводные'!$B$234="Да",SUM('19_Расчет_аналитики'!AC3495:AC3496)*'01_Вводные'!$B$14,0)</f>
        <v/>
      </c>
      <c r="AE3496">
        <f>IF('01_Вводные'!$B$234="Да",SUM('19_Расчет_аналитики'!AD3495:AD3496)*'01_Вводные'!$B$14,0)</f>
        <v/>
      </c>
      <c r="AF3496">
        <f>IF('01_Вводные'!$B$234="Да",SUM('19_Расчет_аналитики'!AE3495:AE3496)*'01_Вводные'!$B$14,0)</f>
        <v/>
      </c>
      <c r="AG3496">
        <f>IF('01_Вводные'!$B$234="Да",SUM('19_Расчет_аналитики'!AF3495:AF3496)*'01_Вводные'!$B$14,0)</f>
        <v/>
      </c>
      <c r="AH3496">
        <f>IF('01_Вводные'!$B$234="Да",SUM('19_Расчет_аналитики'!AG3495:AG3496)*'01_Вводные'!$B$14,0)</f>
        <v/>
      </c>
      <c r="AI3496">
        <f>IF('01_Вводные'!$B$234="Да",SUM('19_Расчет_аналитики'!AH3495:AH3496)*'01_Вводные'!$B$14,0)</f>
        <v/>
      </c>
      <c r="AJ3496">
        <f>IF('01_Вводные'!$B$234="Да",SUM('19_Расчет_аналитики'!AI3495:AI3496)*'01_Вводные'!$B$14,0)</f>
        <v/>
      </c>
      <c r="AK3496">
        <f>IF('01_Вводные'!$B$234="Да",SUM('19_Расчет_аналитики'!AJ3495:AJ3496)*'01_Вводные'!$B$14,0)</f>
        <v/>
      </c>
      <c r="AL3496">
        <f>IF('01_Вводные'!$B$234="Да",SUM('19_Расчет_аналитики'!AK3495:AK3496)*'01_Вводные'!$B$14,0)</f>
        <v/>
      </c>
      <c r="AM3496">
        <f>IF('01_Вводные'!$B$234="Да",SUM('19_Расчет_аналитики'!AL3495:AL3496)*'01_Вводные'!$B$14,0)</f>
        <v/>
      </c>
      <c r="AN3496">
        <f>IF('01_Вводные'!$B$234="Да",SUM('19_Расчет_аналитики'!AM3495:AM3496)*'01_Вводные'!$B$14,0)</f>
        <v/>
      </c>
      <c r="AO3496">
        <f>IF('01_Вводные'!$B$234="Да",SUM('19_Расчет_аналитики'!AN3495:AN3496)*'01_Вводные'!$B$14,0)</f>
        <v/>
      </c>
      <c r="AP3496">
        <f>IF('01_Вводные'!$B$234="Да",SUM('19_Расчет_аналитики'!AO3495:AO3496)*'01_Вводные'!$B$14,0)</f>
        <v/>
      </c>
      <c r="AQ3496">
        <f>IF('01_Вводные'!$B$234="Да",SUM('19_Расчет_аналитики'!AP3495:AP3496)*'01_Вводные'!$B$14,0)</f>
        <v/>
      </c>
      <c r="AR3496">
        <f>IF('01_Вводные'!$B$234="Да",SUM('19_Расчет_аналитики'!AQ3495:AQ3496)*'01_Вводные'!$B$14,0)</f>
        <v/>
      </c>
      <c r="AS3496">
        <f>IF('01_Вводные'!$B$234="Да",SUM('19_Расчет_аналитики'!AR3495:AR3496)*'01_Вводные'!$B$14,0)</f>
        <v/>
      </c>
      <c r="AT3496">
        <f>IF('01_Вводные'!$B$234="Да",SUM('19_Расчет_аналитики'!AS3495:AS3496)*'01_Вводные'!$B$14,0)</f>
        <v/>
      </c>
      <c r="AU3496">
        <f>IF('01_Вводные'!$B$234="Да",SUM('19_Расчет_аналитики'!AT3495:AT3496)*'01_Вводные'!$B$14,0)</f>
        <v/>
      </c>
      <c r="AV3496">
        <f>IF('01_Вводные'!$B$234="Да",SUM('19_Расчет_аналитики'!AU3495:AU3496)*'01_Вводные'!$B$14,0)</f>
        <v/>
      </c>
      <c r="AW3496">
        <f>IF('01_Вводные'!$B$234="Да",SUM('19_Расчет_аналитики'!AV3495:AV3496)*'01_Вводные'!$B$14,0)</f>
        <v/>
      </c>
      <c r="AX3496">
        <f>IF('01_Вводные'!$B$234="Да",SUM('19_Расчет_аналитики'!AW3495:AW3496)*'01_Вводные'!$B$14,0)</f>
        <v/>
      </c>
      <c r="AY3496">
        <f>IF('01_Вводные'!$B$234="Да",SUM('19_Расчет_аналитики'!AX3495:AX3496)*'01_Вводные'!$B$14,0)</f>
        <v/>
      </c>
      <c r="AZ3496">
        <f>IF('01_Вводные'!$B$234="Да",SUM('19_Расчет_аналитики'!AY3495:AY3496)*'01_Вводные'!$B$14,0)</f>
        <v/>
      </c>
      <c r="BA3496">
        <f>IF('01_Вводные'!$B$234="Да",SUM('19_Расчет_аналитики'!AZ3495:AZ3496)*'01_Вводные'!$B$14,0)</f>
        <v/>
      </c>
      <c r="BB3496">
        <f>IF('01_Вводные'!$B$234="Да",SUM('19_Расчет_аналитики'!BA3495:BA3496)*'01_Вводные'!$B$14,0)</f>
        <v/>
      </c>
      <c r="BC3496">
        <f>IF('01_Вводные'!$B$234="Да",SUM('19_Расчет_аналитики'!BB3495:BB3496)*'01_Вводные'!$B$14,0)</f>
        <v/>
      </c>
      <c r="BD3496">
        <f>IF('01_Вводные'!$B$234="Да",SUM('19_Расчет_аналитики'!BC3495:BC3496)*'01_Вводные'!$B$14,0)</f>
        <v/>
      </c>
      <c r="BE3496">
        <f>IF('01_Вводные'!$B$234="Да",SUM('19_Расчет_аналитики'!BD3495:BD3496)*'01_Вводные'!$B$14,0)</f>
        <v/>
      </c>
      <c r="BF3496">
        <f>IF('01_Вводные'!$B$234="Да",SUM('19_Расчет_аналитики'!BE3495:BE3496)*'01_Вводные'!$B$14,0)</f>
        <v/>
      </c>
      <c r="BG3496">
        <f>IF('01_Вводные'!$B$234="Да",SUM('19_Расчет_аналитики'!BF3495:BF3496)*'01_Вводные'!$B$14,0)</f>
        <v/>
      </c>
      <c r="BH3496">
        <f>IF('01_Вводные'!$B$234="Да",SUM('19_Расчет_аналитики'!BG3495:BG3496)*'01_Вводные'!$B$14,0)</f>
        <v/>
      </c>
      <c r="BI3496">
        <f>IF('01_Вводные'!$B$234="Да",SUM('19_Расчет_аналитики'!BH3495:BH3496)*'01_Вводные'!$B$14,0)</f>
        <v/>
      </c>
      <c r="BJ3496">
        <f>IF('01_Вводные'!$B$234="Да",SUM('19_Расчет_аналитики'!BI3495:BI3496)*'01_Вводные'!$B$14,0)</f>
        <v/>
      </c>
      <c r="BK3496">
        <f>IF('01_Вводные'!$B$234="Да",SUM('19_Расчет_аналитики'!BJ3495:BJ3496)*'01_Вводные'!$B$14,0)</f>
        <v/>
      </c>
      <c r="BL3496">
        <f>IF('01_Вводные'!$B$234="Да",SUM('19_Расчет_аналитики'!BK3495:BK3496)*'01_Вводные'!$B$14,0)</f>
        <v/>
      </c>
      <c r="BM3496">
        <f>IF('01_Вводные'!$B$234="Да",SUM('19_Расчет_аналитики'!BL3495:BL3496)*'01_Вводные'!$B$14,0)</f>
        <v/>
      </c>
      <c r="BN3496">
        <f>IF('01_Вводные'!$B$234="Да",SUM('19_Расчет_аналитики'!BM3495:BM3496)*'01_Вводные'!$B$14,0)</f>
        <v/>
      </c>
      <c r="BO3496">
        <f>IF('01_Вводные'!$B$234="Да",SUM('19_Расчет_аналитики'!BN3495:BN3496)*'01_Вводные'!$B$14,0)</f>
        <v/>
      </c>
    </row>
    <row r="3497"/>
    <row r="3498"/>
    <row r="3499"/>
    <row r="3500">
      <c r="B3500">
        <f>IF('01_Вводные'!$B$234="Да",IF(OR('19_Расчет_аналитики'!B3472=0,1&lt;='01_Вводные'!$B$297),0,'19_Расчет_аналитики'!B3472*IF('01_Вводные'!$B$239="Да",MeanMinAge01+'19_Расчет_аналитики'!B3595*SUMIF(ThresholdAge01,"&lt;"&amp;'19_Расчет_аналитики'!B3595,WeightedRevAge01)-SUMIF(ThresholdAge01,"&lt;"&amp;'19_Расчет_аналитики'!B3595,WeightedMinAge01),MAX(CapacityAge01*'01_Вводные'!$B$218*'19_Расчет_аналитики'!B3595,MeanMinAge01))),0)</f>
        <v/>
      </c>
      <c r="C3500">
        <f>IF('01_Вводные'!$B$234="Да",IF(OR('19_Расчет_аналитики'!C3472=0,1&lt;='01_Вводные'!$B$297),0,'19_Расчет_аналитики'!C3472*IF('01_Вводные'!$B$239="Да",MeanMinAge01+'19_Расчет_аналитики'!C3595*SUMIF(ThresholdAge01,"&lt;"&amp;'19_Расчет_аналитики'!C3595,WeightedRevAge01)-SUMIF(ThresholdAge01,"&lt;"&amp;'19_Расчет_аналитики'!C3595,WeightedMinAge01),MAX(CapacityAge01*'01_Вводные'!$B$218*'19_Расчет_аналитики'!C3595,MeanMinAge01))),0)</f>
        <v/>
      </c>
      <c r="D3500">
        <f>IF('01_Вводные'!$B$234="Да",IF(OR('19_Расчет_аналитики'!D3472=0,1&lt;='01_Вводные'!$B$297),0,'19_Расчет_аналитики'!D3472*IF('01_Вводные'!$B$239="Да",MeanMinAge01+'19_Расчет_аналитики'!D3595*SUMIF(ThresholdAge01,"&lt;"&amp;'19_Расчет_аналитики'!D3595,WeightedRevAge01)-SUMIF(ThresholdAge01,"&lt;"&amp;'19_Расчет_аналитики'!D3595,WeightedMinAge01),MAX(CapacityAge01*'01_Вводные'!$B$218*'19_Расчет_аналитики'!D3595,MeanMinAge01))),0)</f>
        <v/>
      </c>
      <c r="E3500">
        <f>IF('01_Вводные'!$B$234="Да",IF(OR('19_Расчет_аналитики'!E3472=0,1&lt;='01_Вводные'!$B$297),0,'19_Расчет_аналитики'!E3472*IF('01_Вводные'!$B$239="Да",MeanMinAge01+'19_Расчет_аналитики'!E3595*SUMIF(ThresholdAge01,"&lt;"&amp;'19_Расчет_аналитики'!E3595,WeightedRevAge01)-SUMIF(ThresholdAge01,"&lt;"&amp;'19_Расчет_аналитики'!E3595,WeightedMinAge01),MAX(CapacityAge01*'01_Вводные'!$B$218*'19_Расчет_аналитики'!E3595,MeanMinAge01))),0)</f>
        <v/>
      </c>
      <c r="F3500">
        <f>IF('01_Вводные'!$B$234="Да",IF(OR('19_Расчет_аналитики'!F3472=0,1&lt;='01_Вводные'!$B$297),0,'19_Расчет_аналитики'!F3472*IF('01_Вводные'!$B$239="Да",MeanMinAge01+'19_Расчет_аналитики'!F3595*SUMIF(ThresholdAge01,"&lt;"&amp;'19_Расчет_аналитики'!F3595,WeightedRevAge01)-SUMIF(ThresholdAge01,"&lt;"&amp;'19_Расчет_аналитики'!F3595,WeightedMinAge01),MAX(CapacityAge01*'01_Вводные'!$B$218*'19_Расчет_аналитики'!F3595,MeanMinAge01))),0)</f>
        <v/>
      </c>
      <c r="G3500">
        <f>IF('01_Вводные'!$B$234="Да",IF(OR('19_Расчет_аналитики'!G3472=0,1&lt;='01_Вводные'!$B$297),0,'19_Расчет_аналитики'!G3472*IF('01_Вводные'!$B$239="Да",MeanMinAge01+'19_Расчет_аналитики'!G3595*SUMIF(ThresholdAge01,"&lt;"&amp;'19_Расчет_аналитики'!G3595,WeightedRevAge01)-SUMIF(ThresholdAge01,"&lt;"&amp;'19_Расчет_аналитики'!G3595,WeightedMinAge01),MAX(CapacityAge01*'01_Вводные'!$B$218*'19_Расчет_аналитики'!G3595,MeanMinAge01))),0)</f>
        <v/>
      </c>
      <c r="H3500">
        <f>IF('01_Вводные'!$B$234="Да",IF(OR('19_Расчет_аналитики'!H3472=0,1&lt;='01_Вводные'!$B$297),0,'19_Расчет_аналитики'!H3472*IF('01_Вводные'!$B$239="Да",MeanMinAge01+'19_Расчет_аналитики'!H3595*SUMIF(ThresholdAge01,"&lt;"&amp;'19_Расчет_аналитики'!H3595,WeightedRevAge01)-SUMIF(ThresholdAge01,"&lt;"&amp;'19_Расчет_аналитики'!H3595,WeightedMinAge01),MAX(CapacityAge01*'01_Вводные'!$B$218*'19_Расчет_аналитики'!H3595,MeanMinAge01))),0)</f>
        <v/>
      </c>
      <c r="I3500">
        <f>IF('01_Вводные'!$B$234="Да",IF(OR('19_Расчет_аналитики'!I3472=0,1&lt;='01_Вводные'!$B$297),0,'19_Расчет_аналитики'!I3472*IF('01_Вводные'!$B$239="Да",MeanMinAge01+'19_Расчет_аналитики'!I3595*SUMIF(ThresholdAge01,"&lt;"&amp;'19_Расчет_аналитики'!I3595,WeightedRevAge01)-SUMIF(ThresholdAge01,"&lt;"&amp;'19_Расчет_аналитики'!I3595,WeightedMinAge01),MAX(CapacityAge01*'01_Вводные'!$B$218*'19_Расчет_аналитики'!I3595,MeanMinAge01))),0)</f>
        <v/>
      </c>
      <c r="J3500">
        <f>IF('01_Вводные'!$B$234="Да",IF(OR('19_Расчет_аналитики'!J3472=0,1&lt;='01_Вводные'!$B$297),0,'19_Расчет_аналитики'!J3472*IF('01_Вводные'!$B$239="Да",MeanMinAge01+'19_Расчет_аналитики'!J3595*SUMIF(ThresholdAge01,"&lt;"&amp;'19_Расчет_аналитики'!J3595,WeightedRevAge01)-SUMIF(ThresholdAge01,"&lt;"&amp;'19_Расчет_аналитики'!J3595,WeightedMinAge01),MAX(CapacityAge01*'01_Вводные'!$B$218*'19_Расчет_аналитики'!J3595,MeanMinAge01))),0)</f>
        <v/>
      </c>
      <c r="K3500">
        <f>IF('01_Вводные'!$B$234="Да",IF(OR('19_Расчет_аналитики'!K3472=0,1&lt;='01_Вводные'!$B$297),0,'19_Расчет_аналитики'!K3472*IF('01_Вводные'!$B$239="Да",MeanMinAge01+'19_Расчет_аналитики'!K3595*SUMIF(ThresholdAge01,"&lt;"&amp;'19_Расчет_аналитики'!K3595,WeightedRevAge01)-SUMIF(ThresholdAge01,"&lt;"&amp;'19_Расчет_аналитики'!K3595,WeightedMinAge01),MAX(CapacityAge01*'01_Вводные'!$B$218*'19_Расчет_аналитики'!K3595,MeanMinAge01))),0)</f>
        <v/>
      </c>
      <c r="L3500">
        <f>IF('01_Вводные'!$B$234="Да",IF(OR('19_Расчет_аналитики'!L3472=0,1&lt;='01_Вводные'!$B$297),0,'19_Расчет_аналитики'!L3472*IF('01_Вводные'!$B$239="Да",MeanMinAge01+'19_Расчет_аналитики'!L3595*SUMIF(ThresholdAge01,"&lt;"&amp;'19_Расчет_аналитики'!L3595,WeightedRevAge01)-SUMIF(ThresholdAge01,"&lt;"&amp;'19_Расчет_аналитики'!L3595,WeightedMinAge01),MAX(CapacityAge01*'01_Вводные'!$B$218*'19_Расчет_аналитики'!L3595,MeanMinAge01))),0)</f>
        <v/>
      </c>
      <c r="M3500">
        <f>IF('01_Вводные'!$B$234="Да",IF(OR('19_Расчет_аналитики'!M3472=0,1&lt;='01_Вводные'!$B$297),0,'19_Расчет_аналитики'!M3472*IF('01_Вводные'!$B$239="Да",MeanMinAge01+'19_Расчет_аналитики'!M3595*SUMIF(ThresholdAge01,"&lt;"&amp;'19_Расчет_аналитики'!M3595,WeightedRevAge01)-SUMIF(ThresholdAge01,"&lt;"&amp;'19_Расчет_аналитики'!M3595,WeightedMinAge01),MAX(CapacityAge01*'01_Вводные'!$B$218*'19_Расчет_аналитики'!M3595,MeanMinAge01))),0)</f>
        <v/>
      </c>
      <c r="N3500">
        <f>IF('01_Вводные'!$B$234="Да",IF(OR('19_Расчет_аналитики'!N3472=0,1&lt;='01_Вводные'!$B$297),0,'19_Расчет_аналитики'!N3472*IF('01_Вводные'!$B$239="Да",MeanMinAge01+'19_Расчет_аналитики'!N3595*SUMIF(ThresholdAge01,"&lt;"&amp;'19_Расчет_аналитики'!N3595,WeightedRevAge01)-SUMIF(ThresholdAge01,"&lt;"&amp;'19_Расчет_аналитики'!N3595,WeightedMinAge01),MAX(CapacityAge01*'01_Вводные'!$B$218*'19_Расчет_аналитики'!N3595,MeanMinAge01))),0)</f>
        <v/>
      </c>
      <c r="O3500">
        <f>IF('01_Вводные'!$B$234="Да",IF(OR('19_Расчет_аналитики'!O3472=0,1&lt;='01_Вводные'!$B$297),0,'19_Расчет_аналитики'!O3472*IF('01_Вводные'!$B$239="Да",MeanMinAge01+'19_Расчет_аналитики'!O3595*SUMIF(ThresholdAge01,"&lt;"&amp;'19_Расчет_аналитики'!O3595,WeightedRevAge01)-SUMIF(ThresholdAge01,"&lt;"&amp;'19_Расчет_аналитики'!O3595,WeightedMinAge01),MAX(CapacityAge01*'01_Вводные'!$B$218*'19_Расчет_аналитики'!O3595,MeanMinAge01))),0)</f>
        <v/>
      </c>
      <c r="P3500">
        <f>IF('01_Вводные'!$B$234="Да",IF(OR('19_Расчет_аналитики'!P3472=0,1&lt;='01_Вводные'!$B$297),0,'19_Расчет_аналитики'!P3472*IF('01_Вводные'!$B$239="Да",MeanMinAge01+'19_Расчет_аналитики'!P3595*SUMIF(ThresholdAge01,"&lt;"&amp;'19_Расчет_аналитики'!P3595,WeightedRevAge01)-SUMIF(ThresholdAge01,"&lt;"&amp;'19_Расчет_аналитики'!P3595,WeightedMinAge01),MAX(CapacityAge01*'01_Вводные'!$B$218*'19_Расчет_аналитики'!P3595,MeanMinAge01))),0)</f>
        <v/>
      </c>
      <c r="Q3500">
        <f>IF('01_Вводные'!$B$234="Да",IF(OR('19_Расчет_аналитики'!Q3472=0,1&lt;='01_Вводные'!$B$297),0,'19_Расчет_аналитики'!Q3472*IF('01_Вводные'!$B$239="Да",MeanMinAge01+'19_Расчет_аналитики'!Q3595*SUMIF(ThresholdAge01,"&lt;"&amp;'19_Расчет_аналитики'!Q3595,WeightedRevAge01)-SUMIF(ThresholdAge01,"&lt;"&amp;'19_Расчет_аналитики'!Q3595,WeightedMinAge01),MAX(CapacityAge01*'01_Вводные'!$B$218*'19_Расчет_аналитики'!Q3595,MeanMinAge01))),0)</f>
        <v/>
      </c>
      <c r="R3500">
        <f>IF('01_Вводные'!$B$234="Да",IF(OR('19_Расчет_аналитики'!R3472=0,1&lt;='01_Вводные'!$B$297),0,'19_Расчет_аналитики'!R3472*IF('01_Вводные'!$B$239="Да",MeanMinAge01+'19_Расчет_аналитики'!R3595*SUMIF(ThresholdAge01,"&lt;"&amp;'19_Расчет_аналитики'!R3595,WeightedRevAge01)-SUMIF(ThresholdAge01,"&lt;"&amp;'19_Расчет_аналитики'!R3595,WeightedMinAge01),MAX(CapacityAge01*'01_Вводные'!$B$218*'19_Расчет_аналитики'!R3595,MeanMinAge01))),0)</f>
        <v/>
      </c>
      <c r="S3500">
        <f>IF('01_Вводные'!$B$234="Да",IF(OR('19_Расчет_аналитики'!S3472=0,1&lt;='01_Вводные'!$B$297),0,'19_Расчет_аналитики'!S3472*IF('01_Вводные'!$B$239="Да",MeanMinAge01+'19_Расчет_аналитики'!S3595*SUMIF(ThresholdAge01,"&lt;"&amp;'19_Расчет_аналитики'!S3595,WeightedRevAge01)-SUMIF(ThresholdAge01,"&lt;"&amp;'19_Расчет_аналитики'!S3595,WeightedMinAge01),MAX(CapacityAge01*'01_Вводные'!$B$218*'19_Расчет_аналитики'!S3595,MeanMinAge01))),0)</f>
        <v/>
      </c>
      <c r="T3500">
        <f>IF('01_Вводные'!$B$234="Да",IF(OR('19_Расчет_аналитики'!T3472=0,1&lt;='01_Вводные'!$B$297),0,'19_Расчет_аналитики'!T3472*IF('01_Вводные'!$B$239="Да",MeanMinAge01+'19_Расчет_аналитики'!T3595*SUMIF(ThresholdAge01,"&lt;"&amp;'19_Расчет_аналитики'!T3595,WeightedRevAge01)-SUMIF(ThresholdAge01,"&lt;"&amp;'19_Расчет_аналитики'!T3595,WeightedMinAge01),MAX(CapacityAge01*'01_Вводные'!$B$218*'19_Расчет_аналитики'!T3595,MeanMinAge01))),0)</f>
        <v/>
      </c>
      <c r="U3500">
        <f>IF('01_Вводные'!$B$234="Да",IF(OR('19_Расчет_аналитики'!U3472=0,1&lt;='01_Вводные'!$B$297),0,'19_Расчет_аналитики'!U3472*IF('01_Вводные'!$B$239="Да",MeanMinAge01+'19_Расчет_аналитики'!U3595*SUMIF(ThresholdAge01,"&lt;"&amp;'19_Расчет_аналитики'!U3595,WeightedRevAge01)-SUMIF(ThresholdAge01,"&lt;"&amp;'19_Расчет_аналитики'!U3595,WeightedMinAge01),MAX(CapacityAge01*'01_Вводные'!$B$218*'19_Расчет_аналитики'!U3595,MeanMinAge01))),0)</f>
        <v/>
      </c>
      <c r="V3500">
        <f>IF('01_Вводные'!$B$234="Да",IF(OR('19_Расчет_аналитики'!V3472=0,1&lt;='01_Вводные'!$B$297),0,'19_Расчет_аналитики'!V3472*IF('01_Вводные'!$B$239="Да",MeanMinAge01+'19_Расчет_аналитики'!V3595*SUMIF(ThresholdAge01,"&lt;"&amp;'19_Расчет_аналитики'!V3595,WeightedRevAge01)-SUMIF(ThresholdAge01,"&lt;"&amp;'19_Расчет_аналитики'!V3595,WeightedMinAge01),MAX(CapacityAge01*'01_Вводные'!$B$218*'19_Расчет_аналитики'!V3595,MeanMinAge01))),0)</f>
        <v/>
      </c>
      <c r="W3500">
        <f>IF('01_Вводные'!$B$234="Да",IF(OR('19_Расчет_аналитики'!W3472=0,1&lt;='01_Вводные'!$B$297),0,'19_Расчет_аналитики'!W3472*IF('01_Вводные'!$B$239="Да",MeanMinAge01+'19_Расчет_аналитики'!W3595*SUMIF(ThresholdAge01,"&lt;"&amp;'19_Расчет_аналитики'!W3595,WeightedRevAge01)-SUMIF(ThresholdAge01,"&lt;"&amp;'19_Расчет_аналитики'!W3595,WeightedMinAge01),MAX(CapacityAge01*'01_Вводные'!$B$218*'19_Расчет_аналитики'!W3595,MeanMinAge01))),0)</f>
        <v/>
      </c>
      <c r="X3500">
        <f>IF('01_Вводные'!$B$234="Да",IF(OR('19_Расчет_аналитики'!X3472=0,1&lt;='01_Вводные'!$B$297),0,'19_Расчет_аналитики'!X3472*IF('01_Вводные'!$B$239="Да",MeanMinAge01+'19_Расчет_аналитики'!X3595*SUMIF(ThresholdAge01,"&lt;"&amp;'19_Расчет_аналитики'!X3595,WeightedRevAge01)-SUMIF(ThresholdAge01,"&lt;"&amp;'19_Расчет_аналитики'!X3595,WeightedMinAge01),MAX(CapacityAge01*'01_Вводные'!$B$218*'19_Расчет_аналитики'!X3595,MeanMinAge01))),0)</f>
        <v/>
      </c>
      <c r="Y3500">
        <f>IF('01_Вводные'!$B$234="Да",IF(OR('19_Расчет_аналитики'!Y3472=0,1&lt;='01_Вводные'!$B$297),0,'19_Расчет_аналитики'!Y3472*IF('01_Вводные'!$B$239="Да",MeanMinAge01+'19_Расчет_аналитики'!Y3595*SUMIF(ThresholdAge01,"&lt;"&amp;'19_Расчет_аналитики'!Y3595,WeightedRevAge01)-SUMIF(ThresholdAge01,"&lt;"&amp;'19_Расчет_аналитики'!Y3595,WeightedMinAge01),MAX(CapacityAge01*'01_Вводные'!$B$218*'19_Расчет_аналитики'!Y3595,MeanMinAge01))),0)</f>
        <v/>
      </c>
      <c r="Z3500">
        <f>IF('01_Вводные'!$B$234="Да",IF(OR('19_Расчет_аналитики'!Z3472=0,1&lt;='01_Вводные'!$B$297),0,'19_Расчет_аналитики'!Z3472*IF('01_Вводные'!$B$239="Да",MeanMinAge01+'19_Расчет_аналитики'!Z3595*SUMIF(ThresholdAge01,"&lt;"&amp;'19_Расчет_аналитики'!Z3595,WeightedRevAge01)-SUMIF(ThresholdAge01,"&lt;"&amp;'19_Расчет_аналитики'!Z3595,WeightedMinAge01),MAX(CapacityAge01*'01_Вводные'!$B$218*'19_Расчет_аналитики'!Z3595,MeanMinAge01))),0)</f>
        <v/>
      </c>
      <c r="AA3500">
        <f>IF('01_Вводные'!$B$234="Да",IF(OR('19_Расчет_аналитики'!AA3472=0,1&lt;='01_Вводные'!$B$297),0,'19_Расчет_аналитики'!AA3472*IF('01_Вводные'!$B$239="Да",MeanMinAge01+'19_Расчет_аналитики'!AA3595*SUMIF(ThresholdAge01,"&lt;"&amp;'19_Расчет_аналитики'!AA3595,WeightedRevAge01)-SUMIF(ThresholdAge01,"&lt;"&amp;'19_Расчет_аналитики'!AA3595,WeightedMinAge01),MAX(CapacityAge01*'01_Вводные'!$B$218*'19_Расчет_аналитики'!AA3595,MeanMinAge01))),0)</f>
        <v/>
      </c>
      <c r="AB3500">
        <f>IF('01_Вводные'!$B$234="Да",IF(OR('19_Расчет_аналитики'!AB3472=0,1&lt;='01_Вводные'!$B$297),0,'19_Расчет_аналитики'!AB3472*IF('01_Вводные'!$B$239="Да",MeanMinAge01+'19_Расчет_аналитики'!AB3595*SUMIF(ThresholdAge01,"&lt;"&amp;'19_Расчет_аналитики'!AB3595,WeightedRevAge01)-SUMIF(ThresholdAge01,"&lt;"&amp;'19_Расчет_аналитики'!AB3595,WeightedMinAge01),MAX(CapacityAge01*'01_Вводные'!$B$218*'19_Расчет_аналитики'!AB3595,MeanMinAge01))),0)</f>
        <v/>
      </c>
      <c r="AC3500">
        <f>IF('01_Вводные'!$B$234="Да",IF(OR('19_Расчет_аналитики'!AC3472=0,1&lt;='01_Вводные'!$B$297),0,'19_Расчет_аналитики'!AC3472*IF('01_Вводные'!$B$239="Да",MeanMinAge01+'19_Расчет_аналитики'!AC3595*SUMIF(ThresholdAge01,"&lt;"&amp;'19_Расчет_аналитики'!AC3595,WeightedRevAge01)-SUMIF(ThresholdAge01,"&lt;"&amp;'19_Расчет_аналитики'!AC3595,WeightedMinAge01),MAX(CapacityAge01*'01_Вводные'!$B$218*'19_Расчет_аналитики'!AC3595,MeanMinAge01))),0)</f>
        <v/>
      </c>
      <c r="AD3500">
        <f>IF('01_Вводные'!$B$234="Да",IF(OR('19_Расчет_аналитики'!AD3472=0,1&lt;='01_Вводные'!$B$297),0,'19_Расчет_аналитики'!AD3472*IF('01_Вводные'!$B$239="Да",MeanMinAge01+'19_Расчет_аналитики'!AD3595*SUMIF(ThresholdAge01,"&lt;"&amp;'19_Расчет_аналитики'!AD3595,WeightedRevAge01)-SUMIF(ThresholdAge01,"&lt;"&amp;'19_Расчет_аналитики'!AD3595,WeightedMinAge01),MAX(CapacityAge01*'01_Вводные'!$B$218*'19_Расчет_аналитики'!AD3595,MeanMinAge01))),0)</f>
        <v/>
      </c>
      <c r="AE3500">
        <f>IF('01_Вводные'!$B$234="Да",IF(OR('19_Расчет_аналитики'!AE3472=0,1&lt;='01_Вводные'!$B$297),0,'19_Расчет_аналитики'!AE3472*IF('01_Вводные'!$B$239="Да",MeanMinAge01+'19_Расчет_аналитики'!AE3595*SUMIF(ThresholdAge01,"&lt;"&amp;'19_Расчет_аналитики'!AE3595,WeightedRevAge01)-SUMIF(ThresholdAge01,"&lt;"&amp;'19_Расчет_аналитики'!AE3595,WeightedMinAge01),MAX(CapacityAge01*'01_Вводные'!$B$218*'19_Расчет_аналитики'!AE3595,MeanMinAge01))),0)</f>
        <v/>
      </c>
      <c r="AF3500">
        <f>IF('01_Вводные'!$B$234="Да",IF(OR('19_Расчет_аналитики'!AF3472=0,1&lt;='01_Вводные'!$B$297),0,'19_Расчет_аналитики'!AF3472*IF('01_Вводные'!$B$239="Да",MeanMinAge01+'19_Расчет_аналитики'!AF3595*SUMIF(ThresholdAge01,"&lt;"&amp;'19_Расчет_аналитики'!AF3595,WeightedRevAge01)-SUMIF(ThresholdAge01,"&lt;"&amp;'19_Расчет_аналитики'!AF3595,WeightedMinAge01),MAX(CapacityAge01*'01_Вводные'!$B$218*'19_Расчет_аналитики'!AF3595,MeanMinAge01))),0)</f>
        <v/>
      </c>
      <c r="AG3500">
        <f>IF('01_Вводные'!$B$234="Да",IF(OR('19_Расчет_аналитики'!AG3472=0,1&lt;='01_Вводные'!$B$297),0,'19_Расчет_аналитики'!AG3472*IF('01_Вводные'!$B$239="Да",MeanMinAge01+'19_Расчет_аналитики'!AG3595*SUMIF(ThresholdAge01,"&lt;"&amp;'19_Расчет_аналитики'!AG3595,WeightedRevAge01)-SUMIF(ThresholdAge01,"&lt;"&amp;'19_Расчет_аналитики'!AG3595,WeightedMinAge01),MAX(CapacityAge01*'01_Вводные'!$B$218*'19_Расчет_аналитики'!AG3595,MeanMinAge01))),0)</f>
        <v/>
      </c>
      <c r="AH3500">
        <f>IF('01_Вводные'!$B$234="Да",IF(OR('19_Расчет_аналитики'!AH3472=0,1&lt;='01_Вводные'!$B$297),0,'19_Расчет_аналитики'!AH3472*IF('01_Вводные'!$B$239="Да",MeanMinAge01+'19_Расчет_аналитики'!AH3595*SUMIF(ThresholdAge01,"&lt;"&amp;'19_Расчет_аналитики'!AH3595,WeightedRevAge01)-SUMIF(ThresholdAge01,"&lt;"&amp;'19_Расчет_аналитики'!AH3595,WeightedMinAge01),MAX(CapacityAge01*'01_Вводные'!$B$218*'19_Расчет_аналитики'!AH3595,MeanMinAge01))),0)</f>
        <v/>
      </c>
      <c r="AI3500">
        <f>IF('01_Вводные'!$B$234="Да",IF(OR('19_Расчет_аналитики'!AI3472=0,1&lt;='01_Вводные'!$B$297),0,'19_Расчет_аналитики'!AI3472*IF('01_Вводные'!$B$239="Да",MeanMinAge01+'19_Расчет_аналитики'!AI3595*SUMIF(ThresholdAge01,"&lt;"&amp;'19_Расчет_аналитики'!AI3595,WeightedRevAge01)-SUMIF(ThresholdAge01,"&lt;"&amp;'19_Расчет_аналитики'!AI3595,WeightedMinAge01),MAX(CapacityAge01*'01_Вводные'!$B$218*'19_Расчет_аналитики'!AI3595,MeanMinAge01))),0)</f>
        <v/>
      </c>
      <c r="AJ3500">
        <f>IF('01_Вводные'!$B$234="Да",IF(OR('19_Расчет_аналитики'!AJ3472=0,1&lt;='01_Вводные'!$B$297),0,'19_Расчет_аналитики'!AJ3472*IF('01_Вводные'!$B$239="Да",MeanMinAge01+'19_Расчет_аналитики'!AJ3595*SUMIF(ThresholdAge01,"&lt;"&amp;'19_Расчет_аналитики'!AJ3595,WeightedRevAge01)-SUMIF(ThresholdAge01,"&lt;"&amp;'19_Расчет_аналитики'!AJ3595,WeightedMinAge01),MAX(CapacityAge01*'01_Вводные'!$B$218*'19_Расчет_аналитики'!AJ3595,MeanMinAge01))),0)</f>
        <v/>
      </c>
      <c r="AK3500">
        <f>IF('01_Вводные'!$B$234="Да",IF(OR('19_Расчет_аналитики'!AK3472=0,1&lt;='01_Вводные'!$B$297),0,'19_Расчет_аналитики'!AK3472*IF('01_Вводные'!$B$239="Да",MeanMinAge01+'19_Расчет_аналитики'!AK3595*SUMIF(ThresholdAge01,"&lt;"&amp;'19_Расчет_аналитики'!AK3595,WeightedRevAge01)-SUMIF(ThresholdAge01,"&lt;"&amp;'19_Расчет_аналитики'!AK3595,WeightedMinAge01),MAX(CapacityAge01*'01_Вводные'!$B$218*'19_Расчет_аналитики'!AK3595,MeanMinAge01))),0)</f>
        <v/>
      </c>
      <c r="AL3500">
        <f>IF('01_Вводные'!$B$234="Да",IF(OR('19_Расчет_аналитики'!AL3472=0,1&lt;='01_Вводные'!$B$297),0,'19_Расчет_аналитики'!AL3472*IF('01_Вводные'!$B$239="Да",MeanMinAge01+'19_Расчет_аналитики'!AL3595*SUMIF(ThresholdAge01,"&lt;"&amp;'19_Расчет_аналитики'!AL3595,WeightedRevAge01)-SUMIF(ThresholdAge01,"&lt;"&amp;'19_Расчет_аналитики'!AL3595,WeightedMinAge01),MAX(CapacityAge01*'01_Вводные'!$B$218*'19_Расчет_аналитики'!AL3595,MeanMinAge01))),0)</f>
        <v/>
      </c>
      <c r="AM3500">
        <f>IF('01_Вводные'!$B$234="Да",IF(OR('19_Расчет_аналитики'!AM3472=0,1&lt;='01_Вводные'!$B$297),0,'19_Расчет_аналитики'!AM3472*IF('01_Вводные'!$B$239="Да",MeanMinAge01+'19_Расчет_аналитики'!AM3595*SUMIF(ThresholdAge01,"&lt;"&amp;'19_Расчет_аналитики'!AM3595,WeightedRevAge01)-SUMIF(ThresholdAge01,"&lt;"&amp;'19_Расчет_аналитики'!AM3595,WeightedMinAge01),MAX(CapacityAge01*'01_Вводные'!$B$218*'19_Расчет_аналитики'!AM3595,MeanMinAge01))),0)</f>
        <v/>
      </c>
      <c r="AN3500">
        <f>IF('01_Вводные'!$B$234="Да",IF(OR('19_Расчет_аналитики'!AN3472=0,1&lt;='01_Вводные'!$B$297),0,'19_Расчет_аналитики'!AN3472*IF('01_Вводные'!$B$239="Да",MeanMinAge01+'19_Расчет_аналитики'!AN3595*SUMIF(ThresholdAge01,"&lt;"&amp;'19_Расчет_аналитики'!AN3595,WeightedRevAge01)-SUMIF(ThresholdAge01,"&lt;"&amp;'19_Расчет_аналитики'!AN3595,WeightedMinAge01),MAX(CapacityAge01*'01_Вводные'!$B$218*'19_Расчет_аналитики'!AN3595,MeanMinAge01))),0)</f>
        <v/>
      </c>
      <c r="AO3500">
        <f>IF('01_Вводные'!$B$234="Да",IF(OR('19_Расчет_аналитики'!AO3472=0,1&lt;='01_Вводные'!$B$297),0,'19_Расчет_аналитики'!AO3472*IF('01_Вводные'!$B$239="Да",MeanMinAge01+'19_Расчет_аналитики'!AO3595*SUMIF(ThresholdAge01,"&lt;"&amp;'19_Расчет_аналитики'!AO3595,WeightedRevAge01)-SUMIF(ThresholdAge01,"&lt;"&amp;'19_Расчет_аналитики'!AO3595,WeightedMinAge01),MAX(CapacityAge01*'01_Вводные'!$B$218*'19_Расчет_аналитики'!AO3595,MeanMinAge01))),0)</f>
        <v/>
      </c>
      <c r="AP3500">
        <f>IF('01_Вводные'!$B$234="Да",IF(OR('19_Расчет_аналитики'!AP3472=0,1&lt;='01_Вводные'!$B$297),0,'19_Расчет_аналитики'!AP3472*IF('01_Вводные'!$B$239="Да",MeanMinAge01+'19_Расчет_аналитики'!AP3595*SUMIF(ThresholdAge01,"&lt;"&amp;'19_Расчет_аналитики'!AP3595,WeightedRevAge01)-SUMIF(ThresholdAge01,"&lt;"&amp;'19_Расчет_аналитики'!AP3595,WeightedMinAge01),MAX(CapacityAge01*'01_Вводные'!$B$218*'19_Расчет_аналитики'!AP3595,MeanMinAge01))),0)</f>
        <v/>
      </c>
      <c r="AQ3500">
        <f>IF('01_Вводные'!$B$234="Да",IF(OR('19_Расчет_аналитики'!AQ3472=0,1&lt;='01_Вводные'!$B$297),0,'19_Расчет_аналитики'!AQ3472*IF('01_Вводные'!$B$239="Да",MeanMinAge01+'19_Расчет_аналитики'!AQ3595*SUMIF(ThresholdAge01,"&lt;"&amp;'19_Расчет_аналитики'!AQ3595,WeightedRevAge01)-SUMIF(ThresholdAge01,"&lt;"&amp;'19_Расчет_аналитики'!AQ3595,WeightedMinAge01),MAX(CapacityAge01*'01_Вводные'!$B$218*'19_Расчет_аналитики'!AQ3595,MeanMinAge01))),0)</f>
        <v/>
      </c>
      <c r="AR3500">
        <f>IF('01_Вводные'!$B$234="Да",IF(OR('19_Расчет_аналитики'!AR3472=0,1&lt;='01_Вводные'!$B$297),0,'19_Расчет_аналитики'!AR3472*IF('01_Вводные'!$B$239="Да",MeanMinAge01+'19_Расчет_аналитики'!AR3595*SUMIF(ThresholdAge01,"&lt;"&amp;'19_Расчет_аналитики'!AR3595,WeightedRevAge01)-SUMIF(ThresholdAge01,"&lt;"&amp;'19_Расчет_аналитики'!AR3595,WeightedMinAge01),MAX(CapacityAge01*'01_Вводные'!$B$218*'19_Расчет_аналитики'!AR3595,MeanMinAge01))),0)</f>
        <v/>
      </c>
      <c r="AS3500">
        <f>IF('01_Вводные'!$B$234="Да",IF(OR('19_Расчет_аналитики'!AS3472=0,1&lt;='01_Вводные'!$B$297),0,'19_Расчет_аналитики'!AS3472*IF('01_Вводные'!$B$239="Да",MeanMinAge01+'19_Расчет_аналитики'!AS3595*SUMIF(ThresholdAge01,"&lt;"&amp;'19_Расчет_аналитики'!AS3595,WeightedRevAge01)-SUMIF(ThresholdAge01,"&lt;"&amp;'19_Расчет_аналитики'!AS3595,WeightedMinAge01),MAX(CapacityAge01*'01_Вводные'!$B$218*'19_Расчет_аналитики'!AS3595,MeanMinAge01))),0)</f>
        <v/>
      </c>
      <c r="AT3500">
        <f>IF('01_Вводные'!$B$234="Да",IF(OR('19_Расчет_аналитики'!AT3472=0,1&lt;='01_Вводные'!$B$297),0,'19_Расчет_аналитики'!AT3472*IF('01_Вводные'!$B$239="Да",MeanMinAge01+'19_Расчет_аналитики'!AT3595*SUMIF(ThresholdAge01,"&lt;"&amp;'19_Расчет_аналитики'!AT3595,WeightedRevAge01)-SUMIF(ThresholdAge01,"&lt;"&amp;'19_Расчет_аналитики'!AT3595,WeightedMinAge01),MAX(CapacityAge01*'01_Вводные'!$B$218*'19_Расчет_аналитики'!AT3595,MeanMinAge01))),0)</f>
        <v/>
      </c>
      <c r="AU3500">
        <f>IF('01_Вводные'!$B$234="Да",IF(OR('19_Расчет_аналитики'!AU3472=0,1&lt;='01_Вводные'!$B$297),0,'19_Расчет_аналитики'!AU3472*IF('01_Вводные'!$B$239="Да",MeanMinAge01+'19_Расчет_аналитики'!AU3595*SUMIF(ThresholdAge01,"&lt;"&amp;'19_Расчет_аналитики'!AU3595,WeightedRevAge01)-SUMIF(ThresholdAge01,"&lt;"&amp;'19_Расчет_аналитики'!AU3595,WeightedMinAge01),MAX(CapacityAge01*'01_Вводные'!$B$218*'19_Расчет_аналитики'!AU3595,MeanMinAge01))),0)</f>
        <v/>
      </c>
      <c r="AV3500">
        <f>IF('01_Вводные'!$B$234="Да",IF(OR('19_Расчет_аналитики'!AV3472=0,1&lt;='01_Вводные'!$B$297),0,'19_Расчет_аналитики'!AV3472*IF('01_Вводные'!$B$239="Да",MeanMinAge01+'19_Расчет_аналитики'!AV3595*SUMIF(ThresholdAge01,"&lt;"&amp;'19_Расчет_аналитики'!AV3595,WeightedRevAge01)-SUMIF(ThresholdAge01,"&lt;"&amp;'19_Расчет_аналитики'!AV3595,WeightedMinAge01),MAX(CapacityAge01*'01_Вводные'!$B$218*'19_Расчет_аналитики'!AV3595,MeanMinAge01))),0)</f>
        <v/>
      </c>
      <c r="AW3500">
        <f>IF('01_Вводные'!$B$234="Да",IF(OR('19_Расчет_аналитики'!AW3472=0,1&lt;='01_Вводные'!$B$297),0,'19_Расчет_аналитики'!AW3472*IF('01_Вводные'!$B$239="Да",MeanMinAge01+'19_Расчет_аналитики'!AW3595*SUMIF(ThresholdAge01,"&lt;"&amp;'19_Расчет_аналитики'!AW3595,WeightedRevAge01)-SUMIF(ThresholdAge01,"&lt;"&amp;'19_Расчет_аналитики'!AW3595,WeightedMinAge01),MAX(CapacityAge01*'01_Вводные'!$B$218*'19_Расчет_аналитики'!AW3595,MeanMinAge01))),0)</f>
        <v/>
      </c>
      <c r="AX3500">
        <f>IF('01_Вводные'!$B$234="Да",IF(OR('19_Расчет_аналитики'!AX3472=0,1&lt;='01_Вводные'!$B$297),0,'19_Расчет_аналитики'!AX3472*IF('01_Вводные'!$B$239="Да",MeanMinAge01+'19_Расчет_аналитики'!AX3595*SUMIF(ThresholdAge01,"&lt;"&amp;'19_Расчет_аналитики'!AX3595,WeightedRevAge01)-SUMIF(ThresholdAge01,"&lt;"&amp;'19_Расчет_аналитики'!AX3595,WeightedMinAge01),MAX(CapacityAge01*'01_Вводные'!$B$218*'19_Расчет_аналитики'!AX3595,MeanMinAge01))),0)</f>
        <v/>
      </c>
      <c r="AY3500">
        <f>IF('01_Вводные'!$B$234="Да",IF(OR('19_Расчет_аналитики'!AY3472=0,1&lt;='01_Вводные'!$B$297),0,'19_Расчет_аналитики'!AY3472*IF('01_Вводные'!$B$239="Да",MeanMinAge01+'19_Расчет_аналитики'!AY3595*SUMIF(ThresholdAge01,"&lt;"&amp;'19_Расчет_аналитики'!AY3595,WeightedRevAge01)-SUMIF(ThresholdAge01,"&lt;"&amp;'19_Расчет_аналитики'!AY3595,WeightedMinAge01),MAX(CapacityAge01*'01_Вводные'!$B$218*'19_Расчет_аналитики'!AY3595,MeanMinAge01))),0)</f>
        <v/>
      </c>
      <c r="AZ3500">
        <f>IF('01_Вводные'!$B$234="Да",IF(OR('19_Расчет_аналитики'!AZ3472=0,1&lt;='01_Вводные'!$B$297),0,'19_Расчет_аналитики'!AZ3472*IF('01_Вводные'!$B$239="Да",MeanMinAge01+'19_Расчет_аналитики'!AZ3595*SUMIF(ThresholdAge01,"&lt;"&amp;'19_Расчет_аналитики'!AZ3595,WeightedRevAge01)-SUMIF(ThresholdAge01,"&lt;"&amp;'19_Расчет_аналитики'!AZ3595,WeightedMinAge01),MAX(CapacityAge01*'01_Вводные'!$B$218*'19_Расчет_аналитики'!AZ3595,MeanMinAge01))),0)</f>
        <v/>
      </c>
      <c r="BA3500">
        <f>IF('01_Вводные'!$B$234="Да",IF(OR('19_Расчет_аналитики'!BA3472=0,1&lt;='01_Вводные'!$B$297),0,'19_Расчет_аналитики'!BA3472*IF('01_Вводные'!$B$239="Да",MeanMinAge01+'19_Расчет_аналитики'!BA3595*SUMIF(ThresholdAge01,"&lt;"&amp;'19_Расчет_аналитики'!BA3595,WeightedRevAge01)-SUMIF(ThresholdAge01,"&lt;"&amp;'19_Расчет_аналитики'!BA3595,WeightedMinAge01),MAX(CapacityAge01*'01_Вводные'!$B$218*'19_Расчет_аналитики'!BA3595,MeanMinAge01))),0)</f>
        <v/>
      </c>
      <c r="BB3500">
        <f>IF('01_Вводные'!$B$234="Да",IF(OR('19_Расчет_аналитики'!BB3472=0,1&lt;='01_Вводные'!$B$297),0,'19_Расчет_аналитики'!BB3472*IF('01_Вводные'!$B$239="Да",MeanMinAge01+'19_Расчет_аналитики'!BB3595*SUMIF(ThresholdAge01,"&lt;"&amp;'19_Расчет_аналитики'!BB3595,WeightedRevAge01)-SUMIF(ThresholdAge01,"&lt;"&amp;'19_Расчет_аналитики'!BB3595,WeightedMinAge01),MAX(CapacityAge01*'01_Вводные'!$B$218*'19_Расчет_аналитики'!BB3595,MeanMinAge01))),0)</f>
        <v/>
      </c>
      <c r="BC3500">
        <f>IF('01_Вводные'!$B$234="Да",IF(OR('19_Расчет_аналитики'!BC3472=0,1&lt;='01_Вводные'!$B$297),0,'19_Расчет_аналитики'!BC3472*IF('01_Вводные'!$B$239="Да",MeanMinAge01+'19_Расчет_аналитики'!BC3595*SUMIF(ThresholdAge01,"&lt;"&amp;'19_Расчет_аналитики'!BC3595,WeightedRevAge01)-SUMIF(ThresholdAge01,"&lt;"&amp;'19_Расчет_аналитики'!BC3595,WeightedMinAge01),MAX(CapacityAge01*'01_Вводные'!$B$218*'19_Расчет_аналитики'!BC3595,MeanMinAge01))),0)</f>
        <v/>
      </c>
      <c r="BD3500">
        <f>IF('01_Вводные'!$B$234="Да",IF(OR('19_Расчет_аналитики'!BD3472=0,1&lt;='01_Вводные'!$B$297),0,'19_Расчет_аналитики'!BD3472*IF('01_Вводные'!$B$239="Да",MeanMinAge01+'19_Расчет_аналитики'!BD3595*SUMIF(ThresholdAge01,"&lt;"&amp;'19_Расчет_аналитики'!BD3595,WeightedRevAge01)-SUMIF(ThresholdAge01,"&lt;"&amp;'19_Расчет_аналитики'!BD3595,WeightedMinAge01),MAX(CapacityAge01*'01_Вводные'!$B$218*'19_Расчет_аналитики'!BD3595,MeanMinAge01))),0)</f>
        <v/>
      </c>
      <c r="BE3500">
        <f>IF('01_Вводные'!$B$234="Да",IF(OR('19_Расчет_аналитики'!BE3472=0,1&lt;='01_Вводные'!$B$297),0,'19_Расчет_аналитики'!BE3472*IF('01_Вводные'!$B$239="Да",MeanMinAge01+'19_Расчет_аналитики'!BE3595*SUMIF(ThresholdAge01,"&lt;"&amp;'19_Расчет_аналитики'!BE3595,WeightedRevAge01)-SUMIF(ThresholdAge01,"&lt;"&amp;'19_Расчет_аналитики'!BE3595,WeightedMinAge01),MAX(CapacityAge01*'01_Вводные'!$B$218*'19_Расчет_аналитики'!BE3595,MeanMinAge01))),0)</f>
        <v/>
      </c>
      <c r="BF3500">
        <f>IF('01_Вводные'!$B$234="Да",IF(OR('19_Расчет_аналитики'!BF3472=0,1&lt;='01_Вводные'!$B$297),0,'19_Расчет_аналитики'!BF3472*IF('01_Вводные'!$B$239="Да",MeanMinAge01+'19_Расчет_аналитики'!BF3595*SUMIF(ThresholdAge01,"&lt;"&amp;'19_Расчет_аналитики'!BF3595,WeightedRevAge01)-SUMIF(ThresholdAge01,"&lt;"&amp;'19_Расчет_аналитики'!BF3595,WeightedMinAge01),MAX(CapacityAge01*'01_Вводные'!$B$218*'19_Расчет_аналитики'!BF3595,MeanMinAge01))),0)</f>
        <v/>
      </c>
      <c r="BG3500">
        <f>IF('01_Вводные'!$B$234="Да",IF(OR('19_Расчет_аналитики'!BG3472=0,1&lt;='01_Вводные'!$B$297),0,'19_Расчет_аналитики'!BG3472*IF('01_Вводные'!$B$239="Да",MeanMinAge01+'19_Расчет_аналитики'!BG3595*SUMIF(ThresholdAge01,"&lt;"&amp;'19_Расчет_аналитики'!BG3595,WeightedRevAge01)-SUMIF(ThresholdAge01,"&lt;"&amp;'19_Расчет_аналитики'!BG3595,WeightedMinAge01),MAX(CapacityAge01*'01_Вводные'!$B$218*'19_Расчет_аналитики'!BG3595,MeanMinAge01))),0)</f>
        <v/>
      </c>
      <c r="BH3500">
        <f>IF('01_Вводные'!$B$234="Да",IF(OR('19_Расчет_аналитики'!BH3472=0,1&lt;='01_Вводные'!$B$297),0,'19_Расчет_аналитики'!BH3472*IF('01_Вводные'!$B$239="Да",MeanMinAge01+'19_Расчет_аналитики'!BH3595*SUMIF(ThresholdAge01,"&lt;"&amp;'19_Расчет_аналитики'!BH3595,WeightedRevAge01)-SUMIF(ThresholdAge01,"&lt;"&amp;'19_Расчет_аналитики'!BH3595,WeightedMinAge01),MAX(CapacityAge01*'01_Вводные'!$B$218*'19_Расчет_аналитики'!BH3595,MeanMinAge01))),0)</f>
        <v/>
      </c>
      <c r="BI3500">
        <f>IF('01_Вводные'!$B$234="Да",IF(OR('19_Расчет_аналитики'!BI3472=0,1&lt;='01_Вводные'!$B$297),0,'19_Расчет_аналитики'!BI3472*IF('01_Вводные'!$B$239="Да",MeanMinAge01+'19_Расчет_аналитики'!BI3595*SUMIF(ThresholdAge01,"&lt;"&amp;'19_Расчет_аналитики'!BI3595,WeightedRevAge01)-SUMIF(ThresholdAge01,"&lt;"&amp;'19_Расчет_аналитики'!BI3595,WeightedMinAge01),MAX(CapacityAge01*'01_Вводные'!$B$218*'19_Расчет_аналитики'!BI3595,MeanMinAge01))),0)</f>
        <v/>
      </c>
      <c r="BJ3500">
        <f>IF('01_Вводные'!$B$234="Да",IF(OR('19_Расчет_аналитики'!BJ3472=0,1&lt;='01_Вводные'!$B$297),0,'19_Расчет_аналитики'!BJ3472*IF('01_Вводные'!$B$239="Да",MeanMinAge01+'19_Расчет_аналитики'!BJ3595*SUMIF(ThresholdAge01,"&lt;"&amp;'19_Расчет_аналитики'!BJ3595,WeightedRevAge01)-SUMIF(ThresholdAge01,"&lt;"&amp;'19_Расчет_аналитики'!BJ3595,WeightedMinAge01),MAX(CapacityAge01*'01_Вводные'!$B$218*'19_Расчет_аналитики'!BJ3595,MeanMinAge01))),0)</f>
        <v/>
      </c>
      <c r="BK3500">
        <f>IF('01_Вводные'!$B$234="Да",IF(OR('19_Расчет_аналитики'!BK3472=0,1&lt;='01_Вводные'!$B$297),0,'19_Расчет_аналитики'!BK3472*IF('01_Вводные'!$B$239="Да",MeanMinAge01+'19_Расчет_аналитики'!BK3595*SUMIF(ThresholdAge01,"&lt;"&amp;'19_Расчет_аналитики'!BK3595,WeightedRevAge01)-SUMIF(ThresholdAge01,"&lt;"&amp;'19_Расчет_аналитики'!BK3595,WeightedMinAge01),MAX(CapacityAge01*'01_Вводные'!$B$218*'19_Расчет_аналитики'!BK3595,MeanMinAge01))),0)</f>
        <v/>
      </c>
      <c r="BL3500">
        <f>IF('01_Вводные'!$B$234="Да",IF(OR('19_Расчет_аналитики'!BL3472=0,1&lt;='01_Вводные'!$B$297),0,'19_Расчет_аналитики'!BL3472*IF('01_Вводные'!$B$239="Да",MeanMinAge01+'19_Расчет_аналитики'!BL3595*SUMIF(ThresholdAge01,"&lt;"&amp;'19_Расчет_аналитики'!BL3595,WeightedRevAge01)-SUMIF(ThresholdAge01,"&lt;"&amp;'19_Расчет_аналитики'!BL3595,WeightedMinAge01),MAX(CapacityAge01*'01_Вводные'!$B$218*'19_Расчет_аналитики'!BL3595,MeanMinAge01))),0)</f>
        <v/>
      </c>
      <c r="BM3500">
        <f>IF('01_Вводные'!$B$234="Да",IF(OR('19_Расчет_аналитики'!BM3472=0,1&lt;='01_Вводные'!$B$297),0,'19_Расчет_аналитики'!BM3472*IF('01_Вводные'!$B$239="Да",MeanMinAge01+'19_Расчет_аналитики'!BM3595*SUMIF(ThresholdAge01,"&lt;"&amp;'19_Расчет_аналитики'!BM3595,WeightedRevAge01)-SUMIF(ThresholdAge01,"&lt;"&amp;'19_Расчет_аналитики'!BM3595,WeightedMinAge01),MAX(CapacityAge01*'01_Вводные'!$B$218*'19_Расчет_аналитики'!BM3595,MeanMinAge01))),0)</f>
        <v/>
      </c>
      <c r="BN3500">
        <f>IF('01_Вводные'!$B$234="Да",IF(OR('19_Расчет_аналитики'!BN3472=0,1&lt;='01_Вводные'!$B$297),0,'19_Расчет_аналитики'!BN3472*IF('01_Вводные'!$B$239="Да",MeanMinAge01+'19_Расчет_аналитики'!BN3595*SUMIF(ThresholdAge01,"&lt;"&amp;'19_Расчет_аналитики'!BN3595,WeightedRevAge01)-SUMIF(ThresholdAge01,"&lt;"&amp;'19_Расчет_аналитики'!BN3595,WeightedMinAge01),MAX(CapacityAge01*'01_Вводные'!$B$218*'19_Расчет_аналитики'!BN3595,MeanMinAge01))),0)</f>
        <v/>
      </c>
      <c r="BO3500">
        <f>IF('01_Вводные'!$B$234="Да",IF(OR('19_Расчет_аналитики'!BO3472=0,1&lt;='01_Вводные'!$B$297),0,'19_Расчет_аналитики'!BO3472*IF('01_Вводные'!$B$239="Да",MeanMinAge01+'19_Расчет_аналитики'!BO3595*SUMIF(ThresholdAge01,"&lt;"&amp;'19_Расчет_аналитики'!BO3595,WeightedRevAge01)-SUMIF(ThresholdAge01,"&lt;"&amp;'19_Расчет_аналитики'!BO3595,WeightedMinAge01),MAX(CapacityAge01*'01_Вводные'!$B$218*'19_Расчет_аналитики'!BO3595,MeanMinAge01))),0)</f>
        <v/>
      </c>
    </row>
    <row r="3501">
      <c r="B3501">
        <f>IF('01_Вводные'!$B$234="Да",IF(OR('06_Сеть_и_дети'!B82=0,2&lt;='01_Вводные'!$B$297),0,'06_Сеть_и_дети'!B82*IF('01_Вводные'!$B$239="Да",MeanMinAge02+'19_Расчет_аналитики'!B3595*SUMIF(ThresholdAge02,"&lt;"&amp;'19_Расчет_аналитики'!B3595,WeightedRevAge02)-SUMIF(ThresholdAge02,"&lt;"&amp;'19_Расчет_аналитики'!B3595,WeightedMinAge02),MAX(CapacityAge02*'01_Вводные'!$B$218*'19_Расчет_аналитики'!B3595,MeanMinAge02))),0)</f>
        <v/>
      </c>
      <c r="C3501">
        <f>IF('01_Вводные'!$B$234="Да",IF(OR('19_Расчет_аналитики'!C3473=0,2&lt;='01_Вводные'!$B$297),0,'19_Расчет_аналитики'!C3473*IF('01_Вводные'!$B$239="Да",MeanMinAge02+'19_Расчет_аналитики'!C3595*SUMIF(ThresholdAge02,"&lt;"&amp;'19_Расчет_аналитики'!C3595,WeightedRevAge02)-SUMIF(ThresholdAge02,"&lt;"&amp;'19_Расчет_аналитики'!C3595,WeightedMinAge02),MAX(CapacityAge02*'01_Вводные'!$B$218*'19_Расчет_аналитики'!C3595,MeanMinAge02))),0)</f>
        <v/>
      </c>
      <c r="D3501">
        <f>IF('01_Вводные'!$B$234="Да",IF(OR('19_Расчет_аналитики'!D3473=0,2&lt;='01_Вводные'!$B$297),0,'19_Расчет_аналитики'!D3473*IF('01_Вводные'!$B$239="Да",MeanMinAge02+'19_Расчет_аналитики'!D3595*SUMIF(ThresholdAge02,"&lt;"&amp;'19_Расчет_аналитики'!D3595,WeightedRevAge02)-SUMIF(ThresholdAge02,"&lt;"&amp;'19_Расчет_аналитики'!D3595,WeightedMinAge02),MAX(CapacityAge02*'01_Вводные'!$B$218*'19_Расчет_аналитики'!D3595,MeanMinAge02))),0)</f>
        <v/>
      </c>
      <c r="E3501">
        <f>IF('01_Вводные'!$B$234="Да",IF(OR('19_Расчет_аналитики'!E3473=0,2&lt;='01_Вводные'!$B$297),0,'19_Расчет_аналитики'!E3473*IF('01_Вводные'!$B$239="Да",MeanMinAge02+'19_Расчет_аналитики'!E3595*SUMIF(ThresholdAge02,"&lt;"&amp;'19_Расчет_аналитики'!E3595,WeightedRevAge02)-SUMIF(ThresholdAge02,"&lt;"&amp;'19_Расчет_аналитики'!E3595,WeightedMinAge02),MAX(CapacityAge02*'01_Вводные'!$B$218*'19_Расчет_аналитики'!E3595,MeanMinAge02))),0)</f>
        <v/>
      </c>
      <c r="F3501">
        <f>IF('01_Вводные'!$B$234="Да",IF(OR('19_Расчет_аналитики'!F3473=0,2&lt;='01_Вводные'!$B$297),0,'19_Расчет_аналитики'!F3473*IF('01_Вводные'!$B$239="Да",MeanMinAge02+'19_Расчет_аналитики'!F3595*SUMIF(ThresholdAge02,"&lt;"&amp;'19_Расчет_аналитики'!F3595,WeightedRevAge02)-SUMIF(ThresholdAge02,"&lt;"&amp;'19_Расчет_аналитики'!F3595,WeightedMinAge02),MAX(CapacityAge02*'01_Вводные'!$B$218*'19_Расчет_аналитики'!F3595,MeanMinAge02))),0)</f>
        <v/>
      </c>
      <c r="G3501">
        <f>IF('01_Вводные'!$B$234="Да",IF(OR('19_Расчет_аналитики'!G3473=0,2&lt;='01_Вводные'!$B$297),0,'19_Расчет_аналитики'!G3473*IF('01_Вводные'!$B$239="Да",MeanMinAge02+'19_Расчет_аналитики'!G3595*SUMIF(ThresholdAge02,"&lt;"&amp;'19_Расчет_аналитики'!G3595,WeightedRevAge02)-SUMIF(ThresholdAge02,"&lt;"&amp;'19_Расчет_аналитики'!G3595,WeightedMinAge02),MAX(CapacityAge02*'01_Вводные'!$B$218*'19_Расчет_аналитики'!G3595,MeanMinAge02))),0)</f>
        <v/>
      </c>
      <c r="H3501">
        <f>IF('01_Вводные'!$B$234="Да",IF(OR('19_Расчет_аналитики'!H3473=0,2&lt;='01_Вводные'!$B$297),0,'19_Расчет_аналитики'!H3473*IF('01_Вводные'!$B$239="Да",MeanMinAge02+'19_Расчет_аналитики'!H3595*SUMIF(ThresholdAge02,"&lt;"&amp;'19_Расчет_аналитики'!H3595,WeightedRevAge02)-SUMIF(ThresholdAge02,"&lt;"&amp;'19_Расчет_аналитики'!H3595,WeightedMinAge02),MAX(CapacityAge02*'01_Вводные'!$B$218*'19_Расчет_аналитики'!H3595,MeanMinAge02))),0)</f>
        <v/>
      </c>
      <c r="I3501">
        <f>IF('01_Вводные'!$B$234="Да",IF(OR('19_Расчет_аналитики'!I3473=0,2&lt;='01_Вводные'!$B$297),0,'19_Расчет_аналитики'!I3473*IF('01_Вводные'!$B$239="Да",MeanMinAge02+'19_Расчет_аналитики'!I3595*SUMIF(ThresholdAge02,"&lt;"&amp;'19_Расчет_аналитики'!I3595,WeightedRevAge02)-SUMIF(ThresholdAge02,"&lt;"&amp;'19_Расчет_аналитики'!I3595,WeightedMinAge02),MAX(CapacityAge02*'01_Вводные'!$B$218*'19_Расчет_аналитики'!I3595,MeanMinAge02))),0)</f>
        <v/>
      </c>
      <c r="J3501">
        <f>IF('01_Вводные'!$B$234="Да",IF(OR('19_Расчет_аналитики'!J3473=0,2&lt;='01_Вводные'!$B$297),0,'19_Расчет_аналитики'!J3473*IF('01_Вводные'!$B$239="Да",MeanMinAge02+'19_Расчет_аналитики'!J3595*SUMIF(ThresholdAge02,"&lt;"&amp;'19_Расчет_аналитики'!J3595,WeightedRevAge02)-SUMIF(ThresholdAge02,"&lt;"&amp;'19_Расчет_аналитики'!J3595,WeightedMinAge02),MAX(CapacityAge02*'01_Вводные'!$B$218*'19_Расчет_аналитики'!J3595,MeanMinAge02))),0)</f>
        <v/>
      </c>
      <c r="K3501">
        <f>IF('01_Вводные'!$B$234="Да",IF(OR('19_Расчет_аналитики'!K3473=0,2&lt;='01_Вводные'!$B$297),0,'19_Расчет_аналитики'!K3473*IF('01_Вводные'!$B$239="Да",MeanMinAge02+'19_Расчет_аналитики'!K3595*SUMIF(ThresholdAge02,"&lt;"&amp;'19_Расчет_аналитики'!K3595,WeightedRevAge02)-SUMIF(ThresholdAge02,"&lt;"&amp;'19_Расчет_аналитики'!K3595,WeightedMinAge02),MAX(CapacityAge02*'01_Вводные'!$B$218*'19_Расчет_аналитики'!K3595,MeanMinAge02))),0)</f>
        <v/>
      </c>
      <c r="L3501">
        <f>IF('01_Вводные'!$B$234="Да",IF(OR('19_Расчет_аналитики'!L3473=0,2&lt;='01_Вводные'!$B$297),0,'19_Расчет_аналитики'!L3473*IF('01_Вводные'!$B$239="Да",MeanMinAge02+'19_Расчет_аналитики'!L3595*SUMIF(ThresholdAge02,"&lt;"&amp;'19_Расчет_аналитики'!L3595,WeightedRevAge02)-SUMIF(ThresholdAge02,"&lt;"&amp;'19_Расчет_аналитики'!L3595,WeightedMinAge02),MAX(CapacityAge02*'01_Вводные'!$B$218*'19_Расчет_аналитики'!L3595,MeanMinAge02))),0)</f>
        <v/>
      </c>
      <c r="M3501">
        <f>IF('01_Вводные'!$B$234="Да",IF(OR('19_Расчет_аналитики'!M3473=0,2&lt;='01_Вводные'!$B$297),0,'19_Расчет_аналитики'!M3473*IF('01_Вводные'!$B$239="Да",MeanMinAge02+'19_Расчет_аналитики'!M3595*SUMIF(ThresholdAge02,"&lt;"&amp;'19_Расчет_аналитики'!M3595,WeightedRevAge02)-SUMIF(ThresholdAge02,"&lt;"&amp;'19_Расчет_аналитики'!M3595,WeightedMinAge02),MAX(CapacityAge02*'01_Вводные'!$B$218*'19_Расчет_аналитики'!M3595,MeanMinAge02))),0)</f>
        <v/>
      </c>
      <c r="N3501">
        <f>IF('01_Вводные'!$B$234="Да",IF(OR('19_Расчет_аналитики'!N3473=0,2&lt;='01_Вводные'!$B$297),0,'19_Расчет_аналитики'!N3473*IF('01_Вводные'!$B$239="Да",MeanMinAge02+'19_Расчет_аналитики'!N3595*SUMIF(ThresholdAge02,"&lt;"&amp;'19_Расчет_аналитики'!N3595,WeightedRevAge02)-SUMIF(ThresholdAge02,"&lt;"&amp;'19_Расчет_аналитики'!N3595,WeightedMinAge02),MAX(CapacityAge02*'01_Вводные'!$B$218*'19_Расчет_аналитики'!N3595,MeanMinAge02))),0)</f>
        <v/>
      </c>
      <c r="O3501">
        <f>IF('01_Вводные'!$B$234="Да",IF(OR('19_Расчет_аналитики'!O3473=0,2&lt;='01_Вводные'!$B$297),0,'19_Расчет_аналитики'!O3473*IF('01_Вводные'!$B$239="Да",MeanMinAge02+'19_Расчет_аналитики'!O3595*SUMIF(ThresholdAge02,"&lt;"&amp;'19_Расчет_аналитики'!O3595,WeightedRevAge02)-SUMIF(ThresholdAge02,"&lt;"&amp;'19_Расчет_аналитики'!O3595,WeightedMinAge02),MAX(CapacityAge02*'01_Вводные'!$B$218*'19_Расчет_аналитики'!O3595,MeanMinAge02))),0)</f>
        <v/>
      </c>
      <c r="P3501">
        <f>IF('01_Вводные'!$B$234="Да",IF(OR('19_Расчет_аналитики'!P3473=0,2&lt;='01_Вводные'!$B$297),0,'19_Расчет_аналитики'!P3473*IF('01_Вводные'!$B$239="Да",MeanMinAge02+'19_Расчет_аналитики'!P3595*SUMIF(ThresholdAge02,"&lt;"&amp;'19_Расчет_аналитики'!P3595,WeightedRevAge02)-SUMIF(ThresholdAge02,"&lt;"&amp;'19_Расчет_аналитики'!P3595,WeightedMinAge02),MAX(CapacityAge02*'01_Вводные'!$B$218*'19_Расчет_аналитики'!P3595,MeanMinAge02))),0)</f>
        <v/>
      </c>
      <c r="Q3501">
        <f>IF('01_Вводные'!$B$234="Да",IF(OR('19_Расчет_аналитики'!Q3473=0,2&lt;='01_Вводные'!$B$297),0,'19_Расчет_аналитики'!Q3473*IF('01_Вводные'!$B$239="Да",MeanMinAge02+'19_Расчет_аналитики'!Q3595*SUMIF(ThresholdAge02,"&lt;"&amp;'19_Расчет_аналитики'!Q3595,WeightedRevAge02)-SUMIF(ThresholdAge02,"&lt;"&amp;'19_Расчет_аналитики'!Q3595,WeightedMinAge02),MAX(CapacityAge02*'01_Вводные'!$B$218*'19_Расчет_аналитики'!Q3595,MeanMinAge02))),0)</f>
        <v/>
      </c>
      <c r="R3501">
        <f>IF('01_Вводные'!$B$234="Да",IF(OR('19_Расчет_аналитики'!R3473=0,2&lt;='01_Вводные'!$B$297),0,'19_Расчет_аналитики'!R3473*IF('01_Вводные'!$B$239="Да",MeanMinAge02+'19_Расчет_аналитики'!R3595*SUMIF(ThresholdAge02,"&lt;"&amp;'19_Расчет_аналитики'!R3595,WeightedRevAge02)-SUMIF(ThresholdAge02,"&lt;"&amp;'19_Расчет_аналитики'!R3595,WeightedMinAge02),MAX(CapacityAge02*'01_Вводные'!$B$218*'19_Расчет_аналитики'!R3595,MeanMinAge02))),0)</f>
        <v/>
      </c>
      <c r="S3501">
        <f>IF('01_Вводные'!$B$234="Да",IF(OR('19_Расчет_аналитики'!S3473=0,2&lt;='01_Вводные'!$B$297),0,'19_Расчет_аналитики'!S3473*IF('01_Вводные'!$B$239="Да",MeanMinAge02+'19_Расчет_аналитики'!S3595*SUMIF(ThresholdAge02,"&lt;"&amp;'19_Расчет_аналитики'!S3595,WeightedRevAge02)-SUMIF(ThresholdAge02,"&lt;"&amp;'19_Расчет_аналитики'!S3595,WeightedMinAge02),MAX(CapacityAge02*'01_Вводные'!$B$218*'19_Расчет_аналитики'!S3595,MeanMinAge02))),0)</f>
        <v/>
      </c>
      <c r="T3501">
        <f>IF('01_Вводные'!$B$234="Да",IF(OR('19_Расчет_аналитики'!T3473=0,2&lt;='01_Вводные'!$B$297),0,'19_Расчет_аналитики'!T3473*IF('01_Вводные'!$B$239="Да",MeanMinAge02+'19_Расчет_аналитики'!T3595*SUMIF(ThresholdAge02,"&lt;"&amp;'19_Расчет_аналитики'!T3595,WeightedRevAge02)-SUMIF(ThresholdAge02,"&lt;"&amp;'19_Расчет_аналитики'!T3595,WeightedMinAge02),MAX(CapacityAge02*'01_Вводные'!$B$218*'19_Расчет_аналитики'!T3595,MeanMinAge02))),0)</f>
        <v/>
      </c>
      <c r="U3501">
        <f>IF('01_Вводные'!$B$234="Да",IF(OR('19_Расчет_аналитики'!U3473=0,2&lt;='01_Вводные'!$B$297),0,'19_Расчет_аналитики'!U3473*IF('01_Вводные'!$B$239="Да",MeanMinAge02+'19_Расчет_аналитики'!U3595*SUMIF(ThresholdAge02,"&lt;"&amp;'19_Расчет_аналитики'!U3595,WeightedRevAge02)-SUMIF(ThresholdAge02,"&lt;"&amp;'19_Расчет_аналитики'!U3595,WeightedMinAge02),MAX(CapacityAge02*'01_Вводные'!$B$218*'19_Расчет_аналитики'!U3595,MeanMinAge02))),0)</f>
        <v/>
      </c>
      <c r="V3501">
        <f>IF('01_Вводные'!$B$234="Да",IF(OR('19_Расчет_аналитики'!V3473=0,2&lt;='01_Вводные'!$B$297),0,'19_Расчет_аналитики'!V3473*IF('01_Вводные'!$B$239="Да",MeanMinAge02+'19_Расчет_аналитики'!V3595*SUMIF(ThresholdAge02,"&lt;"&amp;'19_Расчет_аналитики'!V3595,WeightedRevAge02)-SUMIF(ThresholdAge02,"&lt;"&amp;'19_Расчет_аналитики'!V3595,WeightedMinAge02),MAX(CapacityAge02*'01_Вводные'!$B$218*'19_Расчет_аналитики'!V3595,MeanMinAge02))),0)</f>
        <v/>
      </c>
      <c r="W3501">
        <f>IF('01_Вводные'!$B$234="Да",IF(OR('19_Расчет_аналитики'!W3473=0,2&lt;='01_Вводные'!$B$297),0,'19_Расчет_аналитики'!W3473*IF('01_Вводные'!$B$239="Да",MeanMinAge02+'19_Расчет_аналитики'!W3595*SUMIF(ThresholdAge02,"&lt;"&amp;'19_Расчет_аналитики'!W3595,WeightedRevAge02)-SUMIF(ThresholdAge02,"&lt;"&amp;'19_Расчет_аналитики'!W3595,WeightedMinAge02),MAX(CapacityAge02*'01_Вводные'!$B$218*'19_Расчет_аналитики'!W3595,MeanMinAge02))),0)</f>
        <v/>
      </c>
      <c r="X3501">
        <f>IF('01_Вводные'!$B$234="Да",IF(OR('19_Расчет_аналитики'!X3473=0,2&lt;='01_Вводные'!$B$297),0,'19_Расчет_аналитики'!X3473*IF('01_Вводные'!$B$239="Да",MeanMinAge02+'19_Расчет_аналитики'!X3595*SUMIF(ThresholdAge02,"&lt;"&amp;'19_Расчет_аналитики'!X3595,WeightedRevAge02)-SUMIF(ThresholdAge02,"&lt;"&amp;'19_Расчет_аналитики'!X3595,WeightedMinAge02),MAX(CapacityAge02*'01_Вводные'!$B$218*'19_Расчет_аналитики'!X3595,MeanMinAge02))),0)</f>
        <v/>
      </c>
      <c r="Y3501">
        <f>IF('01_Вводные'!$B$234="Да",IF(OR('19_Расчет_аналитики'!Y3473=0,2&lt;='01_Вводные'!$B$297),0,'19_Расчет_аналитики'!Y3473*IF('01_Вводные'!$B$239="Да",MeanMinAge02+'19_Расчет_аналитики'!Y3595*SUMIF(ThresholdAge02,"&lt;"&amp;'19_Расчет_аналитики'!Y3595,WeightedRevAge02)-SUMIF(ThresholdAge02,"&lt;"&amp;'19_Расчет_аналитики'!Y3595,WeightedMinAge02),MAX(CapacityAge02*'01_Вводные'!$B$218*'19_Расчет_аналитики'!Y3595,MeanMinAge02))),0)</f>
        <v/>
      </c>
      <c r="Z3501">
        <f>IF('01_Вводные'!$B$234="Да",IF(OR('19_Расчет_аналитики'!Z3473=0,2&lt;='01_Вводные'!$B$297),0,'19_Расчет_аналитики'!Z3473*IF('01_Вводные'!$B$239="Да",MeanMinAge02+'19_Расчет_аналитики'!Z3595*SUMIF(ThresholdAge02,"&lt;"&amp;'19_Расчет_аналитики'!Z3595,WeightedRevAge02)-SUMIF(ThresholdAge02,"&lt;"&amp;'19_Расчет_аналитики'!Z3595,WeightedMinAge02),MAX(CapacityAge02*'01_Вводные'!$B$218*'19_Расчет_аналитики'!Z3595,MeanMinAge02))),0)</f>
        <v/>
      </c>
      <c r="AA3501">
        <f>IF('01_Вводные'!$B$234="Да",IF(OR('19_Расчет_аналитики'!AA3473=0,2&lt;='01_Вводные'!$B$297),0,'19_Расчет_аналитики'!AA3473*IF('01_Вводные'!$B$239="Да",MeanMinAge02+'19_Расчет_аналитики'!AA3595*SUMIF(ThresholdAge02,"&lt;"&amp;'19_Расчет_аналитики'!AA3595,WeightedRevAge02)-SUMIF(ThresholdAge02,"&lt;"&amp;'19_Расчет_аналитики'!AA3595,WeightedMinAge02),MAX(CapacityAge02*'01_Вводные'!$B$218*'19_Расчет_аналитики'!AA3595,MeanMinAge02))),0)</f>
        <v/>
      </c>
      <c r="AB3501">
        <f>IF('01_Вводные'!$B$234="Да",IF(OR('19_Расчет_аналитики'!AB3473=0,2&lt;='01_Вводные'!$B$297),0,'19_Расчет_аналитики'!AB3473*IF('01_Вводные'!$B$239="Да",MeanMinAge02+'19_Расчет_аналитики'!AB3595*SUMIF(ThresholdAge02,"&lt;"&amp;'19_Расчет_аналитики'!AB3595,WeightedRevAge02)-SUMIF(ThresholdAge02,"&lt;"&amp;'19_Расчет_аналитики'!AB3595,WeightedMinAge02),MAX(CapacityAge02*'01_Вводные'!$B$218*'19_Расчет_аналитики'!AB3595,MeanMinAge02))),0)</f>
        <v/>
      </c>
      <c r="AC3501">
        <f>IF('01_Вводные'!$B$234="Да",IF(OR('19_Расчет_аналитики'!AC3473=0,2&lt;='01_Вводные'!$B$297),0,'19_Расчет_аналитики'!AC3473*IF('01_Вводные'!$B$239="Да",MeanMinAge02+'19_Расчет_аналитики'!AC3595*SUMIF(ThresholdAge02,"&lt;"&amp;'19_Расчет_аналитики'!AC3595,WeightedRevAge02)-SUMIF(ThresholdAge02,"&lt;"&amp;'19_Расчет_аналитики'!AC3595,WeightedMinAge02),MAX(CapacityAge02*'01_Вводные'!$B$218*'19_Расчет_аналитики'!AC3595,MeanMinAge02))),0)</f>
        <v/>
      </c>
      <c r="AD3501">
        <f>IF('01_Вводные'!$B$234="Да",IF(OR('19_Расчет_аналитики'!AD3473=0,2&lt;='01_Вводные'!$B$297),0,'19_Расчет_аналитики'!AD3473*IF('01_Вводные'!$B$239="Да",MeanMinAge02+'19_Расчет_аналитики'!AD3595*SUMIF(ThresholdAge02,"&lt;"&amp;'19_Расчет_аналитики'!AD3595,WeightedRevAge02)-SUMIF(ThresholdAge02,"&lt;"&amp;'19_Расчет_аналитики'!AD3595,WeightedMinAge02),MAX(CapacityAge02*'01_Вводные'!$B$218*'19_Расчет_аналитики'!AD3595,MeanMinAge02))),0)</f>
        <v/>
      </c>
      <c r="AE3501">
        <f>IF('01_Вводные'!$B$234="Да",IF(OR('19_Расчет_аналитики'!AE3473=0,2&lt;='01_Вводные'!$B$297),0,'19_Расчет_аналитики'!AE3473*IF('01_Вводные'!$B$239="Да",MeanMinAge02+'19_Расчет_аналитики'!AE3595*SUMIF(ThresholdAge02,"&lt;"&amp;'19_Расчет_аналитики'!AE3595,WeightedRevAge02)-SUMIF(ThresholdAge02,"&lt;"&amp;'19_Расчет_аналитики'!AE3595,WeightedMinAge02),MAX(CapacityAge02*'01_Вводные'!$B$218*'19_Расчет_аналитики'!AE3595,MeanMinAge02))),0)</f>
        <v/>
      </c>
      <c r="AF3501">
        <f>IF('01_Вводные'!$B$234="Да",IF(OR('19_Расчет_аналитики'!AF3473=0,2&lt;='01_Вводные'!$B$297),0,'19_Расчет_аналитики'!AF3473*IF('01_Вводные'!$B$239="Да",MeanMinAge02+'19_Расчет_аналитики'!AF3595*SUMIF(ThresholdAge02,"&lt;"&amp;'19_Расчет_аналитики'!AF3595,WeightedRevAge02)-SUMIF(ThresholdAge02,"&lt;"&amp;'19_Расчет_аналитики'!AF3595,WeightedMinAge02),MAX(CapacityAge02*'01_Вводные'!$B$218*'19_Расчет_аналитики'!AF3595,MeanMinAge02))),0)</f>
        <v/>
      </c>
      <c r="AG3501">
        <f>IF('01_Вводные'!$B$234="Да",IF(OR('19_Расчет_аналитики'!AG3473=0,2&lt;='01_Вводные'!$B$297),0,'19_Расчет_аналитики'!AG3473*IF('01_Вводные'!$B$239="Да",MeanMinAge02+'19_Расчет_аналитики'!AG3595*SUMIF(ThresholdAge02,"&lt;"&amp;'19_Расчет_аналитики'!AG3595,WeightedRevAge02)-SUMIF(ThresholdAge02,"&lt;"&amp;'19_Расчет_аналитики'!AG3595,WeightedMinAge02),MAX(CapacityAge02*'01_Вводные'!$B$218*'19_Расчет_аналитики'!AG3595,MeanMinAge02))),0)</f>
        <v/>
      </c>
      <c r="AH3501">
        <f>IF('01_Вводные'!$B$234="Да",IF(OR('19_Расчет_аналитики'!AH3473=0,2&lt;='01_Вводные'!$B$297),0,'19_Расчет_аналитики'!AH3473*IF('01_Вводные'!$B$239="Да",MeanMinAge02+'19_Расчет_аналитики'!AH3595*SUMIF(ThresholdAge02,"&lt;"&amp;'19_Расчет_аналитики'!AH3595,WeightedRevAge02)-SUMIF(ThresholdAge02,"&lt;"&amp;'19_Расчет_аналитики'!AH3595,WeightedMinAge02),MAX(CapacityAge02*'01_Вводные'!$B$218*'19_Расчет_аналитики'!AH3595,MeanMinAge02))),0)</f>
        <v/>
      </c>
      <c r="AI3501">
        <f>IF('01_Вводные'!$B$234="Да",IF(OR('19_Расчет_аналитики'!AI3473=0,2&lt;='01_Вводные'!$B$297),0,'19_Расчет_аналитики'!AI3473*IF('01_Вводные'!$B$239="Да",MeanMinAge02+'19_Расчет_аналитики'!AI3595*SUMIF(ThresholdAge02,"&lt;"&amp;'19_Расчет_аналитики'!AI3595,WeightedRevAge02)-SUMIF(ThresholdAge02,"&lt;"&amp;'19_Расчет_аналитики'!AI3595,WeightedMinAge02),MAX(CapacityAge02*'01_Вводные'!$B$218*'19_Расчет_аналитики'!AI3595,MeanMinAge02))),0)</f>
        <v/>
      </c>
      <c r="AJ3501">
        <f>IF('01_Вводные'!$B$234="Да",IF(OR('19_Расчет_аналитики'!AJ3473=0,2&lt;='01_Вводные'!$B$297),0,'19_Расчет_аналитики'!AJ3473*IF('01_Вводные'!$B$239="Да",MeanMinAge02+'19_Расчет_аналитики'!AJ3595*SUMIF(ThresholdAge02,"&lt;"&amp;'19_Расчет_аналитики'!AJ3595,WeightedRevAge02)-SUMIF(ThresholdAge02,"&lt;"&amp;'19_Расчет_аналитики'!AJ3595,WeightedMinAge02),MAX(CapacityAge02*'01_Вводные'!$B$218*'19_Расчет_аналитики'!AJ3595,MeanMinAge02))),0)</f>
        <v/>
      </c>
      <c r="AK3501">
        <f>IF('01_Вводные'!$B$234="Да",IF(OR('19_Расчет_аналитики'!AK3473=0,2&lt;='01_Вводные'!$B$297),0,'19_Расчет_аналитики'!AK3473*IF('01_Вводные'!$B$239="Да",MeanMinAge02+'19_Расчет_аналитики'!AK3595*SUMIF(ThresholdAge02,"&lt;"&amp;'19_Расчет_аналитики'!AK3595,WeightedRevAge02)-SUMIF(ThresholdAge02,"&lt;"&amp;'19_Расчет_аналитики'!AK3595,WeightedMinAge02),MAX(CapacityAge02*'01_Вводные'!$B$218*'19_Расчет_аналитики'!AK3595,MeanMinAge02))),0)</f>
        <v/>
      </c>
      <c r="AL3501">
        <f>IF('01_Вводные'!$B$234="Да",IF(OR('19_Расчет_аналитики'!AL3473=0,2&lt;='01_Вводные'!$B$297),0,'19_Расчет_аналитики'!AL3473*IF('01_Вводные'!$B$239="Да",MeanMinAge02+'19_Расчет_аналитики'!AL3595*SUMIF(ThresholdAge02,"&lt;"&amp;'19_Расчет_аналитики'!AL3595,WeightedRevAge02)-SUMIF(ThresholdAge02,"&lt;"&amp;'19_Расчет_аналитики'!AL3595,WeightedMinAge02),MAX(CapacityAge02*'01_Вводные'!$B$218*'19_Расчет_аналитики'!AL3595,MeanMinAge02))),0)</f>
        <v/>
      </c>
      <c r="AM3501">
        <f>IF('01_Вводные'!$B$234="Да",IF(OR('19_Расчет_аналитики'!AM3473=0,2&lt;='01_Вводные'!$B$297),0,'19_Расчет_аналитики'!AM3473*IF('01_Вводные'!$B$239="Да",MeanMinAge02+'19_Расчет_аналитики'!AM3595*SUMIF(ThresholdAge02,"&lt;"&amp;'19_Расчет_аналитики'!AM3595,WeightedRevAge02)-SUMIF(ThresholdAge02,"&lt;"&amp;'19_Расчет_аналитики'!AM3595,WeightedMinAge02),MAX(CapacityAge02*'01_Вводные'!$B$218*'19_Расчет_аналитики'!AM3595,MeanMinAge02))),0)</f>
        <v/>
      </c>
      <c r="AN3501">
        <f>IF('01_Вводные'!$B$234="Да",IF(OR('19_Расчет_аналитики'!AN3473=0,2&lt;='01_Вводные'!$B$297),0,'19_Расчет_аналитики'!AN3473*IF('01_Вводные'!$B$239="Да",MeanMinAge02+'19_Расчет_аналитики'!AN3595*SUMIF(ThresholdAge02,"&lt;"&amp;'19_Расчет_аналитики'!AN3595,WeightedRevAge02)-SUMIF(ThresholdAge02,"&lt;"&amp;'19_Расчет_аналитики'!AN3595,WeightedMinAge02),MAX(CapacityAge02*'01_Вводные'!$B$218*'19_Расчет_аналитики'!AN3595,MeanMinAge02))),0)</f>
        <v/>
      </c>
      <c r="AO3501">
        <f>IF('01_Вводные'!$B$234="Да",IF(OR('19_Расчет_аналитики'!AO3473=0,2&lt;='01_Вводные'!$B$297),0,'19_Расчет_аналитики'!AO3473*IF('01_Вводные'!$B$239="Да",MeanMinAge02+'19_Расчет_аналитики'!AO3595*SUMIF(ThresholdAge02,"&lt;"&amp;'19_Расчет_аналитики'!AO3595,WeightedRevAge02)-SUMIF(ThresholdAge02,"&lt;"&amp;'19_Расчет_аналитики'!AO3595,WeightedMinAge02),MAX(CapacityAge02*'01_Вводные'!$B$218*'19_Расчет_аналитики'!AO3595,MeanMinAge02))),0)</f>
        <v/>
      </c>
      <c r="AP3501">
        <f>IF('01_Вводные'!$B$234="Да",IF(OR('19_Расчет_аналитики'!AP3473=0,2&lt;='01_Вводные'!$B$297),0,'19_Расчет_аналитики'!AP3473*IF('01_Вводные'!$B$239="Да",MeanMinAge02+'19_Расчет_аналитики'!AP3595*SUMIF(ThresholdAge02,"&lt;"&amp;'19_Расчет_аналитики'!AP3595,WeightedRevAge02)-SUMIF(ThresholdAge02,"&lt;"&amp;'19_Расчет_аналитики'!AP3595,WeightedMinAge02),MAX(CapacityAge02*'01_Вводные'!$B$218*'19_Расчет_аналитики'!AP3595,MeanMinAge02))),0)</f>
        <v/>
      </c>
      <c r="AQ3501">
        <f>IF('01_Вводные'!$B$234="Да",IF(OR('19_Расчет_аналитики'!AQ3473=0,2&lt;='01_Вводные'!$B$297),0,'19_Расчет_аналитики'!AQ3473*IF('01_Вводные'!$B$239="Да",MeanMinAge02+'19_Расчет_аналитики'!AQ3595*SUMIF(ThresholdAge02,"&lt;"&amp;'19_Расчет_аналитики'!AQ3595,WeightedRevAge02)-SUMIF(ThresholdAge02,"&lt;"&amp;'19_Расчет_аналитики'!AQ3595,WeightedMinAge02),MAX(CapacityAge02*'01_Вводные'!$B$218*'19_Расчет_аналитики'!AQ3595,MeanMinAge02))),0)</f>
        <v/>
      </c>
      <c r="AR3501">
        <f>IF('01_Вводные'!$B$234="Да",IF(OR('19_Расчет_аналитики'!AR3473=0,2&lt;='01_Вводные'!$B$297),0,'19_Расчет_аналитики'!AR3473*IF('01_Вводные'!$B$239="Да",MeanMinAge02+'19_Расчет_аналитики'!AR3595*SUMIF(ThresholdAge02,"&lt;"&amp;'19_Расчет_аналитики'!AR3595,WeightedRevAge02)-SUMIF(ThresholdAge02,"&lt;"&amp;'19_Расчет_аналитики'!AR3595,WeightedMinAge02),MAX(CapacityAge02*'01_Вводные'!$B$218*'19_Расчет_аналитики'!AR3595,MeanMinAge02))),0)</f>
        <v/>
      </c>
      <c r="AS3501">
        <f>IF('01_Вводные'!$B$234="Да",IF(OR('19_Расчет_аналитики'!AS3473=0,2&lt;='01_Вводные'!$B$297),0,'19_Расчет_аналитики'!AS3473*IF('01_Вводные'!$B$239="Да",MeanMinAge02+'19_Расчет_аналитики'!AS3595*SUMIF(ThresholdAge02,"&lt;"&amp;'19_Расчет_аналитики'!AS3595,WeightedRevAge02)-SUMIF(ThresholdAge02,"&lt;"&amp;'19_Расчет_аналитики'!AS3595,WeightedMinAge02),MAX(CapacityAge02*'01_Вводные'!$B$218*'19_Расчет_аналитики'!AS3595,MeanMinAge02))),0)</f>
        <v/>
      </c>
      <c r="AT3501">
        <f>IF('01_Вводные'!$B$234="Да",IF(OR('19_Расчет_аналитики'!AT3473=0,2&lt;='01_Вводные'!$B$297),0,'19_Расчет_аналитики'!AT3473*IF('01_Вводные'!$B$239="Да",MeanMinAge02+'19_Расчет_аналитики'!AT3595*SUMIF(ThresholdAge02,"&lt;"&amp;'19_Расчет_аналитики'!AT3595,WeightedRevAge02)-SUMIF(ThresholdAge02,"&lt;"&amp;'19_Расчет_аналитики'!AT3595,WeightedMinAge02),MAX(CapacityAge02*'01_Вводные'!$B$218*'19_Расчет_аналитики'!AT3595,MeanMinAge02))),0)</f>
        <v/>
      </c>
      <c r="AU3501">
        <f>IF('01_Вводные'!$B$234="Да",IF(OR('19_Расчет_аналитики'!AU3473=0,2&lt;='01_Вводные'!$B$297),0,'19_Расчет_аналитики'!AU3473*IF('01_Вводные'!$B$239="Да",MeanMinAge02+'19_Расчет_аналитики'!AU3595*SUMIF(ThresholdAge02,"&lt;"&amp;'19_Расчет_аналитики'!AU3595,WeightedRevAge02)-SUMIF(ThresholdAge02,"&lt;"&amp;'19_Расчет_аналитики'!AU3595,WeightedMinAge02),MAX(CapacityAge02*'01_Вводные'!$B$218*'19_Расчет_аналитики'!AU3595,MeanMinAge02))),0)</f>
        <v/>
      </c>
      <c r="AV3501">
        <f>IF('01_Вводные'!$B$234="Да",IF(OR('19_Расчет_аналитики'!AV3473=0,2&lt;='01_Вводные'!$B$297),0,'19_Расчет_аналитики'!AV3473*IF('01_Вводные'!$B$239="Да",MeanMinAge02+'19_Расчет_аналитики'!AV3595*SUMIF(ThresholdAge02,"&lt;"&amp;'19_Расчет_аналитики'!AV3595,WeightedRevAge02)-SUMIF(ThresholdAge02,"&lt;"&amp;'19_Расчет_аналитики'!AV3595,WeightedMinAge02),MAX(CapacityAge02*'01_Вводные'!$B$218*'19_Расчет_аналитики'!AV3595,MeanMinAge02))),0)</f>
        <v/>
      </c>
      <c r="AW3501">
        <f>IF('01_Вводные'!$B$234="Да",IF(OR('19_Расчет_аналитики'!AW3473=0,2&lt;='01_Вводные'!$B$297),0,'19_Расчет_аналитики'!AW3473*IF('01_Вводные'!$B$239="Да",MeanMinAge02+'19_Расчет_аналитики'!AW3595*SUMIF(ThresholdAge02,"&lt;"&amp;'19_Расчет_аналитики'!AW3595,WeightedRevAge02)-SUMIF(ThresholdAge02,"&lt;"&amp;'19_Расчет_аналитики'!AW3595,WeightedMinAge02),MAX(CapacityAge02*'01_Вводные'!$B$218*'19_Расчет_аналитики'!AW3595,MeanMinAge02))),0)</f>
        <v/>
      </c>
      <c r="AX3501">
        <f>IF('01_Вводные'!$B$234="Да",IF(OR('19_Расчет_аналитики'!AX3473=0,2&lt;='01_Вводные'!$B$297),0,'19_Расчет_аналитики'!AX3473*IF('01_Вводные'!$B$239="Да",MeanMinAge02+'19_Расчет_аналитики'!AX3595*SUMIF(ThresholdAge02,"&lt;"&amp;'19_Расчет_аналитики'!AX3595,WeightedRevAge02)-SUMIF(ThresholdAge02,"&lt;"&amp;'19_Расчет_аналитики'!AX3595,WeightedMinAge02),MAX(CapacityAge02*'01_Вводные'!$B$218*'19_Расчет_аналитики'!AX3595,MeanMinAge02))),0)</f>
        <v/>
      </c>
      <c r="AY3501">
        <f>IF('01_Вводные'!$B$234="Да",IF(OR('19_Расчет_аналитики'!AY3473=0,2&lt;='01_Вводные'!$B$297),0,'19_Расчет_аналитики'!AY3473*IF('01_Вводные'!$B$239="Да",MeanMinAge02+'19_Расчет_аналитики'!AY3595*SUMIF(ThresholdAge02,"&lt;"&amp;'19_Расчет_аналитики'!AY3595,WeightedRevAge02)-SUMIF(ThresholdAge02,"&lt;"&amp;'19_Расчет_аналитики'!AY3595,WeightedMinAge02),MAX(CapacityAge02*'01_Вводные'!$B$218*'19_Расчет_аналитики'!AY3595,MeanMinAge02))),0)</f>
        <v/>
      </c>
      <c r="AZ3501">
        <f>IF('01_Вводные'!$B$234="Да",IF(OR('19_Расчет_аналитики'!AZ3473=0,2&lt;='01_Вводные'!$B$297),0,'19_Расчет_аналитики'!AZ3473*IF('01_Вводные'!$B$239="Да",MeanMinAge02+'19_Расчет_аналитики'!AZ3595*SUMIF(ThresholdAge02,"&lt;"&amp;'19_Расчет_аналитики'!AZ3595,WeightedRevAge02)-SUMIF(ThresholdAge02,"&lt;"&amp;'19_Расчет_аналитики'!AZ3595,WeightedMinAge02),MAX(CapacityAge02*'01_Вводные'!$B$218*'19_Расчет_аналитики'!AZ3595,MeanMinAge02))),0)</f>
        <v/>
      </c>
      <c r="BA3501">
        <f>IF('01_Вводные'!$B$234="Да",IF(OR('19_Расчет_аналитики'!BA3473=0,2&lt;='01_Вводные'!$B$297),0,'19_Расчет_аналитики'!BA3473*IF('01_Вводные'!$B$239="Да",MeanMinAge02+'19_Расчет_аналитики'!BA3595*SUMIF(ThresholdAge02,"&lt;"&amp;'19_Расчет_аналитики'!BA3595,WeightedRevAge02)-SUMIF(ThresholdAge02,"&lt;"&amp;'19_Расчет_аналитики'!BA3595,WeightedMinAge02),MAX(CapacityAge02*'01_Вводные'!$B$218*'19_Расчет_аналитики'!BA3595,MeanMinAge02))),0)</f>
        <v/>
      </c>
      <c r="BB3501">
        <f>IF('01_Вводные'!$B$234="Да",IF(OR('19_Расчет_аналитики'!BB3473=0,2&lt;='01_Вводные'!$B$297),0,'19_Расчет_аналитики'!BB3473*IF('01_Вводные'!$B$239="Да",MeanMinAge02+'19_Расчет_аналитики'!BB3595*SUMIF(ThresholdAge02,"&lt;"&amp;'19_Расчет_аналитики'!BB3595,WeightedRevAge02)-SUMIF(ThresholdAge02,"&lt;"&amp;'19_Расчет_аналитики'!BB3595,WeightedMinAge02),MAX(CapacityAge02*'01_Вводные'!$B$218*'19_Расчет_аналитики'!BB3595,MeanMinAge02))),0)</f>
        <v/>
      </c>
      <c r="BC3501">
        <f>IF('01_Вводные'!$B$234="Да",IF(OR('19_Расчет_аналитики'!BC3473=0,2&lt;='01_Вводные'!$B$297),0,'19_Расчет_аналитики'!BC3473*IF('01_Вводные'!$B$239="Да",MeanMinAge02+'19_Расчет_аналитики'!BC3595*SUMIF(ThresholdAge02,"&lt;"&amp;'19_Расчет_аналитики'!BC3595,WeightedRevAge02)-SUMIF(ThresholdAge02,"&lt;"&amp;'19_Расчет_аналитики'!BC3595,WeightedMinAge02),MAX(CapacityAge02*'01_Вводные'!$B$218*'19_Расчет_аналитики'!BC3595,MeanMinAge02))),0)</f>
        <v/>
      </c>
      <c r="BD3501">
        <f>IF('01_Вводные'!$B$234="Да",IF(OR('19_Расчет_аналитики'!BD3473=0,2&lt;='01_Вводные'!$B$297),0,'19_Расчет_аналитики'!BD3473*IF('01_Вводные'!$B$239="Да",MeanMinAge02+'19_Расчет_аналитики'!BD3595*SUMIF(ThresholdAge02,"&lt;"&amp;'19_Расчет_аналитики'!BD3595,WeightedRevAge02)-SUMIF(ThresholdAge02,"&lt;"&amp;'19_Расчет_аналитики'!BD3595,WeightedMinAge02),MAX(CapacityAge02*'01_Вводные'!$B$218*'19_Расчет_аналитики'!BD3595,MeanMinAge02))),0)</f>
        <v/>
      </c>
      <c r="BE3501">
        <f>IF('01_Вводные'!$B$234="Да",IF(OR('19_Расчет_аналитики'!BE3473=0,2&lt;='01_Вводные'!$B$297),0,'19_Расчет_аналитики'!BE3473*IF('01_Вводные'!$B$239="Да",MeanMinAge02+'19_Расчет_аналитики'!BE3595*SUMIF(ThresholdAge02,"&lt;"&amp;'19_Расчет_аналитики'!BE3595,WeightedRevAge02)-SUMIF(ThresholdAge02,"&lt;"&amp;'19_Расчет_аналитики'!BE3595,WeightedMinAge02),MAX(CapacityAge02*'01_Вводные'!$B$218*'19_Расчет_аналитики'!BE3595,MeanMinAge02))),0)</f>
        <v/>
      </c>
      <c r="BF3501">
        <f>IF('01_Вводные'!$B$234="Да",IF(OR('19_Расчет_аналитики'!BF3473=0,2&lt;='01_Вводные'!$B$297),0,'19_Расчет_аналитики'!BF3473*IF('01_Вводные'!$B$239="Да",MeanMinAge02+'19_Расчет_аналитики'!BF3595*SUMIF(ThresholdAge02,"&lt;"&amp;'19_Расчет_аналитики'!BF3595,WeightedRevAge02)-SUMIF(ThresholdAge02,"&lt;"&amp;'19_Расчет_аналитики'!BF3595,WeightedMinAge02),MAX(CapacityAge02*'01_Вводные'!$B$218*'19_Расчет_аналитики'!BF3595,MeanMinAge02))),0)</f>
        <v/>
      </c>
      <c r="BG3501">
        <f>IF('01_Вводные'!$B$234="Да",IF(OR('19_Расчет_аналитики'!BG3473=0,2&lt;='01_Вводные'!$B$297),0,'19_Расчет_аналитики'!BG3473*IF('01_Вводные'!$B$239="Да",MeanMinAge02+'19_Расчет_аналитики'!BG3595*SUMIF(ThresholdAge02,"&lt;"&amp;'19_Расчет_аналитики'!BG3595,WeightedRevAge02)-SUMIF(ThresholdAge02,"&lt;"&amp;'19_Расчет_аналитики'!BG3595,WeightedMinAge02),MAX(CapacityAge02*'01_Вводные'!$B$218*'19_Расчет_аналитики'!BG3595,MeanMinAge02))),0)</f>
        <v/>
      </c>
      <c r="BH3501">
        <f>IF('01_Вводные'!$B$234="Да",IF(OR('19_Расчет_аналитики'!BH3473=0,2&lt;='01_Вводные'!$B$297),0,'19_Расчет_аналитики'!BH3473*IF('01_Вводные'!$B$239="Да",MeanMinAge02+'19_Расчет_аналитики'!BH3595*SUMIF(ThresholdAge02,"&lt;"&amp;'19_Расчет_аналитики'!BH3595,WeightedRevAge02)-SUMIF(ThresholdAge02,"&lt;"&amp;'19_Расчет_аналитики'!BH3595,WeightedMinAge02),MAX(CapacityAge02*'01_Вводные'!$B$218*'19_Расчет_аналитики'!BH3595,MeanMinAge02))),0)</f>
        <v/>
      </c>
      <c r="BI3501">
        <f>IF('01_Вводные'!$B$234="Да",IF(OR('19_Расчет_аналитики'!BI3473=0,2&lt;='01_Вводные'!$B$297),0,'19_Расчет_аналитики'!BI3473*IF('01_Вводные'!$B$239="Да",MeanMinAge02+'19_Расчет_аналитики'!BI3595*SUMIF(ThresholdAge02,"&lt;"&amp;'19_Расчет_аналитики'!BI3595,WeightedRevAge02)-SUMIF(ThresholdAge02,"&lt;"&amp;'19_Расчет_аналитики'!BI3595,WeightedMinAge02),MAX(CapacityAge02*'01_Вводные'!$B$218*'19_Расчет_аналитики'!BI3595,MeanMinAge02))),0)</f>
        <v/>
      </c>
      <c r="BJ3501">
        <f>IF('01_Вводные'!$B$234="Да",IF(OR('19_Расчет_аналитики'!BJ3473=0,2&lt;='01_Вводные'!$B$297),0,'19_Расчет_аналитики'!BJ3473*IF('01_Вводные'!$B$239="Да",MeanMinAge02+'19_Расчет_аналитики'!BJ3595*SUMIF(ThresholdAge02,"&lt;"&amp;'19_Расчет_аналитики'!BJ3595,WeightedRevAge02)-SUMIF(ThresholdAge02,"&lt;"&amp;'19_Расчет_аналитики'!BJ3595,WeightedMinAge02),MAX(CapacityAge02*'01_Вводные'!$B$218*'19_Расчет_аналитики'!BJ3595,MeanMinAge02))),0)</f>
        <v/>
      </c>
      <c r="BK3501">
        <f>IF('01_Вводные'!$B$234="Да",IF(OR('19_Расчет_аналитики'!BK3473=0,2&lt;='01_Вводные'!$B$297),0,'19_Расчет_аналитики'!BK3473*IF('01_Вводные'!$B$239="Да",MeanMinAge02+'19_Расчет_аналитики'!BK3595*SUMIF(ThresholdAge02,"&lt;"&amp;'19_Расчет_аналитики'!BK3595,WeightedRevAge02)-SUMIF(ThresholdAge02,"&lt;"&amp;'19_Расчет_аналитики'!BK3595,WeightedMinAge02),MAX(CapacityAge02*'01_Вводные'!$B$218*'19_Расчет_аналитики'!BK3595,MeanMinAge02))),0)</f>
        <v/>
      </c>
      <c r="BL3501">
        <f>IF('01_Вводные'!$B$234="Да",IF(OR('19_Расчет_аналитики'!BL3473=0,2&lt;='01_Вводные'!$B$297),0,'19_Расчет_аналитики'!BL3473*IF('01_Вводные'!$B$239="Да",MeanMinAge02+'19_Расчет_аналитики'!BL3595*SUMIF(ThresholdAge02,"&lt;"&amp;'19_Расчет_аналитики'!BL3595,WeightedRevAge02)-SUMIF(ThresholdAge02,"&lt;"&amp;'19_Расчет_аналитики'!BL3595,WeightedMinAge02),MAX(CapacityAge02*'01_Вводные'!$B$218*'19_Расчет_аналитики'!BL3595,MeanMinAge02))),0)</f>
        <v/>
      </c>
      <c r="BM3501">
        <f>IF('01_Вводные'!$B$234="Да",IF(OR('19_Расчет_аналитики'!BM3473=0,2&lt;='01_Вводные'!$B$297),0,'19_Расчет_аналитики'!BM3473*IF('01_Вводные'!$B$239="Да",MeanMinAge02+'19_Расчет_аналитики'!BM3595*SUMIF(ThresholdAge02,"&lt;"&amp;'19_Расчет_аналитики'!BM3595,WeightedRevAge02)-SUMIF(ThresholdAge02,"&lt;"&amp;'19_Расчет_аналитики'!BM3595,WeightedMinAge02),MAX(CapacityAge02*'01_Вводные'!$B$218*'19_Расчет_аналитики'!BM3595,MeanMinAge02))),0)</f>
        <v/>
      </c>
      <c r="BN3501">
        <f>IF('01_Вводные'!$B$234="Да",IF(OR('19_Расчет_аналитики'!BN3473=0,2&lt;='01_Вводные'!$B$297),0,'19_Расчет_аналитики'!BN3473*IF('01_Вводные'!$B$239="Да",MeanMinAge02+'19_Расчет_аналитики'!BN3595*SUMIF(ThresholdAge02,"&lt;"&amp;'19_Расчет_аналитики'!BN3595,WeightedRevAge02)-SUMIF(ThresholdAge02,"&lt;"&amp;'19_Расчет_аналитики'!BN3595,WeightedMinAge02),MAX(CapacityAge02*'01_Вводные'!$B$218*'19_Расчет_аналитики'!BN3595,MeanMinAge02))),0)</f>
        <v/>
      </c>
      <c r="BO3501">
        <f>IF('01_Вводные'!$B$234="Да",IF(OR('19_Расчет_аналитики'!BO3473=0,2&lt;='01_Вводные'!$B$297),0,'19_Расчет_аналитики'!BO3473*IF('01_Вводные'!$B$239="Да",MeanMinAge02+'19_Расчет_аналитики'!BO3595*SUMIF(ThresholdAge02,"&lt;"&amp;'19_Расчет_аналитики'!BO3595,WeightedRevAge02)-SUMIF(ThresholdAge02,"&lt;"&amp;'19_Расчет_аналитики'!BO3595,WeightedMinAge02),MAX(CapacityAge02*'01_Вводные'!$B$218*'19_Расчет_аналитики'!BO3595,MeanMinAge02))),0)</f>
        <v/>
      </c>
    </row>
    <row r="3502">
      <c r="B3502">
        <f>IF('01_Вводные'!$B$234="Да",IF(OR('06_Сеть_и_дети'!B83=0,3&lt;='01_Вводные'!$B$297),0,'06_Сеть_и_дети'!B83*IF('01_Вводные'!$B$239="Да",MeanMinAge03+'19_Расчет_аналитики'!B3595*SUMIF(ThresholdAge03,"&lt;"&amp;'19_Расчет_аналитики'!B3595,WeightedRevAge03)-SUMIF(ThresholdAge03,"&lt;"&amp;'19_Расчет_аналитики'!B3595,WeightedMinAge03),MAX(CapacityAge03*'01_Вводные'!$B$218*'19_Расчет_аналитики'!B3595,MeanMinAge03))),0)</f>
        <v/>
      </c>
      <c r="C3502">
        <f>IF('01_Вводные'!$B$234="Да",IF(OR('06_Сеть_и_дети'!C83=0,3&lt;='01_Вводные'!$B$297),0,'06_Сеть_и_дети'!C83*IF('01_Вводные'!$B$239="Да",MeanMinAge03+'19_Расчет_аналитики'!C3595*SUMIF(ThresholdAge03,"&lt;"&amp;'19_Расчет_аналитики'!C3595,WeightedRevAge03)-SUMIF(ThresholdAge03,"&lt;"&amp;'19_Расчет_аналитики'!C3595,WeightedMinAge03),MAX(CapacityAge03*'01_Вводные'!$B$218*'19_Расчет_аналитики'!C3595,MeanMinAge03))),0)</f>
        <v/>
      </c>
      <c r="D3502">
        <f>IF('01_Вводные'!$B$234="Да",IF(OR('19_Расчет_аналитики'!D3474=0,3&lt;='01_Вводные'!$B$297),0,'19_Расчет_аналитики'!D3474*IF('01_Вводные'!$B$239="Да",MeanMinAge03+'19_Расчет_аналитики'!D3595*SUMIF(ThresholdAge03,"&lt;"&amp;'19_Расчет_аналитики'!D3595,WeightedRevAge03)-SUMIF(ThresholdAge03,"&lt;"&amp;'19_Расчет_аналитики'!D3595,WeightedMinAge03),MAX(CapacityAge03*'01_Вводные'!$B$218*'19_Расчет_аналитики'!D3595,MeanMinAge03))),0)</f>
        <v/>
      </c>
      <c r="E3502">
        <f>IF('01_Вводные'!$B$234="Да",IF(OR('19_Расчет_аналитики'!E3474=0,3&lt;='01_Вводные'!$B$297),0,'19_Расчет_аналитики'!E3474*IF('01_Вводные'!$B$239="Да",MeanMinAge03+'19_Расчет_аналитики'!E3595*SUMIF(ThresholdAge03,"&lt;"&amp;'19_Расчет_аналитики'!E3595,WeightedRevAge03)-SUMIF(ThresholdAge03,"&lt;"&amp;'19_Расчет_аналитики'!E3595,WeightedMinAge03),MAX(CapacityAge03*'01_Вводные'!$B$218*'19_Расчет_аналитики'!E3595,MeanMinAge03))),0)</f>
        <v/>
      </c>
      <c r="F3502">
        <f>IF('01_Вводные'!$B$234="Да",IF(OR('19_Расчет_аналитики'!F3474=0,3&lt;='01_Вводные'!$B$297),0,'19_Расчет_аналитики'!F3474*IF('01_Вводные'!$B$239="Да",MeanMinAge03+'19_Расчет_аналитики'!F3595*SUMIF(ThresholdAge03,"&lt;"&amp;'19_Расчет_аналитики'!F3595,WeightedRevAge03)-SUMIF(ThresholdAge03,"&lt;"&amp;'19_Расчет_аналитики'!F3595,WeightedMinAge03),MAX(CapacityAge03*'01_Вводные'!$B$218*'19_Расчет_аналитики'!F3595,MeanMinAge03))),0)</f>
        <v/>
      </c>
      <c r="G3502">
        <f>IF('01_Вводные'!$B$234="Да",IF(OR('19_Расчет_аналитики'!G3474=0,3&lt;='01_Вводные'!$B$297),0,'19_Расчет_аналитики'!G3474*IF('01_Вводные'!$B$239="Да",MeanMinAge03+'19_Расчет_аналитики'!G3595*SUMIF(ThresholdAge03,"&lt;"&amp;'19_Расчет_аналитики'!G3595,WeightedRevAge03)-SUMIF(ThresholdAge03,"&lt;"&amp;'19_Расчет_аналитики'!G3595,WeightedMinAge03),MAX(CapacityAge03*'01_Вводные'!$B$218*'19_Расчет_аналитики'!G3595,MeanMinAge03))),0)</f>
        <v/>
      </c>
      <c r="H3502">
        <f>IF('01_Вводные'!$B$234="Да",IF(OR('19_Расчет_аналитики'!H3474=0,3&lt;='01_Вводные'!$B$297),0,'19_Расчет_аналитики'!H3474*IF('01_Вводные'!$B$239="Да",MeanMinAge03+'19_Расчет_аналитики'!H3595*SUMIF(ThresholdAge03,"&lt;"&amp;'19_Расчет_аналитики'!H3595,WeightedRevAge03)-SUMIF(ThresholdAge03,"&lt;"&amp;'19_Расчет_аналитики'!H3595,WeightedMinAge03),MAX(CapacityAge03*'01_Вводные'!$B$218*'19_Расчет_аналитики'!H3595,MeanMinAge03))),0)</f>
        <v/>
      </c>
      <c r="I3502">
        <f>IF('01_Вводные'!$B$234="Да",IF(OR('19_Расчет_аналитики'!I3474=0,3&lt;='01_Вводные'!$B$297),0,'19_Расчет_аналитики'!I3474*IF('01_Вводные'!$B$239="Да",MeanMinAge03+'19_Расчет_аналитики'!I3595*SUMIF(ThresholdAge03,"&lt;"&amp;'19_Расчет_аналитики'!I3595,WeightedRevAge03)-SUMIF(ThresholdAge03,"&lt;"&amp;'19_Расчет_аналитики'!I3595,WeightedMinAge03),MAX(CapacityAge03*'01_Вводные'!$B$218*'19_Расчет_аналитики'!I3595,MeanMinAge03))),0)</f>
        <v/>
      </c>
      <c r="J3502">
        <f>IF('01_Вводные'!$B$234="Да",IF(OR('19_Расчет_аналитики'!J3474=0,3&lt;='01_Вводные'!$B$297),0,'19_Расчет_аналитики'!J3474*IF('01_Вводные'!$B$239="Да",MeanMinAge03+'19_Расчет_аналитики'!J3595*SUMIF(ThresholdAge03,"&lt;"&amp;'19_Расчет_аналитики'!J3595,WeightedRevAge03)-SUMIF(ThresholdAge03,"&lt;"&amp;'19_Расчет_аналитики'!J3595,WeightedMinAge03),MAX(CapacityAge03*'01_Вводные'!$B$218*'19_Расчет_аналитики'!J3595,MeanMinAge03))),0)</f>
        <v/>
      </c>
      <c r="K3502">
        <f>IF('01_Вводные'!$B$234="Да",IF(OR('19_Расчет_аналитики'!K3474=0,3&lt;='01_Вводные'!$B$297),0,'19_Расчет_аналитики'!K3474*IF('01_Вводные'!$B$239="Да",MeanMinAge03+'19_Расчет_аналитики'!K3595*SUMIF(ThresholdAge03,"&lt;"&amp;'19_Расчет_аналитики'!K3595,WeightedRevAge03)-SUMIF(ThresholdAge03,"&lt;"&amp;'19_Расчет_аналитики'!K3595,WeightedMinAge03),MAX(CapacityAge03*'01_Вводные'!$B$218*'19_Расчет_аналитики'!K3595,MeanMinAge03))),0)</f>
        <v/>
      </c>
      <c r="L3502">
        <f>IF('01_Вводные'!$B$234="Да",IF(OR('19_Расчет_аналитики'!L3474=0,3&lt;='01_Вводные'!$B$297),0,'19_Расчет_аналитики'!L3474*IF('01_Вводные'!$B$239="Да",MeanMinAge03+'19_Расчет_аналитики'!L3595*SUMIF(ThresholdAge03,"&lt;"&amp;'19_Расчет_аналитики'!L3595,WeightedRevAge03)-SUMIF(ThresholdAge03,"&lt;"&amp;'19_Расчет_аналитики'!L3595,WeightedMinAge03),MAX(CapacityAge03*'01_Вводные'!$B$218*'19_Расчет_аналитики'!L3595,MeanMinAge03))),0)</f>
        <v/>
      </c>
      <c r="M3502">
        <f>IF('01_Вводные'!$B$234="Да",IF(OR('19_Расчет_аналитики'!M3474=0,3&lt;='01_Вводные'!$B$297),0,'19_Расчет_аналитики'!M3474*IF('01_Вводные'!$B$239="Да",MeanMinAge03+'19_Расчет_аналитики'!M3595*SUMIF(ThresholdAge03,"&lt;"&amp;'19_Расчет_аналитики'!M3595,WeightedRevAge03)-SUMIF(ThresholdAge03,"&lt;"&amp;'19_Расчет_аналитики'!M3595,WeightedMinAge03),MAX(CapacityAge03*'01_Вводные'!$B$218*'19_Расчет_аналитики'!M3595,MeanMinAge03))),0)</f>
        <v/>
      </c>
      <c r="N3502">
        <f>IF('01_Вводные'!$B$234="Да",IF(OR('19_Расчет_аналитики'!N3474=0,3&lt;='01_Вводные'!$B$297),0,'19_Расчет_аналитики'!N3474*IF('01_Вводные'!$B$239="Да",MeanMinAge03+'19_Расчет_аналитики'!N3595*SUMIF(ThresholdAge03,"&lt;"&amp;'19_Расчет_аналитики'!N3595,WeightedRevAge03)-SUMIF(ThresholdAge03,"&lt;"&amp;'19_Расчет_аналитики'!N3595,WeightedMinAge03),MAX(CapacityAge03*'01_Вводные'!$B$218*'19_Расчет_аналитики'!N3595,MeanMinAge03))),0)</f>
        <v/>
      </c>
      <c r="O3502">
        <f>IF('01_Вводные'!$B$234="Да",IF(OR('19_Расчет_аналитики'!O3474=0,3&lt;='01_Вводные'!$B$297),0,'19_Расчет_аналитики'!O3474*IF('01_Вводные'!$B$239="Да",MeanMinAge03+'19_Расчет_аналитики'!O3595*SUMIF(ThresholdAge03,"&lt;"&amp;'19_Расчет_аналитики'!O3595,WeightedRevAge03)-SUMIF(ThresholdAge03,"&lt;"&amp;'19_Расчет_аналитики'!O3595,WeightedMinAge03),MAX(CapacityAge03*'01_Вводные'!$B$218*'19_Расчет_аналитики'!O3595,MeanMinAge03))),0)</f>
        <v/>
      </c>
      <c r="P3502">
        <f>IF('01_Вводные'!$B$234="Да",IF(OR('19_Расчет_аналитики'!P3474=0,3&lt;='01_Вводные'!$B$297),0,'19_Расчет_аналитики'!P3474*IF('01_Вводные'!$B$239="Да",MeanMinAge03+'19_Расчет_аналитики'!P3595*SUMIF(ThresholdAge03,"&lt;"&amp;'19_Расчет_аналитики'!P3595,WeightedRevAge03)-SUMIF(ThresholdAge03,"&lt;"&amp;'19_Расчет_аналитики'!P3595,WeightedMinAge03),MAX(CapacityAge03*'01_Вводные'!$B$218*'19_Расчет_аналитики'!P3595,MeanMinAge03))),0)</f>
        <v/>
      </c>
      <c r="Q3502">
        <f>IF('01_Вводные'!$B$234="Да",IF(OR('19_Расчет_аналитики'!Q3474=0,3&lt;='01_Вводные'!$B$297),0,'19_Расчет_аналитики'!Q3474*IF('01_Вводные'!$B$239="Да",MeanMinAge03+'19_Расчет_аналитики'!Q3595*SUMIF(ThresholdAge03,"&lt;"&amp;'19_Расчет_аналитики'!Q3595,WeightedRevAge03)-SUMIF(ThresholdAge03,"&lt;"&amp;'19_Расчет_аналитики'!Q3595,WeightedMinAge03),MAX(CapacityAge03*'01_Вводные'!$B$218*'19_Расчет_аналитики'!Q3595,MeanMinAge03))),0)</f>
        <v/>
      </c>
      <c r="R3502">
        <f>IF('01_Вводные'!$B$234="Да",IF(OR('19_Расчет_аналитики'!R3474=0,3&lt;='01_Вводные'!$B$297),0,'19_Расчет_аналитики'!R3474*IF('01_Вводные'!$B$239="Да",MeanMinAge03+'19_Расчет_аналитики'!R3595*SUMIF(ThresholdAge03,"&lt;"&amp;'19_Расчет_аналитики'!R3595,WeightedRevAge03)-SUMIF(ThresholdAge03,"&lt;"&amp;'19_Расчет_аналитики'!R3595,WeightedMinAge03),MAX(CapacityAge03*'01_Вводные'!$B$218*'19_Расчет_аналитики'!R3595,MeanMinAge03))),0)</f>
        <v/>
      </c>
      <c r="S3502">
        <f>IF('01_Вводные'!$B$234="Да",IF(OR('19_Расчет_аналитики'!S3474=0,3&lt;='01_Вводные'!$B$297),0,'19_Расчет_аналитики'!S3474*IF('01_Вводные'!$B$239="Да",MeanMinAge03+'19_Расчет_аналитики'!S3595*SUMIF(ThresholdAge03,"&lt;"&amp;'19_Расчет_аналитики'!S3595,WeightedRevAge03)-SUMIF(ThresholdAge03,"&lt;"&amp;'19_Расчет_аналитики'!S3595,WeightedMinAge03),MAX(CapacityAge03*'01_Вводные'!$B$218*'19_Расчет_аналитики'!S3595,MeanMinAge03))),0)</f>
        <v/>
      </c>
      <c r="T3502">
        <f>IF('01_Вводные'!$B$234="Да",IF(OR('19_Расчет_аналитики'!T3474=0,3&lt;='01_Вводные'!$B$297),0,'19_Расчет_аналитики'!T3474*IF('01_Вводные'!$B$239="Да",MeanMinAge03+'19_Расчет_аналитики'!T3595*SUMIF(ThresholdAge03,"&lt;"&amp;'19_Расчет_аналитики'!T3595,WeightedRevAge03)-SUMIF(ThresholdAge03,"&lt;"&amp;'19_Расчет_аналитики'!T3595,WeightedMinAge03),MAX(CapacityAge03*'01_Вводные'!$B$218*'19_Расчет_аналитики'!T3595,MeanMinAge03))),0)</f>
        <v/>
      </c>
      <c r="U3502">
        <f>IF('01_Вводные'!$B$234="Да",IF(OR('19_Расчет_аналитики'!U3474=0,3&lt;='01_Вводные'!$B$297),0,'19_Расчет_аналитики'!U3474*IF('01_Вводные'!$B$239="Да",MeanMinAge03+'19_Расчет_аналитики'!U3595*SUMIF(ThresholdAge03,"&lt;"&amp;'19_Расчет_аналитики'!U3595,WeightedRevAge03)-SUMIF(ThresholdAge03,"&lt;"&amp;'19_Расчет_аналитики'!U3595,WeightedMinAge03),MAX(CapacityAge03*'01_Вводные'!$B$218*'19_Расчет_аналитики'!U3595,MeanMinAge03))),0)</f>
        <v/>
      </c>
      <c r="V3502">
        <f>IF('01_Вводные'!$B$234="Да",IF(OR('19_Расчет_аналитики'!V3474=0,3&lt;='01_Вводные'!$B$297),0,'19_Расчет_аналитики'!V3474*IF('01_Вводные'!$B$239="Да",MeanMinAge03+'19_Расчет_аналитики'!V3595*SUMIF(ThresholdAge03,"&lt;"&amp;'19_Расчет_аналитики'!V3595,WeightedRevAge03)-SUMIF(ThresholdAge03,"&lt;"&amp;'19_Расчет_аналитики'!V3595,WeightedMinAge03),MAX(CapacityAge03*'01_Вводные'!$B$218*'19_Расчет_аналитики'!V3595,MeanMinAge03))),0)</f>
        <v/>
      </c>
      <c r="W3502">
        <f>IF('01_Вводные'!$B$234="Да",IF(OR('19_Расчет_аналитики'!W3474=0,3&lt;='01_Вводные'!$B$297),0,'19_Расчет_аналитики'!W3474*IF('01_Вводные'!$B$239="Да",MeanMinAge03+'19_Расчет_аналитики'!W3595*SUMIF(ThresholdAge03,"&lt;"&amp;'19_Расчет_аналитики'!W3595,WeightedRevAge03)-SUMIF(ThresholdAge03,"&lt;"&amp;'19_Расчет_аналитики'!W3595,WeightedMinAge03),MAX(CapacityAge03*'01_Вводные'!$B$218*'19_Расчет_аналитики'!W3595,MeanMinAge03))),0)</f>
        <v/>
      </c>
      <c r="X3502">
        <f>IF('01_Вводные'!$B$234="Да",IF(OR('19_Расчет_аналитики'!X3474=0,3&lt;='01_Вводные'!$B$297),0,'19_Расчет_аналитики'!X3474*IF('01_Вводные'!$B$239="Да",MeanMinAge03+'19_Расчет_аналитики'!X3595*SUMIF(ThresholdAge03,"&lt;"&amp;'19_Расчет_аналитики'!X3595,WeightedRevAge03)-SUMIF(ThresholdAge03,"&lt;"&amp;'19_Расчет_аналитики'!X3595,WeightedMinAge03),MAX(CapacityAge03*'01_Вводные'!$B$218*'19_Расчет_аналитики'!X3595,MeanMinAge03))),0)</f>
        <v/>
      </c>
      <c r="Y3502">
        <f>IF('01_Вводные'!$B$234="Да",IF(OR('19_Расчет_аналитики'!Y3474=0,3&lt;='01_Вводные'!$B$297),0,'19_Расчет_аналитики'!Y3474*IF('01_Вводные'!$B$239="Да",MeanMinAge03+'19_Расчет_аналитики'!Y3595*SUMIF(ThresholdAge03,"&lt;"&amp;'19_Расчет_аналитики'!Y3595,WeightedRevAge03)-SUMIF(ThresholdAge03,"&lt;"&amp;'19_Расчет_аналитики'!Y3595,WeightedMinAge03),MAX(CapacityAge03*'01_Вводные'!$B$218*'19_Расчет_аналитики'!Y3595,MeanMinAge03))),0)</f>
        <v/>
      </c>
      <c r="Z3502">
        <f>IF('01_Вводные'!$B$234="Да",IF(OR('19_Расчет_аналитики'!Z3474=0,3&lt;='01_Вводные'!$B$297),0,'19_Расчет_аналитики'!Z3474*IF('01_Вводные'!$B$239="Да",MeanMinAge03+'19_Расчет_аналитики'!Z3595*SUMIF(ThresholdAge03,"&lt;"&amp;'19_Расчет_аналитики'!Z3595,WeightedRevAge03)-SUMIF(ThresholdAge03,"&lt;"&amp;'19_Расчет_аналитики'!Z3595,WeightedMinAge03),MAX(CapacityAge03*'01_Вводные'!$B$218*'19_Расчет_аналитики'!Z3595,MeanMinAge03))),0)</f>
        <v/>
      </c>
      <c r="AA3502">
        <f>IF('01_Вводные'!$B$234="Да",IF(OR('19_Расчет_аналитики'!AA3474=0,3&lt;='01_Вводные'!$B$297),0,'19_Расчет_аналитики'!AA3474*IF('01_Вводные'!$B$239="Да",MeanMinAge03+'19_Расчет_аналитики'!AA3595*SUMIF(ThresholdAge03,"&lt;"&amp;'19_Расчет_аналитики'!AA3595,WeightedRevAge03)-SUMIF(ThresholdAge03,"&lt;"&amp;'19_Расчет_аналитики'!AA3595,WeightedMinAge03),MAX(CapacityAge03*'01_Вводные'!$B$218*'19_Расчет_аналитики'!AA3595,MeanMinAge03))),0)</f>
        <v/>
      </c>
      <c r="AB3502">
        <f>IF('01_Вводные'!$B$234="Да",IF(OR('19_Расчет_аналитики'!AB3474=0,3&lt;='01_Вводные'!$B$297),0,'19_Расчет_аналитики'!AB3474*IF('01_Вводные'!$B$239="Да",MeanMinAge03+'19_Расчет_аналитики'!AB3595*SUMIF(ThresholdAge03,"&lt;"&amp;'19_Расчет_аналитики'!AB3595,WeightedRevAge03)-SUMIF(ThresholdAge03,"&lt;"&amp;'19_Расчет_аналитики'!AB3595,WeightedMinAge03),MAX(CapacityAge03*'01_Вводные'!$B$218*'19_Расчет_аналитики'!AB3595,MeanMinAge03))),0)</f>
        <v/>
      </c>
      <c r="AC3502">
        <f>IF('01_Вводные'!$B$234="Да",IF(OR('19_Расчет_аналитики'!AC3474=0,3&lt;='01_Вводные'!$B$297),0,'19_Расчет_аналитики'!AC3474*IF('01_Вводные'!$B$239="Да",MeanMinAge03+'19_Расчет_аналитики'!AC3595*SUMIF(ThresholdAge03,"&lt;"&amp;'19_Расчет_аналитики'!AC3595,WeightedRevAge03)-SUMIF(ThresholdAge03,"&lt;"&amp;'19_Расчет_аналитики'!AC3595,WeightedMinAge03),MAX(CapacityAge03*'01_Вводные'!$B$218*'19_Расчет_аналитики'!AC3595,MeanMinAge03))),0)</f>
        <v/>
      </c>
      <c r="AD3502">
        <f>IF('01_Вводные'!$B$234="Да",IF(OR('19_Расчет_аналитики'!AD3474=0,3&lt;='01_Вводные'!$B$297),0,'19_Расчет_аналитики'!AD3474*IF('01_Вводные'!$B$239="Да",MeanMinAge03+'19_Расчет_аналитики'!AD3595*SUMIF(ThresholdAge03,"&lt;"&amp;'19_Расчет_аналитики'!AD3595,WeightedRevAge03)-SUMIF(ThresholdAge03,"&lt;"&amp;'19_Расчет_аналитики'!AD3595,WeightedMinAge03),MAX(CapacityAge03*'01_Вводные'!$B$218*'19_Расчет_аналитики'!AD3595,MeanMinAge03))),0)</f>
        <v/>
      </c>
      <c r="AE3502">
        <f>IF('01_Вводные'!$B$234="Да",IF(OR('19_Расчет_аналитики'!AE3474=0,3&lt;='01_Вводные'!$B$297),0,'19_Расчет_аналитики'!AE3474*IF('01_Вводные'!$B$239="Да",MeanMinAge03+'19_Расчет_аналитики'!AE3595*SUMIF(ThresholdAge03,"&lt;"&amp;'19_Расчет_аналитики'!AE3595,WeightedRevAge03)-SUMIF(ThresholdAge03,"&lt;"&amp;'19_Расчет_аналитики'!AE3595,WeightedMinAge03),MAX(CapacityAge03*'01_Вводные'!$B$218*'19_Расчет_аналитики'!AE3595,MeanMinAge03))),0)</f>
        <v/>
      </c>
      <c r="AF3502">
        <f>IF('01_Вводные'!$B$234="Да",IF(OR('19_Расчет_аналитики'!AF3474=0,3&lt;='01_Вводные'!$B$297),0,'19_Расчет_аналитики'!AF3474*IF('01_Вводные'!$B$239="Да",MeanMinAge03+'19_Расчет_аналитики'!AF3595*SUMIF(ThresholdAge03,"&lt;"&amp;'19_Расчет_аналитики'!AF3595,WeightedRevAge03)-SUMIF(ThresholdAge03,"&lt;"&amp;'19_Расчет_аналитики'!AF3595,WeightedMinAge03),MAX(CapacityAge03*'01_Вводные'!$B$218*'19_Расчет_аналитики'!AF3595,MeanMinAge03))),0)</f>
        <v/>
      </c>
      <c r="AG3502">
        <f>IF('01_Вводные'!$B$234="Да",IF(OR('19_Расчет_аналитики'!AG3474=0,3&lt;='01_Вводные'!$B$297),0,'19_Расчет_аналитики'!AG3474*IF('01_Вводные'!$B$239="Да",MeanMinAge03+'19_Расчет_аналитики'!AG3595*SUMIF(ThresholdAge03,"&lt;"&amp;'19_Расчет_аналитики'!AG3595,WeightedRevAge03)-SUMIF(ThresholdAge03,"&lt;"&amp;'19_Расчет_аналитики'!AG3595,WeightedMinAge03),MAX(CapacityAge03*'01_Вводные'!$B$218*'19_Расчет_аналитики'!AG3595,MeanMinAge03))),0)</f>
        <v/>
      </c>
      <c r="AH3502">
        <f>IF('01_Вводные'!$B$234="Да",IF(OR('19_Расчет_аналитики'!AH3474=0,3&lt;='01_Вводные'!$B$297),0,'19_Расчет_аналитики'!AH3474*IF('01_Вводные'!$B$239="Да",MeanMinAge03+'19_Расчет_аналитики'!AH3595*SUMIF(ThresholdAge03,"&lt;"&amp;'19_Расчет_аналитики'!AH3595,WeightedRevAge03)-SUMIF(ThresholdAge03,"&lt;"&amp;'19_Расчет_аналитики'!AH3595,WeightedMinAge03),MAX(CapacityAge03*'01_Вводные'!$B$218*'19_Расчет_аналитики'!AH3595,MeanMinAge03))),0)</f>
        <v/>
      </c>
      <c r="AI3502">
        <f>IF('01_Вводные'!$B$234="Да",IF(OR('19_Расчет_аналитики'!AI3474=0,3&lt;='01_Вводные'!$B$297),0,'19_Расчет_аналитики'!AI3474*IF('01_Вводные'!$B$239="Да",MeanMinAge03+'19_Расчет_аналитики'!AI3595*SUMIF(ThresholdAge03,"&lt;"&amp;'19_Расчет_аналитики'!AI3595,WeightedRevAge03)-SUMIF(ThresholdAge03,"&lt;"&amp;'19_Расчет_аналитики'!AI3595,WeightedMinAge03),MAX(CapacityAge03*'01_Вводные'!$B$218*'19_Расчет_аналитики'!AI3595,MeanMinAge03))),0)</f>
        <v/>
      </c>
      <c r="AJ3502">
        <f>IF('01_Вводные'!$B$234="Да",IF(OR('19_Расчет_аналитики'!AJ3474=0,3&lt;='01_Вводные'!$B$297),0,'19_Расчет_аналитики'!AJ3474*IF('01_Вводные'!$B$239="Да",MeanMinAge03+'19_Расчет_аналитики'!AJ3595*SUMIF(ThresholdAge03,"&lt;"&amp;'19_Расчет_аналитики'!AJ3595,WeightedRevAge03)-SUMIF(ThresholdAge03,"&lt;"&amp;'19_Расчет_аналитики'!AJ3595,WeightedMinAge03),MAX(CapacityAge03*'01_Вводные'!$B$218*'19_Расчет_аналитики'!AJ3595,MeanMinAge03))),0)</f>
        <v/>
      </c>
      <c r="AK3502">
        <f>IF('01_Вводные'!$B$234="Да",IF(OR('19_Расчет_аналитики'!AK3474=0,3&lt;='01_Вводные'!$B$297),0,'19_Расчет_аналитики'!AK3474*IF('01_Вводные'!$B$239="Да",MeanMinAge03+'19_Расчет_аналитики'!AK3595*SUMIF(ThresholdAge03,"&lt;"&amp;'19_Расчет_аналитики'!AK3595,WeightedRevAge03)-SUMIF(ThresholdAge03,"&lt;"&amp;'19_Расчет_аналитики'!AK3595,WeightedMinAge03),MAX(CapacityAge03*'01_Вводные'!$B$218*'19_Расчет_аналитики'!AK3595,MeanMinAge03))),0)</f>
        <v/>
      </c>
      <c r="AL3502">
        <f>IF('01_Вводные'!$B$234="Да",IF(OR('19_Расчет_аналитики'!AL3474=0,3&lt;='01_Вводные'!$B$297),0,'19_Расчет_аналитики'!AL3474*IF('01_Вводные'!$B$239="Да",MeanMinAge03+'19_Расчет_аналитики'!AL3595*SUMIF(ThresholdAge03,"&lt;"&amp;'19_Расчет_аналитики'!AL3595,WeightedRevAge03)-SUMIF(ThresholdAge03,"&lt;"&amp;'19_Расчет_аналитики'!AL3595,WeightedMinAge03),MAX(CapacityAge03*'01_Вводные'!$B$218*'19_Расчет_аналитики'!AL3595,MeanMinAge03))),0)</f>
        <v/>
      </c>
      <c r="AM3502">
        <f>IF('01_Вводные'!$B$234="Да",IF(OR('19_Расчет_аналитики'!AM3474=0,3&lt;='01_Вводные'!$B$297),0,'19_Расчет_аналитики'!AM3474*IF('01_Вводные'!$B$239="Да",MeanMinAge03+'19_Расчет_аналитики'!AM3595*SUMIF(ThresholdAge03,"&lt;"&amp;'19_Расчет_аналитики'!AM3595,WeightedRevAge03)-SUMIF(ThresholdAge03,"&lt;"&amp;'19_Расчет_аналитики'!AM3595,WeightedMinAge03),MAX(CapacityAge03*'01_Вводные'!$B$218*'19_Расчет_аналитики'!AM3595,MeanMinAge03))),0)</f>
        <v/>
      </c>
      <c r="AN3502">
        <f>IF('01_Вводные'!$B$234="Да",IF(OR('19_Расчет_аналитики'!AN3474=0,3&lt;='01_Вводные'!$B$297),0,'19_Расчет_аналитики'!AN3474*IF('01_Вводные'!$B$239="Да",MeanMinAge03+'19_Расчет_аналитики'!AN3595*SUMIF(ThresholdAge03,"&lt;"&amp;'19_Расчет_аналитики'!AN3595,WeightedRevAge03)-SUMIF(ThresholdAge03,"&lt;"&amp;'19_Расчет_аналитики'!AN3595,WeightedMinAge03),MAX(CapacityAge03*'01_Вводные'!$B$218*'19_Расчет_аналитики'!AN3595,MeanMinAge03))),0)</f>
        <v/>
      </c>
      <c r="AO3502">
        <f>IF('01_Вводные'!$B$234="Да",IF(OR('19_Расчет_аналитики'!AO3474=0,3&lt;='01_Вводные'!$B$297),0,'19_Расчет_аналитики'!AO3474*IF('01_Вводные'!$B$239="Да",MeanMinAge03+'19_Расчет_аналитики'!AO3595*SUMIF(ThresholdAge03,"&lt;"&amp;'19_Расчет_аналитики'!AO3595,WeightedRevAge03)-SUMIF(ThresholdAge03,"&lt;"&amp;'19_Расчет_аналитики'!AO3595,WeightedMinAge03),MAX(CapacityAge03*'01_Вводные'!$B$218*'19_Расчет_аналитики'!AO3595,MeanMinAge03))),0)</f>
        <v/>
      </c>
      <c r="AP3502">
        <f>IF('01_Вводные'!$B$234="Да",IF(OR('19_Расчет_аналитики'!AP3474=0,3&lt;='01_Вводные'!$B$297),0,'19_Расчет_аналитики'!AP3474*IF('01_Вводные'!$B$239="Да",MeanMinAge03+'19_Расчет_аналитики'!AP3595*SUMIF(ThresholdAge03,"&lt;"&amp;'19_Расчет_аналитики'!AP3595,WeightedRevAge03)-SUMIF(ThresholdAge03,"&lt;"&amp;'19_Расчет_аналитики'!AP3595,WeightedMinAge03),MAX(CapacityAge03*'01_Вводные'!$B$218*'19_Расчет_аналитики'!AP3595,MeanMinAge03))),0)</f>
        <v/>
      </c>
      <c r="AQ3502">
        <f>IF('01_Вводные'!$B$234="Да",IF(OR('19_Расчет_аналитики'!AQ3474=0,3&lt;='01_Вводные'!$B$297),0,'19_Расчет_аналитики'!AQ3474*IF('01_Вводные'!$B$239="Да",MeanMinAge03+'19_Расчет_аналитики'!AQ3595*SUMIF(ThresholdAge03,"&lt;"&amp;'19_Расчет_аналитики'!AQ3595,WeightedRevAge03)-SUMIF(ThresholdAge03,"&lt;"&amp;'19_Расчет_аналитики'!AQ3595,WeightedMinAge03),MAX(CapacityAge03*'01_Вводные'!$B$218*'19_Расчет_аналитики'!AQ3595,MeanMinAge03))),0)</f>
        <v/>
      </c>
      <c r="AR3502">
        <f>IF('01_Вводные'!$B$234="Да",IF(OR('19_Расчет_аналитики'!AR3474=0,3&lt;='01_Вводные'!$B$297),0,'19_Расчет_аналитики'!AR3474*IF('01_Вводные'!$B$239="Да",MeanMinAge03+'19_Расчет_аналитики'!AR3595*SUMIF(ThresholdAge03,"&lt;"&amp;'19_Расчет_аналитики'!AR3595,WeightedRevAge03)-SUMIF(ThresholdAge03,"&lt;"&amp;'19_Расчет_аналитики'!AR3595,WeightedMinAge03),MAX(CapacityAge03*'01_Вводные'!$B$218*'19_Расчет_аналитики'!AR3595,MeanMinAge03))),0)</f>
        <v/>
      </c>
      <c r="AS3502">
        <f>IF('01_Вводные'!$B$234="Да",IF(OR('19_Расчет_аналитики'!AS3474=0,3&lt;='01_Вводные'!$B$297),0,'19_Расчет_аналитики'!AS3474*IF('01_Вводные'!$B$239="Да",MeanMinAge03+'19_Расчет_аналитики'!AS3595*SUMIF(ThresholdAge03,"&lt;"&amp;'19_Расчет_аналитики'!AS3595,WeightedRevAge03)-SUMIF(ThresholdAge03,"&lt;"&amp;'19_Расчет_аналитики'!AS3595,WeightedMinAge03),MAX(CapacityAge03*'01_Вводные'!$B$218*'19_Расчет_аналитики'!AS3595,MeanMinAge03))),0)</f>
        <v/>
      </c>
      <c r="AT3502">
        <f>IF('01_Вводные'!$B$234="Да",IF(OR('19_Расчет_аналитики'!AT3474=0,3&lt;='01_Вводные'!$B$297),0,'19_Расчет_аналитики'!AT3474*IF('01_Вводные'!$B$239="Да",MeanMinAge03+'19_Расчет_аналитики'!AT3595*SUMIF(ThresholdAge03,"&lt;"&amp;'19_Расчет_аналитики'!AT3595,WeightedRevAge03)-SUMIF(ThresholdAge03,"&lt;"&amp;'19_Расчет_аналитики'!AT3595,WeightedMinAge03),MAX(CapacityAge03*'01_Вводные'!$B$218*'19_Расчет_аналитики'!AT3595,MeanMinAge03))),0)</f>
        <v/>
      </c>
      <c r="AU3502">
        <f>IF('01_Вводные'!$B$234="Да",IF(OR('19_Расчет_аналитики'!AU3474=0,3&lt;='01_Вводные'!$B$297),0,'19_Расчет_аналитики'!AU3474*IF('01_Вводные'!$B$239="Да",MeanMinAge03+'19_Расчет_аналитики'!AU3595*SUMIF(ThresholdAge03,"&lt;"&amp;'19_Расчет_аналитики'!AU3595,WeightedRevAge03)-SUMIF(ThresholdAge03,"&lt;"&amp;'19_Расчет_аналитики'!AU3595,WeightedMinAge03),MAX(CapacityAge03*'01_Вводные'!$B$218*'19_Расчет_аналитики'!AU3595,MeanMinAge03))),0)</f>
        <v/>
      </c>
      <c r="AV3502">
        <f>IF('01_Вводные'!$B$234="Да",IF(OR('19_Расчет_аналитики'!AV3474=0,3&lt;='01_Вводные'!$B$297),0,'19_Расчет_аналитики'!AV3474*IF('01_Вводные'!$B$239="Да",MeanMinAge03+'19_Расчет_аналитики'!AV3595*SUMIF(ThresholdAge03,"&lt;"&amp;'19_Расчет_аналитики'!AV3595,WeightedRevAge03)-SUMIF(ThresholdAge03,"&lt;"&amp;'19_Расчет_аналитики'!AV3595,WeightedMinAge03),MAX(CapacityAge03*'01_Вводные'!$B$218*'19_Расчет_аналитики'!AV3595,MeanMinAge03))),0)</f>
        <v/>
      </c>
      <c r="AW3502">
        <f>IF('01_Вводные'!$B$234="Да",IF(OR('19_Расчет_аналитики'!AW3474=0,3&lt;='01_Вводные'!$B$297),0,'19_Расчет_аналитики'!AW3474*IF('01_Вводные'!$B$239="Да",MeanMinAge03+'19_Расчет_аналитики'!AW3595*SUMIF(ThresholdAge03,"&lt;"&amp;'19_Расчет_аналитики'!AW3595,WeightedRevAge03)-SUMIF(ThresholdAge03,"&lt;"&amp;'19_Расчет_аналитики'!AW3595,WeightedMinAge03),MAX(CapacityAge03*'01_Вводные'!$B$218*'19_Расчет_аналитики'!AW3595,MeanMinAge03))),0)</f>
        <v/>
      </c>
      <c r="AX3502">
        <f>IF('01_Вводные'!$B$234="Да",IF(OR('19_Расчет_аналитики'!AX3474=0,3&lt;='01_Вводные'!$B$297),0,'19_Расчет_аналитики'!AX3474*IF('01_Вводные'!$B$239="Да",MeanMinAge03+'19_Расчет_аналитики'!AX3595*SUMIF(ThresholdAge03,"&lt;"&amp;'19_Расчет_аналитики'!AX3595,WeightedRevAge03)-SUMIF(ThresholdAge03,"&lt;"&amp;'19_Расчет_аналитики'!AX3595,WeightedMinAge03),MAX(CapacityAge03*'01_Вводные'!$B$218*'19_Расчет_аналитики'!AX3595,MeanMinAge03))),0)</f>
        <v/>
      </c>
      <c r="AY3502">
        <f>IF('01_Вводные'!$B$234="Да",IF(OR('19_Расчет_аналитики'!AY3474=0,3&lt;='01_Вводные'!$B$297),0,'19_Расчет_аналитики'!AY3474*IF('01_Вводные'!$B$239="Да",MeanMinAge03+'19_Расчет_аналитики'!AY3595*SUMIF(ThresholdAge03,"&lt;"&amp;'19_Расчет_аналитики'!AY3595,WeightedRevAge03)-SUMIF(ThresholdAge03,"&lt;"&amp;'19_Расчет_аналитики'!AY3595,WeightedMinAge03),MAX(CapacityAge03*'01_Вводные'!$B$218*'19_Расчет_аналитики'!AY3595,MeanMinAge03))),0)</f>
        <v/>
      </c>
      <c r="AZ3502">
        <f>IF('01_Вводные'!$B$234="Да",IF(OR('19_Расчет_аналитики'!AZ3474=0,3&lt;='01_Вводные'!$B$297),0,'19_Расчет_аналитики'!AZ3474*IF('01_Вводные'!$B$239="Да",MeanMinAge03+'19_Расчет_аналитики'!AZ3595*SUMIF(ThresholdAge03,"&lt;"&amp;'19_Расчет_аналитики'!AZ3595,WeightedRevAge03)-SUMIF(ThresholdAge03,"&lt;"&amp;'19_Расчет_аналитики'!AZ3595,WeightedMinAge03),MAX(CapacityAge03*'01_Вводные'!$B$218*'19_Расчет_аналитики'!AZ3595,MeanMinAge03))),0)</f>
        <v/>
      </c>
      <c r="BA3502">
        <f>IF('01_Вводные'!$B$234="Да",IF(OR('19_Расчет_аналитики'!BA3474=0,3&lt;='01_Вводные'!$B$297),0,'19_Расчет_аналитики'!BA3474*IF('01_Вводные'!$B$239="Да",MeanMinAge03+'19_Расчет_аналитики'!BA3595*SUMIF(ThresholdAge03,"&lt;"&amp;'19_Расчет_аналитики'!BA3595,WeightedRevAge03)-SUMIF(ThresholdAge03,"&lt;"&amp;'19_Расчет_аналитики'!BA3595,WeightedMinAge03),MAX(CapacityAge03*'01_Вводные'!$B$218*'19_Расчет_аналитики'!BA3595,MeanMinAge03))),0)</f>
        <v/>
      </c>
      <c r="BB3502">
        <f>IF('01_Вводные'!$B$234="Да",IF(OR('19_Расчет_аналитики'!BB3474=0,3&lt;='01_Вводные'!$B$297),0,'19_Расчет_аналитики'!BB3474*IF('01_Вводные'!$B$239="Да",MeanMinAge03+'19_Расчет_аналитики'!BB3595*SUMIF(ThresholdAge03,"&lt;"&amp;'19_Расчет_аналитики'!BB3595,WeightedRevAge03)-SUMIF(ThresholdAge03,"&lt;"&amp;'19_Расчет_аналитики'!BB3595,WeightedMinAge03),MAX(CapacityAge03*'01_Вводные'!$B$218*'19_Расчет_аналитики'!BB3595,MeanMinAge03))),0)</f>
        <v/>
      </c>
      <c r="BC3502">
        <f>IF('01_Вводные'!$B$234="Да",IF(OR('19_Расчет_аналитики'!BC3474=0,3&lt;='01_Вводные'!$B$297),0,'19_Расчет_аналитики'!BC3474*IF('01_Вводные'!$B$239="Да",MeanMinAge03+'19_Расчет_аналитики'!BC3595*SUMIF(ThresholdAge03,"&lt;"&amp;'19_Расчет_аналитики'!BC3595,WeightedRevAge03)-SUMIF(ThresholdAge03,"&lt;"&amp;'19_Расчет_аналитики'!BC3595,WeightedMinAge03),MAX(CapacityAge03*'01_Вводные'!$B$218*'19_Расчет_аналитики'!BC3595,MeanMinAge03))),0)</f>
        <v/>
      </c>
      <c r="BD3502">
        <f>IF('01_Вводные'!$B$234="Да",IF(OR('19_Расчет_аналитики'!BD3474=0,3&lt;='01_Вводные'!$B$297),0,'19_Расчет_аналитики'!BD3474*IF('01_Вводные'!$B$239="Да",MeanMinAge03+'19_Расчет_аналитики'!BD3595*SUMIF(ThresholdAge03,"&lt;"&amp;'19_Расчет_аналитики'!BD3595,WeightedRevAge03)-SUMIF(ThresholdAge03,"&lt;"&amp;'19_Расчет_аналитики'!BD3595,WeightedMinAge03),MAX(CapacityAge03*'01_Вводные'!$B$218*'19_Расчет_аналитики'!BD3595,MeanMinAge03))),0)</f>
        <v/>
      </c>
      <c r="BE3502">
        <f>IF('01_Вводные'!$B$234="Да",IF(OR('19_Расчет_аналитики'!BE3474=0,3&lt;='01_Вводные'!$B$297),0,'19_Расчет_аналитики'!BE3474*IF('01_Вводные'!$B$239="Да",MeanMinAge03+'19_Расчет_аналитики'!BE3595*SUMIF(ThresholdAge03,"&lt;"&amp;'19_Расчет_аналитики'!BE3595,WeightedRevAge03)-SUMIF(ThresholdAge03,"&lt;"&amp;'19_Расчет_аналитики'!BE3595,WeightedMinAge03),MAX(CapacityAge03*'01_Вводные'!$B$218*'19_Расчет_аналитики'!BE3595,MeanMinAge03))),0)</f>
        <v/>
      </c>
      <c r="BF3502">
        <f>IF('01_Вводные'!$B$234="Да",IF(OR('19_Расчет_аналитики'!BF3474=0,3&lt;='01_Вводные'!$B$297),0,'19_Расчет_аналитики'!BF3474*IF('01_Вводные'!$B$239="Да",MeanMinAge03+'19_Расчет_аналитики'!BF3595*SUMIF(ThresholdAge03,"&lt;"&amp;'19_Расчет_аналитики'!BF3595,WeightedRevAge03)-SUMIF(ThresholdAge03,"&lt;"&amp;'19_Расчет_аналитики'!BF3595,WeightedMinAge03),MAX(CapacityAge03*'01_Вводные'!$B$218*'19_Расчет_аналитики'!BF3595,MeanMinAge03))),0)</f>
        <v/>
      </c>
      <c r="BG3502">
        <f>IF('01_Вводные'!$B$234="Да",IF(OR('19_Расчет_аналитики'!BG3474=0,3&lt;='01_Вводные'!$B$297),0,'19_Расчет_аналитики'!BG3474*IF('01_Вводные'!$B$239="Да",MeanMinAge03+'19_Расчет_аналитики'!BG3595*SUMIF(ThresholdAge03,"&lt;"&amp;'19_Расчет_аналитики'!BG3595,WeightedRevAge03)-SUMIF(ThresholdAge03,"&lt;"&amp;'19_Расчет_аналитики'!BG3595,WeightedMinAge03),MAX(CapacityAge03*'01_Вводные'!$B$218*'19_Расчет_аналитики'!BG3595,MeanMinAge03))),0)</f>
        <v/>
      </c>
      <c r="BH3502">
        <f>IF('01_Вводные'!$B$234="Да",IF(OR('19_Расчет_аналитики'!BH3474=0,3&lt;='01_Вводные'!$B$297),0,'19_Расчет_аналитики'!BH3474*IF('01_Вводные'!$B$239="Да",MeanMinAge03+'19_Расчет_аналитики'!BH3595*SUMIF(ThresholdAge03,"&lt;"&amp;'19_Расчет_аналитики'!BH3595,WeightedRevAge03)-SUMIF(ThresholdAge03,"&lt;"&amp;'19_Расчет_аналитики'!BH3595,WeightedMinAge03),MAX(CapacityAge03*'01_Вводные'!$B$218*'19_Расчет_аналитики'!BH3595,MeanMinAge03))),0)</f>
        <v/>
      </c>
      <c r="BI3502">
        <f>IF('01_Вводные'!$B$234="Да",IF(OR('19_Расчет_аналитики'!BI3474=0,3&lt;='01_Вводные'!$B$297),0,'19_Расчет_аналитики'!BI3474*IF('01_Вводные'!$B$239="Да",MeanMinAge03+'19_Расчет_аналитики'!BI3595*SUMIF(ThresholdAge03,"&lt;"&amp;'19_Расчет_аналитики'!BI3595,WeightedRevAge03)-SUMIF(ThresholdAge03,"&lt;"&amp;'19_Расчет_аналитики'!BI3595,WeightedMinAge03),MAX(CapacityAge03*'01_Вводные'!$B$218*'19_Расчет_аналитики'!BI3595,MeanMinAge03))),0)</f>
        <v/>
      </c>
      <c r="BJ3502">
        <f>IF('01_Вводные'!$B$234="Да",IF(OR('19_Расчет_аналитики'!BJ3474=0,3&lt;='01_Вводные'!$B$297),0,'19_Расчет_аналитики'!BJ3474*IF('01_Вводные'!$B$239="Да",MeanMinAge03+'19_Расчет_аналитики'!BJ3595*SUMIF(ThresholdAge03,"&lt;"&amp;'19_Расчет_аналитики'!BJ3595,WeightedRevAge03)-SUMIF(ThresholdAge03,"&lt;"&amp;'19_Расчет_аналитики'!BJ3595,WeightedMinAge03),MAX(CapacityAge03*'01_Вводные'!$B$218*'19_Расчет_аналитики'!BJ3595,MeanMinAge03))),0)</f>
        <v/>
      </c>
      <c r="BK3502">
        <f>IF('01_Вводные'!$B$234="Да",IF(OR('19_Расчет_аналитики'!BK3474=0,3&lt;='01_Вводные'!$B$297),0,'19_Расчет_аналитики'!BK3474*IF('01_Вводные'!$B$239="Да",MeanMinAge03+'19_Расчет_аналитики'!BK3595*SUMIF(ThresholdAge03,"&lt;"&amp;'19_Расчет_аналитики'!BK3595,WeightedRevAge03)-SUMIF(ThresholdAge03,"&lt;"&amp;'19_Расчет_аналитики'!BK3595,WeightedMinAge03),MAX(CapacityAge03*'01_Вводные'!$B$218*'19_Расчет_аналитики'!BK3595,MeanMinAge03))),0)</f>
        <v/>
      </c>
      <c r="BL3502">
        <f>IF('01_Вводные'!$B$234="Да",IF(OR('19_Расчет_аналитики'!BL3474=0,3&lt;='01_Вводные'!$B$297),0,'19_Расчет_аналитики'!BL3474*IF('01_Вводные'!$B$239="Да",MeanMinAge03+'19_Расчет_аналитики'!BL3595*SUMIF(ThresholdAge03,"&lt;"&amp;'19_Расчет_аналитики'!BL3595,WeightedRevAge03)-SUMIF(ThresholdAge03,"&lt;"&amp;'19_Расчет_аналитики'!BL3595,WeightedMinAge03),MAX(CapacityAge03*'01_Вводные'!$B$218*'19_Расчет_аналитики'!BL3595,MeanMinAge03))),0)</f>
        <v/>
      </c>
      <c r="BM3502">
        <f>IF('01_Вводные'!$B$234="Да",IF(OR('19_Расчет_аналитики'!BM3474=0,3&lt;='01_Вводные'!$B$297),0,'19_Расчет_аналитики'!BM3474*IF('01_Вводные'!$B$239="Да",MeanMinAge03+'19_Расчет_аналитики'!BM3595*SUMIF(ThresholdAge03,"&lt;"&amp;'19_Расчет_аналитики'!BM3595,WeightedRevAge03)-SUMIF(ThresholdAge03,"&lt;"&amp;'19_Расчет_аналитики'!BM3595,WeightedMinAge03),MAX(CapacityAge03*'01_Вводные'!$B$218*'19_Расчет_аналитики'!BM3595,MeanMinAge03))),0)</f>
        <v/>
      </c>
      <c r="BN3502">
        <f>IF('01_Вводные'!$B$234="Да",IF(OR('19_Расчет_аналитики'!BN3474=0,3&lt;='01_Вводные'!$B$297),0,'19_Расчет_аналитики'!BN3474*IF('01_Вводные'!$B$239="Да",MeanMinAge03+'19_Расчет_аналитики'!BN3595*SUMIF(ThresholdAge03,"&lt;"&amp;'19_Расчет_аналитики'!BN3595,WeightedRevAge03)-SUMIF(ThresholdAge03,"&lt;"&amp;'19_Расчет_аналитики'!BN3595,WeightedMinAge03),MAX(CapacityAge03*'01_Вводные'!$B$218*'19_Расчет_аналитики'!BN3595,MeanMinAge03))),0)</f>
        <v/>
      </c>
      <c r="BO3502">
        <f>IF('01_Вводные'!$B$234="Да",IF(OR('19_Расчет_аналитики'!BO3474=0,3&lt;='01_Вводные'!$B$297),0,'19_Расчет_аналитики'!BO3474*IF('01_Вводные'!$B$239="Да",MeanMinAge03+'19_Расчет_аналитики'!BO3595*SUMIF(ThresholdAge03,"&lt;"&amp;'19_Расчет_аналитики'!BO3595,WeightedRevAge03)-SUMIF(ThresholdAge03,"&lt;"&amp;'19_Расчет_аналитики'!BO3595,WeightedMinAge03),MAX(CapacityAge03*'01_Вводные'!$B$218*'19_Расчет_аналитики'!BO3595,MeanMinAge03))),0)</f>
        <v/>
      </c>
    </row>
    <row r="3503">
      <c r="B3503">
        <f>IF('01_Вводные'!$B$234="Да",IF(OR('06_Сеть_и_дети'!B84=0,4&lt;='01_Вводные'!$B$297),0,'06_Сеть_и_дети'!B84*IF('01_Вводные'!$B$239="Да",MeanMinAge04+'19_Расчет_аналитики'!B3595*SUMIF(ThresholdAge04,"&lt;"&amp;'19_Расчет_аналитики'!B3595,WeightedRevAge04)-SUMIF(ThresholdAge04,"&lt;"&amp;'19_Расчет_аналитики'!B3595,WeightedMinAge04),MAX(CapacityAge04*'01_Вводные'!$B$218*'19_Расчет_аналитики'!B3595,MeanMinAge04))),0)</f>
        <v/>
      </c>
      <c r="C3503">
        <f>IF('01_Вводные'!$B$234="Да",IF(OR('06_Сеть_и_дети'!C84=0,4&lt;='01_Вводные'!$B$297),0,'06_Сеть_и_дети'!C84*IF('01_Вводные'!$B$239="Да",MeanMinAge04+'19_Расчет_аналитики'!C3595*SUMIF(ThresholdAge04,"&lt;"&amp;'19_Расчет_аналитики'!C3595,WeightedRevAge04)-SUMIF(ThresholdAge04,"&lt;"&amp;'19_Расчет_аналитики'!C3595,WeightedMinAge04),MAX(CapacityAge04*'01_Вводные'!$B$218*'19_Расчет_аналитики'!C3595,MeanMinAge04))),0)</f>
        <v/>
      </c>
      <c r="D3503">
        <f>IF('01_Вводные'!$B$234="Да",IF(OR('06_Сеть_и_дети'!D84=0,4&lt;='01_Вводные'!$B$297),0,'06_Сеть_и_дети'!D84*IF('01_Вводные'!$B$239="Да",MeanMinAge04+'19_Расчет_аналитики'!D3595*SUMIF(ThresholdAge04,"&lt;"&amp;'19_Расчет_аналитики'!D3595,WeightedRevAge04)-SUMIF(ThresholdAge04,"&lt;"&amp;'19_Расчет_аналитики'!D3595,WeightedMinAge04),MAX(CapacityAge04*'01_Вводные'!$B$218*'19_Расчет_аналитики'!D3595,MeanMinAge04))),0)</f>
        <v/>
      </c>
      <c r="E3503">
        <f>IF('01_Вводные'!$B$234="Да",IF(OR('19_Расчет_аналитики'!E3475=0,4&lt;='01_Вводные'!$B$297),0,'19_Расчет_аналитики'!E3475*IF('01_Вводные'!$B$239="Да",MeanMinAge04+'19_Расчет_аналитики'!E3595*SUMIF(ThresholdAge04,"&lt;"&amp;'19_Расчет_аналитики'!E3595,WeightedRevAge04)-SUMIF(ThresholdAge04,"&lt;"&amp;'19_Расчет_аналитики'!E3595,WeightedMinAge04),MAX(CapacityAge04*'01_Вводные'!$B$218*'19_Расчет_аналитики'!E3595,MeanMinAge04))),0)</f>
        <v/>
      </c>
      <c r="F3503">
        <f>IF('01_Вводные'!$B$234="Да",IF(OR('19_Расчет_аналитики'!F3475=0,4&lt;='01_Вводные'!$B$297),0,'19_Расчет_аналитики'!F3475*IF('01_Вводные'!$B$239="Да",MeanMinAge04+'19_Расчет_аналитики'!F3595*SUMIF(ThresholdAge04,"&lt;"&amp;'19_Расчет_аналитики'!F3595,WeightedRevAge04)-SUMIF(ThresholdAge04,"&lt;"&amp;'19_Расчет_аналитики'!F3595,WeightedMinAge04),MAX(CapacityAge04*'01_Вводные'!$B$218*'19_Расчет_аналитики'!F3595,MeanMinAge04))),0)</f>
        <v/>
      </c>
      <c r="G3503">
        <f>IF('01_Вводные'!$B$234="Да",IF(OR('19_Расчет_аналитики'!G3475=0,4&lt;='01_Вводные'!$B$297),0,'19_Расчет_аналитики'!G3475*IF('01_Вводные'!$B$239="Да",MeanMinAge04+'19_Расчет_аналитики'!G3595*SUMIF(ThresholdAge04,"&lt;"&amp;'19_Расчет_аналитики'!G3595,WeightedRevAge04)-SUMIF(ThresholdAge04,"&lt;"&amp;'19_Расчет_аналитики'!G3595,WeightedMinAge04),MAX(CapacityAge04*'01_Вводные'!$B$218*'19_Расчет_аналитики'!G3595,MeanMinAge04))),0)</f>
        <v/>
      </c>
      <c r="H3503">
        <f>IF('01_Вводные'!$B$234="Да",IF(OR('19_Расчет_аналитики'!H3475=0,4&lt;='01_Вводные'!$B$297),0,'19_Расчет_аналитики'!H3475*IF('01_Вводные'!$B$239="Да",MeanMinAge04+'19_Расчет_аналитики'!H3595*SUMIF(ThresholdAge04,"&lt;"&amp;'19_Расчет_аналитики'!H3595,WeightedRevAge04)-SUMIF(ThresholdAge04,"&lt;"&amp;'19_Расчет_аналитики'!H3595,WeightedMinAge04),MAX(CapacityAge04*'01_Вводные'!$B$218*'19_Расчет_аналитики'!H3595,MeanMinAge04))),0)</f>
        <v/>
      </c>
      <c r="I3503">
        <f>IF('01_Вводные'!$B$234="Да",IF(OR('19_Расчет_аналитики'!I3475=0,4&lt;='01_Вводные'!$B$297),0,'19_Расчет_аналитики'!I3475*IF('01_Вводные'!$B$239="Да",MeanMinAge04+'19_Расчет_аналитики'!I3595*SUMIF(ThresholdAge04,"&lt;"&amp;'19_Расчет_аналитики'!I3595,WeightedRevAge04)-SUMIF(ThresholdAge04,"&lt;"&amp;'19_Расчет_аналитики'!I3595,WeightedMinAge04),MAX(CapacityAge04*'01_Вводные'!$B$218*'19_Расчет_аналитики'!I3595,MeanMinAge04))),0)</f>
        <v/>
      </c>
      <c r="J3503">
        <f>IF('01_Вводные'!$B$234="Да",IF(OR('19_Расчет_аналитики'!J3475=0,4&lt;='01_Вводные'!$B$297),0,'19_Расчет_аналитики'!J3475*IF('01_Вводные'!$B$239="Да",MeanMinAge04+'19_Расчет_аналитики'!J3595*SUMIF(ThresholdAge04,"&lt;"&amp;'19_Расчет_аналитики'!J3595,WeightedRevAge04)-SUMIF(ThresholdAge04,"&lt;"&amp;'19_Расчет_аналитики'!J3595,WeightedMinAge04),MAX(CapacityAge04*'01_Вводные'!$B$218*'19_Расчет_аналитики'!J3595,MeanMinAge04))),0)</f>
        <v/>
      </c>
      <c r="K3503">
        <f>IF('01_Вводные'!$B$234="Да",IF(OR('19_Расчет_аналитики'!K3475=0,4&lt;='01_Вводные'!$B$297),0,'19_Расчет_аналитики'!K3475*IF('01_Вводные'!$B$239="Да",MeanMinAge04+'19_Расчет_аналитики'!K3595*SUMIF(ThresholdAge04,"&lt;"&amp;'19_Расчет_аналитики'!K3595,WeightedRevAge04)-SUMIF(ThresholdAge04,"&lt;"&amp;'19_Расчет_аналитики'!K3595,WeightedMinAge04),MAX(CapacityAge04*'01_Вводные'!$B$218*'19_Расчет_аналитики'!K3595,MeanMinAge04))),0)</f>
        <v/>
      </c>
      <c r="L3503">
        <f>IF('01_Вводные'!$B$234="Да",IF(OR('19_Расчет_аналитики'!L3475=0,4&lt;='01_Вводные'!$B$297),0,'19_Расчет_аналитики'!L3475*IF('01_Вводные'!$B$239="Да",MeanMinAge04+'19_Расчет_аналитики'!L3595*SUMIF(ThresholdAge04,"&lt;"&amp;'19_Расчет_аналитики'!L3595,WeightedRevAge04)-SUMIF(ThresholdAge04,"&lt;"&amp;'19_Расчет_аналитики'!L3595,WeightedMinAge04),MAX(CapacityAge04*'01_Вводные'!$B$218*'19_Расчет_аналитики'!L3595,MeanMinAge04))),0)</f>
        <v/>
      </c>
      <c r="M3503">
        <f>IF('01_Вводные'!$B$234="Да",IF(OR('19_Расчет_аналитики'!M3475=0,4&lt;='01_Вводные'!$B$297),0,'19_Расчет_аналитики'!M3475*IF('01_Вводные'!$B$239="Да",MeanMinAge04+'19_Расчет_аналитики'!M3595*SUMIF(ThresholdAge04,"&lt;"&amp;'19_Расчет_аналитики'!M3595,WeightedRevAge04)-SUMIF(ThresholdAge04,"&lt;"&amp;'19_Расчет_аналитики'!M3595,WeightedMinAge04),MAX(CapacityAge04*'01_Вводные'!$B$218*'19_Расчет_аналитики'!M3595,MeanMinAge04))),0)</f>
        <v/>
      </c>
      <c r="N3503">
        <f>IF('01_Вводные'!$B$234="Да",IF(OR('19_Расчет_аналитики'!N3475=0,4&lt;='01_Вводные'!$B$297),0,'19_Расчет_аналитики'!N3475*IF('01_Вводные'!$B$239="Да",MeanMinAge04+'19_Расчет_аналитики'!N3595*SUMIF(ThresholdAge04,"&lt;"&amp;'19_Расчет_аналитики'!N3595,WeightedRevAge04)-SUMIF(ThresholdAge04,"&lt;"&amp;'19_Расчет_аналитики'!N3595,WeightedMinAge04),MAX(CapacityAge04*'01_Вводные'!$B$218*'19_Расчет_аналитики'!N3595,MeanMinAge04))),0)</f>
        <v/>
      </c>
      <c r="O3503">
        <f>IF('01_Вводные'!$B$234="Да",IF(OR('19_Расчет_аналитики'!O3475=0,4&lt;='01_Вводные'!$B$297),0,'19_Расчет_аналитики'!O3475*IF('01_Вводные'!$B$239="Да",MeanMinAge04+'19_Расчет_аналитики'!O3595*SUMIF(ThresholdAge04,"&lt;"&amp;'19_Расчет_аналитики'!O3595,WeightedRevAge04)-SUMIF(ThresholdAge04,"&lt;"&amp;'19_Расчет_аналитики'!O3595,WeightedMinAge04),MAX(CapacityAge04*'01_Вводные'!$B$218*'19_Расчет_аналитики'!O3595,MeanMinAge04))),0)</f>
        <v/>
      </c>
      <c r="P3503">
        <f>IF('01_Вводные'!$B$234="Да",IF(OR('19_Расчет_аналитики'!P3475=0,4&lt;='01_Вводные'!$B$297),0,'19_Расчет_аналитики'!P3475*IF('01_Вводные'!$B$239="Да",MeanMinAge04+'19_Расчет_аналитики'!P3595*SUMIF(ThresholdAge04,"&lt;"&amp;'19_Расчет_аналитики'!P3595,WeightedRevAge04)-SUMIF(ThresholdAge04,"&lt;"&amp;'19_Расчет_аналитики'!P3595,WeightedMinAge04),MAX(CapacityAge04*'01_Вводные'!$B$218*'19_Расчет_аналитики'!P3595,MeanMinAge04))),0)</f>
        <v/>
      </c>
      <c r="Q3503">
        <f>IF('01_Вводные'!$B$234="Да",IF(OR('19_Расчет_аналитики'!Q3475=0,4&lt;='01_Вводные'!$B$297),0,'19_Расчет_аналитики'!Q3475*IF('01_Вводные'!$B$239="Да",MeanMinAge04+'19_Расчет_аналитики'!Q3595*SUMIF(ThresholdAge04,"&lt;"&amp;'19_Расчет_аналитики'!Q3595,WeightedRevAge04)-SUMIF(ThresholdAge04,"&lt;"&amp;'19_Расчет_аналитики'!Q3595,WeightedMinAge04),MAX(CapacityAge04*'01_Вводные'!$B$218*'19_Расчет_аналитики'!Q3595,MeanMinAge04))),0)</f>
        <v/>
      </c>
      <c r="R3503">
        <f>IF('01_Вводные'!$B$234="Да",IF(OR('19_Расчет_аналитики'!R3475=0,4&lt;='01_Вводные'!$B$297),0,'19_Расчет_аналитики'!R3475*IF('01_Вводные'!$B$239="Да",MeanMinAge04+'19_Расчет_аналитики'!R3595*SUMIF(ThresholdAge04,"&lt;"&amp;'19_Расчет_аналитики'!R3595,WeightedRevAge04)-SUMIF(ThresholdAge04,"&lt;"&amp;'19_Расчет_аналитики'!R3595,WeightedMinAge04),MAX(CapacityAge04*'01_Вводные'!$B$218*'19_Расчет_аналитики'!R3595,MeanMinAge04))),0)</f>
        <v/>
      </c>
      <c r="S3503">
        <f>IF('01_Вводные'!$B$234="Да",IF(OR('19_Расчет_аналитики'!S3475=0,4&lt;='01_Вводные'!$B$297),0,'19_Расчет_аналитики'!S3475*IF('01_Вводные'!$B$239="Да",MeanMinAge04+'19_Расчет_аналитики'!S3595*SUMIF(ThresholdAge04,"&lt;"&amp;'19_Расчет_аналитики'!S3595,WeightedRevAge04)-SUMIF(ThresholdAge04,"&lt;"&amp;'19_Расчет_аналитики'!S3595,WeightedMinAge04),MAX(CapacityAge04*'01_Вводные'!$B$218*'19_Расчет_аналитики'!S3595,MeanMinAge04))),0)</f>
        <v/>
      </c>
      <c r="T3503">
        <f>IF('01_Вводные'!$B$234="Да",IF(OR('19_Расчет_аналитики'!T3475=0,4&lt;='01_Вводные'!$B$297),0,'19_Расчет_аналитики'!T3475*IF('01_Вводные'!$B$239="Да",MeanMinAge04+'19_Расчет_аналитики'!T3595*SUMIF(ThresholdAge04,"&lt;"&amp;'19_Расчет_аналитики'!T3595,WeightedRevAge04)-SUMIF(ThresholdAge04,"&lt;"&amp;'19_Расчет_аналитики'!T3595,WeightedMinAge04),MAX(CapacityAge04*'01_Вводные'!$B$218*'19_Расчет_аналитики'!T3595,MeanMinAge04))),0)</f>
        <v/>
      </c>
      <c r="U3503">
        <f>IF('01_Вводные'!$B$234="Да",IF(OR('19_Расчет_аналитики'!U3475=0,4&lt;='01_Вводные'!$B$297),0,'19_Расчет_аналитики'!U3475*IF('01_Вводные'!$B$239="Да",MeanMinAge04+'19_Расчет_аналитики'!U3595*SUMIF(ThresholdAge04,"&lt;"&amp;'19_Расчет_аналитики'!U3595,WeightedRevAge04)-SUMIF(ThresholdAge04,"&lt;"&amp;'19_Расчет_аналитики'!U3595,WeightedMinAge04),MAX(CapacityAge04*'01_Вводные'!$B$218*'19_Расчет_аналитики'!U3595,MeanMinAge04))),0)</f>
        <v/>
      </c>
      <c r="V3503">
        <f>IF('01_Вводные'!$B$234="Да",IF(OR('19_Расчет_аналитики'!V3475=0,4&lt;='01_Вводные'!$B$297),0,'19_Расчет_аналитики'!V3475*IF('01_Вводные'!$B$239="Да",MeanMinAge04+'19_Расчет_аналитики'!V3595*SUMIF(ThresholdAge04,"&lt;"&amp;'19_Расчет_аналитики'!V3595,WeightedRevAge04)-SUMIF(ThresholdAge04,"&lt;"&amp;'19_Расчет_аналитики'!V3595,WeightedMinAge04),MAX(CapacityAge04*'01_Вводные'!$B$218*'19_Расчет_аналитики'!V3595,MeanMinAge04))),0)</f>
        <v/>
      </c>
      <c r="W3503">
        <f>IF('01_Вводные'!$B$234="Да",IF(OR('19_Расчет_аналитики'!W3475=0,4&lt;='01_Вводные'!$B$297),0,'19_Расчет_аналитики'!W3475*IF('01_Вводные'!$B$239="Да",MeanMinAge04+'19_Расчет_аналитики'!W3595*SUMIF(ThresholdAge04,"&lt;"&amp;'19_Расчет_аналитики'!W3595,WeightedRevAge04)-SUMIF(ThresholdAge04,"&lt;"&amp;'19_Расчет_аналитики'!W3595,WeightedMinAge04),MAX(CapacityAge04*'01_Вводные'!$B$218*'19_Расчет_аналитики'!W3595,MeanMinAge04))),0)</f>
        <v/>
      </c>
      <c r="X3503">
        <f>IF('01_Вводные'!$B$234="Да",IF(OR('19_Расчет_аналитики'!X3475=0,4&lt;='01_Вводные'!$B$297),0,'19_Расчет_аналитики'!X3475*IF('01_Вводные'!$B$239="Да",MeanMinAge04+'19_Расчет_аналитики'!X3595*SUMIF(ThresholdAge04,"&lt;"&amp;'19_Расчет_аналитики'!X3595,WeightedRevAge04)-SUMIF(ThresholdAge04,"&lt;"&amp;'19_Расчет_аналитики'!X3595,WeightedMinAge04),MAX(CapacityAge04*'01_Вводные'!$B$218*'19_Расчет_аналитики'!X3595,MeanMinAge04))),0)</f>
        <v/>
      </c>
      <c r="Y3503">
        <f>IF('01_Вводные'!$B$234="Да",IF(OR('19_Расчет_аналитики'!Y3475=0,4&lt;='01_Вводные'!$B$297),0,'19_Расчет_аналитики'!Y3475*IF('01_Вводные'!$B$239="Да",MeanMinAge04+'19_Расчет_аналитики'!Y3595*SUMIF(ThresholdAge04,"&lt;"&amp;'19_Расчет_аналитики'!Y3595,WeightedRevAge04)-SUMIF(ThresholdAge04,"&lt;"&amp;'19_Расчет_аналитики'!Y3595,WeightedMinAge04),MAX(CapacityAge04*'01_Вводные'!$B$218*'19_Расчет_аналитики'!Y3595,MeanMinAge04))),0)</f>
        <v/>
      </c>
      <c r="Z3503">
        <f>IF('01_Вводные'!$B$234="Да",IF(OR('19_Расчет_аналитики'!Z3475=0,4&lt;='01_Вводные'!$B$297),0,'19_Расчет_аналитики'!Z3475*IF('01_Вводные'!$B$239="Да",MeanMinAge04+'19_Расчет_аналитики'!Z3595*SUMIF(ThresholdAge04,"&lt;"&amp;'19_Расчет_аналитики'!Z3595,WeightedRevAge04)-SUMIF(ThresholdAge04,"&lt;"&amp;'19_Расчет_аналитики'!Z3595,WeightedMinAge04),MAX(CapacityAge04*'01_Вводные'!$B$218*'19_Расчет_аналитики'!Z3595,MeanMinAge04))),0)</f>
        <v/>
      </c>
      <c r="AA3503">
        <f>IF('01_Вводные'!$B$234="Да",IF(OR('19_Расчет_аналитики'!AA3475=0,4&lt;='01_Вводные'!$B$297),0,'19_Расчет_аналитики'!AA3475*IF('01_Вводные'!$B$239="Да",MeanMinAge04+'19_Расчет_аналитики'!AA3595*SUMIF(ThresholdAge04,"&lt;"&amp;'19_Расчет_аналитики'!AA3595,WeightedRevAge04)-SUMIF(ThresholdAge04,"&lt;"&amp;'19_Расчет_аналитики'!AA3595,WeightedMinAge04),MAX(CapacityAge04*'01_Вводные'!$B$218*'19_Расчет_аналитики'!AA3595,MeanMinAge04))),0)</f>
        <v/>
      </c>
      <c r="AB3503">
        <f>IF('01_Вводные'!$B$234="Да",IF(OR('19_Расчет_аналитики'!AB3475=0,4&lt;='01_Вводные'!$B$297),0,'19_Расчет_аналитики'!AB3475*IF('01_Вводные'!$B$239="Да",MeanMinAge04+'19_Расчет_аналитики'!AB3595*SUMIF(ThresholdAge04,"&lt;"&amp;'19_Расчет_аналитики'!AB3595,WeightedRevAge04)-SUMIF(ThresholdAge04,"&lt;"&amp;'19_Расчет_аналитики'!AB3595,WeightedMinAge04),MAX(CapacityAge04*'01_Вводные'!$B$218*'19_Расчет_аналитики'!AB3595,MeanMinAge04))),0)</f>
        <v/>
      </c>
      <c r="AC3503">
        <f>IF('01_Вводные'!$B$234="Да",IF(OR('19_Расчет_аналитики'!AC3475=0,4&lt;='01_Вводные'!$B$297),0,'19_Расчет_аналитики'!AC3475*IF('01_Вводные'!$B$239="Да",MeanMinAge04+'19_Расчет_аналитики'!AC3595*SUMIF(ThresholdAge04,"&lt;"&amp;'19_Расчет_аналитики'!AC3595,WeightedRevAge04)-SUMIF(ThresholdAge04,"&lt;"&amp;'19_Расчет_аналитики'!AC3595,WeightedMinAge04),MAX(CapacityAge04*'01_Вводные'!$B$218*'19_Расчет_аналитики'!AC3595,MeanMinAge04))),0)</f>
        <v/>
      </c>
      <c r="AD3503">
        <f>IF('01_Вводные'!$B$234="Да",IF(OR('19_Расчет_аналитики'!AD3475=0,4&lt;='01_Вводные'!$B$297),0,'19_Расчет_аналитики'!AD3475*IF('01_Вводные'!$B$239="Да",MeanMinAge04+'19_Расчет_аналитики'!AD3595*SUMIF(ThresholdAge04,"&lt;"&amp;'19_Расчет_аналитики'!AD3595,WeightedRevAge04)-SUMIF(ThresholdAge04,"&lt;"&amp;'19_Расчет_аналитики'!AD3595,WeightedMinAge04),MAX(CapacityAge04*'01_Вводные'!$B$218*'19_Расчет_аналитики'!AD3595,MeanMinAge04))),0)</f>
        <v/>
      </c>
      <c r="AE3503">
        <f>IF('01_Вводные'!$B$234="Да",IF(OR('19_Расчет_аналитики'!AE3475=0,4&lt;='01_Вводные'!$B$297),0,'19_Расчет_аналитики'!AE3475*IF('01_Вводные'!$B$239="Да",MeanMinAge04+'19_Расчет_аналитики'!AE3595*SUMIF(ThresholdAge04,"&lt;"&amp;'19_Расчет_аналитики'!AE3595,WeightedRevAge04)-SUMIF(ThresholdAge04,"&lt;"&amp;'19_Расчет_аналитики'!AE3595,WeightedMinAge04),MAX(CapacityAge04*'01_Вводные'!$B$218*'19_Расчет_аналитики'!AE3595,MeanMinAge04))),0)</f>
        <v/>
      </c>
      <c r="AF3503">
        <f>IF('01_Вводные'!$B$234="Да",IF(OR('19_Расчет_аналитики'!AF3475=0,4&lt;='01_Вводные'!$B$297),0,'19_Расчет_аналитики'!AF3475*IF('01_Вводные'!$B$239="Да",MeanMinAge04+'19_Расчет_аналитики'!AF3595*SUMIF(ThresholdAge04,"&lt;"&amp;'19_Расчет_аналитики'!AF3595,WeightedRevAge04)-SUMIF(ThresholdAge04,"&lt;"&amp;'19_Расчет_аналитики'!AF3595,WeightedMinAge04),MAX(CapacityAge04*'01_Вводные'!$B$218*'19_Расчет_аналитики'!AF3595,MeanMinAge04))),0)</f>
        <v/>
      </c>
      <c r="AG3503">
        <f>IF('01_Вводные'!$B$234="Да",IF(OR('19_Расчет_аналитики'!AG3475=0,4&lt;='01_Вводные'!$B$297),0,'19_Расчет_аналитики'!AG3475*IF('01_Вводные'!$B$239="Да",MeanMinAge04+'19_Расчет_аналитики'!AG3595*SUMIF(ThresholdAge04,"&lt;"&amp;'19_Расчет_аналитики'!AG3595,WeightedRevAge04)-SUMIF(ThresholdAge04,"&lt;"&amp;'19_Расчет_аналитики'!AG3595,WeightedMinAge04),MAX(CapacityAge04*'01_Вводные'!$B$218*'19_Расчет_аналитики'!AG3595,MeanMinAge04))),0)</f>
        <v/>
      </c>
      <c r="AH3503">
        <f>IF('01_Вводные'!$B$234="Да",IF(OR('19_Расчет_аналитики'!AH3475=0,4&lt;='01_Вводные'!$B$297),0,'19_Расчет_аналитики'!AH3475*IF('01_Вводные'!$B$239="Да",MeanMinAge04+'19_Расчет_аналитики'!AH3595*SUMIF(ThresholdAge04,"&lt;"&amp;'19_Расчет_аналитики'!AH3595,WeightedRevAge04)-SUMIF(ThresholdAge04,"&lt;"&amp;'19_Расчет_аналитики'!AH3595,WeightedMinAge04),MAX(CapacityAge04*'01_Вводные'!$B$218*'19_Расчет_аналитики'!AH3595,MeanMinAge04))),0)</f>
        <v/>
      </c>
      <c r="AI3503">
        <f>IF('01_Вводные'!$B$234="Да",IF(OR('19_Расчет_аналитики'!AI3475=0,4&lt;='01_Вводные'!$B$297),0,'19_Расчет_аналитики'!AI3475*IF('01_Вводные'!$B$239="Да",MeanMinAge04+'19_Расчет_аналитики'!AI3595*SUMIF(ThresholdAge04,"&lt;"&amp;'19_Расчет_аналитики'!AI3595,WeightedRevAge04)-SUMIF(ThresholdAge04,"&lt;"&amp;'19_Расчет_аналитики'!AI3595,WeightedMinAge04),MAX(CapacityAge04*'01_Вводные'!$B$218*'19_Расчет_аналитики'!AI3595,MeanMinAge04))),0)</f>
        <v/>
      </c>
      <c r="AJ3503">
        <f>IF('01_Вводные'!$B$234="Да",IF(OR('19_Расчет_аналитики'!AJ3475=0,4&lt;='01_Вводные'!$B$297),0,'19_Расчет_аналитики'!AJ3475*IF('01_Вводные'!$B$239="Да",MeanMinAge04+'19_Расчет_аналитики'!AJ3595*SUMIF(ThresholdAge04,"&lt;"&amp;'19_Расчет_аналитики'!AJ3595,WeightedRevAge04)-SUMIF(ThresholdAge04,"&lt;"&amp;'19_Расчет_аналитики'!AJ3595,WeightedMinAge04),MAX(CapacityAge04*'01_Вводные'!$B$218*'19_Расчет_аналитики'!AJ3595,MeanMinAge04))),0)</f>
        <v/>
      </c>
      <c r="AK3503">
        <f>IF('01_Вводные'!$B$234="Да",IF(OR('19_Расчет_аналитики'!AK3475=0,4&lt;='01_Вводные'!$B$297),0,'19_Расчет_аналитики'!AK3475*IF('01_Вводные'!$B$239="Да",MeanMinAge04+'19_Расчет_аналитики'!AK3595*SUMIF(ThresholdAge04,"&lt;"&amp;'19_Расчет_аналитики'!AK3595,WeightedRevAge04)-SUMIF(ThresholdAge04,"&lt;"&amp;'19_Расчет_аналитики'!AK3595,WeightedMinAge04),MAX(CapacityAge04*'01_Вводные'!$B$218*'19_Расчет_аналитики'!AK3595,MeanMinAge04))),0)</f>
        <v/>
      </c>
      <c r="AL3503">
        <f>IF('01_Вводные'!$B$234="Да",IF(OR('19_Расчет_аналитики'!AL3475=0,4&lt;='01_Вводные'!$B$297),0,'19_Расчет_аналитики'!AL3475*IF('01_Вводные'!$B$239="Да",MeanMinAge04+'19_Расчет_аналитики'!AL3595*SUMIF(ThresholdAge04,"&lt;"&amp;'19_Расчет_аналитики'!AL3595,WeightedRevAge04)-SUMIF(ThresholdAge04,"&lt;"&amp;'19_Расчет_аналитики'!AL3595,WeightedMinAge04),MAX(CapacityAge04*'01_Вводные'!$B$218*'19_Расчет_аналитики'!AL3595,MeanMinAge04))),0)</f>
        <v/>
      </c>
      <c r="AM3503">
        <f>IF('01_Вводные'!$B$234="Да",IF(OR('19_Расчет_аналитики'!AM3475=0,4&lt;='01_Вводные'!$B$297),0,'19_Расчет_аналитики'!AM3475*IF('01_Вводные'!$B$239="Да",MeanMinAge04+'19_Расчет_аналитики'!AM3595*SUMIF(ThresholdAge04,"&lt;"&amp;'19_Расчет_аналитики'!AM3595,WeightedRevAge04)-SUMIF(ThresholdAge04,"&lt;"&amp;'19_Расчет_аналитики'!AM3595,WeightedMinAge04),MAX(CapacityAge04*'01_Вводные'!$B$218*'19_Расчет_аналитики'!AM3595,MeanMinAge04))),0)</f>
        <v/>
      </c>
      <c r="AN3503">
        <f>IF('01_Вводные'!$B$234="Да",IF(OR('19_Расчет_аналитики'!AN3475=0,4&lt;='01_Вводные'!$B$297),0,'19_Расчет_аналитики'!AN3475*IF('01_Вводные'!$B$239="Да",MeanMinAge04+'19_Расчет_аналитики'!AN3595*SUMIF(ThresholdAge04,"&lt;"&amp;'19_Расчет_аналитики'!AN3595,WeightedRevAge04)-SUMIF(ThresholdAge04,"&lt;"&amp;'19_Расчет_аналитики'!AN3595,WeightedMinAge04),MAX(CapacityAge04*'01_Вводные'!$B$218*'19_Расчет_аналитики'!AN3595,MeanMinAge04))),0)</f>
        <v/>
      </c>
      <c r="AO3503">
        <f>IF('01_Вводные'!$B$234="Да",IF(OR('19_Расчет_аналитики'!AO3475=0,4&lt;='01_Вводные'!$B$297),0,'19_Расчет_аналитики'!AO3475*IF('01_Вводные'!$B$239="Да",MeanMinAge04+'19_Расчет_аналитики'!AO3595*SUMIF(ThresholdAge04,"&lt;"&amp;'19_Расчет_аналитики'!AO3595,WeightedRevAge04)-SUMIF(ThresholdAge04,"&lt;"&amp;'19_Расчет_аналитики'!AO3595,WeightedMinAge04),MAX(CapacityAge04*'01_Вводные'!$B$218*'19_Расчет_аналитики'!AO3595,MeanMinAge04))),0)</f>
        <v/>
      </c>
      <c r="AP3503">
        <f>IF('01_Вводные'!$B$234="Да",IF(OR('19_Расчет_аналитики'!AP3475=0,4&lt;='01_Вводные'!$B$297),0,'19_Расчет_аналитики'!AP3475*IF('01_Вводные'!$B$239="Да",MeanMinAge04+'19_Расчет_аналитики'!AP3595*SUMIF(ThresholdAge04,"&lt;"&amp;'19_Расчет_аналитики'!AP3595,WeightedRevAge04)-SUMIF(ThresholdAge04,"&lt;"&amp;'19_Расчет_аналитики'!AP3595,WeightedMinAge04),MAX(CapacityAge04*'01_Вводные'!$B$218*'19_Расчет_аналитики'!AP3595,MeanMinAge04))),0)</f>
        <v/>
      </c>
      <c r="AQ3503">
        <f>IF('01_Вводные'!$B$234="Да",IF(OR('19_Расчет_аналитики'!AQ3475=0,4&lt;='01_Вводные'!$B$297),0,'19_Расчет_аналитики'!AQ3475*IF('01_Вводные'!$B$239="Да",MeanMinAge04+'19_Расчет_аналитики'!AQ3595*SUMIF(ThresholdAge04,"&lt;"&amp;'19_Расчет_аналитики'!AQ3595,WeightedRevAge04)-SUMIF(ThresholdAge04,"&lt;"&amp;'19_Расчет_аналитики'!AQ3595,WeightedMinAge04),MAX(CapacityAge04*'01_Вводные'!$B$218*'19_Расчет_аналитики'!AQ3595,MeanMinAge04))),0)</f>
        <v/>
      </c>
      <c r="AR3503">
        <f>IF('01_Вводные'!$B$234="Да",IF(OR('19_Расчет_аналитики'!AR3475=0,4&lt;='01_Вводные'!$B$297),0,'19_Расчет_аналитики'!AR3475*IF('01_Вводные'!$B$239="Да",MeanMinAge04+'19_Расчет_аналитики'!AR3595*SUMIF(ThresholdAge04,"&lt;"&amp;'19_Расчет_аналитики'!AR3595,WeightedRevAge04)-SUMIF(ThresholdAge04,"&lt;"&amp;'19_Расчет_аналитики'!AR3595,WeightedMinAge04),MAX(CapacityAge04*'01_Вводные'!$B$218*'19_Расчет_аналитики'!AR3595,MeanMinAge04))),0)</f>
        <v/>
      </c>
      <c r="AS3503">
        <f>IF('01_Вводные'!$B$234="Да",IF(OR('19_Расчет_аналитики'!AS3475=0,4&lt;='01_Вводные'!$B$297),0,'19_Расчет_аналитики'!AS3475*IF('01_Вводные'!$B$239="Да",MeanMinAge04+'19_Расчет_аналитики'!AS3595*SUMIF(ThresholdAge04,"&lt;"&amp;'19_Расчет_аналитики'!AS3595,WeightedRevAge04)-SUMIF(ThresholdAge04,"&lt;"&amp;'19_Расчет_аналитики'!AS3595,WeightedMinAge04),MAX(CapacityAge04*'01_Вводные'!$B$218*'19_Расчет_аналитики'!AS3595,MeanMinAge04))),0)</f>
        <v/>
      </c>
      <c r="AT3503">
        <f>IF('01_Вводные'!$B$234="Да",IF(OR('19_Расчет_аналитики'!AT3475=0,4&lt;='01_Вводные'!$B$297),0,'19_Расчет_аналитики'!AT3475*IF('01_Вводные'!$B$239="Да",MeanMinAge04+'19_Расчет_аналитики'!AT3595*SUMIF(ThresholdAge04,"&lt;"&amp;'19_Расчет_аналитики'!AT3595,WeightedRevAge04)-SUMIF(ThresholdAge04,"&lt;"&amp;'19_Расчет_аналитики'!AT3595,WeightedMinAge04),MAX(CapacityAge04*'01_Вводные'!$B$218*'19_Расчет_аналитики'!AT3595,MeanMinAge04))),0)</f>
        <v/>
      </c>
      <c r="AU3503">
        <f>IF('01_Вводные'!$B$234="Да",IF(OR('19_Расчет_аналитики'!AU3475=0,4&lt;='01_Вводные'!$B$297),0,'19_Расчет_аналитики'!AU3475*IF('01_Вводные'!$B$239="Да",MeanMinAge04+'19_Расчет_аналитики'!AU3595*SUMIF(ThresholdAge04,"&lt;"&amp;'19_Расчет_аналитики'!AU3595,WeightedRevAge04)-SUMIF(ThresholdAge04,"&lt;"&amp;'19_Расчет_аналитики'!AU3595,WeightedMinAge04),MAX(CapacityAge04*'01_Вводные'!$B$218*'19_Расчет_аналитики'!AU3595,MeanMinAge04))),0)</f>
        <v/>
      </c>
      <c r="AV3503">
        <f>IF('01_Вводные'!$B$234="Да",IF(OR('19_Расчет_аналитики'!AV3475=0,4&lt;='01_Вводные'!$B$297),0,'19_Расчет_аналитики'!AV3475*IF('01_Вводные'!$B$239="Да",MeanMinAge04+'19_Расчет_аналитики'!AV3595*SUMIF(ThresholdAge04,"&lt;"&amp;'19_Расчет_аналитики'!AV3595,WeightedRevAge04)-SUMIF(ThresholdAge04,"&lt;"&amp;'19_Расчет_аналитики'!AV3595,WeightedMinAge04),MAX(CapacityAge04*'01_Вводные'!$B$218*'19_Расчет_аналитики'!AV3595,MeanMinAge04))),0)</f>
        <v/>
      </c>
      <c r="AW3503">
        <f>IF('01_Вводные'!$B$234="Да",IF(OR('19_Расчет_аналитики'!AW3475=0,4&lt;='01_Вводные'!$B$297),0,'19_Расчет_аналитики'!AW3475*IF('01_Вводные'!$B$239="Да",MeanMinAge04+'19_Расчет_аналитики'!AW3595*SUMIF(ThresholdAge04,"&lt;"&amp;'19_Расчет_аналитики'!AW3595,WeightedRevAge04)-SUMIF(ThresholdAge04,"&lt;"&amp;'19_Расчет_аналитики'!AW3595,WeightedMinAge04),MAX(CapacityAge04*'01_Вводные'!$B$218*'19_Расчет_аналитики'!AW3595,MeanMinAge04))),0)</f>
        <v/>
      </c>
      <c r="AX3503">
        <f>IF('01_Вводные'!$B$234="Да",IF(OR('19_Расчет_аналитики'!AX3475=0,4&lt;='01_Вводные'!$B$297),0,'19_Расчет_аналитики'!AX3475*IF('01_Вводные'!$B$239="Да",MeanMinAge04+'19_Расчет_аналитики'!AX3595*SUMIF(ThresholdAge04,"&lt;"&amp;'19_Расчет_аналитики'!AX3595,WeightedRevAge04)-SUMIF(ThresholdAge04,"&lt;"&amp;'19_Расчет_аналитики'!AX3595,WeightedMinAge04),MAX(CapacityAge04*'01_Вводные'!$B$218*'19_Расчет_аналитики'!AX3595,MeanMinAge04))),0)</f>
        <v/>
      </c>
      <c r="AY3503">
        <f>IF('01_Вводные'!$B$234="Да",IF(OR('19_Расчет_аналитики'!AY3475=0,4&lt;='01_Вводные'!$B$297),0,'19_Расчет_аналитики'!AY3475*IF('01_Вводные'!$B$239="Да",MeanMinAge04+'19_Расчет_аналитики'!AY3595*SUMIF(ThresholdAge04,"&lt;"&amp;'19_Расчет_аналитики'!AY3595,WeightedRevAge04)-SUMIF(ThresholdAge04,"&lt;"&amp;'19_Расчет_аналитики'!AY3595,WeightedMinAge04),MAX(CapacityAge04*'01_Вводные'!$B$218*'19_Расчет_аналитики'!AY3595,MeanMinAge04))),0)</f>
        <v/>
      </c>
      <c r="AZ3503">
        <f>IF('01_Вводные'!$B$234="Да",IF(OR('19_Расчет_аналитики'!AZ3475=0,4&lt;='01_Вводные'!$B$297),0,'19_Расчет_аналитики'!AZ3475*IF('01_Вводные'!$B$239="Да",MeanMinAge04+'19_Расчет_аналитики'!AZ3595*SUMIF(ThresholdAge04,"&lt;"&amp;'19_Расчет_аналитики'!AZ3595,WeightedRevAge04)-SUMIF(ThresholdAge04,"&lt;"&amp;'19_Расчет_аналитики'!AZ3595,WeightedMinAge04),MAX(CapacityAge04*'01_Вводные'!$B$218*'19_Расчет_аналитики'!AZ3595,MeanMinAge04))),0)</f>
        <v/>
      </c>
      <c r="BA3503">
        <f>IF('01_Вводные'!$B$234="Да",IF(OR('19_Расчет_аналитики'!BA3475=0,4&lt;='01_Вводные'!$B$297),0,'19_Расчет_аналитики'!BA3475*IF('01_Вводные'!$B$239="Да",MeanMinAge04+'19_Расчет_аналитики'!BA3595*SUMIF(ThresholdAge04,"&lt;"&amp;'19_Расчет_аналитики'!BA3595,WeightedRevAge04)-SUMIF(ThresholdAge04,"&lt;"&amp;'19_Расчет_аналитики'!BA3595,WeightedMinAge04),MAX(CapacityAge04*'01_Вводные'!$B$218*'19_Расчет_аналитики'!BA3595,MeanMinAge04))),0)</f>
        <v/>
      </c>
      <c r="BB3503">
        <f>IF('01_Вводные'!$B$234="Да",IF(OR('19_Расчет_аналитики'!BB3475=0,4&lt;='01_Вводные'!$B$297),0,'19_Расчет_аналитики'!BB3475*IF('01_Вводные'!$B$239="Да",MeanMinAge04+'19_Расчет_аналитики'!BB3595*SUMIF(ThresholdAge04,"&lt;"&amp;'19_Расчет_аналитики'!BB3595,WeightedRevAge04)-SUMIF(ThresholdAge04,"&lt;"&amp;'19_Расчет_аналитики'!BB3595,WeightedMinAge04),MAX(CapacityAge04*'01_Вводные'!$B$218*'19_Расчет_аналитики'!BB3595,MeanMinAge04))),0)</f>
        <v/>
      </c>
      <c r="BC3503">
        <f>IF('01_Вводные'!$B$234="Да",IF(OR('19_Расчет_аналитики'!BC3475=0,4&lt;='01_Вводные'!$B$297),0,'19_Расчет_аналитики'!BC3475*IF('01_Вводные'!$B$239="Да",MeanMinAge04+'19_Расчет_аналитики'!BC3595*SUMIF(ThresholdAge04,"&lt;"&amp;'19_Расчет_аналитики'!BC3595,WeightedRevAge04)-SUMIF(ThresholdAge04,"&lt;"&amp;'19_Расчет_аналитики'!BC3595,WeightedMinAge04),MAX(CapacityAge04*'01_Вводные'!$B$218*'19_Расчет_аналитики'!BC3595,MeanMinAge04))),0)</f>
        <v/>
      </c>
      <c r="BD3503">
        <f>IF('01_Вводные'!$B$234="Да",IF(OR('19_Расчет_аналитики'!BD3475=0,4&lt;='01_Вводные'!$B$297),0,'19_Расчет_аналитики'!BD3475*IF('01_Вводные'!$B$239="Да",MeanMinAge04+'19_Расчет_аналитики'!BD3595*SUMIF(ThresholdAge04,"&lt;"&amp;'19_Расчет_аналитики'!BD3595,WeightedRevAge04)-SUMIF(ThresholdAge04,"&lt;"&amp;'19_Расчет_аналитики'!BD3595,WeightedMinAge04),MAX(CapacityAge04*'01_Вводные'!$B$218*'19_Расчет_аналитики'!BD3595,MeanMinAge04))),0)</f>
        <v/>
      </c>
      <c r="BE3503">
        <f>IF('01_Вводные'!$B$234="Да",IF(OR('19_Расчет_аналитики'!BE3475=0,4&lt;='01_Вводные'!$B$297),0,'19_Расчет_аналитики'!BE3475*IF('01_Вводные'!$B$239="Да",MeanMinAge04+'19_Расчет_аналитики'!BE3595*SUMIF(ThresholdAge04,"&lt;"&amp;'19_Расчет_аналитики'!BE3595,WeightedRevAge04)-SUMIF(ThresholdAge04,"&lt;"&amp;'19_Расчет_аналитики'!BE3595,WeightedMinAge04),MAX(CapacityAge04*'01_Вводные'!$B$218*'19_Расчет_аналитики'!BE3595,MeanMinAge04))),0)</f>
        <v/>
      </c>
      <c r="BF3503">
        <f>IF('01_Вводные'!$B$234="Да",IF(OR('19_Расчет_аналитики'!BF3475=0,4&lt;='01_Вводные'!$B$297),0,'19_Расчет_аналитики'!BF3475*IF('01_Вводные'!$B$239="Да",MeanMinAge04+'19_Расчет_аналитики'!BF3595*SUMIF(ThresholdAge04,"&lt;"&amp;'19_Расчет_аналитики'!BF3595,WeightedRevAge04)-SUMIF(ThresholdAge04,"&lt;"&amp;'19_Расчет_аналитики'!BF3595,WeightedMinAge04),MAX(CapacityAge04*'01_Вводные'!$B$218*'19_Расчет_аналитики'!BF3595,MeanMinAge04))),0)</f>
        <v/>
      </c>
      <c r="BG3503">
        <f>IF('01_Вводные'!$B$234="Да",IF(OR('19_Расчет_аналитики'!BG3475=0,4&lt;='01_Вводные'!$B$297),0,'19_Расчет_аналитики'!BG3475*IF('01_Вводные'!$B$239="Да",MeanMinAge04+'19_Расчет_аналитики'!BG3595*SUMIF(ThresholdAge04,"&lt;"&amp;'19_Расчет_аналитики'!BG3595,WeightedRevAge04)-SUMIF(ThresholdAge04,"&lt;"&amp;'19_Расчет_аналитики'!BG3595,WeightedMinAge04),MAX(CapacityAge04*'01_Вводные'!$B$218*'19_Расчет_аналитики'!BG3595,MeanMinAge04))),0)</f>
        <v/>
      </c>
      <c r="BH3503">
        <f>IF('01_Вводные'!$B$234="Да",IF(OR('19_Расчет_аналитики'!BH3475=0,4&lt;='01_Вводные'!$B$297),0,'19_Расчет_аналитики'!BH3475*IF('01_Вводные'!$B$239="Да",MeanMinAge04+'19_Расчет_аналитики'!BH3595*SUMIF(ThresholdAge04,"&lt;"&amp;'19_Расчет_аналитики'!BH3595,WeightedRevAge04)-SUMIF(ThresholdAge04,"&lt;"&amp;'19_Расчет_аналитики'!BH3595,WeightedMinAge04),MAX(CapacityAge04*'01_Вводные'!$B$218*'19_Расчет_аналитики'!BH3595,MeanMinAge04))),0)</f>
        <v/>
      </c>
      <c r="BI3503">
        <f>IF('01_Вводные'!$B$234="Да",IF(OR('19_Расчет_аналитики'!BI3475=0,4&lt;='01_Вводные'!$B$297),0,'19_Расчет_аналитики'!BI3475*IF('01_Вводные'!$B$239="Да",MeanMinAge04+'19_Расчет_аналитики'!BI3595*SUMIF(ThresholdAge04,"&lt;"&amp;'19_Расчет_аналитики'!BI3595,WeightedRevAge04)-SUMIF(ThresholdAge04,"&lt;"&amp;'19_Расчет_аналитики'!BI3595,WeightedMinAge04),MAX(CapacityAge04*'01_Вводные'!$B$218*'19_Расчет_аналитики'!BI3595,MeanMinAge04))),0)</f>
        <v/>
      </c>
      <c r="BJ3503">
        <f>IF('01_Вводные'!$B$234="Да",IF(OR('19_Расчет_аналитики'!BJ3475=0,4&lt;='01_Вводные'!$B$297),0,'19_Расчет_аналитики'!BJ3475*IF('01_Вводные'!$B$239="Да",MeanMinAge04+'19_Расчет_аналитики'!BJ3595*SUMIF(ThresholdAge04,"&lt;"&amp;'19_Расчет_аналитики'!BJ3595,WeightedRevAge04)-SUMIF(ThresholdAge04,"&lt;"&amp;'19_Расчет_аналитики'!BJ3595,WeightedMinAge04),MAX(CapacityAge04*'01_Вводные'!$B$218*'19_Расчет_аналитики'!BJ3595,MeanMinAge04))),0)</f>
        <v/>
      </c>
      <c r="BK3503">
        <f>IF('01_Вводные'!$B$234="Да",IF(OR('19_Расчет_аналитики'!BK3475=0,4&lt;='01_Вводные'!$B$297),0,'19_Расчет_аналитики'!BK3475*IF('01_Вводные'!$B$239="Да",MeanMinAge04+'19_Расчет_аналитики'!BK3595*SUMIF(ThresholdAge04,"&lt;"&amp;'19_Расчет_аналитики'!BK3595,WeightedRevAge04)-SUMIF(ThresholdAge04,"&lt;"&amp;'19_Расчет_аналитики'!BK3595,WeightedMinAge04),MAX(CapacityAge04*'01_Вводные'!$B$218*'19_Расчет_аналитики'!BK3595,MeanMinAge04))),0)</f>
        <v/>
      </c>
      <c r="BL3503">
        <f>IF('01_Вводные'!$B$234="Да",IF(OR('19_Расчет_аналитики'!BL3475=0,4&lt;='01_Вводные'!$B$297),0,'19_Расчет_аналитики'!BL3475*IF('01_Вводные'!$B$239="Да",MeanMinAge04+'19_Расчет_аналитики'!BL3595*SUMIF(ThresholdAge04,"&lt;"&amp;'19_Расчет_аналитики'!BL3595,WeightedRevAge04)-SUMIF(ThresholdAge04,"&lt;"&amp;'19_Расчет_аналитики'!BL3595,WeightedMinAge04),MAX(CapacityAge04*'01_Вводные'!$B$218*'19_Расчет_аналитики'!BL3595,MeanMinAge04))),0)</f>
        <v/>
      </c>
      <c r="BM3503">
        <f>IF('01_Вводные'!$B$234="Да",IF(OR('19_Расчет_аналитики'!BM3475=0,4&lt;='01_Вводные'!$B$297),0,'19_Расчет_аналитики'!BM3475*IF('01_Вводные'!$B$239="Да",MeanMinAge04+'19_Расчет_аналитики'!BM3595*SUMIF(ThresholdAge04,"&lt;"&amp;'19_Расчет_аналитики'!BM3595,WeightedRevAge04)-SUMIF(ThresholdAge04,"&lt;"&amp;'19_Расчет_аналитики'!BM3595,WeightedMinAge04),MAX(CapacityAge04*'01_Вводные'!$B$218*'19_Расчет_аналитики'!BM3595,MeanMinAge04))),0)</f>
        <v/>
      </c>
      <c r="BN3503">
        <f>IF('01_Вводные'!$B$234="Да",IF(OR('19_Расчет_аналитики'!BN3475=0,4&lt;='01_Вводные'!$B$297),0,'19_Расчет_аналитики'!BN3475*IF('01_Вводные'!$B$239="Да",MeanMinAge04+'19_Расчет_аналитики'!BN3595*SUMIF(ThresholdAge04,"&lt;"&amp;'19_Расчет_аналитики'!BN3595,WeightedRevAge04)-SUMIF(ThresholdAge04,"&lt;"&amp;'19_Расчет_аналитики'!BN3595,WeightedMinAge04),MAX(CapacityAge04*'01_Вводные'!$B$218*'19_Расчет_аналитики'!BN3595,MeanMinAge04))),0)</f>
        <v/>
      </c>
      <c r="BO3503">
        <f>IF('01_Вводные'!$B$234="Да",IF(OR('19_Расчет_аналитики'!BO3475=0,4&lt;='01_Вводные'!$B$297),0,'19_Расчет_аналитики'!BO3475*IF('01_Вводные'!$B$239="Да",MeanMinAge04+'19_Расчет_аналитики'!BO3595*SUMIF(ThresholdAge04,"&lt;"&amp;'19_Расчет_аналитики'!BO3595,WeightedRevAge04)-SUMIF(ThresholdAge04,"&lt;"&amp;'19_Расчет_аналитики'!BO3595,WeightedMinAge04),MAX(CapacityAge04*'01_Вводные'!$B$218*'19_Расчет_аналитики'!BO3595,MeanMinAge04))),0)</f>
        <v/>
      </c>
    </row>
    <row r="3504">
      <c r="B3504">
        <f>IF('01_Вводные'!$B$234="Да",IF(OR('06_Сеть_и_дети'!B85=0,5&lt;='01_Вводные'!$B$297),0,'06_Сеть_и_дети'!B85*IF('01_Вводные'!$B$239="Да",MeanMinAge05+'19_Расчет_аналитики'!B3595*SUMIF(ThresholdAge05,"&lt;"&amp;'19_Расчет_аналитики'!B3595,WeightedRevAge05)-SUMIF(ThresholdAge05,"&lt;"&amp;'19_Расчет_аналитики'!B3595,WeightedMinAge05),MAX(CapacityAge05*'01_Вводные'!$B$218*'19_Расчет_аналитики'!B3595,MeanMinAge05))),0)</f>
        <v/>
      </c>
      <c r="C3504">
        <f>IF('01_Вводные'!$B$234="Да",IF(OR('06_Сеть_и_дети'!C85=0,5&lt;='01_Вводные'!$B$297),0,'06_Сеть_и_дети'!C85*IF('01_Вводные'!$B$239="Да",MeanMinAge05+'19_Расчет_аналитики'!C3595*SUMIF(ThresholdAge05,"&lt;"&amp;'19_Расчет_аналитики'!C3595,WeightedRevAge05)-SUMIF(ThresholdAge05,"&lt;"&amp;'19_Расчет_аналитики'!C3595,WeightedMinAge05),MAX(CapacityAge05*'01_Вводные'!$B$218*'19_Расчет_аналитики'!C3595,MeanMinAge05))),0)</f>
        <v/>
      </c>
      <c r="D3504">
        <f>IF('01_Вводные'!$B$234="Да",IF(OR('06_Сеть_и_дети'!D85=0,5&lt;='01_Вводные'!$B$297),0,'06_Сеть_и_дети'!D85*IF('01_Вводные'!$B$239="Да",MeanMinAge05+'19_Расчет_аналитики'!D3595*SUMIF(ThresholdAge05,"&lt;"&amp;'19_Расчет_аналитики'!D3595,WeightedRevAge05)-SUMIF(ThresholdAge05,"&lt;"&amp;'19_Расчет_аналитики'!D3595,WeightedMinAge05),MAX(CapacityAge05*'01_Вводные'!$B$218*'19_Расчет_аналитики'!D3595,MeanMinAge05))),0)</f>
        <v/>
      </c>
      <c r="E3504">
        <f>IF('01_Вводные'!$B$234="Да",IF(OR('06_Сеть_и_дети'!E85=0,5&lt;='01_Вводные'!$B$297),0,'06_Сеть_и_дети'!E85*IF('01_Вводные'!$B$239="Да",MeanMinAge05+'19_Расчет_аналитики'!E3595*SUMIF(ThresholdAge05,"&lt;"&amp;'19_Расчет_аналитики'!E3595,WeightedRevAge05)-SUMIF(ThresholdAge05,"&lt;"&amp;'19_Расчет_аналитики'!E3595,WeightedMinAge05),MAX(CapacityAge05*'01_Вводные'!$B$218*'19_Расчет_аналитики'!E3595,MeanMinAge05))),0)</f>
        <v/>
      </c>
      <c r="F3504">
        <f>IF('01_Вводные'!$B$234="Да",IF(OR('19_Расчет_аналитики'!F3476=0,5&lt;='01_Вводные'!$B$297),0,'19_Расчет_аналитики'!F3476*IF('01_Вводные'!$B$239="Да",MeanMinAge05+'19_Расчет_аналитики'!F3595*SUMIF(ThresholdAge05,"&lt;"&amp;'19_Расчет_аналитики'!F3595,WeightedRevAge05)-SUMIF(ThresholdAge05,"&lt;"&amp;'19_Расчет_аналитики'!F3595,WeightedMinAge05),MAX(CapacityAge05*'01_Вводные'!$B$218*'19_Расчет_аналитики'!F3595,MeanMinAge05))),0)</f>
        <v/>
      </c>
      <c r="G3504">
        <f>IF('01_Вводные'!$B$234="Да",IF(OR('19_Расчет_аналитики'!G3476=0,5&lt;='01_Вводные'!$B$297),0,'19_Расчет_аналитики'!G3476*IF('01_Вводные'!$B$239="Да",MeanMinAge05+'19_Расчет_аналитики'!G3595*SUMIF(ThresholdAge05,"&lt;"&amp;'19_Расчет_аналитики'!G3595,WeightedRevAge05)-SUMIF(ThresholdAge05,"&lt;"&amp;'19_Расчет_аналитики'!G3595,WeightedMinAge05),MAX(CapacityAge05*'01_Вводные'!$B$218*'19_Расчет_аналитики'!G3595,MeanMinAge05))),0)</f>
        <v/>
      </c>
      <c r="H3504">
        <f>IF('01_Вводные'!$B$234="Да",IF(OR('19_Расчет_аналитики'!H3476=0,5&lt;='01_Вводные'!$B$297),0,'19_Расчет_аналитики'!H3476*IF('01_Вводные'!$B$239="Да",MeanMinAge05+'19_Расчет_аналитики'!H3595*SUMIF(ThresholdAge05,"&lt;"&amp;'19_Расчет_аналитики'!H3595,WeightedRevAge05)-SUMIF(ThresholdAge05,"&lt;"&amp;'19_Расчет_аналитики'!H3595,WeightedMinAge05),MAX(CapacityAge05*'01_Вводные'!$B$218*'19_Расчет_аналитики'!H3595,MeanMinAge05))),0)</f>
        <v/>
      </c>
      <c r="I3504">
        <f>IF('01_Вводные'!$B$234="Да",IF(OR('19_Расчет_аналитики'!I3476=0,5&lt;='01_Вводные'!$B$297),0,'19_Расчет_аналитики'!I3476*IF('01_Вводные'!$B$239="Да",MeanMinAge05+'19_Расчет_аналитики'!I3595*SUMIF(ThresholdAge05,"&lt;"&amp;'19_Расчет_аналитики'!I3595,WeightedRevAge05)-SUMIF(ThresholdAge05,"&lt;"&amp;'19_Расчет_аналитики'!I3595,WeightedMinAge05),MAX(CapacityAge05*'01_Вводные'!$B$218*'19_Расчет_аналитики'!I3595,MeanMinAge05))),0)</f>
        <v/>
      </c>
      <c r="J3504">
        <f>IF('01_Вводные'!$B$234="Да",IF(OR('19_Расчет_аналитики'!J3476=0,5&lt;='01_Вводные'!$B$297),0,'19_Расчет_аналитики'!J3476*IF('01_Вводные'!$B$239="Да",MeanMinAge05+'19_Расчет_аналитики'!J3595*SUMIF(ThresholdAge05,"&lt;"&amp;'19_Расчет_аналитики'!J3595,WeightedRevAge05)-SUMIF(ThresholdAge05,"&lt;"&amp;'19_Расчет_аналитики'!J3595,WeightedMinAge05),MAX(CapacityAge05*'01_Вводные'!$B$218*'19_Расчет_аналитики'!J3595,MeanMinAge05))),0)</f>
        <v/>
      </c>
      <c r="K3504">
        <f>IF('01_Вводные'!$B$234="Да",IF(OR('19_Расчет_аналитики'!K3476=0,5&lt;='01_Вводные'!$B$297),0,'19_Расчет_аналитики'!K3476*IF('01_Вводные'!$B$239="Да",MeanMinAge05+'19_Расчет_аналитики'!K3595*SUMIF(ThresholdAge05,"&lt;"&amp;'19_Расчет_аналитики'!K3595,WeightedRevAge05)-SUMIF(ThresholdAge05,"&lt;"&amp;'19_Расчет_аналитики'!K3595,WeightedMinAge05),MAX(CapacityAge05*'01_Вводные'!$B$218*'19_Расчет_аналитики'!K3595,MeanMinAge05))),0)</f>
        <v/>
      </c>
      <c r="L3504">
        <f>IF('01_Вводные'!$B$234="Да",IF(OR('19_Расчет_аналитики'!L3476=0,5&lt;='01_Вводные'!$B$297),0,'19_Расчет_аналитики'!L3476*IF('01_Вводные'!$B$239="Да",MeanMinAge05+'19_Расчет_аналитики'!L3595*SUMIF(ThresholdAge05,"&lt;"&amp;'19_Расчет_аналитики'!L3595,WeightedRevAge05)-SUMIF(ThresholdAge05,"&lt;"&amp;'19_Расчет_аналитики'!L3595,WeightedMinAge05),MAX(CapacityAge05*'01_Вводные'!$B$218*'19_Расчет_аналитики'!L3595,MeanMinAge05))),0)</f>
        <v/>
      </c>
      <c r="M3504">
        <f>IF('01_Вводные'!$B$234="Да",IF(OR('19_Расчет_аналитики'!M3476=0,5&lt;='01_Вводные'!$B$297),0,'19_Расчет_аналитики'!M3476*IF('01_Вводные'!$B$239="Да",MeanMinAge05+'19_Расчет_аналитики'!M3595*SUMIF(ThresholdAge05,"&lt;"&amp;'19_Расчет_аналитики'!M3595,WeightedRevAge05)-SUMIF(ThresholdAge05,"&lt;"&amp;'19_Расчет_аналитики'!M3595,WeightedMinAge05),MAX(CapacityAge05*'01_Вводные'!$B$218*'19_Расчет_аналитики'!M3595,MeanMinAge05))),0)</f>
        <v/>
      </c>
      <c r="N3504">
        <f>IF('01_Вводные'!$B$234="Да",IF(OR('19_Расчет_аналитики'!N3476=0,5&lt;='01_Вводные'!$B$297),0,'19_Расчет_аналитики'!N3476*IF('01_Вводные'!$B$239="Да",MeanMinAge05+'19_Расчет_аналитики'!N3595*SUMIF(ThresholdAge05,"&lt;"&amp;'19_Расчет_аналитики'!N3595,WeightedRevAge05)-SUMIF(ThresholdAge05,"&lt;"&amp;'19_Расчет_аналитики'!N3595,WeightedMinAge05),MAX(CapacityAge05*'01_Вводные'!$B$218*'19_Расчет_аналитики'!N3595,MeanMinAge05))),0)</f>
        <v/>
      </c>
      <c r="O3504">
        <f>IF('01_Вводные'!$B$234="Да",IF(OR('19_Расчет_аналитики'!O3476=0,5&lt;='01_Вводные'!$B$297),0,'19_Расчет_аналитики'!O3476*IF('01_Вводные'!$B$239="Да",MeanMinAge05+'19_Расчет_аналитики'!O3595*SUMIF(ThresholdAge05,"&lt;"&amp;'19_Расчет_аналитики'!O3595,WeightedRevAge05)-SUMIF(ThresholdAge05,"&lt;"&amp;'19_Расчет_аналитики'!O3595,WeightedMinAge05),MAX(CapacityAge05*'01_Вводные'!$B$218*'19_Расчет_аналитики'!O3595,MeanMinAge05))),0)</f>
        <v/>
      </c>
      <c r="P3504">
        <f>IF('01_Вводные'!$B$234="Да",IF(OR('19_Расчет_аналитики'!P3476=0,5&lt;='01_Вводные'!$B$297),0,'19_Расчет_аналитики'!P3476*IF('01_Вводные'!$B$239="Да",MeanMinAge05+'19_Расчет_аналитики'!P3595*SUMIF(ThresholdAge05,"&lt;"&amp;'19_Расчет_аналитики'!P3595,WeightedRevAge05)-SUMIF(ThresholdAge05,"&lt;"&amp;'19_Расчет_аналитики'!P3595,WeightedMinAge05),MAX(CapacityAge05*'01_Вводные'!$B$218*'19_Расчет_аналитики'!P3595,MeanMinAge05))),0)</f>
        <v/>
      </c>
      <c r="Q3504">
        <f>IF('01_Вводные'!$B$234="Да",IF(OR('19_Расчет_аналитики'!Q3476=0,5&lt;='01_Вводные'!$B$297),0,'19_Расчет_аналитики'!Q3476*IF('01_Вводные'!$B$239="Да",MeanMinAge05+'19_Расчет_аналитики'!Q3595*SUMIF(ThresholdAge05,"&lt;"&amp;'19_Расчет_аналитики'!Q3595,WeightedRevAge05)-SUMIF(ThresholdAge05,"&lt;"&amp;'19_Расчет_аналитики'!Q3595,WeightedMinAge05),MAX(CapacityAge05*'01_Вводные'!$B$218*'19_Расчет_аналитики'!Q3595,MeanMinAge05))),0)</f>
        <v/>
      </c>
      <c r="R3504">
        <f>IF('01_Вводные'!$B$234="Да",IF(OR('19_Расчет_аналитики'!R3476=0,5&lt;='01_Вводные'!$B$297),0,'19_Расчет_аналитики'!R3476*IF('01_Вводные'!$B$239="Да",MeanMinAge05+'19_Расчет_аналитики'!R3595*SUMIF(ThresholdAge05,"&lt;"&amp;'19_Расчет_аналитики'!R3595,WeightedRevAge05)-SUMIF(ThresholdAge05,"&lt;"&amp;'19_Расчет_аналитики'!R3595,WeightedMinAge05),MAX(CapacityAge05*'01_Вводные'!$B$218*'19_Расчет_аналитики'!R3595,MeanMinAge05))),0)</f>
        <v/>
      </c>
      <c r="S3504">
        <f>IF('01_Вводные'!$B$234="Да",IF(OR('19_Расчет_аналитики'!S3476=0,5&lt;='01_Вводные'!$B$297),0,'19_Расчет_аналитики'!S3476*IF('01_Вводные'!$B$239="Да",MeanMinAge05+'19_Расчет_аналитики'!S3595*SUMIF(ThresholdAge05,"&lt;"&amp;'19_Расчет_аналитики'!S3595,WeightedRevAge05)-SUMIF(ThresholdAge05,"&lt;"&amp;'19_Расчет_аналитики'!S3595,WeightedMinAge05),MAX(CapacityAge05*'01_Вводные'!$B$218*'19_Расчет_аналитики'!S3595,MeanMinAge05))),0)</f>
        <v/>
      </c>
      <c r="T3504">
        <f>IF('01_Вводные'!$B$234="Да",IF(OR('19_Расчет_аналитики'!T3476=0,5&lt;='01_Вводные'!$B$297),0,'19_Расчет_аналитики'!T3476*IF('01_Вводные'!$B$239="Да",MeanMinAge05+'19_Расчет_аналитики'!T3595*SUMIF(ThresholdAge05,"&lt;"&amp;'19_Расчет_аналитики'!T3595,WeightedRevAge05)-SUMIF(ThresholdAge05,"&lt;"&amp;'19_Расчет_аналитики'!T3595,WeightedMinAge05),MAX(CapacityAge05*'01_Вводные'!$B$218*'19_Расчет_аналитики'!T3595,MeanMinAge05))),0)</f>
        <v/>
      </c>
      <c r="U3504">
        <f>IF('01_Вводные'!$B$234="Да",IF(OR('19_Расчет_аналитики'!U3476=0,5&lt;='01_Вводные'!$B$297),0,'19_Расчет_аналитики'!U3476*IF('01_Вводные'!$B$239="Да",MeanMinAge05+'19_Расчет_аналитики'!U3595*SUMIF(ThresholdAge05,"&lt;"&amp;'19_Расчет_аналитики'!U3595,WeightedRevAge05)-SUMIF(ThresholdAge05,"&lt;"&amp;'19_Расчет_аналитики'!U3595,WeightedMinAge05),MAX(CapacityAge05*'01_Вводные'!$B$218*'19_Расчет_аналитики'!U3595,MeanMinAge05))),0)</f>
        <v/>
      </c>
      <c r="V3504">
        <f>IF('01_Вводные'!$B$234="Да",IF(OR('19_Расчет_аналитики'!V3476=0,5&lt;='01_Вводные'!$B$297),0,'19_Расчет_аналитики'!V3476*IF('01_Вводные'!$B$239="Да",MeanMinAge05+'19_Расчет_аналитики'!V3595*SUMIF(ThresholdAge05,"&lt;"&amp;'19_Расчет_аналитики'!V3595,WeightedRevAge05)-SUMIF(ThresholdAge05,"&lt;"&amp;'19_Расчет_аналитики'!V3595,WeightedMinAge05),MAX(CapacityAge05*'01_Вводные'!$B$218*'19_Расчет_аналитики'!V3595,MeanMinAge05))),0)</f>
        <v/>
      </c>
      <c r="W3504">
        <f>IF('01_Вводные'!$B$234="Да",IF(OR('19_Расчет_аналитики'!W3476=0,5&lt;='01_Вводные'!$B$297),0,'19_Расчет_аналитики'!W3476*IF('01_Вводные'!$B$239="Да",MeanMinAge05+'19_Расчет_аналитики'!W3595*SUMIF(ThresholdAge05,"&lt;"&amp;'19_Расчет_аналитики'!W3595,WeightedRevAge05)-SUMIF(ThresholdAge05,"&lt;"&amp;'19_Расчет_аналитики'!W3595,WeightedMinAge05),MAX(CapacityAge05*'01_Вводные'!$B$218*'19_Расчет_аналитики'!W3595,MeanMinAge05))),0)</f>
        <v/>
      </c>
      <c r="X3504">
        <f>IF('01_Вводные'!$B$234="Да",IF(OR('19_Расчет_аналитики'!X3476=0,5&lt;='01_Вводные'!$B$297),0,'19_Расчет_аналитики'!X3476*IF('01_Вводные'!$B$239="Да",MeanMinAge05+'19_Расчет_аналитики'!X3595*SUMIF(ThresholdAge05,"&lt;"&amp;'19_Расчет_аналитики'!X3595,WeightedRevAge05)-SUMIF(ThresholdAge05,"&lt;"&amp;'19_Расчет_аналитики'!X3595,WeightedMinAge05),MAX(CapacityAge05*'01_Вводные'!$B$218*'19_Расчет_аналитики'!X3595,MeanMinAge05))),0)</f>
        <v/>
      </c>
      <c r="Y3504">
        <f>IF('01_Вводные'!$B$234="Да",IF(OR('19_Расчет_аналитики'!Y3476=0,5&lt;='01_Вводные'!$B$297),0,'19_Расчет_аналитики'!Y3476*IF('01_Вводные'!$B$239="Да",MeanMinAge05+'19_Расчет_аналитики'!Y3595*SUMIF(ThresholdAge05,"&lt;"&amp;'19_Расчет_аналитики'!Y3595,WeightedRevAge05)-SUMIF(ThresholdAge05,"&lt;"&amp;'19_Расчет_аналитики'!Y3595,WeightedMinAge05),MAX(CapacityAge05*'01_Вводные'!$B$218*'19_Расчет_аналитики'!Y3595,MeanMinAge05))),0)</f>
        <v/>
      </c>
      <c r="Z3504">
        <f>IF('01_Вводные'!$B$234="Да",IF(OR('19_Расчет_аналитики'!Z3476=0,5&lt;='01_Вводные'!$B$297),0,'19_Расчет_аналитики'!Z3476*IF('01_Вводные'!$B$239="Да",MeanMinAge05+'19_Расчет_аналитики'!Z3595*SUMIF(ThresholdAge05,"&lt;"&amp;'19_Расчет_аналитики'!Z3595,WeightedRevAge05)-SUMIF(ThresholdAge05,"&lt;"&amp;'19_Расчет_аналитики'!Z3595,WeightedMinAge05),MAX(CapacityAge05*'01_Вводные'!$B$218*'19_Расчет_аналитики'!Z3595,MeanMinAge05))),0)</f>
        <v/>
      </c>
      <c r="AA3504">
        <f>IF('01_Вводные'!$B$234="Да",IF(OR('19_Расчет_аналитики'!AA3476=0,5&lt;='01_Вводные'!$B$297),0,'19_Расчет_аналитики'!AA3476*IF('01_Вводные'!$B$239="Да",MeanMinAge05+'19_Расчет_аналитики'!AA3595*SUMIF(ThresholdAge05,"&lt;"&amp;'19_Расчет_аналитики'!AA3595,WeightedRevAge05)-SUMIF(ThresholdAge05,"&lt;"&amp;'19_Расчет_аналитики'!AA3595,WeightedMinAge05),MAX(CapacityAge05*'01_Вводные'!$B$218*'19_Расчет_аналитики'!AA3595,MeanMinAge05))),0)</f>
        <v/>
      </c>
      <c r="AB3504">
        <f>IF('01_Вводные'!$B$234="Да",IF(OR('19_Расчет_аналитики'!AB3476=0,5&lt;='01_Вводные'!$B$297),0,'19_Расчет_аналитики'!AB3476*IF('01_Вводные'!$B$239="Да",MeanMinAge05+'19_Расчет_аналитики'!AB3595*SUMIF(ThresholdAge05,"&lt;"&amp;'19_Расчет_аналитики'!AB3595,WeightedRevAge05)-SUMIF(ThresholdAge05,"&lt;"&amp;'19_Расчет_аналитики'!AB3595,WeightedMinAge05),MAX(CapacityAge05*'01_Вводные'!$B$218*'19_Расчет_аналитики'!AB3595,MeanMinAge05))),0)</f>
        <v/>
      </c>
      <c r="AC3504">
        <f>IF('01_Вводные'!$B$234="Да",IF(OR('19_Расчет_аналитики'!AC3476=0,5&lt;='01_Вводные'!$B$297),0,'19_Расчет_аналитики'!AC3476*IF('01_Вводные'!$B$239="Да",MeanMinAge05+'19_Расчет_аналитики'!AC3595*SUMIF(ThresholdAge05,"&lt;"&amp;'19_Расчет_аналитики'!AC3595,WeightedRevAge05)-SUMIF(ThresholdAge05,"&lt;"&amp;'19_Расчет_аналитики'!AC3595,WeightedMinAge05),MAX(CapacityAge05*'01_Вводные'!$B$218*'19_Расчет_аналитики'!AC3595,MeanMinAge05))),0)</f>
        <v/>
      </c>
      <c r="AD3504">
        <f>IF('01_Вводные'!$B$234="Да",IF(OR('19_Расчет_аналитики'!AD3476=0,5&lt;='01_Вводные'!$B$297),0,'19_Расчет_аналитики'!AD3476*IF('01_Вводные'!$B$239="Да",MeanMinAge05+'19_Расчет_аналитики'!AD3595*SUMIF(ThresholdAge05,"&lt;"&amp;'19_Расчет_аналитики'!AD3595,WeightedRevAge05)-SUMIF(ThresholdAge05,"&lt;"&amp;'19_Расчет_аналитики'!AD3595,WeightedMinAge05),MAX(CapacityAge05*'01_Вводные'!$B$218*'19_Расчет_аналитики'!AD3595,MeanMinAge05))),0)</f>
        <v/>
      </c>
      <c r="AE3504">
        <f>IF('01_Вводные'!$B$234="Да",IF(OR('19_Расчет_аналитики'!AE3476=0,5&lt;='01_Вводные'!$B$297),0,'19_Расчет_аналитики'!AE3476*IF('01_Вводные'!$B$239="Да",MeanMinAge05+'19_Расчет_аналитики'!AE3595*SUMIF(ThresholdAge05,"&lt;"&amp;'19_Расчет_аналитики'!AE3595,WeightedRevAge05)-SUMIF(ThresholdAge05,"&lt;"&amp;'19_Расчет_аналитики'!AE3595,WeightedMinAge05),MAX(CapacityAge05*'01_Вводные'!$B$218*'19_Расчет_аналитики'!AE3595,MeanMinAge05))),0)</f>
        <v/>
      </c>
      <c r="AF3504">
        <f>IF('01_Вводные'!$B$234="Да",IF(OR('19_Расчет_аналитики'!AF3476=0,5&lt;='01_Вводные'!$B$297),0,'19_Расчет_аналитики'!AF3476*IF('01_Вводные'!$B$239="Да",MeanMinAge05+'19_Расчет_аналитики'!AF3595*SUMIF(ThresholdAge05,"&lt;"&amp;'19_Расчет_аналитики'!AF3595,WeightedRevAge05)-SUMIF(ThresholdAge05,"&lt;"&amp;'19_Расчет_аналитики'!AF3595,WeightedMinAge05),MAX(CapacityAge05*'01_Вводные'!$B$218*'19_Расчет_аналитики'!AF3595,MeanMinAge05))),0)</f>
        <v/>
      </c>
      <c r="AG3504">
        <f>IF('01_Вводные'!$B$234="Да",IF(OR('19_Расчет_аналитики'!AG3476=0,5&lt;='01_Вводные'!$B$297),0,'19_Расчет_аналитики'!AG3476*IF('01_Вводные'!$B$239="Да",MeanMinAge05+'19_Расчет_аналитики'!AG3595*SUMIF(ThresholdAge05,"&lt;"&amp;'19_Расчет_аналитики'!AG3595,WeightedRevAge05)-SUMIF(ThresholdAge05,"&lt;"&amp;'19_Расчет_аналитики'!AG3595,WeightedMinAge05),MAX(CapacityAge05*'01_Вводные'!$B$218*'19_Расчет_аналитики'!AG3595,MeanMinAge05))),0)</f>
        <v/>
      </c>
      <c r="AH3504">
        <f>IF('01_Вводные'!$B$234="Да",IF(OR('19_Расчет_аналитики'!AH3476=0,5&lt;='01_Вводные'!$B$297),0,'19_Расчет_аналитики'!AH3476*IF('01_Вводные'!$B$239="Да",MeanMinAge05+'19_Расчет_аналитики'!AH3595*SUMIF(ThresholdAge05,"&lt;"&amp;'19_Расчет_аналитики'!AH3595,WeightedRevAge05)-SUMIF(ThresholdAge05,"&lt;"&amp;'19_Расчет_аналитики'!AH3595,WeightedMinAge05),MAX(CapacityAge05*'01_Вводные'!$B$218*'19_Расчет_аналитики'!AH3595,MeanMinAge05))),0)</f>
        <v/>
      </c>
      <c r="AI3504">
        <f>IF('01_Вводные'!$B$234="Да",IF(OR('19_Расчет_аналитики'!AI3476=0,5&lt;='01_Вводные'!$B$297),0,'19_Расчет_аналитики'!AI3476*IF('01_Вводные'!$B$239="Да",MeanMinAge05+'19_Расчет_аналитики'!AI3595*SUMIF(ThresholdAge05,"&lt;"&amp;'19_Расчет_аналитики'!AI3595,WeightedRevAge05)-SUMIF(ThresholdAge05,"&lt;"&amp;'19_Расчет_аналитики'!AI3595,WeightedMinAge05),MAX(CapacityAge05*'01_Вводные'!$B$218*'19_Расчет_аналитики'!AI3595,MeanMinAge05))),0)</f>
        <v/>
      </c>
      <c r="AJ3504">
        <f>IF('01_Вводные'!$B$234="Да",IF(OR('19_Расчет_аналитики'!AJ3476=0,5&lt;='01_Вводные'!$B$297),0,'19_Расчет_аналитики'!AJ3476*IF('01_Вводные'!$B$239="Да",MeanMinAge05+'19_Расчет_аналитики'!AJ3595*SUMIF(ThresholdAge05,"&lt;"&amp;'19_Расчет_аналитики'!AJ3595,WeightedRevAge05)-SUMIF(ThresholdAge05,"&lt;"&amp;'19_Расчет_аналитики'!AJ3595,WeightedMinAge05),MAX(CapacityAge05*'01_Вводные'!$B$218*'19_Расчет_аналитики'!AJ3595,MeanMinAge05))),0)</f>
        <v/>
      </c>
      <c r="AK3504">
        <f>IF('01_Вводные'!$B$234="Да",IF(OR('19_Расчет_аналитики'!AK3476=0,5&lt;='01_Вводные'!$B$297),0,'19_Расчет_аналитики'!AK3476*IF('01_Вводные'!$B$239="Да",MeanMinAge05+'19_Расчет_аналитики'!AK3595*SUMIF(ThresholdAge05,"&lt;"&amp;'19_Расчет_аналитики'!AK3595,WeightedRevAge05)-SUMIF(ThresholdAge05,"&lt;"&amp;'19_Расчет_аналитики'!AK3595,WeightedMinAge05),MAX(CapacityAge05*'01_Вводные'!$B$218*'19_Расчет_аналитики'!AK3595,MeanMinAge05))),0)</f>
        <v/>
      </c>
      <c r="AL3504">
        <f>IF('01_Вводные'!$B$234="Да",IF(OR('19_Расчет_аналитики'!AL3476=0,5&lt;='01_Вводные'!$B$297),0,'19_Расчет_аналитики'!AL3476*IF('01_Вводные'!$B$239="Да",MeanMinAge05+'19_Расчет_аналитики'!AL3595*SUMIF(ThresholdAge05,"&lt;"&amp;'19_Расчет_аналитики'!AL3595,WeightedRevAge05)-SUMIF(ThresholdAge05,"&lt;"&amp;'19_Расчет_аналитики'!AL3595,WeightedMinAge05),MAX(CapacityAge05*'01_Вводные'!$B$218*'19_Расчет_аналитики'!AL3595,MeanMinAge05))),0)</f>
        <v/>
      </c>
      <c r="AM3504">
        <f>IF('01_Вводные'!$B$234="Да",IF(OR('19_Расчет_аналитики'!AM3476=0,5&lt;='01_Вводные'!$B$297),0,'19_Расчет_аналитики'!AM3476*IF('01_Вводные'!$B$239="Да",MeanMinAge05+'19_Расчет_аналитики'!AM3595*SUMIF(ThresholdAge05,"&lt;"&amp;'19_Расчет_аналитики'!AM3595,WeightedRevAge05)-SUMIF(ThresholdAge05,"&lt;"&amp;'19_Расчет_аналитики'!AM3595,WeightedMinAge05),MAX(CapacityAge05*'01_Вводные'!$B$218*'19_Расчет_аналитики'!AM3595,MeanMinAge05))),0)</f>
        <v/>
      </c>
      <c r="AN3504">
        <f>IF('01_Вводные'!$B$234="Да",IF(OR('19_Расчет_аналитики'!AN3476=0,5&lt;='01_Вводные'!$B$297),0,'19_Расчет_аналитики'!AN3476*IF('01_Вводные'!$B$239="Да",MeanMinAge05+'19_Расчет_аналитики'!AN3595*SUMIF(ThresholdAge05,"&lt;"&amp;'19_Расчет_аналитики'!AN3595,WeightedRevAge05)-SUMIF(ThresholdAge05,"&lt;"&amp;'19_Расчет_аналитики'!AN3595,WeightedMinAge05),MAX(CapacityAge05*'01_Вводные'!$B$218*'19_Расчет_аналитики'!AN3595,MeanMinAge05))),0)</f>
        <v/>
      </c>
      <c r="AO3504">
        <f>IF('01_Вводные'!$B$234="Да",IF(OR('19_Расчет_аналитики'!AO3476=0,5&lt;='01_Вводные'!$B$297),0,'19_Расчет_аналитики'!AO3476*IF('01_Вводные'!$B$239="Да",MeanMinAge05+'19_Расчет_аналитики'!AO3595*SUMIF(ThresholdAge05,"&lt;"&amp;'19_Расчет_аналитики'!AO3595,WeightedRevAge05)-SUMIF(ThresholdAge05,"&lt;"&amp;'19_Расчет_аналитики'!AO3595,WeightedMinAge05),MAX(CapacityAge05*'01_Вводные'!$B$218*'19_Расчет_аналитики'!AO3595,MeanMinAge05))),0)</f>
        <v/>
      </c>
      <c r="AP3504">
        <f>IF('01_Вводные'!$B$234="Да",IF(OR('19_Расчет_аналитики'!AP3476=0,5&lt;='01_Вводные'!$B$297),0,'19_Расчет_аналитики'!AP3476*IF('01_Вводные'!$B$239="Да",MeanMinAge05+'19_Расчет_аналитики'!AP3595*SUMIF(ThresholdAge05,"&lt;"&amp;'19_Расчет_аналитики'!AP3595,WeightedRevAge05)-SUMIF(ThresholdAge05,"&lt;"&amp;'19_Расчет_аналитики'!AP3595,WeightedMinAge05),MAX(CapacityAge05*'01_Вводные'!$B$218*'19_Расчет_аналитики'!AP3595,MeanMinAge05))),0)</f>
        <v/>
      </c>
      <c r="AQ3504">
        <f>IF('01_Вводные'!$B$234="Да",IF(OR('19_Расчет_аналитики'!AQ3476=0,5&lt;='01_Вводные'!$B$297),0,'19_Расчет_аналитики'!AQ3476*IF('01_Вводные'!$B$239="Да",MeanMinAge05+'19_Расчет_аналитики'!AQ3595*SUMIF(ThresholdAge05,"&lt;"&amp;'19_Расчет_аналитики'!AQ3595,WeightedRevAge05)-SUMIF(ThresholdAge05,"&lt;"&amp;'19_Расчет_аналитики'!AQ3595,WeightedMinAge05),MAX(CapacityAge05*'01_Вводные'!$B$218*'19_Расчет_аналитики'!AQ3595,MeanMinAge05))),0)</f>
        <v/>
      </c>
      <c r="AR3504">
        <f>IF('01_Вводные'!$B$234="Да",IF(OR('19_Расчет_аналитики'!AR3476=0,5&lt;='01_Вводные'!$B$297),0,'19_Расчет_аналитики'!AR3476*IF('01_Вводные'!$B$239="Да",MeanMinAge05+'19_Расчет_аналитики'!AR3595*SUMIF(ThresholdAge05,"&lt;"&amp;'19_Расчет_аналитики'!AR3595,WeightedRevAge05)-SUMIF(ThresholdAge05,"&lt;"&amp;'19_Расчет_аналитики'!AR3595,WeightedMinAge05),MAX(CapacityAge05*'01_Вводные'!$B$218*'19_Расчет_аналитики'!AR3595,MeanMinAge05))),0)</f>
        <v/>
      </c>
      <c r="AS3504">
        <f>IF('01_Вводные'!$B$234="Да",IF(OR('19_Расчет_аналитики'!AS3476=0,5&lt;='01_Вводные'!$B$297),0,'19_Расчет_аналитики'!AS3476*IF('01_Вводные'!$B$239="Да",MeanMinAge05+'19_Расчет_аналитики'!AS3595*SUMIF(ThresholdAge05,"&lt;"&amp;'19_Расчет_аналитики'!AS3595,WeightedRevAge05)-SUMIF(ThresholdAge05,"&lt;"&amp;'19_Расчет_аналитики'!AS3595,WeightedMinAge05),MAX(CapacityAge05*'01_Вводные'!$B$218*'19_Расчет_аналитики'!AS3595,MeanMinAge05))),0)</f>
        <v/>
      </c>
      <c r="AT3504">
        <f>IF('01_Вводные'!$B$234="Да",IF(OR('19_Расчет_аналитики'!AT3476=0,5&lt;='01_Вводные'!$B$297),0,'19_Расчет_аналитики'!AT3476*IF('01_Вводные'!$B$239="Да",MeanMinAge05+'19_Расчет_аналитики'!AT3595*SUMIF(ThresholdAge05,"&lt;"&amp;'19_Расчет_аналитики'!AT3595,WeightedRevAge05)-SUMIF(ThresholdAge05,"&lt;"&amp;'19_Расчет_аналитики'!AT3595,WeightedMinAge05),MAX(CapacityAge05*'01_Вводные'!$B$218*'19_Расчет_аналитики'!AT3595,MeanMinAge05))),0)</f>
        <v/>
      </c>
      <c r="AU3504">
        <f>IF('01_Вводные'!$B$234="Да",IF(OR('19_Расчет_аналитики'!AU3476=0,5&lt;='01_Вводные'!$B$297),0,'19_Расчет_аналитики'!AU3476*IF('01_Вводные'!$B$239="Да",MeanMinAge05+'19_Расчет_аналитики'!AU3595*SUMIF(ThresholdAge05,"&lt;"&amp;'19_Расчет_аналитики'!AU3595,WeightedRevAge05)-SUMIF(ThresholdAge05,"&lt;"&amp;'19_Расчет_аналитики'!AU3595,WeightedMinAge05),MAX(CapacityAge05*'01_Вводные'!$B$218*'19_Расчет_аналитики'!AU3595,MeanMinAge05))),0)</f>
        <v/>
      </c>
      <c r="AV3504">
        <f>IF('01_Вводные'!$B$234="Да",IF(OR('19_Расчет_аналитики'!AV3476=0,5&lt;='01_Вводные'!$B$297),0,'19_Расчет_аналитики'!AV3476*IF('01_Вводные'!$B$239="Да",MeanMinAge05+'19_Расчет_аналитики'!AV3595*SUMIF(ThresholdAge05,"&lt;"&amp;'19_Расчет_аналитики'!AV3595,WeightedRevAge05)-SUMIF(ThresholdAge05,"&lt;"&amp;'19_Расчет_аналитики'!AV3595,WeightedMinAge05),MAX(CapacityAge05*'01_Вводные'!$B$218*'19_Расчет_аналитики'!AV3595,MeanMinAge05))),0)</f>
        <v/>
      </c>
      <c r="AW3504">
        <f>IF('01_Вводные'!$B$234="Да",IF(OR('19_Расчет_аналитики'!AW3476=0,5&lt;='01_Вводные'!$B$297),0,'19_Расчет_аналитики'!AW3476*IF('01_Вводные'!$B$239="Да",MeanMinAge05+'19_Расчет_аналитики'!AW3595*SUMIF(ThresholdAge05,"&lt;"&amp;'19_Расчет_аналитики'!AW3595,WeightedRevAge05)-SUMIF(ThresholdAge05,"&lt;"&amp;'19_Расчет_аналитики'!AW3595,WeightedMinAge05),MAX(CapacityAge05*'01_Вводные'!$B$218*'19_Расчет_аналитики'!AW3595,MeanMinAge05))),0)</f>
        <v/>
      </c>
      <c r="AX3504">
        <f>IF('01_Вводные'!$B$234="Да",IF(OR('19_Расчет_аналитики'!AX3476=0,5&lt;='01_Вводные'!$B$297),0,'19_Расчет_аналитики'!AX3476*IF('01_Вводные'!$B$239="Да",MeanMinAge05+'19_Расчет_аналитики'!AX3595*SUMIF(ThresholdAge05,"&lt;"&amp;'19_Расчет_аналитики'!AX3595,WeightedRevAge05)-SUMIF(ThresholdAge05,"&lt;"&amp;'19_Расчет_аналитики'!AX3595,WeightedMinAge05),MAX(CapacityAge05*'01_Вводные'!$B$218*'19_Расчет_аналитики'!AX3595,MeanMinAge05))),0)</f>
        <v/>
      </c>
      <c r="AY3504">
        <f>IF('01_Вводные'!$B$234="Да",IF(OR('19_Расчет_аналитики'!AY3476=0,5&lt;='01_Вводные'!$B$297),0,'19_Расчет_аналитики'!AY3476*IF('01_Вводные'!$B$239="Да",MeanMinAge05+'19_Расчет_аналитики'!AY3595*SUMIF(ThresholdAge05,"&lt;"&amp;'19_Расчет_аналитики'!AY3595,WeightedRevAge05)-SUMIF(ThresholdAge05,"&lt;"&amp;'19_Расчет_аналитики'!AY3595,WeightedMinAge05),MAX(CapacityAge05*'01_Вводные'!$B$218*'19_Расчет_аналитики'!AY3595,MeanMinAge05))),0)</f>
        <v/>
      </c>
      <c r="AZ3504">
        <f>IF('01_Вводные'!$B$234="Да",IF(OR('19_Расчет_аналитики'!AZ3476=0,5&lt;='01_Вводные'!$B$297),0,'19_Расчет_аналитики'!AZ3476*IF('01_Вводные'!$B$239="Да",MeanMinAge05+'19_Расчет_аналитики'!AZ3595*SUMIF(ThresholdAge05,"&lt;"&amp;'19_Расчет_аналитики'!AZ3595,WeightedRevAge05)-SUMIF(ThresholdAge05,"&lt;"&amp;'19_Расчет_аналитики'!AZ3595,WeightedMinAge05),MAX(CapacityAge05*'01_Вводные'!$B$218*'19_Расчет_аналитики'!AZ3595,MeanMinAge05))),0)</f>
        <v/>
      </c>
      <c r="BA3504">
        <f>IF('01_Вводные'!$B$234="Да",IF(OR('19_Расчет_аналитики'!BA3476=0,5&lt;='01_Вводные'!$B$297),0,'19_Расчет_аналитики'!BA3476*IF('01_Вводные'!$B$239="Да",MeanMinAge05+'19_Расчет_аналитики'!BA3595*SUMIF(ThresholdAge05,"&lt;"&amp;'19_Расчет_аналитики'!BA3595,WeightedRevAge05)-SUMIF(ThresholdAge05,"&lt;"&amp;'19_Расчет_аналитики'!BA3595,WeightedMinAge05),MAX(CapacityAge05*'01_Вводные'!$B$218*'19_Расчет_аналитики'!BA3595,MeanMinAge05))),0)</f>
        <v/>
      </c>
      <c r="BB3504">
        <f>IF('01_Вводные'!$B$234="Да",IF(OR('19_Расчет_аналитики'!BB3476=0,5&lt;='01_Вводные'!$B$297),0,'19_Расчет_аналитики'!BB3476*IF('01_Вводные'!$B$239="Да",MeanMinAge05+'19_Расчет_аналитики'!BB3595*SUMIF(ThresholdAge05,"&lt;"&amp;'19_Расчет_аналитики'!BB3595,WeightedRevAge05)-SUMIF(ThresholdAge05,"&lt;"&amp;'19_Расчет_аналитики'!BB3595,WeightedMinAge05),MAX(CapacityAge05*'01_Вводные'!$B$218*'19_Расчет_аналитики'!BB3595,MeanMinAge05))),0)</f>
        <v/>
      </c>
      <c r="BC3504">
        <f>IF('01_Вводные'!$B$234="Да",IF(OR('19_Расчет_аналитики'!BC3476=0,5&lt;='01_Вводные'!$B$297),0,'19_Расчет_аналитики'!BC3476*IF('01_Вводные'!$B$239="Да",MeanMinAge05+'19_Расчет_аналитики'!BC3595*SUMIF(ThresholdAge05,"&lt;"&amp;'19_Расчет_аналитики'!BC3595,WeightedRevAge05)-SUMIF(ThresholdAge05,"&lt;"&amp;'19_Расчет_аналитики'!BC3595,WeightedMinAge05),MAX(CapacityAge05*'01_Вводные'!$B$218*'19_Расчет_аналитики'!BC3595,MeanMinAge05))),0)</f>
        <v/>
      </c>
      <c r="BD3504">
        <f>IF('01_Вводные'!$B$234="Да",IF(OR('19_Расчет_аналитики'!BD3476=0,5&lt;='01_Вводные'!$B$297),0,'19_Расчет_аналитики'!BD3476*IF('01_Вводные'!$B$239="Да",MeanMinAge05+'19_Расчет_аналитики'!BD3595*SUMIF(ThresholdAge05,"&lt;"&amp;'19_Расчет_аналитики'!BD3595,WeightedRevAge05)-SUMIF(ThresholdAge05,"&lt;"&amp;'19_Расчет_аналитики'!BD3595,WeightedMinAge05),MAX(CapacityAge05*'01_Вводные'!$B$218*'19_Расчет_аналитики'!BD3595,MeanMinAge05))),0)</f>
        <v/>
      </c>
      <c r="BE3504">
        <f>IF('01_Вводные'!$B$234="Да",IF(OR('19_Расчет_аналитики'!BE3476=0,5&lt;='01_Вводные'!$B$297),0,'19_Расчет_аналитики'!BE3476*IF('01_Вводные'!$B$239="Да",MeanMinAge05+'19_Расчет_аналитики'!BE3595*SUMIF(ThresholdAge05,"&lt;"&amp;'19_Расчет_аналитики'!BE3595,WeightedRevAge05)-SUMIF(ThresholdAge05,"&lt;"&amp;'19_Расчет_аналитики'!BE3595,WeightedMinAge05),MAX(CapacityAge05*'01_Вводные'!$B$218*'19_Расчет_аналитики'!BE3595,MeanMinAge05))),0)</f>
        <v/>
      </c>
      <c r="BF3504">
        <f>IF('01_Вводные'!$B$234="Да",IF(OR('19_Расчет_аналитики'!BF3476=0,5&lt;='01_Вводные'!$B$297),0,'19_Расчет_аналитики'!BF3476*IF('01_Вводные'!$B$239="Да",MeanMinAge05+'19_Расчет_аналитики'!BF3595*SUMIF(ThresholdAge05,"&lt;"&amp;'19_Расчет_аналитики'!BF3595,WeightedRevAge05)-SUMIF(ThresholdAge05,"&lt;"&amp;'19_Расчет_аналитики'!BF3595,WeightedMinAge05),MAX(CapacityAge05*'01_Вводные'!$B$218*'19_Расчет_аналитики'!BF3595,MeanMinAge05))),0)</f>
        <v/>
      </c>
      <c r="BG3504">
        <f>IF('01_Вводные'!$B$234="Да",IF(OR('19_Расчет_аналитики'!BG3476=0,5&lt;='01_Вводные'!$B$297),0,'19_Расчет_аналитики'!BG3476*IF('01_Вводные'!$B$239="Да",MeanMinAge05+'19_Расчет_аналитики'!BG3595*SUMIF(ThresholdAge05,"&lt;"&amp;'19_Расчет_аналитики'!BG3595,WeightedRevAge05)-SUMIF(ThresholdAge05,"&lt;"&amp;'19_Расчет_аналитики'!BG3595,WeightedMinAge05),MAX(CapacityAge05*'01_Вводные'!$B$218*'19_Расчет_аналитики'!BG3595,MeanMinAge05))),0)</f>
        <v/>
      </c>
      <c r="BH3504">
        <f>IF('01_Вводные'!$B$234="Да",IF(OR('19_Расчет_аналитики'!BH3476=0,5&lt;='01_Вводные'!$B$297),0,'19_Расчет_аналитики'!BH3476*IF('01_Вводные'!$B$239="Да",MeanMinAge05+'19_Расчет_аналитики'!BH3595*SUMIF(ThresholdAge05,"&lt;"&amp;'19_Расчет_аналитики'!BH3595,WeightedRevAge05)-SUMIF(ThresholdAge05,"&lt;"&amp;'19_Расчет_аналитики'!BH3595,WeightedMinAge05),MAX(CapacityAge05*'01_Вводные'!$B$218*'19_Расчет_аналитики'!BH3595,MeanMinAge05))),0)</f>
        <v/>
      </c>
      <c r="BI3504">
        <f>IF('01_Вводные'!$B$234="Да",IF(OR('19_Расчет_аналитики'!BI3476=0,5&lt;='01_Вводные'!$B$297),0,'19_Расчет_аналитики'!BI3476*IF('01_Вводные'!$B$239="Да",MeanMinAge05+'19_Расчет_аналитики'!BI3595*SUMIF(ThresholdAge05,"&lt;"&amp;'19_Расчет_аналитики'!BI3595,WeightedRevAge05)-SUMIF(ThresholdAge05,"&lt;"&amp;'19_Расчет_аналитики'!BI3595,WeightedMinAge05),MAX(CapacityAge05*'01_Вводные'!$B$218*'19_Расчет_аналитики'!BI3595,MeanMinAge05))),0)</f>
        <v/>
      </c>
      <c r="BJ3504">
        <f>IF('01_Вводные'!$B$234="Да",IF(OR('19_Расчет_аналитики'!BJ3476=0,5&lt;='01_Вводные'!$B$297),0,'19_Расчет_аналитики'!BJ3476*IF('01_Вводные'!$B$239="Да",MeanMinAge05+'19_Расчет_аналитики'!BJ3595*SUMIF(ThresholdAge05,"&lt;"&amp;'19_Расчет_аналитики'!BJ3595,WeightedRevAge05)-SUMIF(ThresholdAge05,"&lt;"&amp;'19_Расчет_аналитики'!BJ3595,WeightedMinAge05),MAX(CapacityAge05*'01_Вводные'!$B$218*'19_Расчет_аналитики'!BJ3595,MeanMinAge05))),0)</f>
        <v/>
      </c>
      <c r="BK3504">
        <f>IF('01_Вводные'!$B$234="Да",IF(OR('19_Расчет_аналитики'!BK3476=0,5&lt;='01_Вводные'!$B$297),0,'19_Расчет_аналитики'!BK3476*IF('01_Вводные'!$B$239="Да",MeanMinAge05+'19_Расчет_аналитики'!BK3595*SUMIF(ThresholdAge05,"&lt;"&amp;'19_Расчет_аналитики'!BK3595,WeightedRevAge05)-SUMIF(ThresholdAge05,"&lt;"&amp;'19_Расчет_аналитики'!BK3595,WeightedMinAge05),MAX(CapacityAge05*'01_Вводные'!$B$218*'19_Расчет_аналитики'!BK3595,MeanMinAge05))),0)</f>
        <v/>
      </c>
      <c r="BL3504">
        <f>IF('01_Вводные'!$B$234="Да",IF(OR('19_Расчет_аналитики'!BL3476=0,5&lt;='01_Вводные'!$B$297),0,'19_Расчет_аналитики'!BL3476*IF('01_Вводные'!$B$239="Да",MeanMinAge05+'19_Расчет_аналитики'!BL3595*SUMIF(ThresholdAge05,"&lt;"&amp;'19_Расчет_аналитики'!BL3595,WeightedRevAge05)-SUMIF(ThresholdAge05,"&lt;"&amp;'19_Расчет_аналитики'!BL3595,WeightedMinAge05),MAX(CapacityAge05*'01_Вводные'!$B$218*'19_Расчет_аналитики'!BL3595,MeanMinAge05))),0)</f>
        <v/>
      </c>
      <c r="BM3504">
        <f>IF('01_Вводные'!$B$234="Да",IF(OR('19_Расчет_аналитики'!BM3476=0,5&lt;='01_Вводные'!$B$297),0,'19_Расчет_аналитики'!BM3476*IF('01_Вводные'!$B$239="Да",MeanMinAge05+'19_Расчет_аналитики'!BM3595*SUMIF(ThresholdAge05,"&lt;"&amp;'19_Расчет_аналитики'!BM3595,WeightedRevAge05)-SUMIF(ThresholdAge05,"&lt;"&amp;'19_Расчет_аналитики'!BM3595,WeightedMinAge05),MAX(CapacityAge05*'01_Вводные'!$B$218*'19_Расчет_аналитики'!BM3595,MeanMinAge05))),0)</f>
        <v/>
      </c>
      <c r="BN3504">
        <f>IF('01_Вводные'!$B$234="Да",IF(OR('19_Расчет_аналитики'!BN3476=0,5&lt;='01_Вводные'!$B$297),0,'19_Расчет_аналитики'!BN3476*IF('01_Вводные'!$B$239="Да",MeanMinAge05+'19_Расчет_аналитики'!BN3595*SUMIF(ThresholdAge05,"&lt;"&amp;'19_Расчет_аналитики'!BN3595,WeightedRevAge05)-SUMIF(ThresholdAge05,"&lt;"&amp;'19_Расчет_аналитики'!BN3595,WeightedMinAge05),MAX(CapacityAge05*'01_Вводные'!$B$218*'19_Расчет_аналитики'!BN3595,MeanMinAge05))),0)</f>
        <v/>
      </c>
      <c r="BO3504">
        <f>IF('01_Вводные'!$B$234="Да",IF(OR('19_Расчет_аналитики'!BO3476=0,5&lt;='01_Вводные'!$B$297),0,'19_Расчет_аналитики'!BO3476*IF('01_Вводные'!$B$239="Да",MeanMinAge05+'19_Расчет_аналитики'!BO3595*SUMIF(ThresholdAge05,"&lt;"&amp;'19_Расчет_аналитики'!BO3595,WeightedRevAge05)-SUMIF(ThresholdAge05,"&lt;"&amp;'19_Расчет_аналитики'!BO3595,WeightedMinAge05),MAX(CapacityAge05*'01_Вводные'!$B$218*'19_Расчет_аналитики'!BO3595,MeanMinAge05))),0)</f>
        <v/>
      </c>
    </row>
    <row r="3505">
      <c r="B3505">
        <f>IF('01_Вводные'!$B$234="Да",IF(OR('06_Сеть_и_дети'!B86=0,6&lt;='01_Вводные'!$B$297),0,'06_Сеть_и_дети'!B86*IF('01_Вводные'!$B$239="Да",MeanMinAge06+'19_Расчет_аналитики'!B3595*SUMIF(ThresholdAge06,"&lt;"&amp;'19_Расчет_аналитики'!B3595,WeightedRevAge06)-SUMIF(ThresholdAge06,"&lt;"&amp;'19_Расчет_аналитики'!B3595,WeightedMinAge06),MAX(CapacityAge06*'01_Вводные'!$B$218*'19_Расчет_аналитики'!B3595,MeanMinAge06))),0)</f>
        <v/>
      </c>
      <c r="C3505">
        <f>IF('01_Вводные'!$B$234="Да",IF(OR('06_Сеть_и_дети'!C86=0,6&lt;='01_Вводные'!$B$297),0,'06_Сеть_и_дети'!C86*IF('01_Вводные'!$B$239="Да",MeanMinAge06+'19_Расчет_аналитики'!C3595*SUMIF(ThresholdAge06,"&lt;"&amp;'19_Расчет_аналитики'!C3595,WeightedRevAge06)-SUMIF(ThresholdAge06,"&lt;"&amp;'19_Расчет_аналитики'!C3595,WeightedMinAge06),MAX(CapacityAge06*'01_Вводные'!$B$218*'19_Расчет_аналитики'!C3595,MeanMinAge06))),0)</f>
        <v/>
      </c>
      <c r="D3505">
        <f>IF('01_Вводные'!$B$234="Да",IF(OR('06_Сеть_и_дети'!D86=0,6&lt;='01_Вводные'!$B$297),0,'06_Сеть_и_дети'!D86*IF('01_Вводные'!$B$239="Да",MeanMinAge06+'19_Расчет_аналитики'!D3595*SUMIF(ThresholdAge06,"&lt;"&amp;'19_Расчет_аналитики'!D3595,WeightedRevAge06)-SUMIF(ThresholdAge06,"&lt;"&amp;'19_Расчет_аналитики'!D3595,WeightedMinAge06),MAX(CapacityAge06*'01_Вводные'!$B$218*'19_Расчет_аналитики'!D3595,MeanMinAge06))),0)</f>
        <v/>
      </c>
      <c r="E3505">
        <f>IF('01_Вводные'!$B$234="Да",IF(OR('06_Сеть_и_дети'!E86=0,6&lt;='01_Вводные'!$B$297),0,'06_Сеть_и_дети'!E86*IF('01_Вводные'!$B$239="Да",MeanMinAge06+'19_Расчет_аналитики'!E3595*SUMIF(ThresholdAge06,"&lt;"&amp;'19_Расчет_аналитики'!E3595,WeightedRevAge06)-SUMIF(ThresholdAge06,"&lt;"&amp;'19_Расчет_аналитики'!E3595,WeightedMinAge06),MAX(CapacityAge06*'01_Вводные'!$B$218*'19_Расчет_аналитики'!E3595,MeanMinAge06))),0)</f>
        <v/>
      </c>
      <c r="F3505">
        <f>IF('01_Вводные'!$B$234="Да",IF(OR('06_Сеть_и_дети'!F86=0,6&lt;='01_Вводные'!$B$297),0,'06_Сеть_и_дети'!F86*IF('01_Вводные'!$B$239="Да",MeanMinAge06+'19_Расчет_аналитики'!F3595*SUMIF(ThresholdAge06,"&lt;"&amp;'19_Расчет_аналитики'!F3595,WeightedRevAge06)-SUMIF(ThresholdAge06,"&lt;"&amp;'19_Расчет_аналитики'!F3595,WeightedMinAge06),MAX(CapacityAge06*'01_Вводные'!$B$218*'19_Расчет_аналитики'!F3595,MeanMinAge06))),0)</f>
        <v/>
      </c>
      <c r="G3505">
        <f>IF('01_Вводные'!$B$234="Да",IF(OR('19_Расчет_аналитики'!G3477=0,6&lt;='01_Вводные'!$B$297),0,'19_Расчет_аналитики'!G3477*IF('01_Вводные'!$B$239="Да",MeanMinAge06+'19_Расчет_аналитики'!G3595*SUMIF(ThresholdAge06,"&lt;"&amp;'19_Расчет_аналитики'!G3595,WeightedRevAge06)-SUMIF(ThresholdAge06,"&lt;"&amp;'19_Расчет_аналитики'!G3595,WeightedMinAge06),MAX(CapacityAge06*'01_Вводные'!$B$218*'19_Расчет_аналитики'!G3595,MeanMinAge06))),0)</f>
        <v/>
      </c>
      <c r="H3505">
        <f>IF('01_Вводные'!$B$234="Да",IF(OR('19_Расчет_аналитики'!H3477=0,6&lt;='01_Вводные'!$B$297),0,'19_Расчет_аналитики'!H3477*IF('01_Вводные'!$B$239="Да",MeanMinAge06+'19_Расчет_аналитики'!H3595*SUMIF(ThresholdAge06,"&lt;"&amp;'19_Расчет_аналитики'!H3595,WeightedRevAge06)-SUMIF(ThresholdAge06,"&lt;"&amp;'19_Расчет_аналитики'!H3595,WeightedMinAge06),MAX(CapacityAge06*'01_Вводные'!$B$218*'19_Расчет_аналитики'!H3595,MeanMinAge06))),0)</f>
        <v/>
      </c>
      <c r="I3505">
        <f>IF('01_Вводные'!$B$234="Да",IF(OR('19_Расчет_аналитики'!I3477=0,6&lt;='01_Вводные'!$B$297),0,'19_Расчет_аналитики'!I3477*IF('01_Вводные'!$B$239="Да",MeanMinAge06+'19_Расчет_аналитики'!I3595*SUMIF(ThresholdAge06,"&lt;"&amp;'19_Расчет_аналитики'!I3595,WeightedRevAge06)-SUMIF(ThresholdAge06,"&lt;"&amp;'19_Расчет_аналитики'!I3595,WeightedMinAge06),MAX(CapacityAge06*'01_Вводные'!$B$218*'19_Расчет_аналитики'!I3595,MeanMinAge06))),0)</f>
        <v/>
      </c>
      <c r="J3505">
        <f>IF('01_Вводные'!$B$234="Да",IF(OR('19_Расчет_аналитики'!J3477=0,6&lt;='01_Вводные'!$B$297),0,'19_Расчет_аналитики'!J3477*IF('01_Вводные'!$B$239="Да",MeanMinAge06+'19_Расчет_аналитики'!J3595*SUMIF(ThresholdAge06,"&lt;"&amp;'19_Расчет_аналитики'!J3595,WeightedRevAge06)-SUMIF(ThresholdAge06,"&lt;"&amp;'19_Расчет_аналитики'!J3595,WeightedMinAge06),MAX(CapacityAge06*'01_Вводные'!$B$218*'19_Расчет_аналитики'!J3595,MeanMinAge06))),0)</f>
        <v/>
      </c>
      <c r="K3505">
        <f>IF('01_Вводные'!$B$234="Да",IF(OR('19_Расчет_аналитики'!K3477=0,6&lt;='01_Вводные'!$B$297),0,'19_Расчет_аналитики'!K3477*IF('01_Вводные'!$B$239="Да",MeanMinAge06+'19_Расчет_аналитики'!K3595*SUMIF(ThresholdAge06,"&lt;"&amp;'19_Расчет_аналитики'!K3595,WeightedRevAge06)-SUMIF(ThresholdAge06,"&lt;"&amp;'19_Расчет_аналитики'!K3595,WeightedMinAge06),MAX(CapacityAge06*'01_Вводные'!$B$218*'19_Расчет_аналитики'!K3595,MeanMinAge06))),0)</f>
        <v/>
      </c>
      <c r="L3505">
        <f>IF('01_Вводные'!$B$234="Да",IF(OR('19_Расчет_аналитики'!L3477=0,6&lt;='01_Вводные'!$B$297),0,'19_Расчет_аналитики'!L3477*IF('01_Вводные'!$B$239="Да",MeanMinAge06+'19_Расчет_аналитики'!L3595*SUMIF(ThresholdAge06,"&lt;"&amp;'19_Расчет_аналитики'!L3595,WeightedRevAge06)-SUMIF(ThresholdAge06,"&lt;"&amp;'19_Расчет_аналитики'!L3595,WeightedMinAge06),MAX(CapacityAge06*'01_Вводные'!$B$218*'19_Расчет_аналитики'!L3595,MeanMinAge06))),0)</f>
        <v/>
      </c>
      <c r="M3505">
        <f>IF('01_Вводные'!$B$234="Да",IF(OR('19_Расчет_аналитики'!M3477=0,6&lt;='01_Вводные'!$B$297),0,'19_Расчет_аналитики'!M3477*IF('01_Вводные'!$B$239="Да",MeanMinAge06+'19_Расчет_аналитики'!M3595*SUMIF(ThresholdAge06,"&lt;"&amp;'19_Расчет_аналитики'!M3595,WeightedRevAge06)-SUMIF(ThresholdAge06,"&lt;"&amp;'19_Расчет_аналитики'!M3595,WeightedMinAge06),MAX(CapacityAge06*'01_Вводные'!$B$218*'19_Расчет_аналитики'!M3595,MeanMinAge06))),0)</f>
        <v/>
      </c>
      <c r="N3505">
        <f>IF('01_Вводные'!$B$234="Да",IF(OR('19_Расчет_аналитики'!N3477=0,6&lt;='01_Вводные'!$B$297),0,'19_Расчет_аналитики'!N3477*IF('01_Вводные'!$B$239="Да",MeanMinAge06+'19_Расчет_аналитики'!N3595*SUMIF(ThresholdAge06,"&lt;"&amp;'19_Расчет_аналитики'!N3595,WeightedRevAge06)-SUMIF(ThresholdAge06,"&lt;"&amp;'19_Расчет_аналитики'!N3595,WeightedMinAge06),MAX(CapacityAge06*'01_Вводные'!$B$218*'19_Расчет_аналитики'!N3595,MeanMinAge06))),0)</f>
        <v/>
      </c>
      <c r="O3505">
        <f>IF('01_Вводные'!$B$234="Да",IF(OR('19_Расчет_аналитики'!O3477=0,6&lt;='01_Вводные'!$B$297),0,'19_Расчет_аналитики'!O3477*IF('01_Вводные'!$B$239="Да",MeanMinAge06+'19_Расчет_аналитики'!O3595*SUMIF(ThresholdAge06,"&lt;"&amp;'19_Расчет_аналитики'!O3595,WeightedRevAge06)-SUMIF(ThresholdAge06,"&lt;"&amp;'19_Расчет_аналитики'!O3595,WeightedMinAge06),MAX(CapacityAge06*'01_Вводные'!$B$218*'19_Расчет_аналитики'!O3595,MeanMinAge06))),0)</f>
        <v/>
      </c>
      <c r="P3505">
        <f>IF('01_Вводные'!$B$234="Да",IF(OR('19_Расчет_аналитики'!P3477=0,6&lt;='01_Вводные'!$B$297),0,'19_Расчет_аналитики'!P3477*IF('01_Вводные'!$B$239="Да",MeanMinAge06+'19_Расчет_аналитики'!P3595*SUMIF(ThresholdAge06,"&lt;"&amp;'19_Расчет_аналитики'!P3595,WeightedRevAge06)-SUMIF(ThresholdAge06,"&lt;"&amp;'19_Расчет_аналитики'!P3595,WeightedMinAge06),MAX(CapacityAge06*'01_Вводные'!$B$218*'19_Расчет_аналитики'!P3595,MeanMinAge06))),0)</f>
        <v/>
      </c>
      <c r="Q3505">
        <f>IF('01_Вводные'!$B$234="Да",IF(OR('19_Расчет_аналитики'!Q3477=0,6&lt;='01_Вводные'!$B$297),0,'19_Расчет_аналитики'!Q3477*IF('01_Вводные'!$B$239="Да",MeanMinAge06+'19_Расчет_аналитики'!Q3595*SUMIF(ThresholdAge06,"&lt;"&amp;'19_Расчет_аналитики'!Q3595,WeightedRevAge06)-SUMIF(ThresholdAge06,"&lt;"&amp;'19_Расчет_аналитики'!Q3595,WeightedMinAge06),MAX(CapacityAge06*'01_Вводные'!$B$218*'19_Расчет_аналитики'!Q3595,MeanMinAge06))),0)</f>
        <v/>
      </c>
      <c r="R3505">
        <f>IF('01_Вводные'!$B$234="Да",IF(OR('19_Расчет_аналитики'!R3477=0,6&lt;='01_Вводные'!$B$297),0,'19_Расчет_аналитики'!R3477*IF('01_Вводные'!$B$239="Да",MeanMinAge06+'19_Расчет_аналитики'!R3595*SUMIF(ThresholdAge06,"&lt;"&amp;'19_Расчет_аналитики'!R3595,WeightedRevAge06)-SUMIF(ThresholdAge06,"&lt;"&amp;'19_Расчет_аналитики'!R3595,WeightedMinAge06),MAX(CapacityAge06*'01_Вводные'!$B$218*'19_Расчет_аналитики'!R3595,MeanMinAge06))),0)</f>
        <v/>
      </c>
      <c r="S3505">
        <f>IF('01_Вводные'!$B$234="Да",IF(OR('19_Расчет_аналитики'!S3477=0,6&lt;='01_Вводные'!$B$297),0,'19_Расчет_аналитики'!S3477*IF('01_Вводные'!$B$239="Да",MeanMinAge06+'19_Расчет_аналитики'!S3595*SUMIF(ThresholdAge06,"&lt;"&amp;'19_Расчет_аналитики'!S3595,WeightedRevAge06)-SUMIF(ThresholdAge06,"&lt;"&amp;'19_Расчет_аналитики'!S3595,WeightedMinAge06),MAX(CapacityAge06*'01_Вводные'!$B$218*'19_Расчет_аналитики'!S3595,MeanMinAge06))),0)</f>
        <v/>
      </c>
      <c r="T3505">
        <f>IF('01_Вводные'!$B$234="Да",IF(OR('19_Расчет_аналитики'!T3477=0,6&lt;='01_Вводные'!$B$297),0,'19_Расчет_аналитики'!T3477*IF('01_Вводные'!$B$239="Да",MeanMinAge06+'19_Расчет_аналитики'!T3595*SUMIF(ThresholdAge06,"&lt;"&amp;'19_Расчет_аналитики'!T3595,WeightedRevAge06)-SUMIF(ThresholdAge06,"&lt;"&amp;'19_Расчет_аналитики'!T3595,WeightedMinAge06),MAX(CapacityAge06*'01_Вводные'!$B$218*'19_Расчет_аналитики'!T3595,MeanMinAge06))),0)</f>
        <v/>
      </c>
      <c r="U3505">
        <f>IF('01_Вводные'!$B$234="Да",IF(OR('19_Расчет_аналитики'!U3477=0,6&lt;='01_Вводные'!$B$297),0,'19_Расчет_аналитики'!U3477*IF('01_Вводные'!$B$239="Да",MeanMinAge06+'19_Расчет_аналитики'!U3595*SUMIF(ThresholdAge06,"&lt;"&amp;'19_Расчет_аналитики'!U3595,WeightedRevAge06)-SUMIF(ThresholdAge06,"&lt;"&amp;'19_Расчет_аналитики'!U3595,WeightedMinAge06),MAX(CapacityAge06*'01_Вводные'!$B$218*'19_Расчет_аналитики'!U3595,MeanMinAge06))),0)</f>
        <v/>
      </c>
      <c r="V3505">
        <f>IF('01_Вводные'!$B$234="Да",IF(OR('19_Расчет_аналитики'!V3477=0,6&lt;='01_Вводные'!$B$297),0,'19_Расчет_аналитики'!V3477*IF('01_Вводные'!$B$239="Да",MeanMinAge06+'19_Расчет_аналитики'!V3595*SUMIF(ThresholdAge06,"&lt;"&amp;'19_Расчет_аналитики'!V3595,WeightedRevAge06)-SUMIF(ThresholdAge06,"&lt;"&amp;'19_Расчет_аналитики'!V3595,WeightedMinAge06),MAX(CapacityAge06*'01_Вводные'!$B$218*'19_Расчет_аналитики'!V3595,MeanMinAge06))),0)</f>
        <v/>
      </c>
      <c r="W3505">
        <f>IF('01_Вводные'!$B$234="Да",IF(OR('19_Расчет_аналитики'!W3477=0,6&lt;='01_Вводные'!$B$297),0,'19_Расчет_аналитики'!W3477*IF('01_Вводные'!$B$239="Да",MeanMinAge06+'19_Расчет_аналитики'!W3595*SUMIF(ThresholdAge06,"&lt;"&amp;'19_Расчет_аналитики'!W3595,WeightedRevAge06)-SUMIF(ThresholdAge06,"&lt;"&amp;'19_Расчет_аналитики'!W3595,WeightedMinAge06),MAX(CapacityAge06*'01_Вводные'!$B$218*'19_Расчет_аналитики'!W3595,MeanMinAge06))),0)</f>
        <v/>
      </c>
      <c r="X3505">
        <f>IF('01_Вводные'!$B$234="Да",IF(OR('19_Расчет_аналитики'!X3477=0,6&lt;='01_Вводные'!$B$297),0,'19_Расчет_аналитики'!X3477*IF('01_Вводные'!$B$239="Да",MeanMinAge06+'19_Расчет_аналитики'!X3595*SUMIF(ThresholdAge06,"&lt;"&amp;'19_Расчет_аналитики'!X3595,WeightedRevAge06)-SUMIF(ThresholdAge06,"&lt;"&amp;'19_Расчет_аналитики'!X3595,WeightedMinAge06),MAX(CapacityAge06*'01_Вводные'!$B$218*'19_Расчет_аналитики'!X3595,MeanMinAge06))),0)</f>
        <v/>
      </c>
      <c r="Y3505">
        <f>IF('01_Вводные'!$B$234="Да",IF(OR('19_Расчет_аналитики'!Y3477=0,6&lt;='01_Вводные'!$B$297),0,'19_Расчет_аналитики'!Y3477*IF('01_Вводные'!$B$239="Да",MeanMinAge06+'19_Расчет_аналитики'!Y3595*SUMIF(ThresholdAge06,"&lt;"&amp;'19_Расчет_аналитики'!Y3595,WeightedRevAge06)-SUMIF(ThresholdAge06,"&lt;"&amp;'19_Расчет_аналитики'!Y3595,WeightedMinAge06),MAX(CapacityAge06*'01_Вводные'!$B$218*'19_Расчет_аналитики'!Y3595,MeanMinAge06))),0)</f>
        <v/>
      </c>
      <c r="Z3505">
        <f>IF('01_Вводные'!$B$234="Да",IF(OR('19_Расчет_аналитики'!Z3477=0,6&lt;='01_Вводные'!$B$297),0,'19_Расчет_аналитики'!Z3477*IF('01_Вводные'!$B$239="Да",MeanMinAge06+'19_Расчет_аналитики'!Z3595*SUMIF(ThresholdAge06,"&lt;"&amp;'19_Расчет_аналитики'!Z3595,WeightedRevAge06)-SUMIF(ThresholdAge06,"&lt;"&amp;'19_Расчет_аналитики'!Z3595,WeightedMinAge06),MAX(CapacityAge06*'01_Вводные'!$B$218*'19_Расчет_аналитики'!Z3595,MeanMinAge06))),0)</f>
        <v/>
      </c>
      <c r="AA3505">
        <f>IF('01_Вводные'!$B$234="Да",IF(OR('19_Расчет_аналитики'!AA3477=0,6&lt;='01_Вводные'!$B$297),0,'19_Расчет_аналитики'!AA3477*IF('01_Вводные'!$B$239="Да",MeanMinAge06+'19_Расчет_аналитики'!AA3595*SUMIF(ThresholdAge06,"&lt;"&amp;'19_Расчет_аналитики'!AA3595,WeightedRevAge06)-SUMIF(ThresholdAge06,"&lt;"&amp;'19_Расчет_аналитики'!AA3595,WeightedMinAge06),MAX(CapacityAge06*'01_Вводные'!$B$218*'19_Расчет_аналитики'!AA3595,MeanMinAge06))),0)</f>
        <v/>
      </c>
      <c r="AB3505">
        <f>IF('01_Вводные'!$B$234="Да",IF(OR('19_Расчет_аналитики'!AB3477=0,6&lt;='01_Вводные'!$B$297),0,'19_Расчет_аналитики'!AB3477*IF('01_Вводные'!$B$239="Да",MeanMinAge06+'19_Расчет_аналитики'!AB3595*SUMIF(ThresholdAge06,"&lt;"&amp;'19_Расчет_аналитики'!AB3595,WeightedRevAge06)-SUMIF(ThresholdAge06,"&lt;"&amp;'19_Расчет_аналитики'!AB3595,WeightedMinAge06),MAX(CapacityAge06*'01_Вводные'!$B$218*'19_Расчет_аналитики'!AB3595,MeanMinAge06))),0)</f>
        <v/>
      </c>
      <c r="AC3505">
        <f>IF('01_Вводные'!$B$234="Да",IF(OR('19_Расчет_аналитики'!AC3477=0,6&lt;='01_Вводные'!$B$297),0,'19_Расчет_аналитики'!AC3477*IF('01_Вводные'!$B$239="Да",MeanMinAge06+'19_Расчет_аналитики'!AC3595*SUMIF(ThresholdAge06,"&lt;"&amp;'19_Расчет_аналитики'!AC3595,WeightedRevAge06)-SUMIF(ThresholdAge06,"&lt;"&amp;'19_Расчет_аналитики'!AC3595,WeightedMinAge06),MAX(CapacityAge06*'01_Вводные'!$B$218*'19_Расчет_аналитики'!AC3595,MeanMinAge06))),0)</f>
        <v/>
      </c>
      <c r="AD3505">
        <f>IF('01_Вводные'!$B$234="Да",IF(OR('19_Расчет_аналитики'!AD3477=0,6&lt;='01_Вводные'!$B$297),0,'19_Расчет_аналитики'!AD3477*IF('01_Вводные'!$B$239="Да",MeanMinAge06+'19_Расчет_аналитики'!AD3595*SUMIF(ThresholdAge06,"&lt;"&amp;'19_Расчет_аналитики'!AD3595,WeightedRevAge06)-SUMIF(ThresholdAge06,"&lt;"&amp;'19_Расчет_аналитики'!AD3595,WeightedMinAge06),MAX(CapacityAge06*'01_Вводные'!$B$218*'19_Расчет_аналитики'!AD3595,MeanMinAge06))),0)</f>
        <v/>
      </c>
      <c r="AE3505">
        <f>IF('01_Вводные'!$B$234="Да",IF(OR('19_Расчет_аналитики'!AE3477=0,6&lt;='01_Вводные'!$B$297),0,'19_Расчет_аналитики'!AE3477*IF('01_Вводные'!$B$239="Да",MeanMinAge06+'19_Расчет_аналитики'!AE3595*SUMIF(ThresholdAge06,"&lt;"&amp;'19_Расчет_аналитики'!AE3595,WeightedRevAge06)-SUMIF(ThresholdAge06,"&lt;"&amp;'19_Расчет_аналитики'!AE3595,WeightedMinAge06),MAX(CapacityAge06*'01_Вводные'!$B$218*'19_Расчет_аналитики'!AE3595,MeanMinAge06))),0)</f>
        <v/>
      </c>
      <c r="AF3505">
        <f>IF('01_Вводные'!$B$234="Да",IF(OR('19_Расчет_аналитики'!AF3477=0,6&lt;='01_Вводные'!$B$297),0,'19_Расчет_аналитики'!AF3477*IF('01_Вводные'!$B$239="Да",MeanMinAge06+'19_Расчет_аналитики'!AF3595*SUMIF(ThresholdAge06,"&lt;"&amp;'19_Расчет_аналитики'!AF3595,WeightedRevAge06)-SUMIF(ThresholdAge06,"&lt;"&amp;'19_Расчет_аналитики'!AF3595,WeightedMinAge06),MAX(CapacityAge06*'01_Вводные'!$B$218*'19_Расчет_аналитики'!AF3595,MeanMinAge06))),0)</f>
        <v/>
      </c>
      <c r="AG3505">
        <f>IF('01_Вводные'!$B$234="Да",IF(OR('19_Расчет_аналитики'!AG3477=0,6&lt;='01_Вводные'!$B$297),0,'19_Расчет_аналитики'!AG3477*IF('01_Вводные'!$B$239="Да",MeanMinAge06+'19_Расчет_аналитики'!AG3595*SUMIF(ThresholdAge06,"&lt;"&amp;'19_Расчет_аналитики'!AG3595,WeightedRevAge06)-SUMIF(ThresholdAge06,"&lt;"&amp;'19_Расчет_аналитики'!AG3595,WeightedMinAge06),MAX(CapacityAge06*'01_Вводные'!$B$218*'19_Расчет_аналитики'!AG3595,MeanMinAge06))),0)</f>
        <v/>
      </c>
      <c r="AH3505">
        <f>IF('01_Вводные'!$B$234="Да",IF(OR('19_Расчет_аналитики'!AH3477=0,6&lt;='01_Вводные'!$B$297),0,'19_Расчет_аналитики'!AH3477*IF('01_Вводные'!$B$239="Да",MeanMinAge06+'19_Расчет_аналитики'!AH3595*SUMIF(ThresholdAge06,"&lt;"&amp;'19_Расчет_аналитики'!AH3595,WeightedRevAge06)-SUMIF(ThresholdAge06,"&lt;"&amp;'19_Расчет_аналитики'!AH3595,WeightedMinAge06),MAX(CapacityAge06*'01_Вводные'!$B$218*'19_Расчет_аналитики'!AH3595,MeanMinAge06))),0)</f>
        <v/>
      </c>
      <c r="AI3505">
        <f>IF('01_Вводные'!$B$234="Да",IF(OR('19_Расчет_аналитики'!AI3477=0,6&lt;='01_Вводные'!$B$297),0,'19_Расчет_аналитики'!AI3477*IF('01_Вводные'!$B$239="Да",MeanMinAge06+'19_Расчет_аналитики'!AI3595*SUMIF(ThresholdAge06,"&lt;"&amp;'19_Расчет_аналитики'!AI3595,WeightedRevAge06)-SUMIF(ThresholdAge06,"&lt;"&amp;'19_Расчет_аналитики'!AI3595,WeightedMinAge06),MAX(CapacityAge06*'01_Вводные'!$B$218*'19_Расчет_аналитики'!AI3595,MeanMinAge06))),0)</f>
        <v/>
      </c>
      <c r="AJ3505">
        <f>IF('01_Вводные'!$B$234="Да",IF(OR('19_Расчет_аналитики'!AJ3477=0,6&lt;='01_Вводные'!$B$297),0,'19_Расчет_аналитики'!AJ3477*IF('01_Вводные'!$B$239="Да",MeanMinAge06+'19_Расчет_аналитики'!AJ3595*SUMIF(ThresholdAge06,"&lt;"&amp;'19_Расчет_аналитики'!AJ3595,WeightedRevAge06)-SUMIF(ThresholdAge06,"&lt;"&amp;'19_Расчет_аналитики'!AJ3595,WeightedMinAge06),MAX(CapacityAge06*'01_Вводные'!$B$218*'19_Расчет_аналитики'!AJ3595,MeanMinAge06))),0)</f>
        <v/>
      </c>
      <c r="AK3505">
        <f>IF('01_Вводные'!$B$234="Да",IF(OR('19_Расчет_аналитики'!AK3477=0,6&lt;='01_Вводные'!$B$297),0,'19_Расчет_аналитики'!AK3477*IF('01_Вводные'!$B$239="Да",MeanMinAge06+'19_Расчет_аналитики'!AK3595*SUMIF(ThresholdAge06,"&lt;"&amp;'19_Расчет_аналитики'!AK3595,WeightedRevAge06)-SUMIF(ThresholdAge06,"&lt;"&amp;'19_Расчет_аналитики'!AK3595,WeightedMinAge06),MAX(CapacityAge06*'01_Вводные'!$B$218*'19_Расчет_аналитики'!AK3595,MeanMinAge06))),0)</f>
        <v/>
      </c>
      <c r="AL3505">
        <f>IF('01_Вводные'!$B$234="Да",IF(OR('19_Расчет_аналитики'!AL3477=0,6&lt;='01_Вводные'!$B$297),0,'19_Расчет_аналитики'!AL3477*IF('01_Вводные'!$B$239="Да",MeanMinAge06+'19_Расчет_аналитики'!AL3595*SUMIF(ThresholdAge06,"&lt;"&amp;'19_Расчет_аналитики'!AL3595,WeightedRevAge06)-SUMIF(ThresholdAge06,"&lt;"&amp;'19_Расчет_аналитики'!AL3595,WeightedMinAge06),MAX(CapacityAge06*'01_Вводные'!$B$218*'19_Расчет_аналитики'!AL3595,MeanMinAge06))),0)</f>
        <v/>
      </c>
      <c r="AM3505">
        <f>IF('01_Вводные'!$B$234="Да",IF(OR('19_Расчет_аналитики'!AM3477=0,6&lt;='01_Вводные'!$B$297),0,'19_Расчет_аналитики'!AM3477*IF('01_Вводные'!$B$239="Да",MeanMinAge06+'19_Расчет_аналитики'!AM3595*SUMIF(ThresholdAge06,"&lt;"&amp;'19_Расчет_аналитики'!AM3595,WeightedRevAge06)-SUMIF(ThresholdAge06,"&lt;"&amp;'19_Расчет_аналитики'!AM3595,WeightedMinAge06),MAX(CapacityAge06*'01_Вводные'!$B$218*'19_Расчет_аналитики'!AM3595,MeanMinAge06))),0)</f>
        <v/>
      </c>
      <c r="AN3505">
        <f>IF('01_Вводные'!$B$234="Да",IF(OR('19_Расчет_аналитики'!AN3477=0,6&lt;='01_Вводные'!$B$297),0,'19_Расчет_аналитики'!AN3477*IF('01_Вводные'!$B$239="Да",MeanMinAge06+'19_Расчет_аналитики'!AN3595*SUMIF(ThresholdAge06,"&lt;"&amp;'19_Расчет_аналитики'!AN3595,WeightedRevAge06)-SUMIF(ThresholdAge06,"&lt;"&amp;'19_Расчет_аналитики'!AN3595,WeightedMinAge06),MAX(CapacityAge06*'01_Вводные'!$B$218*'19_Расчет_аналитики'!AN3595,MeanMinAge06))),0)</f>
        <v/>
      </c>
      <c r="AO3505">
        <f>IF('01_Вводные'!$B$234="Да",IF(OR('19_Расчет_аналитики'!AO3477=0,6&lt;='01_Вводные'!$B$297),0,'19_Расчет_аналитики'!AO3477*IF('01_Вводные'!$B$239="Да",MeanMinAge06+'19_Расчет_аналитики'!AO3595*SUMIF(ThresholdAge06,"&lt;"&amp;'19_Расчет_аналитики'!AO3595,WeightedRevAge06)-SUMIF(ThresholdAge06,"&lt;"&amp;'19_Расчет_аналитики'!AO3595,WeightedMinAge06),MAX(CapacityAge06*'01_Вводные'!$B$218*'19_Расчет_аналитики'!AO3595,MeanMinAge06))),0)</f>
        <v/>
      </c>
      <c r="AP3505">
        <f>IF('01_Вводные'!$B$234="Да",IF(OR('19_Расчет_аналитики'!AP3477=0,6&lt;='01_Вводные'!$B$297),0,'19_Расчет_аналитики'!AP3477*IF('01_Вводные'!$B$239="Да",MeanMinAge06+'19_Расчет_аналитики'!AP3595*SUMIF(ThresholdAge06,"&lt;"&amp;'19_Расчет_аналитики'!AP3595,WeightedRevAge06)-SUMIF(ThresholdAge06,"&lt;"&amp;'19_Расчет_аналитики'!AP3595,WeightedMinAge06),MAX(CapacityAge06*'01_Вводные'!$B$218*'19_Расчет_аналитики'!AP3595,MeanMinAge06))),0)</f>
        <v/>
      </c>
      <c r="AQ3505">
        <f>IF('01_Вводные'!$B$234="Да",IF(OR('19_Расчет_аналитики'!AQ3477=0,6&lt;='01_Вводные'!$B$297),0,'19_Расчет_аналитики'!AQ3477*IF('01_Вводные'!$B$239="Да",MeanMinAge06+'19_Расчет_аналитики'!AQ3595*SUMIF(ThresholdAge06,"&lt;"&amp;'19_Расчет_аналитики'!AQ3595,WeightedRevAge06)-SUMIF(ThresholdAge06,"&lt;"&amp;'19_Расчет_аналитики'!AQ3595,WeightedMinAge06),MAX(CapacityAge06*'01_Вводные'!$B$218*'19_Расчет_аналитики'!AQ3595,MeanMinAge06))),0)</f>
        <v/>
      </c>
      <c r="AR3505">
        <f>IF('01_Вводные'!$B$234="Да",IF(OR('19_Расчет_аналитики'!AR3477=0,6&lt;='01_Вводные'!$B$297),0,'19_Расчет_аналитики'!AR3477*IF('01_Вводные'!$B$239="Да",MeanMinAge06+'19_Расчет_аналитики'!AR3595*SUMIF(ThresholdAge06,"&lt;"&amp;'19_Расчет_аналитики'!AR3595,WeightedRevAge06)-SUMIF(ThresholdAge06,"&lt;"&amp;'19_Расчет_аналитики'!AR3595,WeightedMinAge06),MAX(CapacityAge06*'01_Вводные'!$B$218*'19_Расчет_аналитики'!AR3595,MeanMinAge06))),0)</f>
        <v/>
      </c>
      <c r="AS3505">
        <f>IF('01_Вводные'!$B$234="Да",IF(OR('19_Расчет_аналитики'!AS3477=0,6&lt;='01_Вводные'!$B$297),0,'19_Расчет_аналитики'!AS3477*IF('01_Вводные'!$B$239="Да",MeanMinAge06+'19_Расчет_аналитики'!AS3595*SUMIF(ThresholdAge06,"&lt;"&amp;'19_Расчет_аналитики'!AS3595,WeightedRevAge06)-SUMIF(ThresholdAge06,"&lt;"&amp;'19_Расчет_аналитики'!AS3595,WeightedMinAge06),MAX(CapacityAge06*'01_Вводные'!$B$218*'19_Расчет_аналитики'!AS3595,MeanMinAge06))),0)</f>
        <v/>
      </c>
      <c r="AT3505">
        <f>IF('01_Вводные'!$B$234="Да",IF(OR('19_Расчет_аналитики'!AT3477=0,6&lt;='01_Вводные'!$B$297),0,'19_Расчет_аналитики'!AT3477*IF('01_Вводные'!$B$239="Да",MeanMinAge06+'19_Расчет_аналитики'!AT3595*SUMIF(ThresholdAge06,"&lt;"&amp;'19_Расчет_аналитики'!AT3595,WeightedRevAge06)-SUMIF(ThresholdAge06,"&lt;"&amp;'19_Расчет_аналитики'!AT3595,WeightedMinAge06),MAX(CapacityAge06*'01_Вводные'!$B$218*'19_Расчет_аналитики'!AT3595,MeanMinAge06))),0)</f>
        <v/>
      </c>
      <c r="AU3505">
        <f>IF('01_Вводные'!$B$234="Да",IF(OR('19_Расчет_аналитики'!AU3477=0,6&lt;='01_Вводные'!$B$297),0,'19_Расчет_аналитики'!AU3477*IF('01_Вводные'!$B$239="Да",MeanMinAge06+'19_Расчет_аналитики'!AU3595*SUMIF(ThresholdAge06,"&lt;"&amp;'19_Расчет_аналитики'!AU3595,WeightedRevAge06)-SUMIF(ThresholdAge06,"&lt;"&amp;'19_Расчет_аналитики'!AU3595,WeightedMinAge06),MAX(CapacityAge06*'01_Вводные'!$B$218*'19_Расчет_аналитики'!AU3595,MeanMinAge06))),0)</f>
        <v/>
      </c>
      <c r="AV3505">
        <f>IF('01_Вводные'!$B$234="Да",IF(OR('19_Расчет_аналитики'!AV3477=0,6&lt;='01_Вводные'!$B$297),0,'19_Расчет_аналитики'!AV3477*IF('01_Вводные'!$B$239="Да",MeanMinAge06+'19_Расчет_аналитики'!AV3595*SUMIF(ThresholdAge06,"&lt;"&amp;'19_Расчет_аналитики'!AV3595,WeightedRevAge06)-SUMIF(ThresholdAge06,"&lt;"&amp;'19_Расчет_аналитики'!AV3595,WeightedMinAge06),MAX(CapacityAge06*'01_Вводные'!$B$218*'19_Расчет_аналитики'!AV3595,MeanMinAge06))),0)</f>
        <v/>
      </c>
      <c r="AW3505">
        <f>IF('01_Вводные'!$B$234="Да",IF(OR('19_Расчет_аналитики'!AW3477=0,6&lt;='01_Вводные'!$B$297),0,'19_Расчет_аналитики'!AW3477*IF('01_Вводные'!$B$239="Да",MeanMinAge06+'19_Расчет_аналитики'!AW3595*SUMIF(ThresholdAge06,"&lt;"&amp;'19_Расчет_аналитики'!AW3595,WeightedRevAge06)-SUMIF(ThresholdAge06,"&lt;"&amp;'19_Расчет_аналитики'!AW3595,WeightedMinAge06),MAX(CapacityAge06*'01_Вводные'!$B$218*'19_Расчет_аналитики'!AW3595,MeanMinAge06))),0)</f>
        <v/>
      </c>
      <c r="AX3505">
        <f>IF('01_Вводные'!$B$234="Да",IF(OR('19_Расчет_аналитики'!AX3477=0,6&lt;='01_Вводные'!$B$297),0,'19_Расчет_аналитики'!AX3477*IF('01_Вводные'!$B$239="Да",MeanMinAge06+'19_Расчет_аналитики'!AX3595*SUMIF(ThresholdAge06,"&lt;"&amp;'19_Расчет_аналитики'!AX3595,WeightedRevAge06)-SUMIF(ThresholdAge06,"&lt;"&amp;'19_Расчет_аналитики'!AX3595,WeightedMinAge06),MAX(CapacityAge06*'01_Вводные'!$B$218*'19_Расчет_аналитики'!AX3595,MeanMinAge06))),0)</f>
        <v/>
      </c>
      <c r="AY3505">
        <f>IF('01_Вводные'!$B$234="Да",IF(OR('19_Расчет_аналитики'!AY3477=0,6&lt;='01_Вводные'!$B$297),0,'19_Расчет_аналитики'!AY3477*IF('01_Вводные'!$B$239="Да",MeanMinAge06+'19_Расчет_аналитики'!AY3595*SUMIF(ThresholdAge06,"&lt;"&amp;'19_Расчет_аналитики'!AY3595,WeightedRevAge06)-SUMIF(ThresholdAge06,"&lt;"&amp;'19_Расчет_аналитики'!AY3595,WeightedMinAge06),MAX(CapacityAge06*'01_Вводные'!$B$218*'19_Расчет_аналитики'!AY3595,MeanMinAge06))),0)</f>
        <v/>
      </c>
      <c r="AZ3505">
        <f>IF('01_Вводные'!$B$234="Да",IF(OR('19_Расчет_аналитики'!AZ3477=0,6&lt;='01_Вводные'!$B$297),0,'19_Расчет_аналитики'!AZ3477*IF('01_Вводные'!$B$239="Да",MeanMinAge06+'19_Расчет_аналитики'!AZ3595*SUMIF(ThresholdAge06,"&lt;"&amp;'19_Расчет_аналитики'!AZ3595,WeightedRevAge06)-SUMIF(ThresholdAge06,"&lt;"&amp;'19_Расчет_аналитики'!AZ3595,WeightedMinAge06),MAX(CapacityAge06*'01_Вводные'!$B$218*'19_Расчет_аналитики'!AZ3595,MeanMinAge06))),0)</f>
        <v/>
      </c>
      <c r="BA3505">
        <f>IF('01_Вводные'!$B$234="Да",IF(OR('19_Расчет_аналитики'!BA3477=0,6&lt;='01_Вводные'!$B$297),0,'19_Расчет_аналитики'!BA3477*IF('01_Вводные'!$B$239="Да",MeanMinAge06+'19_Расчет_аналитики'!BA3595*SUMIF(ThresholdAge06,"&lt;"&amp;'19_Расчет_аналитики'!BA3595,WeightedRevAge06)-SUMIF(ThresholdAge06,"&lt;"&amp;'19_Расчет_аналитики'!BA3595,WeightedMinAge06),MAX(CapacityAge06*'01_Вводные'!$B$218*'19_Расчет_аналитики'!BA3595,MeanMinAge06))),0)</f>
        <v/>
      </c>
      <c r="BB3505">
        <f>IF('01_Вводные'!$B$234="Да",IF(OR('19_Расчет_аналитики'!BB3477=0,6&lt;='01_Вводные'!$B$297),0,'19_Расчет_аналитики'!BB3477*IF('01_Вводные'!$B$239="Да",MeanMinAge06+'19_Расчет_аналитики'!BB3595*SUMIF(ThresholdAge06,"&lt;"&amp;'19_Расчет_аналитики'!BB3595,WeightedRevAge06)-SUMIF(ThresholdAge06,"&lt;"&amp;'19_Расчет_аналитики'!BB3595,WeightedMinAge06),MAX(CapacityAge06*'01_Вводные'!$B$218*'19_Расчет_аналитики'!BB3595,MeanMinAge06))),0)</f>
        <v/>
      </c>
      <c r="BC3505">
        <f>IF('01_Вводные'!$B$234="Да",IF(OR('19_Расчет_аналитики'!BC3477=0,6&lt;='01_Вводные'!$B$297),0,'19_Расчет_аналитики'!BC3477*IF('01_Вводные'!$B$239="Да",MeanMinAge06+'19_Расчет_аналитики'!BC3595*SUMIF(ThresholdAge06,"&lt;"&amp;'19_Расчет_аналитики'!BC3595,WeightedRevAge06)-SUMIF(ThresholdAge06,"&lt;"&amp;'19_Расчет_аналитики'!BC3595,WeightedMinAge06),MAX(CapacityAge06*'01_Вводные'!$B$218*'19_Расчет_аналитики'!BC3595,MeanMinAge06))),0)</f>
        <v/>
      </c>
      <c r="BD3505">
        <f>IF('01_Вводные'!$B$234="Да",IF(OR('19_Расчет_аналитики'!BD3477=0,6&lt;='01_Вводные'!$B$297),0,'19_Расчет_аналитики'!BD3477*IF('01_Вводные'!$B$239="Да",MeanMinAge06+'19_Расчет_аналитики'!BD3595*SUMIF(ThresholdAge06,"&lt;"&amp;'19_Расчет_аналитики'!BD3595,WeightedRevAge06)-SUMIF(ThresholdAge06,"&lt;"&amp;'19_Расчет_аналитики'!BD3595,WeightedMinAge06),MAX(CapacityAge06*'01_Вводные'!$B$218*'19_Расчет_аналитики'!BD3595,MeanMinAge06))),0)</f>
        <v/>
      </c>
      <c r="BE3505">
        <f>IF('01_Вводные'!$B$234="Да",IF(OR('19_Расчет_аналитики'!BE3477=0,6&lt;='01_Вводные'!$B$297),0,'19_Расчет_аналитики'!BE3477*IF('01_Вводные'!$B$239="Да",MeanMinAge06+'19_Расчет_аналитики'!BE3595*SUMIF(ThresholdAge06,"&lt;"&amp;'19_Расчет_аналитики'!BE3595,WeightedRevAge06)-SUMIF(ThresholdAge06,"&lt;"&amp;'19_Расчет_аналитики'!BE3595,WeightedMinAge06),MAX(CapacityAge06*'01_Вводные'!$B$218*'19_Расчет_аналитики'!BE3595,MeanMinAge06))),0)</f>
        <v/>
      </c>
      <c r="BF3505">
        <f>IF('01_Вводные'!$B$234="Да",IF(OR('19_Расчет_аналитики'!BF3477=0,6&lt;='01_Вводные'!$B$297),0,'19_Расчет_аналитики'!BF3477*IF('01_Вводные'!$B$239="Да",MeanMinAge06+'19_Расчет_аналитики'!BF3595*SUMIF(ThresholdAge06,"&lt;"&amp;'19_Расчет_аналитики'!BF3595,WeightedRevAge06)-SUMIF(ThresholdAge06,"&lt;"&amp;'19_Расчет_аналитики'!BF3595,WeightedMinAge06),MAX(CapacityAge06*'01_Вводные'!$B$218*'19_Расчет_аналитики'!BF3595,MeanMinAge06))),0)</f>
        <v/>
      </c>
      <c r="BG3505">
        <f>IF('01_Вводные'!$B$234="Да",IF(OR('19_Расчет_аналитики'!BG3477=0,6&lt;='01_Вводные'!$B$297),0,'19_Расчет_аналитики'!BG3477*IF('01_Вводные'!$B$239="Да",MeanMinAge06+'19_Расчет_аналитики'!BG3595*SUMIF(ThresholdAge06,"&lt;"&amp;'19_Расчет_аналитики'!BG3595,WeightedRevAge06)-SUMIF(ThresholdAge06,"&lt;"&amp;'19_Расчет_аналитики'!BG3595,WeightedMinAge06),MAX(CapacityAge06*'01_Вводные'!$B$218*'19_Расчет_аналитики'!BG3595,MeanMinAge06))),0)</f>
        <v/>
      </c>
      <c r="BH3505">
        <f>IF('01_Вводные'!$B$234="Да",IF(OR('19_Расчет_аналитики'!BH3477=0,6&lt;='01_Вводные'!$B$297),0,'19_Расчет_аналитики'!BH3477*IF('01_Вводные'!$B$239="Да",MeanMinAge06+'19_Расчет_аналитики'!BH3595*SUMIF(ThresholdAge06,"&lt;"&amp;'19_Расчет_аналитики'!BH3595,WeightedRevAge06)-SUMIF(ThresholdAge06,"&lt;"&amp;'19_Расчет_аналитики'!BH3595,WeightedMinAge06),MAX(CapacityAge06*'01_Вводные'!$B$218*'19_Расчет_аналитики'!BH3595,MeanMinAge06))),0)</f>
        <v/>
      </c>
      <c r="BI3505">
        <f>IF('01_Вводные'!$B$234="Да",IF(OR('19_Расчет_аналитики'!BI3477=0,6&lt;='01_Вводные'!$B$297),0,'19_Расчет_аналитики'!BI3477*IF('01_Вводные'!$B$239="Да",MeanMinAge06+'19_Расчет_аналитики'!BI3595*SUMIF(ThresholdAge06,"&lt;"&amp;'19_Расчет_аналитики'!BI3595,WeightedRevAge06)-SUMIF(ThresholdAge06,"&lt;"&amp;'19_Расчет_аналитики'!BI3595,WeightedMinAge06),MAX(CapacityAge06*'01_Вводные'!$B$218*'19_Расчет_аналитики'!BI3595,MeanMinAge06))),0)</f>
        <v/>
      </c>
      <c r="BJ3505">
        <f>IF('01_Вводные'!$B$234="Да",IF(OR('19_Расчет_аналитики'!BJ3477=0,6&lt;='01_Вводные'!$B$297),0,'19_Расчет_аналитики'!BJ3477*IF('01_Вводные'!$B$239="Да",MeanMinAge06+'19_Расчет_аналитики'!BJ3595*SUMIF(ThresholdAge06,"&lt;"&amp;'19_Расчет_аналитики'!BJ3595,WeightedRevAge06)-SUMIF(ThresholdAge06,"&lt;"&amp;'19_Расчет_аналитики'!BJ3595,WeightedMinAge06),MAX(CapacityAge06*'01_Вводные'!$B$218*'19_Расчет_аналитики'!BJ3595,MeanMinAge06))),0)</f>
        <v/>
      </c>
      <c r="BK3505">
        <f>IF('01_Вводные'!$B$234="Да",IF(OR('19_Расчет_аналитики'!BK3477=0,6&lt;='01_Вводные'!$B$297),0,'19_Расчет_аналитики'!BK3477*IF('01_Вводные'!$B$239="Да",MeanMinAge06+'19_Расчет_аналитики'!BK3595*SUMIF(ThresholdAge06,"&lt;"&amp;'19_Расчет_аналитики'!BK3595,WeightedRevAge06)-SUMIF(ThresholdAge06,"&lt;"&amp;'19_Расчет_аналитики'!BK3595,WeightedMinAge06),MAX(CapacityAge06*'01_Вводные'!$B$218*'19_Расчет_аналитики'!BK3595,MeanMinAge06))),0)</f>
        <v/>
      </c>
      <c r="BL3505">
        <f>IF('01_Вводные'!$B$234="Да",IF(OR('19_Расчет_аналитики'!BL3477=0,6&lt;='01_Вводные'!$B$297),0,'19_Расчет_аналитики'!BL3477*IF('01_Вводные'!$B$239="Да",MeanMinAge06+'19_Расчет_аналитики'!BL3595*SUMIF(ThresholdAge06,"&lt;"&amp;'19_Расчет_аналитики'!BL3595,WeightedRevAge06)-SUMIF(ThresholdAge06,"&lt;"&amp;'19_Расчет_аналитики'!BL3595,WeightedMinAge06),MAX(CapacityAge06*'01_Вводные'!$B$218*'19_Расчет_аналитики'!BL3595,MeanMinAge06))),0)</f>
        <v/>
      </c>
      <c r="BM3505">
        <f>IF('01_Вводные'!$B$234="Да",IF(OR('19_Расчет_аналитики'!BM3477=0,6&lt;='01_Вводные'!$B$297),0,'19_Расчет_аналитики'!BM3477*IF('01_Вводные'!$B$239="Да",MeanMinAge06+'19_Расчет_аналитики'!BM3595*SUMIF(ThresholdAge06,"&lt;"&amp;'19_Расчет_аналитики'!BM3595,WeightedRevAge06)-SUMIF(ThresholdAge06,"&lt;"&amp;'19_Расчет_аналитики'!BM3595,WeightedMinAge06),MAX(CapacityAge06*'01_Вводные'!$B$218*'19_Расчет_аналитики'!BM3595,MeanMinAge06))),0)</f>
        <v/>
      </c>
      <c r="BN3505">
        <f>IF('01_Вводные'!$B$234="Да",IF(OR('19_Расчет_аналитики'!BN3477=0,6&lt;='01_Вводные'!$B$297),0,'19_Расчет_аналитики'!BN3477*IF('01_Вводные'!$B$239="Да",MeanMinAge06+'19_Расчет_аналитики'!BN3595*SUMIF(ThresholdAge06,"&lt;"&amp;'19_Расчет_аналитики'!BN3595,WeightedRevAge06)-SUMIF(ThresholdAge06,"&lt;"&amp;'19_Расчет_аналитики'!BN3595,WeightedMinAge06),MAX(CapacityAge06*'01_Вводные'!$B$218*'19_Расчет_аналитики'!BN3595,MeanMinAge06))),0)</f>
        <v/>
      </c>
      <c r="BO3505">
        <f>IF('01_Вводные'!$B$234="Да",IF(OR('19_Расчет_аналитики'!BO3477=0,6&lt;='01_Вводные'!$B$297),0,'19_Расчет_аналитики'!BO3477*IF('01_Вводные'!$B$239="Да",MeanMinAge06+'19_Расчет_аналитики'!BO3595*SUMIF(ThresholdAge06,"&lt;"&amp;'19_Расчет_аналитики'!BO3595,WeightedRevAge06)-SUMIF(ThresholdAge06,"&lt;"&amp;'19_Расчет_аналитики'!BO3595,WeightedMinAge06),MAX(CapacityAge06*'01_Вводные'!$B$218*'19_Расчет_аналитики'!BO3595,MeanMinAge06))),0)</f>
        <v/>
      </c>
    </row>
    <row r="3506">
      <c r="B3506">
        <f>IF('01_Вводные'!$B$234="Да",IF(OR('06_Сеть_и_дети'!B87=0,7&lt;='01_Вводные'!$B$297),0,'06_Сеть_и_дети'!B87*IF('01_Вводные'!$B$239="Да",MeanMinAge07+'19_Расчет_аналитики'!B3595*SUMIF(ThresholdAge07,"&lt;"&amp;'19_Расчет_аналитики'!B3595,WeightedRevAge07)-SUMIF(ThresholdAge07,"&lt;"&amp;'19_Расчет_аналитики'!B3595,WeightedMinAge07),MAX(CapacityAge07*'01_Вводные'!$B$218*'19_Расчет_аналитики'!B3595,MeanMinAge07))),0)</f>
        <v/>
      </c>
      <c r="C3506">
        <f>IF('01_Вводные'!$B$234="Да",IF(OR('06_Сеть_и_дети'!C87=0,7&lt;='01_Вводные'!$B$297),0,'06_Сеть_и_дети'!C87*IF('01_Вводные'!$B$239="Да",MeanMinAge07+'19_Расчет_аналитики'!C3595*SUMIF(ThresholdAge07,"&lt;"&amp;'19_Расчет_аналитики'!C3595,WeightedRevAge07)-SUMIF(ThresholdAge07,"&lt;"&amp;'19_Расчет_аналитики'!C3595,WeightedMinAge07),MAX(CapacityAge07*'01_Вводные'!$B$218*'19_Расчет_аналитики'!C3595,MeanMinAge07))),0)</f>
        <v/>
      </c>
      <c r="D3506">
        <f>IF('01_Вводные'!$B$234="Да",IF(OR('06_Сеть_и_дети'!D87=0,7&lt;='01_Вводные'!$B$297),0,'06_Сеть_и_дети'!D87*IF('01_Вводные'!$B$239="Да",MeanMinAge07+'19_Расчет_аналитики'!D3595*SUMIF(ThresholdAge07,"&lt;"&amp;'19_Расчет_аналитики'!D3595,WeightedRevAge07)-SUMIF(ThresholdAge07,"&lt;"&amp;'19_Расчет_аналитики'!D3595,WeightedMinAge07),MAX(CapacityAge07*'01_Вводные'!$B$218*'19_Расчет_аналитики'!D3595,MeanMinAge07))),0)</f>
        <v/>
      </c>
      <c r="E3506">
        <f>IF('01_Вводные'!$B$234="Да",IF(OR('06_Сеть_и_дети'!E87=0,7&lt;='01_Вводные'!$B$297),0,'06_Сеть_и_дети'!E87*IF('01_Вводные'!$B$239="Да",MeanMinAge07+'19_Расчет_аналитики'!E3595*SUMIF(ThresholdAge07,"&lt;"&amp;'19_Расчет_аналитики'!E3595,WeightedRevAge07)-SUMIF(ThresholdAge07,"&lt;"&amp;'19_Расчет_аналитики'!E3595,WeightedMinAge07),MAX(CapacityAge07*'01_Вводные'!$B$218*'19_Расчет_аналитики'!E3595,MeanMinAge07))),0)</f>
        <v/>
      </c>
      <c r="F3506">
        <f>IF('01_Вводные'!$B$234="Да",IF(OR('06_Сеть_и_дети'!F87=0,7&lt;='01_Вводные'!$B$297),0,'06_Сеть_и_дети'!F87*IF('01_Вводные'!$B$239="Да",MeanMinAge07+'19_Расчет_аналитики'!F3595*SUMIF(ThresholdAge07,"&lt;"&amp;'19_Расчет_аналитики'!F3595,WeightedRevAge07)-SUMIF(ThresholdAge07,"&lt;"&amp;'19_Расчет_аналитики'!F3595,WeightedMinAge07),MAX(CapacityAge07*'01_Вводные'!$B$218*'19_Расчет_аналитики'!F3595,MeanMinAge07))),0)</f>
        <v/>
      </c>
      <c r="G3506">
        <f>IF('01_Вводные'!$B$234="Да",IF(OR('06_Сеть_и_дети'!G87=0,7&lt;='01_Вводные'!$B$297),0,'06_Сеть_и_дети'!G87*IF('01_Вводные'!$B$239="Да",MeanMinAge07+'19_Расчет_аналитики'!G3595*SUMIF(ThresholdAge07,"&lt;"&amp;'19_Расчет_аналитики'!G3595,WeightedRevAge07)-SUMIF(ThresholdAge07,"&lt;"&amp;'19_Расчет_аналитики'!G3595,WeightedMinAge07),MAX(CapacityAge07*'01_Вводные'!$B$218*'19_Расчет_аналитики'!G3595,MeanMinAge07))),0)</f>
        <v/>
      </c>
      <c r="H3506">
        <f>IF('01_Вводные'!$B$234="Да",IF(OR('19_Расчет_аналитики'!H3478=0,7&lt;='01_Вводные'!$B$297),0,'19_Расчет_аналитики'!H3478*IF('01_Вводные'!$B$239="Да",MeanMinAge07+'19_Расчет_аналитики'!H3595*SUMIF(ThresholdAge07,"&lt;"&amp;'19_Расчет_аналитики'!H3595,WeightedRevAge07)-SUMIF(ThresholdAge07,"&lt;"&amp;'19_Расчет_аналитики'!H3595,WeightedMinAge07),MAX(CapacityAge07*'01_Вводные'!$B$218*'19_Расчет_аналитики'!H3595,MeanMinAge07))),0)</f>
        <v/>
      </c>
      <c r="I3506">
        <f>IF('01_Вводные'!$B$234="Да",IF(OR('19_Расчет_аналитики'!I3478=0,7&lt;='01_Вводные'!$B$297),0,'19_Расчет_аналитики'!I3478*IF('01_Вводные'!$B$239="Да",MeanMinAge07+'19_Расчет_аналитики'!I3595*SUMIF(ThresholdAge07,"&lt;"&amp;'19_Расчет_аналитики'!I3595,WeightedRevAge07)-SUMIF(ThresholdAge07,"&lt;"&amp;'19_Расчет_аналитики'!I3595,WeightedMinAge07),MAX(CapacityAge07*'01_Вводные'!$B$218*'19_Расчет_аналитики'!I3595,MeanMinAge07))),0)</f>
        <v/>
      </c>
      <c r="J3506">
        <f>IF('01_Вводные'!$B$234="Да",IF(OR('19_Расчет_аналитики'!J3478=0,7&lt;='01_Вводные'!$B$297),0,'19_Расчет_аналитики'!J3478*IF('01_Вводные'!$B$239="Да",MeanMinAge07+'19_Расчет_аналитики'!J3595*SUMIF(ThresholdAge07,"&lt;"&amp;'19_Расчет_аналитики'!J3595,WeightedRevAge07)-SUMIF(ThresholdAge07,"&lt;"&amp;'19_Расчет_аналитики'!J3595,WeightedMinAge07),MAX(CapacityAge07*'01_Вводные'!$B$218*'19_Расчет_аналитики'!J3595,MeanMinAge07))),0)</f>
        <v/>
      </c>
      <c r="K3506">
        <f>IF('01_Вводные'!$B$234="Да",IF(OR('19_Расчет_аналитики'!K3478=0,7&lt;='01_Вводные'!$B$297),0,'19_Расчет_аналитики'!K3478*IF('01_Вводные'!$B$239="Да",MeanMinAge07+'19_Расчет_аналитики'!K3595*SUMIF(ThresholdAge07,"&lt;"&amp;'19_Расчет_аналитики'!K3595,WeightedRevAge07)-SUMIF(ThresholdAge07,"&lt;"&amp;'19_Расчет_аналитики'!K3595,WeightedMinAge07),MAX(CapacityAge07*'01_Вводные'!$B$218*'19_Расчет_аналитики'!K3595,MeanMinAge07))),0)</f>
        <v/>
      </c>
      <c r="L3506">
        <f>IF('01_Вводные'!$B$234="Да",IF(OR('19_Расчет_аналитики'!L3478=0,7&lt;='01_Вводные'!$B$297),0,'19_Расчет_аналитики'!L3478*IF('01_Вводные'!$B$239="Да",MeanMinAge07+'19_Расчет_аналитики'!L3595*SUMIF(ThresholdAge07,"&lt;"&amp;'19_Расчет_аналитики'!L3595,WeightedRevAge07)-SUMIF(ThresholdAge07,"&lt;"&amp;'19_Расчет_аналитики'!L3595,WeightedMinAge07),MAX(CapacityAge07*'01_Вводные'!$B$218*'19_Расчет_аналитики'!L3595,MeanMinAge07))),0)</f>
        <v/>
      </c>
      <c r="M3506">
        <f>IF('01_Вводные'!$B$234="Да",IF(OR('19_Расчет_аналитики'!M3478=0,7&lt;='01_Вводные'!$B$297),0,'19_Расчет_аналитики'!M3478*IF('01_Вводные'!$B$239="Да",MeanMinAge07+'19_Расчет_аналитики'!M3595*SUMIF(ThresholdAge07,"&lt;"&amp;'19_Расчет_аналитики'!M3595,WeightedRevAge07)-SUMIF(ThresholdAge07,"&lt;"&amp;'19_Расчет_аналитики'!M3595,WeightedMinAge07),MAX(CapacityAge07*'01_Вводные'!$B$218*'19_Расчет_аналитики'!M3595,MeanMinAge07))),0)</f>
        <v/>
      </c>
      <c r="N3506">
        <f>IF('01_Вводные'!$B$234="Да",IF(OR('19_Расчет_аналитики'!N3478=0,7&lt;='01_Вводные'!$B$297),0,'19_Расчет_аналитики'!N3478*IF('01_Вводные'!$B$239="Да",MeanMinAge07+'19_Расчет_аналитики'!N3595*SUMIF(ThresholdAge07,"&lt;"&amp;'19_Расчет_аналитики'!N3595,WeightedRevAge07)-SUMIF(ThresholdAge07,"&lt;"&amp;'19_Расчет_аналитики'!N3595,WeightedMinAge07),MAX(CapacityAge07*'01_Вводные'!$B$218*'19_Расчет_аналитики'!N3595,MeanMinAge07))),0)</f>
        <v/>
      </c>
      <c r="O3506">
        <f>IF('01_Вводные'!$B$234="Да",IF(OR('19_Расчет_аналитики'!O3478=0,7&lt;='01_Вводные'!$B$297),0,'19_Расчет_аналитики'!O3478*IF('01_Вводные'!$B$239="Да",MeanMinAge07+'19_Расчет_аналитики'!O3595*SUMIF(ThresholdAge07,"&lt;"&amp;'19_Расчет_аналитики'!O3595,WeightedRevAge07)-SUMIF(ThresholdAge07,"&lt;"&amp;'19_Расчет_аналитики'!O3595,WeightedMinAge07),MAX(CapacityAge07*'01_Вводные'!$B$218*'19_Расчет_аналитики'!O3595,MeanMinAge07))),0)</f>
        <v/>
      </c>
      <c r="P3506">
        <f>IF('01_Вводные'!$B$234="Да",IF(OR('19_Расчет_аналитики'!P3478=0,7&lt;='01_Вводные'!$B$297),0,'19_Расчет_аналитики'!P3478*IF('01_Вводные'!$B$239="Да",MeanMinAge07+'19_Расчет_аналитики'!P3595*SUMIF(ThresholdAge07,"&lt;"&amp;'19_Расчет_аналитики'!P3595,WeightedRevAge07)-SUMIF(ThresholdAge07,"&lt;"&amp;'19_Расчет_аналитики'!P3595,WeightedMinAge07),MAX(CapacityAge07*'01_Вводные'!$B$218*'19_Расчет_аналитики'!P3595,MeanMinAge07))),0)</f>
        <v/>
      </c>
      <c r="Q3506">
        <f>IF('01_Вводные'!$B$234="Да",IF(OR('19_Расчет_аналитики'!Q3478=0,7&lt;='01_Вводные'!$B$297),0,'19_Расчет_аналитики'!Q3478*IF('01_Вводные'!$B$239="Да",MeanMinAge07+'19_Расчет_аналитики'!Q3595*SUMIF(ThresholdAge07,"&lt;"&amp;'19_Расчет_аналитики'!Q3595,WeightedRevAge07)-SUMIF(ThresholdAge07,"&lt;"&amp;'19_Расчет_аналитики'!Q3595,WeightedMinAge07),MAX(CapacityAge07*'01_Вводные'!$B$218*'19_Расчет_аналитики'!Q3595,MeanMinAge07))),0)</f>
        <v/>
      </c>
      <c r="R3506">
        <f>IF('01_Вводные'!$B$234="Да",IF(OR('19_Расчет_аналитики'!R3478=0,7&lt;='01_Вводные'!$B$297),0,'19_Расчет_аналитики'!R3478*IF('01_Вводные'!$B$239="Да",MeanMinAge07+'19_Расчет_аналитики'!R3595*SUMIF(ThresholdAge07,"&lt;"&amp;'19_Расчет_аналитики'!R3595,WeightedRevAge07)-SUMIF(ThresholdAge07,"&lt;"&amp;'19_Расчет_аналитики'!R3595,WeightedMinAge07),MAX(CapacityAge07*'01_Вводные'!$B$218*'19_Расчет_аналитики'!R3595,MeanMinAge07))),0)</f>
        <v/>
      </c>
      <c r="S3506">
        <f>IF('01_Вводные'!$B$234="Да",IF(OR('19_Расчет_аналитики'!S3478=0,7&lt;='01_Вводные'!$B$297),0,'19_Расчет_аналитики'!S3478*IF('01_Вводные'!$B$239="Да",MeanMinAge07+'19_Расчет_аналитики'!S3595*SUMIF(ThresholdAge07,"&lt;"&amp;'19_Расчет_аналитики'!S3595,WeightedRevAge07)-SUMIF(ThresholdAge07,"&lt;"&amp;'19_Расчет_аналитики'!S3595,WeightedMinAge07),MAX(CapacityAge07*'01_Вводные'!$B$218*'19_Расчет_аналитики'!S3595,MeanMinAge07))),0)</f>
        <v/>
      </c>
      <c r="T3506">
        <f>IF('01_Вводные'!$B$234="Да",IF(OR('19_Расчет_аналитики'!T3478=0,7&lt;='01_Вводные'!$B$297),0,'19_Расчет_аналитики'!T3478*IF('01_Вводные'!$B$239="Да",MeanMinAge07+'19_Расчет_аналитики'!T3595*SUMIF(ThresholdAge07,"&lt;"&amp;'19_Расчет_аналитики'!T3595,WeightedRevAge07)-SUMIF(ThresholdAge07,"&lt;"&amp;'19_Расчет_аналитики'!T3595,WeightedMinAge07),MAX(CapacityAge07*'01_Вводные'!$B$218*'19_Расчет_аналитики'!T3595,MeanMinAge07))),0)</f>
        <v/>
      </c>
      <c r="U3506">
        <f>IF('01_Вводные'!$B$234="Да",IF(OR('19_Расчет_аналитики'!U3478=0,7&lt;='01_Вводные'!$B$297),0,'19_Расчет_аналитики'!U3478*IF('01_Вводные'!$B$239="Да",MeanMinAge07+'19_Расчет_аналитики'!U3595*SUMIF(ThresholdAge07,"&lt;"&amp;'19_Расчет_аналитики'!U3595,WeightedRevAge07)-SUMIF(ThresholdAge07,"&lt;"&amp;'19_Расчет_аналитики'!U3595,WeightedMinAge07),MAX(CapacityAge07*'01_Вводные'!$B$218*'19_Расчет_аналитики'!U3595,MeanMinAge07))),0)</f>
        <v/>
      </c>
      <c r="V3506">
        <f>IF('01_Вводные'!$B$234="Да",IF(OR('19_Расчет_аналитики'!V3478=0,7&lt;='01_Вводные'!$B$297),0,'19_Расчет_аналитики'!V3478*IF('01_Вводные'!$B$239="Да",MeanMinAge07+'19_Расчет_аналитики'!V3595*SUMIF(ThresholdAge07,"&lt;"&amp;'19_Расчет_аналитики'!V3595,WeightedRevAge07)-SUMIF(ThresholdAge07,"&lt;"&amp;'19_Расчет_аналитики'!V3595,WeightedMinAge07),MAX(CapacityAge07*'01_Вводные'!$B$218*'19_Расчет_аналитики'!V3595,MeanMinAge07))),0)</f>
        <v/>
      </c>
      <c r="W3506">
        <f>IF('01_Вводные'!$B$234="Да",IF(OR('19_Расчет_аналитики'!W3478=0,7&lt;='01_Вводные'!$B$297),0,'19_Расчет_аналитики'!W3478*IF('01_Вводные'!$B$239="Да",MeanMinAge07+'19_Расчет_аналитики'!W3595*SUMIF(ThresholdAge07,"&lt;"&amp;'19_Расчет_аналитики'!W3595,WeightedRevAge07)-SUMIF(ThresholdAge07,"&lt;"&amp;'19_Расчет_аналитики'!W3595,WeightedMinAge07),MAX(CapacityAge07*'01_Вводные'!$B$218*'19_Расчет_аналитики'!W3595,MeanMinAge07))),0)</f>
        <v/>
      </c>
      <c r="X3506">
        <f>IF('01_Вводные'!$B$234="Да",IF(OR('19_Расчет_аналитики'!X3478=0,7&lt;='01_Вводные'!$B$297),0,'19_Расчет_аналитики'!X3478*IF('01_Вводные'!$B$239="Да",MeanMinAge07+'19_Расчет_аналитики'!X3595*SUMIF(ThresholdAge07,"&lt;"&amp;'19_Расчет_аналитики'!X3595,WeightedRevAge07)-SUMIF(ThresholdAge07,"&lt;"&amp;'19_Расчет_аналитики'!X3595,WeightedMinAge07),MAX(CapacityAge07*'01_Вводные'!$B$218*'19_Расчет_аналитики'!X3595,MeanMinAge07))),0)</f>
        <v/>
      </c>
      <c r="Y3506">
        <f>IF('01_Вводные'!$B$234="Да",IF(OR('19_Расчет_аналитики'!Y3478=0,7&lt;='01_Вводные'!$B$297),0,'19_Расчет_аналитики'!Y3478*IF('01_Вводные'!$B$239="Да",MeanMinAge07+'19_Расчет_аналитики'!Y3595*SUMIF(ThresholdAge07,"&lt;"&amp;'19_Расчет_аналитики'!Y3595,WeightedRevAge07)-SUMIF(ThresholdAge07,"&lt;"&amp;'19_Расчет_аналитики'!Y3595,WeightedMinAge07),MAX(CapacityAge07*'01_Вводные'!$B$218*'19_Расчет_аналитики'!Y3595,MeanMinAge07))),0)</f>
        <v/>
      </c>
      <c r="Z3506">
        <f>IF('01_Вводные'!$B$234="Да",IF(OR('19_Расчет_аналитики'!Z3478=0,7&lt;='01_Вводные'!$B$297),0,'19_Расчет_аналитики'!Z3478*IF('01_Вводные'!$B$239="Да",MeanMinAge07+'19_Расчет_аналитики'!Z3595*SUMIF(ThresholdAge07,"&lt;"&amp;'19_Расчет_аналитики'!Z3595,WeightedRevAge07)-SUMIF(ThresholdAge07,"&lt;"&amp;'19_Расчет_аналитики'!Z3595,WeightedMinAge07),MAX(CapacityAge07*'01_Вводные'!$B$218*'19_Расчет_аналитики'!Z3595,MeanMinAge07))),0)</f>
        <v/>
      </c>
      <c r="AA3506">
        <f>IF('01_Вводные'!$B$234="Да",IF(OR('19_Расчет_аналитики'!AA3478=0,7&lt;='01_Вводные'!$B$297),0,'19_Расчет_аналитики'!AA3478*IF('01_Вводные'!$B$239="Да",MeanMinAge07+'19_Расчет_аналитики'!AA3595*SUMIF(ThresholdAge07,"&lt;"&amp;'19_Расчет_аналитики'!AA3595,WeightedRevAge07)-SUMIF(ThresholdAge07,"&lt;"&amp;'19_Расчет_аналитики'!AA3595,WeightedMinAge07),MAX(CapacityAge07*'01_Вводные'!$B$218*'19_Расчет_аналитики'!AA3595,MeanMinAge07))),0)</f>
        <v/>
      </c>
      <c r="AB3506">
        <f>IF('01_Вводные'!$B$234="Да",IF(OR('19_Расчет_аналитики'!AB3478=0,7&lt;='01_Вводные'!$B$297),0,'19_Расчет_аналитики'!AB3478*IF('01_Вводные'!$B$239="Да",MeanMinAge07+'19_Расчет_аналитики'!AB3595*SUMIF(ThresholdAge07,"&lt;"&amp;'19_Расчет_аналитики'!AB3595,WeightedRevAge07)-SUMIF(ThresholdAge07,"&lt;"&amp;'19_Расчет_аналитики'!AB3595,WeightedMinAge07),MAX(CapacityAge07*'01_Вводные'!$B$218*'19_Расчет_аналитики'!AB3595,MeanMinAge07))),0)</f>
        <v/>
      </c>
      <c r="AC3506">
        <f>IF('01_Вводные'!$B$234="Да",IF(OR('19_Расчет_аналитики'!AC3478=0,7&lt;='01_Вводные'!$B$297),0,'19_Расчет_аналитики'!AC3478*IF('01_Вводные'!$B$239="Да",MeanMinAge07+'19_Расчет_аналитики'!AC3595*SUMIF(ThresholdAge07,"&lt;"&amp;'19_Расчет_аналитики'!AC3595,WeightedRevAge07)-SUMIF(ThresholdAge07,"&lt;"&amp;'19_Расчет_аналитики'!AC3595,WeightedMinAge07),MAX(CapacityAge07*'01_Вводные'!$B$218*'19_Расчет_аналитики'!AC3595,MeanMinAge07))),0)</f>
        <v/>
      </c>
      <c r="AD3506">
        <f>IF('01_Вводные'!$B$234="Да",IF(OR('19_Расчет_аналитики'!AD3478=0,7&lt;='01_Вводные'!$B$297),0,'19_Расчет_аналитики'!AD3478*IF('01_Вводные'!$B$239="Да",MeanMinAge07+'19_Расчет_аналитики'!AD3595*SUMIF(ThresholdAge07,"&lt;"&amp;'19_Расчет_аналитики'!AD3595,WeightedRevAge07)-SUMIF(ThresholdAge07,"&lt;"&amp;'19_Расчет_аналитики'!AD3595,WeightedMinAge07),MAX(CapacityAge07*'01_Вводные'!$B$218*'19_Расчет_аналитики'!AD3595,MeanMinAge07))),0)</f>
        <v/>
      </c>
      <c r="AE3506">
        <f>IF('01_Вводные'!$B$234="Да",IF(OR('19_Расчет_аналитики'!AE3478=0,7&lt;='01_Вводные'!$B$297),0,'19_Расчет_аналитики'!AE3478*IF('01_Вводные'!$B$239="Да",MeanMinAge07+'19_Расчет_аналитики'!AE3595*SUMIF(ThresholdAge07,"&lt;"&amp;'19_Расчет_аналитики'!AE3595,WeightedRevAge07)-SUMIF(ThresholdAge07,"&lt;"&amp;'19_Расчет_аналитики'!AE3595,WeightedMinAge07),MAX(CapacityAge07*'01_Вводные'!$B$218*'19_Расчет_аналитики'!AE3595,MeanMinAge07))),0)</f>
        <v/>
      </c>
      <c r="AF3506">
        <f>IF('01_Вводные'!$B$234="Да",IF(OR('19_Расчет_аналитики'!AF3478=0,7&lt;='01_Вводные'!$B$297),0,'19_Расчет_аналитики'!AF3478*IF('01_Вводные'!$B$239="Да",MeanMinAge07+'19_Расчет_аналитики'!AF3595*SUMIF(ThresholdAge07,"&lt;"&amp;'19_Расчет_аналитики'!AF3595,WeightedRevAge07)-SUMIF(ThresholdAge07,"&lt;"&amp;'19_Расчет_аналитики'!AF3595,WeightedMinAge07),MAX(CapacityAge07*'01_Вводные'!$B$218*'19_Расчет_аналитики'!AF3595,MeanMinAge07))),0)</f>
        <v/>
      </c>
      <c r="AG3506">
        <f>IF('01_Вводные'!$B$234="Да",IF(OR('19_Расчет_аналитики'!AG3478=0,7&lt;='01_Вводные'!$B$297),0,'19_Расчет_аналитики'!AG3478*IF('01_Вводные'!$B$239="Да",MeanMinAge07+'19_Расчет_аналитики'!AG3595*SUMIF(ThresholdAge07,"&lt;"&amp;'19_Расчет_аналитики'!AG3595,WeightedRevAge07)-SUMIF(ThresholdAge07,"&lt;"&amp;'19_Расчет_аналитики'!AG3595,WeightedMinAge07),MAX(CapacityAge07*'01_Вводные'!$B$218*'19_Расчет_аналитики'!AG3595,MeanMinAge07))),0)</f>
        <v/>
      </c>
      <c r="AH3506">
        <f>IF('01_Вводные'!$B$234="Да",IF(OR('19_Расчет_аналитики'!AH3478=0,7&lt;='01_Вводные'!$B$297),0,'19_Расчет_аналитики'!AH3478*IF('01_Вводные'!$B$239="Да",MeanMinAge07+'19_Расчет_аналитики'!AH3595*SUMIF(ThresholdAge07,"&lt;"&amp;'19_Расчет_аналитики'!AH3595,WeightedRevAge07)-SUMIF(ThresholdAge07,"&lt;"&amp;'19_Расчет_аналитики'!AH3595,WeightedMinAge07),MAX(CapacityAge07*'01_Вводные'!$B$218*'19_Расчет_аналитики'!AH3595,MeanMinAge07))),0)</f>
        <v/>
      </c>
      <c r="AI3506">
        <f>IF('01_Вводные'!$B$234="Да",IF(OR('19_Расчет_аналитики'!AI3478=0,7&lt;='01_Вводные'!$B$297),0,'19_Расчет_аналитики'!AI3478*IF('01_Вводные'!$B$239="Да",MeanMinAge07+'19_Расчет_аналитики'!AI3595*SUMIF(ThresholdAge07,"&lt;"&amp;'19_Расчет_аналитики'!AI3595,WeightedRevAge07)-SUMIF(ThresholdAge07,"&lt;"&amp;'19_Расчет_аналитики'!AI3595,WeightedMinAge07),MAX(CapacityAge07*'01_Вводные'!$B$218*'19_Расчет_аналитики'!AI3595,MeanMinAge07))),0)</f>
        <v/>
      </c>
      <c r="AJ3506">
        <f>IF('01_Вводные'!$B$234="Да",IF(OR('19_Расчет_аналитики'!AJ3478=0,7&lt;='01_Вводные'!$B$297),0,'19_Расчет_аналитики'!AJ3478*IF('01_Вводные'!$B$239="Да",MeanMinAge07+'19_Расчет_аналитики'!AJ3595*SUMIF(ThresholdAge07,"&lt;"&amp;'19_Расчет_аналитики'!AJ3595,WeightedRevAge07)-SUMIF(ThresholdAge07,"&lt;"&amp;'19_Расчет_аналитики'!AJ3595,WeightedMinAge07),MAX(CapacityAge07*'01_Вводные'!$B$218*'19_Расчет_аналитики'!AJ3595,MeanMinAge07))),0)</f>
        <v/>
      </c>
      <c r="AK3506">
        <f>IF('01_Вводные'!$B$234="Да",IF(OR('19_Расчет_аналитики'!AK3478=0,7&lt;='01_Вводные'!$B$297),0,'19_Расчет_аналитики'!AK3478*IF('01_Вводные'!$B$239="Да",MeanMinAge07+'19_Расчет_аналитики'!AK3595*SUMIF(ThresholdAge07,"&lt;"&amp;'19_Расчет_аналитики'!AK3595,WeightedRevAge07)-SUMIF(ThresholdAge07,"&lt;"&amp;'19_Расчет_аналитики'!AK3595,WeightedMinAge07),MAX(CapacityAge07*'01_Вводные'!$B$218*'19_Расчет_аналитики'!AK3595,MeanMinAge07))),0)</f>
        <v/>
      </c>
      <c r="AL3506">
        <f>IF('01_Вводные'!$B$234="Да",IF(OR('19_Расчет_аналитики'!AL3478=0,7&lt;='01_Вводные'!$B$297),0,'19_Расчет_аналитики'!AL3478*IF('01_Вводные'!$B$239="Да",MeanMinAge07+'19_Расчет_аналитики'!AL3595*SUMIF(ThresholdAge07,"&lt;"&amp;'19_Расчет_аналитики'!AL3595,WeightedRevAge07)-SUMIF(ThresholdAge07,"&lt;"&amp;'19_Расчет_аналитики'!AL3595,WeightedMinAge07),MAX(CapacityAge07*'01_Вводные'!$B$218*'19_Расчет_аналитики'!AL3595,MeanMinAge07))),0)</f>
        <v/>
      </c>
      <c r="AM3506">
        <f>IF('01_Вводные'!$B$234="Да",IF(OR('19_Расчет_аналитики'!AM3478=0,7&lt;='01_Вводные'!$B$297),0,'19_Расчет_аналитики'!AM3478*IF('01_Вводные'!$B$239="Да",MeanMinAge07+'19_Расчет_аналитики'!AM3595*SUMIF(ThresholdAge07,"&lt;"&amp;'19_Расчет_аналитики'!AM3595,WeightedRevAge07)-SUMIF(ThresholdAge07,"&lt;"&amp;'19_Расчет_аналитики'!AM3595,WeightedMinAge07),MAX(CapacityAge07*'01_Вводные'!$B$218*'19_Расчет_аналитики'!AM3595,MeanMinAge07))),0)</f>
        <v/>
      </c>
      <c r="AN3506">
        <f>IF('01_Вводные'!$B$234="Да",IF(OR('19_Расчет_аналитики'!AN3478=0,7&lt;='01_Вводные'!$B$297),0,'19_Расчет_аналитики'!AN3478*IF('01_Вводные'!$B$239="Да",MeanMinAge07+'19_Расчет_аналитики'!AN3595*SUMIF(ThresholdAge07,"&lt;"&amp;'19_Расчет_аналитики'!AN3595,WeightedRevAge07)-SUMIF(ThresholdAge07,"&lt;"&amp;'19_Расчет_аналитики'!AN3595,WeightedMinAge07),MAX(CapacityAge07*'01_Вводные'!$B$218*'19_Расчет_аналитики'!AN3595,MeanMinAge07))),0)</f>
        <v/>
      </c>
      <c r="AO3506">
        <f>IF('01_Вводные'!$B$234="Да",IF(OR('19_Расчет_аналитики'!AO3478=0,7&lt;='01_Вводные'!$B$297),0,'19_Расчет_аналитики'!AO3478*IF('01_Вводные'!$B$239="Да",MeanMinAge07+'19_Расчет_аналитики'!AO3595*SUMIF(ThresholdAge07,"&lt;"&amp;'19_Расчет_аналитики'!AO3595,WeightedRevAge07)-SUMIF(ThresholdAge07,"&lt;"&amp;'19_Расчет_аналитики'!AO3595,WeightedMinAge07),MAX(CapacityAge07*'01_Вводные'!$B$218*'19_Расчет_аналитики'!AO3595,MeanMinAge07))),0)</f>
        <v/>
      </c>
      <c r="AP3506">
        <f>IF('01_Вводные'!$B$234="Да",IF(OR('19_Расчет_аналитики'!AP3478=0,7&lt;='01_Вводные'!$B$297),0,'19_Расчет_аналитики'!AP3478*IF('01_Вводные'!$B$239="Да",MeanMinAge07+'19_Расчет_аналитики'!AP3595*SUMIF(ThresholdAge07,"&lt;"&amp;'19_Расчет_аналитики'!AP3595,WeightedRevAge07)-SUMIF(ThresholdAge07,"&lt;"&amp;'19_Расчет_аналитики'!AP3595,WeightedMinAge07),MAX(CapacityAge07*'01_Вводные'!$B$218*'19_Расчет_аналитики'!AP3595,MeanMinAge07))),0)</f>
        <v/>
      </c>
      <c r="AQ3506">
        <f>IF('01_Вводные'!$B$234="Да",IF(OR('19_Расчет_аналитики'!AQ3478=0,7&lt;='01_Вводные'!$B$297),0,'19_Расчет_аналитики'!AQ3478*IF('01_Вводные'!$B$239="Да",MeanMinAge07+'19_Расчет_аналитики'!AQ3595*SUMIF(ThresholdAge07,"&lt;"&amp;'19_Расчет_аналитики'!AQ3595,WeightedRevAge07)-SUMIF(ThresholdAge07,"&lt;"&amp;'19_Расчет_аналитики'!AQ3595,WeightedMinAge07),MAX(CapacityAge07*'01_Вводные'!$B$218*'19_Расчет_аналитики'!AQ3595,MeanMinAge07))),0)</f>
        <v/>
      </c>
      <c r="AR3506">
        <f>IF('01_Вводные'!$B$234="Да",IF(OR('19_Расчет_аналитики'!AR3478=0,7&lt;='01_Вводные'!$B$297),0,'19_Расчет_аналитики'!AR3478*IF('01_Вводные'!$B$239="Да",MeanMinAge07+'19_Расчет_аналитики'!AR3595*SUMIF(ThresholdAge07,"&lt;"&amp;'19_Расчет_аналитики'!AR3595,WeightedRevAge07)-SUMIF(ThresholdAge07,"&lt;"&amp;'19_Расчет_аналитики'!AR3595,WeightedMinAge07),MAX(CapacityAge07*'01_Вводные'!$B$218*'19_Расчет_аналитики'!AR3595,MeanMinAge07))),0)</f>
        <v/>
      </c>
      <c r="AS3506">
        <f>IF('01_Вводные'!$B$234="Да",IF(OR('19_Расчет_аналитики'!AS3478=0,7&lt;='01_Вводные'!$B$297),0,'19_Расчет_аналитики'!AS3478*IF('01_Вводные'!$B$239="Да",MeanMinAge07+'19_Расчет_аналитики'!AS3595*SUMIF(ThresholdAge07,"&lt;"&amp;'19_Расчет_аналитики'!AS3595,WeightedRevAge07)-SUMIF(ThresholdAge07,"&lt;"&amp;'19_Расчет_аналитики'!AS3595,WeightedMinAge07),MAX(CapacityAge07*'01_Вводные'!$B$218*'19_Расчет_аналитики'!AS3595,MeanMinAge07))),0)</f>
        <v/>
      </c>
      <c r="AT3506">
        <f>IF('01_Вводные'!$B$234="Да",IF(OR('19_Расчет_аналитики'!AT3478=0,7&lt;='01_Вводные'!$B$297),0,'19_Расчет_аналитики'!AT3478*IF('01_Вводные'!$B$239="Да",MeanMinAge07+'19_Расчет_аналитики'!AT3595*SUMIF(ThresholdAge07,"&lt;"&amp;'19_Расчет_аналитики'!AT3595,WeightedRevAge07)-SUMIF(ThresholdAge07,"&lt;"&amp;'19_Расчет_аналитики'!AT3595,WeightedMinAge07),MAX(CapacityAge07*'01_Вводные'!$B$218*'19_Расчет_аналитики'!AT3595,MeanMinAge07))),0)</f>
        <v/>
      </c>
      <c r="AU3506">
        <f>IF('01_Вводные'!$B$234="Да",IF(OR('19_Расчет_аналитики'!AU3478=0,7&lt;='01_Вводные'!$B$297),0,'19_Расчет_аналитики'!AU3478*IF('01_Вводные'!$B$239="Да",MeanMinAge07+'19_Расчет_аналитики'!AU3595*SUMIF(ThresholdAge07,"&lt;"&amp;'19_Расчет_аналитики'!AU3595,WeightedRevAge07)-SUMIF(ThresholdAge07,"&lt;"&amp;'19_Расчет_аналитики'!AU3595,WeightedMinAge07),MAX(CapacityAge07*'01_Вводные'!$B$218*'19_Расчет_аналитики'!AU3595,MeanMinAge07))),0)</f>
        <v/>
      </c>
      <c r="AV3506">
        <f>IF('01_Вводные'!$B$234="Да",IF(OR('19_Расчет_аналитики'!AV3478=0,7&lt;='01_Вводные'!$B$297),0,'19_Расчет_аналитики'!AV3478*IF('01_Вводные'!$B$239="Да",MeanMinAge07+'19_Расчет_аналитики'!AV3595*SUMIF(ThresholdAge07,"&lt;"&amp;'19_Расчет_аналитики'!AV3595,WeightedRevAge07)-SUMIF(ThresholdAge07,"&lt;"&amp;'19_Расчет_аналитики'!AV3595,WeightedMinAge07),MAX(CapacityAge07*'01_Вводные'!$B$218*'19_Расчет_аналитики'!AV3595,MeanMinAge07))),0)</f>
        <v/>
      </c>
      <c r="AW3506">
        <f>IF('01_Вводные'!$B$234="Да",IF(OR('19_Расчет_аналитики'!AW3478=0,7&lt;='01_Вводные'!$B$297),0,'19_Расчет_аналитики'!AW3478*IF('01_Вводные'!$B$239="Да",MeanMinAge07+'19_Расчет_аналитики'!AW3595*SUMIF(ThresholdAge07,"&lt;"&amp;'19_Расчет_аналитики'!AW3595,WeightedRevAge07)-SUMIF(ThresholdAge07,"&lt;"&amp;'19_Расчет_аналитики'!AW3595,WeightedMinAge07),MAX(CapacityAge07*'01_Вводные'!$B$218*'19_Расчет_аналитики'!AW3595,MeanMinAge07))),0)</f>
        <v/>
      </c>
      <c r="AX3506">
        <f>IF('01_Вводные'!$B$234="Да",IF(OR('19_Расчет_аналитики'!AX3478=0,7&lt;='01_Вводные'!$B$297),0,'19_Расчет_аналитики'!AX3478*IF('01_Вводные'!$B$239="Да",MeanMinAge07+'19_Расчет_аналитики'!AX3595*SUMIF(ThresholdAge07,"&lt;"&amp;'19_Расчет_аналитики'!AX3595,WeightedRevAge07)-SUMIF(ThresholdAge07,"&lt;"&amp;'19_Расчет_аналитики'!AX3595,WeightedMinAge07),MAX(CapacityAge07*'01_Вводные'!$B$218*'19_Расчет_аналитики'!AX3595,MeanMinAge07))),0)</f>
        <v/>
      </c>
      <c r="AY3506">
        <f>IF('01_Вводные'!$B$234="Да",IF(OR('19_Расчет_аналитики'!AY3478=0,7&lt;='01_Вводные'!$B$297),0,'19_Расчет_аналитики'!AY3478*IF('01_Вводные'!$B$239="Да",MeanMinAge07+'19_Расчет_аналитики'!AY3595*SUMIF(ThresholdAge07,"&lt;"&amp;'19_Расчет_аналитики'!AY3595,WeightedRevAge07)-SUMIF(ThresholdAge07,"&lt;"&amp;'19_Расчет_аналитики'!AY3595,WeightedMinAge07),MAX(CapacityAge07*'01_Вводные'!$B$218*'19_Расчет_аналитики'!AY3595,MeanMinAge07))),0)</f>
        <v/>
      </c>
      <c r="AZ3506">
        <f>IF('01_Вводные'!$B$234="Да",IF(OR('19_Расчет_аналитики'!AZ3478=0,7&lt;='01_Вводные'!$B$297),0,'19_Расчет_аналитики'!AZ3478*IF('01_Вводные'!$B$239="Да",MeanMinAge07+'19_Расчет_аналитики'!AZ3595*SUMIF(ThresholdAge07,"&lt;"&amp;'19_Расчет_аналитики'!AZ3595,WeightedRevAge07)-SUMIF(ThresholdAge07,"&lt;"&amp;'19_Расчет_аналитики'!AZ3595,WeightedMinAge07),MAX(CapacityAge07*'01_Вводные'!$B$218*'19_Расчет_аналитики'!AZ3595,MeanMinAge07))),0)</f>
        <v/>
      </c>
      <c r="BA3506">
        <f>IF('01_Вводные'!$B$234="Да",IF(OR('19_Расчет_аналитики'!BA3478=0,7&lt;='01_Вводные'!$B$297),0,'19_Расчет_аналитики'!BA3478*IF('01_Вводные'!$B$239="Да",MeanMinAge07+'19_Расчет_аналитики'!BA3595*SUMIF(ThresholdAge07,"&lt;"&amp;'19_Расчет_аналитики'!BA3595,WeightedRevAge07)-SUMIF(ThresholdAge07,"&lt;"&amp;'19_Расчет_аналитики'!BA3595,WeightedMinAge07),MAX(CapacityAge07*'01_Вводные'!$B$218*'19_Расчет_аналитики'!BA3595,MeanMinAge07))),0)</f>
        <v/>
      </c>
      <c r="BB3506">
        <f>IF('01_Вводные'!$B$234="Да",IF(OR('19_Расчет_аналитики'!BB3478=0,7&lt;='01_Вводные'!$B$297),0,'19_Расчет_аналитики'!BB3478*IF('01_Вводные'!$B$239="Да",MeanMinAge07+'19_Расчет_аналитики'!BB3595*SUMIF(ThresholdAge07,"&lt;"&amp;'19_Расчет_аналитики'!BB3595,WeightedRevAge07)-SUMIF(ThresholdAge07,"&lt;"&amp;'19_Расчет_аналитики'!BB3595,WeightedMinAge07),MAX(CapacityAge07*'01_Вводные'!$B$218*'19_Расчет_аналитики'!BB3595,MeanMinAge07))),0)</f>
        <v/>
      </c>
      <c r="BC3506">
        <f>IF('01_Вводные'!$B$234="Да",IF(OR('19_Расчет_аналитики'!BC3478=0,7&lt;='01_Вводные'!$B$297),0,'19_Расчет_аналитики'!BC3478*IF('01_Вводные'!$B$239="Да",MeanMinAge07+'19_Расчет_аналитики'!BC3595*SUMIF(ThresholdAge07,"&lt;"&amp;'19_Расчет_аналитики'!BC3595,WeightedRevAge07)-SUMIF(ThresholdAge07,"&lt;"&amp;'19_Расчет_аналитики'!BC3595,WeightedMinAge07),MAX(CapacityAge07*'01_Вводные'!$B$218*'19_Расчет_аналитики'!BC3595,MeanMinAge07))),0)</f>
        <v/>
      </c>
      <c r="BD3506">
        <f>IF('01_Вводные'!$B$234="Да",IF(OR('19_Расчет_аналитики'!BD3478=0,7&lt;='01_Вводные'!$B$297),0,'19_Расчет_аналитики'!BD3478*IF('01_Вводные'!$B$239="Да",MeanMinAge07+'19_Расчет_аналитики'!BD3595*SUMIF(ThresholdAge07,"&lt;"&amp;'19_Расчет_аналитики'!BD3595,WeightedRevAge07)-SUMIF(ThresholdAge07,"&lt;"&amp;'19_Расчет_аналитики'!BD3595,WeightedMinAge07),MAX(CapacityAge07*'01_Вводные'!$B$218*'19_Расчет_аналитики'!BD3595,MeanMinAge07))),0)</f>
        <v/>
      </c>
      <c r="BE3506">
        <f>IF('01_Вводные'!$B$234="Да",IF(OR('19_Расчет_аналитики'!BE3478=0,7&lt;='01_Вводные'!$B$297),0,'19_Расчет_аналитики'!BE3478*IF('01_Вводные'!$B$239="Да",MeanMinAge07+'19_Расчет_аналитики'!BE3595*SUMIF(ThresholdAge07,"&lt;"&amp;'19_Расчет_аналитики'!BE3595,WeightedRevAge07)-SUMIF(ThresholdAge07,"&lt;"&amp;'19_Расчет_аналитики'!BE3595,WeightedMinAge07),MAX(CapacityAge07*'01_Вводные'!$B$218*'19_Расчет_аналитики'!BE3595,MeanMinAge07))),0)</f>
        <v/>
      </c>
      <c r="BF3506">
        <f>IF('01_Вводные'!$B$234="Да",IF(OR('19_Расчет_аналитики'!BF3478=0,7&lt;='01_Вводные'!$B$297),0,'19_Расчет_аналитики'!BF3478*IF('01_Вводные'!$B$239="Да",MeanMinAge07+'19_Расчет_аналитики'!BF3595*SUMIF(ThresholdAge07,"&lt;"&amp;'19_Расчет_аналитики'!BF3595,WeightedRevAge07)-SUMIF(ThresholdAge07,"&lt;"&amp;'19_Расчет_аналитики'!BF3595,WeightedMinAge07),MAX(CapacityAge07*'01_Вводные'!$B$218*'19_Расчет_аналитики'!BF3595,MeanMinAge07))),0)</f>
        <v/>
      </c>
      <c r="BG3506">
        <f>IF('01_Вводные'!$B$234="Да",IF(OR('19_Расчет_аналитики'!BG3478=0,7&lt;='01_Вводные'!$B$297),0,'19_Расчет_аналитики'!BG3478*IF('01_Вводные'!$B$239="Да",MeanMinAge07+'19_Расчет_аналитики'!BG3595*SUMIF(ThresholdAge07,"&lt;"&amp;'19_Расчет_аналитики'!BG3595,WeightedRevAge07)-SUMIF(ThresholdAge07,"&lt;"&amp;'19_Расчет_аналитики'!BG3595,WeightedMinAge07),MAX(CapacityAge07*'01_Вводные'!$B$218*'19_Расчет_аналитики'!BG3595,MeanMinAge07))),0)</f>
        <v/>
      </c>
      <c r="BH3506">
        <f>IF('01_Вводные'!$B$234="Да",IF(OR('19_Расчет_аналитики'!BH3478=0,7&lt;='01_Вводные'!$B$297),0,'19_Расчет_аналитики'!BH3478*IF('01_Вводные'!$B$239="Да",MeanMinAge07+'19_Расчет_аналитики'!BH3595*SUMIF(ThresholdAge07,"&lt;"&amp;'19_Расчет_аналитики'!BH3595,WeightedRevAge07)-SUMIF(ThresholdAge07,"&lt;"&amp;'19_Расчет_аналитики'!BH3595,WeightedMinAge07),MAX(CapacityAge07*'01_Вводные'!$B$218*'19_Расчет_аналитики'!BH3595,MeanMinAge07))),0)</f>
        <v/>
      </c>
      <c r="BI3506">
        <f>IF('01_Вводные'!$B$234="Да",IF(OR('19_Расчет_аналитики'!BI3478=0,7&lt;='01_Вводные'!$B$297),0,'19_Расчет_аналитики'!BI3478*IF('01_Вводные'!$B$239="Да",MeanMinAge07+'19_Расчет_аналитики'!BI3595*SUMIF(ThresholdAge07,"&lt;"&amp;'19_Расчет_аналитики'!BI3595,WeightedRevAge07)-SUMIF(ThresholdAge07,"&lt;"&amp;'19_Расчет_аналитики'!BI3595,WeightedMinAge07),MAX(CapacityAge07*'01_Вводные'!$B$218*'19_Расчет_аналитики'!BI3595,MeanMinAge07))),0)</f>
        <v/>
      </c>
      <c r="BJ3506">
        <f>IF('01_Вводные'!$B$234="Да",IF(OR('19_Расчет_аналитики'!BJ3478=0,7&lt;='01_Вводные'!$B$297),0,'19_Расчет_аналитики'!BJ3478*IF('01_Вводные'!$B$239="Да",MeanMinAge07+'19_Расчет_аналитики'!BJ3595*SUMIF(ThresholdAge07,"&lt;"&amp;'19_Расчет_аналитики'!BJ3595,WeightedRevAge07)-SUMIF(ThresholdAge07,"&lt;"&amp;'19_Расчет_аналитики'!BJ3595,WeightedMinAge07),MAX(CapacityAge07*'01_Вводные'!$B$218*'19_Расчет_аналитики'!BJ3595,MeanMinAge07))),0)</f>
        <v/>
      </c>
      <c r="BK3506">
        <f>IF('01_Вводные'!$B$234="Да",IF(OR('19_Расчет_аналитики'!BK3478=0,7&lt;='01_Вводные'!$B$297),0,'19_Расчет_аналитики'!BK3478*IF('01_Вводные'!$B$239="Да",MeanMinAge07+'19_Расчет_аналитики'!BK3595*SUMIF(ThresholdAge07,"&lt;"&amp;'19_Расчет_аналитики'!BK3595,WeightedRevAge07)-SUMIF(ThresholdAge07,"&lt;"&amp;'19_Расчет_аналитики'!BK3595,WeightedMinAge07),MAX(CapacityAge07*'01_Вводные'!$B$218*'19_Расчет_аналитики'!BK3595,MeanMinAge07))),0)</f>
        <v/>
      </c>
      <c r="BL3506">
        <f>IF('01_Вводные'!$B$234="Да",IF(OR('19_Расчет_аналитики'!BL3478=0,7&lt;='01_Вводные'!$B$297),0,'19_Расчет_аналитики'!BL3478*IF('01_Вводные'!$B$239="Да",MeanMinAge07+'19_Расчет_аналитики'!BL3595*SUMIF(ThresholdAge07,"&lt;"&amp;'19_Расчет_аналитики'!BL3595,WeightedRevAge07)-SUMIF(ThresholdAge07,"&lt;"&amp;'19_Расчет_аналитики'!BL3595,WeightedMinAge07),MAX(CapacityAge07*'01_Вводные'!$B$218*'19_Расчет_аналитики'!BL3595,MeanMinAge07))),0)</f>
        <v/>
      </c>
      <c r="BM3506">
        <f>IF('01_Вводные'!$B$234="Да",IF(OR('19_Расчет_аналитики'!BM3478=0,7&lt;='01_Вводные'!$B$297),0,'19_Расчет_аналитики'!BM3478*IF('01_Вводные'!$B$239="Да",MeanMinAge07+'19_Расчет_аналитики'!BM3595*SUMIF(ThresholdAge07,"&lt;"&amp;'19_Расчет_аналитики'!BM3595,WeightedRevAge07)-SUMIF(ThresholdAge07,"&lt;"&amp;'19_Расчет_аналитики'!BM3595,WeightedMinAge07),MAX(CapacityAge07*'01_Вводные'!$B$218*'19_Расчет_аналитики'!BM3595,MeanMinAge07))),0)</f>
        <v/>
      </c>
      <c r="BN3506">
        <f>IF('01_Вводные'!$B$234="Да",IF(OR('19_Расчет_аналитики'!BN3478=0,7&lt;='01_Вводные'!$B$297),0,'19_Расчет_аналитики'!BN3478*IF('01_Вводные'!$B$239="Да",MeanMinAge07+'19_Расчет_аналитики'!BN3595*SUMIF(ThresholdAge07,"&lt;"&amp;'19_Расчет_аналитики'!BN3595,WeightedRevAge07)-SUMIF(ThresholdAge07,"&lt;"&amp;'19_Расчет_аналитики'!BN3595,WeightedMinAge07),MAX(CapacityAge07*'01_Вводные'!$B$218*'19_Расчет_аналитики'!BN3595,MeanMinAge07))),0)</f>
        <v/>
      </c>
      <c r="BO3506">
        <f>IF('01_Вводные'!$B$234="Да",IF(OR('19_Расчет_аналитики'!BO3478=0,7&lt;='01_Вводные'!$B$297),0,'19_Расчет_аналитики'!BO3478*IF('01_Вводные'!$B$239="Да",MeanMinAge07+'19_Расчет_аналитики'!BO3595*SUMIF(ThresholdAge07,"&lt;"&amp;'19_Расчет_аналитики'!BO3595,WeightedRevAge07)-SUMIF(ThresholdAge07,"&lt;"&amp;'19_Расчет_аналитики'!BO3595,WeightedMinAge07),MAX(CapacityAge07*'01_Вводные'!$B$218*'19_Расчет_аналитики'!BO3595,MeanMinAge07))),0)</f>
        <v/>
      </c>
    </row>
    <row r="3507">
      <c r="B3507">
        <f>IF('01_Вводные'!$B$234="Да",IF(OR('06_Сеть_и_дети'!B88=0,8&lt;='01_Вводные'!$B$297),0,'06_Сеть_и_дети'!B88*IF('01_Вводные'!$B$239="Да",MeanMinAge08+'19_Расчет_аналитики'!B3595*SUMIF(ThresholdAge08,"&lt;"&amp;'19_Расчет_аналитики'!B3595,WeightedRevAge08)-SUMIF(ThresholdAge08,"&lt;"&amp;'19_Расчет_аналитики'!B3595,WeightedMinAge08),MAX(CapacityAge08*'01_Вводные'!$B$218*'19_Расчет_аналитики'!B3595,MeanMinAge08))),0)</f>
        <v/>
      </c>
      <c r="C3507">
        <f>IF('01_Вводные'!$B$234="Да",IF(OR('06_Сеть_и_дети'!C88=0,8&lt;='01_Вводные'!$B$297),0,'06_Сеть_и_дети'!C88*IF('01_Вводные'!$B$239="Да",MeanMinAge08+'19_Расчет_аналитики'!C3595*SUMIF(ThresholdAge08,"&lt;"&amp;'19_Расчет_аналитики'!C3595,WeightedRevAge08)-SUMIF(ThresholdAge08,"&lt;"&amp;'19_Расчет_аналитики'!C3595,WeightedMinAge08),MAX(CapacityAge08*'01_Вводные'!$B$218*'19_Расчет_аналитики'!C3595,MeanMinAge08))),0)</f>
        <v/>
      </c>
      <c r="D3507">
        <f>IF('01_Вводные'!$B$234="Да",IF(OR('06_Сеть_и_дети'!D88=0,8&lt;='01_Вводные'!$B$297),0,'06_Сеть_и_дети'!D88*IF('01_Вводные'!$B$239="Да",MeanMinAge08+'19_Расчет_аналитики'!D3595*SUMIF(ThresholdAge08,"&lt;"&amp;'19_Расчет_аналитики'!D3595,WeightedRevAge08)-SUMIF(ThresholdAge08,"&lt;"&amp;'19_Расчет_аналитики'!D3595,WeightedMinAge08),MAX(CapacityAge08*'01_Вводные'!$B$218*'19_Расчет_аналитики'!D3595,MeanMinAge08))),0)</f>
        <v/>
      </c>
      <c r="E3507">
        <f>IF('01_Вводные'!$B$234="Да",IF(OR('06_Сеть_и_дети'!E88=0,8&lt;='01_Вводные'!$B$297),0,'06_Сеть_и_дети'!E88*IF('01_Вводные'!$B$239="Да",MeanMinAge08+'19_Расчет_аналитики'!E3595*SUMIF(ThresholdAge08,"&lt;"&amp;'19_Расчет_аналитики'!E3595,WeightedRevAge08)-SUMIF(ThresholdAge08,"&lt;"&amp;'19_Расчет_аналитики'!E3595,WeightedMinAge08),MAX(CapacityAge08*'01_Вводные'!$B$218*'19_Расчет_аналитики'!E3595,MeanMinAge08))),0)</f>
        <v/>
      </c>
      <c r="F3507">
        <f>IF('01_Вводные'!$B$234="Да",IF(OR('06_Сеть_и_дети'!F88=0,8&lt;='01_Вводные'!$B$297),0,'06_Сеть_и_дети'!F88*IF('01_Вводные'!$B$239="Да",MeanMinAge08+'19_Расчет_аналитики'!F3595*SUMIF(ThresholdAge08,"&lt;"&amp;'19_Расчет_аналитики'!F3595,WeightedRevAge08)-SUMIF(ThresholdAge08,"&lt;"&amp;'19_Расчет_аналитики'!F3595,WeightedMinAge08),MAX(CapacityAge08*'01_Вводные'!$B$218*'19_Расчет_аналитики'!F3595,MeanMinAge08))),0)</f>
        <v/>
      </c>
      <c r="G3507">
        <f>IF('01_Вводные'!$B$234="Да",IF(OR('06_Сеть_и_дети'!G88=0,8&lt;='01_Вводные'!$B$297),0,'06_Сеть_и_дети'!G88*IF('01_Вводные'!$B$239="Да",MeanMinAge08+'19_Расчет_аналитики'!G3595*SUMIF(ThresholdAge08,"&lt;"&amp;'19_Расчет_аналитики'!G3595,WeightedRevAge08)-SUMIF(ThresholdAge08,"&lt;"&amp;'19_Расчет_аналитики'!G3595,WeightedMinAge08),MAX(CapacityAge08*'01_Вводные'!$B$218*'19_Расчет_аналитики'!G3595,MeanMinAge08))),0)</f>
        <v/>
      </c>
      <c r="H3507">
        <f>IF('01_Вводные'!$B$234="Да",IF(OR('06_Сеть_и_дети'!H88=0,8&lt;='01_Вводные'!$B$297),0,'06_Сеть_и_дети'!H88*IF('01_Вводные'!$B$239="Да",MeanMinAge08+'19_Расчет_аналитики'!H3595*SUMIF(ThresholdAge08,"&lt;"&amp;'19_Расчет_аналитики'!H3595,WeightedRevAge08)-SUMIF(ThresholdAge08,"&lt;"&amp;'19_Расчет_аналитики'!H3595,WeightedMinAge08),MAX(CapacityAge08*'01_Вводные'!$B$218*'19_Расчет_аналитики'!H3595,MeanMinAge08))),0)</f>
        <v/>
      </c>
      <c r="I3507">
        <f>IF('01_Вводные'!$B$234="Да",IF(OR('19_Расчет_аналитики'!I3479=0,8&lt;='01_Вводные'!$B$297),0,'19_Расчет_аналитики'!I3479*IF('01_Вводные'!$B$239="Да",MeanMinAge08+'19_Расчет_аналитики'!I3595*SUMIF(ThresholdAge08,"&lt;"&amp;'19_Расчет_аналитики'!I3595,WeightedRevAge08)-SUMIF(ThresholdAge08,"&lt;"&amp;'19_Расчет_аналитики'!I3595,WeightedMinAge08),MAX(CapacityAge08*'01_Вводные'!$B$218*'19_Расчет_аналитики'!I3595,MeanMinAge08))),0)</f>
        <v/>
      </c>
      <c r="J3507">
        <f>IF('01_Вводные'!$B$234="Да",IF(OR('19_Расчет_аналитики'!J3479=0,8&lt;='01_Вводные'!$B$297),0,'19_Расчет_аналитики'!J3479*IF('01_Вводные'!$B$239="Да",MeanMinAge08+'19_Расчет_аналитики'!J3595*SUMIF(ThresholdAge08,"&lt;"&amp;'19_Расчет_аналитики'!J3595,WeightedRevAge08)-SUMIF(ThresholdAge08,"&lt;"&amp;'19_Расчет_аналитики'!J3595,WeightedMinAge08),MAX(CapacityAge08*'01_Вводные'!$B$218*'19_Расчет_аналитики'!J3595,MeanMinAge08))),0)</f>
        <v/>
      </c>
      <c r="K3507">
        <f>IF('01_Вводные'!$B$234="Да",IF(OR('19_Расчет_аналитики'!K3479=0,8&lt;='01_Вводные'!$B$297),0,'19_Расчет_аналитики'!K3479*IF('01_Вводные'!$B$239="Да",MeanMinAge08+'19_Расчет_аналитики'!K3595*SUMIF(ThresholdAge08,"&lt;"&amp;'19_Расчет_аналитики'!K3595,WeightedRevAge08)-SUMIF(ThresholdAge08,"&lt;"&amp;'19_Расчет_аналитики'!K3595,WeightedMinAge08),MAX(CapacityAge08*'01_Вводные'!$B$218*'19_Расчет_аналитики'!K3595,MeanMinAge08))),0)</f>
        <v/>
      </c>
      <c r="L3507">
        <f>IF('01_Вводные'!$B$234="Да",IF(OR('19_Расчет_аналитики'!L3479=0,8&lt;='01_Вводные'!$B$297),0,'19_Расчет_аналитики'!L3479*IF('01_Вводные'!$B$239="Да",MeanMinAge08+'19_Расчет_аналитики'!L3595*SUMIF(ThresholdAge08,"&lt;"&amp;'19_Расчет_аналитики'!L3595,WeightedRevAge08)-SUMIF(ThresholdAge08,"&lt;"&amp;'19_Расчет_аналитики'!L3595,WeightedMinAge08),MAX(CapacityAge08*'01_Вводные'!$B$218*'19_Расчет_аналитики'!L3595,MeanMinAge08))),0)</f>
        <v/>
      </c>
      <c r="M3507">
        <f>IF('01_Вводные'!$B$234="Да",IF(OR('19_Расчет_аналитики'!M3479=0,8&lt;='01_Вводные'!$B$297),0,'19_Расчет_аналитики'!M3479*IF('01_Вводные'!$B$239="Да",MeanMinAge08+'19_Расчет_аналитики'!M3595*SUMIF(ThresholdAge08,"&lt;"&amp;'19_Расчет_аналитики'!M3595,WeightedRevAge08)-SUMIF(ThresholdAge08,"&lt;"&amp;'19_Расчет_аналитики'!M3595,WeightedMinAge08),MAX(CapacityAge08*'01_Вводные'!$B$218*'19_Расчет_аналитики'!M3595,MeanMinAge08))),0)</f>
        <v/>
      </c>
      <c r="N3507">
        <f>IF('01_Вводные'!$B$234="Да",IF(OR('19_Расчет_аналитики'!N3479=0,8&lt;='01_Вводные'!$B$297),0,'19_Расчет_аналитики'!N3479*IF('01_Вводные'!$B$239="Да",MeanMinAge08+'19_Расчет_аналитики'!N3595*SUMIF(ThresholdAge08,"&lt;"&amp;'19_Расчет_аналитики'!N3595,WeightedRevAge08)-SUMIF(ThresholdAge08,"&lt;"&amp;'19_Расчет_аналитики'!N3595,WeightedMinAge08),MAX(CapacityAge08*'01_Вводные'!$B$218*'19_Расчет_аналитики'!N3595,MeanMinAge08))),0)</f>
        <v/>
      </c>
      <c r="O3507">
        <f>IF('01_Вводные'!$B$234="Да",IF(OR('19_Расчет_аналитики'!O3479=0,8&lt;='01_Вводные'!$B$297),0,'19_Расчет_аналитики'!O3479*IF('01_Вводные'!$B$239="Да",MeanMinAge08+'19_Расчет_аналитики'!O3595*SUMIF(ThresholdAge08,"&lt;"&amp;'19_Расчет_аналитики'!O3595,WeightedRevAge08)-SUMIF(ThresholdAge08,"&lt;"&amp;'19_Расчет_аналитики'!O3595,WeightedMinAge08),MAX(CapacityAge08*'01_Вводные'!$B$218*'19_Расчет_аналитики'!O3595,MeanMinAge08))),0)</f>
        <v/>
      </c>
      <c r="P3507">
        <f>IF('01_Вводные'!$B$234="Да",IF(OR('19_Расчет_аналитики'!P3479=0,8&lt;='01_Вводные'!$B$297),0,'19_Расчет_аналитики'!P3479*IF('01_Вводные'!$B$239="Да",MeanMinAge08+'19_Расчет_аналитики'!P3595*SUMIF(ThresholdAge08,"&lt;"&amp;'19_Расчет_аналитики'!P3595,WeightedRevAge08)-SUMIF(ThresholdAge08,"&lt;"&amp;'19_Расчет_аналитики'!P3595,WeightedMinAge08),MAX(CapacityAge08*'01_Вводные'!$B$218*'19_Расчет_аналитики'!P3595,MeanMinAge08))),0)</f>
        <v/>
      </c>
      <c r="Q3507">
        <f>IF('01_Вводные'!$B$234="Да",IF(OR('19_Расчет_аналитики'!Q3479=0,8&lt;='01_Вводные'!$B$297),0,'19_Расчет_аналитики'!Q3479*IF('01_Вводные'!$B$239="Да",MeanMinAge08+'19_Расчет_аналитики'!Q3595*SUMIF(ThresholdAge08,"&lt;"&amp;'19_Расчет_аналитики'!Q3595,WeightedRevAge08)-SUMIF(ThresholdAge08,"&lt;"&amp;'19_Расчет_аналитики'!Q3595,WeightedMinAge08),MAX(CapacityAge08*'01_Вводные'!$B$218*'19_Расчет_аналитики'!Q3595,MeanMinAge08))),0)</f>
        <v/>
      </c>
      <c r="R3507">
        <f>IF('01_Вводные'!$B$234="Да",IF(OR('19_Расчет_аналитики'!R3479=0,8&lt;='01_Вводные'!$B$297),0,'19_Расчет_аналитики'!R3479*IF('01_Вводные'!$B$239="Да",MeanMinAge08+'19_Расчет_аналитики'!R3595*SUMIF(ThresholdAge08,"&lt;"&amp;'19_Расчет_аналитики'!R3595,WeightedRevAge08)-SUMIF(ThresholdAge08,"&lt;"&amp;'19_Расчет_аналитики'!R3595,WeightedMinAge08),MAX(CapacityAge08*'01_Вводные'!$B$218*'19_Расчет_аналитики'!R3595,MeanMinAge08))),0)</f>
        <v/>
      </c>
      <c r="S3507">
        <f>IF('01_Вводные'!$B$234="Да",IF(OR('19_Расчет_аналитики'!S3479=0,8&lt;='01_Вводные'!$B$297),0,'19_Расчет_аналитики'!S3479*IF('01_Вводные'!$B$239="Да",MeanMinAge08+'19_Расчет_аналитики'!S3595*SUMIF(ThresholdAge08,"&lt;"&amp;'19_Расчет_аналитики'!S3595,WeightedRevAge08)-SUMIF(ThresholdAge08,"&lt;"&amp;'19_Расчет_аналитики'!S3595,WeightedMinAge08),MAX(CapacityAge08*'01_Вводные'!$B$218*'19_Расчет_аналитики'!S3595,MeanMinAge08))),0)</f>
        <v/>
      </c>
      <c r="T3507">
        <f>IF('01_Вводные'!$B$234="Да",IF(OR('19_Расчет_аналитики'!T3479=0,8&lt;='01_Вводные'!$B$297),0,'19_Расчет_аналитики'!T3479*IF('01_Вводные'!$B$239="Да",MeanMinAge08+'19_Расчет_аналитики'!T3595*SUMIF(ThresholdAge08,"&lt;"&amp;'19_Расчет_аналитики'!T3595,WeightedRevAge08)-SUMIF(ThresholdAge08,"&lt;"&amp;'19_Расчет_аналитики'!T3595,WeightedMinAge08),MAX(CapacityAge08*'01_Вводные'!$B$218*'19_Расчет_аналитики'!T3595,MeanMinAge08))),0)</f>
        <v/>
      </c>
      <c r="U3507">
        <f>IF('01_Вводные'!$B$234="Да",IF(OR('19_Расчет_аналитики'!U3479=0,8&lt;='01_Вводные'!$B$297),0,'19_Расчет_аналитики'!U3479*IF('01_Вводные'!$B$239="Да",MeanMinAge08+'19_Расчет_аналитики'!U3595*SUMIF(ThresholdAge08,"&lt;"&amp;'19_Расчет_аналитики'!U3595,WeightedRevAge08)-SUMIF(ThresholdAge08,"&lt;"&amp;'19_Расчет_аналитики'!U3595,WeightedMinAge08),MAX(CapacityAge08*'01_Вводные'!$B$218*'19_Расчет_аналитики'!U3595,MeanMinAge08))),0)</f>
        <v/>
      </c>
      <c r="V3507">
        <f>IF('01_Вводные'!$B$234="Да",IF(OR('19_Расчет_аналитики'!V3479=0,8&lt;='01_Вводные'!$B$297),0,'19_Расчет_аналитики'!V3479*IF('01_Вводные'!$B$239="Да",MeanMinAge08+'19_Расчет_аналитики'!V3595*SUMIF(ThresholdAge08,"&lt;"&amp;'19_Расчет_аналитики'!V3595,WeightedRevAge08)-SUMIF(ThresholdAge08,"&lt;"&amp;'19_Расчет_аналитики'!V3595,WeightedMinAge08),MAX(CapacityAge08*'01_Вводные'!$B$218*'19_Расчет_аналитики'!V3595,MeanMinAge08))),0)</f>
        <v/>
      </c>
      <c r="W3507">
        <f>IF('01_Вводные'!$B$234="Да",IF(OR('19_Расчет_аналитики'!W3479=0,8&lt;='01_Вводные'!$B$297),0,'19_Расчет_аналитики'!W3479*IF('01_Вводные'!$B$239="Да",MeanMinAge08+'19_Расчет_аналитики'!W3595*SUMIF(ThresholdAge08,"&lt;"&amp;'19_Расчет_аналитики'!W3595,WeightedRevAge08)-SUMIF(ThresholdAge08,"&lt;"&amp;'19_Расчет_аналитики'!W3595,WeightedMinAge08),MAX(CapacityAge08*'01_Вводные'!$B$218*'19_Расчет_аналитики'!W3595,MeanMinAge08))),0)</f>
        <v/>
      </c>
      <c r="X3507">
        <f>IF('01_Вводные'!$B$234="Да",IF(OR('19_Расчет_аналитики'!X3479=0,8&lt;='01_Вводные'!$B$297),0,'19_Расчет_аналитики'!X3479*IF('01_Вводные'!$B$239="Да",MeanMinAge08+'19_Расчет_аналитики'!X3595*SUMIF(ThresholdAge08,"&lt;"&amp;'19_Расчет_аналитики'!X3595,WeightedRevAge08)-SUMIF(ThresholdAge08,"&lt;"&amp;'19_Расчет_аналитики'!X3595,WeightedMinAge08),MAX(CapacityAge08*'01_Вводные'!$B$218*'19_Расчет_аналитики'!X3595,MeanMinAge08))),0)</f>
        <v/>
      </c>
      <c r="Y3507">
        <f>IF('01_Вводные'!$B$234="Да",IF(OR('19_Расчет_аналитики'!Y3479=0,8&lt;='01_Вводные'!$B$297),0,'19_Расчет_аналитики'!Y3479*IF('01_Вводные'!$B$239="Да",MeanMinAge08+'19_Расчет_аналитики'!Y3595*SUMIF(ThresholdAge08,"&lt;"&amp;'19_Расчет_аналитики'!Y3595,WeightedRevAge08)-SUMIF(ThresholdAge08,"&lt;"&amp;'19_Расчет_аналитики'!Y3595,WeightedMinAge08),MAX(CapacityAge08*'01_Вводные'!$B$218*'19_Расчет_аналитики'!Y3595,MeanMinAge08))),0)</f>
        <v/>
      </c>
      <c r="Z3507">
        <f>IF('01_Вводные'!$B$234="Да",IF(OR('19_Расчет_аналитики'!Z3479=0,8&lt;='01_Вводные'!$B$297),0,'19_Расчет_аналитики'!Z3479*IF('01_Вводные'!$B$239="Да",MeanMinAge08+'19_Расчет_аналитики'!Z3595*SUMIF(ThresholdAge08,"&lt;"&amp;'19_Расчет_аналитики'!Z3595,WeightedRevAge08)-SUMIF(ThresholdAge08,"&lt;"&amp;'19_Расчет_аналитики'!Z3595,WeightedMinAge08),MAX(CapacityAge08*'01_Вводные'!$B$218*'19_Расчет_аналитики'!Z3595,MeanMinAge08))),0)</f>
        <v/>
      </c>
      <c r="AA3507">
        <f>IF('01_Вводные'!$B$234="Да",IF(OR('19_Расчет_аналитики'!AA3479=0,8&lt;='01_Вводные'!$B$297),0,'19_Расчет_аналитики'!AA3479*IF('01_Вводные'!$B$239="Да",MeanMinAge08+'19_Расчет_аналитики'!AA3595*SUMIF(ThresholdAge08,"&lt;"&amp;'19_Расчет_аналитики'!AA3595,WeightedRevAge08)-SUMIF(ThresholdAge08,"&lt;"&amp;'19_Расчет_аналитики'!AA3595,WeightedMinAge08),MAX(CapacityAge08*'01_Вводные'!$B$218*'19_Расчет_аналитики'!AA3595,MeanMinAge08))),0)</f>
        <v/>
      </c>
      <c r="AB3507">
        <f>IF('01_Вводные'!$B$234="Да",IF(OR('19_Расчет_аналитики'!AB3479=0,8&lt;='01_Вводные'!$B$297),0,'19_Расчет_аналитики'!AB3479*IF('01_Вводные'!$B$239="Да",MeanMinAge08+'19_Расчет_аналитики'!AB3595*SUMIF(ThresholdAge08,"&lt;"&amp;'19_Расчет_аналитики'!AB3595,WeightedRevAge08)-SUMIF(ThresholdAge08,"&lt;"&amp;'19_Расчет_аналитики'!AB3595,WeightedMinAge08),MAX(CapacityAge08*'01_Вводные'!$B$218*'19_Расчет_аналитики'!AB3595,MeanMinAge08))),0)</f>
        <v/>
      </c>
      <c r="AC3507">
        <f>IF('01_Вводные'!$B$234="Да",IF(OR('19_Расчет_аналитики'!AC3479=0,8&lt;='01_Вводные'!$B$297),0,'19_Расчет_аналитики'!AC3479*IF('01_Вводные'!$B$239="Да",MeanMinAge08+'19_Расчет_аналитики'!AC3595*SUMIF(ThresholdAge08,"&lt;"&amp;'19_Расчет_аналитики'!AC3595,WeightedRevAge08)-SUMIF(ThresholdAge08,"&lt;"&amp;'19_Расчет_аналитики'!AC3595,WeightedMinAge08),MAX(CapacityAge08*'01_Вводные'!$B$218*'19_Расчет_аналитики'!AC3595,MeanMinAge08))),0)</f>
        <v/>
      </c>
      <c r="AD3507">
        <f>IF('01_Вводные'!$B$234="Да",IF(OR('19_Расчет_аналитики'!AD3479=0,8&lt;='01_Вводные'!$B$297),0,'19_Расчет_аналитики'!AD3479*IF('01_Вводные'!$B$239="Да",MeanMinAge08+'19_Расчет_аналитики'!AD3595*SUMIF(ThresholdAge08,"&lt;"&amp;'19_Расчет_аналитики'!AD3595,WeightedRevAge08)-SUMIF(ThresholdAge08,"&lt;"&amp;'19_Расчет_аналитики'!AD3595,WeightedMinAge08),MAX(CapacityAge08*'01_Вводные'!$B$218*'19_Расчет_аналитики'!AD3595,MeanMinAge08))),0)</f>
        <v/>
      </c>
      <c r="AE3507">
        <f>IF('01_Вводные'!$B$234="Да",IF(OR('19_Расчет_аналитики'!AE3479=0,8&lt;='01_Вводные'!$B$297),0,'19_Расчет_аналитики'!AE3479*IF('01_Вводные'!$B$239="Да",MeanMinAge08+'19_Расчет_аналитики'!AE3595*SUMIF(ThresholdAge08,"&lt;"&amp;'19_Расчет_аналитики'!AE3595,WeightedRevAge08)-SUMIF(ThresholdAge08,"&lt;"&amp;'19_Расчет_аналитики'!AE3595,WeightedMinAge08),MAX(CapacityAge08*'01_Вводные'!$B$218*'19_Расчет_аналитики'!AE3595,MeanMinAge08))),0)</f>
        <v/>
      </c>
      <c r="AF3507">
        <f>IF('01_Вводные'!$B$234="Да",IF(OR('19_Расчет_аналитики'!AF3479=0,8&lt;='01_Вводные'!$B$297),0,'19_Расчет_аналитики'!AF3479*IF('01_Вводные'!$B$239="Да",MeanMinAge08+'19_Расчет_аналитики'!AF3595*SUMIF(ThresholdAge08,"&lt;"&amp;'19_Расчет_аналитики'!AF3595,WeightedRevAge08)-SUMIF(ThresholdAge08,"&lt;"&amp;'19_Расчет_аналитики'!AF3595,WeightedMinAge08),MAX(CapacityAge08*'01_Вводные'!$B$218*'19_Расчет_аналитики'!AF3595,MeanMinAge08))),0)</f>
        <v/>
      </c>
      <c r="AG3507">
        <f>IF('01_Вводные'!$B$234="Да",IF(OR('19_Расчет_аналитики'!AG3479=0,8&lt;='01_Вводные'!$B$297),0,'19_Расчет_аналитики'!AG3479*IF('01_Вводные'!$B$239="Да",MeanMinAge08+'19_Расчет_аналитики'!AG3595*SUMIF(ThresholdAge08,"&lt;"&amp;'19_Расчет_аналитики'!AG3595,WeightedRevAge08)-SUMIF(ThresholdAge08,"&lt;"&amp;'19_Расчет_аналитики'!AG3595,WeightedMinAge08),MAX(CapacityAge08*'01_Вводные'!$B$218*'19_Расчет_аналитики'!AG3595,MeanMinAge08))),0)</f>
        <v/>
      </c>
      <c r="AH3507">
        <f>IF('01_Вводные'!$B$234="Да",IF(OR('19_Расчет_аналитики'!AH3479=0,8&lt;='01_Вводные'!$B$297),0,'19_Расчет_аналитики'!AH3479*IF('01_Вводные'!$B$239="Да",MeanMinAge08+'19_Расчет_аналитики'!AH3595*SUMIF(ThresholdAge08,"&lt;"&amp;'19_Расчет_аналитики'!AH3595,WeightedRevAge08)-SUMIF(ThresholdAge08,"&lt;"&amp;'19_Расчет_аналитики'!AH3595,WeightedMinAge08),MAX(CapacityAge08*'01_Вводные'!$B$218*'19_Расчет_аналитики'!AH3595,MeanMinAge08))),0)</f>
        <v/>
      </c>
      <c r="AI3507">
        <f>IF('01_Вводные'!$B$234="Да",IF(OR('19_Расчет_аналитики'!AI3479=0,8&lt;='01_Вводные'!$B$297),0,'19_Расчет_аналитики'!AI3479*IF('01_Вводные'!$B$239="Да",MeanMinAge08+'19_Расчет_аналитики'!AI3595*SUMIF(ThresholdAge08,"&lt;"&amp;'19_Расчет_аналитики'!AI3595,WeightedRevAge08)-SUMIF(ThresholdAge08,"&lt;"&amp;'19_Расчет_аналитики'!AI3595,WeightedMinAge08),MAX(CapacityAge08*'01_Вводные'!$B$218*'19_Расчет_аналитики'!AI3595,MeanMinAge08))),0)</f>
        <v/>
      </c>
      <c r="AJ3507">
        <f>IF('01_Вводные'!$B$234="Да",IF(OR('19_Расчет_аналитики'!AJ3479=0,8&lt;='01_Вводные'!$B$297),0,'19_Расчет_аналитики'!AJ3479*IF('01_Вводные'!$B$239="Да",MeanMinAge08+'19_Расчет_аналитики'!AJ3595*SUMIF(ThresholdAge08,"&lt;"&amp;'19_Расчет_аналитики'!AJ3595,WeightedRevAge08)-SUMIF(ThresholdAge08,"&lt;"&amp;'19_Расчет_аналитики'!AJ3595,WeightedMinAge08),MAX(CapacityAge08*'01_Вводные'!$B$218*'19_Расчет_аналитики'!AJ3595,MeanMinAge08))),0)</f>
        <v/>
      </c>
      <c r="AK3507">
        <f>IF('01_Вводные'!$B$234="Да",IF(OR('19_Расчет_аналитики'!AK3479=0,8&lt;='01_Вводные'!$B$297),0,'19_Расчет_аналитики'!AK3479*IF('01_Вводные'!$B$239="Да",MeanMinAge08+'19_Расчет_аналитики'!AK3595*SUMIF(ThresholdAge08,"&lt;"&amp;'19_Расчет_аналитики'!AK3595,WeightedRevAge08)-SUMIF(ThresholdAge08,"&lt;"&amp;'19_Расчет_аналитики'!AK3595,WeightedMinAge08),MAX(CapacityAge08*'01_Вводные'!$B$218*'19_Расчет_аналитики'!AK3595,MeanMinAge08))),0)</f>
        <v/>
      </c>
      <c r="AL3507">
        <f>IF('01_Вводные'!$B$234="Да",IF(OR('19_Расчет_аналитики'!AL3479=0,8&lt;='01_Вводные'!$B$297),0,'19_Расчет_аналитики'!AL3479*IF('01_Вводные'!$B$239="Да",MeanMinAge08+'19_Расчет_аналитики'!AL3595*SUMIF(ThresholdAge08,"&lt;"&amp;'19_Расчет_аналитики'!AL3595,WeightedRevAge08)-SUMIF(ThresholdAge08,"&lt;"&amp;'19_Расчет_аналитики'!AL3595,WeightedMinAge08),MAX(CapacityAge08*'01_Вводные'!$B$218*'19_Расчет_аналитики'!AL3595,MeanMinAge08))),0)</f>
        <v/>
      </c>
      <c r="AM3507">
        <f>IF('01_Вводные'!$B$234="Да",IF(OR('19_Расчет_аналитики'!AM3479=0,8&lt;='01_Вводные'!$B$297),0,'19_Расчет_аналитики'!AM3479*IF('01_Вводные'!$B$239="Да",MeanMinAge08+'19_Расчет_аналитики'!AM3595*SUMIF(ThresholdAge08,"&lt;"&amp;'19_Расчет_аналитики'!AM3595,WeightedRevAge08)-SUMIF(ThresholdAge08,"&lt;"&amp;'19_Расчет_аналитики'!AM3595,WeightedMinAge08),MAX(CapacityAge08*'01_Вводные'!$B$218*'19_Расчет_аналитики'!AM3595,MeanMinAge08))),0)</f>
        <v/>
      </c>
      <c r="AN3507">
        <f>IF('01_Вводные'!$B$234="Да",IF(OR('19_Расчет_аналитики'!AN3479=0,8&lt;='01_Вводные'!$B$297),0,'19_Расчет_аналитики'!AN3479*IF('01_Вводные'!$B$239="Да",MeanMinAge08+'19_Расчет_аналитики'!AN3595*SUMIF(ThresholdAge08,"&lt;"&amp;'19_Расчет_аналитики'!AN3595,WeightedRevAge08)-SUMIF(ThresholdAge08,"&lt;"&amp;'19_Расчет_аналитики'!AN3595,WeightedMinAge08),MAX(CapacityAge08*'01_Вводные'!$B$218*'19_Расчет_аналитики'!AN3595,MeanMinAge08))),0)</f>
        <v/>
      </c>
      <c r="AO3507">
        <f>IF('01_Вводные'!$B$234="Да",IF(OR('19_Расчет_аналитики'!AO3479=0,8&lt;='01_Вводные'!$B$297),0,'19_Расчет_аналитики'!AO3479*IF('01_Вводные'!$B$239="Да",MeanMinAge08+'19_Расчет_аналитики'!AO3595*SUMIF(ThresholdAge08,"&lt;"&amp;'19_Расчет_аналитики'!AO3595,WeightedRevAge08)-SUMIF(ThresholdAge08,"&lt;"&amp;'19_Расчет_аналитики'!AO3595,WeightedMinAge08),MAX(CapacityAge08*'01_Вводные'!$B$218*'19_Расчет_аналитики'!AO3595,MeanMinAge08))),0)</f>
        <v/>
      </c>
      <c r="AP3507">
        <f>IF('01_Вводные'!$B$234="Да",IF(OR('19_Расчет_аналитики'!AP3479=0,8&lt;='01_Вводные'!$B$297),0,'19_Расчет_аналитики'!AP3479*IF('01_Вводные'!$B$239="Да",MeanMinAge08+'19_Расчет_аналитики'!AP3595*SUMIF(ThresholdAge08,"&lt;"&amp;'19_Расчет_аналитики'!AP3595,WeightedRevAge08)-SUMIF(ThresholdAge08,"&lt;"&amp;'19_Расчет_аналитики'!AP3595,WeightedMinAge08),MAX(CapacityAge08*'01_Вводные'!$B$218*'19_Расчет_аналитики'!AP3595,MeanMinAge08))),0)</f>
        <v/>
      </c>
      <c r="AQ3507">
        <f>IF('01_Вводные'!$B$234="Да",IF(OR('19_Расчет_аналитики'!AQ3479=0,8&lt;='01_Вводные'!$B$297),0,'19_Расчет_аналитики'!AQ3479*IF('01_Вводные'!$B$239="Да",MeanMinAge08+'19_Расчет_аналитики'!AQ3595*SUMIF(ThresholdAge08,"&lt;"&amp;'19_Расчет_аналитики'!AQ3595,WeightedRevAge08)-SUMIF(ThresholdAge08,"&lt;"&amp;'19_Расчет_аналитики'!AQ3595,WeightedMinAge08),MAX(CapacityAge08*'01_Вводные'!$B$218*'19_Расчет_аналитики'!AQ3595,MeanMinAge08))),0)</f>
        <v/>
      </c>
      <c r="AR3507">
        <f>IF('01_Вводные'!$B$234="Да",IF(OR('19_Расчет_аналитики'!AR3479=0,8&lt;='01_Вводные'!$B$297),0,'19_Расчет_аналитики'!AR3479*IF('01_Вводные'!$B$239="Да",MeanMinAge08+'19_Расчет_аналитики'!AR3595*SUMIF(ThresholdAge08,"&lt;"&amp;'19_Расчет_аналитики'!AR3595,WeightedRevAge08)-SUMIF(ThresholdAge08,"&lt;"&amp;'19_Расчет_аналитики'!AR3595,WeightedMinAge08),MAX(CapacityAge08*'01_Вводные'!$B$218*'19_Расчет_аналитики'!AR3595,MeanMinAge08))),0)</f>
        <v/>
      </c>
      <c r="AS3507">
        <f>IF('01_Вводные'!$B$234="Да",IF(OR('19_Расчет_аналитики'!AS3479=0,8&lt;='01_Вводные'!$B$297),0,'19_Расчет_аналитики'!AS3479*IF('01_Вводные'!$B$239="Да",MeanMinAge08+'19_Расчет_аналитики'!AS3595*SUMIF(ThresholdAge08,"&lt;"&amp;'19_Расчет_аналитики'!AS3595,WeightedRevAge08)-SUMIF(ThresholdAge08,"&lt;"&amp;'19_Расчет_аналитики'!AS3595,WeightedMinAge08),MAX(CapacityAge08*'01_Вводные'!$B$218*'19_Расчет_аналитики'!AS3595,MeanMinAge08))),0)</f>
        <v/>
      </c>
      <c r="AT3507">
        <f>IF('01_Вводные'!$B$234="Да",IF(OR('19_Расчет_аналитики'!AT3479=0,8&lt;='01_Вводные'!$B$297),0,'19_Расчет_аналитики'!AT3479*IF('01_Вводные'!$B$239="Да",MeanMinAge08+'19_Расчет_аналитики'!AT3595*SUMIF(ThresholdAge08,"&lt;"&amp;'19_Расчет_аналитики'!AT3595,WeightedRevAge08)-SUMIF(ThresholdAge08,"&lt;"&amp;'19_Расчет_аналитики'!AT3595,WeightedMinAge08),MAX(CapacityAge08*'01_Вводные'!$B$218*'19_Расчет_аналитики'!AT3595,MeanMinAge08))),0)</f>
        <v/>
      </c>
      <c r="AU3507">
        <f>IF('01_Вводные'!$B$234="Да",IF(OR('19_Расчет_аналитики'!AU3479=0,8&lt;='01_Вводные'!$B$297),0,'19_Расчет_аналитики'!AU3479*IF('01_Вводные'!$B$239="Да",MeanMinAge08+'19_Расчет_аналитики'!AU3595*SUMIF(ThresholdAge08,"&lt;"&amp;'19_Расчет_аналитики'!AU3595,WeightedRevAge08)-SUMIF(ThresholdAge08,"&lt;"&amp;'19_Расчет_аналитики'!AU3595,WeightedMinAge08),MAX(CapacityAge08*'01_Вводные'!$B$218*'19_Расчет_аналитики'!AU3595,MeanMinAge08))),0)</f>
        <v/>
      </c>
      <c r="AV3507">
        <f>IF('01_Вводные'!$B$234="Да",IF(OR('19_Расчет_аналитики'!AV3479=0,8&lt;='01_Вводные'!$B$297),0,'19_Расчет_аналитики'!AV3479*IF('01_Вводные'!$B$239="Да",MeanMinAge08+'19_Расчет_аналитики'!AV3595*SUMIF(ThresholdAge08,"&lt;"&amp;'19_Расчет_аналитики'!AV3595,WeightedRevAge08)-SUMIF(ThresholdAge08,"&lt;"&amp;'19_Расчет_аналитики'!AV3595,WeightedMinAge08),MAX(CapacityAge08*'01_Вводные'!$B$218*'19_Расчет_аналитики'!AV3595,MeanMinAge08))),0)</f>
        <v/>
      </c>
      <c r="AW3507">
        <f>IF('01_Вводные'!$B$234="Да",IF(OR('19_Расчет_аналитики'!AW3479=0,8&lt;='01_Вводные'!$B$297),0,'19_Расчет_аналитики'!AW3479*IF('01_Вводные'!$B$239="Да",MeanMinAge08+'19_Расчет_аналитики'!AW3595*SUMIF(ThresholdAge08,"&lt;"&amp;'19_Расчет_аналитики'!AW3595,WeightedRevAge08)-SUMIF(ThresholdAge08,"&lt;"&amp;'19_Расчет_аналитики'!AW3595,WeightedMinAge08),MAX(CapacityAge08*'01_Вводные'!$B$218*'19_Расчет_аналитики'!AW3595,MeanMinAge08))),0)</f>
        <v/>
      </c>
      <c r="AX3507">
        <f>IF('01_Вводные'!$B$234="Да",IF(OR('19_Расчет_аналитики'!AX3479=0,8&lt;='01_Вводные'!$B$297),0,'19_Расчет_аналитики'!AX3479*IF('01_Вводные'!$B$239="Да",MeanMinAge08+'19_Расчет_аналитики'!AX3595*SUMIF(ThresholdAge08,"&lt;"&amp;'19_Расчет_аналитики'!AX3595,WeightedRevAge08)-SUMIF(ThresholdAge08,"&lt;"&amp;'19_Расчет_аналитики'!AX3595,WeightedMinAge08),MAX(CapacityAge08*'01_Вводные'!$B$218*'19_Расчет_аналитики'!AX3595,MeanMinAge08))),0)</f>
        <v/>
      </c>
      <c r="AY3507">
        <f>IF('01_Вводные'!$B$234="Да",IF(OR('19_Расчет_аналитики'!AY3479=0,8&lt;='01_Вводные'!$B$297),0,'19_Расчет_аналитики'!AY3479*IF('01_Вводные'!$B$239="Да",MeanMinAge08+'19_Расчет_аналитики'!AY3595*SUMIF(ThresholdAge08,"&lt;"&amp;'19_Расчет_аналитики'!AY3595,WeightedRevAge08)-SUMIF(ThresholdAge08,"&lt;"&amp;'19_Расчет_аналитики'!AY3595,WeightedMinAge08),MAX(CapacityAge08*'01_Вводные'!$B$218*'19_Расчет_аналитики'!AY3595,MeanMinAge08))),0)</f>
        <v/>
      </c>
      <c r="AZ3507">
        <f>IF('01_Вводные'!$B$234="Да",IF(OR('19_Расчет_аналитики'!AZ3479=0,8&lt;='01_Вводные'!$B$297),0,'19_Расчет_аналитики'!AZ3479*IF('01_Вводные'!$B$239="Да",MeanMinAge08+'19_Расчет_аналитики'!AZ3595*SUMIF(ThresholdAge08,"&lt;"&amp;'19_Расчет_аналитики'!AZ3595,WeightedRevAge08)-SUMIF(ThresholdAge08,"&lt;"&amp;'19_Расчет_аналитики'!AZ3595,WeightedMinAge08),MAX(CapacityAge08*'01_Вводные'!$B$218*'19_Расчет_аналитики'!AZ3595,MeanMinAge08))),0)</f>
        <v/>
      </c>
      <c r="BA3507">
        <f>IF('01_Вводные'!$B$234="Да",IF(OR('19_Расчет_аналитики'!BA3479=0,8&lt;='01_Вводные'!$B$297),0,'19_Расчет_аналитики'!BA3479*IF('01_Вводные'!$B$239="Да",MeanMinAge08+'19_Расчет_аналитики'!BA3595*SUMIF(ThresholdAge08,"&lt;"&amp;'19_Расчет_аналитики'!BA3595,WeightedRevAge08)-SUMIF(ThresholdAge08,"&lt;"&amp;'19_Расчет_аналитики'!BA3595,WeightedMinAge08),MAX(CapacityAge08*'01_Вводные'!$B$218*'19_Расчет_аналитики'!BA3595,MeanMinAge08))),0)</f>
        <v/>
      </c>
      <c r="BB3507">
        <f>IF('01_Вводные'!$B$234="Да",IF(OR('19_Расчет_аналитики'!BB3479=0,8&lt;='01_Вводные'!$B$297),0,'19_Расчет_аналитики'!BB3479*IF('01_Вводные'!$B$239="Да",MeanMinAge08+'19_Расчет_аналитики'!BB3595*SUMIF(ThresholdAge08,"&lt;"&amp;'19_Расчет_аналитики'!BB3595,WeightedRevAge08)-SUMIF(ThresholdAge08,"&lt;"&amp;'19_Расчет_аналитики'!BB3595,WeightedMinAge08),MAX(CapacityAge08*'01_Вводные'!$B$218*'19_Расчет_аналитики'!BB3595,MeanMinAge08))),0)</f>
        <v/>
      </c>
      <c r="BC3507">
        <f>IF('01_Вводные'!$B$234="Да",IF(OR('19_Расчет_аналитики'!BC3479=0,8&lt;='01_Вводные'!$B$297),0,'19_Расчет_аналитики'!BC3479*IF('01_Вводные'!$B$239="Да",MeanMinAge08+'19_Расчет_аналитики'!BC3595*SUMIF(ThresholdAge08,"&lt;"&amp;'19_Расчет_аналитики'!BC3595,WeightedRevAge08)-SUMIF(ThresholdAge08,"&lt;"&amp;'19_Расчет_аналитики'!BC3595,WeightedMinAge08),MAX(CapacityAge08*'01_Вводные'!$B$218*'19_Расчет_аналитики'!BC3595,MeanMinAge08))),0)</f>
        <v/>
      </c>
      <c r="BD3507">
        <f>IF('01_Вводные'!$B$234="Да",IF(OR('19_Расчет_аналитики'!BD3479=0,8&lt;='01_Вводные'!$B$297),0,'19_Расчет_аналитики'!BD3479*IF('01_Вводные'!$B$239="Да",MeanMinAge08+'19_Расчет_аналитики'!BD3595*SUMIF(ThresholdAge08,"&lt;"&amp;'19_Расчет_аналитики'!BD3595,WeightedRevAge08)-SUMIF(ThresholdAge08,"&lt;"&amp;'19_Расчет_аналитики'!BD3595,WeightedMinAge08),MAX(CapacityAge08*'01_Вводные'!$B$218*'19_Расчет_аналитики'!BD3595,MeanMinAge08))),0)</f>
        <v/>
      </c>
      <c r="BE3507">
        <f>IF('01_Вводные'!$B$234="Да",IF(OR('19_Расчет_аналитики'!BE3479=0,8&lt;='01_Вводные'!$B$297),0,'19_Расчет_аналитики'!BE3479*IF('01_Вводные'!$B$239="Да",MeanMinAge08+'19_Расчет_аналитики'!BE3595*SUMIF(ThresholdAge08,"&lt;"&amp;'19_Расчет_аналитики'!BE3595,WeightedRevAge08)-SUMIF(ThresholdAge08,"&lt;"&amp;'19_Расчет_аналитики'!BE3595,WeightedMinAge08),MAX(CapacityAge08*'01_Вводные'!$B$218*'19_Расчет_аналитики'!BE3595,MeanMinAge08))),0)</f>
        <v/>
      </c>
      <c r="BF3507">
        <f>IF('01_Вводные'!$B$234="Да",IF(OR('19_Расчет_аналитики'!BF3479=0,8&lt;='01_Вводные'!$B$297),0,'19_Расчет_аналитики'!BF3479*IF('01_Вводные'!$B$239="Да",MeanMinAge08+'19_Расчет_аналитики'!BF3595*SUMIF(ThresholdAge08,"&lt;"&amp;'19_Расчет_аналитики'!BF3595,WeightedRevAge08)-SUMIF(ThresholdAge08,"&lt;"&amp;'19_Расчет_аналитики'!BF3595,WeightedMinAge08),MAX(CapacityAge08*'01_Вводные'!$B$218*'19_Расчет_аналитики'!BF3595,MeanMinAge08))),0)</f>
        <v/>
      </c>
      <c r="BG3507">
        <f>IF('01_Вводные'!$B$234="Да",IF(OR('19_Расчет_аналитики'!BG3479=0,8&lt;='01_Вводные'!$B$297),0,'19_Расчет_аналитики'!BG3479*IF('01_Вводные'!$B$239="Да",MeanMinAge08+'19_Расчет_аналитики'!BG3595*SUMIF(ThresholdAge08,"&lt;"&amp;'19_Расчет_аналитики'!BG3595,WeightedRevAge08)-SUMIF(ThresholdAge08,"&lt;"&amp;'19_Расчет_аналитики'!BG3595,WeightedMinAge08),MAX(CapacityAge08*'01_Вводные'!$B$218*'19_Расчет_аналитики'!BG3595,MeanMinAge08))),0)</f>
        <v/>
      </c>
      <c r="BH3507">
        <f>IF('01_Вводные'!$B$234="Да",IF(OR('19_Расчет_аналитики'!BH3479=0,8&lt;='01_Вводные'!$B$297),0,'19_Расчет_аналитики'!BH3479*IF('01_Вводные'!$B$239="Да",MeanMinAge08+'19_Расчет_аналитики'!BH3595*SUMIF(ThresholdAge08,"&lt;"&amp;'19_Расчет_аналитики'!BH3595,WeightedRevAge08)-SUMIF(ThresholdAge08,"&lt;"&amp;'19_Расчет_аналитики'!BH3595,WeightedMinAge08),MAX(CapacityAge08*'01_Вводные'!$B$218*'19_Расчет_аналитики'!BH3595,MeanMinAge08))),0)</f>
        <v/>
      </c>
      <c r="BI3507">
        <f>IF('01_Вводные'!$B$234="Да",IF(OR('19_Расчет_аналитики'!BI3479=0,8&lt;='01_Вводные'!$B$297),0,'19_Расчет_аналитики'!BI3479*IF('01_Вводные'!$B$239="Да",MeanMinAge08+'19_Расчет_аналитики'!BI3595*SUMIF(ThresholdAge08,"&lt;"&amp;'19_Расчет_аналитики'!BI3595,WeightedRevAge08)-SUMIF(ThresholdAge08,"&lt;"&amp;'19_Расчет_аналитики'!BI3595,WeightedMinAge08),MAX(CapacityAge08*'01_Вводные'!$B$218*'19_Расчет_аналитики'!BI3595,MeanMinAge08))),0)</f>
        <v/>
      </c>
      <c r="BJ3507">
        <f>IF('01_Вводные'!$B$234="Да",IF(OR('19_Расчет_аналитики'!BJ3479=0,8&lt;='01_Вводные'!$B$297),0,'19_Расчет_аналитики'!BJ3479*IF('01_Вводные'!$B$239="Да",MeanMinAge08+'19_Расчет_аналитики'!BJ3595*SUMIF(ThresholdAge08,"&lt;"&amp;'19_Расчет_аналитики'!BJ3595,WeightedRevAge08)-SUMIF(ThresholdAge08,"&lt;"&amp;'19_Расчет_аналитики'!BJ3595,WeightedMinAge08),MAX(CapacityAge08*'01_Вводные'!$B$218*'19_Расчет_аналитики'!BJ3595,MeanMinAge08))),0)</f>
        <v/>
      </c>
      <c r="BK3507">
        <f>IF('01_Вводные'!$B$234="Да",IF(OR('19_Расчет_аналитики'!BK3479=0,8&lt;='01_Вводные'!$B$297),0,'19_Расчет_аналитики'!BK3479*IF('01_Вводные'!$B$239="Да",MeanMinAge08+'19_Расчет_аналитики'!BK3595*SUMIF(ThresholdAge08,"&lt;"&amp;'19_Расчет_аналитики'!BK3595,WeightedRevAge08)-SUMIF(ThresholdAge08,"&lt;"&amp;'19_Расчет_аналитики'!BK3595,WeightedMinAge08),MAX(CapacityAge08*'01_Вводные'!$B$218*'19_Расчет_аналитики'!BK3595,MeanMinAge08))),0)</f>
        <v/>
      </c>
      <c r="BL3507">
        <f>IF('01_Вводные'!$B$234="Да",IF(OR('19_Расчет_аналитики'!BL3479=0,8&lt;='01_Вводные'!$B$297),0,'19_Расчет_аналитики'!BL3479*IF('01_Вводные'!$B$239="Да",MeanMinAge08+'19_Расчет_аналитики'!BL3595*SUMIF(ThresholdAge08,"&lt;"&amp;'19_Расчет_аналитики'!BL3595,WeightedRevAge08)-SUMIF(ThresholdAge08,"&lt;"&amp;'19_Расчет_аналитики'!BL3595,WeightedMinAge08),MAX(CapacityAge08*'01_Вводные'!$B$218*'19_Расчет_аналитики'!BL3595,MeanMinAge08))),0)</f>
        <v/>
      </c>
      <c r="BM3507">
        <f>IF('01_Вводные'!$B$234="Да",IF(OR('19_Расчет_аналитики'!BM3479=0,8&lt;='01_Вводные'!$B$297),0,'19_Расчет_аналитики'!BM3479*IF('01_Вводные'!$B$239="Да",MeanMinAge08+'19_Расчет_аналитики'!BM3595*SUMIF(ThresholdAge08,"&lt;"&amp;'19_Расчет_аналитики'!BM3595,WeightedRevAge08)-SUMIF(ThresholdAge08,"&lt;"&amp;'19_Расчет_аналитики'!BM3595,WeightedMinAge08),MAX(CapacityAge08*'01_Вводные'!$B$218*'19_Расчет_аналитики'!BM3595,MeanMinAge08))),0)</f>
        <v/>
      </c>
      <c r="BN3507">
        <f>IF('01_Вводные'!$B$234="Да",IF(OR('19_Расчет_аналитики'!BN3479=0,8&lt;='01_Вводные'!$B$297),0,'19_Расчет_аналитики'!BN3479*IF('01_Вводные'!$B$239="Да",MeanMinAge08+'19_Расчет_аналитики'!BN3595*SUMIF(ThresholdAge08,"&lt;"&amp;'19_Расчет_аналитики'!BN3595,WeightedRevAge08)-SUMIF(ThresholdAge08,"&lt;"&amp;'19_Расчет_аналитики'!BN3595,WeightedMinAge08),MAX(CapacityAge08*'01_Вводные'!$B$218*'19_Расчет_аналитики'!BN3595,MeanMinAge08))),0)</f>
        <v/>
      </c>
      <c r="BO3507">
        <f>IF('01_Вводные'!$B$234="Да",IF(OR('19_Расчет_аналитики'!BO3479=0,8&lt;='01_Вводные'!$B$297),0,'19_Расчет_аналитики'!BO3479*IF('01_Вводные'!$B$239="Да",MeanMinAge08+'19_Расчет_аналитики'!BO3595*SUMIF(ThresholdAge08,"&lt;"&amp;'19_Расчет_аналитики'!BO3595,WeightedRevAge08)-SUMIF(ThresholdAge08,"&lt;"&amp;'19_Расчет_аналитики'!BO3595,WeightedMinAge08),MAX(CapacityAge08*'01_Вводные'!$B$218*'19_Расчет_аналитики'!BO3595,MeanMinAge08))),0)</f>
        <v/>
      </c>
    </row>
    <row r="3508">
      <c r="B3508">
        <f>IF('01_Вводные'!$B$234="Да",IF(OR('06_Сеть_и_дети'!B89=0,9&lt;='01_Вводные'!$B$297),0,'06_Сеть_и_дети'!B89*IF('01_Вводные'!$B$239="Да",MeanMinAge09+'19_Расчет_аналитики'!B3595*SUMIF(ThresholdAge09,"&lt;"&amp;'19_Расчет_аналитики'!B3595,WeightedRevAge09)-SUMIF(ThresholdAge09,"&lt;"&amp;'19_Расчет_аналитики'!B3595,WeightedMinAge09),MAX(CapacityAge09*'01_Вводные'!$B$218*'19_Расчет_аналитики'!B3595,MeanMinAge09))),0)</f>
        <v/>
      </c>
      <c r="C3508">
        <f>IF('01_Вводные'!$B$234="Да",IF(OR('06_Сеть_и_дети'!C89=0,9&lt;='01_Вводные'!$B$297),0,'06_Сеть_и_дети'!C89*IF('01_Вводные'!$B$239="Да",MeanMinAge09+'19_Расчет_аналитики'!C3595*SUMIF(ThresholdAge09,"&lt;"&amp;'19_Расчет_аналитики'!C3595,WeightedRevAge09)-SUMIF(ThresholdAge09,"&lt;"&amp;'19_Расчет_аналитики'!C3595,WeightedMinAge09),MAX(CapacityAge09*'01_Вводные'!$B$218*'19_Расчет_аналитики'!C3595,MeanMinAge09))),0)</f>
        <v/>
      </c>
      <c r="D3508">
        <f>IF('01_Вводные'!$B$234="Да",IF(OR('06_Сеть_и_дети'!D89=0,9&lt;='01_Вводные'!$B$297),0,'06_Сеть_и_дети'!D89*IF('01_Вводные'!$B$239="Да",MeanMinAge09+'19_Расчет_аналитики'!D3595*SUMIF(ThresholdAge09,"&lt;"&amp;'19_Расчет_аналитики'!D3595,WeightedRevAge09)-SUMIF(ThresholdAge09,"&lt;"&amp;'19_Расчет_аналитики'!D3595,WeightedMinAge09),MAX(CapacityAge09*'01_Вводные'!$B$218*'19_Расчет_аналитики'!D3595,MeanMinAge09))),0)</f>
        <v/>
      </c>
      <c r="E3508">
        <f>IF('01_Вводные'!$B$234="Да",IF(OR('06_Сеть_и_дети'!E89=0,9&lt;='01_Вводные'!$B$297),0,'06_Сеть_и_дети'!E89*IF('01_Вводные'!$B$239="Да",MeanMinAge09+'19_Расчет_аналитики'!E3595*SUMIF(ThresholdAge09,"&lt;"&amp;'19_Расчет_аналитики'!E3595,WeightedRevAge09)-SUMIF(ThresholdAge09,"&lt;"&amp;'19_Расчет_аналитики'!E3595,WeightedMinAge09),MAX(CapacityAge09*'01_Вводные'!$B$218*'19_Расчет_аналитики'!E3595,MeanMinAge09))),0)</f>
        <v/>
      </c>
      <c r="F3508">
        <f>IF('01_Вводные'!$B$234="Да",IF(OR('06_Сеть_и_дети'!F89=0,9&lt;='01_Вводные'!$B$297),0,'06_Сеть_и_дети'!F89*IF('01_Вводные'!$B$239="Да",MeanMinAge09+'19_Расчет_аналитики'!F3595*SUMIF(ThresholdAge09,"&lt;"&amp;'19_Расчет_аналитики'!F3595,WeightedRevAge09)-SUMIF(ThresholdAge09,"&lt;"&amp;'19_Расчет_аналитики'!F3595,WeightedMinAge09),MAX(CapacityAge09*'01_Вводные'!$B$218*'19_Расчет_аналитики'!F3595,MeanMinAge09))),0)</f>
        <v/>
      </c>
      <c r="G3508">
        <f>IF('01_Вводные'!$B$234="Да",IF(OR('06_Сеть_и_дети'!G89=0,9&lt;='01_Вводные'!$B$297),0,'06_Сеть_и_дети'!G89*IF('01_Вводные'!$B$239="Да",MeanMinAge09+'19_Расчет_аналитики'!G3595*SUMIF(ThresholdAge09,"&lt;"&amp;'19_Расчет_аналитики'!G3595,WeightedRevAge09)-SUMIF(ThresholdAge09,"&lt;"&amp;'19_Расчет_аналитики'!G3595,WeightedMinAge09),MAX(CapacityAge09*'01_Вводные'!$B$218*'19_Расчет_аналитики'!G3595,MeanMinAge09))),0)</f>
        <v/>
      </c>
      <c r="H3508">
        <f>IF('01_Вводные'!$B$234="Да",IF(OR('06_Сеть_и_дети'!H89=0,9&lt;='01_Вводные'!$B$297),0,'06_Сеть_и_дети'!H89*IF('01_Вводные'!$B$239="Да",MeanMinAge09+'19_Расчет_аналитики'!H3595*SUMIF(ThresholdAge09,"&lt;"&amp;'19_Расчет_аналитики'!H3595,WeightedRevAge09)-SUMIF(ThresholdAge09,"&lt;"&amp;'19_Расчет_аналитики'!H3595,WeightedMinAge09),MAX(CapacityAge09*'01_Вводные'!$B$218*'19_Расчет_аналитики'!H3595,MeanMinAge09))),0)</f>
        <v/>
      </c>
      <c r="I3508">
        <f>IF('01_Вводные'!$B$234="Да",IF(OR('06_Сеть_и_дети'!I89=0,9&lt;='01_Вводные'!$B$297),0,'06_Сеть_и_дети'!I89*IF('01_Вводные'!$B$239="Да",MeanMinAge09+'19_Расчет_аналитики'!I3595*SUMIF(ThresholdAge09,"&lt;"&amp;'19_Расчет_аналитики'!I3595,WeightedRevAge09)-SUMIF(ThresholdAge09,"&lt;"&amp;'19_Расчет_аналитики'!I3595,WeightedMinAge09),MAX(CapacityAge09*'01_Вводные'!$B$218*'19_Расчет_аналитики'!I3595,MeanMinAge09))),0)</f>
        <v/>
      </c>
      <c r="J3508">
        <f>IF('01_Вводные'!$B$234="Да",IF(OR('19_Расчет_аналитики'!J3480=0,9&lt;='01_Вводные'!$B$297),0,'19_Расчет_аналитики'!J3480*IF('01_Вводные'!$B$239="Да",MeanMinAge09+'19_Расчет_аналитики'!J3595*SUMIF(ThresholdAge09,"&lt;"&amp;'19_Расчет_аналитики'!J3595,WeightedRevAge09)-SUMIF(ThresholdAge09,"&lt;"&amp;'19_Расчет_аналитики'!J3595,WeightedMinAge09),MAX(CapacityAge09*'01_Вводные'!$B$218*'19_Расчет_аналитики'!J3595,MeanMinAge09))),0)</f>
        <v/>
      </c>
      <c r="K3508">
        <f>IF('01_Вводные'!$B$234="Да",IF(OR('19_Расчет_аналитики'!K3480=0,9&lt;='01_Вводные'!$B$297),0,'19_Расчет_аналитики'!K3480*IF('01_Вводные'!$B$239="Да",MeanMinAge09+'19_Расчет_аналитики'!K3595*SUMIF(ThresholdAge09,"&lt;"&amp;'19_Расчет_аналитики'!K3595,WeightedRevAge09)-SUMIF(ThresholdAge09,"&lt;"&amp;'19_Расчет_аналитики'!K3595,WeightedMinAge09),MAX(CapacityAge09*'01_Вводные'!$B$218*'19_Расчет_аналитики'!K3595,MeanMinAge09))),0)</f>
        <v/>
      </c>
      <c r="L3508">
        <f>IF('01_Вводные'!$B$234="Да",IF(OR('19_Расчет_аналитики'!L3480=0,9&lt;='01_Вводные'!$B$297),0,'19_Расчет_аналитики'!L3480*IF('01_Вводные'!$B$239="Да",MeanMinAge09+'19_Расчет_аналитики'!L3595*SUMIF(ThresholdAge09,"&lt;"&amp;'19_Расчет_аналитики'!L3595,WeightedRevAge09)-SUMIF(ThresholdAge09,"&lt;"&amp;'19_Расчет_аналитики'!L3595,WeightedMinAge09),MAX(CapacityAge09*'01_Вводные'!$B$218*'19_Расчет_аналитики'!L3595,MeanMinAge09))),0)</f>
        <v/>
      </c>
      <c r="M3508">
        <f>IF('01_Вводные'!$B$234="Да",IF(OR('19_Расчет_аналитики'!M3480=0,9&lt;='01_Вводные'!$B$297),0,'19_Расчет_аналитики'!M3480*IF('01_Вводные'!$B$239="Да",MeanMinAge09+'19_Расчет_аналитики'!M3595*SUMIF(ThresholdAge09,"&lt;"&amp;'19_Расчет_аналитики'!M3595,WeightedRevAge09)-SUMIF(ThresholdAge09,"&lt;"&amp;'19_Расчет_аналитики'!M3595,WeightedMinAge09),MAX(CapacityAge09*'01_Вводные'!$B$218*'19_Расчет_аналитики'!M3595,MeanMinAge09))),0)</f>
        <v/>
      </c>
      <c r="N3508">
        <f>IF('01_Вводные'!$B$234="Да",IF(OR('19_Расчет_аналитики'!N3480=0,9&lt;='01_Вводные'!$B$297),0,'19_Расчет_аналитики'!N3480*IF('01_Вводные'!$B$239="Да",MeanMinAge09+'19_Расчет_аналитики'!N3595*SUMIF(ThresholdAge09,"&lt;"&amp;'19_Расчет_аналитики'!N3595,WeightedRevAge09)-SUMIF(ThresholdAge09,"&lt;"&amp;'19_Расчет_аналитики'!N3595,WeightedMinAge09),MAX(CapacityAge09*'01_Вводные'!$B$218*'19_Расчет_аналитики'!N3595,MeanMinAge09))),0)</f>
        <v/>
      </c>
      <c r="O3508">
        <f>IF('01_Вводные'!$B$234="Да",IF(OR('19_Расчет_аналитики'!O3480=0,9&lt;='01_Вводные'!$B$297),0,'19_Расчет_аналитики'!O3480*IF('01_Вводные'!$B$239="Да",MeanMinAge09+'19_Расчет_аналитики'!O3595*SUMIF(ThresholdAge09,"&lt;"&amp;'19_Расчет_аналитики'!O3595,WeightedRevAge09)-SUMIF(ThresholdAge09,"&lt;"&amp;'19_Расчет_аналитики'!O3595,WeightedMinAge09),MAX(CapacityAge09*'01_Вводные'!$B$218*'19_Расчет_аналитики'!O3595,MeanMinAge09))),0)</f>
        <v/>
      </c>
      <c r="P3508">
        <f>IF('01_Вводные'!$B$234="Да",IF(OR('19_Расчет_аналитики'!P3480=0,9&lt;='01_Вводные'!$B$297),0,'19_Расчет_аналитики'!P3480*IF('01_Вводные'!$B$239="Да",MeanMinAge09+'19_Расчет_аналитики'!P3595*SUMIF(ThresholdAge09,"&lt;"&amp;'19_Расчет_аналитики'!P3595,WeightedRevAge09)-SUMIF(ThresholdAge09,"&lt;"&amp;'19_Расчет_аналитики'!P3595,WeightedMinAge09),MAX(CapacityAge09*'01_Вводные'!$B$218*'19_Расчет_аналитики'!P3595,MeanMinAge09))),0)</f>
        <v/>
      </c>
      <c r="Q3508">
        <f>IF('01_Вводные'!$B$234="Да",IF(OR('19_Расчет_аналитики'!Q3480=0,9&lt;='01_Вводные'!$B$297),0,'19_Расчет_аналитики'!Q3480*IF('01_Вводные'!$B$239="Да",MeanMinAge09+'19_Расчет_аналитики'!Q3595*SUMIF(ThresholdAge09,"&lt;"&amp;'19_Расчет_аналитики'!Q3595,WeightedRevAge09)-SUMIF(ThresholdAge09,"&lt;"&amp;'19_Расчет_аналитики'!Q3595,WeightedMinAge09),MAX(CapacityAge09*'01_Вводные'!$B$218*'19_Расчет_аналитики'!Q3595,MeanMinAge09))),0)</f>
        <v/>
      </c>
      <c r="R3508">
        <f>IF('01_Вводные'!$B$234="Да",IF(OR('19_Расчет_аналитики'!R3480=0,9&lt;='01_Вводные'!$B$297),0,'19_Расчет_аналитики'!R3480*IF('01_Вводные'!$B$239="Да",MeanMinAge09+'19_Расчет_аналитики'!R3595*SUMIF(ThresholdAge09,"&lt;"&amp;'19_Расчет_аналитики'!R3595,WeightedRevAge09)-SUMIF(ThresholdAge09,"&lt;"&amp;'19_Расчет_аналитики'!R3595,WeightedMinAge09),MAX(CapacityAge09*'01_Вводные'!$B$218*'19_Расчет_аналитики'!R3595,MeanMinAge09))),0)</f>
        <v/>
      </c>
      <c r="S3508">
        <f>IF('01_Вводные'!$B$234="Да",IF(OR('19_Расчет_аналитики'!S3480=0,9&lt;='01_Вводные'!$B$297),0,'19_Расчет_аналитики'!S3480*IF('01_Вводные'!$B$239="Да",MeanMinAge09+'19_Расчет_аналитики'!S3595*SUMIF(ThresholdAge09,"&lt;"&amp;'19_Расчет_аналитики'!S3595,WeightedRevAge09)-SUMIF(ThresholdAge09,"&lt;"&amp;'19_Расчет_аналитики'!S3595,WeightedMinAge09),MAX(CapacityAge09*'01_Вводные'!$B$218*'19_Расчет_аналитики'!S3595,MeanMinAge09))),0)</f>
        <v/>
      </c>
      <c r="T3508">
        <f>IF('01_Вводные'!$B$234="Да",IF(OR('19_Расчет_аналитики'!T3480=0,9&lt;='01_Вводные'!$B$297),0,'19_Расчет_аналитики'!T3480*IF('01_Вводные'!$B$239="Да",MeanMinAge09+'19_Расчет_аналитики'!T3595*SUMIF(ThresholdAge09,"&lt;"&amp;'19_Расчет_аналитики'!T3595,WeightedRevAge09)-SUMIF(ThresholdAge09,"&lt;"&amp;'19_Расчет_аналитики'!T3595,WeightedMinAge09),MAX(CapacityAge09*'01_Вводные'!$B$218*'19_Расчет_аналитики'!T3595,MeanMinAge09))),0)</f>
        <v/>
      </c>
      <c r="U3508">
        <f>IF('01_Вводные'!$B$234="Да",IF(OR('19_Расчет_аналитики'!U3480=0,9&lt;='01_Вводные'!$B$297),0,'19_Расчет_аналитики'!U3480*IF('01_Вводные'!$B$239="Да",MeanMinAge09+'19_Расчет_аналитики'!U3595*SUMIF(ThresholdAge09,"&lt;"&amp;'19_Расчет_аналитики'!U3595,WeightedRevAge09)-SUMIF(ThresholdAge09,"&lt;"&amp;'19_Расчет_аналитики'!U3595,WeightedMinAge09),MAX(CapacityAge09*'01_Вводные'!$B$218*'19_Расчет_аналитики'!U3595,MeanMinAge09))),0)</f>
        <v/>
      </c>
      <c r="V3508">
        <f>IF('01_Вводные'!$B$234="Да",IF(OR('19_Расчет_аналитики'!V3480=0,9&lt;='01_Вводные'!$B$297),0,'19_Расчет_аналитики'!V3480*IF('01_Вводные'!$B$239="Да",MeanMinAge09+'19_Расчет_аналитики'!V3595*SUMIF(ThresholdAge09,"&lt;"&amp;'19_Расчет_аналитики'!V3595,WeightedRevAge09)-SUMIF(ThresholdAge09,"&lt;"&amp;'19_Расчет_аналитики'!V3595,WeightedMinAge09),MAX(CapacityAge09*'01_Вводные'!$B$218*'19_Расчет_аналитики'!V3595,MeanMinAge09))),0)</f>
        <v/>
      </c>
      <c r="W3508">
        <f>IF('01_Вводные'!$B$234="Да",IF(OR('19_Расчет_аналитики'!W3480=0,9&lt;='01_Вводные'!$B$297),0,'19_Расчет_аналитики'!W3480*IF('01_Вводные'!$B$239="Да",MeanMinAge09+'19_Расчет_аналитики'!W3595*SUMIF(ThresholdAge09,"&lt;"&amp;'19_Расчет_аналитики'!W3595,WeightedRevAge09)-SUMIF(ThresholdAge09,"&lt;"&amp;'19_Расчет_аналитики'!W3595,WeightedMinAge09),MAX(CapacityAge09*'01_Вводные'!$B$218*'19_Расчет_аналитики'!W3595,MeanMinAge09))),0)</f>
        <v/>
      </c>
      <c r="X3508">
        <f>IF('01_Вводные'!$B$234="Да",IF(OR('19_Расчет_аналитики'!X3480=0,9&lt;='01_Вводные'!$B$297),0,'19_Расчет_аналитики'!X3480*IF('01_Вводные'!$B$239="Да",MeanMinAge09+'19_Расчет_аналитики'!X3595*SUMIF(ThresholdAge09,"&lt;"&amp;'19_Расчет_аналитики'!X3595,WeightedRevAge09)-SUMIF(ThresholdAge09,"&lt;"&amp;'19_Расчет_аналитики'!X3595,WeightedMinAge09),MAX(CapacityAge09*'01_Вводные'!$B$218*'19_Расчет_аналитики'!X3595,MeanMinAge09))),0)</f>
        <v/>
      </c>
      <c r="Y3508">
        <f>IF('01_Вводные'!$B$234="Да",IF(OR('19_Расчет_аналитики'!Y3480=0,9&lt;='01_Вводные'!$B$297),0,'19_Расчет_аналитики'!Y3480*IF('01_Вводные'!$B$239="Да",MeanMinAge09+'19_Расчет_аналитики'!Y3595*SUMIF(ThresholdAge09,"&lt;"&amp;'19_Расчет_аналитики'!Y3595,WeightedRevAge09)-SUMIF(ThresholdAge09,"&lt;"&amp;'19_Расчет_аналитики'!Y3595,WeightedMinAge09),MAX(CapacityAge09*'01_Вводные'!$B$218*'19_Расчет_аналитики'!Y3595,MeanMinAge09))),0)</f>
        <v/>
      </c>
      <c r="Z3508">
        <f>IF('01_Вводные'!$B$234="Да",IF(OR('19_Расчет_аналитики'!Z3480=0,9&lt;='01_Вводные'!$B$297),0,'19_Расчет_аналитики'!Z3480*IF('01_Вводные'!$B$239="Да",MeanMinAge09+'19_Расчет_аналитики'!Z3595*SUMIF(ThresholdAge09,"&lt;"&amp;'19_Расчет_аналитики'!Z3595,WeightedRevAge09)-SUMIF(ThresholdAge09,"&lt;"&amp;'19_Расчет_аналитики'!Z3595,WeightedMinAge09),MAX(CapacityAge09*'01_Вводные'!$B$218*'19_Расчет_аналитики'!Z3595,MeanMinAge09))),0)</f>
        <v/>
      </c>
      <c r="AA3508">
        <f>IF('01_Вводные'!$B$234="Да",IF(OR('19_Расчет_аналитики'!AA3480=0,9&lt;='01_Вводные'!$B$297),0,'19_Расчет_аналитики'!AA3480*IF('01_Вводные'!$B$239="Да",MeanMinAge09+'19_Расчет_аналитики'!AA3595*SUMIF(ThresholdAge09,"&lt;"&amp;'19_Расчет_аналитики'!AA3595,WeightedRevAge09)-SUMIF(ThresholdAge09,"&lt;"&amp;'19_Расчет_аналитики'!AA3595,WeightedMinAge09),MAX(CapacityAge09*'01_Вводные'!$B$218*'19_Расчет_аналитики'!AA3595,MeanMinAge09))),0)</f>
        <v/>
      </c>
      <c r="AB3508">
        <f>IF('01_Вводные'!$B$234="Да",IF(OR('19_Расчет_аналитики'!AB3480=0,9&lt;='01_Вводные'!$B$297),0,'19_Расчет_аналитики'!AB3480*IF('01_Вводные'!$B$239="Да",MeanMinAge09+'19_Расчет_аналитики'!AB3595*SUMIF(ThresholdAge09,"&lt;"&amp;'19_Расчет_аналитики'!AB3595,WeightedRevAge09)-SUMIF(ThresholdAge09,"&lt;"&amp;'19_Расчет_аналитики'!AB3595,WeightedMinAge09),MAX(CapacityAge09*'01_Вводные'!$B$218*'19_Расчет_аналитики'!AB3595,MeanMinAge09))),0)</f>
        <v/>
      </c>
      <c r="AC3508">
        <f>IF('01_Вводные'!$B$234="Да",IF(OR('19_Расчет_аналитики'!AC3480=0,9&lt;='01_Вводные'!$B$297),0,'19_Расчет_аналитики'!AC3480*IF('01_Вводные'!$B$239="Да",MeanMinAge09+'19_Расчет_аналитики'!AC3595*SUMIF(ThresholdAge09,"&lt;"&amp;'19_Расчет_аналитики'!AC3595,WeightedRevAge09)-SUMIF(ThresholdAge09,"&lt;"&amp;'19_Расчет_аналитики'!AC3595,WeightedMinAge09),MAX(CapacityAge09*'01_Вводные'!$B$218*'19_Расчет_аналитики'!AC3595,MeanMinAge09))),0)</f>
        <v/>
      </c>
      <c r="AD3508">
        <f>IF('01_Вводные'!$B$234="Да",IF(OR('19_Расчет_аналитики'!AD3480=0,9&lt;='01_Вводные'!$B$297),0,'19_Расчет_аналитики'!AD3480*IF('01_Вводные'!$B$239="Да",MeanMinAge09+'19_Расчет_аналитики'!AD3595*SUMIF(ThresholdAge09,"&lt;"&amp;'19_Расчет_аналитики'!AD3595,WeightedRevAge09)-SUMIF(ThresholdAge09,"&lt;"&amp;'19_Расчет_аналитики'!AD3595,WeightedMinAge09),MAX(CapacityAge09*'01_Вводные'!$B$218*'19_Расчет_аналитики'!AD3595,MeanMinAge09))),0)</f>
        <v/>
      </c>
      <c r="AE3508">
        <f>IF('01_Вводные'!$B$234="Да",IF(OR('19_Расчет_аналитики'!AE3480=0,9&lt;='01_Вводные'!$B$297),0,'19_Расчет_аналитики'!AE3480*IF('01_Вводные'!$B$239="Да",MeanMinAge09+'19_Расчет_аналитики'!AE3595*SUMIF(ThresholdAge09,"&lt;"&amp;'19_Расчет_аналитики'!AE3595,WeightedRevAge09)-SUMIF(ThresholdAge09,"&lt;"&amp;'19_Расчет_аналитики'!AE3595,WeightedMinAge09),MAX(CapacityAge09*'01_Вводные'!$B$218*'19_Расчет_аналитики'!AE3595,MeanMinAge09))),0)</f>
        <v/>
      </c>
      <c r="AF3508">
        <f>IF('01_Вводные'!$B$234="Да",IF(OR('19_Расчет_аналитики'!AF3480=0,9&lt;='01_Вводные'!$B$297),0,'19_Расчет_аналитики'!AF3480*IF('01_Вводные'!$B$239="Да",MeanMinAge09+'19_Расчет_аналитики'!AF3595*SUMIF(ThresholdAge09,"&lt;"&amp;'19_Расчет_аналитики'!AF3595,WeightedRevAge09)-SUMIF(ThresholdAge09,"&lt;"&amp;'19_Расчет_аналитики'!AF3595,WeightedMinAge09),MAX(CapacityAge09*'01_Вводные'!$B$218*'19_Расчет_аналитики'!AF3595,MeanMinAge09))),0)</f>
        <v/>
      </c>
      <c r="AG3508">
        <f>IF('01_Вводные'!$B$234="Да",IF(OR('19_Расчет_аналитики'!AG3480=0,9&lt;='01_Вводные'!$B$297),0,'19_Расчет_аналитики'!AG3480*IF('01_Вводные'!$B$239="Да",MeanMinAge09+'19_Расчет_аналитики'!AG3595*SUMIF(ThresholdAge09,"&lt;"&amp;'19_Расчет_аналитики'!AG3595,WeightedRevAge09)-SUMIF(ThresholdAge09,"&lt;"&amp;'19_Расчет_аналитики'!AG3595,WeightedMinAge09),MAX(CapacityAge09*'01_Вводные'!$B$218*'19_Расчет_аналитики'!AG3595,MeanMinAge09))),0)</f>
        <v/>
      </c>
      <c r="AH3508">
        <f>IF('01_Вводные'!$B$234="Да",IF(OR('19_Расчет_аналитики'!AH3480=0,9&lt;='01_Вводные'!$B$297),0,'19_Расчет_аналитики'!AH3480*IF('01_Вводные'!$B$239="Да",MeanMinAge09+'19_Расчет_аналитики'!AH3595*SUMIF(ThresholdAge09,"&lt;"&amp;'19_Расчет_аналитики'!AH3595,WeightedRevAge09)-SUMIF(ThresholdAge09,"&lt;"&amp;'19_Расчет_аналитики'!AH3595,WeightedMinAge09),MAX(CapacityAge09*'01_Вводные'!$B$218*'19_Расчет_аналитики'!AH3595,MeanMinAge09))),0)</f>
        <v/>
      </c>
      <c r="AI3508">
        <f>IF('01_Вводные'!$B$234="Да",IF(OR('19_Расчет_аналитики'!AI3480=0,9&lt;='01_Вводные'!$B$297),0,'19_Расчет_аналитики'!AI3480*IF('01_Вводные'!$B$239="Да",MeanMinAge09+'19_Расчет_аналитики'!AI3595*SUMIF(ThresholdAge09,"&lt;"&amp;'19_Расчет_аналитики'!AI3595,WeightedRevAge09)-SUMIF(ThresholdAge09,"&lt;"&amp;'19_Расчет_аналитики'!AI3595,WeightedMinAge09),MAX(CapacityAge09*'01_Вводные'!$B$218*'19_Расчет_аналитики'!AI3595,MeanMinAge09))),0)</f>
        <v/>
      </c>
      <c r="AJ3508">
        <f>IF('01_Вводные'!$B$234="Да",IF(OR('19_Расчет_аналитики'!AJ3480=0,9&lt;='01_Вводные'!$B$297),0,'19_Расчет_аналитики'!AJ3480*IF('01_Вводные'!$B$239="Да",MeanMinAge09+'19_Расчет_аналитики'!AJ3595*SUMIF(ThresholdAge09,"&lt;"&amp;'19_Расчет_аналитики'!AJ3595,WeightedRevAge09)-SUMIF(ThresholdAge09,"&lt;"&amp;'19_Расчет_аналитики'!AJ3595,WeightedMinAge09),MAX(CapacityAge09*'01_Вводные'!$B$218*'19_Расчет_аналитики'!AJ3595,MeanMinAge09))),0)</f>
        <v/>
      </c>
      <c r="AK3508">
        <f>IF('01_Вводные'!$B$234="Да",IF(OR('19_Расчет_аналитики'!AK3480=0,9&lt;='01_Вводные'!$B$297),0,'19_Расчет_аналитики'!AK3480*IF('01_Вводные'!$B$239="Да",MeanMinAge09+'19_Расчет_аналитики'!AK3595*SUMIF(ThresholdAge09,"&lt;"&amp;'19_Расчет_аналитики'!AK3595,WeightedRevAge09)-SUMIF(ThresholdAge09,"&lt;"&amp;'19_Расчет_аналитики'!AK3595,WeightedMinAge09),MAX(CapacityAge09*'01_Вводные'!$B$218*'19_Расчет_аналитики'!AK3595,MeanMinAge09))),0)</f>
        <v/>
      </c>
      <c r="AL3508">
        <f>IF('01_Вводные'!$B$234="Да",IF(OR('19_Расчет_аналитики'!AL3480=0,9&lt;='01_Вводные'!$B$297),0,'19_Расчет_аналитики'!AL3480*IF('01_Вводные'!$B$239="Да",MeanMinAge09+'19_Расчет_аналитики'!AL3595*SUMIF(ThresholdAge09,"&lt;"&amp;'19_Расчет_аналитики'!AL3595,WeightedRevAge09)-SUMIF(ThresholdAge09,"&lt;"&amp;'19_Расчет_аналитики'!AL3595,WeightedMinAge09),MAX(CapacityAge09*'01_Вводные'!$B$218*'19_Расчет_аналитики'!AL3595,MeanMinAge09))),0)</f>
        <v/>
      </c>
      <c r="AM3508">
        <f>IF('01_Вводные'!$B$234="Да",IF(OR('19_Расчет_аналитики'!AM3480=0,9&lt;='01_Вводные'!$B$297),0,'19_Расчет_аналитики'!AM3480*IF('01_Вводные'!$B$239="Да",MeanMinAge09+'19_Расчет_аналитики'!AM3595*SUMIF(ThresholdAge09,"&lt;"&amp;'19_Расчет_аналитики'!AM3595,WeightedRevAge09)-SUMIF(ThresholdAge09,"&lt;"&amp;'19_Расчет_аналитики'!AM3595,WeightedMinAge09),MAX(CapacityAge09*'01_Вводные'!$B$218*'19_Расчет_аналитики'!AM3595,MeanMinAge09))),0)</f>
        <v/>
      </c>
      <c r="AN3508">
        <f>IF('01_Вводные'!$B$234="Да",IF(OR('19_Расчет_аналитики'!AN3480=0,9&lt;='01_Вводные'!$B$297),0,'19_Расчет_аналитики'!AN3480*IF('01_Вводные'!$B$239="Да",MeanMinAge09+'19_Расчет_аналитики'!AN3595*SUMIF(ThresholdAge09,"&lt;"&amp;'19_Расчет_аналитики'!AN3595,WeightedRevAge09)-SUMIF(ThresholdAge09,"&lt;"&amp;'19_Расчет_аналитики'!AN3595,WeightedMinAge09),MAX(CapacityAge09*'01_Вводные'!$B$218*'19_Расчет_аналитики'!AN3595,MeanMinAge09))),0)</f>
        <v/>
      </c>
      <c r="AO3508">
        <f>IF('01_Вводные'!$B$234="Да",IF(OR('19_Расчет_аналитики'!AO3480=0,9&lt;='01_Вводные'!$B$297),0,'19_Расчет_аналитики'!AO3480*IF('01_Вводные'!$B$239="Да",MeanMinAge09+'19_Расчет_аналитики'!AO3595*SUMIF(ThresholdAge09,"&lt;"&amp;'19_Расчет_аналитики'!AO3595,WeightedRevAge09)-SUMIF(ThresholdAge09,"&lt;"&amp;'19_Расчет_аналитики'!AO3595,WeightedMinAge09),MAX(CapacityAge09*'01_Вводные'!$B$218*'19_Расчет_аналитики'!AO3595,MeanMinAge09))),0)</f>
        <v/>
      </c>
      <c r="AP3508">
        <f>IF('01_Вводные'!$B$234="Да",IF(OR('19_Расчет_аналитики'!AP3480=0,9&lt;='01_Вводные'!$B$297),0,'19_Расчет_аналитики'!AP3480*IF('01_Вводные'!$B$239="Да",MeanMinAge09+'19_Расчет_аналитики'!AP3595*SUMIF(ThresholdAge09,"&lt;"&amp;'19_Расчет_аналитики'!AP3595,WeightedRevAge09)-SUMIF(ThresholdAge09,"&lt;"&amp;'19_Расчет_аналитики'!AP3595,WeightedMinAge09),MAX(CapacityAge09*'01_Вводные'!$B$218*'19_Расчет_аналитики'!AP3595,MeanMinAge09))),0)</f>
        <v/>
      </c>
      <c r="AQ3508">
        <f>IF('01_Вводные'!$B$234="Да",IF(OR('19_Расчет_аналитики'!AQ3480=0,9&lt;='01_Вводные'!$B$297),0,'19_Расчет_аналитики'!AQ3480*IF('01_Вводные'!$B$239="Да",MeanMinAge09+'19_Расчет_аналитики'!AQ3595*SUMIF(ThresholdAge09,"&lt;"&amp;'19_Расчет_аналитики'!AQ3595,WeightedRevAge09)-SUMIF(ThresholdAge09,"&lt;"&amp;'19_Расчет_аналитики'!AQ3595,WeightedMinAge09),MAX(CapacityAge09*'01_Вводные'!$B$218*'19_Расчет_аналитики'!AQ3595,MeanMinAge09))),0)</f>
        <v/>
      </c>
      <c r="AR3508">
        <f>IF('01_Вводные'!$B$234="Да",IF(OR('19_Расчет_аналитики'!AR3480=0,9&lt;='01_Вводные'!$B$297),0,'19_Расчет_аналитики'!AR3480*IF('01_Вводные'!$B$239="Да",MeanMinAge09+'19_Расчет_аналитики'!AR3595*SUMIF(ThresholdAge09,"&lt;"&amp;'19_Расчет_аналитики'!AR3595,WeightedRevAge09)-SUMIF(ThresholdAge09,"&lt;"&amp;'19_Расчет_аналитики'!AR3595,WeightedMinAge09),MAX(CapacityAge09*'01_Вводные'!$B$218*'19_Расчет_аналитики'!AR3595,MeanMinAge09))),0)</f>
        <v/>
      </c>
      <c r="AS3508">
        <f>IF('01_Вводные'!$B$234="Да",IF(OR('19_Расчет_аналитики'!AS3480=0,9&lt;='01_Вводные'!$B$297),0,'19_Расчет_аналитики'!AS3480*IF('01_Вводные'!$B$239="Да",MeanMinAge09+'19_Расчет_аналитики'!AS3595*SUMIF(ThresholdAge09,"&lt;"&amp;'19_Расчет_аналитики'!AS3595,WeightedRevAge09)-SUMIF(ThresholdAge09,"&lt;"&amp;'19_Расчет_аналитики'!AS3595,WeightedMinAge09),MAX(CapacityAge09*'01_Вводные'!$B$218*'19_Расчет_аналитики'!AS3595,MeanMinAge09))),0)</f>
        <v/>
      </c>
      <c r="AT3508">
        <f>IF('01_Вводные'!$B$234="Да",IF(OR('19_Расчет_аналитики'!AT3480=0,9&lt;='01_Вводные'!$B$297),0,'19_Расчет_аналитики'!AT3480*IF('01_Вводные'!$B$239="Да",MeanMinAge09+'19_Расчет_аналитики'!AT3595*SUMIF(ThresholdAge09,"&lt;"&amp;'19_Расчет_аналитики'!AT3595,WeightedRevAge09)-SUMIF(ThresholdAge09,"&lt;"&amp;'19_Расчет_аналитики'!AT3595,WeightedMinAge09),MAX(CapacityAge09*'01_Вводные'!$B$218*'19_Расчет_аналитики'!AT3595,MeanMinAge09))),0)</f>
        <v/>
      </c>
      <c r="AU3508">
        <f>IF('01_Вводные'!$B$234="Да",IF(OR('19_Расчет_аналитики'!AU3480=0,9&lt;='01_Вводные'!$B$297),0,'19_Расчет_аналитики'!AU3480*IF('01_Вводные'!$B$239="Да",MeanMinAge09+'19_Расчет_аналитики'!AU3595*SUMIF(ThresholdAge09,"&lt;"&amp;'19_Расчет_аналитики'!AU3595,WeightedRevAge09)-SUMIF(ThresholdAge09,"&lt;"&amp;'19_Расчет_аналитики'!AU3595,WeightedMinAge09),MAX(CapacityAge09*'01_Вводные'!$B$218*'19_Расчет_аналитики'!AU3595,MeanMinAge09))),0)</f>
        <v/>
      </c>
      <c r="AV3508">
        <f>IF('01_Вводные'!$B$234="Да",IF(OR('19_Расчет_аналитики'!AV3480=0,9&lt;='01_Вводные'!$B$297),0,'19_Расчет_аналитики'!AV3480*IF('01_Вводные'!$B$239="Да",MeanMinAge09+'19_Расчет_аналитики'!AV3595*SUMIF(ThresholdAge09,"&lt;"&amp;'19_Расчет_аналитики'!AV3595,WeightedRevAge09)-SUMIF(ThresholdAge09,"&lt;"&amp;'19_Расчет_аналитики'!AV3595,WeightedMinAge09),MAX(CapacityAge09*'01_Вводные'!$B$218*'19_Расчет_аналитики'!AV3595,MeanMinAge09))),0)</f>
        <v/>
      </c>
      <c r="AW3508">
        <f>IF('01_Вводные'!$B$234="Да",IF(OR('19_Расчет_аналитики'!AW3480=0,9&lt;='01_Вводные'!$B$297),0,'19_Расчет_аналитики'!AW3480*IF('01_Вводные'!$B$239="Да",MeanMinAge09+'19_Расчет_аналитики'!AW3595*SUMIF(ThresholdAge09,"&lt;"&amp;'19_Расчет_аналитики'!AW3595,WeightedRevAge09)-SUMIF(ThresholdAge09,"&lt;"&amp;'19_Расчет_аналитики'!AW3595,WeightedMinAge09),MAX(CapacityAge09*'01_Вводные'!$B$218*'19_Расчет_аналитики'!AW3595,MeanMinAge09))),0)</f>
        <v/>
      </c>
      <c r="AX3508">
        <f>IF('01_Вводные'!$B$234="Да",IF(OR('19_Расчет_аналитики'!AX3480=0,9&lt;='01_Вводные'!$B$297),0,'19_Расчет_аналитики'!AX3480*IF('01_Вводные'!$B$239="Да",MeanMinAge09+'19_Расчет_аналитики'!AX3595*SUMIF(ThresholdAge09,"&lt;"&amp;'19_Расчет_аналитики'!AX3595,WeightedRevAge09)-SUMIF(ThresholdAge09,"&lt;"&amp;'19_Расчет_аналитики'!AX3595,WeightedMinAge09),MAX(CapacityAge09*'01_Вводные'!$B$218*'19_Расчет_аналитики'!AX3595,MeanMinAge09))),0)</f>
        <v/>
      </c>
      <c r="AY3508">
        <f>IF('01_Вводные'!$B$234="Да",IF(OR('19_Расчет_аналитики'!AY3480=0,9&lt;='01_Вводные'!$B$297),0,'19_Расчет_аналитики'!AY3480*IF('01_Вводные'!$B$239="Да",MeanMinAge09+'19_Расчет_аналитики'!AY3595*SUMIF(ThresholdAge09,"&lt;"&amp;'19_Расчет_аналитики'!AY3595,WeightedRevAge09)-SUMIF(ThresholdAge09,"&lt;"&amp;'19_Расчет_аналитики'!AY3595,WeightedMinAge09),MAX(CapacityAge09*'01_Вводные'!$B$218*'19_Расчет_аналитики'!AY3595,MeanMinAge09))),0)</f>
        <v/>
      </c>
      <c r="AZ3508">
        <f>IF('01_Вводные'!$B$234="Да",IF(OR('19_Расчет_аналитики'!AZ3480=0,9&lt;='01_Вводные'!$B$297),0,'19_Расчет_аналитики'!AZ3480*IF('01_Вводные'!$B$239="Да",MeanMinAge09+'19_Расчет_аналитики'!AZ3595*SUMIF(ThresholdAge09,"&lt;"&amp;'19_Расчет_аналитики'!AZ3595,WeightedRevAge09)-SUMIF(ThresholdAge09,"&lt;"&amp;'19_Расчет_аналитики'!AZ3595,WeightedMinAge09),MAX(CapacityAge09*'01_Вводные'!$B$218*'19_Расчет_аналитики'!AZ3595,MeanMinAge09))),0)</f>
        <v/>
      </c>
      <c r="BA3508">
        <f>IF('01_Вводные'!$B$234="Да",IF(OR('19_Расчет_аналитики'!BA3480=0,9&lt;='01_Вводные'!$B$297),0,'19_Расчет_аналитики'!BA3480*IF('01_Вводные'!$B$239="Да",MeanMinAge09+'19_Расчет_аналитики'!BA3595*SUMIF(ThresholdAge09,"&lt;"&amp;'19_Расчет_аналитики'!BA3595,WeightedRevAge09)-SUMIF(ThresholdAge09,"&lt;"&amp;'19_Расчет_аналитики'!BA3595,WeightedMinAge09),MAX(CapacityAge09*'01_Вводные'!$B$218*'19_Расчет_аналитики'!BA3595,MeanMinAge09))),0)</f>
        <v/>
      </c>
      <c r="BB3508">
        <f>IF('01_Вводные'!$B$234="Да",IF(OR('19_Расчет_аналитики'!BB3480=0,9&lt;='01_Вводные'!$B$297),0,'19_Расчет_аналитики'!BB3480*IF('01_Вводные'!$B$239="Да",MeanMinAge09+'19_Расчет_аналитики'!BB3595*SUMIF(ThresholdAge09,"&lt;"&amp;'19_Расчет_аналитики'!BB3595,WeightedRevAge09)-SUMIF(ThresholdAge09,"&lt;"&amp;'19_Расчет_аналитики'!BB3595,WeightedMinAge09),MAX(CapacityAge09*'01_Вводные'!$B$218*'19_Расчет_аналитики'!BB3595,MeanMinAge09))),0)</f>
        <v/>
      </c>
      <c r="BC3508">
        <f>IF('01_Вводные'!$B$234="Да",IF(OR('19_Расчет_аналитики'!BC3480=0,9&lt;='01_Вводные'!$B$297),0,'19_Расчет_аналитики'!BC3480*IF('01_Вводные'!$B$239="Да",MeanMinAge09+'19_Расчет_аналитики'!BC3595*SUMIF(ThresholdAge09,"&lt;"&amp;'19_Расчет_аналитики'!BC3595,WeightedRevAge09)-SUMIF(ThresholdAge09,"&lt;"&amp;'19_Расчет_аналитики'!BC3595,WeightedMinAge09),MAX(CapacityAge09*'01_Вводные'!$B$218*'19_Расчет_аналитики'!BC3595,MeanMinAge09))),0)</f>
        <v/>
      </c>
      <c r="BD3508">
        <f>IF('01_Вводные'!$B$234="Да",IF(OR('19_Расчет_аналитики'!BD3480=0,9&lt;='01_Вводные'!$B$297),0,'19_Расчет_аналитики'!BD3480*IF('01_Вводные'!$B$239="Да",MeanMinAge09+'19_Расчет_аналитики'!BD3595*SUMIF(ThresholdAge09,"&lt;"&amp;'19_Расчет_аналитики'!BD3595,WeightedRevAge09)-SUMIF(ThresholdAge09,"&lt;"&amp;'19_Расчет_аналитики'!BD3595,WeightedMinAge09),MAX(CapacityAge09*'01_Вводные'!$B$218*'19_Расчет_аналитики'!BD3595,MeanMinAge09))),0)</f>
        <v/>
      </c>
      <c r="BE3508">
        <f>IF('01_Вводные'!$B$234="Да",IF(OR('19_Расчет_аналитики'!BE3480=0,9&lt;='01_Вводные'!$B$297),0,'19_Расчет_аналитики'!BE3480*IF('01_Вводные'!$B$239="Да",MeanMinAge09+'19_Расчет_аналитики'!BE3595*SUMIF(ThresholdAge09,"&lt;"&amp;'19_Расчет_аналитики'!BE3595,WeightedRevAge09)-SUMIF(ThresholdAge09,"&lt;"&amp;'19_Расчет_аналитики'!BE3595,WeightedMinAge09),MAX(CapacityAge09*'01_Вводные'!$B$218*'19_Расчет_аналитики'!BE3595,MeanMinAge09))),0)</f>
        <v/>
      </c>
      <c r="BF3508">
        <f>IF('01_Вводные'!$B$234="Да",IF(OR('19_Расчет_аналитики'!BF3480=0,9&lt;='01_Вводные'!$B$297),0,'19_Расчет_аналитики'!BF3480*IF('01_Вводные'!$B$239="Да",MeanMinAge09+'19_Расчет_аналитики'!BF3595*SUMIF(ThresholdAge09,"&lt;"&amp;'19_Расчет_аналитики'!BF3595,WeightedRevAge09)-SUMIF(ThresholdAge09,"&lt;"&amp;'19_Расчет_аналитики'!BF3595,WeightedMinAge09),MAX(CapacityAge09*'01_Вводные'!$B$218*'19_Расчет_аналитики'!BF3595,MeanMinAge09))),0)</f>
        <v/>
      </c>
      <c r="BG3508">
        <f>IF('01_Вводные'!$B$234="Да",IF(OR('19_Расчет_аналитики'!BG3480=0,9&lt;='01_Вводные'!$B$297),0,'19_Расчет_аналитики'!BG3480*IF('01_Вводные'!$B$239="Да",MeanMinAge09+'19_Расчет_аналитики'!BG3595*SUMIF(ThresholdAge09,"&lt;"&amp;'19_Расчет_аналитики'!BG3595,WeightedRevAge09)-SUMIF(ThresholdAge09,"&lt;"&amp;'19_Расчет_аналитики'!BG3595,WeightedMinAge09),MAX(CapacityAge09*'01_Вводные'!$B$218*'19_Расчет_аналитики'!BG3595,MeanMinAge09))),0)</f>
        <v/>
      </c>
      <c r="BH3508">
        <f>IF('01_Вводные'!$B$234="Да",IF(OR('19_Расчет_аналитики'!BH3480=0,9&lt;='01_Вводные'!$B$297),0,'19_Расчет_аналитики'!BH3480*IF('01_Вводные'!$B$239="Да",MeanMinAge09+'19_Расчет_аналитики'!BH3595*SUMIF(ThresholdAge09,"&lt;"&amp;'19_Расчет_аналитики'!BH3595,WeightedRevAge09)-SUMIF(ThresholdAge09,"&lt;"&amp;'19_Расчет_аналитики'!BH3595,WeightedMinAge09),MAX(CapacityAge09*'01_Вводные'!$B$218*'19_Расчет_аналитики'!BH3595,MeanMinAge09))),0)</f>
        <v/>
      </c>
      <c r="BI3508">
        <f>IF('01_Вводные'!$B$234="Да",IF(OR('19_Расчет_аналитики'!BI3480=0,9&lt;='01_Вводные'!$B$297),0,'19_Расчет_аналитики'!BI3480*IF('01_Вводные'!$B$239="Да",MeanMinAge09+'19_Расчет_аналитики'!BI3595*SUMIF(ThresholdAge09,"&lt;"&amp;'19_Расчет_аналитики'!BI3595,WeightedRevAge09)-SUMIF(ThresholdAge09,"&lt;"&amp;'19_Расчет_аналитики'!BI3595,WeightedMinAge09),MAX(CapacityAge09*'01_Вводные'!$B$218*'19_Расчет_аналитики'!BI3595,MeanMinAge09))),0)</f>
        <v/>
      </c>
      <c r="BJ3508">
        <f>IF('01_Вводные'!$B$234="Да",IF(OR('19_Расчет_аналитики'!BJ3480=0,9&lt;='01_Вводные'!$B$297),0,'19_Расчет_аналитики'!BJ3480*IF('01_Вводные'!$B$239="Да",MeanMinAge09+'19_Расчет_аналитики'!BJ3595*SUMIF(ThresholdAge09,"&lt;"&amp;'19_Расчет_аналитики'!BJ3595,WeightedRevAge09)-SUMIF(ThresholdAge09,"&lt;"&amp;'19_Расчет_аналитики'!BJ3595,WeightedMinAge09),MAX(CapacityAge09*'01_Вводные'!$B$218*'19_Расчет_аналитики'!BJ3595,MeanMinAge09))),0)</f>
        <v/>
      </c>
      <c r="BK3508">
        <f>IF('01_Вводные'!$B$234="Да",IF(OR('19_Расчет_аналитики'!BK3480=0,9&lt;='01_Вводные'!$B$297),0,'19_Расчет_аналитики'!BK3480*IF('01_Вводные'!$B$239="Да",MeanMinAge09+'19_Расчет_аналитики'!BK3595*SUMIF(ThresholdAge09,"&lt;"&amp;'19_Расчет_аналитики'!BK3595,WeightedRevAge09)-SUMIF(ThresholdAge09,"&lt;"&amp;'19_Расчет_аналитики'!BK3595,WeightedMinAge09),MAX(CapacityAge09*'01_Вводные'!$B$218*'19_Расчет_аналитики'!BK3595,MeanMinAge09))),0)</f>
        <v/>
      </c>
      <c r="BL3508">
        <f>IF('01_Вводные'!$B$234="Да",IF(OR('19_Расчет_аналитики'!BL3480=0,9&lt;='01_Вводные'!$B$297),0,'19_Расчет_аналитики'!BL3480*IF('01_Вводные'!$B$239="Да",MeanMinAge09+'19_Расчет_аналитики'!BL3595*SUMIF(ThresholdAge09,"&lt;"&amp;'19_Расчет_аналитики'!BL3595,WeightedRevAge09)-SUMIF(ThresholdAge09,"&lt;"&amp;'19_Расчет_аналитики'!BL3595,WeightedMinAge09),MAX(CapacityAge09*'01_Вводные'!$B$218*'19_Расчет_аналитики'!BL3595,MeanMinAge09))),0)</f>
        <v/>
      </c>
      <c r="BM3508">
        <f>IF('01_Вводные'!$B$234="Да",IF(OR('19_Расчет_аналитики'!BM3480=0,9&lt;='01_Вводные'!$B$297),0,'19_Расчет_аналитики'!BM3480*IF('01_Вводные'!$B$239="Да",MeanMinAge09+'19_Расчет_аналитики'!BM3595*SUMIF(ThresholdAge09,"&lt;"&amp;'19_Расчет_аналитики'!BM3595,WeightedRevAge09)-SUMIF(ThresholdAge09,"&lt;"&amp;'19_Расчет_аналитики'!BM3595,WeightedMinAge09),MAX(CapacityAge09*'01_Вводные'!$B$218*'19_Расчет_аналитики'!BM3595,MeanMinAge09))),0)</f>
        <v/>
      </c>
      <c r="BN3508">
        <f>IF('01_Вводные'!$B$234="Да",IF(OR('19_Расчет_аналитики'!BN3480=0,9&lt;='01_Вводные'!$B$297),0,'19_Расчет_аналитики'!BN3480*IF('01_Вводные'!$B$239="Да",MeanMinAge09+'19_Расчет_аналитики'!BN3595*SUMIF(ThresholdAge09,"&lt;"&amp;'19_Расчет_аналитики'!BN3595,WeightedRevAge09)-SUMIF(ThresholdAge09,"&lt;"&amp;'19_Расчет_аналитики'!BN3595,WeightedMinAge09),MAX(CapacityAge09*'01_Вводные'!$B$218*'19_Расчет_аналитики'!BN3595,MeanMinAge09))),0)</f>
        <v/>
      </c>
      <c r="BO3508">
        <f>IF('01_Вводные'!$B$234="Да",IF(OR('19_Расчет_аналитики'!BO3480=0,9&lt;='01_Вводные'!$B$297),0,'19_Расчет_аналитики'!BO3480*IF('01_Вводные'!$B$239="Да",MeanMinAge09+'19_Расчет_аналитики'!BO3595*SUMIF(ThresholdAge09,"&lt;"&amp;'19_Расчет_аналитики'!BO3595,WeightedRevAge09)-SUMIF(ThresholdAge09,"&lt;"&amp;'19_Расчет_аналитики'!BO3595,WeightedMinAge09),MAX(CapacityAge09*'01_Вводные'!$B$218*'19_Расчет_аналитики'!BO3595,MeanMinAge09))),0)</f>
        <v/>
      </c>
    </row>
    <row r="3509">
      <c r="B3509">
        <f>IF('01_Вводные'!$B$234="Да",IF(OR('06_Сеть_и_дети'!B90=0,10&lt;='01_Вводные'!$B$297),0,'06_Сеть_и_дети'!B90*IF('01_Вводные'!$B$239="Да",MeanMinAge10+'19_Расчет_аналитики'!B3595*SUMIF(ThresholdAge10,"&lt;"&amp;'19_Расчет_аналитики'!B3595,WeightedRevAge10)-SUMIF(ThresholdAge10,"&lt;"&amp;'19_Расчет_аналитики'!B3595,WeightedMinAge10),MAX(CapacityAge10*'01_Вводные'!$B$218*'19_Расчет_аналитики'!B3595,MeanMinAge10))),0)</f>
        <v/>
      </c>
      <c r="C3509">
        <f>IF('01_Вводные'!$B$234="Да",IF(OR('06_Сеть_и_дети'!C90=0,10&lt;='01_Вводные'!$B$297),0,'06_Сеть_и_дети'!C90*IF('01_Вводные'!$B$239="Да",MeanMinAge10+'19_Расчет_аналитики'!C3595*SUMIF(ThresholdAge10,"&lt;"&amp;'19_Расчет_аналитики'!C3595,WeightedRevAge10)-SUMIF(ThresholdAge10,"&lt;"&amp;'19_Расчет_аналитики'!C3595,WeightedMinAge10),MAX(CapacityAge10*'01_Вводные'!$B$218*'19_Расчет_аналитики'!C3595,MeanMinAge10))),0)</f>
        <v/>
      </c>
      <c r="D3509">
        <f>IF('01_Вводные'!$B$234="Да",IF(OR('06_Сеть_и_дети'!D90=0,10&lt;='01_Вводные'!$B$297),0,'06_Сеть_и_дети'!D90*IF('01_Вводные'!$B$239="Да",MeanMinAge10+'19_Расчет_аналитики'!D3595*SUMIF(ThresholdAge10,"&lt;"&amp;'19_Расчет_аналитики'!D3595,WeightedRevAge10)-SUMIF(ThresholdAge10,"&lt;"&amp;'19_Расчет_аналитики'!D3595,WeightedMinAge10),MAX(CapacityAge10*'01_Вводные'!$B$218*'19_Расчет_аналитики'!D3595,MeanMinAge10))),0)</f>
        <v/>
      </c>
      <c r="E3509">
        <f>IF('01_Вводные'!$B$234="Да",IF(OR('06_Сеть_и_дети'!E90=0,10&lt;='01_Вводные'!$B$297),0,'06_Сеть_и_дети'!E90*IF('01_Вводные'!$B$239="Да",MeanMinAge10+'19_Расчет_аналитики'!E3595*SUMIF(ThresholdAge10,"&lt;"&amp;'19_Расчет_аналитики'!E3595,WeightedRevAge10)-SUMIF(ThresholdAge10,"&lt;"&amp;'19_Расчет_аналитики'!E3595,WeightedMinAge10),MAX(CapacityAge10*'01_Вводные'!$B$218*'19_Расчет_аналитики'!E3595,MeanMinAge10))),0)</f>
        <v/>
      </c>
      <c r="F3509">
        <f>IF('01_Вводные'!$B$234="Да",IF(OR('06_Сеть_и_дети'!F90=0,10&lt;='01_Вводные'!$B$297),0,'06_Сеть_и_дети'!F90*IF('01_Вводные'!$B$239="Да",MeanMinAge10+'19_Расчет_аналитики'!F3595*SUMIF(ThresholdAge10,"&lt;"&amp;'19_Расчет_аналитики'!F3595,WeightedRevAge10)-SUMIF(ThresholdAge10,"&lt;"&amp;'19_Расчет_аналитики'!F3595,WeightedMinAge10),MAX(CapacityAge10*'01_Вводные'!$B$218*'19_Расчет_аналитики'!F3595,MeanMinAge10))),0)</f>
        <v/>
      </c>
      <c r="G3509">
        <f>IF('01_Вводные'!$B$234="Да",IF(OR('06_Сеть_и_дети'!G90=0,10&lt;='01_Вводные'!$B$297),0,'06_Сеть_и_дети'!G90*IF('01_Вводные'!$B$239="Да",MeanMinAge10+'19_Расчет_аналитики'!G3595*SUMIF(ThresholdAge10,"&lt;"&amp;'19_Расчет_аналитики'!G3595,WeightedRevAge10)-SUMIF(ThresholdAge10,"&lt;"&amp;'19_Расчет_аналитики'!G3595,WeightedMinAge10),MAX(CapacityAge10*'01_Вводные'!$B$218*'19_Расчет_аналитики'!G3595,MeanMinAge10))),0)</f>
        <v/>
      </c>
      <c r="H3509">
        <f>IF('01_Вводные'!$B$234="Да",IF(OR('06_Сеть_и_дети'!H90=0,10&lt;='01_Вводные'!$B$297),0,'06_Сеть_и_дети'!H90*IF('01_Вводные'!$B$239="Да",MeanMinAge10+'19_Расчет_аналитики'!H3595*SUMIF(ThresholdAge10,"&lt;"&amp;'19_Расчет_аналитики'!H3595,WeightedRevAge10)-SUMIF(ThresholdAge10,"&lt;"&amp;'19_Расчет_аналитики'!H3595,WeightedMinAge10),MAX(CapacityAge10*'01_Вводные'!$B$218*'19_Расчет_аналитики'!H3595,MeanMinAge10))),0)</f>
        <v/>
      </c>
      <c r="I3509">
        <f>IF('01_Вводные'!$B$234="Да",IF(OR('06_Сеть_и_дети'!I90=0,10&lt;='01_Вводные'!$B$297),0,'06_Сеть_и_дети'!I90*IF('01_Вводные'!$B$239="Да",MeanMinAge10+'19_Расчет_аналитики'!I3595*SUMIF(ThresholdAge10,"&lt;"&amp;'19_Расчет_аналитики'!I3595,WeightedRevAge10)-SUMIF(ThresholdAge10,"&lt;"&amp;'19_Расчет_аналитики'!I3595,WeightedMinAge10),MAX(CapacityAge10*'01_Вводные'!$B$218*'19_Расчет_аналитики'!I3595,MeanMinAge10))),0)</f>
        <v/>
      </c>
      <c r="J3509">
        <f>IF('01_Вводные'!$B$234="Да",IF(OR('06_Сеть_и_дети'!J90=0,10&lt;='01_Вводные'!$B$297),0,'06_Сеть_и_дети'!J90*IF('01_Вводные'!$B$239="Да",MeanMinAge10+'19_Расчет_аналитики'!J3595*SUMIF(ThresholdAge10,"&lt;"&amp;'19_Расчет_аналитики'!J3595,WeightedRevAge10)-SUMIF(ThresholdAge10,"&lt;"&amp;'19_Расчет_аналитики'!J3595,WeightedMinAge10),MAX(CapacityAge10*'01_Вводные'!$B$218*'19_Расчет_аналитики'!J3595,MeanMinAge10))),0)</f>
        <v/>
      </c>
      <c r="K3509">
        <f>IF('01_Вводные'!$B$234="Да",IF(OR('19_Расчет_аналитики'!K3481=0,10&lt;='01_Вводные'!$B$297),0,'19_Расчет_аналитики'!K3481*IF('01_Вводные'!$B$239="Да",MeanMinAge10+'19_Расчет_аналитики'!K3595*SUMIF(ThresholdAge10,"&lt;"&amp;'19_Расчет_аналитики'!K3595,WeightedRevAge10)-SUMIF(ThresholdAge10,"&lt;"&amp;'19_Расчет_аналитики'!K3595,WeightedMinAge10),MAX(CapacityAge10*'01_Вводные'!$B$218*'19_Расчет_аналитики'!K3595,MeanMinAge10))),0)</f>
        <v/>
      </c>
      <c r="L3509">
        <f>IF('01_Вводные'!$B$234="Да",IF(OR('19_Расчет_аналитики'!L3481=0,10&lt;='01_Вводные'!$B$297),0,'19_Расчет_аналитики'!L3481*IF('01_Вводные'!$B$239="Да",MeanMinAge10+'19_Расчет_аналитики'!L3595*SUMIF(ThresholdAge10,"&lt;"&amp;'19_Расчет_аналитики'!L3595,WeightedRevAge10)-SUMIF(ThresholdAge10,"&lt;"&amp;'19_Расчет_аналитики'!L3595,WeightedMinAge10),MAX(CapacityAge10*'01_Вводные'!$B$218*'19_Расчет_аналитики'!L3595,MeanMinAge10))),0)</f>
        <v/>
      </c>
      <c r="M3509">
        <f>IF('01_Вводные'!$B$234="Да",IF(OR('19_Расчет_аналитики'!M3481=0,10&lt;='01_Вводные'!$B$297),0,'19_Расчет_аналитики'!M3481*IF('01_Вводные'!$B$239="Да",MeanMinAge10+'19_Расчет_аналитики'!M3595*SUMIF(ThresholdAge10,"&lt;"&amp;'19_Расчет_аналитики'!M3595,WeightedRevAge10)-SUMIF(ThresholdAge10,"&lt;"&amp;'19_Расчет_аналитики'!M3595,WeightedMinAge10),MAX(CapacityAge10*'01_Вводные'!$B$218*'19_Расчет_аналитики'!M3595,MeanMinAge10))),0)</f>
        <v/>
      </c>
      <c r="N3509">
        <f>IF('01_Вводные'!$B$234="Да",IF(OR('19_Расчет_аналитики'!N3481=0,10&lt;='01_Вводные'!$B$297),0,'19_Расчет_аналитики'!N3481*IF('01_Вводные'!$B$239="Да",MeanMinAge10+'19_Расчет_аналитики'!N3595*SUMIF(ThresholdAge10,"&lt;"&amp;'19_Расчет_аналитики'!N3595,WeightedRevAge10)-SUMIF(ThresholdAge10,"&lt;"&amp;'19_Расчет_аналитики'!N3595,WeightedMinAge10),MAX(CapacityAge10*'01_Вводные'!$B$218*'19_Расчет_аналитики'!N3595,MeanMinAge10))),0)</f>
        <v/>
      </c>
      <c r="O3509">
        <f>IF('01_Вводные'!$B$234="Да",IF(OR('19_Расчет_аналитики'!O3481=0,10&lt;='01_Вводные'!$B$297),0,'19_Расчет_аналитики'!O3481*IF('01_Вводные'!$B$239="Да",MeanMinAge10+'19_Расчет_аналитики'!O3595*SUMIF(ThresholdAge10,"&lt;"&amp;'19_Расчет_аналитики'!O3595,WeightedRevAge10)-SUMIF(ThresholdAge10,"&lt;"&amp;'19_Расчет_аналитики'!O3595,WeightedMinAge10),MAX(CapacityAge10*'01_Вводные'!$B$218*'19_Расчет_аналитики'!O3595,MeanMinAge10))),0)</f>
        <v/>
      </c>
      <c r="P3509">
        <f>IF('01_Вводные'!$B$234="Да",IF(OR('19_Расчет_аналитики'!P3481=0,10&lt;='01_Вводные'!$B$297),0,'19_Расчет_аналитики'!P3481*IF('01_Вводные'!$B$239="Да",MeanMinAge10+'19_Расчет_аналитики'!P3595*SUMIF(ThresholdAge10,"&lt;"&amp;'19_Расчет_аналитики'!P3595,WeightedRevAge10)-SUMIF(ThresholdAge10,"&lt;"&amp;'19_Расчет_аналитики'!P3595,WeightedMinAge10),MAX(CapacityAge10*'01_Вводные'!$B$218*'19_Расчет_аналитики'!P3595,MeanMinAge10))),0)</f>
        <v/>
      </c>
      <c r="Q3509">
        <f>IF('01_Вводные'!$B$234="Да",IF(OR('19_Расчет_аналитики'!Q3481=0,10&lt;='01_Вводные'!$B$297),0,'19_Расчет_аналитики'!Q3481*IF('01_Вводные'!$B$239="Да",MeanMinAge10+'19_Расчет_аналитики'!Q3595*SUMIF(ThresholdAge10,"&lt;"&amp;'19_Расчет_аналитики'!Q3595,WeightedRevAge10)-SUMIF(ThresholdAge10,"&lt;"&amp;'19_Расчет_аналитики'!Q3595,WeightedMinAge10),MAX(CapacityAge10*'01_Вводные'!$B$218*'19_Расчет_аналитики'!Q3595,MeanMinAge10))),0)</f>
        <v/>
      </c>
      <c r="R3509">
        <f>IF('01_Вводные'!$B$234="Да",IF(OR('19_Расчет_аналитики'!R3481=0,10&lt;='01_Вводные'!$B$297),0,'19_Расчет_аналитики'!R3481*IF('01_Вводные'!$B$239="Да",MeanMinAge10+'19_Расчет_аналитики'!R3595*SUMIF(ThresholdAge10,"&lt;"&amp;'19_Расчет_аналитики'!R3595,WeightedRevAge10)-SUMIF(ThresholdAge10,"&lt;"&amp;'19_Расчет_аналитики'!R3595,WeightedMinAge10),MAX(CapacityAge10*'01_Вводные'!$B$218*'19_Расчет_аналитики'!R3595,MeanMinAge10))),0)</f>
        <v/>
      </c>
      <c r="S3509">
        <f>IF('01_Вводные'!$B$234="Да",IF(OR('19_Расчет_аналитики'!S3481=0,10&lt;='01_Вводные'!$B$297),0,'19_Расчет_аналитики'!S3481*IF('01_Вводные'!$B$239="Да",MeanMinAge10+'19_Расчет_аналитики'!S3595*SUMIF(ThresholdAge10,"&lt;"&amp;'19_Расчет_аналитики'!S3595,WeightedRevAge10)-SUMIF(ThresholdAge10,"&lt;"&amp;'19_Расчет_аналитики'!S3595,WeightedMinAge10),MAX(CapacityAge10*'01_Вводные'!$B$218*'19_Расчет_аналитики'!S3595,MeanMinAge10))),0)</f>
        <v/>
      </c>
      <c r="T3509">
        <f>IF('01_Вводные'!$B$234="Да",IF(OR('19_Расчет_аналитики'!T3481=0,10&lt;='01_Вводные'!$B$297),0,'19_Расчет_аналитики'!T3481*IF('01_Вводные'!$B$239="Да",MeanMinAge10+'19_Расчет_аналитики'!T3595*SUMIF(ThresholdAge10,"&lt;"&amp;'19_Расчет_аналитики'!T3595,WeightedRevAge10)-SUMIF(ThresholdAge10,"&lt;"&amp;'19_Расчет_аналитики'!T3595,WeightedMinAge10),MAX(CapacityAge10*'01_Вводные'!$B$218*'19_Расчет_аналитики'!T3595,MeanMinAge10))),0)</f>
        <v/>
      </c>
      <c r="U3509">
        <f>IF('01_Вводные'!$B$234="Да",IF(OR('19_Расчет_аналитики'!U3481=0,10&lt;='01_Вводные'!$B$297),0,'19_Расчет_аналитики'!U3481*IF('01_Вводные'!$B$239="Да",MeanMinAge10+'19_Расчет_аналитики'!U3595*SUMIF(ThresholdAge10,"&lt;"&amp;'19_Расчет_аналитики'!U3595,WeightedRevAge10)-SUMIF(ThresholdAge10,"&lt;"&amp;'19_Расчет_аналитики'!U3595,WeightedMinAge10),MAX(CapacityAge10*'01_Вводные'!$B$218*'19_Расчет_аналитики'!U3595,MeanMinAge10))),0)</f>
        <v/>
      </c>
      <c r="V3509">
        <f>IF('01_Вводные'!$B$234="Да",IF(OR('19_Расчет_аналитики'!V3481=0,10&lt;='01_Вводные'!$B$297),0,'19_Расчет_аналитики'!V3481*IF('01_Вводные'!$B$239="Да",MeanMinAge10+'19_Расчет_аналитики'!V3595*SUMIF(ThresholdAge10,"&lt;"&amp;'19_Расчет_аналитики'!V3595,WeightedRevAge10)-SUMIF(ThresholdAge10,"&lt;"&amp;'19_Расчет_аналитики'!V3595,WeightedMinAge10),MAX(CapacityAge10*'01_Вводные'!$B$218*'19_Расчет_аналитики'!V3595,MeanMinAge10))),0)</f>
        <v/>
      </c>
      <c r="W3509">
        <f>IF('01_Вводные'!$B$234="Да",IF(OR('19_Расчет_аналитики'!W3481=0,10&lt;='01_Вводные'!$B$297),0,'19_Расчет_аналитики'!W3481*IF('01_Вводные'!$B$239="Да",MeanMinAge10+'19_Расчет_аналитики'!W3595*SUMIF(ThresholdAge10,"&lt;"&amp;'19_Расчет_аналитики'!W3595,WeightedRevAge10)-SUMIF(ThresholdAge10,"&lt;"&amp;'19_Расчет_аналитики'!W3595,WeightedMinAge10),MAX(CapacityAge10*'01_Вводные'!$B$218*'19_Расчет_аналитики'!W3595,MeanMinAge10))),0)</f>
        <v/>
      </c>
      <c r="X3509">
        <f>IF('01_Вводные'!$B$234="Да",IF(OR('19_Расчет_аналитики'!X3481=0,10&lt;='01_Вводные'!$B$297),0,'19_Расчет_аналитики'!X3481*IF('01_Вводные'!$B$239="Да",MeanMinAge10+'19_Расчет_аналитики'!X3595*SUMIF(ThresholdAge10,"&lt;"&amp;'19_Расчет_аналитики'!X3595,WeightedRevAge10)-SUMIF(ThresholdAge10,"&lt;"&amp;'19_Расчет_аналитики'!X3595,WeightedMinAge10),MAX(CapacityAge10*'01_Вводные'!$B$218*'19_Расчет_аналитики'!X3595,MeanMinAge10))),0)</f>
        <v/>
      </c>
      <c r="Y3509">
        <f>IF('01_Вводные'!$B$234="Да",IF(OR('19_Расчет_аналитики'!Y3481=0,10&lt;='01_Вводные'!$B$297),0,'19_Расчет_аналитики'!Y3481*IF('01_Вводные'!$B$239="Да",MeanMinAge10+'19_Расчет_аналитики'!Y3595*SUMIF(ThresholdAge10,"&lt;"&amp;'19_Расчет_аналитики'!Y3595,WeightedRevAge10)-SUMIF(ThresholdAge10,"&lt;"&amp;'19_Расчет_аналитики'!Y3595,WeightedMinAge10),MAX(CapacityAge10*'01_Вводные'!$B$218*'19_Расчет_аналитики'!Y3595,MeanMinAge10))),0)</f>
        <v/>
      </c>
      <c r="Z3509">
        <f>IF('01_Вводные'!$B$234="Да",IF(OR('19_Расчет_аналитики'!Z3481=0,10&lt;='01_Вводные'!$B$297),0,'19_Расчет_аналитики'!Z3481*IF('01_Вводные'!$B$239="Да",MeanMinAge10+'19_Расчет_аналитики'!Z3595*SUMIF(ThresholdAge10,"&lt;"&amp;'19_Расчет_аналитики'!Z3595,WeightedRevAge10)-SUMIF(ThresholdAge10,"&lt;"&amp;'19_Расчет_аналитики'!Z3595,WeightedMinAge10),MAX(CapacityAge10*'01_Вводные'!$B$218*'19_Расчет_аналитики'!Z3595,MeanMinAge10))),0)</f>
        <v/>
      </c>
      <c r="AA3509">
        <f>IF('01_Вводные'!$B$234="Да",IF(OR('19_Расчет_аналитики'!AA3481=0,10&lt;='01_Вводные'!$B$297),0,'19_Расчет_аналитики'!AA3481*IF('01_Вводные'!$B$239="Да",MeanMinAge10+'19_Расчет_аналитики'!AA3595*SUMIF(ThresholdAge10,"&lt;"&amp;'19_Расчет_аналитики'!AA3595,WeightedRevAge10)-SUMIF(ThresholdAge10,"&lt;"&amp;'19_Расчет_аналитики'!AA3595,WeightedMinAge10),MAX(CapacityAge10*'01_Вводные'!$B$218*'19_Расчет_аналитики'!AA3595,MeanMinAge10))),0)</f>
        <v/>
      </c>
      <c r="AB3509">
        <f>IF('01_Вводные'!$B$234="Да",IF(OR('19_Расчет_аналитики'!AB3481=0,10&lt;='01_Вводные'!$B$297),0,'19_Расчет_аналитики'!AB3481*IF('01_Вводные'!$B$239="Да",MeanMinAge10+'19_Расчет_аналитики'!AB3595*SUMIF(ThresholdAge10,"&lt;"&amp;'19_Расчет_аналитики'!AB3595,WeightedRevAge10)-SUMIF(ThresholdAge10,"&lt;"&amp;'19_Расчет_аналитики'!AB3595,WeightedMinAge10),MAX(CapacityAge10*'01_Вводные'!$B$218*'19_Расчет_аналитики'!AB3595,MeanMinAge10))),0)</f>
        <v/>
      </c>
      <c r="AC3509">
        <f>IF('01_Вводные'!$B$234="Да",IF(OR('19_Расчет_аналитики'!AC3481=0,10&lt;='01_Вводные'!$B$297),0,'19_Расчет_аналитики'!AC3481*IF('01_Вводные'!$B$239="Да",MeanMinAge10+'19_Расчет_аналитики'!AC3595*SUMIF(ThresholdAge10,"&lt;"&amp;'19_Расчет_аналитики'!AC3595,WeightedRevAge10)-SUMIF(ThresholdAge10,"&lt;"&amp;'19_Расчет_аналитики'!AC3595,WeightedMinAge10),MAX(CapacityAge10*'01_Вводные'!$B$218*'19_Расчет_аналитики'!AC3595,MeanMinAge10))),0)</f>
        <v/>
      </c>
      <c r="AD3509">
        <f>IF('01_Вводные'!$B$234="Да",IF(OR('19_Расчет_аналитики'!AD3481=0,10&lt;='01_Вводные'!$B$297),0,'19_Расчет_аналитики'!AD3481*IF('01_Вводные'!$B$239="Да",MeanMinAge10+'19_Расчет_аналитики'!AD3595*SUMIF(ThresholdAge10,"&lt;"&amp;'19_Расчет_аналитики'!AD3595,WeightedRevAge10)-SUMIF(ThresholdAge10,"&lt;"&amp;'19_Расчет_аналитики'!AD3595,WeightedMinAge10),MAX(CapacityAge10*'01_Вводные'!$B$218*'19_Расчет_аналитики'!AD3595,MeanMinAge10))),0)</f>
        <v/>
      </c>
      <c r="AE3509">
        <f>IF('01_Вводные'!$B$234="Да",IF(OR('19_Расчет_аналитики'!AE3481=0,10&lt;='01_Вводные'!$B$297),0,'19_Расчет_аналитики'!AE3481*IF('01_Вводные'!$B$239="Да",MeanMinAge10+'19_Расчет_аналитики'!AE3595*SUMIF(ThresholdAge10,"&lt;"&amp;'19_Расчет_аналитики'!AE3595,WeightedRevAge10)-SUMIF(ThresholdAge10,"&lt;"&amp;'19_Расчет_аналитики'!AE3595,WeightedMinAge10),MAX(CapacityAge10*'01_Вводные'!$B$218*'19_Расчет_аналитики'!AE3595,MeanMinAge10))),0)</f>
        <v/>
      </c>
      <c r="AF3509">
        <f>IF('01_Вводные'!$B$234="Да",IF(OR('19_Расчет_аналитики'!AF3481=0,10&lt;='01_Вводные'!$B$297),0,'19_Расчет_аналитики'!AF3481*IF('01_Вводные'!$B$239="Да",MeanMinAge10+'19_Расчет_аналитики'!AF3595*SUMIF(ThresholdAge10,"&lt;"&amp;'19_Расчет_аналитики'!AF3595,WeightedRevAge10)-SUMIF(ThresholdAge10,"&lt;"&amp;'19_Расчет_аналитики'!AF3595,WeightedMinAge10),MAX(CapacityAge10*'01_Вводные'!$B$218*'19_Расчет_аналитики'!AF3595,MeanMinAge10))),0)</f>
        <v/>
      </c>
      <c r="AG3509">
        <f>IF('01_Вводные'!$B$234="Да",IF(OR('19_Расчет_аналитики'!AG3481=0,10&lt;='01_Вводные'!$B$297),0,'19_Расчет_аналитики'!AG3481*IF('01_Вводные'!$B$239="Да",MeanMinAge10+'19_Расчет_аналитики'!AG3595*SUMIF(ThresholdAge10,"&lt;"&amp;'19_Расчет_аналитики'!AG3595,WeightedRevAge10)-SUMIF(ThresholdAge10,"&lt;"&amp;'19_Расчет_аналитики'!AG3595,WeightedMinAge10),MAX(CapacityAge10*'01_Вводные'!$B$218*'19_Расчет_аналитики'!AG3595,MeanMinAge10))),0)</f>
        <v/>
      </c>
      <c r="AH3509">
        <f>IF('01_Вводные'!$B$234="Да",IF(OR('19_Расчет_аналитики'!AH3481=0,10&lt;='01_Вводные'!$B$297),0,'19_Расчет_аналитики'!AH3481*IF('01_Вводные'!$B$239="Да",MeanMinAge10+'19_Расчет_аналитики'!AH3595*SUMIF(ThresholdAge10,"&lt;"&amp;'19_Расчет_аналитики'!AH3595,WeightedRevAge10)-SUMIF(ThresholdAge10,"&lt;"&amp;'19_Расчет_аналитики'!AH3595,WeightedMinAge10),MAX(CapacityAge10*'01_Вводные'!$B$218*'19_Расчет_аналитики'!AH3595,MeanMinAge10))),0)</f>
        <v/>
      </c>
      <c r="AI3509">
        <f>IF('01_Вводные'!$B$234="Да",IF(OR('19_Расчет_аналитики'!AI3481=0,10&lt;='01_Вводные'!$B$297),0,'19_Расчет_аналитики'!AI3481*IF('01_Вводные'!$B$239="Да",MeanMinAge10+'19_Расчет_аналитики'!AI3595*SUMIF(ThresholdAge10,"&lt;"&amp;'19_Расчет_аналитики'!AI3595,WeightedRevAge10)-SUMIF(ThresholdAge10,"&lt;"&amp;'19_Расчет_аналитики'!AI3595,WeightedMinAge10),MAX(CapacityAge10*'01_Вводные'!$B$218*'19_Расчет_аналитики'!AI3595,MeanMinAge10))),0)</f>
        <v/>
      </c>
      <c r="AJ3509">
        <f>IF('01_Вводные'!$B$234="Да",IF(OR('19_Расчет_аналитики'!AJ3481=0,10&lt;='01_Вводные'!$B$297),0,'19_Расчет_аналитики'!AJ3481*IF('01_Вводные'!$B$239="Да",MeanMinAge10+'19_Расчет_аналитики'!AJ3595*SUMIF(ThresholdAge10,"&lt;"&amp;'19_Расчет_аналитики'!AJ3595,WeightedRevAge10)-SUMIF(ThresholdAge10,"&lt;"&amp;'19_Расчет_аналитики'!AJ3595,WeightedMinAge10),MAX(CapacityAge10*'01_Вводные'!$B$218*'19_Расчет_аналитики'!AJ3595,MeanMinAge10))),0)</f>
        <v/>
      </c>
      <c r="AK3509">
        <f>IF('01_Вводные'!$B$234="Да",IF(OR('19_Расчет_аналитики'!AK3481=0,10&lt;='01_Вводные'!$B$297),0,'19_Расчет_аналитики'!AK3481*IF('01_Вводные'!$B$239="Да",MeanMinAge10+'19_Расчет_аналитики'!AK3595*SUMIF(ThresholdAge10,"&lt;"&amp;'19_Расчет_аналитики'!AK3595,WeightedRevAge10)-SUMIF(ThresholdAge10,"&lt;"&amp;'19_Расчет_аналитики'!AK3595,WeightedMinAge10),MAX(CapacityAge10*'01_Вводные'!$B$218*'19_Расчет_аналитики'!AK3595,MeanMinAge10))),0)</f>
        <v/>
      </c>
      <c r="AL3509">
        <f>IF('01_Вводные'!$B$234="Да",IF(OR('19_Расчет_аналитики'!AL3481=0,10&lt;='01_Вводные'!$B$297),0,'19_Расчет_аналитики'!AL3481*IF('01_Вводные'!$B$239="Да",MeanMinAge10+'19_Расчет_аналитики'!AL3595*SUMIF(ThresholdAge10,"&lt;"&amp;'19_Расчет_аналитики'!AL3595,WeightedRevAge10)-SUMIF(ThresholdAge10,"&lt;"&amp;'19_Расчет_аналитики'!AL3595,WeightedMinAge10),MAX(CapacityAge10*'01_Вводные'!$B$218*'19_Расчет_аналитики'!AL3595,MeanMinAge10))),0)</f>
        <v/>
      </c>
      <c r="AM3509">
        <f>IF('01_Вводные'!$B$234="Да",IF(OR('19_Расчет_аналитики'!AM3481=0,10&lt;='01_Вводные'!$B$297),0,'19_Расчет_аналитики'!AM3481*IF('01_Вводные'!$B$239="Да",MeanMinAge10+'19_Расчет_аналитики'!AM3595*SUMIF(ThresholdAge10,"&lt;"&amp;'19_Расчет_аналитики'!AM3595,WeightedRevAge10)-SUMIF(ThresholdAge10,"&lt;"&amp;'19_Расчет_аналитики'!AM3595,WeightedMinAge10),MAX(CapacityAge10*'01_Вводные'!$B$218*'19_Расчет_аналитики'!AM3595,MeanMinAge10))),0)</f>
        <v/>
      </c>
      <c r="AN3509">
        <f>IF('01_Вводные'!$B$234="Да",IF(OR('19_Расчет_аналитики'!AN3481=0,10&lt;='01_Вводные'!$B$297),0,'19_Расчет_аналитики'!AN3481*IF('01_Вводные'!$B$239="Да",MeanMinAge10+'19_Расчет_аналитики'!AN3595*SUMIF(ThresholdAge10,"&lt;"&amp;'19_Расчет_аналитики'!AN3595,WeightedRevAge10)-SUMIF(ThresholdAge10,"&lt;"&amp;'19_Расчет_аналитики'!AN3595,WeightedMinAge10),MAX(CapacityAge10*'01_Вводные'!$B$218*'19_Расчет_аналитики'!AN3595,MeanMinAge10))),0)</f>
        <v/>
      </c>
      <c r="AO3509">
        <f>IF('01_Вводные'!$B$234="Да",IF(OR('19_Расчет_аналитики'!AO3481=0,10&lt;='01_Вводные'!$B$297),0,'19_Расчет_аналитики'!AO3481*IF('01_Вводные'!$B$239="Да",MeanMinAge10+'19_Расчет_аналитики'!AO3595*SUMIF(ThresholdAge10,"&lt;"&amp;'19_Расчет_аналитики'!AO3595,WeightedRevAge10)-SUMIF(ThresholdAge10,"&lt;"&amp;'19_Расчет_аналитики'!AO3595,WeightedMinAge10),MAX(CapacityAge10*'01_Вводные'!$B$218*'19_Расчет_аналитики'!AO3595,MeanMinAge10))),0)</f>
        <v/>
      </c>
      <c r="AP3509">
        <f>IF('01_Вводные'!$B$234="Да",IF(OR('19_Расчет_аналитики'!AP3481=0,10&lt;='01_Вводные'!$B$297),0,'19_Расчет_аналитики'!AP3481*IF('01_Вводные'!$B$239="Да",MeanMinAge10+'19_Расчет_аналитики'!AP3595*SUMIF(ThresholdAge10,"&lt;"&amp;'19_Расчет_аналитики'!AP3595,WeightedRevAge10)-SUMIF(ThresholdAge10,"&lt;"&amp;'19_Расчет_аналитики'!AP3595,WeightedMinAge10),MAX(CapacityAge10*'01_Вводные'!$B$218*'19_Расчет_аналитики'!AP3595,MeanMinAge10))),0)</f>
        <v/>
      </c>
      <c r="AQ3509">
        <f>IF('01_Вводные'!$B$234="Да",IF(OR('19_Расчет_аналитики'!AQ3481=0,10&lt;='01_Вводные'!$B$297),0,'19_Расчет_аналитики'!AQ3481*IF('01_Вводные'!$B$239="Да",MeanMinAge10+'19_Расчет_аналитики'!AQ3595*SUMIF(ThresholdAge10,"&lt;"&amp;'19_Расчет_аналитики'!AQ3595,WeightedRevAge10)-SUMIF(ThresholdAge10,"&lt;"&amp;'19_Расчет_аналитики'!AQ3595,WeightedMinAge10),MAX(CapacityAge10*'01_Вводные'!$B$218*'19_Расчет_аналитики'!AQ3595,MeanMinAge10))),0)</f>
        <v/>
      </c>
      <c r="AR3509">
        <f>IF('01_Вводные'!$B$234="Да",IF(OR('19_Расчет_аналитики'!AR3481=0,10&lt;='01_Вводные'!$B$297),0,'19_Расчет_аналитики'!AR3481*IF('01_Вводные'!$B$239="Да",MeanMinAge10+'19_Расчет_аналитики'!AR3595*SUMIF(ThresholdAge10,"&lt;"&amp;'19_Расчет_аналитики'!AR3595,WeightedRevAge10)-SUMIF(ThresholdAge10,"&lt;"&amp;'19_Расчет_аналитики'!AR3595,WeightedMinAge10),MAX(CapacityAge10*'01_Вводные'!$B$218*'19_Расчет_аналитики'!AR3595,MeanMinAge10))),0)</f>
        <v/>
      </c>
      <c r="AS3509">
        <f>IF('01_Вводные'!$B$234="Да",IF(OR('19_Расчет_аналитики'!AS3481=0,10&lt;='01_Вводные'!$B$297),0,'19_Расчет_аналитики'!AS3481*IF('01_Вводные'!$B$239="Да",MeanMinAge10+'19_Расчет_аналитики'!AS3595*SUMIF(ThresholdAge10,"&lt;"&amp;'19_Расчет_аналитики'!AS3595,WeightedRevAge10)-SUMIF(ThresholdAge10,"&lt;"&amp;'19_Расчет_аналитики'!AS3595,WeightedMinAge10),MAX(CapacityAge10*'01_Вводные'!$B$218*'19_Расчет_аналитики'!AS3595,MeanMinAge10))),0)</f>
        <v/>
      </c>
      <c r="AT3509">
        <f>IF('01_Вводные'!$B$234="Да",IF(OR('19_Расчет_аналитики'!AT3481=0,10&lt;='01_Вводные'!$B$297),0,'19_Расчет_аналитики'!AT3481*IF('01_Вводные'!$B$239="Да",MeanMinAge10+'19_Расчет_аналитики'!AT3595*SUMIF(ThresholdAge10,"&lt;"&amp;'19_Расчет_аналитики'!AT3595,WeightedRevAge10)-SUMIF(ThresholdAge10,"&lt;"&amp;'19_Расчет_аналитики'!AT3595,WeightedMinAge10),MAX(CapacityAge10*'01_Вводные'!$B$218*'19_Расчет_аналитики'!AT3595,MeanMinAge10))),0)</f>
        <v/>
      </c>
      <c r="AU3509">
        <f>IF('01_Вводные'!$B$234="Да",IF(OR('19_Расчет_аналитики'!AU3481=0,10&lt;='01_Вводные'!$B$297),0,'19_Расчет_аналитики'!AU3481*IF('01_Вводные'!$B$239="Да",MeanMinAge10+'19_Расчет_аналитики'!AU3595*SUMIF(ThresholdAge10,"&lt;"&amp;'19_Расчет_аналитики'!AU3595,WeightedRevAge10)-SUMIF(ThresholdAge10,"&lt;"&amp;'19_Расчет_аналитики'!AU3595,WeightedMinAge10),MAX(CapacityAge10*'01_Вводные'!$B$218*'19_Расчет_аналитики'!AU3595,MeanMinAge10))),0)</f>
        <v/>
      </c>
      <c r="AV3509">
        <f>IF('01_Вводные'!$B$234="Да",IF(OR('19_Расчет_аналитики'!AV3481=0,10&lt;='01_Вводные'!$B$297),0,'19_Расчет_аналитики'!AV3481*IF('01_Вводные'!$B$239="Да",MeanMinAge10+'19_Расчет_аналитики'!AV3595*SUMIF(ThresholdAge10,"&lt;"&amp;'19_Расчет_аналитики'!AV3595,WeightedRevAge10)-SUMIF(ThresholdAge10,"&lt;"&amp;'19_Расчет_аналитики'!AV3595,WeightedMinAge10),MAX(CapacityAge10*'01_Вводные'!$B$218*'19_Расчет_аналитики'!AV3595,MeanMinAge10))),0)</f>
        <v/>
      </c>
      <c r="AW3509">
        <f>IF('01_Вводные'!$B$234="Да",IF(OR('19_Расчет_аналитики'!AW3481=0,10&lt;='01_Вводные'!$B$297),0,'19_Расчет_аналитики'!AW3481*IF('01_Вводные'!$B$239="Да",MeanMinAge10+'19_Расчет_аналитики'!AW3595*SUMIF(ThresholdAge10,"&lt;"&amp;'19_Расчет_аналитики'!AW3595,WeightedRevAge10)-SUMIF(ThresholdAge10,"&lt;"&amp;'19_Расчет_аналитики'!AW3595,WeightedMinAge10),MAX(CapacityAge10*'01_Вводные'!$B$218*'19_Расчет_аналитики'!AW3595,MeanMinAge10))),0)</f>
        <v/>
      </c>
      <c r="AX3509">
        <f>IF('01_Вводные'!$B$234="Да",IF(OR('19_Расчет_аналитики'!AX3481=0,10&lt;='01_Вводные'!$B$297),0,'19_Расчет_аналитики'!AX3481*IF('01_Вводные'!$B$239="Да",MeanMinAge10+'19_Расчет_аналитики'!AX3595*SUMIF(ThresholdAge10,"&lt;"&amp;'19_Расчет_аналитики'!AX3595,WeightedRevAge10)-SUMIF(ThresholdAge10,"&lt;"&amp;'19_Расчет_аналитики'!AX3595,WeightedMinAge10),MAX(CapacityAge10*'01_Вводные'!$B$218*'19_Расчет_аналитики'!AX3595,MeanMinAge10))),0)</f>
        <v/>
      </c>
      <c r="AY3509">
        <f>IF('01_Вводные'!$B$234="Да",IF(OR('19_Расчет_аналитики'!AY3481=0,10&lt;='01_Вводные'!$B$297),0,'19_Расчет_аналитики'!AY3481*IF('01_Вводные'!$B$239="Да",MeanMinAge10+'19_Расчет_аналитики'!AY3595*SUMIF(ThresholdAge10,"&lt;"&amp;'19_Расчет_аналитики'!AY3595,WeightedRevAge10)-SUMIF(ThresholdAge10,"&lt;"&amp;'19_Расчет_аналитики'!AY3595,WeightedMinAge10),MAX(CapacityAge10*'01_Вводные'!$B$218*'19_Расчет_аналитики'!AY3595,MeanMinAge10))),0)</f>
        <v/>
      </c>
      <c r="AZ3509">
        <f>IF('01_Вводные'!$B$234="Да",IF(OR('19_Расчет_аналитики'!AZ3481=0,10&lt;='01_Вводные'!$B$297),0,'19_Расчет_аналитики'!AZ3481*IF('01_Вводные'!$B$239="Да",MeanMinAge10+'19_Расчет_аналитики'!AZ3595*SUMIF(ThresholdAge10,"&lt;"&amp;'19_Расчет_аналитики'!AZ3595,WeightedRevAge10)-SUMIF(ThresholdAge10,"&lt;"&amp;'19_Расчет_аналитики'!AZ3595,WeightedMinAge10),MAX(CapacityAge10*'01_Вводные'!$B$218*'19_Расчет_аналитики'!AZ3595,MeanMinAge10))),0)</f>
        <v/>
      </c>
      <c r="BA3509">
        <f>IF('01_Вводные'!$B$234="Да",IF(OR('19_Расчет_аналитики'!BA3481=0,10&lt;='01_Вводные'!$B$297),0,'19_Расчет_аналитики'!BA3481*IF('01_Вводные'!$B$239="Да",MeanMinAge10+'19_Расчет_аналитики'!BA3595*SUMIF(ThresholdAge10,"&lt;"&amp;'19_Расчет_аналитики'!BA3595,WeightedRevAge10)-SUMIF(ThresholdAge10,"&lt;"&amp;'19_Расчет_аналитики'!BA3595,WeightedMinAge10),MAX(CapacityAge10*'01_Вводные'!$B$218*'19_Расчет_аналитики'!BA3595,MeanMinAge10))),0)</f>
        <v/>
      </c>
      <c r="BB3509">
        <f>IF('01_Вводные'!$B$234="Да",IF(OR('19_Расчет_аналитики'!BB3481=0,10&lt;='01_Вводные'!$B$297),0,'19_Расчет_аналитики'!BB3481*IF('01_Вводные'!$B$239="Да",MeanMinAge10+'19_Расчет_аналитики'!BB3595*SUMIF(ThresholdAge10,"&lt;"&amp;'19_Расчет_аналитики'!BB3595,WeightedRevAge10)-SUMIF(ThresholdAge10,"&lt;"&amp;'19_Расчет_аналитики'!BB3595,WeightedMinAge10),MAX(CapacityAge10*'01_Вводные'!$B$218*'19_Расчет_аналитики'!BB3595,MeanMinAge10))),0)</f>
        <v/>
      </c>
      <c r="BC3509">
        <f>IF('01_Вводные'!$B$234="Да",IF(OR('19_Расчет_аналитики'!BC3481=0,10&lt;='01_Вводные'!$B$297),0,'19_Расчет_аналитики'!BC3481*IF('01_Вводные'!$B$239="Да",MeanMinAge10+'19_Расчет_аналитики'!BC3595*SUMIF(ThresholdAge10,"&lt;"&amp;'19_Расчет_аналитики'!BC3595,WeightedRevAge10)-SUMIF(ThresholdAge10,"&lt;"&amp;'19_Расчет_аналитики'!BC3595,WeightedMinAge10),MAX(CapacityAge10*'01_Вводные'!$B$218*'19_Расчет_аналитики'!BC3595,MeanMinAge10))),0)</f>
        <v/>
      </c>
      <c r="BD3509">
        <f>IF('01_Вводные'!$B$234="Да",IF(OR('19_Расчет_аналитики'!BD3481=0,10&lt;='01_Вводные'!$B$297),0,'19_Расчет_аналитики'!BD3481*IF('01_Вводные'!$B$239="Да",MeanMinAge10+'19_Расчет_аналитики'!BD3595*SUMIF(ThresholdAge10,"&lt;"&amp;'19_Расчет_аналитики'!BD3595,WeightedRevAge10)-SUMIF(ThresholdAge10,"&lt;"&amp;'19_Расчет_аналитики'!BD3595,WeightedMinAge10),MAX(CapacityAge10*'01_Вводные'!$B$218*'19_Расчет_аналитики'!BD3595,MeanMinAge10))),0)</f>
        <v/>
      </c>
      <c r="BE3509">
        <f>IF('01_Вводные'!$B$234="Да",IF(OR('19_Расчет_аналитики'!BE3481=0,10&lt;='01_Вводные'!$B$297),0,'19_Расчет_аналитики'!BE3481*IF('01_Вводные'!$B$239="Да",MeanMinAge10+'19_Расчет_аналитики'!BE3595*SUMIF(ThresholdAge10,"&lt;"&amp;'19_Расчет_аналитики'!BE3595,WeightedRevAge10)-SUMIF(ThresholdAge10,"&lt;"&amp;'19_Расчет_аналитики'!BE3595,WeightedMinAge10),MAX(CapacityAge10*'01_Вводные'!$B$218*'19_Расчет_аналитики'!BE3595,MeanMinAge10))),0)</f>
        <v/>
      </c>
      <c r="BF3509">
        <f>IF('01_Вводные'!$B$234="Да",IF(OR('19_Расчет_аналитики'!BF3481=0,10&lt;='01_Вводные'!$B$297),0,'19_Расчет_аналитики'!BF3481*IF('01_Вводные'!$B$239="Да",MeanMinAge10+'19_Расчет_аналитики'!BF3595*SUMIF(ThresholdAge10,"&lt;"&amp;'19_Расчет_аналитики'!BF3595,WeightedRevAge10)-SUMIF(ThresholdAge10,"&lt;"&amp;'19_Расчет_аналитики'!BF3595,WeightedMinAge10),MAX(CapacityAge10*'01_Вводные'!$B$218*'19_Расчет_аналитики'!BF3595,MeanMinAge10))),0)</f>
        <v/>
      </c>
      <c r="BG3509">
        <f>IF('01_Вводные'!$B$234="Да",IF(OR('19_Расчет_аналитики'!BG3481=0,10&lt;='01_Вводные'!$B$297),0,'19_Расчет_аналитики'!BG3481*IF('01_Вводные'!$B$239="Да",MeanMinAge10+'19_Расчет_аналитики'!BG3595*SUMIF(ThresholdAge10,"&lt;"&amp;'19_Расчет_аналитики'!BG3595,WeightedRevAge10)-SUMIF(ThresholdAge10,"&lt;"&amp;'19_Расчет_аналитики'!BG3595,WeightedMinAge10),MAX(CapacityAge10*'01_Вводные'!$B$218*'19_Расчет_аналитики'!BG3595,MeanMinAge10))),0)</f>
        <v/>
      </c>
      <c r="BH3509">
        <f>IF('01_Вводные'!$B$234="Да",IF(OR('19_Расчет_аналитики'!BH3481=0,10&lt;='01_Вводные'!$B$297),0,'19_Расчет_аналитики'!BH3481*IF('01_Вводные'!$B$239="Да",MeanMinAge10+'19_Расчет_аналитики'!BH3595*SUMIF(ThresholdAge10,"&lt;"&amp;'19_Расчет_аналитики'!BH3595,WeightedRevAge10)-SUMIF(ThresholdAge10,"&lt;"&amp;'19_Расчет_аналитики'!BH3595,WeightedMinAge10),MAX(CapacityAge10*'01_Вводные'!$B$218*'19_Расчет_аналитики'!BH3595,MeanMinAge10))),0)</f>
        <v/>
      </c>
      <c r="BI3509">
        <f>IF('01_Вводные'!$B$234="Да",IF(OR('19_Расчет_аналитики'!BI3481=0,10&lt;='01_Вводные'!$B$297),0,'19_Расчет_аналитики'!BI3481*IF('01_Вводные'!$B$239="Да",MeanMinAge10+'19_Расчет_аналитики'!BI3595*SUMIF(ThresholdAge10,"&lt;"&amp;'19_Расчет_аналитики'!BI3595,WeightedRevAge10)-SUMIF(ThresholdAge10,"&lt;"&amp;'19_Расчет_аналитики'!BI3595,WeightedMinAge10),MAX(CapacityAge10*'01_Вводные'!$B$218*'19_Расчет_аналитики'!BI3595,MeanMinAge10))),0)</f>
        <v/>
      </c>
      <c r="BJ3509">
        <f>IF('01_Вводные'!$B$234="Да",IF(OR('19_Расчет_аналитики'!BJ3481=0,10&lt;='01_Вводные'!$B$297),0,'19_Расчет_аналитики'!BJ3481*IF('01_Вводные'!$B$239="Да",MeanMinAge10+'19_Расчет_аналитики'!BJ3595*SUMIF(ThresholdAge10,"&lt;"&amp;'19_Расчет_аналитики'!BJ3595,WeightedRevAge10)-SUMIF(ThresholdAge10,"&lt;"&amp;'19_Расчет_аналитики'!BJ3595,WeightedMinAge10),MAX(CapacityAge10*'01_Вводные'!$B$218*'19_Расчет_аналитики'!BJ3595,MeanMinAge10))),0)</f>
        <v/>
      </c>
      <c r="BK3509">
        <f>IF('01_Вводные'!$B$234="Да",IF(OR('19_Расчет_аналитики'!BK3481=0,10&lt;='01_Вводные'!$B$297),0,'19_Расчет_аналитики'!BK3481*IF('01_Вводные'!$B$239="Да",MeanMinAge10+'19_Расчет_аналитики'!BK3595*SUMIF(ThresholdAge10,"&lt;"&amp;'19_Расчет_аналитики'!BK3595,WeightedRevAge10)-SUMIF(ThresholdAge10,"&lt;"&amp;'19_Расчет_аналитики'!BK3595,WeightedMinAge10),MAX(CapacityAge10*'01_Вводные'!$B$218*'19_Расчет_аналитики'!BK3595,MeanMinAge10))),0)</f>
        <v/>
      </c>
      <c r="BL3509">
        <f>IF('01_Вводные'!$B$234="Да",IF(OR('19_Расчет_аналитики'!BL3481=0,10&lt;='01_Вводные'!$B$297),0,'19_Расчет_аналитики'!BL3481*IF('01_Вводные'!$B$239="Да",MeanMinAge10+'19_Расчет_аналитики'!BL3595*SUMIF(ThresholdAge10,"&lt;"&amp;'19_Расчет_аналитики'!BL3595,WeightedRevAge10)-SUMIF(ThresholdAge10,"&lt;"&amp;'19_Расчет_аналитики'!BL3595,WeightedMinAge10),MAX(CapacityAge10*'01_Вводные'!$B$218*'19_Расчет_аналитики'!BL3595,MeanMinAge10))),0)</f>
        <v/>
      </c>
      <c r="BM3509">
        <f>IF('01_Вводные'!$B$234="Да",IF(OR('19_Расчет_аналитики'!BM3481=0,10&lt;='01_Вводные'!$B$297),0,'19_Расчет_аналитики'!BM3481*IF('01_Вводные'!$B$239="Да",MeanMinAge10+'19_Расчет_аналитики'!BM3595*SUMIF(ThresholdAge10,"&lt;"&amp;'19_Расчет_аналитики'!BM3595,WeightedRevAge10)-SUMIF(ThresholdAge10,"&lt;"&amp;'19_Расчет_аналитики'!BM3595,WeightedMinAge10),MAX(CapacityAge10*'01_Вводные'!$B$218*'19_Расчет_аналитики'!BM3595,MeanMinAge10))),0)</f>
        <v/>
      </c>
      <c r="BN3509">
        <f>IF('01_Вводные'!$B$234="Да",IF(OR('19_Расчет_аналитики'!BN3481=0,10&lt;='01_Вводные'!$B$297),0,'19_Расчет_аналитики'!BN3481*IF('01_Вводные'!$B$239="Да",MeanMinAge10+'19_Расчет_аналитики'!BN3595*SUMIF(ThresholdAge10,"&lt;"&amp;'19_Расчет_аналитики'!BN3595,WeightedRevAge10)-SUMIF(ThresholdAge10,"&lt;"&amp;'19_Расчет_аналитики'!BN3595,WeightedMinAge10),MAX(CapacityAge10*'01_Вводные'!$B$218*'19_Расчет_аналитики'!BN3595,MeanMinAge10))),0)</f>
        <v/>
      </c>
      <c r="BO3509">
        <f>IF('01_Вводные'!$B$234="Да",IF(OR('19_Расчет_аналитики'!BO3481=0,10&lt;='01_Вводные'!$B$297),0,'19_Расчет_аналитики'!BO3481*IF('01_Вводные'!$B$239="Да",MeanMinAge10+'19_Расчет_аналитики'!BO3595*SUMIF(ThresholdAge10,"&lt;"&amp;'19_Расчет_аналитики'!BO3595,WeightedRevAge10)-SUMIF(ThresholdAge10,"&lt;"&amp;'19_Расчет_аналитики'!BO3595,WeightedMinAge10),MAX(CapacityAge10*'01_Вводные'!$B$218*'19_Расчет_аналитики'!BO3595,MeanMinAge10))),0)</f>
        <v/>
      </c>
    </row>
    <row r="3510">
      <c r="B3510">
        <f>IF('01_Вводные'!$B$234="Да",IF(OR('06_Сеть_и_дети'!B91=0,11&lt;='01_Вводные'!$B$297),0,'06_Сеть_и_дети'!B91*IF('01_Вводные'!$B$239="Да",MeanMinAge11+'19_Расчет_аналитики'!B3595*SUMIF(ThresholdAge11,"&lt;"&amp;'19_Расчет_аналитики'!B3595,WeightedRevAge11)-SUMIF(ThresholdAge11,"&lt;"&amp;'19_Расчет_аналитики'!B3595,WeightedMinAge11),MAX(CapacityAge11*'01_Вводные'!$B$218*'19_Расчет_аналитики'!B3595,MeanMinAge11))),0)</f>
        <v/>
      </c>
      <c r="C3510">
        <f>IF('01_Вводные'!$B$234="Да",IF(OR('06_Сеть_и_дети'!C91=0,11&lt;='01_Вводные'!$B$297),0,'06_Сеть_и_дети'!C91*IF('01_Вводные'!$B$239="Да",MeanMinAge11+'19_Расчет_аналитики'!C3595*SUMIF(ThresholdAge11,"&lt;"&amp;'19_Расчет_аналитики'!C3595,WeightedRevAge11)-SUMIF(ThresholdAge11,"&lt;"&amp;'19_Расчет_аналитики'!C3595,WeightedMinAge11),MAX(CapacityAge11*'01_Вводные'!$B$218*'19_Расчет_аналитики'!C3595,MeanMinAge11))),0)</f>
        <v/>
      </c>
      <c r="D3510">
        <f>IF('01_Вводные'!$B$234="Да",IF(OR('06_Сеть_и_дети'!D91=0,11&lt;='01_Вводные'!$B$297),0,'06_Сеть_и_дети'!D91*IF('01_Вводные'!$B$239="Да",MeanMinAge11+'19_Расчет_аналитики'!D3595*SUMIF(ThresholdAge11,"&lt;"&amp;'19_Расчет_аналитики'!D3595,WeightedRevAge11)-SUMIF(ThresholdAge11,"&lt;"&amp;'19_Расчет_аналитики'!D3595,WeightedMinAge11),MAX(CapacityAge11*'01_Вводные'!$B$218*'19_Расчет_аналитики'!D3595,MeanMinAge11))),0)</f>
        <v/>
      </c>
      <c r="E3510">
        <f>IF('01_Вводные'!$B$234="Да",IF(OR('06_Сеть_и_дети'!E91=0,11&lt;='01_Вводные'!$B$297),0,'06_Сеть_и_дети'!E91*IF('01_Вводные'!$B$239="Да",MeanMinAge11+'19_Расчет_аналитики'!E3595*SUMIF(ThresholdAge11,"&lt;"&amp;'19_Расчет_аналитики'!E3595,WeightedRevAge11)-SUMIF(ThresholdAge11,"&lt;"&amp;'19_Расчет_аналитики'!E3595,WeightedMinAge11),MAX(CapacityAge11*'01_Вводные'!$B$218*'19_Расчет_аналитики'!E3595,MeanMinAge11))),0)</f>
        <v/>
      </c>
      <c r="F3510">
        <f>IF('01_Вводные'!$B$234="Да",IF(OR('06_Сеть_и_дети'!F91=0,11&lt;='01_Вводные'!$B$297),0,'06_Сеть_и_дети'!F91*IF('01_Вводные'!$B$239="Да",MeanMinAge11+'19_Расчет_аналитики'!F3595*SUMIF(ThresholdAge11,"&lt;"&amp;'19_Расчет_аналитики'!F3595,WeightedRevAge11)-SUMIF(ThresholdAge11,"&lt;"&amp;'19_Расчет_аналитики'!F3595,WeightedMinAge11),MAX(CapacityAge11*'01_Вводные'!$B$218*'19_Расчет_аналитики'!F3595,MeanMinAge11))),0)</f>
        <v/>
      </c>
      <c r="G3510">
        <f>IF('01_Вводные'!$B$234="Да",IF(OR('06_Сеть_и_дети'!G91=0,11&lt;='01_Вводные'!$B$297),0,'06_Сеть_и_дети'!G91*IF('01_Вводные'!$B$239="Да",MeanMinAge11+'19_Расчет_аналитики'!G3595*SUMIF(ThresholdAge11,"&lt;"&amp;'19_Расчет_аналитики'!G3595,WeightedRevAge11)-SUMIF(ThresholdAge11,"&lt;"&amp;'19_Расчет_аналитики'!G3595,WeightedMinAge11),MAX(CapacityAge11*'01_Вводные'!$B$218*'19_Расчет_аналитики'!G3595,MeanMinAge11))),0)</f>
        <v/>
      </c>
      <c r="H3510">
        <f>IF('01_Вводные'!$B$234="Да",IF(OR('06_Сеть_и_дети'!H91=0,11&lt;='01_Вводные'!$B$297),0,'06_Сеть_и_дети'!H91*IF('01_Вводные'!$B$239="Да",MeanMinAge11+'19_Расчет_аналитики'!H3595*SUMIF(ThresholdAge11,"&lt;"&amp;'19_Расчет_аналитики'!H3595,WeightedRevAge11)-SUMIF(ThresholdAge11,"&lt;"&amp;'19_Расчет_аналитики'!H3595,WeightedMinAge11),MAX(CapacityAge11*'01_Вводные'!$B$218*'19_Расчет_аналитики'!H3595,MeanMinAge11))),0)</f>
        <v/>
      </c>
      <c r="I3510">
        <f>IF('01_Вводные'!$B$234="Да",IF(OR('06_Сеть_и_дети'!I91=0,11&lt;='01_Вводные'!$B$297),0,'06_Сеть_и_дети'!I91*IF('01_Вводные'!$B$239="Да",MeanMinAge11+'19_Расчет_аналитики'!I3595*SUMIF(ThresholdAge11,"&lt;"&amp;'19_Расчет_аналитики'!I3595,WeightedRevAge11)-SUMIF(ThresholdAge11,"&lt;"&amp;'19_Расчет_аналитики'!I3595,WeightedMinAge11),MAX(CapacityAge11*'01_Вводные'!$B$218*'19_Расчет_аналитики'!I3595,MeanMinAge11))),0)</f>
        <v/>
      </c>
      <c r="J3510">
        <f>IF('01_Вводные'!$B$234="Да",IF(OR('06_Сеть_и_дети'!J91=0,11&lt;='01_Вводные'!$B$297),0,'06_Сеть_и_дети'!J91*IF('01_Вводные'!$B$239="Да",MeanMinAge11+'19_Расчет_аналитики'!J3595*SUMIF(ThresholdAge11,"&lt;"&amp;'19_Расчет_аналитики'!J3595,WeightedRevAge11)-SUMIF(ThresholdAge11,"&lt;"&amp;'19_Расчет_аналитики'!J3595,WeightedMinAge11),MAX(CapacityAge11*'01_Вводные'!$B$218*'19_Расчет_аналитики'!J3595,MeanMinAge11))),0)</f>
        <v/>
      </c>
      <c r="K3510">
        <f>IF('01_Вводные'!$B$234="Да",IF(OR('06_Сеть_и_дети'!K91=0,11&lt;='01_Вводные'!$B$297),0,'06_Сеть_и_дети'!K91*IF('01_Вводные'!$B$239="Да",MeanMinAge11+'19_Расчет_аналитики'!K3595*SUMIF(ThresholdAge11,"&lt;"&amp;'19_Расчет_аналитики'!K3595,WeightedRevAge11)-SUMIF(ThresholdAge11,"&lt;"&amp;'19_Расчет_аналитики'!K3595,WeightedMinAge11),MAX(CapacityAge11*'01_Вводные'!$B$218*'19_Расчет_аналитики'!K3595,MeanMinAge11))),0)</f>
        <v/>
      </c>
      <c r="L3510">
        <f>IF('01_Вводные'!$B$234="Да",IF(OR('19_Расчет_аналитики'!L3482=0,11&lt;='01_Вводные'!$B$297),0,'19_Расчет_аналитики'!L3482*IF('01_Вводные'!$B$239="Да",MeanMinAge11+'19_Расчет_аналитики'!L3595*SUMIF(ThresholdAge11,"&lt;"&amp;'19_Расчет_аналитики'!L3595,WeightedRevAge11)-SUMIF(ThresholdAge11,"&lt;"&amp;'19_Расчет_аналитики'!L3595,WeightedMinAge11),MAX(CapacityAge11*'01_Вводные'!$B$218*'19_Расчет_аналитики'!L3595,MeanMinAge11))),0)</f>
        <v/>
      </c>
      <c r="M3510">
        <f>IF('01_Вводные'!$B$234="Да",IF(OR('19_Расчет_аналитики'!M3482=0,11&lt;='01_Вводные'!$B$297),0,'19_Расчет_аналитики'!M3482*IF('01_Вводные'!$B$239="Да",MeanMinAge11+'19_Расчет_аналитики'!M3595*SUMIF(ThresholdAge11,"&lt;"&amp;'19_Расчет_аналитики'!M3595,WeightedRevAge11)-SUMIF(ThresholdAge11,"&lt;"&amp;'19_Расчет_аналитики'!M3595,WeightedMinAge11),MAX(CapacityAge11*'01_Вводные'!$B$218*'19_Расчет_аналитики'!M3595,MeanMinAge11))),0)</f>
        <v/>
      </c>
      <c r="N3510">
        <f>IF('01_Вводные'!$B$234="Да",IF(OR('19_Расчет_аналитики'!N3482=0,11&lt;='01_Вводные'!$B$297),0,'19_Расчет_аналитики'!N3482*IF('01_Вводные'!$B$239="Да",MeanMinAge11+'19_Расчет_аналитики'!N3595*SUMIF(ThresholdAge11,"&lt;"&amp;'19_Расчет_аналитики'!N3595,WeightedRevAge11)-SUMIF(ThresholdAge11,"&lt;"&amp;'19_Расчет_аналитики'!N3595,WeightedMinAge11),MAX(CapacityAge11*'01_Вводные'!$B$218*'19_Расчет_аналитики'!N3595,MeanMinAge11))),0)</f>
        <v/>
      </c>
      <c r="O3510">
        <f>IF('01_Вводные'!$B$234="Да",IF(OR('19_Расчет_аналитики'!O3482=0,11&lt;='01_Вводные'!$B$297),0,'19_Расчет_аналитики'!O3482*IF('01_Вводные'!$B$239="Да",MeanMinAge11+'19_Расчет_аналитики'!O3595*SUMIF(ThresholdAge11,"&lt;"&amp;'19_Расчет_аналитики'!O3595,WeightedRevAge11)-SUMIF(ThresholdAge11,"&lt;"&amp;'19_Расчет_аналитики'!O3595,WeightedMinAge11),MAX(CapacityAge11*'01_Вводные'!$B$218*'19_Расчет_аналитики'!O3595,MeanMinAge11))),0)</f>
        <v/>
      </c>
      <c r="P3510">
        <f>IF('01_Вводные'!$B$234="Да",IF(OR('19_Расчет_аналитики'!P3482=0,11&lt;='01_Вводные'!$B$297),0,'19_Расчет_аналитики'!P3482*IF('01_Вводные'!$B$239="Да",MeanMinAge11+'19_Расчет_аналитики'!P3595*SUMIF(ThresholdAge11,"&lt;"&amp;'19_Расчет_аналитики'!P3595,WeightedRevAge11)-SUMIF(ThresholdAge11,"&lt;"&amp;'19_Расчет_аналитики'!P3595,WeightedMinAge11),MAX(CapacityAge11*'01_Вводные'!$B$218*'19_Расчет_аналитики'!P3595,MeanMinAge11))),0)</f>
        <v/>
      </c>
      <c r="Q3510">
        <f>IF('01_Вводные'!$B$234="Да",IF(OR('19_Расчет_аналитики'!Q3482=0,11&lt;='01_Вводные'!$B$297),0,'19_Расчет_аналитики'!Q3482*IF('01_Вводные'!$B$239="Да",MeanMinAge11+'19_Расчет_аналитики'!Q3595*SUMIF(ThresholdAge11,"&lt;"&amp;'19_Расчет_аналитики'!Q3595,WeightedRevAge11)-SUMIF(ThresholdAge11,"&lt;"&amp;'19_Расчет_аналитики'!Q3595,WeightedMinAge11),MAX(CapacityAge11*'01_Вводные'!$B$218*'19_Расчет_аналитики'!Q3595,MeanMinAge11))),0)</f>
        <v/>
      </c>
      <c r="R3510">
        <f>IF('01_Вводные'!$B$234="Да",IF(OR('19_Расчет_аналитики'!R3482=0,11&lt;='01_Вводные'!$B$297),0,'19_Расчет_аналитики'!R3482*IF('01_Вводные'!$B$239="Да",MeanMinAge11+'19_Расчет_аналитики'!R3595*SUMIF(ThresholdAge11,"&lt;"&amp;'19_Расчет_аналитики'!R3595,WeightedRevAge11)-SUMIF(ThresholdAge11,"&lt;"&amp;'19_Расчет_аналитики'!R3595,WeightedMinAge11),MAX(CapacityAge11*'01_Вводные'!$B$218*'19_Расчет_аналитики'!R3595,MeanMinAge11))),0)</f>
        <v/>
      </c>
      <c r="S3510">
        <f>IF('01_Вводные'!$B$234="Да",IF(OR('19_Расчет_аналитики'!S3482=0,11&lt;='01_Вводные'!$B$297),0,'19_Расчет_аналитики'!S3482*IF('01_Вводные'!$B$239="Да",MeanMinAge11+'19_Расчет_аналитики'!S3595*SUMIF(ThresholdAge11,"&lt;"&amp;'19_Расчет_аналитики'!S3595,WeightedRevAge11)-SUMIF(ThresholdAge11,"&lt;"&amp;'19_Расчет_аналитики'!S3595,WeightedMinAge11),MAX(CapacityAge11*'01_Вводные'!$B$218*'19_Расчет_аналитики'!S3595,MeanMinAge11))),0)</f>
        <v/>
      </c>
      <c r="T3510">
        <f>IF('01_Вводные'!$B$234="Да",IF(OR('19_Расчет_аналитики'!T3482=0,11&lt;='01_Вводные'!$B$297),0,'19_Расчет_аналитики'!T3482*IF('01_Вводные'!$B$239="Да",MeanMinAge11+'19_Расчет_аналитики'!T3595*SUMIF(ThresholdAge11,"&lt;"&amp;'19_Расчет_аналитики'!T3595,WeightedRevAge11)-SUMIF(ThresholdAge11,"&lt;"&amp;'19_Расчет_аналитики'!T3595,WeightedMinAge11),MAX(CapacityAge11*'01_Вводные'!$B$218*'19_Расчет_аналитики'!T3595,MeanMinAge11))),0)</f>
        <v/>
      </c>
      <c r="U3510">
        <f>IF('01_Вводные'!$B$234="Да",IF(OR('19_Расчет_аналитики'!U3482=0,11&lt;='01_Вводные'!$B$297),0,'19_Расчет_аналитики'!U3482*IF('01_Вводные'!$B$239="Да",MeanMinAge11+'19_Расчет_аналитики'!U3595*SUMIF(ThresholdAge11,"&lt;"&amp;'19_Расчет_аналитики'!U3595,WeightedRevAge11)-SUMIF(ThresholdAge11,"&lt;"&amp;'19_Расчет_аналитики'!U3595,WeightedMinAge11),MAX(CapacityAge11*'01_Вводные'!$B$218*'19_Расчет_аналитики'!U3595,MeanMinAge11))),0)</f>
        <v/>
      </c>
      <c r="V3510">
        <f>IF('01_Вводные'!$B$234="Да",IF(OR('19_Расчет_аналитики'!V3482=0,11&lt;='01_Вводные'!$B$297),0,'19_Расчет_аналитики'!V3482*IF('01_Вводные'!$B$239="Да",MeanMinAge11+'19_Расчет_аналитики'!V3595*SUMIF(ThresholdAge11,"&lt;"&amp;'19_Расчет_аналитики'!V3595,WeightedRevAge11)-SUMIF(ThresholdAge11,"&lt;"&amp;'19_Расчет_аналитики'!V3595,WeightedMinAge11),MAX(CapacityAge11*'01_Вводные'!$B$218*'19_Расчет_аналитики'!V3595,MeanMinAge11))),0)</f>
        <v/>
      </c>
      <c r="W3510">
        <f>IF('01_Вводные'!$B$234="Да",IF(OR('19_Расчет_аналитики'!W3482=0,11&lt;='01_Вводные'!$B$297),0,'19_Расчет_аналитики'!W3482*IF('01_Вводные'!$B$239="Да",MeanMinAge11+'19_Расчет_аналитики'!W3595*SUMIF(ThresholdAge11,"&lt;"&amp;'19_Расчет_аналитики'!W3595,WeightedRevAge11)-SUMIF(ThresholdAge11,"&lt;"&amp;'19_Расчет_аналитики'!W3595,WeightedMinAge11),MAX(CapacityAge11*'01_Вводные'!$B$218*'19_Расчет_аналитики'!W3595,MeanMinAge11))),0)</f>
        <v/>
      </c>
      <c r="X3510">
        <f>IF('01_Вводные'!$B$234="Да",IF(OR('19_Расчет_аналитики'!X3482=0,11&lt;='01_Вводные'!$B$297),0,'19_Расчет_аналитики'!X3482*IF('01_Вводные'!$B$239="Да",MeanMinAge11+'19_Расчет_аналитики'!X3595*SUMIF(ThresholdAge11,"&lt;"&amp;'19_Расчет_аналитики'!X3595,WeightedRevAge11)-SUMIF(ThresholdAge11,"&lt;"&amp;'19_Расчет_аналитики'!X3595,WeightedMinAge11),MAX(CapacityAge11*'01_Вводные'!$B$218*'19_Расчет_аналитики'!X3595,MeanMinAge11))),0)</f>
        <v/>
      </c>
      <c r="Y3510">
        <f>IF('01_Вводные'!$B$234="Да",IF(OR('19_Расчет_аналитики'!Y3482=0,11&lt;='01_Вводные'!$B$297),0,'19_Расчет_аналитики'!Y3482*IF('01_Вводные'!$B$239="Да",MeanMinAge11+'19_Расчет_аналитики'!Y3595*SUMIF(ThresholdAge11,"&lt;"&amp;'19_Расчет_аналитики'!Y3595,WeightedRevAge11)-SUMIF(ThresholdAge11,"&lt;"&amp;'19_Расчет_аналитики'!Y3595,WeightedMinAge11),MAX(CapacityAge11*'01_Вводные'!$B$218*'19_Расчет_аналитики'!Y3595,MeanMinAge11))),0)</f>
        <v/>
      </c>
      <c r="Z3510">
        <f>IF('01_Вводные'!$B$234="Да",IF(OR('19_Расчет_аналитики'!Z3482=0,11&lt;='01_Вводные'!$B$297),0,'19_Расчет_аналитики'!Z3482*IF('01_Вводные'!$B$239="Да",MeanMinAge11+'19_Расчет_аналитики'!Z3595*SUMIF(ThresholdAge11,"&lt;"&amp;'19_Расчет_аналитики'!Z3595,WeightedRevAge11)-SUMIF(ThresholdAge11,"&lt;"&amp;'19_Расчет_аналитики'!Z3595,WeightedMinAge11),MAX(CapacityAge11*'01_Вводные'!$B$218*'19_Расчет_аналитики'!Z3595,MeanMinAge11))),0)</f>
        <v/>
      </c>
      <c r="AA3510">
        <f>IF('01_Вводные'!$B$234="Да",IF(OR('19_Расчет_аналитики'!AA3482=0,11&lt;='01_Вводные'!$B$297),0,'19_Расчет_аналитики'!AA3482*IF('01_Вводные'!$B$239="Да",MeanMinAge11+'19_Расчет_аналитики'!AA3595*SUMIF(ThresholdAge11,"&lt;"&amp;'19_Расчет_аналитики'!AA3595,WeightedRevAge11)-SUMIF(ThresholdAge11,"&lt;"&amp;'19_Расчет_аналитики'!AA3595,WeightedMinAge11),MAX(CapacityAge11*'01_Вводные'!$B$218*'19_Расчет_аналитики'!AA3595,MeanMinAge11))),0)</f>
        <v/>
      </c>
      <c r="AB3510">
        <f>IF('01_Вводные'!$B$234="Да",IF(OR('19_Расчет_аналитики'!AB3482=0,11&lt;='01_Вводные'!$B$297),0,'19_Расчет_аналитики'!AB3482*IF('01_Вводные'!$B$239="Да",MeanMinAge11+'19_Расчет_аналитики'!AB3595*SUMIF(ThresholdAge11,"&lt;"&amp;'19_Расчет_аналитики'!AB3595,WeightedRevAge11)-SUMIF(ThresholdAge11,"&lt;"&amp;'19_Расчет_аналитики'!AB3595,WeightedMinAge11),MAX(CapacityAge11*'01_Вводные'!$B$218*'19_Расчет_аналитики'!AB3595,MeanMinAge11))),0)</f>
        <v/>
      </c>
      <c r="AC3510">
        <f>IF('01_Вводные'!$B$234="Да",IF(OR('19_Расчет_аналитики'!AC3482=0,11&lt;='01_Вводные'!$B$297),0,'19_Расчет_аналитики'!AC3482*IF('01_Вводные'!$B$239="Да",MeanMinAge11+'19_Расчет_аналитики'!AC3595*SUMIF(ThresholdAge11,"&lt;"&amp;'19_Расчет_аналитики'!AC3595,WeightedRevAge11)-SUMIF(ThresholdAge11,"&lt;"&amp;'19_Расчет_аналитики'!AC3595,WeightedMinAge11),MAX(CapacityAge11*'01_Вводные'!$B$218*'19_Расчет_аналитики'!AC3595,MeanMinAge11))),0)</f>
        <v/>
      </c>
      <c r="AD3510">
        <f>IF('01_Вводные'!$B$234="Да",IF(OR('19_Расчет_аналитики'!AD3482=0,11&lt;='01_Вводные'!$B$297),0,'19_Расчет_аналитики'!AD3482*IF('01_Вводные'!$B$239="Да",MeanMinAge11+'19_Расчет_аналитики'!AD3595*SUMIF(ThresholdAge11,"&lt;"&amp;'19_Расчет_аналитики'!AD3595,WeightedRevAge11)-SUMIF(ThresholdAge11,"&lt;"&amp;'19_Расчет_аналитики'!AD3595,WeightedMinAge11),MAX(CapacityAge11*'01_Вводные'!$B$218*'19_Расчет_аналитики'!AD3595,MeanMinAge11))),0)</f>
        <v/>
      </c>
      <c r="AE3510">
        <f>IF('01_Вводные'!$B$234="Да",IF(OR('19_Расчет_аналитики'!AE3482=0,11&lt;='01_Вводные'!$B$297),0,'19_Расчет_аналитики'!AE3482*IF('01_Вводные'!$B$239="Да",MeanMinAge11+'19_Расчет_аналитики'!AE3595*SUMIF(ThresholdAge11,"&lt;"&amp;'19_Расчет_аналитики'!AE3595,WeightedRevAge11)-SUMIF(ThresholdAge11,"&lt;"&amp;'19_Расчет_аналитики'!AE3595,WeightedMinAge11),MAX(CapacityAge11*'01_Вводные'!$B$218*'19_Расчет_аналитики'!AE3595,MeanMinAge11))),0)</f>
        <v/>
      </c>
      <c r="AF3510">
        <f>IF('01_Вводные'!$B$234="Да",IF(OR('19_Расчет_аналитики'!AF3482=0,11&lt;='01_Вводные'!$B$297),0,'19_Расчет_аналитики'!AF3482*IF('01_Вводные'!$B$239="Да",MeanMinAge11+'19_Расчет_аналитики'!AF3595*SUMIF(ThresholdAge11,"&lt;"&amp;'19_Расчет_аналитики'!AF3595,WeightedRevAge11)-SUMIF(ThresholdAge11,"&lt;"&amp;'19_Расчет_аналитики'!AF3595,WeightedMinAge11),MAX(CapacityAge11*'01_Вводные'!$B$218*'19_Расчет_аналитики'!AF3595,MeanMinAge11))),0)</f>
        <v/>
      </c>
      <c r="AG3510">
        <f>IF('01_Вводные'!$B$234="Да",IF(OR('19_Расчет_аналитики'!AG3482=0,11&lt;='01_Вводные'!$B$297),0,'19_Расчет_аналитики'!AG3482*IF('01_Вводные'!$B$239="Да",MeanMinAge11+'19_Расчет_аналитики'!AG3595*SUMIF(ThresholdAge11,"&lt;"&amp;'19_Расчет_аналитики'!AG3595,WeightedRevAge11)-SUMIF(ThresholdAge11,"&lt;"&amp;'19_Расчет_аналитики'!AG3595,WeightedMinAge11),MAX(CapacityAge11*'01_Вводные'!$B$218*'19_Расчет_аналитики'!AG3595,MeanMinAge11))),0)</f>
        <v/>
      </c>
      <c r="AH3510">
        <f>IF('01_Вводные'!$B$234="Да",IF(OR('19_Расчет_аналитики'!AH3482=0,11&lt;='01_Вводные'!$B$297),0,'19_Расчет_аналитики'!AH3482*IF('01_Вводные'!$B$239="Да",MeanMinAge11+'19_Расчет_аналитики'!AH3595*SUMIF(ThresholdAge11,"&lt;"&amp;'19_Расчет_аналитики'!AH3595,WeightedRevAge11)-SUMIF(ThresholdAge11,"&lt;"&amp;'19_Расчет_аналитики'!AH3595,WeightedMinAge11),MAX(CapacityAge11*'01_Вводные'!$B$218*'19_Расчет_аналитики'!AH3595,MeanMinAge11))),0)</f>
        <v/>
      </c>
      <c r="AI3510">
        <f>IF('01_Вводные'!$B$234="Да",IF(OR('19_Расчет_аналитики'!AI3482=0,11&lt;='01_Вводные'!$B$297),0,'19_Расчет_аналитики'!AI3482*IF('01_Вводные'!$B$239="Да",MeanMinAge11+'19_Расчет_аналитики'!AI3595*SUMIF(ThresholdAge11,"&lt;"&amp;'19_Расчет_аналитики'!AI3595,WeightedRevAge11)-SUMIF(ThresholdAge11,"&lt;"&amp;'19_Расчет_аналитики'!AI3595,WeightedMinAge11),MAX(CapacityAge11*'01_Вводные'!$B$218*'19_Расчет_аналитики'!AI3595,MeanMinAge11))),0)</f>
        <v/>
      </c>
      <c r="AJ3510">
        <f>IF('01_Вводные'!$B$234="Да",IF(OR('19_Расчет_аналитики'!AJ3482=0,11&lt;='01_Вводные'!$B$297),0,'19_Расчет_аналитики'!AJ3482*IF('01_Вводные'!$B$239="Да",MeanMinAge11+'19_Расчет_аналитики'!AJ3595*SUMIF(ThresholdAge11,"&lt;"&amp;'19_Расчет_аналитики'!AJ3595,WeightedRevAge11)-SUMIF(ThresholdAge11,"&lt;"&amp;'19_Расчет_аналитики'!AJ3595,WeightedMinAge11),MAX(CapacityAge11*'01_Вводные'!$B$218*'19_Расчет_аналитики'!AJ3595,MeanMinAge11))),0)</f>
        <v/>
      </c>
      <c r="AK3510">
        <f>IF('01_Вводные'!$B$234="Да",IF(OR('19_Расчет_аналитики'!AK3482=0,11&lt;='01_Вводные'!$B$297),0,'19_Расчет_аналитики'!AK3482*IF('01_Вводные'!$B$239="Да",MeanMinAge11+'19_Расчет_аналитики'!AK3595*SUMIF(ThresholdAge11,"&lt;"&amp;'19_Расчет_аналитики'!AK3595,WeightedRevAge11)-SUMIF(ThresholdAge11,"&lt;"&amp;'19_Расчет_аналитики'!AK3595,WeightedMinAge11),MAX(CapacityAge11*'01_Вводные'!$B$218*'19_Расчет_аналитики'!AK3595,MeanMinAge11))),0)</f>
        <v/>
      </c>
      <c r="AL3510">
        <f>IF('01_Вводные'!$B$234="Да",IF(OR('19_Расчет_аналитики'!AL3482=0,11&lt;='01_Вводные'!$B$297),0,'19_Расчет_аналитики'!AL3482*IF('01_Вводные'!$B$239="Да",MeanMinAge11+'19_Расчет_аналитики'!AL3595*SUMIF(ThresholdAge11,"&lt;"&amp;'19_Расчет_аналитики'!AL3595,WeightedRevAge11)-SUMIF(ThresholdAge11,"&lt;"&amp;'19_Расчет_аналитики'!AL3595,WeightedMinAge11),MAX(CapacityAge11*'01_Вводные'!$B$218*'19_Расчет_аналитики'!AL3595,MeanMinAge11))),0)</f>
        <v/>
      </c>
      <c r="AM3510">
        <f>IF('01_Вводные'!$B$234="Да",IF(OR('19_Расчет_аналитики'!AM3482=0,11&lt;='01_Вводные'!$B$297),0,'19_Расчет_аналитики'!AM3482*IF('01_Вводные'!$B$239="Да",MeanMinAge11+'19_Расчет_аналитики'!AM3595*SUMIF(ThresholdAge11,"&lt;"&amp;'19_Расчет_аналитики'!AM3595,WeightedRevAge11)-SUMIF(ThresholdAge11,"&lt;"&amp;'19_Расчет_аналитики'!AM3595,WeightedMinAge11),MAX(CapacityAge11*'01_Вводные'!$B$218*'19_Расчет_аналитики'!AM3595,MeanMinAge11))),0)</f>
        <v/>
      </c>
      <c r="AN3510">
        <f>IF('01_Вводные'!$B$234="Да",IF(OR('19_Расчет_аналитики'!AN3482=0,11&lt;='01_Вводные'!$B$297),0,'19_Расчет_аналитики'!AN3482*IF('01_Вводные'!$B$239="Да",MeanMinAge11+'19_Расчет_аналитики'!AN3595*SUMIF(ThresholdAge11,"&lt;"&amp;'19_Расчет_аналитики'!AN3595,WeightedRevAge11)-SUMIF(ThresholdAge11,"&lt;"&amp;'19_Расчет_аналитики'!AN3595,WeightedMinAge11),MAX(CapacityAge11*'01_Вводные'!$B$218*'19_Расчет_аналитики'!AN3595,MeanMinAge11))),0)</f>
        <v/>
      </c>
      <c r="AO3510">
        <f>IF('01_Вводные'!$B$234="Да",IF(OR('19_Расчет_аналитики'!AO3482=0,11&lt;='01_Вводные'!$B$297),0,'19_Расчет_аналитики'!AO3482*IF('01_Вводные'!$B$239="Да",MeanMinAge11+'19_Расчет_аналитики'!AO3595*SUMIF(ThresholdAge11,"&lt;"&amp;'19_Расчет_аналитики'!AO3595,WeightedRevAge11)-SUMIF(ThresholdAge11,"&lt;"&amp;'19_Расчет_аналитики'!AO3595,WeightedMinAge11),MAX(CapacityAge11*'01_Вводные'!$B$218*'19_Расчет_аналитики'!AO3595,MeanMinAge11))),0)</f>
        <v/>
      </c>
      <c r="AP3510">
        <f>IF('01_Вводные'!$B$234="Да",IF(OR('19_Расчет_аналитики'!AP3482=0,11&lt;='01_Вводные'!$B$297),0,'19_Расчет_аналитики'!AP3482*IF('01_Вводные'!$B$239="Да",MeanMinAge11+'19_Расчет_аналитики'!AP3595*SUMIF(ThresholdAge11,"&lt;"&amp;'19_Расчет_аналитики'!AP3595,WeightedRevAge11)-SUMIF(ThresholdAge11,"&lt;"&amp;'19_Расчет_аналитики'!AP3595,WeightedMinAge11),MAX(CapacityAge11*'01_Вводные'!$B$218*'19_Расчет_аналитики'!AP3595,MeanMinAge11))),0)</f>
        <v/>
      </c>
      <c r="AQ3510">
        <f>IF('01_Вводные'!$B$234="Да",IF(OR('19_Расчет_аналитики'!AQ3482=0,11&lt;='01_Вводные'!$B$297),0,'19_Расчет_аналитики'!AQ3482*IF('01_Вводные'!$B$239="Да",MeanMinAge11+'19_Расчет_аналитики'!AQ3595*SUMIF(ThresholdAge11,"&lt;"&amp;'19_Расчет_аналитики'!AQ3595,WeightedRevAge11)-SUMIF(ThresholdAge11,"&lt;"&amp;'19_Расчет_аналитики'!AQ3595,WeightedMinAge11),MAX(CapacityAge11*'01_Вводные'!$B$218*'19_Расчет_аналитики'!AQ3595,MeanMinAge11))),0)</f>
        <v/>
      </c>
      <c r="AR3510">
        <f>IF('01_Вводные'!$B$234="Да",IF(OR('19_Расчет_аналитики'!AR3482=0,11&lt;='01_Вводные'!$B$297),0,'19_Расчет_аналитики'!AR3482*IF('01_Вводные'!$B$239="Да",MeanMinAge11+'19_Расчет_аналитики'!AR3595*SUMIF(ThresholdAge11,"&lt;"&amp;'19_Расчет_аналитики'!AR3595,WeightedRevAge11)-SUMIF(ThresholdAge11,"&lt;"&amp;'19_Расчет_аналитики'!AR3595,WeightedMinAge11),MAX(CapacityAge11*'01_Вводные'!$B$218*'19_Расчет_аналитики'!AR3595,MeanMinAge11))),0)</f>
        <v/>
      </c>
      <c r="AS3510">
        <f>IF('01_Вводные'!$B$234="Да",IF(OR('19_Расчет_аналитики'!AS3482=0,11&lt;='01_Вводные'!$B$297),0,'19_Расчет_аналитики'!AS3482*IF('01_Вводные'!$B$239="Да",MeanMinAge11+'19_Расчет_аналитики'!AS3595*SUMIF(ThresholdAge11,"&lt;"&amp;'19_Расчет_аналитики'!AS3595,WeightedRevAge11)-SUMIF(ThresholdAge11,"&lt;"&amp;'19_Расчет_аналитики'!AS3595,WeightedMinAge11),MAX(CapacityAge11*'01_Вводные'!$B$218*'19_Расчет_аналитики'!AS3595,MeanMinAge11))),0)</f>
        <v/>
      </c>
      <c r="AT3510">
        <f>IF('01_Вводные'!$B$234="Да",IF(OR('19_Расчет_аналитики'!AT3482=0,11&lt;='01_Вводные'!$B$297),0,'19_Расчет_аналитики'!AT3482*IF('01_Вводные'!$B$239="Да",MeanMinAge11+'19_Расчет_аналитики'!AT3595*SUMIF(ThresholdAge11,"&lt;"&amp;'19_Расчет_аналитики'!AT3595,WeightedRevAge11)-SUMIF(ThresholdAge11,"&lt;"&amp;'19_Расчет_аналитики'!AT3595,WeightedMinAge11),MAX(CapacityAge11*'01_Вводные'!$B$218*'19_Расчет_аналитики'!AT3595,MeanMinAge11))),0)</f>
        <v/>
      </c>
      <c r="AU3510">
        <f>IF('01_Вводные'!$B$234="Да",IF(OR('19_Расчет_аналитики'!AU3482=0,11&lt;='01_Вводные'!$B$297),0,'19_Расчет_аналитики'!AU3482*IF('01_Вводные'!$B$239="Да",MeanMinAge11+'19_Расчет_аналитики'!AU3595*SUMIF(ThresholdAge11,"&lt;"&amp;'19_Расчет_аналитики'!AU3595,WeightedRevAge11)-SUMIF(ThresholdAge11,"&lt;"&amp;'19_Расчет_аналитики'!AU3595,WeightedMinAge11),MAX(CapacityAge11*'01_Вводные'!$B$218*'19_Расчет_аналитики'!AU3595,MeanMinAge11))),0)</f>
        <v/>
      </c>
      <c r="AV3510">
        <f>IF('01_Вводные'!$B$234="Да",IF(OR('19_Расчет_аналитики'!AV3482=0,11&lt;='01_Вводные'!$B$297),0,'19_Расчет_аналитики'!AV3482*IF('01_Вводные'!$B$239="Да",MeanMinAge11+'19_Расчет_аналитики'!AV3595*SUMIF(ThresholdAge11,"&lt;"&amp;'19_Расчет_аналитики'!AV3595,WeightedRevAge11)-SUMIF(ThresholdAge11,"&lt;"&amp;'19_Расчет_аналитики'!AV3595,WeightedMinAge11),MAX(CapacityAge11*'01_Вводные'!$B$218*'19_Расчет_аналитики'!AV3595,MeanMinAge11))),0)</f>
        <v/>
      </c>
      <c r="AW3510">
        <f>IF('01_Вводные'!$B$234="Да",IF(OR('19_Расчет_аналитики'!AW3482=0,11&lt;='01_Вводные'!$B$297),0,'19_Расчет_аналитики'!AW3482*IF('01_Вводные'!$B$239="Да",MeanMinAge11+'19_Расчет_аналитики'!AW3595*SUMIF(ThresholdAge11,"&lt;"&amp;'19_Расчет_аналитики'!AW3595,WeightedRevAge11)-SUMIF(ThresholdAge11,"&lt;"&amp;'19_Расчет_аналитики'!AW3595,WeightedMinAge11),MAX(CapacityAge11*'01_Вводные'!$B$218*'19_Расчет_аналитики'!AW3595,MeanMinAge11))),0)</f>
        <v/>
      </c>
      <c r="AX3510">
        <f>IF('01_Вводные'!$B$234="Да",IF(OR('19_Расчет_аналитики'!AX3482=0,11&lt;='01_Вводные'!$B$297),0,'19_Расчет_аналитики'!AX3482*IF('01_Вводные'!$B$239="Да",MeanMinAge11+'19_Расчет_аналитики'!AX3595*SUMIF(ThresholdAge11,"&lt;"&amp;'19_Расчет_аналитики'!AX3595,WeightedRevAge11)-SUMIF(ThresholdAge11,"&lt;"&amp;'19_Расчет_аналитики'!AX3595,WeightedMinAge11),MAX(CapacityAge11*'01_Вводные'!$B$218*'19_Расчет_аналитики'!AX3595,MeanMinAge11))),0)</f>
        <v/>
      </c>
      <c r="AY3510">
        <f>IF('01_Вводные'!$B$234="Да",IF(OR('19_Расчет_аналитики'!AY3482=0,11&lt;='01_Вводные'!$B$297),0,'19_Расчет_аналитики'!AY3482*IF('01_Вводные'!$B$239="Да",MeanMinAge11+'19_Расчет_аналитики'!AY3595*SUMIF(ThresholdAge11,"&lt;"&amp;'19_Расчет_аналитики'!AY3595,WeightedRevAge11)-SUMIF(ThresholdAge11,"&lt;"&amp;'19_Расчет_аналитики'!AY3595,WeightedMinAge11),MAX(CapacityAge11*'01_Вводные'!$B$218*'19_Расчет_аналитики'!AY3595,MeanMinAge11))),0)</f>
        <v/>
      </c>
      <c r="AZ3510">
        <f>IF('01_Вводные'!$B$234="Да",IF(OR('19_Расчет_аналитики'!AZ3482=0,11&lt;='01_Вводные'!$B$297),0,'19_Расчет_аналитики'!AZ3482*IF('01_Вводные'!$B$239="Да",MeanMinAge11+'19_Расчет_аналитики'!AZ3595*SUMIF(ThresholdAge11,"&lt;"&amp;'19_Расчет_аналитики'!AZ3595,WeightedRevAge11)-SUMIF(ThresholdAge11,"&lt;"&amp;'19_Расчет_аналитики'!AZ3595,WeightedMinAge11),MAX(CapacityAge11*'01_Вводные'!$B$218*'19_Расчет_аналитики'!AZ3595,MeanMinAge11))),0)</f>
        <v/>
      </c>
      <c r="BA3510">
        <f>IF('01_Вводные'!$B$234="Да",IF(OR('19_Расчет_аналитики'!BA3482=0,11&lt;='01_Вводные'!$B$297),0,'19_Расчет_аналитики'!BA3482*IF('01_Вводные'!$B$239="Да",MeanMinAge11+'19_Расчет_аналитики'!BA3595*SUMIF(ThresholdAge11,"&lt;"&amp;'19_Расчет_аналитики'!BA3595,WeightedRevAge11)-SUMIF(ThresholdAge11,"&lt;"&amp;'19_Расчет_аналитики'!BA3595,WeightedMinAge11),MAX(CapacityAge11*'01_Вводные'!$B$218*'19_Расчет_аналитики'!BA3595,MeanMinAge11))),0)</f>
        <v/>
      </c>
      <c r="BB3510">
        <f>IF('01_Вводные'!$B$234="Да",IF(OR('19_Расчет_аналитики'!BB3482=0,11&lt;='01_Вводные'!$B$297),0,'19_Расчет_аналитики'!BB3482*IF('01_Вводные'!$B$239="Да",MeanMinAge11+'19_Расчет_аналитики'!BB3595*SUMIF(ThresholdAge11,"&lt;"&amp;'19_Расчет_аналитики'!BB3595,WeightedRevAge11)-SUMIF(ThresholdAge11,"&lt;"&amp;'19_Расчет_аналитики'!BB3595,WeightedMinAge11),MAX(CapacityAge11*'01_Вводные'!$B$218*'19_Расчет_аналитики'!BB3595,MeanMinAge11))),0)</f>
        <v/>
      </c>
      <c r="BC3510">
        <f>IF('01_Вводные'!$B$234="Да",IF(OR('19_Расчет_аналитики'!BC3482=0,11&lt;='01_Вводные'!$B$297),0,'19_Расчет_аналитики'!BC3482*IF('01_Вводные'!$B$239="Да",MeanMinAge11+'19_Расчет_аналитики'!BC3595*SUMIF(ThresholdAge11,"&lt;"&amp;'19_Расчет_аналитики'!BC3595,WeightedRevAge11)-SUMIF(ThresholdAge11,"&lt;"&amp;'19_Расчет_аналитики'!BC3595,WeightedMinAge11),MAX(CapacityAge11*'01_Вводные'!$B$218*'19_Расчет_аналитики'!BC3595,MeanMinAge11))),0)</f>
        <v/>
      </c>
      <c r="BD3510">
        <f>IF('01_Вводные'!$B$234="Да",IF(OR('19_Расчет_аналитики'!BD3482=0,11&lt;='01_Вводные'!$B$297),0,'19_Расчет_аналитики'!BD3482*IF('01_Вводные'!$B$239="Да",MeanMinAge11+'19_Расчет_аналитики'!BD3595*SUMIF(ThresholdAge11,"&lt;"&amp;'19_Расчет_аналитики'!BD3595,WeightedRevAge11)-SUMIF(ThresholdAge11,"&lt;"&amp;'19_Расчет_аналитики'!BD3595,WeightedMinAge11),MAX(CapacityAge11*'01_Вводные'!$B$218*'19_Расчет_аналитики'!BD3595,MeanMinAge11))),0)</f>
        <v/>
      </c>
      <c r="BE3510">
        <f>IF('01_Вводные'!$B$234="Да",IF(OR('19_Расчет_аналитики'!BE3482=0,11&lt;='01_Вводные'!$B$297),0,'19_Расчет_аналитики'!BE3482*IF('01_Вводные'!$B$239="Да",MeanMinAge11+'19_Расчет_аналитики'!BE3595*SUMIF(ThresholdAge11,"&lt;"&amp;'19_Расчет_аналитики'!BE3595,WeightedRevAge11)-SUMIF(ThresholdAge11,"&lt;"&amp;'19_Расчет_аналитики'!BE3595,WeightedMinAge11),MAX(CapacityAge11*'01_Вводные'!$B$218*'19_Расчет_аналитики'!BE3595,MeanMinAge11))),0)</f>
        <v/>
      </c>
      <c r="BF3510">
        <f>IF('01_Вводные'!$B$234="Да",IF(OR('19_Расчет_аналитики'!BF3482=0,11&lt;='01_Вводные'!$B$297),0,'19_Расчет_аналитики'!BF3482*IF('01_Вводные'!$B$239="Да",MeanMinAge11+'19_Расчет_аналитики'!BF3595*SUMIF(ThresholdAge11,"&lt;"&amp;'19_Расчет_аналитики'!BF3595,WeightedRevAge11)-SUMIF(ThresholdAge11,"&lt;"&amp;'19_Расчет_аналитики'!BF3595,WeightedMinAge11),MAX(CapacityAge11*'01_Вводные'!$B$218*'19_Расчет_аналитики'!BF3595,MeanMinAge11))),0)</f>
        <v/>
      </c>
      <c r="BG3510">
        <f>IF('01_Вводные'!$B$234="Да",IF(OR('19_Расчет_аналитики'!BG3482=0,11&lt;='01_Вводные'!$B$297),0,'19_Расчет_аналитики'!BG3482*IF('01_Вводные'!$B$239="Да",MeanMinAge11+'19_Расчет_аналитики'!BG3595*SUMIF(ThresholdAge11,"&lt;"&amp;'19_Расчет_аналитики'!BG3595,WeightedRevAge11)-SUMIF(ThresholdAge11,"&lt;"&amp;'19_Расчет_аналитики'!BG3595,WeightedMinAge11),MAX(CapacityAge11*'01_Вводные'!$B$218*'19_Расчет_аналитики'!BG3595,MeanMinAge11))),0)</f>
        <v/>
      </c>
      <c r="BH3510">
        <f>IF('01_Вводные'!$B$234="Да",IF(OR('19_Расчет_аналитики'!BH3482=0,11&lt;='01_Вводные'!$B$297),0,'19_Расчет_аналитики'!BH3482*IF('01_Вводные'!$B$239="Да",MeanMinAge11+'19_Расчет_аналитики'!BH3595*SUMIF(ThresholdAge11,"&lt;"&amp;'19_Расчет_аналитики'!BH3595,WeightedRevAge11)-SUMIF(ThresholdAge11,"&lt;"&amp;'19_Расчет_аналитики'!BH3595,WeightedMinAge11),MAX(CapacityAge11*'01_Вводные'!$B$218*'19_Расчет_аналитики'!BH3595,MeanMinAge11))),0)</f>
        <v/>
      </c>
      <c r="BI3510">
        <f>IF('01_Вводные'!$B$234="Да",IF(OR('19_Расчет_аналитики'!BI3482=0,11&lt;='01_Вводные'!$B$297),0,'19_Расчет_аналитики'!BI3482*IF('01_Вводные'!$B$239="Да",MeanMinAge11+'19_Расчет_аналитики'!BI3595*SUMIF(ThresholdAge11,"&lt;"&amp;'19_Расчет_аналитики'!BI3595,WeightedRevAge11)-SUMIF(ThresholdAge11,"&lt;"&amp;'19_Расчет_аналитики'!BI3595,WeightedMinAge11),MAX(CapacityAge11*'01_Вводные'!$B$218*'19_Расчет_аналитики'!BI3595,MeanMinAge11))),0)</f>
        <v/>
      </c>
      <c r="BJ3510">
        <f>IF('01_Вводные'!$B$234="Да",IF(OR('19_Расчет_аналитики'!BJ3482=0,11&lt;='01_Вводные'!$B$297),0,'19_Расчет_аналитики'!BJ3482*IF('01_Вводные'!$B$239="Да",MeanMinAge11+'19_Расчет_аналитики'!BJ3595*SUMIF(ThresholdAge11,"&lt;"&amp;'19_Расчет_аналитики'!BJ3595,WeightedRevAge11)-SUMIF(ThresholdAge11,"&lt;"&amp;'19_Расчет_аналитики'!BJ3595,WeightedMinAge11),MAX(CapacityAge11*'01_Вводные'!$B$218*'19_Расчет_аналитики'!BJ3595,MeanMinAge11))),0)</f>
        <v/>
      </c>
      <c r="BK3510">
        <f>IF('01_Вводные'!$B$234="Да",IF(OR('19_Расчет_аналитики'!BK3482=0,11&lt;='01_Вводные'!$B$297),0,'19_Расчет_аналитики'!BK3482*IF('01_Вводные'!$B$239="Да",MeanMinAge11+'19_Расчет_аналитики'!BK3595*SUMIF(ThresholdAge11,"&lt;"&amp;'19_Расчет_аналитики'!BK3595,WeightedRevAge11)-SUMIF(ThresholdAge11,"&lt;"&amp;'19_Расчет_аналитики'!BK3595,WeightedMinAge11),MAX(CapacityAge11*'01_Вводные'!$B$218*'19_Расчет_аналитики'!BK3595,MeanMinAge11))),0)</f>
        <v/>
      </c>
      <c r="BL3510">
        <f>IF('01_Вводные'!$B$234="Да",IF(OR('19_Расчет_аналитики'!BL3482=0,11&lt;='01_Вводные'!$B$297),0,'19_Расчет_аналитики'!BL3482*IF('01_Вводные'!$B$239="Да",MeanMinAge11+'19_Расчет_аналитики'!BL3595*SUMIF(ThresholdAge11,"&lt;"&amp;'19_Расчет_аналитики'!BL3595,WeightedRevAge11)-SUMIF(ThresholdAge11,"&lt;"&amp;'19_Расчет_аналитики'!BL3595,WeightedMinAge11),MAX(CapacityAge11*'01_Вводные'!$B$218*'19_Расчет_аналитики'!BL3595,MeanMinAge11))),0)</f>
        <v/>
      </c>
      <c r="BM3510">
        <f>IF('01_Вводные'!$B$234="Да",IF(OR('19_Расчет_аналитики'!BM3482=0,11&lt;='01_Вводные'!$B$297),0,'19_Расчет_аналитики'!BM3482*IF('01_Вводные'!$B$239="Да",MeanMinAge11+'19_Расчет_аналитики'!BM3595*SUMIF(ThresholdAge11,"&lt;"&amp;'19_Расчет_аналитики'!BM3595,WeightedRevAge11)-SUMIF(ThresholdAge11,"&lt;"&amp;'19_Расчет_аналитики'!BM3595,WeightedMinAge11),MAX(CapacityAge11*'01_Вводные'!$B$218*'19_Расчет_аналитики'!BM3595,MeanMinAge11))),0)</f>
        <v/>
      </c>
      <c r="BN3510">
        <f>IF('01_Вводные'!$B$234="Да",IF(OR('19_Расчет_аналитики'!BN3482=0,11&lt;='01_Вводные'!$B$297),0,'19_Расчет_аналитики'!BN3482*IF('01_Вводные'!$B$239="Да",MeanMinAge11+'19_Расчет_аналитики'!BN3595*SUMIF(ThresholdAge11,"&lt;"&amp;'19_Расчет_аналитики'!BN3595,WeightedRevAge11)-SUMIF(ThresholdAge11,"&lt;"&amp;'19_Расчет_аналитики'!BN3595,WeightedMinAge11),MAX(CapacityAge11*'01_Вводные'!$B$218*'19_Расчет_аналитики'!BN3595,MeanMinAge11))),0)</f>
        <v/>
      </c>
      <c r="BO3510">
        <f>IF('01_Вводные'!$B$234="Да",IF(OR('19_Расчет_аналитики'!BO3482=0,11&lt;='01_Вводные'!$B$297),0,'19_Расчет_аналитики'!BO3482*IF('01_Вводные'!$B$239="Да",MeanMinAge11+'19_Расчет_аналитики'!BO3595*SUMIF(ThresholdAge11,"&lt;"&amp;'19_Расчет_аналитики'!BO3595,WeightedRevAge11)-SUMIF(ThresholdAge11,"&lt;"&amp;'19_Расчет_аналитики'!BO3595,WeightedMinAge11),MAX(CapacityAge11*'01_Вводные'!$B$218*'19_Расчет_аналитики'!BO3595,MeanMinAge11))),0)</f>
        <v/>
      </c>
    </row>
    <row r="3511">
      <c r="B3511">
        <f>IF('01_Вводные'!$B$234="Да",IF(OR('06_Сеть_и_дети'!B92=0,12&lt;='01_Вводные'!$B$297),0,'06_Сеть_и_дети'!B92*IF('01_Вводные'!$B$239="Да",MeanMinAge12+'19_Расчет_аналитики'!B3595*SUMIF(ThresholdAge12,"&lt;"&amp;'19_Расчет_аналитики'!B3595,WeightedRevAge12)-SUMIF(ThresholdAge12,"&lt;"&amp;'19_Расчет_аналитики'!B3595,WeightedMinAge12),MAX(CapacityAge12*'01_Вводные'!$B$218*'19_Расчет_аналитики'!B3595,MeanMinAge12))),0)</f>
        <v/>
      </c>
      <c r="C3511">
        <f>IF('01_Вводные'!$B$234="Да",IF(OR('06_Сеть_и_дети'!C92=0,12&lt;='01_Вводные'!$B$297),0,'06_Сеть_и_дети'!C92*IF('01_Вводные'!$B$239="Да",MeanMinAge12+'19_Расчет_аналитики'!C3595*SUMIF(ThresholdAge12,"&lt;"&amp;'19_Расчет_аналитики'!C3595,WeightedRevAge12)-SUMIF(ThresholdAge12,"&lt;"&amp;'19_Расчет_аналитики'!C3595,WeightedMinAge12),MAX(CapacityAge12*'01_Вводные'!$B$218*'19_Расчет_аналитики'!C3595,MeanMinAge12))),0)</f>
        <v/>
      </c>
      <c r="D3511">
        <f>IF('01_Вводные'!$B$234="Да",IF(OR('06_Сеть_и_дети'!D92=0,12&lt;='01_Вводные'!$B$297),0,'06_Сеть_и_дети'!D92*IF('01_Вводные'!$B$239="Да",MeanMinAge12+'19_Расчет_аналитики'!D3595*SUMIF(ThresholdAge12,"&lt;"&amp;'19_Расчет_аналитики'!D3595,WeightedRevAge12)-SUMIF(ThresholdAge12,"&lt;"&amp;'19_Расчет_аналитики'!D3595,WeightedMinAge12),MAX(CapacityAge12*'01_Вводные'!$B$218*'19_Расчет_аналитики'!D3595,MeanMinAge12))),0)</f>
        <v/>
      </c>
      <c r="E3511">
        <f>IF('01_Вводные'!$B$234="Да",IF(OR('06_Сеть_и_дети'!E92=0,12&lt;='01_Вводные'!$B$297),0,'06_Сеть_и_дети'!E92*IF('01_Вводные'!$B$239="Да",MeanMinAge12+'19_Расчет_аналитики'!E3595*SUMIF(ThresholdAge12,"&lt;"&amp;'19_Расчет_аналитики'!E3595,WeightedRevAge12)-SUMIF(ThresholdAge12,"&lt;"&amp;'19_Расчет_аналитики'!E3595,WeightedMinAge12),MAX(CapacityAge12*'01_Вводные'!$B$218*'19_Расчет_аналитики'!E3595,MeanMinAge12))),0)</f>
        <v/>
      </c>
      <c r="F3511">
        <f>IF('01_Вводные'!$B$234="Да",IF(OR('06_Сеть_и_дети'!F92=0,12&lt;='01_Вводные'!$B$297),0,'06_Сеть_и_дети'!F92*IF('01_Вводные'!$B$239="Да",MeanMinAge12+'19_Расчет_аналитики'!F3595*SUMIF(ThresholdAge12,"&lt;"&amp;'19_Расчет_аналитики'!F3595,WeightedRevAge12)-SUMIF(ThresholdAge12,"&lt;"&amp;'19_Расчет_аналитики'!F3595,WeightedMinAge12),MAX(CapacityAge12*'01_Вводные'!$B$218*'19_Расчет_аналитики'!F3595,MeanMinAge12))),0)</f>
        <v/>
      </c>
      <c r="G3511">
        <f>IF('01_Вводные'!$B$234="Да",IF(OR('06_Сеть_и_дети'!G92=0,12&lt;='01_Вводные'!$B$297),0,'06_Сеть_и_дети'!G92*IF('01_Вводные'!$B$239="Да",MeanMinAge12+'19_Расчет_аналитики'!G3595*SUMIF(ThresholdAge12,"&lt;"&amp;'19_Расчет_аналитики'!G3595,WeightedRevAge12)-SUMIF(ThresholdAge12,"&lt;"&amp;'19_Расчет_аналитики'!G3595,WeightedMinAge12),MAX(CapacityAge12*'01_Вводные'!$B$218*'19_Расчет_аналитики'!G3595,MeanMinAge12))),0)</f>
        <v/>
      </c>
      <c r="H3511">
        <f>IF('01_Вводные'!$B$234="Да",IF(OR('06_Сеть_и_дети'!H92=0,12&lt;='01_Вводные'!$B$297),0,'06_Сеть_и_дети'!H92*IF('01_Вводные'!$B$239="Да",MeanMinAge12+'19_Расчет_аналитики'!H3595*SUMIF(ThresholdAge12,"&lt;"&amp;'19_Расчет_аналитики'!H3595,WeightedRevAge12)-SUMIF(ThresholdAge12,"&lt;"&amp;'19_Расчет_аналитики'!H3595,WeightedMinAge12),MAX(CapacityAge12*'01_Вводные'!$B$218*'19_Расчет_аналитики'!H3595,MeanMinAge12))),0)</f>
        <v/>
      </c>
      <c r="I3511">
        <f>IF('01_Вводные'!$B$234="Да",IF(OR('06_Сеть_и_дети'!I92=0,12&lt;='01_Вводные'!$B$297),0,'06_Сеть_и_дети'!I92*IF('01_Вводные'!$B$239="Да",MeanMinAge12+'19_Расчет_аналитики'!I3595*SUMIF(ThresholdAge12,"&lt;"&amp;'19_Расчет_аналитики'!I3595,WeightedRevAge12)-SUMIF(ThresholdAge12,"&lt;"&amp;'19_Расчет_аналитики'!I3595,WeightedMinAge12),MAX(CapacityAge12*'01_Вводные'!$B$218*'19_Расчет_аналитики'!I3595,MeanMinAge12))),0)</f>
        <v/>
      </c>
      <c r="J3511">
        <f>IF('01_Вводные'!$B$234="Да",IF(OR('06_Сеть_и_дети'!J92=0,12&lt;='01_Вводные'!$B$297),0,'06_Сеть_и_дети'!J92*IF('01_Вводные'!$B$239="Да",MeanMinAge12+'19_Расчет_аналитики'!J3595*SUMIF(ThresholdAge12,"&lt;"&amp;'19_Расчет_аналитики'!J3595,WeightedRevAge12)-SUMIF(ThresholdAge12,"&lt;"&amp;'19_Расчет_аналитики'!J3595,WeightedMinAge12),MAX(CapacityAge12*'01_Вводные'!$B$218*'19_Расчет_аналитики'!J3595,MeanMinAge12))),0)</f>
        <v/>
      </c>
      <c r="K3511">
        <f>IF('01_Вводные'!$B$234="Да",IF(OR('06_Сеть_и_дети'!K92=0,12&lt;='01_Вводные'!$B$297),0,'06_Сеть_и_дети'!K92*IF('01_Вводные'!$B$239="Да",MeanMinAge12+'19_Расчет_аналитики'!K3595*SUMIF(ThresholdAge12,"&lt;"&amp;'19_Расчет_аналитики'!K3595,WeightedRevAge12)-SUMIF(ThresholdAge12,"&lt;"&amp;'19_Расчет_аналитики'!K3595,WeightedMinAge12),MAX(CapacityAge12*'01_Вводные'!$B$218*'19_Расчет_аналитики'!K3595,MeanMinAge12))),0)</f>
        <v/>
      </c>
      <c r="L3511">
        <f>IF('01_Вводные'!$B$234="Да",IF(OR('06_Сеть_и_дети'!L92=0,12&lt;='01_Вводные'!$B$297),0,'06_Сеть_и_дети'!L92*IF('01_Вводные'!$B$239="Да",MeanMinAge12+'19_Расчет_аналитики'!L3595*SUMIF(ThresholdAge12,"&lt;"&amp;'19_Расчет_аналитики'!L3595,WeightedRevAge12)-SUMIF(ThresholdAge12,"&lt;"&amp;'19_Расчет_аналитики'!L3595,WeightedMinAge12),MAX(CapacityAge12*'01_Вводные'!$B$218*'19_Расчет_аналитики'!L3595,MeanMinAge12))),0)</f>
        <v/>
      </c>
      <c r="M3511">
        <f>IF('01_Вводные'!$B$234="Да",IF(OR('19_Расчет_аналитики'!M3483=0,12&lt;='01_Вводные'!$B$297),0,'19_Расчет_аналитики'!M3483*IF('01_Вводные'!$B$239="Да",MeanMinAge12+'19_Расчет_аналитики'!M3595*SUMIF(ThresholdAge12,"&lt;"&amp;'19_Расчет_аналитики'!M3595,WeightedRevAge12)-SUMIF(ThresholdAge12,"&lt;"&amp;'19_Расчет_аналитики'!M3595,WeightedMinAge12),MAX(CapacityAge12*'01_Вводные'!$B$218*'19_Расчет_аналитики'!M3595,MeanMinAge12))),0)</f>
        <v/>
      </c>
      <c r="N3511">
        <f>IF('01_Вводные'!$B$234="Да",IF(OR('19_Расчет_аналитики'!N3483=0,12&lt;='01_Вводные'!$B$297),0,'19_Расчет_аналитики'!N3483*IF('01_Вводные'!$B$239="Да",MeanMinAge12+'19_Расчет_аналитики'!N3595*SUMIF(ThresholdAge12,"&lt;"&amp;'19_Расчет_аналитики'!N3595,WeightedRevAge12)-SUMIF(ThresholdAge12,"&lt;"&amp;'19_Расчет_аналитики'!N3595,WeightedMinAge12),MAX(CapacityAge12*'01_Вводные'!$B$218*'19_Расчет_аналитики'!N3595,MeanMinAge12))),0)</f>
        <v/>
      </c>
      <c r="O3511">
        <f>IF('01_Вводные'!$B$234="Да",IF(OR('19_Расчет_аналитики'!O3483=0,12&lt;='01_Вводные'!$B$297),0,'19_Расчет_аналитики'!O3483*IF('01_Вводные'!$B$239="Да",MeanMinAge12+'19_Расчет_аналитики'!O3595*SUMIF(ThresholdAge12,"&lt;"&amp;'19_Расчет_аналитики'!O3595,WeightedRevAge12)-SUMIF(ThresholdAge12,"&lt;"&amp;'19_Расчет_аналитики'!O3595,WeightedMinAge12),MAX(CapacityAge12*'01_Вводные'!$B$218*'19_Расчет_аналитики'!O3595,MeanMinAge12))),0)</f>
        <v/>
      </c>
      <c r="P3511">
        <f>IF('01_Вводные'!$B$234="Да",IF(OR('19_Расчет_аналитики'!P3483=0,12&lt;='01_Вводные'!$B$297),0,'19_Расчет_аналитики'!P3483*IF('01_Вводные'!$B$239="Да",MeanMinAge12+'19_Расчет_аналитики'!P3595*SUMIF(ThresholdAge12,"&lt;"&amp;'19_Расчет_аналитики'!P3595,WeightedRevAge12)-SUMIF(ThresholdAge12,"&lt;"&amp;'19_Расчет_аналитики'!P3595,WeightedMinAge12),MAX(CapacityAge12*'01_Вводные'!$B$218*'19_Расчет_аналитики'!P3595,MeanMinAge12))),0)</f>
        <v/>
      </c>
      <c r="Q3511">
        <f>IF('01_Вводные'!$B$234="Да",IF(OR('19_Расчет_аналитики'!Q3483=0,12&lt;='01_Вводные'!$B$297),0,'19_Расчет_аналитики'!Q3483*IF('01_Вводные'!$B$239="Да",MeanMinAge12+'19_Расчет_аналитики'!Q3595*SUMIF(ThresholdAge12,"&lt;"&amp;'19_Расчет_аналитики'!Q3595,WeightedRevAge12)-SUMIF(ThresholdAge12,"&lt;"&amp;'19_Расчет_аналитики'!Q3595,WeightedMinAge12),MAX(CapacityAge12*'01_Вводные'!$B$218*'19_Расчет_аналитики'!Q3595,MeanMinAge12))),0)</f>
        <v/>
      </c>
      <c r="R3511">
        <f>IF('01_Вводные'!$B$234="Да",IF(OR('19_Расчет_аналитики'!R3483=0,12&lt;='01_Вводные'!$B$297),0,'19_Расчет_аналитики'!R3483*IF('01_Вводные'!$B$239="Да",MeanMinAge12+'19_Расчет_аналитики'!R3595*SUMIF(ThresholdAge12,"&lt;"&amp;'19_Расчет_аналитики'!R3595,WeightedRevAge12)-SUMIF(ThresholdAge12,"&lt;"&amp;'19_Расчет_аналитики'!R3595,WeightedMinAge12),MAX(CapacityAge12*'01_Вводные'!$B$218*'19_Расчет_аналитики'!R3595,MeanMinAge12))),0)</f>
        <v/>
      </c>
      <c r="S3511">
        <f>IF('01_Вводные'!$B$234="Да",IF(OR('19_Расчет_аналитики'!S3483=0,12&lt;='01_Вводные'!$B$297),0,'19_Расчет_аналитики'!S3483*IF('01_Вводные'!$B$239="Да",MeanMinAge12+'19_Расчет_аналитики'!S3595*SUMIF(ThresholdAge12,"&lt;"&amp;'19_Расчет_аналитики'!S3595,WeightedRevAge12)-SUMIF(ThresholdAge12,"&lt;"&amp;'19_Расчет_аналитики'!S3595,WeightedMinAge12),MAX(CapacityAge12*'01_Вводные'!$B$218*'19_Расчет_аналитики'!S3595,MeanMinAge12))),0)</f>
        <v/>
      </c>
      <c r="T3511">
        <f>IF('01_Вводные'!$B$234="Да",IF(OR('19_Расчет_аналитики'!T3483=0,12&lt;='01_Вводные'!$B$297),0,'19_Расчет_аналитики'!T3483*IF('01_Вводные'!$B$239="Да",MeanMinAge12+'19_Расчет_аналитики'!T3595*SUMIF(ThresholdAge12,"&lt;"&amp;'19_Расчет_аналитики'!T3595,WeightedRevAge12)-SUMIF(ThresholdAge12,"&lt;"&amp;'19_Расчет_аналитики'!T3595,WeightedMinAge12),MAX(CapacityAge12*'01_Вводные'!$B$218*'19_Расчет_аналитики'!T3595,MeanMinAge12))),0)</f>
        <v/>
      </c>
      <c r="U3511">
        <f>IF('01_Вводные'!$B$234="Да",IF(OR('19_Расчет_аналитики'!U3483=0,12&lt;='01_Вводные'!$B$297),0,'19_Расчет_аналитики'!U3483*IF('01_Вводные'!$B$239="Да",MeanMinAge12+'19_Расчет_аналитики'!U3595*SUMIF(ThresholdAge12,"&lt;"&amp;'19_Расчет_аналитики'!U3595,WeightedRevAge12)-SUMIF(ThresholdAge12,"&lt;"&amp;'19_Расчет_аналитики'!U3595,WeightedMinAge12),MAX(CapacityAge12*'01_Вводные'!$B$218*'19_Расчет_аналитики'!U3595,MeanMinAge12))),0)</f>
        <v/>
      </c>
      <c r="V3511">
        <f>IF('01_Вводные'!$B$234="Да",IF(OR('19_Расчет_аналитики'!V3483=0,12&lt;='01_Вводные'!$B$297),0,'19_Расчет_аналитики'!V3483*IF('01_Вводные'!$B$239="Да",MeanMinAge12+'19_Расчет_аналитики'!V3595*SUMIF(ThresholdAge12,"&lt;"&amp;'19_Расчет_аналитики'!V3595,WeightedRevAge12)-SUMIF(ThresholdAge12,"&lt;"&amp;'19_Расчет_аналитики'!V3595,WeightedMinAge12),MAX(CapacityAge12*'01_Вводные'!$B$218*'19_Расчет_аналитики'!V3595,MeanMinAge12))),0)</f>
        <v/>
      </c>
      <c r="W3511">
        <f>IF('01_Вводные'!$B$234="Да",IF(OR('19_Расчет_аналитики'!W3483=0,12&lt;='01_Вводные'!$B$297),0,'19_Расчет_аналитики'!W3483*IF('01_Вводные'!$B$239="Да",MeanMinAge12+'19_Расчет_аналитики'!W3595*SUMIF(ThresholdAge12,"&lt;"&amp;'19_Расчет_аналитики'!W3595,WeightedRevAge12)-SUMIF(ThresholdAge12,"&lt;"&amp;'19_Расчет_аналитики'!W3595,WeightedMinAge12),MAX(CapacityAge12*'01_Вводные'!$B$218*'19_Расчет_аналитики'!W3595,MeanMinAge12))),0)</f>
        <v/>
      </c>
      <c r="X3511">
        <f>IF('01_Вводные'!$B$234="Да",IF(OR('19_Расчет_аналитики'!X3483=0,12&lt;='01_Вводные'!$B$297),0,'19_Расчет_аналитики'!X3483*IF('01_Вводные'!$B$239="Да",MeanMinAge12+'19_Расчет_аналитики'!X3595*SUMIF(ThresholdAge12,"&lt;"&amp;'19_Расчет_аналитики'!X3595,WeightedRevAge12)-SUMIF(ThresholdAge12,"&lt;"&amp;'19_Расчет_аналитики'!X3595,WeightedMinAge12),MAX(CapacityAge12*'01_Вводные'!$B$218*'19_Расчет_аналитики'!X3595,MeanMinAge12))),0)</f>
        <v/>
      </c>
      <c r="Y3511">
        <f>IF('01_Вводные'!$B$234="Да",IF(OR('19_Расчет_аналитики'!Y3483=0,12&lt;='01_Вводные'!$B$297),0,'19_Расчет_аналитики'!Y3483*IF('01_Вводные'!$B$239="Да",MeanMinAge12+'19_Расчет_аналитики'!Y3595*SUMIF(ThresholdAge12,"&lt;"&amp;'19_Расчет_аналитики'!Y3595,WeightedRevAge12)-SUMIF(ThresholdAge12,"&lt;"&amp;'19_Расчет_аналитики'!Y3595,WeightedMinAge12),MAX(CapacityAge12*'01_Вводные'!$B$218*'19_Расчет_аналитики'!Y3595,MeanMinAge12))),0)</f>
        <v/>
      </c>
      <c r="Z3511">
        <f>IF('01_Вводные'!$B$234="Да",IF(OR('19_Расчет_аналитики'!Z3483=0,12&lt;='01_Вводные'!$B$297),0,'19_Расчет_аналитики'!Z3483*IF('01_Вводные'!$B$239="Да",MeanMinAge12+'19_Расчет_аналитики'!Z3595*SUMIF(ThresholdAge12,"&lt;"&amp;'19_Расчет_аналитики'!Z3595,WeightedRevAge12)-SUMIF(ThresholdAge12,"&lt;"&amp;'19_Расчет_аналитики'!Z3595,WeightedMinAge12),MAX(CapacityAge12*'01_Вводные'!$B$218*'19_Расчет_аналитики'!Z3595,MeanMinAge12))),0)</f>
        <v/>
      </c>
      <c r="AA3511">
        <f>IF('01_Вводные'!$B$234="Да",IF(OR('19_Расчет_аналитики'!AA3483=0,12&lt;='01_Вводные'!$B$297),0,'19_Расчет_аналитики'!AA3483*IF('01_Вводные'!$B$239="Да",MeanMinAge12+'19_Расчет_аналитики'!AA3595*SUMIF(ThresholdAge12,"&lt;"&amp;'19_Расчет_аналитики'!AA3595,WeightedRevAge12)-SUMIF(ThresholdAge12,"&lt;"&amp;'19_Расчет_аналитики'!AA3595,WeightedMinAge12),MAX(CapacityAge12*'01_Вводные'!$B$218*'19_Расчет_аналитики'!AA3595,MeanMinAge12))),0)</f>
        <v/>
      </c>
      <c r="AB3511">
        <f>IF('01_Вводные'!$B$234="Да",IF(OR('19_Расчет_аналитики'!AB3483=0,12&lt;='01_Вводные'!$B$297),0,'19_Расчет_аналитики'!AB3483*IF('01_Вводные'!$B$239="Да",MeanMinAge12+'19_Расчет_аналитики'!AB3595*SUMIF(ThresholdAge12,"&lt;"&amp;'19_Расчет_аналитики'!AB3595,WeightedRevAge12)-SUMIF(ThresholdAge12,"&lt;"&amp;'19_Расчет_аналитики'!AB3595,WeightedMinAge12),MAX(CapacityAge12*'01_Вводные'!$B$218*'19_Расчет_аналитики'!AB3595,MeanMinAge12))),0)</f>
        <v/>
      </c>
      <c r="AC3511">
        <f>IF('01_Вводные'!$B$234="Да",IF(OR('19_Расчет_аналитики'!AC3483=0,12&lt;='01_Вводные'!$B$297),0,'19_Расчет_аналитики'!AC3483*IF('01_Вводные'!$B$239="Да",MeanMinAge12+'19_Расчет_аналитики'!AC3595*SUMIF(ThresholdAge12,"&lt;"&amp;'19_Расчет_аналитики'!AC3595,WeightedRevAge12)-SUMIF(ThresholdAge12,"&lt;"&amp;'19_Расчет_аналитики'!AC3595,WeightedMinAge12),MAX(CapacityAge12*'01_Вводные'!$B$218*'19_Расчет_аналитики'!AC3595,MeanMinAge12))),0)</f>
        <v/>
      </c>
      <c r="AD3511">
        <f>IF('01_Вводные'!$B$234="Да",IF(OR('19_Расчет_аналитики'!AD3483=0,12&lt;='01_Вводные'!$B$297),0,'19_Расчет_аналитики'!AD3483*IF('01_Вводные'!$B$239="Да",MeanMinAge12+'19_Расчет_аналитики'!AD3595*SUMIF(ThresholdAge12,"&lt;"&amp;'19_Расчет_аналитики'!AD3595,WeightedRevAge12)-SUMIF(ThresholdAge12,"&lt;"&amp;'19_Расчет_аналитики'!AD3595,WeightedMinAge12),MAX(CapacityAge12*'01_Вводные'!$B$218*'19_Расчет_аналитики'!AD3595,MeanMinAge12))),0)</f>
        <v/>
      </c>
      <c r="AE3511">
        <f>IF('01_Вводные'!$B$234="Да",IF(OR('19_Расчет_аналитики'!AE3483=0,12&lt;='01_Вводные'!$B$297),0,'19_Расчет_аналитики'!AE3483*IF('01_Вводные'!$B$239="Да",MeanMinAge12+'19_Расчет_аналитики'!AE3595*SUMIF(ThresholdAge12,"&lt;"&amp;'19_Расчет_аналитики'!AE3595,WeightedRevAge12)-SUMIF(ThresholdAge12,"&lt;"&amp;'19_Расчет_аналитики'!AE3595,WeightedMinAge12),MAX(CapacityAge12*'01_Вводные'!$B$218*'19_Расчет_аналитики'!AE3595,MeanMinAge12))),0)</f>
        <v/>
      </c>
      <c r="AF3511">
        <f>IF('01_Вводные'!$B$234="Да",IF(OR('19_Расчет_аналитики'!AF3483=0,12&lt;='01_Вводные'!$B$297),0,'19_Расчет_аналитики'!AF3483*IF('01_Вводные'!$B$239="Да",MeanMinAge12+'19_Расчет_аналитики'!AF3595*SUMIF(ThresholdAge12,"&lt;"&amp;'19_Расчет_аналитики'!AF3595,WeightedRevAge12)-SUMIF(ThresholdAge12,"&lt;"&amp;'19_Расчет_аналитики'!AF3595,WeightedMinAge12),MAX(CapacityAge12*'01_Вводные'!$B$218*'19_Расчет_аналитики'!AF3595,MeanMinAge12))),0)</f>
        <v/>
      </c>
      <c r="AG3511">
        <f>IF('01_Вводные'!$B$234="Да",IF(OR('19_Расчет_аналитики'!AG3483=0,12&lt;='01_Вводные'!$B$297),0,'19_Расчет_аналитики'!AG3483*IF('01_Вводные'!$B$239="Да",MeanMinAge12+'19_Расчет_аналитики'!AG3595*SUMIF(ThresholdAge12,"&lt;"&amp;'19_Расчет_аналитики'!AG3595,WeightedRevAge12)-SUMIF(ThresholdAge12,"&lt;"&amp;'19_Расчет_аналитики'!AG3595,WeightedMinAge12),MAX(CapacityAge12*'01_Вводные'!$B$218*'19_Расчет_аналитики'!AG3595,MeanMinAge12))),0)</f>
        <v/>
      </c>
      <c r="AH3511">
        <f>IF('01_Вводные'!$B$234="Да",IF(OR('19_Расчет_аналитики'!AH3483=0,12&lt;='01_Вводные'!$B$297),0,'19_Расчет_аналитики'!AH3483*IF('01_Вводные'!$B$239="Да",MeanMinAge12+'19_Расчет_аналитики'!AH3595*SUMIF(ThresholdAge12,"&lt;"&amp;'19_Расчет_аналитики'!AH3595,WeightedRevAge12)-SUMIF(ThresholdAge12,"&lt;"&amp;'19_Расчет_аналитики'!AH3595,WeightedMinAge12),MAX(CapacityAge12*'01_Вводные'!$B$218*'19_Расчет_аналитики'!AH3595,MeanMinAge12))),0)</f>
        <v/>
      </c>
      <c r="AI3511">
        <f>IF('01_Вводные'!$B$234="Да",IF(OR('19_Расчет_аналитики'!AI3483=0,12&lt;='01_Вводные'!$B$297),0,'19_Расчет_аналитики'!AI3483*IF('01_Вводные'!$B$239="Да",MeanMinAge12+'19_Расчет_аналитики'!AI3595*SUMIF(ThresholdAge12,"&lt;"&amp;'19_Расчет_аналитики'!AI3595,WeightedRevAge12)-SUMIF(ThresholdAge12,"&lt;"&amp;'19_Расчет_аналитики'!AI3595,WeightedMinAge12),MAX(CapacityAge12*'01_Вводные'!$B$218*'19_Расчет_аналитики'!AI3595,MeanMinAge12))),0)</f>
        <v/>
      </c>
      <c r="AJ3511">
        <f>IF('01_Вводные'!$B$234="Да",IF(OR('19_Расчет_аналитики'!AJ3483=0,12&lt;='01_Вводные'!$B$297),0,'19_Расчет_аналитики'!AJ3483*IF('01_Вводные'!$B$239="Да",MeanMinAge12+'19_Расчет_аналитики'!AJ3595*SUMIF(ThresholdAge12,"&lt;"&amp;'19_Расчет_аналитики'!AJ3595,WeightedRevAge12)-SUMIF(ThresholdAge12,"&lt;"&amp;'19_Расчет_аналитики'!AJ3595,WeightedMinAge12),MAX(CapacityAge12*'01_Вводные'!$B$218*'19_Расчет_аналитики'!AJ3595,MeanMinAge12))),0)</f>
        <v/>
      </c>
      <c r="AK3511">
        <f>IF('01_Вводные'!$B$234="Да",IF(OR('19_Расчет_аналитики'!AK3483=0,12&lt;='01_Вводные'!$B$297),0,'19_Расчет_аналитики'!AK3483*IF('01_Вводные'!$B$239="Да",MeanMinAge12+'19_Расчет_аналитики'!AK3595*SUMIF(ThresholdAge12,"&lt;"&amp;'19_Расчет_аналитики'!AK3595,WeightedRevAge12)-SUMIF(ThresholdAge12,"&lt;"&amp;'19_Расчет_аналитики'!AK3595,WeightedMinAge12),MAX(CapacityAge12*'01_Вводные'!$B$218*'19_Расчет_аналитики'!AK3595,MeanMinAge12))),0)</f>
        <v/>
      </c>
      <c r="AL3511">
        <f>IF('01_Вводные'!$B$234="Да",IF(OR('19_Расчет_аналитики'!AL3483=0,12&lt;='01_Вводные'!$B$297),0,'19_Расчет_аналитики'!AL3483*IF('01_Вводные'!$B$239="Да",MeanMinAge12+'19_Расчет_аналитики'!AL3595*SUMIF(ThresholdAge12,"&lt;"&amp;'19_Расчет_аналитики'!AL3595,WeightedRevAge12)-SUMIF(ThresholdAge12,"&lt;"&amp;'19_Расчет_аналитики'!AL3595,WeightedMinAge12),MAX(CapacityAge12*'01_Вводные'!$B$218*'19_Расчет_аналитики'!AL3595,MeanMinAge12))),0)</f>
        <v/>
      </c>
      <c r="AM3511">
        <f>IF('01_Вводные'!$B$234="Да",IF(OR('19_Расчет_аналитики'!AM3483=0,12&lt;='01_Вводные'!$B$297),0,'19_Расчет_аналитики'!AM3483*IF('01_Вводные'!$B$239="Да",MeanMinAge12+'19_Расчет_аналитики'!AM3595*SUMIF(ThresholdAge12,"&lt;"&amp;'19_Расчет_аналитики'!AM3595,WeightedRevAge12)-SUMIF(ThresholdAge12,"&lt;"&amp;'19_Расчет_аналитики'!AM3595,WeightedMinAge12),MAX(CapacityAge12*'01_Вводные'!$B$218*'19_Расчет_аналитики'!AM3595,MeanMinAge12))),0)</f>
        <v/>
      </c>
      <c r="AN3511">
        <f>IF('01_Вводные'!$B$234="Да",IF(OR('19_Расчет_аналитики'!AN3483=0,12&lt;='01_Вводные'!$B$297),0,'19_Расчет_аналитики'!AN3483*IF('01_Вводные'!$B$239="Да",MeanMinAge12+'19_Расчет_аналитики'!AN3595*SUMIF(ThresholdAge12,"&lt;"&amp;'19_Расчет_аналитики'!AN3595,WeightedRevAge12)-SUMIF(ThresholdAge12,"&lt;"&amp;'19_Расчет_аналитики'!AN3595,WeightedMinAge12),MAX(CapacityAge12*'01_Вводные'!$B$218*'19_Расчет_аналитики'!AN3595,MeanMinAge12))),0)</f>
        <v/>
      </c>
      <c r="AO3511">
        <f>IF('01_Вводные'!$B$234="Да",IF(OR('19_Расчет_аналитики'!AO3483=0,12&lt;='01_Вводные'!$B$297),0,'19_Расчет_аналитики'!AO3483*IF('01_Вводные'!$B$239="Да",MeanMinAge12+'19_Расчет_аналитики'!AO3595*SUMIF(ThresholdAge12,"&lt;"&amp;'19_Расчет_аналитики'!AO3595,WeightedRevAge12)-SUMIF(ThresholdAge12,"&lt;"&amp;'19_Расчет_аналитики'!AO3595,WeightedMinAge12),MAX(CapacityAge12*'01_Вводные'!$B$218*'19_Расчет_аналитики'!AO3595,MeanMinAge12))),0)</f>
        <v/>
      </c>
      <c r="AP3511">
        <f>IF('01_Вводные'!$B$234="Да",IF(OR('19_Расчет_аналитики'!AP3483=0,12&lt;='01_Вводные'!$B$297),0,'19_Расчет_аналитики'!AP3483*IF('01_Вводные'!$B$239="Да",MeanMinAge12+'19_Расчет_аналитики'!AP3595*SUMIF(ThresholdAge12,"&lt;"&amp;'19_Расчет_аналитики'!AP3595,WeightedRevAge12)-SUMIF(ThresholdAge12,"&lt;"&amp;'19_Расчет_аналитики'!AP3595,WeightedMinAge12),MAX(CapacityAge12*'01_Вводные'!$B$218*'19_Расчет_аналитики'!AP3595,MeanMinAge12))),0)</f>
        <v/>
      </c>
      <c r="AQ3511">
        <f>IF('01_Вводные'!$B$234="Да",IF(OR('19_Расчет_аналитики'!AQ3483=0,12&lt;='01_Вводные'!$B$297),0,'19_Расчет_аналитики'!AQ3483*IF('01_Вводные'!$B$239="Да",MeanMinAge12+'19_Расчет_аналитики'!AQ3595*SUMIF(ThresholdAge12,"&lt;"&amp;'19_Расчет_аналитики'!AQ3595,WeightedRevAge12)-SUMIF(ThresholdAge12,"&lt;"&amp;'19_Расчет_аналитики'!AQ3595,WeightedMinAge12),MAX(CapacityAge12*'01_Вводные'!$B$218*'19_Расчет_аналитики'!AQ3595,MeanMinAge12))),0)</f>
        <v/>
      </c>
      <c r="AR3511">
        <f>IF('01_Вводные'!$B$234="Да",IF(OR('19_Расчет_аналитики'!AR3483=0,12&lt;='01_Вводные'!$B$297),0,'19_Расчет_аналитики'!AR3483*IF('01_Вводные'!$B$239="Да",MeanMinAge12+'19_Расчет_аналитики'!AR3595*SUMIF(ThresholdAge12,"&lt;"&amp;'19_Расчет_аналитики'!AR3595,WeightedRevAge12)-SUMIF(ThresholdAge12,"&lt;"&amp;'19_Расчет_аналитики'!AR3595,WeightedMinAge12),MAX(CapacityAge12*'01_Вводные'!$B$218*'19_Расчет_аналитики'!AR3595,MeanMinAge12))),0)</f>
        <v/>
      </c>
      <c r="AS3511">
        <f>IF('01_Вводные'!$B$234="Да",IF(OR('19_Расчет_аналитики'!AS3483=0,12&lt;='01_Вводные'!$B$297),0,'19_Расчет_аналитики'!AS3483*IF('01_Вводные'!$B$239="Да",MeanMinAge12+'19_Расчет_аналитики'!AS3595*SUMIF(ThresholdAge12,"&lt;"&amp;'19_Расчет_аналитики'!AS3595,WeightedRevAge12)-SUMIF(ThresholdAge12,"&lt;"&amp;'19_Расчет_аналитики'!AS3595,WeightedMinAge12),MAX(CapacityAge12*'01_Вводные'!$B$218*'19_Расчет_аналитики'!AS3595,MeanMinAge12))),0)</f>
        <v/>
      </c>
      <c r="AT3511">
        <f>IF('01_Вводные'!$B$234="Да",IF(OR('19_Расчет_аналитики'!AT3483=0,12&lt;='01_Вводные'!$B$297),0,'19_Расчет_аналитики'!AT3483*IF('01_Вводные'!$B$239="Да",MeanMinAge12+'19_Расчет_аналитики'!AT3595*SUMIF(ThresholdAge12,"&lt;"&amp;'19_Расчет_аналитики'!AT3595,WeightedRevAge12)-SUMIF(ThresholdAge12,"&lt;"&amp;'19_Расчет_аналитики'!AT3595,WeightedMinAge12),MAX(CapacityAge12*'01_Вводные'!$B$218*'19_Расчет_аналитики'!AT3595,MeanMinAge12))),0)</f>
        <v/>
      </c>
      <c r="AU3511">
        <f>IF('01_Вводные'!$B$234="Да",IF(OR('19_Расчет_аналитики'!AU3483=0,12&lt;='01_Вводные'!$B$297),0,'19_Расчет_аналитики'!AU3483*IF('01_Вводные'!$B$239="Да",MeanMinAge12+'19_Расчет_аналитики'!AU3595*SUMIF(ThresholdAge12,"&lt;"&amp;'19_Расчет_аналитики'!AU3595,WeightedRevAge12)-SUMIF(ThresholdAge12,"&lt;"&amp;'19_Расчет_аналитики'!AU3595,WeightedMinAge12),MAX(CapacityAge12*'01_Вводные'!$B$218*'19_Расчет_аналитики'!AU3595,MeanMinAge12))),0)</f>
        <v/>
      </c>
      <c r="AV3511">
        <f>IF('01_Вводные'!$B$234="Да",IF(OR('19_Расчет_аналитики'!AV3483=0,12&lt;='01_Вводные'!$B$297),0,'19_Расчет_аналитики'!AV3483*IF('01_Вводные'!$B$239="Да",MeanMinAge12+'19_Расчет_аналитики'!AV3595*SUMIF(ThresholdAge12,"&lt;"&amp;'19_Расчет_аналитики'!AV3595,WeightedRevAge12)-SUMIF(ThresholdAge12,"&lt;"&amp;'19_Расчет_аналитики'!AV3595,WeightedMinAge12),MAX(CapacityAge12*'01_Вводные'!$B$218*'19_Расчет_аналитики'!AV3595,MeanMinAge12))),0)</f>
        <v/>
      </c>
      <c r="AW3511">
        <f>IF('01_Вводные'!$B$234="Да",IF(OR('19_Расчет_аналитики'!AW3483=0,12&lt;='01_Вводные'!$B$297),0,'19_Расчет_аналитики'!AW3483*IF('01_Вводные'!$B$239="Да",MeanMinAge12+'19_Расчет_аналитики'!AW3595*SUMIF(ThresholdAge12,"&lt;"&amp;'19_Расчет_аналитики'!AW3595,WeightedRevAge12)-SUMIF(ThresholdAge12,"&lt;"&amp;'19_Расчет_аналитики'!AW3595,WeightedMinAge12),MAX(CapacityAge12*'01_Вводные'!$B$218*'19_Расчет_аналитики'!AW3595,MeanMinAge12))),0)</f>
        <v/>
      </c>
      <c r="AX3511">
        <f>IF('01_Вводные'!$B$234="Да",IF(OR('19_Расчет_аналитики'!AX3483=0,12&lt;='01_Вводные'!$B$297),0,'19_Расчет_аналитики'!AX3483*IF('01_Вводные'!$B$239="Да",MeanMinAge12+'19_Расчет_аналитики'!AX3595*SUMIF(ThresholdAge12,"&lt;"&amp;'19_Расчет_аналитики'!AX3595,WeightedRevAge12)-SUMIF(ThresholdAge12,"&lt;"&amp;'19_Расчет_аналитики'!AX3595,WeightedMinAge12),MAX(CapacityAge12*'01_Вводные'!$B$218*'19_Расчет_аналитики'!AX3595,MeanMinAge12))),0)</f>
        <v/>
      </c>
      <c r="AY3511">
        <f>IF('01_Вводные'!$B$234="Да",IF(OR('19_Расчет_аналитики'!AY3483=0,12&lt;='01_Вводные'!$B$297),0,'19_Расчет_аналитики'!AY3483*IF('01_Вводные'!$B$239="Да",MeanMinAge12+'19_Расчет_аналитики'!AY3595*SUMIF(ThresholdAge12,"&lt;"&amp;'19_Расчет_аналитики'!AY3595,WeightedRevAge12)-SUMIF(ThresholdAge12,"&lt;"&amp;'19_Расчет_аналитики'!AY3595,WeightedMinAge12),MAX(CapacityAge12*'01_Вводные'!$B$218*'19_Расчет_аналитики'!AY3595,MeanMinAge12))),0)</f>
        <v/>
      </c>
      <c r="AZ3511">
        <f>IF('01_Вводные'!$B$234="Да",IF(OR('19_Расчет_аналитики'!AZ3483=0,12&lt;='01_Вводные'!$B$297),0,'19_Расчет_аналитики'!AZ3483*IF('01_Вводные'!$B$239="Да",MeanMinAge12+'19_Расчет_аналитики'!AZ3595*SUMIF(ThresholdAge12,"&lt;"&amp;'19_Расчет_аналитики'!AZ3595,WeightedRevAge12)-SUMIF(ThresholdAge12,"&lt;"&amp;'19_Расчет_аналитики'!AZ3595,WeightedMinAge12),MAX(CapacityAge12*'01_Вводные'!$B$218*'19_Расчет_аналитики'!AZ3595,MeanMinAge12))),0)</f>
        <v/>
      </c>
      <c r="BA3511">
        <f>IF('01_Вводные'!$B$234="Да",IF(OR('19_Расчет_аналитики'!BA3483=0,12&lt;='01_Вводные'!$B$297),0,'19_Расчет_аналитики'!BA3483*IF('01_Вводные'!$B$239="Да",MeanMinAge12+'19_Расчет_аналитики'!BA3595*SUMIF(ThresholdAge12,"&lt;"&amp;'19_Расчет_аналитики'!BA3595,WeightedRevAge12)-SUMIF(ThresholdAge12,"&lt;"&amp;'19_Расчет_аналитики'!BA3595,WeightedMinAge12),MAX(CapacityAge12*'01_Вводные'!$B$218*'19_Расчет_аналитики'!BA3595,MeanMinAge12))),0)</f>
        <v/>
      </c>
      <c r="BB3511">
        <f>IF('01_Вводные'!$B$234="Да",IF(OR('19_Расчет_аналитики'!BB3483=0,12&lt;='01_Вводные'!$B$297),0,'19_Расчет_аналитики'!BB3483*IF('01_Вводные'!$B$239="Да",MeanMinAge12+'19_Расчет_аналитики'!BB3595*SUMIF(ThresholdAge12,"&lt;"&amp;'19_Расчет_аналитики'!BB3595,WeightedRevAge12)-SUMIF(ThresholdAge12,"&lt;"&amp;'19_Расчет_аналитики'!BB3595,WeightedMinAge12),MAX(CapacityAge12*'01_Вводные'!$B$218*'19_Расчет_аналитики'!BB3595,MeanMinAge12))),0)</f>
        <v/>
      </c>
      <c r="BC3511">
        <f>IF('01_Вводные'!$B$234="Да",IF(OR('19_Расчет_аналитики'!BC3483=0,12&lt;='01_Вводные'!$B$297),0,'19_Расчет_аналитики'!BC3483*IF('01_Вводные'!$B$239="Да",MeanMinAge12+'19_Расчет_аналитики'!BC3595*SUMIF(ThresholdAge12,"&lt;"&amp;'19_Расчет_аналитики'!BC3595,WeightedRevAge12)-SUMIF(ThresholdAge12,"&lt;"&amp;'19_Расчет_аналитики'!BC3595,WeightedMinAge12),MAX(CapacityAge12*'01_Вводные'!$B$218*'19_Расчет_аналитики'!BC3595,MeanMinAge12))),0)</f>
        <v/>
      </c>
      <c r="BD3511">
        <f>IF('01_Вводные'!$B$234="Да",IF(OR('19_Расчет_аналитики'!BD3483=0,12&lt;='01_Вводные'!$B$297),0,'19_Расчет_аналитики'!BD3483*IF('01_Вводные'!$B$239="Да",MeanMinAge12+'19_Расчет_аналитики'!BD3595*SUMIF(ThresholdAge12,"&lt;"&amp;'19_Расчет_аналитики'!BD3595,WeightedRevAge12)-SUMIF(ThresholdAge12,"&lt;"&amp;'19_Расчет_аналитики'!BD3595,WeightedMinAge12),MAX(CapacityAge12*'01_Вводные'!$B$218*'19_Расчет_аналитики'!BD3595,MeanMinAge12))),0)</f>
        <v/>
      </c>
      <c r="BE3511">
        <f>IF('01_Вводные'!$B$234="Да",IF(OR('19_Расчет_аналитики'!BE3483=0,12&lt;='01_Вводные'!$B$297),0,'19_Расчет_аналитики'!BE3483*IF('01_Вводные'!$B$239="Да",MeanMinAge12+'19_Расчет_аналитики'!BE3595*SUMIF(ThresholdAge12,"&lt;"&amp;'19_Расчет_аналитики'!BE3595,WeightedRevAge12)-SUMIF(ThresholdAge12,"&lt;"&amp;'19_Расчет_аналитики'!BE3595,WeightedMinAge12),MAX(CapacityAge12*'01_Вводные'!$B$218*'19_Расчет_аналитики'!BE3595,MeanMinAge12))),0)</f>
        <v/>
      </c>
      <c r="BF3511">
        <f>IF('01_Вводные'!$B$234="Да",IF(OR('19_Расчет_аналитики'!BF3483=0,12&lt;='01_Вводные'!$B$297),0,'19_Расчет_аналитики'!BF3483*IF('01_Вводные'!$B$239="Да",MeanMinAge12+'19_Расчет_аналитики'!BF3595*SUMIF(ThresholdAge12,"&lt;"&amp;'19_Расчет_аналитики'!BF3595,WeightedRevAge12)-SUMIF(ThresholdAge12,"&lt;"&amp;'19_Расчет_аналитики'!BF3595,WeightedMinAge12),MAX(CapacityAge12*'01_Вводные'!$B$218*'19_Расчет_аналитики'!BF3595,MeanMinAge12))),0)</f>
        <v/>
      </c>
      <c r="BG3511">
        <f>IF('01_Вводные'!$B$234="Да",IF(OR('19_Расчет_аналитики'!BG3483=0,12&lt;='01_Вводные'!$B$297),0,'19_Расчет_аналитики'!BG3483*IF('01_Вводные'!$B$239="Да",MeanMinAge12+'19_Расчет_аналитики'!BG3595*SUMIF(ThresholdAge12,"&lt;"&amp;'19_Расчет_аналитики'!BG3595,WeightedRevAge12)-SUMIF(ThresholdAge12,"&lt;"&amp;'19_Расчет_аналитики'!BG3595,WeightedMinAge12),MAX(CapacityAge12*'01_Вводные'!$B$218*'19_Расчет_аналитики'!BG3595,MeanMinAge12))),0)</f>
        <v/>
      </c>
      <c r="BH3511">
        <f>IF('01_Вводные'!$B$234="Да",IF(OR('19_Расчет_аналитики'!BH3483=0,12&lt;='01_Вводные'!$B$297),0,'19_Расчет_аналитики'!BH3483*IF('01_Вводные'!$B$239="Да",MeanMinAge12+'19_Расчет_аналитики'!BH3595*SUMIF(ThresholdAge12,"&lt;"&amp;'19_Расчет_аналитики'!BH3595,WeightedRevAge12)-SUMIF(ThresholdAge12,"&lt;"&amp;'19_Расчет_аналитики'!BH3595,WeightedMinAge12),MAX(CapacityAge12*'01_Вводные'!$B$218*'19_Расчет_аналитики'!BH3595,MeanMinAge12))),0)</f>
        <v/>
      </c>
      <c r="BI3511">
        <f>IF('01_Вводные'!$B$234="Да",IF(OR('19_Расчет_аналитики'!BI3483=0,12&lt;='01_Вводные'!$B$297),0,'19_Расчет_аналитики'!BI3483*IF('01_Вводные'!$B$239="Да",MeanMinAge12+'19_Расчет_аналитики'!BI3595*SUMIF(ThresholdAge12,"&lt;"&amp;'19_Расчет_аналитики'!BI3595,WeightedRevAge12)-SUMIF(ThresholdAge12,"&lt;"&amp;'19_Расчет_аналитики'!BI3595,WeightedMinAge12),MAX(CapacityAge12*'01_Вводные'!$B$218*'19_Расчет_аналитики'!BI3595,MeanMinAge12))),0)</f>
        <v/>
      </c>
      <c r="BJ3511">
        <f>IF('01_Вводные'!$B$234="Да",IF(OR('19_Расчет_аналитики'!BJ3483=0,12&lt;='01_Вводные'!$B$297),0,'19_Расчет_аналитики'!BJ3483*IF('01_Вводные'!$B$239="Да",MeanMinAge12+'19_Расчет_аналитики'!BJ3595*SUMIF(ThresholdAge12,"&lt;"&amp;'19_Расчет_аналитики'!BJ3595,WeightedRevAge12)-SUMIF(ThresholdAge12,"&lt;"&amp;'19_Расчет_аналитики'!BJ3595,WeightedMinAge12),MAX(CapacityAge12*'01_Вводные'!$B$218*'19_Расчет_аналитики'!BJ3595,MeanMinAge12))),0)</f>
        <v/>
      </c>
      <c r="BK3511">
        <f>IF('01_Вводные'!$B$234="Да",IF(OR('19_Расчет_аналитики'!BK3483=0,12&lt;='01_Вводные'!$B$297),0,'19_Расчет_аналитики'!BK3483*IF('01_Вводные'!$B$239="Да",MeanMinAge12+'19_Расчет_аналитики'!BK3595*SUMIF(ThresholdAge12,"&lt;"&amp;'19_Расчет_аналитики'!BK3595,WeightedRevAge12)-SUMIF(ThresholdAge12,"&lt;"&amp;'19_Расчет_аналитики'!BK3595,WeightedMinAge12),MAX(CapacityAge12*'01_Вводные'!$B$218*'19_Расчет_аналитики'!BK3595,MeanMinAge12))),0)</f>
        <v/>
      </c>
      <c r="BL3511">
        <f>IF('01_Вводные'!$B$234="Да",IF(OR('19_Расчет_аналитики'!BL3483=0,12&lt;='01_Вводные'!$B$297),0,'19_Расчет_аналитики'!BL3483*IF('01_Вводные'!$B$239="Да",MeanMinAge12+'19_Расчет_аналитики'!BL3595*SUMIF(ThresholdAge12,"&lt;"&amp;'19_Расчет_аналитики'!BL3595,WeightedRevAge12)-SUMIF(ThresholdAge12,"&lt;"&amp;'19_Расчет_аналитики'!BL3595,WeightedMinAge12),MAX(CapacityAge12*'01_Вводные'!$B$218*'19_Расчет_аналитики'!BL3595,MeanMinAge12))),0)</f>
        <v/>
      </c>
      <c r="BM3511">
        <f>IF('01_Вводные'!$B$234="Да",IF(OR('19_Расчет_аналитики'!BM3483=0,12&lt;='01_Вводные'!$B$297),0,'19_Расчет_аналитики'!BM3483*IF('01_Вводные'!$B$239="Да",MeanMinAge12+'19_Расчет_аналитики'!BM3595*SUMIF(ThresholdAge12,"&lt;"&amp;'19_Расчет_аналитики'!BM3595,WeightedRevAge12)-SUMIF(ThresholdAge12,"&lt;"&amp;'19_Расчет_аналитики'!BM3595,WeightedMinAge12),MAX(CapacityAge12*'01_Вводные'!$B$218*'19_Расчет_аналитики'!BM3595,MeanMinAge12))),0)</f>
        <v/>
      </c>
      <c r="BN3511">
        <f>IF('01_Вводные'!$B$234="Да",IF(OR('19_Расчет_аналитики'!BN3483=0,12&lt;='01_Вводные'!$B$297),0,'19_Расчет_аналитики'!BN3483*IF('01_Вводные'!$B$239="Да",MeanMinAge12+'19_Расчет_аналитики'!BN3595*SUMIF(ThresholdAge12,"&lt;"&amp;'19_Расчет_аналитики'!BN3595,WeightedRevAge12)-SUMIF(ThresholdAge12,"&lt;"&amp;'19_Расчет_аналитики'!BN3595,WeightedMinAge12),MAX(CapacityAge12*'01_Вводные'!$B$218*'19_Расчет_аналитики'!BN3595,MeanMinAge12))),0)</f>
        <v/>
      </c>
      <c r="BO3511">
        <f>IF('01_Вводные'!$B$234="Да",IF(OR('19_Расчет_аналитики'!BO3483=0,12&lt;='01_Вводные'!$B$297),0,'19_Расчет_аналитики'!BO3483*IF('01_Вводные'!$B$239="Да",MeanMinAge12+'19_Расчет_аналитики'!BO3595*SUMIF(ThresholdAge12,"&lt;"&amp;'19_Расчет_аналитики'!BO3595,WeightedRevAge12)-SUMIF(ThresholdAge12,"&lt;"&amp;'19_Расчет_аналитики'!BO3595,WeightedMinAge12),MAX(CapacityAge12*'01_Вводные'!$B$218*'19_Расчет_аналитики'!BO3595,MeanMinAge12))),0)</f>
        <v/>
      </c>
    </row>
    <row r="3512">
      <c r="B3512">
        <f>IF('01_Вводные'!$B$234="Да",IF(OR('06_Сеть_и_дети'!B93=0,13&lt;='01_Вводные'!$B$297),0,'06_Сеть_и_дети'!B93*IF('01_Вводные'!$B$239="Да",MeanMinAge13+'19_Расчет_аналитики'!B3595*SUMIF(ThresholdAge13,"&lt;"&amp;'19_Расчет_аналитики'!B3595,WeightedRevAge13)-SUMIF(ThresholdAge13,"&lt;"&amp;'19_Расчет_аналитики'!B3595,WeightedMinAge13),MAX(CapacityAge13*'01_Вводные'!$B$218*'19_Расчет_аналитики'!B3595,MeanMinAge13))),0)</f>
        <v/>
      </c>
      <c r="C3512">
        <f>IF('01_Вводные'!$B$234="Да",IF(OR('06_Сеть_и_дети'!C93=0,13&lt;='01_Вводные'!$B$297),0,'06_Сеть_и_дети'!C93*IF('01_Вводные'!$B$239="Да",MeanMinAge13+'19_Расчет_аналитики'!C3595*SUMIF(ThresholdAge13,"&lt;"&amp;'19_Расчет_аналитики'!C3595,WeightedRevAge13)-SUMIF(ThresholdAge13,"&lt;"&amp;'19_Расчет_аналитики'!C3595,WeightedMinAge13),MAX(CapacityAge13*'01_Вводные'!$B$218*'19_Расчет_аналитики'!C3595,MeanMinAge13))),0)</f>
        <v/>
      </c>
      <c r="D3512">
        <f>IF('01_Вводные'!$B$234="Да",IF(OR('06_Сеть_и_дети'!D93=0,13&lt;='01_Вводные'!$B$297),0,'06_Сеть_и_дети'!D93*IF('01_Вводные'!$B$239="Да",MeanMinAge13+'19_Расчет_аналитики'!D3595*SUMIF(ThresholdAge13,"&lt;"&amp;'19_Расчет_аналитики'!D3595,WeightedRevAge13)-SUMIF(ThresholdAge13,"&lt;"&amp;'19_Расчет_аналитики'!D3595,WeightedMinAge13),MAX(CapacityAge13*'01_Вводные'!$B$218*'19_Расчет_аналитики'!D3595,MeanMinAge13))),0)</f>
        <v/>
      </c>
      <c r="E3512">
        <f>IF('01_Вводные'!$B$234="Да",IF(OR('06_Сеть_и_дети'!E93=0,13&lt;='01_Вводные'!$B$297),0,'06_Сеть_и_дети'!E93*IF('01_Вводные'!$B$239="Да",MeanMinAge13+'19_Расчет_аналитики'!E3595*SUMIF(ThresholdAge13,"&lt;"&amp;'19_Расчет_аналитики'!E3595,WeightedRevAge13)-SUMIF(ThresholdAge13,"&lt;"&amp;'19_Расчет_аналитики'!E3595,WeightedMinAge13),MAX(CapacityAge13*'01_Вводные'!$B$218*'19_Расчет_аналитики'!E3595,MeanMinAge13))),0)</f>
        <v/>
      </c>
      <c r="F3512">
        <f>IF('01_Вводные'!$B$234="Да",IF(OR('06_Сеть_и_дети'!F93=0,13&lt;='01_Вводные'!$B$297),0,'06_Сеть_и_дети'!F93*IF('01_Вводные'!$B$239="Да",MeanMinAge13+'19_Расчет_аналитики'!F3595*SUMIF(ThresholdAge13,"&lt;"&amp;'19_Расчет_аналитики'!F3595,WeightedRevAge13)-SUMIF(ThresholdAge13,"&lt;"&amp;'19_Расчет_аналитики'!F3595,WeightedMinAge13),MAX(CapacityAge13*'01_Вводные'!$B$218*'19_Расчет_аналитики'!F3595,MeanMinAge13))),0)</f>
        <v/>
      </c>
      <c r="G3512">
        <f>IF('01_Вводные'!$B$234="Да",IF(OR('06_Сеть_и_дети'!G93=0,13&lt;='01_Вводные'!$B$297),0,'06_Сеть_и_дети'!G93*IF('01_Вводные'!$B$239="Да",MeanMinAge13+'19_Расчет_аналитики'!G3595*SUMIF(ThresholdAge13,"&lt;"&amp;'19_Расчет_аналитики'!G3595,WeightedRevAge13)-SUMIF(ThresholdAge13,"&lt;"&amp;'19_Расчет_аналитики'!G3595,WeightedMinAge13),MAX(CapacityAge13*'01_Вводные'!$B$218*'19_Расчет_аналитики'!G3595,MeanMinAge13))),0)</f>
        <v/>
      </c>
      <c r="H3512">
        <f>IF('01_Вводные'!$B$234="Да",IF(OR('06_Сеть_и_дети'!H93=0,13&lt;='01_Вводные'!$B$297),0,'06_Сеть_и_дети'!H93*IF('01_Вводные'!$B$239="Да",MeanMinAge13+'19_Расчет_аналитики'!H3595*SUMIF(ThresholdAge13,"&lt;"&amp;'19_Расчет_аналитики'!H3595,WeightedRevAge13)-SUMIF(ThresholdAge13,"&lt;"&amp;'19_Расчет_аналитики'!H3595,WeightedMinAge13),MAX(CapacityAge13*'01_Вводные'!$B$218*'19_Расчет_аналитики'!H3595,MeanMinAge13))),0)</f>
        <v/>
      </c>
      <c r="I3512">
        <f>IF('01_Вводные'!$B$234="Да",IF(OR('06_Сеть_и_дети'!I93=0,13&lt;='01_Вводные'!$B$297),0,'06_Сеть_и_дети'!I93*IF('01_Вводные'!$B$239="Да",MeanMinAge13+'19_Расчет_аналитики'!I3595*SUMIF(ThresholdAge13,"&lt;"&amp;'19_Расчет_аналитики'!I3595,WeightedRevAge13)-SUMIF(ThresholdAge13,"&lt;"&amp;'19_Расчет_аналитики'!I3595,WeightedMinAge13),MAX(CapacityAge13*'01_Вводные'!$B$218*'19_Расчет_аналитики'!I3595,MeanMinAge13))),0)</f>
        <v/>
      </c>
      <c r="J3512">
        <f>IF('01_Вводные'!$B$234="Да",IF(OR('06_Сеть_и_дети'!J93=0,13&lt;='01_Вводные'!$B$297),0,'06_Сеть_и_дети'!J93*IF('01_Вводные'!$B$239="Да",MeanMinAge13+'19_Расчет_аналитики'!J3595*SUMIF(ThresholdAge13,"&lt;"&amp;'19_Расчет_аналитики'!J3595,WeightedRevAge13)-SUMIF(ThresholdAge13,"&lt;"&amp;'19_Расчет_аналитики'!J3595,WeightedMinAge13),MAX(CapacityAge13*'01_Вводные'!$B$218*'19_Расчет_аналитики'!J3595,MeanMinAge13))),0)</f>
        <v/>
      </c>
      <c r="K3512">
        <f>IF('01_Вводные'!$B$234="Да",IF(OR('06_Сеть_и_дети'!K93=0,13&lt;='01_Вводные'!$B$297),0,'06_Сеть_и_дети'!K93*IF('01_Вводные'!$B$239="Да",MeanMinAge13+'19_Расчет_аналитики'!K3595*SUMIF(ThresholdAge13,"&lt;"&amp;'19_Расчет_аналитики'!K3595,WeightedRevAge13)-SUMIF(ThresholdAge13,"&lt;"&amp;'19_Расчет_аналитики'!K3595,WeightedMinAge13),MAX(CapacityAge13*'01_Вводные'!$B$218*'19_Расчет_аналитики'!K3595,MeanMinAge13))),0)</f>
        <v/>
      </c>
      <c r="L3512">
        <f>IF('01_Вводные'!$B$234="Да",IF(OR('06_Сеть_и_дети'!L93=0,13&lt;='01_Вводные'!$B$297),0,'06_Сеть_и_дети'!L93*IF('01_Вводные'!$B$239="Да",MeanMinAge13+'19_Расчет_аналитики'!L3595*SUMIF(ThresholdAge13,"&lt;"&amp;'19_Расчет_аналитики'!L3595,WeightedRevAge13)-SUMIF(ThresholdAge13,"&lt;"&amp;'19_Расчет_аналитики'!L3595,WeightedMinAge13),MAX(CapacityAge13*'01_Вводные'!$B$218*'19_Расчет_аналитики'!L3595,MeanMinAge13))),0)</f>
        <v/>
      </c>
      <c r="M3512">
        <f>IF('01_Вводные'!$B$234="Да",IF(OR('06_Сеть_и_дети'!M93=0,13&lt;='01_Вводные'!$B$297),0,'06_Сеть_и_дети'!M93*IF('01_Вводные'!$B$239="Да",MeanMinAge13+'19_Расчет_аналитики'!M3595*SUMIF(ThresholdAge13,"&lt;"&amp;'19_Расчет_аналитики'!M3595,WeightedRevAge13)-SUMIF(ThresholdAge13,"&lt;"&amp;'19_Расчет_аналитики'!M3595,WeightedMinAge13),MAX(CapacityAge13*'01_Вводные'!$B$218*'19_Расчет_аналитики'!M3595,MeanMinAge13))),0)</f>
        <v/>
      </c>
      <c r="N3512">
        <f>IF('01_Вводные'!$B$234="Да",IF(OR('19_Расчет_аналитики'!N3484=0,13&lt;='01_Вводные'!$B$297),0,'19_Расчет_аналитики'!N3484*IF('01_Вводные'!$B$239="Да",MeanMinAge13+'19_Расчет_аналитики'!N3595*SUMIF(ThresholdAge13,"&lt;"&amp;'19_Расчет_аналитики'!N3595,WeightedRevAge13)-SUMIF(ThresholdAge13,"&lt;"&amp;'19_Расчет_аналитики'!N3595,WeightedMinAge13),MAX(CapacityAge13*'01_Вводные'!$B$218*'19_Расчет_аналитики'!N3595,MeanMinAge13))),0)</f>
        <v/>
      </c>
      <c r="O3512">
        <f>IF('01_Вводные'!$B$234="Да",IF(OR('19_Расчет_аналитики'!O3484=0,13&lt;='01_Вводные'!$B$297),0,'19_Расчет_аналитики'!O3484*IF('01_Вводные'!$B$239="Да",MeanMinAge13+'19_Расчет_аналитики'!O3595*SUMIF(ThresholdAge13,"&lt;"&amp;'19_Расчет_аналитики'!O3595,WeightedRevAge13)-SUMIF(ThresholdAge13,"&lt;"&amp;'19_Расчет_аналитики'!O3595,WeightedMinAge13),MAX(CapacityAge13*'01_Вводные'!$B$218*'19_Расчет_аналитики'!O3595,MeanMinAge13))),0)</f>
        <v/>
      </c>
      <c r="P3512">
        <f>IF('01_Вводные'!$B$234="Да",IF(OR('19_Расчет_аналитики'!P3484=0,13&lt;='01_Вводные'!$B$297),0,'19_Расчет_аналитики'!P3484*IF('01_Вводные'!$B$239="Да",MeanMinAge13+'19_Расчет_аналитики'!P3595*SUMIF(ThresholdAge13,"&lt;"&amp;'19_Расчет_аналитики'!P3595,WeightedRevAge13)-SUMIF(ThresholdAge13,"&lt;"&amp;'19_Расчет_аналитики'!P3595,WeightedMinAge13),MAX(CapacityAge13*'01_Вводные'!$B$218*'19_Расчет_аналитики'!P3595,MeanMinAge13))),0)</f>
        <v/>
      </c>
      <c r="Q3512">
        <f>IF('01_Вводные'!$B$234="Да",IF(OR('19_Расчет_аналитики'!Q3484=0,13&lt;='01_Вводные'!$B$297),0,'19_Расчет_аналитики'!Q3484*IF('01_Вводные'!$B$239="Да",MeanMinAge13+'19_Расчет_аналитики'!Q3595*SUMIF(ThresholdAge13,"&lt;"&amp;'19_Расчет_аналитики'!Q3595,WeightedRevAge13)-SUMIF(ThresholdAge13,"&lt;"&amp;'19_Расчет_аналитики'!Q3595,WeightedMinAge13),MAX(CapacityAge13*'01_Вводные'!$B$218*'19_Расчет_аналитики'!Q3595,MeanMinAge13))),0)</f>
        <v/>
      </c>
      <c r="R3512">
        <f>IF('01_Вводные'!$B$234="Да",IF(OR('19_Расчет_аналитики'!R3484=0,13&lt;='01_Вводные'!$B$297),0,'19_Расчет_аналитики'!R3484*IF('01_Вводные'!$B$239="Да",MeanMinAge13+'19_Расчет_аналитики'!R3595*SUMIF(ThresholdAge13,"&lt;"&amp;'19_Расчет_аналитики'!R3595,WeightedRevAge13)-SUMIF(ThresholdAge13,"&lt;"&amp;'19_Расчет_аналитики'!R3595,WeightedMinAge13),MAX(CapacityAge13*'01_Вводные'!$B$218*'19_Расчет_аналитики'!R3595,MeanMinAge13))),0)</f>
        <v/>
      </c>
      <c r="S3512">
        <f>IF('01_Вводные'!$B$234="Да",IF(OR('19_Расчет_аналитики'!S3484=0,13&lt;='01_Вводные'!$B$297),0,'19_Расчет_аналитики'!S3484*IF('01_Вводные'!$B$239="Да",MeanMinAge13+'19_Расчет_аналитики'!S3595*SUMIF(ThresholdAge13,"&lt;"&amp;'19_Расчет_аналитики'!S3595,WeightedRevAge13)-SUMIF(ThresholdAge13,"&lt;"&amp;'19_Расчет_аналитики'!S3595,WeightedMinAge13),MAX(CapacityAge13*'01_Вводные'!$B$218*'19_Расчет_аналитики'!S3595,MeanMinAge13))),0)</f>
        <v/>
      </c>
      <c r="T3512">
        <f>IF('01_Вводные'!$B$234="Да",IF(OR('19_Расчет_аналитики'!T3484=0,13&lt;='01_Вводные'!$B$297),0,'19_Расчет_аналитики'!T3484*IF('01_Вводные'!$B$239="Да",MeanMinAge13+'19_Расчет_аналитики'!T3595*SUMIF(ThresholdAge13,"&lt;"&amp;'19_Расчет_аналитики'!T3595,WeightedRevAge13)-SUMIF(ThresholdAge13,"&lt;"&amp;'19_Расчет_аналитики'!T3595,WeightedMinAge13),MAX(CapacityAge13*'01_Вводные'!$B$218*'19_Расчет_аналитики'!T3595,MeanMinAge13))),0)</f>
        <v/>
      </c>
      <c r="U3512">
        <f>IF('01_Вводные'!$B$234="Да",IF(OR('19_Расчет_аналитики'!U3484=0,13&lt;='01_Вводные'!$B$297),0,'19_Расчет_аналитики'!U3484*IF('01_Вводные'!$B$239="Да",MeanMinAge13+'19_Расчет_аналитики'!U3595*SUMIF(ThresholdAge13,"&lt;"&amp;'19_Расчет_аналитики'!U3595,WeightedRevAge13)-SUMIF(ThresholdAge13,"&lt;"&amp;'19_Расчет_аналитики'!U3595,WeightedMinAge13),MAX(CapacityAge13*'01_Вводные'!$B$218*'19_Расчет_аналитики'!U3595,MeanMinAge13))),0)</f>
        <v/>
      </c>
      <c r="V3512">
        <f>IF('01_Вводные'!$B$234="Да",IF(OR('19_Расчет_аналитики'!V3484=0,13&lt;='01_Вводные'!$B$297),0,'19_Расчет_аналитики'!V3484*IF('01_Вводные'!$B$239="Да",MeanMinAge13+'19_Расчет_аналитики'!V3595*SUMIF(ThresholdAge13,"&lt;"&amp;'19_Расчет_аналитики'!V3595,WeightedRevAge13)-SUMIF(ThresholdAge13,"&lt;"&amp;'19_Расчет_аналитики'!V3595,WeightedMinAge13),MAX(CapacityAge13*'01_Вводные'!$B$218*'19_Расчет_аналитики'!V3595,MeanMinAge13))),0)</f>
        <v/>
      </c>
      <c r="W3512">
        <f>IF('01_Вводные'!$B$234="Да",IF(OR('19_Расчет_аналитики'!W3484=0,13&lt;='01_Вводные'!$B$297),0,'19_Расчет_аналитики'!W3484*IF('01_Вводные'!$B$239="Да",MeanMinAge13+'19_Расчет_аналитики'!W3595*SUMIF(ThresholdAge13,"&lt;"&amp;'19_Расчет_аналитики'!W3595,WeightedRevAge13)-SUMIF(ThresholdAge13,"&lt;"&amp;'19_Расчет_аналитики'!W3595,WeightedMinAge13),MAX(CapacityAge13*'01_Вводные'!$B$218*'19_Расчет_аналитики'!W3595,MeanMinAge13))),0)</f>
        <v/>
      </c>
      <c r="X3512">
        <f>IF('01_Вводные'!$B$234="Да",IF(OR('19_Расчет_аналитики'!X3484=0,13&lt;='01_Вводные'!$B$297),0,'19_Расчет_аналитики'!X3484*IF('01_Вводные'!$B$239="Да",MeanMinAge13+'19_Расчет_аналитики'!X3595*SUMIF(ThresholdAge13,"&lt;"&amp;'19_Расчет_аналитики'!X3595,WeightedRevAge13)-SUMIF(ThresholdAge13,"&lt;"&amp;'19_Расчет_аналитики'!X3595,WeightedMinAge13),MAX(CapacityAge13*'01_Вводные'!$B$218*'19_Расчет_аналитики'!X3595,MeanMinAge13))),0)</f>
        <v/>
      </c>
      <c r="Y3512">
        <f>IF('01_Вводные'!$B$234="Да",IF(OR('19_Расчет_аналитики'!Y3484=0,13&lt;='01_Вводные'!$B$297),0,'19_Расчет_аналитики'!Y3484*IF('01_Вводные'!$B$239="Да",MeanMinAge13+'19_Расчет_аналитики'!Y3595*SUMIF(ThresholdAge13,"&lt;"&amp;'19_Расчет_аналитики'!Y3595,WeightedRevAge13)-SUMIF(ThresholdAge13,"&lt;"&amp;'19_Расчет_аналитики'!Y3595,WeightedMinAge13),MAX(CapacityAge13*'01_Вводные'!$B$218*'19_Расчет_аналитики'!Y3595,MeanMinAge13))),0)</f>
        <v/>
      </c>
      <c r="Z3512">
        <f>IF('01_Вводные'!$B$234="Да",IF(OR('19_Расчет_аналитики'!Z3484=0,13&lt;='01_Вводные'!$B$297),0,'19_Расчет_аналитики'!Z3484*IF('01_Вводные'!$B$239="Да",MeanMinAge13+'19_Расчет_аналитики'!Z3595*SUMIF(ThresholdAge13,"&lt;"&amp;'19_Расчет_аналитики'!Z3595,WeightedRevAge13)-SUMIF(ThresholdAge13,"&lt;"&amp;'19_Расчет_аналитики'!Z3595,WeightedMinAge13),MAX(CapacityAge13*'01_Вводные'!$B$218*'19_Расчет_аналитики'!Z3595,MeanMinAge13))),0)</f>
        <v/>
      </c>
      <c r="AA3512">
        <f>IF('01_Вводные'!$B$234="Да",IF(OR('19_Расчет_аналитики'!AA3484=0,13&lt;='01_Вводные'!$B$297),0,'19_Расчет_аналитики'!AA3484*IF('01_Вводные'!$B$239="Да",MeanMinAge13+'19_Расчет_аналитики'!AA3595*SUMIF(ThresholdAge13,"&lt;"&amp;'19_Расчет_аналитики'!AA3595,WeightedRevAge13)-SUMIF(ThresholdAge13,"&lt;"&amp;'19_Расчет_аналитики'!AA3595,WeightedMinAge13),MAX(CapacityAge13*'01_Вводные'!$B$218*'19_Расчет_аналитики'!AA3595,MeanMinAge13))),0)</f>
        <v/>
      </c>
      <c r="AB3512">
        <f>IF('01_Вводные'!$B$234="Да",IF(OR('19_Расчет_аналитики'!AB3484=0,13&lt;='01_Вводные'!$B$297),0,'19_Расчет_аналитики'!AB3484*IF('01_Вводные'!$B$239="Да",MeanMinAge13+'19_Расчет_аналитики'!AB3595*SUMIF(ThresholdAge13,"&lt;"&amp;'19_Расчет_аналитики'!AB3595,WeightedRevAge13)-SUMIF(ThresholdAge13,"&lt;"&amp;'19_Расчет_аналитики'!AB3595,WeightedMinAge13),MAX(CapacityAge13*'01_Вводные'!$B$218*'19_Расчет_аналитики'!AB3595,MeanMinAge13))),0)</f>
        <v/>
      </c>
      <c r="AC3512">
        <f>IF('01_Вводные'!$B$234="Да",IF(OR('19_Расчет_аналитики'!AC3484=0,13&lt;='01_Вводные'!$B$297),0,'19_Расчет_аналитики'!AC3484*IF('01_Вводные'!$B$239="Да",MeanMinAge13+'19_Расчет_аналитики'!AC3595*SUMIF(ThresholdAge13,"&lt;"&amp;'19_Расчет_аналитики'!AC3595,WeightedRevAge13)-SUMIF(ThresholdAge13,"&lt;"&amp;'19_Расчет_аналитики'!AC3595,WeightedMinAge13),MAX(CapacityAge13*'01_Вводные'!$B$218*'19_Расчет_аналитики'!AC3595,MeanMinAge13))),0)</f>
        <v/>
      </c>
      <c r="AD3512">
        <f>IF('01_Вводные'!$B$234="Да",IF(OR('19_Расчет_аналитики'!AD3484=0,13&lt;='01_Вводные'!$B$297),0,'19_Расчет_аналитики'!AD3484*IF('01_Вводные'!$B$239="Да",MeanMinAge13+'19_Расчет_аналитики'!AD3595*SUMIF(ThresholdAge13,"&lt;"&amp;'19_Расчет_аналитики'!AD3595,WeightedRevAge13)-SUMIF(ThresholdAge13,"&lt;"&amp;'19_Расчет_аналитики'!AD3595,WeightedMinAge13),MAX(CapacityAge13*'01_Вводные'!$B$218*'19_Расчет_аналитики'!AD3595,MeanMinAge13))),0)</f>
        <v/>
      </c>
      <c r="AE3512">
        <f>IF('01_Вводные'!$B$234="Да",IF(OR('19_Расчет_аналитики'!AE3484=0,13&lt;='01_Вводные'!$B$297),0,'19_Расчет_аналитики'!AE3484*IF('01_Вводные'!$B$239="Да",MeanMinAge13+'19_Расчет_аналитики'!AE3595*SUMIF(ThresholdAge13,"&lt;"&amp;'19_Расчет_аналитики'!AE3595,WeightedRevAge13)-SUMIF(ThresholdAge13,"&lt;"&amp;'19_Расчет_аналитики'!AE3595,WeightedMinAge13),MAX(CapacityAge13*'01_Вводные'!$B$218*'19_Расчет_аналитики'!AE3595,MeanMinAge13))),0)</f>
        <v/>
      </c>
      <c r="AF3512">
        <f>IF('01_Вводные'!$B$234="Да",IF(OR('19_Расчет_аналитики'!AF3484=0,13&lt;='01_Вводные'!$B$297),0,'19_Расчет_аналитики'!AF3484*IF('01_Вводные'!$B$239="Да",MeanMinAge13+'19_Расчет_аналитики'!AF3595*SUMIF(ThresholdAge13,"&lt;"&amp;'19_Расчет_аналитики'!AF3595,WeightedRevAge13)-SUMIF(ThresholdAge13,"&lt;"&amp;'19_Расчет_аналитики'!AF3595,WeightedMinAge13),MAX(CapacityAge13*'01_Вводные'!$B$218*'19_Расчет_аналитики'!AF3595,MeanMinAge13))),0)</f>
        <v/>
      </c>
      <c r="AG3512">
        <f>IF('01_Вводные'!$B$234="Да",IF(OR('19_Расчет_аналитики'!AG3484=0,13&lt;='01_Вводные'!$B$297),0,'19_Расчет_аналитики'!AG3484*IF('01_Вводные'!$B$239="Да",MeanMinAge13+'19_Расчет_аналитики'!AG3595*SUMIF(ThresholdAge13,"&lt;"&amp;'19_Расчет_аналитики'!AG3595,WeightedRevAge13)-SUMIF(ThresholdAge13,"&lt;"&amp;'19_Расчет_аналитики'!AG3595,WeightedMinAge13),MAX(CapacityAge13*'01_Вводные'!$B$218*'19_Расчет_аналитики'!AG3595,MeanMinAge13))),0)</f>
        <v/>
      </c>
      <c r="AH3512">
        <f>IF('01_Вводные'!$B$234="Да",IF(OR('19_Расчет_аналитики'!AH3484=0,13&lt;='01_Вводные'!$B$297),0,'19_Расчет_аналитики'!AH3484*IF('01_Вводные'!$B$239="Да",MeanMinAge13+'19_Расчет_аналитики'!AH3595*SUMIF(ThresholdAge13,"&lt;"&amp;'19_Расчет_аналитики'!AH3595,WeightedRevAge13)-SUMIF(ThresholdAge13,"&lt;"&amp;'19_Расчет_аналитики'!AH3595,WeightedMinAge13),MAX(CapacityAge13*'01_Вводные'!$B$218*'19_Расчет_аналитики'!AH3595,MeanMinAge13))),0)</f>
        <v/>
      </c>
      <c r="AI3512">
        <f>IF('01_Вводные'!$B$234="Да",IF(OR('19_Расчет_аналитики'!AI3484=0,13&lt;='01_Вводные'!$B$297),0,'19_Расчет_аналитики'!AI3484*IF('01_Вводные'!$B$239="Да",MeanMinAge13+'19_Расчет_аналитики'!AI3595*SUMIF(ThresholdAge13,"&lt;"&amp;'19_Расчет_аналитики'!AI3595,WeightedRevAge13)-SUMIF(ThresholdAge13,"&lt;"&amp;'19_Расчет_аналитики'!AI3595,WeightedMinAge13),MAX(CapacityAge13*'01_Вводные'!$B$218*'19_Расчет_аналитики'!AI3595,MeanMinAge13))),0)</f>
        <v/>
      </c>
      <c r="AJ3512">
        <f>IF('01_Вводные'!$B$234="Да",IF(OR('19_Расчет_аналитики'!AJ3484=0,13&lt;='01_Вводные'!$B$297),0,'19_Расчет_аналитики'!AJ3484*IF('01_Вводные'!$B$239="Да",MeanMinAge13+'19_Расчет_аналитики'!AJ3595*SUMIF(ThresholdAge13,"&lt;"&amp;'19_Расчет_аналитики'!AJ3595,WeightedRevAge13)-SUMIF(ThresholdAge13,"&lt;"&amp;'19_Расчет_аналитики'!AJ3595,WeightedMinAge13),MAX(CapacityAge13*'01_Вводные'!$B$218*'19_Расчет_аналитики'!AJ3595,MeanMinAge13))),0)</f>
        <v/>
      </c>
      <c r="AK3512">
        <f>IF('01_Вводные'!$B$234="Да",IF(OR('19_Расчет_аналитики'!AK3484=0,13&lt;='01_Вводные'!$B$297),0,'19_Расчет_аналитики'!AK3484*IF('01_Вводные'!$B$239="Да",MeanMinAge13+'19_Расчет_аналитики'!AK3595*SUMIF(ThresholdAge13,"&lt;"&amp;'19_Расчет_аналитики'!AK3595,WeightedRevAge13)-SUMIF(ThresholdAge13,"&lt;"&amp;'19_Расчет_аналитики'!AK3595,WeightedMinAge13),MAX(CapacityAge13*'01_Вводные'!$B$218*'19_Расчет_аналитики'!AK3595,MeanMinAge13))),0)</f>
        <v/>
      </c>
      <c r="AL3512">
        <f>IF('01_Вводные'!$B$234="Да",IF(OR('19_Расчет_аналитики'!AL3484=0,13&lt;='01_Вводные'!$B$297),0,'19_Расчет_аналитики'!AL3484*IF('01_Вводные'!$B$239="Да",MeanMinAge13+'19_Расчет_аналитики'!AL3595*SUMIF(ThresholdAge13,"&lt;"&amp;'19_Расчет_аналитики'!AL3595,WeightedRevAge13)-SUMIF(ThresholdAge13,"&lt;"&amp;'19_Расчет_аналитики'!AL3595,WeightedMinAge13),MAX(CapacityAge13*'01_Вводные'!$B$218*'19_Расчет_аналитики'!AL3595,MeanMinAge13))),0)</f>
        <v/>
      </c>
      <c r="AM3512">
        <f>IF('01_Вводные'!$B$234="Да",IF(OR('19_Расчет_аналитики'!AM3484=0,13&lt;='01_Вводные'!$B$297),0,'19_Расчет_аналитики'!AM3484*IF('01_Вводные'!$B$239="Да",MeanMinAge13+'19_Расчет_аналитики'!AM3595*SUMIF(ThresholdAge13,"&lt;"&amp;'19_Расчет_аналитики'!AM3595,WeightedRevAge13)-SUMIF(ThresholdAge13,"&lt;"&amp;'19_Расчет_аналитики'!AM3595,WeightedMinAge13),MAX(CapacityAge13*'01_Вводные'!$B$218*'19_Расчет_аналитики'!AM3595,MeanMinAge13))),0)</f>
        <v/>
      </c>
      <c r="AN3512">
        <f>IF('01_Вводные'!$B$234="Да",IF(OR('19_Расчет_аналитики'!AN3484=0,13&lt;='01_Вводные'!$B$297),0,'19_Расчет_аналитики'!AN3484*IF('01_Вводные'!$B$239="Да",MeanMinAge13+'19_Расчет_аналитики'!AN3595*SUMIF(ThresholdAge13,"&lt;"&amp;'19_Расчет_аналитики'!AN3595,WeightedRevAge13)-SUMIF(ThresholdAge13,"&lt;"&amp;'19_Расчет_аналитики'!AN3595,WeightedMinAge13),MAX(CapacityAge13*'01_Вводные'!$B$218*'19_Расчет_аналитики'!AN3595,MeanMinAge13))),0)</f>
        <v/>
      </c>
      <c r="AO3512">
        <f>IF('01_Вводные'!$B$234="Да",IF(OR('19_Расчет_аналитики'!AO3484=0,13&lt;='01_Вводные'!$B$297),0,'19_Расчет_аналитики'!AO3484*IF('01_Вводные'!$B$239="Да",MeanMinAge13+'19_Расчет_аналитики'!AO3595*SUMIF(ThresholdAge13,"&lt;"&amp;'19_Расчет_аналитики'!AO3595,WeightedRevAge13)-SUMIF(ThresholdAge13,"&lt;"&amp;'19_Расчет_аналитики'!AO3595,WeightedMinAge13),MAX(CapacityAge13*'01_Вводные'!$B$218*'19_Расчет_аналитики'!AO3595,MeanMinAge13))),0)</f>
        <v/>
      </c>
      <c r="AP3512">
        <f>IF('01_Вводные'!$B$234="Да",IF(OR('19_Расчет_аналитики'!AP3484=0,13&lt;='01_Вводные'!$B$297),0,'19_Расчет_аналитики'!AP3484*IF('01_Вводные'!$B$239="Да",MeanMinAge13+'19_Расчет_аналитики'!AP3595*SUMIF(ThresholdAge13,"&lt;"&amp;'19_Расчет_аналитики'!AP3595,WeightedRevAge13)-SUMIF(ThresholdAge13,"&lt;"&amp;'19_Расчет_аналитики'!AP3595,WeightedMinAge13),MAX(CapacityAge13*'01_Вводные'!$B$218*'19_Расчет_аналитики'!AP3595,MeanMinAge13))),0)</f>
        <v/>
      </c>
      <c r="AQ3512">
        <f>IF('01_Вводные'!$B$234="Да",IF(OR('19_Расчет_аналитики'!AQ3484=0,13&lt;='01_Вводные'!$B$297),0,'19_Расчет_аналитики'!AQ3484*IF('01_Вводные'!$B$239="Да",MeanMinAge13+'19_Расчет_аналитики'!AQ3595*SUMIF(ThresholdAge13,"&lt;"&amp;'19_Расчет_аналитики'!AQ3595,WeightedRevAge13)-SUMIF(ThresholdAge13,"&lt;"&amp;'19_Расчет_аналитики'!AQ3595,WeightedMinAge13),MAX(CapacityAge13*'01_Вводные'!$B$218*'19_Расчет_аналитики'!AQ3595,MeanMinAge13))),0)</f>
        <v/>
      </c>
      <c r="AR3512">
        <f>IF('01_Вводные'!$B$234="Да",IF(OR('19_Расчет_аналитики'!AR3484=0,13&lt;='01_Вводные'!$B$297),0,'19_Расчет_аналитики'!AR3484*IF('01_Вводные'!$B$239="Да",MeanMinAge13+'19_Расчет_аналитики'!AR3595*SUMIF(ThresholdAge13,"&lt;"&amp;'19_Расчет_аналитики'!AR3595,WeightedRevAge13)-SUMIF(ThresholdAge13,"&lt;"&amp;'19_Расчет_аналитики'!AR3595,WeightedMinAge13),MAX(CapacityAge13*'01_Вводные'!$B$218*'19_Расчет_аналитики'!AR3595,MeanMinAge13))),0)</f>
        <v/>
      </c>
      <c r="AS3512">
        <f>IF('01_Вводные'!$B$234="Да",IF(OR('19_Расчет_аналитики'!AS3484=0,13&lt;='01_Вводные'!$B$297),0,'19_Расчет_аналитики'!AS3484*IF('01_Вводные'!$B$239="Да",MeanMinAge13+'19_Расчет_аналитики'!AS3595*SUMIF(ThresholdAge13,"&lt;"&amp;'19_Расчет_аналитики'!AS3595,WeightedRevAge13)-SUMIF(ThresholdAge13,"&lt;"&amp;'19_Расчет_аналитики'!AS3595,WeightedMinAge13),MAX(CapacityAge13*'01_Вводные'!$B$218*'19_Расчет_аналитики'!AS3595,MeanMinAge13))),0)</f>
        <v/>
      </c>
      <c r="AT3512">
        <f>IF('01_Вводные'!$B$234="Да",IF(OR('19_Расчет_аналитики'!AT3484=0,13&lt;='01_Вводные'!$B$297),0,'19_Расчет_аналитики'!AT3484*IF('01_Вводные'!$B$239="Да",MeanMinAge13+'19_Расчет_аналитики'!AT3595*SUMIF(ThresholdAge13,"&lt;"&amp;'19_Расчет_аналитики'!AT3595,WeightedRevAge13)-SUMIF(ThresholdAge13,"&lt;"&amp;'19_Расчет_аналитики'!AT3595,WeightedMinAge13),MAX(CapacityAge13*'01_Вводные'!$B$218*'19_Расчет_аналитики'!AT3595,MeanMinAge13))),0)</f>
        <v/>
      </c>
      <c r="AU3512">
        <f>IF('01_Вводные'!$B$234="Да",IF(OR('19_Расчет_аналитики'!AU3484=0,13&lt;='01_Вводные'!$B$297),0,'19_Расчет_аналитики'!AU3484*IF('01_Вводные'!$B$239="Да",MeanMinAge13+'19_Расчет_аналитики'!AU3595*SUMIF(ThresholdAge13,"&lt;"&amp;'19_Расчет_аналитики'!AU3595,WeightedRevAge13)-SUMIF(ThresholdAge13,"&lt;"&amp;'19_Расчет_аналитики'!AU3595,WeightedMinAge13),MAX(CapacityAge13*'01_Вводные'!$B$218*'19_Расчет_аналитики'!AU3595,MeanMinAge13))),0)</f>
        <v/>
      </c>
      <c r="AV3512">
        <f>IF('01_Вводные'!$B$234="Да",IF(OR('19_Расчет_аналитики'!AV3484=0,13&lt;='01_Вводные'!$B$297),0,'19_Расчет_аналитики'!AV3484*IF('01_Вводные'!$B$239="Да",MeanMinAge13+'19_Расчет_аналитики'!AV3595*SUMIF(ThresholdAge13,"&lt;"&amp;'19_Расчет_аналитики'!AV3595,WeightedRevAge13)-SUMIF(ThresholdAge13,"&lt;"&amp;'19_Расчет_аналитики'!AV3595,WeightedMinAge13),MAX(CapacityAge13*'01_Вводные'!$B$218*'19_Расчет_аналитики'!AV3595,MeanMinAge13))),0)</f>
        <v/>
      </c>
      <c r="AW3512">
        <f>IF('01_Вводные'!$B$234="Да",IF(OR('19_Расчет_аналитики'!AW3484=0,13&lt;='01_Вводные'!$B$297),0,'19_Расчет_аналитики'!AW3484*IF('01_Вводные'!$B$239="Да",MeanMinAge13+'19_Расчет_аналитики'!AW3595*SUMIF(ThresholdAge13,"&lt;"&amp;'19_Расчет_аналитики'!AW3595,WeightedRevAge13)-SUMIF(ThresholdAge13,"&lt;"&amp;'19_Расчет_аналитики'!AW3595,WeightedMinAge13),MAX(CapacityAge13*'01_Вводные'!$B$218*'19_Расчет_аналитики'!AW3595,MeanMinAge13))),0)</f>
        <v/>
      </c>
      <c r="AX3512">
        <f>IF('01_Вводные'!$B$234="Да",IF(OR('19_Расчет_аналитики'!AX3484=0,13&lt;='01_Вводные'!$B$297),0,'19_Расчет_аналитики'!AX3484*IF('01_Вводные'!$B$239="Да",MeanMinAge13+'19_Расчет_аналитики'!AX3595*SUMIF(ThresholdAge13,"&lt;"&amp;'19_Расчет_аналитики'!AX3595,WeightedRevAge13)-SUMIF(ThresholdAge13,"&lt;"&amp;'19_Расчет_аналитики'!AX3595,WeightedMinAge13),MAX(CapacityAge13*'01_Вводные'!$B$218*'19_Расчет_аналитики'!AX3595,MeanMinAge13))),0)</f>
        <v/>
      </c>
      <c r="AY3512">
        <f>IF('01_Вводные'!$B$234="Да",IF(OR('19_Расчет_аналитики'!AY3484=0,13&lt;='01_Вводные'!$B$297),0,'19_Расчет_аналитики'!AY3484*IF('01_Вводные'!$B$239="Да",MeanMinAge13+'19_Расчет_аналитики'!AY3595*SUMIF(ThresholdAge13,"&lt;"&amp;'19_Расчет_аналитики'!AY3595,WeightedRevAge13)-SUMIF(ThresholdAge13,"&lt;"&amp;'19_Расчет_аналитики'!AY3595,WeightedMinAge13),MAX(CapacityAge13*'01_Вводные'!$B$218*'19_Расчет_аналитики'!AY3595,MeanMinAge13))),0)</f>
        <v/>
      </c>
      <c r="AZ3512">
        <f>IF('01_Вводные'!$B$234="Да",IF(OR('19_Расчет_аналитики'!AZ3484=0,13&lt;='01_Вводные'!$B$297),0,'19_Расчет_аналитики'!AZ3484*IF('01_Вводные'!$B$239="Да",MeanMinAge13+'19_Расчет_аналитики'!AZ3595*SUMIF(ThresholdAge13,"&lt;"&amp;'19_Расчет_аналитики'!AZ3595,WeightedRevAge13)-SUMIF(ThresholdAge13,"&lt;"&amp;'19_Расчет_аналитики'!AZ3595,WeightedMinAge13),MAX(CapacityAge13*'01_Вводные'!$B$218*'19_Расчет_аналитики'!AZ3595,MeanMinAge13))),0)</f>
        <v/>
      </c>
      <c r="BA3512">
        <f>IF('01_Вводные'!$B$234="Да",IF(OR('19_Расчет_аналитики'!BA3484=0,13&lt;='01_Вводные'!$B$297),0,'19_Расчет_аналитики'!BA3484*IF('01_Вводные'!$B$239="Да",MeanMinAge13+'19_Расчет_аналитики'!BA3595*SUMIF(ThresholdAge13,"&lt;"&amp;'19_Расчет_аналитики'!BA3595,WeightedRevAge13)-SUMIF(ThresholdAge13,"&lt;"&amp;'19_Расчет_аналитики'!BA3595,WeightedMinAge13),MAX(CapacityAge13*'01_Вводные'!$B$218*'19_Расчет_аналитики'!BA3595,MeanMinAge13))),0)</f>
        <v/>
      </c>
      <c r="BB3512">
        <f>IF('01_Вводные'!$B$234="Да",IF(OR('19_Расчет_аналитики'!BB3484=0,13&lt;='01_Вводные'!$B$297),0,'19_Расчет_аналитики'!BB3484*IF('01_Вводные'!$B$239="Да",MeanMinAge13+'19_Расчет_аналитики'!BB3595*SUMIF(ThresholdAge13,"&lt;"&amp;'19_Расчет_аналитики'!BB3595,WeightedRevAge13)-SUMIF(ThresholdAge13,"&lt;"&amp;'19_Расчет_аналитики'!BB3595,WeightedMinAge13),MAX(CapacityAge13*'01_Вводные'!$B$218*'19_Расчет_аналитики'!BB3595,MeanMinAge13))),0)</f>
        <v/>
      </c>
      <c r="BC3512">
        <f>IF('01_Вводные'!$B$234="Да",IF(OR('19_Расчет_аналитики'!BC3484=0,13&lt;='01_Вводные'!$B$297),0,'19_Расчет_аналитики'!BC3484*IF('01_Вводные'!$B$239="Да",MeanMinAge13+'19_Расчет_аналитики'!BC3595*SUMIF(ThresholdAge13,"&lt;"&amp;'19_Расчет_аналитики'!BC3595,WeightedRevAge13)-SUMIF(ThresholdAge13,"&lt;"&amp;'19_Расчет_аналитики'!BC3595,WeightedMinAge13),MAX(CapacityAge13*'01_Вводные'!$B$218*'19_Расчет_аналитики'!BC3595,MeanMinAge13))),0)</f>
        <v/>
      </c>
      <c r="BD3512">
        <f>IF('01_Вводные'!$B$234="Да",IF(OR('19_Расчет_аналитики'!BD3484=0,13&lt;='01_Вводные'!$B$297),0,'19_Расчет_аналитики'!BD3484*IF('01_Вводные'!$B$239="Да",MeanMinAge13+'19_Расчет_аналитики'!BD3595*SUMIF(ThresholdAge13,"&lt;"&amp;'19_Расчет_аналитики'!BD3595,WeightedRevAge13)-SUMIF(ThresholdAge13,"&lt;"&amp;'19_Расчет_аналитики'!BD3595,WeightedMinAge13),MAX(CapacityAge13*'01_Вводные'!$B$218*'19_Расчет_аналитики'!BD3595,MeanMinAge13))),0)</f>
        <v/>
      </c>
      <c r="BE3512">
        <f>IF('01_Вводные'!$B$234="Да",IF(OR('19_Расчет_аналитики'!BE3484=0,13&lt;='01_Вводные'!$B$297),0,'19_Расчет_аналитики'!BE3484*IF('01_Вводные'!$B$239="Да",MeanMinAge13+'19_Расчет_аналитики'!BE3595*SUMIF(ThresholdAge13,"&lt;"&amp;'19_Расчет_аналитики'!BE3595,WeightedRevAge13)-SUMIF(ThresholdAge13,"&lt;"&amp;'19_Расчет_аналитики'!BE3595,WeightedMinAge13),MAX(CapacityAge13*'01_Вводные'!$B$218*'19_Расчет_аналитики'!BE3595,MeanMinAge13))),0)</f>
        <v/>
      </c>
      <c r="BF3512">
        <f>IF('01_Вводные'!$B$234="Да",IF(OR('19_Расчет_аналитики'!BF3484=0,13&lt;='01_Вводные'!$B$297),0,'19_Расчет_аналитики'!BF3484*IF('01_Вводные'!$B$239="Да",MeanMinAge13+'19_Расчет_аналитики'!BF3595*SUMIF(ThresholdAge13,"&lt;"&amp;'19_Расчет_аналитики'!BF3595,WeightedRevAge13)-SUMIF(ThresholdAge13,"&lt;"&amp;'19_Расчет_аналитики'!BF3595,WeightedMinAge13),MAX(CapacityAge13*'01_Вводные'!$B$218*'19_Расчет_аналитики'!BF3595,MeanMinAge13))),0)</f>
        <v/>
      </c>
      <c r="BG3512">
        <f>IF('01_Вводные'!$B$234="Да",IF(OR('19_Расчет_аналитики'!BG3484=0,13&lt;='01_Вводные'!$B$297),0,'19_Расчет_аналитики'!BG3484*IF('01_Вводные'!$B$239="Да",MeanMinAge13+'19_Расчет_аналитики'!BG3595*SUMIF(ThresholdAge13,"&lt;"&amp;'19_Расчет_аналитики'!BG3595,WeightedRevAge13)-SUMIF(ThresholdAge13,"&lt;"&amp;'19_Расчет_аналитики'!BG3595,WeightedMinAge13),MAX(CapacityAge13*'01_Вводные'!$B$218*'19_Расчет_аналитики'!BG3595,MeanMinAge13))),0)</f>
        <v/>
      </c>
      <c r="BH3512">
        <f>IF('01_Вводные'!$B$234="Да",IF(OR('19_Расчет_аналитики'!BH3484=0,13&lt;='01_Вводные'!$B$297),0,'19_Расчет_аналитики'!BH3484*IF('01_Вводные'!$B$239="Да",MeanMinAge13+'19_Расчет_аналитики'!BH3595*SUMIF(ThresholdAge13,"&lt;"&amp;'19_Расчет_аналитики'!BH3595,WeightedRevAge13)-SUMIF(ThresholdAge13,"&lt;"&amp;'19_Расчет_аналитики'!BH3595,WeightedMinAge13),MAX(CapacityAge13*'01_Вводные'!$B$218*'19_Расчет_аналитики'!BH3595,MeanMinAge13))),0)</f>
        <v/>
      </c>
      <c r="BI3512">
        <f>IF('01_Вводные'!$B$234="Да",IF(OR('19_Расчет_аналитики'!BI3484=0,13&lt;='01_Вводные'!$B$297),0,'19_Расчет_аналитики'!BI3484*IF('01_Вводные'!$B$239="Да",MeanMinAge13+'19_Расчет_аналитики'!BI3595*SUMIF(ThresholdAge13,"&lt;"&amp;'19_Расчет_аналитики'!BI3595,WeightedRevAge13)-SUMIF(ThresholdAge13,"&lt;"&amp;'19_Расчет_аналитики'!BI3595,WeightedMinAge13),MAX(CapacityAge13*'01_Вводные'!$B$218*'19_Расчет_аналитики'!BI3595,MeanMinAge13))),0)</f>
        <v/>
      </c>
      <c r="BJ3512">
        <f>IF('01_Вводные'!$B$234="Да",IF(OR('19_Расчет_аналитики'!BJ3484=0,13&lt;='01_Вводные'!$B$297),0,'19_Расчет_аналитики'!BJ3484*IF('01_Вводные'!$B$239="Да",MeanMinAge13+'19_Расчет_аналитики'!BJ3595*SUMIF(ThresholdAge13,"&lt;"&amp;'19_Расчет_аналитики'!BJ3595,WeightedRevAge13)-SUMIF(ThresholdAge13,"&lt;"&amp;'19_Расчет_аналитики'!BJ3595,WeightedMinAge13),MAX(CapacityAge13*'01_Вводные'!$B$218*'19_Расчет_аналитики'!BJ3595,MeanMinAge13))),0)</f>
        <v/>
      </c>
      <c r="BK3512">
        <f>IF('01_Вводные'!$B$234="Да",IF(OR('19_Расчет_аналитики'!BK3484=0,13&lt;='01_Вводные'!$B$297),0,'19_Расчет_аналитики'!BK3484*IF('01_Вводные'!$B$239="Да",MeanMinAge13+'19_Расчет_аналитики'!BK3595*SUMIF(ThresholdAge13,"&lt;"&amp;'19_Расчет_аналитики'!BK3595,WeightedRevAge13)-SUMIF(ThresholdAge13,"&lt;"&amp;'19_Расчет_аналитики'!BK3595,WeightedMinAge13),MAX(CapacityAge13*'01_Вводные'!$B$218*'19_Расчет_аналитики'!BK3595,MeanMinAge13))),0)</f>
        <v/>
      </c>
      <c r="BL3512">
        <f>IF('01_Вводные'!$B$234="Да",IF(OR('19_Расчет_аналитики'!BL3484=0,13&lt;='01_Вводные'!$B$297),0,'19_Расчет_аналитики'!BL3484*IF('01_Вводные'!$B$239="Да",MeanMinAge13+'19_Расчет_аналитики'!BL3595*SUMIF(ThresholdAge13,"&lt;"&amp;'19_Расчет_аналитики'!BL3595,WeightedRevAge13)-SUMIF(ThresholdAge13,"&lt;"&amp;'19_Расчет_аналитики'!BL3595,WeightedMinAge13),MAX(CapacityAge13*'01_Вводные'!$B$218*'19_Расчет_аналитики'!BL3595,MeanMinAge13))),0)</f>
        <v/>
      </c>
      <c r="BM3512">
        <f>IF('01_Вводные'!$B$234="Да",IF(OR('19_Расчет_аналитики'!BM3484=0,13&lt;='01_Вводные'!$B$297),0,'19_Расчет_аналитики'!BM3484*IF('01_Вводные'!$B$239="Да",MeanMinAge13+'19_Расчет_аналитики'!BM3595*SUMIF(ThresholdAge13,"&lt;"&amp;'19_Расчет_аналитики'!BM3595,WeightedRevAge13)-SUMIF(ThresholdAge13,"&lt;"&amp;'19_Расчет_аналитики'!BM3595,WeightedMinAge13),MAX(CapacityAge13*'01_Вводные'!$B$218*'19_Расчет_аналитики'!BM3595,MeanMinAge13))),0)</f>
        <v/>
      </c>
      <c r="BN3512">
        <f>IF('01_Вводные'!$B$234="Да",IF(OR('19_Расчет_аналитики'!BN3484=0,13&lt;='01_Вводные'!$B$297),0,'19_Расчет_аналитики'!BN3484*IF('01_Вводные'!$B$239="Да",MeanMinAge13+'19_Расчет_аналитики'!BN3595*SUMIF(ThresholdAge13,"&lt;"&amp;'19_Расчет_аналитики'!BN3595,WeightedRevAge13)-SUMIF(ThresholdAge13,"&lt;"&amp;'19_Расчет_аналитики'!BN3595,WeightedMinAge13),MAX(CapacityAge13*'01_Вводные'!$B$218*'19_Расчет_аналитики'!BN3595,MeanMinAge13))),0)</f>
        <v/>
      </c>
      <c r="BO3512">
        <f>IF('01_Вводные'!$B$234="Да",IF(OR('19_Расчет_аналитики'!BO3484=0,13&lt;='01_Вводные'!$B$297),0,'19_Расчет_аналитики'!BO3484*IF('01_Вводные'!$B$239="Да",MeanMinAge13+'19_Расчет_аналитики'!BO3595*SUMIF(ThresholdAge13,"&lt;"&amp;'19_Расчет_аналитики'!BO3595,WeightedRevAge13)-SUMIF(ThresholdAge13,"&lt;"&amp;'19_Расчет_аналитики'!BO3595,WeightedMinAge13),MAX(CapacityAge13*'01_Вводные'!$B$218*'19_Расчет_аналитики'!BO3595,MeanMinAge13))),0)</f>
        <v/>
      </c>
    </row>
    <row r="3513">
      <c r="B3513">
        <f>IF('01_Вводные'!$B$234="Да",IF(OR('06_Сеть_и_дети'!B94=0,14&lt;='01_Вводные'!$B$297),0,'06_Сеть_и_дети'!B94*IF('01_Вводные'!$B$239="Да",MeanMinAge14+'19_Расчет_аналитики'!B3595*SUMIF(ThresholdAge14,"&lt;"&amp;'19_Расчет_аналитики'!B3595,WeightedRevAge14)-SUMIF(ThresholdAge14,"&lt;"&amp;'19_Расчет_аналитики'!B3595,WeightedMinAge14),MAX(CapacityAge14*'01_Вводные'!$B$218*'19_Расчет_аналитики'!B3595,MeanMinAge14))),0)</f>
        <v/>
      </c>
      <c r="C3513">
        <f>IF('01_Вводные'!$B$234="Да",IF(OR('06_Сеть_и_дети'!C94=0,14&lt;='01_Вводные'!$B$297),0,'06_Сеть_и_дети'!C94*IF('01_Вводные'!$B$239="Да",MeanMinAge14+'19_Расчет_аналитики'!C3595*SUMIF(ThresholdAge14,"&lt;"&amp;'19_Расчет_аналитики'!C3595,WeightedRevAge14)-SUMIF(ThresholdAge14,"&lt;"&amp;'19_Расчет_аналитики'!C3595,WeightedMinAge14),MAX(CapacityAge14*'01_Вводные'!$B$218*'19_Расчет_аналитики'!C3595,MeanMinAge14))),0)</f>
        <v/>
      </c>
      <c r="D3513">
        <f>IF('01_Вводные'!$B$234="Да",IF(OR('06_Сеть_и_дети'!D94=0,14&lt;='01_Вводные'!$B$297),0,'06_Сеть_и_дети'!D94*IF('01_Вводные'!$B$239="Да",MeanMinAge14+'19_Расчет_аналитики'!D3595*SUMIF(ThresholdAge14,"&lt;"&amp;'19_Расчет_аналитики'!D3595,WeightedRevAge14)-SUMIF(ThresholdAge14,"&lt;"&amp;'19_Расчет_аналитики'!D3595,WeightedMinAge14),MAX(CapacityAge14*'01_Вводные'!$B$218*'19_Расчет_аналитики'!D3595,MeanMinAge14))),0)</f>
        <v/>
      </c>
      <c r="E3513">
        <f>IF('01_Вводные'!$B$234="Да",IF(OR('06_Сеть_и_дети'!E94=0,14&lt;='01_Вводные'!$B$297),0,'06_Сеть_и_дети'!E94*IF('01_Вводные'!$B$239="Да",MeanMinAge14+'19_Расчет_аналитики'!E3595*SUMIF(ThresholdAge14,"&lt;"&amp;'19_Расчет_аналитики'!E3595,WeightedRevAge14)-SUMIF(ThresholdAge14,"&lt;"&amp;'19_Расчет_аналитики'!E3595,WeightedMinAge14),MAX(CapacityAge14*'01_Вводные'!$B$218*'19_Расчет_аналитики'!E3595,MeanMinAge14))),0)</f>
        <v/>
      </c>
      <c r="F3513">
        <f>IF('01_Вводные'!$B$234="Да",IF(OR('06_Сеть_и_дети'!F94=0,14&lt;='01_Вводные'!$B$297),0,'06_Сеть_и_дети'!F94*IF('01_Вводные'!$B$239="Да",MeanMinAge14+'19_Расчет_аналитики'!F3595*SUMIF(ThresholdAge14,"&lt;"&amp;'19_Расчет_аналитики'!F3595,WeightedRevAge14)-SUMIF(ThresholdAge14,"&lt;"&amp;'19_Расчет_аналитики'!F3595,WeightedMinAge14),MAX(CapacityAge14*'01_Вводные'!$B$218*'19_Расчет_аналитики'!F3595,MeanMinAge14))),0)</f>
        <v/>
      </c>
      <c r="G3513">
        <f>IF('01_Вводные'!$B$234="Да",IF(OR('06_Сеть_и_дети'!G94=0,14&lt;='01_Вводные'!$B$297),0,'06_Сеть_и_дети'!G94*IF('01_Вводные'!$B$239="Да",MeanMinAge14+'19_Расчет_аналитики'!G3595*SUMIF(ThresholdAge14,"&lt;"&amp;'19_Расчет_аналитики'!G3595,WeightedRevAge14)-SUMIF(ThresholdAge14,"&lt;"&amp;'19_Расчет_аналитики'!G3595,WeightedMinAge14),MAX(CapacityAge14*'01_Вводные'!$B$218*'19_Расчет_аналитики'!G3595,MeanMinAge14))),0)</f>
        <v/>
      </c>
      <c r="H3513">
        <f>IF('01_Вводные'!$B$234="Да",IF(OR('06_Сеть_и_дети'!H94=0,14&lt;='01_Вводные'!$B$297),0,'06_Сеть_и_дети'!H94*IF('01_Вводные'!$B$239="Да",MeanMinAge14+'19_Расчет_аналитики'!H3595*SUMIF(ThresholdAge14,"&lt;"&amp;'19_Расчет_аналитики'!H3595,WeightedRevAge14)-SUMIF(ThresholdAge14,"&lt;"&amp;'19_Расчет_аналитики'!H3595,WeightedMinAge14),MAX(CapacityAge14*'01_Вводные'!$B$218*'19_Расчет_аналитики'!H3595,MeanMinAge14))),0)</f>
        <v/>
      </c>
      <c r="I3513">
        <f>IF('01_Вводные'!$B$234="Да",IF(OR('06_Сеть_и_дети'!I94=0,14&lt;='01_Вводные'!$B$297),0,'06_Сеть_и_дети'!I94*IF('01_Вводные'!$B$239="Да",MeanMinAge14+'19_Расчет_аналитики'!I3595*SUMIF(ThresholdAge14,"&lt;"&amp;'19_Расчет_аналитики'!I3595,WeightedRevAge14)-SUMIF(ThresholdAge14,"&lt;"&amp;'19_Расчет_аналитики'!I3595,WeightedMinAge14),MAX(CapacityAge14*'01_Вводные'!$B$218*'19_Расчет_аналитики'!I3595,MeanMinAge14))),0)</f>
        <v/>
      </c>
      <c r="J3513">
        <f>IF('01_Вводные'!$B$234="Да",IF(OR('06_Сеть_и_дети'!J94=0,14&lt;='01_Вводные'!$B$297),0,'06_Сеть_и_дети'!J94*IF('01_Вводные'!$B$239="Да",MeanMinAge14+'19_Расчет_аналитики'!J3595*SUMIF(ThresholdAge14,"&lt;"&amp;'19_Расчет_аналитики'!J3595,WeightedRevAge14)-SUMIF(ThresholdAge14,"&lt;"&amp;'19_Расчет_аналитики'!J3595,WeightedMinAge14),MAX(CapacityAge14*'01_Вводные'!$B$218*'19_Расчет_аналитики'!J3595,MeanMinAge14))),0)</f>
        <v/>
      </c>
      <c r="K3513">
        <f>IF('01_Вводные'!$B$234="Да",IF(OR('06_Сеть_и_дети'!K94=0,14&lt;='01_Вводные'!$B$297),0,'06_Сеть_и_дети'!K94*IF('01_Вводные'!$B$239="Да",MeanMinAge14+'19_Расчет_аналитики'!K3595*SUMIF(ThresholdAge14,"&lt;"&amp;'19_Расчет_аналитики'!K3595,WeightedRevAge14)-SUMIF(ThresholdAge14,"&lt;"&amp;'19_Расчет_аналитики'!K3595,WeightedMinAge14),MAX(CapacityAge14*'01_Вводные'!$B$218*'19_Расчет_аналитики'!K3595,MeanMinAge14))),0)</f>
        <v/>
      </c>
      <c r="L3513">
        <f>IF('01_Вводные'!$B$234="Да",IF(OR('06_Сеть_и_дети'!L94=0,14&lt;='01_Вводные'!$B$297),0,'06_Сеть_и_дети'!L94*IF('01_Вводные'!$B$239="Да",MeanMinAge14+'19_Расчет_аналитики'!L3595*SUMIF(ThresholdAge14,"&lt;"&amp;'19_Расчет_аналитики'!L3595,WeightedRevAge14)-SUMIF(ThresholdAge14,"&lt;"&amp;'19_Расчет_аналитики'!L3595,WeightedMinAge14),MAX(CapacityAge14*'01_Вводные'!$B$218*'19_Расчет_аналитики'!L3595,MeanMinAge14))),0)</f>
        <v/>
      </c>
      <c r="M3513">
        <f>IF('01_Вводные'!$B$234="Да",IF(OR('06_Сеть_и_дети'!M94=0,14&lt;='01_Вводные'!$B$297),0,'06_Сеть_и_дети'!M94*IF('01_Вводные'!$B$239="Да",MeanMinAge14+'19_Расчет_аналитики'!M3595*SUMIF(ThresholdAge14,"&lt;"&amp;'19_Расчет_аналитики'!M3595,WeightedRevAge14)-SUMIF(ThresholdAge14,"&lt;"&amp;'19_Расчет_аналитики'!M3595,WeightedMinAge14),MAX(CapacityAge14*'01_Вводные'!$B$218*'19_Расчет_аналитики'!M3595,MeanMinAge14))),0)</f>
        <v/>
      </c>
      <c r="N3513">
        <f>IF('01_Вводные'!$B$234="Да",IF(OR('06_Сеть_и_дети'!N94=0,14&lt;='01_Вводные'!$B$297),0,'06_Сеть_и_дети'!N94*IF('01_Вводные'!$B$239="Да",MeanMinAge14+'19_Расчет_аналитики'!N3595*SUMIF(ThresholdAge14,"&lt;"&amp;'19_Расчет_аналитики'!N3595,WeightedRevAge14)-SUMIF(ThresholdAge14,"&lt;"&amp;'19_Расчет_аналитики'!N3595,WeightedMinAge14),MAX(CapacityAge14*'01_Вводные'!$B$218*'19_Расчет_аналитики'!N3595,MeanMinAge14))),0)</f>
        <v/>
      </c>
      <c r="O3513">
        <f>IF('01_Вводные'!$B$234="Да",IF(OR('19_Расчет_аналитики'!O3485=0,14&lt;='01_Вводные'!$B$297),0,'19_Расчет_аналитики'!O3485*IF('01_Вводные'!$B$239="Да",MeanMinAge14+'19_Расчет_аналитики'!O3595*SUMIF(ThresholdAge14,"&lt;"&amp;'19_Расчет_аналитики'!O3595,WeightedRevAge14)-SUMIF(ThresholdAge14,"&lt;"&amp;'19_Расчет_аналитики'!O3595,WeightedMinAge14),MAX(CapacityAge14*'01_Вводные'!$B$218*'19_Расчет_аналитики'!O3595,MeanMinAge14))),0)</f>
        <v/>
      </c>
      <c r="P3513">
        <f>IF('01_Вводные'!$B$234="Да",IF(OR('19_Расчет_аналитики'!P3485=0,14&lt;='01_Вводные'!$B$297),0,'19_Расчет_аналитики'!P3485*IF('01_Вводные'!$B$239="Да",MeanMinAge14+'19_Расчет_аналитики'!P3595*SUMIF(ThresholdAge14,"&lt;"&amp;'19_Расчет_аналитики'!P3595,WeightedRevAge14)-SUMIF(ThresholdAge14,"&lt;"&amp;'19_Расчет_аналитики'!P3595,WeightedMinAge14),MAX(CapacityAge14*'01_Вводные'!$B$218*'19_Расчет_аналитики'!P3595,MeanMinAge14))),0)</f>
        <v/>
      </c>
      <c r="Q3513">
        <f>IF('01_Вводные'!$B$234="Да",IF(OR('19_Расчет_аналитики'!Q3485=0,14&lt;='01_Вводные'!$B$297),0,'19_Расчет_аналитики'!Q3485*IF('01_Вводные'!$B$239="Да",MeanMinAge14+'19_Расчет_аналитики'!Q3595*SUMIF(ThresholdAge14,"&lt;"&amp;'19_Расчет_аналитики'!Q3595,WeightedRevAge14)-SUMIF(ThresholdAge14,"&lt;"&amp;'19_Расчет_аналитики'!Q3595,WeightedMinAge14),MAX(CapacityAge14*'01_Вводные'!$B$218*'19_Расчет_аналитики'!Q3595,MeanMinAge14))),0)</f>
        <v/>
      </c>
      <c r="R3513">
        <f>IF('01_Вводные'!$B$234="Да",IF(OR('19_Расчет_аналитики'!R3485=0,14&lt;='01_Вводные'!$B$297),0,'19_Расчет_аналитики'!R3485*IF('01_Вводные'!$B$239="Да",MeanMinAge14+'19_Расчет_аналитики'!R3595*SUMIF(ThresholdAge14,"&lt;"&amp;'19_Расчет_аналитики'!R3595,WeightedRevAge14)-SUMIF(ThresholdAge14,"&lt;"&amp;'19_Расчет_аналитики'!R3595,WeightedMinAge14),MAX(CapacityAge14*'01_Вводные'!$B$218*'19_Расчет_аналитики'!R3595,MeanMinAge14))),0)</f>
        <v/>
      </c>
      <c r="S3513">
        <f>IF('01_Вводные'!$B$234="Да",IF(OR('19_Расчет_аналитики'!S3485=0,14&lt;='01_Вводные'!$B$297),0,'19_Расчет_аналитики'!S3485*IF('01_Вводные'!$B$239="Да",MeanMinAge14+'19_Расчет_аналитики'!S3595*SUMIF(ThresholdAge14,"&lt;"&amp;'19_Расчет_аналитики'!S3595,WeightedRevAge14)-SUMIF(ThresholdAge14,"&lt;"&amp;'19_Расчет_аналитики'!S3595,WeightedMinAge14),MAX(CapacityAge14*'01_Вводные'!$B$218*'19_Расчет_аналитики'!S3595,MeanMinAge14))),0)</f>
        <v/>
      </c>
      <c r="T3513">
        <f>IF('01_Вводные'!$B$234="Да",IF(OR('19_Расчет_аналитики'!T3485=0,14&lt;='01_Вводные'!$B$297),0,'19_Расчет_аналитики'!T3485*IF('01_Вводные'!$B$239="Да",MeanMinAge14+'19_Расчет_аналитики'!T3595*SUMIF(ThresholdAge14,"&lt;"&amp;'19_Расчет_аналитики'!T3595,WeightedRevAge14)-SUMIF(ThresholdAge14,"&lt;"&amp;'19_Расчет_аналитики'!T3595,WeightedMinAge14),MAX(CapacityAge14*'01_Вводные'!$B$218*'19_Расчет_аналитики'!T3595,MeanMinAge14))),0)</f>
        <v/>
      </c>
      <c r="U3513">
        <f>IF('01_Вводные'!$B$234="Да",IF(OR('19_Расчет_аналитики'!U3485=0,14&lt;='01_Вводные'!$B$297),0,'19_Расчет_аналитики'!U3485*IF('01_Вводные'!$B$239="Да",MeanMinAge14+'19_Расчет_аналитики'!U3595*SUMIF(ThresholdAge14,"&lt;"&amp;'19_Расчет_аналитики'!U3595,WeightedRevAge14)-SUMIF(ThresholdAge14,"&lt;"&amp;'19_Расчет_аналитики'!U3595,WeightedMinAge14),MAX(CapacityAge14*'01_Вводные'!$B$218*'19_Расчет_аналитики'!U3595,MeanMinAge14))),0)</f>
        <v/>
      </c>
      <c r="V3513">
        <f>IF('01_Вводные'!$B$234="Да",IF(OR('19_Расчет_аналитики'!V3485=0,14&lt;='01_Вводные'!$B$297),0,'19_Расчет_аналитики'!V3485*IF('01_Вводные'!$B$239="Да",MeanMinAge14+'19_Расчет_аналитики'!V3595*SUMIF(ThresholdAge14,"&lt;"&amp;'19_Расчет_аналитики'!V3595,WeightedRevAge14)-SUMIF(ThresholdAge14,"&lt;"&amp;'19_Расчет_аналитики'!V3595,WeightedMinAge14),MAX(CapacityAge14*'01_Вводные'!$B$218*'19_Расчет_аналитики'!V3595,MeanMinAge14))),0)</f>
        <v/>
      </c>
      <c r="W3513">
        <f>IF('01_Вводные'!$B$234="Да",IF(OR('19_Расчет_аналитики'!W3485=0,14&lt;='01_Вводные'!$B$297),0,'19_Расчет_аналитики'!W3485*IF('01_Вводные'!$B$239="Да",MeanMinAge14+'19_Расчет_аналитики'!W3595*SUMIF(ThresholdAge14,"&lt;"&amp;'19_Расчет_аналитики'!W3595,WeightedRevAge14)-SUMIF(ThresholdAge14,"&lt;"&amp;'19_Расчет_аналитики'!W3595,WeightedMinAge14),MAX(CapacityAge14*'01_Вводные'!$B$218*'19_Расчет_аналитики'!W3595,MeanMinAge14))),0)</f>
        <v/>
      </c>
      <c r="X3513">
        <f>IF('01_Вводные'!$B$234="Да",IF(OR('19_Расчет_аналитики'!X3485=0,14&lt;='01_Вводные'!$B$297),0,'19_Расчет_аналитики'!X3485*IF('01_Вводные'!$B$239="Да",MeanMinAge14+'19_Расчет_аналитики'!X3595*SUMIF(ThresholdAge14,"&lt;"&amp;'19_Расчет_аналитики'!X3595,WeightedRevAge14)-SUMIF(ThresholdAge14,"&lt;"&amp;'19_Расчет_аналитики'!X3595,WeightedMinAge14),MAX(CapacityAge14*'01_Вводные'!$B$218*'19_Расчет_аналитики'!X3595,MeanMinAge14))),0)</f>
        <v/>
      </c>
      <c r="Y3513">
        <f>IF('01_Вводные'!$B$234="Да",IF(OR('19_Расчет_аналитики'!Y3485=0,14&lt;='01_Вводные'!$B$297),0,'19_Расчет_аналитики'!Y3485*IF('01_Вводные'!$B$239="Да",MeanMinAge14+'19_Расчет_аналитики'!Y3595*SUMIF(ThresholdAge14,"&lt;"&amp;'19_Расчет_аналитики'!Y3595,WeightedRevAge14)-SUMIF(ThresholdAge14,"&lt;"&amp;'19_Расчет_аналитики'!Y3595,WeightedMinAge14),MAX(CapacityAge14*'01_Вводные'!$B$218*'19_Расчет_аналитики'!Y3595,MeanMinAge14))),0)</f>
        <v/>
      </c>
      <c r="Z3513">
        <f>IF('01_Вводные'!$B$234="Да",IF(OR('19_Расчет_аналитики'!Z3485=0,14&lt;='01_Вводные'!$B$297),0,'19_Расчет_аналитики'!Z3485*IF('01_Вводные'!$B$239="Да",MeanMinAge14+'19_Расчет_аналитики'!Z3595*SUMIF(ThresholdAge14,"&lt;"&amp;'19_Расчет_аналитики'!Z3595,WeightedRevAge14)-SUMIF(ThresholdAge14,"&lt;"&amp;'19_Расчет_аналитики'!Z3595,WeightedMinAge14),MAX(CapacityAge14*'01_Вводные'!$B$218*'19_Расчет_аналитики'!Z3595,MeanMinAge14))),0)</f>
        <v/>
      </c>
      <c r="AA3513">
        <f>IF('01_Вводные'!$B$234="Да",IF(OR('19_Расчет_аналитики'!AA3485=0,14&lt;='01_Вводные'!$B$297),0,'19_Расчет_аналитики'!AA3485*IF('01_Вводные'!$B$239="Да",MeanMinAge14+'19_Расчет_аналитики'!AA3595*SUMIF(ThresholdAge14,"&lt;"&amp;'19_Расчет_аналитики'!AA3595,WeightedRevAge14)-SUMIF(ThresholdAge14,"&lt;"&amp;'19_Расчет_аналитики'!AA3595,WeightedMinAge14),MAX(CapacityAge14*'01_Вводные'!$B$218*'19_Расчет_аналитики'!AA3595,MeanMinAge14))),0)</f>
        <v/>
      </c>
      <c r="AB3513">
        <f>IF('01_Вводные'!$B$234="Да",IF(OR('19_Расчет_аналитики'!AB3485=0,14&lt;='01_Вводные'!$B$297),0,'19_Расчет_аналитики'!AB3485*IF('01_Вводные'!$B$239="Да",MeanMinAge14+'19_Расчет_аналитики'!AB3595*SUMIF(ThresholdAge14,"&lt;"&amp;'19_Расчет_аналитики'!AB3595,WeightedRevAge14)-SUMIF(ThresholdAge14,"&lt;"&amp;'19_Расчет_аналитики'!AB3595,WeightedMinAge14),MAX(CapacityAge14*'01_Вводные'!$B$218*'19_Расчет_аналитики'!AB3595,MeanMinAge14))),0)</f>
        <v/>
      </c>
      <c r="AC3513">
        <f>IF('01_Вводные'!$B$234="Да",IF(OR('19_Расчет_аналитики'!AC3485=0,14&lt;='01_Вводные'!$B$297),0,'19_Расчет_аналитики'!AC3485*IF('01_Вводные'!$B$239="Да",MeanMinAge14+'19_Расчет_аналитики'!AC3595*SUMIF(ThresholdAge14,"&lt;"&amp;'19_Расчет_аналитики'!AC3595,WeightedRevAge14)-SUMIF(ThresholdAge14,"&lt;"&amp;'19_Расчет_аналитики'!AC3595,WeightedMinAge14),MAX(CapacityAge14*'01_Вводные'!$B$218*'19_Расчет_аналитики'!AC3595,MeanMinAge14))),0)</f>
        <v/>
      </c>
      <c r="AD3513">
        <f>IF('01_Вводные'!$B$234="Да",IF(OR('19_Расчет_аналитики'!AD3485=0,14&lt;='01_Вводные'!$B$297),0,'19_Расчет_аналитики'!AD3485*IF('01_Вводные'!$B$239="Да",MeanMinAge14+'19_Расчет_аналитики'!AD3595*SUMIF(ThresholdAge14,"&lt;"&amp;'19_Расчет_аналитики'!AD3595,WeightedRevAge14)-SUMIF(ThresholdAge14,"&lt;"&amp;'19_Расчет_аналитики'!AD3595,WeightedMinAge14),MAX(CapacityAge14*'01_Вводные'!$B$218*'19_Расчет_аналитики'!AD3595,MeanMinAge14))),0)</f>
        <v/>
      </c>
      <c r="AE3513">
        <f>IF('01_Вводные'!$B$234="Да",IF(OR('19_Расчет_аналитики'!AE3485=0,14&lt;='01_Вводные'!$B$297),0,'19_Расчет_аналитики'!AE3485*IF('01_Вводные'!$B$239="Да",MeanMinAge14+'19_Расчет_аналитики'!AE3595*SUMIF(ThresholdAge14,"&lt;"&amp;'19_Расчет_аналитики'!AE3595,WeightedRevAge14)-SUMIF(ThresholdAge14,"&lt;"&amp;'19_Расчет_аналитики'!AE3595,WeightedMinAge14),MAX(CapacityAge14*'01_Вводные'!$B$218*'19_Расчет_аналитики'!AE3595,MeanMinAge14))),0)</f>
        <v/>
      </c>
      <c r="AF3513">
        <f>IF('01_Вводные'!$B$234="Да",IF(OR('19_Расчет_аналитики'!AF3485=0,14&lt;='01_Вводные'!$B$297),0,'19_Расчет_аналитики'!AF3485*IF('01_Вводные'!$B$239="Да",MeanMinAge14+'19_Расчет_аналитики'!AF3595*SUMIF(ThresholdAge14,"&lt;"&amp;'19_Расчет_аналитики'!AF3595,WeightedRevAge14)-SUMIF(ThresholdAge14,"&lt;"&amp;'19_Расчет_аналитики'!AF3595,WeightedMinAge14),MAX(CapacityAge14*'01_Вводные'!$B$218*'19_Расчет_аналитики'!AF3595,MeanMinAge14))),0)</f>
        <v/>
      </c>
      <c r="AG3513">
        <f>IF('01_Вводные'!$B$234="Да",IF(OR('19_Расчет_аналитики'!AG3485=0,14&lt;='01_Вводные'!$B$297),0,'19_Расчет_аналитики'!AG3485*IF('01_Вводные'!$B$239="Да",MeanMinAge14+'19_Расчет_аналитики'!AG3595*SUMIF(ThresholdAge14,"&lt;"&amp;'19_Расчет_аналитики'!AG3595,WeightedRevAge14)-SUMIF(ThresholdAge14,"&lt;"&amp;'19_Расчет_аналитики'!AG3595,WeightedMinAge14),MAX(CapacityAge14*'01_Вводные'!$B$218*'19_Расчет_аналитики'!AG3595,MeanMinAge14))),0)</f>
        <v/>
      </c>
      <c r="AH3513">
        <f>IF('01_Вводные'!$B$234="Да",IF(OR('19_Расчет_аналитики'!AH3485=0,14&lt;='01_Вводные'!$B$297),0,'19_Расчет_аналитики'!AH3485*IF('01_Вводные'!$B$239="Да",MeanMinAge14+'19_Расчет_аналитики'!AH3595*SUMIF(ThresholdAge14,"&lt;"&amp;'19_Расчет_аналитики'!AH3595,WeightedRevAge14)-SUMIF(ThresholdAge14,"&lt;"&amp;'19_Расчет_аналитики'!AH3595,WeightedMinAge14),MAX(CapacityAge14*'01_Вводные'!$B$218*'19_Расчет_аналитики'!AH3595,MeanMinAge14))),0)</f>
        <v/>
      </c>
      <c r="AI3513">
        <f>IF('01_Вводные'!$B$234="Да",IF(OR('19_Расчет_аналитики'!AI3485=0,14&lt;='01_Вводные'!$B$297),0,'19_Расчет_аналитики'!AI3485*IF('01_Вводные'!$B$239="Да",MeanMinAge14+'19_Расчет_аналитики'!AI3595*SUMIF(ThresholdAge14,"&lt;"&amp;'19_Расчет_аналитики'!AI3595,WeightedRevAge14)-SUMIF(ThresholdAge14,"&lt;"&amp;'19_Расчет_аналитики'!AI3595,WeightedMinAge14),MAX(CapacityAge14*'01_Вводные'!$B$218*'19_Расчет_аналитики'!AI3595,MeanMinAge14))),0)</f>
        <v/>
      </c>
      <c r="AJ3513">
        <f>IF('01_Вводные'!$B$234="Да",IF(OR('19_Расчет_аналитики'!AJ3485=0,14&lt;='01_Вводные'!$B$297),0,'19_Расчет_аналитики'!AJ3485*IF('01_Вводные'!$B$239="Да",MeanMinAge14+'19_Расчет_аналитики'!AJ3595*SUMIF(ThresholdAge14,"&lt;"&amp;'19_Расчет_аналитики'!AJ3595,WeightedRevAge14)-SUMIF(ThresholdAge14,"&lt;"&amp;'19_Расчет_аналитики'!AJ3595,WeightedMinAge14),MAX(CapacityAge14*'01_Вводные'!$B$218*'19_Расчет_аналитики'!AJ3595,MeanMinAge14))),0)</f>
        <v/>
      </c>
      <c r="AK3513">
        <f>IF('01_Вводные'!$B$234="Да",IF(OR('19_Расчет_аналитики'!AK3485=0,14&lt;='01_Вводные'!$B$297),0,'19_Расчет_аналитики'!AK3485*IF('01_Вводные'!$B$239="Да",MeanMinAge14+'19_Расчет_аналитики'!AK3595*SUMIF(ThresholdAge14,"&lt;"&amp;'19_Расчет_аналитики'!AK3595,WeightedRevAge14)-SUMIF(ThresholdAge14,"&lt;"&amp;'19_Расчет_аналитики'!AK3595,WeightedMinAge14),MAX(CapacityAge14*'01_Вводные'!$B$218*'19_Расчет_аналитики'!AK3595,MeanMinAge14))),0)</f>
        <v/>
      </c>
      <c r="AL3513">
        <f>IF('01_Вводные'!$B$234="Да",IF(OR('19_Расчет_аналитики'!AL3485=0,14&lt;='01_Вводные'!$B$297),0,'19_Расчет_аналитики'!AL3485*IF('01_Вводные'!$B$239="Да",MeanMinAge14+'19_Расчет_аналитики'!AL3595*SUMIF(ThresholdAge14,"&lt;"&amp;'19_Расчет_аналитики'!AL3595,WeightedRevAge14)-SUMIF(ThresholdAge14,"&lt;"&amp;'19_Расчет_аналитики'!AL3595,WeightedMinAge14),MAX(CapacityAge14*'01_Вводные'!$B$218*'19_Расчет_аналитики'!AL3595,MeanMinAge14))),0)</f>
        <v/>
      </c>
      <c r="AM3513">
        <f>IF('01_Вводные'!$B$234="Да",IF(OR('19_Расчет_аналитики'!AM3485=0,14&lt;='01_Вводные'!$B$297),0,'19_Расчет_аналитики'!AM3485*IF('01_Вводные'!$B$239="Да",MeanMinAge14+'19_Расчет_аналитики'!AM3595*SUMIF(ThresholdAge14,"&lt;"&amp;'19_Расчет_аналитики'!AM3595,WeightedRevAge14)-SUMIF(ThresholdAge14,"&lt;"&amp;'19_Расчет_аналитики'!AM3595,WeightedMinAge14),MAX(CapacityAge14*'01_Вводные'!$B$218*'19_Расчет_аналитики'!AM3595,MeanMinAge14))),0)</f>
        <v/>
      </c>
      <c r="AN3513">
        <f>IF('01_Вводные'!$B$234="Да",IF(OR('19_Расчет_аналитики'!AN3485=0,14&lt;='01_Вводные'!$B$297),0,'19_Расчет_аналитики'!AN3485*IF('01_Вводные'!$B$239="Да",MeanMinAge14+'19_Расчет_аналитики'!AN3595*SUMIF(ThresholdAge14,"&lt;"&amp;'19_Расчет_аналитики'!AN3595,WeightedRevAge14)-SUMIF(ThresholdAge14,"&lt;"&amp;'19_Расчет_аналитики'!AN3595,WeightedMinAge14),MAX(CapacityAge14*'01_Вводные'!$B$218*'19_Расчет_аналитики'!AN3595,MeanMinAge14))),0)</f>
        <v/>
      </c>
      <c r="AO3513">
        <f>IF('01_Вводные'!$B$234="Да",IF(OR('19_Расчет_аналитики'!AO3485=0,14&lt;='01_Вводные'!$B$297),0,'19_Расчет_аналитики'!AO3485*IF('01_Вводные'!$B$239="Да",MeanMinAge14+'19_Расчет_аналитики'!AO3595*SUMIF(ThresholdAge14,"&lt;"&amp;'19_Расчет_аналитики'!AO3595,WeightedRevAge14)-SUMIF(ThresholdAge14,"&lt;"&amp;'19_Расчет_аналитики'!AO3595,WeightedMinAge14),MAX(CapacityAge14*'01_Вводные'!$B$218*'19_Расчет_аналитики'!AO3595,MeanMinAge14))),0)</f>
        <v/>
      </c>
      <c r="AP3513">
        <f>IF('01_Вводные'!$B$234="Да",IF(OR('19_Расчет_аналитики'!AP3485=0,14&lt;='01_Вводные'!$B$297),0,'19_Расчет_аналитики'!AP3485*IF('01_Вводные'!$B$239="Да",MeanMinAge14+'19_Расчет_аналитики'!AP3595*SUMIF(ThresholdAge14,"&lt;"&amp;'19_Расчет_аналитики'!AP3595,WeightedRevAge14)-SUMIF(ThresholdAge14,"&lt;"&amp;'19_Расчет_аналитики'!AP3595,WeightedMinAge14),MAX(CapacityAge14*'01_Вводные'!$B$218*'19_Расчет_аналитики'!AP3595,MeanMinAge14))),0)</f>
        <v/>
      </c>
      <c r="AQ3513">
        <f>IF('01_Вводные'!$B$234="Да",IF(OR('19_Расчет_аналитики'!AQ3485=0,14&lt;='01_Вводные'!$B$297),0,'19_Расчет_аналитики'!AQ3485*IF('01_Вводные'!$B$239="Да",MeanMinAge14+'19_Расчет_аналитики'!AQ3595*SUMIF(ThresholdAge14,"&lt;"&amp;'19_Расчет_аналитики'!AQ3595,WeightedRevAge14)-SUMIF(ThresholdAge14,"&lt;"&amp;'19_Расчет_аналитики'!AQ3595,WeightedMinAge14),MAX(CapacityAge14*'01_Вводные'!$B$218*'19_Расчет_аналитики'!AQ3595,MeanMinAge14))),0)</f>
        <v/>
      </c>
      <c r="AR3513">
        <f>IF('01_Вводные'!$B$234="Да",IF(OR('19_Расчет_аналитики'!AR3485=0,14&lt;='01_Вводные'!$B$297),0,'19_Расчет_аналитики'!AR3485*IF('01_Вводные'!$B$239="Да",MeanMinAge14+'19_Расчет_аналитики'!AR3595*SUMIF(ThresholdAge14,"&lt;"&amp;'19_Расчет_аналитики'!AR3595,WeightedRevAge14)-SUMIF(ThresholdAge14,"&lt;"&amp;'19_Расчет_аналитики'!AR3595,WeightedMinAge14),MAX(CapacityAge14*'01_Вводные'!$B$218*'19_Расчет_аналитики'!AR3595,MeanMinAge14))),0)</f>
        <v/>
      </c>
      <c r="AS3513">
        <f>IF('01_Вводные'!$B$234="Да",IF(OR('19_Расчет_аналитики'!AS3485=0,14&lt;='01_Вводные'!$B$297),0,'19_Расчет_аналитики'!AS3485*IF('01_Вводные'!$B$239="Да",MeanMinAge14+'19_Расчет_аналитики'!AS3595*SUMIF(ThresholdAge14,"&lt;"&amp;'19_Расчет_аналитики'!AS3595,WeightedRevAge14)-SUMIF(ThresholdAge14,"&lt;"&amp;'19_Расчет_аналитики'!AS3595,WeightedMinAge14),MAX(CapacityAge14*'01_Вводные'!$B$218*'19_Расчет_аналитики'!AS3595,MeanMinAge14))),0)</f>
        <v/>
      </c>
      <c r="AT3513">
        <f>IF('01_Вводные'!$B$234="Да",IF(OR('19_Расчет_аналитики'!AT3485=0,14&lt;='01_Вводные'!$B$297),0,'19_Расчет_аналитики'!AT3485*IF('01_Вводные'!$B$239="Да",MeanMinAge14+'19_Расчет_аналитики'!AT3595*SUMIF(ThresholdAge14,"&lt;"&amp;'19_Расчет_аналитики'!AT3595,WeightedRevAge14)-SUMIF(ThresholdAge14,"&lt;"&amp;'19_Расчет_аналитики'!AT3595,WeightedMinAge14),MAX(CapacityAge14*'01_Вводные'!$B$218*'19_Расчет_аналитики'!AT3595,MeanMinAge14))),0)</f>
        <v/>
      </c>
      <c r="AU3513">
        <f>IF('01_Вводные'!$B$234="Да",IF(OR('19_Расчет_аналитики'!AU3485=0,14&lt;='01_Вводные'!$B$297),0,'19_Расчет_аналитики'!AU3485*IF('01_Вводные'!$B$239="Да",MeanMinAge14+'19_Расчет_аналитики'!AU3595*SUMIF(ThresholdAge14,"&lt;"&amp;'19_Расчет_аналитики'!AU3595,WeightedRevAge14)-SUMIF(ThresholdAge14,"&lt;"&amp;'19_Расчет_аналитики'!AU3595,WeightedMinAge14),MAX(CapacityAge14*'01_Вводные'!$B$218*'19_Расчет_аналитики'!AU3595,MeanMinAge14))),0)</f>
        <v/>
      </c>
      <c r="AV3513">
        <f>IF('01_Вводные'!$B$234="Да",IF(OR('19_Расчет_аналитики'!AV3485=0,14&lt;='01_Вводные'!$B$297),0,'19_Расчет_аналитики'!AV3485*IF('01_Вводные'!$B$239="Да",MeanMinAge14+'19_Расчет_аналитики'!AV3595*SUMIF(ThresholdAge14,"&lt;"&amp;'19_Расчет_аналитики'!AV3595,WeightedRevAge14)-SUMIF(ThresholdAge14,"&lt;"&amp;'19_Расчет_аналитики'!AV3595,WeightedMinAge14),MAX(CapacityAge14*'01_Вводные'!$B$218*'19_Расчет_аналитики'!AV3595,MeanMinAge14))),0)</f>
        <v/>
      </c>
      <c r="AW3513">
        <f>IF('01_Вводные'!$B$234="Да",IF(OR('19_Расчет_аналитики'!AW3485=0,14&lt;='01_Вводные'!$B$297),0,'19_Расчет_аналитики'!AW3485*IF('01_Вводные'!$B$239="Да",MeanMinAge14+'19_Расчет_аналитики'!AW3595*SUMIF(ThresholdAge14,"&lt;"&amp;'19_Расчет_аналитики'!AW3595,WeightedRevAge14)-SUMIF(ThresholdAge14,"&lt;"&amp;'19_Расчет_аналитики'!AW3595,WeightedMinAge14),MAX(CapacityAge14*'01_Вводные'!$B$218*'19_Расчет_аналитики'!AW3595,MeanMinAge14))),0)</f>
        <v/>
      </c>
      <c r="AX3513">
        <f>IF('01_Вводные'!$B$234="Да",IF(OR('19_Расчет_аналитики'!AX3485=0,14&lt;='01_Вводные'!$B$297),0,'19_Расчет_аналитики'!AX3485*IF('01_Вводные'!$B$239="Да",MeanMinAge14+'19_Расчет_аналитики'!AX3595*SUMIF(ThresholdAge14,"&lt;"&amp;'19_Расчет_аналитики'!AX3595,WeightedRevAge14)-SUMIF(ThresholdAge14,"&lt;"&amp;'19_Расчет_аналитики'!AX3595,WeightedMinAge14),MAX(CapacityAge14*'01_Вводные'!$B$218*'19_Расчет_аналитики'!AX3595,MeanMinAge14))),0)</f>
        <v/>
      </c>
      <c r="AY3513">
        <f>IF('01_Вводные'!$B$234="Да",IF(OR('19_Расчет_аналитики'!AY3485=0,14&lt;='01_Вводные'!$B$297),0,'19_Расчет_аналитики'!AY3485*IF('01_Вводные'!$B$239="Да",MeanMinAge14+'19_Расчет_аналитики'!AY3595*SUMIF(ThresholdAge14,"&lt;"&amp;'19_Расчет_аналитики'!AY3595,WeightedRevAge14)-SUMIF(ThresholdAge14,"&lt;"&amp;'19_Расчет_аналитики'!AY3595,WeightedMinAge14),MAX(CapacityAge14*'01_Вводные'!$B$218*'19_Расчет_аналитики'!AY3595,MeanMinAge14))),0)</f>
        <v/>
      </c>
      <c r="AZ3513">
        <f>IF('01_Вводные'!$B$234="Да",IF(OR('19_Расчет_аналитики'!AZ3485=0,14&lt;='01_Вводные'!$B$297),0,'19_Расчет_аналитики'!AZ3485*IF('01_Вводные'!$B$239="Да",MeanMinAge14+'19_Расчет_аналитики'!AZ3595*SUMIF(ThresholdAge14,"&lt;"&amp;'19_Расчет_аналитики'!AZ3595,WeightedRevAge14)-SUMIF(ThresholdAge14,"&lt;"&amp;'19_Расчет_аналитики'!AZ3595,WeightedMinAge14),MAX(CapacityAge14*'01_Вводные'!$B$218*'19_Расчет_аналитики'!AZ3595,MeanMinAge14))),0)</f>
        <v/>
      </c>
      <c r="BA3513">
        <f>IF('01_Вводные'!$B$234="Да",IF(OR('19_Расчет_аналитики'!BA3485=0,14&lt;='01_Вводные'!$B$297),0,'19_Расчет_аналитики'!BA3485*IF('01_Вводные'!$B$239="Да",MeanMinAge14+'19_Расчет_аналитики'!BA3595*SUMIF(ThresholdAge14,"&lt;"&amp;'19_Расчет_аналитики'!BA3595,WeightedRevAge14)-SUMIF(ThresholdAge14,"&lt;"&amp;'19_Расчет_аналитики'!BA3595,WeightedMinAge14),MAX(CapacityAge14*'01_Вводные'!$B$218*'19_Расчет_аналитики'!BA3595,MeanMinAge14))),0)</f>
        <v/>
      </c>
      <c r="BB3513">
        <f>IF('01_Вводные'!$B$234="Да",IF(OR('19_Расчет_аналитики'!BB3485=0,14&lt;='01_Вводные'!$B$297),0,'19_Расчет_аналитики'!BB3485*IF('01_Вводные'!$B$239="Да",MeanMinAge14+'19_Расчет_аналитики'!BB3595*SUMIF(ThresholdAge14,"&lt;"&amp;'19_Расчет_аналитики'!BB3595,WeightedRevAge14)-SUMIF(ThresholdAge14,"&lt;"&amp;'19_Расчет_аналитики'!BB3595,WeightedMinAge14),MAX(CapacityAge14*'01_Вводные'!$B$218*'19_Расчет_аналитики'!BB3595,MeanMinAge14))),0)</f>
        <v/>
      </c>
      <c r="BC3513">
        <f>IF('01_Вводные'!$B$234="Да",IF(OR('19_Расчет_аналитики'!BC3485=0,14&lt;='01_Вводные'!$B$297),0,'19_Расчет_аналитики'!BC3485*IF('01_Вводные'!$B$239="Да",MeanMinAge14+'19_Расчет_аналитики'!BC3595*SUMIF(ThresholdAge14,"&lt;"&amp;'19_Расчет_аналитики'!BC3595,WeightedRevAge14)-SUMIF(ThresholdAge14,"&lt;"&amp;'19_Расчет_аналитики'!BC3595,WeightedMinAge14),MAX(CapacityAge14*'01_Вводные'!$B$218*'19_Расчет_аналитики'!BC3595,MeanMinAge14))),0)</f>
        <v/>
      </c>
      <c r="BD3513">
        <f>IF('01_Вводные'!$B$234="Да",IF(OR('19_Расчет_аналитики'!BD3485=0,14&lt;='01_Вводные'!$B$297),0,'19_Расчет_аналитики'!BD3485*IF('01_Вводные'!$B$239="Да",MeanMinAge14+'19_Расчет_аналитики'!BD3595*SUMIF(ThresholdAge14,"&lt;"&amp;'19_Расчет_аналитики'!BD3595,WeightedRevAge14)-SUMIF(ThresholdAge14,"&lt;"&amp;'19_Расчет_аналитики'!BD3595,WeightedMinAge14),MAX(CapacityAge14*'01_Вводные'!$B$218*'19_Расчет_аналитики'!BD3595,MeanMinAge14))),0)</f>
        <v/>
      </c>
      <c r="BE3513">
        <f>IF('01_Вводные'!$B$234="Да",IF(OR('19_Расчет_аналитики'!BE3485=0,14&lt;='01_Вводные'!$B$297),0,'19_Расчет_аналитики'!BE3485*IF('01_Вводные'!$B$239="Да",MeanMinAge14+'19_Расчет_аналитики'!BE3595*SUMIF(ThresholdAge14,"&lt;"&amp;'19_Расчет_аналитики'!BE3595,WeightedRevAge14)-SUMIF(ThresholdAge14,"&lt;"&amp;'19_Расчет_аналитики'!BE3595,WeightedMinAge14),MAX(CapacityAge14*'01_Вводные'!$B$218*'19_Расчет_аналитики'!BE3595,MeanMinAge14))),0)</f>
        <v/>
      </c>
      <c r="BF3513">
        <f>IF('01_Вводные'!$B$234="Да",IF(OR('19_Расчет_аналитики'!BF3485=0,14&lt;='01_Вводные'!$B$297),0,'19_Расчет_аналитики'!BF3485*IF('01_Вводные'!$B$239="Да",MeanMinAge14+'19_Расчет_аналитики'!BF3595*SUMIF(ThresholdAge14,"&lt;"&amp;'19_Расчет_аналитики'!BF3595,WeightedRevAge14)-SUMIF(ThresholdAge14,"&lt;"&amp;'19_Расчет_аналитики'!BF3595,WeightedMinAge14),MAX(CapacityAge14*'01_Вводные'!$B$218*'19_Расчет_аналитики'!BF3595,MeanMinAge14))),0)</f>
        <v/>
      </c>
      <c r="BG3513">
        <f>IF('01_Вводные'!$B$234="Да",IF(OR('19_Расчет_аналитики'!BG3485=0,14&lt;='01_Вводные'!$B$297),0,'19_Расчет_аналитики'!BG3485*IF('01_Вводные'!$B$239="Да",MeanMinAge14+'19_Расчет_аналитики'!BG3595*SUMIF(ThresholdAge14,"&lt;"&amp;'19_Расчет_аналитики'!BG3595,WeightedRevAge14)-SUMIF(ThresholdAge14,"&lt;"&amp;'19_Расчет_аналитики'!BG3595,WeightedMinAge14),MAX(CapacityAge14*'01_Вводные'!$B$218*'19_Расчет_аналитики'!BG3595,MeanMinAge14))),0)</f>
        <v/>
      </c>
      <c r="BH3513">
        <f>IF('01_Вводные'!$B$234="Да",IF(OR('19_Расчет_аналитики'!BH3485=0,14&lt;='01_Вводные'!$B$297),0,'19_Расчет_аналитики'!BH3485*IF('01_Вводные'!$B$239="Да",MeanMinAge14+'19_Расчет_аналитики'!BH3595*SUMIF(ThresholdAge14,"&lt;"&amp;'19_Расчет_аналитики'!BH3595,WeightedRevAge14)-SUMIF(ThresholdAge14,"&lt;"&amp;'19_Расчет_аналитики'!BH3595,WeightedMinAge14),MAX(CapacityAge14*'01_Вводные'!$B$218*'19_Расчет_аналитики'!BH3595,MeanMinAge14))),0)</f>
        <v/>
      </c>
      <c r="BI3513">
        <f>IF('01_Вводные'!$B$234="Да",IF(OR('19_Расчет_аналитики'!BI3485=0,14&lt;='01_Вводные'!$B$297),0,'19_Расчет_аналитики'!BI3485*IF('01_Вводные'!$B$239="Да",MeanMinAge14+'19_Расчет_аналитики'!BI3595*SUMIF(ThresholdAge14,"&lt;"&amp;'19_Расчет_аналитики'!BI3595,WeightedRevAge14)-SUMIF(ThresholdAge14,"&lt;"&amp;'19_Расчет_аналитики'!BI3595,WeightedMinAge14),MAX(CapacityAge14*'01_Вводные'!$B$218*'19_Расчет_аналитики'!BI3595,MeanMinAge14))),0)</f>
        <v/>
      </c>
      <c r="BJ3513">
        <f>IF('01_Вводные'!$B$234="Да",IF(OR('19_Расчет_аналитики'!BJ3485=0,14&lt;='01_Вводные'!$B$297),0,'19_Расчет_аналитики'!BJ3485*IF('01_Вводные'!$B$239="Да",MeanMinAge14+'19_Расчет_аналитики'!BJ3595*SUMIF(ThresholdAge14,"&lt;"&amp;'19_Расчет_аналитики'!BJ3595,WeightedRevAge14)-SUMIF(ThresholdAge14,"&lt;"&amp;'19_Расчет_аналитики'!BJ3595,WeightedMinAge14),MAX(CapacityAge14*'01_Вводные'!$B$218*'19_Расчет_аналитики'!BJ3595,MeanMinAge14))),0)</f>
        <v/>
      </c>
      <c r="BK3513">
        <f>IF('01_Вводные'!$B$234="Да",IF(OR('19_Расчет_аналитики'!BK3485=0,14&lt;='01_Вводные'!$B$297),0,'19_Расчет_аналитики'!BK3485*IF('01_Вводные'!$B$239="Да",MeanMinAge14+'19_Расчет_аналитики'!BK3595*SUMIF(ThresholdAge14,"&lt;"&amp;'19_Расчет_аналитики'!BK3595,WeightedRevAge14)-SUMIF(ThresholdAge14,"&lt;"&amp;'19_Расчет_аналитики'!BK3595,WeightedMinAge14),MAX(CapacityAge14*'01_Вводные'!$B$218*'19_Расчет_аналитики'!BK3595,MeanMinAge14))),0)</f>
        <v/>
      </c>
      <c r="BL3513">
        <f>IF('01_Вводные'!$B$234="Да",IF(OR('19_Расчет_аналитики'!BL3485=0,14&lt;='01_Вводные'!$B$297),0,'19_Расчет_аналитики'!BL3485*IF('01_Вводные'!$B$239="Да",MeanMinAge14+'19_Расчет_аналитики'!BL3595*SUMIF(ThresholdAge14,"&lt;"&amp;'19_Расчет_аналитики'!BL3595,WeightedRevAge14)-SUMIF(ThresholdAge14,"&lt;"&amp;'19_Расчет_аналитики'!BL3595,WeightedMinAge14),MAX(CapacityAge14*'01_Вводные'!$B$218*'19_Расчет_аналитики'!BL3595,MeanMinAge14))),0)</f>
        <v/>
      </c>
      <c r="BM3513">
        <f>IF('01_Вводные'!$B$234="Да",IF(OR('19_Расчет_аналитики'!BM3485=0,14&lt;='01_Вводные'!$B$297),0,'19_Расчет_аналитики'!BM3485*IF('01_Вводные'!$B$239="Да",MeanMinAge14+'19_Расчет_аналитики'!BM3595*SUMIF(ThresholdAge14,"&lt;"&amp;'19_Расчет_аналитики'!BM3595,WeightedRevAge14)-SUMIF(ThresholdAge14,"&lt;"&amp;'19_Расчет_аналитики'!BM3595,WeightedMinAge14),MAX(CapacityAge14*'01_Вводные'!$B$218*'19_Расчет_аналитики'!BM3595,MeanMinAge14))),0)</f>
        <v/>
      </c>
      <c r="BN3513">
        <f>IF('01_Вводные'!$B$234="Да",IF(OR('19_Расчет_аналитики'!BN3485=0,14&lt;='01_Вводные'!$B$297),0,'19_Расчет_аналитики'!BN3485*IF('01_Вводные'!$B$239="Да",MeanMinAge14+'19_Расчет_аналитики'!BN3595*SUMIF(ThresholdAge14,"&lt;"&amp;'19_Расчет_аналитики'!BN3595,WeightedRevAge14)-SUMIF(ThresholdAge14,"&lt;"&amp;'19_Расчет_аналитики'!BN3595,WeightedMinAge14),MAX(CapacityAge14*'01_Вводные'!$B$218*'19_Расчет_аналитики'!BN3595,MeanMinAge14))),0)</f>
        <v/>
      </c>
      <c r="BO3513">
        <f>IF('01_Вводные'!$B$234="Да",IF(OR('19_Расчет_аналитики'!BO3485=0,14&lt;='01_Вводные'!$B$297),0,'19_Расчет_аналитики'!BO3485*IF('01_Вводные'!$B$239="Да",MeanMinAge14+'19_Расчет_аналитики'!BO3595*SUMIF(ThresholdAge14,"&lt;"&amp;'19_Расчет_аналитики'!BO3595,WeightedRevAge14)-SUMIF(ThresholdAge14,"&lt;"&amp;'19_Расчет_аналитики'!BO3595,WeightedMinAge14),MAX(CapacityAge14*'01_Вводные'!$B$218*'19_Расчет_аналитики'!BO3595,MeanMinAge14))),0)</f>
        <v/>
      </c>
    </row>
    <row r="3514">
      <c r="B3514">
        <f>IF('01_Вводные'!$B$234="Да",IF(OR('06_Сеть_и_дети'!B95=0,15&lt;='01_Вводные'!$B$297),0,'06_Сеть_и_дети'!B95*IF('01_Вводные'!$B$239="Да",MeanMinAge15+'19_Расчет_аналитики'!B3595*SUMIF(ThresholdAge15,"&lt;"&amp;'19_Расчет_аналитики'!B3595,WeightedRevAge15)-SUMIF(ThresholdAge15,"&lt;"&amp;'19_Расчет_аналитики'!B3595,WeightedMinAge15),MAX(CapacityAge15*'01_Вводные'!$B$218*'19_Расчет_аналитики'!B3595,MeanMinAge15))),0)</f>
        <v/>
      </c>
      <c r="C3514">
        <f>IF('01_Вводные'!$B$234="Да",IF(OR('06_Сеть_и_дети'!C95=0,15&lt;='01_Вводные'!$B$297),0,'06_Сеть_и_дети'!C95*IF('01_Вводные'!$B$239="Да",MeanMinAge15+'19_Расчет_аналитики'!C3595*SUMIF(ThresholdAge15,"&lt;"&amp;'19_Расчет_аналитики'!C3595,WeightedRevAge15)-SUMIF(ThresholdAge15,"&lt;"&amp;'19_Расчет_аналитики'!C3595,WeightedMinAge15),MAX(CapacityAge15*'01_Вводные'!$B$218*'19_Расчет_аналитики'!C3595,MeanMinAge15))),0)</f>
        <v/>
      </c>
      <c r="D3514">
        <f>IF('01_Вводные'!$B$234="Да",IF(OR('06_Сеть_и_дети'!D95=0,15&lt;='01_Вводные'!$B$297),0,'06_Сеть_и_дети'!D95*IF('01_Вводные'!$B$239="Да",MeanMinAge15+'19_Расчет_аналитики'!D3595*SUMIF(ThresholdAge15,"&lt;"&amp;'19_Расчет_аналитики'!D3595,WeightedRevAge15)-SUMIF(ThresholdAge15,"&lt;"&amp;'19_Расчет_аналитики'!D3595,WeightedMinAge15),MAX(CapacityAge15*'01_Вводные'!$B$218*'19_Расчет_аналитики'!D3595,MeanMinAge15))),0)</f>
        <v/>
      </c>
      <c r="E3514">
        <f>IF('01_Вводные'!$B$234="Да",IF(OR('06_Сеть_и_дети'!E95=0,15&lt;='01_Вводные'!$B$297),0,'06_Сеть_и_дети'!E95*IF('01_Вводные'!$B$239="Да",MeanMinAge15+'19_Расчет_аналитики'!E3595*SUMIF(ThresholdAge15,"&lt;"&amp;'19_Расчет_аналитики'!E3595,WeightedRevAge15)-SUMIF(ThresholdAge15,"&lt;"&amp;'19_Расчет_аналитики'!E3595,WeightedMinAge15),MAX(CapacityAge15*'01_Вводные'!$B$218*'19_Расчет_аналитики'!E3595,MeanMinAge15))),0)</f>
        <v/>
      </c>
      <c r="F3514">
        <f>IF('01_Вводные'!$B$234="Да",IF(OR('06_Сеть_и_дети'!F95=0,15&lt;='01_Вводные'!$B$297),0,'06_Сеть_и_дети'!F95*IF('01_Вводные'!$B$239="Да",MeanMinAge15+'19_Расчет_аналитики'!F3595*SUMIF(ThresholdAge15,"&lt;"&amp;'19_Расчет_аналитики'!F3595,WeightedRevAge15)-SUMIF(ThresholdAge15,"&lt;"&amp;'19_Расчет_аналитики'!F3595,WeightedMinAge15),MAX(CapacityAge15*'01_Вводные'!$B$218*'19_Расчет_аналитики'!F3595,MeanMinAge15))),0)</f>
        <v/>
      </c>
      <c r="G3514">
        <f>IF('01_Вводные'!$B$234="Да",IF(OR('06_Сеть_и_дети'!G95=0,15&lt;='01_Вводные'!$B$297),0,'06_Сеть_и_дети'!G95*IF('01_Вводные'!$B$239="Да",MeanMinAge15+'19_Расчет_аналитики'!G3595*SUMIF(ThresholdAge15,"&lt;"&amp;'19_Расчет_аналитики'!G3595,WeightedRevAge15)-SUMIF(ThresholdAge15,"&lt;"&amp;'19_Расчет_аналитики'!G3595,WeightedMinAge15),MAX(CapacityAge15*'01_Вводные'!$B$218*'19_Расчет_аналитики'!G3595,MeanMinAge15))),0)</f>
        <v/>
      </c>
      <c r="H3514">
        <f>IF('01_Вводные'!$B$234="Да",IF(OR('06_Сеть_и_дети'!H95=0,15&lt;='01_Вводные'!$B$297),0,'06_Сеть_и_дети'!H95*IF('01_Вводные'!$B$239="Да",MeanMinAge15+'19_Расчет_аналитики'!H3595*SUMIF(ThresholdAge15,"&lt;"&amp;'19_Расчет_аналитики'!H3595,WeightedRevAge15)-SUMIF(ThresholdAge15,"&lt;"&amp;'19_Расчет_аналитики'!H3595,WeightedMinAge15),MAX(CapacityAge15*'01_Вводные'!$B$218*'19_Расчет_аналитики'!H3595,MeanMinAge15))),0)</f>
        <v/>
      </c>
      <c r="I3514">
        <f>IF('01_Вводные'!$B$234="Да",IF(OR('06_Сеть_и_дети'!I95=0,15&lt;='01_Вводные'!$B$297),0,'06_Сеть_и_дети'!I95*IF('01_Вводные'!$B$239="Да",MeanMinAge15+'19_Расчет_аналитики'!I3595*SUMIF(ThresholdAge15,"&lt;"&amp;'19_Расчет_аналитики'!I3595,WeightedRevAge15)-SUMIF(ThresholdAge15,"&lt;"&amp;'19_Расчет_аналитики'!I3595,WeightedMinAge15),MAX(CapacityAge15*'01_Вводные'!$B$218*'19_Расчет_аналитики'!I3595,MeanMinAge15))),0)</f>
        <v/>
      </c>
      <c r="J3514">
        <f>IF('01_Вводные'!$B$234="Да",IF(OR('06_Сеть_и_дети'!J95=0,15&lt;='01_Вводные'!$B$297),0,'06_Сеть_и_дети'!J95*IF('01_Вводные'!$B$239="Да",MeanMinAge15+'19_Расчет_аналитики'!J3595*SUMIF(ThresholdAge15,"&lt;"&amp;'19_Расчет_аналитики'!J3595,WeightedRevAge15)-SUMIF(ThresholdAge15,"&lt;"&amp;'19_Расчет_аналитики'!J3595,WeightedMinAge15),MAX(CapacityAge15*'01_Вводные'!$B$218*'19_Расчет_аналитики'!J3595,MeanMinAge15))),0)</f>
        <v/>
      </c>
      <c r="K3514">
        <f>IF('01_Вводные'!$B$234="Да",IF(OR('06_Сеть_и_дети'!K95=0,15&lt;='01_Вводные'!$B$297),0,'06_Сеть_и_дети'!K95*IF('01_Вводные'!$B$239="Да",MeanMinAge15+'19_Расчет_аналитики'!K3595*SUMIF(ThresholdAge15,"&lt;"&amp;'19_Расчет_аналитики'!K3595,WeightedRevAge15)-SUMIF(ThresholdAge15,"&lt;"&amp;'19_Расчет_аналитики'!K3595,WeightedMinAge15),MAX(CapacityAge15*'01_Вводные'!$B$218*'19_Расчет_аналитики'!K3595,MeanMinAge15))),0)</f>
        <v/>
      </c>
      <c r="L3514">
        <f>IF('01_Вводные'!$B$234="Да",IF(OR('06_Сеть_и_дети'!L95=0,15&lt;='01_Вводные'!$B$297),0,'06_Сеть_и_дети'!L95*IF('01_Вводные'!$B$239="Да",MeanMinAge15+'19_Расчет_аналитики'!L3595*SUMIF(ThresholdAge15,"&lt;"&amp;'19_Расчет_аналитики'!L3595,WeightedRevAge15)-SUMIF(ThresholdAge15,"&lt;"&amp;'19_Расчет_аналитики'!L3595,WeightedMinAge15),MAX(CapacityAge15*'01_Вводные'!$B$218*'19_Расчет_аналитики'!L3595,MeanMinAge15))),0)</f>
        <v/>
      </c>
      <c r="M3514">
        <f>IF('01_Вводные'!$B$234="Да",IF(OR('06_Сеть_и_дети'!M95=0,15&lt;='01_Вводные'!$B$297),0,'06_Сеть_и_дети'!M95*IF('01_Вводные'!$B$239="Да",MeanMinAge15+'19_Расчет_аналитики'!M3595*SUMIF(ThresholdAge15,"&lt;"&amp;'19_Расчет_аналитики'!M3595,WeightedRevAge15)-SUMIF(ThresholdAge15,"&lt;"&amp;'19_Расчет_аналитики'!M3595,WeightedMinAge15),MAX(CapacityAge15*'01_Вводные'!$B$218*'19_Расчет_аналитики'!M3595,MeanMinAge15))),0)</f>
        <v/>
      </c>
      <c r="N3514">
        <f>IF('01_Вводные'!$B$234="Да",IF(OR('06_Сеть_и_дети'!N95=0,15&lt;='01_Вводные'!$B$297),0,'06_Сеть_и_дети'!N95*IF('01_Вводные'!$B$239="Да",MeanMinAge15+'19_Расчет_аналитики'!N3595*SUMIF(ThresholdAge15,"&lt;"&amp;'19_Расчет_аналитики'!N3595,WeightedRevAge15)-SUMIF(ThresholdAge15,"&lt;"&amp;'19_Расчет_аналитики'!N3595,WeightedMinAge15),MAX(CapacityAge15*'01_Вводные'!$B$218*'19_Расчет_аналитики'!N3595,MeanMinAge15))),0)</f>
        <v/>
      </c>
      <c r="O3514">
        <f>IF('01_Вводные'!$B$234="Да",IF(OR('06_Сеть_и_дети'!O95=0,15&lt;='01_Вводные'!$B$297),0,'06_Сеть_и_дети'!O95*IF('01_Вводные'!$B$239="Да",MeanMinAge15+'19_Расчет_аналитики'!O3595*SUMIF(ThresholdAge15,"&lt;"&amp;'19_Расчет_аналитики'!O3595,WeightedRevAge15)-SUMIF(ThresholdAge15,"&lt;"&amp;'19_Расчет_аналитики'!O3595,WeightedMinAge15),MAX(CapacityAge15*'01_Вводные'!$B$218*'19_Расчет_аналитики'!O3595,MeanMinAge15))),0)</f>
        <v/>
      </c>
      <c r="P3514">
        <f>IF('01_Вводные'!$B$234="Да",IF(OR('19_Расчет_аналитики'!P3486=0,15&lt;='01_Вводные'!$B$297),0,'19_Расчет_аналитики'!P3486*IF('01_Вводные'!$B$239="Да",MeanMinAge15+'19_Расчет_аналитики'!P3595*SUMIF(ThresholdAge15,"&lt;"&amp;'19_Расчет_аналитики'!P3595,WeightedRevAge15)-SUMIF(ThresholdAge15,"&lt;"&amp;'19_Расчет_аналитики'!P3595,WeightedMinAge15),MAX(CapacityAge15*'01_Вводные'!$B$218*'19_Расчет_аналитики'!P3595,MeanMinAge15))),0)</f>
        <v/>
      </c>
      <c r="Q3514">
        <f>IF('01_Вводные'!$B$234="Да",IF(OR('19_Расчет_аналитики'!Q3486=0,15&lt;='01_Вводные'!$B$297),0,'19_Расчет_аналитики'!Q3486*IF('01_Вводные'!$B$239="Да",MeanMinAge15+'19_Расчет_аналитики'!Q3595*SUMIF(ThresholdAge15,"&lt;"&amp;'19_Расчет_аналитики'!Q3595,WeightedRevAge15)-SUMIF(ThresholdAge15,"&lt;"&amp;'19_Расчет_аналитики'!Q3595,WeightedMinAge15),MAX(CapacityAge15*'01_Вводные'!$B$218*'19_Расчет_аналитики'!Q3595,MeanMinAge15))),0)</f>
        <v/>
      </c>
      <c r="R3514">
        <f>IF('01_Вводные'!$B$234="Да",IF(OR('19_Расчет_аналитики'!R3486=0,15&lt;='01_Вводные'!$B$297),0,'19_Расчет_аналитики'!R3486*IF('01_Вводные'!$B$239="Да",MeanMinAge15+'19_Расчет_аналитики'!R3595*SUMIF(ThresholdAge15,"&lt;"&amp;'19_Расчет_аналитики'!R3595,WeightedRevAge15)-SUMIF(ThresholdAge15,"&lt;"&amp;'19_Расчет_аналитики'!R3595,WeightedMinAge15),MAX(CapacityAge15*'01_Вводные'!$B$218*'19_Расчет_аналитики'!R3595,MeanMinAge15))),0)</f>
        <v/>
      </c>
      <c r="S3514">
        <f>IF('01_Вводные'!$B$234="Да",IF(OR('19_Расчет_аналитики'!S3486=0,15&lt;='01_Вводные'!$B$297),0,'19_Расчет_аналитики'!S3486*IF('01_Вводные'!$B$239="Да",MeanMinAge15+'19_Расчет_аналитики'!S3595*SUMIF(ThresholdAge15,"&lt;"&amp;'19_Расчет_аналитики'!S3595,WeightedRevAge15)-SUMIF(ThresholdAge15,"&lt;"&amp;'19_Расчет_аналитики'!S3595,WeightedMinAge15),MAX(CapacityAge15*'01_Вводные'!$B$218*'19_Расчет_аналитики'!S3595,MeanMinAge15))),0)</f>
        <v/>
      </c>
      <c r="T3514">
        <f>IF('01_Вводные'!$B$234="Да",IF(OR('19_Расчет_аналитики'!T3486=0,15&lt;='01_Вводные'!$B$297),0,'19_Расчет_аналитики'!T3486*IF('01_Вводные'!$B$239="Да",MeanMinAge15+'19_Расчет_аналитики'!T3595*SUMIF(ThresholdAge15,"&lt;"&amp;'19_Расчет_аналитики'!T3595,WeightedRevAge15)-SUMIF(ThresholdAge15,"&lt;"&amp;'19_Расчет_аналитики'!T3595,WeightedMinAge15),MAX(CapacityAge15*'01_Вводные'!$B$218*'19_Расчет_аналитики'!T3595,MeanMinAge15))),0)</f>
        <v/>
      </c>
      <c r="U3514">
        <f>IF('01_Вводные'!$B$234="Да",IF(OR('19_Расчет_аналитики'!U3486=0,15&lt;='01_Вводные'!$B$297),0,'19_Расчет_аналитики'!U3486*IF('01_Вводные'!$B$239="Да",MeanMinAge15+'19_Расчет_аналитики'!U3595*SUMIF(ThresholdAge15,"&lt;"&amp;'19_Расчет_аналитики'!U3595,WeightedRevAge15)-SUMIF(ThresholdAge15,"&lt;"&amp;'19_Расчет_аналитики'!U3595,WeightedMinAge15),MAX(CapacityAge15*'01_Вводные'!$B$218*'19_Расчет_аналитики'!U3595,MeanMinAge15))),0)</f>
        <v/>
      </c>
      <c r="V3514">
        <f>IF('01_Вводные'!$B$234="Да",IF(OR('19_Расчет_аналитики'!V3486=0,15&lt;='01_Вводные'!$B$297),0,'19_Расчет_аналитики'!V3486*IF('01_Вводные'!$B$239="Да",MeanMinAge15+'19_Расчет_аналитики'!V3595*SUMIF(ThresholdAge15,"&lt;"&amp;'19_Расчет_аналитики'!V3595,WeightedRevAge15)-SUMIF(ThresholdAge15,"&lt;"&amp;'19_Расчет_аналитики'!V3595,WeightedMinAge15),MAX(CapacityAge15*'01_Вводные'!$B$218*'19_Расчет_аналитики'!V3595,MeanMinAge15))),0)</f>
        <v/>
      </c>
      <c r="W3514">
        <f>IF('01_Вводные'!$B$234="Да",IF(OR('19_Расчет_аналитики'!W3486=0,15&lt;='01_Вводные'!$B$297),0,'19_Расчет_аналитики'!W3486*IF('01_Вводные'!$B$239="Да",MeanMinAge15+'19_Расчет_аналитики'!W3595*SUMIF(ThresholdAge15,"&lt;"&amp;'19_Расчет_аналитики'!W3595,WeightedRevAge15)-SUMIF(ThresholdAge15,"&lt;"&amp;'19_Расчет_аналитики'!W3595,WeightedMinAge15),MAX(CapacityAge15*'01_Вводные'!$B$218*'19_Расчет_аналитики'!W3595,MeanMinAge15))),0)</f>
        <v/>
      </c>
      <c r="X3514">
        <f>IF('01_Вводные'!$B$234="Да",IF(OR('19_Расчет_аналитики'!X3486=0,15&lt;='01_Вводные'!$B$297),0,'19_Расчет_аналитики'!X3486*IF('01_Вводные'!$B$239="Да",MeanMinAge15+'19_Расчет_аналитики'!X3595*SUMIF(ThresholdAge15,"&lt;"&amp;'19_Расчет_аналитики'!X3595,WeightedRevAge15)-SUMIF(ThresholdAge15,"&lt;"&amp;'19_Расчет_аналитики'!X3595,WeightedMinAge15),MAX(CapacityAge15*'01_Вводные'!$B$218*'19_Расчет_аналитики'!X3595,MeanMinAge15))),0)</f>
        <v/>
      </c>
      <c r="Y3514">
        <f>IF('01_Вводные'!$B$234="Да",IF(OR('19_Расчет_аналитики'!Y3486=0,15&lt;='01_Вводные'!$B$297),0,'19_Расчет_аналитики'!Y3486*IF('01_Вводные'!$B$239="Да",MeanMinAge15+'19_Расчет_аналитики'!Y3595*SUMIF(ThresholdAge15,"&lt;"&amp;'19_Расчет_аналитики'!Y3595,WeightedRevAge15)-SUMIF(ThresholdAge15,"&lt;"&amp;'19_Расчет_аналитики'!Y3595,WeightedMinAge15),MAX(CapacityAge15*'01_Вводные'!$B$218*'19_Расчет_аналитики'!Y3595,MeanMinAge15))),0)</f>
        <v/>
      </c>
      <c r="Z3514">
        <f>IF('01_Вводные'!$B$234="Да",IF(OR('19_Расчет_аналитики'!Z3486=0,15&lt;='01_Вводные'!$B$297),0,'19_Расчет_аналитики'!Z3486*IF('01_Вводные'!$B$239="Да",MeanMinAge15+'19_Расчет_аналитики'!Z3595*SUMIF(ThresholdAge15,"&lt;"&amp;'19_Расчет_аналитики'!Z3595,WeightedRevAge15)-SUMIF(ThresholdAge15,"&lt;"&amp;'19_Расчет_аналитики'!Z3595,WeightedMinAge15),MAX(CapacityAge15*'01_Вводные'!$B$218*'19_Расчет_аналитики'!Z3595,MeanMinAge15))),0)</f>
        <v/>
      </c>
      <c r="AA3514">
        <f>IF('01_Вводные'!$B$234="Да",IF(OR('19_Расчет_аналитики'!AA3486=0,15&lt;='01_Вводные'!$B$297),0,'19_Расчет_аналитики'!AA3486*IF('01_Вводные'!$B$239="Да",MeanMinAge15+'19_Расчет_аналитики'!AA3595*SUMIF(ThresholdAge15,"&lt;"&amp;'19_Расчет_аналитики'!AA3595,WeightedRevAge15)-SUMIF(ThresholdAge15,"&lt;"&amp;'19_Расчет_аналитики'!AA3595,WeightedMinAge15),MAX(CapacityAge15*'01_Вводные'!$B$218*'19_Расчет_аналитики'!AA3595,MeanMinAge15))),0)</f>
        <v/>
      </c>
      <c r="AB3514">
        <f>IF('01_Вводные'!$B$234="Да",IF(OR('19_Расчет_аналитики'!AB3486=0,15&lt;='01_Вводные'!$B$297),0,'19_Расчет_аналитики'!AB3486*IF('01_Вводные'!$B$239="Да",MeanMinAge15+'19_Расчет_аналитики'!AB3595*SUMIF(ThresholdAge15,"&lt;"&amp;'19_Расчет_аналитики'!AB3595,WeightedRevAge15)-SUMIF(ThresholdAge15,"&lt;"&amp;'19_Расчет_аналитики'!AB3595,WeightedMinAge15),MAX(CapacityAge15*'01_Вводные'!$B$218*'19_Расчет_аналитики'!AB3595,MeanMinAge15))),0)</f>
        <v/>
      </c>
      <c r="AC3514">
        <f>IF('01_Вводные'!$B$234="Да",IF(OR('19_Расчет_аналитики'!AC3486=0,15&lt;='01_Вводные'!$B$297),0,'19_Расчет_аналитики'!AC3486*IF('01_Вводные'!$B$239="Да",MeanMinAge15+'19_Расчет_аналитики'!AC3595*SUMIF(ThresholdAge15,"&lt;"&amp;'19_Расчет_аналитики'!AC3595,WeightedRevAge15)-SUMIF(ThresholdAge15,"&lt;"&amp;'19_Расчет_аналитики'!AC3595,WeightedMinAge15),MAX(CapacityAge15*'01_Вводные'!$B$218*'19_Расчет_аналитики'!AC3595,MeanMinAge15))),0)</f>
        <v/>
      </c>
      <c r="AD3514">
        <f>IF('01_Вводные'!$B$234="Да",IF(OR('19_Расчет_аналитики'!AD3486=0,15&lt;='01_Вводные'!$B$297),0,'19_Расчет_аналитики'!AD3486*IF('01_Вводные'!$B$239="Да",MeanMinAge15+'19_Расчет_аналитики'!AD3595*SUMIF(ThresholdAge15,"&lt;"&amp;'19_Расчет_аналитики'!AD3595,WeightedRevAge15)-SUMIF(ThresholdAge15,"&lt;"&amp;'19_Расчет_аналитики'!AD3595,WeightedMinAge15),MAX(CapacityAge15*'01_Вводные'!$B$218*'19_Расчет_аналитики'!AD3595,MeanMinAge15))),0)</f>
        <v/>
      </c>
      <c r="AE3514">
        <f>IF('01_Вводные'!$B$234="Да",IF(OR('19_Расчет_аналитики'!AE3486=0,15&lt;='01_Вводные'!$B$297),0,'19_Расчет_аналитики'!AE3486*IF('01_Вводные'!$B$239="Да",MeanMinAge15+'19_Расчет_аналитики'!AE3595*SUMIF(ThresholdAge15,"&lt;"&amp;'19_Расчет_аналитики'!AE3595,WeightedRevAge15)-SUMIF(ThresholdAge15,"&lt;"&amp;'19_Расчет_аналитики'!AE3595,WeightedMinAge15),MAX(CapacityAge15*'01_Вводные'!$B$218*'19_Расчет_аналитики'!AE3595,MeanMinAge15))),0)</f>
        <v/>
      </c>
      <c r="AF3514">
        <f>IF('01_Вводные'!$B$234="Да",IF(OR('19_Расчет_аналитики'!AF3486=0,15&lt;='01_Вводные'!$B$297),0,'19_Расчет_аналитики'!AF3486*IF('01_Вводные'!$B$239="Да",MeanMinAge15+'19_Расчет_аналитики'!AF3595*SUMIF(ThresholdAge15,"&lt;"&amp;'19_Расчет_аналитики'!AF3595,WeightedRevAge15)-SUMIF(ThresholdAge15,"&lt;"&amp;'19_Расчет_аналитики'!AF3595,WeightedMinAge15),MAX(CapacityAge15*'01_Вводные'!$B$218*'19_Расчет_аналитики'!AF3595,MeanMinAge15))),0)</f>
        <v/>
      </c>
      <c r="AG3514">
        <f>IF('01_Вводные'!$B$234="Да",IF(OR('19_Расчет_аналитики'!AG3486=0,15&lt;='01_Вводные'!$B$297),0,'19_Расчет_аналитики'!AG3486*IF('01_Вводные'!$B$239="Да",MeanMinAge15+'19_Расчет_аналитики'!AG3595*SUMIF(ThresholdAge15,"&lt;"&amp;'19_Расчет_аналитики'!AG3595,WeightedRevAge15)-SUMIF(ThresholdAge15,"&lt;"&amp;'19_Расчет_аналитики'!AG3595,WeightedMinAge15),MAX(CapacityAge15*'01_Вводные'!$B$218*'19_Расчет_аналитики'!AG3595,MeanMinAge15))),0)</f>
        <v/>
      </c>
      <c r="AH3514">
        <f>IF('01_Вводные'!$B$234="Да",IF(OR('19_Расчет_аналитики'!AH3486=0,15&lt;='01_Вводные'!$B$297),0,'19_Расчет_аналитики'!AH3486*IF('01_Вводные'!$B$239="Да",MeanMinAge15+'19_Расчет_аналитики'!AH3595*SUMIF(ThresholdAge15,"&lt;"&amp;'19_Расчет_аналитики'!AH3595,WeightedRevAge15)-SUMIF(ThresholdAge15,"&lt;"&amp;'19_Расчет_аналитики'!AH3595,WeightedMinAge15),MAX(CapacityAge15*'01_Вводные'!$B$218*'19_Расчет_аналитики'!AH3595,MeanMinAge15))),0)</f>
        <v/>
      </c>
      <c r="AI3514">
        <f>IF('01_Вводные'!$B$234="Да",IF(OR('19_Расчет_аналитики'!AI3486=0,15&lt;='01_Вводные'!$B$297),0,'19_Расчет_аналитики'!AI3486*IF('01_Вводные'!$B$239="Да",MeanMinAge15+'19_Расчет_аналитики'!AI3595*SUMIF(ThresholdAge15,"&lt;"&amp;'19_Расчет_аналитики'!AI3595,WeightedRevAge15)-SUMIF(ThresholdAge15,"&lt;"&amp;'19_Расчет_аналитики'!AI3595,WeightedMinAge15),MAX(CapacityAge15*'01_Вводные'!$B$218*'19_Расчет_аналитики'!AI3595,MeanMinAge15))),0)</f>
        <v/>
      </c>
      <c r="AJ3514">
        <f>IF('01_Вводные'!$B$234="Да",IF(OR('19_Расчет_аналитики'!AJ3486=0,15&lt;='01_Вводные'!$B$297),0,'19_Расчет_аналитики'!AJ3486*IF('01_Вводные'!$B$239="Да",MeanMinAge15+'19_Расчет_аналитики'!AJ3595*SUMIF(ThresholdAge15,"&lt;"&amp;'19_Расчет_аналитики'!AJ3595,WeightedRevAge15)-SUMIF(ThresholdAge15,"&lt;"&amp;'19_Расчет_аналитики'!AJ3595,WeightedMinAge15),MAX(CapacityAge15*'01_Вводные'!$B$218*'19_Расчет_аналитики'!AJ3595,MeanMinAge15))),0)</f>
        <v/>
      </c>
      <c r="AK3514">
        <f>IF('01_Вводные'!$B$234="Да",IF(OR('19_Расчет_аналитики'!AK3486=0,15&lt;='01_Вводные'!$B$297),0,'19_Расчет_аналитики'!AK3486*IF('01_Вводные'!$B$239="Да",MeanMinAge15+'19_Расчет_аналитики'!AK3595*SUMIF(ThresholdAge15,"&lt;"&amp;'19_Расчет_аналитики'!AK3595,WeightedRevAge15)-SUMIF(ThresholdAge15,"&lt;"&amp;'19_Расчет_аналитики'!AK3595,WeightedMinAge15),MAX(CapacityAge15*'01_Вводные'!$B$218*'19_Расчет_аналитики'!AK3595,MeanMinAge15))),0)</f>
        <v/>
      </c>
      <c r="AL3514">
        <f>IF('01_Вводные'!$B$234="Да",IF(OR('19_Расчет_аналитики'!AL3486=0,15&lt;='01_Вводные'!$B$297),0,'19_Расчет_аналитики'!AL3486*IF('01_Вводные'!$B$239="Да",MeanMinAge15+'19_Расчет_аналитики'!AL3595*SUMIF(ThresholdAge15,"&lt;"&amp;'19_Расчет_аналитики'!AL3595,WeightedRevAge15)-SUMIF(ThresholdAge15,"&lt;"&amp;'19_Расчет_аналитики'!AL3595,WeightedMinAge15),MAX(CapacityAge15*'01_Вводные'!$B$218*'19_Расчет_аналитики'!AL3595,MeanMinAge15))),0)</f>
        <v/>
      </c>
      <c r="AM3514">
        <f>IF('01_Вводные'!$B$234="Да",IF(OR('19_Расчет_аналитики'!AM3486=0,15&lt;='01_Вводные'!$B$297),0,'19_Расчет_аналитики'!AM3486*IF('01_Вводные'!$B$239="Да",MeanMinAge15+'19_Расчет_аналитики'!AM3595*SUMIF(ThresholdAge15,"&lt;"&amp;'19_Расчет_аналитики'!AM3595,WeightedRevAge15)-SUMIF(ThresholdAge15,"&lt;"&amp;'19_Расчет_аналитики'!AM3595,WeightedMinAge15),MAX(CapacityAge15*'01_Вводные'!$B$218*'19_Расчет_аналитики'!AM3595,MeanMinAge15))),0)</f>
        <v/>
      </c>
      <c r="AN3514">
        <f>IF('01_Вводные'!$B$234="Да",IF(OR('19_Расчет_аналитики'!AN3486=0,15&lt;='01_Вводные'!$B$297),0,'19_Расчет_аналитики'!AN3486*IF('01_Вводные'!$B$239="Да",MeanMinAge15+'19_Расчет_аналитики'!AN3595*SUMIF(ThresholdAge15,"&lt;"&amp;'19_Расчет_аналитики'!AN3595,WeightedRevAge15)-SUMIF(ThresholdAge15,"&lt;"&amp;'19_Расчет_аналитики'!AN3595,WeightedMinAge15),MAX(CapacityAge15*'01_Вводные'!$B$218*'19_Расчет_аналитики'!AN3595,MeanMinAge15))),0)</f>
        <v/>
      </c>
      <c r="AO3514">
        <f>IF('01_Вводные'!$B$234="Да",IF(OR('19_Расчет_аналитики'!AO3486=0,15&lt;='01_Вводные'!$B$297),0,'19_Расчет_аналитики'!AO3486*IF('01_Вводные'!$B$239="Да",MeanMinAge15+'19_Расчет_аналитики'!AO3595*SUMIF(ThresholdAge15,"&lt;"&amp;'19_Расчет_аналитики'!AO3595,WeightedRevAge15)-SUMIF(ThresholdAge15,"&lt;"&amp;'19_Расчет_аналитики'!AO3595,WeightedMinAge15),MAX(CapacityAge15*'01_Вводные'!$B$218*'19_Расчет_аналитики'!AO3595,MeanMinAge15))),0)</f>
        <v/>
      </c>
      <c r="AP3514">
        <f>IF('01_Вводные'!$B$234="Да",IF(OR('19_Расчет_аналитики'!AP3486=0,15&lt;='01_Вводные'!$B$297),0,'19_Расчет_аналитики'!AP3486*IF('01_Вводные'!$B$239="Да",MeanMinAge15+'19_Расчет_аналитики'!AP3595*SUMIF(ThresholdAge15,"&lt;"&amp;'19_Расчет_аналитики'!AP3595,WeightedRevAge15)-SUMIF(ThresholdAge15,"&lt;"&amp;'19_Расчет_аналитики'!AP3595,WeightedMinAge15),MAX(CapacityAge15*'01_Вводные'!$B$218*'19_Расчет_аналитики'!AP3595,MeanMinAge15))),0)</f>
        <v/>
      </c>
      <c r="AQ3514">
        <f>IF('01_Вводные'!$B$234="Да",IF(OR('19_Расчет_аналитики'!AQ3486=0,15&lt;='01_Вводные'!$B$297),0,'19_Расчет_аналитики'!AQ3486*IF('01_Вводные'!$B$239="Да",MeanMinAge15+'19_Расчет_аналитики'!AQ3595*SUMIF(ThresholdAge15,"&lt;"&amp;'19_Расчет_аналитики'!AQ3595,WeightedRevAge15)-SUMIF(ThresholdAge15,"&lt;"&amp;'19_Расчет_аналитики'!AQ3595,WeightedMinAge15),MAX(CapacityAge15*'01_Вводные'!$B$218*'19_Расчет_аналитики'!AQ3595,MeanMinAge15))),0)</f>
        <v/>
      </c>
      <c r="AR3514">
        <f>IF('01_Вводные'!$B$234="Да",IF(OR('19_Расчет_аналитики'!AR3486=0,15&lt;='01_Вводные'!$B$297),0,'19_Расчет_аналитики'!AR3486*IF('01_Вводные'!$B$239="Да",MeanMinAge15+'19_Расчет_аналитики'!AR3595*SUMIF(ThresholdAge15,"&lt;"&amp;'19_Расчет_аналитики'!AR3595,WeightedRevAge15)-SUMIF(ThresholdAge15,"&lt;"&amp;'19_Расчет_аналитики'!AR3595,WeightedMinAge15),MAX(CapacityAge15*'01_Вводные'!$B$218*'19_Расчет_аналитики'!AR3595,MeanMinAge15))),0)</f>
        <v/>
      </c>
      <c r="AS3514">
        <f>IF('01_Вводные'!$B$234="Да",IF(OR('19_Расчет_аналитики'!AS3486=0,15&lt;='01_Вводные'!$B$297),0,'19_Расчет_аналитики'!AS3486*IF('01_Вводные'!$B$239="Да",MeanMinAge15+'19_Расчет_аналитики'!AS3595*SUMIF(ThresholdAge15,"&lt;"&amp;'19_Расчет_аналитики'!AS3595,WeightedRevAge15)-SUMIF(ThresholdAge15,"&lt;"&amp;'19_Расчет_аналитики'!AS3595,WeightedMinAge15),MAX(CapacityAge15*'01_Вводные'!$B$218*'19_Расчет_аналитики'!AS3595,MeanMinAge15))),0)</f>
        <v/>
      </c>
      <c r="AT3514">
        <f>IF('01_Вводные'!$B$234="Да",IF(OR('19_Расчет_аналитики'!AT3486=0,15&lt;='01_Вводные'!$B$297),0,'19_Расчет_аналитики'!AT3486*IF('01_Вводные'!$B$239="Да",MeanMinAge15+'19_Расчет_аналитики'!AT3595*SUMIF(ThresholdAge15,"&lt;"&amp;'19_Расчет_аналитики'!AT3595,WeightedRevAge15)-SUMIF(ThresholdAge15,"&lt;"&amp;'19_Расчет_аналитики'!AT3595,WeightedMinAge15),MAX(CapacityAge15*'01_Вводные'!$B$218*'19_Расчет_аналитики'!AT3595,MeanMinAge15))),0)</f>
        <v/>
      </c>
      <c r="AU3514">
        <f>IF('01_Вводные'!$B$234="Да",IF(OR('19_Расчет_аналитики'!AU3486=0,15&lt;='01_Вводные'!$B$297),0,'19_Расчет_аналитики'!AU3486*IF('01_Вводные'!$B$239="Да",MeanMinAge15+'19_Расчет_аналитики'!AU3595*SUMIF(ThresholdAge15,"&lt;"&amp;'19_Расчет_аналитики'!AU3595,WeightedRevAge15)-SUMIF(ThresholdAge15,"&lt;"&amp;'19_Расчет_аналитики'!AU3595,WeightedMinAge15),MAX(CapacityAge15*'01_Вводные'!$B$218*'19_Расчет_аналитики'!AU3595,MeanMinAge15))),0)</f>
        <v/>
      </c>
      <c r="AV3514">
        <f>IF('01_Вводные'!$B$234="Да",IF(OR('19_Расчет_аналитики'!AV3486=0,15&lt;='01_Вводные'!$B$297),0,'19_Расчет_аналитики'!AV3486*IF('01_Вводные'!$B$239="Да",MeanMinAge15+'19_Расчет_аналитики'!AV3595*SUMIF(ThresholdAge15,"&lt;"&amp;'19_Расчет_аналитики'!AV3595,WeightedRevAge15)-SUMIF(ThresholdAge15,"&lt;"&amp;'19_Расчет_аналитики'!AV3595,WeightedMinAge15),MAX(CapacityAge15*'01_Вводные'!$B$218*'19_Расчет_аналитики'!AV3595,MeanMinAge15))),0)</f>
        <v/>
      </c>
      <c r="AW3514">
        <f>IF('01_Вводные'!$B$234="Да",IF(OR('19_Расчет_аналитики'!AW3486=0,15&lt;='01_Вводные'!$B$297),0,'19_Расчет_аналитики'!AW3486*IF('01_Вводные'!$B$239="Да",MeanMinAge15+'19_Расчет_аналитики'!AW3595*SUMIF(ThresholdAge15,"&lt;"&amp;'19_Расчет_аналитики'!AW3595,WeightedRevAge15)-SUMIF(ThresholdAge15,"&lt;"&amp;'19_Расчет_аналитики'!AW3595,WeightedMinAge15),MAX(CapacityAge15*'01_Вводные'!$B$218*'19_Расчет_аналитики'!AW3595,MeanMinAge15))),0)</f>
        <v/>
      </c>
      <c r="AX3514">
        <f>IF('01_Вводные'!$B$234="Да",IF(OR('19_Расчет_аналитики'!AX3486=0,15&lt;='01_Вводные'!$B$297),0,'19_Расчет_аналитики'!AX3486*IF('01_Вводные'!$B$239="Да",MeanMinAge15+'19_Расчет_аналитики'!AX3595*SUMIF(ThresholdAge15,"&lt;"&amp;'19_Расчет_аналитики'!AX3595,WeightedRevAge15)-SUMIF(ThresholdAge15,"&lt;"&amp;'19_Расчет_аналитики'!AX3595,WeightedMinAge15),MAX(CapacityAge15*'01_Вводные'!$B$218*'19_Расчет_аналитики'!AX3595,MeanMinAge15))),0)</f>
        <v/>
      </c>
      <c r="AY3514">
        <f>IF('01_Вводные'!$B$234="Да",IF(OR('19_Расчет_аналитики'!AY3486=0,15&lt;='01_Вводные'!$B$297),0,'19_Расчет_аналитики'!AY3486*IF('01_Вводные'!$B$239="Да",MeanMinAge15+'19_Расчет_аналитики'!AY3595*SUMIF(ThresholdAge15,"&lt;"&amp;'19_Расчет_аналитики'!AY3595,WeightedRevAge15)-SUMIF(ThresholdAge15,"&lt;"&amp;'19_Расчет_аналитики'!AY3595,WeightedMinAge15),MAX(CapacityAge15*'01_Вводные'!$B$218*'19_Расчет_аналитики'!AY3595,MeanMinAge15))),0)</f>
        <v/>
      </c>
      <c r="AZ3514">
        <f>IF('01_Вводные'!$B$234="Да",IF(OR('19_Расчет_аналитики'!AZ3486=0,15&lt;='01_Вводные'!$B$297),0,'19_Расчет_аналитики'!AZ3486*IF('01_Вводные'!$B$239="Да",MeanMinAge15+'19_Расчет_аналитики'!AZ3595*SUMIF(ThresholdAge15,"&lt;"&amp;'19_Расчет_аналитики'!AZ3595,WeightedRevAge15)-SUMIF(ThresholdAge15,"&lt;"&amp;'19_Расчет_аналитики'!AZ3595,WeightedMinAge15),MAX(CapacityAge15*'01_Вводные'!$B$218*'19_Расчет_аналитики'!AZ3595,MeanMinAge15))),0)</f>
        <v/>
      </c>
      <c r="BA3514">
        <f>IF('01_Вводные'!$B$234="Да",IF(OR('19_Расчет_аналитики'!BA3486=0,15&lt;='01_Вводные'!$B$297),0,'19_Расчет_аналитики'!BA3486*IF('01_Вводные'!$B$239="Да",MeanMinAge15+'19_Расчет_аналитики'!BA3595*SUMIF(ThresholdAge15,"&lt;"&amp;'19_Расчет_аналитики'!BA3595,WeightedRevAge15)-SUMIF(ThresholdAge15,"&lt;"&amp;'19_Расчет_аналитики'!BA3595,WeightedMinAge15),MAX(CapacityAge15*'01_Вводные'!$B$218*'19_Расчет_аналитики'!BA3595,MeanMinAge15))),0)</f>
        <v/>
      </c>
      <c r="BB3514">
        <f>IF('01_Вводные'!$B$234="Да",IF(OR('19_Расчет_аналитики'!BB3486=0,15&lt;='01_Вводные'!$B$297),0,'19_Расчет_аналитики'!BB3486*IF('01_Вводные'!$B$239="Да",MeanMinAge15+'19_Расчет_аналитики'!BB3595*SUMIF(ThresholdAge15,"&lt;"&amp;'19_Расчет_аналитики'!BB3595,WeightedRevAge15)-SUMIF(ThresholdAge15,"&lt;"&amp;'19_Расчет_аналитики'!BB3595,WeightedMinAge15),MAX(CapacityAge15*'01_Вводные'!$B$218*'19_Расчет_аналитики'!BB3595,MeanMinAge15))),0)</f>
        <v/>
      </c>
      <c r="BC3514">
        <f>IF('01_Вводные'!$B$234="Да",IF(OR('19_Расчет_аналитики'!BC3486=0,15&lt;='01_Вводные'!$B$297),0,'19_Расчет_аналитики'!BC3486*IF('01_Вводные'!$B$239="Да",MeanMinAge15+'19_Расчет_аналитики'!BC3595*SUMIF(ThresholdAge15,"&lt;"&amp;'19_Расчет_аналитики'!BC3595,WeightedRevAge15)-SUMIF(ThresholdAge15,"&lt;"&amp;'19_Расчет_аналитики'!BC3595,WeightedMinAge15),MAX(CapacityAge15*'01_Вводные'!$B$218*'19_Расчет_аналитики'!BC3595,MeanMinAge15))),0)</f>
        <v/>
      </c>
      <c r="BD3514">
        <f>IF('01_Вводные'!$B$234="Да",IF(OR('19_Расчет_аналитики'!BD3486=0,15&lt;='01_Вводные'!$B$297),0,'19_Расчет_аналитики'!BD3486*IF('01_Вводные'!$B$239="Да",MeanMinAge15+'19_Расчет_аналитики'!BD3595*SUMIF(ThresholdAge15,"&lt;"&amp;'19_Расчет_аналитики'!BD3595,WeightedRevAge15)-SUMIF(ThresholdAge15,"&lt;"&amp;'19_Расчет_аналитики'!BD3595,WeightedMinAge15),MAX(CapacityAge15*'01_Вводные'!$B$218*'19_Расчет_аналитики'!BD3595,MeanMinAge15))),0)</f>
        <v/>
      </c>
      <c r="BE3514">
        <f>IF('01_Вводные'!$B$234="Да",IF(OR('19_Расчет_аналитики'!BE3486=0,15&lt;='01_Вводные'!$B$297),0,'19_Расчет_аналитики'!BE3486*IF('01_Вводные'!$B$239="Да",MeanMinAge15+'19_Расчет_аналитики'!BE3595*SUMIF(ThresholdAge15,"&lt;"&amp;'19_Расчет_аналитики'!BE3595,WeightedRevAge15)-SUMIF(ThresholdAge15,"&lt;"&amp;'19_Расчет_аналитики'!BE3595,WeightedMinAge15),MAX(CapacityAge15*'01_Вводные'!$B$218*'19_Расчет_аналитики'!BE3595,MeanMinAge15))),0)</f>
        <v/>
      </c>
      <c r="BF3514">
        <f>IF('01_Вводные'!$B$234="Да",IF(OR('19_Расчет_аналитики'!BF3486=0,15&lt;='01_Вводные'!$B$297),0,'19_Расчет_аналитики'!BF3486*IF('01_Вводные'!$B$239="Да",MeanMinAge15+'19_Расчет_аналитики'!BF3595*SUMIF(ThresholdAge15,"&lt;"&amp;'19_Расчет_аналитики'!BF3595,WeightedRevAge15)-SUMIF(ThresholdAge15,"&lt;"&amp;'19_Расчет_аналитики'!BF3595,WeightedMinAge15),MAX(CapacityAge15*'01_Вводные'!$B$218*'19_Расчет_аналитики'!BF3595,MeanMinAge15))),0)</f>
        <v/>
      </c>
      <c r="BG3514">
        <f>IF('01_Вводные'!$B$234="Да",IF(OR('19_Расчет_аналитики'!BG3486=0,15&lt;='01_Вводные'!$B$297),0,'19_Расчет_аналитики'!BG3486*IF('01_Вводные'!$B$239="Да",MeanMinAge15+'19_Расчет_аналитики'!BG3595*SUMIF(ThresholdAge15,"&lt;"&amp;'19_Расчет_аналитики'!BG3595,WeightedRevAge15)-SUMIF(ThresholdAge15,"&lt;"&amp;'19_Расчет_аналитики'!BG3595,WeightedMinAge15),MAX(CapacityAge15*'01_Вводные'!$B$218*'19_Расчет_аналитики'!BG3595,MeanMinAge15))),0)</f>
        <v/>
      </c>
      <c r="BH3514">
        <f>IF('01_Вводные'!$B$234="Да",IF(OR('19_Расчет_аналитики'!BH3486=0,15&lt;='01_Вводные'!$B$297),0,'19_Расчет_аналитики'!BH3486*IF('01_Вводные'!$B$239="Да",MeanMinAge15+'19_Расчет_аналитики'!BH3595*SUMIF(ThresholdAge15,"&lt;"&amp;'19_Расчет_аналитики'!BH3595,WeightedRevAge15)-SUMIF(ThresholdAge15,"&lt;"&amp;'19_Расчет_аналитики'!BH3595,WeightedMinAge15),MAX(CapacityAge15*'01_Вводные'!$B$218*'19_Расчет_аналитики'!BH3595,MeanMinAge15))),0)</f>
        <v/>
      </c>
      <c r="BI3514">
        <f>IF('01_Вводные'!$B$234="Да",IF(OR('19_Расчет_аналитики'!BI3486=0,15&lt;='01_Вводные'!$B$297),0,'19_Расчет_аналитики'!BI3486*IF('01_Вводные'!$B$239="Да",MeanMinAge15+'19_Расчет_аналитики'!BI3595*SUMIF(ThresholdAge15,"&lt;"&amp;'19_Расчет_аналитики'!BI3595,WeightedRevAge15)-SUMIF(ThresholdAge15,"&lt;"&amp;'19_Расчет_аналитики'!BI3595,WeightedMinAge15),MAX(CapacityAge15*'01_Вводные'!$B$218*'19_Расчет_аналитики'!BI3595,MeanMinAge15))),0)</f>
        <v/>
      </c>
      <c r="BJ3514">
        <f>IF('01_Вводные'!$B$234="Да",IF(OR('19_Расчет_аналитики'!BJ3486=0,15&lt;='01_Вводные'!$B$297),0,'19_Расчет_аналитики'!BJ3486*IF('01_Вводные'!$B$239="Да",MeanMinAge15+'19_Расчет_аналитики'!BJ3595*SUMIF(ThresholdAge15,"&lt;"&amp;'19_Расчет_аналитики'!BJ3595,WeightedRevAge15)-SUMIF(ThresholdAge15,"&lt;"&amp;'19_Расчет_аналитики'!BJ3595,WeightedMinAge15),MAX(CapacityAge15*'01_Вводные'!$B$218*'19_Расчет_аналитики'!BJ3595,MeanMinAge15))),0)</f>
        <v/>
      </c>
      <c r="BK3514">
        <f>IF('01_Вводные'!$B$234="Да",IF(OR('19_Расчет_аналитики'!BK3486=0,15&lt;='01_Вводные'!$B$297),0,'19_Расчет_аналитики'!BK3486*IF('01_Вводные'!$B$239="Да",MeanMinAge15+'19_Расчет_аналитики'!BK3595*SUMIF(ThresholdAge15,"&lt;"&amp;'19_Расчет_аналитики'!BK3595,WeightedRevAge15)-SUMIF(ThresholdAge15,"&lt;"&amp;'19_Расчет_аналитики'!BK3595,WeightedMinAge15),MAX(CapacityAge15*'01_Вводные'!$B$218*'19_Расчет_аналитики'!BK3595,MeanMinAge15))),0)</f>
        <v/>
      </c>
      <c r="BL3514">
        <f>IF('01_Вводные'!$B$234="Да",IF(OR('19_Расчет_аналитики'!BL3486=0,15&lt;='01_Вводные'!$B$297),0,'19_Расчет_аналитики'!BL3486*IF('01_Вводные'!$B$239="Да",MeanMinAge15+'19_Расчет_аналитики'!BL3595*SUMIF(ThresholdAge15,"&lt;"&amp;'19_Расчет_аналитики'!BL3595,WeightedRevAge15)-SUMIF(ThresholdAge15,"&lt;"&amp;'19_Расчет_аналитики'!BL3595,WeightedMinAge15),MAX(CapacityAge15*'01_Вводные'!$B$218*'19_Расчет_аналитики'!BL3595,MeanMinAge15))),0)</f>
        <v/>
      </c>
      <c r="BM3514">
        <f>IF('01_Вводные'!$B$234="Да",IF(OR('19_Расчет_аналитики'!BM3486=0,15&lt;='01_Вводные'!$B$297),0,'19_Расчет_аналитики'!BM3486*IF('01_Вводные'!$B$239="Да",MeanMinAge15+'19_Расчет_аналитики'!BM3595*SUMIF(ThresholdAge15,"&lt;"&amp;'19_Расчет_аналитики'!BM3595,WeightedRevAge15)-SUMIF(ThresholdAge15,"&lt;"&amp;'19_Расчет_аналитики'!BM3595,WeightedMinAge15),MAX(CapacityAge15*'01_Вводные'!$B$218*'19_Расчет_аналитики'!BM3595,MeanMinAge15))),0)</f>
        <v/>
      </c>
      <c r="BN3514">
        <f>IF('01_Вводные'!$B$234="Да",IF(OR('19_Расчет_аналитики'!BN3486=0,15&lt;='01_Вводные'!$B$297),0,'19_Расчет_аналитики'!BN3486*IF('01_Вводные'!$B$239="Да",MeanMinAge15+'19_Расчет_аналитики'!BN3595*SUMIF(ThresholdAge15,"&lt;"&amp;'19_Расчет_аналитики'!BN3595,WeightedRevAge15)-SUMIF(ThresholdAge15,"&lt;"&amp;'19_Расчет_аналитики'!BN3595,WeightedMinAge15),MAX(CapacityAge15*'01_Вводные'!$B$218*'19_Расчет_аналитики'!BN3595,MeanMinAge15))),0)</f>
        <v/>
      </c>
      <c r="BO3514">
        <f>IF('01_Вводные'!$B$234="Да",IF(OR('19_Расчет_аналитики'!BO3486=0,15&lt;='01_Вводные'!$B$297),0,'19_Расчет_аналитики'!BO3486*IF('01_Вводные'!$B$239="Да",MeanMinAge15+'19_Расчет_аналитики'!BO3595*SUMIF(ThresholdAge15,"&lt;"&amp;'19_Расчет_аналитики'!BO3595,WeightedRevAge15)-SUMIF(ThresholdAge15,"&lt;"&amp;'19_Расчет_аналитики'!BO3595,WeightedMinAge15),MAX(CapacityAge15*'01_Вводные'!$B$218*'19_Расчет_аналитики'!BO3595,MeanMinAge15))),0)</f>
        <v/>
      </c>
    </row>
    <row r="3515">
      <c r="B3515">
        <f>IF('01_Вводные'!$B$234="Да",IF(OR('06_Сеть_и_дети'!B96=0,16&lt;='01_Вводные'!$B$297),0,'06_Сеть_и_дети'!B96*IF('01_Вводные'!$B$239="Да",MeanMinAge16+'19_Расчет_аналитики'!B3595*SUMIF(ThresholdAge16,"&lt;"&amp;'19_Расчет_аналитики'!B3595,WeightedRevAge16)-SUMIF(ThresholdAge16,"&lt;"&amp;'19_Расчет_аналитики'!B3595,WeightedMinAge16),MAX(CapacityAge16*'01_Вводные'!$B$218*'19_Расчет_аналитики'!B3595,MeanMinAge16))),0)</f>
        <v/>
      </c>
      <c r="C3515">
        <f>IF('01_Вводные'!$B$234="Да",IF(OR('06_Сеть_и_дети'!C96=0,16&lt;='01_Вводные'!$B$297),0,'06_Сеть_и_дети'!C96*IF('01_Вводные'!$B$239="Да",MeanMinAge16+'19_Расчет_аналитики'!C3595*SUMIF(ThresholdAge16,"&lt;"&amp;'19_Расчет_аналитики'!C3595,WeightedRevAge16)-SUMIF(ThresholdAge16,"&lt;"&amp;'19_Расчет_аналитики'!C3595,WeightedMinAge16),MAX(CapacityAge16*'01_Вводные'!$B$218*'19_Расчет_аналитики'!C3595,MeanMinAge16))),0)</f>
        <v/>
      </c>
      <c r="D3515">
        <f>IF('01_Вводные'!$B$234="Да",IF(OR('06_Сеть_и_дети'!D96=0,16&lt;='01_Вводные'!$B$297),0,'06_Сеть_и_дети'!D96*IF('01_Вводные'!$B$239="Да",MeanMinAge16+'19_Расчет_аналитики'!D3595*SUMIF(ThresholdAge16,"&lt;"&amp;'19_Расчет_аналитики'!D3595,WeightedRevAge16)-SUMIF(ThresholdAge16,"&lt;"&amp;'19_Расчет_аналитики'!D3595,WeightedMinAge16),MAX(CapacityAge16*'01_Вводные'!$B$218*'19_Расчет_аналитики'!D3595,MeanMinAge16))),0)</f>
        <v/>
      </c>
      <c r="E3515">
        <f>IF('01_Вводные'!$B$234="Да",IF(OR('06_Сеть_и_дети'!E96=0,16&lt;='01_Вводные'!$B$297),0,'06_Сеть_и_дети'!E96*IF('01_Вводные'!$B$239="Да",MeanMinAge16+'19_Расчет_аналитики'!E3595*SUMIF(ThresholdAge16,"&lt;"&amp;'19_Расчет_аналитики'!E3595,WeightedRevAge16)-SUMIF(ThresholdAge16,"&lt;"&amp;'19_Расчет_аналитики'!E3595,WeightedMinAge16),MAX(CapacityAge16*'01_Вводные'!$B$218*'19_Расчет_аналитики'!E3595,MeanMinAge16))),0)</f>
        <v/>
      </c>
      <c r="F3515">
        <f>IF('01_Вводные'!$B$234="Да",IF(OR('06_Сеть_и_дети'!F96=0,16&lt;='01_Вводные'!$B$297),0,'06_Сеть_и_дети'!F96*IF('01_Вводные'!$B$239="Да",MeanMinAge16+'19_Расчет_аналитики'!F3595*SUMIF(ThresholdAge16,"&lt;"&amp;'19_Расчет_аналитики'!F3595,WeightedRevAge16)-SUMIF(ThresholdAge16,"&lt;"&amp;'19_Расчет_аналитики'!F3595,WeightedMinAge16),MAX(CapacityAge16*'01_Вводные'!$B$218*'19_Расчет_аналитики'!F3595,MeanMinAge16))),0)</f>
        <v/>
      </c>
      <c r="G3515">
        <f>IF('01_Вводные'!$B$234="Да",IF(OR('06_Сеть_и_дети'!G96=0,16&lt;='01_Вводные'!$B$297),0,'06_Сеть_и_дети'!G96*IF('01_Вводные'!$B$239="Да",MeanMinAge16+'19_Расчет_аналитики'!G3595*SUMIF(ThresholdAge16,"&lt;"&amp;'19_Расчет_аналитики'!G3595,WeightedRevAge16)-SUMIF(ThresholdAge16,"&lt;"&amp;'19_Расчет_аналитики'!G3595,WeightedMinAge16),MAX(CapacityAge16*'01_Вводные'!$B$218*'19_Расчет_аналитики'!G3595,MeanMinAge16))),0)</f>
        <v/>
      </c>
      <c r="H3515">
        <f>IF('01_Вводные'!$B$234="Да",IF(OR('06_Сеть_и_дети'!H96=0,16&lt;='01_Вводные'!$B$297),0,'06_Сеть_и_дети'!H96*IF('01_Вводные'!$B$239="Да",MeanMinAge16+'19_Расчет_аналитики'!H3595*SUMIF(ThresholdAge16,"&lt;"&amp;'19_Расчет_аналитики'!H3595,WeightedRevAge16)-SUMIF(ThresholdAge16,"&lt;"&amp;'19_Расчет_аналитики'!H3595,WeightedMinAge16),MAX(CapacityAge16*'01_Вводные'!$B$218*'19_Расчет_аналитики'!H3595,MeanMinAge16))),0)</f>
        <v/>
      </c>
      <c r="I3515">
        <f>IF('01_Вводные'!$B$234="Да",IF(OR('06_Сеть_и_дети'!I96=0,16&lt;='01_Вводные'!$B$297),0,'06_Сеть_и_дети'!I96*IF('01_Вводные'!$B$239="Да",MeanMinAge16+'19_Расчет_аналитики'!I3595*SUMIF(ThresholdAge16,"&lt;"&amp;'19_Расчет_аналитики'!I3595,WeightedRevAge16)-SUMIF(ThresholdAge16,"&lt;"&amp;'19_Расчет_аналитики'!I3595,WeightedMinAge16),MAX(CapacityAge16*'01_Вводные'!$B$218*'19_Расчет_аналитики'!I3595,MeanMinAge16))),0)</f>
        <v/>
      </c>
      <c r="J3515">
        <f>IF('01_Вводные'!$B$234="Да",IF(OR('06_Сеть_и_дети'!J96=0,16&lt;='01_Вводные'!$B$297),0,'06_Сеть_и_дети'!J96*IF('01_Вводные'!$B$239="Да",MeanMinAge16+'19_Расчет_аналитики'!J3595*SUMIF(ThresholdAge16,"&lt;"&amp;'19_Расчет_аналитики'!J3595,WeightedRevAge16)-SUMIF(ThresholdAge16,"&lt;"&amp;'19_Расчет_аналитики'!J3595,WeightedMinAge16),MAX(CapacityAge16*'01_Вводные'!$B$218*'19_Расчет_аналитики'!J3595,MeanMinAge16))),0)</f>
        <v/>
      </c>
      <c r="K3515">
        <f>IF('01_Вводные'!$B$234="Да",IF(OR('06_Сеть_и_дети'!K96=0,16&lt;='01_Вводные'!$B$297),0,'06_Сеть_и_дети'!K96*IF('01_Вводные'!$B$239="Да",MeanMinAge16+'19_Расчет_аналитики'!K3595*SUMIF(ThresholdAge16,"&lt;"&amp;'19_Расчет_аналитики'!K3595,WeightedRevAge16)-SUMIF(ThresholdAge16,"&lt;"&amp;'19_Расчет_аналитики'!K3595,WeightedMinAge16),MAX(CapacityAge16*'01_Вводные'!$B$218*'19_Расчет_аналитики'!K3595,MeanMinAge16))),0)</f>
        <v/>
      </c>
      <c r="L3515">
        <f>IF('01_Вводные'!$B$234="Да",IF(OR('06_Сеть_и_дети'!L96=0,16&lt;='01_Вводные'!$B$297),0,'06_Сеть_и_дети'!L96*IF('01_Вводные'!$B$239="Да",MeanMinAge16+'19_Расчет_аналитики'!L3595*SUMIF(ThresholdAge16,"&lt;"&amp;'19_Расчет_аналитики'!L3595,WeightedRevAge16)-SUMIF(ThresholdAge16,"&lt;"&amp;'19_Расчет_аналитики'!L3595,WeightedMinAge16),MAX(CapacityAge16*'01_Вводные'!$B$218*'19_Расчет_аналитики'!L3595,MeanMinAge16))),0)</f>
        <v/>
      </c>
      <c r="M3515">
        <f>IF('01_Вводные'!$B$234="Да",IF(OR('06_Сеть_и_дети'!M96=0,16&lt;='01_Вводные'!$B$297),0,'06_Сеть_и_дети'!M96*IF('01_Вводные'!$B$239="Да",MeanMinAge16+'19_Расчет_аналитики'!M3595*SUMIF(ThresholdAge16,"&lt;"&amp;'19_Расчет_аналитики'!M3595,WeightedRevAge16)-SUMIF(ThresholdAge16,"&lt;"&amp;'19_Расчет_аналитики'!M3595,WeightedMinAge16),MAX(CapacityAge16*'01_Вводные'!$B$218*'19_Расчет_аналитики'!M3595,MeanMinAge16))),0)</f>
        <v/>
      </c>
      <c r="N3515">
        <f>IF('01_Вводные'!$B$234="Да",IF(OR('06_Сеть_и_дети'!N96=0,16&lt;='01_Вводные'!$B$297),0,'06_Сеть_и_дети'!N96*IF('01_Вводные'!$B$239="Да",MeanMinAge16+'19_Расчет_аналитики'!N3595*SUMIF(ThresholdAge16,"&lt;"&amp;'19_Расчет_аналитики'!N3595,WeightedRevAge16)-SUMIF(ThresholdAge16,"&lt;"&amp;'19_Расчет_аналитики'!N3595,WeightedMinAge16),MAX(CapacityAge16*'01_Вводные'!$B$218*'19_Расчет_аналитики'!N3595,MeanMinAge16))),0)</f>
        <v/>
      </c>
      <c r="O3515">
        <f>IF('01_Вводные'!$B$234="Да",IF(OR('06_Сеть_и_дети'!O96=0,16&lt;='01_Вводные'!$B$297),0,'06_Сеть_и_дети'!O96*IF('01_Вводные'!$B$239="Да",MeanMinAge16+'19_Расчет_аналитики'!O3595*SUMIF(ThresholdAge16,"&lt;"&amp;'19_Расчет_аналитики'!O3595,WeightedRevAge16)-SUMIF(ThresholdAge16,"&lt;"&amp;'19_Расчет_аналитики'!O3595,WeightedMinAge16),MAX(CapacityAge16*'01_Вводные'!$B$218*'19_Расчет_аналитики'!O3595,MeanMinAge16))),0)</f>
        <v/>
      </c>
      <c r="P3515">
        <f>IF('01_Вводные'!$B$234="Да",IF(OR('06_Сеть_и_дети'!P96=0,16&lt;='01_Вводные'!$B$297),0,'06_Сеть_и_дети'!P96*IF('01_Вводные'!$B$239="Да",MeanMinAge16+'19_Расчет_аналитики'!P3595*SUMIF(ThresholdAge16,"&lt;"&amp;'19_Расчет_аналитики'!P3595,WeightedRevAge16)-SUMIF(ThresholdAge16,"&lt;"&amp;'19_Расчет_аналитики'!P3595,WeightedMinAge16),MAX(CapacityAge16*'01_Вводные'!$B$218*'19_Расчет_аналитики'!P3595,MeanMinAge16))),0)</f>
        <v/>
      </c>
      <c r="Q3515">
        <f>IF('01_Вводные'!$B$234="Да",IF(OR('19_Расчет_аналитики'!Q3487=0,16&lt;='01_Вводные'!$B$297),0,'19_Расчет_аналитики'!Q3487*IF('01_Вводные'!$B$239="Да",MeanMinAge16+'19_Расчет_аналитики'!Q3595*SUMIF(ThresholdAge16,"&lt;"&amp;'19_Расчет_аналитики'!Q3595,WeightedRevAge16)-SUMIF(ThresholdAge16,"&lt;"&amp;'19_Расчет_аналитики'!Q3595,WeightedMinAge16),MAX(CapacityAge16*'01_Вводные'!$B$218*'19_Расчет_аналитики'!Q3595,MeanMinAge16))),0)</f>
        <v/>
      </c>
      <c r="R3515">
        <f>IF('01_Вводные'!$B$234="Да",IF(OR('19_Расчет_аналитики'!R3487=0,16&lt;='01_Вводные'!$B$297),0,'19_Расчет_аналитики'!R3487*IF('01_Вводные'!$B$239="Да",MeanMinAge16+'19_Расчет_аналитики'!R3595*SUMIF(ThresholdAge16,"&lt;"&amp;'19_Расчет_аналитики'!R3595,WeightedRevAge16)-SUMIF(ThresholdAge16,"&lt;"&amp;'19_Расчет_аналитики'!R3595,WeightedMinAge16),MAX(CapacityAge16*'01_Вводные'!$B$218*'19_Расчет_аналитики'!R3595,MeanMinAge16))),0)</f>
        <v/>
      </c>
      <c r="S3515">
        <f>IF('01_Вводные'!$B$234="Да",IF(OR('19_Расчет_аналитики'!S3487=0,16&lt;='01_Вводные'!$B$297),0,'19_Расчет_аналитики'!S3487*IF('01_Вводные'!$B$239="Да",MeanMinAge16+'19_Расчет_аналитики'!S3595*SUMIF(ThresholdAge16,"&lt;"&amp;'19_Расчет_аналитики'!S3595,WeightedRevAge16)-SUMIF(ThresholdAge16,"&lt;"&amp;'19_Расчет_аналитики'!S3595,WeightedMinAge16),MAX(CapacityAge16*'01_Вводные'!$B$218*'19_Расчет_аналитики'!S3595,MeanMinAge16))),0)</f>
        <v/>
      </c>
      <c r="T3515">
        <f>IF('01_Вводные'!$B$234="Да",IF(OR('19_Расчет_аналитики'!T3487=0,16&lt;='01_Вводные'!$B$297),0,'19_Расчет_аналитики'!T3487*IF('01_Вводные'!$B$239="Да",MeanMinAge16+'19_Расчет_аналитики'!T3595*SUMIF(ThresholdAge16,"&lt;"&amp;'19_Расчет_аналитики'!T3595,WeightedRevAge16)-SUMIF(ThresholdAge16,"&lt;"&amp;'19_Расчет_аналитики'!T3595,WeightedMinAge16),MAX(CapacityAge16*'01_Вводные'!$B$218*'19_Расчет_аналитики'!T3595,MeanMinAge16))),0)</f>
        <v/>
      </c>
      <c r="U3515">
        <f>IF('01_Вводные'!$B$234="Да",IF(OR('19_Расчет_аналитики'!U3487=0,16&lt;='01_Вводные'!$B$297),0,'19_Расчет_аналитики'!U3487*IF('01_Вводные'!$B$239="Да",MeanMinAge16+'19_Расчет_аналитики'!U3595*SUMIF(ThresholdAge16,"&lt;"&amp;'19_Расчет_аналитики'!U3595,WeightedRevAge16)-SUMIF(ThresholdAge16,"&lt;"&amp;'19_Расчет_аналитики'!U3595,WeightedMinAge16),MAX(CapacityAge16*'01_Вводные'!$B$218*'19_Расчет_аналитики'!U3595,MeanMinAge16))),0)</f>
        <v/>
      </c>
      <c r="V3515">
        <f>IF('01_Вводные'!$B$234="Да",IF(OR('19_Расчет_аналитики'!V3487=0,16&lt;='01_Вводные'!$B$297),0,'19_Расчет_аналитики'!V3487*IF('01_Вводные'!$B$239="Да",MeanMinAge16+'19_Расчет_аналитики'!V3595*SUMIF(ThresholdAge16,"&lt;"&amp;'19_Расчет_аналитики'!V3595,WeightedRevAge16)-SUMIF(ThresholdAge16,"&lt;"&amp;'19_Расчет_аналитики'!V3595,WeightedMinAge16),MAX(CapacityAge16*'01_Вводные'!$B$218*'19_Расчет_аналитики'!V3595,MeanMinAge16))),0)</f>
        <v/>
      </c>
      <c r="W3515">
        <f>IF('01_Вводные'!$B$234="Да",IF(OR('19_Расчет_аналитики'!W3487=0,16&lt;='01_Вводные'!$B$297),0,'19_Расчет_аналитики'!W3487*IF('01_Вводные'!$B$239="Да",MeanMinAge16+'19_Расчет_аналитики'!W3595*SUMIF(ThresholdAge16,"&lt;"&amp;'19_Расчет_аналитики'!W3595,WeightedRevAge16)-SUMIF(ThresholdAge16,"&lt;"&amp;'19_Расчет_аналитики'!W3595,WeightedMinAge16),MAX(CapacityAge16*'01_Вводные'!$B$218*'19_Расчет_аналитики'!W3595,MeanMinAge16))),0)</f>
        <v/>
      </c>
      <c r="X3515">
        <f>IF('01_Вводные'!$B$234="Да",IF(OR('19_Расчет_аналитики'!X3487=0,16&lt;='01_Вводные'!$B$297),0,'19_Расчет_аналитики'!X3487*IF('01_Вводные'!$B$239="Да",MeanMinAge16+'19_Расчет_аналитики'!X3595*SUMIF(ThresholdAge16,"&lt;"&amp;'19_Расчет_аналитики'!X3595,WeightedRevAge16)-SUMIF(ThresholdAge16,"&lt;"&amp;'19_Расчет_аналитики'!X3595,WeightedMinAge16),MAX(CapacityAge16*'01_Вводные'!$B$218*'19_Расчет_аналитики'!X3595,MeanMinAge16))),0)</f>
        <v/>
      </c>
      <c r="Y3515">
        <f>IF('01_Вводные'!$B$234="Да",IF(OR('19_Расчет_аналитики'!Y3487=0,16&lt;='01_Вводные'!$B$297),0,'19_Расчет_аналитики'!Y3487*IF('01_Вводные'!$B$239="Да",MeanMinAge16+'19_Расчет_аналитики'!Y3595*SUMIF(ThresholdAge16,"&lt;"&amp;'19_Расчет_аналитики'!Y3595,WeightedRevAge16)-SUMIF(ThresholdAge16,"&lt;"&amp;'19_Расчет_аналитики'!Y3595,WeightedMinAge16),MAX(CapacityAge16*'01_Вводные'!$B$218*'19_Расчет_аналитики'!Y3595,MeanMinAge16))),0)</f>
        <v/>
      </c>
      <c r="Z3515">
        <f>IF('01_Вводные'!$B$234="Да",IF(OR('19_Расчет_аналитики'!Z3487=0,16&lt;='01_Вводные'!$B$297),0,'19_Расчет_аналитики'!Z3487*IF('01_Вводные'!$B$239="Да",MeanMinAge16+'19_Расчет_аналитики'!Z3595*SUMIF(ThresholdAge16,"&lt;"&amp;'19_Расчет_аналитики'!Z3595,WeightedRevAge16)-SUMIF(ThresholdAge16,"&lt;"&amp;'19_Расчет_аналитики'!Z3595,WeightedMinAge16),MAX(CapacityAge16*'01_Вводные'!$B$218*'19_Расчет_аналитики'!Z3595,MeanMinAge16))),0)</f>
        <v/>
      </c>
      <c r="AA3515">
        <f>IF('01_Вводные'!$B$234="Да",IF(OR('19_Расчет_аналитики'!AA3487=0,16&lt;='01_Вводные'!$B$297),0,'19_Расчет_аналитики'!AA3487*IF('01_Вводные'!$B$239="Да",MeanMinAge16+'19_Расчет_аналитики'!AA3595*SUMIF(ThresholdAge16,"&lt;"&amp;'19_Расчет_аналитики'!AA3595,WeightedRevAge16)-SUMIF(ThresholdAge16,"&lt;"&amp;'19_Расчет_аналитики'!AA3595,WeightedMinAge16),MAX(CapacityAge16*'01_Вводные'!$B$218*'19_Расчет_аналитики'!AA3595,MeanMinAge16))),0)</f>
        <v/>
      </c>
      <c r="AB3515">
        <f>IF('01_Вводные'!$B$234="Да",IF(OR('19_Расчет_аналитики'!AB3487=0,16&lt;='01_Вводные'!$B$297),0,'19_Расчет_аналитики'!AB3487*IF('01_Вводные'!$B$239="Да",MeanMinAge16+'19_Расчет_аналитики'!AB3595*SUMIF(ThresholdAge16,"&lt;"&amp;'19_Расчет_аналитики'!AB3595,WeightedRevAge16)-SUMIF(ThresholdAge16,"&lt;"&amp;'19_Расчет_аналитики'!AB3595,WeightedMinAge16),MAX(CapacityAge16*'01_Вводные'!$B$218*'19_Расчет_аналитики'!AB3595,MeanMinAge16))),0)</f>
        <v/>
      </c>
      <c r="AC3515">
        <f>IF('01_Вводные'!$B$234="Да",IF(OR('19_Расчет_аналитики'!AC3487=0,16&lt;='01_Вводные'!$B$297),0,'19_Расчет_аналитики'!AC3487*IF('01_Вводные'!$B$239="Да",MeanMinAge16+'19_Расчет_аналитики'!AC3595*SUMIF(ThresholdAge16,"&lt;"&amp;'19_Расчет_аналитики'!AC3595,WeightedRevAge16)-SUMIF(ThresholdAge16,"&lt;"&amp;'19_Расчет_аналитики'!AC3595,WeightedMinAge16),MAX(CapacityAge16*'01_Вводные'!$B$218*'19_Расчет_аналитики'!AC3595,MeanMinAge16))),0)</f>
        <v/>
      </c>
      <c r="AD3515">
        <f>IF('01_Вводные'!$B$234="Да",IF(OR('19_Расчет_аналитики'!AD3487=0,16&lt;='01_Вводные'!$B$297),0,'19_Расчет_аналитики'!AD3487*IF('01_Вводные'!$B$239="Да",MeanMinAge16+'19_Расчет_аналитики'!AD3595*SUMIF(ThresholdAge16,"&lt;"&amp;'19_Расчет_аналитики'!AD3595,WeightedRevAge16)-SUMIF(ThresholdAge16,"&lt;"&amp;'19_Расчет_аналитики'!AD3595,WeightedMinAge16),MAX(CapacityAge16*'01_Вводные'!$B$218*'19_Расчет_аналитики'!AD3595,MeanMinAge16))),0)</f>
        <v/>
      </c>
      <c r="AE3515">
        <f>IF('01_Вводные'!$B$234="Да",IF(OR('19_Расчет_аналитики'!AE3487=0,16&lt;='01_Вводные'!$B$297),0,'19_Расчет_аналитики'!AE3487*IF('01_Вводные'!$B$239="Да",MeanMinAge16+'19_Расчет_аналитики'!AE3595*SUMIF(ThresholdAge16,"&lt;"&amp;'19_Расчет_аналитики'!AE3595,WeightedRevAge16)-SUMIF(ThresholdAge16,"&lt;"&amp;'19_Расчет_аналитики'!AE3595,WeightedMinAge16),MAX(CapacityAge16*'01_Вводные'!$B$218*'19_Расчет_аналитики'!AE3595,MeanMinAge16))),0)</f>
        <v/>
      </c>
      <c r="AF3515">
        <f>IF('01_Вводные'!$B$234="Да",IF(OR('19_Расчет_аналитики'!AF3487=0,16&lt;='01_Вводные'!$B$297),0,'19_Расчет_аналитики'!AF3487*IF('01_Вводные'!$B$239="Да",MeanMinAge16+'19_Расчет_аналитики'!AF3595*SUMIF(ThresholdAge16,"&lt;"&amp;'19_Расчет_аналитики'!AF3595,WeightedRevAge16)-SUMIF(ThresholdAge16,"&lt;"&amp;'19_Расчет_аналитики'!AF3595,WeightedMinAge16),MAX(CapacityAge16*'01_Вводные'!$B$218*'19_Расчет_аналитики'!AF3595,MeanMinAge16))),0)</f>
        <v/>
      </c>
      <c r="AG3515">
        <f>IF('01_Вводные'!$B$234="Да",IF(OR('19_Расчет_аналитики'!AG3487=0,16&lt;='01_Вводные'!$B$297),0,'19_Расчет_аналитики'!AG3487*IF('01_Вводные'!$B$239="Да",MeanMinAge16+'19_Расчет_аналитики'!AG3595*SUMIF(ThresholdAge16,"&lt;"&amp;'19_Расчет_аналитики'!AG3595,WeightedRevAge16)-SUMIF(ThresholdAge16,"&lt;"&amp;'19_Расчет_аналитики'!AG3595,WeightedMinAge16),MAX(CapacityAge16*'01_Вводные'!$B$218*'19_Расчет_аналитики'!AG3595,MeanMinAge16))),0)</f>
        <v/>
      </c>
      <c r="AH3515">
        <f>IF('01_Вводные'!$B$234="Да",IF(OR('19_Расчет_аналитики'!AH3487=0,16&lt;='01_Вводные'!$B$297),0,'19_Расчет_аналитики'!AH3487*IF('01_Вводные'!$B$239="Да",MeanMinAge16+'19_Расчет_аналитики'!AH3595*SUMIF(ThresholdAge16,"&lt;"&amp;'19_Расчет_аналитики'!AH3595,WeightedRevAge16)-SUMIF(ThresholdAge16,"&lt;"&amp;'19_Расчет_аналитики'!AH3595,WeightedMinAge16),MAX(CapacityAge16*'01_Вводные'!$B$218*'19_Расчет_аналитики'!AH3595,MeanMinAge16))),0)</f>
        <v/>
      </c>
      <c r="AI3515">
        <f>IF('01_Вводные'!$B$234="Да",IF(OR('19_Расчет_аналитики'!AI3487=0,16&lt;='01_Вводные'!$B$297),0,'19_Расчет_аналитики'!AI3487*IF('01_Вводные'!$B$239="Да",MeanMinAge16+'19_Расчет_аналитики'!AI3595*SUMIF(ThresholdAge16,"&lt;"&amp;'19_Расчет_аналитики'!AI3595,WeightedRevAge16)-SUMIF(ThresholdAge16,"&lt;"&amp;'19_Расчет_аналитики'!AI3595,WeightedMinAge16),MAX(CapacityAge16*'01_Вводные'!$B$218*'19_Расчет_аналитики'!AI3595,MeanMinAge16))),0)</f>
        <v/>
      </c>
      <c r="AJ3515">
        <f>IF('01_Вводные'!$B$234="Да",IF(OR('19_Расчет_аналитики'!AJ3487=0,16&lt;='01_Вводные'!$B$297),0,'19_Расчет_аналитики'!AJ3487*IF('01_Вводные'!$B$239="Да",MeanMinAge16+'19_Расчет_аналитики'!AJ3595*SUMIF(ThresholdAge16,"&lt;"&amp;'19_Расчет_аналитики'!AJ3595,WeightedRevAge16)-SUMIF(ThresholdAge16,"&lt;"&amp;'19_Расчет_аналитики'!AJ3595,WeightedMinAge16),MAX(CapacityAge16*'01_Вводные'!$B$218*'19_Расчет_аналитики'!AJ3595,MeanMinAge16))),0)</f>
        <v/>
      </c>
      <c r="AK3515">
        <f>IF('01_Вводные'!$B$234="Да",IF(OR('19_Расчет_аналитики'!AK3487=0,16&lt;='01_Вводные'!$B$297),0,'19_Расчет_аналитики'!AK3487*IF('01_Вводные'!$B$239="Да",MeanMinAge16+'19_Расчет_аналитики'!AK3595*SUMIF(ThresholdAge16,"&lt;"&amp;'19_Расчет_аналитики'!AK3595,WeightedRevAge16)-SUMIF(ThresholdAge16,"&lt;"&amp;'19_Расчет_аналитики'!AK3595,WeightedMinAge16),MAX(CapacityAge16*'01_Вводные'!$B$218*'19_Расчет_аналитики'!AK3595,MeanMinAge16))),0)</f>
        <v/>
      </c>
      <c r="AL3515">
        <f>IF('01_Вводные'!$B$234="Да",IF(OR('19_Расчет_аналитики'!AL3487=0,16&lt;='01_Вводные'!$B$297),0,'19_Расчет_аналитики'!AL3487*IF('01_Вводные'!$B$239="Да",MeanMinAge16+'19_Расчет_аналитики'!AL3595*SUMIF(ThresholdAge16,"&lt;"&amp;'19_Расчет_аналитики'!AL3595,WeightedRevAge16)-SUMIF(ThresholdAge16,"&lt;"&amp;'19_Расчет_аналитики'!AL3595,WeightedMinAge16),MAX(CapacityAge16*'01_Вводные'!$B$218*'19_Расчет_аналитики'!AL3595,MeanMinAge16))),0)</f>
        <v/>
      </c>
      <c r="AM3515">
        <f>IF('01_Вводные'!$B$234="Да",IF(OR('19_Расчет_аналитики'!AM3487=0,16&lt;='01_Вводные'!$B$297),0,'19_Расчет_аналитики'!AM3487*IF('01_Вводные'!$B$239="Да",MeanMinAge16+'19_Расчет_аналитики'!AM3595*SUMIF(ThresholdAge16,"&lt;"&amp;'19_Расчет_аналитики'!AM3595,WeightedRevAge16)-SUMIF(ThresholdAge16,"&lt;"&amp;'19_Расчет_аналитики'!AM3595,WeightedMinAge16),MAX(CapacityAge16*'01_Вводные'!$B$218*'19_Расчет_аналитики'!AM3595,MeanMinAge16))),0)</f>
        <v/>
      </c>
      <c r="AN3515">
        <f>IF('01_Вводные'!$B$234="Да",IF(OR('19_Расчет_аналитики'!AN3487=0,16&lt;='01_Вводные'!$B$297),0,'19_Расчет_аналитики'!AN3487*IF('01_Вводные'!$B$239="Да",MeanMinAge16+'19_Расчет_аналитики'!AN3595*SUMIF(ThresholdAge16,"&lt;"&amp;'19_Расчет_аналитики'!AN3595,WeightedRevAge16)-SUMIF(ThresholdAge16,"&lt;"&amp;'19_Расчет_аналитики'!AN3595,WeightedMinAge16),MAX(CapacityAge16*'01_Вводные'!$B$218*'19_Расчет_аналитики'!AN3595,MeanMinAge16))),0)</f>
        <v/>
      </c>
      <c r="AO3515">
        <f>IF('01_Вводные'!$B$234="Да",IF(OR('19_Расчет_аналитики'!AO3487=0,16&lt;='01_Вводные'!$B$297),0,'19_Расчет_аналитики'!AO3487*IF('01_Вводные'!$B$239="Да",MeanMinAge16+'19_Расчет_аналитики'!AO3595*SUMIF(ThresholdAge16,"&lt;"&amp;'19_Расчет_аналитики'!AO3595,WeightedRevAge16)-SUMIF(ThresholdAge16,"&lt;"&amp;'19_Расчет_аналитики'!AO3595,WeightedMinAge16),MAX(CapacityAge16*'01_Вводные'!$B$218*'19_Расчет_аналитики'!AO3595,MeanMinAge16))),0)</f>
        <v/>
      </c>
      <c r="AP3515">
        <f>IF('01_Вводные'!$B$234="Да",IF(OR('19_Расчет_аналитики'!AP3487=0,16&lt;='01_Вводные'!$B$297),0,'19_Расчет_аналитики'!AP3487*IF('01_Вводные'!$B$239="Да",MeanMinAge16+'19_Расчет_аналитики'!AP3595*SUMIF(ThresholdAge16,"&lt;"&amp;'19_Расчет_аналитики'!AP3595,WeightedRevAge16)-SUMIF(ThresholdAge16,"&lt;"&amp;'19_Расчет_аналитики'!AP3595,WeightedMinAge16),MAX(CapacityAge16*'01_Вводные'!$B$218*'19_Расчет_аналитики'!AP3595,MeanMinAge16))),0)</f>
        <v/>
      </c>
      <c r="AQ3515">
        <f>IF('01_Вводные'!$B$234="Да",IF(OR('19_Расчет_аналитики'!AQ3487=0,16&lt;='01_Вводные'!$B$297),0,'19_Расчет_аналитики'!AQ3487*IF('01_Вводные'!$B$239="Да",MeanMinAge16+'19_Расчет_аналитики'!AQ3595*SUMIF(ThresholdAge16,"&lt;"&amp;'19_Расчет_аналитики'!AQ3595,WeightedRevAge16)-SUMIF(ThresholdAge16,"&lt;"&amp;'19_Расчет_аналитики'!AQ3595,WeightedMinAge16),MAX(CapacityAge16*'01_Вводные'!$B$218*'19_Расчет_аналитики'!AQ3595,MeanMinAge16))),0)</f>
        <v/>
      </c>
      <c r="AR3515">
        <f>IF('01_Вводные'!$B$234="Да",IF(OR('19_Расчет_аналитики'!AR3487=0,16&lt;='01_Вводные'!$B$297),0,'19_Расчет_аналитики'!AR3487*IF('01_Вводные'!$B$239="Да",MeanMinAge16+'19_Расчет_аналитики'!AR3595*SUMIF(ThresholdAge16,"&lt;"&amp;'19_Расчет_аналитики'!AR3595,WeightedRevAge16)-SUMIF(ThresholdAge16,"&lt;"&amp;'19_Расчет_аналитики'!AR3595,WeightedMinAge16),MAX(CapacityAge16*'01_Вводные'!$B$218*'19_Расчет_аналитики'!AR3595,MeanMinAge16))),0)</f>
        <v/>
      </c>
      <c r="AS3515">
        <f>IF('01_Вводные'!$B$234="Да",IF(OR('19_Расчет_аналитики'!AS3487=0,16&lt;='01_Вводные'!$B$297),0,'19_Расчет_аналитики'!AS3487*IF('01_Вводные'!$B$239="Да",MeanMinAge16+'19_Расчет_аналитики'!AS3595*SUMIF(ThresholdAge16,"&lt;"&amp;'19_Расчет_аналитики'!AS3595,WeightedRevAge16)-SUMIF(ThresholdAge16,"&lt;"&amp;'19_Расчет_аналитики'!AS3595,WeightedMinAge16),MAX(CapacityAge16*'01_Вводные'!$B$218*'19_Расчет_аналитики'!AS3595,MeanMinAge16))),0)</f>
        <v/>
      </c>
      <c r="AT3515">
        <f>IF('01_Вводные'!$B$234="Да",IF(OR('19_Расчет_аналитики'!AT3487=0,16&lt;='01_Вводные'!$B$297),0,'19_Расчет_аналитики'!AT3487*IF('01_Вводные'!$B$239="Да",MeanMinAge16+'19_Расчет_аналитики'!AT3595*SUMIF(ThresholdAge16,"&lt;"&amp;'19_Расчет_аналитики'!AT3595,WeightedRevAge16)-SUMIF(ThresholdAge16,"&lt;"&amp;'19_Расчет_аналитики'!AT3595,WeightedMinAge16),MAX(CapacityAge16*'01_Вводные'!$B$218*'19_Расчет_аналитики'!AT3595,MeanMinAge16))),0)</f>
        <v/>
      </c>
      <c r="AU3515">
        <f>IF('01_Вводные'!$B$234="Да",IF(OR('19_Расчет_аналитики'!AU3487=0,16&lt;='01_Вводные'!$B$297),0,'19_Расчет_аналитики'!AU3487*IF('01_Вводные'!$B$239="Да",MeanMinAge16+'19_Расчет_аналитики'!AU3595*SUMIF(ThresholdAge16,"&lt;"&amp;'19_Расчет_аналитики'!AU3595,WeightedRevAge16)-SUMIF(ThresholdAge16,"&lt;"&amp;'19_Расчет_аналитики'!AU3595,WeightedMinAge16),MAX(CapacityAge16*'01_Вводные'!$B$218*'19_Расчет_аналитики'!AU3595,MeanMinAge16))),0)</f>
        <v/>
      </c>
      <c r="AV3515">
        <f>IF('01_Вводные'!$B$234="Да",IF(OR('19_Расчет_аналитики'!AV3487=0,16&lt;='01_Вводные'!$B$297),0,'19_Расчет_аналитики'!AV3487*IF('01_Вводные'!$B$239="Да",MeanMinAge16+'19_Расчет_аналитики'!AV3595*SUMIF(ThresholdAge16,"&lt;"&amp;'19_Расчет_аналитики'!AV3595,WeightedRevAge16)-SUMIF(ThresholdAge16,"&lt;"&amp;'19_Расчет_аналитики'!AV3595,WeightedMinAge16),MAX(CapacityAge16*'01_Вводные'!$B$218*'19_Расчет_аналитики'!AV3595,MeanMinAge16))),0)</f>
        <v/>
      </c>
      <c r="AW3515">
        <f>IF('01_Вводные'!$B$234="Да",IF(OR('19_Расчет_аналитики'!AW3487=0,16&lt;='01_Вводные'!$B$297),0,'19_Расчет_аналитики'!AW3487*IF('01_Вводные'!$B$239="Да",MeanMinAge16+'19_Расчет_аналитики'!AW3595*SUMIF(ThresholdAge16,"&lt;"&amp;'19_Расчет_аналитики'!AW3595,WeightedRevAge16)-SUMIF(ThresholdAge16,"&lt;"&amp;'19_Расчет_аналитики'!AW3595,WeightedMinAge16),MAX(CapacityAge16*'01_Вводные'!$B$218*'19_Расчет_аналитики'!AW3595,MeanMinAge16))),0)</f>
        <v/>
      </c>
      <c r="AX3515">
        <f>IF('01_Вводные'!$B$234="Да",IF(OR('19_Расчет_аналитики'!AX3487=0,16&lt;='01_Вводные'!$B$297),0,'19_Расчет_аналитики'!AX3487*IF('01_Вводные'!$B$239="Да",MeanMinAge16+'19_Расчет_аналитики'!AX3595*SUMIF(ThresholdAge16,"&lt;"&amp;'19_Расчет_аналитики'!AX3595,WeightedRevAge16)-SUMIF(ThresholdAge16,"&lt;"&amp;'19_Расчет_аналитики'!AX3595,WeightedMinAge16),MAX(CapacityAge16*'01_Вводные'!$B$218*'19_Расчет_аналитики'!AX3595,MeanMinAge16))),0)</f>
        <v/>
      </c>
      <c r="AY3515">
        <f>IF('01_Вводные'!$B$234="Да",IF(OR('19_Расчет_аналитики'!AY3487=0,16&lt;='01_Вводные'!$B$297),0,'19_Расчет_аналитики'!AY3487*IF('01_Вводные'!$B$239="Да",MeanMinAge16+'19_Расчет_аналитики'!AY3595*SUMIF(ThresholdAge16,"&lt;"&amp;'19_Расчет_аналитики'!AY3595,WeightedRevAge16)-SUMIF(ThresholdAge16,"&lt;"&amp;'19_Расчет_аналитики'!AY3595,WeightedMinAge16),MAX(CapacityAge16*'01_Вводные'!$B$218*'19_Расчет_аналитики'!AY3595,MeanMinAge16))),0)</f>
        <v/>
      </c>
      <c r="AZ3515">
        <f>IF('01_Вводные'!$B$234="Да",IF(OR('19_Расчет_аналитики'!AZ3487=0,16&lt;='01_Вводные'!$B$297),0,'19_Расчет_аналитики'!AZ3487*IF('01_Вводные'!$B$239="Да",MeanMinAge16+'19_Расчет_аналитики'!AZ3595*SUMIF(ThresholdAge16,"&lt;"&amp;'19_Расчет_аналитики'!AZ3595,WeightedRevAge16)-SUMIF(ThresholdAge16,"&lt;"&amp;'19_Расчет_аналитики'!AZ3595,WeightedMinAge16),MAX(CapacityAge16*'01_Вводные'!$B$218*'19_Расчет_аналитики'!AZ3595,MeanMinAge16))),0)</f>
        <v/>
      </c>
      <c r="BA3515">
        <f>IF('01_Вводные'!$B$234="Да",IF(OR('19_Расчет_аналитики'!BA3487=0,16&lt;='01_Вводные'!$B$297),0,'19_Расчет_аналитики'!BA3487*IF('01_Вводные'!$B$239="Да",MeanMinAge16+'19_Расчет_аналитики'!BA3595*SUMIF(ThresholdAge16,"&lt;"&amp;'19_Расчет_аналитики'!BA3595,WeightedRevAge16)-SUMIF(ThresholdAge16,"&lt;"&amp;'19_Расчет_аналитики'!BA3595,WeightedMinAge16),MAX(CapacityAge16*'01_Вводные'!$B$218*'19_Расчет_аналитики'!BA3595,MeanMinAge16))),0)</f>
        <v/>
      </c>
      <c r="BB3515">
        <f>IF('01_Вводные'!$B$234="Да",IF(OR('19_Расчет_аналитики'!BB3487=0,16&lt;='01_Вводные'!$B$297),0,'19_Расчет_аналитики'!BB3487*IF('01_Вводные'!$B$239="Да",MeanMinAge16+'19_Расчет_аналитики'!BB3595*SUMIF(ThresholdAge16,"&lt;"&amp;'19_Расчет_аналитики'!BB3595,WeightedRevAge16)-SUMIF(ThresholdAge16,"&lt;"&amp;'19_Расчет_аналитики'!BB3595,WeightedMinAge16),MAX(CapacityAge16*'01_Вводные'!$B$218*'19_Расчет_аналитики'!BB3595,MeanMinAge16))),0)</f>
        <v/>
      </c>
      <c r="BC3515">
        <f>IF('01_Вводные'!$B$234="Да",IF(OR('19_Расчет_аналитики'!BC3487=0,16&lt;='01_Вводные'!$B$297),0,'19_Расчет_аналитики'!BC3487*IF('01_Вводные'!$B$239="Да",MeanMinAge16+'19_Расчет_аналитики'!BC3595*SUMIF(ThresholdAge16,"&lt;"&amp;'19_Расчет_аналитики'!BC3595,WeightedRevAge16)-SUMIF(ThresholdAge16,"&lt;"&amp;'19_Расчет_аналитики'!BC3595,WeightedMinAge16),MAX(CapacityAge16*'01_Вводные'!$B$218*'19_Расчет_аналитики'!BC3595,MeanMinAge16))),0)</f>
        <v/>
      </c>
      <c r="BD3515">
        <f>IF('01_Вводные'!$B$234="Да",IF(OR('19_Расчет_аналитики'!BD3487=0,16&lt;='01_Вводные'!$B$297),0,'19_Расчет_аналитики'!BD3487*IF('01_Вводные'!$B$239="Да",MeanMinAge16+'19_Расчет_аналитики'!BD3595*SUMIF(ThresholdAge16,"&lt;"&amp;'19_Расчет_аналитики'!BD3595,WeightedRevAge16)-SUMIF(ThresholdAge16,"&lt;"&amp;'19_Расчет_аналитики'!BD3595,WeightedMinAge16),MAX(CapacityAge16*'01_Вводные'!$B$218*'19_Расчет_аналитики'!BD3595,MeanMinAge16))),0)</f>
        <v/>
      </c>
      <c r="BE3515">
        <f>IF('01_Вводные'!$B$234="Да",IF(OR('19_Расчет_аналитики'!BE3487=0,16&lt;='01_Вводные'!$B$297),0,'19_Расчет_аналитики'!BE3487*IF('01_Вводные'!$B$239="Да",MeanMinAge16+'19_Расчет_аналитики'!BE3595*SUMIF(ThresholdAge16,"&lt;"&amp;'19_Расчет_аналитики'!BE3595,WeightedRevAge16)-SUMIF(ThresholdAge16,"&lt;"&amp;'19_Расчет_аналитики'!BE3595,WeightedMinAge16),MAX(CapacityAge16*'01_Вводные'!$B$218*'19_Расчет_аналитики'!BE3595,MeanMinAge16))),0)</f>
        <v/>
      </c>
      <c r="BF3515">
        <f>IF('01_Вводные'!$B$234="Да",IF(OR('19_Расчет_аналитики'!BF3487=0,16&lt;='01_Вводные'!$B$297),0,'19_Расчет_аналитики'!BF3487*IF('01_Вводные'!$B$239="Да",MeanMinAge16+'19_Расчет_аналитики'!BF3595*SUMIF(ThresholdAge16,"&lt;"&amp;'19_Расчет_аналитики'!BF3595,WeightedRevAge16)-SUMIF(ThresholdAge16,"&lt;"&amp;'19_Расчет_аналитики'!BF3595,WeightedMinAge16),MAX(CapacityAge16*'01_Вводные'!$B$218*'19_Расчет_аналитики'!BF3595,MeanMinAge16))),0)</f>
        <v/>
      </c>
      <c r="BG3515">
        <f>IF('01_Вводные'!$B$234="Да",IF(OR('19_Расчет_аналитики'!BG3487=0,16&lt;='01_Вводные'!$B$297),0,'19_Расчет_аналитики'!BG3487*IF('01_Вводные'!$B$239="Да",MeanMinAge16+'19_Расчет_аналитики'!BG3595*SUMIF(ThresholdAge16,"&lt;"&amp;'19_Расчет_аналитики'!BG3595,WeightedRevAge16)-SUMIF(ThresholdAge16,"&lt;"&amp;'19_Расчет_аналитики'!BG3595,WeightedMinAge16),MAX(CapacityAge16*'01_Вводные'!$B$218*'19_Расчет_аналитики'!BG3595,MeanMinAge16))),0)</f>
        <v/>
      </c>
      <c r="BH3515">
        <f>IF('01_Вводные'!$B$234="Да",IF(OR('19_Расчет_аналитики'!BH3487=0,16&lt;='01_Вводные'!$B$297),0,'19_Расчет_аналитики'!BH3487*IF('01_Вводные'!$B$239="Да",MeanMinAge16+'19_Расчет_аналитики'!BH3595*SUMIF(ThresholdAge16,"&lt;"&amp;'19_Расчет_аналитики'!BH3595,WeightedRevAge16)-SUMIF(ThresholdAge16,"&lt;"&amp;'19_Расчет_аналитики'!BH3595,WeightedMinAge16),MAX(CapacityAge16*'01_Вводные'!$B$218*'19_Расчет_аналитики'!BH3595,MeanMinAge16))),0)</f>
        <v/>
      </c>
      <c r="BI3515">
        <f>IF('01_Вводные'!$B$234="Да",IF(OR('19_Расчет_аналитики'!BI3487=0,16&lt;='01_Вводные'!$B$297),0,'19_Расчет_аналитики'!BI3487*IF('01_Вводные'!$B$239="Да",MeanMinAge16+'19_Расчет_аналитики'!BI3595*SUMIF(ThresholdAge16,"&lt;"&amp;'19_Расчет_аналитики'!BI3595,WeightedRevAge16)-SUMIF(ThresholdAge16,"&lt;"&amp;'19_Расчет_аналитики'!BI3595,WeightedMinAge16),MAX(CapacityAge16*'01_Вводные'!$B$218*'19_Расчет_аналитики'!BI3595,MeanMinAge16))),0)</f>
        <v/>
      </c>
      <c r="BJ3515">
        <f>IF('01_Вводные'!$B$234="Да",IF(OR('19_Расчет_аналитики'!BJ3487=0,16&lt;='01_Вводные'!$B$297),0,'19_Расчет_аналитики'!BJ3487*IF('01_Вводные'!$B$239="Да",MeanMinAge16+'19_Расчет_аналитики'!BJ3595*SUMIF(ThresholdAge16,"&lt;"&amp;'19_Расчет_аналитики'!BJ3595,WeightedRevAge16)-SUMIF(ThresholdAge16,"&lt;"&amp;'19_Расчет_аналитики'!BJ3595,WeightedMinAge16),MAX(CapacityAge16*'01_Вводные'!$B$218*'19_Расчет_аналитики'!BJ3595,MeanMinAge16))),0)</f>
        <v/>
      </c>
      <c r="BK3515">
        <f>IF('01_Вводные'!$B$234="Да",IF(OR('19_Расчет_аналитики'!BK3487=0,16&lt;='01_Вводные'!$B$297),0,'19_Расчет_аналитики'!BK3487*IF('01_Вводные'!$B$239="Да",MeanMinAge16+'19_Расчет_аналитики'!BK3595*SUMIF(ThresholdAge16,"&lt;"&amp;'19_Расчет_аналитики'!BK3595,WeightedRevAge16)-SUMIF(ThresholdAge16,"&lt;"&amp;'19_Расчет_аналитики'!BK3595,WeightedMinAge16),MAX(CapacityAge16*'01_Вводные'!$B$218*'19_Расчет_аналитики'!BK3595,MeanMinAge16))),0)</f>
        <v/>
      </c>
      <c r="BL3515">
        <f>IF('01_Вводные'!$B$234="Да",IF(OR('19_Расчет_аналитики'!BL3487=0,16&lt;='01_Вводные'!$B$297),0,'19_Расчет_аналитики'!BL3487*IF('01_Вводные'!$B$239="Да",MeanMinAge16+'19_Расчет_аналитики'!BL3595*SUMIF(ThresholdAge16,"&lt;"&amp;'19_Расчет_аналитики'!BL3595,WeightedRevAge16)-SUMIF(ThresholdAge16,"&lt;"&amp;'19_Расчет_аналитики'!BL3595,WeightedMinAge16),MAX(CapacityAge16*'01_Вводные'!$B$218*'19_Расчет_аналитики'!BL3595,MeanMinAge16))),0)</f>
        <v/>
      </c>
      <c r="BM3515">
        <f>IF('01_Вводные'!$B$234="Да",IF(OR('19_Расчет_аналитики'!BM3487=0,16&lt;='01_Вводные'!$B$297),0,'19_Расчет_аналитики'!BM3487*IF('01_Вводные'!$B$239="Да",MeanMinAge16+'19_Расчет_аналитики'!BM3595*SUMIF(ThresholdAge16,"&lt;"&amp;'19_Расчет_аналитики'!BM3595,WeightedRevAge16)-SUMIF(ThresholdAge16,"&lt;"&amp;'19_Расчет_аналитики'!BM3595,WeightedMinAge16),MAX(CapacityAge16*'01_Вводные'!$B$218*'19_Расчет_аналитики'!BM3595,MeanMinAge16))),0)</f>
        <v/>
      </c>
      <c r="BN3515">
        <f>IF('01_Вводные'!$B$234="Да",IF(OR('19_Расчет_аналитики'!BN3487=0,16&lt;='01_Вводные'!$B$297),0,'19_Расчет_аналитики'!BN3487*IF('01_Вводные'!$B$239="Да",MeanMinAge16+'19_Расчет_аналитики'!BN3595*SUMIF(ThresholdAge16,"&lt;"&amp;'19_Расчет_аналитики'!BN3595,WeightedRevAge16)-SUMIF(ThresholdAge16,"&lt;"&amp;'19_Расчет_аналитики'!BN3595,WeightedMinAge16),MAX(CapacityAge16*'01_Вводные'!$B$218*'19_Расчет_аналитики'!BN3595,MeanMinAge16))),0)</f>
        <v/>
      </c>
      <c r="BO3515">
        <f>IF('01_Вводные'!$B$234="Да",IF(OR('19_Расчет_аналитики'!BO3487=0,16&lt;='01_Вводные'!$B$297),0,'19_Расчет_аналитики'!BO3487*IF('01_Вводные'!$B$239="Да",MeanMinAge16+'19_Расчет_аналитики'!BO3595*SUMIF(ThresholdAge16,"&lt;"&amp;'19_Расчет_аналитики'!BO3595,WeightedRevAge16)-SUMIF(ThresholdAge16,"&lt;"&amp;'19_Расчет_аналитики'!BO3595,WeightedMinAge16),MAX(CapacityAge16*'01_Вводные'!$B$218*'19_Расчет_аналитики'!BO3595,MeanMinAge16))),0)</f>
        <v/>
      </c>
    </row>
    <row r="3516">
      <c r="B3516">
        <f>IF('01_Вводные'!$B$234="Да",IF(OR('06_Сеть_и_дети'!B97=0,17&lt;='01_Вводные'!$B$297),0,'06_Сеть_и_дети'!B97*IF('01_Вводные'!$B$239="Да",MeanMinAge17+'19_Расчет_аналитики'!B3595*SUMIF(ThresholdAge17,"&lt;"&amp;'19_Расчет_аналитики'!B3595,WeightedRevAge17)-SUMIF(ThresholdAge17,"&lt;"&amp;'19_Расчет_аналитики'!B3595,WeightedMinAge17),MAX(CapacityAge17*'01_Вводные'!$B$218*'19_Расчет_аналитики'!B3595,MeanMinAge17))),0)</f>
        <v/>
      </c>
      <c r="C3516">
        <f>IF('01_Вводные'!$B$234="Да",IF(OR('06_Сеть_и_дети'!C97=0,17&lt;='01_Вводные'!$B$297),0,'06_Сеть_и_дети'!C97*IF('01_Вводные'!$B$239="Да",MeanMinAge17+'19_Расчет_аналитики'!C3595*SUMIF(ThresholdAge17,"&lt;"&amp;'19_Расчет_аналитики'!C3595,WeightedRevAge17)-SUMIF(ThresholdAge17,"&lt;"&amp;'19_Расчет_аналитики'!C3595,WeightedMinAge17),MAX(CapacityAge17*'01_Вводные'!$B$218*'19_Расчет_аналитики'!C3595,MeanMinAge17))),0)</f>
        <v/>
      </c>
      <c r="D3516">
        <f>IF('01_Вводные'!$B$234="Да",IF(OR('06_Сеть_и_дети'!D97=0,17&lt;='01_Вводные'!$B$297),0,'06_Сеть_и_дети'!D97*IF('01_Вводные'!$B$239="Да",MeanMinAge17+'19_Расчет_аналитики'!D3595*SUMIF(ThresholdAge17,"&lt;"&amp;'19_Расчет_аналитики'!D3595,WeightedRevAge17)-SUMIF(ThresholdAge17,"&lt;"&amp;'19_Расчет_аналитики'!D3595,WeightedMinAge17),MAX(CapacityAge17*'01_Вводные'!$B$218*'19_Расчет_аналитики'!D3595,MeanMinAge17))),0)</f>
        <v/>
      </c>
      <c r="E3516">
        <f>IF('01_Вводные'!$B$234="Да",IF(OR('06_Сеть_и_дети'!E97=0,17&lt;='01_Вводные'!$B$297),0,'06_Сеть_и_дети'!E97*IF('01_Вводные'!$B$239="Да",MeanMinAge17+'19_Расчет_аналитики'!E3595*SUMIF(ThresholdAge17,"&lt;"&amp;'19_Расчет_аналитики'!E3595,WeightedRevAge17)-SUMIF(ThresholdAge17,"&lt;"&amp;'19_Расчет_аналитики'!E3595,WeightedMinAge17),MAX(CapacityAge17*'01_Вводные'!$B$218*'19_Расчет_аналитики'!E3595,MeanMinAge17))),0)</f>
        <v/>
      </c>
      <c r="F3516">
        <f>IF('01_Вводные'!$B$234="Да",IF(OR('06_Сеть_и_дети'!F97=0,17&lt;='01_Вводные'!$B$297),0,'06_Сеть_и_дети'!F97*IF('01_Вводные'!$B$239="Да",MeanMinAge17+'19_Расчет_аналитики'!F3595*SUMIF(ThresholdAge17,"&lt;"&amp;'19_Расчет_аналитики'!F3595,WeightedRevAge17)-SUMIF(ThresholdAge17,"&lt;"&amp;'19_Расчет_аналитики'!F3595,WeightedMinAge17),MAX(CapacityAge17*'01_Вводные'!$B$218*'19_Расчет_аналитики'!F3595,MeanMinAge17))),0)</f>
        <v/>
      </c>
      <c r="G3516">
        <f>IF('01_Вводные'!$B$234="Да",IF(OR('06_Сеть_и_дети'!G97=0,17&lt;='01_Вводные'!$B$297),0,'06_Сеть_и_дети'!G97*IF('01_Вводные'!$B$239="Да",MeanMinAge17+'19_Расчет_аналитики'!G3595*SUMIF(ThresholdAge17,"&lt;"&amp;'19_Расчет_аналитики'!G3595,WeightedRevAge17)-SUMIF(ThresholdAge17,"&lt;"&amp;'19_Расчет_аналитики'!G3595,WeightedMinAge17),MAX(CapacityAge17*'01_Вводные'!$B$218*'19_Расчет_аналитики'!G3595,MeanMinAge17))),0)</f>
        <v/>
      </c>
      <c r="H3516">
        <f>IF('01_Вводные'!$B$234="Да",IF(OR('06_Сеть_и_дети'!H97=0,17&lt;='01_Вводные'!$B$297),0,'06_Сеть_и_дети'!H97*IF('01_Вводные'!$B$239="Да",MeanMinAge17+'19_Расчет_аналитики'!H3595*SUMIF(ThresholdAge17,"&lt;"&amp;'19_Расчет_аналитики'!H3595,WeightedRevAge17)-SUMIF(ThresholdAge17,"&lt;"&amp;'19_Расчет_аналитики'!H3595,WeightedMinAge17),MAX(CapacityAge17*'01_Вводные'!$B$218*'19_Расчет_аналитики'!H3595,MeanMinAge17))),0)</f>
        <v/>
      </c>
      <c r="I3516">
        <f>IF('01_Вводные'!$B$234="Да",IF(OR('06_Сеть_и_дети'!I97=0,17&lt;='01_Вводные'!$B$297),0,'06_Сеть_и_дети'!I97*IF('01_Вводные'!$B$239="Да",MeanMinAge17+'19_Расчет_аналитики'!I3595*SUMIF(ThresholdAge17,"&lt;"&amp;'19_Расчет_аналитики'!I3595,WeightedRevAge17)-SUMIF(ThresholdAge17,"&lt;"&amp;'19_Расчет_аналитики'!I3595,WeightedMinAge17),MAX(CapacityAge17*'01_Вводные'!$B$218*'19_Расчет_аналитики'!I3595,MeanMinAge17))),0)</f>
        <v/>
      </c>
      <c r="J3516">
        <f>IF('01_Вводные'!$B$234="Да",IF(OR('06_Сеть_и_дети'!J97=0,17&lt;='01_Вводные'!$B$297),0,'06_Сеть_и_дети'!J97*IF('01_Вводные'!$B$239="Да",MeanMinAge17+'19_Расчет_аналитики'!J3595*SUMIF(ThresholdAge17,"&lt;"&amp;'19_Расчет_аналитики'!J3595,WeightedRevAge17)-SUMIF(ThresholdAge17,"&lt;"&amp;'19_Расчет_аналитики'!J3595,WeightedMinAge17),MAX(CapacityAge17*'01_Вводные'!$B$218*'19_Расчет_аналитики'!J3595,MeanMinAge17))),0)</f>
        <v/>
      </c>
      <c r="K3516">
        <f>IF('01_Вводные'!$B$234="Да",IF(OR('06_Сеть_и_дети'!K97=0,17&lt;='01_Вводные'!$B$297),0,'06_Сеть_и_дети'!K97*IF('01_Вводные'!$B$239="Да",MeanMinAge17+'19_Расчет_аналитики'!K3595*SUMIF(ThresholdAge17,"&lt;"&amp;'19_Расчет_аналитики'!K3595,WeightedRevAge17)-SUMIF(ThresholdAge17,"&lt;"&amp;'19_Расчет_аналитики'!K3595,WeightedMinAge17),MAX(CapacityAge17*'01_Вводные'!$B$218*'19_Расчет_аналитики'!K3595,MeanMinAge17))),0)</f>
        <v/>
      </c>
      <c r="L3516">
        <f>IF('01_Вводные'!$B$234="Да",IF(OR('06_Сеть_и_дети'!L97=0,17&lt;='01_Вводные'!$B$297),0,'06_Сеть_и_дети'!L97*IF('01_Вводные'!$B$239="Да",MeanMinAge17+'19_Расчет_аналитики'!L3595*SUMIF(ThresholdAge17,"&lt;"&amp;'19_Расчет_аналитики'!L3595,WeightedRevAge17)-SUMIF(ThresholdAge17,"&lt;"&amp;'19_Расчет_аналитики'!L3595,WeightedMinAge17),MAX(CapacityAge17*'01_Вводные'!$B$218*'19_Расчет_аналитики'!L3595,MeanMinAge17))),0)</f>
        <v/>
      </c>
      <c r="M3516">
        <f>IF('01_Вводные'!$B$234="Да",IF(OR('06_Сеть_и_дети'!M97=0,17&lt;='01_Вводные'!$B$297),0,'06_Сеть_и_дети'!M97*IF('01_Вводные'!$B$239="Да",MeanMinAge17+'19_Расчет_аналитики'!M3595*SUMIF(ThresholdAge17,"&lt;"&amp;'19_Расчет_аналитики'!M3595,WeightedRevAge17)-SUMIF(ThresholdAge17,"&lt;"&amp;'19_Расчет_аналитики'!M3595,WeightedMinAge17),MAX(CapacityAge17*'01_Вводные'!$B$218*'19_Расчет_аналитики'!M3595,MeanMinAge17))),0)</f>
        <v/>
      </c>
      <c r="N3516">
        <f>IF('01_Вводные'!$B$234="Да",IF(OR('06_Сеть_и_дети'!N97=0,17&lt;='01_Вводные'!$B$297),0,'06_Сеть_и_дети'!N97*IF('01_Вводные'!$B$239="Да",MeanMinAge17+'19_Расчет_аналитики'!N3595*SUMIF(ThresholdAge17,"&lt;"&amp;'19_Расчет_аналитики'!N3595,WeightedRevAge17)-SUMIF(ThresholdAge17,"&lt;"&amp;'19_Расчет_аналитики'!N3595,WeightedMinAge17),MAX(CapacityAge17*'01_Вводные'!$B$218*'19_Расчет_аналитики'!N3595,MeanMinAge17))),0)</f>
        <v/>
      </c>
      <c r="O3516">
        <f>IF('01_Вводные'!$B$234="Да",IF(OR('06_Сеть_и_дети'!O97=0,17&lt;='01_Вводные'!$B$297),0,'06_Сеть_и_дети'!O97*IF('01_Вводные'!$B$239="Да",MeanMinAge17+'19_Расчет_аналитики'!O3595*SUMIF(ThresholdAge17,"&lt;"&amp;'19_Расчет_аналитики'!O3595,WeightedRevAge17)-SUMIF(ThresholdAge17,"&lt;"&amp;'19_Расчет_аналитики'!O3595,WeightedMinAge17),MAX(CapacityAge17*'01_Вводные'!$B$218*'19_Расчет_аналитики'!O3595,MeanMinAge17))),0)</f>
        <v/>
      </c>
      <c r="P3516">
        <f>IF('01_Вводные'!$B$234="Да",IF(OR('06_Сеть_и_дети'!P97=0,17&lt;='01_Вводные'!$B$297),0,'06_Сеть_и_дети'!P97*IF('01_Вводные'!$B$239="Да",MeanMinAge17+'19_Расчет_аналитики'!P3595*SUMIF(ThresholdAge17,"&lt;"&amp;'19_Расчет_аналитики'!P3595,WeightedRevAge17)-SUMIF(ThresholdAge17,"&lt;"&amp;'19_Расчет_аналитики'!P3595,WeightedMinAge17),MAX(CapacityAge17*'01_Вводные'!$B$218*'19_Расчет_аналитики'!P3595,MeanMinAge17))),0)</f>
        <v/>
      </c>
      <c r="Q3516">
        <f>IF('01_Вводные'!$B$234="Да",IF(OR('06_Сеть_и_дети'!Q97=0,17&lt;='01_Вводные'!$B$297),0,'06_Сеть_и_дети'!Q97*IF('01_Вводные'!$B$239="Да",MeanMinAge17+'19_Расчет_аналитики'!Q3595*SUMIF(ThresholdAge17,"&lt;"&amp;'19_Расчет_аналитики'!Q3595,WeightedRevAge17)-SUMIF(ThresholdAge17,"&lt;"&amp;'19_Расчет_аналитики'!Q3595,WeightedMinAge17),MAX(CapacityAge17*'01_Вводные'!$B$218*'19_Расчет_аналитики'!Q3595,MeanMinAge17))),0)</f>
        <v/>
      </c>
      <c r="R3516">
        <f>IF('01_Вводные'!$B$234="Да",IF(OR('19_Расчет_аналитики'!R3488=0,17&lt;='01_Вводные'!$B$297),0,'19_Расчет_аналитики'!R3488*IF('01_Вводные'!$B$239="Да",MeanMinAge17+'19_Расчет_аналитики'!R3595*SUMIF(ThresholdAge17,"&lt;"&amp;'19_Расчет_аналитики'!R3595,WeightedRevAge17)-SUMIF(ThresholdAge17,"&lt;"&amp;'19_Расчет_аналитики'!R3595,WeightedMinAge17),MAX(CapacityAge17*'01_Вводные'!$B$218*'19_Расчет_аналитики'!R3595,MeanMinAge17))),0)</f>
        <v/>
      </c>
      <c r="S3516">
        <f>IF('01_Вводные'!$B$234="Да",IF(OR('19_Расчет_аналитики'!S3488=0,17&lt;='01_Вводные'!$B$297),0,'19_Расчет_аналитики'!S3488*IF('01_Вводные'!$B$239="Да",MeanMinAge17+'19_Расчет_аналитики'!S3595*SUMIF(ThresholdAge17,"&lt;"&amp;'19_Расчет_аналитики'!S3595,WeightedRevAge17)-SUMIF(ThresholdAge17,"&lt;"&amp;'19_Расчет_аналитики'!S3595,WeightedMinAge17),MAX(CapacityAge17*'01_Вводные'!$B$218*'19_Расчет_аналитики'!S3595,MeanMinAge17))),0)</f>
        <v/>
      </c>
      <c r="T3516">
        <f>IF('01_Вводные'!$B$234="Да",IF(OR('19_Расчет_аналитики'!T3488=0,17&lt;='01_Вводные'!$B$297),0,'19_Расчет_аналитики'!T3488*IF('01_Вводные'!$B$239="Да",MeanMinAge17+'19_Расчет_аналитики'!T3595*SUMIF(ThresholdAge17,"&lt;"&amp;'19_Расчет_аналитики'!T3595,WeightedRevAge17)-SUMIF(ThresholdAge17,"&lt;"&amp;'19_Расчет_аналитики'!T3595,WeightedMinAge17),MAX(CapacityAge17*'01_Вводные'!$B$218*'19_Расчет_аналитики'!T3595,MeanMinAge17))),0)</f>
        <v/>
      </c>
      <c r="U3516">
        <f>IF('01_Вводные'!$B$234="Да",IF(OR('19_Расчет_аналитики'!U3488=0,17&lt;='01_Вводные'!$B$297),0,'19_Расчет_аналитики'!U3488*IF('01_Вводные'!$B$239="Да",MeanMinAge17+'19_Расчет_аналитики'!U3595*SUMIF(ThresholdAge17,"&lt;"&amp;'19_Расчет_аналитики'!U3595,WeightedRevAge17)-SUMIF(ThresholdAge17,"&lt;"&amp;'19_Расчет_аналитики'!U3595,WeightedMinAge17),MAX(CapacityAge17*'01_Вводные'!$B$218*'19_Расчет_аналитики'!U3595,MeanMinAge17))),0)</f>
        <v/>
      </c>
      <c r="V3516">
        <f>IF('01_Вводные'!$B$234="Да",IF(OR('19_Расчет_аналитики'!V3488=0,17&lt;='01_Вводные'!$B$297),0,'19_Расчет_аналитики'!V3488*IF('01_Вводные'!$B$239="Да",MeanMinAge17+'19_Расчет_аналитики'!V3595*SUMIF(ThresholdAge17,"&lt;"&amp;'19_Расчет_аналитики'!V3595,WeightedRevAge17)-SUMIF(ThresholdAge17,"&lt;"&amp;'19_Расчет_аналитики'!V3595,WeightedMinAge17),MAX(CapacityAge17*'01_Вводные'!$B$218*'19_Расчет_аналитики'!V3595,MeanMinAge17))),0)</f>
        <v/>
      </c>
      <c r="W3516">
        <f>IF('01_Вводные'!$B$234="Да",IF(OR('19_Расчет_аналитики'!W3488=0,17&lt;='01_Вводные'!$B$297),0,'19_Расчет_аналитики'!W3488*IF('01_Вводные'!$B$239="Да",MeanMinAge17+'19_Расчет_аналитики'!W3595*SUMIF(ThresholdAge17,"&lt;"&amp;'19_Расчет_аналитики'!W3595,WeightedRevAge17)-SUMIF(ThresholdAge17,"&lt;"&amp;'19_Расчет_аналитики'!W3595,WeightedMinAge17),MAX(CapacityAge17*'01_Вводные'!$B$218*'19_Расчет_аналитики'!W3595,MeanMinAge17))),0)</f>
        <v/>
      </c>
      <c r="X3516">
        <f>IF('01_Вводные'!$B$234="Да",IF(OR('19_Расчет_аналитики'!X3488=0,17&lt;='01_Вводные'!$B$297),0,'19_Расчет_аналитики'!X3488*IF('01_Вводные'!$B$239="Да",MeanMinAge17+'19_Расчет_аналитики'!X3595*SUMIF(ThresholdAge17,"&lt;"&amp;'19_Расчет_аналитики'!X3595,WeightedRevAge17)-SUMIF(ThresholdAge17,"&lt;"&amp;'19_Расчет_аналитики'!X3595,WeightedMinAge17),MAX(CapacityAge17*'01_Вводные'!$B$218*'19_Расчет_аналитики'!X3595,MeanMinAge17))),0)</f>
        <v/>
      </c>
      <c r="Y3516">
        <f>IF('01_Вводные'!$B$234="Да",IF(OR('19_Расчет_аналитики'!Y3488=0,17&lt;='01_Вводные'!$B$297),0,'19_Расчет_аналитики'!Y3488*IF('01_Вводные'!$B$239="Да",MeanMinAge17+'19_Расчет_аналитики'!Y3595*SUMIF(ThresholdAge17,"&lt;"&amp;'19_Расчет_аналитики'!Y3595,WeightedRevAge17)-SUMIF(ThresholdAge17,"&lt;"&amp;'19_Расчет_аналитики'!Y3595,WeightedMinAge17),MAX(CapacityAge17*'01_Вводные'!$B$218*'19_Расчет_аналитики'!Y3595,MeanMinAge17))),0)</f>
        <v/>
      </c>
      <c r="Z3516">
        <f>IF('01_Вводные'!$B$234="Да",IF(OR('19_Расчет_аналитики'!Z3488=0,17&lt;='01_Вводные'!$B$297),0,'19_Расчет_аналитики'!Z3488*IF('01_Вводные'!$B$239="Да",MeanMinAge17+'19_Расчет_аналитики'!Z3595*SUMIF(ThresholdAge17,"&lt;"&amp;'19_Расчет_аналитики'!Z3595,WeightedRevAge17)-SUMIF(ThresholdAge17,"&lt;"&amp;'19_Расчет_аналитики'!Z3595,WeightedMinAge17),MAX(CapacityAge17*'01_Вводные'!$B$218*'19_Расчет_аналитики'!Z3595,MeanMinAge17))),0)</f>
        <v/>
      </c>
      <c r="AA3516">
        <f>IF('01_Вводные'!$B$234="Да",IF(OR('19_Расчет_аналитики'!AA3488=0,17&lt;='01_Вводные'!$B$297),0,'19_Расчет_аналитики'!AA3488*IF('01_Вводные'!$B$239="Да",MeanMinAge17+'19_Расчет_аналитики'!AA3595*SUMIF(ThresholdAge17,"&lt;"&amp;'19_Расчет_аналитики'!AA3595,WeightedRevAge17)-SUMIF(ThresholdAge17,"&lt;"&amp;'19_Расчет_аналитики'!AA3595,WeightedMinAge17),MAX(CapacityAge17*'01_Вводные'!$B$218*'19_Расчет_аналитики'!AA3595,MeanMinAge17))),0)</f>
        <v/>
      </c>
      <c r="AB3516">
        <f>IF('01_Вводные'!$B$234="Да",IF(OR('19_Расчет_аналитики'!AB3488=0,17&lt;='01_Вводные'!$B$297),0,'19_Расчет_аналитики'!AB3488*IF('01_Вводные'!$B$239="Да",MeanMinAge17+'19_Расчет_аналитики'!AB3595*SUMIF(ThresholdAge17,"&lt;"&amp;'19_Расчет_аналитики'!AB3595,WeightedRevAge17)-SUMIF(ThresholdAge17,"&lt;"&amp;'19_Расчет_аналитики'!AB3595,WeightedMinAge17),MAX(CapacityAge17*'01_Вводные'!$B$218*'19_Расчет_аналитики'!AB3595,MeanMinAge17))),0)</f>
        <v/>
      </c>
      <c r="AC3516">
        <f>IF('01_Вводные'!$B$234="Да",IF(OR('19_Расчет_аналитики'!AC3488=0,17&lt;='01_Вводные'!$B$297),0,'19_Расчет_аналитики'!AC3488*IF('01_Вводные'!$B$239="Да",MeanMinAge17+'19_Расчет_аналитики'!AC3595*SUMIF(ThresholdAge17,"&lt;"&amp;'19_Расчет_аналитики'!AC3595,WeightedRevAge17)-SUMIF(ThresholdAge17,"&lt;"&amp;'19_Расчет_аналитики'!AC3595,WeightedMinAge17),MAX(CapacityAge17*'01_Вводные'!$B$218*'19_Расчет_аналитики'!AC3595,MeanMinAge17))),0)</f>
        <v/>
      </c>
      <c r="AD3516">
        <f>IF('01_Вводные'!$B$234="Да",IF(OR('19_Расчет_аналитики'!AD3488=0,17&lt;='01_Вводные'!$B$297),0,'19_Расчет_аналитики'!AD3488*IF('01_Вводные'!$B$239="Да",MeanMinAge17+'19_Расчет_аналитики'!AD3595*SUMIF(ThresholdAge17,"&lt;"&amp;'19_Расчет_аналитики'!AD3595,WeightedRevAge17)-SUMIF(ThresholdAge17,"&lt;"&amp;'19_Расчет_аналитики'!AD3595,WeightedMinAge17),MAX(CapacityAge17*'01_Вводные'!$B$218*'19_Расчет_аналитики'!AD3595,MeanMinAge17))),0)</f>
        <v/>
      </c>
      <c r="AE3516">
        <f>IF('01_Вводные'!$B$234="Да",IF(OR('19_Расчет_аналитики'!AE3488=0,17&lt;='01_Вводные'!$B$297),0,'19_Расчет_аналитики'!AE3488*IF('01_Вводные'!$B$239="Да",MeanMinAge17+'19_Расчет_аналитики'!AE3595*SUMIF(ThresholdAge17,"&lt;"&amp;'19_Расчет_аналитики'!AE3595,WeightedRevAge17)-SUMIF(ThresholdAge17,"&lt;"&amp;'19_Расчет_аналитики'!AE3595,WeightedMinAge17),MAX(CapacityAge17*'01_Вводные'!$B$218*'19_Расчет_аналитики'!AE3595,MeanMinAge17))),0)</f>
        <v/>
      </c>
      <c r="AF3516">
        <f>IF('01_Вводные'!$B$234="Да",IF(OR('19_Расчет_аналитики'!AF3488=0,17&lt;='01_Вводные'!$B$297),0,'19_Расчет_аналитики'!AF3488*IF('01_Вводные'!$B$239="Да",MeanMinAge17+'19_Расчет_аналитики'!AF3595*SUMIF(ThresholdAge17,"&lt;"&amp;'19_Расчет_аналитики'!AF3595,WeightedRevAge17)-SUMIF(ThresholdAge17,"&lt;"&amp;'19_Расчет_аналитики'!AF3595,WeightedMinAge17),MAX(CapacityAge17*'01_Вводные'!$B$218*'19_Расчет_аналитики'!AF3595,MeanMinAge17))),0)</f>
        <v/>
      </c>
      <c r="AG3516">
        <f>IF('01_Вводные'!$B$234="Да",IF(OR('19_Расчет_аналитики'!AG3488=0,17&lt;='01_Вводные'!$B$297),0,'19_Расчет_аналитики'!AG3488*IF('01_Вводные'!$B$239="Да",MeanMinAge17+'19_Расчет_аналитики'!AG3595*SUMIF(ThresholdAge17,"&lt;"&amp;'19_Расчет_аналитики'!AG3595,WeightedRevAge17)-SUMIF(ThresholdAge17,"&lt;"&amp;'19_Расчет_аналитики'!AG3595,WeightedMinAge17),MAX(CapacityAge17*'01_Вводные'!$B$218*'19_Расчет_аналитики'!AG3595,MeanMinAge17))),0)</f>
        <v/>
      </c>
      <c r="AH3516">
        <f>IF('01_Вводные'!$B$234="Да",IF(OR('19_Расчет_аналитики'!AH3488=0,17&lt;='01_Вводные'!$B$297),0,'19_Расчет_аналитики'!AH3488*IF('01_Вводные'!$B$239="Да",MeanMinAge17+'19_Расчет_аналитики'!AH3595*SUMIF(ThresholdAge17,"&lt;"&amp;'19_Расчет_аналитики'!AH3595,WeightedRevAge17)-SUMIF(ThresholdAge17,"&lt;"&amp;'19_Расчет_аналитики'!AH3595,WeightedMinAge17),MAX(CapacityAge17*'01_Вводные'!$B$218*'19_Расчет_аналитики'!AH3595,MeanMinAge17))),0)</f>
        <v/>
      </c>
      <c r="AI3516">
        <f>IF('01_Вводные'!$B$234="Да",IF(OR('19_Расчет_аналитики'!AI3488=0,17&lt;='01_Вводные'!$B$297),0,'19_Расчет_аналитики'!AI3488*IF('01_Вводные'!$B$239="Да",MeanMinAge17+'19_Расчет_аналитики'!AI3595*SUMIF(ThresholdAge17,"&lt;"&amp;'19_Расчет_аналитики'!AI3595,WeightedRevAge17)-SUMIF(ThresholdAge17,"&lt;"&amp;'19_Расчет_аналитики'!AI3595,WeightedMinAge17),MAX(CapacityAge17*'01_Вводные'!$B$218*'19_Расчет_аналитики'!AI3595,MeanMinAge17))),0)</f>
        <v/>
      </c>
      <c r="AJ3516">
        <f>IF('01_Вводные'!$B$234="Да",IF(OR('19_Расчет_аналитики'!AJ3488=0,17&lt;='01_Вводные'!$B$297),0,'19_Расчет_аналитики'!AJ3488*IF('01_Вводные'!$B$239="Да",MeanMinAge17+'19_Расчет_аналитики'!AJ3595*SUMIF(ThresholdAge17,"&lt;"&amp;'19_Расчет_аналитики'!AJ3595,WeightedRevAge17)-SUMIF(ThresholdAge17,"&lt;"&amp;'19_Расчет_аналитики'!AJ3595,WeightedMinAge17),MAX(CapacityAge17*'01_Вводные'!$B$218*'19_Расчет_аналитики'!AJ3595,MeanMinAge17))),0)</f>
        <v/>
      </c>
      <c r="AK3516">
        <f>IF('01_Вводные'!$B$234="Да",IF(OR('19_Расчет_аналитики'!AK3488=0,17&lt;='01_Вводные'!$B$297),0,'19_Расчет_аналитики'!AK3488*IF('01_Вводные'!$B$239="Да",MeanMinAge17+'19_Расчет_аналитики'!AK3595*SUMIF(ThresholdAge17,"&lt;"&amp;'19_Расчет_аналитики'!AK3595,WeightedRevAge17)-SUMIF(ThresholdAge17,"&lt;"&amp;'19_Расчет_аналитики'!AK3595,WeightedMinAge17),MAX(CapacityAge17*'01_Вводные'!$B$218*'19_Расчет_аналитики'!AK3595,MeanMinAge17))),0)</f>
        <v/>
      </c>
      <c r="AL3516">
        <f>IF('01_Вводные'!$B$234="Да",IF(OR('19_Расчет_аналитики'!AL3488=0,17&lt;='01_Вводные'!$B$297),0,'19_Расчет_аналитики'!AL3488*IF('01_Вводные'!$B$239="Да",MeanMinAge17+'19_Расчет_аналитики'!AL3595*SUMIF(ThresholdAge17,"&lt;"&amp;'19_Расчет_аналитики'!AL3595,WeightedRevAge17)-SUMIF(ThresholdAge17,"&lt;"&amp;'19_Расчет_аналитики'!AL3595,WeightedMinAge17),MAX(CapacityAge17*'01_Вводные'!$B$218*'19_Расчет_аналитики'!AL3595,MeanMinAge17))),0)</f>
        <v/>
      </c>
      <c r="AM3516">
        <f>IF('01_Вводные'!$B$234="Да",IF(OR('19_Расчет_аналитики'!AM3488=0,17&lt;='01_Вводные'!$B$297),0,'19_Расчет_аналитики'!AM3488*IF('01_Вводные'!$B$239="Да",MeanMinAge17+'19_Расчет_аналитики'!AM3595*SUMIF(ThresholdAge17,"&lt;"&amp;'19_Расчет_аналитики'!AM3595,WeightedRevAge17)-SUMIF(ThresholdAge17,"&lt;"&amp;'19_Расчет_аналитики'!AM3595,WeightedMinAge17),MAX(CapacityAge17*'01_Вводные'!$B$218*'19_Расчет_аналитики'!AM3595,MeanMinAge17))),0)</f>
        <v/>
      </c>
      <c r="AN3516">
        <f>IF('01_Вводные'!$B$234="Да",IF(OR('19_Расчет_аналитики'!AN3488=0,17&lt;='01_Вводные'!$B$297),0,'19_Расчет_аналитики'!AN3488*IF('01_Вводные'!$B$239="Да",MeanMinAge17+'19_Расчет_аналитики'!AN3595*SUMIF(ThresholdAge17,"&lt;"&amp;'19_Расчет_аналитики'!AN3595,WeightedRevAge17)-SUMIF(ThresholdAge17,"&lt;"&amp;'19_Расчет_аналитики'!AN3595,WeightedMinAge17),MAX(CapacityAge17*'01_Вводные'!$B$218*'19_Расчет_аналитики'!AN3595,MeanMinAge17))),0)</f>
        <v/>
      </c>
      <c r="AO3516">
        <f>IF('01_Вводные'!$B$234="Да",IF(OR('19_Расчет_аналитики'!AO3488=0,17&lt;='01_Вводные'!$B$297),0,'19_Расчет_аналитики'!AO3488*IF('01_Вводные'!$B$239="Да",MeanMinAge17+'19_Расчет_аналитики'!AO3595*SUMIF(ThresholdAge17,"&lt;"&amp;'19_Расчет_аналитики'!AO3595,WeightedRevAge17)-SUMIF(ThresholdAge17,"&lt;"&amp;'19_Расчет_аналитики'!AO3595,WeightedMinAge17),MAX(CapacityAge17*'01_Вводные'!$B$218*'19_Расчет_аналитики'!AO3595,MeanMinAge17))),0)</f>
        <v/>
      </c>
      <c r="AP3516">
        <f>IF('01_Вводные'!$B$234="Да",IF(OR('19_Расчет_аналитики'!AP3488=0,17&lt;='01_Вводные'!$B$297),0,'19_Расчет_аналитики'!AP3488*IF('01_Вводные'!$B$239="Да",MeanMinAge17+'19_Расчет_аналитики'!AP3595*SUMIF(ThresholdAge17,"&lt;"&amp;'19_Расчет_аналитики'!AP3595,WeightedRevAge17)-SUMIF(ThresholdAge17,"&lt;"&amp;'19_Расчет_аналитики'!AP3595,WeightedMinAge17),MAX(CapacityAge17*'01_Вводные'!$B$218*'19_Расчет_аналитики'!AP3595,MeanMinAge17))),0)</f>
        <v/>
      </c>
      <c r="AQ3516">
        <f>IF('01_Вводные'!$B$234="Да",IF(OR('19_Расчет_аналитики'!AQ3488=0,17&lt;='01_Вводные'!$B$297),0,'19_Расчет_аналитики'!AQ3488*IF('01_Вводные'!$B$239="Да",MeanMinAge17+'19_Расчет_аналитики'!AQ3595*SUMIF(ThresholdAge17,"&lt;"&amp;'19_Расчет_аналитики'!AQ3595,WeightedRevAge17)-SUMIF(ThresholdAge17,"&lt;"&amp;'19_Расчет_аналитики'!AQ3595,WeightedMinAge17),MAX(CapacityAge17*'01_Вводные'!$B$218*'19_Расчет_аналитики'!AQ3595,MeanMinAge17))),0)</f>
        <v/>
      </c>
      <c r="AR3516">
        <f>IF('01_Вводные'!$B$234="Да",IF(OR('19_Расчет_аналитики'!AR3488=0,17&lt;='01_Вводные'!$B$297),0,'19_Расчет_аналитики'!AR3488*IF('01_Вводные'!$B$239="Да",MeanMinAge17+'19_Расчет_аналитики'!AR3595*SUMIF(ThresholdAge17,"&lt;"&amp;'19_Расчет_аналитики'!AR3595,WeightedRevAge17)-SUMIF(ThresholdAge17,"&lt;"&amp;'19_Расчет_аналитики'!AR3595,WeightedMinAge17),MAX(CapacityAge17*'01_Вводные'!$B$218*'19_Расчет_аналитики'!AR3595,MeanMinAge17))),0)</f>
        <v/>
      </c>
      <c r="AS3516">
        <f>IF('01_Вводные'!$B$234="Да",IF(OR('19_Расчет_аналитики'!AS3488=0,17&lt;='01_Вводные'!$B$297),0,'19_Расчет_аналитики'!AS3488*IF('01_Вводные'!$B$239="Да",MeanMinAge17+'19_Расчет_аналитики'!AS3595*SUMIF(ThresholdAge17,"&lt;"&amp;'19_Расчет_аналитики'!AS3595,WeightedRevAge17)-SUMIF(ThresholdAge17,"&lt;"&amp;'19_Расчет_аналитики'!AS3595,WeightedMinAge17),MAX(CapacityAge17*'01_Вводные'!$B$218*'19_Расчет_аналитики'!AS3595,MeanMinAge17))),0)</f>
        <v/>
      </c>
      <c r="AT3516">
        <f>IF('01_Вводные'!$B$234="Да",IF(OR('19_Расчет_аналитики'!AT3488=0,17&lt;='01_Вводные'!$B$297),0,'19_Расчет_аналитики'!AT3488*IF('01_Вводные'!$B$239="Да",MeanMinAge17+'19_Расчет_аналитики'!AT3595*SUMIF(ThresholdAge17,"&lt;"&amp;'19_Расчет_аналитики'!AT3595,WeightedRevAge17)-SUMIF(ThresholdAge17,"&lt;"&amp;'19_Расчет_аналитики'!AT3595,WeightedMinAge17),MAX(CapacityAge17*'01_Вводные'!$B$218*'19_Расчет_аналитики'!AT3595,MeanMinAge17))),0)</f>
        <v/>
      </c>
      <c r="AU3516">
        <f>IF('01_Вводные'!$B$234="Да",IF(OR('19_Расчет_аналитики'!AU3488=0,17&lt;='01_Вводные'!$B$297),0,'19_Расчет_аналитики'!AU3488*IF('01_Вводные'!$B$239="Да",MeanMinAge17+'19_Расчет_аналитики'!AU3595*SUMIF(ThresholdAge17,"&lt;"&amp;'19_Расчет_аналитики'!AU3595,WeightedRevAge17)-SUMIF(ThresholdAge17,"&lt;"&amp;'19_Расчет_аналитики'!AU3595,WeightedMinAge17),MAX(CapacityAge17*'01_Вводные'!$B$218*'19_Расчет_аналитики'!AU3595,MeanMinAge17))),0)</f>
        <v/>
      </c>
      <c r="AV3516">
        <f>IF('01_Вводные'!$B$234="Да",IF(OR('19_Расчет_аналитики'!AV3488=0,17&lt;='01_Вводные'!$B$297),0,'19_Расчет_аналитики'!AV3488*IF('01_Вводные'!$B$239="Да",MeanMinAge17+'19_Расчет_аналитики'!AV3595*SUMIF(ThresholdAge17,"&lt;"&amp;'19_Расчет_аналитики'!AV3595,WeightedRevAge17)-SUMIF(ThresholdAge17,"&lt;"&amp;'19_Расчет_аналитики'!AV3595,WeightedMinAge17),MAX(CapacityAge17*'01_Вводные'!$B$218*'19_Расчет_аналитики'!AV3595,MeanMinAge17))),0)</f>
        <v/>
      </c>
      <c r="AW3516">
        <f>IF('01_Вводные'!$B$234="Да",IF(OR('19_Расчет_аналитики'!AW3488=0,17&lt;='01_Вводные'!$B$297),0,'19_Расчет_аналитики'!AW3488*IF('01_Вводные'!$B$239="Да",MeanMinAge17+'19_Расчет_аналитики'!AW3595*SUMIF(ThresholdAge17,"&lt;"&amp;'19_Расчет_аналитики'!AW3595,WeightedRevAge17)-SUMIF(ThresholdAge17,"&lt;"&amp;'19_Расчет_аналитики'!AW3595,WeightedMinAge17),MAX(CapacityAge17*'01_Вводные'!$B$218*'19_Расчет_аналитики'!AW3595,MeanMinAge17))),0)</f>
        <v/>
      </c>
      <c r="AX3516">
        <f>IF('01_Вводные'!$B$234="Да",IF(OR('19_Расчет_аналитики'!AX3488=0,17&lt;='01_Вводные'!$B$297),0,'19_Расчет_аналитики'!AX3488*IF('01_Вводные'!$B$239="Да",MeanMinAge17+'19_Расчет_аналитики'!AX3595*SUMIF(ThresholdAge17,"&lt;"&amp;'19_Расчет_аналитики'!AX3595,WeightedRevAge17)-SUMIF(ThresholdAge17,"&lt;"&amp;'19_Расчет_аналитики'!AX3595,WeightedMinAge17),MAX(CapacityAge17*'01_Вводные'!$B$218*'19_Расчет_аналитики'!AX3595,MeanMinAge17))),0)</f>
        <v/>
      </c>
      <c r="AY3516">
        <f>IF('01_Вводные'!$B$234="Да",IF(OR('19_Расчет_аналитики'!AY3488=0,17&lt;='01_Вводные'!$B$297),0,'19_Расчет_аналитики'!AY3488*IF('01_Вводные'!$B$239="Да",MeanMinAge17+'19_Расчет_аналитики'!AY3595*SUMIF(ThresholdAge17,"&lt;"&amp;'19_Расчет_аналитики'!AY3595,WeightedRevAge17)-SUMIF(ThresholdAge17,"&lt;"&amp;'19_Расчет_аналитики'!AY3595,WeightedMinAge17),MAX(CapacityAge17*'01_Вводные'!$B$218*'19_Расчет_аналитики'!AY3595,MeanMinAge17))),0)</f>
        <v/>
      </c>
      <c r="AZ3516">
        <f>IF('01_Вводные'!$B$234="Да",IF(OR('19_Расчет_аналитики'!AZ3488=0,17&lt;='01_Вводные'!$B$297),0,'19_Расчет_аналитики'!AZ3488*IF('01_Вводные'!$B$239="Да",MeanMinAge17+'19_Расчет_аналитики'!AZ3595*SUMIF(ThresholdAge17,"&lt;"&amp;'19_Расчет_аналитики'!AZ3595,WeightedRevAge17)-SUMIF(ThresholdAge17,"&lt;"&amp;'19_Расчет_аналитики'!AZ3595,WeightedMinAge17),MAX(CapacityAge17*'01_Вводные'!$B$218*'19_Расчет_аналитики'!AZ3595,MeanMinAge17))),0)</f>
        <v/>
      </c>
      <c r="BA3516">
        <f>IF('01_Вводные'!$B$234="Да",IF(OR('19_Расчет_аналитики'!BA3488=0,17&lt;='01_Вводные'!$B$297),0,'19_Расчет_аналитики'!BA3488*IF('01_Вводные'!$B$239="Да",MeanMinAge17+'19_Расчет_аналитики'!BA3595*SUMIF(ThresholdAge17,"&lt;"&amp;'19_Расчет_аналитики'!BA3595,WeightedRevAge17)-SUMIF(ThresholdAge17,"&lt;"&amp;'19_Расчет_аналитики'!BA3595,WeightedMinAge17),MAX(CapacityAge17*'01_Вводные'!$B$218*'19_Расчет_аналитики'!BA3595,MeanMinAge17))),0)</f>
        <v/>
      </c>
      <c r="BB3516">
        <f>IF('01_Вводные'!$B$234="Да",IF(OR('19_Расчет_аналитики'!BB3488=0,17&lt;='01_Вводные'!$B$297),0,'19_Расчет_аналитики'!BB3488*IF('01_Вводные'!$B$239="Да",MeanMinAge17+'19_Расчет_аналитики'!BB3595*SUMIF(ThresholdAge17,"&lt;"&amp;'19_Расчет_аналитики'!BB3595,WeightedRevAge17)-SUMIF(ThresholdAge17,"&lt;"&amp;'19_Расчет_аналитики'!BB3595,WeightedMinAge17),MAX(CapacityAge17*'01_Вводные'!$B$218*'19_Расчет_аналитики'!BB3595,MeanMinAge17))),0)</f>
        <v/>
      </c>
      <c r="BC3516">
        <f>IF('01_Вводные'!$B$234="Да",IF(OR('19_Расчет_аналитики'!BC3488=0,17&lt;='01_Вводные'!$B$297),0,'19_Расчет_аналитики'!BC3488*IF('01_Вводные'!$B$239="Да",MeanMinAge17+'19_Расчет_аналитики'!BC3595*SUMIF(ThresholdAge17,"&lt;"&amp;'19_Расчет_аналитики'!BC3595,WeightedRevAge17)-SUMIF(ThresholdAge17,"&lt;"&amp;'19_Расчет_аналитики'!BC3595,WeightedMinAge17),MAX(CapacityAge17*'01_Вводные'!$B$218*'19_Расчет_аналитики'!BC3595,MeanMinAge17))),0)</f>
        <v/>
      </c>
      <c r="BD3516">
        <f>IF('01_Вводные'!$B$234="Да",IF(OR('19_Расчет_аналитики'!BD3488=0,17&lt;='01_Вводные'!$B$297),0,'19_Расчет_аналитики'!BD3488*IF('01_Вводные'!$B$239="Да",MeanMinAge17+'19_Расчет_аналитики'!BD3595*SUMIF(ThresholdAge17,"&lt;"&amp;'19_Расчет_аналитики'!BD3595,WeightedRevAge17)-SUMIF(ThresholdAge17,"&lt;"&amp;'19_Расчет_аналитики'!BD3595,WeightedMinAge17),MAX(CapacityAge17*'01_Вводные'!$B$218*'19_Расчет_аналитики'!BD3595,MeanMinAge17))),0)</f>
        <v/>
      </c>
      <c r="BE3516">
        <f>IF('01_Вводные'!$B$234="Да",IF(OR('19_Расчет_аналитики'!BE3488=0,17&lt;='01_Вводные'!$B$297),0,'19_Расчет_аналитики'!BE3488*IF('01_Вводные'!$B$239="Да",MeanMinAge17+'19_Расчет_аналитики'!BE3595*SUMIF(ThresholdAge17,"&lt;"&amp;'19_Расчет_аналитики'!BE3595,WeightedRevAge17)-SUMIF(ThresholdAge17,"&lt;"&amp;'19_Расчет_аналитики'!BE3595,WeightedMinAge17),MAX(CapacityAge17*'01_Вводные'!$B$218*'19_Расчет_аналитики'!BE3595,MeanMinAge17))),0)</f>
        <v/>
      </c>
      <c r="BF3516">
        <f>IF('01_Вводные'!$B$234="Да",IF(OR('19_Расчет_аналитики'!BF3488=0,17&lt;='01_Вводные'!$B$297),0,'19_Расчет_аналитики'!BF3488*IF('01_Вводные'!$B$239="Да",MeanMinAge17+'19_Расчет_аналитики'!BF3595*SUMIF(ThresholdAge17,"&lt;"&amp;'19_Расчет_аналитики'!BF3595,WeightedRevAge17)-SUMIF(ThresholdAge17,"&lt;"&amp;'19_Расчет_аналитики'!BF3595,WeightedMinAge17),MAX(CapacityAge17*'01_Вводные'!$B$218*'19_Расчет_аналитики'!BF3595,MeanMinAge17))),0)</f>
        <v/>
      </c>
      <c r="BG3516">
        <f>IF('01_Вводные'!$B$234="Да",IF(OR('19_Расчет_аналитики'!BG3488=0,17&lt;='01_Вводные'!$B$297),0,'19_Расчет_аналитики'!BG3488*IF('01_Вводные'!$B$239="Да",MeanMinAge17+'19_Расчет_аналитики'!BG3595*SUMIF(ThresholdAge17,"&lt;"&amp;'19_Расчет_аналитики'!BG3595,WeightedRevAge17)-SUMIF(ThresholdAge17,"&lt;"&amp;'19_Расчет_аналитики'!BG3595,WeightedMinAge17),MAX(CapacityAge17*'01_Вводные'!$B$218*'19_Расчет_аналитики'!BG3595,MeanMinAge17))),0)</f>
        <v/>
      </c>
      <c r="BH3516">
        <f>IF('01_Вводные'!$B$234="Да",IF(OR('19_Расчет_аналитики'!BH3488=0,17&lt;='01_Вводные'!$B$297),0,'19_Расчет_аналитики'!BH3488*IF('01_Вводные'!$B$239="Да",MeanMinAge17+'19_Расчет_аналитики'!BH3595*SUMIF(ThresholdAge17,"&lt;"&amp;'19_Расчет_аналитики'!BH3595,WeightedRevAge17)-SUMIF(ThresholdAge17,"&lt;"&amp;'19_Расчет_аналитики'!BH3595,WeightedMinAge17),MAX(CapacityAge17*'01_Вводные'!$B$218*'19_Расчет_аналитики'!BH3595,MeanMinAge17))),0)</f>
        <v/>
      </c>
      <c r="BI3516">
        <f>IF('01_Вводные'!$B$234="Да",IF(OR('19_Расчет_аналитики'!BI3488=0,17&lt;='01_Вводные'!$B$297),0,'19_Расчет_аналитики'!BI3488*IF('01_Вводные'!$B$239="Да",MeanMinAge17+'19_Расчет_аналитики'!BI3595*SUMIF(ThresholdAge17,"&lt;"&amp;'19_Расчет_аналитики'!BI3595,WeightedRevAge17)-SUMIF(ThresholdAge17,"&lt;"&amp;'19_Расчет_аналитики'!BI3595,WeightedMinAge17),MAX(CapacityAge17*'01_Вводные'!$B$218*'19_Расчет_аналитики'!BI3595,MeanMinAge17))),0)</f>
        <v/>
      </c>
      <c r="BJ3516">
        <f>IF('01_Вводные'!$B$234="Да",IF(OR('19_Расчет_аналитики'!BJ3488=0,17&lt;='01_Вводные'!$B$297),0,'19_Расчет_аналитики'!BJ3488*IF('01_Вводные'!$B$239="Да",MeanMinAge17+'19_Расчет_аналитики'!BJ3595*SUMIF(ThresholdAge17,"&lt;"&amp;'19_Расчет_аналитики'!BJ3595,WeightedRevAge17)-SUMIF(ThresholdAge17,"&lt;"&amp;'19_Расчет_аналитики'!BJ3595,WeightedMinAge17),MAX(CapacityAge17*'01_Вводные'!$B$218*'19_Расчет_аналитики'!BJ3595,MeanMinAge17))),0)</f>
        <v/>
      </c>
      <c r="BK3516">
        <f>IF('01_Вводные'!$B$234="Да",IF(OR('19_Расчет_аналитики'!BK3488=0,17&lt;='01_Вводные'!$B$297),0,'19_Расчет_аналитики'!BK3488*IF('01_Вводные'!$B$239="Да",MeanMinAge17+'19_Расчет_аналитики'!BK3595*SUMIF(ThresholdAge17,"&lt;"&amp;'19_Расчет_аналитики'!BK3595,WeightedRevAge17)-SUMIF(ThresholdAge17,"&lt;"&amp;'19_Расчет_аналитики'!BK3595,WeightedMinAge17),MAX(CapacityAge17*'01_Вводные'!$B$218*'19_Расчет_аналитики'!BK3595,MeanMinAge17))),0)</f>
        <v/>
      </c>
      <c r="BL3516">
        <f>IF('01_Вводные'!$B$234="Да",IF(OR('19_Расчет_аналитики'!BL3488=0,17&lt;='01_Вводные'!$B$297),0,'19_Расчет_аналитики'!BL3488*IF('01_Вводные'!$B$239="Да",MeanMinAge17+'19_Расчет_аналитики'!BL3595*SUMIF(ThresholdAge17,"&lt;"&amp;'19_Расчет_аналитики'!BL3595,WeightedRevAge17)-SUMIF(ThresholdAge17,"&lt;"&amp;'19_Расчет_аналитики'!BL3595,WeightedMinAge17),MAX(CapacityAge17*'01_Вводные'!$B$218*'19_Расчет_аналитики'!BL3595,MeanMinAge17))),0)</f>
        <v/>
      </c>
      <c r="BM3516">
        <f>IF('01_Вводные'!$B$234="Да",IF(OR('19_Расчет_аналитики'!BM3488=0,17&lt;='01_Вводные'!$B$297),0,'19_Расчет_аналитики'!BM3488*IF('01_Вводные'!$B$239="Да",MeanMinAge17+'19_Расчет_аналитики'!BM3595*SUMIF(ThresholdAge17,"&lt;"&amp;'19_Расчет_аналитики'!BM3595,WeightedRevAge17)-SUMIF(ThresholdAge17,"&lt;"&amp;'19_Расчет_аналитики'!BM3595,WeightedMinAge17),MAX(CapacityAge17*'01_Вводные'!$B$218*'19_Расчет_аналитики'!BM3595,MeanMinAge17))),0)</f>
        <v/>
      </c>
      <c r="BN3516">
        <f>IF('01_Вводные'!$B$234="Да",IF(OR('19_Расчет_аналитики'!BN3488=0,17&lt;='01_Вводные'!$B$297),0,'19_Расчет_аналитики'!BN3488*IF('01_Вводные'!$B$239="Да",MeanMinAge17+'19_Расчет_аналитики'!BN3595*SUMIF(ThresholdAge17,"&lt;"&amp;'19_Расчет_аналитики'!BN3595,WeightedRevAge17)-SUMIF(ThresholdAge17,"&lt;"&amp;'19_Расчет_аналитики'!BN3595,WeightedMinAge17),MAX(CapacityAge17*'01_Вводные'!$B$218*'19_Расчет_аналитики'!BN3595,MeanMinAge17))),0)</f>
        <v/>
      </c>
      <c r="BO3516">
        <f>IF('01_Вводные'!$B$234="Да",IF(OR('19_Расчет_аналитики'!BO3488=0,17&lt;='01_Вводные'!$B$297),0,'19_Расчет_аналитики'!BO3488*IF('01_Вводные'!$B$239="Да",MeanMinAge17+'19_Расчет_аналитики'!BO3595*SUMIF(ThresholdAge17,"&lt;"&amp;'19_Расчет_аналитики'!BO3595,WeightedRevAge17)-SUMIF(ThresholdAge17,"&lt;"&amp;'19_Расчет_аналитики'!BO3595,WeightedMinAge17),MAX(CapacityAge17*'01_Вводные'!$B$218*'19_Расчет_аналитики'!BO3595,MeanMinAge17))),0)</f>
        <v/>
      </c>
    </row>
    <row r="3517">
      <c r="B3517">
        <f>IF('01_Вводные'!$B$234="Да",IF(OR('06_Сеть_и_дети'!B98=0,18&lt;='01_Вводные'!$B$297),0,'06_Сеть_и_дети'!B98*IF('01_Вводные'!$B$239="Да",MeanMinAge18+'19_Расчет_аналитики'!B3595*SUMIF(ThresholdAge18,"&lt;"&amp;'19_Расчет_аналитики'!B3595,WeightedRevAge18)-SUMIF(ThresholdAge18,"&lt;"&amp;'19_Расчет_аналитики'!B3595,WeightedMinAge18),MAX(CapacityAge18*'01_Вводные'!$B$218*'19_Расчет_аналитики'!B3595,MeanMinAge18))),0)</f>
        <v/>
      </c>
      <c r="C3517">
        <f>IF('01_Вводные'!$B$234="Да",IF(OR('06_Сеть_и_дети'!C98=0,18&lt;='01_Вводные'!$B$297),0,'06_Сеть_и_дети'!C98*IF('01_Вводные'!$B$239="Да",MeanMinAge18+'19_Расчет_аналитики'!C3595*SUMIF(ThresholdAge18,"&lt;"&amp;'19_Расчет_аналитики'!C3595,WeightedRevAge18)-SUMIF(ThresholdAge18,"&lt;"&amp;'19_Расчет_аналитики'!C3595,WeightedMinAge18),MAX(CapacityAge18*'01_Вводные'!$B$218*'19_Расчет_аналитики'!C3595,MeanMinAge18))),0)</f>
        <v/>
      </c>
      <c r="D3517">
        <f>IF('01_Вводные'!$B$234="Да",IF(OR('06_Сеть_и_дети'!D98=0,18&lt;='01_Вводные'!$B$297),0,'06_Сеть_и_дети'!D98*IF('01_Вводные'!$B$239="Да",MeanMinAge18+'19_Расчет_аналитики'!D3595*SUMIF(ThresholdAge18,"&lt;"&amp;'19_Расчет_аналитики'!D3595,WeightedRevAge18)-SUMIF(ThresholdAge18,"&lt;"&amp;'19_Расчет_аналитики'!D3595,WeightedMinAge18),MAX(CapacityAge18*'01_Вводные'!$B$218*'19_Расчет_аналитики'!D3595,MeanMinAge18))),0)</f>
        <v/>
      </c>
      <c r="E3517">
        <f>IF('01_Вводные'!$B$234="Да",IF(OR('06_Сеть_и_дети'!E98=0,18&lt;='01_Вводные'!$B$297),0,'06_Сеть_и_дети'!E98*IF('01_Вводные'!$B$239="Да",MeanMinAge18+'19_Расчет_аналитики'!E3595*SUMIF(ThresholdAge18,"&lt;"&amp;'19_Расчет_аналитики'!E3595,WeightedRevAge18)-SUMIF(ThresholdAge18,"&lt;"&amp;'19_Расчет_аналитики'!E3595,WeightedMinAge18),MAX(CapacityAge18*'01_Вводные'!$B$218*'19_Расчет_аналитики'!E3595,MeanMinAge18))),0)</f>
        <v/>
      </c>
      <c r="F3517">
        <f>IF('01_Вводные'!$B$234="Да",IF(OR('06_Сеть_и_дети'!F98=0,18&lt;='01_Вводные'!$B$297),0,'06_Сеть_и_дети'!F98*IF('01_Вводные'!$B$239="Да",MeanMinAge18+'19_Расчет_аналитики'!F3595*SUMIF(ThresholdAge18,"&lt;"&amp;'19_Расчет_аналитики'!F3595,WeightedRevAge18)-SUMIF(ThresholdAge18,"&lt;"&amp;'19_Расчет_аналитики'!F3595,WeightedMinAge18),MAX(CapacityAge18*'01_Вводные'!$B$218*'19_Расчет_аналитики'!F3595,MeanMinAge18))),0)</f>
        <v/>
      </c>
      <c r="G3517">
        <f>IF('01_Вводные'!$B$234="Да",IF(OR('06_Сеть_и_дети'!G98=0,18&lt;='01_Вводные'!$B$297),0,'06_Сеть_и_дети'!G98*IF('01_Вводные'!$B$239="Да",MeanMinAge18+'19_Расчет_аналитики'!G3595*SUMIF(ThresholdAge18,"&lt;"&amp;'19_Расчет_аналитики'!G3595,WeightedRevAge18)-SUMIF(ThresholdAge18,"&lt;"&amp;'19_Расчет_аналитики'!G3595,WeightedMinAge18),MAX(CapacityAge18*'01_Вводные'!$B$218*'19_Расчет_аналитики'!G3595,MeanMinAge18))),0)</f>
        <v/>
      </c>
      <c r="H3517">
        <f>IF('01_Вводные'!$B$234="Да",IF(OR('06_Сеть_и_дети'!H98=0,18&lt;='01_Вводные'!$B$297),0,'06_Сеть_и_дети'!H98*IF('01_Вводные'!$B$239="Да",MeanMinAge18+'19_Расчет_аналитики'!H3595*SUMIF(ThresholdAge18,"&lt;"&amp;'19_Расчет_аналитики'!H3595,WeightedRevAge18)-SUMIF(ThresholdAge18,"&lt;"&amp;'19_Расчет_аналитики'!H3595,WeightedMinAge18),MAX(CapacityAge18*'01_Вводные'!$B$218*'19_Расчет_аналитики'!H3595,MeanMinAge18))),0)</f>
        <v/>
      </c>
      <c r="I3517">
        <f>IF('01_Вводные'!$B$234="Да",IF(OR('06_Сеть_и_дети'!I98=0,18&lt;='01_Вводные'!$B$297),0,'06_Сеть_и_дети'!I98*IF('01_Вводные'!$B$239="Да",MeanMinAge18+'19_Расчет_аналитики'!I3595*SUMIF(ThresholdAge18,"&lt;"&amp;'19_Расчет_аналитики'!I3595,WeightedRevAge18)-SUMIF(ThresholdAge18,"&lt;"&amp;'19_Расчет_аналитики'!I3595,WeightedMinAge18),MAX(CapacityAge18*'01_Вводные'!$B$218*'19_Расчет_аналитики'!I3595,MeanMinAge18))),0)</f>
        <v/>
      </c>
      <c r="J3517">
        <f>IF('01_Вводные'!$B$234="Да",IF(OR('06_Сеть_и_дети'!J98=0,18&lt;='01_Вводные'!$B$297),0,'06_Сеть_и_дети'!J98*IF('01_Вводные'!$B$239="Да",MeanMinAge18+'19_Расчет_аналитики'!J3595*SUMIF(ThresholdAge18,"&lt;"&amp;'19_Расчет_аналитики'!J3595,WeightedRevAge18)-SUMIF(ThresholdAge18,"&lt;"&amp;'19_Расчет_аналитики'!J3595,WeightedMinAge18),MAX(CapacityAge18*'01_Вводные'!$B$218*'19_Расчет_аналитики'!J3595,MeanMinAge18))),0)</f>
        <v/>
      </c>
      <c r="K3517">
        <f>IF('01_Вводные'!$B$234="Да",IF(OR('06_Сеть_и_дети'!K98=0,18&lt;='01_Вводные'!$B$297),0,'06_Сеть_и_дети'!K98*IF('01_Вводные'!$B$239="Да",MeanMinAge18+'19_Расчет_аналитики'!K3595*SUMIF(ThresholdAge18,"&lt;"&amp;'19_Расчет_аналитики'!K3595,WeightedRevAge18)-SUMIF(ThresholdAge18,"&lt;"&amp;'19_Расчет_аналитики'!K3595,WeightedMinAge18),MAX(CapacityAge18*'01_Вводные'!$B$218*'19_Расчет_аналитики'!K3595,MeanMinAge18))),0)</f>
        <v/>
      </c>
      <c r="L3517">
        <f>IF('01_Вводные'!$B$234="Да",IF(OR('06_Сеть_и_дети'!L98=0,18&lt;='01_Вводные'!$B$297),0,'06_Сеть_и_дети'!L98*IF('01_Вводные'!$B$239="Да",MeanMinAge18+'19_Расчет_аналитики'!L3595*SUMIF(ThresholdAge18,"&lt;"&amp;'19_Расчет_аналитики'!L3595,WeightedRevAge18)-SUMIF(ThresholdAge18,"&lt;"&amp;'19_Расчет_аналитики'!L3595,WeightedMinAge18),MAX(CapacityAge18*'01_Вводные'!$B$218*'19_Расчет_аналитики'!L3595,MeanMinAge18))),0)</f>
        <v/>
      </c>
      <c r="M3517">
        <f>IF('01_Вводные'!$B$234="Да",IF(OR('06_Сеть_и_дети'!M98=0,18&lt;='01_Вводные'!$B$297),0,'06_Сеть_и_дети'!M98*IF('01_Вводные'!$B$239="Да",MeanMinAge18+'19_Расчет_аналитики'!M3595*SUMIF(ThresholdAge18,"&lt;"&amp;'19_Расчет_аналитики'!M3595,WeightedRevAge18)-SUMIF(ThresholdAge18,"&lt;"&amp;'19_Расчет_аналитики'!M3595,WeightedMinAge18),MAX(CapacityAge18*'01_Вводные'!$B$218*'19_Расчет_аналитики'!M3595,MeanMinAge18))),0)</f>
        <v/>
      </c>
      <c r="N3517">
        <f>IF('01_Вводные'!$B$234="Да",IF(OR('06_Сеть_и_дети'!N98=0,18&lt;='01_Вводные'!$B$297),0,'06_Сеть_и_дети'!N98*IF('01_Вводные'!$B$239="Да",MeanMinAge18+'19_Расчет_аналитики'!N3595*SUMIF(ThresholdAge18,"&lt;"&amp;'19_Расчет_аналитики'!N3595,WeightedRevAge18)-SUMIF(ThresholdAge18,"&lt;"&amp;'19_Расчет_аналитики'!N3595,WeightedMinAge18),MAX(CapacityAge18*'01_Вводные'!$B$218*'19_Расчет_аналитики'!N3595,MeanMinAge18))),0)</f>
        <v/>
      </c>
      <c r="O3517">
        <f>IF('01_Вводные'!$B$234="Да",IF(OR('06_Сеть_и_дети'!O98=0,18&lt;='01_Вводные'!$B$297),0,'06_Сеть_и_дети'!O98*IF('01_Вводные'!$B$239="Да",MeanMinAge18+'19_Расчет_аналитики'!O3595*SUMIF(ThresholdAge18,"&lt;"&amp;'19_Расчет_аналитики'!O3595,WeightedRevAge18)-SUMIF(ThresholdAge18,"&lt;"&amp;'19_Расчет_аналитики'!O3595,WeightedMinAge18),MAX(CapacityAge18*'01_Вводные'!$B$218*'19_Расчет_аналитики'!O3595,MeanMinAge18))),0)</f>
        <v/>
      </c>
      <c r="P3517">
        <f>IF('01_Вводные'!$B$234="Да",IF(OR('06_Сеть_и_дети'!P98=0,18&lt;='01_Вводные'!$B$297),0,'06_Сеть_и_дети'!P98*IF('01_Вводные'!$B$239="Да",MeanMinAge18+'19_Расчет_аналитики'!P3595*SUMIF(ThresholdAge18,"&lt;"&amp;'19_Расчет_аналитики'!P3595,WeightedRevAge18)-SUMIF(ThresholdAge18,"&lt;"&amp;'19_Расчет_аналитики'!P3595,WeightedMinAge18),MAX(CapacityAge18*'01_Вводные'!$B$218*'19_Расчет_аналитики'!P3595,MeanMinAge18))),0)</f>
        <v/>
      </c>
      <c r="Q3517">
        <f>IF('01_Вводные'!$B$234="Да",IF(OR('06_Сеть_и_дети'!Q98=0,18&lt;='01_Вводные'!$B$297),0,'06_Сеть_и_дети'!Q98*IF('01_Вводные'!$B$239="Да",MeanMinAge18+'19_Расчет_аналитики'!Q3595*SUMIF(ThresholdAge18,"&lt;"&amp;'19_Расчет_аналитики'!Q3595,WeightedRevAge18)-SUMIF(ThresholdAge18,"&lt;"&amp;'19_Расчет_аналитики'!Q3595,WeightedMinAge18),MAX(CapacityAge18*'01_Вводные'!$B$218*'19_Расчет_аналитики'!Q3595,MeanMinAge18))),0)</f>
        <v/>
      </c>
      <c r="R3517">
        <f>IF('01_Вводные'!$B$234="Да",IF(OR('06_Сеть_и_дети'!R98=0,18&lt;='01_Вводные'!$B$297),0,'06_Сеть_и_дети'!R98*IF('01_Вводные'!$B$239="Да",MeanMinAge18+'19_Расчет_аналитики'!R3595*SUMIF(ThresholdAge18,"&lt;"&amp;'19_Расчет_аналитики'!R3595,WeightedRevAge18)-SUMIF(ThresholdAge18,"&lt;"&amp;'19_Расчет_аналитики'!R3595,WeightedMinAge18),MAX(CapacityAge18*'01_Вводные'!$B$218*'19_Расчет_аналитики'!R3595,MeanMinAge18))),0)</f>
        <v/>
      </c>
      <c r="S3517">
        <f>IF('01_Вводные'!$B$234="Да",IF(OR('19_Расчет_аналитики'!S3489=0,18&lt;='01_Вводные'!$B$297),0,'19_Расчет_аналитики'!S3489*IF('01_Вводные'!$B$239="Да",MeanMinAge18+'19_Расчет_аналитики'!S3595*SUMIF(ThresholdAge18,"&lt;"&amp;'19_Расчет_аналитики'!S3595,WeightedRevAge18)-SUMIF(ThresholdAge18,"&lt;"&amp;'19_Расчет_аналитики'!S3595,WeightedMinAge18),MAX(CapacityAge18*'01_Вводные'!$B$218*'19_Расчет_аналитики'!S3595,MeanMinAge18))),0)</f>
        <v/>
      </c>
      <c r="T3517">
        <f>IF('01_Вводные'!$B$234="Да",IF(OR('19_Расчет_аналитики'!T3489=0,18&lt;='01_Вводные'!$B$297),0,'19_Расчет_аналитики'!T3489*IF('01_Вводные'!$B$239="Да",MeanMinAge18+'19_Расчет_аналитики'!T3595*SUMIF(ThresholdAge18,"&lt;"&amp;'19_Расчет_аналитики'!T3595,WeightedRevAge18)-SUMIF(ThresholdAge18,"&lt;"&amp;'19_Расчет_аналитики'!T3595,WeightedMinAge18),MAX(CapacityAge18*'01_Вводные'!$B$218*'19_Расчет_аналитики'!T3595,MeanMinAge18))),0)</f>
        <v/>
      </c>
      <c r="U3517">
        <f>IF('01_Вводные'!$B$234="Да",IF(OR('19_Расчет_аналитики'!U3489=0,18&lt;='01_Вводные'!$B$297),0,'19_Расчет_аналитики'!U3489*IF('01_Вводные'!$B$239="Да",MeanMinAge18+'19_Расчет_аналитики'!U3595*SUMIF(ThresholdAge18,"&lt;"&amp;'19_Расчет_аналитики'!U3595,WeightedRevAge18)-SUMIF(ThresholdAge18,"&lt;"&amp;'19_Расчет_аналитики'!U3595,WeightedMinAge18),MAX(CapacityAge18*'01_Вводные'!$B$218*'19_Расчет_аналитики'!U3595,MeanMinAge18))),0)</f>
        <v/>
      </c>
      <c r="V3517">
        <f>IF('01_Вводные'!$B$234="Да",IF(OR('19_Расчет_аналитики'!V3489=0,18&lt;='01_Вводные'!$B$297),0,'19_Расчет_аналитики'!V3489*IF('01_Вводные'!$B$239="Да",MeanMinAge18+'19_Расчет_аналитики'!V3595*SUMIF(ThresholdAge18,"&lt;"&amp;'19_Расчет_аналитики'!V3595,WeightedRevAge18)-SUMIF(ThresholdAge18,"&lt;"&amp;'19_Расчет_аналитики'!V3595,WeightedMinAge18),MAX(CapacityAge18*'01_Вводные'!$B$218*'19_Расчет_аналитики'!V3595,MeanMinAge18))),0)</f>
        <v/>
      </c>
      <c r="W3517">
        <f>IF('01_Вводные'!$B$234="Да",IF(OR('19_Расчет_аналитики'!W3489=0,18&lt;='01_Вводные'!$B$297),0,'19_Расчет_аналитики'!W3489*IF('01_Вводные'!$B$239="Да",MeanMinAge18+'19_Расчет_аналитики'!W3595*SUMIF(ThresholdAge18,"&lt;"&amp;'19_Расчет_аналитики'!W3595,WeightedRevAge18)-SUMIF(ThresholdAge18,"&lt;"&amp;'19_Расчет_аналитики'!W3595,WeightedMinAge18),MAX(CapacityAge18*'01_Вводные'!$B$218*'19_Расчет_аналитики'!W3595,MeanMinAge18))),0)</f>
        <v/>
      </c>
      <c r="X3517">
        <f>IF('01_Вводные'!$B$234="Да",IF(OR('19_Расчет_аналитики'!X3489=0,18&lt;='01_Вводные'!$B$297),0,'19_Расчет_аналитики'!X3489*IF('01_Вводные'!$B$239="Да",MeanMinAge18+'19_Расчет_аналитики'!X3595*SUMIF(ThresholdAge18,"&lt;"&amp;'19_Расчет_аналитики'!X3595,WeightedRevAge18)-SUMIF(ThresholdAge18,"&lt;"&amp;'19_Расчет_аналитики'!X3595,WeightedMinAge18),MAX(CapacityAge18*'01_Вводные'!$B$218*'19_Расчет_аналитики'!X3595,MeanMinAge18))),0)</f>
        <v/>
      </c>
      <c r="Y3517">
        <f>IF('01_Вводные'!$B$234="Да",IF(OR('19_Расчет_аналитики'!Y3489=0,18&lt;='01_Вводные'!$B$297),0,'19_Расчет_аналитики'!Y3489*IF('01_Вводные'!$B$239="Да",MeanMinAge18+'19_Расчет_аналитики'!Y3595*SUMIF(ThresholdAge18,"&lt;"&amp;'19_Расчет_аналитики'!Y3595,WeightedRevAge18)-SUMIF(ThresholdAge18,"&lt;"&amp;'19_Расчет_аналитики'!Y3595,WeightedMinAge18),MAX(CapacityAge18*'01_Вводные'!$B$218*'19_Расчет_аналитики'!Y3595,MeanMinAge18))),0)</f>
        <v/>
      </c>
      <c r="Z3517">
        <f>IF('01_Вводные'!$B$234="Да",IF(OR('19_Расчет_аналитики'!Z3489=0,18&lt;='01_Вводные'!$B$297),0,'19_Расчет_аналитики'!Z3489*IF('01_Вводные'!$B$239="Да",MeanMinAge18+'19_Расчет_аналитики'!Z3595*SUMIF(ThresholdAge18,"&lt;"&amp;'19_Расчет_аналитики'!Z3595,WeightedRevAge18)-SUMIF(ThresholdAge18,"&lt;"&amp;'19_Расчет_аналитики'!Z3595,WeightedMinAge18),MAX(CapacityAge18*'01_Вводные'!$B$218*'19_Расчет_аналитики'!Z3595,MeanMinAge18))),0)</f>
        <v/>
      </c>
      <c r="AA3517">
        <f>IF('01_Вводные'!$B$234="Да",IF(OR('19_Расчет_аналитики'!AA3489=0,18&lt;='01_Вводные'!$B$297),0,'19_Расчет_аналитики'!AA3489*IF('01_Вводные'!$B$239="Да",MeanMinAge18+'19_Расчет_аналитики'!AA3595*SUMIF(ThresholdAge18,"&lt;"&amp;'19_Расчет_аналитики'!AA3595,WeightedRevAge18)-SUMIF(ThresholdAge18,"&lt;"&amp;'19_Расчет_аналитики'!AA3595,WeightedMinAge18),MAX(CapacityAge18*'01_Вводные'!$B$218*'19_Расчет_аналитики'!AA3595,MeanMinAge18))),0)</f>
        <v/>
      </c>
      <c r="AB3517">
        <f>IF('01_Вводные'!$B$234="Да",IF(OR('19_Расчет_аналитики'!AB3489=0,18&lt;='01_Вводные'!$B$297),0,'19_Расчет_аналитики'!AB3489*IF('01_Вводные'!$B$239="Да",MeanMinAge18+'19_Расчет_аналитики'!AB3595*SUMIF(ThresholdAge18,"&lt;"&amp;'19_Расчет_аналитики'!AB3595,WeightedRevAge18)-SUMIF(ThresholdAge18,"&lt;"&amp;'19_Расчет_аналитики'!AB3595,WeightedMinAge18),MAX(CapacityAge18*'01_Вводные'!$B$218*'19_Расчет_аналитики'!AB3595,MeanMinAge18))),0)</f>
        <v/>
      </c>
      <c r="AC3517">
        <f>IF('01_Вводные'!$B$234="Да",IF(OR('19_Расчет_аналитики'!AC3489=0,18&lt;='01_Вводные'!$B$297),0,'19_Расчет_аналитики'!AC3489*IF('01_Вводные'!$B$239="Да",MeanMinAge18+'19_Расчет_аналитики'!AC3595*SUMIF(ThresholdAge18,"&lt;"&amp;'19_Расчет_аналитики'!AC3595,WeightedRevAge18)-SUMIF(ThresholdAge18,"&lt;"&amp;'19_Расчет_аналитики'!AC3595,WeightedMinAge18),MAX(CapacityAge18*'01_Вводные'!$B$218*'19_Расчет_аналитики'!AC3595,MeanMinAge18))),0)</f>
        <v/>
      </c>
      <c r="AD3517">
        <f>IF('01_Вводные'!$B$234="Да",IF(OR('19_Расчет_аналитики'!AD3489=0,18&lt;='01_Вводные'!$B$297),0,'19_Расчет_аналитики'!AD3489*IF('01_Вводные'!$B$239="Да",MeanMinAge18+'19_Расчет_аналитики'!AD3595*SUMIF(ThresholdAge18,"&lt;"&amp;'19_Расчет_аналитики'!AD3595,WeightedRevAge18)-SUMIF(ThresholdAge18,"&lt;"&amp;'19_Расчет_аналитики'!AD3595,WeightedMinAge18),MAX(CapacityAge18*'01_Вводные'!$B$218*'19_Расчет_аналитики'!AD3595,MeanMinAge18))),0)</f>
        <v/>
      </c>
      <c r="AE3517">
        <f>IF('01_Вводные'!$B$234="Да",IF(OR('19_Расчет_аналитики'!AE3489=0,18&lt;='01_Вводные'!$B$297),0,'19_Расчет_аналитики'!AE3489*IF('01_Вводные'!$B$239="Да",MeanMinAge18+'19_Расчет_аналитики'!AE3595*SUMIF(ThresholdAge18,"&lt;"&amp;'19_Расчет_аналитики'!AE3595,WeightedRevAge18)-SUMIF(ThresholdAge18,"&lt;"&amp;'19_Расчет_аналитики'!AE3595,WeightedMinAge18),MAX(CapacityAge18*'01_Вводные'!$B$218*'19_Расчет_аналитики'!AE3595,MeanMinAge18))),0)</f>
        <v/>
      </c>
      <c r="AF3517">
        <f>IF('01_Вводные'!$B$234="Да",IF(OR('19_Расчет_аналитики'!AF3489=0,18&lt;='01_Вводные'!$B$297),0,'19_Расчет_аналитики'!AF3489*IF('01_Вводные'!$B$239="Да",MeanMinAge18+'19_Расчет_аналитики'!AF3595*SUMIF(ThresholdAge18,"&lt;"&amp;'19_Расчет_аналитики'!AF3595,WeightedRevAge18)-SUMIF(ThresholdAge18,"&lt;"&amp;'19_Расчет_аналитики'!AF3595,WeightedMinAge18),MAX(CapacityAge18*'01_Вводные'!$B$218*'19_Расчет_аналитики'!AF3595,MeanMinAge18))),0)</f>
        <v/>
      </c>
      <c r="AG3517">
        <f>IF('01_Вводные'!$B$234="Да",IF(OR('19_Расчет_аналитики'!AG3489=0,18&lt;='01_Вводные'!$B$297),0,'19_Расчет_аналитики'!AG3489*IF('01_Вводные'!$B$239="Да",MeanMinAge18+'19_Расчет_аналитики'!AG3595*SUMIF(ThresholdAge18,"&lt;"&amp;'19_Расчет_аналитики'!AG3595,WeightedRevAge18)-SUMIF(ThresholdAge18,"&lt;"&amp;'19_Расчет_аналитики'!AG3595,WeightedMinAge18),MAX(CapacityAge18*'01_Вводные'!$B$218*'19_Расчет_аналитики'!AG3595,MeanMinAge18))),0)</f>
        <v/>
      </c>
      <c r="AH3517">
        <f>IF('01_Вводные'!$B$234="Да",IF(OR('19_Расчет_аналитики'!AH3489=0,18&lt;='01_Вводные'!$B$297),0,'19_Расчет_аналитики'!AH3489*IF('01_Вводные'!$B$239="Да",MeanMinAge18+'19_Расчет_аналитики'!AH3595*SUMIF(ThresholdAge18,"&lt;"&amp;'19_Расчет_аналитики'!AH3595,WeightedRevAge18)-SUMIF(ThresholdAge18,"&lt;"&amp;'19_Расчет_аналитики'!AH3595,WeightedMinAge18),MAX(CapacityAge18*'01_Вводные'!$B$218*'19_Расчет_аналитики'!AH3595,MeanMinAge18))),0)</f>
        <v/>
      </c>
      <c r="AI3517">
        <f>IF('01_Вводные'!$B$234="Да",IF(OR('19_Расчет_аналитики'!AI3489=0,18&lt;='01_Вводные'!$B$297),0,'19_Расчет_аналитики'!AI3489*IF('01_Вводные'!$B$239="Да",MeanMinAge18+'19_Расчет_аналитики'!AI3595*SUMIF(ThresholdAge18,"&lt;"&amp;'19_Расчет_аналитики'!AI3595,WeightedRevAge18)-SUMIF(ThresholdAge18,"&lt;"&amp;'19_Расчет_аналитики'!AI3595,WeightedMinAge18),MAX(CapacityAge18*'01_Вводные'!$B$218*'19_Расчет_аналитики'!AI3595,MeanMinAge18))),0)</f>
        <v/>
      </c>
      <c r="AJ3517">
        <f>IF('01_Вводные'!$B$234="Да",IF(OR('19_Расчет_аналитики'!AJ3489=0,18&lt;='01_Вводные'!$B$297),0,'19_Расчет_аналитики'!AJ3489*IF('01_Вводные'!$B$239="Да",MeanMinAge18+'19_Расчет_аналитики'!AJ3595*SUMIF(ThresholdAge18,"&lt;"&amp;'19_Расчет_аналитики'!AJ3595,WeightedRevAge18)-SUMIF(ThresholdAge18,"&lt;"&amp;'19_Расчет_аналитики'!AJ3595,WeightedMinAge18),MAX(CapacityAge18*'01_Вводные'!$B$218*'19_Расчет_аналитики'!AJ3595,MeanMinAge18))),0)</f>
        <v/>
      </c>
      <c r="AK3517">
        <f>IF('01_Вводные'!$B$234="Да",IF(OR('19_Расчет_аналитики'!AK3489=0,18&lt;='01_Вводные'!$B$297),0,'19_Расчет_аналитики'!AK3489*IF('01_Вводные'!$B$239="Да",MeanMinAge18+'19_Расчет_аналитики'!AK3595*SUMIF(ThresholdAge18,"&lt;"&amp;'19_Расчет_аналитики'!AK3595,WeightedRevAge18)-SUMIF(ThresholdAge18,"&lt;"&amp;'19_Расчет_аналитики'!AK3595,WeightedMinAge18),MAX(CapacityAge18*'01_Вводные'!$B$218*'19_Расчет_аналитики'!AK3595,MeanMinAge18))),0)</f>
        <v/>
      </c>
      <c r="AL3517">
        <f>IF('01_Вводные'!$B$234="Да",IF(OR('19_Расчет_аналитики'!AL3489=0,18&lt;='01_Вводные'!$B$297),0,'19_Расчет_аналитики'!AL3489*IF('01_Вводные'!$B$239="Да",MeanMinAge18+'19_Расчет_аналитики'!AL3595*SUMIF(ThresholdAge18,"&lt;"&amp;'19_Расчет_аналитики'!AL3595,WeightedRevAge18)-SUMIF(ThresholdAge18,"&lt;"&amp;'19_Расчет_аналитики'!AL3595,WeightedMinAge18),MAX(CapacityAge18*'01_Вводные'!$B$218*'19_Расчет_аналитики'!AL3595,MeanMinAge18))),0)</f>
        <v/>
      </c>
      <c r="AM3517">
        <f>IF('01_Вводные'!$B$234="Да",IF(OR('19_Расчет_аналитики'!AM3489=0,18&lt;='01_Вводные'!$B$297),0,'19_Расчет_аналитики'!AM3489*IF('01_Вводные'!$B$239="Да",MeanMinAge18+'19_Расчет_аналитики'!AM3595*SUMIF(ThresholdAge18,"&lt;"&amp;'19_Расчет_аналитики'!AM3595,WeightedRevAge18)-SUMIF(ThresholdAge18,"&lt;"&amp;'19_Расчет_аналитики'!AM3595,WeightedMinAge18),MAX(CapacityAge18*'01_Вводные'!$B$218*'19_Расчет_аналитики'!AM3595,MeanMinAge18))),0)</f>
        <v/>
      </c>
      <c r="AN3517">
        <f>IF('01_Вводные'!$B$234="Да",IF(OR('19_Расчет_аналитики'!AN3489=0,18&lt;='01_Вводные'!$B$297),0,'19_Расчет_аналитики'!AN3489*IF('01_Вводные'!$B$239="Да",MeanMinAge18+'19_Расчет_аналитики'!AN3595*SUMIF(ThresholdAge18,"&lt;"&amp;'19_Расчет_аналитики'!AN3595,WeightedRevAge18)-SUMIF(ThresholdAge18,"&lt;"&amp;'19_Расчет_аналитики'!AN3595,WeightedMinAge18),MAX(CapacityAge18*'01_Вводные'!$B$218*'19_Расчет_аналитики'!AN3595,MeanMinAge18))),0)</f>
        <v/>
      </c>
      <c r="AO3517">
        <f>IF('01_Вводные'!$B$234="Да",IF(OR('19_Расчет_аналитики'!AO3489=0,18&lt;='01_Вводные'!$B$297),0,'19_Расчет_аналитики'!AO3489*IF('01_Вводные'!$B$239="Да",MeanMinAge18+'19_Расчет_аналитики'!AO3595*SUMIF(ThresholdAge18,"&lt;"&amp;'19_Расчет_аналитики'!AO3595,WeightedRevAge18)-SUMIF(ThresholdAge18,"&lt;"&amp;'19_Расчет_аналитики'!AO3595,WeightedMinAge18),MAX(CapacityAge18*'01_Вводные'!$B$218*'19_Расчет_аналитики'!AO3595,MeanMinAge18))),0)</f>
        <v/>
      </c>
      <c r="AP3517">
        <f>IF('01_Вводные'!$B$234="Да",IF(OR('19_Расчет_аналитики'!AP3489=0,18&lt;='01_Вводные'!$B$297),0,'19_Расчет_аналитики'!AP3489*IF('01_Вводные'!$B$239="Да",MeanMinAge18+'19_Расчет_аналитики'!AP3595*SUMIF(ThresholdAge18,"&lt;"&amp;'19_Расчет_аналитики'!AP3595,WeightedRevAge18)-SUMIF(ThresholdAge18,"&lt;"&amp;'19_Расчет_аналитики'!AP3595,WeightedMinAge18),MAX(CapacityAge18*'01_Вводные'!$B$218*'19_Расчет_аналитики'!AP3595,MeanMinAge18))),0)</f>
        <v/>
      </c>
      <c r="AQ3517">
        <f>IF('01_Вводные'!$B$234="Да",IF(OR('19_Расчет_аналитики'!AQ3489=0,18&lt;='01_Вводные'!$B$297),0,'19_Расчет_аналитики'!AQ3489*IF('01_Вводные'!$B$239="Да",MeanMinAge18+'19_Расчет_аналитики'!AQ3595*SUMIF(ThresholdAge18,"&lt;"&amp;'19_Расчет_аналитики'!AQ3595,WeightedRevAge18)-SUMIF(ThresholdAge18,"&lt;"&amp;'19_Расчет_аналитики'!AQ3595,WeightedMinAge18),MAX(CapacityAge18*'01_Вводные'!$B$218*'19_Расчет_аналитики'!AQ3595,MeanMinAge18))),0)</f>
        <v/>
      </c>
      <c r="AR3517">
        <f>IF('01_Вводные'!$B$234="Да",IF(OR('19_Расчет_аналитики'!AR3489=0,18&lt;='01_Вводные'!$B$297),0,'19_Расчет_аналитики'!AR3489*IF('01_Вводные'!$B$239="Да",MeanMinAge18+'19_Расчет_аналитики'!AR3595*SUMIF(ThresholdAge18,"&lt;"&amp;'19_Расчет_аналитики'!AR3595,WeightedRevAge18)-SUMIF(ThresholdAge18,"&lt;"&amp;'19_Расчет_аналитики'!AR3595,WeightedMinAge18),MAX(CapacityAge18*'01_Вводные'!$B$218*'19_Расчет_аналитики'!AR3595,MeanMinAge18))),0)</f>
        <v/>
      </c>
      <c r="AS3517">
        <f>IF('01_Вводные'!$B$234="Да",IF(OR('19_Расчет_аналитики'!AS3489=0,18&lt;='01_Вводные'!$B$297),0,'19_Расчет_аналитики'!AS3489*IF('01_Вводные'!$B$239="Да",MeanMinAge18+'19_Расчет_аналитики'!AS3595*SUMIF(ThresholdAge18,"&lt;"&amp;'19_Расчет_аналитики'!AS3595,WeightedRevAge18)-SUMIF(ThresholdAge18,"&lt;"&amp;'19_Расчет_аналитики'!AS3595,WeightedMinAge18),MAX(CapacityAge18*'01_Вводные'!$B$218*'19_Расчет_аналитики'!AS3595,MeanMinAge18))),0)</f>
        <v/>
      </c>
      <c r="AT3517">
        <f>IF('01_Вводные'!$B$234="Да",IF(OR('19_Расчет_аналитики'!AT3489=0,18&lt;='01_Вводные'!$B$297),0,'19_Расчет_аналитики'!AT3489*IF('01_Вводные'!$B$239="Да",MeanMinAge18+'19_Расчет_аналитики'!AT3595*SUMIF(ThresholdAge18,"&lt;"&amp;'19_Расчет_аналитики'!AT3595,WeightedRevAge18)-SUMIF(ThresholdAge18,"&lt;"&amp;'19_Расчет_аналитики'!AT3595,WeightedMinAge18),MAX(CapacityAge18*'01_Вводные'!$B$218*'19_Расчет_аналитики'!AT3595,MeanMinAge18))),0)</f>
        <v/>
      </c>
      <c r="AU3517">
        <f>IF('01_Вводные'!$B$234="Да",IF(OR('19_Расчет_аналитики'!AU3489=0,18&lt;='01_Вводные'!$B$297),0,'19_Расчет_аналитики'!AU3489*IF('01_Вводные'!$B$239="Да",MeanMinAge18+'19_Расчет_аналитики'!AU3595*SUMIF(ThresholdAge18,"&lt;"&amp;'19_Расчет_аналитики'!AU3595,WeightedRevAge18)-SUMIF(ThresholdAge18,"&lt;"&amp;'19_Расчет_аналитики'!AU3595,WeightedMinAge18),MAX(CapacityAge18*'01_Вводные'!$B$218*'19_Расчет_аналитики'!AU3595,MeanMinAge18))),0)</f>
        <v/>
      </c>
      <c r="AV3517">
        <f>IF('01_Вводные'!$B$234="Да",IF(OR('19_Расчет_аналитики'!AV3489=0,18&lt;='01_Вводные'!$B$297),0,'19_Расчет_аналитики'!AV3489*IF('01_Вводные'!$B$239="Да",MeanMinAge18+'19_Расчет_аналитики'!AV3595*SUMIF(ThresholdAge18,"&lt;"&amp;'19_Расчет_аналитики'!AV3595,WeightedRevAge18)-SUMIF(ThresholdAge18,"&lt;"&amp;'19_Расчет_аналитики'!AV3595,WeightedMinAge18),MAX(CapacityAge18*'01_Вводные'!$B$218*'19_Расчет_аналитики'!AV3595,MeanMinAge18))),0)</f>
        <v/>
      </c>
      <c r="AW3517">
        <f>IF('01_Вводные'!$B$234="Да",IF(OR('19_Расчет_аналитики'!AW3489=0,18&lt;='01_Вводные'!$B$297),0,'19_Расчет_аналитики'!AW3489*IF('01_Вводные'!$B$239="Да",MeanMinAge18+'19_Расчет_аналитики'!AW3595*SUMIF(ThresholdAge18,"&lt;"&amp;'19_Расчет_аналитики'!AW3595,WeightedRevAge18)-SUMIF(ThresholdAge18,"&lt;"&amp;'19_Расчет_аналитики'!AW3595,WeightedMinAge18),MAX(CapacityAge18*'01_Вводные'!$B$218*'19_Расчет_аналитики'!AW3595,MeanMinAge18))),0)</f>
        <v/>
      </c>
      <c r="AX3517">
        <f>IF('01_Вводные'!$B$234="Да",IF(OR('19_Расчет_аналитики'!AX3489=0,18&lt;='01_Вводные'!$B$297),0,'19_Расчет_аналитики'!AX3489*IF('01_Вводные'!$B$239="Да",MeanMinAge18+'19_Расчет_аналитики'!AX3595*SUMIF(ThresholdAge18,"&lt;"&amp;'19_Расчет_аналитики'!AX3595,WeightedRevAge18)-SUMIF(ThresholdAge18,"&lt;"&amp;'19_Расчет_аналитики'!AX3595,WeightedMinAge18),MAX(CapacityAge18*'01_Вводные'!$B$218*'19_Расчет_аналитики'!AX3595,MeanMinAge18))),0)</f>
        <v/>
      </c>
      <c r="AY3517">
        <f>IF('01_Вводные'!$B$234="Да",IF(OR('19_Расчет_аналитики'!AY3489=0,18&lt;='01_Вводные'!$B$297),0,'19_Расчет_аналитики'!AY3489*IF('01_Вводные'!$B$239="Да",MeanMinAge18+'19_Расчет_аналитики'!AY3595*SUMIF(ThresholdAge18,"&lt;"&amp;'19_Расчет_аналитики'!AY3595,WeightedRevAge18)-SUMIF(ThresholdAge18,"&lt;"&amp;'19_Расчет_аналитики'!AY3595,WeightedMinAge18),MAX(CapacityAge18*'01_Вводные'!$B$218*'19_Расчет_аналитики'!AY3595,MeanMinAge18))),0)</f>
        <v/>
      </c>
      <c r="AZ3517">
        <f>IF('01_Вводные'!$B$234="Да",IF(OR('19_Расчет_аналитики'!AZ3489=0,18&lt;='01_Вводные'!$B$297),0,'19_Расчет_аналитики'!AZ3489*IF('01_Вводные'!$B$239="Да",MeanMinAge18+'19_Расчет_аналитики'!AZ3595*SUMIF(ThresholdAge18,"&lt;"&amp;'19_Расчет_аналитики'!AZ3595,WeightedRevAge18)-SUMIF(ThresholdAge18,"&lt;"&amp;'19_Расчет_аналитики'!AZ3595,WeightedMinAge18),MAX(CapacityAge18*'01_Вводные'!$B$218*'19_Расчет_аналитики'!AZ3595,MeanMinAge18))),0)</f>
        <v/>
      </c>
      <c r="BA3517">
        <f>IF('01_Вводные'!$B$234="Да",IF(OR('19_Расчет_аналитики'!BA3489=0,18&lt;='01_Вводные'!$B$297),0,'19_Расчет_аналитики'!BA3489*IF('01_Вводные'!$B$239="Да",MeanMinAge18+'19_Расчет_аналитики'!BA3595*SUMIF(ThresholdAge18,"&lt;"&amp;'19_Расчет_аналитики'!BA3595,WeightedRevAge18)-SUMIF(ThresholdAge18,"&lt;"&amp;'19_Расчет_аналитики'!BA3595,WeightedMinAge18),MAX(CapacityAge18*'01_Вводные'!$B$218*'19_Расчет_аналитики'!BA3595,MeanMinAge18))),0)</f>
        <v/>
      </c>
      <c r="BB3517">
        <f>IF('01_Вводные'!$B$234="Да",IF(OR('19_Расчет_аналитики'!BB3489=0,18&lt;='01_Вводные'!$B$297),0,'19_Расчет_аналитики'!BB3489*IF('01_Вводные'!$B$239="Да",MeanMinAge18+'19_Расчет_аналитики'!BB3595*SUMIF(ThresholdAge18,"&lt;"&amp;'19_Расчет_аналитики'!BB3595,WeightedRevAge18)-SUMIF(ThresholdAge18,"&lt;"&amp;'19_Расчет_аналитики'!BB3595,WeightedMinAge18),MAX(CapacityAge18*'01_Вводные'!$B$218*'19_Расчет_аналитики'!BB3595,MeanMinAge18))),0)</f>
        <v/>
      </c>
      <c r="BC3517">
        <f>IF('01_Вводные'!$B$234="Да",IF(OR('19_Расчет_аналитики'!BC3489=0,18&lt;='01_Вводные'!$B$297),0,'19_Расчет_аналитики'!BC3489*IF('01_Вводные'!$B$239="Да",MeanMinAge18+'19_Расчет_аналитики'!BC3595*SUMIF(ThresholdAge18,"&lt;"&amp;'19_Расчет_аналитики'!BC3595,WeightedRevAge18)-SUMIF(ThresholdAge18,"&lt;"&amp;'19_Расчет_аналитики'!BC3595,WeightedMinAge18),MAX(CapacityAge18*'01_Вводные'!$B$218*'19_Расчет_аналитики'!BC3595,MeanMinAge18))),0)</f>
        <v/>
      </c>
      <c r="BD3517">
        <f>IF('01_Вводные'!$B$234="Да",IF(OR('19_Расчет_аналитики'!BD3489=0,18&lt;='01_Вводные'!$B$297),0,'19_Расчет_аналитики'!BD3489*IF('01_Вводные'!$B$239="Да",MeanMinAge18+'19_Расчет_аналитики'!BD3595*SUMIF(ThresholdAge18,"&lt;"&amp;'19_Расчет_аналитики'!BD3595,WeightedRevAge18)-SUMIF(ThresholdAge18,"&lt;"&amp;'19_Расчет_аналитики'!BD3595,WeightedMinAge18),MAX(CapacityAge18*'01_Вводные'!$B$218*'19_Расчет_аналитики'!BD3595,MeanMinAge18))),0)</f>
        <v/>
      </c>
      <c r="BE3517">
        <f>IF('01_Вводные'!$B$234="Да",IF(OR('19_Расчет_аналитики'!BE3489=0,18&lt;='01_Вводные'!$B$297),0,'19_Расчет_аналитики'!BE3489*IF('01_Вводные'!$B$239="Да",MeanMinAge18+'19_Расчет_аналитики'!BE3595*SUMIF(ThresholdAge18,"&lt;"&amp;'19_Расчет_аналитики'!BE3595,WeightedRevAge18)-SUMIF(ThresholdAge18,"&lt;"&amp;'19_Расчет_аналитики'!BE3595,WeightedMinAge18),MAX(CapacityAge18*'01_Вводные'!$B$218*'19_Расчет_аналитики'!BE3595,MeanMinAge18))),0)</f>
        <v/>
      </c>
      <c r="BF3517">
        <f>IF('01_Вводные'!$B$234="Да",IF(OR('19_Расчет_аналитики'!BF3489=0,18&lt;='01_Вводные'!$B$297),0,'19_Расчет_аналитики'!BF3489*IF('01_Вводные'!$B$239="Да",MeanMinAge18+'19_Расчет_аналитики'!BF3595*SUMIF(ThresholdAge18,"&lt;"&amp;'19_Расчет_аналитики'!BF3595,WeightedRevAge18)-SUMIF(ThresholdAge18,"&lt;"&amp;'19_Расчет_аналитики'!BF3595,WeightedMinAge18),MAX(CapacityAge18*'01_Вводные'!$B$218*'19_Расчет_аналитики'!BF3595,MeanMinAge18))),0)</f>
        <v/>
      </c>
      <c r="BG3517">
        <f>IF('01_Вводные'!$B$234="Да",IF(OR('19_Расчет_аналитики'!BG3489=0,18&lt;='01_Вводные'!$B$297),0,'19_Расчет_аналитики'!BG3489*IF('01_Вводные'!$B$239="Да",MeanMinAge18+'19_Расчет_аналитики'!BG3595*SUMIF(ThresholdAge18,"&lt;"&amp;'19_Расчет_аналитики'!BG3595,WeightedRevAge18)-SUMIF(ThresholdAge18,"&lt;"&amp;'19_Расчет_аналитики'!BG3595,WeightedMinAge18),MAX(CapacityAge18*'01_Вводные'!$B$218*'19_Расчет_аналитики'!BG3595,MeanMinAge18))),0)</f>
        <v/>
      </c>
      <c r="BH3517">
        <f>IF('01_Вводные'!$B$234="Да",IF(OR('19_Расчет_аналитики'!BH3489=0,18&lt;='01_Вводные'!$B$297),0,'19_Расчет_аналитики'!BH3489*IF('01_Вводные'!$B$239="Да",MeanMinAge18+'19_Расчет_аналитики'!BH3595*SUMIF(ThresholdAge18,"&lt;"&amp;'19_Расчет_аналитики'!BH3595,WeightedRevAge18)-SUMIF(ThresholdAge18,"&lt;"&amp;'19_Расчет_аналитики'!BH3595,WeightedMinAge18),MAX(CapacityAge18*'01_Вводные'!$B$218*'19_Расчет_аналитики'!BH3595,MeanMinAge18))),0)</f>
        <v/>
      </c>
      <c r="BI3517">
        <f>IF('01_Вводные'!$B$234="Да",IF(OR('19_Расчет_аналитики'!BI3489=0,18&lt;='01_Вводные'!$B$297),0,'19_Расчет_аналитики'!BI3489*IF('01_Вводные'!$B$239="Да",MeanMinAge18+'19_Расчет_аналитики'!BI3595*SUMIF(ThresholdAge18,"&lt;"&amp;'19_Расчет_аналитики'!BI3595,WeightedRevAge18)-SUMIF(ThresholdAge18,"&lt;"&amp;'19_Расчет_аналитики'!BI3595,WeightedMinAge18),MAX(CapacityAge18*'01_Вводные'!$B$218*'19_Расчет_аналитики'!BI3595,MeanMinAge18))),0)</f>
        <v/>
      </c>
      <c r="BJ3517">
        <f>IF('01_Вводные'!$B$234="Да",IF(OR('19_Расчет_аналитики'!BJ3489=0,18&lt;='01_Вводные'!$B$297),0,'19_Расчет_аналитики'!BJ3489*IF('01_Вводные'!$B$239="Да",MeanMinAge18+'19_Расчет_аналитики'!BJ3595*SUMIF(ThresholdAge18,"&lt;"&amp;'19_Расчет_аналитики'!BJ3595,WeightedRevAge18)-SUMIF(ThresholdAge18,"&lt;"&amp;'19_Расчет_аналитики'!BJ3595,WeightedMinAge18),MAX(CapacityAge18*'01_Вводные'!$B$218*'19_Расчет_аналитики'!BJ3595,MeanMinAge18))),0)</f>
        <v/>
      </c>
      <c r="BK3517">
        <f>IF('01_Вводные'!$B$234="Да",IF(OR('19_Расчет_аналитики'!BK3489=0,18&lt;='01_Вводные'!$B$297),0,'19_Расчет_аналитики'!BK3489*IF('01_Вводные'!$B$239="Да",MeanMinAge18+'19_Расчет_аналитики'!BK3595*SUMIF(ThresholdAge18,"&lt;"&amp;'19_Расчет_аналитики'!BK3595,WeightedRevAge18)-SUMIF(ThresholdAge18,"&lt;"&amp;'19_Расчет_аналитики'!BK3595,WeightedMinAge18),MAX(CapacityAge18*'01_Вводные'!$B$218*'19_Расчет_аналитики'!BK3595,MeanMinAge18))),0)</f>
        <v/>
      </c>
      <c r="BL3517">
        <f>IF('01_Вводные'!$B$234="Да",IF(OR('19_Расчет_аналитики'!BL3489=0,18&lt;='01_Вводные'!$B$297),0,'19_Расчет_аналитики'!BL3489*IF('01_Вводные'!$B$239="Да",MeanMinAge18+'19_Расчет_аналитики'!BL3595*SUMIF(ThresholdAge18,"&lt;"&amp;'19_Расчет_аналитики'!BL3595,WeightedRevAge18)-SUMIF(ThresholdAge18,"&lt;"&amp;'19_Расчет_аналитики'!BL3595,WeightedMinAge18),MAX(CapacityAge18*'01_Вводные'!$B$218*'19_Расчет_аналитики'!BL3595,MeanMinAge18))),0)</f>
        <v/>
      </c>
      <c r="BM3517">
        <f>IF('01_Вводные'!$B$234="Да",IF(OR('19_Расчет_аналитики'!BM3489=0,18&lt;='01_Вводные'!$B$297),0,'19_Расчет_аналитики'!BM3489*IF('01_Вводные'!$B$239="Да",MeanMinAge18+'19_Расчет_аналитики'!BM3595*SUMIF(ThresholdAge18,"&lt;"&amp;'19_Расчет_аналитики'!BM3595,WeightedRevAge18)-SUMIF(ThresholdAge18,"&lt;"&amp;'19_Расчет_аналитики'!BM3595,WeightedMinAge18),MAX(CapacityAge18*'01_Вводные'!$B$218*'19_Расчет_аналитики'!BM3595,MeanMinAge18))),0)</f>
        <v/>
      </c>
      <c r="BN3517">
        <f>IF('01_Вводные'!$B$234="Да",IF(OR('19_Расчет_аналитики'!BN3489=0,18&lt;='01_Вводные'!$B$297),0,'19_Расчет_аналитики'!BN3489*IF('01_Вводные'!$B$239="Да",MeanMinAge18+'19_Расчет_аналитики'!BN3595*SUMIF(ThresholdAge18,"&lt;"&amp;'19_Расчет_аналитики'!BN3595,WeightedRevAge18)-SUMIF(ThresholdAge18,"&lt;"&amp;'19_Расчет_аналитики'!BN3595,WeightedMinAge18),MAX(CapacityAge18*'01_Вводные'!$B$218*'19_Расчет_аналитики'!BN3595,MeanMinAge18))),0)</f>
        <v/>
      </c>
      <c r="BO3517">
        <f>IF('01_Вводные'!$B$234="Да",IF(OR('19_Расчет_аналитики'!BO3489=0,18&lt;='01_Вводные'!$B$297),0,'19_Расчет_аналитики'!BO3489*IF('01_Вводные'!$B$239="Да",MeanMinAge18+'19_Расчет_аналитики'!BO3595*SUMIF(ThresholdAge18,"&lt;"&amp;'19_Расчет_аналитики'!BO3595,WeightedRevAge18)-SUMIF(ThresholdAge18,"&lt;"&amp;'19_Расчет_аналитики'!BO3595,WeightedMinAge18),MAX(CapacityAge18*'01_Вводные'!$B$218*'19_Расчет_аналитики'!BO3595,MeanMinAge18))),0)</f>
        <v/>
      </c>
    </row>
    <row r="3518">
      <c r="B3518">
        <f>IF('01_Вводные'!$B$234="Да",IF(OR('06_Сеть_и_дети'!B99=0,19&lt;='01_Вводные'!$B$297),0,'06_Сеть_и_дети'!B99*IF('01_Вводные'!$B$239="Да",MeanMinAge19+'19_Расчет_аналитики'!B3595*SUMIF(ThresholdAge19,"&lt;"&amp;'19_Расчет_аналитики'!B3595,WeightedRevAge19)-SUMIF(ThresholdAge19,"&lt;"&amp;'19_Расчет_аналитики'!B3595,WeightedMinAge19),MAX(CapacityAge19*'01_Вводные'!$B$218*'19_Расчет_аналитики'!B3595,MeanMinAge19))),0)</f>
        <v/>
      </c>
      <c r="C3518">
        <f>IF('01_Вводные'!$B$234="Да",IF(OR('06_Сеть_и_дети'!C99=0,19&lt;='01_Вводные'!$B$297),0,'06_Сеть_и_дети'!C99*IF('01_Вводные'!$B$239="Да",MeanMinAge19+'19_Расчет_аналитики'!C3595*SUMIF(ThresholdAge19,"&lt;"&amp;'19_Расчет_аналитики'!C3595,WeightedRevAge19)-SUMIF(ThresholdAge19,"&lt;"&amp;'19_Расчет_аналитики'!C3595,WeightedMinAge19),MAX(CapacityAge19*'01_Вводные'!$B$218*'19_Расчет_аналитики'!C3595,MeanMinAge19))),0)</f>
        <v/>
      </c>
      <c r="D3518">
        <f>IF('01_Вводные'!$B$234="Да",IF(OR('06_Сеть_и_дети'!D99=0,19&lt;='01_Вводные'!$B$297),0,'06_Сеть_и_дети'!D99*IF('01_Вводные'!$B$239="Да",MeanMinAge19+'19_Расчет_аналитики'!D3595*SUMIF(ThresholdAge19,"&lt;"&amp;'19_Расчет_аналитики'!D3595,WeightedRevAge19)-SUMIF(ThresholdAge19,"&lt;"&amp;'19_Расчет_аналитики'!D3595,WeightedMinAge19),MAX(CapacityAge19*'01_Вводные'!$B$218*'19_Расчет_аналитики'!D3595,MeanMinAge19))),0)</f>
        <v/>
      </c>
      <c r="E3518">
        <f>IF('01_Вводные'!$B$234="Да",IF(OR('06_Сеть_и_дети'!E99=0,19&lt;='01_Вводные'!$B$297),0,'06_Сеть_и_дети'!E99*IF('01_Вводные'!$B$239="Да",MeanMinAge19+'19_Расчет_аналитики'!E3595*SUMIF(ThresholdAge19,"&lt;"&amp;'19_Расчет_аналитики'!E3595,WeightedRevAge19)-SUMIF(ThresholdAge19,"&lt;"&amp;'19_Расчет_аналитики'!E3595,WeightedMinAge19),MAX(CapacityAge19*'01_Вводные'!$B$218*'19_Расчет_аналитики'!E3595,MeanMinAge19))),0)</f>
        <v/>
      </c>
      <c r="F3518">
        <f>IF('01_Вводные'!$B$234="Да",IF(OR('06_Сеть_и_дети'!F99=0,19&lt;='01_Вводные'!$B$297),0,'06_Сеть_и_дети'!F99*IF('01_Вводные'!$B$239="Да",MeanMinAge19+'19_Расчет_аналитики'!F3595*SUMIF(ThresholdAge19,"&lt;"&amp;'19_Расчет_аналитики'!F3595,WeightedRevAge19)-SUMIF(ThresholdAge19,"&lt;"&amp;'19_Расчет_аналитики'!F3595,WeightedMinAge19),MAX(CapacityAge19*'01_Вводные'!$B$218*'19_Расчет_аналитики'!F3595,MeanMinAge19))),0)</f>
        <v/>
      </c>
      <c r="G3518">
        <f>IF('01_Вводные'!$B$234="Да",IF(OR('06_Сеть_и_дети'!G99=0,19&lt;='01_Вводные'!$B$297),0,'06_Сеть_и_дети'!G99*IF('01_Вводные'!$B$239="Да",MeanMinAge19+'19_Расчет_аналитики'!G3595*SUMIF(ThresholdAge19,"&lt;"&amp;'19_Расчет_аналитики'!G3595,WeightedRevAge19)-SUMIF(ThresholdAge19,"&lt;"&amp;'19_Расчет_аналитики'!G3595,WeightedMinAge19),MAX(CapacityAge19*'01_Вводные'!$B$218*'19_Расчет_аналитики'!G3595,MeanMinAge19))),0)</f>
        <v/>
      </c>
      <c r="H3518">
        <f>IF('01_Вводные'!$B$234="Да",IF(OR('06_Сеть_и_дети'!H99=0,19&lt;='01_Вводные'!$B$297),0,'06_Сеть_и_дети'!H99*IF('01_Вводные'!$B$239="Да",MeanMinAge19+'19_Расчет_аналитики'!H3595*SUMIF(ThresholdAge19,"&lt;"&amp;'19_Расчет_аналитики'!H3595,WeightedRevAge19)-SUMIF(ThresholdAge19,"&lt;"&amp;'19_Расчет_аналитики'!H3595,WeightedMinAge19),MAX(CapacityAge19*'01_Вводные'!$B$218*'19_Расчет_аналитики'!H3595,MeanMinAge19))),0)</f>
        <v/>
      </c>
      <c r="I3518">
        <f>IF('01_Вводные'!$B$234="Да",IF(OR('06_Сеть_и_дети'!I99=0,19&lt;='01_Вводные'!$B$297),0,'06_Сеть_и_дети'!I99*IF('01_Вводные'!$B$239="Да",MeanMinAge19+'19_Расчет_аналитики'!I3595*SUMIF(ThresholdAge19,"&lt;"&amp;'19_Расчет_аналитики'!I3595,WeightedRevAge19)-SUMIF(ThresholdAge19,"&lt;"&amp;'19_Расчет_аналитики'!I3595,WeightedMinAge19),MAX(CapacityAge19*'01_Вводные'!$B$218*'19_Расчет_аналитики'!I3595,MeanMinAge19))),0)</f>
        <v/>
      </c>
      <c r="J3518">
        <f>IF('01_Вводные'!$B$234="Да",IF(OR('06_Сеть_и_дети'!J99=0,19&lt;='01_Вводные'!$B$297),0,'06_Сеть_и_дети'!J99*IF('01_Вводные'!$B$239="Да",MeanMinAge19+'19_Расчет_аналитики'!J3595*SUMIF(ThresholdAge19,"&lt;"&amp;'19_Расчет_аналитики'!J3595,WeightedRevAge19)-SUMIF(ThresholdAge19,"&lt;"&amp;'19_Расчет_аналитики'!J3595,WeightedMinAge19),MAX(CapacityAge19*'01_Вводные'!$B$218*'19_Расчет_аналитики'!J3595,MeanMinAge19))),0)</f>
        <v/>
      </c>
      <c r="K3518">
        <f>IF('01_Вводные'!$B$234="Да",IF(OR('06_Сеть_и_дети'!K99=0,19&lt;='01_Вводные'!$B$297),0,'06_Сеть_и_дети'!K99*IF('01_Вводные'!$B$239="Да",MeanMinAge19+'19_Расчет_аналитики'!K3595*SUMIF(ThresholdAge19,"&lt;"&amp;'19_Расчет_аналитики'!K3595,WeightedRevAge19)-SUMIF(ThresholdAge19,"&lt;"&amp;'19_Расчет_аналитики'!K3595,WeightedMinAge19),MAX(CapacityAge19*'01_Вводные'!$B$218*'19_Расчет_аналитики'!K3595,MeanMinAge19))),0)</f>
        <v/>
      </c>
      <c r="L3518">
        <f>IF('01_Вводные'!$B$234="Да",IF(OR('06_Сеть_и_дети'!L99=0,19&lt;='01_Вводные'!$B$297),0,'06_Сеть_и_дети'!L99*IF('01_Вводные'!$B$239="Да",MeanMinAge19+'19_Расчет_аналитики'!L3595*SUMIF(ThresholdAge19,"&lt;"&amp;'19_Расчет_аналитики'!L3595,WeightedRevAge19)-SUMIF(ThresholdAge19,"&lt;"&amp;'19_Расчет_аналитики'!L3595,WeightedMinAge19),MAX(CapacityAge19*'01_Вводные'!$B$218*'19_Расчет_аналитики'!L3595,MeanMinAge19))),0)</f>
        <v/>
      </c>
      <c r="M3518">
        <f>IF('01_Вводные'!$B$234="Да",IF(OR('06_Сеть_и_дети'!M99=0,19&lt;='01_Вводные'!$B$297),0,'06_Сеть_и_дети'!M99*IF('01_Вводные'!$B$239="Да",MeanMinAge19+'19_Расчет_аналитики'!M3595*SUMIF(ThresholdAge19,"&lt;"&amp;'19_Расчет_аналитики'!M3595,WeightedRevAge19)-SUMIF(ThresholdAge19,"&lt;"&amp;'19_Расчет_аналитики'!M3595,WeightedMinAge19),MAX(CapacityAge19*'01_Вводные'!$B$218*'19_Расчет_аналитики'!M3595,MeanMinAge19))),0)</f>
        <v/>
      </c>
      <c r="N3518">
        <f>IF('01_Вводные'!$B$234="Да",IF(OR('06_Сеть_и_дети'!N99=0,19&lt;='01_Вводные'!$B$297),0,'06_Сеть_и_дети'!N99*IF('01_Вводные'!$B$239="Да",MeanMinAge19+'19_Расчет_аналитики'!N3595*SUMIF(ThresholdAge19,"&lt;"&amp;'19_Расчет_аналитики'!N3595,WeightedRevAge19)-SUMIF(ThresholdAge19,"&lt;"&amp;'19_Расчет_аналитики'!N3595,WeightedMinAge19),MAX(CapacityAge19*'01_Вводные'!$B$218*'19_Расчет_аналитики'!N3595,MeanMinAge19))),0)</f>
        <v/>
      </c>
      <c r="O3518">
        <f>IF('01_Вводные'!$B$234="Да",IF(OR('06_Сеть_и_дети'!O99=0,19&lt;='01_Вводные'!$B$297),0,'06_Сеть_и_дети'!O99*IF('01_Вводные'!$B$239="Да",MeanMinAge19+'19_Расчет_аналитики'!O3595*SUMIF(ThresholdAge19,"&lt;"&amp;'19_Расчет_аналитики'!O3595,WeightedRevAge19)-SUMIF(ThresholdAge19,"&lt;"&amp;'19_Расчет_аналитики'!O3595,WeightedMinAge19),MAX(CapacityAge19*'01_Вводные'!$B$218*'19_Расчет_аналитики'!O3595,MeanMinAge19))),0)</f>
        <v/>
      </c>
      <c r="P3518">
        <f>IF('01_Вводные'!$B$234="Да",IF(OR('06_Сеть_и_дети'!P99=0,19&lt;='01_Вводные'!$B$297),0,'06_Сеть_и_дети'!P99*IF('01_Вводные'!$B$239="Да",MeanMinAge19+'19_Расчет_аналитики'!P3595*SUMIF(ThresholdAge19,"&lt;"&amp;'19_Расчет_аналитики'!P3595,WeightedRevAge19)-SUMIF(ThresholdAge19,"&lt;"&amp;'19_Расчет_аналитики'!P3595,WeightedMinAge19),MAX(CapacityAge19*'01_Вводные'!$B$218*'19_Расчет_аналитики'!P3595,MeanMinAge19))),0)</f>
        <v/>
      </c>
      <c r="Q3518">
        <f>IF('01_Вводные'!$B$234="Да",IF(OR('06_Сеть_и_дети'!Q99=0,19&lt;='01_Вводные'!$B$297),0,'06_Сеть_и_дети'!Q99*IF('01_Вводные'!$B$239="Да",MeanMinAge19+'19_Расчет_аналитики'!Q3595*SUMIF(ThresholdAge19,"&lt;"&amp;'19_Расчет_аналитики'!Q3595,WeightedRevAge19)-SUMIF(ThresholdAge19,"&lt;"&amp;'19_Расчет_аналитики'!Q3595,WeightedMinAge19),MAX(CapacityAge19*'01_Вводные'!$B$218*'19_Расчет_аналитики'!Q3595,MeanMinAge19))),0)</f>
        <v/>
      </c>
      <c r="R3518">
        <f>IF('01_Вводные'!$B$234="Да",IF(OR('06_Сеть_и_дети'!R99=0,19&lt;='01_Вводные'!$B$297),0,'06_Сеть_и_дети'!R99*IF('01_Вводные'!$B$239="Да",MeanMinAge19+'19_Расчет_аналитики'!R3595*SUMIF(ThresholdAge19,"&lt;"&amp;'19_Расчет_аналитики'!R3595,WeightedRevAge19)-SUMIF(ThresholdAge19,"&lt;"&amp;'19_Расчет_аналитики'!R3595,WeightedMinAge19),MAX(CapacityAge19*'01_Вводные'!$B$218*'19_Расчет_аналитики'!R3595,MeanMinAge19))),0)</f>
        <v/>
      </c>
      <c r="S3518">
        <f>IF('01_Вводные'!$B$234="Да",IF(OR('06_Сеть_и_дети'!S99=0,19&lt;='01_Вводные'!$B$297),0,'06_Сеть_и_дети'!S99*IF('01_Вводные'!$B$239="Да",MeanMinAge19+'19_Расчет_аналитики'!S3595*SUMIF(ThresholdAge19,"&lt;"&amp;'19_Расчет_аналитики'!S3595,WeightedRevAge19)-SUMIF(ThresholdAge19,"&lt;"&amp;'19_Расчет_аналитики'!S3595,WeightedMinAge19),MAX(CapacityAge19*'01_Вводные'!$B$218*'19_Расчет_аналитики'!S3595,MeanMinAge19))),0)</f>
        <v/>
      </c>
      <c r="T3518">
        <f>IF('01_Вводные'!$B$234="Да",IF(OR('19_Расчет_аналитики'!T3490=0,19&lt;='01_Вводные'!$B$297),0,'19_Расчет_аналитики'!T3490*IF('01_Вводные'!$B$239="Да",MeanMinAge19+'19_Расчет_аналитики'!T3595*SUMIF(ThresholdAge19,"&lt;"&amp;'19_Расчет_аналитики'!T3595,WeightedRevAge19)-SUMIF(ThresholdAge19,"&lt;"&amp;'19_Расчет_аналитики'!T3595,WeightedMinAge19),MAX(CapacityAge19*'01_Вводные'!$B$218*'19_Расчет_аналитики'!T3595,MeanMinAge19))),0)</f>
        <v/>
      </c>
      <c r="U3518">
        <f>IF('01_Вводные'!$B$234="Да",IF(OR('19_Расчет_аналитики'!U3490=0,19&lt;='01_Вводные'!$B$297),0,'19_Расчет_аналитики'!U3490*IF('01_Вводные'!$B$239="Да",MeanMinAge19+'19_Расчет_аналитики'!U3595*SUMIF(ThresholdAge19,"&lt;"&amp;'19_Расчет_аналитики'!U3595,WeightedRevAge19)-SUMIF(ThresholdAge19,"&lt;"&amp;'19_Расчет_аналитики'!U3595,WeightedMinAge19),MAX(CapacityAge19*'01_Вводные'!$B$218*'19_Расчет_аналитики'!U3595,MeanMinAge19))),0)</f>
        <v/>
      </c>
      <c r="V3518">
        <f>IF('01_Вводные'!$B$234="Да",IF(OR('19_Расчет_аналитики'!V3490=0,19&lt;='01_Вводные'!$B$297),0,'19_Расчет_аналитики'!V3490*IF('01_Вводные'!$B$239="Да",MeanMinAge19+'19_Расчет_аналитики'!V3595*SUMIF(ThresholdAge19,"&lt;"&amp;'19_Расчет_аналитики'!V3595,WeightedRevAge19)-SUMIF(ThresholdAge19,"&lt;"&amp;'19_Расчет_аналитики'!V3595,WeightedMinAge19),MAX(CapacityAge19*'01_Вводные'!$B$218*'19_Расчет_аналитики'!V3595,MeanMinAge19))),0)</f>
        <v/>
      </c>
      <c r="W3518">
        <f>IF('01_Вводные'!$B$234="Да",IF(OR('19_Расчет_аналитики'!W3490=0,19&lt;='01_Вводные'!$B$297),0,'19_Расчет_аналитики'!W3490*IF('01_Вводные'!$B$239="Да",MeanMinAge19+'19_Расчет_аналитики'!W3595*SUMIF(ThresholdAge19,"&lt;"&amp;'19_Расчет_аналитики'!W3595,WeightedRevAge19)-SUMIF(ThresholdAge19,"&lt;"&amp;'19_Расчет_аналитики'!W3595,WeightedMinAge19),MAX(CapacityAge19*'01_Вводные'!$B$218*'19_Расчет_аналитики'!W3595,MeanMinAge19))),0)</f>
        <v/>
      </c>
      <c r="X3518">
        <f>IF('01_Вводные'!$B$234="Да",IF(OR('19_Расчет_аналитики'!X3490=0,19&lt;='01_Вводные'!$B$297),0,'19_Расчет_аналитики'!X3490*IF('01_Вводные'!$B$239="Да",MeanMinAge19+'19_Расчет_аналитики'!X3595*SUMIF(ThresholdAge19,"&lt;"&amp;'19_Расчет_аналитики'!X3595,WeightedRevAge19)-SUMIF(ThresholdAge19,"&lt;"&amp;'19_Расчет_аналитики'!X3595,WeightedMinAge19),MAX(CapacityAge19*'01_Вводные'!$B$218*'19_Расчет_аналитики'!X3595,MeanMinAge19))),0)</f>
        <v/>
      </c>
      <c r="Y3518">
        <f>IF('01_Вводные'!$B$234="Да",IF(OR('19_Расчет_аналитики'!Y3490=0,19&lt;='01_Вводные'!$B$297),0,'19_Расчет_аналитики'!Y3490*IF('01_Вводные'!$B$239="Да",MeanMinAge19+'19_Расчет_аналитики'!Y3595*SUMIF(ThresholdAge19,"&lt;"&amp;'19_Расчет_аналитики'!Y3595,WeightedRevAge19)-SUMIF(ThresholdAge19,"&lt;"&amp;'19_Расчет_аналитики'!Y3595,WeightedMinAge19),MAX(CapacityAge19*'01_Вводные'!$B$218*'19_Расчет_аналитики'!Y3595,MeanMinAge19))),0)</f>
        <v/>
      </c>
      <c r="Z3518">
        <f>IF('01_Вводные'!$B$234="Да",IF(OR('19_Расчет_аналитики'!Z3490=0,19&lt;='01_Вводные'!$B$297),0,'19_Расчет_аналитики'!Z3490*IF('01_Вводные'!$B$239="Да",MeanMinAge19+'19_Расчет_аналитики'!Z3595*SUMIF(ThresholdAge19,"&lt;"&amp;'19_Расчет_аналитики'!Z3595,WeightedRevAge19)-SUMIF(ThresholdAge19,"&lt;"&amp;'19_Расчет_аналитики'!Z3595,WeightedMinAge19),MAX(CapacityAge19*'01_Вводные'!$B$218*'19_Расчет_аналитики'!Z3595,MeanMinAge19))),0)</f>
        <v/>
      </c>
      <c r="AA3518">
        <f>IF('01_Вводные'!$B$234="Да",IF(OR('19_Расчет_аналитики'!AA3490=0,19&lt;='01_Вводные'!$B$297),0,'19_Расчет_аналитики'!AA3490*IF('01_Вводные'!$B$239="Да",MeanMinAge19+'19_Расчет_аналитики'!AA3595*SUMIF(ThresholdAge19,"&lt;"&amp;'19_Расчет_аналитики'!AA3595,WeightedRevAge19)-SUMIF(ThresholdAge19,"&lt;"&amp;'19_Расчет_аналитики'!AA3595,WeightedMinAge19),MAX(CapacityAge19*'01_Вводные'!$B$218*'19_Расчет_аналитики'!AA3595,MeanMinAge19))),0)</f>
        <v/>
      </c>
      <c r="AB3518">
        <f>IF('01_Вводные'!$B$234="Да",IF(OR('19_Расчет_аналитики'!AB3490=0,19&lt;='01_Вводные'!$B$297),0,'19_Расчет_аналитики'!AB3490*IF('01_Вводные'!$B$239="Да",MeanMinAge19+'19_Расчет_аналитики'!AB3595*SUMIF(ThresholdAge19,"&lt;"&amp;'19_Расчет_аналитики'!AB3595,WeightedRevAge19)-SUMIF(ThresholdAge19,"&lt;"&amp;'19_Расчет_аналитики'!AB3595,WeightedMinAge19),MAX(CapacityAge19*'01_Вводные'!$B$218*'19_Расчет_аналитики'!AB3595,MeanMinAge19))),0)</f>
        <v/>
      </c>
      <c r="AC3518">
        <f>IF('01_Вводные'!$B$234="Да",IF(OR('19_Расчет_аналитики'!AC3490=0,19&lt;='01_Вводные'!$B$297),0,'19_Расчет_аналитики'!AC3490*IF('01_Вводные'!$B$239="Да",MeanMinAge19+'19_Расчет_аналитики'!AC3595*SUMIF(ThresholdAge19,"&lt;"&amp;'19_Расчет_аналитики'!AC3595,WeightedRevAge19)-SUMIF(ThresholdAge19,"&lt;"&amp;'19_Расчет_аналитики'!AC3595,WeightedMinAge19),MAX(CapacityAge19*'01_Вводные'!$B$218*'19_Расчет_аналитики'!AC3595,MeanMinAge19))),0)</f>
        <v/>
      </c>
      <c r="AD3518">
        <f>IF('01_Вводные'!$B$234="Да",IF(OR('19_Расчет_аналитики'!AD3490=0,19&lt;='01_Вводные'!$B$297),0,'19_Расчет_аналитики'!AD3490*IF('01_Вводные'!$B$239="Да",MeanMinAge19+'19_Расчет_аналитики'!AD3595*SUMIF(ThresholdAge19,"&lt;"&amp;'19_Расчет_аналитики'!AD3595,WeightedRevAge19)-SUMIF(ThresholdAge19,"&lt;"&amp;'19_Расчет_аналитики'!AD3595,WeightedMinAge19),MAX(CapacityAge19*'01_Вводные'!$B$218*'19_Расчет_аналитики'!AD3595,MeanMinAge19))),0)</f>
        <v/>
      </c>
      <c r="AE3518">
        <f>IF('01_Вводные'!$B$234="Да",IF(OR('19_Расчет_аналитики'!AE3490=0,19&lt;='01_Вводные'!$B$297),0,'19_Расчет_аналитики'!AE3490*IF('01_Вводные'!$B$239="Да",MeanMinAge19+'19_Расчет_аналитики'!AE3595*SUMIF(ThresholdAge19,"&lt;"&amp;'19_Расчет_аналитики'!AE3595,WeightedRevAge19)-SUMIF(ThresholdAge19,"&lt;"&amp;'19_Расчет_аналитики'!AE3595,WeightedMinAge19),MAX(CapacityAge19*'01_Вводные'!$B$218*'19_Расчет_аналитики'!AE3595,MeanMinAge19))),0)</f>
        <v/>
      </c>
      <c r="AF3518">
        <f>IF('01_Вводные'!$B$234="Да",IF(OR('19_Расчет_аналитики'!AF3490=0,19&lt;='01_Вводные'!$B$297),0,'19_Расчет_аналитики'!AF3490*IF('01_Вводные'!$B$239="Да",MeanMinAge19+'19_Расчет_аналитики'!AF3595*SUMIF(ThresholdAge19,"&lt;"&amp;'19_Расчет_аналитики'!AF3595,WeightedRevAge19)-SUMIF(ThresholdAge19,"&lt;"&amp;'19_Расчет_аналитики'!AF3595,WeightedMinAge19),MAX(CapacityAge19*'01_Вводные'!$B$218*'19_Расчет_аналитики'!AF3595,MeanMinAge19))),0)</f>
        <v/>
      </c>
      <c r="AG3518">
        <f>IF('01_Вводные'!$B$234="Да",IF(OR('19_Расчет_аналитики'!AG3490=0,19&lt;='01_Вводные'!$B$297),0,'19_Расчет_аналитики'!AG3490*IF('01_Вводные'!$B$239="Да",MeanMinAge19+'19_Расчет_аналитики'!AG3595*SUMIF(ThresholdAge19,"&lt;"&amp;'19_Расчет_аналитики'!AG3595,WeightedRevAge19)-SUMIF(ThresholdAge19,"&lt;"&amp;'19_Расчет_аналитики'!AG3595,WeightedMinAge19),MAX(CapacityAge19*'01_Вводные'!$B$218*'19_Расчет_аналитики'!AG3595,MeanMinAge19))),0)</f>
        <v/>
      </c>
      <c r="AH3518">
        <f>IF('01_Вводные'!$B$234="Да",IF(OR('19_Расчет_аналитики'!AH3490=0,19&lt;='01_Вводные'!$B$297),0,'19_Расчет_аналитики'!AH3490*IF('01_Вводные'!$B$239="Да",MeanMinAge19+'19_Расчет_аналитики'!AH3595*SUMIF(ThresholdAge19,"&lt;"&amp;'19_Расчет_аналитики'!AH3595,WeightedRevAge19)-SUMIF(ThresholdAge19,"&lt;"&amp;'19_Расчет_аналитики'!AH3595,WeightedMinAge19),MAX(CapacityAge19*'01_Вводные'!$B$218*'19_Расчет_аналитики'!AH3595,MeanMinAge19))),0)</f>
        <v/>
      </c>
      <c r="AI3518">
        <f>IF('01_Вводные'!$B$234="Да",IF(OR('19_Расчет_аналитики'!AI3490=0,19&lt;='01_Вводные'!$B$297),0,'19_Расчет_аналитики'!AI3490*IF('01_Вводные'!$B$239="Да",MeanMinAge19+'19_Расчет_аналитики'!AI3595*SUMIF(ThresholdAge19,"&lt;"&amp;'19_Расчет_аналитики'!AI3595,WeightedRevAge19)-SUMIF(ThresholdAge19,"&lt;"&amp;'19_Расчет_аналитики'!AI3595,WeightedMinAge19),MAX(CapacityAge19*'01_Вводные'!$B$218*'19_Расчет_аналитики'!AI3595,MeanMinAge19))),0)</f>
        <v/>
      </c>
      <c r="AJ3518">
        <f>IF('01_Вводные'!$B$234="Да",IF(OR('19_Расчет_аналитики'!AJ3490=0,19&lt;='01_Вводные'!$B$297),0,'19_Расчет_аналитики'!AJ3490*IF('01_Вводные'!$B$239="Да",MeanMinAge19+'19_Расчет_аналитики'!AJ3595*SUMIF(ThresholdAge19,"&lt;"&amp;'19_Расчет_аналитики'!AJ3595,WeightedRevAge19)-SUMIF(ThresholdAge19,"&lt;"&amp;'19_Расчет_аналитики'!AJ3595,WeightedMinAge19),MAX(CapacityAge19*'01_Вводные'!$B$218*'19_Расчет_аналитики'!AJ3595,MeanMinAge19))),0)</f>
        <v/>
      </c>
      <c r="AK3518">
        <f>IF('01_Вводные'!$B$234="Да",IF(OR('19_Расчет_аналитики'!AK3490=0,19&lt;='01_Вводные'!$B$297),0,'19_Расчет_аналитики'!AK3490*IF('01_Вводные'!$B$239="Да",MeanMinAge19+'19_Расчет_аналитики'!AK3595*SUMIF(ThresholdAge19,"&lt;"&amp;'19_Расчет_аналитики'!AK3595,WeightedRevAge19)-SUMIF(ThresholdAge19,"&lt;"&amp;'19_Расчет_аналитики'!AK3595,WeightedMinAge19),MAX(CapacityAge19*'01_Вводные'!$B$218*'19_Расчет_аналитики'!AK3595,MeanMinAge19))),0)</f>
        <v/>
      </c>
      <c r="AL3518">
        <f>IF('01_Вводные'!$B$234="Да",IF(OR('19_Расчет_аналитики'!AL3490=0,19&lt;='01_Вводные'!$B$297),0,'19_Расчет_аналитики'!AL3490*IF('01_Вводные'!$B$239="Да",MeanMinAge19+'19_Расчет_аналитики'!AL3595*SUMIF(ThresholdAge19,"&lt;"&amp;'19_Расчет_аналитики'!AL3595,WeightedRevAge19)-SUMIF(ThresholdAge19,"&lt;"&amp;'19_Расчет_аналитики'!AL3595,WeightedMinAge19),MAX(CapacityAge19*'01_Вводные'!$B$218*'19_Расчет_аналитики'!AL3595,MeanMinAge19))),0)</f>
        <v/>
      </c>
      <c r="AM3518">
        <f>IF('01_Вводные'!$B$234="Да",IF(OR('19_Расчет_аналитики'!AM3490=0,19&lt;='01_Вводные'!$B$297),0,'19_Расчет_аналитики'!AM3490*IF('01_Вводные'!$B$239="Да",MeanMinAge19+'19_Расчет_аналитики'!AM3595*SUMIF(ThresholdAge19,"&lt;"&amp;'19_Расчет_аналитики'!AM3595,WeightedRevAge19)-SUMIF(ThresholdAge19,"&lt;"&amp;'19_Расчет_аналитики'!AM3595,WeightedMinAge19),MAX(CapacityAge19*'01_Вводные'!$B$218*'19_Расчет_аналитики'!AM3595,MeanMinAge19))),0)</f>
        <v/>
      </c>
      <c r="AN3518">
        <f>IF('01_Вводные'!$B$234="Да",IF(OR('19_Расчет_аналитики'!AN3490=0,19&lt;='01_Вводные'!$B$297),0,'19_Расчет_аналитики'!AN3490*IF('01_Вводные'!$B$239="Да",MeanMinAge19+'19_Расчет_аналитики'!AN3595*SUMIF(ThresholdAge19,"&lt;"&amp;'19_Расчет_аналитики'!AN3595,WeightedRevAge19)-SUMIF(ThresholdAge19,"&lt;"&amp;'19_Расчет_аналитики'!AN3595,WeightedMinAge19),MAX(CapacityAge19*'01_Вводные'!$B$218*'19_Расчет_аналитики'!AN3595,MeanMinAge19))),0)</f>
        <v/>
      </c>
      <c r="AO3518">
        <f>IF('01_Вводные'!$B$234="Да",IF(OR('19_Расчет_аналитики'!AO3490=0,19&lt;='01_Вводные'!$B$297),0,'19_Расчет_аналитики'!AO3490*IF('01_Вводные'!$B$239="Да",MeanMinAge19+'19_Расчет_аналитики'!AO3595*SUMIF(ThresholdAge19,"&lt;"&amp;'19_Расчет_аналитики'!AO3595,WeightedRevAge19)-SUMIF(ThresholdAge19,"&lt;"&amp;'19_Расчет_аналитики'!AO3595,WeightedMinAge19),MAX(CapacityAge19*'01_Вводные'!$B$218*'19_Расчет_аналитики'!AO3595,MeanMinAge19))),0)</f>
        <v/>
      </c>
      <c r="AP3518">
        <f>IF('01_Вводные'!$B$234="Да",IF(OR('19_Расчет_аналитики'!AP3490=0,19&lt;='01_Вводные'!$B$297),0,'19_Расчет_аналитики'!AP3490*IF('01_Вводные'!$B$239="Да",MeanMinAge19+'19_Расчет_аналитики'!AP3595*SUMIF(ThresholdAge19,"&lt;"&amp;'19_Расчет_аналитики'!AP3595,WeightedRevAge19)-SUMIF(ThresholdAge19,"&lt;"&amp;'19_Расчет_аналитики'!AP3595,WeightedMinAge19),MAX(CapacityAge19*'01_Вводные'!$B$218*'19_Расчет_аналитики'!AP3595,MeanMinAge19))),0)</f>
        <v/>
      </c>
      <c r="AQ3518">
        <f>IF('01_Вводные'!$B$234="Да",IF(OR('19_Расчет_аналитики'!AQ3490=0,19&lt;='01_Вводные'!$B$297),0,'19_Расчет_аналитики'!AQ3490*IF('01_Вводные'!$B$239="Да",MeanMinAge19+'19_Расчет_аналитики'!AQ3595*SUMIF(ThresholdAge19,"&lt;"&amp;'19_Расчет_аналитики'!AQ3595,WeightedRevAge19)-SUMIF(ThresholdAge19,"&lt;"&amp;'19_Расчет_аналитики'!AQ3595,WeightedMinAge19),MAX(CapacityAge19*'01_Вводные'!$B$218*'19_Расчет_аналитики'!AQ3595,MeanMinAge19))),0)</f>
        <v/>
      </c>
      <c r="AR3518">
        <f>IF('01_Вводные'!$B$234="Да",IF(OR('19_Расчет_аналитики'!AR3490=0,19&lt;='01_Вводные'!$B$297),0,'19_Расчет_аналитики'!AR3490*IF('01_Вводные'!$B$239="Да",MeanMinAge19+'19_Расчет_аналитики'!AR3595*SUMIF(ThresholdAge19,"&lt;"&amp;'19_Расчет_аналитики'!AR3595,WeightedRevAge19)-SUMIF(ThresholdAge19,"&lt;"&amp;'19_Расчет_аналитики'!AR3595,WeightedMinAge19),MAX(CapacityAge19*'01_Вводные'!$B$218*'19_Расчет_аналитики'!AR3595,MeanMinAge19))),0)</f>
        <v/>
      </c>
      <c r="AS3518">
        <f>IF('01_Вводные'!$B$234="Да",IF(OR('19_Расчет_аналитики'!AS3490=0,19&lt;='01_Вводные'!$B$297),0,'19_Расчет_аналитики'!AS3490*IF('01_Вводные'!$B$239="Да",MeanMinAge19+'19_Расчет_аналитики'!AS3595*SUMIF(ThresholdAge19,"&lt;"&amp;'19_Расчет_аналитики'!AS3595,WeightedRevAge19)-SUMIF(ThresholdAge19,"&lt;"&amp;'19_Расчет_аналитики'!AS3595,WeightedMinAge19),MAX(CapacityAge19*'01_Вводные'!$B$218*'19_Расчет_аналитики'!AS3595,MeanMinAge19))),0)</f>
        <v/>
      </c>
      <c r="AT3518">
        <f>IF('01_Вводные'!$B$234="Да",IF(OR('19_Расчет_аналитики'!AT3490=0,19&lt;='01_Вводные'!$B$297),0,'19_Расчет_аналитики'!AT3490*IF('01_Вводные'!$B$239="Да",MeanMinAge19+'19_Расчет_аналитики'!AT3595*SUMIF(ThresholdAge19,"&lt;"&amp;'19_Расчет_аналитики'!AT3595,WeightedRevAge19)-SUMIF(ThresholdAge19,"&lt;"&amp;'19_Расчет_аналитики'!AT3595,WeightedMinAge19),MAX(CapacityAge19*'01_Вводные'!$B$218*'19_Расчет_аналитики'!AT3595,MeanMinAge19))),0)</f>
        <v/>
      </c>
      <c r="AU3518">
        <f>IF('01_Вводные'!$B$234="Да",IF(OR('19_Расчет_аналитики'!AU3490=0,19&lt;='01_Вводные'!$B$297),0,'19_Расчет_аналитики'!AU3490*IF('01_Вводные'!$B$239="Да",MeanMinAge19+'19_Расчет_аналитики'!AU3595*SUMIF(ThresholdAge19,"&lt;"&amp;'19_Расчет_аналитики'!AU3595,WeightedRevAge19)-SUMIF(ThresholdAge19,"&lt;"&amp;'19_Расчет_аналитики'!AU3595,WeightedMinAge19),MAX(CapacityAge19*'01_Вводные'!$B$218*'19_Расчет_аналитики'!AU3595,MeanMinAge19))),0)</f>
        <v/>
      </c>
      <c r="AV3518">
        <f>IF('01_Вводные'!$B$234="Да",IF(OR('19_Расчет_аналитики'!AV3490=0,19&lt;='01_Вводные'!$B$297),0,'19_Расчет_аналитики'!AV3490*IF('01_Вводные'!$B$239="Да",MeanMinAge19+'19_Расчет_аналитики'!AV3595*SUMIF(ThresholdAge19,"&lt;"&amp;'19_Расчет_аналитики'!AV3595,WeightedRevAge19)-SUMIF(ThresholdAge19,"&lt;"&amp;'19_Расчет_аналитики'!AV3595,WeightedMinAge19),MAX(CapacityAge19*'01_Вводные'!$B$218*'19_Расчет_аналитики'!AV3595,MeanMinAge19))),0)</f>
        <v/>
      </c>
      <c r="AW3518">
        <f>IF('01_Вводные'!$B$234="Да",IF(OR('19_Расчет_аналитики'!AW3490=0,19&lt;='01_Вводные'!$B$297),0,'19_Расчет_аналитики'!AW3490*IF('01_Вводные'!$B$239="Да",MeanMinAge19+'19_Расчет_аналитики'!AW3595*SUMIF(ThresholdAge19,"&lt;"&amp;'19_Расчет_аналитики'!AW3595,WeightedRevAge19)-SUMIF(ThresholdAge19,"&lt;"&amp;'19_Расчет_аналитики'!AW3595,WeightedMinAge19),MAX(CapacityAge19*'01_Вводные'!$B$218*'19_Расчет_аналитики'!AW3595,MeanMinAge19))),0)</f>
        <v/>
      </c>
      <c r="AX3518">
        <f>IF('01_Вводные'!$B$234="Да",IF(OR('19_Расчет_аналитики'!AX3490=0,19&lt;='01_Вводные'!$B$297),0,'19_Расчет_аналитики'!AX3490*IF('01_Вводные'!$B$239="Да",MeanMinAge19+'19_Расчет_аналитики'!AX3595*SUMIF(ThresholdAge19,"&lt;"&amp;'19_Расчет_аналитики'!AX3595,WeightedRevAge19)-SUMIF(ThresholdAge19,"&lt;"&amp;'19_Расчет_аналитики'!AX3595,WeightedMinAge19),MAX(CapacityAge19*'01_Вводные'!$B$218*'19_Расчет_аналитики'!AX3595,MeanMinAge19))),0)</f>
        <v/>
      </c>
      <c r="AY3518">
        <f>IF('01_Вводные'!$B$234="Да",IF(OR('19_Расчет_аналитики'!AY3490=0,19&lt;='01_Вводные'!$B$297),0,'19_Расчет_аналитики'!AY3490*IF('01_Вводные'!$B$239="Да",MeanMinAge19+'19_Расчет_аналитики'!AY3595*SUMIF(ThresholdAge19,"&lt;"&amp;'19_Расчет_аналитики'!AY3595,WeightedRevAge19)-SUMIF(ThresholdAge19,"&lt;"&amp;'19_Расчет_аналитики'!AY3595,WeightedMinAge19),MAX(CapacityAge19*'01_Вводные'!$B$218*'19_Расчет_аналитики'!AY3595,MeanMinAge19))),0)</f>
        <v/>
      </c>
      <c r="AZ3518">
        <f>IF('01_Вводные'!$B$234="Да",IF(OR('19_Расчет_аналитики'!AZ3490=0,19&lt;='01_Вводные'!$B$297),0,'19_Расчет_аналитики'!AZ3490*IF('01_Вводные'!$B$239="Да",MeanMinAge19+'19_Расчет_аналитики'!AZ3595*SUMIF(ThresholdAge19,"&lt;"&amp;'19_Расчет_аналитики'!AZ3595,WeightedRevAge19)-SUMIF(ThresholdAge19,"&lt;"&amp;'19_Расчет_аналитики'!AZ3595,WeightedMinAge19),MAX(CapacityAge19*'01_Вводные'!$B$218*'19_Расчет_аналитики'!AZ3595,MeanMinAge19))),0)</f>
        <v/>
      </c>
      <c r="BA3518">
        <f>IF('01_Вводные'!$B$234="Да",IF(OR('19_Расчет_аналитики'!BA3490=0,19&lt;='01_Вводные'!$B$297),0,'19_Расчет_аналитики'!BA3490*IF('01_Вводные'!$B$239="Да",MeanMinAge19+'19_Расчет_аналитики'!BA3595*SUMIF(ThresholdAge19,"&lt;"&amp;'19_Расчет_аналитики'!BA3595,WeightedRevAge19)-SUMIF(ThresholdAge19,"&lt;"&amp;'19_Расчет_аналитики'!BA3595,WeightedMinAge19),MAX(CapacityAge19*'01_Вводные'!$B$218*'19_Расчет_аналитики'!BA3595,MeanMinAge19))),0)</f>
        <v/>
      </c>
      <c r="BB3518">
        <f>IF('01_Вводные'!$B$234="Да",IF(OR('19_Расчет_аналитики'!BB3490=0,19&lt;='01_Вводные'!$B$297),0,'19_Расчет_аналитики'!BB3490*IF('01_Вводные'!$B$239="Да",MeanMinAge19+'19_Расчет_аналитики'!BB3595*SUMIF(ThresholdAge19,"&lt;"&amp;'19_Расчет_аналитики'!BB3595,WeightedRevAge19)-SUMIF(ThresholdAge19,"&lt;"&amp;'19_Расчет_аналитики'!BB3595,WeightedMinAge19),MAX(CapacityAge19*'01_Вводные'!$B$218*'19_Расчет_аналитики'!BB3595,MeanMinAge19))),0)</f>
        <v/>
      </c>
      <c r="BC3518">
        <f>IF('01_Вводные'!$B$234="Да",IF(OR('19_Расчет_аналитики'!BC3490=0,19&lt;='01_Вводные'!$B$297),0,'19_Расчет_аналитики'!BC3490*IF('01_Вводные'!$B$239="Да",MeanMinAge19+'19_Расчет_аналитики'!BC3595*SUMIF(ThresholdAge19,"&lt;"&amp;'19_Расчет_аналитики'!BC3595,WeightedRevAge19)-SUMIF(ThresholdAge19,"&lt;"&amp;'19_Расчет_аналитики'!BC3595,WeightedMinAge19),MAX(CapacityAge19*'01_Вводные'!$B$218*'19_Расчет_аналитики'!BC3595,MeanMinAge19))),0)</f>
        <v/>
      </c>
      <c r="BD3518">
        <f>IF('01_Вводные'!$B$234="Да",IF(OR('19_Расчет_аналитики'!BD3490=0,19&lt;='01_Вводные'!$B$297),0,'19_Расчет_аналитики'!BD3490*IF('01_Вводные'!$B$239="Да",MeanMinAge19+'19_Расчет_аналитики'!BD3595*SUMIF(ThresholdAge19,"&lt;"&amp;'19_Расчет_аналитики'!BD3595,WeightedRevAge19)-SUMIF(ThresholdAge19,"&lt;"&amp;'19_Расчет_аналитики'!BD3595,WeightedMinAge19),MAX(CapacityAge19*'01_Вводные'!$B$218*'19_Расчет_аналитики'!BD3595,MeanMinAge19))),0)</f>
        <v/>
      </c>
      <c r="BE3518">
        <f>IF('01_Вводные'!$B$234="Да",IF(OR('19_Расчет_аналитики'!BE3490=0,19&lt;='01_Вводные'!$B$297),0,'19_Расчет_аналитики'!BE3490*IF('01_Вводные'!$B$239="Да",MeanMinAge19+'19_Расчет_аналитики'!BE3595*SUMIF(ThresholdAge19,"&lt;"&amp;'19_Расчет_аналитики'!BE3595,WeightedRevAge19)-SUMIF(ThresholdAge19,"&lt;"&amp;'19_Расчет_аналитики'!BE3595,WeightedMinAge19),MAX(CapacityAge19*'01_Вводные'!$B$218*'19_Расчет_аналитики'!BE3595,MeanMinAge19))),0)</f>
        <v/>
      </c>
      <c r="BF3518">
        <f>IF('01_Вводные'!$B$234="Да",IF(OR('19_Расчет_аналитики'!BF3490=0,19&lt;='01_Вводные'!$B$297),0,'19_Расчет_аналитики'!BF3490*IF('01_Вводные'!$B$239="Да",MeanMinAge19+'19_Расчет_аналитики'!BF3595*SUMIF(ThresholdAge19,"&lt;"&amp;'19_Расчет_аналитики'!BF3595,WeightedRevAge19)-SUMIF(ThresholdAge19,"&lt;"&amp;'19_Расчет_аналитики'!BF3595,WeightedMinAge19),MAX(CapacityAge19*'01_Вводные'!$B$218*'19_Расчет_аналитики'!BF3595,MeanMinAge19))),0)</f>
        <v/>
      </c>
      <c r="BG3518">
        <f>IF('01_Вводные'!$B$234="Да",IF(OR('19_Расчет_аналитики'!BG3490=0,19&lt;='01_Вводные'!$B$297),0,'19_Расчет_аналитики'!BG3490*IF('01_Вводные'!$B$239="Да",MeanMinAge19+'19_Расчет_аналитики'!BG3595*SUMIF(ThresholdAge19,"&lt;"&amp;'19_Расчет_аналитики'!BG3595,WeightedRevAge19)-SUMIF(ThresholdAge19,"&lt;"&amp;'19_Расчет_аналитики'!BG3595,WeightedMinAge19),MAX(CapacityAge19*'01_Вводные'!$B$218*'19_Расчет_аналитики'!BG3595,MeanMinAge19))),0)</f>
        <v/>
      </c>
      <c r="BH3518">
        <f>IF('01_Вводные'!$B$234="Да",IF(OR('19_Расчет_аналитики'!BH3490=0,19&lt;='01_Вводные'!$B$297),0,'19_Расчет_аналитики'!BH3490*IF('01_Вводные'!$B$239="Да",MeanMinAge19+'19_Расчет_аналитики'!BH3595*SUMIF(ThresholdAge19,"&lt;"&amp;'19_Расчет_аналитики'!BH3595,WeightedRevAge19)-SUMIF(ThresholdAge19,"&lt;"&amp;'19_Расчет_аналитики'!BH3595,WeightedMinAge19),MAX(CapacityAge19*'01_Вводные'!$B$218*'19_Расчет_аналитики'!BH3595,MeanMinAge19))),0)</f>
        <v/>
      </c>
      <c r="BI3518">
        <f>IF('01_Вводные'!$B$234="Да",IF(OR('19_Расчет_аналитики'!BI3490=0,19&lt;='01_Вводные'!$B$297),0,'19_Расчет_аналитики'!BI3490*IF('01_Вводные'!$B$239="Да",MeanMinAge19+'19_Расчет_аналитики'!BI3595*SUMIF(ThresholdAge19,"&lt;"&amp;'19_Расчет_аналитики'!BI3595,WeightedRevAge19)-SUMIF(ThresholdAge19,"&lt;"&amp;'19_Расчет_аналитики'!BI3595,WeightedMinAge19),MAX(CapacityAge19*'01_Вводные'!$B$218*'19_Расчет_аналитики'!BI3595,MeanMinAge19))),0)</f>
        <v/>
      </c>
      <c r="BJ3518">
        <f>IF('01_Вводные'!$B$234="Да",IF(OR('19_Расчет_аналитики'!BJ3490=0,19&lt;='01_Вводные'!$B$297),0,'19_Расчет_аналитики'!BJ3490*IF('01_Вводные'!$B$239="Да",MeanMinAge19+'19_Расчет_аналитики'!BJ3595*SUMIF(ThresholdAge19,"&lt;"&amp;'19_Расчет_аналитики'!BJ3595,WeightedRevAge19)-SUMIF(ThresholdAge19,"&lt;"&amp;'19_Расчет_аналитики'!BJ3595,WeightedMinAge19),MAX(CapacityAge19*'01_Вводные'!$B$218*'19_Расчет_аналитики'!BJ3595,MeanMinAge19))),0)</f>
        <v/>
      </c>
      <c r="BK3518">
        <f>IF('01_Вводные'!$B$234="Да",IF(OR('19_Расчет_аналитики'!BK3490=0,19&lt;='01_Вводные'!$B$297),0,'19_Расчет_аналитики'!BK3490*IF('01_Вводные'!$B$239="Да",MeanMinAge19+'19_Расчет_аналитики'!BK3595*SUMIF(ThresholdAge19,"&lt;"&amp;'19_Расчет_аналитики'!BK3595,WeightedRevAge19)-SUMIF(ThresholdAge19,"&lt;"&amp;'19_Расчет_аналитики'!BK3595,WeightedMinAge19),MAX(CapacityAge19*'01_Вводные'!$B$218*'19_Расчет_аналитики'!BK3595,MeanMinAge19))),0)</f>
        <v/>
      </c>
      <c r="BL3518">
        <f>IF('01_Вводные'!$B$234="Да",IF(OR('19_Расчет_аналитики'!BL3490=0,19&lt;='01_Вводные'!$B$297),0,'19_Расчет_аналитики'!BL3490*IF('01_Вводные'!$B$239="Да",MeanMinAge19+'19_Расчет_аналитики'!BL3595*SUMIF(ThresholdAge19,"&lt;"&amp;'19_Расчет_аналитики'!BL3595,WeightedRevAge19)-SUMIF(ThresholdAge19,"&lt;"&amp;'19_Расчет_аналитики'!BL3595,WeightedMinAge19),MAX(CapacityAge19*'01_Вводные'!$B$218*'19_Расчет_аналитики'!BL3595,MeanMinAge19))),0)</f>
        <v/>
      </c>
      <c r="BM3518">
        <f>IF('01_Вводные'!$B$234="Да",IF(OR('19_Расчет_аналитики'!BM3490=0,19&lt;='01_Вводные'!$B$297),0,'19_Расчет_аналитики'!BM3490*IF('01_Вводные'!$B$239="Да",MeanMinAge19+'19_Расчет_аналитики'!BM3595*SUMIF(ThresholdAge19,"&lt;"&amp;'19_Расчет_аналитики'!BM3595,WeightedRevAge19)-SUMIF(ThresholdAge19,"&lt;"&amp;'19_Расчет_аналитики'!BM3595,WeightedMinAge19),MAX(CapacityAge19*'01_Вводные'!$B$218*'19_Расчет_аналитики'!BM3595,MeanMinAge19))),0)</f>
        <v/>
      </c>
      <c r="BN3518">
        <f>IF('01_Вводные'!$B$234="Да",IF(OR('19_Расчет_аналитики'!BN3490=0,19&lt;='01_Вводные'!$B$297),0,'19_Расчет_аналитики'!BN3490*IF('01_Вводные'!$B$239="Да",MeanMinAge19+'19_Расчет_аналитики'!BN3595*SUMIF(ThresholdAge19,"&lt;"&amp;'19_Расчет_аналитики'!BN3595,WeightedRevAge19)-SUMIF(ThresholdAge19,"&lt;"&amp;'19_Расчет_аналитики'!BN3595,WeightedMinAge19),MAX(CapacityAge19*'01_Вводные'!$B$218*'19_Расчет_аналитики'!BN3595,MeanMinAge19))),0)</f>
        <v/>
      </c>
      <c r="BO3518">
        <f>IF('01_Вводные'!$B$234="Да",IF(OR('19_Расчет_аналитики'!BO3490=0,19&lt;='01_Вводные'!$B$297),0,'19_Расчет_аналитики'!BO3490*IF('01_Вводные'!$B$239="Да",MeanMinAge19+'19_Расчет_аналитики'!BO3595*SUMIF(ThresholdAge19,"&lt;"&amp;'19_Расчет_аналитики'!BO3595,WeightedRevAge19)-SUMIF(ThresholdAge19,"&lt;"&amp;'19_Расчет_аналитики'!BO3595,WeightedMinAge19),MAX(CapacityAge19*'01_Вводные'!$B$218*'19_Расчет_аналитики'!BO3595,MeanMinAge19))),0)</f>
        <v/>
      </c>
    </row>
    <row r="3519">
      <c r="B3519">
        <f>IF('01_Вводные'!$B$234="Да",IF(OR('06_Сеть_и_дети'!B100=0,20&lt;='01_Вводные'!$B$297),0,'06_Сеть_и_дети'!B100*IF('01_Вводные'!$B$239="Да",MeanMinAge20+'19_Расчет_аналитики'!B3595*SUMIF(ThresholdAge20,"&lt;"&amp;'19_Расчет_аналитики'!B3595,WeightedRevAge20)-SUMIF(ThresholdAge20,"&lt;"&amp;'19_Расчет_аналитики'!B3595,WeightedMinAge20),MAX(CapacityAge20*'01_Вводные'!$B$218*'19_Расчет_аналитики'!B3595,MeanMinAge20))),0)</f>
        <v/>
      </c>
      <c r="C3519">
        <f>IF('01_Вводные'!$B$234="Да",IF(OR('06_Сеть_и_дети'!C100=0,20&lt;='01_Вводные'!$B$297),0,'06_Сеть_и_дети'!C100*IF('01_Вводные'!$B$239="Да",MeanMinAge20+'19_Расчет_аналитики'!C3595*SUMIF(ThresholdAge20,"&lt;"&amp;'19_Расчет_аналитики'!C3595,WeightedRevAge20)-SUMIF(ThresholdAge20,"&lt;"&amp;'19_Расчет_аналитики'!C3595,WeightedMinAge20),MAX(CapacityAge20*'01_Вводные'!$B$218*'19_Расчет_аналитики'!C3595,MeanMinAge20))),0)</f>
        <v/>
      </c>
      <c r="D3519">
        <f>IF('01_Вводные'!$B$234="Да",IF(OR('06_Сеть_и_дети'!D100=0,20&lt;='01_Вводные'!$B$297),0,'06_Сеть_и_дети'!D100*IF('01_Вводные'!$B$239="Да",MeanMinAge20+'19_Расчет_аналитики'!D3595*SUMIF(ThresholdAge20,"&lt;"&amp;'19_Расчет_аналитики'!D3595,WeightedRevAge20)-SUMIF(ThresholdAge20,"&lt;"&amp;'19_Расчет_аналитики'!D3595,WeightedMinAge20),MAX(CapacityAge20*'01_Вводные'!$B$218*'19_Расчет_аналитики'!D3595,MeanMinAge20))),0)</f>
        <v/>
      </c>
      <c r="E3519">
        <f>IF('01_Вводные'!$B$234="Да",IF(OR('06_Сеть_и_дети'!E100=0,20&lt;='01_Вводные'!$B$297),0,'06_Сеть_и_дети'!E100*IF('01_Вводные'!$B$239="Да",MeanMinAge20+'19_Расчет_аналитики'!E3595*SUMIF(ThresholdAge20,"&lt;"&amp;'19_Расчет_аналитики'!E3595,WeightedRevAge20)-SUMIF(ThresholdAge20,"&lt;"&amp;'19_Расчет_аналитики'!E3595,WeightedMinAge20),MAX(CapacityAge20*'01_Вводные'!$B$218*'19_Расчет_аналитики'!E3595,MeanMinAge20))),0)</f>
        <v/>
      </c>
      <c r="F3519">
        <f>IF('01_Вводные'!$B$234="Да",IF(OR('06_Сеть_и_дети'!F100=0,20&lt;='01_Вводные'!$B$297),0,'06_Сеть_и_дети'!F100*IF('01_Вводные'!$B$239="Да",MeanMinAge20+'19_Расчет_аналитики'!F3595*SUMIF(ThresholdAge20,"&lt;"&amp;'19_Расчет_аналитики'!F3595,WeightedRevAge20)-SUMIF(ThresholdAge20,"&lt;"&amp;'19_Расчет_аналитики'!F3595,WeightedMinAge20),MAX(CapacityAge20*'01_Вводные'!$B$218*'19_Расчет_аналитики'!F3595,MeanMinAge20))),0)</f>
        <v/>
      </c>
      <c r="G3519">
        <f>IF('01_Вводные'!$B$234="Да",IF(OR('06_Сеть_и_дети'!G100=0,20&lt;='01_Вводные'!$B$297),0,'06_Сеть_и_дети'!G100*IF('01_Вводные'!$B$239="Да",MeanMinAge20+'19_Расчет_аналитики'!G3595*SUMIF(ThresholdAge20,"&lt;"&amp;'19_Расчет_аналитики'!G3595,WeightedRevAge20)-SUMIF(ThresholdAge20,"&lt;"&amp;'19_Расчет_аналитики'!G3595,WeightedMinAge20),MAX(CapacityAge20*'01_Вводные'!$B$218*'19_Расчет_аналитики'!G3595,MeanMinAge20))),0)</f>
        <v/>
      </c>
      <c r="H3519">
        <f>IF('01_Вводные'!$B$234="Да",IF(OR('06_Сеть_и_дети'!H100=0,20&lt;='01_Вводные'!$B$297),0,'06_Сеть_и_дети'!H100*IF('01_Вводные'!$B$239="Да",MeanMinAge20+'19_Расчет_аналитики'!H3595*SUMIF(ThresholdAge20,"&lt;"&amp;'19_Расчет_аналитики'!H3595,WeightedRevAge20)-SUMIF(ThresholdAge20,"&lt;"&amp;'19_Расчет_аналитики'!H3595,WeightedMinAge20),MAX(CapacityAge20*'01_Вводные'!$B$218*'19_Расчет_аналитики'!H3595,MeanMinAge20))),0)</f>
        <v/>
      </c>
      <c r="I3519">
        <f>IF('01_Вводные'!$B$234="Да",IF(OR('06_Сеть_и_дети'!I100=0,20&lt;='01_Вводные'!$B$297),0,'06_Сеть_и_дети'!I100*IF('01_Вводные'!$B$239="Да",MeanMinAge20+'19_Расчет_аналитики'!I3595*SUMIF(ThresholdAge20,"&lt;"&amp;'19_Расчет_аналитики'!I3595,WeightedRevAge20)-SUMIF(ThresholdAge20,"&lt;"&amp;'19_Расчет_аналитики'!I3595,WeightedMinAge20),MAX(CapacityAge20*'01_Вводные'!$B$218*'19_Расчет_аналитики'!I3595,MeanMinAge20))),0)</f>
        <v/>
      </c>
      <c r="J3519">
        <f>IF('01_Вводные'!$B$234="Да",IF(OR('06_Сеть_и_дети'!J100=0,20&lt;='01_Вводные'!$B$297),0,'06_Сеть_и_дети'!J100*IF('01_Вводные'!$B$239="Да",MeanMinAge20+'19_Расчет_аналитики'!J3595*SUMIF(ThresholdAge20,"&lt;"&amp;'19_Расчет_аналитики'!J3595,WeightedRevAge20)-SUMIF(ThresholdAge20,"&lt;"&amp;'19_Расчет_аналитики'!J3595,WeightedMinAge20),MAX(CapacityAge20*'01_Вводные'!$B$218*'19_Расчет_аналитики'!J3595,MeanMinAge20))),0)</f>
        <v/>
      </c>
      <c r="K3519">
        <f>IF('01_Вводные'!$B$234="Да",IF(OR('06_Сеть_и_дети'!K100=0,20&lt;='01_Вводные'!$B$297),0,'06_Сеть_и_дети'!K100*IF('01_Вводные'!$B$239="Да",MeanMinAge20+'19_Расчет_аналитики'!K3595*SUMIF(ThresholdAge20,"&lt;"&amp;'19_Расчет_аналитики'!K3595,WeightedRevAge20)-SUMIF(ThresholdAge20,"&lt;"&amp;'19_Расчет_аналитики'!K3595,WeightedMinAge20),MAX(CapacityAge20*'01_Вводные'!$B$218*'19_Расчет_аналитики'!K3595,MeanMinAge20))),0)</f>
        <v/>
      </c>
      <c r="L3519">
        <f>IF('01_Вводные'!$B$234="Да",IF(OR('06_Сеть_и_дети'!L100=0,20&lt;='01_Вводные'!$B$297),0,'06_Сеть_и_дети'!L100*IF('01_Вводные'!$B$239="Да",MeanMinAge20+'19_Расчет_аналитики'!L3595*SUMIF(ThresholdAge20,"&lt;"&amp;'19_Расчет_аналитики'!L3595,WeightedRevAge20)-SUMIF(ThresholdAge20,"&lt;"&amp;'19_Расчет_аналитики'!L3595,WeightedMinAge20),MAX(CapacityAge20*'01_Вводные'!$B$218*'19_Расчет_аналитики'!L3595,MeanMinAge20))),0)</f>
        <v/>
      </c>
      <c r="M3519">
        <f>IF('01_Вводные'!$B$234="Да",IF(OR('06_Сеть_и_дети'!M100=0,20&lt;='01_Вводные'!$B$297),0,'06_Сеть_и_дети'!M100*IF('01_Вводные'!$B$239="Да",MeanMinAge20+'19_Расчет_аналитики'!M3595*SUMIF(ThresholdAge20,"&lt;"&amp;'19_Расчет_аналитики'!M3595,WeightedRevAge20)-SUMIF(ThresholdAge20,"&lt;"&amp;'19_Расчет_аналитики'!M3595,WeightedMinAge20),MAX(CapacityAge20*'01_Вводные'!$B$218*'19_Расчет_аналитики'!M3595,MeanMinAge20))),0)</f>
        <v/>
      </c>
      <c r="N3519">
        <f>IF('01_Вводные'!$B$234="Да",IF(OR('06_Сеть_и_дети'!N100=0,20&lt;='01_Вводные'!$B$297),0,'06_Сеть_и_дети'!N100*IF('01_Вводные'!$B$239="Да",MeanMinAge20+'19_Расчет_аналитики'!N3595*SUMIF(ThresholdAge20,"&lt;"&amp;'19_Расчет_аналитики'!N3595,WeightedRevAge20)-SUMIF(ThresholdAge20,"&lt;"&amp;'19_Расчет_аналитики'!N3595,WeightedMinAge20),MAX(CapacityAge20*'01_Вводные'!$B$218*'19_Расчет_аналитики'!N3595,MeanMinAge20))),0)</f>
        <v/>
      </c>
      <c r="O3519">
        <f>IF('01_Вводные'!$B$234="Да",IF(OR('06_Сеть_и_дети'!O100=0,20&lt;='01_Вводные'!$B$297),0,'06_Сеть_и_дети'!O100*IF('01_Вводные'!$B$239="Да",MeanMinAge20+'19_Расчет_аналитики'!O3595*SUMIF(ThresholdAge20,"&lt;"&amp;'19_Расчет_аналитики'!O3595,WeightedRevAge20)-SUMIF(ThresholdAge20,"&lt;"&amp;'19_Расчет_аналитики'!O3595,WeightedMinAge20),MAX(CapacityAge20*'01_Вводные'!$B$218*'19_Расчет_аналитики'!O3595,MeanMinAge20))),0)</f>
        <v/>
      </c>
      <c r="P3519">
        <f>IF('01_Вводные'!$B$234="Да",IF(OR('06_Сеть_и_дети'!P100=0,20&lt;='01_Вводные'!$B$297),0,'06_Сеть_и_дети'!P100*IF('01_Вводные'!$B$239="Да",MeanMinAge20+'19_Расчет_аналитики'!P3595*SUMIF(ThresholdAge20,"&lt;"&amp;'19_Расчет_аналитики'!P3595,WeightedRevAge20)-SUMIF(ThresholdAge20,"&lt;"&amp;'19_Расчет_аналитики'!P3595,WeightedMinAge20),MAX(CapacityAge20*'01_Вводные'!$B$218*'19_Расчет_аналитики'!P3595,MeanMinAge20))),0)</f>
        <v/>
      </c>
      <c r="Q3519">
        <f>IF('01_Вводные'!$B$234="Да",IF(OR('06_Сеть_и_дети'!Q100=0,20&lt;='01_Вводные'!$B$297),0,'06_Сеть_и_дети'!Q100*IF('01_Вводные'!$B$239="Да",MeanMinAge20+'19_Расчет_аналитики'!Q3595*SUMIF(ThresholdAge20,"&lt;"&amp;'19_Расчет_аналитики'!Q3595,WeightedRevAge20)-SUMIF(ThresholdAge20,"&lt;"&amp;'19_Расчет_аналитики'!Q3595,WeightedMinAge20),MAX(CapacityAge20*'01_Вводные'!$B$218*'19_Расчет_аналитики'!Q3595,MeanMinAge20))),0)</f>
        <v/>
      </c>
      <c r="R3519">
        <f>IF('01_Вводные'!$B$234="Да",IF(OR('06_Сеть_и_дети'!R100=0,20&lt;='01_Вводные'!$B$297),0,'06_Сеть_и_дети'!R100*IF('01_Вводные'!$B$239="Да",MeanMinAge20+'19_Расчет_аналитики'!R3595*SUMIF(ThresholdAge20,"&lt;"&amp;'19_Расчет_аналитики'!R3595,WeightedRevAge20)-SUMIF(ThresholdAge20,"&lt;"&amp;'19_Расчет_аналитики'!R3595,WeightedMinAge20),MAX(CapacityAge20*'01_Вводные'!$B$218*'19_Расчет_аналитики'!R3595,MeanMinAge20))),0)</f>
        <v/>
      </c>
      <c r="S3519">
        <f>IF('01_Вводные'!$B$234="Да",IF(OR('06_Сеть_и_дети'!S100=0,20&lt;='01_Вводные'!$B$297),0,'06_Сеть_и_дети'!S100*IF('01_Вводные'!$B$239="Да",MeanMinAge20+'19_Расчет_аналитики'!S3595*SUMIF(ThresholdAge20,"&lt;"&amp;'19_Расчет_аналитики'!S3595,WeightedRevAge20)-SUMIF(ThresholdAge20,"&lt;"&amp;'19_Расчет_аналитики'!S3595,WeightedMinAge20),MAX(CapacityAge20*'01_Вводные'!$B$218*'19_Расчет_аналитики'!S3595,MeanMinAge20))),0)</f>
        <v/>
      </c>
      <c r="T3519">
        <f>IF('01_Вводные'!$B$234="Да",IF(OR('06_Сеть_и_дети'!T100=0,20&lt;='01_Вводные'!$B$297),0,'06_Сеть_и_дети'!T100*IF('01_Вводные'!$B$239="Да",MeanMinAge20+'19_Расчет_аналитики'!T3595*SUMIF(ThresholdAge20,"&lt;"&amp;'19_Расчет_аналитики'!T3595,WeightedRevAge20)-SUMIF(ThresholdAge20,"&lt;"&amp;'19_Расчет_аналитики'!T3595,WeightedMinAge20),MAX(CapacityAge20*'01_Вводные'!$B$218*'19_Расчет_аналитики'!T3595,MeanMinAge20))),0)</f>
        <v/>
      </c>
      <c r="U3519">
        <f>IF('01_Вводные'!$B$234="Да",IF(OR('19_Расчет_аналитики'!U3491=0,20&lt;='01_Вводные'!$B$297),0,'19_Расчет_аналитики'!U3491*IF('01_Вводные'!$B$239="Да",MeanMinAge20+'19_Расчет_аналитики'!U3595*SUMIF(ThresholdAge20,"&lt;"&amp;'19_Расчет_аналитики'!U3595,WeightedRevAge20)-SUMIF(ThresholdAge20,"&lt;"&amp;'19_Расчет_аналитики'!U3595,WeightedMinAge20),MAX(CapacityAge20*'01_Вводные'!$B$218*'19_Расчет_аналитики'!U3595,MeanMinAge20))),0)</f>
        <v/>
      </c>
      <c r="V3519">
        <f>IF('01_Вводные'!$B$234="Да",IF(OR('19_Расчет_аналитики'!V3491=0,20&lt;='01_Вводные'!$B$297),0,'19_Расчет_аналитики'!V3491*IF('01_Вводные'!$B$239="Да",MeanMinAge20+'19_Расчет_аналитики'!V3595*SUMIF(ThresholdAge20,"&lt;"&amp;'19_Расчет_аналитики'!V3595,WeightedRevAge20)-SUMIF(ThresholdAge20,"&lt;"&amp;'19_Расчет_аналитики'!V3595,WeightedMinAge20),MAX(CapacityAge20*'01_Вводные'!$B$218*'19_Расчет_аналитики'!V3595,MeanMinAge20))),0)</f>
        <v/>
      </c>
      <c r="W3519">
        <f>IF('01_Вводные'!$B$234="Да",IF(OR('19_Расчет_аналитики'!W3491=0,20&lt;='01_Вводные'!$B$297),0,'19_Расчет_аналитики'!W3491*IF('01_Вводные'!$B$239="Да",MeanMinAge20+'19_Расчет_аналитики'!W3595*SUMIF(ThresholdAge20,"&lt;"&amp;'19_Расчет_аналитики'!W3595,WeightedRevAge20)-SUMIF(ThresholdAge20,"&lt;"&amp;'19_Расчет_аналитики'!W3595,WeightedMinAge20),MAX(CapacityAge20*'01_Вводные'!$B$218*'19_Расчет_аналитики'!W3595,MeanMinAge20))),0)</f>
        <v/>
      </c>
      <c r="X3519">
        <f>IF('01_Вводные'!$B$234="Да",IF(OR('19_Расчет_аналитики'!X3491=0,20&lt;='01_Вводные'!$B$297),0,'19_Расчет_аналитики'!X3491*IF('01_Вводные'!$B$239="Да",MeanMinAge20+'19_Расчет_аналитики'!X3595*SUMIF(ThresholdAge20,"&lt;"&amp;'19_Расчет_аналитики'!X3595,WeightedRevAge20)-SUMIF(ThresholdAge20,"&lt;"&amp;'19_Расчет_аналитики'!X3595,WeightedMinAge20),MAX(CapacityAge20*'01_Вводные'!$B$218*'19_Расчет_аналитики'!X3595,MeanMinAge20))),0)</f>
        <v/>
      </c>
      <c r="Y3519">
        <f>IF('01_Вводные'!$B$234="Да",IF(OR('19_Расчет_аналитики'!Y3491=0,20&lt;='01_Вводные'!$B$297),0,'19_Расчет_аналитики'!Y3491*IF('01_Вводные'!$B$239="Да",MeanMinAge20+'19_Расчет_аналитики'!Y3595*SUMIF(ThresholdAge20,"&lt;"&amp;'19_Расчет_аналитики'!Y3595,WeightedRevAge20)-SUMIF(ThresholdAge20,"&lt;"&amp;'19_Расчет_аналитики'!Y3595,WeightedMinAge20),MAX(CapacityAge20*'01_Вводные'!$B$218*'19_Расчет_аналитики'!Y3595,MeanMinAge20))),0)</f>
        <v/>
      </c>
      <c r="Z3519">
        <f>IF('01_Вводные'!$B$234="Да",IF(OR('19_Расчет_аналитики'!Z3491=0,20&lt;='01_Вводные'!$B$297),0,'19_Расчет_аналитики'!Z3491*IF('01_Вводные'!$B$239="Да",MeanMinAge20+'19_Расчет_аналитики'!Z3595*SUMIF(ThresholdAge20,"&lt;"&amp;'19_Расчет_аналитики'!Z3595,WeightedRevAge20)-SUMIF(ThresholdAge20,"&lt;"&amp;'19_Расчет_аналитики'!Z3595,WeightedMinAge20),MAX(CapacityAge20*'01_Вводные'!$B$218*'19_Расчет_аналитики'!Z3595,MeanMinAge20))),0)</f>
        <v/>
      </c>
      <c r="AA3519">
        <f>IF('01_Вводные'!$B$234="Да",IF(OR('19_Расчет_аналитики'!AA3491=0,20&lt;='01_Вводные'!$B$297),0,'19_Расчет_аналитики'!AA3491*IF('01_Вводные'!$B$239="Да",MeanMinAge20+'19_Расчет_аналитики'!AA3595*SUMIF(ThresholdAge20,"&lt;"&amp;'19_Расчет_аналитики'!AA3595,WeightedRevAge20)-SUMIF(ThresholdAge20,"&lt;"&amp;'19_Расчет_аналитики'!AA3595,WeightedMinAge20),MAX(CapacityAge20*'01_Вводные'!$B$218*'19_Расчет_аналитики'!AA3595,MeanMinAge20))),0)</f>
        <v/>
      </c>
      <c r="AB3519">
        <f>IF('01_Вводные'!$B$234="Да",IF(OR('19_Расчет_аналитики'!AB3491=0,20&lt;='01_Вводные'!$B$297),0,'19_Расчет_аналитики'!AB3491*IF('01_Вводные'!$B$239="Да",MeanMinAge20+'19_Расчет_аналитики'!AB3595*SUMIF(ThresholdAge20,"&lt;"&amp;'19_Расчет_аналитики'!AB3595,WeightedRevAge20)-SUMIF(ThresholdAge20,"&lt;"&amp;'19_Расчет_аналитики'!AB3595,WeightedMinAge20),MAX(CapacityAge20*'01_Вводные'!$B$218*'19_Расчет_аналитики'!AB3595,MeanMinAge20))),0)</f>
        <v/>
      </c>
      <c r="AC3519">
        <f>IF('01_Вводные'!$B$234="Да",IF(OR('19_Расчет_аналитики'!AC3491=0,20&lt;='01_Вводные'!$B$297),0,'19_Расчет_аналитики'!AC3491*IF('01_Вводные'!$B$239="Да",MeanMinAge20+'19_Расчет_аналитики'!AC3595*SUMIF(ThresholdAge20,"&lt;"&amp;'19_Расчет_аналитики'!AC3595,WeightedRevAge20)-SUMIF(ThresholdAge20,"&lt;"&amp;'19_Расчет_аналитики'!AC3595,WeightedMinAge20),MAX(CapacityAge20*'01_Вводные'!$B$218*'19_Расчет_аналитики'!AC3595,MeanMinAge20))),0)</f>
        <v/>
      </c>
      <c r="AD3519">
        <f>IF('01_Вводные'!$B$234="Да",IF(OR('19_Расчет_аналитики'!AD3491=0,20&lt;='01_Вводные'!$B$297),0,'19_Расчет_аналитики'!AD3491*IF('01_Вводные'!$B$239="Да",MeanMinAge20+'19_Расчет_аналитики'!AD3595*SUMIF(ThresholdAge20,"&lt;"&amp;'19_Расчет_аналитики'!AD3595,WeightedRevAge20)-SUMIF(ThresholdAge20,"&lt;"&amp;'19_Расчет_аналитики'!AD3595,WeightedMinAge20),MAX(CapacityAge20*'01_Вводные'!$B$218*'19_Расчет_аналитики'!AD3595,MeanMinAge20))),0)</f>
        <v/>
      </c>
      <c r="AE3519">
        <f>IF('01_Вводные'!$B$234="Да",IF(OR('19_Расчет_аналитики'!AE3491=0,20&lt;='01_Вводные'!$B$297),0,'19_Расчет_аналитики'!AE3491*IF('01_Вводные'!$B$239="Да",MeanMinAge20+'19_Расчет_аналитики'!AE3595*SUMIF(ThresholdAge20,"&lt;"&amp;'19_Расчет_аналитики'!AE3595,WeightedRevAge20)-SUMIF(ThresholdAge20,"&lt;"&amp;'19_Расчет_аналитики'!AE3595,WeightedMinAge20),MAX(CapacityAge20*'01_Вводные'!$B$218*'19_Расчет_аналитики'!AE3595,MeanMinAge20))),0)</f>
        <v/>
      </c>
      <c r="AF3519">
        <f>IF('01_Вводные'!$B$234="Да",IF(OR('19_Расчет_аналитики'!AF3491=0,20&lt;='01_Вводные'!$B$297),0,'19_Расчет_аналитики'!AF3491*IF('01_Вводные'!$B$239="Да",MeanMinAge20+'19_Расчет_аналитики'!AF3595*SUMIF(ThresholdAge20,"&lt;"&amp;'19_Расчет_аналитики'!AF3595,WeightedRevAge20)-SUMIF(ThresholdAge20,"&lt;"&amp;'19_Расчет_аналитики'!AF3595,WeightedMinAge20),MAX(CapacityAge20*'01_Вводные'!$B$218*'19_Расчет_аналитики'!AF3595,MeanMinAge20))),0)</f>
        <v/>
      </c>
      <c r="AG3519">
        <f>IF('01_Вводные'!$B$234="Да",IF(OR('19_Расчет_аналитики'!AG3491=0,20&lt;='01_Вводные'!$B$297),0,'19_Расчет_аналитики'!AG3491*IF('01_Вводные'!$B$239="Да",MeanMinAge20+'19_Расчет_аналитики'!AG3595*SUMIF(ThresholdAge20,"&lt;"&amp;'19_Расчет_аналитики'!AG3595,WeightedRevAge20)-SUMIF(ThresholdAge20,"&lt;"&amp;'19_Расчет_аналитики'!AG3595,WeightedMinAge20),MAX(CapacityAge20*'01_Вводные'!$B$218*'19_Расчет_аналитики'!AG3595,MeanMinAge20))),0)</f>
        <v/>
      </c>
      <c r="AH3519">
        <f>IF('01_Вводные'!$B$234="Да",IF(OR('19_Расчет_аналитики'!AH3491=0,20&lt;='01_Вводные'!$B$297),0,'19_Расчет_аналитики'!AH3491*IF('01_Вводные'!$B$239="Да",MeanMinAge20+'19_Расчет_аналитики'!AH3595*SUMIF(ThresholdAge20,"&lt;"&amp;'19_Расчет_аналитики'!AH3595,WeightedRevAge20)-SUMIF(ThresholdAge20,"&lt;"&amp;'19_Расчет_аналитики'!AH3595,WeightedMinAge20),MAX(CapacityAge20*'01_Вводные'!$B$218*'19_Расчет_аналитики'!AH3595,MeanMinAge20))),0)</f>
        <v/>
      </c>
      <c r="AI3519">
        <f>IF('01_Вводные'!$B$234="Да",IF(OR('19_Расчет_аналитики'!AI3491=0,20&lt;='01_Вводные'!$B$297),0,'19_Расчет_аналитики'!AI3491*IF('01_Вводные'!$B$239="Да",MeanMinAge20+'19_Расчет_аналитики'!AI3595*SUMIF(ThresholdAge20,"&lt;"&amp;'19_Расчет_аналитики'!AI3595,WeightedRevAge20)-SUMIF(ThresholdAge20,"&lt;"&amp;'19_Расчет_аналитики'!AI3595,WeightedMinAge20),MAX(CapacityAge20*'01_Вводные'!$B$218*'19_Расчет_аналитики'!AI3595,MeanMinAge20))),0)</f>
        <v/>
      </c>
      <c r="AJ3519">
        <f>IF('01_Вводные'!$B$234="Да",IF(OR('19_Расчет_аналитики'!AJ3491=0,20&lt;='01_Вводные'!$B$297),0,'19_Расчет_аналитики'!AJ3491*IF('01_Вводные'!$B$239="Да",MeanMinAge20+'19_Расчет_аналитики'!AJ3595*SUMIF(ThresholdAge20,"&lt;"&amp;'19_Расчет_аналитики'!AJ3595,WeightedRevAge20)-SUMIF(ThresholdAge20,"&lt;"&amp;'19_Расчет_аналитики'!AJ3595,WeightedMinAge20),MAX(CapacityAge20*'01_Вводные'!$B$218*'19_Расчет_аналитики'!AJ3595,MeanMinAge20))),0)</f>
        <v/>
      </c>
      <c r="AK3519">
        <f>IF('01_Вводные'!$B$234="Да",IF(OR('19_Расчет_аналитики'!AK3491=0,20&lt;='01_Вводные'!$B$297),0,'19_Расчет_аналитики'!AK3491*IF('01_Вводные'!$B$239="Да",MeanMinAge20+'19_Расчет_аналитики'!AK3595*SUMIF(ThresholdAge20,"&lt;"&amp;'19_Расчет_аналитики'!AK3595,WeightedRevAge20)-SUMIF(ThresholdAge20,"&lt;"&amp;'19_Расчет_аналитики'!AK3595,WeightedMinAge20),MAX(CapacityAge20*'01_Вводные'!$B$218*'19_Расчет_аналитики'!AK3595,MeanMinAge20))),0)</f>
        <v/>
      </c>
      <c r="AL3519">
        <f>IF('01_Вводные'!$B$234="Да",IF(OR('19_Расчет_аналитики'!AL3491=0,20&lt;='01_Вводные'!$B$297),0,'19_Расчет_аналитики'!AL3491*IF('01_Вводные'!$B$239="Да",MeanMinAge20+'19_Расчет_аналитики'!AL3595*SUMIF(ThresholdAge20,"&lt;"&amp;'19_Расчет_аналитики'!AL3595,WeightedRevAge20)-SUMIF(ThresholdAge20,"&lt;"&amp;'19_Расчет_аналитики'!AL3595,WeightedMinAge20),MAX(CapacityAge20*'01_Вводные'!$B$218*'19_Расчет_аналитики'!AL3595,MeanMinAge20))),0)</f>
        <v/>
      </c>
      <c r="AM3519">
        <f>IF('01_Вводные'!$B$234="Да",IF(OR('19_Расчет_аналитики'!AM3491=0,20&lt;='01_Вводные'!$B$297),0,'19_Расчет_аналитики'!AM3491*IF('01_Вводные'!$B$239="Да",MeanMinAge20+'19_Расчет_аналитики'!AM3595*SUMIF(ThresholdAge20,"&lt;"&amp;'19_Расчет_аналитики'!AM3595,WeightedRevAge20)-SUMIF(ThresholdAge20,"&lt;"&amp;'19_Расчет_аналитики'!AM3595,WeightedMinAge20),MAX(CapacityAge20*'01_Вводные'!$B$218*'19_Расчет_аналитики'!AM3595,MeanMinAge20))),0)</f>
        <v/>
      </c>
      <c r="AN3519">
        <f>IF('01_Вводные'!$B$234="Да",IF(OR('19_Расчет_аналитики'!AN3491=0,20&lt;='01_Вводные'!$B$297),0,'19_Расчет_аналитики'!AN3491*IF('01_Вводные'!$B$239="Да",MeanMinAge20+'19_Расчет_аналитики'!AN3595*SUMIF(ThresholdAge20,"&lt;"&amp;'19_Расчет_аналитики'!AN3595,WeightedRevAge20)-SUMIF(ThresholdAge20,"&lt;"&amp;'19_Расчет_аналитики'!AN3595,WeightedMinAge20),MAX(CapacityAge20*'01_Вводные'!$B$218*'19_Расчет_аналитики'!AN3595,MeanMinAge20))),0)</f>
        <v/>
      </c>
      <c r="AO3519">
        <f>IF('01_Вводные'!$B$234="Да",IF(OR('19_Расчет_аналитики'!AO3491=0,20&lt;='01_Вводные'!$B$297),0,'19_Расчет_аналитики'!AO3491*IF('01_Вводные'!$B$239="Да",MeanMinAge20+'19_Расчет_аналитики'!AO3595*SUMIF(ThresholdAge20,"&lt;"&amp;'19_Расчет_аналитики'!AO3595,WeightedRevAge20)-SUMIF(ThresholdAge20,"&lt;"&amp;'19_Расчет_аналитики'!AO3595,WeightedMinAge20),MAX(CapacityAge20*'01_Вводные'!$B$218*'19_Расчет_аналитики'!AO3595,MeanMinAge20))),0)</f>
        <v/>
      </c>
      <c r="AP3519">
        <f>IF('01_Вводные'!$B$234="Да",IF(OR('19_Расчет_аналитики'!AP3491=0,20&lt;='01_Вводные'!$B$297),0,'19_Расчет_аналитики'!AP3491*IF('01_Вводные'!$B$239="Да",MeanMinAge20+'19_Расчет_аналитики'!AP3595*SUMIF(ThresholdAge20,"&lt;"&amp;'19_Расчет_аналитики'!AP3595,WeightedRevAge20)-SUMIF(ThresholdAge20,"&lt;"&amp;'19_Расчет_аналитики'!AP3595,WeightedMinAge20),MAX(CapacityAge20*'01_Вводные'!$B$218*'19_Расчет_аналитики'!AP3595,MeanMinAge20))),0)</f>
        <v/>
      </c>
      <c r="AQ3519">
        <f>IF('01_Вводные'!$B$234="Да",IF(OR('19_Расчет_аналитики'!AQ3491=0,20&lt;='01_Вводные'!$B$297),0,'19_Расчет_аналитики'!AQ3491*IF('01_Вводные'!$B$239="Да",MeanMinAge20+'19_Расчет_аналитики'!AQ3595*SUMIF(ThresholdAge20,"&lt;"&amp;'19_Расчет_аналитики'!AQ3595,WeightedRevAge20)-SUMIF(ThresholdAge20,"&lt;"&amp;'19_Расчет_аналитики'!AQ3595,WeightedMinAge20),MAX(CapacityAge20*'01_Вводные'!$B$218*'19_Расчет_аналитики'!AQ3595,MeanMinAge20))),0)</f>
        <v/>
      </c>
      <c r="AR3519">
        <f>IF('01_Вводные'!$B$234="Да",IF(OR('19_Расчет_аналитики'!AR3491=0,20&lt;='01_Вводные'!$B$297),0,'19_Расчет_аналитики'!AR3491*IF('01_Вводные'!$B$239="Да",MeanMinAge20+'19_Расчет_аналитики'!AR3595*SUMIF(ThresholdAge20,"&lt;"&amp;'19_Расчет_аналитики'!AR3595,WeightedRevAge20)-SUMIF(ThresholdAge20,"&lt;"&amp;'19_Расчет_аналитики'!AR3595,WeightedMinAge20),MAX(CapacityAge20*'01_Вводные'!$B$218*'19_Расчет_аналитики'!AR3595,MeanMinAge20))),0)</f>
        <v/>
      </c>
      <c r="AS3519">
        <f>IF('01_Вводные'!$B$234="Да",IF(OR('19_Расчет_аналитики'!AS3491=0,20&lt;='01_Вводные'!$B$297),0,'19_Расчет_аналитики'!AS3491*IF('01_Вводные'!$B$239="Да",MeanMinAge20+'19_Расчет_аналитики'!AS3595*SUMIF(ThresholdAge20,"&lt;"&amp;'19_Расчет_аналитики'!AS3595,WeightedRevAge20)-SUMIF(ThresholdAge20,"&lt;"&amp;'19_Расчет_аналитики'!AS3595,WeightedMinAge20),MAX(CapacityAge20*'01_Вводные'!$B$218*'19_Расчет_аналитики'!AS3595,MeanMinAge20))),0)</f>
        <v/>
      </c>
      <c r="AT3519">
        <f>IF('01_Вводные'!$B$234="Да",IF(OR('19_Расчет_аналитики'!AT3491=0,20&lt;='01_Вводные'!$B$297),0,'19_Расчет_аналитики'!AT3491*IF('01_Вводные'!$B$239="Да",MeanMinAge20+'19_Расчет_аналитики'!AT3595*SUMIF(ThresholdAge20,"&lt;"&amp;'19_Расчет_аналитики'!AT3595,WeightedRevAge20)-SUMIF(ThresholdAge20,"&lt;"&amp;'19_Расчет_аналитики'!AT3595,WeightedMinAge20),MAX(CapacityAge20*'01_Вводные'!$B$218*'19_Расчет_аналитики'!AT3595,MeanMinAge20))),0)</f>
        <v/>
      </c>
      <c r="AU3519">
        <f>IF('01_Вводные'!$B$234="Да",IF(OR('19_Расчет_аналитики'!AU3491=0,20&lt;='01_Вводные'!$B$297),0,'19_Расчет_аналитики'!AU3491*IF('01_Вводные'!$B$239="Да",MeanMinAge20+'19_Расчет_аналитики'!AU3595*SUMIF(ThresholdAge20,"&lt;"&amp;'19_Расчет_аналитики'!AU3595,WeightedRevAge20)-SUMIF(ThresholdAge20,"&lt;"&amp;'19_Расчет_аналитики'!AU3595,WeightedMinAge20),MAX(CapacityAge20*'01_Вводные'!$B$218*'19_Расчет_аналитики'!AU3595,MeanMinAge20))),0)</f>
        <v/>
      </c>
      <c r="AV3519">
        <f>IF('01_Вводные'!$B$234="Да",IF(OR('19_Расчет_аналитики'!AV3491=0,20&lt;='01_Вводные'!$B$297),0,'19_Расчет_аналитики'!AV3491*IF('01_Вводные'!$B$239="Да",MeanMinAge20+'19_Расчет_аналитики'!AV3595*SUMIF(ThresholdAge20,"&lt;"&amp;'19_Расчет_аналитики'!AV3595,WeightedRevAge20)-SUMIF(ThresholdAge20,"&lt;"&amp;'19_Расчет_аналитики'!AV3595,WeightedMinAge20),MAX(CapacityAge20*'01_Вводные'!$B$218*'19_Расчет_аналитики'!AV3595,MeanMinAge20))),0)</f>
        <v/>
      </c>
      <c r="AW3519">
        <f>IF('01_Вводные'!$B$234="Да",IF(OR('19_Расчет_аналитики'!AW3491=0,20&lt;='01_Вводные'!$B$297),0,'19_Расчет_аналитики'!AW3491*IF('01_Вводные'!$B$239="Да",MeanMinAge20+'19_Расчет_аналитики'!AW3595*SUMIF(ThresholdAge20,"&lt;"&amp;'19_Расчет_аналитики'!AW3595,WeightedRevAge20)-SUMIF(ThresholdAge20,"&lt;"&amp;'19_Расчет_аналитики'!AW3595,WeightedMinAge20),MAX(CapacityAge20*'01_Вводные'!$B$218*'19_Расчет_аналитики'!AW3595,MeanMinAge20))),0)</f>
        <v/>
      </c>
      <c r="AX3519">
        <f>IF('01_Вводные'!$B$234="Да",IF(OR('19_Расчет_аналитики'!AX3491=0,20&lt;='01_Вводные'!$B$297),0,'19_Расчет_аналитики'!AX3491*IF('01_Вводные'!$B$239="Да",MeanMinAge20+'19_Расчет_аналитики'!AX3595*SUMIF(ThresholdAge20,"&lt;"&amp;'19_Расчет_аналитики'!AX3595,WeightedRevAge20)-SUMIF(ThresholdAge20,"&lt;"&amp;'19_Расчет_аналитики'!AX3595,WeightedMinAge20),MAX(CapacityAge20*'01_Вводные'!$B$218*'19_Расчет_аналитики'!AX3595,MeanMinAge20))),0)</f>
        <v/>
      </c>
      <c r="AY3519">
        <f>IF('01_Вводные'!$B$234="Да",IF(OR('19_Расчет_аналитики'!AY3491=0,20&lt;='01_Вводные'!$B$297),0,'19_Расчет_аналитики'!AY3491*IF('01_Вводные'!$B$239="Да",MeanMinAge20+'19_Расчет_аналитики'!AY3595*SUMIF(ThresholdAge20,"&lt;"&amp;'19_Расчет_аналитики'!AY3595,WeightedRevAge20)-SUMIF(ThresholdAge20,"&lt;"&amp;'19_Расчет_аналитики'!AY3595,WeightedMinAge20),MAX(CapacityAge20*'01_Вводные'!$B$218*'19_Расчет_аналитики'!AY3595,MeanMinAge20))),0)</f>
        <v/>
      </c>
      <c r="AZ3519">
        <f>IF('01_Вводные'!$B$234="Да",IF(OR('19_Расчет_аналитики'!AZ3491=0,20&lt;='01_Вводные'!$B$297),0,'19_Расчет_аналитики'!AZ3491*IF('01_Вводные'!$B$239="Да",MeanMinAge20+'19_Расчет_аналитики'!AZ3595*SUMIF(ThresholdAge20,"&lt;"&amp;'19_Расчет_аналитики'!AZ3595,WeightedRevAge20)-SUMIF(ThresholdAge20,"&lt;"&amp;'19_Расчет_аналитики'!AZ3595,WeightedMinAge20),MAX(CapacityAge20*'01_Вводные'!$B$218*'19_Расчет_аналитики'!AZ3595,MeanMinAge20))),0)</f>
        <v/>
      </c>
      <c r="BA3519">
        <f>IF('01_Вводные'!$B$234="Да",IF(OR('19_Расчет_аналитики'!BA3491=0,20&lt;='01_Вводные'!$B$297),0,'19_Расчет_аналитики'!BA3491*IF('01_Вводные'!$B$239="Да",MeanMinAge20+'19_Расчет_аналитики'!BA3595*SUMIF(ThresholdAge20,"&lt;"&amp;'19_Расчет_аналитики'!BA3595,WeightedRevAge20)-SUMIF(ThresholdAge20,"&lt;"&amp;'19_Расчет_аналитики'!BA3595,WeightedMinAge20),MAX(CapacityAge20*'01_Вводные'!$B$218*'19_Расчет_аналитики'!BA3595,MeanMinAge20))),0)</f>
        <v/>
      </c>
      <c r="BB3519">
        <f>IF('01_Вводные'!$B$234="Да",IF(OR('19_Расчет_аналитики'!BB3491=0,20&lt;='01_Вводные'!$B$297),0,'19_Расчет_аналитики'!BB3491*IF('01_Вводные'!$B$239="Да",MeanMinAge20+'19_Расчет_аналитики'!BB3595*SUMIF(ThresholdAge20,"&lt;"&amp;'19_Расчет_аналитики'!BB3595,WeightedRevAge20)-SUMIF(ThresholdAge20,"&lt;"&amp;'19_Расчет_аналитики'!BB3595,WeightedMinAge20),MAX(CapacityAge20*'01_Вводные'!$B$218*'19_Расчет_аналитики'!BB3595,MeanMinAge20))),0)</f>
        <v/>
      </c>
      <c r="BC3519">
        <f>IF('01_Вводные'!$B$234="Да",IF(OR('19_Расчет_аналитики'!BC3491=0,20&lt;='01_Вводные'!$B$297),0,'19_Расчет_аналитики'!BC3491*IF('01_Вводные'!$B$239="Да",MeanMinAge20+'19_Расчет_аналитики'!BC3595*SUMIF(ThresholdAge20,"&lt;"&amp;'19_Расчет_аналитики'!BC3595,WeightedRevAge20)-SUMIF(ThresholdAge20,"&lt;"&amp;'19_Расчет_аналитики'!BC3595,WeightedMinAge20),MAX(CapacityAge20*'01_Вводные'!$B$218*'19_Расчет_аналитики'!BC3595,MeanMinAge20))),0)</f>
        <v/>
      </c>
      <c r="BD3519">
        <f>IF('01_Вводные'!$B$234="Да",IF(OR('19_Расчет_аналитики'!BD3491=0,20&lt;='01_Вводные'!$B$297),0,'19_Расчет_аналитики'!BD3491*IF('01_Вводные'!$B$239="Да",MeanMinAge20+'19_Расчет_аналитики'!BD3595*SUMIF(ThresholdAge20,"&lt;"&amp;'19_Расчет_аналитики'!BD3595,WeightedRevAge20)-SUMIF(ThresholdAge20,"&lt;"&amp;'19_Расчет_аналитики'!BD3595,WeightedMinAge20),MAX(CapacityAge20*'01_Вводные'!$B$218*'19_Расчет_аналитики'!BD3595,MeanMinAge20))),0)</f>
        <v/>
      </c>
      <c r="BE3519">
        <f>IF('01_Вводные'!$B$234="Да",IF(OR('19_Расчет_аналитики'!BE3491=0,20&lt;='01_Вводные'!$B$297),0,'19_Расчет_аналитики'!BE3491*IF('01_Вводные'!$B$239="Да",MeanMinAge20+'19_Расчет_аналитики'!BE3595*SUMIF(ThresholdAge20,"&lt;"&amp;'19_Расчет_аналитики'!BE3595,WeightedRevAge20)-SUMIF(ThresholdAge20,"&lt;"&amp;'19_Расчет_аналитики'!BE3595,WeightedMinAge20),MAX(CapacityAge20*'01_Вводные'!$B$218*'19_Расчет_аналитики'!BE3595,MeanMinAge20))),0)</f>
        <v/>
      </c>
      <c r="BF3519">
        <f>IF('01_Вводные'!$B$234="Да",IF(OR('19_Расчет_аналитики'!BF3491=0,20&lt;='01_Вводные'!$B$297),0,'19_Расчет_аналитики'!BF3491*IF('01_Вводные'!$B$239="Да",MeanMinAge20+'19_Расчет_аналитики'!BF3595*SUMIF(ThresholdAge20,"&lt;"&amp;'19_Расчет_аналитики'!BF3595,WeightedRevAge20)-SUMIF(ThresholdAge20,"&lt;"&amp;'19_Расчет_аналитики'!BF3595,WeightedMinAge20),MAX(CapacityAge20*'01_Вводные'!$B$218*'19_Расчет_аналитики'!BF3595,MeanMinAge20))),0)</f>
        <v/>
      </c>
      <c r="BG3519">
        <f>IF('01_Вводные'!$B$234="Да",IF(OR('19_Расчет_аналитики'!BG3491=0,20&lt;='01_Вводные'!$B$297),0,'19_Расчет_аналитики'!BG3491*IF('01_Вводные'!$B$239="Да",MeanMinAge20+'19_Расчет_аналитики'!BG3595*SUMIF(ThresholdAge20,"&lt;"&amp;'19_Расчет_аналитики'!BG3595,WeightedRevAge20)-SUMIF(ThresholdAge20,"&lt;"&amp;'19_Расчет_аналитики'!BG3595,WeightedMinAge20),MAX(CapacityAge20*'01_Вводные'!$B$218*'19_Расчет_аналитики'!BG3595,MeanMinAge20))),0)</f>
        <v/>
      </c>
      <c r="BH3519">
        <f>IF('01_Вводные'!$B$234="Да",IF(OR('19_Расчет_аналитики'!BH3491=0,20&lt;='01_Вводные'!$B$297),0,'19_Расчет_аналитики'!BH3491*IF('01_Вводные'!$B$239="Да",MeanMinAge20+'19_Расчет_аналитики'!BH3595*SUMIF(ThresholdAge20,"&lt;"&amp;'19_Расчет_аналитики'!BH3595,WeightedRevAge20)-SUMIF(ThresholdAge20,"&lt;"&amp;'19_Расчет_аналитики'!BH3595,WeightedMinAge20),MAX(CapacityAge20*'01_Вводные'!$B$218*'19_Расчет_аналитики'!BH3595,MeanMinAge20))),0)</f>
        <v/>
      </c>
      <c r="BI3519">
        <f>IF('01_Вводные'!$B$234="Да",IF(OR('19_Расчет_аналитики'!BI3491=0,20&lt;='01_Вводные'!$B$297),0,'19_Расчет_аналитики'!BI3491*IF('01_Вводные'!$B$239="Да",MeanMinAge20+'19_Расчет_аналитики'!BI3595*SUMIF(ThresholdAge20,"&lt;"&amp;'19_Расчет_аналитики'!BI3595,WeightedRevAge20)-SUMIF(ThresholdAge20,"&lt;"&amp;'19_Расчет_аналитики'!BI3595,WeightedMinAge20),MAX(CapacityAge20*'01_Вводные'!$B$218*'19_Расчет_аналитики'!BI3595,MeanMinAge20))),0)</f>
        <v/>
      </c>
      <c r="BJ3519">
        <f>IF('01_Вводные'!$B$234="Да",IF(OR('19_Расчет_аналитики'!BJ3491=0,20&lt;='01_Вводные'!$B$297),0,'19_Расчет_аналитики'!BJ3491*IF('01_Вводные'!$B$239="Да",MeanMinAge20+'19_Расчет_аналитики'!BJ3595*SUMIF(ThresholdAge20,"&lt;"&amp;'19_Расчет_аналитики'!BJ3595,WeightedRevAge20)-SUMIF(ThresholdAge20,"&lt;"&amp;'19_Расчет_аналитики'!BJ3595,WeightedMinAge20),MAX(CapacityAge20*'01_Вводные'!$B$218*'19_Расчет_аналитики'!BJ3595,MeanMinAge20))),0)</f>
        <v/>
      </c>
      <c r="BK3519">
        <f>IF('01_Вводные'!$B$234="Да",IF(OR('19_Расчет_аналитики'!BK3491=0,20&lt;='01_Вводные'!$B$297),0,'19_Расчет_аналитики'!BK3491*IF('01_Вводные'!$B$239="Да",MeanMinAge20+'19_Расчет_аналитики'!BK3595*SUMIF(ThresholdAge20,"&lt;"&amp;'19_Расчет_аналитики'!BK3595,WeightedRevAge20)-SUMIF(ThresholdAge20,"&lt;"&amp;'19_Расчет_аналитики'!BK3595,WeightedMinAge20),MAX(CapacityAge20*'01_Вводные'!$B$218*'19_Расчет_аналитики'!BK3595,MeanMinAge20))),0)</f>
        <v/>
      </c>
      <c r="BL3519">
        <f>IF('01_Вводные'!$B$234="Да",IF(OR('19_Расчет_аналитики'!BL3491=0,20&lt;='01_Вводные'!$B$297),0,'19_Расчет_аналитики'!BL3491*IF('01_Вводные'!$B$239="Да",MeanMinAge20+'19_Расчет_аналитики'!BL3595*SUMIF(ThresholdAge20,"&lt;"&amp;'19_Расчет_аналитики'!BL3595,WeightedRevAge20)-SUMIF(ThresholdAge20,"&lt;"&amp;'19_Расчет_аналитики'!BL3595,WeightedMinAge20),MAX(CapacityAge20*'01_Вводные'!$B$218*'19_Расчет_аналитики'!BL3595,MeanMinAge20))),0)</f>
        <v/>
      </c>
      <c r="BM3519">
        <f>IF('01_Вводные'!$B$234="Да",IF(OR('19_Расчет_аналитики'!BM3491=0,20&lt;='01_Вводные'!$B$297),0,'19_Расчет_аналитики'!BM3491*IF('01_Вводные'!$B$239="Да",MeanMinAge20+'19_Расчет_аналитики'!BM3595*SUMIF(ThresholdAge20,"&lt;"&amp;'19_Расчет_аналитики'!BM3595,WeightedRevAge20)-SUMIF(ThresholdAge20,"&lt;"&amp;'19_Расчет_аналитики'!BM3595,WeightedMinAge20),MAX(CapacityAge20*'01_Вводные'!$B$218*'19_Расчет_аналитики'!BM3595,MeanMinAge20))),0)</f>
        <v/>
      </c>
      <c r="BN3519">
        <f>IF('01_Вводные'!$B$234="Да",IF(OR('19_Расчет_аналитики'!BN3491=0,20&lt;='01_Вводные'!$B$297),0,'19_Расчет_аналитики'!BN3491*IF('01_Вводные'!$B$239="Да",MeanMinAge20+'19_Расчет_аналитики'!BN3595*SUMIF(ThresholdAge20,"&lt;"&amp;'19_Расчет_аналитики'!BN3595,WeightedRevAge20)-SUMIF(ThresholdAge20,"&lt;"&amp;'19_Расчет_аналитики'!BN3595,WeightedMinAge20),MAX(CapacityAge20*'01_Вводные'!$B$218*'19_Расчет_аналитики'!BN3595,MeanMinAge20))),0)</f>
        <v/>
      </c>
      <c r="BO3519">
        <f>IF('01_Вводные'!$B$234="Да",IF(OR('19_Расчет_аналитики'!BO3491=0,20&lt;='01_Вводные'!$B$297),0,'19_Расчет_аналитики'!BO3491*IF('01_Вводные'!$B$239="Да",MeanMinAge20+'19_Расчет_аналитики'!BO3595*SUMIF(ThresholdAge20,"&lt;"&amp;'19_Расчет_аналитики'!BO3595,WeightedRevAge20)-SUMIF(ThresholdAge20,"&lt;"&amp;'19_Расчет_аналитики'!BO3595,WeightedMinAge20),MAX(CapacityAge20*'01_Вводные'!$B$218*'19_Расчет_аналитики'!BO3595,MeanMinAge20))),0)</f>
        <v/>
      </c>
    </row>
    <row r="3520">
      <c r="B3520">
        <f>IF('01_Вводные'!$B$234="Да",IF(OR('06_Сеть_и_дети'!B101=0,21&lt;='01_Вводные'!$B$297),0,'06_Сеть_и_дети'!B101*IF('01_Вводные'!$B$239="Да",MeanMinAge21+'19_Расчет_аналитики'!B3595*SUMIF(ThresholdAge21,"&lt;"&amp;'19_Расчет_аналитики'!B3595,WeightedRevAge21)-SUMIF(ThresholdAge21,"&lt;"&amp;'19_Расчет_аналитики'!B3595,WeightedMinAge21),MAX(CapacityAge21*'01_Вводные'!$B$218*'19_Расчет_аналитики'!B3595,MeanMinAge21))),0)</f>
        <v/>
      </c>
      <c r="C3520">
        <f>IF('01_Вводные'!$B$234="Да",IF(OR('06_Сеть_и_дети'!C101=0,21&lt;='01_Вводные'!$B$297),0,'06_Сеть_и_дети'!C101*IF('01_Вводные'!$B$239="Да",MeanMinAge21+'19_Расчет_аналитики'!C3595*SUMIF(ThresholdAge21,"&lt;"&amp;'19_Расчет_аналитики'!C3595,WeightedRevAge21)-SUMIF(ThresholdAge21,"&lt;"&amp;'19_Расчет_аналитики'!C3595,WeightedMinAge21),MAX(CapacityAge21*'01_Вводные'!$B$218*'19_Расчет_аналитики'!C3595,MeanMinAge21))),0)</f>
        <v/>
      </c>
      <c r="D3520">
        <f>IF('01_Вводные'!$B$234="Да",IF(OR('06_Сеть_и_дети'!D101=0,21&lt;='01_Вводные'!$B$297),0,'06_Сеть_и_дети'!D101*IF('01_Вводные'!$B$239="Да",MeanMinAge21+'19_Расчет_аналитики'!D3595*SUMIF(ThresholdAge21,"&lt;"&amp;'19_Расчет_аналитики'!D3595,WeightedRevAge21)-SUMIF(ThresholdAge21,"&lt;"&amp;'19_Расчет_аналитики'!D3595,WeightedMinAge21),MAX(CapacityAge21*'01_Вводные'!$B$218*'19_Расчет_аналитики'!D3595,MeanMinAge21))),0)</f>
        <v/>
      </c>
      <c r="E3520">
        <f>IF('01_Вводные'!$B$234="Да",IF(OR('06_Сеть_и_дети'!E101=0,21&lt;='01_Вводные'!$B$297),0,'06_Сеть_и_дети'!E101*IF('01_Вводные'!$B$239="Да",MeanMinAge21+'19_Расчет_аналитики'!E3595*SUMIF(ThresholdAge21,"&lt;"&amp;'19_Расчет_аналитики'!E3595,WeightedRevAge21)-SUMIF(ThresholdAge21,"&lt;"&amp;'19_Расчет_аналитики'!E3595,WeightedMinAge21),MAX(CapacityAge21*'01_Вводные'!$B$218*'19_Расчет_аналитики'!E3595,MeanMinAge21))),0)</f>
        <v/>
      </c>
      <c r="F3520">
        <f>IF('01_Вводные'!$B$234="Да",IF(OR('06_Сеть_и_дети'!F101=0,21&lt;='01_Вводные'!$B$297),0,'06_Сеть_и_дети'!F101*IF('01_Вводные'!$B$239="Да",MeanMinAge21+'19_Расчет_аналитики'!F3595*SUMIF(ThresholdAge21,"&lt;"&amp;'19_Расчет_аналитики'!F3595,WeightedRevAge21)-SUMIF(ThresholdAge21,"&lt;"&amp;'19_Расчет_аналитики'!F3595,WeightedMinAge21),MAX(CapacityAge21*'01_Вводные'!$B$218*'19_Расчет_аналитики'!F3595,MeanMinAge21))),0)</f>
        <v/>
      </c>
      <c r="G3520">
        <f>IF('01_Вводные'!$B$234="Да",IF(OR('06_Сеть_и_дети'!G101=0,21&lt;='01_Вводные'!$B$297),0,'06_Сеть_и_дети'!G101*IF('01_Вводные'!$B$239="Да",MeanMinAge21+'19_Расчет_аналитики'!G3595*SUMIF(ThresholdAge21,"&lt;"&amp;'19_Расчет_аналитики'!G3595,WeightedRevAge21)-SUMIF(ThresholdAge21,"&lt;"&amp;'19_Расчет_аналитики'!G3595,WeightedMinAge21),MAX(CapacityAge21*'01_Вводные'!$B$218*'19_Расчет_аналитики'!G3595,MeanMinAge21))),0)</f>
        <v/>
      </c>
      <c r="H3520">
        <f>IF('01_Вводные'!$B$234="Да",IF(OR('06_Сеть_и_дети'!H101=0,21&lt;='01_Вводные'!$B$297),0,'06_Сеть_и_дети'!H101*IF('01_Вводные'!$B$239="Да",MeanMinAge21+'19_Расчет_аналитики'!H3595*SUMIF(ThresholdAge21,"&lt;"&amp;'19_Расчет_аналитики'!H3595,WeightedRevAge21)-SUMIF(ThresholdAge21,"&lt;"&amp;'19_Расчет_аналитики'!H3595,WeightedMinAge21),MAX(CapacityAge21*'01_Вводные'!$B$218*'19_Расчет_аналитики'!H3595,MeanMinAge21))),0)</f>
        <v/>
      </c>
      <c r="I3520">
        <f>IF('01_Вводные'!$B$234="Да",IF(OR('06_Сеть_и_дети'!I101=0,21&lt;='01_Вводные'!$B$297),0,'06_Сеть_и_дети'!I101*IF('01_Вводные'!$B$239="Да",MeanMinAge21+'19_Расчет_аналитики'!I3595*SUMIF(ThresholdAge21,"&lt;"&amp;'19_Расчет_аналитики'!I3595,WeightedRevAge21)-SUMIF(ThresholdAge21,"&lt;"&amp;'19_Расчет_аналитики'!I3595,WeightedMinAge21),MAX(CapacityAge21*'01_Вводные'!$B$218*'19_Расчет_аналитики'!I3595,MeanMinAge21))),0)</f>
        <v/>
      </c>
      <c r="J3520">
        <f>IF('01_Вводные'!$B$234="Да",IF(OR('06_Сеть_и_дети'!J101=0,21&lt;='01_Вводные'!$B$297),0,'06_Сеть_и_дети'!J101*IF('01_Вводные'!$B$239="Да",MeanMinAge21+'19_Расчет_аналитики'!J3595*SUMIF(ThresholdAge21,"&lt;"&amp;'19_Расчет_аналитики'!J3595,WeightedRevAge21)-SUMIF(ThresholdAge21,"&lt;"&amp;'19_Расчет_аналитики'!J3595,WeightedMinAge21),MAX(CapacityAge21*'01_Вводные'!$B$218*'19_Расчет_аналитики'!J3595,MeanMinAge21))),0)</f>
        <v/>
      </c>
      <c r="K3520">
        <f>IF('01_Вводные'!$B$234="Да",IF(OR('06_Сеть_и_дети'!K101=0,21&lt;='01_Вводные'!$B$297),0,'06_Сеть_и_дети'!K101*IF('01_Вводные'!$B$239="Да",MeanMinAge21+'19_Расчет_аналитики'!K3595*SUMIF(ThresholdAge21,"&lt;"&amp;'19_Расчет_аналитики'!K3595,WeightedRevAge21)-SUMIF(ThresholdAge21,"&lt;"&amp;'19_Расчет_аналитики'!K3595,WeightedMinAge21),MAX(CapacityAge21*'01_Вводные'!$B$218*'19_Расчет_аналитики'!K3595,MeanMinAge21))),0)</f>
        <v/>
      </c>
      <c r="L3520">
        <f>IF('01_Вводные'!$B$234="Да",IF(OR('06_Сеть_и_дети'!L101=0,21&lt;='01_Вводные'!$B$297),0,'06_Сеть_и_дети'!L101*IF('01_Вводные'!$B$239="Да",MeanMinAge21+'19_Расчет_аналитики'!L3595*SUMIF(ThresholdAge21,"&lt;"&amp;'19_Расчет_аналитики'!L3595,WeightedRevAge21)-SUMIF(ThresholdAge21,"&lt;"&amp;'19_Расчет_аналитики'!L3595,WeightedMinAge21),MAX(CapacityAge21*'01_Вводные'!$B$218*'19_Расчет_аналитики'!L3595,MeanMinAge21))),0)</f>
        <v/>
      </c>
      <c r="M3520">
        <f>IF('01_Вводные'!$B$234="Да",IF(OR('06_Сеть_и_дети'!M101=0,21&lt;='01_Вводные'!$B$297),0,'06_Сеть_и_дети'!M101*IF('01_Вводные'!$B$239="Да",MeanMinAge21+'19_Расчет_аналитики'!M3595*SUMIF(ThresholdAge21,"&lt;"&amp;'19_Расчет_аналитики'!M3595,WeightedRevAge21)-SUMIF(ThresholdAge21,"&lt;"&amp;'19_Расчет_аналитики'!M3595,WeightedMinAge21),MAX(CapacityAge21*'01_Вводные'!$B$218*'19_Расчет_аналитики'!M3595,MeanMinAge21))),0)</f>
        <v/>
      </c>
      <c r="N3520">
        <f>IF('01_Вводные'!$B$234="Да",IF(OR('06_Сеть_и_дети'!N101=0,21&lt;='01_Вводные'!$B$297),0,'06_Сеть_и_дети'!N101*IF('01_Вводные'!$B$239="Да",MeanMinAge21+'19_Расчет_аналитики'!N3595*SUMIF(ThresholdAge21,"&lt;"&amp;'19_Расчет_аналитики'!N3595,WeightedRevAge21)-SUMIF(ThresholdAge21,"&lt;"&amp;'19_Расчет_аналитики'!N3595,WeightedMinAge21),MAX(CapacityAge21*'01_Вводные'!$B$218*'19_Расчет_аналитики'!N3595,MeanMinAge21))),0)</f>
        <v/>
      </c>
      <c r="O3520">
        <f>IF('01_Вводные'!$B$234="Да",IF(OR('06_Сеть_и_дети'!O101=0,21&lt;='01_Вводные'!$B$297),0,'06_Сеть_и_дети'!O101*IF('01_Вводные'!$B$239="Да",MeanMinAge21+'19_Расчет_аналитики'!O3595*SUMIF(ThresholdAge21,"&lt;"&amp;'19_Расчет_аналитики'!O3595,WeightedRevAge21)-SUMIF(ThresholdAge21,"&lt;"&amp;'19_Расчет_аналитики'!O3595,WeightedMinAge21),MAX(CapacityAge21*'01_Вводные'!$B$218*'19_Расчет_аналитики'!O3595,MeanMinAge21))),0)</f>
        <v/>
      </c>
      <c r="P3520">
        <f>IF('01_Вводные'!$B$234="Да",IF(OR('06_Сеть_и_дети'!P101=0,21&lt;='01_Вводные'!$B$297),0,'06_Сеть_и_дети'!P101*IF('01_Вводные'!$B$239="Да",MeanMinAge21+'19_Расчет_аналитики'!P3595*SUMIF(ThresholdAge21,"&lt;"&amp;'19_Расчет_аналитики'!P3595,WeightedRevAge21)-SUMIF(ThresholdAge21,"&lt;"&amp;'19_Расчет_аналитики'!P3595,WeightedMinAge21),MAX(CapacityAge21*'01_Вводные'!$B$218*'19_Расчет_аналитики'!P3595,MeanMinAge21))),0)</f>
        <v/>
      </c>
      <c r="Q3520">
        <f>IF('01_Вводные'!$B$234="Да",IF(OR('06_Сеть_и_дети'!Q101=0,21&lt;='01_Вводные'!$B$297),0,'06_Сеть_и_дети'!Q101*IF('01_Вводные'!$B$239="Да",MeanMinAge21+'19_Расчет_аналитики'!Q3595*SUMIF(ThresholdAge21,"&lt;"&amp;'19_Расчет_аналитики'!Q3595,WeightedRevAge21)-SUMIF(ThresholdAge21,"&lt;"&amp;'19_Расчет_аналитики'!Q3595,WeightedMinAge21),MAX(CapacityAge21*'01_Вводные'!$B$218*'19_Расчет_аналитики'!Q3595,MeanMinAge21))),0)</f>
        <v/>
      </c>
      <c r="R3520">
        <f>IF('01_Вводные'!$B$234="Да",IF(OR('06_Сеть_и_дети'!R101=0,21&lt;='01_Вводные'!$B$297),0,'06_Сеть_и_дети'!R101*IF('01_Вводные'!$B$239="Да",MeanMinAge21+'19_Расчет_аналитики'!R3595*SUMIF(ThresholdAge21,"&lt;"&amp;'19_Расчет_аналитики'!R3595,WeightedRevAge21)-SUMIF(ThresholdAge21,"&lt;"&amp;'19_Расчет_аналитики'!R3595,WeightedMinAge21),MAX(CapacityAge21*'01_Вводные'!$B$218*'19_Расчет_аналитики'!R3595,MeanMinAge21))),0)</f>
        <v/>
      </c>
      <c r="S3520">
        <f>IF('01_Вводные'!$B$234="Да",IF(OR('06_Сеть_и_дети'!S101=0,21&lt;='01_Вводные'!$B$297),0,'06_Сеть_и_дети'!S101*IF('01_Вводные'!$B$239="Да",MeanMinAge21+'19_Расчет_аналитики'!S3595*SUMIF(ThresholdAge21,"&lt;"&amp;'19_Расчет_аналитики'!S3595,WeightedRevAge21)-SUMIF(ThresholdAge21,"&lt;"&amp;'19_Расчет_аналитики'!S3595,WeightedMinAge21),MAX(CapacityAge21*'01_Вводные'!$B$218*'19_Расчет_аналитики'!S3595,MeanMinAge21))),0)</f>
        <v/>
      </c>
      <c r="T3520">
        <f>IF('01_Вводные'!$B$234="Да",IF(OR('06_Сеть_и_дети'!T101=0,21&lt;='01_Вводные'!$B$297),0,'06_Сеть_и_дети'!T101*IF('01_Вводные'!$B$239="Да",MeanMinAge21+'19_Расчет_аналитики'!T3595*SUMIF(ThresholdAge21,"&lt;"&amp;'19_Расчет_аналитики'!T3595,WeightedRevAge21)-SUMIF(ThresholdAge21,"&lt;"&amp;'19_Расчет_аналитики'!T3595,WeightedMinAge21),MAX(CapacityAge21*'01_Вводные'!$B$218*'19_Расчет_аналитики'!T3595,MeanMinAge21))),0)</f>
        <v/>
      </c>
      <c r="U3520">
        <f>IF('01_Вводные'!$B$234="Да",IF(OR('06_Сеть_и_дети'!U101=0,21&lt;='01_Вводные'!$B$297),0,'06_Сеть_и_дети'!U101*IF('01_Вводные'!$B$239="Да",MeanMinAge21+'19_Расчет_аналитики'!U3595*SUMIF(ThresholdAge21,"&lt;"&amp;'19_Расчет_аналитики'!U3595,WeightedRevAge21)-SUMIF(ThresholdAge21,"&lt;"&amp;'19_Расчет_аналитики'!U3595,WeightedMinAge21),MAX(CapacityAge21*'01_Вводные'!$B$218*'19_Расчет_аналитики'!U3595,MeanMinAge21))),0)</f>
        <v/>
      </c>
      <c r="V3520">
        <f>IF('01_Вводные'!$B$234="Да",IF(OR('19_Расчет_аналитики'!V3492=0,21&lt;='01_Вводные'!$B$297),0,'19_Расчет_аналитики'!V3492*IF('01_Вводные'!$B$239="Да",MeanMinAge21+'19_Расчет_аналитики'!V3595*SUMIF(ThresholdAge21,"&lt;"&amp;'19_Расчет_аналитики'!V3595,WeightedRevAge21)-SUMIF(ThresholdAge21,"&lt;"&amp;'19_Расчет_аналитики'!V3595,WeightedMinAge21),MAX(CapacityAge21*'01_Вводные'!$B$218*'19_Расчет_аналитики'!V3595,MeanMinAge21))),0)</f>
        <v/>
      </c>
      <c r="W3520">
        <f>IF('01_Вводные'!$B$234="Да",IF(OR('19_Расчет_аналитики'!W3492=0,21&lt;='01_Вводные'!$B$297),0,'19_Расчет_аналитики'!W3492*IF('01_Вводные'!$B$239="Да",MeanMinAge21+'19_Расчет_аналитики'!W3595*SUMIF(ThresholdAge21,"&lt;"&amp;'19_Расчет_аналитики'!W3595,WeightedRevAge21)-SUMIF(ThresholdAge21,"&lt;"&amp;'19_Расчет_аналитики'!W3595,WeightedMinAge21),MAX(CapacityAge21*'01_Вводные'!$B$218*'19_Расчет_аналитики'!W3595,MeanMinAge21))),0)</f>
        <v/>
      </c>
      <c r="X3520">
        <f>IF('01_Вводные'!$B$234="Да",IF(OR('19_Расчет_аналитики'!X3492=0,21&lt;='01_Вводные'!$B$297),0,'19_Расчет_аналитики'!X3492*IF('01_Вводные'!$B$239="Да",MeanMinAge21+'19_Расчет_аналитики'!X3595*SUMIF(ThresholdAge21,"&lt;"&amp;'19_Расчет_аналитики'!X3595,WeightedRevAge21)-SUMIF(ThresholdAge21,"&lt;"&amp;'19_Расчет_аналитики'!X3595,WeightedMinAge21),MAX(CapacityAge21*'01_Вводные'!$B$218*'19_Расчет_аналитики'!X3595,MeanMinAge21))),0)</f>
        <v/>
      </c>
      <c r="Y3520">
        <f>IF('01_Вводные'!$B$234="Да",IF(OR('19_Расчет_аналитики'!Y3492=0,21&lt;='01_Вводные'!$B$297),0,'19_Расчет_аналитики'!Y3492*IF('01_Вводные'!$B$239="Да",MeanMinAge21+'19_Расчет_аналитики'!Y3595*SUMIF(ThresholdAge21,"&lt;"&amp;'19_Расчет_аналитики'!Y3595,WeightedRevAge21)-SUMIF(ThresholdAge21,"&lt;"&amp;'19_Расчет_аналитики'!Y3595,WeightedMinAge21),MAX(CapacityAge21*'01_Вводные'!$B$218*'19_Расчет_аналитики'!Y3595,MeanMinAge21))),0)</f>
        <v/>
      </c>
      <c r="Z3520">
        <f>IF('01_Вводные'!$B$234="Да",IF(OR('19_Расчет_аналитики'!Z3492=0,21&lt;='01_Вводные'!$B$297),0,'19_Расчет_аналитики'!Z3492*IF('01_Вводные'!$B$239="Да",MeanMinAge21+'19_Расчет_аналитики'!Z3595*SUMIF(ThresholdAge21,"&lt;"&amp;'19_Расчет_аналитики'!Z3595,WeightedRevAge21)-SUMIF(ThresholdAge21,"&lt;"&amp;'19_Расчет_аналитики'!Z3595,WeightedMinAge21),MAX(CapacityAge21*'01_Вводные'!$B$218*'19_Расчет_аналитики'!Z3595,MeanMinAge21))),0)</f>
        <v/>
      </c>
      <c r="AA3520">
        <f>IF('01_Вводные'!$B$234="Да",IF(OR('19_Расчет_аналитики'!AA3492=0,21&lt;='01_Вводные'!$B$297),0,'19_Расчет_аналитики'!AA3492*IF('01_Вводные'!$B$239="Да",MeanMinAge21+'19_Расчет_аналитики'!AA3595*SUMIF(ThresholdAge21,"&lt;"&amp;'19_Расчет_аналитики'!AA3595,WeightedRevAge21)-SUMIF(ThresholdAge21,"&lt;"&amp;'19_Расчет_аналитики'!AA3595,WeightedMinAge21),MAX(CapacityAge21*'01_Вводные'!$B$218*'19_Расчет_аналитики'!AA3595,MeanMinAge21))),0)</f>
        <v/>
      </c>
      <c r="AB3520">
        <f>IF('01_Вводные'!$B$234="Да",IF(OR('19_Расчет_аналитики'!AB3492=0,21&lt;='01_Вводные'!$B$297),0,'19_Расчет_аналитики'!AB3492*IF('01_Вводные'!$B$239="Да",MeanMinAge21+'19_Расчет_аналитики'!AB3595*SUMIF(ThresholdAge21,"&lt;"&amp;'19_Расчет_аналитики'!AB3595,WeightedRevAge21)-SUMIF(ThresholdAge21,"&lt;"&amp;'19_Расчет_аналитики'!AB3595,WeightedMinAge21),MAX(CapacityAge21*'01_Вводные'!$B$218*'19_Расчет_аналитики'!AB3595,MeanMinAge21))),0)</f>
        <v/>
      </c>
      <c r="AC3520">
        <f>IF('01_Вводные'!$B$234="Да",IF(OR('19_Расчет_аналитики'!AC3492=0,21&lt;='01_Вводные'!$B$297),0,'19_Расчет_аналитики'!AC3492*IF('01_Вводные'!$B$239="Да",MeanMinAge21+'19_Расчет_аналитики'!AC3595*SUMIF(ThresholdAge21,"&lt;"&amp;'19_Расчет_аналитики'!AC3595,WeightedRevAge21)-SUMIF(ThresholdAge21,"&lt;"&amp;'19_Расчет_аналитики'!AC3595,WeightedMinAge21),MAX(CapacityAge21*'01_Вводные'!$B$218*'19_Расчет_аналитики'!AC3595,MeanMinAge21))),0)</f>
        <v/>
      </c>
      <c r="AD3520">
        <f>IF('01_Вводные'!$B$234="Да",IF(OR('19_Расчет_аналитики'!AD3492=0,21&lt;='01_Вводные'!$B$297),0,'19_Расчет_аналитики'!AD3492*IF('01_Вводные'!$B$239="Да",MeanMinAge21+'19_Расчет_аналитики'!AD3595*SUMIF(ThresholdAge21,"&lt;"&amp;'19_Расчет_аналитики'!AD3595,WeightedRevAge21)-SUMIF(ThresholdAge21,"&lt;"&amp;'19_Расчет_аналитики'!AD3595,WeightedMinAge21),MAX(CapacityAge21*'01_Вводные'!$B$218*'19_Расчет_аналитики'!AD3595,MeanMinAge21))),0)</f>
        <v/>
      </c>
      <c r="AE3520">
        <f>IF('01_Вводные'!$B$234="Да",IF(OR('19_Расчет_аналитики'!AE3492=0,21&lt;='01_Вводные'!$B$297),0,'19_Расчет_аналитики'!AE3492*IF('01_Вводные'!$B$239="Да",MeanMinAge21+'19_Расчет_аналитики'!AE3595*SUMIF(ThresholdAge21,"&lt;"&amp;'19_Расчет_аналитики'!AE3595,WeightedRevAge21)-SUMIF(ThresholdAge21,"&lt;"&amp;'19_Расчет_аналитики'!AE3595,WeightedMinAge21),MAX(CapacityAge21*'01_Вводные'!$B$218*'19_Расчет_аналитики'!AE3595,MeanMinAge21))),0)</f>
        <v/>
      </c>
      <c r="AF3520">
        <f>IF('01_Вводные'!$B$234="Да",IF(OR('19_Расчет_аналитики'!AF3492=0,21&lt;='01_Вводные'!$B$297),0,'19_Расчет_аналитики'!AF3492*IF('01_Вводные'!$B$239="Да",MeanMinAge21+'19_Расчет_аналитики'!AF3595*SUMIF(ThresholdAge21,"&lt;"&amp;'19_Расчет_аналитики'!AF3595,WeightedRevAge21)-SUMIF(ThresholdAge21,"&lt;"&amp;'19_Расчет_аналитики'!AF3595,WeightedMinAge21),MAX(CapacityAge21*'01_Вводные'!$B$218*'19_Расчет_аналитики'!AF3595,MeanMinAge21))),0)</f>
        <v/>
      </c>
      <c r="AG3520">
        <f>IF('01_Вводные'!$B$234="Да",IF(OR('19_Расчет_аналитики'!AG3492=0,21&lt;='01_Вводные'!$B$297),0,'19_Расчет_аналитики'!AG3492*IF('01_Вводные'!$B$239="Да",MeanMinAge21+'19_Расчет_аналитики'!AG3595*SUMIF(ThresholdAge21,"&lt;"&amp;'19_Расчет_аналитики'!AG3595,WeightedRevAge21)-SUMIF(ThresholdAge21,"&lt;"&amp;'19_Расчет_аналитики'!AG3595,WeightedMinAge21),MAX(CapacityAge21*'01_Вводные'!$B$218*'19_Расчет_аналитики'!AG3595,MeanMinAge21))),0)</f>
        <v/>
      </c>
      <c r="AH3520">
        <f>IF('01_Вводные'!$B$234="Да",IF(OR('19_Расчет_аналитики'!AH3492=0,21&lt;='01_Вводные'!$B$297),0,'19_Расчет_аналитики'!AH3492*IF('01_Вводные'!$B$239="Да",MeanMinAge21+'19_Расчет_аналитики'!AH3595*SUMIF(ThresholdAge21,"&lt;"&amp;'19_Расчет_аналитики'!AH3595,WeightedRevAge21)-SUMIF(ThresholdAge21,"&lt;"&amp;'19_Расчет_аналитики'!AH3595,WeightedMinAge21),MAX(CapacityAge21*'01_Вводные'!$B$218*'19_Расчет_аналитики'!AH3595,MeanMinAge21))),0)</f>
        <v/>
      </c>
      <c r="AI3520">
        <f>IF('01_Вводные'!$B$234="Да",IF(OR('19_Расчет_аналитики'!AI3492=0,21&lt;='01_Вводные'!$B$297),0,'19_Расчет_аналитики'!AI3492*IF('01_Вводные'!$B$239="Да",MeanMinAge21+'19_Расчет_аналитики'!AI3595*SUMIF(ThresholdAge21,"&lt;"&amp;'19_Расчет_аналитики'!AI3595,WeightedRevAge21)-SUMIF(ThresholdAge21,"&lt;"&amp;'19_Расчет_аналитики'!AI3595,WeightedMinAge21),MAX(CapacityAge21*'01_Вводные'!$B$218*'19_Расчет_аналитики'!AI3595,MeanMinAge21))),0)</f>
        <v/>
      </c>
      <c r="AJ3520">
        <f>IF('01_Вводные'!$B$234="Да",IF(OR('19_Расчет_аналитики'!AJ3492=0,21&lt;='01_Вводные'!$B$297),0,'19_Расчет_аналитики'!AJ3492*IF('01_Вводные'!$B$239="Да",MeanMinAge21+'19_Расчет_аналитики'!AJ3595*SUMIF(ThresholdAge21,"&lt;"&amp;'19_Расчет_аналитики'!AJ3595,WeightedRevAge21)-SUMIF(ThresholdAge21,"&lt;"&amp;'19_Расчет_аналитики'!AJ3595,WeightedMinAge21),MAX(CapacityAge21*'01_Вводные'!$B$218*'19_Расчет_аналитики'!AJ3595,MeanMinAge21))),0)</f>
        <v/>
      </c>
      <c r="AK3520">
        <f>IF('01_Вводные'!$B$234="Да",IF(OR('19_Расчет_аналитики'!AK3492=0,21&lt;='01_Вводные'!$B$297),0,'19_Расчет_аналитики'!AK3492*IF('01_Вводные'!$B$239="Да",MeanMinAge21+'19_Расчет_аналитики'!AK3595*SUMIF(ThresholdAge21,"&lt;"&amp;'19_Расчет_аналитики'!AK3595,WeightedRevAge21)-SUMIF(ThresholdAge21,"&lt;"&amp;'19_Расчет_аналитики'!AK3595,WeightedMinAge21),MAX(CapacityAge21*'01_Вводные'!$B$218*'19_Расчет_аналитики'!AK3595,MeanMinAge21))),0)</f>
        <v/>
      </c>
      <c r="AL3520">
        <f>IF('01_Вводные'!$B$234="Да",IF(OR('19_Расчет_аналитики'!AL3492=0,21&lt;='01_Вводные'!$B$297),0,'19_Расчет_аналитики'!AL3492*IF('01_Вводные'!$B$239="Да",MeanMinAge21+'19_Расчет_аналитики'!AL3595*SUMIF(ThresholdAge21,"&lt;"&amp;'19_Расчет_аналитики'!AL3595,WeightedRevAge21)-SUMIF(ThresholdAge21,"&lt;"&amp;'19_Расчет_аналитики'!AL3595,WeightedMinAge21),MAX(CapacityAge21*'01_Вводные'!$B$218*'19_Расчет_аналитики'!AL3595,MeanMinAge21))),0)</f>
        <v/>
      </c>
      <c r="AM3520">
        <f>IF('01_Вводные'!$B$234="Да",IF(OR('19_Расчет_аналитики'!AM3492=0,21&lt;='01_Вводные'!$B$297),0,'19_Расчет_аналитики'!AM3492*IF('01_Вводные'!$B$239="Да",MeanMinAge21+'19_Расчет_аналитики'!AM3595*SUMIF(ThresholdAge21,"&lt;"&amp;'19_Расчет_аналитики'!AM3595,WeightedRevAge21)-SUMIF(ThresholdAge21,"&lt;"&amp;'19_Расчет_аналитики'!AM3595,WeightedMinAge21),MAX(CapacityAge21*'01_Вводные'!$B$218*'19_Расчет_аналитики'!AM3595,MeanMinAge21))),0)</f>
        <v/>
      </c>
      <c r="AN3520">
        <f>IF('01_Вводные'!$B$234="Да",IF(OR('19_Расчет_аналитики'!AN3492=0,21&lt;='01_Вводные'!$B$297),0,'19_Расчет_аналитики'!AN3492*IF('01_Вводные'!$B$239="Да",MeanMinAge21+'19_Расчет_аналитики'!AN3595*SUMIF(ThresholdAge21,"&lt;"&amp;'19_Расчет_аналитики'!AN3595,WeightedRevAge21)-SUMIF(ThresholdAge21,"&lt;"&amp;'19_Расчет_аналитики'!AN3595,WeightedMinAge21),MAX(CapacityAge21*'01_Вводные'!$B$218*'19_Расчет_аналитики'!AN3595,MeanMinAge21))),0)</f>
        <v/>
      </c>
      <c r="AO3520">
        <f>IF('01_Вводные'!$B$234="Да",IF(OR('19_Расчет_аналитики'!AO3492=0,21&lt;='01_Вводные'!$B$297),0,'19_Расчет_аналитики'!AO3492*IF('01_Вводные'!$B$239="Да",MeanMinAge21+'19_Расчет_аналитики'!AO3595*SUMIF(ThresholdAge21,"&lt;"&amp;'19_Расчет_аналитики'!AO3595,WeightedRevAge21)-SUMIF(ThresholdAge21,"&lt;"&amp;'19_Расчет_аналитики'!AO3595,WeightedMinAge21),MAX(CapacityAge21*'01_Вводные'!$B$218*'19_Расчет_аналитики'!AO3595,MeanMinAge21))),0)</f>
        <v/>
      </c>
      <c r="AP3520">
        <f>IF('01_Вводные'!$B$234="Да",IF(OR('19_Расчет_аналитики'!AP3492=0,21&lt;='01_Вводные'!$B$297),0,'19_Расчет_аналитики'!AP3492*IF('01_Вводные'!$B$239="Да",MeanMinAge21+'19_Расчет_аналитики'!AP3595*SUMIF(ThresholdAge21,"&lt;"&amp;'19_Расчет_аналитики'!AP3595,WeightedRevAge21)-SUMIF(ThresholdAge21,"&lt;"&amp;'19_Расчет_аналитики'!AP3595,WeightedMinAge21),MAX(CapacityAge21*'01_Вводные'!$B$218*'19_Расчет_аналитики'!AP3595,MeanMinAge21))),0)</f>
        <v/>
      </c>
      <c r="AQ3520">
        <f>IF('01_Вводные'!$B$234="Да",IF(OR('19_Расчет_аналитики'!AQ3492=0,21&lt;='01_Вводные'!$B$297),0,'19_Расчет_аналитики'!AQ3492*IF('01_Вводные'!$B$239="Да",MeanMinAge21+'19_Расчет_аналитики'!AQ3595*SUMIF(ThresholdAge21,"&lt;"&amp;'19_Расчет_аналитики'!AQ3595,WeightedRevAge21)-SUMIF(ThresholdAge21,"&lt;"&amp;'19_Расчет_аналитики'!AQ3595,WeightedMinAge21),MAX(CapacityAge21*'01_Вводные'!$B$218*'19_Расчет_аналитики'!AQ3595,MeanMinAge21))),0)</f>
        <v/>
      </c>
      <c r="AR3520">
        <f>IF('01_Вводные'!$B$234="Да",IF(OR('19_Расчет_аналитики'!AR3492=0,21&lt;='01_Вводные'!$B$297),0,'19_Расчет_аналитики'!AR3492*IF('01_Вводные'!$B$239="Да",MeanMinAge21+'19_Расчет_аналитики'!AR3595*SUMIF(ThresholdAge21,"&lt;"&amp;'19_Расчет_аналитики'!AR3595,WeightedRevAge21)-SUMIF(ThresholdAge21,"&lt;"&amp;'19_Расчет_аналитики'!AR3595,WeightedMinAge21),MAX(CapacityAge21*'01_Вводные'!$B$218*'19_Расчет_аналитики'!AR3595,MeanMinAge21))),0)</f>
        <v/>
      </c>
      <c r="AS3520">
        <f>IF('01_Вводные'!$B$234="Да",IF(OR('19_Расчет_аналитики'!AS3492=0,21&lt;='01_Вводные'!$B$297),0,'19_Расчет_аналитики'!AS3492*IF('01_Вводные'!$B$239="Да",MeanMinAge21+'19_Расчет_аналитики'!AS3595*SUMIF(ThresholdAge21,"&lt;"&amp;'19_Расчет_аналитики'!AS3595,WeightedRevAge21)-SUMIF(ThresholdAge21,"&lt;"&amp;'19_Расчет_аналитики'!AS3595,WeightedMinAge21),MAX(CapacityAge21*'01_Вводные'!$B$218*'19_Расчет_аналитики'!AS3595,MeanMinAge21))),0)</f>
        <v/>
      </c>
      <c r="AT3520">
        <f>IF('01_Вводные'!$B$234="Да",IF(OR('19_Расчет_аналитики'!AT3492=0,21&lt;='01_Вводные'!$B$297),0,'19_Расчет_аналитики'!AT3492*IF('01_Вводные'!$B$239="Да",MeanMinAge21+'19_Расчет_аналитики'!AT3595*SUMIF(ThresholdAge21,"&lt;"&amp;'19_Расчет_аналитики'!AT3595,WeightedRevAge21)-SUMIF(ThresholdAge21,"&lt;"&amp;'19_Расчет_аналитики'!AT3595,WeightedMinAge21),MAX(CapacityAge21*'01_Вводные'!$B$218*'19_Расчет_аналитики'!AT3595,MeanMinAge21))),0)</f>
        <v/>
      </c>
      <c r="AU3520">
        <f>IF('01_Вводные'!$B$234="Да",IF(OR('19_Расчет_аналитики'!AU3492=0,21&lt;='01_Вводные'!$B$297),0,'19_Расчет_аналитики'!AU3492*IF('01_Вводные'!$B$239="Да",MeanMinAge21+'19_Расчет_аналитики'!AU3595*SUMIF(ThresholdAge21,"&lt;"&amp;'19_Расчет_аналитики'!AU3595,WeightedRevAge21)-SUMIF(ThresholdAge21,"&lt;"&amp;'19_Расчет_аналитики'!AU3595,WeightedMinAge21),MAX(CapacityAge21*'01_Вводные'!$B$218*'19_Расчет_аналитики'!AU3595,MeanMinAge21))),0)</f>
        <v/>
      </c>
      <c r="AV3520">
        <f>IF('01_Вводные'!$B$234="Да",IF(OR('19_Расчет_аналитики'!AV3492=0,21&lt;='01_Вводные'!$B$297),0,'19_Расчет_аналитики'!AV3492*IF('01_Вводные'!$B$239="Да",MeanMinAge21+'19_Расчет_аналитики'!AV3595*SUMIF(ThresholdAge21,"&lt;"&amp;'19_Расчет_аналитики'!AV3595,WeightedRevAge21)-SUMIF(ThresholdAge21,"&lt;"&amp;'19_Расчет_аналитики'!AV3595,WeightedMinAge21),MAX(CapacityAge21*'01_Вводные'!$B$218*'19_Расчет_аналитики'!AV3595,MeanMinAge21))),0)</f>
        <v/>
      </c>
      <c r="AW3520">
        <f>IF('01_Вводные'!$B$234="Да",IF(OR('19_Расчет_аналитики'!AW3492=0,21&lt;='01_Вводные'!$B$297),0,'19_Расчет_аналитики'!AW3492*IF('01_Вводные'!$B$239="Да",MeanMinAge21+'19_Расчет_аналитики'!AW3595*SUMIF(ThresholdAge21,"&lt;"&amp;'19_Расчет_аналитики'!AW3595,WeightedRevAge21)-SUMIF(ThresholdAge21,"&lt;"&amp;'19_Расчет_аналитики'!AW3595,WeightedMinAge21),MAX(CapacityAge21*'01_Вводные'!$B$218*'19_Расчет_аналитики'!AW3595,MeanMinAge21))),0)</f>
        <v/>
      </c>
      <c r="AX3520">
        <f>IF('01_Вводные'!$B$234="Да",IF(OR('19_Расчет_аналитики'!AX3492=0,21&lt;='01_Вводные'!$B$297),0,'19_Расчет_аналитики'!AX3492*IF('01_Вводные'!$B$239="Да",MeanMinAge21+'19_Расчет_аналитики'!AX3595*SUMIF(ThresholdAge21,"&lt;"&amp;'19_Расчет_аналитики'!AX3595,WeightedRevAge21)-SUMIF(ThresholdAge21,"&lt;"&amp;'19_Расчет_аналитики'!AX3595,WeightedMinAge21),MAX(CapacityAge21*'01_Вводные'!$B$218*'19_Расчет_аналитики'!AX3595,MeanMinAge21))),0)</f>
        <v/>
      </c>
      <c r="AY3520">
        <f>IF('01_Вводные'!$B$234="Да",IF(OR('19_Расчет_аналитики'!AY3492=0,21&lt;='01_Вводные'!$B$297),0,'19_Расчет_аналитики'!AY3492*IF('01_Вводные'!$B$239="Да",MeanMinAge21+'19_Расчет_аналитики'!AY3595*SUMIF(ThresholdAge21,"&lt;"&amp;'19_Расчет_аналитики'!AY3595,WeightedRevAge21)-SUMIF(ThresholdAge21,"&lt;"&amp;'19_Расчет_аналитики'!AY3595,WeightedMinAge21),MAX(CapacityAge21*'01_Вводные'!$B$218*'19_Расчет_аналитики'!AY3595,MeanMinAge21))),0)</f>
        <v/>
      </c>
      <c r="AZ3520">
        <f>IF('01_Вводные'!$B$234="Да",IF(OR('19_Расчет_аналитики'!AZ3492=0,21&lt;='01_Вводные'!$B$297),0,'19_Расчет_аналитики'!AZ3492*IF('01_Вводные'!$B$239="Да",MeanMinAge21+'19_Расчет_аналитики'!AZ3595*SUMIF(ThresholdAge21,"&lt;"&amp;'19_Расчет_аналитики'!AZ3595,WeightedRevAge21)-SUMIF(ThresholdAge21,"&lt;"&amp;'19_Расчет_аналитики'!AZ3595,WeightedMinAge21),MAX(CapacityAge21*'01_Вводные'!$B$218*'19_Расчет_аналитики'!AZ3595,MeanMinAge21))),0)</f>
        <v/>
      </c>
      <c r="BA3520">
        <f>IF('01_Вводные'!$B$234="Да",IF(OR('19_Расчет_аналитики'!BA3492=0,21&lt;='01_Вводные'!$B$297),0,'19_Расчет_аналитики'!BA3492*IF('01_Вводные'!$B$239="Да",MeanMinAge21+'19_Расчет_аналитики'!BA3595*SUMIF(ThresholdAge21,"&lt;"&amp;'19_Расчет_аналитики'!BA3595,WeightedRevAge21)-SUMIF(ThresholdAge21,"&lt;"&amp;'19_Расчет_аналитики'!BA3595,WeightedMinAge21),MAX(CapacityAge21*'01_Вводные'!$B$218*'19_Расчет_аналитики'!BA3595,MeanMinAge21))),0)</f>
        <v/>
      </c>
      <c r="BB3520">
        <f>IF('01_Вводные'!$B$234="Да",IF(OR('19_Расчет_аналитики'!BB3492=0,21&lt;='01_Вводные'!$B$297),0,'19_Расчет_аналитики'!BB3492*IF('01_Вводные'!$B$239="Да",MeanMinAge21+'19_Расчет_аналитики'!BB3595*SUMIF(ThresholdAge21,"&lt;"&amp;'19_Расчет_аналитики'!BB3595,WeightedRevAge21)-SUMIF(ThresholdAge21,"&lt;"&amp;'19_Расчет_аналитики'!BB3595,WeightedMinAge21),MAX(CapacityAge21*'01_Вводные'!$B$218*'19_Расчет_аналитики'!BB3595,MeanMinAge21))),0)</f>
        <v/>
      </c>
      <c r="BC3520">
        <f>IF('01_Вводные'!$B$234="Да",IF(OR('19_Расчет_аналитики'!BC3492=0,21&lt;='01_Вводные'!$B$297),0,'19_Расчет_аналитики'!BC3492*IF('01_Вводные'!$B$239="Да",MeanMinAge21+'19_Расчет_аналитики'!BC3595*SUMIF(ThresholdAge21,"&lt;"&amp;'19_Расчет_аналитики'!BC3595,WeightedRevAge21)-SUMIF(ThresholdAge21,"&lt;"&amp;'19_Расчет_аналитики'!BC3595,WeightedMinAge21),MAX(CapacityAge21*'01_Вводные'!$B$218*'19_Расчет_аналитики'!BC3595,MeanMinAge21))),0)</f>
        <v/>
      </c>
      <c r="BD3520">
        <f>IF('01_Вводные'!$B$234="Да",IF(OR('19_Расчет_аналитики'!BD3492=0,21&lt;='01_Вводные'!$B$297),0,'19_Расчет_аналитики'!BD3492*IF('01_Вводные'!$B$239="Да",MeanMinAge21+'19_Расчет_аналитики'!BD3595*SUMIF(ThresholdAge21,"&lt;"&amp;'19_Расчет_аналитики'!BD3595,WeightedRevAge21)-SUMIF(ThresholdAge21,"&lt;"&amp;'19_Расчет_аналитики'!BD3595,WeightedMinAge21),MAX(CapacityAge21*'01_Вводные'!$B$218*'19_Расчет_аналитики'!BD3595,MeanMinAge21))),0)</f>
        <v/>
      </c>
      <c r="BE3520">
        <f>IF('01_Вводные'!$B$234="Да",IF(OR('19_Расчет_аналитики'!BE3492=0,21&lt;='01_Вводные'!$B$297),0,'19_Расчет_аналитики'!BE3492*IF('01_Вводные'!$B$239="Да",MeanMinAge21+'19_Расчет_аналитики'!BE3595*SUMIF(ThresholdAge21,"&lt;"&amp;'19_Расчет_аналитики'!BE3595,WeightedRevAge21)-SUMIF(ThresholdAge21,"&lt;"&amp;'19_Расчет_аналитики'!BE3595,WeightedMinAge21),MAX(CapacityAge21*'01_Вводные'!$B$218*'19_Расчет_аналитики'!BE3595,MeanMinAge21))),0)</f>
        <v/>
      </c>
      <c r="BF3520">
        <f>IF('01_Вводные'!$B$234="Да",IF(OR('19_Расчет_аналитики'!BF3492=0,21&lt;='01_Вводные'!$B$297),0,'19_Расчет_аналитики'!BF3492*IF('01_Вводные'!$B$239="Да",MeanMinAge21+'19_Расчет_аналитики'!BF3595*SUMIF(ThresholdAge21,"&lt;"&amp;'19_Расчет_аналитики'!BF3595,WeightedRevAge21)-SUMIF(ThresholdAge21,"&lt;"&amp;'19_Расчет_аналитики'!BF3595,WeightedMinAge21),MAX(CapacityAge21*'01_Вводные'!$B$218*'19_Расчет_аналитики'!BF3595,MeanMinAge21))),0)</f>
        <v/>
      </c>
      <c r="BG3520">
        <f>IF('01_Вводные'!$B$234="Да",IF(OR('19_Расчет_аналитики'!BG3492=0,21&lt;='01_Вводные'!$B$297),0,'19_Расчет_аналитики'!BG3492*IF('01_Вводные'!$B$239="Да",MeanMinAge21+'19_Расчет_аналитики'!BG3595*SUMIF(ThresholdAge21,"&lt;"&amp;'19_Расчет_аналитики'!BG3595,WeightedRevAge21)-SUMIF(ThresholdAge21,"&lt;"&amp;'19_Расчет_аналитики'!BG3595,WeightedMinAge21),MAX(CapacityAge21*'01_Вводные'!$B$218*'19_Расчет_аналитики'!BG3595,MeanMinAge21))),0)</f>
        <v/>
      </c>
      <c r="BH3520">
        <f>IF('01_Вводные'!$B$234="Да",IF(OR('19_Расчет_аналитики'!BH3492=0,21&lt;='01_Вводные'!$B$297),0,'19_Расчет_аналитики'!BH3492*IF('01_Вводные'!$B$239="Да",MeanMinAge21+'19_Расчет_аналитики'!BH3595*SUMIF(ThresholdAge21,"&lt;"&amp;'19_Расчет_аналитики'!BH3595,WeightedRevAge21)-SUMIF(ThresholdAge21,"&lt;"&amp;'19_Расчет_аналитики'!BH3595,WeightedMinAge21),MAX(CapacityAge21*'01_Вводные'!$B$218*'19_Расчет_аналитики'!BH3595,MeanMinAge21))),0)</f>
        <v/>
      </c>
      <c r="BI3520">
        <f>IF('01_Вводные'!$B$234="Да",IF(OR('19_Расчет_аналитики'!BI3492=0,21&lt;='01_Вводные'!$B$297),0,'19_Расчет_аналитики'!BI3492*IF('01_Вводные'!$B$239="Да",MeanMinAge21+'19_Расчет_аналитики'!BI3595*SUMIF(ThresholdAge21,"&lt;"&amp;'19_Расчет_аналитики'!BI3595,WeightedRevAge21)-SUMIF(ThresholdAge21,"&lt;"&amp;'19_Расчет_аналитики'!BI3595,WeightedMinAge21),MAX(CapacityAge21*'01_Вводные'!$B$218*'19_Расчет_аналитики'!BI3595,MeanMinAge21))),0)</f>
        <v/>
      </c>
      <c r="BJ3520">
        <f>IF('01_Вводные'!$B$234="Да",IF(OR('19_Расчет_аналитики'!BJ3492=0,21&lt;='01_Вводные'!$B$297),0,'19_Расчет_аналитики'!BJ3492*IF('01_Вводные'!$B$239="Да",MeanMinAge21+'19_Расчет_аналитики'!BJ3595*SUMIF(ThresholdAge21,"&lt;"&amp;'19_Расчет_аналитики'!BJ3595,WeightedRevAge21)-SUMIF(ThresholdAge21,"&lt;"&amp;'19_Расчет_аналитики'!BJ3595,WeightedMinAge21),MAX(CapacityAge21*'01_Вводные'!$B$218*'19_Расчет_аналитики'!BJ3595,MeanMinAge21))),0)</f>
        <v/>
      </c>
      <c r="BK3520">
        <f>IF('01_Вводные'!$B$234="Да",IF(OR('19_Расчет_аналитики'!BK3492=0,21&lt;='01_Вводные'!$B$297),0,'19_Расчет_аналитики'!BK3492*IF('01_Вводные'!$B$239="Да",MeanMinAge21+'19_Расчет_аналитики'!BK3595*SUMIF(ThresholdAge21,"&lt;"&amp;'19_Расчет_аналитики'!BK3595,WeightedRevAge21)-SUMIF(ThresholdAge21,"&lt;"&amp;'19_Расчет_аналитики'!BK3595,WeightedMinAge21),MAX(CapacityAge21*'01_Вводные'!$B$218*'19_Расчет_аналитики'!BK3595,MeanMinAge21))),0)</f>
        <v/>
      </c>
      <c r="BL3520">
        <f>IF('01_Вводные'!$B$234="Да",IF(OR('19_Расчет_аналитики'!BL3492=0,21&lt;='01_Вводные'!$B$297),0,'19_Расчет_аналитики'!BL3492*IF('01_Вводные'!$B$239="Да",MeanMinAge21+'19_Расчет_аналитики'!BL3595*SUMIF(ThresholdAge21,"&lt;"&amp;'19_Расчет_аналитики'!BL3595,WeightedRevAge21)-SUMIF(ThresholdAge21,"&lt;"&amp;'19_Расчет_аналитики'!BL3595,WeightedMinAge21),MAX(CapacityAge21*'01_Вводные'!$B$218*'19_Расчет_аналитики'!BL3595,MeanMinAge21))),0)</f>
        <v/>
      </c>
      <c r="BM3520">
        <f>IF('01_Вводные'!$B$234="Да",IF(OR('19_Расчет_аналитики'!BM3492=0,21&lt;='01_Вводные'!$B$297),0,'19_Расчет_аналитики'!BM3492*IF('01_Вводные'!$B$239="Да",MeanMinAge21+'19_Расчет_аналитики'!BM3595*SUMIF(ThresholdAge21,"&lt;"&amp;'19_Расчет_аналитики'!BM3595,WeightedRevAge21)-SUMIF(ThresholdAge21,"&lt;"&amp;'19_Расчет_аналитики'!BM3595,WeightedMinAge21),MAX(CapacityAge21*'01_Вводные'!$B$218*'19_Расчет_аналитики'!BM3595,MeanMinAge21))),0)</f>
        <v/>
      </c>
      <c r="BN3520">
        <f>IF('01_Вводные'!$B$234="Да",IF(OR('19_Расчет_аналитики'!BN3492=0,21&lt;='01_Вводные'!$B$297),0,'19_Расчет_аналитики'!BN3492*IF('01_Вводные'!$B$239="Да",MeanMinAge21+'19_Расчет_аналитики'!BN3595*SUMIF(ThresholdAge21,"&lt;"&amp;'19_Расчет_аналитики'!BN3595,WeightedRevAge21)-SUMIF(ThresholdAge21,"&lt;"&amp;'19_Расчет_аналитики'!BN3595,WeightedMinAge21),MAX(CapacityAge21*'01_Вводные'!$B$218*'19_Расчет_аналитики'!BN3595,MeanMinAge21))),0)</f>
        <v/>
      </c>
      <c r="BO3520">
        <f>IF('01_Вводные'!$B$234="Да",IF(OR('19_Расчет_аналитики'!BO3492=0,21&lt;='01_Вводные'!$B$297),0,'19_Расчет_аналитики'!BO3492*IF('01_Вводные'!$B$239="Да",MeanMinAge21+'19_Расчет_аналитики'!BO3595*SUMIF(ThresholdAge21,"&lt;"&amp;'19_Расчет_аналитики'!BO3595,WeightedRevAge21)-SUMIF(ThresholdAge21,"&lt;"&amp;'19_Расчет_аналитики'!BO3595,WeightedMinAge21),MAX(CapacityAge21*'01_Вводные'!$B$218*'19_Расчет_аналитики'!BO3595,MeanMinAge21))),0)</f>
        <v/>
      </c>
    </row>
    <row r="3521">
      <c r="B3521">
        <f>IF('01_Вводные'!$B$234="Да",IF(OR('06_Сеть_и_дети'!B102=0,22&lt;='01_Вводные'!$B$297),0,'06_Сеть_и_дети'!B102*IF('01_Вводные'!$B$239="Да",MeanMinAge22+'19_Расчет_аналитики'!B3595*SUMIF(ThresholdAge22,"&lt;"&amp;'19_Расчет_аналитики'!B3595,WeightedRevAge22)-SUMIF(ThresholdAge22,"&lt;"&amp;'19_Расчет_аналитики'!B3595,WeightedMinAge22),MAX(CapacityAge22*'01_Вводные'!$B$218*'19_Расчет_аналитики'!B3595,MeanMinAge22))),0)</f>
        <v/>
      </c>
      <c r="C3521">
        <f>IF('01_Вводные'!$B$234="Да",IF(OR('06_Сеть_и_дети'!C102=0,22&lt;='01_Вводные'!$B$297),0,'06_Сеть_и_дети'!C102*IF('01_Вводные'!$B$239="Да",MeanMinAge22+'19_Расчет_аналитики'!C3595*SUMIF(ThresholdAge22,"&lt;"&amp;'19_Расчет_аналитики'!C3595,WeightedRevAge22)-SUMIF(ThresholdAge22,"&lt;"&amp;'19_Расчет_аналитики'!C3595,WeightedMinAge22),MAX(CapacityAge22*'01_Вводные'!$B$218*'19_Расчет_аналитики'!C3595,MeanMinAge22))),0)</f>
        <v/>
      </c>
      <c r="D3521">
        <f>IF('01_Вводные'!$B$234="Да",IF(OR('06_Сеть_и_дети'!D102=0,22&lt;='01_Вводные'!$B$297),0,'06_Сеть_и_дети'!D102*IF('01_Вводные'!$B$239="Да",MeanMinAge22+'19_Расчет_аналитики'!D3595*SUMIF(ThresholdAge22,"&lt;"&amp;'19_Расчет_аналитики'!D3595,WeightedRevAge22)-SUMIF(ThresholdAge22,"&lt;"&amp;'19_Расчет_аналитики'!D3595,WeightedMinAge22),MAX(CapacityAge22*'01_Вводные'!$B$218*'19_Расчет_аналитики'!D3595,MeanMinAge22))),0)</f>
        <v/>
      </c>
      <c r="E3521">
        <f>IF('01_Вводные'!$B$234="Да",IF(OR('06_Сеть_и_дети'!E102=0,22&lt;='01_Вводные'!$B$297),0,'06_Сеть_и_дети'!E102*IF('01_Вводные'!$B$239="Да",MeanMinAge22+'19_Расчет_аналитики'!E3595*SUMIF(ThresholdAge22,"&lt;"&amp;'19_Расчет_аналитики'!E3595,WeightedRevAge22)-SUMIF(ThresholdAge22,"&lt;"&amp;'19_Расчет_аналитики'!E3595,WeightedMinAge22),MAX(CapacityAge22*'01_Вводные'!$B$218*'19_Расчет_аналитики'!E3595,MeanMinAge22))),0)</f>
        <v/>
      </c>
      <c r="F3521">
        <f>IF('01_Вводные'!$B$234="Да",IF(OR('06_Сеть_и_дети'!F102=0,22&lt;='01_Вводные'!$B$297),0,'06_Сеть_и_дети'!F102*IF('01_Вводные'!$B$239="Да",MeanMinAge22+'19_Расчет_аналитики'!F3595*SUMIF(ThresholdAge22,"&lt;"&amp;'19_Расчет_аналитики'!F3595,WeightedRevAge22)-SUMIF(ThresholdAge22,"&lt;"&amp;'19_Расчет_аналитики'!F3595,WeightedMinAge22),MAX(CapacityAge22*'01_Вводные'!$B$218*'19_Расчет_аналитики'!F3595,MeanMinAge22))),0)</f>
        <v/>
      </c>
      <c r="G3521">
        <f>IF('01_Вводные'!$B$234="Да",IF(OR('06_Сеть_и_дети'!G102=0,22&lt;='01_Вводные'!$B$297),0,'06_Сеть_и_дети'!G102*IF('01_Вводные'!$B$239="Да",MeanMinAge22+'19_Расчет_аналитики'!G3595*SUMIF(ThresholdAge22,"&lt;"&amp;'19_Расчет_аналитики'!G3595,WeightedRevAge22)-SUMIF(ThresholdAge22,"&lt;"&amp;'19_Расчет_аналитики'!G3595,WeightedMinAge22),MAX(CapacityAge22*'01_Вводные'!$B$218*'19_Расчет_аналитики'!G3595,MeanMinAge22))),0)</f>
        <v/>
      </c>
      <c r="H3521">
        <f>IF('01_Вводные'!$B$234="Да",IF(OR('06_Сеть_и_дети'!H102=0,22&lt;='01_Вводные'!$B$297),0,'06_Сеть_и_дети'!H102*IF('01_Вводные'!$B$239="Да",MeanMinAge22+'19_Расчет_аналитики'!H3595*SUMIF(ThresholdAge22,"&lt;"&amp;'19_Расчет_аналитики'!H3595,WeightedRevAge22)-SUMIF(ThresholdAge22,"&lt;"&amp;'19_Расчет_аналитики'!H3595,WeightedMinAge22),MAX(CapacityAge22*'01_Вводные'!$B$218*'19_Расчет_аналитики'!H3595,MeanMinAge22))),0)</f>
        <v/>
      </c>
      <c r="I3521">
        <f>IF('01_Вводные'!$B$234="Да",IF(OR('06_Сеть_и_дети'!I102=0,22&lt;='01_Вводные'!$B$297),0,'06_Сеть_и_дети'!I102*IF('01_Вводные'!$B$239="Да",MeanMinAge22+'19_Расчет_аналитики'!I3595*SUMIF(ThresholdAge22,"&lt;"&amp;'19_Расчет_аналитики'!I3595,WeightedRevAge22)-SUMIF(ThresholdAge22,"&lt;"&amp;'19_Расчет_аналитики'!I3595,WeightedMinAge22),MAX(CapacityAge22*'01_Вводные'!$B$218*'19_Расчет_аналитики'!I3595,MeanMinAge22))),0)</f>
        <v/>
      </c>
      <c r="J3521">
        <f>IF('01_Вводные'!$B$234="Да",IF(OR('06_Сеть_и_дети'!J102=0,22&lt;='01_Вводные'!$B$297),0,'06_Сеть_и_дети'!J102*IF('01_Вводные'!$B$239="Да",MeanMinAge22+'19_Расчет_аналитики'!J3595*SUMIF(ThresholdAge22,"&lt;"&amp;'19_Расчет_аналитики'!J3595,WeightedRevAge22)-SUMIF(ThresholdAge22,"&lt;"&amp;'19_Расчет_аналитики'!J3595,WeightedMinAge22),MAX(CapacityAge22*'01_Вводные'!$B$218*'19_Расчет_аналитики'!J3595,MeanMinAge22))),0)</f>
        <v/>
      </c>
      <c r="K3521">
        <f>IF('01_Вводные'!$B$234="Да",IF(OR('06_Сеть_и_дети'!K102=0,22&lt;='01_Вводные'!$B$297),0,'06_Сеть_и_дети'!K102*IF('01_Вводные'!$B$239="Да",MeanMinAge22+'19_Расчет_аналитики'!K3595*SUMIF(ThresholdAge22,"&lt;"&amp;'19_Расчет_аналитики'!K3595,WeightedRevAge22)-SUMIF(ThresholdAge22,"&lt;"&amp;'19_Расчет_аналитики'!K3595,WeightedMinAge22),MAX(CapacityAge22*'01_Вводные'!$B$218*'19_Расчет_аналитики'!K3595,MeanMinAge22))),0)</f>
        <v/>
      </c>
      <c r="L3521">
        <f>IF('01_Вводные'!$B$234="Да",IF(OR('06_Сеть_и_дети'!L102=0,22&lt;='01_Вводные'!$B$297),0,'06_Сеть_и_дети'!L102*IF('01_Вводные'!$B$239="Да",MeanMinAge22+'19_Расчет_аналитики'!L3595*SUMIF(ThresholdAge22,"&lt;"&amp;'19_Расчет_аналитики'!L3595,WeightedRevAge22)-SUMIF(ThresholdAge22,"&lt;"&amp;'19_Расчет_аналитики'!L3595,WeightedMinAge22),MAX(CapacityAge22*'01_Вводные'!$B$218*'19_Расчет_аналитики'!L3595,MeanMinAge22))),0)</f>
        <v/>
      </c>
      <c r="M3521">
        <f>IF('01_Вводные'!$B$234="Да",IF(OR('06_Сеть_и_дети'!M102=0,22&lt;='01_Вводные'!$B$297),0,'06_Сеть_и_дети'!M102*IF('01_Вводные'!$B$239="Да",MeanMinAge22+'19_Расчет_аналитики'!M3595*SUMIF(ThresholdAge22,"&lt;"&amp;'19_Расчет_аналитики'!M3595,WeightedRevAge22)-SUMIF(ThresholdAge22,"&lt;"&amp;'19_Расчет_аналитики'!M3595,WeightedMinAge22),MAX(CapacityAge22*'01_Вводные'!$B$218*'19_Расчет_аналитики'!M3595,MeanMinAge22))),0)</f>
        <v/>
      </c>
      <c r="N3521">
        <f>IF('01_Вводные'!$B$234="Да",IF(OR('06_Сеть_и_дети'!N102=0,22&lt;='01_Вводные'!$B$297),0,'06_Сеть_и_дети'!N102*IF('01_Вводные'!$B$239="Да",MeanMinAge22+'19_Расчет_аналитики'!N3595*SUMIF(ThresholdAge22,"&lt;"&amp;'19_Расчет_аналитики'!N3595,WeightedRevAge22)-SUMIF(ThresholdAge22,"&lt;"&amp;'19_Расчет_аналитики'!N3595,WeightedMinAge22),MAX(CapacityAge22*'01_Вводные'!$B$218*'19_Расчет_аналитики'!N3595,MeanMinAge22))),0)</f>
        <v/>
      </c>
      <c r="O3521">
        <f>IF('01_Вводные'!$B$234="Да",IF(OR('06_Сеть_и_дети'!O102=0,22&lt;='01_Вводные'!$B$297),0,'06_Сеть_и_дети'!O102*IF('01_Вводные'!$B$239="Да",MeanMinAge22+'19_Расчет_аналитики'!O3595*SUMIF(ThresholdAge22,"&lt;"&amp;'19_Расчет_аналитики'!O3595,WeightedRevAge22)-SUMIF(ThresholdAge22,"&lt;"&amp;'19_Расчет_аналитики'!O3595,WeightedMinAge22),MAX(CapacityAge22*'01_Вводные'!$B$218*'19_Расчет_аналитики'!O3595,MeanMinAge22))),0)</f>
        <v/>
      </c>
      <c r="P3521">
        <f>IF('01_Вводные'!$B$234="Да",IF(OR('06_Сеть_и_дети'!P102=0,22&lt;='01_Вводные'!$B$297),0,'06_Сеть_и_дети'!P102*IF('01_Вводные'!$B$239="Да",MeanMinAge22+'19_Расчет_аналитики'!P3595*SUMIF(ThresholdAge22,"&lt;"&amp;'19_Расчет_аналитики'!P3595,WeightedRevAge22)-SUMIF(ThresholdAge22,"&lt;"&amp;'19_Расчет_аналитики'!P3595,WeightedMinAge22),MAX(CapacityAge22*'01_Вводные'!$B$218*'19_Расчет_аналитики'!P3595,MeanMinAge22))),0)</f>
        <v/>
      </c>
      <c r="Q3521">
        <f>IF('01_Вводные'!$B$234="Да",IF(OR('06_Сеть_и_дети'!Q102=0,22&lt;='01_Вводные'!$B$297),0,'06_Сеть_и_дети'!Q102*IF('01_Вводные'!$B$239="Да",MeanMinAge22+'19_Расчет_аналитики'!Q3595*SUMIF(ThresholdAge22,"&lt;"&amp;'19_Расчет_аналитики'!Q3595,WeightedRevAge22)-SUMIF(ThresholdAge22,"&lt;"&amp;'19_Расчет_аналитики'!Q3595,WeightedMinAge22),MAX(CapacityAge22*'01_Вводные'!$B$218*'19_Расчет_аналитики'!Q3595,MeanMinAge22))),0)</f>
        <v/>
      </c>
      <c r="R3521">
        <f>IF('01_Вводные'!$B$234="Да",IF(OR('06_Сеть_и_дети'!R102=0,22&lt;='01_Вводные'!$B$297),0,'06_Сеть_и_дети'!R102*IF('01_Вводные'!$B$239="Да",MeanMinAge22+'19_Расчет_аналитики'!R3595*SUMIF(ThresholdAge22,"&lt;"&amp;'19_Расчет_аналитики'!R3595,WeightedRevAge22)-SUMIF(ThresholdAge22,"&lt;"&amp;'19_Расчет_аналитики'!R3595,WeightedMinAge22),MAX(CapacityAge22*'01_Вводные'!$B$218*'19_Расчет_аналитики'!R3595,MeanMinAge22))),0)</f>
        <v/>
      </c>
      <c r="S3521">
        <f>IF('01_Вводные'!$B$234="Да",IF(OR('06_Сеть_и_дети'!S102=0,22&lt;='01_Вводные'!$B$297),0,'06_Сеть_и_дети'!S102*IF('01_Вводные'!$B$239="Да",MeanMinAge22+'19_Расчет_аналитики'!S3595*SUMIF(ThresholdAge22,"&lt;"&amp;'19_Расчет_аналитики'!S3595,WeightedRevAge22)-SUMIF(ThresholdAge22,"&lt;"&amp;'19_Расчет_аналитики'!S3595,WeightedMinAge22),MAX(CapacityAge22*'01_Вводные'!$B$218*'19_Расчет_аналитики'!S3595,MeanMinAge22))),0)</f>
        <v/>
      </c>
      <c r="T3521">
        <f>IF('01_Вводные'!$B$234="Да",IF(OR('06_Сеть_и_дети'!T102=0,22&lt;='01_Вводные'!$B$297),0,'06_Сеть_и_дети'!T102*IF('01_Вводные'!$B$239="Да",MeanMinAge22+'19_Расчет_аналитики'!T3595*SUMIF(ThresholdAge22,"&lt;"&amp;'19_Расчет_аналитики'!T3595,WeightedRevAge22)-SUMIF(ThresholdAge22,"&lt;"&amp;'19_Расчет_аналитики'!T3595,WeightedMinAge22),MAX(CapacityAge22*'01_Вводные'!$B$218*'19_Расчет_аналитики'!T3595,MeanMinAge22))),0)</f>
        <v/>
      </c>
      <c r="U3521">
        <f>IF('01_Вводные'!$B$234="Да",IF(OR('06_Сеть_и_дети'!U102=0,22&lt;='01_Вводные'!$B$297),0,'06_Сеть_и_дети'!U102*IF('01_Вводные'!$B$239="Да",MeanMinAge22+'19_Расчет_аналитики'!U3595*SUMIF(ThresholdAge22,"&lt;"&amp;'19_Расчет_аналитики'!U3595,WeightedRevAge22)-SUMIF(ThresholdAge22,"&lt;"&amp;'19_Расчет_аналитики'!U3595,WeightedMinAge22),MAX(CapacityAge22*'01_Вводные'!$B$218*'19_Расчет_аналитики'!U3595,MeanMinAge22))),0)</f>
        <v/>
      </c>
      <c r="V3521">
        <f>IF('01_Вводные'!$B$234="Да",IF(OR('06_Сеть_и_дети'!V102=0,22&lt;='01_Вводные'!$B$297),0,'06_Сеть_и_дети'!V102*IF('01_Вводные'!$B$239="Да",MeanMinAge22+'19_Расчет_аналитики'!V3595*SUMIF(ThresholdAge22,"&lt;"&amp;'19_Расчет_аналитики'!V3595,WeightedRevAge22)-SUMIF(ThresholdAge22,"&lt;"&amp;'19_Расчет_аналитики'!V3595,WeightedMinAge22),MAX(CapacityAge22*'01_Вводные'!$B$218*'19_Расчет_аналитики'!V3595,MeanMinAge22))),0)</f>
        <v/>
      </c>
      <c r="W3521">
        <f>IF('01_Вводные'!$B$234="Да",IF(OR('19_Расчет_аналитики'!W3493=0,22&lt;='01_Вводные'!$B$297),0,'19_Расчет_аналитики'!W3493*IF('01_Вводные'!$B$239="Да",MeanMinAge22+'19_Расчет_аналитики'!W3595*SUMIF(ThresholdAge22,"&lt;"&amp;'19_Расчет_аналитики'!W3595,WeightedRevAge22)-SUMIF(ThresholdAge22,"&lt;"&amp;'19_Расчет_аналитики'!W3595,WeightedMinAge22),MAX(CapacityAge22*'01_Вводные'!$B$218*'19_Расчет_аналитики'!W3595,MeanMinAge22))),0)</f>
        <v/>
      </c>
      <c r="X3521">
        <f>IF('01_Вводные'!$B$234="Да",IF(OR('19_Расчет_аналитики'!X3493=0,22&lt;='01_Вводные'!$B$297),0,'19_Расчет_аналитики'!X3493*IF('01_Вводные'!$B$239="Да",MeanMinAge22+'19_Расчет_аналитики'!X3595*SUMIF(ThresholdAge22,"&lt;"&amp;'19_Расчет_аналитики'!X3595,WeightedRevAge22)-SUMIF(ThresholdAge22,"&lt;"&amp;'19_Расчет_аналитики'!X3595,WeightedMinAge22),MAX(CapacityAge22*'01_Вводные'!$B$218*'19_Расчет_аналитики'!X3595,MeanMinAge22))),0)</f>
        <v/>
      </c>
      <c r="Y3521">
        <f>IF('01_Вводные'!$B$234="Да",IF(OR('19_Расчет_аналитики'!Y3493=0,22&lt;='01_Вводные'!$B$297),0,'19_Расчет_аналитики'!Y3493*IF('01_Вводные'!$B$239="Да",MeanMinAge22+'19_Расчет_аналитики'!Y3595*SUMIF(ThresholdAge22,"&lt;"&amp;'19_Расчет_аналитики'!Y3595,WeightedRevAge22)-SUMIF(ThresholdAge22,"&lt;"&amp;'19_Расчет_аналитики'!Y3595,WeightedMinAge22),MAX(CapacityAge22*'01_Вводные'!$B$218*'19_Расчет_аналитики'!Y3595,MeanMinAge22))),0)</f>
        <v/>
      </c>
      <c r="Z3521">
        <f>IF('01_Вводные'!$B$234="Да",IF(OR('19_Расчет_аналитики'!Z3493=0,22&lt;='01_Вводные'!$B$297),0,'19_Расчет_аналитики'!Z3493*IF('01_Вводные'!$B$239="Да",MeanMinAge22+'19_Расчет_аналитики'!Z3595*SUMIF(ThresholdAge22,"&lt;"&amp;'19_Расчет_аналитики'!Z3595,WeightedRevAge22)-SUMIF(ThresholdAge22,"&lt;"&amp;'19_Расчет_аналитики'!Z3595,WeightedMinAge22),MAX(CapacityAge22*'01_Вводные'!$B$218*'19_Расчет_аналитики'!Z3595,MeanMinAge22))),0)</f>
        <v/>
      </c>
      <c r="AA3521">
        <f>IF('01_Вводные'!$B$234="Да",IF(OR('19_Расчет_аналитики'!AA3493=0,22&lt;='01_Вводные'!$B$297),0,'19_Расчет_аналитики'!AA3493*IF('01_Вводные'!$B$239="Да",MeanMinAge22+'19_Расчет_аналитики'!AA3595*SUMIF(ThresholdAge22,"&lt;"&amp;'19_Расчет_аналитики'!AA3595,WeightedRevAge22)-SUMIF(ThresholdAge22,"&lt;"&amp;'19_Расчет_аналитики'!AA3595,WeightedMinAge22),MAX(CapacityAge22*'01_Вводные'!$B$218*'19_Расчет_аналитики'!AA3595,MeanMinAge22))),0)</f>
        <v/>
      </c>
      <c r="AB3521">
        <f>IF('01_Вводные'!$B$234="Да",IF(OR('19_Расчет_аналитики'!AB3493=0,22&lt;='01_Вводные'!$B$297),0,'19_Расчет_аналитики'!AB3493*IF('01_Вводные'!$B$239="Да",MeanMinAge22+'19_Расчет_аналитики'!AB3595*SUMIF(ThresholdAge22,"&lt;"&amp;'19_Расчет_аналитики'!AB3595,WeightedRevAge22)-SUMIF(ThresholdAge22,"&lt;"&amp;'19_Расчет_аналитики'!AB3595,WeightedMinAge22),MAX(CapacityAge22*'01_Вводные'!$B$218*'19_Расчет_аналитики'!AB3595,MeanMinAge22))),0)</f>
        <v/>
      </c>
      <c r="AC3521">
        <f>IF('01_Вводные'!$B$234="Да",IF(OR('19_Расчет_аналитики'!AC3493=0,22&lt;='01_Вводные'!$B$297),0,'19_Расчет_аналитики'!AC3493*IF('01_Вводные'!$B$239="Да",MeanMinAge22+'19_Расчет_аналитики'!AC3595*SUMIF(ThresholdAge22,"&lt;"&amp;'19_Расчет_аналитики'!AC3595,WeightedRevAge22)-SUMIF(ThresholdAge22,"&lt;"&amp;'19_Расчет_аналитики'!AC3595,WeightedMinAge22),MAX(CapacityAge22*'01_Вводные'!$B$218*'19_Расчет_аналитики'!AC3595,MeanMinAge22))),0)</f>
        <v/>
      </c>
      <c r="AD3521">
        <f>IF('01_Вводные'!$B$234="Да",IF(OR('19_Расчет_аналитики'!AD3493=0,22&lt;='01_Вводные'!$B$297),0,'19_Расчет_аналитики'!AD3493*IF('01_Вводные'!$B$239="Да",MeanMinAge22+'19_Расчет_аналитики'!AD3595*SUMIF(ThresholdAge22,"&lt;"&amp;'19_Расчет_аналитики'!AD3595,WeightedRevAge22)-SUMIF(ThresholdAge22,"&lt;"&amp;'19_Расчет_аналитики'!AD3595,WeightedMinAge22),MAX(CapacityAge22*'01_Вводные'!$B$218*'19_Расчет_аналитики'!AD3595,MeanMinAge22))),0)</f>
        <v/>
      </c>
      <c r="AE3521">
        <f>IF('01_Вводные'!$B$234="Да",IF(OR('19_Расчет_аналитики'!AE3493=0,22&lt;='01_Вводные'!$B$297),0,'19_Расчет_аналитики'!AE3493*IF('01_Вводные'!$B$239="Да",MeanMinAge22+'19_Расчет_аналитики'!AE3595*SUMIF(ThresholdAge22,"&lt;"&amp;'19_Расчет_аналитики'!AE3595,WeightedRevAge22)-SUMIF(ThresholdAge22,"&lt;"&amp;'19_Расчет_аналитики'!AE3595,WeightedMinAge22),MAX(CapacityAge22*'01_Вводные'!$B$218*'19_Расчет_аналитики'!AE3595,MeanMinAge22))),0)</f>
        <v/>
      </c>
      <c r="AF3521">
        <f>IF('01_Вводные'!$B$234="Да",IF(OR('19_Расчет_аналитики'!AF3493=0,22&lt;='01_Вводные'!$B$297),0,'19_Расчет_аналитики'!AF3493*IF('01_Вводные'!$B$239="Да",MeanMinAge22+'19_Расчет_аналитики'!AF3595*SUMIF(ThresholdAge22,"&lt;"&amp;'19_Расчет_аналитики'!AF3595,WeightedRevAge22)-SUMIF(ThresholdAge22,"&lt;"&amp;'19_Расчет_аналитики'!AF3595,WeightedMinAge22),MAX(CapacityAge22*'01_Вводные'!$B$218*'19_Расчет_аналитики'!AF3595,MeanMinAge22))),0)</f>
        <v/>
      </c>
      <c r="AG3521">
        <f>IF('01_Вводные'!$B$234="Да",IF(OR('19_Расчет_аналитики'!AG3493=0,22&lt;='01_Вводные'!$B$297),0,'19_Расчет_аналитики'!AG3493*IF('01_Вводные'!$B$239="Да",MeanMinAge22+'19_Расчет_аналитики'!AG3595*SUMIF(ThresholdAge22,"&lt;"&amp;'19_Расчет_аналитики'!AG3595,WeightedRevAge22)-SUMIF(ThresholdAge22,"&lt;"&amp;'19_Расчет_аналитики'!AG3595,WeightedMinAge22),MAX(CapacityAge22*'01_Вводные'!$B$218*'19_Расчет_аналитики'!AG3595,MeanMinAge22))),0)</f>
        <v/>
      </c>
      <c r="AH3521">
        <f>IF('01_Вводные'!$B$234="Да",IF(OR('19_Расчет_аналитики'!AH3493=0,22&lt;='01_Вводные'!$B$297),0,'19_Расчет_аналитики'!AH3493*IF('01_Вводные'!$B$239="Да",MeanMinAge22+'19_Расчет_аналитики'!AH3595*SUMIF(ThresholdAge22,"&lt;"&amp;'19_Расчет_аналитики'!AH3595,WeightedRevAge22)-SUMIF(ThresholdAge22,"&lt;"&amp;'19_Расчет_аналитики'!AH3595,WeightedMinAge22),MAX(CapacityAge22*'01_Вводные'!$B$218*'19_Расчет_аналитики'!AH3595,MeanMinAge22))),0)</f>
        <v/>
      </c>
      <c r="AI3521">
        <f>IF('01_Вводные'!$B$234="Да",IF(OR('19_Расчет_аналитики'!AI3493=0,22&lt;='01_Вводные'!$B$297),0,'19_Расчет_аналитики'!AI3493*IF('01_Вводные'!$B$239="Да",MeanMinAge22+'19_Расчет_аналитики'!AI3595*SUMIF(ThresholdAge22,"&lt;"&amp;'19_Расчет_аналитики'!AI3595,WeightedRevAge22)-SUMIF(ThresholdAge22,"&lt;"&amp;'19_Расчет_аналитики'!AI3595,WeightedMinAge22),MAX(CapacityAge22*'01_Вводные'!$B$218*'19_Расчет_аналитики'!AI3595,MeanMinAge22))),0)</f>
        <v/>
      </c>
      <c r="AJ3521">
        <f>IF('01_Вводные'!$B$234="Да",IF(OR('19_Расчет_аналитики'!AJ3493=0,22&lt;='01_Вводные'!$B$297),0,'19_Расчет_аналитики'!AJ3493*IF('01_Вводные'!$B$239="Да",MeanMinAge22+'19_Расчет_аналитики'!AJ3595*SUMIF(ThresholdAge22,"&lt;"&amp;'19_Расчет_аналитики'!AJ3595,WeightedRevAge22)-SUMIF(ThresholdAge22,"&lt;"&amp;'19_Расчет_аналитики'!AJ3595,WeightedMinAge22),MAX(CapacityAge22*'01_Вводные'!$B$218*'19_Расчет_аналитики'!AJ3595,MeanMinAge22))),0)</f>
        <v/>
      </c>
      <c r="AK3521">
        <f>IF('01_Вводные'!$B$234="Да",IF(OR('19_Расчет_аналитики'!AK3493=0,22&lt;='01_Вводные'!$B$297),0,'19_Расчет_аналитики'!AK3493*IF('01_Вводные'!$B$239="Да",MeanMinAge22+'19_Расчет_аналитики'!AK3595*SUMIF(ThresholdAge22,"&lt;"&amp;'19_Расчет_аналитики'!AK3595,WeightedRevAge22)-SUMIF(ThresholdAge22,"&lt;"&amp;'19_Расчет_аналитики'!AK3595,WeightedMinAge22),MAX(CapacityAge22*'01_Вводные'!$B$218*'19_Расчет_аналитики'!AK3595,MeanMinAge22))),0)</f>
        <v/>
      </c>
      <c r="AL3521">
        <f>IF('01_Вводные'!$B$234="Да",IF(OR('19_Расчет_аналитики'!AL3493=0,22&lt;='01_Вводные'!$B$297),0,'19_Расчет_аналитики'!AL3493*IF('01_Вводные'!$B$239="Да",MeanMinAge22+'19_Расчет_аналитики'!AL3595*SUMIF(ThresholdAge22,"&lt;"&amp;'19_Расчет_аналитики'!AL3595,WeightedRevAge22)-SUMIF(ThresholdAge22,"&lt;"&amp;'19_Расчет_аналитики'!AL3595,WeightedMinAge22),MAX(CapacityAge22*'01_Вводные'!$B$218*'19_Расчет_аналитики'!AL3595,MeanMinAge22))),0)</f>
        <v/>
      </c>
      <c r="AM3521">
        <f>IF('01_Вводные'!$B$234="Да",IF(OR('19_Расчет_аналитики'!AM3493=0,22&lt;='01_Вводные'!$B$297),0,'19_Расчет_аналитики'!AM3493*IF('01_Вводные'!$B$239="Да",MeanMinAge22+'19_Расчет_аналитики'!AM3595*SUMIF(ThresholdAge22,"&lt;"&amp;'19_Расчет_аналитики'!AM3595,WeightedRevAge22)-SUMIF(ThresholdAge22,"&lt;"&amp;'19_Расчет_аналитики'!AM3595,WeightedMinAge22),MAX(CapacityAge22*'01_Вводные'!$B$218*'19_Расчет_аналитики'!AM3595,MeanMinAge22))),0)</f>
        <v/>
      </c>
      <c r="AN3521">
        <f>IF('01_Вводные'!$B$234="Да",IF(OR('19_Расчет_аналитики'!AN3493=0,22&lt;='01_Вводные'!$B$297),0,'19_Расчет_аналитики'!AN3493*IF('01_Вводные'!$B$239="Да",MeanMinAge22+'19_Расчет_аналитики'!AN3595*SUMIF(ThresholdAge22,"&lt;"&amp;'19_Расчет_аналитики'!AN3595,WeightedRevAge22)-SUMIF(ThresholdAge22,"&lt;"&amp;'19_Расчет_аналитики'!AN3595,WeightedMinAge22),MAX(CapacityAge22*'01_Вводные'!$B$218*'19_Расчет_аналитики'!AN3595,MeanMinAge22))),0)</f>
        <v/>
      </c>
      <c r="AO3521">
        <f>IF('01_Вводные'!$B$234="Да",IF(OR('19_Расчет_аналитики'!AO3493=0,22&lt;='01_Вводные'!$B$297),0,'19_Расчет_аналитики'!AO3493*IF('01_Вводные'!$B$239="Да",MeanMinAge22+'19_Расчет_аналитики'!AO3595*SUMIF(ThresholdAge22,"&lt;"&amp;'19_Расчет_аналитики'!AO3595,WeightedRevAge22)-SUMIF(ThresholdAge22,"&lt;"&amp;'19_Расчет_аналитики'!AO3595,WeightedMinAge22),MAX(CapacityAge22*'01_Вводные'!$B$218*'19_Расчет_аналитики'!AO3595,MeanMinAge22))),0)</f>
        <v/>
      </c>
      <c r="AP3521">
        <f>IF('01_Вводные'!$B$234="Да",IF(OR('19_Расчет_аналитики'!AP3493=0,22&lt;='01_Вводные'!$B$297),0,'19_Расчет_аналитики'!AP3493*IF('01_Вводные'!$B$239="Да",MeanMinAge22+'19_Расчет_аналитики'!AP3595*SUMIF(ThresholdAge22,"&lt;"&amp;'19_Расчет_аналитики'!AP3595,WeightedRevAge22)-SUMIF(ThresholdAge22,"&lt;"&amp;'19_Расчет_аналитики'!AP3595,WeightedMinAge22),MAX(CapacityAge22*'01_Вводные'!$B$218*'19_Расчет_аналитики'!AP3595,MeanMinAge22))),0)</f>
        <v/>
      </c>
      <c r="AQ3521">
        <f>IF('01_Вводные'!$B$234="Да",IF(OR('19_Расчет_аналитики'!AQ3493=0,22&lt;='01_Вводные'!$B$297),0,'19_Расчет_аналитики'!AQ3493*IF('01_Вводные'!$B$239="Да",MeanMinAge22+'19_Расчет_аналитики'!AQ3595*SUMIF(ThresholdAge22,"&lt;"&amp;'19_Расчет_аналитики'!AQ3595,WeightedRevAge22)-SUMIF(ThresholdAge22,"&lt;"&amp;'19_Расчет_аналитики'!AQ3595,WeightedMinAge22),MAX(CapacityAge22*'01_Вводные'!$B$218*'19_Расчет_аналитики'!AQ3595,MeanMinAge22))),0)</f>
        <v/>
      </c>
      <c r="AR3521">
        <f>IF('01_Вводные'!$B$234="Да",IF(OR('19_Расчет_аналитики'!AR3493=0,22&lt;='01_Вводные'!$B$297),0,'19_Расчет_аналитики'!AR3493*IF('01_Вводные'!$B$239="Да",MeanMinAge22+'19_Расчет_аналитики'!AR3595*SUMIF(ThresholdAge22,"&lt;"&amp;'19_Расчет_аналитики'!AR3595,WeightedRevAge22)-SUMIF(ThresholdAge22,"&lt;"&amp;'19_Расчет_аналитики'!AR3595,WeightedMinAge22),MAX(CapacityAge22*'01_Вводные'!$B$218*'19_Расчет_аналитики'!AR3595,MeanMinAge22))),0)</f>
        <v/>
      </c>
      <c r="AS3521">
        <f>IF('01_Вводные'!$B$234="Да",IF(OR('19_Расчет_аналитики'!AS3493=0,22&lt;='01_Вводные'!$B$297),0,'19_Расчет_аналитики'!AS3493*IF('01_Вводные'!$B$239="Да",MeanMinAge22+'19_Расчет_аналитики'!AS3595*SUMIF(ThresholdAge22,"&lt;"&amp;'19_Расчет_аналитики'!AS3595,WeightedRevAge22)-SUMIF(ThresholdAge22,"&lt;"&amp;'19_Расчет_аналитики'!AS3595,WeightedMinAge22),MAX(CapacityAge22*'01_Вводные'!$B$218*'19_Расчет_аналитики'!AS3595,MeanMinAge22))),0)</f>
        <v/>
      </c>
      <c r="AT3521">
        <f>IF('01_Вводные'!$B$234="Да",IF(OR('19_Расчет_аналитики'!AT3493=0,22&lt;='01_Вводные'!$B$297),0,'19_Расчет_аналитики'!AT3493*IF('01_Вводные'!$B$239="Да",MeanMinAge22+'19_Расчет_аналитики'!AT3595*SUMIF(ThresholdAge22,"&lt;"&amp;'19_Расчет_аналитики'!AT3595,WeightedRevAge22)-SUMIF(ThresholdAge22,"&lt;"&amp;'19_Расчет_аналитики'!AT3595,WeightedMinAge22),MAX(CapacityAge22*'01_Вводные'!$B$218*'19_Расчет_аналитики'!AT3595,MeanMinAge22))),0)</f>
        <v/>
      </c>
      <c r="AU3521">
        <f>IF('01_Вводные'!$B$234="Да",IF(OR('19_Расчет_аналитики'!AU3493=0,22&lt;='01_Вводные'!$B$297),0,'19_Расчет_аналитики'!AU3493*IF('01_Вводные'!$B$239="Да",MeanMinAge22+'19_Расчет_аналитики'!AU3595*SUMIF(ThresholdAge22,"&lt;"&amp;'19_Расчет_аналитики'!AU3595,WeightedRevAge22)-SUMIF(ThresholdAge22,"&lt;"&amp;'19_Расчет_аналитики'!AU3595,WeightedMinAge22),MAX(CapacityAge22*'01_Вводные'!$B$218*'19_Расчет_аналитики'!AU3595,MeanMinAge22))),0)</f>
        <v/>
      </c>
      <c r="AV3521">
        <f>IF('01_Вводные'!$B$234="Да",IF(OR('19_Расчет_аналитики'!AV3493=0,22&lt;='01_Вводные'!$B$297),0,'19_Расчет_аналитики'!AV3493*IF('01_Вводные'!$B$239="Да",MeanMinAge22+'19_Расчет_аналитики'!AV3595*SUMIF(ThresholdAge22,"&lt;"&amp;'19_Расчет_аналитики'!AV3595,WeightedRevAge22)-SUMIF(ThresholdAge22,"&lt;"&amp;'19_Расчет_аналитики'!AV3595,WeightedMinAge22),MAX(CapacityAge22*'01_Вводные'!$B$218*'19_Расчет_аналитики'!AV3595,MeanMinAge22))),0)</f>
        <v/>
      </c>
      <c r="AW3521">
        <f>IF('01_Вводные'!$B$234="Да",IF(OR('19_Расчет_аналитики'!AW3493=0,22&lt;='01_Вводные'!$B$297),0,'19_Расчет_аналитики'!AW3493*IF('01_Вводные'!$B$239="Да",MeanMinAge22+'19_Расчет_аналитики'!AW3595*SUMIF(ThresholdAge22,"&lt;"&amp;'19_Расчет_аналитики'!AW3595,WeightedRevAge22)-SUMIF(ThresholdAge22,"&lt;"&amp;'19_Расчет_аналитики'!AW3595,WeightedMinAge22),MAX(CapacityAge22*'01_Вводные'!$B$218*'19_Расчет_аналитики'!AW3595,MeanMinAge22))),0)</f>
        <v/>
      </c>
      <c r="AX3521">
        <f>IF('01_Вводные'!$B$234="Да",IF(OR('19_Расчет_аналитики'!AX3493=0,22&lt;='01_Вводные'!$B$297),0,'19_Расчет_аналитики'!AX3493*IF('01_Вводные'!$B$239="Да",MeanMinAge22+'19_Расчет_аналитики'!AX3595*SUMIF(ThresholdAge22,"&lt;"&amp;'19_Расчет_аналитики'!AX3595,WeightedRevAge22)-SUMIF(ThresholdAge22,"&lt;"&amp;'19_Расчет_аналитики'!AX3595,WeightedMinAge22),MAX(CapacityAge22*'01_Вводные'!$B$218*'19_Расчет_аналитики'!AX3595,MeanMinAge22))),0)</f>
        <v/>
      </c>
      <c r="AY3521">
        <f>IF('01_Вводные'!$B$234="Да",IF(OR('19_Расчет_аналитики'!AY3493=0,22&lt;='01_Вводные'!$B$297),0,'19_Расчет_аналитики'!AY3493*IF('01_Вводные'!$B$239="Да",MeanMinAge22+'19_Расчет_аналитики'!AY3595*SUMIF(ThresholdAge22,"&lt;"&amp;'19_Расчет_аналитики'!AY3595,WeightedRevAge22)-SUMIF(ThresholdAge22,"&lt;"&amp;'19_Расчет_аналитики'!AY3595,WeightedMinAge22),MAX(CapacityAge22*'01_Вводные'!$B$218*'19_Расчет_аналитики'!AY3595,MeanMinAge22))),0)</f>
        <v/>
      </c>
      <c r="AZ3521">
        <f>IF('01_Вводные'!$B$234="Да",IF(OR('19_Расчет_аналитики'!AZ3493=0,22&lt;='01_Вводные'!$B$297),0,'19_Расчет_аналитики'!AZ3493*IF('01_Вводные'!$B$239="Да",MeanMinAge22+'19_Расчет_аналитики'!AZ3595*SUMIF(ThresholdAge22,"&lt;"&amp;'19_Расчет_аналитики'!AZ3595,WeightedRevAge22)-SUMIF(ThresholdAge22,"&lt;"&amp;'19_Расчет_аналитики'!AZ3595,WeightedMinAge22),MAX(CapacityAge22*'01_Вводные'!$B$218*'19_Расчет_аналитики'!AZ3595,MeanMinAge22))),0)</f>
        <v/>
      </c>
      <c r="BA3521">
        <f>IF('01_Вводные'!$B$234="Да",IF(OR('19_Расчет_аналитики'!BA3493=0,22&lt;='01_Вводные'!$B$297),0,'19_Расчет_аналитики'!BA3493*IF('01_Вводные'!$B$239="Да",MeanMinAge22+'19_Расчет_аналитики'!BA3595*SUMIF(ThresholdAge22,"&lt;"&amp;'19_Расчет_аналитики'!BA3595,WeightedRevAge22)-SUMIF(ThresholdAge22,"&lt;"&amp;'19_Расчет_аналитики'!BA3595,WeightedMinAge22),MAX(CapacityAge22*'01_Вводные'!$B$218*'19_Расчет_аналитики'!BA3595,MeanMinAge22))),0)</f>
        <v/>
      </c>
      <c r="BB3521">
        <f>IF('01_Вводные'!$B$234="Да",IF(OR('19_Расчет_аналитики'!BB3493=0,22&lt;='01_Вводные'!$B$297),0,'19_Расчет_аналитики'!BB3493*IF('01_Вводные'!$B$239="Да",MeanMinAge22+'19_Расчет_аналитики'!BB3595*SUMIF(ThresholdAge22,"&lt;"&amp;'19_Расчет_аналитики'!BB3595,WeightedRevAge22)-SUMIF(ThresholdAge22,"&lt;"&amp;'19_Расчет_аналитики'!BB3595,WeightedMinAge22),MAX(CapacityAge22*'01_Вводные'!$B$218*'19_Расчет_аналитики'!BB3595,MeanMinAge22))),0)</f>
        <v/>
      </c>
      <c r="BC3521">
        <f>IF('01_Вводные'!$B$234="Да",IF(OR('19_Расчет_аналитики'!BC3493=0,22&lt;='01_Вводные'!$B$297),0,'19_Расчет_аналитики'!BC3493*IF('01_Вводные'!$B$239="Да",MeanMinAge22+'19_Расчет_аналитики'!BC3595*SUMIF(ThresholdAge22,"&lt;"&amp;'19_Расчет_аналитики'!BC3595,WeightedRevAge22)-SUMIF(ThresholdAge22,"&lt;"&amp;'19_Расчет_аналитики'!BC3595,WeightedMinAge22),MAX(CapacityAge22*'01_Вводные'!$B$218*'19_Расчет_аналитики'!BC3595,MeanMinAge22))),0)</f>
        <v/>
      </c>
      <c r="BD3521">
        <f>IF('01_Вводные'!$B$234="Да",IF(OR('19_Расчет_аналитики'!BD3493=0,22&lt;='01_Вводные'!$B$297),0,'19_Расчет_аналитики'!BD3493*IF('01_Вводные'!$B$239="Да",MeanMinAge22+'19_Расчет_аналитики'!BD3595*SUMIF(ThresholdAge22,"&lt;"&amp;'19_Расчет_аналитики'!BD3595,WeightedRevAge22)-SUMIF(ThresholdAge22,"&lt;"&amp;'19_Расчет_аналитики'!BD3595,WeightedMinAge22),MAX(CapacityAge22*'01_Вводные'!$B$218*'19_Расчет_аналитики'!BD3595,MeanMinAge22))),0)</f>
        <v/>
      </c>
      <c r="BE3521">
        <f>IF('01_Вводные'!$B$234="Да",IF(OR('19_Расчет_аналитики'!BE3493=0,22&lt;='01_Вводные'!$B$297),0,'19_Расчет_аналитики'!BE3493*IF('01_Вводные'!$B$239="Да",MeanMinAge22+'19_Расчет_аналитики'!BE3595*SUMIF(ThresholdAge22,"&lt;"&amp;'19_Расчет_аналитики'!BE3595,WeightedRevAge22)-SUMIF(ThresholdAge22,"&lt;"&amp;'19_Расчет_аналитики'!BE3595,WeightedMinAge22),MAX(CapacityAge22*'01_Вводные'!$B$218*'19_Расчет_аналитики'!BE3595,MeanMinAge22))),0)</f>
        <v/>
      </c>
      <c r="BF3521">
        <f>IF('01_Вводные'!$B$234="Да",IF(OR('19_Расчет_аналитики'!BF3493=0,22&lt;='01_Вводные'!$B$297),0,'19_Расчет_аналитики'!BF3493*IF('01_Вводные'!$B$239="Да",MeanMinAge22+'19_Расчет_аналитики'!BF3595*SUMIF(ThresholdAge22,"&lt;"&amp;'19_Расчет_аналитики'!BF3595,WeightedRevAge22)-SUMIF(ThresholdAge22,"&lt;"&amp;'19_Расчет_аналитики'!BF3595,WeightedMinAge22),MAX(CapacityAge22*'01_Вводные'!$B$218*'19_Расчет_аналитики'!BF3595,MeanMinAge22))),0)</f>
        <v/>
      </c>
      <c r="BG3521">
        <f>IF('01_Вводные'!$B$234="Да",IF(OR('19_Расчет_аналитики'!BG3493=0,22&lt;='01_Вводные'!$B$297),0,'19_Расчет_аналитики'!BG3493*IF('01_Вводные'!$B$239="Да",MeanMinAge22+'19_Расчет_аналитики'!BG3595*SUMIF(ThresholdAge22,"&lt;"&amp;'19_Расчет_аналитики'!BG3595,WeightedRevAge22)-SUMIF(ThresholdAge22,"&lt;"&amp;'19_Расчет_аналитики'!BG3595,WeightedMinAge22),MAX(CapacityAge22*'01_Вводные'!$B$218*'19_Расчет_аналитики'!BG3595,MeanMinAge22))),0)</f>
        <v/>
      </c>
      <c r="BH3521">
        <f>IF('01_Вводные'!$B$234="Да",IF(OR('19_Расчет_аналитики'!BH3493=0,22&lt;='01_Вводные'!$B$297),0,'19_Расчет_аналитики'!BH3493*IF('01_Вводные'!$B$239="Да",MeanMinAge22+'19_Расчет_аналитики'!BH3595*SUMIF(ThresholdAge22,"&lt;"&amp;'19_Расчет_аналитики'!BH3595,WeightedRevAge22)-SUMIF(ThresholdAge22,"&lt;"&amp;'19_Расчет_аналитики'!BH3595,WeightedMinAge22),MAX(CapacityAge22*'01_Вводные'!$B$218*'19_Расчет_аналитики'!BH3595,MeanMinAge22))),0)</f>
        <v/>
      </c>
      <c r="BI3521">
        <f>IF('01_Вводные'!$B$234="Да",IF(OR('19_Расчет_аналитики'!BI3493=0,22&lt;='01_Вводные'!$B$297),0,'19_Расчет_аналитики'!BI3493*IF('01_Вводные'!$B$239="Да",MeanMinAge22+'19_Расчет_аналитики'!BI3595*SUMIF(ThresholdAge22,"&lt;"&amp;'19_Расчет_аналитики'!BI3595,WeightedRevAge22)-SUMIF(ThresholdAge22,"&lt;"&amp;'19_Расчет_аналитики'!BI3595,WeightedMinAge22),MAX(CapacityAge22*'01_Вводные'!$B$218*'19_Расчет_аналитики'!BI3595,MeanMinAge22))),0)</f>
        <v/>
      </c>
      <c r="BJ3521">
        <f>IF('01_Вводные'!$B$234="Да",IF(OR('19_Расчет_аналитики'!BJ3493=0,22&lt;='01_Вводные'!$B$297),0,'19_Расчет_аналитики'!BJ3493*IF('01_Вводные'!$B$239="Да",MeanMinAge22+'19_Расчет_аналитики'!BJ3595*SUMIF(ThresholdAge22,"&lt;"&amp;'19_Расчет_аналитики'!BJ3595,WeightedRevAge22)-SUMIF(ThresholdAge22,"&lt;"&amp;'19_Расчет_аналитики'!BJ3595,WeightedMinAge22),MAX(CapacityAge22*'01_Вводные'!$B$218*'19_Расчет_аналитики'!BJ3595,MeanMinAge22))),0)</f>
        <v/>
      </c>
      <c r="BK3521">
        <f>IF('01_Вводные'!$B$234="Да",IF(OR('19_Расчет_аналитики'!BK3493=0,22&lt;='01_Вводные'!$B$297),0,'19_Расчет_аналитики'!BK3493*IF('01_Вводные'!$B$239="Да",MeanMinAge22+'19_Расчет_аналитики'!BK3595*SUMIF(ThresholdAge22,"&lt;"&amp;'19_Расчет_аналитики'!BK3595,WeightedRevAge22)-SUMIF(ThresholdAge22,"&lt;"&amp;'19_Расчет_аналитики'!BK3595,WeightedMinAge22),MAX(CapacityAge22*'01_Вводные'!$B$218*'19_Расчет_аналитики'!BK3595,MeanMinAge22))),0)</f>
        <v/>
      </c>
      <c r="BL3521">
        <f>IF('01_Вводные'!$B$234="Да",IF(OR('19_Расчет_аналитики'!BL3493=0,22&lt;='01_Вводные'!$B$297),0,'19_Расчет_аналитики'!BL3493*IF('01_Вводные'!$B$239="Да",MeanMinAge22+'19_Расчет_аналитики'!BL3595*SUMIF(ThresholdAge22,"&lt;"&amp;'19_Расчет_аналитики'!BL3595,WeightedRevAge22)-SUMIF(ThresholdAge22,"&lt;"&amp;'19_Расчет_аналитики'!BL3595,WeightedMinAge22),MAX(CapacityAge22*'01_Вводные'!$B$218*'19_Расчет_аналитики'!BL3595,MeanMinAge22))),0)</f>
        <v/>
      </c>
      <c r="BM3521">
        <f>IF('01_Вводные'!$B$234="Да",IF(OR('19_Расчет_аналитики'!BM3493=0,22&lt;='01_Вводные'!$B$297),0,'19_Расчет_аналитики'!BM3493*IF('01_Вводные'!$B$239="Да",MeanMinAge22+'19_Расчет_аналитики'!BM3595*SUMIF(ThresholdAge22,"&lt;"&amp;'19_Расчет_аналитики'!BM3595,WeightedRevAge22)-SUMIF(ThresholdAge22,"&lt;"&amp;'19_Расчет_аналитики'!BM3595,WeightedMinAge22),MAX(CapacityAge22*'01_Вводные'!$B$218*'19_Расчет_аналитики'!BM3595,MeanMinAge22))),0)</f>
        <v/>
      </c>
      <c r="BN3521">
        <f>IF('01_Вводные'!$B$234="Да",IF(OR('19_Расчет_аналитики'!BN3493=0,22&lt;='01_Вводные'!$B$297),0,'19_Расчет_аналитики'!BN3493*IF('01_Вводные'!$B$239="Да",MeanMinAge22+'19_Расчет_аналитики'!BN3595*SUMIF(ThresholdAge22,"&lt;"&amp;'19_Расчет_аналитики'!BN3595,WeightedRevAge22)-SUMIF(ThresholdAge22,"&lt;"&amp;'19_Расчет_аналитики'!BN3595,WeightedMinAge22),MAX(CapacityAge22*'01_Вводные'!$B$218*'19_Расчет_аналитики'!BN3595,MeanMinAge22))),0)</f>
        <v/>
      </c>
      <c r="BO3521">
        <f>IF('01_Вводные'!$B$234="Да",IF(OR('19_Расчет_аналитики'!BO3493=0,22&lt;='01_Вводные'!$B$297),0,'19_Расчет_аналитики'!BO3493*IF('01_Вводные'!$B$239="Да",MeanMinAge22+'19_Расчет_аналитики'!BO3595*SUMIF(ThresholdAge22,"&lt;"&amp;'19_Расчет_аналитики'!BO3595,WeightedRevAge22)-SUMIF(ThresholdAge22,"&lt;"&amp;'19_Расчет_аналитики'!BO3595,WeightedMinAge22),MAX(CapacityAge22*'01_Вводные'!$B$218*'19_Расчет_аналитики'!BO3595,MeanMinAge22))),0)</f>
        <v/>
      </c>
    </row>
    <row r="3522">
      <c r="B3522">
        <f>IF('01_Вводные'!$B$234="Да",IF(OR('06_Сеть_и_дети'!B103=0,23&lt;='01_Вводные'!$B$297),0,'06_Сеть_и_дети'!B103*IF('01_Вводные'!$B$239="Да",MeanMinAge23+'19_Расчет_аналитики'!B3595*SUMIF(ThresholdAge23,"&lt;"&amp;'19_Расчет_аналитики'!B3595,WeightedRevAge23)-SUMIF(ThresholdAge23,"&lt;"&amp;'19_Расчет_аналитики'!B3595,WeightedMinAge23),MAX(CapacityAge23*'01_Вводные'!$B$218*'19_Расчет_аналитики'!B3595,MeanMinAge23))),0)</f>
        <v/>
      </c>
      <c r="C3522">
        <f>IF('01_Вводные'!$B$234="Да",IF(OR('06_Сеть_и_дети'!C103=0,23&lt;='01_Вводные'!$B$297),0,'06_Сеть_и_дети'!C103*IF('01_Вводные'!$B$239="Да",MeanMinAge23+'19_Расчет_аналитики'!C3595*SUMIF(ThresholdAge23,"&lt;"&amp;'19_Расчет_аналитики'!C3595,WeightedRevAge23)-SUMIF(ThresholdAge23,"&lt;"&amp;'19_Расчет_аналитики'!C3595,WeightedMinAge23),MAX(CapacityAge23*'01_Вводные'!$B$218*'19_Расчет_аналитики'!C3595,MeanMinAge23))),0)</f>
        <v/>
      </c>
      <c r="D3522">
        <f>IF('01_Вводные'!$B$234="Да",IF(OR('06_Сеть_и_дети'!D103=0,23&lt;='01_Вводные'!$B$297),0,'06_Сеть_и_дети'!D103*IF('01_Вводные'!$B$239="Да",MeanMinAge23+'19_Расчет_аналитики'!D3595*SUMIF(ThresholdAge23,"&lt;"&amp;'19_Расчет_аналитики'!D3595,WeightedRevAge23)-SUMIF(ThresholdAge23,"&lt;"&amp;'19_Расчет_аналитики'!D3595,WeightedMinAge23),MAX(CapacityAge23*'01_Вводные'!$B$218*'19_Расчет_аналитики'!D3595,MeanMinAge23))),0)</f>
        <v/>
      </c>
      <c r="E3522">
        <f>IF('01_Вводные'!$B$234="Да",IF(OR('06_Сеть_и_дети'!E103=0,23&lt;='01_Вводные'!$B$297),0,'06_Сеть_и_дети'!E103*IF('01_Вводные'!$B$239="Да",MeanMinAge23+'19_Расчет_аналитики'!E3595*SUMIF(ThresholdAge23,"&lt;"&amp;'19_Расчет_аналитики'!E3595,WeightedRevAge23)-SUMIF(ThresholdAge23,"&lt;"&amp;'19_Расчет_аналитики'!E3595,WeightedMinAge23),MAX(CapacityAge23*'01_Вводные'!$B$218*'19_Расчет_аналитики'!E3595,MeanMinAge23))),0)</f>
        <v/>
      </c>
      <c r="F3522">
        <f>IF('01_Вводные'!$B$234="Да",IF(OR('06_Сеть_и_дети'!F103=0,23&lt;='01_Вводные'!$B$297),0,'06_Сеть_и_дети'!F103*IF('01_Вводные'!$B$239="Да",MeanMinAge23+'19_Расчет_аналитики'!F3595*SUMIF(ThresholdAge23,"&lt;"&amp;'19_Расчет_аналитики'!F3595,WeightedRevAge23)-SUMIF(ThresholdAge23,"&lt;"&amp;'19_Расчет_аналитики'!F3595,WeightedMinAge23),MAX(CapacityAge23*'01_Вводные'!$B$218*'19_Расчет_аналитики'!F3595,MeanMinAge23))),0)</f>
        <v/>
      </c>
      <c r="G3522">
        <f>IF('01_Вводные'!$B$234="Да",IF(OR('06_Сеть_и_дети'!G103=0,23&lt;='01_Вводные'!$B$297),0,'06_Сеть_и_дети'!G103*IF('01_Вводные'!$B$239="Да",MeanMinAge23+'19_Расчет_аналитики'!G3595*SUMIF(ThresholdAge23,"&lt;"&amp;'19_Расчет_аналитики'!G3595,WeightedRevAge23)-SUMIF(ThresholdAge23,"&lt;"&amp;'19_Расчет_аналитики'!G3595,WeightedMinAge23),MAX(CapacityAge23*'01_Вводные'!$B$218*'19_Расчет_аналитики'!G3595,MeanMinAge23))),0)</f>
        <v/>
      </c>
      <c r="H3522">
        <f>IF('01_Вводные'!$B$234="Да",IF(OR('06_Сеть_и_дети'!H103=0,23&lt;='01_Вводные'!$B$297),0,'06_Сеть_и_дети'!H103*IF('01_Вводные'!$B$239="Да",MeanMinAge23+'19_Расчет_аналитики'!H3595*SUMIF(ThresholdAge23,"&lt;"&amp;'19_Расчет_аналитики'!H3595,WeightedRevAge23)-SUMIF(ThresholdAge23,"&lt;"&amp;'19_Расчет_аналитики'!H3595,WeightedMinAge23),MAX(CapacityAge23*'01_Вводные'!$B$218*'19_Расчет_аналитики'!H3595,MeanMinAge23))),0)</f>
        <v/>
      </c>
      <c r="I3522">
        <f>IF('01_Вводные'!$B$234="Да",IF(OR('06_Сеть_и_дети'!I103=0,23&lt;='01_Вводные'!$B$297),0,'06_Сеть_и_дети'!I103*IF('01_Вводные'!$B$239="Да",MeanMinAge23+'19_Расчет_аналитики'!I3595*SUMIF(ThresholdAge23,"&lt;"&amp;'19_Расчет_аналитики'!I3595,WeightedRevAge23)-SUMIF(ThresholdAge23,"&lt;"&amp;'19_Расчет_аналитики'!I3595,WeightedMinAge23),MAX(CapacityAge23*'01_Вводные'!$B$218*'19_Расчет_аналитики'!I3595,MeanMinAge23))),0)</f>
        <v/>
      </c>
      <c r="J3522">
        <f>IF('01_Вводные'!$B$234="Да",IF(OR('06_Сеть_и_дети'!J103=0,23&lt;='01_Вводные'!$B$297),0,'06_Сеть_и_дети'!J103*IF('01_Вводные'!$B$239="Да",MeanMinAge23+'19_Расчет_аналитики'!J3595*SUMIF(ThresholdAge23,"&lt;"&amp;'19_Расчет_аналитики'!J3595,WeightedRevAge23)-SUMIF(ThresholdAge23,"&lt;"&amp;'19_Расчет_аналитики'!J3595,WeightedMinAge23),MAX(CapacityAge23*'01_Вводные'!$B$218*'19_Расчет_аналитики'!J3595,MeanMinAge23))),0)</f>
        <v/>
      </c>
      <c r="K3522">
        <f>IF('01_Вводные'!$B$234="Да",IF(OR('06_Сеть_и_дети'!K103=0,23&lt;='01_Вводные'!$B$297),0,'06_Сеть_и_дети'!K103*IF('01_Вводные'!$B$239="Да",MeanMinAge23+'19_Расчет_аналитики'!K3595*SUMIF(ThresholdAge23,"&lt;"&amp;'19_Расчет_аналитики'!K3595,WeightedRevAge23)-SUMIF(ThresholdAge23,"&lt;"&amp;'19_Расчет_аналитики'!K3595,WeightedMinAge23),MAX(CapacityAge23*'01_Вводные'!$B$218*'19_Расчет_аналитики'!K3595,MeanMinAge23))),0)</f>
        <v/>
      </c>
      <c r="L3522">
        <f>IF('01_Вводные'!$B$234="Да",IF(OR('06_Сеть_и_дети'!L103=0,23&lt;='01_Вводные'!$B$297),0,'06_Сеть_и_дети'!L103*IF('01_Вводные'!$B$239="Да",MeanMinAge23+'19_Расчет_аналитики'!L3595*SUMIF(ThresholdAge23,"&lt;"&amp;'19_Расчет_аналитики'!L3595,WeightedRevAge23)-SUMIF(ThresholdAge23,"&lt;"&amp;'19_Расчет_аналитики'!L3595,WeightedMinAge23),MAX(CapacityAge23*'01_Вводные'!$B$218*'19_Расчет_аналитики'!L3595,MeanMinAge23))),0)</f>
        <v/>
      </c>
      <c r="M3522">
        <f>IF('01_Вводные'!$B$234="Да",IF(OR('06_Сеть_и_дети'!M103=0,23&lt;='01_Вводные'!$B$297),0,'06_Сеть_и_дети'!M103*IF('01_Вводные'!$B$239="Да",MeanMinAge23+'19_Расчет_аналитики'!M3595*SUMIF(ThresholdAge23,"&lt;"&amp;'19_Расчет_аналитики'!M3595,WeightedRevAge23)-SUMIF(ThresholdAge23,"&lt;"&amp;'19_Расчет_аналитики'!M3595,WeightedMinAge23),MAX(CapacityAge23*'01_Вводные'!$B$218*'19_Расчет_аналитики'!M3595,MeanMinAge23))),0)</f>
        <v/>
      </c>
      <c r="N3522">
        <f>IF('01_Вводные'!$B$234="Да",IF(OR('06_Сеть_и_дети'!N103=0,23&lt;='01_Вводные'!$B$297),0,'06_Сеть_и_дети'!N103*IF('01_Вводные'!$B$239="Да",MeanMinAge23+'19_Расчет_аналитики'!N3595*SUMIF(ThresholdAge23,"&lt;"&amp;'19_Расчет_аналитики'!N3595,WeightedRevAge23)-SUMIF(ThresholdAge23,"&lt;"&amp;'19_Расчет_аналитики'!N3595,WeightedMinAge23),MAX(CapacityAge23*'01_Вводные'!$B$218*'19_Расчет_аналитики'!N3595,MeanMinAge23))),0)</f>
        <v/>
      </c>
      <c r="O3522">
        <f>IF('01_Вводные'!$B$234="Да",IF(OR('06_Сеть_и_дети'!O103=0,23&lt;='01_Вводные'!$B$297),0,'06_Сеть_и_дети'!O103*IF('01_Вводные'!$B$239="Да",MeanMinAge23+'19_Расчет_аналитики'!O3595*SUMIF(ThresholdAge23,"&lt;"&amp;'19_Расчет_аналитики'!O3595,WeightedRevAge23)-SUMIF(ThresholdAge23,"&lt;"&amp;'19_Расчет_аналитики'!O3595,WeightedMinAge23),MAX(CapacityAge23*'01_Вводные'!$B$218*'19_Расчет_аналитики'!O3595,MeanMinAge23))),0)</f>
        <v/>
      </c>
      <c r="P3522">
        <f>IF('01_Вводные'!$B$234="Да",IF(OR('06_Сеть_и_дети'!P103=0,23&lt;='01_Вводные'!$B$297),0,'06_Сеть_и_дети'!P103*IF('01_Вводные'!$B$239="Да",MeanMinAge23+'19_Расчет_аналитики'!P3595*SUMIF(ThresholdAge23,"&lt;"&amp;'19_Расчет_аналитики'!P3595,WeightedRevAge23)-SUMIF(ThresholdAge23,"&lt;"&amp;'19_Расчет_аналитики'!P3595,WeightedMinAge23),MAX(CapacityAge23*'01_Вводные'!$B$218*'19_Расчет_аналитики'!P3595,MeanMinAge23))),0)</f>
        <v/>
      </c>
      <c r="Q3522">
        <f>IF('01_Вводные'!$B$234="Да",IF(OR('06_Сеть_и_дети'!Q103=0,23&lt;='01_Вводные'!$B$297),0,'06_Сеть_и_дети'!Q103*IF('01_Вводные'!$B$239="Да",MeanMinAge23+'19_Расчет_аналитики'!Q3595*SUMIF(ThresholdAge23,"&lt;"&amp;'19_Расчет_аналитики'!Q3595,WeightedRevAge23)-SUMIF(ThresholdAge23,"&lt;"&amp;'19_Расчет_аналитики'!Q3595,WeightedMinAge23),MAX(CapacityAge23*'01_Вводные'!$B$218*'19_Расчет_аналитики'!Q3595,MeanMinAge23))),0)</f>
        <v/>
      </c>
      <c r="R3522">
        <f>IF('01_Вводные'!$B$234="Да",IF(OR('06_Сеть_и_дети'!R103=0,23&lt;='01_Вводные'!$B$297),0,'06_Сеть_и_дети'!R103*IF('01_Вводные'!$B$239="Да",MeanMinAge23+'19_Расчет_аналитики'!R3595*SUMIF(ThresholdAge23,"&lt;"&amp;'19_Расчет_аналитики'!R3595,WeightedRevAge23)-SUMIF(ThresholdAge23,"&lt;"&amp;'19_Расчет_аналитики'!R3595,WeightedMinAge23),MAX(CapacityAge23*'01_Вводные'!$B$218*'19_Расчет_аналитики'!R3595,MeanMinAge23))),0)</f>
        <v/>
      </c>
      <c r="S3522">
        <f>IF('01_Вводные'!$B$234="Да",IF(OR('06_Сеть_и_дети'!S103=0,23&lt;='01_Вводные'!$B$297),0,'06_Сеть_и_дети'!S103*IF('01_Вводные'!$B$239="Да",MeanMinAge23+'19_Расчет_аналитики'!S3595*SUMIF(ThresholdAge23,"&lt;"&amp;'19_Расчет_аналитики'!S3595,WeightedRevAge23)-SUMIF(ThresholdAge23,"&lt;"&amp;'19_Расчет_аналитики'!S3595,WeightedMinAge23),MAX(CapacityAge23*'01_Вводные'!$B$218*'19_Расчет_аналитики'!S3595,MeanMinAge23))),0)</f>
        <v/>
      </c>
      <c r="T3522">
        <f>IF('01_Вводные'!$B$234="Да",IF(OR('06_Сеть_и_дети'!T103=0,23&lt;='01_Вводные'!$B$297),0,'06_Сеть_и_дети'!T103*IF('01_Вводные'!$B$239="Да",MeanMinAge23+'19_Расчет_аналитики'!T3595*SUMIF(ThresholdAge23,"&lt;"&amp;'19_Расчет_аналитики'!T3595,WeightedRevAge23)-SUMIF(ThresholdAge23,"&lt;"&amp;'19_Расчет_аналитики'!T3595,WeightedMinAge23),MAX(CapacityAge23*'01_Вводные'!$B$218*'19_Расчет_аналитики'!T3595,MeanMinAge23))),0)</f>
        <v/>
      </c>
      <c r="U3522">
        <f>IF('01_Вводные'!$B$234="Да",IF(OR('06_Сеть_и_дети'!U103=0,23&lt;='01_Вводные'!$B$297),0,'06_Сеть_и_дети'!U103*IF('01_Вводные'!$B$239="Да",MeanMinAge23+'19_Расчет_аналитики'!U3595*SUMIF(ThresholdAge23,"&lt;"&amp;'19_Расчет_аналитики'!U3595,WeightedRevAge23)-SUMIF(ThresholdAge23,"&lt;"&amp;'19_Расчет_аналитики'!U3595,WeightedMinAge23),MAX(CapacityAge23*'01_Вводные'!$B$218*'19_Расчет_аналитики'!U3595,MeanMinAge23))),0)</f>
        <v/>
      </c>
      <c r="V3522">
        <f>IF('01_Вводные'!$B$234="Да",IF(OR('06_Сеть_и_дети'!V103=0,23&lt;='01_Вводные'!$B$297),0,'06_Сеть_и_дети'!V103*IF('01_Вводные'!$B$239="Да",MeanMinAge23+'19_Расчет_аналитики'!V3595*SUMIF(ThresholdAge23,"&lt;"&amp;'19_Расчет_аналитики'!V3595,WeightedRevAge23)-SUMIF(ThresholdAge23,"&lt;"&amp;'19_Расчет_аналитики'!V3595,WeightedMinAge23),MAX(CapacityAge23*'01_Вводные'!$B$218*'19_Расчет_аналитики'!V3595,MeanMinAge23))),0)</f>
        <v/>
      </c>
      <c r="W3522">
        <f>IF('01_Вводные'!$B$234="Да",IF(OR('06_Сеть_и_дети'!W103=0,23&lt;='01_Вводные'!$B$297),0,'06_Сеть_и_дети'!W103*IF('01_Вводные'!$B$239="Да",MeanMinAge23+'19_Расчет_аналитики'!W3595*SUMIF(ThresholdAge23,"&lt;"&amp;'19_Расчет_аналитики'!W3595,WeightedRevAge23)-SUMIF(ThresholdAge23,"&lt;"&amp;'19_Расчет_аналитики'!W3595,WeightedMinAge23),MAX(CapacityAge23*'01_Вводные'!$B$218*'19_Расчет_аналитики'!W3595,MeanMinAge23))),0)</f>
        <v/>
      </c>
      <c r="X3522">
        <f>IF('01_Вводные'!$B$234="Да",IF(OR('19_Расчет_аналитики'!X3494=0,23&lt;='01_Вводные'!$B$297),0,'19_Расчет_аналитики'!X3494*IF('01_Вводные'!$B$239="Да",MeanMinAge23+'19_Расчет_аналитики'!X3595*SUMIF(ThresholdAge23,"&lt;"&amp;'19_Расчет_аналитики'!X3595,WeightedRevAge23)-SUMIF(ThresholdAge23,"&lt;"&amp;'19_Расчет_аналитики'!X3595,WeightedMinAge23),MAX(CapacityAge23*'01_Вводные'!$B$218*'19_Расчет_аналитики'!X3595,MeanMinAge23))),0)</f>
        <v/>
      </c>
      <c r="Y3522">
        <f>IF('01_Вводные'!$B$234="Да",IF(OR('19_Расчет_аналитики'!Y3494=0,23&lt;='01_Вводные'!$B$297),0,'19_Расчет_аналитики'!Y3494*IF('01_Вводные'!$B$239="Да",MeanMinAge23+'19_Расчет_аналитики'!Y3595*SUMIF(ThresholdAge23,"&lt;"&amp;'19_Расчет_аналитики'!Y3595,WeightedRevAge23)-SUMIF(ThresholdAge23,"&lt;"&amp;'19_Расчет_аналитики'!Y3595,WeightedMinAge23),MAX(CapacityAge23*'01_Вводные'!$B$218*'19_Расчет_аналитики'!Y3595,MeanMinAge23))),0)</f>
        <v/>
      </c>
      <c r="Z3522">
        <f>IF('01_Вводные'!$B$234="Да",IF(OR('19_Расчет_аналитики'!Z3494=0,23&lt;='01_Вводные'!$B$297),0,'19_Расчет_аналитики'!Z3494*IF('01_Вводные'!$B$239="Да",MeanMinAge23+'19_Расчет_аналитики'!Z3595*SUMIF(ThresholdAge23,"&lt;"&amp;'19_Расчет_аналитики'!Z3595,WeightedRevAge23)-SUMIF(ThresholdAge23,"&lt;"&amp;'19_Расчет_аналитики'!Z3595,WeightedMinAge23),MAX(CapacityAge23*'01_Вводные'!$B$218*'19_Расчет_аналитики'!Z3595,MeanMinAge23))),0)</f>
        <v/>
      </c>
      <c r="AA3522">
        <f>IF('01_Вводные'!$B$234="Да",IF(OR('19_Расчет_аналитики'!AA3494=0,23&lt;='01_Вводные'!$B$297),0,'19_Расчет_аналитики'!AA3494*IF('01_Вводные'!$B$239="Да",MeanMinAge23+'19_Расчет_аналитики'!AA3595*SUMIF(ThresholdAge23,"&lt;"&amp;'19_Расчет_аналитики'!AA3595,WeightedRevAge23)-SUMIF(ThresholdAge23,"&lt;"&amp;'19_Расчет_аналитики'!AA3595,WeightedMinAge23),MAX(CapacityAge23*'01_Вводные'!$B$218*'19_Расчет_аналитики'!AA3595,MeanMinAge23))),0)</f>
        <v/>
      </c>
      <c r="AB3522">
        <f>IF('01_Вводные'!$B$234="Да",IF(OR('19_Расчет_аналитики'!AB3494=0,23&lt;='01_Вводные'!$B$297),0,'19_Расчет_аналитики'!AB3494*IF('01_Вводные'!$B$239="Да",MeanMinAge23+'19_Расчет_аналитики'!AB3595*SUMIF(ThresholdAge23,"&lt;"&amp;'19_Расчет_аналитики'!AB3595,WeightedRevAge23)-SUMIF(ThresholdAge23,"&lt;"&amp;'19_Расчет_аналитики'!AB3595,WeightedMinAge23),MAX(CapacityAge23*'01_Вводные'!$B$218*'19_Расчет_аналитики'!AB3595,MeanMinAge23))),0)</f>
        <v/>
      </c>
      <c r="AC3522">
        <f>IF('01_Вводные'!$B$234="Да",IF(OR('19_Расчет_аналитики'!AC3494=0,23&lt;='01_Вводные'!$B$297),0,'19_Расчет_аналитики'!AC3494*IF('01_Вводные'!$B$239="Да",MeanMinAge23+'19_Расчет_аналитики'!AC3595*SUMIF(ThresholdAge23,"&lt;"&amp;'19_Расчет_аналитики'!AC3595,WeightedRevAge23)-SUMIF(ThresholdAge23,"&lt;"&amp;'19_Расчет_аналитики'!AC3595,WeightedMinAge23),MAX(CapacityAge23*'01_Вводные'!$B$218*'19_Расчет_аналитики'!AC3595,MeanMinAge23))),0)</f>
        <v/>
      </c>
      <c r="AD3522">
        <f>IF('01_Вводные'!$B$234="Да",IF(OR('19_Расчет_аналитики'!AD3494=0,23&lt;='01_Вводные'!$B$297),0,'19_Расчет_аналитики'!AD3494*IF('01_Вводные'!$B$239="Да",MeanMinAge23+'19_Расчет_аналитики'!AD3595*SUMIF(ThresholdAge23,"&lt;"&amp;'19_Расчет_аналитики'!AD3595,WeightedRevAge23)-SUMIF(ThresholdAge23,"&lt;"&amp;'19_Расчет_аналитики'!AD3595,WeightedMinAge23),MAX(CapacityAge23*'01_Вводные'!$B$218*'19_Расчет_аналитики'!AD3595,MeanMinAge23))),0)</f>
        <v/>
      </c>
      <c r="AE3522">
        <f>IF('01_Вводные'!$B$234="Да",IF(OR('19_Расчет_аналитики'!AE3494=0,23&lt;='01_Вводные'!$B$297),0,'19_Расчет_аналитики'!AE3494*IF('01_Вводные'!$B$239="Да",MeanMinAge23+'19_Расчет_аналитики'!AE3595*SUMIF(ThresholdAge23,"&lt;"&amp;'19_Расчет_аналитики'!AE3595,WeightedRevAge23)-SUMIF(ThresholdAge23,"&lt;"&amp;'19_Расчет_аналитики'!AE3595,WeightedMinAge23),MAX(CapacityAge23*'01_Вводные'!$B$218*'19_Расчет_аналитики'!AE3595,MeanMinAge23))),0)</f>
        <v/>
      </c>
      <c r="AF3522">
        <f>IF('01_Вводные'!$B$234="Да",IF(OR('19_Расчет_аналитики'!AF3494=0,23&lt;='01_Вводные'!$B$297),0,'19_Расчет_аналитики'!AF3494*IF('01_Вводные'!$B$239="Да",MeanMinAge23+'19_Расчет_аналитики'!AF3595*SUMIF(ThresholdAge23,"&lt;"&amp;'19_Расчет_аналитики'!AF3595,WeightedRevAge23)-SUMIF(ThresholdAge23,"&lt;"&amp;'19_Расчет_аналитики'!AF3595,WeightedMinAge23),MAX(CapacityAge23*'01_Вводные'!$B$218*'19_Расчет_аналитики'!AF3595,MeanMinAge23))),0)</f>
        <v/>
      </c>
      <c r="AG3522">
        <f>IF('01_Вводные'!$B$234="Да",IF(OR('19_Расчет_аналитики'!AG3494=0,23&lt;='01_Вводные'!$B$297),0,'19_Расчет_аналитики'!AG3494*IF('01_Вводные'!$B$239="Да",MeanMinAge23+'19_Расчет_аналитики'!AG3595*SUMIF(ThresholdAge23,"&lt;"&amp;'19_Расчет_аналитики'!AG3595,WeightedRevAge23)-SUMIF(ThresholdAge23,"&lt;"&amp;'19_Расчет_аналитики'!AG3595,WeightedMinAge23),MAX(CapacityAge23*'01_Вводные'!$B$218*'19_Расчет_аналитики'!AG3595,MeanMinAge23))),0)</f>
        <v/>
      </c>
      <c r="AH3522">
        <f>IF('01_Вводные'!$B$234="Да",IF(OR('19_Расчет_аналитики'!AH3494=0,23&lt;='01_Вводные'!$B$297),0,'19_Расчет_аналитики'!AH3494*IF('01_Вводные'!$B$239="Да",MeanMinAge23+'19_Расчет_аналитики'!AH3595*SUMIF(ThresholdAge23,"&lt;"&amp;'19_Расчет_аналитики'!AH3595,WeightedRevAge23)-SUMIF(ThresholdAge23,"&lt;"&amp;'19_Расчет_аналитики'!AH3595,WeightedMinAge23),MAX(CapacityAge23*'01_Вводные'!$B$218*'19_Расчет_аналитики'!AH3595,MeanMinAge23))),0)</f>
        <v/>
      </c>
      <c r="AI3522">
        <f>IF('01_Вводные'!$B$234="Да",IF(OR('19_Расчет_аналитики'!AI3494=0,23&lt;='01_Вводные'!$B$297),0,'19_Расчет_аналитики'!AI3494*IF('01_Вводные'!$B$239="Да",MeanMinAge23+'19_Расчет_аналитики'!AI3595*SUMIF(ThresholdAge23,"&lt;"&amp;'19_Расчет_аналитики'!AI3595,WeightedRevAge23)-SUMIF(ThresholdAge23,"&lt;"&amp;'19_Расчет_аналитики'!AI3595,WeightedMinAge23),MAX(CapacityAge23*'01_Вводные'!$B$218*'19_Расчет_аналитики'!AI3595,MeanMinAge23))),0)</f>
        <v/>
      </c>
      <c r="AJ3522">
        <f>IF('01_Вводные'!$B$234="Да",IF(OR('19_Расчет_аналитики'!AJ3494=0,23&lt;='01_Вводные'!$B$297),0,'19_Расчет_аналитики'!AJ3494*IF('01_Вводные'!$B$239="Да",MeanMinAge23+'19_Расчет_аналитики'!AJ3595*SUMIF(ThresholdAge23,"&lt;"&amp;'19_Расчет_аналитики'!AJ3595,WeightedRevAge23)-SUMIF(ThresholdAge23,"&lt;"&amp;'19_Расчет_аналитики'!AJ3595,WeightedMinAge23),MAX(CapacityAge23*'01_Вводные'!$B$218*'19_Расчет_аналитики'!AJ3595,MeanMinAge23))),0)</f>
        <v/>
      </c>
      <c r="AK3522">
        <f>IF('01_Вводные'!$B$234="Да",IF(OR('19_Расчет_аналитики'!AK3494=0,23&lt;='01_Вводные'!$B$297),0,'19_Расчет_аналитики'!AK3494*IF('01_Вводные'!$B$239="Да",MeanMinAge23+'19_Расчет_аналитики'!AK3595*SUMIF(ThresholdAge23,"&lt;"&amp;'19_Расчет_аналитики'!AK3595,WeightedRevAge23)-SUMIF(ThresholdAge23,"&lt;"&amp;'19_Расчет_аналитики'!AK3595,WeightedMinAge23),MAX(CapacityAge23*'01_Вводные'!$B$218*'19_Расчет_аналитики'!AK3595,MeanMinAge23))),0)</f>
        <v/>
      </c>
      <c r="AL3522">
        <f>IF('01_Вводные'!$B$234="Да",IF(OR('19_Расчет_аналитики'!AL3494=0,23&lt;='01_Вводные'!$B$297),0,'19_Расчет_аналитики'!AL3494*IF('01_Вводные'!$B$239="Да",MeanMinAge23+'19_Расчет_аналитики'!AL3595*SUMIF(ThresholdAge23,"&lt;"&amp;'19_Расчет_аналитики'!AL3595,WeightedRevAge23)-SUMIF(ThresholdAge23,"&lt;"&amp;'19_Расчет_аналитики'!AL3595,WeightedMinAge23),MAX(CapacityAge23*'01_Вводные'!$B$218*'19_Расчет_аналитики'!AL3595,MeanMinAge23))),0)</f>
        <v/>
      </c>
      <c r="AM3522">
        <f>IF('01_Вводные'!$B$234="Да",IF(OR('19_Расчет_аналитики'!AM3494=0,23&lt;='01_Вводные'!$B$297),0,'19_Расчет_аналитики'!AM3494*IF('01_Вводные'!$B$239="Да",MeanMinAge23+'19_Расчет_аналитики'!AM3595*SUMIF(ThresholdAge23,"&lt;"&amp;'19_Расчет_аналитики'!AM3595,WeightedRevAge23)-SUMIF(ThresholdAge23,"&lt;"&amp;'19_Расчет_аналитики'!AM3595,WeightedMinAge23),MAX(CapacityAge23*'01_Вводные'!$B$218*'19_Расчет_аналитики'!AM3595,MeanMinAge23))),0)</f>
        <v/>
      </c>
      <c r="AN3522">
        <f>IF('01_Вводные'!$B$234="Да",IF(OR('19_Расчет_аналитики'!AN3494=0,23&lt;='01_Вводные'!$B$297),0,'19_Расчет_аналитики'!AN3494*IF('01_Вводные'!$B$239="Да",MeanMinAge23+'19_Расчет_аналитики'!AN3595*SUMIF(ThresholdAge23,"&lt;"&amp;'19_Расчет_аналитики'!AN3595,WeightedRevAge23)-SUMIF(ThresholdAge23,"&lt;"&amp;'19_Расчет_аналитики'!AN3595,WeightedMinAge23),MAX(CapacityAge23*'01_Вводные'!$B$218*'19_Расчет_аналитики'!AN3595,MeanMinAge23))),0)</f>
        <v/>
      </c>
      <c r="AO3522">
        <f>IF('01_Вводные'!$B$234="Да",IF(OR('19_Расчет_аналитики'!AO3494=0,23&lt;='01_Вводные'!$B$297),0,'19_Расчет_аналитики'!AO3494*IF('01_Вводные'!$B$239="Да",MeanMinAge23+'19_Расчет_аналитики'!AO3595*SUMIF(ThresholdAge23,"&lt;"&amp;'19_Расчет_аналитики'!AO3595,WeightedRevAge23)-SUMIF(ThresholdAge23,"&lt;"&amp;'19_Расчет_аналитики'!AO3595,WeightedMinAge23),MAX(CapacityAge23*'01_Вводные'!$B$218*'19_Расчет_аналитики'!AO3595,MeanMinAge23))),0)</f>
        <v/>
      </c>
      <c r="AP3522">
        <f>IF('01_Вводные'!$B$234="Да",IF(OR('19_Расчет_аналитики'!AP3494=0,23&lt;='01_Вводные'!$B$297),0,'19_Расчет_аналитики'!AP3494*IF('01_Вводные'!$B$239="Да",MeanMinAge23+'19_Расчет_аналитики'!AP3595*SUMIF(ThresholdAge23,"&lt;"&amp;'19_Расчет_аналитики'!AP3595,WeightedRevAge23)-SUMIF(ThresholdAge23,"&lt;"&amp;'19_Расчет_аналитики'!AP3595,WeightedMinAge23),MAX(CapacityAge23*'01_Вводные'!$B$218*'19_Расчет_аналитики'!AP3595,MeanMinAge23))),0)</f>
        <v/>
      </c>
      <c r="AQ3522">
        <f>IF('01_Вводные'!$B$234="Да",IF(OR('19_Расчет_аналитики'!AQ3494=0,23&lt;='01_Вводные'!$B$297),0,'19_Расчет_аналитики'!AQ3494*IF('01_Вводные'!$B$239="Да",MeanMinAge23+'19_Расчет_аналитики'!AQ3595*SUMIF(ThresholdAge23,"&lt;"&amp;'19_Расчет_аналитики'!AQ3595,WeightedRevAge23)-SUMIF(ThresholdAge23,"&lt;"&amp;'19_Расчет_аналитики'!AQ3595,WeightedMinAge23),MAX(CapacityAge23*'01_Вводные'!$B$218*'19_Расчет_аналитики'!AQ3595,MeanMinAge23))),0)</f>
        <v/>
      </c>
      <c r="AR3522">
        <f>IF('01_Вводные'!$B$234="Да",IF(OR('19_Расчет_аналитики'!AR3494=0,23&lt;='01_Вводные'!$B$297),0,'19_Расчет_аналитики'!AR3494*IF('01_Вводные'!$B$239="Да",MeanMinAge23+'19_Расчет_аналитики'!AR3595*SUMIF(ThresholdAge23,"&lt;"&amp;'19_Расчет_аналитики'!AR3595,WeightedRevAge23)-SUMIF(ThresholdAge23,"&lt;"&amp;'19_Расчет_аналитики'!AR3595,WeightedMinAge23),MAX(CapacityAge23*'01_Вводные'!$B$218*'19_Расчет_аналитики'!AR3595,MeanMinAge23))),0)</f>
        <v/>
      </c>
      <c r="AS3522">
        <f>IF('01_Вводные'!$B$234="Да",IF(OR('19_Расчет_аналитики'!AS3494=0,23&lt;='01_Вводные'!$B$297),0,'19_Расчет_аналитики'!AS3494*IF('01_Вводные'!$B$239="Да",MeanMinAge23+'19_Расчет_аналитики'!AS3595*SUMIF(ThresholdAge23,"&lt;"&amp;'19_Расчет_аналитики'!AS3595,WeightedRevAge23)-SUMIF(ThresholdAge23,"&lt;"&amp;'19_Расчет_аналитики'!AS3595,WeightedMinAge23),MAX(CapacityAge23*'01_Вводные'!$B$218*'19_Расчет_аналитики'!AS3595,MeanMinAge23))),0)</f>
        <v/>
      </c>
      <c r="AT3522">
        <f>IF('01_Вводные'!$B$234="Да",IF(OR('19_Расчет_аналитики'!AT3494=0,23&lt;='01_Вводные'!$B$297),0,'19_Расчет_аналитики'!AT3494*IF('01_Вводные'!$B$239="Да",MeanMinAge23+'19_Расчет_аналитики'!AT3595*SUMIF(ThresholdAge23,"&lt;"&amp;'19_Расчет_аналитики'!AT3595,WeightedRevAge23)-SUMIF(ThresholdAge23,"&lt;"&amp;'19_Расчет_аналитики'!AT3595,WeightedMinAge23),MAX(CapacityAge23*'01_Вводные'!$B$218*'19_Расчет_аналитики'!AT3595,MeanMinAge23))),0)</f>
        <v/>
      </c>
      <c r="AU3522">
        <f>IF('01_Вводные'!$B$234="Да",IF(OR('19_Расчет_аналитики'!AU3494=0,23&lt;='01_Вводные'!$B$297),0,'19_Расчет_аналитики'!AU3494*IF('01_Вводные'!$B$239="Да",MeanMinAge23+'19_Расчет_аналитики'!AU3595*SUMIF(ThresholdAge23,"&lt;"&amp;'19_Расчет_аналитики'!AU3595,WeightedRevAge23)-SUMIF(ThresholdAge23,"&lt;"&amp;'19_Расчет_аналитики'!AU3595,WeightedMinAge23),MAX(CapacityAge23*'01_Вводные'!$B$218*'19_Расчет_аналитики'!AU3595,MeanMinAge23))),0)</f>
        <v/>
      </c>
      <c r="AV3522">
        <f>IF('01_Вводные'!$B$234="Да",IF(OR('19_Расчет_аналитики'!AV3494=0,23&lt;='01_Вводные'!$B$297),0,'19_Расчет_аналитики'!AV3494*IF('01_Вводные'!$B$239="Да",MeanMinAge23+'19_Расчет_аналитики'!AV3595*SUMIF(ThresholdAge23,"&lt;"&amp;'19_Расчет_аналитики'!AV3595,WeightedRevAge23)-SUMIF(ThresholdAge23,"&lt;"&amp;'19_Расчет_аналитики'!AV3595,WeightedMinAge23),MAX(CapacityAge23*'01_Вводные'!$B$218*'19_Расчет_аналитики'!AV3595,MeanMinAge23))),0)</f>
        <v/>
      </c>
      <c r="AW3522">
        <f>IF('01_Вводные'!$B$234="Да",IF(OR('19_Расчет_аналитики'!AW3494=0,23&lt;='01_Вводные'!$B$297),0,'19_Расчет_аналитики'!AW3494*IF('01_Вводные'!$B$239="Да",MeanMinAge23+'19_Расчет_аналитики'!AW3595*SUMIF(ThresholdAge23,"&lt;"&amp;'19_Расчет_аналитики'!AW3595,WeightedRevAge23)-SUMIF(ThresholdAge23,"&lt;"&amp;'19_Расчет_аналитики'!AW3595,WeightedMinAge23),MAX(CapacityAge23*'01_Вводные'!$B$218*'19_Расчет_аналитики'!AW3595,MeanMinAge23))),0)</f>
        <v/>
      </c>
      <c r="AX3522">
        <f>IF('01_Вводные'!$B$234="Да",IF(OR('19_Расчет_аналитики'!AX3494=0,23&lt;='01_Вводные'!$B$297),0,'19_Расчет_аналитики'!AX3494*IF('01_Вводные'!$B$239="Да",MeanMinAge23+'19_Расчет_аналитики'!AX3595*SUMIF(ThresholdAge23,"&lt;"&amp;'19_Расчет_аналитики'!AX3595,WeightedRevAge23)-SUMIF(ThresholdAge23,"&lt;"&amp;'19_Расчет_аналитики'!AX3595,WeightedMinAge23),MAX(CapacityAge23*'01_Вводные'!$B$218*'19_Расчет_аналитики'!AX3595,MeanMinAge23))),0)</f>
        <v/>
      </c>
      <c r="AY3522">
        <f>IF('01_Вводные'!$B$234="Да",IF(OR('19_Расчет_аналитики'!AY3494=0,23&lt;='01_Вводные'!$B$297),0,'19_Расчет_аналитики'!AY3494*IF('01_Вводные'!$B$239="Да",MeanMinAge23+'19_Расчет_аналитики'!AY3595*SUMIF(ThresholdAge23,"&lt;"&amp;'19_Расчет_аналитики'!AY3595,WeightedRevAge23)-SUMIF(ThresholdAge23,"&lt;"&amp;'19_Расчет_аналитики'!AY3595,WeightedMinAge23),MAX(CapacityAge23*'01_Вводные'!$B$218*'19_Расчет_аналитики'!AY3595,MeanMinAge23))),0)</f>
        <v/>
      </c>
      <c r="AZ3522">
        <f>IF('01_Вводные'!$B$234="Да",IF(OR('19_Расчет_аналитики'!AZ3494=0,23&lt;='01_Вводные'!$B$297),0,'19_Расчет_аналитики'!AZ3494*IF('01_Вводные'!$B$239="Да",MeanMinAge23+'19_Расчет_аналитики'!AZ3595*SUMIF(ThresholdAge23,"&lt;"&amp;'19_Расчет_аналитики'!AZ3595,WeightedRevAge23)-SUMIF(ThresholdAge23,"&lt;"&amp;'19_Расчет_аналитики'!AZ3595,WeightedMinAge23),MAX(CapacityAge23*'01_Вводные'!$B$218*'19_Расчет_аналитики'!AZ3595,MeanMinAge23))),0)</f>
        <v/>
      </c>
      <c r="BA3522">
        <f>IF('01_Вводные'!$B$234="Да",IF(OR('19_Расчет_аналитики'!BA3494=0,23&lt;='01_Вводные'!$B$297),0,'19_Расчет_аналитики'!BA3494*IF('01_Вводные'!$B$239="Да",MeanMinAge23+'19_Расчет_аналитики'!BA3595*SUMIF(ThresholdAge23,"&lt;"&amp;'19_Расчет_аналитики'!BA3595,WeightedRevAge23)-SUMIF(ThresholdAge23,"&lt;"&amp;'19_Расчет_аналитики'!BA3595,WeightedMinAge23),MAX(CapacityAge23*'01_Вводные'!$B$218*'19_Расчет_аналитики'!BA3595,MeanMinAge23))),0)</f>
        <v/>
      </c>
      <c r="BB3522">
        <f>IF('01_Вводные'!$B$234="Да",IF(OR('19_Расчет_аналитики'!BB3494=0,23&lt;='01_Вводные'!$B$297),0,'19_Расчет_аналитики'!BB3494*IF('01_Вводные'!$B$239="Да",MeanMinAge23+'19_Расчет_аналитики'!BB3595*SUMIF(ThresholdAge23,"&lt;"&amp;'19_Расчет_аналитики'!BB3595,WeightedRevAge23)-SUMIF(ThresholdAge23,"&lt;"&amp;'19_Расчет_аналитики'!BB3595,WeightedMinAge23),MAX(CapacityAge23*'01_Вводные'!$B$218*'19_Расчет_аналитики'!BB3595,MeanMinAge23))),0)</f>
        <v/>
      </c>
      <c r="BC3522">
        <f>IF('01_Вводные'!$B$234="Да",IF(OR('19_Расчет_аналитики'!BC3494=0,23&lt;='01_Вводные'!$B$297),0,'19_Расчет_аналитики'!BC3494*IF('01_Вводные'!$B$239="Да",MeanMinAge23+'19_Расчет_аналитики'!BC3595*SUMIF(ThresholdAge23,"&lt;"&amp;'19_Расчет_аналитики'!BC3595,WeightedRevAge23)-SUMIF(ThresholdAge23,"&lt;"&amp;'19_Расчет_аналитики'!BC3595,WeightedMinAge23),MAX(CapacityAge23*'01_Вводные'!$B$218*'19_Расчет_аналитики'!BC3595,MeanMinAge23))),0)</f>
        <v/>
      </c>
      <c r="BD3522">
        <f>IF('01_Вводные'!$B$234="Да",IF(OR('19_Расчет_аналитики'!BD3494=0,23&lt;='01_Вводные'!$B$297),0,'19_Расчет_аналитики'!BD3494*IF('01_Вводные'!$B$239="Да",MeanMinAge23+'19_Расчет_аналитики'!BD3595*SUMIF(ThresholdAge23,"&lt;"&amp;'19_Расчет_аналитики'!BD3595,WeightedRevAge23)-SUMIF(ThresholdAge23,"&lt;"&amp;'19_Расчет_аналитики'!BD3595,WeightedMinAge23),MAX(CapacityAge23*'01_Вводные'!$B$218*'19_Расчет_аналитики'!BD3595,MeanMinAge23))),0)</f>
        <v/>
      </c>
      <c r="BE3522">
        <f>IF('01_Вводные'!$B$234="Да",IF(OR('19_Расчет_аналитики'!BE3494=0,23&lt;='01_Вводные'!$B$297),0,'19_Расчет_аналитики'!BE3494*IF('01_Вводные'!$B$239="Да",MeanMinAge23+'19_Расчет_аналитики'!BE3595*SUMIF(ThresholdAge23,"&lt;"&amp;'19_Расчет_аналитики'!BE3595,WeightedRevAge23)-SUMIF(ThresholdAge23,"&lt;"&amp;'19_Расчет_аналитики'!BE3595,WeightedMinAge23),MAX(CapacityAge23*'01_Вводные'!$B$218*'19_Расчет_аналитики'!BE3595,MeanMinAge23))),0)</f>
        <v/>
      </c>
      <c r="BF3522">
        <f>IF('01_Вводные'!$B$234="Да",IF(OR('19_Расчет_аналитики'!BF3494=0,23&lt;='01_Вводные'!$B$297),0,'19_Расчет_аналитики'!BF3494*IF('01_Вводные'!$B$239="Да",MeanMinAge23+'19_Расчет_аналитики'!BF3595*SUMIF(ThresholdAge23,"&lt;"&amp;'19_Расчет_аналитики'!BF3595,WeightedRevAge23)-SUMIF(ThresholdAge23,"&lt;"&amp;'19_Расчет_аналитики'!BF3595,WeightedMinAge23),MAX(CapacityAge23*'01_Вводные'!$B$218*'19_Расчет_аналитики'!BF3595,MeanMinAge23))),0)</f>
        <v/>
      </c>
      <c r="BG3522">
        <f>IF('01_Вводные'!$B$234="Да",IF(OR('19_Расчет_аналитики'!BG3494=0,23&lt;='01_Вводные'!$B$297),0,'19_Расчет_аналитики'!BG3494*IF('01_Вводные'!$B$239="Да",MeanMinAge23+'19_Расчет_аналитики'!BG3595*SUMIF(ThresholdAge23,"&lt;"&amp;'19_Расчет_аналитики'!BG3595,WeightedRevAge23)-SUMIF(ThresholdAge23,"&lt;"&amp;'19_Расчет_аналитики'!BG3595,WeightedMinAge23),MAX(CapacityAge23*'01_Вводные'!$B$218*'19_Расчет_аналитики'!BG3595,MeanMinAge23))),0)</f>
        <v/>
      </c>
      <c r="BH3522">
        <f>IF('01_Вводные'!$B$234="Да",IF(OR('19_Расчет_аналитики'!BH3494=0,23&lt;='01_Вводные'!$B$297),0,'19_Расчет_аналитики'!BH3494*IF('01_Вводные'!$B$239="Да",MeanMinAge23+'19_Расчет_аналитики'!BH3595*SUMIF(ThresholdAge23,"&lt;"&amp;'19_Расчет_аналитики'!BH3595,WeightedRevAge23)-SUMIF(ThresholdAge23,"&lt;"&amp;'19_Расчет_аналитики'!BH3595,WeightedMinAge23),MAX(CapacityAge23*'01_Вводные'!$B$218*'19_Расчет_аналитики'!BH3595,MeanMinAge23))),0)</f>
        <v/>
      </c>
      <c r="BI3522">
        <f>IF('01_Вводные'!$B$234="Да",IF(OR('19_Расчет_аналитики'!BI3494=0,23&lt;='01_Вводные'!$B$297),0,'19_Расчет_аналитики'!BI3494*IF('01_Вводные'!$B$239="Да",MeanMinAge23+'19_Расчет_аналитики'!BI3595*SUMIF(ThresholdAge23,"&lt;"&amp;'19_Расчет_аналитики'!BI3595,WeightedRevAge23)-SUMIF(ThresholdAge23,"&lt;"&amp;'19_Расчет_аналитики'!BI3595,WeightedMinAge23),MAX(CapacityAge23*'01_Вводные'!$B$218*'19_Расчет_аналитики'!BI3595,MeanMinAge23))),0)</f>
        <v/>
      </c>
      <c r="BJ3522">
        <f>IF('01_Вводные'!$B$234="Да",IF(OR('19_Расчет_аналитики'!BJ3494=0,23&lt;='01_Вводные'!$B$297),0,'19_Расчет_аналитики'!BJ3494*IF('01_Вводные'!$B$239="Да",MeanMinAge23+'19_Расчет_аналитики'!BJ3595*SUMIF(ThresholdAge23,"&lt;"&amp;'19_Расчет_аналитики'!BJ3595,WeightedRevAge23)-SUMIF(ThresholdAge23,"&lt;"&amp;'19_Расчет_аналитики'!BJ3595,WeightedMinAge23),MAX(CapacityAge23*'01_Вводные'!$B$218*'19_Расчет_аналитики'!BJ3595,MeanMinAge23))),0)</f>
        <v/>
      </c>
      <c r="BK3522">
        <f>IF('01_Вводные'!$B$234="Да",IF(OR('19_Расчет_аналитики'!BK3494=0,23&lt;='01_Вводные'!$B$297),0,'19_Расчет_аналитики'!BK3494*IF('01_Вводные'!$B$239="Да",MeanMinAge23+'19_Расчет_аналитики'!BK3595*SUMIF(ThresholdAge23,"&lt;"&amp;'19_Расчет_аналитики'!BK3595,WeightedRevAge23)-SUMIF(ThresholdAge23,"&lt;"&amp;'19_Расчет_аналитики'!BK3595,WeightedMinAge23),MAX(CapacityAge23*'01_Вводные'!$B$218*'19_Расчет_аналитики'!BK3595,MeanMinAge23))),0)</f>
        <v/>
      </c>
      <c r="BL3522">
        <f>IF('01_Вводные'!$B$234="Да",IF(OR('19_Расчет_аналитики'!BL3494=0,23&lt;='01_Вводные'!$B$297),0,'19_Расчет_аналитики'!BL3494*IF('01_Вводные'!$B$239="Да",MeanMinAge23+'19_Расчет_аналитики'!BL3595*SUMIF(ThresholdAge23,"&lt;"&amp;'19_Расчет_аналитики'!BL3595,WeightedRevAge23)-SUMIF(ThresholdAge23,"&lt;"&amp;'19_Расчет_аналитики'!BL3595,WeightedMinAge23),MAX(CapacityAge23*'01_Вводные'!$B$218*'19_Расчет_аналитики'!BL3595,MeanMinAge23))),0)</f>
        <v/>
      </c>
      <c r="BM3522">
        <f>IF('01_Вводные'!$B$234="Да",IF(OR('19_Расчет_аналитики'!BM3494=0,23&lt;='01_Вводные'!$B$297),0,'19_Расчет_аналитики'!BM3494*IF('01_Вводные'!$B$239="Да",MeanMinAge23+'19_Расчет_аналитики'!BM3595*SUMIF(ThresholdAge23,"&lt;"&amp;'19_Расчет_аналитики'!BM3595,WeightedRevAge23)-SUMIF(ThresholdAge23,"&lt;"&amp;'19_Расчет_аналитики'!BM3595,WeightedMinAge23),MAX(CapacityAge23*'01_Вводные'!$B$218*'19_Расчет_аналитики'!BM3595,MeanMinAge23))),0)</f>
        <v/>
      </c>
      <c r="BN3522">
        <f>IF('01_Вводные'!$B$234="Да",IF(OR('19_Расчет_аналитики'!BN3494=0,23&lt;='01_Вводные'!$B$297),0,'19_Расчет_аналитики'!BN3494*IF('01_Вводные'!$B$239="Да",MeanMinAge23+'19_Расчет_аналитики'!BN3595*SUMIF(ThresholdAge23,"&lt;"&amp;'19_Расчет_аналитики'!BN3595,WeightedRevAge23)-SUMIF(ThresholdAge23,"&lt;"&amp;'19_Расчет_аналитики'!BN3595,WeightedMinAge23),MAX(CapacityAge23*'01_Вводные'!$B$218*'19_Расчет_аналитики'!BN3595,MeanMinAge23))),0)</f>
        <v/>
      </c>
      <c r="BO3522">
        <f>IF('01_Вводные'!$B$234="Да",IF(OR('19_Расчет_аналитики'!BO3494=0,23&lt;='01_Вводные'!$B$297),0,'19_Расчет_аналитики'!BO3494*IF('01_Вводные'!$B$239="Да",MeanMinAge23+'19_Расчет_аналитики'!BO3595*SUMIF(ThresholdAge23,"&lt;"&amp;'19_Расчет_аналитики'!BO3595,WeightedRevAge23)-SUMIF(ThresholdAge23,"&lt;"&amp;'19_Расчет_аналитики'!BO3595,WeightedMinAge23),MAX(CapacityAge23*'01_Вводные'!$B$218*'19_Расчет_аналитики'!BO3595,MeanMinAge23))),0)</f>
        <v/>
      </c>
    </row>
    <row r="3523">
      <c r="B3523">
        <f>IF('01_Вводные'!$B$234="Да",IF(OR('06_Сеть_и_дети'!B104=0,24&lt;='01_Вводные'!$B$297),0,'06_Сеть_и_дети'!B104*IF('01_Вводные'!$B$239="Да",MeanMinAge24+'19_Расчет_аналитики'!B3595*SUMIF(ThresholdAge24,"&lt;"&amp;'19_Расчет_аналитики'!B3595,WeightedRevAge24)-SUMIF(ThresholdAge24,"&lt;"&amp;'19_Расчет_аналитики'!B3595,WeightedMinAge24),MAX(CapacityAge24*'01_Вводные'!$B$218*'19_Расчет_аналитики'!B3595,MeanMinAge24))),0)</f>
        <v/>
      </c>
      <c r="C3523">
        <f>IF('01_Вводные'!$B$234="Да",IF(OR('06_Сеть_и_дети'!C104=0,24&lt;='01_Вводные'!$B$297),0,'06_Сеть_и_дети'!C104*IF('01_Вводные'!$B$239="Да",MeanMinAge24+'19_Расчет_аналитики'!C3595*SUMIF(ThresholdAge24,"&lt;"&amp;'19_Расчет_аналитики'!C3595,WeightedRevAge24)-SUMIF(ThresholdAge24,"&lt;"&amp;'19_Расчет_аналитики'!C3595,WeightedMinAge24),MAX(CapacityAge24*'01_Вводные'!$B$218*'19_Расчет_аналитики'!C3595,MeanMinAge24))),0)</f>
        <v/>
      </c>
      <c r="D3523">
        <f>IF('01_Вводные'!$B$234="Да",IF(OR('06_Сеть_и_дети'!D104=0,24&lt;='01_Вводные'!$B$297),0,'06_Сеть_и_дети'!D104*IF('01_Вводные'!$B$239="Да",MeanMinAge24+'19_Расчет_аналитики'!D3595*SUMIF(ThresholdAge24,"&lt;"&amp;'19_Расчет_аналитики'!D3595,WeightedRevAge24)-SUMIF(ThresholdAge24,"&lt;"&amp;'19_Расчет_аналитики'!D3595,WeightedMinAge24),MAX(CapacityAge24*'01_Вводные'!$B$218*'19_Расчет_аналитики'!D3595,MeanMinAge24))),0)</f>
        <v/>
      </c>
      <c r="E3523">
        <f>IF('01_Вводные'!$B$234="Да",IF(OR('06_Сеть_и_дети'!E104=0,24&lt;='01_Вводные'!$B$297),0,'06_Сеть_и_дети'!E104*IF('01_Вводные'!$B$239="Да",MeanMinAge24+'19_Расчет_аналитики'!E3595*SUMIF(ThresholdAge24,"&lt;"&amp;'19_Расчет_аналитики'!E3595,WeightedRevAge24)-SUMIF(ThresholdAge24,"&lt;"&amp;'19_Расчет_аналитики'!E3595,WeightedMinAge24),MAX(CapacityAge24*'01_Вводные'!$B$218*'19_Расчет_аналитики'!E3595,MeanMinAge24))),0)</f>
        <v/>
      </c>
      <c r="F3523">
        <f>IF('01_Вводные'!$B$234="Да",IF(OR('06_Сеть_и_дети'!F104=0,24&lt;='01_Вводные'!$B$297),0,'06_Сеть_и_дети'!F104*IF('01_Вводные'!$B$239="Да",MeanMinAge24+'19_Расчет_аналитики'!F3595*SUMIF(ThresholdAge24,"&lt;"&amp;'19_Расчет_аналитики'!F3595,WeightedRevAge24)-SUMIF(ThresholdAge24,"&lt;"&amp;'19_Расчет_аналитики'!F3595,WeightedMinAge24),MAX(CapacityAge24*'01_Вводные'!$B$218*'19_Расчет_аналитики'!F3595,MeanMinAge24))),0)</f>
        <v/>
      </c>
      <c r="G3523">
        <f>IF('01_Вводные'!$B$234="Да",IF(OR('06_Сеть_и_дети'!G104=0,24&lt;='01_Вводные'!$B$297),0,'06_Сеть_и_дети'!G104*IF('01_Вводные'!$B$239="Да",MeanMinAge24+'19_Расчет_аналитики'!G3595*SUMIF(ThresholdAge24,"&lt;"&amp;'19_Расчет_аналитики'!G3595,WeightedRevAge24)-SUMIF(ThresholdAge24,"&lt;"&amp;'19_Расчет_аналитики'!G3595,WeightedMinAge24),MAX(CapacityAge24*'01_Вводные'!$B$218*'19_Расчет_аналитики'!G3595,MeanMinAge24))),0)</f>
        <v/>
      </c>
      <c r="H3523">
        <f>IF('01_Вводные'!$B$234="Да",IF(OR('06_Сеть_и_дети'!H104=0,24&lt;='01_Вводные'!$B$297),0,'06_Сеть_и_дети'!H104*IF('01_Вводные'!$B$239="Да",MeanMinAge24+'19_Расчет_аналитики'!H3595*SUMIF(ThresholdAge24,"&lt;"&amp;'19_Расчет_аналитики'!H3595,WeightedRevAge24)-SUMIF(ThresholdAge24,"&lt;"&amp;'19_Расчет_аналитики'!H3595,WeightedMinAge24),MAX(CapacityAge24*'01_Вводные'!$B$218*'19_Расчет_аналитики'!H3595,MeanMinAge24))),0)</f>
        <v/>
      </c>
      <c r="I3523">
        <f>IF('01_Вводные'!$B$234="Да",IF(OR('06_Сеть_и_дети'!I104=0,24&lt;='01_Вводные'!$B$297),0,'06_Сеть_и_дети'!I104*IF('01_Вводные'!$B$239="Да",MeanMinAge24+'19_Расчет_аналитики'!I3595*SUMIF(ThresholdAge24,"&lt;"&amp;'19_Расчет_аналитики'!I3595,WeightedRevAge24)-SUMIF(ThresholdAge24,"&lt;"&amp;'19_Расчет_аналитики'!I3595,WeightedMinAge24),MAX(CapacityAge24*'01_Вводные'!$B$218*'19_Расчет_аналитики'!I3595,MeanMinAge24))),0)</f>
        <v/>
      </c>
      <c r="J3523">
        <f>IF('01_Вводные'!$B$234="Да",IF(OR('06_Сеть_и_дети'!J104=0,24&lt;='01_Вводные'!$B$297),0,'06_Сеть_и_дети'!J104*IF('01_Вводные'!$B$239="Да",MeanMinAge24+'19_Расчет_аналитики'!J3595*SUMIF(ThresholdAge24,"&lt;"&amp;'19_Расчет_аналитики'!J3595,WeightedRevAge24)-SUMIF(ThresholdAge24,"&lt;"&amp;'19_Расчет_аналитики'!J3595,WeightedMinAge24),MAX(CapacityAge24*'01_Вводные'!$B$218*'19_Расчет_аналитики'!J3595,MeanMinAge24))),0)</f>
        <v/>
      </c>
      <c r="K3523">
        <f>IF('01_Вводные'!$B$234="Да",IF(OR('06_Сеть_и_дети'!K104=0,24&lt;='01_Вводные'!$B$297),0,'06_Сеть_и_дети'!K104*IF('01_Вводные'!$B$239="Да",MeanMinAge24+'19_Расчет_аналитики'!K3595*SUMIF(ThresholdAge24,"&lt;"&amp;'19_Расчет_аналитики'!K3595,WeightedRevAge24)-SUMIF(ThresholdAge24,"&lt;"&amp;'19_Расчет_аналитики'!K3595,WeightedMinAge24),MAX(CapacityAge24*'01_Вводные'!$B$218*'19_Расчет_аналитики'!K3595,MeanMinAge24))),0)</f>
        <v/>
      </c>
      <c r="L3523">
        <f>IF('01_Вводные'!$B$234="Да",IF(OR('06_Сеть_и_дети'!L104=0,24&lt;='01_Вводные'!$B$297),0,'06_Сеть_и_дети'!L104*IF('01_Вводные'!$B$239="Да",MeanMinAge24+'19_Расчет_аналитики'!L3595*SUMIF(ThresholdAge24,"&lt;"&amp;'19_Расчет_аналитики'!L3595,WeightedRevAge24)-SUMIF(ThresholdAge24,"&lt;"&amp;'19_Расчет_аналитики'!L3595,WeightedMinAge24),MAX(CapacityAge24*'01_Вводные'!$B$218*'19_Расчет_аналитики'!L3595,MeanMinAge24))),0)</f>
        <v/>
      </c>
      <c r="M3523">
        <f>IF('01_Вводные'!$B$234="Да",IF(OR('06_Сеть_и_дети'!M104=0,24&lt;='01_Вводные'!$B$297),0,'06_Сеть_и_дети'!M104*IF('01_Вводные'!$B$239="Да",MeanMinAge24+'19_Расчет_аналитики'!M3595*SUMIF(ThresholdAge24,"&lt;"&amp;'19_Расчет_аналитики'!M3595,WeightedRevAge24)-SUMIF(ThresholdAge24,"&lt;"&amp;'19_Расчет_аналитики'!M3595,WeightedMinAge24),MAX(CapacityAge24*'01_Вводные'!$B$218*'19_Расчет_аналитики'!M3595,MeanMinAge24))),0)</f>
        <v/>
      </c>
      <c r="N3523">
        <f>IF('01_Вводные'!$B$234="Да",IF(OR('06_Сеть_и_дети'!N104=0,24&lt;='01_Вводные'!$B$297),0,'06_Сеть_и_дети'!N104*IF('01_Вводные'!$B$239="Да",MeanMinAge24+'19_Расчет_аналитики'!N3595*SUMIF(ThresholdAge24,"&lt;"&amp;'19_Расчет_аналитики'!N3595,WeightedRevAge24)-SUMIF(ThresholdAge24,"&lt;"&amp;'19_Расчет_аналитики'!N3595,WeightedMinAge24),MAX(CapacityAge24*'01_Вводные'!$B$218*'19_Расчет_аналитики'!N3595,MeanMinAge24))),0)</f>
        <v/>
      </c>
      <c r="O3523">
        <f>IF('01_Вводные'!$B$234="Да",IF(OR('06_Сеть_и_дети'!O104=0,24&lt;='01_Вводные'!$B$297),0,'06_Сеть_и_дети'!O104*IF('01_Вводные'!$B$239="Да",MeanMinAge24+'19_Расчет_аналитики'!O3595*SUMIF(ThresholdAge24,"&lt;"&amp;'19_Расчет_аналитики'!O3595,WeightedRevAge24)-SUMIF(ThresholdAge24,"&lt;"&amp;'19_Расчет_аналитики'!O3595,WeightedMinAge24),MAX(CapacityAge24*'01_Вводные'!$B$218*'19_Расчет_аналитики'!O3595,MeanMinAge24))),0)</f>
        <v/>
      </c>
      <c r="P3523">
        <f>IF('01_Вводные'!$B$234="Да",IF(OR('06_Сеть_и_дети'!P104=0,24&lt;='01_Вводные'!$B$297),0,'06_Сеть_и_дети'!P104*IF('01_Вводные'!$B$239="Да",MeanMinAge24+'19_Расчет_аналитики'!P3595*SUMIF(ThresholdAge24,"&lt;"&amp;'19_Расчет_аналитики'!P3595,WeightedRevAge24)-SUMIF(ThresholdAge24,"&lt;"&amp;'19_Расчет_аналитики'!P3595,WeightedMinAge24),MAX(CapacityAge24*'01_Вводные'!$B$218*'19_Расчет_аналитики'!P3595,MeanMinAge24))),0)</f>
        <v/>
      </c>
      <c r="Q3523">
        <f>IF('01_Вводные'!$B$234="Да",IF(OR('06_Сеть_и_дети'!Q104=0,24&lt;='01_Вводные'!$B$297),0,'06_Сеть_и_дети'!Q104*IF('01_Вводные'!$B$239="Да",MeanMinAge24+'19_Расчет_аналитики'!Q3595*SUMIF(ThresholdAge24,"&lt;"&amp;'19_Расчет_аналитики'!Q3595,WeightedRevAge24)-SUMIF(ThresholdAge24,"&lt;"&amp;'19_Расчет_аналитики'!Q3595,WeightedMinAge24),MAX(CapacityAge24*'01_Вводные'!$B$218*'19_Расчет_аналитики'!Q3595,MeanMinAge24))),0)</f>
        <v/>
      </c>
      <c r="R3523">
        <f>IF('01_Вводные'!$B$234="Да",IF(OR('06_Сеть_и_дети'!R104=0,24&lt;='01_Вводные'!$B$297),0,'06_Сеть_и_дети'!R104*IF('01_Вводные'!$B$239="Да",MeanMinAge24+'19_Расчет_аналитики'!R3595*SUMIF(ThresholdAge24,"&lt;"&amp;'19_Расчет_аналитики'!R3595,WeightedRevAge24)-SUMIF(ThresholdAge24,"&lt;"&amp;'19_Расчет_аналитики'!R3595,WeightedMinAge24),MAX(CapacityAge24*'01_Вводные'!$B$218*'19_Расчет_аналитики'!R3595,MeanMinAge24))),0)</f>
        <v/>
      </c>
      <c r="S3523">
        <f>IF('01_Вводные'!$B$234="Да",IF(OR('06_Сеть_и_дети'!S104=0,24&lt;='01_Вводные'!$B$297),0,'06_Сеть_и_дети'!S104*IF('01_Вводные'!$B$239="Да",MeanMinAge24+'19_Расчет_аналитики'!S3595*SUMIF(ThresholdAge24,"&lt;"&amp;'19_Расчет_аналитики'!S3595,WeightedRevAge24)-SUMIF(ThresholdAge24,"&lt;"&amp;'19_Расчет_аналитики'!S3595,WeightedMinAge24),MAX(CapacityAge24*'01_Вводные'!$B$218*'19_Расчет_аналитики'!S3595,MeanMinAge24))),0)</f>
        <v/>
      </c>
      <c r="T3523">
        <f>IF('01_Вводные'!$B$234="Да",IF(OR('06_Сеть_и_дети'!T104=0,24&lt;='01_Вводные'!$B$297),0,'06_Сеть_и_дети'!T104*IF('01_Вводные'!$B$239="Да",MeanMinAge24+'19_Расчет_аналитики'!T3595*SUMIF(ThresholdAge24,"&lt;"&amp;'19_Расчет_аналитики'!T3595,WeightedRevAge24)-SUMIF(ThresholdAge24,"&lt;"&amp;'19_Расчет_аналитики'!T3595,WeightedMinAge24),MAX(CapacityAge24*'01_Вводные'!$B$218*'19_Расчет_аналитики'!T3595,MeanMinAge24))),0)</f>
        <v/>
      </c>
      <c r="U3523">
        <f>IF('01_Вводные'!$B$234="Да",IF(OR('06_Сеть_и_дети'!U104=0,24&lt;='01_Вводные'!$B$297),0,'06_Сеть_и_дети'!U104*IF('01_Вводные'!$B$239="Да",MeanMinAge24+'19_Расчет_аналитики'!U3595*SUMIF(ThresholdAge24,"&lt;"&amp;'19_Расчет_аналитики'!U3595,WeightedRevAge24)-SUMIF(ThresholdAge24,"&lt;"&amp;'19_Расчет_аналитики'!U3595,WeightedMinAge24),MAX(CapacityAge24*'01_Вводные'!$B$218*'19_Расчет_аналитики'!U3595,MeanMinAge24))),0)</f>
        <v/>
      </c>
      <c r="V3523">
        <f>IF('01_Вводные'!$B$234="Да",IF(OR('06_Сеть_и_дети'!V104=0,24&lt;='01_Вводные'!$B$297),0,'06_Сеть_и_дети'!V104*IF('01_Вводные'!$B$239="Да",MeanMinAge24+'19_Расчет_аналитики'!V3595*SUMIF(ThresholdAge24,"&lt;"&amp;'19_Расчет_аналитики'!V3595,WeightedRevAge24)-SUMIF(ThresholdAge24,"&lt;"&amp;'19_Расчет_аналитики'!V3595,WeightedMinAge24),MAX(CapacityAge24*'01_Вводные'!$B$218*'19_Расчет_аналитики'!V3595,MeanMinAge24))),0)</f>
        <v/>
      </c>
      <c r="W3523">
        <f>IF('01_Вводные'!$B$234="Да",IF(OR('06_Сеть_и_дети'!W104=0,24&lt;='01_Вводные'!$B$297),0,'06_Сеть_и_дети'!W104*IF('01_Вводные'!$B$239="Да",MeanMinAge24+'19_Расчет_аналитики'!W3595*SUMIF(ThresholdAge24,"&lt;"&amp;'19_Расчет_аналитики'!W3595,WeightedRevAge24)-SUMIF(ThresholdAge24,"&lt;"&amp;'19_Расчет_аналитики'!W3595,WeightedMinAge24),MAX(CapacityAge24*'01_Вводные'!$B$218*'19_Расчет_аналитики'!W3595,MeanMinAge24))),0)</f>
        <v/>
      </c>
      <c r="X3523">
        <f>IF('01_Вводные'!$B$234="Да",IF(OR('06_Сеть_и_дети'!X104=0,24&lt;='01_Вводные'!$B$297),0,'06_Сеть_и_дети'!X104*IF('01_Вводные'!$B$239="Да",MeanMinAge24+'19_Расчет_аналитики'!X3595*SUMIF(ThresholdAge24,"&lt;"&amp;'19_Расчет_аналитики'!X3595,WeightedRevAge24)-SUMIF(ThresholdAge24,"&lt;"&amp;'19_Расчет_аналитики'!X3595,WeightedMinAge24),MAX(CapacityAge24*'01_Вводные'!$B$218*'19_Расчет_аналитики'!X3595,MeanMinAge24))),0)</f>
        <v/>
      </c>
      <c r="Y3523">
        <f>IF('01_Вводные'!$B$234="Да",IF(OR('19_Расчет_аналитики'!Y3495=0,24&lt;='01_Вводные'!$B$297),0,'19_Расчет_аналитики'!Y3495*IF('01_Вводные'!$B$239="Да",MeanMinAge24+'19_Расчет_аналитики'!Y3595*SUMIF(ThresholdAge24,"&lt;"&amp;'19_Расчет_аналитики'!Y3595,WeightedRevAge24)-SUMIF(ThresholdAge24,"&lt;"&amp;'19_Расчет_аналитики'!Y3595,WeightedMinAge24),MAX(CapacityAge24*'01_Вводные'!$B$218*'19_Расчет_аналитики'!Y3595,MeanMinAge24))),0)</f>
        <v/>
      </c>
      <c r="Z3523">
        <f>IF('01_Вводные'!$B$234="Да",IF(OR('19_Расчет_аналитики'!Z3495=0,24&lt;='01_Вводные'!$B$297),0,'19_Расчет_аналитики'!Z3495*IF('01_Вводные'!$B$239="Да",MeanMinAge24+'19_Расчет_аналитики'!Z3595*SUMIF(ThresholdAge24,"&lt;"&amp;'19_Расчет_аналитики'!Z3595,WeightedRevAge24)-SUMIF(ThresholdAge24,"&lt;"&amp;'19_Расчет_аналитики'!Z3595,WeightedMinAge24),MAX(CapacityAge24*'01_Вводные'!$B$218*'19_Расчет_аналитики'!Z3595,MeanMinAge24))),0)</f>
        <v/>
      </c>
      <c r="AA3523">
        <f>IF('01_Вводные'!$B$234="Да",IF(OR('19_Расчет_аналитики'!AA3495=0,24&lt;='01_Вводные'!$B$297),0,'19_Расчет_аналитики'!AA3495*IF('01_Вводные'!$B$239="Да",MeanMinAge24+'19_Расчет_аналитики'!AA3595*SUMIF(ThresholdAge24,"&lt;"&amp;'19_Расчет_аналитики'!AA3595,WeightedRevAge24)-SUMIF(ThresholdAge24,"&lt;"&amp;'19_Расчет_аналитики'!AA3595,WeightedMinAge24),MAX(CapacityAge24*'01_Вводные'!$B$218*'19_Расчет_аналитики'!AA3595,MeanMinAge24))),0)</f>
        <v/>
      </c>
      <c r="AB3523">
        <f>IF('01_Вводные'!$B$234="Да",IF(OR('19_Расчет_аналитики'!AB3495=0,24&lt;='01_Вводные'!$B$297),0,'19_Расчет_аналитики'!AB3495*IF('01_Вводные'!$B$239="Да",MeanMinAge24+'19_Расчет_аналитики'!AB3595*SUMIF(ThresholdAge24,"&lt;"&amp;'19_Расчет_аналитики'!AB3595,WeightedRevAge24)-SUMIF(ThresholdAge24,"&lt;"&amp;'19_Расчет_аналитики'!AB3595,WeightedMinAge24),MAX(CapacityAge24*'01_Вводные'!$B$218*'19_Расчет_аналитики'!AB3595,MeanMinAge24))),0)</f>
        <v/>
      </c>
      <c r="AC3523">
        <f>IF('01_Вводные'!$B$234="Да",IF(OR('19_Расчет_аналитики'!AC3495=0,24&lt;='01_Вводные'!$B$297),0,'19_Расчет_аналитики'!AC3495*IF('01_Вводные'!$B$239="Да",MeanMinAge24+'19_Расчет_аналитики'!AC3595*SUMIF(ThresholdAge24,"&lt;"&amp;'19_Расчет_аналитики'!AC3595,WeightedRevAge24)-SUMIF(ThresholdAge24,"&lt;"&amp;'19_Расчет_аналитики'!AC3595,WeightedMinAge24),MAX(CapacityAge24*'01_Вводные'!$B$218*'19_Расчет_аналитики'!AC3595,MeanMinAge24))),0)</f>
        <v/>
      </c>
      <c r="AD3523">
        <f>IF('01_Вводные'!$B$234="Да",IF(OR('19_Расчет_аналитики'!AD3495=0,24&lt;='01_Вводные'!$B$297),0,'19_Расчет_аналитики'!AD3495*IF('01_Вводные'!$B$239="Да",MeanMinAge24+'19_Расчет_аналитики'!AD3595*SUMIF(ThresholdAge24,"&lt;"&amp;'19_Расчет_аналитики'!AD3595,WeightedRevAge24)-SUMIF(ThresholdAge24,"&lt;"&amp;'19_Расчет_аналитики'!AD3595,WeightedMinAge24),MAX(CapacityAge24*'01_Вводные'!$B$218*'19_Расчет_аналитики'!AD3595,MeanMinAge24))),0)</f>
        <v/>
      </c>
      <c r="AE3523">
        <f>IF('01_Вводные'!$B$234="Да",IF(OR('19_Расчет_аналитики'!AE3495=0,24&lt;='01_Вводные'!$B$297),0,'19_Расчет_аналитики'!AE3495*IF('01_Вводные'!$B$239="Да",MeanMinAge24+'19_Расчет_аналитики'!AE3595*SUMIF(ThresholdAge24,"&lt;"&amp;'19_Расчет_аналитики'!AE3595,WeightedRevAge24)-SUMIF(ThresholdAge24,"&lt;"&amp;'19_Расчет_аналитики'!AE3595,WeightedMinAge24),MAX(CapacityAge24*'01_Вводные'!$B$218*'19_Расчет_аналитики'!AE3595,MeanMinAge24))),0)</f>
        <v/>
      </c>
      <c r="AF3523">
        <f>IF('01_Вводные'!$B$234="Да",IF(OR('19_Расчет_аналитики'!AF3495=0,24&lt;='01_Вводные'!$B$297),0,'19_Расчет_аналитики'!AF3495*IF('01_Вводные'!$B$239="Да",MeanMinAge24+'19_Расчет_аналитики'!AF3595*SUMIF(ThresholdAge24,"&lt;"&amp;'19_Расчет_аналитики'!AF3595,WeightedRevAge24)-SUMIF(ThresholdAge24,"&lt;"&amp;'19_Расчет_аналитики'!AF3595,WeightedMinAge24),MAX(CapacityAge24*'01_Вводные'!$B$218*'19_Расчет_аналитики'!AF3595,MeanMinAge24))),0)</f>
        <v/>
      </c>
      <c r="AG3523">
        <f>IF('01_Вводные'!$B$234="Да",IF(OR('19_Расчет_аналитики'!AG3495=0,24&lt;='01_Вводные'!$B$297),0,'19_Расчет_аналитики'!AG3495*IF('01_Вводные'!$B$239="Да",MeanMinAge24+'19_Расчет_аналитики'!AG3595*SUMIF(ThresholdAge24,"&lt;"&amp;'19_Расчет_аналитики'!AG3595,WeightedRevAge24)-SUMIF(ThresholdAge24,"&lt;"&amp;'19_Расчет_аналитики'!AG3595,WeightedMinAge24),MAX(CapacityAge24*'01_Вводные'!$B$218*'19_Расчет_аналитики'!AG3595,MeanMinAge24))),0)</f>
        <v/>
      </c>
      <c r="AH3523">
        <f>IF('01_Вводные'!$B$234="Да",IF(OR('19_Расчет_аналитики'!AH3495=0,24&lt;='01_Вводные'!$B$297),0,'19_Расчет_аналитики'!AH3495*IF('01_Вводные'!$B$239="Да",MeanMinAge24+'19_Расчет_аналитики'!AH3595*SUMIF(ThresholdAge24,"&lt;"&amp;'19_Расчет_аналитики'!AH3595,WeightedRevAge24)-SUMIF(ThresholdAge24,"&lt;"&amp;'19_Расчет_аналитики'!AH3595,WeightedMinAge24),MAX(CapacityAge24*'01_Вводные'!$B$218*'19_Расчет_аналитики'!AH3595,MeanMinAge24))),0)</f>
        <v/>
      </c>
      <c r="AI3523">
        <f>IF('01_Вводные'!$B$234="Да",IF(OR('19_Расчет_аналитики'!AI3495=0,24&lt;='01_Вводные'!$B$297),0,'19_Расчет_аналитики'!AI3495*IF('01_Вводные'!$B$239="Да",MeanMinAge24+'19_Расчет_аналитики'!AI3595*SUMIF(ThresholdAge24,"&lt;"&amp;'19_Расчет_аналитики'!AI3595,WeightedRevAge24)-SUMIF(ThresholdAge24,"&lt;"&amp;'19_Расчет_аналитики'!AI3595,WeightedMinAge24),MAX(CapacityAge24*'01_Вводные'!$B$218*'19_Расчет_аналитики'!AI3595,MeanMinAge24))),0)</f>
        <v/>
      </c>
      <c r="AJ3523">
        <f>IF('01_Вводные'!$B$234="Да",IF(OR('19_Расчет_аналитики'!AJ3495=0,24&lt;='01_Вводные'!$B$297),0,'19_Расчет_аналитики'!AJ3495*IF('01_Вводные'!$B$239="Да",MeanMinAge24+'19_Расчет_аналитики'!AJ3595*SUMIF(ThresholdAge24,"&lt;"&amp;'19_Расчет_аналитики'!AJ3595,WeightedRevAge24)-SUMIF(ThresholdAge24,"&lt;"&amp;'19_Расчет_аналитики'!AJ3595,WeightedMinAge24),MAX(CapacityAge24*'01_Вводные'!$B$218*'19_Расчет_аналитики'!AJ3595,MeanMinAge24))),0)</f>
        <v/>
      </c>
      <c r="AK3523">
        <f>IF('01_Вводные'!$B$234="Да",IF(OR('19_Расчет_аналитики'!AK3495=0,24&lt;='01_Вводные'!$B$297),0,'19_Расчет_аналитики'!AK3495*IF('01_Вводные'!$B$239="Да",MeanMinAge24+'19_Расчет_аналитики'!AK3595*SUMIF(ThresholdAge24,"&lt;"&amp;'19_Расчет_аналитики'!AK3595,WeightedRevAge24)-SUMIF(ThresholdAge24,"&lt;"&amp;'19_Расчет_аналитики'!AK3595,WeightedMinAge24),MAX(CapacityAge24*'01_Вводные'!$B$218*'19_Расчет_аналитики'!AK3595,MeanMinAge24))),0)</f>
        <v/>
      </c>
      <c r="AL3523">
        <f>IF('01_Вводные'!$B$234="Да",IF(OR('19_Расчет_аналитики'!AL3495=0,24&lt;='01_Вводные'!$B$297),0,'19_Расчет_аналитики'!AL3495*IF('01_Вводные'!$B$239="Да",MeanMinAge24+'19_Расчет_аналитики'!AL3595*SUMIF(ThresholdAge24,"&lt;"&amp;'19_Расчет_аналитики'!AL3595,WeightedRevAge24)-SUMIF(ThresholdAge24,"&lt;"&amp;'19_Расчет_аналитики'!AL3595,WeightedMinAge24),MAX(CapacityAge24*'01_Вводные'!$B$218*'19_Расчет_аналитики'!AL3595,MeanMinAge24))),0)</f>
        <v/>
      </c>
      <c r="AM3523">
        <f>IF('01_Вводные'!$B$234="Да",IF(OR('19_Расчет_аналитики'!AM3495=0,24&lt;='01_Вводные'!$B$297),0,'19_Расчет_аналитики'!AM3495*IF('01_Вводные'!$B$239="Да",MeanMinAge24+'19_Расчет_аналитики'!AM3595*SUMIF(ThresholdAge24,"&lt;"&amp;'19_Расчет_аналитики'!AM3595,WeightedRevAge24)-SUMIF(ThresholdAge24,"&lt;"&amp;'19_Расчет_аналитики'!AM3595,WeightedMinAge24),MAX(CapacityAge24*'01_Вводные'!$B$218*'19_Расчет_аналитики'!AM3595,MeanMinAge24))),0)</f>
        <v/>
      </c>
      <c r="AN3523">
        <f>IF('01_Вводные'!$B$234="Да",IF(OR('19_Расчет_аналитики'!AN3495=0,24&lt;='01_Вводные'!$B$297),0,'19_Расчет_аналитики'!AN3495*IF('01_Вводные'!$B$239="Да",MeanMinAge24+'19_Расчет_аналитики'!AN3595*SUMIF(ThresholdAge24,"&lt;"&amp;'19_Расчет_аналитики'!AN3595,WeightedRevAge24)-SUMIF(ThresholdAge24,"&lt;"&amp;'19_Расчет_аналитики'!AN3595,WeightedMinAge24),MAX(CapacityAge24*'01_Вводные'!$B$218*'19_Расчет_аналитики'!AN3595,MeanMinAge24))),0)</f>
        <v/>
      </c>
      <c r="AO3523">
        <f>IF('01_Вводные'!$B$234="Да",IF(OR('19_Расчет_аналитики'!AO3495=0,24&lt;='01_Вводные'!$B$297),0,'19_Расчет_аналитики'!AO3495*IF('01_Вводные'!$B$239="Да",MeanMinAge24+'19_Расчет_аналитики'!AO3595*SUMIF(ThresholdAge24,"&lt;"&amp;'19_Расчет_аналитики'!AO3595,WeightedRevAge24)-SUMIF(ThresholdAge24,"&lt;"&amp;'19_Расчет_аналитики'!AO3595,WeightedMinAge24),MAX(CapacityAge24*'01_Вводные'!$B$218*'19_Расчет_аналитики'!AO3595,MeanMinAge24))),0)</f>
        <v/>
      </c>
      <c r="AP3523">
        <f>IF('01_Вводные'!$B$234="Да",IF(OR('19_Расчет_аналитики'!AP3495=0,24&lt;='01_Вводные'!$B$297),0,'19_Расчет_аналитики'!AP3495*IF('01_Вводные'!$B$239="Да",MeanMinAge24+'19_Расчет_аналитики'!AP3595*SUMIF(ThresholdAge24,"&lt;"&amp;'19_Расчет_аналитики'!AP3595,WeightedRevAge24)-SUMIF(ThresholdAge24,"&lt;"&amp;'19_Расчет_аналитики'!AP3595,WeightedMinAge24),MAX(CapacityAge24*'01_Вводные'!$B$218*'19_Расчет_аналитики'!AP3595,MeanMinAge24))),0)</f>
        <v/>
      </c>
      <c r="AQ3523">
        <f>IF('01_Вводные'!$B$234="Да",IF(OR('19_Расчет_аналитики'!AQ3495=0,24&lt;='01_Вводные'!$B$297),0,'19_Расчет_аналитики'!AQ3495*IF('01_Вводные'!$B$239="Да",MeanMinAge24+'19_Расчет_аналитики'!AQ3595*SUMIF(ThresholdAge24,"&lt;"&amp;'19_Расчет_аналитики'!AQ3595,WeightedRevAge24)-SUMIF(ThresholdAge24,"&lt;"&amp;'19_Расчет_аналитики'!AQ3595,WeightedMinAge24),MAX(CapacityAge24*'01_Вводные'!$B$218*'19_Расчет_аналитики'!AQ3595,MeanMinAge24))),0)</f>
        <v/>
      </c>
      <c r="AR3523">
        <f>IF('01_Вводные'!$B$234="Да",IF(OR('19_Расчет_аналитики'!AR3495=0,24&lt;='01_Вводные'!$B$297),0,'19_Расчет_аналитики'!AR3495*IF('01_Вводные'!$B$239="Да",MeanMinAge24+'19_Расчет_аналитики'!AR3595*SUMIF(ThresholdAge24,"&lt;"&amp;'19_Расчет_аналитики'!AR3595,WeightedRevAge24)-SUMIF(ThresholdAge24,"&lt;"&amp;'19_Расчет_аналитики'!AR3595,WeightedMinAge24),MAX(CapacityAge24*'01_Вводные'!$B$218*'19_Расчет_аналитики'!AR3595,MeanMinAge24))),0)</f>
        <v/>
      </c>
      <c r="AS3523">
        <f>IF('01_Вводные'!$B$234="Да",IF(OR('19_Расчет_аналитики'!AS3495=0,24&lt;='01_Вводные'!$B$297),0,'19_Расчет_аналитики'!AS3495*IF('01_Вводные'!$B$239="Да",MeanMinAge24+'19_Расчет_аналитики'!AS3595*SUMIF(ThresholdAge24,"&lt;"&amp;'19_Расчет_аналитики'!AS3595,WeightedRevAge24)-SUMIF(ThresholdAge24,"&lt;"&amp;'19_Расчет_аналитики'!AS3595,WeightedMinAge24),MAX(CapacityAge24*'01_Вводные'!$B$218*'19_Расчет_аналитики'!AS3595,MeanMinAge24))),0)</f>
        <v/>
      </c>
      <c r="AT3523">
        <f>IF('01_Вводные'!$B$234="Да",IF(OR('19_Расчет_аналитики'!AT3495=0,24&lt;='01_Вводные'!$B$297),0,'19_Расчет_аналитики'!AT3495*IF('01_Вводные'!$B$239="Да",MeanMinAge24+'19_Расчет_аналитики'!AT3595*SUMIF(ThresholdAge24,"&lt;"&amp;'19_Расчет_аналитики'!AT3595,WeightedRevAge24)-SUMIF(ThresholdAge24,"&lt;"&amp;'19_Расчет_аналитики'!AT3595,WeightedMinAge24),MAX(CapacityAge24*'01_Вводные'!$B$218*'19_Расчет_аналитики'!AT3595,MeanMinAge24))),0)</f>
        <v/>
      </c>
      <c r="AU3523">
        <f>IF('01_Вводные'!$B$234="Да",IF(OR('19_Расчет_аналитики'!AU3495=0,24&lt;='01_Вводные'!$B$297),0,'19_Расчет_аналитики'!AU3495*IF('01_Вводные'!$B$239="Да",MeanMinAge24+'19_Расчет_аналитики'!AU3595*SUMIF(ThresholdAge24,"&lt;"&amp;'19_Расчет_аналитики'!AU3595,WeightedRevAge24)-SUMIF(ThresholdAge24,"&lt;"&amp;'19_Расчет_аналитики'!AU3595,WeightedMinAge24),MAX(CapacityAge24*'01_Вводные'!$B$218*'19_Расчет_аналитики'!AU3595,MeanMinAge24))),0)</f>
        <v/>
      </c>
      <c r="AV3523">
        <f>IF('01_Вводные'!$B$234="Да",IF(OR('19_Расчет_аналитики'!AV3495=0,24&lt;='01_Вводные'!$B$297),0,'19_Расчет_аналитики'!AV3495*IF('01_Вводные'!$B$239="Да",MeanMinAge24+'19_Расчет_аналитики'!AV3595*SUMIF(ThresholdAge24,"&lt;"&amp;'19_Расчет_аналитики'!AV3595,WeightedRevAge24)-SUMIF(ThresholdAge24,"&lt;"&amp;'19_Расчет_аналитики'!AV3595,WeightedMinAge24),MAX(CapacityAge24*'01_Вводные'!$B$218*'19_Расчет_аналитики'!AV3595,MeanMinAge24))),0)</f>
        <v/>
      </c>
      <c r="AW3523">
        <f>IF('01_Вводные'!$B$234="Да",IF(OR('19_Расчет_аналитики'!AW3495=0,24&lt;='01_Вводные'!$B$297),0,'19_Расчет_аналитики'!AW3495*IF('01_Вводные'!$B$239="Да",MeanMinAge24+'19_Расчет_аналитики'!AW3595*SUMIF(ThresholdAge24,"&lt;"&amp;'19_Расчет_аналитики'!AW3595,WeightedRevAge24)-SUMIF(ThresholdAge24,"&lt;"&amp;'19_Расчет_аналитики'!AW3595,WeightedMinAge24),MAX(CapacityAge24*'01_Вводные'!$B$218*'19_Расчет_аналитики'!AW3595,MeanMinAge24))),0)</f>
        <v/>
      </c>
      <c r="AX3523">
        <f>IF('01_Вводные'!$B$234="Да",IF(OR('19_Расчет_аналитики'!AX3495=0,24&lt;='01_Вводные'!$B$297),0,'19_Расчет_аналитики'!AX3495*IF('01_Вводные'!$B$239="Да",MeanMinAge24+'19_Расчет_аналитики'!AX3595*SUMIF(ThresholdAge24,"&lt;"&amp;'19_Расчет_аналитики'!AX3595,WeightedRevAge24)-SUMIF(ThresholdAge24,"&lt;"&amp;'19_Расчет_аналитики'!AX3595,WeightedMinAge24),MAX(CapacityAge24*'01_Вводные'!$B$218*'19_Расчет_аналитики'!AX3595,MeanMinAge24))),0)</f>
        <v/>
      </c>
      <c r="AY3523">
        <f>IF('01_Вводные'!$B$234="Да",IF(OR('19_Расчет_аналитики'!AY3495=0,24&lt;='01_Вводные'!$B$297),0,'19_Расчет_аналитики'!AY3495*IF('01_Вводные'!$B$239="Да",MeanMinAge24+'19_Расчет_аналитики'!AY3595*SUMIF(ThresholdAge24,"&lt;"&amp;'19_Расчет_аналитики'!AY3595,WeightedRevAge24)-SUMIF(ThresholdAge24,"&lt;"&amp;'19_Расчет_аналитики'!AY3595,WeightedMinAge24),MAX(CapacityAge24*'01_Вводные'!$B$218*'19_Расчет_аналитики'!AY3595,MeanMinAge24))),0)</f>
        <v/>
      </c>
      <c r="AZ3523">
        <f>IF('01_Вводные'!$B$234="Да",IF(OR('19_Расчет_аналитики'!AZ3495=0,24&lt;='01_Вводные'!$B$297),0,'19_Расчет_аналитики'!AZ3495*IF('01_Вводные'!$B$239="Да",MeanMinAge24+'19_Расчет_аналитики'!AZ3595*SUMIF(ThresholdAge24,"&lt;"&amp;'19_Расчет_аналитики'!AZ3595,WeightedRevAge24)-SUMIF(ThresholdAge24,"&lt;"&amp;'19_Расчет_аналитики'!AZ3595,WeightedMinAge24),MAX(CapacityAge24*'01_Вводные'!$B$218*'19_Расчет_аналитики'!AZ3595,MeanMinAge24))),0)</f>
        <v/>
      </c>
      <c r="BA3523">
        <f>IF('01_Вводные'!$B$234="Да",IF(OR('19_Расчет_аналитики'!BA3495=0,24&lt;='01_Вводные'!$B$297),0,'19_Расчет_аналитики'!BA3495*IF('01_Вводные'!$B$239="Да",MeanMinAge24+'19_Расчет_аналитики'!BA3595*SUMIF(ThresholdAge24,"&lt;"&amp;'19_Расчет_аналитики'!BA3595,WeightedRevAge24)-SUMIF(ThresholdAge24,"&lt;"&amp;'19_Расчет_аналитики'!BA3595,WeightedMinAge24),MAX(CapacityAge24*'01_Вводные'!$B$218*'19_Расчет_аналитики'!BA3595,MeanMinAge24))),0)</f>
        <v/>
      </c>
      <c r="BB3523">
        <f>IF('01_Вводные'!$B$234="Да",IF(OR('19_Расчет_аналитики'!BB3495=0,24&lt;='01_Вводные'!$B$297),0,'19_Расчет_аналитики'!BB3495*IF('01_Вводные'!$B$239="Да",MeanMinAge24+'19_Расчет_аналитики'!BB3595*SUMIF(ThresholdAge24,"&lt;"&amp;'19_Расчет_аналитики'!BB3595,WeightedRevAge24)-SUMIF(ThresholdAge24,"&lt;"&amp;'19_Расчет_аналитики'!BB3595,WeightedMinAge24),MAX(CapacityAge24*'01_Вводные'!$B$218*'19_Расчет_аналитики'!BB3595,MeanMinAge24))),0)</f>
        <v/>
      </c>
      <c r="BC3523">
        <f>IF('01_Вводные'!$B$234="Да",IF(OR('19_Расчет_аналитики'!BC3495=0,24&lt;='01_Вводные'!$B$297),0,'19_Расчет_аналитики'!BC3495*IF('01_Вводные'!$B$239="Да",MeanMinAge24+'19_Расчет_аналитики'!BC3595*SUMIF(ThresholdAge24,"&lt;"&amp;'19_Расчет_аналитики'!BC3595,WeightedRevAge24)-SUMIF(ThresholdAge24,"&lt;"&amp;'19_Расчет_аналитики'!BC3595,WeightedMinAge24),MAX(CapacityAge24*'01_Вводные'!$B$218*'19_Расчет_аналитики'!BC3595,MeanMinAge24))),0)</f>
        <v/>
      </c>
      <c r="BD3523">
        <f>IF('01_Вводные'!$B$234="Да",IF(OR('19_Расчет_аналитики'!BD3495=0,24&lt;='01_Вводные'!$B$297),0,'19_Расчет_аналитики'!BD3495*IF('01_Вводные'!$B$239="Да",MeanMinAge24+'19_Расчет_аналитики'!BD3595*SUMIF(ThresholdAge24,"&lt;"&amp;'19_Расчет_аналитики'!BD3595,WeightedRevAge24)-SUMIF(ThresholdAge24,"&lt;"&amp;'19_Расчет_аналитики'!BD3595,WeightedMinAge24),MAX(CapacityAge24*'01_Вводные'!$B$218*'19_Расчет_аналитики'!BD3595,MeanMinAge24))),0)</f>
        <v/>
      </c>
      <c r="BE3523">
        <f>IF('01_Вводные'!$B$234="Да",IF(OR('19_Расчет_аналитики'!BE3495=0,24&lt;='01_Вводные'!$B$297),0,'19_Расчет_аналитики'!BE3495*IF('01_Вводные'!$B$239="Да",MeanMinAge24+'19_Расчет_аналитики'!BE3595*SUMIF(ThresholdAge24,"&lt;"&amp;'19_Расчет_аналитики'!BE3595,WeightedRevAge24)-SUMIF(ThresholdAge24,"&lt;"&amp;'19_Расчет_аналитики'!BE3595,WeightedMinAge24),MAX(CapacityAge24*'01_Вводные'!$B$218*'19_Расчет_аналитики'!BE3595,MeanMinAge24))),0)</f>
        <v/>
      </c>
      <c r="BF3523">
        <f>IF('01_Вводные'!$B$234="Да",IF(OR('19_Расчет_аналитики'!BF3495=0,24&lt;='01_Вводные'!$B$297),0,'19_Расчет_аналитики'!BF3495*IF('01_Вводные'!$B$239="Да",MeanMinAge24+'19_Расчет_аналитики'!BF3595*SUMIF(ThresholdAge24,"&lt;"&amp;'19_Расчет_аналитики'!BF3595,WeightedRevAge24)-SUMIF(ThresholdAge24,"&lt;"&amp;'19_Расчет_аналитики'!BF3595,WeightedMinAge24),MAX(CapacityAge24*'01_Вводные'!$B$218*'19_Расчет_аналитики'!BF3595,MeanMinAge24))),0)</f>
        <v/>
      </c>
      <c r="BG3523">
        <f>IF('01_Вводные'!$B$234="Да",IF(OR('19_Расчет_аналитики'!BG3495=0,24&lt;='01_Вводные'!$B$297),0,'19_Расчет_аналитики'!BG3495*IF('01_Вводные'!$B$239="Да",MeanMinAge24+'19_Расчет_аналитики'!BG3595*SUMIF(ThresholdAge24,"&lt;"&amp;'19_Расчет_аналитики'!BG3595,WeightedRevAge24)-SUMIF(ThresholdAge24,"&lt;"&amp;'19_Расчет_аналитики'!BG3595,WeightedMinAge24),MAX(CapacityAge24*'01_Вводные'!$B$218*'19_Расчет_аналитики'!BG3595,MeanMinAge24))),0)</f>
        <v/>
      </c>
      <c r="BH3523">
        <f>IF('01_Вводные'!$B$234="Да",IF(OR('19_Расчет_аналитики'!BH3495=0,24&lt;='01_Вводные'!$B$297),0,'19_Расчет_аналитики'!BH3495*IF('01_Вводные'!$B$239="Да",MeanMinAge24+'19_Расчет_аналитики'!BH3595*SUMIF(ThresholdAge24,"&lt;"&amp;'19_Расчет_аналитики'!BH3595,WeightedRevAge24)-SUMIF(ThresholdAge24,"&lt;"&amp;'19_Расчет_аналитики'!BH3595,WeightedMinAge24),MAX(CapacityAge24*'01_Вводные'!$B$218*'19_Расчет_аналитики'!BH3595,MeanMinAge24))),0)</f>
        <v/>
      </c>
      <c r="BI3523">
        <f>IF('01_Вводные'!$B$234="Да",IF(OR('19_Расчет_аналитики'!BI3495=0,24&lt;='01_Вводные'!$B$297),0,'19_Расчет_аналитики'!BI3495*IF('01_Вводные'!$B$239="Да",MeanMinAge24+'19_Расчет_аналитики'!BI3595*SUMIF(ThresholdAge24,"&lt;"&amp;'19_Расчет_аналитики'!BI3595,WeightedRevAge24)-SUMIF(ThresholdAge24,"&lt;"&amp;'19_Расчет_аналитики'!BI3595,WeightedMinAge24),MAX(CapacityAge24*'01_Вводные'!$B$218*'19_Расчет_аналитики'!BI3595,MeanMinAge24))),0)</f>
        <v/>
      </c>
      <c r="BJ3523">
        <f>IF('01_Вводные'!$B$234="Да",IF(OR('19_Расчет_аналитики'!BJ3495=0,24&lt;='01_Вводные'!$B$297),0,'19_Расчет_аналитики'!BJ3495*IF('01_Вводные'!$B$239="Да",MeanMinAge24+'19_Расчет_аналитики'!BJ3595*SUMIF(ThresholdAge24,"&lt;"&amp;'19_Расчет_аналитики'!BJ3595,WeightedRevAge24)-SUMIF(ThresholdAge24,"&lt;"&amp;'19_Расчет_аналитики'!BJ3595,WeightedMinAge24),MAX(CapacityAge24*'01_Вводные'!$B$218*'19_Расчет_аналитики'!BJ3595,MeanMinAge24))),0)</f>
        <v/>
      </c>
      <c r="BK3523">
        <f>IF('01_Вводные'!$B$234="Да",IF(OR('19_Расчет_аналитики'!BK3495=0,24&lt;='01_Вводные'!$B$297),0,'19_Расчет_аналитики'!BK3495*IF('01_Вводные'!$B$239="Да",MeanMinAge24+'19_Расчет_аналитики'!BK3595*SUMIF(ThresholdAge24,"&lt;"&amp;'19_Расчет_аналитики'!BK3595,WeightedRevAge24)-SUMIF(ThresholdAge24,"&lt;"&amp;'19_Расчет_аналитики'!BK3595,WeightedMinAge24),MAX(CapacityAge24*'01_Вводные'!$B$218*'19_Расчет_аналитики'!BK3595,MeanMinAge24))),0)</f>
        <v/>
      </c>
      <c r="BL3523">
        <f>IF('01_Вводные'!$B$234="Да",IF(OR('19_Расчет_аналитики'!BL3495=0,24&lt;='01_Вводные'!$B$297),0,'19_Расчет_аналитики'!BL3495*IF('01_Вводные'!$B$239="Да",MeanMinAge24+'19_Расчет_аналитики'!BL3595*SUMIF(ThresholdAge24,"&lt;"&amp;'19_Расчет_аналитики'!BL3595,WeightedRevAge24)-SUMIF(ThresholdAge24,"&lt;"&amp;'19_Расчет_аналитики'!BL3595,WeightedMinAge24),MAX(CapacityAge24*'01_Вводные'!$B$218*'19_Расчет_аналитики'!BL3595,MeanMinAge24))),0)</f>
        <v/>
      </c>
      <c r="BM3523">
        <f>IF('01_Вводные'!$B$234="Да",IF(OR('19_Расчет_аналитики'!BM3495=0,24&lt;='01_Вводные'!$B$297),0,'19_Расчет_аналитики'!BM3495*IF('01_Вводные'!$B$239="Да",MeanMinAge24+'19_Расчет_аналитики'!BM3595*SUMIF(ThresholdAge24,"&lt;"&amp;'19_Расчет_аналитики'!BM3595,WeightedRevAge24)-SUMIF(ThresholdAge24,"&lt;"&amp;'19_Расчет_аналитики'!BM3595,WeightedMinAge24),MAX(CapacityAge24*'01_Вводные'!$B$218*'19_Расчет_аналитики'!BM3595,MeanMinAge24))),0)</f>
        <v/>
      </c>
      <c r="BN3523">
        <f>IF('01_Вводные'!$B$234="Да",IF(OR('19_Расчет_аналитики'!BN3495=0,24&lt;='01_Вводные'!$B$297),0,'19_Расчет_аналитики'!BN3495*IF('01_Вводные'!$B$239="Да",MeanMinAge24+'19_Расчет_аналитики'!BN3595*SUMIF(ThresholdAge24,"&lt;"&amp;'19_Расчет_аналитики'!BN3595,WeightedRevAge24)-SUMIF(ThresholdAge24,"&lt;"&amp;'19_Расчет_аналитики'!BN3595,WeightedMinAge24),MAX(CapacityAge24*'01_Вводные'!$B$218*'19_Расчет_аналитики'!BN3595,MeanMinAge24))),0)</f>
        <v/>
      </c>
      <c r="BO3523">
        <f>IF('01_Вводные'!$B$234="Да",IF(OR('19_Расчет_аналитики'!BO3495=0,24&lt;='01_Вводные'!$B$297),0,'19_Расчет_аналитики'!BO3495*IF('01_Вводные'!$B$239="Да",MeanMinAge24+'19_Расчет_аналитики'!BO3595*SUMIF(ThresholdAge24,"&lt;"&amp;'19_Расчет_аналитики'!BO3595,WeightedRevAge24)-SUMIF(ThresholdAge24,"&lt;"&amp;'19_Расчет_аналитики'!BO3595,WeightedMinAge24),MAX(CapacityAge24*'01_Вводные'!$B$218*'19_Расчет_аналитики'!BO3595,MeanMinAge24))),0)</f>
        <v/>
      </c>
    </row>
    <row r="3524">
      <c r="B3524">
        <f>IF('01_Вводные'!$B$234="Да",IF(OR('06_Сеть_и_дети'!B105=0,25&lt;='01_Вводные'!$B$297),0,'06_Сеть_и_дети'!B105*IF('01_Вводные'!$B$239="Да",MeanMinAge25+'19_Расчет_аналитики'!B3595*SUMIF(ThresholdAge25,"&lt;"&amp;'19_Расчет_аналитики'!B3595,WeightedRevAge25)-SUMIF(ThresholdAge25,"&lt;"&amp;'19_Расчет_аналитики'!B3595,WeightedMinAge25),MAX(CapacityAge25*'01_Вводные'!$B$218*'19_Расчет_аналитики'!B3595,MeanMinAge25))),0)</f>
        <v/>
      </c>
      <c r="C3524">
        <f>IF('01_Вводные'!$B$234="Да",IF(OR('06_Сеть_и_дети'!C105=0,25&lt;='01_Вводные'!$B$297),0,'06_Сеть_и_дети'!C105*IF('01_Вводные'!$B$239="Да",MeanMinAge25+'19_Расчет_аналитики'!C3595*SUMIF(ThresholdAge25,"&lt;"&amp;'19_Расчет_аналитики'!C3595,WeightedRevAge25)-SUMIF(ThresholdAge25,"&lt;"&amp;'19_Расчет_аналитики'!C3595,WeightedMinAge25),MAX(CapacityAge25*'01_Вводные'!$B$218*'19_Расчет_аналитики'!C3595,MeanMinAge25))),0)</f>
        <v/>
      </c>
      <c r="D3524">
        <f>IF('01_Вводные'!$B$234="Да",IF(OR('06_Сеть_и_дети'!D105=0,25&lt;='01_Вводные'!$B$297),0,'06_Сеть_и_дети'!D105*IF('01_Вводные'!$B$239="Да",MeanMinAge25+'19_Расчет_аналитики'!D3595*SUMIF(ThresholdAge25,"&lt;"&amp;'19_Расчет_аналитики'!D3595,WeightedRevAge25)-SUMIF(ThresholdAge25,"&lt;"&amp;'19_Расчет_аналитики'!D3595,WeightedMinAge25),MAX(CapacityAge25*'01_Вводные'!$B$218*'19_Расчет_аналитики'!D3595,MeanMinAge25))),0)</f>
        <v/>
      </c>
      <c r="E3524">
        <f>IF('01_Вводные'!$B$234="Да",IF(OR('06_Сеть_и_дети'!E105=0,25&lt;='01_Вводные'!$B$297),0,'06_Сеть_и_дети'!E105*IF('01_Вводные'!$B$239="Да",MeanMinAge25+'19_Расчет_аналитики'!E3595*SUMIF(ThresholdAge25,"&lt;"&amp;'19_Расчет_аналитики'!E3595,WeightedRevAge25)-SUMIF(ThresholdAge25,"&lt;"&amp;'19_Расчет_аналитики'!E3595,WeightedMinAge25),MAX(CapacityAge25*'01_Вводные'!$B$218*'19_Расчет_аналитики'!E3595,MeanMinAge25))),0)</f>
        <v/>
      </c>
      <c r="F3524">
        <f>IF('01_Вводные'!$B$234="Да",IF(OR('06_Сеть_и_дети'!F105=0,25&lt;='01_Вводные'!$B$297),0,'06_Сеть_и_дети'!F105*IF('01_Вводные'!$B$239="Да",MeanMinAge25+'19_Расчет_аналитики'!F3595*SUMIF(ThresholdAge25,"&lt;"&amp;'19_Расчет_аналитики'!F3595,WeightedRevAge25)-SUMIF(ThresholdAge25,"&lt;"&amp;'19_Расчет_аналитики'!F3595,WeightedMinAge25),MAX(CapacityAge25*'01_Вводные'!$B$218*'19_Расчет_аналитики'!F3595,MeanMinAge25))),0)</f>
        <v/>
      </c>
      <c r="G3524">
        <f>IF('01_Вводные'!$B$234="Да",IF(OR('06_Сеть_и_дети'!G105=0,25&lt;='01_Вводные'!$B$297),0,'06_Сеть_и_дети'!G105*IF('01_Вводные'!$B$239="Да",MeanMinAge25+'19_Расчет_аналитики'!G3595*SUMIF(ThresholdAge25,"&lt;"&amp;'19_Расчет_аналитики'!G3595,WeightedRevAge25)-SUMIF(ThresholdAge25,"&lt;"&amp;'19_Расчет_аналитики'!G3595,WeightedMinAge25),MAX(CapacityAge25*'01_Вводные'!$B$218*'19_Расчет_аналитики'!G3595,MeanMinAge25))),0)</f>
        <v/>
      </c>
      <c r="H3524">
        <f>IF('01_Вводные'!$B$234="Да",IF(OR('06_Сеть_и_дети'!H105=0,25&lt;='01_Вводные'!$B$297),0,'06_Сеть_и_дети'!H105*IF('01_Вводные'!$B$239="Да",MeanMinAge25+'19_Расчет_аналитики'!H3595*SUMIF(ThresholdAge25,"&lt;"&amp;'19_Расчет_аналитики'!H3595,WeightedRevAge25)-SUMIF(ThresholdAge25,"&lt;"&amp;'19_Расчет_аналитики'!H3595,WeightedMinAge25),MAX(CapacityAge25*'01_Вводные'!$B$218*'19_Расчет_аналитики'!H3595,MeanMinAge25))),0)</f>
        <v/>
      </c>
      <c r="I3524">
        <f>IF('01_Вводные'!$B$234="Да",IF(OR('06_Сеть_и_дети'!I105=0,25&lt;='01_Вводные'!$B$297),0,'06_Сеть_и_дети'!I105*IF('01_Вводные'!$B$239="Да",MeanMinAge25+'19_Расчет_аналитики'!I3595*SUMIF(ThresholdAge25,"&lt;"&amp;'19_Расчет_аналитики'!I3595,WeightedRevAge25)-SUMIF(ThresholdAge25,"&lt;"&amp;'19_Расчет_аналитики'!I3595,WeightedMinAge25),MAX(CapacityAge25*'01_Вводные'!$B$218*'19_Расчет_аналитики'!I3595,MeanMinAge25))),0)</f>
        <v/>
      </c>
      <c r="J3524">
        <f>IF('01_Вводные'!$B$234="Да",IF(OR('06_Сеть_и_дети'!J105=0,25&lt;='01_Вводные'!$B$297),0,'06_Сеть_и_дети'!J105*IF('01_Вводные'!$B$239="Да",MeanMinAge25+'19_Расчет_аналитики'!J3595*SUMIF(ThresholdAge25,"&lt;"&amp;'19_Расчет_аналитики'!J3595,WeightedRevAge25)-SUMIF(ThresholdAge25,"&lt;"&amp;'19_Расчет_аналитики'!J3595,WeightedMinAge25),MAX(CapacityAge25*'01_Вводные'!$B$218*'19_Расчет_аналитики'!J3595,MeanMinAge25))),0)</f>
        <v/>
      </c>
      <c r="K3524">
        <f>IF('01_Вводные'!$B$234="Да",IF(OR('06_Сеть_и_дети'!K105=0,25&lt;='01_Вводные'!$B$297),0,'06_Сеть_и_дети'!K105*IF('01_Вводные'!$B$239="Да",MeanMinAge25+'19_Расчет_аналитики'!K3595*SUMIF(ThresholdAge25,"&lt;"&amp;'19_Расчет_аналитики'!K3595,WeightedRevAge25)-SUMIF(ThresholdAge25,"&lt;"&amp;'19_Расчет_аналитики'!K3595,WeightedMinAge25),MAX(CapacityAge25*'01_Вводные'!$B$218*'19_Расчет_аналитики'!K3595,MeanMinAge25))),0)</f>
        <v/>
      </c>
      <c r="L3524">
        <f>IF('01_Вводные'!$B$234="Да",IF(OR('06_Сеть_и_дети'!L105=0,25&lt;='01_Вводные'!$B$297),0,'06_Сеть_и_дети'!L105*IF('01_Вводные'!$B$239="Да",MeanMinAge25+'19_Расчет_аналитики'!L3595*SUMIF(ThresholdAge25,"&lt;"&amp;'19_Расчет_аналитики'!L3595,WeightedRevAge25)-SUMIF(ThresholdAge25,"&lt;"&amp;'19_Расчет_аналитики'!L3595,WeightedMinAge25),MAX(CapacityAge25*'01_Вводные'!$B$218*'19_Расчет_аналитики'!L3595,MeanMinAge25))),0)</f>
        <v/>
      </c>
      <c r="M3524">
        <f>IF('01_Вводные'!$B$234="Да",IF(OR('06_Сеть_и_дети'!M105=0,25&lt;='01_Вводные'!$B$297),0,'06_Сеть_и_дети'!M105*IF('01_Вводные'!$B$239="Да",MeanMinAge25+'19_Расчет_аналитики'!M3595*SUMIF(ThresholdAge25,"&lt;"&amp;'19_Расчет_аналитики'!M3595,WeightedRevAge25)-SUMIF(ThresholdAge25,"&lt;"&amp;'19_Расчет_аналитики'!M3595,WeightedMinAge25),MAX(CapacityAge25*'01_Вводные'!$B$218*'19_Расчет_аналитики'!M3595,MeanMinAge25))),0)</f>
        <v/>
      </c>
      <c r="N3524">
        <f>IF('01_Вводные'!$B$234="Да",IF(OR('06_Сеть_и_дети'!N105=0,25&lt;='01_Вводные'!$B$297),0,'06_Сеть_и_дети'!N105*IF('01_Вводные'!$B$239="Да",MeanMinAge25+'19_Расчет_аналитики'!N3595*SUMIF(ThresholdAge25,"&lt;"&amp;'19_Расчет_аналитики'!N3595,WeightedRevAge25)-SUMIF(ThresholdAge25,"&lt;"&amp;'19_Расчет_аналитики'!N3595,WeightedMinAge25),MAX(CapacityAge25*'01_Вводные'!$B$218*'19_Расчет_аналитики'!N3595,MeanMinAge25))),0)</f>
        <v/>
      </c>
      <c r="O3524">
        <f>IF('01_Вводные'!$B$234="Да",IF(OR('06_Сеть_и_дети'!O105=0,25&lt;='01_Вводные'!$B$297),0,'06_Сеть_и_дети'!O105*IF('01_Вводные'!$B$239="Да",MeanMinAge25+'19_Расчет_аналитики'!O3595*SUMIF(ThresholdAge25,"&lt;"&amp;'19_Расчет_аналитики'!O3595,WeightedRevAge25)-SUMIF(ThresholdAge25,"&lt;"&amp;'19_Расчет_аналитики'!O3595,WeightedMinAge25),MAX(CapacityAge25*'01_Вводные'!$B$218*'19_Расчет_аналитики'!O3595,MeanMinAge25))),0)</f>
        <v/>
      </c>
      <c r="P3524">
        <f>IF('01_Вводные'!$B$234="Да",IF(OR('06_Сеть_и_дети'!P105=0,25&lt;='01_Вводные'!$B$297),0,'06_Сеть_и_дети'!P105*IF('01_Вводные'!$B$239="Да",MeanMinAge25+'19_Расчет_аналитики'!P3595*SUMIF(ThresholdAge25,"&lt;"&amp;'19_Расчет_аналитики'!P3595,WeightedRevAge25)-SUMIF(ThresholdAge25,"&lt;"&amp;'19_Расчет_аналитики'!P3595,WeightedMinAge25),MAX(CapacityAge25*'01_Вводные'!$B$218*'19_Расчет_аналитики'!P3595,MeanMinAge25))),0)</f>
        <v/>
      </c>
      <c r="Q3524">
        <f>IF('01_Вводные'!$B$234="Да",IF(OR('06_Сеть_и_дети'!Q105=0,25&lt;='01_Вводные'!$B$297),0,'06_Сеть_и_дети'!Q105*IF('01_Вводные'!$B$239="Да",MeanMinAge25+'19_Расчет_аналитики'!Q3595*SUMIF(ThresholdAge25,"&lt;"&amp;'19_Расчет_аналитики'!Q3595,WeightedRevAge25)-SUMIF(ThresholdAge25,"&lt;"&amp;'19_Расчет_аналитики'!Q3595,WeightedMinAge25),MAX(CapacityAge25*'01_Вводные'!$B$218*'19_Расчет_аналитики'!Q3595,MeanMinAge25))),0)</f>
        <v/>
      </c>
      <c r="R3524">
        <f>IF('01_Вводные'!$B$234="Да",IF(OR('06_Сеть_и_дети'!R105=0,25&lt;='01_Вводные'!$B$297),0,'06_Сеть_и_дети'!R105*IF('01_Вводные'!$B$239="Да",MeanMinAge25+'19_Расчет_аналитики'!R3595*SUMIF(ThresholdAge25,"&lt;"&amp;'19_Расчет_аналитики'!R3595,WeightedRevAge25)-SUMIF(ThresholdAge25,"&lt;"&amp;'19_Расчет_аналитики'!R3595,WeightedMinAge25),MAX(CapacityAge25*'01_Вводные'!$B$218*'19_Расчет_аналитики'!R3595,MeanMinAge25))),0)</f>
        <v/>
      </c>
      <c r="S3524">
        <f>IF('01_Вводные'!$B$234="Да",IF(OR('06_Сеть_и_дети'!S105=0,25&lt;='01_Вводные'!$B$297),0,'06_Сеть_и_дети'!S105*IF('01_Вводные'!$B$239="Да",MeanMinAge25+'19_Расчет_аналитики'!S3595*SUMIF(ThresholdAge25,"&lt;"&amp;'19_Расчет_аналитики'!S3595,WeightedRevAge25)-SUMIF(ThresholdAge25,"&lt;"&amp;'19_Расчет_аналитики'!S3595,WeightedMinAge25),MAX(CapacityAge25*'01_Вводные'!$B$218*'19_Расчет_аналитики'!S3595,MeanMinAge25))),0)</f>
        <v/>
      </c>
      <c r="T3524">
        <f>IF('01_Вводные'!$B$234="Да",IF(OR('06_Сеть_и_дети'!T105=0,25&lt;='01_Вводные'!$B$297),0,'06_Сеть_и_дети'!T105*IF('01_Вводные'!$B$239="Да",MeanMinAge25+'19_Расчет_аналитики'!T3595*SUMIF(ThresholdAge25,"&lt;"&amp;'19_Расчет_аналитики'!T3595,WeightedRevAge25)-SUMIF(ThresholdAge25,"&lt;"&amp;'19_Расчет_аналитики'!T3595,WeightedMinAge25),MAX(CapacityAge25*'01_Вводные'!$B$218*'19_Расчет_аналитики'!T3595,MeanMinAge25))),0)</f>
        <v/>
      </c>
      <c r="U3524">
        <f>IF('01_Вводные'!$B$234="Да",IF(OR('06_Сеть_и_дети'!U105=0,25&lt;='01_Вводные'!$B$297),0,'06_Сеть_и_дети'!U105*IF('01_Вводные'!$B$239="Да",MeanMinAge25+'19_Расчет_аналитики'!U3595*SUMIF(ThresholdAge25,"&lt;"&amp;'19_Расчет_аналитики'!U3595,WeightedRevAge25)-SUMIF(ThresholdAge25,"&lt;"&amp;'19_Расчет_аналитики'!U3595,WeightedMinAge25),MAX(CapacityAge25*'01_Вводные'!$B$218*'19_Расчет_аналитики'!U3595,MeanMinAge25))),0)</f>
        <v/>
      </c>
      <c r="V3524">
        <f>IF('01_Вводные'!$B$234="Да",IF(OR('06_Сеть_и_дети'!V105=0,25&lt;='01_Вводные'!$B$297),0,'06_Сеть_и_дети'!V105*IF('01_Вводные'!$B$239="Да",MeanMinAge25+'19_Расчет_аналитики'!V3595*SUMIF(ThresholdAge25,"&lt;"&amp;'19_Расчет_аналитики'!V3595,WeightedRevAge25)-SUMIF(ThresholdAge25,"&lt;"&amp;'19_Расчет_аналитики'!V3595,WeightedMinAge25),MAX(CapacityAge25*'01_Вводные'!$B$218*'19_Расчет_аналитики'!V3595,MeanMinAge25))),0)</f>
        <v/>
      </c>
      <c r="W3524">
        <f>IF('01_Вводные'!$B$234="Да",IF(OR('06_Сеть_и_дети'!W105=0,25&lt;='01_Вводные'!$B$297),0,'06_Сеть_и_дети'!W105*IF('01_Вводные'!$B$239="Да",MeanMinAge25+'19_Расчет_аналитики'!W3595*SUMIF(ThresholdAge25,"&lt;"&amp;'19_Расчет_аналитики'!W3595,WeightedRevAge25)-SUMIF(ThresholdAge25,"&lt;"&amp;'19_Расчет_аналитики'!W3595,WeightedMinAge25),MAX(CapacityAge25*'01_Вводные'!$B$218*'19_Расчет_аналитики'!W3595,MeanMinAge25))),0)</f>
        <v/>
      </c>
      <c r="X3524">
        <f>IF('01_Вводные'!$B$234="Да",IF(OR('06_Сеть_и_дети'!X105=0,25&lt;='01_Вводные'!$B$297),0,'06_Сеть_и_дети'!X105*IF('01_Вводные'!$B$239="Да",MeanMinAge25+'19_Расчет_аналитики'!X3595*SUMIF(ThresholdAge25,"&lt;"&amp;'19_Расчет_аналитики'!X3595,WeightedRevAge25)-SUMIF(ThresholdAge25,"&lt;"&amp;'19_Расчет_аналитики'!X3595,WeightedMinAge25),MAX(CapacityAge25*'01_Вводные'!$B$218*'19_Расчет_аналитики'!X3595,MeanMinAge25))),0)</f>
        <v/>
      </c>
      <c r="Y3524">
        <f>IF('01_Вводные'!$B$234="Да",IF(OR('06_Сеть_и_дети'!Y105=0,25&lt;='01_Вводные'!$B$297),0,'06_Сеть_и_дети'!Y105*IF('01_Вводные'!$B$239="Да",MeanMinAge25+'19_Расчет_аналитики'!Y3595*SUMIF(ThresholdAge25,"&lt;"&amp;'19_Расчет_аналитики'!Y3595,WeightedRevAge25)-SUMIF(ThresholdAge25,"&lt;"&amp;'19_Расчет_аналитики'!Y3595,WeightedMinAge25),MAX(CapacityAge25*'01_Вводные'!$B$218*'19_Расчет_аналитики'!Y3595,MeanMinAge25))),0)</f>
        <v/>
      </c>
      <c r="Z3524">
        <f>IF('01_Вводные'!$B$234="Да",IF(OR('19_Расчет_аналитики'!Z3496=0,25&lt;='01_Вводные'!$B$297),0,'19_Расчет_аналитики'!Z3496*IF('01_Вводные'!$B$239="Да",MeanMinAge25+'19_Расчет_аналитики'!Z3595*SUMIF(ThresholdAge25,"&lt;"&amp;'19_Расчет_аналитики'!Z3595,WeightedRevAge25)-SUMIF(ThresholdAge25,"&lt;"&amp;'19_Расчет_аналитики'!Z3595,WeightedMinAge25),MAX(CapacityAge25*'01_Вводные'!$B$218*'19_Расчет_аналитики'!Z3595,MeanMinAge25))),0)</f>
        <v/>
      </c>
      <c r="AA3524">
        <f>IF('01_Вводные'!$B$234="Да",IF(OR('19_Расчет_аналитики'!AA3496=0,25&lt;='01_Вводные'!$B$297),0,'19_Расчет_аналитики'!AA3496*IF('01_Вводные'!$B$239="Да",MeanMinAge25+'19_Расчет_аналитики'!AA3595*SUMIF(ThresholdAge25,"&lt;"&amp;'19_Расчет_аналитики'!AA3595,WeightedRevAge25)-SUMIF(ThresholdAge25,"&lt;"&amp;'19_Расчет_аналитики'!AA3595,WeightedMinAge25),MAX(CapacityAge25*'01_Вводные'!$B$218*'19_Расчет_аналитики'!AA3595,MeanMinAge25))),0)</f>
        <v/>
      </c>
      <c r="AB3524">
        <f>IF('01_Вводные'!$B$234="Да",IF(OR('19_Расчет_аналитики'!AB3496=0,25&lt;='01_Вводные'!$B$297),0,'19_Расчет_аналитики'!AB3496*IF('01_Вводные'!$B$239="Да",MeanMinAge25+'19_Расчет_аналитики'!AB3595*SUMIF(ThresholdAge25,"&lt;"&amp;'19_Расчет_аналитики'!AB3595,WeightedRevAge25)-SUMIF(ThresholdAge25,"&lt;"&amp;'19_Расчет_аналитики'!AB3595,WeightedMinAge25),MAX(CapacityAge25*'01_Вводные'!$B$218*'19_Расчет_аналитики'!AB3595,MeanMinAge25))),0)</f>
        <v/>
      </c>
      <c r="AC3524">
        <f>IF('01_Вводные'!$B$234="Да",IF(OR('19_Расчет_аналитики'!AC3496=0,25&lt;='01_Вводные'!$B$297),0,'19_Расчет_аналитики'!AC3496*IF('01_Вводные'!$B$239="Да",MeanMinAge25+'19_Расчет_аналитики'!AC3595*SUMIF(ThresholdAge25,"&lt;"&amp;'19_Расчет_аналитики'!AC3595,WeightedRevAge25)-SUMIF(ThresholdAge25,"&lt;"&amp;'19_Расчет_аналитики'!AC3595,WeightedMinAge25),MAX(CapacityAge25*'01_Вводные'!$B$218*'19_Расчет_аналитики'!AC3595,MeanMinAge25))),0)</f>
        <v/>
      </c>
      <c r="AD3524">
        <f>IF('01_Вводные'!$B$234="Да",IF(OR('19_Расчет_аналитики'!AD3496=0,25&lt;='01_Вводные'!$B$297),0,'19_Расчет_аналитики'!AD3496*IF('01_Вводные'!$B$239="Да",MeanMinAge25+'19_Расчет_аналитики'!AD3595*SUMIF(ThresholdAge25,"&lt;"&amp;'19_Расчет_аналитики'!AD3595,WeightedRevAge25)-SUMIF(ThresholdAge25,"&lt;"&amp;'19_Расчет_аналитики'!AD3595,WeightedMinAge25),MAX(CapacityAge25*'01_Вводные'!$B$218*'19_Расчет_аналитики'!AD3595,MeanMinAge25))),0)</f>
        <v/>
      </c>
      <c r="AE3524">
        <f>IF('01_Вводные'!$B$234="Да",IF(OR('19_Расчет_аналитики'!AE3496=0,25&lt;='01_Вводные'!$B$297),0,'19_Расчет_аналитики'!AE3496*IF('01_Вводные'!$B$239="Да",MeanMinAge25+'19_Расчет_аналитики'!AE3595*SUMIF(ThresholdAge25,"&lt;"&amp;'19_Расчет_аналитики'!AE3595,WeightedRevAge25)-SUMIF(ThresholdAge25,"&lt;"&amp;'19_Расчет_аналитики'!AE3595,WeightedMinAge25),MAX(CapacityAge25*'01_Вводные'!$B$218*'19_Расчет_аналитики'!AE3595,MeanMinAge25))),0)</f>
        <v/>
      </c>
      <c r="AF3524">
        <f>IF('01_Вводные'!$B$234="Да",IF(OR('19_Расчет_аналитики'!AF3496=0,25&lt;='01_Вводные'!$B$297),0,'19_Расчет_аналитики'!AF3496*IF('01_Вводные'!$B$239="Да",MeanMinAge25+'19_Расчет_аналитики'!AF3595*SUMIF(ThresholdAge25,"&lt;"&amp;'19_Расчет_аналитики'!AF3595,WeightedRevAge25)-SUMIF(ThresholdAge25,"&lt;"&amp;'19_Расчет_аналитики'!AF3595,WeightedMinAge25),MAX(CapacityAge25*'01_Вводные'!$B$218*'19_Расчет_аналитики'!AF3595,MeanMinAge25))),0)</f>
        <v/>
      </c>
      <c r="AG3524">
        <f>IF('01_Вводные'!$B$234="Да",IF(OR('19_Расчет_аналитики'!AG3496=0,25&lt;='01_Вводные'!$B$297),0,'19_Расчет_аналитики'!AG3496*IF('01_Вводные'!$B$239="Да",MeanMinAge25+'19_Расчет_аналитики'!AG3595*SUMIF(ThresholdAge25,"&lt;"&amp;'19_Расчет_аналитики'!AG3595,WeightedRevAge25)-SUMIF(ThresholdAge25,"&lt;"&amp;'19_Расчет_аналитики'!AG3595,WeightedMinAge25),MAX(CapacityAge25*'01_Вводные'!$B$218*'19_Расчет_аналитики'!AG3595,MeanMinAge25))),0)</f>
        <v/>
      </c>
      <c r="AH3524">
        <f>IF('01_Вводные'!$B$234="Да",IF(OR('19_Расчет_аналитики'!AH3496=0,25&lt;='01_Вводные'!$B$297),0,'19_Расчет_аналитики'!AH3496*IF('01_Вводные'!$B$239="Да",MeanMinAge25+'19_Расчет_аналитики'!AH3595*SUMIF(ThresholdAge25,"&lt;"&amp;'19_Расчет_аналитики'!AH3595,WeightedRevAge25)-SUMIF(ThresholdAge25,"&lt;"&amp;'19_Расчет_аналитики'!AH3595,WeightedMinAge25),MAX(CapacityAge25*'01_Вводные'!$B$218*'19_Расчет_аналитики'!AH3595,MeanMinAge25))),0)</f>
        <v/>
      </c>
      <c r="AI3524">
        <f>IF('01_Вводные'!$B$234="Да",IF(OR('19_Расчет_аналитики'!AI3496=0,25&lt;='01_Вводные'!$B$297),0,'19_Расчет_аналитики'!AI3496*IF('01_Вводные'!$B$239="Да",MeanMinAge25+'19_Расчет_аналитики'!AI3595*SUMIF(ThresholdAge25,"&lt;"&amp;'19_Расчет_аналитики'!AI3595,WeightedRevAge25)-SUMIF(ThresholdAge25,"&lt;"&amp;'19_Расчет_аналитики'!AI3595,WeightedMinAge25),MAX(CapacityAge25*'01_Вводные'!$B$218*'19_Расчет_аналитики'!AI3595,MeanMinAge25))),0)</f>
        <v/>
      </c>
      <c r="AJ3524">
        <f>IF('01_Вводные'!$B$234="Да",IF(OR('19_Расчет_аналитики'!AJ3496=0,25&lt;='01_Вводные'!$B$297),0,'19_Расчет_аналитики'!AJ3496*IF('01_Вводные'!$B$239="Да",MeanMinAge25+'19_Расчет_аналитики'!AJ3595*SUMIF(ThresholdAge25,"&lt;"&amp;'19_Расчет_аналитики'!AJ3595,WeightedRevAge25)-SUMIF(ThresholdAge25,"&lt;"&amp;'19_Расчет_аналитики'!AJ3595,WeightedMinAge25),MAX(CapacityAge25*'01_Вводные'!$B$218*'19_Расчет_аналитики'!AJ3595,MeanMinAge25))),0)</f>
        <v/>
      </c>
      <c r="AK3524">
        <f>IF('01_Вводные'!$B$234="Да",IF(OR('19_Расчет_аналитики'!AK3496=0,25&lt;='01_Вводные'!$B$297),0,'19_Расчет_аналитики'!AK3496*IF('01_Вводные'!$B$239="Да",MeanMinAge25+'19_Расчет_аналитики'!AK3595*SUMIF(ThresholdAge25,"&lt;"&amp;'19_Расчет_аналитики'!AK3595,WeightedRevAge25)-SUMIF(ThresholdAge25,"&lt;"&amp;'19_Расчет_аналитики'!AK3595,WeightedMinAge25),MAX(CapacityAge25*'01_Вводные'!$B$218*'19_Расчет_аналитики'!AK3595,MeanMinAge25))),0)</f>
        <v/>
      </c>
      <c r="AL3524">
        <f>IF('01_Вводные'!$B$234="Да",IF(OR('19_Расчет_аналитики'!AL3496=0,25&lt;='01_Вводные'!$B$297),0,'19_Расчет_аналитики'!AL3496*IF('01_Вводные'!$B$239="Да",MeanMinAge25+'19_Расчет_аналитики'!AL3595*SUMIF(ThresholdAge25,"&lt;"&amp;'19_Расчет_аналитики'!AL3595,WeightedRevAge25)-SUMIF(ThresholdAge25,"&lt;"&amp;'19_Расчет_аналитики'!AL3595,WeightedMinAge25),MAX(CapacityAge25*'01_Вводные'!$B$218*'19_Расчет_аналитики'!AL3595,MeanMinAge25))),0)</f>
        <v/>
      </c>
      <c r="AM3524">
        <f>IF('01_Вводные'!$B$234="Да",IF(OR('19_Расчет_аналитики'!AM3496=0,25&lt;='01_Вводные'!$B$297),0,'19_Расчет_аналитики'!AM3496*IF('01_Вводные'!$B$239="Да",MeanMinAge25+'19_Расчет_аналитики'!AM3595*SUMIF(ThresholdAge25,"&lt;"&amp;'19_Расчет_аналитики'!AM3595,WeightedRevAge25)-SUMIF(ThresholdAge25,"&lt;"&amp;'19_Расчет_аналитики'!AM3595,WeightedMinAge25),MAX(CapacityAge25*'01_Вводные'!$B$218*'19_Расчет_аналитики'!AM3595,MeanMinAge25))),0)</f>
        <v/>
      </c>
      <c r="AN3524">
        <f>IF('01_Вводные'!$B$234="Да",IF(OR('19_Расчет_аналитики'!AN3496=0,25&lt;='01_Вводные'!$B$297),0,'19_Расчет_аналитики'!AN3496*IF('01_Вводные'!$B$239="Да",MeanMinAge25+'19_Расчет_аналитики'!AN3595*SUMIF(ThresholdAge25,"&lt;"&amp;'19_Расчет_аналитики'!AN3595,WeightedRevAge25)-SUMIF(ThresholdAge25,"&lt;"&amp;'19_Расчет_аналитики'!AN3595,WeightedMinAge25),MAX(CapacityAge25*'01_Вводные'!$B$218*'19_Расчет_аналитики'!AN3595,MeanMinAge25))),0)</f>
        <v/>
      </c>
      <c r="AO3524">
        <f>IF('01_Вводные'!$B$234="Да",IF(OR('19_Расчет_аналитики'!AO3496=0,25&lt;='01_Вводные'!$B$297),0,'19_Расчет_аналитики'!AO3496*IF('01_Вводные'!$B$239="Да",MeanMinAge25+'19_Расчет_аналитики'!AO3595*SUMIF(ThresholdAge25,"&lt;"&amp;'19_Расчет_аналитики'!AO3595,WeightedRevAge25)-SUMIF(ThresholdAge25,"&lt;"&amp;'19_Расчет_аналитики'!AO3595,WeightedMinAge25),MAX(CapacityAge25*'01_Вводные'!$B$218*'19_Расчет_аналитики'!AO3595,MeanMinAge25))),0)</f>
        <v/>
      </c>
      <c r="AP3524">
        <f>IF('01_Вводные'!$B$234="Да",IF(OR('19_Расчет_аналитики'!AP3496=0,25&lt;='01_Вводные'!$B$297),0,'19_Расчет_аналитики'!AP3496*IF('01_Вводные'!$B$239="Да",MeanMinAge25+'19_Расчет_аналитики'!AP3595*SUMIF(ThresholdAge25,"&lt;"&amp;'19_Расчет_аналитики'!AP3595,WeightedRevAge25)-SUMIF(ThresholdAge25,"&lt;"&amp;'19_Расчет_аналитики'!AP3595,WeightedMinAge25),MAX(CapacityAge25*'01_Вводные'!$B$218*'19_Расчет_аналитики'!AP3595,MeanMinAge25))),0)</f>
        <v/>
      </c>
      <c r="AQ3524">
        <f>IF('01_Вводные'!$B$234="Да",IF(OR('19_Расчет_аналитики'!AQ3496=0,25&lt;='01_Вводные'!$B$297),0,'19_Расчет_аналитики'!AQ3496*IF('01_Вводные'!$B$239="Да",MeanMinAge25+'19_Расчет_аналитики'!AQ3595*SUMIF(ThresholdAge25,"&lt;"&amp;'19_Расчет_аналитики'!AQ3595,WeightedRevAge25)-SUMIF(ThresholdAge25,"&lt;"&amp;'19_Расчет_аналитики'!AQ3595,WeightedMinAge25),MAX(CapacityAge25*'01_Вводные'!$B$218*'19_Расчет_аналитики'!AQ3595,MeanMinAge25))),0)</f>
        <v/>
      </c>
      <c r="AR3524">
        <f>IF('01_Вводные'!$B$234="Да",IF(OR('19_Расчет_аналитики'!AR3496=0,25&lt;='01_Вводные'!$B$297),0,'19_Расчет_аналитики'!AR3496*IF('01_Вводные'!$B$239="Да",MeanMinAge25+'19_Расчет_аналитики'!AR3595*SUMIF(ThresholdAge25,"&lt;"&amp;'19_Расчет_аналитики'!AR3595,WeightedRevAge25)-SUMIF(ThresholdAge25,"&lt;"&amp;'19_Расчет_аналитики'!AR3595,WeightedMinAge25),MAX(CapacityAge25*'01_Вводные'!$B$218*'19_Расчет_аналитики'!AR3595,MeanMinAge25))),0)</f>
        <v/>
      </c>
      <c r="AS3524">
        <f>IF('01_Вводные'!$B$234="Да",IF(OR('19_Расчет_аналитики'!AS3496=0,25&lt;='01_Вводные'!$B$297),0,'19_Расчет_аналитики'!AS3496*IF('01_Вводные'!$B$239="Да",MeanMinAge25+'19_Расчет_аналитики'!AS3595*SUMIF(ThresholdAge25,"&lt;"&amp;'19_Расчет_аналитики'!AS3595,WeightedRevAge25)-SUMIF(ThresholdAge25,"&lt;"&amp;'19_Расчет_аналитики'!AS3595,WeightedMinAge25),MAX(CapacityAge25*'01_Вводные'!$B$218*'19_Расчет_аналитики'!AS3595,MeanMinAge25))),0)</f>
        <v/>
      </c>
      <c r="AT3524">
        <f>IF('01_Вводные'!$B$234="Да",IF(OR('19_Расчет_аналитики'!AT3496=0,25&lt;='01_Вводные'!$B$297),0,'19_Расчет_аналитики'!AT3496*IF('01_Вводные'!$B$239="Да",MeanMinAge25+'19_Расчет_аналитики'!AT3595*SUMIF(ThresholdAge25,"&lt;"&amp;'19_Расчет_аналитики'!AT3595,WeightedRevAge25)-SUMIF(ThresholdAge25,"&lt;"&amp;'19_Расчет_аналитики'!AT3595,WeightedMinAge25),MAX(CapacityAge25*'01_Вводные'!$B$218*'19_Расчет_аналитики'!AT3595,MeanMinAge25))),0)</f>
        <v/>
      </c>
      <c r="AU3524">
        <f>IF('01_Вводные'!$B$234="Да",IF(OR('19_Расчет_аналитики'!AU3496=0,25&lt;='01_Вводные'!$B$297),0,'19_Расчет_аналитики'!AU3496*IF('01_Вводные'!$B$239="Да",MeanMinAge25+'19_Расчет_аналитики'!AU3595*SUMIF(ThresholdAge25,"&lt;"&amp;'19_Расчет_аналитики'!AU3595,WeightedRevAge25)-SUMIF(ThresholdAge25,"&lt;"&amp;'19_Расчет_аналитики'!AU3595,WeightedMinAge25),MAX(CapacityAge25*'01_Вводные'!$B$218*'19_Расчет_аналитики'!AU3595,MeanMinAge25))),0)</f>
        <v/>
      </c>
      <c r="AV3524">
        <f>IF('01_Вводные'!$B$234="Да",IF(OR('19_Расчет_аналитики'!AV3496=0,25&lt;='01_Вводные'!$B$297),0,'19_Расчет_аналитики'!AV3496*IF('01_Вводные'!$B$239="Да",MeanMinAge25+'19_Расчет_аналитики'!AV3595*SUMIF(ThresholdAge25,"&lt;"&amp;'19_Расчет_аналитики'!AV3595,WeightedRevAge25)-SUMIF(ThresholdAge25,"&lt;"&amp;'19_Расчет_аналитики'!AV3595,WeightedMinAge25),MAX(CapacityAge25*'01_Вводные'!$B$218*'19_Расчет_аналитики'!AV3595,MeanMinAge25))),0)</f>
        <v/>
      </c>
      <c r="AW3524">
        <f>IF('01_Вводные'!$B$234="Да",IF(OR('19_Расчет_аналитики'!AW3496=0,25&lt;='01_Вводные'!$B$297),0,'19_Расчет_аналитики'!AW3496*IF('01_Вводные'!$B$239="Да",MeanMinAge25+'19_Расчет_аналитики'!AW3595*SUMIF(ThresholdAge25,"&lt;"&amp;'19_Расчет_аналитики'!AW3595,WeightedRevAge25)-SUMIF(ThresholdAge25,"&lt;"&amp;'19_Расчет_аналитики'!AW3595,WeightedMinAge25),MAX(CapacityAge25*'01_Вводные'!$B$218*'19_Расчет_аналитики'!AW3595,MeanMinAge25))),0)</f>
        <v/>
      </c>
      <c r="AX3524">
        <f>IF('01_Вводные'!$B$234="Да",IF(OR('19_Расчет_аналитики'!AX3496=0,25&lt;='01_Вводные'!$B$297),0,'19_Расчет_аналитики'!AX3496*IF('01_Вводные'!$B$239="Да",MeanMinAge25+'19_Расчет_аналитики'!AX3595*SUMIF(ThresholdAge25,"&lt;"&amp;'19_Расчет_аналитики'!AX3595,WeightedRevAge25)-SUMIF(ThresholdAge25,"&lt;"&amp;'19_Расчет_аналитики'!AX3595,WeightedMinAge25),MAX(CapacityAge25*'01_Вводные'!$B$218*'19_Расчет_аналитики'!AX3595,MeanMinAge25))),0)</f>
        <v/>
      </c>
      <c r="AY3524">
        <f>IF('01_Вводные'!$B$234="Да",IF(OR('19_Расчет_аналитики'!AY3496=0,25&lt;='01_Вводные'!$B$297),0,'19_Расчет_аналитики'!AY3496*IF('01_Вводные'!$B$239="Да",MeanMinAge25+'19_Расчет_аналитики'!AY3595*SUMIF(ThresholdAge25,"&lt;"&amp;'19_Расчет_аналитики'!AY3595,WeightedRevAge25)-SUMIF(ThresholdAge25,"&lt;"&amp;'19_Расчет_аналитики'!AY3595,WeightedMinAge25),MAX(CapacityAge25*'01_Вводные'!$B$218*'19_Расчет_аналитики'!AY3595,MeanMinAge25))),0)</f>
        <v/>
      </c>
      <c r="AZ3524">
        <f>IF('01_Вводные'!$B$234="Да",IF(OR('19_Расчет_аналитики'!AZ3496=0,25&lt;='01_Вводные'!$B$297),0,'19_Расчет_аналитики'!AZ3496*IF('01_Вводные'!$B$239="Да",MeanMinAge25+'19_Расчет_аналитики'!AZ3595*SUMIF(ThresholdAge25,"&lt;"&amp;'19_Расчет_аналитики'!AZ3595,WeightedRevAge25)-SUMIF(ThresholdAge25,"&lt;"&amp;'19_Расчет_аналитики'!AZ3595,WeightedMinAge25),MAX(CapacityAge25*'01_Вводные'!$B$218*'19_Расчет_аналитики'!AZ3595,MeanMinAge25))),0)</f>
        <v/>
      </c>
      <c r="BA3524">
        <f>IF('01_Вводные'!$B$234="Да",IF(OR('19_Расчет_аналитики'!BA3496=0,25&lt;='01_Вводные'!$B$297),0,'19_Расчет_аналитики'!BA3496*IF('01_Вводные'!$B$239="Да",MeanMinAge25+'19_Расчет_аналитики'!BA3595*SUMIF(ThresholdAge25,"&lt;"&amp;'19_Расчет_аналитики'!BA3595,WeightedRevAge25)-SUMIF(ThresholdAge25,"&lt;"&amp;'19_Расчет_аналитики'!BA3595,WeightedMinAge25),MAX(CapacityAge25*'01_Вводные'!$B$218*'19_Расчет_аналитики'!BA3595,MeanMinAge25))),0)</f>
        <v/>
      </c>
      <c r="BB3524">
        <f>IF('01_Вводные'!$B$234="Да",IF(OR('19_Расчет_аналитики'!BB3496=0,25&lt;='01_Вводные'!$B$297),0,'19_Расчет_аналитики'!BB3496*IF('01_Вводные'!$B$239="Да",MeanMinAge25+'19_Расчет_аналитики'!BB3595*SUMIF(ThresholdAge25,"&lt;"&amp;'19_Расчет_аналитики'!BB3595,WeightedRevAge25)-SUMIF(ThresholdAge25,"&lt;"&amp;'19_Расчет_аналитики'!BB3595,WeightedMinAge25),MAX(CapacityAge25*'01_Вводные'!$B$218*'19_Расчет_аналитики'!BB3595,MeanMinAge25))),0)</f>
        <v/>
      </c>
      <c r="BC3524">
        <f>IF('01_Вводные'!$B$234="Да",IF(OR('19_Расчет_аналитики'!BC3496=0,25&lt;='01_Вводные'!$B$297),0,'19_Расчет_аналитики'!BC3496*IF('01_Вводные'!$B$239="Да",MeanMinAge25+'19_Расчет_аналитики'!BC3595*SUMIF(ThresholdAge25,"&lt;"&amp;'19_Расчет_аналитики'!BC3595,WeightedRevAge25)-SUMIF(ThresholdAge25,"&lt;"&amp;'19_Расчет_аналитики'!BC3595,WeightedMinAge25),MAX(CapacityAge25*'01_Вводные'!$B$218*'19_Расчет_аналитики'!BC3595,MeanMinAge25))),0)</f>
        <v/>
      </c>
      <c r="BD3524">
        <f>IF('01_Вводные'!$B$234="Да",IF(OR('19_Расчет_аналитики'!BD3496=0,25&lt;='01_Вводные'!$B$297),0,'19_Расчет_аналитики'!BD3496*IF('01_Вводные'!$B$239="Да",MeanMinAge25+'19_Расчет_аналитики'!BD3595*SUMIF(ThresholdAge25,"&lt;"&amp;'19_Расчет_аналитики'!BD3595,WeightedRevAge25)-SUMIF(ThresholdAge25,"&lt;"&amp;'19_Расчет_аналитики'!BD3595,WeightedMinAge25),MAX(CapacityAge25*'01_Вводные'!$B$218*'19_Расчет_аналитики'!BD3595,MeanMinAge25))),0)</f>
        <v/>
      </c>
      <c r="BE3524">
        <f>IF('01_Вводные'!$B$234="Да",IF(OR('19_Расчет_аналитики'!BE3496=0,25&lt;='01_Вводные'!$B$297),0,'19_Расчет_аналитики'!BE3496*IF('01_Вводные'!$B$239="Да",MeanMinAge25+'19_Расчет_аналитики'!BE3595*SUMIF(ThresholdAge25,"&lt;"&amp;'19_Расчет_аналитики'!BE3595,WeightedRevAge25)-SUMIF(ThresholdAge25,"&lt;"&amp;'19_Расчет_аналитики'!BE3595,WeightedMinAge25),MAX(CapacityAge25*'01_Вводные'!$B$218*'19_Расчет_аналитики'!BE3595,MeanMinAge25))),0)</f>
        <v/>
      </c>
      <c r="BF3524">
        <f>IF('01_Вводные'!$B$234="Да",IF(OR('19_Расчет_аналитики'!BF3496=0,25&lt;='01_Вводные'!$B$297),0,'19_Расчет_аналитики'!BF3496*IF('01_Вводные'!$B$239="Да",MeanMinAge25+'19_Расчет_аналитики'!BF3595*SUMIF(ThresholdAge25,"&lt;"&amp;'19_Расчет_аналитики'!BF3595,WeightedRevAge25)-SUMIF(ThresholdAge25,"&lt;"&amp;'19_Расчет_аналитики'!BF3595,WeightedMinAge25),MAX(CapacityAge25*'01_Вводные'!$B$218*'19_Расчет_аналитики'!BF3595,MeanMinAge25))),0)</f>
        <v/>
      </c>
      <c r="BG3524">
        <f>IF('01_Вводные'!$B$234="Да",IF(OR('19_Расчет_аналитики'!BG3496=0,25&lt;='01_Вводные'!$B$297),0,'19_Расчет_аналитики'!BG3496*IF('01_Вводные'!$B$239="Да",MeanMinAge25+'19_Расчет_аналитики'!BG3595*SUMIF(ThresholdAge25,"&lt;"&amp;'19_Расчет_аналитики'!BG3595,WeightedRevAge25)-SUMIF(ThresholdAge25,"&lt;"&amp;'19_Расчет_аналитики'!BG3595,WeightedMinAge25),MAX(CapacityAge25*'01_Вводные'!$B$218*'19_Расчет_аналитики'!BG3595,MeanMinAge25))),0)</f>
        <v/>
      </c>
      <c r="BH3524">
        <f>IF('01_Вводные'!$B$234="Да",IF(OR('19_Расчет_аналитики'!BH3496=0,25&lt;='01_Вводные'!$B$297),0,'19_Расчет_аналитики'!BH3496*IF('01_Вводные'!$B$239="Да",MeanMinAge25+'19_Расчет_аналитики'!BH3595*SUMIF(ThresholdAge25,"&lt;"&amp;'19_Расчет_аналитики'!BH3595,WeightedRevAge25)-SUMIF(ThresholdAge25,"&lt;"&amp;'19_Расчет_аналитики'!BH3595,WeightedMinAge25),MAX(CapacityAge25*'01_Вводные'!$B$218*'19_Расчет_аналитики'!BH3595,MeanMinAge25))),0)</f>
        <v/>
      </c>
      <c r="BI3524">
        <f>IF('01_Вводные'!$B$234="Да",IF(OR('19_Расчет_аналитики'!BI3496=0,25&lt;='01_Вводные'!$B$297),0,'19_Расчет_аналитики'!BI3496*IF('01_Вводные'!$B$239="Да",MeanMinAge25+'19_Расчет_аналитики'!BI3595*SUMIF(ThresholdAge25,"&lt;"&amp;'19_Расчет_аналитики'!BI3595,WeightedRevAge25)-SUMIF(ThresholdAge25,"&lt;"&amp;'19_Расчет_аналитики'!BI3595,WeightedMinAge25),MAX(CapacityAge25*'01_Вводные'!$B$218*'19_Расчет_аналитики'!BI3595,MeanMinAge25))),0)</f>
        <v/>
      </c>
      <c r="BJ3524">
        <f>IF('01_Вводные'!$B$234="Да",IF(OR('19_Расчет_аналитики'!BJ3496=0,25&lt;='01_Вводные'!$B$297),0,'19_Расчет_аналитики'!BJ3496*IF('01_Вводные'!$B$239="Да",MeanMinAge25+'19_Расчет_аналитики'!BJ3595*SUMIF(ThresholdAge25,"&lt;"&amp;'19_Расчет_аналитики'!BJ3595,WeightedRevAge25)-SUMIF(ThresholdAge25,"&lt;"&amp;'19_Расчет_аналитики'!BJ3595,WeightedMinAge25),MAX(CapacityAge25*'01_Вводные'!$B$218*'19_Расчет_аналитики'!BJ3595,MeanMinAge25))),0)</f>
        <v/>
      </c>
      <c r="BK3524">
        <f>IF('01_Вводные'!$B$234="Да",IF(OR('19_Расчет_аналитики'!BK3496=0,25&lt;='01_Вводные'!$B$297),0,'19_Расчет_аналитики'!BK3496*IF('01_Вводные'!$B$239="Да",MeanMinAge25+'19_Расчет_аналитики'!BK3595*SUMIF(ThresholdAge25,"&lt;"&amp;'19_Расчет_аналитики'!BK3595,WeightedRevAge25)-SUMIF(ThresholdAge25,"&lt;"&amp;'19_Расчет_аналитики'!BK3595,WeightedMinAge25),MAX(CapacityAge25*'01_Вводные'!$B$218*'19_Расчет_аналитики'!BK3595,MeanMinAge25))),0)</f>
        <v/>
      </c>
      <c r="BL3524">
        <f>IF('01_Вводные'!$B$234="Да",IF(OR('19_Расчет_аналитики'!BL3496=0,25&lt;='01_Вводные'!$B$297),0,'19_Расчет_аналитики'!BL3496*IF('01_Вводные'!$B$239="Да",MeanMinAge25+'19_Расчет_аналитики'!BL3595*SUMIF(ThresholdAge25,"&lt;"&amp;'19_Расчет_аналитики'!BL3595,WeightedRevAge25)-SUMIF(ThresholdAge25,"&lt;"&amp;'19_Расчет_аналитики'!BL3595,WeightedMinAge25),MAX(CapacityAge25*'01_Вводные'!$B$218*'19_Расчет_аналитики'!BL3595,MeanMinAge25))),0)</f>
        <v/>
      </c>
      <c r="BM3524">
        <f>IF('01_Вводные'!$B$234="Да",IF(OR('19_Расчет_аналитики'!BM3496=0,25&lt;='01_Вводные'!$B$297),0,'19_Расчет_аналитики'!BM3496*IF('01_Вводные'!$B$239="Да",MeanMinAge25+'19_Расчет_аналитики'!BM3595*SUMIF(ThresholdAge25,"&lt;"&amp;'19_Расчет_аналитики'!BM3595,WeightedRevAge25)-SUMIF(ThresholdAge25,"&lt;"&amp;'19_Расчет_аналитики'!BM3595,WeightedMinAge25),MAX(CapacityAge25*'01_Вводные'!$B$218*'19_Расчет_аналитики'!BM3595,MeanMinAge25))),0)</f>
        <v/>
      </c>
      <c r="BN3524">
        <f>IF('01_Вводные'!$B$234="Да",IF(OR('19_Расчет_аналитики'!BN3496=0,25&lt;='01_Вводные'!$B$297),0,'19_Расчет_аналитики'!BN3496*IF('01_Вводные'!$B$239="Да",MeanMinAge25+'19_Расчет_аналитики'!BN3595*SUMIF(ThresholdAge25,"&lt;"&amp;'19_Расчет_аналитики'!BN3595,WeightedRevAge25)-SUMIF(ThresholdAge25,"&lt;"&amp;'19_Расчет_аналитики'!BN3595,WeightedMinAge25),MAX(CapacityAge25*'01_Вводные'!$B$218*'19_Расчет_аналитики'!BN3595,MeanMinAge25))),0)</f>
        <v/>
      </c>
      <c r="BO3524">
        <f>IF('01_Вводные'!$B$234="Да",IF(OR('19_Расчет_аналитики'!BO3496=0,25&lt;='01_Вводные'!$B$297),0,'19_Расчет_аналитики'!BO3496*IF('01_Вводные'!$B$239="Да",MeanMinAge25+'19_Расчет_аналитики'!BO3595*SUMIF(ThresholdAge25,"&lt;"&amp;'19_Расчет_аналитики'!BO3595,WeightedRevAge25)-SUMIF(ThresholdAge25,"&lt;"&amp;'19_Расчет_аналитики'!BO3595,WeightedMinAge25),MAX(CapacityAge25*'01_Вводные'!$B$218*'19_Расчет_аналитики'!BO3595,MeanMinAge25))),0)</f>
        <v/>
      </c>
    </row>
    <row r="3525"/>
    <row r="3526"/>
    <row r="3527"/>
    <row r="3528">
      <c r="B3528">
        <f>IF('01_Вводные'!$B$234="Да",IF(OR(('19_Расчет_аналитики'!B3444-'19_Расчет_аналитики'!B3472)=0,1&lt;='01_Вводные'!$B$297),0,('19_Расчет_аналитики'!B3444-'19_Расчет_аналитики'!B3472)*IF('01_Вводные'!$B$239="Да",MeanMinAge01+'19_Расчет_аналитики'!B3596*SUMIF(ThresholdAge01,"&lt;"&amp;'19_Расчет_аналитики'!B3596,WeightedRevAge01)-SUMIF(ThresholdAge01,"&lt;"&amp;'19_Расчет_аналитики'!B3596,WeightedMinAge01),MAX(CapacityAge01*'01_Вводные'!$B$218*'19_Расчет_аналитики'!B3596,MeanMinAge01))),0)</f>
        <v/>
      </c>
      <c r="C3528">
        <f>IF('01_Вводные'!$B$234="Да",IF(OR(('19_Расчет_аналитики'!C3444-'19_Расчет_аналитики'!C3472)=0,1&lt;='01_Вводные'!$B$297),0,('19_Расчет_аналитики'!C3444-'19_Расчет_аналитики'!C3472)*IF('01_Вводные'!$B$239="Да",MeanMinAge01+'19_Расчет_аналитики'!C3596*SUMIF(ThresholdAge01,"&lt;"&amp;'19_Расчет_аналитики'!C3596,WeightedRevAge01)-SUMIF(ThresholdAge01,"&lt;"&amp;'19_Расчет_аналитики'!C3596,WeightedMinAge01),MAX(CapacityAge01*'01_Вводные'!$B$218*'19_Расчет_аналитики'!C3596,MeanMinAge01))),0)</f>
        <v/>
      </c>
      <c r="D3528">
        <f>IF('01_Вводные'!$B$234="Да",IF(OR(('19_Расчет_аналитики'!D3444-'19_Расчет_аналитики'!D3472)=0,1&lt;='01_Вводные'!$B$297),0,('19_Расчет_аналитики'!D3444-'19_Расчет_аналитики'!D3472)*IF('01_Вводные'!$B$239="Да",MeanMinAge01+'19_Расчет_аналитики'!D3596*SUMIF(ThresholdAge01,"&lt;"&amp;'19_Расчет_аналитики'!D3596,WeightedRevAge01)-SUMIF(ThresholdAge01,"&lt;"&amp;'19_Расчет_аналитики'!D3596,WeightedMinAge01),MAX(CapacityAge01*'01_Вводные'!$B$218*'19_Расчет_аналитики'!D3596,MeanMinAge01))),0)</f>
        <v/>
      </c>
      <c r="E3528">
        <f>IF('01_Вводные'!$B$234="Да",IF(OR(('19_Расчет_аналитики'!E3444-'19_Расчет_аналитики'!E3472)=0,1&lt;='01_Вводные'!$B$297),0,('19_Расчет_аналитики'!E3444-'19_Расчет_аналитики'!E3472)*IF('01_Вводные'!$B$239="Да",MeanMinAge01+'19_Расчет_аналитики'!E3596*SUMIF(ThresholdAge01,"&lt;"&amp;'19_Расчет_аналитики'!E3596,WeightedRevAge01)-SUMIF(ThresholdAge01,"&lt;"&amp;'19_Расчет_аналитики'!E3596,WeightedMinAge01),MAX(CapacityAge01*'01_Вводные'!$B$218*'19_Расчет_аналитики'!E3596,MeanMinAge01))),0)</f>
        <v/>
      </c>
      <c r="F3528">
        <f>IF('01_Вводные'!$B$234="Да",IF(OR(('19_Расчет_аналитики'!F3444-'19_Расчет_аналитики'!F3472)=0,1&lt;='01_Вводные'!$B$297),0,('19_Расчет_аналитики'!F3444-'19_Расчет_аналитики'!F3472)*IF('01_Вводные'!$B$239="Да",MeanMinAge01+'19_Расчет_аналитики'!F3596*SUMIF(ThresholdAge01,"&lt;"&amp;'19_Расчет_аналитики'!F3596,WeightedRevAge01)-SUMIF(ThresholdAge01,"&lt;"&amp;'19_Расчет_аналитики'!F3596,WeightedMinAge01),MAX(CapacityAge01*'01_Вводные'!$B$218*'19_Расчет_аналитики'!F3596,MeanMinAge01))),0)</f>
        <v/>
      </c>
      <c r="G3528">
        <f>IF('01_Вводные'!$B$234="Да",IF(OR(('19_Расчет_аналитики'!G3444-'19_Расчет_аналитики'!G3472)=0,1&lt;='01_Вводные'!$B$297),0,('19_Расчет_аналитики'!G3444-'19_Расчет_аналитики'!G3472)*IF('01_Вводные'!$B$239="Да",MeanMinAge01+'19_Расчет_аналитики'!G3596*SUMIF(ThresholdAge01,"&lt;"&amp;'19_Расчет_аналитики'!G3596,WeightedRevAge01)-SUMIF(ThresholdAge01,"&lt;"&amp;'19_Расчет_аналитики'!G3596,WeightedMinAge01),MAX(CapacityAge01*'01_Вводные'!$B$218*'19_Расчет_аналитики'!G3596,MeanMinAge01))),0)</f>
        <v/>
      </c>
      <c r="H3528">
        <f>IF('01_Вводные'!$B$234="Да",IF(OR(('19_Расчет_аналитики'!H3444-'19_Расчет_аналитики'!H3472)=0,1&lt;='01_Вводные'!$B$297),0,('19_Расчет_аналитики'!H3444-'19_Расчет_аналитики'!H3472)*IF('01_Вводные'!$B$239="Да",MeanMinAge01+'19_Расчет_аналитики'!H3596*SUMIF(ThresholdAge01,"&lt;"&amp;'19_Расчет_аналитики'!H3596,WeightedRevAge01)-SUMIF(ThresholdAge01,"&lt;"&amp;'19_Расчет_аналитики'!H3596,WeightedMinAge01),MAX(CapacityAge01*'01_Вводные'!$B$218*'19_Расчет_аналитики'!H3596,MeanMinAge01))),0)</f>
        <v/>
      </c>
      <c r="I3528">
        <f>IF('01_Вводные'!$B$234="Да",IF(OR(('19_Расчет_аналитики'!I3444-'19_Расчет_аналитики'!I3472)=0,1&lt;='01_Вводные'!$B$297),0,('19_Расчет_аналитики'!I3444-'19_Расчет_аналитики'!I3472)*IF('01_Вводные'!$B$239="Да",MeanMinAge01+'19_Расчет_аналитики'!I3596*SUMIF(ThresholdAge01,"&lt;"&amp;'19_Расчет_аналитики'!I3596,WeightedRevAge01)-SUMIF(ThresholdAge01,"&lt;"&amp;'19_Расчет_аналитики'!I3596,WeightedMinAge01),MAX(CapacityAge01*'01_Вводные'!$B$218*'19_Расчет_аналитики'!I3596,MeanMinAge01))),0)</f>
        <v/>
      </c>
      <c r="J3528">
        <f>IF('01_Вводные'!$B$234="Да",IF(OR(('19_Расчет_аналитики'!J3444-'19_Расчет_аналитики'!J3472)=0,1&lt;='01_Вводные'!$B$297),0,('19_Расчет_аналитики'!J3444-'19_Расчет_аналитики'!J3472)*IF('01_Вводные'!$B$239="Да",MeanMinAge01+'19_Расчет_аналитики'!J3596*SUMIF(ThresholdAge01,"&lt;"&amp;'19_Расчет_аналитики'!J3596,WeightedRevAge01)-SUMIF(ThresholdAge01,"&lt;"&amp;'19_Расчет_аналитики'!J3596,WeightedMinAge01),MAX(CapacityAge01*'01_Вводные'!$B$218*'19_Расчет_аналитики'!J3596,MeanMinAge01))),0)</f>
        <v/>
      </c>
      <c r="K3528">
        <f>IF('01_Вводные'!$B$234="Да",IF(OR(('19_Расчет_аналитики'!K3444-'19_Расчет_аналитики'!K3472)=0,1&lt;='01_Вводные'!$B$297),0,('19_Расчет_аналитики'!K3444-'19_Расчет_аналитики'!K3472)*IF('01_Вводные'!$B$239="Да",MeanMinAge01+'19_Расчет_аналитики'!K3596*SUMIF(ThresholdAge01,"&lt;"&amp;'19_Расчет_аналитики'!K3596,WeightedRevAge01)-SUMIF(ThresholdAge01,"&lt;"&amp;'19_Расчет_аналитики'!K3596,WeightedMinAge01),MAX(CapacityAge01*'01_Вводные'!$B$218*'19_Расчет_аналитики'!K3596,MeanMinAge01))),0)</f>
        <v/>
      </c>
      <c r="L3528">
        <f>IF('01_Вводные'!$B$234="Да",IF(OR(('19_Расчет_аналитики'!L3444-'19_Расчет_аналитики'!L3472)=0,1&lt;='01_Вводные'!$B$297),0,('19_Расчет_аналитики'!L3444-'19_Расчет_аналитики'!L3472)*IF('01_Вводные'!$B$239="Да",MeanMinAge01+'19_Расчет_аналитики'!L3596*SUMIF(ThresholdAge01,"&lt;"&amp;'19_Расчет_аналитики'!L3596,WeightedRevAge01)-SUMIF(ThresholdAge01,"&lt;"&amp;'19_Расчет_аналитики'!L3596,WeightedMinAge01),MAX(CapacityAge01*'01_Вводные'!$B$218*'19_Расчет_аналитики'!L3596,MeanMinAge01))),0)</f>
        <v/>
      </c>
      <c r="M3528">
        <f>IF('01_Вводные'!$B$234="Да",IF(OR(('19_Расчет_аналитики'!M3444-'19_Расчет_аналитики'!M3472)=0,1&lt;='01_Вводные'!$B$297),0,('19_Расчет_аналитики'!M3444-'19_Расчет_аналитики'!M3472)*IF('01_Вводные'!$B$239="Да",MeanMinAge01+'19_Расчет_аналитики'!M3596*SUMIF(ThresholdAge01,"&lt;"&amp;'19_Расчет_аналитики'!M3596,WeightedRevAge01)-SUMIF(ThresholdAge01,"&lt;"&amp;'19_Расчет_аналитики'!M3596,WeightedMinAge01),MAX(CapacityAge01*'01_Вводные'!$B$218*'19_Расчет_аналитики'!M3596,MeanMinAge01))),0)</f>
        <v/>
      </c>
      <c r="N3528">
        <f>IF('01_Вводные'!$B$234="Да",IF(OR(('19_Расчет_аналитики'!N3444-'19_Расчет_аналитики'!N3472)=0,1&lt;='01_Вводные'!$B$297),0,('19_Расчет_аналитики'!N3444-'19_Расчет_аналитики'!N3472)*IF('01_Вводные'!$B$239="Да",MeanMinAge01+'19_Расчет_аналитики'!N3596*SUMIF(ThresholdAge01,"&lt;"&amp;'19_Расчет_аналитики'!N3596,WeightedRevAge01)-SUMIF(ThresholdAge01,"&lt;"&amp;'19_Расчет_аналитики'!N3596,WeightedMinAge01),MAX(CapacityAge01*'01_Вводные'!$B$218*'19_Расчет_аналитики'!N3596,MeanMinAge01))),0)</f>
        <v/>
      </c>
      <c r="O3528">
        <f>IF('01_Вводные'!$B$234="Да",IF(OR(('19_Расчет_аналитики'!O3444-'19_Расчет_аналитики'!O3472)=0,1&lt;='01_Вводные'!$B$297),0,('19_Расчет_аналитики'!O3444-'19_Расчет_аналитики'!O3472)*IF('01_Вводные'!$B$239="Да",MeanMinAge01+'19_Расчет_аналитики'!O3596*SUMIF(ThresholdAge01,"&lt;"&amp;'19_Расчет_аналитики'!O3596,WeightedRevAge01)-SUMIF(ThresholdAge01,"&lt;"&amp;'19_Расчет_аналитики'!O3596,WeightedMinAge01),MAX(CapacityAge01*'01_Вводные'!$B$218*'19_Расчет_аналитики'!O3596,MeanMinAge01))),0)</f>
        <v/>
      </c>
      <c r="P3528">
        <f>IF('01_Вводные'!$B$234="Да",IF(OR(('19_Расчет_аналитики'!P3444-'19_Расчет_аналитики'!P3472)=0,1&lt;='01_Вводные'!$B$297),0,('19_Расчет_аналитики'!P3444-'19_Расчет_аналитики'!P3472)*IF('01_Вводные'!$B$239="Да",MeanMinAge01+'19_Расчет_аналитики'!P3596*SUMIF(ThresholdAge01,"&lt;"&amp;'19_Расчет_аналитики'!P3596,WeightedRevAge01)-SUMIF(ThresholdAge01,"&lt;"&amp;'19_Расчет_аналитики'!P3596,WeightedMinAge01),MAX(CapacityAge01*'01_Вводные'!$B$218*'19_Расчет_аналитики'!P3596,MeanMinAge01))),0)</f>
        <v/>
      </c>
      <c r="Q3528">
        <f>IF('01_Вводные'!$B$234="Да",IF(OR(('19_Расчет_аналитики'!Q3444-'19_Расчет_аналитики'!Q3472)=0,1&lt;='01_Вводные'!$B$297),0,('19_Расчет_аналитики'!Q3444-'19_Расчет_аналитики'!Q3472)*IF('01_Вводные'!$B$239="Да",MeanMinAge01+'19_Расчет_аналитики'!Q3596*SUMIF(ThresholdAge01,"&lt;"&amp;'19_Расчет_аналитики'!Q3596,WeightedRevAge01)-SUMIF(ThresholdAge01,"&lt;"&amp;'19_Расчет_аналитики'!Q3596,WeightedMinAge01),MAX(CapacityAge01*'01_Вводные'!$B$218*'19_Расчет_аналитики'!Q3596,MeanMinAge01))),0)</f>
        <v/>
      </c>
      <c r="R3528">
        <f>IF('01_Вводные'!$B$234="Да",IF(OR(('19_Расчет_аналитики'!R3444-'19_Расчет_аналитики'!R3472)=0,1&lt;='01_Вводные'!$B$297),0,('19_Расчет_аналитики'!R3444-'19_Расчет_аналитики'!R3472)*IF('01_Вводные'!$B$239="Да",MeanMinAge01+'19_Расчет_аналитики'!R3596*SUMIF(ThresholdAge01,"&lt;"&amp;'19_Расчет_аналитики'!R3596,WeightedRevAge01)-SUMIF(ThresholdAge01,"&lt;"&amp;'19_Расчет_аналитики'!R3596,WeightedMinAge01),MAX(CapacityAge01*'01_Вводные'!$B$218*'19_Расчет_аналитики'!R3596,MeanMinAge01))),0)</f>
        <v/>
      </c>
      <c r="S3528">
        <f>IF('01_Вводные'!$B$234="Да",IF(OR(('19_Расчет_аналитики'!S3444-'19_Расчет_аналитики'!S3472)=0,1&lt;='01_Вводные'!$B$297),0,('19_Расчет_аналитики'!S3444-'19_Расчет_аналитики'!S3472)*IF('01_Вводные'!$B$239="Да",MeanMinAge01+'19_Расчет_аналитики'!S3596*SUMIF(ThresholdAge01,"&lt;"&amp;'19_Расчет_аналитики'!S3596,WeightedRevAge01)-SUMIF(ThresholdAge01,"&lt;"&amp;'19_Расчет_аналитики'!S3596,WeightedMinAge01),MAX(CapacityAge01*'01_Вводные'!$B$218*'19_Расчет_аналитики'!S3596,MeanMinAge01))),0)</f>
        <v/>
      </c>
      <c r="T3528">
        <f>IF('01_Вводные'!$B$234="Да",IF(OR(('19_Расчет_аналитики'!T3444-'19_Расчет_аналитики'!T3472)=0,1&lt;='01_Вводные'!$B$297),0,('19_Расчет_аналитики'!T3444-'19_Расчет_аналитики'!T3472)*IF('01_Вводные'!$B$239="Да",MeanMinAge01+'19_Расчет_аналитики'!T3596*SUMIF(ThresholdAge01,"&lt;"&amp;'19_Расчет_аналитики'!T3596,WeightedRevAge01)-SUMIF(ThresholdAge01,"&lt;"&amp;'19_Расчет_аналитики'!T3596,WeightedMinAge01),MAX(CapacityAge01*'01_Вводные'!$B$218*'19_Расчет_аналитики'!T3596,MeanMinAge01))),0)</f>
        <v/>
      </c>
      <c r="U3528">
        <f>IF('01_Вводные'!$B$234="Да",IF(OR(('19_Расчет_аналитики'!U3444-'19_Расчет_аналитики'!U3472)=0,1&lt;='01_Вводные'!$B$297),0,('19_Расчет_аналитики'!U3444-'19_Расчет_аналитики'!U3472)*IF('01_Вводные'!$B$239="Да",MeanMinAge01+'19_Расчет_аналитики'!U3596*SUMIF(ThresholdAge01,"&lt;"&amp;'19_Расчет_аналитики'!U3596,WeightedRevAge01)-SUMIF(ThresholdAge01,"&lt;"&amp;'19_Расчет_аналитики'!U3596,WeightedMinAge01),MAX(CapacityAge01*'01_Вводные'!$B$218*'19_Расчет_аналитики'!U3596,MeanMinAge01))),0)</f>
        <v/>
      </c>
      <c r="V3528">
        <f>IF('01_Вводные'!$B$234="Да",IF(OR(('19_Расчет_аналитики'!V3444-'19_Расчет_аналитики'!V3472)=0,1&lt;='01_Вводные'!$B$297),0,('19_Расчет_аналитики'!V3444-'19_Расчет_аналитики'!V3472)*IF('01_Вводные'!$B$239="Да",MeanMinAge01+'19_Расчет_аналитики'!V3596*SUMIF(ThresholdAge01,"&lt;"&amp;'19_Расчет_аналитики'!V3596,WeightedRevAge01)-SUMIF(ThresholdAge01,"&lt;"&amp;'19_Расчет_аналитики'!V3596,WeightedMinAge01),MAX(CapacityAge01*'01_Вводные'!$B$218*'19_Расчет_аналитики'!V3596,MeanMinAge01))),0)</f>
        <v/>
      </c>
      <c r="W3528">
        <f>IF('01_Вводные'!$B$234="Да",IF(OR(('19_Расчет_аналитики'!W3444-'19_Расчет_аналитики'!W3472)=0,1&lt;='01_Вводные'!$B$297),0,('19_Расчет_аналитики'!W3444-'19_Расчет_аналитики'!W3472)*IF('01_Вводные'!$B$239="Да",MeanMinAge01+'19_Расчет_аналитики'!W3596*SUMIF(ThresholdAge01,"&lt;"&amp;'19_Расчет_аналитики'!W3596,WeightedRevAge01)-SUMIF(ThresholdAge01,"&lt;"&amp;'19_Расчет_аналитики'!W3596,WeightedMinAge01),MAX(CapacityAge01*'01_Вводные'!$B$218*'19_Расчет_аналитики'!W3596,MeanMinAge01))),0)</f>
        <v/>
      </c>
      <c r="X3528">
        <f>IF('01_Вводные'!$B$234="Да",IF(OR(('19_Расчет_аналитики'!X3444-'19_Расчет_аналитики'!X3472)=0,1&lt;='01_Вводные'!$B$297),0,('19_Расчет_аналитики'!X3444-'19_Расчет_аналитики'!X3472)*IF('01_Вводные'!$B$239="Да",MeanMinAge01+'19_Расчет_аналитики'!X3596*SUMIF(ThresholdAge01,"&lt;"&amp;'19_Расчет_аналитики'!X3596,WeightedRevAge01)-SUMIF(ThresholdAge01,"&lt;"&amp;'19_Расчет_аналитики'!X3596,WeightedMinAge01),MAX(CapacityAge01*'01_Вводные'!$B$218*'19_Расчет_аналитики'!X3596,MeanMinAge01))),0)</f>
        <v/>
      </c>
      <c r="Y3528">
        <f>IF('01_Вводные'!$B$234="Да",IF(OR(('19_Расчет_аналитики'!Y3444-'19_Расчет_аналитики'!Y3472)=0,1&lt;='01_Вводные'!$B$297),0,('19_Расчет_аналитики'!Y3444-'19_Расчет_аналитики'!Y3472)*IF('01_Вводные'!$B$239="Да",MeanMinAge01+'19_Расчет_аналитики'!Y3596*SUMIF(ThresholdAge01,"&lt;"&amp;'19_Расчет_аналитики'!Y3596,WeightedRevAge01)-SUMIF(ThresholdAge01,"&lt;"&amp;'19_Расчет_аналитики'!Y3596,WeightedMinAge01),MAX(CapacityAge01*'01_Вводные'!$B$218*'19_Расчет_аналитики'!Y3596,MeanMinAge01))),0)</f>
        <v/>
      </c>
      <c r="Z3528">
        <f>IF('01_Вводные'!$B$234="Да",IF(OR(('19_Расчет_аналитики'!Z3444-'19_Расчет_аналитики'!Z3472)=0,1&lt;='01_Вводные'!$B$297),0,('19_Расчет_аналитики'!Z3444-'19_Расчет_аналитики'!Z3472)*IF('01_Вводные'!$B$239="Да",MeanMinAge01+'19_Расчет_аналитики'!Z3596*SUMIF(ThresholdAge01,"&lt;"&amp;'19_Расчет_аналитики'!Z3596,WeightedRevAge01)-SUMIF(ThresholdAge01,"&lt;"&amp;'19_Расчет_аналитики'!Z3596,WeightedMinAge01),MAX(CapacityAge01*'01_Вводные'!$B$218*'19_Расчет_аналитики'!Z3596,MeanMinAge01))),0)</f>
        <v/>
      </c>
      <c r="AA3528">
        <f>IF('01_Вводные'!$B$234="Да",IF(OR(('19_Расчет_аналитики'!AA3444-'19_Расчет_аналитики'!AA3472)=0,1&lt;='01_Вводные'!$B$297),0,('19_Расчет_аналитики'!AA3444-'19_Расчет_аналитики'!AA3472)*IF('01_Вводные'!$B$239="Да",MeanMinAge01+'19_Расчет_аналитики'!AA3596*SUMIF(ThresholdAge01,"&lt;"&amp;'19_Расчет_аналитики'!AA3596,WeightedRevAge01)-SUMIF(ThresholdAge01,"&lt;"&amp;'19_Расчет_аналитики'!AA3596,WeightedMinAge01),MAX(CapacityAge01*'01_Вводные'!$B$218*'19_Расчет_аналитики'!AA3596,MeanMinAge01))),0)</f>
        <v/>
      </c>
      <c r="AB3528">
        <f>IF('01_Вводные'!$B$234="Да",IF(OR(('19_Расчет_аналитики'!AB3444-'19_Расчет_аналитики'!AB3472)=0,1&lt;='01_Вводные'!$B$297),0,('19_Расчет_аналитики'!AB3444-'19_Расчет_аналитики'!AB3472)*IF('01_Вводные'!$B$239="Да",MeanMinAge01+'19_Расчет_аналитики'!AB3596*SUMIF(ThresholdAge01,"&lt;"&amp;'19_Расчет_аналитики'!AB3596,WeightedRevAge01)-SUMIF(ThresholdAge01,"&lt;"&amp;'19_Расчет_аналитики'!AB3596,WeightedMinAge01),MAX(CapacityAge01*'01_Вводные'!$B$218*'19_Расчет_аналитики'!AB3596,MeanMinAge01))),0)</f>
        <v/>
      </c>
      <c r="AC3528">
        <f>IF('01_Вводные'!$B$234="Да",IF(OR(('19_Расчет_аналитики'!AC3444-'19_Расчет_аналитики'!AC3472)=0,1&lt;='01_Вводные'!$B$297),0,('19_Расчет_аналитики'!AC3444-'19_Расчет_аналитики'!AC3472)*IF('01_Вводные'!$B$239="Да",MeanMinAge01+'19_Расчет_аналитики'!AC3596*SUMIF(ThresholdAge01,"&lt;"&amp;'19_Расчет_аналитики'!AC3596,WeightedRevAge01)-SUMIF(ThresholdAge01,"&lt;"&amp;'19_Расчет_аналитики'!AC3596,WeightedMinAge01),MAX(CapacityAge01*'01_Вводные'!$B$218*'19_Расчет_аналитики'!AC3596,MeanMinAge01))),0)</f>
        <v/>
      </c>
      <c r="AD3528">
        <f>IF('01_Вводные'!$B$234="Да",IF(OR(('19_Расчет_аналитики'!AD3444-'19_Расчет_аналитики'!AD3472)=0,1&lt;='01_Вводные'!$B$297),0,('19_Расчет_аналитики'!AD3444-'19_Расчет_аналитики'!AD3472)*IF('01_Вводные'!$B$239="Да",MeanMinAge01+'19_Расчет_аналитики'!AD3596*SUMIF(ThresholdAge01,"&lt;"&amp;'19_Расчет_аналитики'!AD3596,WeightedRevAge01)-SUMIF(ThresholdAge01,"&lt;"&amp;'19_Расчет_аналитики'!AD3596,WeightedMinAge01),MAX(CapacityAge01*'01_Вводные'!$B$218*'19_Расчет_аналитики'!AD3596,MeanMinAge01))),0)</f>
        <v/>
      </c>
      <c r="AE3528">
        <f>IF('01_Вводные'!$B$234="Да",IF(OR(('19_Расчет_аналитики'!AE3444-'19_Расчет_аналитики'!AE3472)=0,1&lt;='01_Вводные'!$B$297),0,('19_Расчет_аналитики'!AE3444-'19_Расчет_аналитики'!AE3472)*IF('01_Вводные'!$B$239="Да",MeanMinAge01+'19_Расчет_аналитики'!AE3596*SUMIF(ThresholdAge01,"&lt;"&amp;'19_Расчет_аналитики'!AE3596,WeightedRevAge01)-SUMIF(ThresholdAge01,"&lt;"&amp;'19_Расчет_аналитики'!AE3596,WeightedMinAge01),MAX(CapacityAge01*'01_Вводные'!$B$218*'19_Расчет_аналитики'!AE3596,MeanMinAge01))),0)</f>
        <v/>
      </c>
      <c r="AF3528">
        <f>IF('01_Вводные'!$B$234="Да",IF(OR(('19_Расчет_аналитики'!AF3444-'19_Расчет_аналитики'!AF3472)=0,1&lt;='01_Вводные'!$B$297),0,('19_Расчет_аналитики'!AF3444-'19_Расчет_аналитики'!AF3472)*IF('01_Вводные'!$B$239="Да",MeanMinAge01+'19_Расчет_аналитики'!AF3596*SUMIF(ThresholdAge01,"&lt;"&amp;'19_Расчет_аналитики'!AF3596,WeightedRevAge01)-SUMIF(ThresholdAge01,"&lt;"&amp;'19_Расчет_аналитики'!AF3596,WeightedMinAge01),MAX(CapacityAge01*'01_Вводные'!$B$218*'19_Расчет_аналитики'!AF3596,MeanMinAge01))),0)</f>
        <v/>
      </c>
      <c r="AG3528">
        <f>IF('01_Вводные'!$B$234="Да",IF(OR(('19_Расчет_аналитики'!AG3444-'19_Расчет_аналитики'!AG3472)=0,1&lt;='01_Вводные'!$B$297),0,('19_Расчет_аналитики'!AG3444-'19_Расчет_аналитики'!AG3472)*IF('01_Вводные'!$B$239="Да",MeanMinAge01+'19_Расчет_аналитики'!AG3596*SUMIF(ThresholdAge01,"&lt;"&amp;'19_Расчет_аналитики'!AG3596,WeightedRevAge01)-SUMIF(ThresholdAge01,"&lt;"&amp;'19_Расчет_аналитики'!AG3596,WeightedMinAge01),MAX(CapacityAge01*'01_Вводные'!$B$218*'19_Расчет_аналитики'!AG3596,MeanMinAge01))),0)</f>
        <v/>
      </c>
      <c r="AH3528">
        <f>IF('01_Вводные'!$B$234="Да",IF(OR(('19_Расчет_аналитики'!AH3444-'19_Расчет_аналитики'!AH3472)=0,1&lt;='01_Вводные'!$B$297),0,('19_Расчет_аналитики'!AH3444-'19_Расчет_аналитики'!AH3472)*IF('01_Вводные'!$B$239="Да",MeanMinAge01+'19_Расчет_аналитики'!AH3596*SUMIF(ThresholdAge01,"&lt;"&amp;'19_Расчет_аналитики'!AH3596,WeightedRevAge01)-SUMIF(ThresholdAge01,"&lt;"&amp;'19_Расчет_аналитики'!AH3596,WeightedMinAge01),MAX(CapacityAge01*'01_Вводные'!$B$218*'19_Расчет_аналитики'!AH3596,MeanMinAge01))),0)</f>
        <v/>
      </c>
      <c r="AI3528">
        <f>IF('01_Вводные'!$B$234="Да",IF(OR(('19_Расчет_аналитики'!AI3444-'19_Расчет_аналитики'!AI3472)=0,1&lt;='01_Вводные'!$B$297),0,('19_Расчет_аналитики'!AI3444-'19_Расчет_аналитики'!AI3472)*IF('01_Вводные'!$B$239="Да",MeanMinAge01+'19_Расчет_аналитики'!AI3596*SUMIF(ThresholdAge01,"&lt;"&amp;'19_Расчет_аналитики'!AI3596,WeightedRevAge01)-SUMIF(ThresholdAge01,"&lt;"&amp;'19_Расчет_аналитики'!AI3596,WeightedMinAge01),MAX(CapacityAge01*'01_Вводные'!$B$218*'19_Расчет_аналитики'!AI3596,MeanMinAge01))),0)</f>
        <v/>
      </c>
      <c r="AJ3528">
        <f>IF('01_Вводные'!$B$234="Да",IF(OR(('19_Расчет_аналитики'!AJ3444-'19_Расчет_аналитики'!AJ3472)=0,1&lt;='01_Вводные'!$B$297),0,('19_Расчет_аналитики'!AJ3444-'19_Расчет_аналитики'!AJ3472)*IF('01_Вводные'!$B$239="Да",MeanMinAge01+'19_Расчет_аналитики'!AJ3596*SUMIF(ThresholdAge01,"&lt;"&amp;'19_Расчет_аналитики'!AJ3596,WeightedRevAge01)-SUMIF(ThresholdAge01,"&lt;"&amp;'19_Расчет_аналитики'!AJ3596,WeightedMinAge01),MAX(CapacityAge01*'01_Вводные'!$B$218*'19_Расчет_аналитики'!AJ3596,MeanMinAge01))),0)</f>
        <v/>
      </c>
      <c r="AK3528">
        <f>IF('01_Вводные'!$B$234="Да",IF(OR(('19_Расчет_аналитики'!AK3444-'19_Расчет_аналитики'!AK3472)=0,1&lt;='01_Вводные'!$B$297),0,('19_Расчет_аналитики'!AK3444-'19_Расчет_аналитики'!AK3472)*IF('01_Вводные'!$B$239="Да",MeanMinAge01+'19_Расчет_аналитики'!AK3596*SUMIF(ThresholdAge01,"&lt;"&amp;'19_Расчет_аналитики'!AK3596,WeightedRevAge01)-SUMIF(ThresholdAge01,"&lt;"&amp;'19_Расчет_аналитики'!AK3596,WeightedMinAge01),MAX(CapacityAge01*'01_Вводные'!$B$218*'19_Расчет_аналитики'!AK3596,MeanMinAge01))),0)</f>
        <v/>
      </c>
      <c r="AL3528">
        <f>IF('01_Вводные'!$B$234="Да",IF(OR(('19_Расчет_аналитики'!AL3444-'19_Расчет_аналитики'!AL3472)=0,1&lt;='01_Вводные'!$B$297),0,('19_Расчет_аналитики'!AL3444-'19_Расчет_аналитики'!AL3472)*IF('01_Вводные'!$B$239="Да",MeanMinAge01+'19_Расчет_аналитики'!AL3596*SUMIF(ThresholdAge01,"&lt;"&amp;'19_Расчет_аналитики'!AL3596,WeightedRevAge01)-SUMIF(ThresholdAge01,"&lt;"&amp;'19_Расчет_аналитики'!AL3596,WeightedMinAge01),MAX(CapacityAge01*'01_Вводные'!$B$218*'19_Расчет_аналитики'!AL3596,MeanMinAge01))),0)</f>
        <v/>
      </c>
      <c r="AM3528">
        <f>IF('01_Вводные'!$B$234="Да",IF(OR(('19_Расчет_аналитики'!AM3444-'19_Расчет_аналитики'!AM3472)=0,1&lt;='01_Вводные'!$B$297),0,('19_Расчет_аналитики'!AM3444-'19_Расчет_аналитики'!AM3472)*IF('01_Вводные'!$B$239="Да",MeanMinAge01+'19_Расчет_аналитики'!AM3596*SUMIF(ThresholdAge01,"&lt;"&amp;'19_Расчет_аналитики'!AM3596,WeightedRevAge01)-SUMIF(ThresholdAge01,"&lt;"&amp;'19_Расчет_аналитики'!AM3596,WeightedMinAge01),MAX(CapacityAge01*'01_Вводные'!$B$218*'19_Расчет_аналитики'!AM3596,MeanMinAge01))),0)</f>
        <v/>
      </c>
      <c r="AN3528">
        <f>IF('01_Вводные'!$B$234="Да",IF(OR(('19_Расчет_аналитики'!AN3444-'19_Расчет_аналитики'!AN3472)=0,1&lt;='01_Вводные'!$B$297),0,('19_Расчет_аналитики'!AN3444-'19_Расчет_аналитики'!AN3472)*IF('01_Вводные'!$B$239="Да",MeanMinAge01+'19_Расчет_аналитики'!AN3596*SUMIF(ThresholdAge01,"&lt;"&amp;'19_Расчет_аналитики'!AN3596,WeightedRevAge01)-SUMIF(ThresholdAge01,"&lt;"&amp;'19_Расчет_аналитики'!AN3596,WeightedMinAge01),MAX(CapacityAge01*'01_Вводные'!$B$218*'19_Расчет_аналитики'!AN3596,MeanMinAge01))),0)</f>
        <v/>
      </c>
      <c r="AO3528">
        <f>IF('01_Вводные'!$B$234="Да",IF(OR(('19_Расчет_аналитики'!AO3444-'19_Расчет_аналитики'!AO3472)=0,1&lt;='01_Вводные'!$B$297),0,('19_Расчет_аналитики'!AO3444-'19_Расчет_аналитики'!AO3472)*IF('01_Вводные'!$B$239="Да",MeanMinAge01+'19_Расчет_аналитики'!AO3596*SUMIF(ThresholdAge01,"&lt;"&amp;'19_Расчет_аналитики'!AO3596,WeightedRevAge01)-SUMIF(ThresholdAge01,"&lt;"&amp;'19_Расчет_аналитики'!AO3596,WeightedMinAge01),MAX(CapacityAge01*'01_Вводные'!$B$218*'19_Расчет_аналитики'!AO3596,MeanMinAge01))),0)</f>
        <v/>
      </c>
      <c r="AP3528">
        <f>IF('01_Вводные'!$B$234="Да",IF(OR(('19_Расчет_аналитики'!AP3444-'19_Расчет_аналитики'!AP3472)=0,1&lt;='01_Вводные'!$B$297),0,('19_Расчет_аналитики'!AP3444-'19_Расчет_аналитики'!AP3472)*IF('01_Вводные'!$B$239="Да",MeanMinAge01+'19_Расчет_аналитики'!AP3596*SUMIF(ThresholdAge01,"&lt;"&amp;'19_Расчет_аналитики'!AP3596,WeightedRevAge01)-SUMIF(ThresholdAge01,"&lt;"&amp;'19_Расчет_аналитики'!AP3596,WeightedMinAge01),MAX(CapacityAge01*'01_Вводные'!$B$218*'19_Расчет_аналитики'!AP3596,MeanMinAge01))),0)</f>
        <v/>
      </c>
      <c r="AQ3528">
        <f>IF('01_Вводные'!$B$234="Да",IF(OR(('19_Расчет_аналитики'!AQ3444-'19_Расчет_аналитики'!AQ3472)=0,1&lt;='01_Вводные'!$B$297),0,('19_Расчет_аналитики'!AQ3444-'19_Расчет_аналитики'!AQ3472)*IF('01_Вводные'!$B$239="Да",MeanMinAge01+'19_Расчет_аналитики'!AQ3596*SUMIF(ThresholdAge01,"&lt;"&amp;'19_Расчет_аналитики'!AQ3596,WeightedRevAge01)-SUMIF(ThresholdAge01,"&lt;"&amp;'19_Расчет_аналитики'!AQ3596,WeightedMinAge01),MAX(CapacityAge01*'01_Вводные'!$B$218*'19_Расчет_аналитики'!AQ3596,MeanMinAge01))),0)</f>
        <v/>
      </c>
      <c r="AR3528">
        <f>IF('01_Вводные'!$B$234="Да",IF(OR(('19_Расчет_аналитики'!AR3444-'19_Расчет_аналитики'!AR3472)=0,1&lt;='01_Вводные'!$B$297),0,('19_Расчет_аналитики'!AR3444-'19_Расчет_аналитики'!AR3472)*IF('01_Вводные'!$B$239="Да",MeanMinAge01+'19_Расчет_аналитики'!AR3596*SUMIF(ThresholdAge01,"&lt;"&amp;'19_Расчет_аналитики'!AR3596,WeightedRevAge01)-SUMIF(ThresholdAge01,"&lt;"&amp;'19_Расчет_аналитики'!AR3596,WeightedMinAge01),MAX(CapacityAge01*'01_Вводные'!$B$218*'19_Расчет_аналитики'!AR3596,MeanMinAge01))),0)</f>
        <v/>
      </c>
      <c r="AS3528">
        <f>IF('01_Вводные'!$B$234="Да",IF(OR(('19_Расчет_аналитики'!AS3444-'19_Расчет_аналитики'!AS3472)=0,1&lt;='01_Вводные'!$B$297),0,('19_Расчет_аналитики'!AS3444-'19_Расчет_аналитики'!AS3472)*IF('01_Вводные'!$B$239="Да",MeanMinAge01+'19_Расчет_аналитики'!AS3596*SUMIF(ThresholdAge01,"&lt;"&amp;'19_Расчет_аналитики'!AS3596,WeightedRevAge01)-SUMIF(ThresholdAge01,"&lt;"&amp;'19_Расчет_аналитики'!AS3596,WeightedMinAge01),MAX(CapacityAge01*'01_Вводные'!$B$218*'19_Расчет_аналитики'!AS3596,MeanMinAge01))),0)</f>
        <v/>
      </c>
      <c r="AT3528">
        <f>IF('01_Вводные'!$B$234="Да",IF(OR(('19_Расчет_аналитики'!AT3444-'19_Расчет_аналитики'!AT3472)=0,1&lt;='01_Вводные'!$B$297),0,('19_Расчет_аналитики'!AT3444-'19_Расчет_аналитики'!AT3472)*IF('01_Вводные'!$B$239="Да",MeanMinAge01+'19_Расчет_аналитики'!AT3596*SUMIF(ThresholdAge01,"&lt;"&amp;'19_Расчет_аналитики'!AT3596,WeightedRevAge01)-SUMIF(ThresholdAge01,"&lt;"&amp;'19_Расчет_аналитики'!AT3596,WeightedMinAge01),MAX(CapacityAge01*'01_Вводные'!$B$218*'19_Расчет_аналитики'!AT3596,MeanMinAge01))),0)</f>
        <v/>
      </c>
      <c r="AU3528">
        <f>IF('01_Вводные'!$B$234="Да",IF(OR(('19_Расчет_аналитики'!AU3444-'19_Расчет_аналитики'!AU3472)=0,1&lt;='01_Вводные'!$B$297),0,('19_Расчет_аналитики'!AU3444-'19_Расчет_аналитики'!AU3472)*IF('01_Вводные'!$B$239="Да",MeanMinAge01+'19_Расчет_аналитики'!AU3596*SUMIF(ThresholdAge01,"&lt;"&amp;'19_Расчет_аналитики'!AU3596,WeightedRevAge01)-SUMIF(ThresholdAge01,"&lt;"&amp;'19_Расчет_аналитики'!AU3596,WeightedMinAge01),MAX(CapacityAge01*'01_Вводные'!$B$218*'19_Расчет_аналитики'!AU3596,MeanMinAge01))),0)</f>
        <v/>
      </c>
      <c r="AV3528">
        <f>IF('01_Вводные'!$B$234="Да",IF(OR(('19_Расчет_аналитики'!AV3444-'19_Расчет_аналитики'!AV3472)=0,1&lt;='01_Вводные'!$B$297),0,('19_Расчет_аналитики'!AV3444-'19_Расчет_аналитики'!AV3472)*IF('01_Вводные'!$B$239="Да",MeanMinAge01+'19_Расчет_аналитики'!AV3596*SUMIF(ThresholdAge01,"&lt;"&amp;'19_Расчет_аналитики'!AV3596,WeightedRevAge01)-SUMIF(ThresholdAge01,"&lt;"&amp;'19_Расчет_аналитики'!AV3596,WeightedMinAge01),MAX(CapacityAge01*'01_Вводные'!$B$218*'19_Расчет_аналитики'!AV3596,MeanMinAge01))),0)</f>
        <v/>
      </c>
      <c r="AW3528">
        <f>IF('01_Вводные'!$B$234="Да",IF(OR(('19_Расчет_аналитики'!AW3444-'19_Расчет_аналитики'!AW3472)=0,1&lt;='01_Вводные'!$B$297),0,('19_Расчет_аналитики'!AW3444-'19_Расчет_аналитики'!AW3472)*IF('01_Вводные'!$B$239="Да",MeanMinAge01+'19_Расчет_аналитики'!AW3596*SUMIF(ThresholdAge01,"&lt;"&amp;'19_Расчет_аналитики'!AW3596,WeightedRevAge01)-SUMIF(ThresholdAge01,"&lt;"&amp;'19_Расчет_аналитики'!AW3596,WeightedMinAge01),MAX(CapacityAge01*'01_Вводные'!$B$218*'19_Расчет_аналитики'!AW3596,MeanMinAge01))),0)</f>
        <v/>
      </c>
      <c r="AX3528">
        <f>IF('01_Вводные'!$B$234="Да",IF(OR(('19_Расчет_аналитики'!AX3444-'19_Расчет_аналитики'!AX3472)=0,1&lt;='01_Вводные'!$B$297),0,('19_Расчет_аналитики'!AX3444-'19_Расчет_аналитики'!AX3472)*IF('01_Вводные'!$B$239="Да",MeanMinAge01+'19_Расчет_аналитики'!AX3596*SUMIF(ThresholdAge01,"&lt;"&amp;'19_Расчет_аналитики'!AX3596,WeightedRevAge01)-SUMIF(ThresholdAge01,"&lt;"&amp;'19_Расчет_аналитики'!AX3596,WeightedMinAge01),MAX(CapacityAge01*'01_Вводные'!$B$218*'19_Расчет_аналитики'!AX3596,MeanMinAge01))),0)</f>
        <v/>
      </c>
      <c r="AY3528">
        <f>IF('01_Вводные'!$B$234="Да",IF(OR(('19_Расчет_аналитики'!AY3444-'19_Расчет_аналитики'!AY3472)=0,1&lt;='01_Вводные'!$B$297),0,('19_Расчет_аналитики'!AY3444-'19_Расчет_аналитики'!AY3472)*IF('01_Вводные'!$B$239="Да",MeanMinAge01+'19_Расчет_аналитики'!AY3596*SUMIF(ThresholdAge01,"&lt;"&amp;'19_Расчет_аналитики'!AY3596,WeightedRevAge01)-SUMIF(ThresholdAge01,"&lt;"&amp;'19_Расчет_аналитики'!AY3596,WeightedMinAge01),MAX(CapacityAge01*'01_Вводные'!$B$218*'19_Расчет_аналитики'!AY3596,MeanMinAge01))),0)</f>
        <v/>
      </c>
      <c r="AZ3528">
        <f>IF('01_Вводные'!$B$234="Да",IF(OR(('19_Расчет_аналитики'!AZ3444-'19_Расчет_аналитики'!AZ3472)=0,1&lt;='01_Вводные'!$B$297),0,('19_Расчет_аналитики'!AZ3444-'19_Расчет_аналитики'!AZ3472)*IF('01_Вводные'!$B$239="Да",MeanMinAge01+'19_Расчет_аналитики'!AZ3596*SUMIF(ThresholdAge01,"&lt;"&amp;'19_Расчет_аналитики'!AZ3596,WeightedRevAge01)-SUMIF(ThresholdAge01,"&lt;"&amp;'19_Расчет_аналитики'!AZ3596,WeightedMinAge01),MAX(CapacityAge01*'01_Вводные'!$B$218*'19_Расчет_аналитики'!AZ3596,MeanMinAge01))),0)</f>
        <v/>
      </c>
      <c r="BA3528">
        <f>IF('01_Вводные'!$B$234="Да",IF(OR(('19_Расчет_аналитики'!BA3444-'19_Расчет_аналитики'!BA3472)=0,1&lt;='01_Вводные'!$B$297),0,('19_Расчет_аналитики'!BA3444-'19_Расчет_аналитики'!BA3472)*IF('01_Вводные'!$B$239="Да",MeanMinAge01+'19_Расчет_аналитики'!BA3596*SUMIF(ThresholdAge01,"&lt;"&amp;'19_Расчет_аналитики'!BA3596,WeightedRevAge01)-SUMIF(ThresholdAge01,"&lt;"&amp;'19_Расчет_аналитики'!BA3596,WeightedMinAge01),MAX(CapacityAge01*'01_Вводные'!$B$218*'19_Расчет_аналитики'!BA3596,MeanMinAge01))),0)</f>
        <v/>
      </c>
      <c r="BB3528">
        <f>IF('01_Вводные'!$B$234="Да",IF(OR(('19_Расчет_аналитики'!BB3444-'19_Расчет_аналитики'!BB3472)=0,1&lt;='01_Вводные'!$B$297),0,('19_Расчет_аналитики'!BB3444-'19_Расчет_аналитики'!BB3472)*IF('01_Вводные'!$B$239="Да",MeanMinAge01+'19_Расчет_аналитики'!BB3596*SUMIF(ThresholdAge01,"&lt;"&amp;'19_Расчет_аналитики'!BB3596,WeightedRevAge01)-SUMIF(ThresholdAge01,"&lt;"&amp;'19_Расчет_аналитики'!BB3596,WeightedMinAge01),MAX(CapacityAge01*'01_Вводные'!$B$218*'19_Расчет_аналитики'!BB3596,MeanMinAge01))),0)</f>
        <v/>
      </c>
      <c r="BC3528">
        <f>IF('01_Вводные'!$B$234="Да",IF(OR(('19_Расчет_аналитики'!BC3444-'19_Расчет_аналитики'!BC3472)=0,1&lt;='01_Вводные'!$B$297),0,('19_Расчет_аналитики'!BC3444-'19_Расчет_аналитики'!BC3472)*IF('01_Вводные'!$B$239="Да",MeanMinAge01+'19_Расчет_аналитики'!BC3596*SUMIF(ThresholdAge01,"&lt;"&amp;'19_Расчет_аналитики'!BC3596,WeightedRevAge01)-SUMIF(ThresholdAge01,"&lt;"&amp;'19_Расчет_аналитики'!BC3596,WeightedMinAge01),MAX(CapacityAge01*'01_Вводные'!$B$218*'19_Расчет_аналитики'!BC3596,MeanMinAge01))),0)</f>
        <v/>
      </c>
      <c r="BD3528">
        <f>IF('01_Вводные'!$B$234="Да",IF(OR(('19_Расчет_аналитики'!BD3444-'19_Расчет_аналитики'!BD3472)=0,1&lt;='01_Вводные'!$B$297),0,('19_Расчет_аналитики'!BD3444-'19_Расчет_аналитики'!BD3472)*IF('01_Вводные'!$B$239="Да",MeanMinAge01+'19_Расчет_аналитики'!BD3596*SUMIF(ThresholdAge01,"&lt;"&amp;'19_Расчет_аналитики'!BD3596,WeightedRevAge01)-SUMIF(ThresholdAge01,"&lt;"&amp;'19_Расчет_аналитики'!BD3596,WeightedMinAge01),MAX(CapacityAge01*'01_Вводные'!$B$218*'19_Расчет_аналитики'!BD3596,MeanMinAge01))),0)</f>
        <v/>
      </c>
      <c r="BE3528">
        <f>IF('01_Вводные'!$B$234="Да",IF(OR(('19_Расчет_аналитики'!BE3444-'19_Расчет_аналитики'!BE3472)=0,1&lt;='01_Вводные'!$B$297),0,('19_Расчет_аналитики'!BE3444-'19_Расчет_аналитики'!BE3472)*IF('01_Вводные'!$B$239="Да",MeanMinAge01+'19_Расчет_аналитики'!BE3596*SUMIF(ThresholdAge01,"&lt;"&amp;'19_Расчет_аналитики'!BE3596,WeightedRevAge01)-SUMIF(ThresholdAge01,"&lt;"&amp;'19_Расчет_аналитики'!BE3596,WeightedMinAge01),MAX(CapacityAge01*'01_Вводные'!$B$218*'19_Расчет_аналитики'!BE3596,MeanMinAge01))),0)</f>
        <v/>
      </c>
      <c r="BF3528">
        <f>IF('01_Вводные'!$B$234="Да",IF(OR(('19_Расчет_аналитики'!BF3444-'19_Расчет_аналитики'!BF3472)=0,1&lt;='01_Вводные'!$B$297),0,('19_Расчет_аналитики'!BF3444-'19_Расчет_аналитики'!BF3472)*IF('01_Вводные'!$B$239="Да",MeanMinAge01+'19_Расчет_аналитики'!BF3596*SUMIF(ThresholdAge01,"&lt;"&amp;'19_Расчет_аналитики'!BF3596,WeightedRevAge01)-SUMIF(ThresholdAge01,"&lt;"&amp;'19_Расчет_аналитики'!BF3596,WeightedMinAge01),MAX(CapacityAge01*'01_Вводные'!$B$218*'19_Расчет_аналитики'!BF3596,MeanMinAge01))),0)</f>
        <v/>
      </c>
      <c r="BG3528">
        <f>IF('01_Вводные'!$B$234="Да",IF(OR(('19_Расчет_аналитики'!BG3444-'19_Расчет_аналитики'!BG3472)=0,1&lt;='01_Вводные'!$B$297),0,('19_Расчет_аналитики'!BG3444-'19_Расчет_аналитики'!BG3472)*IF('01_Вводные'!$B$239="Да",MeanMinAge01+'19_Расчет_аналитики'!BG3596*SUMIF(ThresholdAge01,"&lt;"&amp;'19_Расчет_аналитики'!BG3596,WeightedRevAge01)-SUMIF(ThresholdAge01,"&lt;"&amp;'19_Расчет_аналитики'!BG3596,WeightedMinAge01),MAX(CapacityAge01*'01_Вводные'!$B$218*'19_Расчет_аналитики'!BG3596,MeanMinAge01))),0)</f>
        <v/>
      </c>
      <c r="BH3528">
        <f>IF('01_Вводные'!$B$234="Да",IF(OR(('19_Расчет_аналитики'!BH3444-'19_Расчет_аналитики'!BH3472)=0,1&lt;='01_Вводные'!$B$297),0,('19_Расчет_аналитики'!BH3444-'19_Расчет_аналитики'!BH3472)*IF('01_Вводные'!$B$239="Да",MeanMinAge01+'19_Расчет_аналитики'!BH3596*SUMIF(ThresholdAge01,"&lt;"&amp;'19_Расчет_аналитики'!BH3596,WeightedRevAge01)-SUMIF(ThresholdAge01,"&lt;"&amp;'19_Расчет_аналитики'!BH3596,WeightedMinAge01),MAX(CapacityAge01*'01_Вводные'!$B$218*'19_Расчет_аналитики'!BH3596,MeanMinAge01))),0)</f>
        <v/>
      </c>
      <c r="BI3528">
        <f>IF('01_Вводные'!$B$234="Да",IF(OR(('19_Расчет_аналитики'!BI3444-'19_Расчет_аналитики'!BI3472)=0,1&lt;='01_Вводные'!$B$297),0,('19_Расчет_аналитики'!BI3444-'19_Расчет_аналитики'!BI3472)*IF('01_Вводные'!$B$239="Да",MeanMinAge01+'19_Расчет_аналитики'!BI3596*SUMIF(ThresholdAge01,"&lt;"&amp;'19_Расчет_аналитики'!BI3596,WeightedRevAge01)-SUMIF(ThresholdAge01,"&lt;"&amp;'19_Расчет_аналитики'!BI3596,WeightedMinAge01),MAX(CapacityAge01*'01_Вводные'!$B$218*'19_Расчет_аналитики'!BI3596,MeanMinAge01))),0)</f>
        <v/>
      </c>
      <c r="BJ3528">
        <f>IF('01_Вводные'!$B$234="Да",IF(OR(('19_Расчет_аналитики'!BJ3444-'19_Расчет_аналитики'!BJ3472)=0,1&lt;='01_Вводные'!$B$297),0,('19_Расчет_аналитики'!BJ3444-'19_Расчет_аналитики'!BJ3472)*IF('01_Вводные'!$B$239="Да",MeanMinAge01+'19_Расчет_аналитики'!BJ3596*SUMIF(ThresholdAge01,"&lt;"&amp;'19_Расчет_аналитики'!BJ3596,WeightedRevAge01)-SUMIF(ThresholdAge01,"&lt;"&amp;'19_Расчет_аналитики'!BJ3596,WeightedMinAge01),MAX(CapacityAge01*'01_Вводные'!$B$218*'19_Расчет_аналитики'!BJ3596,MeanMinAge01))),0)</f>
        <v/>
      </c>
      <c r="BK3528">
        <f>IF('01_Вводные'!$B$234="Да",IF(OR(('19_Расчет_аналитики'!BK3444-'19_Расчет_аналитики'!BK3472)=0,1&lt;='01_Вводные'!$B$297),0,('19_Расчет_аналитики'!BK3444-'19_Расчет_аналитики'!BK3472)*IF('01_Вводные'!$B$239="Да",MeanMinAge01+'19_Расчет_аналитики'!BK3596*SUMIF(ThresholdAge01,"&lt;"&amp;'19_Расчет_аналитики'!BK3596,WeightedRevAge01)-SUMIF(ThresholdAge01,"&lt;"&amp;'19_Расчет_аналитики'!BK3596,WeightedMinAge01),MAX(CapacityAge01*'01_Вводные'!$B$218*'19_Расчет_аналитики'!BK3596,MeanMinAge01))),0)</f>
        <v/>
      </c>
      <c r="BL3528">
        <f>IF('01_Вводные'!$B$234="Да",IF(OR(('19_Расчет_аналитики'!BL3444-'19_Расчет_аналитики'!BL3472)=0,1&lt;='01_Вводные'!$B$297),0,('19_Расчет_аналитики'!BL3444-'19_Расчет_аналитики'!BL3472)*IF('01_Вводные'!$B$239="Да",MeanMinAge01+'19_Расчет_аналитики'!BL3596*SUMIF(ThresholdAge01,"&lt;"&amp;'19_Расчет_аналитики'!BL3596,WeightedRevAge01)-SUMIF(ThresholdAge01,"&lt;"&amp;'19_Расчет_аналитики'!BL3596,WeightedMinAge01),MAX(CapacityAge01*'01_Вводные'!$B$218*'19_Расчет_аналитики'!BL3596,MeanMinAge01))),0)</f>
        <v/>
      </c>
      <c r="BM3528">
        <f>IF('01_Вводные'!$B$234="Да",IF(OR(('19_Расчет_аналитики'!BM3444-'19_Расчет_аналитики'!BM3472)=0,1&lt;='01_Вводные'!$B$297),0,('19_Расчет_аналитики'!BM3444-'19_Расчет_аналитики'!BM3472)*IF('01_Вводные'!$B$239="Да",MeanMinAge01+'19_Расчет_аналитики'!BM3596*SUMIF(ThresholdAge01,"&lt;"&amp;'19_Расчет_аналитики'!BM3596,WeightedRevAge01)-SUMIF(ThresholdAge01,"&lt;"&amp;'19_Расчет_аналитики'!BM3596,WeightedMinAge01),MAX(CapacityAge01*'01_Вводные'!$B$218*'19_Расчет_аналитики'!BM3596,MeanMinAge01))),0)</f>
        <v/>
      </c>
      <c r="BN3528">
        <f>IF('01_Вводные'!$B$234="Да",IF(OR(('19_Расчет_аналитики'!BN3444-'19_Расчет_аналитики'!BN3472)=0,1&lt;='01_Вводные'!$B$297),0,('19_Расчет_аналитики'!BN3444-'19_Расчет_аналитики'!BN3472)*IF('01_Вводные'!$B$239="Да",MeanMinAge01+'19_Расчет_аналитики'!BN3596*SUMIF(ThresholdAge01,"&lt;"&amp;'19_Расчет_аналитики'!BN3596,WeightedRevAge01)-SUMIF(ThresholdAge01,"&lt;"&amp;'19_Расчет_аналитики'!BN3596,WeightedMinAge01),MAX(CapacityAge01*'01_Вводные'!$B$218*'19_Расчет_аналитики'!BN3596,MeanMinAge01))),0)</f>
        <v/>
      </c>
      <c r="BO3528">
        <f>IF('01_Вводные'!$B$234="Да",IF(OR(('19_Расчет_аналитики'!BO3444-'19_Расчет_аналитики'!BO3472)=0,1&lt;='01_Вводные'!$B$297),0,('19_Расчет_аналитики'!BO3444-'19_Расчет_аналитики'!BO3472)*IF('01_Вводные'!$B$239="Да",MeanMinAge01+'19_Расчет_аналитики'!BO3596*SUMIF(ThresholdAge01,"&lt;"&amp;'19_Расчет_аналитики'!BO3596,WeightedRevAge01)-SUMIF(ThresholdAge01,"&lt;"&amp;'19_Расчет_аналитики'!BO3596,WeightedMinAge01),MAX(CapacityAge01*'01_Вводные'!$B$218*'19_Расчет_аналитики'!BO3596,MeanMinAge01))),0)</f>
        <v/>
      </c>
    </row>
    <row r="3529">
      <c r="B3529">
        <f>IF('01_Вводные'!$B$234="Да",IF(OR(('06_Сеть_и_дети'!B54-'06_Сеть_и_дети'!B82)=0,2&lt;='01_Вводные'!$B$297),0,('06_Сеть_и_дети'!B54-'06_Сеть_и_дети'!B82)*IF('01_Вводные'!$B$239="Да",MeanMinAge02+'19_Расчет_аналитики'!B3596*SUMIF(ThresholdAge02,"&lt;"&amp;'19_Расчет_аналитики'!B3596,WeightedRevAge02)-SUMIF(ThresholdAge02,"&lt;"&amp;'19_Расчет_аналитики'!B3596,WeightedMinAge02),MAX(CapacityAge02*'01_Вводные'!$B$218*'19_Расчет_аналитики'!B3596,MeanMinAge02))),0)</f>
        <v/>
      </c>
      <c r="C3529">
        <f>IF('01_Вводные'!$B$234="Да",IF(OR(('19_Расчет_аналитики'!C3445-'19_Расчет_аналитики'!C3473)=0,2&lt;='01_Вводные'!$B$297),0,('19_Расчет_аналитики'!C3445-'19_Расчет_аналитики'!C3473)*IF('01_Вводные'!$B$239="Да",MeanMinAge02+'19_Расчет_аналитики'!C3596*SUMIF(ThresholdAge02,"&lt;"&amp;'19_Расчет_аналитики'!C3596,WeightedRevAge02)-SUMIF(ThresholdAge02,"&lt;"&amp;'19_Расчет_аналитики'!C3596,WeightedMinAge02),MAX(CapacityAge02*'01_Вводные'!$B$218*'19_Расчет_аналитики'!C3596,MeanMinAge02))),0)</f>
        <v/>
      </c>
      <c r="D3529">
        <f>IF('01_Вводные'!$B$234="Да",IF(OR(('19_Расчет_аналитики'!D3445-'19_Расчет_аналитики'!D3473)=0,2&lt;='01_Вводные'!$B$297),0,('19_Расчет_аналитики'!D3445-'19_Расчет_аналитики'!D3473)*IF('01_Вводные'!$B$239="Да",MeanMinAge02+'19_Расчет_аналитики'!D3596*SUMIF(ThresholdAge02,"&lt;"&amp;'19_Расчет_аналитики'!D3596,WeightedRevAge02)-SUMIF(ThresholdAge02,"&lt;"&amp;'19_Расчет_аналитики'!D3596,WeightedMinAge02),MAX(CapacityAge02*'01_Вводные'!$B$218*'19_Расчет_аналитики'!D3596,MeanMinAge02))),0)</f>
        <v/>
      </c>
      <c r="E3529">
        <f>IF('01_Вводные'!$B$234="Да",IF(OR(('19_Расчет_аналитики'!E3445-'19_Расчет_аналитики'!E3473)=0,2&lt;='01_Вводные'!$B$297),0,('19_Расчет_аналитики'!E3445-'19_Расчет_аналитики'!E3473)*IF('01_Вводные'!$B$239="Да",MeanMinAge02+'19_Расчет_аналитики'!E3596*SUMIF(ThresholdAge02,"&lt;"&amp;'19_Расчет_аналитики'!E3596,WeightedRevAge02)-SUMIF(ThresholdAge02,"&lt;"&amp;'19_Расчет_аналитики'!E3596,WeightedMinAge02),MAX(CapacityAge02*'01_Вводные'!$B$218*'19_Расчет_аналитики'!E3596,MeanMinAge02))),0)</f>
        <v/>
      </c>
      <c r="F3529">
        <f>IF('01_Вводные'!$B$234="Да",IF(OR(('19_Расчет_аналитики'!F3445-'19_Расчет_аналитики'!F3473)=0,2&lt;='01_Вводные'!$B$297),0,('19_Расчет_аналитики'!F3445-'19_Расчет_аналитики'!F3473)*IF('01_Вводные'!$B$239="Да",MeanMinAge02+'19_Расчет_аналитики'!F3596*SUMIF(ThresholdAge02,"&lt;"&amp;'19_Расчет_аналитики'!F3596,WeightedRevAge02)-SUMIF(ThresholdAge02,"&lt;"&amp;'19_Расчет_аналитики'!F3596,WeightedMinAge02),MAX(CapacityAge02*'01_Вводные'!$B$218*'19_Расчет_аналитики'!F3596,MeanMinAge02))),0)</f>
        <v/>
      </c>
      <c r="G3529">
        <f>IF('01_Вводные'!$B$234="Да",IF(OR(('19_Расчет_аналитики'!G3445-'19_Расчет_аналитики'!G3473)=0,2&lt;='01_Вводные'!$B$297),0,('19_Расчет_аналитики'!G3445-'19_Расчет_аналитики'!G3473)*IF('01_Вводные'!$B$239="Да",MeanMinAge02+'19_Расчет_аналитики'!G3596*SUMIF(ThresholdAge02,"&lt;"&amp;'19_Расчет_аналитики'!G3596,WeightedRevAge02)-SUMIF(ThresholdAge02,"&lt;"&amp;'19_Расчет_аналитики'!G3596,WeightedMinAge02),MAX(CapacityAge02*'01_Вводные'!$B$218*'19_Расчет_аналитики'!G3596,MeanMinAge02))),0)</f>
        <v/>
      </c>
      <c r="H3529">
        <f>IF('01_Вводные'!$B$234="Да",IF(OR(('19_Расчет_аналитики'!H3445-'19_Расчет_аналитики'!H3473)=0,2&lt;='01_Вводные'!$B$297),0,('19_Расчет_аналитики'!H3445-'19_Расчет_аналитики'!H3473)*IF('01_Вводные'!$B$239="Да",MeanMinAge02+'19_Расчет_аналитики'!H3596*SUMIF(ThresholdAge02,"&lt;"&amp;'19_Расчет_аналитики'!H3596,WeightedRevAge02)-SUMIF(ThresholdAge02,"&lt;"&amp;'19_Расчет_аналитики'!H3596,WeightedMinAge02),MAX(CapacityAge02*'01_Вводные'!$B$218*'19_Расчет_аналитики'!H3596,MeanMinAge02))),0)</f>
        <v/>
      </c>
      <c r="I3529">
        <f>IF('01_Вводные'!$B$234="Да",IF(OR(('19_Расчет_аналитики'!I3445-'19_Расчет_аналитики'!I3473)=0,2&lt;='01_Вводные'!$B$297),0,('19_Расчет_аналитики'!I3445-'19_Расчет_аналитики'!I3473)*IF('01_Вводные'!$B$239="Да",MeanMinAge02+'19_Расчет_аналитики'!I3596*SUMIF(ThresholdAge02,"&lt;"&amp;'19_Расчет_аналитики'!I3596,WeightedRevAge02)-SUMIF(ThresholdAge02,"&lt;"&amp;'19_Расчет_аналитики'!I3596,WeightedMinAge02),MAX(CapacityAge02*'01_Вводные'!$B$218*'19_Расчет_аналитики'!I3596,MeanMinAge02))),0)</f>
        <v/>
      </c>
      <c r="J3529">
        <f>IF('01_Вводные'!$B$234="Да",IF(OR(('19_Расчет_аналитики'!J3445-'19_Расчет_аналитики'!J3473)=0,2&lt;='01_Вводные'!$B$297),0,('19_Расчет_аналитики'!J3445-'19_Расчет_аналитики'!J3473)*IF('01_Вводные'!$B$239="Да",MeanMinAge02+'19_Расчет_аналитики'!J3596*SUMIF(ThresholdAge02,"&lt;"&amp;'19_Расчет_аналитики'!J3596,WeightedRevAge02)-SUMIF(ThresholdAge02,"&lt;"&amp;'19_Расчет_аналитики'!J3596,WeightedMinAge02),MAX(CapacityAge02*'01_Вводные'!$B$218*'19_Расчет_аналитики'!J3596,MeanMinAge02))),0)</f>
        <v/>
      </c>
      <c r="K3529">
        <f>IF('01_Вводные'!$B$234="Да",IF(OR(('19_Расчет_аналитики'!K3445-'19_Расчет_аналитики'!K3473)=0,2&lt;='01_Вводные'!$B$297),0,('19_Расчет_аналитики'!K3445-'19_Расчет_аналитики'!K3473)*IF('01_Вводные'!$B$239="Да",MeanMinAge02+'19_Расчет_аналитики'!K3596*SUMIF(ThresholdAge02,"&lt;"&amp;'19_Расчет_аналитики'!K3596,WeightedRevAge02)-SUMIF(ThresholdAge02,"&lt;"&amp;'19_Расчет_аналитики'!K3596,WeightedMinAge02),MAX(CapacityAge02*'01_Вводные'!$B$218*'19_Расчет_аналитики'!K3596,MeanMinAge02))),0)</f>
        <v/>
      </c>
      <c r="L3529">
        <f>IF('01_Вводные'!$B$234="Да",IF(OR(('19_Расчет_аналитики'!L3445-'19_Расчет_аналитики'!L3473)=0,2&lt;='01_Вводные'!$B$297),0,('19_Расчет_аналитики'!L3445-'19_Расчет_аналитики'!L3473)*IF('01_Вводные'!$B$239="Да",MeanMinAge02+'19_Расчет_аналитики'!L3596*SUMIF(ThresholdAge02,"&lt;"&amp;'19_Расчет_аналитики'!L3596,WeightedRevAge02)-SUMIF(ThresholdAge02,"&lt;"&amp;'19_Расчет_аналитики'!L3596,WeightedMinAge02),MAX(CapacityAge02*'01_Вводные'!$B$218*'19_Расчет_аналитики'!L3596,MeanMinAge02))),0)</f>
        <v/>
      </c>
      <c r="M3529">
        <f>IF('01_Вводные'!$B$234="Да",IF(OR(('19_Расчет_аналитики'!M3445-'19_Расчет_аналитики'!M3473)=0,2&lt;='01_Вводные'!$B$297),0,('19_Расчет_аналитики'!M3445-'19_Расчет_аналитики'!M3473)*IF('01_Вводные'!$B$239="Да",MeanMinAge02+'19_Расчет_аналитики'!M3596*SUMIF(ThresholdAge02,"&lt;"&amp;'19_Расчет_аналитики'!M3596,WeightedRevAge02)-SUMIF(ThresholdAge02,"&lt;"&amp;'19_Расчет_аналитики'!M3596,WeightedMinAge02),MAX(CapacityAge02*'01_Вводные'!$B$218*'19_Расчет_аналитики'!M3596,MeanMinAge02))),0)</f>
        <v/>
      </c>
      <c r="N3529">
        <f>IF('01_Вводные'!$B$234="Да",IF(OR(('19_Расчет_аналитики'!N3445-'19_Расчет_аналитики'!N3473)=0,2&lt;='01_Вводные'!$B$297),0,('19_Расчет_аналитики'!N3445-'19_Расчет_аналитики'!N3473)*IF('01_Вводные'!$B$239="Да",MeanMinAge02+'19_Расчет_аналитики'!N3596*SUMIF(ThresholdAge02,"&lt;"&amp;'19_Расчет_аналитики'!N3596,WeightedRevAge02)-SUMIF(ThresholdAge02,"&lt;"&amp;'19_Расчет_аналитики'!N3596,WeightedMinAge02),MAX(CapacityAge02*'01_Вводные'!$B$218*'19_Расчет_аналитики'!N3596,MeanMinAge02))),0)</f>
        <v/>
      </c>
      <c r="O3529">
        <f>IF('01_Вводные'!$B$234="Да",IF(OR(('19_Расчет_аналитики'!O3445-'19_Расчет_аналитики'!O3473)=0,2&lt;='01_Вводные'!$B$297),0,('19_Расчет_аналитики'!O3445-'19_Расчет_аналитики'!O3473)*IF('01_Вводные'!$B$239="Да",MeanMinAge02+'19_Расчет_аналитики'!O3596*SUMIF(ThresholdAge02,"&lt;"&amp;'19_Расчет_аналитики'!O3596,WeightedRevAge02)-SUMIF(ThresholdAge02,"&lt;"&amp;'19_Расчет_аналитики'!O3596,WeightedMinAge02),MAX(CapacityAge02*'01_Вводные'!$B$218*'19_Расчет_аналитики'!O3596,MeanMinAge02))),0)</f>
        <v/>
      </c>
      <c r="P3529">
        <f>IF('01_Вводные'!$B$234="Да",IF(OR(('19_Расчет_аналитики'!P3445-'19_Расчет_аналитики'!P3473)=0,2&lt;='01_Вводные'!$B$297),0,('19_Расчет_аналитики'!P3445-'19_Расчет_аналитики'!P3473)*IF('01_Вводные'!$B$239="Да",MeanMinAge02+'19_Расчет_аналитики'!P3596*SUMIF(ThresholdAge02,"&lt;"&amp;'19_Расчет_аналитики'!P3596,WeightedRevAge02)-SUMIF(ThresholdAge02,"&lt;"&amp;'19_Расчет_аналитики'!P3596,WeightedMinAge02),MAX(CapacityAge02*'01_Вводные'!$B$218*'19_Расчет_аналитики'!P3596,MeanMinAge02))),0)</f>
        <v/>
      </c>
      <c r="Q3529">
        <f>IF('01_Вводные'!$B$234="Да",IF(OR(('19_Расчет_аналитики'!Q3445-'19_Расчет_аналитики'!Q3473)=0,2&lt;='01_Вводные'!$B$297),0,('19_Расчет_аналитики'!Q3445-'19_Расчет_аналитики'!Q3473)*IF('01_Вводные'!$B$239="Да",MeanMinAge02+'19_Расчет_аналитики'!Q3596*SUMIF(ThresholdAge02,"&lt;"&amp;'19_Расчет_аналитики'!Q3596,WeightedRevAge02)-SUMIF(ThresholdAge02,"&lt;"&amp;'19_Расчет_аналитики'!Q3596,WeightedMinAge02),MAX(CapacityAge02*'01_Вводные'!$B$218*'19_Расчет_аналитики'!Q3596,MeanMinAge02))),0)</f>
        <v/>
      </c>
      <c r="R3529">
        <f>IF('01_Вводные'!$B$234="Да",IF(OR(('19_Расчет_аналитики'!R3445-'19_Расчет_аналитики'!R3473)=0,2&lt;='01_Вводные'!$B$297),0,('19_Расчет_аналитики'!R3445-'19_Расчет_аналитики'!R3473)*IF('01_Вводные'!$B$239="Да",MeanMinAge02+'19_Расчет_аналитики'!R3596*SUMIF(ThresholdAge02,"&lt;"&amp;'19_Расчет_аналитики'!R3596,WeightedRevAge02)-SUMIF(ThresholdAge02,"&lt;"&amp;'19_Расчет_аналитики'!R3596,WeightedMinAge02),MAX(CapacityAge02*'01_Вводные'!$B$218*'19_Расчет_аналитики'!R3596,MeanMinAge02))),0)</f>
        <v/>
      </c>
      <c r="S3529">
        <f>IF('01_Вводные'!$B$234="Да",IF(OR(('19_Расчет_аналитики'!S3445-'19_Расчет_аналитики'!S3473)=0,2&lt;='01_Вводные'!$B$297),0,('19_Расчет_аналитики'!S3445-'19_Расчет_аналитики'!S3473)*IF('01_Вводные'!$B$239="Да",MeanMinAge02+'19_Расчет_аналитики'!S3596*SUMIF(ThresholdAge02,"&lt;"&amp;'19_Расчет_аналитики'!S3596,WeightedRevAge02)-SUMIF(ThresholdAge02,"&lt;"&amp;'19_Расчет_аналитики'!S3596,WeightedMinAge02),MAX(CapacityAge02*'01_Вводные'!$B$218*'19_Расчет_аналитики'!S3596,MeanMinAge02))),0)</f>
        <v/>
      </c>
      <c r="T3529">
        <f>IF('01_Вводные'!$B$234="Да",IF(OR(('19_Расчет_аналитики'!T3445-'19_Расчет_аналитики'!T3473)=0,2&lt;='01_Вводные'!$B$297),0,('19_Расчет_аналитики'!T3445-'19_Расчет_аналитики'!T3473)*IF('01_Вводные'!$B$239="Да",MeanMinAge02+'19_Расчет_аналитики'!T3596*SUMIF(ThresholdAge02,"&lt;"&amp;'19_Расчет_аналитики'!T3596,WeightedRevAge02)-SUMIF(ThresholdAge02,"&lt;"&amp;'19_Расчет_аналитики'!T3596,WeightedMinAge02),MAX(CapacityAge02*'01_Вводные'!$B$218*'19_Расчет_аналитики'!T3596,MeanMinAge02))),0)</f>
        <v/>
      </c>
      <c r="U3529">
        <f>IF('01_Вводные'!$B$234="Да",IF(OR(('19_Расчет_аналитики'!U3445-'19_Расчет_аналитики'!U3473)=0,2&lt;='01_Вводные'!$B$297),0,('19_Расчет_аналитики'!U3445-'19_Расчет_аналитики'!U3473)*IF('01_Вводные'!$B$239="Да",MeanMinAge02+'19_Расчет_аналитики'!U3596*SUMIF(ThresholdAge02,"&lt;"&amp;'19_Расчет_аналитики'!U3596,WeightedRevAge02)-SUMIF(ThresholdAge02,"&lt;"&amp;'19_Расчет_аналитики'!U3596,WeightedMinAge02),MAX(CapacityAge02*'01_Вводные'!$B$218*'19_Расчет_аналитики'!U3596,MeanMinAge02))),0)</f>
        <v/>
      </c>
      <c r="V3529">
        <f>IF('01_Вводные'!$B$234="Да",IF(OR(('19_Расчет_аналитики'!V3445-'19_Расчет_аналитики'!V3473)=0,2&lt;='01_Вводные'!$B$297),0,('19_Расчет_аналитики'!V3445-'19_Расчет_аналитики'!V3473)*IF('01_Вводные'!$B$239="Да",MeanMinAge02+'19_Расчет_аналитики'!V3596*SUMIF(ThresholdAge02,"&lt;"&amp;'19_Расчет_аналитики'!V3596,WeightedRevAge02)-SUMIF(ThresholdAge02,"&lt;"&amp;'19_Расчет_аналитики'!V3596,WeightedMinAge02),MAX(CapacityAge02*'01_Вводные'!$B$218*'19_Расчет_аналитики'!V3596,MeanMinAge02))),0)</f>
        <v/>
      </c>
      <c r="W3529">
        <f>IF('01_Вводные'!$B$234="Да",IF(OR(('19_Расчет_аналитики'!W3445-'19_Расчет_аналитики'!W3473)=0,2&lt;='01_Вводные'!$B$297),0,('19_Расчет_аналитики'!W3445-'19_Расчет_аналитики'!W3473)*IF('01_Вводные'!$B$239="Да",MeanMinAge02+'19_Расчет_аналитики'!W3596*SUMIF(ThresholdAge02,"&lt;"&amp;'19_Расчет_аналитики'!W3596,WeightedRevAge02)-SUMIF(ThresholdAge02,"&lt;"&amp;'19_Расчет_аналитики'!W3596,WeightedMinAge02),MAX(CapacityAge02*'01_Вводные'!$B$218*'19_Расчет_аналитики'!W3596,MeanMinAge02))),0)</f>
        <v/>
      </c>
      <c r="X3529">
        <f>IF('01_Вводные'!$B$234="Да",IF(OR(('19_Расчет_аналитики'!X3445-'19_Расчет_аналитики'!X3473)=0,2&lt;='01_Вводные'!$B$297),0,('19_Расчет_аналитики'!X3445-'19_Расчет_аналитики'!X3473)*IF('01_Вводные'!$B$239="Да",MeanMinAge02+'19_Расчет_аналитики'!X3596*SUMIF(ThresholdAge02,"&lt;"&amp;'19_Расчет_аналитики'!X3596,WeightedRevAge02)-SUMIF(ThresholdAge02,"&lt;"&amp;'19_Расчет_аналитики'!X3596,WeightedMinAge02),MAX(CapacityAge02*'01_Вводные'!$B$218*'19_Расчет_аналитики'!X3596,MeanMinAge02))),0)</f>
        <v/>
      </c>
      <c r="Y3529">
        <f>IF('01_Вводные'!$B$234="Да",IF(OR(('19_Расчет_аналитики'!Y3445-'19_Расчет_аналитики'!Y3473)=0,2&lt;='01_Вводные'!$B$297),0,('19_Расчет_аналитики'!Y3445-'19_Расчет_аналитики'!Y3473)*IF('01_Вводные'!$B$239="Да",MeanMinAge02+'19_Расчет_аналитики'!Y3596*SUMIF(ThresholdAge02,"&lt;"&amp;'19_Расчет_аналитики'!Y3596,WeightedRevAge02)-SUMIF(ThresholdAge02,"&lt;"&amp;'19_Расчет_аналитики'!Y3596,WeightedMinAge02),MAX(CapacityAge02*'01_Вводные'!$B$218*'19_Расчет_аналитики'!Y3596,MeanMinAge02))),0)</f>
        <v/>
      </c>
      <c r="Z3529">
        <f>IF('01_Вводные'!$B$234="Да",IF(OR(('19_Расчет_аналитики'!Z3445-'19_Расчет_аналитики'!Z3473)=0,2&lt;='01_Вводные'!$B$297),0,('19_Расчет_аналитики'!Z3445-'19_Расчет_аналитики'!Z3473)*IF('01_Вводные'!$B$239="Да",MeanMinAge02+'19_Расчет_аналитики'!Z3596*SUMIF(ThresholdAge02,"&lt;"&amp;'19_Расчет_аналитики'!Z3596,WeightedRevAge02)-SUMIF(ThresholdAge02,"&lt;"&amp;'19_Расчет_аналитики'!Z3596,WeightedMinAge02),MAX(CapacityAge02*'01_Вводные'!$B$218*'19_Расчет_аналитики'!Z3596,MeanMinAge02))),0)</f>
        <v/>
      </c>
      <c r="AA3529">
        <f>IF('01_Вводные'!$B$234="Да",IF(OR(('19_Расчет_аналитики'!AA3445-'19_Расчет_аналитики'!AA3473)=0,2&lt;='01_Вводные'!$B$297),0,('19_Расчет_аналитики'!AA3445-'19_Расчет_аналитики'!AA3473)*IF('01_Вводные'!$B$239="Да",MeanMinAge02+'19_Расчет_аналитики'!AA3596*SUMIF(ThresholdAge02,"&lt;"&amp;'19_Расчет_аналитики'!AA3596,WeightedRevAge02)-SUMIF(ThresholdAge02,"&lt;"&amp;'19_Расчет_аналитики'!AA3596,WeightedMinAge02),MAX(CapacityAge02*'01_Вводные'!$B$218*'19_Расчет_аналитики'!AA3596,MeanMinAge02))),0)</f>
        <v/>
      </c>
      <c r="AB3529">
        <f>IF('01_Вводные'!$B$234="Да",IF(OR(('19_Расчет_аналитики'!AB3445-'19_Расчет_аналитики'!AB3473)=0,2&lt;='01_Вводные'!$B$297),0,('19_Расчет_аналитики'!AB3445-'19_Расчет_аналитики'!AB3473)*IF('01_Вводные'!$B$239="Да",MeanMinAge02+'19_Расчет_аналитики'!AB3596*SUMIF(ThresholdAge02,"&lt;"&amp;'19_Расчет_аналитики'!AB3596,WeightedRevAge02)-SUMIF(ThresholdAge02,"&lt;"&amp;'19_Расчет_аналитики'!AB3596,WeightedMinAge02),MAX(CapacityAge02*'01_Вводные'!$B$218*'19_Расчет_аналитики'!AB3596,MeanMinAge02))),0)</f>
        <v/>
      </c>
      <c r="AC3529">
        <f>IF('01_Вводные'!$B$234="Да",IF(OR(('19_Расчет_аналитики'!AC3445-'19_Расчет_аналитики'!AC3473)=0,2&lt;='01_Вводные'!$B$297),0,('19_Расчет_аналитики'!AC3445-'19_Расчет_аналитики'!AC3473)*IF('01_Вводные'!$B$239="Да",MeanMinAge02+'19_Расчет_аналитики'!AC3596*SUMIF(ThresholdAge02,"&lt;"&amp;'19_Расчет_аналитики'!AC3596,WeightedRevAge02)-SUMIF(ThresholdAge02,"&lt;"&amp;'19_Расчет_аналитики'!AC3596,WeightedMinAge02),MAX(CapacityAge02*'01_Вводные'!$B$218*'19_Расчет_аналитики'!AC3596,MeanMinAge02))),0)</f>
        <v/>
      </c>
      <c r="AD3529">
        <f>IF('01_Вводные'!$B$234="Да",IF(OR(('19_Расчет_аналитики'!AD3445-'19_Расчет_аналитики'!AD3473)=0,2&lt;='01_Вводные'!$B$297),0,('19_Расчет_аналитики'!AD3445-'19_Расчет_аналитики'!AD3473)*IF('01_Вводные'!$B$239="Да",MeanMinAge02+'19_Расчет_аналитики'!AD3596*SUMIF(ThresholdAge02,"&lt;"&amp;'19_Расчет_аналитики'!AD3596,WeightedRevAge02)-SUMIF(ThresholdAge02,"&lt;"&amp;'19_Расчет_аналитики'!AD3596,WeightedMinAge02),MAX(CapacityAge02*'01_Вводные'!$B$218*'19_Расчет_аналитики'!AD3596,MeanMinAge02))),0)</f>
        <v/>
      </c>
      <c r="AE3529">
        <f>IF('01_Вводные'!$B$234="Да",IF(OR(('19_Расчет_аналитики'!AE3445-'19_Расчет_аналитики'!AE3473)=0,2&lt;='01_Вводные'!$B$297),0,('19_Расчет_аналитики'!AE3445-'19_Расчет_аналитики'!AE3473)*IF('01_Вводные'!$B$239="Да",MeanMinAge02+'19_Расчет_аналитики'!AE3596*SUMIF(ThresholdAge02,"&lt;"&amp;'19_Расчет_аналитики'!AE3596,WeightedRevAge02)-SUMIF(ThresholdAge02,"&lt;"&amp;'19_Расчет_аналитики'!AE3596,WeightedMinAge02),MAX(CapacityAge02*'01_Вводные'!$B$218*'19_Расчет_аналитики'!AE3596,MeanMinAge02))),0)</f>
        <v/>
      </c>
      <c r="AF3529">
        <f>IF('01_Вводные'!$B$234="Да",IF(OR(('19_Расчет_аналитики'!AF3445-'19_Расчет_аналитики'!AF3473)=0,2&lt;='01_Вводные'!$B$297),0,('19_Расчет_аналитики'!AF3445-'19_Расчет_аналитики'!AF3473)*IF('01_Вводные'!$B$239="Да",MeanMinAge02+'19_Расчет_аналитики'!AF3596*SUMIF(ThresholdAge02,"&lt;"&amp;'19_Расчет_аналитики'!AF3596,WeightedRevAge02)-SUMIF(ThresholdAge02,"&lt;"&amp;'19_Расчет_аналитики'!AF3596,WeightedMinAge02),MAX(CapacityAge02*'01_Вводные'!$B$218*'19_Расчет_аналитики'!AF3596,MeanMinAge02))),0)</f>
        <v/>
      </c>
      <c r="AG3529">
        <f>IF('01_Вводные'!$B$234="Да",IF(OR(('19_Расчет_аналитики'!AG3445-'19_Расчет_аналитики'!AG3473)=0,2&lt;='01_Вводные'!$B$297),0,('19_Расчет_аналитики'!AG3445-'19_Расчет_аналитики'!AG3473)*IF('01_Вводные'!$B$239="Да",MeanMinAge02+'19_Расчет_аналитики'!AG3596*SUMIF(ThresholdAge02,"&lt;"&amp;'19_Расчет_аналитики'!AG3596,WeightedRevAge02)-SUMIF(ThresholdAge02,"&lt;"&amp;'19_Расчет_аналитики'!AG3596,WeightedMinAge02),MAX(CapacityAge02*'01_Вводные'!$B$218*'19_Расчет_аналитики'!AG3596,MeanMinAge02))),0)</f>
        <v/>
      </c>
      <c r="AH3529">
        <f>IF('01_Вводные'!$B$234="Да",IF(OR(('19_Расчет_аналитики'!AH3445-'19_Расчет_аналитики'!AH3473)=0,2&lt;='01_Вводные'!$B$297),0,('19_Расчет_аналитики'!AH3445-'19_Расчет_аналитики'!AH3473)*IF('01_Вводные'!$B$239="Да",MeanMinAge02+'19_Расчет_аналитики'!AH3596*SUMIF(ThresholdAge02,"&lt;"&amp;'19_Расчет_аналитики'!AH3596,WeightedRevAge02)-SUMIF(ThresholdAge02,"&lt;"&amp;'19_Расчет_аналитики'!AH3596,WeightedMinAge02),MAX(CapacityAge02*'01_Вводные'!$B$218*'19_Расчет_аналитики'!AH3596,MeanMinAge02))),0)</f>
        <v/>
      </c>
      <c r="AI3529">
        <f>IF('01_Вводные'!$B$234="Да",IF(OR(('19_Расчет_аналитики'!AI3445-'19_Расчет_аналитики'!AI3473)=0,2&lt;='01_Вводные'!$B$297),0,('19_Расчет_аналитики'!AI3445-'19_Расчет_аналитики'!AI3473)*IF('01_Вводные'!$B$239="Да",MeanMinAge02+'19_Расчет_аналитики'!AI3596*SUMIF(ThresholdAge02,"&lt;"&amp;'19_Расчет_аналитики'!AI3596,WeightedRevAge02)-SUMIF(ThresholdAge02,"&lt;"&amp;'19_Расчет_аналитики'!AI3596,WeightedMinAge02),MAX(CapacityAge02*'01_Вводные'!$B$218*'19_Расчет_аналитики'!AI3596,MeanMinAge02))),0)</f>
        <v/>
      </c>
      <c r="AJ3529">
        <f>IF('01_Вводные'!$B$234="Да",IF(OR(('19_Расчет_аналитики'!AJ3445-'19_Расчет_аналитики'!AJ3473)=0,2&lt;='01_Вводные'!$B$297),0,('19_Расчет_аналитики'!AJ3445-'19_Расчет_аналитики'!AJ3473)*IF('01_Вводные'!$B$239="Да",MeanMinAge02+'19_Расчет_аналитики'!AJ3596*SUMIF(ThresholdAge02,"&lt;"&amp;'19_Расчет_аналитики'!AJ3596,WeightedRevAge02)-SUMIF(ThresholdAge02,"&lt;"&amp;'19_Расчет_аналитики'!AJ3596,WeightedMinAge02),MAX(CapacityAge02*'01_Вводные'!$B$218*'19_Расчет_аналитики'!AJ3596,MeanMinAge02))),0)</f>
        <v/>
      </c>
      <c r="AK3529">
        <f>IF('01_Вводные'!$B$234="Да",IF(OR(('19_Расчет_аналитики'!AK3445-'19_Расчет_аналитики'!AK3473)=0,2&lt;='01_Вводные'!$B$297),0,('19_Расчет_аналитики'!AK3445-'19_Расчет_аналитики'!AK3473)*IF('01_Вводные'!$B$239="Да",MeanMinAge02+'19_Расчет_аналитики'!AK3596*SUMIF(ThresholdAge02,"&lt;"&amp;'19_Расчет_аналитики'!AK3596,WeightedRevAge02)-SUMIF(ThresholdAge02,"&lt;"&amp;'19_Расчет_аналитики'!AK3596,WeightedMinAge02),MAX(CapacityAge02*'01_Вводные'!$B$218*'19_Расчет_аналитики'!AK3596,MeanMinAge02))),0)</f>
        <v/>
      </c>
      <c r="AL3529">
        <f>IF('01_Вводные'!$B$234="Да",IF(OR(('19_Расчет_аналитики'!AL3445-'19_Расчет_аналитики'!AL3473)=0,2&lt;='01_Вводные'!$B$297),0,('19_Расчет_аналитики'!AL3445-'19_Расчет_аналитики'!AL3473)*IF('01_Вводные'!$B$239="Да",MeanMinAge02+'19_Расчет_аналитики'!AL3596*SUMIF(ThresholdAge02,"&lt;"&amp;'19_Расчет_аналитики'!AL3596,WeightedRevAge02)-SUMIF(ThresholdAge02,"&lt;"&amp;'19_Расчет_аналитики'!AL3596,WeightedMinAge02),MAX(CapacityAge02*'01_Вводные'!$B$218*'19_Расчет_аналитики'!AL3596,MeanMinAge02))),0)</f>
        <v/>
      </c>
      <c r="AM3529">
        <f>IF('01_Вводные'!$B$234="Да",IF(OR(('19_Расчет_аналитики'!AM3445-'19_Расчет_аналитики'!AM3473)=0,2&lt;='01_Вводные'!$B$297),0,('19_Расчет_аналитики'!AM3445-'19_Расчет_аналитики'!AM3473)*IF('01_Вводные'!$B$239="Да",MeanMinAge02+'19_Расчет_аналитики'!AM3596*SUMIF(ThresholdAge02,"&lt;"&amp;'19_Расчет_аналитики'!AM3596,WeightedRevAge02)-SUMIF(ThresholdAge02,"&lt;"&amp;'19_Расчет_аналитики'!AM3596,WeightedMinAge02),MAX(CapacityAge02*'01_Вводные'!$B$218*'19_Расчет_аналитики'!AM3596,MeanMinAge02))),0)</f>
        <v/>
      </c>
      <c r="AN3529">
        <f>IF('01_Вводные'!$B$234="Да",IF(OR(('19_Расчет_аналитики'!AN3445-'19_Расчет_аналитики'!AN3473)=0,2&lt;='01_Вводные'!$B$297),0,('19_Расчет_аналитики'!AN3445-'19_Расчет_аналитики'!AN3473)*IF('01_Вводные'!$B$239="Да",MeanMinAge02+'19_Расчет_аналитики'!AN3596*SUMIF(ThresholdAge02,"&lt;"&amp;'19_Расчет_аналитики'!AN3596,WeightedRevAge02)-SUMIF(ThresholdAge02,"&lt;"&amp;'19_Расчет_аналитики'!AN3596,WeightedMinAge02),MAX(CapacityAge02*'01_Вводные'!$B$218*'19_Расчет_аналитики'!AN3596,MeanMinAge02))),0)</f>
        <v/>
      </c>
      <c r="AO3529">
        <f>IF('01_Вводные'!$B$234="Да",IF(OR(('19_Расчет_аналитики'!AO3445-'19_Расчет_аналитики'!AO3473)=0,2&lt;='01_Вводные'!$B$297),0,('19_Расчет_аналитики'!AO3445-'19_Расчет_аналитики'!AO3473)*IF('01_Вводные'!$B$239="Да",MeanMinAge02+'19_Расчет_аналитики'!AO3596*SUMIF(ThresholdAge02,"&lt;"&amp;'19_Расчет_аналитики'!AO3596,WeightedRevAge02)-SUMIF(ThresholdAge02,"&lt;"&amp;'19_Расчет_аналитики'!AO3596,WeightedMinAge02),MAX(CapacityAge02*'01_Вводные'!$B$218*'19_Расчет_аналитики'!AO3596,MeanMinAge02))),0)</f>
        <v/>
      </c>
      <c r="AP3529">
        <f>IF('01_Вводные'!$B$234="Да",IF(OR(('19_Расчет_аналитики'!AP3445-'19_Расчет_аналитики'!AP3473)=0,2&lt;='01_Вводные'!$B$297),0,('19_Расчет_аналитики'!AP3445-'19_Расчет_аналитики'!AP3473)*IF('01_Вводные'!$B$239="Да",MeanMinAge02+'19_Расчет_аналитики'!AP3596*SUMIF(ThresholdAge02,"&lt;"&amp;'19_Расчет_аналитики'!AP3596,WeightedRevAge02)-SUMIF(ThresholdAge02,"&lt;"&amp;'19_Расчет_аналитики'!AP3596,WeightedMinAge02),MAX(CapacityAge02*'01_Вводные'!$B$218*'19_Расчет_аналитики'!AP3596,MeanMinAge02))),0)</f>
        <v/>
      </c>
      <c r="AQ3529">
        <f>IF('01_Вводные'!$B$234="Да",IF(OR(('19_Расчет_аналитики'!AQ3445-'19_Расчет_аналитики'!AQ3473)=0,2&lt;='01_Вводные'!$B$297),0,('19_Расчет_аналитики'!AQ3445-'19_Расчет_аналитики'!AQ3473)*IF('01_Вводные'!$B$239="Да",MeanMinAge02+'19_Расчет_аналитики'!AQ3596*SUMIF(ThresholdAge02,"&lt;"&amp;'19_Расчет_аналитики'!AQ3596,WeightedRevAge02)-SUMIF(ThresholdAge02,"&lt;"&amp;'19_Расчет_аналитики'!AQ3596,WeightedMinAge02),MAX(CapacityAge02*'01_Вводные'!$B$218*'19_Расчет_аналитики'!AQ3596,MeanMinAge02))),0)</f>
        <v/>
      </c>
      <c r="AR3529">
        <f>IF('01_Вводные'!$B$234="Да",IF(OR(('19_Расчет_аналитики'!AR3445-'19_Расчет_аналитики'!AR3473)=0,2&lt;='01_Вводные'!$B$297),0,('19_Расчет_аналитики'!AR3445-'19_Расчет_аналитики'!AR3473)*IF('01_Вводные'!$B$239="Да",MeanMinAge02+'19_Расчет_аналитики'!AR3596*SUMIF(ThresholdAge02,"&lt;"&amp;'19_Расчет_аналитики'!AR3596,WeightedRevAge02)-SUMIF(ThresholdAge02,"&lt;"&amp;'19_Расчет_аналитики'!AR3596,WeightedMinAge02),MAX(CapacityAge02*'01_Вводные'!$B$218*'19_Расчет_аналитики'!AR3596,MeanMinAge02))),0)</f>
        <v/>
      </c>
      <c r="AS3529">
        <f>IF('01_Вводные'!$B$234="Да",IF(OR(('19_Расчет_аналитики'!AS3445-'19_Расчет_аналитики'!AS3473)=0,2&lt;='01_Вводные'!$B$297),0,('19_Расчет_аналитики'!AS3445-'19_Расчет_аналитики'!AS3473)*IF('01_Вводные'!$B$239="Да",MeanMinAge02+'19_Расчет_аналитики'!AS3596*SUMIF(ThresholdAge02,"&lt;"&amp;'19_Расчет_аналитики'!AS3596,WeightedRevAge02)-SUMIF(ThresholdAge02,"&lt;"&amp;'19_Расчет_аналитики'!AS3596,WeightedMinAge02),MAX(CapacityAge02*'01_Вводные'!$B$218*'19_Расчет_аналитики'!AS3596,MeanMinAge02))),0)</f>
        <v/>
      </c>
      <c r="AT3529">
        <f>IF('01_Вводные'!$B$234="Да",IF(OR(('19_Расчет_аналитики'!AT3445-'19_Расчет_аналитики'!AT3473)=0,2&lt;='01_Вводные'!$B$297),0,('19_Расчет_аналитики'!AT3445-'19_Расчет_аналитики'!AT3473)*IF('01_Вводные'!$B$239="Да",MeanMinAge02+'19_Расчет_аналитики'!AT3596*SUMIF(ThresholdAge02,"&lt;"&amp;'19_Расчет_аналитики'!AT3596,WeightedRevAge02)-SUMIF(ThresholdAge02,"&lt;"&amp;'19_Расчет_аналитики'!AT3596,WeightedMinAge02),MAX(CapacityAge02*'01_Вводные'!$B$218*'19_Расчет_аналитики'!AT3596,MeanMinAge02))),0)</f>
        <v/>
      </c>
      <c r="AU3529">
        <f>IF('01_Вводные'!$B$234="Да",IF(OR(('19_Расчет_аналитики'!AU3445-'19_Расчет_аналитики'!AU3473)=0,2&lt;='01_Вводные'!$B$297),0,('19_Расчет_аналитики'!AU3445-'19_Расчет_аналитики'!AU3473)*IF('01_Вводные'!$B$239="Да",MeanMinAge02+'19_Расчет_аналитики'!AU3596*SUMIF(ThresholdAge02,"&lt;"&amp;'19_Расчет_аналитики'!AU3596,WeightedRevAge02)-SUMIF(ThresholdAge02,"&lt;"&amp;'19_Расчет_аналитики'!AU3596,WeightedMinAge02),MAX(CapacityAge02*'01_Вводные'!$B$218*'19_Расчет_аналитики'!AU3596,MeanMinAge02))),0)</f>
        <v/>
      </c>
      <c r="AV3529">
        <f>IF('01_Вводные'!$B$234="Да",IF(OR(('19_Расчет_аналитики'!AV3445-'19_Расчет_аналитики'!AV3473)=0,2&lt;='01_Вводные'!$B$297),0,('19_Расчет_аналитики'!AV3445-'19_Расчет_аналитики'!AV3473)*IF('01_Вводные'!$B$239="Да",MeanMinAge02+'19_Расчет_аналитики'!AV3596*SUMIF(ThresholdAge02,"&lt;"&amp;'19_Расчет_аналитики'!AV3596,WeightedRevAge02)-SUMIF(ThresholdAge02,"&lt;"&amp;'19_Расчет_аналитики'!AV3596,WeightedMinAge02),MAX(CapacityAge02*'01_Вводные'!$B$218*'19_Расчет_аналитики'!AV3596,MeanMinAge02))),0)</f>
        <v/>
      </c>
      <c r="AW3529">
        <f>IF('01_Вводные'!$B$234="Да",IF(OR(('19_Расчет_аналитики'!AW3445-'19_Расчет_аналитики'!AW3473)=0,2&lt;='01_Вводные'!$B$297),0,('19_Расчет_аналитики'!AW3445-'19_Расчет_аналитики'!AW3473)*IF('01_Вводные'!$B$239="Да",MeanMinAge02+'19_Расчет_аналитики'!AW3596*SUMIF(ThresholdAge02,"&lt;"&amp;'19_Расчет_аналитики'!AW3596,WeightedRevAge02)-SUMIF(ThresholdAge02,"&lt;"&amp;'19_Расчет_аналитики'!AW3596,WeightedMinAge02),MAX(CapacityAge02*'01_Вводные'!$B$218*'19_Расчет_аналитики'!AW3596,MeanMinAge02))),0)</f>
        <v/>
      </c>
      <c r="AX3529">
        <f>IF('01_Вводные'!$B$234="Да",IF(OR(('19_Расчет_аналитики'!AX3445-'19_Расчет_аналитики'!AX3473)=0,2&lt;='01_Вводные'!$B$297),0,('19_Расчет_аналитики'!AX3445-'19_Расчет_аналитики'!AX3473)*IF('01_Вводные'!$B$239="Да",MeanMinAge02+'19_Расчет_аналитики'!AX3596*SUMIF(ThresholdAge02,"&lt;"&amp;'19_Расчет_аналитики'!AX3596,WeightedRevAge02)-SUMIF(ThresholdAge02,"&lt;"&amp;'19_Расчет_аналитики'!AX3596,WeightedMinAge02),MAX(CapacityAge02*'01_Вводные'!$B$218*'19_Расчет_аналитики'!AX3596,MeanMinAge02))),0)</f>
        <v/>
      </c>
      <c r="AY3529">
        <f>IF('01_Вводные'!$B$234="Да",IF(OR(('19_Расчет_аналитики'!AY3445-'19_Расчет_аналитики'!AY3473)=0,2&lt;='01_Вводные'!$B$297),0,('19_Расчет_аналитики'!AY3445-'19_Расчет_аналитики'!AY3473)*IF('01_Вводные'!$B$239="Да",MeanMinAge02+'19_Расчет_аналитики'!AY3596*SUMIF(ThresholdAge02,"&lt;"&amp;'19_Расчет_аналитики'!AY3596,WeightedRevAge02)-SUMIF(ThresholdAge02,"&lt;"&amp;'19_Расчет_аналитики'!AY3596,WeightedMinAge02),MAX(CapacityAge02*'01_Вводные'!$B$218*'19_Расчет_аналитики'!AY3596,MeanMinAge02))),0)</f>
        <v/>
      </c>
      <c r="AZ3529">
        <f>IF('01_Вводные'!$B$234="Да",IF(OR(('19_Расчет_аналитики'!AZ3445-'19_Расчет_аналитики'!AZ3473)=0,2&lt;='01_Вводные'!$B$297),0,('19_Расчет_аналитики'!AZ3445-'19_Расчет_аналитики'!AZ3473)*IF('01_Вводные'!$B$239="Да",MeanMinAge02+'19_Расчет_аналитики'!AZ3596*SUMIF(ThresholdAge02,"&lt;"&amp;'19_Расчет_аналитики'!AZ3596,WeightedRevAge02)-SUMIF(ThresholdAge02,"&lt;"&amp;'19_Расчет_аналитики'!AZ3596,WeightedMinAge02),MAX(CapacityAge02*'01_Вводные'!$B$218*'19_Расчет_аналитики'!AZ3596,MeanMinAge02))),0)</f>
        <v/>
      </c>
      <c r="BA3529">
        <f>IF('01_Вводные'!$B$234="Да",IF(OR(('19_Расчет_аналитики'!BA3445-'19_Расчет_аналитики'!BA3473)=0,2&lt;='01_Вводные'!$B$297),0,('19_Расчет_аналитики'!BA3445-'19_Расчет_аналитики'!BA3473)*IF('01_Вводные'!$B$239="Да",MeanMinAge02+'19_Расчет_аналитики'!BA3596*SUMIF(ThresholdAge02,"&lt;"&amp;'19_Расчет_аналитики'!BA3596,WeightedRevAge02)-SUMIF(ThresholdAge02,"&lt;"&amp;'19_Расчет_аналитики'!BA3596,WeightedMinAge02),MAX(CapacityAge02*'01_Вводные'!$B$218*'19_Расчет_аналитики'!BA3596,MeanMinAge02))),0)</f>
        <v/>
      </c>
      <c r="BB3529">
        <f>IF('01_Вводные'!$B$234="Да",IF(OR(('19_Расчет_аналитики'!BB3445-'19_Расчет_аналитики'!BB3473)=0,2&lt;='01_Вводные'!$B$297),0,('19_Расчет_аналитики'!BB3445-'19_Расчет_аналитики'!BB3473)*IF('01_Вводные'!$B$239="Да",MeanMinAge02+'19_Расчет_аналитики'!BB3596*SUMIF(ThresholdAge02,"&lt;"&amp;'19_Расчет_аналитики'!BB3596,WeightedRevAge02)-SUMIF(ThresholdAge02,"&lt;"&amp;'19_Расчет_аналитики'!BB3596,WeightedMinAge02),MAX(CapacityAge02*'01_Вводные'!$B$218*'19_Расчет_аналитики'!BB3596,MeanMinAge02))),0)</f>
        <v/>
      </c>
      <c r="BC3529">
        <f>IF('01_Вводные'!$B$234="Да",IF(OR(('19_Расчет_аналитики'!BC3445-'19_Расчет_аналитики'!BC3473)=0,2&lt;='01_Вводные'!$B$297),0,('19_Расчет_аналитики'!BC3445-'19_Расчет_аналитики'!BC3473)*IF('01_Вводные'!$B$239="Да",MeanMinAge02+'19_Расчет_аналитики'!BC3596*SUMIF(ThresholdAge02,"&lt;"&amp;'19_Расчет_аналитики'!BC3596,WeightedRevAge02)-SUMIF(ThresholdAge02,"&lt;"&amp;'19_Расчет_аналитики'!BC3596,WeightedMinAge02),MAX(CapacityAge02*'01_Вводные'!$B$218*'19_Расчет_аналитики'!BC3596,MeanMinAge02))),0)</f>
        <v/>
      </c>
      <c r="BD3529">
        <f>IF('01_Вводные'!$B$234="Да",IF(OR(('19_Расчет_аналитики'!BD3445-'19_Расчет_аналитики'!BD3473)=0,2&lt;='01_Вводные'!$B$297),0,('19_Расчет_аналитики'!BD3445-'19_Расчет_аналитики'!BD3473)*IF('01_Вводные'!$B$239="Да",MeanMinAge02+'19_Расчет_аналитики'!BD3596*SUMIF(ThresholdAge02,"&lt;"&amp;'19_Расчет_аналитики'!BD3596,WeightedRevAge02)-SUMIF(ThresholdAge02,"&lt;"&amp;'19_Расчет_аналитики'!BD3596,WeightedMinAge02),MAX(CapacityAge02*'01_Вводные'!$B$218*'19_Расчет_аналитики'!BD3596,MeanMinAge02))),0)</f>
        <v/>
      </c>
      <c r="BE3529">
        <f>IF('01_Вводные'!$B$234="Да",IF(OR(('19_Расчет_аналитики'!BE3445-'19_Расчет_аналитики'!BE3473)=0,2&lt;='01_Вводные'!$B$297),0,('19_Расчет_аналитики'!BE3445-'19_Расчет_аналитики'!BE3473)*IF('01_Вводные'!$B$239="Да",MeanMinAge02+'19_Расчет_аналитики'!BE3596*SUMIF(ThresholdAge02,"&lt;"&amp;'19_Расчет_аналитики'!BE3596,WeightedRevAge02)-SUMIF(ThresholdAge02,"&lt;"&amp;'19_Расчет_аналитики'!BE3596,WeightedMinAge02),MAX(CapacityAge02*'01_Вводные'!$B$218*'19_Расчет_аналитики'!BE3596,MeanMinAge02))),0)</f>
        <v/>
      </c>
      <c r="BF3529">
        <f>IF('01_Вводные'!$B$234="Да",IF(OR(('19_Расчет_аналитики'!BF3445-'19_Расчет_аналитики'!BF3473)=0,2&lt;='01_Вводные'!$B$297),0,('19_Расчет_аналитики'!BF3445-'19_Расчет_аналитики'!BF3473)*IF('01_Вводные'!$B$239="Да",MeanMinAge02+'19_Расчет_аналитики'!BF3596*SUMIF(ThresholdAge02,"&lt;"&amp;'19_Расчет_аналитики'!BF3596,WeightedRevAge02)-SUMIF(ThresholdAge02,"&lt;"&amp;'19_Расчет_аналитики'!BF3596,WeightedMinAge02),MAX(CapacityAge02*'01_Вводные'!$B$218*'19_Расчет_аналитики'!BF3596,MeanMinAge02))),0)</f>
        <v/>
      </c>
      <c r="BG3529">
        <f>IF('01_Вводные'!$B$234="Да",IF(OR(('19_Расчет_аналитики'!BG3445-'19_Расчет_аналитики'!BG3473)=0,2&lt;='01_Вводные'!$B$297),0,('19_Расчет_аналитики'!BG3445-'19_Расчет_аналитики'!BG3473)*IF('01_Вводные'!$B$239="Да",MeanMinAge02+'19_Расчет_аналитики'!BG3596*SUMIF(ThresholdAge02,"&lt;"&amp;'19_Расчет_аналитики'!BG3596,WeightedRevAge02)-SUMIF(ThresholdAge02,"&lt;"&amp;'19_Расчет_аналитики'!BG3596,WeightedMinAge02),MAX(CapacityAge02*'01_Вводные'!$B$218*'19_Расчет_аналитики'!BG3596,MeanMinAge02))),0)</f>
        <v/>
      </c>
      <c r="BH3529">
        <f>IF('01_Вводные'!$B$234="Да",IF(OR(('19_Расчет_аналитики'!BH3445-'19_Расчет_аналитики'!BH3473)=0,2&lt;='01_Вводные'!$B$297),0,('19_Расчет_аналитики'!BH3445-'19_Расчет_аналитики'!BH3473)*IF('01_Вводные'!$B$239="Да",MeanMinAge02+'19_Расчет_аналитики'!BH3596*SUMIF(ThresholdAge02,"&lt;"&amp;'19_Расчет_аналитики'!BH3596,WeightedRevAge02)-SUMIF(ThresholdAge02,"&lt;"&amp;'19_Расчет_аналитики'!BH3596,WeightedMinAge02),MAX(CapacityAge02*'01_Вводные'!$B$218*'19_Расчет_аналитики'!BH3596,MeanMinAge02))),0)</f>
        <v/>
      </c>
      <c r="BI3529">
        <f>IF('01_Вводные'!$B$234="Да",IF(OR(('19_Расчет_аналитики'!BI3445-'19_Расчет_аналитики'!BI3473)=0,2&lt;='01_Вводные'!$B$297),0,('19_Расчет_аналитики'!BI3445-'19_Расчет_аналитики'!BI3473)*IF('01_Вводные'!$B$239="Да",MeanMinAge02+'19_Расчет_аналитики'!BI3596*SUMIF(ThresholdAge02,"&lt;"&amp;'19_Расчет_аналитики'!BI3596,WeightedRevAge02)-SUMIF(ThresholdAge02,"&lt;"&amp;'19_Расчет_аналитики'!BI3596,WeightedMinAge02),MAX(CapacityAge02*'01_Вводные'!$B$218*'19_Расчет_аналитики'!BI3596,MeanMinAge02))),0)</f>
        <v/>
      </c>
      <c r="BJ3529">
        <f>IF('01_Вводные'!$B$234="Да",IF(OR(('19_Расчет_аналитики'!BJ3445-'19_Расчет_аналитики'!BJ3473)=0,2&lt;='01_Вводные'!$B$297),0,('19_Расчет_аналитики'!BJ3445-'19_Расчет_аналитики'!BJ3473)*IF('01_Вводные'!$B$239="Да",MeanMinAge02+'19_Расчет_аналитики'!BJ3596*SUMIF(ThresholdAge02,"&lt;"&amp;'19_Расчет_аналитики'!BJ3596,WeightedRevAge02)-SUMIF(ThresholdAge02,"&lt;"&amp;'19_Расчет_аналитики'!BJ3596,WeightedMinAge02),MAX(CapacityAge02*'01_Вводные'!$B$218*'19_Расчет_аналитики'!BJ3596,MeanMinAge02))),0)</f>
        <v/>
      </c>
      <c r="BK3529">
        <f>IF('01_Вводные'!$B$234="Да",IF(OR(('19_Расчет_аналитики'!BK3445-'19_Расчет_аналитики'!BK3473)=0,2&lt;='01_Вводные'!$B$297),0,('19_Расчет_аналитики'!BK3445-'19_Расчет_аналитики'!BK3473)*IF('01_Вводные'!$B$239="Да",MeanMinAge02+'19_Расчет_аналитики'!BK3596*SUMIF(ThresholdAge02,"&lt;"&amp;'19_Расчет_аналитики'!BK3596,WeightedRevAge02)-SUMIF(ThresholdAge02,"&lt;"&amp;'19_Расчет_аналитики'!BK3596,WeightedMinAge02),MAX(CapacityAge02*'01_Вводные'!$B$218*'19_Расчет_аналитики'!BK3596,MeanMinAge02))),0)</f>
        <v/>
      </c>
      <c r="BL3529">
        <f>IF('01_Вводные'!$B$234="Да",IF(OR(('19_Расчет_аналитики'!BL3445-'19_Расчет_аналитики'!BL3473)=0,2&lt;='01_Вводные'!$B$297),0,('19_Расчет_аналитики'!BL3445-'19_Расчет_аналитики'!BL3473)*IF('01_Вводные'!$B$239="Да",MeanMinAge02+'19_Расчет_аналитики'!BL3596*SUMIF(ThresholdAge02,"&lt;"&amp;'19_Расчет_аналитики'!BL3596,WeightedRevAge02)-SUMIF(ThresholdAge02,"&lt;"&amp;'19_Расчет_аналитики'!BL3596,WeightedMinAge02),MAX(CapacityAge02*'01_Вводные'!$B$218*'19_Расчет_аналитики'!BL3596,MeanMinAge02))),0)</f>
        <v/>
      </c>
      <c r="BM3529">
        <f>IF('01_Вводные'!$B$234="Да",IF(OR(('19_Расчет_аналитики'!BM3445-'19_Расчет_аналитики'!BM3473)=0,2&lt;='01_Вводные'!$B$297),0,('19_Расчет_аналитики'!BM3445-'19_Расчет_аналитики'!BM3473)*IF('01_Вводные'!$B$239="Да",MeanMinAge02+'19_Расчет_аналитики'!BM3596*SUMIF(ThresholdAge02,"&lt;"&amp;'19_Расчет_аналитики'!BM3596,WeightedRevAge02)-SUMIF(ThresholdAge02,"&lt;"&amp;'19_Расчет_аналитики'!BM3596,WeightedMinAge02),MAX(CapacityAge02*'01_Вводные'!$B$218*'19_Расчет_аналитики'!BM3596,MeanMinAge02))),0)</f>
        <v/>
      </c>
      <c r="BN3529">
        <f>IF('01_Вводные'!$B$234="Да",IF(OR(('19_Расчет_аналитики'!BN3445-'19_Расчет_аналитики'!BN3473)=0,2&lt;='01_Вводные'!$B$297),0,('19_Расчет_аналитики'!BN3445-'19_Расчет_аналитики'!BN3473)*IF('01_Вводные'!$B$239="Да",MeanMinAge02+'19_Расчет_аналитики'!BN3596*SUMIF(ThresholdAge02,"&lt;"&amp;'19_Расчет_аналитики'!BN3596,WeightedRevAge02)-SUMIF(ThresholdAge02,"&lt;"&amp;'19_Расчет_аналитики'!BN3596,WeightedMinAge02),MAX(CapacityAge02*'01_Вводные'!$B$218*'19_Расчет_аналитики'!BN3596,MeanMinAge02))),0)</f>
        <v/>
      </c>
      <c r="BO3529">
        <f>IF('01_Вводные'!$B$234="Да",IF(OR(('19_Расчет_аналитики'!BO3445-'19_Расчет_аналитики'!BO3473)=0,2&lt;='01_Вводные'!$B$297),0,('19_Расчет_аналитики'!BO3445-'19_Расчет_аналитики'!BO3473)*IF('01_Вводные'!$B$239="Да",MeanMinAge02+'19_Расчет_аналитики'!BO3596*SUMIF(ThresholdAge02,"&lt;"&amp;'19_Расчет_аналитики'!BO3596,WeightedRevAge02)-SUMIF(ThresholdAge02,"&lt;"&amp;'19_Расчет_аналитики'!BO3596,WeightedMinAge02),MAX(CapacityAge02*'01_Вводные'!$B$218*'19_Расчет_аналитики'!BO3596,MeanMinAge02))),0)</f>
        <v/>
      </c>
    </row>
    <row r="3530">
      <c r="B3530">
        <f>IF('01_Вводные'!$B$234="Да",IF(OR(('06_Сеть_и_дети'!B55-'06_Сеть_и_дети'!B83)=0,3&lt;='01_Вводные'!$B$297),0,('06_Сеть_и_дети'!B55-'06_Сеть_и_дети'!B83)*IF('01_Вводные'!$B$239="Да",MeanMinAge03+'19_Расчет_аналитики'!B3596*SUMIF(ThresholdAge03,"&lt;"&amp;'19_Расчет_аналитики'!B3596,WeightedRevAge03)-SUMIF(ThresholdAge03,"&lt;"&amp;'19_Расчет_аналитики'!B3596,WeightedMinAge03),MAX(CapacityAge03*'01_Вводные'!$B$218*'19_Расчет_аналитики'!B3596,MeanMinAge03))),0)</f>
        <v/>
      </c>
      <c r="C3530">
        <f>IF('01_Вводные'!$B$234="Да",IF(OR(('06_Сеть_и_дети'!C55-'06_Сеть_и_дети'!C83)=0,3&lt;='01_Вводные'!$B$297),0,('06_Сеть_и_дети'!C55-'06_Сеть_и_дети'!C83)*IF('01_Вводные'!$B$239="Да",MeanMinAge03+'19_Расчет_аналитики'!C3596*SUMIF(ThresholdAge03,"&lt;"&amp;'19_Расчет_аналитики'!C3596,WeightedRevAge03)-SUMIF(ThresholdAge03,"&lt;"&amp;'19_Расчет_аналитики'!C3596,WeightedMinAge03),MAX(CapacityAge03*'01_Вводные'!$B$218*'19_Расчет_аналитики'!C3596,MeanMinAge03))),0)</f>
        <v/>
      </c>
      <c r="D3530">
        <f>IF('01_Вводные'!$B$234="Да",IF(OR(('19_Расчет_аналитики'!D3446-'19_Расчет_аналитики'!D3474)=0,3&lt;='01_Вводные'!$B$297),0,('19_Расчет_аналитики'!D3446-'19_Расчет_аналитики'!D3474)*IF('01_Вводные'!$B$239="Да",MeanMinAge03+'19_Расчет_аналитики'!D3596*SUMIF(ThresholdAge03,"&lt;"&amp;'19_Расчет_аналитики'!D3596,WeightedRevAge03)-SUMIF(ThresholdAge03,"&lt;"&amp;'19_Расчет_аналитики'!D3596,WeightedMinAge03),MAX(CapacityAge03*'01_Вводные'!$B$218*'19_Расчет_аналитики'!D3596,MeanMinAge03))),0)</f>
        <v/>
      </c>
      <c r="E3530">
        <f>IF('01_Вводные'!$B$234="Да",IF(OR(('19_Расчет_аналитики'!E3446-'19_Расчет_аналитики'!E3474)=0,3&lt;='01_Вводные'!$B$297),0,('19_Расчет_аналитики'!E3446-'19_Расчет_аналитики'!E3474)*IF('01_Вводные'!$B$239="Да",MeanMinAge03+'19_Расчет_аналитики'!E3596*SUMIF(ThresholdAge03,"&lt;"&amp;'19_Расчет_аналитики'!E3596,WeightedRevAge03)-SUMIF(ThresholdAge03,"&lt;"&amp;'19_Расчет_аналитики'!E3596,WeightedMinAge03),MAX(CapacityAge03*'01_Вводные'!$B$218*'19_Расчет_аналитики'!E3596,MeanMinAge03))),0)</f>
        <v/>
      </c>
      <c r="F3530">
        <f>IF('01_Вводные'!$B$234="Да",IF(OR(('19_Расчет_аналитики'!F3446-'19_Расчет_аналитики'!F3474)=0,3&lt;='01_Вводные'!$B$297),0,('19_Расчет_аналитики'!F3446-'19_Расчет_аналитики'!F3474)*IF('01_Вводные'!$B$239="Да",MeanMinAge03+'19_Расчет_аналитики'!F3596*SUMIF(ThresholdAge03,"&lt;"&amp;'19_Расчет_аналитики'!F3596,WeightedRevAge03)-SUMIF(ThresholdAge03,"&lt;"&amp;'19_Расчет_аналитики'!F3596,WeightedMinAge03),MAX(CapacityAge03*'01_Вводные'!$B$218*'19_Расчет_аналитики'!F3596,MeanMinAge03))),0)</f>
        <v/>
      </c>
      <c r="G3530">
        <f>IF('01_Вводные'!$B$234="Да",IF(OR(('19_Расчет_аналитики'!G3446-'19_Расчет_аналитики'!G3474)=0,3&lt;='01_Вводные'!$B$297),0,('19_Расчет_аналитики'!G3446-'19_Расчет_аналитики'!G3474)*IF('01_Вводные'!$B$239="Да",MeanMinAge03+'19_Расчет_аналитики'!G3596*SUMIF(ThresholdAge03,"&lt;"&amp;'19_Расчет_аналитики'!G3596,WeightedRevAge03)-SUMIF(ThresholdAge03,"&lt;"&amp;'19_Расчет_аналитики'!G3596,WeightedMinAge03),MAX(CapacityAge03*'01_Вводные'!$B$218*'19_Расчет_аналитики'!G3596,MeanMinAge03))),0)</f>
        <v/>
      </c>
      <c r="H3530">
        <f>IF('01_Вводные'!$B$234="Да",IF(OR(('19_Расчет_аналитики'!H3446-'19_Расчет_аналитики'!H3474)=0,3&lt;='01_Вводные'!$B$297),0,('19_Расчет_аналитики'!H3446-'19_Расчет_аналитики'!H3474)*IF('01_Вводные'!$B$239="Да",MeanMinAge03+'19_Расчет_аналитики'!H3596*SUMIF(ThresholdAge03,"&lt;"&amp;'19_Расчет_аналитики'!H3596,WeightedRevAge03)-SUMIF(ThresholdAge03,"&lt;"&amp;'19_Расчет_аналитики'!H3596,WeightedMinAge03),MAX(CapacityAge03*'01_Вводные'!$B$218*'19_Расчет_аналитики'!H3596,MeanMinAge03))),0)</f>
        <v/>
      </c>
      <c r="I3530">
        <f>IF('01_Вводные'!$B$234="Да",IF(OR(('19_Расчет_аналитики'!I3446-'19_Расчет_аналитики'!I3474)=0,3&lt;='01_Вводные'!$B$297),0,('19_Расчет_аналитики'!I3446-'19_Расчет_аналитики'!I3474)*IF('01_Вводные'!$B$239="Да",MeanMinAge03+'19_Расчет_аналитики'!I3596*SUMIF(ThresholdAge03,"&lt;"&amp;'19_Расчет_аналитики'!I3596,WeightedRevAge03)-SUMIF(ThresholdAge03,"&lt;"&amp;'19_Расчет_аналитики'!I3596,WeightedMinAge03),MAX(CapacityAge03*'01_Вводные'!$B$218*'19_Расчет_аналитики'!I3596,MeanMinAge03))),0)</f>
        <v/>
      </c>
      <c r="J3530">
        <f>IF('01_Вводные'!$B$234="Да",IF(OR(('19_Расчет_аналитики'!J3446-'19_Расчет_аналитики'!J3474)=0,3&lt;='01_Вводные'!$B$297),0,('19_Расчет_аналитики'!J3446-'19_Расчет_аналитики'!J3474)*IF('01_Вводные'!$B$239="Да",MeanMinAge03+'19_Расчет_аналитики'!J3596*SUMIF(ThresholdAge03,"&lt;"&amp;'19_Расчет_аналитики'!J3596,WeightedRevAge03)-SUMIF(ThresholdAge03,"&lt;"&amp;'19_Расчет_аналитики'!J3596,WeightedMinAge03),MAX(CapacityAge03*'01_Вводные'!$B$218*'19_Расчет_аналитики'!J3596,MeanMinAge03))),0)</f>
        <v/>
      </c>
      <c r="K3530">
        <f>IF('01_Вводные'!$B$234="Да",IF(OR(('19_Расчет_аналитики'!K3446-'19_Расчет_аналитики'!K3474)=0,3&lt;='01_Вводные'!$B$297),0,('19_Расчет_аналитики'!K3446-'19_Расчет_аналитики'!K3474)*IF('01_Вводные'!$B$239="Да",MeanMinAge03+'19_Расчет_аналитики'!K3596*SUMIF(ThresholdAge03,"&lt;"&amp;'19_Расчет_аналитики'!K3596,WeightedRevAge03)-SUMIF(ThresholdAge03,"&lt;"&amp;'19_Расчет_аналитики'!K3596,WeightedMinAge03),MAX(CapacityAge03*'01_Вводные'!$B$218*'19_Расчет_аналитики'!K3596,MeanMinAge03))),0)</f>
        <v/>
      </c>
      <c r="L3530">
        <f>IF('01_Вводные'!$B$234="Да",IF(OR(('19_Расчет_аналитики'!L3446-'19_Расчет_аналитики'!L3474)=0,3&lt;='01_Вводные'!$B$297),0,('19_Расчет_аналитики'!L3446-'19_Расчет_аналитики'!L3474)*IF('01_Вводные'!$B$239="Да",MeanMinAge03+'19_Расчет_аналитики'!L3596*SUMIF(ThresholdAge03,"&lt;"&amp;'19_Расчет_аналитики'!L3596,WeightedRevAge03)-SUMIF(ThresholdAge03,"&lt;"&amp;'19_Расчет_аналитики'!L3596,WeightedMinAge03),MAX(CapacityAge03*'01_Вводные'!$B$218*'19_Расчет_аналитики'!L3596,MeanMinAge03))),0)</f>
        <v/>
      </c>
      <c r="M3530">
        <f>IF('01_Вводные'!$B$234="Да",IF(OR(('19_Расчет_аналитики'!M3446-'19_Расчет_аналитики'!M3474)=0,3&lt;='01_Вводные'!$B$297),0,('19_Расчет_аналитики'!M3446-'19_Расчет_аналитики'!M3474)*IF('01_Вводные'!$B$239="Да",MeanMinAge03+'19_Расчет_аналитики'!M3596*SUMIF(ThresholdAge03,"&lt;"&amp;'19_Расчет_аналитики'!M3596,WeightedRevAge03)-SUMIF(ThresholdAge03,"&lt;"&amp;'19_Расчет_аналитики'!M3596,WeightedMinAge03),MAX(CapacityAge03*'01_Вводные'!$B$218*'19_Расчет_аналитики'!M3596,MeanMinAge03))),0)</f>
        <v/>
      </c>
      <c r="N3530">
        <f>IF('01_Вводные'!$B$234="Да",IF(OR(('19_Расчет_аналитики'!N3446-'19_Расчет_аналитики'!N3474)=0,3&lt;='01_Вводные'!$B$297),0,('19_Расчет_аналитики'!N3446-'19_Расчет_аналитики'!N3474)*IF('01_Вводные'!$B$239="Да",MeanMinAge03+'19_Расчет_аналитики'!N3596*SUMIF(ThresholdAge03,"&lt;"&amp;'19_Расчет_аналитики'!N3596,WeightedRevAge03)-SUMIF(ThresholdAge03,"&lt;"&amp;'19_Расчет_аналитики'!N3596,WeightedMinAge03),MAX(CapacityAge03*'01_Вводные'!$B$218*'19_Расчет_аналитики'!N3596,MeanMinAge03))),0)</f>
        <v/>
      </c>
      <c r="O3530">
        <f>IF('01_Вводные'!$B$234="Да",IF(OR(('19_Расчет_аналитики'!O3446-'19_Расчет_аналитики'!O3474)=0,3&lt;='01_Вводные'!$B$297),0,('19_Расчет_аналитики'!O3446-'19_Расчет_аналитики'!O3474)*IF('01_Вводные'!$B$239="Да",MeanMinAge03+'19_Расчет_аналитики'!O3596*SUMIF(ThresholdAge03,"&lt;"&amp;'19_Расчет_аналитики'!O3596,WeightedRevAge03)-SUMIF(ThresholdAge03,"&lt;"&amp;'19_Расчет_аналитики'!O3596,WeightedMinAge03),MAX(CapacityAge03*'01_Вводные'!$B$218*'19_Расчет_аналитики'!O3596,MeanMinAge03))),0)</f>
        <v/>
      </c>
      <c r="P3530">
        <f>IF('01_Вводные'!$B$234="Да",IF(OR(('19_Расчет_аналитики'!P3446-'19_Расчет_аналитики'!P3474)=0,3&lt;='01_Вводные'!$B$297),0,('19_Расчет_аналитики'!P3446-'19_Расчет_аналитики'!P3474)*IF('01_Вводные'!$B$239="Да",MeanMinAge03+'19_Расчет_аналитики'!P3596*SUMIF(ThresholdAge03,"&lt;"&amp;'19_Расчет_аналитики'!P3596,WeightedRevAge03)-SUMIF(ThresholdAge03,"&lt;"&amp;'19_Расчет_аналитики'!P3596,WeightedMinAge03),MAX(CapacityAge03*'01_Вводные'!$B$218*'19_Расчет_аналитики'!P3596,MeanMinAge03))),0)</f>
        <v/>
      </c>
      <c r="Q3530">
        <f>IF('01_Вводные'!$B$234="Да",IF(OR(('19_Расчет_аналитики'!Q3446-'19_Расчет_аналитики'!Q3474)=0,3&lt;='01_Вводные'!$B$297),0,('19_Расчет_аналитики'!Q3446-'19_Расчет_аналитики'!Q3474)*IF('01_Вводные'!$B$239="Да",MeanMinAge03+'19_Расчет_аналитики'!Q3596*SUMIF(ThresholdAge03,"&lt;"&amp;'19_Расчет_аналитики'!Q3596,WeightedRevAge03)-SUMIF(ThresholdAge03,"&lt;"&amp;'19_Расчет_аналитики'!Q3596,WeightedMinAge03),MAX(CapacityAge03*'01_Вводные'!$B$218*'19_Расчет_аналитики'!Q3596,MeanMinAge03))),0)</f>
        <v/>
      </c>
      <c r="R3530">
        <f>IF('01_Вводные'!$B$234="Да",IF(OR(('19_Расчет_аналитики'!R3446-'19_Расчет_аналитики'!R3474)=0,3&lt;='01_Вводные'!$B$297),0,('19_Расчет_аналитики'!R3446-'19_Расчет_аналитики'!R3474)*IF('01_Вводные'!$B$239="Да",MeanMinAge03+'19_Расчет_аналитики'!R3596*SUMIF(ThresholdAge03,"&lt;"&amp;'19_Расчет_аналитики'!R3596,WeightedRevAge03)-SUMIF(ThresholdAge03,"&lt;"&amp;'19_Расчет_аналитики'!R3596,WeightedMinAge03),MAX(CapacityAge03*'01_Вводные'!$B$218*'19_Расчет_аналитики'!R3596,MeanMinAge03))),0)</f>
        <v/>
      </c>
      <c r="S3530">
        <f>IF('01_Вводные'!$B$234="Да",IF(OR(('19_Расчет_аналитики'!S3446-'19_Расчет_аналитики'!S3474)=0,3&lt;='01_Вводные'!$B$297),0,('19_Расчет_аналитики'!S3446-'19_Расчет_аналитики'!S3474)*IF('01_Вводные'!$B$239="Да",MeanMinAge03+'19_Расчет_аналитики'!S3596*SUMIF(ThresholdAge03,"&lt;"&amp;'19_Расчет_аналитики'!S3596,WeightedRevAge03)-SUMIF(ThresholdAge03,"&lt;"&amp;'19_Расчет_аналитики'!S3596,WeightedMinAge03),MAX(CapacityAge03*'01_Вводные'!$B$218*'19_Расчет_аналитики'!S3596,MeanMinAge03))),0)</f>
        <v/>
      </c>
      <c r="T3530">
        <f>IF('01_Вводные'!$B$234="Да",IF(OR(('19_Расчет_аналитики'!T3446-'19_Расчет_аналитики'!T3474)=0,3&lt;='01_Вводные'!$B$297),0,('19_Расчет_аналитики'!T3446-'19_Расчет_аналитики'!T3474)*IF('01_Вводные'!$B$239="Да",MeanMinAge03+'19_Расчет_аналитики'!T3596*SUMIF(ThresholdAge03,"&lt;"&amp;'19_Расчет_аналитики'!T3596,WeightedRevAge03)-SUMIF(ThresholdAge03,"&lt;"&amp;'19_Расчет_аналитики'!T3596,WeightedMinAge03),MAX(CapacityAge03*'01_Вводные'!$B$218*'19_Расчет_аналитики'!T3596,MeanMinAge03))),0)</f>
        <v/>
      </c>
      <c r="U3530">
        <f>IF('01_Вводные'!$B$234="Да",IF(OR(('19_Расчет_аналитики'!U3446-'19_Расчет_аналитики'!U3474)=0,3&lt;='01_Вводные'!$B$297),0,('19_Расчет_аналитики'!U3446-'19_Расчет_аналитики'!U3474)*IF('01_Вводные'!$B$239="Да",MeanMinAge03+'19_Расчет_аналитики'!U3596*SUMIF(ThresholdAge03,"&lt;"&amp;'19_Расчет_аналитики'!U3596,WeightedRevAge03)-SUMIF(ThresholdAge03,"&lt;"&amp;'19_Расчет_аналитики'!U3596,WeightedMinAge03),MAX(CapacityAge03*'01_Вводные'!$B$218*'19_Расчет_аналитики'!U3596,MeanMinAge03))),0)</f>
        <v/>
      </c>
      <c r="V3530">
        <f>IF('01_Вводные'!$B$234="Да",IF(OR(('19_Расчет_аналитики'!V3446-'19_Расчет_аналитики'!V3474)=0,3&lt;='01_Вводные'!$B$297),0,('19_Расчет_аналитики'!V3446-'19_Расчет_аналитики'!V3474)*IF('01_Вводные'!$B$239="Да",MeanMinAge03+'19_Расчет_аналитики'!V3596*SUMIF(ThresholdAge03,"&lt;"&amp;'19_Расчет_аналитики'!V3596,WeightedRevAge03)-SUMIF(ThresholdAge03,"&lt;"&amp;'19_Расчет_аналитики'!V3596,WeightedMinAge03),MAX(CapacityAge03*'01_Вводные'!$B$218*'19_Расчет_аналитики'!V3596,MeanMinAge03))),0)</f>
        <v/>
      </c>
      <c r="W3530">
        <f>IF('01_Вводные'!$B$234="Да",IF(OR(('19_Расчет_аналитики'!W3446-'19_Расчет_аналитики'!W3474)=0,3&lt;='01_Вводные'!$B$297),0,('19_Расчет_аналитики'!W3446-'19_Расчет_аналитики'!W3474)*IF('01_Вводные'!$B$239="Да",MeanMinAge03+'19_Расчет_аналитики'!W3596*SUMIF(ThresholdAge03,"&lt;"&amp;'19_Расчет_аналитики'!W3596,WeightedRevAge03)-SUMIF(ThresholdAge03,"&lt;"&amp;'19_Расчет_аналитики'!W3596,WeightedMinAge03),MAX(CapacityAge03*'01_Вводные'!$B$218*'19_Расчет_аналитики'!W3596,MeanMinAge03))),0)</f>
        <v/>
      </c>
      <c r="X3530">
        <f>IF('01_Вводные'!$B$234="Да",IF(OR(('19_Расчет_аналитики'!X3446-'19_Расчет_аналитики'!X3474)=0,3&lt;='01_Вводные'!$B$297),0,('19_Расчет_аналитики'!X3446-'19_Расчет_аналитики'!X3474)*IF('01_Вводные'!$B$239="Да",MeanMinAge03+'19_Расчет_аналитики'!X3596*SUMIF(ThresholdAge03,"&lt;"&amp;'19_Расчет_аналитики'!X3596,WeightedRevAge03)-SUMIF(ThresholdAge03,"&lt;"&amp;'19_Расчет_аналитики'!X3596,WeightedMinAge03),MAX(CapacityAge03*'01_Вводные'!$B$218*'19_Расчет_аналитики'!X3596,MeanMinAge03))),0)</f>
        <v/>
      </c>
      <c r="Y3530">
        <f>IF('01_Вводные'!$B$234="Да",IF(OR(('19_Расчет_аналитики'!Y3446-'19_Расчет_аналитики'!Y3474)=0,3&lt;='01_Вводные'!$B$297),0,('19_Расчет_аналитики'!Y3446-'19_Расчет_аналитики'!Y3474)*IF('01_Вводные'!$B$239="Да",MeanMinAge03+'19_Расчет_аналитики'!Y3596*SUMIF(ThresholdAge03,"&lt;"&amp;'19_Расчет_аналитики'!Y3596,WeightedRevAge03)-SUMIF(ThresholdAge03,"&lt;"&amp;'19_Расчет_аналитики'!Y3596,WeightedMinAge03),MAX(CapacityAge03*'01_Вводные'!$B$218*'19_Расчет_аналитики'!Y3596,MeanMinAge03))),0)</f>
        <v/>
      </c>
      <c r="Z3530">
        <f>IF('01_Вводные'!$B$234="Да",IF(OR(('19_Расчет_аналитики'!Z3446-'19_Расчет_аналитики'!Z3474)=0,3&lt;='01_Вводные'!$B$297),0,('19_Расчет_аналитики'!Z3446-'19_Расчет_аналитики'!Z3474)*IF('01_Вводные'!$B$239="Да",MeanMinAge03+'19_Расчет_аналитики'!Z3596*SUMIF(ThresholdAge03,"&lt;"&amp;'19_Расчет_аналитики'!Z3596,WeightedRevAge03)-SUMIF(ThresholdAge03,"&lt;"&amp;'19_Расчет_аналитики'!Z3596,WeightedMinAge03),MAX(CapacityAge03*'01_Вводные'!$B$218*'19_Расчет_аналитики'!Z3596,MeanMinAge03))),0)</f>
        <v/>
      </c>
      <c r="AA3530">
        <f>IF('01_Вводные'!$B$234="Да",IF(OR(('19_Расчет_аналитики'!AA3446-'19_Расчет_аналитики'!AA3474)=0,3&lt;='01_Вводные'!$B$297),0,('19_Расчет_аналитики'!AA3446-'19_Расчет_аналитики'!AA3474)*IF('01_Вводные'!$B$239="Да",MeanMinAge03+'19_Расчет_аналитики'!AA3596*SUMIF(ThresholdAge03,"&lt;"&amp;'19_Расчет_аналитики'!AA3596,WeightedRevAge03)-SUMIF(ThresholdAge03,"&lt;"&amp;'19_Расчет_аналитики'!AA3596,WeightedMinAge03),MAX(CapacityAge03*'01_Вводные'!$B$218*'19_Расчет_аналитики'!AA3596,MeanMinAge03))),0)</f>
        <v/>
      </c>
      <c r="AB3530">
        <f>IF('01_Вводные'!$B$234="Да",IF(OR(('19_Расчет_аналитики'!AB3446-'19_Расчет_аналитики'!AB3474)=0,3&lt;='01_Вводные'!$B$297),0,('19_Расчет_аналитики'!AB3446-'19_Расчет_аналитики'!AB3474)*IF('01_Вводные'!$B$239="Да",MeanMinAge03+'19_Расчет_аналитики'!AB3596*SUMIF(ThresholdAge03,"&lt;"&amp;'19_Расчет_аналитики'!AB3596,WeightedRevAge03)-SUMIF(ThresholdAge03,"&lt;"&amp;'19_Расчет_аналитики'!AB3596,WeightedMinAge03),MAX(CapacityAge03*'01_Вводные'!$B$218*'19_Расчет_аналитики'!AB3596,MeanMinAge03))),0)</f>
        <v/>
      </c>
      <c r="AC3530">
        <f>IF('01_Вводные'!$B$234="Да",IF(OR(('19_Расчет_аналитики'!AC3446-'19_Расчет_аналитики'!AC3474)=0,3&lt;='01_Вводные'!$B$297),0,('19_Расчет_аналитики'!AC3446-'19_Расчет_аналитики'!AC3474)*IF('01_Вводные'!$B$239="Да",MeanMinAge03+'19_Расчет_аналитики'!AC3596*SUMIF(ThresholdAge03,"&lt;"&amp;'19_Расчет_аналитики'!AC3596,WeightedRevAge03)-SUMIF(ThresholdAge03,"&lt;"&amp;'19_Расчет_аналитики'!AC3596,WeightedMinAge03),MAX(CapacityAge03*'01_Вводные'!$B$218*'19_Расчет_аналитики'!AC3596,MeanMinAge03))),0)</f>
        <v/>
      </c>
      <c r="AD3530">
        <f>IF('01_Вводные'!$B$234="Да",IF(OR(('19_Расчет_аналитики'!AD3446-'19_Расчет_аналитики'!AD3474)=0,3&lt;='01_Вводные'!$B$297),0,('19_Расчет_аналитики'!AD3446-'19_Расчет_аналитики'!AD3474)*IF('01_Вводные'!$B$239="Да",MeanMinAge03+'19_Расчет_аналитики'!AD3596*SUMIF(ThresholdAge03,"&lt;"&amp;'19_Расчет_аналитики'!AD3596,WeightedRevAge03)-SUMIF(ThresholdAge03,"&lt;"&amp;'19_Расчет_аналитики'!AD3596,WeightedMinAge03),MAX(CapacityAge03*'01_Вводные'!$B$218*'19_Расчет_аналитики'!AD3596,MeanMinAge03))),0)</f>
        <v/>
      </c>
      <c r="AE3530">
        <f>IF('01_Вводные'!$B$234="Да",IF(OR(('19_Расчет_аналитики'!AE3446-'19_Расчет_аналитики'!AE3474)=0,3&lt;='01_Вводные'!$B$297),0,('19_Расчет_аналитики'!AE3446-'19_Расчет_аналитики'!AE3474)*IF('01_Вводные'!$B$239="Да",MeanMinAge03+'19_Расчет_аналитики'!AE3596*SUMIF(ThresholdAge03,"&lt;"&amp;'19_Расчет_аналитики'!AE3596,WeightedRevAge03)-SUMIF(ThresholdAge03,"&lt;"&amp;'19_Расчет_аналитики'!AE3596,WeightedMinAge03),MAX(CapacityAge03*'01_Вводные'!$B$218*'19_Расчет_аналитики'!AE3596,MeanMinAge03))),0)</f>
        <v/>
      </c>
      <c r="AF3530">
        <f>IF('01_Вводные'!$B$234="Да",IF(OR(('19_Расчет_аналитики'!AF3446-'19_Расчет_аналитики'!AF3474)=0,3&lt;='01_Вводные'!$B$297),0,('19_Расчет_аналитики'!AF3446-'19_Расчет_аналитики'!AF3474)*IF('01_Вводные'!$B$239="Да",MeanMinAge03+'19_Расчет_аналитики'!AF3596*SUMIF(ThresholdAge03,"&lt;"&amp;'19_Расчет_аналитики'!AF3596,WeightedRevAge03)-SUMIF(ThresholdAge03,"&lt;"&amp;'19_Расчет_аналитики'!AF3596,WeightedMinAge03),MAX(CapacityAge03*'01_Вводные'!$B$218*'19_Расчет_аналитики'!AF3596,MeanMinAge03))),0)</f>
        <v/>
      </c>
      <c r="AG3530">
        <f>IF('01_Вводные'!$B$234="Да",IF(OR(('19_Расчет_аналитики'!AG3446-'19_Расчет_аналитики'!AG3474)=0,3&lt;='01_Вводные'!$B$297),0,('19_Расчет_аналитики'!AG3446-'19_Расчет_аналитики'!AG3474)*IF('01_Вводные'!$B$239="Да",MeanMinAge03+'19_Расчет_аналитики'!AG3596*SUMIF(ThresholdAge03,"&lt;"&amp;'19_Расчет_аналитики'!AG3596,WeightedRevAge03)-SUMIF(ThresholdAge03,"&lt;"&amp;'19_Расчет_аналитики'!AG3596,WeightedMinAge03),MAX(CapacityAge03*'01_Вводные'!$B$218*'19_Расчет_аналитики'!AG3596,MeanMinAge03))),0)</f>
        <v/>
      </c>
      <c r="AH3530">
        <f>IF('01_Вводные'!$B$234="Да",IF(OR(('19_Расчет_аналитики'!AH3446-'19_Расчет_аналитики'!AH3474)=0,3&lt;='01_Вводные'!$B$297),0,('19_Расчет_аналитики'!AH3446-'19_Расчет_аналитики'!AH3474)*IF('01_Вводные'!$B$239="Да",MeanMinAge03+'19_Расчет_аналитики'!AH3596*SUMIF(ThresholdAge03,"&lt;"&amp;'19_Расчет_аналитики'!AH3596,WeightedRevAge03)-SUMIF(ThresholdAge03,"&lt;"&amp;'19_Расчет_аналитики'!AH3596,WeightedMinAge03),MAX(CapacityAge03*'01_Вводные'!$B$218*'19_Расчет_аналитики'!AH3596,MeanMinAge03))),0)</f>
        <v/>
      </c>
      <c r="AI3530">
        <f>IF('01_Вводные'!$B$234="Да",IF(OR(('19_Расчет_аналитики'!AI3446-'19_Расчет_аналитики'!AI3474)=0,3&lt;='01_Вводные'!$B$297),0,('19_Расчет_аналитики'!AI3446-'19_Расчет_аналитики'!AI3474)*IF('01_Вводные'!$B$239="Да",MeanMinAge03+'19_Расчет_аналитики'!AI3596*SUMIF(ThresholdAge03,"&lt;"&amp;'19_Расчет_аналитики'!AI3596,WeightedRevAge03)-SUMIF(ThresholdAge03,"&lt;"&amp;'19_Расчет_аналитики'!AI3596,WeightedMinAge03),MAX(CapacityAge03*'01_Вводные'!$B$218*'19_Расчет_аналитики'!AI3596,MeanMinAge03))),0)</f>
        <v/>
      </c>
      <c r="AJ3530">
        <f>IF('01_Вводные'!$B$234="Да",IF(OR(('19_Расчет_аналитики'!AJ3446-'19_Расчет_аналитики'!AJ3474)=0,3&lt;='01_Вводные'!$B$297),0,('19_Расчет_аналитики'!AJ3446-'19_Расчет_аналитики'!AJ3474)*IF('01_Вводные'!$B$239="Да",MeanMinAge03+'19_Расчет_аналитики'!AJ3596*SUMIF(ThresholdAge03,"&lt;"&amp;'19_Расчет_аналитики'!AJ3596,WeightedRevAge03)-SUMIF(ThresholdAge03,"&lt;"&amp;'19_Расчет_аналитики'!AJ3596,WeightedMinAge03),MAX(CapacityAge03*'01_Вводные'!$B$218*'19_Расчет_аналитики'!AJ3596,MeanMinAge03))),0)</f>
        <v/>
      </c>
      <c r="AK3530">
        <f>IF('01_Вводные'!$B$234="Да",IF(OR(('19_Расчет_аналитики'!AK3446-'19_Расчет_аналитики'!AK3474)=0,3&lt;='01_Вводные'!$B$297),0,('19_Расчет_аналитики'!AK3446-'19_Расчет_аналитики'!AK3474)*IF('01_Вводные'!$B$239="Да",MeanMinAge03+'19_Расчет_аналитики'!AK3596*SUMIF(ThresholdAge03,"&lt;"&amp;'19_Расчет_аналитики'!AK3596,WeightedRevAge03)-SUMIF(ThresholdAge03,"&lt;"&amp;'19_Расчет_аналитики'!AK3596,WeightedMinAge03),MAX(CapacityAge03*'01_Вводные'!$B$218*'19_Расчет_аналитики'!AK3596,MeanMinAge03))),0)</f>
        <v/>
      </c>
      <c r="AL3530">
        <f>IF('01_Вводные'!$B$234="Да",IF(OR(('19_Расчет_аналитики'!AL3446-'19_Расчет_аналитики'!AL3474)=0,3&lt;='01_Вводные'!$B$297),0,('19_Расчет_аналитики'!AL3446-'19_Расчет_аналитики'!AL3474)*IF('01_Вводные'!$B$239="Да",MeanMinAge03+'19_Расчет_аналитики'!AL3596*SUMIF(ThresholdAge03,"&lt;"&amp;'19_Расчет_аналитики'!AL3596,WeightedRevAge03)-SUMIF(ThresholdAge03,"&lt;"&amp;'19_Расчет_аналитики'!AL3596,WeightedMinAge03),MAX(CapacityAge03*'01_Вводные'!$B$218*'19_Расчет_аналитики'!AL3596,MeanMinAge03))),0)</f>
        <v/>
      </c>
      <c r="AM3530">
        <f>IF('01_Вводные'!$B$234="Да",IF(OR(('19_Расчет_аналитики'!AM3446-'19_Расчет_аналитики'!AM3474)=0,3&lt;='01_Вводные'!$B$297),0,('19_Расчет_аналитики'!AM3446-'19_Расчет_аналитики'!AM3474)*IF('01_Вводные'!$B$239="Да",MeanMinAge03+'19_Расчет_аналитики'!AM3596*SUMIF(ThresholdAge03,"&lt;"&amp;'19_Расчет_аналитики'!AM3596,WeightedRevAge03)-SUMIF(ThresholdAge03,"&lt;"&amp;'19_Расчет_аналитики'!AM3596,WeightedMinAge03),MAX(CapacityAge03*'01_Вводные'!$B$218*'19_Расчет_аналитики'!AM3596,MeanMinAge03))),0)</f>
        <v/>
      </c>
      <c r="AN3530">
        <f>IF('01_Вводные'!$B$234="Да",IF(OR(('19_Расчет_аналитики'!AN3446-'19_Расчет_аналитики'!AN3474)=0,3&lt;='01_Вводные'!$B$297),0,('19_Расчет_аналитики'!AN3446-'19_Расчет_аналитики'!AN3474)*IF('01_Вводные'!$B$239="Да",MeanMinAge03+'19_Расчет_аналитики'!AN3596*SUMIF(ThresholdAge03,"&lt;"&amp;'19_Расчет_аналитики'!AN3596,WeightedRevAge03)-SUMIF(ThresholdAge03,"&lt;"&amp;'19_Расчет_аналитики'!AN3596,WeightedMinAge03),MAX(CapacityAge03*'01_Вводные'!$B$218*'19_Расчет_аналитики'!AN3596,MeanMinAge03))),0)</f>
        <v/>
      </c>
      <c r="AO3530">
        <f>IF('01_Вводные'!$B$234="Да",IF(OR(('19_Расчет_аналитики'!AO3446-'19_Расчет_аналитики'!AO3474)=0,3&lt;='01_Вводные'!$B$297),0,('19_Расчет_аналитики'!AO3446-'19_Расчет_аналитики'!AO3474)*IF('01_Вводные'!$B$239="Да",MeanMinAge03+'19_Расчет_аналитики'!AO3596*SUMIF(ThresholdAge03,"&lt;"&amp;'19_Расчет_аналитики'!AO3596,WeightedRevAge03)-SUMIF(ThresholdAge03,"&lt;"&amp;'19_Расчет_аналитики'!AO3596,WeightedMinAge03),MAX(CapacityAge03*'01_Вводные'!$B$218*'19_Расчет_аналитики'!AO3596,MeanMinAge03))),0)</f>
        <v/>
      </c>
      <c r="AP3530">
        <f>IF('01_Вводные'!$B$234="Да",IF(OR(('19_Расчет_аналитики'!AP3446-'19_Расчет_аналитики'!AP3474)=0,3&lt;='01_Вводные'!$B$297),0,('19_Расчет_аналитики'!AP3446-'19_Расчет_аналитики'!AP3474)*IF('01_Вводные'!$B$239="Да",MeanMinAge03+'19_Расчет_аналитики'!AP3596*SUMIF(ThresholdAge03,"&lt;"&amp;'19_Расчет_аналитики'!AP3596,WeightedRevAge03)-SUMIF(ThresholdAge03,"&lt;"&amp;'19_Расчет_аналитики'!AP3596,WeightedMinAge03),MAX(CapacityAge03*'01_Вводные'!$B$218*'19_Расчет_аналитики'!AP3596,MeanMinAge03))),0)</f>
        <v/>
      </c>
      <c r="AQ3530">
        <f>IF('01_Вводные'!$B$234="Да",IF(OR(('19_Расчет_аналитики'!AQ3446-'19_Расчет_аналитики'!AQ3474)=0,3&lt;='01_Вводные'!$B$297),0,('19_Расчет_аналитики'!AQ3446-'19_Расчет_аналитики'!AQ3474)*IF('01_Вводные'!$B$239="Да",MeanMinAge03+'19_Расчет_аналитики'!AQ3596*SUMIF(ThresholdAge03,"&lt;"&amp;'19_Расчет_аналитики'!AQ3596,WeightedRevAge03)-SUMIF(ThresholdAge03,"&lt;"&amp;'19_Расчет_аналитики'!AQ3596,WeightedMinAge03),MAX(CapacityAge03*'01_Вводные'!$B$218*'19_Расчет_аналитики'!AQ3596,MeanMinAge03))),0)</f>
        <v/>
      </c>
      <c r="AR3530">
        <f>IF('01_Вводные'!$B$234="Да",IF(OR(('19_Расчет_аналитики'!AR3446-'19_Расчет_аналитики'!AR3474)=0,3&lt;='01_Вводные'!$B$297),0,('19_Расчет_аналитики'!AR3446-'19_Расчет_аналитики'!AR3474)*IF('01_Вводные'!$B$239="Да",MeanMinAge03+'19_Расчет_аналитики'!AR3596*SUMIF(ThresholdAge03,"&lt;"&amp;'19_Расчет_аналитики'!AR3596,WeightedRevAge03)-SUMIF(ThresholdAge03,"&lt;"&amp;'19_Расчет_аналитики'!AR3596,WeightedMinAge03),MAX(CapacityAge03*'01_Вводные'!$B$218*'19_Расчет_аналитики'!AR3596,MeanMinAge03))),0)</f>
        <v/>
      </c>
      <c r="AS3530">
        <f>IF('01_Вводные'!$B$234="Да",IF(OR(('19_Расчет_аналитики'!AS3446-'19_Расчет_аналитики'!AS3474)=0,3&lt;='01_Вводные'!$B$297),0,('19_Расчет_аналитики'!AS3446-'19_Расчет_аналитики'!AS3474)*IF('01_Вводные'!$B$239="Да",MeanMinAge03+'19_Расчет_аналитики'!AS3596*SUMIF(ThresholdAge03,"&lt;"&amp;'19_Расчет_аналитики'!AS3596,WeightedRevAge03)-SUMIF(ThresholdAge03,"&lt;"&amp;'19_Расчет_аналитики'!AS3596,WeightedMinAge03),MAX(CapacityAge03*'01_Вводные'!$B$218*'19_Расчет_аналитики'!AS3596,MeanMinAge03))),0)</f>
        <v/>
      </c>
      <c r="AT3530">
        <f>IF('01_Вводные'!$B$234="Да",IF(OR(('19_Расчет_аналитики'!AT3446-'19_Расчет_аналитики'!AT3474)=0,3&lt;='01_Вводные'!$B$297),0,('19_Расчет_аналитики'!AT3446-'19_Расчет_аналитики'!AT3474)*IF('01_Вводные'!$B$239="Да",MeanMinAge03+'19_Расчет_аналитики'!AT3596*SUMIF(ThresholdAge03,"&lt;"&amp;'19_Расчет_аналитики'!AT3596,WeightedRevAge03)-SUMIF(ThresholdAge03,"&lt;"&amp;'19_Расчет_аналитики'!AT3596,WeightedMinAge03),MAX(CapacityAge03*'01_Вводные'!$B$218*'19_Расчет_аналитики'!AT3596,MeanMinAge03))),0)</f>
        <v/>
      </c>
      <c r="AU3530">
        <f>IF('01_Вводные'!$B$234="Да",IF(OR(('19_Расчет_аналитики'!AU3446-'19_Расчет_аналитики'!AU3474)=0,3&lt;='01_Вводные'!$B$297),0,('19_Расчет_аналитики'!AU3446-'19_Расчет_аналитики'!AU3474)*IF('01_Вводные'!$B$239="Да",MeanMinAge03+'19_Расчет_аналитики'!AU3596*SUMIF(ThresholdAge03,"&lt;"&amp;'19_Расчет_аналитики'!AU3596,WeightedRevAge03)-SUMIF(ThresholdAge03,"&lt;"&amp;'19_Расчет_аналитики'!AU3596,WeightedMinAge03),MAX(CapacityAge03*'01_Вводные'!$B$218*'19_Расчет_аналитики'!AU3596,MeanMinAge03))),0)</f>
        <v/>
      </c>
      <c r="AV3530">
        <f>IF('01_Вводные'!$B$234="Да",IF(OR(('19_Расчет_аналитики'!AV3446-'19_Расчет_аналитики'!AV3474)=0,3&lt;='01_Вводные'!$B$297),0,('19_Расчет_аналитики'!AV3446-'19_Расчет_аналитики'!AV3474)*IF('01_Вводные'!$B$239="Да",MeanMinAge03+'19_Расчет_аналитики'!AV3596*SUMIF(ThresholdAge03,"&lt;"&amp;'19_Расчет_аналитики'!AV3596,WeightedRevAge03)-SUMIF(ThresholdAge03,"&lt;"&amp;'19_Расчет_аналитики'!AV3596,WeightedMinAge03),MAX(CapacityAge03*'01_Вводные'!$B$218*'19_Расчет_аналитики'!AV3596,MeanMinAge03))),0)</f>
        <v/>
      </c>
      <c r="AW3530">
        <f>IF('01_Вводные'!$B$234="Да",IF(OR(('19_Расчет_аналитики'!AW3446-'19_Расчет_аналитики'!AW3474)=0,3&lt;='01_Вводные'!$B$297),0,('19_Расчет_аналитики'!AW3446-'19_Расчет_аналитики'!AW3474)*IF('01_Вводные'!$B$239="Да",MeanMinAge03+'19_Расчет_аналитики'!AW3596*SUMIF(ThresholdAge03,"&lt;"&amp;'19_Расчет_аналитики'!AW3596,WeightedRevAge03)-SUMIF(ThresholdAge03,"&lt;"&amp;'19_Расчет_аналитики'!AW3596,WeightedMinAge03),MAX(CapacityAge03*'01_Вводные'!$B$218*'19_Расчет_аналитики'!AW3596,MeanMinAge03))),0)</f>
        <v/>
      </c>
      <c r="AX3530">
        <f>IF('01_Вводные'!$B$234="Да",IF(OR(('19_Расчет_аналитики'!AX3446-'19_Расчет_аналитики'!AX3474)=0,3&lt;='01_Вводные'!$B$297),0,('19_Расчет_аналитики'!AX3446-'19_Расчет_аналитики'!AX3474)*IF('01_Вводные'!$B$239="Да",MeanMinAge03+'19_Расчет_аналитики'!AX3596*SUMIF(ThresholdAge03,"&lt;"&amp;'19_Расчет_аналитики'!AX3596,WeightedRevAge03)-SUMIF(ThresholdAge03,"&lt;"&amp;'19_Расчет_аналитики'!AX3596,WeightedMinAge03),MAX(CapacityAge03*'01_Вводные'!$B$218*'19_Расчет_аналитики'!AX3596,MeanMinAge03))),0)</f>
        <v/>
      </c>
      <c r="AY3530">
        <f>IF('01_Вводные'!$B$234="Да",IF(OR(('19_Расчет_аналитики'!AY3446-'19_Расчет_аналитики'!AY3474)=0,3&lt;='01_Вводные'!$B$297),0,('19_Расчет_аналитики'!AY3446-'19_Расчет_аналитики'!AY3474)*IF('01_Вводные'!$B$239="Да",MeanMinAge03+'19_Расчет_аналитики'!AY3596*SUMIF(ThresholdAge03,"&lt;"&amp;'19_Расчет_аналитики'!AY3596,WeightedRevAge03)-SUMIF(ThresholdAge03,"&lt;"&amp;'19_Расчет_аналитики'!AY3596,WeightedMinAge03),MAX(CapacityAge03*'01_Вводные'!$B$218*'19_Расчет_аналитики'!AY3596,MeanMinAge03))),0)</f>
        <v/>
      </c>
      <c r="AZ3530">
        <f>IF('01_Вводные'!$B$234="Да",IF(OR(('19_Расчет_аналитики'!AZ3446-'19_Расчет_аналитики'!AZ3474)=0,3&lt;='01_Вводные'!$B$297),0,('19_Расчет_аналитики'!AZ3446-'19_Расчет_аналитики'!AZ3474)*IF('01_Вводные'!$B$239="Да",MeanMinAge03+'19_Расчет_аналитики'!AZ3596*SUMIF(ThresholdAge03,"&lt;"&amp;'19_Расчет_аналитики'!AZ3596,WeightedRevAge03)-SUMIF(ThresholdAge03,"&lt;"&amp;'19_Расчет_аналитики'!AZ3596,WeightedMinAge03),MAX(CapacityAge03*'01_Вводные'!$B$218*'19_Расчет_аналитики'!AZ3596,MeanMinAge03))),0)</f>
        <v/>
      </c>
      <c r="BA3530">
        <f>IF('01_Вводные'!$B$234="Да",IF(OR(('19_Расчет_аналитики'!BA3446-'19_Расчет_аналитики'!BA3474)=0,3&lt;='01_Вводные'!$B$297),0,('19_Расчет_аналитики'!BA3446-'19_Расчет_аналитики'!BA3474)*IF('01_Вводные'!$B$239="Да",MeanMinAge03+'19_Расчет_аналитики'!BA3596*SUMIF(ThresholdAge03,"&lt;"&amp;'19_Расчет_аналитики'!BA3596,WeightedRevAge03)-SUMIF(ThresholdAge03,"&lt;"&amp;'19_Расчет_аналитики'!BA3596,WeightedMinAge03),MAX(CapacityAge03*'01_Вводные'!$B$218*'19_Расчет_аналитики'!BA3596,MeanMinAge03))),0)</f>
        <v/>
      </c>
      <c r="BB3530">
        <f>IF('01_Вводные'!$B$234="Да",IF(OR(('19_Расчет_аналитики'!BB3446-'19_Расчет_аналитики'!BB3474)=0,3&lt;='01_Вводные'!$B$297),0,('19_Расчет_аналитики'!BB3446-'19_Расчет_аналитики'!BB3474)*IF('01_Вводные'!$B$239="Да",MeanMinAge03+'19_Расчет_аналитики'!BB3596*SUMIF(ThresholdAge03,"&lt;"&amp;'19_Расчет_аналитики'!BB3596,WeightedRevAge03)-SUMIF(ThresholdAge03,"&lt;"&amp;'19_Расчет_аналитики'!BB3596,WeightedMinAge03),MAX(CapacityAge03*'01_Вводные'!$B$218*'19_Расчет_аналитики'!BB3596,MeanMinAge03))),0)</f>
        <v/>
      </c>
      <c r="BC3530">
        <f>IF('01_Вводные'!$B$234="Да",IF(OR(('19_Расчет_аналитики'!BC3446-'19_Расчет_аналитики'!BC3474)=0,3&lt;='01_Вводные'!$B$297),0,('19_Расчет_аналитики'!BC3446-'19_Расчет_аналитики'!BC3474)*IF('01_Вводные'!$B$239="Да",MeanMinAge03+'19_Расчет_аналитики'!BC3596*SUMIF(ThresholdAge03,"&lt;"&amp;'19_Расчет_аналитики'!BC3596,WeightedRevAge03)-SUMIF(ThresholdAge03,"&lt;"&amp;'19_Расчет_аналитики'!BC3596,WeightedMinAge03),MAX(CapacityAge03*'01_Вводные'!$B$218*'19_Расчет_аналитики'!BC3596,MeanMinAge03))),0)</f>
        <v/>
      </c>
      <c r="BD3530">
        <f>IF('01_Вводные'!$B$234="Да",IF(OR(('19_Расчет_аналитики'!BD3446-'19_Расчет_аналитики'!BD3474)=0,3&lt;='01_Вводные'!$B$297),0,('19_Расчет_аналитики'!BD3446-'19_Расчет_аналитики'!BD3474)*IF('01_Вводные'!$B$239="Да",MeanMinAge03+'19_Расчет_аналитики'!BD3596*SUMIF(ThresholdAge03,"&lt;"&amp;'19_Расчет_аналитики'!BD3596,WeightedRevAge03)-SUMIF(ThresholdAge03,"&lt;"&amp;'19_Расчет_аналитики'!BD3596,WeightedMinAge03),MAX(CapacityAge03*'01_Вводные'!$B$218*'19_Расчет_аналитики'!BD3596,MeanMinAge03))),0)</f>
        <v/>
      </c>
      <c r="BE3530">
        <f>IF('01_Вводные'!$B$234="Да",IF(OR(('19_Расчет_аналитики'!BE3446-'19_Расчет_аналитики'!BE3474)=0,3&lt;='01_Вводные'!$B$297),0,('19_Расчет_аналитики'!BE3446-'19_Расчет_аналитики'!BE3474)*IF('01_Вводные'!$B$239="Да",MeanMinAge03+'19_Расчет_аналитики'!BE3596*SUMIF(ThresholdAge03,"&lt;"&amp;'19_Расчет_аналитики'!BE3596,WeightedRevAge03)-SUMIF(ThresholdAge03,"&lt;"&amp;'19_Расчет_аналитики'!BE3596,WeightedMinAge03),MAX(CapacityAge03*'01_Вводные'!$B$218*'19_Расчет_аналитики'!BE3596,MeanMinAge03))),0)</f>
        <v/>
      </c>
      <c r="BF3530">
        <f>IF('01_Вводные'!$B$234="Да",IF(OR(('19_Расчет_аналитики'!BF3446-'19_Расчет_аналитики'!BF3474)=0,3&lt;='01_Вводные'!$B$297),0,('19_Расчет_аналитики'!BF3446-'19_Расчет_аналитики'!BF3474)*IF('01_Вводные'!$B$239="Да",MeanMinAge03+'19_Расчет_аналитики'!BF3596*SUMIF(ThresholdAge03,"&lt;"&amp;'19_Расчет_аналитики'!BF3596,WeightedRevAge03)-SUMIF(ThresholdAge03,"&lt;"&amp;'19_Расчет_аналитики'!BF3596,WeightedMinAge03),MAX(CapacityAge03*'01_Вводные'!$B$218*'19_Расчет_аналитики'!BF3596,MeanMinAge03))),0)</f>
        <v/>
      </c>
      <c r="BG3530">
        <f>IF('01_Вводные'!$B$234="Да",IF(OR(('19_Расчет_аналитики'!BG3446-'19_Расчет_аналитики'!BG3474)=0,3&lt;='01_Вводные'!$B$297),0,('19_Расчет_аналитики'!BG3446-'19_Расчет_аналитики'!BG3474)*IF('01_Вводные'!$B$239="Да",MeanMinAge03+'19_Расчет_аналитики'!BG3596*SUMIF(ThresholdAge03,"&lt;"&amp;'19_Расчет_аналитики'!BG3596,WeightedRevAge03)-SUMIF(ThresholdAge03,"&lt;"&amp;'19_Расчет_аналитики'!BG3596,WeightedMinAge03),MAX(CapacityAge03*'01_Вводные'!$B$218*'19_Расчет_аналитики'!BG3596,MeanMinAge03))),0)</f>
        <v/>
      </c>
      <c r="BH3530">
        <f>IF('01_Вводные'!$B$234="Да",IF(OR(('19_Расчет_аналитики'!BH3446-'19_Расчет_аналитики'!BH3474)=0,3&lt;='01_Вводные'!$B$297),0,('19_Расчет_аналитики'!BH3446-'19_Расчет_аналитики'!BH3474)*IF('01_Вводные'!$B$239="Да",MeanMinAge03+'19_Расчет_аналитики'!BH3596*SUMIF(ThresholdAge03,"&lt;"&amp;'19_Расчет_аналитики'!BH3596,WeightedRevAge03)-SUMIF(ThresholdAge03,"&lt;"&amp;'19_Расчет_аналитики'!BH3596,WeightedMinAge03),MAX(CapacityAge03*'01_Вводные'!$B$218*'19_Расчет_аналитики'!BH3596,MeanMinAge03))),0)</f>
        <v/>
      </c>
      <c r="BI3530">
        <f>IF('01_Вводные'!$B$234="Да",IF(OR(('19_Расчет_аналитики'!BI3446-'19_Расчет_аналитики'!BI3474)=0,3&lt;='01_Вводные'!$B$297),0,('19_Расчет_аналитики'!BI3446-'19_Расчет_аналитики'!BI3474)*IF('01_Вводные'!$B$239="Да",MeanMinAge03+'19_Расчет_аналитики'!BI3596*SUMIF(ThresholdAge03,"&lt;"&amp;'19_Расчет_аналитики'!BI3596,WeightedRevAge03)-SUMIF(ThresholdAge03,"&lt;"&amp;'19_Расчет_аналитики'!BI3596,WeightedMinAge03),MAX(CapacityAge03*'01_Вводные'!$B$218*'19_Расчет_аналитики'!BI3596,MeanMinAge03))),0)</f>
        <v/>
      </c>
      <c r="BJ3530">
        <f>IF('01_Вводные'!$B$234="Да",IF(OR(('19_Расчет_аналитики'!BJ3446-'19_Расчет_аналитики'!BJ3474)=0,3&lt;='01_Вводные'!$B$297),0,('19_Расчет_аналитики'!BJ3446-'19_Расчет_аналитики'!BJ3474)*IF('01_Вводные'!$B$239="Да",MeanMinAge03+'19_Расчет_аналитики'!BJ3596*SUMIF(ThresholdAge03,"&lt;"&amp;'19_Расчет_аналитики'!BJ3596,WeightedRevAge03)-SUMIF(ThresholdAge03,"&lt;"&amp;'19_Расчет_аналитики'!BJ3596,WeightedMinAge03),MAX(CapacityAge03*'01_Вводные'!$B$218*'19_Расчет_аналитики'!BJ3596,MeanMinAge03))),0)</f>
        <v/>
      </c>
      <c r="BK3530">
        <f>IF('01_Вводные'!$B$234="Да",IF(OR(('19_Расчет_аналитики'!BK3446-'19_Расчет_аналитики'!BK3474)=0,3&lt;='01_Вводные'!$B$297),0,('19_Расчет_аналитики'!BK3446-'19_Расчет_аналитики'!BK3474)*IF('01_Вводные'!$B$239="Да",MeanMinAge03+'19_Расчет_аналитики'!BK3596*SUMIF(ThresholdAge03,"&lt;"&amp;'19_Расчет_аналитики'!BK3596,WeightedRevAge03)-SUMIF(ThresholdAge03,"&lt;"&amp;'19_Расчет_аналитики'!BK3596,WeightedMinAge03),MAX(CapacityAge03*'01_Вводные'!$B$218*'19_Расчет_аналитики'!BK3596,MeanMinAge03))),0)</f>
        <v/>
      </c>
      <c r="BL3530">
        <f>IF('01_Вводные'!$B$234="Да",IF(OR(('19_Расчет_аналитики'!BL3446-'19_Расчет_аналитики'!BL3474)=0,3&lt;='01_Вводные'!$B$297),0,('19_Расчет_аналитики'!BL3446-'19_Расчет_аналитики'!BL3474)*IF('01_Вводные'!$B$239="Да",MeanMinAge03+'19_Расчет_аналитики'!BL3596*SUMIF(ThresholdAge03,"&lt;"&amp;'19_Расчет_аналитики'!BL3596,WeightedRevAge03)-SUMIF(ThresholdAge03,"&lt;"&amp;'19_Расчет_аналитики'!BL3596,WeightedMinAge03),MAX(CapacityAge03*'01_Вводные'!$B$218*'19_Расчет_аналитики'!BL3596,MeanMinAge03))),0)</f>
        <v/>
      </c>
      <c r="BM3530">
        <f>IF('01_Вводные'!$B$234="Да",IF(OR(('19_Расчет_аналитики'!BM3446-'19_Расчет_аналитики'!BM3474)=0,3&lt;='01_Вводные'!$B$297),0,('19_Расчет_аналитики'!BM3446-'19_Расчет_аналитики'!BM3474)*IF('01_Вводные'!$B$239="Да",MeanMinAge03+'19_Расчет_аналитики'!BM3596*SUMIF(ThresholdAge03,"&lt;"&amp;'19_Расчет_аналитики'!BM3596,WeightedRevAge03)-SUMIF(ThresholdAge03,"&lt;"&amp;'19_Расчет_аналитики'!BM3596,WeightedMinAge03),MAX(CapacityAge03*'01_Вводные'!$B$218*'19_Расчет_аналитики'!BM3596,MeanMinAge03))),0)</f>
        <v/>
      </c>
      <c r="BN3530">
        <f>IF('01_Вводные'!$B$234="Да",IF(OR(('19_Расчет_аналитики'!BN3446-'19_Расчет_аналитики'!BN3474)=0,3&lt;='01_Вводные'!$B$297),0,('19_Расчет_аналитики'!BN3446-'19_Расчет_аналитики'!BN3474)*IF('01_Вводные'!$B$239="Да",MeanMinAge03+'19_Расчет_аналитики'!BN3596*SUMIF(ThresholdAge03,"&lt;"&amp;'19_Расчет_аналитики'!BN3596,WeightedRevAge03)-SUMIF(ThresholdAge03,"&lt;"&amp;'19_Расчет_аналитики'!BN3596,WeightedMinAge03),MAX(CapacityAge03*'01_Вводные'!$B$218*'19_Расчет_аналитики'!BN3596,MeanMinAge03))),0)</f>
        <v/>
      </c>
      <c r="BO3530">
        <f>IF('01_Вводные'!$B$234="Да",IF(OR(('19_Расчет_аналитики'!BO3446-'19_Расчет_аналитики'!BO3474)=0,3&lt;='01_Вводные'!$B$297),0,('19_Расчет_аналитики'!BO3446-'19_Расчет_аналитики'!BO3474)*IF('01_Вводные'!$B$239="Да",MeanMinAge03+'19_Расчет_аналитики'!BO3596*SUMIF(ThresholdAge03,"&lt;"&amp;'19_Расчет_аналитики'!BO3596,WeightedRevAge03)-SUMIF(ThresholdAge03,"&lt;"&amp;'19_Расчет_аналитики'!BO3596,WeightedMinAge03),MAX(CapacityAge03*'01_Вводные'!$B$218*'19_Расчет_аналитики'!BO3596,MeanMinAge03))),0)</f>
        <v/>
      </c>
    </row>
    <row r="3531">
      <c r="B3531">
        <f>IF('01_Вводные'!$B$234="Да",IF(OR(('06_Сеть_и_дети'!B56-'06_Сеть_и_дети'!B84)=0,4&lt;='01_Вводные'!$B$297),0,('06_Сеть_и_дети'!B56-'06_Сеть_и_дети'!B84)*IF('01_Вводные'!$B$239="Да",MeanMinAge04+'19_Расчет_аналитики'!B3596*SUMIF(ThresholdAge04,"&lt;"&amp;'19_Расчет_аналитики'!B3596,WeightedRevAge04)-SUMIF(ThresholdAge04,"&lt;"&amp;'19_Расчет_аналитики'!B3596,WeightedMinAge04),MAX(CapacityAge04*'01_Вводные'!$B$218*'19_Расчет_аналитики'!B3596,MeanMinAge04))),0)</f>
        <v/>
      </c>
      <c r="C3531">
        <f>IF('01_Вводные'!$B$234="Да",IF(OR(('06_Сеть_и_дети'!C56-'06_Сеть_и_дети'!C84)=0,4&lt;='01_Вводные'!$B$297),0,('06_Сеть_и_дети'!C56-'06_Сеть_и_дети'!C84)*IF('01_Вводные'!$B$239="Да",MeanMinAge04+'19_Расчет_аналитики'!C3596*SUMIF(ThresholdAge04,"&lt;"&amp;'19_Расчет_аналитики'!C3596,WeightedRevAge04)-SUMIF(ThresholdAge04,"&lt;"&amp;'19_Расчет_аналитики'!C3596,WeightedMinAge04),MAX(CapacityAge04*'01_Вводные'!$B$218*'19_Расчет_аналитики'!C3596,MeanMinAge04))),0)</f>
        <v/>
      </c>
      <c r="D3531">
        <f>IF('01_Вводные'!$B$234="Да",IF(OR(('06_Сеть_и_дети'!D56-'06_Сеть_и_дети'!D84)=0,4&lt;='01_Вводные'!$B$297),0,('06_Сеть_и_дети'!D56-'06_Сеть_и_дети'!D84)*IF('01_Вводные'!$B$239="Да",MeanMinAge04+'19_Расчет_аналитики'!D3596*SUMIF(ThresholdAge04,"&lt;"&amp;'19_Расчет_аналитики'!D3596,WeightedRevAge04)-SUMIF(ThresholdAge04,"&lt;"&amp;'19_Расчет_аналитики'!D3596,WeightedMinAge04),MAX(CapacityAge04*'01_Вводные'!$B$218*'19_Расчет_аналитики'!D3596,MeanMinAge04))),0)</f>
        <v/>
      </c>
      <c r="E3531">
        <f>IF('01_Вводные'!$B$234="Да",IF(OR(('19_Расчет_аналитики'!E3447-'19_Расчет_аналитики'!E3475)=0,4&lt;='01_Вводные'!$B$297),0,('19_Расчет_аналитики'!E3447-'19_Расчет_аналитики'!E3475)*IF('01_Вводные'!$B$239="Да",MeanMinAge04+'19_Расчет_аналитики'!E3596*SUMIF(ThresholdAge04,"&lt;"&amp;'19_Расчет_аналитики'!E3596,WeightedRevAge04)-SUMIF(ThresholdAge04,"&lt;"&amp;'19_Расчет_аналитики'!E3596,WeightedMinAge04),MAX(CapacityAge04*'01_Вводные'!$B$218*'19_Расчет_аналитики'!E3596,MeanMinAge04))),0)</f>
        <v/>
      </c>
      <c r="F3531">
        <f>IF('01_Вводные'!$B$234="Да",IF(OR(('19_Расчет_аналитики'!F3447-'19_Расчет_аналитики'!F3475)=0,4&lt;='01_Вводные'!$B$297),0,('19_Расчет_аналитики'!F3447-'19_Расчет_аналитики'!F3475)*IF('01_Вводные'!$B$239="Да",MeanMinAge04+'19_Расчет_аналитики'!F3596*SUMIF(ThresholdAge04,"&lt;"&amp;'19_Расчет_аналитики'!F3596,WeightedRevAge04)-SUMIF(ThresholdAge04,"&lt;"&amp;'19_Расчет_аналитики'!F3596,WeightedMinAge04),MAX(CapacityAge04*'01_Вводные'!$B$218*'19_Расчет_аналитики'!F3596,MeanMinAge04))),0)</f>
        <v/>
      </c>
      <c r="G3531">
        <f>IF('01_Вводные'!$B$234="Да",IF(OR(('19_Расчет_аналитики'!G3447-'19_Расчет_аналитики'!G3475)=0,4&lt;='01_Вводные'!$B$297),0,('19_Расчет_аналитики'!G3447-'19_Расчет_аналитики'!G3475)*IF('01_Вводные'!$B$239="Да",MeanMinAge04+'19_Расчет_аналитики'!G3596*SUMIF(ThresholdAge04,"&lt;"&amp;'19_Расчет_аналитики'!G3596,WeightedRevAge04)-SUMIF(ThresholdAge04,"&lt;"&amp;'19_Расчет_аналитики'!G3596,WeightedMinAge04),MAX(CapacityAge04*'01_Вводные'!$B$218*'19_Расчет_аналитики'!G3596,MeanMinAge04))),0)</f>
        <v/>
      </c>
      <c r="H3531">
        <f>IF('01_Вводные'!$B$234="Да",IF(OR(('19_Расчет_аналитики'!H3447-'19_Расчет_аналитики'!H3475)=0,4&lt;='01_Вводные'!$B$297),0,('19_Расчет_аналитики'!H3447-'19_Расчет_аналитики'!H3475)*IF('01_Вводные'!$B$239="Да",MeanMinAge04+'19_Расчет_аналитики'!H3596*SUMIF(ThresholdAge04,"&lt;"&amp;'19_Расчет_аналитики'!H3596,WeightedRevAge04)-SUMIF(ThresholdAge04,"&lt;"&amp;'19_Расчет_аналитики'!H3596,WeightedMinAge04),MAX(CapacityAge04*'01_Вводные'!$B$218*'19_Расчет_аналитики'!H3596,MeanMinAge04))),0)</f>
        <v/>
      </c>
      <c r="I3531">
        <f>IF('01_Вводные'!$B$234="Да",IF(OR(('19_Расчет_аналитики'!I3447-'19_Расчет_аналитики'!I3475)=0,4&lt;='01_Вводные'!$B$297),0,('19_Расчет_аналитики'!I3447-'19_Расчет_аналитики'!I3475)*IF('01_Вводные'!$B$239="Да",MeanMinAge04+'19_Расчет_аналитики'!I3596*SUMIF(ThresholdAge04,"&lt;"&amp;'19_Расчет_аналитики'!I3596,WeightedRevAge04)-SUMIF(ThresholdAge04,"&lt;"&amp;'19_Расчет_аналитики'!I3596,WeightedMinAge04),MAX(CapacityAge04*'01_Вводные'!$B$218*'19_Расчет_аналитики'!I3596,MeanMinAge04))),0)</f>
        <v/>
      </c>
      <c r="J3531">
        <f>IF('01_Вводные'!$B$234="Да",IF(OR(('19_Расчет_аналитики'!J3447-'19_Расчет_аналитики'!J3475)=0,4&lt;='01_Вводные'!$B$297),0,('19_Расчет_аналитики'!J3447-'19_Расчет_аналитики'!J3475)*IF('01_Вводные'!$B$239="Да",MeanMinAge04+'19_Расчет_аналитики'!J3596*SUMIF(ThresholdAge04,"&lt;"&amp;'19_Расчет_аналитики'!J3596,WeightedRevAge04)-SUMIF(ThresholdAge04,"&lt;"&amp;'19_Расчет_аналитики'!J3596,WeightedMinAge04),MAX(CapacityAge04*'01_Вводные'!$B$218*'19_Расчет_аналитики'!J3596,MeanMinAge04))),0)</f>
        <v/>
      </c>
      <c r="K3531">
        <f>IF('01_Вводные'!$B$234="Да",IF(OR(('19_Расчет_аналитики'!K3447-'19_Расчет_аналитики'!K3475)=0,4&lt;='01_Вводные'!$B$297),0,('19_Расчет_аналитики'!K3447-'19_Расчет_аналитики'!K3475)*IF('01_Вводные'!$B$239="Да",MeanMinAge04+'19_Расчет_аналитики'!K3596*SUMIF(ThresholdAge04,"&lt;"&amp;'19_Расчет_аналитики'!K3596,WeightedRevAge04)-SUMIF(ThresholdAge04,"&lt;"&amp;'19_Расчет_аналитики'!K3596,WeightedMinAge04),MAX(CapacityAge04*'01_Вводные'!$B$218*'19_Расчет_аналитики'!K3596,MeanMinAge04))),0)</f>
        <v/>
      </c>
      <c r="L3531">
        <f>IF('01_Вводные'!$B$234="Да",IF(OR(('19_Расчет_аналитики'!L3447-'19_Расчет_аналитики'!L3475)=0,4&lt;='01_Вводные'!$B$297),0,('19_Расчет_аналитики'!L3447-'19_Расчет_аналитики'!L3475)*IF('01_Вводные'!$B$239="Да",MeanMinAge04+'19_Расчет_аналитики'!L3596*SUMIF(ThresholdAge04,"&lt;"&amp;'19_Расчет_аналитики'!L3596,WeightedRevAge04)-SUMIF(ThresholdAge04,"&lt;"&amp;'19_Расчет_аналитики'!L3596,WeightedMinAge04),MAX(CapacityAge04*'01_Вводные'!$B$218*'19_Расчет_аналитики'!L3596,MeanMinAge04))),0)</f>
        <v/>
      </c>
      <c r="M3531">
        <f>IF('01_Вводные'!$B$234="Да",IF(OR(('19_Расчет_аналитики'!M3447-'19_Расчет_аналитики'!M3475)=0,4&lt;='01_Вводные'!$B$297),0,('19_Расчет_аналитики'!M3447-'19_Расчет_аналитики'!M3475)*IF('01_Вводные'!$B$239="Да",MeanMinAge04+'19_Расчет_аналитики'!M3596*SUMIF(ThresholdAge04,"&lt;"&amp;'19_Расчет_аналитики'!M3596,WeightedRevAge04)-SUMIF(ThresholdAge04,"&lt;"&amp;'19_Расчет_аналитики'!M3596,WeightedMinAge04),MAX(CapacityAge04*'01_Вводные'!$B$218*'19_Расчет_аналитики'!M3596,MeanMinAge04))),0)</f>
        <v/>
      </c>
      <c r="N3531">
        <f>IF('01_Вводные'!$B$234="Да",IF(OR(('19_Расчет_аналитики'!N3447-'19_Расчет_аналитики'!N3475)=0,4&lt;='01_Вводные'!$B$297),0,('19_Расчет_аналитики'!N3447-'19_Расчет_аналитики'!N3475)*IF('01_Вводные'!$B$239="Да",MeanMinAge04+'19_Расчет_аналитики'!N3596*SUMIF(ThresholdAge04,"&lt;"&amp;'19_Расчет_аналитики'!N3596,WeightedRevAge04)-SUMIF(ThresholdAge04,"&lt;"&amp;'19_Расчет_аналитики'!N3596,WeightedMinAge04),MAX(CapacityAge04*'01_Вводные'!$B$218*'19_Расчет_аналитики'!N3596,MeanMinAge04))),0)</f>
        <v/>
      </c>
      <c r="O3531">
        <f>IF('01_Вводные'!$B$234="Да",IF(OR(('19_Расчет_аналитики'!O3447-'19_Расчет_аналитики'!O3475)=0,4&lt;='01_Вводные'!$B$297),0,('19_Расчет_аналитики'!O3447-'19_Расчет_аналитики'!O3475)*IF('01_Вводные'!$B$239="Да",MeanMinAge04+'19_Расчет_аналитики'!O3596*SUMIF(ThresholdAge04,"&lt;"&amp;'19_Расчет_аналитики'!O3596,WeightedRevAge04)-SUMIF(ThresholdAge04,"&lt;"&amp;'19_Расчет_аналитики'!O3596,WeightedMinAge04),MAX(CapacityAge04*'01_Вводные'!$B$218*'19_Расчет_аналитики'!O3596,MeanMinAge04))),0)</f>
        <v/>
      </c>
      <c r="P3531">
        <f>IF('01_Вводные'!$B$234="Да",IF(OR(('19_Расчет_аналитики'!P3447-'19_Расчет_аналитики'!P3475)=0,4&lt;='01_Вводные'!$B$297),0,('19_Расчет_аналитики'!P3447-'19_Расчет_аналитики'!P3475)*IF('01_Вводные'!$B$239="Да",MeanMinAge04+'19_Расчет_аналитики'!P3596*SUMIF(ThresholdAge04,"&lt;"&amp;'19_Расчет_аналитики'!P3596,WeightedRevAge04)-SUMIF(ThresholdAge04,"&lt;"&amp;'19_Расчет_аналитики'!P3596,WeightedMinAge04),MAX(CapacityAge04*'01_Вводные'!$B$218*'19_Расчет_аналитики'!P3596,MeanMinAge04))),0)</f>
        <v/>
      </c>
      <c r="Q3531">
        <f>IF('01_Вводные'!$B$234="Да",IF(OR(('19_Расчет_аналитики'!Q3447-'19_Расчет_аналитики'!Q3475)=0,4&lt;='01_Вводные'!$B$297),0,('19_Расчет_аналитики'!Q3447-'19_Расчет_аналитики'!Q3475)*IF('01_Вводные'!$B$239="Да",MeanMinAge04+'19_Расчет_аналитики'!Q3596*SUMIF(ThresholdAge04,"&lt;"&amp;'19_Расчет_аналитики'!Q3596,WeightedRevAge04)-SUMIF(ThresholdAge04,"&lt;"&amp;'19_Расчет_аналитики'!Q3596,WeightedMinAge04),MAX(CapacityAge04*'01_Вводные'!$B$218*'19_Расчет_аналитики'!Q3596,MeanMinAge04))),0)</f>
        <v/>
      </c>
      <c r="R3531">
        <f>IF('01_Вводные'!$B$234="Да",IF(OR(('19_Расчет_аналитики'!R3447-'19_Расчет_аналитики'!R3475)=0,4&lt;='01_Вводные'!$B$297),0,('19_Расчет_аналитики'!R3447-'19_Расчет_аналитики'!R3475)*IF('01_Вводные'!$B$239="Да",MeanMinAge04+'19_Расчет_аналитики'!R3596*SUMIF(ThresholdAge04,"&lt;"&amp;'19_Расчет_аналитики'!R3596,WeightedRevAge04)-SUMIF(ThresholdAge04,"&lt;"&amp;'19_Расчет_аналитики'!R3596,WeightedMinAge04),MAX(CapacityAge04*'01_Вводные'!$B$218*'19_Расчет_аналитики'!R3596,MeanMinAge04))),0)</f>
        <v/>
      </c>
      <c r="S3531">
        <f>IF('01_Вводные'!$B$234="Да",IF(OR(('19_Расчет_аналитики'!S3447-'19_Расчет_аналитики'!S3475)=0,4&lt;='01_Вводные'!$B$297),0,('19_Расчет_аналитики'!S3447-'19_Расчет_аналитики'!S3475)*IF('01_Вводные'!$B$239="Да",MeanMinAge04+'19_Расчет_аналитики'!S3596*SUMIF(ThresholdAge04,"&lt;"&amp;'19_Расчет_аналитики'!S3596,WeightedRevAge04)-SUMIF(ThresholdAge04,"&lt;"&amp;'19_Расчет_аналитики'!S3596,WeightedMinAge04),MAX(CapacityAge04*'01_Вводные'!$B$218*'19_Расчет_аналитики'!S3596,MeanMinAge04))),0)</f>
        <v/>
      </c>
      <c r="T3531">
        <f>IF('01_Вводные'!$B$234="Да",IF(OR(('19_Расчет_аналитики'!T3447-'19_Расчет_аналитики'!T3475)=0,4&lt;='01_Вводные'!$B$297),0,('19_Расчет_аналитики'!T3447-'19_Расчет_аналитики'!T3475)*IF('01_Вводные'!$B$239="Да",MeanMinAge04+'19_Расчет_аналитики'!T3596*SUMIF(ThresholdAge04,"&lt;"&amp;'19_Расчет_аналитики'!T3596,WeightedRevAge04)-SUMIF(ThresholdAge04,"&lt;"&amp;'19_Расчет_аналитики'!T3596,WeightedMinAge04),MAX(CapacityAge04*'01_Вводные'!$B$218*'19_Расчет_аналитики'!T3596,MeanMinAge04))),0)</f>
        <v/>
      </c>
      <c r="U3531">
        <f>IF('01_Вводные'!$B$234="Да",IF(OR(('19_Расчет_аналитики'!U3447-'19_Расчет_аналитики'!U3475)=0,4&lt;='01_Вводные'!$B$297),0,('19_Расчет_аналитики'!U3447-'19_Расчет_аналитики'!U3475)*IF('01_Вводные'!$B$239="Да",MeanMinAge04+'19_Расчет_аналитики'!U3596*SUMIF(ThresholdAge04,"&lt;"&amp;'19_Расчет_аналитики'!U3596,WeightedRevAge04)-SUMIF(ThresholdAge04,"&lt;"&amp;'19_Расчет_аналитики'!U3596,WeightedMinAge04),MAX(CapacityAge04*'01_Вводные'!$B$218*'19_Расчет_аналитики'!U3596,MeanMinAge04))),0)</f>
        <v/>
      </c>
      <c r="V3531">
        <f>IF('01_Вводные'!$B$234="Да",IF(OR(('19_Расчет_аналитики'!V3447-'19_Расчет_аналитики'!V3475)=0,4&lt;='01_Вводные'!$B$297),0,('19_Расчет_аналитики'!V3447-'19_Расчет_аналитики'!V3475)*IF('01_Вводные'!$B$239="Да",MeanMinAge04+'19_Расчет_аналитики'!V3596*SUMIF(ThresholdAge04,"&lt;"&amp;'19_Расчет_аналитики'!V3596,WeightedRevAge04)-SUMIF(ThresholdAge04,"&lt;"&amp;'19_Расчет_аналитики'!V3596,WeightedMinAge04),MAX(CapacityAge04*'01_Вводные'!$B$218*'19_Расчет_аналитики'!V3596,MeanMinAge04))),0)</f>
        <v/>
      </c>
      <c r="W3531">
        <f>IF('01_Вводные'!$B$234="Да",IF(OR(('19_Расчет_аналитики'!W3447-'19_Расчет_аналитики'!W3475)=0,4&lt;='01_Вводные'!$B$297),0,('19_Расчет_аналитики'!W3447-'19_Расчет_аналитики'!W3475)*IF('01_Вводные'!$B$239="Да",MeanMinAge04+'19_Расчет_аналитики'!W3596*SUMIF(ThresholdAge04,"&lt;"&amp;'19_Расчет_аналитики'!W3596,WeightedRevAge04)-SUMIF(ThresholdAge04,"&lt;"&amp;'19_Расчет_аналитики'!W3596,WeightedMinAge04),MAX(CapacityAge04*'01_Вводные'!$B$218*'19_Расчет_аналитики'!W3596,MeanMinAge04))),0)</f>
        <v/>
      </c>
      <c r="X3531">
        <f>IF('01_Вводные'!$B$234="Да",IF(OR(('19_Расчет_аналитики'!X3447-'19_Расчет_аналитики'!X3475)=0,4&lt;='01_Вводные'!$B$297),0,('19_Расчет_аналитики'!X3447-'19_Расчет_аналитики'!X3475)*IF('01_Вводные'!$B$239="Да",MeanMinAge04+'19_Расчет_аналитики'!X3596*SUMIF(ThresholdAge04,"&lt;"&amp;'19_Расчет_аналитики'!X3596,WeightedRevAge04)-SUMIF(ThresholdAge04,"&lt;"&amp;'19_Расчет_аналитики'!X3596,WeightedMinAge04),MAX(CapacityAge04*'01_Вводные'!$B$218*'19_Расчет_аналитики'!X3596,MeanMinAge04))),0)</f>
        <v/>
      </c>
      <c r="Y3531">
        <f>IF('01_Вводные'!$B$234="Да",IF(OR(('19_Расчет_аналитики'!Y3447-'19_Расчет_аналитики'!Y3475)=0,4&lt;='01_Вводные'!$B$297),0,('19_Расчет_аналитики'!Y3447-'19_Расчет_аналитики'!Y3475)*IF('01_Вводные'!$B$239="Да",MeanMinAge04+'19_Расчет_аналитики'!Y3596*SUMIF(ThresholdAge04,"&lt;"&amp;'19_Расчет_аналитики'!Y3596,WeightedRevAge04)-SUMIF(ThresholdAge04,"&lt;"&amp;'19_Расчет_аналитики'!Y3596,WeightedMinAge04),MAX(CapacityAge04*'01_Вводные'!$B$218*'19_Расчет_аналитики'!Y3596,MeanMinAge04))),0)</f>
        <v/>
      </c>
      <c r="Z3531">
        <f>IF('01_Вводные'!$B$234="Да",IF(OR(('19_Расчет_аналитики'!Z3447-'19_Расчет_аналитики'!Z3475)=0,4&lt;='01_Вводные'!$B$297),0,('19_Расчет_аналитики'!Z3447-'19_Расчет_аналитики'!Z3475)*IF('01_Вводные'!$B$239="Да",MeanMinAge04+'19_Расчет_аналитики'!Z3596*SUMIF(ThresholdAge04,"&lt;"&amp;'19_Расчет_аналитики'!Z3596,WeightedRevAge04)-SUMIF(ThresholdAge04,"&lt;"&amp;'19_Расчет_аналитики'!Z3596,WeightedMinAge04),MAX(CapacityAge04*'01_Вводные'!$B$218*'19_Расчет_аналитики'!Z3596,MeanMinAge04))),0)</f>
        <v/>
      </c>
      <c r="AA3531">
        <f>IF('01_Вводные'!$B$234="Да",IF(OR(('19_Расчет_аналитики'!AA3447-'19_Расчет_аналитики'!AA3475)=0,4&lt;='01_Вводные'!$B$297),0,('19_Расчет_аналитики'!AA3447-'19_Расчет_аналитики'!AA3475)*IF('01_Вводные'!$B$239="Да",MeanMinAge04+'19_Расчет_аналитики'!AA3596*SUMIF(ThresholdAge04,"&lt;"&amp;'19_Расчет_аналитики'!AA3596,WeightedRevAge04)-SUMIF(ThresholdAge04,"&lt;"&amp;'19_Расчет_аналитики'!AA3596,WeightedMinAge04),MAX(CapacityAge04*'01_Вводные'!$B$218*'19_Расчет_аналитики'!AA3596,MeanMinAge04))),0)</f>
        <v/>
      </c>
      <c r="AB3531">
        <f>IF('01_Вводные'!$B$234="Да",IF(OR(('19_Расчет_аналитики'!AB3447-'19_Расчет_аналитики'!AB3475)=0,4&lt;='01_Вводные'!$B$297),0,('19_Расчет_аналитики'!AB3447-'19_Расчет_аналитики'!AB3475)*IF('01_Вводные'!$B$239="Да",MeanMinAge04+'19_Расчет_аналитики'!AB3596*SUMIF(ThresholdAge04,"&lt;"&amp;'19_Расчет_аналитики'!AB3596,WeightedRevAge04)-SUMIF(ThresholdAge04,"&lt;"&amp;'19_Расчет_аналитики'!AB3596,WeightedMinAge04),MAX(CapacityAge04*'01_Вводные'!$B$218*'19_Расчет_аналитики'!AB3596,MeanMinAge04))),0)</f>
        <v/>
      </c>
      <c r="AC3531">
        <f>IF('01_Вводные'!$B$234="Да",IF(OR(('19_Расчет_аналитики'!AC3447-'19_Расчет_аналитики'!AC3475)=0,4&lt;='01_Вводные'!$B$297),0,('19_Расчет_аналитики'!AC3447-'19_Расчет_аналитики'!AC3475)*IF('01_Вводные'!$B$239="Да",MeanMinAge04+'19_Расчет_аналитики'!AC3596*SUMIF(ThresholdAge04,"&lt;"&amp;'19_Расчет_аналитики'!AC3596,WeightedRevAge04)-SUMIF(ThresholdAge04,"&lt;"&amp;'19_Расчет_аналитики'!AC3596,WeightedMinAge04),MAX(CapacityAge04*'01_Вводные'!$B$218*'19_Расчет_аналитики'!AC3596,MeanMinAge04))),0)</f>
        <v/>
      </c>
      <c r="AD3531">
        <f>IF('01_Вводные'!$B$234="Да",IF(OR(('19_Расчет_аналитики'!AD3447-'19_Расчет_аналитики'!AD3475)=0,4&lt;='01_Вводные'!$B$297),0,('19_Расчет_аналитики'!AD3447-'19_Расчет_аналитики'!AD3475)*IF('01_Вводные'!$B$239="Да",MeanMinAge04+'19_Расчет_аналитики'!AD3596*SUMIF(ThresholdAge04,"&lt;"&amp;'19_Расчет_аналитики'!AD3596,WeightedRevAge04)-SUMIF(ThresholdAge04,"&lt;"&amp;'19_Расчет_аналитики'!AD3596,WeightedMinAge04),MAX(CapacityAge04*'01_Вводные'!$B$218*'19_Расчет_аналитики'!AD3596,MeanMinAge04))),0)</f>
        <v/>
      </c>
      <c r="AE3531">
        <f>IF('01_Вводные'!$B$234="Да",IF(OR(('19_Расчет_аналитики'!AE3447-'19_Расчет_аналитики'!AE3475)=0,4&lt;='01_Вводные'!$B$297),0,('19_Расчет_аналитики'!AE3447-'19_Расчет_аналитики'!AE3475)*IF('01_Вводные'!$B$239="Да",MeanMinAge04+'19_Расчет_аналитики'!AE3596*SUMIF(ThresholdAge04,"&lt;"&amp;'19_Расчет_аналитики'!AE3596,WeightedRevAge04)-SUMIF(ThresholdAge04,"&lt;"&amp;'19_Расчет_аналитики'!AE3596,WeightedMinAge04),MAX(CapacityAge04*'01_Вводные'!$B$218*'19_Расчет_аналитики'!AE3596,MeanMinAge04))),0)</f>
        <v/>
      </c>
      <c r="AF3531">
        <f>IF('01_Вводные'!$B$234="Да",IF(OR(('19_Расчет_аналитики'!AF3447-'19_Расчет_аналитики'!AF3475)=0,4&lt;='01_Вводные'!$B$297),0,('19_Расчет_аналитики'!AF3447-'19_Расчет_аналитики'!AF3475)*IF('01_Вводные'!$B$239="Да",MeanMinAge04+'19_Расчет_аналитики'!AF3596*SUMIF(ThresholdAge04,"&lt;"&amp;'19_Расчет_аналитики'!AF3596,WeightedRevAge04)-SUMIF(ThresholdAge04,"&lt;"&amp;'19_Расчет_аналитики'!AF3596,WeightedMinAge04),MAX(CapacityAge04*'01_Вводные'!$B$218*'19_Расчет_аналитики'!AF3596,MeanMinAge04))),0)</f>
        <v/>
      </c>
      <c r="AG3531">
        <f>IF('01_Вводные'!$B$234="Да",IF(OR(('19_Расчет_аналитики'!AG3447-'19_Расчет_аналитики'!AG3475)=0,4&lt;='01_Вводные'!$B$297),0,('19_Расчет_аналитики'!AG3447-'19_Расчет_аналитики'!AG3475)*IF('01_Вводные'!$B$239="Да",MeanMinAge04+'19_Расчет_аналитики'!AG3596*SUMIF(ThresholdAge04,"&lt;"&amp;'19_Расчет_аналитики'!AG3596,WeightedRevAge04)-SUMIF(ThresholdAge04,"&lt;"&amp;'19_Расчет_аналитики'!AG3596,WeightedMinAge04),MAX(CapacityAge04*'01_Вводные'!$B$218*'19_Расчет_аналитики'!AG3596,MeanMinAge04))),0)</f>
        <v/>
      </c>
      <c r="AH3531">
        <f>IF('01_Вводные'!$B$234="Да",IF(OR(('19_Расчет_аналитики'!AH3447-'19_Расчет_аналитики'!AH3475)=0,4&lt;='01_Вводные'!$B$297),0,('19_Расчет_аналитики'!AH3447-'19_Расчет_аналитики'!AH3475)*IF('01_Вводные'!$B$239="Да",MeanMinAge04+'19_Расчет_аналитики'!AH3596*SUMIF(ThresholdAge04,"&lt;"&amp;'19_Расчет_аналитики'!AH3596,WeightedRevAge04)-SUMIF(ThresholdAge04,"&lt;"&amp;'19_Расчет_аналитики'!AH3596,WeightedMinAge04),MAX(CapacityAge04*'01_Вводные'!$B$218*'19_Расчет_аналитики'!AH3596,MeanMinAge04))),0)</f>
        <v/>
      </c>
      <c r="AI3531">
        <f>IF('01_Вводные'!$B$234="Да",IF(OR(('19_Расчет_аналитики'!AI3447-'19_Расчет_аналитики'!AI3475)=0,4&lt;='01_Вводные'!$B$297),0,('19_Расчет_аналитики'!AI3447-'19_Расчет_аналитики'!AI3475)*IF('01_Вводные'!$B$239="Да",MeanMinAge04+'19_Расчет_аналитики'!AI3596*SUMIF(ThresholdAge04,"&lt;"&amp;'19_Расчет_аналитики'!AI3596,WeightedRevAge04)-SUMIF(ThresholdAge04,"&lt;"&amp;'19_Расчет_аналитики'!AI3596,WeightedMinAge04),MAX(CapacityAge04*'01_Вводные'!$B$218*'19_Расчет_аналитики'!AI3596,MeanMinAge04))),0)</f>
        <v/>
      </c>
      <c r="AJ3531">
        <f>IF('01_Вводные'!$B$234="Да",IF(OR(('19_Расчет_аналитики'!AJ3447-'19_Расчет_аналитики'!AJ3475)=0,4&lt;='01_Вводные'!$B$297),0,('19_Расчет_аналитики'!AJ3447-'19_Расчет_аналитики'!AJ3475)*IF('01_Вводные'!$B$239="Да",MeanMinAge04+'19_Расчет_аналитики'!AJ3596*SUMIF(ThresholdAge04,"&lt;"&amp;'19_Расчет_аналитики'!AJ3596,WeightedRevAge04)-SUMIF(ThresholdAge04,"&lt;"&amp;'19_Расчет_аналитики'!AJ3596,WeightedMinAge04),MAX(CapacityAge04*'01_Вводные'!$B$218*'19_Расчет_аналитики'!AJ3596,MeanMinAge04))),0)</f>
        <v/>
      </c>
      <c r="AK3531">
        <f>IF('01_Вводные'!$B$234="Да",IF(OR(('19_Расчет_аналитики'!AK3447-'19_Расчет_аналитики'!AK3475)=0,4&lt;='01_Вводные'!$B$297),0,('19_Расчет_аналитики'!AK3447-'19_Расчет_аналитики'!AK3475)*IF('01_Вводные'!$B$239="Да",MeanMinAge04+'19_Расчет_аналитики'!AK3596*SUMIF(ThresholdAge04,"&lt;"&amp;'19_Расчет_аналитики'!AK3596,WeightedRevAge04)-SUMIF(ThresholdAge04,"&lt;"&amp;'19_Расчет_аналитики'!AK3596,WeightedMinAge04),MAX(CapacityAge04*'01_Вводные'!$B$218*'19_Расчет_аналитики'!AK3596,MeanMinAge04))),0)</f>
        <v/>
      </c>
      <c r="AL3531">
        <f>IF('01_Вводные'!$B$234="Да",IF(OR(('19_Расчет_аналитики'!AL3447-'19_Расчет_аналитики'!AL3475)=0,4&lt;='01_Вводные'!$B$297),0,('19_Расчет_аналитики'!AL3447-'19_Расчет_аналитики'!AL3475)*IF('01_Вводные'!$B$239="Да",MeanMinAge04+'19_Расчет_аналитики'!AL3596*SUMIF(ThresholdAge04,"&lt;"&amp;'19_Расчет_аналитики'!AL3596,WeightedRevAge04)-SUMIF(ThresholdAge04,"&lt;"&amp;'19_Расчет_аналитики'!AL3596,WeightedMinAge04),MAX(CapacityAge04*'01_Вводные'!$B$218*'19_Расчет_аналитики'!AL3596,MeanMinAge04))),0)</f>
        <v/>
      </c>
      <c r="AM3531">
        <f>IF('01_Вводные'!$B$234="Да",IF(OR(('19_Расчет_аналитики'!AM3447-'19_Расчет_аналитики'!AM3475)=0,4&lt;='01_Вводные'!$B$297),0,('19_Расчет_аналитики'!AM3447-'19_Расчет_аналитики'!AM3475)*IF('01_Вводные'!$B$239="Да",MeanMinAge04+'19_Расчет_аналитики'!AM3596*SUMIF(ThresholdAge04,"&lt;"&amp;'19_Расчет_аналитики'!AM3596,WeightedRevAge04)-SUMIF(ThresholdAge04,"&lt;"&amp;'19_Расчет_аналитики'!AM3596,WeightedMinAge04),MAX(CapacityAge04*'01_Вводные'!$B$218*'19_Расчет_аналитики'!AM3596,MeanMinAge04))),0)</f>
        <v/>
      </c>
      <c r="AN3531">
        <f>IF('01_Вводные'!$B$234="Да",IF(OR(('19_Расчет_аналитики'!AN3447-'19_Расчет_аналитики'!AN3475)=0,4&lt;='01_Вводные'!$B$297),0,('19_Расчет_аналитики'!AN3447-'19_Расчет_аналитики'!AN3475)*IF('01_Вводные'!$B$239="Да",MeanMinAge04+'19_Расчет_аналитики'!AN3596*SUMIF(ThresholdAge04,"&lt;"&amp;'19_Расчет_аналитики'!AN3596,WeightedRevAge04)-SUMIF(ThresholdAge04,"&lt;"&amp;'19_Расчет_аналитики'!AN3596,WeightedMinAge04),MAX(CapacityAge04*'01_Вводные'!$B$218*'19_Расчет_аналитики'!AN3596,MeanMinAge04))),0)</f>
        <v/>
      </c>
      <c r="AO3531">
        <f>IF('01_Вводные'!$B$234="Да",IF(OR(('19_Расчет_аналитики'!AO3447-'19_Расчет_аналитики'!AO3475)=0,4&lt;='01_Вводные'!$B$297),0,('19_Расчет_аналитики'!AO3447-'19_Расчет_аналитики'!AO3475)*IF('01_Вводные'!$B$239="Да",MeanMinAge04+'19_Расчет_аналитики'!AO3596*SUMIF(ThresholdAge04,"&lt;"&amp;'19_Расчет_аналитики'!AO3596,WeightedRevAge04)-SUMIF(ThresholdAge04,"&lt;"&amp;'19_Расчет_аналитики'!AO3596,WeightedMinAge04),MAX(CapacityAge04*'01_Вводные'!$B$218*'19_Расчет_аналитики'!AO3596,MeanMinAge04))),0)</f>
        <v/>
      </c>
      <c r="AP3531">
        <f>IF('01_Вводные'!$B$234="Да",IF(OR(('19_Расчет_аналитики'!AP3447-'19_Расчет_аналитики'!AP3475)=0,4&lt;='01_Вводные'!$B$297),0,('19_Расчет_аналитики'!AP3447-'19_Расчет_аналитики'!AP3475)*IF('01_Вводные'!$B$239="Да",MeanMinAge04+'19_Расчет_аналитики'!AP3596*SUMIF(ThresholdAge04,"&lt;"&amp;'19_Расчет_аналитики'!AP3596,WeightedRevAge04)-SUMIF(ThresholdAge04,"&lt;"&amp;'19_Расчет_аналитики'!AP3596,WeightedMinAge04),MAX(CapacityAge04*'01_Вводные'!$B$218*'19_Расчет_аналитики'!AP3596,MeanMinAge04))),0)</f>
        <v/>
      </c>
      <c r="AQ3531">
        <f>IF('01_Вводные'!$B$234="Да",IF(OR(('19_Расчет_аналитики'!AQ3447-'19_Расчет_аналитики'!AQ3475)=0,4&lt;='01_Вводные'!$B$297),0,('19_Расчет_аналитики'!AQ3447-'19_Расчет_аналитики'!AQ3475)*IF('01_Вводные'!$B$239="Да",MeanMinAge04+'19_Расчет_аналитики'!AQ3596*SUMIF(ThresholdAge04,"&lt;"&amp;'19_Расчет_аналитики'!AQ3596,WeightedRevAge04)-SUMIF(ThresholdAge04,"&lt;"&amp;'19_Расчет_аналитики'!AQ3596,WeightedMinAge04),MAX(CapacityAge04*'01_Вводные'!$B$218*'19_Расчет_аналитики'!AQ3596,MeanMinAge04))),0)</f>
        <v/>
      </c>
      <c r="AR3531">
        <f>IF('01_Вводные'!$B$234="Да",IF(OR(('19_Расчет_аналитики'!AR3447-'19_Расчет_аналитики'!AR3475)=0,4&lt;='01_Вводные'!$B$297),0,('19_Расчет_аналитики'!AR3447-'19_Расчет_аналитики'!AR3475)*IF('01_Вводные'!$B$239="Да",MeanMinAge04+'19_Расчет_аналитики'!AR3596*SUMIF(ThresholdAge04,"&lt;"&amp;'19_Расчет_аналитики'!AR3596,WeightedRevAge04)-SUMIF(ThresholdAge04,"&lt;"&amp;'19_Расчет_аналитики'!AR3596,WeightedMinAge04),MAX(CapacityAge04*'01_Вводные'!$B$218*'19_Расчет_аналитики'!AR3596,MeanMinAge04))),0)</f>
        <v/>
      </c>
      <c r="AS3531">
        <f>IF('01_Вводные'!$B$234="Да",IF(OR(('19_Расчет_аналитики'!AS3447-'19_Расчет_аналитики'!AS3475)=0,4&lt;='01_Вводные'!$B$297),0,('19_Расчет_аналитики'!AS3447-'19_Расчет_аналитики'!AS3475)*IF('01_Вводные'!$B$239="Да",MeanMinAge04+'19_Расчет_аналитики'!AS3596*SUMIF(ThresholdAge04,"&lt;"&amp;'19_Расчет_аналитики'!AS3596,WeightedRevAge04)-SUMIF(ThresholdAge04,"&lt;"&amp;'19_Расчет_аналитики'!AS3596,WeightedMinAge04),MAX(CapacityAge04*'01_Вводные'!$B$218*'19_Расчет_аналитики'!AS3596,MeanMinAge04))),0)</f>
        <v/>
      </c>
      <c r="AT3531">
        <f>IF('01_Вводные'!$B$234="Да",IF(OR(('19_Расчет_аналитики'!AT3447-'19_Расчет_аналитики'!AT3475)=0,4&lt;='01_Вводные'!$B$297),0,('19_Расчет_аналитики'!AT3447-'19_Расчет_аналитики'!AT3475)*IF('01_Вводные'!$B$239="Да",MeanMinAge04+'19_Расчет_аналитики'!AT3596*SUMIF(ThresholdAge04,"&lt;"&amp;'19_Расчет_аналитики'!AT3596,WeightedRevAge04)-SUMIF(ThresholdAge04,"&lt;"&amp;'19_Расчет_аналитики'!AT3596,WeightedMinAge04),MAX(CapacityAge04*'01_Вводные'!$B$218*'19_Расчет_аналитики'!AT3596,MeanMinAge04))),0)</f>
        <v/>
      </c>
      <c r="AU3531">
        <f>IF('01_Вводные'!$B$234="Да",IF(OR(('19_Расчет_аналитики'!AU3447-'19_Расчет_аналитики'!AU3475)=0,4&lt;='01_Вводные'!$B$297),0,('19_Расчет_аналитики'!AU3447-'19_Расчет_аналитики'!AU3475)*IF('01_Вводные'!$B$239="Да",MeanMinAge04+'19_Расчет_аналитики'!AU3596*SUMIF(ThresholdAge04,"&lt;"&amp;'19_Расчет_аналитики'!AU3596,WeightedRevAge04)-SUMIF(ThresholdAge04,"&lt;"&amp;'19_Расчет_аналитики'!AU3596,WeightedMinAge04),MAX(CapacityAge04*'01_Вводные'!$B$218*'19_Расчет_аналитики'!AU3596,MeanMinAge04))),0)</f>
        <v/>
      </c>
      <c r="AV3531">
        <f>IF('01_Вводные'!$B$234="Да",IF(OR(('19_Расчет_аналитики'!AV3447-'19_Расчет_аналитики'!AV3475)=0,4&lt;='01_Вводные'!$B$297),0,('19_Расчет_аналитики'!AV3447-'19_Расчет_аналитики'!AV3475)*IF('01_Вводные'!$B$239="Да",MeanMinAge04+'19_Расчет_аналитики'!AV3596*SUMIF(ThresholdAge04,"&lt;"&amp;'19_Расчет_аналитики'!AV3596,WeightedRevAge04)-SUMIF(ThresholdAge04,"&lt;"&amp;'19_Расчет_аналитики'!AV3596,WeightedMinAge04),MAX(CapacityAge04*'01_Вводные'!$B$218*'19_Расчет_аналитики'!AV3596,MeanMinAge04))),0)</f>
        <v/>
      </c>
      <c r="AW3531">
        <f>IF('01_Вводные'!$B$234="Да",IF(OR(('19_Расчет_аналитики'!AW3447-'19_Расчет_аналитики'!AW3475)=0,4&lt;='01_Вводные'!$B$297),0,('19_Расчет_аналитики'!AW3447-'19_Расчет_аналитики'!AW3475)*IF('01_Вводные'!$B$239="Да",MeanMinAge04+'19_Расчет_аналитики'!AW3596*SUMIF(ThresholdAge04,"&lt;"&amp;'19_Расчет_аналитики'!AW3596,WeightedRevAge04)-SUMIF(ThresholdAge04,"&lt;"&amp;'19_Расчет_аналитики'!AW3596,WeightedMinAge04),MAX(CapacityAge04*'01_Вводные'!$B$218*'19_Расчет_аналитики'!AW3596,MeanMinAge04))),0)</f>
        <v/>
      </c>
      <c r="AX3531">
        <f>IF('01_Вводные'!$B$234="Да",IF(OR(('19_Расчет_аналитики'!AX3447-'19_Расчет_аналитики'!AX3475)=0,4&lt;='01_Вводные'!$B$297),0,('19_Расчет_аналитики'!AX3447-'19_Расчет_аналитики'!AX3475)*IF('01_Вводные'!$B$239="Да",MeanMinAge04+'19_Расчет_аналитики'!AX3596*SUMIF(ThresholdAge04,"&lt;"&amp;'19_Расчет_аналитики'!AX3596,WeightedRevAge04)-SUMIF(ThresholdAge04,"&lt;"&amp;'19_Расчет_аналитики'!AX3596,WeightedMinAge04),MAX(CapacityAge04*'01_Вводные'!$B$218*'19_Расчет_аналитики'!AX3596,MeanMinAge04))),0)</f>
        <v/>
      </c>
      <c r="AY3531">
        <f>IF('01_Вводные'!$B$234="Да",IF(OR(('19_Расчет_аналитики'!AY3447-'19_Расчет_аналитики'!AY3475)=0,4&lt;='01_Вводные'!$B$297),0,('19_Расчет_аналитики'!AY3447-'19_Расчет_аналитики'!AY3475)*IF('01_Вводные'!$B$239="Да",MeanMinAge04+'19_Расчет_аналитики'!AY3596*SUMIF(ThresholdAge04,"&lt;"&amp;'19_Расчет_аналитики'!AY3596,WeightedRevAge04)-SUMIF(ThresholdAge04,"&lt;"&amp;'19_Расчет_аналитики'!AY3596,WeightedMinAge04),MAX(CapacityAge04*'01_Вводные'!$B$218*'19_Расчет_аналитики'!AY3596,MeanMinAge04))),0)</f>
        <v/>
      </c>
      <c r="AZ3531">
        <f>IF('01_Вводные'!$B$234="Да",IF(OR(('19_Расчет_аналитики'!AZ3447-'19_Расчет_аналитики'!AZ3475)=0,4&lt;='01_Вводные'!$B$297),0,('19_Расчет_аналитики'!AZ3447-'19_Расчет_аналитики'!AZ3475)*IF('01_Вводные'!$B$239="Да",MeanMinAge04+'19_Расчет_аналитики'!AZ3596*SUMIF(ThresholdAge04,"&lt;"&amp;'19_Расчет_аналитики'!AZ3596,WeightedRevAge04)-SUMIF(ThresholdAge04,"&lt;"&amp;'19_Расчет_аналитики'!AZ3596,WeightedMinAge04),MAX(CapacityAge04*'01_Вводные'!$B$218*'19_Расчет_аналитики'!AZ3596,MeanMinAge04))),0)</f>
        <v/>
      </c>
      <c r="BA3531">
        <f>IF('01_Вводные'!$B$234="Да",IF(OR(('19_Расчет_аналитики'!BA3447-'19_Расчет_аналитики'!BA3475)=0,4&lt;='01_Вводные'!$B$297),0,('19_Расчет_аналитики'!BA3447-'19_Расчет_аналитики'!BA3475)*IF('01_Вводные'!$B$239="Да",MeanMinAge04+'19_Расчет_аналитики'!BA3596*SUMIF(ThresholdAge04,"&lt;"&amp;'19_Расчет_аналитики'!BA3596,WeightedRevAge04)-SUMIF(ThresholdAge04,"&lt;"&amp;'19_Расчет_аналитики'!BA3596,WeightedMinAge04),MAX(CapacityAge04*'01_Вводные'!$B$218*'19_Расчет_аналитики'!BA3596,MeanMinAge04))),0)</f>
        <v/>
      </c>
      <c r="BB3531">
        <f>IF('01_Вводные'!$B$234="Да",IF(OR(('19_Расчет_аналитики'!BB3447-'19_Расчет_аналитики'!BB3475)=0,4&lt;='01_Вводные'!$B$297),0,('19_Расчет_аналитики'!BB3447-'19_Расчет_аналитики'!BB3475)*IF('01_Вводные'!$B$239="Да",MeanMinAge04+'19_Расчет_аналитики'!BB3596*SUMIF(ThresholdAge04,"&lt;"&amp;'19_Расчет_аналитики'!BB3596,WeightedRevAge04)-SUMIF(ThresholdAge04,"&lt;"&amp;'19_Расчет_аналитики'!BB3596,WeightedMinAge04),MAX(CapacityAge04*'01_Вводные'!$B$218*'19_Расчет_аналитики'!BB3596,MeanMinAge04))),0)</f>
        <v/>
      </c>
      <c r="BC3531">
        <f>IF('01_Вводные'!$B$234="Да",IF(OR(('19_Расчет_аналитики'!BC3447-'19_Расчет_аналитики'!BC3475)=0,4&lt;='01_Вводные'!$B$297),0,('19_Расчет_аналитики'!BC3447-'19_Расчет_аналитики'!BC3475)*IF('01_Вводные'!$B$239="Да",MeanMinAge04+'19_Расчет_аналитики'!BC3596*SUMIF(ThresholdAge04,"&lt;"&amp;'19_Расчет_аналитики'!BC3596,WeightedRevAge04)-SUMIF(ThresholdAge04,"&lt;"&amp;'19_Расчет_аналитики'!BC3596,WeightedMinAge04),MAX(CapacityAge04*'01_Вводные'!$B$218*'19_Расчет_аналитики'!BC3596,MeanMinAge04))),0)</f>
        <v/>
      </c>
      <c r="BD3531">
        <f>IF('01_Вводные'!$B$234="Да",IF(OR(('19_Расчет_аналитики'!BD3447-'19_Расчет_аналитики'!BD3475)=0,4&lt;='01_Вводные'!$B$297),0,('19_Расчет_аналитики'!BD3447-'19_Расчет_аналитики'!BD3475)*IF('01_Вводные'!$B$239="Да",MeanMinAge04+'19_Расчет_аналитики'!BD3596*SUMIF(ThresholdAge04,"&lt;"&amp;'19_Расчет_аналитики'!BD3596,WeightedRevAge04)-SUMIF(ThresholdAge04,"&lt;"&amp;'19_Расчет_аналитики'!BD3596,WeightedMinAge04),MAX(CapacityAge04*'01_Вводные'!$B$218*'19_Расчет_аналитики'!BD3596,MeanMinAge04))),0)</f>
        <v/>
      </c>
      <c r="BE3531">
        <f>IF('01_Вводные'!$B$234="Да",IF(OR(('19_Расчет_аналитики'!BE3447-'19_Расчет_аналитики'!BE3475)=0,4&lt;='01_Вводные'!$B$297),0,('19_Расчет_аналитики'!BE3447-'19_Расчет_аналитики'!BE3475)*IF('01_Вводные'!$B$239="Да",MeanMinAge04+'19_Расчет_аналитики'!BE3596*SUMIF(ThresholdAge04,"&lt;"&amp;'19_Расчет_аналитики'!BE3596,WeightedRevAge04)-SUMIF(ThresholdAge04,"&lt;"&amp;'19_Расчет_аналитики'!BE3596,WeightedMinAge04),MAX(CapacityAge04*'01_Вводные'!$B$218*'19_Расчет_аналитики'!BE3596,MeanMinAge04))),0)</f>
        <v/>
      </c>
      <c r="BF3531">
        <f>IF('01_Вводные'!$B$234="Да",IF(OR(('19_Расчет_аналитики'!BF3447-'19_Расчет_аналитики'!BF3475)=0,4&lt;='01_Вводные'!$B$297),0,('19_Расчет_аналитики'!BF3447-'19_Расчет_аналитики'!BF3475)*IF('01_Вводные'!$B$239="Да",MeanMinAge04+'19_Расчет_аналитики'!BF3596*SUMIF(ThresholdAge04,"&lt;"&amp;'19_Расчет_аналитики'!BF3596,WeightedRevAge04)-SUMIF(ThresholdAge04,"&lt;"&amp;'19_Расчет_аналитики'!BF3596,WeightedMinAge04),MAX(CapacityAge04*'01_Вводные'!$B$218*'19_Расчет_аналитики'!BF3596,MeanMinAge04))),0)</f>
        <v/>
      </c>
      <c r="BG3531">
        <f>IF('01_Вводные'!$B$234="Да",IF(OR(('19_Расчет_аналитики'!BG3447-'19_Расчет_аналитики'!BG3475)=0,4&lt;='01_Вводные'!$B$297),0,('19_Расчет_аналитики'!BG3447-'19_Расчет_аналитики'!BG3475)*IF('01_Вводные'!$B$239="Да",MeanMinAge04+'19_Расчет_аналитики'!BG3596*SUMIF(ThresholdAge04,"&lt;"&amp;'19_Расчет_аналитики'!BG3596,WeightedRevAge04)-SUMIF(ThresholdAge04,"&lt;"&amp;'19_Расчет_аналитики'!BG3596,WeightedMinAge04),MAX(CapacityAge04*'01_Вводные'!$B$218*'19_Расчет_аналитики'!BG3596,MeanMinAge04))),0)</f>
        <v/>
      </c>
      <c r="BH3531">
        <f>IF('01_Вводные'!$B$234="Да",IF(OR(('19_Расчет_аналитики'!BH3447-'19_Расчет_аналитики'!BH3475)=0,4&lt;='01_Вводные'!$B$297),0,('19_Расчет_аналитики'!BH3447-'19_Расчет_аналитики'!BH3475)*IF('01_Вводные'!$B$239="Да",MeanMinAge04+'19_Расчет_аналитики'!BH3596*SUMIF(ThresholdAge04,"&lt;"&amp;'19_Расчет_аналитики'!BH3596,WeightedRevAge04)-SUMIF(ThresholdAge04,"&lt;"&amp;'19_Расчет_аналитики'!BH3596,WeightedMinAge04),MAX(CapacityAge04*'01_Вводные'!$B$218*'19_Расчет_аналитики'!BH3596,MeanMinAge04))),0)</f>
        <v/>
      </c>
      <c r="BI3531">
        <f>IF('01_Вводные'!$B$234="Да",IF(OR(('19_Расчет_аналитики'!BI3447-'19_Расчет_аналитики'!BI3475)=0,4&lt;='01_Вводные'!$B$297),0,('19_Расчет_аналитики'!BI3447-'19_Расчет_аналитики'!BI3475)*IF('01_Вводные'!$B$239="Да",MeanMinAge04+'19_Расчет_аналитики'!BI3596*SUMIF(ThresholdAge04,"&lt;"&amp;'19_Расчет_аналитики'!BI3596,WeightedRevAge04)-SUMIF(ThresholdAge04,"&lt;"&amp;'19_Расчет_аналитики'!BI3596,WeightedMinAge04),MAX(CapacityAge04*'01_Вводные'!$B$218*'19_Расчет_аналитики'!BI3596,MeanMinAge04))),0)</f>
        <v/>
      </c>
      <c r="BJ3531">
        <f>IF('01_Вводные'!$B$234="Да",IF(OR(('19_Расчет_аналитики'!BJ3447-'19_Расчет_аналитики'!BJ3475)=0,4&lt;='01_Вводные'!$B$297),0,('19_Расчет_аналитики'!BJ3447-'19_Расчет_аналитики'!BJ3475)*IF('01_Вводные'!$B$239="Да",MeanMinAge04+'19_Расчет_аналитики'!BJ3596*SUMIF(ThresholdAge04,"&lt;"&amp;'19_Расчет_аналитики'!BJ3596,WeightedRevAge04)-SUMIF(ThresholdAge04,"&lt;"&amp;'19_Расчет_аналитики'!BJ3596,WeightedMinAge04),MAX(CapacityAge04*'01_Вводные'!$B$218*'19_Расчет_аналитики'!BJ3596,MeanMinAge04))),0)</f>
        <v/>
      </c>
      <c r="BK3531">
        <f>IF('01_Вводные'!$B$234="Да",IF(OR(('19_Расчет_аналитики'!BK3447-'19_Расчет_аналитики'!BK3475)=0,4&lt;='01_Вводные'!$B$297),0,('19_Расчет_аналитики'!BK3447-'19_Расчет_аналитики'!BK3475)*IF('01_Вводные'!$B$239="Да",MeanMinAge04+'19_Расчет_аналитики'!BK3596*SUMIF(ThresholdAge04,"&lt;"&amp;'19_Расчет_аналитики'!BK3596,WeightedRevAge04)-SUMIF(ThresholdAge04,"&lt;"&amp;'19_Расчет_аналитики'!BK3596,WeightedMinAge04),MAX(CapacityAge04*'01_Вводные'!$B$218*'19_Расчет_аналитики'!BK3596,MeanMinAge04))),0)</f>
        <v/>
      </c>
      <c r="BL3531">
        <f>IF('01_Вводные'!$B$234="Да",IF(OR(('19_Расчет_аналитики'!BL3447-'19_Расчет_аналитики'!BL3475)=0,4&lt;='01_Вводные'!$B$297),0,('19_Расчет_аналитики'!BL3447-'19_Расчет_аналитики'!BL3475)*IF('01_Вводные'!$B$239="Да",MeanMinAge04+'19_Расчет_аналитики'!BL3596*SUMIF(ThresholdAge04,"&lt;"&amp;'19_Расчет_аналитики'!BL3596,WeightedRevAge04)-SUMIF(ThresholdAge04,"&lt;"&amp;'19_Расчет_аналитики'!BL3596,WeightedMinAge04),MAX(CapacityAge04*'01_Вводные'!$B$218*'19_Расчет_аналитики'!BL3596,MeanMinAge04))),0)</f>
        <v/>
      </c>
      <c r="BM3531">
        <f>IF('01_Вводные'!$B$234="Да",IF(OR(('19_Расчет_аналитики'!BM3447-'19_Расчет_аналитики'!BM3475)=0,4&lt;='01_Вводные'!$B$297),0,('19_Расчет_аналитики'!BM3447-'19_Расчет_аналитики'!BM3475)*IF('01_Вводные'!$B$239="Да",MeanMinAge04+'19_Расчет_аналитики'!BM3596*SUMIF(ThresholdAge04,"&lt;"&amp;'19_Расчет_аналитики'!BM3596,WeightedRevAge04)-SUMIF(ThresholdAge04,"&lt;"&amp;'19_Расчет_аналитики'!BM3596,WeightedMinAge04),MAX(CapacityAge04*'01_Вводные'!$B$218*'19_Расчет_аналитики'!BM3596,MeanMinAge04))),0)</f>
        <v/>
      </c>
      <c r="BN3531">
        <f>IF('01_Вводные'!$B$234="Да",IF(OR(('19_Расчет_аналитики'!BN3447-'19_Расчет_аналитики'!BN3475)=0,4&lt;='01_Вводные'!$B$297),0,('19_Расчет_аналитики'!BN3447-'19_Расчет_аналитики'!BN3475)*IF('01_Вводные'!$B$239="Да",MeanMinAge04+'19_Расчет_аналитики'!BN3596*SUMIF(ThresholdAge04,"&lt;"&amp;'19_Расчет_аналитики'!BN3596,WeightedRevAge04)-SUMIF(ThresholdAge04,"&lt;"&amp;'19_Расчет_аналитики'!BN3596,WeightedMinAge04),MAX(CapacityAge04*'01_Вводные'!$B$218*'19_Расчет_аналитики'!BN3596,MeanMinAge04))),0)</f>
        <v/>
      </c>
      <c r="BO3531">
        <f>IF('01_Вводные'!$B$234="Да",IF(OR(('19_Расчет_аналитики'!BO3447-'19_Расчет_аналитики'!BO3475)=0,4&lt;='01_Вводные'!$B$297),0,('19_Расчет_аналитики'!BO3447-'19_Расчет_аналитики'!BO3475)*IF('01_Вводные'!$B$239="Да",MeanMinAge04+'19_Расчет_аналитики'!BO3596*SUMIF(ThresholdAge04,"&lt;"&amp;'19_Расчет_аналитики'!BO3596,WeightedRevAge04)-SUMIF(ThresholdAge04,"&lt;"&amp;'19_Расчет_аналитики'!BO3596,WeightedMinAge04),MAX(CapacityAge04*'01_Вводные'!$B$218*'19_Расчет_аналитики'!BO3596,MeanMinAge04))),0)</f>
        <v/>
      </c>
    </row>
    <row r="3532">
      <c r="B3532">
        <f>IF('01_Вводные'!$B$234="Да",IF(OR(('06_Сеть_и_дети'!B57-'06_Сеть_и_дети'!B85)=0,5&lt;='01_Вводные'!$B$297),0,('06_Сеть_и_дети'!B57-'06_Сеть_и_дети'!B85)*IF('01_Вводные'!$B$239="Да",MeanMinAge05+'19_Расчет_аналитики'!B3596*SUMIF(ThresholdAge05,"&lt;"&amp;'19_Расчет_аналитики'!B3596,WeightedRevAge05)-SUMIF(ThresholdAge05,"&lt;"&amp;'19_Расчет_аналитики'!B3596,WeightedMinAge05),MAX(CapacityAge05*'01_Вводные'!$B$218*'19_Расчет_аналитики'!B3596,MeanMinAge05))),0)</f>
        <v/>
      </c>
      <c r="C3532">
        <f>IF('01_Вводные'!$B$234="Да",IF(OR(('06_Сеть_и_дети'!C57-'06_Сеть_и_дети'!C85)=0,5&lt;='01_Вводные'!$B$297),0,('06_Сеть_и_дети'!C57-'06_Сеть_и_дети'!C85)*IF('01_Вводные'!$B$239="Да",MeanMinAge05+'19_Расчет_аналитики'!C3596*SUMIF(ThresholdAge05,"&lt;"&amp;'19_Расчет_аналитики'!C3596,WeightedRevAge05)-SUMIF(ThresholdAge05,"&lt;"&amp;'19_Расчет_аналитики'!C3596,WeightedMinAge05),MAX(CapacityAge05*'01_Вводные'!$B$218*'19_Расчет_аналитики'!C3596,MeanMinAge05))),0)</f>
        <v/>
      </c>
      <c r="D3532">
        <f>IF('01_Вводные'!$B$234="Да",IF(OR(('06_Сеть_и_дети'!D57-'06_Сеть_и_дети'!D85)=0,5&lt;='01_Вводные'!$B$297),0,('06_Сеть_и_дети'!D57-'06_Сеть_и_дети'!D85)*IF('01_Вводные'!$B$239="Да",MeanMinAge05+'19_Расчет_аналитики'!D3596*SUMIF(ThresholdAge05,"&lt;"&amp;'19_Расчет_аналитики'!D3596,WeightedRevAge05)-SUMIF(ThresholdAge05,"&lt;"&amp;'19_Расчет_аналитики'!D3596,WeightedMinAge05),MAX(CapacityAge05*'01_Вводные'!$B$218*'19_Расчет_аналитики'!D3596,MeanMinAge05))),0)</f>
        <v/>
      </c>
      <c r="E3532">
        <f>IF('01_Вводные'!$B$234="Да",IF(OR(('06_Сеть_и_дети'!E57-'06_Сеть_и_дети'!E85)=0,5&lt;='01_Вводные'!$B$297),0,('06_Сеть_и_дети'!E57-'06_Сеть_и_дети'!E85)*IF('01_Вводные'!$B$239="Да",MeanMinAge05+'19_Расчет_аналитики'!E3596*SUMIF(ThresholdAge05,"&lt;"&amp;'19_Расчет_аналитики'!E3596,WeightedRevAge05)-SUMIF(ThresholdAge05,"&lt;"&amp;'19_Расчет_аналитики'!E3596,WeightedMinAge05),MAX(CapacityAge05*'01_Вводные'!$B$218*'19_Расчет_аналитики'!E3596,MeanMinAge05))),0)</f>
        <v/>
      </c>
      <c r="F3532">
        <f>IF('01_Вводные'!$B$234="Да",IF(OR(('19_Расчет_аналитики'!F3448-'19_Расчет_аналитики'!F3476)=0,5&lt;='01_Вводные'!$B$297),0,('19_Расчет_аналитики'!F3448-'19_Расчет_аналитики'!F3476)*IF('01_Вводные'!$B$239="Да",MeanMinAge05+'19_Расчет_аналитики'!F3596*SUMIF(ThresholdAge05,"&lt;"&amp;'19_Расчет_аналитики'!F3596,WeightedRevAge05)-SUMIF(ThresholdAge05,"&lt;"&amp;'19_Расчет_аналитики'!F3596,WeightedMinAge05),MAX(CapacityAge05*'01_Вводные'!$B$218*'19_Расчет_аналитики'!F3596,MeanMinAge05))),0)</f>
        <v/>
      </c>
      <c r="G3532">
        <f>IF('01_Вводные'!$B$234="Да",IF(OR(('19_Расчет_аналитики'!G3448-'19_Расчет_аналитики'!G3476)=0,5&lt;='01_Вводные'!$B$297),0,('19_Расчет_аналитики'!G3448-'19_Расчет_аналитики'!G3476)*IF('01_Вводные'!$B$239="Да",MeanMinAge05+'19_Расчет_аналитики'!G3596*SUMIF(ThresholdAge05,"&lt;"&amp;'19_Расчет_аналитики'!G3596,WeightedRevAge05)-SUMIF(ThresholdAge05,"&lt;"&amp;'19_Расчет_аналитики'!G3596,WeightedMinAge05),MAX(CapacityAge05*'01_Вводные'!$B$218*'19_Расчет_аналитики'!G3596,MeanMinAge05))),0)</f>
        <v/>
      </c>
      <c r="H3532">
        <f>IF('01_Вводные'!$B$234="Да",IF(OR(('19_Расчет_аналитики'!H3448-'19_Расчет_аналитики'!H3476)=0,5&lt;='01_Вводные'!$B$297),0,('19_Расчет_аналитики'!H3448-'19_Расчет_аналитики'!H3476)*IF('01_Вводные'!$B$239="Да",MeanMinAge05+'19_Расчет_аналитики'!H3596*SUMIF(ThresholdAge05,"&lt;"&amp;'19_Расчет_аналитики'!H3596,WeightedRevAge05)-SUMIF(ThresholdAge05,"&lt;"&amp;'19_Расчет_аналитики'!H3596,WeightedMinAge05),MAX(CapacityAge05*'01_Вводные'!$B$218*'19_Расчет_аналитики'!H3596,MeanMinAge05))),0)</f>
        <v/>
      </c>
      <c r="I3532">
        <f>IF('01_Вводные'!$B$234="Да",IF(OR(('19_Расчет_аналитики'!I3448-'19_Расчет_аналитики'!I3476)=0,5&lt;='01_Вводные'!$B$297),0,('19_Расчет_аналитики'!I3448-'19_Расчет_аналитики'!I3476)*IF('01_Вводные'!$B$239="Да",MeanMinAge05+'19_Расчет_аналитики'!I3596*SUMIF(ThresholdAge05,"&lt;"&amp;'19_Расчет_аналитики'!I3596,WeightedRevAge05)-SUMIF(ThresholdAge05,"&lt;"&amp;'19_Расчет_аналитики'!I3596,WeightedMinAge05),MAX(CapacityAge05*'01_Вводные'!$B$218*'19_Расчет_аналитики'!I3596,MeanMinAge05))),0)</f>
        <v/>
      </c>
      <c r="J3532">
        <f>IF('01_Вводные'!$B$234="Да",IF(OR(('19_Расчет_аналитики'!J3448-'19_Расчет_аналитики'!J3476)=0,5&lt;='01_Вводные'!$B$297),0,('19_Расчет_аналитики'!J3448-'19_Расчет_аналитики'!J3476)*IF('01_Вводные'!$B$239="Да",MeanMinAge05+'19_Расчет_аналитики'!J3596*SUMIF(ThresholdAge05,"&lt;"&amp;'19_Расчет_аналитики'!J3596,WeightedRevAge05)-SUMIF(ThresholdAge05,"&lt;"&amp;'19_Расчет_аналитики'!J3596,WeightedMinAge05),MAX(CapacityAge05*'01_Вводные'!$B$218*'19_Расчет_аналитики'!J3596,MeanMinAge05))),0)</f>
        <v/>
      </c>
      <c r="K3532">
        <f>IF('01_Вводные'!$B$234="Да",IF(OR(('19_Расчет_аналитики'!K3448-'19_Расчет_аналитики'!K3476)=0,5&lt;='01_Вводные'!$B$297),0,('19_Расчет_аналитики'!K3448-'19_Расчет_аналитики'!K3476)*IF('01_Вводные'!$B$239="Да",MeanMinAge05+'19_Расчет_аналитики'!K3596*SUMIF(ThresholdAge05,"&lt;"&amp;'19_Расчет_аналитики'!K3596,WeightedRevAge05)-SUMIF(ThresholdAge05,"&lt;"&amp;'19_Расчет_аналитики'!K3596,WeightedMinAge05),MAX(CapacityAge05*'01_Вводные'!$B$218*'19_Расчет_аналитики'!K3596,MeanMinAge05))),0)</f>
        <v/>
      </c>
      <c r="L3532">
        <f>IF('01_Вводные'!$B$234="Да",IF(OR(('19_Расчет_аналитики'!L3448-'19_Расчет_аналитики'!L3476)=0,5&lt;='01_Вводные'!$B$297),0,('19_Расчет_аналитики'!L3448-'19_Расчет_аналитики'!L3476)*IF('01_Вводные'!$B$239="Да",MeanMinAge05+'19_Расчет_аналитики'!L3596*SUMIF(ThresholdAge05,"&lt;"&amp;'19_Расчет_аналитики'!L3596,WeightedRevAge05)-SUMIF(ThresholdAge05,"&lt;"&amp;'19_Расчет_аналитики'!L3596,WeightedMinAge05),MAX(CapacityAge05*'01_Вводные'!$B$218*'19_Расчет_аналитики'!L3596,MeanMinAge05))),0)</f>
        <v/>
      </c>
      <c r="M3532">
        <f>IF('01_Вводные'!$B$234="Да",IF(OR(('19_Расчет_аналитики'!M3448-'19_Расчет_аналитики'!M3476)=0,5&lt;='01_Вводные'!$B$297),0,('19_Расчет_аналитики'!M3448-'19_Расчет_аналитики'!M3476)*IF('01_Вводные'!$B$239="Да",MeanMinAge05+'19_Расчет_аналитики'!M3596*SUMIF(ThresholdAge05,"&lt;"&amp;'19_Расчет_аналитики'!M3596,WeightedRevAge05)-SUMIF(ThresholdAge05,"&lt;"&amp;'19_Расчет_аналитики'!M3596,WeightedMinAge05),MAX(CapacityAge05*'01_Вводные'!$B$218*'19_Расчет_аналитики'!M3596,MeanMinAge05))),0)</f>
        <v/>
      </c>
      <c r="N3532">
        <f>IF('01_Вводные'!$B$234="Да",IF(OR(('19_Расчет_аналитики'!N3448-'19_Расчет_аналитики'!N3476)=0,5&lt;='01_Вводные'!$B$297),0,('19_Расчет_аналитики'!N3448-'19_Расчет_аналитики'!N3476)*IF('01_Вводные'!$B$239="Да",MeanMinAge05+'19_Расчет_аналитики'!N3596*SUMIF(ThresholdAge05,"&lt;"&amp;'19_Расчет_аналитики'!N3596,WeightedRevAge05)-SUMIF(ThresholdAge05,"&lt;"&amp;'19_Расчет_аналитики'!N3596,WeightedMinAge05),MAX(CapacityAge05*'01_Вводные'!$B$218*'19_Расчет_аналитики'!N3596,MeanMinAge05))),0)</f>
        <v/>
      </c>
      <c r="O3532">
        <f>IF('01_Вводные'!$B$234="Да",IF(OR(('19_Расчет_аналитики'!O3448-'19_Расчет_аналитики'!O3476)=0,5&lt;='01_Вводные'!$B$297),0,('19_Расчет_аналитики'!O3448-'19_Расчет_аналитики'!O3476)*IF('01_Вводные'!$B$239="Да",MeanMinAge05+'19_Расчет_аналитики'!O3596*SUMIF(ThresholdAge05,"&lt;"&amp;'19_Расчет_аналитики'!O3596,WeightedRevAge05)-SUMIF(ThresholdAge05,"&lt;"&amp;'19_Расчет_аналитики'!O3596,WeightedMinAge05),MAX(CapacityAge05*'01_Вводные'!$B$218*'19_Расчет_аналитики'!O3596,MeanMinAge05))),0)</f>
        <v/>
      </c>
      <c r="P3532">
        <f>IF('01_Вводные'!$B$234="Да",IF(OR(('19_Расчет_аналитики'!P3448-'19_Расчет_аналитики'!P3476)=0,5&lt;='01_Вводные'!$B$297),0,('19_Расчет_аналитики'!P3448-'19_Расчет_аналитики'!P3476)*IF('01_Вводные'!$B$239="Да",MeanMinAge05+'19_Расчет_аналитики'!P3596*SUMIF(ThresholdAge05,"&lt;"&amp;'19_Расчет_аналитики'!P3596,WeightedRevAge05)-SUMIF(ThresholdAge05,"&lt;"&amp;'19_Расчет_аналитики'!P3596,WeightedMinAge05),MAX(CapacityAge05*'01_Вводные'!$B$218*'19_Расчет_аналитики'!P3596,MeanMinAge05))),0)</f>
        <v/>
      </c>
      <c r="Q3532">
        <f>IF('01_Вводные'!$B$234="Да",IF(OR(('19_Расчет_аналитики'!Q3448-'19_Расчет_аналитики'!Q3476)=0,5&lt;='01_Вводные'!$B$297),0,('19_Расчет_аналитики'!Q3448-'19_Расчет_аналитики'!Q3476)*IF('01_Вводные'!$B$239="Да",MeanMinAge05+'19_Расчет_аналитики'!Q3596*SUMIF(ThresholdAge05,"&lt;"&amp;'19_Расчет_аналитики'!Q3596,WeightedRevAge05)-SUMIF(ThresholdAge05,"&lt;"&amp;'19_Расчет_аналитики'!Q3596,WeightedMinAge05),MAX(CapacityAge05*'01_Вводные'!$B$218*'19_Расчет_аналитики'!Q3596,MeanMinAge05))),0)</f>
        <v/>
      </c>
      <c r="R3532">
        <f>IF('01_Вводные'!$B$234="Да",IF(OR(('19_Расчет_аналитики'!R3448-'19_Расчет_аналитики'!R3476)=0,5&lt;='01_Вводные'!$B$297),0,('19_Расчет_аналитики'!R3448-'19_Расчет_аналитики'!R3476)*IF('01_Вводные'!$B$239="Да",MeanMinAge05+'19_Расчет_аналитики'!R3596*SUMIF(ThresholdAge05,"&lt;"&amp;'19_Расчет_аналитики'!R3596,WeightedRevAge05)-SUMIF(ThresholdAge05,"&lt;"&amp;'19_Расчет_аналитики'!R3596,WeightedMinAge05),MAX(CapacityAge05*'01_Вводные'!$B$218*'19_Расчет_аналитики'!R3596,MeanMinAge05))),0)</f>
        <v/>
      </c>
      <c r="S3532">
        <f>IF('01_Вводные'!$B$234="Да",IF(OR(('19_Расчет_аналитики'!S3448-'19_Расчет_аналитики'!S3476)=0,5&lt;='01_Вводные'!$B$297),0,('19_Расчет_аналитики'!S3448-'19_Расчет_аналитики'!S3476)*IF('01_Вводные'!$B$239="Да",MeanMinAge05+'19_Расчет_аналитики'!S3596*SUMIF(ThresholdAge05,"&lt;"&amp;'19_Расчет_аналитики'!S3596,WeightedRevAge05)-SUMIF(ThresholdAge05,"&lt;"&amp;'19_Расчет_аналитики'!S3596,WeightedMinAge05),MAX(CapacityAge05*'01_Вводные'!$B$218*'19_Расчет_аналитики'!S3596,MeanMinAge05))),0)</f>
        <v/>
      </c>
      <c r="T3532">
        <f>IF('01_Вводные'!$B$234="Да",IF(OR(('19_Расчет_аналитики'!T3448-'19_Расчет_аналитики'!T3476)=0,5&lt;='01_Вводные'!$B$297),0,('19_Расчет_аналитики'!T3448-'19_Расчет_аналитики'!T3476)*IF('01_Вводные'!$B$239="Да",MeanMinAge05+'19_Расчет_аналитики'!T3596*SUMIF(ThresholdAge05,"&lt;"&amp;'19_Расчет_аналитики'!T3596,WeightedRevAge05)-SUMIF(ThresholdAge05,"&lt;"&amp;'19_Расчет_аналитики'!T3596,WeightedMinAge05),MAX(CapacityAge05*'01_Вводные'!$B$218*'19_Расчет_аналитики'!T3596,MeanMinAge05))),0)</f>
        <v/>
      </c>
      <c r="U3532">
        <f>IF('01_Вводные'!$B$234="Да",IF(OR(('19_Расчет_аналитики'!U3448-'19_Расчет_аналитики'!U3476)=0,5&lt;='01_Вводные'!$B$297),0,('19_Расчет_аналитики'!U3448-'19_Расчет_аналитики'!U3476)*IF('01_Вводные'!$B$239="Да",MeanMinAge05+'19_Расчет_аналитики'!U3596*SUMIF(ThresholdAge05,"&lt;"&amp;'19_Расчет_аналитики'!U3596,WeightedRevAge05)-SUMIF(ThresholdAge05,"&lt;"&amp;'19_Расчет_аналитики'!U3596,WeightedMinAge05),MAX(CapacityAge05*'01_Вводные'!$B$218*'19_Расчет_аналитики'!U3596,MeanMinAge05))),0)</f>
        <v/>
      </c>
      <c r="V3532">
        <f>IF('01_Вводные'!$B$234="Да",IF(OR(('19_Расчет_аналитики'!V3448-'19_Расчет_аналитики'!V3476)=0,5&lt;='01_Вводные'!$B$297),0,('19_Расчет_аналитики'!V3448-'19_Расчет_аналитики'!V3476)*IF('01_Вводные'!$B$239="Да",MeanMinAge05+'19_Расчет_аналитики'!V3596*SUMIF(ThresholdAge05,"&lt;"&amp;'19_Расчет_аналитики'!V3596,WeightedRevAge05)-SUMIF(ThresholdAge05,"&lt;"&amp;'19_Расчет_аналитики'!V3596,WeightedMinAge05),MAX(CapacityAge05*'01_Вводные'!$B$218*'19_Расчет_аналитики'!V3596,MeanMinAge05))),0)</f>
        <v/>
      </c>
      <c r="W3532">
        <f>IF('01_Вводные'!$B$234="Да",IF(OR(('19_Расчет_аналитики'!W3448-'19_Расчет_аналитики'!W3476)=0,5&lt;='01_Вводные'!$B$297),0,('19_Расчет_аналитики'!W3448-'19_Расчет_аналитики'!W3476)*IF('01_Вводные'!$B$239="Да",MeanMinAge05+'19_Расчет_аналитики'!W3596*SUMIF(ThresholdAge05,"&lt;"&amp;'19_Расчет_аналитики'!W3596,WeightedRevAge05)-SUMIF(ThresholdAge05,"&lt;"&amp;'19_Расчет_аналитики'!W3596,WeightedMinAge05),MAX(CapacityAge05*'01_Вводные'!$B$218*'19_Расчет_аналитики'!W3596,MeanMinAge05))),0)</f>
        <v/>
      </c>
      <c r="X3532">
        <f>IF('01_Вводные'!$B$234="Да",IF(OR(('19_Расчет_аналитики'!X3448-'19_Расчет_аналитики'!X3476)=0,5&lt;='01_Вводные'!$B$297),0,('19_Расчет_аналитики'!X3448-'19_Расчет_аналитики'!X3476)*IF('01_Вводные'!$B$239="Да",MeanMinAge05+'19_Расчет_аналитики'!X3596*SUMIF(ThresholdAge05,"&lt;"&amp;'19_Расчет_аналитики'!X3596,WeightedRevAge05)-SUMIF(ThresholdAge05,"&lt;"&amp;'19_Расчет_аналитики'!X3596,WeightedMinAge05),MAX(CapacityAge05*'01_Вводные'!$B$218*'19_Расчет_аналитики'!X3596,MeanMinAge05))),0)</f>
        <v/>
      </c>
      <c r="Y3532">
        <f>IF('01_Вводные'!$B$234="Да",IF(OR(('19_Расчет_аналитики'!Y3448-'19_Расчет_аналитики'!Y3476)=0,5&lt;='01_Вводные'!$B$297),0,('19_Расчет_аналитики'!Y3448-'19_Расчет_аналитики'!Y3476)*IF('01_Вводные'!$B$239="Да",MeanMinAge05+'19_Расчет_аналитики'!Y3596*SUMIF(ThresholdAge05,"&lt;"&amp;'19_Расчет_аналитики'!Y3596,WeightedRevAge05)-SUMIF(ThresholdAge05,"&lt;"&amp;'19_Расчет_аналитики'!Y3596,WeightedMinAge05),MAX(CapacityAge05*'01_Вводные'!$B$218*'19_Расчет_аналитики'!Y3596,MeanMinAge05))),0)</f>
        <v/>
      </c>
      <c r="Z3532">
        <f>IF('01_Вводные'!$B$234="Да",IF(OR(('19_Расчет_аналитики'!Z3448-'19_Расчет_аналитики'!Z3476)=0,5&lt;='01_Вводные'!$B$297),0,('19_Расчет_аналитики'!Z3448-'19_Расчет_аналитики'!Z3476)*IF('01_Вводные'!$B$239="Да",MeanMinAge05+'19_Расчет_аналитики'!Z3596*SUMIF(ThresholdAge05,"&lt;"&amp;'19_Расчет_аналитики'!Z3596,WeightedRevAge05)-SUMIF(ThresholdAge05,"&lt;"&amp;'19_Расчет_аналитики'!Z3596,WeightedMinAge05),MAX(CapacityAge05*'01_Вводные'!$B$218*'19_Расчет_аналитики'!Z3596,MeanMinAge05))),0)</f>
        <v/>
      </c>
      <c r="AA3532">
        <f>IF('01_Вводные'!$B$234="Да",IF(OR(('19_Расчет_аналитики'!AA3448-'19_Расчет_аналитики'!AA3476)=0,5&lt;='01_Вводные'!$B$297),0,('19_Расчет_аналитики'!AA3448-'19_Расчет_аналитики'!AA3476)*IF('01_Вводные'!$B$239="Да",MeanMinAge05+'19_Расчет_аналитики'!AA3596*SUMIF(ThresholdAge05,"&lt;"&amp;'19_Расчет_аналитики'!AA3596,WeightedRevAge05)-SUMIF(ThresholdAge05,"&lt;"&amp;'19_Расчет_аналитики'!AA3596,WeightedMinAge05),MAX(CapacityAge05*'01_Вводные'!$B$218*'19_Расчет_аналитики'!AA3596,MeanMinAge05))),0)</f>
        <v/>
      </c>
      <c r="AB3532">
        <f>IF('01_Вводные'!$B$234="Да",IF(OR(('19_Расчет_аналитики'!AB3448-'19_Расчет_аналитики'!AB3476)=0,5&lt;='01_Вводные'!$B$297),0,('19_Расчет_аналитики'!AB3448-'19_Расчет_аналитики'!AB3476)*IF('01_Вводные'!$B$239="Да",MeanMinAge05+'19_Расчет_аналитики'!AB3596*SUMIF(ThresholdAge05,"&lt;"&amp;'19_Расчет_аналитики'!AB3596,WeightedRevAge05)-SUMIF(ThresholdAge05,"&lt;"&amp;'19_Расчет_аналитики'!AB3596,WeightedMinAge05),MAX(CapacityAge05*'01_Вводные'!$B$218*'19_Расчет_аналитики'!AB3596,MeanMinAge05))),0)</f>
        <v/>
      </c>
      <c r="AC3532">
        <f>IF('01_Вводные'!$B$234="Да",IF(OR(('19_Расчет_аналитики'!AC3448-'19_Расчет_аналитики'!AC3476)=0,5&lt;='01_Вводные'!$B$297),0,('19_Расчет_аналитики'!AC3448-'19_Расчет_аналитики'!AC3476)*IF('01_Вводные'!$B$239="Да",MeanMinAge05+'19_Расчет_аналитики'!AC3596*SUMIF(ThresholdAge05,"&lt;"&amp;'19_Расчет_аналитики'!AC3596,WeightedRevAge05)-SUMIF(ThresholdAge05,"&lt;"&amp;'19_Расчет_аналитики'!AC3596,WeightedMinAge05),MAX(CapacityAge05*'01_Вводные'!$B$218*'19_Расчет_аналитики'!AC3596,MeanMinAge05))),0)</f>
        <v/>
      </c>
      <c r="AD3532">
        <f>IF('01_Вводные'!$B$234="Да",IF(OR(('19_Расчет_аналитики'!AD3448-'19_Расчет_аналитики'!AD3476)=0,5&lt;='01_Вводные'!$B$297),0,('19_Расчет_аналитики'!AD3448-'19_Расчет_аналитики'!AD3476)*IF('01_Вводные'!$B$239="Да",MeanMinAge05+'19_Расчет_аналитики'!AD3596*SUMIF(ThresholdAge05,"&lt;"&amp;'19_Расчет_аналитики'!AD3596,WeightedRevAge05)-SUMIF(ThresholdAge05,"&lt;"&amp;'19_Расчет_аналитики'!AD3596,WeightedMinAge05),MAX(CapacityAge05*'01_Вводные'!$B$218*'19_Расчет_аналитики'!AD3596,MeanMinAge05))),0)</f>
        <v/>
      </c>
      <c r="AE3532">
        <f>IF('01_Вводные'!$B$234="Да",IF(OR(('19_Расчет_аналитики'!AE3448-'19_Расчет_аналитики'!AE3476)=0,5&lt;='01_Вводные'!$B$297),0,('19_Расчет_аналитики'!AE3448-'19_Расчет_аналитики'!AE3476)*IF('01_Вводные'!$B$239="Да",MeanMinAge05+'19_Расчет_аналитики'!AE3596*SUMIF(ThresholdAge05,"&lt;"&amp;'19_Расчет_аналитики'!AE3596,WeightedRevAge05)-SUMIF(ThresholdAge05,"&lt;"&amp;'19_Расчет_аналитики'!AE3596,WeightedMinAge05),MAX(CapacityAge05*'01_Вводные'!$B$218*'19_Расчет_аналитики'!AE3596,MeanMinAge05))),0)</f>
        <v/>
      </c>
      <c r="AF3532">
        <f>IF('01_Вводные'!$B$234="Да",IF(OR(('19_Расчет_аналитики'!AF3448-'19_Расчет_аналитики'!AF3476)=0,5&lt;='01_Вводные'!$B$297),0,('19_Расчет_аналитики'!AF3448-'19_Расчет_аналитики'!AF3476)*IF('01_Вводные'!$B$239="Да",MeanMinAge05+'19_Расчет_аналитики'!AF3596*SUMIF(ThresholdAge05,"&lt;"&amp;'19_Расчет_аналитики'!AF3596,WeightedRevAge05)-SUMIF(ThresholdAge05,"&lt;"&amp;'19_Расчет_аналитики'!AF3596,WeightedMinAge05),MAX(CapacityAge05*'01_Вводные'!$B$218*'19_Расчет_аналитики'!AF3596,MeanMinAge05))),0)</f>
        <v/>
      </c>
      <c r="AG3532">
        <f>IF('01_Вводные'!$B$234="Да",IF(OR(('19_Расчет_аналитики'!AG3448-'19_Расчет_аналитики'!AG3476)=0,5&lt;='01_Вводные'!$B$297),0,('19_Расчет_аналитики'!AG3448-'19_Расчет_аналитики'!AG3476)*IF('01_Вводные'!$B$239="Да",MeanMinAge05+'19_Расчет_аналитики'!AG3596*SUMIF(ThresholdAge05,"&lt;"&amp;'19_Расчет_аналитики'!AG3596,WeightedRevAge05)-SUMIF(ThresholdAge05,"&lt;"&amp;'19_Расчет_аналитики'!AG3596,WeightedMinAge05),MAX(CapacityAge05*'01_Вводные'!$B$218*'19_Расчет_аналитики'!AG3596,MeanMinAge05))),0)</f>
        <v/>
      </c>
      <c r="AH3532">
        <f>IF('01_Вводные'!$B$234="Да",IF(OR(('19_Расчет_аналитики'!AH3448-'19_Расчет_аналитики'!AH3476)=0,5&lt;='01_Вводные'!$B$297),0,('19_Расчет_аналитики'!AH3448-'19_Расчет_аналитики'!AH3476)*IF('01_Вводные'!$B$239="Да",MeanMinAge05+'19_Расчет_аналитики'!AH3596*SUMIF(ThresholdAge05,"&lt;"&amp;'19_Расчет_аналитики'!AH3596,WeightedRevAge05)-SUMIF(ThresholdAge05,"&lt;"&amp;'19_Расчет_аналитики'!AH3596,WeightedMinAge05),MAX(CapacityAge05*'01_Вводные'!$B$218*'19_Расчет_аналитики'!AH3596,MeanMinAge05))),0)</f>
        <v/>
      </c>
      <c r="AI3532">
        <f>IF('01_Вводные'!$B$234="Да",IF(OR(('19_Расчет_аналитики'!AI3448-'19_Расчет_аналитики'!AI3476)=0,5&lt;='01_Вводные'!$B$297),0,('19_Расчет_аналитики'!AI3448-'19_Расчет_аналитики'!AI3476)*IF('01_Вводные'!$B$239="Да",MeanMinAge05+'19_Расчет_аналитики'!AI3596*SUMIF(ThresholdAge05,"&lt;"&amp;'19_Расчет_аналитики'!AI3596,WeightedRevAge05)-SUMIF(ThresholdAge05,"&lt;"&amp;'19_Расчет_аналитики'!AI3596,WeightedMinAge05),MAX(CapacityAge05*'01_Вводные'!$B$218*'19_Расчет_аналитики'!AI3596,MeanMinAge05))),0)</f>
        <v/>
      </c>
      <c r="AJ3532">
        <f>IF('01_Вводные'!$B$234="Да",IF(OR(('19_Расчет_аналитики'!AJ3448-'19_Расчет_аналитики'!AJ3476)=0,5&lt;='01_Вводные'!$B$297),0,('19_Расчет_аналитики'!AJ3448-'19_Расчет_аналитики'!AJ3476)*IF('01_Вводные'!$B$239="Да",MeanMinAge05+'19_Расчет_аналитики'!AJ3596*SUMIF(ThresholdAge05,"&lt;"&amp;'19_Расчет_аналитики'!AJ3596,WeightedRevAge05)-SUMIF(ThresholdAge05,"&lt;"&amp;'19_Расчет_аналитики'!AJ3596,WeightedMinAge05),MAX(CapacityAge05*'01_Вводные'!$B$218*'19_Расчет_аналитики'!AJ3596,MeanMinAge05))),0)</f>
        <v/>
      </c>
      <c r="AK3532">
        <f>IF('01_Вводные'!$B$234="Да",IF(OR(('19_Расчет_аналитики'!AK3448-'19_Расчет_аналитики'!AK3476)=0,5&lt;='01_Вводные'!$B$297),0,('19_Расчет_аналитики'!AK3448-'19_Расчет_аналитики'!AK3476)*IF('01_Вводные'!$B$239="Да",MeanMinAge05+'19_Расчет_аналитики'!AK3596*SUMIF(ThresholdAge05,"&lt;"&amp;'19_Расчет_аналитики'!AK3596,WeightedRevAge05)-SUMIF(ThresholdAge05,"&lt;"&amp;'19_Расчет_аналитики'!AK3596,WeightedMinAge05),MAX(CapacityAge05*'01_Вводные'!$B$218*'19_Расчет_аналитики'!AK3596,MeanMinAge05))),0)</f>
        <v/>
      </c>
      <c r="AL3532">
        <f>IF('01_Вводные'!$B$234="Да",IF(OR(('19_Расчет_аналитики'!AL3448-'19_Расчет_аналитики'!AL3476)=0,5&lt;='01_Вводные'!$B$297),0,('19_Расчет_аналитики'!AL3448-'19_Расчет_аналитики'!AL3476)*IF('01_Вводные'!$B$239="Да",MeanMinAge05+'19_Расчет_аналитики'!AL3596*SUMIF(ThresholdAge05,"&lt;"&amp;'19_Расчет_аналитики'!AL3596,WeightedRevAge05)-SUMIF(ThresholdAge05,"&lt;"&amp;'19_Расчет_аналитики'!AL3596,WeightedMinAge05),MAX(CapacityAge05*'01_Вводные'!$B$218*'19_Расчет_аналитики'!AL3596,MeanMinAge05))),0)</f>
        <v/>
      </c>
      <c r="AM3532">
        <f>IF('01_Вводные'!$B$234="Да",IF(OR(('19_Расчет_аналитики'!AM3448-'19_Расчет_аналитики'!AM3476)=0,5&lt;='01_Вводные'!$B$297),0,('19_Расчет_аналитики'!AM3448-'19_Расчет_аналитики'!AM3476)*IF('01_Вводные'!$B$239="Да",MeanMinAge05+'19_Расчет_аналитики'!AM3596*SUMIF(ThresholdAge05,"&lt;"&amp;'19_Расчет_аналитики'!AM3596,WeightedRevAge05)-SUMIF(ThresholdAge05,"&lt;"&amp;'19_Расчет_аналитики'!AM3596,WeightedMinAge05),MAX(CapacityAge05*'01_Вводные'!$B$218*'19_Расчет_аналитики'!AM3596,MeanMinAge05))),0)</f>
        <v/>
      </c>
      <c r="AN3532">
        <f>IF('01_Вводные'!$B$234="Да",IF(OR(('19_Расчет_аналитики'!AN3448-'19_Расчет_аналитики'!AN3476)=0,5&lt;='01_Вводные'!$B$297),0,('19_Расчет_аналитики'!AN3448-'19_Расчет_аналитики'!AN3476)*IF('01_Вводные'!$B$239="Да",MeanMinAge05+'19_Расчет_аналитики'!AN3596*SUMIF(ThresholdAge05,"&lt;"&amp;'19_Расчет_аналитики'!AN3596,WeightedRevAge05)-SUMIF(ThresholdAge05,"&lt;"&amp;'19_Расчет_аналитики'!AN3596,WeightedMinAge05),MAX(CapacityAge05*'01_Вводные'!$B$218*'19_Расчет_аналитики'!AN3596,MeanMinAge05))),0)</f>
        <v/>
      </c>
      <c r="AO3532">
        <f>IF('01_Вводные'!$B$234="Да",IF(OR(('19_Расчет_аналитики'!AO3448-'19_Расчет_аналитики'!AO3476)=0,5&lt;='01_Вводные'!$B$297),0,('19_Расчет_аналитики'!AO3448-'19_Расчет_аналитики'!AO3476)*IF('01_Вводные'!$B$239="Да",MeanMinAge05+'19_Расчет_аналитики'!AO3596*SUMIF(ThresholdAge05,"&lt;"&amp;'19_Расчет_аналитики'!AO3596,WeightedRevAge05)-SUMIF(ThresholdAge05,"&lt;"&amp;'19_Расчет_аналитики'!AO3596,WeightedMinAge05),MAX(CapacityAge05*'01_Вводные'!$B$218*'19_Расчет_аналитики'!AO3596,MeanMinAge05))),0)</f>
        <v/>
      </c>
      <c r="AP3532">
        <f>IF('01_Вводные'!$B$234="Да",IF(OR(('19_Расчет_аналитики'!AP3448-'19_Расчет_аналитики'!AP3476)=0,5&lt;='01_Вводные'!$B$297),0,('19_Расчет_аналитики'!AP3448-'19_Расчет_аналитики'!AP3476)*IF('01_Вводные'!$B$239="Да",MeanMinAge05+'19_Расчет_аналитики'!AP3596*SUMIF(ThresholdAge05,"&lt;"&amp;'19_Расчет_аналитики'!AP3596,WeightedRevAge05)-SUMIF(ThresholdAge05,"&lt;"&amp;'19_Расчет_аналитики'!AP3596,WeightedMinAge05),MAX(CapacityAge05*'01_Вводные'!$B$218*'19_Расчет_аналитики'!AP3596,MeanMinAge05))),0)</f>
        <v/>
      </c>
      <c r="AQ3532">
        <f>IF('01_Вводные'!$B$234="Да",IF(OR(('19_Расчет_аналитики'!AQ3448-'19_Расчет_аналитики'!AQ3476)=0,5&lt;='01_Вводные'!$B$297),0,('19_Расчет_аналитики'!AQ3448-'19_Расчет_аналитики'!AQ3476)*IF('01_Вводные'!$B$239="Да",MeanMinAge05+'19_Расчет_аналитики'!AQ3596*SUMIF(ThresholdAge05,"&lt;"&amp;'19_Расчет_аналитики'!AQ3596,WeightedRevAge05)-SUMIF(ThresholdAge05,"&lt;"&amp;'19_Расчет_аналитики'!AQ3596,WeightedMinAge05),MAX(CapacityAge05*'01_Вводные'!$B$218*'19_Расчет_аналитики'!AQ3596,MeanMinAge05))),0)</f>
        <v/>
      </c>
      <c r="AR3532">
        <f>IF('01_Вводные'!$B$234="Да",IF(OR(('19_Расчет_аналитики'!AR3448-'19_Расчет_аналитики'!AR3476)=0,5&lt;='01_Вводные'!$B$297),0,('19_Расчет_аналитики'!AR3448-'19_Расчет_аналитики'!AR3476)*IF('01_Вводные'!$B$239="Да",MeanMinAge05+'19_Расчет_аналитики'!AR3596*SUMIF(ThresholdAge05,"&lt;"&amp;'19_Расчет_аналитики'!AR3596,WeightedRevAge05)-SUMIF(ThresholdAge05,"&lt;"&amp;'19_Расчет_аналитики'!AR3596,WeightedMinAge05),MAX(CapacityAge05*'01_Вводные'!$B$218*'19_Расчет_аналитики'!AR3596,MeanMinAge05))),0)</f>
        <v/>
      </c>
      <c r="AS3532">
        <f>IF('01_Вводные'!$B$234="Да",IF(OR(('19_Расчет_аналитики'!AS3448-'19_Расчет_аналитики'!AS3476)=0,5&lt;='01_Вводные'!$B$297),0,('19_Расчет_аналитики'!AS3448-'19_Расчет_аналитики'!AS3476)*IF('01_Вводные'!$B$239="Да",MeanMinAge05+'19_Расчет_аналитики'!AS3596*SUMIF(ThresholdAge05,"&lt;"&amp;'19_Расчет_аналитики'!AS3596,WeightedRevAge05)-SUMIF(ThresholdAge05,"&lt;"&amp;'19_Расчет_аналитики'!AS3596,WeightedMinAge05),MAX(CapacityAge05*'01_Вводные'!$B$218*'19_Расчет_аналитики'!AS3596,MeanMinAge05))),0)</f>
        <v/>
      </c>
      <c r="AT3532">
        <f>IF('01_Вводные'!$B$234="Да",IF(OR(('19_Расчет_аналитики'!AT3448-'19_Расчет_аналитики'!AT3476)=0,5&lt;='01_Вводные'!$B$297),0,('19_Расчет_аналитики'!AT3448-'19_Расчет_аналитики'!AT3476)*IF('01_Вводные'!$B$239="Да",MeanMinAge05+'19_Расчет_аналитики'!AT3596*SUMIF(ThresholdAge05,"&lt;"&amp;'19_Расчет_аналитики'!AT3596,WeightedRevAge05)-SUMIF(ThresholdAge05,"&lt;"&amp;'19_Расчет_аналитики'!AT3596,WeightedMinAge05),MAX(CapacityAge05*'01_Вводные'!$B$218*'19_Расчет_аналитики'!AT3596,MeanMinAge05))),0)</f>
        <v/>
      </c>
      <c r="AU3532">
        <f>IF('01_Вводные'!$B$234="Да",IF(OR(('19_Расчет_аналитики'!AU3448-'19_Расчет_аналитики'!AU3476)=0,5&lt;='01_Вводные'!$B$297),0,('19_Расчет_аналитики'!AU3448-'19_Расчет_аналитики'!AU3476)*IF('01_Вводные'!$B$239="Да",MeanMinAge05+'19_Расчет_аналитики'!AU3596*SUMIF(ThresholdAge05,"&lt;"&amp;'19_Расчет_аналитики'!AU3596,WeightedRevAge05)-SUMIF(ThresholdAge05,"&lt;"&amp;'19_Расчет_аналитики'!AU3596,WeightedMinAge05),MAX(CapacityAge05*'01_Вводные'!$B$218*'19_Расчет_аналитики'!AU3596,MeanMinAge05))),0)</f>
        <v/>
      </c>
      <c r="AV3532">
        <f>IF('01_Вводные'!$B$234="Да",IF(OR(('19_Расчет_аналитики'!AV3448-'19_Расчет_аналитики'!AV3476)=0,5&lt;='01_Вводные'!$B$297),0,('19_Расчет_аналитики'!AV3448-'19_Расчет_аналитики'!AV3476)*IF('01_Вводные'!$B$239="Да",MeanMinAge05+'19_Расчет_аналитики'!AV3596*SUMIF(ThresholdAge05,"&lt;"&amp;'19_Расчет_аналитики'!AV3596,WeightedRevAge05)-SUMIF(ThresholdAge05,"&lt;"&amp;'19_Расчет_аналитики'!AV3596,WeightedMinAge05),MAX(CapacityAge05*'01_Вводные'!$B$218*'19_Расчет_аналитики'!AV3596,MeanMinAge05))),0)</f>
        <v/>
      </c>
      <c r="AW3532">
        <f>IF('01_Вводные'!$B$234="Да",IF(OR(('19_Расчет_аналитики'!AW3448-'19_Расчет_аналитики'!AW3476)=0,5&lt;='01_Вводные'!$B$297),0,('19_Расчет_аналитики'!AW3448-'19_Расчет_аналитики'!AW3476)*IF('01_Вводные'!$B$239="Да",MeanMinAge05+'19_Расчет_аналитики'!AW3596*SUMIF(ThresholdAge05,"&lt;"&amp;'19_Расчет_аналитики'!AW3596,WeightedRevAge05)-SUMIF(ThresholdAge05,"&lt;"&amp;'19_Расчет_аналитики'!AW3596,WeightedMinAge05),MAX(CapacityAge05*'01_Вводные'!$B$218*'19_Расчет_аналитики'!AW3596,MeanMinAge05))),0)</f>
        <v/>
      </c>
      <c r="AX3532">
        <f>IF('01_Вводные'!$B$234="Да",IF(OR(('19_Расчет_аналитики'!AX3448-'19_Расчет_аналитики'!AX3476)=0,5&lt;='01_Вводные'!$B$297),0,('19_Расчет_аналитики'!AX3448-'19_Расчет_аналитики'!AX3476)*IF('01_Вводные'!$B$239="Да",MeanMinAge05+'19_Расчет_аналитики'!AX3596*SUMIF(ThresholdAge05,"&lt;"&amp;'19_Расчет_аналитики'!AX3596,WeightedRevAge05)-SUMIF(ThresholdAge05,"&lt;"&amp;'19_Расчет_аналитики'!AX3596,WeightedMinAge05),MAX(CapacityAge05*'01_Вводные'!$B$218*'19_Расчет_аналитики'!AX3596,MeanMinAge05))),0)</f>
        <v/>
      </c>
      <c r="AY3532">
        <f>IF('01_Вводные'!$B$234="Да",IF(OR(('19_Расчет_аналитики'!AY3448-'19_Расчет_аналитики'!AY3476)=0,5&lt;='01_Вводные'!$B$297),0,('19_Расчет_аналитики'!AY3448-'19_Расчет_аналитики'!AY3476)*IF('01_Вводные'!$B$239="Да",MeanMinAge05+'19_Расчет_аналитики'!AY3596*SUMIF(ThresholdAge05,"&lt;"&amp;'19_Расчет_аналитики'!AY3596,WeightedRevAge05)-SUMIF(ThresholdAge05,"&lt;"&amp;'19_Расчет_аналитики'!AY3596,WeightedMinAge05),MAX(CapacityAge05*'01_Вводные'!$B$218*'19_Расчет_аналитики'!AY3596,MeanMinAge05))),0)</f>
        <v/>
      </c>
      <c r="AZ3532">
        <f>IF('01_Вводные'!$B$234="Да",IF(OR(('19_Расчет_аналитики'!AZ3448-'19_Расчет_аналитики'!AZ3476)=0,5&lt;='01_Вводные'!$B$297),0,('19_Расчет_аналитики'!AZ3448-'19_Расчет_аналитики'!AZ3476)*IF('01_Вводные'!$B$239="Да",MeanMinAge05+'19_Расчет_аналитики'!AZ3596*SUMIF(ThresholdAge05,"&lt;"&amp;'19_Расчет_аналитики'!AZ3596,WeightedRevAge05)-SUMIF(ThresholdAge05,"&lt;"&amp;'19_Расчет_аналитики'!AZ3596,WeightedMinAge05),MAX(CapacityAge05*'01_Вводные'!$B$218*'19_Расчет_аналитики'!AZ3596,MeanMinAge05))),0)</f>
        <v/>
      </c>
      <c r="BA3532">
        <f>IF('01_Вводные'!$B$234="Да",IF(OR(('19_Расчет_аналитики'!BA3448-'19_Расчет_аналитики'!BA3476)=0,5&lt;='01_Вводные'!$B$297),0,('19_Расчет_аналитики'!BA3448-'19_Расчет_аналитики'!BA3476)*IF('01_Вводные'!$B$239="Да",MeanMinAge05+'19_Расчет_аналитики'!BA3596*SUMIF(ThresholdAge05,"&lt;"&amp;'19_Расчет_аналитики'!BA3596,WeightedRevAge05)-SUMIF(ThresholdAge05,"&lt;"&amp;'19_Расчет_аналитики'!BA3596,WeightedMinAge05),MAX(CapacityAge05*'01_Вводные'!$B$218*'19_Расчет_аналитики'!BA3596,MeanMinAge05))),0)</f>
        <v/>
      </c>
      <c r="BB3532">
        <f>IF('01_Вводные'!$B$234="Да",IF(OR(('19_Расчет_аналитики'!BB3448-'19_Расчет_аналитики'!BB3476)=0,5&lt;='01_Вводные'!$B$297),0,('19_Расчет_аналитики'!BB3448-'19_Расчет_аналитики'!BB3476)*IF('01_Вводные'!$B$239="Да",MeanMinAge05+'19_Расчет_аналитики'!BB3596*SUMIF(ThresholdAge05,"&lt;"&amp;'19_Расчет_аналитики'!BB3596,WeightedRevAge05)-SUMIF(ThresholdAge05,"&lt;"&amp;'19_Расчет_аналитики'!BB3596,WeightedMinAge05),MAX(CapacityAge05*'01_Вводные'!$B$218*'19_Расчет_аналитики'!BB3596,MeanMinAge05))),0)</f>
        <v/>
      </c>
      <c r="BC3532">
        <f>IF('01_Вводные'!$B$234="Да",IF(OR(('19_Расчет_аналитики'!BC3448-'19_Расчет_аналитики'!BC3476)=0,5&lt;='01_Вводные'!$B$297),0,('19_Расчет_аналитики'!BC3448-'19_Расчет_аналитики'!BC3476)*IF('01_Вводные'!$B$239="Да",MeanMinAge05+'19_Расчет_аналитики'!BC3596*SUMIF(ThresholdAge05,"&lt;"&amp;'19_Расчет_аналитики'!BC3596,WeightedRevAge05)-SUMIF(ThresholdAge05,"&lt;"&amp;'19_Расчет_аналитики'!BC3596,WeightedMinAge05),MAX(CapacityAge05*'01_Вводные'!$B$218*'19_Расчет_аналитики'!BC3596,MeanMinAge05))),0)</f>
        <v/>
      </c>
      <c r="BD3532">
        <f>IF('01_Вводные'!$B$234="Да",IF(OR(('19_Расчет_аналитики'!BD3448-'19_Расчет_аналитики'!BD3476)=0,5&lt;='01_Вводные'!$B$297),0,('19_Расчет_аналитики'!BD3448-'19_Расчет_аналитики'!BD3476)*IF('01_Вводные'!$B$239="Да",MeanMinAge05+'19_Расчет_аналитики'!BD3596*SUMIF(ThresholdAge05,"&lt;"&amp;'19_Расчет_аналитики'!BD3596,WeightedRevAge05)-SUMIF(ThresholdAge05,"&lt;"&amp;'19_Расчет_аналитики'!BD3596,WeightedMinAge05),MAX(CapacityAge05*'01_Вводные'!$B$218*'19_Расчет_аналитики'!BD3596,MeanMinAge05))),0)</f>
        <v/>
      </c>
      <c r="BE3532">
        <f>IF('01_Вводные'!$B$234="Да",IF(OR(('19_Расчет_аналитики'!BE3448-'19_Расчет_аналитики'!BE3476)=0,5&lt;='01_Вводные'!$B$297),0,('19_Расчет_аналитики'!BE3448-'19_Расчет_аналитики'!BE3476)*IF('01_Вводные'!$B$239="Да",MeanMinAge05+'19_Расчет_аналитики'!BE3596*SUMIF(ThresholdAge05,"&lt;"&amp;'19_Расчет_аналитики'!BE3596,WeightedRevAge05)-SUMIF(ThresholdAge05,"&lt;"&amp;'19_Расчет_аналитики'!BE3596,WeightedMinAge05),MAX(CapacityAge05*'01_Вводные'!$B$218*'19_Расчет_аналитики'!BE3596,MeanMinAge05))),0)</f>
        <v/>
      </c>
      <c r="BF3532">
        <f>IF('01_Вводные'!$B$234="Да",IF(OR(('19_Расчет_аналитики'!BF3448-'19_Расчет_аналитики'!BF3476)=0,5&lt;='01_Вводные'!$B$297),0,('19_Расчет_аналитики'!BF3448-'19_Расчет_аналитики'!BF3476)*IF('01_Вводные'!$B$239="Да",MeanMinAge05+'19_Расчет_аналитики'!BF3596*SUMIF(ThresholdAge05,"&lt;"&amp;'19_Расчет_аналитики'!BF3596,WeightedRevAge05)-SUMIF(ThresholdAge05,"&lt;"&amp;'19_Расчет_аналитики'!BF3596,WeightedMinAge05),MAX(CapacityAge05*'01_Вводные'!$B$218*'19_Расчет_аналитики'!BF3596,MeanMinAge05))),0)</f>
        <v/>
      </c>
      <c r="BG3532">
        <f>IF('01_Вводные'!$B$234="Да",IF(OR(('19_Расчет_аналитики'!BG3448-'19_Расчет_аналитики'!BG3476)=0,5&lt;='01_Вводные'!$B$297),0,('19_Расчет_аналитики'!BG3448-'19_Расчет_аналитики'!BG3476)*IF('01_Вводные'!$B$239="Да",MeanMinAge05+'19_Расчет_аналитики'!BG3596*SUMIF(ThresholdAge05,"&lt;"&amp;'19_Расчет_аналитики'!BG3596,WeightedRevAge05)-SUMIF(ThresholdAge05,"&lt;"&amp;'19_Расчет_аналитики'!BG3596,WeightedMinAge05),MAX(CapacityAge05*'01_Вводные'!$B$218*'19_Расчет_аналитики'!BG3596,MeanMinAge05))),0)</f>
        <v/>
      </c>
      <c r="BH3532">
        <f>IF('01_Вводные'!$B$234="Да",IF(OR(('19_Расчет_аналитики'!BH3448-'19_Расчет_аналитики'!BH3476)=0,5&lt;='01_Вводные'!$B$297),0,('19_Расчет_аналитики'!BH3448-'19_Расчет_аналитики'!BH3476)*IF('01_Вводные'!$B$239="Да",MeanMinAge05+'19_Расчет_аналитики'!BH3596*SUMIF(ThresholdAge05,"&lt;"&amp;'19_Расчет_аналитики'!BH3596,WeightedRevAge05)-SUMIF(ThresholdAge05,"&lt;"&amp;'19_Расчет_аналитики'!BH3596,WeightedMinAge05),MAX(CapacityAge05*'01_Вводные'!$B$218*'19_Расчет_аналитики'!BH3596,MeanMinAge05))),0)</f>
        <v/>
      </c>
      <c r="BI3532">
        <f>IF('01_Вводные'!$B$234="Да",IF(OR(('19_Расчет_аналитики'!BI3448-'19_Расчет_аналитики'!BI3476)=0,5&lt;='01_Вводные'!$B$297),0,('19_Расчет_аналитики'!BI3448-'19_Расчет_аналитики'!BI3476)*IF('01_Вводные'!$B$239="Да",MeanMinAge05+'19_Расчет_аналитики'!BI3596*SUMIF(ThresholdAge05,"&lt;"&amp;'19_Расчет_аналитики'!BI3596,WeightedRevAge05)-SUMIF(ThresholdAge05,"&lt;"&amp;'19_Расчет_аналитики'!BI3596,WeightedMinAge05),MAX(CapacityAge05*'01_Вводные'!$B$218*'19_Расчет_аналитики'!BI3596,MeanMinAge05))),0)</f>
        <v/>
      </c>
      <c r="BJ3532">
        <f>IF('01_Вводные'!$B$234="Да",IF(OR(('19_Расчет_аналитики'!BJ3448-'19_Расчет_аналитики'!BJ3476)=0,5&lt;='01_Вводные'!$B$297),0,('19_Расчет_аналитики'!BJ3448-'19_Расчет_аналитики'!BJ3476)*IF('01_Вводные'!$B$239="Да",MeanMinAge05+'19_Расчет_аналитики'!BJ3596*SUMIF(ThresholdAge05,"&lt;"&amp;'19_Расчет_аналитики'!BJ3596,WeightedRevAge05)-SUMIF(ThresholdAge05,"&lt;"&amp;'19_Расчет_аналитики'!BJ3596,WeightedMinAge05),MAX(CapacityAge05*'01_Вводные'!$B$218*'19_Расчет_аналитики'!BJ3596,MeanMinAge05))),0)</f>
        <v/>
      </c>
      <c r="BK3532">
        <f>IF('01_Вводные'!$B$234="Да",IF(OR(('19_Расчет_аналитики'!BK3448-'19_Расчет_аналитики'!BK3476)=0,5&lt;='01_Вводные'!$B$297),0,('19_Расчет_аналитики'!BK3448-'19_Расчет_аналитики'!BK3476)*IF('01_Вводные'!$B$239="Да",MeanMinAge05+'19_Расчет_аналитики'!BK3596*SUMIF(ThresholdAge05,"&lt;"&amp;'19_Расчет_аналитики'!BK3596,WeightedRevAge05)-SUMIF(ThresholdAge05,"&lt;"&amp;'19_Расчет_аналитики'!BK3596,WeightedMinAge05),MAX(CapacityAge05*'01_Вводные'!$B$218*'19_Расчет_аналитики'!BK3596,MeanMinAge05))),0)</f>
        <v/>
      </c>
      <c r="BL3532">
        <f>IF('01_Вводные'!$B$234="Да",IF(OR(('19_Расчет_аналитики'!BL3448-'19_Расчет_аналитики'!BL3476)=0,5&lt;='01_Вводные'!$B$297),0,('19_Расчет_аналитики'!BL3448-'19_Расчет_аналитики'!BL3476)*IF('01_Вводные'!$B$239="Да",MeanMinAge05+'19_Расчет_аналитики'!BL3596*SUMIF(ThresholdAge05,"&lt;"&amp;'19_Расчет_аналитики'!BL3596,WeightedRevAge05)-SUMIF(ThresholdAge05,"&lt;"&amp;'19_Расчет_аналитики'!BL3596,WeightedMinAge05),MAX(CapacityAge05*'01_Вводные'!$B$218*'19_Расчет_аналитики'!BL3596,MeanMinAge05))),0)</f>
        <v/>
      </c>
      <c r="BM3532">
        <f>IF('01_Вводные'!$B$234="Да",IF(OR(('19_Расчет_аналитики'!BM3448-'19_Расчет_аналитики'!BM3476)=0,5&lt;='01_Вводные'!$B$297),0,('19_Расчет_аналитики'!BM3448-'19_Расчет_аналитики'!BM3476)*IF('01_Вводные'!$B$239="Да",MeanMinAge05+'19_Расчет_аналитики'!BM3596*SUMIF(ThresholdAge05,"&lt;"&amp;'19_Расчет_аналитики'!BM3596,WeightedRevAge05)-SUMIF(ThresholdAge05,"&lt;"&amp;'19_Расчет_аналитики'!BM3596,WeightedMinAge05),MAX(CapacityAge05*'01_Вводные'!$B$218*'19_Расчет_аналитики'!BM3596,MeanMinAge05))),0)</f>
        <v/>
      </c>
      <c r="BN3532">
        <f>IF('01_Вводные'!$B$234="Да",IF(OR(('19_Расчет_аналитики'!BN3448-'19_Расчет_аналитики'!BN3476)=0,5&lt;='01_Вводные'!$B$297),0,('19_Расчет_аналитики'!BN3448-'19_Расчет_аналитики'!BN3476)*IF('01_Вводные'!$B$239="Да",MeanMinAge05+'19_Расчет_аналитики'!BN3596*SUMIF(ThresholdAge05,"&lt;"&amp;'19_Расчет_аналитики'!BN3596,WeightedRevAge05)-SUMIF(ThresholdAge05,"&lt;"&amp;'19_Расчет_аналитики'!BN3596,WeightedMinAge05),MAX(CapacityAge05*'01_Вводные'!$B$218*'19_Расчет_аналитики'!BN3596,MeanMinAge05))),0)</f>
        <v/>
      </c>
      <c r="BO3532">
        <f>IF('01_Вводные'!$B$234="Да",IF(OR(('19_Расчет_аналитики'!BO3448-'19_Расчет_аналитики'!BO3476)=0,5&lt;='01_Вводные'!$B$297),0,('19_Расчет_аналитики'!BO3448-'19_Расчет_аналитики'!BO3476)*IF('01_Вводные'!$B$239="Да",MeanMinAge05+'19_Расчет_аналитики'!BO3596*SUMIF(ThresholdAge05,"&lt;"&amp;'19_Расчет_аналитики'!BO3596,WeightedRevAge05)-SUMIF(ThresholdAge05,"&lt;"&amp;'19_Расчет_аналитики'!BO3596,WeightedMinAge05),MAX(CapacityAge05*'01_Вводные'!$B$218*'19_Расчет_аналитики'!BO3596,MeanMinAge05))),0)</f>
        <v/>
      </c>
    </row>
    <row r="3533">
      <c r="B3533">
        <f>IF('01_Вводные'!$B$234="Да",IF(OR(('06_Сеть_и_дети'!B58-'06_Сеть_и_дети'!B86)=0,6&lt;='01_Вводные'!$B$297),0,('06_Сеть_и_дети'!B58-'06_Сеть_и_дети'!B86)*IF('01_Вводные'!$B$239="Да",MeanMinAge06+'19_Расчет_аналитики'!B3596*SUMIF(ThresholdAge06,"&lt;"&amp;'19_Расчет_аналитики'!B3596,WeightedRevAge06)-SUMIF(ThresholdAge06,"&lt;"&amp;'19_Расчет_аналитики'!B3596,WeightedMinAge06),MAX(CapacityAge06*'01_Вводные'!$B$218*'19_Расчет_аналитики'!B3596,MeanMinAge06))),0)</f>
        <v/>
      </c>
      <c r="C3533">
        <f>IF('01_Вводные'!$B$234="Да",IF(OR(('06_Сеть_и_дети'!C58-'06_Сеть_и_дети'!C86)=0,6&lt;='01_Вводные'!$B$297),0,('06_Сеть_и_дети'!C58-'06_Сеть_и_дети'!C86)*IF('01_Вводные'!$B$239="Да",MeanMinAge06+'19_Расчет_аналитики'!C3596*SUMIF(ThresholdAge06,"&lt;"&amp;'19_Расчет_аналитики'!C3596,WeightedRevAge06)-SUMIF(ThresholdAge06,"&lt;"&amp;'19_Расчет_аналитики'!C3596,WeightedMinAge06),MAX(CapacityAge06*'01_Вводные'!$B$218*'19_Расчет_аналитики'!C3596,MeanMinAge06))),0)</f>
        <v/>
      </c>
      <c r="D3533">
        <f>IF('01_Вводные'!$B$234="Да",IF(OR(('06_Сеть_и_дети'!D58-'06_Сеть_и_дети'!D86)=0,6&lt;='01_Вводные'!$B$297),0,('06_Сеть_и_дети'!D58-'06_Сеть_и_дети'!D86)*IF('01_Вводные'!$B$239="Да",MeanMinAge06+'19_Расчет_аналитики'!D3596*SUMIF(ThresholdAge06,"&lt;"&amp;'19_Расчет_аналитики'!D3596,WeightedRevAge06)-SUMIF(ThresholdAge06,"&lt;"&amp;'19_Расчет_аналитики'!D3596,WeightedMinAge06),MAX(CapacityAge06*'01_Вводные'!$B$218*'19_Расчет_аналитики'!D3596,MeanMinAge06))),0)</f>
        <v/>
      </c>
      <c r="E3533">
        <f>IF('01_Вводные'!$B$234="Да",IF(OR(('06_Сеть_и_дети'!E58-'06_Сеть_и_дети'!E86)=0,6&lt;='01_Вводные'!$B$297),0,('06_Сеть_и_дети'!E58-'06_Сеть_и_дети'!E86)*IF('01_Вводные'!$B$239="Да",MeanMinAge06+'19_Расчет_аналитики'!E3596*SUMIF(ThresholdAge06,"&lt;"&amp;'19_Расчет_аналитики'!E3596,WeightedRevAge06)-SUMIF(ThresholdAge06,"&lt;"&amp;'19_Расчет_аналитики'!E3596,WeightedMinAge06),MAX(CapacityAge06*'01_Вводные'!$B$218*'19_Расчет_аналитики'!E3596,MeanMinAge06))),0)</f>
        <v/>
      </c>
      <c r="F3533">
        <f>IF('01_Вводные'!$B$234="Да",IF(OR(('06_Сеть_и_дети'!F58-'06_Сеть_и_дети'!F86)=0,6&lt;='01_Вводные'!$B$297),0,('06_Сеть_и_дети'!F58-'06_Сеть_и_дети'!F86)*IF('01_Вводные'!$B$239="Да",MeanMinAge06+'19_Расчет_аналитики'!F3596*SUMIF(ThresholdAge06,"&lt;"&amp;'19_Расчет_аналитики'!F3596,WeightedRevAge06)-SUMIF(ThresholdAge06,"&lt;"&amp;'19_Расчет_аналитики'!F3596,WeightedMinAge06),MAX(CapacityAge06*'01_Вводные'!$B$218*'19_Расчет_аналитики'!F3596,MeanMinAge06))),0)</f>
        <v/>
      </c>
      <c r="G3533">
        <f>IF('01_Вводные'!$B$234="Да",IF(OR(('19_Расчет_аналитики'!G3449-'19_Расчет_аналитики'!G3477)=0,6&lt;='01_Вводные'!$B$297),0,('19_Расчет_аналитики'!G3449-'19_Расчет_аналитики'!G3477)*IF('01_Вводные'!$B$239="Да",MeanMinAge06+'19_Расчет_аналитики'!G3596*SUMIF(ThresholdAge06,"&lt;"&amp;'19_Расчет_аналитики'!G3596,WeightedRevAge06)-SUMIF(ThresholdAge06,"&lt;"&amp;'19_Расчет_аналитики'!G3596,WeightedMinAge06),MAX(CapacityAge06*'01_Вводные'!$B$218*'19_Расчет_аналитики'!G3596,MeanMinAge06))),0)</f>
        <v/>
      </c>
      <c r="H3533">
        <f>IF('01_Вводные'!$B$234="Да",IF(OR(('19_Расчет_аналитики'!H3449-'19_Расчет_аналитики'!H3477)=0,6&lt;='01_Вводные'!$B$297),0,('19_Расчет_аналитики'!H3449-'19_Расчет_аналитики'!H3477)*IF('01_Вводные'!$B$239="Да",MeanMinAge06+'19_Расчет_аналитики'!H3596*SUMIF(ThresholdAge06,"&lt;"&amp;'19_Расчет_аналитики'!H3596,WeightedRevAge06)-SUMIF(ThresholdAge06,"&lt;"&amp;'19_Расчет_аналитики'!H3596,WeightedMinAge06),MAX(CapacityAge06*'01_Вводные'!$B$218*'19_Расчет_аналитики'!H3596,MeanMinAge06))),0)</f>
        <v/>
      </c>
      <c r="I3533">
        <f>IF('01_Вводные'!$B$234="Да",IF(OR(('19_Расчет_аналитики'!I3449-'19_Расчет_аналитики'!I3477)=0,6&lt;='01_Вводные'!$B$297),0,('19_Расчет_аналитики'!I3449-'19_Расчет_аналитики'!I3477)*IF('01_Вводные'!$B$239="Да",MeanMinAge06+'19_Расчет_аналитики'!I3596*SUMIF(ThresholdAge06,"&lt;"&amp;'19_Расчет_аналитики'!I3596,WeightedRevAge06)-SUMIF(ThresholdAge06,"&lt;"&amp;'19_Расчет_аналитики'!I3596,WeightedMinAge06),MAX(CapacityAge06*'01_Вводные'!$B$218*'19_Расчет_аналитики'!I3596,MeanMinAge06))),0)</f>
        <v/>
      </c>
      <c r="J3533">
        <f>IF('01_Вводные'!$B$234="Да",IF(OR(('19_Расчет_аналитики'!J3449-'19_Расчет_аналитики'!J3477)=0,6&lt;='01_Вводные'!$B$297),0,('19_Расчет_аналитики'!J3449-'19_Расчет_аналитики'!J3477)*IF('01_Вводные'!$B$239="Да",MeanMinAge06+'19_Расчет_аналитики'!J3596*SUMIF(ThresholdAge06,"&lt;"&amp;'19_Расчет_аналитики'!J3596,WeightedRevAge06)-SUMIF(ThresholdAge06,"&lt;"&amp;'19_Расчет_аналитики'!J3596,WeightedMinAge06),MAX(CapacityAge06*'01_Вводные'!$B$218*'19_Расчет_аналитики'!J3596,MeanMinAge06))),0)</f>
        <v/>
      </c>
      <c r="K3533">
        <f>IF('01_Вводные'!$B$234="Да",IF(OR(('19_Расчет_аналитики'!K3449-'19_Расчет_аналитики'!K3477)=0,6&lt;='01_Вводные'!$B$297),0,('19_Расчет_аналитики'!K3449-'19_Расчет_аналитики'!K3477)*IF('01_Вводные'!$B$239="Да",MeanMinAge06+'19_Расчет_аналитики'!K3596*SUMIF(ThresholdAge06,"&lt;"&amp;'19_Расчет_аналитики'!K3596,WeightedRevAge06)-SUMIF(ThresholdAge06,"&lt;"&amp;'19_Расчет_аналитики'!K3596,WeightedMinAge06),MAX(CapacityAge06*'01_Вводные'!$B$218*'19_Расчет_аналитики'!K3596,MeanMinAge06))),0)</f>
        <v/>
      </c>
      <c r="L3533">
        <f>IF('01_Вводные'!$B$234="Да",IF(OR(('19_Расчет_аналитики'!L3449-'19_Расчет_аналитики'!L3477)=0,6&lt;='01_Вводные'!$B$297),0,('19_Расчет_аналитики'!L3449-'19_Расчет_аналитики'!L3477)*IF('01_Вводные'!$B$239="Да",MeanMinAge06+'19_Расчет_аналитики'!L3596*SUMIF(ThresholdAge06,"&lt;"&amp;'19_Расчет_аналитики'!L3596,WeightedRevAge06)-SUMIF(ThresholdAge06,"&lt;"&amp;'19_Расчет_аналитики'!L3596,WeightedMinAge06),MAX(CapacityAge06*'01_Вводные'!$B$218*'19_Расчет_аналитики'!L3596,MeanMinAge06))),0)</f>
        <v/>
      </c>
      <c r="M3533">
        <f>IF('01_Вводные'!$B$234="Да",IF(OR(('19_Расчет_аналитики'!M3449-'19_Расчет_аналитики'!M3477)=0,6&lt;='01_Вводные'!$B$297),0,('19_Расчет_аналитики'!M3449-'19_Расчет_аналитики'!M3477)*IF('01_Вводные'!$B$239="Да",MeanMinAge06+'19_Расчет_аналитики'!M3596*SUMIF(ThresholdAge06,"&lt;"&amp;'19_Расчет_аналитики'!M3596,WeightedRevAge06)-SUMIF(ThresholdAge06,"&lt;"&amp;'19_Расчет_аналитики'!M3596,WeightedMinAge06),MAX(CapacityAge06*'01_Вводные'!$B$218*'19_Расчет_аналитики'!M3596,MeanMinAge06))),0)</f>
        <v/>
      </c>
      <c r="N3533">
        <f>IF('01_Вводные'!$B$234="Да",IF(OR(('19_Расчет_аналитики'!N3449-'19_Расчет_аналитики'!N3477)=0,6&lt;='01_Вводные'!$B$297),0,('19_Расчет_аналитики'!N3449-'19_Расчет_аналитики'!N3477)*IF('01_Вводные'!$B$239="Да",MeanMinAge06+'19_Расчет_аналитики'!N3596*SUMIF(ThresholdAge06,"&lt;"&amp;'19_Расчет_аналитики'!N3596,WeightedRevAge06)-SUMIF(ThresholdAge06,"&lt;"&amp;'19_Расчет_аналитики'!N3596,WeightedMinAge06),MAX(CapacityAge06*'01_Вводные'!$B$218*'19_Расчет_аналитики'!N3596,MeanMinAge06))),0)</f>
        <v/>
      </c>
      <c r="O3533">
        <f>IF('01_Вводные'!$B$234="Да",IF(OR(('19_Расчет_аналитики'!O3449-'19_Расчет_аналитики'!O3477)=0,6&lt;='01_Вводные'!$B$297),0,('19_Расчет_аналитики'!O3449-'19_Расчет_аналитики'!O3477)*IF('01_Вводные'!$B$239="Да",MeanMinAge06+'19_Расчет_аналитики'!O3596*SUMIF(ThresholdAge06,"&lt;"&amp;'19_Расчет_аналитики'!O3596,WeightedRevAge06)-SUMIF(ThresholdAge06,"&lt;"&amp;'19_Расчет_аналитики'!O3596,WeightedMinAge06),MAX(CapacityAge06*'01_Вводные'!$B$218*'19_Расчет_аналитики'!O3596,MeanMinAge06))),0)</f>
        <v/>
      </c>
      <c r="P3533">
        <f>IF('01_Вводные'!$B$234="Да",IF(OR(('19_Расчет_аналитики'!P3449-'19_Расчет_аналитики'!P3477)=0,6&lt;='01_Вводные'!$B$297),0,('19_Расчет_аналитики'!P3449-'19_Расчет_аналитики'!P3477)*IF('01_Вводные'!$B$239="Да",MeanMinAge06+'19_Расчет_аналитики'!P3596*SUMIF(ThresholdAge06,"&lt;"&amp;'19_Расчет_аналитики'!P3596,WeightedRevAge06)-SUMIF(ThresholdAge06,"&lt;"&amp;'19_Расчет_аналитики'!P3596,WeightedMinAge06),MAX(CapacityAge06*'01_Вводные'!$B$218*'19_Расчет_аналитики'!P3596,MeanMinAge06))),0)</f>
        <v/>
      </c>
      <c r="Q3533">
        <f>IF('01_Вводные'!$B$234="Да",IF(OR(('19_Расчет_аналитики'!Q3449-'19_Расчет_аналитики'!Q3477)=0,6&lt;='01_Вводные'!$B$297),0,('19_Расчет_аналитики'!Q3449-'19_Расчет_аналитики'!Q3477)*IF('01_Вводные'!$B$239="Да",MeanMinAge06+'19_Расчет_аналитики'!Q3596*SUMIF(ThresholdAge06,"&lt;"&amp;'19_Расчет_аналитики'!Q3596,WeightedRevAge06)-SUMIF(ThresholdAge06,"&lt;"&amp;'19_Расчет_аналитики'!Q3596,WeightedMinAge06),MAX(CapacityAge06*'01_Вводные'!$B$218*'19_Расчет_аналитики'!Q3596,MeanMinAge06))),0)</f>
        <v/>
      </c>
      <c r="R3533">
        <f>IF('01_Вводные'!$B$234="Да",IF(OR(('19_Расчет_аналитики'!R3449-'19_Расчет_аналитики'!R3477)=0,6&lt;='01_Вводные'!$B$297),0,('19_Расчет_аналитики'!R3449-'19_Расчет_аналитики'!R3477)*IF('01_Вводные'!$B$239="Да",MeanMinAge06+'19_Расчет_аналитики'!R3596*SUMIF(ThresholdAge06,"&lt;"&amp;'19_Расчет_аналитики'!R3596,WeightedRevAge06)-SUMIF(ThresholdAge06,"&lt;"&amp;'19_Расчет_аналитики'!R3596,WeightedMinAge06),MAX(CapacityAge06*'01_Вводные'!$B$218*'19_Расчет_аналитики'!R3596,MeanMinAge06))),0)</f>
        <v/>
      </c>
      <c r="S3533">
        <f>IF('01_Вводные'!$B$234="Да",IF(OR(('19_Расчет_аналитики'!S3449-'19_Расчет_аналитики'!S3477)=0,6&lt;='01_Вводные'!$B$297),0,('19_Расчет_аналитики'!S3449-'19_Расчет_аналитики'!S3477)*IF('01_Вводные'!$B$239="Да",MeanMinAge06+'19_Расчет_аналитики'!S3596*SUMIF(ThresholdAge06,"&lt;"&amp;'19_Расчет_аналитики'!S3596,WeightedRevAge06)-SUMIF(ThresholdAge06,"&lt;"&amp;'19_Расчет_аналитики'!S3596,WeightedMinAge06),MAX(CapacityAge06*'01_Вводные'!$B$218*'19_Расчет_аналитики'!S3596,MeanMinAge06))),0)</f>
        <v/>
      </c>
      <c r="T3533">
        <f>IF('01_Вводные'!$B$234="Да",IF(OR(('19_Расчет_аналитики'!T3449-'19_Расчет_аналитики'!T3477)=0,6&lt;='01_Вводные'!$B$297),0,('19_Расчет_аналитики'!T3449-'19_Расчет_аналитики'!T3477)*IF('01_Вводные'!$B$239="Да",MeanMinAge06+'19_Расчет_аналитики'!T3596*SUMIF(ThresholdAge06,"&lt;"&amp;'19_Расчет_аналитики'!T3596,WeightedRevAge06)-SUMIF(ThresholdAge06,"&lt;"&amp;'19_Расчет_аналитики'!T3596,WeightedMinAge06),MAX(CapacityAge06*'01_Вводные'!$B$218*'19_Расчет_аналитики'!T3596,MeanMinAge06))),0)</f>
        <v/>
      </c>
      <c r="U3533">
        <f>IF('01_Вводные'!$B$234="Да",IF(OR(('19_Расчет_аналитики'!U3449-'19_Расчет_аналитики'!U3477)=0,6&lt;='01_Вводные'!$B$297),0,('19_Расчет_аналитики'!U3449-'19_Расчет_аналитики'!U3477)*IF('01_Вводные'!$B$239="Да",MeanMinAge06+'19_Расчет_аналитики'!U3596*SUMIF(ThresholdAge06,"&lt;"&amp;'19_Расчет_аналитики'!U3596,WeightedRevAge06)-SUMIF(ThresholdAge06,"&lt;"&amp;'19_Расчет_аналитики'!U3596,WeightedMinAge06),MAX(CapacityAge06*'01_Вводные'!$B$218*'19_Расчет_аналитики'!U3596,MeanMinAge06))),0)</f>
        <v/>
      </c>
      <c r="V3533">
        <f>IF('01_Вводные'!$B$234="Да",IF(OR(('19_Расчет_аналитики'!V3449-'19_Расчет_аналитики'!V3477)=0,6&lt;='01_Вводные'!$B$297),0,('19_Расчет_аналитики'!V3449-'19_Расчет_аналитики'!V3477)*IF('01_Вводные'!$B$239="Да",MeanMinAge06+'19_Расчет_аналитики'!V3596*SUMIF(ThresholdAge06,"&lt;"&amp;'19_Расчет_аналитики'!V3596,WeightedRevAge06)-SUMIF(ThresholdAge06,"&lt;"&amp;'19_Расчет_аналитики'!V3596,WeightedMinAge06),MAX(CapacityAge06*'01_Вводные'!$B$218*'19_Расчет_аналитики'!V3596,MeanMinAge06))),0)</f>
        <v/>
      </c>
      <c r="W3533">
        <f>IF('01_Вводные'!$B$234="Да",IF(OR(('19_Расчет_аналитики'!W3449-'19_Расчет_аналитики'!W3477)=0,6&lt;='01_Вводные'!$B$297),0,('19_Расчет_аналитики'!W3449-'19_Расчет_аналитики'!W3477)*IF('01_Вводные'!$B$239="Да",MeanMinAge06+'19_Расчет_аналитики'!W3596*SUMIF(ThresholdAge06,"&lt;"&amp;'19_Расчет_аналитики'!W3596,WeightedRevAge06)-SUMIF(ThresholdAge06,"&lt;"&amp;'19_Расчет_аналитики'!W3596,WeightedMinAge06),MAX(CapacityAge06*'01_Вводные'!$B$218*'19_Расчет_аналитики'!W3596,MeanMinAge06))),0)</f>
        <v/>
      </c>
      <c r="X3533">
        <f>IF('01_Вводные'!$B$234="Да",IF(OR(('19_Расчет_аналитики'!X3449-'19_Расчет_аналитики'!X3477)=0,6&lt;='01_Вводные'!$B$297),0,('19_Расчет_аналитики'!X3449-'19_Расчет_аналитики'!X3477)*IF('01_Вводные'!$B$239="Да",MeanMinAge06+'19_Расчет_аналитики'!X3596*SUMIF(ThresholdAge06,"&lt;"&amp;'19_Расчет_аналитики'!X3596,WeightedRevAge06)-SUMIF(ThresholdAge06,"&lt;"&amp;'19_Расчет_аналитики'!X3596,WeightedMinAge06),MAX(CapacityAge06*'01_Вводные'!$B$218*'19_Расчет_аналитики'!X3596,MeanMinAge06))),0)</f>
        <v/>
      </c>
      <c r="Y3533">
        <f>IF('01_Вводные'!$B$234="Да",IF(OR(('19_Расчет_аналитики'!Y3449-'19_Расчет_аналитики'!Y3477)=0,6&lt;='01_Вводные'!$B$297),0,('19_Расчет_аналитики'!Y3449-'19_Расчет_аналитики'!Y3477)*IF('01_Вводные'!$B$239="Да",MeanMinAge06+'19_Расчет_аналитики'!Y3596*SUMIF(ThresholdAge06,"&lt;"&amp;'19_Расчет_аналитики'!Y3596,WeightedRevAge06)-SUMIF(ThresholdAge06,"&lt;"&amp;'19_Расчет_аналитики'!Y3596,WeightedMinAge06),MAX(CapacityAge06*'01_Вводные'!$B$218*'19_Расчет_аналитики'!Y3596,MeanMinAge06))),0)</f>
        <v/>
      </c>
      <c r="Z3533">
        <f>IF('01_Вводные'!$B$234="Да",IF(OR(('19_Расчет_аналитики'!Z3449-'19_Расчет_аналитики'!Z3477)=0,6&lt;='01_Вводные'!$B$297),0,('19_Расчет_аналитики'!Z3449-'19_Расчет_аналитики'!Z3477)*IF('01_Вводные'!$B$239="Да",MeanMinAge06+'19_Расчет_аналитики'!Z3596*SUMIF(ThresholdAge06,"&lt;"&amp;'19_Расчет_аналитики'!Z3596,WeightedRevAge06)-SUMIF(ThresholdAge06,"&lt;"&amp;'19_Расчет_аналитики'!Z3596,WeightedMinAge06),MAX(CapacityAge06*'01_Вводные'!$B$218*'19_Расчет_аналитики'!Z3596,MeanMinAge06))),0)</f>
        <v/>
      </c>
      <c r="AA3533">
        <f>IF('01_Вводные'!$B$234="Да",IF(OR(('19_Расчет_аналитики'!AA3449-'19_Расчет_аналитики'!AA3477)=0,6&lt;='01_Вводные'!$B$297),0,('19_Расчет_аналитики'!AA3449-'19_Расчет_аналитики'!AA3477)*IF('01_Вводные'!$B$239="Да",MeanMinAge06+'19_Расчет_аналитики'!AA3596*SUMIF(ThresholdAge06,"&lt;"&amp;'19_Расчет_аналитики'!AA3596,WeightedRevAge06)-SUMIF(ThresholdAge06,"&lt;"&amp;'19_Расчет_аналитики'!AA3596,WeightedMinAge06),MAX(CapacityAge06*'01_Вводные'!$B$218*'19_Расчет_аналитики'!AA3596,MeanMinAge06))),0)</f>
        <v/>
      </c>
      <c r="AB3533">
        <f>IF('01_Вводные'!$B$234="Да",IF(OR(('19_Расчет_аналитики'!AB3449-'19_Расчет_аналитики'!AB3477)=0,6&lt;='01_Вводные'!$B$297),0,('19_Расчет_аналитики'!AB3449-'19_Расчет_аналитики'!AB3477)*IF('01_Вводные'!$B$239="Да",MeanMinAge06+'19_Расчет_аналитики'!AB3596*SUMIF(ThresholdAge06,"&lt;"&amp;'19_Расчет_аналитики'!AB3596,WeightedRevAge06)-SUMIF(ThresholdAge06,"&lt;"&amp;'19_Расчет_аналитики'!AB3596,WeightedMinAge06),MAX(CapacityAge06*'01_Вводные'!$B$218*'19_Расчет_аналитики'!AB3596,MeanMinAge06))),0)</f>
        <v/>
      </c>
      <c r="AC3533">
        <f>IF('01_Вводные'!$B$234="Да",IF(OR(('19_Расчет_аналитики'!AC3449-'19_Расчет_аналитики'!AC3477)=0,6&lt;='01_Вводные'!$B$297),0,('19_Расчет_аналитики'!AC3449-'19_Расчет_аналитики'!AC3477)*IF('01_Вводные'!$B$239="Да",MeanMinAge06+'19_Расчет_аналитики'!AC3596*SUMIF(ThresholdAge06,"&lt;"&amp;'19_Расчет_аналитики'!AC3596,WeightedRevAge06)-SUMIF(ThresholdAge06,"&lt;"&amp;'19_Расчет_аналитики'!AC3596,WeightedMinAge06),MAX(CapacityAge06*'01_Вводные'!$B$218*'19_Расчет_аналитики'!AC3596,MeanMinAge06))),0)</f>
        <v/>
      </c>
      <c r="AD3533">
        <f>IF('01_Вводные'!$B$234="Да",IF(OR(('19_Расчет_аналитики'!AD3449-'19_Расчет_аналитики'!AD3477)=0,6&lt;='01_Вводные'!$B$297),0,('19_Расчет_аналитики'!AD3449-'19_Расчет_аналитики'!AD3477)*IF('01_Вводные'!$B$239="Да",MeanMinAge06+'19_Расчет_аналитики'!AD3596*SUMIF(ThresholdAge06,"&lt;"&amp;'19_Расчет_аналитики'!AD3596,WeightedRevAge06)-SUMIF(ThresholdAge06,"&lt;"&amp;'19_Расчет_аналитики'!AD3596,WeightedMinAge06),MAX(CapacityAge06*'01_Вводные'!$B$218*'19_Расчет_аналитики'!AD3596,MeanMinAge06))),0)</f>
        <v/>
      </c>
      <c r="AE3533">
        <f>IF('01_Вводные'!$B$234="Да",IF(OR(('19_Расчет_аналитики'!AE3449-'19_Расчет_аналитики'!AE3477)=0,6&lt;='01_Вводные'!$B$297),0,('19_Расчет_аналитики'!AE3449-'19_Расчет_аналитики'!AE3477)*IF('01_Вводные'!$B$239="Да",MeanMinAge06+'19_Расчет_аналитики'!AE3596*SUMIF(ThresholdAge06,"&lt;"&amp;'19_Расчет_аналитики'!AE3596,WeightedRevAge06)-SUMIF(ThresholdAge06,"&lt;"&amp;'19_Расчет_аналитики'!AE3596,WeightedMinAge06),MAX(CapacityAge06*'01_Вводные'!$B$218*'19_Расчет_аналитики'!AE3596,MeanMinAge06))),0)</f>
        <v/>
      </c>
      <c r="AF3533">
        <f>IF('01_Вводные'!$B$234="Да",IF(OR(('19_Расчет_аналитики'!AF3449-'19_Расчет_аналитики'!AF3477)=0,6&lt;='01_Вводные'!$B$297),0,('19_Расчет_аналитики'!AF3449-'19_Расчет_аналитики'!AF3477)*IF('01_Вводные'!$B$239="Да",MeanMinAge06+'19_Расчет_аналитики'!AF3596*SUMIF(ThresholdAge06,"&lt;"&amp;'19_Расчет_аналитики'!AF3596,WeightedRevAge06)-SUMIF(ThresholdAge06,"&lt;"&amp;'19_Расчет_аналитики'!AF3596,WeightedMinAge06),MAX(CapacityAge06*'01_Вводные'!$B$218*'19_Расчет_аналитики'!AF3596,MeanMinAge06))),0)</f>
        <v/>
      </c>
      <c r="AG3533">
        <f>IF('01_Вводные'!$B$234="Да",IF(OR(('19_Расчет_аналитики'!AG3449-'19_Расчет_аналитики'!AG3477)=0,6&lt;='01_Вводные'!$B$297),0,('19_Расчет_аналитики'!AG3449-'19_Расчет_аналитики'!AG3477)*IF('01_Вводные'!$B$239="Да",MeanMinAge06+'19_Расчет_аналитики'!AG3596*SUMIF(ThresholdAge06,"&lt;"&amp;'19_Расчет_аналитики'!AG3596,WeightedRevAge06)-SUMIF(ThresholdAge06,"&lt;"&amp;'19_Расчет_аналитики'!AG3596,WeightedMinAge06),MAX(CapacityAge06*'01_Вводные'!$B$218*'19_Расчет_аналитики'!AG3596,MeanMinAge06))),0)</f>
        <v/>
      </c>
      <c r="AH3533">
        <f>IF('01_Вводные'!$B$234="Да",IF(OR(('19_Расчет_аналитики'!AH3449-'19_Расчет_аналитики'!AH3477)=0,6&lt;='01_Вводные'!$B$297),0,('19_Расчет_аналитики'!AH3449-'19_Расчет_аналитики'!AH3477)*IF('01_Вводные'!$B$239="Да",MeanMinAge06+'19_Расчет_аналитики'!AH3596*SUMIF(ThresholdAge06,"&lt;"&amp;'19_Расчет_аналитики'!AH3596,WeightedRevAge06)-SUMIF(ThresholdAge06,"&lt;"&amp;'19_Расчет_аналитики'!AH3596,WeightedMinAge06),MAX(CapacityAge06*'01_Вводные'!$B$218*'19_Расчет_аналитики'!AH3596,MeanMinAge06))),0)</f>
        <v/>
      </c>
      <c r="AI3533">
        <f>IF('01_Вводные'!$B$234="Да",IF(OR(('19_Расчет_аналитики'!AI3449-'19_Расчет_аналитики'!AI3477)=0,6&lt;='01_Вводные'!$B$297),0,('19_Расчет_аналитики'!AI3449-'19_Расчет_аналитики'!AI3477)*IF('01_Вводные'!$B$239="Да",MeanMinAge06+'19_Расчет_аналитики'!AI3596*SUMIF(ThresholdAge06,"&lt;"&amp;'19_Расчет_аналитики'!AI3596,WeightedRevAge06)-SUMIF(ThresholdAge06,"&lt;"&amp;'19_Расчет_аналитики'!AI3596,WeightedMinAge06),MAX(CapacityAge06*'01_Вводные'!$B$218*'19_Расчет_аналитики'!AI3596,MeanMinAge06))),0)</f>
        <v/>
      </c>
      <c r="AJ3533">
        <f>IF('01_Вводные'!$B$234="Да",IF(OR(('19_Расчет_аналитики'!AJ3449-'19_Расчет_аналитики'!AJ3477)=0,6&lt;='01_Вводные'!$B$297),0,('19_Расчет_аналитики'!AJ3449-'19_Расчет_аналитики'!AJ3477)*IF('01_Вводные'!$B$239="Да",MeanMinAge06+'19_Расчет_аналитики'!AJ3596*SUMIF(ThresholdAge06,"&lt;"&amp;'19_Расчет_аналитики'!AJ3596,WeightedRevAge06)-SUMIF(ThresholdAge06,"&lt;"&amp;'19_Расчет_аналитики'!AJ3596,WeightedMinAge06),MAX(CapacityAge06*'01_Вводные'!$B$218*'19_Расчет_аналитики'!AJ3596,MeanMinAge06))),0)</f>
        <v/>
      </c>
      <c r="AK3533">
        <f>IF('01_Вводные'!$B$234="Да",IF(OR(('19_Расчет_аналитики'!AK3449-'19_Расчет_аналитики'!AK3477)=0,6&lt;='01_Вводные'!$B$297),0,('19_Расчет_аналитики'!AK3449-'19_Расчет_аналитики'!AK3477)*IF('01_Вводные'!$B$239="Да",MeanMinAge06+'19_Расчет_аналитики'!AK3596*SUMIF(ThresholdAge06,"&lt;"&amp;'19_Расчет_аналитики'!AK3596,WeightedRevAge06)-SUMIF(ThresholdAge06,"&lt;"&amp;'19_Расчет_аналитики'!AK3596,WeightedMinAge06),MAX(CapacityAge06*'01_Вводные'!$B$218*'19_Расчет_аналитики'!AK3596,MeanMinAge06))),0)</f>
        <v/>
      </c>
      <c r="AL3533">
        <f>IF('01_Вводные'!$B$234="Да",IF(OR(('19_Расчет_аналитики'!AL3449-'19_Расчет_аналитики'!AL3477)=0,6&lt;='01_Вводные'!$B$297),0,('19_Расчет_аналитики'!AL3449-'19_Расчет_аналитики'!AL3477)*IF('01_Вводные'!$B$239="Да",MeanMinAge06+'19_Расчет_аналитики'!AL3596*SUMIF(ThresholdAge06,"&lt;"&amp;'19_Расчет_аналитики'!AL3596,WeightedRevAge06)-SUMIF(ThresholdAge06,"&lt;"&amp;'19_Расчет_аналитики'!AL3596,WeightedMinAge06),MAX(CapacityAge06*'01_Вводные'!$B$218*'19_Расчет_аналитики'!AL3596,MeanMinAge06))),0)</f>
        <v/>
      </c>
      <c r="AM3533">
        <f>IF('01_Вводные'!$B$234="Да",IF(OR(('19_Расчет_аналитики'!AM3449-'19_Расчет_аналитики'!AM3477)=0,6&lt;='01_Вводные'!$B$297),0,('19_Расчет_аналитики'!AM3449-'19_Расчет_аналитики'!AM3477)*IF('01_Вводные'!$B$239="Да",MeanMinAge06+'19_Расчет_аналитики'!AM3596*SUMIF(ThresholdAge06,"&lt;"&amp;'19_Расчет_аналитики'!AM3596,WeightedRevAge06)-SUMIF(ThresholdAge06,"&lt;"&amp;'19_Расчет_аналитики'!AM3596,WeightedMinAge06),MAX(CapacityAge06*'01_Вводные'!$B$218*'19_Расчет_аналитики'!AM3596,MeanMinAge06))),0)</f>
        <v/>
      </c>
      <c r="AN3533">
        <f>IF('01_Вводные'!$B$234="Да",IF(OR(('19_Расчет_аналитики'!AN3449-'19_Расчет_аналитики'!AN3477)=0,6&lt;='01_Вводные'!$B$297),0,('19_Расчет_аналитики'!AN3449-'19_Расчет_аналитики'!AN3477)*IF('01_Вводные'!$B$239="Да",MeanMinAge06+'19_Расчет_аналитики'!AN3596*SUMIF(ThresholdAge06,"&lt;"&amp;'19_Расчет_аналитики'!AN3596,WeightedRevAge06)-SUMIF(ThresholdAge06,"&lt;"&amp;'19_Расчет_аналитики'!AN3596,WeightedMinAge06),MAX(CapacityAge06*'01_Вводные'!$B$218*'19_Расчет_аналитики'!AN3596,MeanMinAge06))),0)</f>
        <v/>
      </c>
      <c r="AO3533">
        <f>IF('01_Вводные'!$B$234="Да",IF(OR(('19_Расчет_аналитики'!AO3449-'19_Расчет_аналитики'!AO3477)=0,6&lt;='01_Вводные'!$B$297),0,('19_Расчет_аналитики'!AO3449-'19_Расчет_аналитики'!AO3477)*IF('01_Вводные'!$B$239="Да",MeanMinAge06+'19_Расчет_аналитики'!AO3596*SUMIF(ThresholdAge06,"&lt;"&amp;'19_Расчет_аналитики'!AO3596,WeightedRevAge06)-SUMIF(ThresholdAge06,"&lt;"&amp;'19_Расчет_аналитики'!AO3596,WeightedMinAge06),MAX(CapacityAge06*'01_Вводные'!$B$218*'19_Расчет_аналитики'!AO3596,MeanMinAge06))),0)</f>
        <v/>
      </c>
      <c r="AP3533">
        <f>IF('01_Вводные'!$B$234="Да",IF(OR(('19_Расчет_аналитики'!AP3449-'19_Расчет_аналитики'!AP3477)=0,6&lt;='01_Вводные'!$B$297),0,('19_Расчет_аналитики'!AP3449-'19_Расчет_аналитики'!AP3477)*IF('01_Вводные'!$B$239="Да",MeanMinAge06+'19_Расчет_аналитики'!AP3596*SUMIF(ThresholdAge06,"&lt;"&amp;'19_Расчет_аналитики'!AP3596,WeightedRevAge06)-SUMIF(ThresholdAge06,"&lt;"&amp;'19_Расчет_аналитики'!AP3596,WeightedMinAge06),MAX(CapacityAge06*'01_Вводные'!$B$218*'19_Расчет_аналитики'!AP3596,MeanMinAge06))),0)</f>
        <v/>
      </c>
      <c r="AQ3533">
        <f>IF('01_Вводные'!$B$234="Да",IF(OR(('19_Расчет_аналитики'!AQ3449-'19_Расчет_аналитики'!AQ3477)=0,6&lt;='01_Вводные'!$B$297),0,('19_Расчет_аналитики'!AQ3449-'19_Расчет_аналитики'!AQ3477)*IF('01_Вводные'!$B$239="Да",MeanMinAge06+'19_Расчет_аналитики'!AQ3596*SUMIF(ThresholdAge06,"&lt;"&amp;'19_Расчет_аналитики'!AQ3596,WeightedRevAge06)-SUMIF(ThresholdAge06,"&lt;"&amp;'19_Расчет_аналитики'!AQ3596,WeightedMinAge06),MAX(CapacityAge06*'01_Вводные'!$B$218*'19_Расчет_аналитики'!AQ3596,MeanMinAge06))),0)</f>
        <v/>
      </c>
      <c r="AR3533">
        <f>IF('01_Вводные'!$B$234="Да",IF(OR(('19_Расчет_аналитики'!AR3449-'19_Расчет_аналитики'!AR3477)=0,6&lt;='01_Вводные'!$B$297),0,('19_Расчет_аналитики'!AR3449-'19_Расчет_аналитики'!AR3477)*IF('01_Вводные'!$B$239="Да",MeanMinAge06+'19_Расчет_аналитики'!AR3596*SUMIF(ThresholdAge06,"&lt;"&amp;'19_Расчет_аналитики'!AR3596,WeightedRevAge06)-SUMIF(ThresholdAge06,"&lt;"&amp;'19_Расчет_аналитики'!AR3596,WeightedMinAge06),MAX(CapacityAge06*'01_Вводные'!$B$218*'19_Расчет_аналитики'!AR3596,MeanMinAge06))),0)</f>
        <v/>
      </c>
      <c r="AS3533">
        <f>IF('01_Вводные'!$B$234="Да",IF(OR(('19_Расчет_аналитики'!AS3449-'19_Расчет_аналитики'!AS3477)=0,6&lt;='01_Вводные'!$B$297),0,('19_Расчет_аналитики'!AS3449-'19_Расчет_аналитики'!AS3477)*IF('01_Вводные'!$B$239="Да",MeanMinAge06+'19_Расчет_аналитики'!AS3596*SUMIF(ThresholdAge06,"&lt;"&amp;'19_Расчет_аналитики'!AS3596,WeightedRevAge06)-SUMIF(ThresholdAge06,"&lt;"&amp;'19_Расчет_аналитики'!AS3596,WeightedMinAge06),MAX(CapacityAge06*'01_Вводные'!$B$218*'19_Расчет_аналитики'!AS3596,MeanMinAge06))),0)</f>
        <v/>
      </c>
      <c r="AT3533">
        <f>IF('01_Вводные'!$B$234="Да",IF(OR(('19_Расчет_аналитики'!AT3449-'19_Расчет_аналитики'!AT3477)=0,6&lt;='01_Вводные'!$B$297),0,('19_Расчет_аналитики'!AT3449-'19_Расчет_аналитики'!AT3477)*IF('01_Вводные'!$B$239="Да",MeanMinAge06+'19_Расчет_аналитики'!AT3596*SUMIF(ThresholdAge06,"&lt;"&amp;'19_Расчет_аналитики'!AT3596,WeightedRevAge06)-SUMIF(ThresholdAge06,"&lt;"&amp;'19_Расчет_аналитики'!AT3596,WeightedMinAge06),MAX(CapacityAge06*'01_Вводные'!$B$218*'19_Расчет_аналитики'!AT3596,MeanMinAge06))),0)</f>
        <v/>
      </c>
      <c r="AU3533">
        <f>IF('01_Вводные'!$B$234="Да",IF(OR(('19_Расчет_аналитики'!AU3449-'19_Расчет_аналитики'!AU3477)=0,6&lt;='01_Вводные'!$B$297),0,('19_Расчет_аналитики'!AU3449-'19_Расчет_аналитики'!AU3477)*IF('01_Вводные'!$B$239="Да",MeanMinAge06+'19_Расчет_аналитики'!AU3596*SUMIF(ThresholdAge06,"&lt;"&amp;'19_Расчет_аналитики'!AU3596,WeightedRevAge06)-SUMIF(ThresholdAge06,"&lt;"&amp;'19_Расчет_аналитики'!AU3596,WeightedMinAge06),MAX(CapacityAge06*'01_Вводные'!$B$218*'19_Расчет_аналитики'!AU3596,MeanMinAge06))),0)</f>
        <v/>
      </c>
      <c r="AV3533">
        <f>IF('01_Вводные'!$B$234="Да",IF(OR(('19_Расчет_аналитики'!AV3449-'19_Расчет_аналитики'!AV3477)=0,6&lt;='01_Вводные'!$B$297),0,('19_Расчет_аналитики'!AV3449-'19_Расчет_аналитики'!AV3477)*IF('01_Вводные'!$B$239="Да",MeanMinAge06+'19_Расчет_аналитики'!AV3596*SUMIF(ThresholdAge06,"&lt;"&amp;'19_Расчет_аналитики'!AV3596,WeightedRevAge06)-SUMIF(ThresholdAge06,"&lt;"&amp;'19_Расчет_аналитики'!AV3596,WeightedMinAge06),MAX(CapacityAge06*'01_Вводные'!$B$218*'19_Расчет_аналитики'!AV3596,MeanMinAge06))),0)</f>
        <v/>
      </c>
      <c r="AW3533">
        <f>IF('01_Вводные'!$B$234="Да",IF(OR(('19_Расчет_аналитики'!AW3449-'19_Расчет_аналитики'!AW3477)=0,6&lt;='01_Вводные'!$B$297),0,('19_Расчет_аналитики'!AW3449-'19_Расчет_аналитики'!AW3477)*IF('01_Вводные'!$B$239="Да",MeanMinAge06+'19_Расчет_аналитики'!AW3596*SUMIF(ThresholdAge06,"&lt;"&amp;'19_Расчет_аналитики'!AW3596,WeightedRevAge06)-SUMIF(ThresholdAge06,"&lt;"&amp;'19_Расчет_аналитики'!AW3596,WeightedMinAge06),MAX(CapacityAge06*'01_Вводные'!$B$218*'19_Расчет_аналитики'!AW3596,MeanMinAge06))),0)</f>
        <v/>
      </c>
      <c r="AX3533">
        <f>IF('01_Вводные'!$B$234="Да",IF(OR(('19_Расчет_аналитики'!AX3449-'19_Расчет_аналитики'!AX3477)=0,6&lt;='01_Вводные'!$B$297),0,('19_Расчет_аналитики'!AX3449-'19_Расчет_аналитики'!AX3477)*IF('01_Вводные'!$B$239="Да",MeanMinAge06+'19_Расчет_аналитики'!AX3596*SUMIF(ThresholdAge06,"&lt;"&amp;'19_Расчет_аналитики'!AX3596,WeightedRevAge06)-SUMIF(ThresholdAge06,"&lt;"&amp;'19_Расчет_аналитики'!AX3596,WeightedMinAge06),MAX(CapacityAge06*'01_Вводные'!$B$218*'19_Расчет_аналитики'!AX3596,MeanMinAge06))),0)</f>
        <v/>
      </c>
      <c r="AY3533">
        <f>IF('01_Вводные'!$B$234="Да",IF(OR(('19_Расчет_аналитики'!AY3449-'19_Расчет_аналитики'!AY3477)=0,6&lt;='01_Вводные'!$B$297),0,('19_Расчет_аналитики'!AY3449-'19_Расчет_аналитики'!AY3477)*IF('01_Вводные'!$B$239="Да",MeanMinAge06+'19_Расчет_аналитики'!AY3596*SUMIF(ThresholdAge06,"&lt;"&amp;'19_Расчет_аналитики'!AY3596,WeightedRevAge06)-SUMIF(ThresholdAge06,"&lt;"&amp;'19_Расчет_аналитики'!AY3596,WeightedMinAge06),MAX(CapacityAge06*'01_Вводные'!$B$218*'19_Расчет_аналитики'!AY3596,MeanMinAge06))),0)</f>
        <v/>
      </c>
      <c r="AZ3533">
        <f>IF('01_Вводные'!$B$234="Да",IF(OR(('19_Расчет_аналитики'!AZ3449-'19_Расчет_аналитики'!AZ3477)=0,6&lt;='01_Вводные'!$B$297),0,('19_Расчет_аналитики'!AZ3449-'19_Расчет_аналитики'!AZ3477)*IF('01_Вводные'!$B$239="Да",MeanMinAge06+'19_Расчет_аналитики'!AZ3596*SUMIF(ThresholdAge06,"&lt;"&amp;'19_Расчет_аналитики'!AZ3596,WeightedRevAge06)-SUMIF(ThresholdAge06,"&lt;"&amp;'19_Расчет_аналитики'!AZ3596,WeightedMinAge06),MAX(CapacityAge06*'01_Вводные'!$B$218*'19_Расчет_аналитики'!AZ3596,MeanMinAge06))),0)</f>
        <v/>
      </c>
      <c r="BA3533">
        <f>IF('01_Вводные'!$B$234="Да",IF(OR(('19_Расчет_аналитики'!BA3449-'19_Расчет_аналитики'!BA3477)=0,6&lt;='01_Вводные'!$B$297),0,('19_Расчет_аналитики'!BA3449-'19_Расчет_аналитики'!BA3477)*IF('01_Вводные'!$B$239="Да",MeanMinAge06+'19_Расчет_аналитики'!BA3596*SUMIF(ThresholdAge06,"&lt;"&amp;'19_Расчет_аналитики'!BA3596,WeightedRevAge06)-SUMIF(ThresholdAge06,"&lt;"&amp;'19_Расчет_аналитики'!BA3596,WeightedMinAge06),MAX(CapacityAge06*'01_Вводные'!$B$218*'19_Расчет_аналитики'!BA3596,MeanMinAge06))),0)</f>
        <v/>
      </c>
      <c r="BB3533">
        <f>IF('01_Вводные'!$B$234="Да",IF(OR(('19_Расчет_аналитики'!BB3449-'19_Расчет_аналитики'!BB3477)=0,6&lt;='01_Вводные'!$B$297),0,('19_Расчет_аналитики'!BB3449-'19_Расчет_аналитики'!BB3477)*IF('01_Вводные'!$B$239="Да",MeanMinAge06+'19_Расчет_аналитики'!BB3596*SUMIF(ThresholdAge06,"&lt;"&amp;'19_Расчет_аналитики'!BB3596,WeightedRevAge06)-SUMIF(ThresholdAge06,"&lt;"&amp;'19_Расчет_аналитики'!BB3596,WeightedMinAge06),MAX(CapacityAge06*'01_Вводные'!$B$218*'19_Расчет_аналитики'!BB3596,MeanMinAge06))),0)</f>
        <v/>
      </c>
      <c r="BC3533">
        <f>IF('01_Вводные'!$B$234="Да",IF(OR(('19_Расчет_аналитики'!BC3449-'19_Расчет_аналитики'!BC3477)=0,6&lt;='01_Вводные'!$B$297),0,('19_Расчет_аналитики'!BC3449-'19_Расчет_аналитики'!BC3477)*IF('01_Вводные'!$B$239="Да",MeanMinAge06+'19_Расчет_аналитики'!BC3596*SUMIF(ThresholdAge06,"&lt;"&amp;'19_Расчет_аналитики'!BC3596,WeightedRevAge06)-SUMIF(ThresholdAge06,"&lt;"&amp;'19_Расчет_аналитики'!BC3596,WeightedMinAge06),MAX(CapacityAge06*'01_Вводные'!$B$218*'19_Расчет_аналитики'!BC3596,MeanMinAge06))),0)</f>
        <v/>
      </c>
      <c r="BD3533">
        <f>IF('01_Вводные'!$B$234="Да",IF(OR(('19_Расчет_аналитики'!BD3449-'19_Расчет_аналитики'!BD3477)=0,6&lt;='01_Вводные'!$B$297),0,('19_Расчет_аналитики'!BD3449-'19_Расчет_аналитики'!BD3477)*IF('01_Вводные'!$B$239="Да",MeanMinAge06+'19_Расчет_аналитики'!BD3596*SUMIF(ThresholdAge06,"&lt;"&amp;'19_Расчет_аналитики'!BD3596,WeightedRevAge06)-SUMIF(ThresholdAge06,"&lt;"&amp;'19_Расчет_аналитики'!BD3596,WeightedMinAge06),MAX(CapacityAge06*'01_Вводные'!$B$218*'19_Расчет_аналитики'!BD3596,MeanMinAge06))),0)</f>
        <v/>
      </c>
      <c r="BE3533">
        <f>IF('01_Вводные'!$B$234="Да",IF(OR(('19_Расчет_аналитики'!BE3449-'19_Расчет_аналитики'!BE3477)=0,6&lt;='01_Вводные'!$B$297),0,('19_Расчет_аналитики'!BE3449-'19_Расчет_аналитики'!BE3477)*IF('01_Вводные'!$B$239="Да",MeanMinAge06+'19_Расчет_аналитики'!BE3596*SUMIF(ThresholdAge06,"&lt;"&amp;'19_Расчет_аналитики'!BE3596,WeightedRevAge06)-SUMIF(ThresholdAge06,"&lt;"&amp;'19_Расчет_аналитики'!BE3596,WeightedMinAge06),MAX(CapacityAge06*'01_Вводные'!$B$218*'19_Расчет_аналитики'!BE3596,MeanMinAge06))),0)</f>
        <v/>
      </c>
      <c r="BF3533">
        <f>IF('01_Вводные'!$B$234="Да",IF(OR(('19_Расчет_аналитики'!BF3449-'19_Расчет_аналитики'!BF3477)=0,6&lt;='01_Вводные'!$B$297),0,('19_Расчет_аналитики'!BF3449-'19_Расчет_аналитики'!BF3477)*IF('01_Вводные'!$B$239="Да",MeanMinAge06+'19_Расчет_аналитики'!BF3596*SUMIF(ThresholdAge06,"&lt;"&amp;'19_Расчет_аналитики'!BF3596,WeightedRevAge06)-SUMIF(ThresholdAge06,"&lt;"&amp;'19_Расчет_аналитики'!BF3596,WeightedMinAge06),MAX(CapacityAge06*'01_Вводные'!$B$218*'19_Расчет_аналитики'!BF3596,MeanMinAge06))),0)</f>
        <v/>
      </c>
      <c r="BG3533">
        <f>IF('01_Вводные'!$B$234="Да",IF(OR(('19_Расчет_аналитики'!BG3449-'19_Расчет_аналитики'!BG3477)=0,6&lt;='01_Вводные'!$B$297),0,('19_Расчет_аналитики'!BG3449-'19_Расчет_аналитики'!BG3477)*IF('01_Вводные'!$B$239="Да",MeanMinAge06+'19_Расчет_аналитики'!BG3596*SUMIF(ThresholdAge06,"&lt;"&amp;'19_Расчет_аналитики'!BG3596,WeightedRevAge06)-SUMIF(ThresholdAge06,"&lt;"&amp;'19_Расчет_аналитики'!BG3596,WeightedMinAge06),MAX(CapacityAge06*'01_Вводные'!$B$218*'19_Расчет_аналитики'!BG3596,MeanMinAge06))),0)</f>
        <v/>
      </c>
      <c r="BH3533">
        <f>IF('01_Вводные'!$B$234="Да",IF(OR(('19_Расчет_аналитики'!BH3449-'19_Расчет_аналитики'!BH3477)=0,6&lt;='01_Вводные'!$B$297),0,('19_Расчет_аналитики'!BH3449-'19_Расчет_аналитики'!BH3477)*IF('01_Вводные'!$B$239="Да",MeanMinAge06+'19_Расчет_аналитики'!BH3596*SUMIF(ThresholdAge06,"&lt;"&amp;'19_Расчет_аналитики'!BH3596,WeightedRevAge06)-SUMIF(ThresholdAge06,"&lt;"&amp;'19_Расчет_аналитики'!BH3596,WeightedMinAge06),MAX(CapacityAge06*'01_Вводные'!$B$218*'19_Расчет_аналитики'!BH3596,MeanMinAge06))),0)</f>
        <v/>
      </c>
      <c r="BI3533">
        <f>IF('01_Вводные'!$B$234="Да",IF(OR(('19_Расчет_аналитики'!BI3449-'19_Расчет_аналитики'!BI3477)=0,6&lt;='01_Вводные'!$B$297),0,('19_Расчет_аналитики'!BI3449-'19_Расчет_аналитики'!BI3477)*IF('01_Вводные'!$B$239="Да",MeanMinAge06+'19_Расчет_аналитики'!BI3596*SUMIF(ThresholdAge06,"&lt;"&amp;'19_Расчет_аналитики'!BI3596,WeightedRevAge06)-SUMIF(ThresholdAge06,"&lt;"&amp;'19_Расчет_аналитики'!BI3596,WeightedMinAge06),MAX(CapacityAge06*'01_Вводные'!$B$218*'19_Расчет_аналитики'!BI3596,MeanMinAge06))),0)</f>
        <v/>
      </c>
      <c r="BJ3533">
        <f>IF('01_Вводные'!$B$234="Да",IF(OR(('19_Расчет_аналитики'!BJ3449-'19_Расчет_аналитики'!BJ3477)=0,6&lt;='01_Вводные'!$B$297),0,('19_Расчет_аналитики'!BJ3449-'19_Расчет_аналитики'!BJ3477)*IF('01_Вводные'!$B$239="Да",MeanMinAge06+'19_Расчет_аналитики'!BJ3596*SUMIF(ThresholdAge06,"&lt;"&amp;'19_Расчет_аналитики'!BJ3596,WeightedRevAge06)-SUMIF(ThresholdAge06,"&lt;"&amp;'19_Расчет_аналитики'!BJ3596,WeightedMinAge06),MAX(CapacityAge06*'01_Вводные'!$B$218*'19_Расчет_аналитики'!BJ3596,MeanMinAge06))),0)</f>
        <v/>
      </c>
      <c r="BK3533">
        <f>IF('01_Вводные'!$B$234="Да",IF(OR(('19_Расчет_аналитики'!BK3449-'19_Расчет_аналитики'!BK3477)=0,6&lt;='01_Вводные'!$B$297),0,('19_Расчет_аналитики'!BK3449-'19_Расчет_аналитики'!BK3477)*IF('01_Вводные'!$B$239="Да",MeanMinAge06+'19_Расчет_аналитики'!BK3596*SUMIF(ThresholdAge06,"&lt;"&amp;'19_Расчет_аналитики'!BK3596,WeightedRevAge06)-SUMIF(ThresholdAge06,"&lt;"&amp;'19_Расчет_аналитики'!BK3596,WeightedMinAge06),MAX(CapacityAge06*'01_Вводные'!$B$218*'19_Расчет_аналитики'!BK3596,MeanMinAge06))),0)</f>
        <v/>
      </c>
      <c r="BL3533">
        <f>IF('01_Вводные'!$B$234="Да",IF(OR(('19_Расчет_аналитики'!BL3449-'19_Расчет_аналитики'!BL3477)=0,6&lt;='01_Вводные'!$B$297),0,('19_Расчет_аналитики'!BL3449-'19_Расчет_аналитики'!BL3477)*IF('01_Вводные'!$B$239="Да",MeanMinAge06+'19_Расчет_аналитики'!BL3596*SUMIF(ThresholdAge06,"&lt;"&amp;'19_Расчет_аналитики'!BL3596,WeightedRevAge06)-SUMIF(ThresholdAge06,"&lt;"&amp;'19_Расчет_аналитики'!BL3596,WeightedMinAge06),MAX(CapacityAge06*'01_Вводные'!$B$218*'19_Расчет_аналитики'!BL3596,MeanMinAge06))),0)</f>
        <v/>
      </c>
      <c r="BM3533">
        <f>IF('01_Вводные'!$B$234="Да",IF(OR(('19_Расчет_аналитики'!BM3449-'19_Расчет_аналитики'!BM3477)=0,6&lt;='01_Вводные'!$B$297),0,('19_Расчет_аналитики'!BM3449-'19_Расчет_аналитики'!BM3477)*IF('01_Вводные'!$B$239="Да",MeanMinAge06+'19_Расчет_аналитики'!BM3596*SUMIF(ThresholdAge06,"&lt;"&amp;'19_Расчет_аналитики'!BM3596,WeightedRevAge06)-SUMIF(ThresholdAge06,"&lt;"&amp;'19_Расчет_аналитики'!BM3596,WeightedMinAge06),MAX(CapacityAge06*'01_Вводные'!$B$218*'19_Расчет_аналитики'!BM3596,MeanMinAge06))),0)</f>
        <v/>
      </c>
      <c r="BN3533">
        <f>IF('01_Вводные'!$B$234="Да",IF(OR(('19_Расчет_аналитики'!BN3449-'19_Расчет_аналитики'!BN3477)=0,6&lt;='01_Вводные'!$B$297),0,('19_Расчет_аналитики'!BN3449-'19_Расчет_аналитики'!BN3477)*IF('01_Вводные'!$B$239="Да",MeanMinAge06+'19_Расчет_аналитики'!BN3596*SUMIF(ThresholdAge06,"&lt;"&amp;'19_Расчет_аналитики'!BN3596,WeightedRevAge06)-SUMIF(ThresholdAge06,"&lt;"&amp;'19_Расчет_аналитики'!BN3596,WeightedMinAge06),MAX(CapacityAge06*'01_Вводные'!$B$218*'19_Расчет_аналитики'!BN3596,MeanMinAge06))),0)</f>
        <v/>
      </c>
      <c r="BO3533">
        <f>IF('01_Вводные'!$B$234="Да",IF(OR(('19_Расчет_аналитики'!BO3449-'19_Расчет_аналитики'!BO3477)=0,6&lt;='01_Вводные'!$B$297),0,('19_Расчет_аналитики'!BO3449-'19_Расчет_аналитики'!BO3477)*IF('01_Вводные'!$B$239="Да",MeanMinAge06+'19_Расчет_аналитики'!BO3596*SUMIF(ThresholdAge06,"&lt;"&amp;'19_Расчет_аналитики'!BO3596,WeightedRevAge06)-SUMIF(ThresholdAge06,"&lt;"&amp;'19_Расчет_аналитики'!BO3596,WeightedMinAge06),MAX(CapacityAge06*'01_Вводные'!$B$218*'19_Расчет_аналитики'!BO3596,MeanMinAge06))),0)</f>
        <v/>
      </c>
    </row>
    <row r="3534">
      <c r="B3534">
        <f>IF('01_Вводные'!$B$234="Да",IF(OR(('06_Сеть_и_дети'!B59-'06_Сеть_и_дети'!B87)=0,7&lt;='01_Вводные'!$B$297),0,('06_Сеть_и_дети'!B59-'06_Сеть_и_дети'!B87)*IF('01_Вводные'!$B$239="Да",MeanMinAge07+'19_Расчет_аналитики'!B3596*SUMIF(ThresholdAge07,"&lt;"&amp;'19_Расчет_аналитики'!B3596,WeightedRevAge07)-SUMIF(ThresholdAge07,"&lt;"&amp;'19_Расчет_аналитики'!B3596,WeightedMinAge07),MAX(CapacityAge07*'01_Вводные'!$B$218*'19_Расчет_аналитики'!B3596,MeanMinAge07))),0)</f>
        <v/>
      </c>
      <c r="C3534">
        <f>IF('01_Вводные'!$B$234="Да",IF(OR(('06_Сеть_и_дети'!C59-'06_Сеть_и_дети'!C87)=0,7&lt;='01_Вводные'!$B$297),0,('06_Сеть_и_дети'!C59-'06_Сеть_и_дети'!C87)*IF('01_Вводные'!$B$239="Да",MeanMinAge07+'19_Расчет_аналитики'!C3596*SUMIF(ThresholdAge07,"&lt;"&amp;'19_Расчет_аналитики'!C3596,WeightedRevAge07)-SUMIF(ThresholdAge07,"&lt;"&amp;'19_Расчет_аналитики'!C3596,WeightedMinAge07),MAX(CapacityAge07*'01_Вводные'!$B$218*'19_Расчет_аналитики'!C3596,MeanMinAge07))),0)</f>
        <v/>
      </c>
      <c r="D3534">
        <f>IF('01_Вводные'!$B$234="Да",IF(OR(('06_Сеть_и_дети'!D59-'06_Сеть_и_дети'!D87)=0,7&lt;='01_Вводные'!$B$297),0,('06_Сеть_и_дети'!D59-'06_Сеть_и_дети'!D87)*IF('01_Вводные'!$B$239="Да",MeanMinAge07+'19_Расчет_аналитики'!D3596*SUMIF(ThresholdAge07,"&lt;"&amp;'19_Расчет_аналитики'!D3596,WeightedRevAge07)-SUMIF(ThresholdAge07,"&lt;"&amp;'19_Расчет_аналитики'!D3596,WeightedMinAge07),MAX(CapacityAge07*'01_Вводные'!$B$218*'19_Расчет_аналитики'!D3596,MeanMinAge07))),0)</f>
        <v/>
      </c>
      <c r="E3534">
        <f>IF('01_Вводные'!$B$234="Да",IF(OR(('06_Сеть_и_дети'!E59-'06_Сеть_и_дети'!E87)=0,7&lt;='01_Вводные'!$B$297),0,('06_Сеть_и_дети'!E59-'06_Сеть_и_дети'!E87)*IF('01_Вводные'!$B$239="Да",MeanMinAge07+'19_Расчет_аналитики'!E3596*SUMIF(ThresholdAge07,"&lt;"&amp;'19_Расчет_аналитики'!E3596,WeightedRevAge07)-SUMIF(ThresholdAge07,"&lt;"&amp;'19_Расчет_аналитики'!E3596,WeightedMinAge07),MAX(CapacityAge07*'01_Вводные'!$B$218*'19_Расчет_аналитики'!E3596,MeanMinAge07))),0)</f>
        <v/>
      </c>
      <c r="F3534">
        <f>IF('01_Вводные'!$B$234="Да",IF(OR(('06_Сеть_и_дети'!F59-'06_Сеть_и_дети'!F87)=0,7&lt;='01_Вводные'!$B$297),0,('06_Сеть_и_дети'!F59-'06_Сеть_и_дети'!F87)*IF('01_Вводные'!$B$239="Да",MeanMinAge07+'19_Расчет_аналитики'!F3596*SUMIF(ThresholdAge07,"&lt;"&amp;'19_Расчет_аналитики'!F3596,WeightedRevAge07)-SUMIF(ThresholdAge07,"&lt;"&amp;'19_Расчет_аналитики'!F3596,WeightedMinAge07),MAX(CapacityAge07*'01_Вводные'!$B$218*'19_Расчет_аналитики'!F3596,MeanMinAge07))),0)</f>
        <v/>
      </c>
      <c r="G3534">
        <f>IF('01_Вводные'!$B$234="Да",IF(OR(('06_Сеть_и_дети'!G59-'06_Сеть_и_дети'!G87)=0,7&lt;='01_Вводные'!$B$297),0,('06_Сеть_и_дети'!G59-'06_Сеть_и_дети'!G87)*IF('01_Вводные'!$B$239="Да",MeanMinAge07+'19_Расчет_аналитики'!G3596*SUMIF(ThresholdAge07,"&lt;"&amp;'19_Расчет_аналитики'!G3596,WeightedRevAge07)-SUMIF(ThresholdAge07,"&lt;"&amp;'19_Расчет_аналитики'!G3596,WeightedMinAge07),MAX(CapacityAge07*'01_Вводные'!$B$218*'19_Расчет_аналитики'!G3596,MeanMinAge07))),0)</f>
        <v/>
      </c>
      <c r="H3534">
        <f>IF('01_Вводные'!$B$234="Да",IF(OR(('19_Расчет_аналитики'!H3450-'19_Расчет_аналитики'!H3478)=0,7&lt;='01_Вводные'!$B$297),0,('19_Расчет_аналитики'!H3450-'19_Расчет_аналитики'!H3478)*IF('01_Вводные'!$B$239="Да",MeanMinAge07+'19_Расчет_аналитики'!H3596*SUMIF(ThresholdAge07,"&lt;"&amp;'19_Расчет_аналитики'!H3596,WeightedRevAge07)-SUMIF(ThresholdAge07,"&lt;"&amp;'19_Расчет_аналитики'!H3596,WeightedMinAge07),MAX(CapacityAge07*'01_Вводные'!$B$218*'19_Расчет_аналитики'!H3596,MeanMinAge07))),0)</f>
        <v/>
      </c>
      <c r="I3534">
        <f>IF('01_Вводные'!$B$234="Да",IF(OR(('19_Расчет_аналитики'!I3450-'19_Расчет_аналитики'!I3478)=0,7&lt;='01_Вводные'!$B$297),0,('19_Расчет_аналитики'!I3450-'19_Расчет_аналитики'!I3478)*IF('01_Вводные'!$B$239="Да",MeanMinAge07+'19_Расчет_аналитики'!I3596*SUMIF(ThresholdAge07,"&lt;"&amp;'19_Расчет_аналитики'!I3596,WeightedRevAge07)-SUMIF(ThresholdAge07,"&lt;"&amp;'19_Расчет_аналитики'!I3596,WeightedMinAge07),MAX(CapacityAge07*'01_Вводные'!$B$218*'19_Расчет_аналитики'!I3596,MeanMinAge07))),0)</f>
        <v/>
      </c>
      <c r="J3534">
        <f>IF('01_Вводные'!$B$234="Да",IF(OR(('19_Расчет_аналитики'!J3450-'19_Расчет_аналитики'!J3478)=0,7&lt;='01_Вводные'!$B$297),0,('19_Расчет_аналитики'!J3450-'19_Расчет_аналитики'!J3478)*IF('01_Вводные'!$B$239="Да",MeanMinAge07+'19_Расчет_аналитики'!J3596*SUMIF(ThresholdAge07,"&lt;"&amp;'19_Расчет_аналитики'!J3596,WeightedRevAge07)-SUMIF(ThresholdAge07,"&lt;"&amp;'19_Расчет_аналитики'!J3596,WeightedMinAge07),MAX(CapacityAge07*'01_Вводные'!$B$218*'19_Расчет_аналитики'!J3596,MeanMinAge07))),0)</f>
        <v/>
      </c>
      <c r="K3534">
        <f>IF('01_Вводные'!$B$234="Да",IF(OR(('19_Расчет_аналитики'!K3450-'19_Расчет_аналитики'!K3478)=0,7&lt;='01_Вводные'!$B$297),0,('19_Расчет_аналитики'!K3450-'19_Расчет_аналитики'!K3478)*IF('01_Вводные'!$B$239="Да",MeanMinAge07+'19_Расчет_аналитики'!K3596*SUMIF(ThresholdAge07,"&lt;"&amp;'19_Расчет_аналитики'!K3596,WeightedRevAge07)-SUMIF(ThresholdAge07,"&lt;"&amp;'19_Расчет_аналитики'!K3596,WeightedMinAge07),MAX(CapacityAge07*'01_Вводные'!$B$218*'19_Расчет_аналитики'!K3596,MeanMinAge07))),0)</f>
        <v/>
      </c>
      <c r="L3534">
        <f>IF('01_Вводные'!$B$234="Да",IF(OR(('19_Расчет_аналитики'!L3450-'19_Расчет_аналитики'!L3478)=0,7&lt;='01_Вводные'!$B$297),0,('19_Расчет_аналитики'!L3450-'19_Расчет_аналитики'!L3478)*IF('01_Вводные'!$B$239="Да",MeanMinAge07+'19_Расчет_аналитики'!L3596*SUMIF(ThresholdAge07,"&lt;"&amp;'19_Расчет_аналитики'!L3596,WeightedRevAge07)-SUMIF(ThresholdAge07,"&lt;"&amp;'19_Расчет_аналитики'!L3596,WeightedMinAge07),MAX(CapacityAge07*'01_Вводные'!$B$218*'19_Расчет_аналитики'!L3596,MeanMinAge07))),0)</f>
        <v/>
      </c>
      <c r="M3534">
        <f>IF('01_Вводные'!$B$234="Да",IF(OR(('19_Расчет_аналитики'!M3450-'19_Расчет_аналитики'!M3478)=0,7&lt;='01_Вводные'!$B$297),0,('19_Расчет_аналитики'!M3450-'19_Расчет_аналитики'!M3478)*IF('01_Вводные'!$B$239="Да",MeanMinAge07+'19_Расчет_аналитики'!M3596*SUMIF(ThresholdAge07,"&lt;"&amp;'19_Расчет_аналитики'!M3596,WeightedRevAge07)-SUMIF(ThresholdAge07,"&lt;"&amp;'19_Расчет_аналитики'!M3596,WeightedMinAge07),MAX(CapacityAge07*'01_Вводные'!$B$218*'19_Расчет_аналитики'!M3596,MeanMinAge07))),0)</f>
        <v/>
      </c>
      <c r="N3534">
        <f>IF('01_Вводные'!$B$234="Да",IF(OR(('19_Расчет_аналитики'!N3450-'19_Расчет_аналитики'!N3478)=0,7&lt;='01_Вводные'!$B$297),0,('19_Расчет_аналитики'!N3450-'19_Расчет_аналитики'!N3478)*IF('01_Вводные'!$B$239="Да",MeanMinAge07+'19_Расчет_аналитики'!N3596*SUMIF(ThresholdAge07,"&lt;"&amp;'19_Расчет_аналитики'!N3596,WeightedRevAge07)-SUMIF(ThresholdAge07,"&lt;"&amp;'19_Расчет_аналитики'!N3596,WeightedMinAge07),MAX(CapacityAge07*'01_Вводные'!$B$218*'19_Расчет_аналитики'!N3596,MeanMinAge07))),0)</f>
        <v/>
      </c>
      <c r="O3534">
        <f>IF('01_Вводные'!$B$234="Да",IF(OR(('19_Расчет_аналитики'!O3450-'19_Расчет_аналитики'!O3478)=0,7&lt;='01_Вводные'!$B$297),0,('19_Расчет_аналитики'!O3450-'19_Расчет_аналитики'!O3478)*IF('01_Вводные'!$B$239="Да",MeanMinAge07+'19_Расчет_аналитики'!O3596*SUMIF(ThresholdAge07,"&lt;"&amp;'19_Расчет_аналитики'!O3596,WeightedRevAge07)-SUMIF(ThresholdAge07,"&lt;"&amp;'19_Расчет_аналитики'!O3596,WeightedMinAge07),MAX(CapacityAge07*'01_Вводные'!$B$218*'19_Расчет_аналитики'!O3596,MeanMinAge07))),0)</f>
        <v/>
      </c>
      <c r="P3534">
        <f>IF('01_Вводные'!$B$234="Да",IF(OR(('19_Расчет_аналитики'!P3450-'19_Расчет_аналитики'!P3478)=0,7&lt;='01_Вводные'!$B$297),0,('19_Расчет_аналитики'!P3450-'19_Расчет_аналитики'!P3478)*IF('01_Вводные'!$B$239="Да",MeanMinAge07+'19_Расчет_аналитики'!P3596*SUMIF(ThresholdAge07,"&lt;"&amp;'19_Расчет_аналитики'!P3596,WeightedRevAge07)-SUMIF(ThresholdAge07,"&lt;"&amp;'19_Расчет_аналитики'!P3596,WeightedMinAge07),MAX(CapacityAge07*'01_Вводные'!$B$218*'19_Расчет_аналитики'!P3596,MeanMinAge07))),0)</f>
        <v/>
      </c>
      <c r="Q3534">
        <f>IF('01_Вводные'!$B$234="Да",IF(OR(('19_Расчет_аналитики'!Q3450-'19_Расчет_аналитики'!Q3478)=0,7&lt;='01_Вводные'!$B$297),0,('19_Расчет_аналитики'!Q3450-'19_Расчет_аналитики'!Q3478)*IF('01_Вводные'!$B$239="Да",MeanMinAge07+'19_Расчет_аналитики'!Q3596*SUMIF(ThresholdAge07,"&lt;"&amp;'19_Расчет_аналитики'!Q3596,WeightedRevAge07)-SUMIF(ThresholdAge07,"&lt;"&amp;'19_Расчет_аналитики'!Q3596,WeightedMinAge07),MAX(CapacityAge07*'01_Вводные'!$B$218*'19_Расчет_аналитики'!Q3596,MeanMinAge07))),0)</f>
        <v/>
      </c>
      <c r="R3534">
        <f>IF('01_Вводные'!$B$234="Да",IF(OR(('19_Расчет_аналитики'!R3450-'19_Расчет_аналитики'!R3478)=0,7&lt;='01_Вводные'!$B$297),0,('19_Расчет_аналитики'!R3450-'19_Расчет_аналитики'!R3478)*IF('01_Вводные'!$B$239="Да",MeanMinAge07+'19_Расчет_аналитики'!R3596*SUMIF(ThresholdAge07,"&lt;"&amp;'19_Расчет_аналитики'!R3596,WeightedRevAge07)-SUMIF(ThresholdAge07,"&lt;"&amp;'19_Расчет_аналитики'!R3596,WeightedMinAge07),MAX(CapacityAge07*'01_Вводные'!$B$218*'19_Расчет_аналитики'!R3596,MeanMinAge07))),0)</f>
        <v/>
      </c>
      <c r="S3534">
        <f>IF('01_Вводные'!$B$234="Да",IF(OR(('19_Расчет_аналитики'!S3450-'19_Расчет_аналитики'!S3478)=0,7&lt;='01_Вводные'!$B$297),0,('19_Расчет_аналитики'!S3450-'19_Расчет_аналитики'!S3478)*IF('01_Вводные'!$B$239="Да",MeanMinAge07+'19_Расчет_аналитики'!S3596*SUMIF(ThresholdAge07,"&lt;"&amp;'19_Расчет_аналитики'!S3596,WeightedRevAge07)-SUMIF(ThresholdAge07,"&lt;"&amp;'19_Расчет_аналитики'!S3596,WeightedMinAge07),MAX(CapacityAge07*'01_Вводные'!$B$218*'19_Расчет_аналитики'!S3596,MeanMinAge07))),0)</f>
        <v/>
      </c>
      <c r="T3534">
        <f>IF('01_Вводные'!$B$234="Да",IF(OR(('19_Расчет_аналитики'!T3450-'19_Расчет_аналитики'!T3478)=0,7&lt;='01_Вводные'!$B$297),0,('19_Расчет_аналитики'!T3450-'19_Расчет_аналитики'!T3478)*IF('01_Вводные'!$B$239="Да",MeanMinAge07+'19_Расчет_аналитики'!T3596*SUMIF(ThresholdAge07,"&lt;"&amp;'19_Расчет_аналитики'!T3596,WeightedRevAge07)-SUMIF(ThresholdAge07,"&lt;"&amp;'19_Расчет_аналитики'!T3596,WeightedMinAge07),MAX(CapacityAge07*'01_Вводные'!$B$218*'19_Расчет_аналитики'!T3596,MeanMinAge07))),0)</f>
        <v/>
      </c>
      <c r="U3534">
        <f>IF('01_Вводные'!$B$234="Да",IF(OR(('19_Расчет_аналитики'!U3450-'19_Расчет_аналитики'!U3478)=0,7&lt;='01_Вводные'!$B$297),0,('19_Расчет_аналитики'!U3450-'19_Расчет_аналитики'!U3478)*IF('01_Вводные'!$B$239="Да",MeanMinAge07+'19_Расчет_аналитики'!U3596*SUMIF(ThresholdAge07,"&lt;"&amp;'19_Расчет_аналитики'!U3596,WeightedRevAge07)-SUMIF(ThresholdAge07,"&lt;"&amp;'19_Расчет_аналитики'!U3596,WeightedMinAge07),MAX(CapacityAge07*'01_Вводные'!$B$218*'19_Расчет_аналитики'!U3596,MeanMinAge07))),0)</f>
        <v/>
      </c>
      <c r="V3534">
        <f>IF('01_Вводные'!$B$234="Да",IF(OR(('19_Расчет_аналитики'!V3450-'19_Расчет_аналитики'!V3478)=0,7&lt;='01_Вводные'!$B$297),0,('19_Расчет_аналитики'!V3450-'19_Расчет_аналитики'!V3478)*IF('01_Вводные'!$B$239="Да",MeanMinAge07+'19_Расчет_аналитики'!V3596*SUMIF(ThresholdAge07,"&lt;"&amp;'19_Расчет_аналитики'!V3596,WeightedRevAge07)-SUMIF(ThresholdAge07,"&lt;"&amp;'19_Расчет_аналитики'!V3596,WeightedMinAge07),MAX(CapacityAge07*'01_Вводные'!$B$218*'19_Расчет_аналитики'!V3596,MeanMinAge07))),0)</f>
        <v/>
      </c>
      <c r="W3534">
        <f>IF('01_Вводные'!$B$234="Да",IF(OR(('19_Расчет_аналитики'!W3450-'19_Расчет_аналитики'!W3478)=0,7&lt;='01_Вводные'!$B$297),0,('19_Расчет_аналитики'!W3450-'19_Расчет_аналитики'!W3478)*IF('01_Вводные'!$B$239="Да",MeanMinAge07+'19_Расчет_аналитики'!W3596*SUMIF(ThresholdAge07,"&lt;"&amp;'19_Расчет_аналитики'!W3596,WeightedRevAge07)-SUMIF(ThresholdAge07,"&lt;"&amp;'19_Расчет_аналитики'!W3596,WeightedMinAge07),MAX(CapacityAge07*'01_Вводные'!$B$218*'19_Расчет_аналитики'!W3596,MeanMinAge07))),0)</f>
        <v/>
      </c>
      <c r="X3534">
        <f>IF('01_Вводные'!$B$234="Да",IF(OR(('19_Расчет_аналитики'!X3450-'19_Расчет_аналитики'!X3478)=0,7&lt;='01_Вводные'!$B$297),0,('19_Расчет_аналитики'!X3450-'19_Расчет_аналитики'!X3478)*IF('01_Вводные'!$B$239="Да",MeanMinAge07+'19_Расчет_аналитики'!X3596*SUMIF(ThresholdAge07,"&lt;"&amp;'19_Расчет_аналитики'!X3596,WeightedRevAge07)-SUMIF(ThresholdAge07,"&lt;"&amp;'19_Расчет_аналитики'!X3596,WeightedMinAge07),MAX(CapacityAge07*'01_Вводные'!$B$218*'19_Расчет_аналитики'!X3596,MeanMinAge07))),0)</f>
        <v/>
      </c>
      <c r="Y3534">
        <f>IF('01_Вводные'!$B$234="Да",IF(OR(('19_Расчет_аналитики'!Y3450-'19_Расчет_аналитики'!Y3478)=0,7&lt;='01_Вводные'!$B$297),0,('19_Расчет_аналитики'!Y3450-'19_Расчет_аналитики'!Y3478)*IF('01_Вводные'!$B$239="Да",MeanMinAge07+'19_Расчет_аналитики'!Y3596*SUMIF(ThresholdAge07,"&lt;"&amp;'19_Расчет_аналитики'!Y3596,WeightedRevAge07)-SUMIF(ThresholdAge07,"&lt;"&amp;'19_Расчет_аналитики'!Y3596,WeightedMinAge07),MAX(CapacityAge07*'01_Вводные'!$B$218*'19_Расчет_аналитики'!Y3596,MeanMinAge07))),0)</f>
        <v/>
      </c>
      <c r="Z3534">
        <f>IF('01_Вводные'!$B$234="Да",IF(OR(('19_Расчет_аналитики'!Z3450-'19_Расчет_аналитики'!Z3478)=0,7&lt;='01_Вводные'!$B$297),0,('19_Расчет_аналитики'!Z3450-'19_Расчет_аналитики'!Z3478)*IF('01_Вводные'!$B$239="Да",MeanMinAge07+'19_Расчет_аналитики'!Z3596*SUMIF(ThresholdAge07,"&lt;"&amp;'19_Расчет_аналитики'!Z3596,WeightedRevAge07)-SUMIF(ThresholdAge07,"&lt;"&amp;'19_Расчет_аналитики'!Z3596,WeightedMinAge07),MAX(CapacityAge07*'01_Вводные'!$B$218*'19_Расчет_аналитики'!Z3596,MeanMinAge07))),0)</f>
        <v/>
      </c>
      <c r="AA3534">
        <f>IF('01_Вводные'!$B$234="Да",IF(OR(('19_Расчет_аналитики'!AA3450-'19_Расчет_аналитики'!AA3478)=0,7&lt;='01_Вводные'!$B$297),0,('19_Расчет_аналитики'!AA3450-'19_Расчет_аналитики'!AA3478)*IF('01_Вводные'!$B$239="Да",MeanMinAge07+'19_Расчет_аналитики'!AA3596*SUMIF(ThresholdAge07,"&lt;"&amp;'19_Расчет_аналитики'!AA3596,WeightedRevAge07)-SUMIF(ThresholdAge07,"&lt;"&amp;'19_Расчет_аналитики'!AA3596,WeightedMinAge07),MAX(CapacityAge07*'01_Вводные'!$B$218*'19_Расчет_аналитики'!AA3596,MeanMinAge07))),0)</f>
        <v/>
      </c>
      <c r="AB3534">
        <f>IF('01_Вводные'!$B$234="Да",IF(OR(('19_Расчет_аналитики'!AB3450-'19_Расчет_аналитики'!AB3478)=0,7&lt;='01_Вводные'!$B$297),0,('19_Расчет_аналитики'!AB3450-'19_Расчет_аналитики'!AB3478)*IF('01_Вводные'!$B$239="Да",MeanMinAge07+'19_Расчет_аналитики'!AB3596*SUMIF(ThresholdAge07,"&lt;"&amp;'19_Расчет_аналитики'!AB3596,WeightedRevAge07)-SUMIF(ThresholdAge07,"&lt;"&amp;'19_Расчет_аналитики'!AB3596,WeightedMinAge07),MAX(CapacityAge07*'01_Вводные'!$B$218*'19_Расчет_аналитики'!AB3596,MeanMinAge07))),0)</f>
        <v/>
      </c>
      <c r="AC3534">
        <f>IF('01_Вводные'!$B$234="Да",IF(OR(('19_Расчет_аналитики'!AC3450-'19_Расчет_аналитики'!AC3478)=0,7&lt;='01_Вводные'!$B$297),0,('19_Расчет_аналитики'!AC3450-'19_Расчет_аналитики'!AC3478)*IF('01_Вводные'!$B$239="Да",MeanMinAge07+'19_Расчет_аналитики'!AC3596*SUMIF(ThresholdAge07,"&lt;"&amp;'19_Расчет_аналитики'!AC3596,WeightedRevAge07)-SUMIF(ThresholdAge07,"&lt;"&amp;'19_Расчет_аналитики'!AC3596,WeightedMinAge07),MAX(CapacityAge07*'01_Вводные'!$B$218*'19_Расчет_аналитики'!AC3596,MeanMinAge07))),0)</f>
        <v/>
      </c>
      <c r="AD3534">
        <f>IF('01_Вводные'!$B$234="Да",IF(OR(('19_Расчет_аналитики'!AD3450-'19_Расчет_аналитики'!AD3478)=0,7&lt;='01_Вводные'!$B$297),0,('19_Расчет_аналитики'!AD3450-'19_Расчет_аналитики'!AD3478)*IF('01_Вводные'!$B$239="Да",MeanMinAge07+'19_Расчет_аналитики'!AD3596*SUMIF(ThresholdAge07,"&lt;"&amp;'19_Расчет_аналитики'!AD3596,WeightedRevAge07)-SUMIF(ThresholdAge07,"&lt;"&amp;'19_Расчет_аналитики'!AD3596,WeightedMinAge07),MAX(CapacityAge07*'01_Вводные'!$B$218*'19_Расчет_аналитики'!AD3596,MeanMinAge07))),0)</f>
        <v/>
      </c>
      <c r="AE3534">
        <f>IF('01_Вводные'!$B$234="Да",IF(OR(('19_Расчет_аналитики'!AE3450-'19_Расчет_аналитики'!AE3478)=0,7&lt;='01_Вводные'!$B$297),0,('19_Расчет_аналитики'!AE3450-'19_Расчет_аналитики'!AE3478)*IF('01_Вводные'!$B$239="Да",MeanMinAge07+'19_Расчет_аналитики'!AE3596*SUMIF(ThresholdAge07,"&lt;"&amp;'19_Расчет_аналитики'!AE3596,WeightedRevAge07)-SUMIF(ThresholdAge07,"&lt;"&amp;'19_Расчет_аналитики'!AE3596,WeightedMinAge07),MAX(CapacityAge07*'01_Вводные'!$B$218*'19_Расчет_аналитики'!AE3596,MeanMinAge07))),0)</f>
        <v/>
      </c>
      <c r="AF3534">
        <f>IF('01_Вводные'!$B$234="Да",IF(OR(('19_Расчет_аналитики'!AF3450-'19_Расчет_аналитики'!AF3478)=0,7&lt;='01_Вводные'!$B$297),0,('19_Расчет_аналитики'!AF3450-'19_Расчет_аналитики'!AF3478)*IF('01_Вводные'!$B$239="Да",MeanMinAge07+'19_Расчет_аналитики'!AF3596*SUMIF(ThresholdAge07,"&lt;"&amp;'19_Расчет_аналитики'!AF3596,WeightedRevAge07)-SUMIF(ThresholdAge07,"&lt;"&amp;'19_Расчет_аналитики'!AF3596,WeightedMinAge07),MAX(CapacityAge07*'01_Вводные'!$B$218*'19_Расчет_аналитики'!AF3596,MeanMinAge07))),0)</f>
        <v/>
      </c>
      <c r="AG3534">
        <f>IF('01_Вводные'!$B$234="Да",IF(OR(('19_Расчет_аналитики'!AG3450-'19_Расчет_аналитики'!AG3478)=0,7&lt;='01_Вводные'!$B$297),0,('19_Расчет_аналитики'!AG3450-'19_Расчет_аналитики'!AG3478)*IF('01_Вводные'!$B$239="Да",MeanMinAge07+'19_Расчет_аналитики'!AG3596*SUMIF(ThresholdAge07,"&lt;"&amp;'19_Расчет_аналитики'!AG3596,WeightedRevAge07)-SUMIF(ThresholdAge07,"&lt;"&amp;'19_Расчет_аналитики'!AG3596,WeightedMinAge07),MAX(CapacityAge07*'01_Вводные'!$B$218*'19_Расчет_аналитики'!AG3596,MeanMinAge07))),0)</f>
        <v/>
      </c>
      <c r="AH3534">
        <f>IF('01_Вводные'!$B$234="Да",IF(OR(('19_Расчет_аналитики'!AH3450-'19_Расчет_аналитики'!AH3478)=0,7&lt;='01_Вводные'!$B$297),0,('19_Расчет_аналитики'!AH3450-'19_Расчет_аналитики'!AH3478)*IF('01_Вводные'!$B$239="Да",MeanMinAge07+'19_Расчет_аналитики'!AH3596*SUMIF(ThresholdAge07,"&lt;"&amp;'19_Расчет_аналитики'!AH3596,WeightedRevAge07)-SUMIF(ThresholdAge07,"&lt;"&amp;'19_Расчет_аналитики'!AH3596,WeightedMinAge07),MAX(CapacityAge07*'01_Вводные'!$B$218*'19_Расчет_аналитики'!AH3596,MeanMinAge07))),0)</f>
        <v/>
      </c>
      <c r="AI3534">
        <f>IF('01_Вводные'!$B$234="Да",IF(OR(('19_Расчет_аналитики'!AI3450-'19_Расчет_аналитики'!AI3478)=0,7&lt;='01_Вводные'!$B$297),0,('19_Расчет_аналитики'!AI3450-'19_Расчет_аналитики'!AI3478)*IF('01_Вводные'!$B$239="Да",MeanMinAge07+'19_Расчет_аналитики'!AI3596*SUMIF(ThresholdAge07,"&lt;"&amp;'19_Расчет_аналитики'!AI3596,WeightedRevAge07)-SUMIF(ThresholdAge07,"&lt;"&amp;'19_Расчет_аналитики'!AI3596,WeightedMinAge07),MAX(CapacityAge07*'01_Вводные'!$B$218*'19_Расчет_аналитики'!AI3596,MeanMinAge07))),0)</f>
        <v/>
      </c>
      <c r="AJ3534">
        <f>IF('01_Вводные'!$B$234="Да",IF(OR(('19_Расчет_аналитики'!AJ3450-'19_Расчет_аналитики'!AJ3478)=0,7&lt;='01_Вводные'!$B$297),0,('19_Расчет_аналитики'!AJ3450-'19_Расчет_аналитики'!AJ3478)*IF('01_Вводные'!$B$239="Да",MeanMinAge07+'19_Расчет_аналитики'!AJ3596*SUMIF(ThresholdAge07,"&lt;"&amp;'19_Расчет_аналитики'!AJ3596,WeightedRevAge07)-SUMIF(ThresholdAge07,"&lt;"&amp;'19_Расчет_аналитики'!AJ3596,WeightedMinAge07),MAX(CapacityAge07*'01_Вводные'!$B$218*'19_Расчет_аналитики'!AJ3596,MeanMinAge07))),0)</f>
        <v/>
      </c>
      <c r="AK3534">
        <f>IF('01_Вводные'!$B$234="Да",IF(OR(('19_Расчет_аналитики'!AK3450-'19_Расчет_аналитики'!AK3478)=0,7&lt;='01_Вводные'!$B$297),0,('19_Расчет_аналитики'!AK3450-'19_Расчет_аналитики'!AK3478)*IF('01_Вводные'!$B$239="Да",MeanMinAge07+'19_Расчет_аналитики'!AK3596*SUMIF(ThresholdAge07,"&lt;"&amp;'19_Расчет_аналитики'!AK3596,WeightedRevAge07)-SUMIF(ThresholdAge07,"&lt;"&amp;'19_Расчет_аналитики'!AK3596,WeightedMinAge07),MAX(CapacityAge07*'01_Вводные'!$B$218*'19_Расчет_аналитики'!AK3596,MeanMinAge07))),0)</f>
        <v/>
      </c>
      <c r="AL3534">
        <f>IF('01_Вводные'!$B$234="Да",IF(OR(('19_Расчет_аналитики'!AL3450-'19_Расчет_аналитики'!AL3478)=0,7&lt;='01_Вводные'!$B$297),0,('19_Расчет_аналитики'!AL3450-'19_Расчет_аналитики'!AL3478)*IF('01_Вводные'!$B$239="Да",MeanMinAge07+'19_Расчет_аналитики'!AL3596*SUMIF(ThresholdAge07,"&lt;"&amp;'19_Расчет_аналитики'!AL3596,WeightedRevAge07)-SUMIF(ThresholdAge07,"&lt;"&amp;'19_Расчет_аналитики'!AL3596,WeightedMinAge07),MAX(CapacityAge07*'01_Вводные'!$B$218*'19_Расчет_аналитики'!AL3596,MeanMinAge07))),0)</f>
        <v/>
      </c>
      <c r="AM3534">
        <f>IF('01_Вводные'!$B$234="Да",IF(OR(('19_Расчет_аналитики'!AM3450-'19_Расчет_аналитики'!AM3478)=0,7&lt;='01_Вводные'!$B$297),0,('19_Расчет_аналитики'!AM3450-'19_Расчет_аналитики'!AM3478)*IF('01_Вводные'!$B$239="Да",MeanMinAge07+'19_Расчет_аналитики'!AM3596*SUMIF(ThresholdAge07,"&lt;"&amp;'19_Расчет_аналитики'!AM3596,WeightedRevAge07)-SUMIF(ThresholdAge07,"&lt;"&amp;'19_Расчет_аналитики'!AM3596,WeightedMinAge07),MAX(CapacityAge07*'01_Вводные'!$B$218*'19_Расчет_аналитики'!AM3596,MeanMinAge07))),0)</f>
        <v/>
      </c>
      <c r="AN3534">
        <f>IF('01_Вводные'!$B$234="Да",IF(OR(('19_Расчет_аналитики'!AN3450-'19_Расчет_аналитики'!AN3478)=0,7&lt;='01_Вводные'!$B$297),0,('19_Расчет_аналитики'!AN3450-'19_Расчет_аналитики'!AN3478)*IF('01_Вводные'!$B$239="Да",MeanMinAge07+'19_Расчет_аналитики'!AN3596*SUMIF(ThresholdAge07,"&lt;"&amp;'19_Расчет_аналитики'!AN3596,WeightedRevAge07)-SUMIF(ThresholdAge07,"&lt;"&amp;'19_Расчет_аналитики'!AN3596,WeightedMinAge07),MAX(CapacityAge07*'01_Вводные'!$B$218*'19_Расчет_аналитики'!AN3596,MeanMinAge07))),0)</f>
        <v/>
      </c>
      <c r="AO3534">
        <f>IF('01_Вводные'!$B$234="Да",IF(OR(('19_Расчет_аналитики'!AO3450-'19_Расчет_аналитики'!AO3478)=0,7&lt;='01_Вводные'!$B$297),0,('19_Расчет_аналитики'!AO3450-'19_Расчет_аналитики'!AO3478)*IF('01_Вводные'!$B$239="Да",MeanMinAge07+'19_Расчет_аналитики'!AO3596*SUMIF(ThresholdAge07,"&lt;"&amp;'19_Расчет_аналитики'!AO3596,WeightedRevAge07)-SUMIF(ThresholdAge07,"&lt;"&amp;'19_Расчет_аналитики'!AO3596,WeightedMinAge07),MAX(CapacityAge07*'01_Вводные'!$B$218*'19_Расчет_аналитики'!AO3596,MeanMinAge07))),0)</f>
        <v/>
      </c>
      <c r="AP3534">
        <f>IF('01_Вводные'!$B$234="Да",IF(OR(('19_Расчет_аналитики'!AP3450-'19_Расчет_аналитики'!AP3478)=0,7&lt;='01_Вводные'!$B$297),0,('19_Расчет_аналитики'!AP3450-'19_Расчет_аналитики'!AP3478)*IF('01_Вводные'!$B$239="Да",MeanMinAge07+'19_Расчет_аналитики'!AP3596*SUMIF(ThresholdAge07,"&lt;"&amp;'19_Расчет_аналитики'!AP3596,WeightedRevAge07)-SUMIF(ThresholdAge07,"&lt;"&amp;'19_Расчет_аналитики'!AP3596,WeightedMinAge07),MAX(CapacityAge07*'01_Вводные'!$B$218*'19_Расчет_аналитики'!AP3596,MeanMinAge07))),0)</f>
        <v/>
      </c>
      <c r="AQ3534">
        <f>IF('01_Вводные'!$B$234="Да",IF(OR(('19_Расчет_аналитики'!AQ3450-'19_Расчет_аналитики'!AQ3478)=0,7&lt;='01_Вводные'!$B$297),0,('19_Расчет_аналитики'!AQ3450-'19_Расчет_аналитики'!AQ3478)*IF('01_Вводные'!$B$239="Да",MeanMinAge07+'19_Расчет_аналитики'!AQ3596*SUMIF(ThresholdAge07,"&lt;"&amp;'19_Расчет_аналитики'!AQ3596,WeightedRevAge07)-SUMIF(ThresholdAge07,"&lt;"&amp;'19_Расчет_аналитики'!AQ3596,WeightedMinAge07),MAX(CapacityAge07*'01_Вводные'!$B$218*'19_Расчет_аналитики'!AQ3596,MeanMinAge07))),0)</f>
        <v/>
      </c>
      <c r="AR3534">
        <f>IF('01_Вводные'!$B$234="Да",IF(OR(('19_Расчет_аналитики'!AR3450-'19_Расчет_аналитики'!AR3478)=0,7&lt;='01_Вводные'!$B$297),0,('19_Расчет_аналитики'!AR3450-'19_Расчет_аналитики'!AR3478)*IF('01_Вводные'!$B$239="Да",MeanMinAge07+'19_Расчет_аналитики'!AR3596*SUMIF(ThresholdAge07,"&lt;"&amp;'19_Расчет_аналитики'!AR3596,WeightedRevAge07)-SUMIF(ThresholdAge07,"&lt;"&amp;'19_Расчет_аналитики'!AR3596,WeightedMinAge07),MAX(CapacityAge07*'01_Вводные'!$B$218*'19_Расчет_аналитики'!AR3596,MeanMinAge07))),0)</f>
        <v/>
      </c>
      <c r="AS3534">
        <f>IF('01_Вводные'!$B$234="Да",IF(OR(('19_Расчет_аналитики'!AS3450-'19_Расчет_аналитики'!AS3478)=0,7&lt;='01_Вводные'!$B$297),0,('19_Расчет_аналитики'!AS3450-'19_Расчет_аналитики'!AS3478)*IF('01_Вводные'!$B$239="Да",MeanMinAge07+'19_Расчет_аналитики'!AS3596*SUMIF(ThresholdAge07,"&lt;"&amp;'19_Расчет_аналитики'!AS3596,WeightedRevAge07)-SUMIF(ThresholdAge07,"&lt;"&amp;'19_Расчет_аналитики'!AS3596,WeightedMinAge07),MAX(CapacityAge07*'01_Вводные'!$B$218*'19_Расчет_аналитики'!AS3596,MeanMinAge07))),0)</f>
        <v/>
      </c>
      <c r="AT3534">
        <f>IF('01_Вводные'!$B$234="Да",IF(OR(('19_Расчет_аналитики'!AT3450-'19_Расчет_аналитики'!AT3478)=0,7&lt;='01_Вводные'!$B$297),0,('19_Расчет_аналитики'!AT3450-'19_Расчет_аналитики'!AT3478)*IF('01_Вводные'!$B$239="Да",MeanMinAge07+'19_Расчет_аналитики'!AT3596*SUMIF(ThresholdAge07,"&lt;"&amp;'19_Расчет_аналитики'!AT3596,WeightedRevAge07)-SUMIF(ThresholdAge07,"&lt;"&amp;'19_Расчет_аналитики'!AT3596,WeightedMinAge07),MAX(CapacityAge07*'01_Вводные'!$B$218*'19_Расчет_аналитики'!AT3596,MeanMinAge07))),0)</f>
        <v/>
      </c>
      <c r="AU3534">
        <f>IF('01_Вводные'!$B$234="Да",IF(OR(('19_Расчет_аналитики'!AU3450-'19_Расчет_аналитики'!AU3478)=0,7&lt;='01_Вводные'!$B$297),0,('19_Расчет_аналитики'!AU3450-'19_Расчет_аналитики'!AU3478)*IF('01_Вводные'!$B$239="Да",MeanMinAge07+'19_Расчет_аналитики'!AU3596*SUMIF(ThresholdAge07,"&lt;"&amp;'19_Расчет_аналитики'!AU3596,WeightedRevAge07)-SUMIF(ThresholdAge07,"&lt;"&amp;'19_Расчет_аналитики'!AU3596,WeightedMinAge07),MAX(CapacityAge07*'01_Вводные'!$B$218*'19_Расчет_аналитики'!AU3596,MeanMinAge07))),0)</f>
        <v/>
      </c>
      <c r="AV3534">
        <f>IF('01_Вводные'!$B$234="Да",IF(OR(('19_Расчет_аналитики'!AV3450-'19_Расчет_аналитики'!AV3478)=0,7&lt;='01_Вводные'!$B$297),0,('19_Расчет_аналитики'!AV3450-'19_Расчет_аналитики'!AV3478)*IF('01_Вводные'!$B$239="Да",MeanMinAge07+'19_Расчет_аналитики'!AV3596*SUMIF(ThresholdAge07,"&lt;"&amp;'19_Расчет_аналитики'!AV3596,WeightedRevAge07)-SUMIF(ThresholdAge07,"&lt;"&amp;'19_Расчет_аналитики'!AV3596,WeightedMinAge07),MAX(CapacityAge07*'01_Вводные'!$B$218*'19_Расчет_аналитики'!AV3596,MeanMinAge07))),0)</f>
        <v/>
      </c>
      <c r="AW3534">
        <f>IF('01_Вводные'!$B$234="Да",IF(OR(('19_Расчет_аналитики'!AW3450-'19_Расчет_аналитики'!AW3478)=0,7&lt;='01_Вводные'!$B$297),0,('19_Расчет_аналитики'!AW3450-'19_Расчет_аналитики'!AW3478)*IF('01_Вводные'!$B$239="Да",MeanMinAge07+'19_Расчет_аналитики'!AW3596*SUMIF(ThresholdAge07,"&lt;"&amp;'19_Расчет_аналитики'!AW3596,WeightedRevAge07)-SUMIF(ThresholdAge07,"&lt;"&amp;'19_Расчет_аналитики'!AW3596,WeightedMinAge07),MAX(CapacityAge07*'01_Вводные'!$B$218*'19_Расчет_аналитики'!AW3596,MeanMinAge07))),0)</f>
        <v/>
      </c>
      <c r="AX3534">
        <f>IF('01_Вводные'!$B$234="Да",IF(OR(('19_Расчет_аналитики'!AX3450-'19_Расчет_аналитики'!AX3478)=0,7&lt;='01_Вводные'!$B$297),0,('19_Расчет_аналитики'!AX3450-'19_Расчет_аналитики'!AX3478)*IF('01_Вводные'!$B$239="Да",MeanMinAge07+'19_Расчет_аналитики'!AX3596*SUMIF(ThresholdAge07,"&lt;"&amp;'19_Расчет_аналитики'!AX3596,WeightedRevAge07)-SUMIF(ThresholdAge07,"&lt;"&amp;'19_Расчет_аналитики'!AX3596,WeightedMinAge07),MAX(CapacityAge07*'01_Вводные'!$B$218*'19_Расчет_аналитики'!AX3596,MeanMinAge07))),0)</f>
        <v/>
      </c>
      <c r="AY3534">
        <f>IF('01_Вводные'!$B$234="Да",IF(OR(('19_Расчет_аналитики'!AY3450-'19_Расчет_аналитики'!AY3478)=0,7&lt;='01_Вводные'!$B$297),0,('19_Расчет_аналитики'!AY3450-'19_Расчет_аналитики'!AY3478)*IF('01_Вводные'!$B$239="Да",MeanMinAge07+'19_Расчет_аналитики'!AY3596*SUMIF(ThresholdAge07,"&lt;"&amp;'19_Расчет_аналитики'!AY3596,WeightedRevAge07)-SUMIF(ThresholdAge07,"&lt;"&amp;'19_Расчет_аналитики'!AY3596,WeightedMinAge07),MAX(CapacityAge07*'01_Вводные'!$B$218*'19_Расчет_аналитики'!AY3596,MeanMinAge07))),0)</f>
        <v/>
      </c>
      <c r="AZ3534">
        <f>IF('01_Вводные'!$B$234="Да",IF(OR(('19_Расчет_аналитики'!AZ3450-'19_Расчет_аналитики'!AZ3478)=0,7&lt;='01_Вводные'!$B$297),0,('19_Расчет_аналитики'!AZ3450-'19_Расчет_аналитики'!AZ3478)*IF('01_Вводные'!$B$239="Да",MeanMinAge07+'19_Расчет_аналитики'!AZ3596*SUMIF(ThresholdAge07,"&lt;"&amp;'19_Расчет_аналитики'!AZ3596,WeightedRevAge07)-SUMIF(ThresholdAge07,"&lt;"&amp;'19_Расчет_аналитики'!AZ3596,WeightedMinAge07),MAX(CapacityAge07*'01_Вводные'!$B$218*'19_Расчет_аналитики'!AZ3596,MeanMinAge07))),0)</f>
        <v/>
      </c>
      <c r="BA3534">
        <f>IF('01_Вводные'!$B$234="Да",IF(OR(('19_Расчет_аналитики'!BA3450-'19_Расчет_аналитики'!BA3478)=0,7&lt;='01_Вводные'!$B$297),0,('19_Расчет_аналитики'!BA3450-'19_Расчет_аналитики'!BA3478)*IF('01_Вводные'!$B$239="Да",MeanMinAge07+'19_Расчет_аналитики'!BA3596*SUMIF(ThresholdAge07,"&lt;"&amp;'19_Расчет_аналитики'!BA3596,WeightedRevAge07)-SUMIF(ThresholdAge07,"&lt;"&amp;'19_Расчет_аналитики'!BA3596,WeightedMinAge07),MAX(CapacityAge07*'01_Вводные'!$B$218*'19_Расчет_аналитики'!BA3596,MeanMinAge07))),0)</f>
        <v/>
      </c>
      <c r="BB3534">
        <f>IF('01_Вводные'!$B$234="Да",IF(OR(('19_Расчет_аналитики'!BB3450-'19_Расчет_аналитики'!BB3478)=0,7&lt;='01_Вводные'!$B$297),0,('19_Расчет_аналитики'!BB3450-'19_Расчет_аналитики'!BB3478)*IF('01_Вводные'!$B$239="Да",MeanMinAge07+'19_Расчет_аналитики'!BB3596*SUMIF(ThresholdAge07,"&lt;"&amp;'19_Расчет_аналитики'!BB3596,WeightedRevAge07)-SUMIF(ThresholdAge07,"&lt;"&amp;'19_Расчет_аналитики'!BB3596,WeightedMinAge07),MAX(CapacityAge07*'01_Вводные'!$B$218*'19_Расчет_аналитики'!BB3596,MeanMinAge07))),0)</f>
        <v/>
      </c>
      <c r="BC3534">
        <f>IF('01_Вводные'!$B$234="Да",IF(OR(('19_Расчет_аналитики'!BC3450-'19_Расчет_аналитики'!BC3478)=0,7&lt;='01_Вводные'!$B$297),0,('19_Расчет_аналитики'!BC3450-'19_Расчет_аналитики'!BC3478)*IF('01_Вводные'!$B$239="Да",MeanMinAge07+'19_Расчет_аналитики'!BC3596*SUMIF(ThresholdAge07,"&lt;"&amp;'19_Расчет_аналитики'!BC3596,WeightedRevAge07)-SUMIF(ThresholdAge07,"&lt;"&amp;'19_Расчет_аналитики'!BC3596,WeightedMinAge07),MAX(CapacityAge07*'01_Вводные'!$B$218*'19_Расчет_аналитики'!BC3596,MeanMinAge07))),0)</f>
        <v/>
      </c>
      <c r="BD3534">
        <f>IF('01_Вводные'!$B$234="Да",IF(OR(('19_Расчет_аналитики'!BD3450-'19_Расчет_аналитики'!BD3478)=0,7&lt;='01_Вводные'!$B$297),0,('19_Расчет_аналитики'!BD3450-'19_Расчет_аналитики'!BD3478)*IF('01_Вводные'!$B$239="Да",MeanMinAge07+'19_Расчет_аналитики'!BD3596*SUMIF(ThresholdAge07,"&lt;"&amp;'19_Расчет_аналитики'!BD3596,WeightedRevAge07)-SUMIF(ThresholdAge07,"&lt;"&amp;'19_Расчет_аналитики'!BD3596,WeightedMinAge07),MAX(CapacityAge07*'01_Вводные'!$B$218*'19_Расчет_аналитики'!BD3596,MeanMinAge07))),0)</f>
        <v/>
      </c>
      <c r="BE3534">
        <f>IF('01_Вводные'!$B$234="Да",IF(OR(('19_Расчет_аналитики'!BE3450-'19_Расчет_аналитики'!BE3478)=0,7&lt;='01_Вводные'!$B$297),0,('19_Расчет_аналитики'!BE3450-'19_Расчет_аналитики'!BE3478)*IF('01_Вводные'!$B$239="Да",MeanMinAge07+'19_Расчет_аналитики'!BE3596*SUMIF(ThresholdAge07,"&lt;"&amp;'19_Расчет_аналитики'!BE3596,WeightedRevAge07)-SUMIF(ThresholdAge07,"&lt;"&amp;'19_Расчет_аналитики'!BE3596,WeightedMinAge07),MAX(CapacityAge07*'01_Вводные'!$B$218*'19_Расчет_аналитики'!BE3596,MeanMinAge07))),0)</f>
        <v/>
      </c>
      <c r="BF3534">
        <f>IF('01_Вводные'!$B$234="Да",IF(OR(('19_Расчет_аналитики'!BF3450-'19_Расчет_аналитики'!BF3478)=0,7&lt;='01_Вводные'!$B$297),0,('19_Расчет_аналитики'!BF3450-'19_Расчет_аналитики'!BF3478)*IF('01_Вводные'!$B$239="Да",MeanMinAge07+'19_Расчет_аналитики'!BF3596*SUMIF(ThresholdAge07,"&lt;"&amp;'19_Расчет_аналитики'!BF3596,WeightedRevAge07)-SUMIF(ThresholdAge07,"&lt;"&amp;'19_Расчет_аналитики'!BF3596,WeightedMinAge07),MAX(CapacityAge07*'01_Вводные'!$B$218*'19_Расчет_аналитики'!BF3596,MeanMinAge07))),0)</f>
        <v/>
      </c>
      <c r="BG3534">
        <f>IF('01_Вводные'!$B$234="Да",IF(OR(('19_Расчет_аналитики'!BG3450-'19_Расчет_аналитики'!BG3478)=0,7&lt;='01_Вводные'!$B$297),0,('19_Расчет_аналитики'!BG3450-'19_Расчет_аналитики'!BG3478)*IF('01_Вводные'!$B$239="Да",MeanMinAge07+'19_Расчет_аналитики'!BG3596*SUMIF(ThresholdAge07,"&lt;"&amp;'19_Расчет_аналитики'!BG3596,WeightedRevAge07)-SUMIF(ThresholdAge07,"&lt;"&amp;'19_Расчет_аналитики'!BG3596,WeightedMinAge07),MAX(CapacityAge07*'01_Вводные'!$B$218*'19_Расчет_аналитики'!BG3596,MeanMinAge07))),0)</f>
        <v/>
      </c>
      <c r="BH3534">
        <f>IF('01_Вводные'!$B$234="Да",IF(OR(('19_Расчет_аналитики'!BH3450-'19_Расчет_аналитики'!BH3478)=0,7&lt;='01_Вводные'!$B$297),0,('19_Расчет_аналитики'!BH3450-'19_Расчет_аналитики'!BH3478)*IF('01_Вводные'!$B$239="Да",MeanMinAge07+'19_Расчет_аналитики'!BH3596*SUMIF(ThresholdAge07,"&lt;"&amp;'19_Расчет_аналитики'!BH3596,WeightedRevAge07)-SUMIF(ThresholdAge07,"&lt;"&amp;'19_Расчет_аналитики'!BH3596,WeightedMinAge07),MAX(CapacityAge07*'01_Вводные'!$B$218*'19_Расчет_аналитики'!BH3596,MeanMinAge07))),0)</f>
        <v/>
      </c>
      <c r="BI3534">
        <f>IF('01_Вводные'!$B$234="Да",IF(OR(('19_Расчет_аналитики'!BI3450-'19_Расчет_аналитики'!BI3478)=0,7&lt;='01_Вводные'!$B$297),0,('19_Расчет_аналитики'!BI3450-'19_Расчет_аналитики'!BI3478)*IF('01_Вводные'!$B$239="Да",MeanMinAge07+'19_Расчет_аналитики'!BI3596*SUMIF(ThresholdAge07,"&lt;"&amp;'19_Расчет_аналитики'!BI3596,WeightedRevAge07)-SUMIF(ThresholdAge07,"&lt;"&amp;'19_Расчет_аналитики'!BI3596,WeightedMinAge07),MAX(CapacityAge07*'01_Вводные'!$B$218*'19_Расчет_аналитики'!BI3596,MeanMinAge07))),0)</f>
        <v/>
      </c>
      <c r="BJ3534">
        <f>IF('01_Вводные'!$B$234="Да",IF(OR(('19_Расчет_аналитики'!BJ3450-'19_Расчет_аналитики'!BJ3478)=0,7&lt;='01_Вводные'!$B$297),0,('19_Расчет_аналитики'!BJ3450-'19_Расчет_аналитики'!BJ3478)*IF('01_Вводные'!$B$239="Да",MeanMinAge07+'19_Расчет_аналитики'!BJ3596*SUMIF(ThresholdAge07,"&lt;"&amp;'19_Расчет_аналитики'!BJ3596,WeightedRevAge07)-SUMIF(ThresholdAge07,"&lt;"&amp;'19_Расчет_аналитики'!BJ3596,WeightedMinAge07),MAX(CapacityAge07*'01_Вводные'!$B$218*'19_Расчет_аналитики'!BJ3596,MeanMinAge07))),0)</f>
        <v/>
      </c>
      <c r="BK3534">
        <f>IF('01_Вводные'!$B$234="Да",IF(OR(('19_Расчет_аналитики'!BK3450-'19_Расчет_аналитики'!BK3478)=0,7&lt;='01_Вводные'!$B$297),0,('19_Расчет_аналитики'!BK3450-'19_Расчет_аналитики'!BK3478)*IF('01_Вводные'!$B$239="Да",MeanMinAge07+'19_Расчет_аналитики'!BK3596*SUMIF(ThresholdAge07,"&lt;"&amp;'19_Расчет_аналитики'!BK3596,WeightedRevAge07)-SUMIF(ThresholdAge07,"&lt;"&amp;'19_Расчет_аналитики'!BK3596,WeightedMinAge07),MAX(CapacityAge07*'01_Вводные'!$B$218*'19_Расчет_аналитики'!BK3596,MeanMinAge07))),0)</f>
        <v/>
      </c>
      <c r="BL3534">
        <f>IF('01_Вводные'!$B$234="Да",IF(OR(('19_Расчет_аналитики'!BL3450-'19_Расчет_аналитики'!BL3478)=0,7&lt;='01_Вводные'!$B$297),0,('19_Расчет_аналитики'!BL3450-'19_Расчет_аналитики'!BL3478)*IF('01_Вводные'!$B$239="Да",MeanMinAge07+'19_Расчет_аналитики'!BL3596*SUMIF(ThresholdAge07,"&lt;"&amp;'19_Расчет_аналитики'!BL3596,WeightedRevAge07)-SUMIF(ThresholdAge07,"&lt;"&amp;'19_Расчет_аналитики'!BL3596,WeightedMinAge07),MAX(CapacityAge07*'01_Вводные'!$B$218*'19_Расчет_аналитики'!BL3596,MeanMinAge07))),0)</f>
        <v/>
      </c>
      <c r="BM3534">
        <f>IF('01_Вводные'!$B$234="Да",IF(OR(('19_Расчет_аналитики'!BM3450-'19_Расчет_аналитики'!BM3478)=0,7&lt;='01_Вводные'!$B$297),0,('19_Расчет_аналитики'!BM3450-'19_Расчет_аналитики'!BM3478)*IF('01_Вводные'!$B$239="Да",MeanMinAge07+'19_Расчет_аналитики'!BM3596*SUMIF(ThresholdAge07,"&lt;"&amp;'19_Расчет_аналитики'!BM3596,WeightedRevAge07)-SUMIF(ThresholdAge07,"&lt;"&amp;'19_Расчет_аналитики'!BM3596,WeightedMinAge07),MAX(CapacityAge07*'01_Вводные'!$B$218*'19_Расчет_аналитики'!BM3596,MeanMinAge07))),0)</f>
        <v/>
      </c>
      <c r="BN3534">
        <f>IF('01_Вводные'!$B$234="Да",IF(OR(('19_Расчет_аналитики'!BN3450-'19_Расчет_аналитики'!BN3478)=0,7&lt;='01_Вводные'!$B$297),0,('19_Расчет_аналитики'!BN3450-'19_Расчет_аналитики'!BN3478)*IF('01_Вводные'!$B$239="Да",MeanMinAge07+'19_Расчет_аналитики'!BN3596*SUMIF(ThresholdAge07,"&lt;"&amp;'19_Расчет_аналитики'!BN3596,WeightedRevAge07)-SUMIF(ThresholdAge07,"&lt;"&amp;'19_Расчет_аналитики'!BN3596,WeightedMinAge07),MAX(CapacityAge07*'01_Вводные'!$B$218*'19_Расчет_аналитики'!BN3596,MeanMinAge07))),0)</f>
        <v/>
      </c>
      <c r="BO3534">
        <f>IF('01_Вводные'!$B$234="Да",IF(OR(('19_Расчет_аналитики'!BO3450-'19_Расчет_аналитики'!BO3478)=0,7&lt;='01_Вводные'!$B$297),0,('19_Расчет_аналитики'!BO3450-'19_Расчет_аналитики'!BO3478)*IF('01_Вводные'!$B$239="Да",MeanMinAge07+'19_Расчет_аналитики'!BO3596*SUMIF(ThresholdAge07,"&lt;"&amp;'19_Расчет_аналитики'!BO3596,WeightedRevAge07)-SUMIF(ThresholdAge07,"&lt;"&amp;'19_Расчет_аналитики'!BO3596,WeightedMinAge07),MAX(CapacityAge07*'01_Вводные'!$B$218*'19_Расчет_аналитики'!BO3596,MeanMinAge07))),0)</f>
        <v/>
      </c>
    </row>
    <row r="3535">
      <c r="B3535">
        <f>IF('01_Вводные'!$B$234="Да",IF(OR(('06_Сеть_и_дети'!B60-'06_Сеть_и_дети'!B88)=0,8&lt;='01_Вводные'!$B$297),0,('06_Сеть_и_дети'!B60-'06_Сеть_и_дети'!B88)*IF('01_Вводные'!$B$239="Да",MeanMinAge08+'19_Расчет_аналитики'!B3596*SUMIF(ThresholdAge08,"&lt;"&amp;'19_Расчет_аналитики'!B3596,WeightedRevAge08)-SUMIF(ThresholdAge08,"&lt;"&amp;'19_Расчет_аналитики'!B3596,WeightedMinAge08),MAX(CapacityAge08*'01_Вводные'!$B$218*'19_Расчет_аналитики'!B3596,MeanMinAge08))),0)</f>
        <v/>
      </c>
      <c r="C3535">
        <f>IF('01_Вводные'!$B$234="Да",IF(OR(('06_Сеть_и_дети'!C60-'06_Сеть_и_дети'!C88)=0,8&lt;='01_Вводные'!$B$297),0,('06_Сеть_и_дети'!C60-'06_Сеть_и_дети'!C88)*IF('01_Вводные'!$B$239="Да",MeanMinAge08+'19_Расчет_аналитики'!C3596*SUMIF(ThresholdAge08,"&lt;"&amp;'19_Расчет_аналитики'!C3596,WeightedRevAge08)-SUMIF(ThresholdAge08,"&lt;"&amp;'19_Расчет_аналитики'!C3596,WeightedMinAge08),MAX(CapacityAge08*'01_Вводные'!$B$218*'19_Расчет_аналитики'!C3596,MeanMinAge08))),0)</f>
        <v/>
      </c>
      <c r="D3535">
        <f>IF('01_Вводные'!$B$234="Да",IF(OR(('06_Сеть_и_дети'!D60-'06_Сеть_и_дети'!D88)=0,8&lt;='01_Вводные'!$B$297),0,('06_Сеть_и_дети'!D60-'06_Сеть_и_дети'!D88)*IF('01_Вводные'!$B$239="Да",MeanMinAge08+'19_Расчет_аналитики'!D3596*SUMIF(ThresholdAge08,"&lt;"&amp;'19_Расчет_аналитики'!D3596,WeightedRevAge08)-SUMIF(ThresholdAge08,"&lt;"&amp;'19_Расчет_аналитики'!D3596,WeightedMinAge08),MAX(CapacityAge08*'01_Вводные'!$B$218*'19_Расчет_аналитики'!D3596,MeanMinAge08))),0)</f>
        <v/>
      </c>
      <c r="E3535">
        <f>IF('01_Вводные'!$B$234="Да",IF(OR(('06_Сеть_и_дети'!E60-'06_Сеть_и_дети'!E88)=0,8&lt;='01_Вводные'!$B$297),0,('06_Сеть_и_дети'!E60-'06_Сеть_и_дети'!E88)*IF('01_Вводные'!$B$239="Да",MeanMinAge08+'19_Расчет_аналитики'!E3596*SUMIF(ThresholdAge08,"&lt;"&amp;'19_Расчет_аналитики'!E3596,WeightedRevAge08)-SUMIF(ThresholdAge08,"&lt;"&amp;'19_Расчет_аналитики'!E3596,WeightedMinAge08),MAX(CapacityAge08*'01_Вводные'!$B$218*'19_Расчет_аналитики'!E3596,MeanMinAge08))),0)</f>
        <v/>
      </c>
      <c r="F3535">
        <f>IF('01_Вводные'!$B$234="Да",IF(OR(('06_Сеть_и_дети'!F60-'06_Сеть_и_дети'!F88)=0,8&lt;='01_Вводные'!$B$297),0,('06_Сеть_и_дети'!F60-'06_Сеть_и_дети'!F88)*IF('01_Вводные'!$B$239="Да",MeanMinAge08+'19_Расчет_аналитики'!F3596*SUMIF(ThresholdAge08,"&lt;"&amp;'19_Расчет_аналитики'!F3596,WeightedRevAge08)-SUMIF(ThresholdAge08,"&lt;"&amp;'19_Расчет_аналитики'!F3596,WeightedMinAge08),MAX(CapacityAge08*'01_Вводные'!$B$218*'19_Расчет_аналитики'!F3596,MeanMinAge08))),0)</f>
        <v/>
      </c>
      <c r="G3535">
        <f>IF('01_Вводные'!$B$234="Да",IF(OR(('06_Сеть_и_дети'!G60-'06_Сеть_и_дети'!G88)=0,8&lt;='01_Вводные'!$B$297),0,('06_Сеть_и_дети'!G60-'06_Сеть_и_дети'!G88)*IF('01_Вводные'!$B$239="Да",MeanMinAge08+'19_Расчет_аналитики'!G3596*SUMIF(ThresholdAge08,"&lt;"&amp;'19_Расчет_аналитики'!G3596,WeightedRevAge08)-SUMIF(ThresholdAge08,"&lt;"&amp;'19_Расчет_аналитики'!G3596,WeightedMinAge08),MAX(CapacityAge08*'01_Вводные'!$B$218*'19_Расчет_аналитики'!G3596,MeanMinAge08))),0)</f>
        <v/>
      </c>
      <c r="H3535">
        <f>IF('01_Вводные'!$B$234="Да",IF(OR(('06_Сеть_и_дети'!H60-'06_Сеть_и_дети'!H88)=0,8&lt;='01_Вводные'!$B$297),0,('06_Сеть_и_дети'!H60-'06_Сеть_и_дети'!H88)*IF('01_Вводные'!$B$239="Да",MeanMinAge08+'19_Расчет_аналитики'!H3596*SUMIF(ThresholdAge08,"&lt;"&amp;'19_Расчет_аналитики'!H3596,WeightedRevAge08)-SUMIF(ThresholdAge08,"&lt;"&amp;'19_Расчет_аналитики'!H3596,WeightedMinAge08),MAX(CapacityAge08*'01_Вводные'!$B$218*'19_Расчет_аналитики'!H3596,MeanMinAge08))),0)</f>
        <v/>
      </c>
      <c r="I3535">
        <f>IF('01_Вводные'!$B$234="Да",IF(OR(('19_Расчет_аналитики'!I3451-'19_Расчет_аналитики'!I3479)=0,8&lt;='01_Вводные'!$B$297),0,('19_Расчет_аналитики'!I3451-'19_Расчет_аналитики'!I3479)*IF('01_Вводные'!$B$239="Да",MeanMinAge08+'19_Расчет_аналитики'!I3596*SUMIF(ThresholdAge08,"&lt;"&amp;'19_Расчет_аналитики'!I3596,WeightedRevAge08)-SUMIF(ThresholdAge08,"&lt;"&amp;'19_Расчет_аналитики'!I3596,WeightedMinAge08),MAX(CapacityAge08*'01_Вводные'!$B$218*'19_Расчет_аналитики'!I3596,MeanMinAge08))),0)</f>
        <v/>
      </c>
      <c r="J3535">
        <f>IF('01_Вводные'!$B$234="Да",IF(OR(('19_Расчет_аналитики'!J3451-'19_Расчет_аналитики'!J3479)=0,8&lt;='01_Вводные'!$B$297),0,('19_Расчет_аналитики'!J3451-'19_Расчет_аналитики'!J3479)*IF('01_Вводные'!$B$239="Да",MeanMinAge08+'19_Расчет_аналитики'!J3596*SUMIF(ThresholdAge08,"&lt;"&amp;'19_Расчет_аналитики'!J3596,WeightedRevAge08)-SUMIF(ThresholdAge08,"&lt;"&amp;'19_Расчет_аналитики'!J3596,WeightedMinAge08),MAX(CapacityAge08*'01_Вводные'!$B$218*'19_Расчет_аналитики'!J3596,MeanMinAge08))),0)</f>
        <v/>
      </c>
      <c r="K3535">
        <f>IF('01_Вводные'!$B$234="Да",IF(OR(('19_Расчет_аналитики'!K3451-'19_Расчет_аналитики'!K3479)=0,8&lt;='01_Вводные'!$B$297),0,('19_Расчет_аналитики'!K3451-'19_Расчет_аналитики'!K3479)*IF('01_Вводные'!$B$239="Да",MeanMinAge08+'19_Расчет_аналитики'!K3596*SUMIF(ThresholdAge08,"&lt;"&amp;'19_Расчет_аналитики'!K3596,WeightedRevAge08)-SUMIF(ThresholdAge08,"&lt;"&amp;'19_Расчет_аналитики'!K3596,WeightedMinAge08),MAX(CapacityAge08*'01_Вводные'!$B$218*'19_Расчет_аналитики'!K3596,MeanMinAge08))),0)</f>
        <v/>
      </c>
      <c r="L3535">
        <f>IF('01_Вводные'!$B$234="Да",IF(OR(('19_Расчет_аналитики'!L3451-'19_Расчет_аналитики'!L3479)=0,8&lt;='01_Вводные'!$B$297),0,('19_Расчет_аналитики'!L3451-'19_Расчет_аналитики'!L3479)*IF('01_Вводные'!$B$239="Да",MeanMinAge08+'19_Расчет_аналитики'!L3596*SUMIF(ThresholdAge08,"&lt;"&amp;'19_Расчет_аналитики'!L3596,WeightedRevAge08)-SUMIF(ThresholdAge08,"&lt;"&amp;'19_Расчет_аналитики'!L3596,WeightedMinAge08),MAX(CapacityAge08*'01_Вводные'!$B$218*'19_Расчет_аналитики'!L3596,MeanMinAge08))),0)</f>
        <v/>
      </c>
      <c r="M3535">
        <f>IF('01_Вводные'!$B$234="Да",IF(OR(('19_Расчет_аналитики'!M3451-'19_Расчет_аналитики'!M3479)=0,8&lt;='01_Вводные'!$B$297),0,('19_Расчет_аналитики'!M3451-'19_Расчет_аналитики'!M3479)*IF('01_Вводные'!$B$239="Да",MeanMinAge08+'19_Расчет_аналитики'!M3596*SUMIF(ThresholdAge08,"&lt;"&amp;'19_Расчет_аналитики'!M3596,WeightedRevAge08)-SUMIF(ThresholdAge08,"&lt;"&amp;'19_Расчет_аналитики'!M3596,WeightedMinAge08),MAX(CapacityAge08*'01_Вводные'!$B$218*'19_Расчет_аналитики'!M3596,MeanMinAge08))),0)</f>
        <v/>
      </c>
      <c r="N3535">
        <f>IF('01_Вводные'!$B$234="Да",IF(OR(('19_Расчет_аналитики'!N3451-'19_Расчет_аналитики'!N3479)=0,8&lt;='01_Вводные'!$B$297),0,('19_Расчет_аналитики'!N3451-'19_Расчет_аналитики'!N3479)*IF('01_Вводные'!$B$239="Да",MeanMinAge08+'19_Расчет_аналитики'!N3596*SUMIF(ThresholdAge08,"&lt;"&amp;'19_Расчет_аналитики'!N3596,WeightedRevAge08)-SUMIF(ThresholdAge08,"&lt;"&amp;'19_Расчет_аналитики'!N3596,WeightedMinAge08),MAX(CapacityAge08*'01_Вводные'!$B$218*'19_Расчет_аналитики'!N3596,MeanMinAge08))),0)</f>
        <v/>
      </c>
      <c r="O3535">
        <f>IF('01_Вводные'!$B$234="Да",IF(OR(('19_Расчет_аналитики'!O3451-'19_Расчет_аналитики'!O3479)=0,8&lt;='01_Вводные'!$B$297),0,('19_Расчет_аналитики'!O3451-'19_Расчет_аналитики'!O3479)*IF('01_Вводные'!$B$239="Да",MeanMinAge08+'19_Расчет_аналитики'!O3596*SUMIF(ThresholdAge08,"&lt;"&amp;'19_Расчет_аналитики'!O3596,WeightedRevAge08)-SUMIF(ThresholdAge08,"&lt;"&amp;'19_Расчет_аналитики'!O3596,WeightedMinAge08),MAX(CapacityAge08*'01_Вводные'!$B$218*'19_Расчет_аналитики'!O3596,MeanMinAge08))),0)</f>
        <v/>
      </c>
      <c r="P3535">
        <f>IF('01_Вводные'!$B$234="Да",IF(OR(('19_Расчет_аналитики'!P3451-'19_Расчет_аналитики'!P3479)=0,8&lt;='01_Вводные'!$B$297),0,('19_Расчет_аналитики'!P3451-'19_Расчет_аналитики'!P3479)*IF('01_Вводные'!$B$239="Да",MeanMinAge08+'19_Расчет_аналитики'!P3596*SUMIF(ThresholdAge08,"&lt;"&amp;'19_Расчет_аналитики'!P3596,WeightedRevAge08)-SUMIF(ThresholdAge08,"&lt;"&amp;'19_Расчет_аналитики'!P3596,WeightedMinAge08),MAX(CapacityAge08*'01_Вводные'!$B$218*'19_Расчет_аналитики'!P3596,MeanMinAge08))),0)</f>
        <v/>
      </c>
      <c r="Q3535">
        <f>IF('01_Вводные'!$B$234="Да",IF(OR(('19_Расчет_аналитики'!Q3451-'19_Расчет_аналитики'!Q3479)=0,8&lt;='01_Вводные'!$B$297),0,('19_Расчет_аналитики'!Q3451-'19_Расчет_аналитики'!Q3479)*IF('01_Вводные'!$B$239="Да",MeanMinAge08+'19_Расчет_аналитики'!Q3596*SUMIF(ThresholdAge08,"&lt;"&amp;'19_Расчет_аналитики'!Q3596,WeightedRevAge08)-SUMIF(ThresholdAge08,"&lt;"&amp;'19_Расчет_аналитики'!Q3596,WeightedMinAge08),MAX(CapacityAge08*'01_Вводные'!$B$218*'19_Расчет_аналитики'!Q3596,MeanMinAge08))),0)</f>
        <v/>
      </c>
      <c r="R3535">
        <f>IF('01_Вводные'!$B$234="Да",IF(OR(('19_Расчет_аналитики'!R3451-'19_Расчет_аналитики'!R3479)=0,8&lt;='01_Вводные'!$B$297),0,('19_Расчет_аналитики'!R3451-'19_Расчет_аналитики'!R3479)*IF('01_Вводные'!$B$239="Да",MeanMinAge08+'19_Расчет_аналитики'!R3596*SUMIF(ThresholdAge08,"&lt;"&amp;'19_Расчет_аналитики'!R3596,WeightedRevAge08)-SUMIF(ThresholdAge08,"&lt;"&amp;'19_Расчет_аналитики'!R3596,WeightedMinAge08),MAX(CapacityAge08*'01_Вводные'!$B$218*'19_Расчет_аналитики'!R3596,MeanMinAge08))),0)</f>
        <v/>
      </c>
      <c r="S3535">
        <f>IF('01_Вводные'!$B$234="Да",IF(OR(('19_Расчет_аналитики'!S3451-'19_Расчет_аналитики'!S3479)=0,8&lt;='01_Вводные'!$B$297),0,('19_Расчет_аналитики'!S3451-'19_Расчет_аналитики'!S3479)*IF('01_Вводные'!$B$239="Да",MeanMinAge08+'19_Расчет_аналитики'!S3596*SUMIF(ThresholdAge08,"&lt;"&amp;'19_Расчет_аналитики'!S3596,WeightedRevAge08)-SUMIF(ThresholdAge08,"&lt;"&amp;'19_Расчет_аналитики'!S3596,WeightedMinAge08),MAX(CapacityAge08*'01_Вводные'!$B$218*'19_Расчет_аналитики'!S3596,MeanMinAge08))),0)</f>
        <v/>
      </c>
      <c r="T3535">
        <f>IF('01_Вводные'!$B$234="Да",IF(OR(('19_Расчет_аналитики'!T3451-'19_Расчет_аналитики'!T3479)=0,8&lt;='01_Вводные'!$B$297),0,('19_Расчет_аналитики'!T3451-'19_Расчет_аналитики'!T3479)*IF('01_Вводные'!$B$239="Да",MeanMinAge08+'19_Расчет_аналитики'!T3596*SUMIF(ThresholdAge08,"&lt;"&amp;'19_Расчет_аналитики'!T3596,WeightedRevAge08)-SUMIF(ThresholdAge08,"&lt;"&amp;'19_Расчет_аналитики'!T3596,WeightedMinAge08),MAX(CapacityAge08*'01_Вводные'!$B$218*'19_Расчет_аналитики'!T3596,MeanMinAge08))),0)</f>
        <v/>
      </c>
      <c r="U3535">
        <f>IF('01_Вводные'!$B$234="Да",IF(OR(('19_Расчет_аналитики'!U3451-'19_Расчет_аналитики'!U3479)=0,8&lt;='01_Вводные'!$B$297),0,('19_Расчет_аналитики'!U3451-'19_Расчет_аналитики'!U3479)*IF('01_Вводные'!$B$239="Да",MeanMinAge08+'19_Расчет_аналитики'!U3596*SUMIF(ThresholdAge08,"&lt;"&amp;'19_Расчет_аналитики'!U3596,WeightedRevAge08)-SUMIF(ThresholdAge08,"&lt;"&amp;'19_Расчет_аналитики'!U3596,WeightedMinAge08),MAX(CapacityAge08*'01_Вводные'!$B$218*'19_Расчет_аналитики'!U3596,MeanMinAge08))),0)</f>
        <v/>
      </c>
      <c r="V3535">
        <f>IF('01_Вводные'!$B$234="Да",IF(OR(('19_Расчет_аналитики'!V3451-'19_Расчет_аналитики'!V3479)=0,8&lt;='01_Вводные'!$B$297),0,('19_Расчет_аналитики'!V3451-'19_Расчет_аналитики'!V3479)*IF('01_Вводные'!$B$239="Да",MeanMinAge08+'19_Расчет_аналитики'!V3596*SUMIF(ThresholdAge08,"&lt;"&amp;'19_Расчет_аналитики'!V3596,WeightedRevAge08)-SUMIF(ThresholdAge08,"&lt;"&amp;'19_Расчет_аналитики'!V3596,WeightedMinAge08),MAX(CapacityAge08*'01_Вводные'!$B$218*'19_Расчет_аналитики'!V3596,MeanMinAge08))),0)</f>
        <v/>
      </c>
      <c r="W3535">
        <f>IF('01_Вводные'!$B$234="Да",IF(OR(('19_Расчет_аналитики'!W3451-'19_Расчет_аналитики'!W3479)=0,8&lt;='01_Вводные'!$B$297),0,('19_Расчет_аналитики'!W3451-'19_Расчет_аналитики'!W3479)*IF('01_Вводные'!$B$239="Да",MeanMinAge08+'19_Расчет_аналитики'!W3596*SUMIF(ThresholdAge08,"&lt;"&amp;'19_Расчет_аналитики'!W3596,WeightedRevAge08)-SUMIF(ThresholdAge08,"&lt;"&amp;'19_Расчет_аналитики'!W3596,WeightedMinAge08),MAX(CapacityAge08*'01_Вводные'!$B$218*'19_Расчет_аналитики'!W3596,MeanMinAge08))),0)</f>
        <v/>
      </c>
      <c r="X3535">
        <f>IF('01_Вводные'!$B$234="Да",IF(OR(('19_Расчет_аналитики'!X3451-'19_Расчет_аналитики'!X3479)=0,8&lt;='01_Вводные'!$B$297),0,('19_Расчет_аналитики'!X3451-'19_Расчет_аналитики'!X3479)*IF('01_Вводные'!$B$239="Да",MeanMinAge08+'19_Расчет_аналитики'!X3596*SUMIF(ThresholdAge08,"&lt;"&amp;'19_Расчет_аналитики'!X3596,WeightedRevAge08)-SUMIF(ThresholdAge08,"&lt;"&amp;'19_Расчет_аналитики'!X3596,WeightedMinAge08),MAX(CapacityAge08*'01_Вводные'!$B$218*'19_Расчет_аналитики'!X3596,MeanMinAge08))),0)</f>
        <v/>
      </c>
      <c r="Y3535">
        <f>IF('01_Вводные'!$B$234="Да",IF(OR(('19_Расчет_аналитики'!Y3451-'19_Расчет_аналитики'!Y3479)=0,8&lt;='01_Вводные'!$B$297),0,('19_Расчет_аналитики'!Y3451-'19_Расчет_аналитики'!Y3479)*IF('01_Вводные'!$B$239="Да",MeanMinAge08+'19_Расчет_аналитики'!Y3596*SUMIF(ThresholdAge08,"&lt;"&amp;'19_Расчет_аналитики'!Y3596,WeightedRevAge08)-SUMIF(ThresholdAge08,"&lt;"&amp;'19_Расчет_аналитики'!Y3596,WeightedMinAge08),MAX(CapacityAge08*'01_Вводные'!$B$218*'19_Расчет_аналитики'!Y3596,MeanMinAge08))),0)</f>
        <v/>
      </c>
      <c r="Z3535">
        <f>IF('01_Вводные'!$B$234="Да",IF(OR(('19_Расчет_аналитики'!Z3451-'19_Расчет_аналитики'!Z3479)=0,8&lt;='01_Вводные'!$B$297),0,('19_Расчет_аналитики'!Z3451-'19_Расчет_аналитики'!Z3479)*IF('01_Вводные'!$B$239="Да",MeanMinAge08+'19_Расчет_аналитики'!Z3596*SUMIF(ThresholdAge08,"&lt;"&amp;'19_Расчет_аналитики'!Z3596,WeightedRevAge08)-SUMIF(ThresholdAge08,"&lt;"&amp;'19_Расчет_аналитики'!Z3596,WeightedMinAge08),MAX(CapacityAge08*'01_Вводные'!$B$218*'19_Расчет_аналитики'!Z3596,MeanMinAge08))),0)</f>
        <v/>
      </c>
      <c r="AA3535">
        <f>IF('01_Вводные'!$B$234="Да",IF(OR(('19_Расчет_аналитики'!AA3451-'19_Расчет_аналитики'!AA3479)=0,8&lt;='01_Вводные'!$B$297),0,('19_Расчет_аналитики'!AA3451-'19_Расчет_аналитики'!AA3479)*IF('01_Вводные'!$B$239="Да",MeanMinAge08+'19_Расчет_аналитики'!AA3596*SUMIF(ThresholdAge08,"&lt;"&amp;'19_Расчет_аналитики'!AA3596,WeightedRevAge08)-SUMIF(ThresholdAge08,"&lt;"&amp;'19_Расчет_аналитики'!AA3596,WeightedMinAge08),MAX(CapacityAge08*'01_Вводные'!$B$218*'19_Расчет_аналитики'!AA3596,MeanMinAge08))),0)</f>
        <v/>
      </c>
      <c r="AB3535">
        <f>IF('01_Вводные'!$B$234="Да",IF(OR(('19_Расчет_аналитики'!AB3451-'19_Расчет_аналитики'!AB3479)=0,8&lt;='01_Вводные'!$B$297),0,('19_Расчет_аналитики'!AB3451-'19_Расчет_аналитики'!AB3479)*IF('01_Вводные'!$B$239="Да",MeanMinAge08+'19_Расчет_аналитики'!AB3596*SUMIF(ThresholdAge08,"&lt;"&amp;'19_Расчет_аналитики'!AB3596,WeightedRevAge08)-SUMIF(ThresholdAge08,"&lt;"&amp;'19_Расчет_аналитики'!AB3596,WeightedMinAge08),MAX(CapacityAge08*'01_Вводные'!$B$218*'19_Расчет_аналитики'!AB3596,MeanMinAge08))),0)</f>
        <v/>
      </c>
      <c r="AC3535">
        <f>IF('01_Вводные'!$B$234="Да",IF(OR(('19_Расчет_аналитики'!AC3451-'19_Расчет_аналитики'!AC3479)=0,8&lt;='01_Вводные'!$B$297),0,('19_Расчет_аналитики'!AC3451-'19_Расчет_аналитики'!AC3479)*IF('01_Вводные'!$B$239="Да",MeanMinAge08+'19_Расчет_аналитики'!AC3596*SUMIF(ThresholdAge08,"&lt;"&amp;'19_Расчет_аналитики'!AC3596,WeightedRevAge08)-SUMIF(ThresholdAge08,"&lt;"&amp;'19_Расчет_аналитики'!AC3596,WeightedMinAge08),MAX(CapacityAge08*'01_Вводные'!$B$218*'19_Расчет_аналитики'!AC3596,MeanMinAge08))),0)</f>
        <v/>
      </c>
      <c r="AD3535">
        <f>IF('01_Вводные'!$B$234="Да",IF(OR(('19_Расчет_аналитики'!AD3451-'19_Расчет_аналитики'!AD3479)=0,8&lt;='01_Вводные'!$B$297),0,('19_Расчет_аналитики'!AD3451-'19_Расчет_аналитики'!AD3479)*IF('01_Вводные'!$B$239="Да",MeanMinAge08+'19_Расчет_аналитики'!AD3596*SUMIF(ThresholdAge08,"&lt;"&amp;'19_Расчет_аналитики'!AD3596,WeightedRevAge08)-SUMIF(ThresholdAge08,"&lt;"&amp;'19_Расчет_аналитики'!AD3596,WeightedMinAge08),MAX(CapacityAge08*'01_Вводные'!$B$218*'19_Расчет_аналитики'!AD3596,MeanMinAge08))),0)</f>
        <v/>
      </c>
      <c r="AE3535">
        <f>IF('01_Вводные'!$B$234="Да",IF(OR(('19_Расчет_аналитики'!AE3451-'19_Расчет_аналитики'!AE3479)=0,8&lt;='01_Вводные'!$B$297),0,('19_Расчет_аналитики'!AE3451-'19_Расчет_аналитики'!AE3479)*IF('01_Вводные'!$B$239="Да",MeanMinAge08+'19_Расчет_аналитики'!AE3596*SUMIF(ThresholdAge08,"&lt;"&amp;'19_Расчет_аналитики'!AE3596,WeightedRevAge08)-SUMIF(ThresholdAge08,"&lt;"&amp;'19_Расчет_аналитики'!AE3596,WeightedMinAge08),MAX(CapacityAge08*'01_Вводные'!$B$218*'19_Расчет_аналитики'!AE3596,MeanMinAge08))),0)</f>
        <v/>
      </c>
      <c r="AF3535">
        <f>IF('01_Вводные'!$B$234="Да",IF(OR(('19_Расчет_аналитики'!AF3451-'19_Расчет_аналитики'!AF3479)=0,8&lt;='01_Вводные'!$B$297),0,('19_Расчет_аналитики'!AF3451-'19_Расчет_аналитики'!AF3479)*IF('01_Вводные'!$B$239="Да",MeanMinAge08+'19_Расчет_аналитики'!AF3596*SUMIF(ThresholdAge08,"&lt;"&amp;'19_Расчет_аналитики'!AF3596,WeightedRevAge08)-SUMIF(ThresholdAge08,"&lt;"&amp;'19_Расчет_аналитики'!AF3596,WeightedMinAge08),MAX(CapacityAge08*'01_Вводные'!$B$218*'19_Расчет_аналитики'!AF3596,MeanMinAge08))),0)</f>
        <v/>
      </c>
      <c r="AG3535">
        <f>IF('01_Вводные'!$B$234="Да",IF(OR(('19_Расчет_аналитики'!AG3451-'19_Расчет_аналитики'!AG3479)=0,8&lt;='01_Вводные'!$B$297),0,('19_Расчет_аналитики'!AG3451-'19_Расчет_аналитики'!AG3479)*IF('01_Вводные'!$B$239="Да",MeanMinAge08+'19_Расчет_аналитики'!AG3596*SUMIF(ThresholdAge08,"&lt;"&amp;'19_Расчет_аналитики'!AG3596,WeightedRevAge08)-SUMIF(ThresholdAge08,"&lt;"&amp;'19_Расчет_аналитики'!AG3596,WeightedMinAge08),MAX(CapacityAge08*'01_Вводные'!$B$218*'19_Расчет_аналитики'!AG3596,MeanMinAge08))),0)</f>
        <v/>
      </c>
      <c r="AH3535">
        <f>IF('01_Вводные'!$B$234="Да",IF(OR(('19_Расчет_аналитики'!AH3451-'19_Расчет_аналитики'!AH3479)=0,8&lt;='01_Вводные'!$B$297),0,('19_Расчет_аналитики'!AH3451-'19_Расчет_аналитики'!AH3479)*IF('01_Вводные'!$B$239="Да",MeanMinAge08+'19_Расчет_аналитики'!AH3596*SUMIF(ThresholdAge08,"&lt;"&amp;'19_Расчет_аналитики'!AH3596,WeightedRevAge08)-SUMIF(ThresholdAge08,"&lt;"&amp;'19_Расчет_аналитики'!AH3596,WeightedMinAge08),MAX(CapacityAge08*'01_Вводные'!$B$218*'19_Расчет_аналитики'!AH3596,MeanMinAge08))),0)</f>
        <v/>
      </c>
      <c r="AI3535">
        <f>IF('01_Вводные'!$B$234="Да",IF(OR(('19_Расчет_аналитики'!AI3451-'19_Расчет_аналитики'!AI3479)=0,8&lt;='01_Вводные'!$B$297),0,('19_Расчет_аналитики'!AI3451-'19_Расчет_аналитики'!AI3479)*IF('01_Вводные'!$B$239="Да",MeanMinAge08+'19_Расчет_аналитики'!AI3596*SUMIF(ThresholdAge08,"&lt;"&amp;'19_Расчет_аналитики'!AI3596,WeightedRevAge08)-SUMIF(ThresholdAge08,"&lt;"&amp;'19_Расчет_аналитики'!AI3596,WeightedMinAge08),MAX(CapacityAge08*'01_Вводные'!$B$218*'19_Расчет_аналитики'!AI3596,MeanMinAge08))),0)</f>
        <v/>
      </c>
      <c r="AJ3535">
        <f>IF('01_Вводные'!$B$234="Да",IF(OR(('19_Расчет_аналитики'!AJ3451-'19_Расчет_аналитики'!AJ3479)=0,8&lt;='01_Вводные'!$B$297),0,('19_Расчет_аналитики'!AJ3451-'19_Расчет_аналитики'!AJ3479)*IF('01_Вводные'!$B$239="Да",MeanMinAge08+'19_Расчет_аналитики'!AJ3596*SUMIF(ThresholdAge08,"&lt;"&amp;'19_Расчет_аналитики'!AJ3596,WeightedRevAge08)-SUMIF(ThresholdAge08,"&lt;"&amp;'19_Расчет_аналитики'!AJ3596,WeightedMinAge08),MAX(CapacityAge08*'01_Вводные'!$B$218*'19_Расчет_аналитики'!AJ3596,MeanMinAge08))),0)</f>
        <v/>
      </c>
      <c r="AK3535">
        <f>IF('01_Вводные'!$B$234="Да",IF(OR(('19_Расчет_аналитики'!AK3451-'19_Расчет_аналитики'!AK3479)=0,8&lt;='01_Вводные'!$B$297),0,('19_Расчет_аналитики'!AK3451-'19_Расчет_аналитики'!AK3479)*IF('01_Вводные'!$B$239="Да",MeanMinAge08+'19_Расчет_аналитики'!AK3596*SUMIF(ThresholdAge08,"&lt;"&amp;'19_Расчет_аналитики'!AK3596,WeightedRevAge08)-SUMIF(ThresholdAge08,"&lt;"&amp;'19_Расчет_аналитики'!AK3596,WeightedMinAge08),MAX(CapacityAge08*'01_Вводные'!$B$218*'19_Расчет_аналитики'!AK3596,MeanMinAge08))),0)</f>
        <v/>
      </c>
      <c r="AL3535">
        <f>IF('01_Вводные'!$B$234="Да",IF(OR(('19_Расчет_аналитики'!AL3451-'19_Расчет_аналитики'!AL3479)=0,8&lt;='01_Вводные'!$B$297),0,('19_Расчет_аналитики'!AL3451-'19_Расчет_аналитики'!AL3479)*IF('01_Вводные'!$B$239="Да",MeanMinAge08+'19_Расчет_аналитики'!AL3596*SUMIF(ThresholdAge08,"&lt;"&amp;'19_Расчет_аналитики'!AL3596,WeightedRevAge08)-SUMIF(ThresholdAge08,"&lt;"&amp;'19_Расчет_аналитики'!AL3596,WeightedMinAge08),MAX(CapacityAge08*'01_Вводные'!$B$218*'19_Расчет_аналитики'!AL3596,MeanMinAge08))),0)</f>
        <v/>
      </c>
      <c r="AM3535">
        <f>IF('01_Вводные'!$B$234="Да",IF(OR(('19_Расчет_аналитики'!AM3451-'19_Расчет_аналитики'!AM3479)=0,8&lt;='01_Вводные'!$B$297),0,('19_Расчет_аналитики'!AM3451-'19_Расчет_аналитики'!AM3479)*IF('01_Вводные'!$B$239="Да",MeanMinAge08+'19_Расчет_аналитики'!AM3596*SUMIF(ThresholdAge08,"&lt;"&amp;'19_Расчет_аналитики'!AM3596,WeightedRevAge08)-SUMIF(ThresholdAge08,"&lt;"&amp;'19_Расчет_аналитики'!AM3596,WeightedMinAge08),MAX(CapacityAge08*'01_Вводные'!$B$218*'19_Расчет_аналитики'!AM3596,MeanMinAge08))),0)</f>
        <v/>
      </c>
      <c r="AN3535">
        <f>IF('01_Вводные'!$B$234="Да",IF(OR(('19_Расчет_аналитики'!AN3451-'19_Расчет_аналитики'!AN3479)=0,8&lt;='01_Вводные'!$B$297),0,('19_Расчет_аналитики'!AN3451-'19_Расчет_аналитики'!AN3479)*IF('01_Вводные'!$B$239="Да",MeanMinAge08+'19_Расчет_аналитики'!AN3596*SUMIF(ThresholdAge08,"&lt;"&amp;'19_Расчет_аналитики'!AN3596,WeightedRevAge08)-SUMIF(ThresholdAge08,"&lt;"&amp;'19_Расчет_аналитики'!AN3596,WeightedMinAge08),MAX(CapacityAge08*'01_Вводные'!$B$218*'19_Расчет_аналитики'!AN3596,MeanMinAge08))),0)</f>
        <v/>
      </c>
      <c r="AO3535">
        <f>IF('01_Вводные'!$B$234="Да",IF(OR(('19_Расчет_аналитики'!AO3451-'19_Расчет_аналитики'!AO3479)=0,8&lt;='01_Вводные'!$B$297),0,('19_Расчет_аналитики'!AO3451-'19_Расчет_аналитики'!AO3479)*IF('01_Вводные'!$B$239="Да",MeanMinAge08+'19_Расчет_аналитики'!AO3596*SUMIF(ThresholdAge08,"&lt;"&amp;'19_Расчет_аналитики'!AO3596,WeightedRevAge08)-SUMIF(ThresholdAge08,"&lt;"&amp;'19_Расчет_аналитики'!AO3596,WeightedMinAge08),MAX(CapacityAge08*'01_Вводные'!$B$218*'19_Расчет_аналитики'!AO3596,MeanMinAge08))),0)</f>
        <v/>
      </c>
      <c r="AP3535">
        <f>IF('01_Вводные'!$B$234="Да",IF(OR(('19_Расчет_аналитики'!AP3451-'19_Расчет_аналитики'!AP3479)=0,8&lt;='01_Вводные'!$B$297),0,('19_Расчет_аналитики'!AP3451-'19_Расчет_аналитики'!AP3479)*IF('01_Вводные'!$B$239="Да",MeanMinAge08+'19_Расчет_аналитики'!AP3596*SUMIF(ThresholdAge08,"&lt;"&amp;'19_Расчет_аналитики'!AP3596,WeightedRevAge08)-SUMIF(ThresholdAge08,"&lt;"&amp;'19_Расчет_аналитики'!AP3596,WeightedMinAge08),MAX(CapacityAge08*'01_Вводные'!$B$218*'19_Расчет_аналитики'!AP3596,MeanMinAge08))),0)</f>
        <v/>
      </c>
      <c r="AQ3535">
        <f>IF('01_Вводные'!$B$234="Да",IF(OR(('19_Расчет_аналитики'!AQ3451-'19_Расчет_аналитики'!AQ3479)=0,8&lt;='01_Вводные'!$B$297),0,('19_Расчет_аналитики'!AQ3451-'19_Расчет_аналитики'!AQ3479)*IF('01_Вводные'!$B$239="Да",MeanMinAge08+'19_Расчет_аналитики'!AQ3596*SUMIF(ThresholdAge08,"&lt;"&amp;'19_Расчет_аналитики'!AQ3596,WeightedRevAge08)-SUMIF(ThresholdAge08,"&lt;"&amp;'19_Расчет_аналитики'!AQ3596,WeightedMinAge08),MAX(CapacityAge08*'01_Вводные'!$B$218*'19_Расчет_аналитики'!AQ3596,MeanMinAge08))),0)</f>
        <v/>
      </c>
      <c r="AR3535">
        <f>IF('01_Вводные'!$B$234="Да",IF(OR(('19_Расчет_аналитики'!AR3451-'19_Расчет_аналитики'!AR3479)=0,8&lt;='01_Вводные'!$B$297),0,('19_Расчет_аналитики'!AR3451-'19_Расчет_аналитики'!AR3479)*IF('01_Вводные'!$B$239="Да",MeanMinAge08+'19_Расчет_аналитики'!AR3596*SUMIF(ThresholdAge08,"&lt;"&amp;'19_Расчет_аналитики'!AR3596,WeightedRevAge08)-SUMIF(ThresholdAge08,"&lt;"&amp;'19_Расчет_аналитики'!AR3596,WeightedMinAge08),MAX(CapacityAge08*'01_Вводные'!$B$218*'19_Расчет_аналитики'!AR3596,MeanMinAge08))),0)</f>
        <v/>
      </c>
      <c r="AS3535">
        <f>IF('01_Вводные'!$B$234="Да",IF(OR(('19_Расчет_аналитики'!AS3451-'19_Расчет_аналитики'!AS3479)=0,8&lt;='01_Вводные'!$B$297),0,('19_Расчет_аналитики'!AS3451-'19_Расчет_аналитики'!AS3479)*IF('01_Вводные'!$B$239="Да",MeanMinAge08+'19_Расчет_аналитики'!AS3596*SUMIF(ThresholdAge08,"&lt;"&amp;'19_Расчет_аналитики'!AS3596,WeightedRevAge08)-SUMIF(ThresholdAge08,"&lt;"&amp;'19_Расчет_аналитики'!AS3596,WeightedMinAge08),MAX(CapacityAge08*'01_Вводные'!$B$218*'19_Расчет_аналитики'!AS3596,MeanMinAge08))),0)</f>
        <v/>
      </c>
      <c r="AT3535">
        <f>IF('01_Вводные'!$B$234="Да",IF(OR(('19_Расчет_аналитики'!AT3451-'19_Расчет_аналитики'!AT3479)=0,8&lt;='01_Вводные'!$B$297),0,('19_Расчет_аналитики'!AT3451-'19_Расчет_аналитики'!AT3479)*IF('01_Вводные'!$B$239="Да",MeanMinAge08+'19_Расчет_аналитики'!AT3596*SUMIF(ThresholdAge08,"&lt;"&amp;'19_Расчет_аналитики'!AT3596,WeightedRevAge08)-SUMIF(ThresholdAge08,"&lt;"&amp;'19_Расчет_аналитики'!AT3596,WeightedMinAge08),MAX(CapacityAge08*'01_Вводные'!$B$218*'19_Расчет_аналитики'!AT3596,MeanMinAge08))),0)</f>
        <v/>
      </c>
      <c r="AU3535">
        <f>IF('01_Вводные'!$B$234="Да",IF(OR(('19_Расчет_аналитики'!AU3451-'19_Расчет_аналитики'!AU3479)=0,8&lt;='01_Вводные'!$B$297),0,('19_Расчет_аналитики'!AU3451-'19_Расчет_аналитики'!AU3479)*IF('01_Вводные'!$B$239="Да",MeanMinAge08+'19_Расчет_аналитики'!AU3596*SUMIF(ThresholdAge08,"&lt;"&amp;'19_Расчет_аналитики'!AU3596,WeightedRevAge08)-SUMIF(ThresholdAge08,"&lt;"&amp;'19_Расчет_аналитики'!AU3596,WeightedMinAge08),MAX(CapacityAge08*'01_Вводные'!$B$218*'19_Расчет_аналитики'!AU3596,MeanMinAge08))),0)</f>
        <v/>
      </c>
      <c r="AV3535">
        <f>IF('01_Вводные'!$B$234="Да",IF(OR(('19_Расчет_аналитики'!AV3451-'19_Расчет_аналитики'!AV3479)=0,8&lt;='01_Вводные'!$B$297),0,('19_Расчет_аналитики'!AV3451-'19_Расчет_аналитики'!AV3479)*IF('01_Вводные'!$B$239="Да",MeanMinAge08+'19_Расчет_аналитики'!AV3596*SUMIF(ThresholdAge08,"&lt;"&amp;'19_Расчет_аналитики'!AV3596,WeightedRevAge08)-SUMIF(ThresholdAge08,"&lt;"&amp;'19_Расчет_аналитики'!AV3596,WeightedMinAge08),MAX(CapacityAge08*'01_Вводные'!$B$218*'19_Расчет_аналитики'!AV3596,MeanMinAge08))),0)</f>
        <v/>
      </c>
      <c r="AW3535">
        <f>IF('01_Вводные'!$B$234="Да",IF(OR(('19_Расчет_аналитики'!AW3451-'19_Расчет_аналитики'!AW3479)=0,8&lt;='01_Вводные'!$B$297),0,('19_Расчет_аналитики'!AW3451-'19_Расчет_аналитики'!AW3479)*IF('01_Вводные'!$B$239="Да",MeanMinAge08+'19_Расчет_аналитики'!AW3596*SUMIF(ThresholdAge08,"&lt;"&amp;'19_Расчет_аналитики'!AW3596,WeightedRevAge08)-SUMIF(ThresholdAge08,"&lt;"&amp;'19_Расчет_аналитики'!AW3596,WeightedMinAge08),MAX(CapacityAge08*'01_Вводные'!$B$218*'19_Расчет_аналитики'!AW3596,MeanMinAge08))),0)</f>
        <v/>
      </c>
      <c r="AX3535">
        <f>IF('01_Вводные'!$B$234="Да",IF(OR(('19_Расчет_аналитики'!AX3451-'19_Расчет_аналитики'!AX3479)=0,8&lt;='01_Вводные'!$B$297),0,('19_Расчет_аналитики'!AX3451-'19_Расчет_аналитики'!AX3479)*IF('01_Вводные'!$B$239="Да",MeanMinAge08+'19_Расчет_аналитики'!AX3596*SUMIF(ThresholdAge08,"&lt;"&amp;'19_Расчет_аналитики'!AX3596,WeightedRevAge08)-SUMIF(ThresholdAge08,"&lt;"&amp;'19_Расчет_аналитики'!AX3596,WeightedMinAge08),MAX(CapacityAge08*'01_Вводные'!$B$218*'19_Расчет_аналитики'!AX3596,MeanMinAge08))),0)</f>
        <v/>
      </c>
      <c r="AY3535">
        <f>IF('01_Вводные'!$B$234="Да",IF(OR(('19_Расчет_аналитики'!AY3451-'19_Расчет_аналитики'!AY3479)=0,8&lt;='01_Вводные'!$B$297),0,('19_Расчет_аналитики'!AY3451-'19_Расчет_аналитики'!AY3479)*IF('01_Вводные'!$B$239="Да",MeanMinAge08+'19_Расчет_аналитики'!AY3596*SUMIF(ThresholdAge08,"&lt;"&amp;'19_Расчет_аналитики'!AY3596,WeightedRevAge08)-SUMIF(ThresholdAge08,"&lt;"&amp;'19_Расчет_аналитики'!AY3596,WeightedMinAge08),MAX(CapacityAge08*'01_Вводные'!$B$218*'19_Расчет_аналитики'!AY3596,MeanMinAge08))),0)</f>
        <v/>
      </c>
      <c r="AZ3535">
        <f>IF('01_Вводные'!$B$234="Да",IF(OR(('19_Расчет_аналитики'!AZ3451-'19_Расчет_аналитики'!AZ3479)=0,8&lt;='01_Вводные'!$B$297),0,('19_Расчет_аналитики'!AZ3451-'19_Расчет_аналитики'!AZ3479)*IF('01_Вводные'!$B$239="Да",MeanMinAge08+'19_Расчет_аналитики'!AZ3596*SUMIF(ThresholdAge08,"&lt;"&amp;'19_Расчет_аналитики'!AZ3596,WeightedRevAge08)-SUMIF(ThresholdAge08,"&lt;"&amp;'19_Расчет_аналитики'!AZ3596,WeightedMinAge08),MAX(CapacityAge08*'01_Вводные'!$B$218*'19_Расчет_аналитики'!AZ3596,MeanMinAge08))),0)</f>
        <v/>
      </c>
      <c r="BA3535">
        <f>IF('01_Вводные'!$B$234="Да",IF(OR(('19_Расчет_аналитики'!BA3451-'19_Расчет_аналитики'!BA3479)=0,8&lt;='01_Вводные'!$B$297),0,('19_Расчет_аналитики'!BA3451-'19_Расчет_аналитики'!BA3479)*IF('01_Вводные'!$B$239="Да",MeanMinAge08+'19_Расчет_аналитики'!BA3596*SUMIF(ThresholdAge08,"&lt;"&amp;'19_Расчет_аналитики'!BA3596,WeightedRevAge08)-SUMIF(ThresholdAge08,"&lt;"&amp;'19_Расчет_аналитики'!BA3596,WeightedMinAge08),MAX(CapacityAge08*'01_Вводные'!$B$218*'19_Расчет_аналитики'!BA3596,MeanMinAge08))),0)</f>
        <v/>
      </c>
      <c r="BB3535">
        <f>IF('01_Вводные'!$B$234="Да",IF(OR(('19_Расчет_аналитики'!BB3451-'19_Расчет_аналитики'!BB3479)=0,8&lt;='01_Вводные'!$B$297),0,('19_Расчет_аналитики'!BB3451-'19_Расчет_аналитики'!BB3479)*IF('01_Вводные'!$B$239="Да",MeanMinAge08+'19_Расчет_аналитики'!BB3596*SUMIF(ThresholdAge08,"&lt;"&amp;'19_Расчет_аналитики'!BB3596,WeightedRevAge08)-SUMIF(ThresholdAge08,"&lt;"&amp;'19_Расчет_аналитики'!BB3596,WeightedMinAge08),MAX(CapacityAge08*'01_Вводные'!$B$218*'19_Расчет_аналитики'!BB3596,MeanMinAge08))),0)</f>
        <v/>
      </c>
      <c r="BC3535">
        <f>IF('01_Вводные'!$B$234="Да",IF(OR(('19_Расчет_аналитики'!BC3451-'19_Расчет_аналитики'!BC3479)=0,8&lt;='01_Вводные'!$B$297),0,('19_Расчет_аналитики'!BC3451-'19_Расчет_аналитики'!BC3479)*IF('01_Вводные'!$B$239="Да",MeanMinAge08+'19_Расчет_аналитики'!BC3596*SUMIF(ThresholdAge08,"&lt;"&amp;'19_Расчет_аналитики'!BC3596,WeightedRevAge08)-SUMIF(ThresholdAge08,"&lt;"&amp;'19_Расчет_аналитики'!BC3596,WeightedMinAge08),MAX(CapacityAge08*'01_Вводные'!$B$218*'19_Расчет_аналитики'!BC3596,MeanMinAge08))),0)</f>
        <v/>
      </c>
      <c r="BD3535">
        <f>IF('01_Вводные'!$B$234="Да",IF(OR(('19_Расчет_аналитики'!BD3451-'19_Расчет_аналитики'!BD3479)=0,8&lt;='01_Вводные'!$B$297),0,('19_Расчет_аналитики'!BD3451-'19_Расчет_аналитики'!BD3479)*IF('01_Вводные'!$B$239="Да",MeanMinAge08+'19_Расчет_аналитики'!BD3596*SUMIF(ThresholdAge08,"&lt;"&amp;'19_Расчет_аналитики'!BD3596,WeightedRevAge08)-SUMIF(ThresholdAge08,"&lt;"&amp;'19_Расчет_аналитики'!BD3596,WeightedMinAge08),MAX(CapacityAge08*'01_Вводные'!$B$218*'19_Расчет_аналитики'!BD3596,MeanMinAge08))),0)</f>
        <v/>
      </c>
      <c r="BE3535">
        <f>IF('01_Вводные'!$B$234="Да",IF(OR(('19_Расчет_аналитики'!BE3451-'19_Расчет_аналитики'!BE3479)=0,8&lt;='01_Вводные'!$B$297),0,('19_Расчет_аналитики'!BE3451-'19_Расчет_аналитики'!BE3479)*IF('01_Вводные'!$B$239="Да",MeanMinAge08+'19_Расчет_аналитики'!BE3596*SUMIF(ThresholdAge08,"&lt;"&amp;'19_Расчет_аналитики'!BE3596,WeightedRevAge08)-SUMIF(ThresholdAge08,"&lt;"&amp;'19_Расчет_аналитики'!BE3596,WeightedMinAge08),MAX(CapacityAge08*'01_Вводные'!$B$218*'19_Расчет_аналитики'!BE3596,MeanMinAge08))),0)</f>
        <v/>
      </c>
      <c r="BF3535">
        <f>IF('01_Вводные'!$B$234="Да",IF(OR(('19_Расчет_аналитики'!BF3451-'19_Расчет_аналитики'!BF3479)=0,8&lt;='01_Вводные'!$B$297),0,('19_Расчет_аналитики'!BF3451-'19_Расчет_аналитики'!BF3479)*IF('01_Вводные'!$B$239="Да",MeanMinAge08+'19_Расчет_аналитики'!BF3596*SUMIF(ThresholdAge08,"&lt;"&amp;'19_Расчет_аналитики'!BF3596,WeightedRevAge08)-SUMIF(ThresholdAge08,"&lt;"&amp;'19_Расчет_аналитики'!BF3596,WeightedMinAge08),MAX(CapacityAge08*'01_Вводные'!$B$218*'19_Расчет_аналитики'!BF3596,MeanMinAge08))),0)</f>
        <v/>
      </c>
      <c r="BG3535">
        <f>IF('01_Вводные'!$B$234="Да",IF(OR(('19_Расчет_аналитики'!BG3451-'19_Расчет_аналитики'!BG3479)=0,8&lt;='01_Вводные'!$B$297),0,('19_Расчет_аналитики'!BG3451-'19_Расчет_аналитики'!BG3479)*IF('01_Вводные'!$B$239="Да",MeanMinAge08+'19_Расчет_аналитики'!BG3596*SUMIF(ThresholdAge08,"&lt;"&amp;'19_Расчет_аналитики'!BG3596,WeightedRevAge08)-SUMIF(ThresholdAge08,"&lt;"&amp;'19_Расчет_аналитики'!BG3596,WeightedMinAge08),MAX(CapacityAge08*'01_Вводные'!$B$218*'19_Расчет_аналитики'!BG3596,MeanMinAge08))),0)</f>
        <v/>
      </c>
      <c r="BH3535">
        <f>IF('01_Вводные'!$B$234="Да",IF(OR(('19_Расчет_аналитики'!BH3451-'19_Расчет_аналитики'!BH3479)=0,8&lt;='01_Вводные'!$B$297),0,('19_Расчет_аналитики'!BH3451-'19_Расчет_аналитики'!BH3479)*IF('01_Вводные'!$B$239="Да",MeanMinAge08+'19_Расчет_аналитики'!BH3596*SUMIF(ThresholdAge08,"&lt;"&amp;'19_Расчет_аналитики'!BH3596,WeightedRevAge08)-SUMIF(ThresholdAge08,"&lt;"&amp;'19_Расчет_аналитики'!BH3596,WeightedMinAge08),MAX(CapacityAge08*'01_Вводные'!$B$218*'19_Расчет_аналитики'!BH3596,MeanMinAge08))),0)</f>
        <v/>
      </c>
      <c r="BI3535">
        <f>IF('01_Вводные'!$B$234="Да",IF(OR(('19_Расчет_аналитики'!BI3451-'19_Расчет_аналитики'!BI3479)=0,8&lt;='01_Вводные'!$B$297),0,('19_Расчет_аналитики'!BI3451-'19_Расчет_аналитики'!BI3479)*IF('01_Вводные'!$B$239="Да",MeanMinAge08+'19_Расчет_аналитики'!BI3596*SUMIF(ThresholdAge08,"&lt;"&amp;'19_Расчет_аналитики'!BI3596,WeightedRevAge08)-SUMIF(ThresholdAge08,"&lt;"&amp;'19_Расчет_аналитики'!BI3596,WeightedMinAge08),MAX(CapacityAge08*'01_Вводные'!$B$218*'19_Расчет_аналитики'!BI3596,MeanMinAge08))),0)</f>
        <v/>
      </c>
      <c r="BJ3535">
        <f>IF('01_Вводные'!$B$234="Да",IF(OR(('19_Расчет_аналитики'!BJ3451-'19_Расчет_аналитики'!BJ3479)=0,8&lt;='01_Вводные'!$B$297),0,('19_Расчет_аналитики'!BJ3451-'19_Расчет_аналитики'!BJ3479)*IF('01_Вводные'!$B$239="Да",MeanMinAge08+'19_Расчет_аналитики'!BJ3596*SUMIF(ThresholdAge08,"&lt;"&amp;'19_Расчет_аналитики'!BJ3596,WeightedRevAge08)-SUMIF(ThresholdAge08,"&lt;"&amp;'19_Расчет_аналитики'!BJ3596,WeightedMinAge08),MAX(CapacityAge08*'01_Вводные'!$B$218*'19_Расчет_аналитики'!BJ3596,MeanMinAge08))),0)</f>
        <v/>
      </c>
      <c r="BK3535">
        <f>IF('01_Вводные'!$B$234="Да",IF(OR(('19_Расчет_аналитики'!BK3451-'19_Расчет_аналитики'!BK3479)=0,8&lt;='01_Вводные'!$B$297),0,('19_Расчет_аналитики'!BK3451-'19_Расчет_аналитики'!BK3479)*IF('01_Вводные'!$B$239="Да",MeanMinAge08+'19_Расчет_аналитики'!BK3596*SUMIF(ThresholdAge08,"&lt;"&amp;'19_Расчет_аналитики'!BK3596,WeightedRevAge08)-SUMIF(ThresholdAge08,"&lt;"&amp;'19_Расчет_аналитики'!BK3596,WeightedMinAge08),MAX(CapacityAge08*'01_Вводные'!$B$218*'19_Расчет_аналитики'!BK3596,MeanMinAge08))),0)</f>
        <v/>
      </c>
      <c r="BL3535">
        <f>IF('01_Вводные'!$B$234="Да",IF(OR(('19_Расчет_аналитики'!BL3451-'19_Расчет_аналитики'!BL3479)=0,8&lt;='01_Вводные'!$B$297),0,('19_Расчет_аналитики'!BL3451-'19_Расчет_аналитики'!BL3479)*IF('01_Вводные'!$B$239="Да",MeanMinAge08+'19_Расчет_аналитики'!BL3596*SUMIF(ThresholdAge08,"&lt;"&amp;'19_Расчет_аналитики'!BL3596,WeightedRevAge08)-SUMIF(ThresholdAge08,"&lt;"&amp;'19_Расчет_аналитики'!BL3596,WeightedMinAge08),MAX(CapacityAge08*'01_Вводные'!$B$218*'19_Расчет_аналитики'!BL3596,MeanMinAge08))),0)</f>
        <v/>
      </c>
      <c r="BM3535">
        <f>IF('01_Вводные'!$B$234="Да",IF(OR(('19_Расчет_аналитики'!BM3451-'19_Расчет_аналитики'!BM3479)=0,8&lt;='01_Вводные'!$B$297),0,('19_Расчет_аналитики'!BM3451-'19_Расчет_аналитики'!BM3479)*IF('01_Вводные'!$B$239="Да",MeanMinAge08+'19_Расчет_аналитики'!BM3596*SUMIF(ThresholdAge08,"&lt;"&amp;'19_Расчет_аналитики'!BM3596,WeightedRevAge08)-SUMIF(ThresholdAge08,"&lt;"&amp;'19_Расчет_аналитики'!BM3596,WeightedMinAge08),MAX(CapacityAge08*'01_Вводные'!$B$218*'19_Расчет_аналитики'!BM3596,MeanMinAge08))),0)</f>
        <v/>
      </c>
      <c r="BN3535">
        <f>IF('01_Вводные'!$B$234="Да",IF(OR(('19_Расчет_аналитики'!BN3451-'19_Расчет_аналитики'!BN3479)=0,8&lt;='01_Вводные'!$B$297),0,('19_Расчет_аналитики'!BN3451-'19_Расчет_аналитики'!BN3479)*IF('01_Вводные'!$B$239="Да",MeanMinAge08+'19_Расчет_аналитики'!BN3596*SUMIF(ThresholdAge08,"&lt;"&amp;'19_Расчет_аналитики'!BN3596,WeightedRevAge08)-SUMIF(ThresholdAge08,"&lt;"&amp;'19_Расчет_аналитики'!BN3596,WeightedMinAge08),MAX(CapacityAge08*'01_Вводные'!$B$218*'19_Расчет_аналитики'!BN3596,MeanMinAge08))),0)</f>
        <v/>
      </c>
      <c r="BO3535">
        <f>IF('01_Вводные'!$B$234="Да",IF(OR(('19_Расчет_аналитики'!BO3451-'19_Расчет_аналитики'!BO3479)=0,8&lt;='01_Вводные'!$B$297),0,('19_Расчет_аналитики'!BO3451-'19_Расчет_аналитики'!BO3479)*IF('01_Вводные'!$B$239="Да",MeanMinAge08+'19_Расчет_аналитики'!BO3596*SUMIF(ThresholdAge08,"&lt;"&amp;'19_Расчет_аналитики'!BO3596,WeightedRevAge08)-SUMIF(ThresholdAge08,"&lt;"&amp;'19_Расчет_аналитики'!BO3596,WeightedMinAge08),MAX(CapacityAge08*'01_Вводные'!$B$218*'19_Расчет_аналитики'!BO3596,MeanMinAge08))),0)</f>
        <v/>
      </c>
    </row>
    <row r="3536">
      <c r="B3536">
        <f>IF('01_Вводные'!$B$234="Да",IF(OR(('06_Сеть_и_дети'!B61-'06_Сеть_и_дети'!B89)=0,9&lt;='01_Вводные'!$B$297),0,('06_Сеть_и_дети'!B61-'06_Сеть_и_дети'!B89)*IF('01_Вводные'!$B$239="Да",MeanMinAge09+'19_Расчет_аналитики'!B3596*SUMIF(ThresholdAge09,"&lt;"&amp;'19_Расчет_аналитики'!B3596,WeightedRevAge09)-SUMIF(ThresholdAge09,"&lt;"&amp;'19_Расчет_аналитики'!B3596,WeightedMinAge09),MAX(CapacityAge09*'01_Вводные'!$B$218*'19_Расчет_аналитики'!B3596,MeanMinAge09))),0)</f>
        <v/>
      </c>
      <c r="C3536">
        <f>IF('01_Вводные'!$B$234="Да",IF(OR(('06_Сеть_и_дети'!C61-'06_Сеть_и_дети'!C89)=0,9&lt;='01_Вводные'!$B$297),0,('06_Сеть_и_дети'!C61-'06_Сеть_и_дети'!C89)*IF('01_Вводные'!$B$239="Да",MeanMinAge09+'19_Расчет_аналитики'!C3596*SUMIF(ThresholdAge09,"&lt;"&amp;'19_Расчет_аналитики'!C3596,WeightedRevAge09)-SUMIF(ThresholdAge09,"&lt;"&amp;'19_Расчет_аналитики'!C3596,WeightedMinAge09),MAX(CapacityAge09*'01_Вводные'!$B$218*'19_Расчет_аналитики'!C3596,MeanMinAge09))),0)</f>
        <v/>
      </c>
      <c r="D3536">
        <f>IF('01_Вводные'!$B$234="Да",IF(OR(('06_Сеть_и_дети'!D61-'06_Сеть_и_дети'!D89)=0,9&lt;='01_Вводные'!$B$297),0,('06_Сеть_и_дети'!D61-'06_Сеть_и_дети'!D89)*IF('01_Вводные'!$B$239="Да",MeanMinAge09+'19_Расчет_аналитики'!D3596*SUMIF(ThresholdAge09,"&lt;"&amp;'19_Расчет_аналитики'!D3596,WeightedRevAge09)-SUMIF(ThresholdAge09,"&lt;"&amp;'19_Расчет_аналитики'!D3596,WeightedMinAge09),MAX(CapacityAge09*'01_Вводные'!$B$218*'19_Расчет_аналитики'!D3596,MeanMinAge09))),0)</f>
        <v/>
      </c>
      <c r="E3536">
        <f>IF('01_Вводные'!$B$234="Да",IF(OR(('06_Сеть_и_дети'!E61-'06_Сеть_и_дети'!E89)=0,9&lt;='01_Вводные'!$B$297),0,('06_Сеть_и_дети'!E61-'06_Сеть_и_дети'!E89)*IF('01_Вводные'!$B$239="Да",MeanMinAge09+'19_Расчет_аналитики'!E3596*SUMIF(ThresholdAge09,"&lt;"&amp;'19_Расчет_аналитики'!E3596,WeightedRevAge09)-SUMIF(ThresholdAge09,"&lt;"&amp;'19_Расчет_аналитики'!E3596,WeightedMinAge09),MAX(CapacityAge09*'01_Вводные'!$B$218*'19_Расчет_аналитики'!E3596,MeanMinAge09))),0)</f>
        <v/>
      </c>
      <c r="F3536">
        <f>IF('01_Вводные'!$B$234="Да",IF(OR(('06_Сеть_и_дети'!F61-'06_Сеть_и_дети'!F89)=0,9&lt;='01_Вводные'!$B$297),0,('06_Сеть_и_дети'!F61-'06_Сеть_и_дети'!F89)*IF('01_Вводные'!$B$239="Да",MeanMinAge09+'19_Расчет_аналитики'!F3596*SUMIF(ThresholdAge09,"&lt;"&amp;'19_Расчет_аналитики'!F3596,WeightedRevAge09)-SUMIF(ThresholdAge09,"&lt;"&amp;'19_Расчет_аналитики'!F3596,WeightedMinAge09),MAX(CapacityAge09*'01_Вводные'!$B$218*'19_Расчет_аналитики'!F3596,MeanMinAge09))),0)</f>
        <v/>
      </c>
      <c r="G3536">
        <f>IF('01_Вводные'!$B$234="Да",IF(OR(('06_Сеть_и_дети'!G61-'06_Сеть_и_дети'!G89)=0,9&lt;='01_Вводные'!$B$297),0,('06_Сеть_и_дети'!G61-'06_Сеть_и_дети'!G89)*IF('01_Вводные'!$B$239="Да",MeanMinAge09+'19_Расчет_аналитики'!G3596*SUMIF(ThresholdAge09,"&lt;"&amp;'19_Расчет_аналитики'!G3596,WeightedRevAge09)-SUMIF(ThresholdAge09,"&lt;"&amp;'19_Расчет_аналитики'!G3596,WeightedMinAge09),MAX(CapacityAge09*'01_Вводные'!$B$218*'19_Расчет_аналитики'!G3596,MeanMinAge09))),0)</f>
        <v/>
      </c>
      <c r="H3536">
        <f>IF('01_Вводные'!$B$234="Да",IF(OR(('06_Сеть_и_дети'!H61-'06_Сеть_и_дети'!H89)=0,9&lt;='01_Вводные'!$B$297),0,('06_Сеть_и_дети'!H61-'06_Сеть_и_дети'!H89)*IF('01_Вводные'!$B$239="Да",MeanMinAge09+'19_Расчет_аналитики'!H3596*SUMIF(ThresholdAge09,"&lt;"&amp;'19_Расчет_аналитики'!H3596,WeightedRevAge09)-SUMIF(ThresholdAge09,"&lt;"&amp;'19_Расчет_аналитики'!H3596,WeightedMinAge09),MAX(CapacityAge09*'01_Вводные'!$B$218*'19_Расчет_аналитики'!H3596,MeanMinAge09))),0)</f>
        <v/>
      </c>
      <c r="I3536">
        <f>IF('01_Вводные'!$B$234="Да",IF(OR(('06_Сеть_и_дети'!I61-'06_Сеть_и_дети'!I89)=0,9&lt;='01_Вводные'!$B$297),0,('06_Сеть_и_дети'!I61-'06_Сеть_и_дети'!I89)*IF('01_Вводные'!$B$239="Да",MeanMinAge09+'19_Расчет_аналитики'!I3596*SUMIF(ThresholdAge09,"&lt;"&amp;'19_Расчет_аналитики'!I3596,WeightedRevAge09)-SUMIF(ThresholdAge09,"&lt;"&amp;'19_Расчет_аналитики'!I3596,WeightedMinAge09),MAX(CapacityAge09*'01_Вводные'!$B$218*'19_Расчет_аналитики'!I3596,MeanMinAge09))),0)</f>
        <v/>
      </c>
      <c r="J3536">
        <f>IF('01_Вводные'!$B$234="Да",IF(OR(('19_Расчет_аналитики'!J3452-'19_Расчет_аналитики'!J3480)=0,9&lt;='01_Вводные'!$B$297),0,('19_Расчет_аналитики'!J3452-'19_Расчет_аналитики'!J3480)*IF('01_Вводные'!$B$239="Да",MeanMinAge09+'19_Расчет_аналитики'!J3596*SUMIF(ThresholdAge09,"&lt;"&amp;'19_Расчет_аналитики'!J3596,WeightedRevAge09)-SUMIF(ThresholdAge09,"&lt;"&amp;'19_Расчет_аналитики'!J3596,WeightedMinAge09),MAX(CapacityAge09*'01_Вводные'!$B$218*'19_Расчет_аналитики'!J3596,MeanMinAge09))),0)</f>
        <v/>
      </c>
      <c r="K3536">
        <f>IF('01_Вводные'!$B$234="Да",IF(OR(('19_Расчет_аналитики'!K3452-'19_Расчет_аналитики'!K3480)=0,9&lt;='01_Вводные'!$B$297),0,('19_Расчет_аналитики'!K3452-'19_Расчет_аналитики'!K3480)*IF('01_Вводные'!$B$239="Да",MeanMinAge09+'19_Расчет_аналитики'!K3596*SUMIF(ThresholdAge09,"&lt;"&amp;'19_Расчет_аналитики'!K3596,WeightedRevAge09)-SUMIF(ThresholdAge09,"&lt;"&amp;'19_Расчет_аналитики'!K3596,WeightedMinAge09),MAX(CapacityAge09*'01_Вводные'!$B$218*'19_Расчет_аналитики'!K3596,MeanMinAge09))),0)</f>
        <v/>
      </c>
      <c r="L3536">
        <f>IF('01_Вводные'!$B$234="Да",IF(OR(('19_Расчет_аналитики'!L3452-'19_Расчет_аналитики'!L3480)=0,9&lt;='01_Вводные'!$B$297),0,('19_Расчет_аналитики'!L3452-'19_Расчет_аналитики'!L3480)*IF('01_Вводные'!$B$239="Да",MeanMinAge09+'19_Расчет_аналитики'!L3596*SUMIF(ThresholdAge09,"&lt;"&amp;'19_Расчет_аналитики'!L3596,WeightedRevAge09)-SUMIF(ThresholdAge09,"&lt;"&amp;'19_Расчет_аналитики'!L3596,WeightedMinAge09),MAX(CapacityAge09*'01_Вводные'!$B$218*'19_Расчет_аналитики'!L3596,MeanMinAge09))),0)</f>
        <v/>
      </c>
      <c r="M3536">
        <f>IF('01_Вводные'!$B$234="Да",IF(OR(('19_Расчет_аналитики'!M3452-'19_Расчет_аналитики'!M3480)=0,9&lt;='01_Вводные'!$B$297),0,('19_Расчет_аналитики'!M3452-'19_Расчет_аналитики'!M3480)*IF('01_Вводные'!$B$239="Да",MeanMinAge09+'19_Расчет_аналитики'!M3596*SUMIF(ThresholdAge09,"&lt;"&amp;'19_Расчет_аналитики'!M3596,WeightedRevAge09)-SUMIF(ThresholdAge09,"&lt;"&amp;'19_Расчет_аналитики'!M3596,WeightedMinAge09),MAX(CapacityAge09*'01_Вводные'!$B$218*'19_Расчет_аналитики'!M3596,MeanMinAge09))),0)</f>
        <v/>
      </c>
      <c r="N3536">
        <f>IF('01_Вводные'!$B$234="Да",IF(OR(('19_Расчет_аналитики'!N3452-'19_Расчет_аналитики'!N3480)=0,9&lt;='01_Вводные'!$B$297),0,('19_Расчет_аналитики'!N3452-'19_Расчет_аналитики'!N3480)*IF('01_Вводные'!$B$239="Да",MeanMinAge09+'19_Расчет_аналитики'!N3596*SUMIF(ThresholdAge09,"&lt;"&amp;'19_Расчет_аналитики'!N3596,WeightedRevAge09)-SUMIF(ThresholdAge09,"&lt;"&amp;'19_Расчет_аналитики'!N3596,WeightedMinAge09),MAX(CapacityAge09*'01_Вводные'!$B$218*'19_Расчет_аналитики'!N3596,MeanMinAge09))),0)</f>
        <v/>
      </c>
      <c r="O3536">
        <f>IF('01_Вводные'!$B$234="Да",IF(OR(('19_Расчет_аналитики'!O3452-'19_Расчет_аналитики'!O3480)=0,9&lt;='01_Вводные'!$B$297),0,('19_Расчет_аналитики'!O3452-'19_Расчет_аналитики'!O3480)*IF('01_Вводные'!$B$239="Да",MeanMinAge09+'19_Расчет_аналитики'!O3596*SUMIF(ThresholdAge09,"&lt;"&amp;'19_Расчет_аналитики'!O3596,WeightedRevAge09)-SUMIF(ThresholdAge09,"&lt;"&amp;'19_Расчет_аналитики'!O3596,WeightedMinAge09),MAX(CapacityAge09*'01_Вводные'!$B$218*'19_Расчет_аналитики'!O3596,MeanMinAge09))),0)</f>
        <v/>
      </c>
      <c r="P3536">
        <f>IF('01_Вводные'!$B$234="Да",IF(OR(('19_Расчет_аналитики'!P3452-'19_Расчет_аналитики'!P3480)=0,9&lt;='01_Вводные'!$B$297),0,('19_Расчет_аналитики'!P3452-'19_Расчет_аналитики'!P3480)*IF('01_Вводные'!$B$239="Да",MeanMinAge09+'19_Расчет_аналитики'!P3596*SUMIF(ThresholdAge09,"&lt;"&amp;'19_Расчет_аналитики'!P3596,WeightedRevAge09)-SUMIF(ThresholdAge09,"&lt;"&amp;'19_Расчет_аналитики'!P3596,WeightedMinAge09),MAX(CapacityAge09*'01_Вводные'!$B$218*'19_Расчет_аналитики'!P3596,MeanMinAge09))),0)</f>
        <v/>
      </c>
      <c r="Q3536">
        <f>IF('01_Вводные'!$B$234="Да",IF(OR(('19_Расчет_аналитики'!Q3452-'19_Расчет_аналитики'!Q3480)=0,9&lt;='01_Вводные'!$B$297),0,('19_Расчет_аналитики'!Q3452-'19_Расчет_аналитики'!Q3480)*IF('01_Вводные'!$B$239="Да",MeanMinAge09+'19_Расчет_аналитики'!Q3596*SUMIF(ThresholdAge09,"&lt;"&amp;'19_Расчет_аналитики'!Q3596,WeightedRevAge09)-SUMIF(ThresholdAge09,"&lt;"&amp;'19_Расчет_аналитики'!Q3596,WeightedMinAge09),MAX(CapacityAge09*'01_Вводные'!$B$218*'19_Расчет_аналитики'!Q3596,MeanMinAge09))),0)</f>
        <v/>
      </c>
      <c r="R3536">
        <f>IF('01_Вводные'!$B$234="Да",IF(OR(('19_Расчет_аналитики'!R3452-'19_Расчет_аналитики'!R3480)=0,9&lt;='01_Вводные'!$B$297),0,('19_Расчет_аналитики'!R3452-'19_Расчет_аналитики'!R3480)*IF('01_Вводные'!$B$239="Да",MeanMinAge09+'19_Расчет_аналитики'!R3596*SUMIF(ThresholdAge09,"&lt;"&amp;'19_Расчет_аналитики'!R3596,WeightedRevAge09)-SUMIF(ThresholdAge09,"&lt;"&amp;'19_Расчет_аналитики'!R3596,WeightedMinAge09),MAX(CapacityAge09*'01_Вводные'!$B$218*'19_Расчет_аналитики'!R3596,MeanMinAge09))),0)</f>
        <v/>
      </c>
      <c r="S3536">
        <f>IF('01_Вводные'!$B$234="Да",IF(OR(('19_Расчет_аналитики'!S3452-'19_Расчет_аналитики'!S3480)=0,9&lt;='01_Вводные'!$B$297),0,('19_Расчет_аналитики'!S3452-'19_Расчет_аналитики'!S3480)*IF('01_Вводные'!$B$239="Да",MeanMinAge09+'19_Расчет_аналитики'!S3596*SUMIF(ThresholdAge09,"&lt;"&amp;'19_Расчет_аналитики'!S3596,WeightedRevAge09)-SUMIF(ThresholdAge09,"&lt;"&amp;'19_Расчет_аналитики'!S3596,WeightedMinAge09),MAX(CapacityAge09*'01_Вводные'!$B$218*'19_Расчет_аналитики'!S3596,MeanMinAge09))),0)</f>
        <v/>
      </c>
      <c r="T3536">
        <f>IF('01_Вводные'!$B$234="Да",IF(OR(('19_Расчет_аналитики'!T3452-'19_Расчет_аналитики'!T3480)=0,9&lt;='01_Вводные'!$B$297),0,('19_Расчет_аналитики'!T3452-'19_Расчет_аналитики'!T3480)*IF('01_Вводные'!$B$239="Да",MeanMinAge09+'19_Расчет_аналитики'!T3596*SUMIF(ThresholdAge09,"&lt;"&amp;'19_Расчет_аналитики'!T3596,WeightedRevAge09)-SUMIF(ThresholdAge09,"&lt;"&amp;'19_Расчет_аналитики'!T3596,WeightedMinAge09),MAX(CapacityAge09*'01_Вводные'!$B$218*'19_Расчет_аналитики'!T3596,MeanMinAge09))),0)</f>
        <v/>
      </c>
      <c r="U3536">
        <f>IF('01_Вводные'!$B$234="Да",IF(OR(('19_Расчет_аналитики'!U3452-'19_Расчет_аналитики'!U3480)=0,9&lt;='01_Вводные'!$B$297),0,('19_Расчет_аналитики'!U3452-'19_Расчет_аналитики'!U3480)*IF('01_Вводные'!$B$239="Да",MeanMinAge09+'19_Расчет_аналитики'!U3596*SUMIF(ThresholdAge09,"&lt;"&amp;'19_Расчет_аналитики'!U3596,WeightedRevAge09)-SUMIF(ThresholdAge09,"&lt;"&amp;'19_Расчет_аналитики'!U3596,WeightedMinAge09),MAX(CapacityAge09*'01_Вводные'!$B$218*'19_Расчет_аналитики'!U3596,MeanMinAge09))),0)</f>
        <v/>
      </c>
      <c r="V3536">
        <f>IF('01_Вводные'!$B$234="Да",IF(OR(('19_Расчет_аналитики'!V3452-'19_Расчет_аналитики'!V3480)=0,9&lt;='01_Вводные'!$B$297),0,('19_Расчет_аналитики'!V3452-'19_Расчет_аналитики'!V3480)*IF('01_Вводные'!$B$239="Да",MeanMinAge09+'19_Расчет_аналитики'!V3596*SUMIF(ThresholdAge09,"&lt;"&amp;'19_Расчет_аналитики'!V3596,WeightedRevAge09)-SUMIF(ThresholdAge09,"&lt;"&amp;'19_Расчет_аналитики'!V3596,WeightedMinAge09),MAX(CapacityAge09*'01_Вводные'!$B$218*'19_Расчет_аналитики'!V3596,MeanMinAge09))),0)</f>
        <v/>
      </c>
      <c r="W3536">
        <f>IF('01_Вводные'!$B$234="Да",IF(OR(('19_Расчет_аналитики'!W3452-'19_Расчет_аналитики'!W3480)=0,9&lt;='01_Вводные'!$B$297),0,('19_Расчет_аналитики'!W3452-'19_Расчет_аналитики'!W3480)*IF('01_Вводные'!$B$239="Да",MeanMinAge09+'19_Расчет_аналитики'!W3596*SUMIF(ThresholdAge09,"&lt;"&amp;'19_Расчет_аналитики'!W3596,WeightedRevAge09)-SUMIF(ThresholdAge09,"&lt;"&amp;'19_Расчет_аналитики'!W3596,WeightedMinAge09),MAX(CapacityAge09*'01_Вводные'!$B$218*'19_Расчет_аналитики'!W3596,MeanMinAge09))),0)</f>
        <v/>
      </c>
      <c r="X3536">
        <f>IF('01_Вводные'!$B$234="Да",IF(OR(('19_Расчет_аналитики'!X3452-'19_Расчет_аналитики'!X3480)=0,9&lt;='01_Вводные'!$B$297),0,('19_Расчет_аналитики'!X3452-'19_Расчет_аналитики'!X3480)*IF('01_Вводные'!$B$239="Да",MeanMinAge09+'19_Расчет_аналитики'!X3596*SUMIF(ThresholdAge09,"&lt;"&amp;'19_Расчет_аналитики'!X3596,WeightedRevAge09)-SUMIF(ThresholdAge09,"&lt;"&amp;'19_Расчет_аналитики'!X3596,WeightedMinAge09),MAX(CapacityAge09*'01_Вводные'!$B$218*'19_Расчет_аналитики'!X3596,MeanMinAge09))),0)</f>
        <v/>
      </c>
      <c r="Y3536">
        <f>IF('01_Вводные'!$B$234="Да",IF(OR(('19_Расчет_аналитики'!Y3452-'19_Расчет_аналитики'!Y3480)=0,9&lt;='01_Вводные'!$B$297),0,('19_Расчет_аналитики'!Y3452-'19_Расчет_аналитики'!Y3480)*IF('01_Вводные'!$B$239="Да",MeanMinAge09+'19_Расчет_аналитики'!Y3596*SUMIF(ThresholdAge09,"&lt;"&amp;'19_Расчет_аналитики'!Y3596,WeightedRevAge09)-SUMIF(ThresholdAge09,"&lt;"&amp;'19_Расчет_аналитики'!Y3596,WeightedMinAge09),MAX(CapacityAge09*'01_Вводные'!$B$218*'19_Расчет_аналитики'!Y3596,MeanMinAge09))),0)</f>
        <v/>
      </c>
      <c r="Z3536">
        <f>IF('01_Вводные'!$B$234="Да",IF(OR(('19_Расчет_аналитики'!Z3452-'19_Расчет_аналитики'!Z3480)=0,9&lt;='01_Вводные'!$B$297),0,('19_Расчет_аналитики'!Z3452-'19_Расчет_аналитики'!Z3480)*IF('01_Вводные'!$B$239="Да",MeanMinAge09+'19_Расчет_аналитики'!Z3596*SUMIF(ThresholdAge09,"&lt;"&amp;'19_Расчет_аналитики'!Z3596,WeightedRevAge09)-SUMIF(ThresholdAge09,"&lt;"&amp;'19_Расчет_аналитики'!Z3596,WeightedMinAge09),MAX(CapacityAge09*'01_Вводные'!$B$218*'19_Расчет_аналитики'!Z3596,MeanMinAge09))),0)</f>
        <v/>
      </c>
      <c r="AA3536">
        <f>IF('01_Вводные'!$B$234="Да",IF(OR(('19_Расчет_аналитики'!AA3452-'19_Расчет_аналитики'!AA3480)=0,9&lt;='01_Вводные'!$B$297),0,('19_Расчет_аналитики'!AA3452-'19_Расчет_аналитики'!AA3480)*IF('01_Вводные'!$B$239="Да",MeanMinAge09+'19_Расчет_аналитики'!AA3596*SUMIF(ThresholdAge09,"&lt;"&amp;'19_Расчет_аналитики'!AA3596,WeightedRevAge09)-SUMIF(ThresholdAge09,"&lt;"&amp;'19_Расчет_аналитики'!AA3596,WeightedMinAge09),MAX(CapacityAge09*'01_Вводные'!$B$218*'19_Расчет_аналитики'!AA3596,MeanMinAge09))),0)</f>
        <v/>
      </c>
      <c r="AB3536">
        <f>IF('01_Вводные'!$B$234="Да",IF(OR(('19_Расчет_аналитики'!AB3452-'19_Расчет_аналитики'!AB3480)=0,9&lt;='01_Вводные'!$B$297),0,('19_Расчет_аналитики'!AB3452-'19_Расчет_аналитики'!AB3480)*IF('01_Вводные'!$B$239="Да",MeanMinAge09+'19_Расчет_аналитики'!AB3596*SUMIF(ThresholdAge09,"&lt;"&amp;'19_Расчет_аналитики'!AB3596,WeightedRevAge09)-SUMIF(ThresholdAge09,"&lt;"&amp;'19_Расчет_аналитики'!AB3596,WeightedMinAge09),MAX(CapacityAge09*'01_Вводные'!$B$218*'19_Расчет_аналитики'!AB3596,MeanMinAge09))),0)</f>
        <v/>
      </c>
      <c r="AC3536">
        <f>IF('01_Вводные'!$B$234="Да",IF(OR(('19_Расчет_аналитики'!AC3452-'19_Расчет_аналитики'!AC3480)=0,9&lt;='01_Вводные'!$B$297),0,('19_Расчет_аналитики'!AC3452-'19_Расчет_аналитики'!AC3480)*IF('01_Вводные'!$B$239="Да",MeanMinAge09+'19_Расчет_аналитики'!AC3596*SUMIF(ThresholdAge09,"&lt;"&amp;'19_Расчет_аналитики'!AC3596,WeightedRevAge09)-SUMIF(ThresholdAge09,"&lt;"&amp;'19_Расчет_аналитики'!AC3596,WeightedMinAge09),MAX(CapacityAge09*'01_Вводные'!$B$218*'19_Расчет_аналитики'!AC3596,MeanMinAge09))),0)</f>
        <v/>
      </c>
      <c r="AD3536">
        <f>IF('01_Вводные'!$B$234="Да",IF(OR(('19_Расчет_аналитики'!AD3452-'19_Расчет_аналитики'!AD3480)=0,9&lt;='01_Вводные'!$B$297),0,('19_Расчет_аналитики'!AD3452-'19_Расчет_аналитики'!AD3480)*IF('01_Вводные'!$B$239="Да",MeanMinAge09+'19_Расчет_аналитики'!AD3596*SUMIF(ThresholdAge09,"&lt;"&amp;'19_Расчет_аналитики'!AD3596,WeightedRevAge09)-SUMIF(ThresholdAge09,"&lt;"&amp;'19_Расчет_аналитики'!AD3596,WeightedMinAge09),MAX(CapacityAge09*'01_Вводные'!$B$218*'19_Расчет_аналитики'!AD3596,MeanMinAge09))),0)</f>
        <v/>
      </c>
      <c r="AE3536">
        <f>IF('01_Вводные'!$B$234="Да",IF(OR(('19_Расчет_аналитики'!AE3452-'19_Расчет_аналитики'!AE3480)=0,9&lt;='01_Вводные'!$B$297),0,('19_Расчет_аналитики'!AE3452-'19_Расчет_аналитики'!AE3480)*IF('01_Вводные'!$B$239="Да",MeanMinAge09+'19_Расчет_аналитики'!AE3596*SUMIF(ThresholdAge09,"&lt;"&amp;'19_Расчет_аналитики'!AE3596,WeightedRevAge09)-SUMIF(ThresholdAge09,"&lt;"&amp;'19_Расчет_аналитики'!AE3596,WeightedMinAge09),MAX(CapacityAge09*'01_Вводные'!$B$218*'19_Расчет_аналитики'!AE3596,MeanMinAge09))),0)</f>
        <v/>
      </c>
      <c r="AF3536">
        <f>IF('01_Вводные'!$B$234="Да",IF(OR(('19_Расчет_аналитики'!AF3452-'19_Расчет_аналитики'!AF3480)=0,9&lt;='01_Вводные'!$B$297),0,('19_Расчет_аналитики'!AF3452-'19_Расчет_аналитики'!AF3480)*IF('01_Вводные'!$B$239="Да",MeanMinAge09+'19_Расчет_аналитики'!AF3596*SUMIF(ThresholdAge09,"&lt;"&amp;'19_Расчет_аналитики'!AF3596,WeightedRevAge09)-SUMIF(ThresholdAge09,"&lt;"&amp;'19_Расчет_аналитики'!AF3596,WeightedMinAge09),MAX(CapacityAge09*'01_Вводные'!$B$218*'19_Расчет_аналитики'!AF3596,MeanMinAge09))),0)</f>
        <v/>
      </c>
      <c r="AG3536">
        <f>IF('01_Вводные'!$B$234="Да",IF(OR(('19_Расчет_аналитики'!AG3452-'19_Расчет_аналитики'!AG3480)=0,9&lt;='01_Вводные'!$B$297),0,('19_Расчет_аналитики'!AG3452-'19_Расчет_аналитики'!AG3480)*IF('01_Вводные'!$B$239="Да",MeanMinAge09+'19_Расчет_аналитики'!AG3596*SUMIF(ThresholdAge09,"&lt;"&amp;'19_Расчет_аналитики'!AG3596,WeightedRevAge09)-SUMIF(ThresholdAge09,"&lt;"&amp;'19_Расчет_аналитики'!AG3596,WeightedMinAge09),MAX(CapacityAge09*'01_Вводные'!$B$218*'19_Расчет_аналитики'!AG3596,MeanMinAge09))),0)</f>
        <v/>
      </c>
      <c r="AH3536">
        <f>IF('01_Вводные'!$B$234="Да",IF(OR(('19_Расчет_аналитики'!AH3452-'19_Расчет_аналитики'!AH3480)=0,9&lt;='01_Вводные'!$B$297),0,('19_Расчет_аналитики'!AH3452-'19_Расчет_аналитики'!AH3480)*IF('01_Вводные'!$B$239="Да",MeanMinAge09+'19_Расчет_аналитики'!AH3596*SUMIF(ThresholdAge09,"&lt;"&amp;'19_Расчет_аналитики'!AH3596,WeightedRevAge09)-SUMIF(ThresholdAge09,"&lt;"&amp;'19_Расчет_аналитики'!AH3596,WeightedMinAge09),MAX(CapacityAge09*'01_Вводные'!$B$218*'19_Расчет_аналитики'!AH3596,MeanMinAge09))),0)</f>
        <v/>
      </c>
      <c r="AI3536">
        <f>IF('01_Вводные'!$B$234="Да",IF(OR(('19_Расчет_аналитики'!AI3452-'19_Расчет_аналитики'!AI3480)=0,9&lt;='01_Вводные'!$B$297),0,('19_Расчет_аналитики'!AI3452-'19_Расчет_аналитики'!AI3480)*IF('01_Вводные'!$B$239="Да",MeanMinAge09+'19_Расчет_аналитики'!AI3596*SUMIF(ThresholdAge09,"&lt;"&amp;'19_Расчет_аналитики'!AI3596,WeightedRevAge09)-SUMIF(ThresholdAge09,"&lt;"&amp;'19_Расчет_аналитики'!AI3596,WeightedMinAge09),MAX(CapacityAge09*'01_Вводные'!$B$218*'19_Расчет_аналитики'!AI3596,MeanMinAge09))),0)</f>
        <v/>
      </c>
      <c r="AJ3536">
        <f>IF('01_Вводные'!$B$234="Да",IF(OR(('19_Расчет_аналитики'!AJ3452-'19_Расчет_аналитики'!AJ3480)=0,9&lt;='01_Вводные'!$B$297),0,('19_Расчет_аналитики'!AJ3452-'19_Расчет_аналитики'!AJ3480)*IF('01_Вводные'!$B$239="Да",MeanMinAge09+'19_Расчет_аналитики'!AJ3596*SUMIF(ThresholdAge09,"&lt;"&amp;'19_Расчет_аналитики'!AJ3596,WeightedRevAge09)-SUMIF(ThresholdAge09,"&lt;"&amp;'19_Расчет_аналитики'!AJ3596,WeightedMinAge09),MAX(CapacityAge09*'01_Вводные'!$B$218*'19_Расчет_аналитики'!AJ3596,MeanMinAge09))),0)</f>
        <v/>
      </c>
      <c r="AK3536">
        <f>IF('01_Вводные'!$B$234="Да",IF(OR(('19_Расчет_аналитики'!AK3452-'19_Расчет_аналитики'!AK3480)=0,9&lt;='01_Вводные'!$B$297),0,('19_Расчет_аналитики'!AK3452-'19_Расчет_аналитики'!AK3480)*IF('01_Вводные'!$B$239="Да",MeanMinAge09+'19_Расчет_аналитики'!AK3596*SUMIF(ThresholdAge09,"&lt;"&amp;'19_Расчет_аналитики'!AK3596,WeightedRevAge09)-SUMIF(ThresholdAge09,"&lt;"&amp;'19_Расчет_аналитики'!AK3596,WeightedMinAge09),MAX(CapacityAge09*'01_Вводные'!$B$218*'19_Расчет_аналитики'!AK3596,MeanMinAge09))),0)</f>
        <v/>
      </c>
      <c r="AL3536">
        <f>IF('01_Вводные'!$B$234="Да",IF(OR(('19_Расчет_аналитики'!AL3452-'19_Расчет_аналитики'!AL3480)=0,9&lt;='01_Вводные'!$B$297),0,('19_Расчет_аналитики'!AL3452-'19_Расчет_аналитики'!AL3480)*IF('01_Вводные'!$B$239="Да",MeanMinAge09+'19_Расчет_аналитики'!AL3596*SUMIF(ThresholdAge09,"&lt;"&amp;'19_Расчет_аналитики'!AL3596,WeightedRevAge09)-SUMIF(ThresholdAge09,"&lt;"&amp;'19_Расчет_аналитики'!AL3596,WeightedMinAge09),MAX(CapacityAge09*'01_Вводные'!$B$218*'19_Расчет_аналитики'!AL3596,MeanMinAge09))),0)</f>
        <v/>
      </c>
      <c r="AM3536">
        <f>IF('01_Вводные'!$B$234="Да",IF(OR(('19_Расчет_аналитики'!AM3452-'19_Расчет_аналитики'!AM3480)=0,9&lt;='01_Вводные'!$B$297),0,('19_Расчет_аналитики'!AM3452-'19_Расчет_аналитики'!AM3480)*IF('01_Вводные'!$B$239="Да",MeanMinAge09+'19_Расчет_аналитики'!AM3596*SUMIF(ThresholdAge09,"&lt;"&amp;'19_Расчет_аналитики'!AM3596,WeightedRevAge09)-SUMIF(ThresholdAge09,"&lt;"&amp;'19_Расчет_аналитики'!AM3596,WeightedMinAge09),MAX(CapacityAge09*'01_Вводные'!$B$218*'19_Расчет_аналитики'!AM3596,MeanMinAge09))),0)</f>
        <v/>
      </c>
      <c r="AN3536">
        <f>IF('01_Вводные'!$B$234="Да",IF(OR(('19_Расчет_аналитики'!AN3452-'19_Расчет_аналитики'!AN3480)=0,9&lt;='01_Вводные'!$B$297),0,('19_Расчет_аналитики'!AN3452-'19_Расчет_аналитики'!AN3480)*IF('01_Вводные'!$B$239="Да",MeanMinAge09+'19_Расчет_аналитики'!AN3596*SUMIF(ThresholdAge09,"&lt;"&amp;'19_Расчет_аналитики'!AN3596,WeightedRevAge09)-SUMIF(ThresholdAge09,"&lt;"&amp;'19_Расчет_аналитики'!AN3596,WeightedMinAge09),MAX(CapacityAge09*'01_Вводные'!$B$218*'19_Расчет_аналитики'!AN3596,MeanMinAge09))),0)</f>
        <v/>
      </c>
      <c r="AO3536">
        <f>IF('01_Вводные'!$B$234="Да",IF(OR(('19_Расчет_аналитики'!AO3452-'19_Расчет_аналитики'!AO3480)=0,9&lt;='01_Вводные'!$B$297),0,('19_Расчет_аналитики'!AO3452-'19_Расчет_аналитики'!AO3480)*IF('01_Вводные'!$B$239="Да",MeanMinAge09+'19_Расчет_аналитики'!AO3596*SUMIF(ThresholdAge09,"&lt;"&amp;'19_Расчет_аналитики'!AO3596,WeightedRevAge09)-SUMIF(ThresholdAge09,"&lt;"&amp;'19_Расчет_аналитики'!AO3596,WeightedMinAge09),MAX(CapacityAge09*'01_Вводные'!$B$218*'19_Расчет_аналитики'!AO3596,MeanMinAge09))),0)</f>
        <v/>
      </c>
      <c r="AP3536">
        <f>IF('01_Вводные'!$B$234="Да",IF(OR(('19_Расчет_аналитики'!AP3452-'19_Расчет_аналитики'!AP3480)=0,9&lt;='01_Вводные'!$B$297),0,('19_Расчет_аналитики'!AP3452-'19_Расчет_аналитики'!AP3480)*IF('01_Вводные'!$B$239="Да",MeanMinAge09+'19_Расчет_аналитики'!AP3596*SUMIF(ThresholdAge09,"&lt;"&amp;'19_Расчет_аналитики'!AP3596,WeightedRevAge09)-SUMIF(ThresholdAge09,"&lt;"&amp;'19_Расчет_аналитики'!AP3596,WeightedMinAge09),MAX(CapacityAge09*'01_Вводные'!$B$218*'19_Расчет_аналитики'!AP3596,MeanMinAge09))),0)</f>
        <v/>
      </c>
      <c r="AQ3536">
        <f>IF('01_Вводные'!$B$234="Да",IF(OR(('19_Расчет_аналитики'!AQ3452-'19_Расчет_аналитики'!AQ3480)=0,9&lt;='01_Вводные'!$B$297),0,('19_Расчет_аналитики'!AQ3452-'19_Расчет_аналитики'!AQ3480)*IF('01_Вводные'!$B$239="Да",MeanMinAge09+'19_Расчет_аналитики'!AQ3596*SUMIF(ThresholdAge09,"&lt;"&amp;'19_Расчет_аналитики'!AQ3596,WeightedRevAge09)-SUMIF(ThresholdAge09,"&lt;"&amp;'19_Расчет_аналитики'!AQ3596,WeightedMinAge09),MAX(CapacityAge09*'01_Вводные'!$B$218*'19_Расчет_аналитики'!AQ3596,MeanMinAge09))),0)</f>
        <v/>
      </c>
      <c r="AR3536">
        <f>IF('01_Вводные'!$B$234="Да",IF(OR(('19_Расчет_аналитики'!AR3452-'19_Расчет_аналитики'!AR3480)=0,9&lt;='01_Вводные'!$B$297),0,('19_Расчет_аналитики'!AR3452-'19_Расчет_аналитики'!AR3480)*IF('01_Вводные'!$B$239="Да",MeanMinAge09+'19_Расчет_аналитики'!AR3596*SUMIF(ThresholdAge09,"&lt;"&amp;'19_Расчет_аналитики'!AR3596,WeightedRevAge09)-SUMIF(ThresholdAge09,"&lt;"&amp;'19_Расчет_аналитики'!AR3596,WeightedMinAge09),MAX(CapacityAge09*'01_Вводные'!$B$218*'19_Расчет_аналитики'!AR3596,MeanMinAge09))),0)</f>
        <v/>
      </c>
      <c r="AS3536">
        <f>IF('01_Вводные'!$B$234="Да",IF(OR(('19_Расчет_аналитики'!AS3452-'19_Расчет_аналитики'!AS3480)=0,9&lt;='01_Вводные'!$B$297),0,('19_Расчет_аналитики'!AS3452-'19_Расчет_аналитики'!AS3480)*IF('01_Вводные'!$B$239="Да",MeanMinAge09+'19_Расчет_аналитики'!AS3596*SUMIF(ThresholdAge09,"&lt;"&amp;'19_Расчет_аналитики'!AS3596,WeightedRevAge09)-SUMIF(ThresholdAge09,"&lt;"&amp;'19_Расчет_аналитики'!AS3596,WeightedMinAge09),MAX(CapacityAge09*'01_Вводные'!$B$218*'19_Расчет_аналитики'!AS3596,MeanMinAge09))),0)</f>
        <v/>
      </c>
      <c r="AT3536">
        <f>IF('01_Вводные'!$B$234="Да",IF(OR(('19_Расчет_аналитики'!AT3452-'19_Расчет_аналитики'!AT3480)=0,9&lt;='01_Вводные'!$B$297),0,('19_Расчет_аналитики'!AT3452-'19_Расчет_аналитики'!AT3480)*IF('01_Вводные'!$B$239="Да",MeanMinAge09+'19_Расчет_аналитики'!AT3596*SUMIF(ThresholdAge09,"&lt;"&amp;'19_Расчет_аналитики'!AT3596,WeightedRevAge09)-SUMIF(ThresholdAge09,"&lt;"&amp;'19_Расчет_аналитики'!AT3596,WeightedMinAge09),MAX(CapacityAge09*'01_Вводные'!$B$218*'19_Расчет_аналитики'!AT3596,MeanMinAge09))),0)</f>
        <v/>
      </c>
      <c r="AU3536">
        <f>IF('01_Вводные'!$B$234="Да",IF(OR(('19_Расчет_аналитики'!AU3452-'19_Расчет_аналитики'!AU3480)=0,9&lt;='01_Вводные'!$B$297),0,('19_Расчет_аналитики'!AU3452-'19_Расчет_аналитики'!AU3480)*IF('01_Вводные'!$B$239="Да",MeanMinAge09+'19_Расчет_аналитики'!AU3596*SUMIF(ThresholdAge09,"&lt;"&amp;'19_Расчет_аналитики'!AU3596,WeightedRevAge09)-SUMIF(ThresholdAge09,"&lt;"&amp;'19_Расчет_аналитики'!AU3596,WeightedMinAge09),MAX(CapacityAge09*'01_Вводные'!$B$218*'19_Расчет_аналитики'!AU3596,MeanMinAge09))),0)</f>
        <v/>
      </c>
      <c r="AV3536">
        <f>IF('01_Вводные'!$B$234="Да",IF(OR(('19_Расчет_аналитики'!AV3452-'19_Расчет_аналитики'!AV3480)=0,9&lt;='01_Вводные'!$B$297),0,('19_Расчет_аналитики'!AV3452-'19_Расчет_аналитики'!AV3480)*IF('01_Вводные'!$B$239="Да",MeanMinAge09+'19_Расчет_аналитики'!AV3596*SUMIF(ThresholdAge09,"&lt;"&amp;'19_Расчет_аналитики'!AV3596,WeightedRevAge09)-SUMIF(ThresholdAge09,"&lt;"&amp;'19_Расчет_аналитики'!AV3596,WeightedMinAge09),MAX(CapacityAge09*'01_Вводные'!$B$218*'19_Расчет_аналитики'!AV3596,MeanMinAge09))),0)</f>
        <v/>
      </c>
      <c r="AW3536">
        <f>IF('01_Вводные'!$B$234="Да",IF(OR(('19_Расчет_аналитики'!AW3452-'19_Расчет_аналитики'!AW3480)=0,9&lt;='01_Вводные'!$B$297),0,('19_Расчет_аналитики'!AW3452-'19_Расчет_аналитики'!AW3480)*IF('01_Вводные'!$B$239="Да",MeanMinAge09+'19_Расчет_аналитики'!AW3596*SUMIF(ThresholdAge09,"&lt;"&amp;'19_Расчет_аналитики'!AW3596,WeightedRevAge09)-SUMIF(ThresholdAge09,"&lt;"&amp;'19_Расчет_аналитики'!AW3596,WeightedMinAge09),MAX(CapacityAge09*'01_Вводные'!$B$218*'19_Расчет_аналитики'!AW3596,MeanMinAge09))),0)</f>
        <v/>
      </c>
      <c r="AX3536">
        <f>IF('01_Вводные'!$B$234="Да",IF(OR(('19_Расчет_аналитики'!AX3452-'19_Расчет_аналитики'!AX3480)=0,9&lt;='01_Вводные'!$B$297),0,('19_Расчет_аналитики'!AX3452-'19_Расчет_аналитики'!AX3480)*IF('01_Вводные'!$B$239="Да",MeanMinAge09+'19_Расчет_аналитики'!AX3596*SUMIF(ThresholdAge09,"&lt;"&amp;'19_Расчет_аналитики'!AX3596,WeightedRevAge09)-SUMIF(ThresholdAge09,"&lt;"&amp;'19_Расчет_аналитики'!AX3596,WeightedMinAge09),MAX(CapacityAge09*'01_Вводные'!$B$218*'19_Расчет_аналитики'!AX3596,MeanMinAge09))),0)</f>
        <v/>
      </c>
      <c r="AY3536">
        <f>IF('01_Вводные'!$B$234="Да",IF(OR(('19_Расчет_аналитики'!AY3452-'19_Расчет_аналитики'!AY3480)=0,9&lt;='01_Вводные'!$B$297),0,('19_Расчет_аналитики'!AY3452-'19_Расчет_аналитики'!AY3480)*IF('01_Вводные'!$B$239="Да",MeanMinAge09+'19_Расчет_аналитики'!AY3596*SUMIF(ThresholdAge09,"&lt;"&amp;'19_Расчет_аналитики'!AY3596,WeightedRevAge09)-SUMIF(ThresholdAge09,"&lt;"&amp;'19_Расчет_аналитики'!AY3596,WeightedMinAge09),MAX(CapacityAge09*'01_Вводные'!$B$218*'19_Расчет_аналитики'!AY3596,MeanMinAge09))),0)</f>
        <v/>
      </c>
      <c r="AZ3536">
        <f>IF('01_Вводные'!$B$234="Да",IF(OR(('19_Расчет_аналитики'!AZ3452-'19_Расчет_аналитики'!AZ3480)=0,9&lt;='01_Вводные'!$B$297),0,('19_Расчет_аналитики'!AZ3452-'19_Расчет_аналитики'!AZ3480)*IF('01_Вводные'!$B$239="Да",MeanMinAge09+'19_Расчет_аналитики'!AZ3596*SUMIF(ThresholdAge09,"&lt;"&amp;'19_Расчет_аналитики'!AZ3596,WeightedRevAge09)-SUMIF(ThresholdAge09,"&lt;"&amp;'19_Расчет_аналитики'!AZ3596,WeightedMinAge09),MAX(CapacityAge09*'01_Вводные'!$B$218*'19_Расчет_аналитики'!AZ3596,MeanMinAge09))),0)</f>
        <v/>
      </c>
      <c r="BA3536">
        <f>IF('01_Вводные'!$B$234="Да",IF(OR(('19_Расчет_аналитики'!BA3452-'19_Расчет_аналитики'!BA3480)=0,9&lt;='01_Вводные'!$B$297),0,('19_Расчет_аналитики'!BA3452-'19_Расчет_аналитики'!BA3480)*IF('01_Вводные'!$B$239="Да",MeanMinAge09+'19_Расчет_аналитики'!BA3596*SUMIF(ThresholdAge09,"&lt;"&amp;'19_Расчет_аналитики'!BA3596,WeightedRevAge09)-SUMIF(ThresholdAge09,"&lt;"&amp;'19_Расчет_аналитики'!BA3596,WeightedMinAge09),MAX(CapacityAge09*'01_Вводные'!$B$218*'19_Расчет_аналитики'!BA3596,MeanMinAge09))),0)</f>
        <v/>
      </c>
      <c r="BB3536">
        <f>IF('01_Вводные'!$B$234="Да",IF(OR(('19_Расчет_аналитики'!BB3452-'19_Расчет_аналитики'!BB3480)=0,9&lt;='01_Вводные'!$B$297),0,('19_Расчет_аналитики'!BB3452-'19_Расчет_аналитики'!BB3480)*IF('01_Вводные'!$B$239="Да",MeanMinAge09+'19_Расчет_аналитики'!BB3596*SUMIF(ThresholdAge09,"&lt;"&amp;'19_Расчет_аналитики'!BB3596,WeightedRevAge09)-SUMIF(ThresholdAge09,"&lt;"&amp;'19_Расчет_аналитики'!BB3596,WeightedMinAge09),MAX(CapacityAge09*'01_Вводные'!$B$218*'19_Расчет_аналитики'!BB3596,MeanMinAge09))),0)</f>
        <v/>
      </c>
      <c r="BC3536">
        <f>IF('01_Вводные'!$B$234="Да",IF(OR(('19_Расчет_аналитики'!BC3452-'19_Расчет_аналитики'!BC3480)=0,9&lt;='01_Вводные'!$B$297),0,('19_Расчет_аналитики'!BC3452-'19_Расчет_аналитики'!BC3480)*IF('01_Вводные'!$B$239="Да",MeanMinAge09+'19_Расчет_аналитики'!BC3596*SUMIF(ThresholdAge09,"&lt;"&amp;'19_Расчет_аналитики'!BC3596,WeightedRevAge09)-SUMIF(ThresholdAge09,"&lt;"&amp;'19_Расчет_аналитики'!BC3596,WeightedMinAge09),MAX(CapacityAge09*'01_Вводные'!$B$218*'19_Расчет_аналитики'!BC3596,MeanMinAge09))),0)</f>
        <v/>
      </c>
      <c r="BD3536">
        <f>IF('01_Вводные'!$B$234="Да",IF(OR(('19_Расчет_аналитики'!BD3452-'19_Расчет_аналитики'!BD3480)=0,9&lt;='01_Вводные'!$B$297),0,('19_Расчет_аналитики'!BD3452-'19_Расчет_аналитики'!BD3480)*IF('01_Вводные'!$B$239="Да",MeanMinAge09+'19_Расчет_аналитики'!BD3596*SUMIF(ThresholdAge09,"&lt;"&amp;'19_Расчет_аналитики'!BD3596,WeightedRevAge09)-SUMIF(ThresholdAge09,"&lt;"&amp;'19_Расчет_аналитики'!BD3596,WeightedMinAge09),MAX(CapacityAge09*'01_Вводные'!$B$218*'19_Расчет_аналитики'!BD3596,MeanMinAge09))),0)</f>
        <v/>
      </c>
      <c r="BE3536">
        <f>IF('01_Вводные'!$B$234="Да",IF(OR(('19_Расчет_аналитики'!BE3452-'19_Расчет_аналитики'!BE3480)=0,9&lt;='01_Вводные'!$B$297),0,('19_Расчет_аналитики'!BE3452-'19_Расчет_аналитики'!BE3480)*IF('01_Вводные'!$B$239="Да",MeanMinAge09+'19_Расчет_аналитики'!BE3596*SUMIF(ThresholdAge09,"&lt;"&amp;'19_Расчет_аналитики'!BE3596,WeightedRevAge09)-SUMIF(ThresholdAge09,"&lt;"&amp;'19_Расчет_аналитики'!BE3596,WeightedMinAge09),MAX(CapacityAge09*'01_Вводные'!$B$218*'19_Расчет_аналитики'!BE3596,MeanMinAge09))),0)</f>
        <v/>
      </c>
      <c r="BF3536">
        <f>IF('01_Вводные'!$B$234="Да",IF(OR(('19_Расчет_аналитики'!BF3452-'19_Расчет_аналитики'!BF3480)=0,9&lt;='01_Вводные'!$B$297),0,('19_Расчет_аналитики'!BF3452-'19_Расчет_аналитики'!BF3480)*IF('01_Вводные'!$B$239="Да",MeanMinAge09+'19_Расчет_аналитики'!BF3596*SUMIF(ThresholdAge09,"&lt;"&amp;'19_Расчет_аналитики'!BF3596,WeightedRevAge09)-SUMIF(ThresholdAge09,"&lt;"&amp;'19_Расчет_аналитики'!BF3596,WeightedMinAge09),MAX(CapacityAge09*'01_Вводные'!$B$218*'19_Расчет_аналитики'!BF3596,MeanMinAge09))),0)</f>
        <v/>
      </c>
      <c r="BG3536">
        <f>IF('01_Вводные'!$B$234="Да",IF(OR(('19_Расчет_аналитики'!BG3452-'19_Расчет_аналитики'!BG3480)=0,9&lt;='01_Вводные'!$B$297),0,('19_Расчет_аналитики'!BG3452-'19_Расчет_аналитики'!BG3480)*IF('01_Вводные'!$B$239="Да",MeanMinAge09+'19_Расчет_аналитики'!BG3596*SUMIF(ThresholdAge09,"&lt;"&amp;'19_Расчет_аналитики'!BG3596,WeightedRevAge09)-SUMIF(ThresholdAge09,"&lt;"&amp;'19_Расчет_аналитики'!BG3596,WeightedMinAge09),MAX(CapacityAge09*'01_Вводные'!$B$218*'19_Расчет_аналитики'!BG3596,MeanMinAge09))),0)</f>
        <v/>
      </c>
      <c r="BH3536">
        <f>IF('01_Вводные'!$B$234="Да",IF(OR(('19_Расчет_аналитики'!BH3452-'19_Расчет_аналитики'!BH3480)=0,9&lt;='01_Вводные'!$B$297),0,('19_Расчет_аналитики'!BH3452-'19_Расчет_аналитики'!BH3480)*IF('01_Вводные'!$B$239="Да",MeanMinAge09+'19_Расчет_аналитики'!BH3596*SUMIF(ThresholdAge09,"&lt;"&amp;'19_Расчет_аналитики'!BH3596,WeightedRevAge09)-SUMIF(ThresholdAge09,"&lt;"&amp;'19_Расчет_аналитики'!BH3596,WeightedMinAge09),MAX(CapacityAge09*'01_Вводные'!$B$218*'19_Расчет_аналитики'!BH3596,MeanMinAge09))),0)</f>
        <v/>
      </c>
      <c r="BI3536">
        <f>IF('01_Вводные'!$B$234="Да",IF(OR(('19_Расчет_аналитики'!BI3452-'19_Расчет_аналитики'!BI3480)=0,9&lt;='01_Вводные'!$B$297),0,('19_Расчет_аналитики'!BI3452-'19_Расчет_аналитики'!BI3480)*IF('01_Вводные'!$B$239="Да",MeanMinAge09+'19_Расчет_аналитики'!BI3596*SUMIF(ThresholdAge09,"&lt;"&amp;'19_Расчет_аналитики'!BI3596,WeightedRevAge09)-SUMIF(ThresholdAge09,"&lt;"&amp;'19_Расчет_аналитики'!BI3596,WeightedMinAge09),MAX(CapacityAge09*'01_Вводные'!$B$218*'19_Расчет_аналитики'!BI3596,MeanMinAge09))),0)</f>
        <v/>
      </c>
      <c r="BJ3536">
        <f>IF('01_Вводные'!$B$234="Да",IF(OR(('19_Расчет_аналитики'!BJ3452-'19_Расчет_аналитики'!BJ3480)=0,9&lt;='01_Вводные'!$B$297),0,('19_Расчет_аналитики'!BJ3452-'19_Расчет_аналитики'!BJ3480)*IF('01_Вводные'!$B$239="Да",MeanMinAge09+'19_Расчет_аналитики'!BJ3596*SUMIF(ThresholdAge09,"&lt;"&amp;'19_Расчет_аналитики'!BJ3596,WeightedRevAge09)-SUMIF(ThresholdAge09,"&lt;"&amp;'19_Расчет_аналитики'!BJ3596,WeightedMinAge09),MAX(CapacityAge09*'01_Вводные'!$B$218*'19_Расчет_аналитики'!BJ3596,MeanMinAge09))),0)</f>
        <v/>
      </c>
      <c r="BK3536">
        <f>IF('01_Вводные'!$B$234="Да",IF(OR(('19_Расчет_аналитики'!BK3452-'19_Расчет_аналитики'!BK3480)=0,9&lt;='01_Вводные'!$B$297),0,('19_Расчет_аналитики'!BK3452-'19_Расчет_аналитики'!BK3480)*IF('01_Вводные'!$B$239="Да",MeanMinAge09+'19_Расчет_аналитики'!BK3596*SUMIF(ThresholdAge09,"&lt;"&amp;'19_Расчет_аналитики'!BK3596,WeightedRevAge09)-SUMIF(ThresholdAge09,"&lt;"&amp;'19_Расчет_аналитики'!BK3596,WeightedMinAge09),MAX(CapacityAge09*'01_Вводные'!$B$218*'19_Расчет_аналитики'!BK3596,MeanMinAge09))),0)</f>
        <v/>
      </c>
      <c r="BL3536">
        <f>IF('01_Вводные'!$B$234="Да",IF(OR(('19_Расчет_аналитики'!BL3452-'19_Расчет_аналитики'!BL3480)=0,9&lt;='01_Вводные'!$B$297),0,('19_Расчет_аналитики'!BL3452-'19_Расчет_аналитики'!BL3480)*IF('01_Вводные'!$B$239="Да",MeanMinAge09+'19_Расчет_аналитики'!BL3596*SUMIF(ThresholdAge09,"&lt;"&amp;'19_Расчет_аналитики'!BL3596,WeightedRevAge09)-SUMIF(ThresholdAge09,"&lt;"&amp;'19_Расчет_аналитики'!BL3596,WeightedMinAge09),MAX(CapacityAge09*'01_Вводные'!$B$218*'19_Расчет_аналитики'!BL3596,MeanMinAge09))),0)</f>
        <v/>
      </c>
      <c r="BM3536">
        <f>IF('01_Вводные'!$B$234="Да",IF(OR(('19_Расчет_аналитики'!BM3452-'19_Расчет_аналитики'!BM3480)=0,9&lt;='01_Вводные'!$B$297),0,('19_Расчет_аналитики'!BM3452-'19_Расчет_аналитики'!BM3480)*IF('01_Вводные'!$B$239="Да",MeanMinAge09+'19_Расчет_аналитики'!BM3596*SUMIF(ThresholdAge09,"&lt;"&amp;'19_Расчет_аналитики'!BM3596,WeightedRevAge09)-SUMIF(ThresholdAge09,"&lt;"&amp;'19_Расчет_аналитики'!BM3596,WeightedMinAge09),MAX(CapacityAge09*'01_Вводные'!$B$218*'19_Расчет_аналитики'!BM3596,MeanMinAge09))),0)</f>
        <v/>
      </c>
      <c r="BN3536">
        <f>IF('01_Вводные'!$B$234="Да",IF(OR(('19_Расчет_аналитики'!BN3452-'19_Расчет_аналитики'!BN3480)=0,9&lt;='01_Вводные'!$B$297),0,('19_Расчет_аналитики'!BN3452-'19_Расчет_аналитики'!BN3480)*IF('01_Вводные'!$B$239="Да",MeanMinAge09+'19_Расчет_аналитики'!BN3596*SUMIF(ThresholdAge09,"&lt;"&amp;'19_Расчет_аналитики'!BN3596,WeightedRevAge09)-SUMIF(ThresholdAge09,"&lt;"&amp;'19_Расчет_аналитики'!BN3596,WeightedMinAge09),MAX(CapacityAge09*'01_Вводные'!$B$218*'19_Расчет_аналитики'!BN3596,MeanMinAge09))),0)</f>
        <v/>
      </c>
      <c r="BO3536">
        <f>IF('01_Вводные'!$B$234="Да",IF(OR(('19_Расчет_аналитики'!BO3452-'19_Расчет_аналитики'!BO3480)=0,9&lt;='01_Вводные'!$B$297),0,('19_Расчет_аналитики'!BO3452-'19_Расчет_аналитики'!BO3480)*IF('01_Вводные'!$B$239="Да",MeanMinAge09+'19_Расчет_аналитики'!BO3596*SUMIF(ThresholdAge09,"&lt;"&amp;'19_Расчет_аналитики'!BO3596,WeightedRevAge09)-SUMIF(ThresholdAge09,"&lt;"&amp;'19_Расчет_аналитики'!BO3596,WeightedMinAge09),MAX(CapacityAge09*'01_Вводные'!$B$218*'19_Расчет_аналитики'!BO3596,MeanMinAge09))),0)</f>
        <v/>
      </c>
    </row>
    <row r="3537">
      <c r="B3537">
        <f>IF('01_Вводные'!$B$234="Да",IF(OR(('06_Сеть_и_дети'!B62-'06_Сеть_и_дети'!B90)=0,10&lt;='01_Вводные'!$B$297),0,('06_Сеть_и_дети'!B62-'06_Сеть_и_дети'!B90)*IF('01_Вводные'!$B$239="Да",MeanMinAge10+'19_Расчет_аналитики'!B3596*SUMIF(ThresholdAge10,"&lt;"&amp;'19_Расчет_аналитики'!B3596,WeightedRevAge10)-SUMIF(ThresholdAge10,"&lt;"&amp;'19_Расчет_аналитики'!B3596,WeightedMinAge10),MAX(CapacityAge10*'01_Вводные'!$B$218*'19_Расчет_аналитики'!B3596,MeanMinAge10))),0)</f>
        <v/>
      </c>
      <c r="C3537">
        <f>IF('01_Вводные'!$B$234="Да",IF(OR(('06_Сеть_и_дети'!C62-'06_Сеть_и_дети'!C90)=0,10&lt;='01_Вводные'!$B$297),0,('06_Сеть_и_дети'!C62-'06_Сеть_и_дети'!C90)*IF('01_Вводные'!$B$239="Да",MeanMinAge10+'19_Расчет_аналитики'!C3596*SUMIF(ThresholdAge10,"&lt;"&amp;'19_Расчет_аналитики'!C3596,WeightedRevAge10)-SUMIF(ThresholdAge10,"&lt;"&amp;'19_Расчет_аналитики'!C3596,WeightedMinAge10),MAX(CapacityAge10*'01_Вводные'!$B$218*'19_Расчет_аналитики'!C3596,MeanMinAge10))),0)</f>
        <v/>
      </c>
      <c r="D3537">
        <f>IF('01_Вводные'!$B$234="Да",IF(OR(('06_Сеть_и_дети'!D62-'06_Сеть_и_дети'!D90)=0,10&lt;='01_Вводные'!$B$297),0,('06_Сеть_и_дети'!D62-'06_Сеть_и_дети'!D90)*IF('01_Вводные'!$B$239="Да",MeanMinAge10+'19_Расчет_аналитики'!D3596*SUMIF(ThresholdAge10,"&lt;"&amp;'19_Расчет_аналитики'!D3596,WeightedRevAge10)-SUMIF(ThresholdAge10,"&lt;"&amp;'19_Расчет_аналитики'!D3596,WeightedMinAge10),MAX(CapacityAge10*'01_Вводные'!$B$218*'19_Расчет_аналитики'!D3596,MeanMinAge10))),0)</f>
        <v/>
      </c>
      <c r="E3537">
        <f>IF('01_Вводные'!$B$234="Да",IF(OR(('06_Сеть_и_дети'!E62-'06_Сеть_и_дети'!E90)=0,10&lt;='01_Вводные'!$B$297),0,('06_Сеть_и_дети'!E62-'06_Сеть_и_дети'!E90)*IF('01_Вводные'!$B$239="Да",MeanMinAge10+'19_Расчет_аналитики'!E3596*SUMIF(ThresholdAge10,"&lt;"&amp;'19_Расчет_аналитики'!E3596,WeightedRevAge10)-SUMIF(ThresholdAge10,"&lt;"&amp;'19_Расчет_аналитики'!E3596,WeightedMinAge10),MAX(CapacityAge10*'01_Вводные'!$B$218*'19_Расчет_аналитики'!E3596,MeanMinAge10))),0)</f>
        <v/>
      </c>
      <c r="F3537">
        <f>IF('01_Вводные'!$B$234="Да",IF(OR(('06_Сеть_и_дети'!F62-'06_Сеть_и_дети'!F90)=0,10&lt;='01_Вводные'!$B$297),0,('06_Сеть_и_дети'!F62-'06_Сеть_и_дети'!F90)*IF('01_Вводные'!$B$239="Да",MeanMinAge10+'19_Расчет_аналитики'!F3596*SUMIF(ThresholdAge10,"&lt;"&amp;'19_Расчет_аналитики'!F3596,WeightedRevAge10)-SUMIF(ThresholdAge10,"&lt;"&amp;'19_Расчет_аналитики'!F3596,WeightedMinAge10),MAX(CapacityAge10*'01_Вводные'!$B$218*'19_Расчет_аналитики'!F3596,MeanMinAge10))),0)</f>
        <v/>
      </c>
      <c r="G3537">
        <f>IF('01_Вводные'!$B$234="Да",IF(OR(('06_Сеть_и_дети'!G62-'06_Сеть_и_дети'!G90)=0,10&lt;='01_Вводные'!$B$297),0,('06_Сеть_и_дети'!G62-'06_Сеть_и_дети'!G90)*IF('01_Вводные'!$B$239="Да",MeanMinAge10+'19_Расчет_аналитики'!G3596*SUMIF(ThresholdAge10,"&lt;"&amp;'19_Расчет_аналитики'!G3596,WeightedRevAge10)-SUMIF(ThresholdAge10,"&lt;"&amp;'19_Расчет_аналитики'!G3596,WeightedMinAge10),MAX(CapacityAge10*'01_Вводные'!$B$218*'19_Расчет_аналитики'!G3596,MeanMinAge10))),0)</f>
        <v/>
      </c>
      <c r="H3537">
        <f>IF('01_Вводные'!$B$234="Да",IF(OR(('06_Сеть_и_дети'!H62-'06_Сеть_и_дети'!H90)=0,10&lt;='01_Вводные'!$B$297),0,('06_Сеть_и_дети'!H62-'06_Сеть_и_дети'!H90)*IF('01_Вводные'!$B$239="Да",MeanMinAge10+'19_Расчет_аналитики'!H3596*SUMIF(ThresholdAge10,"&lt;"&amp;'19_Расчет_аналитики'!H3596,WeightedRevAge10)-SUMIF(ThresholdAge10,"&lt;"&amp;'19_Расчет_аналитики'!H3596,WeightedMinAge10),MAX(CapacityAge10*'01_Вводные'!$B$218*'19_Расчет_аналитики'!H3596,MeanMinAge10))),0)</f>
        <v/>
      </c>
      <c r="I3537">
        <f>IF('01_Вводные'!$B$234="Да",IF(OR(('06_Сеть_и_дети'!I62-'06_Сеть_и_дети'!I90)=0,10&lt;='01_Вводные'!$B$297),0,('06_Сеть_и_дети'!I62-'06_Сеть_и_дети'!I90)*IF('01_Вводные'!$B$239="Да",MeanMinAge10+'19_Расчет_аналитики'!I3596*SUMIF(ThresholdAge10,"&lt;"&amp;'19_Расчет_аналитики'!I3596,WeightedRevAge10)-SUMIF(ThresholdAge10,"&lt;"&amp;'19_Расчет_аналитики'!I3596,WeightedMinAge10),MAX(CapacityAge10*'01_Вводные'!$B$218*'19_Расчет_аналитики'!I3596,MeanMinAge10))),0)</f>
        <v/>
      </c>
      <c r="J3537">
        <f>IF('01_Вводные'!$B$234="Да",IF(OR(('06_Сеть_и_дети'!J62-'06_Сеть_и_дети'!J90)=0,10&lt;='01_Вводные'!$B$297),0,('06_Сеть_и_дети'!J62-'06_Сеть_и_дети'!J90)*IF('01_Вводные'!$B$239="Да",MeanMinAge10+'19_Расчет_аналитики'!J3596*SUMIF(ThresholdAge10,"&lt;"&amp;'19_Расчет_аналитики'!J3596,WeightedRevAge10)-SUMIF(ThresholdAge10,"&lt;"&amp;'19_Расчет_аналитики'!J3596,WeightedMinAge10),MAX(CapacityAge10*'01_Вводные'!$B$218*'19_Расчет_аналитики'!J3596,MeanMinAge10))),0)</f>
        <v/>
      </c>
      <c r="K3537">
        <f>IF('01_Вводные'!$B$234="Да",IF(OR(('19_Расчет_аналитики'!K3453-'19_Расчет_аналитики'!K3481)=0,10&lt;='01_Вводные'!$B$297),0,('19_Расчет_аналитики'!K3453-'19_Расчет_аналитики'!K3481)*IF('01_Вводные'!$B$239="Да",MeanMinAge10+'19_Расчет_аналитики'!K3596*SUMIF(ThresholdAge10,"&lt;"&amp;'19_Расчет_аналитики'!K3596,WeightedRevAge10)-SUMIF(ThresholdAge10,"&lt;"&amp;'19_Расчет_аналитики'!K3596,WeightedMinAge10),MAX(CapacityAge10*'01_Вводные'!$B$218*'19_Расчет_аналитики'!K3596,MeanMinAge10))),0)</f>
        <v/>
      </c>
      <c r="L3537">
        <f>IF('01_Вводные'!$B$234="Да",IF(OR(('19_Расчет_аналитики'!L3453-'19_Расчет_аналитики'!L3481)=0,10&lt;='01_Вводные'!$B$297),0,('19_Расчет_аналитики'!L3453-'19_Расчет_аналитики'!L3481)*IF('01_Вводные'!$B$239="Да",MeanMinAge10+'19_Расчет_аналитики'!L3596*SUMIF(ThresholdAge10,"&lt;"&amp;'19_Расчет_аналитики'!L3596,WeightedRevAge10)-SUMIF(ThresholdAge10,"&lt;"&amp;'19_Расчет_аналитики'!L3596,WeightedMinAge10),MAX(CapacityAge10*'01_Вводные'!$B$218*'19_Расчет_аналитики'!L3596,MeanMinAge10))),0)</f>
        <v/>
      </c>
      <c r="M3537">
        <f>IF('01_Вводные'!$B$234="Да",IF(OR(('19_Расчет_аналитики'!M3453-'19_Расчет_аналитики'!M3481)=0,10&lt;='01_Вводные'!$B$297),0,('19_Расчет_аналитики'!M3453-'19_Расчет_аналитики'!M3481)*IF('01_Вводные'!$B$239="Да",MeanMinAge10+'19_Расчет_аналитики'!M3596*SUMIF(ThresholdAge10,"&lt;"&amp;'19_Расчет_аналитики'!M3596,WeightedRevAge10)-SUMIF(ThresholdAge10,"&lt;"&amp;'19_Расчет_аналитики'!M3596,WeightedMinAge10),MAX(CapacityAge10*'01_Вводные'!$B$218*'19_Расчет_аналитики'!M3596,MeanMinAge10))),0)</f>
        <v/>
      </c>
      <c r="N3537">
        <f>IF('01_Вводные'!$B$234="Да",IF(OR(('19_Расчет_аналитики'!N3453-'19_Расчет_аналитики'!N3481)=0,10&lt;='01_Вводные'!$B$297),0,('19_Расчет_аналитики'!N3453-'19_Расчет_аналитики'!N3481)*IF('01_Вводные'!$B$239="Да",MeanMinAge10+'19_Расчет_аналитики'!N3596*SUMIF(ThresholdAge10,"&lt;"&amp;'19_Расчет_аналитики'!N3596,WeightedRevAge10)-SUMIF(ThresholdAge10,"&lt;"&amp;'19_Расчет_аналитики'!N3596,WeightedMinAge10),MAX(CapacityAge10*'01_Вводные'!$B$218*'19_Расчет_аналитики'!N3596,MeanMinAge10))),0)</f>
        <v/>
      </c>
      <c r="O3537">
        <f>IF('01_Вводные'!$B$234="Да",IF(OR(('19_Расчет_аналитики'!O3453-'19_Расчет_аналитики'!O3481)=0,10&lt;='01_Вводные'!$B$297),0,('19_Расчет_аналитики'!O3453-'19_Расчет_аналитики'!O3481)*IF('01_Вводные'!$B$239="Да",MeanMinAge10+'19_Расчет_аналитики'!O3596*SUMIF(ThresholdAge10,"&lt;"&amp;'19_Расчет_аналитики'!O3596,WeightedRevAge10)-SUMIF(ThresholdAge10,"&lt;"&amp;'19_Расчет_аналитики'!O3596,WeightedMinAge10),MAX(CapacityAge10*'01_Вводные'!$B$218*'19_Расчет_аналитики'!O3596,MeanMinAge10))),0)</f>
        <v/>
      </c>
      <c r="P3537">
        <f>IF('01_Вводные'!$B$234="Да",IF(OR(('19_Расчет_аналитики'!P3453-'19_Расчет_аналитики'!P3481)=0,10&lt;='01_Вводные'!$B$297),0,('19_Расчет_аналитики'!P3453-'19_Расчет_аналитики'!P3481)*IF('01_Вводные'!$B$239="Да",MeanMinAge10+'19_Расчет_аналитики'!P3596*SUMIF(ThresholdAge10,"&lt;"&amp;'19_Расчет_аналитики'!P3596,WeightedRevAge10)-SUMIF(ThresholdAge10,"&lt;"&amp;'19_Расчет_аналитики'!P3596,WeightedMinAge10),MAX(CapacityAge10*'01_Вводные'!$B$218*'19_Расчет_аналитики'!P3596,MeanMinAge10))),0)</f>
        <v/>
      </c>
      <c r="Q3537">
        <f>IF('01_Вводные'!$B$234="Да",IF(OR(('19_Расчет_аналитики'!Q3453-'19_Расчет_аналитики'!Q3481)=0,10&lt;='01_Вводные'!$B$297),0,('19_Расчет_аналитики'!Q3453-'19_Расчет_аналитики'!Q3481)*IF('01_Вводные'!$B$239="Да",MeanMinAge10+'19_Расчет_аналитики'!Q3596*SUMIF(ThresholdAge10,"&lt;"&amp;'19_Расчет_аналитики'!Q3596,WeightedRevAge10)-SUMIF(ThresholdAge10,"&lt;"&amp;'19_Расчет_аналитики'!Q3596,WeightedMinAge10),MAX(CapacityAge10*'01_Вводные'!$B$218*'19_Расчет_аналитики'!Q3596,MeanMinAge10))),0)</f>
        <v/>
      </c>
      <c r="R3537">
        <f>IF('01_Вводные'!$B$234="Да",IF(OR(('19_Расчет_аналитики'!R3453-'19_Расчет_аналитики'!R3481)=0,10&lt;='01_Вводные'!$B$297),0,('19_Расчет_аналитики'!R3453-'19_Расчет_аналитики'!R3481)*IF('01_Вводные'!$B$239="Да",MeanMinAge10+'19_Расчет_аналитики'!R3596*SUMIF(ThresholdAge10,"&lt;"&amp;'19_Расчет_аналитики'!R3596,WeightedRevAge10)-SUMIF(ThresholdAge10,"&lt;"&amp;'19_Расчет_аналитики'!R3596,WeightedMinAge10),MAX(CapacityAge10*'01_Вводные'!$B$218*'19_Расчет_аналитики'!R3596,MeanMinAge10))),0)</f>
        <v/>
      </c>
      <c r="S3537">
        <f>IF('01_Вводные'!$B$234="Да",IF(OR(('19_Расчет_аналитики'!S3453-'19_Расчет_аналитики'!S3481)=0,10&lt;='01_Вводные'!$B$297),0,('19_Расчет_аналитики'!S3453-'19_Расчет_аналитики'!S3481)*IF('01_Вводные'!$B$239="Да",MeanMinAge10+'19_Расчет_аналитики'!S3596*SUMIF(ThresholdAge10,"&lt;"&amp;'19_Расчет_аналитики'!S3596,WeightedRevAge10)-SUMIF(ThresholdAge10,"&lt;"&amp;'19_Расчет_аналитики'!S3596,WeightedMinAge10),MAX(CapacityAge10*'01_Вводные'!$B$218*'19_Расчет_аналитики'!S3596,MeanMinAge10))),0)</f>
        <v/>
      </c>
      <c r="T3537">
        <f>IF('01_Вводные'!$B$234="Да",IF(OR(('19_Расчет_аналитики'!T3453-'19_Расчет_аналитики'!T3481)=0,10&lt;='01_Вводные'!$B$297),0,('19_Расчет_аналитики'!T3453-'19_Расчет_аналитики'!T3481)*IF('01_Вводные'!$B$239="Да",MeanMinAge10+'19_Расчет_аналитики'!T3596*SUMIF(ThresholdAge10,"&lt;"&amp;'19_Расчет_аналитики'!T3596,WeightedRevAge10)-SUMIF(ThresholdAge10,"&lt;"&amp;'19_Расчет_аналитики'!T3596,WeightedMinAge10),MAX(CapacityAge10*'01_Вводные'!$B$218*'19_Расчет_аналитики'!T3596,MeanMinAge10))),0)</f>
        <v/>
      </c>
      <c r="U3537">
        <f>IF('01_Вводные'!$B$234="Да",IF(OR(('19_Расчет_аналитики'!U3453-'19_Расчет_аналитики'!U3481)=0,10&lt;='01_Вводные'!$B$297),0,('19_Расчет_аналитики'!U3453-'19_Расчет_аналитики'!U3481)*IF('01_Вводные'!$B$239="Да",MeanMinAge10+'19_Расчет_аналитики'!U3596*SUMIF(ThresholdAge10,"&lt;"&amp;'19_Расчет_аналитики'!U3596,WeightedRevAge10)-SUMIF(ThresholdAge10,"&lt;"&amp;'19_Расчет_аналитики'!U3596,WeightedMinAge10),MAX(CapacityAge10*'01_Вводные'!$B$218*'19_Расчет_аналитики'!U3596,MeanMinAge10))),0)</f>
        <v/>
      </c>
      <c r="V3537">
        <f>IF('01_Вводные'!$B$234="Да",IF(OR(('19_Расчет_аналитики'!V3453-'19_Расчет_аналитики'!V3481)=0,10&lt;='01_Вводные'!$B$297),0,('19_Расчет_аналитики'!V3453-'19_Расчет_аналитики'!V3481)*IF('01_Вводные'!$B$239="Да",MeanMinAge10+'19_Расчет_аналитики'!V3596*SUMIF(ThresholdAge10,"&lt;"&amp;'19_Расчет_аналитики'!V3596,WeightedRevAge10)-SUMIF(ThresholdAge10,"&lt;"&amp;'19_Расчет_аналитики'!V3596,WeightedMinAge10),MAX(CapacityAge10*'01_Вводные'!$B$218*'19_Расчет_аналитики'!V3596,MeanMinAge10))),0)</f>
        <v/>
      </c>
      <c r="W3537">
        <f>IF('01_Вводные'!$B$234="Да",IF(OR(('19_Расчет_аналитики'!W3453-'19_Расчет_аналитики'!W3481)=0,10&lt;='01_Вводные'!$B$297),0,('19_Расчет_аналитики'!W3453-'19_Расчет_аналитики'!W3481)*IF('01_Вводные'!$B$239="Да",MeanMinAge10+'19_Расчет_аналитики'!W3596*SUMIF(ThresholdAge10,"&lt;"&amp;'19_Расчет_аналитики'!W3596,WeightedRevAge10)-SUMIF(ThresholdAge10,"&lt;"&amp;'19_Расчет_аналитики'!W3596,WeightedMinAge10),MAX(CapacityAge10*'01_Вводные'!$B$218*'19_Расчет_аналитики'!W3596,MeanMinAge10))),0)</f>
        <v/>
      </c>
      <c r="X3537">
        <f>IF('01_Вводные'!$B$234="Да",IF(OR(('19_Расчет_аналитики'!X3453-'19_Расчет_аналитики'!X3481)=0,10&lt;='01_Вводные'!$B$297),0,('19_Расчет_аналитики'!X3453-'19_Расчет_аналитики'!X3481)*IF('01_Вводные'!$B$239="Да",MeanMinAge10+'19_Расчет_аналитики'!X3596*SUMIF(ThresholdAge10,"&lt;"&amp;'19_Расчет_аналитики'!X3596,WeightedRevAge10)-SUMIF(ThresholdAge10,"&lt;"&amp;'19_Расчет_аналитики'!X3596,WeightedMinAge10),MAX(CapacityAge10*'01_Вводные'!$B$218*'19_Расчет_аналитики'!X3596,MeanMinAge10))),0)</f>
        <v/>
      </c>
      <c r="Y3537">
        <f>IF('01_Вводные'!$B$234="Да",IF(OR(('19_Расчет_аналитики'!Y3453-'19_Расчет_аналитики'!Y3481)=0,10&lt;='01_Вводные'!$B$297),0,('19_Расчет_аналитики'!Y3453-'19_Расчет_аналитики'!Y3481)*IF('01_Вводные'!$B$239="Да",MeanMinAge10+'19_Расчет_аналитики'!Y3596*SUMIF(ThresholdAge10,"&lt;"&amp;'19_Расчет_аналитики'!Y3596,WeightedRevAge10)-SUMIF(ThresholdAge10,"&lt;"&amp;'19_Расчет_аналитики'!Y3596,WeightedMinAge10),MAX(CapacityAge10*'01_Вводные'!$B$218*'19_Расчет_аналитики'!Y3596,MeanMinAge10))),0)</f>
        <v/>
      </c>
      <c r="Z3537">
        <f>IF('01_Вводные'!$B$234="Да",IF(OR(('19_Расчет_аналитики'!Z3453-'19_Расчет_аналитики'!Z3481)=0,10&lt;='01_Вводные'!$B$297),0,('19_Расчет_аналитики'!Z3453-'19_Расчет_аналитики'!Z3481)*IF('01_Вводные'!$B$239="Да",MeanMinAge10+'19_Расчет_аналитики'!Z3596*SUMIF(ThresholdAge10,"&lt;"&amp;'19_Расчет_аналитики'!Z3596,WeightedRevAge10)-SUMIF(ThresholdAge10,"&lt;"&amp;'19_Расчет_аналитики'!Z3596,WeightedMinAge10),MAX(CapacityAge10*'01_Вводные'!$B$218*'19_Расчет_аналитики'!Z3596,MeanMinAge10))),0)</f>
        <v/>
      </c>
      <c r="AA3537">
        <f>IF('01_Вводные'!$B$234="Да",IF(OR(('19_Расчет_аналитики'!AA3453-'19_Расчет_аналитики'!AA3481)=0,10&lt;='01_Вводные'!$B$297),0,('19_Расчет_аналитики'!AA3453-'19_Расчет_аналитики'!AA3481)*IF('01_Вводные'!$B$239="Да",MeanMinAge10+'19_Расчет_аналитики'!AA3596*SUMIF(ThresholdAge10,"&lt;"&amp;'19_Расчет_аналитики'!AA3596,WeightedRevAge10)-SUMIF(ThresholdAge10,"&lt;"&amp;'19_Расчет_аналитики'!AA3596,WeightedMinAge10),MAX(CapacityAge10*'01_Вводные'!$B$218*'19_Расчет_аналитики'!AA3596,MeanMinAge10))),0)</f>
        <v/>
      </c>
      <c r="AB3537">
        <f>IF('01_Вводные'!$B$234="Да",IF(OR(('19_Расчет_аналитики'!AB3453-'19_Расчет_аналитики'!AB3481)=0,10&lt;='01_Вводные'!$B$297),0,('19_Расчет_аналитики'!AB3453-'19_Расчет_аналитики'!AB3481)*IF('01_Вводные'!$B$239="Да",MeanMinAge10+'19_Расчет_аналитики'!AB3596*SUMIF(ThresholdAge10,"&lt;"&amp;'19_Расчет_аналитики'!AB3596,WeightedRevAge10)-SUMIF(ThresholdAge10,"&lt;"&amp;'19_Расчет_аналитики'!AB3596,WeightedMinAge10),MAX(CapacityAge10*'01_Вводные'!$B$218*'19_Расчет_аналитики'!AB3596,MeanMinAge10))),0)</f>
        <v/>
      </c>
      <c r="AC3537">
        <f>IF('01_Вводные'!$B$234="Да",IF(OR(('19_Расчет_аналитики'!AC3453-'19_Расчет_аналитики'!AC3481)=0,10&lt;='01_Вводные'!$B$297),0,('19_Расчет_аналитики'!AC3453-'19_Расчет_аналитики'!AC3481)*IF('01_Вводные'!$B$239="Да",MeanMinAge10+'19_Расчет_аналитики'!AC3596*SUMIF(ThresholdAge10,"&lt;"&amp;'19_Расчет_аналитики'!AC3596,WeightedRevAge10)-SUMIF(ThresholdAge10,"&lt;"&amp;'19_Расчет_аналитики'!AC3596,WeightedMinAge10),MAX(CapacityAge10*'01_Вводные'!$B$218*'19_Расчет_аналитики'!AC3596,MeanMinAge10))),0)</f>
        <v/>
      </c>
      <c r="AD3537">
        <f>IF('01_Вводные'!$B$234="Да",IF(OR(('19_Расчет_аналитики'!AD3453-'19_Расчет_аналитики'!AD3481)=0,10&lt;='01_Вводные'!$B$297),0,('19_Расчет_аналитики'!AD3453-'19_Расчет_аналитики'!AD3481)*IF('01_Вводные'!$B$239="Да",MeanMinAge10+'19_Расчет_аналитики'!AD3596*SUMIF(ThresholdAge10,"&lt;"&amp;'19_Расчет_аналитики'!AD3596,WeightedRevAge10)-SUMIF(ThresholdAge10,"&lt;"&amp;'19_Расчет_аналитики'!AD3596,WeightedMinAge10),MAX(CapacityAge10*'01_Вводные'!$B$218*'19_Расчет_аналитики'!AD3596,MeanMinAge10))),0)</f>
        <v/>
      </c>
      <c r="AE3537">
        <f>IF('01_Вводные'!$B$234="Да",IF(OR(('19_Расчет_аналитики'!AE3453-'19_Расчет_аналитики'!AE3481)=0,10&lt;='01_Вводные'!$B$297),0,('19_Расчет_аналитики'!AE3453-'19_Расчет_аналитики'!AE3481)*IF('01_Вводные'!$B$239="Да",MeanMinAge10+'19_Расчет_аналитики'!AE3596*SUMIF(ThresholdAge10,"&lt;"&amp;'19_Расчет_аналитики'!AE3596,WeightedRevAge10)-SUMIF(ThresholdAge10,"&lt;"&amp;'19_Расчет_аналитики'!AE3596,WeightedMinAge10),MAX(CapacityAge10*'01_Вводные'!$B$218*'19_Расчет_аналитики'!AE3596,MeanMinAge10))),0)</f>
        <v/>
      </c>
      <c r="AF3537">
        <f>IF('01_Вводные'!$B$234="Да",IF(OR(('19_Расчет_аналитики'!AF3453-'19_Расчет_аналитики'!AF3481)=0,10&lt;='01_Вводные'!$B$297),0,('19_Расчет_аналитики'!AF3453-'19_Расчет_аналитики'!AF3481)*IF('01_Вводные'!$B$239="Да",MeanMinAge10+'19_Расчет_аналитики'!AF3596*SUMIF(ThresholdAge10,"&lt;"&amp;'19_Расчет_аналитики'!AF3596,WeightedRevAge10)-SUMIF(ThresholdAge10,"&lt;"&amp;'19_Расчет_аналитики'!AF3596,WeightedMinAge10),MAX(CapacityAge10*'01_Вводные'!$B$218*'19_Расчет_аналитики'!AF3596,MeanMinAge10))),0)</f>
        <v/>
      </c>
      <c r="AG3537">
        <f>IF('01_Вводные'!$B$234="Да",IF(OR(('19_Расчет_аналитики'!AG3453-'19_Расчет_аналитики'!AG3481)=0,10&lt;='01_Вводные'!$B$297),0,('19_Расчет_аналитики'!AG3453-'19_Расчет_аналитики'!AG3481)*IF('01_Вводные'!$B$239="Да",MeanMinAge10+'19_Расчет_аналитики'!AG3596*SUMIF(ThresholdAge10,"&lt;"&amp;'19_Расчет_аналитики'!AG3596,WeightedRevAge10)-SUMIF(ThresholdAge10,"&lt;"&amp;'19_Расчет_аналитики'!AG3596,WeightedMinAge10),MAX(CapacityAge10*'01_Вводные'!$B$218*'19_Расчет_аналитики'!AG3596,MeanMinAge10))),0)</f>
        <v/>
      </c>
      <c r="AH3537">
        <f>IF('01_Вводные'!$B$234="Да",IF(OR(('19_Расчет_аналитики'!AH3453-'19_Расчет_аналитики'!AH3481)=0,10&lt;='01_Вводные'!$B$297),0,('19_Расчет_аналитики'!AH3453-'19_Расчет_аналитики'!AH3481)*IF('01_Вводные'!$B$239="Да",MeanMinAge10+'19_Расчет_аналитики'!AH3596*SUMIF(ThresholdAge10,"&lt;"&amp;'19_Расчет_аналитики'!AH3596,WeightedRevAge10)-SUMIF(ThresholdAge10,"&lt;"&amp;'19_Расчет_аналитики'!AH3596,WeightedMinAge10),MAX(CapacityAge10*'01_Вводные'!$B$218*'19_Расчет_аналитики'!AH3596,MeanMinAge10))),0)</f>
        <v/>
      </c>
      <c r="AI3537">
        <f>IF('01_Вводные'!$B$234="Да",IF(OR(('19_Расчет_аналитики'!AI3453-'19_Расчет_аналитики'!AI3481)=0,10&lt;='01_Вводные'!$B$297),0,('19_Расчет_аналитики'!AI3453-'19_Расчет_аналитики'!AI3481)*IF('01_Вводные'!$B$239="Да",MeanMinAge10+'19_Расчет_аналитики'!AI3596*SUMIF(ThresholdAge10,"&lt;"&amp;'19_Расчет_аналитики'!AI3596,WeightedRevAge10)-SUMIF(ThresholdAge10,"&lt;"&amp;'19_Расчет_аналитики'!AI3596,WeightedMinAge10),MAX(CapacityAge10*'01_Вводные'!$B$218*'19_Расчет_аналитики'!AI3596,MeanMinAge10))),0)</f>
        <v/>
      </c>
      <c r="AJ3537">
        <f>IF('01_Вводные'!$B$234="Да",IF(OR(('19_Расчет_аналитики'!AJ3453-'19_Расчет_аналитики'!AJ3481)=0,10&lt;='01_Вводные'!$B$297),0,('19_Расчет_аналитики'!AJ3453-'19_Расчет_аналитики'!AJ3481)*IF('01_Вводные'!$B$239="Да",MeanMinAge10+'19_Расчет_аналитики'!AJ3596*SUMIF(ThresholdAge10,"&lt;"&amp;'19_Расчет_аналитики'!AJ3596,WeightedRevAge10)-SUMIF(ThresholdAge10,"&lt;"&amp;'19_Расчет_аналитики'!AJ3596,WeightedMinAge10),MAX(CapacityAge10*'01_Вводные'!$B$218*'19_Расчет_аналитики'!AJ3596,MeanMinAge10))),0)</f>
        <v/>
      </c>
      <c r="AK3537">
        <f>IF('01_Вводные'!$B$234="Да",IF(OR(('19_Расчет_аналитики'!AK3453-'19_Расчет_аналитики'!AK3481)=0,10&lt;='01_Вводные'!$B$297),0,('19_Расчет_аналитики'!AK3453-'19_Расчет_аналитики'!AK3481)*IF('01_Вводные'!$B$239="Да",MeanMinAge10+'19_Расчет_аналитики'!AK3596*SUMIF(ThresholdAge10,"&lt;"&amp;'19_Расчет_аналитики'!AK3596,WeightedRevAge10)-SUMIF(ThresholdAge10,"&lt;"&amp;'19_Расчет_аналитики'!AK3596,WeightedMinAge10),MAX(CapacityAge10*'01_Вводные'!$B$218*'19_Расчет_аналитики'!AK3596,MeanMinAge10))),0)</f>
        <v/>
      </c>
      <c r="AL3537">
        <f>IF('01_Вводные'!$B$234="Да",IF(OR(('19_Расчет_аналитики'!AL3453-'19_Расчет_аналитики'!AL3481)=0,10&lt;='01_Вводные'!$B$297),0,('19_Расчет_аналитики'!AL3453-'19_Расчет_аналитики'!AL3481)*IF('01_Вводные'!$B$239="Да",MeanMinAge10+'19_Расчет_аналитики'!AL3596*SUMIF(ThresholdAge10,"&lt;"&amp;'19_Расчет_аналитики'!AL3596,WeightedRevAge10)-SUMIF(ThresholdAge10,"&lt;"&amp;'19_Расчет_аналитики'!AL3596,WeightedMinAge10),MAX(CapacityAge10*'01_Вводные'!$B$218*'19_Расчет_аналитики'!AL3596,MeanMinAge10))),0)</f>
        <v/>
      </c>
      <c r="AM3537">
        <f>IF('01_Вводные'!$B$234="Да",IF(OR(('19_Расчет_аналитики'!AM3453-'19_Расчет_аналитики'!AM3481)=0,10&lt;='01_Вводные'!$B$297),0,('19_Расчет_аналитики'!AM3453-'19_Расчет_аналитики'!AM3481)*IF('01_Вводные'!$B$239="Да",MeanMinAge10+'19_Расчет_аналитики'!AM3596*SUMIF(ThresholdAge10,"&lt;"&amp;'19_Расчет_аналитики'!AM3596,WeightedRevAge10)-SUMIF(ThresholdAge10,"&lt;"&amp;'19_Расчет_аналитики'!AM3596,WeightedMinAge10),MAX(CapacityAge10*'01_Вводные'!$B$218*'19_Расчет_аналитики'!AM3596,MeanMinAge10))),0)</f>
        <v/>
      </c>
      <c r="AN3537">
        <f>IF('01_Вводные'!$B$234="Да",IF(OR(('19_Расчет_аналитики'!AN3453-'19_Расчет_аналитики'!AN3481)=0,10&lt;='01_Вводные'!$B$297),0,('19_Расчет_аналитики'!AN3453-'19_Расчет_аналитики'!AN3481)*IF('01_Вводные'!$B$239="Да",MeanMinAge10+'19_Расчет_аналитики'!AN3596*SUMIF(ThresholdAge10,"&lt;"&amp;'19_Расчет_аналитики'!AN3596,WeightedRevAge10)-SUMIF(ThresholdAge10,"&lt;"&amp;'19_Расчет_аналитики'!AN3596,WeightedMinAge10),MAX(CapacityAge10*'01_Вводные'!$B$218*'19_Расчет_аналитики'!AN3596,MeanMinAge10))),0)</f>
        <v/>
      </c>
      <c r="AO3537">
        <f>IF('01_Вводные'!$B$234="Да",IF(OR(('19_Расчет_аналитики'!AO3453-'19_Расчет_аналитики'!AO3481)=0,10&lt;='01_Вводные'!$B$297),0,('19_Расчет_аналитики'!AO3453-'19_Расчет_аналитики'!AO3481)*IF('01_Вводные'!$B$239="Да",MeanMinAge10+'19_Расчет_аналитики'!AO3596*SUMIF(ThresholdAge10,"&lt;"&amp;'19_Расчет_аналитики'!AO3596,WeightedRevAge10)-SUMIF(ThresholdAge10,"&lt;"&amp;'19_Расчет_аналитики'!AO3596,WeightedMinAge10),MAX(CapacityAge10*'01_Вводные'!$B$218*'19_Расчет_аналитики'!AO3596,MeanMinAge10))),0)</f>
        <v/>
      </c>
      <c r="AP3537">
        <f>IF('01_Вводные'!$B$234="Да",IF(OR(('19_Расчет_аналитики'!AP3453-'19_Расчет_аналитики'!AP3481)=0,10&lt;='01_Вводные'!$B$297),0,('19_Расчет_аналитики'!AP3453-'19_Расчет_аналитики'!AP3481)*IF('01_Вводные'!$B$239="Да",MeanMinAge10+'19_Расчет_аналитики'!AP3596*SUMIF(ThresholdAge10,"&lt;"&amp;'19_Расчет_аналитики'!AP3596,WeightedRevAge10)-SUMIF(ThresholdAge10,"&lt;"&amp;'19_Расчет_аналитики'!AP3596,WeightedMinAge10),MAX(CapacityAge10*'01_Вводные'!$B$218*'19_Расчет_аналитики'!AP3596,MeanMinAge10))),0)</f>
        <v/>
      </c>
      <c r="AQ3537">
        <f>IF('01_Вводные'!$B$234="Да",IF(OR(('19_Расчет_аналитики'!AQ3453-'19_Расчет_аналитики'!AQ3481)=0,10&lt;='01_Вводные'!$B$297),0,('19_Расчет_аналитики'!AQ3453-'19_Расчет_аналитики'!AQ3481)*IF('01_Вводные'!$B$239="Да",MeanMinAge10+'19_Расчет_аналитики'!AQ3596*SUMIF(ThresholdAge10,"&lt;"&amp;'19_Расчет_аналитики'!AQ3596,WeightedRevAge10)-SUMIF(ThresholdAge10,"&lt;"&amp;'19_Расчет_аналитики'!AQ3596,WeightedMinAge10),MAX(CapacityAge10*'01_Вводные'!$B$218*'19_Расчет_аналитики'!AQ3596,MeanMinAge10))),0)</f>
        <v/>
      </c>
      <c r="AR3537">
        <f>IF('01_Вводные'!$B$234="Да",IF(OR(('19_Расчет_аналитики'!AR3453-'19_Расчет_аналитики'!AR3481)=0,10&lt;='01_Вводные'!$B$297),0,('19_Расчет_аналитики'!AR3453-'19_Расчет_аналитики'!AR3481)*IF('01_Вводные'!$B$239="Да",MeanMinAge10+'19_Расчет_аналитики'!AR3596*SUMIF(ThresholdAge10,"&lt;"&amp;'19_Расчет_аналитики'!AR3596,WeightedRevAge10)-SUMIF(ThresholdAge10,"&lt;"&amp;'19_Расчет_аналитики'!AR3596,WeightedMinAge10),MAX(CapacityAge10*'01_Вводные'!$B$218*'19_Расчет_аналитики'!AR3596,MeanMinAge10))),0)</f>
        <v/>
      </c>
      <c r="AS3537">
        <f>IF('01_Вводные'!$B$234="Да",IF(OR(('19_Расчет_аналитики'!AS3453-'19_Расчет_аналитики'!AS3481)=0,10&lt;='01_Вводные'!$B$297),0,('19_Расчет_аналитики'!AS3453-'19_Расчет_аналитики'!AS3481)*IF('01_Вводные'!$B$239="Да",MeanMinAge10+'19_Расчет_аналитики'!AS3596*SUMIF(ThresholdAge10,"&lt;"&amp;'19_Расчет_аналитики'!AS3596,WeightedRevAge10)-SUMIF(ThresholdAge10,"&lt;"&amp;'19_Расчет_аналитики'!AS3596,WeightedMinAge10),MAX(CapacityAge10*'01_Вводные'!$B$218*'19_Расчет_аналитики'!AS3596,MeanMinAge10))),0)</f>
        <v/>
      </c>
      <c r="AT3537">
        <f>IF('01_Вводные'!$B$234="Да",IF(OR(('19_Расчет_аналитики'!AT3453-'19_Расчет_аналитики'!AT3481)=0,10&lt;='01_Вводные'!$B$297),0,('19_Расчет_аналитики'!AT3453-'19_Расчет_аналитики'!AT3481)*IF('01_Вводные'!$B$239="Да",MeanMinAge10+'19_Расчет_аналитики'!AT3596*SUMIF(ThresholdAge10,"&lt;"&amp;'19_Расчет_аналитики'!AT3596,WeightedRevAge10)-SUMIF(ThresholdAge10,"&lt;"&amp;'19_Расчет_аналитики'!AT3596,WeightedMinAge10),MAX(CapacityAge10*'01_Вводные'!$B$218*'19_Расчет_аналитики'!AT3596,MeanMinAge10))),0)</f>
        <v/>
      </c>
      <c r="AU3537">
        <f>IF('01_Вводные'!$B$234="Да",IF(OR(('19_Расчет_аналитики'!AU3453-'19_Расчет_аналитики'!AU3481)=0,10&lt;='01_Вводные'!$B$297),0,('19_Расчет_аналитики'!AU3453-'19_Расчет_аналитики'!AU3481)*IF('01_Вводные'!$B$239="Да",MeanMinAge10+'19_Расчет_аналитики'!AU3596*SUMIF(ThresholdAge10,"&lt;"&amp;'19_Расчет_аналитики'!AU3596,WeightedRevAge10)-SUMIF(ThresholdAge10,"&lt;"&amp;'19_Расчет_аналитики'!AU3596,WeightedMinAge10),MAX(CapacityAge10*'01_Вводные'!$B$218*'19_Расчет_аналитики'!AU3596,MeanMinAge10))),0)</f>
        <v/>
      </c>
      <c r="AV3537">
        <f>IF('01_Вводные'!$B$234="Да",IF(OR(('19_Расчет_аналитики'!AV3453-'19_Расчет_аналитики'!AV3481)=0,10&lt;='01_Вводные'!$B$297),0,('19_Расчет_аналитики'!AV3453-'19_Расчет_аналитики'!AV3481)*IF('01_Вводные'!$B$239="Да",MeanMinAge10+'19_Расчет_аналитики'!AV3596*SUMIF(ThresholdAge10,"&lt;"&amp;'19_Расчет_аналитики'!AV3596,WeightedRevAge10)-SUMIF(ThresholdAge10,"&lt;"&amp;'19_Расчет_аналитики'!AV3596,WeightedMinAge10),MAX(CapacityAge10*'01_Вводные'!$B$218*'19_Расчет_аналитики'!AV3596,MeanMinAge10))),0)</f>
        <v/>
      </c>
      <c r="AW3537">
        <f>IF('01_Вводные'!$B$234="Да",IF(OR(('19_Расчет_аналитики'!AW3453-'19_Расчет_аналитики'!AW3481)=0,10&lt;='01_Вводные'!$B$297),0,('19_Расчет_аналитики'!AW3453-'19_Расчет_аналитики'!AW3481)*IF('01_Вводные'!$B$239="Да",MeanMinAge10+'19_Расчет_аналитики'!AW3596*SUMIF(ThresholdAge10,"&lt;"&amp;'19_Расчет_аналитики'!AW3596,WeightedRevAge10)-SUMIF(ThresholdAge10,"&lt;"&amp;'19_Расчет_аналитики'!AW3596,WeightedMinAge10),MAX(CapacityAge10*'01_Вводные'!$B$218*'19_Расчет_аналитики'!AW3596,MeanMinAge10))),0)</f>
        <v/>
      </c>
      <c r="AX3537">
        <f>IF('01_Вводные'!$B$234="Да",IF(OR(('19_Расчет_аналитики'!AX3453-'19_Расчет_аналитики'!AX3481)=0,10&lt;='01_Вводные'!$B$297),0,('19_Расчет_аналитики'!AX3453-'19_Расчет_аналитики'!AX3481)*IF('01_Вводные'!$B$239="Да",MeanMinAge10+'19_Расчет_аналитики'!AX3596*SUMIF(ThresholdAge10,"&lt;"&amp;'19_Расчет_аналитики'!AX3596,WeightedRevAge10)-SUMIF(ThresholdAge10,"&lt;"&amp;'19_Расчет_аналитики'!AX3596,WeightedMinAge10),MAX(CapacityAge10*'01_Вводные'!$B$218*'19_Расчет_аналитики'!AX3596,MeanMinAge10))),0)</f>
        <v/>
      </c>
      <c r="AY3537">
        <f>IF('01_Вводные'!$B$234="Да",IF(OR(('19_Расчет_аналитики'!AY3453-'19_Расчет_аналитики'!AY3481)=0,10&lt;='01_Вводные'!$B$297),0,('19_Расчет_аналитики'!AY3453-'19_Расчет_аналитики'!AY3481)*IF('01_Вводные'!$B$239="Да",MeanMinAge10+'19_Расчет_аналитики'!AY3596*SUMIF(ThresholdAge10,"&lt;"&amp;'19_Расчет_аналитики'!AY3596,WeightedRevAge10)-SUMIF(ThresholdAge10,"&lt;"&amp;'19_Расчет_аналитики'!AY3596,WeightedMinAge10),MAX(CapacityAge10*'01_Вводные'!$B$218*'19_Расчет_аналитики'!AY3596,MeanMinAge10))),0)</f>
        <v/>
      </c>
      <c r="AZ3537">
        <f>IF('01_Вводные'!$B$234="Да",IF(OR(('19_Расчет_аналитики'!AZ3453-'19_Расчет_аналитики'!AZ3481)=0,10&lt;='01_Вводные'!$B$297),0,('19_Расчет_аналитики'!AZ3453-'19_Расчет_аналитики'!AZ3481)*IF('01_Вводные'!$B$239="Да",MeanMinAge10+'19_Расчет_аналитики'!AZ3596*SUMIF(ThresholdAge10,"&lt;"&amp;'19_Расчет_аналитики'!AZ3596,WeightedRevAge10)-SUMIF(ThresholdAge10,"&lt;"&amp;'19_Расчет_аналитики'!AZ3596,WeightedMinAge10),MAX(CapacityAge10*'01_Вводные'!$B$218*'19_Расчет_аналитики'!AZ3596,MeanMinAge10))),0)</f>
        <v/>
      </c>
      <c r="BA3537">
        <f>IF('01_Вводные'!$B$234="Да",IF(OR(('19_Расчет_аналитики'!BA3453-'19_Расчет_аналитики'!BA3481)=0,10&lt;='01_Вводные'!$B$297),0,('19_Расчет_аналитики'!BA3453-'19_Расчет_аналитики'!BA3481)*IF('01_Вводные'!$B$239="Да",MeanMinAge10+'19_Расчет_аналитики'!BA3596*SUMIF(ThresholdAge10,"&lt;"&amp;'19_Расчет_аналитики'!BA3596,WeightedRevAge10)-SUMIF(ThresholdAge10,"&lt;"&amp;'19_Расчет_аналитики'!BA3596,WeightedMinAge10),MAX(CapacityAge10*'01_Вводные'!$B$218*'19_Расчет_аналитики'!BA3596,MeanMinAge10))),0)</f>
        <v/>
      </c>
      <c r="BB3537">
        <f>IF('01_Вводные'!$B$234="Да",IF(OR(('19_Расчет_аналитики'!BB3453-'19_Расчет_аналитики'!BB3481)=0,10&lt;='01_Вводные'!$B$297),0,('19_Расчет_аналитики'!BB3453-'19_Расчет_аналитики'!BB3481)*IF('01_Вводные'!$B$239="Да",MeanMinAge10+'19_Расчет_аналитики'!BB3596*SUMIF(ThresholdAge10,"&lt;"&amp;'19_Расчет_аналитики'!BB3596,WeightedRevAge10)-SUMIF(ThresholdAge10,"&lt;"&amp;'19_Расчет_аналитики'!BB3596,WeightedMinAge10),MAX(CapacityAge10*'01_Вводные'!$B$218*'19_Расчет_аналитики'!BB3596,MeanMinAge10))),0)</f>
        <v/>
      </c>
      <c r="BC3537">
        <f>IF('01_Вводные'!$B$234="Да",IF(OR(('19_Расчет_аналитики'!BC3453-'19_Расчет_аналитики'!BC3481)=0,10&lt;='01_Вводные'!$B$297),0,('19_Расчет_аналитики'!BC3453-'19_Расчет_аналитики'!BC3481)*IF('01_Вводные'!$B$239="Да",MeanMinAge10+'19_Расчет_аналитики'!BC3596*SUMIF(ThresholdAge10,"&lt;"&amp;'19_Расчет_аналитики'!BC3596,WeightedRevAge10)-SUMIF(ThresholdAge10,"&lt;"&amp;'19_Расчет_аналитики'!BC3596,WeightedMinAge10),MAX(CapacityAge10*'01_Вводные'!$B$218*'19_Расчет_аналитики'!BC3596,MeanMinAge10))),0)</f>
        <v/>
      </c>
      <c r="BD3537">
        <f>IF('01_Вводные'!$B$234="Да",IF(OR(('19_Расчет_аналитики'!BD3453-'19_Расчет_аналитики'!BD3481)=0,10&lt;='01_Вводные'!$B$297),0,('19_Расчет_аналитики'!BD3453-'19_Расчет_аналитики'!BD3481)*IF('01_Вводные'!$B$239="Да",MeanMinAge10+'19_Расчет_аналитики'!BD3596*SUMIF(ThresholdAge10,"&lt;"&amp;'19_Расчет_аналитики'!BD3596,WeightedRevAge10)-SUMIF(ThresholdAge10,"&lt;"&amp;'19_Расчет_аналитики'!BD3596,WeightedMinAge10),MAX(CapacityAge10*'01_Вводные'!$B$218*'19_Расчет_аналитики'!BD3596,MeanMinAge10))),0)</f>
        <v/>
      </c>
      <c r="BE3537">
        <f>IF('01_Вводные'!$B$234="Да",IF(OR(('19_Расчет_аналитики'!BE3453-'19_Расчет_аналитики'!BE3481)=0,10&lt;='01_Вводные'!$B$297),0,('19_Расчет_аналитики'!BE3453-'19_Расчет_аналитики'!BE3481)*IF('01_Вводные'!$B$239="Да",MeanMinAge10+'19_Расчет_аналитики'!BE3596*SUMIF(ThresholdAge10,"&lt;"&amp;'19_Расчет_аналитики'!BE3596,WeightedRevAge10)-SUMIF(ThresholdAge10,"&lt;"&amp;'19_Расчет_аналитики'!BE3596,WeightedMinAge10),MAX(CapacityAge10*'01_Вводные'!$B$218*'19_Расчет_аналитики'!BE3596,MeanMinAge10))),0)</f>
        <v/>
      </c>
      <c r="BF3537">
        <f>IF('01_Вводные'!$B$234="Да",IF(OR(('19_Расчет_аналитики'!BF3453-'19_Расчет_аналитики'!BF3481)=0,10&lt;='01_Вводные'!$B$297),0,('19_Расчет_аналитики'!BF3453-'19_Расчет_аналитики'!BF3481)*IF('01_Вводные'!$B$239="Да",MeanMinAge10+'19_Расчет_аналитики'!BF3596*SUMIF(ThresholdAge10,"&lt;"&amp;'19_Расчет_аналитики'!BF3596,WeightedRevAge10)-SUMIF(ThresholdAge10,"&lt;"&amp;'19_Расчет_аналитики'!BF3596,WeightedMinAge10),MAX(CapacityAge10*'01_Вводные'!$B$218*'19_Расчет_аналитики'!BF3596,MeanMinAge10))),0)</f>
        <v/>
      </c>
      <c r="BG3537">
        <f>IF('01_Вводные'!$B$234="Да",IF(OR(('19_Расчет_аналитики'!BG3453-'19_Расчет_аналитики'!BG3481)=0,10&lt;='01_Вводные'!$B$297),0,('19_Расчет_аналитики'!BG3453-'19_Расчет_аналитики'!BG3481)*IF('01_Вводные'!$B$239="Да",MeanMinAge10+'19_Расчет_аналитики'!BG3596*SUMIF(ThresholdAge10,"&lt;"&amp;'19_Расчет_аналитики'!BG3596,WeightedRevAge10)-SUMIF(ThresholdAge10,"&lt;"&amp;'19_Расчет_аналитики'!BG3596,WeightedMinAge10),MAX(CapacityAge10*'01_Вводные'!$B$218*'19_Расчет_аналитики'!BG3596,MeanMinAge10))),0)</f>
        <v/>
      </c>
      <c r="BH3537">
        <f>IF('01_Вводные'!$B$234="Да",IF(OR(('19_Расчет_аналитики'!BH3453-'19_Расчет_аналитики'!BH3481)=0,10&lt;='01_Вводные'!$B$297),0,('19_Расчет_аналитики'!BH3453-'19_Расчет_аналитики'!BH3481)*IF('01_Вводные'!$B$239="Да",MeanMinAge10+'19_Расчет_аналитики'!BH3596*SUMIF(ThresholdAge10,"&lt;"&amp;'19_Расчет_аналитики'!BH3596,WeightedRevAge10)-SUMIF(ThresholdAge10,"&lt;"&amp;'19_Расчет_аналитики'!BH3596,WeightedMinAge10),MAX(CapacityAge10*'01_Вводные'!$B$218*'19_Расчет_аналитики'!BH3596,MeanMinAge10))),0)</f>
        <v/>
      </c>
      <c r="BI3537">
        <f>IF('01_Вводные'!$B$234="Да",IF(OR(('19_Расчет_аналитики'!BI3453-'19_Расчет_аналитики'!BI3481)=0,10&lt;='01_Вводные'!$B$297),0,('19_Расчет_аналитики'!BI3453-'19_Расчет_аналитики'!BI3481)*IF('01_Вводные'!$B$239="Да",MeanMinAge10+'19_Расчет_аналитики'!BI3596*SUMIF(ThresholdAge10,"&lt;"&amp;'19_Расчет_аналитики'!BI3596,WeightedRevAge10)-SUMIF(ThresholdAge10,"&lt;"&amp;'19_Расчет_аналитики'!BI3596,WeightedMinAge10),MAX(CapacityAge10*'01_Вводные'!$B$218*'19_Расчет_аналитики'!BI3596,MeanMinAge10))),0)</f>
        <v/>
      </c>
      <c r="BJ3537">
        <f>IF('01_Вводные'!$B$234="Да",IF(OR(('19_Расчет_аналитики'!BJ3453-'19_Расчет_аналитики'!BJ3481)=0,10&lt;='01_Вводные'!$B$297),0,('19_Расчет_аналитики'!BJ3453-'19_Расчет_аналитики'!BJ3481)*IF('01_Вводные'!$B$239="Да",MeanMinAge10+'19_Расчет_аналитики'!BJ3596*SUMIF(ThresholdAge10,"&lt;"&amp;'19_Расчет_аналитики'!BJ3596,WeightedRevAge10)-SUMIF(ThresholdAge10,"&lt;"&amp;'19_Расчет_аналитики'!BJ3596,WeightedMinAge10),MAX(CapacityAge10*'01_Вводные'!$B$218*'19_Расчет_аналитики'!BJ3596,MeanMinAge10))),0)</f>
        <v/>
      </c>
      <c r="BK3537">
        <f>IF('01_Вводные'!$B$234="Да",IF(OR(('19_Расчет_аналитики'!BK3453-'19_Расчет_аналитики'!BK3481)=0,10&lt;='01_Вводные'!$B$297),0,('19_Расчет_аналитики'!BK3453-'19_Расчет_аналитики'!BK3481)*IF('01_Вводные'!$B$239="Да",MeanMinAge10+'19_Расчет_аналитики'!BK3596*SUMIF(ThresholdAge10,"&lt;"&amp;'19_Расчет_аналитики'!BK3596,WeightedRevAge10)-SUMIF(ThresholdAge10,"&lt;"&amp;'19_Расчет_аналитики'!BK3596,WeightedMinAge10),MAX(CapacityAge10*'01_Вводные'!$B$218*'19_Расчет_аналитики'!BK3596,MeanMinAge10))),0)</f>
        <v/>
      </c>
      <c r="BL3537">
        <f>IF('01_Вводные'!$B$234="Да",IF(OR(('19_Расчет_аналитики'!BL3453-'19_Расчет_аналитики'!BL3481)=0,10&lt;='01_Вводные'!$B$297),0,('19_Расчет_аналитики'!BL3453-'19_Расчет_аналитики'!BL3481)*IF('01_Вводные'!$B$239="Да",MeanMinAge10+'19_Расчет_аналитики'!BL3596*SUMIF(ThresholdAge10,"&lt;"&amp;'19_Расчет_аналитики'!BL3596,WeightedRevAge10)-SUMIF(ThresholdAge10,"&lt;"&amp;'19_Расчет_аналитики'!BL3596,WeightedMinAge10),MAX(CapacityAge10*'01_Вводные'!$B$218*'19_Расчет_аналитики'!BL3596,MeanMinAge10))),0)</f>
        <v/>
      </c>
      <c r="BM3537">
        <f>IF('01_Вводные'!$B$234="Да",IF(OR(('19_Расчет_аналитики'!BM3453-'19_Расчет_аналитики'!BM3481)=0,10&lt;='01_Вводные'!$B$297),0,('19_Расчет_аналитики'!BM3453-'19_Расчет_аналитики'!BM3481)*IF('01_Вводные'!$B$239="Да",MeanMinAge10+'19_Расчет_аналитики'!BM3596*SUMIF(ThresholdAge10,"&lt;"&amp;'19_Расчет_аналитики'!BM3596,WeightedRevAge10)-SUMIF(ThresholdAge10,"&lt;"&amp;'19_Расчет_аналитики'!BM3596,WeightedMinAge10),MAX(CapacityAge10*'01_Вводные'!$B$218*'19_Расчет_аналитики'!BM3596,MeanMinAge10))),0)</f>
        <v/>
      </c>
      <c r="BN3537">
        <f>IF('01_Вводные'!$B$234="Да",IF(OR(('19_Расчет_аналитики'!BN3453-'19_Расчет_аналитики'!BN3481)=0,10&lt;='01_Вводные'!$B$297),0,('19_Расчет_аналитики'!BN3453-'19_Расчет_аналитики'!BN3481)*IF('01_Вводные'!$B$239="Да",MeanMinAge10+'19_Расчет_аналитики'!BN3596*SUMIF(ThresholdAge10,"&lt;"&amp;'19_Расчет_аналитики'!BN3596,WeightedRevAge10)-SUMIF(ThresholdAge10,"&lt;"&amp;'19_Расчет_аналитики'!BN3596,WeightedMinAge10),MAX(CapacityAge10*'01_Вводные'!$B$218*'19_Расчет_аналитики'!BN3596,MeanMinAge10))),0)</f>
        <v/>
      </c>
      <c r="BO3537">
        <f>IF('01_Вводные'!$B$234="Да",IF(OR(('19_Расчет_аналитики'!BO3453-'19_Расчет_аналитики'!BO3481)=0,10&lt;='01_Вводные'!$B$297),0,('19_Расчет_аналитики'!BO3453-'19_Расчет_аналитики'!BO3481)*IF('01_Вводные'!$B$239="Да",MeanMinAge10+'19_Расчет_аналитики'!BO3596*SUMIF(ThresholdAge10,"&lt;"&amp;'19_Расчет_аналитики'!BO3596,WeightedRevAge10)-SUMIF(ThresholdAge10,"&lt;"&amp;'19_Расчет_аналитики'!BO3596,WeightedMinAge10),MAX(CapacityAge10*'01_Вводные'!$B$218*'19_Расчет_аналитики'!BO3596,MeanMinAge10))),0)</f>
        <v/>
      </c>
    </row>
    <row r="3538">
      <c r="B3538">
        <f>IF('01_Вводные'!$B$234="Да",IF(OR(('06_Сеть_и_дети'!B63-'06_Сеть_и_дети'!B91)=0,11&lt;='01_Вводные'!$B$297),0,('06_Сеть_и_дети'!B63-'06_Сеть_и_дети'!B91)*IF('01_Вводные'!$B$239="Да",MeanMinAge11+'19_Расчет_аналитики'!B3596*SUMIF(ThresholdAge11,"&lt;"&amp;'19_Расчет_аналитики'!B3596,WeightedRevAge11)-SUMIF(ThresholdAge11,"&lt;"&amp;'19_Расчет_аналитики'!B3596,WeightedMinAge11),MAX(CapacityAge11*'01_Вводные'!$B$218*'19_Расчет_аналитики'!B3596,MeanMinAge11))),0)</f>
        <v/>
      </c>
      <c r="C3538">
        <f>IF('01_Вводные'!$B$234="Да",IF(OR(('06_Сеть_и_дети'!C63-'06_Сеть_и_дети'!C91)=0,11&lt;='01_Вводные'!$B$297),0,('06_Сеть_и_дети'!C63-'06_Сеть_и_дети'!C91)*IF('01_Вводные'!$B$239="Да",MeanMinAge11+'19_Расчет_аналитики'!C3596*SUMIF(ThresholdAge11,"&lt;"&amp;'19_Расчет_аналитики'!C3596,WeightedRevAge11)-SUMIF(ThresholdAge11,"&lt;"&amp;'19_Расчет_аналитики'!C3596,WeightedMinAge11),MAX(CapacityAge11*'01_Вводные'!$B$218*'19_Расчет_аналитики'!C3596,MeanMinAge11))),0)</f>
        <v/>
      </c>
      <c r="D3538">
        <f>IF('01_Вводные'!$B$234="Да",IF(OR(('06_Сеть_и_дети'!D63-'06_Сеть_и_дети'!D91)=0,11&lt;='01_Вводные'!$B$297),0,('06_Сеть_и_дети'!D63-'06_Сеть_и_дети'!D91)*IF('01_Вводные'!$B$239="Да",MeanMinAge11+'19_Расчет_аналитики'!D3596*SUMIF(ThresholdAge11,"&lt;"&amp;'19_Расчет_аналитики'!D3596,WeightedRevAge11)-SUMIF(ThresholdAge11,"&lt;"&amp;'19_Расчет_аналитики'!D3596,WeightedMinAge11),MAX(CapacityAge11*'01_Вводные'!$B$218*'19_Расчет_аналитики'!D3596,MeanMinAge11))),0)</f>
        <v/>
      </c>
      <c r="E3538">
        <f>IF('01_Вводные'!$B$234="Да",IF(OR(('06_Сеть_и_дети'!E63-'06_Сеть_и_дети'!E91)=0,11&lt;='01_Вводные'!$B$297),0,('06_Сеть_и_дети'!E63-'06_Сеть_и_дети'!E91)*IF('01_Вводные'!$B$239="Да",MeanMinAge11+'19_Расчет_аналитики'!E3596*SUMIF(ThresholdAge11,"&lt;"&amp;'19_Расчет_аналитики'!E3596,WeightedRevAge11)-SUMIF(ThresholdAge11,"&lt;"&amp;'19_Расчет_аналитики'!E3596,WeightedMinAge11),MAX(CapacityAge11*'01_Вводные'!$B$218*'19_Расчет_аналитики'!E3596,MeanMinAge11))),0)</f>
        <v/>
      </c>
      <c r="F3538">
        <f>IF('01_Вводные'!$B$234="Да",IF(OR(('06_Сеть_и_дети'!F63-'06_Сеть_и_дети'!F91)=0,11&lt;='01_Вводные'!$B$297),0,('06_Сеть_и_дети'!F63-'06_Сеть_и_дети'!F91)*IF('01_Вводные'!$B$239="Да",MeanMinAge11+'19_Расчет_аналитики'!F3596*SUMIF(ThresholdAge11,"&lt;"&amp;'19_Расчет_аналитики'!F3596,WeightedRevAge11)-SUMIF(ThresholdAge11,"&lt;"&amp;'19_Расчет_аналитики'!F3596,WeightedMinAge11),MAX(CapacityAge11*'01_Вводные'!$B$218*'19_Расчет_аналитики'!F3596,MeanMinAge11))),0)</f>
        <v/>
      </c>
      <c r="G3538">
        <f>IF('01_Вводные'!$B$234="Да",IF(OR(('06_Сеть_и_дети'!G63-'06_Сеть_и_дети'!G91)=0,11&lt;='01_Вводные'!$B$297),0,('06_Сеть_и_дети'!G63-'06_Сеть_и_дети'!G91)*IF('01_Вводные'!$B$239="Да",MeanMinAge11+'19_Расчет_аналитики'!G3596*SUMIF(ThresholdAge11,"&lt;"&amp;'19_Расчет_аналитики'!G3596,WeightedRevAge11)-SUMIF(ThresholdAge11,"&lt;"&amp;'19_Расчет_аналитики'!G3596,WeightedMinAge11),MAX(CapacityAge11*'01_Вводные'!$B$218*'19_Расчет_аналитики'!G3596,MeanMinAge11))),0)</f>
        <v/>
      </c>
      <c r="H3538">
        <f>IF('01_Вводные'!$B$234="Да",IF(OR(('06_Сеть_и_дети'!H63-'06_Сеть_и_дети'!H91)=0,11&lt;='01_Вводные'!$B$297),0,('06_Сеть_и_дети'!H63-'06_Сеть_и_дети'!H91)*IF('01_Вводные'!$B$239="Да",MeanMinAge11+'19_Расчет_аналитики'!H3596*SUMIF(ThresholdAge11,"&lt;"&amp;'19_Расчет_аналитики'!H3596,WeightedRevAge11)-SUMIF(ThresholdAge11,"&lt;"&amp;'19_Расчет_аналитики'!H3596,WeightedMinAge11),MAX(CapacityAge11*'01_Вводные'!$B$218*'19_Расчет_аналитики'!H3596,MeanMinAge11))),0)</f>
        <v/>
      </c>
      <c r="I3538">
        <f>IF('01_Вводные'!$B$234="Да",IF(OR(('06_Сеть_и_дети'!I63-'06_Сеть_и_дети'!I91)=0,11&lt;='01_Вводные'!$B$297),0,('06_Сеть_и_дети'!I63-'06_Сеть_и_дети'!I91)*IF('01_Вводные'!$B$239="Да",MeanMinAge11+'19_Расчет_аналитики'!I3596*SUMIF(ThresholdAge11,"&lt;"&amp;'19_Расчет_аналитики'!I3596,WeightedRevAge11)-SUMIF(ThresholdAge11,"&lt;"&amp;'19_Расчет_аналитики'!I3596,WeightedMinAge11),MAX(CapacityAge11*'01_Вводные'!$B$218*'19_Расчет_аналитики'!I3596,MeanMinAge11))),0)</f>
        <v/>
      </c>
      <c r="J3538">
        <f>IF('01_Вводные'!$B$234="Да",IF(OR(('06_Сеть_и_дети'!J63-'06_Сеть_и_дети'!J91)=0,11&lt;='01_Вводные'!$B$297),0,('06_Сеть_и_дети'!J63-'06_Сеть_и_дети'!J91)*IF('01_Вводные'!$B$239="Да",MeanMinAge11+'19_Расчет_аналитики'!J3596*SUMIF(ThresholdAge11,"&lt;"&amp;'19_Расчет_аналитики'!J3596,WeightedRevAge11)-SUMIF(ThresholdAge11,"&lt;"&amp;'19_Расчет_аналитики'!J3596,WeightedMinAge11),MAX(CapacityAge11*'01_Вводные'!$B$218*'19_Расчет_аналитики'!J3596,MeanMinAge11))),0)</f>
        <v/>
      </c>
      <c r="K3538">
        <f>IF('01_Вводные'!$B$234="Да",IF(OR(('06_Сеть_и_дети'!K63-'06_Сеть_и_дети'!K91)=0,11&lt;='01_Вводные'!$B$297),0,('06_Сеть_и_дети'!K63-'06_Сеть_и_дети'!K91)*IF('01_Вводные'!$B$239="Да",MeanMinAge11+'19_Расчет_аналитики'!K3596*SUMIF(ThresholdAge11,"&lt;"&amp;'19_Расчет_аналитики'!K3596,WeightedRevAge11)-SUMIF(ThresholdAge11,"&lt;"&amp;'19_Расчет_аналитики'!K3596,WeightedMinAge11),MAX(CapacityAge11*'01_Вводные'!$B$218*'19_Расчет_аналитики'!K3596,MeanMinAge11))),0)</f>
        <v/>
      </c>
      <c r="L3538">
        <f>IF('01_Вводные'!$B$234="Да",IF(OR(('19_Расчет_аналитики'!L3454-'19_Расчет_аналитики'!L3482)=0,11&lt;='01_Вводные'!$B$297),0,('19_Расчет_аналитики'!L3454-'19_Расчет_аналитики'!L3482)*IF('01_Вводные'!$B$239="Да",MeanMinAge11+'19_Расчет_аналитики'!L3596*SUMIF(ThresholdAge11,"&lt;"&amp;'19_Расчет_аналитики'!L3596,WeightedRevAge11)-SUMIF(ThresholdAge11,"&lt;"&amp;'19_Расчет_аналитики'!L3596,WeightedMinAge11),MAX(CapacityAge11*'01_Вводные'!$B$218*'19_Расчет_аналитики'!L3596,MeanMinAge11))),0)</f>
        <v/>
      </c>
      <c r="M3538">
        <f>IF('01_Вводные'!$B$234="Да",IF(OR(('19_Расчет_аналитики'!M3454-'19_Расчет_аналитики'!M3482)=0,11&lt;='01_Вводные'!$B$297),0,('19_Расчет_аналитики'!M3454-'19_Расчет_аналитики'!M3482)*IF('01_Вводные'!$B$239="Да",MeanMinAge11+'19_Расчет_аналитики'!M3596*SUMIF(ThresholdAge11,"&lt;"&amp;'19_Расчет_аналитики'!M3596,WeightedRevAge11)-SUMIF(ThresholdAge11,"&lt;"&amp;'19_Расчет_аналитики'!M3596,WeightedMinAge11),MAX(CapacityAge11*'01_Вводные'!$B$218*'19_Расчет_аналитики'!M3596,MeanMinAge11))),0)</f>
        <v/>
      </c>
      <c r="N3538">
        <f>IF('01_Вводные'!$B$234="Да",IF(OR(('19_Расчет_аналитики'!N3454-'19_Расчет_аналитики'!N3482)=0,11&lt;='01_Вводные'!$B$297),0,('19_Расчет_аналитики'!N3454-'19_Расчет_аналитики'!N3482)*IF('01_Вводные'!$B$239="Да",MeanMinAge11+'19_Расчет_аналитики'!N3596*SUMIF(ThresholdAge11,"&lt;"&amp;'19_Расчет_аналитики'!N3596,WeightedRevAge11)-SUMIF(ThresholdAge11,"&lt;"&amp;'19_Расчет_аналитики'!N3596,WeightedMinAge11),MAX(CapacityAge11*'01_Вводные'!$B$218*'19_Расчет_аналитики'!N3596,MeanMinAge11))),0)</f>
        <v/>
      </c>
      <c r="O3538">
        <f>IF('01_Вводные'!$B$234="Да",IF(OR(('19_Расчет_аналитики'!O3454-'19_Расчет_аналитики'!O3482)=0,11&lt;='01_Вводные'!$B$297),0,('19_Расчет_аналитики'!O3454-'19_Расчет_аналитики'!O3482)*IF('01_Вводные'!$B$239="Да",MeanMinAge11+'19_Расчет_аналитики'!O3596*SUMIF(ThresholdAge11,"&lt;"&amp;'19_Расчет_аналитики'!O3596,WeightedRevAge11)-SUMIF(ThresholdAge11,"&lt;"&amp;'19_Расчет_аналитики'!O3596,WeightedMinAge11),MAX(CapacityAge11*'01_Вводные'!$B$218*'19_Расчет_аналитики'!O3596,MeanMinAge11))),0)</f>
        <v/>
      </c>
      <c r="P3538">
        <f>IF('01_Вводные'!$B$234="Да",IF(OR(('19_Расчет_аналитики'!P3454-'19_Расчет_аналитики'!P3482)=0,11&lt;='01_Вводные'!$B$297),0,('19_Расчет_аналитики'!P3454-'19_Расчет_аналитики'!P3482)*IF('01_Вводные'!$B$239="Да",MeanMinAge11+'19_Расчет_аналитики'!P3596*SUMIF(ThresholdAge11,"&lt;"&amp;'19_Расчет_аналитики'!P3596,WeightedRevAge11)-SUMIF(ThresholdAge11,"&lt;"&amp;'19_Расчет_аналитики'!P3596,WeightedMinAge11),MAX(CapacityAge11*'01_Вводные'!$B$218*'19_Расчет_аналитики'!P3596,MeanMinAge11))),0)</f>
        <v/>
      </c>
      <c r="Q3538">
        <f>IF('01_Вводные'!$B$234="Да",IF(OR(('19_Расчет_аналитики'!Q3454-'19_Расчет_аналитики'!Q3482)=0,11&lt;='01_Вводные'!$B$297),0,('19_Расчет_аналитики'!Q3454-'19_Расчет_аналитики'!Q3482)*IF('01_Вводные'!$B$239="Да",MeanMinAge11+'19_Расчет_аналитики'!Q3596*SUMIF(ThresholdAge11,"&lt;"&amp;'19_Расчет_аналитики'!Q3596,WeightedRevAge11)-SUMIF(ThresholdAge11,"&lt;"&amp;'19_Расчет_аналитики'!Q3596,WeightedMinAge11),MAX(CapacityAge11*'01_Вводные'!$B$218*'19_Расчет_аналитики'!Q3596,MeanMinAge11))),0)</f>
        <v/>
      </c>
      <c r="R3538">
        <f>IF('01_Вводные'!$B$234="Да",IF(OR(('19_Расчет_аналитики'!R3454-'19_Расчет_аналитики'!R3482)=0,11&lt;='01_Вводные'!$B$297),0,('19_Расчет_аналитики'!R3454-'19_Расчет_аналитики'!R3482)*IF('01_Вводные'!$B$239="Да",MeanMinAge11+'19_Расчет_аналитики'!R3596*SUMIF(ThresholdAge11,"&lt;"&amp;'19_Расчет_аналитики'!R3596,WeightedRevAge11)-SUMIF(ThresholdAge11,"&lt;"&amp;'19_Расчет_аналитики'!R3596,WeightedMinAge11),MAX(CapacityAge11*'01_Вводные'!$B$218*'19_Расчет_аналитики'!R3596,MeanMinAge11))),0)</f>
        <v/>
      </c>
      <c r="S3538">
        <f>IF('01_Вводные'!$B$234="Да",IF(OR(('19_Расчет_аналитики'!S3454-'19_Расчет_аналитики'!S3482)=0,11&lt;='01_Вводные'!$B$297),0,('19_Расчет_аналитики'!S3454-'19_Расчет_аналитики'!S3482)*IF('01_Вводные'!$B$239="Да",MeanMinAge11+'19_Расчет_аналитики'!S3596*SUMIF(ThresholdAge11,"&lt;"&amp;'19_Расчет_аналитики'!S3596,WeightedRevAge11)-SUMIF(ThresholdAge11,"&lt;"&amp;'19_Расчет_аналитики'!S3596,WeightedMinAge11),MAX(CapacityAge11*'01_Вводные'!$B$218*'19_Расчет_аналитики'!S3596,MeanMinAge11))),0)</f>
        <v/>
      </c>
      <c r="T3538">
        <f>IF('01_Вводные'!$B$234="Да",IF(OR(('19_Расчет_аналитики'!T3454-'19_Расчет_аналитики'!T3482)=0,11&lt;='01_Вводные'!$B$297),0,('19_Расчет_аналитики'!T3454-'19_Расчет_аналитики'!T3482)*IF('01_Вводные'!$B$239="Да",MeanMinAge11+'19_Расчет_аналитики'!T3596*SUMIF(ThresholdAge11,"&lt;"&amp;'19_Расчет_аналитики'!T3596,WeightedRevAge11)-SUMIF(ThresholdAge11,"&lt;"&amp;'19_Расчет_аналитики'!T3596,WeightedMinAge11),MAX(CapacityAge11*'01_Вводные'!$B$218*'19_Расчет_аналитики'!T3596,MeanMinAge11))),0)</f>
        <v/>
      </c>
      <c r="U3538">
        <f>IF('01_Вводные'!$B$234="Да",IF(OR(('19_Расчет_аналитики'!U3454-'19_Расчет_аналитики'!U3482)=0,11&lt;='01_Вводные'!$B$297),0,('19_Расчет_аналитики'!U3454-'19_Расчет_аналитики'!U3482)*IF('01_Вводные'!$B$239="Да",MeanMinAge11+'19_Расчет_аналитики'!U3596*SUMIF(ThresholdAge11,"&lt;"&amp;'19_Расчет_аналитики'!U3596,WeightedRevAge11)-SUMIF(ThresholdAge11,"&lt;"&amp;'19_Расчет_аналитики'!U3596,WeightedMinAge11),MAX(CapacityAge11*'01_Вводные'!$B$218*'19_Расчет_аналитики'!U3596,MeanMinAge11))),0)</f>
        <v/>
      </c>
      <c r="V3538">
        <f>IF('01_Вводные'!$B$234="Да",IF(OR(('19_Расчет_аналитики'!V3454-'19_Расчет_аналитики'!V3482)=0,11&lt;='01_Вводные'!$B$297),0,('19_Расчет_аналитики'!V3454-'19_Расчет_аналитики'!V3482)*IF('01_Вводные'!$B$239="Да",MeanMinAge11+'19_Расчет_аналитики'!V3596*SUMIF(ThresholdAge11,"&lt;"&amp;'19_Расчет_аналитики'!V3596,WeightedRevAge11)-SUMIF(ThresholdAge11,"&lt;"&amp;'19_Расчет_аналитики'!V3596,WeightedMinAge11),MAX(CapacityAge11*'01_Вводные'!$B$218*'19_Расчет_аналитики'!V3596,MeanMinAge11))),0)</f>
        <v/>
      </c>
      <c r="W3538">
        <f>IF('01_Вводные'!$B$234="Да",IF(OR(('19_Расчет_аналитики'!W3454-'19_Расчет_аналитики'!W3482)=0,11&lt;='01_Вводные'!$B$297),0,('19_Расчет_аналитики'!W3454-'19_Расчет_аналитики'!W3482)*IF('01_Вводные'!$B$239="Да",MeanMinAge11+'19_Расчет_аналитики'!W3596*SUMIF(ThresholdAge11,"&lt;"&amp;'19_Расчет_аналитики'!W3596,WeightedRevAge11)-SUMIF(ThresholdAge11,"&lt;"&amp;'19_Расчет_аналитики'!W3596,WeightedMinAge11),MAX(CapacityAge11*'01_Вводные'!$B$218*'19_Расчет_аналитики'!W3596,MeanMinAge11))),0)</f>
        <v/>
      </c>
      <c r="X3538">
        <f>IF('01_Вводные'!$B$234="Да",IF(OR(('19_Расчет_аналитики'!X3454-'19_Расчет_аналитики'!X3482)=0,11&lt;='01_Вводные'!$B$297),0,('19_Расчет_аналитики'!X3454-'19_Расчет_аналитики'!X3482)*IF('01_Вводные'!$B$239="Да",MeanMinAge11+'19_Расчет_аналитики'!X3596*SUMIF(ThresholdAge11,"&lt;"&amp;'19_Расчет_аналитики'!X3596,WeightedRevAge11)-SUMIF(ThresholdAge11,"&lt;"&amp;'19_Расчет_аналитики'!X3596,WeightedMinAge11),MAX(CapacityAge11*'01_Вводные'!$B$218*'19_Расчет_аналитики'!X3596,MeanMinAge11))),0)</f>
        <v/>
      </c>
      <c r="Y3538">
        <f>IF('01_Вводные'!$B$234="Да",IF(OR(('19_Расчет_аналитики'!Y3454-'19_Расчет_аналитики'!Y3482)=0,11&lt;='01_Вводные'!$B$297),0,('19_Расчет_аналитики'!Y3454-'19_Расчет_аналитики'!Y3482)*IF('01_Вводные'!$B$239="Да",MeanMinAge11+'19_Расчет_аналитики'!Y3596*SUMIF(ThresholdAge11,"&lt;"&amp;'19_Расчет_аналитики'!Y3596,WeightedRevAge11)-SUMIF(ThresholdAge11,"&lt;"&amp;'19_Расчет_аналитики'!Y3596,WeightedMinAge11),MAX(CapacityAge11*'01_Вводные'!$B$218*'19_Расчет_аналитики'!Y3596,MeanMinAge11))),0)</f>
        <v/>
      </c>
      <c r="Z3538">
        <f>IF('01_Вводные'!$B$234="Да",IF(OR(('19_Расчет_аналитики'!Z3454-'19_Расчет_аналитики'!Z3482)=0,11&lt;='01_Вводные'!$B$297),0,('19_Расчет_аналитики'!Z3454-'19_Расчет_аналитики'!Z3482)*IF('01_Вводные'!$B$239="Да",MeanMinAge11+'19_Расчет_аналитики'!Z3596*SUMIF(ThresholdAge11,"&lt;"&amp;'19_Расчет_аналитики'!Z3596,WeightedRevAge11)-SUMIF(ThresholdAge11,"&lt;"&amp;'19_Расчет_аналитики'!Z3596,WeightedMinAge11),MAX(CapacityAge11*'01_Вводные'!$B$218*'19_Расчет_аналитики'!Z3596,MeanMinAge11))),0)</f>
        <v/>
      </c>
      <c r="AA3538">
        <f>IF('01_Вводные'!$B$234="Да",IF(OR(('19_Расчет_аналитики'!AA3454-'19_Расчет_аналитики'!AA3482)=0,11&lt;='01_Вводные'!$B$297),0,('19_Расчет_аналитики'!AA3454-'19_Расчет_аналитики'!AA3482)*IF('01_Вводные'!$B$239="Да",MeanMinAge11+'19_Расчет_аналитики'!AA3596*SUMIF(ThresholdAge11,"&lt;"&amp;'19_Расчет_аналитики'!AA3596,WeightedRevAge11)-SUMIF(ThresholdAge11,"&lt;"&amp;'19_Расчет_аналитики'!AA3596,WeightedMinAge11),MAX(CapacityAge11*'01_Вводные'!$B$218*'19_Расчет_аналитики'!AA3596,MeanMinAge11))),0)</f>
        <v/>
      </c>
      <c r="AB3538">
        <f>IF('01_Вводные'!$B$234="Да",IF(OR(('19_Расчет_аналитики'!AB3454-'19_Расчет_аналитики'!AB3482)=0,11&lt;='01_Вводные'!$B$297),0,('19_Расчет_аналитики'!AB3454-'19_Расчет_аналитики'!AB3482)*IF('01_Вводные'!$B$239="Да",MeanMinAge11+'19_Расчет_аналитики'!AB3596*SUMIF(ThresholdAge11,"&lt;"&amp;'19_Расчет_аналитики'!AB3596,WeightedRevAge11)-SUMIF(ThresholdAge11,"&lt;"&amp;'19_Расчет_аналитики'!AB3596,WeightedMinAge11),MAX(CapacityAge11*'01_Вводные'!$B$218*'19_Расчет_аналитики'!AB3596,MeanMinAge11))),0)</f>
        <v/>
      </c>
      <c r="AC3538">
        <f>IF('01_Вводные'!$B$234="Да",IF(OR(('19_Расчет_аналитики'!AC3454-'19_Расчет_аналитики'!AC3482)=0,11&lt;='01_Вводные'!$B$297),0,('19_Расчет_аналитики'!AC3454-'19_Расчет_аналитики'!AC3482)*IF('01_Вводные'!$B$239="Да",MeanMinAge11+'19_Расчет_аналитики'!AC3596*SUMIF(ThresholdAge11,"&lt;"&amp;'19_Расчет_аналитики'!AC3596,WeightedRevAge11)-SUMIF(ThresholdAge11,"&lt;"&amp;'19_Расчет_аналитики'!AC3596,WeightedMinAge11),MAX(CapacityAge11*'01_Вводные'!$B$218*'19_Расчет_аналитики'!AC3596,MeanMinAge11))),0)</f>
        <v/>
      </c>
      <c r="AD3538">
        <f>IF('01_Вводные'!$B$234="Да",IF(OR(('19_Расчет_аналитики'!AD3454-'19_Расчет_аналитики'!AD3482)=0,11&lt;='01_Вводные'!$B$297),0,('19_Расчет_аналитики'!AD3454-'19_Расчет_аналитики'!AD3482)*IF('01_Вводные'!$B$239="Да",MeanMinAge11+'19_Расчет_аналитики'!AD3596*SUMIF(ThresholdAge11,"&lt;"&amp;'19_Расчет_аналитики'!AD3596,WeightedRevAge11)-SUMIF(ThresholdAge11,"&lt;"&amp;'19_Расчет_аналитики'!AD3596,WeightedMinAge11),MAX(CapacityAge11*'01_Вводные'!$B$218*'19_Расчет_аналитики'!AD3596,MeanMinAge11))),0)</f>
        <v/>
      </c>
      <c r="AE3538">
        <f>IF('01_Вводные'!$B$234="Да",IF(OR(('19_Расчет_аналитики'!AE3454-'19_Расчет_аналитики'!AE3482)=0,11&lt;='01_Вводные'!$B$297),0,('19_Расчет_аналитики'!AE3454-'19_Расчет_аналитики'!AE3482)*IF('01_Вводные'!$B$239="Да",MeanMinAge11+'19_Расчет_аналитики'!AE3596*SUMIF(ThresholdAge11,"&lt;"&amp;'19_Расчет_аналитики'!AE3596,WeightedRevAge11)-SUMIF(ThresholdAge11,"&lt;"&amp;'19_Расчет_аналитики'!AE3596,WeightedMinAge11),MAX(CapacityAge11*'01_Вводные'!$B$218*'19_Расчет_аналитики'!AE3596,MeanMinAge11))),0)</f>
        <v/>
      </c>
      <c r="AF3538">
        <f>IF('01_Вводные'!$B$234="Да",IF(OR(('19_Расчет_аналитики'!AF3454-'19_Расчет_аналитики'!AF3482)=0,11&lt;='01_Вводные'!$B$297),0,('19_Расчет_аналитики'!AF3454-'19_Расчет_аналитики'!AF3482)*IF('01_Вводные'!$B$239="Да",MeanMinAge11+'19_Расчет_аналитики'!AF3596*SUMIF(ThresholdAge11,"&lt;"&amp;'19_Расчет_аналитики'!AF3596,WeightedRevAge11)-SUMIF(ThresholdAge11,"&lt;"&amp;'19_Расчет_аналитики'!AF3596,WeightedMinAge11),MAX(CapacityAge11*'01_Вводные'!$B$218*'19_Расчет_аналитики'!AF3596,MeanMinAge11))),0)</f>
        <v/>
      </c>
      <c r="AG3538">
        <f>IF('01_Вводные'!$B$234="Да",IF(OR(('19_Расчет_аналитики'!AG3454-'19_Расчет_аналитики'!AG3482)=0,11&lt;='01_Вводные'!$B$297),0,('19_Расчет_аналитики'!AG3454-'19_Расчет_аналитики'!AG3482)*IF('01_Вводные'!$B$239="Да",MeanMinAge11+'19_Расчет_аналитики'!AG3596*SUMIF(ThresholdAge11,"&lt;"&amp;'19_Расчет_аналитики'!AG3596,WeightedRevAge11)-SUMIF(ThresholdAge11,"&lt;"&amp;'19_Расчет_аналитики'!AG3596,WeightedMinAge11),MAX(CapacityAge11*'01_Вводные'!$B$218*'19_Расчет_аналитики'!AG3596,MeanMinAge11))),0)</f>
        <v/>
      </c>
      <c r="AH3538">
        <f>IF('01_Вводные'!$B$234="Да",IF(OR(('19_Расчет_аналитики'!AH3454-'19_Расчет_аналитики'!AH3482)=0,11&lt;='01_Вводные'!$B$297),0,('19_Расчет_аналитики'!AH3454-'19_Расчет_аналитики'!AH3482)*IF('01_Вводные'!$B$239="Да",MeanMinAge11+'19_Расчет_аналитики'!AH3596*SUMIF(ThresholdAge11,"&lt;"&amp;'19_Расчет_аналитики'!AH3596,WeightedRevAge11)-SUMIF(ThresholdAge11,"&lt;"&amp;'19_Расчет_аналитики'!AH3596,WeightedMinAge11),MAX(CapacityAge11*'01_Вводные'!$B$218*'19_Расчет_аналитики'!AH3596,MeanMinAge11))),0)</f>
        <v/>
      </c>
      <c r="AI3538">
        <f>IF('01_Вводные'!$B$234="Да",IF(OR(('19_Расчет_аналитики'!AI3454-'19_Расчет_аналитики'!AI3482)=0,11&lt;='01_Вводные'!$B$297),0,('19_Расчет_аналитики'!AI3454-'19_Расчет_аналитики'!AI3482)*IF('01_Вводные'!$B$239="Да",MeanMinAge11+'19_Расчет_аналитики'!AI3596*SUMIF(ThresholdAge11,"&lt;"&amp;'19_Расчет_аналитики'!AI3596,WeightedRevAge11)-SUMIF(ThresholdAge11,"&lt;"&amp;'19_Расчет_аналитики'!AI3596,WeightedMinAge11),MAX(CapacityAge11*'01_Вводные'!$B$218*'19_Расчет_аналитики'!AI3596,MeanMinAge11))),0)</f>
        <v/>
      </c>
      <c r="AJ3538">
        <f>IF('01_Вводные'!$B$234="Да",IF(OR(('19_Расчет_аналитики'!AJ3454-'19_Расчет_аналитики'!AJ3482)=0,11&lt;='01_Вводные'!$B$297),0,('19_Расчет_аналитики'!AJ3454-'19_Расчет_аналитики'!AJ3482)*IF('01_Вводные'!$B$239="Да",MeanMinAge11+'19_Расчет_аналитики'!AJ3596*SUMIF(ThresholdAge11,"&lt;"&amp;'19_Расчет_аналитики'!AJ3596,WeightedRevAge11)-SUMIF(ThresholdAge11,"&lt;"&amp;'19_Расчет_аналитики'!AJ3596,WeightedMinAge11),MAX(CapacityAge11*'01_Вводные'!$B$218*'19_Расчет_аналитики'!AJ3596,MeanMinAge11))),0)</f>
        <v/>
      </c>
      <c r="AK3538">
        <f>IF('01_Вводные'!$B$234="Да",IF(OR(('19_Расчет_аналитики'!AK3454-'19_Расчет_аналитики'!AK3482)=0,11&lt;='01_Вводные'!$B$297),0,('19_Расчет_аналитики'!AK3454-'19_Расчет_аналитики'!AK3482)*IF('01_Вводные'!$B$239="Да",MeanMinAge11+'19_Расчет_аналитики'!AK3596*SUMIF(ThresholdAge11,"&lt;"&amp;'19_Расчет_аналитики'!AK3596,WeightedRevAge11)-SUMIF(ThresholdAge11,"&lt;"&amp;'19_Расчет_аналитики'!AK3596,WeightedMinAge11),MAX(CapacityAge11*'01_Вводные'!$B$218*'19_Расчет_аналитики'!AK3596,MeanMinAge11))),0)</f>
        <v/>
      </c>
      <c r="AL3538">
        <f>IF('01_Вводные'!$B$234="Да",IF(OR(('19_Расчет_аналитики'!AL3454-'19_Расчет_аналитики'!AL3482)=0,11&lt;='01_Вводные'!$B$297),0,('19_Расчет_аналитики'!AL3454-'19_Расчет_аналитики'!AL3482)*IF('01_Вводные'!$B$239="Да",MeanMinAge11+'19_Расчет_аналитики'!AL3596*SUMIF(ThresholdAge11,"&lt;"&amp;'19_Расчет_аналитики'!AL3596,WeightedRevAge11)-SUMIF(ThresholdAge11,"&lt;"&amp;'19_Расчет_аналитики'!AL3596,WeightedMinAge11),MAX(CapacityAge11*'01_Вводные'!$B$218*'19_Расчет_аналитики'!AL3596,MeanMinAge11))),0)</f>
        <v/>
      </c>
      <c r="AM3538">
        <f>IF('01_Вводные'!$B$234="Да",IF(OR(('19_Расчет_аналитики'!AM3454-'19_Расчет_аналитики'!AM3482)=0,11&lt;='01_Вводные'!$B$297),0,('19_Расчет_аналитики'!AM3454-'19_Расчет_аналитики'!AM3482)*IF('01_Вводные'!$B$239="Да",MeanMinAge11+'19_Расчет_аналитики'!AM3596*SUMIF(ThresholdAge11,"&lt;"&amp;'19_Расчет_аналитики'!AM3596,WeightedRevAge11)-SUMIF(ThresholdAge11,"&lt;"&amp;'19_Расчет_аналитики'!AM3596,WeightedMinAge11),MAX(CapacityAge11*'01_Вводные'!$B$218*'19_Расчет_аналитики'!AM3596,MeanMinAge11))),0)</f>
        <v/>
      </c>
      <c r="AN3538">
        <f>IF('01_Вводные'!$B$234="Да",IF(OR(('19_Расчет_аналитики'!AN3454-'19_Расчет_аналитики'!AN3482)=0,11&lt;='01_Вводные'!$B$297),0,('19_Расчет_аналитики'!AN3454-'19_Расчет_аналитики'!AN3482)*IF('01_Вводные'!$B$239="Да",MeanMinAge11+'19_Расчет_аналитики'!AN3596*SUMIF(ThresholdAge11,"&lt;"&amp;'19_Расчет_аналитики'!AN3596,WeightedRevAge11)-SUMIF(ThresholdAge11,"&lt;"&amp;'19_Расчет_аналитики'!AN3596,WeightedMinAge11),MAX(CapacityAge11*'01_Вводные'!$B$218*'19_Расчет_аналитики'!AN3596,MeanMinAge11))),0)</f>
        <v/>
      </c>
      <c r="AO3538">
        <f>IF('01_Вводные'!$B$234="Да",IF(OR(('19_Расчет_аналитики'!AO3454-'19_Расчет_аналитики'!AO3482)=0,11&lt;='01_Вводные'!$B$297),0,('19_Расчет_аналитики'!AO3454-'19_Расчет_аналитики'!AO3482)*IF('01_Вводные'!$B$239="Да",MeanMinAge11+'19_Расчет_аналитики'!AO3596*SUMIF(ThresholdAge11,"&lt;"&amp;'19_Расчет_аналитики'!AO3596,WeightedRevAge11)-SUMIF(ThresholdAge11,"&lt;"&amp;'19_Расчет_аналитики'!AO3596,WeightedMinAge11),MAX(CapacityAge11*'01_Вводные'!$B$218*'19_Расчет_аналитики'!AO3596,MeanMinAge11))),0)</f>
        <v/>
      </c>
      <c r="AP3538">
        <f>IF('01_Вводные'!$B$234="Да",IF(OR(('19_Расчет_аналитики'!AP3454-'19_Расчет_аналитики'!AP3482)=0,11&lt;='01_Вводные'!$B$297),0,('19_Расчет_аналитики'!AP3454-'19_Расчет_аналитики'!AP3482)*IF('01_Вводные'!$B$239="Да",MeanMinAge11+'19_Расчет_аналитики'!AP3596*SUMIF(ThresholdAge11,"&lt;"&amp;'19_Расчет_аналитики'!AP3596,WeightedRevAge11)-SUMIF(ThresholdAge11,"&lt;"&amp;'19_Расчет_аналитики'!AP3596,WeightedMinAge11),MAX(CapacityAge11*'01_Вводные'!$B$218*'19_Расчет_аналитики'!AP3596,MeanMinAge11))),0)</f>
        <v/>
      </c>
      <c r="AQ3538">
        <f>IF('01_Вводные'!$B$234="Да",IF(OR(('19_Расчет_аналитики'!AQ3454-'19_Расчет_аналитики'!AQ3482)=0,11&lt;='01_Вводные'!$B$297),0,('19_Расчет_аналитики'!AQ3454-'19_Расчет_аналитики'!AQ3482)*IF('01_Вводные'!$B$239="Да",MeanMinAge11+'19_Расчет_аналитики'!AQ3596*SUMIF(ThresholdAge11,"&lt;"&amp;'19_Расчет_аналитики'!AQ3596,WeightedRevAge11)-SUMIF(ThresholdAge11,"&lt;"&amp;'19_Расчет_аналитики'!AQ3596,WeightedMinAge11),MAX(CapacityAge11*'01_Вводные'!$B$218*'19_Расчет_аналитики'!AQ3596,MeanMinAge11))),0)</f>
        <v/>
      </c>
      <c r="AR3538">
        <f>IF('01_Вводные'!$B$234="Да",IF(OR(('19_Расчет_аналитики'!AR3454-'19_Расчет_аналитики'!AR3482)=0,11&lt;='01_Вводные'!$B$297),0,('19_Расчет_аналитики'!AR3454-'19_Расчет_аналитики'!AR3482)*IF('01_Вводные'!$B$239="Да",MeanMinAge11+'19_Расчет_аналитики'!AR3596*SUMIF(ThresholdAge11,"&lt;"&amp;'19_Расчет_аналитики'!AR3596,WeightedRevAge11)-SUMIF(ThresholdAge11,"&lt;"&amp;'19_Расчет_аналитики'!AR3596,WeightedMinAge11),MAX(CapacityAge11*'01_Вводные'!$B$218*'19_Расчет_аналитики'!AR3596,MeanMinAge11))),0)</f>
        <v/>
      </c>
      <c r="AS3538">
        <f>IF('01_Вводные'!$B$234="Да",IF(OR(('19_Расчет_аналитики'!AS3454-'19_Расчет_аналитики'!AS3482)=0,11&lt;='01_Вводные'!$B$297),0,('19_Расчет_аналитики'!AS3454-'19_Расчет_аналитики'!AS3482)*IF('01_Вводные'!$B$239="Да",MeanMinAge11+'19_Расчет_аналитики'!AS3596*SUMIF(ThresholdAge11,"&lt;"&amp;'19_Расчет_аналитики'!AS3596,WeightedRevAge11)-SUMIF(ThresholdAge11,"&lt;"&amp;'19_Расчет_аналитики'!AS3596,WeightedMinAge11),MAX(CapacityAge11*'01_Вводные'!$B$218*'19_Расчет_аналитики'!AS3596,MeanMinAge11))),0)</f>
        <v/>
      </c>
      <c r="AT3538">
        <f>IF('01_Вводные'!$B$234="Да",IF(OR(('19_Расчет_аналитики'!AT3454-'19_Расчет_аналитики'!AT3482)=0,11&lt;='01_Вводные'!$B$297),0,('19_Расчет_аналитики'!AT3454-'19_Расчет_аналитики'!AT3482)*IF('01_Вводные'!$B$239="Да",MeanMinAge11+'19_Расчет_аналитики'!AT3596*SUMIF(ThresholdAge11,"&lt;"&amp;'19_Расчет_аналитики'!AT3596,WeightedRevAge11)-SUMIF(ThresholdAge11,"&lt;"&amp;'19_Расчет_аналитики'!AT3596,WeightedMinAge11),MAX(CapacityAge11*'01_Вводные'!$B$218*'19_Расчет_аналитики'!AT3596,MeanMinAge11))),0)</f>
        <v/>
      </c>
      <c r="AU3538">
        <f>IF('01_Вводные'!$B$234="Да",IF(OR(('19_Расчет_аналитики'!AU3454-'19_Расчет_аналитики'!AU3482)=0,11&lt;='01_Вводные'!$B$297),0,('19_Расчет_аналитики'!AU3454-'19_Расчет_аналитики'!AU3482)*IF('01_Вводные'!$B$239="Да",MeanMinAge11+'19_Расчет_аналитики'!AU3596*SUMIF(ThresholdAge11,"&lt;"&amp;'19_Расчет_аналитики'!AU3596,WeightedRevAge11)-SUMIF(ThresholdAge11,"&lt;"&amp;'19_Расчет_аналитики'!AU3596,WeightedMinAge11),MAX(CapacityAge11*'01_Вводные'!$B$218*'19_Расчет_аналитики'!AU3596,MeanMinAge11))),0)</f>
        <v/>
      </c>
      <c r="AV3538">
        <f>IF('01_Вводные'!$B$234="Да",IF(OR(('19_Расчет_аналитики'!AV3454-'19_Расчет_аналитики'!AV3482)=0,11&lt;='01_Вводные'!$B$297),0,('19_Расчет_аналитики'!AV3454-'19_Расчет_аналитики'!AV3482)*IF('01_Вводные'!$B$239="Да",MeanMinAge11+'19_Расчет_аналитики'!AV3596*SUMIF(ThresholdAge11,"&lt;"&amp;'19_Расчет_аналитики'!AV3596,WeightedRevAge11)-SUMIF(ThresholdAge11,"&lt;"&amp;'19_Расчет_аналитики'!AV3596,WeightedMinAge11),MAX(CapacityAge11*'01_Вводные'!$B$218*'19_Расчет_аналитики'!AV3596,MeanMinAge11))),0)</f>
        <v/>
      </c>
      <c r="AW3538">
        <f>IF('01_Вводные'!$B$234="Да",IF(OR(('19_Расчет_аналитики'!AW3454-'19_Расчет_аналитики'!AW3482)=0,11&lt;='01_Вводные'!$B$297),0,('19_Расчет_аналитики'!AW3454-'19_Расчет_аналитики'!AW3482)*IF('01_Вводные'!$B$239="Да",MeanMinAge11+'19_Расчет_аналитики'!AW3596*SUMIF(ThresholdAge11,"&lt;"&amp;'19_Расчет_аналитики'!AW3596,WeightedRevAge11)-SUMIF(ThresholdAge11,"&lt;"&amp;'19_Расчет_аналитики'!AW3596,WeightedMinAge11),MAX(CapacityAge11*'01_Вводные'!$B$218*'19_Расчет_аналитики'!AW3596,MeanMinAge11))),0)</f>
        <v/>
      </c>
      <c r="AX3538">
        <f>IF('01_Вводные'!$B$234="Да",IF(OR(('19_Расчет_аналитики'!AX3454-'19_Расчет_аналитики'!AX3482)=0,11&lt;='01_Вводные'!$B$297),0,('19_Расчет_аналитики'!AX3454-'19_Расчет_аналитики'!AX3482)*IF('01_Вводные'!$B$239="Да",MeanMinAge11+'19_Расчет_аналитики'!AX3596*SUMIF(ThresholdAge11,"&lt;"&amp;'19_Расчет_аналитики'!AX3596,WeightedRevAge11)-SUMIF(ThresholdAge11,"&lt;"&amp;'19_Расчет_аналитики'!AX3596,WeightedMinAge11),MAX(CapacityAge11*'01_Вводные'!$B$218*'19_Расчет_аналитики'!AX3596,MeanMinAge11))),0)</f>
        <v/>
      </c>
      <c r="AY3538">
        <f>IF('01_Вводные'!$B$234="Да",IF(OR(('19_Расчет_аналитики'!AY3454-'19_Расчет_аналитики'!AY3482)=0,11&lt;='01_Вводные'!$B$297),0,('19_Расчет_аналитики'!AY3454-'19_Расчет_аналитики'!AY3482)*IF('01_Вводные'!$B$239="Да",MeanMinAge11+'19_Расчет_аналитики'!AY3596*SUMIF(ThresholdAge11,"&lt;"&amp;'19_Расчет_аналитики'!AY3596,WeightedRevAge11)-SUMIF(ThresholdAge11,"&lt;"&amp;'19_Расчет_аналитики'!AY3596,WeightedMinAge11),MAX(CapacityAge11*'01_Вводные'!$B$218*'19_Расчет_аналитики'!AY3596,MeanMinAge11))),0)</f>
        <v/>
      </c>
      <c r="AZ3538">
        <f>IF('01_Вводные'!$B$234="Да",IF(OR(('19_Расчет_аналитики'!AZ3454-'19_Расчет_аналитики'!AZ3482)=0,11&lt;='01_Вводные'!$B$297),0,('19_Расчет_аналитики'!AZ3454-'19_Расчет_аналитики'!AZ3482)*IF('01_Вводные'!$B$239="Да",MeanMinAge11+'19_Расчет_аналитики'!AZ3596*SUMIF(ThresholdAge11,"&lt;"&amp;'19_Расчет_аналитики'!AZ3596,WeightedRevAge11)-SUMIF(ThresholdAge11,"&lt;"&amp;'19_Расчет_аналитики'!AZ3596,WeightedMinAge11),MAX(CapacityAge11*'01_Вводные'!$B$218*'19_Расчет_аналитики'!AZ3596,MeanMinAge11))),0)</f>
        <v/>
      </c>
      <c r="BA3538">
        <f>IF('01_Вводные'!$B$234="Да",IF(OR(('19_Расчет_аналитики'!BA3454-'19_Расчет_аналитики'!BA3482)=0,11&lt;='01_Вводные'!$B$297),0,('19_Расчет_аналитики'!BA3454-'19_Расчет_аналитики'!BA3482)*IF('01_Вводные'!$B$239="Да",MeanMinAge11+'19_Расчет_аналитики'!BA3596*SUMIF(ThresholdAge11,"&lt;"&amp;'19_Расчет_аналитики'!BA3596,WeightedRevAge11)-SUMIF(ThresholdAge11,"&lt;"&amp;'19_Расчет_аналитики'!BA3596,WeightedMinAge11),MAX(CapacityAge11*'01_Вводные'!$B$218*'19_Расчет_аналитики'!BA3596,MeanMinAge11))),0)</f>
        <v/>
      </c>
      <c r="BB3538">
        <f>IF('01_Вводные'!$B$234="Да",IF(OR(('19_Расчет_аналитики'!BB3454-'19_Расчет_аналитики'!BB3482)=0,11&lt;='01_Вводные'!$B$297),0,('19_Расчет_аналитики'!BB3454-'19_Расчет_аналитики'!BB3482)*IF('01_Вводные'!$B$239="Да",MeanMinAge11+'19_Расчет_аналитики'!BB3596*SUMIF(ThresholdAge11,"&lt;"&amp;'19_Расчет_аналитики'!BB3596,WeightedRevAge11)-SUMIF(ThresholdAge11,"&lt;"&amp;'19_Расчет_аналитики'!BB3596,WeightedMinAge11),MAX(CapacityAge11*'01_Вводные'!$B$218*'19_Расчет_аналитики'!BB3596,MeanMinAge11))),0)</f>
        <v/>
      </c>
      <c r="BC3538">
        <f>IF('01_Вводные'!$B$234="Да",IF(OR(('19_Расчет_аналитики'!BC3454-'19_Расчет_аналитики'!BC3482)=0,11&lt;='01_Вводные'!$B$297),0,('19_Расчет_аналитики'!BC3454-'19_Расчет_аналитики'!BC3482)*IF('01_Вводные'!$B$239="Да",MeanMinAge11+'19_Расчет_аналитики'!BC3596*SUMIF(ThresholdAge11,"&lt;"&amp;'19_Расчет_аналитики'!BC3596,WeightedRevAge11)-SUMIF(ThresholdAge11,"&lt;"&amp;'19_Расчет_аналитики'!BC3596,WeightedMinAge11),MAX(CapacityAge11*'01_Вводные'!$B$218*'19_Расчет_аналитики'!BC3596,MeanMinAge11))),0)</f>
        <v/>
      </c>
      <c r="BD3538">
        <f>IF('01_Вводные'!$B$234="Да",IF(OR(('19_Расчет_аналитики'!BD3454-'19_Расчет_аналитики'!BD3482)=0,11&lt;='01_Вводные'!$B$297),0,('19_Расчет_аналитики'!BD3454-'19_Расчет_аналитики'!BD3482)*IF('01_Вводные'!$B$239="Да",MeanMinAge11+'19_Расчет_аналитики'!BD3596*SUMIF(ThresholdAge11,"&lt;"&amp;'19_Расчет_аналитики'!BD3596,WeightedRevAge11)-SUMIF(ThresholdAge11,"&lt;"&amp;'19_Расчет_аналитики'!BD3596,WeightedMinAge11),MAX(CapacityAge11*'01_Вводные'!$B$218*'19_Расчет_аналитики'!BD3596,MeanMinAge11))),0)</f>
        <v/>
      </c>
      <c r="BE3538">
        <f>IF('01_Вводные'!$B$234="Да",IF(OR(('19_Расчет_аналитики'!BE3454-'19_Расчет_аналитики'!BE3482)=0,11&lt;='01_Вводные'!$B$297),0,('19_Расчет_аналитики'!BE3454-'19_Расчет_аналитики'!BE3482)*IF('01_Вводные'!$B$239="Да",MeanMinAge11+'19_Расчет_аналитики'!BE3596*SUMIF(ThresholdAge11,"&lt;"&amp;'19_Расчет_аналитики'!BE3596,WeightedRevAge11)-SUMIF(ThresholdAge11,"&lt;"&amp;'19_Расчет_аналитики'!BE3596,WeightedMinAge11),MAX(CapacityAge11*'01_Вводные'!$B$218*'19_Расчет_аналитики'!BE3596,MeanMinAge11))),0)</f>
        <v/>
      </c>
      <c r="BF3538">
        <f>IF('01_Вводные'!$B$234="Да",IF(OR(('19_Расчет_аналитики'!BF3454-'19_Расчет_аналитики'!BF3482)=0,11&lt;='01_Вводные'!$B$297),0,('19_Расчет_аналитики'!BF3454-'19_Расчет_аналитики'!BF3482)*IF('01_Вводные'!$B$239="Да",MeanMinAge11+'19_Расчет_аналитики'!BF3596*SUMIF(ThresholdAge11,"&lt;"&amp;'19_Расчет_аналитики'!BF3596,WeightedRevAge11)-SUMIF(ThresholdAge11,"&lt;"&amp;'19_Расчет_аналитики'!BF3596,WeightedMinAge11),MAX(CapacityAge11*'01_Вводные'!$B$218*'19_Расчет_аналитики'!BF3596,MeanMinAge11))),0)</f>
        <v/>
      </c>
      <c r="BG3538">
        <f>IF('01_Вводные'!$B$234="Да",IF(OR(('19_Расчет_аналитики'!BG3454-'19_Расчет_аналитики'!BG3482)=0,11&lt;='01_Вводные'!$B$297),0,('19_Расчет_аналитики'!BG3454-'19_Расчет_аналитики'!BG3482)*IF('01_Вводные'!$B$239="Да",MeanMinAge11+'19_Расчет_аналитики'!BG3596*SUMIF(ThresholdAge11,"&lt;"&amp;'19_Расчет_аналитики'!BG3596,WeightedRevAge11)-SUMIF(ThresholdAge11,"&lt;"&amp;'19_Расчет_аналитики'!BG3596,WeightedMinAge11),MAX(CapacityAge11*'01_Вводные'!$B$218*'19_Расчет_аналитики'!BG3596,MeanMinAge11))),0)</f>
        <v/>
      </c>
      <c r="BH3538">
        <f>IF('01_Вводные'!$B$234="Да",IF(OR(('19_Расчет_аналитики'!BH3454-'19_Расчет_аналитики'!BH3482)=0,11&lt;='01_Вводные'!$B$297),0,('19_Расчет_аналитики'!BH3454-'19_Расчет_аналитики'!BH3482)*IF('01_Вводные'!$B$239="Да",MeanMinAge11+'19_Расчет_аналитики'!BH3596*SUMIF(ThresholdAge11,"&lt;"&amp;'19_Расчет_аналитики'!BH3596,WeightedRevAge11)-SUMIF(ThresholdAge11,"&lt;"&amp;'19_Расчет_аналитики'!BH3596,WeightedMinAge11),MAX(CapacityAge11*'01_Вводные'!$B$218*'19_Расчет_аналитики'!BH3596,MeanMinAge11))),0)</f>
        <v/>
      </c>
      <c r="BI3538">
        <f>IF('01_Вводные'!$B$234="Да",IF(OR(('19_Расчет_аналитики'!BI3454-'19_Расчет_аналитики'!BI3482)=0,11&lt;='01_Вводные'!$B$297),0,('19_Расчет_аналитики'!BI3454-'19_Расчет_аналитики'!BI3482)*IF('01_Вводные'!$B$239="Да",MeanMinAge11+'19_Расчет_аналитики'!BI3596*SUMIF(ThresholdAge11,"&lt;"&amp;'19_Расчет_аналитики'!BI3596,WeightedRevAge11)-SUMIF(ThresholdAge11,"&lt;"&amp;'19_Расчет_аналитики'!BI3596,WeightedMinAge11),MAX(CapacityAge11*'01_Вводные'!$B$218*'19_Расчет_аналитики'!BI3596,MeanMinAge11))),0)</f>
        <v/>
      </c>
      <c r="BJ3538">
        <f>IF('01_Вводные'!$B$234="Да",IF(OR(('19_Расчет_аналитики'!BJ3454-'19_Расчет_аналитики'!BJ3482)=0,11&lt;='01_Вводные'!$B$297),0,('19_Расчет_аналитики'!BJ3454-'19_Расчет_аналитики'!BJ3482)*IF('01_Вводные'!$B$239="Да",MeanMinAge11+'19_Расчет_аналитики'!BJ3596*SUMIF(ThresholdAge11,"&lt;"&amp;'19_Расчет_аналитики'!BJ3596,WeightedRevAge11)-SUMIF(ThresholdAge11,"&lt;"&amp;'19_Расчет_аналитики'!BJ3596,WeightedMinAge11),MAX(CapacityAge11*'01_Вводные'!$B$218*'19_Расчет_аналитики'!BJ3596,MeanMinAge11))),0)</f>
        <v/>
      </c>
      <c r="BK3538">
        <f>IF('01_Вводные'!$B$234="Да",IF(OR(('19_Расчет_аналитики'!BK3454-'19_Расчет_аналитики'!BK3482)=0,11&lt;='01_Вводные'!$B$297),0,('19_Расчет_аналитики'!BK3454-'19_Расчет_аналитики'!BK3482)*IF('01_Вводные'!$B$239="Да",MeanMinAge11+'19_Расчет_аналитики'!BK3596*SUMIF(ThresholdAge11,"&lt;"&amp;'19_Расчет_аналитики'!BK3596,WeightedRevAge11)-SUMIF(ThresholdAge11,"&lt;"&amp;'19_Расчет_аналитики'!BK3596,WeightedMinAge11),MAX(CapacityAge11*'01_Вводные'!$B$218*'19_Расчет_аналитики'!BK3596,MeanMinAge11))),0)</f>
        <v/>
      </c>
      <c r="BL3538">
        <f>IF('01_Вводные'!$B$234="Да",IF(OR(('19_Расчет_аналитики'!BL3454-'19_Расчет_аналитики'!BL3482)=0,11&lt;='01_Вводные'!$B$297),0,('19_Расчет_аналитики'!BL3454-'19_Расчет_аналитики'!BL3482)*IF('01_Вводные'!$B$239="Да",MeanMinAge11+'19_Расчет_аналитики'!BL3596*SUMIF(ThresholdAge11,"&lt;"&amp;'19_Расчет_аналитики'!BL3596,WeightedRevAge11)-SUMIF(ThresholdAge11,"&lt;"&amp;'19_Расчет_аналитики'!BL3596,WeightedMinAge11),MAX(CapacityAge11*'01_Вводные'!$B$218*'19_Расчет_аналитики'!BL3596,MeanMinAge11))),0)</f>
        <v/>
      </c>
      <c r="BM3538">
        <f>IF('01_Вводные'!$B$234="Да",IF(OR(('19_Расчет_аналитики'!BM3454-'19_Расчет_аналитики'!BM3482)=0,11&lt;='01_Вводные'!$B$297),0,('19_Расчет_аналитики'!BM3454-'19_Расчет_аналитики'!BM3482)*IF('01_Вводные'!$B$239="Да",MeanMinAge11+'19_Расчет_аналитики'!BM3596*SUMIF(ThresholdAge11,"&lt;"&amp;'19_Расчет_аналитики'!BM3596,WeightedRevAge11)-SUMIF(ThresholdAge11,"&lt;"&amp;'19_Расчет_аналитики'!BM3596,WeightedMinAge11),MAX(CapacityAge11*'01_Вводные'!$B$218*'19_Расчет_аналитики'!BM3596,MeanMinAge11))),0)</f>
        <v/>
      </c>
      <c r="BN3538">
        <f>IF('01_Вводные'!$B$234="Да",IF(OR(('19_Расчет_аналитики'!BN3454-'19_Расчет_аналитики'!BN3482)=0,11&lt;='01_Вводные'!$B$297),0,('19_Расчет_аналитики'!BN3454-'19_Расчет_аналитики'!BN3482)*IF('01_Вводные'!$B$239="Да",MeanMinAge11+'19_Расчет_аналитики'!BN3596*SUMIF(ThresholdAge11,"&lt;"&amp;'19_Расчет_аналитики'!BN3596,WeightedRevAge11)-SUMIF(ThresholdAge11,"&lt;"&amp;'19_Расчет_аналитики'!BN3596,WeightedMinAge11),MAX(CapacityAge11*'01_Вводные'!$B$218*'19_Расчет_аналитики'!BN3596,MeanMinAge11))),0)</f>
        <v/>
      </c>
      <c r="BO3538">
        <f>IF('01_Вводные'!$B$234="Да",IF(OR(('19_Расчет_аналитики'!BO3454-'19_Расчет_аналитики'!BO3482)=0,11&lt;='01_Вводные'!$B$297),0,('19_Расчет_аналитики'!BO3454-'19_Расчет_аналитики'!BO3482)*IF('01_Вводные'!$B$239="Да",MeanMinAge11+'19_Расчет_аналитики'!BO3596*SUMIF(ThresholdAge11,"&lt;"&amp;'19_Расчет_аналитики'!BO3596,WeightedRevAge11)-SUMIF(ThresholdAge11,"&lt;"&amp;'19_Расчет_аналитики'!BO3596,WeightedMinAge11),MAX(CapacityAge11*'01_Вводные'!$B$218*'19_Расчет_аналитики'!BO3596,MeanMinAge11))),0)</f>
        <v/>
      </c>
    </row>
    <row r="3539">
      <c r="B3539">
        <f>IF('01_Вводные'!$B$234="Да",IF(OR(('06_Сеть_и_дети'!B64-'06_Сеть_и_дети'!B92)=0,12&lt;='01_Вводные'!$B$297),0,('06_Сеть_и_дети'!B64-'06_Сеть_и_дети'!B92)*IF('01_Вводные'!$B$239="Да",MeanMinAge12+'19_Расчет_аналитики'!B3596*SUMIF(ThresholdAge12,"&lt;"&amp;'19_Расчет_аналитики'!B3596,WeightedRevAge12)-SUMIF(ThresholdAge12,"&lt;"&amp;'19_Расчет_аналитики'!B3596,WeightedMinAge12),MAX(CapacityAge12*'01_Вводные'!$B$218*'19_Расчет_аналитики'!B3596,MeanMinAge12))),0)</f>
        <v/>
      </c>
      <c r="C3539">
        <f>IF('01_Вводные'!$B$234="Да",IF(OR(('06_Сеть_и_дети'!C64-'06_Сеть_и_дети'!C92)=0,12&lt;='01_Вводные'!$B$297),0,('06_Сеть_и_дети'!C64-'06_Сеть_и_дети'!C92)*IF('01_Вводные'!$B$239="Да",MeanMinAge12+'19_Расчет_аналитики'!C3596*SUMIF(ThresholdAge12,"&lt;"&amp;'19_Расчет_аналитики'!C3596,WeightedRevAge12)-SUMIF(ThresholdAge12,"&lt;"&amp;'19_Расчет_аналитики'!C3596,WeightedMinAge12),MAX(CapacityAge12*'01_Вводные'!$B$218*'19_Расчет_аналитики'!C3596,MeanMinAge12))),0)</f>
        <v/>
      </c>
      <c r="D3539">
        <f>IF('01_Вводные'!$B$234="Да",IF(OR(('06_Сеть_и_дети'!D64-'06_Сеть_и_дети'!D92)=0,12&lt;='01_Вводные'!$B$297),0,('06_Сеть_и_дети'!D64-'06_Сеть_и_дети'!D92)*IF('01_Вводные'!$B$239="Да",MeanMinAge12+'19_Расчет_аналитики'!D3596*SUMIF(ThresholdAge12,"&lt;"&amp;'19_Расчет_аналитики'!D3596,WeightedRevAge12)-SUMIF(ThresholdAge12,"&lt;"&amp;'19_Расчет_аналитики'!D3596,WeightedMinAge12),MAX(CapacityAge12*'01_Вводные'!$B$218*'19_Расчет_аналитики'!D3596,MeanMinAge12))),0)</f>
        <v/>
      </c>
      <c r="E3539">
        <f>IF('01_Вводные'!$B$234="Да",IF(OR(('06_Сеть_и_дети'!E64-'06_Сеть_и_дети'!E92)=0,12&lt;='01_Вводные'!$B$297),0,('06_Сеть_и_дети'!E64-'06_Сеть_и_дети'!E92)*IF('01_Вводные'!$B$239="Да",MeanMinAge12+'19_Расчет_аналитики'!E3596*SUMIF(ThresholdAge12,"&lt;"&amp;'19_Расчет_аналитики'!E3596,WeightedRevAge12)-SUMIF(ThresholdAge12,"&lt;"&amp;'19_Расчет_аналитики'!E3596,WeightedMinAge12),MAX(CapacityAge12*'01_Вводные'!$B$218*'19_Расчет_аналитики'!E3596,MeanMinAge12))),0)</f>
        <v/>
      </c>
      <c r="F3539">
        <f>IF('01_Вводные'!$B$234="Да",IF(OR(('06_Сеть_и_дети'!F64-'06_Сеть_и_дети'!F92)=0,12&lt;='01_Вводные'!$B$297),0,('06_Сеть_и_дети'!F64-'06_Сеть_и_дети'!F92)*IF('01_Вводные'!$B$239="Да",MeanMinAge12+'19_Расчет_аналитики'!F3596*SUMIF(ThresholdAge12,"&lt;"&amp;'19_Расчет_аналитики'!F3596,WeightedRevAge12)-SUMIF(ThresholdAge12,"&lt;"&amp;'19_Расчет_аналитики'!F3596,WeightedMinAge12),MAX(CapacityAge12*'01_Вводные'!$B$218*'19_Расчет_аналитики'!F3596,MeanMinAge12))),0)</f>
        <v/>
      </c>
      <c r="G3539">
        <f>IF('01_Вводные'!$B$234="Да",IF(OR(('06_Сеть_и_дети'!G64-'06_Сеть_и_дети'!G92)=0,12&lt;='01_Вводные'!$B$297),0,('06_Сеть_и_дети'!G64-'06_Сеть_и_дети'!G92)*IF('01_Вводные'!$B$239="Да",MeanMinAge12+'19_Расчет_аналитики'!G3596*SUMIF(ThresholdAge12,"&lt;"&amp;'19_Расчет_аналитики'!G3596,WeightedRevAge12)-SUMIF(ThresholdAge12,"&lt;"&amp;'19_Расчет_аналитики'!G3596,WeightedMinAge12),MAX(CapacityAge12*'01_Вводные'!$B$218*'19_Расчет_аналитики'!G3596,MeanMinAge12))),0)</f>
        <v/>
      </c>
      <c r="H3539">
        <f>IF('01_Вводные'!$B$234="Да",IF(OR(('06_Сеть_и_дети'!H64-'06_Сеть_и_дети'!H92)=0,12&lt;='01_Вводные'!$B$297),0,('06_Сеть_и_дети'!H64-'06_Сеть_и_дети'!H92)*IF('01_Вводные'!$B$239="Да",MeanMinAge12+'19_Расчет_аналитики'!H3596*SUMIF(ThresholdAge12,"&lt;"&amp;'19_Расчет_аналитики'!H3596,WeightedRevAge12)-SUMIF(ThresholdAge12,"&lt;"&amp;'19_Расчет_аналитики'!H3596,WeightedMinAge12),MAX(CapacityAge12*'01_Вводные'!$B$218*'19_Расчет_аналитики'!H3596,MeanMinAge12))),0)</f>
        <v/>
      </c>
      <c r="I3539">
        <f>IF('01_Вводные'!$B$234="Да",IF(OR(('06_Сеть_и_дети'!I64-'06_Сеть_и_дети'!I92)=0,12&lt;='01_Вводные'!$B$297),0,('06_Сеть_и_дети'!I64-'06_Сеть_и_дети'!I92)*IF('01_Вводные'!$B$239="Да",MeanMinAge12+'19_Расчет_аналитики'!I3596*SUMIF(ThresholdAge12,"&lt;"&amp;'19_Расчет_аналитики'!I3596,WeightedRevAge12)-SUMIF(ThresholdAge12,"&lt;"&amp;'19_Расчет_аналитики'!I3596,WeightedMinAge12),MAX(CapacityAge12*'01_Вводные'!$B$218*'19_Расчет_аналитики'!I3596,MeanMinAge12))),0)</f>
        <v/>
      </c>
      <c r="J3539">
        <f>IF('01_Вводные'!$B$234="Да",IF(OR(('06_Сеть_и_дети'!J64-'06_Сеть_и_дети'!J92)=0,12&lt;='01_Вводные'!$B$297),0,('06_Сеть_и_дети'!J64-'06_Сеть_и_дети'!J92)*IF('01_Вводные'!$B$239="Да",MeanMinAge12+'19_Расчет_аналитики'!J3596*SUMIF(ThresholdAge12,"&lt;"&amp;'19_Расчет_аналитики'!J3596,WeightedRevAge12)-SUMIF(ThresholdAge12,"&lt;"&amp;'19_Расчет_аналитики'!J3596,WeightedMinAge12),MAX(CapacityAge12*'01_Вводные'!$B$218*'19_Расчет_аналитики'!J3596,MeanMinAge12))),0)</f>
        <v/>
      </c>
      <c r="K3539">
        <f>IF('01_Вводные'!$B$234="Да",IF(OR(('06_Сеть_и_дети'!K64-'06_Сеть_и_дети'!K92)=0,12&lt;='01_Вводные'!$B$297),0,('06_Сеть_и_дети'!K64-'06_Сеть_и_дети'!K92)*IF('01_Вводные'!$B$239="Да",MeanMinAge12+'19_Расчет_аналитики'!K3596*SUMIF(ThresholdAge12,"&lt;"&amp;'19_Расчет_аналитики'!K3596,WeightedRevAge12)-SUMIF(ThresholdAge12,"&lt;"&amp;'19_Расчет_аналитики'!K3596,WeightedMinAge12),MAX(CapacityAge12*'01_Вводные'!$B$218*'19_Расчет_аналитики'!K3596,MeanMinAge12))),0)</f>
        <v/>
      </c>
      <c r="L3539">
        <f>IF('01_Вводные'!$B$234="Да",IF(OR(('06_Сеть_и_дети'!L64-'06_Сеть_и_дети'!L92)=0,12&lt;='01_Вводные'!$B$297),0,('06_Сеть_и_дети'!L64-'06_Сеть_и_дети'!L92)*IF('01_Вводные'!$B$239="Да",MeanMinAge12+'19_Расчет_аналитики'!L3596*SUMIF(ThresholdAge12,"&lt;"&amp;'19_Расчет_аналитики'!L3596,WeightedRevAge12)-SUMIF(ThresholdAge12,"&lt;"&amp;'19_Расчет_аналитики'!L3596,WeightedMinAge12),MAX(CapacityAge12*'01_Вводные'!$B$218*'19_Расчет_аналитики'!L3596,MeanMinAge12))),0)</f>
        <v/>
      </c>
      <c r="M3539">
        <f>IF('01_Вводные'!$B$234="Да",IF(OR(('19_Расчет_аналитики'!M3455-'19_Расчет_аналитики'!M3483)=0,12&lt;='01_Вводные'!$B$297),0,('19_Расчет_аналитики'!M3455-'19_Расчет_аналитики'!M3483)*IF('01_Вводные'!$B$239="Да",MeanMinAge12+'19_Расчет_аналитики'!M3596*SUMIF(ThresholdAge12,"&lt;"&amp;'19_Расчет_аналитики'!M3596,WeightedRevAge12)-SUMIF(ThresholdAge12,"&lt;"&amp;'19_Расчет_аналитики'!M3596,WeightedMinAge12),MAX(CapacityAge12*'01_Вводные'!$B$218*'19_Расчет_аналитики'!M3596,MeanMinAge12))),0)</f>
        <v/>
      </c>
      <c r="N3539">
        <f>IF('01_Вводные'!$B$234="Да",IF(OR(('19_Расчет_аналитики'!N3455-'19_Расчет_аналитики'!N3483)=0,12&lt;='01_Вводные'!$B$297),0,('19_Расчет_аналитики'!N3455-'19_Расчет_аналитики'!N3483)*IF('01_Вводные'!$B$239="Да",MeanMinAge12+'19_Расчет_аналитики'!N3596*SUMIF(ThresholdAge12,"&lt;"&amp;'19_Расчет_аналитики'!N3596,WeightedRevAge12)-SUMIF(ThresholdAge12,"&lt;"&amp;'19_Расчет_аналитики'!N3596,WeightedMinAge12),MAX(CapacityAge12*'01_Вводные'!$B$218*'19_Расчет_аналитики'!N3596,MeanMinAge12))),0)</f>
        <v/>
      </c>
      <c r="O3539">
        <f>IF('01_Вводные'!$B$234="Да",IF(OR(('19_Расчет_аналитики'!O3455-'19_Расчет_аналитики'!O3483)=0,12&lt;='01_Вводные'!$B$297),0,('19_Расчет_аналитики'!O3455-'19_Расчет_аналитики'!O3483)*IF('01_Вводные'!$B$239="Да",MeanMinAge12+'19_Расчет_аналитики'!O3596*SUMIF(ThresholdAge12,"&lt;"&amp;'19_Расчет_аналитики'!O3596,WeightedRevAge12)-SUMIF(ThresholdAge12,"&lt;"&amp;'19_Расчет_аналитики'!O3596,WeightedMinAge12),MAX(CapacityAge12*'01_Вводные'!$B$218*'19_Расчет_аналитики'!O3596,MeanMinAge12))),0)</f>
        <v/>
      </c>
      <c r="P3539">
        <f>IF('01_Вводные'!$B$234="Да",IF(OR(('19_Расчет_аналитики'!P3455-'19_Расчет_аналитики'!P3483)=0,12&lt;='01_Вводные'!$B$297),0,('19_Расчет_аналитики'!P3455-'19_Расчет_аналитики'!P3483)*IF('01_Вводные'!$B$239="Да",MeanMinAge12+'19_Расчет_аналитики'!P3596*SUMIF(ThresholdAge12,"&lt;"&amp;'19_Расчет_аналитики'!P3596,WeightedRevAge12)-SUMIF(ThresholdAge12,"&lt;"&amp;'19_Расчет_аналитики'!P3596,WeightedMinAge12),MAX(CapacityAge12*'01_Вводные'!$B$218*'19_Расчет_аналитики'!P3596,MeanMinAge12))),0)</f>
        <v/>
      </c>
      <c r="Q3539">
        <f>IF('01_Вводные'!$B$234="Да",IF(OR(('19_Расчет_аналитики'!Q3455-'19_Расчет_аналитики'!Q3483)=0,12&lt;='01_Вводные'!$B$297),0,('19_Расчет_аналитики'!Q3455-'19_Расчет_аналитики'!Q3483)*IF('01_Вводные'!$B$239="Да",MeanMinAge12+'19_Расчет_аналитики'!Q3596*SUMIF(ThresholdAge12,"&lt;"&amp;'19_Расчет_аналитики'!Q3596,WeightedRevAge12)-SUMIF(ThresholdAge12,"&lt;"&amp;'19_Расчет_аналитики'!Q3596,WeightedMinAge12),MAX(CapacityAge12*'01_Вводные'!$B$218*'19_Расчет_аналитики'!Q3596,MeanMinAge12))),0)</f>
        <v/>
      </c>
      <c r="R3539">
        <f>IF('01_Вводные'!$B$234="Да",IF(OR(('19_Расчет_аналитики'!R3455-'19_Расчет_аналитики'!R3483)=0,12&lt;='01_Вводные'!$B$297),0,('19_Расчет_аналитики'!R3455-'19_Расчет_аналитики'!R3483)*IF('01_Вводные'!$B$239="Да",MeanMinAge12+'19_Расчет_аналитики'!R3596*SUMIF(ThresholdAge12,"&lt;"&amp;'19_Расчет_аналитики'!R3596,WeightedRevAge12)-SUMIF(ThresholdAge12,"&lt;"&amp;'19_Расчет_аналитики'!R3596,WeightedMinAge12),MAX(CapacityAge12*'01_Вводные'!$B$218*'19_Расчет_аналитики'!R3596,MeanMinAge12))),0)</f>
        <v/>
      </c>
      <c r="S3539">
        <f>IF('01_Вводные'!$B$234="Да",IF(OR(('19_Расчет_аналитики'!S3455-'19_Расчет_аналитики'!S3483)=0,12&lt;='01_Вводные'!$B$297),0,('19_Расчет_аналитики'!S3455-'19_Расчет_аналитики'!S3483)*IF('01_Вводные'!$B$239="Да",MeanMinAge12+'19_Расчет_аналитики'!S3596*SUMIF(ThresholdAge12,"&lt;"&amp;'19_Расчет_аналитики'!S3596,WeightedRevAge12)-SUMIF(ThresholdAge12,"&lt;"&amp;'19_Расчет_аналитики'!S3596,WeightedMinAge12),MAX(CapacityAge12*'01_Вводные'!$B$218*'19_Расчет_аналитики'!S3596,MeanMinAge12))),0)</f>
        <v/>
      </c>
      <c r="T3539">
        <f>IF('01_Вводные'!$B$234="Да",IF(OR(('19_Расчет_аналитики'!T3455-'19_Расчет_аналитики'!T3483)=0,12&lt;='01_Вводные'!$B$297),0,('19_Расчет_аналитики'!T3455-'19_Расчет_аналитики'!T3483)*IF('01_Вводные'!$B$239="Да",MeanMinAge12+'19_Расчет_аналитики'!T3596*SUMIF(ThresholdAge12,"&lt;"&amp;'19_Расчет_аналитики'!T3596,WeightedRevAge12)-SUMIF(ThresholdAge12,"&lt;"&amp;'19_Расчет_аналитики'!T3596,WeightedMinAge12),MAX(CapacityAge12*'01_Вводные'!$B$218*'19_Расчет_аналитики'!T3596,MeanMinAge12))),0)</f>
        <v/>
      </c>
      <c r="U3539">
        <f>IF('01_Вводные'!$B$234="Да",IF(OR(('19_Расчет_аналитики'!U3455-'19_Расчет_аналитики'!U3483)=0,12&lt;='01_Вводные'!$B$297),0,('19_Расчет_аналитики'!U3455-'19_Расчет_аналитики'!U3483)*IF('01_Вводные'!$B$239="Да",MeanMinAge12+'19_Расчет_аналитики'!U3596*SUMIF(ThresholdAge12,"&lt;"&amp;'19_Расчет_аналитики'!U3596,WeightedRevAge12)-SUMIF(ThresholdAge12,"&lt;"&amp;'19_Расчет_аналитики'!U3596,WeightedMinAge12),MAX(CapacityAge12*'01_Вводные'!$B$218*'19_Расчет_аналитики'!U3596,MeanMinAge12))),0)</f>
        <v/>
      </c>
      <c r="V3539">
        <f>IF('01_Вводные'!$B$234="Да",IF(OR(('19_Расчет_аналитики'!V3455-'19_Расчет_аналитики'!V3483)=0,12&lt;='01_Вводные'!$B$297),0,('19_Расчет_аналитики'!V3455-'19_Расчет_аналитики'!V3483)*IF('01_Вводные'!$B$239="Да",MeanMinAge12+'19_Расчет_аналитики'!V3596*SUMIF(ThresholdAge12,"&lt;"&amp;'19_Расчет_аналитики'!V3596,WeightedRevAge12)-SUMIF(ThresholdAge12,"&lt;"&amp;'19_Расчет_аналитики'!V3596,WeightedMinAge12),MAX(CapacityAge12*'01_Вводные'!$B$218*'19_Расчет_аналитики'!V3596,MeanMinAge12))),0)</f>
        <v/>
      </c>
      <c r="W3539">
        <f>IF('01_Вводные'!$B$234="Да",IF(OR(('19_Расчет_аналитики'!W3455-'19_Расчет_аналитики'!W3483)=0,12&lt;='01_Вводные'!$B$297),0,('19_Расчет_аналитики'!W3455-'19_Расчет_аналитики'!W3483)*IF('01_Вводные'!$B$239="Да",MeanMinAge12+'19_Расчет_аналитики'!W3596*SUMIF(ThresholdAge12,"&lt;"&amp;'19_Расчет_аналитики'!W3596,WeightedRevAge12)-SUMIF(ThresholdAge12,"&lt;"&amp;'19_Расчет_аналитики'!W3596,WeightedMinAge12),MAX(CapacityAge12*'01_Вводные'!$B$218*'19_Расчет_аналитики'!W3596,MeanMinAge12))),0)</f>
        <v/>
      </c>
      <c r="X3539">
        <f>IF('01_Вводные'!$B$234="Да",IF(OR(('19_Расчет_аналитики'!X3455-'19_Расчет_аналитики'!X3483)=0,12&lt;='01_Вводные'!$B$297),0,('19_Расчет_аналитики'!X3455-'19_Расчет_аналитики'!X3483)*IF('01_Вводные'!$B$239="Да",MeanMinAge12+'19_Расчет_аналитики'!X3596*SUMIF(ThresholdAge12,"&lt;"&amp;'19_Расчет_аналитики'!X3596,WeightedRevAge12)-SUMIF(ThresholdAge12,"&lt;"&amp;'19_Расчет_аналитики'!X3596,WeightedMinAge12),MAX(CapacityAge12*'01_Вводные'!$B$218*'19_Расчет_аналитики'!X3596,MeanMinAge12))),0)</f>
        <v/>
      </c>
      <c r="Y3539">
        <f>IF('01_Вводные'!$B$234="Да",IF(OR(('19_Расчет_аналитики'!Y3455-'19_Расчет_аналитики'!Y3483)=0,12&lt;='01_Вводные'!$B$297),0,('19_Расчет_аналитики'!Y3455-'19_Расчет_аналитики'!Y3483)*IF('01_Вводные'!$B$239="Да",MeanMinAge12+'19_Расчет_аналитики'!Y3596*SUMIF(ThresholdAge12,"&lt;"&amp;'19_Расчет_аналитики'!Y3596,WeightedRevAge12)-SUMIF(ThresholdAge12,"&lt;"&amp;'19_Расчет_аналитики'!Y3596,WeightedMinAge12),MAX(CapacityAge12*'01_Вводные'!$B$218*'19_Расчет_аналитики'!Y3596,MeanMinAge12))),0)</f>
        <v/>
      </c>
      <c r="Z3539">
        <f>IF('01_Вводные'!$B$234="Да",IF(OR(('19_Расчет_аналитики'!Z3455-'19_Расчет_аналитики'!Z3483)=0,12&lt;='01_Вводные'!$B$297),0,('19_Расчет_аналитики'!Z3455-'19_Расчет_аналитики'!Z3483)*IF('01_Вводные'!$B$239="Да",MeanMinAge12+'19_Расчет_аналитики'!Z3596*SUMIF(ThresholdAge12,"&lt;"&amp;'19_Расчет_аналитики'!Z3596,WeightedRevAge12)-SUMIF(ThresholdAge12,"&lt;"&amp;'19_Расчет_аналитики'!Z3596,WeightedMinAge12),MAX(CapacityAge12*'01_Вводные'!$B$218*'19_Расчет_аналитики'!Z3596,MeanMinAge12))),0)</f>
        <v/>
      </c>
      <c r="AA3539">
        <f>IF('01_Вводные'!$B$234="Да",IF(OR(('19_Расчет_аналитики'!AA3455-'19_Расчет_аналитики'!AA3483)=0,12&lt;='01_Вводные'!$B$297),0,('19_Расчет_аналитики'!AA3455-'19_Расчет_аналитики'!AA3483)*IF('01_Вводные'!$B$239="Да",MeanMinAge12+'19_Расчет_аналитики'!AA3596*SUMIF(ThresholdAge12,"&lt;"&amp;'19_Расчет_аналитики'!AA3596,WeightedRevAge12)-SUMIF(ThresholdAge12,"&lt;"&amp;'19_Расчет_аналитики'!AA3596,WeightedMinAge12),MAX(CapacityAge12*'01_Вводные'!$B$218*'19_Расчет_аналитики'!AA3596,MeanMinAge12))),0)</f>
        <v/>
      </c>
      <c r="AB3539">
        <f>IF('01_Вводные'!$B$234="Да",IF(OR(('19_Расчет_аналитики'!AB3455-'19_Расчет_аналитики'!AB3483)=0,12&lt;='01_Вводные'!$B$297),0,('19_Расчет_аналитики'!AB3455-'19_Расчет_аналитики'!AB3483)*IF('01_Вводные'!$B$239="Да",MeanMinAge12+'19_Расчет_аналитики'!AB3596*SUMIF(ThresholdAge12,"&lt;"&amp;'19_Расчет_аналитики'!AB3596,WeightedRevAge12)-SUMIF(ThresholdAge12,"&lt;"&amp;'19_Расчет_аналитики'!AB3596,WeightedMinAge12),MAX(CapacityAge12*'01_Вводные'!$B$218*'19_Расчет_аналитики'!AB3596,MeanMinAge12))),0)</f>
        <v/>
      </c>
      <c r="AC3539">
        <f>IF('01_Вводные'!$B$234="Да",IF(OR(('19_Расчет_аналитики'!AC3455-'19_Расчет_аналитики'!AC3483)=0,12&lt;='01_Вводные'!$B$297),0,('19_Расчет_аналитики'!AC3455-'19_Расчет_аналитики'!AC3483)*IF('01_Вводные'!$B$239="Да",MeanMinAge12+'19_Расчет_аналитики'!AC3596*SUMIF(ThresholdAge12,"&lt;"&amp;'19_Расчет_аналитики'!AC3596,WeightedRevAge12)-SUMIF(ThresholdAge12,"&lt;"&amp;'19_Расчет_аналитики'!AC3596,WeightedMinAge12),MAX(CapacityAge12*'01_Вводные'!$B$218*'19_Расчет_аналитики'!AC3596,MeanMinAge12))),0)</f>
        <v/>
      </c>
      <c r="AD3539">
        <f>IF('01_Вводные'!$B$234="Да",IF(OR(('19_Расчет_аналитики'!AD3455-'19_Расчет_аналитики'!AD3483)=0,12&lt;='01_Вводные'!$B$297),0,('19_Расчет_аналитики'!AD3455-'19_Расчет_аналитики'!AD3483)*IF('01_Вводные'!$B$239="Да",MeanMinAge12+'19_Расчет_аналитики'!AD3596*SUMIF(ThresholdAge12,"&lt;"&amp;'19_Расчет_аналитики'!AD3596,WeightedRevAge12)-SUMIF(ThresholdAge12,"&lt;"&amp;'19_Расчет_аналитики'!AD3596,WeightedMinAge12),MAX(CapacityAge12*'01_Вводные'!$B$218*'19_Расчет_аналитики'!AD3596,MeanMinAge12))),0)</f>
        <v/>
      </c>
      <c r="AE3539">
        <f>IF('01_Вводные'!$B$234="Да",IF(OR(('19_Расчет_аналитики'!AE3455-'19_Расчет_аналитики'!AE3483)=0,12&lt;='01_Вводные'!$B$297),0,('19_Расчет_аналитики'!AE3455-'19_Расчет_аналитики'!AE3483)*IF('01_Вводные'!$B$239="Да",MeanMinAge12+'19_Расчет_аналитики'!AE3596*SUMIF(ThresholdAge12,"&lt;"&amp;'19_Расчет_аналитики'!AE3596,WeightedRevAge12)-SUMIF(ThresholdAge12,"&lt;"&amp;'19_Расчет_аналитики'!AE3596,WeightedMinAge12),MAX(CapacityAge12*'01_Вводные'!$B$218*'19_Расчет_аналитики'!AE3596,MeanMinAge12))),0)</f>
        <v/>
      </c>
      <c r="AF3539">
        <f>IF('01_Вводные'!$B$234="Да",IF(OR(('19_Расчет_аналитики'!AF3455-'19_Расчет_аналитики'!AF3483)=0,12&lt;='01_Вводные'!$B$297),0,('19_Расчет_аналитики'!AF3455-'19_Расчет_аналитики'!AF3483)*IF('01_Вводные'!$B$239="Да",MeanMinAge12+'19_Расчет_аналитики'!AF3596*SUMIF(ThresholdAge12,"&lt;"&amp;'19_Расчет_аналитики'!AF3596,WeightedRevAge12)-SUMIF(ThresholdAge12,"&lt;"&amp;'19_Расчет_аналитики'!AF3596,WeightedMinAge12),MAX(CapacityAge12*'01_Вводные'!$B$218*'19_Расчет_аналитики'!AF3596,MeanMinAge12))),0)</f>
        <v/>
      </c>
      <c r="AG3539">
        <f>IF('01_Вводные'!$B$234="Да",IF(OR(('19_Расчет_аналитики'!AG3455-'19_Расчет_аналитики'!AG3483)=0,12&lt;='01_Вводные'!$B$297),0,('19_Расчет_аналитики'!AG3455-'19_Расчет_аналитики'!AG3483)*IF('01_Вводные'!$B$239="Да",MeanMinAge12+'19_Расчет_аналитики'!AG3596*SUMIF(ThresholdAge12,"&lt;"&amp;'19_Расчет_аналитики'!AG3596,WeightedRevAge12)-SUMIF(ThresholdAge12,"&lt;"&amp;'19_Расчет_аналитики'!AG3596,WeightedMinAge12),MAX(CapacityAge12*'01_Вводные'!$B$218*'19_Расчет_аналитики'!AG3596,MeanMinAge12))),0)</f>
        <v/>
      </c>
      <c r="AH3539">
        <f>IF('01_Вводные'!$B$234="Да",IF(OR(('19_Расчет_аналитики'!AH3455-'19_Расчет_аналитики'!AH3483)=0,12&lt;='01_Вводные'!$B$297),0,('19_Расчет_аналитики'!AH3455-'19_Расчет_аналитики'!AH3483)*IF('01_Вводные'!$B$239="Да",MeanMinAge12+'19_Расчет_аналитики'!AH3596*SUMIF(ThresholdAge12,"&lt;"&amp;'19_Расчет_аналитики'!AH3596,WeightedRevAge12)-SUMIF(ThresholdAge12,"&lt;"&amp;'19_Расчет_аналитики'!AH3596,WeightedMinAge12),MAX(CapacityAge12*'01_Вводные'!$B$218*'19_Расчет_аналитики'!AH3596,MeanMinAge12))),0)</f>
        <v/>
      </c>
      <c r="AI3539">
        <f>IF('01_Вводные'!$B$234="Да",IF(OR(('19_Расчет_аналитики'!AI3455-'19_Расчет_аналитики'!AI3483)=0,12&lt;='01_Вводные'!$B$297),0,('19_Расчет_аналитики'!AI3455-'19_Расчет_аналитики'!AI3483)*IF('01_Вводные'!$B$239="Да",MeanMinAge12+'19_Расчет_аналитики'!AI3596*SUMIF(ThresholdAge12,"&lt;"&amp;'19_Расчет_аналитики'!AI3596,WeightedRevAge12)-SUMIF(ThresholdAge12,"&lt;"&amp;'19_Расчет_аналитики'!AI3596,WeightedMinAge12),MAX(CapacityAge12*'01_Вводные'!$B$218*'19_Расчет_аналитики'!AI3596,MeanMinAge12))),0)</f>
        <v/>
      </c>
      <c r="AJ3539">
        <f>IF('01_Вводные'!$B$234="Да",IF(OR(('19_Расчет_аналитики'!AJ3455-'19_Расчет_аналитики'!AJ3483)=0,12&lt;='01_Вводные'!$B$297),0,('19_Расчет_аналитики'!AJ3455-'19_Расчет_аналитики'!AJ3483)*IF('01_Вводные'!$B$239="Да",MeanMinAge12+'19_Расчет_аналитики'!AJ3596*SUMIF(ThresholdAge12,"&lt;"&amp;'19_Расчет_аналитики'!AJ3596,WeightedRevAge12)-SUMIF(ThresholdAge12,"&lt;"&amp;'19_Расчет_аналитики'!AJ3596,WeightedMinAge12),MAX(CapacityAge12*'01_Вводные'!$B$218*'19_Расчет_аналитики'!AJ3596,MeanMinAge12))),0)</f>
        <v/>
      </c>
      <c r="AK3539">
        <f>IF('01_Вводные'!$B$234="Да",IF(OR(('19_Расчет_аналитики'!AK3455-'19_Расчет_аналитики'!AK3483)=0,12&lt;='01_Вводные'!$B$297),0,('19_Расчет_аналитики'!AK3455-'19_Расчет_аналитики'!AK3483)*IF('01_Вводные'!$B$239="Да",MeanMinAge12+'19_Расчет_аналитики'!AK3596*SUMIF(ThresholdAge12,"&lt;"&amp;'19_Расчет_аналитики'!AK3596,WeightedRevAge12)-SUMIF(ThresholdAge12,"&lt;"&amp;'19_Расчет_аналитики'!AK3596,WeightedMinAge12),MAX(CapacityAge12*'01_Вводные'!$B$218*'19_Расчет_аналитики'!AK3596,MeanMinAge12))),0)</f>
        <v/>
      </c>
      <c r="AL3539">
        <f>IF('01_Вводные'!$B$234="Да",IF(OR(('19_Расчет_аналитики'!AL3455-'19_Расчет_аналитики'!AL3483)=0,12&lt;='01_Вводные'!$B$297),0,('19_Расчет_аналитики'!AL3455-'19_Расчет_аналитики'!AL3483)*IF('01_Вводные'!$B$239="Да",MeanMinAge12+'19_Расчет_аналитики'!AL3596*SUMIF(ThresholdAge12,"&lt;"&amp;'19_Расчет_аналитики'!AL3596,WeightedRevAge12)-SUMIF(ThresholdAge12,"&lt;"&amp;'19_Расчет_аналитики'!AL3596,WeightedMinAge12),MAX(CapacityAge12*'01_Вводные'!$B$218*'19_Расчет_аналитики'!AL3596,MeanMinAge12))),0)</f>
        <v/>
      </c>
      <c r="AM3539">
        <f>IF('01_Вводные'!$B$234="Да",IF(OR(('19_Расчет_аналитики'!AM3455-'19_Расчет_аналитики'!AM3483)=0,12&lt;='01_Вводные'!$B$297),0,('19_Расчет_аналитики'!AM3455-'19_Расчет_аналитики'!AM3483)*IF('01_Вводные'!$B$239="Да",MeanMinAge12+'19_Расчет_аналитики'!AM3596*SUMIF(ThresholdAge12,"&lt;"&amp;'19_Расчет_аналитики'!AM3596,WeightedRevAge12)-SUMIF(ThresholdAge12,"&lt;"&amp;'19_Расчет_аналитики'!AM3596,WeightedMinAge12),MAX(CapacityAge12*'01_Вводные'!$B$218*'19_Расчет_аналитики'!AM3596,MeanMinAge12))),0)</f>
        <v/>
      </c>
      <c r="AN3539">
        <f>IF('01_Вводные'!$B$234="Да",IF(OR(('19_Расчет_аналитики'!AN3455-'19_Расчет_аналитики'!AN3483)=0,12&lt;='01_Вводные'!$B$297),0,('19_Расчет_аналитики'!AN3455-'19_Расчет_аналитики'!AN3483)*IF('01_Вводные'!$B$239="Да",MeanMinAge12+'19_Расчет_аналитики'!AN3596*SUMIF(ThresholdAge12,"&lt;"&amp;'19_Расчет_аналитики'!AN3596,WeightedRevAge12)-SUMIF(ThresholdAge12,"&lt;"&amp;'19_Расчет_аналитики'!AN3596,WeightedMinAge12),MAX(CapacityAge12*'01_Вводные'!$B$218*'19_Расчет_аналитики'!AN3596,MeanMinAge12))),0)</f>
        <v/>
      </c>
      <c r="AO3539">
        <f>IF('01_Вводные'!$B$234="Да",IF(OR(('19_Расчет_аналитики'!AO3455-'19_Расчет_аналитики'!AO3483)=0,12&lt;='01_Вводные'!$B$297),0,('19_Расчет_аналитики'!AO3455-'19_Расчет_аналитики'!AO3483)*IF('01_Вводные'!$B$239="Да",MeanMinAge12+'19_Расчет_аналитики'!AO3596*SUMIF(ThresholdAge12,"&lt;"&amp;'19_Расчет_аналитики'!AO3596,WeightedRevAge12)-SUMIF(ThresholdAge12,"&lt;"&amp;'19_Расчет_аналитики'!AO3596,WeightedMinAge12),MAX(CapacityAge12*'01_Вводные'!$B$218*'19_Расчет_аналитики'!AO3596,MeanMinAge12))),0)</f>
        <v/>
      </c>
      <c r="AP3539">
        <f>IF('01_Вводные'!$B$234="Да",IF(OR(('19_Расчет_аналитики'!AP3455-'19_Расчет_аналитики'!AP3483)=0,12&lt;='01_Вводные'!$B$297),0,('19_Расчет_аналитики'!AP3455-'19_Расчет_аналитики'!AP3483)*IF('01_Вводные'!$B$239="Да",MeanMinAge12+'19_Расчет_аналитики'!AP3596*SUMIF(ThresholdAge12,"&lt;"&amp;'19_Расчет_аналитики'!AP3596,WeightedRevAge12)-SUMIF(ThresholdAge12,"&lt;"&amp;'19_Расчет_аналитики'!AP3596,WeightedMinAge12),MAX(CapacityAge12*'01_Вводные'!$B$218*'19_Расчет_аналитики'!AP3596,MeanMinAge12))),0)</f>
        <v/>
      </c>
      <c r="AQ3539">
        <f>IF('01_Вводные'!$B$234="Да",IF(OR(('19_Расчет_аналитики'!AQ3455-'19_Расчет_аналитики'!AQ3483)=0,12&lt;='01_Вводные'!$B$297),0,('19_Расчет_аналитики'!AQ3455-'19_Расчет_аналитики'!AQ3483)*IF('01_Вводные'!$B$239="Да",MeanMinAge12+'19_Расчет_аналитики'!AQ3596*SUMIF(ThresholdAge12,"&lt;"&amp;'19_Расчет_аналитики'!AQ3596,WeightedRevAge12)-SUMIF(ThresholdAge12,"&lt;"&amp;'19_Расчет_аналитики'!AQ3596,WeightedMinAge12),MAX(CapacityAge12*'01_Вводные'!$B$218*'19_Расчет_аналитики'!AQ3596,MeanMinAge12))),0)</f>
        <v/>
      </c>
      <c r="AR3539">
        <f>IF('01_Вводные'!$B$234="Да",IF(OR(('19_Расчет_аналитики'!AR3455-'19_Расчет_аналитики'!AR3483)=0,12&lt;='01_Вводные'!$B$297),0,('19_Расчет_аналитики'!AR3455-'19_Расчет_аналитики'!AR3483)*IF('01_Вводные'!$B$239="Да",MeanMinAge12+'19_Расчет_аналитики'!AR3596*SUMIF(ThresholdAge12,"&lt;"&amp;'19_Расчет_аналитики'!AR3596,WeightedRevAge12)-SUMIF(ThresholdAge12,"&lt;"&amp;'19_Расчет_аналитики'!AR3596,WeightedMinAge12),MAX(CapacityAge12*'01_Вводные'!$B$218*'19_Расчет_аналитики'!AR3596,MeanMinAge12))),0)</f>
        <v/>
      </c>
      <c r="AS3539">
        <f>IF('01_Вводные'!$B$234="Да",IF(OR(('19_Расчет_аналитики'!AS3455-'19_Расчет_аналитики'!AS3483)=0,12&lt;='01_Вводные'!$B$297),0,('19_Расчет_аналитики'!AS3455-'19_Расчет_аналитики'!AS3483)*IF('01_Вводные'!$B$239="Да",MeanMinAge12+'19_Расчет_аналитики'!AS3596*SUMIF(ThresholdAge12,"&lt;"&amp;'19_Расчет_аналитики'!AS3596,WeightedRevAge12)-SUMIF(ThresholdAge12,"&lt;"&amp;'19_Расчет_аналитики'!AS3596,WeightedMinAge12),MAX(CapacityAge12*'01_Вводные'!$B$218*'19_Расчет_аналитики'!AS3596,MeanMinAge12))),0)</f>
        <v/>
      </c>
      <c r="AT3539">
        <f>IF('01_Вводные'!$B$234="Да",IF(OR(('19_Расчет_аналитики'!AT3455-'19_Расчет_аналитики'!AT3483)=0,12&lt;='01_Вводные'!$B$297),0,('19_Расчет_аналитики'!AT3455-'19_Расчет_аналитики'!AT3483)*IF('01_Вводные'!$B$239="Да",MeanMinAge12+'19_Расчет_аналитики'!AT3596*SUMIF(ThresholdAge12,"&lt;"&amp;'19_Расчет_аналитики'!AT3596,WeightedRevAge12)-SUMIF(ThresholdAge12,"&lt;"&amp;'19_Расчет_аналитики'!AT3596,WeightedMinAge12),MAX(CapacityAge12*'01_Вводные'!$B$218*'19_Расчет_аналитики'!AT3596,MeanMinAge12))),0)</f>
        <v/>
      </c>
      <c r="AU3539">
        <f>IF('01_Вводные'!$B$234="Да",IF(OR(('19_Расчет_аналитики'!AU3455-'19_Расчет_аналитики'!AU3483)=0,12&lt;='01_Вводные'!$B$297),0,('19_Расчет_аналитики'!AU3455-'19_Расчет_аналитики'!AU3483)*IF('01_Вводные'!$B$239="Да",MeanMinAge12+'19_Расчет_аналитики'!AU3596*SUMIF(ThresholdAge12,"&lt;"&amp;'19_Расчет_аналитики'!AU3596,WeightedRevAge12)-SUMIF(ThresholdAge12,"&lt;"&amp;'19_Расчет_аналитики'!AU3596,WeightedMinAge12),MAX(CapacityAge12*'01_Вводные'!$B$218*'19_Расчет_аналитики'!AU3596,MeanMinAge12))),0)</f>
        <v/>
      </c>
      <c r="AV3539">
        <f>IF('01_Вводные'!$B$234="Да",IF(OR(('19_Расчет_аналитики'!AV3455-'19_Расчет_аналитики'!AV3483)=0,12&lt;='01_Вводные'!$B$297),0,('19_Расчет_аналитики'!AV3455-'19_Расчет_аналитики'!AV3483)*IF('01_Вводные'!$B$239="Да",MeanMinAge12+'19_Расчет_аналитики'!AV3596*SUMIF(ThresholdAge12,"&lt;"&amp;'19_Расчет_аналитики'!AV3596,WeightedRevAge12)-SUMIF(ThresholdAge12,"&lt;"&amp;'19_Расчет_аналитики'!AV3596,WeightedMinAge12),MAX(CapacityAge12*'01_Вводные'!$B$218*'19_Расчет_аналитики'!AV3596,MeanMinAge12))),0)</f>
        <v/>
      </c>
      <c r="AW3539">
        <f>IF('01_Вводные'!$B$234="Да",IF(OR(('19_Расчет_аналитики'!AW3455-'19_Расчет_аналитики'!AW3483)=0,12&lt;='01_Вводные'!$B$297),0,('19_Расчет_аналитики'!AW3455-'19_Расчет_аналитики'!AW3483)*IF('01_Вводные'!$B$239="Да",MeanMinAge12+'19_Расчет_аналитики'!AW3596*SUMIF(ThresholdAge12,"&lt;"&amp;'19_Расчет_аналитики'!AW3596,WeightedRevAge12)-SUMIF(ThresholdAge12,"&lt;"&amp;'19_Расчет_аналитики'!AW3596,WeightedMinAge12),MAX(CapacityAge12*'01_Вводные'!$B$218*'19_Расчет_аналитики'!AW3596,MeanMinAge12))),0)</f>
        <v/>
      </c>
      <c r="AX3539">
        <f>IF('01_Вводные'!$B$234="Да",IF(OR(('19_Расчет_аналитики'!AX3455-'19_Расчет_аналитики'!AX3483)=0,12&lt;='01_Вводные'!$B$297),0,('19_Расчет_аналитики'!AX3455-'19_Расчет_аналитики'!AX3483)*IF('01_Вводные'!$B$239="Да",MeanMinAge12+'19_Расчет_аналитики'!AX3596*SUMIF(ThresholdAge12,"&lt;"&amp;'19_Расчет_аналитики'!AX3596,WeightedRevAge12)-SUMIF(ThresholdAge12,"&lt;"&amp;'19_Расчет_аналитики'!AX3596,WeightedMinAge12),MAX(CapacityAge12*'01_Вводные'!$B$218*'19_Расчет_аналитики'!AX3596,MeanMinAge12))),0)</f>
        <v/>
      </c>
      <c r="AY3539">
        <f>IF('01_Вводные'!$B$234="Да",IF(OR(('19_Расчет_аналитики'!AY3455-'19_Расчет_аналитики'!AY3483)=0,12&lt;='01_Вводные'!$B$297),0,('19_Расчет_аналитики'!AY3455-'19_Расчет_аналитики'!AY3483)*IF('01_Вводные'!$B$239="Да",MeanMinAge12+'19_Расчет_аналитики'!AY3596*SUMIF(ThresholdAge12,"&lt;"&amp;'19_Расчет_аналитики'!AY3596,WeightedRevAge12)-SUMIF(ThresholdAge12,"&lt;"&amp;'19_Расчет_аналитики'!AY3596,WeightedMinAge12),MAX(CapacityAge12*'01_Вводные'!$B$218*'19_Расчет_аналитики'!AY3596,MeanMinAge12))),0)</f>
        <v/>
      </c>
      <c r="AZ3539">
        <f>IF('01_Вводные'!$B$234="Да",IF(OR(('19_Расчет_аналитики'!AZ3455-'19_Расчет_аналитики'!AZ3483)=0,12&lt;='01_Вводные'!$B$297),0,('19_Расчет_аналитики'!AZ3455-'19_Расчет_аналитики'!AZ3483)*IF('01_Вводные'!$B$239="Да",MeanMinAge12+'19_Расчет_аналитики'!AZ3596*SUMIF(ThresholdAge12,"&lt;"&amp;'19_Расчет_аналитики'!AZ3596,WeightedRevAge12)-SUMIF(ThresholdAge12,"&lt;"&amp;'19_Расчет_аналитики'!AZ3596,WeightedMinAge12),MAX(CapacityAge12*'01_Вводные'!$B$218*'19_Расчет_аналитики'!AZ3596,MeanMinAge12))),0)</f>
        <v/>
      </c>
      <c r="BA3539">
        <f>IF('01_Вводные'!$B$234="Да",IF(OR(('19_Расчет_аналитики'!BA3455-'19_Расчет_аналитики'!BA3483)=0,12&lt;='01_Вводные'!$B$297),0,('19_Расчет_аналитики'!BA3455-'19_Расчет_аналитики'!BA3483)*IF('01_Вводные'!$B$239="Да",MeanMinAge12+'19_Расчет_аналитики'!BA3596*SUMIF(ThresholdAge12,"&lt;"&amp;'19_Расчет_аналитики'!BA3596,WeightedRevAge12)-SUMIF(ThresholdAge12,"&lt;"&amp;'19_Расчет_аналитики'!BA3596,WeightedMinAge12),MAX(CapacityAge12*'01_Вводные'!$B$218*'19_Расчет_аналитики'!BA3596,MeanMinAge12))),0)</f>
        <v/>
      </c>
      <c r="BB3539">
        <f>IF('01_Вводные'!$B$234="Да",IF(OR(('19_Расчет_аналитики'!BB3455-'19_Расчет_аналитики'!BB3483)=0,12&lt;='01_Вводные'!$B$297),0,('19_Расчет_аналитики'!BB3455-'19_Расчет_аналитики'!BB3483)*IF('01_Вводные'!$B$239="Да",MeanMinAge12+'19_Расчет_аналитики'!BB3596*SUMIF(ThresholdAge12,"&lt;"&amp;'19_Расчет_аналитики'!BB3596,WeightedRevAge12)-SUMIF(ThresholdAge12,"&lt;"&amp;'19_Расчет_аналитики'!BB3596,WeightedMinAge12),MAX(CapacityAge12*'01_Вводные'!$B$218*'19_Расчет_аналитики'!BB3596,MeanMinAge12))),0)</f>
        <v/>
      </c>
      <c r="BC3539">
        <f>IF('01_Вводные'!$B$234="Да",IF(OR(('19_Расчет_аналитики'!BC3455-'19_Расчет_аналитики'!BC3483)=0,12&lt;='01_Вводные'!$B$297),0,('19_Расчет_аналитики'!BC3455-'19_Расчет_аналитики'!BC3483)*IF('01_Вводные'!$B$239="Да",MeanMinAge12+'19_Расчет_аналитики'!BC3596*SUMIF(ThresholdAge12,"&lt;"&amp;'19_Расчет_аналитики'!BC3596,WeightedRevAge12)-SUMIF(ThresholdAge12,"&lt;"&amp;'19_Расчет_аналитики'!BC3596,WeightedMinAge12),MAX(CapacityAge12*'01_Вводные'!$B$218*'19_Расчет_аналитики'!BC3596,MeanMinAge12))),0)</f>
        <v/>
      </c>
      <c r="BD3539">
        <f>IF('01_Вводные'!$B$234="Да",IF(OR(('19_Расчет_аналитики'!BD3455-'19_Расчет_аналитики'!BD3483)=0,12&lt;='01_Вводные'!$B$297),0,('19_Расчет_аналитики'!BD3455-'19_Расчет_аналитики'!BD3483)*IF('01_Вводные'!$B$239="Да",MeanMinAge12+'19_Расчет_аналитики'!BD3596*SUMIF(ThresholdAge12,"&lt;"&amp;'19_Расчет_аналитики'!BD3596,WeightedRevAge12)-SUMIF(ThresholdAge12,"&lt;"&amp;'19_Расчет_аналитики'!BD3596,WeightedMinAge12),MAX(CapacityAge12*'01_Вводные'!$B$218*'19_Расчет_аналитики'!BD3596,MeanMinAge12))),0)</f>
        <v/>
      </c>
      <c r="BE3539">
        <f>IF('01_Вводные'!$B$234="Да",IF(OR(('19_Расчет_аналитики'!BE3455-'19_Расчет_аналитики'!BE3483)=0,12&lt;='01_Вводные'!$B$297),0,('19_Расчет_аналитики'!BE3455-'19_Расчет_аналитики'!BE3483)*IF('01_Вводные'!$B$239="Да",MeanMinAge12+'19_Расчет_аналитики'!BE3596*SUMIF(ThresholdAge12,"&lt;"&amp;'19_Расчет_аналитики'!BE3596,WeightedRevAge12)-SUMIF(ThresholdAge12,"&lt;"&amp;'19_Расчет_аналитики'!BE3596,WeightedMinAge12),MAX(CapacityAge12*'01_Вводные'!$B$218*'19_Расчет_аналитики'!BE3596,MeanMinAge12))),0)</f>
        <v/>
      </c>
      <c r="BF3539">
        <f>IF('01_Вводные'!$B$234="Да",IF(OR(('19_Расчет_аналитики'!BF3455-'19_Расчет_аналитики'!BF3483)=0,12&lt;='01_Вводные'!$B$297),0,('19_Расчет_аналитики'!BF3455-'19_Расчет_аналитики'!BF3483)*IF('01_Вводные'!$B$239="Да",MeanMinAge12+'19_Расчет_аналитики'!BF3596*SUMIF(ThresholdAge12,"&lt;"&amp;'19_Расчет_аналитики'!BF3596,WeightedRevAge12)-SUMIF(ThresholdAge12,"&lt;"&amp;'19_Расчет_аналитики'!BF3596,WeightedMinAge12),MAX(CapacityAge12*'01_Вводные'!$B$218*'19_Расчет_аналитики'!BF3596,MeanMinAge12))),0)</f>
        <v/>
      </c>
      <c r="BG3539">
        <f>IF('01_Вводные'!$B$234="Да",IF(OR(('19_Расчет_аналитики'!BG3455-'19_Расчет_аналитики'!BG3483)=0,12&lt;='01_Вводные'!$B$297),0,('19_Расчет_аналитики'!BG3455-'19_Расчет_аналитики'!BG3483)*IF('01_Вводные'!$B$239="Да",MeanMinAge12+'19_Расчет_аналитики'!BG3596*SUMIF(ThresholdAge12,"&lt;"&amp;'19_Расчет_аналитики'!BG3596,WeightedRevAge12)-SUMIF(ThresholdAge12,"&lt;"&amp;'19_Расчет_аналитики'!BG3596,WeightedMinAge12),MAX(CapacityAge12*'01_Вводные'!$B$218*'19_Расчет_аналитики'!BG3596,MeanMinAge12))),0)</f>
        <v/>
      </c>
      <c r="BH3539">
        <f>IF('01_Вводные'!$B$234="Да",IF(OR(('19_Расчет_аналитики'!BH3455-'19_Расчет_аналитики'!BH3483)=0,12&lt;='01_Вводные'!$B$297),0,('19_Расчет_аналитики'!BH3455-'19_Расчет_аналитики'!BH3483)*IF('01_Вводные'!$B$239="Да",MeanMinAge12+'19_Расчет_аналитики'!BH3596*SUMIF(ThresholdAge12,"&lt;"&amp;'19_Расчет_аналитики'!BH3596,WeightedRevAge12)-SUMIF(ThresholdAge12,"&lt;"&amp;'19_Расчет_аналитики'!BH3596,WeightedMinAge12),MAX(CapacityAge12*'01_Вводные'!$B$218*'19_Расчет_аналитики'!BH3596,MeanMinAge12))),0)</f>
        <v/>
      </c>
      <c r="BI3539">
        <f>IF('01_Вводные'!$B$234="Да",IF(OR(('19_Расчет_аналитики'!BI3455-'19_Расчет_аналитики'!BI3483)=0,12&lt;='01_Вводные'!$B$297),0,('19_Расчет_аналитики'!BI3455-'19_Расчет_аналитики'!BI3483)*IF('01_Вводные'!$B$239="Да",MeanMinAge12+'19_Расчет_аналитики'!BI3596*SUMIF(ThresholdAge12,"&lt;"&amp;'19_Расчет_аналитики'!BI3596,WeightedRevAge12)-SUMIF(ThresholdAge12,"&lt;"&amp;'19_Расчет_аналитики'!BI3596,WeightedMinAge12),MAX(CapacityAge12*'01_Вводные'!$B$218*'19_Расчет_аналитики'!BI3596,MeanMinAge12))),0)</f>
        <v/>
      </c>
      <c r="BJ3539">
        <f>IF('01_Вводные'!$B$234="Да",IF(OR(('19_Расчет_аналитики'!BJ3455-'19_Расчет_аналитики'!BJ3483)=0,12&lt;='01_Вводные'!$B$297),0,('19_Расчет_аналитики'!BJ3455-'19_Расчет_аналитики'!BJ3483)*IF('01_Вводные'!$B$239="Да",MeanMinAge12+'19_Расчет_аналитики'!BJ3596*SUMIF(ThresholdAge12,"&lt;"&amp;'19_Расчет_аналитики'!BJ3596,WeightedRevAge12)-SUMIF(ThresholdAge12,"&lt;"&amp;'19_Расчет_аналитики'!BJ3596,WeightedMinAge12),MAX(CapacityAge12*'01_Вводные'!$B$218*'19_Расчет_аналитики'!BJ3596,MeanMinAge12))),0)</f>
        <v/>
      </c>
      <c r="BK3539">
        <f>IF('01_Вводные'!$B$234="Да",IF(OR(('19_Расчет_аналитики'!BK3455-'19_Расчет_аналитики'!BK3483)=0,12&lt;='01_Вводные'!$B$297),0,('19_Расчет_аналитики'!BK3455-'19_Расчет_аналитики'!BK3483)*IF('01_Вводные'!$B$239="Да",MeanMinAge12+'19_Расчет_аналитики'!BK3596*SUMIF(ThresholdAge12,"&lt;"&amp;'19_Расчет_аналитики'!BK3596,WeightedRevAge12)-SUMIF(ThresholdAge12,"&lt;"&amp;'19_Расчет_аналитики'!BK3596,WeightedMinAge12),MAX(CapacityAge12*'01_Вводные'!$B$218*'19_Расчет_аналитики'!BK3596,MeanMinAge12))),0)</f>
        <v/>
      </c>
      <c r="BL3539">
        <f>IF('01_Вводные'!$B$234="Да",IF(OR(('19_Расчет_аналитики'!BL3455-'19_Расчет_аналитики'!BL3483)=0,12&lt;='01_Вводные'!$B$297),0,('19_Расчет_аналитики'!BL3455-'19_Расчет_аналитики'!BL3483)*IF('01_Вводные'!$B$239="Да",MeanMinAge12+'19_Расчет_аналитики'!BL3596*SUMIF(ThresholdAge12,"&lt;"&amp;'19_Расчет_аналитики'!BL3596,WeightedRevAge12)-SUMIF(ThresholdAge12,"&lt;"&amp;'19_Расчет_аналитики'!BL3596,WeightedMinAge12),MAX(CapacityAge12*'01_Вводные'!$B$218*'19_Расчет_аналитики'!BL3596,MeanMinAge12))),0)</f>
        <v/>
      </c>
      <c r="BM3539">
        <f>IF('01_Вводные'!$B$234="Да",IF(OR(('19_Расчет_аналитики'!BM3455-'19_Расчет_аналитики'!BM3483)=0,12&lt;='01_Вводные'!$B$297),0,('19_Расчет_аналитики'!BM3455-'19_Расчет_аналитики'!BM3483)*IF('01_Вводные'!$B$239="Да",MeanMinAge12+'19_Расчет_аналитики'!BM3596*SUMIF(ThresholdAge12,"&lt;"&amp;'19_Расчет_аналитики'!BM3596,WeightedRevAge12)-SUMIF(ThresholdAge12,"&lt;"&amp;'19_Расчет_аналитики'!BM3596,WeightedMinAge12),MAX(CapacityAge12*'01_Вводные'!$B$218*'19_Расчет_аналитики'!BM3596,MeanMinAge12))),0)</f>
        <v/>
      </c>
      <c r="BN3539">
        <f>IF('01_Вводные'!$B$234="Да",IF(OR(('19_Расчет_аналитики'!BN3455-'19_Расчет_аналитики'!BN3483)=0,12&lt;='01_Вводные'!$B$297),0,('19_Расчет_аналитики'!BN3455-'19_Расчет_аналитики'!BN3483)*IF('01_Вводные'!$B$239="Да",MeanMinAge12+'19_Расчет_аналитики'!BN3596*SUMIF(ThresholdAge12,"&lt;"&amp;'19_Расчет_аналитики'!BN3596,WeightedRevAge12)-SUMIF(ThresholdAge12,"&lt;"&amp;'19_Расчет_аналитики'!BN3596,WeightedMinAge12),MAX(CapacityAge12*'01_Вводные'!$B$218*'19_Расчет_аналитики'!BN3596,MeanMinAge12))),0)</f>
        <v/>
      </c>
      <c r="BO3539">
        <f>IF('01_Вводные'!$B$234="Да",IF(OR(('19_Расчет_аналитики'!BO3455-'19_Расчет_аналитики'!BO3483)=0,12&lt;='01_Вводные'!$B$297),0,('19_Расчет_аналитики'!BO3455-'19_Расчет_аналитики'!BO3483)*IF('01_Вводные'!$B$239="Да",MeanMinAge12+'19_Расчет_аналитики'!BO3596*SUMIF(ThresholdAge12,"&lt;"&amp;'19_Расчет_аналитики'!BO3596,WeightedRevAge12)-SUMIF(ThresholdAge12,"&lt;"&amp;'19_Расчет_аналитики'!BO3596,WeightedMinAge12),MAX(CapacityAge12*'01_Вводные'!$B$218*'19_Расчет_аналитики'!BO3596,MeanMinAge12))),0)</f>
        <v/>
      </c>
    </row>
    <row r="3540">
      <c r="B3540">
        <f>IF('01_Вводные'!$B$234="Да",IF(OR(('06_Сеть_и_дети'!B65-'06_Сеть_и_дети'!B93)=0,13&lt;='01_Вводные'!$B$297),0,('06_Сеть_и_дети'!B65-'06_Сеть_и_дети'!B93)*IF('01_Вводные'!$B$239="Да",MeanMinAge13+'19_Расчет_аналитики'!B3596*SUMIF(ThresholdAge13,"&lt;"&amp;'19_Расчет_аналитики'!B3596,WeightedRevAge13)-SUMIF(ThresholdAge13,"&lt;"&amp;'19_Расчет_аналитики'!B3596,WeightedMinAge13),MAX(CapacityAge13*'01_Вводные'!$B$218*'19_Расчет_аналитики'!B3596,MeanMinAge13))),0)</f>
        <v/>
      </c>
      <c r="C3540">
        <f>IF('01_Вводные'!$B$234="Да",IF(OR(('06_Сеть_и_дети'!C65-'06_Сеть_и_дети'!C93)=0,13&lt;='01_Вводные'!$B$297),0,('06_Сеть_и_дети'!C65-'06_Сеть_и_дети'!C93)*IF('01_Вводные'!$B$239="Да",MeanMinAge13+'19_Расчет_аналитики'!C3596*SUMIF(ThresholdAge13,"&lt;"&amp;'19_Расчет_аналитики'!C3596,WeightedRevAge13)-SUMIF(ThresholdAge13,"&lt;"&amp;'19_Расчет_аналитики'!C3596,WeightedMinAge13),MAX(CapacityAge13*'01_Вводные'!$B$218*'19_Расчет_аналитики'!C3596,MeanMinAge13))),0)</f>
        <v/>
      </c>
      <c r="D3540">
        <f>IF('01_Вводные'!$B$234="Да",IF(OR(('06_Сеть_и_дети'!D65-'06_Сеть_и_дети'!D93)=0,13&lt;='01_Вводные'!$B$297),0,('06_Сеть_и_дети'!D65-'06_Сеть_и_дети'!D93)*IF('01_Вводные'!$B$239="Да",MeanMinAge13+'19_Расчет_аналитики'!D3596*SUMIF(ThresholdAge13,"&lt;"&amp;'19_Расчет_аналитики'!D3596,WeightedRevAge13)-SUMIF(ThresholdAge13,"&lt;"&amp;'19_Расчет_аналитики'!D3596,WeightedMinAge13),MAX(CapacityAge13*'01_Вводные'!$B$218*'19_Расчет_аналитики'!D3596,MeanMinAge13))),0)</f>
        <v/>
      </c>
      <c r="E3540">
        <f>IF('01_Вводные'!$B$234="Да",IF(OR(('06_Сеть_и_дети'!E65-'06_Сеть_и_дети'!E93)=0,13&lt;='01_Вводные'!$B$297),0,('06_Сеть_и_дети'!E65-'06_Сеть_и_дети'!E93)*IF('01_Вводные'!$B$239="Да",MeanMinAge13+'19_Расчет_аналитики'!E3596*SUMIF(ThresholdAge13,"&lt;"&amp;'19_Расчет_аналитики'!E3596,WeightedRevAge13)-SUMIF(ThresholdAge13,"&lt;"&amp;'19_Расчет_аналитики'!E3596,WeightedMinAge13),MAX(CapacityAge13*'01_Вводные'!$B$218*'19_Расчет_аналитики'!E3596,MeanMinAge13))),0)</f>
        <v/>
      </c>
      <c r="F3540">
        <f>IF('01_Вводные'!$B$234="Да",IF(OR(('06_Сеть_и_дети'!F65-'06_Сеть_и_дети'!F93)=0,13&lt;='01_Вводные'!$B$297),0,('06_Сеть_и_дети'!F65-'06_Сеть_и_дети'!F93)*IF('01_Вводные'!$B$239="Да",MeanMinAge13+'19_Расчет_аналитики'!F3596*SUMIF(ThresholdAge13,"&lt;"&amp;'19_Расчет_аналитики'!F3596,WeightedRevAge13)-SUMIF(ThresholdAge13,"&lt;"&amp;'19_Расчет_аналитики'!F3596,WeightedMinAge13),MAX(CapacityAge13*'01_Вводные'!$B$218*'19_Расчет_аналитики'!F3596,MeanMinAge13))),0)</f>
        <v/>
      </c>
      <c r="G3540">
        <f>IF('01_Вводные'!$B$234="Да",IF(OR(('06_Сеть_и_дети'!G65-'06_Сеть_и_дети'!G93)=0,13&lt;='01_Вводные'!$B$297),0,('06_Сеть_и_дети'!G65-'06_Сеть_и_дети'!G93)*IF('01_Вводные'!$B$239="Да",MeanMinAge13+'19_Расчет_аналитики'!G3596*SUMIF(ThresholdAge13,"&lt;"&amp;'19_Расчет_аналитики'!G3596,WeightedRevAge13)-SUMIF(ThresholdAge13,"&lt;"&amp;'19_Расчет_аналитики'!G3596,WeightedMinAge13),MAX(CapacityAge13*'01_Вводные'!$B$218*'19_Расчет_аналитики'!G3596,MeanMinAge13))),0)</f>
        <v/>
      </c>
      <c r="H3540">
        <f>IF('01_Вводные'!$B$234="Да",IF(OR(('06_Сеть_и_дети'!H65-'06_Сеть_и_дети'!H93)=0,13&lt;='01_Вводные'!$B$297),0,('06_Сеть_и_дети'!H65-'06_Сеть_и_дети'!H93)*IF('01_Вводные'!$B$239="Да",MeanMinAge13+'19_Расчет_аналитики'!H3596*SUMIF(ThresholdAge13,"&lt;"&amp;'19_Расчет_аналитики'!H3596,WeightedRevAge13)-SUMIF(ThresholdAge13,"&lt;"&amp;'19_Расчет_аналитики'!H3596,WeightedMinAge13),MAX(CapacityAge13*'01_Вводные'!$B$218*'19_Расчет_аналитики'!H3596,MeanMinAge13))),0)</f>
        <v/>
      </c>
      <c r="I3540">
        <f>IF('01_Вводные'!$B$234="Да",IF(OR(('06_Сеть_и_дети'!I65-'06_Сеть_и_дети'!I93)=0,13&lt;='01_Вводные'!$B$297),0,('06_Сеть_и_дети'!I65-'06_Сеть_и_дети'!I93)*IF('01_Вводные'!$B$239="Да",MeanMinAge13+'19_Расчет_аналитики'!I3596*SUMIF(ThresholdAge13,"&lt;"&amp;'19_Расчет_аналитики'!I3596,WeightedRevAge13)-SUMIF(ThresholdAge13,"&lt;"&amp;'19_Расчет_аналитики'!I3596,WeightedMinAge13),MAX(CapacityAge13*'01_Вводные'!$B$218*'19_Расчет_аналитики'!I3596,MeanMinAge13))),0)</f>
        <v/>
      </c>
      <c r="J3540">
        <f>IF('01_Вводные'!$B$234="Да",IF(OR(('06_Сеть_и_дети'!J65-'06_Сеть_и_дети'!J93)=0,13&lt;='01_Вводные'!$B$297),0,('06_Сеть_и_дети'!J65-'06_Сеть_и_дети'!J93)*IF('01_Вводные'!$B$239="Да",MeanMinAge13+'19_Расчет_аналитики'!J3596*SUMIF(ThresholdAge13,"&lt;"&amp;'19_Расчет_аналитики'!J3596,WeightedRevAge13)-SUMIF(ThresholdAge13,"&lt;"&amp;'19_Расчет_аналитики'!J3596,WeightedMinAge13),MAX(CapacityAge13*'01_Вводные'!$B$218*'19_Расчет_аналитики'!J3596,MeanMinAge13))),0)</f>
        <v/>
      </c>
      <c r="K3540">
        <f>IF('01_Вводные'!$B$234="Да",IF(OR(('06_Сеть_и_дети'!K65-'06_Сеть_и_дети'!K93)=0,13&lt;='01_Вводные'!$B$297),0,('06_Сеть_и_дети'!K65-'06_Сеть_и_дети'!K93)*IF('01_Вводные'!$B$239="Да",MeanMinAge13+'19_Расчет_аналитики'!K3596*SUMIF(ThresholdAge13,"&lt;"&amp;'19_Расчет_аналитики'!K3596,WeightedRevAge13)-SUMIF(ThresholdAge13,"&lt;"&amp;'19_Расчет_аналитики'!K3596,WeightedMinAge13),MAX(CapacityAge13*'01_Вводные'!$B$218*'19_Расчет_аналитики'!K3596,MeanMinAge13))),0)</f>
        <v/>
      </c>
      <c r="L3540">
        <f>IF('01_Вводные'!$B$234="Да",IF(OR(('06_Сеть_и_дети'!L65-'06_Сеть_и_дети'!L93)=0,13&lt;='01_Вводные'!$B$297),0,('06_Сеть_и_дети'!L65-'06_Сеть_и_дети'!L93)*IF('01_Вводные'!$B$239="Да",MeanMinAge13+'19_Расчет_аналитики'!L3596*SUMIF(ThresholdAge13,"&lt;"&amp;'19_Расчет_аналитики'!L3596,WeightedRevAge13)-SUMIF(ThresholdAge13,"&lt;"&amp;'19_Расчет_аналитики'!L3596,WeightedMinAge13),MAX(CapacityAge13*'01_Вводные'!$B$218*'19_Расчет_аналитики'!L3596,MeanMinAge13))),0)</f>
        <v/>
      </c>
      <c r="M3540">
        <f>IF('01_Вводные'!$B$234="Да",IF(OR(('06_Сеть_и_дети'!M65-'06_Сеть_и_дети'!M93)=0,13&lt;='01_Вводные'!$B$297),0,('06_Сеть_и_дети'!M65-'06_Сеть_и_дети'!M93)*IF('01_Вводные'!$B$239="Да",MeanMinAge13+'19_Расчет_аналитики'!M3596*SUMIF(ThresholdAge13,"&lt;"&amp;'19_Расчет_аналитики'!M3596,WeightedRevAge13)-SUMIF(ThresholdAge13,"&lt;"&amp;'19_Расчет_аналитики'!M3596,WeightedMinAge13),MAX(CapacityAge13*'01_Вводные'!$B$218*'19_Расчет_аналитики'!M3596,MeanMinAge13))),0)</f>
        <v/>
      </c>
      <c r="N3540">
        <f>IF('01_Вводные'!$B$234="Да",IF(OR(('19_Расчет_аналитики'!N3456-'19_Расчет_аналитики'!N3484)=0,13&lt;='01_Вводные'!$B$297),0,('19_Расчет_аналитики'!N3456-'19_Расчет_аналитики'!N3484)*IF('01_Вводные'!$B$239="Да",MeanMinAge13+'19_Расчет_аналитики'!N3596*SUMIF(ThresholdAge13,"&lt;"&amp;'19_Расчет_аналитики'!N3596,WeightedRevAge13)-SUMIF(ThresholdAge13,"&lt;"&amp;'19_Расчет_аналитики'!N3596,WeightedMinAge13),MAX(CapacityAge13*'01_Вводные'!$B$218*'19_Расчет_аналитики'!N3596,MeanMinAge13))),0)</f>
        <v/>
      </c>
      <c r="O3540">
        <f>IF('01_Вводные'!$B$234="Да",IF(OR(('19_Расчет_аналитики'!O3456-'19_Расчет_аналитики'!O3484)=0,13&lt;='01_Вводные'!$B$297),0,('19_Расчет_аналитики'!O3456-'19_Расчет_аналитики'!O3484)*IF('01_Вводные'!$B$239="Да",MeanMinAge13+'19_Расчет_аналитики'!O3596*SUMIF(ThresholdAge13,"&lt;"&amp;'19_Расчет_аналитики'!O3596,WeightedRevAge13)-SUMIF(ThresholdAge13,"&lt;"&amp;'19_Расчет_аналитики'!O3596,WeightedMinAge13),MAX(CapacityAge13*'01_Вводные'!$B$218*'19_Расчет_аналитики'!O3596,MeanMinAge13))),0)</f>
        <v/>
      </c>
      <c r="P3540">
        <f>IF('01_Вводные'!$B$234="Да",IF(OR(('19_Расчет_аналитики'!P3456-'19_Расчет_аналитики'!P3484)=0,13&lt;='01_Вводные'!$B$297),0,('19_Расчет_аналитики'!P3456-'19_Расчет_аналитики'!P3484)*IF('01_Вводные'!$B$239="Да",MeanMinAge13+'19_Расчет_аналитики'!P3596*SUMIF(ThresholdAge13,"&lt;"&amp;'19_Расчет_аналитики'!P3596,WeightedRevAge13)-SUMIF(ThresholdAge13,"&lt;"&amp;'19_Расчет_аналитики'!P3596,WeightedMinAge13),MAX(CapacityAge13*'01_Вводные'!$B$218*'19_Расчет_аналитики'!P3596,MeanMinAge13))),0)</f>
        <v/>
      </c>
      <c r="Q3540">
        <f>IF('01_Вводные'!$B$234="Да",IF(OR(('19_Расчет_аналитики'!Q3456-'19_Расчет_аналитики'!Q3484)=0,13&lt;='01_Вводные'!$B$297),0,('19_Расчет_аналитики'!Q3456-'19_Расчет_аналитики'!Q3484)*IF('01_Вводные'!$B$239="Да",MeanMinAge13+'19_Расчет_аналитики'!Q3596*SUMIF(ThresholdAge13,"&lt;"&amp;'19_Расчет_аналитики'!Q3596,WeightedRevAge13)-SUMIF(ThresholdAge13,"&lt;"&amp;'19_Расчет_аналитики'!Q3596,WeightedMinAge13),MAX(CapacityAge13*'01_Вводные'!$B$218*'19_Расчет_аналитики'!Q3596,MeanMinAge13))),0)</f>
        <v/>
      </c>
      <c r="R3540">
        <f>IF('01_Вводные'!$B$234="Да",IF(OR(('19_Расчет_аналитики'!R3456-'19_Расчет_аналитики'!R3484)=0,13&lt;='01_Вводные'!$B$297),0,('19_Расчет_аналитики'!R3456-'19_Расчет_аналитики'!R3484)*IF('01_Вводные'!$B$239="Да",MeanMinAge13+'19_Расчет_аналитики'!R3596*SUMIF(ThresholdAge13,"&lt;"&amp;'19_Расчет_аналитики'!R3596,WeightedRevAge13)-SUMIF(ThresholdAge13,"&lt;"&amp;'19_Расчет_аналитики'!R3596,WeightedMinAge13),MAX(CapacityAge13*'01_Вводные'!$B$218*'19_Расчет_аналитики'!R3596,MeanMinAge13))),0)</f>
        <v/>
      </c>
      <c r="S3540">
        <f>IF('01_Вводные'!$B$234="Да",IF(OR(('19_Расчет_аналитики'!S3456-'19_Расчет_аналитики'!S3484)=0,13&lt;='01_Вводные'!$B$297),0,('19_Расчет_аналитики'!S3456-'19_Расчет_аналитики'!S3484)*IF('01_Вводные'!$B$239="Да",MeanMinAge13+'19_Расчет_аналитики'!S3596*SUMIF(ThresholdAge13,"&lt;"&amp;'19_Расчет_аналитики'!S3596,WeightedRevAge13)-SUMIF(ThresholdAge13,"&lt;"&amp;'19_Расчет_аналитики'!S3596,WeightedMinAge13),MAX(CapacityAge13*'01_Вводные'!$B$218*'19_Расчет_аналитики'!S3596,MeanMinAge13))),0)</f>
        <v/>
      </c>
      <c r="T3540">
        <f>IF('01_Вводные'!$B$234="Да",IF(OR(('19_Расчет_аналитики'!T3456-'19_Расчет_аналитики'!T3484)=0,13&lt;='01_Вводные'!$B$297),0,('19_Расчет_аналитики'!T3456-'19_Расчет_аналитики'!T3484)*IF('01_Вводные'!$B$239="Да",MeanMinAge13+'19_Расчет_аналитики'!T3596*SUMIF(ThresholdAge13,"&lt;"&amp;'19_Расчет_аналитики'!T3596,WeightedRevAge13)-SUMIF(ThresholdAge13,"&lt;"&amp;'19_Расчет_аналитики'!T3596,WeightedMinAge13),MAX(CapacityAge13*'01_Вводные'!$B$218*'19_Расчет_аналитики'!T3596,MeanMinAge13))),0)</f>
        <v/>
      </c>
      <c r="U3540">
        <f>IF('01_Вводные'!$B$234="Да",IF(OR(('19_Расчет_аналитики'!U3456-'19_Расчет_аналитики'!U3484)=0,13&lt;='01_Вводные'!$B$297),0,('19_Расчет_аналитики'!U3456-'19_Расчет_аналитики'!U3484)*IF('01_Вводные'!$B$239="Да",MeanMinAge13+'19_Расчет_аналитики'!U3596*SUMIF(ThresholdAge13,"&lt;"&amp;'19_Расчет_аналитики'!U3596,WeightedRevAge13)-SUMIF(ThresholdAge13,"&lt;"&amp;'19_Расчет_аналитики'!U3596,WeightedMinAge13),MAX(CapacityAge13*'01_Вводные'!$B$218*'19_Расчет_аналитики'!U3596,MeanMinAge13))),0)</f>
        <v/>
      </c>
      <c r="V3540">
        <f>IF('01_Вводные'!$B$234="Да",IF(OR(('19_Расчет_аналитики'!V3456-'19_Расчет_аналитики'!V3484)=0,13&lt;='01_Вводные'!$B$297),0,('19_Расчет_аналитики'!V3456-'19_Расчет_аналитики'!V3484)*IF('01_Вводные'!$B$239="Да",MeanMinAge13+'19_Расчет_аналитики'!V3596*SUMIF(ThresholdAge13,"&lt;"&amp;'19_Расчет_аналитики'!V3596,WeightedRevAge13)-SUMIF(ThresholdAge13,"&lt;"&amp;'19_Расчет_аналитики'!V3596,WeightedMinAge13),MAX(CapacityAge13*'01_Вводные'!$B$218*'19_Расчет_аналитики'!V3596,MeanMinAge13))),0)</f>
        <v/>
      </c>
      <c r="W3540">
        <f>IF('01_Вводные'!$B$234="Да",IF(OR(('19_Расчет_аналитики'!W3456-'19_Расчет_аналитики'!W3484)=0,13&lt;='01_Вводные'!$B$297),0,('19_Расчет_аналитики'!W3456-'19_Расчет_аналитики'!W3484)*IF('01_Вводные'!$B$239="Да",MeanMinAge13+'19_Расчет_аналитики'!W3596*SUMIF(ThresholdAge13,"&lt;"&amp;'19_Расчет_аналитики'!W3596,WeightedRevAge13)-SUMIF(ThresholdAge13,"&lt;"&amp;'19_Расчет_аналитики'!W3596,WeightedMinAge13),MAX(CapacityAge13*'01_Вводные'!$B$218*'19_Расчет_аналитики'!W3596,MeanMinAge13))),0)</f>
        <v/>
      </c>
      <c r="X3540">
        <f>IF('01_Вводные'!$B$234="Да",IF(OR(('19_Расчет_аналитики'!X3456-'19_Расчет_аналитики'!X3484)=0,13&lt;='01_Вводные'!$B$297),0,('19_Расчет_аналитики'!X3456-'19_Расчет_аналитики'!X3484)*IF('01_Вводные'!$B$239="Да",MeanMinAge13+'19_Расчет_аналитики'!X3596*SUMIF(ThresholdAge13,"&lt;"&amp;'19_Расчет_аналитики'!X3596,WeightedRevAge13)-SUMIF(ThresholdAge13,"&lt;"&amp;'19_Расчет_аналитики'!X3596,WeightedMinAge13),MAX(CapacityAge13*'01_Вводные'!$B$218*'19_Расчет_аналитики'!X3596,MeanMinAge13))),0)</f>
        <v/>
      </c>
      <c r="Y3540">
        <f>IF('01_Вводные'!$B$234="Да",IF(OR(('19_Расчет_аналитики'!Y3456-'19_Расчет_аналитики'!Y3484)=0,13&lt;='01_Вводные'!$B$297),0,('19_Расчет_аналитики'!Y3456-'19_Расчет_аналитики'!Y3484)*IF('01_Вводные'!$B$239="Да",MeanMinAge13+'19_Расчет_аналитики'!Y3596*SUMIF(ThresholdAge13,"&lt;"&amp;'19_Расчет_аналитики'!Y3596,WeightedRevAge13)-SUMIF(ThresholdAge13,"&lt;"&amp;'19_Расчет_аналитики'!Y3596,WeightedMinAge13),MAX(CapacityAge13*'01_Вводные'!$B$218*'19_Расчет_аналитики'!Y3596,MeanMinAge13))),0)</f>
        <v/>
      </c>
      <c r="Z3540">
        <f>IF('01_Вводные'!$B$234="Да",IF(OR(('19_Расчет_аналитики'!Z3456-'19_Расчет_аналитики'!Z3484)=0,13&lt;='01_Вводные'!$B$297),0,('19_Расчет_аналитики'!Z3456-'19_Расчет_аналитики'!Z3484)*IF('01_Вводные'!$B$239="Да",MeanMinAge13+'19_Расчет_аналитики'!Z3596*SUMIF(ThresholdAge13,"&lt;"&amp;'19_Расчет_аналитики'!Z3596,WeightedRevAge13)-SUMIF(ThresholdAge13,"&lt;"&amp;'19_Расчет_аналитики'!Z3596,WeightedMinAge13),MAX(CapacityAge13*'01_Вводные'!$B$218*'19_Расчет_аналитики'!Z3596,MeanMinAge13))),0)</f>
        <v/>
      </c>
      <c r="AA3540">
        <f>IF('01_Вводные'!$B$234="Да",IF(OR(('19_Расчет_аналитики'!AA3456-'19_Расчет_аналитики'!AA3484)=0,13&lt;='01_Вводные'!$B$297),0,('19_Расчет_аналитики'!AA3456-'19_Расчет_аналитики'!AA3484)*IF('01_Вводные'!$B$239="Да",MeanMinAge13+'19_Расчет_аналитики'!AA3596*SUMIF(ThresholdAge13,"&lt;"&amp;'19_Расчет_аналитики'!AA3596,WeightedRevAge13)-SUMIF(ThresholdAge13,"&lt;"&amp;'19_Расчет_аналитики'!AA3596,WeightedMinAge13),MAX(CapacityAge13*'01_Вводные'!$B$218*'19_Расчет_аналитики'!AA3596,MeanMinAge13))),0)</f>
        <v/>
      </c>
      <c r="AB3540">
        <f>IF('01_Вводные'!$B$234="Да",IF(OR(('19_Расчет_аналитики'!AB3456-'19_Расчет_аналитики'!AB3484)=0,13&lt;='01_Вводные'!$B$297),0,('19_Расчет_аналитики'!AB3456-'19_Расчет_аналитики'!AB3484)*IF('01_Вводные'!$B$239="Да",MeanMinAge13+'19_Расчет_аналитики'!AB3596*SUMIF(ThresholdAge13,"&lt;"&amp;'19_Расчет_аналитики'!AB3596,WeightedRevAge13)-SUMIF(ThresholdAge13,"&lt;"&amp;'19_Расчет_аналитики'!AB3596,WeightedMinAge13),MAX(CapacityAge13*'01_Вводные'!$B$218*'19_Расчет_аналитики'!AB3596,MeanMinAge13))),0)</f>
        <v/>
      </c>
      <c r="AC3540">
        <f>IF('01_Вводные'!$B$234="Да",IF(OR(('19_Расчет_аналитики'!AC3456-'19_Расчет_аналитики'!AC3484)=0,13&lt;='01_Вводные'!$B$297),0,('19_Расчет_аналитики'!AC3456-'19_Расчет_аналитики'!AC3484)*IF('01_Вводные'!$B$239="Да",MeanMinAge13+'19_Расчет_аналитики'!AC3596*SUMIF(ThresholdAge13,"&lt;"&amp;'19_Расчет_аналитики'!AC3596,WeightedRevAge13)-SUMIF(ThresholdAge13,"&lt;"&amp;'19_Расчет_аналитики'!AC3596,WeightedMinAge13),MAX(CapacityAge13*'01_Вводные'!$B$218*'19_Расчет_аналитики'!AC3596,MeanMinAge13))),0)</f>
        <v/>
      </c>
      <c r="AD3540">
        <f>IF('01_Вводные'!$B$234="Да",IF(OR(('19_Расчет_аналитики'!AD3456-'19_Расчет_аналитики'!AD3484)=0,13&lt;='01_Вводные'!$B$297),0,('19_Расчет_аналитики'!AD3456-'19_Расчет_аналитики'!AD3484)*IF('01_Вводные'!$B$239="Да",MeanMinAge13+'19_Расчет_аналитики'!AD3596*SUMIF(ThresholdAge13,"&lt;"&amp;'19_Расчет_аналитики'!AD3596,WeightedRevAge13)-SUMIF(ThresholdAge13,"&lt;"&amp;'19_Расчет_аналитики'!AD3596,WeightedMinAge13),MAX(CapacityAge13*'01_Вводные'!$B$218*'19_Расчет_аналитики'!AD3596,MeanMinAge13))),0)</f>
        <v/>
      </c>
      <c r="AE3540">
        <f>IF('01_Вводные'!$B$234="Да",IF(OR(('19_Расчет_аналитики'!AE3456-'19_Расчет_аналитики'!AE3484)=0,13&lt;='01_Вводные'!$B$297),0,('19_Расчет_аналитики'!AE3456-'19_Расчет_аналитики'!AE3484)*IF('01_Вводные'!$B$239="Да",MeanMinAge13+'19_Расчет_аналитики'!AE3596*SUMIF(ThresholdAge13,"&lt;"&amp;'19_Расчет_аналитики'!AE3596,WeightedRevAge13)-SUMIF(ThresholdAge13,"&lt;"&amp;'19_Расчет_аналитики'!AE3596,WeightedMinAge13),MAX(CapacityAge13*'01_Вводные'!$B$218*'19_Расчет_аналитики'!AE3596,MeanMinAge13))),0)</f>
        <v/>
      </c>
      <c r="AF3540">
        <f>IF('01_Вводные'!$B$234="Да",IF(OR(('19_Расчет_аналитики'!AF3456-'19_Расчет_аналитики'!AF3484)=0,13&lt;='01_Вводные'!$B$297),0,('19_Расчет_аналитики'!AF3456-'19_Расчет_аналитики'!AF3484)*IF('01_Вводные'!$B$239="Да",MeanMinAge13+'19_Расчет_аналитики'!AF3596*SUMIF(ThresholdAge13,"&lt;"&amp;'19_Расчет_аналитики'!AF3596,WeightedRevAge13)-SUMIF(ThresholdAge13,"&lt;"&amp;'19_Расчет_аналитики'!AF3596,WeightedMinAge13),MAX(CapacityAge13*'01_Вводные'!$B$218*'19_Расчет_аналитики'!AF3596,MeanMinAge13))),0)</f>
        <v/>
      </c>
      <c r="AG3540">
        <f>IF('01_Вводные'!$B$234="Да",IF(OR(('19_Расчет_аналитики'!AG3456-'19_Расчет_аналитики'!AG3484)=0,13&lt;='01_Вводные'!$B$297),0,('19_Расчет_аналитики'!AG3456-'19_Расчет_аналитики'!AG3484)*IF('01_Вводные'!$B$239="Да",MeanMinAge13+'19_Расчет_аналитики'!AG3596*SUMIF(ThresholdAge13,"&lt;"&amp;'19_Расчет_аналитики'!AG3596,WeightedRevAge13)-SUMIF(ThresholdAge13,"&lt;"&amp;'19_Расчет_аналитики'!AG3596,WeightedMinAge13),MAX(CapacityAge13*'01_Вводные'!$B$218*'19_Расчет_аналитики'!AG3596,MeanMinAge13))),0)</f>
        <v/>
      </c>
      <c r="AH3540">
        <f>IF('01_Вводные'!$B$234="Да",IF(OR(('19_Расчет_аналитики'!AH3456-'19_Расчет_аналитики'!AH3484)=0,13&lt;='01_Вводные'!$B$297),0,('19_Расчет_аналитики'!AH3456-'19_Расчет_аналитики'!AH3484)*IF('01_Вводные'!$B$239="Да",MeanMinAge13+'19_Расчет_аналитики'!AH3596*SUMIF(ThresholdAge13,"&lt;"&amp;'19_Расчет_аналитики'!AH3596,WeightedRevAge13)-SUMIF(ThresholdAge13,"&lt;"&amp;'19_Расчет_аналитики'!AH3596,WeightedMinAge13),MAX(CapacityAge13*'01_Вводные'!$B$218*'19_Расчет_аналитики'!AH3596,MeanMinAge13))),0)</f>
        <v/>
      </c>
      <c r="AI3540">
        <f>IF('01_Вводные'!$B$234="Да",IF(OR(('19_Расчет_аналитики'!AI3456-'19_Расчет_аналитики'!AI3484)=0,13&lt;='01_Вводные'!$B$297),0,('19_Расчет_аналитики'!AI3456-'19_Расчет_аналитики'!AI3484)*IF('01_Вводные'!$B$239="Да",MeanMinAge13+'19_Расчет_аналитики'!AI3596*SUMIF(ThresholdAge13,"&lt;"&amp;'19_Расчет_аналитики'!AI3596,WeightedRevAge13)-SUMIF(ThresholdAge13,"&lt;"&amp;'19_Расчет_аналитики'!AI3596,WeightedMinAge13),MAX(CapacityAge13*'01_Вводные'!$B$218*'19_Расчет_аналитики'!AI3596,MeanMinAge13))),0)</f>
        <v/>
      </c>
      <c r="AJ3540">
        <f>IF('01_Вводные'!$B$234="Да",IF(OR(('19_Расчет_аналитики'!AJ3456-'19_Расчет_аналитики'!AJ3484)=0,13&lt;='01_Вводные'!$B$297),0,('19_Расчет_аналитики'!AJ3456-'19_Расчет_аналитики'!AJ3484)*IF('01_Вводные'!$B$239="Да",MeanMinAge13+'19_Расчет_аналитики'!AJ3596*SUMIF(ThresholdAge13,"&lt;"&amp;'19_Расчет_аналитики'!AJ3596,WeightedRevAge13)-SUMIF(ThresholdAge13,"&lt;"&amp;'19_Расчет_аналитики'!AJ3596,WeightedMinAge13),MAX(CapacityAge13*'01_Вводные'!$B$218*'19_Расчет_аналитики'!AJ3596,MeanMinAge13))),0)</f>
        <v/>
      </c>
      <c r="AK3540">
        <f>IF('01_Вводные'!$B$234="Да",IF(OR(('19_Расчет_аналитики'!AK3456-'19_Расчет_аналитики'!AK3484)=0,13&lt;='01_Вводные'!$B$297),0,('19_Расчет_аналитики'!AK3456-'19_Расчет_аналитики'!AK3484)*IF('01_Вводные'!$B$239="Да",MeanMinAge13+'19_Расчет_аналитики'!AK3596*SUMIF(ThresholdAge13,"&lt;"&amp;'19_Расчет_аналитики'!AK3596,WeightedRevAge13)-SUMIF(ThresholdAge13,"&lt;"&amp;'19_Расчет_аналитики'!AK3596,WeightedMinAge13),MAX(CapacityAge13*'01_Вводные'!$B$218*'19_Расчет_аналитики'!AK3596,MeanMinAge13))),0)</f>
        <v/>
      </c>
      <c r="AL3540">
        <f>IF('01_Вводные'!$B$234="Да",IF(OR(('19_Расчет_аналитики'!AL3456-'19_Расчет_аналитики'!AL3484)=0,13&lt;='01_Вводные'!$B$297),0,('19_Расчет_аналитики'!AL3456-'19_Расчет_аналитики'!AL3484)*IF('01_Вводные'!$B$239="Да",MeanMinAge13+'19_Расчет_аналитики'!AL3596*SUMIF(ThresholdAge13,"&lt;"&amp;'19_Расчет_аналитики'!AL3596,WeightedRevAge13)-SUMIF(ThresholdAge13,"&lt;"&amp;'19_Расчет_аналитики'!AL3596,WeightedMinAge13),MAX(CapacityAge13*'01_Вводные'!$B$218*'19_Расчет_аналитики'!AL3596,MeanMinAge13))),0)</f>
        <v/>
      </c>
      <c r="AM3540">
        <f>IF('01_Вводные'!$B$234="Да",IF(OR(('19_Расчет_аналитики'!AM3456-'19_Расчет_аналитики'!AM3484)=0,13&lt;='01_Вводные'!$B$297),0,('19_Расчет_аналитики'!AM3456-'19_Расчет_аналитики'!AM3484)*IF('01_Вводные'!$B$239="Да",MeanMinAge13+'19_Расчет_аналитики'!AM3596*SUMIF(ThresholdAge13,"&lt;"&amp;'19_Расчет_аналитики'!AM3596,WeightedRevAge13)-SUMIF(ThresholdAge13,"&lt;"&amp;'19_Расчет_аналитики'!AM3596,WeightedMinAge13),MAX(CapacityAge13*'01_Вводные'!$B$218*'19_Расчет_аналитики'!AM3596,MeanMinAge13))),0)</f>
        <v/>
      </c>
      <c r="AN3540">
        <f>IF('01_Вводные'!$B$234="Да",IF(OR(('19_Расчет_аналитики'!AN3456-'19_Расчет_аналитики'!AN3484)=0,13&lt;='01_Вводные'!$B$297),0,('19_Расчет_аналитики'!AN3456-'19_Расчет_аналитики'!AN3484)*IF('01_Вводные'!$B$239="Да",MeanMinAge13+'19_Расчет_аналитики'!AN3596*SUMIF(ThresholdAge13,"&lt;"&amp;'19_Расчет_аналитики'!AN3596,WeightedRevAge13)-SUMIF(ThresholdAge13,"&lt;"&amp;'19_Расчет_аналитики'!AN3596,WeightedMinAge13),MAX(CapacityAge13*'01_Вводные'!$B$218*'19_Расчет_аналитики'!AN3596,MeanMinAge13))),0)</f>
        <v/>
      </c>
      <c r="AO3540">
        <f>IF('01_Вводные'!$B$234="Да",IF(OR(('19_Расчет_аналитики'!AO3456-'19_Расчет_аналитики'!AO3484)=0,13&lt;='01_Вводные'!$B$297),0,('19_Расчет_аналитики'!AO3456-'19_Расчет_аналитики'!AO3484)*IF('01_Вводные'!$B$239="Да",MeanMinAge13+'19_Расчет_аналитики'!AO3596*SUMIF(ThresholdAge13,"&lt;"&amp;'19_Расчет_аналитики'!AO3596,WeightedRevAge13)-SUMIF(ThresholdAge13,"&lt;"&amp;'19_Расчет_аналитики'!AO3596,WeightedMinAge13),MAX(CapacityAge13*'01_Вводные'!$B$218*'19_Расчет_аналитики'!AO3596,MeanMinAge13))),0)</f>
        <v/>
      </c>
      <c r="AP3540">
        <f>IF('01_Вводные'!$B$234="Да",IF(OR(('19_Расчет_аналитики'!AP3456-'19_Расчет_аналитики'!AP3484)=0,13&lt;='01_Вводные'!$B$297),0,('19_Расчет_аналитики'!AP3456-'19_Расчет_аналитики'!AP3484)*IF('01_Вводные'!$B$239="Да",MeanMinAge13+'19_Расчет_аналитики'!AP3596*SUMIF(ThresholdAge13,"&lt;"&amp;'19_Расчет_аналитики'!AP3596,WeightedRevAge13)-SUMIF(ThresholdAge13,"&lt;"&amp;'19_Расчет_аналитики'!AP3596,WeightedMinAge13),MAX(CapacityAge13*'01_Вводные'!$B$218*'19_Расчет_аналитики'!AP3596,MeanMinAge13))),0)</f>
        <v/>
      </c>
      <c r="AQ3540">
        <f>IF('01_Вводные'!$B$234="Да",IF(OR(('19_Расчет_аналитики'!AQ3456-'19_Расчет_аналитики'!AQ3484)=0,13&lt;='01_Вводные'!$B$297),0,('19_Расчет_аналитики'!AQ3456-'19_Расчет_аналитики'!AQ3484)*IF('01_Вводные'!$B$239="Да",MeanMinAge13+'19_Расчет_аналитики'!AQ3596*SUMIF(ThresholdAge13,"&lt;"&amp;'19_Расчет_аналитики'!AQ3596,WeightedRevAge13)-SUMIF(ThresholdAge13,"&lt;"&amp;'19_Расчет_аналитики'!AQ3596,WeightedMinAge13),MAX(CapacityAge13*'01_Вводные'!$B$218*'19_Расчет_аналитики'!AQ3596,MeanMinAge13))),0)</f>
        <v/>
      </c>
      <c r="AR3540">
        <f>IF('01_Вводные'!$B$234="Да",IF(OR(('19_Расчет_аналитики'!AR3456-'19_Расчет_аналитики'!AR3484)=0,13&lt;='01_Вводные'!$B$297),0,('19_Расчет_аналитики'!AR3456-'19_Расчет_аналитики'!AR3484)*IF('01_Вводные'!$B$239="Да",MeanMinAge13+'19_Расчет_аналитики'!AR3596*SUMIF(ThresholdAge13,"&lt;"&amp;'19_Расчет_аналитики'!AR3596,WeightedRevAge13)-SUMIF(ThresholdAge13,"&lt;"&amp;'19_Расчет_аналитики'!AR3596,WeightedMinAge13),MAX(CapacityAge13*'01_Вводные'!$B$218*'19_Расчет_аналитики'!AR3596,MeanMinAge13))),0)</f>
        <v/>
      </c>
      <c r="AS3540">
        <f>IF('01_Вводные'!$B$234="Да",IF(OR(('19_Расчет_аналитики'!AS3456-'19_Расчет_аналитики'!AS3484)=0,13&lt;='01_Вводные'!$B$297),0,('19_Расчет_аналитики'!AS3456-'19_Расчет_аналитики'!AS3484)*IF('01_Вводные'!$B$239="Да",MeanMinAge13+'19_Расчет_аналитики'!AS3596*SUMIF(ThresholdAge13,"&lt;"&amp;'19_Расчет_аналитики'!AS3596,WeightedRevAge13)-SUMIF(ThresholdAge13,"&lt;"&amp;'19_Расчет_аналитики'!AS3596,WeightedMinAge13),MAX(CapacityAge13*'01_Вводные'!$B$218*'19_Расчет_аналитики'!AS3596,MeanMinAge13))),0)</f>
        <v/>
      </c>
      <c r="AT3540">
        <f>IF('01_Вводные'!$B$234="Да",IF(OR(('19_Расчет_аналитики'!AT3456-'19_Расчет_аналитики'!AT3484)=0,13&lt;='01_Вводные'!$B$297),0,('19_Расчет_аналитики'!AT3456-'19_Расчет_аналитики'!AT3484)*IF('01_Вводные'!$B$239="Да",MeanMinAge13+'19_Расчет_аналитики'!AT3596*SUMIF(ThresholdAge13,"&lt;"&amp;'19_Расчет_аналитики'!AT3596,WeightedRevAge13)-SUMIF(ThresholdAge13,"&lt;"&amp;'19_Расчет_аналитики'!AT3596,WeightedMinAge13),MAX(CapacityAge13*'01_Вводные'!$B$218*'19_Расчет_аналитики'!AT3596,MeanMinAge13))),0)</f>
        <v/>
      </c>
      <c r="AU3540">
        <f>IF('01_Вводные'!$B$234="Да",IF(OR(('19_Расчет_аналитики'!AU3456-'19_Расчет_аналитики'!AU3484)=0,13&lt;='01_Вводные'!$B$297),0,('19_Расчет_аналитики'!AU3456-'19_Расчет_аналитики'!AU3484)*IF('01_Вводные'!$B$239="Да",MeanMinAge13+'19_Расчет_аналитики'!AU3596*SUMIF(ThresholdAge13,"&lt;"&amp;'19_Расчет_аналитики'!AU3596,WeightedRevAge13)-SUMIF(ThresholdAge13,"&lt;"&amp;'19_Расчет_аналитики'!AU3596,WeightedMinAge13),MAX(CapacityAge13*'01_Вводные'!$B$218*'19_Расчет_аналитики'!AU3596,MeanMinAge13))),0)</f>
        <v/>
      </c>
      <c r="AV3540">
        <f>IF('01_Вводные'!$B$234="Да",IF(OR(('19_Расчет_аналитики'!AV3456-'19_Расчет_аналитики'!AV3484)=0,13&lt;='01_Вводные'!$B$297),0,('19_Расчет_аналитики'!AV3456-'19_Расчет_аналитики'!AV3484)*IF('01_Вводные'!$B$239="Да",MeanMinAge13+'19_Расчет_аналитики'!AV3596*SUMIF(ThresholdAge13,"&lt;"&amp;'19_Расчет_аналитики'!AV3596,WeightedRevAge13)-SUMIF(ThresholdAge13,"&lt;"&amp;'19_Расчет_аналитики'!AV3596,WeightedMinAge13),MAX(CapacityAge13*'01_Вводные'!$B$218*'19_Расчет_аналитики'!AV3596,MeanMinAge13))),0)</f>
        <v/>
      </c>
      <c r="AW3540">
        <f>IF('01_Вводные'!$B$234="Да",IF(OR(('19_Расчет_аналитики'!AW3456-'19_Расчет_аналитики'!AW3484)=0,13&lt;='01_Вводные'!$B$297),0,('19_Расчет_аналитики'!AW3456-'19_Расчет_аналитики'!AW3484)*IF('01_Вводные'!$B$239="Да",MeanMinAge13+'19_Расчет_аналитики'!AW3596*SUMIF(ThresholdAge13,"&lt;"&amp;'19_Расчет_аналитики'!AW3596,WeightedRevAge13)-SUMIF(ThresholdAge13,"&lt;"&amp;'19_Расчет_аналитики'!AW3596,WeightedMinAge13),MAX(CapacityAge13*'01_Вводные'!$B$218*'19_Расчет_аналитики'!AW3596,MeanMinAge13))),0)</f>
        <v/>
      </c>
      <c r="AX3540">
        <f>IF('01_Вводные'!$B$234="Да",IF(OR(('19_Расчет_аналитики'!AX3456-'19_Расчет_аналитики'!AX3484)=0,13&lt;='01_Вводные'!$B$297),0,('19_Расчет_аналитики'!AX3456-'19_Расчет_аналитики'!AX3484)*IF('01_Вводные'!$B$239="Да",MeanMinAge13+'19_Расчет_аналитики'!AX3596*SUMIF(ThresholdAge13,"&lt;"&amp;'19_Расчет_аналитики'!AX3596,WeightedRevAge13)-SUMIF(ThresholdAge13,"&lt;"&amp;'19_Расчет_аналитики'!AX3596,WeightedMinAge13),MAX(CapacityAge13*'01_Вводные'!$B$218*'19_Расчет_аналитики'!AX3596,MeanMinAge13))),0)</f>
        <v/>
      </c>
      <c r="AY3540">
        <f>IF('01_Вводные'!$B$234="Да",IF(OR(('19_Расчет_аналитики'!AY3456-'19_Расчет_аналитики'!AY3484)=0,13&lt;='01_Вводные'!$B$297),0,('19_Расчет_аналитики'!AY3456-'19_Расчет_аналитики'!AY3484)*IF('01_Вводные'!$B$239="Да",MeanMinAge13+'19_Расчет_аналитики'!AY3596*SUMIF(ThresholdAge13,"&lt;"&amp;'19_Расчет_аналитики'!AY3596,WeightedRevAge13)-SUMIF(ThresholdAge13,"&lt;"&amp;'19_Расчет_аналитики'!AY3596,WeightedMinAge13),MAX(CapacityAge13*'01_Вводные'!$B$218*'19_Расчет_аналитики'!AY3596,MeanMinAge13))),0)</f>
        <v/>
      </c>
      <c r="AZ3540">
        <f>IF('01_Вводные'!$B$234="Да",IF(OR(('19_Расчет_аналитики'!AZ3456-'19_Расчет_аналитики'!AZ3484)=0,13&lt;='01_Вводные'!$B$297),0,('19_Расчет_аналитики'!AZ3456-'19_Расчет_аналитики'!AZ3484)*IF('01_Вводные'!$B$239="Да",MeanMinAge13+'19_Расчет_аналитики'!AZ3596*SUMIF(ThresholdAge13,"&lt;"&amp;'19_Расчет_аналитики'!AZ3596,WeightedRevAge13)-SUMIF(ThresholdAge13,"&lt;"&amp;'19_Расчет_аналитики'!AZ3596,WeightedMinAge13),MAX(CapacityAge13*'01_Вводные'!$B$218*'19_Расчет_аналитики'!AZ3596,MeanMinAge13))),0)</f>
        <v/>
      </c>
      <c r="BA3540">
        <f>IF('01_Вводные'!$B$234="Да",IF(OR(('19_Расчет_аналитики'!BA3456-'19_Расчет_аналитики'!BA3484)=0,13&lt;='01_Вводные'!$B$297),0,('19_Расчет_аналитики'!BA3456-'19_Расчет_аналитики'!BA3484)*IF('01_Вводные'!$B$239="Да",MeanMinAge13+'19_Расчет_аналитики'!BA3596*SUMIF(ThresholdAge13,"&lt;"&amp;'19_Расчет_аналитики'!BA3596,WeightedRevAge13)-SUMIF(ThresholdAge13,"&lt;"&amp;'19_Расчет_аналитики'!BA3596,WeightedMinAge13),MAX(CapacityAge13*'01_Вводные'!$B$218*'19_Расчет_аналитики'!BA3596,MeanMinAge13))),0)</f>
        <v/>
      </c>
      <c r="BB3540">
        <f>IF('01_Вводные'!$B$234="Да",IF(OR(('19_Расчет_аналитики'!BB3456-'19_Расчет_аналитики'!BB3484)=0,13&lt;='01_Вводные'!$B$297),0,('19_Расчет_аналитики'!BB3456-'19_Расчет_аналитики'!BB3484)*IF('01_Вводные'!$B$239="Да",MeanMinAge13+'19_Расчет_аналитики'!BB3596*SUMIF(ThresholdAge13,"&lt;"&amp;'19_Расчет_аналитики'!BB3596,WeightedRevAge13)-SUMIF(ThresholdAge13,"&lt;"&amp;'19_Расчет_аналитики'!BB3596,WeightedMinAge13),MAX(CapacityAge13*'01_Вводные'!$B$218*'19_Расчет_аналитики'!BB3596,MeanMinAge13))),0)</f>
        <v/>
      </c>
      <c r="BC3540">
        <f>IF('01_Вводные'!$B$234="Да",IF(OR(('19_Расчет_аналитики'!BC3456-'19_Расчет_аналитики'!BC3484)=0,13&lt;='01_Вводные'!$B$297),0,('19_Расчет_аналитики'!BC3456-'19_Расчет_аналитики'!BC3484)*IF('01_Вводные'!$B$239="Да",MeanMinAge13+'19_Расчет_аналитики'!BC3596*SUMIF(ThresholdAge13,"&lt;"&amp;'19_Расчет_аналитики'!BC3596,WeightedRevAge13)-SUMIF(ThresholdAge13,"&lt;"&amp;'19_Расчет_аналитики'!BC3596,WeightedMinAge13),MAX(CapacityAge13*'01_Вводные'!$B$218*'19_Расчет_аналитики'!BC3596,MeanMinAge13))),0)</f>
        <v/>
      </c>
      <c r="BD3540">
        <f>IF('01_Вводные'!$B$234="Да",IF(OR(('19_Расчет_аналитики'!BD3456-'19_Расчет_аналитики'!BD3484)=0,13&lt;='01_Вводные'!$B$297),0,('19_Расчет_аналитики'!BD3456-'19_Расчет_аналитики'!BD3484)*IF('01_Вводные'!$B$239="Да",MeanMinAge13+'19_Расчет_аналитики'!BD3596*SUMIF(ThresholdAge13,"&lt;"&amp;'19_Расчет_аналитики'!BD3596,WeightedRevAge13)-SUMIF(ThresholdAge13,"&lt;"&amp;'19_Расчет_аналитики'!BD3596,WeightedMinAge13),MAX(CapacityAge13*'01_Вводные'!$B$218*'19_Расчет_аналитики'!BD3596,MeanMinAge13))),0)</f>
        <v/>
      </c>
      <c r="BE3540">
        <f>IF('01_Вводные'!$B$234="Да",IF(OR(('19_Расчет_аналитики'!BE3456-'19_Расчет_аналитики'!BE3484)=0,13&lt;='01_Вводные'!$B$297),0,('19_Расчет_аналитики'!BE3456-'19_Расчет_аналитики'!BE3484)*IF('01_Вводные'!$B$239="Да",MeanMinAge13+'19_Расчет_аналитики'!BE3596*SUMIF(ThresholdAge13,"&lt;"&amp;'19_Расчет_аналитики'!BE3596,WeightedRevAge13)-SUMIF(ThresholdAge13,"&lt;"&amp;'19_Расчет_аналитики'!BE3596,WeightedMinAge13),MAX(CapacityAge13*'01_Вводные'!$B$218*'19_Расчет_аналитики'!BE3596,MeanMinAge13))),0)</f>
        <v/>
      </c>
      <c r="BF3540">
        <f>IF('01_Вводные'!$B$234="Да",IF(OR(('19_Расчет_аналитики'!BF3456-'19_Расчет_аналитики'!BF3484)=0,13&lt;='01_Вводные'!$B$297),0,('19_Расчет_аналитики'!BF3456-'19_Расчет_аналитики'!BF3484)*IF('01_Вводные'!$B$239="Да",MeanMinAge13+'19_Расчет_аналитики'!BF3596*SUMIF(ThresholdAge13,"&lt;"&amp;'19_Расчет_аналитики'!BF3596,WeightedRevAge13)-SUMIF(ThresholdAge13,"&lt;"&amp;'19_Расчет_аналитики'!BF3596,WeightedMinAge13),MAX(CapacityAge13*'01_Вводные'!$B$218*'19_Расчет_аналитики'!BF3596,MeanMinAge13))),0)</f>
        <v/>
      </c>
      <c r="BG3540">
        <f>IF('01_Вводные'!$B$234="Да",IF(OR(('19_Расчет_аналитики'!BG3456-'19_Расчет_аналитики'!BG3484)=0,13&lt;='01_Вводные'!$B$297),0,('19_Расчет_аналитики'!BG3456-'19_Расчет_аналитики'!BG3484)*IF('01_Вводные'!$B$239="Да",MeanMinAge13+'19_Расчет_аналитики'!BG3596*SUMIF(ThresholdAge13,"&lt;"&amp;'19_Расчет_аналитики'!BG3596,WeightedRevAge13)-SUMIF(ThresholdAge13,"&lt;"&amp;'19_Расчет_аналитики'!BG3596,WeightedMinAge13),MAX(CapacityAge13*'01_Вводные'!$B$218*'19_Расчет_аналитики'!BG3596,MeanMinAge13))),0)</f>
        <v/>
      </c>
      <c r="BH3540">
        <f>IF('01_Вводные'!$B$234="Да",IF(OR(('19_Расчет_аналитики'!BH3456-'19_Расчет_аналитики'!BH3484)=0,13&lt;='01_Вводные'!$B$297),0,('19_Расчет_аналитики'!BH3456-'19_Расчет_аналитики'!BH3484)*IF('01_Вводные'!$B$239="Да",MeanMinAge13+'19_Расчет_аналитики'!BH3596*SUMIF(ThresholdAge13,"&lt;"&amp;'19_Расчет_аналитики'!BH3596,WeightedRevAge13)-SUMIF(ThresholdAge13,"&lt;"&amp;'19_Расчет_аналитики'!BH3596,WeightedMinAge13),MAX(CapacityAge13*'01_Вводные'!$B$218*'19_Расчет_аналитики'!BH3596,MeanMinAge13))),0)</f>
        <v/>
      </c>
      <c r="BI3540">
        <f>IF('01_Вводные'!$B$234="Да",IF(OR(('19_Расчет_аналитики'!BI3456-'19_Расчет_аналитики'!BI3484)=0,13&lt;='01_Вводные'!$B$297),0,('19_Расчет_аналитики'!BI3456-'19_Расчет_аналитики'!BI3484)*IF('01_Вводные'!$B$239="Да",MeanMinAge13+'19_Расчет_аналитики'!BI3596*SUMIF(ThresholdAge13,"&lt;"&amp;'19_Расчет_аналитики'!BI3596,WeightedRevAge13)-SUMIF(ThresholdAge13,"&lt;"&amp;'19_Расчет_аналитики'!BI3596,WeightedMinAge13),MAX(CapacityAge13*'01_Вводные'!$B$218*'19_Расчет_аналитики'!BI3596,MeanMinAge13))),0)</f>
        <v/>
      </c>
      <c r="BJ3540">
        <f>IF('01_Вводные'!$B$234="Да",IF(OR(('19_Расчет_аналитики'!BJ3456-'19_Расчет_аналитики'!BJ3484)=0,13&lt;='01_Вводные'!$B$297),0,('19_Расчет_аналитики'!BJ3456-'19_Расчет_аналитики'!BJ3484)*IF('01_Вводные'!$B$239="Да",MeanMinAge13+'19_Расчет_аналитики'!BJ3596*SUMIF(ThresholdAge13,"&lt;"&amp;'19_Расчет_аналитики'!BJ3596,WeightedRevAge13)-SUMIF(ThresholdAge13,"&lt;"&amp;'19_Расчет_аналитики'!BJ3596,WeightedMinAge13),MAX(CapacityAge13*'01_Вводные'!$B$218*'19_Расчет_аналитики'!BJ3596,MeanMinAge13))),0)</f>
        <v/>
      </c>
      <c r="BK3540">
        <f>IF('01_Вводные'!$B$234="Да",IF(OR(('19_Расчет_аналитики'!BK3456-'19_Расчет_аналитики'!BK3484)=0,13&lt;='01_Вводные'!$B$297),0,('19_Расчет_аналитики'!BK3456-'19_Расчет_аналитики'!BK3484)*IF('01_Вводные'!$B$239="Да",MeanMinAge13+'19_Расчет_аналитики'!BK3596*SUMIF(ThresholdAge13,"&lt;"&amp;'19_Расчет_аналитики'!BK3596,WeightedRevAge13)-SUMIF(ThresholdAge13,"&lt;"&amp;'19_Расчет_аналитики'!BK3596,WeightedMinAge13),MAX(CapacityAge13*'01_Вводные'!$B$218*'19_Расчет_аналитики'!BK3596,MeanMinAge13))),0)</f>
        <v/>
      </c>
      <c r="BL3540">
        <f>IF('01_Вводные'!$B$234="Да",IF(OR(('19_Расчет_аналитики'!BL3456-'19_Расчет_аналитики'!BL3484)=0,13&lt;='01_Вводные'!$B$297),0,('19_Расчет_аналитики'!BL3456-'19_Расчет_аналитики'!BL3484)*IF('01_Вводные'!$B$239="Да",MeanMinAge13+'19_Расчет_аналитики'!BL3596*SUMIF(ThresholdAge13,"&lt;"&amp;'19_Расчет_аналитики'!BL3596,WeightedRevAge13)-SUMIF(ThresholdAge13,"&lt;"&amp;'19_Расчет_аналитики'!BL3596,WeightedMinAge13),MAX(CapacityAge13*'01_Вводные'!$B$218*'19_Расчет_аналитики'!BL3596,MeanMinAge13))),0)</f>
        <v/>
      </c>
      <c r="BM3540">
        <f>IF('01_Вводные'!$B$234="Да",IF(OR(('19_Расчет_аналитики'!BM3456-'19_Расчет_аналитики'!BM3484)=0,13&lt;='01_Вводные'!$B$297),0,('19_Расчет_аналитики'!BM3456-'19_Расчет_аналитики'!BM3484)*IF('01_Вводные'!$B$239="Да",MeanMinAge13+'19_Расчет_аналитики'!BM3596*SUMIF(ThresholdAge13,"&lt;"&amp;'19_Расчет_аналитики'!BM3596,WeightedRevAge13)-SUMIF(ThresholdAge13,"&lt;"&amp;'19_Расчет_аналитики'!BM3596,WeightedMinAge13),MAX(CapacityAge13*'01_Вводные'!$B$218*'19_Расчет_аналитики'!BM3596,MeanMinAge13))),0)</f>
        <v/>
      </c>
      <c r="BN3540">
        <f>IF('01_Вводные'!$B$234="Да",IF(OR(('19_Расчет_аналитики'!BN3456-'19_Расчет_аналитики'!BN3484)=0,13&lt;='01_Вводные'!$B$297),0,('19_Расчет_аналитики'!BN3456-'19_Расчет_аналитики'!BN3484)*IF('01_Вводные'!$B$239="Да",MeanMinAge13+'19_Расчет_аналитики'!BN3596*SUMIF(ThresholdAge13,"&lt;"&amp;'19_Расчет_аналитики'!BN3596,WeightedRevAge13)-SUMIF(ThresholdAge13,"&lt;"&amp;'19_Расчет_аналитики'!BN3596,WeightedMinAge13),MAX(CapacityAge13*'01_Вводные'!$B$218*'19_Расчет_аналитики'!BN3596,MeanMinAge13))),0)</f>
        <v/>
      </c>
      <c r="BO3540">
        <f>IF('01_Вводные'!$B$234="Да",IF(OR(('19_Расчет_аналитики'!BO3456-'19_Расчет_аналитики'!BO3484)=0,13&lt;='01_Вводные'!$B$297),0,('19_Расчет_аналитики'!BO3456-'19_Расчет_аналитики'!BO3484)*IF('01_Вводные'!$B$239="Да",MeanMinAge13+'19_Расчет_аналитики'!BO3596*SUMIF(ThresholdAge13,"&lt;"&amp;'19_Расчет_аналитики'!BO3596,WeightedRevAge13)-SUMIF(ThresholdAge13,"&lt;"&amp;'19_Расчет_аналитики'!BO3596,WeightedMinAge13),MAX(CapacityAge13*'01_Вводные'!$B$218*'19_Расчет_аналитики'!BO3596,MeanMinAge13))),0)</f>
        <v/>
      </c>
    </row>
    <row r="3541">
      <c r="B3541">
        <f>IF('01_Вводные'!$B$234="Да",IF(OR(('06_Сеть_и_дети'!B66-'06_Сеть_и_дети'!B94)=0,14&lt;='01_Вводные'!$B$297),0,('06_Сеть_и_дети'!B66-'06_Сеть_и_дети'!B94)*IF('01_Вводные'!$B$239="Да",MeanMinAge14+'19_Расчет_аналитики'!B3596*SUMIF(ThresholdAge14,"&lt;"&amp;'19_Расчет_аналитики'!B3596,WeightedRevAge14)-SUMIF(ThresholdAge14,"&lt;"&amp;'19_Расчет_аналитики'!B3596,WeightedMinAge14),MAX(CapacityAge14*'01_Вводные'!$B$218*'19_Расчет_аналитики'!B3596,MeanMinAge14))),0)</f>
        <v/>
      </c>
      <c r="C3541">
        <f>IF('01_Вводные'!$B$234="Да",IF(OR(('06_Сеть_и_дети'!C66-'06_Сеть_и_дети'!C94)=0,14&lt;='01_Вводные'!$B$297),0,('06_Сеть_и_дети'!C66-'06_Сеть_и_дети'!C94)*IF('01_Вводные'!$B$239="Да",MeanMinAge14+'19_Расчет_аналитики'!C3596*SUMIF(ThresholdAge14,"&lt;"&amp;'19_Расчет_аналитики'!C3596,WeightedRevAge14)-SUMIF(ThresholdAge14,"&lt;"&amp;'19_Расчет_аналитики'!C3596,WeightedMinAge14),MAX(CapacityAge14*'01_Вводные'!$B$218*'19_Расчет_аналитики'!C3596,MeanMinAge14))),0)</f>
        <v/>
      </c>
      <c r="D3541">
        <f>IF('01_Вводные'!$B$234="Да",IF(OR(('06_Сеть_и_дети'!D66-'06_Сеть_и_дети'!D94)=0,14&lt;='01_Вводные'!$B$297),0,('06_Сеть_и_дети'!D66-'06_Сеть_и_дети'!D94)*IF('01_Вводные'!$B$239="Да",MeanMinAge14+'19_Расчет_аналитики'!D3596*SUMIF(ThresholdAge14,"&lt;"&amp;'19_Расчет_аналитики'!D3596,WeightedRevAge14)-SUMIF(ThresholdAge14,"&lt;"&amp;'19_Расчет_аналитики'!D3596,WeightedMinAge14),MAX(CapacityAge14*'01_Вводные'!$B$218*'19_Расчет_аналитики'!D3596,MeanMinAge14))),0)</f>
        <v/>
      </c>
      <c r="E3541">
        <f>IF('01_Вводные'!$B$234="Да",IF(OR(('06_Сеть_и_дети'!E66-'06_Сеть_и_дети'!E94)=0,14&lt;='01_Вводные'!$B$297),0,('06_Сеть_и_дети'!E66-'06_Сеть_и_дети'!E94)*IF('01_Вводные'!$B$239="Да",MeanMinAge14+'19_Расчет_аналитики'!E3596*SUMIF(ThresholdAge14,"&lt;"&amp;'19_Расчет_аналитики'!E3596,WeightedRevAge14)-SUMIF(ThresholdAge14,"&lt;"&amp;'19_Расчет_аналитики'!E3596,WeightedMinAge14),MAX(CapacityAge14*'01_Вводные'!$B$218*'19_Расчет_аналитики'!E3596,MeanMinAge14))),0)</f>
        <v/>
      </c>
      <c r="F3541">
        <f>IF('01_Вводные'!$B$234="Да",IF(OR(('06_Сеть_и_дети'!F66-'06_Сеть_и_дети'!F94)=0,14&lt;='01_Вводные'!$B$297),0,('06_Сеть_и_дети'!F66-'06_Сеть_и_дети'!F94)*IF('01_Вводные'!$B$239="Да",MeanMinAge14+'19_Расчет_аналитики'!F3596*SUMIF(ThresholdAge14,"&lt;"&amp;'19_Расчет_аналитики'!F3596,WeightedRevAge14)-SUMIF(ThresholdAge14,"&lt;"&amp;'19_Расчет_аналитики'!F3596,WeightedMinAge14),MAX(CapacityAge14*'01_Вводные'!$B$218*'19_Расчет_аналитики'!F3596,MeanMinAge14))),0)</f>
        <v/>
      </c>
      <c r="G3541">
        <f>IF('01_Вводные'!$B$234="Да",IF(OR(('06_Сеть_и_дети'!G66-'06_Сеть_и_дети'!G94)=0,14&lt;='01_Вводные'!$B$297),0,('06_Сеть_и_дети'!G66-'06_Сеть_и_дети'!G94)*IF('01_Вводные'!$B$239="Да",MeanMinAge14+'19_Расчет_аналитики'!G3596*SUMIF(ThresholdAge14,"&lt;"&amp;'19_Расчет_аналитики'!G3596,WeightedRevAge14)-SUMIF(ThresholdAge14,"&lt;"&amp;'19_Расчет_аналитики'!G3596,WeightedMinAge14),MAX(CapacityAge14*'01_Вводные'!$B$218*'19_Расчет_аналитики'!G3596,MeanMinAge14))),0)</f>
        <v/>
      </c>
      <c r="H3541">
        <f>IF('01_Вводные'!$B$234="Да",IF(OR(('06_Сеть_и_дети'!H66-'06_Сеть_и_дети'!H94)=0,14&lt;='01_Вводные'!$B$297),0,('06_Сеть_и_дети'!H66-'06_Сеть_и_дети'!H94)*IF('01_Вводные'!$B$239="Да",MeanMinAge14+'19_Расчет_аналитики'!H3596*SUMIF(ThresholdAge14,"&lt;"&amp;'19_Расчет_аналитики'!H3596,WeightedRevAge14)-SUMIF(ThresholdAge14,"&lt;"&amp;'19_Расчет_аналитики'!H3596,WeightedMinAge14),MAX(CapacityAge14*'01_Вводные'!$B$218*'19_Расчет_аналитики'!H3596,MeanMinAge14))),0)</f>
        <v/>
      </c>
      <c r="I3541">
        <f>IF('01_Вводные'!$B$234="Да",IF(OR(('06_Сеть_и_дети'!I66-'06_Сеть_и_дети'!I94)=0,14&lt;='01_Вводные'!$B$297),0,('06_Сеть_и_дети'!I66-'06_Сеть_и_дети'!I94)*IF('01_Вводные'!$B$239="Да",MeanMinAge14+'19_Расчет_аналитики'!I3596*SUMIF(ThresholdAge14,"&lt;"&amp;'19_Расчет_аналитики'!I3596,WeightedRevAge14)-SUMIF(ThresholdAge14,"&lt;"&amp;'19_Расчет_аналитики'!I3596,WeightedMinAge14),MAX(CapacityAge14*'01_Вводные'!$B$218*'19_Расчет_аналитики'!I3596,MeanMinAge14))),0)</f>
        <v/>
      </c>
      <c r="J3541">
        <f>IF('01_Вводные'!$B$234="Да",IF(OR(('06_Сеть_и_дети'!J66-'06_Сеть_и_дети'!J94)=0,14&lt;='01_Вводные'!$B$297),0,('06_Сеть_и_дети'!J66-'06_Сеть_и_дети'!J94)*IF('01_Вводные'!$B$239="Да",MeanMinAge14+'19_Расчет_аналитики'!J3596*SUMIF(ThresholdAge14,"&lt;"&amp;'19_Расчет_аналитики'!J3596,WeightedRevAge14)-SUMIF(ThresholdAge14,"&lt;"&amp;'19_Расчет_аналитики'!J3596,WeightedMinAge14),MAX(CapacityAge14*'01_Вводные'!$B$218*'19_Расчет_аналитики'!J3596,MeanMinAge14))),0)</f>
        <v/>
      </c>
      <c r="K3541">
        <f>IF('01_Вводные'!$B$234="Да",IF(OR(('06_Сеть_и_дети'!K66-'06_Сеть_и_дети'!K94)=0,14&lt;='01_Вводные'!$B$297),0,('06_Сеть_и_дети'!K66-'06_Сеть_и_дети'!K94)*IF('01_Вводные'!$B$239="Да",MeanMinAge14+'19_Расчет_аналитики'!K3596*SUMIF(ThresholdAge14,"&lt;"&amp;'19_Расчет_аналитики'!K3596,WeightedRevAge14)-SUMIF(ThresholdAge14,"&lt;"&amp;'19_Расчет_аналитики'!K3596,WeightedMinAge14),MAX(CapacityAge14*'01_Вводные'!$B$218*'19_Расчет_аналитики'!K3596,MeanMinAge14))),0)</f>
        <v/>
      </c>
      <c r="L3541">
        <f>IF('01_Вводные'!$B$234="Да",IF(OR(('06_Сеть_и_дети'!L66-'06_Сеть_и_дети'!L94)=0,14&lt;='01_Вводные'!$B$297),0,('06_Сеть_и_дети'!L66-'06_Сеть_и_дети'!L94)*IF('01_Вводные'!$B$239="Да",MeanMinAge14+'19_Расчет_аналитики'!L3596*SUMIF(ThresholdAge14,"&lt;"&amp;'19_Расчет_аналитики'!L3596,WeightedRevAge14)-SUMIF(ThresholdAge14,"&lt;"&amp;'19_Расчет_аналитики'!L3596,WeightedMinAge14),MAX(CapacityAge14*'01_Вводные'!$B$218*'19_Расчет_аналитики'!L3596,MeanMinAge14))),0)</f>
        <v/>
      </c>
      <c r="M3541">
        <f>IF('01_Вводные'!$B$234="Да",IF(OR(('06_Сеть_и_дети'!M66-'06_Сеть_и_дети'!M94)=0,14&lt;='01_Вводные'!$B$297),0,('06_Сеть_и_дети'!M66-'06_Сеть_и_дети'!M94)*IF('01_Вводные'!$B$239="Да",MeanMinAge14+'19_Расчет_аналитики'!M3596*SUMIF(ThresholdAge14,"&lt;"&amp;'19_Расчет_аналитики'!M3596,WeightedRevAge14)-SUMIF(ThresholdAge14,"&lt;"&amp;'19_Расчет_аналитики'!M3596,WeightedMinAge14),MAX(CapacityAge14*'01_Вводные'!$B$218*'19_Расчет_аналитики'!M3596,MeanMinAge14))),0)</f>
        <v/>
      </c>
      <c r="N3541">
        <f>IF('01_Вводные'!$B$234="Да",IF(OR(('06_Сеть_и_дети'!N66-'06_Сеть_и_дети'!N94)=0,14&lt;='01_Вводные'!$B$297),0,('06_Сеть_и_дети'!N66-'06_Сеть_и_дети'!N94)*IF('01_Вводные'!$B$239="Да",MeanMinAge14+'19_Расчет_аналитики'!N3596*SUMIF(ThresholdAge14,"&lt;"&amp;'19_Расчет_аналитики'!N3596,WeightedRevAge14)-SUMIF(ThresholdAge14,"&lt;"&amp;'19_Расчет_аналитики'!N3596,WeightedMinAge14),MAX(CapacityAge14*'01_Вводные'!$B$218*'19_Расчет_аналитики'!N3596,MeanMinAge14))),0)</f>
        <v/>
      </c>
      <c r="O3541">
        <f>IF('01_Вводные'!$B$234="Да",IF(OR(('19_Расчет_аналитики'!O3457-'19_Расчет_аналитики'!O3485)=0,14&lt;='01_Вводные'!$B$297),0,('19_Расчет_аналитики'!O3457-'19_Расчет_аналитики'!O3485)*IF('01_Вводные'!$B$239="Да",MeanMinAge14+'19_Расчет_аналитики'!O3596*SUMIF(ThresholdAge14,"&lt;"&amp;'19_Расчет_аналитики'!O3596,WeightedRevAge14)-SUMIF(ThresholdAge14,"&lt;"&amp;'19_Расчет_аналитики'!O3596,WeightedMinAge14),MAX(CapacityAge14*'01_Вводные'!$B$218*'19_Расчет_аналитики'!O3596,MeanMinAge14))),0)</f>
        <v/>
      </c>
      <c r="P3541">
        <f>IF('01_Вводные'!$B$234="Да",IF(OR(('19_Расчет_аналитики'!P3457-'19_Расчет_аналитики'!P3485)=0,14&lt;='01_Вводные'!$B$297),0,('19_Расчет_аналитики'!P3457-'19_Расчет_аналитики'!P3485)*IF('01_Вводные'!$B$239="Да",MeanMinAge14+'19_Расчет_аналитики'!P3596*SUMIF(ThresholdAge14,"&lt;"&amp;'19_Расчет_аналитики'!P3596,WeightedRevAge14)-SUMIF(ThresholdAge14,"&lt;"&amp;'19_Расчет_аналитики'!P3596,WeightedMinAge14),MAX(CapacityAge14*'01_Вводные'!$B$218*'19_Расчет_аналитики'!P3596,MeanMinAge14))),0)</f>
        <v/>
      </c>
      <c r="Q3541">
        <f>IF('01_Вводные'!$B$234="Да",IF(OR(('19_Расчет_аналитики'!Q3457-'19_Расчет_аналитики'!Q3485)=0,14&lt;='01_Вводные'!$B$297),0,('19_Расчет_аналитики'!Q3457-'19_Расчет_аналитики'!Q3485)*IF('01_Вводные'!$B$239="Да",MeanMinAge14+'19_Расчет_аналитики'!Q3596*SUMIF(ThresholdAge14,"&lt;"&amp;'19_Расчет_аналитики'!Q3596,WeightedRevAge14)-SUMIF(ThresholdAge14,"&lt;"&amp;'19_Расчет_аналитики'!Q3596,WeightedMinAge14),MAX(CapacityAge14*'01_Вводные'!$B$218*'19_Расчет_аналитики'!Q3596,MeanMinAge14))),0)</f>
        <v/>
      </c>
      <c r="R3541">
        <f>IF('01_Вводные'!$B$234="Да",IF(OR(('19_Расчет_аналитики'!R3457-'19_Расчет_аналитики'!R3485)=0,14&lt;='01_Вводные'!$B$297),0,('19_Расчет_аналитики'!R3457-'19_Расчет_аналитики'!R3485)*IF('01_Вводные'!$B$239="Да",MeanMinAge14+'19_Расчет_аналитики'!R3596*SUMIF(ThresholdAge14,"&lt;"&amp;'19_Расчет_аналитики'!R3596,WeightedRevAge14)-SUMIF(ThresholdAge14,"&lt;"&amp;'19_Расчет_аналитики'!R3596,WeightedMinAge14),MAX(CapacityAge14*'01_Вводные'!$B$218*'19_Расчет_аналитики'!R3596,MeanMinAge14))),0)</f>
        <v/>
      </c>
      <c r="S3541">
        <f>IF('01_Вводные'!$B$234="Да",IF(OR(('19_Расчет_аналитики'!S3457-'19_Расчет_аналитики'!S3485)=0,14&lt;='01_Вводные'!$B$297),0,('19_Расчет_аналитики'!S3457-'19_Расчет_аналитики'!S3485)*IF('01_Вводные'!$B$239="Да",MeanMinAge14+'19_Расчет_аналитики'!S3596*SUMIF(ThresholdAge14,"&lt;"&amp;'19_Расчет_аналитики'!S3596,WeightedRevAge14)-SUMIF(ThresholdAge14,"&lt;"&amp;'19_Расчет_аналитики'!S3596,WeightedMinAge14),MAX(CapacityAge14*'01_Вводные'!$B$218*'19_Расчет_аналитики'!S3596,MeanMinAge14))),0)</f>
        <v/>
      </c>
      <c r="T3541">
        <f>IF('01_Вводные'!$B$234="Да",IF(OR(('19_Расчет_аналитики'!T3457-'19_Расчет_аналитики'!T3485)=0,14&lt;='01_Вводные'!$B$297),0,('19_Расчет_аналитики'!T3457-'19_Расчет_аналитики'!T3485)*IF('01_Вводные'!$B$239="Да",MeanMinAge14+'19_Расчет_аналитики'!T3596*SUMIF(ThresholdAge14,"&lt;"&amp;'19_Расчет_аналитики'!T3596,WeightedRevAge14)-SUMIF(ThresholdAge14,"&lt;"&amp;'19_Расчет_аналитики'!T3596,WeightedMinAge14),MAX(CapacityAge14*'01_Вводные'!$B$218*'19_Расчет_аналитики'!T3596,MeanMinAge14))),0)</f>
        <v/>
      </c>
      <c r="U3541">
        <f>IF('01_Вводные'!$B$234="Да",IF(OR(('19_Расчет_аналитики'!U3457-'19_Расчет_аналитики'!U3485)=0,14&lt;='01_Вводные'!$B$297),0,('19_Расчет_аналитики'!U3457-'19_Расчет_аналитики'!U3485)*IF('01_Вводные'!$B$239="Да",MeanMinAge14+'19_Расчет_аналитики'!U3596*SUMIF(ThresholdAge14,"&lt;"&amp;'19_Расчет_аналитики'!U3596,WeightedRevAge14)-SUMIF(ThresholdAge14,"&lt;"&amp;'19_Расчет_аналитики'!U3596,WeightedMinAge14),MAX(CapacityAge14*'01_Вводные'!$B$218*'19_Расчет_аналитики'!U3596,MeanMinAge14))),0)</f>
        <v/>
      </c>
      <c r="V3541">
        <f>IF('01_Вводные'!$B$234="Да",IF(OR(('19_Расчет_аналитики'!V3457-'19_Расчет_аналитики'!V3485)=0,14&lt;='01_Вводные'!$B$297),0,('19_Расчет_аналитики'!V3457-'19_Расчет_аналитики'!V3485)*IF('01_Вводные'!$B$239="Да",MeanMinAge14+'19_Расчет_аналитики'!V3596*SUMIF(ThresholdAge14,"&lt;"&amp;'19_Расчет_аналитики'!V3596,WeightedRevAge14)-SUMIF(ThresholdAge14,"&lt;"&amp;'19_Расчет_аналитики'!V3596,WeightedMinAge14),MAX(CapacityAge14*'01_Вводные'!$B$218*'19_Расчет_аналитики'!V3596,MeanMinAge14))),0)</f>
        <v/>
      </c>
      <c r="W3541">
        <f>IF('01_Вводные'!$B$234="Да",IF(OR(('19_Расчет_аналитики'!W3457-'19_Расчет_аналитики'!W3485)=0,14&lt;='01_Вводные'!$B$297),0,('19_Расчет_аналитики'!W3457-'19_Расчет_аналитики'!W3485)*IF('01_Вводные'!$B$239="Да",MeanMinAge14+'19_Расчет_аналитики'!W3596*SUMIF(ThresholdAge14,"&lt;"&amp;'19_Расчет_аналитики'!W3596,WeightedRevAge14)-SUMIF(ThresholdAge14,"&lt;"&amp;'19_Расчет_аналитики'!W3596,WeightedMinAge14),MAX(CapacityAge14*'01_Вводные'!$B$218*'19_Расчет_аналитики'!W3596,MeanMinAge14))),0)</f>
        <v/>
      </c>
      <c r="X3541">
        <f>IF('01_Вводные'!$B$234="Да",IF(OR(('19_Расчет_аналитики'!X3457-'19_Расчет_аналитики'!X3485)=0,14&lt;='01_Вводные'!$B$297),0,('19_Расчет_аналитики'!X3457-'19_Расчет_аналитики'!X3485)*IF('01_Вводные'!$B$239="Да",MeanMinAge14+'19_Расчет_аналитики'!X3596*SUMIF(ThresholdAge14,"&lt;"&amp;'19_Расчет_аналитики'!X3596,WeightedRevAge14)-SUMIF(ThresholdAge14,"&lt;"&amp;'19_Расчет_аналитики'!X3596,WeightedMinAge14),MAX(CapacityAge14*'01_Вводные'!$B$218*'19_Расчет_аналитики'!X3596,MeanMinAge14))),0)</f>
        <v/>
      </c>
      <c r="Y3541">
        <f>IF('01_Вводные'!$B$234="Да",IF(OR(('19_Расчет_аналитики'!Y3457-'19_Расчет_аналитики'!Y3485)=0,14&lt;='01_Вводные'!$B$297),0,('19_Расчет_аналитики'!Y3457-'19_Расчет_аналитики'!Y3485)*IF('01_Вводные'!$B$239="Да",MeanMinAge14+'19_Расчет_аналитики'!Y3596*SUMIF(ThresholdAge14,"&lt;"&amp;'19_Расчет_аналитики'!Y3596,WeightedRevAge14)-SUMIF(ThresholdAge14,"&lt;"&amp;'19_Расчет_аналитики'!Y3596,WeightedMinAge14),MAX(CapacityAge14*'01_Вводные'!$B$218*'19_Расчет_аналитики'!Y3596,MeanMinAge14))),0)</f>
        <v/>
      </c>
      <c r="Z3541">
        <f>IF('01_Вводные'!$B$234="Да",IF(OR(('19_Расчет_аналитики'!Z3457-'19_Расчет_аналитики'!Z3485)=0,14&lt;='01_Вводные'!$B$297),0,('19_Расчет_аналитики'!Z3457-'19_Расчет_аналитики'!Z3485)*IF('01_Вводные'!$B$239="Да",MeanMinAge14+'19_Расчет_аналитики'!Z3596*SUMIF(ThresholdAge14,"&lt;"&amp;'19_Расчет_аналитики'!Z3596,WeightedRevAge14)-SUMIF(ThresholdAge14,"&lt;"&amp;'19_Расчет_аналитики'!Z3596,WeightedMinAge14),MAX(CapacityAge14*'01_Вводные'!$B$218*'19_Расчет_аналитики'!Z3596,MeanMinAge14))),0)</f>
        <v/>
      </c>
      <c r="AA3541">
        <f>IF('01_Вводные'!$B$234="Да",IF(OR(('19_Расчет_аналитики'!AA3457-'19_Расчет_аналитики'!AA3485)=0,14&lt;='01_Вводные'!$B$297),0,('19_Расчет_аналитики'!AA3457-'19_Расчет_аналитики'!AA3485)*IF('01_Вводные'!$B$239="Да",MeanMinAge14+'19_Расчет_аналитики'!AA3596*SUMIF(ThresholdAge14,"&lt;"&amp;'19_Расчет_аналитики'!AA3596,WeightedRevAge14)-SUMIF(ThresholdAge14,"&lt;"&amp;'19_Расчет_аналитики'!AA3596,WeightedMinAge14),MAX(CapacityAge14*'01_Вводные'!$B$218*'19_Расчет_аналитики'!AA3596,MeanMinAge14))),0)</f>
        <v/>
      </c>
      <c r="AB3541">
        <f>IF('01_Вводные'!$B$234="Да",IF(OR(('19_Расчет_аналитики'!AB3457-'19_Расчет_аналитики'!AB3485)=0,14&lt;='01_Вводные'!$B$297),0,('19_Расчет_аналитики'!AB3457-'19_Расчет_аналитики'!AB3485)*IF('01_Вводные'!$B$239="Да",MeanMinAge14+'19_Расчет_аналитики'!AB3596*SUMIF(ThresholdAge14,"&lt;"&amp;'19_Расчет_аналитики'!AB3596,WeightedRevAge14)-SUMIF(ThresholdAge14,"&lt;"&amp;'19_Расчет_аналитики'!AB3596,WeightedMinAge14),MAX(CapacityAge14*'01_Вводные'!$B$218*'19_Расчет_аналитики'!AB3596,MeanMinAge14))),0)</f>
        <v/>
      </c>
      <c r="AC3541">
        <f>IF('01_Вводные'!$B$234="Да",IF(OR(('19_Расчет_аналитики'!AC3457-'19_Расчет_аналитики'!AC3485)=0,14&lt;='01_Вводные'!$B$297),0,('19_Расчет_аналитики'!AC3457-'19_Расчет_аналитики'!AC3485)*IF('01_Вводные'!$B$239="Да",MeanMinAge14+'19_Расчет_аналитики'!AC3596*SUMIF(ThresholdAge14,"&lt;"&amp;'19_Расчет_аналитики'!AC3596,WeightedRevAge14)-SUMIF(ThresholdAge14,"&lt;"&amp;'19_Расчет_аналитики'!AC3596,WeightedMinAge14),MAX(CapacityAge14*'01_Вводные'!$B$218*'19_Расчет_аналитики'!AC3596,MeanMinAge14))),0)</f>
        <v/>
      </c>
      <c r="AD3541">
        <f>IF('01_Вводные'!$B$234="Да",IF(OR(('19_Расчет_аналитики'!AD3457-'19_Расчет_аналитики'!AD3485)=0,14&lt;='01_Вводные'!$B$297),0,('19_Расчет_аналитики'!AD3457-'19_Расчет_аналитики'!AD3485)*IF('01_Вводные'!$B$239="Да",MeanMinAge14+'19_Расчет_аналитики'!AD3596*SUMIF(ThresholdAge14,"&lt;"&amp;'19_Расчет_аналитики'!AD3596,WeightedRevAge14)-SUMIF(ThresholdAge14,"&lt;"&amp;'19_Расчет_аналитики'!AD3596,WeightedMinAge14),MAX(CapacityAge14*'01_Вводные'!$B$218*'19_Расчет_аналитики'!AD3596,MeanMinAge14))),0)</f>
        <v/>
      </c>
      <c r="AE3541">
        <f>IF('01_Вводные'!$B$234="Да",IF(OR(('19_Расчет_аналитики'!AE3457-'19_Расчет_аналитики'!AE3485)=0,14&lt;='01_Вводные'!$B$297),0,('19_Расчет_аналитики'!AE3457-'19_Расчет_аналитики'!AE3485)*IF('01_Вводные'!$B$239="Да",MeanMinAge14+'19_Расчет_аналитики'!AE3596*SUMIF(ThresholdAge14,"&lt;"&amp;'19_Расчет_аналитики'!AE3596,WeightedRevAge14)-SUMIF(ThresholdAge14,"&lt;"&amp;'19_Расчет_аналитики'!AE3596,WeightedMinAge14),MAX(CapacityAge14*'01_Вводные'!$B$218*'19_Расчет_аналитики'!AE3596,MeanMinAge14))),0)</f>
        <v/>
      </c>
      <c r="AF3541">
        <f>IF('01_Вводные'!$B$234="Да",IF(OR(('19_Расчет_аналитики'!AF3457-'19_Расчет_аналитики'!AF3485)=0,14&lt;='01_Вводные'!$B$297),0,('19_Расчет_аналитики'!AF3457-'19_Расчет_аналитики'!AF3485)*IF('01_Вводные'!$B$239="Да",MeanMinAge14+'19_Расчет_аналитики'!AF3596*SUMIF(ThresholdAge14,"&lt;"&amp;'19_Расчет_аналитики'!AF3596,WeightedRevAge14)-SUMIF(ThresholdAge14,"&lt;"&amp;'19_Расчет_аналитики'!AF3596,WeightedMinAge14),MAX(CapacityAge14*'01_Вводные'!$B$218*'19_Расчет_аналитики'!AF3596,MeanMinAge14))),0)</f>
        <v/>
      </c>
      <c r="AG3541">
        <f>IF('01_Вводные'!$B$234="Да",IF(OR(('19_Расчет_аналитики'!AG3457-'19_Расчет_аналитики'!AG3485)=0,14&lt;='01_Вводные'!$B$297),0,('19_Расчет_аналитики'!AG3457-'19_Расчет_аналитики'!AG3485)*IF('01_Вводные'!$B$239="Да",MeanMinAge14+'19_Расчет_аналитики'!AG3596*SUMIF(ThresholdAge14,"&lt;"&amp;'19_Расчет_аналитики'!AG3596,WeightedRevAge14)-SUMIF(ThresholdAge14,"&lt;"&amp;'19_Расчет_аналитики'!AG3596,WeightedMinAge14),MAX(CapacityAge14*'01_Вводные'!$B$218*'19_Расчет_аналитики'!AG3596,MeanMinAge14))),0)</f>
        <v/>
      </c>
      <c r="AH3541">
        <f>IF('01_Вводные'!$B$234="Да",IF(OR(('19_Расчет_аналитики'!AH3457-'19_Расчет_аналитики'!AH3485)=0,14&lt;='01_Вводные'!$B$297),0,('19_Расчет_аналитики'!AH3457-'19_Расчет_аналитики'!AH3485)*IF('01_Вводные'!$B$239="Да",MeanMinAge14+'19_Расчет_аналитики'!AH3596*SUMIF(ThresholdAge14,"&lt;"&amp;'19_Расчет_аналитики'!AH3596,WeightedRevAge14)-SUMIF(ThresholdAge14,"&lt;"&amp;'19_Расчет_аналитики'!AH3596,WeightedMinAge14),MAX(CapacityAge14*'01_Вводные'!$B$218*'19_Расчет_аналитики'!AH3596,MeanMinAge14))),0)</f>
        <v/>
      </c>
      <c r="AI3541">
        <f>IF('01_Вводные'!$B$234="Да",IF(OR(('19_Расчет_аналитики'!AI3457-'19_Расчет_аналитики'!AI3485)=0,14&lt;='01_Вводные'!$B$297),0,('19_Расчет_аналитики'!AI3457-'19_Расчет_аналитики'!AI3485)*IF('01_Вводные'!$B$239="Да",MeanMinAge14+'19_Расчет_аналитики'!AI3596*SUMIF(ThresholdAge14,"&lt;"&amp;'19_Расчет_аналитики'!AI3596,WeightedRevAge14)-SUMIF(ThresholdAge14,"&lt;"&amp;'19_Расчет_аналитики'!AI3596,WeightedMinAge14),MAX(CapacityAge14*'01_Вводные'!$B$218*'19_Расчет_аналитики'!AI3596,MeanMinAge14))),0)</f>
        <v/>
      </c>
      <c r="AJ3541">
        <f>IF('01_Вводные'!$B$234="Да",IF(OR(('19_Расчет_аналитики'!AJ3457-'19_Расчет_аналитики'!AJ3485)=0,14&lt;='01_Вводные'!$B$297),0,('19_Расчет_аналитики'!AJ3457-'19_Расчет_аналитики'!AJ3485)*IF('01_Вводные'!$B$239="Да",MeanMinAge14+'19_Расчет_аналитики'!AJ3596*SUMIF(ThresholdAge14,"&lt;"&amp;'19_Расчет_аналитики'!AJ3596,WeightedRevAge14)-SUMIF(ThresholdAge14,"&lt;"&amp;'19_Расчет_аналитики'!AJ3596,WeightedMinAge14),MAX(CapacityAge14*'01_Вводные'!$B$218*'19_Расчет_аналитики'!AJ3596,MeanMinAge14))),0)</f>
        <v/>
      </c>
      <c r="AK3541">
        <f>IF('01_Вводные'!$B$234="Да",IF(OR(('19_Расчет_аналитики'!AK3457-'19_Расчет_аналитики'!AK3485)=0,14&lt;='01_Вводные'!$B$297),0,('19_Расчет_аналитики'!AK3457-'19_Расчет_аналитики'!AK3485)*IF('01_Вводные'!$B$239="Да",MeanMinAge14+'19_Расчет_аналитики'!AK3596*SUMIF(ThresholdAge14,"&lt;"&amp;'19_Расчет_аналитики'!AK3596,WeightedRevAge14)-SUMIF(ThresholdAge14,"&lt;"&amp;'19_Расчет_аналитики'!AK3596,WeightedMinAge14),MAX(CapacityAge14*'01_Вводные'!$B$218*'19_Расчет_аналитики'!AK3596,MeanMinAge14))),0)</f>
        <v/>
      </c>
      <c r="AL3541">
        <f>IF('01_Вводные'!$B$234="Да",IF(OR(('19_Расчет_аналитики'!AL3457-'19_Расчет_аналитики'!AL3485)=0,14&lt;='01_Вводные'!$B$297),0,('19_Расчет_аналитики'!AL3457-'19_Расчет_аналитики'!AL3485)*IF('01_Вводные'!$B$239="Да",MeanMinAge14+'19_Расчет_аналитики'!AL3596*SUMIF(ThresholdAge14,"&lt;"&amp;'19_Расчет_аналитики'!AL3596,WeightedRevAge14)-SUMIF(ThresholdAge14,"&lt;"&amp;'19_Расчет_аналитики'!AL3596,WeightedMinAge14),MAX(CapacityAge14*'01_Вводные'!$B$218*'19_Расчет_аналитики'!AL3596,MeanMinAge14))),0)</f>
        <v/>
      </c>
      <c r="AM3541">
        <f>IF('01_Вводные'!$B$234="Да",IF(OR(('19_Расчет_аналитики'!AM3457-'19_Расчет_аналитики'!AM3485)=0,14&lt;='01_Вводные'!$B$297),0,('19_Расчет_аналитики'!AM3457-'19_Расчет_аналитики'!AM3485)*IF('01_Вводные'!$B$239="Да",MeanMinAge14+'19_Расчет_аналитики'!AM3596*SUMIF(ThresholdAge14,"&lt;"&amp;'19_Расчет_аналитики'!AM3596,WeightedRevAge14)-SUMIF(ThresholdAge14,"&lt;"&amp;'19_Расчет_аналитики'!AM3596,WeightedMinAge14),MAX(CapacityAge14*'01_Вводные'!$B$218*'19_Расчет_аналитики'!AM3596,MeanMinAge14))),0)</f>
        <v/>
      </c>
      <c r="AN3541">
        <f>IF('01_Вводные'!$B$234="Да",IF(OR(('19_Расчет_аналитики'!AN3457-'19_Расчет_аналитики'!AN3485)=0,14&lt;='01_Вводные'!$B$297),0,('19_Расчет_аналитики'!AN3457-'19_Расчет_аналитики'!AN3485)*IF('01_Вводные'!$B$239="Да",MeanMinAge14+'19_Расчет_аналитики'!AN3596*SUMIF(ThresholdAge14,"&lt;"&amp;'19_Расчет_аналитики'!AN3596,WeightedRevAge14)-SUMIF(ThresholdAge14,"&lt;"&amp;'19_Расчет_аналитики'!AN3596,WeightedMinAge14),MAX(CapacityAge14*'01_Вводные'!$B$218*'19_Расчет_аналитики'!AN3596,MeanMinAge14))),0)</f>
        <v/>
      </c>
      <c r="AO3541">
        <f>IF('01_Вводные'!$B$234="Да",IF(OR(('19_Расчет_аналитики'!AO3457-'19_Расчет_аналитики'!AO3485)=0,14&lt;='01_Вводные'!$B$297),0,('19_Расчет_аналитики'!AO3457-'19_Расчет_аналитики'!AO3485)*IF('01_Вводные'!$B$239="Да",MeanMinAge14+'19_Расчет_аналитики'!AO3596*SUMIF(ThresholdAge14,"&lt;"&amp;'19_Расчет_аналитики'!AO3596,WeightedRevAge14)-SUMIF(ThresholdAge14,"&lt;"&amp;'19_Расчет_аналитики'!AO3596,WeightedMinAge14),MAX(CapacityAge14*'01_Вводные'!$B$218*'19_Расчет_аналитики'!AO3596,MeanMinAge14))),0)</f>
        <v/>
      </c>
      <c r="AP3541">
        <f>IF('01_Вводные'!$B$234="Да",IF(OR(('19_Расчет_аналитики'!AP3457-'19_Расчет_аналитики'!AP3485)=0,14&lt;='01_Вводные'!$B$297),0,('19_Расчет_аналитики'!AP3457-'19_Расчет_аналитики'!AP3485)*IF('01_Вводные'!$B$239="Да",MeanMinAge14+'19_Расчет_аналитики'!AP3596*SUMIF(ThresholdAge14,"&lt;"&amp;'19_Расчет_аналитики'!AP3596,WeightedRevAge14)-SUMIF(ThresholdAge14,"&lt;"&amp;'19_Расчет_аналитики'!AP3596,WeightedMinAge14),MAX(CapacityAge14*'01_Вводные'!$B$218*'19_Расчет_аналитики'!AP3596,MeanMinAge14))),0)</f>
        <v/>
      </c>
      <c r="AQ3541">
        <f>IF('01_Вводные'!$B$234="Да",IF(OR(('19_Расчет_аналитики'!AQ3457-'19_Расчет_аналитики'!AQ3485)=0,14&lt;='01_Вводные'!$B$297),0,('19_Расчет_аналитики'!AQ3457-'19_Расчет_аналитики'!AQ3485)*IF('01_Вводные'!$B$239="Да",MeanMinAge14+'19_Расчет_аналитики'!AQ3596*SUMIF(ThresholdAge14,"&lt;"&amp;'19_Расчет_аналитики'!AQ3596,WeightedRevAge14)-SUMIF(ThresholdAge14,"&lt;"&amp;'19_Расчет_аналитики'!AQ3596,WeightedMinAge14),MAX(CapacityAge14*'01_Вводные'!$B$218*'19_Расчет_аналитики'!AQ3596,MeanMinAge14))),0)</f>
        <v/>
      </c>
      <c r="AR3541">
        <f>IF('01_Вводные'!$B$234="Да",IF(OR(('19_Расчет_аналитики'!AR3457-'19_Расчет_аналитики'!AR3485)=0,14&lt;='01_Вводные'!$B$297),0,('19_Расчет_аналитики'!AR3457-'19_Расчет_аналитики'!AR3485)*IF('01_Вводные'!$B$239="Да",MeanMinAge14+'19_Расчет_аналитики'!AR3596*SUMIF(ThresholdAge14,"&lt;"&amp;'19_Расчет_аналитики'!AR3596,WeightedRevAge14)-SUMIF(ThresholdAge14,"&lt;"&amp;'19_Расчет_аналитики'!AR3596,WeightedMinAge14),MAX(CapacityAge14*'01_Вводные'!$B$218*'19_Расчет_аналитики'!AR3596,MeanMinAge14))),0)</f>
        <v/>
      </c>
      <c r="AS3541">
        <f>IF('01_Вводные'!$B$234="Да",IF(OR(('19_Расчет_аналитики'!AS3457-'19_Расчет_аналитики'!AS3485)=0,14&lt;='01_Вводные'!$B$297),0,('19_Расчет_аналитики'!AS3457-'19_Расчет_аналитики'!AS3485)*IF('01_Вводные'!$B$239="Да",MeanMinAge14+'19_Расчет_аналитики'!AS3596*SUMIF(ThresholdAge14,"&lt;"&amp;'19_Расчет_аналитики'!AS3596,WeightedRevAge14)-SUMIF(ThresholdAge14,"&lt;"&amp;'19_Расчет_аналитики'!AS3596,WeightedMinAge14),MAX(CapacityAge14*'01_Вводные'!$B$218*'19_Расчет_аналитики'!AS3596,MeanMinAge14))),0)</f>
        <v/>
      </c>
      <c r="AT3541">
        <f>IF('01_Вводные'!$B$234="Да",IF(OR(('19_Расчет_аналитики'!AT3457-'19_Расчет_аналитики'!AT3485)=0,14&lt;='01_Вводные'!$B$297),0,('19_Расчет_аналитики'!AT3457-'19_Расчет_аналитики'!AT3485)*IF('01_Вводные'!$B$239="Да",MeanMinAge14+'19_Расчет_аналитики'!AT3596*SUMIF(ThresholdAge14,"&lt;"&amp;'19_Расчет_аналитики'!AT3596,WeightedRevAge14)-SUMIF(ThresholdAge14,"&lt;"&amp;'19_Расчет_аналитики'!AT3596,WeightedMinAge14),MAX(CapacityAge14*'01_Вводные'!$B$218*'19_Расчет_аналитики'!AT3596,MeanMinAge14))),0)</f>
        <v/>
      </c>
      <c r="AU3541">
        <f>IF('01_Вводные'!$B$234="Да",IF(OR(('19_Расчет_аналитики'!AU3457-'19_Расчет_аналитики'!AU3485)=0,14&lt;='01_Вводные'!$B$297),0,('19_Расчет_аналитики'!AU3457-'19_Расчет_аналитики'!AU3485)*IF('01_Вводные'!$B$239="Да",MeanMinAge14+'19_Расчет_аналитики'!AU3596*SUMIF(ThresholdAge14,"&lt;"&amp;'19_Расчет_аналитики'!AU3596,WeightedRevAge14)-SUMIF(ThresholdAge14,"&lt;"&amp;'19_Расчет_аналитики'!AU3596,WeightedMinAge14),MAX(CapacityAge14*'01_Вводные'!$B$218*'19_Расчет_аналитики'!AU3596,MeanMinAge14))),0)</f>
        <v/>
      </c>
      <c r="AV3541">
        <f>IF('01_Вводные'!$B$234="Да",IF(OR(('19_Расчет_аналитики'!AV3457-'19_Расчет_аналитики'!AV3485)=0,14&lt;='01_Вводные'!$B$297),0,('19_Расчет_аналитики'!AV3457-'19_Расчет_аналитики'!AV3485)*IF('01_Вводные'!$B$239="Да",MeanMinAge14+'19_Расчет_аналитики'!AV3596*SUMIF(ThresholdAge14,"&lt;"&amp;'19_Расчет_аналитики'!AV3596,WeightedRevAge14)-SUMIF(ThresholdAge14,"&lt;"&amp;'19_Расчет_аналитики'!AV3596,WeightedMinAge14),MAX(CapacityAge14*'01_Вводные'!$B$218*'19_Расчет_аналитики'!AV3596,MeanMinAge14))),0)</f>
        <v/>
      </c>
      <c r="AW3541">
        <f>IF('01_Вводные'!$B$234="Да",IF(OR(('19_Расчет_аналитики'!AW3457-'19_Расчет_аналитики'!AW3485)=0,14&lt;='01_Вводные'!$B$297),0,('19_Расчет_аналитики'!AW3457-'19_Расчет_аналитики'!AW3485)*IF('01_Вводные'!$B$239="Да",MeanMinAge14+'19_Расчет_аналитики'!AW3596*SUMIF(ThresholdAge14,"&lt;"&amp;'19_Расчет_аналитики'!AW3596,WeightedRevAge14)-SUMIF(ThresholdAge14,"&lt;"&amp;'19_Расчет_аналитики'!AW3596,WeightedMinAge14),MAX(CapacityAge14*'01_Вводные'!$B$218*'19_Расчет_аналитики'!AW3596,MeanMinAge14))),0)</f>
        <v/>
      </c>
      <c r="AX3541">
        <f>IF('01_Вводные'!$B$234="Да",IF(OR(('19_Расчет_аналитики'!AX3457-'19_Расчет_аналитики'!AX3485)=0,14&lt;='01_Вводные'!$B$297),0,('19_Расчет_аналитики'!AX3457-'19_Расчет_аналитики'!AX3485)*IF('01_Вводные'!$B$239="Да",MeanMinAge14+'19_Расчет_аналитики'!AX3596*SUMIF(ThresholdAge14,"&lt;"&amp;'19_Расчет_аналитики'!AX3596,WeightedRevAge14)-SUMIF(ThresholdAge14,"&lt;"&amp;'19_Расчет_аналитики'!AX3596,WeightedMinAge14),MAX(CapacityAge14*'01_Вводные'!$B$218*'19_Расчет_аналитики'!AX3596,MeanMinAge14))),0)</f>
        <v/>
      </c>
      <c r="AY3541">
        <f>IF('01_Вводные'!$B$234="Да",IF(OR(('19_Расчет_аналитики'!AY3457-'19_Расчет_аналитики'!AY3485)=0,14&lt;='01_Вводные'!$B$297),0,('19_Расчет_аналитики'!AY3457-'19_Расчет_аналитики'!AY3485)*IF('01_Вводные'!$B$239="Да",MeanMinAge14+'19_Расчет_аналитики'!AY3596*SUMIF(ThresholdAge14,"&lt;"&amp;'19_Расчет_аналитики'!AY3596,WeightedRevAge14)-SUMIF(ThresholdAge14,"&lt;"&amp;'19_Расчет_аналитики'!AY3596,WeightedMinAge14),MAX(CapacityAge14*'01_Вводные'!$B$218*'19_Расчет_аналитики'!AY3596,MeanMinAge14))),0)</f>
        <v/>
      </c>
      <c r="AZ3541">
        <f>IF('01_Вводные'!$B$234="Да",IF(OR(('19_Расчет_аналитики'!AZ3457-'19_Расчет_аналитики'!AZ3485)=0,14&lt;='01_Вводные'!$B$297),0,('19_Расчет_аналитики'!AZ3457-'19_Расчет_аналитики'!AZ3485)*IF('01_Вводные'!$B$239="Да",MeanMinAge14+'19_Расчет_аналитики'!AZ3596*SUMIF(ThresholdAge14,"&lt;"&amp;'19_Расчет_аналитики'!AZ3596,WeightedRevAge14)-SUMIF(ThresholdAge14,"&lt;"&amp;'19_Расчет_аналитики'!AZ3596,WeightedMinAge14),MAX(CapacityAge14*'01_Вводные'!$B$218*'19_Расчет_аналитики'!AZ3596,MeanMinAge14))),0)</f>
        <v/>
      </c>
      <c r="BA3541">
        <f>IF('01_Вводные'!$B$234="Да",IF(OR(('19_Расчет_аналитики'!BA3457-'19_Расчет_аналитики'!BA3485)=0,14&lt;='01_Вводные'!$B$297),0,('19_Расчет_аналитики'!BA3457-'19_Расчет_аналитики'!BA3485)*IF('01_Вводные'!$B$239="Да",MeanMinAge14+'19_Расчет_аналитики'!BA3596*SUMIF(ThresholdAge14,"&lt;"&amp;'19_Расчет_аналитики'!BA3596,WeightedRevAge14)-SUMIF(ThresholdAge14,"&lt;"&amp;'19_Расчет_аналитики'!BA3596,WeightedMinAge14),MAX(CapacityAge14*'01_Вводные'!$B$218*'19_Расчет_аналитики'!BA3596,MeanMinAge14))),0)</f>
        <v/>
      </c>
      <c r="BB3541">
        <f>IF('01_Вводные'!$B$234="Да",IF(OR(('19_Расчет_аналитики'!BB3457-'19_Расчет_аналитики'!BB3485)=0,14&lt;='01_Вводные'!$B$297),0,('19_Расчет_аналитики'!BB3457-'19_Расчет_аналитики'!BB3485)*IF('01_Вводные'!$B$239="Да",MeanMinAge14+'19_Расчет_аналитики'!BB3596*SUMIF(ThresholdAge14,"&lt;"&amp;'19_Расчет_аналитики'!BB3596,WeightedRevAge14)-SUMIF(ThresholdAge14,"&lt;"&amp;'19_Расчет_аналитики'!BB3596,WeightedMinAge14),MAX(CapacityAge14*'01_Вводные'!$B$218*'19_Расчет_аналитики'!BB3596,MeanMinAge14))),0)</f>
        <v/>
      </c>
      <c r="BC3541">
        <f>IF('01_Вводные'!$B$234="Да",IF(OR(('19_Расчет_аналитики'!BC3457-'19_Расчет_аналитики'!BC3485)=0,14&lt;='01_Вводные'!$B$297),0,('19_Расчет_аналитики'!BC3457-'19_Расчет_аналитики'!BC3485)*IF('01_Вводные'!$B$239="Да",MeanMinAge14+'19_Расчет_аналитики'!BC3596*SUMIF(ThresholdAge14,"&lt;"&amp;'19_Расчет_аналитики'!BC3596,WeightedRevAge14)-SUMIF(ThresholdAge14,"&lt;"&amp;'19_Расчет_аналитики'!BC3596,WeightedMinAge14),MAX(CapacityAge14*'01_Вводные'!$B$218*'19_Расчет_аналитики'!BC3596,MeanMinAge14))),0)</f>
        <v/>
      </c>
      <c r="BD3541">
        <f>IF('01_Вводные'!$B$234="Да",IF(OR(('19_Расчет_аналитики'!BD3457-'19_Расчет_аналитики'!BD3485)=0,14&lt;='01_Вводные'!$B$297),0,('19_Расчет_аналитики'!BD3457-'19_Расчет_аналитики'!BD3485)*IF('01_Вводные'!$B$239="Да",MeanMinAge14+'19_Расчет_аналитики'!BD3596*SUMIF(ThresholdAge14,"&lt;"&amp;'19_Расчет_аналитики'!BD3596,WeightedRevAge14)-SUMIF(ThresholdAge14,"&lt;"&amp;'19_Расчет_аналитики'!BD3596,WeightedMinAge14),MAX(CapacityAge14*'01_Вводные'!$B$218*'19_Расчет_аналитики'!BD3596,MeanMinAge14))),0)</f>
        <v/>
      </c>
      <c r="BE3541">
        <f>IF('01_Вводные'!$B$234="Да",IF(OR(('19_Расчет_аналитики'!BE3457-'19_Расчет_аналитики'!BE3485)=0,14&lt;='01_Вводные'!$B$297),0,('19_Расчет_аналитики'!BE3457-'19_Расчет_аналитики'!BE3485)*IF('01_Вводные'!$B$239="Да",MeanMinAge14+'19_Расчет_аналитики'!BE3596*SUMIF(ThresholdAge14,"&lt;"&amp;'19_Расчет_аналитики'!BE3596,WeightedRevAge14)-SUMIF(ThresholdAge14,"&lt;"&amp;'19_Расчет_аналитики'!BE3596,WeightedMinAge14),MAX(CapacityAge14*'01_Вводные'!$B$218*'19_Расчет_аналитики'!BE3596,MeanMinAge14))),0)</f>
        <v/>
      </c>
      <c r="BF3541">
        <f>IF('01_Вводные'!$B$234="Да",IF(OR(('19_Расчет_аналитики'!BF3457-'19_Расчет_аналитики'!BF3485)=0,14&lt;='01_Вводные'!$B$297),0,('19_Расчет_аналитики'!BF3457-'19_Расчет_аналитики'!BF3485)*IF('01_Вводные'!$B$239="Да",MeanMinAge14+'19_Расчет_аналитики'!BF3596*SUMIF(ThresholdAge14,"&lt;"&amp;'19_Расчет_аналитики'!BF3596,WeightedRevAge14)-SUMIF(ThresholdAge14,"&lt;"&amp;'19_Расчет_аналитики'!BF3596,WeightedMinAge14),MAX(CapacityAge14*'01_Вводные'!$B$218*'19_Расчет_аналитики'!BF3596,MeanMinAge14))),0)</f>
        <v/>
      </c>
      <c r="BG3541">
        <f>IF('01_Вводные'!$B$234="Да",IF(OR(('19_Расчет_аналитики'!BG3457-'19_Расчет_аналитики'!BG3485)=0,14&lt;='01_Вводные'!$B$297),0,('19_Расчет_аналитики'!BG3457-'19_Расчет_аналитики'!BG3485)*IF('01_Вводные'!$B$239="Да",MeanMinAge14+'19_Расчет_аналитики'!BG3596*SUMIF(ThresholdAge14,"&lt;"&amp;'19_Расчет_аналитики'!BG3596,WeightedRevAge14)-SUMIF(ThresholdAge14,"&lt;"&amp;'19_Расчет_аналитики'!BG3596,WeightedMinAge14),MAX(CapacityAge14*'01_Вводные'!$B$218*'19_Расчет_аналитики'!BG3596,MeanMinAge14))),0)</f>
        <v/>
      </c>
      <c r="BH3541">
        <f>IF('01_Вводные'!$B$234="Да",IF(OR(('19_Расчет_аналитики'!BH3457-'19_Расчет_аналитики'!BH3485)=0,14&lt;='01_Вводные'!$B$297),0,('19_Расчет_аналитики'!BH3457-'19_Расчет_аналитики'!BH3485)*IF('01_Вводные'!$B$239="Да",MeanMinAge14+'19_Расчет_аналитики'!BH3596*SUMIF(ThresholdAge14,"&lt;"&amp;'19_Расчет_аналитики'!BH3596,WeightedRevAge14)-SUMIF(ThresholdAge14,"&lt;"&amp;'19_Расчет_аналитики'!BH3596,WeightedMinAge14),MAX(CapacityAge14*'01_Вводные'!$B$218*'19_Расчет_аналитики'!BH3596,MeanMinAge14))),0)</f>
        <v/>
      </c>
      <c r="BI3541">
        <f>IF('01_Вводные'!$B$234="Да",IF(OR(('19_Расчет_аналитики'!BI3457-'19_Расчет_аналитики'!BI3485)=0,14&lt;='01_Вводные'!$B$297),0,('19_Расчет_аналитики'!BI3457-'19_Расчет_аналитики'!BI3485)*IF('01_Вводные'!$B$239="Да",MeanMinAge14+'19_Расчет_аналитики'!BI3596*SUMIF(ThresholdAge14,"&lt;"&amp;'19_Расчет_аналитики'!BI3596,WeightedRevAge14)-SUMIF(ThresholdAge14,"&lt;"&amp;'19_Расчет_аналитики'!BI3596,WeightedMinAge14),MAX(CapacityAge14*'01_Вводные'!$B$218*'19_Расчет_аналитики'!BI3596,MeanMinAge14))),0)</f>
        <v/>
      </c>
      <c r="BJ3541">
        <f>IF('01_Вводные'!$B$234="Да",IF(OR(('19_Расчет_аналитики'!BJ3457-'19_Расчет_аналитики'!BJ3485)=0,14&lt;='01_Вводные'!$B$297),0,('19_Расчет_аналитики'!BJ3457-'19_Расчет_аналитики'!BJ3485)*IF('01_Вводные'!$B$239="Да",MeanMinAge14+'19_Расчет_аналитики'!BJ3596*SUMIF(ThresholdAge14,"&lt;"&amp;'19_Расчет_аналитики'!BJ3596,WeightedRevAge14)-SUMIF(ThresholdAge14,"&lt;"&amp;'19_Расчет_аналитики'!BJ3596,WeightedMinAge14),MAX(CapacityAge14*'01_Вводные'!$B$218*'19_Расчет_аналитики'!BJ3596,MeanMinAge14))),0)</f>
        <v/>
      </c>
      <c r="BK3541">
        <f>IF('01_Вводные'!$B$234="Да",IF(OR(('19_Расчет_аналитики'!BK3457-'19_Расчет_аналитики'!BK3485)=0,14&lt;='01_Вводные'!$B$297),0,('19_Расчет_аналитики'!BK3457-'19_Расчет_аналитики'!BK3485)*IF('01_Вводные'!$B$239="Да",MeanMinAge14+'19_Расчет_аналитики'!BK3596*SUMIF(ThresholdAge14,"&lt;"&amp;'19_Расчет_аналитики'!BK3596,WeightedRevAge14)-SUMIF(ThresholdAge14,"&lt;"&amp;'19_Расчет_аналитики'!BK3596,WeightedMinAge14),MAX(CapacityAge14*'01_Вводные'!$B$218*'19_Расчет_аналитики'!BK3596,MeanMinAge14))),0)</f>
        <v/>
      </c>
      <c r="BL3541">
        <f>IF('01_Вводные'!$B$234="Да",IF(OR(('19_Расчет_аналитики'!BL3457-'19_Расчет_аналитики'!BL3485)=0,14&lt;='01_Вводные'!$B$297),0,('19_Расчет_аналитики'!BL3457-'19_Расчет_аналитики'!BL3485)*IF('01_Вводные'!$B$239="Да",MeanMinAge14+'19_Расчет_аналитики'!BL3596*SUMIF(ThresholdAge14,"&lt;"&amp;'19_Расчет_аналитики'!BL3596,WeightedRevAge14)-SUMIF(ThresholdAge14,"&lt;"&amp;'19_Расчет_аналитики'!BL3596,WeightedMinAge14),MAX(CapacityAge14*'01_Вводные'!$B$218*'19_Расчет_аналитики'!BL3596,MeanMinAge14))),0)</f>
        <v/>
      </c>
      <c r="BM3541">
        <f>IF('01_Вводные'!$B$234="Да",IF(OR(('19_Расчет_аналитики'!BM3457-'19_Расчет_аналитики'!BM3485)=0,14&lt;='01_Вводные'!$B$297),0,('19_Расчет_аналитики'!BM3457-'19_Расчет_аналитики'!BM3485)*IF('01_Вводные'!$B$239="Да",MeanMinAge14+'19_Расчет_аналитики'!BM3596*SUMIF(ThresholdAge14,"&lt;"&amp;'19_Расчет_аналитики'!BM3596,WeightedRevAge14)-SUMIF(ThresholdAge14,"&lt;"&amp;'19_Расчет_аналитики'!BM3596,WeightedMinAge14),MAX(CapacityAge14*'01_Вводные'!$B$218*'19_Расчет_аналитики'!BM3596,MeanMinAge14))),0)</f>
        <v/>
      </c>
      <c r="BN3541">
        <f>IF('01_Вводные'!$B$234="Да",IF(OR(('19_Расчет_аналитики'!BN3457-'19_Расчет_аналитики'!BN3485)=0,14&lt;='01_Вводные'!$B$297),0,('19_Расчет_аналитики'!BN3457-'19_Расчет_аналитики'!BN3485)*IF('01_Вводные'!$B$239="Да",MeanMinAge14+'19_Расчет_аналитики'!BN3596*SUMIF(ThresholdAge14,"&lt;"&amp;'19_Расчет_аналитики'!BN3596,WeightedRevAge14)-SUMIF(ThresholdAge14,"&lt;"&amp;'19_Расчет_аналитики'!BN3596,WeightedMinAge14),MAX(CapacityAge14*'01_Вводные'!$B$218*'19_Расчет_аналитики'!BN3596,MeanMinAge14))),0)</f>
        <v/>
      </c>
      <c r="BO3541">
        <f>IF('01_Вводные'!$B$234="Да",IF(OR(('19_Расчет_аналитики'!BO3457-'19_Расчет_аналитики'!BO3485)=0,14&lt;='01_Вводные'!$B$297),0,('19_Расчет_аналитики'!BO3457-'19_Расчет_аналитики'!BO3485)*IF('01_Вводные'!$B$239="Да",MeanMinAge14+'19_Расчет_аналитики'!BO3596*SUMIF(ThresholdAge14,"&lt;"&amp;'19_Расчет_аналитики'!BO3596,WeightedRevAge14)-SUMIF(ThresholdAge14,"&lt;"&amp;'19_Расчет_аналитики'!BO3596,WeightedMinAge14),MAX(CapacityAge14*'01_Вводные'!$B$218*'19_Расчет_аналитики'!BO3596,MeanMinAge14))),0)</f>
        <v/>
      </c>
    </row>
    <row r="3542">
      <c r="B3542">
        <f>IF('01_Вводные'!$B$234="Да",IF(OR(('06_Сеть_и_дети'!B67-'06_Сеть_и_дети'!B95)=0,15&lt;='01_Вводные'!$B$297),0,('06_Сеть_и_дети'!B67-'06_Сеть_и_дети'!B95)*IF('01_Вводные'!$B$239="Да",MeanMinAge15+'19_Расчет_аналитики'!B3596*SUMIF(ThresholdAge15,"&lt;"&amp;'19_Расчет_аналитики'!B3596,WeightedRevAge15)-SUMIF(ThresholdAge15,"&lt;"&amp;'19_Расчет_аналитики'!B3596,WeightedMinAge15),MAX(CapacityAge15*'01_Вводные'!$B$218*'19_Расчет_аналитики'!B3596,MeanMinAge15))),0)</f>
        <v/>
      </c>
      <c r="C3542">
        <f>IF('01_Вводные'!$B$234="Да",IF(OR(('06_Сеть_и_дети'!C67-'06_Сеть_и_дети'!C95)=0,15&lt;='01_Вводные'!$B$297),0,('06_Сеть_и_дети'!C67-'06_Сеть_и_дети'!C95)*IF('01_Вводные'!$B$239="Да",MeanMinAge15+'19_Расчет_аналитики'!C3596*SUMIF(ThresholdAge15,"&lt;"&amp;'19_Расчет_аналитики'!C3596,WeightedRevAge15)-SUMIF(ThresholdAge15,"&lt;"&amp;'19_Расчет_аналитики'!C3596,WeightedMinAge15),MAX(CapacityAge15*'01_Вводные'!$B$218*'19_Расчет_аналитики'!C3596,MeanMinAge15))),0)</f>
        <v/>
      </c>
      <c r="D3542">
        <f>IF('01_Вводные'!$B$234="Да",IF(OR(('06_Сеть_и_дети'!D67-'06_Сеть_и_дети'!D95)=0,15&lt;='01_Вводные'!$B$297),0,('06_Сеть_и_дети'!D67-'06_Сеть_и_дети'!D95)*IF('01_Вводные'!$B$239="Да",MeanMinAge15+'19_Расчет_аналитики'!D3596*SUMIF(ThresholdAge15,"&lt;"&amp;'19_Расчет_аналитики'!D3596,WeightedRevAge15)-SUMIF(ThresholdAge15,"&lt;"&amp;'19_Расчет_аналитики'!D3596,WeightedMinAge15),MAX(CapacityAge15*'01_Вводные'!$B$218*'19_Расчет_аналитики'!D3596,MeanMinAge15))),0)</f>
        <v/>
      </c>
      <c r="E3542">
        <f>IF('01_Вводные'!$B$234="Да",IF(OR(('06_Сеть_и_дети'!E67-'06_Сеть_и_дети'!E95)=0,15&lt;='01_Вводные'!$B$297),0,('06_Сеть_и_дети'!E67-'06_Сеть_и_дети'!E95)*IF('01_Вводные'!$B$239="Да",MeanMinAge15+'19_Расчет_аналитики'!E3596*SUMIF(ThresholdAge15,"&lt;"&amp;'19_Расчет_аналитики'!E3596,WeightedRevAge15)-SUMIF(ThresholdAge15,"&lt;"&amp;'19_Расчет_аналитики'!E3596,WeightedMinAge15),MAX(CapacityAge15*'01_Вводные'!$B$218*'19_Расчет_аналитики'!E3596,MeanMinAge15))),0)</f>
        <v/>
      </c>
      <c r="F3542">
        <f>IF('01_Вводные'!$B$234="Да",IF(OR(('06_Сеть_и_дети'!F67-'06_Сеть_и_дети'!F95)=0,15&lt;='01_Вводные'!$B$297),0,('06_Сеть_и_дети'!F67-'06_Сеть_и_дети'!F95)*IF('01_Вводные'!$B$239="Да",MeanMinAge15+'19_Расчет_аналитики'!F3596*SUMIF(ThresholdAge15,"&lt;"&amp;'19_Расчет_аналитики'!F3596,WeightedRevAge15)-SUMIF(ThresholdAge15,"&lt;"&amp;'19_Расчет_аналитики'!F3596,WeightedMinAge15),MAX(CapacityAge15*'01_Вводные'!$B$218*'19_Расчет_аналитики'!F3596,MeanMinAge15))),0)</f>
        <v/>
      </c>
      <c r="G3542">
        <f>IF('01_Вводные'!$B$234="Да",IF(OR(('06_Сеть_и_дети'!G67-'06_Сеть_и_дети'!G95)=0,15&lt;='01_Вводные'!$B$297),0,('06_Сеть_и_дети'!G67-'06_Сеть_и_дети'!G95)*IF('01_Вводные'!$B$239="Да",MeanMinAge15+'19_Расчет_аналитики'!G3596*SUMIF(ThresholdAge15,"&lt;"&amp;'19_Расчет_аналитики'!G3596,WeightedRevAge15)-SUMIF(ThresholdAge15,"&lt;"&amp;'19_Расчет_аналитики'!G3596,WeightedMinAge15),MAX(CapacityAge15*'01_Вводные'!$B$218*'19_Расчет_аналитики'!G3596,MeanMinAge15))),0)</f>
        <v/>
      </c>
      <c r="H3542">
        <f>IF('01_Вводные'!$B$234="Да",IF(OR(('06_Сеть_и_дети'!H67-'06_Сеть_и_дети'!H95)=0,15&lt;='01_Вводные'!$B$297),0,('06_Сеть_и_дети'!H67-'06_Сеть_и_дети'!H95)*IF('01_Вводные'!$B$239="Да",MeanMinAge15+'19_Расчет_аналитики'!H3596*SUMIF(ThresholdAge15,"&lt;"&amp;'19_Расчет_аналитики'!H3596,WeightedRevAge15)-SUMIF(ThresholdAge15,"&lt;"&amp;'19_Расчет_аналитики'!H3596,WeightedMinAge15),MAX(CapacityAge15*'01_Вводные'!$B$218*'19_Расчет_аналитики'!H3596,MeanMinAge15))),0)</f>
        <v/>
      </c>
      <c r="I3542">
        <f>IF('01_Вводные'!$B$234="Да",IF(OR(('06_Сеть_и_дети'!I67-'06_Сеть_и_дети'!I95)=0,15&lt;='01_Вводные'!$B$297),0,('06_Сеть_и_дети'!I67-'06_Сеть_и_дети'!I95)*IF('01_Вводные'!$B$239="Да",MeanMinAge15+'19_Расчет_аналитики'!I3596*SUMIF(ThresholdAge15,"&lt;"&amp;'19_Расчет_аналитики'!I3596,WeightedRevAge15)-SUMIF(ThresholdAge15,"&lt;"&amp;'19_Расчет_аналитики'!I3596,WeightedMinAge15),MAX(CapacityAge15*'01_Вводные'!$B$218*'19_Расчет_аналитики'!I3596,MeanMinAge15))),0)</f>
        <v/>
      </c>
      <c r="J3542">
        <f>IF('01_Вводные'!$B$234="Да",IF(OR(('06_Сеть_и_дети'!J67-'06_Сеть_и_дети'!J95)=0,15&lt;='01_Вводные'!$B$297),0,('06_Сеть_и_дети'!J67-'06_Сеть_и_дети'!J95)*IF('01_Вводные'!$B$239="Да",MeanMinAge15+'19_Расчет_аналитики'!J3596*SUMIF(ThresholdAge15,"&lt;"&amp;'19_Расчет_аналитики'!J3596,WeightedRevAge15)-SUMIF(ThresholdAge15,"&lt;"&amp;'19_Расчет_аналитики'!J3596,WeightedMinAge15),MAX(CapacityAge15*'01_Вводные'!$B$218*'19_Расчет_аналитики'!J3596,MeanMinAge15))),0)</f>
        <v/>
      </c>
      <c r="K3542">
        <f>IF('01_Вводные'!$B$234="Да",IF(OR(('06_Сеть_и_дети'!K67-'06_Сеть_и_дети'!K95)=0,15&lt;='01_Вводные'!$B$297),0,('06_Сеть_и_дети'!K67-'06_Сеть_и_дети'!K95)*IF('01_Вводные'!$B$239="Да",MeanMinAge15+'19_Расчет_аналитики'!K3596*SUMIF(ThresholdAge15,"&lt;"&amp;'19_Расчет_аналитики'!K3596,WeightedRevAge15)-SUMIF(ThresholdAge15,"&lt;"&amp;'19_Расчет_аналитики'!K3596,WeightedMinAge15),MAX(CapacityAge15*'01_Вводные'!$B$218*'19_Расчет_аналитики'!K3596,MeanMinAge15))),0)</f>
        <v/>
      </c>
      <c r="L3542">
        <f>IF('01_Вводные'!$B$234="Да",IF(OR(('06_Сеть_и_дети'!L67-'06_Сеть_и_дети'!L95)=0,15&lt;='01_Вводные'!$B$297),0,('06_Сеть_и_дети'!L67-'06_Сеть_и_дети'!L95)*IF('01_Вводные'!$B$239="Да",MeanMinAge15+'19_Расчет_аналитики'!L3596*SUMIF(ThresholdAge15,"&lt;"&amp;'19_Расчет_аналитики'!L3596,WeightedRevAge15)-SUMIF(ThresholdAge15,"&lt;"&amp;'19_Расчет_аналитики'!L3596,WeightedMinAge15),MAX(CapacityAge15*'01_Вводные'!$B$218*'19_Расчет_аналитики'!L3596,MeanMinAge15))),0)</f>
        <v/>
      </c>
      <c r="M3542">
        <f>IF('01_Вводные'!$B$234="Да",IF(OR(('06_Сеть_и_дети'!M67-'06_Сеть_и_дети'!M95)=0,15&lt;='01_Вводные'!$B$297),0,('06_Сеть_и_дети'!M67-'06_Сеть_и_дети'!M95)*IF('01_Вводные'!$B$239="Да",MeanMinAge15+'19_Расчет_аналитики'!M3596*SUMIF(ThresholdAge15,"&lt;"&amp;'19_Расчет_аналитики'!M3596,WeightedRevAge15)-SUMIF(ThresholdAge15,"&lt;"&amp;'19_Расчет_аналитики'!M3596,WeightedMinAge15),MAX(CapacityAge15*'01_Вводные'!$B$218*'19_Расчет_аналитики'!M3596,MeanMinAge15))),0)</f>
        <v/>
      </c>
      <c r="N3542">
        <f>IF('01_Вводные'!$B$234="Да",IF(OR(('06_Сеть_и_дети'!N67-'06_Сеть_и_дети'!N95)=0,15&lt;='01_Вводные'!$B$297),0,('06_Сеть_и_дети'!N67-'06_Сеть_и_дети'!N95)*IF('01_Вводные'!$B$239="Да",MeanMinAge15+'19_Расчет_аналитики'!N3596*SUMIF(ThresholdAge15,"&lt;"&amp;'19_Расчет_аналитики'!N3596,WeightedRevAge15)-SUMIF(ThresholdAge15,"&lt;"&amp;'19_Расчет_аналитики'!N3596,WeightedMinAge15),MAX(CapacityAge15*'01_Вводные'!$B$218*'19_Расчет_аналитики'!N3596,MeanMinAge15))),0)</f>
        <v/>
      </c>
      <c r="O3542">
        <f>IF('01_Вводные'!$B$234="Да",IF(OR(('06_Сеть_и_дети'!O67-'06_Сеть_и_дети'!O95)=0,15&lt;='01_Вводные'!$B$297),0,('06_Сеть_и_дети'!O67-'06_Сеть_и_дети'!O95)*IF('01_Вводные'!$B$239="Да",MeanMinAge15+'19_Расчет_аналитики'!O3596*SUMIF(ThresholdAge15,"&lt;"&amp;'19_Расчет_аналитики'!O3596,WeightedRevAge15)-SUMIF(ThresholdAge15,"&lt;"&amp;'19_Расчет_аналитики'!O3596,WeightedMinAge15),MAX(CapacityAge15*'01_Вводные'!$B$218*'19_Расчет_аналитики'!O3596,MeanMinAge15))),0)</f>
        <v/>
      </c>
      <c r="P3542">
        <f>IF('01_Вводные'!$B$234="Да",IF(OR(('19_Расчет_аналитики'!P3458-'19_Расчет_аналитики'!P3486)=0,15&lt;='01_Вводные'!$B$297),0,('19_Расчет_аналитики'!P3458-'19_Расчет_аналитики'!P3486)*IF('01_Вводные'!$B$239="Да",MeanMinAge15+'19_Расчет_аналитики'!P3596*SUMIF(ThresholdAge15,"&lt;"&amp;'19_Расчет_аналитики'!P3596,WeightedRevAge15)-SUMIF(ThresholdAge15,"&lt;"&amp;'19_Расчет_аналитики'!P3596,WeightedMinAge15),MAX(CapacityAge15*'01_Вводные'!$B$218*'19_Расчет_аналитики'!P3596,MeanMinAge15))),0)</f>
        <v/>
      </c>
      <c r="Q3542">
        <f>IF('01_Вводные'!$B$234="Да",IF(OR(('19_Расчет_аналитики'!Q3458-'19_Расчет_аналитики'!Q3486)=0,15&lt;='01_Вводные'!$B$297),0,('19_Расчет_аналитики'!Q3458-'19_Расчет_аналитики'!Q3486)*IF('01_Вводные'!$B$239="Да",MeanMinAge15+'19_Расчет_аналитики'!Q3596*SUMIF(ThresholdAge15,"&lt;"&amp;'19_Расчет_аналитики'!Q3596,WeightedRevAge15)-SUMIF(ThresholdAge15,"&lt;"&amp;'19_Расчет_аналитики'!Q3596,WeightedMinAge15),MAX(CapacityAge15*'01_Вводные'!$B$218*'19_Расчет_аналитики'!Q3596,MeanMinAge15))),0)</f>
        <v/>
      </c>
      <c r="R3542">
        <f>IF('01_Вводные'!$B$234="Да",IF(OR(('19_Расчет_аналитики'!R3458-'19_Расчет_аналитики'!R3486)=0,15&lt;='01_Вводные'!$B$297),0,('19_Расчет_аналитики'!R3458-'19_Расчет_аналитики'!R3486)*IF('01_Вводные'!$B$239="Да",MeanMinAge15+'19_Расчет_аналитики'!R3596*SUMIF(ThresholdAge15,"&lt;"&amp;'19_Расчет_аналитики'!R3596,WeightedRevAge15)-SUMIF(ThresholdAge15,"&lt;"&amp;'19_Расчет_аналитики'!R3596,WeightedMinAge15),MAX(CapacityAge15*'01_Вводные'!$B$218*'19_Расчет_аналитики'!R3596,MeanMinAge15))),0)</f>
        <v/>
      </c>
      <c r="S3542">
        <f>IF('01_Вводные'!$B$234="Да",IF(OR(('19_Расчет_аналитики'!S3458-'19_Расчет_аналитики'!S3486)=0,15&lt;='01_Вводные'!$B$297),0,('19_Расчет_аналитики'!S3458-'19_Расчет_аналитики'!S3486)*IF('01_Вводные'!$B$239="Да",MeanMinAge15+'19_Расчет_аналитики'!S3596*SUMIF(ThresholdAge15,"&lt;"&amp;'19_Расчет_аналитики'!S3596,WeightedRevAge15)-SUMIF(ThresholdAge15,"&lt;"&amp;'19_Расчет_аналитики'!S3596,WeightedMinAge15),MAX(CapacityAge15*'01_Вводные'!$B$218*'19_Расчет_аналитики'!S3596,MeanMinAge15))),0)</f>
        <v/>
      </c>
      <c r="T3542">
        <f>IF('01_Вводные'!$B$234="Да",IF(OR(('19_Расчет_аналитики'!T3458-'19_Расчет_аналитики'!T3486)=0,15&lt;='01_Вводные'!$B$297),0,('19_Расчет_аналитики'!T3458-'19_Расчет_аналитики'!T3486)*IF('01_Вводные'!$B$239="Да",MeanMinAge15+'19_Расчет_аналитики'!T3596*SUMIF(ThresholdAge15,"&lt;"&amp;'19_Расчет_аналитики'!T3596,WeightedRevAge15)-SUMIF(ThresholdAge15,"&lt;"&amp;'19_Расчет_аналитики'!T3596,WeightedMinAge15),MAX(CapacityAge15*'01_Вводные'!$B$218*'19_Расчет_аналитики'!T3596,MeanMinAge15))),0)</f>
        <v/>
      </c>
      <c r="U3542">
        <f>IF('01_Вводные'!$B$234="Да",IF(OR(('19_Расчет_аналитики'!U3458-'19_Расчет_аналитики'!U3486)=0,15&lt;='01_Вводные'!$B$297),0,('19_Расчет_аналитики'!U3458-'19_Расчет_аналитики'!U3486)*IF('01_Вводные'!$B$239="Да",MeanMinAge15+'19_Расчет_аналитики'!U3596*SUMIF(ThresholdAge15,"&lt;"&amp;'19_Расчет_аналитики'!U3596,WeightedRevAge15)-SUMIF(ThresholdAge15,"&lt;"&amp;'19_Расчет_аналитики'!U3596,WeightedMinAge15),MAX(CapacityAge15*'01_Вводные'!$B$218*'19_Расчет_аналитики'!U3596,MeanMinAge15))),0)</f>
        <v/>
      </c>
      <c r="V3542">
        <f>IF('01_Вводные'!$B$234="Да",IF(OR(('19_Расчет_аналитики'!V3458-'19_Расчет_аналитики'!V3486)=0,15&lt;='01_Вводные'!$B$297),0,('19_Расчет_аналитики'!V3458-'19_Расчет_аналитики'!V3486)*IF('01_Вводные'!$B$239="Да",MeanMinAge15+'19_Расчет_аналитики'!V3596*SUMIF(ThresholdAge15,"&lt;"&amp;'19_Расчет_аналитики'!V3596,WeightedRevAge15)-SUMIF(ThresholdAge15,"&lt;"&amp;'19_Расчет_аналитики'!V3596,WeightedMinAge15),MAX(CapacityAge15*'01_Вводные'!$B$218*'19_Расчет_аналитики'!V3596,MeanMinAge15))),0)</f>
        <v/>
      </c>
      <c r="W3542">
        <f>IF('01_Вводные'!$B$234="Да",IF(OR(('19_Расчет_аналитики'!W3458-'19_Расчет_аналитики'!W3486)=0,15&lt;='01_Вводные'!$B$297),0,('19_Расчет_аналитики'!W3458-'19_Расчет_аналитики'!W3486)*IF('01_Вводные'!$B$239="Да",MeanMinAge15+'19_Расчет_аналитики'!W3596*SUMIF(ThresholdAge15,"&lt;"&amp;'19_Расчет_аналитики'!W3596,WeightedRevAge15)-SUMIF(ThresholdAge15,"&lt;"&amp;'19_Расчет_аналитики'!W3596,WeightedMinAge15),MAX(CapacityAge15*'01_Вводные'!$B$218*'19_Расчет_аналитики'!W3596,MeanMinAge15))),0)</f>
        <v/>
      </c>
      <c r="X3542">
        <f>IF('01_Вводные'!$B$234="Да",IF(OR(('19_Расчет_аналитики'!X3458-'19_Расчет_аналитики'!X3486)=0,15&lt;='01_Вводные'!$B$297),0,('19_Расчет_аналитики'!X3458-'19_Расчет_аналитики'!X3486)*IF('01_Вводные'!$B$239="Да",MeanMinAge15+'19_Расчет_аналитики'!X3596*SUMIF(ThresholdAge15,"&lt;"&amp;'19_Расчет_аналитики'!X3596,WeightedRevAge15)-SUMIF(ThresholdAge15,"&lt;"&amp;'19_Расчет_аналитики'!X3596,WeightedMinAge15),MAX(CapacityAge15*'01_Вводные'!$B$218*'19_Расчет_аналитики'!X3596,MeanMinAge15))),0)</f>
        <v/>
      </c>
      <c r="Y3542">
        <f>IF('01_Вводные'!$B$234="Да",IF(OR(('19_Расчет_аналитики'!Y3458-'19_Расчет_аналитики'!Y3486)=0,15&lt;='01_Вводные'!$B$297),0,('19_Расчет_аналитики'!Y3458-'19_Расчет_аналитики'!Y3486)*IF('01_Вводные'!$B$239="Да",MeanMinAge15+'19_Расчет_аналитики'!Y3596*SUMIF(ThresholdAge15,"&lt;"&amp;'19_Расчет_аналитики'!Y3596,WeightedRevAge15)-SUMIF(ThresholdAge15,"&lt;"&amp;'19_Расчет_аналитики'!Y3596,WeightedMinAge15),MAX(CapacityAge15*'01_Вводные'!$B$218*'19_Расчет_аналитики'!Y3596,MeanMinAge15))),0)</f>
        <v/>
      </c>
      <c r="Z3542">
        <f>IF('01_Вводные'!$B$234="Да",IF(OR(('19_Расчет_аналитики'!Z3458-'19_Расчет_аналитики'!Z3486)=0,15&lt;='01_Вводные'!$B$297),0,('19_Расчет_аналитики'!Z3458-'19_Расчет_аналитики'!Z3486)*IF('01_Вводные'!$B$239="Да",MeanMinAge15+'19_Расчет_аналитики'!Z3596*SUMIF(ThresholdAge15,"&lt;"&amp;'19_Расчет_аналитики'!Z3596,WeightedRevAge15)-SUMIF(ThresholdAge15,"&lt;"&amp;'19_Расчет_аналитики'!Z3596,WeightedMinAge15),MAX(CapacityAge15*'01_Вводные'!$B$218*'19_Расчет_аналитики'!Z3596,MeanMinAge15))),0)</f>
        <v/>
      </c>
      <c r="AA3542">
        <f>IF('01_Вводные'!$B$234="Да",IF(OR(('19_Расчет_аналитики'!AA3458-'19_Расчет_аналитики'!AA3486)=0,15&lt;='01_Вводные'!$B$297),0,('19_Расчет_аналитики'!AA3458-'19_Расчет_аналитики'!AA3486)*IF('01_Вводные'!$B$239="Да",MeanMinAge15+'19_Расчет_аналитики'!AA3596*SUMIF(ThresholdAge15,"&lt;"&amp;'19_Расчет_аналитики'!AA3596,WeightedRevAge15)-SUMIF(ThresholdAge15,"&lt;"&amp;'19_Расчет_аналитики'!AA3596,WeightedMinAge15),MAX(CapacityAge15*'01_Вводные'!$B$218*'19_Расчет_аналитики'!AA3596,MeanMinAge15))),0)</f>
        <v/>
      </c>
      <c r="AB3542">
        <f>IF('01_Вводные'!$B$234="Да",IF(OR(('19_Расчет_аналитики'!AB3458-'19_Расчет_аналитики'!AB3486)=0,15&lt;='01_Вводные'!$B$297),0,('19_Расчет_аналитики'!AB3458-'19_Расчет_аналитики'!AB3486)*IF('01_Вводные'!$B$239="Да",MeanMinAge15+'19_Расчет_аналитики'!AB3596*SUMIF(ThresholdAge15,"&lt;"&amp;'19_Расчет_аналитики'!AB3596,WeightedRevAge15)-SUMIF(ThresholdAge15,"&lt;"&amp;'19_Расчет_аналитики'!AB3596,WeightedMinAge15),MAX(CapacityAge15*'01_Вводные'!$B$218*'19_Расчет_аналитики'!AB3596,MeanMinAge15))),0)</f>
        <v/>
      </c>
      <c r="AC3542">
        <f>IF('01_Вводные'!$B$234="Да",IF(OR(('19_Расчет_аналитики'!AC3458-'19_Расчет_аналитики'!AC3486)=0,15&lt;='01_Вводные'!$B$297),0,('19_Расчет_аналитики'!AC3458-'19_Расчет_аналитики'!AC3486)*IF('01_Вводные'!$B$239="Да",MeanMinAge15+'19_Расчет_аналитики'!AC3596*SUMIF(ThresholdAge15,"&lt;"&amp;'19_Расчет_аналитики'!AC3596,WeightedRevAge15)-SUMIF(ThresholdAge15,"&lt;"&amp;'19_Расчет_аналитики'!AC3596,WeightedMinAge15),MAX(CapacityAge15*'01_Вводные'!$B$218*'19_Расчет_аналитики'!AC3596,MeanMinAge15))),0)</f>
        <v/>
      </c>
      <c r="AD3542">
        <f>IF('01_Вводные'!$B$234="Да",IF(OR(('19_Расчет_аналитики'!AD3458-'19_Расчет_аналитики'!AD3486)=0,15&lt;='01_Вводные'!$B$297),0,('19_Расчет_аналитики'!AD3458-'19_Расчет_аналитики'!AD3486)*IF('01_Вводные'!$B$239="Да",MeanMinAge15+'19_Расчет_аналитики'!AD3596*SUMIF(ThresholdAge15,"&lt;"&amp;'19_Расчет_аналитики'!AD3596,WeightedRevAge15)-SUMIF(ThresholdAge15,"&lt;"&amp;'19_Расчет_аналитики'!AD3596,WeightedMinAge15),MAX(CapacityAge15*'01_Вводные'!$B$218*'19_Расчет_аналитики'!AD3596,MeanMinAge15))),0)</f>
        <v/>
      </c>
      <c r="AE3542">
        <f>IF('01_Вводные'!$B$234="Да",IF(OR(('19_Расчет_аналитики'!AE3458-'19_Расчет_аналитики'!AE3486)=0,15&lt;='01_Вводные'!$B$297),0,('19_Расчет_аналитики'!AE3458-'19_Расчет_аналитики'!AE3486)*IF('01_Вводные'!$B$239="Да",MeanMinAge15+'19_Расчет_аналитики'!AE3596*SUMIF(ThresholdAge15,"&lt;"&amp;'19_Расчет_аналитики'!AE3596,WeightedRevAge15)-SUMIF(ThresholdAge15,"&lt;"&amp;'19_Расчет_аналитики'!AE3596,WeightedMinAge15),MAX(CapacityAge15*'01_Вводные'!$B$218*'19_Расчет_аналитики'!AE3596,MeanMinAge15))),0)</f>
        <v/>
      </c>
      <c r="AF3542">
        <f>IF('01_Вводные'!$B$234="Да",IF(OR(('19_Расчет_аналитики'!AF3458-'19_Расчет_аналитики'!AF3486)=0,15&lt;='01_Вводные'!$B$297),0,('19_Расчет_аналитики'!AF3458-'19_Расчет_аналитики'!AF3486)*IF('01_Вводные'!$B$239="Да",MeanMinAge15+'19_Расчет_аналитики'!AF3596*SUMIF(ThresholdAge15,"&lt;"&amp;'19_Расчет_аналитики'!AF3596,WeightedRevAge15)-SUMIF(ThresholdAge15,"&lt;"&amp;'19_Расчет_аналитики'!AF3596,WeightedMinAge15),MAX(CapacityAge15*'01_Вводные'!$B$218*'19_Расчет_аналитики'!AF3596,MeanMinAge15))),0)</f>
        <v/>
      </c>
      <c r="AG3542">
        <f>IF('01_Вводные'!$B$234="Да",IF(OR(('19_Расчет_аналитики'!AG3458-'19_Расчет_аналитики'!AG3486)=0,15&lt;='01_Вводные'!$B$297),0,('19_Расчет_аналитики'!AG3458-'19_Расчет_аналитики'!AG3486)*IF('01_Вводные'!$B$239="Да",MeanMinAge15+'19_Расчет_аналитики'!AG3596*SUMIF(ThresholdAge15,"&lt;"&amp;'19_Расчет_аналитики'!AG3596,WeightedRevAge15)-SUMIF(ThresholdAge15,"&lt;"&amp;'19_Расчет_аналитики'!AG3596,WeightedMinAge15),MAX(CapacityAge15*'01_Вводные'!$B$218*'19_Расчет_аналитики'!AG3596,MeanMinAge15))),0)</f>
        <v/>
      </c>
      <c r="AH3542">
        <f>IF('01_Вводные'!$B$234="Да",IF(OR(('19_Расчет_аналитики'!AH3458-'19_Расчет_аналитики'!AH3486)=0,15&lt;='01_Вводные'!$B$297),0,('19_Расчет_аналитики'!AH3458-'19_Расчет_аналитики'!AH3486)*IF('01_Вводные'!$B$239="Да",MeanMinAge15+'19_Расчет_аналитики'!AH3596*SUMIF(ThresholdAge15,"&lt;"&amp;'19_Расчет_аналитики'!AH3596,WeightedRevAge15)-SUMIF(ThresholdAge15,"&lt;"&amp;'19_Расчет_аналитики'!AH3596,WeightedMinAge15),MAX(CapacityAge15*'01_Вводные'!$B$218*'19_Расчет_аналитики'!AH3596,MeanMinAge15))),0)</f>
        <v/>
      </c>
      <c r="AI3542">
        <f>IF('01_Вводные'!$B$234="Да",IF(OR(('19_Расчет_аналитики'!AI3458-'19_Расчет_аналитики'!AI3486)=0,15&lt;='01_Вводные'!$B$297),0,('19_Расчет_аналитики'!AI3458-'19_Расчет_аналитики'!AI3486)*IF('01_Вводные'!$B$239="Да",MeanMinAge15+'19_Расчет_аналитики'!AI3596*SUMIF(ThresholdAge15,"&lt;"&amp;'19_Расчет_аналитики'!AI3596,WeightedRevAge15)-SUMIF(ThresholdAge15,"&lt;"&amp;'19_Расчет_аналитики'!AI3596,WeightedMinAge15),MAX(CapacityAge15*'01_Вводные'!$B$218*'19_Расчет_аналитики'!AI3596,MeanMinAge15))),0)</f>
        <v/>
      </c>
      <c r="AJ3542">
        <f>IF('01_Вводные'!$B$234="Да",IF(OR(('19_Расчет_аналитики'!AJ3458-'19_Расчет_аналитики'!AJ3486)=0,15&lt;='01_Вводные'!$B$297),0,('19_Расчет_аналитики'!AJ3458-'19_Расчет_аналитики'!AJ3486)*IF('01_Вводные'!$B$239="Да",MeanMinAge15+'19_Расчет_аналитики'!AJ3596*SUMIF(ThresholdAge15,"&lt;"&amp;'19_Расчет_аналитики'!AJ3596,WeightedRevAge15)-SUMIF(ThresholdAge15,"&lt;"&amp;'19_Расчет_аналитики'!AJ3596,WeightedMinAge15),MAX(CapacityAge15*'01_Вводные'!$B$218*'19_Расчет_аналитики'!AJ3596,MeanMinAge15))),0)</f>
        <v/>
      </c>
      <c r="AK3542">
        <f>IF('01_Вводные'!$B$234="Да",IF(OR(('19_Расчет_аналитики'!AK3458-'19_Расчет_аналитики'!AK3486)=0,15&lt;='01_Вводные'!$B$297),0,('19_Расчет_аналитики'!AK3458-'19_Расчет_аналитики'!AK3486)*IF('01_Вводные'!$B$239="Да",MeanMinAge15+'19_Расчет_аналитики'!AK3596*SUMIF(ThresholdAge15,"&lt;"&amp;'19_Расчет_аналитики'!AK3596,WeightedRevAge15)-SUMIF(ThresholdAge15,"&lt;"&amp;'19_Расчет_аналитики'!AK3596,WeightedMinAge15),MAX(CapacityAge15*'01_Вводные'!$B$218*'19_Расчет_аналитики'!AK3596,MeanMinAge15))),0)</f>
        <v/>
      </c>
      <c r="AL3542">
        <f>IF('01_Вводные'!$B$234="Да",IF(OR(('19_Расчет_аналитики'!AL3458-'19_Расчет_аналитики'!AL3486)=0,15&lt;='01_Вводные'!$B$297),0,('19_Расчет_аналитики'!AL3458-'19_Расчет_аналитики'!AL3486)*IF('01_Вводные'!$B$239="Да",MeanMinAge15+'19_Расчет_аналитики'!AL3596*SUMIF(ThresholdAge15,"&lt;"&amp;'19_Расчет_аналитики'!AL3596,WeightedRevAge15)-SUMIF(ThresholdAge15,"&lt;"&amp;'19_Расчет_аналитики'!AL3596,WeightedMinAge15),MAX(CapacityAge15*'01_Вводные'!$B$218*'19_Расчет_аналитики'!AL3596,MeanMinAge15))),0)</f>
        <v/>
      </c>
      <c r="AM3542">
        <f>IF('01_Вводные'!$B$234="Да",IF(OR(('19_Расчет_аналитики'!AM3458-'19_Расчет_аналитики'!AM3486)=0,15&lt;='01_Вводные'!$B$297),0,('19_Расчет_аналитики'!AM3458-'19_Расчет_аналитики'!AM3486)*IF('01_Вводные'!$B$239="Да",MeanMinAge15+'19_Расчет_аналитики'!AM3596*SUMIF(ThresholdAge15,"&lt;"&amp;'19_Расчет_аналитики'!AM3596,WeightedRevAge15)-SUMIF(ThresholdAge15,"&lt;"&amp;'19_Расчет_аналитики'!AM3596,WeightedMinAge15),MAX(CapacityAge15*'01_Вводные'!$B$218*'19_Расчет_аналитики'!AM3596,MeanMinAge15))),0)</f>
        <v/>
      </c>
      <c r="AN3542">
        <f>IF('01_Вводные'!$B$234="Да",IF(OR(('19_Расчет_аналитики'!AN3458-'19_Расчет_аналитики'!AN3486)=0,15&lt;='01_Вводные'!$B$297),0,('19_Расчет_аналитики'!AN3458-'19_Расчет_аналитики'!AN3486)*IF('01_Вводные'!$B$239="Да",MeanMinAge15+'19_Расчет_аналитики'!AN3596*SUMIF(ThresholdAge15,"&lt;"&amp;'19_Расчет_аналитики'!AN3596,WeightedRevAge15)-SUMIF(ThresholdAge15,"&lt;"&amp;'19_Расчет_аналитики'!AN3596,WeightedMinAge15),MAX(CapacityAge15*'01_Вводные'!$B$218*'19_Расчет_аналитики'!AN3596,MeanMinAge15))),0)</f>
        <v/>
      </c>
      <c r="AO3542">
        <f>IF('01_Вводные'!$B$234="Да",IF(OR(('19_Расчет_аналитики'!AO3458-'19_Расчет_аналитики'!AO3486)=0,15&lt;='01_Вводные'!$B$297),0,('19_Расчет_аналитики'!AO3458-'19_Расчет_аналитики'!AO3486)*IF('01_Вводные'!$B$239="Да",MeanMinAge15+'19_Расчет_аналитики'!AO3596*SUMIF(ThresholdAge15,"&lt;"&amp;'19_Расчет_аналитики'!AO3596,WeightedRevAge15)-SUMIF(ThresholdAge15,"&lt;"&amp;'19_Расчет_аналитики'!AO3596,WeightedMinAge15),MAX(CapacityAge15*'01_Вводные'!$B$218*'19_Расчет_аналитики'!AO3596,MeanMinAge15))),0)</f>
        <v/>
      </c>
      <c r="AP3542">
        <f>IF('01_Вводные'!$B$234="Да",IF(OR(('19_Расчет_аналитики'!AP3458-'19_Расчет_аналитики'!AP3486)=0,15&lt;='01_Вводные'!$B$297),0,('19_Расчет_аналитики'!AP3458-'19_Расчет_аналитики'!AP3486)*IF('01_Вводные'!$B$239="Да",MeanMinAge15+'19_Расчет_аналитики'!AP3596*SUMIF(ThresholdAge15,"&lt;"&amp;'19_Расчет_аналитики'!AP3596,WeightedRevAge15)-SUMIF(ThresholdAge15,"&lt;"&amp;'19_Расчет_аналитики'!AP3596,WeightedMinAge15),MAX(CapacityAge15*'01_Вводные'!$B$218*'19_Расчет_аналитики'!AP3596,MeanMinAge15))),0)</f>
        <v/>
      </c>
      <c r="AQ3542">
        <f>IF('01_Вводные'!$B$234="Да",IF(OR(('19_Расчет_аналитики'!AQ3458-'19_Расчет_аналитики'!AQ3486)=0,15&lt;='01_Вводные'!$B$297),0,('19_Расчет_аналитики'!AQ3458-'19_Расчет_аналитики'!AQ3486)*IF('01_Вводные'!$B$239="Да",MeanMinAge15+'19_Расчет_аналитики'!AQ3596*SUMIF(ThresholdAge15,"&lt;"&amp;'19_Расчет_аналитики'!AQ3596,WeightedRevAge15)-SUMIF(ThresholdAge15,"&lt;"&amp;'19_Расчет_аналитики'!AQ3596,WeightedMinAge15),MAX(CapacityAge15*'01_Вводные'!$B$218*'19_Расчет_аналитики'!AQ3596,MeanMinAge15))),0)</f>
        <v/>
      </c>
      <c r="AR3542">
        <f>IF('01_Вводные'!$B$234="Да",IF(OR(('19_Расчет_аналитики'!AR3458-'19_Расчет_аналитики'!AR3486)=0,15&lt;='01_Вводные'!$B$297),0,('19_Расчет_аналитики'!AR3458-'19_Расчет_аналитики'!AR3486)*IF('01_Вводные'!$B$239="Да",MeanMinAge15+'19_Расчет_аналитики'!AR3596*SUMIF(ThresholdAge15,"&lt;"&amp;'19_Расчет_аналитики'!AR3596,WeightedRevAge15)-SUMIF(ThresholdAge15,"&lt;"&amp;'19_Расчет_аналитики'!AR3596,WeightedMinAge15),MAX(CapacityAge15*'01_Вводные'!$B$218*'19_Расчет_аналитики'!AR3596,MeanMinAge15))),0)</f>
        <v/>
      </c>
      <c r="AS3542">
        <f>IF('01_Вводные'!$B$234="Да",IF(OR(('19_Расчет_аналитики'!AS3458-'19_Расчет_аналитики'!AS3486)=0,15&lt;='01_Вводные'!$B$297),0,('19_Расчет_аналитики'!AS3458-'19_Расчет_аналитики'!AS3486)*IF('01_Вводные'!$B$239="Да",MeanMinAge15+'19_Расчет_аналитики'!AS3596*SUMIF(ThresholdAge15,"&lt;"&amp;'19_Расчет_аналитики'!AS3596,WeightedRevAge15)-SUMIF(ThresholdAge15,"&lt;"&amp;'19_Расчет_аналитики'!AS3596,WeightedMinAge15),MAX(CapacityAge15*'01_Вводные'!$B$218*'19_Расчет_аналитики'!AS3596,MeanMinAge15))),0)</f>
        <v/>
      </c>
      <c r="AT3542">
        <f>IF('01_Вводные'!$B$234="Да",IF(OR(('19_Расчет_аналитики'!AT3458-'19_Расчет_аналитики'!AT3486)=0,15&lt;='01_Вводные'!$B$297),0,('19_Расчет_аналитики'!AT3458-'19_Расчет_аналитики'!AT3486)*IF('01_Вводные'!$B$239="Да",MeanMinAge15+'19_Расчет_аналитики'!AT3596*SUMIF(ThresholdAge15,"&lt;"&amp;'19_Расчет_аналитики'!AT3596,WeightedRevAge15)-SUMIF(ThresholdAge15,"&lt;"&amp;'19_Расчет_аналитики'!AT3596,WeightedMinAge15),MAX(CapacityAge15*'01_Вводные'!$B$218*'19_Расчет_аналитики'!AT3596,MeanMinAge15))),0)</f>
        <v/>
      </c>
      <c r="AU3542">
        <f>IF('01_Вводные'!$B$234="Да",IF(OR(('19_Расчет_аналитики'!AU3458-'19_Расчет_аналитики'!AU3486)=0,15&lt;='01_Вводные'!$B$297),0,('19_Расчет_аналитики'!AU3458-'19_Расчет_аналитики'!AU3486)*IF('01_Вводные'!$B$239="Да",MeanMinAge15+'19_Расчет_аналитики'!AU3596*SUMIF(ThresholdAge15,"&lt;"&amp;'19_Расчет_аналитики'!AU3596,WeightedRevAge15)-SUMIF(ThresholdAge15,"&lt;"&amp;'19_Расчет_аналитики'!AU3596,WeightedMinAge15),MAX(CapacityAge15*'01_Вводные'!$B$218*'19_Расчет_аналитики'!AU3596,MeanMinAge15))),0)</f>
        <v/>
      </c>
      <c r="AV3542">
        <f>IF('01_Вводные'!$B$234="Да",IF(OR(('19_Расчет_аналитики'!AV3458-'19_Расчет_аналитики'!AV3486)=0,15&lt;='01_Вводные'!$B$297),0,('19_Расчет_аналитики'!AV3458-'19_Расчет_аналитики'!AV3486)*IF('01_Вводные'!$B$239="Да",MeanMinAge15+'19_Расчет_аналитики'!AV3596*SUMIF(ThresholdAge15,"&lt;"&amp;'19_Расчет_аналитики'!AV3596,WeightedRevAge15)-SUMIF(ThresholdAge15,"&lt;"&amp;'19_Расчет_аналитики'!AV3596,WeightedMinAge15),MAX(CapacityAge15*'01_Вводные'!$B$218*'19_Расчет_аналитики'!AV3596,MeanMinAge15))),0)</f>
        <v/>
      </c>
      <c r="AW3542">
        <f>IF('01_Вводные'!$B$234="Да",IF(OR(('19_Расчет_аналитики'!AW3458-'19_Расчет_аналитики'!AW3486)=0,15&lt;='01_Вводные'!$B$297),0,('19_Расчет_аналитики'!AW3458-'19_Расчет_аналитики'!AW3486)*IF('01_Вводные'!$B$239="Да",MeanMinAge15+'19_Расчет_аналитики'!AW3596*SUMIF(ThresholdAge15,"&lt;"&amp;'19_Расчет_аналитики'!AW3596,WeightedRevAge15)-SUMIF(ThresholdAge15,"&lt;"&amp;'19_Расчет_аналитики'!AW3596,WeightedMinAge15),MAX(CapacityAge15*'01_Вводные'!$B$218*'19_Расчет_аналитики'!AW3596,MeanMinAge15))),0)</f>
        <v/>
      </c>
      <c r="AX3542">
        <f>IF('01_Вводные'!$B$234="Да",IF(OR(('19_Расчет_аналитики'!AX3458-'19_Расчет_аналитики'!AX3486)=0,15&lt;='01_Вводные'!$B$297),0,('19_Расчет_аналитики'!AX3458-'19_Расчет_аналитики'!AX3486)*IF('01_Вводные'!$B$239="Да",MeanMinAge15+'19_Расчет_аналитики'!AX3596*SUMIF(ThresholdAge15,"&lt;"&amp;'19_Расчет_аналитики'!AX3596,WeightedRevAge15)-SUMIF(ThresholdAge15,"&lt;"&amp;'19_Расчет_аналитики'!AX3596,WeightedMinAge15),MAX(CapacityAge15*'01_Вводные'!$B$218*'19_Расчет_аналитики'!AX3596,MeanMinAge15))),0)</f>
        <v/>
      </c>
      <c r="AY3542">
        <f>IF('01_Вводные'!$B$234="Да",IF(OR(('19_Расчет_аналитики'!AY3458-'19_Расчет_аналитики'!AY3486)=0,15&lt;='01_Вводные'!$B$297),0,('19_Расчет_аналитики'!AY3458-'19_Расчет_аналитики'!AY3486)*IF('01_Вводные'!$B$239="Да",MeanMinAge15+'19_Расчет_аналитики'!AY3596*SUMIF(ThresholdAge15,"&lt;"&amp;'19_Расчет_аналитики'!AY3596,WeightedRevAge15)-SUMIF(ThresholdAge15,"&lt;"&amp;'19_Расчет_аналитики'!AY3596,WeightedMinAge15),MAX(CapacityAge15*'01_Вводные'!$B$218*'19_Расчет_аналитики'!AY3596,MeanMinAge15))),0)</f>
        <v/>
      </c>
      <c r="AZ3542">
        <f>IF('01_Вводные'!$B$234="Да",IF(OR(('19_Расчет_аналитики'!AZ3458-'19_Расчет_аналитики'!AZ3486)=0,15&lt;='01_Вводные'!$B$297),0,('19_Расчет_аналитики'!AZ3458-'19_Расчет_аналитики'!AZ3486)*IF('01_Вводные'!$B$239="Да",MeanMinAge15+'19_Расчет_аналитики'!AZ3596*SUMIF(ThresholdAge15,"&lt;"&amp;'19_Расчет_аналитики'!AZ3596,WeightedRevAge15)-SUMIF(ThresholdAge15,"&lt;"&amp;'19_Расчет_аналитики'!AZ3596,WeightedMinAge15),MAX(CapacityAge15*'01_Вводные'!$B$218*'19_Расчет_аналитики'!AZ3596,MeanMinAge15))),0)</f>
        <v/>
      </c>
      <c r="BA3542">
        <f>IF('01_Вводные'!$B$234="Да",IF(OR(('19_Расчет_аналитики'!BA3458-'19_Расчет_аналитики'!BA3486)=0,15&lt;='01_Вводные'!$B$297),0,('19_Расчет_аналитики'!BA3458-'19_Расчет_аналитики'!BA3486)*IF('01_Вводные'!$B$239="Да",MeanMinAge15+'19_Расчет_аналитики'!BA3596*SUMIF(ThresholdAge15,"&lt;"&amp;'19_Расчет_аналитики'!BA3596,WeightedRevAge15)-SUMIF(ThresholdAge15,"&lt;"&amp;'19_Расчет_аналитики'!BA3596,WeightedMinAge15),MAX(CapacityAge15*'01_Вводные'!$B$218*'19_Расчет_аналитики'!BA3596,MeanMinAge15))),0)</f>
        <v/>
      </c>
      <c r="BB3542">
        <f>IF('01_Вводные'!$B$234="Да",IF(OR(('19_Расчет_аналитики'!BB3458-'19_Расчет_аналитики'!BB3486)=0,15&lt;='01_Вводные'!$B$297),0,('19_Расчет_аналитики'!BB3458-'19_Расчет_аналитики'!BB3486)*IF('01_Вводные'!$B$239="Да",MeanMinAge15+'19_Расчет_аналитики'!BB3596*SUMIF(ThresholdAge15,"&lt;"&amp;'19_Расчет_аналитики'!BB3596,WeightedRevAge15)-SUMIF(ThresholdAge15,"&lt;"&amp;'19_Расчет_аналитики'!BB3596,WeightedMinAge15),MAX(CapacityAge15*'01_Вводные'!$B$218*'19_Расчет_аналитики'!BB3596,MeanMinAge15))),0)</f>
        <v/>
      </c>
      <c r="BC3542">
        <f>IF('01_Вводные'!$B$234="Да",IF(OR(('19_Расчет_аналитики'!BC3458-'19_Расчет_аналитики'!BC3486)=0,15&lt;='01_Вводные'!$B$297),0,('19_Расчет_аналитики'!BC3458-'19_Расчет_аналитики'!BC3486)*IF('01_Вводные'!$B$239="Да",MeanMinAge15+'19_Расчет_аналитики'!BC3596*SUMIF(ThresholdAge15,"&lt;"&amp;'19_Расчет_аналитики'!BC3596,WeightedRevAge15)-SUMIF(ThresholdAge15,"&lt;"&amp;'19_Расчет_аналитики'!BC3596,WeightedMinAge15),MAX(CapacityAge15*'01_Вводные'!$B$218*'19_Расчет_аналитики'!BC3596,MeanMinAge15))),0)</f>
        <v/>
      </c>
      <c r="BD3542">
        <f>IF('01_Вводные'!$B$234="Да",IF(OR(('19_Расчет_аналитики'!BD3458-'19_Расчет_аналитики'!BD3486)=0,15&lt;='01_Вводные'!$B$297),0,('19_Расчет_аналитики'!BD3458-'19_Расчет_аналитики'!BD3486)*IF('01_Вводные'!$B$239="Да",MeanMinAge15+'19_Расчет_аналитики'!BD3596*SUMIF(ThresholdAge15,"&lt;"&amp;'19_Расчет_аналитики'!BD3596,WeightedRevAge15)-SUMIF(ThresholdAge15,"&lt;"&amp;'19_Расчет_аналитики'!BD3596,WeightedMinAge15),MAX(CapacityAge15*'01_Вводные'!$B$218*'19_Расчет_аналитики'!BD3596,MeanMinAge15))),0)</f>
        <v/>
      </c>
      <c r="BE3542">
        <f>IF('01_Вводные'!$B$234="Да",IF(OR(('19_Расчет_аналитики'!BE3458-'19_Расчет_аналитики'!BE3486)=0,15&lt;='01_Вводные'!$B$297),0,('19_Расчет_аналитики'!BE3458-'19_Расчет_аналитики'!BE3486)*IF('01_Вводные'!$B$239="Да",MeanMinAge15+'19_Расчет_аналитики'!BE3596*SUMIF(ThresholdAge15,"&lt;"&amp;'19_Расчет_аналитики'!BE3596,WeightedRevAge15)-SUMIF(ThresholdAge15,"&lt;"&amp;'19_Расчет_аналитики'!BE3596,WeightedMinAge15),MAX(CapacityAge15*'01_Вводные'!$B$218*'19_Расчет_аналитики'!BE3596,MeanMinAge15))),0)</f>
        <v/>
      </c>
      <c r="BF3542">
        <f>IF('01_Вводные'!$B$234="Да",IF(OR(('19_Расчет_аналитики'!BF3458-'19_Расчет_аналитики'!BF3486)=0,15&lt;='01_Вводные'!$B$297),0,('19_Расчет_аналитики'!BF3458-'19_Расчет_аналитики'!BF3486)*IF('01_Вводные'!$B$239="Да",MeanMinAge15+'19_Расчет_аналитики'!BF3596*SUMIF(ThresholdAge15,"&lt;"&amp;'19_Расчет_аналитики'!BF3596,WeightedRevAge15)-SUMIF(ThresholdAge15,"&lt;"&amp;'19_Расчет_аналитики'!BF3596,WeightedMinAge15),MAX(CapacityAge15*'01_Вводные'!$B$218*'19_Расчет_аналитики'!BF3596,MeanMinAge15))),0)</f>
        <v/>
      </c>
      <c r="BG3542">
        <f>IF('01_Вводные'!$B$234="Да",IF(OR(('19_Расчет_аналитики'!BG3458-'19_Расчет_аналитики'!BG3486)=0,15&lt;='01_Вводные'!$B$297),0,('19_Расчет_аналитики'!BG3458-'19_Расчет_аналитики'!BG3486)*IF('01_Вводные'!$B$239="Да",MeanMinAge15+'19_Расчет_аналитики'!BG3596*SUMIF(ThresholdAge15,"&lt;"&amp;'19_Расчет_аналитики'!BG3596,WeightedRevAge15)-SUMIF(ThresholdAge15,"&lt;"&amp;'19_Расчет_аналитики'!BG3596,WeightedMinAge15),MAX(CapacityAge15*'01_Вводные'!$B$218*'19_Расчет_аналитики'!BG3596,MeanMinAge15))),0)</f>
        <v/>
      </c>
      <c r="BH3542">
        <f>IF('01_Вводные'!$B$234="Да",IF(OR(('19_Расчет_аналитики'!BH3458-'19_Расчет_аналитики'!BH3486)=0,15&lt;='01_Вводные'!$B$297),0,('19_Расчет_аналитики'!BH3458-'19_Расчет_аналитики'!BH3486)*IF('01_Вводные'!$B$239="Да",MeanMinAge15+'19_Расчет_аналитики'!BH3596*SUMIF(ThresholdAge15,"&lt;"&amp;'19_Расчет_аналитики'!BH3596,WeightedRevAge15)-SUMIF(ThresholdAge15,"&lt;"&amp;'19_Расчет_аналитики'!BH3596,WeightedMinAge15),MAX(CapacityAge15*'01_Вводные'!$B$218*'19_Расчет_аналитики'!BH3596,MeanMinAge15))),0)</f>
        <v/>
      </c>
      <c r="BI3542">
        <f>IF('01_Вводные'!$B$234="Да",IF(OR(('19_Расчет_аналитики'!BI3458-'19_Расчет_аналитики'!BI3486)=0,15&lt;='01_Вводные'!$B$297),0,('19_Расчет_аналитики'!BI3458-'19_Расчет_аналитики'!BI3486)*IF('01_Вводные'!$B$239="Да",MeanMinAge15+'19_Расчет_аналитики'!BI3596*SUMIF(ThresholdAge15,"&lt;"&amp;'19_Расчет_аналитики'!BI3596,WeightedRevAge15)-SUMIF(ThresholdAge15,"&lt;"&amp;'19_Расчет_аналитики'!BI3596,WeightedMinAge15),MAX(CapacityAge15*'01_Вводные'!$B$218*'19_Расчет_аналитики'!BI3596,MeanMinAge15))),0)</f>
        <v/>
      </c>
      <c r="BJ3542">
        <f>IF('01_Вводные'!$B$234="Да",IF(OR(('19_Расчет_аналитики'!BJ3458-'19_Расчет_аналитики'!BJ3486)=0,15&lt;='01_Вводные'!$B$297),0,('19_Расчет_аналитики'!BJ3458-'19_Расчет_аналитики'!BJ3486)*IF('01_Вводные'!$B$239="Да",MeanMinAge15+'19_Расчет_аналитики'!BJ3596*SUMIF(ThresholdAge15,"&lt;"&amp;'19_Расчет_аналитики'!BJ3596,WeightedRevAge15)-SUMIF(ThresholdAge15,"&lt;"&amp;'19_Расчет_аналитики'!BJ3596,WeightedMinAge15),MAX(CapacityAge15*'01_Вводные'!$B$218*'19_Расчет_аналитики'!BJ3596,MeanMinAge15))),0)</f>
        <v/>
      </c>
      <c r="BK3542">
        <f>IF('01_Вводные'!$B$234="Да",IF(OR(('19_Расчет_аналитики'!BK3458-'19_Расчет_аналитики'!BK3486)=0,15&lt;='01_Вводные'!$B$297),0,('19_Расчет_аналитики'!BK3458-'19_Расчет_аналитики'!BK3486)*IF('01_Вводные'!$B$239="Да",MeanMinAge15+'19_Расчет_аналитики'!BK3596*SUMIF(ThresholdAge15,"&lt;"&amp;'19_Расчет_аналитики'!BK3596,WeightedRevAge15)-SUMIF(ThresholdAge15,"&lt;"&amp;'19_Расчет_аналитики'!BK3596,WeightedMinAge15),MAX(CapacityAge15*'01_Вводные'!$B$218*'19_Расчет_аналитики'!BK3596,MeanMinAge15))),0)</f>
        <v/>
      </c>
      <c r="BL3542">
        <f>IF('01_Вводные'!$B$234="Да",IF(OR(('19_Расчет_аналитики'!BL3458-'19_Расчет_аналитики'!BL3486)=0,15&lt;='01_Вводные'!$B$297),0,('19_Расчет_аналитики'!BL3458-'19_Расчет_аналитики'!BL3486)*IF('01_Вводные'!$B$239="Да",MeanMinAge15+'19_Расчет_аналитики'!BL3596*SUMIF(ThresholdAge15,"&lt;"&amp;'19_Расчет_аналитики'!BL3596,WeightedRevAge15)-SUMIF(ThresholdAge15,"&lt;"&amp;'19_Расчет_аналитики'!BL3596,WeightedMinAge15),MAX(CapacityAge15*'01_Вводные'!$B$218*'19_Расчет_аналитики'!BL3596,MeanMinAge15))),0)</f>
        <v/>
      </c>
      <c r="BM3542">
        <f>IF('01_Вводные'!$B$234="Да",IF(OR(('19_Расчет_аналитики'!BM3458-'19_Расчет_аналитики'!BM3486)=0,15&lt;='01_Вводные'!$B$297),0,('19_Расчет_аналитики'!BM3458-'19_Расчет_аналитики'!BM3486)*IF('01_Вводные'!$B$239="Да",MeanMinAge15+'19_Расчет_аналитики'!BM3596*SUMIF(ThresholdAge15,"&lt;"&amp;'19_Расчет_аналитики'!BM3596,WeightedRevAge15)-SUMIF(ThresholdAge15,"&lt;"&amp;'19_Расчет_аналитики'!BM3596,WeightedMinAge15),MAX(CapacityAge15*'01_Вводные'!$B$218*'19_Расчет_аналитики'!BM3596,MeanMinAge15))),0)</f>
        <v/>
      </c>
      <c r="BN3542">
        <f>IF('01_Вводные'!$B$234="Да",IF(OR(('19_Расчет_аналитики'!BN3458-'19_Расчет_аналитики'!BN3486)=0,15&lt;='01_Вводные'!$B$297),0,('19_Расчет_аналитики'!BN3458-'19_Расчет_аналитики'!BN3486)*IF('01_Вводные'!$B$239="Да",MeanMinAge15+'19_Расчет_аналитики'!BN3596*SUMIF(ThresholdAge15,"&lt;"&amp;'19_Расчет_аналитики'!BN3596,WeightedRevAge15)-SUMIF(ThresholdAge15,"&lt;"&amp;'19_Расчет_аналитики'!BN3596,WeightedMinAge15),MAX(CapacityAge15*'01_Вводные'!$B$218*'19_Расчет_аналитики'!BN3596,MeanMinAge15))),0)</f>
        <v/>
      </c>
      <c r="BO3542">
        <f>IF('01_Вводные'!$B$234="Да",IF(OR(('19_Расчет_аналитики'!BO3458-'19_Расчет_аналитики'!BO3486)=0,15&lt;='01_Вводные'!$B$297),0,('19_Расчет_аналитики'!BO3458-'19_Расчет_аналитики'!BO3486)*IF('01_Вводные'!$B$239="Да",MeanMinAge15+'19_Расчет_аналитики'!BO3596*SUMIF(ThresholdAge15,"&lt;"&amp;'19_Расчет_аналитики'!BO3596,WeightedRevAge15)-SUMIF(ThresholdAge15,"&lt;"&amp;'19_Расчет_аналитики'!BO3596,WeightedMinAge15),MAX(CapacityAge15*'01_Вводные'!$B$218*'19_Расчет_аналитики'!BO3596,MeanMinAge15))),0)</f>
        <v/>
      </c>
    </row>
    <row r="3543">
      <c r="B3543">
        <f>IF('01_Вводные'!$B$234="Да",IF(OR(('06_Сеть_и_дети'!B68-'06_Сеть_и_дети'!B96)=0,16&lt;='01_Вводные'!$B$297),0,('06_Сеть_и_дети'!B68-'06_Сеть_и_дети'!B96)*IF('01_Вводные'!$B$239="Да",MeanMinAge16+'19_Расчет_аналитики'!B3596*SUMIF(ThresholdAge16,"&lt;"&amp;'19_Расчет_аналитики'!B3596,WeightedRevAge16)-SUMIF(ThresholdAge16,"&lt;"&amp;'19_Расчет_аналитики'!B3596,WeightedMinAge16),MAX(CapacityAge16*'01_Вводные'!$B$218*'19_Расчет_аналитики'!B3596,MeanMinAge16))),0)</f>
        <v/>
      </c>
      <c r="C3543">
        <f>IF('01_Вводные'!$B$234="Да",IF(OR(('06_Сеть_и_дети'!C68-'06_Сеть_и_дети'!C96)=0,16&lt;='01_Вводные'!$B$297),0,('06_Сеть_и_дети'!C68-'06_Сеть_и_дети'!C96)*IF('01_Вводные'!$B$239="Да",MeanMinAge16+'19_Расчет_аналитики'!C3596*SUMIF(ThresholdAge16,"&lt;"&amp;'19_Расчет_аналитики'!C3596,WeightedRevAge16)-SUMIF(ThresholdAge16,"&lt;"&amp;'19_Расчет_аналитики'!C3596,WeightedMinAge16),MAX(CapacityAge16*'01_Вводные'!$B$218*'19_Расчет_аналитики'!C3596,MeanMinAge16))),0)</f>
        <v/>
      </c>
      <c r="D3543">
        <f>IF('01_Вводные'!$B$234="Да",IF(OR(('06_Сеть_и_дети'!D68-'06_Сеть_и_дети'!D96)=0,16&lt;='01_Вводные'!$B$297),0,('06_Сеть_и_дети'!D68-'06_Сеть_и_дети'!D96)*IF('01_Вводные'!$B$239="Да",MeanMinAge16+'19_Расчет_аналитики'!D3596*SUMIF(ThresholdAge16,"&lt;"&amp;'19_Расчет_аналитики'!D3596,WeightedRevAge16)-SUMIF(ThresholdAge16,"&lt;"&amp;'19_Расчет_аналитики'!D3596,WeightedMinAge16),MAX(CapacityAge16*'01_Вводные'!$B$218*'19_Расчет_аналитики'!D3596,MeanMinAge16))),0)</f>
        <v/>
      </c>
      <c r="E3543">
        <f>IF('01_Вводные'!$B$234="Да",IF(OR(('06_Сеть_и_дети'!E68-'06_Сеть_и_дети'!E96)=0,16&lt;='01_Вводные'!$B$297),0,('06_Сеть_и_дети'!E68-'06_Сеть_и_дети'!E96)*IF('01_Вводные'!$B$239="Да",MeanMinAge16+'19_Расчет_аналитики'!E3596*SUMIF(ThresholdAge16,"&lt;"&amp;'19_Расчет_аналитики'!E3596,WeightedRevAge16)-SUMIF(ThresholdAge16,"&lt;"&amp;'19_Расчет_аналитики'!E3596,WeightedMinAge16),MAX(CapacityAge16*'01_Вводные'!$B$218*'19_Расчет_аналитики'!E3596,MeanMinAge16))),0)</f>
        <v/>
      </c>
      <c r="F3543">
        <f>IF('01_Вводные'!$B$234="Да",IF(OR(('06_Сеть_и_дети'!F68-'06_Сеть_и_дети'!F96)=0,16&lt;='01_Вводные'!$B$297),0,('06_Сеть_и_дети'!F68-'06_Сеть_и_дети'!F96)*IF('01_Вводные'!$B$239="Да",MeanMinAge16+'19_Расчет_аналитики'!F3596*SUMIF(ThresholdAge16,"&lt;"&amp;'19_Расчет_аналитики'!F3596,WeightedRevAge16)-SUMIF(ThresholdAge16,"&lt;"&amp;'19_Расчет_аналитики'!F3596,WeightedMinAge16),MAX(CapacityAge16*'01_Вводные'!$B$218*'19_Расчет_аналитики'!F3596,MeanMinAge16))),0)</f>
        <v/>
      </c>
      <c r="G3543">
        <f>IF('01_Вводные'!$B$234="Да",IF(OR(('06_Сеть_и_дети'!G68-'06_Сеть_и_дети'!G96)=0,16&lt;='01_Вводные'!$B$297),0,('06_Сеть_и_дети'!G68-'06_Сеть_и_дети'!G96)*IF('01_Вводные'!$B$239="Да",MeanMinAge16+'19_Расчет_аналитики'!G3596*SUMIF(ThresholdAge16,"&lt;"&amp;'19_Расчет_аналитики'!G3596,WeightedRevAge16)-SUMIF(ThresholdAge16,"&lt;"&amp;'19_Расчет_аналитики'!G3596,WeightedMinAge16),MAX(CapacityAge16*'01_Вводные'!$B$218*'19_Расчет_аналитики'!G3596,MeanMinAge16))),0)</f>
        <v/>
      </c>
      <c r="H3543">
        <f>IF('01_Вводные'!$B$234="Да",IF(OR(('06_Сеть_и_дети'!H68-'06_Сеть_и_дети'!H96)=0,16&lt;='01_Вводные'!$B$297),0,('06_Сеть_и_дети'!H68-'06_Сеть_и_дети'!H96)*IF('01_Вводные'!$B$239="Да",MeanMinAge16+'19_Расчет_аналитики'!H3596*SUMIF(ThresholdAge16,"&lt;"&amp;'19_Расчет_аналитики'!H3596,WeightedRevAge16)-SUMIF(ThresholdAge16,"&lt;"&amp;'19_Расчет_аналитики'!H3596,WeightedMinAge16),MAX(CapacityAge16*'01_Вводные'!$B$218*'19_Расчет_аналитики'!H3596,MeanMinAge16))),0)</f>
        <v/>
      </c>
      <c r="I3543">
        <f>IF('01_Вводные'!$B$234="Да",IF(OR(('06_Сеть_и_дети'!I68-'06_Сеть_и_дети'!I96)=0,16&lt;='01_Вводные'!$B$297),0,('06_Сеть_и_дети'!I68-'06_Сеть_и_дети'!I96)*IF('01_Вводные'!$B$239="Да",MeanMinAge16+'19_Расчет_аналитики'!I3596*SUMIF(ThresholdAge16,"&lt;"&amp;'19_Расчет_аналитики'!I3596,WeightedRevAge16)-SUMIF(ThresholdAge16,"&lt;"&amp;'19_Расчет_аналитики'!I3596,WeightedMinAge16),MAX(CapacityAge16*'01_Вводные'!$B$218*'19_Расчет_аналитики'!I3596,MeanMinAge16))),0)</f>
        <v/>
      </c>
      <c r="J3543">
        <f>IF('01_Вводные'!$B$234="Да",IF(OR(('06_Сеть_и_дети'!J68-'06_Сеть_и_дети'!J96)=0,16&lt;='01_Вводные'!$B$297),0,('06_Сеть_и_дети'!J68-'06_Сеть_и_дети'!J96)*IF('01_Вводные'!$B$239="Да",MeanMinAge16+'19_Расчет_аналитики'!J3596*SUMIF(ThresholdAge16,"&lt;"&amp;'19_Расчет_аналитики'!J3596,WeightedRevAge16)-SUMIF(ThresholdAge16,"&lt;"&amp;'19_Расчет_аналитики'!J3596,WeightedMinAge16),MAX(CapacityAge16*'01_Вводные'!$B$218*'19_Расчет_аналитики'!J3596,MeanMinAge16))),0)</f>
        <v/>
      </c>
      <c r="K3543">
        <f>IF('01_Вводные'!$B$234="Да",IF(OR(('06_Сеть_и_дети'!K68-'06_Сеть_и_дети'!K96)=0,16&lt;='01_Вводные'!$B$297),0,('06_Сеть_и_дети'!K68-'06_Сеть_и_дети'!K96)*IF('01_Вводные'!$B$239="Да",MeanMinAge16+'19_Расчет_аналитики'!K3596*SUMIF(ThresholdAge16,"&lt;"&amp;'19_Расчет_аналитики'!K3596,WeightedRevAge16)-SUMIF(ThresholdAge16,"&lt;"&amp;'19_Расчет_аналитики'!K3596,WeightedMinAge16),MAX(CapacityAge16*'01_Вводные'!$B$218*'19_Расчет_аналитики'!K3596,MeanMinAge16))),0)</f>
        <v/>
      </c>
      <c r="L3543">
        <f>IF('01_Вводные'!$B$234="Да",IF(OR(('06_Сеть_и_дети'!L68-'06_Сеть_и_дети'!L96)=0,16&lt;='01_Вводные'!$B$297),0,('06_Сеть_и_дети'!L68-'06_Сеть_и_дети'!L96)*IF('01_Вводные'!$B$239="Да",MeanMinAge16+'19_Расчет_аналитики'!L3596*SUMIF(ThresholdAge16,"&lt;"&amp;'19_Расчет_аналитики'!L3596,WeightedRevAge16)-SUMIF(ThresholdAge16,"&lt;"&amp;'19_Расчет_аналитики'!L3596,WeightedMinAge16),MAX(CapacityAge16*'01_Вводные'!$B$218*'19_Расчет_аналитики'!L3596,MeanMinAge16))),0)</f>
        <v/>
      </c>
      <c r="M3543">
        <f>IF('01_Вводные'!$B$234="Да",IF(OR(('06_Сеть_и_дети'!M68-'06_Сеть_и_дети'!M96)=0,16&lt;='01_Вводные'!$B$297),0,('06_Сеть_и_дети'!M68-'06_Сеть_и_дети'!M96)*IF('01_Вводные'!$B$239="Да",MeanMinAge16+'19_Расчет_аналитики'!M3596*SUMIF(ThresholdAge16,"&lt;"&amp;'19_Расчет_аналитики'!M3596,WeightedRevAge16)-SUMIF(ThresholdAge16,"&lt;"&amp;'19_Расчет_аналитики'!M3596,WeightedMinAge16),MAX(CapacityAge16*'01_Вводные'!$B$218*'19_Расчет_аналитики'!M3596,MeanMinAge16))),0)</f>
        <v/>
      </c>
      <c r="N3543">
        <f>IF('01_Вводные'!$B$234="Да",IF(OR(('06_Сеть_и_дети'!N68-'06_Сеть_и_дети'!N96)=0,16&lt;='01_Вводные'!$B$297),0,('06_Сеть_и_дети'!N68-'06_Сеть_и_дети'!N96)*IF('01_Вводные'!$B$239="Да",MeanMinAge16+'19_Расчет_аналитики'!N3596*SUMIF(ThresholdAge16,"&lt;"&amp;'19_Расчет_аналитики'!N3596,WeightedRevAge16)-SUMIF(ThresholdAge16,"&lt;"&amp;'19_Расчет_аналитики'!N3596,WeightedMinAge16),MAX(CapacityAge16*'01_Вводные'!$B$218*'19_Расчет_аналитики'!N3596,MeanMinAge16))),0)</f>
        <v/>
      </c>
      <c r="O3543">
        <f>IF('01_Вводные'!$B$234="Да",IF(OR(('06_Сеть_и_дети'!O68-'06_Сеть_и_дети'!O96)=0,16&lt;='01_Вводные'!$B$297),0,('06_Сеть_и_дети'!O68-'06_Сеть_и_дети'!O96)*IF('01_Вводные'!$B$239="Да",MeanMinAge16+'19_Расчет_аналитики'!O3596*SUMIF(ThresholdAge16,"&lt;"&amp;'19_Расчет_аналитики'!O3596,WeightedRevAge16)-SUMIF(ThresholdAge16,"&lt;"&amp;'19_Расчет_аналитики'!O3596,WeightedMinAge16),MAX(CapacityAge16*'01_Вводные'!$B$218*'19_Расчет_аналитики'!O3596,MeanMinAge16))),0)</f>
        <v/>
      </c>
      <c r="P3543">
        <f>IF('01_Вводные'!$B$234="Да",IF(OR(('06_Сеть_и_дети'!P68-'06_Сеть_и_дети'!P96)=0,16&lt;='01_Вводные'!$B$297),0,('06_Сеть_и_дети'!P68-'06_Сеть_и_дети'!P96)*IF('01_Вводные'!$B$239="Да",MeanMinAge16+'19_Расчет_аналитики'!P3596*SUMIF(ThresholdAge16,"&lt;"&amp;'19_Расчет_аналитики'!P3596,WeightedRevAge16)-SUMIF(ThresholdAge16,"&lt;"&amp;'19_Расчет_аналитики'!P3596,WeightedMinAge16),MAX(CapacityAge16*'01_Вводные'!$B$218*'19_Расчет_аналитики'!P3596,MeanMinAge16))),0)</f>
        <v/>
      </c>
      <c r="Q3543">
        <f>IF('01_Вводные'!$B$234="Да",IF(OR(('19_Расчет_аналитики'!Q3459-'19_Расчет_аналитики'!Q3487)=0,16&lt;='01_Вводные'!$B$297),0,('19_Расчет_аналитики'!Q3459-'19_Расчет_аналитики'!Q3487)*IF('01_Вводные'!$B$239="Да",MeanMinAge16+'19_Расчет_аналитики'!Q3596*SUMIF(ThresholdAge16,"&lt;"&amp;'19_Расчет_аналитики'!Q3596,WeightedRevAge16)-SUMIF(ThresholdAge16,"&lt;"&amp;'19_Расчет_аналитики'!Q3596,WeightedMinAge16),MAX(CapacityAge16*'01_Вводные'!$B$218*'19_Расчет_аналитики'!Q3596,MeanMinAge16))),0)</f>
        <v/>
      </c>
      <c r="R3543">
        <f>IF('01_Вводные'!$B$234="Да",IF(OR(('19_Расчет_аналитики'!R3459-'19_Расчет_аналитики'!R3487)=0,16&lt;='01_Вводные'!$B$297),0,('19_Расчет_аналитики'!R3459-'19_Расчет_аналитики'!R3487)*IF('01_Вводные'!$B$239="Да",MeanMinAge16+'19_Расчет_аналитики'!R3596*SUMIF(ThresholdAge16,"&lt;"&amp;'19_Расчет_аналитики'!R3596,WeightedRevAge16)-SUMIF(ThresholdAge16,"&lt;"&amp;'19_Расчет_аналитики'!R3596,WeightedMinAge16),MAX(CapacityAge16*'01_Вводные'!$B$218*'19_Расчет_аналитики'!R3596,MeanMinAge16))),0)</f>
        <v/>
      </c>
      <c r="S3543">
        <f>IF('01_Вводные'!$B$234="Да",IF(OR(('19_Расчет_аналитики'!S3459-'19_Расчет_аналитики'!S3487)=0,16&lt;='01_Вводные'!$B$297),0,('19_Расчет_аналитики'!S3459-'19_Расчет_аналитики'!S3487)*IF('01_Вводные'!$B$239="Да",MeanMinAge16+'19_Расчет_аналитики'!S3596*SUMIF(ThresholdAge16,"&lt;"&amp;'19_Расчет_аналитики'!S3596,WeightedRevAge16)-SUMIF(ThresholdAge16,"&lt;"&amp;'19_Расчет_аналитики'!S3596,WeightedMinAge16),MAX(CapacityAge16*'01_Вводные'!$B$218*'19_Расчет_аналитики'!S3596,MeanMinAge16))),0)</f>
        <v/>
      </c>
      <c r="T3543">
        <f>IF('01_Вводные'!$B$234="Да",IF(OR(('19_Расчет_аналитики'!T3459-'19_Расчет_аналитики'!T3487)=0,16&lt;='01_Вводные'!$B$297),0,('19_Расчет_аналитики'!T3459-'19_Расчет_аналитики'!T3487)*IF('01_Вводные'!$B$239="Да",MeanMinAge16+'19_Расчет_аналитики'!T3596*SUMIF(ThresholdAge16,"&lt;"&amp;'19_Расчет_аналитики'!T3596,WeightedRevAge16)-SUMIF(ThresholdAge16,"&lt;"&amp;'19_Расчет_аналитики'!T3596,WeightedMinAge16),MAX(CapacityAge16*'01_Вводные'!$B$218*'19_Расчет_аналитики'!T3596,MeanMinAge16))),0)</f>
        <v/>
      </c>
      <c r="U3543">
        <f>IF('01_Вводные'!$B$234="Да",IF(OR(('19_Расчет_аналитики'!U3459-'19_Расчет_аналитики'!U3487)=0,16&lt;='01_Вводные'!$B$297),0,('19_Расчет_аналитики'!U3459-'19_Расчет_аналитики'!U3487)*IF('01_Вводные'!$B$239="Да",MeanMinAge16+'19_Расчет_аналитики'!U3596*SUMIF(ThresholdAge16,"&lt;"&amp;'19_Расчет_аналитики'!U3596,WeightedRevAge16)-SUMIF(ThresholdAge16,"&lt;"&amp;'19_Расчет_аналитики'!U3596,WeightedMinAge16),MAX(CapacityAge16*'01_Вводные'!$B$218*'19_Расчет_аналитики'!U3596,MeanMinAge16))),0)</f>
        <v/>
      </c>
      <c r="V3543">
        <f>IF('01_Вводные'!$B$234="Да",IF(OR(('19_Расчет_аналитики'!V3459-'19_Расчет_аналитики'!V3487)=0,16&lt;='01_Вводные'!$B$297),0,('19_Расчет_аналитики'!V3459-'19_Расчет_аналитики'!V3487)*IF('01_Вводные'!$B$239="Да",MeanMinAge16+'19_Расчет_аналитики'!V3596*SUMIF(ThresholdAge16,"&lt;"&amp;'19_Расчет_аналитики'!V3596,WeightedRevAge16)-SUMIF(ThresholdAge16,"&lt;"&amp;'19_Расчет_аналитики'!V3596,WeightedMinAge16),MAX(CapacityAge16*'01_Вводные'!$B$218*'19_Расчет_аналитики'!V3596,MeanMinAge16))),0)</f>
        <v/>
      </c>
      <c r="W3543">
        <f>IF('01_Вводные'!$B$234="Да",IF(OR(('19_Расчет_аналитики'!W3459-'19_Расчет_аналитики'!W3487)=0,16&lt;='01_Вводные'!$B$297),0,('19_Расчет_аналитики'!W3459-'19_Расчет_аналитики'!W3487)*IF('01_Вводные'!$B$239="Да",MeanMinAge16+'19_Расчет_аналитики'!W3596*SUMIF(ThresholdAge16,"&lt;"&amp;'19_Расчет_аналитики'!W3596,WeightedRevAge16)-SUMIF(ThresholdAge16,"&lt;"&amp;'19_Расчет_аналитики'!W3596,WeightedMinAge16),MAX(CapacityAge16*'01_Вводные'!$B$218*'19_Расчет_аналитики'!W3596,MeanMinAge16))),0)</f>
        <v/>
      </c>
      <c r="X3543">
        <f>IF('01_Вводные'!$B$234="Да",IF(OR(('19_Расчет_аналитики'!X3459-'19_Расчет_аналитики'!X3487)=0,16&lt;='01_Вводные'!$B$297),0,('19_Расчет_аналитики'!X3459-'19_Расчет_аналитики'!X3487)*IF('01_Вводные'!$B$239="Да",MeanMinAge16+'19_Расчет_аналитики'!X3596*SUMIF(ThresholdAge16,"&lt;"&amp;'19_Расчет_аналитики'!X3596,WeightedRevAge16)-SUMIF(ThresholdAge16,"&lt;"&amp;'19_Расчет_аналитики'!X3596,WeightedMinAge16),MAX(CapacityAge16*'01_Вводные'!$B$218*'19_Расчет_аналитики'!X3596,MeanMinAge16))),0)</f>
        <v/>
      </c>
      <c r="Y3543">
        <f>IF('01_Вводные'!$B$234="Да",IF(OR(('19_Расчет_аналитики'!Y3459-'19_Расчет_аналитики'!Y3487)=0,16&lt;='01_Вводные'!$B$297),0,('19_Расчет_аналитики'!Y3459-'19_Расчет_аналитики'!Y3487)*IF('01_Вводные'!$B$239="Да",MeanMinAge16+'19_Расчет_аналитики'!Y3596*SUMIF(ThresholdAge16,"&lt;"&amp;'19_Расчет_аналитики'!Y3596,WeightedRevAge16)-SUMIF(ThresholdAge16,"&lt;"&amp;'19_Расчет_аналитики'!Y3596,WeightedMinAge16),MAX(CapacityAge16*'01_Вводные'!$B$218*'19_Расчет_аналитики'!Y3596,MeanMinAge16))),0)</f>
        <v/>
      </c>
      <c r="Z3543">
        <f>IF('01_Вводные'!$B$234="Да",IF(OR(('19_Расчет_аналитики'!Z3459-'19_Расчет_аналитики'!Z3487)=0,16&lt;='01_Вводные'!$B$297),0,('19_Расчет_аналитики'!Z3459-'19_Расчет_аналитики'!Z3487)*IF('01_Вводные'!$B$239="Да",MeanMinAge16+'19_Расчет_аналитики'!Z3596*SUMIF(ThresholdAge16,"&lt;"&amp;'19_Расчет_аналитики'!Z3596,WeightedRevAge16)-SUMIF(ThresholdAge16,"&lt;"&amp;'19_Расчет_аналитики'!Z3596,WeightedMinAge16),MAX(CapacityAge16*'01_Вводные'!$B$218*'19_Расчет_аналитики'!Z3596,MeanMinAge16))),0)</f>
        <v/>
      </c>
      <c r="AA3543">
        <f>IF('01_Вводные'!$B$234="Да",IF(OR(('19_Расчет_аналитики'!AA3459-'19_Расчет_аналитики'!AA3487)=0,16&lt;='01_Вводные'!$B$297),0,('19_Расчет_аналитики'!AA3459-'19_Расчет_аналитики'!AA3487)*IF('01_Вводные'!$B$239="Да",MeanMinAge16+'19_Расчет_аналитики'!AA3596*SUMIF(ThresholdAge16,"&lt;"&amp;'19_Расчет_аналитики'!AA3596,WeightedRevAge16)-SUMIF(ThresholdAge16,"&lt;"&amp;'19_Расчет_аналитики'!AA3596,WeightedMinAge16),MAX(CapacityAge16*'01_Вводные'!$B$218*'19_Расчет_аналитики'!AA3596,MeanMinAge16))),0)</f>
        <v/>
      </c>
      <c r="AB3543">
        <f>IF('01_Вводные'!$B$234="Да",IF(OR(('19_Расчет_аналитики'!AB3459-'19_Расчет_аналитики'!AB3487)=0,16&lt;='01_Вводные'!$B$297),0,('19_Расчет_аналитики'!AB3459-'19_Расчет_аналитики'!AB3487)*IF('01_Вводные'!$B$239="Да",MeanMinAge16+'19_Расчет_аналитики'!AB3596*SUMIF(ThresholdAge16,"&lt;"&amp;'19_Расчет_аналитики'!AB3596,WeightedRevAge16)-SUMIF(ThresholdAge16,"&lt;"&amp;'19_Расчет_аналитики'!AB3596,WeightedMinAge16),MAX(CapacityAge16*'01_Вводные'!$B$218*'19_Расчет_аналитики'!AB3596,MeanMinAge16))),0)</f>
        <v/>
      </c>
      <c r="AC3543">
        <f>IF('01_Вводные'!$B$234="Да",IF(OR(('19_Расчет_аналитики'!AC3459-'19_Расчет_аналитики'!AC3487)=0,16&lt;='01_Вводные'!$B$297),0,('19_Расчет_аналитики'!AC3459-'19_Расчет_аналитики'!AC3487)*IF('01_Вводные'!$B$239="Да",MeanMinAge16+'19_Расчет_аналитики'!AC3596*SUMIF(ThresholdAge16,"&lt;"&amp;'19_Расчет_аналитики'!AC3596,WeightedRevAge16)-SUMIF(ThresholdAge16,"&lt;"&amp;'19_Расчет_аналитики'!AC3596,WeightedMinAge16),MAX(CapacityAge16*'01_Вводные'!$B$218*'19_Расчет_аналитики'!AC3596,MeanMinAge16))),0)</f>
        <v/>
      </c>
      <c r="AD3543">
        <f>IF('01_Вводные'!$B$234="Да",IF(OR(('19_Расчет_аналитики'!AD3459-'19_Расчет_аналитики'!AD3487)=0,16&lt;='01_Вводные'!$B$297),0,('19_Расчет_аналитики'!AD3459-'19_Расчет_аналитики'!AD3487)*IF('01_Вводные'!$B$239="Да",MeanMinAge16+'19_Расчет_аналитики'!AD3596*SUMIF(ThresholdAge16,"&lt;"&amp;'19_Расчет_аналитики'!AD3596,WeightedRevAge16)-SUMIF(ThresholdAge16,"&lt;"&amp;'19_Расчет_аналитики'!AD3596,WeightedMinAge16),MAX(CapacityAge16*'01_Вводные'!$B$218*'19_Расчет_аналитики'!AD3596,MeanMinAge16))),0)</f>
        <v/>
      </c>
      <c r="AE3543">
        <f>IF('01_Вводные'!$B$234="Да",IF(OR(('19_Расчет_аналитики'!AE3459-'19_Расчет_аналитики'!AE3487)=0,16&lt;='01_Вводные'!$B$297),0,('19_Расчет_аналитики'!AE3459-'19_Расчет_аналитики'!AE3487)*IF('01_Вводные'!$B$239="Да",MeanMinAge16+'19_Расчет_аналитики'!AE3596*SUMIF(ThresholdAge16,"&lt;"&amp;'19_Расчет_аналитики'!AE3596,WeightedRevAge16)-SUMIF(ThresholdAge16,"&lt;"&amp;'19_Расчет_аналитики'!AE3596,WeightedMinAge16),MAX(CapacityAge16*'01_Вводные'!$B$218*'19_Расчет_аналитики'!AE3596,MeanMinAge16))),0)</f>
        <v/>
      </c>
      <c r="AF3543">
        <f>IF('01_Вводные'!$B$234="Да",IF(OR(('19_Расчет_аналитики'!AF3459-'19_Расчет_аналитики'!AF3487)=0,16&lt;='01_Вводные'!$B$297),0,('19_Расчет_аналитики'!AF3459-'19_Расчет_аналитики'!AF3487)*IF('01_Вводные'!$B$239="Да",MeanMinAge16+'19_Расчет_аналитики'!AF3596*SUMIF(ThresholdAge16,"&lt;"&amp;'19_Расчет_аналитики'!AF3596,WeightedRevAge16)-SUMIF(ThresholdAge16,"&lt;"&amp;'19_Расчет_аналитики'!AF3596,WeightedMinAge16),MAX(CapacityAge16*'01_Вводные'!$B$218*'19_Расчет_аналитики'!AF3596,MeanMinAge16))),0)</f>
        <v/>
      </c>
      <c r="AG3543">
        <f>IF('01_Вводные'!$B$234="Да",IF(OR(('19_Расчет_аналитики'!AG3459-'19_Расчет_аналитики'!AG3487)=0,16&lt;='01_Вводные'!$B$297),0,('19_Расчет_аналитики'!AG3459-'19_Расчет_аналитики'!AG3487)*IF('01_Вводные'!$B$239="Да",MeanMinAge16+'19_Расчет_аналитики'!AG3596*SUMIF(ThresholdAge16,"&lt;"&amp;'19_Расчет_аналитики'!AG3596,WeightedRevAge16)-SUMIF(ThresholdAge16,"&lt;"&amp;'19_Расчет_аналитики'!AG3596,WeightedMinAge16),MAX(CapacityAge16*'01_Вводные'!$B$218*'19_Расчет_аналитики'!AG3596,MeanMinAge16))),0)</f>
        <v/>
      </c>
      <c r="AH3543">
        <f>IF('01_Вводные'!$B$234="Да",IF(OR(('19_Расчет_аналитики'!AH3459-'19_Расчет_аналитики'!AH3487)=0,16&lt;='01_Вводные'!$B$297),0,('19_Расчет_аналитики'!AH3459-'19_Расчет_аналитики'!AH3487)*IF('01_Вводные'!$B$239="Да",MeanMinAge16+'19_Расчет_аналитики'!AH3596*SUMIF(ThresholdAge16,"&lt;"&amp;'19_Расчет_аналитики'!AH3596,WeightedRevAge16)-SUMIF(ThresholdAge16,"&lt;"&amp;'19_Расчет_аналитики'!AH3596,WeightedMinAge16),MAX(CapacityAge16*'01_Вводные'!$B$218*'19_Расчет_аналитики'!AH3596,MeanMinAge16))),0)</f>
        <v/>
      </c>
      <c r="AI3543">
        <f>IF('01_Вводные'!$B$234="Да",IF(OR(('19_Расчет_аналитики'!AI3459-'19_Расчет_аналитики'!AI3487)=0,16&lt;='01_Вводные'!$B$297),0,('19_Расчет_аналитики'!AI3459-'19_Расчет_аналитики'!AI3487)*IF('01_Вводные'!$B$239="Да",MeanMinAge16+'19_Расчет_аналитики'!AI3596*SUMIF(ThresholdAge16,"&lt;"&amp;'19_Расчет_аналитики'!AI3596,WeightedRevAge16)-SUMIF(ThresholdAge16,"&lt;"&amp;'19_Расчет_аналитики'!AI3596,WeightedMinAge16),MAX(CapacityAge16*'01_Вводные'!$B$218*'19_Расчет_аналитики'!AI3596,MeanMinAge16))),0)</f>
        <v/>
      </c>
      <c r="AJ3543">
        <f>IF('01_Вводные'!$B$234="Да",IF(OR(('19_Расчет_аналитики'!AJ3459-'19_Расчет_аналитики'!AJ3487)=0,16&lt;='01_Вводные'!$B$297),0,('19_Расчет_аналитики'!AJ3459-'19_Расчет_аналитики'!AJ3487)*IF('01_Вводные'!$B$239="Да",MeanMinAge16+'19_Расчет_аналитики'!AJ3596*SUMIF(ThresholdAge16,"&lt;"&amp;'19_Расчет_аналитики'!AJ3596,WeightedRevAge16)-SUMIF(ThresholdAge16,"&lt;"&amp;'19_Расчет_аналитики'!AJ3596,WeightedMinAge16),MAX(CapacityAge16*'01_Вводные'!$B$218*'19_Расчет_аналитики'!AJ3596,MeanMinAge16))),0)</f>
        <v/>
      </c>
      <c r="AK3543">
        <f>IF('01_Вводные'!$B$234="Да",IF(OR(('19_Расчет_аналитики'!AK3459-'19_Расчет_аналитики'!AK3487)=0,16&lt;='01_Вводные'!$B$297),0,('19_Расчет_аналитики'!AK3459-'19_Расчет_аналитики'!AK3487)*IF('01_Вводные'!$B$239="Да",MeanMinAge16+'19_Расчет_аналитики'!AK3596*SUMIF(ThresholdAge16,"&lt;"&amp;'19_Расчет_аналитики'!AK3596,WeightedRevAge16)-SUMIF(ThresholdAge16,"&lt;"&amp;'19_Расчет_аналитики'!AK3596,WeightedMinAge16),MAX(CapacityAge16*'01_Вводные'!$B$218*'19_Расчет_аналитики'!AK3596,MeanMinAge16))),0)</f>
        <v/>
      </c>
      <c r="AL3543">
        <f>IF('01_Вводные'!$B$234="Да",IF(OR(('19_Расчет_аналитики'!AL3459-'19_Расчет_аналитики'!AL3487)=0,16&lt;='01_Вводные'!$B$297),0,('19_Расчет_аналитики'!AL3459-'19_Расчет_аналитики'!AL3487)*IF('01_Вводные'!$B$239="Да",MeanMinAge16+'19_Расчет_аналитики'!AL3596*SUMIF(ThresholdAge16,"&lt;"&amp;'19_Расчет_аналитики'!AL3596,WeightedRevAge16)-SUMIF(ThresholdAge16,"&lt;"&amp;'19_Расчет_аналитики'!AL3596,WeightedMinAge16),MAX(CapacityAge16*'01_Вводные'!$B$218*'19_Расчет_аналитики'!AL3596,MeanMinAge16))),0)</f>
        <v/>
      </c>
      <c r="AM3543">
        <f>IF('01_Вводные'!$B$234="Да",IF(OR(('19_Расчет_аналитики'!AM3459-'19_Расчет_аналитики'!AM3487)=0,16&lt;='01_Вводные'!$B$297),0,('19_Расчет_аналитики'!AM3459-'19_Расчет_аналитики'!AM3487)*IF('01_Вводные'!$B$239="Да",MeanMinAge16+'19_Расчет_аналитики'!AM3596*SUMIF(ThresholdAge16,"&lt;"&amp;'19_Расчет_аналитики'!AM3596,WeightedRevAge16)-SUMIF(ThresholdAge16,"&lt;"&amp;'19_Расчет_аналитики'!AM3596,WeightedMinAge16),MAX(CapacityAge16*'01_Вводные'!$B$218*'19_Расчет_аналитики'!AM3596,MeanMinAge16))),0)</f>
        <v/>
      </c>
      <c r="AN3543">
        <f>IF('01_Вводные'!$B$234="Да",IF(OR(('19_Расчет_аналитики'!AN3459-'19_Расчет_аналитики'!AN3487)=0,16&lt;='01_Вводные'!$B$297),0,('19_Расчет_аналитики'!AN3459-'19_Расчет_аналитики'!AN3487)*IF('01_Вводные'!$B$239="Да",MeanMinAge16+'19_Расчет_аналитики'!AN3596*SUMIF(ThresholdAge16,"&lt;"&amp;'19_Расчет_аналитики'!AN3596,WeightedRevAge16)-SUMIF(ThresholdAge16,"&lt;"&amp;'19_Расчет_аналитики'!AN3596,WeightedMinAge16),MAX(CapacityAge16*'01_Вводные'!$B$218*'19_Расчет_аналитики'!AN3596,MeanMinAge16))),0)</f>
        <v/>
      </c>
      <c r="AO3543">
        <f>IF('01_Вводные'!$B$234="Да",IF(OR(('19_Расчет_аналитики'!AO3459-'19_Расчет_аналитики'!AO3487)=0,16&lt;='01_Вводные'!$B$297),0,('19_Расчет_аналитики'!AO3459-'19_Расчет_аналитики'!AO3487)*IF('01_Вводные'!$B$239="Да",MeanMinAge16+'19_Расчет_аналитики'!AO3596*SUMIF(ThresholdAge16,"&lt;"&amp;'19_Расчет_аналитики'!AO3596,WeightedRevAge16)-SUMIF(ThresholdAge16,"&lt;"&amp;'19_Расчет_аналитики'!AO3596,WeightedMinAge16),MAX(CapacityAge16*'01_Вводные'!$B$218*'19_Расчет_аналитики'!AO3596,MeanMinAge16))),0)</f>
        <v/>
      </c>
      <c r="AP3543">
        <f>IF('01_Вводные'!$B$234="Да",IF(OR(('19_Расчет_аналитики'!AP3459-'19_Расчет_аналитики'!AP3487)=0,16&lt;='01_Вводные'!$B$297),0,('19_Расчет_аналитики'!AP3459-'19_Расчет_аналитики'!AP3487)*IF('01_Вводные'!$B$239="Да",MeanMinAge16+'19_Расчет_аналитики'!AP3596*SUMIF(ThresholdAge16,"&lt;"&amp;'19_Расчет_аналитики'!AP3596,WeightedRevAge16)-SUMIF(ThresholdAge16,"&lt;"&amp;'19_Расчет_аналитики'!AP3596,WeightedMinAge16),MAX(CapacityAge16*'01_Вводные'!$B$218*'19_Расчет_аналитики'!AP3596,MeanMinAge16))),0)</f>
        <v/>
      </c>
      <c r="AQ3543">
        <f>IF('01_Вводные'!$B$234="Да",IF(OR(('19_Расчет_аналитики'!AQ3459-'19_Расчет_аналитики'!AQ3487)=0,16&lt;='01_Вводные'!$B$297),0,('19_Расчет_аналитики'!AQ3459-'19_Расчет_аналитики'!AQ3487)*IF('01_Вводные'!$B$239="Да",MeanMinAge16+'19_Расчет_аналитики'!AQ3596*SUMIF(ThresholdAge16,"&lt;"&amp;'19_Расчет_аналитики'!AQ3596,WeightedRevAge16)-SUMIF(ThresholdAge16,"&lt;"&amp;'19_Расчет_аналитики'!AQ3596,WeightedMinAge16),MAX(CapacityAge16*'01_Вводные'!$B$218*'19_Расчет_аналитики'!AQ3596,MeanMinAge16))),0)</f>
        <v/>
      </c>
      <c r="AR3543">
        <f>IF('01_Вводные'!$B$234="Да",IF(OR(('19_Расчет_аналитики'!AR3459-'19_Расчет_аналитики'!AR3487)=0,16&lt;='01_Вводные'!$B$297),0,('19_Расчет_аналитики'!AR3459-'19_Расчет_аналитики'!AR3487)*IF('01_Вводные'!$B$239="Да",MeanMinAge16+'19_Расчет_аналитики'!AR3596*SUMIF(ThresholdAge16,"&lt;"&amp;'19_Расчет_аналитики'!AR3596,WeightedRevAge16)-SUMIF(ThresholdAge16,"&lt;"&amp;'19_Расчет_аналитики'!AR3596,WeightedMinAge16),MAX(CapacityAge16*'01_Вводные'!$B$218*'19_Расчет_аналитики'!AR3596,MeanMinAge16))),0)</f>
        <v/>
      </c>
      <c r="AS3543">
        <f>IF('01_Вводные'!$B$234="Да",IF(OR(('19_Расчет_аналитики'!AS3459-'19_Расчет_аналитики'!AS3487)=0,16&lt;='01_Вводные'!$B$297),0,('19_Расчет_аналитики'!AS3459-'19_Расчет_аналитики'!AS3487)*IF('01_Вводные'!$B$239="Да",MeanMinAge16+'19_Расчет_аналитики'!AS3596*SUMIF(ThresholdAge16,"&lt;"&amp;'19_Расчет_аналитики'!AS3596,WeightedRevAge16)-SUMIF(ThresholdAge16,"&lt;"&amp;'19_Расчет_аналитики'!AS3596,WeightedMinAge16),MAX(CapacityAge16*'01_Вводные'!$B$218*'19_Расчет_аналитики'!AS3596,MeanMinAge16))),0)</f>
        <v/>
      </c>
      <c r="AT3543">
        <f>IF('01_Вводные'!$B$234="Да",IF(OR(('19_Расчет_аналитики'!AT3459-'19_Расчет_аналитики'!AT3487)=0,16&lt;='01_Вводные'!$B$297),0,('19_Расчет_аналитики'!AT3459-'19_Расчет_аналитики'!AT3487)*IF('01_Вводные'!$B$239="Да",MeanMinAge16+'19_Расчет_аналитики'!AT3596*SUMIF(ThresholdAge16,"&lt;"&amp;'19_Расчет_аналитики'!AT3596,WeightedRevAge16)-SUMIF(ThresholdAge16,"&lt;"&amp;'19_Расчет_аналитики'!AT3596,WeightedMinAge16),MAX(CapacityAge16*'01_Вводные'!$B$218*'19_Расчет_аналитики'!AT3596,MeanMinAge16))),0)</f>
        <v/>
      </c>
      <c r="AU3543">
        <f>IF('01_Вводные'!$B$234="Да",IF(OR(('19_Расчет_аналитики'!AU3459-'19_Расчет_аналитики'!AU3487)=0,16&lt;='01_Вводные'!$B$297),0,('19_Расчет_аналитики'!AU3459-'19_Расчет_аналитики'!AU3487)*IF('01_Вводные'!$B$239="Да",MeanMinAge16+'19_Расчет_аналитики'!AU3596*SUMIF(ThresholdAge16,"&lt;"&amp;'19_Расчет_аналитики'!AU3596,WeightedRevAge16)-SUMIF(ThresholdAge16,"&lt;"&amp;'19_Расчет_аналитики'!AU3596,WeightedMinAge16),MAX(CapacityAge16*'01_Вводные'!$B$218*'19_Расчет_аналитики'!AU3596,MeanMinAge16))),0)</f>
        <v/>
      </c>
      <c r="AV3543">
        <f>IF('01_Вводные'!$B$234="Да",IF(OR(('19_Расчет_аналитики'!AV3459-'19_Расчет_аналитики'!AV3487)=0,16&lt;='01_Вводные'!$B$297),0,('19_Расчет_аналитики'!AV3459-'19_Расчет_аналитики'!AV3487)*IF('01_Вводные'!$B$239="Да",MeanMinAge16+'19_Расчет_аналитики'!AV3596*SUMIF(ThresholdAge16,"&lt;"&amp;'19_Расчет_аналитики'!AV3596,WeightedRevAge16)-SUMIF(ThresholdAge16,"&lt;"&amp;'19_Расчет_аналитики'!AV3596,WeightedMinAge16),MAX(CapacityAge16*'01_Вводные'!$B$218*'19_Расчет_аналитики'!AV3596,MeanMinAge16))),0)</f>
        <v/>
      </c>
      <c r="AW3543">
        <f>IF('01_Вводные'!$B$234="Да",IF(OR(('19_Расчет_аналитики'!AW3459-'19_Расчет_аналитики'!AW3487)=0,16&lt;='01_Вводные'!$B$297),0,('19_Расчет_аналитики'!AW3459-'19_Расчет_аналитики'!AW3487)*IF('01_Вводные'!$B$239="Да",MeanMinAge16+'19_Расчет_аналитики'!AW3596*SUMIF(ThresholdAge16,"&lt;"&amp;'19_Расчет_аналитики'!AW3596,WeightedRevAge16)-SUMIF(ThresholdAge16,"&lt;"&amp;'19_Расчет_аналитики'!AW3596,WeightedMinAge16),MAX(CapacityAge16*'01_Вводные'!$B$218*'19_Расчет_аналитики'!AW3596,MeanMinAge16))),0)</f>
        <v/>
      </c>
      <c r="AX3543">
        <f>IF('01_Вводные'!$B$234="Да",IF(OR(('19_Расчет_аналитики'!AX3459-'19_Расчет_аналитики'!AX3487)=0,16&lt;='01_Вводные'!$B$297),0,('19_Расчет_аналитики'!AX3459-'19_Расчет_аналитики'!AX3487)*IF('01_Вводные'!$B$239="Да",MeanMinAge16+'19_Расчет_аналитики'!AX3596*SUMIF(ThresholdAge16,"&lt;"&amp;'19_Расчет_аналитики'!AX3596,WeightedRevAge16)-SUMIF(ThresholdAge16,"&lt;"&amp;'19_Расчет_аналитики'!AX3596,WeightedMinAge16),MAX(CapacityAge16*'01_Вводные'!$B$218*'19_Расчет_аналитики'!AX3596,MeanMinAge16))),0)</f>
        <v/>
      </c>
      <c r="AY3543">
        <f>IF('01_Вводные'!$B$234="Да",IF(OR(('19_Расчет_аналитики'!AY3459-'19_Расчет_аналитики'!AY3487)=0,16&lt;='01_Вводные'!$B$297),0,('19_Расчет_аналитики'!AY3459-'19_Расчет_аналитики'!AY3487)*IF('01_Вводные'!$B$239="Да",MeanMinAge16+'19_Расчет_аналитики'!AY3596*SUMIF(ThresholdAge16,"&lt;"&amp;'19_Расчет_аналитики'!AY3596,WeightedRevAge16)-SUMIF(ThresholdAge16,"&lt;"&amp;'19_Расчет_аналитики'!AY3596,WeightedMinAge16),MAX(CapacityAge16*'01_Вводные'!$B$218*'19_Расчет_аналитики'!AY3596,MeanMinAge16))),0)</f>
        <v/>
      </c>
      <c r="AZ3543">
        <f>IF('01_Вводные'!$B$234="Да",IF(OR(('19_Расчет_аналитики'!AZ3459-'19_Расчет_аналитики'!AZ3487)=0,16&lt;='01_Вводные'!$B$297),0,('19_Расчет_аналитики'!AZ3459-'19_Расчет_аналитики'!AZ3487)*IF('01_Вводные'!$B$239="Да",MeanMinAge16+'19_Расчет_аналитики'!AZ3596*SUMIF(ThresholdAge16,"&lt;"&amp;'19_Расчет_аналитики'!AZ3596,WeightedRevAge16)-SUMIF(ThresholdAge16,"&lt;"&amp;'19_Расчет_аналитики'!AZ3596,WeightedMinAge16),MAX(CapacityAge16*'01_Вводные'!$B$218*'19_Расчет_аналитики'!AZ3596,MeanMinAge16))),0)</f>
        <v/>
      </c>
      <c r="BA3543">
        <f>IF('01_Вводные'!$B$234="Да",IF(OR(('19_Расчет_аналитики'!BA3459-'19_Расчет_аналитики'!BA3487)=0,16&lt;='01_Вводные'!$B$297),0,('19_Расчет_аналитики'!BA3459-'19_Расчет_аналитики'!BA3487)*IF('01_Вводные'!$B$239="Да",MeanMinAge16+'19_Расчет_аналитики'!BA3596*SUMIF(ThresholdAge16,"&lt;"&amp;'19_Расчет_аналитики'!BA3596,WeightedRevAge16)-SUMIF(ThresholdAge16,"&lt;"&amp;'19_Расчет_аналитики'!BA3596,WeightedMinAge16),MAX(CapacityAge16*'01_Вводные'!$B$218*'19_Расчет_аналитики'!BA3596,MeanMinAge16))),0)</f>
        <v/>
      </c>
      <c r="BB3543">
        <f>IF('01_Вводные'!$B$234="Да",IF(OR(('19_Расчет_аналитики'!BB3459-'19_Расчет_аналитики'!BB3487)=0,16&lt;='01_Вводные'!$B$297),0,('19_Расчет_аналитики'!BB3459-'19_Расчет_аналитики'!BB3487)*IF('01_Вводные'!$B$239="Да",MeanMinAge16+'19_Расчет_аналитики'!BB3596*SUMIF(ThresholdAge16,"&lt;"&amp;'19_Расчет_аналитики'!BB3596,WeightedRevAge16)-SUMIF(ThresholdAge16,"&lt;"&amp;'19_Расчет_аналитики'!BB3596,WeightedMinAge16),MAX(CapacityAge16*'01_Вводные'!$B$218*'19_Расчет_аналитики'!BB3596,MeanMinAge16))),0)</f>
        <v/>
      </c>
      <c r="BC3543">
        <f>IF('01_Вводные'!$B$234="Да",IF(OR(('19_Расчет_аналитики'!BC3459-'19_Расчет_аналитики'!BC3487)=0,16&lt;='01_Вводные'!$B$297),0,('19_Расчет_аналитики'!BC3459-'19_Расчет_аналитики'!BC3487)*IF('01_Вводные'!$B$239="Да",MeanMinAge16+'19_Расчет_аналитики'!BC3596*SUMIF(ThresholdAge16,"&lt;"&amp;'19_Расчет_аналитики'!BC3596,WeightedRevAge16)-SUMIF(ThresholdAge16,"&lt;"&amp;'19_Расчет_аналитики'!BC3596,WeightedMinAge16),MAX(CapacityAge16*'01_Вводные'!$B$218*'19_Расчет_аналитики'!BC3596,MeanMinAge16))),0)</f>
        <v/>
      </c>
      <c r="BD3543">
        <f>IF('01_Вводные'!$B$234="Да",IF(OR(('19_Расчет_аналитики'!BD3459-'19_Расчет_аналитики'!BD3487)=0,16&lt;='01_Вводные'!$B$297),0,('19_Расчет_аналитики'!BD3459-'19_Расчет_аналитики'!BD3487)*IF('01_Вводные'!$B$239="Да",MeanMinAge16+'19_Расчет_аналитики'!BD3596*SUMIF(ThresholdAge16,"&lt;"&amp;'19_Расчет_аналитики'!BD3596,WeightedRevAge16)-SUMIF(ThresholdAge16,"&lt;"&amp;'19_Расчет_аналитики'!BD3596,WeightedMinAge16),MAX(CapacityAge16*'01_Вводные'!$B$218*'19_Расчет_аналитики'!BD3596,MeanMinAge16))),0)</f>
        <v/>
      </c>
      <c r="BE3543">
        <f>IF('01_Вводные'!$B$234="Да",IF(OR(('19_Расчет_аналитики'!BE3459-'19_Расчет_аналитики'!BE3487)=0,16&lt;='01_Вводные'!$B$297),0,('19_Расчет_аналитики'!BE3459-'19_Расчет_аналитики'!BE3487)*IF('01_Вводные'!$B$239="Да",MeanMinAge16+'19_Расчет_аналитики'!BE3596*SUMIF(ThresholdAge16,"&lt;"&amp;'19_Расчет_аналитики'!BE3596,WeightedRevAge16)-SUMIF(ThresholdAge16,"&lt;"&amp;'19_Расчет_аналитики'!BE3596,WeightedMinAge16),MAX(CapacityAge16*'01_Вводные'!$B$218*'19_Расчет_аналитики'!BE3596,MeanMinAge16))),0)</f>
        <v/>
      </c>
      <c r="BF3543">
        <f>IF('01_Вводные'!$B$234="Да",IF(OR(('19_Расчет_аналитики'!BF3459-'19_Расчет_аналитики'!BF3487)=0,16&lt;='01_Вводные'!$B$297),0,('19_Расчет_аналитики'!BF3459-'19_Расчет_аналитики'!BF3487)*IF('01_Вводные'!$B$239="Да",MeanMinAge16+'19_Расчет_аналитики'!BF3596*SUMIF(ThresholdAge16,"&lt;"&amp;'19_Расчет_аналитики'!BF3596,WeightedRevAge16)-SUMIF(ThresholdAge16,"&lt;"&amp;'19_Расчет_аналитики'!BF3596,WeightedMinAge16),MAX(CapacityAge16*'01_Вводные'!$B$218*'19_Расчет_аналитики'!BF3596,MeanMinAge16))),0)</f>
        <v/>
      </c>
      <c r="BG3543">
        <f>IF('01_Вводные'!$B$234="Да",IF(OR(('19_Расчет_аналитики'!BG3459-'19_Расчет_аналитики'!BG3487)=0,16&lt;='01_Вводные'!$B$297),0,('19_Расчет_аналитики'!BG3459-'19_Расчет_аналитики'!BG3487)*IF('01_Вводные'!$B$239="Да",MeanMinAge16+'19_Расчет_аналитики'!BG3596*SUMIF(ThresholdAge16,"&lt;"&amp;'19_Расчет_аналитики'!BG3596,WeightedRevAge16)-SUMIF(ThresholdAge16,"&lt;"&amp;'19_Расчет_аналитики'!BG3596,WeightedMinAge16),MAX(CapacityAge16*'01_Вводные'!$B$218*'19_Расчет_аналитики'!BG3596,MeanMinAge16))),0)</f>
        <v/>
      </c>
      <c r="BH3543">
        <f>IF('01_Вводные'!$B$234="Да",IF(OR(('19_Расчет_аналитики'!BH3459-'19_Расчет_аналитики'!BH3487)=0,16&lt;='01_Вводные'!$B$297),0,('19_Расчет_аналитики'!BH3459-'19_Расчет_аналитики'!BH3487)*IF('01_Вводные'!$B$239="Да",MeanMinAge16+'19_Расчет_аналитики'!BH3596*SUMIF(ThresholdAge16,"&lt;"&amp;'19_Расчет_аналитики'!BH3596,WeightedRevAge16)-SUMIF(ThresholdAge16,"&lt;"&amp;'19_Расчет_аналитики'!BH3596,WeightedMinAge16),MAX(CapacityAge16*'01_Вводные'!$B$218*'19_Расчет_аналитики'!BH3596,MeanMinAge16))),0)</f>
        <v/>
      </c>
      <c r="BI3543">
        <f>IF('01_Вводные'!$B$234="Да",IF(OR(('19_Расчет_аналитики'!BI3459-'19_Расчет_аналитики'!BI3487)=0,16&lt;='01_Вводные'!$B$297),0,('19_Расчет_аналитики'!BI3459-'19_Расчет_аналитики'!BI3487)*IF('01_Вводные'!$B$239="Да",MeanMinAge16+'19_Расчет_аналитики'!BI3596*SUMIF(ThresholdAge16,"&lt;"&amp;'19_Расчет_аналитики'!BI3596,WeightedRevAge16)-SUMIF(ThresholdAge16,"&lt;"&amp;'19_Расчет_аналитики'!BI3596,WeightedMinAge16),MAX(CapacityAge16*'01_Вводные'!$B$218*'19_Расчет_аналитики'!BI3596,MeanMinAge16))),0)</f>
        <v/>
      </c>
      <c r="BJ3543">
        <f>IF('01_Вводные'!$B$234="Да",IF(OR(('19_Расчет_аналитики'!BJ3459-'19_Расчет_аналитики'!BJ3487)=0,16&lt;='01_Вводные'!$B$297),0,('19_Расчет_аналитики'!BJ3459-'19_Расчет_аналитики'!BJ3487)*IF('01_Вводные'!$B$239="Да",MeanMinAge16+'19_Расчет_аналитики'!BJ3596*SUMIF(ThresholdAge16,"&lt;"&amp;'19_Расчет_аналитики'!BJ3596,WeightedRevAge16)-SUMIF(ThresholdAge16,"&lt;"&amp;'19_Расчет_аналитики'!BJ3596,WeightedMinAge16),MAX(CapacityAge16*'01_Вводные'!$B$218*'19_Расчет_аналитики'!BJ3596,MeanMinAge16))),0)</f>
        <v/>
      </c>
      <c r="BK3543">
        <f>IF('01_Вводные'!$B$234="Да",IF(OR(('19_Расчет_аналитики'!BK3459-'19_Расчет_аналитики'!BK3487)=0,16&lt;='01_Вводные'!$B$297),0,('19_Расчет_аналитики'!BK3459-'19_Расчет_аналитики'!BK3487)*IF('01_Вводные'!$B$239="Да",MeanMinAge16+'19_Расчет_аналитики'!BK3596*SUMIF(ThresholdAge16,"&lt;"&amp;'19_Расчет_аналитики'!BK3596,WeightedRevAge16)-SUMIF(ThresholdAge16,"&lt;"&amp;'19_Расчет_аналитики'!BK3596,WeightedMinAge16),MAX(CapacityAge16*'01_Вводные'!$B$218*'19_Расчет_аналитики'!BK3596,MeanMinAge16))),0)</f>
        <v/>
      </c>
      <c r="BL3543">
        <f>IF('01_Вводные'!$B$234="Да",IF(OR(('19_Расчет_аналитики'!BL3459-'19_Расчет_аналитики'!BL3487)=0,16&lt;='01_Вводные'!$B$297),0,('19_Расчет_аналитики'!BL3459-'19_Расчет_аналитики'!BL3487)*IF('01_Вводные'!$B$239="Да",MeanMinAge16+'19_Расчет_аналитики'!BL3596*SUMIF(ThresholdAge16,"&lt;"&amp;'19_Расчет_аналитики'!BL3596,WeightedRevAge16)-SUMIF(ThresholdAge16,"&lt;"&amp;'19_Расчет_аналитики'!BL3596,WeightedMinAge16),MAX(CapacityAge16*'01_Вводные'!$B$218*'19_Расчет_аналитики'!BL3596,MeanMinAge16))),0)</f>
        <v/>
      </c>
      <c r="BM3543">
        <f>IF('01_Вводные'!$B$234="Да",IF(OR(('19_Расчет_аналитики'!BM3459-'19_Расчет_аналитики'!BM3487)=0,16&lt;='01_Вводные'!$B$297),0,('19_Расчет_аналитики'!BM3459-'19_Расчет_аналитики'!BM3487)*IF('01_Вводные'!$B$239="Да",MeanMinAge16+'19_Расчет_аналитики'!BM3596*SUMIF(ThresholdAge16,"&lt;"&amp;'19_Расчет_аналитики'!BM3596,WeightedRevAge16)-SUMIF(ThresholdAge16,"&lt;"&amp;'19_Расчет_аналитики'!BM3596,WeightedMinAge16),MAX(CapacityAge16*'01_Вводные'!$B$218*'19_Расчет_аналитики'!BM3596,MeanMinAge16))),0)</f>
        <v/>
      </c>
      <c r="BN3543">
        <f>IF('01_Вводные'!$B$234="Да",IF(OR(('19_Расчет_аналитики'!BN3459-'19_Расчет_аналитики'!BN3487)=0,16&lt;='01_Вводные'!$B$297),0,('19_Расчет_аналитики'!BN3459-'19_Расчет_аналитики'!BN3487)*IF('01_Вводные'!$B$239="Да",MeanMinAge16+'19_Расчет_аналитики'!BN3596*SUMIF(ThresholdAge16,"&lt;"&amp;'19_Расчет_аналитики'!BN3596,WeightedRevAge16)-SUMIF(ThresholdAge16,"&lt;"&amp;'19_Расчет_аналитики'!BN3596,WeightedMinAge16),MAX(CapacityAge16*'01_Вводные'!$B$218*'19_Расчет_аналитики'!BN3596,MeanMinAge16))),0)</f>
        <v/>
      </c>
      <c r="BO3543">
        <f>IF('01_Вводные'!$B$234="Да",IF(OR(('19_Расчет_аналитики'!BO3459-'19_Расчет_аналитики'!BO3487)=0,16&lt;='01_Вводные'!$B$297),0,('19_Расчет_аналитики'!BO3459-'19_Расчет_аналитики'!BO3487)*IF('01_Вводные'!$B$239="Да",MeanMinAge16+'19_Расчет_аналитики'!BO3596*SUMIF(ThresholdAge16,"&lt;"&amp;'19_Расчет_аналитики'!BO3596,WeightedRevAge16)-SUMIF(ThresholdAge16,"&lt;"&amp;'19_Расчет_аналитики'!BO3596,WeightedMinAge16),MAX(CapacityAge16*'01_Вводные'!$B$218*'19_Расчет_аналитики'!BO3596,MeanMinAge16))),0)</f>
        <v/>
      </c>
    </row>
    <row r="3544">
      <c r="B3544">
        <f>IF('01_Вводные'!$B$234="Да",IF(OR(('06_Сеть_и_дети'!B69-'06_Сеть_и_дети'!B97)=0,17&lt;='01_Вводные'!$B$297),0,('06_Сеть_и_дети'!B69-'06_Сеть_и_дети'!B97)*IF('01_Вводные'!$B$239="Да",MeanMinAge17+'19_Расчет_аналитики'!B3596*SUMIF(ThresholdAge17,"&lt;"&amp;'19_Расчет_аналитики'!B3596,WeightedRevAge17)-SUMIF(ThresholdAge17,"&lt;"&amp;'19_Расчет_аналитики'!B3596,WeightedMinAge17),MAX(CapacityAge17*'01_Вводные'!$B$218*'19_Расчет_аналитики'!B3596,MeanMinAge17))),0)</f>
        <v/>
      </c>
      <c r="C3544">
        <f>IF('01_Вводные'!$B$234="Да",IF(OR(('06_Сеть_и_дети'!C69-'06_Сеть_и_дети'!C97)=0,17&lt;='01_Вводные'!$B$297),0,('06_Сеть_и_дети'!C69-'06_Сеть_и_дети'!C97)*IF('01_Вводные'!$B$239="Да",MeanMinAge17+'19_Расчет_аналитики'!C3596*SUMIF(ThresholdAge17,"&lt;"&amp;'19_Расчет_аналитики'!C3596,WeightedRevAge17)-SUMIF(ThresholdAge17,"&lt;"&amp;'19_Расчет_аналитики'!C3596,WeightedMinAge17),MAX(CapacityAge17*'01_Вводные'!$B$218*'19_Расчет_аналитики'!C3596,MeanMinAge17))),0)</f>
        <v/>
      </c>
      <c r="D3544">
        <f>IF('01_Вводные'!$B$234="Да",IF(OR(('06_Сеть_и_дети'!D69-'06_Сеть_и_дети'!D97)=0,17&lt;='01_Вводные'!$B$297),0,('06_Сеть_и_дети'!D69-'06_Сеть_и_дети'!D97)*IF('01_Вводные'!$B$239="Да",MeanMinAge17+'19_Расчет_аналитики'!D3596*SUMIF(ThresholdAge17,"&lt;"&amp;'19_Расчет_аналитики'!D3596,WeightedRevAge17)-SUMIF(ThresholdAge17,"&lt;"&amp;'19_Расчет_аналитики'!D3596,WeightedMinAge17),MAX(CapacityAge17*'01_Вводные'!$B$218*'19_Расчет_аналитики'!D3596,MeanMinAge17))),0)</f>
        <v/>
      </c>
      <c r="E3544">
        <f>IF('01_Вводные'!$B$234="Да",IF(OR(('06_Сеть_и_дети'!E69-'06_Сеть_и_дети'!E97)=0,17&lt;='01_Вводные'!$B$297),0,('06_Сеть_и_дети'!E69-'06_Сеть_и_дети'!E97)*IF('01_Вводные'!$B$239="Да",MeanMinAge17+'19_Расчет_аналитики'!E3596*SUMIF(ThresholdAge17,"&lt;"&amp;'19_Расчет_аналитики'!E3596,WeightedRevAge17)-SUMIF(ThresholdAge17,"&lt;"&amp;'19_Расчет_аналитики'!E3596,WeightedMinAge17),MAX(CapacityAge17*'01_Вводные'!$B$218*'19_Расчет_аналитики'!E3596,MeanMinAge17))),0)</f>
        <v/>
      </c>
      <c r="F3544">
        <f>IF('01_Вводные'!$B$234="Да",IF(OR(('06_Сеть_и_дети'!F69-'06_Сеть_и_дети'!F97)=0,17&lt;='01_Вводные'!$B$297),0,('06_Сеть_и_дети'!F69-'06_Сеть_и_дети'!F97)*IF('01_Вводные'!$B$239="Да",MeanMinAge17+'19_Расчет_аналитики'!F3596*SUMIF(ThresholdAge17,"&lt;"&amp;'19_Расчет_аналитики'!F3596,WeightedRevAge17)-SUMIF(ThresholdAge17,"&lt;"&amp;'19_Расчет_аналитики'!F3596,WeightedMinAge17),MAX(CapacityAge17*'01_Вводные'!$B$218*'19_Расчет_аналитики'!F3596,MeanMinAge17))),0)</f>
        <v/>
      </c>
      <c r="G3544">
        <f>IF('01_Вводные'!$B$234="Да",IF(OR(('06_Сеть_и_дети'!G69-'06_Сеть_и_дети'!G97)=0,17&lt;='01_Вводные'!$B$297),0,('06_Сеть_и_дети'!G69-'06_Сеть_и_дети'!G97)*IF('01_Вводные'!$B$239="Да",MeanMinAge17+'19_Расчет_аналитики'!G3596*SUMIF(ThresholdAge17,"&lt;"&amp;'19_Расчет_аналитики'!G3596,WeightedRevAge17)-SUMIF(ThresholdAge17,"&lt;"&amp;'19_Расчет_аналитики'!G3596,WeightedMinAge17),MAX(CapacityAge17*'01_Вводные'!$B$218*'19_Расчет_аналитики'!G3596,MeanMinAge17))),0)</f>
        <v/>
      </c>
      <c r="H3544">
        <f>IF('01_Вводные'!$B$234="Да",IF(OR(('06_Сеть_и_дети'!H69-'06_Сеть_и_дети'!H97)=0,17&lt;='01_Вводные'!$B$297),0,('06_Сеть_и_дети'!H69-'06_Сеть_и_дети'!H97)*IF('01_Вводные'!$B$239="Да",MeanMinAge17+'19_Расчет_аналитики'!H3596*SUMIF(ThresholdAge17,"&lt;"&amp;'19_Расчет_аналитики'!H3596,WeightedRevAge17)-SUMIF(ThresholdAge17,"&lt;"&amp;'19_Расчет_аналитики'!H3596,WeightedMinAge17),MAX(CapacityAge17*'01_Вводные'!$B$218*'19_Расчет_аналитики'!H3596,MeanMinAge17))),0)</f>
        <v/>
      </c>
      <c r="I3544">
        <f>IF('01_Вводные'!$B$234="Да",IF(OR(('06_Сеть_и_дети'!I69-'06_Сеть_и_дети'!I97)=0,17&lt;='01_Вводные'!$B$297),0,('06_Сеть_и_дети'!I69-'06_Сеть_и_дети'!I97)*IF('01_Вводные'!$B$239="Да",MeanMinAge17+'19_Расчет_аналитики'!I3596*SUMIF(ThresholdAge17,"&lt;"&amp;'19_Расчет_аналитики'!I3596,WeightedRevAge17)-SUMIF(ThresholdAge17,"&lt;"&amp;'19_Расчет_аналитики'!I3596,WeightedMinAge17),MAX(CapacityAge17*'01_Вводные'!$B$218*'19_Расчет_аналитики'!I3596,MeanMinAge17))),0)</f>
        <v/>
      </c>
      <c r="J3544">
        <f>IF('01_Вводные'!$B$234="Да",IF(OR(('06_Сеть_и_дети'!J69-'06_Сеть_и_дети'!J97)=0,17&lt;='01_Вводные'!$B$297),0,('06_Сеть_и_дети'!J69-'06_Сеть_и_дети'!J97)*IF('01_Вводные'!$B$239="Да",MeanMinAge17+'19_Расчет_аналитики'!J3596*SUMIF(ThresholdAge17,"&lt;"&amp;'19_Расчет_аналитики'!J3596,WeightedRevAge17)-SUMIF(ThresholdAge17,"&lt;"&amp;'19_Расчет_аналитики'!J3596,WeightedMinAge17),MAX(CapacityAge17*'01_Вводные'!$B$218*'19_Расчет_аналитики'!J3596,MeanMinAge17))),0)</f>
        <v/>
      </c>
      <c r="K3544">
        <f>IF('01_Вводные'!$B$234="Да",IF(OR(('06_Сеть_и_дети'!K69-'06_Сеть_и_дети'!K97)=0,17&lt;='01_Вводные'!$B$297),0,('06_Сеть_и_дети'!K69-'06_Сеть_и_дети'!K97)*IF('01_Вводные'!$B$239="Да",MeanMinAge17+'19_Расчет_аналитики'!K3596*SUMIF(ThresholdAge17,"&lt;"&amp;'19_Расчет_аналитики'!K3596,WeightedRevAge17)-SUMIF(ThresholdAge17,"&lt;"&amp;'19_Расчет_аналитики'!K3596,WeightedMinAge17),MAX(CapacityAge17*'01_Вводные'!$B$218*'19_Расчет_аналитики'!K3596,MeanMinAge17))),0)</f>
        <v/>
      </c>
      <c r="L3544">
        <f>IF('01_Вводные'!$B$234="Да",IF(OR(('06_Сеть_и_дети'!L69-'06_Сеть_и_дети'!L97)=0,17&lt;='01_Вводные'!$B$297),0,('06_Сеть_и_дети'!L69-'06_Сеть_и_дети'!L97)*IF('01_Вводные'!$B$239="Да",MeanMinAge17+'19_Расчет_аналитики'!L3596*SUMIF(ThresholdAge17,"&lt;"&amp;'19_Расчет_аналитики'!L3596,WeightedRevAge17)-SUMIF(ThresholdAge17,"&lt;"&amp;'19_Расчет_аналитики'!L3596,WeightedMinAge17),MAX(CapacityAge17*'01_Вводные'!$B$218*'19_Расчет_аналитики'!L3596,MeanMinAge17))),0)</f>
        <v/>
      </c>
      <c r="M3544">
        <f>IF('01_Вводные'!$B$234="Да",IF(OR(('06_Сеть_и_дети'!M69-'06_Сеть_и_дети'!M97)=0,17&lt;='01_Вводные'!$B$297),0,('06_Сеть_и_дети'!M69-'06_Сеть_и_дети'!M97)*IF('01_Вводные'!$B$239="Да",MeanMinAge17+'19_Расчет_аналитики'!M3596*SUMIF(ThresholdAge17,"&lt;"&amp;'19_Расчет_аналитики'!M3596,WeightedRevAge17)-SUMIF(ThresholdAge17,"&lt;"&amp;'19_Расчет_аналитики'!M3596,WeightedMinAge17),MAX(CapacityAge17*'01_Вводные'!$B$218*'19_Расчет_аналитики'!M3596,MeanMinAge17))),0)</f>
        <v/>
      </c>
      <c r="N3544">
        <f>IF('01_Вводные'!$B$234="Да",IF(OR(('06_Сеть_и_дети'!N69-'06_Сеть_и_дети'!N97)=0,17&lt;='01_Вводные'!$B$297),0,('06_Сеть_и_дети'!N69-'06_Сеть_и_дети'!N97)*IF('01_Вводные'!$B$239="Да",MeanMinAge17+'19_Расчет_аналитики'!N3596*SUMIF(ThresholdAge17,"&lt;"&amp;'19_Расчет_аналитики'!N3596,WeightedRevAge17)-SUMIF(ThresholdAge17,"&lt;"&amp;'19_Расчет_аналитики'!N3596,WeightedMinAge17),MAX(CapacityAge17*'01_Вводные'!$B$218*'19_Расчет_аналитики'!N3596,MeanMinAge17))),0)</f>
        <v/>
      </c>
      <c r="O3544">
        <f>IF('01_Вводные'!$B$234="Да",IF(OR(('06_Сеть_и_дети'!O69-'06_Сеть_и_дети'!O97)=0,17&lt;='01_Вводные'!$B$297),0,('06_Сеть_и_дети'!O69-'06_Сеть_и_дети'!O97)*IF('01_Вводные'!$B$239="Да",MeanMinAge17+'19_Расчет_аналитики'!O3596*SUMIF(ThresholdAge17,"&lt;"&amp;'19_Расчет_аналитики'!O3596,WeightedRevAge17)-SUMIF(ThresholdAge17,"&lt;"&amp;'19_Расчет_аналитики'!O3596,WeightedMinAge17),MAX(CapacityAge17*'01_Вводные'!$B$218*'19_Расчет_аналитики'!O3596,MeanMinAge17))),0)</f>
        <v/>
      </c>
      <c r="P3544">
        <f>IF('01_Вводные'!$B$234="Да",IF(OR(('06_Сеть_и_дети'!P69-'06_Сеть_и_дети'!P97)=0,17&lt;='01_Вводные'!$B$297),0,('06_Сеть_и_дети'!P69-'06_Сеть_и_дети'!P97)*IF('01_Вводные'!$B$239="Да",MeanMinAge17+'19_Расчет_аналитики'!P3596*SUMIF(ThresholdAge17,"&lt;"&amp;'19_Расчет_аналитики'!P3596,WeightedRevAge17)-SUMIF(ThresholdAge17,"&lt;"&amp;'19_Расчет_аналитики'!P3596,WeightedMinAge17),MAX(CapacityAge17*'01_Вводные'!$B$218*'19_Расчет_аналитики'!P3596,MeanMinAge17))),0)</f>
        <v/>
      </c>
      <c r="Q3544">
        <f>IF('01_Вводные'!$B$234="Да",IF(OR(('06_Сеть_и_дети'!Q69-'06_Сеть_и_дети'!Q97)=0,17&lt;='01_Вводные'!$B$297),0,('06_Сеть_и_дети'!Q69-'06_Сеть_и_дети'!Q97)*IF('01_Вводные'!$B$239="Да",MeanMinAge17+'19_Расчет_аналитики'!Q3596*SUMIF(ThresholdAge17,"&lt;"&amp;'19_Расчет_аналитики'!Q3596,WeightedRevAge17)-SUMIF(ThresholdAge17,"&lt;"&amp;'19_Расчет_аналитики'!Q3596,WeightedMinAge17),MAX(CapacityAge17*'01_Вводные'!$B$218*'19_Расчет_аналитики'!Q3596,MeanMinAge17))),0)</f>
        <v/>
      </c>
      <c r="R3544">
        <f>IF('01_Вводные'!$B$234="Да",IF(OR(('19_Расчет_аналитики'!R3460-'19_Расчет_аналитики'!R3488)=0,17&lt;='01_Вводные'!$B$297),0,('19_Расчет_аналитики'!R3460-'19_Расчет_аналитики'!R3488)*IF('01_Вводные'!$B$239="Да",MeanMinAge17+'19_Расчет_аналитики'!R3596*SUMIF(ThresholdAge17,"&lt;"&amp;'19_Расчет_аналитики'!R3596,WeightedRevAge17)-SUMIF(ThresholdAge17,"&lt;"&amp;'19_Расчет_аналитики'!R3596,WeightedMinAge17),MAX(CapacityAge17*'01_Вводные'!$B$218*'19_Расчет_аналитики'!R3596,MeanMinAge17))),0)</f>
        <v/>
      </c>
      <c r="S3544">
        <f>IF('01_Вводные'!$B$234="Да",IF(OR(('19_Расчет_аналитики'!S3460-'19_Расчет_аналитики'!S3488)=0,17&lt;='01_Вводные'!$B$297),0,('19_Расчет_аналитики'!S3460-'19_Расчет_аналитики'!S3488)*IF('01_Вводные'!$B$239="Да",MeanMinAge17+'19_Расчет_аналитики'!S3596*SUMIF(ThresholdAge17,"&lt;"&amp;'19_Расчет_аналитики'!S3596,WeightedRevAge17)-SUMIF(ThresholdAge17,"&lt;"&amp;'19_Расчет_аналитики'!S3596,WeightedMinAge17),MAX(CapacityAge17*'01_Вводные'!$B$218*'19_Расчет_аналитики'!S3596,MeanMinAge17))),0)</f>
        <v/>
      </c>
      <c r="T3544">
        <f>IF('01_Вводные'!$B$234="Да",IF(OR(('19_Расчет_аналитики'!T3460-'19_Расчет_аналитики'!T3488)=0,17&lt;='01_Вводные'!$B$297),0,('19_Расчет_аналитики'!T3460-'19_Расчет_аналитики'!T3488)*IF('01_Вводные'!$B$239="Да",MeanMinAge17+'19_Расчет_аналитики'!T3596*SUMIF(ThresholdAge17,"&lt;"&amp;'19_Расчет_аналитики'!T3596,WeightedRevAge17)-SUMIF(ThresholdAge17,"&lt;"&amp;'19_Расчет_аналитики'!T3596,WeightedMinAge17),MAX(CapacityAge17*'01_Вводные'!$B$218*'19_Расчет_аналитики'!T3596,MeanMinAge17))),0)</f>
        <v/>
      </c>
      <c r="U3544">
        <f>IF('01_Вводные'!$B$234="Да",IF(OR(('19_Расчет_аналитики'!U3460-'19_Расчет_аналитики'!U3488)=0,17&lt;='01_Вводные'!$B$297),0,('19_Расчет_аналитики'!U3460-'19_Расчет_аналитики'!U3488)*IF('01_Вводные'!$B$239="Да",MeanMinAge17+'19_Расчет_аналитики'!U3596*SUMIF(ThresholdAge17,"&lt;"&amp;'19_Расчет_аналитики'!U3596,WeightedRevAge17)-SUMIF(ThresholdAge17,"&lt;"&amp;'19_Расчет_аналитики'!U3596,WeightedMinAge17),MAX(CapacityAge17*'01_Вводные'!$B$218*'19_Расчет_аналитики'!U3596,MeanMinAge17))),0)</f>
        <v/>
      </c>
      <c r="V3544">
        <f>IF('01_Вводные'!$B$234="Да",IF(OR(('19_Расчет_аналитики'!V3460-'19_Расчет_аналитики'!V3488)=0,17&lt;='01_Вводные'!$B$297),0,('19_Расчет_аналитики'!V3460-'19_Расчет_аналитики'!V3488)*IF('01_Вводные'!$B$239="Да",MeanMinAge17+'19_Расчет_аналитики'!V3596*SUMIF(ThresholdAge17,"&lt;"&amp;'19_Расчет_аналитики'!V3596,WeightedRevAge17)-SUMIF(ThresholdAge17,"&lt;"&amp;'19_Расчет_аналитики'!V3596,WeightedMinAge17),MAX(CapacityAge17*'01_Вводные'!$B$218*'19_Расчет_аналитики'!V3596,MeanMinAge17))),0)</f>
        <v/>
      </c>
      <c r="W3544">
        <f>IF('01_Вводные'!$B$234="Да",IF(OR(('19_Расчет_аналитики'!W3460-'19_Расчет_аналитики'!W3488)=0,17&lt;='01_Вводные'!$B$297),0,('19_Расчет_аналитики'!W3460-'19_Расчет_аналитики'!W3488)*IF('01_Вводные'!$B$239="Да",MeanMinAge17+'19_Расчет_аналитики'!W3596*SUMIF(ThresholdAge17,"&lt;"&amp;'19_Расчет_аналитики'!W3596,WeightedRevAge17)-SUMIF(ThresholdAge17,"&lt;"&amp;'19_Расчет_аналитики'!W3596,WeightedMinAge17),MAX(CapacityAge17*'01_Вводные'!$B$218*'19_Расчет_аналитики'!W3596,MeanMinAge17))),0)</f>
        <v/>
      </c>
      <c r="X3544">
        <f>IF('01_Вводные'!$B$234="Да",IF(OR(('19_Расчет_аналитики'!X3460-'19_Расчет_аналитики'!X3488)=0,17&lt;='01_Вводные'!$B$297),0,('19_Расчет_аналитики'!X3460-'19_Расчет_аналитики'!X3488)*IF('01_Вводные'!$B$239="Да",MeanMinAge17+'19_Расчет_аналитики'!X3596*SUMIF(ThresholdAge17,"&lt;"&amp;'19_Расчет_аналитики'!X3596,WeightedRevAge17)-SUMIF(ThresholdAge17,"&lt;"&amp;'19_Расчет_аналитики'!X3596,WeightedMinAge17),MAX(CapacityAge17*'01_Вводные'!$B$218*'19_Расчет_аналитики'!X3596,MeanMinAge17))),0)</f>
        <v/>
      </c>
      <c r="Y3544">
        <f>IF('01_Вводные'!$B$234="Да",IF(OR(('19_Расчет_аналитики'!Y3460-'19_Расчет_аналитики'!Y3488)=0,17&lt;='01_Вводные'!$B$297),0,('19_Расчет_аналитики'!Y3460-'19_Расчет_аналитики'!Y3488)*IF('01_Вводные'!$B$239="Да",MeanMinAge17+'19_Расчет_аналитики'!Y3596*SUMIF(ThresholdAge17,"&lt;"&amp;'19_Расчет_аналитики'!Y3596,WeightedRevAge17)-SUMIF(ThresholdAge17,"&lt;"&amp;'19_Расчет_аналитики'!Y3596,WeightedMinAge17),MAX(CapacityAge17*'01_Вводные'!$B$218*'19_Расчет_аналитики'!Y3596,MeanMinAge17))),0)</f>
        <v/>
      </c>
      <c r="Z3544">
        <f>IF('01_Вводные'!$B$234="Да",IF(OR(('19_Расчет_аналитики'!Z3460-'19_Расчет_аналитики'!Z3488)=0,17&lt;='01_Вводные'!$B$297),0,('19_Расчет_аналитики'!Z3460-'19_Расчет_аналитики'!Z3488)*IF('01_Вводные'!$B$239="Да",MeanMinAge17+'19_Расчет_аналитики'!Z3596*SUMIF(ThresholdAge17,"&lt;"&amp;'19_Расчет_аналитики'!Z3596,WeightedRevAge17)-SUMIF(ThresholdAge17,"&lt;"&amp;'19_Расчет_аналитики'!Z3596,WeightedMinAge17),MAX(CapacityAge17*'01_Вводные'!$B$218*'19_Расчет_аналитики'!Z3596,MeanMinAge17))),0)</f>
        <v/>
      </c>
      <c r="AA3544">
        <f>IF('01_Вводные'!$B$234="Да",IF(OR(('19_Расчет_аналитики'!AA3460-'19_Расчет_аналитики'!AA3488)=0,17&lt;='01_Вводные'!$B$297),0,('19_Расчет_аналитики'!AA3460-'19_Расчет_аналитики'!AA3488)*IF('01_Вводные'!$B$239="Да",MeanMinAge17+'19_Расчет_аналитики'!AA3596*SUMIF(ThresholdAge17,"&lt;"&amp;'19_Расчет_аналитики'!AA3596,WeightedRevAge17)-SUMIF(ThresholdAge17,"&lt;"&amp;'19_Расчет_аналитики'!AA3596,WeightedMinAge17),MAX(CapacityAge17*'01_Вводные'!$B$218*'19_Расчет_аналитики'!AA3596,MeanMinAge17))),0)</f>
        <v/>
      </c>
      <c r="AB3544">
        <f>IF('01_Вводные'!$B$234="Да",IF(OR(('19_Расчет_аналитики'!AB3460-'19_Расчет_аналитики'!AB3488)=0,17&lt;='01_Вводные'!$B$297),0,('19_Расчет_аналитики'!AB3460-'19_Расчет_аналитики'!AB3488)*IF('01_Вводные'!$B$239="Да",MeanMinAge17+'19_Расчет_аналитики'!AB3596*SUMIF(ThresholdAge17,"&lt;"&amp;'19_Расчет_аналитики'!AB3596,WeightedRevAge17)-SUMIF(ThresholdAge17,"&lt;"&amp;'19_Расчет_аналитики'!AB3596,WeightedMinAge17),MAX(CapacityAge17*'01_Вводные'!$B$218*'19_Расчет_аналитики'!AB3596,MeanMinAge17))),0)</f>
        <v/>
      </c>
      <c r="AC3544">
        <f>IF('01_Вводные'!$B$234="Да",IF(OR(('19_Расчет_аналитики'!AC3460-'19_Расчет_аналитики'!AC3488)=0,17&lt;='01_Вводные'!$B$297),0,('19_Расчет_аналитики'!AC3460-'19_Расчет_аналитики'!AC3488)*IF('01_Вводные'!$B$239="Да",MeanMinAge17+'19_Расчет_аналитики'!AC3596*SUMIF(ThresholdAge17,"&lt;"&amp;'19_Расчет_аналитики'!AC3596,WeightedRevAge17)-SUMIF(ThresholdAge17,"&lt;"&amp;'19_Расчет_аналитики'!AC3596,WeightedMinAge17),MAX(CapacityAge17*'01_Вводные'!$B$218*'19_Расчет_аналитики'!AC3596,MeanMinAge17))),0)</f>
        <v/>
      </c>
      <c r="AD3544">
        <f>IF('01_Вводные'!$B$234="Да",IF(OR(('19_Расчет_аналитики'!AD3460-'19_Расчет_аналитики'!AD3488)=0,17&lt;='01_Вводные'!$B$297),0,('19_Расчет_аналитики'!AD3460-'19_Расчет_аналитики'!AD3488)*IF('01_Вводные'!$B$239="Да",MeanMinAge17+'19_Расчет_аналитики'!AD3596*SUMIF(ThresholdAge17,"&lt;"&amp;'19_Расчет_аналитики'!AD3596,WeightedRevAge17)-SUMIF(ThresholdAge17,"&lt;"&amp;'19_Расчет_аналитики'!AD3596,WeightedMinAge17),MAX(CapacityAge17*'01_Вводные'!$B$218*'19_Расчет_аналитики'!AD3596,MeanMinAge17))),0)</f>
        <v/>
      </c>
      <c r="AE3544">
        <f>IF('01_Вводные'!$B$234="Да",IF(OR(('19_Расчет_аналитики'!AE3460-'19_Расчет_аналитики'!AE3488)=0,17&lt;='01_Вводные'!$B$297),0,('19_Расчет_аналитики'!AE3460-'19_Расчет_аналитики'!AE3488)*IF('01_Вводные'!$B$239="Да",MeanMinAge17+'19_Расчет_аналитики'!AE3596*SUMIF(ThresholdAge17,"&lt;"&amp;'19_Расчет_аналитики'!AE3596,WeightedRevAge17)-SUMIF(ThresholdAge17,"&lt;"&amp;'19_Расчет_аналитики'!AE3596,WeightedMinAge17),MAX(CapacityAge17*'01_Вводные'!$B$218*'19_Расчет_аналитики'!AE3596,MeanMinAge17))),0)</f>
        <v/>
      </c>
      <c r="AF3544">
        <f>IF('01_Вводные'!$B$234="Да",IF(OR(('19_Расчет_аналитики'!AF3460-'19_Расчет_аналитики'!AF3488)=0,17&lt;='01_Вводные'!$B$297),0,('19_Расчет_аналитики'!AF3460-'19_Расчет_аналитики'!AF3488)*IF('01_Вводные'!$B$239="Да",MeanMinAge17+'19_Расчет_аналитики'!AF3596*SUMIF(ThresholdAge17,"&lt;"&amp;'19_Расчет_аналитики'!AF3596,WeightedRevAge17)-SUMIF(ThresholdAge17,"&lt;"&amp;'19_Расчет_аналитики'!AF3596,WeightedMinAge17),MAX(CapacityAge17*'01_Вводные'!$B$218*'19_Расчет_аналитики'!AF3596,MeanMinAge17))),0)</f>
        <v/>
      </c>
      <c r="AG3544">
        <f>IF('01_Вводные'!$B$234="Да",IF(OR(('19_Расчет_аналитики'!AG3460-'19_Расчет_аналитики'!AG3488)=0,17&lt;='01_Вводные'!$B$297),0,('19_Расчет_аналитики'!AG3460-'19_Расчет_аналитики'!AG3488)*IF('01_Вводные'!$B$239="Да",MeanMinAge17+'19_Расчет_аналитики'!AG3596*SUMIF(ThresholdAge17,"&lt;"&amp;'19_Расчет_аналитики'!AG3596,WeightedRevAge17)-SUMIF(ThresholdAge17,"&lt;"&amp;'19_Расчет_аналитики'!AG3596,WeightedMinAge17),MAX(CapacityAge17*'01_Вводные'!$B$218*'19_Расчет_аналитики'!AG3596,MeanMinAge17))),0)</f>
        <v/>
      </c>
      <c r="AH3544">
        <f>IF('01_Вводные'!$B$234="Да",IF(OR(('19_Расчет_аналитики'!AH3460-'19_Расчет_аналитики'!AH3488)=0,17&lt;='01_Вводные'!$B$297),0,('19_Расчет_аналитики'!AH3460-'19_Расчет_аналитики'!AH3488)*IF('01_Вводные'!$B$239="Да",MeanMinAge17+'19_Расчет_аналитики'!AH3596*SUMIF(ThresholdAge17,"&lt;"&amp;'19_Расчет_аналитики'!AH3596,WeightedRevAge17)-SUMIF(ThresholdAge17,"&lt;"&amp;'19_Расчет_аналитики'!AH3596,WeightedMinAge17),MAX(CapacityAge17*'01_Вводные'!$B$218*'19_Расчет_аналитики'!AH3596,MeanMinAge17))),0)</f>
        <v/>
      </c>
      <c r="AI3544">
        <f>IF('01_Вводные'!$B$234="Да",IF(OR(('19_Расчет_аналитики'!AI3460-'19_Расчет_аналитики'!AI3488)=0,17&lt;='01_Вводные'!$B$297),0,('19_Расчет_аналитики'!AI3460-'19_Расчет_аналитики'!AI3488)*IF('01_Вводные'!$B$239="Да",MeanMinAge17+'19_Расчет_аналитики'!AI3596*SUMIF(ThresholdAge17,"&lt;"&amp;'19_Расчет_аналитики'!AI3596,WeightedRevAge17)-SUMIF(ThresholdAge17,"&lt;"&amp;'19_Расчет_аналитики'!AI3596,WeightedMinAge17),MAX(CapacityAge17*'01_Вводные'!$B$218*'19_Расчет_аналитики'!AI3596,MeanMinAge17))),0)</f>
        <v/>
      </c>
      <c r="AJ3544">
        <f>IF('01_Вводные'!$B$234="Да",IF(OR(('19_Расчет_аналитики'!AJ3460-'19_Расчет_аналитики'!AJ3488)=0,17&lt;='01_Вводные'!$B$297),0,('19_Расчет_аналитики'!AJ3460-'19_Расчет_аналитики'!AJ3488)*IF('01_Вводные'!$B$239="Да",MeanMinAge17+'19_Расчет_аналитики'!AJ3596*SUMIF(ThresholdAge17,"&lt;"&amp;'19_Расчет_аналитики'!AJ3596,WeightedRevAge17)-SUMIF(ThresholdAge17,"&lt;"&amp;'19_Расчет_аналитики'!AJ3596,WeightedMinAge17),MAX(CapacityAge17*'01_Вводные'!$B$218*'19_Расчет_аналитики'!AJ3596,MeanMinAge17))),0)</f>
        <v/>
      </c>
      <c r="AK3544">
        <f>IF('01_Вводные'!$B$234="Да",IF(OR(('19_Расчет_аналитики'!AK3460-'19_Расчет_аналитики'!AK3488)=0,17&lt;='01_Вводные'!$B$297),0,('19_Расчет_аналитики'!AK3460-'19_Расчет_аналитики'!AK3488)*IF('01_Вводные'!$B$239="Да",MeanMinAge17+'19_Расчет_аналитики'!AK3596*SUMIF(ThresholdAge17,"&lt;"&amp;'19_Расчет_аналитики'!AK3596,WeightedRevAge17)-SUMIF(ThresholdAge17,"&lt;"&amp;'19_Расчет_аналитики'!AK3596,WeightedMinAge17),MAX(CapacityAge17*'01_Вводные'!$B$218*'19_Расчет_аналитики'!AK3596,MeanMinAge17))),0)</f>
        <v/>
      </c>
      <c r="AL3544">
        <f>IF('01_Вводные'!$B$234="Да",IF(OR(('19_Расчет_аналитики'!AL3460-'19_Расчет_аналитики'!AL3488)=0,17&lt;='01_Вводные'!$B$297),0,('19_Расчет_аналитики'!AL3460-'19_Расчет_аналитики'!AL3488)*IF('01_Вводные'!$B$239="Да",MeanMinAge17+'19_Расчет_аналитики'!AL3596*SUMIF(ThresholdAge17,"&lt;"&amp;'19_Расчет_аналитики'!AL3596,WeightedRevAge17)-SUMIF(ThresholdAge17,"&lt;"&amp;'19_Расчет_аналитики'!AL3596,WeightedMinAge17),MAX(CapacityAge17*'01_Вводные'!$B$218*'19_Расчет_аналитики'!AL3596,MeanMinAge17))),0)</f>
        <v/>
      </c>
      <c r="AM3544">
        <f>IF('01_Вводные'!$B$234="Да",IF(OR(('19_Расчет_аналитики'!AM3460-'19_Расчет_аналитики'!AM3488)=0,17&lt;='01_Вводные'!$B$297),0,('19_Расчет_аналитики'!AM3460-'19_Расчет_аналитики'!AM3488)*IF('01_Вводные'!$B$239="Да",MeanMinAge17+'19_Расчет_аналитики'!AM3596*SUMIF(ThresholdAge17,"&lt;"&amp;'19_Расчет_аналитики'!AM3596,WeightedRevAge17)-SUMIF(ThresholdAge17,"&lt;"&amp;'19_Расчет_аналитики'!AM3596,WeightedMinAge17),MAX(CapacityAge17*'01_Вводные'!$B$218*'19_Расчет_аналитики'!AM3596,MeanMinAge17))),0)</f>
        <v/>
      </c>
      <c r="AN3544">
        <f>IF('01_Вводные'!$B$234="Да",IF(OR(('19_Расчет_аналитики'!AN3460-'19_Расчет_аналитики'!AN3488)=0,17&lt;='01_Вводные'!$B$297),0,('19_Расчет_аналитики'!AN3460-'19_Расчет_аналитики'!AN3488)*IF('01_Вводные'!$B$239="Да",MeanMinAge17+'19_Расчет_аналитики'!AN3596*SUMIF(ThresholdAge17,"&lt;"&amp;'19_Расчет_аналитики'!AN3596,WeightedRevAge17)-SUMIF(ThresholdAge17,"&lt;"&amp;'19_Расчет_аналитики'!AN3596,WeightedMinAge17),MAX(CapacityAge17*'01_Вводные'!$B$218*'19_Расчет_аналитики'!AN3596,MeanMinAge17))),0)</f>
        <v/>
      </c>
      <c r="AO3544">
        <f>IF('01_Вводные'!$B$234="Да",IF(OR(('19_Расчет_аналитики'!AO3460-'19_Расчет_аналитики'!AO3488)=0,17&lt;='01_Вводные'!$B$297),0,('19_Расчет_аналитики'!AO3460-'19_Расчет_аналитики'!AO3488)*IF('01_Вводные'!$B$239="Да",MeanMinAge17+'19_Расчет_аналитики'!AO3596*SUMIF(ThresholdAge17,"&lt;"&amp;'19_Расчет_аналитики'!AO3596,WeightedRevAge17)-SUMIF(ThresholdAge17,"&lt;"&amp;'19_Расчет_аналитики'!AO3596,WeightedMinAge17),MAX(CapacityAge17*'01_Вводные'!$B$218*'19_Расчет_аналитики'!AO3596,MeanMinAge17))),0)</f>
        <v/>
      </c>
      <c r="AP3544">
        <f>IF('01_Вводные'!$B$234="Да",IF(OR(('19_Расчет_аналитики'!AP3460-'19_Расчет_аналитики'!AP3488)=0,17&lt;='01_Вводные'!$B$297),0,('19_Расчет_аналитики'!AP3460-'19_Расчет_аналитики'!AP3488)*IF('01_Вводные'!$B$239="Да",MeanMinAge17+'19_Расчет_аналитики'!AP3596*SUMIF(ThresholdAge17,"&lt;"&amp;'19_Расчет_аналитики'!AP3596,WeightedRevAge17)-SUMIF(ThresholdAge17,"&lt;"&amp;'19_Расчет_аналитики'!AP3596,WeightedMinAge17),MAX(CapacityAge17*'01_Вводные'!$B$218*'19_Расчет_аналитики'!AP3596,MeanMinAge17))),0)</f>
        <v/>
      </c>
      <c r="AQ3544">
        <f>IF('01_Вводные'!$B$234="Да",IF(OR(('19_Расчет_аналитики'!AQ3460-'19_Расчет_аналитики'!AQ3488)=0,17&lt;='01_Вводные'!$B$297),0,('19_Расчет_аналитики'!AQ3460-'19_Расчет_аналитики'!AQ3488)*IF('01_Вводные'!$B$239="Да",MeanMinAge17+'19_Расчет_аналитики'!AQ3596*SUMIF(ThresholdAge17,"&lt;"&amp;'19_Расчет_аналитики'!AQ3596,WeightedRevAge17)-SUMIF(ThresholdAge17,"&lt;"&amp;'19_Расчет_аналитики'!AQ3596,WeightedMinAge17),MAX(CapacityAge17*'01_Вводные'!$B$218*'19_Расчет_аналитики'!AQ3596,MeanMinAge17))),0)</f>
        <v/>
      </c>
      <c r="AR3544">
        <f>IF('01_Вводные'!$B$234="Да",IF(OR(('19_Расчет_аналитики'!AR3460-'19_Расчет_аналитики'!AR3488)=0,17&lt;='01_Вводные'!$B$297),0,('19_Расчет_аналитики'!AR3460-'19_Расчет_аналитики'!AR3488)*IF('01_Вводные'!$B$239="Да",MeanMinAge17+'19_Расчет_аналитики'!AR3596*SUMIF(ThresholdAge17,"&lt;"&amp;'19_Расчет_аналитики'!AR3596,WeightedRevAge17)-SUMIF(ThresholdAge17,"&lt;"&amp;'19_Расчет_аналитики'!AR3596,WeightedMinAge17),MAX(CapacityAge17*'01_Вводные'!$B$218*'19_Расчет_аналитики'!AR3596,MeanMinAge17))),0)</f>
        <v/>
      </c>
      <c r="AS3544">
        <f>IF('01_Вводные'!$B$234="Да",IF(OR(('19_Расчет_аналитики'!AS3460-'19_Расчет_аналитики'!AS3488)=0,17&lt;='01_Вводные'!$B$297),0,('19_Расчет_аналитики'!AS3460-'19_Расчет_аналитики'!AS3488)*IF('01_Вводные'!$B$239="Да",MeanMinAge17+'19_Расчет_аналитики'!AS3596*SUMIF(ThresholdAge17,"&lt;"&amp;'19_Расчет_аналитики'!AS3596,WeightedRevAge17)-SUMIF(ThresholdAge17,"&lt;"&amp;'19_Расчет_аналитики'!AS3596,WeightedMinAge17),MAX(CapacityAge17*'01_Вводные'!$B$218*'19_Расчет_аналитики'!AS3596,MeanMinAge17))),0)</f>
        <v/>
      </c>
      <c r="AT3544">
        <f>IF('01_Вводные'!$B$234="Да",IF(OR(('19_Расчет_аналитики'!AT3460-'19_Расчет_аналитики'!AT3488)=0,17&lt;='01_Вводные'!$B$297),0,('19_Расчет_аналитики'!AT3460-'19_Расчет_аналитики'!AT3488)*IF('01_Вводные'!$B$239="Да",MeanMinAge17+'19_Расчет_аналитики'!AT3596*SUMIF(ThresholdAge17,"&lt;"&amp;'19_Расчет_аналитики'!AT3596,WeightedRevAge17)-SUMIF(ThresholdAge17,"&lt;"&amp;'19_Расчет_аналитики'!AT3596,WeightedMinAge17),MAX(CapacityAge17*'01_Вводные'!$B$218*'19_Расчет_аналитики'!AT3596,MeanMinAge17))),0)</f>
        <v/>
      </c>
      <c r="AU3544">
        <f>IF('01_Вводные'!$B$234="Да",IF(OR(('19_Расчет_аналитики'!AU3460-'19_Расчет_аналитики'!AU3488)=0,17&lt;='01_Вводные'!$B$297),0,('19_Расчет_аналитики'!AU3460-'19_Расчет_аналитики'!AU3488)*IF('01_Вводные'!$B$239="Да",MeanMinAge17+'19_Расчет_аналитики'!AU3596*SUMIF(ThresholdAge17,"&lt;"&amp;'19_Расчет_аналитики'!AU3596,WeightedRevAge17)-SUMIF(ThresholdAge17,"&lt;"&amp;'19_Расчет_аналитики'!AU3596,WeightedMinAge17),MAX(CapacityAge17*'01_Вводные'!$B$218*'19_Расчет_аналитики'!AU3596,MeanMinAge17))),0)</f>
        <v/>
      </c>
      <c r="AV3544">
        <f>IF('01_Вводные'!$B$234="Да",IF(OR(('19_Расчет_аналитики'!AV3460-'19_Расчет_аналитики'!AV3488)=0,17&lt;='01_Вводные'!$B$297),0,('19_Расчет_аналитики'!AV3460-'19_Расчет_аналитики'!AV3488)*IF('01_Вводные'!$B$239="Да",MeanMinAge17+'19_Расчет_аналитики'!AV3596*SUMIF(ThresholdAge17,"&lt;"&amp;'19_Расчет_аналитики'!AV3596,WeightedRevAge17)-SUMIF(ThresholdAge17,"&lt;"&amp;'19_Расчет_аналитики'!AV3596,WeightedMinAge17),MAX(CapacityAge17*'01_Вводные'!$B$218*'19_Расчет_аналитики'!AV3596,MeanMinAge17))),0)</f>
        <v/>
      </c>
      <c r="AW3544">
        <f>IF('01_Вводные'!$B$234="Да",IF(OR(('19_Расчет_аналитики'!AW3460-'19_Расчет_аналитики'!AW3488)=0,17&lt;='01_Вводные'!$B$297),0,('19_Расчет_аналитики'!AW3460-'19_Расчет_аналитики'!AW3488)*IF('01_Вводные'!$B$239="Да",MeanMinAge17+'19_Расчет_аналитики'!AW3596*SUMIF(ThresholdAge17,"&lt;"&amp;'19_Расчет_аналитики'!AW3596,WeightedRevAge17)-SUMIF(ThresholdAge17,"&lt;"&amp;'19_Расчет_аналитики'!AW3596,WeightedMinAge17),MAX(CapacityAge17*'01_Вводные'!$B$218*'19_Расчет_аналитики'!AW3596,MeanMinAge17))),0)</f>
        <v/>
      </c>
      <c r="AX3544">
        <f>IF('01_Вводные'!$B$234="Да",IF(OR(('19_Расчет_аналитики'!AX3460-'19_Расчет_аналитики'!AX3488)=0,17&lt;='01_Вводные'!$B$297),0,('19_Расчет_аналитики'!AX3460-'19_Расчет_аналитики'!AX3488)*IF('01_Вводные'!$B$239="Да",MeanMinAge17+'19_Расчет_аналитики'!AX3596*SUMIF(ThresholdAge17,"&lt;"&amp;'19_Расчет_аналитики'!AX3596,WeightedRevAge17)-SUMIF(ThresholdAge17,"&lt;"&amp;'19_Расчет_аналитики'!AX3596,WeightedMinAge17),MAX(CapacityAge17*'01_Вводные'!$B$218*'19_Расчет_аналитики'!AX3596,MeanMinAge17))),0)</f>
        <v/>
      </c>
      <c r="AY3544">
        <f>IF('01_Вводные'!$B$234="Да",IF(OR(('19_Расчет_аналитики'!AY3460-'19_Расчет_аналитики'!AY3488)=0,17&lt;='01_Вводные'!$B$297),0,('19_Расчет_аналитики'!AY3460-'19_Расчет_аналитики'!AY3488)*IF('01_Вводные'!$B$239="Да",MeanMinAge17+'19_Расчет_аналитики'!AY3596*SUMIF(ThresholdAge17,"&lt;"&amp;'19_Расчет_аналитики'!AY3596,WeightedRevAge17)-SUMIF(ThresholdAge17,"&lt;"&amp;'19_Расчет_аналитики'!AY3596,WeightedMinAge17),MAX(CapacityAge17*'01_Вводные'!$B$218*'19_Расчет_аналитики'!AY3596,MeanMinAge17))),0)</f>
        <v/>
      </c>
      <c r="AZ3544">
        <f>IF('01_Вводные'!$B$234="Да",IF(OR(('19_Расчет_аналитики'!AZ3460-'19_Расчет_аналитики'!AZ3488)=0,17&lt;='01_Вводные'!$B$297),0,('19_Расчет_аналитики'!AZ3460-'19_Расчет_аналитики'!AZ3488)*IF('01_Вводные'!$B$239="Да",MeanMinAge17+'19_Расчет_аналитики'!AZ3596*SUMIF(ThresholdAge17,"&lt;"&amp;'19_Расчет_аналитики'!AZ3596,WeightedRevAge17)-SUMIF(ThresholdAge17,"&lt;"&amp;'19_Расчет_аналитики'!AZ3596,WeightedMinAge17),MAX(CapacityAge17*'01_Вводные'!$B$218*'19_Расчет_аналитики'!AZ3596,MeanMinAge17))),0)</f>
        <v/>
      </c>
      <c r="BA3544">
        <f>IF('01_Вводные'!$B$234="Да",IF(OR(('19_Расчет_аналитики'!BA3460-'19_Расчет_аналитики'!BA3488)=0,17&lt;='01_Вводные'!$B$297),0,('19_Расчет_аналитики'!BA3460-'19_Расчет_аналитики'!BA3488)*IF('01_Вводные'!$B$239="Да",MeanMinAge17+'19_Расчет_аналитики'!BA3596*SUMIF(ThresholdAge17,"&lt;"&amp;'19_Расчет_аналитики'!BA3596,WeightedRevAge17)-SUMIF(ThresholdAge17,"&lt;"&amp;'19_Расчет_аналитики'!BA3596,WeightedMinAge17),MAX(CapacityAge17*'01_Вводные'!$B$218*'19_Расчет_аналитики'!BA3596,MeanMinAge17))),0)</f>
        <v/>
      </c>
      <c r="BB3544">
        <f>IF('01_Вводные'!$B$234="Да",IF(OR(('19_Расчет_аналитики'!BB3460-'19_Расчет_аналитики'!BB3488)=0,17&lt;='01_Вводные'!$B$297),0,('19_Расчет_аналитики'!BB3460-'19_Расчет_аналитики'!BB3488)*IF('01_Вводные'!$B$239="Да",MeanMinAge17+'19_Расчет_аналитики'!BB3596*SUMIF(ThresholdAge17,"&lt;"&amp;'19_Расчет_аналитики'!BB3596,WeightedRevAge17)-SUMIF(ThresholdAge17,"&lt;"&amp;'19_Расчет_аналитики'!BB3596,WeightedMinAge17),MAX(CapacityAge17*'01_Вводные'!$B$218*'19_Расчет_аналитики'!BB3596,MeanMinAge17))),0)</f>
        <v/>
      </c>
      <c r="BC3544">
        <f>IF('01_Вводные'!$B$234="Да",IF(OR(('19_Расчет_аналитики'!BC3460-'19_Расчет_аналитики'!BC3488)=0,17&lt;='01_Вводные'!$B$297),0,('19_Расчет_аналитики'!BC3460-'19_Расчет_аналитики'!BC3488)*IF('01_Вводные'!$B$239="Да",MeanMinAge17+'19_Расчет_аналитики'!BC3596*SUMIF(ThresholdAge17,"&lt;"&amp;'19_Расчет_аналитики'!BC3596,WeightedRevAge17)-SUMIF(ThresholdAge17,"&lt;"&amp;'19_Расчет_аналитики'!BC3596,WeightedMinAge17),MAX(CapacityAge17*'01_Вводные'!$B$218*'19_Расчет_аналитики'!BC3596,MeanMinAge17))),0)</f>
        <v/>
      </c>
      <c r="BD3544">
        <f>IF('01_Вводные'!$B$234="Да",IF(OR(('19_Расчет_аналитики'!BD3460-'19_Расчет_аналитики'!BD3488)=0,17&lt;='01_Вводные'!$B$297),0,('19_Расчет_аналитики'!BD3460-'19_Расчет_аналитики'!BD3488)*IF('01_Вводные'!$B$239="Да",MeanMinAge17+'19_Расчет_аналитики'!BD3596*SUMIF(ThresholdAge17,"&lt;"&amp;'19_Расчет_аналитики'!BD3596,WeightedRevAge17)-SUMIF(ThresholdAge17,"&lt;"&amp;'19_Расчет_аналитики'!BD3596,WeightedMinAge17),MAX(CapacityAge17*'01_Вводные'!$B$218*'19_Расчет_аналитики'!BD3596,MeanMinAge17))),0)</f>
        <v/>
      </c>
      <c r="BE3544">
        <f>IF('01_Вводные'!$B$234="Да",IF(OR(('19_Расчет_аналитики'!BE3460-'19_Расчет_аналитики'!BE3488)=0,17&lt;='01_Вводные'!$B$297),0,('19_Расчет_аналитики'!BE3460-'19_Расчет_аналитики'!BE3488)*IF('01_Вводные'!$B$239="Да",MeanMinAge17+'19_Расчет_аналитики'!BE3596*SUMIF(ThresholdAge17,"&lt;"&amp;'19_Расчет_аналитики'!BE3596,WeightedRevAge17)-SUMIF(ThresholdAge17,"&lt;"&amp;'19_Расчет_аналитики'!BE3596,WeightedMinAge17),MAX(CapacityAge17*'01_Вводные'!$B$218*'19_Расчет_аналитики'!BE3596,MeanMinAge17))),0)</f>
        <v/>
      </c>
      <c r="BF3544">
        <f>IF('01_Вводные'!$B$234="Да",IF(OR(('19_Расчет_аналитики'!BF3460-'19_Расчет_аналитики'!BF3488)=0,17&lt;='01_Вводные'!$B$297),0,('19_Расчет_аналитики'!BF3460-'19_Расчет_аналитики'!BF3488)*IF('01_Вводные'!$B$239="Да",MeanMinAge17+'19_Расчет_аналитики'!BF3596*SUMIF(ThresholdAge17,"&lt;"&amp;'19_Расчет_аналитики'!BF3596,WeightedRevAge17)-SUMIF(ThresholdAge17,"&lt;"&amp;'19_Расчет_аналитики'!BF3596,WeightedMinAge17),MAX(CapacityAge17*'01_Вводные'!$B$218*'19_Расчет_аналитики'!BF3596,MeanMinAge17))),0)</f>
        <v/>
      </c>
      <c r="BG3544">
        <f>IF('01_Вводные'!$B$234="Да",IF(OR(('19_Расчет_аналитики'!BG3460-'19_Расчет_аналитики'!BG3488)=0,17&lt;='01_Вводные'!$B$297),0,('19_Расчет_аналитики'!BG3460-'19_Расчет_аналитики'!BG3488)*IF('01_Вводные'!$B$239="Да",MeanMinAge17+'19_Расчет_аналитики'!BG3596*SUMIF(ThresholdAge17,"&lt;"&amp;'19_Расчет_аналитики'!BG3596,WeightedRevAge17)-SUMIF(ThresholdAge17,"&lt;"&amp;'19_Расчет_аналитики'!BG3596,WeightedMinAge17),MAX(CapacityAge17*'01_Вводные'!$B$218*'19_Расчет_аналитики'!BG3596,MeanMinAge17))),0)</f>
        <v/>
      </c>
      <c r="BH3544">
        <f>IF('01_Вводные'!$B$234="Да",IF(OR(('19_Расчет_аналитики'!BH3460-'19_Расчет_аналитики'!BH3488)=0,17&lt;='01_Вводные'!$B$297),0,('19_Расчет_аналитики'!BH3460-'19_Расчет_аналитики'!BH3488)*IF('01_Вводные'!$B$239="Да",MeanMinAge17+'19_Расчет_аналитики'!BH3596*SUMIF(ThresholdAge17,"&lt;"&amp;'19_Расчет_аналитики'!BH3596,WeightedRevAge17)-SUMIF(ThresholdAge17,"&lt;"&amp;'19_Расчет_аналитики'!BH3596,WeightedMinAge17),MAX(CapacityAge17*'01_Вводные'!$B$218*'19_Расчет_аналитики'!BH3596,MeanMinAge17))),0)</f>
        <v/>
      </c>
      <c r="BI3544">
        <f>IF('01_Вводные'!$B$234="Да",IF(OR(('19_Расчет_аналитики'!BI3460-'19_Расчет_аналитики'!BI3488)=0,17&lt;='01_Вводные'!$B$297),0,('19_Расчет_аналитики'!BI3460-'19_Расчет_аналитики'!BI3488)*IF('01_Вводные'!$B$239="Да",MeanMinAge17+'19_Расчет_аналитики'!BI3596*SUMIF(ThresholdAge17,"&lt;"&amp;'19_Расчет_аналитики'!BI3596,WeightedRevAge17)-SUMIF(ThresholdAge17,"&lt;"&amp;'19_Расчет_аналитики'!BI3596,WeightedMinAge17),MAX(CapacityAge17*'01_Вводные'!$B$218*'19_Расчет_аналитики'!BI3596,MeanMinAge17))),0)</f>
        <v/>
      </c>
      <c r="BJ3544">
        <f>IF('01_Вводные'!$B$234="Да",IF(OR(('19_Расчет_аналитики'!BJ3460-'19_Расчет_аналитики'!BJ3488)=0,17&lt;='01_Вводные'!$B$297),0,('19_Расчет_аналитики'!BJ3460-'19_Расчет_аналитики'!BJ3488)*IF('01_Вводные'!$B$239="Да",MeanMinAge17+'19_Расчет_аналитики'!BJ3596*SUMIF(ThresholdAge17,"&lt;"&amp;'19_Расчет_аналитики'!BJ3596,WeightedRevAge17)-SUMIF(ThresholdAge17,"&lt;"&amp;'19_Расчет_аналитики'!BJ3596,WeightedMinAge17),MAX(CapacityAge17*'01_Вводные'!$B$218*'19_Расчет_аналитики'!BJ3596,MeanMinAge17))),0)</f>
        <v/>
      </c>
      <c r="BK3544">
        <f>IF('01_Вводные'!$B$234="Да",IF(OR(('19_Расчет_аналитики'!BK3460-'19_Расчет_аналитики'!BK3488)=0,17&lt;='01_Вводные'!$B$297),0,('19_Расчет_аналитики'!BK3460-'19_Расчет_аналитики'!BK3488)*IF('01_Вводные'!$B$239="Да",MeanMinAge17+'19_Расчет_аналитики'!BK3596*SUMIF(ThresholdAge17,"&lt;"&amp;'19_Расчет_аналитики'!BK3596,WeightedRevAge17)-SUMIF(ThresholdAge17,"&lt;"&amp;'19_Расчет_аналитики'!BK3596,WeightedMinAge17),MAX(CapacityAge17*'01_Вводные'!$B$218*'19_Расчет_аналитики'!BK3596,MeanMinAge17))),0)</f>
        <v/>
      </c>
      <c r="BL3544">
        <f>IF('01_Вводные'!$B$234="Да",IF(OR(('19_Расчет_аналитики'!BL3460-'19_Расчет_аналитики'!BL3488)=0,17&lt;='01_Вводные'!$B$297),0,('19_Расчет_аналитики'!BL3460-'19_Расчет_аналитики'!BL3488)*IF('01_Вводные'!$B$239="Да",MeanMinAge17+'19_Расчет_аналитики'!BL3596*SUMIF(ThresholdAge17,"&lt;"&amp;'19_Расчет_аналитики'!BL3596,WeightedRevAge17)-SUMIF(ThresholdAge17,"&lt;"&amp;'19_Расчет_аналитики'!BL3596,WeightedMinAge17),MAX(CapacityAge17*'01_Вводные'!$B$218*'19_Расчет_аналитики'!BL3596,MeanMinAge17))),0)</f>
        <v/>
      </c>
      <c r="BM3544">
        <f>IF('01_Вводные'!$B$234="Да",IF(OR(('19_Расчет_аналитики'!BM3460-'19_Расчет_аналитики'!BM3488)=0,17&lt;='01_Вводные'!$B$297),0,('19_Расчет_аналитики'!BM3460-'19_Расчет_аналитики'!BM3488)*IF('01_Вводные'!$B$239="Да",MeanMinAge17+'19_Расчет_аналитики'!BM3596*SUMIF(ThresholdAge17,"&lt;"&amp;'19_Расчет_аналитики'!BM3596,WeightedRevAge17)-SUMIF(ThresholdAge17,"&lt;"&amp;'19_Расчет_аналитики'!BM3596,WeightedMinAge17),MAX(CapacityAge17*'01_Вводные'!$B$218*'19_Расчет_аналитики'!BM3596,MeanMinAge17))),0)</f>
        <v/>
      </c>
      <c r="BN3544">
        <f>IF('01_Вводные'!$B$234="Да",IF(OR(('19_Расчет_аналитики'!BN3460-'19_Расчет_аналитики'!BN3488)=0,17&lt;='01_Вводные'!$B$297),0,('19_Расчет_аналитики'!BN3460-'19_Расчет_аналитики'!BN3488)*IF('01_Вводные'!$B$239="Да",MeanMinAge17+'19_Расчет_аналитики'!BN3596*SUMIF(ThresholdAge17,"&lt;"&amp;'19_Расчет_аналитики'!BN3596,WeightedRevAge17)-SUMIF(ThresholdAge17,"&lt;"&amp;'19_Расчет_аналитики'!BN3596,WeightedMinAge17),MAX(CapacityAge17*'01_Вводные'!$B$218*'19_Расчет_аналитики'!BN3596,MeanMinAge17))),0)</f>
        <v/>
      </c>
      <c r="BO3544">
        <f>IF('01_Вводные'!$B$234="Да",IF(OR(('19_Расчет_аналитики'!BO3460-'19_Расчет_аналитики'!BO3488)=0,17&lt;='01_Вводные'!$B$297),0,('19_Расчет_аналитики'!BO3460-'19_Расчет_аналитики'!BO3488)*IF('01_Вводные'!$B$239="Да",MeanMinAge17+'19_Расчет_аналитики'!BO3596*SUMIF(ThresholdAge17,"&lt;"&amp;'19_Расчет_аналитики'!BO3596,WeightedRevAge17)-SUMIF(ThresholdAge17,"&lt;"&amp;'19_Расчет_аналитики'!BO3596,WeightedMinAge17),MAX(CapacityAge17*'01_Вводные'!$B$218*'19_Расчет_аналитики'!BO3596,MeanMinAge17))),0)</f>
        <v/>
      </c>
    </row>
    <row r="3545">
      <c r="B3545">
        <f>IF('01_Вводные'!$B$234="Да",IF(OR(('06_Сеть_и_дети'!B70-'06_Сеть_и_дети'!B98)=0,18&lt;='01_Вводные'!$B$297),0,('06_Сеть_и_дети'!B70-'06_Сеть_и_дети'!B98)*IF('01_Вводные'!$B$239="Да",MeanMinAge18+'19_Расчет_аналитики'!B3596*SUMIF(ThresholdAge18,"&lt;"&amp;'19_Расчет_аналитики'!B3596,WeightedRevAge18)-SUMIF(ThresholdAge18,"&lt;"&amp;'19_Расчет_аналитики'!B3596,WeightedMinAge18),MAX(CapacityAge18*'01_Вводные'!$B$218*'19_Расчет_аналитики'!B3596,MeanMinAge18))),0)</f>
        <v/>
      </c>
      <c r="C3545">
        <f>IF('01_Вводные'!$B$234="Да",IF(OR(('06_Сеть_и_дети'!C70-'06_Сеть_и_дети'!C98)=0,18&lt;='01_Вводные'!$B$297),0,('06_Сеть_и_дети'!C70-'06_Сеть_и_дети'!C98)*IF('01_Вводные'!$B$239="Да",MeanMinAge18+'19_Расчет_аналитики'!C3596*SUMIF(ThresholdAge18,"&lt;"&amp;'19_Расчет_аналитики'!C3596,WeightedRevAge18)-SUMIF(ThresholdAge18,"&lt;"&amp;'19_Расчет_аналитики'!C3596,WeightedMinAge18),MAX(CapacityAge18*'01_Вводные'!$B$218*'19_Расчет_аналитики'!C3596,MeanMinAge18))),0)</f>
        <v/>
      </c>
      <c r="D3545">
        <f>IF('01_Вводные'!$B$234="Да",IF(OR(('06_Сеть_и_дети'!D70-'06_Сеть_и_дети'!D98)=0,18&lt;='01_Вводные'!$B$297),0,('06_Сеть_и_дети'!D70-'06_Сеть_и_дети'!D98)*IF('01_Вводные'!$B$239="Да",MeanMinAge18+'19_Расчет_аналитики'!D3596*SUMIF(ThresholdAge18,"&lt;"&amp;'19_Расчет_аналитики'!D3596,WeightedRevAge18)-SUMIF(ThresholdAge18,"&lt;"&amp;'19_Расчет_аналитики'!D3596,WeightedMinAge18),MAX(CapacityAge18*'01_Вводные'!$B$218*'19_Расчет_аналитики'!D3596,MeanMinAge18))),0)</f>
        <v/>
      </c>
      <c r="E3545">
        <f>IF('01_Вводные'!$B$234="Да",IF(OR(('06_Сеть_и_дети'!E70-'06_Сеть_и_дети'!E98)=0,18&lt;='01_Вводные'!$B$297),0,('06_Сеть_и_дети'!E70-'06_Сеть_и_дети'!E98)*IF('01_Вводные'!$B$239="Да",MeanMinAge18+'19_Расчет_аналитики'!E3596*SUMIF(ThresholdAge18,"&lt;"&amp;'19_Расчет_аналитики'!E3596,WeightedRevAge18)-SUMIF(ThresholdAge18,"&lt;"&amp;'19_Расчет_аналитики'!E3596,WeightedMinAge18),MAX(CapacityAge18*'01_Вводные'!$B$218*'19_Расчет_аналитики'!E3596,MeanMinAge18))),0)</f>
        <v/>
      </c>
      <c r="F3545">
        <f>IF('01_Вводные'!$B$234="Да",IF(OR(('06_Сеть_и_дети'!F70-'06_Сеть_и_дети'!F98)=0,18&lt;='01_Вводные'!$B$297),0,('06_Сеть_и_дети'!F70-'06_Сеть_и_дети'!F98)*IF('01_Вводные'!$B$239="Да",MeanMinAge18+'19_Расчет_аналитики'!F3596*SUMIF(ThresholdAge18,"&lt;"&amp;'19_Расчет_аналитики'!F3596,WeightedRevAge18)-SUMIF(ThresholdAge18,"&lt;"&amp;'19_Расчет_аналитики'!F3596,WeightedMinAge18),MAX(CapacityAge18*'01_Вводные'!$B$218*'19_Расчет_аналитики'!F3596,MeanMinAge18))),0)</f>
        <v/>
      </c>
      <c r="G3545">
        <f>IF('01_Вводные'!$B$234="Да",IF(OR(('06_Сеть_и_дети'!G70-'06_Сеть_и_дети'!G98)=0,18&lt;='01_Вводные'!$B$297),0,('06_Сеть_и_дети'!G70-'06_Сеть_и_дети'!G98)*IF('01_Вводные'!$B$239="Да",MeanMinAge18+'19_Расчет_аналитики'!G3596*SUMIF(ThresholdAge18,"&lt;"&amp;'19_Расчет_аналитики'!G3596,WeightedRevAge18)-SUMIF(ThresholdAge18,"&lt;"&amp;'19_Расчет_аналитики'!G3596,WeightedMinAge18),MAX(CapacityAge18*'01_Вводные'!$B$218*'19_Расчет_аналитики'!G3596,MeanMinAge18))),0)</f>
        <v/>
      </c>
      <c r="H3545">
        <f>IF('01_Вводные'!$B$234="Да",IF(OR(('06_Сеть_и_дети'!H70-'06_Сеть_и_дети'!H98)=0,18&lt;='01_Вводные'!$B$297),0,('06_Сеть_и_дети'!H70-'06_Сеть_и_дети'!H98)*IF('01_Вводные'!$B$239="Да",MeanMinAge18+'19_Расчет_аналитики'!H3596*SUMIF(ThresholdAge18,"&lt;"&amp;'19_Расчет_аналитики'!H3596,WeightedRevAge18)-SUMIF(ThresholdAge18,"&lt;"&amp;'19_Расчет_аналитики'!H3596,WeightedMinAge18),MAX(CapacityAge18*'01_Вводные'!$B$218*'19_Расчет_аналитики'!H3596,MeanMinAge18))),0)</f>
        <v/>
      </c>
      <c r="I3545">
        <f>IF('01_Вводные'!$B$234="Да",IF(OR(('06_Сеть_и_дети'!I70-'06_Сеть_и_дети'!I98)=0,18&lt;='01_Вводные'!$B$297),0,('06_Сеть_и_дети'!I70-'06_Сеть_и_дети'!I98)*IF('01_Вводные'!$B$239="Да",MeanMinAge18+'19_Расчет_аналитики'!I3596*SUMIF(ThresholdAge18,"&lt;"&amp;'19_Расчет_аналитики'!I3596,WeightedRevAge18)-SUMIF(ThresholdAge18,"&lt;"&amp;'19_Расчет_аналитики'!I3596,WeightedMinAge18),MAX(CapacityAge18*'01_Вводные'!$B$218*'19_Расчет_аналитики'!I3596,MeanMinAge18))),0)</f>
        <v/>
      </c>
      <c r="J3545">
        <f>IF('01_Вводные'!$B$234="Да",IF(OR(('06_Сеть_и_дети'!J70-'06_Сеть_и_дети'!J98)=0,18&lt;='01_Вводные'!$B$297),0,('06_Сеть_и_дети'!J70-'06_Сеть_и_дети'!J98)*IF('01_Вводные'!$B$239="Да",MeanMinAge18+'19_Расчет_аналитики'!J3596*SUMIF(ThresholdAge18,"&lt;"&amp;'19_Расчет_аналитики'!J3596,WeightedRevAge18)-SUMIF(ThresholdAge18,"&lt;"&amp;'19_Расчет_аналитики'!J3596,WeightedMinAge18),MAX(CapacityAge18*'01_Вводные'!$B$218*'19_Расчет_аналитики'!J3596,MeanMinAge18))),0)</f>
        <v/>
      </c>
      <c r="K3545">
        <f>IF('01_Вводные'!$B$234="Да",IF(OR(('06_Сеть_и_дети'!K70-'06_Сеть_и_дети'!K98)=0,18&lt;='01_Вводные'!$B$297),0,('06_Сеть_и_дети'!K70-'06_Сеть_и_дети'!K98)*IF('01_Вводные'!$B$239="Да",MeanMinAge18+'19_Расчет_аналитики'!K3596*SUMIF(ThresholdAge18,"&lt;"&amp;'19_Расчет_аналитики'!K3596,WeightedRevAge18)-SUMIF(ThresholdAge18,"&lt;"&amp;'19_Расчет_аналитики'!K3596,WeightedMinAge18),MAX(CapacityAge18*'01_Вводные'!$B$218*'19_Расчет_аналитики'!K3596,MeanMinAge18))),0)</f>
        <v/>
      </c>
      <c r="L3545">
        <f>IF('01_Вводные'!$B$234="Да",IF(OR(('06_Сеть_и_дети'!L70-'06_Сеть_и_дети'!L98)=0,18&lt;='01_Вводные'!$B$297),0,('06_Сеть_и_дети'!L70-'06_Сеть_и_дети'!L98)*IF('01_Вводные'!$B$239="Да",MeanMinAge18+'19_Расчет_аналитики'!L3596*SUMIF(ThresholdAge18,"&lt;"&amp;'19_Расчет_аналитики'!L3596,WeightedRevAge18)-SUMIF(ThresholdAge18,"&lt;"&amp;'19_Расчет_аналитики'!L3596,WeightedMinAge18),MAX(CapacityAge18*'01_Вводные'!$B$218*'19_Расчет_аналитики'!L3596,MeanMinAge18))),0)</f>
        <v/>
      </c>
      <c r="M3545">
        <f>IF('01_Вводные'!$B$234="Да",IF(OR(('06_Сеть_и_дети'!M70-'06_Сеть_и_дети'!M98)=0,18&lt;='01_Вводные'!$B$297),0,('06_Сеть_и_дети'!M70-'06_Сеть_и_дети'!M98)*IF('01_Вводные'!$B$239="Да",MeanMinAge18+'19_Расчет_аналитики'!M3596*SUMIF(ThresholdAge18,"&lt;"&amp;'19_Расчет_аналитики'!M3596,WeightedRevAge18)-SUMIF(ThresholdAge18,"&lt;"&amp;'19_Расчет_аналитики'!M3596,WeightedMinAge18),MAX(CapacityAge18*'01_Вводные'!$B$218*'19_Расчет_аналитики'!M3596,MeanMinAge18))),0)</f>
        <v/>
      </c>
      <c r="N3545">
        <f>IF('01_Вводные'!$B$234="Да",IF(OR(('06_Сеть_и_дети'!N70-'06_Сеть_и_дети'!N98)=0,18&lt;='01_Вводные'!$B$297),0,('06_Сеть_и_дети'!N70-'06_Сеть_и_дети'!N98)*IF('01_Вводные'!$B$239="Да",MeanMinAge18+'19_Расчет_аналитики'!N3596*SUMIF(ThresholdAge18,"&lt;"&amp;'19_Расчет_аналитики'!N3596,WeightedRevAge18)-SUMIF(ThresholdAge18,"&lt;"&amp;'19_Расчет_аналитики'!N3596,WeightedMinAge18),MAX(CapacityAge18*'01_Вводные'!$B$218*'19_Расчет_аналитики'!N3596,MeanMinAge18))),0)</f>
        <v/>
      </c>
      <c r="O3545">
        <f>IF('01_Вводные'!$B$234="Да",IF(OR(('06_Сеть_и_дети'!O70-'06_Сеть_и_дети'!O98)=0,18&lt;='01_Вводные'!$B$297),0,('06_Сеть_и_дети'!O70-'06_Сеть_и_дети'!O98)*IF('01_Вводные'!$B$239="Да",MeanMinAge18+'19_Расчет_аналитики'!O3596*SUMIF(ThresholdAge18,"&lt;"&amp;'19_Расчет_аналитики'!O3596,WeightedRevAge18)-SUMIF(ThresholdAge18,"&lt;"&amp;'19_Расчет_аналитики'!O3596,WeightedMinAge18),MAX(CapacityAge18*'01_Вводные'!$B$218*'19_Расчет_аналитики'!O3596,MeanMinAge18))),0)</f>
        <v/>
      </c>
      <c r="P3545">
        <f>IF('01_Вводные'!$B$234="Да",IF(OR(('06_Сеть_и_дети'!P70-'06_Сеть_и_дети'!P98)=0,18&lt;='01_Вводные'!$B$297),0,('06_Сеть_и_дети'!P70-'06_Сеть_и_дети'!P98)*IF('01_Вводные'!$B$239="Да",MeanMinAge18+'19_Расчет_аналитики'!P3596*SUMIF(ThresholdAge18,"&lt;"&amp;'19_Расчет_аналитики'!P3596,WeightedRevAge18)-SUMIF(ThresholdAge18,"&lt;"&amp;'19_Расчет_аналитики'!P3596,WeightedMinAge18),MAX(CapacityAge18*'01_Вводные'!$B$218*'19_Расчет_аналитики'!P3596,MeanMinAge18))),0)</f>
        <v/>
      </c>
      <c r="Q3545">
        <f>IF('01_Вводные'!$B$234="Да",IF(OR(('06_Сеть_и_дети'!Q70-'06_Сеть_и_дети'!Q98)=0,18&lt;='01_Вводные'!$B$297),0,('06_Сеть_и_дети'!Q70-'06_Сеть_и_дети'!Q98)*IF('01_Вводные'!$B$239="Да",MeanMinAge18+'19_Расчет_аналитики'!Q3596*SUMIF(ThresholdAge18,"&lt;"&amp;'19_Расчет_аналитики'!Q3596,WeightedRevAge18)-SUMIF(ThresholdAge18,"&lt;"&amp;'19_Расчет_аналитики'!Q3596,WeightedMinAge18),MAX(CapacityAge18*'01_Вводные'!$B$218*'19_Расчет_аналитики'!Q3596,MeanMinAge18))),0)</f>
        <v/>
      </c>
      <c r="R3545">
        <f>IF('01_Вводные'!$B$234="Да",IF(OR(('06_Сеть_и_дети'!R70-'06_Сеть_и_дети'!R98)=0,18&lt;='01_Вводные'!$B$297),0,('06_Сеть_и_дети'!R70-'06_Сеть_и_дети'!R98)*IF('01_Вводные'!$B$239="Да",MeanMinAge18+'19_Расчет_аналитики'!R3596*SUMIF(ThresholdAge18,"&lt;"&amp;'19_Расчет_аналитики'!R3596,WeightedRevAge18)-SUMIF(ThresholdAge18,"&lt;"&amp;'19_Расчет_аналитики'!R3596,WeightedMinAge18),MAX(CapacityAge18*'01_Вводные'!$B$218*'19_Расчет_аналитики'!R3596,MeanMinAge18))),0)</f>
        <v/>
      </c>
      <c r="S3545">
        <f>IF('01_Вводные'!$B$234="Да",IF(OR(('19_Расчет_аналитики'!S3461-'19_Расчет_аналитики'!S3489)=0,18&lt;='01_Вводные'!$B$297),0,('19_Расчет_аналитики'!S3461-'19_Расчет_аналитики'!S3489)*IF('01_Вводные'!$B$239="Да",MeanMinAge18+'19_Расчет_аналитики'!S3596*SUMIF(ThresholdAge18,"&lt;"&amp;'19_Расчет_аналитики'!S3596,WeightedRevAge18)-SUMIF(ThresholdAge18,"&lt;"&amp;'19_Расчет_аналитики'!S3596,WeightedMinAge18),MAX(CapacityAge18*'01_Вводные'!$B$218*'19_Расчет_аналитики'!S3596,MeanMinAge18))),0)</f>
        <v/>
      </c>
      <c r="T3545">
        <f>IF('01_Вводные'!$B$234="Да",IF(OR(('19_Расчет_аналитики'!T3461-'19_Расчет_аналитики'!T3489)=0,18&lt;='01_Вводные'!$B$297),0,('19_Расчет_аналитики'!T3461-'19_Расчет_аналитики'!T3489)*IF('01_Вводные'!$B$239="Да",MeanMinAge18+'19_Расчет_аналитики'!T3596*SUMIF(ThresholdAge18,"&lt;"&amp;'19_Расчет_аналитики'!T3596,WeightedRevAge18)-SUMIF(ThresholdAge18,"&lt;"&amp;'19_Расчет_аналитики'!T3596,WeightedMinAge18),MAX(CapacityAge18*'01_Вводные'!$B$218*'19_Расчет_аналитики'!T3596,MeanMinAge18))),0)</f>
        <v/>
      </c>
      <c r="U3545">
        <f>IF('01_Вводные'!$B$234="Да",IF(OR(('19_Расчет_аналитики'!U3461-'19_Расчет_аналитики'!U3489)=0,18&lt;='01_Вводные'!$B$297),0,('19_Расчет_аналитики'!U3461-'19_Расчет_аналитики'!U3489)*IF('01_Вводные'!$B$239="Да",MeanMinAge18+'19_Расчет_аналитики'!U3596*SUMIF(ThresholdAge18,"&lt;"&amp;'19_Расчет_аналитики'!U3596,WeightedRevAge18)-SUMIF(ThresholdAge18,"&lt;"&amp;'19_Расчет_аналитики'!U3596,WeightedMinAge18),MAX(CapacityAge18*'01_Вводные'!$B$218*'19_Расчет_аналитики'!U3596,MeanMinAge18))),0)</f>
        <v/>
      </c>
      <c r="V3545">
        <f>IF('01_Вводные'!$B$234="Да",IF(OR(('19_Расчет_аналитики'!V3461-'19_Расчет_аналитики'!V3489)=0,18&lt;='01_Вводные'!$B$297),0,('19_Расчет_аналитики'!V3461-'19_Расчет_аналитики'!V3489)*IF('01_Вводные'!$B$239="Да",MeanMinAge18+'19_Расчет_аналитики'!V3596*SUMIF(ThresholdAge18,"&lt;"&amp;'19_Расчет_аналитики'!V3596,WeightedRevAge18)-SUMIF(ThresholdAge18,"&lt;"&amp;'19_Расчет_аналитики'!V3596,WeightedMinAge18),MAX(CapacityAge18*'01_Вводные'!$B$218*'19_Расчет_аналитики'!V3596,MeanMinAge18))),0)</f>
        <v/>
      </c>
      <c r="W3545">
        <f>IF('01_Вводные'!$B$234="Да",IF(OR(('19_Расчет_аналитики'!W3461-'19_Расчет_аналитики'!W3489)=0,18&lt;='01_Вводные'!$B$297),0,('19_Расчет_аналитики'!W3461-'19_Расчет_аналитики'!W3489)*IF('01_Вводные'!$B$239="Да",MeanMinAge18+'19_Расчет_аналитики'!W3596*SUMIF(ThresholdAge18,"&lt;"&amp;'19_Расчет_аналитики'!W3596,WeightedRevAge18)-SUMIF(ThresholdAge18,"&lt;"&amp;'19_Расчет_аналитики'!W3596,WeightedMinAge18),MAX(CapacityAge18*'01_Вводные'!$B$218*'19_Расчет_аналитики'!W3596,MeanMinAge18))),0)</f>
        <v/>
      </c>
      <c r="X3545">
        <f>IF('01_Вводные'!$B$234="Да",IF(OR(('19_Расчет_аналитики'!X3461-'19_Расчет_аналитики'!X3489)=0,18&lt;='01_Вводные'!$B$297),0,('19_Расчет_аналитики'!X3461-'19_Расчет_аналитики'!X3489)*IF('01_Вводные'!$B$239="Да",MeanMinAge18+'19_Расчет_аналитики'!X3596*SUMIF(ThresholdAge18,"&lt;"&amp;'19_Расчет_аналитики'!X3596,WeightedRevAge18)-SUMIF(ThresholdAge18,"&lt;"&amp;'19_Расчет_аналитики'!X3596,WeightedMinAge18),MAX(CapacityAge18*'01_Вводные'!$B$218*'19_Расчет_аналитики'!X3596,MeanMinAge18))),0)</f>
        <v/>
      </c>
      <c r="Y3545">
        <f>IF('01_Вводные'!$B$234="Да",IF(OR(('19_Расчет_аналитики'!Y3461-'19_Расчет_аналитики'!Y3489)=0,18&lt;='01_Вводные'!$B$297),0,('19_Расчет_аналитики'!Y3461-'19_Расчет_аналитики'!Y3489)*IF('01_Вводные'!$B$239="Да",MeanMinAge18+'19_Расчет_аналитики'!Y3596*SUMIF(ThresholdAge18,"&lt;"&amp;'19_Расчет_аналитики'!Y3596,WeightedRevAge18)-SUMIF(ThresholdAge18,"&lt;"&amp;'19_Расчет_аналитики'!Y3596,WeightedMinAge18),MAX(CapacityAge18*'01_Вводные'!$B$218*'19_Расчет_аналитики'!Y3596,MeanMinAge18))),0)</f>
        <v/>
      </c>
      <c r="Z3545">
        <f>IF('01_Вводные'!$B$234="Да",IF(OR(('19_Расчет_аналитики'!Z3461-'19_Расчет_аналитики'!Z3489)=0,18&lt;='01_Вводные'!$B$297),0,('19_Расчет_аналитики'!Z3461-'19_Расчет_аналитики'!Z3489)*IF('01_Вводные'!$B$239="Да",MeanMinAge18+'19_Расчет_аналитики'!Z3596*SUMIF(ThresholdAge18,"&lt;"&amp;'19_Расчет_аналитики'!Z3596,WeightedRevAge18)-SUMIF(ThresholdAge18,"&lt;"&amp;'19_Расчет_аналитики'!Z3596,WeightedMinAge18),MAX(CapacityAge18*'01_Вводные'!$B$218*'19_Расчет_аналитики'!Z3596,MeanMinAge18))),0)</f>
        <v/>
      </c>
      <c r="AA3545">
        <f>IF('01_Вводные'!$B$234="Да",IF(OR(('19_Расчет_аналитики'!AA3461-'19_Расчет_аналитики'!AA3489)=0,18&lt;='01_Вводные'!$B$297),0,('19_Расчет_аналитики'!AA3461-'19_Расчет_аналитики'!AA3489)*IF('01_Вводные'!$B$239="Да",MeanMinAge18+'19_Расчет_аналитики'!AA3596*SUMIF(ThresholdAge18,"&lt;"&amp;'19_Расчет_аналитики'!AA3596,WeightedRevAge18)-SUMIF(ThresholdAge18,"&lt;"&amp;'19_Расчет_аналитики'!AA3596,WeightedMinAge18),MAX(CapacityAge18*'01_Вводные'!$B$218*'19_Расчет_аналитики'!AA3596,MeanMinAge18))),0)</f>
        <v/>
      </c>
      <c r="AB3545">
        <f>IF('01_Вводные'!$B$234="Да",IF(OR(('19_Расчет_аналитики'!AB3461-'19_Расчет_аналитики'!AB3489)=0,18&lt;='01_Вводные'!$B$297),0,('19_Расчет_аналитики'!AB3461-'19_Расчет_аналитики'!AB3489)*IF('01_Вводные'!$B$239="Да",MeanMinAge18+'19_Расчет_аналитики'!AB3596*SUMIF(ThresholdAge18,"&lt;"&amp;'19_Расчет_аналитики'!AB3596,WeightedRevAge18)-SUMIF(ThresholdAge18,"&lt;"&amp;'19_Расчет_аналитики'!AB3596,WeightedMinAge18),MAX(CapacityAge18*'01_Вводные'!$B$218*'19_Расчет_аналитики'!AB3596,MeanMinAge18))),0)</f>
        <v/>
      </c>
      <c r="AC3545">
        <f>IF('01_Вводные'!$B$234="Да",IF(OR(('19_Расчет_аналитики'!AC3461-'19_Расчет_аналитики'!AC3489)=0,18&lt;='01_Вводные'!$B$297),0,('19_Расчет_аналитики'!AC3461-'19_Расчет_аналитики'!AC3489)*IF('01_Вводные'!$B$239="Да",MeanMinAge18+'19_Расчет_аналитики'!AC3596*SUMIF(ThresholdAge18,"&lt;"&amp;'19_Расчет_аналитики'!AC3596,WeightedRevAge18)-SUMIF(ThresholdAge18,"&lt;"&amp;'19_Расчет_аналитики'!AC3596,WeightedMinAge18),MAX(CapacityAge18*'01_Вводные'!$B$218*'19_Расчет_аналитики'!AC3596,MeanMinAge18))),0)</f>
        <v/>
      </c>
      <c r="AD3545">
        <f>IF('01_Вводные'!$B$234="Да",IF(OR(('19_Расчет_аналитики'!AD3461-'19_Расчет_аналитики'!AD3489)=0,18&lt;='01_Вводные'!$B$297),0,('19_Расчет_аналитики'!AD3461-'19_Расчет_аналитики'!AD3489)*IF('01_Вводные'!$B$239="Да",MeanMinAge18+'19_Расчет_аналитики'!AD3596*SUMIF(ThresholdAge18,"&lt;"&amp;'19_Расчет_аналитики'!AD3596,WeightedRevAge18)-SUMIF(ThresholdAge18,"&lt;"&amp;'19_Расчет_аналитики'!AD3596,WeightedMinAge18),MAX(CapacityAge18*'01_Вводные'!$B$218*'19_Расчет_аналитики'!AD3596,MeanMinAge18))),0)</f>
        <v/>
      </c>
      <c r="AE3545">
        <f>IF('01_Вводные'!$B$234="Да",IF(OR(('19_Расчет_аналитики'!AE3461-'19_Расчет_аналитики'!AE3489)=0,18&lt;='01_Вводные'!$B$297),0,('19_Расчет_аналитики'!AE3461-'19_Расчет_аналитики'!AE3489)*IF('01_Вводные'!$B$239="Да",MeanMinAge18+'19_Расчет_аналитики'!AE3596*SUMIF(ThresholdAge18,"&lt;"&amp;'19_Расчет_аналитики'!AE3596,WeightedRevAge18)-SUMIF(ThresholdAge18,"&lt;"&amp;'19_Расчет_аналитики'!AE3596,WeightedMinAge18),MAX(CapacityAge18*'01_Вводные'!$B$218*'19_Расчет_аналитики'!AE3596,MeanMinAge18))),0)</f>
        <v/>
      </c>
      <c r="AF3545">
        <f>IF('01_Вводные'!$B$234="Да",IF(OR(('19_Расчет_аналитики'!AF3461-'19_Расчет_аналитики'!AF3489)=0,18&lt;='01_Вводные'!$B$297),0,('19_Расчет_аналитики'!AF3461-'19_Расчет_аналитики'!AF3489)*IF('01_Вводные'!$B$239="Да",MeanMinAge18+'19_Расчет_аналитики'!AF3596*SUMIF(ThresholdAge18,"&lt;"&amp;'19_Расчет_аналитики'!AF3596,WeightedRevAge18)-SUMIF(ThresholdAge18,"&lt;"&amp;'19_Расчет_аналитики'!AF3596,WeightedMinAge18),MAX(CapacityAge18*'01_Вводные'!$B$218*'19_Расчет_аналитики'!AF3596,MeanMinAge18))),0)</f>
        <v/>
      </c>
      <c r="AG3545">
        <f>IF('01_Вводные'!$B$234="Да",IF(OR(('19_Расчет_аналитики'!AG3461-'19_Расчет_аналитики'!AG3489)=0,18&lt;='01_Вводные'!$B$297),0,('19_Расчет_аналитики'!AG3461-'19_Расчет_аналитики'!AG3489)*IF('01_Вводные'!$B$239="Да",MeanMinAge18+'19_Расчет_аналитики'!AG3596*SUMIF(ThresholdAge18,"&lt;"&amp;'19_Расчет_аналитики'!AG3596,WeightedRevAge18)-SUMIF(ThresholdAge18,"&lt;"&amp;'19_Расчет_аналитики'!AG3596,WeightedMinAge18),MAX(CapacityAge18*'01_Вводные'!$B$218*'19_Расчет_аналитики'!AG3596,MeanMinAge18))),0)</f>
        <v/>
      </c>
      <c r="AH3545">
        <f>IF('01_Вводные'!$B$234="Да",IF(OR(('19_Расчет_аналитики'!AH3461-'19_Расчет_аналитики'!AH3489)=0,18&lt;='01_Вводные'!$B$297),0,('19_Расчет_аналитики'!AH3461-'19_Расчет_аналитики'!AH3489)*IF('01_Вводные'!$B$239="Да",MeanMinAge18+'19_Расчет_аналитики'!AH3596*SUMIF(ThresholdAge18,"&lt;"&amp;'19_Расчет_аналитики'!AH3596,WeightedRevAge18)-SUMIF(ThresholdAge18,"&lt;"&amp;'19_Расчет_аналитики'!AH3596,WeightedMinAge18),MAX(CapacityAge18*'01_Вводные'!$B$218*'19_Расчет_аналитики'!AH3596,MeanMinAge18))),0)</f>
        <v/>
      </c>
      <c r="AI3545">
        <f>IF('01_Вводные'!$B$234="Да",IF(OR(('19_Расчет_аналитики'!AI3461-'19_Расчет_аналитики'!AI3489)=0,18&lt;='01_Вводные'!$B$297),0,('19_Расчет_аналитики'!AI3461-'19_Расчет_аналитики'!AI3489)*IF('01_Вводные'!$B$239="Да",MeanMinAge18+'19_Расчет_аналитики'!AI3596*SUMIF(ThresholdAge18,"&lt;"&amp;'19_Расчет_аналитики'!AI3596,WeightedRevAge18)-SUMIF(ThresholdAge18,"&lt;"&amp;'19_Расчет_аналитики'!AI3596,WeightedMinAge18),MAX(CapacityAge18*'01_Вводные'!$B$218*'19_Расчет_аналитики'!AI3596,MeanMinAge18))),0)</f>
        <v/>
      </c>
      <c r="AJ3545">
        <f>IF('01_Вводные'!$B$234="Да",IF(OR(('19_Расчет_аналитики'!AJ3461-'19_Расчет_аналитики'!AJ3489)=0,18&lt;='01_Вводные'!$B$297),0,('19_Расчет_аналитики'!AJ3461-'19_Расчет_аналитики'!AJ3489)*IF('01_Вводные'!$B$239="Да",MeanMinAge18+'19_Расчет_аналитики'!AJ3596*SUMIF(ThresholdAge18,"&lt;"&amp;'19_Расчет_аналитики'!AJ3596,WeightedRevAge18)-SUMIF(ThresholdAge18,"&lt;"&amp;'19_Расчет_аналитики'!AJ3596,WeightedMinAge18),MAX(CapacityAge18*'01_Вводные'!$B$218*'19_Расчет_аналитики'!AJ3596,MeanMinAge18))),0)</f>
        <v/>
      </c>
      <c r="AK3545">
        <f>IF('01_Вводные'!$B$234="Да",IF(OR(('19_Расчет_аналитики'!AK3461-'19_Расчет_аналитики'!AK3489)=0,18&lt;='01_Вводные'!$B$297),0,('19_Расчет_аналитики'!AK3461-'19_Расчет_аналитики'!AK3489)*IF('01_Вводные'!$B$239="Да",MeanMinAge18+'19_Расчет_аналитики'!AK3596*SUMIF(ThresholdAge18,"&lt;"&amp;'19_Расчет_аналитики'!AK3596,WeightedRevAge18)-SUMIF(ThresholdAge18,"&lt;"&amp;'19_Расчет_аналитики'!AK3596,WeightedMinAge18),MAX(CapacityAge18*'01_Вводные'!$B$218*'19_Расчет_аналитики'!AK3596,MeanMinAge18))),0)</f>
        <v/>
      </c>
      <c r="AL3545">
        <f>IF('01_Вводные'!$B$234="Да",IF(OR(('19_Расчет_аналитики'!AL3461-'19_Расчет_аналитики'!AL3489)=0,18&lt;='01_Вводные'!$B$297),0,('19_Расчет_аналитики'!AL3461-'19_Расчет_аналитики'!AL3489)*IF('01_Вводные'!$B$239="Да",MeanMinAge18+'19_Расчет_аналитики'!AL3596*SUMIF(ThresholdAge18,"&lt;"&amp;'19_Расчет_аналитики'!AL3596,WeightedRevAge18)-SUMIF(ThresholdAge18,"&lt;"&amp;'19_Расчет_аналитики'!AL3596,WeightedMinAge18),MAX(CapacityAge18*'01_Вводные'!$B$218*'19_Расчет_аналитики'!AL3596,MeanMinAge18))),0)</f>
        <v/>
      </c>
      <c r="AM3545">
        <f>IF('01_Вводные'!$B$234="Да",IF(OR(('19_Расчет_аналитики'!AM3461-'19_Расчет_аналитики'!AM3489)=0,18&lt;='01_Вводные'!$B$297),0,('19_Расчет_аналитики'!AM3461-'19_Расчет_аналитики'!AM3489)*IF('01_Вводные'!$B$239="Да",MeanMinAge18+'19_Расчет_аналитики'!AM3596*SUMIF(ThresholdAge18,"&lt;"&amp;'19_Расчет_аналитики'!AM3596,WeightedRevAge18)-SUMIF(ThresholdAge18,"&lt;"&amp;'19_Расчет_аналитики'!AM3596,WeightedMinAge18),MAX(CapacityAge18*'01_Вводные'!$B$218*'19_Расчет_аналитики'!AM3596,MeanMinAge18))),0)</f>
        <v/>
      </c>
      <c r="AN3545">
        <f>IF('01_Вводные'!$B$234="Да",IF(OR(('19_Расчет_аналитики'!AN3461-'19_Расчет_аналитики'!AN3489)=0,18&lt;='01_Вводные'!$B$297),0,('19_Расчет_аналитики'!AN3461-'19_Расчет_аналитики'!AN3489)*IF('01_Вводные'!$B$239="Да",MeanMinAge18+'19_Расчет_аналитики'!AN3596*SUMIF(ThresholdAge18,"&lt;"&amp;'19_Расчет_аналитики'!AN3596,WeightedRevAge18)-SUMIF(ThresholdAge18,"&lt;"&amp;'19_Расчет_аналитики'!AN3596,WeightedMinAge18),MAX(CapacityAge18*'01_Вводные'!$B$218*'19_Расчет_аналитики'!AN3596,MeanMinAge18))),0)</f>
        <v/>
      </c>
      <c r="AO3545">
        <f>IF('01_Вводные'!$B$234="Да",IF(OR(('19_Расчет_аналитики'!AO3461-'19_Расчет_аналитики'!AO3489)=0,18&lt;='01_Вводные'!$B$297),0,('19_Расчет_аналитики'!AO3461-'19_Расчет_аналитики'!AO3489)*IF('01_Вводные'!$B$239="Да",MeanMinAge18+'19_Расчет_аналитики'!AO3596*SUMIF(ThresholdAge18,"&lt;"&amp;'19_Расчет_аналитики'!AO3596,WeightedRevAge18)-SUMIF(ThresholdAge18,"&lt;"&amp;'19_Расчет_аналитики'!AO3596,WeightedMinAge18),MAX(CapacityAge18*'01_Вводные'!$B$218*'19_Расчет_аналитики'!AO3596,MeanMinAge18))),0)</f>
        <v/>
      </c>
      <c r="AP3545">
        <f>IF('01_Вводные'!$B$234="Да",IF(OR(('19_Расчет_аналитики'!AP3461-'19_Расчет_аналитики'!AP3489)=0,18&lt;='01_Вводные'!$B$297),0,('19_Расчет_аналитики'!AP3461-'19_Расчет_аналитики'!AP3489)*IF('01_Вводные'!$B$239="Да",MeanMinAge18+'19_Расчет_аналитики'!AP3596*SUMIF(ThresholdAge18,"&lt;"&amp;'19_Расчет_аналитики'!AP3596,WeightedRevAge18)-SUMIF(ThresholdAge18,"&lt;"&amp;'19_Расчет_аналитики'!AP3596,WeightedMinAge18),MAX(CapacityAge18*'01_Вводные'!$B$218*'19_Расчет_аналитики'!AP3596,MeanMinAge18))),0)</f>
        <v/>
      </c>
      <c r="AQ3545">
        <f>IF('01_Вводные'!$B$234="Да",IF(OR(('19_Расчет_аналитики'!AQ3461-'19_Расчет_аналитики'!AQ3489)=0,18&lt;='01_Вводные'!$B$297),0,('19_Расчет_аналитики'!AQ3461-'19_Расчет_аналитики'!AQ3489)*IF('01_Вводные'!$B$239="Да",MeanMinAge18+'19_Расчет_аналитики'!AQ3596*SUMIF(ThresholdAge18,"&lt;"&amp;'19_Расчет_аналитики'!AQ3596,WeightedRevAge18)-SUMIF(ThresholdAge18,"&lt;"&amp;'19_Расчет_аналитики'!AQ3596,WeightedMinAge18),MAX(CapacityAge18*'01_Вводные'!$B$218*'19_Расчет_аналитики'!AQ3596,MeanMinAge18))),0)</f>
        <v/>
      </c>
      <c r="AR3545">
        <f>IF('01_Вводные'!$B$234="Да",IF(OR(('19_Расчет_аналитики'!AR3461-'19_Расчет_аналитики'!AR3489)=0,18&lt;='01_Вводные'!$B$297),0,('19_Расчет_аналитики'!AR3461-'19_Расчет_аналитики'!AR3489)*IF('01_Вводные'!$B$239="Да",MeanMinAge18+'19_Расчет_аналитики'!AR3596*SUMIF(ThresholdAge18,"&lt;"&amp;'19_Расчет_аналитики'!AR3596,WeightedRevAge18)-SUMIF(ThresholdAge18,"&lt;"&amp;'19_Расчет_аналитики'!AR3596,WeightedMinAge18),MAX(CapacityAge18*'01_Вводные'!$B$218*'19_Расчет_аналитики'!AR3596,MeanMinAge18))),0)</f>
        <v/>
      </c>
      <c r="AS3545">
        <f>IF('01_Вводные'!$B$234="Да",IF(OR(('19_Расчет_аналитики'!AS3461-'19_Расчет_аналитики'!AS3489)=0,18&lt;='01_Вводные'!$B$297),0,('19_Расчет_аналитики'!AS3461-'19_Расчет_аналитики'!AS3489)*IF('01_Вводные'!$B$239="Да",MeanMinAge18+'19_Расчет_аналитики'!AS3596*SUMIF(ThresholdAge18,"&lt;"&amp;'19_Расчет_аналитики'!AS3596,WeightedRevAge18)-SUMIF(ThresholdAge18,"&lt;"&amp;'19_Расчет_аналитики'!AS3596,WeightedMinAge18),MAX(CapacityAge18*'01_Вводные'!$B$218*'19_Расчет_аналитики'!AS3596,MeanMinAge18))),0)</f>
        <v/>
      </c>
      <c r="AT3545">
        <f>IF('01_Вводные'!$B$234="Да",IF(OR(('19_Расчет_аналитики'!AT3461-'19_Расчет_аналитики'!AT3489)=0,18&lt;='01_Вводные'!$B$297),0,('19_Расчет_аналитики'!AT3461-'19_Расчет_аналитики'!AT3489)*IF('01_Вводные'!$B$239="Да",MeanMinAge18+'19_Расчет_аналитики'!AT3596*SUMIF(ThresholdAge18,"&lt;"&amp;'19_Расчет_аналитики'!AT3596,WeightedRevAge18)-SUMIF(ThresholdAge18,"&lt;"&amp;'19_Расчет_аналитики'!AT3596,WeightedMinAge18),MAX(CapacityAge18*'01_Вводные'!$B$218*'19_Расчет_аналитики'!AT3596,MeanMinAge18))),0)</f>
        <v/>
      </c>
      <c r="AU3545">
        <f>IF('01_Вводные'!$B$234="Да",IF(OR(('19_Расчет_аналитики'!AU3461-'19_Расчет_аналитики'!AU3489)=0,18&lt;='01_Вводные'!$B$297),0,('19_Расчет_аналитики'!AU3461-'19_Расчет_аналитики'!AU3489)*IF('01_Вводные'!$B$239="Да",MeanMinAge18+'19_Расчет_аналитики'!AU3596*SUMIF(ThresholdAge18,"&lt;"&amp;'19_Расчет_аналитики'!AU3596,WeightedRevAge18)-SUMIF(ThresholdAge18,"&lt;"&amp;'19_Расчет_аналитики'!AU3596,WeightedMinAge18),MAX(CapacityAge18*'01_Вводные'!$B$218*'19_Расчет_аналитики'!AU3596,MeanMinAge18))),0)</f>
        <v/>
      </c>
      <c r="AV3545">
        <f>IF('01_Вводные'!$B$234="Да",IF(OR(('19_Расчет_аналитики'!AV3461-'19_Расчет_аналитики'!AV3489)=0,18&lt;='01_Вводные'!$B$297),0,('19_Расчет_аналитики'!AV3461-'19_Расчет_аналитики'!AV3489)*IF('01_Вводные'!$B$239="Да",MeanMinAge18+'19_Расчет_аналитики'!AV3596*SUMIF(ThresholdAge18,"&lt;"&amp;'19_Расчет_аналитики'!AV3596,WeightedRevAge18)-SUMIF(ThresholdAge18,"&lt;"&amp;'19_Расчет_аналитики'!AV3596,WeightedMinAge18),MAX(CapacityAge18*'01_Вводные'!$B$218*'19_Расчет_аналитики'!AV3596,MeanMinAge18))),0)</f>
        <v/>
      </c>
      <c r="AW3545">
        <f>IF('01_Вводные'!$B$234="Да",IF(OR(('19_Расчет_аналитики'!AW3461-'19_Расчет_аналитики'!AW3489)=0,18&lt;='01_Вводные'!$B$297),0,('19_Расчет_аналитики'!AW3461-'19_Расчет_аналитики'!AW3489)*IF('01_Вводные'!$B$239="Да",MeanMinAge18+'19_Расчет_аналитики'!AW3596*SUMIF(ThresholdAge18,"&lt;"&amp;'19_Расчет_аналитики'!AW3596,WeightedRevAge18)-SUMIF(ThresholdAge18,"&lt;"&amp;'19_Расчет_аналитики'!AW3596,WeightedMinAge18),MAX(CapacityAge18*'01_Вводные'!$B$218*'19_Расчет_аналитики'!AW3596,MeanMinAge18))),0)</f>
        <v/>
      </c>
      <c r="AX3545">
        <f>IF('01_Вводные'!$B$234="Да",IF(OR(('19_Расчет_аналитики'!AX3461-'19_Расчет_аналитики'!AX3489)=0,18&lt;='01_Вводные'!$B$297),0,('19_Расчет_аналитики'!AX3461-'19_Расчет_аналитики'!AX3489)*IF('01_Вводные'!$B$239="Да",MeanMinAge18+'19_Расчет_аналитики'!AX3596*SUMIF(ThresholdAge18,"&lt;"&amp;'19_Расчет_аналитики'!AX3596,WeightedRevAge18)-SUMIF(ThresholdAge18,"&lt;"&amp;'19_Расчет_аналитики'!AX3596,WeightedMinAge18),MAX(CapacityAge18*'01_Вводные'!$B$218*'19_Расчет_аналитики'!AX3596,MeanMinAge18))),0)</f>
        <v/>
      </c>
      <c r="AY3545">
        <f>IF('01_Вводные'!$B$234="Да",IF(OR(('19_Расчет_аналитики'!AY3461-'19_Расчет_аналитики'!AY3489)=0,18&lt;='01_Вводные'!$B$297),0,('19_Расчет_аналитики'!AY3461-'19_Расчет_аналитики'!AY3489)*IF('01_Вводные'!$B$239="Да",MeanMinAge18+'19_Расчет_аналитики'!AY3596*SUMIF(ThresholdAge18,"&lt;"&amp;'19_Расчет_аналитики'!AY3596,WeightedRevAge18)-SUMIF(ThresholdAge18,"&lt;"&amp;'19_Расчет_аналитики'!AY3596,WeightedMinAge18),MAX(CapacityAge18*'01_Вводные'!$B$218*'19_Расчет_аналитики'!AY3596,MeanMinAge18))),0)</f>
        <v/>
      </c>
      <c r="AZ3545">
        <f>IF('01_Вводные'!$B$234="Да",IF(OR(('19_Расчет_аналитики'!AZ3461-'19_Расчет_аналитики'!AZ3489)=0,18&lt;='01_Вводные'!$B$297),0,('19_Расчет_аналитики'!AZ3461-'19_Расчет_аналитики'!AZ3489)*IF('01_Вводные'!$B$239="Да",MeanMinAge18+'19_Расчет_аналитики'!AZ3596*SUMIF(ThresholdAge18,"&lt;"&amp;'19_Расчет_аналитики'!AZ3596,WeightedRevAge18)-SUMIF(ThresholdAge18,"&lt;"&amp;'19_Расчет_аналитики'!AZ3596,WeightedMinAge18),MAX(CapacityAge18*'01_Вводные'!$B$218*'19_Расчет_аналитики'!AZ3596,MeanMinAge18))),0)</f>
        <v/>
      </c>
      <c r="BA3545">
        <f>IF('01_Вводные'!$B$234="Да",IF(OR(('19_Расчет_аналитики'!BA3461-'19_Расчет_аналитики'!BA3489)=0,18&lt;='01_Вводные'!$B$297),0,('19_Расчет_аналитики'!BA3461-'19_Расчет_аналитики'!BA3489)*IF('01_Вводные'!$B$239="Да",MeanMinAge18+'19_Расчет_аналитики'!BA3596*SUMIF(ThresholdAge18,"&lt;"&amp;'19_Расчет_аналитики'!BA3596,WeightedRevAge18)-SUMIF(ThresholdAge18,"&lt;"&amp;'19_Расчет_аналитики'!BA3596,WeightedMinAge18),MAX(CapacityAge18*'01_Вводные'!$B$218*'19_Расчет_аналитики'!BA3596,MeanMinAge18))),0)</f>
        <v/>
      </c>
      <c r="BB3545">
        <f>IF('01_Вводные'!$B$234="Да",IF(OR(('19_Расчет_аналитики'!BB3461-'19_Расчет_аналитики'!BB3489)=0,18&lt;='01_Вводные'!$B$297),0,('19_Расчет_аналитики'!BB3461-'19_Расчет_аналитики'!BB3489)*IF('01_Вводные'!$B$239="Да",MeanMinAge18+'19_Расчет_аналитики'!BB3596*SUMIF(ThresholdAge18,"&lt;"&amp;'19_Расчет_аналитики'!BB3596,WeightedRevAge18)-SUMIF(ThresholdAge18,"&lt;"&amp;'19_Расчет_аналитики'!BB3596,WeightedMinAge18),MAX(CapacityAge18*'01_Вводные'!$B$218*'19_Расчет_аналитики'!BB3596,MeanMinAge18))),0)</f>
        <v/>
      </c>
      <c r="BC3545">
        <f>IF('01_Вводные'!$B$234="Да",IF(OR(('19_Расчет_аналитики'!BC3461-'19_Расчет_аналитики'!BC3489)=0,18&lt;='01_Вводные'!$B$297),0,('19_Расчет_аналитики'!BC3461-'19_Расчет_аналитики'!BC3489)*IF('01_Вводные'!$B$239="Да",MeanMinAge18+'19_Расчет_аналитики'!BC3596*SUMIF(ThresholdAge18,"&lt;"&amp;'19_Расчет_аналитики'!BC3596,WeightedRevAge18)-SUMIF(ThresholdAge18,"&lt;"&amp;'19_Расчет_аналитики'!BC3596,WeightedMinAge18),MAX(CapacityAge18*'01_Вводные'!$B$218*'19_Расчет_аналитики'!BC3596,MeanMinAge18))),0)</f>
        <v/>
      </c>
      <c r="BD3545">
        <f>IF('01_Вводные'!$B$234="Да",IF(OR(('19_Расчет_аналитики'!BD3461-'19_Расчет_аналитики'!BD3489)=0,18&lt;='01_Вводные'!$B$297),0,('19_Расчет_аналитики'!BD3461-'19_Расчет_аналитики'!BD3489)*IF('01_Вводные'!$B$239="Да",MeanMinAge18+'19_Расчет_аналитики'!BD3596*SUMIF(ThresholdAge18,"&lt;"&amp;'19_Расчет_аналитики'!BD3596,WeightedRevAge18)-SUMIF(ThresholdAge18,"&lt;"&amp;'19_Расчет_аналитики'!BD3596,WeightedMinAge18),MAX(CapacityAge18*'01_Вводные'!$B$218*'19_Расчет_аналитики'!BD3596,MeanMinAge18))),0)</f>
        <v/>
      </c>
      <c r="BE3545">
        <f>IF('01_Вводные'!$B$234="Да",IF(OR(('19_Расчет_аналитики'!BE3461-'19_Расчет_аналитики'!BE3489)=0,18&lt;='01_Вводные'!$B$297),0,('19_Расчет_аналитики'!BE3461-'19_Расчет_аналитики'!BE3489)*IF('01_Вводные'!$B$239="Да",MeanMinAge18+'19_Расчет_аналитики'!BE3596*SUMIF(ThresholdAge18,"&lt;"&amp;'19_Расчет_аналитики'!BE3596,WeightedRevAge18)-SUMIF(ThresholdAge18,"&lt;"&amp;'19_Расчет_аналитики'!BE3596,WeightedMinAge18),MAX(CapacityAge18*'01_Вводные'!$B$218*'19_Расчет_аналитики'!BE3596,MeanMinAge18))),0)</f>
        <v/>
      </c>
      <c r="BF3545">
        <f>IF('01_Вводные'!$B$234="Да",IF(OR(('19_Расчет_аналитики'!BF3461-'19_Расчет_аналитики'!BF3489)=0,18&lt;='01_Вводные'!$B$297),0,('19_Расчет_аналитики'!BF3461-'19_Расчет_аналитики'!BF3489)*IF('01_Вводные'!$B$239="Да",MeanMinAge18+'19_Расчет_аналитики'!BF3596*SUMIF(ThresholdAge18,"&lt;"&amp;'19_Расчет_аналитики'!BF3596,WeightedRevAge18)-SUMIF(ThresholdAge18,"&lt;"&amp;'19_Расчет_аналитики'!BF3596,WeightedMinAge18),MAX(CapacityAge18*'01_Вводные'!$B$218*'19_Расчет_аналитики'!BF3596,MeanMinAge18))),0)</f>
        <v/>
      </c>
      <c r="BG3545">
        <f>IF('01_Вводные'!$B$234="Да",IF(OR(('19_Расчет_аналитики'!BG3461-'19_Расчет_аналитики'!BG3489)=0,18&lt;='01_Вводные'!$B$297),0,('19_Расчет_аналитики'!BG3461-'19_Расчет_аналитики'!BG3489)*IF('01_Вводные'!$B$239="Да",MeanMinAge18+'19_Расчет_аналитики'!BG3596*SUMIF(ThresholdAge18,"&lt;"&amp;'19_Расчет_аналитики'!BG3596,WeightedRevAge18)-SUMIF(ThresholdAge18,"&lt;"&amp;'19_Расчет_аналитики'!BG3596,WeightedMinAge18),MAX(CapacityAge18*'01_Вводные'!$B$218*'19_Расчет_аналитики'!BG3596,MeanMinAge18))),0)</f>
        <v/>
      </c>
      <c r="BH3545">
        <f>IF('01_Вводные'!$B$234="Да",IF(OR(('19_Расчет_аналитики'!BH3461-'19_Расчет_аналитики'!BH3489)=0,18&lt;='01_Вводные'!$B$297),0,('19_Расчет_аналитики'!BH3461-'19_Расчет_аналитики'!BH3489)*IF('01_Вводные'!$B$239="Да",MeanMinAge18+'19_Расчет_аналитики'!BH3596*SUMIF(ThresholdAge18,"&lt;"&amp;'19_Расчет_аналитики'!BH3596,WeightedRevAge18)-SUMIF(ThresholdAge18,"&lt;"&amp;'19_Расчет_аналитики'!BH3596,WeightedMinAge18),MAX(CapacityAge18*'01_Вводные'!$B$218*'19_Расчет_аналитики'!BH3596,MeanMinAge18))),0)</f>
        <v/>
      </c>
      <c r="BI3545">
        <f>IF('01_Вводные'!$B$234="Да",IF(OR(('19_Расчет_аналитики'!BI3461-'19_Расчет_аналитики'!BI3489)=0,18&lt;='01_Вводные'!$B$297),0,('19_Расчет_аналитики'!BI3461-'19_Расчет_аналитики'!BI3489)*IF('01_Вводные'!$B$239="Да",MeanMinAge18+'19_Расчет_аналитики'!BI3596*SUMIF(ThresholdAge18,"&lt;"&amp;'19_Расчет_аналитики'!BI3596,WeightedRevAge18)-SUMIF(ThresholdAge18,"&lt;"&amp;'19_Расчет_аналитики'!BI3596,WeightedMinAge18),MAX(CapacityAge18*'01_Вводные'!$B$218*'19_Расчет_аналитики'!BI3596,MeanMinAge18))),0)</f>
        <v/>
      </c>
      <c r="BJ3545">
        <f>IF('01_Вводные'!$B$234="Да",IF(OR(('19_Расчет_аналитики'!BJ3461-'19_Расчет_аналитики'!BJ3489)=0,18&lt;='01_Вводные'!$B$297),0,('19_Расчет_аналитики'!BJ3461-'19_Расчет_аналитики'!BJ3489)*IF('01_Вводные'!$B$239="Да",MeanMinAge18+'19_Расчет_аналитики'!BJ3596*SUMIF(ThresholdAge18,"&lt;"&amp;'19_Расчет_аналитики'!BJ3596,WeightedRevAge18)-SUMIF(ThresholdAge18,"&lt;"&amp;'19_Расчет_аналитики'!BJ3596,WeightedMinAge18),MAX(CapacityAge18*'01_Вводные'!$B$218*'19_Расчет_аналитики'!BJ3596,MeanMinAge18))),0)</f>
        <v/>
      </c>
      <c r="BK3545">
        <f>IF('01_Вводные'!$B$234="Да",IF(OR(('19_Расчет_аналитики'!BK3461-'19_Расчет_аналитики'!BK3489)=0,18&lt;='01_Вводные'!$B$297),0,('19_Расчет_аналитики'!BK3461-'19_Расчет_аналитики'!BK3489)*IF('01_Вводные'!$B$239="Да",MeanMinAge18+'19_Расчет_аналитики'!BK3596*SUMIF(ThresholdAge18,"&lt;"&amp;'19_Расчет_аналитики'!BK3596,WeightedRevAge18)-SUMIF(ThresholdAge18,"&lt;"&amp;'19_Расчет_аналитики'!BK3596,WeightedMinAge18),MAX(CapacityAge18*'01_Вводные'!$B$218*'19_Расчет_аналитики'!BK3596,MeanMinAge18))),0)</f>
        <v/>
      </c>
      <c r="BL3545">
        <f>IF('01_Вводные'!$B$234="Да",IF(OR(('19_Расчет_аналитики'!BL3461-'19_Расчет_аналитики'!BL3489)=0,18&lt;='01_Вводные'!$B$297),0,('19_Расчет_аналитики'!BL3461-'19_Расчет_аналитики'!BL3489)*IF('01_Вводные'!$B$239="Да",MeanMinAge18+'19_Расчет_аналитики'!BL3596*SUMIF(ThresholdAge18,"&lt;"&amp;'19_Расчет_аналитики'!BL3596,WeightedRevAge18)-SUMIF(ThresholdAge18,"&lt;"&amp;'19_Расчет_аналитики'!BL3596,WeightedMinAge18),MAX(CapacityAge18*'01_Вводные'!$B$218*'19_Расчет_аналитики'!BL3596,MeanMinAge18))),0)</f>
        <v/>
      </c>
      <c r="BM3545">
        <f>IF('01_Вводные'!$B$234="Да",IF(OR(('19_Расчет_аналитики'!BM3461-'19_Расчет_аналитики'!BM3489)=0,18&lt;='01_Вводные'!$B$297),0,('19_Расчет_аналитики'!BM3461-'19_Расчет_аналитики'!BM3489)*IF('01_Вводные'!$B$239="Да",MeanMinAge18+'19_Расчет_аналитики'!BM3596*SUMIF(ThresholdAge18,"&lt;"&amp;'19_Расчет_аналитики'!BM3596,WeightedRevAge18)-SUMIF(ThresholdAge18,"&lt;"&amp;'19_Расчет_аналитики'!BM3596,WeightedMinAge18),MAX(CapacityAge18*'01_Вводные'!$B$218*'19_Расчет_аналитики'!BM3596,MeanMinAge18))),0)</f>
        <v/>
      </c>
      <c r="BN3545">
        <f>IF('01_Вводные'!$B$234="Да",IF(OR(('19_Расчет_аналитики'!BN3461-'19_Расчет_аналитики'!BN3489)=0,18&lt;='01_Вводные'!$B$297),0,('19_Расчет_аналитики'!BN3461-'19_Расчет_аналитики'!BN3489)*IF('01_Вводные'!$B$239="Да",MeanMinAge18+'19_Расчет_аналитики'!BN3596*SUMIF(ThresholdAge18,"&lt;"&amp;'19_Расчет_аналитики'!BN3596,WeightedRevAge18)-SUMIF(ThresholdAge18,"&lt;"&amp;'19_Расчет_аналитики'!BN3596,WeightedMinAge18),MAX(CapacityAge18*'01_Вводные'!$B$218*'19_Расчет_аналитики'!BN3596,MeanMinAge18))),0)</f>
        <v/>
      </c>
      <c r="BO3545">
        <f>IF('01_Вводные'!$B$234="Да",IF(OR(('19_Расчет_аналитики'!BO3461-'19_Расчет_аналитики'!BO3489)=0,18&lt;='01_Вводные'!$B$297),0,('19_Расчет_аналитики'!BO3461-'19_Расчет_аналитики'!BO3489)*IF('01_Вводные'!$B$239="Да",MeanMinAge18+'19_Расчет_аналитики'!BO3596*SUMIF(ThresholdAge18,"&lt;"&amp;'19_Расчет_аналитики'!BO3596,WeightedRevAge18)-SUMIF(ThresholdAge18,"&lt;"&amp;'19_Расчет_аналитики'!BO3596,WeightedMinAge18),MAX(CapacityAge18*'01_Вводные'!$B$218*'19_Расчет_аналитики'!BO3596,MeanMinAge18))),0)</f>
        <v/>
      </c>
    </row>
    <row r="3546">
      <c r="B3546">
        <f>IF('01_Вводные'!$B$234="Да",IF(OR(('06_Сеть_и_дети'!B71-'06_Сеть_и_дети'!B99)=0,19&lt;='01_Вводные'!$B$297),0,('06_Сеть_и_дети'!B71-'06_Сеть_и_дети'!B99)*IF('01_Вводные'!$B$239="Да",MeanMinAge19+'19_Расчет_аналитики'!B3596*SUMIF(ThresholdAge19,"&lt;"&amp;'19_Расчет_аналитики'!B3596,WeightedRevAge19)-SUMIF(ThresholdAge19,"&lt;"&amp;'19_Расчет_аналитики'!B3596,WeightedMinAge19),MAX(CapacityAge19*'01_Вводные'!$B$218*'19_Расчет_аналитики'!B3596,MeanMinAge19))),0)</f>
        <v/>
      </c>
      <c r="C3546">
        <f>IF('01_Вводные'!$B$234="Да",IF(OR(('06_Сеть_и_дети'!C71-'06_Сеть_и_дети'!C99)=0,19&lt;='01_Вводные'!$B$297),0,('06_Сеть_и_дети'!C71-'06_Сеть_и_дети'!C99)*IF('01_Вводные'!$B$239="Да",MeanMinAge19+'19_Расчет_аналитики'!C3596*SUMIF(ThresholdAge19,"&lt;"&amp;'19_Расчет_аналитики'!C3596,WeightedRevAge19)-SUMIF(ThresholdAge19,"&lt;"&amp;'19_Расчет_аналитики'!C3596,WeightedMinAge19),MAX(CapacityAge19*'01_Вводные'!$B$218*'19_Расчет_аналитики'!C3596,MeanMinAge19))),0)</f>
        <v/>
      </c>
      <c r="D3546">
        <f>IF('01_Вводные'!$B$234="Да",IF(OR(('06_Сеть_и_дети'!D71-'06_Сеть_и_дети'!D99)=0,19&lt;='01_Вводные'!$B$297),0,('06_Сеть_и_дети'!D71-'06_Сеть_и_дети'!D99)*IF('01_Вводные'!$B$239="Да",MeanMinAge19+'19_Расчет_аналитики'!D3596*SUMIF(ThresholdAge19,"&lt;"&amp;'19_Расчет_аналитики'!D3596,WeightedRevAge19)-SUMIF(ThresholdAge19,"&lt;"&amp;'19_Расчет_аналитики'!D3596,WeightedMinAge19),MAX(CapacityAge19*'01_Вводные'!$B$218*'19_Расчет_аналитики'!D3596,MeanMinAge19))),0)</f>
        <v/>
      </c>
      <c r="E3546">
        <f>IF('01_Вводные'!$B$234="Да",IF(OR(('06_Сеть_и_дети'!E71-'06_Сеть_и_дети'!E99)=0,19&lt;='01_Вводные'!$B$297),0,('06_Сеть_и_дети'!E71-'06_Сеть_и_дети'!E99)*IF('01_Вводные'!$B$239="Да",MeanMinAge19+'19_Расчет_аналитики'!E3596*SUMIF(ThresholdAge19,"&lt;"&amp;'19_Расчет_аналитики'!E3596,WeightedRevAge19)-SUMIF(ThresholdAge19,"&lt;"&amp;'19_Расчет_аналитики'!E3596,WeightedMinAge19),MAX(CapacityAge19*'01_Вводные'!$B$218*'19_Расчет_аналитики'!E3596,MeanMinAge19))),0)</f>
        <v/>
      </c>
      <c r="F3546">
        <f>IF('01_Вводные'!$B$234="Да",IF(OR(('06_Сеть_и_дети'!F71-'06_Сеть_и_дети'!F99)=0,19&lt;='01_Вводные'!$B$297),0,('06_Сеть_и_дети'!F71-'06_Сеть_и_дети'!F99)*IF('01_Вводные'!$B$239="Да",MeanMinAge19+'19_Расчет_аналитики'!F3596*SUMIF(ThresholdAge19,"&lt;"&amp;'19_Расчет_аналитики'!F3596,WeightedRevAge19)-SUMIF(ThresholdAge19,"&lt;"&amp;'19_Расчет_аналитики'!F3596,WeightedMinAge19),MAX(CapacityAge19*'01_Вводные'!$B$218*'19_Расчет_аналитики'!F3596,MeanMinAge19))),0)</f>
        <v/>
      </c>
      <c r="G3546">
        <f>IF('01_Вводные'!$B$234="Да",IF(OR(('06_Сеть_и_дети'!G71-'06_Сеть_и_дети'!G99)=0,19&lt;='01_Вводные'!$B$297),0,('06_Сеть_и_дети'!G71-'06_Сеть_и_дети'!G99)*IF('01_Вводные'!$B$239="Да",MeanMinAge19+'19_Расчет_аналитики'!G3596*SUMIF(ThresholdAge19,"&lt;"&amp;'19_Расчет_аналитики'!G3596,WeightedRevAge19)-SUMIF(ThresholdAge19,"&lt;"&amp;'19_Расчет_аналитики'!G3596,WeightedMinAge19),MAX(CapacityAge19*'01_Вводные'!$B$218*'19_Расчет_аналитики'!G3596,MeanMinAge19))),0)</f>
        <v/>
      </c>
      <c r="H3546">
        <f>IF('01_Вводные'!$B$234="Да",IF(OR(('06_Сеть_и_дети'!H71-'06_Сеть_и_дети'!H99)=0,19&lt;='01_Вводные'!$B$297),0,('06_Сеть_и_дети'!H71-'06_Сеть_и_дети'!H99)*IF('01_Вводные'!$B$239="Да",MeanMinAge19+'19_Расчет_аналитики'!H3596*SUMIF(ThresholdAge19,"&lt;"&amp;'19_Расчет_аналитики'!H3596,WeightedRevAge19)-SUMIF(ThresholdAge19,"&lt;"&amp;'19_Расчет_аналитики'!H3596,WeightedMinAge19),MAX(CapacityAge19*'01_Вводные'!$B$218*'19_Расчет_аналитики'!H3596,MeanMinAge19))),0)</f>
        <v/>
      </c>
      <c r="I3546">
        <f>IF('01_Вводные'!$B$234="Да",IF(OR(('06_Сеть_и_дети'!I71-'06_Сеть_и_дети'!I99)=0,19&lt;='01_Вводные'!$B$297),0,('06_Сеть_и_дети'!I71-'06_Сеть_и_дети'!I99)*IF('01_Вводные'!$B$239="Да",MeanMinAge19+'19_Расчет_аналитики'!I3596*SUMIF(ThresholdAge19,"&lt;"&amp;'19_Расчет_аналитики'!I3596,WeightedRevAge19)-SUMIF(ThresholdAge19,"&lt;"&amp;'19_Расчет_аналитики'!I3596,WeightedMinAge19),MAX(CapacityAge19*'01_Вводные'!$B$218*'19_Расчет_аналитики'!I3596,MeanMinAge19))),0)</f>
        <v/>
      </c>
      <c r="J3546">
        <f>IF('01_Вводные'!$B$234="Да",IF(OR(('06_Сеть_и_дети'!J71-'06_Сеть_и_дети'!J99)=0,19&lt;='01_Вводные'!$B$297),0,('06_Сеть_и_дети'!J71-'06_Сеть_и_дети'!J99)*IF('01_Вводные'!$B$239="Да",MeanMinAge19+'19_Расчет_аналитики'!J3596*SUMIF(ThresholdAge19,"&lt;"&amp;'19_Расчет_аналитики'!J3596,WeightedRevAge19)-SUMIF(ThresholdAge19,"&lt;"&amp;'19_Расчет_аналитики'!J3596,WeightedMinAge19),MAX(CapacityAge19*'01_Вводные'!$B$218*'19_Расчет_аналитики'!J3596,MeanMinAge19))),0)</f>
        <v/>
      </c>
      <c r="K3546">
        <f>IF('01_Вводные'!$B$234="Да",IF(OR(('06_Сеть_и_дети'!K71-'06_Сеть_и_дети'!K99)=0,19&lt;='01_Вводные'!$B$297),0,('06_Сеть_и_дети'!K71-'06_Сеть_и_дети'!K99)*IF('01_Вводные'!$B$239="Да",MeanMinAge19+'19_Расчет_аналитики'!K3596*SUMIF(ThresholdAge19,"&lt;"&amp;'19_Расчет_аналитики'!K3596,WeightedRevAge19)-SUMIF(ThresholdAge19,"&lt;"&amp;'19_Расчет_аналитики'!K3596,WeightedMinAge19),MAX(CapacityAge19*'01_Вводные'!$B$218*'19_Расчет_аналитики'!K3596,MeanMinAge19))),0)</f>
        <v/>
      </c>
      <c r="L3546">
        <f>IF('01_Вводные'!$B$234="Да",IF(OR(('06_Сеть_и_дети'!L71-'06_Сеть_и_дети'!L99)=0,19&lt;='01_Вводные'!$B$297),0,('06_Сеть_и_дети'!L71-'06_Сеть_и_дети'!L99)*IF('01_Вводные'!$B$239="Да",MeanMinAge19+'19_Расчет_аналитики'!L3596*SUMIF(ThresholdAge19,"&lt;"&amp;'19_Расчет_аналитики'!L3596,WeightedRevAge19)-SUMIF(ThresholdAge19,"&lt;"&amp;'19_Расчет_аналитики'!L3596,WeightedMinAge19),MAX(CapacityAge19*'01_Вводные'!$B$218*'19_Расчет_аналитики'!L3596,MeanMinAge19))),0)</f>
        <v/>
      </c>
      <c r="M3546">
        <f>IF('01_Вводные'!$B$234="Да",IF(OR(('06_Сеть_и_дети'!M71-'06_Сеть_и_дети'!M99)=0,19&lt;='01_Вводные'!$B$297),0,('06_Сеть_и_дети'!M71-'06_Сеть_и_дети'!M99)*IF('01_Вводные'!$B$239="Да",MeanMinAge19+'19_Расчет_аналитики'!M3596*SUMIF(ThresholdAge19,"&lt;"&amp;'19_Расчет_аналитики'!M3596,WeightedRevAge19)-SUMIF(ThresholdAge19,"&lt;"&amp;'19_Расчет_аналитики'!M3596,WeightedMinAge19),MAX(CapacityAge19*'01_Вводные'!$B$218*'19_Расчет_аналитики'!M3596,MeanMinAge19))),0)</f>
        <v/>
      </c>
      <c r="N3546">
        <f>IF('01_Вводные'!$B$234="Да",IF(OR(('06_Сеть_и_дети'!N71-'06_Сеть_и_дети'!N99)=0,19&lt;='01_Вводные'!$B$297),0,('06_Сеть_и_дети'!N71-'06_Сеть_и_дети'!N99)*IF('01_Вводные'!$B$239="Да",MeanMinAge19+'19_Расчет_аналитики'!N3596*SUMIF(ThresholdAge19,"&lt;"&amp;'19_Расчет_аналитики'!N3596,WeightedRevAge19)-SUMIF(ThresholdAge19,"&lt;"&amp;'19_Расчет_аналитики'!N3596,WeightedMinAge19),MAX(CapacityAge19*'01_Вводные'!$B$218*'19_Расчет_аналитики'!N3596,MeanMinAge19))),0)</f>
        <v/>
      </c>
      <c r="O3546">
        <f>IF('01_Вводные'!$B$234="Да",IF(OR(('06_Сеть_и_дети'!O71-'06_Сеть_и_дети'!O99)=0,19&lt;='01_Вводные'!$B$297),0,('06_Сеть_и_дети'!O71-'06_Сеть_и_дети'!O99)*IF('01_Вводные'!$B$239="Да",MeanMinAge19+'19_Расчет_аналитики'!O3596*SUMIF(ThresholdAge19,"&lt;"&amp;'19_Расчет_аналитики'!O3596,WeightedRevAge19)-SUMIF(ThresholdAge19,"&lt;"&amp;'19_Расчет_аналитики'!O3596,WeightedMinAge19),MAX(CapacityAge19*'01_Вводные'!$B$218*'19_Расчет_аналитики'!O3596,MeanMinAge19))),0)</f>
        <v/>
      </c>
      <c r="P3546">
        <f>IF('01_Вводные'!$B$234="Да",IF(OR(('06_Сеть_и_дети'!P71-'06_Сеть_и_дети'!P99)=0,19&lt;='01_Вводные'!$B$297),0,('06_Сеть_и_дети'!P71-'06_Сеть_и_дети'!P99)*IF('01_Вводные'!$B$239="Да",MeanMinAge19+'19_Расчет_аналитики'!P3596*SUMIF(ThresholdAge19,"&lt;"&amp;'19_Расчет_аналитики'!P3596,WeightedRevAge19)-SUMIF(ThresholdAge19,"&lt;"&amp;'19_Расчет_аналитики'!P3596,WeightedMinAge19),MAX(CapacityAge19*'01_Вводные'!$B$218*'19_Расчет_аналитики'!P3596,MeanMinAge19))),0)</f>
        <v/>
      </c>
      <c r="Q3546">
        <f>IF('01_Вводные'!$B$234="Да",IF(OR(('06_Сеть_и_дети'!Q71-'06_Сеть_и_дети'!Q99)=0,19&lt;='01_Вводные'!$B$297),0,('06_Сеть_и_дети'!Q71-'06_Сеть_и_дети'!Q99)*IF('01_Вводные'!$B$239="Да",MeanMinAge19+'19_Расчет_аналитики'!Q3596*SUMIF(ThresholdAge19,"&lt;"&amp;'19_Расчет_аналитики'!Q3596,WeightedRevAge19)-SUMIF(ThresholdAge19,"&lt;"&amp;'19_Расчет_аналитики'!Q3596,WeightedMinAge19),MAX(CapacityAge19*'01_Вводные'!$B$218*'19_Расчет_аналитики'!Q3596,MeanMinAge19))),0)</f>
        <v/>
      </c>
      <c r="R3546">
        <f>IF('01_Вводные'!$B$234="Да",IF(OR(('06_Сеть_и_дети'!R71-'06_Сеть_и_дети'!R99)=0,19&lt;='01_Вводные'!$B$297),0,('06_Сеть_и_дети'!R71-'06_Сеть_и_дети'!R99)*IF('01_Вводные'!$B$239="Да",MeanMinAge19+'19_Расчет_аналитики'!R3596*SUMIF(ThresholdAge19,"&lt;"&amp;'19_Расчет_аналитики'!R3596,WeightedRevAge19)-SUMIF(ThresholdAge19,"&lt;"&amp;'19_Расчет_аналитики'!R3596,WeightedMinAge19),MAX(CapacityAge19*'01_Вводные'!$B$218*'19_Расчет_аналитики'!R3596,MeanMinAge19))),0)</f>
        <v/>
      </c>
      <c r="S3546">
        <f>IF('01_Вводные'!$B$234="Да",IF(OR(('06_Сеть_и_дети'!S71-'06_Сеть_и_дети'!S99)=0,19&lt;='01_Вводные'!$B$297),0,('06_Сеть_и_дети'!S71-'06_Сеть_и_дети'!S99)*IF('01_Вводные'!$B$239="Да",MeanMinAge19+'19_Расчет_аналитики'!S3596*SUMIF(ThresholdAge19,"&lt;"&amp;'19_Расчет_аналитики'!S3596,WeightedRevAge19)-SUMIF(ThresholdAge19,"&lt;"&amp;'19_Расчет_аналитики'!S3596,WeightedMinAge19),MAX(CapacityAge19*'01_Вводные'!$B$218*'19_Расчет_аналитики'!S3596,MeanMinAge19))),0)</f>
        <v/>
      </c>
      <c r="T3546">
        <f>IF('01_Вводные'!$B$234="Да",IF(OR(('19_Расчет_аналитики'!T3462-'19_Расчет_аналитики'!T3490)=0,19&lt;='01_Вводные'!$B$297),0,('19_Расчет_аналитики'!T3462-'19_Расчет_аналитики'!T3490)*IF('01_Вводные'!$B$239="Да",MeanMinAge19+'19_Расчет_аналитики'!T3596*SUMIF(ThresholdAge19,"&lt;"&amp;'19_Расчет_аналитики'!T3596,WeightedRevAge19)-SUMIF(ThresholdAge19,"&lt;"&amp;'19_Расчет_аналитики'!T3596,WeightedMinAge19),MAX(CapacityAge19*'01_Вводные'!$B$218*'19_Расчет_аналитики'!T3596,MeanMinAge19))),0)</f>
        <v/>
      </c>
      <c r="U3546">
        <f>IF('01_Вводные'!$B$234="Да",IF(OR(('19_Расчет_аналитики'!U3462-'19_Расчет_аналитики'!U3490)=0,19&lt;='01_Вводные'!$B$297),0,('19_Расчет_аналитики'!U3462-'19_Расчет_аналитики'!U3490)*IF('01_Вводные'!$B$239="Да",MeanMinAge19+'19_Расчет_аналитики'!U3596*SUMIF(ThresholdAge19,"&lt;"&amp;'19_Расчет_аналитики'!U3596,WeightedRevAge19)-SUMIF(ThresholdAge19,"&lt;"&amp;'19_Расчет_аналитики'!U3596,WeightedMinAge19),MAX(CapacityAge19*'01_Вводные'!$B$218*'19_Расчет_аналитики'!U3596,MeanMinAge19))),0)</f>
        <v/>
      </c>
      <c r="V3546">
        <f>IF('01_Вводные'!$B$234="Да",IF(OR(('19_Расчет_аналитики'!V3462-'19_Расчет_аналитики'!V3490)=0,19&lt;='01_Вводные'!$B$297),0,('19_Расчет_аналитики'!V3462-'19_Расчет_аналитики'!V3490)*IF('01_Вводные'!$B$239="Да",MeanMinAge19+'19_Расчет_аналитики'!V3596*SUMIF(ThresholdAge19,"&lt;"&amp;'19_Расчет_аналитики'!V3596,WeightedRevAge19)-SUMIF(ThresholdAge19,"&lt;"&amp;'19_Расчет_аналитики'!V3596,WeightedMinAge19),MAX(CapacityAge19*'01_Вводные'!$B$218*'19_Расчет_аналитики'!V3596,MeanMinAge19))),0)</f>
        <v/>
      </c>
      <c r="W3546">
        <f>IF('01_Вводные'!$B$234="Да",IF(OR(('19_Расчет_аналитики'!W3462-'19_Расчет_аналитики'!W3490)=0,19&lt;='01_Вводные'!$B$297),0,('19_Расчет_аналитики'!W3462-'19_Расчет_аналитики'!W3490)*IF('01_Вводные'!$B$239="Да",MeanMinAge19+'19_Расчет_аналитики'!W3596*SUMIF(ThresholdAge19,"&lt;"&amp;'19_Расчет_аналитики'!W3596,WeightedRevAge19)-SUMIF(ThresholdAge19,"&lt;"&amp;'19_Расчет_аналитики'!W3596,WeightedMinAge19),MAX(CapacityAge19*'01_Вводные'!$B$218*'19_Расчет_аналитики'!W3596,MeanMinAge19))),0)</f>
        <v/>
      </c>
      <c r="X3546">
        <f>IF('01_Вводные'!$B$234="Да",IF(OR(('19_Расчет_аналитики'!X3462-'19_Расчет_аналитики'!X3490)=0,19&lt;='01_Вводные'!$B$297),0,('19_Расчет_аналитики'!X3462-'19_Расчет_аналитики'!X3490)*IF('01_Вводные'!$B$239="Да",MeanMinAge19+'19_Расчет_аналитики'!X3596*SUMIF(ThresholdAge19,"&lt;"&amp;'19_Расчет_аналитики'!X3596,WeightedRevAge19)-SUMIF(ThresholdAge19,"&lt;"&amp;'19_Расчет_аналитики'!X3596,WeightedMinAge19),MAX(CapacityAge19*'01_Вводные'!$B$218*'19_Расчет_аналитики'!X3596,MeanMinAge19))),0)</f>
        <v/>
      </c>
      <c r="Y3546">
        <f>IF('01_Вводные'!$B$234="Да",IF(OR(('19_Расчет_аналитики'!Y3462-'19_Расчет_аналитики'!Y3490)=0,19&lt;='01_Вводные'!$B$297),0,('19_Расчет_аналитики'!Y3462-'19_Расчет_аналитики'!Y3490)*IF('01_Вводные'!$B$239="Да",MeanMinAge19+'19_Расчет_аналитики'!Y3596*SUMIF(ThresholdAge19,"&lt;"&amp;'19_Расчет_аналитики'!Y3596,WeightedRevAge19)-SUMIF(ThresholdAge19,"&lt;"&amp;'19_Расчет_аналитики'!Y3596,WeightedMinAge19),MAX(CapacityAge19*'01_Вводные'!$B$218*'19_Расчет_аналитики'!Y3596,MeanMinAge19))),0)</f>
        <v/>
      </c>
      <c r="Z3546">
        <f>IF('01_Вводные'!$B$234="Да",IF(OR(('19_Расчет_аналитики'!Z3462-'19_Расчет_аналитики'!Z3490)=0,19&lt;='01_Вводные'!$B$297),0,('19_Расчет_аналитики'!Z3462-'19_Расчет_аналитики'!Z3490)*IF('01_Вводные'!$B$239="Да",MeanMinAge19+'19_Расчет_аналитики'!Z3596*SUMIF(ThresholdAge19,"&lt;"&amp;'19_Расчет_аналитики'!Z3596,WeightedRevAge19)-SUMIF(ThresholdAge19,"&lt;"&amp;'19_Расчет_аналитики'!Z3596,WeightedMinAge19),MAX(CapacityAge19*'01_Вводные'!$B$218*'19_Расчет_аналитики'!Z3596,MeanMinAge19))),0)</f>
        <v/>
      </c>
      <c r="AA3546">
        <f>IF('01_Вводные'!$B$234="Да",IF(OR(('19_Расчет_аналитики'!AA3462-'19_Расчет_аналитики'!AA3490)=0,19&lt;='01_Вводные'!$B$297),0,('19_Расчет_аналитики'!AA3462-'19_Расчет_аналитики'!AA3490)*IF('01_Вводные'!$B$239="Да",MeanMinAge19+'19_Расчет_аналитики'!AA3596*SUMIF(ThresholdAge19,"&lt;"&amp;'19_Расчет_аналитики'!AA3596,WeightedRevAge19)-SUMIF(ThresholdAge19,"&lt;"&amp;'19_Расчет_аналитики'!AA3596,WeightedMinAge19),MAX(CapacityAge19*'01_Вводные'!$B$218*'19_Расчет_аналитики'!AA3596,MeanMinAge19))),0)</f>
        <v/>
      </c>
      <c r="AB3546">
        <f>IF('01_Вводные'!$B$234="Да",IF(OR(('19_Расчет_аналитики'!AB3462-'19_Расчет_аналитики'!AB3490)=0,19&lt;='01_Вводные'!$B$297),0,('19_Расчет_аналитики'!AB3462-'19_Расчет_аналитики'!AB3490)*IF('01_Вводные'!$B$239="Да",MeanMinAge19+'19_Расчет_аналитики'!AB3596*SUMIF(ThresholdAge19,"&lt;"&amp;'19_Расчет_аналитики'!AB3596,WeightedRevAge19)-SUMIF(ThresholdAge19,"&lt;"&amp;'19_Расчет_аналитики'!AB3596,WeightedMinAge19),MAX(CapacityAge19*'01_Вводные'!$B$218*'19_Расчет_аналитики'!AB3596,MeanMinAge19))),0)</f>
        <v/>
      </c>
      <c r="AC3546">
        <f>IF('01_Вводные'!$B$234="Да",IF(OR(('19_Расчет_аналитики'!AC3462-'19_Расчет_аналитики'!AC3490)=0,19&lt;='01_Вводные'!$B$297),0,('19_Расчет_аналитики'!AC3462-'19_Расчет_аналитики'!AC3490)*IF('01_Вводные'!$B$239="Да",MeanMinAge19+'19_Расчет_аналитики'!AC3596*SUMIF(ThresholdAge19,"&lt;"&amp;'19_Расчет_аналитики'!AC3596,WeightedRevAge19)-SUMIF(ThresholdAge19,"&lt;"&amp;'19_Расчет_аналитики'!AC3596,WeightedMinAge19),MAX(CapacityAge19*'01_Вводные'!$B$218*'19_Расчет_аналитики'!AC3596,MeanMinAge19))),0)</f>
        <v/>
      </c>
      <c r="AD3546">
        <f>IF('01_Вводные'!$B$234="Да",IF(OR(('19_Расчет_аналитики'!AD3462-'19_Расчет_аналитики'!AD3490)=0,19&lt;='01_Вводные'!$B$297),0,('19_Расчет_аналитики'!AD3462-'19_Расчет_аналитики'!AD3490)*IF('01_Вводные'!$B$239="Да",MeanMinAge19+'19_Расчет_аналитики'!AD3596*SUMIF(ThresholdAge19,"&lt;"&amp;'19_Расчет_аналитики'!AD3596,WeightedRevAge19)-SUMIF(ThresholdAge19,"&lt;"&amp;'19_Расчет_аналитики'!AD3596,WeightedMinAge19),MAX(CapacityAge19*'01_Вводные'!$B$218*'19_Расчет_аналитики'!AD3596,MeanMinAge19))),0)</f>
        <v/>
      </c>
      <c r="AE3546">
        <f>IF('01_Вводные'!$B$234="Да",IF(OR(('19_Расчет_аналитики'!AE3462-'19_Расчет_аналитики'!AE3490)=0,19&lt;='01_Вводные'!$B$297),0,('19_Расчет_аналитики'!AE3462-'19_Расчет_аналитики'!AE3490)*IF('01_Вводные'!$B$239="Да",MeanMinAge19+'19_Расчет_аналитики'!AE3596*SUMIF(ThresholdAge19,"&lt;"&amp;'19_Расчет_аналитики'!AE3596,WeightedRevAge19)-SUMIF(ThresholdAge19,"&lt;"&amp;'19_Расчет_аналитики'!AE3596,WeightedMinAge19),MAX(CapacityAge19*'01_Вводные'!$B$218*'19_Расчет_аналитики'!AE3596,MeanMinAge19))),0)</f>
        <v/>
      </c>
      <c r="AF3546">
        <f>IF('01_Вводные'!$B$234="Да",IF(OR(('19_Расчет_аналитики'!AF3462-'19_Расчет_аналитики'!AF3490)=0,19&lt;='01_Вводные'!$B$297),0,('19_Расчет_аналитики'!AF3462-'19_Расчет_аналитики'!AF3490)*IF('01_Вводные'!$B$239="Да",MeanMinAge19+'19_Расчет_аналитики'!AF3596*SUMIF(ThresholdAge19,"&lt;"&amp;'19_Расчет_аналитики'!AF3596,WeightedRevAge19)-SUMIF(ThresholdAge19,"&lt;"&amp;'19_Расчет_аналитики'!AF3596,WeightedMinAge19),MAX(CapacityAge19*'01_Вводные'!$B$218*'19_Расчет_аналитики'!AF3596,MeanMinAge19))),0)</f>
        <v/>
      </c>
      <c r="AG3546">
        <f>IF('01_Вводные'!$B$234="Да",IF(OR(('19_Расчет_аналитики'!AG3462-'19_Расчет_аналитики'!AG3490)=0,19&lt;='01_Вводные'!$B$297),0,('19_Расчет_аналитики'!AG3462-'19_Расчет_аналитики'!AG3490)*IF('01_Вводные'!$B$239="Да",MeanMinAge19+'19_Расчет_аналитики'!AG3596*SUMIF(ThresholdAge19,"&lt;"&amp;'19_Расчет_аналитики'!AG3596,WeightedRevAge19)-SUMIF(ThresholdAge19,"&lt;"&amp;'19_Расчет_аналитики'!AG3596,WeightedMinAge19),MAX(CapacityAge19*'01_Вводные'!$B$218*'19_Расчет_аналитики'!AG3596,MeanMinAge19))),0)</f>
        <v/>
      </c>
      <c r="AH3546">
        <f>IF('01_Вводные'!$B$234="Да",IF(OR(('19_Расчет_аналитики'!AH3462-'19_Расчет_аналитики'!AH3490)=0,19&lt;='01_Вводные'!$B$297),0,('19_Расчет_аналитики'!AH3462-'19_Расчет_аналитики'!AH3490)*IF('01_Вводные'!$B$239="Да",MeanMinAge19+'19_Расчет_аналитики'!AH3596*SUMIF(ThresholdAge19,"&lt;"&amp;'19_Расчет_аналитики'!AH3596,WeightedRevAge19)-SUMIF(ThresholdAge19,"&lt;"&amp;'19_Расчет_аналитики'!AH3596,WeightedMinAge19),MAX(CapacityAge19*'01_Вводные'!$B$218*'19_Расчет_аналитики'!AH3596,MeanMinAge19))),0)</f>
        <v/>
      </c>
      <c r="AI3546">
        <f>IF('01_Вводные'!$B$234="Да",IF(OR(('19_Расчет_аналитики'!AI3462-'19_Расчет_аналитики'!AI3490)=0,19&lt;='01_Вводные'!$B$297),0,('19_Расчет_аналитики'!AI3462-'19_Расчет_аналитики'!AI3490)*IF('01_Вводные'!$B$239="Да",MeanMinAge19+'19_Расчет_аналитики'!AI3596*SUMIF(ThresholdAge19,"&lt;"&amp;'19_Расчет_аналитики'!AI3596,WeightedRevAge19)-SUMIF(ThresholdAge19,"&lt;"&amp;'19_Расчет_аналитики'!AI3596,WeightedMinAge19),MAX(CapacityAge19*'01_Вводные'!$B$218*'19_Расчет_аналитики'!AI3596,MeanMinAge19))),0)</f>
        <v/>
      </c>
      <c r="AJ3546">
        <f>IF('01_Вводные'!$B$234="Да",IF(OR(('19_Расчет_аналитики'!AJ3462-'19_Расчет_аналитики'!AJ3490)=0,19&lt;='01_Вводные'!$B$297),0,('19_Расчет_аналитики'!AJ3462-'19_Расчет_аналитики'!AJ3490)*IF('01_Вводные'!$B$239="Да",MeanMinAge19+'19_Расчет_аналитики'!AJ3596*SUMIF(ThresholdAge19,"&lt;"&amp;'19_Расчет_аналитики'!AJ3596,WeightedRevAge19)-SUMIF(ThresholdAge19,"&lt;"&amp;'19_Расчет_аналитики'!AJ3596,WeightedMinAge19),MAX(CapacityAge19*'01_Вводные'!$B$218*'19_Расчет_аналитики'!AJ3596,MeanMinAge19))),0)</f>
        <v/>
      </c>
      <c r="AK3546">
        <f>IF('01_Вводные'!$B$234="Да",IF(OR(('19_Расчет_аналитики'!AK3462-'19_Расчет_аналитики'!AK3490)=0,19&lt;='01_Вводные'!$B$297),0,('19_Расчет_аналитики'!AK3462-'19_Расчет_аналитики'!AK3490)*IF('01_Вводные'!$B$239="Да",MeanMinAge19+'19_Расчет_аналитики'!AK3596*SUMIF(ThresholdAge19,"&lt;"&amp;'19_Расчет_аналитики'!AK3596,WeightedRevAge19)-SUMIF(ThresholdAge19,"&lt;"&amp;'19_Расчет_аналитики'!AK3596,WeightedMinAge19),MAX(CapacityAge19*'01_Вводные'!$B$218*'19_Расчет_аналитики'!AK3596,MeanMinAge19))),0)</f>
        <v/>
      </c>
      <c r="AL3546">
        <f>IF('01_Вводные'!$B$234="Да",IF(OR(('19_Расчет_аналитики'!AL3462-'19_Расчет_аналитики'!AL3490)=0,19&lt;='01_Вводные'!$B$297),0,('19_Расчет_аналитики'!AL3462-'19_Расчет_аналитики'!AL3490)*IF('01_Вводные'!$B$239="Да",MeanMinAge19+'19_Расчет_аналитики'!AL3596*SUMIF(ThresholdAge19,"&lt;"&amp;'19_Расчет_аналитики'!AL3596,WeightedRevAge19)-SUMIF(ThresholdAge19,"&lt;"&amp;'19_Расчет_аналитики'!AL3596,WeightedMinAge19),MAX(CapacityAge19*'01_Вводные'!$B$218*'19_Расчет_аналитики'!AL3596,MeanMinAge19))),0)</f>
        <v/>
      </c>
      <c r="AM3546">
        <f>IF('01_Вводные'!$B$234="Да",IF(OR(('19_Расчет_аналитики'!AM3462-'19_Расчет_аналитики'!AM3490)=0,19&lt;='01_Вводные'!$B$297),0,('19_Расчет_аналитики'!AM3462-'19_Расчет_аналитики'!AM3490)*IF('01_Вводные'!$B$239="Да",MeanMinAge19+'19_Расчет_аналитики'!AM3596*SUMIF(ThresholdAge19,"&lt;"&amp;'19_Расчет_аналитики'!AM3596,WeightedRevAge19)-SUMIF(ThresholdAge19,"&lt;"&amp;'19_Расчет_аналитики'!AM3596,WeightedMinAge19),MAX(CapacityAge19*'01_Вводные'!$B$218*'19_Расчет_аналитики'!AM3596,MeanMinAge19))),0)</f>
        <v/>
      </c>
      <c r="AN3546">
        <f>IF('01_Вводные'!$B$234="Да",IF(OR(('19_Расчет_аналитики'!AN3462-'19_Расчет_аналитики'!AN3490)=0,19&lt;='01_Вводные'!$B$297),0,('19_Расчет_аналитики'!AN3462-'19_Расчет_аналитики'!AN3490)*IF('01_Вводные'!$B$239="Да",MeanMinAge19+'19_Расчет_аналитики'!AN3596*SUMIF(ThresholdAge19,"&lt;"&amp;'19_Расчет_аналитики'!AN3596,WeightedRevAge19)-SUMIF(ThresholdAge19,"&lt;"&amp;'19_Расчет_аналитики'!AN3596,WeightedMinAge19),MAX(CapacityAge19*'01_Вводные'!$B$218*'19_Расчет_аналитики'!AN3596,MeanMinAge19))),0)</f>
        <v/>
      </c>
      <c r="AO3546">
        <f>IF('01_Вводные'!$B$234="Да",IF(OR(('19_Расчет_аналитики'!AO3462-'19_Расчет_аналитики'!AO3490)=0,19&lt;='01_Вводные'!$B$297),0,('19_Расчет_аналитики'!AO3462-'19_Расчет_аналитики'!AO3490)*IF('01_Вводные'!$B$239="Да",MeanMinAge19+'19_Расчет_аналитики'!AO3596*SUMIF(ThresholdAge19,"&lt;"&amp;'19_Расчет_аналитики'!AO3596,WeightedRevAge19)-SUMIF(ThresholdAge19,"&lt;"&amp;'19_Расчет_аналитики'!AO3596,WeightedMinAge19),MAX(CapacityAge19*'01_Вводные'!$B$218*'19_Расчет_аналитики'!AO3596,MeanMinAge19))),0)</f>
        <v/>
      </c>
      <c r="AP3546">
        <f>IF('01_Вводные'!$B$234="Да",IF(OR(('19_Расчет_аналитики'!AP3462-'19_Расчет_аналитики'!AP3490)=0,19&lt;='01_Вводные'!$B$297),0,('19_Расчет_аналитики'!AP3462-'19_Расчет_аналитики'!AP3490)*IF('01_Вводные'!$B$239="Да",MeanMinAge19+'19_Расчет_аналитики'!AP3596*SUMIF(ThresholdAge19,"&lt;"&amp;'19_Расчет_аналитики'!AP3596,WeightedRevAge19)-SUMIF(ThresholdAge19,"&lt;"&amp;'19_Расчет_аналитики'!AP3596,WeightedMinAge19),MAX(CapacityAge19*'01_Вводные'!$B$218*'19_Расчет_аналитики'!AP3596,MeanMinAge19))),0)</f>
        <v/>
      </c>
      <c r="AQ3546">
        <f>IF('01_Вводные'!$B$234="Да",IF(OR(('19_Расчет_аналитики'!AQ3462-'19_Расчет_аналитики'!AQ3490)=0,19&lt;='01_Вводные'!$B$297),0,('19_Расчет_аналитики'!AQ3462-'19_Расчет_аналитики'!AQ3490)*IF('01_Вводные'!$B$239="Да",MeanMinAge19+'19_Расчет_аналитики'!AQ3596*SUMIF(ThresholdAge19,"&lt;"&amp;'19_Расчет_аналитики'!AQ3596,WeightedRevAge19)-SUMIF(ThresholdAge19,"&lt;"&amp;'19_Расчет_аналитики'!AQ3596,WeightedMinAge19),MAX(CapacityAge19*'01_Вводные'!$B$218*'19_Расчет_аналитики'!AQ3596,MeanMinAge19))),0)</f>
        <v/>
      </c>
      <c r="AR3546">
        <f>IF('01_Вводные'!$B$234="Да",IF(OR(('19_Расчет_аналитики'!AR3462-'19_Расчет_аналитики'!AR3490)=0,19&lt;='01_Вводные'!$B$297),0,('19_Расчет_аналитики'!AR3462-'19_Расчет_аналитики'!AR3490)*IF('01_Вводные'!$B$239="Да",MeanMinAge19+'19_Расчет_аналитики'!AR3596*SUMIF(ThresholdAge19,"&lt;"&amp;'19_Расчет_аналитики'!AR3596,WeightedRevAge19)-SUMIF(ThresholdAge19,"&lt;"&amp;'19_Расчет_аналитики'!AR3596,WeightedMinAge19),MAX(CapacityAge19*'01_Вводные'!$B$218*'19_Расчет_аналитики'!AR3596,MeanMinAge19))),0)</f>
        <v/>
      </c>
      <c r="AS3546">
        <f>IF('01_Вводные'!$B$234="Да",IF(OR(('19_Расчет_аналитики'!AS3462-'19_Расчет_аналитики'!AS3490)=0,19&lt;='01_Вводные'!$B$297),0,('19_Расчет_аналитики'!AS3462-'19_Расчет_аналитики'!AS3490)*IF('01_Вводные'!$B$239="Да",MeanMinAge19+'19_Расчет_аналитики'!AS3596*SUMIF(ThresholdAge19,"&lt;"&amp;'19_Расчет_аналитики'!AS3596,WeightedRevAge19)-SUMIF(ThresholdAge19,"&lt;"&amp;'19_Расчет_аналитики'!AS3596,WeightedMinAge19),MAX(CapacityAge19*'01_Вводные'!$B$218*'19_Расчет_аналитики'!AS3596,MeanMinAge19))),0)</f>
        <v/>
      </c>
      <c r="AT3546">
        <f>IF('01_Вводные'!$B$234="Да",IF(OR(('19_Расчет_аналитики'!AT3462-'19_Расчет_аналитики'!AT3490)=0,19&lt;='01_Вводные'!$B$297),0,('19_Расчет_аналитики'!AT3462-'19_Расчет_аналитики'!AT3490)*IF('01_Вводные'!$B$239="Да",MeanMinAge19+'19_Расчет_аналитики'!AT3596*SUMIF(ThresholdAge19,"&lt;"&amp;'19_Расчет_аналитики'!AT3596,WeightedRevAge19)-SUMIF(ThresholdAge19,"&lt;"&amp;'19_Расчет_аналитики'!AT3596,WeightedMinAge19),MAX(CapacityAge19*'01_Вводные'!$B$218*'19_Расчет_аналитики'!AT3596,MeanMinAge19))),0)</f>
        <v/>
      </c>
      <c r="AU3546">
        <f>IF('01_Вводные'!$B$234="Да",IF(OR(('19_Расчет_аналитики'!AU3462-'19_Расчет_аналитики'!AU3490)=0,19&lt;='01_Вводные'!$B$297),0,('19_Расчет_аналитики'!AU3462-'19_Расчет_аналитики'!AU3490)*IF('01_Вводные'!$B$239="Да",MeanMinAge19+'19_Расчет_аналитики'!AU3596*SUMIF(ThresholdAge19,"&lt;"&amp;'19_Расчет_аналитики'!AU3596,WeightedRevAge19)-SUMIF(ThresholdAge19,"&lt;"&amp;'19_Расчет_аналитики'!AU3596,WeightedMinAge19),MAX(CapacityAge19*'01_Вводные'!$B$218*'19_Расчет_аналитики'!AU3596,MeanMinAge19))),0)</f>
        <v/>
      </c>
      <c r="AV3546">
        <f>IF('01_Вводные'!$B$234="Да",IF(OR(('19_Расчет_аналитики'!AV3462-'19_Расчет_аналитики'!AV3490)=0,19&lt;='01_Вводные'!$B$297),0,('19_Расчет_аналитики'!AV3462-'19_Расчет_аналитики'!AV3490)*IF('01_Вводные'!$B$239="Да",MeanMinAge19+'19_Расчет_аналитики'!AV3596*SUMIF(ThresholdAge19,"&lt;"&amp;'19_Расчет_аналитики'!AV3596,WeightedRevAge19)-SUMIF(ThresholdAge19,"&lt;"&amp;'19_Расчет_аналитики'!AV3596,WeightedMinAge19),MAX(CapacityAge19*'01_Вводные'!$B$218*'19_Расчет_аналитики'!AV3596,MeanMinAge19))),0)</f>
        <v/>
      </c>
      <c r="AW3546">
        <f>IF('01_Вводные'!$B$234="Да",IF(OR(('19_Расчет_аналитики'!AW3462-'19_Расчет_аналитики'!AW3490)=0,19&lt;='01_Вводные'!$B$297),0,('19_Расчет_аналитики'!AW3462-'19_Расчет_аналитики'!AW3490)*IF('01_Вводные'!$B$239="Да",MeanMinAge19+'19_Расчет_аналитики'!AW3596*SUMIF(ThresholdAge19,"&lt;"&amp;'19_Расчет_аналитики'!AW3596,WeightedRevAge19)-SUMIF(ThresholdAge19,"&lt;"&amp;'19_Расчет_аналитики'!AW3596,WeightedMinAge19),MAX(CapacityAge19*'01_Вводные'!$B$218*'19_Расчет_аналитики'!AW3596,MeanMinAge19))),0)</f>
        <v/>
      </c>
      <c r="AX3546">
        <f>IF('01_Вводные'!$B$234="Да",IF(OR(('19_Расчет_аналитики'!AX3462-'19_Расчет_аналитики'!AX3490)=0,19&lt;='01_Вводные'!$B$297),0,('19_Расчет_аналитики'!AX3462-'19_Расчет_аналитики'!AX3490)*IF('01_Вводные'!$B$239="Да",MeanMinAge19+'19_Расчет_аналитики'!AX3596*SUMIF(ThresholdAge19,"&lt;"&amp;'19_Расчет_аналитики'!AX3596,WeightedRevAge19)-SUMIF(ThresholdAge19,"&lt;"&amp;'19_Расчет_аналитики'!AX3596,WeightedMinAge19),MAX(CapacityAge19*'01_Вводные'!$B$218*'19_Расчет_аналитики'!AX3596,MeanMinAge19))),0)</f>
        <v/>
      </c>
      <c r="AY3546">
        <f>IF('01_Вводные'!$B$234="Да",IF(OR(('19_Расчет_аналитики'!AY3462-'19_Расчет_аналитики'!AY3490)=0,19&lt;='01_Вводные'!$B$297),0,('19_Расчет_аналитики'!AY3462-'19_Расчет_аналитики'!AY3490)*IF('01_Вводные'!$B$239="Да",MeanMinAge19+'19_Расчет_аналитики'!AY3596*SUMIF(ThresholdAge19,"&lt;"&amp;'19_Расчет_аналитики'!AY3596,WeightedRevAge19)-SUMIF(ThresholdAge19,"&lt;"&amp;'19_Расчет_аналитики'!AY3596,WeightedMinAge19),MAX(CapacityAge19*'01_Вводные'!$B$218*'19_Расчет_аналитики'!AY3596,MeanMinAge19))),0)</f>
        <v/>
      </c>
      <c r="AZ3546">
        <f>IF('01_Вводные'!$B$234="Да",IF(OR(('19_Расчет_аналитики'!AZ3462-'19_Расчет_аналитики'!AZ3490)=0,19&lt;='01_Вводные'!$B$297),0,('19_Расчет_аналитики'!AZ3462-'19_Расчет_аналитики'!AZ3490)*IF('01_Вводные'!$B$239="Да",MeanMinAge19+'19_Расчет_аналитики'!AZ3596*SUMIF(ThresholdAge19,"&lt;"&amp;'19_Расчет_аналитики'!AZ3596,WeightedRevAge19)-SUMIF(ThresholdAge19,"&lt;"&amp;'19_Расчет_аналитики'!AZ3596,WeightedMinAge19),MAX(CapacityAge19*'01_Вводные'!$B$218*'19_Расчет_аналитики'!AZ3596,MeanMinAge19))),0)</f>
        <v/>
      </c>
      <c r="BA3546">
        <f>IF('01_Вводные'!$B$234="Да",IF(OR(('19_Расчет_аналитики'!BA3462-'19_Расчет_аналитики'!BA3490)=0,19&lt;='01_Вводные'!$B$297),0,('19_Расчет_аналитики'!BA3462-'19_Расчет_аналитики'!BA3490)*IF('01_Вводные'!$B$239="Да",MeanMinAge19+'19_Расчет_аналитики'!BA3596*SUMIF(ThresholdAge19,"&lt;"&amp;'19_Расчет_аналитики'!BA3596,WeightedRevAge19)-SUMIF(ThresholdAge19,"&lt;"&amp;'19_Расчет_аналитики'!BA3596,WeightedMinAge19),MAX(CapacityAge19*'01_Вводные'!$B$218*'19_Расчет_аналитики'!BA3596,MeanMinAge19))),0)</f>
        <v/>
      </c>
      <c r="BB3546">
        <f>IF('01_Вводные'!$B$234="Да",IF(OR(('19_Расчет_аналитики'!BB3462-'19_Расчет_аналитики'!BB3490)=0,19&lt;='01_Вводные'!$B$297),0,('19_Расчет_аналитики'!BB3462-'19_Расчет_аналитики'!BB3490)*IF('01_Вводные'!$B$239="Да",MeanMinAge19+'19_Расчет_аналитики'!BB3596*SUMIF(ThresholdAge19,"&lt;"&amp;'19_Расчет_аналитики'!BB3596,WeightedRevAge19)-SUMIF(ThresholdAge19,"&lt;"&amp;'19_Расчет_аналитики'!BB3596,WeightedMinAge19),MAX(CapacityAge19*'01_Вводные'!$B$218*'19_Расчет_аналитики'!BB3596,MeanMinAge19))),0)</f>
        <v/>
      </c>
      <c r="BC3546">
        <f>IF('01_Вводные'!$B$234="Да",IF(OR(('19_Расчет_аналитики'!BC3462-'19_Расчет_аналитики'!BC3490)=0,19&lt;='01_Вводные'!$B$297),0,('19_Расчет_аналитики'!BC3462-'19_Расчет_аналитики'!BC3490)*IF('01_Вводные'!$B$239="Да",MeanMinAge19+'19_Расчет_аналитики'!BC3596*SUMIF(ThresholdAge19,"&lt;"&amp;'19_Расчет_аналитики'!BC3596,WeightedRevAge19)-SUMIF(ThresholdAge19,"&lt;"&amp;'19_Расчет_аналитики'!BC3596,WeightedMinAge19),MAX(CapacityAge19*'01_Вводные'!$B$218*'19_Расчет_аналитики'!BC3596,MeanMinAge19))),0)</f>
        <v/>
      </c>
      <c r="BD3546">
        <f>IF('01_Вводные'!$B$234="Да",IF(OR(('19_Расчет_аналитики'!BD3462-'19_Расчет_аналитики'!BD3490)=0,19&lt;='01_Вводные'!$B$297),0,('19_Расчет_аналитики'!BD3462-'19_Расчет_аналитики'!BD3490)*IF('01_Вводные'!$B$239="Да",MeanMinAge19+'19_Расчет_аналитики'!BD3596*SUMIF(ThresholdAge19,"&lt;"&amp;'19_Расчет_аналитики'!BD3596,WeightedRevAge19)-SUMIF(ThresholdAge19,"&lt;"&amp;'19_Расчет_аналитики'!BD3596,WeightedMinAge19),MAX(CapacityAge19*'01_Вводные'!$B$218*'19_Расчет_аналитики'!BD3596,MeanMinAge19))),0)</f>
        <v/>
      </c>
      <c r="BE3546">
        <f>IF('01_Вводные'!$B$234="Да",IF(OR(('19_Расчет_аналитики'!BE3462-'19_Расчет_аналитики'!BE3490)=0,19&lt;='01_Вводные'!$B$297),0,('19_Расчет_аналитики'!BE3462-'19_Расчет_аналитики'!BE3490)*IF('01_Вводные'!$B$239="Да",MeanMinAge19+'19_Расчет_аналитики'!BE3596*SUMIF(ThresholdAge19,"&lt;"&amp;'19_Расчет_аналитики'!BE3596,WeightedRevAge19)-SUMIF(ThresholdAge19,"&lt;"&amp;'19_Расчет_аналитики'!BE3596,WeightedMinAge19),MAX(CapacityAge19*'01_Вводные'!$B$218*'19_Расчет_аналитики'!BE3596,MeanMinAge19))),0)</f>
        <v/>
      </c>
      <c r="BF3546">
        <f>IF('01_Вводные'!$B$234="Да",IF(OR(('19_Расчет_аналитики'!BF3462-'19_Расчет_аналитики'!BF3490)=0,19&lt;='01_Вводные'!$B$297),0,('19_Расчет_аналитики'!BF3462-'19_Расчет_аналитики'!BF3490)*IF('01_Вводные'!$B$239="Да",MeanMinAge19+'19_Расчет_аналитики'!BF3596*SUMIF(ThresholdAge19,"&lt;"&amp;'19_Расчет_аналитики'!BF3596,WeightedRevAge19)-SUMIF(ThresholdAge19,"&lt;"&amp;'19_Расчет_аналитики'!BF3596,WeightedMinAge19),MAX(CapacityAge19*'01_Вводные'!$B$218*'19_Расчет_аналитики'!BF3596,MeanMinAge19))),0)</f>
        <v/>
      </c>
      <c r="BG3546">
        <f>IF('01_Вводные'!$B$234="Да",IF(OR(('19_Расчет_аналитики'!BG3462-'19_Расчет_аналитики'!BG3490)=0,19&lt;='01_Вводные'!$B$297),0,('19_Расчет_аналитики'!BG3462-'19_Расчет_аналитики'!BG3490)*IF('01_Вводные'!$B$239="Да",MeanMinAge19+'19_Расчет_аналитики'!BG3596*SUMIF(ThresholdAge19,"&lt;"&amp;'19_Расчет_аналитики'!BG3596,WeightedRevAge19)-SUMIF(ThresholdAge19,"&lt;"&amp;'19_Расчет_аналитики'!BG3596,WeightedMinAge19),MAX(CapacityAge19*'01_Вводные'!$B$218*'19_Расчет_аналитики'!BG3596,MeanMinAge19))),0)</f>
        <v/>
      </c>
      <c r="BH3546">
        <f>IF('01_Вводные'!$B$234="Да",IF(OR(('19_Расчет_аналитики'!BH3462-'19_Расчет_аналитики'!BH3490)=0,19&lt;='01_Вводные'!$B$297),0,('19_Расчет_аналитики'!BH3462-'19_Расчет_аналитики'!BH3490)*IF('01_Вводные'!$B$239="Да",MeanMinAge19+'19_Расчет_аналитики'!BH3596*SUMIF(ThresholdAge19,"&lt;"&amp;'19_Расчет_аналитики'!BH3596,WeightedRevAge19)-SUMIF(ThresholdAge19,"&lt;"&amp;'19_Расчет_аналитики'!BH3596,WeightedMinAge19),MAX(CapacityAge19*'01_Вводные'!$B$218*'19_Расчет_аналитики'!BH3596,MeanMinAge19))),0)</f>
        <v/>
      </c>
      <c r="BI3546">
        <f>IF('01_Вводные'!$B$234="Да",IF(OR(('19_Расчет_аналитики'!BI3462-'19_Расчет_аналитики'!BI3490)=0,19&lt;='01_Вводные'!$B$297),0,('19_Расчет_аналитики'!BI3462-'19_Расчет_аналитики'!BI3490)*IF('01_Вводные'!$B$239="Да",MeanMinAge19+'19_Расчет_аналитики'!BI3596*SUMIF(ThresholdAge19,"&lt;"&amp;'19_Расчет_аналитики'!BI3596,WeightedRevAge19)-SUMIF(ThresholdAge19,"&lt;"&amp;'19_Расчет_аналитики'!BI3596,WeightedMinAge19),MAX(CapacityAge19*'01_Вводные'!$B$218*'19_Расчет_аналитики'!BI3596,MeanMinAge19))),0)</f>
        <v/>
      </c>
      <c r="BJ3546">
        <f>IF('01_Вводные'!$B$234="Да",IF(OR(('19_Расчет_аналитики'!BJ3462-'19_Расчет_аналитики'!BJ3490)=0,19&lt;='01_Вводные'!$B$297),0,('19_Расчет_аналитики'!BJ3462-'19_Расчет_аналитики'!BJ3490)*IF('01_Вводные'!$B$239="Да",MeanMinAge19+'19_Расчет_аналитики'!BJ3596*SUMIF(ThresholdAge19,"&lt;"&amp;'19_Расчет_аналитики'!BJ3596,WeightedRevAge19)-SUMIF(ThresholdAge19,"&lt;"&amp;'19_Расчет_аналитики'!BJ3596,WeightedMinAge19),MAX(CapacityAge19*'01_Вводные'!$B$218*'19_Расчет_аналитики'!BJ3596,MeanMinAge19))),0)</f>
        <v/>
      </c>
      <c r="BK3546">
        <f>IF('01_Вводные'!$B$234="Да",IF(OR(('19_Расчет_аналитики'!BK3462-'19_Расчет_аналитики'!BK3490)=0,19&lt;='01_Вводные'!$B$297),0,('19_Расчет_аналитики'!BK3462-'19_Расчет_аналитики'!BK3490)*IF('01_Вводные'!$B$239="Да",MeanMinAge19+'19_Расчет_аналитики'!BK3596*SUMIF(ThresholdAge19,"&lt;"&amp;'19_Расчет_аналитики'!BK3596,WeightedRevAge19)-SUMIF(ThresholdAge19,"&lt;"&amp;'19_Расчет_аналитики'!BK3596,WeightedMinAge19),MAX(CapacityAge19*'01_Вводные'!$B$218*'19_Расчет_аналитики'!BK3596,MeanMinAge19))),0)</f>
        <v/>
      </c>
      <c r="BL3546">
        <f>IF('01_Вводные'!$B$234="Да",IF(OR(('19_Расчет_аналитики'!BL3462-'19_Расчет_аналитики'!BL3490)=0,19&lt;='01_Вводные'!$B$297),0,('19_Расчет_аналитики'!BL3462-'19_Расчет_аналитики'!BL3490)*IF('01_Вводные'!$B$239="Да",MeanMinAge19+'19_Расчет_аналитики'!BL3596*SUMIF(ThresholdAge19,"&lt;"&amp;'19_Расчет_аналитики'!BL3596,WeightedRevAge19)-SUMIF(ThresholdAge19,"&lt;"&amp;'19_Расчет_аналитики'!BL3596,WeightedMinAge19),MAX(CapacityAge19*'01_Вводные'!$B$218*'19_Расчет_аналитики'!BL3596,MeanMinAge19))),0)</f>
        <v/>
      </c>
      <c r="BM3546">
        <f>IF('01_Вводные'!$B$234="Да",IF(OR(('19_Расчет_аналитики'!BM3462-'19_Расчет_аналитики'!BM3490)=0,19&lt;='01_Вводные'!$B$297),0,('19_Расчет_аналитики'!BM3462-'19_Расчет_аналитики'!BM3490)*IF('01_Вводные'!$B$239="Да",MeanMinAge19+'19_Расчет_аналитики'!BM3596*SUMIF(ThresholdAge19,"&lt;"&amp;'19_Расчет_аналитики'!BM3596,WeightedRevAge19)-SUMIF(ThresholdAge19,"&lt;"&amp;'19_Расчет_аналитики'!BM3596,WeightedMinAge19),MAX(CapacityAge19*'01_Вводные'!$B$218*'19_Расчет_аналитики'!BM3596,MeanMinAge19))),0)</f>
        <v/>
      </c>
      <c r="BN3546">
        <f>IF('01_Вводные'!$B$234="Да",IF(OR(('19_Расчет_аналитики'!BN3462-'19_Расчет_аналитики'!BN3490)=0,19&lt;='01_Вводные'!$B$297),0,('19_Расчет_аналитики'!BN3462-'19_Расчет_аналитики'!BN3490)*IF('01_Вводные'!$B$239="Да",MeanMinAge19+'19_Расчет_аналитики'!BN3596*SUMIF(ThresholdAge19,"&lt;"&amp;'19_Расчет_аналитики'!BN3596,WeightedRevAge19)-SUMIF(ThresholdAge19,"&lt;"&amp;'19_Расчет_аналитики'!BN3596,WeightedMinAge19),MAX(CapacityAge19*'01_Вводные'!$B$218*'19_Расчет_аналитики'!BN3596,MeanMinAge19))),0)</f>
        <v/>
      </c>
      <c r="BO3546">
        <f>IF('01_Вводные'!$B$234="Да",IF(OR(('19_Расчет_аналитики'!BO3462-'19_Расчет_аналитики'!BO3490)=0,19&lt;='01_Вводные'!$B$297),0,('19_Расчет_аналитики'!BO3462-'19_Расчет_аналитики'!BO3490)*IF('01_Вводные'!$B$239="Да",MeanMinAge19+'19_Расчет_аналитики'!BO3596*SUMIF(ThresholdAge19,"&lt;"&amp;'19_Расчет_аналитики'!BO3596,WeightedRevAge19)-SUMIF(ThresholdAge19,"&lt;"&amp;'19_Расчет_аналитики'!BO3596,WeightedMinAge19),MAX(CapacityAge19*'01_Вводные'!$B$218*'19_Расчет_аналитики'!BO3596,MeanMinAge19))),0)</f>
        <v/>
      </c>
    </row>
    <row r="3547">
      <c r="B3547">
        <f>IF('01_Вводные'!$B$234="Да",IF(OR(('06_Сеть_и_дети'!B72-'06_Сеть_и_дети'!B100)=0,20&lt;='01_Вводные'!$B$297),0,('06_Сеть_и_дети'!B72-'06_Сеть_и_дети'!B100)*IF('01_Вводные'!$B$239="Да",MeanMinAge20+'19_Расчет_аналитики'!B3596*SUMIF(ThresholdAge20,"&lt;"&amp;'19_Расчет_аналитики'!B3596,WeightedRevAge20)-SUMIF(ThresholdAge20,"&lt;"&amp;'19_Расчет_аналитики'!B3596,WeightedMinAge20),MAX(CapacityAge20*'01_Вводные'!$B$218*'19_Расчет_аналитики'!B3596,MeanMinAge20))),0)</f>
        <v/>
      </c>
      <c r="C3547">
        <f>IF('01_Вводные'!$B$234="Да",IF(OR(('06_Сеть_и_дети'!C72-'06_Сеть_и_дети'!C100)=0,20&lt;='01_Вводные'!$B$297),0,('06_Сеть_и_дети'!C72-'06_Сеть_и_дети'!C100)*IF('01_Вводные'!$B$239="Да",MeanMinAge20+'19_Расчет_аналитики'!C3596*SUMIF(ThresholdAge20,"&lt;"&amp;'19_Расчет_аналитики'!C3596,WeightedRevAge20)-SUMIF(ThresholdAge20,"&lt;"&amp;'19_Расчет_аналитики'!C3596,WeightedMinAge20),MAX(CapacityAge20*'01_Вводные'!$B$218*'19_Расчет_аналитики'!C3596,MeanMinAge20))),0)</f>
        <v/>
      </c>
      <c r="D3547">
        <f>IF('01_Вводные'!$B$234="Да",IF(OR(('06_Сеть_и_дети'!D72-'06_Сеть_и_дети'!D100)=0,20&lt;='01_Вводные'!$B$297),0,('06_Сеть_и_дети'!D72-'06_Сеть_и_дети'!D100)*IF('01_Вводные'!$B$239="Да",MeanMinAge20+'19_Расчет_аналитики'!D3596*SUMIF(ThresholdAge20,"&lt;"&amp;'19_Расчет_аналитики'!D3596,WeightedRevAge20)-SUMIF(ThresholdAge20,"&lt;"&amp;'19_Расчет_аналитики'!D3596,WeightedMinAge20),MAX(CapacityAge20*'01_Вводные'!$B$218*'19_Расчет_аналитики'!D3596,MeanMinAge20))),0)</f>
        <v/>
      </c>
      <c r="E3547">
        <f>IF('01_Вводные'!$B$234="Да",IF(OR(('06_Сеть_и_дети'!E72-'06_Сеть_и_дети'!E100)=0,20&lt;='01_Вводные'!$B$297),0,('06_Сеть_и_дети'!E72-'06_Сеть_и_дети'!E100)*IF('01_Вводные'!$B$239="Да",MeanMinAge20+'19_Расчет_аналитики'!E3596*SUMIF(ThresholdAge20,"&lt;"&amp;'19_Расчет_аналитики'!E3596,WeightedRevAge20)-SUMIF(ThresholdAge20,"&lt;"&amp;'19_Расчет_аналитики'!E3596,WeightedMinAge20),MAX(CapacityAge20*'01_Вводные'!$B$218*'19_Расчет_аналитики'!E3596,MeanMinAge20))),0)</f>
        <v/>
      </c>
      <c r="F3547">
        <f>IF('01_Вводные'!$B$234="Да",IF(OR(('06_Сеть_и_дети'!F72-'06_Сеть_и_дети'!F100)=0,20&lt;='01_Вводные'!$B$297),0,('06_Сеть_и_дети'!F72-'06_Сеть_и_дети'!F100)*IF('01_Вводные'!$B$239="Да",MeanMinAge20+'19_Расчет_аналитики'!F3596*SUMIF(ThresholdAge20,"&lt;"&amp;'19_Расчет_аналитики'!F3596,WeightedRevAge20)-SUMIF(ThresholdAge20,"&lt;"&amp;'19_Расчет_аналитики'!F3596,WeightedMinAge20),MAX(CapacityAge20*'01_Вводные'!$B$218*'19_Расчет_аналитики'!F3596,MeanMinAge20))),0)</f>
        <v/>
      </c>
      <c r="G3547">
        <f>IF('01_Вводные'!$B$234="Да",IF(OR(('06_Сеть_и_дети'!G72-'06_Сеть_и_дети'!G100)=0,20&lt;='01_Вводные'!$B$297),0,('06_Сеть_и_дети'!G72-'06_Сеть_и_дети'!G100)*IF('01_Вводные'!$B$239="Да",MeanMinAge20+'19_Расчет_аналитики'!G3596*SUMIF(ThresholdAge20,"&lt;"&amp;'19_Расчет_аналитики'!G3596,WeightedRevAge20)-SUMIF(ThresholdAge20,"&lt;"&amp;'19_Расчет_аналитики'!G3596,WeightedMinAge20),MAX(CapacityAge20*'01_Вводные'!$B$218*'19_Расчет_аналитики'!G3596,MeanMinAge20))),0)</f>
        <v/>
      </c>
      <c r="H3547">
        <f>IF('01_Вводные'!$B$234="Да",IF(OR(('06_Сеть_и_дети'!H72-'06_Сеть_и_дети'!H100)=0,20&lt;='01_Вводные'!$B$297),0,('06_Сеть_и_дети'!H72-'06_Сеть_и_дети'!H100)*IF('01_Вводные'!$B$239="Да",MeanMinAge20+'19_Расчет_аналитики'!H3596*SUMIF(ThresholdAge20,"&lt;"&amp;'19_Расчет_аналитики'!H3596,WeightedRevAge20)-SUMIF(ThresholdAge20,"&lt;"&amp;'19_Расчет_аналитики'!H3596,WeightedMinAge20),MAX(CapacityAge20*'01_Вводные'!$B$218*'19_Расчет_аналитики'!H3596,MeanMinAge20))),0)</f>
        <v/>
      </c>
      <c r="I3547">
        <f>IF('01_Вводные'!$B$234="Да",IF(OR(('06_Сеть_и_дети'!I72-'06_Сеть_и_дети'!I100)=0,20&lt;='01_Вводные'!$B$297),0,('06_Сеть_и_дети'!I72-'06_Сеть_и_дети'!I100)*IF('01_Вводные'!$B$239="Да",MeanMinAge20+'19_Расчет_аналитики'!I3596*SUMIF(ThresholdAge20,"&lt;"&amp;'19_Расчет_аналитики'!I3596,WeightedRevAge20)-SUMIF(ThresholdAge20,"&lt;"&amp;'19_Расчет_аналитики'!I3596,WeightedMinAge20),MAX(CapacityAge20*'01_Вводные'!$B$218*'19_Расчет_аналитики'!I3596,MeanMinAge20))),0)</f>
        <v/>
      </c>
      <c r="J3547">
        <f>IF('01_Вводные'!$B$234="Да",IF(OR(('06_Сеть_и_дети'!J72-'06_Сеть_и_дети'!J100)=0,20&lt;='01_Вводные'!$B$297),0,('06_Сеть_и_дети'!J72-'06_Сеть_и_дети'!J100)*IF('01_Вводные'!$B$239="Да",MeanMinAge20+'19_Расчет_аналитики'!J3596*SUMIF(ThresholdAge20,"&lt;"&amp;'19_Расчет_аналитики'!J3596,WeightedRevAge20)-SUMIF(ThresholdAge20,"&lt;"&amp;'19_Расчет_аналитики'!J3596,WeightedMinAge20),MAX(CapacityAge20*'01_Вводные'!$B$218*'19_Расчет_аналитики'!J3596,MeanMinAge20))),0)</f>
        <v/>
      </c>
      <c r="K3547">
        <f>IF('01_Вводные'!$B$234="Да",IF(OR(('06_Сеть_и_дети'!K72-'06_Сеть_и_дети'!K100)=0,20&lt;='01_Вводные'!$B$297),0,('06_Сеть_и_дети'!K72-'06_Сеть_и_дети'!K100)*IF('01_Вводные'!$B$239="Да",MeanMinAge20+'19_Расчет_аналитики'!K3596*SUMIF(ThresholdAge20,"&lt;"&amp;'19_Расчет_аналитики'!K3596,WeightedRevAge20)-SUMIF(ThresholdAge20,"&lt;"&amp;'19_Расчет_аналитики'!K3596,WeightedMinAge20),MAX(CapacityAge20*'01_Вводные'!$B$218*'19_Расчет_аналитики'!K3596,MeanMinAge20))),0)</f>
        <v/>
      </c>
      <c r="L3547">
        <f>IF('01_Вводные'!$B$234="Да",IF(OR(('06_Сеть_и_дети'!L72-'06_Сеть_и_дети'!L100)=0,20&lt;='01_Вводные'!$B$297),0,('06_Сеть_и_дети'!L72-'06_Сеть_и_дети'!L100)*IF('01_Вводные'!$B$239="Да",MeanMinAge20+'19_Расчет_аналитики'!L3596*SUMIF(ThresholdAge20,"&lt;"&amp;'19_Расчет_аналитики'!L3596,WeightedRevAge20)-SUMIF(ThresholdAge20,"&lt;"&amp;'19_Расчет_аналитики'!L3596,WeightedMinAge20),MAX(CapacityAge20*'01_Вводные'!$B$218*'19_Расчет_аналитики'!L3596,MeanMinAge20))),0)</f>
        <v/>
      </c>
      <c r="M3547">
        <f>IF('01_Вводные'!$B$234="Да",IF(OR(('06_Сеть_и_дети'!M72-'06_Сеть_и_дети'!M100)=0,20&lt;='01_Вводные'!$B$297),0,('06_Сеть_и_дети'!M72-'06_Сеть_и_дети'!M100)*IF('01_Вводные'!$B$239="Да",MeanMinAge20+'19_Расчет_аналитики'!M3596*SUMIF(ThresholdAge20,"&lt;"&amp;'19_Расчет_аналитики'!M3596,WeightedRevAge20)-SUMIF(ThresholdAge20,"&lt;"&amp;'19_Расчет_аналитики'!M3596,WeightedMinAge20),MAX(CapacityAge20*'01_Вводные'!$B$218*'19_Расчет_аналитики'!M3596,MeanMinAge20))),0)</f>
        <v/>
      </c>
      <c r="N3547">
        <f>IF('01_Вводные'!$B$234="Да",IF(OR(('06_Сеть_и_дети'!N72-'06_Сеть_и_дети'!N100)=0,20&lt;='01_Вводные'!$B$297),0,('06_Сеть_и_дети'!N72-'06_Сеть_и_дети'!N100)*IF('01_Вводные'!$B$239="Да",MeanMinAge20+'19_Расчет_аналитики'!N3596*SUMIF(ThresholdAge20,"&lt;"&amp;'19_Расчет_аналитики'!N3596,WeightedRevAge20)-SUMIF(ThresholdAge20,"&lt;"&amp;'19_Расчет_аналитики'!N3596,WeightedMinAge20),MAX(CapacityAge20*'01_Вводные'!$B$218*'19_Расчет_аналитики'!N3596,MeanMinAge20))),0)</f>
        <v/>
      </c>
      <c r="O3547">
        <f>IF('01_Вводные'!$B$234="Да",IF(OR(('06_Сеть_и_дети'!O72-'06_Сеть_и_дети'!O100)=0,20&lt;='01_Вводные'!$B$297),0,('06_Сеть_и_дети'!O72-'06_Сеть_и_дети'!O100)*IF('01_Вводные'!$B$239="Да",MeanMinAge20+'19_Расчет_аналитики'!O3596*SUMIF(ThresholdAge20,"&lt;"&amp;'19_Расчет_аналитики'!O3596,WeightedRevAge20)-SUMIF(ThresholdAge20,"&lt;"&amp;'19_Расчет_аналитики'!O3596,WeightedMinAge20),MAX(CapacityAge20*'01_Вводные'!$B$218*'19_Расчет_аналитики'!O3596,MeanMinAge20))),0)</f>
        <v/>
      </c>
      <c r="P3547">
        <f>IF('01_Вводные'!$B$234="Да",IF(OR(('06_Сеть_и_дети'!P72-'06_Сеть_и_дети'!P100)=0,20&lt;='01_Вводные'!$B$297),0,('06_Сеть_и_дети'!P72-'06_Сеть_и_дети'!P100)*IF('01_Вводные'!$B$239="Да",MeanMinAge20+'19_Расчет_аналитики'!P3596*SUMIF(ThresholdAge20,"&lt;"&amp;'19_Расчет_аналитики'!P3596,WeightedRevAge20)-SUMIF(ThresholdAge20,"&lt;"&amp;'19_Расчет_аналитики'!P3596,WeightedMinAge20),MAX(CapacityAge20*'01_Вводные'!$B$218*'19_Расчет_аналитики'!P3596,MeanMinAge20))),0)</f>
        <v/>
      </c>
      <c r="Q3547">
        <f>IF('01_Вводные'!$B$234="Да",IF(OR(('06_Сеть_и_дети'!Q72-'06_Сеть_и_дети'!Q100)=0,20&lt;='01_Вводные'!$B$297),0,('06_Сеть_и_дети'!Q72-'06_Сеть_и_дети'!Q100)*IF('01_Вводные'!$B$239="Да",MeanMinAge20+'19_Расчет_аналитики'!Q3596*SUMIF(ThresholdAge20,"&lt;"&amp;'19_Расчет_аналитики'!Q3596,WeightedRevAge20)-SUMIF(ThresholdAge20,"&lt;"&amp;'19_Расчет_аналитики'!Q3596,WeightedMinAge20),MAX(CapacityAge20*'01_Вводные'!$B$218*'19_Расчет_аналитики'!Q3596,MeanMinAge20))),0)</f>
        <v/>
      </c>
      <c r="R3547">
        <f>IF('01_Вводные'!$B$234="Да",IF(OR(('06_Сеть_и_дети'!R72-'06_Сеть_и_дети'!R100)=0,20&lt;='01_Вводные'!$B$297),0,('06_Сеть_и_дети'!R72-'06_Сеть_и_дети'!R100)*IF('01_Вводные'!$B$239="Да",MeanMinAge20+'19_Расчет_аналитики'!R3596*SUMIF(ThresholdAge20,"&lt;"&amp;'19_Расчет_аналитики'!R3596,WeightedRevAge20)-SUMIF(ThresholdAge20,"&lt;"&amp;'19_Расчет_аналитики'!R3596,WeightedMinAge20),MAX(CapacityAge20*'01_Вводные'!$B$218*'19_Расчет_аналитики'!R3596,MeanMinAge20))),0)</f>
        <v/>
      </c>
      <c r="S3547">
        <f>IF('01_Вводные'!$B$234="Да",IF(OR(('06_Сеть_и_дети'!S72-'06_Сеть_и_дети'!S100)=0,20&lt;='01_Вводные'!$B$297),0,('06_Сеть_и_дети'!S72-'06_Сеть_и_дети'!S100)*IF('01_Вводные'!$B$239="Да",MeanMinAge20+'19_Расчет_аналитики'!S3596*SUMIF(ThresholdAge20,"&lt;"&amp;'19_Расчет_аналитики'!S3596,WeightedRevAge20)-SUMIF(ThresholdAge20,"&lt;"&amp;'19_Расчет_аналитики'!S3596,WeightedMinAge20),MAX(CapacityAge20*'01_Вводные'!$B$218*'19_Расчет_аналитики'!S3596,MeanMinAge20))),0)</f>
        <v/>
      </c>
      <c r="T3547">
        <f>IF('01_Вводные'!$B$234="Да",IF(OR(('06_Сеть_и_дети'!T72-'06_Сеть_и_дети'!T100)=0,20&lt;='01_Вводные'!$B$297),0,('06_Сеть_и_дети'!T72-'06_Сеть_и_дети'!T100)*IF('01_Вводные'!$B$239="Да",MeanMinAge20+'19_Расчет_аналитики'!T3596*SUMIF(ThresholdAge20,"&lt;"&amp;'19_Расчет_аналитики'!T3596,WeightedRevAge20)-SUMIF(ThresholdAge20,"&lt;"&amp;'19_Расчет_аналитики'!T3596,WeightedMinAge20),MAX(CapacityAge20*'01_Вводные'!$B$218*'19_Расчет_аналитики'!T3596,MeanMinAge20))),0)</f>
        <v/>
      </c>
      <c r="U3547">
        <f>IF('01_Вводные'!$B$234="Да",IF(OR(('19_Расчет_аналитики'!U3463-'19_Расчет_аналитики'!U3491)=0,20&lt;='01_Вводные'!$B$297),0,('19_Расчет_аналитики'!U3463-'19_Расчет_аналитики'!U3491)*IF('01_Вводные'!$B$239="Да",MeanMinAge20+'19_Расчет_аналитики'!U3596*SUMIF(ThresholdAge20,"&lt;"&amp;'19_Расчет_аналитики'!U3596,WeightedRevAge20)-SUMIF(ThresholdAge20,"&lt;"&amp;'19_Расчет_аналитики'!U3596,WeightedMinAge20),MAX(CapacityAge20*'01_Вводные'!$B$218*'19_Расчет_аналитики'!U3596,MeanMinAge20))),0)</f>
        <v/>
      </c>
      <c r="V3547">
        <f>IF('01_Вводные'!$B$234="Да",IF(OR(('19_Расчет_аналитики'!V3463-'19_Расчет_аналитики'!V3491)=0,20&lt;='01_Вводные'!$B$297),0,('19_Расчет_аналитики'!V3463-'19_Расчет_аналитики'!V3491)*IF('01_Вводные'!$B$239="Да",MeanMinAge20+'19_Расчет_аналитики'!V3596*SUMIF(ThresholdAge20,"&lt;"&amp;'19_Расчет_аналитики'!V3596,WeightedRevAge20)-SUMIF(ThresholdAge20,"&lt;"&amp;'19_Расчет_аналитики'!V3596,WeightedMinAge20),MAX(CapacityAge20*'01_Вводные'!$B$218*'19_Расчет_аналитики'!V3596,MeanMinAge20))),0)</f>
        <v/>
      </c>
      <c r="W3547">
        <f>IF('01_Вводные'!$B$234="Да",IF(OR(('19_Расчет_аналитики'!W3463-'19_Расчет_аналитики'!W3491)=0,20&lt;='01_Вводные'!$B$297),0,('19_Расчет_аналитики'!W3463-'19_Расчет_аналитики'!W3491)*IF('01_Вводные'!$B$239="Да",MeanMinAge20+'19_Расчет_аналитики'!W3596*SUMIF(ThresholdAge20,"&lt;"&amp;'19_Расчет_аналитики'!W3596,WeightedRevAge20)-SUMIF(ThresholdAge20,"&lt;"&amp;'19_Расчет_аналитики'!W3596,WeightedMinAge20),MAX(CapacityAge20*'01_Вводные'!$B$218*'19_Расчет_аналитики'!W3596,MeanMinAge20))),0)</f>
        <v/>
      </c>
      <c r="X3547">
        <f>IF('01_Вводные'!$B$234="Да",IF(OR(('19_Расчет_аналитики'!X3463-'19_Расчет_аналитики'!X3491)=0,20&lt;='01_Вводные'!$B$297),0,('19_Расчет_аналитики'!X3463-'19_Расчет_аналитики'!X3491)*IF('01_Вводные'!$B$239="Да",MeanMinAge20+'19_Расчет_аналитики'!X3596*SUMIF(ThresholdAge20,"&lt;"&amp;'19_Расчет_аналитики'!X3596,WeightedRevAge20)-SUMIF(ThresholdAge20,"&lt;"&amp;'19_Расчет_аналитики'!X3596,WeightedMinAge20),MAX(CapacityAge20*'01_Вводные'!$B$218*'19_Расчет_аналитики'!X3596,MeanMinAge20))),0)</f>
        <v/>
      </c>
      <c r="Y3547">
        <f>IF('01_Вводные'!$B$234="Да",IF(OR(('19_Расчет_аналитики'!Y3463-'19_Расчет_аналитики'!Y3491)=0,20&lt;='01_Вводные'!$B$297),0,('19_Расчет_аналитики'!Y3463-'19_Расчет_аналитики'!Y3491)*IF('01_Вводные'!$B$239="Да",MeanMinAge20+'19_Расчет_аналитики'!Y3596*SUMIF(ThresholdAge20,"&lt;"&amp;'19_Расчет_аналитики'!Y3596,WeightedRevAge20)-SUMIF(ThresholdAge20,"&lt;"&amp;'19_Расчет_аналитики'!Y3596,WeightedMinAge20),MAX(CapacityAge20*'01_Вводные'!$B$218*'19_Расчет_аналитики'!Y3596,MeanMinAge20))),0)</f>
        <v/>
      </c>
      <c r="Z3547">
        <f>IF('01_Вводные'!$B$234="Да",IF(OR(('19_Расчет_аналитики'!Z3463-'19_Расчет_аналитики'!Z3491)=0,20&lt;='01_Вводные'!$B$297),0,('19_Расчет_аналитики'!Z3463-'19_Расчет_аналитики'!Z3491)*IF('01_Вводные'!$B$239="Да",MeanMinAge20+'19_Расчет_аналитики'!Z3596*SUMIF(ThresholdAge20,"&lt;"&amp;'19_Расчет_аналитики'!Z3596,WeightedRevAge20)-SUMIF(ThresholdAge20,"&lt;"&amp;'19_Расчет_аналитики'!Z3596,WeightedMinAge20),MAX(CapacityAge20*'01_Вводные'!$B$218*'19_Расчет_аналитики'!Z3596,MeanMinAge20))),0)</f>
        <v/>
      </c>
      <c r="AA3547">
        <f>IF('01_Вводные'!$B$234="Да",IF(OR(('19_Расчет_аналитики'!AA3463-'19_Расчет_аналитики'!AA3491)=0,20&lt;='01_Вводные'!$B$297),0,('19_Расчет_аналитики'!AA3463-'19_Расчет_аналитики'!AA3491)*IF('01_Вводные'!$B$239="Да",MeanMinAge20+'19_Расчет_аналитики'!AA3596*SUMIF(ThresholdAge20,"&lt;"&amp;'19_Расчет_аналитики'!AA3596,WeightedRevAge20)-SUMIF(ThresholdAge20,"&lt;"&amp;'19_Расчет_аналитики'!AA3596,WeightedMinAge20),MAX(CapacityAge20*'01_Вводные'!$B$218*'19_Расчет_аналитики'!AA3596,MeanMinAge20))),0)</f>
        <v/>
      </c>
      <c r="AB3547">
        <f>IF('01_Вводные'!$B$234="Да",IF(OR(('19_Расчет_аналитики'!AB3463-'19_Расчет_аналитики'!AB3491)=0,20&lt;='01_Вводные'!$B$297),0,('19_Расчет_аналитики'!AB3463-'19_Расчет_аналитики'!AB3491)*IF('01_Вводные'!$B$239="Да",MeanMinAge20+'19_Расчет_аналитики'!AB3596*SUMIF(ThresholdAge20,"&lt;"&amp;'19_Расчет_аналитики'!AB3596,WeightedRevAge20)-SUMIF(ThresholdAge20,"&lt;"&amp;'19_Расчет_аналитики'!AB3596,WeightedMinAge20),MAX(CapacityAge20*'01_Вводные'!$B$218*'19_Расчет_аналитики'!AB3596,MeanMinAge20))),0)</f>
        <v/>
      </c>
      <c r="AC3547">
        <f>IF('01_Вводные'!$B$234="Да",IF(OR(('19_Расчет_аналитики'!AC3463-'19_Расчет_аналитики'!AC3491)=0,20&lt;='01_Вводные'!$B$297),0,('19_Расчет_аналитики'!AC3463-'19_Расчет_аналитики'!AC3491)*IF('01_Вводные'!$B$239="Да",MeanMinAge20+'19_Расчет_аналитики'!AC3596*SUMIF(ThresholdAge20,"&lt;"&amp;'19_Расчет_аналитики'!AC3596,WeightedRevAge20)-SUMIF(ThresholdAge20,"&lt;"&amp;'19_Расчет_аналитики'!AC3596,WeightedMinAge20),MAX(CapacityAge20*'01_Вводные'!$B$218*'19_Расчет_аналитики'!AC3596,MeanMinAge20))),0)</f>
        <v/>
      </c>
      <c r="AD3547">
        <f>IF('01_Вводные'!$B$234="Да",IF(OR(('19_Расчет_аналитики'!AD3463-'19_Расчет_аналитики'!AD3491)=0,20&lt;='01_Вводные'!$B$297),0,('19_Расчет_аналитики'!AD3463-'19_Расчет_аналитики'!AD3491)*IF('01_Вводные'!$B$239="Да",MeanMinAge20+'19_Расчет_аналитики'!AD3596*SUMIF(ThresholdAge20,"&lt;"&amp;'19_Расчет_аналитики'!AD3596,WeightedRevAge20)-SUMIF(ThresholdAge20,"&lt;"&amp;'19_Расчет_аналитики'!AD3596,WeightedMinAge20),MAX(CapacityAge20*'01_Вводные'!$B$218*'19_Расчет_аналитики'!AD3596,MeanMinAge20))),0)</f>
        <v/>
      </c>
      <c r="AE3547">
        <f>IF('01_Вводные'!$B$234="Да",IF(OR(('19_Расчет_аналитики'!AE3463-'19_Расчет_аналитики'!AE3491)=0,20&lt;='01_Вводные'!$B$297),0,('19_Расчет_аналитики'!AE3463-'19_Расчет_аналитики'!AE3491)*IF('01_Вводные'!$B$239="Да",MeanMinAge20+'19_Расчет_аналитики'!AE3596*SUMIF(ThresholdAge20,"&lt;"&amp;'19_Расчет_аналитики'!AE3596,WeightedRevAge20)-SUMIF(ThresholdAge20,"&lt;"&amp;'19_Расчет_аналитики'!AE3596,WeightedMinAge20),MAX(CapacityAge20*'01_Вводные'!$B$218*'19_Расчет_аналитики'!AE3596,MeanMinAge20))),0)</f>
        <v/>
      </c>
      <c r="AF3547">
        <f>IF('01_Вводные'!$B$234="Да",IF(OR(('19_Расчет_аналитики'!AF3463-'19_Расчет_аналитики'!AF3491)=0,20&lt;='01_Вводные'!$B$297),0,('19_Расчет_аналитики'!AF3463-'19_Расчет_аналитики'!AF3491)*IF('01_Вводные'!$B$239="Да",MeanMinAge20+'19_Расчет_аналитики'!AF3596*SUMIF(ThresholdAge20,"&lt;"&amp;'19_Расчет_аналитики'!AF3596,WeightedRevAge20)-SUMIF(ThresholdAge20,"&lt;"&amp;'19_Расчет_аналитики'!AF3596,WeightedMinAge20),MAX(CapacityAge20*'01_Вводные'!$B$218*'19_Расчет_аналитики'!AF3596,MeanMinAge20))),0)</f>
        <v/>
      </c>
      <c r="AG3547">
        <f>IF('01_Вводные'!$B$234="Да",IF(OR(('19_Расчет_аналитики'!AG3463-'19_Расчет_аналитики'!AG3491)=0,20&lt;='01_Вводные'!$B$297),0,('19_Расчет_аналитики'!AG3463-'19_Расчет_аналитики'!AG3491)*IF('01_Вводные'!$B$239="Да",MeanMinAge20+'19_Расчет_аналитики'!AG3596*SUMIF(ThresholdAge20,"&lt;"&amp;'19_Расчет_аналитики'!AG3596,WeightedRevAge20)-SUMIF(ThresholdAge20,"&lt;"&amp;'19_Расчет_аналитики'!AG3596,WeightedMinAge20),MAX(CapacityAge20*'01_Вводные'!$B$218*'19_Расчет_аналитики'!AG3596,MeanMinAge20))),0)</f>
        <v/>
      </c>
      <c r="AH3547">
        <f>IF('01_Вводные'!$B$234="Да",IF(OR(('19_Расчет_аналитики'!AH3463-'19_Расчет_аналитики'!AH3491)=0,20&lt;='01_Вводные'!$B$297),0,('19_Расчет_аналитики'!AH3463-'19_Расчет_аналитики'!AH3491)*IF('01_Вводные'!$B$239="Да",MeanMinAge20+'19_Расчет_аналитики'!AH3596*SUMIF(ThresholdAge20,"&lt;"&amp;'19_Расчет_аналитики'!AH3596,WeightedRevAge20)-SUMIF(ThresholdAge20,"&lt;"&amp;'19_Расчет_аналитики'!AH3596,WeightedMinAge20),MAX(CapacityAge20*'01_Вводные'!$B$218*'19_Расчет_аналитики'!AH3596,MeanMinAge20))),0)</f>
        <v/>
      </c>
      <c r="AI3547">
        <f>IF('01_Вводные'!$B$234="Да",IF(OR(('19_Расчет_аналитики'!AI3463-'19_Расчет_аналитики'!AI3491)=0,20&lt;='01_Вводные'!$B$297),0,('19_Расчет_аналитики'!AI3463-'19_Расчет_аналитики'!AI3491)*IF('01_Вводные'!$B$239="Да",MeanMinAge20+'19_Расчет_аналитики'!AI3596*SUMIF(ThresholdAge20,"&lt;"&amp;'19_Расчет_аналитики'!AI3596,WeightedRevAge20)-SUMIF(ThresholdAge20,"&lt;"&amp;'19_Расчет_аналитики'!AI3596,WeightedMinAge20),MAX(CapacityAge20*'01_Вводные'!$B$218*'19_Расчет_аналитики'!AI3596,MeanMinAge20))),0)</f>
        <v/>
      </c>
      <c r="AJ3547">
        <f>IF('01_Вводные'!$B$234="Да",IF(OR(('19_Расчет_аналитики'!AJ3463-'19_Расчет_аналитики'!AJ3491)=0,20&lt;='01_Вводные'!$B$297),0,('19_Расчет_аналитики'!AJ3463-'19_Расчет_аналитики'!AJ3491)*IF('01_Вводные'!$B$239="Да",MeanMinAge20+'19_Расчет_аналитики'!AJ3596*SUMIF(ThresholdAge20,"&lt;"&amp;'19_Расчет_аналитики'!AJ3596,WeightedRevAge20)-SUMIF(ThresholdAge20,"&lt;"&amp;'19_Расчет_аналитики'!AJ3596,WeightedMinAge20),MAX(CapacityAge20*'01_Вводные'!$B$218*'19_Расчет_аналитики'!AJ3596,MeanMinAge20))),0)</f>
        <v/>
      </c>
      <c r="AK3547">
        <f>IF('01_Вводные'!$B$234="Да",IF(OR(('19_Расчет_аналитики'!AK3463-'19_Расчет_аналитики'!AK3491)=0,20&lt;='01_Вводные'!$B$297),0,('19_Расчет_аналитики'!AK3463-'19_Расчет_аналитики'!AK3491)*IF('01_Вводные'!$B$239="Да",MeanMinAge20+'19_Расчет_аналитики'!AK3596*SUMIF(ThresholdAge20,"&lt;"&amp;'19_Расчет_аналитики'!AK3596,WeightedRevAge20)-SUMIF(ThresholdAge20,"&lt;"&amp;'19_Расчет_аналитики'!AK3596,WeightedMinAge20),MAX(CapacityAge20*'01_Вводные'!$B$218*'19_Расчет_аналитики'!AK3596,MeanMinAge20))),0)</f>
        <v/>
      </c>
      <c r="AL3547">
        <f>IF('01_Вводные'!$B$234="Да",IF(OR(('19_Расчет_аналитики'!AL3463-'19_Расчет_аналитики'!AL3491)=0,20&lt;='01_Вводные'!$B$297),0,('19_Расчет_аналитики'!AL3463-'19_Расчет_аналитики'!AL3491)*IF('01_Вводные'!$B$239="Да",MeanMinAge20+'19_Расчет_аналитики'!AL3596*SUMIF(ThresholdAge20,"&lt;"&amp;'19_Расчет_аналитики'!AL3596,WeightedRevAge20)-SUMIF(ThresholdAge20,"&lt;"&amp;'19_Расчет_аналитики'!AL3596,WeightedMinAge20),MAX(CapacityAge20*'01_Вводные'!$B$218*'19_Расчет_аналитики'!AL3596,MeanMinAge20))),0)</f>
        <v/>
      </c>
      <c r="AM3547">
        <f>IF('01_Вводные'!$B$234="Да",IF(OR(('19_Расчет_аналитики'!AM3463-'19_Расчет_аналитики'!AM3491)=0,20&lt;='01_Вводные'!$B$297),0,('19_Расчет_аналитики'!AM3463-'19_Расчет_аналитики'!AM3491)*IF('01_Вводные'!$B$239="Да",MeanMinAge20+'19_Расчет_аналитики'!AM3596*SUMIF(ThresholdAge20,"&lt;"&amp;'19_Расчет_аналитики'!AM3596,WeightedRevAge20)-SUMIF(ThresholdAge20,"&lt;"&amp;'19_Расчет_аналитики'!AM3596,WeightedMinAge20),MAX(CapacityAge20*'01_Вводные'!$B$218*'19_Расчет_аналитики'!AM3596,MeanMinAge20))),0)</f>
        <v/>
      </c>
      <c r="AN3547">
        <f>IF('01_Вводные'!$B$234="Да",IF(OR(('19_Расчет_аналитики'!AN3463-'19_Расчет_аналитики'!AN3491)=0,20&lt;='01_Вводные'!$B$297),0,('19_Расчет_аналитики'!AN3463-'19_Расчет_аналитики'!AN3491)*IF('01_Вводные'!$B$239="Да",MeanMinAge20+'19_Расчет_аналитики'!AN3596*SUMIF(ThresholdAge20,"&lt;"&amp;'19_Расчет_аналитики'!AN3596,WeightedRevAge20)-SUMIF(ThresholdAge20,"&lt;"&amp;'19_Расчет_аналитики'!AN3596,WeightedMinAge20),MAX(CapacityAge20*'01_Вводные'!$B$218*'19_Расчет_аналитики'!AN3596,MeanMinAge20))),0)</f>
        <v/>
      </c>
      <c r="AO3547">
        <f>IF('01_Вводные'!$B$234="Да",IF(OR(('19_Расчет_аналитики'!AO3463-'19_Расчет_аналитики'!AO3491)=0,20&lt;='01_Вводные'!$B$297),0,('19_Расчет_аналитики'!AO3463-'19_Расчет_аналитики'!AO3491)*IF('01_Вводные'!$B$239="Да",MeanMinAge20+'19_Расчет_аналитики'!AO3596*SUMIF(ThresholdAge20,"&lt;"&amp;'19_Расчет_аналитики'!AO3596,WeightedRevAge20)-SUMIF(ThresholdAge20,"&lt;"&amp;'19_Расчет_аналитики'!AO3596,WeightedMinAge20),MAX(CapacityAge20*'01_Вводные'!$B$218*'19_Расчет_аналитики'!AO3596,MeanMinAge20))),0)</f>
        <v/>
      </c>
      <c r="AP3547">
        <f>IF('01_Вводные'!$B$234="Да",IF(OR(('19_Расчет_аналитики'!AP3463-'19_Расчет_аналитики'!AP3491)=0,20&lt;='01_Вводные'!$B$297),0,('19_Расчет_аналитики'!AP3463-'19_Расчет_аналитики'!AP3491)*IF('01_Вводные'!$B$239="Да",MeanMinAge20+'19_Расчет_аналитики'!AP3596*SUMIF(ThresholdAge20,"&lt;"&amp;'19_Расчет_аналитики'!AP3596,WeightedRevAge20)-SUMIF(ThresholdAge20,"&lt;"&amp;'19_Расчет_аналитики'!AP3596,WeightedMinAge20),MAX(CapacityAge20*'01_Вводные'!$B$218*'19_Расчет_аналитики'!AP3596,MeanMinAge20))),0)</f>
        <v/>
      </c>
      <c r="AQ3547">
        <f>IF('01_Вводные'!$B$234="Да",IF(OR(('19_Расчет_аналитики'!AQ3463-'19_Расчет_аналитики'!AQ3491)=0,20&lt;='01_Вводные'!$B$297),0,('19_Расчет_аналитики'!AQ3463-'19_Расчет_аналитики'!AQ3491)*IF('01_Вводные'!$B$239="Да",MeanMinAge20+'19_Расчет_аналитики'!AQ3596*SUMIF(ThresholdAge20,"&lt;"&amp;'19_Расчет_аналитики'!AQ3596,WeightedRevAge20)-SUMIF(ThresholdAge20,"&lt;"&amp;'19_Расчет_аналитики'!AQ3596,WeightedMinAge20),MAX(CapacityAge20*'01_Вводные'!$B$218*'19_Расчет_аналитики'!AQ3596,MeanMinAge20))),0)</f>
        <v/>
      </c>
      <c r="AR3547">
        <f>IF('01_Вводные'!$B$234="Да",IF(OR(('19_Расчет_аналитики'!AR3463-'19_Расчет_аналитики'!AR3491)=0,20&lt;='01_Вводные'!$B$297),0,('19_Расчет_аналитики'!AR3463-'19_Расчет_аналитики'!AR3491)*IF('01_Вводные'!$B$239="Да",MeanMinAge20+'19_Расчет_аналитики'!AR3596*SUMIF(ThresholdAge20,"&lt;"&amp;'19_Расчет_аналитики'!AR3596,WeightedRevAge20)-SUMIF(ThresholdAge20,"&lt;"&amp;'19_Расчет_аналитики'!AR3596,WeightedMinAge20),MAX(CapacityAge20*'01_Вводные'!$B$218*'19_Расчет_аналитики'!AR3596,MeanMinAge20))),0)</f>
        <v/>
      </c>
      <c r="AS3547">
        <f>IF('01_Вводные'!$B$234="Да",IF(OR(('19_Расчет_аналитики'!AS3463-'19_Расчет_аналитики'!AS3491)=0,20&lt;='01_Вводные'!$B$297),0,('19_Расчет_аналитики'!AS3463-'19_Расчет_аналитики'!AS3491)*IF('01_Вводные'!$B$239="Да",MeanMinAge20+'19_Расчет_аналитики'!AS3596*SUMIF(ThresholdAge20,"&lt;"&amp;'19_Расчет_аналитики'!AS3596,WeightedRevAge20)-SUMIF(ThresholdAge20,"&lt;"&amp;'19_Расчет_аналитики'!AS3596,WeightedMinAge20),MAX(CapacityAge20*'01_Вводные'!$B$218*'19_Расчет_аналитики'!AS3596,MeanMinAge20))),0)</f>
        <v/>
      </c>
      <c r="AT3547">
        <f>IF('01_Вводные'!$B$234="Да",IF(OR(('19_Расчет_аналитики'!AT3463-'19_Расчет_аналитики'!AT3491)=0,20&lt;='01_Вводные'!$B$297),0,('19_Расчет_аналитики'!AT3463-'19_Расчет_аналитики'!AT3491)*IF('01_Вводные'!$B$239="Да",MeanMinAge20+'19_Расчет_аналитики'!AT3596*SUMIF(ThresholdAge20,"&lt;"&amp;'19_Расчет_аналитики'!AT3596,WeightedRevAge20)-SUMIF(ThresholdAge20,"&lt;"&amp;'19_Расчет_аналитики'!AT3596,WeightedMinAge20),MAX(CapacityAge20*'01_Вводные'!$B$218*'19_Расчет_аналитики'!AT3596,MeanMinAge20))),0)</f>
        <v/>
      </c>
      <c r="AU3547">
        <f>IF('01_Вводные'!$B$234="Да",IF(OR(('19_Расчет_аналитики'!AU3463-'19_Расчет_аналитики'!AU3491)=0,20&lt;='01_Вводные'!$B$297),0,('19_Расчет_аналитики'!AU3463-'19_Расчет_аналитики'!AU3491)*IF('01_Вводные'!$B$239="Да",MeanMinAge20+'19_Расчет_аналитики'!AU3596*SUMIF(ThresholdAge20,"&lt;"&amp;'19_Расчет_аналитики'!AU3596,WeightedRevAge20)-SUMIF(ThresholdAge20,"&lt;"&amp;'19_Расчет_аналитики'!AU3596,WeightedMinAge20),MAX(CapacityAge20*'01_Вводные'!$B$218*'19_Расчет_аналитики'!AU3596,MeanMinAge20))),0)</f>
        <v/>
      </c>
      <c r="AV3547">
        <f>IF('01_Вводные'!$B$234="Да",IF(OR(('19_Расчет_аналитики'!AV3463-'19_Расчет_аналитики'!AV3491)=0,20&lt;='01_Вводные'!$B$297),0,('19_Расчет_аналитики'!AV3463-'19_Расчет_аналитики'!AV3491)*IF('01_Вводные'!$B$239="Да",MeanMinAge20+'19_Расчет_аналитики'!AV3596*SUMIF(ThresholdAge20,"&lt;"&amp;'19_Расчет_аналитики'!AV3596,WeightedRevAge20)-SUMIF(ThresholdAge20,"&lt;"&amp;'19_Расчет_аналитики'!AV3596,WeightedMinAge20),MAX(CapacityAge20*'01_Вводные'!$B$218*'19_Расчет_аналитики'!AV3596,MeanMinAge20))),0)</f>
        <v/>
      </c>
      <c r="AW3547">
        <f>IF('01_Вводные'!$B$234="Да",IF(OR(('19_Расчет_аналитики'!AW3463-'19_Расчет_аналитики'!AW3491)=0,20&lt;='01_Вводные'!$B$297),0,('19_Расчет_аналитики'!AW3463-'19_Расчет_аналитики'!AW3491)*IF('01_Вводные'!$B$239="Да",MeanMinAge20+'19_Расчет_аналитики'!AW3596*SUMIF(ThresholdAge20,"&lt;"&amp;'19_Расчет_аналитики'!AW3596,WeightedRevAge20)-SUMIF(ThresholdAge20,"&lt;"&amp;'19_Расчет_аналитики'!AW3596,WeightedMinAge20),MAX(CapacityAge20*'01_Вводные'!$B$218*'19_Расчет_аналитики'!AW3596,MeanMinAge20))),0)</f>
        <v/>
      </c>
      <c r="AX3547">
        <f>IF('01_Вводные'!$B$234="Да",IF(OR(('19_Расчет_аналитики'!AX3463-'19_Расчет_аналитики'!AX3491)=0,20&lt;='01_Вводные'!$B$297),0,('19_Расчет_аналитики'!AX3463-'19_Расчет_аналитики'!AX3491)*IF('01_Вводные'!$B$239="Да",MeanMinAge20+'19_Расчет_аналитики'!AX3596*SUMIF(ThresholdAge20,"&lt;"&amp;'19_Расчет_аналитики'!AX3596,WeightedRevAge20)-SUMIF(ThresholdAge20,"&lt;"&amp;'19_Расчет_аналитики'!AX3596,WeightedMinAge20),MAX(CapacityAge20*'01_Вводные'!$B$218*'19_Расчет_аналитики'!AX3596,MeanMinAge20))),0)</f>
        <v/>
      </c>
      <c r="AY3547">
        <f>IF('01_Вводные'!$B$234="Да",IF(OR(('19_Расчет_аналитики'!AY3463-'19_Расчет_аналитики'!AY3491)=0,20&lt;='01_Вводные'!$B$297),0,('19_Расчет_аналитики'!AY3463-'19_Расчет_аналитики'!AY3491)*IF('01_Вводные'!$B$239="Да",MeanMinAge20+'19_Расчет_аналитики'!AY3596*SUMIF(ThresholdAge20,"&lt;"&amp;'19_Расчет_аналитики'!AY3596,WeightedRevAge20)-SUMIF(ThresholdAge20,"&lt;"&amp;'19_Расчет_аналитики'!AY3596,WeightedMinAge20),MAX(CapacityAge20*'01_Вводные'!$B$218*'19_Расчет_аналитики'!AY3596,MeanMinAge20))),0)</f>
        <v/>
      </c>
      <c r="AZ3547">
        <f>IF('01_Вводные'!$B$234="Да",IF(OR(('19_Расчет_аналитики'!AZ3463-'19_Расчет_аналитики'!AZ3491)=0,20&lt;='01_Вводные'!$B$297),0,('19_Расчет_аналитики'!AZ3463-'19_Расчет_аналитики'!AZ3491)*IF('01_Вводные'!$B$239="Да",MeanMinAge20+'19_Расчет_аналитики'!AZ3596*SUMIF(ThresholdAge20,"&lt;"&amp;'19_Расчет_аналитики'!AZ3596,WeightedRevAge20)-SUMIF(ThresholdAge20,"&lt;"&amp;'19_Расчет_аналитики'!AZ3596,WeightedMinAge20),MAX(CapacityAge20*'01_Вводные'!$B$218*'19_Расчет_аналитики'!AZ3596,MeanMinAge20))),0)</f>
        <v/>
      </c>
      <c r="BA3547">
        <f>IF('01_Вводные'!$B$234="Да",IF(OR(('19_Расчет_аналитики'!BA3463-'19_Расчет_аналитики'!BA3491)=0,20&lt;='01_Вводные'!$B$297),0,('19_Расчет_аналитики'!BA3463-'19_Расчет_аналитики'!BA3491)*IF('01_Вводные'!$B$239="Да",MeanMinAge20+'19_Расчет_аналитики'!BA3596*SUMIF(ThresholdAge20,"&lt;"&amp;'19_Расчет_аналитики'!BA3596,WeightedRevAge20)-SUMIF(ThresholdAge20,"&lt;"&amp;'19_Расчет_аналитики'!BA3596,WeightedMinAge20),MAX(CapacityAge20*'01_Вводные'!$B$218*'19_Расчет_аналитики'!BA3596,MeanMinAge20))),0)</f>
        <v/>
      </c>
      <c r="BB3547">
        <f>IF('01_Вводные'!$B$234="Да",IF(OR(('19_Расчет_аналитики'!BB3463-'19_Расчет_аналитики'!BB3491)=0,20&lt;='01_Вводные'!$B$297),0,('19_Расчет_аналитики'!BB3463-'19_Расчет_аналитики'!BB3491)*IF('01_Вводные'!$B$239="Да",MeanMinAge20+'19_Расчет_аналитики'!BB3596*SUMIF(ThresholdAge20,"&lt;"&amp;'19_Расчет_аналитики'!BB3596,WeightedRevAge20)-SUMIF(ThresholdAge20,"&lt;"&amp;'19_Расчет_аналитики'!BB3596,WeightedMinAge20),MAX(CapacityAge20*'01_Вводные'!$B$218*'19_Расчет_аналитики'!BB3596,MeanMinAge20))),0)</f>
        <v/>
      </c>
      <c r="BC3547">
        <f>IF('01_Вводные'!$B$234="Да",IF(OR(('19_Расчет_аналитики'!BC3463-'19_Расчет_аналитики'!BC3491)=0,20&lt;='01_Вводные'!$B$297),0,('19_Расчет_аналитики'!BC3463-'19_Расчет_аналитики'!BC3491)*IF('01_Вводные'!$B$239="Да",MeanMinAge20+'19_Расчет_аналитики'!BC3596*SUMIF(ThresholdAge20,"&lt;"&amp;'19_Расчет_аналитики'!BC3596,WeightedRevAge20)-SUMIF(ThresholdAge20,"&lt;"&amp;'19_Расчет_аналитики'!BC3596,WeightedMinAge20),MAX(CapacityAge20*'01_Вводные'!$B$218*'19_Расчет_аналитики'!BC3596,MeanMinAge20))),0)</f>
        <v/>
      </c>
      <c r="BD3547">
        <f>IF('01_Вводные'!$B$234="Да",IF(OR(('19_Расчет_аналитики'!BD3463-'19_Расчет_аналитики'!BD3491)=0,20&lt;='01_Вводные'!$B$297),0,('19_Расчет_аналитики'!BD3463-'19_Расчет_аналитики'!BD3491)*IF('01_Вводные'!$B$239="Да",MeanMinAge20+'19_Расчет_аналитики'!BD3596*SUMIF(ThresholdAge20,"&lt;"&amp;'19_Расчет_аналитики'!BD3596,WeightedRevAge20)-SUMIF(ThresholdAge20,"&lt;"&amp;'19_Расчет_аналитики'!BD3596,WeightedMinAge20),MAX(CapacityAge20*'01_Вводные'!$B$218*'19_Расчет_аналитики'!BD3596,MeanMinAge20))),0)</f>
        <v/>
      </c>
      <c r="BE3547">
        <f>IF('01_Вводные'!$B$234="Да",IF(OR(('19_Расчет_аналитики'!BE3463-'19_Расчет_аналитики'!BE3491)=0,20&lt;='01_Вводные'!$B$297),0,('19_Расчет_аналитики'!BE3463-'19_Расчет_аналитики'!BE3491)*IF('01_Вводные'!$B$239="Да",MeanMinAge20+'19_Расчет_аналитики'!BE3596*SUMIF(ThresholdAge20,"&lt;"&amp;'19_Расчет_аналитики'!BE3596,WeightedRevAge20)-SUMIF(ThresholdAge20,"&lt;"&amp;'19_Расчет_аналитики'!BE3596,WeightedMinAge20),MAX(CapacityAge20*'01_Вводные'!$B$218*'19_Расчет_аналитики'!BE3596,MeanMinAge20))),0)</f>
        <v/>
      </c>
      <c r="BF3547">
        <f>IF('01_Вводные'!$B$234="Да",IF(OR(('19_Расчет_аналитики'!BF3463-'19_Расчет_аналитики'!BF3491)=0,20&lt;='01_Вводные'!$B$297),0,('19_Расчет_аналитики'!BF3463-'19_Расчет_аналитики'!BF3491)*IF('01_Вводные'!$B$239="Да",MeanMinAge20+'19_Расчет_аналитики'!BF3596*SUMIF(ThresholdAge20,"&lt;"&amp;'19_Расчет_аналитики'!BF3596,WeightedRevAge20)-SUMIF(ThresholdAge20,"&lt;"&amp;'19_Расчет_аналитики'!BF3596,WeightedMinAge20),MAX(CapacityAge20*'01_Вводные'!$B$218*'19_Расчет_аналитики'!BF3596,MeanMinAge20))),0)</f>
        <v/>
      </c>
      <c r="BG3547">
        <f>IF('01_Вводные'!$B$234="Да",IF(OR(('19_Расчет_аналитики'!BG3463-'19_Расчет_аналитики'!BG3491)=0,20&lt;='01_Вводные'!$B$297),0,('19_Расчет_аналитики'!BG3463-'19_Расчет_аналитики'!BG3491)*IF('01_Вводные'!$B$239="Да",MeanMinAge20+'19_Расчет_аналитики'!BG3596*SUMIF(ThresholdAge20,"&lt;"&amp;'19_Расчет_аналитики'!BG3596,WeightedRevAge20)-SUMIF(ThresholdAge20,"&lt;"&amp;'19_Расчет_аналитики'!BG3596,WeightedMinAge20),MAX(CapacityAge20*'01_Вводные'!$B$218*'19_Расчет_аналитики'!BG3596,MeanMinAge20))),0)</f>
        <v/>
      </c>
      <c r="BH3547">
        <f>IF('01_Вводные'!$B$234="Да",IF(OR(('19_Расчет_аналитики'!BH3463-'19_Расчет_аналитики'!BH3491)=0,20&lt;='01_Вводные'!$B$297),0,('19_Расчет_аналитики'!BH3463-'19_Расчет_аналитики'!BH3491)*IF('01_Вводные'!$B$239="Да",MeanMinAge20+'19_Расчет_аналитики'!BH3596*SUMIF(ThresholdAge20,"&lt;"&amp;'19_Расчет_аналитики'!BH3596,WeightedRevAge20)-SUMIF(ThresholdAge20,"&lt;"&amp;'19_Расчет_аналитики'!BH3596,WeightedMinAge20),MAX(CapacityAge20*'01_Вводные'!$B$218*'19_Расчет_аналитики'!BH3596,MeanMinAge20))),0)</f>
        <v/>
      </c>
      <c r="BI3547">
        <f>IF('01_Вводные'!$B$234="Да",IF(OR(('19_Расчет_аналитики'!BI3463-'19_Расчет_аналитики'!BI3491)=0,20&lt;='01_Вводные'!$B$297),0,('19_Расчет_аналитики'!BI3463-'19_Расчет_аналитики'!BI3491)*IF('01_Вводные'!$B$239="Да",MeanMinAge20+'19_Расчет_аналитики'!BI3596*SUMIF(ThresholdAge20,"&lt;"&amp;'19_Расчет_аналитики'!BI3596,WeightedRevAge20)-SUMIF(ThresholdAge20,"&lt;"&amp;'19_Расчет_аналитики'!BI3596,WeightedMinAge20),MAX(CapacityAge20*'01_Вводные'!$B$218*'19_Расчет_аналитики'!BI3596,MeanMinAge20))),0)</f>
        <v/>
      </c>
      <c r="BJ3547">
        <f>IF('01_Вводные'!$B$234="Да",IF(OR(('19_Расчет_аналитики'!BJ3463-'19_Расчет_аналитики'!BJ3491)=0,20&lt;='01_Вводные'!$B$297),0,('19_Расчет_аналитики'!BJ3463-'19_Расчет_аналитики'!BJ3491)*IF('01_Вводные'!$B$239="Да",MeanMinAge20+'19_Расчет_аналитики'!BJ3596*SUMIF(ThresholdAge20,"&lt;"&amp;'19_Расчет_аналитики'!BJ3596,WeightedRevAge20)-SUMIF(ThresholdAge20,"&lt;"&amp;'19_Расчет_аналитики'!BJ3596,WeightedMinAge20),MAX(CapacityAge20*'01_Вводные'!$B$218*'19_Расчет_аналитики'!BJ3596,MeanMinAge20))),0)</f>
        <v/>
      </c>
      <c r="BK3547">
        <f>IF('01_Вводные'!$B$234="Да",IF(OR(('19_Расчет_аналитики'!BK3463-'19_Расчет_аналитики'!BK3491)=0,20&lt;='01_Вводные'!$B$297),0,('19_Расчет_аналитики'!BK3463-'19_Расчет_аналитики'!BK3491)*IF('01_Вводные'!$B$239="Да",MeanMinAge20+'19_Расчет_аналитики'!BK3596*SUMIF(ThresholdAge20,"&lt;"&amp;'19_Расчет_аналитики'!BK3596,WeightedRevAge20)-SUMIF(ThresholdAge20,"&lt;"&amp;'19_Расчет_аналитики'!BK3596,WeightedMinAge20),MAX(CapacityAge20*'01_Вводные'!$B$218*'19_Расчет_аналитики'!BK3596,MeanMinAge20))),0)</f>
        <v/>
      </c>
      <c r="BL3547">
        <f>IF('01_Вводные'!$B$234="Да",IF(OR(('19_Расчет_аналитики'!BL3463-'19_Расчет_аналитики'!BL3491)=0,20&lt;='01_Вводные'!$B$297),0,('19_Расчет_аналитики'!BL3463-'19_Расчет_аналитики'!BL3491)*IF('01_Вводные'!$B$239="Да",MeanMinAge20+'19_Расчет_аналитики'!BL3596*SUMIF(ThresholdAge20,"&lt;"&amp;'19_Расчет_аналитики'!BL3596,WeightedRevAge20)-SUMIF(ThresholdAge20,"&lt;"&amp;'19_Расчет_аналитики'!BL3596,WeightedMinAge20),MAX(CapacityAge20*'01_Вводные'!$B$218*'19_Расчет_аналитики'!BL3596,MeanMinAge20))),0)</f>
        <v/>
      </c>
      <c r="BM3547">
        <f>IF('01_Вводные'!$B$234="Да",IF(OR(('19_Расчет_аналитики'!BM3463-'19_Расчет_аналитики'!BM3491)=0,20&lt;='01_Вводные'!$B$297),0,('19_Расчет_аналитики'!BM3463-'19_Расчет_аналитики'!BM3491)*IF('01_Вводные'!$B$239="Да",MeanMinAge20+'19_Расчет_аналитики'!BM3596*SUMIF(ThresholdAge20,"&lt;"&amp;'19_Расчет_аналитики'!BM3596,WeightedRevAge20)-SUMIF(ThresholdAge20,"&lt;"&amp;'19_Расчет_аналитики'!BM3596,WeightedMinAge20),MAX(CapacityAge20*'01_Вводные'!$B$218*'19_Расчет_аналитики'!BM3596,MeanMinAge20))),0)</f>
        <v/>
      </c>
      <c r="BN3547">
        <f>IF('01_Вводные'!$B$234="Да",IF(OR(('19_Расчет_аналитики'!BN3463-'19_Расчет_аналитики'!BN3491)=0,20&lt;='01_Вводные'!$B$297),0,('19_Расчет_аналитики'!BN3463-'19_Расчет_аналитики'!BN3491)*IF('01_Вводные'!$B$239="Да",MeanMinAge20+'19_Расчет_аналитики'!BN3596*SUMIF(ThresholdAge20,"&lt;"&amp;'19_Расчет_аналитики'!BN3596,WeightedRevAge20)-SUMIF(ThresholdAge20,"&lt;"&amp;'19_Расчет_аналитики'!BN3596,WeightedMinAge20),MAX(CapacityAge20*'01_Вводные'!$B$218*'19_Расчет_аналитики'!BN3596,MeanMinAge20))),0)</f>
        <v/>
      </c>
      <c r="BO3547">
        <f>IF('01_Вводные'!$B$234="Да",IF(OR(('19_Расчет_аналитики'!BO3463-'19_Расчет_аналитики'!BO3491)=0,20&lt;='01_Вводные'!$B$297),0,('19_Расчет_аналитики'!BO3463-'19_Расчет_аналитики'!BO3491)*IF('01_Вводные'!$B$239="Да",MeanMinAge20+'19_Расчет_аналитики'!BO3596*SUMIF(ThresholdAge20,"&lt;"&amp;'19_Расчет_аналитики'!BO3596,WeightedRevAge20)-SUMIF(ThresholdAge20,"&lt;"&amp;'19_Расчет_аналитики'!BO3596,WeightedMinAge20),MAX(CapacityAge20*'01_Вводные'!$B$218*'19_Расчет_аналитики'!BO3596,MeanMinAge20))),0)</f>
        <v/>
      </c>
    </row>
    <row r="3548">
      <c r="B3548">
        <f>IF('01_Вводные'!$B$234="Да",IF(OR(('06_Сеть_и_дети'!B73-'06_Сеть_и_дети'!B101)=0,21&lt;='01_Вводные'!$B$297),0,('06_Сеть_и_дети'!B73-'06_Сеть_и_дети'!B101)*IF('01_Вводные'!$B$239="Да",MeanMinAge21+'19_Расчет_аналитики'!B3596*SUMIF(ThresholdAge21,"&lt;"&amp;'19_Расчет_аналитики'!B3596,WeightedRevAge21)-SUMIF(ThresholdAge21,"&lt;"&amp;'19_Расчет_аналитики'!B3596,WeightedMinAge21),MAX(CapacityAge21*'01_Вводные'!$B$218*'19_Расчет_аналитики'!B3596,MeanMinAge21))),0)</f>
        <v/>
      </c>
      <c r="C3548">
        <f>IF('01_Вводные'!$B$234="Да",IF(OR(('06_Сеть_и_дети'!C73-'06_Сеть_и_дети'!C101)=0,21&lt;='01_Вводные'!$B$297),0,('06_Сеть_и_дети'!C73-'06_Сеть_и_дети'!C101)*IF('01_Вводные'!$B$239="Да",MeanMinAge21+'19_Расчет_аналитики'!C3596*SUMIF(ThresholdAge21,"&lt;"&amp;'19_Расчет_аналитики'!C3596,WeightedRevAge21)-SUMIF(ThresholdAge21,"&lt;"&amp;'19_Расчет_аналитики'!C3596,WeightedMinAge21),MAX(CapacityAge21*'01_Вводные'!$B$218*'19_Расчет_аналитики'!C3596,MeanMinAge21))),0)</f>
        <v/>
      </c>
      <c r="D3548">
        <f>IF('01_Вводные'!$B$234="Да",IF(OR(('06_Сеть_и_дети'!D73-'06_Сеть_и_дети'!D101)=0,21&lt;='01_Вводные'!$B$297),0,('06_Сеть_и_дети'!D73-'06_Сеть_и_дети'!D101)*IF('01_Вводные'!$B$239="Да",MeanMinAge21+'19_Расчет_аналитики'!D3596*SUMIF(ThresholdAge21,"&lt;"&amp;'19_Расчет_аналитики'!D3596,WeightedRevAge21)-SUMIF(ThresholdAge21,"&lt;"&amp;'19_Расчет_аналитики'!D3596,WeightedMinAge21),MAX(CapacityAge21*'01_Вводные'!$B$218*'19_Расчет_аналитики'!D3596,MeanMinAge21))),0)</f>
        <v/>
      </c>
      <c r="E3548">
        <f>IF('01_Вводные'!$B$234="Да",IF(OR(('06_Сеть_и_дети'!E73-'06_Сеть_и_дети'!E101)=0,21&lt;='01_Вводные'!$B$297),0,('06_Сеть_и_дети'!E73-'06_Сеть_и_дети'!E101)*IF('01_Вводные'!$B$239="Да",MeanMinAge21+'19_Расчет_аналитики'!E3596*SUMIF(ThresholdAge21,"&lt;"&amp;'19_Расчет_аналитики'!E3596,WeightedRevAge21)-SUMIF(ThresholdAge21,"&lt;"&amp;'19_Расчет_аналитики'!E3596,WeightedMinAge21),MAX(CapacityAge21*'01_Вводные'!$B$218*'19_Расчет_аналитики'!E3596,MeanMinAge21))),0)</f>
        <v/>
      </c>
      <c r="F3548">
        <f>IF('01_Вводные'!$B$234="Да",IF(OR(('06_Сеть_и_дети'!F73-'06_Сеть_и_дети'!F101)=0,21&lt;='01_Вводные'!$B$297),0,('06_Сеть_и_дети'!F73-'06_Сеть_и_дети'!F101)*IF('01_Вводные'!$B$239="Да",MeanMinAge21+'19_Расчет_аналитики'!F3596*SUMIF(ThresholdAge21,"&lt;"&amp;'19_Расчет_аналитики'!F3596,WeightedRevAge21)-SUMIF(ThresholdAge21,"&lt;"&amp;'19_Расчет_аналитики'!F3596,WeightedMinAge21),MAX(CapacityAge21*'01_Вводные'!$B$218*'19_Расчет_аналитики'!F3596,MeanMinAge21))),0)</f>
        <v/>
      </c>
      <c r="G3548">
        <f>IF('01_Вводные'!$B$234="Да",IF(OR(('06_Сеть_и_дети'!G73-'06_Сеть_и_дети'!G101)=0,21&lt;='01_Вводные'!$B$297),0,('06_Сеть_и_дети'!G73-'06_Сеть_и_дети'!G101)*IF('01_Вводные'!$B$239="Да",MeanMinAge21+'19_Расчет_аналитики'!G3596*SUMIF(ThresholdAge21,"&lt;"&amp;'19_Расчет_аналитики'!G3596,WeightedRevAge21)-SUMIF(ThresholdAge21,"&lt;"&amp;'19_Расчет_аналитики'!G3596,WeightedMinAge21),MAX(CapacityAge21*'01_Вводные'!$B$218*'19_Расчет_аналитики'!G3596,MeanMinAge21))),0)</f>
        <v/>
      </c>
      <c r="H3548">
        <f>IF('01_Вводные'!$B$234="Да",IF(OR(('06_Сеть_и_дети'!H73-'06_Сеть_и_дети'!H101)=0,21&lt;='01_Вводные'!$B$297),0,('06_Сеть_и_дети'!H73-'06_Сеть_и_дети'!H101)*IF('01_Вводные'!$B$239="Да",MeanMinAge21+'19_Расчет_аналитики'!H3596*SUMIF(ThresholdAge21,"&lt;"&amp;'19_Расчет_аналитики'!H3596,WeightedRevAge21)-SUMIF(ThresholdAge21,"&lt;"&amp;'19_Расчет_аналитики'!H3596,WeightedMinAge21),MAX(CapacityAge21*'01_Вводные'!$B$218*'19_Расчет_аналитики'!H3596,MeanMinAge21))),0)</f>
        <v/>
      </c>
      <c r="I3548">
        <f>IF('01_Вводные'!$B$234="Да",IF(OR(('06_Сеть_и_дети'!I73-'06_Сеть_и_дети'!I101)=0,21&lt;='01_Вводные'!$B$297),0,('06_Сеть_и_дети'!I73-'06_Сеть_и_дети'!I101)*IF('01_Вводные'!$B$239="Да",MeanMinAge21+'19_Расчет_аналитики'!I3596*SUMIF(ThresholdAge21,"&lt;"&amp;'19_Расчет_аналитики'!I3596,WeightedRevAge21)-SUMIF(ThresholdAge21,"&lt;"&amp;'19_Расчет_аналитики'!I3596,WeightedMinAge21),MAX(CapacityAge21*'01_Вводные'!$B$218*'19_Расчет_аналитики'!I3596,MeanMinAge21))),0)</f>
        <v/>
      </c>
      <c r="J3548">
        <f>IF('01_Вводные'!$B$234="Да",IF(OR(('06_Сеть_и_дети'!J73-'06_Сеть_и_дети'!J101)=0,21&lt;='01_Вводные'!$B$297),0,('06_Сеть_и_дети'!J73-'06_Сеть_и_дети'!J101)*IF('01_Вводные'!$B$239="Да",MeanMinAge21+'19_Расчет_аналитики'!J3596*SUMIF(ThresholdAge21,"&lt;"&amp;'19_Расчет_аналитики'!J3596,WeightedRevAge21)-SUMIF(ThresholdAge21,"&lt;"&amp;'19_Расчет_аналитики'!J3596,WeightedMinAge21),MAX(CapacityAge21*'01_Вводные'!$B$218*'19_Расчет_аналитики'!J3596,MeanMinAge21))),0)</f>
        <v/>
      </c>
      <c r="K3548">
        <f>IF('01_Вводные'!$B$234="Да",IF(OR(('06_Сеть_и_дети'!K73-'06_Сеть_и_дети'!K101)=0,21&lt;='01_Вводные'!$B$297),0,('06_Сеть_и_дети'!K73-'06_Сеть_и_дети'!K101)*IF('01_Вводные'!$B$239="Да",MeanMinAge21+'19_Расчет_аналитики'!K3596*SUMIF(ThresholdAge21,"&lt;"&amp;'19_Расчет_аналитики'!K3596,WeightedRevAge21)-SUMIF(ThresholdAge21,"&lt;"&amp;'19_Расчет_аналитики'!K3596,WeightedMinAge21),MAX(CapacityAge21*'01_Вводные'!$B$218*'19_Расчет_аналитики'!K3596,MeanMinAge21))),0)</f>
        <v/>
      </c>
      <c r="L3548">
        <f>IF('01_Вводные'!$B$234="Да",IF(OR(('06_Сеть_и_дети'!L73-'06_Сеть_и_дети'!L101)=0,21&lt;='01_Вводные'!$B$297),0,('06_Сеть_и_дети'!L73-'06_Сеть_и_дети'!L101)*IF('01_Вводные'!$B$239="Да",MeanMinAge21+'19_Расчет_аналитики'!L3596*SUMIF(ThresholdAge21,"&lt;"&amp;'19_Расчет_аналитики'!L3596,WeightedRevAge21)-SUMIF(ThresholdAge21,"&lt;"&amp;'19_Расчет_аналитики'!L3596,WeightedMinAge21),MAX(CapacityAge21*'01_Вводные'!$B$218*'19_Расчет_аналитики'!L3596,MeanMinAge21))),0)</f>
        <v/>
      </c>
      <c r="M3548">
        <f>IF('01_Вводные'!$B$234="Да",IF(OR(('06_Сеть_и_дети'!M73-'06_Сеть_и_дети'!M101)=0,21&lt;='01_Вводные'!$B$297),0,('06_Сеть_и_дети'!M73-'06_Сеть_и_дети'!M101)*IF('01_Вводные'!$B$239="Да",MeanMinAge21+'19_Расчет_аналитики'!M3596*SUMIF(ThresholdAge21,"&lt;"&amp;'19_Расчет_аналитики'!M3596,WeightedRevAge21)-SUMIF(ThresholdAge21,"&lt;"&amp;'19_Расчет_аналитики'!M3596,WeightedMinAge21),MAX(CapacityAge21*'01_Вводные'!$B$218*'19_Расчет_аналитики'!M3596,MeanMinAge21))),0)</f>
        <v/>
      </c>
      <c r="N3548">
        <f>IF('01_Вводные'!$B$234="Да",IF(OR(('06_Сеть_и_дети'!N73-'06_Сеть_и_дети'!N101)=0,21&lt;='01_Вводные'!$B$297),0,('06_Сеть_и_дети'!N73-'06_Сеть_и_дети'!N101)*IF('01_Вводные'!$B$239="Да",MeanMinAge21+'19_Расчет_аналитики'!N3596*SUMIF(ThresholdAge21,"&lt;"&amp;'19_Расчет_аналитики'!N3596,WeightedRevAge21)-SUMIF(ThresholdAge21,"&lt;"&amp;'19_Расчет_аналитики'!N3596,WeightedMinAge21),MAX(CapacityAge21*'01_Вводные'!$B$218*'19_Расчет_аналитики'!N3596,MeanMinAge21))),0)</f>
        <v/>
      </c>
      <c r="O3548">
        <f>IF('01_Вводные'!$B$234="Да",IF(OR(('06_Сеть_и_дети'!O73-'06_Сеть_и_дети'!O101)=0,21&lt;='01_Вводные'!$B$297),0,('06_Сеть_и_дети'!O73-'06_Сеть_и_дети'!O101)*IF('01_Вводные'!$B$239="Да",MeanMinAge21+'19_Расчет_аналитики'!O3596*SUMIF(ThresholdAge21,"&lt;"&amp;'19_Расчет_аналитики'!O3596,WeightedRevAge21)-SUMIF(ThresholdAge21,"&lt;"&amp;'19_Расчет_аналитики'!O3596,WeightedMinAge21),MAX(CapacityAge21*'01_Вводные'!$B$218*'19_Расчет_аналитики'!O3596,MeanMinAge21))),0)</f>
        <v/>
      </c>
      <c r="P3548">
        <f>IF('01_Вводные'!$B$234="Да",IF(OR(('06_Сеть_и_дети'!P73-'06_Сеть_и_дети'!P101)=0,21&lt;='01_Вводные'!$B$297),0,('06_Сеть_и_дети'!P73-'06_Сеть_и_дети'!P101)*IF('01_Вводные'!$B$239="Да",MeanMinAge21+'19_Расчет_аналитики'!P3596*SUMIF(ThresholdAge21,"&lt;"&amp;'19_Расчет_аналитики'!P3596,WeightedRevAge21)-SUMIF(ThresholdAge21,"&lt;"&amp;'19_Расчет_аналитики'!P3596,WeightedMinAge21),MAX(CapacityAge21*'01_Вводные'!$B$218*'19_Расчет_аналитики'!P3596,MeanMinAge21))),0)</f>
        <v/>
      </c>
      <c r="Q3548">
        <f>IF('01_Вводные'!$B$234="Да",IF(OR(('06_Сеть_и_дети'!Q73-'06_Сеть_и_дети'!Q101)=0,21&lt;='01_Вводные'!$B$297),0,('06_Сеть_и_дети'!Q73-'06_Сеть_и_дети'!Q101)*IF('01_Вводные'!$B$239="Да",MeanMinAge21+'19_Расчет_аналитики'!Q3596*SUMIF(ThresholdAge21,"&lt;"&amp;'19_Расчет_аналитики'!Q3596,WeightedRevAge21)-SUMIF(ThresholdAge21,"&lt;"&amp;'19_Расчет_аналитики'!Q3596,WeightedMinAge21),MAX(CapacityAge21*'01_Вводные'!$B$218*'19_Расчет_аналитики'!Q3596,MeanMinAge21))),0)</f>
        <v/>
      </c>
      <c r="R3548">
        <f>IF('01_Вводные'!$B$234="Да",IF(OR(('06_Сеть_и_дети'!R73-'06_Сеть_и_дети'!R101)=0,21&lt;='01_Вводные'!$B$297),0,('06_Сеть_и_дети'!R73-'06_Сеть_и_дети'!R101)*IF('01_Вводные'!$B$239="Да",MeanMinAge21+'19_Расчет_аналитики'!R3596*SUMIF(ThresholdAge21,"&lt;"&amp;'19_Расчет_аналитики'!R3596,WeightedRevAge21)-SUMIF(ThresholdAge21,"&lt;"&amp;'19_Расчет_аналитики'!R3596,WeightedMinAge21),MAX(CapacityAge21*'01_Вводные'!$B$218*'19_Расчет_аналитики'!R3596,MeanMinAge21))),0)</f>
        <v/>
      </c>
      <c r="S3548">
        <f>IF('01_Вводные'!$B$234="Да",IF(OR(('06_Сеть_и_дети'!S73-'06_Сеть_и_дети'!S101)=0,21&lt;='01_Вводные'!$B$297),0,('06_Сеть_и_дети'!S73-'06_Сеть_и_дети'!S101)*IF('01_Вводные'!$B$239="Да",MeanMinAge21+'19_Расчет_аналитики'!S3596*SUMIF(ThresholdAge21,"&lt;"&amp;'19_Расчет_аналитики'!S3596,WeightedRevAge21)-SUMIF(ThresholdAge21,"&lt;"&amp;'19_Расчет_аналитики'!S3596,WeightedMinAge21),MAX(CapacityAge21*'01_Вводные'!$B$218*'19_Расчет_аналитики'!S3596,MeanMinAge21))),0)</f>
        <v/>
      </c>
      <c r="T3548">
        <f>IF('01_Вводные'!$B$234="Да",IF(OR(('06_Сеть_и_дети'!T73-'06_Сеть_и_дети'!T101)=0,21&lt;='01_Вводные'!$B$297),0,('06_Сеть_и_дети'!T73-'06_Сеть_и_дети'!T101)*IF('01_Вводные'!$B$239="Да",MeanMinAge21+'19_Расчет_аналитики'!T3596*SUMIF(ThresholdAge21,"&lt;"&amp;'19_Расчет_аналитики'!T3596,WeightedRevAge21)-SUMIF(ThresholdAge21,"&lt;"&amp;'19_Расчет_аналитики'!T3596,WeightedMinAge21),MAX(CapacityAge21*'01_Вводные'!$B$218*'19_Расчет_аналитики'!T3596,MeanMinAge21))),0)</f>
        <v/>
      </c>
      <c r="U3548">
        <f>IF('01_Вводные'!$B$234="Да",IF(OR(('06_Сеть_и_дети'!U73-'06_Сеть_и_дети'!U101)=0,21&lt;='01_Вводные'!$B$297),0,('06_Сеть_и_дети'!U73-'06_Сеть_и_дети'!U101)*IF('01_Вводные'!$B$239="Да",MeanMinAge21+'19_Расчет_аналитики'!U3596*SUMIF(ThresholdAge21,"&lt;"&amp;'19_Расчет_аналитики'!U3596,WeightedRevAge21)-SUMIF(ThresholdAge21,"&lt;"&amp;'19_Расчет_аналитики'!U3596,WeightedMinAge21),MAX(CapacityAge21*'01_Вводные'!$B$218*'19_Расчет_аналитики'!U3596,MeanMinAge21))),0)</f>
        <v/>
      </c>
      <c r="V3548">
        <f>IF('01_Вводные'!$B$234="Да",IF(OR(('19_Расчет_аналитики'!V3464-'19_Расчет_аналитики'!V3492)=0,21&lt;='01_Вводные'!$B$297),0,('19_Расчет_аналитики'!V3464-'19_Расчет_аналитики'!V3492)*IF('01_Вводные'!$B$239="Да",MeanMinAge21+'19_Расчет_аналитики'!V3596*SUMIF(ThresholdAge21,"&lt;"&amp;'19_Расчет_аналитики'!V3596,WeightedRevAge21)-SUMIF(ThresholdAge21,"&lt;"&amp;'19_Расчет_аналитики'!V3596,WeightedMinAge21),MAX(CapacityAge21*'01_Вводные'!$B$218*'19_Расчет_аналитики'!V3596,MeanMinAge21))),0)</f>
        <v/>
      </c>
      <c r="W3548">
        <f>IF('01_Вводные'!$B$234="Да",IF(OR(('19_Расчет_аналитики'!W3464-'19_Расчет_аналитики'!W3492)=0,21&lt;='01_Вводные'!$B$297),0,('19_Расчет_аналитики'!W3464-'19_Расчет_аналитики'!W3492)*IF('01_Вводные'!$B$239="Да",MeanMinAge21+'19_Расчет_аналитики'!W3596*SUMIF(ThresholdAge21,"&lt;"&amp;'19_Расчет_аналитики'!W3596,WeightedRevAge21)-SUMIF(ThresholdAge21,"&lt;"&amp;'19_Расчет_аналитики'!W3596,WeightedMinAge21),MAX(CapacityAge21*'01_Вводные'!$B$218*'19_Расчет_аналитики'!W3596,MeanMinAge21))),0)</f>
        <v/>
      </c>
      <c r="X3548">
        <f>IF('01_Вводные'!$B$234="Да",IF(OR(('19_Расчет_аналитики'!X3464-'19_Расчет_аналитики'!X3492)=0,21&lt;='01_Вводные'!$B$297),0,('19_Расчет_аналитики'!X3464-'19_Расчет_аналитики'!X3492)*IF('01_Вводные'!$B$239="Да",MeanMinAge21+'19_Расчет_аналитики'!X3596*SUMIF(ThresholdAge21,"&lt;"&amp;'19_Расчет_аналитики'!X3596,WeightedRevAge21)-SUMIF(ThresholdAge21,"&lt;"&amp;'19_Расчет_аналитики'!X3596,WeightedMinAge21),MAX(CapacityAge21*'01_Вводные'!$B$218*'19_Расчет_аналитики'!X3596,MeanMinAge21))),0)</f>
        <v/>
      </c>
      <c r="Y3548">
        <f>IF('01_Вводные'!$B$234="Да",IF(OR(('19_Расчет_аналитики'!Y3464-'19_Расчет_аналитики'!Y3492)=0,21&lt;='01_Вводные'!$B$297),0,('19_Расчет_аналитики'!Y3464-'19_Расчет_аналитики'!Y3492)*IF('01_Вводные'!$B$239="Да",MeanMinAge21+'19_Расчет_аналитики'!Y3596*SUMIF(ThresholdAge21,"&lt;"&amp;'19_Расчет_аналитики'!Y3596,WeightedRevAge21)-SUMIF(ThresholdAge21,"&lt;"&amp;'19_Расчет_аналитики'!Y3596,WeightedMinAge21),MAX(CapacityAge21*'01_Вводные'!$B$218*'19_Расчет_аналитики'!Y3596,MeanMinAge21))),0)</f>
        <v/>
      </c>
      <c r="Z3548">
        <f>IF('01_Вводные'!$B$234="Да",IF(OR(('19_Расчет_аналитики'!Z3464-'19_Расчет_аналитики'!Z3492)=0,21&lt;='01_Вводные'!$B$297),0,('19_Расчет_аналитики'!Z3464-'19_Расчет_аналитики'!Z3492)*IF('01_Вводные'!$B$239="Да",MeanMinAge21+'19_Расчет_аналитики'!Z3596*SUMIF(ThresholdAge21,"&lt;"&amp;'19_Расчет_аналитики'!Z3596,WeightedRevAge21)-SUMIF(ThresholdAge21,"&lt;"&amp;'19_Расчет_аналитики'!Z3596,WeightedMinAge21),MAX(CapacityAge21*'01_Вводные'!$B$218*'19_Расчет_аналитики'!Z3596,MeanMinAge21))),0)</f>
        <v/>
      </c>
      <c r="AA3548">
        <f>IF('01_Вводные'!$B$234="Да",IF(OR(('19_Расчет_аналитики'!AA3464-'19_Расчет_аналитики'!AA3492)=0,21&lt;='01_Вводные'!$B$297),0,('19_Расчет_аналитики'!AA3464-'19_Расчет_аналитики'!AA3492)*IF('01_Вводные'!$B$239="Да",MeanMinAge21+'19_Расчет_аналитики'!AA3596*SUMIF(ThresholdAge21,"&lt;"&amp;'19_Расчет_аналитики'!AA3596,WeightedRevAge21)-SUMIF(ThresholdAge21,"&lt;"&amp;'19_Расчет_аналитики'!AA3596,WeightedMinAge21),MAX(CapacityAge21*'01_Вводные'!$B$218*'19_Расчет_аналитики'!AA3596,MeanMinAge21))),0)</f>
        <v/>
      </c>
      <c r="AB3548">
        <f>IF('01_Вводные'!$B$234="Да",IF(OR(('19_Расчет_аналитики'!AB3464-'19_Расчет_аналитики'!AB3492)=0,21&lt;='01_Вводные'!$B$297),0,('19_Расчет_аналитики'!AB3464-'19_Расчет_аналитики'!AB3492)*IF('01_Вводные'!$B$239="Да",MeanMinAge21+'19_Расчет_аналитики'!AB3596*SUMIF(ThresholdAge21,"&lt;"&amp;'19_Расчет_аналитики'!AB3596,WeightedRevAge21)-SUMIF(ThresholdAge21,"&lt;"&amp;'19_Расчет_аналитики'!AB3596,WeightedMinAge21),MAX(CapacityAge21*'01_Вводные'!$B$218*'19_Расчет_аналитики'!AB3596,MeanMinAge21))),0)</f>
        <v/>
      </c>
      <c r="AC3548">
        <f>IF('01_Вводные'!$B$234="Да",IF(OR(('19_Расчет_аналитики'!AC3464-'19_Расчет_аналитики'!AC3492)=0,21&lt;='01_Вводные'!$B$297),0,('19_Расчет_аналитики'!AC3464-'19_Расчет_аналитики'!AC3492)*IF('01_Вводные'!$B$239="Да",MeanMinAge21+'19_Расчет_аналитики'!AC3596*SUMIF(ThresholdAge21,"&lt;"&amp;'19_Расчет_аналитики'!AC3596,WeightedRevAge21)-SUMIF(ThresholdAge21,"&lt;"&amp;'19_Расчет_аналитики'!AC3596,WeightedMinAge21),MAX(CapacityAge21*'01_Вводные'!$B$218*'19_Расчет_аналитики'!AC3596,MeanMinAge21))),0)</f>
        <v/>
      </c>
      <c r="AD3548">
        <f>IF('01_Вводные'!$B$234="Да",IF(OR(('19_Расчет_аналитики'!AD3464-'19_Расчет_аналитики'!AD3492)=0,21&lt;='01_Вводные'!$B$297),0,('19_Расчет_аналитики'!AD3464-'19_Расчет_аналитики'!AD3492)*IF('01_Вводные'!$B$239="Да",MeanMinAge21+'19_Расчет_аналитики'!AD3596*SUMIF(ThresholdAge21,"&lt;"&amp;'19_Расчет_аналитики'!AD3596,WeightedRevAge21)-SUMIF(ThresholdAge21,"&lt;"&amp;'19_Расчет_аналитики'!AD3596,WeightedMinAge21),MAX(CapacityAge21*'01_Вводные'!$B$218*'19_Расчет_аналитики'!AD3596,MeanMinAge21))),0)</f>
        <v/>
      </c>
      <c r="AE3548">
        <f>IF('01_Вводные'!$B$234="Да",IF(OR(('19_Расчет_аналитики'!AE3464-'19_Расчет_аналитики'!AE3492)=0,21&lt;='01_Вводные'!$B$297),0,('19_Расчет_аналитики'!AE3464-'19_Расчет_аналитики'!AE3492)*IF('01_Вводные'!$B$239="Да",MeanMinAge21+'19_Расчет_аналитики'!AE3596*SUMIF(ThresholdAge21,"&lt;"&amp;'19_Расчет_аналитики'!AE3596,WeightedRevAge21)-SUMIF(ThresholdAge21,"&lt;"&amp;'19_Расчет_аналитики'!AE3596,WeightedMinAge21),MAX(CapacityAge21*'01_Вводные'!$B$218*'19_Расчет_аналитики'!AE3596,MeanMinAge21))),0)</f>
        <v/>
      </c>
      <c r="AF3548">
        <f>IF('01_Вводные'!$B$234="Да",IF(OR(('19_Расчет_аналитики'!AF3464-'19_Расчет_аналитики'!AF3492)=0,21&lt;='01_Вводные'!$B$297),0,('19_Расчет_аналитики'!AF3464-'19_Расчет_аналитики'!AF3492)*IF('01_Вводные'!$B$239="Да",MeanMinAge21+'19_Расчет_аналитики'!AF3596*SUMIF(ThresholdAge21,"&lt;"&amp;'19_Расчет_аналитики'!AF3596,WeightedRevAge21)-SUMIF(ThresholdAge21,"&lt;"&amp;'19_Расчет_аналитики'!AF3596,WeightedMinAge21),MAX(CapacityAge21*'01_Вводные'!$B$218*'19_Расчет_аналитики'!AF3596,MeanMinAge21))),0)</f>
        <v/>
      </c>
      <c r="AG3548">
        <f>IF('01_Вводные'!$B$234="Да",IF(OR(('19_Расчет_аналитики'!AG3464-'19_Расчет_аналитики'!AG3492)=0,21&lt;='01_Вводные'!$B$297),0,('19_Расчет_аналитики'!AG3464-'19_Расчет_аналитики'!AG3492)*IF('01_Вводные'!$B$239="Да",MeanMinAge21+'19_Расчет_аналитики'!AG3596*SUMIF(ThresholdAge21,"&lt;"&amp;'19_Расчет_аналитики'!AG3596,WeightedRevAge21)-SUMIF(ThresholdAge21,"&lt;"&amp;'19_Расчет_аналитики'!AG3596,WeightedMinAge21),MAX(CapacityAge21*'01_Вводные'!$B$218*'19_Расчет_аналитики'!AG3596,MeanMinAge21))),0)</f>
        <v/>
      </c>
      <c r="AH3548">
        <f>IF('01_Вводные'!$B$234="Да",IF(OR(('19_Расчет_аналитики'!AH3464-'19_Расчет_аналитики'!AH3492)=0,21&lt;='01_Вводные'!$B$297),0,('19_Расчет_аналитики'!AH3464-'19_Расчет_аналитики'!AH3492)*IF('01_Вводные'!$B$239="Да",MeanMinAge21+'19_Расчет_аналитики'!AH3596*SUMIF(ThresholdAge21,"&lt;"&amp;'19_Расчет_аналитики'!AH3596,WeightedRevAge21)-SUMIF(ThresholdAge21,"&lt;"&amp;'19_Расчет_аналитики'!AH3596,WeightedMinAge21),MAX(CapacityAge21*'01_Вводные'!$B$218*'19_Расчет_аналитики'!AH3596,MeanMinAge21))),0)</f>
        <v/>
      </c>
      <c r="AI3548">
        <f>IF('01_Вводные'!$B$234="Да",IF(OR(('19_Расчет_аналитики'!AI3464-'19_Расчет_аналитики'!AI3492)=0,21&lt;='01_Вводные'!$B$297),0,('19_Расчет_аналитики'!AI3464-'19_Расчет_аналитики'!AI3492)*IF('01_Вводные'!$B$239="Да",MeanMinAge21+'19_Расчет_аналитики'!AI3596*SUMIF(ThresholdAge21,"&lt;"&amp;'19_Расчет_аналитики'!AI3596,WeightedRevAge21)-SUMIF(ThresholdAge21,"&lt;"&amp;'19_Расчет_аналитики'!AI3596,WeightedMinAge21),MAX(CapacityAge21*'01_Вводные'!$B$218*'19_Расчет_аналитики'!AI3596,MeanMinAge21))),0)</f>
        <v/>
      </c>
      <c r="AJ3548">
        <f>IF('01_Вводные'!$B$234="Да",IF(OR(('19_Расчет_аналитики'!AJ3464-'19_Расчет_аналитики'!AJ3492)=0,21&lt;='01_Вводные'!$B$297),0,('19_Расчет_аналитики'!AJ3464-'19_Расчет_аналитики'!AJ3492)*IF('01_Вводные'!$B$239="Да",MeanMinAge21+'19_Расчет_аналитики'!AJ3596*SUMIF(ThresholdAge21,"&lt;"&amp;'19_Расчет_аналитики'!AJ3596,WeightedRevAge21)-SUMIF(ThresholdAge21,"&lt;"&amp;'19_Расчет_аналитики'!AJ3596,WeightedMinAge21),MAX(CapacityAge21*'01_Вводные'!$B$218*'19_Расчет_аналитики'!AJ3596,MeanMinAge21))),0)</f>
        <v/>
      </c>
      <c r="AK3548">
        <f>IF('01_Вводные'!$B$234="Да",IF(OR(('19_Расчет_аналитики'!AK3464-'19_Расчет_аналитики'!AK3492)=0,21&lt;='01_Вводные'!$B$297),0,('19_Расчет_аналитики'!AK3464-'19_Расчет_аналитики'!AK3492)*IF('01_Вводные'!$B$239="Да",MeanMinAge21+'19_Расчет_аналитики'!AK3596*SUMIF(ThresholdAge21,"&lt;"&amp;'19_Расчет_аналитики'!AK3596,WeightedRevAge21)-SUMIF(ThresholdAge21,"&lt;"&amp;'19_Расчет_аналитики'!AK3596,WeightedMinAge21),MAX(CapacityAge21*'01_Вводные'!$B$218*'19_Расчет_аналитики'!AK3596,MeanMinAge21))),0)</f>
        <v/>
      </c>
      <c r="AL3548">
        <f>IF('01_Вводные'!$B$234="Да",IF(OR(('19_Расчет_аналитики'!AL3464-'19_Расчет_аналитики'!AL3492)=0,21&lt;='01_Вводные'!$B$297),0,('19_Расчет_аналитики'!AL3464-'19_Расчет_аналитики'!AL3492)*IF('01_Вводные'!$B$239="Да",MeanMinAge21+'19_Расчет_аналитики'!AL3596*SUMIF(ThresholdAge21,"&lt;"&amp;'19_Расчет_аналитики'!AL3596,WeightedRevAge21)-SUMIF(ThresholdAge21,"&lt;"&amp;'19_Расчет_аналитики'!AL3596,WeightedMinAge21),MAX(CapacityAge21*'01_Вводные'!$B$218*'19_Расчет_аналитики'!AL3596,MeanMinAge21))),0)</f>
        <v/>
      </c>
      <c r="AM3548">
        <f>IF('01_Вводные'!$B$234="Да",IF(OR(('19_Расчет_аналитики'!AM3464-'19_Расчет_аналитики'!AM3492)=0,21&lt;='01_Вводные'!$B$297),0,('19_Расчет_аналитики'!AM3464-'19_Расчет_аналитики'!AM3492)*IF('01_Вводные'!$B$239="Да",MeanMinAge21+'19_Расчет_аналитики'!AM3596*SUMIF(ThresholdAge21,"&lt;"&amp;'19_Расчет_аналитики'!AM3596,WeightedRevAge21)-SUMIF(ThresholdAge21,"&lt;"&amp;'19_Расчет_аналитики'!AM3596,WeightedMinAge21),MAX(CapacityAge21*'01_Вводные'!$B$218*'19_Расчет_аналитики'!AM3596,MeanMinAge21))),0)</f>
        <v/>
      </c>
      <c r="AN3548">
        <f>IF('01_Вводные'!$B$234="Да",IF(OR(('19_Расчет_аналитики'!AN3464-'19_Расчет_аналитики'!AN3492)=0,21&lt;='01_Вводные'!$B$297),0,('19_Расчет_аналитики'!AN3464-'19_Расчет_аналитики'!AN3492)*IF('01_Вводные'!$B$239="Да",MeanMinAge21+'19_Расчет_аналитики'!AN3596*SUMIF(ThresholdAge21,"&lt;"&amp;'19_Расчет_аналитики'!AN3596,WeightedRevAge21)-SUMIF(ThresholdAge21,"&lt;"&amp;'19_Расчет_аналитики'!AN3596,WeightedMinAge21),MAX(CapacityAge21*'01_Вводные'!$B$218*'19_Расчет_аналитики'!AN3596,MeanMinAge21))),0)</f>
        <v/>
      </c>
      <c r="AO3548">
        <f>IF('01_Вводные'!$B$234="Да",IF(OR(('19_Расчет_аналитики'!AO3464-'19_Расчет_аналитики'!AO3492)=0,21&lt;='01_Вводные'!$B$297),0,('19_Расчет_аналитики'!AO3464-'19_Расчет_аналитики'!AO3492)*IF('01_Вводные'!$B$239="Да",MeanMinAge21+'19_Расчет_аналитики'!AO3596*SUMIF(ThresholdAge21,"&lt;"&amp;'19_Расчет_аналитики'!AO3596,WeightedRevAge21)-SUMIF(ThresholdAge21,"&lt;"&amp;'19_Расчет_аналитики'!AO3596,WeightedMinAge21),MAX(CapacityAge21*'01_Вводные'!$B$218*'19_Расчет_аналитики'!AO3596,MeanMinAge21))),0)</f>
        <v/>
      </c>
      <c r="AP3548">
        <f>IF('01_Вводные'!$B$234="Да",IF(OR(('19_Расчет_аналитики'!AP3464-'19_Расчет_аналитики'!AP3492)=0,21&lt;='01_Вводные'!$B$297),0,('19_Расчет_аналитики'!AP3464-'19_Расчет_аналитики'!AP3492)*IF('01_Вводные'!$B$239="Да",MeanMinAge21+'19_Расчет_аналитики'!AP3596*SUMIF(ThresholdAge21,"&lt;"&amp;'19_Расчет_аналитики'!AP3596,WeightedRevAge21)-SUMIF(ThresholdAge21,"&lt;"&amp;'19_Расчет_аналитики'!AP3596,WeightedMinAge21),MAX(CapacityAge21*'01_Вводные'!$B$218*'19_Расчет_аналитики'!AP3596,MeanMinAge21))),0)</f>
        <v/>
      </c>
      <c r="AQ3548">
        <f>IF('01_Вводные'!$B$234="Да",IF(OR(('19_Расчет_аналитики'!AQ3464-'19_Расчет_аналитики'!AQ3492)=0,21&lt;='01_Вводные'!$B$297),0,('19_Расчет_аналитики'!AQ3464-'19_Расчет_аналитики'!AQ3492)*IF('01_Вводные'!$B$239="Да",MeanMinAge21+'19_Расчет_аналитики'!AQ3596*SUMIF(ThresholdAge21,"&lt;"&amp;'19_Расчет_аналитики'!AQ3596,WeightedRevAge21)-SUMIF(ThresholdAge21,"&lt;"&amp;'19_Расчет_аналитики'!AQ3596,WeightedMinAge21),MAX(CapacityAge21*'01_Вводные'!$B$218*'19_Расчет_аналитики'!AQ3596,MeanMinAge21))),0)</f>
        <v/>
      </c>
      <c r="AR3548">
        <f>IF('01_Вводные'!$B$234="Да",IF(OR(('19_Расчет_аналитики'!AR3464-'19_Расчет_аналитики'!AR3492)=0,21&lt;='01_Вводные'!$B$297),0,('19_Расчет_аналитики'!AR3464-'19_Расчет_аналитики'!AR3492)*IF('01_Вводные'!$B$239="Да",MeanMinAge21+'19_Расчет_аналитики'!AR3596*SUMIF(ThresholdAge21,"&lt;"&amp;'19_Расчет_аналитики'!AR3596,WeightedRevAge21)-SUMIF(ThresholdAge21,"&lt;"&amp;'19_Расчет_аналитики'!AR3596,WeightedMinAge21),MAX(CapacityAge21*'01_Вводные'!$B$218*'19_Расчет_аналитики'!AR3596,MeanMinAge21))),0)</f>
        <v/>
      </c>
      <c r="AS3548">
        <f>IF('01_Вводные'!$B$234="Да",IF(OR(('19_Расчет_аналитики'!AS3464-'19_Расчет_аналитики'!AS3492)=0,21&lt;='01_Вводные'!$B$297),0,('19_Расчет_аналитики'!AS3464-'19_Расчет_аналитики'!AS3492)*IF('01_Вводные'!$B$239="Да",MeanMinAge21+'19_Расчет_аналитики'!AS3596*SUMIF(ThresholdAge21,"&lt;"&amp;'19_Расчет_аналитики'!AS3596,WeightedRevAge21)-SUMIF(ThresholdAge21,"&lt;"&amp;'19_Расчет_аналитики'!AS3596,WeightedMinAge21),MAX(CapacityAge21*'01_Вводные'!$B$218*'19_Расчет_аналитики'!AS3596,MeanMinAge21))),0)</f>
        <v/>
      </c>
      <c r="AT3548">
        <f>IF('01_Вводные'!$B$234="Да",IF(OR(('19_Расчет_аналитики'!AT3464-'19_Расчет_аналитики'!AT3492)=0,21&lt;='01_Вводные'!$B$297),0,('19_Расчет_аналитики'!AT3464-'19_Расчет_аналитики'!AT3492)*IF('01_Вводные'!$B$239="Да",MeanMinAge21+'19_Расчет_аналитики'!AT3596*SUMIF(ThresholdAge21,"&lt;"&amp;'19_Расчет_аналитики'!AT3596,WeightedRevAge21)-SUMIF(ThresholdAge21,"&lt;"&amp;'19_Расчет_аналитики'!AT3596,WeightedMinAge21),MAX(CapacityAge21*'01_Вводные'!$B$218*'19_Расчет_аналитики'!AT3596,MeanMinAge21))),0)</f>
        <v/>
      </c>
      <c r="AU3548">
        <f>IF('01_Вводные'!$B$234="Да",IF(OR(('19_Расчет_аналитики'!AU3464-'19_Расчет_аналитики'!AU3492)=0,21&lt;='01_Вводные'!$B$297),0,('19_Расчет_аналитики'!AU3464-'19_Расчет_аналитики'!AU3492)*IF('01_Вводные'!$B$239="Да",MeanMinAge21+'19_Расчет_аналитики'!AU3596*SUMIF(ThresholdAge21,"&lt;"&amp;'19_Расчет_аналитики'!AU3596,WeightedRevAge21)-SUMIF(ThresholdAge21,"&lt;"&amp;'19_Расчет_аналитики'!AU3596,WeightedMinAge21),MAX(CapacityAge21*'01_Вводные'!$B$218*'19_Расчет_аналитики'!AU3596,MeanMinAge21))),0)</f>
        <v/>
      </c>
      <c r="AV3548">
        <f>IF('01_Вводные'!$B$234="Да",IF(OR(('19_Расчет_аналитики'!AV3464-'19_Расчет_аналитики'!AV3492)=0,21&lt;='01_Вводные'!$B$297),0,('19_Расчет_аналитики'!AV3464-'19_Расчет_аналитики'!AV3492)*IF('01_Вводные'!$B$239="Да",MeanMinAge21+'19_Расчет_аналитики'!AV3596*SUMIF(ThresholdAge21,"&lt;"&amp;'19_Расчет_аналитики'!AV3596,WeightedRevAge21)-SUMIF(ThresholdAge21,"&lt;"&amp;'19_Расчет_аналитики'!AV3596,WeightedMinAge21),MAX(CapacityAge21*'01_Вводные'!$B$218*'19_Расчет_аналитики'!AV3596,MeanMinAge21))),0)</f>
        <v/>
      </c>
      <c r="AW3548">
        <f>IF('01_Вводные'!$B$234="Да",IF(OR(('19_Расчет_аналитики'!AW3464-'19_Расчет_аналитики'!AW3492)=0,21&lt;='01_Вводные'!$B$297),0,('19_Расчет_аналитики'!AW3464-'19_Расчет_аналитики'!AW3492)*IF('01_Вводные'!$B$239="Да",MeanMinAge21+'19_Расчет_аналитики'!AW3596*SUMIF(ThresholdAge21,"&lt;"&amp;'19_Расчет_аналитики'!AW3596,WeightedRevAge21)-SUMIF(ThresholdAge21,"&lt;"&amp;'19_Расчет_аналитики'!AW3596,WeightedMinAge21),MAX(CapacityAge21*'01_Вводные'!$B$218*'19_Расчет_аналитики'!AW3596,MeanMinAge21))),0)</f>
        <v/>
      </c>
      <c r="AX3548">
        <f>IF('01_Вводные'!$B$234="Да",IF(OR(('19_Расчет_аналитики'!AX3464-'19_Расчет_аналитики'!AX3492)=0,21&lt;='01_Вводные'!$B$297),0,('19_Расчет_аналитики'!AX3464-'19_Расчет_аналитики'!AX3492)*IF('01_Вводные'!$B$239="Да",MeanMinAge21+'19_Расчет_аналитики'!AX3596*SUMIF(ThresholdAge21,"&lt;"&amp;'19_Расчет_аналитики'!AX3596,WeightedRevAge21)-SUMIF(ThresholdAge21,"&lt;"&amp;'19_Расчет_аналитики'!AX3596,WeightedMinAge21),MAX(CapacityAge21*'01_Вводные'!$B$218*'19_Расчет_аналитики'!AX3596,MeanMinAge21))),0)</f>
        <v/>
      </c>
      <c r="AY3548">
        <f>IF('01_Вводные'!$B$234="Да",IF(OR(('19_Расчет_аналитики'!AY3464-'19_Расчет_аналитики'!AY3492)=0,21&lt;='01_Вводные'!$B$297),0,('19_Расчет_аналитики'!AY3464-'19_Расчет_аналитики'!AY3492)*IF('01_Вводные'!$B$239="Да",MeanMinAge21+'19_Расчет_аналитики'!AY3596*SUMIF(ThresholdAge21,"&lt;"&amp;'19_Расчет_аналитики'!AY3596,WeightedRevAge21)-SUMIF(ThresholdAge21,"&lt;"&amp;'19_Расчет_аналитики'!AY3596,WeightedMinAge21),MAX(CapacityAge21*'01_Вводные'!$B$218*'19_Расчет_аналитики'!AY3596,MeanMinAge21))),0)</f>
        <v/>
      </c>
      <c r="AZ3548">
        <f>IF('01_Вводные'!$B$234="Да",IF(OR(('19_Расчет_аналитики'!AZ3464-'19_Расчет_аналитики'!AZ3492)=0,21&lt;='01_Вводные'!$B$297),0,('19_Расчет_аналитики'!AZ3464-'19_Расчет_аналитики'!AZ3492)*IF('01_Вводные'!$B$239="Да",MeanMinAge21+'19_Расчет_аналитики'!AZ3596*SUMIF(ThresholdAge21,"&lt;"&amp;'19_Расчет_аналитики'!AZ3596,WeightedRevAge21)-SUMIF(ThresholdAge21,"&lt;"&amp;'19_Расчет_аналитики'!AZ3596,WeightedMinAge21),MAX(CapacityAge21*'01_Вводные'!$B$218*'19_Расчет_аналитики'!AZ3596,MeanMinAge21))),0)</f>
        <v/>
      </c>
      <c r="BA3548">
        <f>IF('01_Вводные'!$B$234="Да",IF(OR(('19_Расчет_аналитики'!BA3464-'19_Расчет_аналитики'!BA3492)=0,21&lt;='01_Вводные'!$B$297),0,('19_Расчет_аналитики'!BA3464-'19_Расчет_аналитики'!BA3492)*IF('01_Вводные'!$B$239="Да",MeanMinAge21+'19_Расчет_аналитики'!BA3596*SUMIF(ThresholdAge21,"&lt;"&amp;'19_Расчет_аналитики'!BA3596,WeightedRevAge21)-SUMIF(ThresholdAge21,"&lt;"&amp;'19_Расчет_аналитики'!BA3596,WeightedMinAge21),MAX(CapacityAge21*'01_Вводные'!$B$218*'19_Расчет_аналитики'!BA3596,MeanMinAge21))),0)</f>
        <v/>
      </c>
      <c r="BB3548">
        <f>IF('01_Вводные'!$B$234="Да",IF(OR(('19_Расчет_аналитики'!BB3464-'19_Расчет_аналитики'!BB3492)=0,21&lt;='01_Вводные'!$B$297),0,('19_Расчет_аналитики'!BB3464-'19_Расчет_аналитики'!BB3492)*IF('01_Вводные'!$B$239="Да",MeanMinAge21+'19_Расчет_аналитики'!BB3596*SUMIF(ThresholdAge21,"&lt;"&amp;'19_Расчет_аналитики'!BB3596,WeightedRevAge21)-SUMIF(ThresholdAge21,"&lt;"&amp;'19_Расчет_аналитики'!BB3596,WeightedMinAge21),MAX(CapacityAge21*'01_Вводные'!$B$218*'19_Расчет_аналитики'!BB3596,MeanMinAge21))),0)</f>
        <v/>
      </c>
      <c r="BC3548">
        <f>IF('01_Вводные'!$B$234="Да",IF(OR(('19_Расчет_аналитики'!BC3464-'19_Расчет_аналитики'!BC3492)=0,21&lt;='01_Вводные'!$B$297),0,('19_Расчет_аналитики'!BC3464-'19_Расчет_аналитики'!BC3492)*IF('01_Вводные'!$B$239="Да",MeanMinAge21+'19_Расчет_аналитики'!BC3596*SUMIF(ThresholdAge21,"&lt;"&amp;'19_Расчет_аналитики'!BC3596,WeightedRevAge21)-SUMIF(ThresholdAge21,"&lt;"&amp;'19_Расчет_аналитики'!BC3596,WeightedMinAge21),MAX(CapacityAge21*'01_Вводные'!$B$218*'19_Расчет_аналитики'!BC3596,MeanMinAge21))),0)</f>
        <v/>
      </c>
      <c r="BD3548">
        <f>IF('01_Вводные'!$B$234="Да",IF(OR(('19_Расчет_аналитики'!BD3464-'19_Расчет_аналитики'!BD3492)=0,21&lt;='01_Вводные'!$B$297),0,('19_Расчет_аналитики'!BD3464-'19_Расчет_аналитики'!BD3492)*IF('01_Вводные'!$B$239="Да",MeanMinAge21+'19_Расчет_аналитики'!BD3596*SUMIF(ThresholdAge21,"&lt;"&amp;'19_Расчет_аналитики'!BD3596,WeightedRevAge21)-SUMIF(ThresholdAge21,"&lt;"&amp;'19_Расчет_аналитики'!BD3596,WeightedMinAge21),MAX(CapacityAge21*'01_Вводные'!$B$218*'19_Расчет_аналитики'!BD3596,MeanMinAge21))),0)</f>
        <v/>
      </c>
      <c r="BE3548">
        <f>IF('01_Вводные'!$B$234="Да",IF(OR(('19_Расчет_аналитики'!BE3464-'19_Расчет_аналитики'!BE3492)=0,21&lt;='01_Вводные'!$B$297),0,('19_Расчет_аналитики'!BE3464-'19_Расчет_аналитики'!BE3492)*IF('01_Вводные'!$B$239="Да",MeanMinAge21+'19_Расчет_аналитики'!BE3596*SUMIF(ThresholdAge21,"&lt;"&amp;'19_Расчет_аналитики'!BE3596,WeightedRevAge21)-SUMIF(ThresholdAge21,"&lt;"&amp;'19_Расчет_аналитики'!BE3596,WeightedMinAge21),MAX(CapacityAge21*'01_Вводные'!$B$218*'19_Расчет_аналитики'!BE3596,MeanMinAge21))),0)</f>
        <v/>
      </c>
      <c r="BF3548">
        <f>IF('01_Вводные'!$B$234="Да",IF(OR(('19_Расчет_аналитики'!BF3464-'19_Расчет_аналитики'!BF3492)=0,21&lt;='01_Вводные'!$B$297),0,('19_Расчет_аналитики'!BF3464-'19_Расчет_аналитики'!BF3492)*IF('01_Вводные'!$B$239="Да",MeanMinAge21+'19_Расчет_аналитики'!BF3596*SUMIF(ThresholdAge21,"&lt;"&amp;'19_Расчет_аналитики'!BF3596,WeightedRevAge21)-SUMIF(ThresholdAge21,"&lt;"&amp;'19_Расчет_аналитики'!BF3596,WeightedMinAge21),MAX(CapacityAge21*'01_Вводные'!$B$218*'19_Расчет_аналитики'!BF3596,MeanMinAge21))),0)</f>
        <v/>
      </c>
      <c r="BG3548">
        <f>IF('01_Вводные'!$B$234="Да",IF(OR(('19_Расчет_аналитики'!BG3464-'19_Расчет_аналитики'!BG3492)=0,21&lt;='01_Вводные'!$B$297),0,('19_Расчет_аналитики'!BG3464-'19_Расчет_аналитики'!BG3492)*IF('01_Вводные'!$B$239="Да",MeanMinAge21+'19_Расчет_аналитики'!BG3596*SUMIF(ThresholdAge21,"&lt;"&amp;'19_Расчет_аналитики'!BG3596,WeightedRevAge21)-SUMIF(ThresholdAge21,"&lt;"&amp;'19_Расчет_аналитики'!BG3596,WeightedMinAge21),MAX(CapacityAge21*'01_Вводные'!$B$218*'19_Расчет_аналитики'!BG3596,MeanMinAge21))),0)</f>
        <v/>
      </c>
      <c r="BH3548">
        <f>IF('01_Вводные'!$B$234="Да",IF(OR(('19_Расчет_аналитики'!BH3464-'19_Расчет_аналитики'!BH3492)=0,21&lt;='01_Вводные'!$B$297),0,('19_Расчет_аналитики'!BH3464-'19_Расчет_аналитики'!BH3492)*IF('01_Вводные'!$B$239="Да",MeanMinAge21+'19_Расчет_аналитики'!BH3596*SUMIF(ThresholdAge21,"&lt;"&amp;'19_Расчет_аналитики'!BH3596,WeightedRevAge21)-SUMIF(ThresholdAge21,"&lt;"&amp;'19_Расчет_аналитики'!BH3596,WeightedMinAge21),MAX(CapacityAge21*'01_Вводные'!$B$218*'19_Расчет_аналитики'!BH3596,MeanMinAge21))),0)</f>
        <v/>
      </c>
      <c r="BI3548">
        <f>IF('01_Вводные'!$B$234="Да",IF(OR(('19_Расчет_аналитики'!BI3464-'19_Расчет_аналитики'!BI3492)=0,21&lt;='01_Вводные'!$B$297),0,('19_Расчет_аналитики'!BI3464-'19_Расчет_аналитики'!BI3492)*IF('01_Вводные'!$B$239="Да",MeanMinAge21+'19_Расчет_аналитики'!BI3596*SUMIF(ThresholdAge21,"&lt;"&amp;'19_Расчет_аналитики'!BI3596,WeightedRevAge21)-SUMIF(ThresholdAge21,"&lt;"&amp;'19_Расчет_аналитики'!BI3596,WeightedMinAge21),MAX(CapacityAge21*'01_Вводные'!$B$218*'19_Расчет_аналитики'!BI3596,MeanMinAge21))),0)</f>
        <v/>
      </c>
      <c r="BJ3548">
        <f>IF('01_Вводные'!$B$234="Да",IF(OR(('19_Расчет_аналитики'!BJ3464-'19_Расчет_аналитики'!BJ3492)=0,21&lt;='01_Вводные'!$B$297),0,('19_Расчет_аналитики'!BJ3464-'19_Расчет_аналитики'!BJ3492)*IF('01_Вводные'!$B$239="Да",MeanMinAge21+'19_Расчет_аналитики'!BJ3596*SUMIF(ThresholdAge21,"&lt;"&amp;'19_Расчет_аналитики'!BJ3596,WeightedRevAge21)-SUMIF(ThresholdAge21,"&lt;"&amp;'19_Расчет_аналитики'!BJ3596,WeightedMinAge21),MAX(CapacityAge21*'01_Вводные'!$B$218*'19_Расчет_аналитики'!BJ3596,MeanMinAge21))),0)</f>
        <v/>
      </c>
      <c r="BK3548">
        <f>IF('01_Вводные'!$B$234="Да",IF(OR(('19_Расчет_аналитики'!BK3464-'19_Расчет_аналитики'!BK3492)=0,21&lt;='01_Вводные'!$B$297),0,('19_Расчет_аналитики'!BK3464-'19_Расчет_аналитики'!BK3492)*IF('01_Вводные'!$B$239="Да",MeanMinAge21+'19_Расчет_аналитики'!BK3596*SUMIF(ThresholdAge21,"&lt;"&amp;'19_Расчет_аналитики'!BK3596,WeightedRevAge21)-SUMIF(ThresholdAge21,"&lt;"&amp;'19_Расчет_аналитики'!BK3596,WeightedMinAge21),MAX(CapacityAge21*'01_Вводные'!$B$218*'19_Расчет_аналитики'!BK3596,MeanMinAge21))),0)</f>
        <v/>
      </c>
      <c r="BL3548">
        <f>IF('01_Вводные'!$B$234="Да",IF(OR(('19_Расчет_аналитики'!BL3464-'19_Расчет_аналитики'!BL3492)=0,21&lt;='01_Вводные'!$B$297),0,('19_Расчет_аналитики'!BL3464-'19_Расчет_аналитики'!BL3492)*IF('01_Вводные'!$B$239="Да",MeanMinAge21+'19_Расчет_аналитики'!BL3596*SUMIF(ThresholdAge21,"&lt;"&amp;'19_Расчет_аналитики'!BL3596,WeightedRevAge21)-SUMIF(ThresholdAge21,"&lt;"&amp;'19_Расчет_аналитики'!BL3596,WeightedMinAge21),MAX(CapacityAge21*'01_Вводные'!$B$218*'19_Расчет_аналитики'!BL3596,MeanMinAge21))),0)</f>
        <v/>
      </c>
      <c r="BM3548">
        <f>IF('01_Вводные'!$B$234="Да",IF(OR(('19_Расчет_аналитики'!BM3464-'19_Расчет_аналитики'!BM3492)=0,21&lt;='01_Вводные'!$B$297),0,('19_Расчет_аналитики'!BM3464-'19_Расчет_аналитики'!BM3492)*IF('01_Вводные'!$B$239="Да",MeanMinAge21+'19_Расчет_аналитики'!BM3596*SUMIF(ThresholdAge21,"&lt;"&amp;'19_Расчет_аналитики'!BM3596,WeightedRevAge21)-SUMIF(ThresholdAge21,"&lt;"&amp;'19_Расчет_аналитики'!BM3596,WeightedMinAge21),MAX(CapacityAge21*'01_Вводные'!$B$218*'19_Расчет_аналитики'!BM3596,MeanMinAge21))),0)</f>
        <v/>
      </c>
      <c r="BN3548">
        <f>IF('01_Вводные'!$B$234="Да",IF(OR(('19_Расчет_аналитики'!BN3464-'19_Расчет_аналитики'!BN3492)=0,21&lt;='01_Вводные'!$B$297),0,('19_Расчет_аналитики'!BN3464-'19_Расчет_аналитики'!BN3492)*IF('01_Вводные'!$B$239="Да",MeanMinAge21+'19_Расчет_аналитики'!BN3596*SUMIF(ThresholdAge21,"&lt;"&amp;'19_Расчет_аналитики'!BN3596,WeightedRevAge21)-SUMIF(ThresholdAge21,"&lt;"&amp;'19_Расчет_аналитики'!BN3596,WeightedMinAge21),MAX(CapacityAge21*'01_Вводные'!$B$218*'19_Расчет_аналитики'!BN3596,MeanMinAge21))),0)</f>
        <v/>
      </c>
      <c r="BO3548">
        <f>IF('01_Вводные'!$B$234="Да",IF(OR(('19_Расчет_аналитики'!BO3464-'19_Расчет_аналитики'!BO3492)=0,21&lt;='01_Вводные'!$B$297),0,('19_Расчет_аналитики'!BO3464-'19_Расчет_аналитики'!BO3492)*IF('01_Вводные'!$B$239="Да",MeanMinAge21+'19_Расчет_аналитики'!BO3596*SUMIF(ThresholdAge21,"&lt;"&amp;'19_Расчет_аналитики'!BO3596,WeightedRevAge21)-SUMIF(ThresholdAge21,"&lt;"&amp;'19_Расчет_аналитики'!BO3596,WeightedMinAge21),MAX(CapacityAge21*'01_Вводные'!$B$218*'19_Расчет_аналитики'!BO3596,MeanMinAge21))),0)</f>
        <v/>
      </c>
    </row>
    <row r="3549">
      <c r="B3549">
        <f>IF('01_Вводные'!$B$234="Да",IF(OR(('06_Сеть_и_дети'!B74-'06_Сеть_и_дети'!B102)=0,22&lt;='01_Вводные'!$B$297),0,('06_Сеть_и_дети'!B74-'06_Сеть_и_дети'!B102)*IF('01_Вводные'!$B$239="Да",MeanMinAge22+'19_Расчет_аналитики'!B3596*SUMIF(ThresholdAge22,"&lt;"&amp;'19_Расчет_аналитики'!B3596,WeightedRevAge22)-SUMIF(ThresholdAge22,"&lt;"&amp;'19_Расчет_аналитики'!B3596,WeightedMinAge22),MAX(CapacityAge22*'01_Вводные'!$B$218*'19_Расчет_аналитики'!B3596,MeanMinAge22))),0)</f>
        <v/>
      </c>
      <c r="C3549">
        <f>IF('01_Вводные'!$B$234="Да",IF(OR(('06_Сеть_и_дети'!C74-'06_Сеть_и_дети'!C102)=0,22&lt;='01_Вводные'!$B$297),0,('06_Сеть_и_дети'!C74-'06_Сеть_и_дети'!C102)*IF('01_Вводные'!$B$239="Да",MeanMinAge22+'19_Расчет_аналитики'!C3596*SUMIF(ThresholdAge22,"&lt;"&amp;'19_Расчет_аналитики'!C3596,WeightedRevAge22)-SUMIF(ThresholdAge22,"&lt;"&amp;'19_Расчет_аналитики'!C3596,WeightedMinAge22),MAX(CapacityAge22*'01_Вводные'!$B$218*'19_Расчет_аналитики'!C3596,MeanMinAge22))),0)</f>
        <v/>
      </c>
      <c r="D3549">
        <f>IF('01_Вводные'!$B$234="Да",IF(OR(('06_Сеть_и_дети'!D74-'06_Сеть_и_дети'!D102)=0,22&lt;='01_Вводные'!$B$297),0,('06_Сеть_и_дети'!D74-'06_Сеть_и_дети'!D102)*IF('01_Вводные'!$B$239="Да",MeanMinAge22+'19_Расчет_аналитики'!D3596*SUMIF(ThresholdAge22,"&lt;"&amp;'19_Расчет_аналитики'!D3596,WeightedRevAge22)-SUMIF(ThresholdAge22,"&lt;"&amp;'19_Расчет_аналитики'!D3596,WeightedMinAge22),MAX(CapacityAge22*'01_Вводные'!$B$218*'19_Расчет_аналитики'!D3596,MeanMinAge22))),0)</f>
        <v/>
      </c>
      <c r="E3549">
        <f>IF('01_Вводные'!$B$234="Да",IF(OR(('06_Сеть_и_дети'!E74-'06_Сеть_и_дети'!E102)=0,22&lt;='01_Вводные'!$B$297),0,('06_Сеть_и_дети'!E74-'06_Сеть_и_дети'!E102)*IF('01_Вводные'!$B$239="Да",MeanMinAge22+'19_Расчет_аналитики'!E3596*SUMIF(ThresholdAge22,"&lt;"&amp;'19_Расчет_аналитики'!E3596,WeightedRevAge22)-SUMIF(ThresholdAge22,"&lt;"&amp;'19_Расчет_аналитики'!E3596,WeightedMinAge22),MAX(CapacityAge22*'01_Вводные'!$B$218*'19_Расчет_аналитики'!E3596,MeanMinAge22))),0)</f>
        <v/>
      </c>
      <c r="F3549">
        <f>IF('01_Вводные'!$B$234="Да",IF(OR(('06_Сеть_и_дети'!F74-'06_Сеть_и_дети'!F102)=0,22&lt;='01_Вводные'!$B$297),0,('06_Сеть_и_дети'!F74-'06_Сеть_и_дети'!F102)*IF('01_Вводные'!$B$239="Да",MeanMinAge22+'19_Расчет_аналитики'!F3596*SUMIF(ThresholdAge22,"&lt;"&amp;'19_Расчет_аналитики'!F3596,WeightedRevAge22)-SUMIF(ThresholdAge22,"&lt;"&amp;'19_Расчет_аналитики'!F3596,WeightedMinAge22),MAX(CapacityAge22*'01_Вводные'!$B$218*'19_Расчет_аналитики'!F3596,MeanMinAge22))),0)</f>
        <v/>
      </c>
      <c r="G3549">
        <f>IF('01_Вводные'!$B$234="Да",IF(OR(('06_Сеть_и_дети'!G74-'06_Сеть_и_дети'!G102)=0,22&lt;='01_Вводные'!$B$297),0,('06_Сеть_и_дети'!G74-'06_Сеть_и_дети'!G102)*IF('01_Вводные'!$B$239="Да",MeanMinAge22+'19_Расчет_аналитики'!G3596*SUMIF(ThresholdAge22,"&lt;"&amp;'19_Расчет_аналитики'!G3596,WeightedRevAge22)-SUMIF(ThresholdAge22,"&lt;"&amp;'19_Расчет_аналитики'!G3596,WeightedMinAge22),MAX(CapacityAge22*'01_Вводные'!$B$218*'19_Расчет_аналитики'!G3596,MeanMinAge22))),0)</f>
        <v/>
      </c>
      <c r="H3549">
        <f>IF('01_Вводные'!$B$234="Да",IF(OR(('06_Сеть_и_дети'!H74-'06_Сеть_и_дети'!H102)=0,22&lt;='01_Вводные'!$B$297),0,('06_Сеть_и_дети'!H74-'06_Сеть_и_дети'!H102)*IF('01_Вводные'!$B$239="Да",MeanMinAge22+'19_Расчет_аналитики'!H3596*SUMIF(ThresholdAge22,"&lt;"&amp;'19_Расчет_аналитики'!H3596,WeightedRevAge22)-SUMIF(ThresholdAge22,"&lt;"&amp;'19_Расчет_аналитики'!H3596,WeightedMinAge22),MAX(CapacityAge22*'01_Вводные'!$B$218*'19_Расчет_аналитики'!H3596,MeanMinAge22))),0)</f>
        <v/>
      </c>
      <c r="I3549">
        <f>IF('01_Вводные'!$B$234="Да",IF(OR(('06_Сеть_и_дети'!I74-'06_Сеть_и_дети'!I102)=0,22&lt;='01_Вводные'!$B$297),0,('06_Сеть_и_дети'!I74-'06_Сеть_и_дети'!I102)*IF('01_Вводные'!$B$239="Да",MeanMinAge22+'19_Расчет_аналитики'!I3596*SUMIF(ThresholdAge22,"&lt;"&amp;'19_Расчет_аналитики'!I3596,WeightedRevAge22)-SUMIF(ThresholdAge22,"&lt;"&amp;'19_Расчет_аналитики'!I3596,WeightedMinAge22),MAX(CapacityAge22*'01_Вводные'!$B$218*'19_Расчет_аналитики'!I3596,MeanMinAge22))),0)</f>
        <v/>
      </c>
      <c r="J3549">
        <f>IF('01_Вводные'!$B$234="Да",IF(OR(('06_Сеть_и_дети'!J74-'06_Сеть_и_дети'!J102)=0,22&lt;='01_Вводные'!$B$297),0,('06_Сеть_и_дети'!J74-'06_Сеть_и_дети'!J102)*IF('01_Вводные'!$B$239="Да",MeanMinAge22+'19_Расчет_аналитики'!J3596*SUMIF(ThresholdAge22,"&lt;"&amp;'19_Расчет_аналитики'!J3596,WeightedRevAge22)-SUMIF(ThresholdAge22,"&lt;"&amp;'19_Расчет_аналитики'!J3596,WeightedMinAge22),MAX(CapacityAge22*'01_Вводные'!$B$218*'19_Расчет_аналитики'!J3596,MeanMinAge22))),0)</f>
        <v/>
      </c>
      <c r="K3549">
        <f>IF('01_Вводные'!$B$234="Да",IF(OR(('06_Сеть_и_дети'!K74-'06_Сеть_и_дети'!K102)=0,22&lt;='01_Вводные'!$B$297),0,('06_Сеть_и_дети'!K74-'06_Сеть_и_дети'!K102)*IF('01_Вводные'!$B$239="Да",MeanMinAge22+'19_Расчет_аналитики'!K3596*SUMIF(ThresholdAge22,"&lt;"&amp;'19_Расчет_аналитики'!K3596,WeightedRevAge22)-SUMIF(ThresholdAge22,"&lt;"&amp;'19_Расчет_аналитики'!K3596,WeightedMinAge22),MAX(CapacityAge22*'01_Вводные'!$B$218*'19_Расчет_аналитики'!K3596,MeanMinAge22))),0)</f>
        <v/>
      </c>
      <c r="L3549">
        <f>IF('01_Вводные'!$B$234="Да",IF(OR(('06_Сеть_и_дети'!L74-'06_Сеть_и_дети'!L102)=0,22&lt;='01_Вводные'!$B$297),0,('06_Сеть_и_дети'!L74-'06_Сеть_и_дети'!L102)*IF('01_Вводные'!$B$239="Да",MeanMinAge22+'19_Расчет_аналитики'!L3596*SUMIF(ThresholdAge22,"&lt;"&amp;'19_Расчет_аналитики'!L3596,WeightedRevAge22)-SUMIF(ThresholdAge22,"&lt;"&amp;'19_Расчет_аналитики'!L3596,WeightedMinAge22),MAX(CapacityAge22*'01_Вводные'!$B$218*'19_Расчет_аналитики'!L3596,MeanMinAge22))),0)</f>
        <v/>
      </c>
      <c r="M3549">
        <f>IF('01_Вводные'!$B$234="Да",IF(OR(('06_Сеть_и_дети'!M74-'06_Сеть_и_дети'!M102)=0,22&lt;='01_Вводные'!$B$297),0,('06_Сеть_и_дети'!M74-'06_Сеть_и_дети'!M102)*IF('01_Вводные'!$B$239="Да",MeanMinAge22+'19_Расчет_аналитики'!M3596*SUMIF(ThresholdAge22,"&lt;"&amp;'19_Расчет_аналитики'!M3596,WeightedRevAge22)-SUMIF(ThresholdAge22,"&lt;"&amp;'19_Расчет_аналитики'!M3596,WeightedMinAge22),MAX(CapacityAge22*'01_Вводные'!$B$218*'19_Расчет_аналитики'!M3596,MeanMinAge22))),0)</f>
        <v/>
      </c>
      <c r="N3549">
        <f>IF('01_Вводные'!$B$234="Да",IF(OR(('06_Сеть_и_дети'!N74-'06_Сеть_и_дети'!N102)=0,22&lt;='01_Вводные'!$B$297),0,('06_Сеть_и_дети'!N74-'06_Сеть_и_дети'!N102)*IF('01_Вводные'!$B$239="Да",MeanMinAge22+'19_Расчет_аналитики'!N3596*SUMIF(ThresholdAge22,"&lt;"&amp;'19_Расчет_аналитики'!N3596,WeightedRevAge22)-SUMIF(ThresholdAge22,"&lt;"&amp;'19_Расчет_аналитики'!N3596,WeightedMinAge22),MAX(CapacityAge22*'01_Вводные'!$B$218*'19_Расчет_аналитики'!N3596,MeanMinAge22))),0)</f>
        <v/>
      </c>
      <c r="O3549">
        <f>IF('01_Вводные'!$B$234="Да",IF(OR(('06_Сеть_и_дети'!O74-'06_Сеть_и_дети'!O102)=0,22&lt;='01_Вводные'!$B$297),0,('06_Сеть_и_дети'!O74-'06_Сеть_и_дети'!O102)*IF('01_Вводные'!$B$239="Да",MeanMinAge22+'19_Расчет_аналитики'!O3596*SUMIF(ThresholdAge22,"&lt;"&amp;'19_Расчет_аналитики'!O3596,WeightedRevAge22)-SUMIF(ThresholdAge22,"&lt;"&amp;'19_Расчет_аналитики'!O3596,WeightedMinAge22),MAX(CapacityAge22*'01_Вводные'!$B$218*'19_Расчет_аналитики'!O3596,MeanMinAge22))),0)</f>
        <v/>
      </c>
      <c r="P3549">
        <f>IF('01_Вводные'!$B$234="Да",IF(OR(('06_Сеть_и_дети'!P74-'06_Сеть_и_дети'!P102)=0,22&lt;='01_Вводные'!$B$297),0,('06_Сеть_и_дети'!P74-'06_Сеть_и_дети'!P102)*IF('01_Вводные'!$B$239="Да",MeanMinAge22+'19_Расчет_аналитики'!P3596*SUMIF(ThresholdAge22,"&lt;"&amp;'19_Расчет_аналитики'!P3596,WeightedRevAge22)-SUMIF(ThresholdAge22,"&lt;"&amp;'19_Расчет_аналитики'!P3596,WeightedMinAge22),MAX(CapacityAge22*'01_Вводные'!$B$218*'19_Расчет_аналитики'!P3596,MeanMinAge22))),0)</f>
        <v/>
      </c>
      <c r="Q3549">
        <f>IF('01_Вводные'!$B$234="Да",IF(OR(('06_Сеть_и_дети'!Q74-'06_Сеть_и_дети'!Q102)=0,22&lt;='01_Вводные'!$B$297),0,('06_Сеть_и_дети'!Q74-'06_Сеть_и_дети'!Q102)*IF('01_Вводные'!$B$239="Да",MeanMinAge22+'19_Расчет_аналитики'!Q3596*SUMIF(ThresholdAge22,"&lt;"&amp;'19_Расчет_аналитики'!Q3596,WeightedRevAge22)-SUMIF(ThresholdAge22,"&lt;"&amp;'19_Расчет_аналитики'!Q3596,WeightedMinAge22),MAX(CapacityAge22*'01_Вводные'!$B$218*'19_Расчет_аналитики'!Q3596,MeanMinAge22))),0)</f>
        <v/>
      </c>
      <c r="R3549">
        <f>IF('01_Вводные'!$B$234="Да",IF(OR(('06_Сеть_и_дети'!R74-'06_Сеть_и_дети'!R102)=0,22&lt;='01_Вводные'!$B$297),0,('06_Сеть_и_дети'!R74-'06_Сеть_и_дети'!R102)*IF('01_Вводные'!$B$239="Да",MeanMinAge22+'19_Расчет_аналитики'!R3596*SUMIF(ThresholdAge22,"&lt;"&amp;'19_Расчет_аналитики'!R3596,WeightedRevAge22)-SUMIF(ThresholdAge22,"&lt;"&amp;'19_Расчет_аналитики'!R3596,WeightedMinAge22),MAX(CapacityAge22*'01_Вводные'!$B$218*'19_Расчет_аналитики'!R3596,MeanMinAge22))),0)</f>
        <v/>
      </c>
      <c r="S3549">
        <f>IF('01_Вводные'!$B$234="Да",IF(OR(('06_Сеть_и_дети'!S74-'06_Сеть_и_дети'!S102)=0,22&lt;='01_Вводные'!$B$297),0,('06_Сеть_и_дети'!S74-'06_Сеть_и_дети'!S102)*IF('01_Вводные'!$B$239="Да",MeanMinAge22+'19_Расчет_аналитики'!S3596*SUMIF(ThresholdAge22,"&lt;"&amp;'19_Расчет_аналитики'!S3596,WeightedRevAge22)-SUMIF(ThresholdAge22,"&lt;"&amp;'19_Расчет_аналитики'!S3596,WeightedMinAge22),MAX(CapacityAge22*'01_Вводные'!$B$218*'19_Расчет_аналитики'!S3596,MeanMinAge22))),0)</f>
        <v/>
      </c>
      <c r="T3549">
        <f>IF('01_Вводные'!$B$234="Да",IF(OR(('06_Сеть_и_дети'!T74-'06_Сеть_и_дети'!T102)=0,22&lt;='01_Вводные'!$B$297),0,('06_Сеть_и_дети'!T74-'06_Сеть_и_дети'!T102)*IF('01_Вводные'!$B$239="Да",MeanMinAge22+'19_Расчет_аналитики'!T3596*SUMIF(ThresholdAge22,"&lt;"&amp;'19_Расчет_аналитики'!T3596,WeightedRevAge22)-SUMIF(ThresholdAge22,"&lt;"&amp;'19_Расчет_аналитики'!T3596,WeightedMinAge22),MAX(CapacityAge22*'01_Вводные'!$B$218*'19_Расчет_аналитики'!T3596,MeanMinAge22))),0)</f>
        <v/>
      </c>
      <c r="U3549">
        <f>IF('01_Вводные'!$B$234="Да",IF(OR(('06_Сеть_и_дети'!U74-'06_Сеть_и_дети'!U102)=0,22&lt;='01_Вводные'!$B$297),0,('06_Сеть_и_дети'!U74-'06_Сеть_и_дети'!U102)*IF('01_Вводные'!$B$239="Да",MeanMinAge22+'19_Расчет_аналитики'!U3596*SUMIF(ThresholdAge22,"&lt;"&amp;'19_Расчет_аналитики'!U3596,WeightedRevAge22)-SUMIF(ThresholdAge22,"&lt;"&amp;'19_Расчет_аналитики'!U3596,WeightedMinAge22),MAX(CapacityAge22*'01_Вводные'!$B$218*'19_Расчет_аналитики'!U3596,MeanMinAge22))),0)</f>
        <v/>
      </c>
      <c r="V3549">
        <f>IF('01_Вводные'!$B$234="Да",IF(OR(('06_Сеть_и_дети'!V74-'06_Сеть_и_дети'!V102)=0,22&lt;='01_Вводные'!$B$297),0,('06_Сеть_и_дети'!V74-'06_Сеть_и_дети'!V102)*IF('01_Вводные'!$B$239="Да",MeanMinAge22+'19_Расчет_аналитики'!V3596*SUMIF(ThresholdAge22,"&lt;"&amp;'19_Расчет_аналитики'!V3596,WeightedRevAge22)-SUMIF(ThresholdAge22,"&lt;"&amp;'19_Расчет_аналитики'!V3596,WeightedMinAge22),MAX(CapacityAge22*'01_Вводные'!$B$218*'19_Расчет_аналитики'!V3596,MeanMinAge22))),0)</f>
        <v/>
      </c>
      <c r="W3549">
        <f>IF('01_Вводные'!$B$234="Да",IF(OR(('19_Расчет_аналитики'!W3465-'19_Расчет_аналитики'!W3493)=0,22&lt;='01_Вводные'!$B$297),0,('19_Расчет_аналитики'!W3465-'19_Расчет_аналитики'!W3493)*IF('01_Вводные'!$B$239="Да",MeanMinAge22+'19_Расчет_аналитики'!W3596*SUMIF(ThresholdAge22,"&lt;"&amp;'19_Расчет_аналитики'!W3596,WeightedRevAge22)-SUMIF(ThresholdAge22,"&lt;"&amp;'19_Расчет_аналитики'!W3596,WeightedMinAge22),MAX(CapacityAge22*'01_Вводные'!$B$218*'19_Расчет_аналитики'!W3596,MeanMinAge22))),0)</f>
        <v/>
      </c>
      <c r="X3549">
        <f>IF('01_Вводные'!$B$234="Да",IF(OR(('19_Расчет_аналитики'!X3465-'19_Расчет_аналитики'!X3493)=0,22&lt;='01_Вводные'!$B$297),0,('19_Расчет_аналитики'!X3465-'19_Расчет_аналитики'!X3493)*IF('01_Вводные'!$B$239="Да",MeanMinAge22+'19_Расчет_аналитики'!X3596*SUMIF(ThresholdAge22,"&lt;"&amp;'19_Расчет_аналитики'!X3596,WeightedRevAge22)-SUMIF(ThresholdAge22,"&lt;"&amp;'19_Расчет_аналитики'!X3596,WeightedMinAge22),MAX(CapacityAge22*'01_Вводные'!$B$218*'19_Расчет_аналитики'!X3596,MeanMinAge22))),0)</f>
        <v/>
      </c>
      <c r="Y3549">
        <f>IF('01_Вводные'!$B$234="Да",IF(OR(('19_Расчет_аналитики'!Y3465-'19_Расчет_аналитики'!Y3493)=0,22&lt;='01_Вводные'!$B$297),0,('19_Расчет_аналитики'!Y3465-'19_Расчет_аналитики'!Y3493)*IF('01_Вводные'!$B$239="Да",MeanMinAge22+'19_Расчет_аналитики'!Y3596*SUMIF(ThresholdAge22,"&lt;"&amp;'19_Расчет_аналитики'!Y3596,WeightedRevAge22)-SUMIF(ThresholdAge22,"&lt;"&amp;'19_Расчет_аналитики'!Y3596,WeightedMinAge22),MAX(CapacityAge22*'01_Вводные'!$B$218*'19_Расчет_аналитики'!Y3596,MeanMinAge22))),0)</f>
        <v/>
      </c>
      <c r="Z3549">
        <f>IF('01_Вводные'!$B$234="Да",IF(OR(('19_Расчет_аналитики'!Z3465-'19_Расчет_аналитики'!Z3493)=0,22&lt;='01_Вводные'!$B$297),0,('19_Расчет_аналитики'!Z3465-'19_Расчет_аналитики'!Z3493)*IF('01_Вводные'!$B$239="Да",MeanMinAge22+'19_Расчет_аналитики'!Z3596*SUMIF(ThresholdAge22,"&lt;"&amp;'19_Расчет_аналитики'!Z3596,WeightedRevAge22)-SUMIF(ThresholdAge22,"&lt;"&amp;'19_Расчет_аналитики'!Z3596,WeightedMinAge22),MAX(CapacityAge22*'01_Вводные'!$B$218*'19_Расчет_аналитики'!Z3596,MeanMinAge22))),0)</f>
        <v/>
      </c>
      <c r="AA3549">
        <f>IF('01_Вводные'!$B$234="Да",IF(OR(('19_Расчет_аналитики'!AA3465-'19_Расчет_аналитики'!AA3493)=0,22&lt;='01_Вводные'!$B$297),0,('19_Расчет_аналитики'!AA3465-'19_Расчет_аналитики'!AA3493)*IF('01_Вводные'!$B$239="Да",MeanMinAge22+'19_Расчет_аналитики'!AA3596*SUMIF(ThresholdAge22,"&lt;"&amp;'19_Расчет_аналитики'!AA3596,WeightedRevAge22)-SUMIF(ThresholdAge22,"&lt;"&amp;'19_Расчет_аналитики'!AA3596,WeightedMinAge22),MAX(CapacityAge22*'01_Вводные'!$B$218*'19_Расчет_аналитики'!AA3596,MeanMinAge22))),0)</f>
        <v/>
      </c>
      <c r="AB3549">
        <f>IF('01_Вводные'!$B$234="Да",IF(OR(('19_Расчет_аналитики'!AB3465-'19_Расчет_аналитики'!AB3493)=0,22&lt;='01_Вводные'!$B$297),0,('19_Расчет_аналитики'!AB3465-'19_Расчет_аналитики'!AB3493)*IF('01_Вводные'!$B$239="Да",MeanMinAge22+'19_Расчет_аналитики'!AB3596*SUMIF(ThresholdAge22,"&lt;"&amp;'19_Расчет_аналитики'!AB3596,WeightedRevAge22)-SUMIF(ThresholdAge22,"&lt;"&amp;'19_Расчет_аналитики'!AB3596,WeightedMinAge22),MAX(CapacityAge22*'01_Вводные'!$B$218*'19_Расчет_аналитики'!AB3596,MeanMinAge22))),0)</f>
        <v/>
      </c>
      <c r="AC3549">
        <f>IF('01_Вводные'!$B$234="Да",IF(OR(('19_Расчет_аналитики'!AC3465-'19_Расчет_аналитики'!AC3493)=0,22&lt;='01_Вводные'!$B$297),0,('19_Расчет_аналитики'!AC3465-'19_Расчет_аналитики'!AC3493)*IF('01_Вводные'!$B$239="Да",MeanMinAge22+'19_Расчет_аналитики'!AC3596*SUMIF(ThresholdAge22,"&lt;"&amp;'19_Расчет_аналитики'!AC3596,WeightedRevAge22)-SUMIF(ThresholdAge22,"&lt;"&amp;'19_Расчет_аналитики'!AC3596,WeightedMinAge22),MAX(CapacityAge22*'01_Вводные'!$B$218*'19_Расчет_аналитики'!AC3596,MeanMinAge22))),0)</f>
        <v/>
      </c>
      <c r="AD3549">
        <f>IF('01_Вводные'!$B$234="Да",IF(OR(('19_Расчет_аналитики'!AD3465-'19_Расчет_аналитики'!AD3493)=0,22&lt;='01_Вводные'!$B$297),0,('19_Расчет_аналитики'!AD3465-'19_Расчет_аналитики'!AD3493)*IF('01_Вводные'!$B$239="Да",MeanMinAge22+'19_Расчет_аналитики'!AD3596*SUMIF(ThresholdAge22,"&lt;"&amp;'19_Расчет_аналитики'!AD3596,WeightedRevAge22)-SUMIF(ThresholdAge22,"&lt;"&amp;'19_Расчет_аналитики'!AD3596,WeightedMinAge22),MAX(CapacityAge22*'01_Вводные'!$B$218*'19_Расчет_аналитики'!AD3596,MeanMinAge22))),0)</f>
        <v/>
      </c>
      <c r="AE3549">
        <f>IF('01_Вводные'!$B$234="Да",IF(OR(('19_Расчет_аналитики'!AE3465-'19_Расчет_аналитики'!AE3493)=0,22&lt;='01_Вводные'!$B$297),0,('19_Расчет_аналитики'!AE3465-'19_Расчет_аналитики'!AE3493)*IF('01_Вводные'!$B$239="Да",MeanMinAge22+'19_Расчет_аналитики'!AE3596*SUMIF(ThresholdAge22,"&lt;"&amp;'19_Расчет_аналитики'!AE3596,WeightedRevAge22)-SUMIF(ThresholdAge22,"&lt;"&amp;'19_Расчет_аналитики'!AE3596,WeightedMinAge22),MAX(CapacityAge22*'01_Вводные'!$B$218*'19_Расчет_аналитики'!AE3596,MeanMinAge22))),0)</f>
        <v/>
      </c>
      <c r="AF3549">
        <f>IF('01_Вводные'!$B$234="Да",IF(OR(('19_Расчет_аналитики'!AF3465-'19_Расчет_аналитики'!AF3493)=0,22&lt;='01_Вводные'!$B$297),0,('19_Расчет_аналитики'!AF3465-'19_Расчет_аналитики'!AF3493)*IF('01_Вводные'!$B$239="Да",MeanMinAge22+'19_Расчет_аналитики'!AF3596*SUMIF(ThresholdAge22,"&lt;"&amp;'19_Расчет_аналитики'!AF3596,WeightedRevAge22)-SUMIF(ThresholdAge22,"&lt;"&amp;'19_Расчет_аналитики'!AF3596,WeightedMinAge22),MAX(CapacityAge22*'01_Вводные'!$B$218*'19_Расчет_аналитики'!AF3596,MeanMinAge22))),0)</f>
        <v/>
      </c>
      <c r="AG3549">
        <f>IF('01_Вводные'!$B$234="Да",IF(OR(('19_Расчет_аналитики'!AG3465-'19_Расчет_аналитики'!AG3493)=0,22&lt;='01_Вводные'!$B$297),0,('19_Расчет_аналитики'!AG3465-'19_Расчет_аналитики'!AG3493)*IF('01_Вводные'!$B$239="Да",MeanMinAge22+'19_Расчет_аналитики'!AG3596*SUMIF(ThresholdAge22,"&lt;"&amp;'19_Расчет_аналитики'!AG3596,WeightedRevAge22)-SUMIF(ThresholdAge22,"&lt;"&amp;'19_Расчет_аналитики'!AG3596,WeightedMinAge22),MAX(CapacityAge22*'01_Вводные'!$B$218*'19_Расчет_аналитики'!AG3596,MeanMinAge22))),0)</f>
        <v/>
      </c>
      <c r="AH3549">
        <f>IF('01_Вводные'!$B$234="Да",IF(OR(('19_Расчет_аналитики'!AH3465-'19_Расчет_аналитики'!AH3493)=0,22&lt;='01_Вводные'!$B$297),0,('19_Расчет_аналитики'!AH3465-'19_Расчет_аналитики'!AH3493)*IF('01_Вводные'!$B$239="Да",MeanMinAge22+'19_Расчет_аналитики'!AH3596*SUMIF(ThresholdAge22,"&lt;"&amp;'19_Расчет_аналитики'!AH3596,WeightedRevAge22)-SUMIF(ThresholdAge22,"&lt;"&amp;'19_Расчет_аналитики'!AH3596,WeightedMinAge22),MAX(CapacityAge22*'01_Вводные'!$B$218*'19_Расчет_аналитики'!AH3596,MeanMinAge22))),0)</f>
        <v/>
      </c>
      <c r="AI3549">
        <f>IF('01_Вводные'!$B$234="Да",IF(OR(('19_Расчет_аналитики'!AI3465-'19_Расчет_аналитики'!AI3493)=0,22&lt;='01_Вводные'!$B$297),0,('19_Расчет_аналитики'!AI3465-'19_Расчет_аналитики'!AI3493)*IF('01_Вводные'!$B$239="Да",MeanMinAge22+'19_Расчет_аналитики'!AI3596*SUMIF(ThresholdAge22,"&lt;"&amp;'19_Расчет_аналитики'!AI3596,WeightedRevAge22)-SUMIF(ThresholdAge22,"&lt;"&amp;'19_Расчет_аналитики'!AI3596,WeightedMinAge22),MAX(CapacityAge22*'01_Вводные'!$B$218*'19_Расчет_аналитики'!AI3596,MeanMinAge22))),0)</f>
        <v/>
      </c>
      <c r="AJ3549">
        <f>IF('01_Вводные'!$B$234="Да",IF(OR(('19_Расчет_аналитики'!AJ3465-'19_Расчет_аналитики'!AJ3493)=0,22&lt;='01_Вводные'!$B$297),0,('19_Расчет_аналитики'!AJ3465-'19_Расчет_аналитики'!AJ3493)*IF('01_Вводные'!$B$239="Да",MeanMinAge22+'19_Расчет_аналитики'!AJ3596*SUMIF(ThresholdAge22,"&lt;"&amp;'19_Расчет_аналитики'!AJ3596,WeightedRevAge22)-SUMIF(ThresholdAge22,"&lt;"&amp;'19_Расчет_аналитики'!AJ3596,WeightedMinAge22),MAX(CapacityAge22*'01_Вводные'!$B$218*'19_Расчет_аналитики'!AJ3596,MeanMinAge22))),0)</f>
        <v/>
      </c>
      <c r="AK3549">
        <f>IF('01_Вводные'!$B$234="Да",IF(OR(('19_Расчет_аналитики'!AK3465-'19_Расчет_аналитики'!AK3493)=0,22&lt;='01_Вводные'!$B$297),0,('19_Расчет_аналитики'!AK3465-'19_Расчет_аналитики'!AK3493)*IF('01_Вводные'!$B$239="Да",MeanMinAge22+'19_Расчет_аналитики'!AK3596*SUMIF(ThresholdAge22,"&lt;"&amp;'19_Расчет_аналитики'!AK3596,WeightedRevAge22)-SUMIF(ThresholdAge22,"&lt;"&amp;'19_Расчет_аналитики'!AK3596,WeightedMinAge22),MAX(CapacityAge22*'01_Вводные'!$B$218*'19_Расчет_аналитики'!AK3596,MeanMinAge22))),0)</f>
        <v/>
      </c>
      <c r="AL3549">
        <f>IF('01_Вводные'!$B$234="Да",IF(OR(('19_Расчет_аналитики'!AL3465-'19_Расчет_аналитики'!AL3493)=0,22&lt;='01_Вводные'!$B$297),0,('19_Расчет_аналитики'!AL3465-'19_Расчет_аналитики'!AL3493)*IF('01_Вводные'!$B$239="Да",MeanMinAge22+'19_Расчет_аналитики'!AL3596*SUMIF(ThresholdAge22,"&lt;"&amp;'19_Расчет_аналитики'!AL3596,WeightedRevAge22)-SUMIF(ThresholdAge22,"&lt;"&amp;'19_Расчет_аналитики'!AL3596,WeightedMinAge22),MAX(CapacityAge22*'01_Вводные'!$B$218*'19_Расчет_аналитики'!AL3596,MeanMinAge22))),0)</f>
        <v/>
      </c>
      <c r="AM3549">
        <f>IF('01_Вводные'!$B$234="Да",IF(OR(('19_Расчет_аналитики'!AM3465-'19_Расчет_аналитики'!AM3493)=0,22&lt;='01_Вводные'!$B$297),0,('19_Расчет_аналитики'!AM3465-'19_Расчет_аналитики'!AM3493)*IF('01_Вводные'!$B$239="Да",MeanMinAge22+'19_Расчет_аналитики'!AM3596*SUMIF(ThresholdAge22,"&lt;"&amp;'19_Расчет_аналитики'!AM3596,WeightedRevAge22)-SUMIF(ThresholdAge22,"&lt;"&amp;'19_Расчет_аналитики'!AM3596,WeightedMinAge22),MAX(CapacityAge22*'01_Вводные'!$B$218*'19_Расчет_аналитики'!AM3596,MeanMinAge22))),0)</f>
        <v/>
      </c>
      <c r="AN3549">
        <f>IF('01_Вводные'!$B$234="Да",IF(OR(('19_Расчет_аналитики'!AN3465-'19_Расчет_аналитики'!AN3493)=0,22&lt;='01_Вводные'!$B$297),0,('19_Расчет_аналитики'!AN3465-'19_Расчет_аналитики'!AN3493)*IF('01_Вводные'!$B$239="Да",MeanMinAge22+'19_Расчет_аналитики'!AN3596*SUMIF(ThresholdAge22,"&lt;"&amp;'19_Расчет_аналитики'!AN3596,WeightedRevAge22)-SUMIF(ThresholdAge22,"&lt;"&amp;'19_Расчет_аналитики'!AN3596,WeightedMinAge22),MAX(CapacityAge22*'01_Вводные'!$B$218*'19_Расчет_аналитики'!AN3596,MeanMinAge22))),0)</f>
        <v/>
      </c>
      <c r="AO3549">
        <f>IF('01_Вводные'!$B$234="Да",IF(OR(('19_Расчет_аналитики'!AO3465-'19_Расчет_аналитики'!AO3493)=0,22&lt;='01_Вводные'!$B$297),0,('19_Расчет_аналитики'!AO3465-'19_Расчет_аналитики'!AO3493)*IF('01_Вводные'!$B$239="Да",MeanMinAge22+'19_Расчет_аналитики'!AO3596*SUMIF(ThresholdAge22,"&lt;"&amp;'19_Расчет_аналитики'!AO3596,WeightedRevAge22)-SUMIF(ThresholdAge22,"&lt;"&amp;'19_Расчет_аналитики'!AO3596,WeightedMinAge22),MAX(CapacityAge22*'01_Вводные'!$B$218*'19_Расчет_аналитики'!AO3596,MeanMinAge22))),0)</f>
        <v/>
      </c>
      <c r="AP3549">
        <f>IF('01_Вводные'!$B$234="Да",IF(OR(('19_Расчет_аналитики'!AP3465-'19_Расчет_аналитики'!AP3493)=0,22&lt;='01_Вводные'!$B$297),0,('19_Расчет_аналитики'!AP3465-'19_Расчет_аналитики'!AP3493)*IF('01_Вводные'!$B$239="Да",MeanMinAge22+'19_Расчет_аналитики'!AP3596*SUMIF(ThresholdAge22,"&lt;"&amp;'19_Расчет_аналитики'!AP3596,WeightedRevAge22)-SUMIF(ThresholdAge22,"&lt;"&amp;'19_Расчет_аналитики'!AP3596,WeightedMinAge22),MAX(CapacityAge22*'01_Вводные'!$B$218*'19_Расчет_аналитики'!AP3596,MeanMinAge22))),0)</f>
        <v/>
      </c>
      <c r="AQ3549">
        <f>IF('01_Вводные'!$B$234="Да",IF(OR(('19_Расчет_аналитики'!AQ3465-'19_Расчет_аналитики'!AQ3493)=0,22&lt;='01_Вводные'!$B$297),0,('19_Расчет_аналитики'!AQ3465-'19_Расчет_аналитики'!AQ3493)*IF('01_Вводные'!$B$239="Да",MeanMinAge22+'19_Расчет_аналитики'!AQ3596*SUMIF(ThresholdAge22,"&lt;"&amp;'19_Расчет_аналитики'!AQ3596,WeightedRevAge22)-SUMIF(ThresholdAge22,"&lt;"&amp;'19_Расчет_аналитики'!AQ3596,WeightedMinAge22),MAX(CapacityAge22*'01_Вводные'!$B$218*'19_Расчет_аналитики'!AQ3596,MeanMinAge22))),0)</f>
        <v/>
      </c>
      <c r="AR3549">
        <f>IF('01_Вводные'!$B$234="Да",IF(OR(('19_Расчет_аналитики'!AR3465-'19_Расчет_аналитики'!AR3493)=0,22&lt;='01_Вводные'!$B$297),0,('19_Расчет_аналитики'!AR3465-'19_Расчет_аналитики'!AR3493)*IF('01_Вводные'!$B$239="Да",MeanMinAge22+'19_Расчет_аналитики'!AR3596*SUMIF(ThresholdAge22,"&lt;"&amp;'19_Расчет_аналитики'!AR3596,WeightedRevAge22)-SUMIF(ThresholdAge22,"&lt;"&amp;'19_Расчет_аналитики'!AR3596,WeightedMinAge22),MAX(CapacityAge22*'01_Вводные'!$B$218*'19_Расчет_аналитики'!AR3596,MeanMinAge22))),0)</f>
        <v/>
      </c>
      <c r="AS3549">
        <f>IF('01_Вводные'!$B$234="Да",IF(OR(('19_Расчет_аналитики'!AS3465-'19_Расчет_аналитики'!AS3493)=0,22&lt;='01_Вводные'!$B$297),0,('19_Расчет_аналитики'!AS3465-'19_Расчет_аналитики'!AS3493)*IF('01_Вводные'!$B$239="Да",MeanMinAge22+'19_Расчет_аналитики'!AS3596*SUMIF(ThresholdAge22,"&lt;"&amp;'19_Расчет_аналитики'!AS3596,WeightedRevAge22)-SUMIF(ThresholdAge22,"&lt;"&amp;'19_Расчет_аналитики'!AS3596,WeightedMinAge22),MAX(CapacityAge22*'01_Вводные'!$B$218*'19_Расчет_аналитики'!AS3596,MeanMinAge22))),0)</f>
        <v/>
      </c>
      <c r="AT3549">
        <f>IF('01_Вводные'!$B$234="Да",IF(OR(('19_Расчет_аналитики'!AT3465-'19_Расчет_аналитики'!AT3493)=0,22&lt;='01_Вводные'!$B$297),0,('19_Расчет_аналитики'!AT3465-'19_Расчет_аналитики'!AT3493)*IF('01_Вводные'!$B$239="Да",MeanMinAge22+'19_Расчет_аналитики'!AT3596*SUMIF(ThresholdAge22,"&lt;"&amp;'19_Расчет_аналитики'!AT3596,WeightedRevAge22)-SUMIF(ThresholdAge22,"&lt;"&amp;'19_Расчет_аналитики'!AT3596,WeightedMinAge22),MAX(CapacityAge22*'01_Вводные'!$B$218*'19_Расчет_аналитики'!AT3596,MeanMinAge22))),0)</f>
        <v/>
      </c>
      <c r="AU3549">
        <f>IF('01_Вводные'!$B$234="Да",IF(OR(('19_Расчет_аналитики'!AU3465-'19_Расчет_аналитики'!AU3493)=0,22&lt;='01_Вводные'!$B$297),0,('19_Расчет_аналитики'!AU3465-'19_Расчет_аналитики'!AU3493)*IF('01_Вводные'!$B$239="Да",MeanMinAge22+'19_Расчет_аналитики'!AU3596*SUMIF(ThresholdAge22,"&lt;"&amp;'19_Расчет_аналитики'!AU3596,WeightedRevAge22)-SUMIF(ThresholdAge22,"&lt;"&amp;'19_Расчет_аналитики'!AU3596,WeightedMinAge22),MAX(CapacityAge22*'01_Вводные'!$B$218*'19_Расчет_аналитики'!AU3596,MeanMinAge22))),0)</f>
        <v/>
      </c>
      <c r="AV3549">
        <f>IF('01_Вводные'!$B$234="Да",IF(OR(('19_Расчет_аналитики'!AV3465-'19_Расчет_аналитики'!AV3493)=0,22&lt;='01_Вводные'!$B$297),0,('19_Расчет_аналитики'!AV3465-'19_Расчет_аналитики'!AV3493)*IF('01_Вводные'!$B$239="Да",MeanMinAge22+'19_Расчет_аналитики'!AV3596*SUMIF(ThresholdAge22,"&lt;"&amp;'19_Расчет_аналитики'!AV3596,WeightedRevAge22)-SUMIF(ThresholdAge22,"&lt;"&amp;'19_Расчет_аналитики'!AV3596,WeightedMinAge22),MAX(CapacityAge22*'01_Вводные'!$B$218*'19_Расчет_аналитики'!AV3596,MeanMinAge22))),0)</f>
        <v/>
      </c>
      <c r="AW3549">
        <f>IF('01_Вводные'!$B$234="Да",IF(OR(('19_Расчет_аналитики'!AW3465-'19_Расчет_аналитики'!AW3493)=0,22&lt;='01_Вводные'!$B$297),0,('19_Расчет_аналитики'!AW3465-'19_Расчет_аналитики'!AW3493)*IF('01_Вводные'!$B$239="Да",MeanMinAge22+'19_Расчет_аналитики'!AW3596*SUMIF(ThresholdAge22,"&lt;"&amp;'19_Расчет_аналитики'!AW3596,WeightedRevAge22)-SUMIF(ThresholdAge22,"&lt;"&amp;'19_Расчет_аналитики'!AW3596,WeightedMinAge22),MAX(CapacityAge22*'01_Вводные'!$B$218*'19_Расчет_аналитики'!AW3596,MeanMinAge22))),0)</f>
        <v/>
      </c>
      <c r="AX3549">
        <f>IF('01_Вводные'!$B$234="Да",IF(OR(('19_Расчет_аналитики'!AX3465-'19_Расчет_аналитики'!AX3493)=0,22&lt;='01_Вводные'!$B$297),0,('19_Расчет_аналитики'!AX3465-'19_Расчет_аналитики'!AX3493)*IF('01_Вводные'!$B$239="Да",MeanMinAge22+'19_Расчет_аналитики'!AX3596*SUMIF(ThresholdAge22,"&lt;"&amp;'19_Расчет_аналитики'!AX3596,WeightedRevAge22)-SUMIF(ThresholdAge22,"&lt;"&amp;'19_Расчет_аналитики'!AX3596,WeightedMinAge22),MAX(CapacityAge22*'01_Вводные'!$B$218*'19_Расчет_аналитики'!AX3596,MeanMinAge22))),0)</f>
        <v/>
      </c>
      <c r="AY3549">
        <f>IF('01_Вводные'!$B$234="Да",IF(OR(('19_Расчет_аналитики'!AY3465-'19_Расчет_аналитики'!AY3493)=0,22&lt;='01_Вводные'!$B$297),0,('19_Расчет_аналитики'!AY3465-'19_Расчет_аналитики'!AY3493)*IF('01_Вводные'!$B$239="Да",MeanMinAge22+'19_Расчет_аналитики'!AY3596*SUMIF(ThresholdAge22,"&lt;"&amp;'19_Расчет_аналитики'!AY3596,WeightedRevAge22)-SUMIF(ThresholdAge22,"&lt;"&amp;'19_Расчет_аналитики'!AY3596,WeightedMinAge22),MAX(CapacityAge22*'01_Вводные'!$B$218*'19_Расчет_аналитики'!AY3596,MeanMinAge22))),0)</f>
        <v/>
      </c>
      <c r="AZ3549">
        <f>IF('01_Вводные'!$B$234="Да",IF(OR(('19_Расчет_аналитики'!AZ3465-'19_Расчет_аналитики'!AZ3493)=0,22&lt;='01_Вводные'!$B$297),0,('19_Расчет_аналитики'!AZ3465-'19_Расчет_аналитики'!AZ3493)*IF('01_Вводные'!$B$239="Да",MeanMinAge22+'19_Расчет_аналитики'!AZ3596*SUMIF(ThresholdAge22,"&lt;"&amp;'19_Расчет_аналитики'!AZ3596,WeightedRevAge22)-SUMIF(ThresholdAge22,"&lt;"&amp;'19_Расчет_аналитики'!AZ3596,WeightedMinAge22),MAX(CapacityAge22*'01_Вводные'!$B$218*'19_Расчет_аналитики'!AZ3596,MeanMinAge22))),0)</f>
        <v/>
      </c>
      <c r="BA3549">
        <f>IF('01_Вводные'!$B$234="Да",IF(OR(('19_Расчет_аналитики'!BA3465-'19_Расчет_аналитики'!BA3493)=0,22&lt;='01_Вводные'!$B$297),0,('19_Расчет_аналитики'!BA3465-'19_Расчет_аналитики'!BA3493)*IF('01_Вводные'!$B$239="Да",MeanMinAge22+'19_Расчет_аналитики'!BA3596*SUMIF(ThresholdAge22,"&lt;"&amp;'19_Расчет_аналитики'!BA3596,WeightedRevAge22)-SUMIF(ThresholdAge22,"&lt;"&amp;'19_Расчет_аналитики'!BA3596,WeightedMinAge22),MAX(CapacityAge22*'01_Вводные'!$B$218*'19_Расчет_аналитики'!BA3596,MeanMinAge22))),0)</f>
        <v/>
      </c>
      <c r="BB3549">
        <f>IF('01_Вводные'!$B$234="Да",IF(OR(('19_Расчет_аналитики'!BB3465-'19_Расчет_аналитики'!BB3493)=0,22&lt;='01_Вводные'!$B$297),0,('19_Расчет_аналитики'!BB3465-'19_Расчет_аналитики'!BB3493)*IF('01_Вводные'!$B$239="Да",MeanMinAge22+'19_Расчет_аналитики'!BB3596*SUMIF(ThresholdAge22,"&lt;"&amp;'19_Расчет_аналитики'!BB3596,WeightedRevAge22)-SUMIF(ThresholdAge22,"&lt;"&amp;'19_Расчет_аналитики'!BB3596,WeightedMinAge22),MAX(CapacityAge22*'01_Вводные'!$B$218*'19_Расчет_аналитики'!BB3596,MeanMinAge22))),0)</f>
        <v/>
      </c>
      <c r="BC3549">
        <f>IF('01_Вводные'!$B$234="Да",IF(OR(('19_Расчет_аналитики'!BC3465-'19_Расчет_аналитики'!BC3493)=0,22&lt;='01_Вводные'!$B$297),0,('19_Расчет_аналитики'!BC3465-'19_Расчет_аналитики'!BC3493)*IF('01_Вводные'!$B$239="Да",MeanMinAge22+'19_Расчет_аналитики'!BC3596*SUMIF(ThresholdAge22,"&lt;"&amp;'19_Расчет_аналитики'!BC3596,WeightedRevAge22)-SUMIF(ThresholdAge22,"&lt;"&amp;'19_Расчет_аналитики'!BC3596,WeightedMinAge22),MAX(CapacityAge22*'01_Вводные'!$B$218*'19_Расчет_аналитики'!BC3596,MeanMinAge22))),0)</f>
        <v/>
      </c>
      <c r="BD3549">
        <f>IF('01_Вводные'!$B$234="Да",IF(OR(('19_Расчет_аналитики'!BD3465-'19_Расчет_аналитики'!BD3493)=0,22&lt;='01_Вводные'!$B$297),0,('19_Расчет_аналитики'!BD3465-'19_Расчет_аналитики'!BD3493)*IF('01_Вводные'!$B$239="Да",MeanMinAge22+'19_Расчет_аналитики'!BD3596*SUMIF(ThresholdAge22,"&lt;"&amp;'19_Расчет_аналитики'!BD3596,WeightedRevAge22)-SUMIF(ThresholdAge22,"&lt;"&amp;'19_Расчет_аналитики'!BD3596,WeightedMinAge22),MAX(CapacityAge22*'01_Вводные'!$B$218*'19_Расчет_аналитики'!BD3596,MeanMinAge22))),0)</f>
        <v/>
      </c>
      <c r="BE3549">
        <f>IF('01_Вводные'!$B$234="Да",IF(OR(('19_Расчет_аналитики'!BE3465-'19_Расчет_аналитики'!BE3493)=0,22&lt;='01_Вводные'!$B$297),0,('19_Расчет_аналитики'!BE3465-'19_Расчет_аналитики'!BE3493)*IF('01_Вводные'!$B$239="Да",MeanMinAge22+'19_Расчет_аналитики'!BE3596*SUMIF(ThresholdAge22,"&lt;"&amp;'19_Расчет_аналитики'!BE3596,WeightedRevAge22)-SUMIF(ThresholdAge22,"&lt;"&amp;'19_Расчет_аналитики'!BE3596,WeightedMinAge22),MAX(CapacityAge22*'01_Вводные'!$B$218*'19_Расчет_аналитики'!BE3596,MeanMinAge22))),0)</f>
        <v/>
      </c>
      <c r="BF3549">
        <f>IF('01_Вводные'!$B$234="Да",IF(OR(('19_Расчет_аналитики'!BF3465-'19_Расчет_аналитики'!BF3493)=0,22&lt;='01_Вводные'!$B$297),0,('19_Расчет_аналитики'!BF3465-'19_Расчет_аналитики'!BF3493)*IF('01_Вводные'!$B$239="Да",MeanMinAge22+'19_Расчет_аналитики'!BF3596*SUMIF(ThresholdAge22,"&lt;"&amp;'19_Расчет_аналитики'!BF3596,WeightedRevAge22)-SUMIF(ThresholdAge22,"&lt;"&amp;'19_Расчет_аналитики'!BF3596,WeightedMinAge22),MAX(CapacityAge22*'01_Вводные'!$B$218*'19_Расчет_аналитики'!BF3596,MeanMinAge22))),0)</f>
        <v/>
      </c>
      <c r="BG3549">
        <f>IF('01_Вводные'!$B$234="Да",IF(OR(('19_Расчет_аналитики'!BG3465-'19_Расчет_аналитики'!BG3493)=0,22&lt;='01_Вводные'!$B$297),0,('19_Расчет_аналитики'!BG3465-'19_Расчет_аналитики'!BG3493)*IF('01_Вводные'!$B$239="Да",MeanMinAge22+'19_Расчет_аналитики'!BG3596*SUMIF(ThresholdAge22,"&lt;"&amp;'19_Расчет_аналитики'!BG3596,WeightedRevAge22)-SUMIF(ThresholdAge22,"&lt;"&amp;'19_Расчет_аналитики'!BG3596,WeightedMinAge22),MAX(CapacityAge22*'01_Вводные'!$B$218*'19_Расчет_аналитики'!BG3596,MeanMinAge22))),0)</f>
        <v/>
      </c>
      <c r="BH3549">
        <f>IF('01_Вводные'!$B$234="Да",IF(OR(('19_Расчет_аналитики'!BH3465-'19_Расчет_аналитики'!BH3493)=0,22&lt;='01_Вводные'!$B$297),0,('19_Расчет_аналитики'!BH3465-'19_Расчет_аналитики'!BH3493)*IF('01_Вводные'!$B$239="Да",MeanMinAge22+'19_Расчет_аналитики'!BH3596*SUMIF(ThresholdAge22,"&lt;"&amp;'19_Расчет_аналитики'!BH3596,WeightedRevAge22)-SUMIF(ThresholdAge22,"&lt;"&amp;'19_Расчет_аналитики'!BH3596,WeightedMinAge22),MAX(CapacityAge22*'01_Вводные'!$B$218*'19_Расчет_аналитики'!BH3596,MeanMinAge22))),0)</f>
        <v/>
      </c>
      <c r="BI3549">
        <f>IF('01_Вводные'!$B$234="Да",IF(OR(('19_Расчет_аналитики'!BI3465-'19_Расчет_аналитики'!BI3493)=0,22&lt;='01_Вводные'!$B$297),0,('19_Расчет_аналитики'!BI3465-'19_Расчет_аналитики'!BI3493)*IF('01_Вводные'!$B$239="Да",MeanMinAge22+'19_Расчет_аналитики'!BI3596*SUMIF(ThresholdAge22,"&lt;"&amp;'19_Расчет_аналитики'!BI3596,WeightedRevAge22)-SUMIF(ThresholdAge22,"&lt;"&amp;'19_Расчет_аналитики'!BI3596,WeightedMinAge22),MAX(CapacityAge22*'01_Вводные'!$B$218*'19_Расчет_аналитики'!BI3596,MeanMinAge22))),0)</f>
        <v/>
      </c>
      <c r="BJ3549">
        <f>IF('01_Вводные'!$B$234="Да",IF(OR(('19_Расчет_аналитики'!BJ3465-'19_Расчет_аналитики'!BJ3493)=0,22&lt;='01_Вводные'!$B$297),0,('19_Расчет_аналитики'!BJ3465-'19_Расчет_аналитики'!BJ3493)*IF('01_Вводные'!$B$239="Да",MeanMinAge22+'19_Расчет_аналитики'!BJ3596*SUMIF(ThresholdAge22,"&lt;"&amp;'19_Расчет_аналитики'!BJ3596,WeightedRevAge22)-SUMIF(ThresholdAge22,"&lt;"&amp;'19_Расчет_аналитики'!BJ3596,WeightedMinAge22),MAX(CapacityAge22*'01_Вводные'!$B$218*'19_Расчет_аналитики'!BJ3596,MeanMinAge22))),0)</f>
        <v/>
      </c>
      <c r="BK3549">
        <f>IF('01_Вводные'!$B$234="Да",IF(OR(('19_Расчет_аналитики'!BK3465-'19_Расчет_аналитики'!BK3493)=0,22&lt;='01_Вводные'!$B$297),0,('19_Расчет_аналитики'!BK3465-'19_Расчет_аналитики'!BK3493)*IF('01_Вводные'!$B$239="Да",MeanMinAge22+'19_Расчет_аналитики'!BK3596*SUMIF(ThresholdAge22,"&lt;"&amp;'19_Расчет_аналитики'!BK3596,WeightedRevAge22)-SUMIF(ThresholdAge22,"&lt;"&amp;'19_Расчет_аналитики'!BK3596,WeightedMinAge22),MAX(CapacityAge22*'01_Вводные'!$B$218*'19_Расчет_аналитики'!BK3596,MeanMinAge22))),0)</f>
        <v/>
      </c>
      <c r="BL3549">
        <f>IF('01_Вводные'!$B$234="Да",IF(OR(('19_Расчет_аналитики'!BL3465-'19_Расчет_аналитики'!BL3493)=0,22&lt;='01_Вводные'!$B$297),0,('19_Расчет_аналитики'!BL3465-'19_Расчет_аналитики'!BL3493)*IF('01_Вводные'!$B$239="Да",MeanMinAge22+'19_Расчет_аналитики'!BL3596*SUMIF(ThresholdAge22,"&lt;"&amp;'19_Расчет_аналитики'!BL3596,WeightedRevAge22)-SUMIF(ThresholdAge22,"&lt;"&amp;'19_Расчет_аналитики'!BL3596,WeightedMinAge22),MAX(CapacityAge22*'01_Вводные'!$B$218*'19_Расчет_аналитики'!BL3596,MeanMinAge22))),0)</f>
        <v/>
      </c>
      <c r="BM3549">
        <f>IF('01_Вводные'!$B$234="Да",IF(OR(('19_Расчет_аналитики'!BM3465-'19_Расчет_аналитики'!BM3493)=0,22&lt;='01_Вводные'!$B$297),0,('19_Расчет_аналитики'!BM3465-'19_Расчет_аналитики'!BM3493)*IF('01_Вводные'!$B$239="Да",MeanMinAge22+'19_Расчет_аналитики'!BM3596*SUMIF(ThresholdAge22,"&lt;"&amp;'19_Расчет_аналитики'!BM3596,WeightedRevAge22)-SUMIF(ThresholdAge22,"&lt;"&amp;'19_Расчет_аналитики'!BM3596,WeightedMinAge22),MAX(CapacityAge22*'01_Вводные'!$B$218*'19_Расчет_аналитики'!BM3596,MeanMinAge22))),0)</f>
        <v/>
      </c>
      <c r="BN3549">
        <f>IF('01_Вводные'!$B$234="Да",IF(OR(('19_Расчет_аналитики'!BN3465-'19_Расчет_аналитики'!BN3493)=0,22&lt;='01_Вводные'!$B$297),0,('19_Расчет_аналитики'!BN3465-'19_Расчет_аналитики'!BN3493)*IF('01_Вводные'!$B$239="Да",MeanMinAge22+'19_Расчет_аналитики'!BN3596*SUMIF(ThresholdAge22,"&lt;"&amp;'19_Расчет_аналитики'!BN3596,WeightedRevAge22)-SUMIF(ThresholdAge22,"&lt;"&amp;'19_Расчет_аналитики'!BN3596,WeightedMinAge22),MAX(CapacityAge22*'01_Вводные'!$B$218*'19_Расчет_аналитики'!BN3596,MeanMinAge22))),0)</f>
        <v/>
      </c>
      <c r="BO3549">
        <f>IF('01_Вводные'!$B$234="Да",IF(OR(('19_Расчет_аналитики'!BO3465-'19_Расчет_аналитики'!BO3493)=0,22&lt;='01_Вводные'!$B$297),0,('19_Расчет_аналитики'!BO3465-'19_Расчет_аналитики'!BO3493)*IF('01_Вводные'!$B$239="Да",MeanMinAge22+'19_Расчет_аналитики'!BO3596*SUMIF(ThresholdAge22,"&lt;"&amp;'19_Расчет_аналитики'!BO3596,WeightedRevAge22)-SUMIF(ThresholdAge22,"&lt;"&amp;'19_Расчет_аналитики'!BO3596,WeightedMinAge22),MAX(CapacityAge22*'01_Вводные'!$B$218*'19_Расчет_аналитики'!BO3596,MeanMinAge22))),0)</f>
        <v/>
      </c>
    </row>
    <row r="3550">
      <c r="B3550">
        <f>IF('01_Вводные'!$B$234="Да",IF(OR(('06_Сеть_и_дети'!B75-'06_Сеть_и_дети'!B103)=0,23&lt;='01_Вводные'!$B$297),0,('06_Сеть_и_дети'!B75-'06_Сеть_и_дети'!B103)*IF('01_Вводные'!$B$239="Да",MeanMinAge23+'19_Расчет_аналитики'!B3596*SUMIF(ThresholdAge23,"&lt;"&amp;'19_Расчет_аналитики'!B3596,WeightedRevAge23)-SUMIF(ThresholdAge23,"&lt;"&amp;'19_Расчет_аналитики'!B3596,WeightedMinAge23),MAX(CapacityAge23*'01_Вводные'!$B$218*'19_Расчет_аналитики'!B3596,MeanMinAge23))),0)</f>
        <v/>
      </c>
      <c r="C3550">
        <f>IF('01_Вводные'!$B$234="Да",IF(OR(('06_Сеть_и_дети'!C75-'06_Сеть_и_дети'!C103)=0,23&lt;='01_Вводные'!$B$297),0,('06_Сеть_и_дети'!C75-'06_Сеть_и_дети'!C103)*IF('01_Вводные'!$B$239="Да",MeanMinAge23+'19_Расчет_аналитики'!C3596*SUMIF(ThresholdAge23,"&lt;"&amp;'19_Расчет_аналитики'!C3596,WeightedRevAge23)-SUMIF(ThresholdAge23,"&lt;"&amp;'19_Расчет_аналитики'!C3596,WeightedMinAge23),MAX(CapacityAge23*'01_Вводные'!$B$218*'19_Расчет_аналитики'!C3596,MeanMinAge23))),0)</f>
        <v/>
      </c>
      <c r="D3550">
        <f>IF('01_Вводные'!$B$234="Да",IF(OR(('06_Сеть_и_дети'!D75-'06_Сеть_и_дети'!D103)=0,23&lt;='01_Вводные'!$B$297),0,('06_Сеть_и_дети'!D75-'06_Сеть_и_дети'!D103)*IF('01_Вводные'!$B$239="Да",MeanMinAge23+'19_Расчет_аналитики'!D3596*SUMIF(ThresholdAge23,"&lt;"&amp;'19_Расчет_аналитики'!D3596,WeightedRevAge23)-SUMIF(ThresholdAge23,"&lt;"&amp;'19_Расчет_аналитики'!D3596,WeightedMinAge23),MAX(CapacityAge23*'01_Вводные'!$B$218*'19_Расчет_аналитики'!D3596,MeanMinAge23))),0)</f>
        <v/>
      </c>
      <c r="E3550">
        <f>IF('01_Вводные'!$B$234="Да",IF(OR(('06_Сеть_и_дети'!E75-'06_Сеть_и_дети'!E103)=0,23&lt;='01_Вводные'!$B$297),0,('06_Сеть_и_дети'!E75-'06_Сеть_и_дети'!E103)*IF('01_Вводные'!$B$239="Да",MeanMinAge23+'19_Расчет_аналитики'!E3596*SUMIF(ThresholdAge23,"&lt;"&amp;'19_Расчет_аналитики'!E3596,WeightedRevAge23)-SUMIF(ThresholdAge23,"&lt;"&amp;'19_Расчет_аналитики'!E3596,WeightedMinAge23),MAX(CapacityAge23*'01_Вводные'!$B$218*'19_Расчет_аналитики'!E3596,MeanMinAge23))),0)</f>
        <v/>
      </c>
      <c r="F3550">
        <f>IF('01_Вводные'!$B$234="Да",IF(OR(('06_Сеть_и_дети'!F75-'06_Сеть_и_дети'!F103)=0,23&lt;='01_Вводные'!$B$297),0,('06_Сеть_и_дети'!F75-'06_Сеть_и_дети'!F103)*IF('01_Вводные'!$B$239="Да",MeanMinAge23+'19_Расчет_аналитики'!F3596*SUMIF(ThresholdAge23,"&lt;"&amp;'19_Расчет_аналитики'!F3596,WeightedRevAge23)-SUMIF(ThresholdAge23,"&lt;"&amp;'19_Расчет_аналитики'!F3596,WeightedMinAge23),MAX(CapacityAge23*'01_Вводные'!$B$218*'19_Расчет_аналитики'!F3596,MeanMinAge23))),0)</f>
        <v/>
      </c>
      <c r="G3550">
        <f>IF('01_Вводные'!$B$234="Да",IF(OR(('06_Сеть_и_дети'!G75-'06_Сеть_и_дети'!G103)=0,23&lt;='01_Вводные'!$B$297),0,('06_Сеть_и_дети'!G75-'06_Сеть_и_дети'!G103)*IF('01_Вводные'!$B$239="Да",MeanMinAge23+'19_Расчет_аналитики'!G3596*SUMIF(ThresholdAge23,"&lt;"&amp;'19_Расчет_аналитики'!G3596,WeightedRevAge23)-SUMIF(ThresholdAge23,"&lt;"&amp;'19_Расчет_аналитики'!G3596,WeightedMinAge23),MAX(CapacityAge23*'01_Вводные'!$B$218*'19_Расчет_аналитики'!G3596,MeanMinAge23))),0)</f>
        <v/>
      </c>
      <c r="H3550">
        <f>IF('01_Вводные'!$B$234="Да",IF(OR(('06_Сеть_и_дети'!H75-'06_Сеть_и_дети'!H103)=0,23&lt;='01_Вводные'!$B$297),0,('06_Сеть_и_дети'!H75-'06_Сеть_и_дети'!H103)*IF('01_Вводные'!$B$239="Да",MeanMinAge23+'19_Расчет_аналитики'!H3596*SUMIF(ThresholdAge23,"&lt;"&amp;'19_Расчет_аналитики'!H3596,WeightedRevAge23)-SUMIF(ThresholdAge23,"&lt;"&amp;'19_Расчет_аналитики'!H3596,WeightedMinAge23),MAX(CapacityAge23*'01_Вводные'!$B$218*'19_Расчет_аналитики'!H3596,MeanMinAge23))),0)</f>
        <v/>
      </c>
      <c r="I3550">
        <f>IF('01_Вводные'!$B$234="Да",IF(OR(('06_Сеть_и_дети'!I75-'06_Сеть_и_дети'!I103)=0,23&lt;='01_Вводные'!$B$297),0,('06_Сеть_и_дети'!I75-'06_Сеть_и_дети'!I103)*IF('01_Вводные'!$B$239="Да",MeanMinAge23+'19_Расчет_аналитики'!I3596*SUMIF(ThresholdAge23,"&lt;"&amp;'19_Расчет_аналитики'!I3596,WeightedRevAge23)-SUMIF(ThresholdAge23,"&lt;"&amp;'19_Расчет_аналитики'!I3596,WeightedMinAge23),MAX(CapacityAge23*'01_Вводные'!$B$218*'19_Расчет_аналитики'!I3596,MeanMinAge23))),0)</f>
        <v/>
      </c>
      <c r="J3550">
        <f>IF('01_Вводные'!$B$234="Да",IF(OR(('06_Сеть_и_дети'!J75-'06_Сеть_и_дети'!J103)=0,23&lt;='01_Вводные'!$B$297),0,('06_Сеть_и_дети'!J75-'06_Сеть_и_дети'!J103)*IF('01_Вводные'!$B$239="Да",MeanMinAge23+'19_Расчет_аналитики'!J3596*SUMIF(ThresholdAge23,"&lt;"&amp;'19_Расчет_аналитики'!J3596,WeightedRevAge23)-SUMIF(ThresholdAge23,"&lt;"&amp;'19_Расчет_аналитики'!J3596,WeightedMinAge23),MAX(CapacityAge23*'01_Вводные'!$B$218*'19_Расчет_аналитики'!J3596,MeanMinAge23))),0)</f>
        <v/>
      </c>
      <c r="K3550">
        <f>IF('01_Вводные'!$B$234="Да",IF(OR(('06_Сеть_и_дети'!K75-'06_Сеть_и_дети'!K103)=0,23&lt;='01_Вводные'!$B$297),0,('06_Сеть_и_дети'!K75-'06_Сеть_и_дети'!K103)*IF('01_Вводные'!$B$239="Да",MeanMinAge23+'19_Расчет_аналитики'!K3596*SUMIF(ThresholdAge23,"&lt;"&amp;'19_Расчет_аналитики'!K3596,WeightedRevAge23)-SUMIF(ThresholdAge23,"&lt;"&amp;'19_Расчет_аналитики'!K3596,WeightedMinAge23),MAX(CapacityAge23*'01_Вводные'!$B$218*'19_Расчет_аналитики'!K3596,MeanMinAge23))),0)</f>
        <v/>
      </c>
      <c r="L3550">
        <f>IF('01_Вводные'!$B$234="Да",IF(OR(('06_Сеть_и_дети'!L75-'06_Сеть_и_дети'!L103)=0,23&lt;='01_Вводные'!$B$297),0,('06_Сеть_и_дети'!L75-'06_Сеть_и_дети'!L103)*IF('01_Вводные'!$B$239="Да",MeanMinAge23+'19_Расчет_аналитики'!L3596*SUMIF(ThresholdAge23,"&lt;"&amp;'19_Расчет_аналитики'!L3596,WeightedRevAge23)-SUMIF(ThresholdAge23,"&lt;"&amp;'19_Расчет_аналитики'!L3596,WeightedMinAge23),MAX(CapacityAge23*'01_Вводные'!$B$218*'19_Расчет_аналитики'!L3596,MeanMinAge23))),0)</f>
        <v/>
      </c>
      <c r="M3550">
        <f>IF('01_Вводные'!$B$234="Да",IF(OR(('06_Сеть_и_дети'!M75-'06_Сеть_и_дети'!M103)=0,23&lt;='01_Вводные'!$B$297),0,('06_Сеть_и_дети'!M75-'06_Сеть_и_дети'!M103)*IF('01_Вводные'!$B$239="Да",MeanMinAge23+'19_Расчет_аналитики'!M3596*SUMIF(ThresholdAge23,"&lt;"&amp;'19_Расчет_аналитики'!M3596,WeightedRevAge23)-SUMIF(ThresholdAge23,"&lt;"&amp;'19_Расчет_аналитики'!M3596,WeightedMinAge23),MAX(CapacityAge23*'01_Вводные'!$B$218*'19_Расчет_аналитики'!M3596,MeanMinAge23))),0)</f>
        <v/>
      </c>
      <c r="N3550">
        <f>IF('01_Вводные'!$B$234="Да",IF(OR(('06_Сеть_и_дети'!N75-'06_Сеть_и_дети'!N103)=0,23&lt;='01_Вводные'!$B$297),0,('06_Сеть_и_дети'!N75-'06_Сеть_и_дети'!N103)*IF('01_Вводные'!$B$239="Да",MeanMinAge23+'19_Расчет_аналитики'!N3596*SUMIF(ThresholdAge23,"&lt;"&amp;'19_Расчет_аналитики'!N3596,WeightedRevAge23)-SUMIF(ThresholdAge23,"&lt;"&amp;'19_Расчет_аналитики'!N3596,WeightedMinAge23),MAX(CapacityAge23*'01_Вводные'!$B$218*'19_Расчет_аналитики'!N3596,MeanMinAge23))),0)</f>
        <v/>
      </c>
      <c r="O3550">
        <f>IF('01_Вводные'!$B$234="Да",IF(OR(('06_Сеть_и_дети'!O75-'06_Сеть_и_дети'!O103)=0,23&lt;='01_Вводные'!$B$297),0,('06_Сеть_и_дети'!O75-'06_Сеть_и_дети'!O103)*IF('01_Вводные'!$B$239="Да",MeanMinAge23+'19_Расчет_аналитики'!O3596*SUMIF(ThresholdAge23,"&lt;"&amp;'19_Расчет_аналитики'!O3596,WeightedRevAge23)-SUMIF(ThresholdAge23,"&lt;"&amp;'19_Расчет_аналитики'!O3596,WeightedMinAge23),MAX(CapacityAge23*'01_Вводные'!$B$218*'19_Расчет_аналитики'!O3596,MeanMinAge23))),0)</f>
        <v/>
      </c>
      <c r="P3550">
        <f>IF('01_Вводные'!$B$234="Да",IF(OR(('06_Сеть_и_дети'!P75-'06_Сеть_и_дети'!P103)=0,23&lt;='01_Вводные'!$B$297),0,('06_Сеть_и_дети'!P75-'06_Сеть_и_дети'!P103)*IF('01_Вводные'!$B$239="Да",MeanMinAge23+'19_Расчет_аналитики'!P3596*SUMIF(ThresholdAge23,"&lt;"&amp;'19_Расчет_аналитики'!P3596,WeightedRevAge23)-SUMIF(ThresholdAge23,"&lt;"&amp;'19_Расчет_аналитики'!P3596,WeightedMinAge23),MAX(CapacityAge23*'01_Вводные'!$B$218*'19_Расчет_аналитики'!P3596,MeanMinAge23))),0)</f>
        <v/>
      </c>
      <c r="Q3550">
        <f>IF('01_Вводные'!$B$234="Да",IF(OR(('06_Сеть_и_дети'!Q75-'06_Сеть_и_дети'!Q103)=0,23&lt;='01_Вводные'!$B$297),0,('06_Сеть_и_дети'!Q75-'06_Сеть_и_дети'!Q103)*IF('01_Вводные'!$B$239="Да",MeanMinAge23+'19_Расчет_аналитики'!Q3596*SUMIF(ThresholdAge23,"&lt;"&amp;'19_Расчет_аналитики'!Q3596,WeightedRevAge23)-SUMIF(ThresholdAge23,"&lt;"&amp;'19_Расчет_аналитики'!Q3596,WeightedMinAge23),MAX(CapacityAge23*'01_Вводные'!$B$218*'19_Расчет_аналитики'!Q3596,MeanMinAge23))),0)</f>
        <v/>
      </c>
      <c r="R3550">
        <f>IF('01_Вводные'!$B$234="Да",IF(OR(('06_Сеть_и_дети'!R75-'06_Сеть_и_дети'!R103)=0,23&lt;='01_Вводные'!$B$297),0,('06_Сеть_и_дети'!R75-'06_Сеть_и_дети'!R103)*IF('01_Вводные'!$B$239="Да",MeanMinAge23+'19_Расчет_аналитики'!R3596*SUMIF(ThresholdAge23,"&lt;"&amp;'19_Расчет_аналитики'!R3596,WeightedRevAge23)-SUMIF(ThresholdAge23,"&lt;"&amp;'19_Расчет_аналитики'!R3596,WeightedMinAge23),MAX(CapacityAge23*'01_Вводные'!$B$218*'19_Расчет_аналитики'!R3596,MeanMinAge23))),0)</f>
        <v/>
      </c>
      <c r="S3550">
        <f>IF('01_Вводные'!$B$234="Да",IF(OR(('06_Сеть_и_дети'!S75-'06_Сеть_и_дети'!S103)=0,23&lt;='01_Вводные'!$B$297),0,('06_Сеть_и_дети'!S75-'06_Сеть_и_дети'!S103)*IF('01_Вводные'!$B$239="Да",MeanMinAge23+'19_Расчет_аналитики'!S3596*SUMIF(ThresholdAge23,"&lt;"&amp;'19_Расчет_аналитики'!S3596,WeightedRevAge23)-SUMIF(ThresholdAge23,"&lt;"&amp;'19_Расчет_аналитики'!S3596,WeightedMinAge23),MAX(CapacityAge23*'01_Вводные'!$B$218*'19_Расчет_аналитики'!S3596,MeanMinAge23))),0)</f>
        <v/>
      </c>
      <c r="T3550">
        <f>IF('01_Вводные'!$B$234="Да",IF(OR(('06_Сеть_и_дети'!T75-'06_Сеть_и_дети'!T103)=0,23&lt;='01_Вводные'!$B$297),0,('06_Сеть_и_дети'!T75-'06_Сеть_и_дети'!T103)*IF('01_Вводные'!$B$239="Да",MeanMinAge23+'19_Расчет_аналитики'!T3596*SUMIF(ThresholdAge23,"&lt;"&amp;'19_Расчет_аналитики'!T3596,WeightedRevAge23)-SUMIF(ThresholdAge23,"&lt;"&amp;'19_Расчет_аналитики'!T3596,WeightedMinAge23),MAX(CapacityAge23*'01_Вводные'!$B$218*'19_Расчет_аналитики'!T3596,MeanMinAge23))),0)</f>
        <v/>
      </c>
      <c r="U3550">
        <f>IF('01_Вводные'!$B$234="Да",IF(OR(('06_Сеть_и_дети'!U75-'06_Сеть_и_дети'!U103)=0,23&lt;='01_Вводные'!$B$297),0,('06_Сеть_и_дети'!U75-'06_Сеть_и_дети'!U103)*IF('01_Вводные'!$B$239="Да",MeanMinAge23+'19_Расчет_аналитики'!U3596*SUMIF(ThresholdAge23,"&lt;"&amp;'19_Расчет_аналитики'!U3596,WeightedRevAge23)-SUMIF(ThresholdAge23,"&lt;"&amp;'19_Расчет_аналитики'!U3596,WeightedMinAge23),MAX(CapacityAge23*'01_Вводные'!$B$218*'19_Расчет_аналитики'!U3596,MeanMinAge23))),0)</f>
        <v/>
      </c>
      <c r="V3550">
        <f>IF('01_Вводные'!$B$234="Да",IF(OR(('06_Сеть_и_дети'!V75-'06_Сеть_и_дети'!V103)=0,23&lt;='01_Вводные'!$B$297),0,('06_Сеть_и_дети'!V75-'06_Сеть_и_дети'!V103)*IF('01_Вводные'!$B$239="Да",MeanMinAge23+'19_Расчет_аналитики'!V3596*SUMIF(ThresholdAge23,"&lt;"&amp;'19_Расчет_аналитики'!V3596,WeightedRevAge23)-SUMIF(ThresholdAge23,"&lt;"&amp;'19_Расчет_аналитики'!V3596,WeightedMinAge23),MAX(CapacityAge23*'01_Вводные'!$B$218*'19_Расчет_аналитики'!V3596,MeanMinAge23))),0)</f>
        <v/>
      </c>
      <c r="W3550">
        <f>IF('01_Вводные'!$B$234="Да",IF(OR(('06_Сеть_и_дети'!W75-'06_Сеть_и_дети'!W103)=0,23&lt;='01_Вводные'!$B$297),0,('06_Сеть_и_дети'!W75-'06_Сеть_и_дети'!W103)*IF('01_Вводные'!$B$239="Да",MeanMinAge23+'19_Расчет_аналитики'!W3596*SUMIF(ThresholdAge23,"&lt;"&amp;'19_Расчет_аналитики'!W3596,WeightedRevAge23)-SUMIF(ThresholdAge23,"&lt;"&amp;'19_Расчет_аналитики'!W3596,WeightedMinAge23),MAX(CapacityAge23*'01_Вводные'!$B$218*'19_Расчет_аналитики'!W3596,MeanMinAge23))),0)</f>
        <v/>
      </c>
      <c r="X3550">
        <f>IF('01_Вводные'!$B$234="Да",IF(OR(('19_Расчет_аналитики'!X3466-'19_Расчет_аналитики'!X3494)=0,23&lt;='01_Вводные'!$B$297),0,('19_Расчет_аналитики'!X3466-'19_Расчет_аналитики'!X3494)*IF('01_Вводные'!$B$239="Да",MeanMinAge23+'19_Расчет_аналитики'!X3596*SUMIF(ThresholdAge23,"&lt;"&amp;'19_Расчет_аналитики'!X3596,WeightedRevAge23)-SUMIF(ThresholdAge23,"&lt;"&amp;'19_Расчет_аналитики'!X3596,WeightedMinAge23),MAX(CapacityAge23*'01_Вводные'!$B$218*'19_Расчет_аналитики'!X3596,MeanMinAge23))),0)</f>
        <v/>
      </c>
      <c r="Y3550">
        <f>IF('01_Вводные'!$B$234="Да",IF(OR(('19_Расчет_аналитики'!Y3466-'19_Расчет_аналитики'!Y3494)=0,23&lt;='01_Вводные'!$B$297),0,('19_Расчет_аналитики'!Y3466-'19_Расчет_аналитики'!Y3494)*IF('01_Вводные'!$B$239="Да",MeanMinAge23+'19_Расчет_аналитики'!Y3596*SUMIF(ThresholdAge23,"&lt;"&amp;'19_Расчет_аналитики'!Y3596,WeightedRevAge23)-SUMIF(ThresholdAge23,"&lt;"&amp;'19_Расчет_аналитики'!Y3596,WeightedMinAge23),MAX(CapacityAge23*'01_Вводные'!$B$218*'19_Расчет_аналитики'!Y3596,MeanMinAge23))),0)</f>
        <v/>
      </c>
      <c r="Z3550">
        <f>IF('01_Вводные'!$B$234="Да",IF(OR(('19_Расчет_аналитики'!Z3466-'19_Расчет_аналитики'!Z3494)=0,23&lt;='01_Вводные'!$B$297),0,('19_Расчет_аналитики'!Z3466-'19_Расчет_аналитики'!Z3494)*IF('01_Вводные'!$B$239="Да",MeanMinAge23+'19_Расчет_аналитики'!Z3596*SUMIF(ThresholdAge23,"&lt;"&amp;'19_Расчет_аналитики'!Z3596,WeightedRevAge23)-SUMIF(ThresholdAge23,"&lt;"&amp;'19_Расчет_аналитики'!Z3596,WeightedMinAge23),MAX(CapacityAge23*'01_Вводные'!$B$218*'19_Расчет_аналитики'!Z3596,MeanMinAge23))),0)</f>
        <v/>
      </c>
      <c r="AA3550">
        <f>IF('01_Вводные'!$B$234="Да",IF(OR(('19_Расчет_аналитики'!AA3466-'19_Расчет_аналитики'!AA3494)=0,23&lt;='01_Вводные'!$B$297),0,('19_Расчет_аналитики'!AA3466-'19_Расчет_аналитики'!AA3494)*IF('01_Вводные'!$B$239="Да",MeanMinAge23+'19_Расчет_аналитики'!AA3596*SUMIF(ThresholdAge23,"&lt;"&amp;'19_Расчет_аналитики'!AA3596,WeightedRevAge23)-SUMIF(ThresholdAge23,"&lt;"&amp;'19_Расчет_аналитики'!AA3596,WeightedMinAge23),MAX(CapacityAge23*'01_Вводные'!$B$218*'19_Расчет_аналитики'!AA3596,MeanMinAge23))),0)</f>
        <v/>
      </c>
      <c r="AB3550">
        <f>IF('01_Вводные'!$B$234="Да",IF(OR(('19_Расчет_аналитики'!AB3466-'19_Расчет_аналитики'!AB3494)=0,23&lt;='01_Вводные'!$B$297),0,('19_Расчет_аналитики'!AB3466-'19_Расчет_аналитики'!AB3494)*IF('01_Вводные'!$B$239="Да",MeanMinAge23+'19_Расчет_аналитики'!AB3596*SUMIF(ThresholdAge23,"&lt;"&amp;'19_Расчет_аналитики'!AB3596,WeightedRevAge23)-SUMIF(ThresholdAge23,"&lt;"&amp;'19_Расчет_аналитики'!AB3596,WeightedMinAge23),MAX(CapacityAge23*'01_Вводные'!$B$218*'19_Расчет_аналитики'!AB3596,MeanMinAge23))),0)</f>
        <v/>
      </c>
      <c r="AC3550">
        <f>IF('01_Вводные'!$B$234="Да",IF(OR(('19_Расчет_аналитики'!AC3466-'19_Расчет_аналитики'!AC3494)=0,23&lt;='01_Вводные'!$B$297),0,('19_Расчет_аналитики'!AC3466-'19_Расчет_аналитики'!AC3494)*IF('01_Вводные'!$B$239="Да",MeanMinAge23+'19_Расчет_аналитики'!AC3596*SUMIF(ThresholdAge23,"&lt;"&amp;'19_Расчет_аналитики'!AC3596,WeightedRevAge23)-SUMIF(ThresholdAge23,"&lt;"&amp;'19_Расчет_аналитики'!AC3596,WeightedMinAge23),MAX(CapacityAge23*'01_Вводные'!$B$218*'19_Расчет_аналитики'!AC3596,MeanMinAge23))),0)</f>
        <v/>
      </c>
      <c r="AD3550">
        <f>IF('01_Вводные'!$B$234="Да",IF(OR(('19_Расчет_аналитики'!AD3466-'19_Расчет_аналитики'!AD3494)=0,23&lt;='01_Вводные'!$B$297),0,('19_Расчет_аналитики'!AD3466-'19_Расчет_аналитики'!AD3494)*IF('01_Вводные'!$B$239="Да",MeanMinAge23+'19_Расчет_аналитики'!AD3596*SUMIF(ThresholdAge23,"&lt;"&amp;'19_Расчет_аналитики'!AD3596,WeightedRevAge23)-SUMIF(ThresholdAge23,"&lt;"&amp;'19_Расчет_аналитики'!AD3596,WeightedMinAge23),MAX(CapacityAge23*'01_Вводные'!$B$218*'19_Расчет_аналитики'!AD3596,MeanMinAge23))),0)</f>
        <v/>
      </c>
      <c r="AE3550">
        <f>IF('01_Вводные'!$B$234="Да",IF(OR(('19_Расчет_аналитики'!AE3466-'19_Расчет_аналитики'!AE3494)=0,23&lt;='01_Вводные'!$B$297),0,('19_Расчет_аналитики'!AE3466-'19_Расчет_аналитики'!AE3494)*IF('01_Вводные'!$B$239="Да",MeanMinAge23+'19_Расчет_аналитики'!AE3596*SUMIF(ThresholdAge23,"&lt;"&amp;'19_Расчет_аналитики'!AE3596,WeightedRevAge23)-SUMIF(ThresholdAge23,"&lt;"&amp;'19_Расчет_аналитики'!AE3596,WeightedMinAge23),MAX(CapacityAge23*'01_Вводные'!$B$218*'19_Расчет_аналитики'!AE3596,MeanMinAge23))),0)</f>
        <v/>
      </c>
      <c r="AF3550">
        <f>IF('01_Вводные'!$B$234="Да",IF(OR(('19_Расчет_аналитики'!AF3466-'19_Расчет_аналитики'!AF3494)=0,23&lt;='01_Вводные'!$B$297),0,('19_Расчет_аналитики'!AF3466-'19_Расчет_аналитики'!AF3494)*IF('01_Вводные'!$B$239="Да",MeanMinAge23+'19_Расчет_аналитики'!AF3596*SUMIF(ThresholdAge23,"&lt;"&amp;'19_Расчет_аналитики'!AF3596,WeightedRevAge23)-SUMIF(ThresholdAge23,"&lt;"&amp;'19_Расчет_аналитики'!AF3596,WeightedMinAge23),MAX(CapacityAge23*'01_Вводные'!$B$218*'19_Расчет_аналитики'!AF3596,MeanMinAge23))),0)</f>
        <v/>
      </c>
      <c r="AG3550">
        <f>IF('01_Вводные'!$B$234="Да",IF(OR(('19_Расчет_аналитики'!AG3466-'19_Расчет_аналитики'!AG3494)=0,23&lt;='01_Вводные'!$B$297),0,('19_Расчет_аналитики'!AG3466-'19_Расчет_аналитики'!AG3494)*IF('01_Вводные'!$B$239="Да",MeanMinAge23+'19_Расчет_аналитики'!AG3596*SUMIF(ThresholdAge23,"&lt;"&amp;'19_Расчет_аналитики'!AG3596,WeightedRevAge23)-SUMIF(ThresholdAge23,"&lt;"&amp;'19_Расчет_аналитики'!AG3596,WeightedMinAge23),MAX(CapacityAge23*'01_Вводные'!$B$218*'19_Расчет_аналитики'!AG3596,MeanMinAge23))),0)</f>
        <v/>
      </c>
      <c r="AH3550">
        <f>IF('01_Вводные'!$B$234="Да",IF(OR(('19_Расчет_аналитики'!AH3466-'19_Расчет_аналитики'!AH3494)=0,23&lt;='01_Вводные'!$B$297),0,('19_Расчет_аналитики'!AH3466-'19_Расчет_аналитики'!AH3494)*IF('01_Вводные'!$B$239="Да",MeanMinAge23+'19_Расчет_аналитики'!AH3596*SUMIF(ThresholdAge23,"&lt;"&amp;'19_Расчет_аналитики'!AH3596,WeightedRevAge23)-SUMIF(ThresholdAge23,"&lt;"&amp;'19_Расчет_аналитики'!AH3596,WeightedMinAge23),MAX(CapacityAge23*'01_Вводные'!$B$218*'19_Расчет_аналитики'!AH3596,MeanMinAge23))),0)</f>
        <v/>
      </c>
      <c r="AI3550">
        <f>IF('01_Вводные'!$B$234="Да",IF(OR(('19_Расчет_аналитики'!AI3466-'19_Расчет_аналитики'!AI3494)=0,23&lt;='01_Вводные'!$B$297),0,('19_Расчет_аналитики'!AI3466-'19_Расчет_аналитики'!AI3494)*IF('01_Вводные'!$B$239="Да",MeanMinAge23+'19_Расчет_аналитики'!AI3596*SUMIF(ThresholdAge23,"&lt;"&amp;'19_Расчет_аналитики'!AI3596,WeightedRevAge23)-SUMIF(ThresholdAge23,"&lt;"&amp;'19_Расчет_аналитики'!AI3596,WeightedMinAge23),MAX(CapacityAge23*'01_Вводные'!$B$218*'19_Расчет_аналитики'!AI3596,MeanMinAge23))),0)</f>
        <v/>
      </c>
      <c r="AJ3550">
        <f>IF('01_Вводные'!$B$234="Да",IF(OR(('19_Расчет_аналитики'!AJ3466-'19_Расчет_аналитики'!AJ3494)=0,23&lt;='01_Вводные'!$B$297),0,('19_Расчет_аналитики'!AJ3466-'19_Расчет_аналитики'!AJ3494)*IF('01_Вводные'!$B$239="Да",MeanMinAge23+'19_Расчет_аналитики'!AJ3596*SUMIF(ThresholdAge23,"&lt;"&amp;'19_Расчет_аналитики'!AJ3596,WeightedRevAge23)-SUMIF(ThresholdAge23,"&lt;"&amp;'19_Расчет_аналитики'!AJ3596,WeightedMinAge23),MAX(CapacityAge23*'01_Вводные'!$B$218*'19_Расчет_аналитики'!AJ3596,MeanMinAge23))),0)</f>
        <v/>
      </c>
      <c r="AK3550">
        <f>IF('01_Вводные'!$B$234="Да",IF(OR(('19_Расчет_аналитики'!AK3466-'19_Расчет_аналитики'!AK3494)=0,23&lt;='01_Вводные'!$B$297),0,('19_Расчет_аналитики'!AK3466-'19_Расчет_аналитики'!AK3494)*IF('01_Вводные'!$B$239="Да",MeanMinAge23+'19_Расчет_аналитики'!AK3596*SUMIF(ThresholdAge23,"&lt;"&amp;'19_Расчет_аналитики'!AK3596,WeightedRevAge23)-SUMIF(ThresholdAge23,"&lt;"&amp;'19_Расчет_аналитики'!AK3596,WeightedMinAge23),MAX(CapacityAge23*'01_Вводные'!$B$218*'19_Расчет_аналитики'!AK3596,MeanMinAge23))),0)</f>
        <v/>
      </c>
      <c r="AL3550">
        <f>IF('01_Вводные'!$B$234="Да",IF(OR(('19_Расчет_аналитики'!AL3466-'19_Расчет_аналитики'!AL3494)=0,23&lt;='01_Вводные'!$B$297),0,('19_Расчет_аналитики'!AL3466-'19_Расчет_аналитики'!AL3494)*IF('01_Вводные'!$B$239="Да",MeanMinAge23+'19_Расчет_аналитики'!AL3596*SUMIF(ThresholdAge23,"&lt;"&amp;'19_Расчет_аналитики'!AL3596,WeightedRevAge23)-SUMIF(ThresholdAge23,"&lt;"&amp;'19_Расчет_аналитики'!AL3596,WeightedMinAge23),MAX(CapacityAge23*'01_Вводные'!$B$218*'19_Расчет_аналитики'!AL3596,MeanMinAge23))),0)</f>
        <v/>
      </c>
      <c r="AM3550">
        <f>IF('01_Вводные'!$B$234="Да",IF(OR(('19_Расчет_аналитики'!AM3466-'19_Расчет_аналитики'!AM3494)=0,23&lt;='01_Вводные'!$B$297),0,('19_Расчет_аналитики'!AM3466-'19_Расчет_аналитики'!AM3494)*IF('01_Вводные'!$B$239="Да",MeanMinAge23+'19_Расчет_аналитики'!AM3596*SUMIF(ThresholdAge23,"&lt;"&amp;'19_Расчет_аналитики'!AM3596,WeightedRevAge23)-SUMIF(ThresholdAge23,"&lt;"&amp;'19_Расчет_аналитики'!AM3596,WeightedMinAge23),MAX(CapacityAge23*'01_Вводные'!$B$218*'19_Расчет_аналитики'!AM3596,MeanMinAge23))),0)</f>
        <v/>
      </c>
      <c r="AN3550">
        <f>IF('01_Вводные'!$B$234="Да",IF(OR(('19_Расчет_аналитики'!AN3466-'19_Расчет_аналитики'!AN3494)=0,23&lt;='01_Вводные'!$B$297),0,('19_Расчет_аналитики'!AN3466-'19_Расчет_аналитики'!AN3494)*IF('01_Вводные'!$B$239="Да",MeanMinAge23+'19_Расчет_аналитики'!AN3596*SUMIF(ThresholdAge23,"&lt;"&amp;'19_Расчет_аналитики'!AN3596,WeightedRevAge23)-SUMIF(ThresholdAge23,"&lt;"&amp;'19_Расчет_аналитики'!AN3596,WeightedMinAge23),MAX(CapacityAge23*'01_Вводные'!$B$218*'19_Расчет_аналитики'!AN3596,MeanMinAge23))),0)</f>
        <v/>
      </c>
      <c r="AO3550">
        <f>IF('01_Вводные'!$B$234="Да",IF(OR(('19_Расчет_аналитики'!AO3466-'19_Расчет_аналитики'!AO3494)=0,23&lt;='01_Вводные'!$B$297),0,('19_Расчет_аналитики'!AO3466-'19_Расчет_аналитики'!AO3494)*IF('01_Вводные'!$B$239="Да",MeanMinAge23+'19_Расчет_аналитики'!AO3596*SUMIF(ThresholdAge23,"&lt;"&amp;'19_Расчет_аналитики'!AO3596,WeightedRevAge23)-SUMIF(ThresholdAge23,"&lt;"&amp;'19_Расчет_аналитики'!AO3596,WeightedMinAge23),MAX(CapacityAge23*'01_Вводные'!$B$218*'19_Расчет_аналитики'!AO3596,MeanMinAge23))),0)</f>
        <v/>
      </c>
      <c r="AP3550">
        <f>IF('01_Вводные'!$B$234="Да",IF(OR(('19_Расчет_аналитики'!AP3466-'19_Расчет_аналитики'!AP3494)=0,23&lt;='01_Вводные'!$B$297),0,('19_Расчет_аналитики'!AP3466-'19_Расчет_аналитики'!AP3494)*IF('01_Вводные'!$B$239="Да",MeanMinAge23+'19_Расчет_аналитики'!AP3596*SUMIF(ThresholdAge23,"&lt;"&amp;'19_Расчет_аналитики'!AP3596,WeightedRevAge23)-SUMIF(ThresholdAge23,"&lt;"&amp;'19_Расчет_аналитики'!AP3596,WeightedMinAge23),MAX(CapacityAge23*'01_Вводные'!$B$218*'19_Расчет_аналитики'!AP3596,MeanMinAge23))),0)</f>
        <v/>
      </c>
      <c r="AQ3550">
        <f>IF('01_Вводные'!$B$234="Да",IF(OR(('19_Расчет_аналитики'!AQ3466-'19_Расчет_аналитики'!AQ3494)=0,23&lt;='01_Вводные'!$B$297),0,('19_Расчет_аналитики'!AQ3466-'19_Расчет_аналитики'!AQ3494)*IF('01_Вводные'!$B$239="Да",MeanMinAge23+'19_Расчет_аналитики'!AQ3596*SUMIF(ThresholdAge23,"&lt;"&amp;'19_Расчет_аналитики'!AQ3596,WeightedRevAge23)-SUMIF(ThresholdAge23,"&lt;"&amp;'19_Расчет_аналитики'!AQ3596,WeightedMinAge23),MAX(CapacityAge23*'01_Вводные'!$B$218*'19_Расчет_аналитики'!AQ3596,MeanMinAge23))),0)</f>
        <v/>
      </c>
      <c r="AR3550">
        <f>IF('01_Вводные'!$B$234="Да",IF(OR(('19_Расчет_аналитики'!AR3466-'19_Расчет_аналитики'!AR3494)=0,23&lt;='01_Вводные'!$B$297),0,('19_Расчет_аналитики'!AR3466-'19_Расчет_аналитики'!AR3494)*IF('01_Вводные'!$B$239="Да",MeanMinAge23+'19_Расчет_аналитики'!AR3596*SUMIF(ThresholdAge23,"&lt;"&amp;'19_Расчет_аналитики'!AR3596,WeightedRevAge23)-SUMIF(ThresholdAge23,"&lt;"&amp;'19_Расчет_аналитики'!AR3596,WeightedMinAge23),MAX(CapacityAge23*'01_Вводные'!$B$218*'19_Расчет_аналитики'!AR3596,MeanMinAge23))),0)</f>
        <v/>
      </c>
      <c r="AS3550">
        <f>IF('01_Вводные'!$B$234="Да",IF(OR(('19_Расчет_аналитики'!AS3466-'19_Расчет_аналитики'!AS3494)=0,23&lt;='01_Вводные'!$B$297),0,('19_Расчет_аналитики'!AS3466-'19_Расчет_аналитики'!AS3494)*IF('01_Вводные'!$B$239="Да",MeanMinAge23+'19_Расчет_аналитики'!AS3596*SUMIF(ThresholdAge23,"&lt;"&amp;'19_Расчет_аналитики'!AS3596,WeightedRevAge23)-SUMIF(ThresholdAge23,"&lt;"&amp;'19_Расчет_аналитики'!AS3596,WeightedMinAge23),MAX(CapacityAge23*'01_Вводные'!$B$218*'19_Расчет_аналитики'!AS3596,MeanMinAge23))),0)</f>
        <v/>
      </c>
      <c r="AT3550">
        <f>IF('01_Вводные'!$B$234="Да",IF(OR(('19_Расчет_аналитики'!AT3466-'19_Расчет_аналитики'!AT3494)=0,23&lt;='01_Вводные'!$B$297),0,('19_Расчет_аналитики'!AT3466-'19_Расчет_аналитики'!AT3494)*IF('01_Вводные'!$B$239="Да",MeanMinAge23+'19_Расчет_аналитики'!AT3596*SUMIF(ThresholdAge23,"&lt;"&amp;'19_Расчет_аналитики'!AT3596,WeightedRevAge23)-SUMIF(ThresholdAge23,"&lt;"&amp;'19_Расчет_аналитики'!AT3596,WeightedMinAge23),MAX(CapacityAge23*'01_Вводные'!$B$218*'19_Расчет_аналитики'!AT3596,MeanMinAge23))),0)</f>
        <v/>
      </c>
      <c r="AU3550">
        <f>IF('01_Вводные'!$B$234="Да",IF(OR(('19_Расчет_аналитики'!AU3466-'19_Расчет_аналитики'!AU3494)=0,23&lt;='01_Вводные'!$B$297),0,('19_Расчет_аналитики'!AU3466-'19_Расчет_аналитики'!AU3494)*IF('01_Вводные'!$B$239="Да",MeanMinAge23+'19_Расчет_аналитики'!AU3596*SUMIF(ThresholdAge23,"&lt;"&amp;'19_Расчет_аналитики'!AU3596,WeightedRevAge23)-SUMIF(ThresholdAge23,"&lt;"&amp;'19_Расчет_аналитики'!AU3596,WeightedMinAge23),MAX(CapacityAge23*'01_Вводные'!$B$218*'19_Расчет_аналитики'!AU3596,MeanMinAge23))),0)</f>
        <v/>
      </c>
      <c r="AV3550">
        <f>IF('01_Вводные'!$B$234="Да",IF(OR(('19_Расчет_аналитики'!AV3466-'19_Расчет_аналитики'!AV3494)=0,23&lt;='01_Вводные'!$B$297),0,('19_Расчет_аналитики'!AV3466-'19_Расчет_аналитики'!AV3494)*IF('01_Вводные'!$B$239="Да",MeanMinAge23+'19_Расчет_аналитики'!AV3596*SUMIF(ThresholdAge23,"&lt;"&amp;'19_Расчет_аналитики'!AV3596,WeightedRevAge23)-SUMIF(ThresholdAge23,"&lt;"&amp;'19_Расчет_аналитики'!AV3596,WeightedMinAge23),MAX(CapacityAge23*'01_Вводные'!$B$218*'19_Расчет_аналитики'!AV3596,MeanMinAge23))),0)</f>
        <v/>
      </c>
      <c r="AW3550">
        <f>IF('01_Вводные'!$B$234="Да",IF(OR(('19_Расчет_аналитики'!AW3466-'19_Расчет_аналитики'!AW3494)=0,23&lt;='01_Вводные'!$B$297),0,('19_Расчет_аналитики'!AW3466-'19_Расчет_аналитики'!AW3494)*IF('01_Вводные'!$B$239="Да",MeanMinAge23+'19_Расчет_аналитики'!AW3596*SUMIF(ThresholdAge23,"&lt;"&amp;'19_Расчет_аналитики'!AW3596,WeightedRevAge23)-SUMIF(ThresholdAge23,"&lt;"&amp;'19_Расчет_аналитики'!AW3596,WeightedMinAge23),MAX(CapacityAge23*'01_Вводные'!$B$218*'19_Расчет_аналитики'!AW3596,MeanMinAge23))),0)</f>
        <v/>
      </c>
      <c r="AX3550">
        <f>IF('01_Вводные'!$B$234="Да",IF(OR(('19_Расчет_аналитики'!AX3466-'19_Расчет_аналитики'!AX3494)=0,23&lt;='01_Вводные'!$B$297),0,('19_Расчет_аналитики'!AX3466-'19_Расчет_аналитики'!AX3494)*IF('01_Вводные'!$B$239="Да",MeanMinAge23+'19_Расчет_аналитики'!AX3596*SUMIF(ThresholdAge23,"&lt;"&amp;'19_Расчет_аналитики'!AX3596,WeightedRevAge23)-SUMIF(ThresholdAge23,"&lt;"&amp;'19_Расчет_аналитики'!AX3596,WeightedMinAge23),MAX(CapacityAge23*'01_Вводные'!$B$218*'19_Расчет_аналитики'!AX3596,MeanMinAge23))),0)</f>
        <v/>
      </c>
      <c r="AY3550">
        <f>IF('01_Вводные'!$B$234="Да",IF(OR(('19_Расчет_аналитики'!AY3466-'19_Расчет_аналитики'!AY3494)=0,23&lt;='01_Вводные'!$B$297),0,('19_Расчет_аналитики'!AY3466-'19_Расчет_аналитики'!AY3494)*IF('01_Вводные'!$B$239="Да",MeanMinAge23+'19_Расчет_аналитики'!AY3596*SUMIF(ThresholdAge23,"&lt;"&amp;'19_Расчет_аналитики'!AY3596,WeightedRevAge23)-SUMIF(ThresholdAge23,"&lt;"&amp;'19_Расчет_аналитики'!AY3596,WeightedMinAge23),MAX(CapacityAge23*'01_Вводные'!$B$218*'19_Расчет_аналитики'!AY3596,MeanMinAge23))),0)</f>
        <v/>
      </c>
      <c r="AZ3550">
        <f>IF('01_Вводные'!$B$234="Да",IF(OR(('19_Расчет_аналитики'!AZ3466-'19_Расчет_аналитики'!AZ3494)=0,23&lt;='01_Вводные'!$B$297),0,('19_Расчет_аналитики'!AZ3466-'19_Расчет_аналитики'!AZ3494)*IF('01_Вводные'!$B$239="Да",MeanMinAge23+'19_Расчет_аналитики'!AZ3596*SUMIF(ThresholdAge23,"&lt;"&amp;'19_Расчет_аналитики'!AZ3596,WeightedRevAge23)-SUMIF(ThresholdAge23,"&lt;"&amp;'19_Расчет_аналитики'!AZ3596,WeightedMinAge23),MAX(CapacityAge23*'01_Вводные'!$B$218*'19_Расчет_аналитики'!AZ3596,MeanMinAge23))),0)</f>
        <v/>
      </c>
      <c r="BA3550">
        <f>IF('01_Вводные'!$B$234="Да",IF(OR(('19_Расчет_аналитики'!BA3466-'19_Расчет_аналитики'!BA3494)=0,23&lt;='01_Вводные'!$B$297),0,('19_Расчет_аналитики'!BA3466-'19_Расчет_аналитики'!BA3494)*IF('01_Вводные'!$B$239="Да",MeanMinAge23+'19_Расчет_аналитики'!BA3596*SUMIF(ThresholdAge23,"&lt;"&amp;'19_Расчет_аналитики'!BA3596,WeightedRevAge23)-SUMIF(ThresholdAge23,"&lt;"&amp;'19_Расчет_аналитики'!BA3596,WeightedMinAge23),MAX(CapacityAge23*'01_Вводные'!$B$218*'19_Расчет_аналитики'!BA3596,MeanMinAge23))),0)</f>
        <v/>
      </c>
      <c r="BB3550">
        <f>IF('01_Вводные'!$B$234="Да",IF(OR(('19_Расчет_аналитики'!BB3466-'19_Расчет_аналитики'!BB3494)=0,23&lt;='01_Вводные'!$B$297),0,('19_Расчет_аналитики'!BB3466-'19_Расчет_аналитики'!BB3494)*IF('01_Вводные'!$B$239="Да",MeanMinAge23+'19_Расчет_аналитики'!BB3596*SUMIF(ThresholdAge23,"&lt;"&amp;'19_Расчет_аналитики'!BB3596,WeightedRevAge23)-SUMIF(ThresholdAge23,"&lt;"&amp;'19_Расчет_аналитики'!BB3596,WeightedMinAge23),MAX(CapacityAge23*'01_Вводные'!$B$218*'19_Расчет_аналитики'!BB3596,MeanMinAge23))),0)</f>
        <v/>
      </c>
      <c r="BC3550">
        <f>IF('01_Вводные'!$B$234="Да",IF(OR(('19_Расчет_аналитики'!BC3466-'19_Расчет_аналитики'!BC3494)=0,23&lt;='01_Вводные'!$B$297),0,('19_Расчет_аналитики'!BC3466-'19_Расчет_аналитики'!BC3494)*IF('01_Вводные'!$B$239="Да",MeanMinAge23+'19_Расчет_аналитики'!BC3596*SUMIF(ThresholdAge23,"&lt;"&amp;'19_Расчет_аналитики'!BC3596,WeightedRevAge23)-SUMIF(ThresholdAge23,"&lt;"&amp;'19_Расчет_аналитики'!BC3596,WeightedMinAge23),MAX(CapacityAge23*'01_Вводные'!$B$218*'19_Расчет_аналитики'!BC3596,MeanMinAge23))),0)</f>
        <v/>
      </c>
      <c r="BD3550">
        <f>IF('01_Вводные'!$B$234="Да",IF(OR(('19_Расчет_аналитики'!BD3466-'19_Расчет_аналитики'!BD3494)=0,23&lt;='01_Вводные'!$B$297),0,('19_Расчет_аналитики'!BD3466-'19_Расчет_аналитики'!BD3494)*IF('01_Вводные'!$B$239="Да",MeanMinAge23+'19_Расчет_аналитики'!BD3596*SUMIF(ThresholdAge23,"&lt;"&amp;'19_Расчет_аналитики'!BD3596,WeightedRevAge23)-SUMIF(ThresholdAge23,"&lt;"&amp;'19_Расчет_аналитики'!BD3596,WeightedMinAge23),MAX(CapacityAge23*'01_Вводные'!$B$218*'19_Расчет_аналитики'!BD3596,MeanMinAge23))),0)</f>
        <v/>
      </c>
      <c r="BE3550">
        <f>IF('01_Вводные'!$B$234="Да",IF(OR(('19_Расчет_аналитики'!BE3466-'19_Расчет_аналитики'!BE3494)=0,23&lt;='01_Вводные'!$B$297),0,('19_Расчет_аналитики'!BE3466-'19_Расчет_аналитики'!BE3494)*IF('01_Вводные'!$B$239="Да",MeanMinAge23+'19_Расчет_аналитики'!BE3596*SUMIF(ThresholdAge23,"&lt;"&amp;'19_Расчет_аналитики'!BE3596,WeightedRevAge23)-SUMIF(ThresholdAge23,"&lt;"&amp;'19_Расчет_аналитики'!BE3596,WeightedMinAge23),MAX(CapacityAge23*'01_Вводные'!$B$218*'19_Расчет_аналитики'!BE3596,MeanMinAge23))),0)</f>
        <v/>
      </c>
      <c r="BF3550">
        <f>IF('01_Вводные'!$B$234="Да",IF(OR(('19_Расчет_аналитики'!BF3466-'19_Расчет_аналитики'!BF3494)=0,23&lt;='01_Вводные'!$B$297),0,('19_Расчет_аналитики'!BF3466-'19_Расчет_аналитики'!BF3494)*IF('01_Вводные'!$B$239="Да",MeanMinAge23+'19_Расчет_аналитики'!BF3596*SUMIF(ThresholdAge23,"&lt;"&amp;'19_Расчет_аналитики'!BF3596,WeightedRevAge23)-SUMIF(ThresholdAge23,"&lt;"&amp;'19_Расчет_аналитики'!BF3596,WeightedMinAge23),MAX(CapacityAge23*'01_Вводные'!$B$218*'19_Расчет_аналитики'!BF3596,MeanMinAge23))),0)</f>
        <v/>
      </c>
      <c r="BG3550">
        <f>IF('01_Вводные'!$B$234="Да",IF(OR(('19_Расчет_аналитики'!BG3466-'19_Расчет_аналитики'!BG3494)=0,23&lt;='01_Вводные'!$B$297),0,('19_Расчет_аналитики'!BG3466-'19_Расчет_аналитики'!BG3494)*IF('01_Вводные'!$B$239="Да",MeanMinAge23+'19_Расчет_аналитики'!BG3596*SUMIF(ThresholdAge23,"&lt;"&amp;'19_Расчет_аналитики'!BG3596,WeightedRevAge23)-SUMIF(ThresholdAge23,"&lt;"&amp;'19_Расчет_аналитики'!BG3596,WeightedMinAge23),MAX(CapacityAge23*'01_Вводные'!$B$218*'19_Расчет_аналитики'!BG3596,MeanMinAge23))),0)</f>
        <v/>
      </c>
      <c r="BH3550">
        <f>IF('01_Вводные'!$B$234="Да",IF(OR(('19_Расчет_аналитики'!BH3466-'19_Расчет_аналитики'!BH3494)=0,23&lt;='01_Вводные'!$B$297),0,('19_Расчет_аналитики'!BH3466-'19_Расчет_аналитики'!BH3494)*IF('01_Вводные'!$B$239="Да",MeanMinAge23+'19_Расчет_аналитики'!BH3596*SUMIF(ThresholdAge23,"&lt;"&amp;'19_Расчет_аналитики'!BH3596,WeightedRevAge23)-SUMIF(ThresholdAge23,"&lt;"&amp;'19_Расчет_аналитики'!BH3596,WeightedMinAge23),MAX(CapacityAge23*'01_Вводные'!$B$218*'19_Расчет_аналитики'!BH3596,MeanMinAge23))),0)</f>
        <v/>
      </c>
      <c r="BI3550">
        <f>IF('01_Вводные'!$B$234="Да",IF(OR(('19_Расчет_аналитики'!BI3466-'19_Расчет_аналитики'!BI3494)=0,23&lt;='01_Вводные'!$B$297),0,('19_Расчет_аналитики'!BI3466-'19_Расчет_аналитики'!BI3494)*IF('01_Вводные'!$B$239="Да",MeanMinAge23+'19_Расчет_аналитики'!BI3596*SUMIF(ThresholdAge23,"&lt;"&amp;'19_Расчет_аналитики'!BI3596,WeightedRevAge23)-SUMIF(ThresholdAge23,"&lt;"&amp;'19_Расчет_аналитики'!BI3596,WeightedMinAge23),MAX(CapacityAge23*'01_Вводные'!$B$218*'19_Расчет_аналитики'!BI3596,MeanMinAge23))),0)</f>
        <v/>
      </c>
      <c r="BJ3550">
        <f>IF('01_Вводные'!$B$234="Да",IF(OR(('19_Расчет_аналитики'!BJ3466-'19_Расчет_аналитики'!BJ3494)=0,23&lt;='01_Вводные'!$B$297),0,('19_Расчет_аналитики'!BJ3466-'19_Расчет_аналитики'!BJ3494)*IF('01_Вводные'!$B$239="Да",MeanMinAge23+'19_Расчет_аналитики'!BJ3596*SUMIF(ThresholdAge23,"&lt;"&amp;'19_Расчет_аналитики'!BJ3596,WeightedRevAge23)-SUMIF(ThresholdAge23,"&lt;"&amp;'19_Расчет_аналитики'!BJ3596,WeightedMinAge23),MAX(CapacityAge23*'01_Вводные'!$B$218*'19_Расчет_аналитики'!BJ3596,MeanMinAge23))),0)</f>
        <v/>
      </c>
      <c r="BK3550">
        <f>IF('01_Вводные'!$B$234="Да",IF(OR(('19_Расчет_аналитики'!BK3466-'19_Расчет_аналитики'!BK3494)=0,23&lt;='01_Вводные'!$B$297),0,('19_Расчет_аналитики'!BK3466-'19_Расчет_аналитики'!BK3494)*IF('01_Вводные'!$B$239="Да",MeanMinAge23+'19_Расчет_аналитики'!BK3596*SUMIF(ThresholdAge23,"&lt;"&amp;'19_Расчет_аналитики'!BK3596,WeightedRevAge23)-SUMIF(ThresholdAge23,"&lt;"&amp;'19_Расчет_аналитики'!BK3596,WeightedMinAge23),MAX(CapacityAge23*'01_Вводные'!$B$218*'19_Расчет_аналитики'!BK3596,MeanMinAge23))),0)</f>
        <v/>
      </c>
      <c r="BL3550">
        <f>IF('01_Вводные'!$B$234="Да",IF(OR(('19_Расчет_аналитики'!BL3466-'19_Расчет_аналитики'!BL3494)=0,23&lt;='01_Вводные'!$B$297),0,('19_Расчет_аналитики'!BL3466-'19_Расчет_аналитики'!BL3494)*IF('01_Вводные'!$B$239="Да",MeanMinAge23+'19_Расчет_аналитики'!BL3596*SUMIF(ThresholdAge23,"&lt;"&amp;'19_Расчет_аналитики'!BL3596,WeightedRevAge23)-SUMIF(ThresholdAge23,"&lt;"&amp;'19_Расчет_аналитики'!BL3596,WeightedMinAge23),MAX(CapacityAge23*'01_Вводные'!$B$218*'19_Расчет_аналитики'!BL3596,MeanMinAge23))),0)</f>
        <v/>
      </c>
      <c r="BM3550">
        <f>IF('01_Вводные'!$B$234="Да",IF(OR(('19_Расчет_аналитики'!BM3466-'19_Расчет_аналитики'!BM3494)=0,23&lt;='01_Вводные'!$B$297),0,('19_Расчет_аналитики'!BM3466-'19_Расчет_аналитики'!BM3494)*IF('01_Вводные'!$B$239="Да",MeanMinAge23+'19_Расчет_аналитики'!BM3596*SUMIF(ThresholdAge23,"&lt;"&amp;'19_Расчет_аналитики'!BM3596,WeightedRevAge23)-SUMIF(ThresholdAge23,"&lt;"&amp;'19_Расчет_аналитики'!BM3596,WeightedMinAge23),MAX(CapacityAge23*'01_Вводные'!$B$218*'19_Расчет_аналитики'!BM3596,MeanMinAge23))),0)</f>
        <v/>
      </c>
      <c r="BN3550">
        <f>IF('01_Вводные'!$B$234="Да",IF(OR(('19_Расчет_аналитики'!BN3466-'19_Расчет_аналитики'!BN3494)=0,23&lt;='01_Вводные'!$B$297),0,('19_Расчет_аналитики'!BN3466-'19_Расчет_аналитики'!BN3494)*IF('01_Вводные'!$B$239="Да",MeanMinAge23+'19_Расчет_аналитики'!BN3596*SUMIF(ThresholdAge23,"&lt;"&amp;'19_Расчет_аналитики'!BN3596,WeightedRevAge23)-SUMIF(ThresholdAge23,"&lt;"&amp;'19_Расчет_аналитики'!BN3596,WeightedMinAge23),MAX(CapacityAge23*'01_Вводные'!$B$218*'19_Расчет_аналитики'!BN3596,MeanMinAge23))),0)</f>
        <v/>
      </c>
      <c r="BO3550">
        <f>IF('01_Вводные'!$B$234="Да",IF(OR(('19_Расчет_аналитики'!BO3466-'19_Расчет_аналитики'!BO3494)=0,23&lt;='01_Вводные'!$B$297),0,('19_Расчет_аналитики'!BO3466-'19_Расчет_аналитики'!BO3494)*IF('01_Вводные'!$B$239="Да",MeanMinAge23+'19_Расчет_аналитики'!BO3596*SUMIF(ThresholdAge23,"&lt;"&amp;'19_Расчет_аналитики'!BO3596,WeightedRevAge23)-SUMIF(ThresholdAge23,"&lt;"&amp;'19_Расчет_аналитики'!BO3596,WeightedMinAge23),MAX(CapacityAge23*'01_Вводные'!$B$218*'19_Расчет_аналитики'!BO3596,MeanMinAge23))),0)</f>
        <v/>
      </c>
    </row>
    <row r="3551">
      <c r="B3551">
        <f>IF('01_Вводные'!$B$234="Да",IF(OR(('06_Сеть_и_дети'!B76-'06_Сеть_и_дети'!B104)=0,24&lt;='01_Вводные'!$B$297),0,('06_Сеть_и_дети'!B76-'06_Сеть_и_дети'!B104)*IF('01_Вводные'!$B$239="Да",MeanMinAge24+'19_Расчет_аналитики'!B3596*SUMIF(ThresholdAge24,"&lt;"&amp;'19_Расчет_аналитики'!B3596,WeightedRevAge24)-SUMIF(ThresholdAge24,"&lt;"&amp;'19_Расчет_аналитики'!B3596,WeightedMinAge24),MAX(CapacityAge24*'01_Вводные'!$B$218*'19_Расчет_аналитики'!B3596,MeanMinAge24))),0)</f>
        <v/>
      </c>
      <c r="C3551">
        <f>IF('01_Вводные'!$B$234="Да",IF(OR(('06_Сеть_и_дети'!C76-'06_Сеть_и_дети'!C104)=0,24&lt;='01_Вводные'!$B$297),0,('06_Сеть_и_дети'!C76-'06_Сеть_и_дети'!C104)*IF('01_Вводные'!$B$239="Да",MeanMinAge24+'19_Расчет_аналитики'!C3596*SUMIF(ThresholdAge24,"&lt;"&amp;'19_Расчет_аналитики'!C3596,WeightedRevAge24)-SUMIF(ThresholdAge24,"&lt;"&amp;'19_Расчет_аналитики'!C3596,WeightedMinAge24),MAX(CapacityAge24*'01_Вводные'!$B$218*'19_Расчет_аналитики'!C3596,MeanMinAge24))),0)</f>
        <v/>
      </c>
      <c r="D3551">
        <f>IF('01_Вводные'!$B$234="Да",IF(OR(('06_Сеть_и_дети'!D76-'06_Сеть_и_дети'!D104)=0,24&lt;='01_Вводные'!$B$297),0,('06_Сеть_и_дети'!D76-'06_Сеть_и_дети'!D104)*IF('01_Вводные'!$B$239="Да",MeanMinAge24+'19_Расчет_аналитики'!D3596*SUMIF(ThresholdAge24,"&lt;"&amp;'19_Расчет_аналитики'!D3596,WeightedRevAge24)-SUMIF(ThresholdAge24,"&lt;"&amp;'19_Расчет_аналитики'!D3596,WeightedMinAge24),MAX(CapacityAge24*'01_Вводные'!$B$218*'19_Расчет_аналитики'!D3596,MeanMinAge24))),0)</f>
        <v/>
      </c>
      <c r="E3551">
        <f>IF('01_Вводные'!$B$234="Да",IF(OR(('06_Сеть_и_дети'!E76-'06_Сеть_и_дети'!E104)=0,24&lt;='01_Вводные'!$B$297),0,('06_Сеть_и_дети'!E76-'06_Сеть_и_дети'!E104)*IF('01_Вводные'!$B$239="Да",MeanMinAge24+'19_Расчет_аналитики'!E3596*SUMIF(ThresholdAge24,"&lt;"&amp;'19_Расчет_аналитики'!E3596,WeightedRevAge24)-SUMIF(ThresholdAge24,"&lt;"&amp;'19_Расчет_аналитики'!E3596,WeightedMinAge24),MAX(CapacityAge24*'01_Вводные'!$B$218*'19_Расчет_аналитики'!E3596,MeanMinAge24))),0)</f>
        <v/>
      </c>
      <c r="F3551">
        <f>IF('01_Вводные'!$B$234="Да",IF(OR(('06_Сеть_и_дети'!F76-'06_Сеть_и_дети'!F104)=0,24&lt;='01_Вводные'!$B$297),0,('06_Сеть_и_дети'!F76-'06_Сеть_и_дети'!F104)*IF('01_Вводные'!$B$239="Да",MeanMinAge24+'19_Расчет_аналитики'!F3596*SUMIF(ThresholdAge24,"&lt;"&amp;'19_Расчет_аналитики'!F3596,WeightedRevAge24)-SUMIF(ThresholdAge24,"&lt;"&amp;'19_Расчет_аналитики'!F3596,WeightedMinAge24),MAX(CapacityAge24*'01_Вводные'!$B$218*'19_Расчет_аналитики'!F3596,MeanMinAge24))),0)</f>
        <v/>
      </c>
      <c r="G3551">
        <f>IF('01_Вводные'!$B$234="Да",IF(OR(('06_Сеть_и_дети'!G76-'06_Сеть_и_дети'!G104)=0,24&lt;='01_Вводные'!$B$297),0,('06_Сеть_и_дети'!G76-'06_Сеть_и_дети'!G104)*IF('01_Вводные'!$B$239="Да",MeanMinAge24+'19_Расчет_аналитики'!G3596*SUMIF(ThresholdAge24,"&lt;"&amp;'19_Расчет_аналитики'!G3596,WeightedRevAge24)-SUMIF(ThresholdAge24,"&lt;"&amp;'19_Расчет_аналитики'!G3596,WeightedMinAge24),MAX(CapacityAge24*'01_Вводные'!$B$218*'19_Расчет_аналитики'!G3596,MeanMinAge24))),0)</f>
        <v/>
      </c>
      <c r="H3551">
        <f>IF('01_Вводные'!$B$234="Да",IF(OR(('06_Сеть_и_дети'!H76-'06_Сеть_и_дети'!H104)=0,24&lt;='01_Вводные'!$B$297),0,('06_Сеть_и_дети'!H76-'06_Сеть_и_дети'!H104)*IF('01_Вводные'!$B$239="Да",MeanMinAge24+'19_Расчет_аналитики'!H3596*SUMIF(ThresholdAge24,"&lt;"&amp;'19_Расчет_аналитики'!H3596,WeightedRevAge24)-SUMIF(ThresholdAge24,"&lt;"&amp;'19_Расчет_аналитики'!H3596,WeightedMinAge24),MAX(CapacityAge24*'01_Вводные'!$B$218*'19_Расчет_аналитики'!H3596,MeanMinAge24))),0)</f>
        <v/>
      </c>
      <c r="I3551">
        <f>IF('01_Вводные'!$B$234="Да",IF(OR(('06_Сеть_и_дети'!I76-'06_Сеть_и_дети'!I104)=0,24&lt;='01_Вводные'!$B$297),0,('06_Сеть_и_дети'!I76-'06_Сеть_и_дети'!I104)*IF('01_Вводные'!$B$239="Да",MeanMinAge24+'19_Расчет_аналитики'!I3596*SUMIF(ThresholdAge24,"&lt;"&amp;'19_Расчет_аналитики'!I3596,WeightedRevAge24)-SUMIF(ThresholdAge24,"&lt;"&amp;'19_Расчет_аналитики'!I3596,WeightedMinAge24),MAX(CapacityAge24*'01_Вводные'!$B$218*'19_Расчет_аналитики'!I3596,MeanMinAge24))),0)</f>
        <v/>
      </c>
      <c r="J3551">
        <f>IF('01_Вводные'!$B$234="Да",IF(OR(('06_Сеть_и_дети'!J76-'06_Сеть_и_дети'!J104)=0,24&lt;='01_Вводные'!$B$297),0,('06_Сеть_и_дети'!J76-'06_Сеть_и_дети'!J104)*IF('01_Вводные'!$B$239="Да",MeanMinAge24+'19_Расчет_аналитики'!J3596*SUMIF(ThresholdAge24,"&lt;"&amp;'19_Расчет_аналитики'!J3596,WeightedRevAge24)-SUMIF(ThresholdAge24,"&lt;"&amp;'19_Расчет_аналитики'!J3596,WeightedMinAge24),MAX(CapacityAge24*'01_Вводные'!$B$218*'19_Расчет_аналитики'!J3596,MeanMinAge24))),0)</f>
        <v/>
      </c>
      <c r="K3551">
        <f>IF('01_Вводные'!$B$234="Да",IF(OR(('06_Сеть_и_дети'!K76-'06_Сеть_и_дети'!K104)=0,24&lt;='01_Вводные'!$B$297),0,('06_Сеть_и_дети'!K76-'06_Сеть_и_дети'!K104)*IF('01_Вводные'!$B$239="Да",MeanMinAge24+'19_Расчет_аналитики'!K3596*SUMIF(ThresholdAge24,"&lt;"&amp;'19_Расчет_аналитики'!K3596,WeightedRevAge24)-SUMIF(ThresholdAge24,"&lt;"&amp;'19_Расчет_аналитики'!K3596,WeightedMinAge24),MAX(CapacityAge24*'01_Вводные'!$B$218*'19_Расчет_аналитики'!K3596,MeanMinAge24))),0)</f>
        <v/>
      </c>
      <c r="L3551">
        <f>IF('01_Вводные'!$B$234="Да",IF(OR(('06_Сеть_и_дети'!L76-'06_Сеть_и_дети'!L104)=0,24&lt;='01_Вводные'!$B$297),0,('06_Сеть_и_дети'!L76-'06_Сеть_и_дети'!L104)*IF('01_Вводные'!$B$239="Да",MeanMinAge24+'19_Расчет_аналитики'!L3596*SUMIF(ThresholdAge24,"&lt;"&amp;'19_Расчет_аналитики'!L3596,WeightedRevAge24)-SUMIF(ThresholdAge24,"&lt;"&amp;'19_Расчет_аналитики'!L3596,WeightedMinAge24),MAX(CapacityAge24*'01_Вводные'!$B$218*'19_Расчет_аналитики'!L3596,MeanMinAge24))),0)</f>
        <v/>
      </c>
      <c r="M3551">
        <f>IF('01_Вводные'!$B$234="Да",IF(OR(('06_Сеть_и_дети'!M76-'06_Сеть_и_дети'!M104)=0,24&lt;='01_Вводные'!$B$297),0,('06_Сеть_и_дети'!M76-'06_Сеть_и_дети'!M104)*IF('01_Вводные'!$B$239="Да",MeanMinAge24+'19_Расчет_аналитики'!M3596*SUMIF(ThresholdAge24,"&lt;"&amp;'19_Расчет_аналитики'!M3596,WeightedRevAge24)-SUMIF(ThresholdAge24,"&lt;"&amp;'19_Расчет_аналитики'!M3596,WeightedMinAge24),MAX(CapacityAge24*'01_Вводные'!$B$218*'19_Расчет_аналитики'!M3596,MeanMinAge24))),0)</f>
        <v/>
      </c>
      <c r="N3551">
        <f>IF('01_Вводные'!$B$234="Да",IF(OR(('06_Сеть_и_дети'!N76-'06_Сеть_и_дети'!N104)=0,24&lt;='01_Вводные'!$B$297),0,('06_Сеть_и_дети'!N76-'06_Сеть_и_дети'!N104)*IF('01_Вводные'!$B$239="Да",MeanMinAge24+'19_Расчет_аналитики'!N3596*SUMIF(ThresholdAge24,"&lt;"&amp;'19_Расчет_аналитики'!N3596,WeightedRevAge24)-SUMIF(ThresholdAge24,"&lt;"&amp;'19_Расчет_аналитики'!N3596,WeightedMinAge24),MAX(CapacityAge24*'01_Вводные'!$B$218*'19_Расчет_аналитики'!N3596,MeanMinAge24))),0)</f>
        <v/>
      </c>
      <c r="O3551">
        <f>IF('01_Вводные'!$B$234="Да",IF(OR(('06_Сеть_и_дети'!O76-'06_Сеть_и_дети'!O104)=0,24&lt;='01_Вводные'!$B$297),0,('06_Сеть_и_дети'!O76-'06_Сеть_и_дети'!O104)*IF('01_Вводные'!$B$239="Да",MeanMinAge24+'19_Расчет_аналитики'!O3596*SUMIF(ThresholdAge24,"&lt;"&amp;'19_Расчет_аналитики'!O3596,WeightedRevAge24)-SUMIF(ThresholdAge24,"&lt;"&amp;'19_Расчет_аналитики'!O3596,WeightedMinAge24),MAX(CapacityAge24*'01_Вводные'!$B$218*'19_Расчет_аналитики'!O3596,MeanMinAge24))),0)</f>
        <v/>
      </c>
      <c r="P3551">
        <f>IF('01_Вводные'!$B$234="Да",IF(OR(('06_Сеть_и_дети'!P76-'06_Сеть_и_дети'!P104)=0,24&lt;='01_Вводные'!$B$297),0,('06_Сеть_и_дети'!P76-'06_Сеть_и_дети'!P104)*IF('01_Вводные'!$B$239="Да",MeanMinAge24+'19_Расчет_аналитики'!P3596*SUMIF(ThresholdAge24,"&lt;"&amp;'19_Расчет_аналитики'!P3596,WeightedRevAge24)-SUMIF(ThresholdAge24,"&lt;"&amp;'19_Расчет_аналитики'!P3596,WeightedMinAge24),MAX(CapacityAge24*'01_Вводные'!$B$218*'19_Расчет_аналитики'!P3596,MeanMinAge24))),0)</f>
        <v/>
      </c>
      <c r="Q3551">
        <f>IF('01_Вводные'!$B$234="Да",IF(OR(('06_Сеть_и_дети'!Q76-'06_Сеть_и_дети'!Q104)=0,24&lt;='01_Вводные'!$B$297),0,('06_Сеть_и_дети'!Q76-'06_Сеть_и_дети'!Q104)*IF('01_Вводные'!$B$239="Да",MeanMinAge24+'19_Расчет_аналитики'!Q3596*SUMIF(ThresholdAge24,"&lt;"&amp;'19_Расчет_аналитики'!Q3596,WeightedRevAge24)-SUMIF(ThresholdAge24,"&lt;"&amp;'19_Расчет_аналитики'!Q3596,WeightedMinAge24),MAX(CapacityAge24*'01_Вводные'!$B$218*'19_Расчет_аналитики'!Q3596,MeanMinAge24))),0)</f>
        <v/>
      </c>
      <c r="R3551">
        <f>IF('01_Вводные'!$B$234="Да",IF(OR(('06_Сеть_и_дети'!R76-'06_Сеть_и_дети'!R104)=0,24&lt;='01_Вводные'!$B$297),0,('06_Сеть_и_дети'!R76-'06_Сеть_и_дети'!R104)*IF('01_Вводные'!$B$239="Да",MeanMinAge24+'19_Расчет_аналитики'!R3596*SUMIF(ThresholdAge24,"&lt;"&amp;'19_Расчет_аналитики'!R3596,WeightedRevAge24)-SUMIF(ThresholdAge24,"&lt;"&amp;'19_Расчет_аналитики'!R3596,WeightedMinAge24),MAX(CapacityAge24*'01_Вводные'!$B$218*'19_Расчет_аналитики'!R3596,MeanMinAge24))),0)</f>
        <v/>
      </c>
      <c r="S3551">
        <f>IF('01_Вводные'!$B$234="Да",IF(OR(('06_Сеть_и_дети'!S76-'06_Сеть_и_дети'!S104)=0,24&lt;='01_Вводные'!$B$297),0,('06_Сеть_и_дети'!S76-'06_Сеть_и_дети'!S104)*IF('01_Вводные'!$B$239="Да",MeanMinAge24+'19_Расчет_аналитики'!S3596*SUMIF(ThresholdAge24,"&lt;"&amp;'19_Расчет_аналитики'!S3596,WeightedRevAge24)-SUMIF(ThresholdAge24,"&lt;"&amp;'19_Расчет_аналитики'!S3596,WeightedMinAge24),MAX(CapacityAge24*'01_Вводные'!$B$218*'19_Расчет_аналитики'!S3596,MeanMinAge24))),0)</f>
        <v/>
      </c>
      <c r="T3551">
        <f>IF('01_Вводные'!$B$234="Да",IF(OR(('06_Сеть_и_дети'!T76-'06_Сеть_и_дети'!T104)=0,24&lt;='01_Вводные'!$B$297),0,('06_Сеть_и_дети'!T76-'06_Сеть_и_дети'!T104)*IF('01_Вводные'!$B$239="Да",MeanMinAge24+'19_Расчет_аналитики'!T3596*SUMIF(ThresholdAge24,"&lt;"&amp;'19_Расчет_аналитики'!T3596,WeightedRevAge24)-SUMIF(ThresholdAge24,"&lt;"&amp;'19_Расчет_аналитики'!T3596,WeightedMinAge24),MAX(CapacityAge24*'01_Вводные'!$B$218*'19_Расчет_аналитики'!T3596,MeanMinAge24))),0)</f>
        <v/>
      </c>
      <c r="U3551">
        <f>IF('01_Вводные'!$B$234="Да",IF(OR(('06_Сеть_и_дети'!U76-'06_Сеть_и_дети'!U104)=0,24&lt;='01_Вводные'!$B$297),0,('06_Сеть_и_дети'!U76-'06_Сеть_и_дети'!U104)*IF('01_Вводные'!$B$239="Да",MeanMinAge24+'19_Расчет_аналитики'!U3596*SUMIF(ThresholdAge24,"&lt;"&amp;'19_Расчет_аналитики'!U3596,WeightedRevAge24)-SUMIF(ThresholdAge24,"&lt;"&amp;'19_Расчет_аналитики'!U3596,WeightedMinAge24),MAX(CapacityAge24*'01_Вводные'!$B$218*'19_Расчет_аналитики'!U3596,MeanMinAge24))),0)</f>
        <v/>
      </c>
      <c r="V3551">
        <f>IF('01_Вводные'!$B$234="Да",IF(OR(('06_Сеть_и_дети'!V76-'06_Сеть_и_дети'!V104)=0,24&lt;='01_Вводные'!$B$297),0,('06_Сеть_и_дети'!V76-'06_Сеть_и_дети'!V104)*IF('01_Вводные'!$B$239="Да",MeanMinAge24+'19_Расчет_аналитики'!V3596*SUMIF(ThresholdAge24,"&lt;"&amp;'19_Расчет_аналитики'!V3596,WeightedRevAge24)-SUMIF(ThresholdAge24,"&lt;"&amp;'19_Расчет_аналитики'!V3596,WeightedMinAge24),MAX(CapacityAge24*'01_Вводные'!$B$218*'19_Расчет_аналитики'!V3596,MeanMinAge24))),0)</f>
        <v/>
      </c>
      <c r="W3551">
        <f>IF('01_Вводные'!$B$234="Да",IF(OR(('06_Сеть_и_дети'!W76-'06_Сеть_и_дети'!W104)=0,24&lt;='01_Вводные'!$B$297),0,('06_Сеть_и_дети'!W76-'06_Сеть_и_дети'!W104)*IF('01_Вводные'!$B$239="Да",MeanMinAge24+'19_Расчет_аналитики'!W3596*SUMIF(ThresholdAge24,"&lt;"&amp;'19_Расчет_аналитики'!W3596,WeightedRevAge24)-SUMIF(ThresholdAge24,"&lt;"&amp;'19_Расчет_аналитики'!W3596,WeightedMinAge24),MAX(CapacityAge24*'01_Вводные'!$B$218*'19_Расчет_аналитики'!W3596,MeanMinAge24))),0)</f>
        <v/>
      </c>
      <c r="X3551">
        <f>IF('01_Вводные'!$B$234="Да",IF(OR(('06_Сеть_и_дети'!X76-'06_Сеть_и_дети'!X104)=0,24&lt;='01_Вводные'!$B$297),0,('06_Сеть_и_дети'!X76-'06_Сеть_и_дети'!X104)*IF('01_Вводные'!$B$239="Да",MeanMinAge24+'19_Расчет_аналитики'!X3596*SUMIF(ThresholdAge24,"&lt;"&amp;'19_Расчет_аналитики'!X3596,WeightedRevAge24)-SUMIF(ThresholdAge24,"&lt;"&amp;'19_Расчет_аналитики'!X3596,WeightedMinAge24),MAX(CapacityAge24*'01_Вводные'!$B$218*'19_Расчет_аналитики'!X3596,MeanMinAge24))),0)</f>
        <v/>
      </c>
      <c r="Y3551">
        <f>IF('01_Вводные'!$B$234="Да",IF(OR(('19_Расчет_аналитики'!Y3467-'19_Расчет_аналитики'!Y3495)=0,24&lt;='01_Вводные'!$B$297),0,('19_Расчет_аналитики'!Y3467-'19_Расчет_аналитики'!Y3495)*IF('01_Вводные'!$B$239="Да",MeanMinAge24+'19_Расчет_аналитики'!Y3596*SUMIF(ThresholdAge24,"&lt;"&amp;'19_Расчет_аналитики'!Y3596,WeightedRevAge24)-SUMIF(ThresholdAge24,"&lt;"&amp;'19_Расчет_аналитики'!Y3596,WeightedMinAge24),MAX(CapacityAge24*'01_Вводные'!$B$218*'19_Расчет_аналитики'!Y3596,MeanMinAge24))),0)</f>
        <v/>
      </c>
      <c r="Z3551">
        <f>IF('01_Вводные'!$B$234="Да",IF(OR(('19_Расчет_аналитики'!Z3467-'19_Расчет_аналитики'!Z3495)=0,24&lt;='01_Вводные'!$B$297),0,('19_Расчет_аналитики'!Z3467-'19_Расчет_аналитики'!Z3495)*IF('01_Вводные'!$B$239="Да",MeanMinAge24+'19_Расчет_аналитики'!Z3596*SUMIF(ThresholdAge24,"&lt;"&amp;'19_Расчет_аналитики'!Z3596,WeightedRevAge24)-SUMIF(ThresholdAge24,"&lt;"&amp;'19_Расчет_аналитики'!Z3596,WeightedMinAge24),MAX(CapacityAge24*'01_Вводные'!$B$218*'19_Расчет_аналитики'!Z3596,MeanMinAge24))),0)</f>
        <v/>
      </c>
      <c r="AA3551">
        <f>IF('01_Вводные'!$B$234="Да",IF(OR(('19_Расчет_аналитики'!AA3467-'19_Расчет_аналитики'!AA3495)=0,24&lt;='01_Вводные'!$B$297),0,('19_Расчет_аналитики'!AA3467-'19_Расчет_аналитики'!AA3495)*IF('01_Вводные'!$B$239="Да",MeanMinAge24+'19_Расчет_аналитики'!AA3596*SUMIF(ThresholdAge24,"&lt;"&amp;'19_Расчет_аналитики'!AA3596,WeightedRevAge24)-SUMIF(ThresholdAge24,"&lt;"&amp;'19_Расчет_аналитики'!AA3596,WeightedMinAge24),MAX(CapacityAge24*'01_Вводные'!$B$218*'19_Расчет_аналитики'!AA3596,MeanMinAge24))),0)</f>
        <v/>
      </c>
      <c r="AB3551">
        <f>IF('01_Вводные'!$B$234="Да",IF(OR(('19_Расчет_аналитики'!AB3467-'19_Расчет_аналитики'!AB3495)=0,24&lt;='01_Вводные'!$B$297),0,('19_Расчет_аналитики'!AB3467-'19_Расчет_аналитики'!AB3495)*IF('01_Вводные'!$B$239="Да",MeanMinAge24+'19_Расчет_аналитики'!AB3596*SUMIF(ThresholdAge24,"&lt;"&amp;'19_Расчет_аналитики'!AB3596,WeightedRevAge24)-SUMIF(ThresholdAge24,"&lt;"&amp;'19_Расчет_аналитики'!AB3596,WeightedMinAge24),MAX(CapacityAge24*'01_Вводные'!$B$218*'19_Расчет_аналитики'!AB3596,MeanMinAge24))),0)</f>
        <v/>
      </c>
      <c r="AC3551">
        <f>IF('01_Вводные'!$B$234="Да",IF(OR(('19_Расчет_аналитики'!AC3467-'19_Расчет_аналитики'!AC3495)=0,24&lt;='01_Вводные'!$B$297),0,('19_Расчет_аналитики'!AC3467-'19_Расчет_аналитики'!AC3495)*IF('01_Вводные'!$B$239="Да",MeanMinAge24+'19_Расчет_аналитики'!AC3596*SUMIF(ThresholdAge24,"&lt;"&amp;'19_Расчет_аналитики'!AC3596,WeightedRevAge24)-SUMIF(ThresholdAge24,"&lt;"&amp;'19_Расчет_аналитики'!AC3596,WeightedMinAge24),MAX(CapacityAge24*'01_Вводные'!$B$218*'19_Расчет_аналитики'!AC3596,MeanMinAge24))),0)</f>
        <v/>
      </c>
      <c r="AD3551">
        <f>IF('01_Вводные'!$B$234="Да",IF(OR(('19_Расчет_аналитики'!AD3467-'19_Расчет_аналитики'!AD3495)=0,24&lt;='01_Вводные'!$B$297),0,('19_Расчет_аналитики'!AD3467-'19_Расчет_аналитики'!AD3495)*IF('01_Вводные'!$B$239="Да",MeanMinAge24+'19_Расчет_аналитики'!AD3596*SUMIF(ThresholdAge24,"&lt;"&amp;'19_Расчет_аналитики'!AD3596,WeightedRevAge24)-SUMIF(ThresholdAge24,"&lt;"&amp;'19_Расчет_аналитики'!AD3596,WeightedMinAge24),MAX(CapacityAge24*'01_Вводные'!$B$218*'19_Расчет_аналитики'!AD3596,MeanMinAge24))),0)</f>
        <v/>
      </c>
      <c r="AE3551">
        <f>IF('01_Вводные'!$B$234="Да",IF(OR(('19_Расчет_аналитики'!AE3467-'19_Расчет_аналитики'!AE3495)=0,24&lt;='01_Вводные'!$B$297),0,('19_Расчет_аналитики'!AE3467-'19_Расчет_аналитики'!AE3495)*IF('01_Вводные'!$B$239="Да",MeanMinAge24+'19_Расчет_аналитики'!AE3596*SUMIF(ThresholdAge24,"&lt;"&amp;'19_Расчет_аналитики'!AE3596,WeightedRevAge24)-SUMIF(ThresholdAge24,"&lt;"&amp;'19_Расчет_аналитики'!AE3596,WeightedMinAge24),MAX(CapacityAge24*'01_Вводные'!$B$218*'19_Расчет_аналитики'!AE3596,MeanMinAge24))),0)</f>
        <v/>
      </c>
      <c r="AF3551">
        <f>IF('01_Вводные'!$B$234="Да",IF(OR(('19_Расчет_аналитики'!AF3467-'19_Расчет_аналитики'!AF3495)=0,24&lt;='01_Вводные'!$B$297),0,('19_Расчет_аналитики'!AF3467-'19_Расчет_аналитики'!AF3495)*IF('01_Вводные'!$B$239="Да",MeanMinAge24+'19_Расчет_аналитики'!AF3596*SUMIF(ThresholdAge24,"&lt;"&amp;'19_Расчет_аналитики'!AF3596,WeightedRevAge24)-SUMIF(ThresholdAge24,"&lt;"&amp;'19_Расчет_аналитики'!AF3596,WeightedMinAge24),MAX(CapacityAge24*'01_Вводные'!$B$218*'19_Расчет_аналитики'!AF3596,MeanMinAge24))),0)</f>
        <v/>
      </c>
      <c r="AG3551">
        <f>IF('01_Вводные'!$B$234="Да",IF(OR(('19_Расчет_аналитики'!AG3467-'19_Расчет_аналитики'!AG3495)=0,24&lt;='01_Вводные'!$B$297),0,('19_Расчет_аналитики'!AG3467-'19_Расчет_аналитики'!AG3495)*IF('01_Вводные'!$B$239="Да",MeanMinAge24+'19_Расчет_аналитики'!AG3596*SUMIF(ThresholdAge24,"&lt;"&amp;'19_Расчет_аналитики'!AG3596,WeightedRevAge24)-SUMIF(ThresholdAge24,"&lt;"&amp;'19_Расчет_аналитики'!AG3596,WeightedMinAge24),MAX(CapacityAge24*'01_Вводные'!$B$218*'19_Расчет_аналитики'!AG3596,MeanMinAge24))),0)</f>
        <v/>
      </c>
      <c r="AH3551">
        <f>IF('01_Вводные'!$B$234="Да",IF(OR(('19_Расчет_аналитики'!AH3467-'19_Расчет_аналитики'!AH3495)=0,24&lt;='01_Вводные'!$B$297),0,('19_Расчет_аналитики'!AH3467-'19_Расчет_аналитики'!AH3495)*IF('01_Вводные'!$B$239="Да",MeanMinAge24+'19_Расчет_аналитики'!AH3596*SUMIF(ThresholdAge24,"&lt;"&amp;'19_Расчет_аналитики'!AH3596,WeightedRevAge24)-SUMIF(ThresholdAge24,"&lt;"&amp;'19_Расчет_аналитики'!AH3596,WeightedMinAge24),MAX(CapacityAge24*'01_Вводные'!$B$218*'19_Расчет_аналитики'!AH3596,MeanMinAge24))),0)</f>
        <v/>
      </c>
      <c r="AI3551">
        <f>IF('01_Вводные'!$B$234="Да",IF(OR(('19_Расчет_аналитики'!AI3467-'19_Расчет_аналитики'!AI3495)=0,24&lt;='01_Вводные'!$B$297),0,('19_Расчет_аналитики'!AI3467-'19_Расчет_аналитики'!AI3495)*IF('01_Вводные'!$B$239="Да",MeanMinAge24+'19_Расчет_аналитики'!AI3596*SUMIF(ThresholdAge24,"&lt;"&amp;'19_Расчет_аналитики'!AI3596,WeightedRevAge24)-SUMIF(ThresholdAge24,"&lt;"&amp;'19_Расчет_аналитики'!AI3596,WeightedMinAge24),MAX(CapacityAge24*'01_Вводные'!$B$218*'19_Расчет_аналитики'!AI3596,MeanMinAge24))),0)</f>
        <v/>
      </c>
      <c r="AJ3551">
        <f>IF('01_Вводные'!$B$234="Да",IF(OR(('19_Расчет_аналитики'!AJ3467-'19_Расчет_аналитики'!AJ3495)=0,24&lt;='01_Вводные'!$B$297),0,('19_Расчет_аналитики'!AJ3467-'19_Расчет_аналитики'!AJ3495)*IF('01_Вводные'!$B$239="Да",MeanMinAge24+'19_Расчет_аналитики'!AJ3596*SUMIF(ThresholdAge24,"&lt;"&amp;'19_Расчет_аналитики'!AJ3596,WeightedRevAge24)-SUMIF(ThresholdAge24,"&lt;"&amp;'19_Расчет_аналитики'!AJ3596,WeightedMinAge24),MAX(CapacityAge24*'01_Вводные'!$B$218*'19_Расчет_аналитики'!AJ3596,MeanMinAge24))),0)</f>
        <v/>
      </c>
      <c r="AK3551">
        <f>IF('01_Вводные'!$B$234="Да",IF(OR(('19_Расчет_аналитики'!AK3467-'19_Расчет_аналитики'!AK3495)=0,24&lt;='01_Вводные'!$B$297),0,('19_Расчет_аналитики'!AK3467-'19_Расчет_аналитики'!AK3495)*IF('01_Вводные'!$B$239="Да",MeanMinAge24+'19_Расчет_аналитики'!AK3596*SUMIF(ThresholdAge24,"&lt;"&amp;'19_Расчет_аналитики'!AK3596,WeightedRevAge24)-SUMIF(ThresholdAge24,"&lt;"&amp;'19_Расчет_аналитики'!AK3596,WeightedMinAge24),MAX(CapacityAge24*'01_Вводные'!$B$218*'19_Расчет_аналитики'!AK3596,MeanMinAge24))),0)</f>
        <v/>
      </c>
      <c r="AL3551">
        <f>IF('01_Вводные'!$B$234="Да",IF(OR(('19_Расчет_аналитики'!AL3467-'19_Расчет_аналитики'!AL3495)=0,24&lt;='01_Вводные'!$B$297),0,('19_Расчет_аналитики'!AL3467-'19_Расчет_аналитики'!AL3495)*IF('01_Вводные'!$B$239="Да",MeanMinAge24+'19_Расчет_аналитики'!AL3596*SUMIF(ThresholdAge24,"&lt;"&amp;'19_Расчет_аналитики'!AL3596,WeightedRevAge24)-SUMIF(ThresholdAge24,"&lt;"&amp;'19_Расчет_аналитики'!AL3596,WeightedMinAge24),MAX(CapacityAge24*'01_Вводные'!$B$218*'19_Расчет_аналитики'!AL3596,MeanMinAge24))),0)</f>
        <v/>
      </c>
      <c r="AM3551">
        <f>IF('01_Вводные'!$B$234="Да",IF(OR(('19_Расчет_аналитики'!AM3467-'19_Расчет_аналитики'!AM3495)=0,24&lt;='01_Вводные'!$B$297),0,('19_Расчет_аналитики'!AM3467-'19_Расчет_аналитики'!AM3495)*IF('01_Вводные'!$B$239="Да",MeanMinAge24+'19_Расчет_аналитики'!AM3596*SUMIF(ThresholdAge24,"&lt;"&amp;'19_Расчет_аналитики'!AM3596,WeightedRevAge24)-SUMIF(ThresholdAge24,"&lt;"&amp;'19_Расчет_аналитики'!AM3596,WeightedMinAge24),MAX(CapacityAge24*'01_Вводные'!$B$218*'19_Расчет_аналитики'!AM3596,MeanMinAge24))),0)</f>
        <v/>
      </c>
      <c r="AN3551">
        <f>IF('01_Вводные'!$B$234="Да",IF(OR(('19_Расчет_аналитики'!AN3467-'19_Расчет_аналитики'!AN3495)=0,24&lt;='01_Вводные'!$B$297),0,('19_Расчет_аналитики'!AN3467-'19_Расчет_аналитики'!AN3495)*IF('01_Вводные'!$B$239="Да",MeanMinAge24+'19_Расчет_аналитики'!AN3596*SUMIF(ThresholdAge24,"&lt;"&amp;'19_Расчет_аналитики'!AN3596,WeightedRevAge24)-SUMIF(ThresholdAge24,"&lt;"&amp;'19_Расчет_аналитики'!AN3596,WeightedMinAge24),MAX(CapacityAge24*'01_Вводные'!$B$218*'19_Расчет_аналитики'!AN3596,MeanMinAge24))),0)</f>
        <v/>
      </c>
      <c r="AO3551">
        <f>IF('01_Вводные'!$B$234="Да",IF(OR(('19_Расчет_аналитики'!AO3467-'19_Расчет_аналитики'!AO3495)=0,24&lt;='01_Вводные'!$B$297),0,('19_Расчет_аналитики'!AO3467-'19_Расчет_аналитики'!AO3495)*IF('01_Вводные'!$B$239="Да",MeanMinAge24+'19_Расчет_аналитики'!AO3596*SUMIF(ThresholdAge24,"&lt;"&amp;'19_Расчет_аналитики'!AO3596,WeightedRevAge24)-SUMIF(ThresholdAge24,"&lt;"&amp;'19_Расчет_аналитики'!AO3596,WeightedMinAge24),MAX(CapacityAge24*'01_Вводные'!$B$218*'19_Расчет_аналитики'!AO3596,MeanMinAge24))),0)</f>
        <v/>
      </c>
      <c r="AP3551">
        <f>IF('01_Вводные'!$B$234="Да",IF(OR(('19_Расчет_аналитики'!AP3467-'19_Расчет_аналитики'!AP3495)=0,24&lt;='01_Вводные'!$B$297),0,('19_Расчет_аналитики'!AP3467-'19_Расчет_аналитики'!AP3495)*IF('01_Вводные'!$B$239="Да",MeanMinAge24+'19_Расчет_аналитики'!AP3596*SUMIF(ThresholdAge24,"&lt;"&amp;'19_Расчет_аналитики'!AP3596,WeightedRevAge24)-SUMIF(ThresholdAge24,"&lt;"&amp;'19_Расчет_аналитики'!AP3596,WeightedMinAge24),MAX(CapacityAge24*'01_Вводные'!$B$218*'19_Расчет_аналитики'!AP3596,MeanMinAge24))),0)</f>
        <v/>
      </c>
      <c r="AQ3551">
        <f>IF('01_Вводные'!$B$234="Да",IF(OR(('19_Расчет_аналитики'!AQ3467-'19_Расчет_аналитики'!AQ3495)=0,24&lt;='01_Вводные'!$B$297),0,('19_Расчет_аналитики'!AQ3467-'19_Расчет_аналитики'!AQ3495)*IF('01_Вводные'!$B$239="Да",MeanMinAge24+'19_Расчет_аналитики'!AQ3596*SUMIF(ThresholdAge24,"&lt;"&amp;'19_Расчет_аналитики'!AQ3596,WeightedRevAge24)-SUMIF(ThresholdAge24,"&lt;"&amp;'19_Расчет_аналитики'!AQ3596,WeightedMinAge24),MAX(CapacityAge24*'01_Вводные'!$B$218*'19_Расчет_аналитики'!AQ3596,MeanMinAge24))),0)</f>
        <v/>
      </c>
      <c r="AR3551">
        <f>IF('01_Вводные'!$B$234="Да",IF(OR(('19_Расчет_аналитики'!AR3467-'19_Расчет_аналитики'!AR3495)=0,24&lt;='01_Вводные'!$B$297),0,('19_Расчет_аналитики'!AR3467-'19_Расчет_аналитики'!AR3495)*IF('01_Вводные'!$B$239="Да",MeanMinAge24+'19_Расчет_аналитики'!AR3596*SUMIF(ThresholdAge24,"&lt;"&amp;'19_Расчет_аналитики'!AR3596,WeightedRevAge24)-SUMIF(ThresholdAge24,"&lt;"&amp;'19_Расчет_аналитики'!AR3596,WeightedMinAge24),MAX(CapacityAge24*'01_Вводные'!$B$218*'19_Расчет_аналитики'!AR3596,MeanMinAge24))),0)</f>
        <v/>
      </c>
      <c r="AS3551">
        <f>IF('01_Вводные'!$B$234="Да",IF(OR(('19_Расчет_аналитики'!AS3467-'19_Расчет_аналитики'!AS3495)=0,24&lt;='01_Вводные'!$B$297),0,('19_Расчет_аналитики'!AS3467-'19_Расчет_аналитики'!AS3495)*IF('01_Вводные'!$B$239="Да",MeanMinAge24+'19_Расчет_аналитики'!AS3596*SUMIF(ThresholdAge24,"&lt;"&amp;'19_Расчет_аналитики'!AS3596,WeightedRevAge24)-SUMIF(ThresholdAge24,"&lt;"&amp;'19_Расчет_аналитики'!AS3596,WeightedMinAge24),MAX(CapacityAge24*'01_Вводные'!$B$218*'19_Расчет_аналитики'!AS3596,MeanMinAge24))),0)</f>
        <v/>
      </c>
      <c r="AT3551">
        <f>IF('01_Вводные'!$B$234="Да",IF(OR(('19_Расчет_аналитики'!AT3467-'19_Расчет_аналитики'!AT3495)=0,24&lt;='01_Вводные'!$B$297),0,('19_Расчет_аналитики'!AT3467-'19_Расчет_аналитики'!AT3495)*IF('01_Вводные'!$B$239="Да",MeanMinAge24+'19_Расчет_аналитики'!AT3596*SUMIF(ThresholdAge24,"&lt;"&amp;'19_Расчет_аналитики'!AT3596,WeightedRevAge24)-SUMIF(ThresholdAge24,"&lt;"&amp;'19_Расчет_аналитики'!AT3596,WeightedMinAge24),MAX(CapacityAge24*'01_Вводные'!$B$218*'19_Расчет_аналитики'!AT3596,MeanMinAge24))),0)</f>
        <v/>
      </c>
      <c r="AU3551">
        <f>IF('01_Вводные'!$B$234="Да",IF(OR(('19_Расчет_аналитики'!AU3467-'19_Расчет_аналитики'!AU3495)=0,24&lt;='01_Вводные'!$B$297),0,('19_Расчет_аналитики'!AU3467-'19_Расчет_аналитики'!AU3495)*IF('01_Вводные'!$B$239="Да",MeanMinAge24+'19_Расчет_аналитики'!AU3596*SUMIF(ThresholdAge24,"&lt;"&amp;'19_Расчет_аналитики'!AU3596,WeightedRevAge24)-SUMIF(ThresholdAge24,"&lt;"&amp;'19_Расчет_аналитики'!AU3596,WeightedMinAge24),MAX(CapacityAge24*'01_Вводные'!$B$218*'19_Расчет_аналитики'!AU3596,MeanMinAge24))),0)</f>
        <v/>
      </c>
      <c r="AV3551">
        <f>IF('01_Вводные'!$B$234="Да",IF(OR(('19_Расчет_аналитики'!AV3467-'19_Расчет_аналитики'!AV3495)=0,24&lt;='01_Вводные'!$B$297),0,('19_Расчет_аналитики'!AV3467-'19_Расчет_аналитики'!AV3495)*IF('01_Вводные'!$B$239="Да",MeanMinAge24+'19_Расчет_аналитики'!AV3596*SUMIF(ThresholdAge24,"&lt;"&amp;'19_Расчет_аналитики'!AV3596,WeightedRevAge24)-SUMIF(ThresholdAge24,"&lt;"&amp;'19_Расчет_аналитики'!AV3596,WeightedMinAge24),MAX(CapacityAge24*'01_Вводные'!$B$218*'19_Расчет_аналитики'!AV3596,MeanMinAge24))),0)</f>
        <v/>
      </c>
      <c r="AW3551">
        <f>IF('01_Вводные'!$B$234="Да",IF(OR(('19_Расчет_аналитики'!AW3467-'19_Расчет_аналитики'!AW3495)=0,24&lt;='01_Вводные'!$B$297),0,('19_Расчет_аналитики'!AW3467-'19_Расчет_аналитики'!AW3495)*IF('01_Вводные'!$B$239="Да",MeanMinAge24+'19_Расчет_аналитики'!AW3596*SUMIF(ThresholdAge24,"&lt;"&amp;'19_Расчет_аналитики'!AW3596,WeightedRevAge24)-SUMIF(ThresholdAge24,"&lt;"&amp;'19_Расчет_аналитики'!AW3596,WeightedMinAge24),MAX(CapacityAge24*'01_Вводные'!$B$218*'19_Расчет_аналитики'!AW3596,MeanMinAge24))),0)</f>
        <v/>
      </c>
      <c r="AX3551">
        <f>IF('01_Вводные'!$B$234="Да",IF(OR(('19_Расчет_аналитики'!AX3467-'19_Расчет_аналитики'!AX3495)=0,24&lt;='01_Вводные'!$B$297),0,('19_Расчет_аналитики'!AX3467-'19_Расчет_аналитики'!AX3495)*IF('01_Вводные'!$B$239="Да",MeanMinAge24+'19_Расчет_аналитики'!AX3596*SUMIF(ThresholdAge24,"&lt;"&amp;'19_Расчет_аналитики'!AX3596,WeightedRevAge24)-SUMIF(ThresholdAge24,"&lt;"&amp;'19_Расчет_аналитики'!AX3596,WeightedMinAge24),MAX(CapacityAge24*'01_Вводные'!$B$218*'19_Расчет_аналитики'!AX3596,MeanMinAge24))),0)</f>
        <v/>
      </c>
      <c r="AY3551">
        <f>IF('01_Вводные'!$B$234="Да",IF(OR(('19_Расчет_аналитики'!AY3467-'19_Расчет_аналитики'!AY3495)=0,24&lt;='01_Вводные'!$B$297),0,('19_Расчет_аналитики'!AY3467-'19_Расчет_аналитики'!AY3495)*IF('01_Вводные'!$B$239="Да",MeanMinAge24+'19_Расчет_аналитики'!AY3596*SUMIF(ThresholdAge24,"&lt;"&amp;'19_Расчет_аналитики'!AY3596,WeightedRevAge24)-SUMIF(ThresholdAge24,"&lt;"&amp;'19_Расчет_аналитики'!AY3596,WeightedMinAge24),MAX(CapacityAge24*'01_Вводные'!$B$218*'19_Расчет_аналитики'!AY3596,MeanMinAge24))),0)</f>
        <v/>
      </c>
      <c r="AZ3551">
        <f>IF('01_Вводные'!$B$234="Да",IF(OR(('19_Расчет_аналитики'!AZ3467-'19_Расчет_аналитики'!AZ3495)=0,24&lt;='01_Вводные'!$B$297),0,('19_Расчет_аналитики'!AZ3467-'19_Расчет_аналитики'!AZ3495)*IF('01_Вводные'!$B$239="Да",MeanMinAge24+'19_Расчет_аналитики'!AZ3596*SUMIF(ThresholdAge24,"&lt;"&amp;'19_Расчет_аналитики'!AZ3596,WeightedRevAge24)-SUMIF(ThresholdAge24,"&lt;"&amp;'19_Расчет_аналитики'!AZ3596,WeightedMinAge24),MAX(CapacityAge24*'01_Вводные'!$B$218*'19_Расчет_аналитики'!AZ3596,MeanMinAge24))),0)</f>
        <v/>
      </c>
      <c r="BA3551">
        <f>IF('01_Вводные'!$B$234="Да",IF(OR(('19_Расчет_аналитики'!BA3467-'19_Расчет_аналитики'!BA3495)=0,24&lt;='01_Вводные'!$B$297),0,('19_Расчет_аналитики'!BA3467-'19_Расчет_аналитики'!BA3495)*IF('01_Вводные'!$B$239="Да",MeanMinAge24+'19_Расчет_аналитики'!BA3596*SUMIF(ThresholdAge24,"&lt;"&amp;'19_Расчет_аналитики'!BA3596,WeightedRevAge24)-SUMIF(ThresholdAge24,"&lt;"&amp;'19_Расчет_аналитики'!BA3596,WeightedMinAge24),MAX(CapacityAge24*'01_Вводные'!$B$218*'19_Расчет_аналитики'!BA3596,MeanMinAge24))),0)</f>
        <v/>
      </c>
      <c r="BB3551">
        <f>IF('01_Вводные'!$B$234="Да",IF(OR(('19_Расчет_аналитики'!BB3467-'19_Расчет_аналитики'!BB3495)=0,24&lt;='01_Вводные'!$B$297),0,('19_Расчет_аналитики'!BB3467-'19_Расчет_аналитики'!BB3495)*IF('01_Вводные'!$B$239="Да",MeanMinAge24+'19_Расчет_аналитики'!BB3596*SUMIF(ThresholdAge24,"&lt;"&amp;'19_Расчет_аналитики'!BB3596,WeightedRevAge24)-SUMIF(ThresholdAge24,"&lt;"&amp;'19_Расчет_аналитики'!BB3596,WeightedMinAge24),MAX(CapacityAge24*'01_Вводные'!$B$218*'19_Расчет_аналитики'!BB3596,MeanMinAge24))),0)</f>
        <v/>
      </c>
      <c r="BC3551">
        <f>IF('01_Вводные'!$B$234="Да",IF(OR(('19_Расчет_аналитики'!BC3467-'19_Расчет_аналитики'!BC3495)=0,24&lt;='01_Вводные'!$B$297),0,('19_Расчет_аналитики'!BC3467-'19_Расчет_аналитики'!BC3495)*IF('01_Вводные'!$B$239="Да",MeanMinAge24+'19_Расчет_аналитики'!BC3596*SUMIF(ThresholdAge24,"&lt;"&amp;'19_Расчет_аналитики'!BC3596,WeightedRevAge24)-SUMIF(ThresholdAge24,"&lt;"&amp;'19_Расчет_аналитики'!BC3596,WeightedMinAge24),MAX(CapacityAge24*'01_Вводные'!$B$218*'19_Расчет_аналитики'!BC3596,MeanMinAge24))),0)</f>
        <v/>
      </c>
      <c r="BD3551">
        <f>IF('01_Вводные'!$B$234="Да",IF(OR(('19_Расчет_аналитики'!BD3467-'19_Расчет_аналитики'!BD3495)=0,24&lt;='01_Вводные'!$B$297),0,('19_Расчет_аналитики'!BD3467-'19_Расчет_аналитики'!BD3495)*IF('01_Вводные'!$B$239="Да",MeanMinAge24+'19_Расчет_аналитики'!BD3596*SUMIF(ThresholdAge24,"&lt;"&amp;'19_Расчет_аналитики'!BD3596,WeightedRevAge24)-SUMIF(ThresholdAge24,"&lt;"&amp;'19_Расчет_аналитики'!BD3596,WeightedMinAge24),MAX(CapacityAge24*'01_Вводные'!$B$218*'19_Расчет_аналитики'!BD3596,MeanMinAge24))),0)</f>
        <v/>
      </c>
      <c r="BE3551">
        <f>IF('01_Вводные'!$B$234="Да",IF(OR(('19_Расчет_аналитики'!BE3467-'19_Расчет_аналитики'!BE3495)=0,24&lt;='01_Вводные'!$B$297),0,('19_Расчет_аналитики'!BE3467-'19_Расчет_аналитики'!BE3495)*IF('01_Вводные'!$B$239="Да",MeanMinAge24+'19_Расчет_аналитики'!BE3596*SUMIF(ThresholdAge24,"&lt;"&amp;'19_Расчет_аналитики'!BE3596,WeightedRevAge24)-SUMIF(ThresholdAge24,"&lt;"&amp;'19_Расчет_аналитики'!BE3596,WeightedMinAge24),MAX(CapacityAge24*'01_Вводные'!$B$218*'19_Расчет_аналитики'!BE3596,MeanMinAge24))),0)</f>
        <v/>
      </c>
      <c r="BF3551">
        <f>IF('01_Вводные'!$B$234="Да",IF(OR(('19_Расчет_аналитики'!BF3467-'19_Расчет_аналитики'!BF3495)=0,24&lt;='01_Вводные'!$B$297),0,('19_Расчет_аналитики'!BF3467-'19_Расчет_аналитики'!BF3495)*IF('01_Вводные'!$B$239="Да",MeanMinAge24+'19_Расчет_аналитики'!BF3596*SUMIF(ThresholdAge24,"&lt;"&amp;'19_Расчет_аналитики'!BF3596,WeightedRevAge24)-SUMIF(ThresholdAge24,"&lt;"&amp;'19_Расчет_аналитики'!BF3596,WeightedMinAge24),MAX(CapacityAge24*'01_Вводные'!$B$218*'19_Расчет_аналитики'!BF3596,MeanMinAge24))),0)</f>
        <v/>
      </c>
      <c r="BG3551">
        <f>IF('01_Вводные'!$B$234="Да",IF(OR(('19_Расчет_аналитики'!BG3467-'19_Расчет_аналитики'!BG3495)=0,24&lt;='01_Вводные'!$B$297),0,('19_Расчет_аналитики'!BG3467-'19_Расчет_аналитики'!BG3495)*IF('01_Вводные'!$B$239="Да",MeanMinAge24+'19_Расчет_аналитики'!BG3596*SUMIF(ThresholdAge24,"&lt;"&amp;'19_Расчет_аналитики'!BG3596,WeightedRevAge24)-SUMIF(ThresholdAge24,"&lt;"&amp;'19_Расчет_аналитики'!BG3596,WeightedMinAge24),MAX(CapacityAge24*'01_Вводные'!$B$218*'19_Расчет_аналитики'!BG3596,MeanMinAge24))),0)</f>
        <v/>
      </c>
      <c r="BH3551">
        <f>IF('01_Вводные'!$B$234="Да",IF(OR(('19_Расчет_аналитики'!BH3467-'19_Расчет_аналитики'!BH3495)=0,24&lt;='01_Вводные'!$B$297),0,('19_Расчет_аналитики'!BH3467-'19_Расчет_аналитики'!BH3495)*IF('01_Вводные'!$B$239="Да",MeanMinAge24+'19_Расчет_аналитики'!BH3596*SUMIF(ThresholdAge24,"&lt;"&amp;'19_Расчет_аналитики'!BH3596,WeightedRevAge24)-SUMIF(ThresholdAge24,"&lt;"&amp;'19_Расчет_аналитики'!BH3596,WeightedMinAge24),MAX(CapacityAge24*'01_Вводные'!$B$218*'19_Расчет_аналитики'!BH3596,MeanMinAge24))),0)</f>
        <v/>
      </c>
      <c r="BI3551">
        <f>IF('01_Вводные'!$B$234="Да",IF(OR(('19_Расчет_аналитики'!BI3467-'19_Расчет_аналитики'!BI3495)=0,24&lt;='01_Вводные'!$B$297),0,('19_Расчет_аналитики'!BI3467-'19_Расчет_аналитики'!BI3495)*IF('01_Вводные'!$B$239="Да",MeanMinAge24+'19_Расчет_аналитики'!BI3596*SUMIF(ThresholdAge24,"&lt;"&amp;'19_Расчет_аналитики'!BI3596,WeightedRevAge24)-SUMIF(ThresholdAge24,"&lt;"&amp;'19_Расчет_аналитики'!BI3596,WeightedMinAge24),MAX(CapacityAge24*'01_Вводные'!$B$218*'19_Расчет_аналитики'!BI3596,MeanMinAge24))),0)</f>
        <v/>
      </c>
      <c r="BJ3551">
        <f>IF('01_Вводные'!$B$234="Да",IF(OR(('19_Расчет_аналитики'!BJ3467-'19_Расчет_аналитики'!BJ3495)=0,24&lt;='01_Вводные'!$B$297),0,('19_Расчет_аналитики'!BJ3467-'19_Расчет_аналитики'!BJ3495)*IF('01_Вводные'!$B$239="Да",MeanMinAge24+'19_Расчет_аналитики'!BJ3596*SUMIF(ThresholdAge24,"&lt;"&amp;'19_Расчет_аналитики'!BJ3596,WeightedRevAge24)-SUMIF(ThresholdAge24,"&lt;"&amp;'19_Расчет_аналитики'!BJ3596,WeightedMinAge24),MAX(CapacityAge24*'01_Вводные'!$B$218*'19_Расчет_аналитики'!BJ3596,MeanMinAge24))),0)</f>
        <v/>
      </c>
      <c r="BK3551">
        <f>IF('01_Вводные'!$B$234="Да",IF(OR(('19_Расчет_аналитики'!BK3467-'19_Расчет_аналитики'!BK3495)=0,24&lt;='01_Вводные'!$B$297),0,('19_Расчет_аналитики'!BK3467-'19_Расчет_аналитики'!BK3495)*IF('01_Вводные'!$B$239="Да",MeanMinAge24+'19_Расчет_аналитики'!BK3596*SUMIF(ThresholdAge24,"&lt;"&amp;'19_Расчет_аналитики'!BK3596,WeightedRevAge24)-SUMIF(ThresholdAge24,"&lt;"&amp;'19_Расчет_аналитики'!BK3596,WeightedMinAge24),MAX(CapacityAge24*'01_Вводные'!$B$218*'19_Расчет_аналитики'!BK3596,MeanMinAge24))),0)</f>
        <v/>
      </c>
      <c r="BL3551">
        <f>IF('01_Вводные'!$B$234="Да",IF(OR(('19_Расчет_аналитики'!BL3467-'19_Расчет_аналитики'!BL3495)=0,24&lt;='01_Вводные'!$B$297),0,('19_Расчет_аналитики'!BL3467-'19_Расчет_аналитики'!BL3495)*IF('01_Вводные'!$B$239="Да",MeanMinAge24+'19_Расчет_аналитики'!BL3596*SUMIF(ThresholdAge24,"&lt;"&amp;'19_Расчет_аналитики'!BL3596,WeightedRevAge24)-SUMIF(ThresholdAge24,"&lt;"&amp;'19_Расчет_аналитики'!BL3596,WeightedMinAge24),MAX(CapacityAge24*'01_Вводные'!$B$218*'19_Расчет_аналитики'!BL3596,MeanMinAge24))),0)</f>
        <v/>
      </c>
      <c r="BM3551">
        <f>IF('01_Вводные'!$B$234="Да",IF(OR(('19_Расчет_аналитики'!BM3467-'19_Расчет_аналитики'!BM3495)=0,24&lt;='01_Вводные'!$B$297),0,('19_Расчет_аналитики'!BM3467-'19_Расчет_аналитики'!BM3495)*IF('01_Вводные'!$B$239="Да",MeanMinAge24+'19_Расчет_аналитики'!BM3596*SUMIF(ThresholdAge24,"&lt;"&amp;'19_Расчет_аналитики'!BM3596,WeightedRevAge24)-SUMIF(ThresholdAge24,"&lt;"&amp;'19_Расчет_аналитики'!BM3596,WeightedMinAge24),MAX(CapacityAge24*'01_Вводные'!$B$218*'19_Расчет_аналитики'!BM3596,MeanMinAge24))),0)</f>
        <v/>
      </c>
      <c r="BN3551">
        <f>IF('01_Вводные'!$B$234="Да",IF(OR(('19_Расчет_аналитики'!BN3467-'19_Расчет_аналитики'!BN3495)=0,24&lt;='01_Вводные'!$B$297),0,('19_Расчет_аналитики'!BN3467-'19_Расчет_аналитики'!BN3495)*IF('01_Вводные'!$B$239="Да",MeanMinAge24+'19_Расчет_аналитики'!BN3596*SUMIF(ThresholdAge24,"&lt;"&amp;'19_Расчет_аналитики'!BN3596,WeightedRevAge24)-SUMIF(ThresholdAge24,"&lt;"&amp;'19_Расчет_аналитики'!BN3596,WeightedMinAge24),MAX(CapacityAge24*'01_Вводные'!$B$218*'19_Расчет_аналитики'!BN3596,MeanMinAge24))),0)</f>
        <v/>
      </c>
      <c r="BO3551">
        <f>IF('01_Вводные'!$B$234="Да",IF(OR(('19_Расчет_аналитики'!BO3467-'19_Расчет_аналитики'!BO3495)=0,24&lt;='01_Вводные'!$B$297),0,('19_Расчет_аналитики'!BO3467-'19_Расчет_аналитики'!BO3495)*IF('01_Вводные'!$B$239="Да",MeanMinAge24+'19_Расчет_аналитики'!BO3596*SUMIF(ThresholdAge24,"&lt;"&amp;'19_Расчет_аналитики'!BO3596,WeightedRevAge24)-SUMIF(ThresholdAge24,"&lt;"&amp;'19_Расчет_аналитики'!BO3596,WeightedMinAge24),MAX(CapacityAge24*'01_Вводные'!$B$218*'19_Расчет_аналитики'!BO3596,MeanMinAge24))),0)</f>
        <v/>
      </c>
    </row>
    <row r="3552">
      <c r="B3552">
        <f>IF('01_Вводные'!$B$234="Да",IF(OR(('06_Сеть_и_дети'!B77-'06_Сеть_и_дети'!B105)=0,25&lt;='01_Вводные'!$B$297),0,('06_Сеть_и_дети'!B77-'06_Сеть_и_дети'!B105)*IF('01_Вводные'!$B$239="Да",MeanMinAge25+'19_Расчет_аналитики'!B3596*SUMIF(ThresholdAge25,"&lt;"&amp;'19_Расчет_аналитики'!B3596,WeightedRevAge25)-SUMIF(ThresholdAge25,"&lt;"&amp;'19_Расчет_аналитики'!B3596,WeightedMinAge25),MAX(CapacityAge25*'01_Вводные'!$B$218*'19_Расчет_аналитики'!B3596,MeanMinAge25))),0)</f>
        <v/>
      </c>
      <c r="C3552">
        <f>IF('01_Вводные'!$B$234="Да",IF(OR(('06_Сеть_и_дети'!C77-'06_Сеть_и_дети'!C105)=0,25&lt;='01_Вводные'!$B$297),0,('06_Сеть_и_дети'!C77-'06_Сеть_и_дети'!C105)*IF('01_Вводные'!$B$239="Да",MeanMinAge25+'19_Расчет_аналитики'!C3596*SUMIF(ThresholdAge25,"&lt;"&amp;'19_Расчет_аналитики'!C3596,WeightedRevAge25)-SUMIF(ThresholdAge25,"&lt;"&amp;'19_Расчет_аналитики'!C3596,WeightedMinAge25),MAX(CapacityAge25*'01_Вводные'!$B$218*'19_Расчет_аналитики'!C3596,MeanMinAge25))),0)</f>
        <v/>
      </c>
      <c r="D3552">
        <f>IF('01_Вводные'!$B$234="Да",IF(OR(('06_Сеть_и_дети'!D77-'06_Сеть_и_дети'!D105)=0,25&lt;='01_Вводные'!$B$297),0,('06_Сеть_и_дети'!D77-'06_Сеть_и_дети'!D105)*IF('01_Вводные'!$B$239="Да",MeanMinAge25+'19_Расчет_аналитики'!D3596*SUMIF(ThresholdAge25,"&lt;"&amp;'19_Расчет_аналитики'!D3596,WeightedRevAge25)-SUMIF(ThresholdAge25,"&lt;"&amp;'19_Расчет_аналитики'!D3596,WeightedMinAge25),MAX(CapacityAge25*'01_Вводные'!$B$218*'19_Расчет_аналитики'!D3596,MeanMinAge25))),0)</f>
        <v/>
      </c>
      <c r="E3552">
        <f>IF('01_Вводные'!$B$234="Да",IF(OR(('06_Сеть_и_дети'!E77-'06_Сеть_и_дети'!E105)=0,25&lt;='01_Вводные'!$B$297),0,('06_Сеть_и_дети'!E77-'06_Сеть_и_дети'!E105)*IF('01_Вводные'!$B$239="Да",MeanMinAge25+'19_Расчет_аналитики'!E3596*SUMIF(ThresholdAge25,"&lt;"&amp;'19_Расчет_аналитики'!E3596,WeightedRevAge25)-SUMIF(ThresholdAge25,"&lt;"&amp;'19_Расчет_аналитики'!E3596,WeightedMinAge25),MAX(CapacityAge25*'01_Вводные'!$B$218*'19_Расчет_аналитики'!E3596,MeanMinAge25))),0)</f>
        <v/>
      </c>
      <c r="F3552">
        <f>IF('01_Вводные'!$B$234="Да",IF(OR(('06_Сеть_и_дети'!F77-'06_Сеть_и_дети'!F105)=0,25&lt;='01_Вводные'!$B$297),0,('06_Сеть_и_дети'!F77-'06_Сеть_и_дети'!F105)*IF('01_Вводные'!$B$239="Да",MeanMinAge25+'19_Расчет_аналитики'!F3596*SUMIF(ThresholdAge25,"&lt;"&amp;'19_Расчет_аналитики'!F3596,WeightedRevAge25)-SUMIF(ThresholdAge25,"&lt;"&amp;'19_Расчет_аналитики'!F3596,WeightedMinAge25),MAX(CapacityAge25*'01_Вводные'!$B$218*'19_Расчет_аналитики'!F3596,MeanMinAge25))),0)</f>
        <v/>
      </c>
      <c r="G3552">
        <f>IF('01_Вводные'!$B$234="Да",IF(OR(('06_Сеть_и_дети'!G77-'06_Сеть_и_дети'!G105)=0,25&lt;='01_Вводные'!$B$297),0,('06_Сеть_и_дети'!G77-'06_Сеть_и_дети'!G105)*IF('01_Вводные'!$B$239="Да",MeanMinAge25+'19_Расчет_аналитики'!G3596*SUMIF(ThresholdAge25,"&lt;"&amp;'19_Расчет_аналитики'!G3596,WeightedRevAge25)-SUMIF(ThresholdAge25,"&lt;"&amp;'19_Расчет_аналитики'!G3596,WeightedMinAge25),MAX(CapacityAge25*'01_Вводные'!$B$218*'19_Расчет_аналитики'!G3596,MeanMinAge25))),0)</f>
        <v/>
      </c>
      <c r="H3552">
        <f>IF('01_Вводные'!$B$234="Да",IF(OR(('06_Сеть_и_дети'!H77-'06_Сеть_и_дети'!H105)=0,25&lt;='01_Вводные'!$B$297),0,('06_Сеть_и_дети'!H77-'06_Сеть_и_дети'!H105)*IF('01_Вводные'!$B$239="Да",MeanMinAge25+'19_Расчет_аналитики'!H3596*SUMIF(ThresholdAge25,"&lt;"&amp;'19_Расчет_аналитики'!H3596,WeightedRevAge25)-SUMIF(ThresholdAge25,"&lt;"&amp;'19_Расчет_аналитики'!H3596,WeightedMinAge25),MAX(CapacityAge25*'01_Вводные'!$B$218*'19_Расчет_аналитики'!H3596,MeanMinAge25))),0)</f>
        <v/>
      </c>
      <c r="I3552">
        <f>IF('01_Вводные'!$B$234="Да",IF(OR(('06_Сеть_и_дети'!I77-'06_Сеть_и_дети'!I105)=0,25&lt;='01_Вводные'!$B$297),0,('06_Сеть_и_дети'!I77-'06_Сеть_и_дети'!I105)*IF('01_Вводные'!$B$239="Да",MeanMinAge25+'19_Расчет_аналитики'!I3596*SUMIF(ThresholdAge25,"&lt;"&amp;'19_Расчет_аналитики'!I3596,WeightedRevAge25)-SUMIF(ThresholdAge25,"&lt;"&amp;'19_Расчет_аналитики'!I3596,WeightedMinAge25),MAX(CapacityAge25*'01_Вводные'!$B$218*'19_Расчет_аналитики'!I3596,MeanMinAge25))),0)</f>
        <v/>
      </c>
      <c r="J3552">
        <f>IF('01_Вводные'!$B$234="Да",IF(OR(('06_Сеть_и_дети'!J77-'06_Сеть_и_дети'!J105)=0,25&lt;='01_Вводные'!$B$297),0,('06_Сеть_и_дети'!J77-'06_Сеть_и_дети'!J105)*IF('01_Вводные'!$B$239="Да",MeanMinAge25+'19_Расчет_аналитики'!J3596*SUMIF(ThresholdAge25,"&lt;"&amp;'19_Расчет_аналитики'!J3596,WeightedRevAge25)-SUMIF(ThresholdAge25,"&lt;"&amp;'19_Расчет_аналитики'!J3596,WeightedMinAge25),MAX(CapacityAge25*'01_Вводные'!$B$218*'19_Расчет_аналитики'!J3596,MeanMinAge25))),0)</f>
        <v/>
      </c>
      <c r="K3552">
        <f>IF('01_Вводные'!$B$234="Да",IF(OR(('06_Сеть_и_дети'!K77-'06_Сеть_и_дети'!K105)=0,25&lt;='01_Вводные'!$B$297),0,('06_Сеть_и_дети'!K77-'06_Сеть_и_дети'!K105)*IF('01_Вводные'!$B$239="Да",MeanMinAge25+'19_Расчет_аналитики'!K3596*SUMIF(ThresholdAge25,"&lt;"&amp;'19_Расчет_аналитики'!K3596,WeightedRevAge25)-SUMIF(ThresholdAge25,"&lt;"&amp;'19_Расчет_аналитики'!K3596,WeightedMinAge25),MAX(CapacityAge25*'01_Вводные'!$B$218*'19_Расчет_аналитики'!K3596,MeanMinAge25))),0)</f>
        <v/>
      </c>
      <c r="L3552">
        <f>IF('01_Вводные'!$B$234="Да",IF(OR(('06_Сеть_и_дети'!L77-'06_Сеть_и_дети'!L105)=0,25&lt;='01_Вводные'!$B$297),0,('06_Сеть_и_дети'!L77-'06_Сеть_и_дети'!L105)*IF('01_Вводные'!$B$239="Да",MeanMinAge25+'19_Расчет_аналитики'!L3596*SUMIF(ThresholdAge25,"&lt;"&amp;'19_Расчет_аналитики'!L3596,WeightedRevAge25)-SUMIF(ThresholdAge25,"&lt;"&amp;'19_Расчет_аналитики'!L3596,WeightedMinAge25),MAX(CapacityAge25*'01_Вводные'!$B$218*'19_Расчет_аналитики'!L3596,MeanMinAge25))),0)</f>
        <v/>
      </c>
      <c r="M3552">
        <f>IF('01_Вводные'!$B$234="Да",IF(OR(('06_Сеть_и_дети'!M77-'06_Сеть_и_дети'!M105)=0,25&lt;='01_Вводные'!$B$297),0,('06_Сеть_и_дети'!M77-'06_Сеть_и_дети'!M105)*IF('01_Вводные'!$B$239="Да",MeanMinAge25+'19_Расчет_аналитики'!M3596*SUMIF(ThresholdAge25,"&lt;"&amp;'19_Расчет_аналитики'!M3596,WeightedRevAge25)-SUMIF(ThresholdAge25,"&lt;"&amp;'19_Расчет_аналитики'!M3596,WeightedMinAge25),MAX(CapacityAge25*'01_Вводные'!$B$218*'19_Расчет_аналитики'!M3596,MeanMinAge25))),0)</f>
        <v/>
      </c>
      <c r="N3552">
        <f>IF('01_Вводные'!$B$234="Да",IF(OR(('06_Сеть_и_дети'!N77-'06_Сеть_и_дети'!N105)=0,25&lt;='01_Вводные'!$B$297),0,('06_Сеть_и_дети'!N77-'06_Сеть_и_дети'!N105)*IF('01_Вводные'!$B$239="Да",MeanMinAge25+'19_Расчет_аналитики'!N3596*SUMIF(ThresholdAge25,"&lt;"&amp;'19_Расчет_аналитики'!N3596,WeightedRevAge25)-SUMIF(ThresholdAge25,"&lt;"&amp;'19_Расчет_аналитики'!N3596,WeightedMinAge25),MAX(CapacityAge25*'01_Вводные'!$B$218*'19_Расчет_аналитики'!N3596,MeanMinAge25))),0)</f>
        <v/>
      </c>
      <c r="O3552">
        <f>IF('01_Вводные'!$B$234="Да",IF(OR(('06_Сеть_и_дети'!O77-'06_Сеть_и_дети'!O105)=0,25&lt;='01_Вводные'!$B$297),0,('06_Сеть_и_дети'!O77-'06_Сеть_и_дети'!O105)*IF('01_Вводные'!$B$239="Да",MeanMinAge25+'19_Расчет_аналитики'!O3596*SUMIF(ThresholdAge25,"&lt;"&amp;'19_Расчет_аналитики'!O3596,WeightedRevAge25)-SUMIF(ThresholdAge25,"&lt;"&amp;'19_Расчет_аналитики'!O3596,WeightedMinAge25),MAX(CapacityAge25*'01_Вводные'!$B$218*'19_Расчет_аналитики'!O3596,MeanMinAge25))),0)</f>
        <v/>
      </c>
      <c r="P3552">
        <f>IF('01_Вводные'!$B$234="Да",IF(OR(('06_Сеть_и_дети'!P77-'06_Сеть_и_дети'!P105)=0,25&lt;='01_Вводные'!$B$297),0,('06_Сеть_и_дети'!P77-'06_Сеть_и_дети'!P105)*IF('01_Вводные'!$B$239="Да",MeanMinAge25+'19_Расчет_аналитики'!P3596*SUMIF(ThresholdAge25,"&lt;"&amp;'19_Расчет_аналитики'!P3596,WeightedRevAge25)-SUMIF(ThresholdAge25,"&lt;"&amp;'19_Расчет_аналитики'!P3596,WeightedMinAge25),MAX(CapacityAge25*'01_Вводные'!$B$218*'19_Расчет_аналитики'!P3596,MeanMinAge25))),0)</f>
        <v/>
      </c>
      <c r="Q3552">
        <f>IF('01_Вводные'!$B$234="Да",IF(OR(('06_Сеть_и_дети'!Q77-'06_Сеть_и_дети'!Q105)=0,25&lt;='01_Вводные'!$B$297),0,('06_Сеть_и_дети'!Q77-'06_Сеть_и_дети'!Q105)*IF('01_Вводные'!$B$239="Да",MeanMinAge25+'19_Расчет_аналитики'!Q3596*SUMIF(ThresholdAge25,"&lt;"&amp;'19_Расчет_аналитики'!Q3596,WeightedRevAge25)-SUMIF(ThresholdAge25,"&lt;"&amp;'19_Расчет_аналитики'!Q3596,WeightedMinAge25),MAX(CapacityAge25*'01_Вводные'!$B$218*'19_Расчет_аналитики'!Q3596,MeanMinAge25))),0)</f>
        <v/>
      </c>
      <c r="R3552">
        <f>IF('01_Вводные'!$B$234="Да",IF(OR(('06_Сеть_и_дети'!R77-'06_Сеть_и_дети'!R105)=0,25&lt;='01_Вводные'!$B$297),0,('06_Сеть_и_дети'!R77-'06_Сеть_и_дети'!R105)*IF('01_Вводные'!$B$239="Да",MeanMinAge25+'19_Расчет_аналитики'!R3596*SUMIF(ThresholdAge25,"&lt;"&amp;'19_Расчет_аналитики'!R3596,WeightedRevAge25)-SUMIF(ThresholdAge25,"&lt;"&amp;'19_Расчет_аналитики'!R3596,WeightedMinAge25),MAX(CapacityAge25*'01_Вводные'!$B$218*'19_Расчет_аналитики'!R3596,MeanMinAge25))),0)</f>
        <v/>
      </c>
      <c r="S3552">
        <f>IF('01_Вводные'!$B$234="Да",IF(OR(('06_Сеть_и_дети'!S77-'06_Сеть_и_дети'!S105)=0,25&lt;='01_Вводные'!$B$297),0,('06_Сеть_и_дети'!S77-'06_Сеть_и_дети'!S105)*IF('01_Вводные'!$B$239="Да",MeanMinAge25+'19_Расчет_аналитики'!S3596*SUMIF(ThresholdAge25,"&lt;"&amp;'19_Расчет_аналитики'!S3596,WeightedRevAge25)-SUMIF(ThresholdAge25,"&lt;"&amp;'19_Расчет_аналитики'!S3596,WeightedMinAge25),MAX(CapacityAge25*'01_Вводные'!$B$218*'19_Расчет_аналитики'!S3596,MeanMinAge25))),0)</f>
        <v/>
      </c>
      <c r="T3552">
        <f>IF('01_Вводные'!$B$234="Да",IF(OR(('06_Сеть_и_дети'!T77-'06_Сеть_и_дети'!T105)=0,25&lt;='01_Вводные'!$B$297),0,('06_Сеть_и_дети'!T77-'06_Сеть_и_дети'!T105)*IF('01_Вводные'!$B$239="Да",MeanMinAge25+'19_Расчет_аналитики'!T3596*SUMIF(ThresholdAge25,"&lt;"&amp;'19_Расчет_аналитики'!T3596,WeightedRevAge25)-SUMIF(ThresholdAge25,"&lt;"&amp;'19_Расчет_аналитики'!T3596,WeightedMinAge25),MAX(CapacityAge25*'01_Вводные'!$B$218*'19_Расчет_аналитики'!T3596,MeanMinAge25))),0)</f>
        <v/>
      </c>
      <c r="U3552">
        <f>IF('01_Вводные'!$B$234="Да",IF(OR(('06_Сеть_и_дети'!U77-'06_Сеть_и_дети'!U105)=0,25&lt;='01_Вводные'!$B$297),0,('06_Сеть_и_дети'!U77-'06_Сеть_и_дети'!U105)*IF('01_Вводные'!$B$239="Да",MeanMinAge25+'19_Расчет_аналитики'!U3596*SUMIF(ThresholdAge25,"&lt;"&amp;'19_Расчет_аналитики'!U3596,WeightedRevAge25)-SUMIF(ThresholdAge25,"&lt;"&amp;'19_Расчет_аналитики'!U3596,WeightedMinAge25),MAX(CapacityAge25*'01_Вводные'!$B$218*'19_Расчет_аналитики'!U3596,MeanMinAge25))),0)</f>
        <v/>
      </c>
      <c r="V3552">
        <f>IF('01_Вводные'!$B$234="Да",IF(OR(('06_Сеть_и_дети'!V77-'06_Сеть_и_дети'!V105)=0,25&lt;='01_Вводные'!$B$297),0,('06_Сеть_и_дети'!V77-'06_Сеть_и_дети'!V105)*IF('01_Вводные'!$B$239="Да",MeanMinAge25+'19_Расчет_аналитики'!V3596*SUMIF(ThresholdAge25,"&lt;"&amp;'19_Расчет_аналитики'!V3596,WeightedRevAge25)-SUMIF(ThresholdAge25,"&lt;"&amp;'19_Расчет_аналитики'!V3596,WeightedMinAge25),MAX(CapacityAge25*'01_Вводные'!$B$218*'19_Расчет_аналитики'!V3596,MeanMinAge25))),0)</f>
        <v/>
      </c>
      <c r="W3552">
        <f>IF('01_Вводные'!$B$234="Да",IF(OR(('06_Сеть_и_дети'!W77-'06_Сеть_и_дети'!W105)=0,25&lt;='01_Вводные'!$B$297),0,('06_Сеть_и_дети'!W77-'06_Сеть_и_дети'!W105)*IF('01_Вводные'!$B$239="Да",MeanMinAge25+'19_Расчет_аналитики'!W3596*SUMIF(ThresholdAge25,"&lt;"&amp;'19_Расчет_аналитики'!W3596,WeightedRevAge25)-SUMIF(ThresholdAge25,"&lt;"&amp;'19_Расчет_аналитики'!W3596,WeightedMinAge25),MAX(CapacityAge25*'01_Вводные'!$B$218*'19_Расчет_аналитики'!W3596,MeanMinAge25))),0)</f>
        <v/>
      </c>
      <c r="X3552">
        <f>IF('01_Вводные'!$B$234="Да",IF(OR(('06_Сеть_и_дети'!X77-'06_Сеть_и_дети'!X105)=0,25&lt;='01_Вводные'!$B$297),0,('06_Сеть_и_дети'!X77-'06_Сеть_и_дети'!X105)*IF('01_Вводные'!$B$239="Да",MeanMinAge25+'19_Расчет_аналитики'!X3596*SUMIF(ThresholdAge25,"&lt;"&amp;'19_Расчет_аналитики'!X3596,WeightedRevAge25)-SUMIF(ThresholdAge25,"&lt;"&amp;'19_Расчет_аналитики'!X3596,WeightedMinAge25),MAX(CapacityAge25*'01_Вводные'!$B$218*'19_Расчет_аналитики'!X3596,MeanMinAge25))),0)</f>
        <v/>
      </c>
      <c r="Y3552">
        <f>IF('01_Вводные'!$B$234="Да",IF(OR(('06_Сеть_и_дети'!Y77-'06_Сеть_и_дети'!Y105)=0,25&lt;='01_Вводные'!$B$297),0,('06_Сеть_и_дети'!Y77-'06_Сеть_и_дети'!Y105)*IF('01_Вводные'!$B$239="Да",MeanMinAge25+'19_Расчет_аналитики'!Y3596*SUMIF(ThresholdAge25,"&lt;"&amp;'19_Расчет_аналитики'!Y3596,WeightedRevAge25)-SUMIF(ThresholdAge25,"&lt;"&amp;'19_Расчет_аналитики'!Y3596,WeightedMinAge25),MAX(CapacityAge25*'01_Вводные'!$B$218*'19_Расчет_аналитики'!Y3596,MeanMinAge25))),0)</f>
        <v/>
      </c>
      <c r="Z3552">
        <f>IF('01_Вводные'!$B$234="Да",IF(OR(('19_Расчет_аналитики'!Z3468-'19_Расчет_аналитики'!Z3496)=0,25&lt;='01_Вводные'!$B$297),0,('19_Расчет_аналитики'!Z3468-'19_Расчет_аналитики'!Z3496)*IF('01_Вводные'!$B$239="Да",MeanMinAge25+'19_Расчет_аналитики'!Z3596*SUMIF(ThresholdAge25,"&lt;"&amp;'19_Расчет_аналитики'!Z3596,WeightedRevAge25)-SUMIF(ThresholdAge25,"&lt;"&amp;'19_Расчет_аналитики'!Z3596,WeightedMinAge25),MAX(CapacityAge25*'01_Вводные'!$B$218*'19_Расчет_аналитики'!Z3596,MeanMinAge25))),0)</f>
        <v/>
      </c>
      <c r="AA3552">
        <f>IF('01_Вводные'!$B$234="Да",IF(OR(('19_Расчет_аналитики'!AA3468-'19_Расчет_аналитики'!AA3496)=0,25&lt;='01_Вводные'!$B$297),0,('19_Расчет_аналитики'!AA3468-'19_Расчет_аналитики'!AA3496)*IF('01_Вводные'!$B$239="Да",MeanMinAge25+'19_Расчет_аналитики'!AA3596*SUMIF(ThresholdAge25,"&lt;"&amp;'19_Расчет_аналитики'!AA3596,WeightedRevAge25)-SUMIF(ThresholdAge25,"&lt;"&amp;'19_Расчет_аналитики'!AA3596,WeightedMinAge25),MAX(CapacityAge25*'01_Вводные'!$B$218*'19_Расчет_аналитики'!AA3596,MeanMinAge25))),0)</f>
        <v/>
      </c>
      <c r="AB3552">
        <f>IF('01_Вводные'!$B$234="Да",IF(OR(('19_Расчет_аналитики'!AB3468-'19_Расчет_аналитики'!AB3496)=0,25&lt;='01_Вводные'!$B$297),0,('19_Расчет_аналитики'!AB3468-'19_Расчет_аналитики'!AB3496)*IF('01_Вводные'!$B$239="Да",MeanMinAge25+'19_Расчет_аналитики'!AB3596*SUMIF(ThresholdAge25,"&lt;"&amp;'19_Расчет_аналитики'!AB3596,WeightedRevAge25)-SUMIF(ThresholdAge25,"&lt;"&amp;'19_Расчет_аналитики'!AB3596,WeightedMinAge25),MAX(CapacityAge25*'01_Вводные'!$B$218*'19_Расчет_аналитики'!AB3596,MeanMinAge25))),0)</f>
        <v/>
      </c>
      <c r="AC3552">
        <f>IF('01_Вводные'!$B$234="Да",IF(OR(('19_Расчет_аналитики'!AC3468-'19_Расчет_аналитики'!AC3496)=0,25&lt;='01_Вводные'!$B$297),0,('19_Расчет_аналитики'!AC3468-'19_Расчет_аналитики'!AC3496)*IF('01_Вводные'!$B$239="Да",MeanMinAge25+'19_Расчет_аналитики'!AC3596*SUMIF(ThresholdAge25,"&lt;"&amp;'19_Расчет_аналитики'!AC3596,WeightedRevAge25)-SUMIF(ThresholdAge25,"&lt;"&amp;'19_Расчет_аналитики'!AC3596,WeightedMinAge25),MAX(CapacityAge25*'01_Вводные'!$B$218*'19_Расчет_аналитики'!AC3596,MeanMinAge25))),0)</f>
        <v/>
      </c>
      <c r="AD3552">
        <f>IF('01_Вводные'!$B$234="Да",IF(OR(('19_Расчет_аналитики'!AD3468-'19_Расчет_аналитики'!AD3496)=0,25&lt;='01_Вводные'!$B$297),0,('19_Расчет_аналитики'!AD3468-'19_Расчет_аналитики'!AD3496)*IF('01_Вводные'!$B$239="Да",MeanMinAge25+'19_Расчет_аналитики'!AD3596*SUMIF(ThresholdAge25,"&lt;"&amp;'19_Расчет_аналитики'!AD3596,WeightedRevAge25)-SUMIF(ThresholdAge25,"&lt;"&amp;'19_Расчет_аналитики'!AD3596,WeightedMinAge25),MAX(CapacityAge25*'01_Вводные'!$B$218*'19_Расчет_аналитики'!AD3596,MeanMinAge25))),0)</f>
        <v/>
      </c>
      <c r="AE3552">
        <f>IF('01_Вводные'!$B$234="Да",IF(OR(('19_Расчет_аналитики'!AE3468-'19_Расчет_аналитики'!AE3496)=0,25&lt;='01_Вводные'!$B$297),0,('19_Расчет_аналитики'!AE3468-'19_Расчет_аналитики'!AE3496)*IF('01_Вводные'!$B$239="Да",MeanMinAge25+'19_Расчет_аналитики'!AE3596*SUMIF(ThresholdAge25,"&lt;"&amp;'19_Расчет_аналитики'!AE3596,WeightedRevAge25)-SUMIF(ThresholdAge25,"&lt;"&amp;'19_Расчет_аналитики'!AE3596,WeightedMinAge25),MAX(CapacityAge25*'01_Вводные'!$B$218*'19_Расчет_аналитики'!AE3596,MeanMinAge25))),0)</f>
        <v/>
      </c>
      <c r="AF3552">
        <f>IF('01_Вводные'!$B$234="Да",IF(OR(('19_Расчет_аналитики'!AF3468-'19_Расчет_аналитики'!AF3496)=0,25&lt;='01_Вводные'!$B$297),0,('19_Расчет_аналитики'!AF3468-'19_Расчет_аналитики'!AF3496)*IF('01_Вводные'!$B$239="Да",MeanMinAge25+'19_Расчет_аналитики'!AF3596*SUMIF(ThresholdAge25,"&lt;"&amp;'19_Расчет_аналитики'!AF3596,WeightedRevAge25)-SUMIF(ThresholdAge25,"&lt;"&amp;'19_Расчет_аналитики'!AF3596,WeightedMinAge25),MAX(CapacityAge25*'01_Вводные'!$B$218*'19_Расчет_аналитики'!AF3596,MeanMinAge25))),0)</f>
        <v/>
      </c>
      <c r="AG3552">
        <f>IF('01_Вводные'!$B$234="Да",IF(OR(('19_Расчет_аналитики'!AG3468-'19_Расчет_аналитики'!AG3496)=0,25&lt;='01_Вводные'!$B$297),0,('19_Расчет_аналитики'!AG3468-'19_Расчет_аналитики'!AG3496)*IF('01_Вводные'!$B$239="Да",MeanMinAge25+'19_Расчет_аналитики'!AG3596*SUMIF(ThresholdAge25,"&lt;"&amp;'19_Расчет_аналитики'!AG3596,WeightedRevAge25)-SUMIF(ThresholdAge25,"&lt;"&amp;'19_Расчет_аналитики'!AG3596,WeightedMinAge25),MAX(CapacityAge25*'01_Вводные'!$B$218*'19_Расчет_аналитики'!AG3596,MeanMinAge25))),0)</f>
        <v/>
      </c>
      <c r="AH3552">
        <f>IF('01_Вводные'!$B$234="Да",IF(OR(('19_Расчет_аналитики'!AH3468-'19_Расчет_аналитики'!AH3496)=0,25&lt;='01_Вводные'!$B$297),0,('19_Расчет_аналитики'!AH3468-'19_Расчет_аналитики'!AH3496)*IF('01_Вводные'!$B$239="Да",MeanMinAge25+'19_Расчет_аналитики'!AH3596*SUMIF(ThresholdAge25,"&lt;"&amp;'19_Расчет_аналитики'!AH3596,WeightedRevAge25)-SUMIF(ThresholdAge25,"&lt;"&amp;'19_Расчет_аналитики'!AH3596,WeightedMinAge25),MAX(CapacityAge25*'01_Вводные'!$B$218*'19_Расчет_аналитики'!AH3596,MeanMinAge25))),0)</f>
        <v/>
      </c>
      <c r="AI3552">
        <f>IF('01_Вводные'!$B$234="Да",IF(OR(('19_Расчет_аналитики'!AI3468-'19_Расчет_аналитики'!AI3496)=0,25&lt;='01_Вводные'!$B$297),0,('19_Расчет_аналитики'!AI3468-'19_Расчет_аналитики'!AI3496)*IF('01_Вводные'!$B$239="Да",MeanMinAge25+'19_Расчет_аналитики'!AI3596*SUMIF(ThresholdAge25,"&lt;"&amp;'19_Расчет_аналитики'!AI3596,WeightedRevAge25)-SUMIF(ThresholdAge25,"&lt;"&amp;'19_Расчет_аналитики'!AI3596,WeightedMinAge25),MAX(CapacityAge25*'01_Вводные'!$B$218*'19_Расчет_аналитики'!AI3596,MeanMinAge25))),0)</f>
        <v/>
      </c>
      <c r="AJ3552">
        <f>IF('01_Вводные'!$B$234="Да",IF(OR(('19_Расчет_аналитики'!AJ3468-'19_Расчет_аналитики'!AJ3496)=0,25&lt;='01_Вводные'!$B$297),0,('19_Расчет_аналитики'!AJ3468-'19_Расчет_аналитики'!AJ3496)*IF('01_Вводные'!$B$239="Да",MeanMinAge25+'19_Расчет_аналитики'!AJ3596*SUMIF(ThresholdAge25,"&lt;"&amp;'19_Расчет_аналитики'!AJ3596,WeightedRevAge25)-SUMIF(ThresholdAge25,"&lt;"&amp;'19_Расчет_аналитики'!AJ3596,WeightedMinAge25),MAX(CapacityAge25*'01_Вводные'!$B$218*'19_Расчет_аналитики'!AJ3596,MeanMinAge25))),0)</f>
        <v/>
      </c>
      <c r="AK3552">
        <f>IF('01_Вводные'!$B$234="Да",IF(OR(('19_Расчет_аналитики'!AK3468-'19_Расчет_аналитики'!AK3496)=0,25&lt;='01_Вводные'!$B$297),0,('19_Расчет_аналитики'!AK3468-'19_Расчет_аналитики'!AK3496)*IF('01_Вводные'!$B$239="Да",MeanMinAge25+'19_Расчет_аналитики'!AK3596*SUMIF(ThresholdAge25,"&lt;"&amp;'19_Расчет_аналитики'!AK3596,WeightedRevAge25)-SUMIF(ThresholdAge25,"&lt;"&amp;'19_Расчет_аналитики'!AK3596,WeightedMinAge25),MAX(CapacityAge25*'01_Вводные'!$B$218*'19_Расчет_аналитики'!AK3596,MeanMinAge25))),0)</f>
        <v/>
      </c>
      <c r="AL3552">
        <f>IF('01_Вводные'!$B$234="Да",IF(OR(('19_Расчет_аналитики'!AL3468-'19_Расчет_аналитики'!AL3496)=0,25&lt;='01_Вводные'!$B$297),0,('19_Расчет_аналитики'!AL3468-'19_Расчет_аналитики'!AL3496)*IF('01_Вводные'!$B$239="Да",MeanMinAge25+'19_Расчет_аналитики'!AL3596*SUMIF(ThresholdAge25,"&lt;"&amp;'19_Расчет_аналитики'!AL3596,WeightedRevAge25)-SUMIF(ThresholdAge25,"&lt;"&amp;'19_Расчет_аналитики'!AL3596,WeightedMinAge25),MAX(CapacityAge25*'01_Вводные'!$B$218*'19_Расчет_аналитики'!AL3596,MeanMinAge25))),0)</f>
        <v/>
      </c>
      <c r="AM3552">
        <f>IF('01_Вводные'!$B$234="Да",IF(OR(('19_Расчет_аналитики'!AM3468-'19_Расчет_аналитики'!AM3496)=0,25&lt;='01_Вводные'!$B$297),0,('19_Расчет_аналитики'!AM3468-'19_Расчет_аналитики'!AM3496)*IF('01_Вводные'!$B$239="Да",MeanMinAge25+'19_Расчет_аналитики'!AM3596*SUMIF(ThresholdAge25,"&lt;"&amp;'19_Расчет_аналитики'!AM3596,WeightedRevAge25)-SUMIF(ThresholdAge25,"&lt;"&amp;'19_Расчет_аналитики'!AM3596,WeightedMinAge25),MAX(CapacityAge25*'01_Вводные'!$B$218*'19_Расчет_аналитики'!AM3596,MeanMinAge25))),0)</f>
        <v/>
      </c>
      <c r="AN3552">
        <f>IF('01_Вводные'!$B$234="Да",IF(OR(('19_Расчет_аналитики'!AN3468-'19_Расчет_аналитики'!AN3496)=0,25&lt;='01_Вводные'!$B$297),0,('19_Расчет_аналитики'!AN3468-'19_Расчет_аналитики'!AN3496)*IF('01_Вводные'!$B$239="Да",MeanMinAge25+'19_Расчет_аналитики'!AN3596*SUMIF(ThresholdAge25,"&lt;"&amp;'19_Расчет_аналитики'!AN3596,WeightedRevAge25)-SUMIF(ThresholdAge25,"&lt;"&amp;'19_Расчет_аналитики'!AN3596,WeightedMinAge25),MAX(CapacityAge25*'01_Вводные'!$B$218*'19_Расчет_аналитики'!AN3596,MeanMinAge25))),0)</f>
        <v/>
      </c>
      <c r="AO3552">
        <f>IF('01_Вводные'!$B$234="Да",IF(OR(('19_Расчет_аналитики'!AO3468-'19_Расчет_аналитики'!AO3496)=0,25&lt;='01_Вводные'!$B$297),0,('19_Расчет_аналитики'!AO3468-'19_Расчет_аналитики'!AO3496)*IF('01_Вводные'!$B$239="Да",MeanMinAge25+'19_Расчет_аналитики'!AO3596*SUMIF(ThresholdAge25,"&lt;"&amp;'19_Расчет_аналитики'!AO3596,WeightedRevAge25)-SUMIF(ThresholdAge25,"&lt;"&amp;'19_Расчет_аналитики'!AO3596,WeightedMinAge25),MAX(CapacityAge25*'01_Вводные'!$B$218*'19_Расчет_аналитики'!AO3596,MeanMinAge25))),0)</f>
        <v/>
      </c>
      <c r="AP3552">
        <f>IF('01_Вводные'!$B$234="Да",IF(OR(('19_Расчет_аналитики'!AP3468-'19_Расчет_аналитики'!AP3496)=0,25&lt;='01_Вводные'!$B$297),0,('19_Расчет_аналитики'!AP3468-'19_Расчет_аналитики'!AP3496)*IF('01_Вводные'!$B$239="Да",MeanMinAge25+'19_Расчет_аналитики'!AP3596*SUMIF(ThresholdAge25,"&lt;"&amp;'19_Расчет_аналитики'!AP3596,WeightedRevAge25)-SUMIF(ThresholdAge25,"&lt;"&amp;'19_Расчет_аналитики'!AP3596,WeightedMinAge25),MAX(CapacityAge25*'01_Вводные'!$B$218*'19_Расчет_аналитики'!AP3596,MeanMinAge25))),0)</f>
        <v/>
      </c>
      <c r="AQ3552">
        <f>IF('01_Вводные'!$B$234="Да",IF(OR(('19_Расчет_аналитики'!AQ3468-'19_Расчет_аналитики'!AQ3496)=0,25&lt;='01_Вводные'!$B$297),0,('19_Расчет_аналитики'!AQ3468-'19_Расчет_аналитики'!AQ3496)*IF('01_Вводные'!$B$239="Да",MeanMinAge25+'19_Расчет_аналитики'!AQ3596*SUMIF(ThresholdAge25,"&lt;"&amp;'19_Расчет_аналитики'!AQ3596,WeightedRevAge25)-SUMIF(ThresholdAge25,"&lt;"&amp;'19_Расчет_аналитики'!AQ3596,WeightedMinAge25),MAX(CapacityAge25*'01_Вводные'!$B$218*'19_Расчет_аналитики'!AQ3596,MeanMinAge25))),0)</f>
        <v/>
      </c>
      <c r="AR3552">
        <f>IF('01_Вводные'!$B$234="Да",IF(OR(('19_Расчет_аналитики'!AR3468-'19_Расчет_аналитики'!AR3496)=0,25&lt;='01_Вводные'!$B$297),0,('19_Расчет_аналитики'!AR3468-'19_Расчет_аналитики'!AR3496)*IF('01_Вводные'!$B$239="Да",MeanMinAge25+'19_Расчет_аналитики'!AR3596*SUMIF(ThresholdAge25,"&lt;"&amp;'19_Расчет_аналитики'!AR3596,WeightedRevAge25)-SUMIF(ThresholdAge25,"&lt;"&amp;'19_Расчет_аналитики'!AR3596,WeightedMinAge25),MAX(CapacityAge25*'01_Вводные'!$B$218*'19_Расчет_аналитики'!AR3596,MeanMinAge25))),0)</f>
        <v/>
      </c>
      <c r="AS3552">
        <f>IF('01_Вводные'!$B$234="Да",IF(OR(('19_Расчет_аналитики'!AS3468-'19_Расчет_аналитики'!AS3496)=0,25&lt;='01_Вводные'!$B$297),0,('19_Расчет_аналитики'!AS3468-'19_Расчет_аналитики'!AS3496)*IF('01_Вводные'!$B$239="Да",MeanMinAge25+'19_Расчет_аналитики'!AS3596*SUMIF(ThresholdAge25,"&lt;"&amp;'19_Расчет_аналитики'!AS3596,WeightedRevAge25)-SUMIF(ThresholdAge25,"&lt;"&amp;'19_Расчет_аналитики'!AS3596,WeightedMinAge25),MAX(CapacityAge25*'01_Вводные'!$B$218*'19_Расчет_аналитики'!AS3596,MeanMinAge25))),0)</f>
        <v/>
      </c>
      <c r="AT3552">
        <f>IF('01_Вводные'!$B$234="Да",IF(OR(('19_Расчет_аналитики'!AT3468-'19_Расчет_аналитики'!AT3496)=0,25&lt;='01_Вводные'!$B$297),0,('19_Расчет_аналитики'!AT3468-'19_Расчет_аналитики'!AT3496)*IF('01_Вводные'!$B$239="Да",MeanMinAge25+'19_Расчет_аналитики'!AT3596*SUMIF(ThresholdAge25,"&lt;"&amp;'19_Расчет_аналитики'!AT3596,WeightedRevAge25)-SUMIF(ThresholdAge25,"&lt;"&amp;'19_Расчет_аналитики'!AT3596,WeightedMinAge25),MAX(CapacityAge25*'01_Вводные'!$B$218*'19_Расчет_аналитики'!AT3596,MeanMinAge25))),0)</f>
        <v/>
      </c>
      <c r="AU3552">
        <f>IF('01_Вводные'!$B$234="Да",IF(OR(('19_Расчет_аналитики'!AU3468-'19_Расчет_аналитики'!AU3496)=0,25&lt;='01_Вводные'!$B$297),0,('19_Расчет_аналитики'!AU3468-'19_Расчет_аналитики'!AU3496)*IF('01_Вводные'!$B$239="Да",MeanMinAge25+'19_Расчет_аналитики'!AU3596*SUMIF(ThresholdAge25,"&lt;"&amp;'19_Расчет_аналитики'!AU3596,WeightedRevAge25)-SUMIF(ThresholdAge25,"&lt;"&amp;'19_Расчет_аналитики'!AU3596,WeightedMinAge25),MAX(CapacityAge25*'01_Вводные'!$B$218*'19_Расчет_аналитики'!AU3596,MeanMinAge25))),0)</f>
        <v/>
      </c>
      <c r="AV3552">
        <f>IF('01_Вводные'!$B$234="Да",IF(OR(('19_Расчет_аналитики'!AV3468-'19_Расчет_аналитики'!AV3496)=0,25&lt;='01_Вводные'!$B$297),0,('19_Расчет_аналитики'!AV3468-'19_Расчет_аналитики'!AV3496)*IF('01_Вводные'!$B$239="Да",MeanMinAge25+'19_Расчет_аналитики'!AV3596*SUMIF(ThresholdAge25,"&lt;"&amp;'19_Расчет_аналитики'!AV3596,WeightedRevAge25)-SUMIF(ThresholdAge25,"&lt;"&amp;'19_Расчет_аналитики'!AV3596,WeightedMinAge25),MAX(CapacityAge25*'01_Вводные'!$B$218*'19_Расчет_аналитики'!AV3596,MeanMinAge25))),0)</f>
        <v/>
      </c>
      <c r="AW3552">
        <f>IF('01_Вводные'!$B$234="Да",IF(OR(('19_Расчет_аналитики'!AW3468-'19_Расчет_аналитики'!AW3496)=0,25&lt;='01_Вводные'!$B$297),0,('19_Расчет_аналитики'!AW3468-'19_Расчет_аналитики'!AW3496)*IF('01_Вводные'!$B$239="Да",MeanMinAge25+'19_Расчет_аналитики'!AW3596*SUMIF(ThresholdAge25,"&lt;"&amp;'19_Расчет_аналитики'!AW3596,WeightedRevAge25)-SUMIF(ThresholdAge25,"&lt;"&amp;'19_Расчет_аналитики'!AW3596,WeightedMinAge25),MAX(CapacityAge25*'01_Вводные'!$B$218*'19_Расчет_аналитики'!AW3596,MeanMinAge25))),0)</f>
        <v/>
      </c>
      <c r="AX3552">
        <f>IF('01_Вводные'!$B$234="Да",IF(OR(('19_Расчет_аналитики'!AX3468-'19_Расчет_аналитики'!AX3496)=0,25&lt;='01_Вводные'!$B$297),0,('19_Расчет_аналитики'!AX3468-'19_Расчет_аналитики'!AX3496)*IF('01_Вводные'!$B$239="Да",MeanMinAge25+'19_Расчет_аналитики'!AX3596*SUMIF(ThresholdAge25,"&lt;"&amp;'19_Расчет_аналитики'!AX3596,WeightedRevAge25)-SUMIF(ThresholdAge25,"&lt;"&amp;'19_Расчет_аналитики'!AX3596,WeightedMinAge25),MAX(CapacityAge25*'01_Вводные'!$B$218*'19_Расчет_аналитики'!AX3596,MeanMinAge25))),0)</f>
        <v/>
      </c>
      <c r="AY3552">
        <f>IF('01_Вводные'!$B$234="Да",IF(OR(('19_Расчет_аналитики'!AY3468-'19_Расчет_аналитики'!AY3496)=0,25&lt;='01_Вводные'!$B$297),0,('19_Расчет_аналитики'!AY3468-'19_Расчет_аналитики'!AY3496)*IF('01_Вводные'!$B$239="Да",MeanMinAge25+'19_Расчет_аналитики'!AY3596*SUMIF(ThresholdAge25,"&lt;"&amp;'19_Расчет_аналитики'!AY3596,WeightedRevAge25)-SUMIF(ThresholdAge25,"&lt;"&amp;'19_Расчет_аналитики'!AY3596,WeightedMinAge25),MAX(CapacityAge25*'01_Вводные'!$B$218*'19_Расчет_аналитики'!AY3596,MeanMinAge25))),0)</f>
        <v/>
      </c>
      <c r="AZ3552">
        <f>IF('01_Вводные'!$B$234="Да",IF(OR(('19_Расчет_аналитики'!AZ3468-'19_Расчет_аналитики'!AZ3496)=0,25&lt;='01_Вводные'!$B$297),0,('19_Расчет_аналитики'!AZ3468-'19_Расчет_аналитики'!AZ3496)*IF('01_Вводные'!$B$239="Да",MeanMinAge25+'19_Расчет_аналитики'!AZ3596*SUMIF(ThresholdAge25,"&lt;"&amp;'19_Расчет_аналитики'!AZ3596,WeightedRevAge25)-SUMIF(ThresholdAge25,"&lt;"&amp;'19_Расчет_аналитики'!AZ3596,WeightedMinAge25),MAX(CapacityAge25*'01_Вводные'!$B$218*'19_Расчет_аналитики'!AZ3596,MeanMinAge25))),0)</f>
        <v/>
      </c>
      <c r="BA3552">
        <f>IF('01_Вводные'!$B$234="Да",IF(OR(('19_Расчет_аналитики'!BA3468-'19_Расчет_аналитики'!BA3496)=0,25&lt;='01_Вводные'!$B$297),0,('19_Расчет_аналитики'!BA3468-'19_Расчет_аналитики'!BA3496)*IF('01_Вводные'!$B$239="Да",MeanMinAge25+'19_Расчет_аналитики'!BA3596*SUMIF(ThresholdAge25,"&lt;"&amp;'19_Расчет_аналитики'!BA3596,WeightedRevAge25)-SUMIF(ThresholdAge25,"&lt;"&amp;'19_Расчет_аналитики'!BA3596,WeightedMinAge25),MAX(CapacityAge25*'01_Вводные'!$B$218*'19_Расчет_аналитики'!BA3596,MeanMinAge25))),0)</f>
        <v/>
      </c>
      <c r="BB3552">
        <f>IF('01_Вводные'!$B$234="Да",IF(OR(('19_Расчет_аналитики'!BB3468-'19_Расчет_аналитики'!BB3496)=0,25&lt;='01_Вводные'!$B$297),0,('19_Расчет_аналитики'!BB3468-'19_Расчет_аналитики'!BB3496)*IF('01_Вводные'!$B$239="Да",MeanMinAge25+'19_Расчет_аналитики'!BB3596*SUMIF(ThresholdAge25,"&lt;"&amp;'19_Расчет_аналитики'!BB3596,WeightedRevAge25)-SUMIF(ThresholdAge25,"&lt;"&amp;'19_Расчет_аналитики'!BB3596,WeightedMinAge25),MAX(CapacityAge25*'01_Вводные'!$B$218*'19_Расчет_аналитики'!BB3596,MeanMinAge25))),0)</f>
        <v/>
      </c>
      <c r="BC3552">
        <f>IF('01_Вводные'!$B$234="Да",IF(OR(('19_Расчет_аналитики'!BC3468-'19_Расчет_аналитики'!BC3496)=0,25&lt;='01_Вводные'!$B$297),0,('19_Расчет_аналитики'!BC3468-'19_Расчет_аналитики'!BC3496)*IF('01_Вводные'!$B$239="Да",MeanMinAge25+'19_Расчет_аналитики'!BC3596*SUMIF(ThresholdAge25,"&lt;"&amp;'19_Расчет_аналитики'!BC3596,WeightedRevAge25)-SUMIF(ThresholdAge25,"&lt;"&amp;'19_Расчет_аналитики'!BC3596,WeightedMinAge25),MAX(CapacityAge25*'01_Вводные'!$B$218*'19_Расчет_аналитики'!BC3596,MeanMinAge25))),0)</f>
        <v/>
      </c>
      <c r="BD3552">
        <f>IF('01_Вводные'!$B$234="Да",IF(OR(('19_Расчет_аналитики'!BD3468-'19_Расчет_аналитики'!BD3496)=0,25&lt;='01_Вводные'!$B$297),0,('19_Расчет_аналитики'!BD3468-'19_Расчет_аналитики'!BD3496)*IF('01_Вводные'!$B$239="Да",MeanMinAge25+'19_Расчет_аналитики'!BD3596*SUMIF(ThresholdAge25,"&lt;"&amp;'19_Расчет_аналитики'!BD3596,WeightedRevAge25)-SUMIF(ThresholdAge25,"&lt;"&amp;'19_Расчет_аналитики'!BD3596,WeightedMinAge25),MAX(CapacityAge25*'01_Вводные'!$B$218*'19_Расчет_аналитики'!BD3596,MeanMinAge25))),0)</f>
        <v/>
      </c>
      <c r="BE3552">
        <f>IF('01_Вводные'!$B$234="Да",IF(OR(('19_Расчет_аналитики'!BE3468-'19_Расчет_аналитики'!BE3496)=0,25&lt;='01_Вводные'!$B$297),0,('19_Расчет_аналитики'!BE3468-'19_Расчет_аналитики'!BE3496)*IF('01_Вводные'!$B$239="Да",MeanMinAge25+'19_Расчет_аналитики'!BE3596*SUMIF(ThresholdAge25,"&lt;"&amp;'19_Расчет_аналитики'!BE3596,WeightedRevAge25)-SUMIF(ThresholdAge25,"&lt;"&amp;'19_Расчет_аналитики'!BE3596,WeightedMinAge25),MAX(CapacityAge25*'01_Вводные'!$B$218*'19_Расчет_аналитики'!BE3596,MeanMinAge25))),0)</f>
        <v/>
      </c>
      <c r="BF3552">
        <f>IF('01_Вводные'!$B$234="Да",IF(OR(('19_Расчет_аналитики'!BF3468-'19_Расчет_аналитики'!BF3496)=0,25&lt;='01_Вводные'!$B$297),0,('19_Расчет_аналитики'!BF3468-'19_Расчет_аналитики'!BF3496)*IF('01_Вводные'!$B$239="Да",MeanMinAge25+'19_Расчет_аналитики'!BF3596*SUMIF(ThresholdAge25,"&lt;"&amp;'19_Расчет_аналитики'!BF3596,WeightedRevAge25)-SUMIF(ThresholdAge25,"&lt;"&amp;'19_Расчет_аналитики'!BF3596,WeightedMinAge25),MAX(CapacityAge25*'01_Вводные'!$B$218*'19_Расчет_аналитики'!BF3596,MeanMinAge25))),0)</f>
        <v/>
      </c>
      <c r="BG3552">
        <f>IF('01_Вводные'!$B$234="Да",IF(OR(('19_Расчет_аналитики'!BG3468-'19_Расчет_аналитики'!BG3496)=0,25&lt;='01_Вводные'!$B$297),0,('19_Расчет_аналитики'!BG3468-'19_Расчет_аналитики'!BG3496)*IF('01_Вводные'!$B$239="Да",MeanMinAge25+'19_Расчет_аналитики'!BG3596*SUMIF(ThresholdAge25,"&lt;"&amp;'19_Расчет_аналитики'!BG3596,WeightedRevAge25)-SUMIF(ThresholdAge25,"&lt;"&amp;'19_Расчет_аналитики'!BG3596,WeightedMinAge25),MAX(CapacityAge25*'01_Вводные'!$B$218*'19_Расчет_аналитики'!BG3596,MeanMinAge25))),0)</f>
        <v/>
      </c>
      <c r="BH3552">
        <f>IF('01_Вводные'!$B$234="Да",IF(OR(('19_Расчет_аналитики'!BH3468-'19_Расчет_аналитики'!BH3496)=0,25&lt;='01_Вводные'!$B$297),0,('19_Расчет_аналитики'!BH3468-'19_Расчет_аналитики'!BH3496)*IF('01_Вводные'!$B$239="Да",MeanMinAge25+'19_Расчет_аналитики'!BH3596*SUMIF(ThresholdAge25,"&lt;"&amp;'19_Расчет_аналитики'!BH3596,WeightedRevAge25)-SUMIF(ThresholdAge25,"&lt;"&amp;'19_Расчет_аналитики'!BH3596,WeightedMinAge25),MAX(CapacityAge25*'01_Вводные'!$B$218*'19_Расчет_аналитики'!BH3596,MeanMinAge25))),0)</f>
        <v/>
      </c>
      <c r="BI3552">
        <f>IF('01_Вводные'!$B$234="Да",IF(OR(('19_Расчет_аналитики'!BI3468-'19_Расчет_аналитики'!BI3496)=0,25&lt;='01_Вводные'!$B$297),0,('19_Расчет_аналитики'!BI3468-'19_Расчет_аналитики'!BI3496)*IF('01_Вводные'!$B$239="Да",MeanMinAge25+'19_Расчет_аналитики'!BI3596*SUMIF(ThresholdAge25,"&lt;"&amp;'19_Расчет_аналитики'!BI3596,WeightedRevAge25)-SUMIF(ThresholdAge25,"&lt;"&amp;'19_Расчет_аналитики'!BI3596,WeightedMinAge25),MAX(CapacityAge25*'01_Вводные'!$B$218*'19_Расчет_аналитики'!BI3596,MeanMinAge25))),0)</f>
        <v/>
      </c>
      <c r="BJ3552">
        <f>IF('01_Вводные'!$B$234="Да",IF(OR(('19_Расчет_аналитики'!BJ3468-'19_Расчет_аналитики'!BJ3496)=0,25&lt;='01_Вводные'!$B$297),0,('19_Расчет_аналитики'!BJ3468-'19_Расчет_аналитики'!BJ3496)*IF('01_Вводные'!$B$239="Да",MeanMinAge25+'19_Расчет_аналитики'!BJ3596*SUMIF(ThresholdAge25,"&lt;"&amp;'19_Расчет_аналитики'!BJ3596,WeightedRevAge25)-SUMIF(ThresholdAge25,"&lt;"&amp;'19_Расчет_аналитики'!BJ3596,WeightedMinAge25),MAX(CapacityAge25*'01_Вводные'!$B$218*'19_Расчет_аналитики'!BJ3596,MeanMinAge25))),0)</f>
        <v/>
      </c>
      <c r="BK3552">
        <f>IF('01_Вводные'!$B$234="Да",IF(OR(('19_Расчет_аналитики'!BK3468-'19_Расчет_аналитики'!BK3496)=0,25&lt;='01_Вводные'!$B$297),0,('19_Расчет_аналитики'!BK3468-'19_Расчет_аналитики'!BK3496)*IF('01_Вводные'!$B$239="Да",MeanMinAge25+'19_Расчет_аналитики'!BK3596*SUMIF(ThresholdAge25,"&lt;"&amp;'19_Расчет_аналитики'!BK3596,WeightedRevAge25)-SUMIF(ThresholdAge25,"&lt;"&amp;'19_Расчет_аналитики'!BK3596,WeightedMinAge25),MAX(CapacityAge25*'01_Вводные'!$B$218*'19_Расчет_аналитики'!BK3596,MeanMinAge25))),0)</f>
        <v/>
      </c>
      <c r="BL3552">
        <f>IF('01_Вводные'!$B$234="Да",IF(OR(('19_Расчет_аналитики'!BL3468-'19_Расчет_аналитики'!BL3496)=0,25&lt;='01_Вводные'!$B$297),0,('19_Расчет_аналитики'!BL3468-'19_Расчет_аналитики'!BL3496)*IF('01_Вводные'!$B$239="Да",MeanMinAge25+'19_Расчет_аналитики'!BL3596*SUMIF(ThresholdAge25,"&lt;"&amp;'19_Расчет_аналитики'!BL3596,WeightedRevAge25)-SUMIF(ThresholdAge25,"&lt;"&amp;'19_Расчет_аналитики'!BL3596,WeightedMinAge25),MAX(CapacityAge25*'01_Вводные'!$B$218*'19_Расчет_аналитики'!BL3596,MeanMinAge25))),0)</f>
        <v/>
      </c>
      <c r="BM3552">
        <f>IF('01_Вводные'!$B$234="Да",IF(OR(('19_Расчет_аналитики'!BM3468-'19_Расчет_аналитики'!BM3496)=0,25&lt;='01_Вводные'!$B$297),0,('19_Расчет_аналитики'!BM3468-'19_Расчет_аналитики'!BM3496)*IF('01_Вводные'!$B$239="Да",MeanMinAge25+'19_Расчет_аналитики'!BM3596*SUMIF(ThresholdAge25,"&lt;"&amp;'19_Расчет_аналитики'!BM3596,WeightedRevAge25)-SUMIF(ThresholdAge25,"&lt;"&amp;'19_Расчет_аналитики'!BM3596,WeightedMinAge25),MAX(CapacityAge25*'01_Вводные'!$B$218*'19_Расчет_аналитики'!BM3596,MeanMinAge25))),0)</f>
        <v/>
      </c>
      <c r="BN3552">
        <f>IF('01_Вводные'!$B$234="Да",IF(OR(('19_Расчет_аналитики'!BN3468-'19_Расчет_аналитики'!BN3496)=0,25&lt;='01_Вводные'!$B$297),0,('19_Расчет_аналитики'!BN3468-'19_Расчет_аналитики'!BN3496)*IF('01_Вводные'!$B$239="Да",MeanMinAge25+'19_Расчет_аналитики'!BN3596*SUMIF(ThresholdAge25,"&lt;"&amp;'19_Расчет_аналитики'!BN3596,WeightedRevAge25)-SUMIF(ThresholdAge25,"&lt;"&amp;'19_Расчет_аналитики'!BN3596,WeightedMinAge25),MAX(CapacityAge25*'01_Вводные'!$B$218*'19_Расчет_аналитики'!BN3596,MeanMinAge25))),0)</f>
        <v/>
      </c>
      <c r="BO3552">
        <f>IF('01_Вводные'!$B$234="Да",IF(OR(('19_Расчет_аналитики'!BO3468-'19_Расчет_аналитики'!BO3496)=0,25&lt;='01_Вводные'!$B$297),0,('19_Расчет_аналитики'!BO3468-'19_Расчет_аналитики'!BO3496)*IF('01_Вводные'!$B$239="Да",MeanMinAge25+'19_Расчет_аналитики'!BO3596*SUMIF(ThresholdAge25,"&lt;"&amp;'19_Расчет_аналитики'!BO3596,WeightedRevAge25)-SUMIF(ThresholdAge25,"&lt;"&amp;'19_Расчет_аналитики'!BO3596,WeightedMinAge25),MAX(CapacityAge25*'01_Вводные'!$B$218*'19_Расчет_аналитики'!BO3596,MeanMinAge25))),0)</f>
        <v/>
      </c>
    </row>
    <row r="3553"/>
    <row r="3554"/>
    <row r="3555"/>
    <row r="3556">
      <c r="B3556">
        <f>IF('01_Вводные'!$B$234="Да",IF(IF('01_Вводные'!$B$296="Новый сезон",FALSE,FALSE),'19_Расчет_аналитики'!B3444*CapacityAge01*'19_Расчет_аналитики'!$F$3247,0),0)</f>
        <v/>
      </c>
      <c r="C3556">
        <f>IF('01_Вводные'!$B$234="Да",IF(IF('01_Вводные'!$B$296="Новый сезон",FALSE,FALSE),'19_Расчет_аналитики'!C3444*CapacityAge01*'19_Расчет_аналитики'!$F$3247,0),0)</f>
        <v/>
      </c>
      <c r="D3556">
        <f>IF('01_Вводные'!$B$234="Да",IF(IF('01_Вводные'!$B$296="Новый сезон",FALSE,FALSE),'19_Расчет_аналитики'!D3444*CapacityAge01*'19_Расчет_аналитики'!$F$3247,0),0)</f>
        <v/>
      </c>
      <c r="E3556">
        <f>IF('01_Вводные'!$B$234="Да",IF(IF('01_Вводные'!$B$296="Новый сезон",FALSE,FALSE),'19_Расчет_аналитики'!E3444*CapacityAge01*'19_Расчет_аналитики'!$F$3247,0),0)</f>
        <v/>
      </c>
      <c r="F3556">
        <f>IF('01_Вводные'!$B$234="Да",IF(IF('01_Вводные'!$B$296="Новый сезон",FALSE,FALSE),'19_Расчет_аналитики'!F3444*CapacityAge01*'19_Расчет_аналитики'!$F$3247,0),0)</f>
        <v/>
      </c>
      <c r="G3556">
        <f>IF('01_Вводные'!$B$234="Да",IF(IF('01_Вводные'!$B$296="Новый сезон",FALSE,FALSE),'19_Расчет_аналитики'!G3444*CapacityAge01*'19_Расчет_аналитики'!$F$3247,0),0)</f>
        <v/>
      </c>
      <c r="H3556">
        <f>IF('01_Вводные'!$B$234="Да",IF(IF('01_Вводные'!$B$296="Новый сезон",FALSE,FALSE),'19_Расчет_аналитики'!H3444*CapacityAge01*'19_Расчет_аналитики'!$F$3247,0),0)</f>
        <v/>
      </c>
      <c r="I3556">
        <f>IF('01_Вводные'!$B$234="Да",IF(IF('01_Вводные'!$B$296="Новый сезон",FALSE,FALSE),'19_Расчет_аналитики'!I3444*CapacityAge01*'19_Расчет_аналитики'!$F$3247,0),0)</f>
        <v/>
      </c>
      <c r="J3556">
        <f>IF('01_Вводные'!$B$234="Да",IF(IF('01_Вводные'!$B$296="Новый сезон",FALSE,FALSE),'19_Расчет_аналитики'!J3444*CapacityAge01*'19_Расчет_аналитики'!$F$3247,0),0)</f>
        <v/>
      </c>
      <c r="K3556">
        <f>IF('01_Вводные'!$B$234="Да",IF(IF('01_Вводные'!$B$296="Новый сезон",FALSE,FALSE),'19_Расчет_аналитики'!K3444*CapacityAge01*'19_Расчет_аналитики'!$F$3247,0),0)</f>
        <v/>
      </c>
      <c r="L3556">
        <f>IF('01_Вводные'!$B$234="Да",IF(IF('01_Вводные'!$B$296="Новый сезон",FALSE,FALSE),'19_Расчет_аналитики'!L3444*CapacityAge01*'19_Расчет_аналитики'!$F$3247,0),0)</f>
        <v/>
      </c>
      <c r="M3556">
        <f>IF('01_Вводные'!$B$234="Да",IF(IF('01_Вводные'!$B$296="Новый сезон",FALSE,FALSE),'19_Расчет_аналитики'!M3444*CapacityAge01*'19_Расчет_аналитики'!$F$3247,0),0)</f>
        <v/>
      </c>
      <c r="N3556">
        <f>IF('01_Вводные'!$B$234="Да",IF(IF('01_Вводные'!$B$296="Новый сезон",FALSE,FALSE),'19_Расчет_аналитики'!N3444*CapacityAge01*'19_Расчет_аналитики'!$F$3247,0),0)</f>
        <v/>
      </c>
      <c r="O3556">
        <f>IF('01_Вводные'!$B$234="Да",IF(IF('01_Вводные'!$B$296="Новый сезон",FALSE,FALSE),'19_Расчет_аналитики'!O3444*CapacityAge01*'19_Расчет_аналитики'!$F$3247,0),0)</f>
        <v/>
      </c>
      <c r="P3556">
        <f>IF('01_Вводные'!$B$234="Да",IF(IF('01_Вводные'!$B$296="Новый сезон",FALSE,FALSE),'19_Расчет_аналитики'!P3444*CapacityAge01*'19_Расчет_аналитики'!$F$3247,0),0)</f>
        <v/>
      </c>
      <c r="Q3556">
        <f>IF('01_Вводные'!$B$234="Да",IF(IF('01_Вводные'!$B$296="Новый сезон",FALSE,FALSE),'19_Расчет_аналитики'!Q3444*CapacityAge01*'19_Расчет_аналитики'!$F$3247,0),0)</f>
        <v/>
      </c>
      <c r="R3556">
        <f>IF('01_Вводные'!$B$234="Да",IF(IF('01_Вводные'!$B$296="Новый сезон",FALSE,FALSE),'19_Расчет_аналитики'!R3444*CapacityAge01*'19_Расчет_аналитики'!$F$3247,0),0)</f>
        <v/>
      </c>
      <c r="S3556">
        <f>IF('01_Вводные'!$B$234="Да",IF(IF('01_Вводные'!$B$296="Новый сезон",FALSE,FALSE),'19_Расчет_аналитики'!S3444*CapacityAge01*'19_Расчет_аналитики'!$F$3247,0),0)</f>
        <v/>
      </c>
      <c r="T3556">
        <f>IF('01_Вводные'!$B$234="Да",IF(IF('01_Вводные'!$B$296="Новый сезон",FALSE,FALSE),'19_Расчет_аналитики'!T3444*CapacityAge01*'19_Расчет_аналитики'!$F$3247,0),0)</f>
        <v/>
      </c>
      <c r="U3556">
        <f>IF('01_Вводные'!$B$234="Да",IF(IF('01_Вводные'!$B$296="Новый сезон",FALSE,FALSE),'19_Расчет_аналитики'!U3444*CapacityAge01*'19_Расчет_аналитики'!$F$3247,0),0)</f>
        <v/>
      </c>
      <c r="V3556">
        <f>IF('01_Вводные'!$B$234="Да",IF(IF('01_Вводные'!$B$296="Новый сезон",FALSE,FALSE),'19_Расчет_аналитики'!V3444*CapacityAge01*'19_Расчет_аналитики'!$F$3247,0),0)</f>
        <v/>
      </c>
      <c r="W3556">
        <f>IF('01_Вводные'!$B$234="Да",IF(IF('01_Вводные'!$B$296="Новый сезон",FALSE,FALSE),'19_Расчет_аналитики'!W3444*CapacityAge01*'19_Расчет_аналитики'!$F$3247,0),0)</f>
        <v/>
      </c>
      <c r="X3556">
        <f>IF('01_Вводные'!$B$234="Да",IF(IF('01_Вводные'!$B$296="Новый сезон",FALSE,FALSE),'19_Расчет_аналитики'!X3444*CapacityAge01*'19_Расчет_аналитики'!$F$3247,0),0)</f>
        <v/>
      </c>
      <c r="Y3556">
        <f>IF('01_Вводные'!$B$234="Да",IF(IF('01_Вводные'!$B$296="Новый сезон",FALSE,FALSE),'19_Расчет_аналитики'!Y3444*CapacityAge01*'19_Расчет_аналитики'!$F$3247,0),0)</f>
        <v/>
      </c>
      <c r="Z3556">
        <f>IF('01_Вводные'!$B$234="Да",IF(IF('01_Вводные'!$B$296="Новый сезон",FALSE,FALSE),'19_Расчет_аналитики'!Z3444*CapacityAge01*'19_Расчет_аналитики'!$F$3247,0),0)</f>
        <v/>
      </c>
      <c r="AA3556">
        <f>IF('01_Вводные'!$B$234="Да",IF(IF('01_Вводные'!$B$296="Новый сезон",FALSE,FALSE),'19_Расчет_аналитики'!AA3444*CapacityAge01*'19_Расчет_аналитики'!$F$3247,0),0)</f>
        <v/>
      </c>
      <c r="AB3556">
        <f>IF('01_Вводные'!$B$234="Да",IF(IF('01_Вводные'!$B$296="Новый сезон",FALSE,FALSE),'19_Расчет_аналитики'!AB3444*CapacityAge01*'19_Расчет_аналитики'!$F$3247,0),0)</f>
        <v/>
      </c>
      <c r="AC3556">
        <f>IF('01_Вводные'!$B$234="Да",IF(IF('01_Вводные'!$B$296="Новый сезон",FALSE,FALSE),'19_Расчет_аналитики'!AC3444*CapacityAge01*'19_Расчет_аналитики'!$F$3247,0),0)</f>
        <v/>
      </c>
      <c r="AD3556">
        <f>IF('01_Вводные'!$B$234="Да",IF(IF('01_Вводные'!$B$296="Новый сезон",FALSE,FALSE),'19_Расчет_аналитики'!AD3444*CapacityAge01*'19_Расчет_аналитики'!$F$3247,0),0)</f>
        <v/>
      </c>
      <c r="AE3556">
        <f>IF('01_Вводные'!$B$234="Да",IF(IF('01_Вводные'!$B$296="Новый сезон",FALSE,FALSE),'19_Расчет_аналитики'!AE3444*CapacityAge01*'19_Расчет_аналитики'!$F$3247,0),0)</f>
        <v/>
      </c>
      <c r="AF3556">
        <f>IF('01_Вводные'!$B$234="Да",IF(IF('01_Вводные'!$B$296="Новый сезон",FALSE,FALSE),'19_Расчет_аналитики'!AF3444*CapacityAge01*'19_Расчет_аналитики'!$F$3247,0),0)</f>
        <v/>
      </c>
      <c r="AG3556">
        <f>IF('01_Вводные'!$B$234="Да",IF(IF('01_Вводные'!$B$296="Новый сезон",FALSE,FALSE),'19_Расчет_аналитики'!AG3444*CapacityAge01*'19_Расчет_аналитики'!$F$3247,0),0)</f>
        <v/>
      </c>
      <c r="AH3556">
        <f>IF('01_Вводные'!$B$234="Да",IF(IF('01_Вводные'!$B$296="Новый сезон",FALSE,FALSE),'19_Расчет_аналитики'!AH3444*CapacityAge01*'19_Расчет_аналитики'!$F$3247,0),0)</f>
        <v/>
      </c>
      <c r="AI3556">
        <f>IF('01_Вводные'!$B$234="Да",IF(IF('01_Вводные'!$B$296="Новый сезон",FALSE,FALSE),'19_Расчет_аналитики'!AI3444*CapacityAge01*'19_Расчет_аналитики'!$F$3247,0),0)</f>
        <v/>
      </c>
      <c r="AJ3556">
        <f>IF('01_Вводные'!$B$234="Да",IF(IF('01_Вводные'!$B$296="Новый сезон",FALSE,FALSE),'19_Расчет_аналитики'!AJ3444*CapacityAge01*'19_Расчет_аналитики'!$F$3247,0),0)</f>
        <v/>
      </c>
      <c r="AK3556">
        <f>IF('01_Вводные'!$B$234="Да",IF(IF('01_Вводные'!$B$296="Новый сезон",FALSE,FALSE),'19_Расчет_аналитики'!AK3444*CapacityAge01*'19_Расчет_аналитики'!$F$3247,0),0)</f>
        <v/>
      </c>
      <c r="AL3556">
        <f>IF('01_Вводные'!$B$234="Да",IF(IF('01_Вводные'!$B$296="Новый сезон",FALSE,FALSE),'19_Расчет_аналитики'!AL3444*CapacityAge01*'19_Расчет_аналитики'!$F$3247,0),0)</f>
        <v/>
      </c>
      <c r="AM3556">
        <f>IF('01_Вводные'!$B$234="Да",IF(IF('01_Вводные'!$B$296="Новый сезон",FALSE,FALSE),'19_Расчет_аналитики'!AM3444*CapacityAge01*'19_Расчет_аналитики'!$F$3247,0),0)</f>
        <v/>
      </c>
      <c r="AN3556">
        <f>IF('01_Вводные'!$B$234="Да",IF(IF('01_Вводные'!$B$296="Новый сезон",FALSE,FALSE),'19_Расчет_аналитики'!AN3444*CapacityAge01*'19_Расчет_аналитики'!$F$3247,0),0)</f>
        <v/>
      </c>
      <c r="AO3556">
        <f>IF('01_Вводные'!$B$234="Да",IF(IF('01_Вводные'!$B$296="Новый сезон",FALSE,FALSE),'19_Расчет_аналитики'!AO3444*CapacityAge01*'19_Расчет_аналитики'!$F$3247,0),0)</f>
        <v/>
      </c>
      <c r="AP3556">
        <f>IF('01_Вводные'!$B$234="Да",IF(IF('01_Вводные'!$B$296="Новый сезон",FALSE,FALSE),'19_Расчет_аналитики'!AP3444*CapacityAge01*'19_Расчет_аналитики'!$F$3247,0),0)</f>
        <v/>
      </c>
      <c r="AQ3556">
        <f>IF('01_Вводные'!$B$234="Да",IF(IF('01_Вводные'!$B$296="Новый сезон",FALSE,FALSE),'19_Расчет_аналитики'!AQ3444*CapacityAge01*'19_Расчет_аналитики'!$F$3247,0),0)</f>
        <v/>
      </c>
      <c r="AR3556">
        <f>IF('01_Вводные'!$B$234="Да",IF(IF('01_Вводные'!$B$296="Новый сезон",FALSE,FALSE),'19_Расчет_аналитики'!AR3444*CapacityAge01*'19_Расчет_аналитики'!$F$3247,0),0)</f>
        <v/>
      </c>
      <c r="AS3556">
        <f>IF('01_Вводные'!$B$234="Да",IF(IF('01_Вводные'!$B$296="Новый сезон",FALSE,FALSE),'19_Расчет_аналитики'!AS3444*CapacityAge01*'19_Расчет_аналитики'!$F$3247,0),0)</f>
        <v/>
      </c>
      <c r="AT3556">
        <f>IF('01_Вводные'!$B$234="Да",IF(IF('01_Вводные'!$B$296="Новый сезон",FALSE,FALSE),'19_Расчет_аналитики'!AT3444*CapacityAge01*'19_Расчет_аналитики'!$F$3247,0),0)</f>
        <v/>
      </c>
      <c r="AU3556">
        <f>IF('01_Вводные'!$B$234="Да",IF(IF('01_Вводные'!$B$296="Новый сезон",FALSE,FALSE),'19_Расчет_аналитики'!AU3444*CapacityAge01*'19_Расчет_аналитики'!$F$3247,0),0)</f>
        <v/>
      </c>
      <c r="AV3556">
        <f>IF('01_Вводные'!$B$234="Да",IF(IF('01_Вводные'!$B$296="Новый сезон",FALSE,FALSE),'19_Расчет_аналитики'!AV3444*CapacityAge01*'19_Расчет_аналитики'!$F$3247,0),0)</f>
        <v/>
      </c>
      <c r="AW3556">
        <f>IF('01_Вводные'!$B$234="Да",IF(IF('01_Вводные'!$B$296="Новый сезон",FALSE,FALSE),'19_Расчет_аналитики'!AW3444*CapacityAge01*'19_Расчет_аналитики'!$F$3247,0),0)</f>
        <v/>
      </c>
      <c r="AX3556">
        <f>IF('01_Вводные'!$B$234="Да",IF(IF('01_Вводные'!$B$296="Новый сезон",FALSE,FALSE),'19_Расчет_аналитики'!AX3444*CapacityAge01*'19_Расчет_аналитики'!$F$3247,0),0)</f>
        <v/>
      </c>
      <c r="AY3556">
        <f>IF('01_Вводные'!$B$234="Да",IF(IF('01_Вводные'!$B$296="Новый сезон",FALSE,FALSE),'19_Расчет_аналитики'!AY3444*CapacityAge01*'19_Расчет_аналитики'!$F$3247,0),0)</f>
        <v/>
      </c>
      <c r="AZ3556">
        <f>IF('01_Вводные'!$B$234="Да",IF(IF('01_Вводные'!$B$296="Новый сезон",FALSE,FALSE),'19_Расчет_аналитики'!AZ3444*CapacityAge01*'19_Расчет_аналитики'!$F$3247,0),0)</f>
        <v/>
      </c>
      <c r="BA3556">
        <f>IF('01_Вводные'!$B$234="Да",IF(IF('01_Вводные'!$B$296="Новый сезон",FALSE,FALSE),'19_Расчет_аналитики'!BA3444*CapacityAge01*'19_Расчет_аналитики'!$F$3247,0),0)</f>
        <v/>
      </c>
      <c r="BB3556">
        <f>IF('01_Вводные'!$B$234="Да",IF(IF('01_Вводные'!$B$296="Новый сезон",FALSE,FALSE),'19_Расчет_аналитики'!BB3444*CapacityAge01*'19_Расчет_аналитики'!$F$3247,0),0)</f>
        <v/>
      </c>
      <c r="BC3556">
        <f>IF('01_Вводные'!$B$234="Да",IF(IF('01_Вводные'!$B$296="Новый сезон",FALSE,FALSE),'19_Расчет_аналитики'!BC3444*CapacityAge01*'19_Расчет_аналитики'!$F$3247,0),0)</f>
        <v/>
      </c>
      <c r="BD3556">
        <f>IF('01_Вводные'!$B$234="Да",IF(IF('01_Вводные'!$B$296="Новый сезон",FALSE,FALSE),'19_Расчет_аналитики'!BD3444*CapacityAge01*'19_Расчет_аналитики'!$F$3247,0),0)</f>
        <v/>
      </c>
      <c r="BE3556">
        <f>IF('01_Вводные'!$B$234="Да",IF(IF('01_Вводные'!$B$296="Новый сезон",FALSE,FALSE),'19_Расчет_аналитики'!BE3444*CapacityAge01*'19_Расчет_аналитики'!$F$3247,0),0)</f>
        <v/>
      </c>
      <c r="BF3556">
        <f>IF('01_Вводные'!$B$234="Да",IF(IF('01_Вводные'!$B$296="Новый сезон",FALSE,FALSE),'19_Расчет_аналитики'!BF3444*CapacityAge01*'19_Расчет_аналитики'!$F$3247,0),0)</f>
        <v/>
      </c>
      <c r="BG3556">
        <f>IF('01_Вводные'!$B$234="Да",IF(IF('01_Вводные'!$B$296="Новый сезон",FALSE,FALSE),'19_Расчет_аналитики'!BG3444*CapacityAge01*'19_Расчет_аналитики'!$F$3247,0),0)</f>
        <v/>
      </c>
      <c r="BH3556">
        <f>IF('01_Вводные'!$B$234="Да",IF(IF('01_Вводные'!$B$296="Новый сезон",FALSE,FALSE),'19_Расчет_аналитики'!BH3444*CapacityAge01*'19_Расчет_аналитики'!$F$3247,0),0)</f>
        <v/>
      </c>
      <c r="BI3556">
        <f>IF('01_Вводные'!$B$234="Да",IF(IF('01_Вводные'!$B$296="Новый сезон",FALSE,FALSE),'19_Расчет_аналитики'!BI3444*CapacityAge01*'19_Расчет_аналитики'!$F$3247,0),0)</f>
        <v/>
      </c>
      <c r="BJ3556">
        <f>IF('01_Вводные'!$B$234="Да",IF(IF('01_Вводные'!$B$296="Новый сезон",FALSE,FALSE),'19_Расчет_аналитики'!BJ3444*CapacityAge01*'19_Расчет_аналитики'!$F$3247,0),0)</f>
        <v/>
      </c>
      <c r="BK3556">
        <f>IF('01_Вводные'!$B$234="Да",IF(IF('01_Вводные'!$B$296="Новый сезон",FALSE,FALSE),'19_Расчет_аналитики'!BK3444*CapacityAge01*'19_Расчет_аналитики'!$F$3247,0),0)</f>
        <v/>
      </c>
      <c r="BL3556">
        <f>IF('01_Вводные'!$B$234="Да",IF(IF('01_Вводные'!$B$296="Новый сезон",FALSE,FALSE),'19_Расчет_аналитики'!BL3444*CapacityAge01*'19_Расчет_аналитики'!$F$3247,0),0)</f>
        <v/>
      </c>
      <c r="BM3556">
        <f>IF('01_Вводные'!$B$234="Да",IF(IF('01_Вводные'!$B$296="Новый сезон",FALSE,FALSE),'19_Расчет_аналитики'!BM3444*CapacityAge01*'19_Расчет_аналитики'!$F$3247,0),0)</f>
        <v/>
      </c>
      <c r="BN3556">
        <f>IF('01_Вводные'!$B$234="Да",IF(IF('01_Вводные'!$B$296="Новый сезон",FALSE,FALSE),'19_Расчет_аналитики'!BN3444*CapacityAge01*'19_Расчет_аналитики'!$F$3247,0),0)</f>
        <v/>
      </c>
      <c r="BO3556">
        <f>IF('01_Вводные'!$B$234="Да",IF(IF('01_Вводные'!$B$296="Новый сезон",FALSE,FALSE),'19_Расчет_аналитики'!BO3444*CapacityAge01*'19_Расчет_аналитики'!$F$3247,0),0)</f>
        <v/>
      </c>
    </row>
    <row r="3557">
      <c r="B3557">
        <f>IF('01_Вводные'!$B$234="Да",IF(IF('01_Вводные'!$B$296="Новый сезон",FALSE,FALSE),'06_Сеть_и_дети'!B54*CapacityAge02*'19_Расчет_аналитики'!$F$3247,0),0)</f>
        <v/>
      </c>
      <c r="C3557">
        <f>IF('01_Вводные'!$B$234="Да",IF(IF('01_Вводные'!$B$296="Новый сезон",FALSE,FALSE),'19_Расчет_аналитики'!C3445*CapacityAge02*'19_Расчет_аналитики'!$F$3247,0),0)</f>
        <v/>
      </c>
      <c r="D3557">
        <f>IF('01_Вводные'!$B$234="Да",IF(IF('01_Вводные'!$B$296="Новый сезон",FALSE,FALSE),'19_Расчет_аналитики'!D3445*CapacityAge02*'19_Расчет_аналитики'!$F$3247,0),0)</f>
        <v/>
      </c>
      <c r="E3557">
        <f>IF('01_Вводные'!$B$234="Да",IF(IF('01_Вводные'!$B$296="Новый сезон",FALSE,FALSE),'19_Расчет_аналитики'!E3445*CapacityAge02*'19_Расчет_аналитики'!$F$3247,0),0)</f>
        <v/>
      </c>
      <c r="F3557">
        <f>IF('01_Вводные'!$B$234="Да",IF(IF('01_Вводные'!$B$296="Новый сезон",FALSE,FALSE),'19_Расчет_аналитики'!F3445*CapacityAge02*'19_Расчет_аналитики'!$F$3247,0),0)</f>
        <v/>
      </c>
      <c r="G3557">
        <f>IF('01_Вводные'!$B$234="Да",IF(IF('01_Вводные'!$B$296="Новый сезон",FALSE,FALSE),'19_Расчет_аналитики'!G3445*CapacityAge02*'19_Расчет_аналитики'!$F$3247,0),0)</f>
        <v/>
      </c>
      <c r="H3557">
        <f>IF('01_Вводные'!$B$234="Да",IF(IF('01_Вводные'!$B$296="Новый сезон",FALSE,FALSE),'19_Расчет_аналитики'!H3445*CapacityAge02*'19_Расчет_аналитики'!$F$3247,0),0)</f>
        <v/>
      </c>
      <c r="I3557">
        <f>IF('01_Вводные'!$B$234="Да",IF(IF('01_Вводные'!$B$296="Новый сезон",FALSE,FALSE),'19_Расчет_аналитики'!I3445*CapacityAge02*'19_Расчет_аналитики'!$F$3247,0),0)</f>
        <v/>
      </c>
      <c r="J3557">
        <f>IF('01_Вводные'!$B$234="Да",IF(IF('01_Вводные'!$B$296="Новый сезон",FALSE,FALSE),'19_Расчет_аналитики'!J3445*CapacityAge02*'19_Расчет_аналитики'!$F$3247,0),0)</f>
        <v/>
      </c>
      <c r="K3557">
        <f>IF('01_Вводные'!$B$234="Да",IF(IF('01_Вводные'!$B$296="Новый сезон",FALSE,FALSE),'19_Расчет_аналитики'!K3445*CapacityAge02*'19_Расчет_аналитики'!$F$3247,0),0)</f>
        <v/>
      </c>
      <c r="L3557">
        <f>IF('01_Вводные'!$B$234="Да",IF(IF('01_Вводные'!$B$296="Новый сезон",FALSE,FALSE),'19_Расчет_аналитики'!L3445*CapacityAge02*'19_Расчет_аналитики'!$F$3247,0),0)</f>
        <v/>
      </c>
      <c r="M3557">
        <f>IF('01_Вводные'!$B$234="Да",IF(IF('01_Вводные'!$B$296="Новый сезон",FALSE,FALSE),'19_Расчет_аналитики'!M3445*CapacityAge02*'19_Расчет_аналитики'!$F$3247,0),0)</f>
        <v/>
      </c>
      <c r="N3557">
        <f>IF('01_Вводные'!$B$234="Да",IF(IF('01_Вводные'!$B$296="Новый сезон",FALSE,FALSE),'19_Расчет_аналитики'!N3445*CapacityAge02*'19_Расчет_аналитики'!$F$3247,0),0)</f>
        <v/>
      </c>
      <c r="O3557">
        <f>IF('01_Вводные'!$B$234="Да",IF(IF('01_Вводные'!$B$296="Новый сезон",FALSE,FALSE),'19_Расчет_аналитики'!O3445*CapacityAge02*'19_Расчет_аналитики'!$F$3247,0),0)</f>
        <v/>
      </c>
      <c r="P3557">
        <f>IF('01_Вводные'!$B$234="Да",IF(IF('01_Вводные'!$B$296="Новый сезон",FALSE,FALSE),'19_Расчет_аналитики'!P3445*CapacityAge02*'19_Расчет_аналитики'!$F$3247,0),0)</f>
        <v/>
      </c>
      <c r="Q3557">
        <f>IF('01_Вводные'!$B$234="Да",IF(IF('01_Вводные'!$B$296="Новый сезон",FALSE,FALSE),'19_Расчет_аналитики'!Q3445*CapacityAge02*'19_Расчет_аналитики'!$F$3247,0),0)</f>
        <v/>
      </c>
      <c r="R3557">
        <f>IF('01_Вводные'!$B$234="Да",IF(IF('01_Вводные'!$B$296="Новый сезон",FALSE,FALSE),'19_Расчет_аналитики'!R3445*CapacityAge02*'19_Расчет_аналитики'!$F$3247,0),0)</f>
        <v/>
      </c>
      <c r="S3557">
        <f>IF('01_Вводные'!$B$234="Да",IF(IF('01_Вводные'!$B$296="Новый сезон",FALSE,FALSE),'19_Расчет_аналитики'!S3445*CapacityAge02*'19_Расчет_аналитики'!$F$3247,0),0)</f>
        <v/>
      </c>
      <c r="T3557">
        <f>IF('01_Вводные'!$B$234="Да",IF(IF('01_Вводные'!$B$296="Новый сезон",FALSE,FALSE),'19_Расчет_аналитики'!T3445*CapacityAge02*'19_Расчет_аналитики'!$F$3247,0),0)</f>
        <v/>
      </c>
      <c r="U3557">
        <f>IF('01_Вводные'!$B$234="Да",IF(IF('01_Вводные'!$B$296="Новый сезон",FALSE,FALSE),'19_Расчет_аналитики'!U3445*CapacityAge02*'19_Расчет_аналитики'!$F$3247,0),0)</f>
        <v/>
      </c>
      <c r="V3557">
        <f>IF('01_Вводные'!$B$234="Да",IF(IF('01_Вводные'!$B$296="Новый сезон",FALSE,FALSE),'19_Расчет_аналитики'!V3445*CapacityAge02*'19_Расчет_аналитики'!$F$3247,0),0)</f>
        <v/>
      </c>
      <c r="W3557">
        <f>IF('01_Вводные'!$B$234="Да",IF(IF('01_Вводные'!$B$296="Новый сезон",FALSE,FALSE),'19_Расчет_аналитики'!W3445*CapacityAge02*'19_Расчет_аналитики'!$F$3247,0),0)</f>
        <v/>
      </c>
      <c r="X3557">
        <f>IF('01_Вводные'!$B$234="Да",IF(IF('01_Вводные'!$B$296="Новый сезон",FALSE,FALSE),'19_Расчет_аналитики'!X3445*CapacityAge02*'19_Расчет_аналитики'!$F$3247,0),0)</f>
        <v/>
      </c>
      <c r="Y3557">
        <f>IF('01_Вводные'!$B$234="Да",IF(IF('01_Вводные'!$B$296="Новый сезон",FALSE,FALSE),'19_Расчет_аналитики'!Y3445*CapacityAge02*'19_Расчет_аналитики'!$F$3247,0),0)</f>
        <v/>
      </c>
      <c r="Z3557">
        <f>IF('01_Вводные'!$B$234="Да",IF(IF('01_Вводные'!$B$296="Новый сезон",FALSE,FALSE),'19_Расчет_аналитики'!Z3445*CapacityAge02*'19_Расчет_аналитики'!$F$3247,0),0)</f>
        <v/>
      </c>
      <c r="AA3557">
        <f>IF('01_Вводные'!$B$234="Да",IF(IF('01_Вводные'!$B$296="Новый сезон",FALSE,FALSE),'19_Расчет_аналитики'!AA3445*CapacityAge02*'19_Расчет_аналитики'!$F$3247,0),0)</f>
        <v/>
      </c>
      <c r="AB3557">
        <f>IF('01_Вводные'!$B$234="Да",IF(IF('01_Вводные'!$B$296="Новый сезон",FALSE,FALSE),'19_Расчет_аналитики'!AB3445*CapacityAge02*'19_Расчет_аналитики'!$F$3247,0),0)</f>
        <v/>
      </c>
      <c r="AC3557">
        <f>IF('01_Вводные'!$B$234="Да",IF(IF('01_Вводные'!$B$296="Новый сезон",FALSE,FALSE),'19_Расчет_аналитики'!AC3445*CapacityAge02*'19_Расчет_аналитики'!$F$3247,0),0)</f>
        <v/>
      </c>
      <c r="AD3557">
        <f>IF('01_Вводные'!$B$234="Да",IF(IF('01_Вводные'!$B$296="Новый сезон",FALSE,FALSE),'19_Расчет_аналитики'!AD3445*CapacityAge02*'19_Расчет_аналитики'!$F$3247,0),0)</f>
        <v/>
      </c>
      <c r="AE3557">
        <f>IF('01_Вводные'!$B$234="Да",IF(IF('01_Вводные'!$B$296="Новый сезон",FALSE,FALSE),'19_Расчет_аналитики'!AE3445*CapacityAge02*'19_Расчет_аналитики'!$F$3247,0),0)</f>
        <v/>
      </c>
      <c r="AF3557">
        <f>IF('01_Вводные'!$B$234="Да",IF(IF('01_Вводные'!$B$296="Новый сезон",FALSE,FALSE),'19_Расчет_аналитики'!AF3445*CapacityAge02*'19_Расчет_аналитики'!$F$3247,0),0)</f>
        <v/>
      </c>
      <c r="AG3557">
        <f>IF('01_Вводные'!$B$234="Да",IF(IF('01_Вводные'!$B$296="Новый сезон",FALSE,FALSE),'19_Расчет_аналитики'!AG3445*CapacityAge02*'19_Расчет_аналитики'!$F$3247,0),0)</f>
        <v/>
      </c>
      <c r="AH3557">
        <f>IF('01_Вводные'!$B$234="Да",IF(IF('01_Вводные'!$B$296="Новый сезон",FALSE,FALSE),'19_Расчет_аналитики'!AH3445*CapacityAge02*'19_Расчет_аналитики'!$F$3247,0),0)</f>
        <v/>
      </c>
      <c r="AI3557">
        <f>IF('01_Вводные'!$B$234="Да",IF(IF('01_Вводные'!$B$296="Новый сезон",FALSE,FALSE),'19_Расчет_аналитики'!AI3445*CapacityAge02*'19_Расчет_аналитики'!$F$3247,0),0)</f>
        <v/>
      </c>
      <c r="AJ3557">
        <f>IF('01_Вводные'!$B$234="Да",IF(IF('01_Вводные'!$B$296="Новый сезон",FALSE,FALSE),'19_Расчет_аналитики'!AJ3445*CapacityAge02*'19_Расчет_аналитики'!$F$3247,0),0)</f>
        <v/>
      </c>
      <c r="AK3557">
        <f>IF('01_Вводные'!$B$234="Да",IF(IF('01_Вводные'!$B$296="Новый сезон",FALSE,FALSE),'19_Расчет_аналитики'!AK3445*CapacityAge02*'19_Расчет_аналитики'!$F$3247,0),0)</f>
        <v/>
      </c>
      <c r="AL3557">
        <f>IF('01_Вводные'!$B$234="Да",IF(IF('01_Вводные'!$B$296="Новый сезон",FALSE,FALSE),'19_Расчет_аналитики'!AL3445*CapacityAge02*'19_Расчет_аналитики'!$F$3247,0),0)</f>
        <v/>
      </c>
      <c r="AM3557">
        <f>IF('01_Вводные'!$B$234="Да",IF(IF('01_Вводные'!$B$296="Новый сезон",FALSE,FALSE),'19_Расчет_аналитики'!AM3445*CapacityAge02*'19_Расчет_аналитики'!$F$3247,0),0)</f>
        <v/>
      </c>
      <c r="AN3557">
        <f>IF('01_Вводные'!$B$234="Да",IF(IF('01_Вводные'!$B$296="Новый сезон",FALSE,FALSE),'19_Расчет_аналитики'!AN3445*CapacityAge02*'19_Расчет_аналитики'!$F$3247,0),0)</f>
        <v/>
      </c>
      <c r="AO3557">
        <f>IF('01_Вводные'!$B$234="Да",IF(IF('01_Вводные'!$B$296="Новый сезон",FALSE,FALSE),'19_Расчет_аналитики'!AO3445*CapacityAge02*'19_Расчет_аналитики'!$F$3247,0),0)</f>
        <v/>
      </c>
      <c r="AP3557">
        <f>IF('01_Вводные'!$B$234="Да",IF(IF('01_Вводные'!$B$296="Новый сезон",FALSE,FALSE),'19_Расчет_аналитики'!AP3445*CapacityAge02*'19_Расчет_аналитики'!$F$3247,0),0)</f>
        <v/>
      </c>
      <c r="AQ3557">
        <f>IF('01_Вводные'!$B$234="Да",IF(IF('01_Вводные'!$B$296="Новый сезон",FALSE,FALSE),'19_Расчет_аналитики'!AQ3445*CapacityAge02*'19_Расчет_аналитики'!$F$3247,0),0)</f>
        <v/>
      </c>
      <c r="AR3557">
        <f>IF('01_Вводные'!$B$234="Да",IF(IF('01_Вводные'!$B$296="Новый сезон",FALSE,FALSE),'19_Расчет_аналитики'!AR3445*CapacityAge02*'19_Расчет_аналитики'!$F$3247,0),0)</f>
        <v/>
      </c>
      <c r="AS3557">
        <f>IF('01_Вводные'!$B$234="Да",IF(IF('01_Вводные'!$B$296="Новый сезон",FALSE,FALSE),'19_Расчет_аналитики'!AS3445*CapacityAge02*'19_Расчет_аналитики'!$F$3247,0),0)</f>
        <v/>
      </c>
      <c r="AT3557">
        <f>IF('01_Вводные'!$B$234="Да",IF(IF('01_Вводные'!$B$296="Новый сезон",FALSE,FALSE),'19_Расчет_аналитики'!AT3445*CapacityAge02*'19_Расчет_аналитики'!$F$3247,0),0)</f>
        <v/>
      </c>
      <c r="AU3557">
        <f>IF('01_Вводные'!$B$234="Да",IF(IF('01_Вводные'!$B$296="Новый сезон",FALSE,FALSE),'19_Расчет_аналитики'!AU3445*CapacityAge02*'19_Расчет_аналитики'!$F$3247,0),0)</f>
        <v/>
      </c>
      <c r="AV3557">
        <f>IF('01_Вводные'!$B$234="Да",IF(IF('01_Вводные'!$B$296="Новый сезон",FALSE,FALSE),'19_Расчет_аналитики'!AV3445*CapacityAge02*'19_Расчет_аналитики'!$F$3247,0),0)</f>
        <v/>
      </c>
      <c r="AW3557">
        <f>IF('01_Вводные'!$B$234="Да",IF(IF('01_Вводные'!$B$296="Новый сезон",FALSE,FALSE),'19_Расчет_аналитики'!AW3445*CapacityAge02*'19_Расчет_аналитики'!$F$3247,0),0)</f>
        <v/>
      </c>
      <c r="AX3557">
        <f>IF('01_Вводные'!$B$234="Да",IF(IF('01_Вводные'!$B$296="Новый сезон",FALSE,FALSE),'19_Расчет_аналитики'!AX3445*CapacityAge02*'19_Расчет_аналитики'!$F$3247,0),0)</f>
        <v/>
      </c>
      <c r="AY3557">
        <f>IF('01_Вводные'!$B$234="Да",IF(IF('01_Вводные'!$B$296="Новый сезон",FALSE,FALSE),'19_Расчет_аналитики'!AY3445*CapacityAge02*'19_Расчет_аналитики'!$F$3247,0),0)</f>
        <v/>
      </c>
      <c r="AZ3557">
        <f>IF('01_Вводные'!$B$234="Да",IF(IF('01_Вводные'!$B$296="Новый сезон",FALSE,FALSE),'19_Расчет_аналитики'!AZ3445*CapacityAge02*'19_Расчет_аналитики'!$F$3247,0),0)</f>
        <v/>
      </c>
      <c r="BA3557">
        <f>IF('01_Вводные'!$B$234="Да",IF(IF('01_Вводные'!$B$296="Новый сезон",FALSE,FALSE),'19_Расчет_аналитики'!BA3445*CapacityAge02*'19_Расчет_аналитики'!$F$3247,0),0)</f>
        <v/>
      </c>
      <c r="BB3557">
        <f>IF('01_Вводные'!$B$234="Да",IF(IF('01_Вводные'!$B$296="Новый сезон",FALSE,FALSE),'19_Расчет_аналитики'!BB3445*CapacityAge02*'19_Расчет_аналитики'!$F$3247,0),0)</f>
        <v/>
      </c>
      <c r="BC3557">
        <f>IF('01_Вводные'!$B$234="Да",IF(IF('01_Вводные'!$B$296="Новый сезон",FALSE,FALSE),'19_Расчет_аналитики'!BC3445*CapacityAge02*'19_Расчет_аналитики'!$F$3247,0),0)</f>
        <v/>
      </c>
      <c r="BD3557">
        <f>IF('01_Вводные'!$B$234="Да",IF(IF('01_Вводные'!$B$296="Новый сезон",FALSE,FALSE),'19_Расчет_аналитики'!BD3445*CapacityAge02*'19_Расчет_аналитики'!$F$3247,0),0)</f>
        <v/>
      </c>
      <c r="BE3557">
        <f>IF('01_Вводные'!$B$234="Да",IF(IF('01_Вводные'!$B$296="Новый сезон",FALSE,FALSE),'19_Расчет_аналитики'!BE3445*CapacityAge02*'19_Расчет_аналитики'!$F$3247,0),0)</f>
        <v/>
      </c>
      <c r="BF3557">
        <f>IF('01_Вводные'!$B$234="Да",IF(IF('01_Вводные'!$B$296="Новый сезон",FALSE,FALSE),'19_Расчет_аналитики'!BF3445*CapacityAge02*'19_Расчет_аналитики'!$F$3247,0),0)</f>
        <v/>
      </c>
      <c r="BG3557">
        <f>IF('01_Вводные'!$B$234="Да",IF(IF('01_Вводные'!$B$296="Новый сезон",FALSE,FALSE),'19_Расчет_аналитики'!BG3445*CapacityAge02*'19_Расчет_аналитики'!$F$3247,0),0)</f>
        <v/>
      </c>
      <c r="BH3557">
        <f>IF('01_Вводные'!$B$234="Да",IF(IF('01_Вводные'!$B$296="Новый сезон",FALSE,FALSE),'19_Расчет_аналитики'!BH3445*CapacityAge02*'19_Расчет_аналитики'!$F$3247,0),0)</f>
        <v/>
      </c>
      <c r="BI3557">
        <f>IF('01_Вводные'!$B$234="Да",IF(IF('01_Вводные'!$B$296="Новый сезон",FALSE,FALSE),'19_Расчет_аналитики'!BI3445*CapacityAge02*'19_Расчет_аналитики'!$F$3247,0),0)</f>
        <v/>
      </c>
      <c r="BJ3557">
        <f>IF('01_Вводные'!$B$234="Да",IF(IF('01_Вводные'!$B$296="Новый сезон",FALSE,FALSE),'19_Расчет_аналитики'!BJ3445*CapacityAge02*'19_Расчет_аналитики'!$F$3247,0),0)</f>
        <v/>
      </c>
      <c r="BK3557">
        <f>IF('01_Вводные'!$B$234="Да",IF(IF('01_Вводные'!$B$296="Новый сезон",FALSE,FALSE),'19_Расчет_аналитики'!BK3445*CapacityAge02*'19_Расчет_аналитики'!$F$3247,0),0)</f>
        <v/>
      </c>
      <c r="BL3557">
        <f>IF('01_Вводные'!$B$234="Да",IF(IF('01_Вводные'!$B$296="Новый сезон",FALSE,FALSE),'19_Расчет_аналитики'!BL3445*CapacityAge02*'19_Расчет_аналитики'!$F$3247,0),0)</f>
        <v/>
      </c>
      <c r="BM3557">
        <f>IF('01_Вводные'!$B$234="Да",IF(IF('01_Вводные'!$B$296="Новый сезон",FALSE,FALSE),'19_Расчет_аналитики'!BM3445*CapacityAge02*'19_Расчет_аналитики'!$F$3247,0),0)</f>
        <v/>
      </c>
      <c r="BN3557">
        <f>IF('01_Вводные'!$B$234="Да",IF(IF('01_Вводные'!$B$296="Новый сезон",FALSE,FALSE),'19_Расчет_аналитики'!BN3445*CapacityAge02*'19_Расчет_аналитики'!$F$3247,0),0)</f>
        <v/>
      </c>
      <c r="BO3557">
        <f>IF('01_Вводные'!$B$234="Да",IF(IF('01_Вводные'!$B$296="Новый сезон",FALSE,FALSE),'19_Расчет_аналитики'!BO3445*CapacityAge02*'19_Расчет_аналитики'!$F$3247,0),0)</f>
        <v/>
      </c>
    </row>
    <row r="3558">
      <c r="B3558">
        <f>IF('01_Вводные'!$B$234="Да",IF(IF('01_Вводные'!$B$296="Новый сезон",FALSE,FALSE),'06_Сеть_и_дети'!B55*CapacityAge03*'19_Расчет_аналитики'!$F$3247,0),0)</f>
        <v/>
      </c>
      <c r="C3558">
        <f>IF('01_Вводные'!$B$234="Да",IF(IF('01_Вводные'!$B$296="Новый сезон",FALSE,FALSE),'06_Сеть_и_дети'!C55*CapacityAge03*'19_Расчет_аналитики'!$F$3247,0),0)</f>
        <v/>
      </c>
      <c r="D3558">
        <f>IF('01_Вводные'!$B$234="Да",IF(IF('01_Вводные'!$B$296="Новый сезон",FALSE,FALSE),'19_Расчет_аналитики'!D3446*CapacityAge03*'19_Расчет_аналитики'!$F$3247,0),0)</f>
        <v/>
      </c>
      <c r="E3558">
        <f>IF('01_Вводные'!$B$234="Да",IF(IF('01_Вводные'!$B$296="Новый сезон",FALSE,FALSE),'19_Расчет_аналитики'!E3446*CapacityAge03*'19_Расчет_аналитики'!$F$3247,0),0)</f>
        <v/>
      </c>
      <c r="F3558">
        <f>IF('01_Вводные'!$B$234="Да",IF(IF('01_Вводные'!$B$296="Новый сезон",FALSE,FALSE),'19_Расчет_аналитики'!F3446*CapacityAge03*'19_Расчет_аналитики'!$F$3247,0),0)</f>
        <v/>
      </c>
      <c r="G3558">
        <f>IF('01_Вводные'!$B$234="Да",IF(IF('01_Вводные'!$B$296="Новый сезон",FALSE,FALSE),'19_Расчет_аналитики'!G3446*CapacityAge03*'19_Расчет_аналитики'!$F$3247,0),0)</f>
        <v/>
      </c>
      <c r="H3558">
        <f>IF('01_Вводные'!$B$234="Да",IF(IF('01_Вводные'!$B$296="Новый сезон",FALSE,FALSE),'19_Расчет_аналитики'!H3446*CapacityAge03*'19_Расчет_аналитики'!$F$3247,0),0)</f>
        <v/>
      </c>
      <c r="I3558">
        <f>IF('01_Вводные'!$B$234="Да",IF(IF('01_Вводные'!$B$296="Новый сезон",FALSE,FALSE),'19_Расчет_аналитики'!I3446*CapacityAge03*'19_Расчет_аналитики'!$F$3247,0),0)</f>
        <v/>
      </c>
      <c r="J3558">
        <f>IF('01_Вводные'!$B$234="Да",IF(IF('01_Вводные'!$B$296="Новый сезон",FALSE,FALSE),'19_Расчет_аналитики'!J3446*CapacityAge03*'19_Расчет_аналитики'!$F$3247,0),0)</f>
        <v/>
      </c>
      <c r="K3558">
        <f>IF('01_Вводные'!$B$234="Да",IF(IF('01_Вводные'!$B$296="Новый сезон",FALSE,FALSE),'19_Расчет_аналитики'!K3446*CapacityAge03*'19_Расчет_аналитики'!$F$3247,0),0)</f>
        <v/>
      </c>
      <c r="L3558">
        <f>IF('01_Вводные'!$B$234="Да",IF(IF('01_Вводные'!$B$296="Новый сезон",FALSE,FALSE),'19_Расчет_аналитики'!L3446*CapacityAge03*'19_Расчет_аналитики'!$F$3247,0),0)</f>
        <v/>
      </c>
      <c r="M3558">
        <f>IF('01_Вводные'!$B$234="Да",IF(IF('01_Вводные'!$B$296="Новый сезон",FALSE,FALSE),'19_Расчет_аналитики'!M3446*CapacityAge03*'19_Расчет_аналитики'!$F$3247,0),0)</f>
        <v/>
      </c>
      <c r="N3558">
        <f>IF('01_Вводные'!$B$234="Да",IF(IF('01_Вводные'!$B$296="Новый сезон",FALSE,FALSE),'19_Расчет_аналитики'!N3446*CapacityAge03*'19_Расчет_аналитики'!$F$3247,0),0)</f>
        <v/>
      </c>
      <c r="O3558">
        <f>IF('01_Вводные'!$B$234="Да",IF(IF('01_Вводные'!$B$296="Новый сезон",FALSE,FALSE),'19_Расчет_аналитики'!O3446*CapacityAge03*'19_Расчет_аналитики'!$F$3247,0),0)</f>
        <v/>
      </c>
      <c r="P3558">
        <f>IF('01_Вводные'!$B$234="Да",IF(IF('01_Вводные'!$B$296="Новый сезон",FALSE,FALSE),'19_Расчет_аналитики'!P3446*CapacityAge03*'19_Расчет_аналитики'!$F$3247,0),0)</f>
        <v/>
      </c>
      <c r="Q3558">
        <f>IF('01_Вводные'!$B$234="Да",IF(IF('01_Вводные'!$B$296="Новый сезон",FALSE,FALSE),'19_Расчет_аналитики'!Q3446*CapacityAge03*'19_Расчет_аналитики'!$F$3247,0),0)</f>
        <v/>
      </c>
      <c r="R3558">
        <f>IF('01_Вводные'!$B$234="Да",IF(IF('01_Вводные'!$B$296="Новый сезон",FALSE,FALSE),'19_Расчет_аналитики'!R3446*CapacityAge03*'19_Расчет_аналитики'!$F$3247,0),0)</f>
        <v/>
      </c>
      <c r="S3558">
        <f>IF('01_Вводные'!$B$234="Да",IF(IF('01_Вводные'!$B$296="Новый сезон",FALSE,FALSE),'19_Расчет_аналитики'!S3446*CapacityAge03*'19_Расчет_аналитики'!$F$3247,0),0)</f>
        <v/>
      </c>
      <c r="T3558">
        <f>IF('01_Вводные'!$B$234="Да",IF(IF('01_Вводные'!$B$296="Новый сезон",FALSE,FALSE),'19_Расчет_аналитики'!T3446*CapacityAge03*'19_Расчет_аналитики'!$F$3247,0),0)</f>
        <v/>
      </c>
      <c r="U3558">
        <f>IF('01_Вводные'!$B$234="Да",IF(IF('01_Вводные'!$B$296="Новый сезон",FALSE,FALSE),'19_Расчет_аналитики'!U3446*CapacityAge03*'19_Расчет_аналитики'!$F$3247,0),0)</f>
        <v/>
      </c>
      <c r="V3558">
        <f>IF('01_Вводные'!$B$234="Да",IF(IF('01_Вводные'!$B$296="Новый сезон",FALSE,FALSE),'19_Расчет_аналитики'!V3446*CapacityAge03*'19_Расчет_аналитики'!$F$3247,0),0)</f>
        <v/>
      </c>
      <c r="W3558">
        <f>IF('01_Вводные'!$B$234="Да",IF(IF('01_Вводные'!$B$296="Новый сезон",FALSE,FALSE),'19_Расчет_аналитики'!W3446*CapacityAge03*'19_Расчет_аналитики'!$F$3247,0),0)</f>
        <v/>
      </c>
      <c r="X3558">
        <f>IF('01_Вводные'!$B$234="Да",IF(IF('01_Вводные'!$B$296="Новый сезон",FALSE,FALSE),'19_Расчет_аналитики'!X3446*CapacityAge03*'19_Расчет_аналитики'!$F$3247,0),0)</f>
        <v/>
      </c>
      <c r="Y3558">
        <f>IF('01_Вводные'!$B$234="Да",IF(IF('01_Вводные'!$B$296="Новый сезон",FALSE,FALSE),'19_Расчет_аналитики'!Y3446*CapacityAge03*'19_Расчет_аналитики'!$F$3247,0),0)</f>
        <v/>
      </c>
      <c r="Z3558">
        <f>IF('01_Вводные'!$B$234="Да",IF(IF('01_Вводные'!$B$296="Новый сезон",FALSE,FALSE),'19_Расчет_аналитики'!Z3446*CapacityAge03*'19_Расчет_аналитики'!$F$3247,0),0)</f>
        <v/>
      </c>
      <c r="AA3558">
        <f>IF('01_Вводные'!$B$234="Да",IF(IF('01_Вводные'!$B$296="Новый сезон",FALSE,FALSE),'19_Расчет_аналитики'!AA3446*CapacityAge03*'19_Расчет_аналитики'!$F$3247,0),0)</f>
        <v/>
      </c>
      <c r="AB3558">
        <f>IF('01_Вводные'!$B$234="Да",IF(IF('01_Вводные'!$B$296="Новый сезон",FALSE,FALSE),'19_Расчет_аналитики'!AB3446*CapacityAge03*'19_Расчет_аналитики'!$F$3247,0),0)</f>
        <v/>
      </c>
      <c r="AC3558">
        <f>IF('01_Вводные'!$B$234="Да",IF(IF('01_Вводные'!$B$296="Новый сезон",FALSE,FALSE),'19_Расчет_аналитики'!AC3446*CapacityAge03*'19_Расчет_аналитики'!$F$3247,0),0)</f>
        <v/>
      </c>
      <c r="AD3558">
        <f>IF('01_Вводные'!$B$234="Да",IF(IF('01_Вводные'!$B$296="Новый сезон",FALSE,FALSE),'19_Расчет_аналитики'!AD3446*CapacityAge03*'19_Расчет_аналитики'!$F$3247,0),0)</f>
        <v/>
      </c>
      <c r="AE3558">
        <f>IF('01_Вводные'!$B$234="Да",IF(IF('01_Вводные'!$B$296="Новый сезон",FALSE,FALSE),'19_Расчет_аналитики'!AE3446*CapacityAge03*'19_Расчет_аналитики'!$F$3247,0),0)</f>
        <v/>
      </c>
      <c r="AF3558">
        <f>IF('01_Вводные'!$B$234="Да",IF(IF('01_Вводные'!$B$296="Новый сезон",FALSE,FALSE),'19_Расчет_аналитики'!AF3446*CapacityAge03*'19_Расчет_аналитики'!$F$3247,0),0)</f>
        <v/>
      </c>
      <c r="AG3558">
        <f>IF('01_Вводные'!$B$234="Да",IF(IF('01_Вводные'!$B$296="Новый сезон",FALSE,FALSE),'19_Расчет_аналитики'!AG3446*CapacityAge03*'19_Расчет_аналитики'!$F$3247,0),0)</f>
        <v/>
      </c>
      <c r="AH3558">
        <f>IF('01_Вводные'!$B$234="Да",IF(IF('01_Вводные'!$B$296="Новый сезон",FALSE,FALSE),'19_Расчет_аналитики'!AH3446*CapacityAge03*'19_Расчет_аналитики'!$F$3247,0),0)</f>
        <v/>
      </c>
      <c r="AI3558">
        <f>IF('01_Вводные'!$B$234="Да",IF(IF('01_Вводные'!$B$296="Новый сезон",FALSE,FALSE),'19_Расчет_аналитики'!AI3446*CapacityAge03*'19_Расчет_аналитики'!$F$3247,0),0)</f>
        <v/>
      </c>
      <c r="AJ3558">
        <f>IF('01_Вводные'!$B$234="Да",IF(IF('01_Вводные'!$B$296="Новый сезон",FALSE,FALSE),'19_Расчет_аналитики'!AJ3446*CapacityAge03*'19_Расчет_аналитики'!$F$3247,0),0)</f>
        <v/>
      </c>
      <c r="AK3558">
        <f>IF('01_Вводные'!$B$234="Да",IF(IF('01_Вводные'!$B$296="Новый сезон",FALSE,FALSE),'19_Расчет_аналитики'!AK3446*CapacityAge03*'19_Расчет_аналитики'!$F$3247,0),0)</f>
        <v/>
      </c>
      <c r="AL3558">
        <f>IF('01_Вводные'!$B$234="Да",IF(IF('01_Вводные'!$B$296="Новый сезон",FALSE,FALSE),'19_Расчет_аналитики'!AL3446*CapacityAge03*'19_Расчет_аналитики'!$F$3247,0),0)</f>
        <v/>
      </c>
      <c r="AM3558">
        <f>IF('01_Вводные'!$B$234="Да",IF(IF('01_Вводные'!$B$296="Новый сезон",FALSE,FALSE),'19_Расчет_аналитики'!AM3446*CapacityAge03*'19_Расчет_аналитики'!$F$3247,0),0)</f>
        <v/>
      </c>
      <c r="AN3558">
        <f>IF('01_Вводные'!$B$234="Да",IF(IF('01_Вводные'!$B$296="Новый сезон",FALSE,FALSE),'19_Расчет_аналитики'!AN3446*CapacityAge03*'19_Расчет_аналитики'!$F$3247,0),0)</f>
        <v/>
      </c>
      <c r="AO3558">
        <f>IF('01_Вводные'!$B$234="Да",IF(IF('01_Вводные'!$B$296="Новый сезон",FALSE,FALSE),'19_Расчет_аналитики'!AO3446*CapacityAge03*'19_Расчет_аналитики'!$F$3247,0),0)</f>
        <v/>
      </c>
      <c r="AP3558">
        <f>IF('01_Вводные'!$B$234="Да",IF(IF('01_Вводные'!$B$296="Новый сезон",FALSE,FALSE),'19_Расчет_аналитики'!AP3446*CapacityAge03*'19_Расчет_аналитики'!$F$3247,0),0)</f>
        <v/>
      </c>
      <c r="AQ3558">
        <f>IF('01_Вводные'!$B$234="Да",IF(IF('01_Вводные'!$B$296="Новый сезон",FALSE,FALSE),'19_Расчет_аналитики'!AQ3446*CapacityAge03*'19_Расчет_аналитики'!$F$3247,0),0)</f>
        <v/>
      </c>
      <c r="AR3558">
        <f>IF('01_Вводные'!$B$234="Да",IF(IF('01_Вводные'!$B$296="Новый сезон",FALSE,FALSE),'19_Расчет_аналитики'!AR3446*CapacityAge03*'19_Расчет_аналитики'!$F$3247,0),0)</f>
        <v/>
      </c>
      <c r="AS3558">
        <f>IF('01_Вводные'!$B$234="Да",IF(IF('01_Вводные'!$B$296="Новый сезон",FALSE,FALSE),'19_Расчет_аналитики'!AS3446*CapacityAge03*'19_Расчет_аналитики'!$F$3247,0),0)</f>
        <v/>
      </c>
      <c r="AT3558">
        <f>IF('01_Вводные'!$B$234="Да",IF(IF('01_Вводные'!$B$296="Новый сезон",FALSE,FALSE),'19_Расчет_аналитики'!AT3446*CapacityAge03*'19_Расчет_аналитики'!$F$3247,0),0)</f>
        <v/>
      </c>
      <c r="AU3558">
        <f>IF('01_Вводные'!$B$234="Да",IF(IF('01_Вводные'!$B$296="Новый сезон",FALSE,FALSE),'19_Расчет_аналитики'!AU3446*CapacityAge03*'19_Расчет_аналитики'!$F$3247,0),0)</f>
        <v/>
      </c>
      <c r="AV3558">
        <f>IF('01_Вводные'!$B$234="Да",IF(IF('01_Вводные'!$B$296="Новый сезон",FALSE,FALSE),'19_Расчет_аналитики'!AV3446*CapacityAge03*'19_Расчет_аналитики'!$F$3247,0),0)</f>
        <v/>
      </c>
      <c r="AW3558">
        <f>IF('01_Вводные'!$B$234="Да",IF(IF('01_Вводные'!$B$296="Новый сезон",FALSE,FALSE),'19_Расчет_аналитики'!AW3446*CapacityAge03*'19_Расчет_аналитики'!$F$3247,0),0)</f>
        <v/>
      </c>
      <c r="AX3558">
        <f>IF('01_Вводные'!$B$234="Да",IF(IF('01_Вводные'!$B$296="Новый сезон",FALSE,FALSE),'19_Расчет_аналитики'!AX3446*CapacityAge03*'19_Расчет_аналитики'!$F$3247,0),0)</f>
        <v/>
      </c>
      <c r="AY3558">
        <f>IF('01_Вводные'!$B$234="Да",IF(IF('01_Вводные'!$B$296="Новый сезон",FALSE,FALSE),'19_Расчет_аналитики'!AY3446*CapacityAge03*'19_Расчет_аналитики'!$F$3247,0),0)</f>
        <v/>
      </c>
      <c r="AZ3558">
        <f>IF('01_Вводные'!$B$234="Да",IF(IF('01_Вводные'!$B$296="Новый сезон",FALSE,FALSE),'19_Расчет_аналитики'!AZ3446*CapacityAge03*'19_Расчет_аналитики'!$F$3247,0),0)</f>
        <v/>
      </c>
      <c r="BA3558">
        <f>IF('01_Вводные'!$B$234="Да",IF(IF('01_Вводные'!$B$296="Новый сезон",FALSE,FALSE),'19_Расчет_аналитики'!BA3446*CapacityAge03*'19_Расчет_аналитики'!$F$3247,0),0)</f>
        <v/>
      </c>
      <c r="BB3558">
        <f>IF('01_Вводные'!$B$234="Да",IF(IF('01_Вводные'!$B$296="Новый сезон",FALSE,FALSE),'19_Расчет_аналитики'!BB3446*CapacityAge03*'19_Расчет_аналитики'!$F$3247,0),0)</f>
        <v/>
      </c>
      <c r="BC3558">
        <f>IF('01_Вводные'!$B$234="Да",IF(IF('01_Вводные'!$B$296="Новый сезон",FALSE,FALSE),'19_Расчет_аналитики'!BC3446*CapacityAge03*'19_Расчет_аналитики'!$F$3247,0),0)</f>
        <v/>
      </c>
      <c r="BD3558">
        <f>IF('01_Вводные'!$B$234="Да",IF(IF('01_Вводные'!$B$296="Новый сезон",FALSE,FALSE),'19_Расчет_аналитики'!BD3446*CapacityAge03*'19_Расчет_аналитики'!$F$3247,0),0)</f>
        <v/>
      </c>
      <c r="BE3558">
        <f>IF('01_Вводные'!$B$234="Да",IF(IF('01_Вводные'!$B$296="Новый сезон",FALSE,FALSE),'19_Расчет_аналитики'!BE3446*CapacityAge03*'19_Расчет_аналитики'!$F$3247,0),0)</f>
        <v/>
      </c>
      <c r="BF3558">
        <f>IF('01_Вводные'!$B$234="Да",IF(IF('01_Вводные'!$B$296="Новый сезон",FALSE,FALSE),'19_Расчет_аналитики'!BF3446*CapacityAge03*'19_Расчет_аналитики'!$F$3247,0),0)</f>
        <v/>
      </c>
      <c r="BG3558">
        <f>IF('01_Вводные'!$B$234="Да",IF(IF('01_Вводные'!$B$296="Новый сезон",FALSE,FALSE),'19_Расчет_аналитики'!BG3446*CapacityAge03*'19_Расчет_аналитики'!$F$3247,0),0)</f>
        <v/>
      </c>
      <c r="BH3558">
        <f>IF('01_Вводные'!$B$234="Да",IF(IF('01_Вводные'!$B$296="Новый сезон",FALSE,FALSE),'19_Расчет_аналитики'!BH3446*CapacityAge03*'19_Расчет_аналитики'!$F$3247,0),0)</f>
        <v/>
      </c>
      <c r="BI3558">
        <f>IF('01_Вводные'!$B$234="Да",IF(IF('01_Вводные'!$B$296="Новый сезон",FALSE,FALSE),'19_Расчет_аналитики'!BI3446*CapacityAge03*'19_Расчет_аналитики'!$F$3247,0),0)</f>
        <v/>
      </c>
      <c r="BJ3558">
        <f>IF('01_Вводные'!$B$234="Да",IF(IF('01_Вводные'!$B$296="Новый сезон",FALSE,FALSE),'19_Расчет_аналитики'!BJ3446*CapacityAge03*'19_Расчет_аналитики'!$F$3247,0),0)</f>
        <v/>
      </c>
      <c r="BK3558">
        <f>IF('01_Вводные'!$B$234="Да",IF(IF('01_Вводные'!$B$296="Новый сезон",FALSE,FALSE),'19_Расчет_аналитики'!BK3446*CapacityAge03*'19_Расчет_аналитики'!$F$3247,0),0)</f>
        <v/>
      </c>
      <c r="BL3558">
        <f>IF('01_Вводные'!$B$234="Да",IF(IF('01_Вводные'!$B$296="Новый сезон",FALSE,FALSE),'19_Расчет_аналитики'!BL3446*CapacityAge03*'19_Расчет_аналитики'!$F$3247,0),0)</f>
        <v/>
      </c>
      <c r="BM3558">
        <f>IF('01_Вводные'!$B$234="Да",IF(IF('01_Вводные'!$B$296="Новый сезон",FALSE,FALSE),'19_Расчет_аналитики'!BM3446*CapacityAge03*'19_Расчет_аналитики'!$F$3247,0),0)</f>
        <v/>
      </c>
      <c r="BN3558">
        <f>IF('01_Вводные'!$B$234="Да",IF(IF('01_Вводные'!$B$296="Новый сезон",FALSE,FALSE),'19_Расчет_аналитики'!BN3446*CapacityAge03*'19_Расчет_аналитики'!$F$3247,0),0)</f>
        <v/>
      </c>
      <c r="BO3558">
        <f>IF('01_Вводные'!$B$234="Да",IF(IF('01_Вводные'!$B$296="Новый сезон",FALSE,FALSE),'19_Расчет_аналитики'!BO3446*CapacityAge03*'19_Расчет_аналитики'!$F$3247,0),0)</f>
        <v/>
      </c>
    </row>
    <row r="3559">
      <c r="B3559">
        <f>IF('01_Вводные'!$B$234="Да",IF(IF('01_Вводные'!$B$296="Новый сезон",FALSE,FALSE),'06_Сеть_и_дети'!B56*CapacityAge04*'19_Расчет_аналитики'!$F$3247,0),0)</f>
        <v/>
      </c>
      <c r="C3559">
        <f>IF('01_Вводные'!$B$234="Да",IF(IF('01_Вводные'!$B$296="Новый сезон",FALSE,FALSE),'06_Сеть_и_дети'!C56*CapacityAge04*'19_Расчет_аналитики'!$F$3247,0),0)</f>
        <v/>
      </c>
      <c r="D3559">
        <f>IF('01_Вводные'!$B$234="Да",IF(IF('01_Вводные'!$B$296="Новый сезон",FALSE,FALSE),'06_Сеть_и_дети'!D56*CapacityAge04*'19_Расчет_аналитики'!$F$3247,0),0)</f>
        <v/>
      </c>
      <c r="E3559">
        <f>IF('01_Вводные'!$B$234="Да",IF(IF('01_Вводные'!$B$296="Новый сезон",FALSE,FALSE),'19_Расчет_аналитики'!E3447*CapacityAge04*'19_Расчет_аналитики'!$F$3247,0),0)</f>
        <v/>
      </c>
      <c r="F3559">
        <f>IF('01_Вводные'!$B$234="Да",IF(IF('01_Вводные'!$B$296="Новый сезон",FALSE,FALSE),'19_Расчет_аналитики'!F3447*CapacityAge04*'19_Расчет_аналитики'!$F$3247,0),0)</f>
        <v/>
      </c>
      <c r="G3559">
        <f>IF('01_Вводные'!$B$234="Да",IF(IF('01_Вводные'!$B$296="Новый сезон",FALSE,FALSE),'19_Расчет_аналитики'!G3447*CapacityAge04*'19_Расчет_аналитики'!$F$3247,0),0)</f>
        <v/>
      </c>
      <c r="H3559">
        <f>IF('01_Вводные'!$B$234="Да",IF(IF('01_Вводные'!$B$296="Новый сезон",FALSE,FALSE),'19_Расчет_аналитики'!H3447*CapacityAge04*'19_Расчет_аналитики'!$F$3247,0),0)</f>
        <v/>
      </c>
      <c r="I3559">
        <f>IF('01_Вводные'!$B$234="Да",IF(IF('01_Вводные'!$B$296="Новый сезон",FALSE,FALSE),'19_Расчет_аналитики'!I3447*CapacityAge04*'19_Расчет_аналитики'!$F$3247,0),0)</f>
        <v/>
      </c>
      <c r="J3559">
        <f>IF('01_Вводные'!$B$234="Да",IF(IF('01_Вводные'!$B$296="Новый сезон",FALSE,FALSE),'19_Расчет_аналитики'!J3447*CapacityAge04*'19_Расчет_аналитики'!$F$3247,0),0)</f>
        <v/>
      </c>
      <c r="K3559">
        <f>IF('01_Вводные'!$B$234="Да",IF(IF('01_Вводные'!$B$296="Новый сезон",FALSE,FALSE),'19_Расчет_аналитики'!K3447*CapacityAge04*'19_Расчет_аналитики'!$F$3247,0),0)</f>
        <v/>
      </c>
      <c r="L3559">
        <f>IF('01_Вводные'!$B$234="Да",IF(IF('01_Вводные'!$B$296="Новый сезон",FALSE,FALSE),'19_Расчет_аналитики'!L3447*CapacityAge04*'19_Расчет_аналитики'!$F$3247,0),0)</f>
        <v/>
      </c>
      <c r="M3559">
        <f>IF('01_Вводные'!$B$234="Да",IF(IF('01_Вводные'!$B$296="Новый сезон",FALSE,FALSE),'19_Расчет_аналитики'!M3447*CapacityAge04*'19_Расчет_аналитики'!$F$3247,0),0)</f>
        <v/>
      </c>
      <c r="N3559">
        <f>IF('01_Вводные'!$B$234="Да",IF(IF('01_Вводные'!$B$296="Новый сезон",FALSE,FALSE),'19_Расчет_аналитики'!N3447*CapacityAge04*'19_Расчет_аналитики'!$F$3247,0),0)</f>
        <v/>
      </c>
      <c r="O3559">
        <f>IF('01_Вводные'!$B$234="Да",IF(IF('01_Вводные'!$B$296="Новый сезон",FALSE,FALSE),'19_Расчет_аналитики'!O3447*CapacityAge04*'19_Расчет_аналитики'!$F$3247,0),0)</f>
        <v/>
      </c>
      <c r="P3559">
        <f>IF('01_Вводные'!$B$234="Да",IF(IF('01_Вводные'!$B$296="Новый сезон",FALSE,FALSE),'19_Расчет_аналитики'!P3447*CapacityAge04*'19_Расчет_аналитики'!$F$3247,0),0)</f>
        <v/>
      </c>
      <c r="Q3559">
        <f>IF('01_Вводные'!$B$234="Да",IF(IF('01_Вводные'!$B$296="Новый сезон",FALSE,FALSE),'19_Расчет_аналитики'!Q3447*CapacityAge04*'19_Расчет_аналитики'!$F$3247,0),0)</f>
        <v/>
      </c>
      <c r="R3559">
        <f>IF('01_Вводные'!$B$234="Да",IF(IF('01_Вводные'!$B$296="Новый сезон",FALSE,FALSE),'19_Расчет_аналитики'!R3447*CapacityAge04*'19_Расчет_аналитики'!$F$3247,0),0)</f>
        <v/>
      </c>
      <c r="S3559">
        <f>IF('01_Вводные'!$B$234="Да",IF(IF('01_Вводные'!$B$296="Новый сезон",FALSE,FALSE),'19_Расчет_аналитики'!S3447*CapacityAge04*'19_Расчет_аналитики'!$F$3247,0),0)</f>
        <v/>
      </c>
      <c r="T3559">
        <f>IF('01_Вводные'!$B$234="Да",IF(IF('01_Вводные'!$B$296="Новый сезон",FALSE,FALSE),'19_Расчет_аналитики'!T3447*CapacityAge04*'19_Расчет_аналитики'!$F$3247,0),0)</f>
        <v/>
      </c>
      <c r="U3559">
        <f>IF('01_Вводные'!$B$234="Да",IF(IF('01_Вводные'!$B$296="Новый сезон",FALSE,FALSE),'19_Расчет_аналитики'!U3447*CapacityAge04*'19_Расчет_аналитики'!$F$3247,0),0)</f>
        <v/>
      </c>
      <c r="V3559">
        <f>IF('01_Вводные'!$B$234="Да",IF(IF('01_Вводные'!$B$296="Новый сезон",FALSE,FALSE),'19_Расчет_аналитики'!V3447*CapacityAge04*'19_Расчет_аналитики'!$F$3247,0),0)</f>
        <v/>
      </c>
      <c r="W3559">
        <f>IF('01_Вводные'!$B$234="Да",IF(IF('01_Вводные'!$B$296="Новый сезон",FALSE,FALSE),'19_Расчет_аналитики'!W3447*CapacityAge04*'19_Расчет_аналитики'!$F$3247,0),0)</f>
        <v/>
      </c>
      <c r="X3559">
        <f>IF('01_Вводные'!$B$234="Да",IF(IF('01_Вводные'!$B$296="Новый сезон",FALSE,FALSE),'19_Расчет_аналитики'!X3447*CapacityAge04*'19_Расчет_аналитики'!$F$3247,0),0)</f>
        <v/>
      </c>
      <c r="Y3559">
        <f>IF('01_Вводные'!$B$234="Да",IF(IF('01_Вводные'!$B$296="Новый сезон",FALSE,FALSE),'19_Расчет_аналитики'!Y3447*CapacityAge04*'19_Расчет_аналитики'!$F$3247,0),0)</f>
        <v/>
      </c>
      <c r="Z3559">
        <f>IF('01_Вводные'!$B$234="Да",IF(IF('01_Вводные'!$B$296="Новый сезон",FALSE,FALSE),'19_Расчет_аналитики'!Z3447*CapacityAge04*'19_Расчет_аналитики'!$F$3247,0),0)</f>
        <v/>
      </c>
      <c r="AA3559">
        <f>IF('01_Вводные'!$B$234="Да",IF(IF('01_Вводные'!$B$296="Новый сезон",FALSE,FALSE),'19_Расчет_аналитики'!AA3447*CapacityAge04*'19_Расчет_аналитики'!$F$3247,0),0)</f>
        <v/>
      </c>
      <c r="AB3559">
        <f>IF('01_Вводные'!$B$234="Да",IF(IF('01_Вводные'!$B$296="Новый сезон",FALSE,FALSE),'19_Расчет_аналитики'!AB3447*CapacityAge04*'19_Расчет_аналитики'!$F$3247,0),0)</f>
        <v/>
      </c>
      <c r="AC3559">
        <f>IF('01_Вводные'!$B$234="Да",IF(IF('01_Вводные'!$B$296="Новый сезон",FALSE,FALSE),'19_Расчет_аналитики'!AC3447*CapacityAge04*'19_Расчет_аналитики'!$F$3247,0),0)</f>
        <v/>
      </c>
      <c r="AD3559">
        <f>IF('01_Вводные'!$B$234="Да",IF(IF('01_Вводные'!$B$296="Новый сезон",FALSE,FALSE),'19_Расчет_аналитики'!AD3447*CapacityAge04*'19_Расчет_аналитики'!$F$3247,0),0)</f>
        <v/>
      </c>
      <c r="AE3559">
        <f>IF('01_Вводные'!$B$234="Да",IF(IF('01_Вводные'!$B$296="Новый сезон",FALSE,FALSE),'19_Расчет_аналитики'!AE3447*CapacityAge04*'19_Расчет_аналитики'!$F$3247,0),0)</f>
        <v/>
      </c>
      <c r="AF3559">
        <f>IF('01_Вводные'!$B$234="Да",IF(IF('01_Вводные'!$B$296="Новый сезон",FALSE,FALSE),'19_Расчет_аналитики'!AF3447*CapacityAge04*'19_Расчет_аналитики'!$F$3247,0),0)</f>
        <v/>
      </c>
      <c r="AG3559">
        <f>IF('01_Вводные'!$B$234="Да",IF(IF('01_Вводные'!$B$296="Новый сезон",FALSE,FALSE),'19_Расчет_аналитики'!AG3447*CapacityAge04*'19_Расчет_аналитики'!$F$3247,0),0)</f>
        <v/>
      </c>
      <c r="AH3559">
        <f>IF('01_Вводные'!$B$234="Да",IF(IF('01_Вводные'!$B$296="Новый сезон",FALSE,FALSE),'19_Расчет_аналитики'!AH3447*CapacityAge04*'19_Расчет_аналитики'!$F$3247,0),0)</f>
        <v/>
      </c>
      <c r="AI3559">
        <f>IF('01_Вводные'!$B$234="Да",IF(IF('01_Вводные'!$B$296="Новый сезон",FALSE,FALSE),'19_Расчет_аналитики'!AI3447*CapacityAge04*'19_Расчет_аналитики'!$F$3247,0),0)</f>
        <v/>
      </c>
      <c r="AJ3559">
        <f>IF('01_Вводные'!$B$234="Да",IF(IF('01_Вводные'!$B$296="Новый сезон",FALSE,FALSE),'19_Расчет_аналитики'!AJ3447*CapacityAge04*'19_Расчет_аналитики'!$F$3247,0),0)</f>
        <v/>
      </c>
      <c r="AK3559">
        <f>IF('01_Вводные'!$B$234="Да",IF(IF('01_Вводные'!$B$296="Новый сезон",FALSE,FALSE),'19_Расчет_аналитики'!AK3447*CapacityAge04*'19_Расчет_аналитики'!$F$3247,0),0)</f>
        <v/>
      </c>
      <c r="AL3559">
        <f>IF('01_Вводные'!$B$234="Да",IF(IF('01_Вводные'!$B$296="Новый сезон",FALSE,FALSE),'19_Расчет_аналитики'!AL3447*CapacityAge04*'19_Расчет_аналитики'!$F$3247,0),0)</f>
        <v/>
      </c>
      <c r="AM3559">
        <f>IF('01_Вводные'!$B$234="Да",IF(IF('01_Вводные'!$B$296="Новый сезон",FALSE,FALSE),'19_Расчет_аналитики'!AM3447*CapacityAge04*'19_Расчет_аналитики'!$F$3247,0),0)</f>
        <v/>
      </c>
      <c r="AN3559">
        <f>IF('01_Вводные'!$B$234="Да",IF(IF('01_Вводные'!$B$296="Новый сезон",FALSE,FALSE),'19_Расчет_аналитики'!AN3447*CapacityAge04*'19_Расчет_аналитики'!$F$3247,0),0)</f>
        <v/>
      </c>
      <c r="AO3559">
        <f>IF('01_Вводные'!$B$234="Да",IF(IF('01_Вводные'!$B$296="Новый сезон",FALSE,FALSE),'19_Расчет_аналитики'!AO3447*CapacityAge04*'19_Расчет_аналитики'!$F$3247,0),0)</f>
        <v/>
      </c>
      <c r="AP3559">
        <f>IF('01_Вводные'!$B$234="Да",IF(IF('01_Вводные'!$B$296="Новый сезон",FALSE,FALSE),'19_Расчет_аналитики'!AP3447*CapacityAge04*'19_Расчет_аналитики'!$F$3247,0),0)</f>
        <v/>
      </c>
      <c r="AQ3559">
        <f>IF('01_Вводные'!$B$234="Да",IF(IF('01_Вводные'!$B$296="Новый сезон",FALSE,FALSE),'19_Расчет_аналитики'!AQ3447*CapacityAge04*'19_Расчет_аналитики'!$F$3247,0),0)</f>
        <v/>
      </c>
      <c r="AR3559">
        <f>IF('01_Вводные'!$B$234="Да",IF(IF('01_Вводные'!$B$296="Новый сезон",FALSE,FALSE),'19_Расчет_аналитики'!AR3447*CapacityAge04*'19_Расчет_аналитики'!$F$3247,0),0)</f>
        <v/>
      </c>
      <c r="AS3559">
        <f>IF('01_Вводные'!$B$234="Да",IF(IF('01_Вводные'!$B$296="Новый сезон",FALSE,FALSE),'19_Расчет_аналитики'!AS3447*CapacityAge04*'19_Расчет_аналитики'!$F$3247,0),0)</f>
        <v/>
      </c>
      <c r="AT3559">
        <f>IF('01_Вводные'!$B$234="Да",IF(IF('01_Вводные'!$B$296="Новый сезон",FALSE,FALSE),'19_Расчет_аналитики'!AT3447*CapacityAge04*'19_Расчет_аналитики'!$F$3247,0),0)</f>
        <v/>
      </c>
      <c r="AU3559">
        <f>IF('01_Вводные'!$B$234="Да",IF(IF('01_Вводные'!$B$296="Новый сезон",FALSE,FALSE),'19_Расчет_аналитики'!AU3447*CapacityAge04*'19_Расчет_аналитики'!$F$3247,0),0)</f>
        <v/>
      </c>
      <c r="AV3559">
        <f>IF('01_Вводные'!$B$234="Да",IF(IF('01_Вводные'!$B$296="Новый сезон",FALSE,FALSE),'19_Расчет_аналитики'!AV3447*CapacityAge04*'19_Расчет_аналитики'!$F$3247,0),0)</f>
        <v/>
      </c>
      <c r="AW3559">
        <f>IF('01_Вводные'!$B$234="Да",IF(IF('01_Вводные'!$B$296="Новый сезон",FALSE,FALSE),'19_Расчет_аналитики'!AW3447*CapacityAge04*'19_Расчет_аналитики'!$F$3247,0),0)</f>
        <v/>
      </c>
      <c r="AX3559">
        <f>IF('01_Вводные'!$B$234="Да",IF(IF('01_Вводные'!$B$296="Новый сезон",FALSE,FALSE),'19_Расчет_аналитики'!AX3447*CapacityAge04*'19_Расчет_аналитики'!$F$3247,0),0)</f>
        <v/>
      </c>
      <c r="AY3559">
        <f>IF('01_Вводные'!$B$234="Да",IF(IF('01_Вводные'!$B$296="Новый сезон",FALSE,FALSE),'19_Расчет_аналитики'!AY3447*CapacityAge04*'19_Расчет_аналитики'!$F$3247,0),0)</f>
        <v/>
      </c>
      <c r="AZ3559">
        <f>IF('01_Вводные'!$B$234="Да",IF(IF('01_Вводные'!$B$296="Новый сезон",FALSE,FALSE),'19_Расчет_аналитики'!AZ3447*CapacityAge04*'19_Расчет_аналитики'!$F$3247,0),0)</f>
        <v/>
      </c>
      <c r="BA3559">
        <f>IF('01_Вводные'!$B$234="Да",IF(IF('01_Вводные'!$B$296="Новый сезон",FALSE,FALSE),'19_Расчет_аналитики'!BA3447*CapacityAge04*'19_Расчет_аналитики'!$F$3247,0),0)</f>
        <v/>
      </c>
      <c r="BB3559">
        <f>IF('01_Вводные'!$B$234="Да",IF(IF('01_Вводные'!$B$296="Новый сезон",FALSE,FALSE),'19_Расчет_аналитики'!BB3447*CapacityAge04*'19_Расчет_аналитики'!$F$3247,0),0)</f>
        <v/>
      </c>
      <c r="BC3559">
        <f>IF('01_Вводные'!$B$234="Да",IF(IF('01_Вводные'!$B$296="Новый сезон",FALSE,FALSE),'19_Расчет_аналитики'!BC3447*CapacityAge04*'19_Расчет_аналитики'!$F$3247,0),0)</f>
        <v/>
      </c>
      <c r="BD3559">
        <f>IF('01_Вводные'!$B$234="Да",IF(IF('01_Вводные'!$B$296="Новый сезон",FALSE,FALSE),'19_Расчет_аналитики'!BD3447*CapacityAge04*'19_Расчет_аналитики'!$F$3247,0),0)</f>
        <v/>
      </c>
      <c r="BE3559">
        <f>IF('01_Вводные'!$B$234="Да",IF(IF('01_Вводные'!$B$296="Новый сезон",FALSE,FALSE),'19_Расчет_аналитики'!BE3447*CapacityAge04*'19_Расчет_аналитики'!$F$3247,0),0)</f>
        <v/>
      </c>
      <c r="BF3559">
        <f>IF('01_Вводные'!$B$234="Да",IF(IF('01_Вводные'!$B$296="Новый сезон",FALSE,FALSE),'19_Расчет_аналитики'!BF3447*CapacityAge04*'19_Расчет_аналитики'!$F$3247,0),0)</f>
        <v/>
      </c>
      <c r="BG3559">
        <f>IF('01_Вводные'!$B$234="Да",IF(IF('01_Вводные'!$B$296="Новый сезон",FALSE,FALSE),'19_Расчет_аналитики'!BG3447*CapacityAge04*'19_Расчет_аналитики'!$F$3247,0),0)</f>
        <v/>
      </c>
      <c r="BH3559">
        <f>IF('01_Вводные'!$B$234="Да",IF(IF('01_Вводные'!$B$296="Новый сезон",FALSE,FALSE),'19_Расчет_аналитики'!BH3447*CapacityAge04*'19_Расчет_аналитики'!$F$3247,0),0)</f>
        <v/>
      </c>
      <c r="BI3559">
        <f>IF('01_Вводные'!$B$234="Да",IF(IF('01_Вводные'!$B$296="Новый сезон",FALSE,FALSE),'19_Расчет_аналитики'!BI3447*CapacityAge04*'19_Расчет_аналитики'!$F$3247,0),0)</f>
        <v/>
      </c>
      <c r="BJ3559">
        <f>IF('01_Вводные'!$B$234="Да",IF(IF('01_Вводные'!$B$296="Новый сезон",FALSE,FALSE),'19_Расчет_аналитики'!BJ3447*CapacityAge04*'19_Расчет_аналитики'!$F$3247,0),0)</f>
        <v/>
      </c>
      <c r="BK3559">
        <f>IF('01_Вводные'!$B$234="Да",IF(IF('01_Вводные'!$B$296="Новый сезон",FALSE,FALSE),'19_Расчет_аналитики'!BK3447*CapacityAge04*'19_Расчет_аналитики'!$F$3247,0),0)</f>
        <v/>
      </c>
      <c r="BL3559">
        <f>IF('01_Вводные'!$B$234="Да",IF(IF('01_Вводные'!$B$296="Новый сезон",FALSE,FALSE),'19_Расчет_аналитики'!BL3447*CapacityAge04*'19_Расчет_аналитики'!$F$3247,0),0)</f>
        <v/>
      </c>
      <c r="BM3559">
        <f>IF('01_Вводные'!$B$234="Да",IF(IF('01_Вводные'!$B$296="Новый сезон",FALSE,FALSE),'19_Расчет_аналитики'!BM3447*CapacityAge04*'19_Расчет_аналитики'!$F$3247,0),0)</f>
        <v/>
      </c>
      <c r="BN3559">
        <f>IF('01_Вводные'!$B$234="Да",IF(IF('01_Вводные'!$B$296="Новый сезон",FALSE,FALSE),'19_Расчет_аналитики'!BN3447*CapacityAge04*'19_Расчет_аналитики'!$F$3247,0),0)</f>
        <v/>
      </c>
      <c r="BO3559">
        <f>IF('01_Вводные'!$B$234="Да",IF(IF('01_Вводные'!$B$296="Новый сезон",FALSE,FALSE),'19_Расчет_аналитики'!BO3447*CapacityAge04*'19_Расчет_аналитики'!$F$3247,0),0)</f>
        <v/>
      </c>
    </row>
    <row r="3560">
      <c r="B3560">
        <f>IF('01_Вводные'!$B$234="Да",IF(IF('01_Вводные'!$B$296="Новый сезон",5-1&gt;MOD(MONTH('06_Сеть_и_дети'!B$3)-9,12),FALSE),'06_Сеть_и_дети'!B57*CapacityAge05*'19_Расчет_аналитики'!$F$3247,0),0)</f>
        <v/>
      </c>
      <c r="C3560">
        <f>IF('01_Вводные'!$B$234="Да",IF(IF('01_Вводные'!$B$296="Новый сезон",5-1&gt;MOD(MONTH('06_Сеть_и_дети'!C$3)-9,12),FALSE),'06_Сеть_и_дети'!C57*CapacityAge05*'19_Расчет_аналитики'!$F$3247,0),0)</f>
        <v/>
      </c>
      <c r="D3560">
        <f>IF('01_Вводные'!$B$234="Да",IF(IF('01_Вводные'!$B$296="Новый сезон",5-1&gt;MOD(MONTH('06_Сеть_и_дети'!D$3)-9,12),FALSE),'06_Сеть_и_дети'!D57*CapacityAge05*'19_Расчет_аналитики'!$F$3247,0),0)</f>
        <v/>
      </c>
      <c r="E3560">
        <f>IF('01_Вводные'!$B$234="Да",IF(IF('01_Вводные'!$B$296="Новый сезон",5-1&gt;MOD(MONTH('06_Сеть_и_дети'!E$3)-9,12),FALSE),'06_Сеть_и_дети'!E57*CapacityAge05*'19_Расчет_аналитики'!$F$3247,0),0)</f>
        <v/>
      </c>
      <c r="F3560">
        <f>IF('01_Вводные'!$B$234="Да",IF(IF('01_Вводные'!$B$296="Новый сезон",5-1&gt;MOD(MONTH('06_Сеть_и_дети'!F$3)-9,12),FALSE),'19_Расчет_аналитики'!F3448*CapacityAge05*'19_Расчет_аналитики'!$F$3247,0),0)</f>
        <v/>
      </c>
      <c r="G3560">
        <f>IF('01_Вводные'!$B$234="Да",IF(IF('01_Вводные'!$B$296="Новый сезон",5-1&gt;MOD(MONTH('06_Сеть_и_дети'!G$3)-9,12),FALSE),'19_Расчет_аналитики'!G3448*CapacityAge05*'19_Расчет_аналитики'!$F$3247,0),0)</f>
        <v/>
      </c>
      <c r="H3560">
        <f>IF('01_Вводные'!$B$234="Да",IF(IF('01_Вводные'!$B$296="Новый сезон",5-1&gt;MOD(MONTH('06_Сеть_и_дети'!H$3)-9,12),FALSE),'19_Расчет_аналитики'!H3448*CapacityAge05*'19_Расчет_аналитики'!$F$3247,0),0)</f>
        <v/>
      </c>
      <c r="I3560">
        <f>IF('01_Вводные'!$B$234="Да",IF(IF('01_Вводные'!$B$296="Новый сезон",5-1&gt;MOD(MONTH('06_Сеть_и_дети'!I$3)-9,12),FALSE),'19_Расчет_аналитики'!I3448*CapacityAge05*'19_Расчет_аналитики'!$F$3247,0),0)</f>
        <v/>
      </c>
      <c r="J3560">
        <f>IF('01_Вводные'!$B$234="Да",IF(IF('01_Вводные'!$B$296="Новый сезон",5-1&gt;MOD(MONTH('06_Сеть_и_дети'!J$3)-9,12),FALSE),'19_Расчет_аналитики'!J3448*CapacityAge05*'19_Расчет_аналитики'!$F$3247,0),0)</f>
        <v/>
      </c>
      <c r="K3560">
        <f>IF('01_Вводные'!$B$234="Да",IF(IF('01_Вводные'!$B$296="Новый сезон",5-1&gt;MOD(MONTH('06_Сеть_и_дети'!K$3)-9,12),FALSE),'19_Расчет_аналитики'!K3448*CapacityAge05*'19_Расчет_аналитики'!$F$3247,0),0)</f>
        <v/>
      </c>
      <c r="L3560">
        <f>IF('01_Вводные'!$B$234="Да",IF(IF('01_Вводные'!$B$296="Новый сезон",5-1&gt;MOD(MONTH('06_Сеть_и_дети'!L$3)-9,12),FALSE),'19_Расчет_аналитики'!L3448*CapacityAge05*'19_Расчет_аналитики'!$F$3247,0),0)</f>
        <v/>
      </c>
      <c r="M3560">
        <f>IF('01_Вводные'!$B$234="Да",IF(IF('01_Вводные'!$B$296="Новый сезон",5-1&gt;MOD(MONTH('06_Сеть_и_дети'!M$3)-9,12),FALSE),'19_Расчет_аналитики'!M3448*CapacityAge05*'19_Расчет_аналитики'!$F$3247,0),0)</f>
        <v/>
      </c>
      <c r="N3560">
        <f>IF('01_Вводные'!$B$234="Да",IF(IF('01_Вводные'!$B$296="Новый сезон",5-1&gt;MOD(MONTH('06_Сеть_и_дети'!N$3)-9,12),FALSE),'19_Расчет_аналитики'!N3448*CapacityAge05*'19_Расчет_аналитики'!$F$3247,0),0)</f>
        <v/>
      </c>
      <c r="O3560">
        <f>IF('01_Вводные'!$B$234="Да",IF(IF('01_Вводные'!$B$296="Новый сезон",5-1&gt;MOD(MONTH('06_Сеть_и_дети'!O$3)-9,12),FALSE),'19_Расчет_аналитики'!O3448*CapacityAge05*'19_Расчет_аналитики'!$F$3247,0),0)</f>
        <v/>
      </c>
      <c r="P3560">
        <f>IF('01_Вводные'!$B$234="Да",IF(IF('01_Вводные'!$B$296="Новый сезон",5-1&gt;MOD(MONTH('06_Сеть_и_дети'!P$3)-9,12),FALSE),'19_Расчет_аналитики'!P3448*CapacityAge05*'19_Расчет_аналитики'!$F$3247,0),0)</f>
        <v/>
      </c>
      <c r="Q3560">
        <f>IF('01_Вводные'!$B$234="Да",IF(IF('01_Вводные'!$B$296="Новый сезон",5-1&gt;MOD(MONTH('06_Сеть_и_дети'!Q$3)-9,12),FALSE),'19_Расчет_аналитики'!Q3448*CapacityAge05*'19_Расчет_аналитики'!$F$3247,0),0)</f>
        <v/>
      </c>
      <c r="R3560">
        <f>IF('01_Вводные'!$B$234="Да",IF(IF('01_Вводные'!$B$296="Новый сезон",5-1&gt;MOD(MONTH('06_Сеть_и_дети'!R$3)-9,12),FALSE),'19_Расчет_аналитики'!R3448*CapacityAge05*'19_Расчет_аналитики'!$F$3247,0),0)</f>
        <v/>
      </c>
      <c r="S3560">
        <f>IF('01_Вводные'!$B$234="Да",IF(IF('01_Вводные'!$B$296="Новый сезон",5-1&gt;MOD(MONTH('06_Сеть_и_дети'!S$3)-9,12),FALSE),'19_Расчет_аналитики'!S3448*CapacityAge05*'19_Расчет_аналитики'!$F$3247,0),0)</f>
        <v/>
      </c>
      <c r="T3560">
        <f>IF('01_Вводные'!$B$234="Да",IF(IF('01_Вводные'!$B$296="Новый сезон",5-1&gt;MOD(MONTH('06_Сеть_и_дети'!T$3)-9,12),FALSE),'19_Расчет_аналитики'!T3448*CapacityAge05*'19_Расчет_аналитики'!$F$3247,0),0)</f>
        <v/>
      </c>
      <c r="U3560">
        <f>IF('01_Вводные'!$B$234="Да",IF(IF('01_Вводные'!$B$296="Новый сезон",5-1&gt;MOD(MONTH('06_Сеть_и_дети'!U$3)-9,12),FALSE),'19_Расчет_аналитики'!U3448*CapacityAge05*'19_Расчет_аналитики'!$F$3247,0),0)</f>
        <v/>
      </c>
      <c r="V3560">
        <f>IF('01_Вводные'!$B$234="Да",IF(IF('01_Вводные'!$B$296="Новый сезон",5-1&gt;MOD(MONTH('06_Сеть_и_дети'!V$3)-9,12),FALSE),'19_Расчет_аналитики'!V3448*CapacityAge05*'19_Расчет_аналитики'!$F$3247,0),0)</f>
        <v/>
      </c>
      <c r="W3560">
        <f>IF('01_Вводные'!$B$234="Да",IF(IF('01_Вводные'!$B$296="Новый сезон",5-1&gt;MOD(MONTH('06_Сеть_и_дети'!W$3)-9,12),FALSE),'19_Расчет_аналитики'!W3448*CapacityAge05*'19_Расчет_аналитики'!$F$3247,0),0)</f>
        <v/>
      </c>
      <c r="X3560">
        <f>IF('01_Вводные'!$B$234="Да",IF(IF('01_Вводные'!$B$296="Новый сезон",5-1&gt;MOD(MONTH('06_Сеть_и_дети'!X$3)-9,12),FALSE),'19_Расчет_аналитики'!X3448*CapacityAge05*'19_Расчет_аналитики'!$F$3247,0),0)</f>
        <v/>
      </c>
      <c r="Y3560">
        <f>IF('01_Вводные'!$B$234="Да",IF(IF('01_Вводные'!$B$296="Новый сезон",5-1&gt;MOD(MONTH('06_Сеть_и_дети'!Y$3)-9,12),FALSE),'19_Расчет_аналитики'!Y3448*CapacityAge05*'19_Расчет_аналитики'!$F$3247,0),0)</f>
        <v/>
      </c>
      <c r="Z3560">
        <f>IF('01_Вводные'!$B$234="Да",IF(IF('01_Вводные'!$B$296="Новый сезон",5-1&gt;MOD(MONTH('06_Сеть_и_дети'!Z$3)-9,12),FALSE),'19_Расчет_аналитики'!Z3448*CapacityAge05*'19_Расчет_аналитики'!$F$3247,0),0)</f>
        <v/>
      </c>
      <c r="AA3560">
        <f>IF('01_Вводные'!$B$234="Да",IF(IF('01_Вводные'!$B$296="Новый сезон",5-1&gt;MOD(MONTH('06_Сеть_и_дети'!AA$3)-9,12),FALSE),'19_Расчет_аналитики'!AA3448*CapacityAge05*'19_Расчет_аналитики'!$F$3247,0),0)</f>
        <v/>
      </c>
      <c r="AB3560">
        <f>IF('01_Вводные'!$B$234="Да",IF(IF('01_Вводные'!$B$296="Новый сезон",5-1&gt;MOD(MONTH('06_Сеть_и_дети'!AB$3)-9,12),FALSE),'19_Расчет_аналитики'!AB3448*CapacityAge05*'19_Расчет_аналитики'!$F$3247,0),0)</f>
        <v/>
      </c>
      <c r="AC3560">
        <f>IF('01_Вводные'!$B$234="Да",IF(IF('01_Вводные'!$B$296="Новый сезон",5-1&gt;MOD(MONTH('06_Сеть_и_дети'!AC$3)-9,12),FALSE),'19_Расчет_аналитики'!AC3448*CapacityAge05*'19_Расчет_аналитики'!$F$3247,0),0)</f>
        <v/>
      </c>
      <c r="AD3560">
        <f>IF('01_Вводные'!$B$234="Да",IF(IF('01_Вводные'!$B$296="Новый сезон",5-1&gt;MOD(MONTH('06_Сеть_и_дети'!AD$3)-9,12),FALSE),'19_Расчет_аналитики'!AD3448*CapacityAge05*'19_Расчет_аналитики'!$F$3247,0),0)</f>
        <v/>
      </c>
      <c r="AE3560">
        <f>IF('01_Вводные'!$B$234="Да",IF(IF('01_Вводные'!$B$296="Новый сезон",5-1&gt;MOD(MONTH('06_Сеть_и_дети'!AE$3)-9,12),FALSE),'19_Расчет_аналитики'!AE3448*CapacityAge05*'19_Расчет_аналитики'!$F$3247,0),0)</f>
        <v/>
      </c>
      <c r="AF3560">
        <f>IF('01_Вводные'!$B$234="Да",IF(IF('01_Вводные'!$B$296="Новый сезон",5-1&gt;MOD(MONTH('06_Сеть_и_дети'!AF$3)-9,12),FALSE),'19_Расчет_аналитики'!AF3448*CapacityAge05*'19_Расчет_аналитики'!$F$3247,0),0)</f>
        <v/>
      </c>
      <c r="AG3560">
        <f>IF('01_Вводные'!$B$234="Да",IF(IF('01_Вводные'!$B$296="Новый сезон",5-1&gt;MOD(MONTH('06_Сеть_и_дети'!AG$3)-9,12),FALSE),'19_Расчет_аналитики'!AG3448*CapacityAge05*'19_Расчет_аналитики'!$F$3247,0),0)</f>
        <v/>
      </c>
      <c r="AH3560">
        <f>IF('01_Вводные'!$B$234="Да",IF(IF('01_Вводные'!$B$296="Новый сезон",5-1&gt;MOD(MONTH('06_Сеть_и_дети'!AH$3)-9,12),FALSE),'19_Расчет_аналитики'!AH3448*CapacityAge05*'19_Расчет_аналитики'!$F$3247,0),0)</f>
        <v/>
      </c>
      <c r="AI3560">
        <f>IF('01_Вводные'!$B$234="Да",IF(IF('01_Вводные'!$B$296="Новый сезон",5-1&gt;MOD(MONTH('06_Сеть_и_дети'!AI$3)-9,12),FALSE),'19_Расчет_аналитики'!AI3448*CapacityAge05*'19_Расчет_аналитики'!$F$3247,0),0)</f>
        <v/>
      </c>
      <c r="AJ3560">
        <f>IF('01_Вводные'!$B$234="Да",IF(IF('01_Вводные'!$B$296="Новый сезон",5-1&gt;MOD(MONTH('06_Сеть_и_дети'!AJ$3)-9,12),FALSE),'19_Расчет_аналитики'!AJ3448*CapacityAge05*'19_Расчет_аналитики'!$F$3247,0),0)</f>
        <v/>
      </c>
      <c r="AK3560">
        <f>IF('01_Вводные'!$B$234="Да",IF(IF('01_Вводные'!$B$296="Новый сезон",5-1&gt;MOD(MONTH('06_Сеть_и_дети'!AK$3)-9,12),FALSE),'19_Расчет_аналитики'!AK3448*CapacityAge05*'19_Расчет_аналитики'!$F$3247,0),0)</f>
        <v/>
      </c>
      <c r="AL3560">
        <f>IF('01_Вводные'!$B$234="Да",IF(IF('01_Вводные'!$B$296="Новый сезон",5-1&gt;MOD(MONTH('06_Сеть_и_дети'!AL$3)-9,12),FALSE),'19_Расчет_аналитики'!AL3448*CapacityAge05*'19_Расчет_аналитики'!$F$3247,0),0)</f>
        <v/>
      </c>
      <c r="AM3560">
        <f>IF('01_Вводные'!$B$234="Да",IF(IF('01_Вводные'!$B$296="Новый сезон",5-1&gt;MOD(MONTH('06_Сеть_и_дети'!AM$3)-9,12),FALSE),'19_Расчет_аналитики'!AM3448*CapacityAge05*'19_Расчет_аналитики'!$F$3247,0),0)</f>
        <v/>
      </c>
      <c r="AN3560">
        <f>IF('01_Вводные'!$B$234="Да",IF(IF('01_Вводные'!$B$296="Новый сезон",5-1&gt;MOD(MONTH('06_Сеть_и_дети'!AN$3)-9,12),FALSE),'19_Расчет_аналитики'!AN3448*CapacityAge05*'19_Расчет_аналитики'!$F$3247,0),0)</f>
        <v/>
      </c>
      <c r="AO3560">
        <f>IF('01_Вводные'!$B$234="Да",IF(IF('01_Вводные'!$B$296="Новый сезон",5-1&gt;MOD(MONTH('06_Сеть_и_дети'!AO$3)-9,12),FALSE),'19_Расчет_аналитики'!AO3448*CapacityAge05*'19_Расчет_аналитики'!$F$3247,0),0)</f>
        <v/>
      </c>
      <c r="AP3560">
        <f>IF('01_Вводные'!$B$234="Да",IF(IF('01_Вводные'!$B$296="Новый сезон",5-1&gt;MOD(MONTH('06_Сеть_и_дети'!AP$3)-9,12),FALSE),'19_Расчет_аналитики'!AP3448*CapacityAge05*'19_Расчет_аналитики'!$F$3247,0),0)</f>
        <v/>
      </c>
      <c r="AQ3560">
        <f>IF('01_Вводные'!$B$234="Да",IF(IF('01_Вводные'!$B$296="Новый сезон",5-1&gt;MOD(MONTH('06_Сеть_и_дети'!AQ$3)-9,12),FALSE),'19_Расчет_аналитики'!AQ3448*CapacityAge05*'19_Расчет_аналитики'!$F$3247,0),0)</f>
        <v/>
      </c>
      <c r="AR3560">
        <f>IF('01_Вводные'!$B$234="Да",IF(IF('01_Вводные'!$B$296="Новый сезон",5-1&gt;MOD(MONTH('06_Сеть_и_дети'!AR$3)-9,12),FALSE),'19_Расчет_аналитики'!AR3448*CapacityAge05*'19_Расчет_аналитики'!$F$3247,0),0)</f>
        <v/>
      </c>
      <c r="AS3560">
        <f>IF('01_Вводные'!$B$234="Да",IF(IF('01_Вводные'!$B$296="Новый сезон",5-1&gt;MOD(MONTH('06_Сеть_и_дети'!AS$3)-9,12),FALSE),'19_Расчет_аналитики'!AS3448*CapacityAge05*'19_Расчет_аналитики'!$F$3247,0),0)</f>
        <v/>
      </c>
      <c r="AT3560">
        <f>IF('01_Вводные'!$B$234="Да",IF(IF('01_Вводные'!$B$296="Новый сезон",5-1&gt;MOD(MONTH('06_Сеть_и_дети'!AT$3)-9,12),FALSE),'19_Расчет_аналитики'!AT3448*CapacityAge05*'19_Расчет_аналитики'!$F$3247,0),0)</f>
        <v/>
      </c>
      <c r="AU3560">
        <f>IF('01_Вводные'!$B$234="Да",IF(IF('01_Вводные'!$B$296="Новый сезон",5-1&gt;MOD(MONTH('06_Сеть_и_дети'!AU$3)-9,12),FALSE),'19_Расчет_аналитики'!AU3448*CapacityAge05*'19_Расчет_аналитики'!$F$3247,0),0)</f>
        <v/>
      </c>
      <c r="AV3560">
        <f>IF('01_Вводные'!$B$234="Да",IF(IF('01_Вводные'!$B$296="Новый сезон",5-1&gt;MOD(MONTH('06_Сеть_и_дети'!AV$3)-9,12),FALSE),'19_Расчет_аналитики'!AV3448*CapacityAge05*'19_Расчет_аналитики'!$F$3247,0),0)</f>
        <v/>
      </c>
      <c r="AW3560">
        <f>IF('01_Вводные'!$B$234="Да",IF(IF('01_Вводные'!$B$296="Новый сезон",5-1&gt;MOD(MONTH('06_Сеть_и_дети'!AW$3)-9,12),FALSE),'19_Расчет_аналитики'!AW3448*CapacityAge05*'19_Расчет_аналитики'!$F$3247,0),0)</f>
        <v/>
      </c>
      <c r="AX3560">
        <f>IF('01_Вводные'!$B$234="Да",IF(IF('01_Вводные'!$B$296="Новый сезон",5-1&gt;MOD(MONTH('06_Сеть_и_дети'!AX$3)-9,12),FALSE),'19_Расчет_аналитики'!AX3448*CapacityAge05*'19_Расчет_аналитики'!$F$3247,0),0)</f>
        <v/>
      </c>
      <c r="AY3560">
        <f>IF('01_Вводные'!$B$234="Да",IF(IF('01_Вводные'!$B$296="Новый сезон",5-1&gt;MOD(MONTH('06_Сеть_и_дети'!AY$3)-9,12),FALSE),'19_Расчет_аналитики'!AY3448*CapacityAge05*'19_Расчет_аналитики'!$F$3247,0),0)</f>
        <v/>
      </c>
      <c r="AZ3560">
        <f>IF('01_Вводные'!$B$234="Да",IF(IF('01_Вводные'!$B$296="Новый сезон",5-1&gt;MOD(MONTH('06_Сеть_и_дети'!AZ$3)-9,12),FALSE),'19_Расчет_аналитики'!AZ3448*CapacityAge05*'19_Расчет_аналитики'!$F$3247,0),0)</f>
        <v/>
      </c>
      <c r="BA3560">
        <f>IF('01_Вводные'!$B$234="Да",IF(IF('01_Вводные'!$B$296="Новый сезон",5-1&gt;MOD(MONTH('06_Сеть_и_дети'!BA$3)-9,12),FALSE),'19_Расчет_аналитики'!BA3448*CapacityAge05*'19_Расчет_аналитики'!$F$3247,0),0)</f>
        <v/>
      </c>
      <c r="BB3560">
        <f>IF('01_Вводные'!$B$234="Да",IF(IF('01_Вводные'!$B$296="Новый сезон",5-1&gt;MOD(MONTH('06_Сеть_и_дети'!BB$3)-9,12),FALSE),'19_Расчет_аналитики'!BB3448*CapacityAge05*'19_Расчет_аналитики'!$F$3247,0),0)</f>
        <v/>
      </c>
      <c r="BC3560">
        <f>IF('01_Вводные'!$B$234="Да",IF(IF('01_Вводные'!$B$296="Новый сезон",5-1&gt;MOD(MONTH('06_Сеть_и_дети'!BC$3)-9,12),FALSE),'19_Расчет_аналитики'!BC3448*CapacityAge05*'19_Расчет_аналитики'!$F$3247,0),0)</f>
        <v/>
      </c>
      <c r="BD3560">
        <f>IF('01_Вводные'!$B$234="Да",IF(IF('01_Вводные'!$B$296="Новый сезон",5-1&gt;MOD(MONTH('06_Сеть_и_дети'!BD$3)-9,12),FALSE),'19_Расчет_аналитики'!BD3448*CapacityAge05*'19_Расчет_аналитики'!$F$3247,0),0)</f>
        <v/>
      </c>
      <c r="BE3560">
        <f>IF('01_Вводные'!$B$234="Да",IF(IF('01_Вводные'!$B$296="Новый сезон",5-1&gt;MOD(MONTH('06_Сеть_и_дети'!BE$3)-9,12),FALSE),'19_Расчет_аналитики'!BE3448*CapacityAge05*'19_Расчет_аналитики'!$F$3247,0),0)</f>
        <v/>
      </c>
      <c r="BF3560">
        <f>IF('01_Вводные'!$B$234="Да",IF(IF('01_Вводные'!$B$296="Новый сезон",5-1&gt;MOD(MONTH('06_Сеть_и_дети'!BF$3)-9,12),FALSE),'19_Расчет_аналитики'!BF3448*CapacityAge05*'19_Расчет_аналитики'!$F$3247,0),0)</f>
        <v/>
      </c>
      <c r="BG3560">
        <f>IF('01_Вводные'!$B$234="Да",IF(IF('01_Вводные'!$B$296="Новый сезон",5-1&gt;MOD(MONTH('06_Сеть_и_дети'!BG$3)-9,12),FALSE),'19_Расчет_аналитики'!BG3448*CapacityAge05*'19_Расчет_аналитики'!$F$3247,0),0)</f>
        <v/>
      </c>
      <c r="BH3560">
        <f>IF('01_Вводные'!$B$234="Да",IF(IF('01_Вводные'!$B$296="Новый сезон",5-1&gt;MOD(MONTH('06_Сеть_и_дети'!BH$3)-9,12),FALSE),'19_Расчет_аналитики'!BH3448*CapacityAge05*'19_Расчет_аналитики'!$F$3247,0),0)</f>
        <v/>
      </c>
      <c r="BI3560">
        <f>IF('01_Вводные'!$B$234="Да",IF(IF('01_Вводные'!$B$296="Новый сезон",5-1&gt;MOD(MONTH('06_Сеть_и_дети'!BI$3)-9,12),FALSE),'19_Расчет_аналитики'!BI3448*CapacityAge05*'19_Расчет_аналитики'!$F$3247,0),0)</f>
        <v/>
      </c>
      <c r="BJ3560">
        <f>IF('01_Вводные'!$B$234="Да",IF(IF('01_Вводные'!$B$296="Новый сезон",5-1&gt;MOD(MONTH('06_Сеть_и_дети'!BJ$3)-9,12),FALSE),'19_Расчет_аналитики'!BJ3448*CapacityAge05*'19_Расчет_аналитики'!$F$3247,0),0)</f>
        <v/>
      </c>
      <c r="BK3560">
        <f>IF('01_Вводные'!$B$234="Да",IF(IF('01_Вводные'!$B$296="Новый сезон",5-1&gt;MOD(MONTH('06_Сеть_и_дети'!BK$3)-9,12),FALSE),'19_Расчет_аналитики'!BK3448*CapacityAge05*'19_Расчет_аналитики'!$F$3247,0),0)</f>
        <v/>
      </c>
      <c r="BL3560">
        <f>IF('01_Вводные'!$B$234="Да",IF(IF('01_Вводные'!$B$296="Новый сезон",5-1&gt;MOD(MONTH('06_Сеть_и_дети'!BL$3)-9,12),FALSE),'19_Расчет_аналитики'!BL3448*CapacityAge05*'19_Расчет_аналитики'!$F$3247,0),0)</f>
        <v/>
      </c>
      <c r="BM3560">
        <f>IF('01_Вводные'!$B$234="Да",IF(IF('01_Вводные'!$B$296="Новый сезон",5-1&gt;MOD(MONTH('06_Сеть_и_дети'!BM$3)-9,12),FALSE),'19_Расчет_аналитики'!BM3448*CapacityAge05*'19_Расчет_аналитики'!$F$3247,0),0)</f>
        <v/>
      </c>
      <c r="BN3560">
        <f>IF('01_Вводные'!$B$234="Да",IF(IF('01_Вводные'!$B$296="Новый сезон",5-1&gt;MOD(MONTH('06_Сеть_и_дети'!BN$3)-9,12),FALSE),'19_Расчет_аналитики'!BN3448*CapacityAge05*'19_Расчет_аналитики'!$F$3247,0),0)</f>
        <v/>
      </c>
      <c r="BO3560">
        <f>IF('01_Вводные'!$B$234="Да",IF(IF('01_Вводные'!$B$296="Новый сезон",5-1&gt;MOD(MONTH('06_Сеть_и_дети'!BO$3)-9,12),FALSE),'19_Расчет_аналитики'!BO3448*CapacityAge05*'19_Расчет_аналитики'!$F$3247,0),0)</f>
        <v/>
      </c>
    </row>
    <row r="3561">
      <c r="B3561">
        <f>IF('01_Вводные'!$B$234="Да",IF(IF('01_Вводные'!$B$296="Новый сезон",6-1&gt;MOD(MONTH('06_Сеть_и_дети'!B$3)-9,12),FALSE),'06_Сеть_и_дети'!B58*CapacityAge06*'19_Расчет_аналитики'!$F$3247,0),0)</f>
        <v/>
      </c>
      <c r="C3561">
        <f>IF('01_Вводные'!$B$234="Да",IF(IF('01_Вводные'!$B$296="Новый сезон",6-1&gt;MOD(MONTH('06_Сеть_и_дети'!C$3)-9,12),FALSE),'06_Сеть_и_дети'!C58*CapacityAge06*'19_Расчет_аналитики'!$F$3247,0),0)</f>
        <v/>
      </c>
      <c r="D3561">
        <f>IF('01_Вводные'!$B$234="Да",IF(IF('01_Вводные'!$B$296="Новый сезон",6-1&gt;MOD(MONTH('06_Сеть_и_дети'!D$3)-9,12),FALSE),'06_Сеть_и_дети'!D58*CapacityAge06*'19_Расчет_аналитики'!$F$3247,0),0)</f>
        <v/>
      </c>
      <c r="E3561">
        <f>IF('01_Вводные'!$B$234="Да",IF(IF('01_Вводные'!$B$296="Новый сезон",6-1&gt;MOD(MONTH('06_Сеть_и_дети'!E$3)-9,12),FALSE),'06_Сеть_и_дети'!E58*CapacityAge06*'19_Расчет_аналитики'!$F$3247,0),0)</f>
        <v/>
      </c>
      <c r="F3561">
        <f>IF('01_Вводные'!$B$234="Да",IF(IF('01_Вводные'!$B$296="Новый сезон",6-1&gt;MOD(MONTH('06_Сеть_и_дети'!F$3)-9,12),FALSE),'06_Сеть_и_дети'!F58*CapacityAge06*'19_Расчет_аналитики'!$F$3247,0),0)</f>
        <v/>
      </c>
      <c r="G3561">
        <f>IF('01_Вводные'!$B$234="Да",IF(IF('01_Вводные'!$B$296="Новый сезон",6-1&gt;MOD(MONTH('06_Сеть_и_дети'!G$3)-9,12),FALSE),'19_Расчет_аналитики'!G3449*CapacityAge06*'19_Расчет_аналитики'!$F$3247,0),0)</f>
        <v/>
      </c>
      <c r="H3561">
        <f>IF('01_Вводные'!$B$234="Да",IF(IF('01_Вводные'!$B$296="Новый сезон",6-1&gt;MOD(MONTH('06_Сеть_и_дети'!H$3)-9,12),FALSE),'19_Расчет_аналитики'!H3449*CapacityAge06*'19_Расчет_аналитики'!$F$3247,0),0)</f>
        <v/>
      </c>
      <c r="I3561">
        <f>IF('01_Вводные'!$B$234="Да",IF(IF('01_Вводные'!$B$296="Новый сезон",6-1&gt;MOD(MONTH('06_Сеть_и_дети'!I$3)-9,12),FALSE),'19_Расчет_аналитики'!I3449*CapacityAge06*'19_Расчет_аналитики'!$F$3247,0),0)</f>
        <v/>
      </c>
      <c r="J3561">
        <f>IF('01_Вводные'!$B$234="Да",IF(IF('01_Вводные'!$B$296="Новый сезон",6-1&gt;MOD(MONTH('06_Сеть_и_дети'!J$3)-9,12),FALSE),'19_Расчет_аналитики'!J3449*CapacityAge06*'19_Расчет_аналитики'!$F$3247,0),0)</f>
        <v/>
      </c>
      <c r="K3561">
        <f>IF('01_Вводные'!$B$234="Да",IF(IF('01_Вводные'!$B$296="Новый сезон",6-1&gt;MOD(MONTH('06_Сеть_и_дети'!K$3)-9,12),FALSE),'19_Расчет_аналитики'!K3449*CapacityAge06*'19_Расчет_аналитики'!$F$3247,0),0)</f>
        <v/>
      </c>
      <c r="L3561">
        <f>IF('01_Вводные'!$B$234="Да",IF(IF('01_Вводные'!$B$296="Новый сезон",6-1&gt;MOD(MONTH('06_Сеть_и_дети'!L$3)-9,12),FALSE),'19_Расчет_аналитики'!L3449*CapacityAge06*'19_Расчет_аналитики'!$F$3247,0),0)</f>
        <v/>
      </c>
      <c r="M3561">
        <f>IF('01_Вводные'!$B$234="Да",IF(IF('01_Вводные'!$B$296="Новый сезон",6-1&gt;MOD(MONTH('06_Сеть_и_дети'!M$3)-9,12),FALSE),'19_Расчет_аналитики'!M3449*CapacityAge06*'19_Расчет_аналитики'!$F$3247,0),0)</f>
        <v/>
      </c>
      <c r="N3561">
        <f>IF('01_Вводные'!$B$234="Да",IF(IF('01_Вводные'!$B$296="Новый сезон",6-1&gt;MOD(MONTH('06_Сеть_и_дети'!N$3)-9,12),FALSE),'19_Расчет_аналитики'!N3449*CapacityAge06*'19_Расчет_аналитики'!$F$3247,0),0)</f>
        <v/>
      </c>
      <c r="O3561">
        <f>IF('01_Вводные'!$B$234="Да",IF(IF('01_Вводные'!$B$296="Новый сезон",6-1&gt;MOD(MONTH('06_Сеть_и_дети'!O$3)-9,12),FALSE),'19_Расчет_аналитики'!O3449*CapacityAge06*'19_Расчет_аналитики'!$F$3247,0),0)</f>
        <v/>
      </c>
      <c r="P3561">
        <f>IF('01_Вводные'!$B$234="Да",IF(IF('01_Вводные'!$B$296="Новый сезон",6-1&gt;MOD(MONTH('06_Сеть_и_дети'!P$3)-9,12),FALSE),'19_Расчет_аналитики'!P3449*CapacityAge06*'19_Расчет_аналитики'!$F$3247,0),0)</f>
        <v/>
      </c>
      <c r="Q3561">
        <f>IF('01_Вводные'!$B$234="Да",IF(IF('01_Вводные'!$B$296="Новый сезон",6-1&gt;MOD(MONTH('06_Сеть_и_дети'!Q$3)-9,12),FALSE),'19_Расчет_аналитики'!Q3449*CapacityAge06*'19_Расчет_аналитики'!$F$3247,0),0)</f>
        <v/>
      </c>
      <c r="R3561">
        <f>IF('01_Вводные'!$B$234="Да",IF(IF('01_Вводные'!$B$296="Новый сезон",6-1&gt;MOD(MONTH('06_Сеть_и_дети'!R$3)-9,12),FALSE),'19_Расчет_аналитики'!R3449*CapacityAge06*'19_Расчет_аналитики'!$F$3247,0),0)</f>
        <v/>
      </c>
      <c r="S3561">
        <f>IF('01_Вводные'!$B$234="Да",IF(IF('01_Вводные'!$B$296="Новый сезон",6-1&gt;MOD(MONTH('06_Сеть_и_дети'!S$3)-9,12),FALSE),'19_Расчет_аналитики'!S3449*CapacityAge06*'19_Расчет_аналитики'!$F$3247,0),0)</f>
        <v/>
      </c>
      <c r="T3561">
        <f>IF('01_Вводные'!$B$234="Да",IF(IF('01_Вводные'!$B$296="Новый сезон",6-1&gt;MOD(MONTH('06_Сеть_и_дети'!T$3)-9,12),FALSE),'19_Расчет_аналитики'!T3449*CapacityAge06*'19_Расчет_аналитики'!$F$3247,0),0)</f>
        <v/>
      </c>
      <c r="U3561">
        <f>IF('01_Вводные'!$B$234="Да",IF(IF('01_Вводные'!$B$296="Новый сезон",6-1&gt;MOD(MONTH('06_Сеть_и_дети'!U$3)-9,12),FALSE),'19_Расчет_аналитики'!U3449*CapacityAge06*'19_Расчет_аналитики'!$F$3247,0),0)</f>
        <v/>
      </c>
      <c r="V3561">
        <f>IF('01_Вводные'!$B$234="Да",IF(IF('01_Вводные'!$B$296="Новый сезон",6-1&gt;MOD(MONTH('06_Сеть_и_дети'!V$3)-9,12),FALSE),'19_Расчет_аналитики'!V3449*CapacityAge06*'19_Расчет_аналитики'!$F$3247,0),0)</f>
        <v/>
      </c>
      <c r="W3561">
        <f>IF('01_Вводные'!$B$234="Да",IF(IF('01_Вводные'!$B$296="Новый сезон",6-1&gt;MOD(MONTH('06_Сеть_и_дети'!W$3)-9,12),FALSE),'19_Расчет_аналитики'!W3449*CapacityAge06*'19_Расчет_аналитики'!$F$3247,0),0)</f>
        <v/>
      </c>
      <c r="X3561">
        <f>IF('01_Вводные'!$B$234="Да",IF(IF('01_Вводные'!$B$296="Новый сезон",6-1&gt;MOD(MONTH('06_Сеть_и_дети'!X$3)-9,12),FALSE),'19_Расчет_аналитики'!X3449*CapacityAge06*'19_Расчет_аналитики'!$F$3247,0),0)</f>
        <v/>
      </c>
      <c r="Y3561">
        <f>IF('01_Вводные'!$B$234="Да",IF(IF('01_Вводные'!$B$296="Новый сезон",6-1&gt;MOD(MONTH('06_Сеть_и_дети'!Y$3)-9,12),FALSE),'19_Расчет_аналитики'!Y3449*CapacityAge06*'19_Расчет_аналитики'!$F$3247,0),0)</f>
        <v/>
      </c>
      <c r="Z3561">
        <f>IF('01_Вводные'!$B$234="Да",IF(IF('01_Вводные'!$B$296="Новый сезон",6-1&gt;MOD(MONTH('06_Сеть_и_дети'!Z$3)-9,12),FALSE),'19_Расчет_аналитики'!Z3449*CapacityAge06*'19_Расчет_аналитики'!$F$3247,0),0)</f>
        <v/>
      </c>
      <c r="AA3561">
        <f>IF('01_Вводные'!$B$234="Да",IF(IF('01_Вводные'!$B$296="Новый сезон",6-1&gt;MOD(MONTH('06_Сеть_и_дети'!AA$3)-9,12),FALSE),'19_Расчет_аналитики'!AA3449*CapacityAge06*'19_Расчет_аналитики'!$F$3247,0),0)</f>
        <v/>
      </c>
      <c r="AB3561">
        <f>IF('01_Вводные'!$B$234="Да",IF(IF('01_Вводные'!$B$296="Новый сезон",6-1&gt;MOD(MONTH('06_Сеть_и_дети'!AB$3)-9,12),FALSE),'19_Расчет_аналитики'!AB3449*CapacityAge06*'19_Расчет_аналитики'!$F$3247,0),0)</f>
        <v/>
      </c>
      <c r="AC3561">
        <f>IF('01_Вводные'!$B$234="Да",IF(IF('01_Вводные'!$B$296="Новый сезон",6-1&gt;MOD(MONTH('06_Сеть_и_дети'!AC$3)-9,12),FALSE),'19_Расчет_аналитики'!AC3449*CapacityAge06*'19_Расчет_аналитики'!$F$3247,0),0)</f>
        <v/>
      </c>
      <c r="AD3561">
        <f>IF('01_Вводные'!$B$234="Да",IF(IF('01_Вводные'!$B$296="Новый сезон",6-1&gt;MOD(MONTH('06_Сеть_и_дети'!AD$3)-9,12),FALSE),'19_Расчет_аналитики'!AD3449*CapacityAge06*'19_Расчет_аналитики'!$F$3247,0),0)</f>
        <v/>
      </c>
      <c r="AE3561">
        <f>IF('01_Вводные'!$B$234="Да",IF(IF('01_Вводные'!$B$296="Новый сезон",6-1&gt;MOD(MONTH('06_Сеть_и_дети'!AE$3)-9,12),FALSE),'19_Расчет_аналитики'!AE3449*CapacityAge06*'19_Расчет_аналитики'!$F$3247,0),0)</f>
        <v/>
      </c>
      <c r="AF3561">
        <f>IF('01_Вводные'!$B$234="Да",IF(IF('01_Вводные'!$B$296="Новый сезон",6-1&gt;MOD(MONTH('06_Сеть_и_дети'!AF$3)-9,12),FALSE),'19_Расчет_аналитики'!AF3449*CapacityAge06*'19_Расчет_аналитики'!$F$3247,0),0)</f>
        <v/>
      </c>
      <c r="AG3561">
        <f>IF('01_Вводные'!$B$234="Да",IF(IF('01_Вводные'!$B$296="Новый сезон",6-1&gt;MOD(MONTH('06_Сеть_и_дети'!AG$3)-9,12),FALSE),'19_Расчет_аналитики'!AG3449*CapacityAge06*'19_Расчет_аналитики'!$F$3247,0),0)</f>
        <v/>
      </c>
      <c r="AH3561">
        <f>IF('01_Вводные'!$B$234="Да",IF(IF('01_Вводные'!$B$296="Новый сезон",6-1&gt;MOD(MONTH('06_Сеть_и_дети'!AH$3)-9,12),FALSE),'19_Расчет_аналитики'!AH3449*CapacityAge06*'19_Расчет_аналитики'!$F$3247,0),0)</f>
        <v/>
      </c>
      <c r="AI3561">
        <f>IF('01_Вводные'!$B$234="Да",IF(IF('01_Вводные'!$B$296="Новый сезон",6-1&gt;MOD(MONTH('06_Сеть_и_дети'!AI$3)-9,12),FALSE),'19_Расчет_аналитики'!AI3449*CapacityAge06*'19_Расчет_аналитики'!$F$3247,0),0)</f>
        <v/>
      </c>
      <c r="AJ3561">
        <f>IF('01_Вводные'!$B$234="Да",IF(IF('01_Вводные'!$B$296="Новый сезон",6-1&gt;MOD(MONTH('06_Сеть_и_дети'!AJ$3)-9,12),FALSE),'19_Расчет_аналитики'!AJ3449*CapacityAge06*'19_Расчет_аналитики'!$F$3247,0),0)</f>
        <v/>
      </c>
      <c r="AK3561">
        <f>IF('01_Вводные'!$B$234="Да",IF(IF('01_Вводные'!$B$296="Новый сезон",6-1&gt;MOD(MONTH('06_Сеть_и_дети'!AK$3)-9,12),FALSE),'19_Расчет_аналитики'!AK3449*CapacityAge06*'19_Расчет_аналитики'!$F$3247,0),0)</f>
        <v/>
      </c>
      <c r="AL3561">
        <f>IF('01_Вводные'!$B$234="Да",IF(IF('01_Вводные'!$B$296="Новый сезон",6-1&gt;MOD(MONTH('06_Сеть_и_дети'!AL$3)-9,12),FALSE),'19_Расчет_аналитики'!AL3449*CapacityAge06*'19_Расчет_аналитики'!$F$3247,0),0)</f>
        <v/>
      </c>
      <c r="AM3561">
        <f>IF('01_Вводные'!$B$234="Да",IF(IF('01_Вводные'!$B$296="Новый сезон",6-1&gt;MOD(MONTH('06_Сеть_и_дети'!AM$3)-9,12),FALSE),'19_Расчет_аналитики'!AM3449*CapacityAge06*'19_Расчет_аналитики'!$F$3247,0),0)</f>
        <v/>
      </c>
      <c r="AN3561">
        <f>IF('01_Вводные'!$B$234="Да",IF(IF('01_Вводные'!$B$296="Новый сезон",6-1&gt;MOD(MONTH('06_Сеть_и_дети'!AN$3)-9,12),FALSE),'19_Расчет_аналитики'!AN3449*CapacityAge06*'19_Расчет_аналитики'!$F$3247,0),0)</f>
        <v/>
      </c>
      <c r="AO3561">
        <f>IF('01_Вводные'!$B$234="Да",IF(IF('01_Вводные'!$B$296="Новый сезон",6-1&gt;MOD(MONTH('06_Сеть_и_дети'!AO$3)-9,12),FALSE),'19_Расчет_аналитики'!AO3449*CapacityAge06*'19_Расчет_аналитики'!$F$3247,0),0)</f>
        <v/>
      </c>
      <c r="AP3561">
        <f>IF('01_Вводные'!$B$234="Да",IF(IF('01_Вводные'!$B$296="Новый сезон",6-1&gt;MOD(MONTH('06_Сеть_и_дети'!AP$3)-9,12),FALSE),'19_Расчет_аналитики'!AP3449*CapacityAge06*'19_Расчет_аналитики'!$F$3247,0),0)</f>
        <v/>
      </c>
      <c r="AQ3561">
        <f>IF('01_Вводные'!$B$234="Да",IF(IF('01_Вводные'!$B$296="Новый сезон",6-1&gt;MOD(MONTH('06_Сеть_и_дети'!AQ$3)-9,12),FALSE),'19_Расчет_аналитики'!AQ3449*CapacityAge06*'19_Расчет_аналитики'!$F$3247,0),0)</f>
        <v/>
      </c>
      <c r="AR3561">
        <f>IF('01_Вводные'!$B$234="Да",IF(IF('01_Вводные'!$B$296="Новый сезон",6-1&gt;MOD(MONTH('06_Сеть_и_дети'!AR$3)-9,12),FALSE),'19_Расчет_аналитики'!AR3449*CapacityAge06*'19_Расчет_аналитики'!$F$3247,0),0)</f>
        <v/>
      </c>
      <c r="AS3561">
        <f>IF('01_Вводные'!$B$234="Да",IF(IF('01_Вводные'!$B$296="Новый сезон",6-1&gt;MOD(MONTH('06_Сеть_и_дети'!AS$3)-9,12),FALSE),'19_Расчет_аналитики'!AS3449*CapacityAge06*'19_Расчет_аналитики'!$F$3247,0),0)</f>
        <v/>
      </c>
      <c r="AT3561">
        <f>IF('01_Вводные'!$B$234="Да",IF(IF('01_Вводные'!$B$296="Новый сезон",6-1&gt;MOD(MONTH('06_Сеть_и_дети'!AT$3)-9,12),FALSE),'19_Расчет_аналитики'!AT3449*CapacityAge06*'19_Расчет_аналитики'!$F$3247,0),0)</f>
        <v/>
      </c>
      <c r="AU3561">
        <f>IF('01_Вводные'!$B$234="Да",IF(IF('01_Вводные'!$B$296="Новый сезон",6-1&gt;MOD(MONTH('06_Сеть_и_дети'!AU$3)-9,12),FALSE),'19_Расчет_аналитики'!AU3449*CapacityAge06*'19_Расчет_аналитики'!$F$3247,0),0)</f>
        <v/>
      </c>
      <c r="AV3561">
        <f>IF('01_Вводные'!$B$234="Да",IF(IF('01_Вводные'!$B$296="Новый сезон",6-1&gt;MOD(MONTH('06_Сеть_и_дети'!AV$3)-9,12),FALSE),'19_Расчет_аналитики'!AV3449*CapacityAge06*'19_Расчет_аналитики'!$F$3247,0),0)</f>
        <v/>
      </c>
      <c r="AW3561">
        <f>IF('01_Вводные'!$B$234="Да",IF(IF('01_Вводные'!$B$296="Новый сезон",6-1&gt;MOD(MONTH('06_Сеть_и_дети'!AW$3)-9,12),FALSE),'19_Расчет_аналитики'!AW3449*CapacityAge06*'19_Расчет_аналитики'!$F$3247,0),0)</f>
        <v/>
      </c>
      <c r="AX3561">
        <f>IF('01_Вводные'!$B$234="Да",IF(IF('01_Вводные'!$B$296="Новый сезон",6-1&gt;MOD(MONTH('06_Сеть_и_дети'!AX$3)-9,12),FALSE),'19_Расчет_аналитики'!AX3449*CapacityAge06*'19_Расчет_аналитики'!$F$3247,0),0)</f>
        <v/>
      </c>
      <c r="AY3561">
        <f>IF('01_Вводные'!$B$234="Да",IF(IF('01_Вводные'!$B$296="Новый сезон",6-1&gt;MOD(MONTH('06_Сеть_и_дети'!AY$3)-9,12),FALSE),'19_Расчет_аналитики'!AY3449*CapacityAge06*'19_Расчет_аналитики'!$F$3247,0),0)</f>
        <v/>
      </c>
      <c r="AZ3561">
        <f>IF('01_Вводные'!$B$234="Да",IF(IF('01_Вводные'!$B$296="Новый сезон",6-1&gt;MOD(MONTH('06_Сеть_и_дети'!AZ$3)-9,12),FALSE),'19_Расчет_аналитики'!AZ3449*CapacityAge06*'19_Расчет_аналитики'!$F$3247,0),0)</f>
        <v/>
      </c>
      <c r="BA3561">
        <f>IF('01_Вводные'!$B$234="Да",IF(IF('01_Вводные'!$B$296="Новый сезон",6-1&gt;MOD(MONTH('06_Сеть_и_дети'!BA$3)-9,12),FALSE),'19_Расчет_аналитики'!BA3449*CapacityAge06*'19_Расчет_аналитики'!$F$3247,0),0)</f>
        <v/>
      </c>
      <c r="BB3561">
        <f>IF('01_Вводные'!$B$234="Да",IF(IF('01_Вводные'!$B$296="Новый сезон",6-1&gt;MOD(MONTH('06_Сеть_и_дети'!BB$3)-9,12),FALSE),'19_Расчет_аналитики'!BB3449*CapacityAge06*'19_Расчет_аналитики'!$F$3247,0),0)</f>
        <v/>
      </c>
      <c r="BC3561">
        <f>IF('01_Вводные'!$B$234="Да",IF(IF('01_Вводные'!$B$296="Новый сезон",6-1&gt;MOD(MONTH('06_Сеть_и_дети'!BC$3)-9,12),FALSE),'19_Расчет_аналитики'!BC3449*CapacityAge06*'19_Расчет_аналитики'!$F$3247,0),0)</f>
        <v/>
      </c>
      <c r="BD3561">
        <f>IF('01_Вводные'!$B$234="Да",IF(IF('01_Вводные'!$B$296="Новый сезон",6-1&gt;MOD(MONTH('06_Сеть_и_дети'!BD$3)-9,12),FALSE),'19_Расчет_аналитики'!BD3449*CapacityAge06*'19_Расчет_аналитики'!$F$3247,0),0)</f>
        <v/>
      </c>
      <c r="BE3561">
        <f>IF('01_Вводные'!$B$234="Да",IF(IF('01_Вводные'!$B$296="Новый сезон",6-1&gt;MOD(MONTH('06_Сеть_и_дети'!BE$3)-9,12),FALSE),'19_Расчет_аналитики'!BE3449*CapacityAge06*'19_Расчет_аналитики'!$F$3247,0),0)</f>
        <v/>
      </c>
      <c r="BF3561">
        <f>IF('01_Вводные'!$B$234="Да",IF(IF('01_Вводные'!$B$296="Новый сезон",6-1&gt;MOD(MONTH('06_Сеть_и_дети'!BF$3)-9,12),FALSE),'19_Расчет_аналитики'!BF3449*CapacityAge06*'19_Расчет_аналитики'!$F$3247,0),0)</f>
        <v/>
      </c>
      <c r="BG3561">
        <f>IF('01_Вводные'!$B$234="Да",IF(IF('01_Вводные'!$B$296="Новый сезон",6-1&gt;MOD(MONTH('06_Сеть_и_дети'!BG$3)-9,12),FALSE),'19_Расчет_аналитики'!BG3449*CapacityAge06*'19_Расчет_аналитики'!$F$3247,0),0)</f>
        <v/>
      </c>
      <c r="BH3561">
        <f>IF('01_Вводные'!$B$234="Да",IF(IF('01_Вводные'!$B$296="Новый сезон",6-1&gt;MOD(MONTH('06_Сеть_и_дети'!BH$3)-9,12),FALSE),'19_Расчет_аналитики'!BH3449*CapacityAge06*'19_Расчет_аналитики'!$F$3247,0),0)</f>
        <v/>
      </c>
      <c r="BI3561">
        <f>IF('01_Вводные'!$B$234="Да",IF(IF('01_Вводные'!$B$296="Новый сезон",6-1&gt;MOD(MONTH('06_Сеть_и_дети'!BI$3)-9,12),FALSE),'19_Расчет_аналитики'!BI3449*CapacityAge06*'19_Расчет_аналитики'!$F$3247,0),0)</f>
        <v/>
      </c>
      <c r="BJ3561">
        <f>IF('01_Вводные'!$B$234="Да",IF(IF('01_Вводные'!$B$296="Новый сезон",6-1&gt;MOD(MONTH('06_Сеть_и_дети'!BJ$3)-9,12),FALSE),'19_Расчет_аналитики'!BJ3449*CapacityAge06*'19_Расчет_аналитики'!$F$3247,0),0)</f>
        <v/>
      </c>
      <c r="BK3561">
        <f>IF('01_Вводные'!$B$234="Да",IF(IF('01_Вводные'!$B$296="Новый сезон",6-1&gt;MOD(MONTH('06_Сеть_и_дети'!BK$3)-9,12),FALSE),'19_Расчет_аналитики'!BK3449*CapacityAge06*'19_Расчет_аналитики'!$F$3247,0),0)</f>
        <v/>
      </c>
      <c r="BL3561">
        <f>IF('01_Вводные'!$B$234="Да",IF(IF('01_Вводные'!$B$296="Новый сезон",6-1&gt;MOD(MONTH('06_Сеть_и_дети'!BL$3)-9,12),FALSE),'19_Расчет_аналитики'!BL3449*CapacityAge06*'19_Расчет_аналитики'!$F$3247,0),0)</f>
        <v/>
      </c>
      <c r="BM3561">
        <f>IF('01_Вводные'!$B$234="Да",IF(IF('01_Вводные'!$B$296="Новый сезон",6-1&gt;MOD(MONTH('06_Сеть_и_дети'!BM$3)-9,12),FALSE),'19_Расчет_аналитики'!BM3449*CapacityAge06*'19_Расчет_аналитики'!$F$3247,0),0)</f>
        <v/>
      </c>
      <c r="BN3561">
        <f>IF('01_Вводные'!$B$234="Да",IF(IF('01_Вводные'!$B$296="Новый сезон",6-1&gt;MOD(MONTH('06_Сеть_и_дети'!BN$3)-9,12),FALSE),'19_Расчет_аналитики'!BN3449*CapacityAge06*'19_Расчет_аналитики'!$F$3247,0),0)</f>
        <v/>
      </c>
      <c r="BO3561">
        <f>IF('01_Вводные'!$B$234="Да",IF(IF('01_Вводные'!$B$296="Новый сезон",6-1&gt;MOD(MONTH('06_Сеть_и_дети'!BO$3)-9,12),FALSE),'19_Расчет_аналитики'!BO3449*CapacityAge06*'19_Расчет_аналитики'!$F$3247,0),0)</f>
        <v/>
      </c>
    </row>
    <row r="3562">
      <c r="B3562">
        <f>IF('01_Вводные'!$B$234="Да",IF(IF('01_Вводные'!$B$296="Новый сезон",7-1&gt;MOD(MONTH('06_Сеть_и_дети'!B$3)-9,12),FALSE),'06_Сеть_и_дети'!B59*CapacityAge07*'19_Расчет_аналитики'!$F$3247,0),0)</f>
        <v/>
      </c>
      <c r="C3562">
        <f>IF('01_Вводные'!$B$234="Да",IF(IF('01_Вводные'!$B$296="Новый сезон",7-1&gt;MOD(MONTH('06_Сеть_и_дети'!C$3)-9,12),FALSE),'06_Сеть_и_дети'!C59*CapacityAge07*'19_Расчет_аналитики'!$F$3247,0),0)</f>
        <v/>
      </c>
      <c r="D3562">
        <f>IF('01_Вводные'!$B$234="Да",IF(IF('01_Вводные'!$B$296="Новый сезон",7-1&gt;MOD(MONTH('06_Сеть_и_дети'!D$3)-9,12),FALSE),'06_Сеть_и_дети'!D59*CapacityAge07*'19_Расчет_аналитики'!$F$3247,0),0)</f>
        <v/>
      </c>
      <c r="E3562">
        <f>IF('01_Вводные'!$B$234="Да",IF(IF('01_Вводные'!$B$296="Новый сезон",7-1&gt;MOD(MONTH('06_Сеть_и_дети'!E$3)-9,12),FALSE),'06_Сеть_и_дети'!E59*CapacityAge07*'19_Расчет_аналитики'!$F$3247,0),0)</f>
        <v/>
      </c>
      <c r="F3562">
        <f>IF('01_Вводные'!$B$234="Да",IF(IF('01_Вводные'!$B$296="Новый сезон",7-1&gt;MOD(MONTH('06_Сеть_и_дети'!F$3)-9,12),FALSE),'06_Сеть_и_дети'!F59*CapacityAge07*'19_Расчет_аналитики'!$F$3247,0),0)</f>
        <v/>
      </c>
      <c r="G3562">
        <f>IF('01_Вводные'!$B$234="Да",IF(IF('01_Вводные'!$B$296="Новый сезон",7-1&gt;MOD(MONTH('06_Сеть_и_дети'!G$3)-9,12),FALSE),'06_Сеть_и_дети'!G59*CapacityAge07*'19_Расчет_аналитики'!$F$3247,0),0)</f>
        <v/>
      </c>
      <c r="H3562">
        <f>IF('01_Вводные'!$B$234="Да",IF(IF('01_Вводные'!$B$296="Новый сезон",7-1&gt;MOD(MONTH('06_Сеть_и_дети'!H$3)-9,12),FALSE),'19_Расчет_аналитики'!H3450*CapacityAge07*'19_Расчет_аналитики'!$F$3247,0),0)</f>
        <v/>
      </c>
      <c r="I3562">
        <f>IF('01_Вводные'!$B$234="Да",IF(IF('01_Вводные'!$B$296="Новый сезон",7-1&gt;MOD(MONTH('06_Сеть_и_дети'!I$3)-9,12),FALSE),'19_Расчет_аналитики'!I3450*CapacityAge07*'19_Расчет_аналитики'!$F$3247,0),0)</f>
        <v/>
      </c>
      <c r="J3562">
        <f>IF('01_Вводные'!$B$234="Да",IF(IF('01_Вводные'!$B$296="Новый сезон",7-1&gt;MOD(MONTH('06_Сеть_и_дети'!J$3)-9,12),FALSE),'19_Расчет_аналитики'!J3450*CapacityAge07*'19_Расчет_аналитики'!$F$3247,0),0)</f>
        <v/>
      </c>
      <c r="K3562">
        <f>IF('01_Вводные'!$B$234="Да",IF(IF('01_Вводные'!$B$296="Новый сезон",7-1&gt;MOD(MONTH('06_Сеть_и_дети'!K$3)-9,12),FALSE),'19_Расчет_аналитики'!K3450*CapacityAge07*'19_Расчет_аналитики'!$F$3247,0),0)</f>
        <v/>
      </c>
      <c r="L3562">
        <f>IF('01_Вводные'!$B$234="Да",IF(IF('01_Вводные'!$B$296="Новый сезон",7-1&gt;MOD(MONTH('06_Сеть_и_дети'!L$3)-9,12),FALSE),'19_Расчет_аналитики'!L3450*CapacityAge07*'19_Расчет_аналитики'!$F$3247,0),0)</f>
        <v/>
      </c>
      <c r="M3562">
        <f>IF('01_Вводные'!$B$234="Да",IF(IF('01_Вводные'!$B$296="Новый сезон",7-1&gt;MOD(MONTH('06_Сеть_и_дети'!M$3)-9,12),FALSE),'19_Расчет_аналитики'!M3450*CapacityAge07*'19_Расчет_аналитики'!$F$3247,0),0)</f>
        <v/>
      </c>
      <c r="N3562">
        <f>IF('01_Вводные'!$B$234="Да",IF(IF('01_Вводные'!$B$296="Новый сезон",7-1&gt;MOD(MONTH('06_Сеть_и_дети'!N$3)-9,12),FALSE),'19_Расчет_аналитики'!N3450*CapacityAge07*'19_Расчет_аналитики'!$F$3247,0),0)</f>
        <v/>
      </c>
      <c r="O3562">
        <f>IF('01_Вводные'!$B$234="Да",IF(IF('01_Вводные'!$B$296="Новый сезон",7-1&gt;MOD(MONTH('06_Сеть_и_дети'!O$3)-9,12),FALSE),'19_Расчет_аналитики'!O3450*CapacityAge07*'19_Расчет_аналитики'!$F$3247,0),0)</f>
        <v/>
      </c>
      <c r="P3562">
        <f>IF('01_Вводные'!$B$234="Да",IF(IF('01_Вводные'!$B$296="Новый сезон",7-1&gt;MOD(MONTH('06_Сеть_и_дети'!P$3)-9,12),FALSE),'19_Расчет_аналитики'!P3450*CapacityAge07*'19_Расчет_аналитики'!$F$3247,0),0)</f>
        <v/>
      </c>
      <c r="Q3562">
        <f>IF('01_Вводные'!$B$234="Да",IF(IF('01_Вводные'!$B$296="Новый сезон",7-1&gt;MOD(MONTH('06_Сеть_и_дети'!Q$3)-9,12),FALSE),'19_Расчет_аналитики'!Q3450*CapacityAge07*'19_Расчет_аналитики'!$F$3247,0),0)</f>
        <v/>
      </c>
      <c r="R3562">
        <f>IF('01_Вводные'!$B$234="Да",IF(IF('01_Вводные'!$B$296="Новый сезон",7-1&gt;MOD(MONTH('06_Сеть_и_дети'!R$3)-9,12),FALSE),'19_Расчет_аналитики'!R3450*CapacityAge07*'19_Расчет_аналитики'!$F$3247,0),0)</f>
        <v/>
      </c>
      <c r="S3562">
        <f>IF('01_Вводные'!$B$234="Да",IF(IF('01_Вводные'!$B$296="Новый сезон",7-1&gt;MOD(MONTH('06_Сеть_и_дети'!S$3)-9,12),FALSE),'19_Расчет_аналитики'!S3450*CapacityAge07*'19_Расчет_аналитики'!$F$3247,0),0)</f>
        <v/>
      </c>
      <c r="T3562">
        <f>IF('01_Вводные'!$B$234="Да",IF(IF('01_Вводные'!$B$296="Новый сезон",7-1&gt;MOD(MONTH('06_Сеть_и_дети'!T$3)-9,12),FALSE),'19_Расчет_аналитики'!T3450*CapacityAge07*'19_Расчет_аналитики'!$F$3247,0),0)</f>
        <v/>
      </c>
      <c r="U3562">
        <f>IF('01_Вводные'!$B$234="Да",IF(IF('01_Вводные'!$B$296="Новый сезон",7-1&gt;MOD(MONTH('06_Сеть_и_дети'!U$3)-9,12),FALSE),'19_Расчет_аналитики'!U3450*CapacityAge07*'19_Расчет_аналитики'!$F$3247,0),0)</f>
        <v/>
      </c>
      <c r="V3562">
        <f>IF('01_Вводные'!$B$234="Да",IF(IF('01_Вводные'!$B$296="Новый сезон",7-1&gt;MOD(MONTH('06_Сеть_и_дети'!V$3)-9,12),FALSE),'19_Расчет_аналитики'!V3450*CapacityAge07*'19_Расчет_аналитики'!$F$3247,0),0)</f>
        <v/>
      </c>
      <c r="W3562">
        <f>IF('01_Вводные'!$B$234="Да",IF(IF('01_Вводные'!$B$296="Новый сезон",7-1&gt;MOD(MONTH('06_Сеть_и_дети'!W$3)-9,12),FALSE),'19_Расчет_аналитики'!W3450*CapacityAge07*'19_Расчет_аналитики'!$F$3247,0),0)</f>
        <v/>
      </c>
      <c r="X3562">
        <f>IF('01_Вводные'!$B$234="Да",IF(IF('01_Вводные'!$B$296="Новый сезон",7-1&gt;MOD(MONTH('06_Сеть_и_дети'!X$3)-9,12),FALSE),'19_Расчет_аналитики'!X3450*CapacityAge07*'19_Расчет_аналитики'!$F$3247,0),0)</f>
        <v/>
      </c>
      <c r="Y3562">
        <f>IF('01_Вводные'!$B$234="Да",IF(IF('01_Вводные'!$B$296="Новый сезон",7-1&gt;MOD(MONTH('06_Сеть_и_дети'!Y$3)-9,12),FALSE),'19_Расчет_аналитики'!Y3450*CapacityAge07*'19_Расчет_аналитики'!$F$3247,0),0)</f>
        <v/>
      </c>
      <c r="Z3562">
        <f>IF('01_Вводные'!$B$234="Да",IF(IF('01_Вводные'!$B$296="Новый сезон",7-1&gt;MOD(MONTH('06_Сеть_и_дети'!Z$3)-9,12),FALSE),'19_Расчет_аналитики'!Z3450*CapacityAge07*'19_Расчет_аналитики'!$F$3247,0),0)</f>
        <v/>
      </c>
      <c r="AA3562">
        <f>IF('01_Вводные'!$B$234="Да",IF(IF('01_Вводные'!$B$296="Новый сезон",7-1&gt;MOD(MONTH('06_Сеть_и_дети'!AA$3)-9,12),FALSE),'19_Расчет_аналитики'!AA3450*CapacityAge07*'19_Расчет_аналитики'!$F$3247,0),0)</f>
        <v/>
      </c>
      <c r="AB3562">
        <f>IF('01_Вводные'!$B$234="Да",IF(IF('01_Вводные'!$B$296="Новый сезон",7-1&gt;MOD(MONTH('06_Сеть_и_дети'!AB$3)-9,12),FALSE),'19_Расчет_аналитики'!AB3450*CapacityAge07*'19_Расчет_аналитики'!$F$3247,0),0)</f>
        <v/>
      </c>
      <c r="AC3562">
        <f>IF('01_Вводные'!$B$234="Да",IF(IF('01_Вводные'!$B$296="Новый сезон",7-1&gt;MOD(MONTH('06_Сеть_и_дети'!AC$3)-9,12),FALSE),'19_Расчет_аналитики'!AC3450*CapacityAge07*'19_Расчет_аналитики'!$F$3247,0),0)</f>
        <v/>
      </c>
      <c r="AD3562">
        <f>IF('01_Вводные'!$B$234="Да",IF(IF('01_Вводные'!$B$296="Новый сезон",7-1&gt;MOD(MONTH('06_Сеть_и_дети'!AD$3)-9,12),FALSE),'19_Расчет_аналитики'!AD3450*CapacityAge07*'19_Расчет_аналитики'!$F$3247,0),0)</f>
        <v/>
      </c>
      <c r="AE3562">
        <f>IF('01_Вводные'!$B$234="Да",IF(IF('01_Вводные'!$B$296="Новый сезон",7-1&gt;MOD(MONTH('06_Сеть_и_дети'!AE$3)-9,12),FALSE),'19_Расчет_аналитики'!AE3450*CapacityAge07*'19_Расчет_аналитики'!$F$3247,0),0)</f>
        <v/>
      </c>
      <c r="AF3562">
        <f>IF('01_Вводные'!$B$234="Да",IF(IF('01_Вводные'!$B$296="Новый сезон",7-1&gt;MOD(MONTH('06_Сеть_и_дети'!AF$3)-9,12),FALSE),'19_Расчет_аналитики'!AF3450*CapacityAge07*'19_Расчет_аналитики'!$F$3247,0),0)</f>
        <v/>
      </c>
      <c r="AG3562">
        <f>IF('01_Вводные'!$B$234="Да",IF(IF('01_Вводные'!$B$296="Новый сезон",7-1&gt;MOD(MONTH('06_Сеть_и_дети'!AG$3)-9,12),FALSE),'19_Расчет_аналитики'!AG3450*CapacityAge07*'19_Расчет_аналитики'!$F$3247,0),0)</f>
        <v/>
      </c>
      <c r="AH3562">
        <f>IF('01_Вводные'!$B$234="Да",IF(IF('01_Вводные'!$B$296="Новый сезон",7-1&gt;MOD(MONTH('06_Сеть_и_дети'!AH$3)-9,12),FALSE),'19_Расчет_аналитики'!AH3450*CapacityAge07*'19_Расчет_аналитики'!$F$3247,0),0)</f>
        <v/>
      </c>
      <c r="AI3562">
        <f>IF('01_Вводные'!$B$234="Да",IF(IF('01_Вводные'!$B$296="Новый сезон",7-1&gt;MOD(MONTH('06_Сеть_и_дети'!AI$3)-9,12),FALSE),'19_Расчет_аналитики'!AI3450*CapacityAge07*'19_Расчет_аналитики'!$F$3247,0),0)</f>
        <v/>
      </c>
      <c r="AJ3562">
        <f>IF('01_Вводные'!$B$234="Да",IF(IF('01_Вводные'!$B$296="Новый сезон",7-1&gt;MOD(MONTH('06_Сеть_и_дети'!AJ$3)-9,12),FALSE),'19_Расчет_аналитики'!AJ3450*CapacityAge07*'19_Расчет_аналитики'!$F$3247,0),0)</f>
        <v/>
      </c>
      <c r="AK3562">
        <f>IF('01_Вводные'!$B$234="Да",IF(IF('01_Вводные'!$B$296="Новый сезон",7-1&gt;MOD(MONTH('06_Сеть_и_дети'!AK$3)-9,12),FALSE),'19_Расчет_аналитики'!AK3450*CapacityAge07*'19_Расчет_аналитики'!$F$3247,0),0)</f>
        <v/>
      </c>
      <c r="AL3562">
        <f>IF('01_Вводные'!$B$234="Да",IF(IF('01_Вводные'!$B$296="Новый сезон",7-1&gt;MOD(MONTH('06_Сеть_и_дети'!AL$3)-9,12),FALSE),'19_Расчет_аналитики'!AL3450*CapacityAge07*'19_Расчет_аналитики'!$F$3247,0),0)</f>
        <v/>
      </c>
      <c r="AM3562">
        <f>IF('01_Вводные'!$B$234="Да",IF(IF('01_Вводные'!$B$296="Новый сезон",7-1&gt;MOD(MONTH('06_Сеть_и_дети'!AM$3)-9,12),FALSE),'19_Расчет_аналитики'!AM3450*CapacityAge07*'19_Расчет_аналитики'!$F$3247,0),0)</f>
        <v/>
      </c>
      <c r="AN3562">
        <f>IF('01_Вводные'!$B$234="Да",IF(IF('01_Вводные'!$B$296="Новый сезон",7-1&gt;MOD(MONTH('06_Сеть_и_дети'!AN$3)-9,12),FALSE),'19_Расчет_аналитики'!AN3450*CapacityAge07*'19_Расчет_аналитики'!$F$3247,0),0)</f>
        <v/>
      </c>
      <c r="AO3562">
        <f>IF('01_Вводные'!$B$234="Да",IF(IF('01_Вводные'!$B$296="Новый сезон",7-1&gt;MOD(MONTH('06_Сеть_и_дети'!AO$3)-9,12),FALSE),'19_Расчет_аналитики'!AO3450*CapacityAge07*'19_Расчет_аналитики'!$F$3247,0),0)</f>
        <v/>
      </c>
      <c r="AP3562">
        <f>IF('01_Вводные'!$B$234="Да",IF(IF('01_Вводные'!$B$296="Новый сезон",7-1&gt;MOD(MONTH('06_Сеть_и_дети'!AP$3)-9,12),FALSE),'19_Расчет_аналитики'!AP3450*CapacityAge07*'19_Расчет_аналитики'!$F$3247,0),0)</f>
        <v/>
      </c>
      <c r="AQ3562">
        <f>IF('01_Вводные'!$B$234="Да",IF(IF('01_Вводные'!$B$296="Новый сезон",7-1&gt;MOD(MONTH('06_Сеть_и_дети'!AQ$3)-9,12),FALSE),'19_Расчет_аналитики'!AQ3450*CapacityAge07*'19_Расчет_аналитики'!$F$3247,0),0)</f>
        <v/>
      </c>
      <c r="AR3562">
        <f>IF('01_Вводные'!$B$234="Да",IF(IF('01_Вводные'!$B$296="Новый сезон",7-1&gt;MOD(MONTH('06_Сеть_и_дети'!AR$3)-9,12),FALSE),'19_Расчет_аналитики'!AR3450*CapacityAge07*'19_Расчет_аналитики'!$F$3247,0),0)</f>
        <v/>
      </c>
      <c r="AS3562">
        <f>IF('01_Вводные'!$B$234="Да",IF(IF('01_Вводные'!$B$296="Новый сезон",7-1&gt;MOD(MONTH('06_Сеть_и_дети'!AS$3)-9,12),FALSE),'19_Расчет_аналитики'!AS3450*CapacityAge07*'19_Расчет_аналитики'!$F$3247,0),0)</f>
        <v/>
      </c>
      <c r="AT3562">
        <f>IF('01_Вводные'!$B$234="Да",IF(IF('01_Вводные'!$B$296="Новый сезон",7-1&gt;MOD(MONTH('06_Сеть_и_дети'!AT$3)-9,12),FALSE),'19_Расчет_аналитики'!AT3450*CapacityAge07*'19_Расчет_аналитики'!$F$3247,0),0)</f>
        <v/>
      </c>
      <c r="AU3562">
        <f>IF('01_Вводные'!$B$234="Да",IF(IF('01_Вводные'!$B$296="Новый сезон",7-1&gt;MOD(MONTH('06_Сеть_и_дети'!AU$3)-9,12),FALSE),'19_Расчет_аналитики'!AU3450*CapacityAge07*'19_Расчет_аналитики'!$F$3247,0),0)</f>
        <v/>
      </c>
      <c r="AV3562">
        <f>IF('01_Вводные'!$B$234="Да",IF(IF('01_Вводные'!$B$296="Новый сезон",7-1&gt;MOD(MONTH('06_Сеть_и_дети'!AV$3)-9,12),FALSE),'19_Расчет_аналитики'!AV3450*CapacityAge07*'19_Расчет_аналитики'!$F$3247,0),0)</f>
        <v/>
      </c>
      <c r="AW3562">
        <f>IF('01_Вводные'!$B$234="Да",IF(IF('01_Вводные'!$B$296="Новый сезон",7-1&gt;MOD(MONTH('06_Сеть_и_дети'!AW$3)-9,12),FALSE),'19_Расчет_аналитики'!AW3450*CapacityAge07*'19_Расчет_аналитики'!$F$3247,0),0)</f>
        <v/>
      </c>
      <c r="AX3562">
        <f>IF('01_Вводные'!$B$234="Да",IF(IF('01_Вводные'!$B$296="Новый сезон",7-1&gt;MOD(MONTH('06_Сеть_и_дети'!AX$3)-9,12),FALSE),'19_Расчет_аналитики'!AX3450*CapacityAge07*'19_Расчет_аналитики'!$F$3247,0),0)</f>
        <v/>
      </c>
      <c r="AY3562">
        <f>IF('01_Вводные'!$B$234="Да",IF(IF('01_Вводные'!$B$296="Новый сезон",7-1&gt;MOD(MONTH('06_Сеть_и_дети'!AY$3)-9,12),FALSE),'19_Расчет_аналитики'!AY3450*CapacityAge07*'19_Расчет_аналитики'!$F$3247,0),0)</f>
        <v/>
      </c>
      <c r="AZ3562">
        <f>IF('01_Вводные'!$B$234="Да",IF(IF('01_Вводные'!$B$296="Новый сезон",7-1&gt;MOD(MONTH('06_Сеть_и_дети'!AZ$3)-9,12),FALSE),'19_Расчет_аналитики'!AZ3450*CapacityAge07*'19_Расчет_аналитики'!$F$3247,0),0)</f>
        <v/>
      </c>
      <c r="BA3562">
        <f>IF('01_Вводные'!$B$234="Да",IF(IF('01_Вводные'!$B$296="Новый сезон",7-1&gt;MOD(MONTH('06_Сеть_и_дети'!BA$3)-9,12),FALSE),'19_Расчет_аналитики'!BA3450*CapacityAge07*'19_Расчет_аналитики'!$F$3247,0),0)</f>
        <v/>
      </c>
      <c r="BB3562">
        <f>IF('01_Вводные'!$B$234="Да",IF(IF('01_Вводные'!$B$296="Новый сезон",7-1&gt;MOD(MONTH('06_Сеть_и_дети'!BB$3)-9,12),FALSE),'19_Расчет_аналитики'!BB3450*CapacityAge07*'19_Расчет_аналитики'!$F$3247,0),0)</f>
        <v/>
      </c>
      <c r="BC3562">
        <f>IF('01_Вводные'!$B$234="Да",IF(IF('01_Вводные'!$B$296="Новый сезон",7-1&gt;MOD(MONTH('06_Сеть_и_дети'!BC$3)-9,12),FALSE),'19_Расчет_аналитики'!BC3450*CapacityAge07*'19_Расчет_аналитики'!$F$3247,0),0)</f>
        <v/>
      </c>
      <c r="BD3562">
        <f>IF('01_Вводные'!$B$234="Да",IF(IF('01_Вводные'!$B$296="Новый сезон",7-1&gt;MOD(MONTH('06_Сеть_и_дети'!BD$3)-9,12),FALSE),'19_Расчет_аналитики'!BD3450*CapacityAge07*'19_Расчет_аналитики'!$F$3247,0),0)</f>
        <v/>
      </c>
      <c r="BE3562">
        <f>IF('01_Вводные'!$B$234="Да",IF(IF('01_Вводные'!$B$296="Новый сезон",7-1&gt;MOD(MONTH('06_Сеть_и_дети'!BE$3)-9,12),FALSE),'19_Расчет_аналитики'!BE3450*CapacityAge07*'19_Расчет_аналитики'!$F$3247,0),0)</f>
        <v/>
      </c>
      <c r="BF3562">
        <f>IF('01_Вводные'!$B$234="Да",IF(IF('01_Вводные'!$B$296="Новый сезон",7-1&gt;MOD(MONTH('06_Сеть_и_дети'!BF$3)-9,12),FALSE),'19_Расчет_аналитики'!BF3450*CapacityAge07*'19_Расчет_аналитики'!$F$3247,0),0)</f>
        <v/>
      </c>
      <c r="BG3562">
        <f>IF('01_Вводные'!$B$234="Да",IF(IF('01_Вводные'!$B$296="Новый сезон",7-1&gt;MOD(MONTH('06_Сеть_и_дети'!BG$3)-9,12),FALSE),'19_Расчет_аналитики'!BG3450*CapacityAge07*'19_Расчет_аналитики'!$F$3247,0),0)</f>
        <v/>
      </c>
      <c r="BH3562">
        <f>IF('01_Вводные'!$B$234="Да",IF(IF('01_Вводные'!$B$296="Новый сезон",7-1&gt;MOD(MONTH('06_Сеть_и_дети'!BH$3)-9,12),FALSE),'19_Расчет_аналитики'!BH3450*CapacityAge07*'19_Расчет_аналитики'!$F$3247,0),0)</f>
        <v/>
      </c>
      <c r="BI3562">
        <f>IF('01_Вводные'!$B$234="Да",IF(IF('01_Вводные'!$B$296="Новый сезон",7-1&gt;MOD(MONTH('06_Сеть_и_дети'!BI$3)-9,12),FALSE),'19_Расчет_аналитики'!BI3450*CapacityAge07*'19_Расчет_аналитики'!$F$3247,0),0)</f>
        <v/>
      </c>
      <c r="BJ3562">
        <f>IF('01_Вводные'!$B$234="Да",IF(IF('01_Вводные'!$B$296="Новый сезон",7-1&gt;MOD(MONTH('06_Сеть_и_дети'!BJ$3)-9,12),FALSE),'19_Расчет_аналитики'!BJ3450*CapacityAge07*'19_Расчет_аналитики'!$F$3247,0),0)</f>
        <v/>
      </c>
      <c r="BK3562">
        <f>IF('01_Вводные'!$B$234="Да",IF(IF('01_Вводные'!$B$296="Новый сезон",7-1&gt;MOD(MONTH('06_Сеть_и_дети'!BK$3)-9,12),FALSE),'19_Расчет_аналитики'!BK3450*CapacityAge07*'19_Расчет_аналитики'!$F$3247,0),0)</f>
        <v/>
      </c>
      <c r="BL3562">
        <f>IF('01_Вводные'!$B$234="Да",IF(IF('01_Вводные'!$B$296="Новый сезон",7-1&gt;MOD(MONTH('06_Сеть_и_дети'!BL$3)-9,12),FALSE),'19_Расчет_аналитики'!BL3450*CapacityAge07*'19_Расчет_аналитики'!$F$3247,0),0)</f>
        <v/>
      </c>
      <c r="BM3562">
        <f>IF('01_Вводные'!$B$234="Да",IF(IF('01_Вводные'!$B$296="Новый сезон",7-1&gt;MOD(MONTH('06_Сеть_и_дети'!BM$3)-9,12),FALSE),'19_Расчет_аналитики'!BM3450*CapacityAge07*'19_Расчет_аналитики'!$F$3247,0),0)</f>
        <v/>
      </c>
      <c r="BN3562">
        <f>IF('01_Вводные'!$B$234="Да",IF(IF('01_Вводные'!$B$296="Новый сезон",7-1&gt;MOD(MONTH('06_Сеть_и_дети'!BN$3)-9,12),FALSE),'19_Расчет_аналитики'!BN3450*CapacityAge07*'19_Расчет_аналитики'!$F$3247,0),0)</f>
        <v/>
      </c>
      <c r="BO3562">
        <f>IF('01_Вводные'!$B$234="Да",IF(IF('01_Вводные'!$B$296="Новый сезон",7-1&gt;MOD(MONTH('06_Сеть_и_дети'!BO$3)-9,12),FALSE),'19_Расчет_аналитики'!BO3450*CapacityAge07*'19_Расчет_аналитики'!$F$3247,0),0)</f>
        <v/>
      </c>
    </row>
    <row r="3563">
      <c r="B3563">
        <f>IF('01_Вводные'!$B$234="Да",IF(IF('01_Вводные'!$B$296="Новый сезон",8-1&gt;MOD(MONTH('06_Сеть_и_дети'!B$3)-9,12),FALSE),'06_Сеть_и_дети'!B60*CapacityAge08*'19_Расчет_аналитики'!$F$3247,0),0)</f>
        <v/>
      </c>
      <c r="C3563">
        <f>IF('01_Вводные'!$B$234="Да",IF(IF('01_Вводные'!$B$296="Новый сезон",8-1&gt;MOD(MONTH('06_Сеть_и_дети'!C$3)-9,12),FALSE),'06_Сеть_и_дети'!C60*CapacityAge08*'19_Расчет_аналитики'!$F$3247,0),0)</f>
        <v/>
      </c>
      <c r="D3563">
        <f>IF('01_Вводные'!$B$234="Да",IF(IF('01_Вводные'!$B$296="Новый сезон",8-1&gt;MOD(MONTH('06_Сеть_и_дети'!D$3)-9,12),FALSE),'06_Сеть_и_дети'!D60*CapacityAge08*'19_Расчет_аналитики'!$F$3247,0),0)</f>
        <v/>
      </c>
      <c r="E3563">
        <f>IF('01_Вводные'!$B$234="Да",IF(IF('01_Вводные'!$B$296="Новый сезон",8-1&gt;MOD(MONTH('06_Сеть_и_дети'!E$3)-9,12),FALSE),'06_Сеть_и_дети'!E60*CapacityAge08*'19_Расчет_аналитики'!$F$3247,0),0)</f>
        <v/>
      </c>
      <c r="F3563">
        <f>IF('01_Вводные'!$B$234="Да",IF(IF('01_Вводные'!$B$296="Новый сезон",8-1&gt;MOD(MONTH('06_Сеть_и_дети'!F$3)-9,12),FALSE),'06_Сеть_и_дети'!F60*CapacityAge08*'19_Расчет_аналитики'!$F$3247,0),0)</f>
        <v/>
      </c>
      <c r="G3563">
        <f>IF('01_Вводные'!$B$234="Да",IF(IF('01_Вводные'!$B$296="Новый сезон",8-1&gt;MOD(MONTH('06_Сеть_и_дети'!G$3)-9,12),FALSE),'06_Сеть_и_дети'!G60*CapacityAge08*'19_Расчет_аналитики'!$F$3247,0),0)</f>
        <v/>
      </c>
      <c r="H3563">
        <f>IF('01_Вводные'!$B$234="Да",IF(IF('01_Вводные'!$B$296="Новый сезон",8-1&gt;MOD(MONTH('06_Сеть_и_дети'!H$3)-9,12),FALSE),'06_Сеть_и_дети'!H60*CapacityAge08*'19_Расчет_аналитики'!$F$3247,0),0)</f>
        <v/>
      </c>
      <c r="I3563">
        <f>IF('01_Вводные'!$B$234="Да",IF(IF('01_Вводные'!$B$296="Новый сезон",8-1&gt;MOD(MONTH('06_Сеть_и_дети'!I$3)-9,12),FALSE),'19_Расчет_аналитики'!I3451*CapacityAge08*'19_Расчет_аналитики'!$F$3247,0),0)</f>
        <v/>
      </c>
      <c r="J3563">
        <f>IF('01_Вводные'!$B$234="Да",IF(IF('01_Вводные'!$B$296="Новый сезон",8-1&gt;MOD(MONTH('06_Сеть_и_дети'!J$3)-9,12),FALSE),'19_Расчет_аналитики'!J3451*CapacityAge08*'19_Расчет_аналитики'!$F$3247,0),0)</f>
        <v/>
      </c>
      <c r="K3563">
        <f>IF('01_Вводные'!$B$234="Да",IF(IF('01_Вводные'!$B$296="Новый сезон",8-1&gt;MOD(MONTH('06_Сеть_и_дети'!K$3)-9,12),FALSE),'19_Расчет_аналитики'!K3451*CapacityAge08*'19_Расчет_аналитики'!$F$3247,0),0)</f>
        <v/>
      </c>
      <c r="L3563">
        <f>IF('01_Вводные'!$B$234="Да",IF(IF('01_Вводные'!$B$296="Новый сезон",8-1&gt;MOD(MONTH('06_Сеть_и_дети'!L$3)-9,12),FALSE),'19_Расчет_аналитики'!L3451*CapacityAge08*'19_Расчет_аналитики'!$F$3247,0),0)</f>
        <v/>
      </c>
      <c r="M3563">
        <f>IF('01_Вводные'!$B$234="Да",IF(IF('01_Вводные'!$B$296="Новый сезон",8-1&gt;MOD(MONTH('06_Сеть_и_дети'!M$3)-9,12),FALSE),'19_Расчет_аналитики'!M3451*CapacityAge08*'19_Расчет_аналитики'!$F$3247,0),0)</f>
        <v/>
      </c>
      <c r="N3563">
        <f>IF('01_Вводные'!$B$234="Да",IF(IF('01_Вводные'!$B$296="Новый сезон",8-1&gt;MOD(MONTH('06_Сеть_и_дети'!N$3)-9,12),FALSE),'19_Расчет_аналитики'!N3451*CapacityAge08*'19_Расчет_аналитики'!$F$3247,0),0)</f>
        <v/>
      </c>
      <c r="O3563">
        <f>IF('01_Вводные'!$B$234="Да",IF(IF('01_Вводные'!$B$296="Новый сезон",8-1&gt;MOD(MONTH('06_Сеть_и_дети'!O$3)-9,12),FALSE),'19_Расчет_аналитики'!O3451*CapacityAge08*'19_Расчет_аналитики'!$F$3247,0),0)</f>
        <v/>
      </c>
      <c r="P3563">
        <f>IF('01_Вводные'!$B$234="Да",IF(IF('01_Вводные'!$B$296="Новый сезон",8-1&gt;MOD(MONTH('06_Сеть_и_дети'!P$3)-9,12),FALSE),'19_Расчет_аналитики'!P3451*CapacityAge08*'19_Расчет_аналитики'!$F$3247,0),0)</f>
        <v/>
      </c>
      <c r="Q3563">
        <f>IF('01_Вводные'!$B$234="Да",IF(IF('01_Вводные'!$B$296="Новый сезон",8-1&gt;MOD(MONTH('06_Сеть_и_дети'!Q$3)-9,12),FALSE),'19_Расчет_аналитики'!Q3451*CapacityAge08*'19_Расчет_аналитики'!$F$3247,0),0)</f>
        <v/>
      </c>
      <c r="R3563">
        <f>IF('01_Вводные'!$B$234="Да",IF(IF('01_Вводные'!$B$296="Новый сезон",8-1&gt;MOD(MONTH('06_Сеть_и_дети'!R$3)-9,12),FALSE),'19_Расчет_аналитики'!R3451*CapacityAge08*'19_Расчет_аналитики'!$F$3247,0),0)</f>
        <v/>
      </c>
      <c r="S3563">
        <f>IF('01_Вводные'!$B$234="Да",IF(IF('01_Вводные'!$B$296="Новый сезон",8-1&gt;MOD(MONTH('06_Сеть_и_дети'!S$3)-9,12),FALSE),'19_Расчет_аналитики'!S3451*CapacityAge08*'19_Расчет_аналитики'!$F$3247,0),0)</f>
        <v/>
      </c>
      <c r="T3563">
        <f>IF('01_Вводные'!$B$234="Да",IF(IF('01_Вводные'!$B$296="Новый сезон",8-1&gt;MOD(MONTH('06_Сеть_и_дети'!T$3)-9,12),FALSE),'19_Расчет_аналитики'!T3451*CapacityAge08*'19_Расчет_аналитики'!$F$3247,0),0)</f>
        <v/>
      </c>
      <c r="U3563">
        <f>IF('01_Вводные'!$B$234="Да",IF(IF('01_Вводные'!$B$296="Новый сезон",8-1&gt;MOD(MONTH('06_Сеть_и_дети'!U$3)-9,12),FALSE),'19_Расчет_аналитики'!U3451*CapacityAge08*'19_Расчет_аналитики'!$F$3247,0),0)</f>
        <v/>
      </c>
      <c r="V3563">
        <f>IF('01_Вводные'!$B$234="Да",IF(IF('01_Вводные'!$B$296="Новый сезон",8-1&gt;MOD(MONTH('06_Сеть_и_дети'!V$3)-9,12),FALSE),'19_Расчет_аналитики'!V3451*CapacityAge08*'19_Расчет_аналитики'!$F$3247,0),0)</f>
        <v/>
      </c>
      <c r="W3563">
        <f>IF('01_Вводные'!$B$234="Да",IF(IF('01_Вводные'!$B$296="Новый сезон",8-1&gt;MOD(MONTH('06_Сеть_и_дети'!W$3)-9,12),FALSE),'19_Расчет_аналитики'!W3451*CapacityAge08*'19_Расчет_аналитики'!$F$3247,0),0)</f>
        <v/>
      </c>
      <c r="X3563">
        <f>IF('01_Вводные'!$B$234="Да",IF(IF('01_Вводные'!$B$296="Новый сезон",8-1&gt;MOD(MONTH('06_Сеть_и_дети'!X$3)-9,12),FALSE),'19_Расчет_аналитики'!X3451*CapacityAge08*'19_Расчет_аналитики'!$F$3247,0),0)</f>
        <v/>
      </c>
      <c r="Y3563">
        <f>IF('01_Вводные'!$B$234="Да",IF(IF('01_Вводные'!$B$296="Новый сезон",8-1&gt;MOD(MONTH('06_Сеть_и_дети'!Y$3)-9,12),FALSE),'19_Расчет_аналитики'!Y3451*CapacityAge08*'19_Расчет_аналитики'!$F$3247,0),0)</f>
        <v/>
      </c>
      <c r="Z3563">
        <f>IF('01_Вводные'!$B$234="Да",IF(IF('01_Вводные'!$B$296="Новый сезон",8-1&gt;MOD(MONTH('06_Сеть_и_дети'!Z$3)-9,12),FALSE),'19_Расчет_аналитики'!Z3451*CapacityAge08*'19_Расчет_аналитики'!$F$3247,0),0)</f>
        <v/>
      </c>
      <c r="AA3563">
        <f>IF('01_Вводные'!$B$234="Да",IF(IF('01_Вводные'!$B$296="Новый сезон",8-1&gt;MOD(MONTH('06_Сеть_и_дети'!AA$3)-9,12),FALSE),'19_Расчет_аналитики'!AA3451*CapacityAge08*'19_Расчет_аналитики'!$F$3247,0),0)</f>
        <v/>
      </c>
      <c r="AB3563">
        <f>IF('01_Вводные'!$B$234="Да",IF(IF('01_Вводные'!$B$296="Новый сезон",8-1&gt;MOD(MONTH('06_Сеть_и_дети'!AB$3)-9,12),FALSE),'19_Расчет_аналитики'!AB3451*CapacityAge08*'19_Расчет_аналитики'!$F$3247,0),0)</f>
        <v/>
      </c>
      <c r="AC3563">
        <f>IF('01_Вводные'!$B$234="Да",IF(IF('01_Вводные'!$B$296="Новый сезон",8-1&gt;MOD(MONTH('06_Сеть_и_дети'!AC$3)-9,12),FALSE),'19_Расчет_аналитики'!AC3451*CapacityAge08*'19_Расчет_аналитики'!$F$3247,0),0)</f>
        <v/>
      </c>
      <c r="AD3563">
        <f>IF('01_Вводные'!$B$234="Да",IF(IF('01_Вводные'!$B$296="Новый сезон",8-1&gt;MOD(MONTH('06_Сеть_и_дети'!AD$3)-9,12),FALSE),'19_Расчет_аналитики'!AD3451*CapacityAge08*'19_Расчет_аналитики'!$F$3247,0),0)</f>
        <v/>
      </c>
      <c r="AE3563">
        <f>IF('01_Вводные'!$B$234="Да",IF(IF('01_Вводные'!$B$296="Новый сезон",8-1&gt;MOD(MONTH('06_Сеть_и_дети'!AE$3)-9,12),FALSE),'19_Расчет_аналитики'!AE3451*CapacityAge08*'19_Расчет_аналитики'!$F$3247,0),0)</f>
        <v/>
      </c>
      <c r="AF3563">
        <f>IF('01_Вводные'!$B$234="Да",IF(IF('01_Вводные'!$B$296="Новый сезон",8-1&gt;MOD(MONTH('06_Сеть_и_дети'!AF$3)-9,12),FALSE),'19_Расчет_аналитики'!AF3451*CapacityAge08*'19_Расчет_аналитики'!$F$3247,0),0)</f>
        <v/>
      </c>
      <c r="AG3563">
        <f>IF('01_Вводные'!$B$234="Да",IF(IF('01_Вводные'!$B$296="Новый сезон",8-1&gt;MOD(MONTH('06_Сеть_и_дети'!AG$3)-9,12),FALSE),'19_Расчет_аналитики'!AG3451*CapacityAge08*'19_Расчет_аналитики'!$F$3247,0),0)</f>
        <v/>
      </c>
      <c r="AH3563">
        <f>IF('01_Вводные'!$B$234="Да",IF(IF('01_Вводные'!$B$296="Новый сезон",8-1&gt;MOD(MONTH('06_Сеть_и_дети'!AH$3)-9,12),FALSE),'19_Расчет_аналитики'!AH3451*CapacityAge08*'19_Расчет_аналитики'!$F$3247,0),0)</f>
        <v/>
      </c>
      <c r="AI3563">
        <f>IF('01_Вводные'!$B$234="Да",IF(IF('01_Вводные'!$B$296="Новый сезон",8-1&gt;MOD(MONTH('06_Сеть_и_дети'!AI$3)-9,12),FALSE),'19_Расчет_аналитики'!AI3451*CapacityAge08*'19_Расчет_аналитики'!$F$3247,0),0)</f>
        <v/>
      </c>
      <c r="AJ3563">
        <f>IF('01_Вводные'!$B$234="Да",IF(IF('01_Вводные'!$B$296="Новый сезон",8-1&gt;MOD(MONTH('06_Сеть_и_дети'!AJ$3)-9,12),FALSE),'19_Расчет_аналитики'!AJ3451*CapacityAge08*'19_Расчет_аналитики'!$F$3247,0),0)</f>
        <v/>
      </c>
      <c r="AK3563">
        <f>IF('01_Вводные'!$B$234="Да",IF(IF('01_Вводные'!$B$296="Новый сезон",8-1&gt;MOD(MONTH('06_Сеть_и_дети'!AK$3)-9,12),FALSE),'19_Расчет_аналитики'!AK3451*CapacityAge08*'19_Расчет_аналитики'!$F$3247,0),0)</f>
        <v/>
      </c>
      <c r="AL3563">
        <f>IF('01_Вводные'!$B$234="Да",IF(IF('01_Вводные'!$B$296="Новый сезон",8-1&gt;MOD(MONTH('06_Сеть_и_дети'!AL$3)-9,12),FALSE),'19_Расчет_аналитики'!AL3451*CapacityAge08*'19_Расчет_аналитики'!$F$3247,0),0)</f>
        <v/>
      </c>
      <c r="AM3563">
        <f>IF('01_Вводные'!$B$234="Да",IF(IF('01_Вводные'!$B$296="Новый сезон",8-1&gt;MOD(MONTH('06_Сеть_и_дети'!AM$3)-9,12),FALSE),'19_Расчет_аналитики'!AM3451*CapacityAge08*'19_Расчет_аналитики'!$F$3247,0),0)</f>
        <v/>
      </c>
      <c r="AN3563">
        <f>IF('01_Вводные'!$B$234="Да",IF(IF('01_Вводные'!$B$296="Новый сезон",8-1&gt;MOD(MONTH('06_Сеть_и_дети'!AN$3)-9,12),FALSE),'19_Расчет_аналитики'!AN3451*CapacityAge08*'19_Расчет_аналитики'!$F$3247,0),0)</f>
        <v/>
      </c>
      <c r="AO3563">
        <f>IF('01_Вводные'!$B$234="Да",IF(IF('01_Вводные'!$B$296="Новый сезон",8-1&gt;MOD(MONTH('06_Сеть_и_дети'!AO$3)-9,12),FALSE),'19_Расчет_аналитики'!AO3451*CapacityAge08*'19_Расчет_аналитики'!$F$3247,0),0)</f>
        <v/>
      </c>
      <c r="AP3563">
        <f>IF('01_Вводные'!$B$234="Да",IF(IF('01_Вводные'!$B$296="Новый сезон",8-1&gt;MOD(MONTH('06_Сеть_и_дети'!AP$3)-9,12),FALSE),'19_Расчет_аналитики'!AP3451*CapacityAge08*'19_Расчет_аналитики'!$F$3247,0),0)</f>
        <v/>
      </c>
      <c r="AQ3563">
        <f>IF('01_Вводные'!$B$234="Да",IF(IF('01_Вводные'!$B$296="Новый сезон",8-1&gt;MOD(MONTH('06_Сеть_и_дети'!AQ$3)-9,12),FALSE),'19_Расчет_аналитики'!AQ3451*CapacityAge08*'19_Расчет_аналитики'!$F$3247,0),0)</f>
        <v/>
      </c>
      <c r="AR3563">
        <f>IF('01_Вводные'!$B$234="Да",IF(IF('01_Вводные'!$B$296="Новый сезон",8-1&gt;MOD(MONTH('06_Сеть_и_дети'!AR$3)-9,12),FALSE),'19_Расчет_аналитики'!AR3451*CapacityAge08*'19_Расчет_аналитики'!$F$3247,0),0)</f>
        <v/>
      </c>
      <c r="AS3563">
        <f>IF('01_Вводные'!$B$234="Да",IF(IF('01_Вводные'!$B$296="Новый сезон",8-1&gt;MOD(MONTH('06_Сеть_и_дети'!AS$3)-9,12),FALSE),'19_Расчет_аналитики'!AS3451*CapacityAge08*'19_Расчет_аналитики'!$F$3247,0),0)</f>
        <v/>
      </c>
      <c r="AT3563">
        <f>IF('01_Вводные'!$B$234="Да",IF(IF('01_Вводные'!$B$296="Новый сезон",8-1&gt;MOD(MONTH('06_Сеть_и_дети'!AT$3)-9,12),FALSE),'19_Расчет_аналитики'!AT3451*CapacityAge08*'19_Расчет_аналитики'!$F$3247,0),0)</f>
        <v/>
      </c>
      <c r="AU3563">
        <f>IF('01_Вводные'!$B$234="Да",IF(IF('01_Вводные'!$B$296="Новый сезон",8-1&gt;MOD(MONTH('06_Сеть_и_дети'!AU$3)-9,12),FALSE),'19_Расчет_аналитики'!AU3451*CapacityAge08*'19_Расчет_аналитики'!$F$3247,0),0)</f>
        <v/>
      </c>
      <c r="AV3563">
        <f>IF('01_Вводные'!$B$234="Да",IF(IF('01_Вводные'!$B$296="Новый сезон",8-1&gt;MOD(MONTH('06_Сеть_и_дети'!AV$3)-9,12),FALSE),'19_Расчет_аналитики'!AV3451*CapacityAge08*'19_Расчет_аналитики'!$F$3247,0),0)</f>
        <v/>
      </c>
      <c r="AW3563">
        <f>IF('01_Вводные'!$B$234="Да",IF(IF('01_Вводные'!$B$296="Новый сезон",8-1&gt;MOD(MONTH('06_Сеть_и_дети'!AW$3)-9,12),FALSE),'19_Расчет_аналитики'!AW3451*CapacityAge08*'19_Расчет_аналитики'!$F$3247,0),0)</f>
        <v/>
      </c>
      <c r="AX3563">
        <f>IF('01_Вводные'!$B$234="Да",IF(IF('01_Вводные'!$B$296="Новый сезон",8-1&gt;MOD(MONTH('06_Сеть_и_дети'!AX$3)-9,12),FALSE),'19_Расчет_аналитики'!AX3451*CapacityAge08*'19_Расчет_аналитики'!$F$3247,0),0)</f>
        <v/>
      </c>
      <c r="AY3563">
        <f>IF('01_Вводные'!$B$234="Да",IF(IF('01_Вводные'!$B$296="Новый сезон",8-1&gt;MOD(MONTH('06_Сеть_и_дети'!AY$3)-9,12),FALSE),'19_Расчет_аналитики'!AY3451*CapacityAge08*'19_Расчет_аналитики'!$F$3247,0),0)</f>
        <v/>
      </c>
      <c r="AZ3563">
        <f>IF('01_Вводные'!$B$234="Да",IF(IF('01_Вводные'!$B$296="Новый сезон",8-1&gt;MOD(MONTH('06_Сеть_и_дети'!AZ$3)-9,12),FALSE),'19_Расчет_аналитики'!AZ3451*CapacityAge08*'19_Расчет_аналитики'!$F$3247,0),0)</f>
        <v/>
      </c>
      <c r="BA3563">
        <f>IF('01_Вводные'!$B$234="Да",IF(IF('01_Вводные'!$B$296="Новый сезон",8-1&gt;MOD(MONTH('06_Сеть_и_дети'!BA$3)-9,12),FALSE),'19_Расчет_аналитики'!BA3451*CapacityAge08*'19_Расчет_аналитики'!$F$3247,0),0)</f>
        <v/>
      </c>
      <c r="BB3563">
        <f>IF('01_Вводные'!$B$234="Да",IF(IF('01_Вводные'!$B$296="Новый сезон",8-1&gt;MOD(MONTH('06_Сеть_и_дети'!BB$3)-9,12),FALSE),'19_Расчет_аналитики'!BB3451*CapacityAge08*'19_Расчет_аналитики'!$F$3247,0),0)</f>
        <v/>
      </c>
      <c r="BC3563">
        <f>IF('01_Вводные'!$B$234="Да",IF(IF('01_Вводные'!$B$296="Новый сезон",8-1&gt;MOD(MONTH('06_Сеть_и_дети'!BC$3)-9,12),FALSE),'19_Расчет_аналитики'!BC3451*CapacityAge08*'19_Расчет_аналитики'!$F$3247,0),0)</f>
        <v/>
      </c>
      <c r="BD3563">
        <f>IF('01_Вводные'!$B$234="Да",IF(IF('01_Вводные'!$B$296="Новый сезон",8-1&gt;MOD(MONTH('06_Сеть_и_дети'!BD$3)-9,12),FALSE),'19_Расчет_аналитики'!BD3451*CapacityAge08*'19_Расчет_аналитики'!$F$3247,0),0)</f>
        <v/>
      </c>
      <c r="BE3563">
        <f>IF('01_Вводные'!$B$234="Да",IF(IF('01_Вводные'!$B$296="Новый сезон",8-1&gt;MOD(MONTH('06_Сеть_и_дети'!BE$3)-9,12),FALSE),'19_Расчет_аналитики'!BE3451*CapacityAge08*'19_Расчет_аналитики'!$F$3247,0),0)</f>
        <v/>
      </c>
      <c r="BF3563">
        <f>IF('01_Вводные'!$B$234="Да",IF(IF('01_Вводные'!$B$296="Новый сезон",8-1&gt;MOD(MONTH('06_Сеть_и_дети'!BF$3)-9,12),FALSE),'19_Расчет_аналитики'!BF3451*CapacityAge08*'19_Расчет_аналитики'!$F$3247,0),0)</f>
        <v/>
      </c>
      <c r="BG3563">
        <f>IF('01_Вводные'!$B$234="Да",IF(IF('01_Вводные'!$B$296="Новый сезон",8-1&gt;MOD(MONTH('06_Сеть_и_дети'!BG$3)-9,12),FALSE),'19_Расчет_аналитики'!BG3451*CapacityAge08*'19_Расчет_аналитики'!$F$3247,0),0)</f>
        <v/>
      </c>
      <c r="BH3563">
        <f>IF('01_Вводные'!$B$234="Да",IF(IF('01_Вводные'!$B$296="Новый сезон",8-1&gt;MOD(MONTH('06_Сеть_и_дети'!BH$3)-9,12),FALSE),'19_Расчет_аналитики'!BH3451*CapacityAge08*'19_Расчет_аналитики'!$F$3247,0),0)</f>
        <v/>
      </c>
      <c r="BI3563">
        <f>IF('01_Вводные'!$B$234="Да",IF(IF('01_Вводные'!$B$296="Новый сезон",8-1&gt;MOD(MONTH('06_Сеть_и_дети'!BI$3)-9,12),FALSE),'19_Расчет_аналитики'!BI3451*CapacityAge08*'19_Расчет_аналитики'!$F$3247,0),0)</f>
        <v/>
      </c>
      <c r="BJ3563">
        <f>IF('01_Вводные'!$B$234="Да",IF(IF('01_Вводные'!$B$296="Новый сезон",8-1&gt;MOD(MONTH('06_Сеть_и_дети'!BJ$3)-9,12),FALSE),'19_Расчет_аналитики'!BJ3451*CapacityAge08*'19_Расчет_аналитики'!$F$3247,0),0)</f>
        <v/>
      </c>
      <c r="BK3563">
        <f>IF('01_Вводные'!$B$234="Да",IF(IF('01_Вводные'!$B$296="Новый сезон",8-1&gt;MOD(MONTH('06_Сеть_и_дети'!BK$3)-9,12),FALSE),'19_Расчет_аналитики'!BK3451*CapacityAge08*'19_Расчет_аналитики'!$F$3247,0),0)</f>
        <v/>
      </c>
      <c r="BL3563">
        <f>IF('01_Вводные'!$B$234="Да",IF(IF('01_Вводные'!$B$296="Новый сезон",8-1&gt;MOD(MONTH('06_Сеть_и_дети'!BL$3)-9,12),FALSE),'19_Расчет_аналитики'!BL3451*CapacityAge08*'19_Расчет_аналитики'!$F$3247,0),0)</f>
        <v/>
      </c>
      <c r="BM3563">
        <f>IF('01_Вводные'!$B$234="Да",IF(IF('01_Вводные'!$B$296="Новый сезон",8-1&gt;MOD(MONTH('06_Сеть_и_дети'!BM$3)-9,12),FALSE),'19_Расчет_аналитики'!BM3451*CapacityAge08*'19_Расчет_аналитики'!$F$3247,0),0)</f>
        <v/>
      </c>
      <c r="BN3563">
        <f>IF('01_Вводные'!$B$234="Да",IF(IF('01_Вводные'!$B$296="Новый сезон",8-1&gt;MOD(MONTH('06_Сеть_и_дети'!BN$3)-9,12),FALSE),'19_Расчет_аналитики'!BN3451*CapacityAge08*'19_Расчет_аналитики'!$F$3247,0),0)</f>
        <v/>
      </c>
      <c r="BO3563">
        <f>IF('01_Вводные'!$B$234="Да",IF(IF('01_Вводные'!$B$296="Новый сезон",8-1&gt;MOD(MONTH('06_Сеть_и_дети'!BO$3)-9,12),FALSE),'19_Расчет_аналитики'!BO3451*CapacityAge08*'19_Расчет_аналитики'!$F$3247,0),0)</f>
        <v/>
      </c>
    </row>
    <row r="3564">
      <c r="B3564">
        <f>IF('01_Вводные'!$B$234="Да",IF(IF('01_Вводные'!$B$296="Новый сезон",9-1&gt;MOD(MONTH('06_Сеть_и_дети'!B$3)-9,12),FALSE),'06_Сеть_и_дети'!B61*CapacityAge09*'19_Расчет_аналитики'!$F$3247,0),0)</f>
        <v/>
      </c>
      <c r="C3564">
        <f>IF('01_Вводные'!$B$234="Да",IF(IF('01_Вводные'!$B$296="Новый сезон",9-1&gt;MOD(MONTH('06_Сеть_и_дети'!C$3)-9,12),FALSE),'06_Сеть_и_дети'!C61*CapacityAge09*'19_Расчет_аналитики'!$F$3247,0),0)</f>
        <v/>
      </c>
      <c r="D3564">
        <f>IF('01_Вводные'!$B$234="Да",IF(IF('01_Вводные'!$B$296="Новый сезон",9-1&gt;MOD(MONTH('06_Сеть_и_дети'!D$3)-9,12),FALSE),'06_Сеть_и_дети'!D61*CapacityAge09*'19_Расчет_аналитики'!$F$3247,0),0)</f>
        <v/>
      </c>
      <c r="E3564">
        <f>IF('01_Вводные'!$B$234="Да",IF(IF('01_Вводные'!$B$296="Новый сезон",9-1&gt;MOD(MONTH('06_Сеть_и_дети'!E$3)-9,12),FALSE),'06_Сеть_и_дети'!E61*CapacityAge09*'19_Расчет_аналитики'!$F$3247,0),0)</f>
        <v/>
      </c>
      <c r="F3564">
        <f>IF('01_Вводные'!$B$234="Да",IF(IF('01_Вводные'!$B$296="Новый сезон",9-1&gt;MOD(MONTH('06_Сеть_и_дети'!F$3)-9,12),FALSE),'06_Сеть_и_дети'!F61*CapacityAge09*'19_Расчет_аналитики'!$F$3247,0),0)</f>
        <v/>
      </c>
      <c r="G3564">
        <f>IF('01_Вводные'!$B$234="Да",IF(IF('01_Вводные'!$B$296="Новый сезон",9-1&gt;MOD(MONTH('06_Сеть_и_дети'!G$3)-9,12),FALSE),'06_Сеть_и_дети'!G61*CapacityAge09*'19_Расчет_аналитики'!$F$3247,0),0)</f>
        <v/>
      </c>
      <c r="H3564">
        <f>IF('01_Вводные'!$B$234="Да",IF(IF('01_Вводные'!$B$296="Новый сезон",9-1&gt;MOD(MONTH('06_Сеть_и_дети'!H$3)-9,12),FALSE),'06_Сеть_и_дети'!H61*CapacityAge09*'19_Расчет_аналитики'!$F$3247,0),0)</f>
        <v/>
      </c>
      <c r="I3564">
        <f>IF('01_Вводные'!$B$234="Да",IF(IF('01_Вводные'!$B$296="Новый сезон",9-1&gt;MOD(MONTH('06_Сеть_и_дети'!I$3)-9,12),FALSE),'06_Сеть_и_дети'!I61*CapacityAge09*'19_Расчет_аналитики'!$F$3247,0),0)</f>
        <v/>
      </c>
      <c r="J3564">
        <f>IF('01_Вводные'!$B$234="Да",IF(IF('01_Вводные'!$B$296="Новый сезон",9-1&gt;MOD(MONTH('06_Сеть_и_дети'!J$3)-9,12),FALSE),'19_Расчет_аналитики'!J3452*CapacityAge09*'19_Расчет_аналитики'!$F$3247,0),0)</f>
        <v/>
      </c>
      <c r="K3564">
        <f>IF('01_Вводные'!$B$234="Да",IF(IF('01_Вводные'!$B$296="Новый сезон",9-1&gt;MOD(MONTH('06_Сеть_и_дети'!K$3)-9,12),FALSE),'19_Расчет_аналитики'!K3452*CapacityAge09*'19_Расчет_аналитики'!$F$3247,0),0)</f>
        <v/>
      </c>
      <c r="L3564">
        <f>IF('01_Вводные'!$B$234="Да",IF(IF('01_Вводные'!$B$296="Новый сезон",9-1&gt;MOD(MONTH('06_Сеть_и_дети'!L$3)-9,12),FALSE),'19_Расчет_аналитики'!L3452*CapacityAge09*'19_Расчет_аналитики'!$F$3247,0),0)</f>
        <v/>
      </c>
      <c r="M3564">
        <f>IF('01_Вводные'!$B$234="Да",IF(IF('01_Вводные'!$B$296="Новый сезон",9-1&gt;MOD(MONTH('06_Сеть_и_дети'!M$3)-9,12),FALSE),'19_Расчет_аналитики'!M3452*CapacityAge09*'19_Расчет_аналитики'!$F$3247,0),0)</f>
        <v/>
      </c>
      <c r="N3564">
        <f>IF('01_Вводные'!$B$234="Да",IF(IF('01_Вводные'!$B$296="Новый сезон",9-1&gt;MOD(MONTH('06_Сеть_и_дети'!N$3)-9,12),FALSE),'19_Расчет_аналитики'!N3452*CapacityAge09*'19_Расчет_аналитики'!$F$3247,0),0)</f>
        <v/>
      </c>
      <c r="O3564">
        <f>IF('01_Вводные'!$B$234="Да",IF(IF('01_Вводные'!$B$296="Новый сезон",9-1&gt;MOD(MONTH('06_Сеть_и_дети'!O$3)-9,12),FALSE),'19_Расчет_аналитики'!O3452*CapacityAge09*'19_Расчет_аналитики'!$F$3247,0),0)</f>
        <v/>
      </c>
      <c r="P3564">
        <f>IF('01_Вводные'!$B$234="Да",IF(IF('01_Вводные'!$B$296="Новый сезон",9-1&gt;MOD(MONTH('06_Сеть_и_дети'!P$3)-9,12),FALSE),'19_Расчет_аналитики'!P3452*CapacityAge09*'19_Расчет_аналитики'!$F$3247,0),0)</f>
        <v/>
      </c>
      <c r="Q3564">
        <f>IF('01_Вводные'!$B$234="Да",IF(IF('01_Вводные'!$B$296="Новый сезон",9-1&gt;MOD(MONTH('06_Сеть_и_дети'!Q$3)-9,12),FALSE),'19_Расчет_аналитики'!Q3452*CapacityAge09*'19_Расчет_аналитики'!$F$3247,0),0)</f>
        <v/>
      </c>
      <c r="R3564">
        <f>IF('01_Вводные'!$B$234="Да",IF(IF('01_Вводные'!$B$296="Новый сезон",9-1&gt;MOD(MONTH('06_Сеть_и_дети'!R$3)-9,12),FALSE),'19_Расчет_аналитики'!R3452*CapacityAge09*'19_Расчет_аналитики'!$F$3247,0),0)</f>
        <v/>
      </c>
      <c r="S3564">
        <f>IF('01_Вводные'!$B$234="Да",IF(IF('01_Вводные'!$B$296="Новый сезон",9-1&gt;MOD(MONTH('06_Сеть_и_дети'!S$3)-9,12),FALSE),'19_Расчет_аналитики'!S3452*CapacityAge09*'19_Расчет_аналитики'!$F$3247,0),0)</f>
        <v/>
      </c>
      <c r="T3564">
        <f>IF('01_Вводные'!$B$234="Да",IF(IF('01_Вводные'!$B$296="Новый сезон",9-1&gt;MOD(MONTH('06_Сеть_и_дети'!T$3)-9,12),FALSE),'19_Расчет_аналитики'!T3452*CapacityAge09*'19_Расчет_аналитики'!$F$3247,0),0)</f>
        <v/>
      </c>
      <c r="U3564">
        <f>IF('01_Вводные'!$B$234="Да",IF(IF('01_Вводные'!$B$296="Новый сезон",9-1&gt;MOD(MONTH('06_Сеть_и_дети'!U$3)-9,12),FALSE),'19_Расчет_аналитики'!U3452*CapacityAge09*'19_Расчет_аналитики'!$F$3247,0),0)</f>
        <v/>
      </c>
      <c r="V3564">
        <f>IF('01_Вводные'!$B$234="Да",IF(IF('01_Вводные'!$B$296="Новый сезон",9-1&gt;MOD(MONTH('06_Сеть_и_дети'!V$3)-9,12),FALSE),'19_Расчет_аналитики'!V3452*CapacityAge09*'19_Расчет_аналитики'!$F$3247,0),0)</f>
        <v/>
      </c>
      <c r="W3564">
        <f>IF('01_Вводные'!$B$234="Да",IF(IF('01_Вводные'!$B$296="Новый сезон",9-1&gt;MOD(MONTH('06_Сеть_и_дети'!W$3)-9,12),FALSE),'19_Расчет_аналитики'!W3452*CapacityAge09*'19_Расчет_аналитики'!$F$3247,0),0)</f>
        <v/>
      </c>
      <c r="X3564">
        <f>IF('01_Вводные'!$B$234="Да",IF(IF('01_Вводные'!$B$296="Новый сезон",9-1&gt;MOD(MONTH('06_Сеть_и_дети'!X$3)-9,12),FALSE),'19_Расчет_аналитики'!X3452*CapacityAge09*'19_Расчет_аналитики'!$F$3247,0),0)</f>
        <v/>
      </c>
      <c r="Y3564">
        <f>IF('01_Вводные'!$B$234="Да",IF(IF('01_Вводные'!$B$296="Новый сезон",9-1&gt;MOD(MONTH('06_Сеть_и_дети'!Y$3)-9,12),FALSE),'19_Расчет_аналитики'!Y3452*CapacityAge09*'19_Расчет_аналитики'!$F$3247,0),0)</f>
        <v/>
      </c>
      <c r="Z3564">
        <f>IF('01_Вводные'!$B$234="Да",IF(IF('01_Вводные'!$B$296="Новый сезон",9-1&gt;MOD(MONTH('06_Сеть_и_дети'!Z$3)-9,12),FALSE),'19_Расчет_аналитики'!Z3452*CapacityAge09*'19_Расчет_аналитики'!$F$3247,0),0)</f>
        <v/>
      </c>
      <c r="AA3564">
        <f>IF('01_Вводные'!$B$234="Да",IF(IF('01_Вводные'!$B$296="Новый сезон",9-1&gt;MOD(MONTH('06_Сеть_и_дети'!AA$3)-9,12),FALSE),'19_Расчет_аналитики'!AA3452*CapacityAge09*'19_Расчет_аналитики'!$F$3247,0),0)</f>
        <v/>
      </c>
      <c r="AB3564">
        <f>IF('01_Вводные'!$B$234="Да",IF(IF('01_Вводные'!$B$296="Новый сезон",9-1&gt;MOD(MONTH('06_Сеть_и_дети'!AB$3)-9,12),FALSE),'19_Расчет_аналитики'!AB3452*CapacityAge09*'19_Расчет_аналитики'!$F$3247,0),0)</f>
        <v/>
      </c>
      <c r="AC3564">
        <f>IF('01_Вводные'!$B$234="Да",IF(IF('01_Вводные'!$B$296="Новый сезон",9-1&gt;MOD(MONTH('06_Сеть_и_дети'!AC$3)-9,12),FALSE),'19_Расчет_аналитики'!AC3452*CapacityAge09*'19_Расчет_аналитики'!$F$3247,0),0)</f>
        <v/>
      </c>
      <c r="AD3564">
        <f>IF('01_Вводные'!$B$234="Да",IF(IF('01_Вводные'!$B$296="Новый сезон",9-1&gt;MOD(MONTH('06_Сеть_и_дети'!AD$3)-9,12),FALSE),'19_Расчет_аналитики'!AD3452*CapacityAge09*'19_Расчет_аналитики'!$F$3247,0),0)</f>
        <v/>
      </c>
      <c r="AE3564">
        <f>IF('01_Вводные'!$B$234="Да",IF(IF('01_Вводные'!$B$296="Новый сезон",9-1&gt;MOD(MONTH('06_Сеть_и_дети'!AE$3)-9,12),FALSE),'19_Расчет_аналитики'!AE3452*CapacityAge09*'19_Расчет_аналитики'!$F$3247,0),0)</f>
        <v/>
      </c>
      <c r="AF3564">
        <f>IF('01_Вводные'!$B$234="Да",IF(IF('01_Вводные'!$B$296="Новый сезон",9-1&gt;MOD(MONTH('06_Сеть_и_дети'!AF$3)-9,12),FALSE),'19_Расчет_аналитики'!AF3452*CapacityAge09*'19_Расчет_аналитики'!$F$3247,0),0)</f>
        <v/>
      </c>
      <c r="AG3564">
        <f>IF('01_Вводные'!$B$234="Да",IF(IF('01_Вводные'!$B$296="Новый сезон",9-1&gt;MOD(MONTH('06_Сеть_и_дети'!AG$3)-9,12),FALSE),'19_Расчет_аналитики'!AG3452*CapacityAge09*'19_Расчет_аналитики'!$F$3247,0),0)</f>
        <v/>
      </c>
      <c r="AH3564">
        <f>IF('01_Вводные'!$B$234="Да",IF(IF('01_Вводные'!$B$296="Новый сезон",9-1&gt;MOD(MONTH('06_Сеть_и_дети'!AH$3)-9,12),FALSE),'19_Расчет_аналитики'!AH3452*CapacityAge09*'19_Расчет_аналитики'!$F$3247,0),0)</f>
        <v/>
      </c>
      <c r="AI3564">
        <f>IF('01_Вводные'!$B$234="Да",IF(IF('01_Вводные'!$B$296="Новый сезон",9-1&gt;MOD(MONTH('06_Сеть_и_дети'!AI$3)-9,12),FALSE),'19_Расчет_аналитики'!AI3452*CapacityAge09*'19_Расчет_аналитики'!$F$3247,0),0)</f>
        <v/>
      </c>
      <c r="AJ3564">
        <f>IF('01_Вводные'!$B$234="Да",IF(IF('01_Вводные'!$B$296="Новый сезон",9-1&gt;MOD(MONTH('06_Сеть_и_дети'!AJ$3)-9,12),FALSE),'19_Расчет_аналитики'!AJ3452*CapacityAge09*'19_Расчет_аналитики'!$F$3247,0),0)</f>
        <v/>
      </c>
      <c r="AK3564">
        <f>IF('01_Вводные'!$B$234="Да",IF(IF('01_Вводные'!$B$296="Новый сезон",9-1&gt;MOD(MONTH('06_Сеть_и_дети'!AK$3)-9,12),FALSE),'19_Расчет_аналитики'!AK3452*CapacityAge09*'19_Расчет_аналитики'!$F$3247,0),0)</f>
        <v/>
      </c>
      <c r="AL3564">
        <f>IF('01_Вводные'!$B$234="Да",IF(IF('01_Вводные'!$B$296="Новый сезон",9-1&gt;MOD(MONTH('06_Сеть_и_дети'!AL$3)-9,12),FALSE),'19_Расчет_аналитики'!AL3452*CapacityAge09*'19_Расчет_аналитики'!$F$3247,0),0)</f>
        <v/>
      </c>
      <c r="AM3564">
        <f>IF('01_Вводные'!$B$234="Да",IF(IF('01_Вводные'!$B$296="Новый сезон",9-1&gt;MOD(MONTH('06_Сеть_и_дети'!AM$3)-9,12),FALSE),'19_Расчет_аналитики'!AM3452*CapacityAge09*'19_Расчет_аналитики'!$F$3247,0),0)</f>
        <v/>
      </c>
      <c r="AN3564">
        <f>IF('01_Вводные'!$B$234="Да",IF(IF('01_Вводные'!$B$296="Новый сезон",9-1&gt;MOD(MONTH('06_Сеть_и_дети'!AN$3)-9,12),FALSE),'19_Расчет_аналитики'!AN3452*CapacityAge09*'19_Расчет_аналитики'!$F$3247,0),0)</f>
        <v/>
      </c>
      <c r="AO3564">
        <f>IF('01_Вводные'!$B$234="Да",IF(IF('01_Вводные'!$B$296="Новый сезон",9-1&gt;MOD(MONTH('06_Сеть_и_дети'!AO$3)-9,12),FALSE),'19_Расчет_аналитики'!AO3452*CapacityAge09*'19_Расчет_аналитики'!$F$3247,0),0)</f>
        <v/>
      </c>
      <c r="AP3564">
        <f>IF('01_Вводные'!$B$234="Да",IF(IF('01_Вводные'!$B$296="Новый сезон",9-1&gt;MOD(MONTH('06_Сеть_и_дети'!AP$3)-9,12),FALSE),'19_Расчет_аналитики'!AP3452*CapacityAge09*'19_Расчет_аналитики'!$F$3247,0),0)</f>
        <v/>
      </c>
      <c r="AQ3564">
        <f>IF('01_Вводные'!$B$234="Да",IF(IF('01_Вводные'!$B$296="Новый сезон",9-1&gt;MOD(MONTH('06_Сеть_и_дети'!AQ$3)-9,12),FALSE),'19_Расчет_аналитики'!AQ3452*CapacityAge09*'19_Расчет_аналитики'!$F$3247,0),0)</f>
        <v/>
      </c>
      <c r="AR3564">
        <f>IF('01_Вводные'!$B$234="Да",IF(IF('01_Вводные'!$B$296="Новый сезон",9-1&gt;MOD(MONTH('06_Сеть_и_дети'!AR$3)-9,12),FALSE),'19_Расчет_аналитики'!AR3452*CapacityAge09*'19_Расчет_аналитики'!$F$3247,0),0)</f>
        <v/>
      </c>
      <c r="AS3564">
        <f>IF('01_Вводные'!$B$234="Да",IF(IF('01_Вводные'!$B$296="Новый сезон",9-1&gt;MOD(MONTH('06_Сеть_и_дети'!AS$3)-9,12),FALSE),'19_Расчет_аналитики'!AS3452*CapacityAge09*'19_Расчет_аналитики'!$F$3247,0),0)</f>
        <v/>
      </c>
      <c r="AT3564">
        <f>IF('01_Вводные'!$B$234="Да",IF(IF('01_Вводные'!$B$296="Новый сезон",9-1&gt;MOD(MONTH('06_Сеть_и_дети'!AT$3)-9,12),FALSE),'19_Расчет_аналитики'!AT3452*CapacityAge09*'19_Расчет_аналитики'!$F$3247,0),0)</f>
        <v/>
      </c>
      <c r="AU3564">
        <f>IF('01_Вводные'!$B$234="Да",IF(IF('01_Вводные'!$B$296="Новый сезон",9-1&gt;MOD(MONTH('06_Сеть_и_дети'!AU$3)-9,12),FALSE),'19_Расчет_аналитики'!AU3452*CapacityAge09*'19_Расчет_аналитики'!$F$3247,0),0)</f>
        <v/>
      </c>
      <c r="AV3564">
        <f>IF('01_Вводные'!$B$234="Да",IF(IF('01_Вводные'!$B$296="Новый сезон",9-1&gt;MOD(MONTH('06_Сеть_и_дети'!AV$3)-9,12),FALSE),'19_Расчет_аналитики'!AV3452*CapacityAge09*'19_Расчет_аналитики'!$F$3247,0),0)</f>
        <v/>
      </c>
      <c r="AW3564">
        <f>IF('01_Вводные'!$B$234="Да",IF(IF('01_Вводные'!$B$296="Новый сезон",9-1&gt;MOD(MONTH('06_Сеть_и_дети'!AW$3)-9,12),FALSE),'19_Расчет_аналитики'!AW3452*CapacityAge09*'19_Расчет_аналитики'!$F$3247,0),0)</f>
        <v/>
      </c>
      <c r="AX3564">
        <f>IF('01_Вводные'!$B$234="Да",IF(IF('01_Вводные'!$B$296="Новый сезон",9-1&gt;MOD(MONTH('06_Сеть_и_дети'!AX$3)-9,12),FALSE),'19_Расчет_аналитики'!AX3452*CapacityAge09*'19_Расчет_аналитики'!$F$3247,0),0)</f>
        <v/>
      </c>
      <c r="AY3564">
        <f>IF('01_Вводные'!$B$234="Да",IF(IF('01_Вводные'!$B$296="Новый сезон",9-1&gt;MOD(MONTH('06_Сеть_и_дети'!AY$3)-9,12),FALSE),'19_Расчет_аналитики'!AY3452*CapacityAge09*'19_Расчет_аналитики'!$F$3247,0),0)</f>
        <v/>
      </c>
      <c r="AZ3564">
        <f>IF('01_Вводные'!$B$234="Да",IF(IF('01_Вводные'!$B$296="Новый сезон",9-1&gt;MOD(MONTH('06_Сеть_и_дети'!AZ$3)-9,12),FALSE),'19_Расчет_аналитики'!AZ3452*CapacityAge09*'19_Расчет_аналитики'!$F$3247,0),0)</f>
        <v/>
      </c>
      <c r="BA3564">
        <f>IF('01_Вводные'!$B$234="Да",IF(IF('01_Вводные'!$B$296="Новый сезон",9-1&gt;MOD(MONTH('06_Сеть_и_дети'!BA$3)-9,12),FALSE),'19_Расчет_аналитики'!BA3452*CapacityAge09*'19_Расчет_аналитики'!$F$3247,0),0)</f>
        <v/>
      </c>
      <c r="BB3564">
        <f>IF('01_Вводные'!$B$234="Да",IF(IF('01_Вводные'!$B$296="Новый сезон",9-1&gt;MOD(MONTH('06_Сеть_и_дети'!BB$3)-9,12),FALSE),'19_Расчет_аналитики'!BB3452*CapacityAge09*'19_Расчет_аналитики'!$F$3247,0),0)</f>
        <v/>
      </c>
      <c r="BC3564">
        <f>IF('01_Вводные'!$B$234="Да",IF(IF('01_Вводные'!$B$296="Новый сезон",9-1&gt;MOD(MONTH('06_Сеть_и_дети'!BC$3)-9,12),FALSE),'19_Расчет_аналитики'!BC3452*CapacityAge09*'19_Расчет_аналитики'!$F$3247,0),0)</f>
        <v/>
      </c>
      <c r="BD3564">
        <f>IF('01_Вводные'!$B$234="Да",IF(IF('01_Вводные'!$B$296="Новый сезон",9-1&gt;MOD(MONTH('06_Сеть_и_дети'!BD$3)-9,12),FALSE),'19_Расчет_аналитики'!BD3452*CapacityAge09*'19_Расчет_аналитики'!$F$3247,0),0)</f>
        <v/>
      </c>
      <c r="BE3564">
        <f>IF('01_Вводные'!$B$234="Да",IF(IF('01_Вводные'!$B$296="Новый сезон",9-1&gt;MOD(MONTH('06_Сеть_и_дети'!BE$3)-9,12),FALSE),'19_Расчет_аналитики'!BE3452*CapacityAge09*'19_Расчет_аналитики'!$F$3247,0),0)</f>
        <v/>
      </c>
      <c r="BF3564">
        <f>IF('01_Вводные'!$B$234="Да",IF(IF('01_Вводные'!$B$296="Новый сезон",9-1&gt;MOD(MONTH('06_Сеть_и_дети'!BF$3)-9,12),FALSE),'19_Расчет_аналитики'!BF3452*CapacityAge09*'19_Расчет_аналитики'!$F$3247,0),0)</f>
        <v/>
      </c>
      <c r="BG3564">
        <f>IF('01_Вводные'!$B$234="Да",IF(IF('01_Вводные'!$B$296="Новый сезон",9-1&gt;MOD(MONTH('06_Сеть_и_дети'!BG$3)-9,12),FALSE),'19_Расчет_аналитики'!BG3452*CapacityAge09*'19_Расчет_аналитики'!$F$3247,0),0)</f>
        <v/>
      </c>
      <c r="BH3564">
        <f>IF('01_Вводные'!$B$234="Да",IF(IF('01_Вводные'!$B$296="Новый сезон",9-1&gt;MOD(MONTH('06_Сеть_и_дети'!BH$3)-9,12),FALSE),'19_Расчет_аналитики'!BH3452*CapacityAge09*'19_Расчет_аналитики'!$F$3247,0),0)</f>
        <v/>
      </c>
      <c r="BI3564">
        <f>IF('01_Вводные'!$B$234="Да",IF(IF('01_Вводные'!$B$296="Новый сезон",9-1&gt;MOD(MONTH('06_Сеть_и_дети'!BI$3)-9,12),FALSE),'19_Расчет_аналитики'!BI3452*CapacityAge09*'19_Расчет_аналитики'!$F$3247,0),0)</f>
        <v/>
      </c>
      <c r="BJ3564">
        <f>IF('01_Вводные'!$B$234="Да",IF(IF('01_Вводные'!$B$296="Новый сезон",9-1&gt;MOD(MONTH('06_Сеть_и_дети'!BJ$3)-9,12),FALSE),'19_Расчет_аналитики'!BJ3452*CapacityAge09*'19_Расчет_аналитики'!$F$3247,0),0)</f>
        <v/>
      </c>
      <c r="BK3564">
        <f>IF('01_Вводные'!$B$234="Да",IF(IF('01_Вводные'!$B$296="Новый сезон",9-1&gt;MOD(MONTH('06_Сеть_и_дети'!BK$3)-9,12),FALSE),'19_Расчет_аналитики'!BK3452*CapacityAge09*'19_Расчет_аналитики'!$F$3247,0),0)</f>
        <v/>
      </c>
      <c r="BL3564">
        <f>IF('01_Вводные'!$B$234="Да",IF(IF('01_Вводные'!$B$296="Новый сезон",9-1&gt;MOD(MONTH('06_Сеть_и_дети'!BL$3)-9,12),FALSE),'19_Расчет_аналитики'!BL3452*CapacityAge09*'19_Расчет_аналитики'!$F$3247,0),0)</f>
        <v/>
      </c>
      <c r="BM3564">
        <f>IF('01_Вводные'!$B$234="Да",IF(IF('01_Вводные'!$B$296="Новый сезон",9-1&gt;MOD(MONTH('06_Сеть_и_дети'!BM$3)-9,12),FALSE),'19_Расчет_аналитики'!BM3452*CapacityAge09*'19_Расчет_аналитики'!$F$3247,0),0)</f>
        <v/>
      </c>
      <c r="BN3564">
        <f>IF('01_Вводные'!$B$234="Да",IF(IF('01_Вводные'!$B$296="Новый сезон",9-1&gt;MOD(MONTH('06_Сеть_и_дети'!BN$3)-9,12),FALSE),'19_Расчет_аналитики'!BN3452*CapacityAge09*'19_Расчет_аналитики'!$F$3247,0),0)</f>
        <v/>
      </c>
      <c r="BO3564">
        <f>IF('01_Вводные'!$B$234="Да",IF(IF('01_Вводные'!$B$296="Новый сезон",9-1&gt;MOD(MONTH('06_Сеть_и_дети'!BO$3)-9,12),FALSE),'19_Расчет_аналитики'!BO3452*CapacityAge09*'19_Расчет_аналитики'!$F$3247,0),0)</f>
        <v/>
      </c>
    </row>
    <row r="3565">
      <c r="B3565">
        <f>IF('01_Вводные'!$B$234="Да",IF(IF('01_Вводные'!$B$296="Новый сезон",10-1&gt;MOD(MONTH('06_Сеть_и_дети'!B$3)-9,12),FALSE),'06_Сеть_и_дети'!B62*CapacityAge10*'19_Расчет_аналитики'!$F$3247,0),0)</f>
        <v/>
      </c>
      <c r="C3565">
        <f>IF('01_Вводные'!$B$234="Да",IF(IF('01_Вводные'!$B$296="Новый сезон",10-1&gt;MOD(MONTH('06_Сеть_и_дети'!C$3)-9,12),FALSE),'06_Сеть_и_дети'!C62*CapacityAge10*'19_Расчет_аналитики'!$F$3247,0),0)</f>
        <v/>
      </c>
      <c r="D3565">
        <f>IF('01_Вводные'!$B$234="Да",IF(IF('01_Вводные'!$B$296="Новый сезон",10-1&gt;MOD(MONTH('06_Сеть_и_дети'!D$3)-9,12),FALSE),'06_Сеть_и_дети'!D62*CapacityAge10*'19_Расчет_аналитики'!$F$3247,0),0)</f>
        <v/>
      </c>
      <c r="E3565">
        <f>IF('01_Вводные'!$B$234="Да",IF(IF('01_Вводные'!$B$296="Новый сезон",10-1&gt;MOD(MONTH('06_Сеть_и_дети'!E$3)-9,12),FALSE),'06_Сеть_и_дети'!E62*CapacityAge10*'19_Расчет_аналитики'!$F$3247,0),0)</f>
        <v/>
      </c>
      <c r="F3565">
        <f>IF('01_Вводные'!$B$234="Да",IF(IF('01_Вводные'!$B$296="Новый сезон",10-1&gt;MOD(MONTH('06_Сеть_и_дети'!F$3)-9,12),FALSE),'06_Сеть_и_дети'!F62*CapacityAge10*'19_Расчет_аналитики'!$F$3247,0),0)</f>
        <v/>
      </c>
      <c r="G3565">
        <f>IF('01_Вводные'!$B$234="Да",IF(IF('01_Вводные'!$B$296="Новый сезон",10-1&gt;MOD(MONTH('06_Сеть_и_дети'!G$3)-9,12),FALSE),'06_Сеть_и_дети'!G62*CapacityAge10*'19_Расчет_аналитики'!$F$3247,0),0)</f>
        <v/>
      </c>
      <c r="H3565">
        <f>IF('01_Вводные'!$B$234="Да",IF(IF('01_Вводные'!$B$296="Новый сезон",10-1&gt;MOD(MONTH('06_Сеть_и_дети'!H$3)-9,12),FALSE),'06_Сеть_и_дети'!H62*CapacityAge10*'19_Расчет_аналитики'!$F$3247,0),0)</f>
        <v/>
      </c>
      <c r="I3565">
        <f>IF('01_Вводные'!$B$234="Да",IF(IF('01_Вводные'!$B$296="Новый сезон",10-1&gt;MOD(MONTH('06_Сеть_и_дети'!I$3)-9,12),FALSE),'06_Сеть_и_дети'!I62*CapacityAge10*'19_Расчет_аналитики'!$F$3247,0),0)</f>
        <v/>
      </c>
      <c r="J3565">
        <f>IF('01_Вводные'!$B$234="Да",IF(IF('01_Вводные'!$B$296="Новый сезон",10-1&gt;MOD(MONTH('06_Сеть_и_дети'!J$3)-9,12),FALSE),'06_Сеть_и_дети'!J62*CapacityAge10*'19_Расчет_аналитики'!$F$3247,0),0)</f>
        <v/>
      </c>
      <c r="K3565">
        <f>IF('01_Вводные'!$B$234="Да",IF(IF('01_Вводные'!$B$296="Новый сезон",10-1&gt;MOD(MONTH('06_Сеть_и_дети'!K$3)-9,12),FALSE),'19_Расчет_аналитики'!K3453*CapacityAge10*'19_Расчет_аналитики'!$F$3247,0),0)</f>
        <v/>
      </c>
      <c r="L3565">
        <f>IF('01_Вводные'!$B$234="Да",IF(IF('01_Вводные'!$B$296="Новый сезон",10-1&gt;MOD(MONTH('06_Сеть_и_дети'!L$3)-9,12),FALSE),'19_Расчет_аналитики'!L3453*CapacityAge10*'19_Расчет_аналитики'!$F$3247,0),0)</f>
        <v/>
      </c>
      <c r="M3565">
        <f>IF('01_Вводные'!$B$234="Да",IF(IF('01_Вводные'!$B$296="Новый сезон",10-1&gt;MOD(MONTH('06_Сеть_и_дети'!M$3)-9,12),FALSE),'19_Расчет_аналитики'!M3453*CapacityAge10*'19_Расчет_аналитики'!$F$3247,0),0)</f>
        <v/>
      </c>
      <c r="N3565">
        <f>IF('01_Вводные'!$B$234="Да",IF(IF('01_Вводные'!$B$296="Новый сезон",10-1&gt;MOD(MONTH('06_Сеть_и_дети'!N$3)-9,12),FALSE),'19_Расчет_аналитики'!N3453*CapacityAge10*'19_Расчет_аналитики'!$F$3247,0),0)</f>
        <v/>
      </c>
      <c r="O3565">
        <f>IF('01_Вводные'!$B$234="Да",IF(IF('01_Вводные'!$B$296="Новый сезон",10-1&gt;MOD(MONTH('06_Сеть_и_дети'!O$3)-9,12),FALSE),'19_Расчет_аналитики'!O3453*CapacityAge10*'19_Расчет_аналитики'!$F$3247,0),0)</f>
        <v/>
      </c>
      <c r="P3565">
        <f>IF('01_Вводные'!$B$234="Да",IF(IF('01_Вводные'!$B$296="Новый сезон",10-1&gt;MOD(MONTH('06_Сеть_и_дети'!P$3)-9,12),FALSE),'19_Расчет_аналитики'!P3453*CapacityAge10*'19_Расчет_аналитики'!$F$3247,0),0)</f>
        <v/>
      </c>
      <c r="Q3565">
        <f>IF('01_Вводные'!$B$234="Да",IF(IF('01_Вводные'!$B$296="Новый сезон",10-1&gt;MOD(MONTH('06_Сеть_и_дети'!Q$3)-9,12),FALSE),'19_Расчет_аналитики'!Q3453*CapacityAge10*'19_Расчет_аналитики'!$F$3247,0),0)</f>
        <v/>
      </c>
      <c r="R3565">
        <f>IF('01_Вводные'!$B$234="Да",IF(IF('01_Вводные'!$B$296="Новый сезон",10-1&gt;MOD(MONTH('06_Сеть_и_дети'!R$3)-9,12),FALSE),'19_Расчет_аналитики'!R3453*CapacityAge10*'19_Расчет_аналитики'!$F$3247,0),0)</f>
        <v/>
      </c>
      <c r="S3565">
        <f>IF('01_Вводные'!$B$234="Да",IF(IF('01_Вводные'!$B$296="Новый сезон",10-1&gt;MOD(MONTH('06_Сеть_и_дети'!S$3)-9,12),FALSE),'19_Расчет_аналитики'!S3453*CapacityAge10*'19_Расчет_аналитики'!$F$3247,0),0)</f>
        <v/>
      </c>
      <c r="T3565">
        <f>IF('01_Вводные'!$B$234="Да",IF(IF('01_Вводные'!$B$296="Новый сезон",10-1&gt;MOD(MONTH('06_Сеть_и_дети'!T$3)-9,12),FALSE),'19_Расчет_аналитики'!T3453*CapacityAge10*'19_Расчет_аналитики'!$F$3247,0),0)</f>
        <v/>
      </c>
      <c r="U3565">
        <f>IF('01_Вводные'!$B$234="Да",IF(IF('01_Вводные'!$B$296="Новый сезон",10-1&gt;MOD(MONTH('06_Сеть_и_дети'!U$3)-9,12),FALSE),'19_Расчет_аналитики'!U3453*CapacityAge10*'19_Расчет_аналитики'!$F$3247,0),0)</f>
        <v/>
      </c>
      <c r="V3565">
        <f>IF('01_Вводные'!$B$234="Да",IF(IF('01_Вводные'!$B$296="Новый сезон",10-1&gt;MOD(MONTH('06_Сеть_и_дети'!V$3)-9,12),FALSE),'19_Расчет_аналитики'!V3453*CapacityAge10*'19_Расчет_аналитики'!$F$3247,0),0)</f>
        <v/>
      </c>
      <c r="W3565">
        <f>IF('01_Вводные'!$B$234="Да",IF(IF('01_Вводные'!$B$296="Новый сезон",10-1&gt;MOD(MONTH('06_Сеть_и_дети'!W$3)-9,12),FALSE),'19_Расчет_аналитики'!W3453*CapacityAge10*'19_Расчет_аналитики'!$F$3247,0),0)</f>
        <v/>
      </c>
      <c r="X3565">
        <f>IF('01_Вводные'!$B$234="Да",IF(IF('01_Вводные'!$B$296="Новый сезон",10-1&gt;MOD(MONTH('06_Сеть_и_дети'!X$3)-9,12),FALSE),'19_Расчет_аналитики'!X3453*CapacityAge10*'19_Расчет_аналитики'!$F$3247,0),0)</f>
        <v/>
      </c>
      <c r="Y3565">
        <f>IF('01_Вводные'!$B$234="Да",IF(IF('01_Вводные'!$B$296="Новый сезон",10-1&gt;MOD(MONTH('06_Сеть_и_дети'!Y$3)-9,12),FALSE),'19_Расчет_аналитики'!Y3453*CapacityAge10*'19_Расчет_аналитики'!$F$3247,0),0)</f>
        <v/>
      </c>
      <c r="Z3565">
        <f>IF('01_Вводные'!$B$234="Да",IF(IF('01_Вводные'!$B$296="Новый сезон",10-1&gt;MOD(MONTH('06_Сеть_и_дети'!Z$3)-9,12),FALSE),'19_Расчет_аналитики'!Z3453*CapacityAge10*'19_Расчет_аналитики'!$F$3247,0),0)</f>
        <v/>
      </c>
      <c r="AA3565">
        <f>IF('01_Вводные'!$B$234="Да",IF(IF('01_Вводные'!$B$296="Новый сезон",10-1&gt;MOD(MONTH('06_Сеть_и_дети'!AA$3)-9,12),FALSE),'19_Расчет_аналитики'!AA3453*CapacityAge10*'19_Расчет_аналитики'!$F$3247,0),0)</f>
        <v/>
      </c>
      <c r="AB3565">
        <f>IF('01_Вводные'!$B$234="Да",IF(IF('01_Вводные'!$B$296="Новый сезон",10-1&gt;MOD(MONTH('06_Сеть_и_дети'!AB$3)-9,12),FALSE),'19_Расчет_аналитики'!AB3453*CapacityAge10*'19_Расчет_аналитики'!$F$3247,0),0)</f>
        <v/>
      </c>
      <c r="AC3565">
        <f>IF('01_Вводные'!$B$234="Да",IF(IF('01_Вводные'!$B$296="Новый сезон",10-1&gt;MOD(MONTH('06_Сеть_и_дети'!AC$3)-9,12),FALSE),'19_Расчет_аналитики'!AC3453*CapacityAge10*'19_Расчет_аналитики'!$F$3247,0),0)</f>
        <v/>
      </c>
      <c r="AD3565">
        <f>IF('01_Вводные'!$B$234="Да",IF(IF('01_Вводные'!$B$296="Новый сезон",10-1&gt;MOD(MONTH('06_Сеть_и_дети'!AD$3)-9,12),FALSE),'19_Расчет_аналитики'!AD3453*CapacityAge10*'19_Расчет_аналитики'!$F$3247,0),0)</f>
        <v/>
      </c>
      <c r="AE3565">
        <f>IF('01_Вводные'!$B$234="Да",IF(IF('01_Вводные'!$B$296="Новый сезон",10-1&gt;MOD(MONTH('06_Сеть_и_дети'!AE$3)-9,12),FALSE),'19_Расчет_аналитики'!AE3453*CapacityAge10*'19_Расчет_аналитики'!$F$3247,0),0)</f>
        <v/>
      </c>
      <c r="AF3565">
        <f>IF('01_Вводные'!$B$234="Да",IF(IF('01_Вводные'!$B$296="Новый сезон",10-1&gt;MOD(MONTH('06_Сеть_и_дети'!AF$3)-9,12),FALSE),'19_Расчет_аналитики'!AF3453*CapacityAge10*'19_Расчет_аналитики'!$F$3247,0),0)</f>
        <v/>
      </c>
      <c r="AG3565">
        <f>IF('01_Вводные'!$B$234="Да",IF(IF('01_Вводные'!$B$296="Новый сезон",10-1&gt;MOD(MONTH('06_Сеть_и_дети'!AG$3)-9,12),FALSE),'19_Расчет_аналитики'!AG3453*CapacityAge10*'19_Расчет_аналитики'!$F$3247,0),0)</f>
        <v/>
      </c>
      <c r="AH3565">
        <f>IF('01_Вводные'!$B$234="Да",IF(IF('01_Вводные'!$B$296="Новый сезон",10-1&gt;MOD(MONTH('06_Сеть_и_дети'!AH$3)-9,12),FALSE),'19_Расчет_аналитики'!AH3453*CapacityAge10*'19_Расчет_аналитики'!$F$3247,0),0)</f>
        <v/>
      </c>
      <c r="AI3565">
        <f>IF('01_Вводные'!$B$234="Да",IF(IF('01_Вводные'!$B$296="Новый сезон",10-1&gt;MOD(MONTH('06_Сеть_и_дети'!AI$3)-9,12),FALSE),'19_Расчет_аналитики'!AI3453*CapacityAge10*'19_Расчет_аналитики'!$F$3247,0),0)</f>
        <v/>
      </c>
      <c r="AJ3565">
        <f>IF('01_Вводные'!$B$234="Да",IF(IF('01_Вводные'!$B$296="Новый сезон",10-1&gt;MOD(MONTH('06_Сеть_и_дети'!AJ$3)-9,12),FALSE),'19_Расчет_аналитики'!AJ3453*CapacityAge10*'19_Расчет_аналитики'!$F$3247,0),0)</f>
        <v/>
      </c>
      <c r="AK3565">
        <f>IF('01_Вводные'!$B$234="Да",IF(IF('01_Вводные'!$B$296="Новый сезон",10-1&gt;MOD(MONTH('06_Сеть_и_дети'!AK$3)-9,12),FALSE),'19_Расчет_аналитики'!AK3453*CapacityAge10*'19_Расчет_аналитики'!$F$3247,0),0)</f>
        <v/>
      </c>
      <c r="AL3565">
        <f>IF('01_Вводные'!$B$234="Да",IF(IF('01_Вводные'!$B$296="Новый сезон",10-1&gt;MOD(MONTH('06_Сеть_и_дети'!AL$3)-9,12),FALSE),'19_Расчет_аналитики'!AL3453*CapacityAge10*'19_Расчет_аналитики'!$F$3247,0),0)</f>
        <v/>
      </c>
      <c r="AM3565">
        <f>IF('01_Вводные'!$B$234="Да",IF(IF('01_Вводные'!$B$296="Новый сезон",10-1&gt;MOD(MONTH('06_Сеть_и_дети'!AM$3)-9,12),FALSE),'19_Расчет_аналитики'!AM3453*CapacityAge10*'19_Расчет_аналитики'!$F$3247,0),0)</f>
        <v/>
      </c>
      <c r="AN3565">
        <f>IF('01_Вводные'!$B$234="Да",IF(IF('01_Вводные'!$B$296="Новый сезон",10-1&gt;MOD(MONTH('06_Сеть_и_дети'!AN$3)-9,12),FALSE),'19_Расчет_аналитики'!AN3453*CapacityAge10*'19_Расчет_аналитики'!$F$3247,0),0)</f>
        <v/>
      </c>
      <c r="AO3565">
        <f>IF('01_Вводные'!$B$234="Да",IF(IF('01_Вводные'!$B$296="Новый сезон",10-1&gt;MOD(MONTH('06_Сеть_и_дети'!AO$3)-9,12),FALSE),'19_Расчет_аналитики'!AO3453*CapacityAge10*'19_Расчет_аналитики'!$F$3247,0),0)</f>
        <v/>
      </c>
      <c r="AP3565">
        <f>IF('01_Вводные'!$B$234="Да",IF(IF('01_Вводные'!$B$296="Новый сезон",10-1&gt;MOD(MONTH('06_Сеть_и_дети'!AP$3)-9,12),FALSE),'19_Расчет_аналитики'!AP3453*CapacityAge10*'19_Расчет_аналитики'!$F$3247,0),0)</f>
        <v/>
      </c>
      <c r="AQ3565">
        <f>IF('01_Вводные'!$B$234="Да",IF(IF('01_Вводные'!$B$296="Новый сезон",10-1&gt;MOD(MONTH('06_Сеть_и_дети'!AQ$3)-9,12),FALSE),'19_Расчет_аналитики'!AQ3453*CapacityAge10*'19_Расчет_аналитики'!$F$3247,0),0)</f>
        <v/>
      </c>
      <c r="AR3565">
        <f>IF('01_Вводные'!$B$234="Да",IF(IF('01_Вводные'!$B$296="Новый сезон",10-1&gt;MOD(MONTH('06_Сеть_и_дети'!AR$3)-9,12),FALSE),'19_Расчет_аналитики'!AR3453*CapacityAge10*'19_Расчет_аналитики'!$F$3247,0),0)</f>
        <v/>
      </c>
      <c r="AS3565">
        <f>IF('01_Вводные'!$B$234="Да",IF(IF('01_Вводные'!$B$296="Новый сезон",10-1&gt;MOD(MONTH('06_Сеть_и_дети'!AS$3)-9,12),FALSE),'19_Расчет_аналитики'!AS3453*CapacityAge10*'19_Расчет_аналитики'!$F$3247,0),0)</f>
        <v/>
      </c>
      <c r="AT3565">
        <f>IF('01_Вводные'!$B$234="Да",IF(IF('01_Вводные'!$B$296="Новый сезон",10-1&gt;MOD(MONTH('06_Сеть_и_дети'!AT$3)-9,12),FALSE),'19_Расчет_аналитики'!AT3453*CapacityAge10*'19_Расчет_аналитики'!$F$3247,0),0)</f>
        <v/>
      </c>
      <c r="AU3565">
        <f>IF('01_Вводные'!$B$234="Да",IF(IF('01_Вводные'!$B$296="Новый сезон",10-1&gt;MOD(MONTH('06_Сеть_и_дети'!AU$3)-9,12),FALSE),'19_Расчет_аналитики'!AU3453*CapacityAge10*'19_Расчет_аналитики'!$F$3247,0),0)</f>
        <v/>
      </c>
      <c r="AV3565">
        <f>IF('01_Вводные'!$B$234="Да",IF(IF('01_Вводные'!$B$296="Новый сезон",10-1&gt;MOD(MONTH('06_Сеть_и_дети'!AV$3)-9,12),FALSE),'19_Расчет_аналитики'!AV3453*CapacityAge10*'19_Расчет_аналитики'!$F$3247,0),0)</f>
        <v/>
      </c>
      <c r="AW3565">
        <f>IF('01_Вводные'!$B$234="Да",IF(IF('01_Вводные'!$B$296="Новый сезон",10-1&gt;MOD(MONTH('06_Сеть_и_дети'!AW$3)-9,12),FALSE),'19_Расчет_аналитики'!AW3453*CapacityAge10*'19_Расчет_аналитики'!$F$3247,0),0)</f>
        <v/>
      </c>
      <c r="AX3565">
        <f>IF('01_Вводные'!$B$234="Да",IF(IF('01_Вводные'!$B$296="Новый сезон",10-1&gt;MOD(MONTH('06_Сеть_и_дети'!AX$3)-9,12),FALSE),'19_Расчет_аналитики'!AX3453*CapacityAge10*'19_Расчет_аналитики'!$F$3247,0),0)</f>
        <v/>
      </c>
      <c r="AY3565">
        <f>IF('01_Вводные'!$B$234="Да",IF(IF('01_Вводные'!$B$296="Новый сезон",10-1&gt;MOD(MONTH('06_Сеть_и_дети'!AY$3)-9,12),FALSE),'19_Расчет_аналитики'!AY3453*CapacityAge10*'19_Расчет_аналитики'!$F$3247,0),0)</f>
        <v/>
      </c>
      <c r="AZ3565">
        <f>IF('01_Вводные'!$B$234="Да",IF(IF('01_Вводные'!$B$296="Новый сезон",10-1&gt;MOD(MONTH('06_Сеть_и_дети'!AZ$3)-9,12),FALSE),'19_Расчет_аналитики'!AZ3453*CapacityAge10*'19_Расчет_аналитики'!$F$3247,0),0)</f>
        <v/>
      </c>
      <c r="BA3565">
        <f>IF('01_Вводные'!$B$234="Да",IF(IF('01_Вводные'!$B$296="Новый сезон",10-1&gt;MOD(MONTH('06_Сеть_и_дети'!BA$3)-9,12),FALSE),'19_Расчет_аналитики'!BA3453*CapacityAge10*'19_Расчет_аналитики'!$F$3247,0),0)</f>
        <v/>
      </c>
      <c r="BB3565">
        <f>IF('01_Вводные'!$B$234="Да",IF(IF('01_Вводные'!$B$296="Новый сезон",10-1&gt;MOD(MONTH('06_Сеть_и_дети'!BB$3)-9,12),FALSE),'19_Расчет_аналитики'!BB3453*CapacityAge10*'19_Расчет_аналитики'!$F$3247,0),0)</f>
        <v/>
      </c>
      <c r="BC3565">
        <f>IF('01_Вводные'!$B$234="Да",IF(IF('01_Вводные'!$B$296="Новый сезон",10-1&gt;MOD(MONTH('06_Сеть_и_дети'!BC$3)-9,12),FALSE),'19_Расчет_аналитики'!BC3453*CapacityAge10*'19_Расчет_аналитики'!$F$3247,0),0)</f>
        <v/>
      </c>
      <c r="BD3565">
        <f>IF('01_Вводные'!$B$234="Да",IF(IF('01_Вводные'!$B$296="Новый сезон",10-1&gt;MOD(MONTH('06_Сеть_и_дети'!BD$3)-9,12),FALSE),'19_Расчет_аналитики'!BD3453*CapacityAge10*'19_Расчет_аналитики'!$F$3247,0),0)</f>
        <v/>
      </c>
      <c r="BE3565">
        <f>IF('01_Вводные'!$B$234="Да",IF(IF('01_Вводные'!$B$296="Новый сезон",10-1&gt;MOD(MONTH('06_Сеть_и_дети'!BE$3)-9,12),FALSE),'19_Расчет_аналитики'!BE3453*CapacityAge10*'19_Расчет_аналитики'!$F$3247,0),0)</f>
        <v/>
      </c>
      <c r="BF3565">
        <f>IF('01_Вводные'!$B$234="Да",IF(IF('01_Вводные'!$B$296="Новый сезон",10-1&gt;MOD(MONTH('06_Сеть_и_дети'!BF$3)-9,12),FALSE),'19_Расчет_аналитики'!BF3453*CapacityAge10*'19_Расчет_аналитики'!$F$3247,0),0)</f>
        <v/>
      </c>
      <c r="BG3565">
        <f>IF('01_Вводные'!$B$234="Да",IF(IF('01_Вводные'!$B$296="Новый сезон",10-1&gt;MOD(MONTH('06_Сеть_и_дети'!BG$3)-9,12),FALSE),'19_Расчет_аналитики'!BG3453*CapacityAge10*'19_Расчет_аналитики'!$F$3247,0),0)</f>
        <v/>
      </c>
      <c r="BH3565">
        <f>IF('01_Вводные'!$B$234="Да",IF(IF('01_Вводные'!$B$296="Новый сезон",10-1&gt;MOD(MONTH('06_Сеть_и_дети'!BH$3)-9,12),FALSE),'19_Расчет_аналитики'!BH3453*CapacityAge10*'19_Расчет_аналитики'!$F$3247,0),0)</f>
        <v/>
      </c>
      <c r="BI3565">
        <f>IF('01_Вводные'!$B$234="Да",IF(IF('01_Вводные'!$B$296="Новый сезон",10-1&gt;MOD(MONTH('06_Сеть_и_дети'!BI$3)-9,12),FALSE),'19_Расчет_аналитики'!BI3453*CapacityAge10*'19_Расчет_аналитики'!$F$3247,0),0)</f>
        <v/>
      </c>
      <c r="BJ3565">
        <f>IF('01_Вводные'!$B$234="Да",IF(IF('01_Вводные'!$B$296="Новый сезон",10-1&gt;MOD(MONTH('06_Сеть_и_дети'!BJ$3)-9,12),FALSE),'19_Расчет_аналитики'!BJ3453*CapacityAge10*'19_Расчет_аналитики'!$F$3247,0),0)</f>
        <v/>
      </c>
      <c r="BK3565">
        <f>IF('01_Вводные'!$B$234="Да",IF(IF('01_Вводные'!$B$296="Новый сезон",10-1&gt;MOD(MONTH('06_Сеть_и_дети'!BK$3)-9,12),FALSE),'19_Расчет_аналитики'!BK3453*CapacityAge10*'19_Расчет_аналитики'!$F$3247,0),0)</f>
        <v/>
      </c>
      <c r="BL3565">
        <f>IF('01_Вводные'!$B$234="Да",IF(IF('01_Вводные'!$B$296="Новый сезон",10-1&gt;MOD(MONTH('06_Сеть_и_дети'!BL$3)-9,12),FALSE),'19_Расчет_аналитики'!BL3453*CapacityAge10*'19_Расчет_аналитики'!$F$3247,0),0)</f>
        <v/>
      </c>
      <c r="BM3565">
        <f>IF('01_Вводные'!$B$234="Да",IF(IF('01_Вводные'!$B$296="Новый сезон",10-1&gt;MOD(MONTH('06_Сеть_и_дети'!BM$3)-9,12),FALSE),'19_Расчет_аналитики'!BM3453*CapacityAge10*'19_Расчет_аналитики'!$F$3247,0),0)</f>
        <v/>
      </c>
      <c r="BN3565">
        <f>IF('01_Вводные'!$B$234="Да",IF(IF('01_Вводные'!$B$296="Новый сезон",10-1&gt;MOD(MONTH('06_Сеть_и_дети'!BN$3)-9,12),FALSE),'19_Расчет_аналитики'!BN3453*CapacityAge10*'19_Расчет_аналитики'!$F$3247,0),0)</f>
        <v/>
      </c>
      <c r="BO3565">
        <f>IF('01_Вводные'!$B$234="Да",IF(IF('01_Вводные'!$B$296="Новый сезон",10-1&gt;MOD(MONTH('06_Сеть_и_дети'!BO$3)-9,12),FALSE),'19_Расчет_аналитики'!BO3453*CapacityAge10*'19_Расчет_аналитики'!$F$3247,0),0)</f>
        <v/>
      </c>
    </row>
    <row r="3566">
      <c r="B3566">
        <f>IF('01_Вводные'!$B$234="Да",IF(IF('01_Вводные'!$B$296="Новый сезон",11-1&gt;MOD(MONTH('06_Сеть_и_дети'!B$3)-9,12),FALSE),'06_Сеть_и_дети'!B63*CapacityAge11*'19_Расчет_аналитики'!$F$3247,0),0)</f>
        <v/>
      </c>
      <c r="C3566">
        <f>IF('01_Вводные'!$B$234="Да",IF(IF('01_Вводные'!$B$296="Новый сезон",11-1&gt;MOD(MONTH('06_Сеть_и_дети'!C$3)-9,12),FALSE),'06_Сеть_и_дети'!C63*CapacityAge11*'19_Расчет_аналитики'!$F$3247,0),0)</f>
        <v/>
      </c>
      <c r="D3566">
        <f>IF('01_Вводные'!$B$234="Да",IF(IF('01_Вводные'!$B$296="Новый сезон",11-1&gt;MOD(MONTH('06_Сеть_и_дети'!D$3)-9,12),FALSE),'06_Сеть_и_дети'!D63*CapacityAge11*'19_Расчет_аналитики'!$F$3247,0),0)</f>
        <v/>
      </c>
      <c r="E3566">
        <f>IF('01_Вводные'!$B$234="Да",IF(IF('01_Вводные'!$B$296="Новый сезон",11-1&gt;MOD(MONTH('06_Сеть_и_дети'!E$3)-9,12),FALSE),'06_Сеть_и_дети'!E63*CapacityAge11*'19_Расчет_аналитики'!$F$3247,0),0)</f>
        <v/>
      </c>
      <c r="F3566">
        <f>IF('01_Вводные'!$B$234="Да",IF(IF('01_Вводные'!$B$296="Новый сезон",11-1&gt;MOD(MONTH('06_Сеть_и_дети'!F$3)-9,12),FALSE),'06_Сеть_и_дети'!F63*CapacityAge11*'19_Расчет_аналитики'!$F$3247,0),0)</f>
        <v/>
      </c>
      <c r="G3566">
        <f>IF('01_Вводные'!$B$234="Да",IF(IF('01_Вводные'!$B$296="Новый сезон",11-1&gt;MOD(MONTH('06_Сеть_и_дети'!G$3)-9,12),FALSE),'06_Сеть_и_дети'!G63*CapacityAge11*'19_Расчет_аналитики'!$F$3247,0),0)</f>
        <v/>
      </c>
      <c r="H3566">
        <f>IF('01_Вводные'!$B$234="Да",IF(IF('01_Вводные'!$B$296="Новый сезон",11-1&gt;MOD(MONTH('06_Сеть_и_дети'!H$3)-9,12),FALSE),'06_Сеть_и_дети'!H63*CapacityAge11*'19_Расчет_аналитики'!$F$3247,0),0)</f>
        <v/>
      </c>
      <c r="I3566">
        <f>IF('01_Вводные'!$B$234="Да",IF(IF('01_Вводные'!$B$296="Новый сезон",11-1&gt;MOD(MONTH('06_Сеть_и_дети'!I$3)-9,12),FALSE),'06_Сеть_и_дети'!I63*CapacityAge11*'19_Расчет_аналитики'!$F$3247,0),0)</f>
        <v/>
      </c>
      <c r="J3566">
        <f>IF('01_Вводные'!$B$234="Да",IF(IF('01_Вводные'!$B$296="Новый сезон",11-1&gt;MOD(MONTH('06_Сеть_и_дети'!J$3)-9,12),FALSE),'06_Сеть_и_дети'!J63*CapacityAge11*'19_Расчет_аналитики'!$F$3247,0),0)</f>
        <v/>
      </c>
      <c r="K3566">
        <f>IF('01_Вводные'!$B$234="Да",IF(IF('01_Вводные'!$B$296="Новый сезон",11-1&gt;MOD(MONTH('06_Сеть_и_дети'!K$3)-9,12),FALSE),'06_Сеть_и_дети'!K63*CapacityAge11*'19_Расчет_аналитики'!$F$3247,0),0)</f>
        <v/>
      </c>
      <c r="L3566">
        <f>IF('01_Вводные'!$B$234="Да",IF(IF('01_Вводные'!$B$296="Новый сезон",11-1&gt;MOD(MONTH('06_Сеть_и_дети'!L$3)-9,12),FALSE),'19_Расчет_аналитики'!L3454*CapacityAge11*'19_Расчет_аналитики'!$F$3247,0),0)</f>
        <v/>
      </c>
      <c r="M3566">
        <f>IF('01_Вводные'!$B$234="Да",IF(IF('01_Вводные'!$B$296="Новый сезон",11-1&gt;MOD(MONTH('06_Сеть_и_дети'!M$3)-9,12),FALSE),'19_Расчет_аналитики'!M3454*CapacityAge11*'19_Расчет_аналитики'!$F$3247,0),0)</f>
        <v/>
      </c>
      <c r="N3566">
        <f>IF('01_Вводные'!$B$234="Да",IF(IF('01_Вводные'!$B$296="Новый сезон",11-1&gt;MOD(MONTH('06_Сеть_и_дети'!N$3)-9,12),FALSE),'19_Расчет_аналитики'!N3454*CapacityAge11*'19_Расчет_аналитики'!$F$3247,0),0)</f>
        <v/>
      </c>
      <c r="O3566">
        <f>IF('01_Вводные'!$B$234="Да",IF(IF('01_Вводные'!$B$296="Новый сезон",11-1&gt;MOD(MONTH('06_Сеть_и_дети'!O$3)-9,12),FALSE),'19_Расчет_аналитики'!O3454*CapacityAge11*'19_Расчет_аналитики'!$F$3247,0),0)</f>
        <v/>
      </c>
      <c r="P3566">
        <f>IF('01_Вводные'!$B$234="Да",IF(IF('01_Вводные'!$B$296="Новый сезон",11-1&gt;MOD(MONTH('06_Сеть_и_дети'!P$3)-9,12),FALSE),'19_Расчет_аналитики'!P3454*CapacityAge11*'19_Расчет_аналитики'!$F$3247,0),0)</f>
        <v/>
      </c>
      <c r="Q3566">
        <f>IF('01_Вводные'!$B$234="Да",IF(IF('01_Вводные'!$B$296="Новый сезон",11-1&gt;MOD(MONTH('06_Сеть_и_дети'!Q$3)-9,12),FALSE),'19_Расчет_аналитики'!Q3454*CapacityAge11*'19_Расчет_аналитики'!$F$3247,0),0)</f>
        <v/>
      </c>
      <c r="R3566">
        <f>IF('01_Вводные'!$B$234="Да",IF(IF('01_Вводные'!$B$296="Новый сезон",11-1&gt;MOD(MONTH('06_Сеть_и_дети'!R$3)-9,12),FALSE),'19_Расчет_аналитики'!R3454*CapacityAge11*'19_Расчет_аналитики'!$F$3247,0),0)</f>
        <v/>
      </c>
      <c r="S3566">
        <f>IF('01_Вводные'!$B$234="Да",IF(IF('01_Вводные'!$B$296="Новый сезон",11-1&gt;MOD(MONTH('06_Сеть_и_дети'!S$3)-9,12),FALSE),'19_Расчет_аналитики'!S3454*CapacityAge11*'19_Расчет_аналитики'!$F$3247,0),0)</f>
        <v/>
      </c>
      <c r="T3566">
        <f>IF('01_Вводные'!$B$234="Да",IF(IF('01_Вводные'!$B$296="Новый сезон",11-1&gt;MOD(MONTH('06_Сеть_и_дети'!T$3)-9,12),FALSE),'19_Расчет_аналитики'!T3454*CapacityAge11*'19_Расчет_аналитики'!$F$3247,0),0)</f>
        <v/>
      </c>
      <c r="U3566">
        <f>IF('01_Вводные'!$B$234="Да",IF(IF('01_Вводные'!$B$296="Новый сезон",11-1&gt;MOD(MONTH('06_Сеть_и_дети'!U$3)-9,12),FALSE),'19_Расчет_аналитики'!U3454*CapacityAge11*'19_Расчет_аналитики'!$F$3247,0),0)</f>
        <v/>
      </c>
      <c r="V3566">
        <f>IF('01_Вводные'!$B$234="Да",IF(IF('01_Вводные'!$B$296="Новый сезон",11-1&gt;MOD(MONTH('06_Сеть_и_дети'!V$3)-9,12),FALSE),'19_Расчет_аналитики'!V3454*CapacityAge11*'19_Расчет_аналитики'!$F$3247,0),0)</f>
        <v/>
      </c>
      <c r="W3566">
        <f>IF('01_Вводные'!$B$234="Да",IF(IF('01_Вводные'!$B$296="Новый сезон",11-1&gt;MOD(MONTH('06_Сеть_и_дети'!W$3)-9,12),FALSE),'19_Расчет_аналитики'!W3454*CapacityAge11*'19_Расчет_аналитики'!$F$3247,0),0)</f>
        <v/>
      </c>
      <c r="X3566">
        <f>IF('01_Вводные'!$B$234="Да",IF(IF('01_Вводные'!$B$296="Новый сезон",11-1&gt;MOD(MONTH('06_Сеть_и_дети'!X$3)-9,12),FALSE),'19_Расчет_аналитики'!X3454*CapacityAge11*'19_Расчет_аналитики'!$F$3247,0),0)</f>
        <v/>
      </c>
      <c r="Y3566">
        <f>IF('01_Вводные'!$B$234="Да",IF(IF('01_Вводные'!$B$296="Новый сезон",11-1&gt;MOD(MONTH('06_Сеть_и_дети'!Y$3)-9,12),FALSE),'19_Расчет_аналитики'!Y3454*CapacityAge11*'19_Расчет_аналитики'!$F$3247,0),0)</f>
        <v/>
      </c>
      <c r="Z3566">
        <f>IF('01_Вводные'!$B$234="Да",IF(IF('01_Вводные'!$B$296="Новый сезон",11-1&gt;MOD(MONTH('06_Сеть_и_дети'!Z$3)-9,12),FALSE),'19_Расчет_аналитики'!Z3454*CapacityAge11*'19_Расчет_аналитики'!$F$3247,0),0)</f>
        <v/>
      </c>
      <c r="AA3566">
        <f>IF('01_Вводные'!$B$234="Да",IF(IF('01_Вводные'!$B$296="Новый сезон",11-1&gt;MOD(MONTH('06_Сеть_и_дети'!AA$3)-9,12),FALSE),'19_Расчет_аналитики'!AA3454*CapacityAge11*'19_Расчет_аналитики'!$F$3247,0),0)</f>
        <v/>
      </c>
      <c r="AB3566">
        <f>IF('01_Вводные'!$B$234="Да",IF(IF('01_Вводные'!$B$296="Новый сезон",11-1&gt;MOD(MONTH('06_Сеть_и_дети'!AB$3)-9,12),FALSE),'19_Расчет_аналитики'!AB3454*CapacityAge11*'19_Расчет_аналитики'!$F$3247,0),0)</f>
        <v/>
      </c>
      <c r="AC3566">
        <f>IF('01_Вводные'!$B$234="Да",IF(IF('01_Вводные'!$B$296="Новый сезон",11-1&gt;MOD(MONTH('06_Сеть_и_дети'!AC$3)-9,12),FALSE),'19_Расчет_аналитики'!AC3454*CapacityAge11*'19_Расчет_аналитики'!$F$3247,0),0)</f>
        <v/>
      </c>
      <c r="AD3566">
        <f>IF('01_Вводные'!$B$234="Да",IF(IF('01_Вводные'!$B$296="Новый сезон",11-1&gt;MOD(MONTH('06_Сеть_и_дети'!AD$3)-9,12),FALSE),'19_Расчет_аналитики'!AD3454*CapacityAge11*'19_Расчет_аналитики'!$F$3247,0),0)</f>
        <v/>
      </c>
      <c r="AE3566">
        <f>IF('01_Вводные'!$B$234="Да",IF(IF('01_Вводные'!$B$296="Новый сезон",11-1&gt;MOD(MONTH('06_Сеть_и_дети'!AE$3)-9,12),FALSE),'19_Расчет_аналитики'!AE3454*CapacityAge11*'19_Расчет_аналитики'!$F$3247,0),0)</f>
        <v/>
      </c>
      <c r="AF3566">
        <f>IF('01_Вводные'!$B$234="Да",IF(IF('01_Вводные'!$B$296="Новый сезон",11-1&gt;MOD(MONTH('06_Сеть_и_дети'!AF$3)-9,12),FALSE),'19_Расчет_аналитики'!AF3454*CapacityAge11*'19_Расчет_аналитики'!$F$3247,0),0)</f>
        <v/>
      </c>
      <c r="AG3566">
        <f>IF('01_Вводные'!$B$234="Да",IF(IF('01_Вводные'!$B$296="Новый сезон",11-1&gt;MOD(MONTH('06_Сеть_и_дети'!AG$3)-9,12),FALSE),'19_Расчет_аналитики'!AG3454*CapacityAge11*'19_Расчет_аналитики'!$F$3247,0),0)</f>
        <v/>
      </c>
      <c r="AH3566">
        <f>IF('01_Вводные'!$B$234="Да",IF(IF('01_Вводные'!$B$296="Новый сезон",11-1&gt;MOD(MONTH('06_Сеть_и_дети'!AH$3)-9,12),FALSE),'19_Расчет_аналитики'!AH3454*CapacityAge11*'19_Расчет_аналитики'!$F$3247,0),0)</f>
        <v/>
      </c>
      <c r="AI3566">
        <f>IF('01_Вводные'!$B$234="Да",IF(IF('01_Вводные'!$B$296="Новый сезон",11-1&gt;MOD(MONTH('06_Сеть_и_дети'!AI$3)-9,12),FALSE),'19_Расчет_аналитики'!AI3454*CapacityAge11*'19_Расчет_аналитики'!$F$3247,0),0)</f>
        <v/>
      </c>
      <c r="AJ3566">
        <f>IF('01_Вводные'!$B$234="Да",IF(IF('01_Вводные'!$B$296="Новый сезон",11-1&gt;MOD(MONTH('06_Сеть_и_дети'!AJ$3)-9,12),FALSE),'19_Расчет_аналитики'!AJ3454*CapacityAge11*'19_Расчет_аналитики'!$F$3247,0),0)</f>
        <v/>
      </c>
      <c r="AK3566">
        <f>IF('01_Вводные'!$B$234="Да",IF(IF('01_Вводные'!$B$296="Новый сезон",11-1&gt;MOD(MONTH('06_Сеть_и_дети'!AK$3)-9,12),FALSE),'19_Расчет_аналитики'!AK3454*CapacityAge11*'19_Расчет_аналитики'!$F$3247,0),0)</f>
        <v/>
      </c>
      <c r="AL3566">
        <f>IF('01_Вводные'!$B$234="Да",IF(IF('01_Вводные'!$B$296="Новый сезон",11-1&gt;MOD(MONTH('06_Сеть_и_дети'!AL$3)-9,12),FALSE),'19_Расчет_аналитики'!AL3454*CapacityAge11*'19_Расчет_аналитики'!$F$3247,0),0)</f>
        <v/>
      </c>
      <c r="AM3566">
        <f>IF('01_Вводные'!$B$234="Да",IF(IF('01_Вводные'!$B$296="Новый сезон",11-1&gt;MOD(MONTH('06_Сеть_и_дети'!AM$3)-9,12),FALSE),'19_Расчет_аналитики'!AM3454*CapacityAge11*'19_Расчет_аналитики'!$F$3247,0),0)</f>
        <v/>
      </c>
      <c r="AN3566">
        <f>IF('01_Вводные'!$B$234="Да",IF(IF('01_Вводные'!$B$296="Новый сезон",11-1&gt;MOD(MONTH('06_Сеть_и_дети'!AN$3)-9,12),FALSE),'19_Расчет_аналитики'!AN3454*CapacityAge11*'19_Расчет_аналитики'!$F$3247,0),0)</f>
        <v/>
      </c>
      <c r="AO3566">
        <f>IF('01_Вводные'!$B$234="Да",IF(IF('01_Вводные'!$B$296="Новый сезон",11-1&gt;MOD(MONTH('06_Сеть_и_дети'!AO$3)-9,12),FALSE),'19_Расчет_аналитики'!AO3454*CapacityAge11*'19_Расчет_аналитики'!$F$3247,0),0)</f>
        <v/>
      </c>
      <c r="AP3566">
        <f>IF('01_Вводные'!$B$234="Да",IF(IF('01_Вводные'!$B$296="Новый сезон",11-1&gt;MOD(MONTH('06_Сеть_и_дети'!AP$3)-9,12),FALSE),'19_Расчет_аналитики'!AP3454*CapacityAge11*'19_Расчет_аналитики'!$F$3247,0),0)</f>
        <v/>
      </c>
      <c r="AQ3566">
        <f>IF('01_Вводные'!$B$234="Да",IF(IF('01_Вводные'!$B$296="Новый сезон",11-1&gt;MOD(MONTH('06_Сеть_и_дети'!AQ$3)-9,12),FALSE),'19_Расчет_аналитики'!AQ3454*CapacityAge11*'19_Расчет_аналитики'!$F$3247,0),0)</f>
        <v/>
      </c>
      <c r="AR3566">
        <f>IF('01_Вводные'!$B$234="Да",IF(IF('01_Вводные'!$B$296="Новый сезон",11-1&gt;MOD(MONTH('06_Сеть_и_дети'!AR$3)-9,12),FALSE),'19_Расчет_аналитики'!AR3454*CapacityAge11*'19_Расчет_аналитики'!$F$3247,0),0)</f>
        <v/>
      </c>
      <c r="AS3566">
        <f>IF('01_Вводные'!$B$234="Да",IF(IF('01_Вводные'!$B$296="Новый сезон",11-1&gt;MOD(MONTH('06_Сеть_и_дети'!AS$3)-9,12),FALSE),'19_Расчет_аналитики'!AS3454*CapacityAge11*'19_Расчет_аналитики'!$F$3247,0),0)</f>
        <v/>
      </c>
      <c r="AT3566">
        <f>IF('01_Вводные'!$B$234="Да",IF(IF('01_Вводные'!$B$296="Новый сезон",11-1&gt;MOD(MONTH('06_Сеть_и_дети'!AT$3)-9,12),FALSE),'19_Расчет_аналитики'!AT3454*CapacityAge11*'19_Расчет_аналитики'!$F$3247,0),0)</f>
        <v/>
      </c>
      <c r="AU3566">
        <f>IF('01_Вводные'!$B$234="Да",IF(IF('01_Вводные'!$B$296="Новый сезон",11-1&gt;MOD(MONTH('06_Сеть_и_дети'!AU$3)-9,12),FALSE),'19_Расчет_аналитики'!AU3454*CapacityAge11*'19_Расчет_аналитики'!$F$3247,0),0)</f>
        <v/>
      </c>
      <c r="AV3566">
        <f>IF('01_Вводные'!$B$234="Да",IF(IF('01_Вводные'!$B$296="Новый сезон",11-1&gt;MOD(MONTH('06_Сеть_и_дети'!AV$3)-9,12),FALSE),'19_Расчет_аналитики'!AV3454*CapacityAge11*'19_Расчет_аналитики'!$F$3247,0),0)</f>
        <v/>
      </c>
      <c r="AW3566">
        <f>IF('01_Вводные'!$B$234="Да",IF(IF('01_Вводные'!$B$296="Новый сезон",11-1&gt;MOD(MONTH('06_Сеть_и_дети'!AW$3)-9,12),FALSE),'19_Расчет_аналитики'!AW3454*CapacityAge11*'19_Расчет_аналитики'!$F$3247,0),0)</f>
        <v/>
      </c>
      <c r="AX3566">
        <f>IF('01_Вводные'!$B$234="Да",IF(IF('01_Вводные'!$B$296="Новый сезон",11-1&gt;MOD(MONTH('06_Сеть_и_дети'!AX$3)-9,12),FALSE),'19_Расчет_аналитики'!AX3454*CapacityAge11*'19_Расчет_аналитики'!$F$3247,0),0)</f>
        <v/>
      </c>
      <c r="AY3566">
        <f>IF('01_Вводные'!$B$234="Да",IF(IF('01_Вводные'!$B$296="Новый сезон",11-1&gt;MOD(MONTH('06_Сеть_и_дети'!AY$3)-9,12),FALSE),'19_Расчет_аналитики'!AY3454*CapacityAge11*'19_Расчет_аналитики'!$F$3247,0),0)</f>
        <v/>
      </c>
      <c r="AZ3566">
        <f>IF('01_Вводные'!$B$234="Да",IF(IF('01_Вводные'!$B$296="Новый сезон",11-1&gt;MOD(MONTH('06_Сеть_и_дети'!AZ$3)-9,12),FALSE),'19_Расчет_аналитики'!AZ3454*CapacityAge11*'19_Расчет_аналитики'!$F$3247,0),0)</f>
        <v/>
      </c>
      <c r="BA3566">
        <f>IF('01_Вводные'!$B$234="Да",IF(IF('01_Вводные'!$B$296="Новый сезон",11-1&gt;MOD(MONTH('06_Сеть_и_дети'!BA$3)-9,12),FALSE),'19_Расчет_аналитики'!BA3454*CapacityAge11*'19_Расчет_аналитики'!$F$3247,0),0)</f>
        <v/>
      </c>
      <c r="BB3566">
        <f>IF('01_Вводные'!$B$234="Да",IF(IF('01_Вводные'!$B$296="Новый сезон",11-1&gt;MOD(MONTH('06_Сеть_и_дети'!BB$3)-9,12),FALSE),'19_Расчет_аналитики'!BB3454*CapacityAge11*'19_Расчет_аналитики'!$F$3247,0),0)</f>
        <v/>
      </c>
      <c r="BC3566">
        <f>IF('01_Вводные'!$B$234="Да",IF(IF('01_Вводные'!$B$296="Новый сезон",11-1&gt;MOD(MONTH('06_Сеть_и_дети'!BC$3)-9,12),FALSE),'19_Расчет_аналитики'!BC3454*CapacityAge11*'19_Расчет_аналитики'!$F$3247,0),0)</f>
        <v/>
      </c>
      <c r="BD3566">
        <f>IF('01_Вводные'!$B$234="Да",IF(IF('01_Вводные'!$B$296="Новый сезон",11-1&gt;MOD(MONTH('06_Сеть_и_дети'!BD$3)-9,12),FALSE),'19_Расчет_аналитики'!BD3454*CapacityAge11*'19_Расчет_аналитики'!$F$3247,0),0)</f>
        <v/>
      </c>
      <c r="BE3566">
        <f>IF('01_Вводные'!$B$234="Да",IF(IF('01_Вводные'!$B$296="Новый сезон",11-1&gt;MOD(MONTH('06_Сеть_и_дети'!BE$3)-9,12),FALSE),'19_Расчет_аналитики'!BE3454*CapacityAge11*'19_Расчет_аналитики'!$F$3247,0),0)</f>
        <v/>
      </c>
      <c r="BF3566">
        <f>IF('01_Вводные'!$B$234="Да",IF(IF('01_Вводные'!$B$296="Новый сезон",11-1&gt;MOD(MONTH('06_Сеть_и_дети'!BF$3)-9,12),FALSE),'19_Расчет_аналитики'!BF3454*CapacityAge11*'19_Расчет_аналитики'!$F$3247,0),0)</f>
        <v/>
      </c>
      <c r="BG3566">
        <f>IF('01_Вводные'!$B$234="Да",IF(IF('01_Вводные'!$B$296="Новый сезон",11-1&gt;MOD(MONTH('06_Сеть_и_дети'!BG$3)-9,12),FALSE),'19_Расчет_аналитики'!BG3454*CapacityAge11*'19_Расчет_аналитики'!$F$3247,0),0)</f>
        <v/>
      </c>
      <c r="BH3566">
        <f>IF('01_Вводные'!$B$234="Да",IF(IF('01_Вводные'!$B$296="Новый сезон",11-1&gt;MOD(MONTH('06_Сеть_и_дети'!BH$3)-9,12),FALSE),'19_Расчет_аналитики'!BH3454*CapacityAge11*'19_Расчет_аналитики'!$F$3247,0),0)</f>
        <v/>
      </c>
      <c r="BI3566">
        <f>IF('01_Вводные'!$B$234="Да",IF(IF('01_Вводные'!$B$296="Новый сезон",11-1&gt;MOD(MONTH('06_Сеть_и_дети'!BI$3)-9,12),FALSE),'19_Расчет_аналитики'!BI3454*CapacityAge11*'19_Расчет_аналитики'!$F$3247,0),0)</f>
        <v/>
      </c>
      <c r="BJ3566">
        <f>IF('01_Вводные'!$B$234="Да",IF(IF('01_Вводные'!$B$296="Новый сезон",11-1&gt;MOD(MONTH('06_Сеть_и_дети'!BJ$3)-9,12),FALSE),'19_Расчет_аналитики'!BJ3454*CapacityAge11*'19_Расчет_аналитики'!$F$3247,0),0)</f>
        <v/>
      </c>
      <c r="BK3566">
        <f>IF('01_Вводные'!$B$234="Да",IF(IF('01_Вводные'!$B$296="Новый сезон",11-1&gt;MOD(MONTH('06_Сеть_и_дети'!BK$3)-9,12),FALSE),'19_Расчет_аналитики'!BK3454*CapacityAge11*'19_Расчет_аналитики'!$F$3247,0),0)</f>
        <v/>
      </c>
      <c r="BL3566">
        <f>IF('01_Вводные'!$B$234="Да",IF(IF('01_Вводные'!$B$296="Новый сезон",11-1&gt;MOD(MONTH('06_Сеть_и_дети'!BL$3)-9,12),FALSE),'19_Расчет_аналитики'!BL3454*CapacityAge11*'19_Расчет_аналитики'!$F$3247,0),0)</f>
        <v/>
      </c>
      <c r="BM3566">
        <f>IF('01_Вводные'!$B$234="Да",IF(IF('01_Вводные'!$B$296="Новый сезон",11-1&gt;MOD(MONTH('06_Сеть_и_дети'!BM$3)-9,12),FALSE),'19_Расчет_аналитики'!BM3454*CapacityAge11*'19_Расчет_аналитики'!$F$3247,0),0)</f>
        <v/>
      </c>
      <c r="BN3566">
        <f>IF('01_Вводные'!$B$234="Да",IF(IF('01_Вводные'!$B$296="Новый сезон",11-1&gt;MOD(MONTH('06_Сеть_и_дети'!BN$3)-9,12),FALSE),'19_Расчет_аналитики'!BN3454*CapacityAge11*'19_Расчет_аналитики'!$F$3247,0),0)</f>
        <v/>
      </c>
      <c r="BO3566">
        <f>IF('01_Вводные'!$B$234="Да",IF(IF('01_Вводные'!$B$296="Новый сезон",11-1&gt;MOD(MONTH('06_Сеть_и_дети'!BO$3)-9,12),FALSE),'19_Расчет_аналитики'!BO3454*CapacityAge11*'19_Расчет_аналитики'!$F$3247,0),0)</f>
        <v/>
      </c>
    </row>
    <row r="3567">
      <c r="B3567">
        <f>IF('01_Вводные'!$B$234="Да",IF(IF('01_Вводные'!$B$296="Новый сезон",12-1&gt;MOD(MONTH('06_Сеть_и_дети'!B$3)-9,12),FALSE),'06_Сеть_и_дети'!B64*CapacityAge12*'19_Расчет_аналитики'!$F$3247,0),0)</f>
        <v/>
      </c>
      <c r="C3567">
        <f>IF('01_Вводные'!$B$234="Да",IF(IF('01_Вводные'!$B$296="Новый сезон",12-1&gt;MOD(MONTH('06_Сеть_и_дети'!C$3)-9,12),FALSE),'06_Сеть_и_дети'!C64*CapacityAge12*'19_Расчет_аналитики'!$F$3247,0),0)</f>
        <v/>
      </c>
      <c r="D3567">
        <f>IF('01_Вводные'!$B$234="Да",IF(IF('01_Вводные'!$B$296="Новый сезон",12-1&gt;MOD(MONTH('06_Сеть_и_дети'!D$3)-9,12),FALSE),'06_Сеть_и_дети'!D64*CapacityAge12*'19_Расчет_аналитики'!$F$3247,0),0)</f>
        <v/>
      </c>
      <c r="E3567">
        <f>IF('01_Вводные'!$B$234="Да",IF(IF('01_Вводные'!$B$296="Новый сезон",12-1&gt;MOD(MONTH('06_Сеть_и_дети'!E$3)-9,12),FALSE),'06_Сеть_и_дети'!E64*CapacityAge12*'19_Расчет_аналитики'!$F$3247,0),0)</f>
        <v/>
      </c>
      <c r="F3567">
        <f>IF('01_Вводные'!$B$234="Да",IF(IF('01_Вводные'!$B$296="Новый сезон",12-1&gt;MOD(MONTH('06_Сеть_и_дети'!F$3)-9,12),FALSE),'06_Сеть_и_дети'!F64*CapacityAge12*'19_Расчет_аналитики'!$F$3247,0),0)</f>
        <v/>
      </c>
      <c r="G3567">
        <f>IF('01_Вводные'!$B$234="Да",IF(IF('01_Вводные'!$B$296="Новый сезон",12-1&gt;MOD(MONTH('06_Сеть_и_дети'!G$3)-9,12),FALSE),'06_Сеть_и_дети'!G64*CapacityAge12*'19_Расчет_аналитики'!$F$3247,0),0)</f>
        <v/>
      </c>
      <c r="H3567">
        <f>IF('01_Вводные'!$B$234="Да",IF(IF('01_Вводные'!$B$296="Новый сезон",12-1&gt;MOD(MONTH('06_Сеть_и_дети'!H$3)-9,12),FALSE),'06_Сеть_и_дети'!H64*CapacityAge12*'19_Расчет_аналитики'!$F$3247,0),0)</f>
        <v/>
      </c>
      <c r="I3567">
        <f>IF('01_Вводные'!$B$234="Да",IF(IF('01_Вводные'!$B$296="Новый сезон",12-1&gt;MOD(MONTH('06_Сеть_и_дети'!I$3)-9,12),FALSE),'06_Сеть_и_дети'!I64*CapacityAge12*'19_Расчет_аналитики'!$F$3247,0),0)</f>
        <v/>
      </c>
      <c r="J3567">
        <f>IF('01_Вводные'!$B$234="Да",IF(IF('01_Вводные'!$B$296="Новый сезон",12-1&gt;MOD(MONTH('06_Сеть_и_дети'!J$3)-9,12),FALSE),'06_Сеть_и_дети'!J64*CapacityAge12*'19_Расчет_аналитики'!$F$3247,0),0)</f>
        <v/>
      </c>
      <c r="K3567">
        <f>IF('01_Вводные'!$B$234="Да",IF(IF('01_Вводные'!$B$296="Новый сезон",12-1&gt;MOD(MONTH('06_Сеть_и_дети'!K$3)-9,12),FALSE),'06_Сеть_и_дети'!K64*CapacityAge12*'19_Расчет_аналитики'!$F$3247,0),0)</f>
        <v/>
      </c>
      <c r="L3567">
        <f>IF('01_Вводные'!$B$234="Да",IF(IF('01_Вводные'!$B$296="Новый сезон",12-1&gt;MOD(MONTH('06_Сеть_и_дети'!L$3)-9,12),FALSE),'06_Сеть_и_дети'!L64*CapacityAge12*'19_Расчет_аналитики'!$F$3247,0),0)</f>
        <v/>
      </c>
      <c r="M3567">
        <f>IF('01_Вводные'!$B$234="Да",IF(IF('01_Вводные'!$B$296="Новый сезон",12-1&gt;MOD(MONTH('06_Сеть_и_дети'!M$3)-9,12),FALSE),'19_Расчет_аналитики'!M3455*CapacityAge12*'19_Расчет_аналитики'!$F$3247,0),0)</f>
        <v/>
      </c>
      <c r="N3567">
        <f>IF('01_Вводные'!$B$234="Да",IF(IF('01_Вводные'!$B$296="Новый сезон",12-1&gt;MOD(MONTH('06_Сеть_и_дети'!N$3)-9,12),FALSE),'19_Расчет_аналитики'!N3455*CapacityAge12*'19_Расчет_аналитики'!$F$3247,0),0)</f>
        <v/>
      </c>
      <c r="O3567">
        <f>IF('01_Вводные'!$B$234="Да",IF(IF('01_Вводные'!$B$296="Новый сезон",12-1&gt;MOD(MONTH('06_Сеть_и_дети'!O$3)-9,12),FALSE),'19_Расчет_аналитики'!O3455*CapacityAge12*'19_Расчет_аналитики'!$F$3247,0),0)</f>
        <v/>
      </c>
      <c r="P3567">
        <f>IF('01_Вводные'!$B$234="Да",IF(IF('01_Вводные'!$B$296="Новый сезон",12-1&gt;MOD(MONTH('06_Сеть_и_дети'!P$3)-9,12),FALSE),'19_Расчет_аналитики'!P3455*CapacityAge12*'19_Расчет_аналитики'!$F$3247,0),0)</f>
        <v/>
      </c>
      <c r="Q3567">
        <f>IF('01_Вводные'!$B$234="Да",IF(IF('01_Вводные'!$B$296="Новый сезон",12-1&gt;MOD(MONTH('06_Сеть_и_дети'!Q$3)-9,12),FALSE),'19_Расчет_аналитики'!Q3455*CapacityAge12*'19_Расчет_аналитики'!$F$3247,0),0)</f>
        <v/>
      </c>
      <c r="R3567">
        <f>IF('01_Вводные'!$B$234="Да",IF(IF('01_Вводные'!$B$296="Новый сезон",12-1&gt;MOD(MONTH('06_Сеть_и_дети'!R$3)-9,12),FALSE),'19_Расчет_аналитики'!R3455*CapacityAge12*'19_Расчет_аналитики'!$F$3247,0),0)</f>
        <v/>
      </c>
      <c r="S3567">
        <f>IF('01_Вводные'!$B$234="Да",IF(IF('01_Вводные'!$B$296="Новый сезон",12-1&gt;MOD(MONTH('06_Сеть_и_дети'!S$3)-9,12),FALSE),'19_Расчет_аналитики'!S3455*CapacityAge12*'19_Расчет_аналитики'!$F$3247,0),0)</f>
        <v/>
      </c>
      <c r="T3567">
        <f>IF('01_Вводные'!$B$234="Да",IF(IF('01_Вводные'!$B$296="Новый сезон",12-1&gt;MOD(MONTH('06_Сеть_и_дети'!T$3)-9,12),FALSE),'19_Расчет_аналитики'!T3455*CapacityAge12*'19_Расчет_аналитики'!$F$3247,0),0)</f>
        <v/>
      </c>
      <c r="U3567">
        <f>IF('01_Вводные'!$B$234="Да",IF(IF('01_Вводные'!$B$296="Новый сезон",12-1&gt;MOD(MONTH('06_Сеть_и_дети'!U$3)-9,12),FALSE),'19_Расчет_аналитики'!U3455*CapacityAge12*'19_Расчет_аналитики'!$F$3247,0),0)</f>
        <v/>
      </c>
      <c r="V3567">
        <f>IF('01_Вводные'!$B$234="Да",IF(IF('01_Вводные'!$B$296="Новый сезон",12-1&gt;MOD(MONTH('06_Сеть_и_дети'!V$3)-9,12),FALSE),'19_Расчет_аналитики'!V3455*CapacityAge12*'19_Расчет_аналитики'!$F$3247,0),0)</f>
        <v/>
      </c>
      <c r="W3567">
        <f>IF('01_Вводные'!$B$234="Да",IF(IF('01_Вводные'!$B$296="Новый сезон",12-1&gt;MOD(MONTH('06_Сеть_и_дети'!W$3)-9,12),FALSE),'19_Расчет_аналитики'!W3455*CapacityAge12*'19_Расчет_аналитики'!$F$3247,0),0)</f>
        <v/>
      </c>
      <c r="X3567">
        <f>IF('01_Вводные'!$B$234="Да",IF(IF('01_Вводные'!$B$296="Новый сезон",12-1&gt;MOD(MONTH('06_Сеть_и_дети'!X$3)-9,12),FALSE),'19_Расчет_аналитики'!X3455*CapacityAge12*'19_Расчет_аналитики'!$F$3247,0),0)</f>
        <v/>
      </c>
      <c r="Y3567">
        <f>IF('01_Вводные'!$B$234="Да",IF(IF('01_Вводные'!$B$296="Новый сезон",12-1&gt;MOD(MONTH('06_Сеть_и_дети'!Y$3)-9,12),FALSE),'19_Расчет_аналитики'!Y3455*CapacityAge12*'19_Расчет_аналитики'!$F$3247,0),0)</f>
        <v/>
      </c>
      <c r="Z3567">
        <f>IF('01_Вводные'!$B$234="Да",IF(IF('01_Вводные'!$B$296="Новый сезон",12-1&gt;MOD(MONTH('06_Сеть_и_дети'!Z$3)-9,12),FALSE),'19_Расчет_аналитики'!Z3455*CapacityAge12*'19_Расчет_аналитики'!$F$3247,0),0)</f>
        <v/>
      </c>
      <c r="AA3567">
        <f>IF('01_Вводные'!$B$234="Да",IF(IF('01_Вводные'!$B$296="Новый сезон",12-1&gt;MOD(MONTH('06_Сеть_и_дети'!AA$3)-9,12),FALSE),'19_Расчет_аналитики'!AA3455*CapacityAge12*'19_Расчет_аналитики'!$F$3247,0),0)</f>
        <v/>
      </c>
      <c r="AB3567">
        <f>IF('01_Вводные'!$B$234="Да",IF(IF('01_Вводные'!$B$296="Новый сезон",12-1&gt;MOD(MONTH('06_Сеть_и_дети'!AB$3)-9,12),FALSE),'19_Расчет_аналитики'!AB3455*CapacityAge12*'19_Расчет_аналитики'!$F$3247,0),0)</f>
        <v/>
      </c>
      <c r="AC3567">
        <f>IF('01_Вводные'!$B$234="Да",IF(IF('01_Вводные'!$B$296="Новый сезон",12-1&gt;MOD(MONTH('06_Сеть_и_дети'!AC$3)-9,12),FALSE),'19_Расчет_аналитики'!AC3455*CapacityAge12*'19_Расчет_аналитики'!$F$3247,0),0)</f>
        <v/>
      </c>
      <c r="AD3567">
        <f>IF('01_Вводные'!$B$234="Да",IF(IF('01_Вводные'!$B$296="Новый сезон",12-1&gt;MOD(MONTH('06_Сеть_и_дети'!AD$3)-9,12),FALSE),'19_Расчет_аналитики'!AD3455*CapacityAge12*'19_Расчет_аналитики'!$F$3247,0),0)</f>
        <v/>
      </c>
      <c r="AE3567">
        <f>IF('01_Вводные'!$B$234="Да",IF(IF('01_Вводные'!$B$296="Новый сезон",12-1&gt;MOD(MONTH('06_Сеть_и_дети'!AE$3)-9,12),FALSE),'19_Расчет_аналитики'!AE3455*CapacityAge12*'19_Расчет_аналитики'!$F$3247,0),0)</f>
        <v/>
      </c>
      <c r="AF3567">
        <f>IF('01_Вводные'!$B$234="Да",IF(IF('01_Вводные'!$B$296="Новый сезон",12-1&gt;MOD(MONTH('06_Сеть_и_дети'!AF$3)-9,12),FALSE),'19_Расчет_аналитики'!AF3455*CapacityAge12*'19_Расчет_аналитики'!$F$3247,0),0)</f>
        <v/>
      </c>
      <c r="AG3567">
        <f>IF('01_Вводные'!$B$234="Да",IF(IF('01_Вводные'!$B$296="Новый сезон",12-1&gt;MOD(MONTH('06_Сеть_и_дети'!AG$3)-9,12),FALSE),'19_Расчет_аналитики'!AG3455*CapacityAge12*'19_Расчет_аналитики'!$F$3247,0),0)</f>
        <v/>
      </c>
      <c r="AH3567">
        <f>IF('01_Вводные'!$B$234="Да",IF(IF('01_Вводные'!$B$296="Новый сезон",12-1&gt;MOD(MONTH('06_Сеть_и_дети'!AH$3)-9,12),FALSE),'19_Расчет_аналитики'!AH3455*CapacityAge12*'19_Расчет_аналитики'!$F$3247,0),0)</f>
        <v/>
      </c>
      <c r="AI3567">
        <f>IF('01_Вводные'!$B$234="Да",IF(IF('01_Вводные'!$B$296="Новый сезон",12-1&gt;MOD(MONTH('06_Сеть_и_дети'!AI$3)-9,12),FALSE),'19_Расчет_аналитики'!AI3455*CapacityAge12*'19_Расчет_аналитики'!$F$3247,0),0)</f>
        <v/>
      </c>
      <c r="AJ3567">
        <f>IF('01_Вводные'!$B$234="Да",IF(IF('01_Вводные'!$B$296="Новый сезон",12-1&gt;MOD(MONTH('06_Сеть_и_дети'!AJ$3)-9,12),FALSE),'19_Расчет_аналитики'!AJ3455*CapacityAge12*'19_Расчет_аналитики'!$F$3247,0),0)</f>
        <v/>
      </c>
      <c r="AK3567">
        <f>IF('01_Вводные'!$B$234="Да",IF(IF('01_Вводные'!$B$296="Новый сезон",12-1&gt;MOD(MONTH('06_Сеть_и_дети'!AK$3)-9,12),FALSE),'19_Расчет_аналитики'!AK3455*CapacityAge12*'19_Расчет_аналитики'!$F$3247,0),0)</f>
        <v/>
      </c>
      <c r="AL3567">
        <f>IF('01_Вводные'!$B$234="Да",IF(IF('01_Вводные'!$B$296="Новый сезон",12-1&gt;MOD(MONTH('06_Сеть_и_дети'!AL$3)-9,12),FALSE),'19_Расчет_аналитики'!AL3455*CapacityAge12*'19_Расчет_аналитики'!$F$3247,0),0)</f>
        <v/>
      </c>
      <c r="AM3567">
        <f>IF('01_Вводные'!$B$234="Да",IF(IF('01_Вводные'!$B$296="Новый сезон",12-1&gt;MOD(MONTH('06_Сеть_и_дети'!AM$3)-9,12),FALSE),'19_Расчет_аналитики'!AM3455*CapacityAge12*'19_Расчет_аналитики'!$F$3247,0),0)</f>
        <v/>
      </c>
      <c r="AN3567">
        <f>IF('01_Вводные'!$B$234="Да",IF(IF('01_Вводные'!$B$296="Новый сезон",12-1&gt;MOD(MONTH('06_Сеть_и_дети'!AN$3)-9,12),FALSE),'19_Расчет_аналитики'!AN3455*CapacityAge12*'19_Расчет_аналитики'!$F$3247,0),0)</f>
        <v/>
      </c>
      <c r="AO3567">
        <f>IF('01_Вводные'!$B$234="Да",IF(IF('01_Вводные'!$B$296="Новый сезон",12-1&gt;MOD(MONTH('06_Сеть_и_дети'!AO$3)-9,12),FALSE),'19_Расчет_аналитики'!AO3455*CapacityAge12*'19_Расчет_аналитики'!$F$3247,0),0)</f>
        <v/>
      </c>
      <c r="AP3567">
        <f>IF('01_Вводные'!$B$234="Да",IF(IF('01_Вводные'!$B$296="Новый сезон",12-1&gt;MOD(MONTH('06_Сеть_и_дети'!AP$3)-9,12),FALSE),'19_Расчет_аналитики'!AP3455*CapacityAge12*'19_Расчет_аналитики'!$F$3247,0),0)</f>
        <v/>
      </c>
      <c r="AQ3567">
        <f>IF('01_Вводные'!$B$234="Да",IF(IF('01_Вводные'!$B$296="Новый сезон",12-1&gt;MOD(MONTH('06_Сеть_и_дети'!AQ$3)-9,12),FALSE),'19_Расчет_аналитики'!AQ3455*CapacityAge12*'19_Расчет_аналитики'!$F$3247,0),0)</f>
        <v/>
      </c>
      <c r="AR3567">
        <f>IF('01_Вводные'!$B$234="Да",IF(IF('01_Вводные'!$B$296="Новый сезон",12-1&gt;MOD(MONTH('06_Сеть_и_дети'!AR$3)-9,12),FALSE),'19_Расчет_аналитики'!AR3455*CapacityAge12*'19_Расчет_аналитики'!$F$3247,0),0)</f>
        <v/>
      </c>
      <c r="AS3567">
        <f>IF('01_Вводные'!$B$234="Да",IF(IF('01_Вводные'!$B$296="Новый сезон",12-1&gt;MOD(MONTH('06_Сеть_и_дети'!AS$3)-9,12),FALSE),'19_Расчет_аналитики'!AS3455*CapacityAge12*'19_Расчет_аналитики'!$F$3247,0),0)</f>
        <v/>
      </c>
      <c r="AT3567">
        <f>IF('01_Вводные'!$B$234="Да",IF(IF('01_Вводные'!$B$296="Новый сезон",12-1&gt;MOD(MONTH('06_Сеть_и_дети'!AT$3)-9,12),FALSE),'19_Расчет_аналитики'!AT3455*CapacityAge12*'19_Расчет_аналитики'!$F$3247,0),0)</f>
        <v/>
      </c>
      <c r="AU3567">
        <f>IF('01_Вводные'!$B$234="Да",IF(IF('01_Вводные'!$B$296="Новый сезон",12-1&gt;MOD(MONTH('06_Сеть_и_дети'!AU$3)-9,12),FALSE),'19_Расчет_аналитики'!AU3455*CapacityAge12*'19_Расчет_аналитики'!$F$3247,0),0)</f>
        <v/>
      </c>
      <c r="AV3567">
        <f>IF('01_Вводные'!$B$234="Да",IF(IF('01_Вводные'!$B$296="Новый сезон",12-1&gt;MOD(MONTH('06_Сеть_и_дети'!AV$3)-9,12),FALSE),'19_Расчет_аналитики'!AV3455*CapacityAge12*'19_Расчет_аналитики'!$F$3247,0),0)</f>
        <v/>
      </c>
      <c r="AW3567">
        <f>IF('01_Вводные'!$B$234="Да",IF(IF('01_Вводные'!$B$296="Новый сезон",12-1&gt;MOD(MONTH('06_Сеть_и_дети'!AW$3)-9,12),FALSE),'19_Расчет_аналитики'!AW3455*CapacityAge12*'19_Расчет_аналитики'!$F$3247,0),0)</f>
        <v/>
      </c>
      <c r="AX3567">
        <f>IF('01_Вводные'!$B$234="Да",IF(IF('01_Вводные'!$B$296="Новый сезон",12-1&gt;MOD(MONTH('06_Сеть_и_дети'!AX$3)-9,12),FALSE),'19_Расчет_аналитики'!AX3455*CapacityAge12*'19_Расчет_аналитики'!$F$3247,0),0)</f>
        <v/>
      </c>
      <c r="AY3567">
        <f>IF('01_Вводные'!$B$234="Да",IF(IF('01_Вводные'!$B$296="Новый сезон",12-1&gt;MOD(MONTH('06_Сеть_и_дети'!AY$3)-9,12),FALSE),'19_Расчет_аналитики'!AY3455*CapacityAge12*'19_Расчет_аналитики'!$F$3247,0),0)</f>
        <v/>
      </c>
      <c r="AZ3567">
        <f>IF('01_Вводные'!$B$234="Да",IF(IF('01_Вводные'!$B$296="Новый сезон",12-1&gt;MOD(MONTH('06_Сеть_и_дети'!AZ$3)-9,12),FALSE),'19_Расчет_аналитики'!AZ3455*CapacityAge12*'19_Расчет_аналитики'!$F$3247,0),0)</f>
        <v/>
      </c>
      <c r="BA3567">
        <f>IF('01_Вводные'!$B$234="Да",IF(IF('01_Вводные'!$B$296="Новый сезон",12-1&gt;MOD(MONTH('06_Сеть_и_дети'!BA$3)-9,12),FALSE),'19_Расчет_аналитики'!BA3455*CapacityAge12*'19_Расчет_аналитики'!$F$3247,0),0)</f>
        <v/>
      </c>
      <c r="BB3567">
        <f>IF('01_Вводные'!$B$234="Да",IF(IF('01_Вводные'!$B$296="Новый сезон",12-1&gt;MOD(MONTH('06_Сеть_и_дети'!BB$3)-9,12),FALSE),'19_Расчет_аналитики'!BB3455*CapacityAge12*'19_Расчет_аналитики'!$F$3247,0),0)</f>
        <v/>
      </c>
      <c r="BC3567">
        <f>IF('01_Вводные'!$B$234="Да",IF(IF('01_Вводные'!$B$296="Новый сезон",12-1&gt;MOD(MONTH('06_Сеть_и_дети'!BC$3)-9,12),FALSE),'19_Расчет_аналитики'!BC3455*CapacityAge12*'19_Расчет_аналитики'!$F$3247,0),0)</f>
        <v/>
      </c>
      <c r="BD3567">
        <f>IF('01_Вводные'!$B$234="Да",IF(IF('01_Вводные'!$B$296="Новый сезон",12-1&gt;MOD(MONTH('06_Сеть_и_дети'!BD$3)-9,12),FALSE),'19_Расчет_аналитики'!BD3455*CapacityAge12*'19_Расчет_аналитики'!$F$3247,0),0)</f>
        <v/>
      </c>
      <c r="BE3567">
        <f>IF('01_Вводные'!$B$234="Да",IF(IF('01_Вводные'!$B$296="Новый сезон",12-1&gt;MOD(MONTH('06_Сеть_и_дети'!BE$3)-9,12),FALSE),'19_Расчет_аналитики'!BE3455*CapacityAge12*'19_Расчет_аналитики'!$F$3247,0),0)</f>
        <v/>
      </c>
      <c r="BF3567">
        <f>IF('01_Вводные'!$B$234="Да",IF(IF('01_Вводные'!$B$296="Новый сезон",12-1&gt;MOD(MONTH('06_Сеть_и_дети'!BF$3)-9,12),FALSE),'19_Расчет_аналитики'!BF3455*CapacityAge12*'19_Расчет_аналитики'!$F$3247,0),0)</f>
        <v/>
      </c>
      <c r="BG3567">
        <f>IF('01_Вводные'!$B$234="Да",IF(IF('01_Вводные'!$B$296="Новый сезон",12-1&gt;MOD(MONTH('06_Сеть_и_дети'!BG$3)-9,12),FALSE),'19_Расчет_аналитики'!BG3455*CapacityAge12*'19_Расчет_аналитики'!$F$3247,0),0)</f>
        <v/>
      </c>
      <c r="BH3567">
        <f>IF('01_Вводные'!$B$234="Да",IF(IF('01_Вводные'!$B$296="Новый сезон",12-1&gt;MOD(MONTH('06_Сеть_и_дети'!BH$3)-9,12),FALSE),'19_Расчет_аналитики'!BH3455*CapacityAge12*'19_Расчет_аналитики'!$F$3247,0),0)</f>
        <v/>
      </c>
      <c r="BI3567">
        <f>IF('01_Вводные'!$B$234="Да",IF(IF('01_Вводные'!$B$296="Новый сезон",12-1&gt;MOD(MONTH('06_Сеть_и_дети'!BI$3)-9,12),FALSE),'19_Расчет_аналитики'!BI3455*CapacityAge12*'19_Расчет_аналитики'!$F$3247,0),0)</f>
        <v/>
      </c>
      <c r="BJ3567">
        <f>IF('01_Вводные'!$B$234="Да",IF(IF('01_Вводные'!$B$296="Новый сезон",12-1&gt;MOD(MONTH('06_Сеть_и_дети'!BJ$3)-9,12),FALSE),'19_Расчет_аналитики'!BJ3455*CapacityAge12*'19_Расчет_аналитики'!$F$3247,0),0)</f>
        <v/>
      </c>
      <c r="BK3567">
        <f>IF('01_Вводные'!$B$234="Да",IF(IF('01_Вводные'!$B$296="Новый сезон",12-1&gt;MOD(MONTH('06_Сеть_и_дети'!BK$3)-9,12),FALSE),'19_Расчет_аналитики'!BK3455*CapacityAge12*'19_Расчет_аналитики'!$F$3247,0),0)</f>
        <v/>
      </c>
      <c r="BL3567">
        <f>IF('01_Вводные'!$B$234="Да",IF(IF('01_Вводные'!$B$296="Новый сезон",12-1&gt;MOD(MONTH('06_Сеть_и_дети'!BL$3)-9,12),FALSE),'19_Расчет_аналитики'!BL3455*CapacityAge12*'19_Расчет_аналитики'!$F$3247,0),0)</f>
        <v/>
      </c>
      <c r="BM3567">
        <f>IF('01_Вводные'!$B$234="Да",IF(IF('01_Вводные'!$B$296="Новый сезон",12-1&gt;MOD(MONTH('06_Сеть_и_дети'!BM$3)-9,12),FALSE),'19_Расчет_аналитики'!BM3455*CapacityAge12*'19_Расчет_аналитики'!$F$3247,0),0)</f>
        <v/>
      </c>
      <c r="BN3567">
        <f>IF('01_Вводные'!$B$234="Да",IF(IF('01_Вводные'!$B$296="Новый сезон",12-1&gt;MOD(MONTH('06_Сеть_и_дети'!BN$3)-9,12),FALSE),'19_Расчет_аналитики'!BN3455*CapacityAge12*'19_Расчет_аналитики'!$F$3247,0),0)</f>
        <v/>
      </c>
      <c r="BO3567">
        <f>IF('01_Вводные'!$B$234="Да",IF(IF('01_Вводные'!$B$296="Новый сезон",12-1&gt;MOD(MONTH('06_Сеть_и_дети'!BO$3)-9,12),FALSE),'19_Расчет_аналитики'!BO3455*CapacityAge12*'19_Расчет_аналитики'!$F$3247,0),0)</f>
        <v/>
      </c>
    </row>
    <row r="3568">
      <c r="B3568">
        <f>IF('01_Вводные'!$B$234="Да",IF(IF('01_Вводные'!$B$296="Новый сезон",TRUE,TRUE),'06_Сеть_и_дети'!B65*CapacityAge13*'19_Расчет_аналитики'!$F$3247,0),0)</f>
        <v/>
      </c>
      <c r="C3568">
        <f>IF('01_Вводные'!$B$234="Да",IF(IF('01_Вводные'!$B$296="Новый сезон",TRUE,TRUE),'06_Сеть_и_дети'!C65*CapacityAge13*'19_Расчет_аналитики'!$F$3247,0),0)</f>
        <v/>
      </c>
      <c r="D3568">
        <f>IF('01_Вводные'!$B$234="Да",IF(IF('01_Вводные'!$B$296="Новый сезон",TRUE,TRUE),'06_Сеть_и_дети'!D65*CapacityAge13*'19_Расчет_аналитики'!$F$3247,0),0)</f>
        <v/>
      </c>
      <c r="E3568">
        <f>IF('01_Вводные'!$B$234="Да",IF(IF('01_Вводные'!$B$296="Новый сезон",TRUE,TRUE),'06_Сеть_и_дети'!E65*CapacityAge13*'19_Расчет_аналитики'!$F$3247,0),0)</f>
        <v/>
      </c>
      <c r="F3568">
        <f>IF('01_Вводные'!$B$234="Да",IF(IF('01_Вводные'!$B$296="Новый сезон",TRUE,TRUE),'06_Сеть_и_дети'!F65*CapacityAge13*'19_Расчет_аналитики'!$F$3247,0),0)</f>
        <v/>
      </c>
      <c r="G3568">
        <f>IF('01_Вводные'!$B$234="Да",IF(IF('01_Вводные'!$B$296="Новый сезон",TRUE,TRUE),'06_Сеть_и_дети'!G65*CapacityAge13*'19_Расчет_аналитики'!$F$3247,0),0)</f>
        <v/>
      </c>
      <c r="H3568">
        <f>IF('01_Вводные'!$B$234="Да",IF(IF('01_Вводные'!$B$296="Новый сезон",TRUE,TRUE),'06_Сеть_и_дети'!H65*CapacityAge13*'19_Расчет_аналитики'!$F$3247,0),0)</f>
        <v/>
      </c>
      <c r="I3568">
        <f>IF('01_Вводные'!$B$234="Да",IF(IF('01_Вводные'!$B$296="Новый сезон",TRUE,TRUE),'06_Сеть_и_дети'!I65*CapacityAge13*'19_Расчет_аналитики'!$F$3247,0),0)</f>
        <v/>
      </c>
      <c r="J3568">
        <f>IF('01_Вводные'!$B$234="Да",IF(IF('01_Вводные'!$B$296="Новый сезон",TRUE,TRUE),'06_Сеть_и_дети'!J65*CapacityAge13*'19_Расчет_аналитики'!$F$3247,0),0)</f>
        <v/>
      </c>
      <c r="K3568">
        <f>IF('01_Вводные'!$B$234="Да",IF(IF('01_Вводные'!$B$296="Новый сезон",TRUE,TRUE),'06_Сеть_и_дети'!K65*CapacityAge13*'19_Расчет_аналитики'!$F$3247,0),0)</f>
        <v/>
      </c>
      <c r="L3568">
        <f>IF('01_Вводные'!$B$234="Да",IF(IF('01_Вводные'!$B$296="Новый сезон",TRUE,TRUE),'06_Сеть_и_дети'!L65*CapacityAge13*'19_Расчет_аналитики'!$F$3247,0),0)</f>
        <v/>
      </c>
      <c r="M3568">
        <f>IF('01_Вводные'!$B$234="Да",IF(IF('01_Вводные'!$B$296="Новый сезон",TRUE,TRUE),'06_Сеть_и_дети'!M65*CapacityAge13*'19_Расчет_аналитики'!$F$3247,0),0)</f>
        <v/>
      </c>
      <c r="N3568">
        <f>IF('01_Вводные'!$B$234="Да",IF(IF('01_Вводные'!$B$296="Новый сезон",TRUE,TRUE),'19_Расчет_аналитики'!N3456*CapacityAge13*'19_Расчет_аналитики'!$F$3247,0),0)</f>
        <v/>
      </c>
      <c r="O3568">
        <f>IF('01_Вводные'!$B$234="Да",IF(IF('01_Вводные'!$B$296="Новый сезон",TRUE,TRUE),'19_Расчет_аналитики'!O3456*CapacityAge13*'19_Расчет_аналитики'!$F$3247,0),0)</f>
        <v/>
      </c>
      <c r="P3568">
        <f>IF('01_Вводные'!$B$234="Да",IF(IF('01_Вводные'!$B$296="Новый сезон",TRUE,TRUE),'19_Расчет_аналитики'!P3456*CapacityAge13*'19_Расчет_аналитики'!$F$3247,0),0)</f>
        <v/>
      </c>
      <c r="Q3568">
        <f>IF('01_Вводные'!$B$234="Да",IF(IF('01_Вводные'!$B$296="Новый сезон",TRUE,TRUE),'19_Расчет_аналитики'!Q3456*CapacityAge13*'19_Расчет_аналитики'!$F$3247,0),0)</f>
        <v/>
      </c>
      <c r="R3568">
        <f>IF('01_Вводные'!$B$234="Да",IF(IF('01_Вводные'!$B$296="Новый сезон",TRUE,TRUE),'19_Расчет_аналитики'!R3456*CapacityAge13*'19_Расчет_аналитики'!$F$3247,0),0)</f>
        <v/>
      </c>
      <c r="S3568">
        <f>IF('01_Вводные'!$B$234="Да",IF(IF('01_Вводные'!$B$296="Новый сезон",TRUE,TRUE),'19_Расчет_аналитики'!S3456*CapacityAge13*'19_Расчет_аналитики'!$F$3247,0),0)</f>
        <v/>
      </c>
      <c r="T3568">
        <f>IF('01_Вводные'!$B$234="Да",IF(IF('01_Вводные'!$B$296="Новый сезон",TRUE,TRUE),'19_Расчет_аналитики'!T3456*CapacityAge13*'19_Расчет_аналитики'!$F$3247,0),0)</f>
        <v/>
      </c>
      <c r="U3568">
        <f>IF('01_Вводные'!$B$234="Да",IF(IF('01_Вводные'!$B$296="Новый сезон",TRUE,TRUE),'19_Расчет_аналитики'!U3456*CapacityAge13*'19_Расчет_аналитики'!$F$3247,0),0)</f>
        <v/>
      </c>
      <c r="V3568">
        <f>IF('01_Вводные'!$B$234="Да",IF(IF('01_Вводные'!$B$296="Новый сезон",TRUE,TRUE),'19_Расчет_аналитики'!V3456*CapacityAge13*'19_Расчет_аналитики'!$F$3247,0),0)</f>
        <v/>
      </c>
      <c r="W3568">
        <f>IF('01_Вводные'!$B$234="Да",IF(IF('01_Вводные'!$B$296="Новый сезон",TRUE,TRUE),'19_Расчет_аналитики'!W3456*CapacityAge13*'19_Расчет_аналитики'!$F$3247,0),0)</f>
        <v/>
      </c>
      <c r="X3568">
        <f>IF('01_Вводные'!$B$234="Да",IF(IF('01_Вводные'!$B$296="Новый сезон",TRUE,TRUE),'19_Расчет_аналитики'!X3456*CapacityAge13*'19_Расчет_аналитики'!$F$3247,0),0)</f>
        <v/>
      </c>
      <c r="Y3568">
        <f>IF('01_Вводные'!$B$234="Да",IF(IF('01_Вводные'!$B$296="Новый сезон",TRUE,TRUE),'19_Расчет_аналитики'!Y3456*CapacityAge13*'19_Расчет_аналитики'!$F$3247,0),0)</f>
        <v/>
      </c>
      <c r="Z3568">
        <f>IF('01_Вводные'!$B$234="Да",IF(IF('01_Вводные'!$B$296="Новый сезон",TRUE,TRUE),'19_Расчет_аналитики'!Z3456*CapacityAge13*'19_Расчет_аналитики'!$F$3247,0),0)</f>
        <v/>
      </c>
      <c r="AA3568">
        <f>IF('01_Вводные'!$B$234="Да",IF(IF('01_Вводные'!$B$296="Новый сезон",TRUE,TRUE),'19_Расчет_аналитики'!AA3456*CapacityAge13*'19_Расчет_аналитики'!$F$3247,0),0)</f>
        <v/>
      </c>
      <c r="AB3568">
        <f>IF('01_Вводные'!$B$234="Да",IF(IF('01_Вводные'!$B$296="Новый сезон",TRUE,TRUE),'19_Расчет_аналитики'!AB3456*CapacityAge13*'19_Расчет_аналитики'!$F$3247,0),0)</f>
        <v/>
      </c>
      <c r="AC3568">
        <f>IF('01_Вводные'!$B$234="Да",IF(IF('01_Вводные'!$B$296="Новый сезон",TRUE,TRUE),'19_Расчет_аналитики'!AC3456*CapacityAge13*'19_Расчет_аналитики'!$F$3247,0),0)</f>
        <v/>
      </c>
      <c r="AD3568">
        <f>IF('01_Вводные'!$B$234="Да",IF(IF('01_Вводные'!$B$296="Новый сезон",TRUE,TRUE),'19_Расчет_аналитики'!AD3456*CapacityAge13*'19_Расчет_аналитики'!$F$3247,0),0)</f>
        <v/>
      </c>
      <c r="AE3568">
        <f>IF('01_Вводные'!$B$234="Да",IF(IF('01_Вводные'!$B$296="Новый сезон",TRUE,TRUE),'19_Расчет_аналитики'!AE3456*CapacityAge13*'19_Расчет_аналитики'!$F$3247,0),0)</f>
        <v/>
      </c>
      <c r="AF3568">
        <f>IF('01_Вводные'!$B$234="Да",IF(IF('01_Вводные'!$B$296="Новый сезон",TRUE,TRUE),'19_Расчет_аналитики'!AF3456*CapacityAge13*'19_Расчет_аналитики'!$F$3247,0),0)</f>
        <v/>
      </c>
      <c r="AG3568">
        <f>IF('01_Вводные'!$B$234="Да",IF(IF('01_Вводные'!$B$296="Новый сезон",TRUE,TRUE),'19_Расчет_аналитики'!AG3456*CapacityAge13*'19_Расчет_аналитики'!$F$3247,0),0)</f>
        <v/>
      </c>
      <c r="AH3568">
        <f>IF('01_Вводные'!$B$234="Да",IF(IF('01_Вводные'!$B$296="Новый сезон",TRUE,TRUE),'19_Расчет_аналитики'!AH3456*CapacityAge13*'19_Расчет_аналитики'!$F$3247,0),0)</f>
        <v/>
      </c>
      <c r="AI3568">
        <f>IF('01_Вводные'!$B$234="Да",IF(IF('01_Вводные'!$B$296="Новый сезон",TRUE,TRUE),'19_Расчет_аналитики'!AI3456*CapacityAge13*'19_Расчет_аналитики'!$F$3247,0),0)</f>
        <v/>
      </c>
      <c r="AJ3568">
        <f>IF('01_Вводные'!$B$234="Да",IF(IF('01_Вводные'!$B$296="Новый сезон",TRUE,TRUE),'19_Расчет_аналитики'!AJ3456*CapacityAge13*'19_Расчет_аналитики'!$F$3247,0),0)</f>
        <v/>
      </c>
      <c r="AK3568">
        <f>IF('01_Вводные'!$B$234="Да",IF(IF('01_Вводные'!$B$296="Новый сезон",TRUE,TRUE),'19_Расчет_аналитики'!AK3456*CapacityAge13*'19_Расчет_аналитики'!$F$3247,0),0)</f>
        <v/>
      </c>
      <c r="AL3568">
        <f>IF('01_Вводные'!$B$234="Да",IF(IF('01_Вводные'!$B$296="Новый сезон",TRUE,TRUE),'19_Расчет_аналитики'!AL3456*CapacityAge13*'19_Расчет_аналитики'!$F$3247,0),0)</f>
        <v/>
      </c>
      <c r="AM3568">
        <f>IF('01_Вводные'!$B$234="Да",IF(IF('01_Вводные'!$B$296="Новый сезон",TRUE,TRUE),'19_Расчет_аналитики'!AM3456*CapacityAge13*'19_Расчет_аналитики'!$F$3247,0),0)</f>
        <v/>
      </c>
      <c r="AN3568">
        <f>IF('01_Вводные'!$B$234="Да",IF(IF('01_Вводные'!$B$296="Новый сезон",TRUE,TRUE),'19_Расчет_аналитики'!AN3456*CapacityAge13*'19_Расчет_аналитики'!$F$3247,0),0)</f>
        <v/>
      </c>
      <c r="AO3568">
        <f>IF('01_Вводные'!$B$234="Да",IF(IF('01_Вводные'!$B$296="Новый сезон",TRUE,TRUE),'19_Расчет_аналитики'!AO3456*CapacityAge13*'19_Расчет_аналитики'!$F$3247,0),0)</f>
        <v/>
      </c>
      <c r="AP3568">
        <f>IF('01_Вводные'!$B$234="Да",IF(IF('01_Вводные'!$B$296="Новый сезон",TRUE,TRUE),'19_Расчет_аналитики'!AP3456*CapacityAge13*'19_Расчет_аналитики'!$F$3247,0),0)</f>
        <v/>
      </c>
      <c r="AQ3568">
        <f>IF('01_Вводные'!$B$234="Да",IF(IF('01_Вводные'!$B$296="Новый сезон",TRUE,TRUE),'19_Расчет_аналитики'!AQ3456*CapacityAge13*'19_Расчет_аналитики'!$F$3247,0),0)</f>
        <v/>
      </c>
      <c r="AR3568">
        <f>IF('01_Вводные'!$B$234="Да",IF(IF('01_Вводные'!$B$296="Новый сезон",TRUE,TRUE),'19_Расчет_аналитики'!AR3456*CapacityAge13*'19_Расчет_аналитики'!$F$3247,0),0)</f>
        <v/>
      </c>
      <c r="AS3568">
        <f>IF('01_Вводные'!$B$234="Да",IF(IF('01_Вводные'!$B$296="Новый сезон",TRUE,TRUE),'19_Расчет_аналитики'!AS3456*CapacityAge13*'19_Расчет_аналитики'!$F$3247,0),0)</f>
        <v/>
      </c>
      <c r="AT3568">
        <f>IF('01_Вводные'!$B$234="Да",IF(IF('01_Вводные'!$B$296="Новый сезон",TRUE,TRUE),'19_Расчет_аналитики'!AT3456*CapacityAge13*'19_Расчет_аналитики'!$F$3247,0),0)</f>
        <v/>
      </c>
      <c r="AU3568">
        <f>IF('01_Вводные'!$B$234="Да",IF(IF('01_Вводные'!$B$296="Новый сезон",TRUE,TRUE),'19_Расчет_аналитики'!AU3456*CapacityAge13*'19_Расчет_аналитики'!$F$3247,0),0)</f>
        <v/>
      </c>
      <c r="AV3568">
        <f>IF('01_Вводные'!$B$234="Да",IF(IF('01_Вводные'!$B$296="Новый сезон",TRUE,TRUE),'19_Расчет_аналитики'!AV3456*CapacityAge13*'19_Расчет_аналитики'!$F$3247,0),0)</f>
        <v/>
      </c>
      <c r="AW3568">
        <f>IF('01_Вводные'!$B$234="Да",IF(IF('01_Вводные'!$B$296="Новый сезон",TRUE,TRUE),'19_Расчет_аналитики'!AW3456*CapacityAge13*'19_Расчет_аналитики'!$F$3247,0),0)</f>
        <v/>
      </c>
      <c r="AX3568">
        <f>IF('01_Вводные'!$B$234="Да",IF(IF('01_Вводные'!$B$296="Новый сезон",TRUE,TRUE),'19_Расчет_аналитики'!AX3456*CapacityAge13*'19_Расчет_аналитики'!$F$3247,0),0)</f>
        <v/>
      </c>
      <c r="AY3568">
        <f>IF('01_Вводные'!$B$234="Да",IF(IF('01_Вводные'!$B$296="Новый сезон",TRUE,TRUE),'19_Расчет_аналитики'!AY3456*CapacityAge13*'19_Расчет_аналитики'!$F$3247,0),0)</f>
        <v/>
      </c>
      <c r="AZ3568">
        <f>IF('01_Вводные'!$B$234="Да",IF(IF('01_Вводные'!$B$296="Новый сезон",TRUE,TRUE),'19_Расчет_аналитики'!AZ3456*CapacityAge13*'19_Расчет_аналитики'!$F$3247,0),0)</f>
        <v/>
      </c>
      <c r="BA3568">
        <f>IF('01_Вводные'!$B$234="Да",IF(IF('01_Вводные'!$B$296="Новый сезон",TRUE,TRUE),'19_Расчет_аналитики'!BA3456*CapacityAge13*'19_Расчет_аналитики'!$F$3247,0),0)</f>
        <v/>
      </c>
      <c r="BB3568">
        <f>IF('01_Вводные'!$B$234="Да",IF(IF('01_Вводные'!$B$296="Новый сезон",TRUE,TRUE),'19_Расчет_аналитики'!BB3456*CapacityAge13*'19_Расчет_аналитики'!$F$3247,0),0)</f>
        <v/>
      </c>
      <c r="BC3568">
        <f>IF('01_Вводные'!$B$234="Да",IF(IF('01_Вводные'!$B$296="Новый сезон",TRUE,TRUE),'19_Расчет_аналитики'!BC3456*CapacityAge13*'19_Расчет_аналитики'!$F$3247,0),0)</f>
        <v/>
      </c>
      <c r="BD3568">
        <f>IF('01_Вводные'!$B$234="Да",IF(IF('01_Вводные'!$B$296="Новый сезон",TRUE,TRUE),'19_Расчет_аналитики'!BD3456*CapacityAge13*'19_Расчет_аналитики'!$F$3247,0),0)</f>
        <v/>
      </c>
      <c r="BE3568">
        <f>IF('01_Вводные'!$B$234="Да",IF(IF('01_Вводные'!$B$296="Новый сезон",TRUE,TRUE),'19_Расчет_аналитики'!BE3456*CapacityAge13*'19_Расчет_аналитики'!$F$3247,0),0)</f>
        <v/>
      </c>
      <c r="BF3568">
        <f>IF('01_Вводные'!$B$234="Да",IF(IF('01_Вводные'!$B$296="Новый сезон",TRUE,TRUE),'19_Расчет_аналитики'!BF3456*CapacityAge13*'19_Расчет_аналитики'!$F$3247,0),0)</f>
        <v/>
      </c>
      <c r="BG3568">
        <f>IF('01_Вводные'!$B$234="Да",IF(IF('01_Вводные'!$B$296="Новый сезон",TRUE,TRUE),'19_Расчет_аналитики'!BG3456*CapacityAge13*'19_Расчет_аналитики'!$F$3247,0),0)</f>
        <v/>
      </c>
      <c r="BH3568">
        <f>IF('01_Вводные'!$B$234="Да",IF(IF('01_Вводные'!$B$296="Новый сезон",TRUE,TRUE),'19_Расчет_аналитики'!BH3456*CapacityAge13*'19_Расчет_аналитики'!$F$3247,0),0)</f>
        <v/>
      </c>
      <c r="BI3568">
        <f>IF('01_Вводные'!$B$234="Да",IF(IF('01_Вводные'!$B$296="Новый сезон",TRUE,TRUE),'19_Расчет_аналитики'!BI3456*CapacityAge13*'19_Расчет_аналитики'!$F$3247,0),0)</f>
        <v/>
      </c>
      <c r="BJ3568">
        <f>IF('01_Вводные'!$B$234="Да",IF(IF('01_Вводные'!$B$296="Новый сезон",TRUE,TRUE),'19_Расчет_аналитики'!BJ3456*CapacityAge13*'19_Расчет_аналитики'!$F$3247,0),0)</f>
        <v/>
      </c>
      <c r="BK3568">
        <f>IF('01_Вводные'!$B$234="Да",IF(IF('01_Вводные'!$B$296="Новый сезон",TRUE,TRUE),'19_Расчет_аналитики'!BK3456*CapacityAge13*'19_Расчет_аналитики'!$F$3247,0),0)</f>
        <v/>
      </c>
      <c r="BL3568">
        <f>IF('01_Вводные'!$B$234="Да",IF(IF('01_Вводные'!$B$296="Новый сезон",TRUE,TRUE),'19_Расчет_аналитики'!BL3456*CapacityAge13*'19_Расчет_аналитики'!$F$3247,0),0)</f>
        <v/>
      </c>
      <c r="BM3568">
        <f>IF('01_Вводные'!$B$234="Да",IF(IF('01_Вводные'!$B$296="Новый сезон",TRUE,TRUE),'19_Расчет_аналитики'!BM3456*CapacityAge13*'19_Расчет_аналитики'!$F$3247,0),0)</f>
        <v/>
      </c>
      <c r="BN3568">
        <f>IF('01_Вводные'!$B$234="Да",IF(IF('01_Вводные'!$B$296="Новый сезон",TRUE,TRUE),'19_Расчет_аналитики'!BN3456*CapacityAge13*'19_Расчет_аналитики'!$F$3247,0),0)</f>
        <v/>
      </c>
      <c r="BO3568">
        <f>IF('01_Вводные'!$B$234="Да",IF(IF('01_Вводные'!$B$296="Новый сезон",TRUE,TRUE),'19_Расчет_аналитики'!BO3456*CapacityAge13*'19_Расчет_аналитики'!$F$3247,0),0)</f>
        <v/>
      </c>
    </row>
    <row r="3569">
      <c r="B3569">
        <f>IF('01_Вводные'!$B$234="Да",IF(IF('01_Вводные'!$B$296="Новый сезон",TRUE,TRUE),'06_Сеть_и_дети'!B66*CapacityAge14*'19_Расчет_аналитики'!$F$3247,0),0)</f>
        <v/>
      </c>
      <c r="C3569">
        <f>IF('01_Вводные'!$B$234="Да",IF(IF('01_Вводные'!$B$296="Новый сезон",TRUE,TRUE),'06_Сеть_и_дети'!C66*CapacityAge14*'19_Расчет_аналитики'!$F$3247,0),0)</f>
        <v/>
      </c>
      <c r="D3569">
        <f>IF('01_Вводные'!$B$234="Да",IF(IF('01_Вводные'!$B$296="Новый сезон",TRUE,TRUE),'06_Сеть_и_дети'!D66*CapacityAge14*'19_Расчет_аналитики'!$F$3247,0),0)</f>
        <v/>
      </c>
      <c r="E3569">
        <f>IF('01_Вводные'!$B$234="Да",IF(IF('01_Вводные'!$B$296="Новый сезон",TRUE,TRUE),'06_Сеть_и_дети'!E66*CapacityAge14*'19_Расчет_аналитики'!$F$3247,0),0)</f>
        <v/>
      </c>
      <c r="F3569">
        <f>IF('01_Вводные'!$B$234="Да",IF(IF('01_Вводные'!$B$296="Новый сезон",TRUE,TRUE),'06_Сеть_и_дети'!F66*CapacityAge14*'19_Расчет_аналитики'!$F$3247,0),0)</f>
        <v/>
      </c>
      <c r="G3569">
        <f>IF('01_Вводные'!$B$234="Да",IF(IF('01_Вводные'!$B$296="Новый сезон",TRUE,TRUE),'06_Сеть_и_дети'!G66*CapacityAge14*'19_Расчет_аналитики'!$F$3247,0),0)</f>
        <v/>
      </c>
      <c r="H3569">
        <f>IF('01_Вводные'!$B$234="Да",IF(IF('01_Вводные'!$B$296="Новый сезон",TRUE,TRUE),'06_Сеть_и_дети'!H66*CapacityAge14*'19_Расчет_аналитики'!$F$3247,0),0)</f>
        <v/>
      </c>
      <c r="I3569">
        <f>IF('01_Вводные'!$B$234="Да",IF(IF('01_Вводные'!$B$296="Новый сезон",TRUE,TRUE),'06_Сеть_и_дети'!I66*CapacityAge14*'19_Расчет_аналитики'!$F$3247,0),0)</f>
        <v/>
      </c>
      <c r="J3569">
        <f>IF('01_Вводные'!$B$234="Да",IF(IF('01_Вводные'!$B$296="Новый сезон",TRUE,TRUE),'06_Сеть_и_дети'!J66*CapacityAge14*'19_Расчет_аналитики'!$F$3247,0),0)</f>
        <v/>
      </c>
      <c r="K3569">
        <f>IF('01_Вводные'!$B$234="Да",IF(IF('01_Вводные'!$B$296="Новый сезон",TRUE,TRUE),'06_Сеть_и_дети'!K66*CapacityAge14*'19_Расчет_аналитики'!$F$3247,0),0)</f>
        <v/>
      </c>
      <c r="L3569">
        <f>IF('01_Вводные'!$B$234="Да",IF(IF('01_Вводные'!$B$296="Новый сезон",TRUE,TRUE),'06_Сеть_и_дети'!L66*CapacityAge14*'19_Расчет_аналитики'!$F$3247,0),0)</f>
        <v/>
      </c>
      <c r="M3569">
        <f>IF('01_Вводные'!$B$234="Да",IF(IF('01_Вводные'!$B$296="Новый сезон",TRUE,TRUE),'06_Сеть_и_дети'!M66*CapacityAge14*'19_Расчет_аналитики'!$F$3247,0),0)</f>
        <v/>
      </c>
      <c r="N3569">
        <f>IF('01_Вводные'!$B$234="Да",IF(IF('01_Вводные'!$B$296="Новый сезон",TRUE,TRUE),'06_Сеть_и_дети'!N66*CapacityAge14*'19_Расчет_аналитики'!$F$3247,0),0)</f>
        <v/>
      </c>
      <c r="O3569">
        <f>IF('01_Вводные'!$B$234="Да",IF(IF('01_Вводные'!$B$296="Новый сезон",TRUE,TRUE),'19_Расчет_аналитики'!O3457*CapacityAge14*'19_Расчет_аналитики'!$F$3247,0),0)</f>
        <v/>
      </c>
      <c r="P3569">
        <f>IF('01_Вводные'!$B$234="Да",IF(IF('01_Вводные'!$B$296="Новый сезон",TRUE,TRUE),'19_Расчет_аналитики'!P3457*CapacityAge14*'19_Расчет_аналитики'!$F$3247,0),0)</f>
        <v/>
      </c>
      <c r="Q3569">
        <f>IF('01_Вводные'!$B$234="Да",IF(IF('01_Вводные'!$B$296="Новый сезон",TRUE,TRUE),'19_Расчет_аналитики'!Q3457*CapacityAge14*'19_Расчет_аналитики'!$F$3247,0),0)</f>
        <v/>
      </c>
      <c r="R3569">
        <f>IF('01_Вводные'!$B$234="Да",IF(IF('01_Вводные'!$B$296="Новый сезон",TRUE,TRUE),'19_Расчет_аналитики'!R3457*CapacityAge14*'19_Расчет_аналитики'!$F$3247,0),0)</f>
        <v/>
      </c>
      <c r="S3569">
        <f>IF('01_Вводные'!$B$234="Да",IF(IF('01_Вводные'!$B$296="Новый сезон",TRUE,TRUE),'19_Расчет_аналитики'!S3457*CapacityAge14*'19_Расчет_аналитики'!$F$3247,0),0)</f>
        <v/>
      </c>
      <c r="T3569">
        <f>IF('01_Вводные'!$B$234="Да",IF(IF('01_Вводные'!$B$296="Новый сезон",TRUE,TRUE),'19_Расчет_аналитики'!T3457*CapacityAge14*'19_Расчет_аналитики'!$F$3247,0),0)</f>
        <v/>
      </c>
      <c r="U3569">
        <f>IF('01_Вводные'!$B$234="Да",IF(IF('01_Вводные'!$B$296="Новый сезон",TRUE,TRUE),'19_Расчет_аналитики'!U3457*CapacityAge14*'19_Расчет_аналитики'!$F$3247,0),0)</f>
        <v/>
      </c>
      <c r="V3569">
        <f>IF('01_Вводные'!$B$234="Да",IF(IF('01_Вводные'!$B$296="Новый сезон",TRUE,TRUE),'19_Расчет_аналитики'!V3457*CapacityAge14*'19_Расчет_аналитики'!$F$3247,0),0)</f>
        <v/>
      </c>
      <c r="W3569">
        <f>IF('01_Вводные'!$B$234="Да",IF(IF('01_Вводные'!$B$296="Новый сезон",TRUE,TRUE),'19_Расчет_аналитики'!W3457*CapacityAge14*'19_Расчет_аналитики'!$F$3247,0),0)</f>
        <v/>
      </c>
      <c r="X3569">
        <f>IF('01_Вводные'!$B$234="Да",IF(IF('01_Вводные'!$B$296="Новый сезон",TRUE,TRUE),'19_Расчет_аналитики'!X3457*CapacityAge14*'19_Расчет_аналитики'!$F$3247,0),0)</f>
        <v/>
      </c>
      <c r="Y3569">
        <f>IF('01_Вводные'!$B$234="Да",IF(IF('01_Вводные'!$B$296="Новый сезон",TRUE,TRUE),'19_Расчет_аналитики'!Y3457*CapacityAge14*'19_Расчет_аналитики'!$F$3247,0),0)</f>
        <v/>
      </c>
      <c r="Z3569">
        <f>IF('01_Вводные'!$B$234="Да",IF(IF('01_Вводные'!$B$296="Новый сезон",TRUE,TRUE),'19_Расчет_аналитики'!Z3457*CapacityAge14*'19_Расчет_аналитики'!$F$3247,0),0)</f>
        <v/>
      </c>
      <c r="AA3569">
        <f>IF('01_Вводные'!$B$234="Да",IF(IF('01_Вводные'!$B$296="Новый сезон",TRUE,TRUE),'19_Расчет_аналитики'!AA3457*CapacityAge14*'19_Расчет_аналитики'!$F$3247,0),0)</f>
        <v/>
      </c>
      <c r="AB3569">
        <f>IF('01_Вводные'!$B$234="Да",IF(IF('01_Вводные'!$B$296="Новый сезон",TRUE,TRUE),'19_Расчет_аналитики'!AB3457*CapacityAge14*'19_Расчет_аналитики'!$F$3247,0),0)</f>
        <v/>
      </c>
      <c r="AC3569">
        <f>IF('01_Вводные'!$B$234="Да",IF(IF('01_Вводные'!$B$296="Новый сезон",TRUE,TRUE),'19_Расчет_аналитики'!AC3457*CapacityAge14*'19_Расчет_аналитики'!$F$3247,0),0)</f>
        <v/>
      </c>
      <c r="AD3569">
        <f>IF('01_Вводные'!$B$234="Да",IF(IF('01_Вводные'!$B$296="Новый сезон",TRUE,TRUE),'19_Расчет_аналитики'!AD3457*CapacityAge14*'19_Расчет_аналитики'!$F$3247,0),0)</f>
        <v/>
      </c>
      <c r="AE3569">
        <f>IF('01_Вводные'!$B$234="Да",IF(IF('01_Вводные'!$B$296="Новый сезон",TRUE,TRUE),'19_Расчет_аналитики'!AE3457*CapacityAge14*'19_Расчет_аналитики'!$F$3247,0),0)</f>
        <v/>
      </c>
      <c r="AF3569">
        <f>IF('01_Вводные'!$B$234="Да",IF(IF('01_Вводные'!$B$296="Новый сезон",TRUE,TRUE),'19_Расчет_аналитики'!AF3457*CapacityAge14*'19_Расчет_аналитики'!$F$3247,0),0)</f>
        <v/>
      </c>
      <c r="AG3569">
        <f>IF('01_Вводные'!$B$234="Да",IF(IF('01_Вводные'!$B$296="Новый сезон",TRUE,TRUE),'19_Расчет_аналитики'!AG3457*CapacityAge14*'19_Расчет_аналитики'!$F$3247,0),0)</f>
        <v/>
      </c>
      <c r="AH3569">
        <f>IF('01_Вводные'!$B$234="Да",IF(IF('01_Вводные'!$B$296="Новый сезон",TRUE,TRUE),'19_Расчет_аналитики'!AH3457*CapacityAge14*'19_Расчет_аналитики'!$F$3247,0),0)</f>
        <v/>
      </c>
      <c r="AI3569">
        <f>IF('01_Вводные'!$B$234="Да",IF(IF('01_Вводные'!$B$296="Новый сезон",TRUE,TRUE),'19_Расчет_аналитики'!AI3457*CapacityAge14*'19_Расчет_аналитики'!$F$3247,0),0)</f>
        <v/>
      </c>
      <c r="AJ3569">
        <f>IF('01_Вводные'!$B$234="Да",IF(IF('01_Вводные'!$B$296="Новый сезон",TRUE,TRUE),'19_Расчет_аналитики'!AJ3457*CapacityAge14*'19_Расчет_аналитики'!$F$3247,0),0)</f>
        <v/>
      </c>
      <c r="AK3569">
        <f>IF('01_Вводные'!$B$234="Да",IF(IF('01_Вводные'!$B$296="Новый сезон",TRUE,TRUE),'19_Расчет_аналитики'!AK3457*CapacityAge14*'19_Расчет_аналитики'!$F$3247,0),0)</f>
        <v/>
      </c>
      <c r="AL3569">
        <f>IF('01_Вводные'!$B$234="Да",IF(IF('01_Вводные'!$B$296="Новый сезон",TRUE,TRUE),'19_Расчет_аналитики'!AL3457*CapacityAge14*'19_Расчет_аналитики'!$F$3247,0),0)</f>
        <v/>
      </c>
      <c r="AM3569">
        <f>IF('01_Вводные'!$B$234="Да",IF(IF('01_Вводные'!$B$296="Новый сезон",TRUE,TRUE),'19_Расчет_аналитики'!AM3457*CapacityAge14*'19_Расчет_аналитики'!$F$3247,0),0)</f>
        <v/>
      </c>
      <c r="AN3569">
        <f>IF('01_Вводные'!$B$234="Да",IF(IF('01_Вводные'!$B$296="Новый сезон",TRUE,TRUE),'19_Расчет_аналитики'!AN3457*CapacityAge14*'19_Расчет_аналитики'!$F$3247,0),0)</f>
        <v/>
      </c>
      <c r="AO3569">
        <f>IF('01_Вводные'!$B$234="Да",IF(IF('01_Вводные'!$B$296="Новый сезон",TRUE,TRUE),'19_Расчет_аналитики'!AO3457*CapacityAge14*'19_Расчет_аналитики'!$F$3247,0),0)</f>
        <v/>
      </c>
      <c r="AP3569">
        <f>IF('01_Вводные'!$B$234="Да",IF(IF('01_Вводные'!$B$296="Новый сезон",TRUE,TRUE),'19_Расчет_аналитики'!AP3457*CapacityAge14*'19_Расчет_аналитики'!$F$3247,0),0)</f>
        <v/>
      </c>
      <c r="AQ3569">
        <f>IF('01_Вводные'!$B$234="Да",IF(IF('01_Вводные'!$B$296="Новый сезон",TRUE,TRUE),'19_Расчет_аналитики'!AQ3457*CapacityAge14*'19_Расчет_аналитики'!$F$3247,0),0)</f>
        <v/>
      </c>
      <c r="AR3569">
        <f>IF('01_Вводные'!$B$234="Да",IF(IF('01_Вводные'!$B$296="Новый сезон",TRUE,TRUE),'19_Расчет_аналитики'!AR3457*CapacityAge14*'19_Расчет_аналитики'!$F$3247,0),0)</f>
        <v/>
      </c>
      <c r="AS3569">
        <f>IF('01_Вводные'!$B$234="Да",IF(IF('01_Вводные'!$B$296="Новый сезон",TRUE,TRUE),'19_Расчет_аналитики'!AS3457*CapacityAge14*'19_Расчет_аналитики'!$F$3247,0),0)</f>
        <v/>
      </c>
      <c r="AT3569">
        <f>IF('01_Вводные'!$B$234="Да",IF(IF('01_Вводные'!$B$296="Новый сезон",TRUE,TRUE),'19_Расчет_аналитики'!AT3457*CapacityAge14*'19_Расчет_аналитики'!$F$3247,0),0)</f>
        <v/>
      </c>
      <c r="AU3569">
        <f>IF('01_Вводные'!$B$234="Да",IF(IF('01_Вводные'!$B$296="Новый сезон",TRUE,TRUE),'19_Расчет_аналитики'!AU3457*CapacityAge14*'19_Расчет_аналитики'!$F$3247,0),0)</f>
        <v/>
      </c>
      <c r="AV3569">
        <f>IF('01_Вводные'!$B$234="Да",IF(IF('01_Вводные'!$B$296="Новый сезон",TRUE,TRUE),'19_Расчет_аналитики'!AV3457*CapacityAge14*'19_Расчет_аналитики'!$F$3247,0),0)</f>
        <v/>
      </c>
      <c r="AW3569">
        <f>IF('01_Вводные'!$B$234="Да",IF(IF('01_Вводные'!$B$296="Новый сезон",TRUE,TRUE),'19_Расчет_аналитики'!AW3457*CapacityAge14*'19_Расчет_аналитики'!$F$3247,0),0)</f>
        <v/>
      </c>
      <c r="AX3569">
        <f>IF('01_Вводные'!$B$234="Да",IF(IF('01_Вводные'!$B$296="Новый сезон",TRUE,TRUE),'19_Расчет_аналитики'!AX3457*CapacityAge14*'19_Расчет_аналитики'!$F$3247,0),0)</f>
        <v/>
      </c>
      <c r="AY3569">
        <f>IF('01_Вводные'!$B$234="Да",IF(IF('01_Вводные'!$B$296="Новый сезон",TRUE,TRUE),'19_Расчет_аналитики'!AY3457*CapacityAge14*'19_Расчет_аналитики'!$F$3247,0),0)</f>
        <v/>
      </c>
      <c r="AZ3569">
        <f>IF('01_Вводные'!$B$234="Да",IF(IF('01_Вводные'!$B$296="Новый сезон",TRUE,TRUE),'19_Расчет_аналитики'!AZ3457*CapacityAge14*'19_Расчет_аналитики'!$F$3247,0),0)</f>
        <v/>
      </c>
      <c r="BA3569">
        <f>IF('01_Вводные'!$B$234="Да",IF(IF('01_Вводные'!$B$296="Новый сезон",TRUE,TRUE),'19_Расчет_аналитики'!BA3457*CapacityAge14*'19_Расчет_аналитики'!$F$3247,0),0)</f>
        <v/>
      </c>
      <c r="BB3569">
        <f>IF('01_Вводные'!$B$234="Да",IF(IF('01_Вводные'!$B$296="Новый сезон",TRUE,TRUE),'19_Расчет_аналитики'!BB3457*CapacityAge14*'19_Расчет_аналитики'!$F$3247,0),0)</f>
        <v/>
      </c>
      <c r="BC3569">
        <f>IF('01_Вводные'!$B$234="Да",IF(IF('01_Вводные'!$B$296="Новый сезон",TRUE,TRUE),'19_Расчет_аналитики'!BC3457*CapacityAge14*'19_Расчет_аналитики'!$F$3247,0),0)</f>
        <v/>
      </c>
      <c r="BD3569">
        <f>IF('01_Вводные'!$B$234="Да",IF(IF('01_Вводные'!$B$296="Новый сезон",TRUE,TRUE),'19_Расчет_аналитики'!BD3457*CapacityAge14*'19_Расчет_аналитики'!$F$3247,0),0)</f>
        <v/>
      </c>
      <c r="BE3569">
        <f>IF('01_Вводные'!$B$234="Да",IF(IF('01_Вводные'!$B$296="Новый сезон",TRUE,TRUE),'19_Расчет_аналитики'!BE3457*CapacityAge14*'19_Расчет_аналитики'!$F$3247,0),0)</f>
        <v/>
      </c>
      <c r="BF3569">
        <f>IF('01_Вводные'!$B$234="Да",IF(IF('01_Вводные'!$B$296="Новый сезон",TRUE,TRUE),'19_Расчет_аналитики'!BF3457*CapacityAge14*'19_Расчет_аналитики'!$F$3247,0),0)</f>
        <v/>
      </c>
      <c r="BG3569">
        <f>IF('01_Вводные'!$B$234="Да",IF(IF('01_Вводные'!$B$296="Новый сезон",TRUE,TRUE),'19_Расчет_аналитики'!BG3457*CapacityAge14*'19_Расчет_аналитики'!$F$3247,0),0)</f>
        <v/>
      </c>
      <c r="BH3569">
        <f>IF('01_Вводные'!$B$234="Да",IF(IF('01_Вводные'!$B$296="Новый сезон",TRUE,TRUE),'19_Расчет_аналитики'!BH3457*CapacityAge14*'19_Расчет_аналитики'!$F$3247,0),0)</f>
        <v/>
      </c>
      <c r="BI3569">
        <f>IF('01_Вводные'!$B$234="Да",IF(IF('01_Вводные'!$B$296="Новый сезон",TRUE,TRUE),'19_Расчет_аналитики'!BI3457*CapacityAge14*'19_Расчет_аналитики'!$F$3247,0),0)</f>
        <v/>
      </c>
      <c r="BJ3569">
        <f>IF('01_Вводные'!$B$234="Да",IF(IF('01_Вводные'!$B$296="Новый сезон",TRUE,TRUE),'19_Расчет_аналитики'!BJ3457*CapacityAge14*'19_Расчет_аналитики'!$F$3247,0),0)</f>
        <v/>
      </c>
      <c r="BK3569">
        <f>IF('01_Вводные'!$B$234="Да",IF(IF('01_Вводные'!$B$296="Новый сезон",TRUE,TRUE),'19_Расчет_аналитики'!BK3457*CapacityAge14*'19_Расчет_аналитики'!$F$3247,0),0)</f>
        <v/>
      </c>
      <c r="BL3569">
        <f>IF('01_Вводные'!$B$234="Да",IF(IF('01_Вводные'!$B$296="Новый сезон",TRUE,TRUE),'19_Расчет_аналитики'!BL3457*CapacityAge14*'19_Расчет_аналитики'!$F$3247,0),0)</f>
        <v/>
      </c>
      <c r="BM3569">
        <f>IF('01_Вводные'!$B$234="Да",IF(IF('01_Вводные'!$B$296="Новый сезон",TRUE,TRUE),'19_Расчет_аналитики'!BM3457*CapacityAge14*'19_Расчет_аналитики'!$F$3247,0),0)</f>
        <v/>
      </c>
      <c r="BN3569">
        <f>IF('01_Вводные'!$B$234="Да",IF(IF('01_Вводные'!$B$296="Новый сезон",TRUE,TRUE),'19_Расчет_аналитики'!BN3457*CapacityAge14*'19_Расчет_аналитики'!$F$3247,0),0)</f>
        <v/>
      </c>
      <c r="BO3569">
        <f>IF('01_Вводные'!$B$234="Да",IF(IF('01_Вводные'!$B$296="Новый сезон",TRUE,TRUE),'19_Расчет_аналитики'!BO3457*CapacityAge14*'19_Расчет_аналитики'!$F$3247,0),0)</f>
        <v/>
      </c>
    </row>
    <row r="3570">
      <c r="B3570">
        <f>IF('01_Вводные'!$B$234="Да",IF(IF('01_Вводные'!$B$296="Новый сезон",TRUE,TRUE),'06_Сеть_и_дети'!B67*CapacityAge15*'19_Расчет_аналитики'!$F$3247,0),0)</f>
        <v/>
      </c>
      <c r="C3570">
        <f>IF('01_Вводные'!$B$234="Да",IF(IF('01_Вводные'!$B$296="Новый сезон",TRUE,TRUE),'06_Сеть_и_дети'!C67*CapacityAge15*'19_Расчет_аналитики'!$F$3247,0),0)</f>
        <v/>
      </c>
      <c r="D3570">
        <f>IF('01_Вводные'!$B$234="Да",IF(IF('01_Вводные'!$B$296="Новый сезон",TRUE,TRUE),'06_Сеть_и_дети'!D67*CapacityAge15*'19_Расчет_аналитики'!$F$3247,0),0)</f>
        <v/>
      </c>
      <c r="E3570">
        <f>IF('01_Вводные'!$B$234="Да",IF(IF('01_Вводные'!$B$296="Новый сезон",TRUE,TRUE),'06_Сеть_и_дети'!E67*CapacityAge15*'19_Расчет_аналитики'!$F$3247,0),0)</f>
        <v/>
      </c>
      <c r="F3570">
        <f>IF('01_Вводные'!$B$234="Да",IF(IF('01_Вводные'!$B$296="Новый сезон",TRUE,TRUE),'06_Сеть_и_дети'!F67*CapacityAge15*'19_Расчет_аналитики'!$F$3247,0),0)</f>
        <v/>
      </c>
      <c r="G3570">
        <f>IF('01_Вводные'!$B$234="Да",IF(IF('01_Вводные'!$B$296="Новый сезон",TRUE,TRUE),'06_Сеть_и_дети'!G67*CapacityAge15*'19_Расчет_аналитики'!$F$3247,0),0)</f>
        <v/>
      </c>
      <c r="H3570">
        <f>IF('01_Вводные'!$B$234="Да",IF(IF('01_Вводные'!$B$296="Новый сезон",TRUE,TRUE),'06_Сеть_и_дети'!H67*CapacityAge15*'19_Расчет_аналитики'!$F$3247,0),0)</f>
        <v/>
      </c>
      <c r="I3570">
        <f>IF('01_Вводные'!$B$234="Да",IF(IF('01_Вводные'!$B$296="Новый сезон",TRUE,TRUE),'06_Сеть_и_дети'!I67*CapacityAge15*'19_Расчет_аналитики'!$F$3247,0),0)</f>
        <v/>
      </c>
      <c r="J3570">
        <f>IF('01_Вводные'!$B$234="Да",IF(IF('01_Вводные'!$B$296="Новый сезон",TRUE,TRUE),'06_Сеть_и_дети'!J67*CapacityAge15*'19_Расчет_аналитики'!$F$3247,0),0)</f>
        <v/>
      </c>
      <c r="K3570">
        <f>IF('01_Вводные'!$B$234="Да",IF(IF('01_Вводные'!$B$296="Новый сезон",TRUE,TRUE),'06_Сеть_и_дети'!K67*CapacityAge15*'19_Расчет_аналитики'!$F$3247,0),0)</f>
        <v/>
      </c>
      <c r="L3570">
        <f>IF('01_Вводные'!$B$234="Да",IF(IF('01_Вводные'!$B$296="Новый сезон",TRUE,TRUE),'06_Сеть_и_дети'!L67*CapacityAge15*'19_Расчет_аналитики'!$F$3247,0),0)</f>
        <v/>
      </c>
      <c r="M3570">
        <f>IF('01_Вводные'!$B$234="Да",IF(IF('01_Вводные'!$B$296="Новый сезон",TRUE,TRUE),'06_Сеть_и_дети'!M67*CapacityAge15*'19_Расчет_аналитики'!$F$3247,0),0)</f>
        <v/>
      </c>
      <c r="N3570">
        <f>IF('01_Вводные'!$B$234="Да",IF(IF('01_Вводные'!$B$296="Новый сезон",TRUE,TRUE),'06_Сеть_и_дети'!N67*CapacityAge15*'19_Расчет_аналитики'!$F$3247,0),0)</f>
        <v/>
      </c>
      <c r="O3570">
        <f>IF('01_Вводные'!$B$234="Да",IF(IF('01_Вводные'!$B$296="Новый сезон",TRUE,TRUE),'06_Сеть_и_дети'!O67*CapacityAge15*'19_Расчет_аналитики'!$F$3247,0),0)</f>
        <v/>
      </c>
      <c r="P3570">
        <f>IF('01_Вводные'!$B$234="Да",IF(IF('01_Вводные'!$B$296="Новый сезон",TRUE,TRUE),'19_Расчет_аналитики'!P3458*CapacityAge15*'19_Расчет_аналитики'!$F$3247,0),0)</f>
        <v/>
      </c>
      <c r="Q3570">
        <f>IF('01_Вводные'!$B$234="Да",IF(IF('01_Вводные'!$B$296="Новый сезон",TRUE,TRUE),'19_Расчет_аналитики'!Q3458*CapacityAge15*'19_Расчет_аналитики'!$F$3247,0),0)</f>
        <v/>
      </c>
      <c r="R3570">
        <f>IF('01_Вводные'!$B$234="Да",IF(IF('01_Вводные'!$B$296="Новый сезон",TRUE,TRUE),'19_Расчет_аналитики'!R3458*CapacityAge15*'19_Расчет_аналитики'!$F$3247,0),0)</f>
        <v/>
      </c>
      <c r="S3570">
        <f>IF('01_Вводные'!$B$234="Да",IF(IF('01_Вводные'!$B$296="Новый сезон",TRUE,TRUE),'19_Расчет_аналитики'!S3458*CapacityAge15*'19_Расчет_аналитики'!$F$3247,0),0)</f>
        <v/>
      </c>
      <c r="T3570">
        <f>IF('01_Вводные'!$B$234="Да",IF(IF('01_Вводные'!$B$296="Новый сезон",TRUE,TRUE),'19_Расчет_аналитики'!T3458*CapacityAge15*'19_Расчет_аналитики'!$F$3247,0),0)</f>
        <v/>
      </c>
      <c r="U3570">
        <f>IF('01_Вводные'!$B$234="Да",IF(IF('01_Вводные'!$B$296="Новый сезон",TRUE,TRUE),'19_Расчет_аналитики'!U3458*CapacityAge15*'19_Расчет_аналитики'!$F$3247,0),0)</f>
        <v/>
      </c>
      <c r="V3570">
        <f>IF('01_Вводные'!$B$234="Да",IF(IF('01_Вводные'!$B$296="Новый сезон",TRUE,TRUE),'19_Расчет_аналитики'!V3458*CapacityAge15*'19_Расчет_аналитики'!$F$3247,0),0)</f>
        <v/>
      </c>
      <c r="W3570">
        <f>IF('01_Вводные'!$B$234="Да",IF(IF('01_Вводные'!$B$296="Новый сезон",TRUE,TRUE),'19_Расчет_аналитики'!W3458*CapacityAge15*'19_Расчет_аналитики'!$F$3247,0),0)</f>
        <v/>
      </c>
      <c r="X3570">
        <f>IF('01_Вводные'!$B$234="Да",IF(IF('01_Вводные'!$B$296="Новый сезон",TRUE,TRUE),'19_Расчет_аналитики'!X3458*CapacityAge15*'19_Расчет_аналитики'!$F$3247,0),0)</f>
        <v/>
      </c>
      <c r="Y3570">
        <f>IF('01_Вводные'!$B$234="Да",IF(IF('01_Вводные'!$B$296="Новый сезон",TRUE,TRUE),'19_Расчет_аналитики'!Y3458*CapacityAge15*'19_Расчет_аналитики'!$F$3247,0),0)</f>
        <v/>
      </c>
      <c r="Z3570">
        <f>IF('01_Вводные'!$B$234="Да",IF(IF('01_Вводные'!$B$296="Новый сезон",TRUE,TRUE),'19_Расчет_аналитики'!Z3458*CapacityAge15*'19_Расчет_аналитики'!$F$3247,0),0)</f>
        <v/>
      </c>
      <c r="AA3570">
        <f>IF('01_Вводные'!$B$234="Да",IF(IF('01_Вводные'!$B$296="Новый сезон",TRUE,TRUE),'19_Расчет_аналитики'!AA3458*CapacityAge15*'19_Расчет_аналитики'!$F$3247,0),0)</f>
        <v/>
      </c>
      <c r="AB3570">
        <f>IF('01_Вводные'!$B$234="Да",IF(IF('01_Вводные'!$B$296="Новый сезон",TRUE,TRUE),'19_Расчет_аналитики'!AB3458*CapacityAge15*'19_Расчет_аналитики'!$F$3247,0),0)</f>
        <v/>
      </c>
      <c r="AC3570">
        <f>IF('01_Вводные'!$B$234="Да",IF(IF('01_Вводные'!$B$296="Новый сезон",TRUE,TRUE),'19_Расчет_аналитики'!AC3458*CapacityAge15*'19_Расчет_аналитики'!$F$3247,0),0)</f>
        <v/>
      </c>
      <c r="AD3570">
        <f>IF('01_Вводные'!$B$234="Да",IF(IF('01_Вводные'!$B$296="Новый сезон",TRUE,TRUE),'19_Расчет_аналитики'!AD3458*CapacityAge15*'19_Расчет_аналитики'!$F$3247,0),0)</f>
        <v/>
      </c>
      <c r="AE3570">
        <f>IF('01_Вводные'!$B$234="Да",IF(IF('01_Вводные'!$B$296="Новый сезон",TRUE,TRUE),'19_Расчет_аналитики'!AE3458*CapacityAge15*'19_Расчет_аналитики'!$F$3247,0),0)</f>
        <v/>
      </c>
      <c r="AF3570">
        <f>IF('01_Вводные'!$B$234="Да",IF(IF('01_Вводные'!$B$296="Новый сезон",TRUE,TRUE),'19_Расчет_аналитики'!AF3458*CapacityAge15*'19_Расчет_аналитики'!$F$3247,0),0)</f>
        <v/>
      </c>
      <c r="AG3570">
        <f>IF('01_Вводные'!$B$234="Да",IF(IF('01_Вводные'!$B$296="Новый сезон",TRUE,TRUE),'19_Расчет_аналитики'!AG3458*CapacityAge15*'19_Расчет_аналитики'!$F$3247,0),0)</f>
        <v/>
      </c>
      <c r="AH3570">
        <f>IF('01_Вводные'!$B$234="Да",IF(IF('01_Вводные'!$B$296="Новый сезон",TRUE,TRUE),'19_Расчет_аналитики'!AH3458*CapacityAge15*'19_Расчет_аналитики'!$F$3247,0),0)</f>
        <v/>
      </c>
      <c r="AI3570">
        <f>IF('01_Вводные'!$B$234="Да",IF(IF('01_Вводные'!$B$296="Новый сезон",TRUE,TRUE),'19_Расчет_аналитики'!AI3458*CapacityAge15*'19_Расчет_аналитики'!$F$3247,0),0)</f>
        <v/>
      </c>
      <c r="AJ3570">
        <f>IF('01_Вводные'!$B$234="Да",IF(IF('01_Вводные'!$B$296="Новый сезон",TRUE,TRUE),'19_Расчет_аналитики'!AJ3458*CapacityAge15*'19_Расчет_аналитики'!$F$3247,0),0)</f>
        <v/>
      </c>
      <c r="AK3570">
        <f>IF('01_Вводные'!$B$234="Да",IF(IF('01_Вводные'!$B$296="Новый сезон",TRUE,TRUE),'19_Расчет_аналитики'!AK3458*CapacityAge15*'19_Расчет_аналитики'!$F$3247,0),0)</f>
        <v/>
      </c>
      <c r="AL3570">
        <f>IF('01_Вводные'!$B$234="Да",IF(IF('01_Вводные'!$B$296="Новый сезон",TRUE,TRUE),'19_Расчет_аналитики'!AL3458*CapacityAge15*'19_Расчет_аналитики'!$F$3247,0),0)</f>
        <v/>
      </c>
      <c r="AM3570">
        <f>IF('01_Вводные'!$B$234="Да",IF(IF('01_Вводные'!$B$296="Новый сезон",TRUE,TRUE),'19_Расчет_аналитики'!AM3458*CapacityAge15*'19_Расчет_аналитики'!$F$3247,0),0)</f>
        <v/>
      </c>
      <c r="AN3570">
        <f>IF('01_Вводные'!$B$234="Да",IF(IF('01_Вводные'!$B$296="Новый сезон",TRUE,TRUE),'19_Расчет_аналитики'!AN3458*CapacityAge15*'19_Расчет_аналитики'!$F$3247,0),0)</f>
        <v/>
      </c>
      <c r="AO3570">
        <f>IF('01_Вводные'!$B$234="Да",IF(IF('01_Вводные'!$B$296="Новый сезон",TRUE,TRUE),'19_Расчет_аналитики'!AO3458*CapacityAge15*'19_Расчет_аналитики'!$F$3247,0),0)</f>
        <v/>
      </c>
      <c r="AP3570">
        <f>IF('01_Вводные'!$B$234="Да",IF(IF('01_Вводные'!$B$296="Новый сезон",TRUE,TRUE),'19_Расчет_аналитики'!AP3458*CapacityAge15*'19_Расчет_аналитики'!$F$3247,0),0)</f>
        <v/>
      </c>
      <c r="AQ3570">
        <f>IF('01_Вводные'!$B$234="Да",IF(IF('01_Вводные'!$B$296="Новый сезон",TRUE,TRUE),'19_Расчет_аналитики'!AQ3458*CapacityAge15*'19_Расчет_аналитики'!$F$3247,0),0)</f>
        <v/>
      </c>
      <c r="AR3570">
        <f>IF('01_Вводные'!$B$234="Да",IF(IF('01_Вводные'!$B$296="Новый сезон",TRUE,TRUE),'19_Расчет_аналитики'!AR3458*CapacityAge15*'19_Расчет_аналитики'!$F$3247,0),0)</f>
        <v/>
      </c>
      <c r="AS3570">
        <f>IF('01_Вводные'!$B$234="Да",IF(IF('01_Вводные'!$B$296="Новый сезон",TRUE,TRUE),'19_Расчет_аналитики'!AS3458*CapacityAge15*'19_Расчет_аналитики'!$F$3247,0),0)</f>
        <v/>
      </c>
      <c r="AT3570">
        <f>IF('01_Вводные'!$B$234="Да",IF(IF('01_Вводные'!$B$296="Новый сезон",TRUE,TRUE),'19_Расчет_аналитики'!AT3458*CapacityAge15*'19_Расчет_аналитики'!$F$3247,0),0)</f>
        <v/>
      </c>
      <c r="AU3570">
        <f>IF('01_Вводные'!$B$234="Да",IF(IF('01_Вводные'!$B$296="Новый сезон",TRUE,TRUE),'19_Расчет_аналитики'!AU3458*CapacityAge15*'19_Расчет_аналитики'!$F$3247,0),0)</f>
        <v/>
      </c>
      <c r="AV3570">
        <f>IF('01_Вводные'!$B$234="Да",IF(IF('01_Вводные'!$B$296="Новый сезон",TRUE,TRUE),'19_Расчет_аналитики'!AV3458*CapacityAge15*'19_Расчет_аналитики'!$F$3247,0),0)</f>
        <v/>
      </c>
      <c r="AW3570">
        <f>IF('01_Вводные'!$B$234="Да",IF(IF('01_Вводные'!$B$296="Новый сезон",TRUE,TRUE),'19_Расчет_аналитики'!AW3458*CapacityAge15*'19_Расчет_аналитики'!$F$3247,0),0)</f>
        <v/>
      </c>
      <c r="AX3570">
        <f>IF('01_Вводные'!$B$234="Да",IF(IF('01_Вводные'!$B$296="Новый сезон",TRUE,TRUE),'19_Расчет_аналитики'!AX3458*CapacityAge15*'19_Расчет_аналитики'!$F$3247,0),0)</f>
        <v/>
      </c>
      <c r="AY3570">
        <f>IF('01_Вводные'!$B$234="Да",IF(IF('01_Вводные'!$B$296="Новый сезон",TRUE,TRUE),'19_Расчет_аналитики'!AY3458*CapacityAge15*'19_Расчет_аналитики'!$F$3247,0),0)</f>
        <v/>
      </c>
      <c r="AZ3570">
        <f>IF('01_Вводные'!$B$234="Да",IF(IF('01_Вводные'!$B$296="Новый сезон",TRUE,TRUE),'19_Расчет_аналитики'!AZ3458*CapacityAge15*'19_Расчет_аналитики'!$F$3247,0),0)</f>
        <v/>
      </c>
      <c r="BA3570">
        <f>IF('01_Вводные'!$B$234="Да",IF(IF('01_Вводные'!$B$296="Новый сезон",TRUE,TRUE),'19_Расчет_аналитики'!BA3458*CapacityAge15*'19_Расчет_аналитики'!$F$3247,0),0)</f>
        <v/>
      </c>
      <c r="BB3570">
        <f>IF('01_Вводные'!$B$234="Да",IF(IF('01_Вводные'!$B$296="Новый сезон",TRUE,TRUE),'19_Расчет_аналитики'!BB3458*CapacityAge15*'19_Расчет_аналитики'!$F$3247,0),0)</f>
        <v/>
      </c>
      <c r="BC3570">
        <f>IF('01_Вводные'!$B$234="Да",IF(IF('01_Вводные'!$B$296="Новый сезон",TRUE,TRUE),'19_Расчет_аналитики'!BC3458*CapacityAge15*'19_Расчет_аналитики'!$F$3247,0),0)</f>
        <v/>
      </c>
      <c r="BD3570">
        <f>IF('01_Вводные'!$B$234="Да",IF(IF('01_Вводные'!$B$296="Новый сезон",TRUE,TRUE),'19_Расчет_аналитики'!BD3458*CapacityAge15*'19_Расчет_аналитики'!$F$3247,0),0)</f>
        <v/>
      </c>
      <c r="BE3570">
        <f>IF('01_Вводные'!$B$234="Да",IF(IF('01_Вводные'!$B$296="Новый сезон",TRUE,TRUE),'19_Расчет_аналитики'!BE3458*CapacityAge15*'19_Расчет_аналитики'!$F$3247,0),0)</f>
        <v/>
      </c>
      <c r="BF3570">
        <f>IF('01_Вводные'!$B$234="Да",IF(IF('01_Вводные'!$B$296="Новый сезон",TRUE,TRUE),'19_Расчет_аналитики'!BF3458*CapacityAge15*'19_Расчет_аналитики'!$F$3247,0),0)</f>
        <v/>
      </c>
      <c r="BG3570">
        <f>IF('01_Вводные'!$B$234="Да",IF(IF('01_Вводные'!$B$296="Новый сезон",TRUE,TRUE),'19_Расчет_аналитики'!BG3458*CapacityAge15*'19_Расчет_аналитики'!$F$3247,0),0)</f>
        <v/>
      </c>
      <c r="BH3570">
        <f>IF('01_Вводные'!$B$234="Да",IF(IF('01_Вводные'!$B$296="Новый сезон",TRUE,TRUE),'19_Расчет_аналитики'!BH3458*CapacityAge15*'19_Расчет_аналитики'!$F$3247,0),0)</f>
        <v/>
      </c>
      <c r="BI3570">
        <f>IF('01_Вводные'!$B$234="Да",IF(IF('01_Вводные'!$B$296="Новый сезон",TRUE,TRUE),'19_Расчет_аналитики'!BI3458*CapacityAge15*'19_Расчет_аналитики'!$F$3247,0),0)</f>
        <v/>
      </c>
      <c r="BJ3570">
        <f>IF('01_Вводные'!$B$234="Да",IF(IF('01_Вводные'!$B$296="Новый сезон",TRUE,TRUE),'19_Расчет_аналитики'!BJ3458*CapacityAge15*'19_Расчет_аналитики'!$F$3247,0),0)</f>
        <v/>
      </c>
      <c r="BK3570">
        <f>IF('01_Вводные'!$B$234="Да",IF(IF('01_Вводные'!$B$296="Новый сезон",TRUE,TRUE),'19_Расчет_аналитики'!BK3458*CapacityAge15*'19_Расчет_аналитики'!$F$3247,0),0)</f>
        <v/>
      </c>
      <c r="BL3570">
        <f>IF('01_Вводные'!$B$234="Да",IF(IF('01_Вводные'!$B$296="Новый сезон",TRUE,TRUE),'19_Расчет_аналитики'!BL3458*CapacityAge15*'19_Расчет_аналитики'!$F$3247,0),0)</f>
        <v/>
      </c>
      <c r="BM3570">
        <f>IF('01_Вводные'!$B$234="Да",IF(IF('01_Вводные'!$B$296="Новый сезон",TRUE,TRUE),'19_Расчет_аналитики'!BM3458*CapacityAge15*'19_Расчет_аналитики'!$F$3247,0),0)</f>
        <v/>
      </c>
      <c r="BN3570">
        <f>IF('01_Вводные'!$B$234="Да",IF(IF('01_Вводные'!$B$296="Новый сезон",TRUE,TRUE),'19_Расчет_аналитики'!BN3458*CapacityAge15*'19_Расчет_аналитики'!$F$3247,0),0)</f>
        <v/>
      </c>
      <c r="BO3570">
        <f>IF('01_Вводные'!$B$234="Да",IF(IF('01_Вводные'!$B$296="Новый сезон",TRUE,TRUE),'19_Расчет_аналитики'!BO3458*CapacityAge15*'19_Расчет_аналитики'!$F$3247,0),0)</f>
        <v/>
      </c>
    </row>
    <row r="3571">
      <c r="B3571">
        <f>IF('01_Вводные'!$B$234="Да",IF(IF('01_Вводные'!$B$296="Новый сезон",TRUE,TRUE),'06_Сеть_и_дети'!B68*CapacityAge16*'19_Расчет_аналитики'!$F$3247,0),0)</f>
        <v/>
      </c>
      <c r="C3571">
        <f>IF('01_Вводные'!$B$234="Да",IF(IF('01_Вводные'!$B$296="Новый сезон",TRUE,TRUE),'06_Сеть_и_дети'!C68*CapacityAge16*'19_Расчет_аналитики'!$F$3247,0),0)</f>
        <v/>
      </c>
      <c r="D3571">
        <f>IF('01_Вводные'!$B$234="Да",IF(IF('01_Вводные'!$B$296="Новый сезон",TRUE,TRUE),'06_Сеть_и_дети'!D68*CapacityAge16*'19_Расчет_аналитики'!$F$3247,0),0)</f>
        <v/>
      </c>
      <c r="E3571">
        <f>IF('01_Вводные'!$B$234="Да",IF(IF('01_Вводные'!$B$296="Новый сезон",TRUE,TRUE),'06_Сеть_и_дети'!E68*CapacityAge16*'19_Расчет_аналитики'!$F$3247,0),0)</f>
        <v/>
      </c>
      <c r="F3571">
        <f>IF('01_Вводные'!$B$234="Да",IF(IF('01_Вводные'!$B$296="Новый сезон",TRUE,TRUE),'06_Сеть_и_дети'!F68*CapacityAge16*'19_Расчет_аналитики'!$F$3247,0),0)</f>
        <v/>
      </c>
      <c r="G3571">
        <f>IF('01_Вводные'!$B$234="Да",IF(IF('01_Вводные'!$B$296="Новый сезон",TRUE,TRUE),'06_Сеть_и_дети'!G68*CapacityAge16*'19_Расчет_аналитики'!$F$3247,0),0)</f>
        <v/>
      </c>
      <c r="H3571">
        <f>IF('01_Вводные'!$B$234="Да",IF(IF('01_Вводные'!$B$296="Новый сезон",TRUE,TRUE),'06_Сеть_и_дети'!H68*CapacityAge16*'19_Расчет_аналитики'!$F$3247,0),0)</f>
        <v/>
      </c>
      <c r="I3571">
        <f>IF('01_Вводные'!$B$234="Да",IF(IF('01_Вводные'!$B$296="Новый сезон",TRUE,TRUE),'06_Сеть_и_дети'!I68*CapacityAge16*'19_Расчет_аналитики'!$F$3247,0),0)</f>
        <v/>
      </c>
      <c r="J3571">
        <f>IF('01_Вводные'!$B$234="Да",IF(IF('01_Вводные'!$B$296="Новый сезон",TRUE,TRUE),'06_Сеть_и_дети'!J68*CapacityAge16*'19_Расчет_аналитики'!$F$3247,0),0)</f>
        <v/>
      </c>
      <c r="K3571">
        <f>IF('01_Вводные'!$B$234="Да",IF(IF('01_Вводные'!$B$296="Новый сезон",TRUE,TRUE),'06_Сеть_и_дети'!K68*CapacityAge16*'19_Расчет_аналитики'!$F$3247,0),0)</f>
        <v/>
      </c>
      <c r="L3571">
        <f>IF('01_Вводные'!$B$234="Да",IF(IF('01_Вводные'!$B$296="Новый сезон",TRUE,TRUE),'06_Сеть_и_дети'!L68*CapacityAge16*'19_Расчет_аналитики'!$F$3247,0),0)</f>
        <v/>
      </c>
      <c r="M3571">
        <f>IF('01_Вводные'!$B$234="Да",IF(IF('01_Вводные'!$B$296="Новый сезон",TRUE,TRUE),'06_Сеть_и_дети'!M68*CapacityAge16*'19_Расчет_аналитики'!$F$3247,0),0)</f>
        <v/>
      </c>
      <c r="N3571">
        <f>IF('01_Вводные'!$B$234="Да",IF(IF('01_Вводные'!$B$296="Новый сезон",TRUE,TRUE),'06_Сеть_и_дети'!N68*CapacityAge16*'19_Расчет_аналитики'!$F$3247,0),0)</f>
        <v/>
      </c>
      <c r="O3571">
        <f>IF('01_Вводные'!$B$234="Да",IF(IF('01_Вводные'!$B$296="Новый сезон",TRUE,TRUE),'06_Сеть_и_дети'!O68*CapacityAge16*'19_Расчет_аналитики'!$F$3247,0),0)</f>
        <v/>
      </c>
      <c r="P3571">
        <f>IF('01_Вводные'!$B$234="Да",IF(IF('01_Вводные'!$B$296="Новый сезон",TRUE,TRUE),'06_Сеть_и_дети'!P68*CapacityAge16*'19_Расчет_аналитики'!$F$3247,0),0)</f>
        <v/>
      </c>
      <c r="Q3571">
        <f>IF('01_Вводные'!$B$234="Да",IF(IF('01_Вводные'!$B$296="Новый сезон",TRUE,TRUE),'19_Расчет_аналитики'!Q3459*CapacityAge16*'19_Расчет_аналитики'!$F$3247,0),0)</f>
        <v/>
      </c>
      <c r="R3571">
        <f>IF('01_Вводные'!$B$234="Да",IF(IF('01_Вводные'!$B$296="Новый сезон",TRUE,TRUE),'19_Расчет_аналитики'!R3459*CapacityAge16*'19_Расчет_аналитики'!$F$3247,0),0)</f>
        <v/>
      </c>
      <c r="S3571">
        <f>IF('01_Вводные'!$B$234="Да",IF(IF('01_Вводные'!$B$296="Новый сезон",TRUE,TRUE),'19_Расчет_аналитики'!S3459*CapacityAge16*'19_Расчет_аналитики'!$F$3247,0),0)</f>
        <v/>
      </c>
      <c r="T3571">
        <f>IF('01_Вводные'!$B$234="Да",IF(IF('01_Вводные'!$B$296="Новый сезон",TRUE,TRUE),'19_Расчет_аналитики'!T3459*CapacityAge16*'19_Расчет_аналитики'!$F$3247,0),0)</f>
        <v/>
      </c>
      <c r="U3571">
        <f>IF('01_Вводные'!$B$234="Да",IF(IF('01_Вводные'!$B$296="Новый сезон",TRUE,TRUE),'19_Расчет_аналитики'!U3459*CapacityAge16*'19_Расчет_аналитики'!$F$3247,0),0)</f>
        <v/>
      </c>
      <c r="V3571">
        <f>IF('01_Вводные'!$B$234="Да",IF(IF('01_Вводные'!$B$296="Новый сезон",TRUE,TRUE),'19_Расчет_аналитики'!V3459*CapacityAge16*'19_Расчет_аналитики'!$F$3247,0),0)</f>
        <v/>
      </c>
      <c r="W3571">
        <f>IF('01_Вводные'!$B$234="Да",IF(IF('01_Вводные'!$B$296="Новый сезон",TRUE,TRUE),'19_Расчет_аналитики'!W3459*CapacityAge16*'19_Расчет_аналитики'!$F$3247,0),0)</f>
        <v/>
      </c>
      <c r="X3571">
        <f>IF('01_Вводные'!$B$234="Да",IF(IF('01_Вводные'!$B$296="Новый сезон",TRUE,TRUE),'19_Расчет_аналитики'!X3459*CapacityAge16*'19_Расчет_аналитики'!$F$3247,0),0)</f>
        <v/>
      </c>
      <c r="Y3571">
        <f>IF('01_Вводные'!$B$234="Да",IF(IF('01_Вводные'!$B$296="Новый сезон",TRUE,TRUE),'19_Расчет_аналитики'!Y3459*CapacityAge16*'19_Расчет_аналитики'!$F$3247,0),0)</f>
        <v/>
      </c>
      <c r="Z3571">
        <f>IF('01_Вводные'!$B$234="Да",IF(IF('01_Вводные'!$B$296="Новый сезон",TRUE,TRUE),'19_Расчет_аналитики'!Z3459*CapacityAge16*'19_Расчет_аналитики'!$F$3247,0),0)</f>
        <v/>
      </c>
      <c r="AA3571">
        <f>IF('01_Вводные'!$B$234="Да",IF(IF('01_Вводные'!$B$296="Новый сезон",TRUE,TRUE),'19_Расчет_аналитики'!AA3459*CapacityAge16*'19_Расчет_аналитики'!$F$3247,0),0)</f>
        <v/>
      </c>
      <c r="AB3571">
        <f>IF('01_Вводные'!$B$234="Да",IF(IF('01_Вводные'!$B$296="Новый сезон",TRUE,TRUE),'19_Расчет_аналитики'!AB3459*CapacityAge16*'19_Расчет_аналитики'!$F$3247,0),0)</f>
        <v/>
      </c>
      <c r="AC3571">
        <f>IF('01_Вводные'!$B$234="Да",IF(IF('01_Вводные'!$B$296="Новый сезон",TRUE,TRUE),'19_Расчет_аналитики'!AC3459*CapacityAge16*'19_Расчет_аналитики'!$F$3247,0),0)</f>
        <v/>
      </c>
      <c r="AD3571">
        <f>IF('01_Вводные'!$B$234="Да",IF(IF('01_Вводные'!$B$296="Новый сезон",TRUE,TRUE),'19_Расчет_аналитики'!AD3459*CapacityAge16*'19_Расчет_аналитики'!$F$3247,0),0)</f>
        <v/>
      </c>
      <c r="AE3571">
        <f>IF('01_Вводные'!$B$234="Да",IF(IF('01_Вводные'!$B$296="Новый сезон",TRUE,TRUE),'19_Расчет_аналитики'!AE3459*CapacityAge16*'19_Расчет_аналитики'!$F$3247,0),0)</f>
        <v/>
      </c>
      <c r="AF3571">
        <f>IF('01_Вводные'!$B$234="Да",IF(IF('01_Вводные'!$B$296="Новый сезон",TRUE,TRUE),'19_Расчет_аналитики'!AF3459*CapacityAge16*'19_Расчет_аналитики'!$F$3247,0),0)</f>
        <v/>
      </c>
      <c r="AG3571">
        <f>IF('01_Вводные'!$B$234="Да",IF(IF('01_Вводные'!$B$296="Новый сезон",TRUE,TRUE),'19_Расчет_аналитики'!AG3459*CapacityAge16*'19_Расчет_аналитики'!$F$3247,0),0)</f>
        <v/>
      </c>
      <c r="AH3571">
        <f>IF('01_Вводные'!$B$234="Да",IF(IF('01_Вводные'!$B$296="Новый сезон",TRUE,TRUE),'19_Расчет_аналитики'!AH3459*CapacityAge16*'19_Расчет_аналитики'!$F$3247,0),0)</f>
        <v/>
      </c>
      <c r="AI3571">
        <f>IF('01_Вводные'!$B$234="Да",IF(IF('01_Вводные'!$B$296="Новый сезон",TRUE,TRUE),'19_Расчет_аналитики'!AI3459*CapacityAge16*'19_Расчет_аналитики'!$F$3247,0),0)</f>
        <v/>
      </c>
      <c r="AJ3571">
        <f>IF('01_Вводные'!$B$234="Да",IF(IF('01_Вводные'!$B$296="Новый сезон",TRUE,TRUE),'19_Расчет_аналитики'!AJ3459*CapacityAge16*'19_Расчет_аналитики'!$F$3247,0),0)</f>
        <v/>
      </c>
      <c r="AK3571">
        <f>IF('01_Вводные'!$B$234="Да",IF(IF('01_Вводные'!$B$296="Новый сезон",TRUE,TRUE),'19_Расчет_аналитики'!AK3459*CapacityAge16*'19_Расчет_аналитики'!$F$3247,0),0)</f>
        <v/>
      </c>
      <c r="AL3571">
        <f>IF('01_Вводные'!$B$234="Да",IF(IF('01_Вводные'!$B$296="Новый сезон",TRUE,TRUE),'19_Расчет_аналитики'!AL3459*CapacityAge16*'19_Расчет_аналитики'!$F$3247,0),0)</f>
        <v/>
      </c>
      <c r="AM3571">
        <f>IF('01_Вводные'!$B$234="Да",IF(IF('01_Вводные'!$B$296="Новый сезон",TRUE,TRUE),'19_Расчет_аналитики'!AM3459*CapacityAge16*'19_Расчет_аналитики'!$F$3247,0),0)</f>
        <v/>
      </c>
      <c r="AN3571">
        <f>IF('01_Вводные'!$B$234="Да",IF(IF('01_Вводные'!$B$296="Новый сезон",TRUE,TRUE),'19_Расчет_аналитики'!AN3459*CapacityAge16*'19_Расчет_аналитики'!$F$3247,0),0)</f>
        <v/>
      </c>
      <c r="AO3571">
        <f>IF('01_Вводные'!$B$234="Да",IF(IF('01_Вводные'!$B$296="Новый сезон",TRUE,TRUE),'19_Расчет_аналитики'!AO3459*CapacityAge16*'19_Расчет_аналитики'!$F$3247,0),0)</f>
        <v/>
      </c>
      <c r="AP3571">
        <f>IF('01_Вводные'!$B$234="Да",IF(IF('01_Вводные'!$B$296="Новый сезон",TRUE,TRUE),'19_Расчет_аналитики'!AP3459*CapacityAge16*'19_Расчет_аналитики'!$F$3247,0),0)</f>
        <v/>
      </c>
      <c r="AQ3571">
        <f>IF('01_Вводные'!$B$234="Да",IF(IF('01_Вводные'!$B$296="Новый сезон",TRUE,TRUE),'19_Расчет_аналитики'!AQ3459*CapacityAge16*'19_Расчет_аналитики'!$F$3247,0),0)</f>
        <v/>
      </c>
      <c r="AR3571">
        <f>IF('01_Вводные'!$B$234="Да",IF(IF('01_Вводные'!$B$296="Новый сезон",TRUE,TRUE),'19_Расчет_аналитики'!AR3459*CapacityAge16*'19_Расчет_аналитики'!$F$3247,0),0)</f>
        <v/>
      </c>
      <c r="AS3571">
        <f>IF('01_Вводные'!$B$234="Да",IF(IF('01_Вводные'!$B$296="Новый сезон",TRUE,TRUE),'19_Расчет_аналитики'!AS3459*CapacityAge16*'19_Расчет_аналитики'!$F$3247,0),0)</f>
        <v/>
      </c>
      <c r="AT3571">
        <f>IF('01_Вводные'!$B$234="Да",IF(IF('01_Вводные'!$B$296="Новый сезон",TRUE,TRUE),'19_Расчет_аналитики'!AT3459*CapacityAge16*'19_Расчет_аналитики'!$F$3247,0),0)</f>
        <v/>
      </c>
      <c r="AU3571">
        <f>IF('01_Вводные'!$B$234="Да",IF(IF('01_Вводные'!$B$296="Новый сезон",TRUE,TRUE),'19_Расчет_аналитики'!AU3459*CapacityAge16*'19_Расчет_аналитики'!$F$3247,0),0)</f>
        <v/>
      </c>
      <c r="AV3571">
        <f>IF('01_Вводные'!$B$234="Да",IF(IF('01_Вводные'!$B$296="Новый сезон",TRUE,TRUE),'19_Расчет_аналитики'!AV3459*CapacityAge16*'19_Расчет_аналитики'!$F$3247,0),0)</f>
        <v/>
      </c>
      <c r="AW3571">
        <f>IF('01_Вводные'!$B$234="Да",IF(IF('01_Вводные'!$B$296="Новый сезон",TRUE,TRUE),'19_Расчет_аналитики'!AW3459*CapacityAge16*'19_Расчет_аналитики'!$F$3247,0),0)</f>
        <v/>
      </c>
      <c r="AX3571">
        <f>IF('01_Вводные'!$B$234="Да",IF(IF('01_Вводные'!$B$296="Новый сезон",TRUE,TRUE),'19_Расчет_аналитики'!AX3459*CapacityAge16*'19_Расчет_аналитики'!$F$3247,0),0)</f>
        <v/>
      </c>
      <c r="AY3571">
        <f>IF('01_Вводные'!$B$234="Да",IF(IF('01_Вводные'!$B$296="Новый сезон",TRUE,TRUE),'19_Расчет_аналитики'!AY3459*CapacityAge16*'19_Расчет_аналитики'!$F$3247,0),0)</f>
        <v/>
      </c>
      <c r="AZ3571">
        <f>IF('01_Вводные'!$B$234="Да",IF(IF('01_Вводные'!$B$296="Новый сезон",TRUE,TRUE),'19_Расчет_аналитики'!AZ3459*CapacityAge16*'19_Расчет_аналитики'!$F$3247,0),0)</f>
        <v/>
      </c>
      <c r="BA3571">
        <f>IF('01_Вводные'!$B$234="Да",IF(IF('01_Вводные'!$B$296="Новый сезон",TRUE,TRUE),'19_Расчет_аналитики'!BA3459*CapacityAge16*'19_Расчет_аналитики'!$F$3247,0),0)</f>
        <v/>
      </c>
      <c r="BB3571">
        <f>IF('01_Вводные'!$B$234="Да",IF(IF('01_Вводные'!$B$296="Новый сезон",TRUE,TRUE),'19_Расчет_аналитики'!BB3459*CapacityAge16*'19_Расчет_аналитики'!$F$3247,0),0)</f>
        <v/>
      </c>
      <c r="BC3571">
        <f>IF('01_Вводные'!$B$234="Да",IF(IF('01_Вводные'!$B$296="Новый сезон",TRUE,TRUE),'19_Расчет_аналитики'!BC3459*CapacityAge16*'19_Расчет_аналитики'!$F$3247,0),0)</f>
        <v/>
      </c>
      <c r="BD3571">
        <f>IF('01_Вводные'!$B$234="Да",IF(IF('01_Вводные'!$B$296="Новый сезон",TRUE,TRUE),'19_Расчет_аналитики'!BD3459*CapacityAge16*'19_Расчет_аналитики'!$F$3247,0),0)</f>
        <v/>
      </c>
      <c r="BE3571">
        <f>IF('01_Вводные'!$B$234="Да",IF(IF('01_Вводные'!$B$296="Новый сезон",TRUE,TRUE),'19_Расчет_аналитики'!BE3459*CapacityAge16*'19_Расчет_аналитики'!$F$3247,0),0)</f>
        <v/>
      </c>
      <c r="BF3571">
        <f>IF('01_Вводные'!$B$234="Да",IF(IF('01_Вводные'!$B$296="Новый сезон",TRUE,TRUE),'19_Расчет_аналитики'!BF3459*CapacityAge16*'19_Расчет_аналитики'!$F$3247,0),0)</f>
        <v/>
      </c>
      <c r="BG3571">
        <f>IF('01_Вводные'!$B$234="Да",IF(IF('01_Вводные'!$B$296="Новый сезон",TRUE,TRUE),'19_Расчет_аналитики'!BG3459*CapacityAge16*'19_Расчет_аналитики'!$F$3247,0),0)</f>
        <v/>
      </c>
      <c r="BH3571">
        <f>IF('01_Вводные'!$B$234="Да",IF(IF('01_Вводные'!$B$296="Новый сезон",TRUE,TRUE),'19_Расчет_аналитики'!BH3459*CapacityAge16*'19_Расчет_аналитики'!$F$3247,0),0)</f>
        <v/>
      </c>
      <c r="BI3571">
        <f>IF('01_Вводные'!$B$234="Да",IF(IF('01_Вводные'!$B$296="Новый сезон",TRUE,TRUE),'19_Расчет_аналитики'!BI3459*CapacityAge16*'19_Расчет_аналитики'!$F$3247,0),0)</f>
        <v/>
      </c>
      <c r="BJ3571">
        <f>IF('01_Вводные'!$B$234="Да",IF(IF('01_Вводные'!$B$296="Новый сезон",TRUE,TRUE),'19_Расчет_аналитики'!BJ3459*CapacityAge16*'19_Расчет_аналитики'!$F$3247,0),0)</f>
        <v/>
      </c>
      <c r="BK3571">
        <f>IF('01_Вводные'!$B$234="Да",IF(IF('01_Вводные'!$B$296="Новый сезон",TRUE,TRUE),'19_Расчет_аналитики'!BK3459*CapacityAge16*'19_Расчет_аналитики'!$F$3247,0),0)</f>
        <v/>
      </c>
      <c r="BL3571">
        <f>IF('01_Вводные'!$B$234="Да",IF(IF('01_Вводные'!$B$296="Новый сезон",TRUE,TRUE),'19_Расчет_аналитики'!BL3459*CapacityAge16*'19_Расчет_аналитики'!$F$3247,0),0)</f>
        <v/>
      </c>
      <c r="BM3571">
        <f>IF('01_Вводные'!$B$234="Да",IF(IF('01_Вводные'!$B$296="Новый сезон",TRUE,TRUE),'19_Расчет_аналитики'!BM3459*CapacityAge16*'19_Расчет_аналитики'!$F$3247,0),0)</f>
        <v/>
      </c>
      <c r="BN3571">
        <f>IF('01_Вводные'!$B$234="Да",IF(IF('01_Вводные'!$B$296="Новый сезон",TRUE,TRUE),'19_Расчет_аналитики'!BN3459*CapacityAge16*'19_Расчет_аналитики'!$F$3247,0),0)</f>
        <v/>
      </c>
      <c r="BO3571">
        <f>IF('01_Вводные'!$B$234="Да",IF(IF('01_Вводные'!$B$296="Новый сезон",TRUE,TRUE),'19_Расчет_аналитики'!BO3459*CapacityAge16*'19_Расчет_аналитики'!$F$3247,0),0)</f>
        <v/>
      </c>
    </row>
    <row r="3572">
      <c r="B3572">
        <f>IF('01_Вводные'!$B$234="Да",IF(IF('01_Вводные'!$B$296="Новый сезон",TRUE,TRUE),'06_Сеть_и_дети'!B69*CapacityAge17*'19_Расчет_аналитики'!$F$3247,0),0)</f>
        <v/>
      </c>
      <c r="C3572">
        <f>IF('01_Вводные'!$B$234="Да",IF(IF('01_Вводные'!$B$296="Новый сезон",TRUE,TRUE),'06_Сеть_и_дети'!C69*CapacityAge17*'19_Расчет_аналитики'!$F$3247,0),0)</f>
        <v/>
      </c>
      <c r="D3572">
        <f>IF('01_Вводные'!$B$234="Да",IF(IF('01_Вводные'!$B$296="Новый сезон",TRUE,TRUE),'06_Сеть_и_дети'!D69*CapacityAge17*'19_Расчет_аналитики'!$F$3247,0),0)</f>
        <v/>
      </c>
      <c r="E3572">
        <f>IF('01_Вводные'!$B$234="Да",IF(IF('01_Вводные'!$B$296="Новый сезон",TRUE,TRUE),'06_Сеть_и_дети'!E69*CapacityAge17*'19_Расчет_аналитики'!$F$3247,0),0)</f>
        <v/>
      </c>
      <c r="F3572">
        <f>IF('01_Вводные'!$B$234="Да",IF(IF('01_Вводные'!$B$296="Новый сезон",TRUE,TRUE),'06_Сеть_и_дети'!F69*CapacityAge17*'19_Расчет_аналитики'!$F$3247,0),0)</f>
        <v/>
      </c>
      <c r="G3572">
        <f>IF('01_Вводные'!$B$234="Да",IF(IF('01_Вводные'!$B$296="Новый сезон",TRUE,TRUE),'06_Сеть_и_дети'!G69*CapacityAge17*'19_Расчет_аналитики'!$F$3247,0),0)</f>
        <v/>
      </c>
      <c r="H3572">
        <f>IF('01_Вводные'!$B$234="Да",IF(IF('01_Вводные'!$B$296="Новый сезон",TRUE,TRUE),'06_Сеть_и_дети'!H69*CapacityAge17*'19_Расчет_аналитики'!$F$3247,0),0)</f>
        <v/>
      </c>
      <c r="I3572">
        <f>IF('01_Вводные'!$B$234="Да",IF(IF('01_Вводные'!$B$296="Новый сезон",TRUE,TRUE),'06_Сеть_и_дети'!I69*CapacityAge17*'19_Расчет_аналитики'!$F$3247,0),0)</f>
        <v/>
      </c>
      <c r="J3572">
        <f>IF('01_Вводные'!$B$234="Да",IF(IF('01_Вводные'!$B$296="Новый сезон",TRUE,TRUE),'06_Сеть_и_дети'!J69*CapacityAge17*'19_Расчет_аналитики'!$F$3247,0),0)</f>
        <v/>
      </c>
      <c r="K3572">
        <f>IF('01_Вводные'!$B$234="Да",IF(IF('01_Вводные'!$B$296="Новый сезон",TRUE,TRUE),'06_Сеть_и_дети'!K69*CapacityAge17*'19_Расчет_аналитики'!$F$3247,0),0)</f>
        <v/>
      </c>
      <c r="L3572">
        <f>IF('01_Вводные'!$B$234="Да",IF(IF('01_Вводные'!$B$296="Новый сезон",TRUE,TRUE),'06_Сеть_и_дети'!L69*CapacityAge17*'19_Расчет_аналитики'!$F$3247,0),0)</f>
        <v/>
      </c>
      <c r="M3572">
        <f>IF('01_Вводные'!$B$234="Да",IF(IF('01_Вводные'!$B$296="Новый сезон",TRUE,TRUE),'06_Сеть_и_дети'!M69*CapacityAge17*'19_Расчет_аналитики'!$F$3247,0),0)</f>
        <v/>
      </c>
      <c r="N3572">
        <f>IF('01_Вводные'!$B$234="Да",IF(IF('01_Вводные'!$B$296="Новый сезон",TRUE,TRUE),'06_Сеть_и_дети'!N69*CapacityAge17*'19_Расчет_аналитики'!$F$3247,0),0)</f>
        <v/>
      </c>
      <c r="O3572">
        <f>IF('01_Вводные'!$B$234="Да",IF(IF('01_Вводные'!$B$296="Новый сезон",TRUE,TRUE),'06_Сеть_и_дети'!O69*CapacityAge17*'19_Расчет_аналитики'!$F$3247,0),0)</f>
        <v/>
      </c>
      <c r="P3572">
        <f>IF('01_Вводные'!$B$234="Да",IF(IF('01_Вводные'!$B$296="Новый сезон",TRUE,TRUE),'06_Сеть_и_дети'!P69*CapacityAge17*'19_Расчет_аналитики'!$F$3247,0),0)</f>
        <v/>
      </c>
      <c r="Q3572">
        <f>IF('01_Вводные'!$B$234="Да",IF(IF('01_Вводные'!$B$296="Новый сезон",TRUE,TRUE),'06_Сеть_и_дети'!Q69*CapacityAge17*'19_Расчет_аналитики'!$F$3247,0),0)</f>
        <v/>
      </c>
      <c r="R3572">
        <f>IF('01_Вводные'!$B$234="Да",IF(IF('01_Вводные'!$B$296="Новый сезон",TRUE,TRUE),'19_Расчет_аналитики'!R3460*CapacityAge17*'19_Расчет_аналитики'!$F$3247,0),0)</f>
        <v/>
      </c>
      <c r="S3572">
        <f>IF('01_Вводные'!$B$234="Да",IF(IF('01_Вводные'!$B$296="Новый сезон",TRUE,TRUE),'19_Расчет_аналитики'!S3460*CapacityAge17*'19_Расчет_аналитики'!$F$3247,0),0)</f>
        <v/>
      </c>
      <c r="T3572">
        <f>IF('01_Вводные'!$B$234="Да",IF(IF('01_Вводные'!$B$296="Новый сезон",TRUE,TRUE),'19_Расчет_аналитики'!T3460*CapacityAge17*'19_Расчет_аналитики'!$F$3247,0),0)</f>
        <v/>
      </c>
      <c r="U3572">
        <f>IF('01_Вводные'!$B$234="Да",IF(IF('01_Вводные'!$B$296="Новый сезон",TRUE,TRUE),'19_Расчет_аналитики'!U3460*CapacityAge17*'19_Расчет_аналитики'!$F$3247,0),0)</f>
        <v/>
      </c>
      <c r="V3572">
        <f>IF('01_Вводные'!$B$234="Да",IF(IF('01_Вводные'!$B$296="Новый сезон",TRUE,TRUE),'19_Расчет_аналитики'!V3460*CapacityAge17*'19_Расчет_аналитики'!$F$3247,0),0)</f>
        <v/>
      </c>
      <c r="W3572">
        <f>IF('01_Вводные'!$B$234="Да",IF(IF('01_Вводные'!$B$296="Новый сезон",TRUE,TRUE),'19_Расчет_аналитики'!W3460*CapacityAge17*'19_Расчет_аналитики'!$F$3247,0),0)</f>
        <v/>
      </c>
      <c r="X3572">
        <f>IF('01_Вводные'!$B$234="Да",IF(IF('01_Вводные'!$B$296="Новый сезон",TRUE,TRUE),'19_Расчет_аналитики'!X3460*CapacityAge17*'19_Расчет_аналитики'!$F$3247,0),0)</f>
        <v/>
      </c>
      <c r="Y3572">
        <f>IF('01_Вводные'!$B$234="Да",IF(IF('01_Вводные'!$B$296="Новый сезон",TRUE,TRUE),'19_Расчет_аналитики'!Y3460*CapacityAge17*'19_Расчет_аналитики'!$F$3247,0),0)</f>
        <v/>
      </c>
      <c r="Z3572">
        <f>IF('01_Вводные'!$B$234="Да",IF(IF('01_Вводные'!$B$296="Новый сезон",TRUE,TRUE),'19_Расчет_аналитики'!Z3460*CapacityAge17*'19_Расчет_аналитики'!$F$3247,0),0)</f>
        <v/>
      </c>
      <c r="AA3572">
        <f>IF('01_Вводные'!$B$234="Да",IF(IF('01_Вводные'!$B$296="Новый сезон",TRUE,TRUE),'19_Расчет_аналитики'!AA3460*CapacityAge17*'19_Расчет_аналитики'!$F$3247,0),0)</f>
        <v/>
      </c>
      <c r="AB3572">
        <f>IF('01_Вводные'!$B$234="Да",IF(IF('01_Вводные'!$B$296="Новый сезон",TRUE,TRUE),'19_Расчет_аналитики'!AB3460*CapacityAge17*'19_Расчет_аналитики'!$F$3247,0),0)</f>
        <v/>
      </c>
      <c r="AC3572">
        <f>IF('01_Вводные'!$B$234="Да",IF(IF('01_Вводные'!$B$296="Новый сезон",TRUE,TRUE),'19_Расчет_аналитики'!AC3460*CapacityAge17*'19_Расчет_аналитики'!$F$3247,0),0)</f>
        <v/>
      </c>
      <c r="AD3572">
        <f>IF('01_Вводные'!$B$234="Да",IF(IF('01_Вводные'!$B$296="Новый сезон",TRUE,TRUE),'19_Расчет_аналитики'!AD3460*CapacityAge17*'19_Расчет_аналитики'!$F$3247,0),0)</f>
        <v/>
      </c>
      <c r="AE3572">
        <f>IF('01_Вводные'!$B$234="Да",IF(IF('01_Вводные'!$B$296="Новый сезон",TRUE,TRUE),'19_Расчет_аналитики'!AE3460*CapacityAge17*'19_Расчет_аналитики'!$F$3247,0),0)</f>
        <v/>
      </c>
      <c r="AF3572">
        <f>IF('01_Вводные'!$B$234="Да",IF(IF('01_Вводные'!$B$296="Новый сезон",TRUE,TRUE),'19_Расчет_аналитики'!AF3460*CapacityAge17*'19_Расчет_аналитики'!$F$3247,0),0)</f>
        <v/>
      </c>
      <c r="AG3572">
        <f>IF('01_Вводные'!$B$234="Да",IF(IF('01_Вводные'!$B$296="Новый сезон",TRUE,TRUE),'19_Расчет_аналитики'!AG3460*CapacityAge17*'19_Расчет_аналитики'!$F$3247,0),0)</f>
        <v/>
      </c>
      <c r="AH3572">
        <f>IF('01_Вводные'!$B$234="Да",IF(IF('01_Вводные'!$B$296="Новый сезон",TRUE,TRUE),'19_Расчет_аналитики'!AH3460*CapacityAge17*'19_Расчет_аналитики'!$F$3247,0),0)</f>
        <v/>
      </c>
      <c r="AI3572">
        <f>IF('01_Вводные'!$B$234="Да",IF(IF('01_Вводные'!$B$296="Новый сезон",TRUE,TRUE),'19_Расчет_аналитики'!AI3460*CapacityAge17*'19_Расчет_аналитики'!$F$3247,0),0)</f>
        <v/>
      </c>
      <c r="AJ3572">
        <f>IF('01_Вводные'!$B$234="Да",IF(IF('01_Вводные'!$B$296="Новый сезон",TRUE,TRUE),'19_Расчет_аналитики'!AJ3460*CapacityAge17*'19_Расчет_аналитики'!$F$3247,0),0)</f>
        <v/>
      </c>
      <c r="AK3572">
        <f>IF('01_Вводные'!$B$234="Да",IF(IF('01_Вводные'!$B$296="Новый сезон",TRUE,TRUE),'19_Расчет_аналитики'!AK3460*CapacityAge17*'19_Расчет_аналитики'!$F$3247,0),0)</f>
        <v/>
      </c>
      <c r="AL3572">
        <f>IF('01_Вводные'!$B$234="Да",IF(IF('01_Вводные'!$B$296="Новый сезон",TRUE,TRUE),'19_Расчет_аналитики'!AL3460*CapacityAge17*'19_Расчет_аналитики'!$F$3247,0),0)</f>
        <v/>
      </c>
      <c r="AM3572">
        <f>IF('01_Вводные'!$B$234="Да",IF(IF('01_Вводные'!$B$296="Новый сезон",TRUE,TRUE),'19_Расчет_аналитики'!AM3460*CapacityAge17*'19_Расчет_аналитики'!$F$3247,0),0)</f>
        <v/>
      </c>
      <c r="AN3572">
        <f>IF('01_Вводные'!$B$234="Да",IF(IF('01_Вводные'!$B$296="Новый сезон",TRUE,TRUE),'19_Расчет_аналитики'!AN3460*CapacityAge17*'19_Расчет_аналитики'!$F$3247,0),0)</f>
        <v/>
      </c>
      <c r="AO3572">
        <f>IF('01_Вводные'!$B$234="Да",IF(IF('01_Вводные'!$B$296="Новый сезон",TRUE,TRUE),'19_Расчет_аналитики'!AO3460*CapacityAge17*'19_Расчет_аналитики'!$F$3247,0),0)</f>
        <v/>
      </c>
      <c r="AP3572">
        <f>IF('01_Вводные'!$B$234="Да",IF(IF('01_Вводные'!$B$296="Новый сезон",TRUE,TRUE),'19_Расчет_аналитики'!AP3460*CapacityAge17*'19_Расчет_аналитики'!$F$3247,0),0)</f>
        <v/>
      </c>
      <c r="AQ3572">
        <f>IF('01_Вводные'!$B$234="Да",IF(IF('01_Вводные'!$B$296="Новый сезон",TRUE,TRUE),'19_Расчет_аналитики'!AQ3460*CapacityAge17*'19_Расчет_аналитики'!$F$3247,0),0)</f>
        <v/>
      </c>
      <c r="AR3572">
        <f>IF('01_Вводные'!$B$234="Да",IF(IF('01_Вводные'!$B$296="Новый сезон",TRUE,TRUE),'19_Расчет_аналитики'!AR3460*CapacityAge17*'19_Расчет_аналитики'!$F$3247,0),0)</f>
        <v/>
      </c>
      <c r="AS3572">
        <f>IF('01_Вводные'!$B$234="Да",IF(IF('01_Вводные'!$B$296="Новый сезон",TRUE,TRUE),'19_Расчет_аналитики'!AS3460*CapacityAge17*'19_Расчет_аналитики'!$F$3247,0),0)</f>
        <v/>
      </c>
      <c r="AT3572">
        <f>IF('01_Вводные'!$B$234="Да",IF(IF('01_Вводные'!$B$296="Новый сезон",TRUE,TRUE),'19_Расчет_аналитики'!AT3460*CapacityAge17*'19_Расчет_аналитики'!$F$3247,0),0)</f>
        <v/>
      </c>
      <c r="AU3572">
        <f>IF('01_Вводные'!$B$234="Да",IF(IF('01_Вводные'!$B$296="Новый сезон",TRUE,TRUE),'19_Расчет_аналитики'!AU3460*CapacityAge17*'19_Расчет_аналитики'!$F$3247,0),0)</f>
        <v/>
      </c>
      <c r="AV3572">
        <f>IF('01_Вводные'!$B$234="Да",IF(IF('01_Вводные'!$B$296="Новый сезон",TRUE,TRUE),'19_Расчет_аналитики'!AV3460*CapacityAge17*'19_Расчет_аналитики'!$F$3247,0),0)</f>
        <v/>
      </c>
      <c r="AW3572">
        <f>IF('01_Вводные'!$B$234="Да",IF(IF('01_Вводные'!$B$296="Новый сезон",TRUE,TRUE),'19_Расчет_аналитики'!AW3460*CapacityAge17*'19_Расчет_аналитики'!$F$3247,0),0)</f>
        <v/>
      </c>
      <c r="AX3572">
        <f>IF('01_Вводные'!$B$234="Да",IF(IF('01_Вводные'!$B$296="Новый сезон",TRUE,TRUE),'19_Расчет_аналитики'!AX3460*CapacityAge17*'19_Расчет_аналитики'!$F$3247,0),0)</f>
        <v/>
      </c>
      <c r="AY3572">
        <f>IF('01_Вводные'!$B$234="Да",IF(IF('01_Вводные'!$B$296="Новый сезон",TRUE,TRUE),'19_Расчет_аналитики'!AY3460*CapacityAge17*'19_Расчет_аналитики'!$F$3247,0),0)</f>
        <v/>
      </c>
      <c r="AZ3572">
        <f>IF('01_Вводные'!$B$234="Да",IF(IF('01_Вводные'!$B$296="Новый сезон",TRUE,TRUE),'19_Расчет_аналитики'!AZ3460*CapacityAge17*'19_Расчет_аналитики'!$F$3247,0),0)</f>
        <v/>
      </c>
      <c r="BA3572">
        <f>IF('01_Вводные'!$B$234="Да",IF(IF('01_Вводные'!$B$296="Новый сезон",TRUE,TRUE),'19_Расчет_аналитики'!BA3460*CapacityAge17*'19_Расчет_аналитики'!$F$3247,0),0)</f>
        <v/>
      </c>
      <c r="BB3572">
        <f>IF('01_Вводные'!$B$234="Да",IF(IF('01_Вводные'!$B$296="Новый сезон",TRUE,TRUE),'19_Расчет_аналитики'!BB3460*CapacityAge17*'19_Расчет_аналитики'!$F$3247,0),0)</f>
        <v/>
      </c>
      <c r="BC3572">
        <f>IF('01_Вводные'!$B$234="Да",IF(IF('01_Вводные'!$B$296="Новый сезон",TRUE,TRUE),'19_Расчет_аналитики'!BC3460*CapacityAge17*'19_Расчет_аналитики'!$F$3247,0),0)</f>
        <v/>
      </c>
      <c r="BD3572">
        <f>IF('01_Вводные'!$B$234="Да",IF(IF('01_Вводные'!$B$296="Новый сезон",TRUE,TRUE),'19_Расчет_аналитики'!BD3460*CapacityAge17*'19_Расчет_аналитики'!$F$3247,0),0)</f>
        <v/>
      </c>
      <c r="BE3572">
        <f>IF('01_Вводные'!$B$234="Да",IF(IF('01_Вводные'!$B$296="Новый сезон",TRUE,TRUE),'19_Расчет_аналитики'!BE3460*CapacityAge17*'19_Расчет_аналитики'!$F$3247,0),0)</f>
        <v/>
      </c>
      <c r="BF3572">
        <f>IF('01_Вводные'!$B$234="Да",IF(IF('01_Вводные'!$B$296="Новый сезон",TRUE,TRUE),'19_Расчет_аналитики'!BF3460*CapacityAge17*'19_Расчет_аналитики'!$F$3247,0),0)</f>
        <v/>
      </c>
      <c r="BG3572">
        <f>IF('01_Вводные'!$B$234="Да",IF(IF('01_Вводные'!$B$296="Новый сезон",TRUE,TRUE),'19_Расчет_аналитики'!BG3460*CapacityAge17*'19_Расчет_аналитики'!$F$3247,0),0)</f>
        <v/>
      </c>
      <c r="BH3572">
        <f>IF('01_Вводные'!$B$234="Да",IF(IF('01_Вводные'!$B$296="Новый сезон",TRUE,TRUE),'19_Расчет_аналитики'!BH3460*CapacityAge17*'19_Расчет_аналитики'!$F$3247,0),0)</f>
        <v/>
      </c>
      <c r="BI3572">
        <f>IF('01_Вводные'!$B$234="Да",IF(IF('01_Вводные'!$B$296="Новый сезон",TRUE,TRUE),'19_Расчет_аналитики'!BI3460*CapacityAge17*'19_Расчет_аналитики'!$F$3247,0),0)</f>
        <v/>
      </c>
      <c r="BJ3572">
        <f>IF('01_Вводные'!$B$234="Да",IF(IF('01_Вводные'!$B$296="Новый сезон",TRUE,TRUE),'19_Расчет_аналитики'!BJ3460*CapacityAge17*'19_Расчет_аналитики'!$F$3247,0),0)</f>
        <v/>
      </c>
      <c r="BK3572">
        <f>IF('01_Вводные'!$B$234="Да",IF(IF('01_Вводные'!$B$296="Новый сезон",TRUE,TRUE),'19_Расчет_аналитики'!BK3460*CapacityAge17*'19_Расчет_аналитики'!$F$3247,0),0)</f>
        <v/>
      </c>
      <c r="BL3572">
        <f>IF('01_Вводные'!$B$234="Да",IF(IF('01_Вводные'!$B$296="Новый сезон",TRUE,TRUE),'19_Расчет_аналитики'!BL3460*CapacityAge17*'19_Расчет_аналитики'!$F$3247,0),0)</f>
        <v/>
      </c>
      <c r="BM3572">
        <f>IF('01_Вводные'!$B$234="Да",IF(IF('01_Вводные'!$B$296="Новый сезон",TRUE,TRUE),'19_Расчет_аналитики'!BM3460*CapacityAge17*'19_Расчет_аналитики'!$F$3247,0),0)</f>
        <v/>
      </c>
      <c r="BN3572">
        <f>IF('01_Вводные'!$B$234="Да",IF(IF('01_Вводные'!$B$296="Новый сезон",TRUE,TRUE),'19_Расчет_аналитики'!BN3460*CapacityAge17*'19_Расчет_аналитики'!$F$3247,0),0)</f>
        <v/>
      </c>
      <c r="BO3572">
        <f>IF('01_Вводные'!$B$234="Да",IF(IF('01_Вводные'!$B$296="Новый сезон",TRUE,TRUE),'19_Расчет_аналитики'!BO3460*CapacityAge17*'19_Расчет_аналитики'!$F$3247,0),0)</f>
        <v/>
      </c>
    </row>
    <row r="3573">
      <c r="B3573">
        <f>IF('01_Вводные'!$B$234="Да",IF(IF('01_Вводные'!$B$296="Новый сезон",TRUE,TRUE),'06_Сеть_и_дети'!B70*CapacityAge18*'19_Расчет_аналитики'!$F$3247,0),0)</f>
        <v/>
      </c>
      <c r="C3573">
        <f>IF('01_Вводные'!$B$234="Да",IF(IF('01_Вводные'!$B$296="Новый сезон",TRUE,TRUE),'06_Сеть_и_дети'!C70*CapacityAge18*'19_Расчет_аналитики'!$F$3247,0),0)</f>
        <v/>
      </c>
      <c r="D3573">
        <f>IF('01_Вводные'!$B$234="Да",IF(IF('01_Вводные'!$B$296="Новый сезон",TRUE,TRUE),'06_Сеть_и_дети'!D70*CapacityAge18*'19_Расчет_аналитики'!$F$3247,0),0)</f>
        <v/>
      </c>
      <c r="E3573">
        <f>IF('01_Вводные'!$B$234="Да",IF(IF('01_Вводные'!$B$296="Новый сезон",TRUE,TRUE),'06_Сеть_и_дети'!E70*CapacityAge18*'19_Расчет_аналитики'!$F$3247,0),0)</f>
        <v/>
      </c>
      <c r="F3573">
        <f>IF('01_Вводные'!$B$234="Да",IF(IF('01_Вводные'!$B$296="Новый сезон",TRUE,TRUE),'06_Сеть_и_дети'!F70*CapacityAge18*'19_Расчет_аналитики'!$F$3247,0),0)</f>
        <v/>
      </c>
      <c r="G3573">
        <f>IF('01_Вводные'!$B$234="Да",IF(IF('01_Вводные'!$B$296="Новый сезон",TRUE,TRUE),'06_Сеть_и_дети'!G70*CapacityAge18*'19_Расчет_аналитики'!$F$3247,0),0)</f>
        <v/>
      </c>
      <c r="H3573">
        <f>IF('01_Вводные'!$B$234="Да",IF(IF('01_Вводные'!$B$296="Новый сезон",TRUE,TRUE),'06_Сеть_и_дети'!H70*CapacityAge18*'19_Расчет_аналитики'!$F$3247,0),0)</f>
        <v/>
      </c>
      <c r="I3573">
        <f>IF('01_Вводные'!$B$234="Да",IF(IF('01_Вводные'!$B$296="Новый сезон",TRUE,TRUE),'06_Сеть_и_дети'!I70*CapacityAge18*'19_Расчет_аналитики'!$F$3247,0),0)</f>
        <v/>
      </c>
      <c r="J3573">
        <f>IF('01_Вводные'!$B$234="Да",IF(IF('01_Вводные'!$B$296="Новый сезон",TRUE,TRUE),'06_Сеть_и_дети'!J70*CapacityAge18*'19_Расчет_аналитики'!$F$3247,0),0)</f>
        <v/>
      </c>
      <c r="K3573">
        <f>IF('01_Вводные'!$B$234="Да",IF(IF('01_Вводные'!$B$296="Новый сезон",TRUE,TRUE),'06_Сеть_и_дети'!K70*CapacityAge18*'19_Расчет_аналитики'!$F$3247,0),0)</f>
        <v/>
      </c>
      <c r="L3573">
        <f>IF('01_Вводные'!$B$234="Да",IF(IF('01_Вводные'!$B$296="Новый сезон",TRUE,TRUE),'06_Сеть_и_дети'!L70*CapacityAge18*'19_Расчет_аналитики'!$F$3247,0),0)</f>
        <v/>
      </c>
      <c r="M3573">
        <f>IF('01_Вводные'!$B$234="Да",IF(IF('01_Вводные'!$B$296="Новый сезон",TRUE,TRUE),'06_Сеть_и_дети'!M70*CapacityAge18*'19_Расчет_аналитики'!$F$3247,0),0)</f>
        <v/>
      </c>
      <c r="N3573">
        <f>IF('01_Вводные'!$B$234="Да",IF(IF('01_Вводные'!$B$296="Новый сезон",TRUE,TRUE),'06_Сеть_и_дети'!N70*CapacityAge18*'19_Расчет_аналитики'!$F$3247,0),0)</f>
        <v/>
      </c>
      <c r="O3573">
        <f>IF('01_Вводные'!$B$234="Да",IF(IF('01_Вводные'!$B$296="Новый сезон",TRUE,TRUE),'06_Сеть_и_дети'!O70*CapacityAge18*'19_Расчет_аналитики'!$F$3247,0),0)</f>
        <v/>
      </c>
      <c r="P3573">
        <f>IF('01_Вводные'!$B$234="Да",IF(IF('01_Вводные'!$B$296="Новый сезон",TRUE,TRUE),'06_Сеть_и_дети'!P70*CapacityAge18*'19_Расчет_аналитики'!$F$3247,0),0)</f>
        <v/>
      </c>
      <c r="Q3573">
        <f>IF('01_Вводные'!$B$234="Да",IF(IF('01_Вводные'!$B$296="Новый сезон",TRUE,TRUE),'06_Сеть_и_дети'!Q70*CapacityAge18*'19_Расчет_аналитики'!$F$3247,0),0)</f>
        <v/>
      </c>
      <c r="R3573">
        <f>IF('01_Вводные'!$B$234="Да",IF(IF('01_Вводные'!$B$296="Новый сезон",TRUE,TRUE),'06_Сеть_и_дети'!R70*CapacityAge18*'19_Расчет_аналитики'!$F$3247,0),0)</f>
        <v/>
      </c>
      <c r="S3573">
        <f>IF('01_Вводные'!$B$234="Да",IF(IF('01_Вводные'!$B$296="Новый сезон",TRUE,TRUE),'19_Расчет_аналитики'!S3461*CapacityAge18*'19_Расчет_аналитики'!$F$3247,0),0)</f>
        <v/>
      </c>
      <c r="T3573">
        <f>IF('01_Вводные'!$B$234="Да",IF(IF('01_Вводные'!$B$296="Новый сезон",TRUE,TRUE),'19_Расчет_аналитики'!T3461*CapacityAge18*'19_Расчет_аналитики'!$F$3247,0),0)</f>
        <v/>
      </c>
      <c r="U3573">
        <f>IF('01_Вводные'!$B$234="Да",IF(IF('01_Вводные'!$B$296="Новый сезон",TRUE,TRUE),'19_Расчет_аналитики'!U3461*CapacityAge18*'19_Расчет_аналитики'!$F$3247,0),0)</f>
        <v/>
      </c>
      <c r="V3573">
        <f>IF('01_Вводные'!$B$234="Да",IF(IF('01_Вводные'!$B$296="Новый сезон",TRUE,TRUE),'19_Расчет_аналитики'!V3461*CapacityAge18*'19_Расчет_аналитики'!$F$3247,0),0)</f>
        <v/>
      </c>
      <c r="W3573">
        <f>IF('01_Вводные'!$B$234="Да",IF(IF('01_Вводные'!$B$296="Новый сезон",TRUE,TRUE),'19_Расчет_аналитики'!W3461*CapacityAge18*'19_Расчет_аналитики'!$F$3247,0),0)</f>
        <v/>
      </c>
      <c r="X3573">
        <f>IF('01_Вводные'!$B$234="Да",IF(IF('01_Вводные'!$B$296="Новый сезон",TRUE,TRUE),'19_Расчет_аналитики'!X3461*CapacityAge18*'19_Расчет_аналитики'!$F$3247,0),0)</f>
        <v/>
      </c>
      <c r="Y3573">
        <f>IF('01_Вводные'!$B$234="Да",IF(IF('01_Вводные'!$B$296="Новый сезон",TRUE,TRUE),'19_Расчет_аналитики'!Y3461*CapacityAge18*'19_Расчет_аналитики'!$F$3247,0),0)</f>
        <v/>
      </c>
      <c r="Z3573">
        <f>IF('01_Вводные'!$B$234="Да",IF(IF('01_Вводные'!$B$296="Новый сезон",TRUE,TRUE),'19_Расчет_аналитики'!Z3461*CapacityAge18*'19_Расчет_аналитики'!$F$3247,0),0)</f>
        <v/>
      </c>
      <c r="AA3573">
        <f>IF('01_Вводные'!$B$234="Да",IF(IF('01_Вводные'!$B$296="Новый сезон",TRUE,TRUE),'19_Расчет_аналитики'!AA3461*CapacityAge18*'19_Расчет_аналитики'!$F$3247,0),0)</f>
        <v/>
      </c>
      <c r="AB3573">
        <f>IF('01_Вводные'!$B$234="Да",IF(IF('01_Вводные'!$B$296="Новый сезон",TRUE,TRUE),'19_Расчет_аналитики'!AB3461*CapacityAge18*'19_Расчет_аналитики'!$F$3247,0),0)</f>
        <v/>
      </c>
      <c r="AC3573">
        <f>IF('01_Вводные'!$B$234="Да",IF(IF('01_Вводные'!$B$296="Новый сезон",TRUE,TRUE),'19_Расчет_аналитики'!AC3461*CapacityAge18*'19_Расчет_аналитики'!$F$3247,0),0)</f>
        <v/>
      </c>
      <c r="AD3573">
        <f>IF('01_Вводные'!$B$234="Да",IF(IF('01_Вводные'!$B$296="Новый сезон",TRUE,TRUE),'19_Расчет_аналитики'!AD3461*CapacityAge18*'19_Расчет_аналитики'!$F$3247,0),0)</f>
        <v/>
      </c>
      <c r="AE3573">
        <f>IF('01_Вводные'!$B$234="Да",IF(IF('01_Вводные'!$B$296="Новый сезон",TRUE,TRUE),'19_Расчет_аналитики'!AE3461*CapacityAge18*'19_Расчет_аналитики'!$F$3247,0),0)</f>
        <v/>
      </c>
      <c r="AF3573">
        <f>IF('01_Вводные'!$B$234="Да",IF(IF('01_Вводные'!$B$296="Новый сезон",TRUE,TRUE),'19_Расчет_аналитики'!AF3461*CapacityAge18*'19_Расчет_аналитики'!$F$3247,0),0)</f>
        <v/>
      </c>
      <c r="AG3573">
        <f>IF('01_Вводные'!$B$234="Да",IF(IF('01_Вводные'!$B$296="Новый сезон",TRUE,TRUE),'19_Расчет_аналитики'!AG3461*CapacityAge18*'19_Расчет_аналитики'!$F$3247,0),0)</f>
        <v/>
      </c>
      <c r="AH3573">
        <f>IF('01_Вводные'!$B$234="Да",IF(IF('01_Вводные'!$B$296="Новый сезон",TRUE,TRUE),'19_Расчет_аналитики'!AH3461*CapacityAge18*'19_Расчет_аналитики'!$F$3247,0),0)</f>
        <v/>
      </c>
      <c r="AI3573">
        <f>IF('01_Вводные'!$B$234="Да",IF(IF('01_Вводные'!$B$296="Новый сезон",TRUE,TRUE),'19_Расчет_аналитики'!AI3461*CapacityAge18*'19_Расчет_аналитики'!$F$3247,0),0)</f>
        <v/>
      </c>
      <c r="AJ3573">
        <f>IF('01_Вводные'!$B$234="Да",IF(IF('01_Вводные'!$B$296="Новый сезон",TRUE,TRUE),'19_Расчет_аналитики'!AJ3461*CapacityAge18*'19_Расчет_аналитики'!$F$3247,0),0)</f>
        <v/>
      </c>
      <c r="AK3573">
        <f>IF('01_Вводные'!$B$234="Да",IF(IF('01_Вводные'!$B$296="Новый сезон",TRUE,TRUE),'19_Расчет_аналитики'!AK3461*CapacityAge18*'19_Расчет_аналитики'!$F$3247,0),0)</f>
        <v/>
      </c>
      <c r="AL3573">
        <f>IF('01_Вводные'!$B$234="Да",IF(IF('01_Вводные'!$B$296="Новый сезон",TRUE,TRUE),'19_Расчет_аналитики'!AL3461*CapacityAge18*'19_Расчет_аналитики'!$F$3247,0),0)</f>
        <v/>
      </c>
      <c r="AM3573">
        <f>IF('01_Вводные'!$B$234="Да",IF(IF('01_Вводные'!$B$296="Новый сезон",TRUE,TRUE),'19_Расчет_аналитики'!AM3461*CapacityAge18*'19_Расчет_аналитики'!$F$3247,0),0)</f>
        <v/>
      </c>
      <c r="AN3573">
        <f>IF('01_Вводные'!$B$234="Да",IF(IF('01_Вводные'!$B$296="Новый сезон",TRUE,TRUE),'19_Расчет_аналитики'!AN3461*CapacityAge18*'19_Расчет_аналитики'!$F$3247,0),0)</f>
        <v/>
      </c>
      <c r="AO3573">
        <f>IF('01_Вводные'!$B$234="Да",IF(IF('01_Вводные'!$B$296="Новый сезон",TRUE,TRUE),'19_Расчет_аналитики'!AO3461*CapacityAge18*'19_Расчет_аналитики'!$F$3247,0),0)</f>
        <v/>
      </c>
      <c r="AP3573">
        <f>IF('01_Вводные'!$B$234="Да",IF(IF('01_Вводные'!$B$296="Новый сезон",TRUE,TRUE),'19_Расчет_аналитики'!AP3461*CapacityAge18*'19_Расчет_аналитики'!$F$3247,0),0)</f>
        <v/>
      </c>
      <c r="AQ3573">
        <f>IF('01_Вводные'!$B$234="Да",IF(IF('01_Вводные'!$B$296="Новый сезон",TRUE,TRUE),'19_Расчет_аналитики'!AQ3461*CapacityAge18*'19_Расчет_аналитики'!$F$3247,0),0)</f>
        <v/>
      </c>
      <c r="AR3573">
        <f>IF('01_Вводные'!$B$234="Да",IF(IF('01_Вводные'!$B$296="Новый сезон",TRUE,TRUE),'19_Расчет_аналитики'!AR3461*CapacityAge18*'19_Расчет_аналитики'!$F$3247,0),0)</f>
        <v/>
      </c>
      <c r="AS3573">
        <f>IF('01_Вводные'!$B$234="Да",IF(IF('01_Вводные'!$B$296="Новый сезон",TRUE,TRUE),'19_Расчет_аналитики'!AS3461*CapacityAge18*'19_Расчет_аналитики'!$F$3247,0),0)</f>
        <v/>
      </c>
      <c r="AT3573">
        <f>IF('01_Вводные'!$B$234="Да",IF(IF('01_Вводные'!$B$296="Новый сезон",TRUE,TRUE),'19_Расчет_аналитики'!AT3461*CapacityAge18*'19_Расчет_аналитики'!$F$3247,0),0)</f>
        <v/>
      </c>
      <c r="AU3573">
        <f>IF('01_Вводные'!$B$234="Да",IF(IF('01_Вводные'!$B$296="Новый сезон",TRUE,TRUE),'19_Расчет_аналитики'!AU3461*CapacityAge18*'19_Расчет_аналитики'!$F$3247,0),0)</f>
        <v/>
      </c>
      <c r="AV3573">
        <f>IF('01_Вводные'!$B$234="Да",IF(IF('01_Вводные'!$B$296="Новый сезон",TRUE,TRUE),'19_Расчет_аналитики'!AV3461*CapacityAge18*'19_Расчет_аналитики'!$F$3247,0),0)</f>
        <v/>
      </c>
      <c r="AW3573">
        <f>IF('01_Вводные'!$B$234="Да",IF(IF('01_Вводные'!$B$296="Новый сезон",TRUE,TRUE),'19_Расчет_аналитики'!AW3461*CapacityAge18*'19_Расчет_аналитики'!$F$3247,0),0)</f>
        <v/>
      </c>
      <c r="AX3573">
        <f>IF('01_Вводные'!$B$234="Да",IF(IF('01_Вводные'!$B$296="Новый сезон",TRUE,TRUE),'19_Расчет_аналитики'!AX3461*CapacityAge18*'19_Расчет_аналитики'!$F$3247,0),0)</f>
        <v/>
      </c>
      <c r="AY3573">
        <f>IF('01_Вводные'!$B$234="Да",IF(IF('01_Вводные'!$B$296="Новый сезон",TRUE,TRUE),'19_Расчет_аналитики'!AY3461*CapacityAge18*'19_Расчет_аналитики'!$F$3247,0),0)</f>
        <v/>
      </c>
      <c r="AZ3573">
        <f>IF('01_Вводные'!$B$234="Да",IF(IF('01_Вводные'!$B$296="Новый сезон",TRUE,TRUE),'19_Расчет_аналитики'!AZ3461*CapacityAge18*'19_Расчет_аналитики'!$F$3247,0),0)</f>
        <v/>
      </c>
      <c r="BA3573">
        <f>IF('01_Вводные'!$B$234="Да",IF(IF('01_Вводные'!$B$296="Новый сезон",TRUE,TRUE),'19_Расчет_аналитики'!BA3461*CapacityAge18*'19_Расчет_аналитики'!$F$3247,0),0)</f>
        <v/>
      </c>
      <c r="BB3573">
        <f>IF('01_Вводные'!$B$234="Да",IF(IF('01_Вводные'!$B$296="Новый сезон",TRUE,TRUE),'19_Расчет_аналитики'!BB3461*CapacityAge18*'19_Расчет_аналитики'!$F$3247,0),0)</f>
        <v/>
      </c>
      <c r="BC3573">
        <f>IF('01_Вводные'!$B$234="Да",IF(IF('01_Вводные'!$B$296="Новый сезон",TRUE,TRUE),'19_Расчет_аналитики'!BC3461*CapacityAge18*'19_Расчет_аналитики'!$F$3247,0),0)</f>
        <v/>
      </c>
      <c r="BD3573">
        <f>IF('01_Вводные'!$B$234="Да",IF(IF('01_Вводные'!$B$296="Новый сезон",TRUE,TRUE),'19_Расчет_аналитики'!BD3461*CapacityAge18*'19_Расчет_аналитики'!$F$3247,0),0)</f>
        <v/>
      </c>
      <c r="BE3573">
        <f>IF('01_Вводные'!$B$234="Да",IF(IF('01_Вводные'!$B$296="Новый сезон",TRUE,TRUE),'19_Расчет_аналитики'!BE3461*CapacityAge18*'19_Расчет_аналитики'!$F$3247,0),0)</f>
        <v/>
      </c>
      <c r="BF3573">
        <f>IF('01_Вводные'!$B$234="Да",IF(IF('01_Вводные'!$B$296="Новый сезон",TRUE,TRUE),'19_Расчет_аналитики'!BF3461*CapacityAge18*'19_Расчет_аналитики'!$F$3247,0),0)</f>
        <v/>
      </c>
      <c r="BG3573">
        <f>IF('01_Вводные'!$B$234="Да",IF(IF('01_Вводные'!$B$296="Новый сезон",TRUE,TRUE),'19_Расчет_аналитики'!BG3461*CapacityAge18*'19_Расчет_аналитики'!$F$3247,0),0)</f>
        <v/>
      </c>
      <c r="BH3573">
        <f>IF('01_Вводные'!$B$234="Да",IF(IF('01_Вводные'!$B$296="Новый сезон",TRUE,TRUE),'19_Расчет_аналитики'!BH3461*CapacityAge18*'19_Расчет_аналитики'!$F$3247,0),0)</f>
        <v/>
      </c>
      <c r="BI3573">
        <f>IF('01_Вводные'!$B$234="Да",IF(IF('01_Вводные'!$B$296="Новый сезон",TRUE,TRUE),'19_Расчет_аналитики'!BI3461*CapacityAge18*'19_Расчет_аналитики'!$F$3247,0),0)</f>
        <v/>
      </c>
      <c r="BJ3573">
        <f>IF('01_Вводные'!$B$234="Да",IF(IF('01_Вводные'!$B$296="Новый сезон",TRUE,TRUE),'19_Расчет_аналитики'!BJ3461*CapacityAge18*'19_Расчет_аналитики'!$F$3247,0),0)</f>
        <v/>
      </c>
      <c r="BK3573">
        <f>IF('01_Вводные'!$B$234="Да",IF(IF('01_Вводные'!$B$296="Новый сезон",TRUE,TRUE),'19_Расчет_аналитики'!BK3461*CapacityAge18*'19_Расчет_аналитики'!$F$3247,0),0)</f>
        <v/>
      </c>
      <c r="BL3573">
        <f>IF('01_Вводные'!$B$234="Да",IF(IF('01_Вводные'!$B$296="Новый сезон",TRUE,TRUE),'19_Расчет_аналитики'!BL3461*CapacityAge18*'19_Расчет_аналитики'!$F$3247,0),0)</f>
        <v/>
      </c>
      <c r="BM3573">
        <f>IF('01_Вводные'!$B$234="Да",IF(IF('01_Вводные'!$B$296="Новый сезон",TRUE,TRUE),'19_Расчет_аналитики'!BM3461*CapacityAge18*'19_Расчет_аналитики'!$F$3247,0),0)</f>
        <v/>
      </c>
      <c r="BN3573">
        <f>IF('01_Вводные'!$B$234="Да",IF(IF('01_Вводные'!$B$296="Новый сезон",TRUE,TRUE),'19_Расчет_аналитики'!BN3461*CapacityAge18*'19_Расчет_аналитики'!$F$3247,0),0)</f>
        <v/>
      </c>
      <c r="BO3573">
        <f>IF('01_Вводные'!$B$234="Да",IF(IF('01_Вводные'!$B$296="Новый сезон",TRUE,TRUE),'19_Расчет_аналитики'!BO3461*CapacityAge18*'19_Расчет_аналитики'!$F$3247,0),0)</f>
        <v/>
      </c>
    </row>
    <row r="3574">
      <c r="B3574">
        <f>IF('01_Вводные'!$B$234="Да",IF(IF('01_Вводные'!$B$296="Новый сезон",TRUE,TRUE),'06_Сеть_и_дети'!B71*CapacityAge19*'19_Расчет_аналитики'!$F$3247,0),0)</f>
        <v/>
      </c>
      <c r="C3574">
        <f>IF('01_Вводные'!$B$234="Да",IF(IF('01_Вводные'!$B$296="Новый сезон",TRUE,TRUE),'06_Сеть_и_дети'!C71*CapacityAge19*'19_Расчет_аналитики'!$F$3247,0),0)</f>
        <v/>
      </c>
      <c r="D3574">
        <f>IF('01_Вводные'!$B$234="Да",IF(IF('01_Вводные'!$B$296="Новый сезон",TRUE,TRUE),'06_Сеть_и_дети'!D71*CapacityAge19*'19_Расчет_аналитики'!$F$3247,0),0)</f>
        <v/>
      </c>
      <c r="E3574">
        <f>IF('01_Вводные'!$B$234="Да",IF(IF('01_Вводные'!$B$296="Новый сезон",TRUE,TRUE),'06_Сеть_и_дети'!E71*CapacityAge19*'19_Расчет_аналитики'!$F$3247,0),0)</f>
        <v/>
      </c>
      <c r="F3574">
        <f>IF('01_Вводные'!$B$234="Да",IF(IF('01_Вводные'!$B$296="Новый сезон",TRUE,TRUE),'06_Сеть_и_дети'!F71*CapacityAge19*'19_Расчет_аналитики'!$F$3247,0),0)</f>
        <v/>
      </c>
      <c r="G3574">
        <f>IF('01_Вводные'!$B$234="Да",IF(IF('01_Вводные'!$B$296="Новый сезон",TRUE,TRUE),'06_Сеть_и_дети'!G71*CapacityAge19*'19_Расчет_аналитики'!$F$3247,0),0)</f>
        <v/>
      </c>
      <c r="H3574">
        <f>IF('01_Вводные'!$B$234="Да",IF(IF('01_Вводные'!$B$296="Новый сезон",TRUE,TRUE),'06_Сеть_и_дети'!H71*CapacityAge19*'19_Расчет_аналитики'!$F$3247,0),0)</f>
        <v/>
      </c>
      <c r="I3574">
        <f>IF('01_Вводные'!$B$234="Да",IF(IF('01_Вводные'!$B$296="Новый сезон",TRUE,TRUE),'06_Сеть_и_дети'!I71*CapacityAge19*'19_Расчет_аналитики'!$F$3247,0),0)</f>
        <v/>
      </c>
      <c r="J3574">
        <f>IF('01_Вводные'!$B$234="Да",IF(IF('01_Вводные'!$B$296="Новый сезон",TRUE,TRUE),'06_Сеть_и_дети'!J71*CapacityAge19*'19_Расчет_аналитики'!$F$3247,0),0)</f>
        <v/>
      </c>
      <c r="K3574">
        <f>IF('01_Вводные'!$B$234="Да",IF(IF('01_Вводные'!$B$296="Новый сезон",TRUE,TRUE),'06_Сеть_и_дети'!K71*CapacityAge19*'19_Расчет_аналитики'!$F$3247,0),0)</f>
        <v/>
      </c>
      <c r="L3574">
        <f>IF('01_Вводные'!$B$234="Да",IF(IF('01_Вводные'!$B$296="Новый сезон",TRUE,TRUE),'06_Сеть_и_дети'!L71*CapacityAge19*'19_Расчет_аналитики'!$F$3247,0),0)</f>
        <v/>
      </c>
      <c r="M3574">
        <f>IF('01_Вводные'!$B$234="Да",IF(IF('01_Вводные'!$B$296="Новый сезон",TRUE,TRUE),'06_Сеть_и_дети'!M71*CapacityAge19*'19_Расчет_аналитики'!$F$3247,0),0)</f>
        <v/>
      </c>
      <c r="N3574">
        <f>IF('01_Вводные'!$B$234="Да",IF(IF('01_Вводные'!$B$296="Новый сезон",TRUE,TRUE),'06_Сеть_и_дети'!N71*CapacityAge19*'19_Расчет_аналитики'!$F$3247,0),0)</f>
        <v/>
      </c>
      <c r="O3574">
        <f>IF('01_Вводные'!$B$234="Да",IF(IF('01_Вводные'!$B$296="Новый сезон",TRUE,TRUE),'06_Сеть_и_дети'!O71*CapacityAge19*'19_Расчет_аналитики'!$F$3247,0),0)</f>
        <v/>
      </c>
      <c r="P3574">
        <f>IF('01_Вводные'!$B$234="Да",IF(IF('01_Вводные'!$B$296="Новый сезон",TRUE,TRUE),'06_Сеть_и_дети'!P71*CapacityAge19*'19_Расчет_аналитики'!$F$3247,0),0)</f>
        <v/>
      </c>
      <c r="Q3574">
        <f>IF('01_Вводные'!$B$234="Да",IF(IF('01_Вводные'!$B$296="Новый сезон",TRUE,TRUE),'06_Сеть_и_дети'!Q71*CapacityAge19*'19_Расчет_аналитики'!$F$3247,0),0)</f>
        <v/>
      </c>
      <c r="R3574">
        <f>IF('01_Вводные'!$B$234="Да",IF(IF('01_Вводные'!$B$296="Новый сезон",TRUE,TRUE),'06_Сеть_и_дети'!R71*CapacityAge19*'19_Расчет_аналитики'!$F$3247,0),0)</f>
        <v/>
      </c>
      <c r="S3574">
        <f>IF('01_Вводные'!$B$234="Да",IF(IF('01_Вводные'!$B$296="Новый сезон",TRUE,TRUE),'06_Сеть_и_дети'!S71*CapacityAge19*'19_Расчет_аналитики'!$F$3247,0),0)</f>
        <v/>
      </c>
      <c r="T3574">
        <f>IF('01_Вводные'!$B$234="Да",IF(IF('01_Вводные'!$B$296="Новый сезон",TRUE,TRUE),'19_Расчет_аналитики'!T3462*CapacityAge19*'19_Расчет_аналитики'!$F$3247,0),0)</f>
        <v/>
      </c>
      <c r="U3574">
        <f>IF('01_Вводные'!$B$234="Да",IF(IF('01_Вводные'!$B$296="Новый сезон",TRUE,TRUE),'19_Расчет_аналитики'!U3462*CapacityAge19*'19_Расчет_аналитики'!$F$3247,0),0)</f>
        <v/>
      </c>
      <c r="V3574">
        <f>IF('01_Вводные'!$B$234="Да",IF(IF('01_Вводные'!$B$296="Новый сезон",TRUE,TRUE),'19_Расчет_аналитики'!V3462*CapacityAge19*'19_Расчет_аналитики'!$F$3247,0),0)</f>
        <v/>
      </c>
      <c r="W3574">
        <f>IF('01_Вводные'!$B$234="Да",IF(IF('01_Вводные'!$B$296="Новый сезон",TRUE,TRUE),'19_Расчет_аналитики'!W3462*CapacityAge19*'19_Расчет_аналитики'!$F$3247,0),0)</f>
        <v/>
      </c>
      <c r="X3574">
        <f>IF('01_Вводные'!$B$234="Да",IF(IF('01_Вводные'!$B$296="Новый сезон",TRUE,TRUE),'19_Расчет_аналитики'!X3462*CapacityAge19*'19_Расчет_аналитики'!$F$3247,0),0)</f>
        <v/>
      </c>
      <c r="Y3574">
        <f>IF('01_Вводные'!$B$234="Да",IF(IF('01_Вводные'!$B$296="Новый сезон",TRUE,TRUE),'19_Расчет_аналитики'!Y3462*CapacityAge19*'19_Расчет_аналитики'!$F$3247,0),0)</f>
        <v/>
      </c>
      <c r="Z3574">
        <f>IF('01_Вводные'!$B$234="Да",IF(IF('01_Вводные'!$B$296="Новый сезон",TRUE,TRUE),'19_Расчет_аналитики'!Z3462*CapacityAge19*'19_Расчет_аналитики'!$F$3247,0),0)</f>
        <v/>
      </c>
      <c r="AA3574">
        <f>IF('01_Вводные'!$B$234="Да",IF(IF('01_Вводные'!$B$296="Новый сезон",TRUE,TRUE),'19_Расчет_аналитики'!AA3462*CapacityAge19*'19_Расчет_аналитики'!$F$3247,0),0)</f>
        <v/>
      </c>
      <c r="AB3574">
        <f>IF('01_Вводные'!$B$234="Да",IF(IF('01_Вводные'!$B$296="Новый сезон",TRUE,TRUE),'19_Расчет_аналитики'!AB3462*CapacityAge19*'19_Расчет_аналитики'!$F$3247,0),0)</f>
        <v/>
      </c>
      <c r="AC3574">
        <f>IF('01_Вводные'!$B$234="Да",IF(IF('01_Вводные'!$B$296="Новый сезон",TRUE,TRUE),'19_Расчет_аналитики'!AC3462*CapacityAge19*'19_Расчет_аналитики'!$F$3247,0),0)</f>
        <v/>
      </c>
      <c r="AD3574">
        <f>IF('01_Вводные'!$B$234="Да",IF(IF('01_Вводные'!$B$296="Новый сезон",TRUE,TRUE),'19_Расчет_аналитики'!AD3462*CapacityAge19*'19_Расчет_аналитики'!$F$3247,0),0)</f>
        <v/>
      </c>
      <c r="AE3574">
        <f>IF('01_Вводные'!$B$234="Да",IF(IF('01_Вводные'!$B$296="Новый сезон",TRUE,TRUE),'19_Расчет_аналитики'!AE3462*CapacityAge19*'19_Расчет_аналитики'!$F$3247,0),0)</f>
        <v/>
      </c>
      <c r="AF3574">
        <f>IF('01_Вводные'!$B$234="Да",IF(IF('01_Вводные'!$B$296="Новый сезон",TRUE,TRUE),'19_Расчет_аналитики'!AF3462*CapacityAge19*'19_Расчет_аналитики'!$F$3247,0),0)</f>
        <v/>
      </c>
      <c r="AG3574">
        <f>IF('01_Вводные'!$B$234="Да",IF(IF('01_Вводные'!$B$296="Новый сезон",TRUE,TRUE),'19_Расчет_аналитики'!AG3462*CapacityAge19*'19_Расчет_аналитики'!$F$3247,0),0)</f>
        <v/>
      </c>
      <c r="AH3574">
        <f>IF('01_Вводные'!$B$234="Да",IF(IF('01_Вводные'!$B$296="Новый сезон",TRUE,TRUE),'19_Расчет_аналитики'!AH3462*CapacityAge19*'19_Расчет_аналитики'!$F$3247,0),0)</f>
        <v/>
      </c>
      <c r="AI3574">
        <f>IF('01_Вводные'!$B$234="Да",IF(IF('01_Вводные'!$B$296="Новый сезон",TRUE,TRUE),'19_Расчет_аналитики'!AI3462*CapacityAge19*'19_Расчет_аналитики'!$F$3247,0),0)</f>
        <v/>
      </c>
      <c r="AJ3574">
        <f>IF('01_Вводные'!$B$234="Да",IF(IF('01_Вводные'!$B$296="Новый сезон",TRUE,TRUE),'19_Расчет_аналитики'!AJ3462*CapacityAge19*'19_Расчет_аналитики'!$F$3247,0),0)</f>
        <v/>
      </c>
      <c r="AK3574">
        <f>IF('01_Вводные'!$B$234="Да",IF(IF('01_Вводные'!$B$296="Новый сезон",TRUE,TRUE),'19_Расчет_аналитики'!AK3462*CapacityAge19*'19_Расчет_аналитики'!$F$3247,0),0)</f>
        <v/>
      </c>
      <c r="AL3574">
        <f>IF('01_Вводные'!$B$234="Да",IF(IF('01_Вводные'!$B$296="Новый сезон",TRUE,TRUE),'19_Расчет_аналитики'!AL3462*CapacityAge19*'19_Расчет_аналитики'!$F$3247,0),0)</f>
        <v/>
      </c>
      <c r="AM3574">
        <f>IF('01_Вводные'!$B$234="Да",IF(IF('01_Вводные'!$B$296="Новый сезон",TRUE,TRUE),'19_Расчет_аналитики'!AM3462*CapacityAge19*'19_Расчет_аналитики'!$F$3247,0),0)</f>
        <v/>
      </c>
      <c r="AN3574">
        <f>IF('01_Вводные'!$B$234="Да",IF(IF('01_Вводные'!$B$296="Новый сезон",TRUE,TRUE),'19_Расчет_аналитики'!AN3462*CapacityAge19*'19_Расчет_аналитики'!$F$3247,0),0)</f>
        <v/>
      </c>
      <c r="AO3574">
        <f>IF('01_Вводные'!$B$234="Да",IF(IF('01_Вводные'!$B$296="Новый сезон",TRUE,TRUE),'19_Расчет_аналитики'!AO3462*CapacityAge19*'19_Расчет_аналитики'!$F$3247,0),0)</f>
        <v/>
      </c>
      <c r="AP3574">
        <f>IF('01_Вводные'!$B$234="Да",IF(IF('01_Вводные'!$B$296="Новый сезон",TRUE,TRUE),'19_Расчет_аналитики'!AP3462*CapacityAge19*'19_Расчет_аналитики'!$F$3247,0),0)</f>
        <v/>
      </c>
      <c r="AQ3574">
        <f>IF('01_Вводные'!$B$234="Да",IF(IF('01_Вводные'!$B$296="Новый сезон",TRUE,TRUE),'19_Расчет_аналитики'!AQ3462*CapacityAge19*'19_Расчет_аналитики'!$F$3247,0),0)</f>
        <v/>
      </c>
      <c r="AR3574">
        <f>IF('01_Вводные'!$B$234="Да",IF(IF('01_Вводные'!$B$296="Новый сезон",TRUE,TRUE),'19_Расчет_аналитики'!AR3462*CapacityAge19*'19_Расчет_аналитики'!$F$3247,0),0)</f>
        <v/>
      </c>
      <c r="AS3574">
        <f>IF('01_Вводные'!$B$234="Да",IF(IF('01_Вводные'!$B$296="Новый сезон",TRUE,TRUE),'19_Расчет_аналитики'!AS3462*CapacityAge19*'19_Расчет_аналитики'!$F$3247,0),0)</f>
        <v/>
      </c>
      <c r="AT3574">
        <f>IF('01_Вводные'!$B$234="Да",IF(IF('01_Вводные'!$B$296="Новый сезон",TRUE,TRUE),'19_Расчет_аналитики'!AT3462*CapacityAge19*'19_Расчет_аналитики'!$F$3247,0),0)</f>
        <v/>
      </c>
      <c r="AU3574">
        <f>IF('01_Вводные'!$B$234="Да",IF(IF('01_Вводные'!$B$296="Новый сезон",TRUE,TRUE),'19_Расчет_аналитики'!AU3462*CapacityAge19*'19_Расчет_аналитики'!$F$3247,0),0)</f>
        <v/>
      </c>
      <c r="AV3574">
        <f>IF('01_Вводные'!$B$234="Да",IF(IF('01_Вводные'!$B$296="Новый сезон",TRUE,TRUE),'19_Расчет_аналитики'!AV3462*CapacityAge19*'19_Расчет_аналитики'!$F$3247,0),0)</f>
        <v/>
      </c>
      <c r="AW3574">
        <f>IF('01_Вводные'!$B$234="Да",IF(IF('01_Вводные'!$B$296="Новый сезон",TRUE,TRUE),'19_Расчет_аналитики'!AW3462*CapacityAge19*'19_Расчет_аналитики'!$F$3247,0),0)</f>
        <v/>
      </c>
      <c r="AX3574">
        <f>IF('01_Вводные'!$B$234="Да",IF(IF('01_Вводные'!$B$296="Новый сезон",TRUE,TRUE),'19_Расчет_аналитики'!AX3462*CapacityAge19*'19_Расчет_аналитики'!$F$3247,0),0)</f>
        <v/>
      </c>
      <c r="AY3574">
        <f>IF('01_Вводные'!$B$234="Да",IF(IF('01_Вводные'!$B$296="Новый сезон",TRUE,TRUE),'19_Расчет_аналитики'!AY3462*CapacityAge19*'19_Расчет_аналитики'!$F$3247,0),0)</f>
        <v/>
      </c>
      <c r="AZ3574">
        <f>IF('01_Вводные'!$B$234="Да",IF(IF('01_Вводные'!$B$296="Новый сезон",TRUE,TRUE),'19_Расчет_аналитики'!AZ3462*CapacityAge19*'19_Расчет_аналитики'!$F$3247,0),0)</f>
        <v/>
      </c>
      <c r="BA3574">
        <f>IF('01_Вводные'!$B$234="Да",IF(IF('01_Вводные'!$B$296="Новый сезон",TRUE,TRUE),'19_Расчет_аналитики'!BA3462*CapacityAge19*'19_Расчет_аналитики'!$F$3247,0),0)</f>
        <v/>
      </c>
      <c r="BB3574">
        <f>IF('01_Вводные'!$B$234="Да",IF(IF('01_Вводные'!$B$296="Новый сезон",TRUE,TRUE),'19_Расчет_аналитики'!BB3462*CapacityAge19*'19_Расчет_аналитики'!$F$3247,0),0)</f>
        <v/>
      </c>
      <c r="BC3574">
        <f>IF('01_Вводные'!$B$234="Да",IF(IF('01_Вводные'!$B$296="Новый сезон",TRUE,TRUE),'19_Расчет_аналитики'!BC3462*CapacityAge19*'19_Расчет_аналитики'!$F$3247,0),0)</f>
        <v/>
      </c>
      <c r="BD3574">
        <f>IF('01_Вводные'!$B$234="Да",IF(IF('01_Вводные'!$B$296="Новый сезон",TRUE,TRUE),'19_Расчет_аналитики'!BD3462*CapacityAge19*'19_Расчет_аналитики'!$F$3247,0),0)</f>
        <v/>
      </c>
      <c r="BE3574">
        <f>IF('01_Вводные'!$B$234="Да",IF(IF('01_Вводные'!$B$296="Новый сезон",TRUE,TRUE),'19_Расчет_аналитики'!BE3462*CapacityAge19*'19_Расчет_аналитики'!$F$3247,0),0)</f>
        <v/>
      </c>
      <c r="BF3574">
        <f>IF('01_Вводные'!$B$234="Да",IF(IF('01_Вводные'!$B$296="Новый сезон",TRUE,TRUE),'19_Расчет_аналитики'!BF3462*CapacityAge19*'19_Расчет_аналитики'!$F$3247,0),0)</f>
        <v/>
      </c>
      <c r="BG3574">
        <f>IF('01_Вводные'!$B$234="Да",IF(IF('01_Вводные'!$B$296="Новый сезон",TRUE,TRUE),'19_Расчет_аналитики'!BG3462*CapacityAge19*'19_Расчет_аналитики'!$F$3247,0),0)</f>
        <v/>
      </c>
      <c r="BH3574">
        <f>IF('01_Вводные'!$B$234="Да",IF(IF('01_Вводные'!$B$296="Новый сезон",TRUE,TRUE),'19_Расчет_аналитики'!BH3462*CapacityAge19*'19_Расчет_аналитики'!$F$3247,0),0)</f>
        <v/>
      </c>
      <c r="BI3574">
        <f>IF('01_Вводные'!$B$234="Да",IF(IF('01_Вводные'!$B$296="Новый сезон",TRUE,TRUE),'19_Расчет_аналитики'!BI3462*CapacityAge19*'19_Расчет_аналитики'!$F$3247,0),0)</f>
        <v/>
      </c>
      <c r="BJ3574">
        <f>IF('01_Вводные'!$B$234="Да",IF(IF('01_Вводные'!$B$296="Новый сезон",TRUE,TRUE),'19_Расчет_аналитики'!BJ3462*CapacityAge19*'19_Расчет_аналитики'!$F$3247,0),0)</f>
        <v/>
      </c>
      <c r="BK3574">
        <f>IF('01_Вводные'!$B$234="Да",IF(IF('01_Вводные'!$B$296="Новый сезон",TRUE,TRUE),'19_Расчет_аналитики'!BK3462*CapacityAge19*'19_Расчет_аналитики'!$F$3247,0),0)</f>
        <v/>
      </c>
      <c r="BL3574">
        <f>IF('01_Вводные'!$B$234="Да",IF(IF('01_Вводные'!$B$296="Новый сезон",TRUE,TRUE),'19_Расчет_аналитики'!BL3462*CapacityAge19*'19_Расчет_аналитики'!$F$3247,0),0)</f>
        <v/>
      </c>
      <c r="BM3574">
        <f>IF('01_Вводные'!$B$234="Да",IF(IF('01_Вводные'!$B$296="Новый сезон",TRUE,TRUE),'19_Расчет_аналитики'!BM3462*CapacityAge19*'19_Расчет_аналитики'!$F$3247,0),0)</f>
        <v/>
      </c>
      <c r="BN3574">
        <f>IF('01_Вводные'!$B$234="Да",IF(IF('01_Вводные'!$B$296="Новый сезон",TRUE,TRUE),'19_Расчет_аналитики'!BN3462*CapacityAge19*'19_Расчет_аналитики'!$F$3247,0),0)</f>
        <v/>
      </c>
      <c r="BO3574">
        <f>IF('01_Вводные'!$B$234="Да",IF(IF('01_Вводные'!$B$296="Новый сезон",TRUE,TRUE),'19_Расчет_аналитики'!BO3462*CapacityAge19*'19_Расчет_аналитики'!$F$3247,0),0)</f>
        <v/>
      </c>
    </row>
    <row r="3575">
      <c r="B3575">
        <f>IF('01_Вводные'!$B$234="Да",IF(IF('01_Вводные'!$B$296="Новый сезон",TRUE,TRUE),'06_Сеть_и_дети'!B72*CapacityAge20*'19_Расчет_аналитики'!$F$3247,0),0)</f>
        <v/>
      </c>
      <c r="C3575">
        <f>IF('01_Вводные'!$B$234="Да",IF(IF('01_Вводные'!$B$296="Новый сезон",TRUE,TRUE),'06_Сеть_и_дети'!C72*CapacityAge20*'19_Расчет_аналитики'!$F$3247,0),0)</f>
        <v/>
      </c>
      <c r="D3575">
        <f>IF('01_Вводные'!$B$234="Да",IF(IF('01_Вводные'!$B$296="Новый сезон",TRUE,TRUE),'06_Сеть_и_дети'!D72*CapacityAge20*'19_Расчет_аналитики'!$F$3247,0),0)</f>
        <v/>
      </c>
      <c r="E3575">
        <f>IF('01_Вводные'!$B$234="Да",IF(IF('01_Вводные'!$B$296="Новый сезон",TRUE,TRUE),'06_Сеть_и_дети'!E72*CapacityAge20*'19_Расчет_аналитики'!$F$3247,0),0)</f>
        <v/>
      </c>
      <c r="F3575">
        <f>IF('01_Вводные'!$B$234="Да",IF(IF('01_Вводные'!$B$296="Новый сезон",TRUE,TRUE),'06_Сеть_и_дети'!F72*CapacityAge20*'19_Расчет_аналитики'!$F$3247,0),0)</f>
        <v/>
      </c>
      <c r="G3575">
        <f>IF('01_Вводные'!$B$234="Да",IF(IF('01_Вводные'!$B$296="Новый сезон",TRUE,TRUE),'06_Сеть_и_дети'!G72*CapacityAge20*'19_Расчет_аналитики'!$F$3247,0),0)</f>
        <v/>
      </c>
      <c r="H3575">
        <f>IF('01_Вводные'!$B$234="Да",IF(IF('01_Вводные'!$B$296="Новый сезон",TRUE,TRUE),'06_Сеть_и_дети'!H72*CapacityAge20*'19_Расчет_аналитики'!$F$3247,0),0)</f>
        <v/>
      </c>
      <c r="I3575">
        <f>IF('01_Вводные'!$B$234="Да",IF(IF('01_Вводные'!$B$296="Новый сезон",TRUE,TRUE),'06_Сеть_и_дети'!I72*CapacityAge20*'19_Расчет_аналитики'!$F$3247,0),0)</f>
        <v/>
      </c>
      <c r="J3575">
        <f>IF('01_Вводные'!$B$234="Да",IF(IF('01_Вводные'!$B$296="Новый сезон",TRUE,TRUE),'06_Сеть_и_дети'!J72*CapacityAge20*'19_Расчет_аналитики'!$F$3247,0),0)</f>
        <v/>
      </c>
      <c r="K3575">
        <f>IF('01_Вводные'!$B$234="Да",IF(IF('01_Вводные'!$B$296="Новый сезон",TRUE,TRUE),'06_Сеть_и_дети'!K72*CapacityAge20*'19_Расчет_аналитики'!$F$3247,0),0)</f>
        <v/>
      </c>
      <c r="L3575">
        <f>IF('01_Вводные'!$B$234="Да",IF(IF('01_Вводные'!$B$296="Новый сезон",TRUE,TRUE),'06_Сеть_и_дети'!L72*CapacityAge20*'19_Расчет_аналитики'!$F$3247,0),0)</f>
        <v/>
      </c>
      <c r="M3575">
        <f>IF('01_Вводные'!$B$234="Да",IF(IF('01_Вводные'!$B$296="Новый сезон",TRUE,TRUE),'06_Сеть_и_дети'!M72*CapacityAge20*'19_Расчет_аналитики'!$F$3247,0),0)</f>
        <v/>
      </c>
      <c r="N3575">
        <f>IF('01_Вводные'!$B$234="Да",IF(IF('01_Вводные'!$B$296="Новый сезон",TRUE,TRUE),'06_Сеть_и_дети'!N72*CapacityAge20*'19_Расчет_аналитики'!$F$3247,0),0)</f>
        <v/>
      </c>
      <c r="O3575">
        <f>IF('01_Вводные'!$B$234="Да",IF(IF('01_Вводные'!$B$296="Новый сезон",TRUE,TRUE),'06_Сеть_и_дети'!O72*CapacityAge20*'19_Расчет_аналитики'!$F$3247,0),0)</f>
        <v/>
      </c>
      <c r="P3575">
        <f>IF('01_Вводные'!$B$234="Да",IF(IF('01_Вводные'!$B$296="Новый сезон",TRUE,TRUE),'06_Сеть_и_дети'!P72*CapacityAge20*'19_Расчет_аналитики'!$F$3247,0),0)</f>
        <v/>
      </c>
      <c r="Q3575">
        <f>IF('01_Вводные'!$B$234="Да",IF(IF('01_Вводные'!$B$296="Новый сезон",TRUE,TRUE),'06_Сеть_и_дети'!Q72*CapacityAge20*'19_Расчет_аналитики'!$F$3247,0),0)</f>
        <v/>
      </c>
      <c r="R3575">
        <f>IF('01_Вводные'!$B$234="Да",IF(IF('01_Вводные'!$B$296="Новый сезон",TRUE,TRUE),'06_Сеть_и_дети'!R72*CapacityAge20*'19_Расчет_аналитики'!$F$3247,0),0)</f>
        <v/>
      </c>
      <c r="S3575">
        <f>IF('01_Вводные'!$B$234="Да",IF(IF('01_Вводные'!$B$296="Новый сезон",TRUE,TRUE),'06_Сеть_и_дети'!S72*CapacityAge20*'19_Расчет_аналитики'!$F$3247,0),0)</f>
        <v/>
      </c>
      <c r="T3575">
        <f>IF('01_Вводные'!$B$234="Да",IF(IF('01_Вводные'!$B$296="Новый сезон",TRUE,TRUE),'06_Сеть_и_дети'!T72*CapacityAge20*'19_Расчет_аналитики'!$F$3247,0),0)</f>
        <v/>
      </c>
      <c r="U3575">
        <f>IF('01_Вводные'!$B$234="Да",IF(IF('01_Вводные'!$B$296="Новый сезон",TRUE,TRUE),'19_Расчет_аналитики'!U3463*CapacityAge20*'19_Расчет_аналитики'!$F$3247,0),0)</f>
        <v/>
      </c>
      <c r="V3575">
        <f>IF('01_Вводные'!$B$234="Да",IF(IF('01_Вводные'!$B$296="Новый сезон",TRUE,TRUE),'19_Расчет_аналитики'!V3463*CapacityAge20*'19_Расчет_аналитики'!$F$3247,0),0)</f>
        <v/>
      </c>
      <c r="W3575">
        <f>IF('01_Вводные'!$B$234="Да",IF(IF('01_Вводные'!$B$296="Новый сезон",TRUE,TRUE),'19_Расчет_аналитики'!W3463*CapacityAge20*'19_Расчет_аналитики'!$F$3247,0),0)</f>
        <v/>
      </c>
      <c r="X3575">
        <f>IF('01_Вводные'!$B$234="Да",IF(IF('01_Вводные'!$B$296="Новый сезон",TRUE,TRUE),'19_Расчет_аналитики'!X3463*CapacityAge20*'19_Расчет_аналитики'!$F$3247,0),0)</f>
        <v/>
      </c>
      <c r="Y3575">
        <f>IF('01_Вводные'!$B$234="Да",IF(IF('01_Вводные'!$B$296="Новый сезон",TRUE,TRUE),'19_Расчет_аналитики'!Y3463*CapacityAge20*'19_Расчет_аналитики'!$F$3247,0),0)</f>
        <v/>
      </c>
      <c r="Z3575">
        <f>IF('01_Вводные'!$B$234="Да",IF(IF('01_Вводные'!$B$296="Новый сезон",TRUE,TRUE),'19_Расчет_аналитики'!Z3463*CapacityAge20*'19_Расчет_аналитики'!$F$3247,0),0)</f>
        <v/>
      </c>
      <c r="AA3575">
        <f>IF('01_Вводные'!$B$234="Да",IF(IF('01_Вводные'!$B$296="Новый сезон",TRUE,TRUE),'19_Расчет_аналитики'!AA3463*CapacityAge20*'19_Расчет_аналитики'!$F$3247,0),0)</f>
        <v/>
      </c>
      <c r="AB3575">
        <f>IF('01_Вводные'!$B$234="Да",IF(IF('01_Вводные'!$B$296="Новый сезон",TRUE,TRUE),'19_Расчет_аналитики'!AB3463*CapacityAge20*'19_Расчет_аналитики'!$F$3247,0),0)</f>
        <v/>
      </c>
      <c r="AC3575">
        <f>IF('01_Вводные'!$B$234="Да",IF(IF('01_Вводные'!$B$296="Новый сезон",TRUE,TRUE),'19_Расчет_аналитики'!AC3463*CapacityAge20*'19_Расчет_аналитики'!$F$3247,0),0)</f>
        <v/>
      </c>
      <c r="AD3575">
        <f>IF('01_Вводные'!$B$234="Да",IF(IF('01_Вводные'!$B$296="Новый сезон",TRUE,TRUE),'19_Расчет_аналитики'!AD3463*CapacityAge20*'19_Расчет_аналитики'!$F$3247,0),0)</f>
        <v/>
      </c>
      <c r="AE3575">
        <f>IF('01_Вводные'!$B$234="Да",IF(IF('01_Вводные'!$B$296="Новый сезон",TRUE,TRUE),'19_Расчет_аналитики'!AE3463*CapacityAge20*'19_Расчет_аналитики'!$F$3247,0),0)</f>
        <v/>
      </c>
      <c r="AF3575">
        <f>IF('01_Вводные'!$B$234="Да",IF(IF('01_Вводные'!$B$296="Новый сезон",TRUE,TRUE),'19_Расчет_аналитики'!AF3463*CapacityAge20*'19_Расчет_аналитики'!$F$3247,0),0)</f>
        <v/>
      </c>
      <c r="AG3575">
        <f>IF('01_Вводные'!$B$234="Да",IF(IF('01_Вводные'!$B$296="Новый сезон",TRUE,TRUE),'19_Расчет_аналитики'!AG3463*CapacityAge20*'19_Расчет_аналитики'!$F$3247,0),0)</f>
        <v/>
      </c>
      <c r="AH3575">
        <f>IF('01_Вводные'!$B$234="Да",IF(IF('01_Вводные'!$B$296="Новый сезон",TRUE,TRUE),'19_Расчет_аналитики'!AH3463*CapacityAge20*'19_Расчет_аналитики'!$F$3247,0),0)</f>
        <v/>
      </c>
      <c r="AI3575">
        <f>IF('01_Вводные'!$B$234="Да",IF(IF('01_Вводные'!$B$296="Новый сезон",TRUE,TRUE),'19_Расчет_аналитики'!AI3463*CapacityAge20*'19_Расчет_аналитики'!$F$3247,0),0)</f>
        <v/>
      </c>
      <c r="AJ3575">
        <f>IF('01_Вводные'!$B$234="Да",IF(IF('01_Вводные'!$B$296="Новый сезон",TRUE,TRUE),'19_Расчет_аналитики'!AJ3463*CapacityAge20*'19_Расчет_аналитики'!$F$3247,0),0)</f>
        <v/>
      </c>
      <c r="AK3575">
        <f>IF('01_Вводные'!$B$234="Да",IF(IF('01_Вводные'!$B$296="Новый сезон",TRUE,TRUE),'19_Расчет_аналитики'!AK3463*CapacityAge20*'19_Расчет_аналитики'!$F$3247,0),0)</f>
        <v/>
      </c>
      <c r="AL3575">
        <f>IF('01_Вводные'!$B$234="Да",IF(IF('01_Вводные'!$B$296="Новый сезон",TRUE,TRUE),'19_Расчет_аналитики'!AL3463*CapacityAge20*'19_Расчет_аналитики'!$F$3247,0),0)</f>
        <v/>
      </c>
      <c r="AM3575">
        <f>IF('01_Вводные'!$B$234="Да",IF(IF('01_Вводные'!$B$296="Новый сезон",TRUE,TRUE),'19_Расчет_аналитики'!AM3463*CapacityAge20*'19_Расчет_аналитики'!$F$3247,0),0)</f>
        <v/>
      </c>
      <c r="AN3575">
        <f>IF('01_Вводные'!$B$234="Да",IF(IF('01_Вводные'!$B$296="Новый сезон",TRUE,TRUE),'19_Расчет_аналитики'!AN3463*CapacityAge20*'19_Расчет_аналитики'!$F$3247,0),0)</f>
        <v/>
      </c>
      <c r="AO3575">
        <f>IF('01_Вводные'!$B$234="Да",IF(IF('01_Вводные'!$B$296="Новый сезон",TRUE,TRUE),'19_Расчет_аналитики'!AO3463*CapacityAge20*'19_Расчет_аналитики'!$F$3247,0),0)</f>
        <v/>
      </c>
      <c r="AP3575">
        <f>IF('01_Вводные'!$B$234="Да",IF(IF('01_Вводные'!$B$296="Новый сезон",TRUE,TRUE),'19_Расчет_аналитики'!AP3463*CapacityAge20*'19_Расчет_аналитики'!$F$3247,0),0)</f>
        <v/>
      </c>
      <c r="AQ3575">
        <f>IF('01_Вводные'!$B$234="Да",IF(IF('01_Вводные'!$B$296="Новый сезон",TRUE,TRUE),'19_Расчет_аналитики'!AQ3463*CapacityAge20*'19_Расчет_аналитики'!$F$3247,0),0)</f>
        <v/>
      </c>
      <c r="AR3575">
        <f>IF('01_Вводные'!$B$234="Да",IF(IF('01_Вводные'!$B$296="Новый сезон",TRUE,TRUE),'19_Расчет_аналитики'!AR3463*CapacityAge20*'19_Расчет_аналитики'!$F$3247,0),0)</f>
        <v/>
      </c>
      <c r="AS3575">
        <f>IF('01_Вводные'!$B$234="Да",IF(IF('01_Вводные'!$B$296="Новый сезон",TRUE,TRUE),'19_Расчет_аналитики'!AS3463*CapacityAge20*'19_Расчет_аналитики'!$F$3247,0),0)</f>
        <v/>
      </c>
      <c r="AT3575">
        <f>IF('01_Вводные'!$B$234="Да",IF(IF('01_Вводные'!$B$296="Новый сезон",TRUE,TRUE),'19_Расчет_аналитики'!AT3463*CapacityAge20*'19_Расчет_аналитики'!$F$3247,0),0)</f>
        <v/>
      </c>
      <c r="AU3575">
        <f>IF('01_Вводные'!$B$234="Да",IF(IF('01_Вводные'!$B$296="Новый сезон",TRUE,TRUE),'19_Расчет_аналитики'!AU3463*CapacityAge20*'19_Расчет_аналитики'!$F$3247,0),0)</f>
        <v/>
      </c>
      <c r="AV3575">
        <f>IF('01_Вводные'!$B$234="Да",IF(IF('01_Вводные'!$B$296="Новый сезон",TRUE,TRUE),'19_Расчет_аналитики'!AV3463*CapacityAge20*'19_Расчет_аналитики'!$F$3247,0),0)</f>
        <v/>
      </c>
      <c r="AW3575">
        <f>IF('01_Вводные'!$B$234="Да",IF(IF('01_Вводные'!$B$296="Новый сезон",TRUE,TRUE),'19_Расчет_аналитики'!AW3463*CapacityAge20*'19_Расчет_аналитики'!$F$3247,0),0)</f>
        <v/>
      </c>
      <c r="AX3575">
        <f>IF('01_Вводные'!$B$234="Да",IF(IF('01_Вводные'!$B$296="Новый сезон",TRUE,TRUE),'19_Расчет_аналитики'!AX3463*CapacityAge20*'19_Расчет_аналитики'!$F$3247,0),0)</f>
        <v/>
      </c>
      <c r="AY3575">
        <f>IF('01_Вводные'!$B$234="Да",IF(IF('01_Вводные'!$B$296="Новый сезон",TRUE,TRUE),'19_Расчет_аналитики'!AY3463*CapacityAge20*'19_Расчет_аналитики'!$F$3247,0),0)</f>
        <v/>
      </c>
      <c r="AZ3575">
        <f>IF('01_Вводные'!$B$234="Да",IF(IF('01_Вводные'!$B$296="Новый сезон",TRUE,TRUE),'19_Расчет_аналитики'!AZ3463*CapacityAge20*'19_Расчет_аналитики'!$F$3247,0),0)</f>
        <v/>
      </c>
      <c r="BA3575">
        <f>IF('01_Вводные'!$B$234="Да",IF(IF('01_Вводные'!$B$296="Новый сезон",TRUE,TRUE),'19_Расчет_аналитики'!BA3463*CapacityAge20*'19_Расчет_аналитики'!$F$3247,0),0)</f>
        <v/>
      </c>
      <c r="BB3575">
        <f>IF('01_Вводные'!$B$234="Да",IF(IF('01_Вводные'!$B$296="Новый сезон",TRUE,TRUE),'19_Расчет_аналитики'!BB3463*CapacityAge20*'19_Расчет_аналитики'!$F$3247,0),0)</f>
        <v/>
      </c>
      <c r="BC3575">
        <f>IF('01_Вводные'!$B$234="Да",IF(IF('01_Вводные'!$B$296="Новый сезон",TRUE,TRUE),'19_Расчет_аналитики'!BC3463*CapacityAge20*'19_Расчет_аналитики'!$F$3247,0),0)</f>
        <v/>
      </c>
      <c r="BD3575">
        <f>IF('01_Вводные'!$B$234="Да",IF(IF('01_Вводные'!$B$296="Новый сезон",TRUE,TRUE),'19_Расчет_аналитики'!BD3463*CapacityAge20*'19_Расчет_аналитики'!$F$3247,0),0)</f>
        <v/>
      </c>
      <c r="BE3575">
        <f>IF('01_Вводные'!$B$234="Да",IF(IF('01_Вводные'!$B$296="Новый сезон",TRUE,TRUE),'19_Расчет_аналитики'!BE3463*CapacityAge20*'19_Расчет_аналитики'!$F$3247,0),0)</f>
        <v/>
      </c>
      <c r="BF3575">
        <f>IF('01_Вводные'!$B$234="Да",IF(IF('01_Вводные'!$B$296="Новый сезон",TRUE,TRUE),'19_Расчет_аналитики'!BF3463*CapacityAge20*'19_Расчет_аналитики'!$F$3247,0),0)</f>
        <v/>
      </c>
      <c r="BG3575">
        <f>IF('01_Вводные'!$B$234="Да",IF(IF('01_Вводные'!$B$296="Новый сезон",TRUE,TRUE),'19_Расчет_аналитики'!BG3463*CapacityAge20*'19_Расчет_аналитики'!$F$3247,0),0)</f>
        <v/>
      </c>
      <c r="BH3575">
        <f>IF('01_Вводные'!$B$234="Да",IF(IF('01_Вводные'!$B$296="Новый сезон",TRUE,TRUE),'19_Расчет_аналитики'!BH3463*CapacityAge20*'19_Расчет_аналитики'!$F$3247,0),0)</f>
        <v/>
      </c>
      <c r="BI3575">
        <f>IF('01_Вводные'!$B$234="Да",IF(IF('01_Вводные'!$B$296="Новый сезон",TRUE,TRUE),'19_Расчет_аналитики'!BI3463*CapacityAge20*'19_Расчет_аналитики'!$F$3247,0),0)</f>
        <v/>
      </c>
      <c r="BJ3575">
        <f>IF('01_Вводные'!$B$234="Да",IF(IF('01_Вводные'!$B$296="Новый сезон",TRUE,TRUE),'19_Расчет_аналитики'!BJ3463*CapacityAge20*'19_Расчет_аналитики'!$F$3247,0),0)</f>
        <v/>
      </c>
      <c r="BK3575">
        <f>IF('01_Вводные'!$B$234="Да",IF(IF('01_Вводные'!$B$296="Новый сезон",TRUE,TRUE),'19_Расчет_аналитики'!BK3463*CapacityAge20*'19_Расчет_аналитики'!$F$3247,0),0)</f>
        <v/>
      </c>
      <c r="BL3575">
        <f>IF('01_Вводные'!$B$234="Да",IF(IF('01_Вводные'!$B$296="Новый сезон",TRUE,TRUE),'19_Расчет_аналитики'!BL3463*CapacityAge20*'19_Расчет_аналитики'!$F$3247,0),0)</f>
        <v/>
      </c>
      <c r="BM3575">
        <f>IF('01_Вводные'!$B$234="Да",IF(IF('01_Вводные'!$B$296="Новый сезон",TRUE,TRUE),'19_Расчет_аналитики'!BM3463*CapacityAge20*'19_Расчет_аналитики'!$F$3247,0),0)</f>
        <v/>
      </c>
      <c r="BN3575">
        <f>IF('01_Вводные'!$B$234="Да",IF(IF('01_Вводные'!$B$296="Новый сезон",TRUE,TRUE),'19_Расчет_аналитики'!BN3463*CapacityAge20*'19_Расчет_аналитики'!$F$3247,0),0)</f>
        <v/>
      </c>
      <c r="BO3575">
        <f>IF('01_Вводные'!$B$234="Да",IF(IF('01_Вводные'!$B$296="Новый сезон",TRUE,TRUE),'19_Расчет_аналитики'!BO3463*CapacityAge20*'19_Расчет_аналитики'!$F$3247,0),0)</f>
        <v/>
      </c>
    </row>
    <row r="3576">
      <c r="B3576">
        <f>IF('01_Вводные'!$B$234="Да",IF(IF('01_Вводные'!$B$296="Новый сезон",TRUE,TRUE),'06_Сеть_и_дети'!B73*CapacityAge21*'19_Расчет_аналитики'!$F$3247,0),0)</f>
        <v/>
      </c>
      <c r="C3576">
        <f>IF('01_Вводные'!$B$234="Да",IF(IF('01_Вводные'!$B$296="Новый сезон",TRUE,TRUE),'06_Сеть_и_дети'!C73*CapacityAge21*'19_Расчет_аналитики'!$F$3247,0),0)</f>
        <v/>
      </c>
      <c r="D3576">
        <f>IF('01_Вводные'!$B$234="Да",IF(IF('01_Вводные'!$B$296="Новый сезон",TRUE,TRUE),'06_Сеть_и_дети'!D73*CapacityAge21*'19_Расчет_аналитики'!$F$3247,0),0)</f>
        <v/>
      </c>
      <c r="E3576">
        <f>IF('01_Вводные'!$B$234="Да",IF(IF('01_Вводные'!$B$296="Новый сезон",TRUE,TRUE),'06_Сеть_и_дети'!E73*CapacityAge21*'19_Расчет_аналитики'!$F$3247,0),0)</f>
        <v/>
      </c>
      <c r="F3576">
        <f>IF('01_Вводные'!$B$234="Да",IF(IF('01_Вводные'!$B$296="Новый сезон",TRUE,TRUE),'06_Сеть_и_дети'!F73*CapacityAge21*'19_Расчет_аналитики'!$F$3247,0),0)</f>
        <v/>
      </c>
      <c r="G3576">
        <f>IF('01_Вводные'!$B$234="Да",IF(IF('01_Вводные'!$B$296="Новый сезон",TRUE,TRUE),'06_Сеть_и_дети'!G73*CapacityAge21*'19_Расчет_аналитики'!$F$3247,0),0)</f>
        <v/>
      </c>
      <c r="H3576">
        <f>IF('01_Вводные'!$B$234="Да",IF(IF('01_Вводные'!$B$296="Новый сезон",TRUE,TRUE),'06_Сеть_и_дети'!H73*CapacityAge21*'19_Расчет_аналитики'!$F$3247,0),0)</f>
        <v/>
      </c>
      <c r="I3576">
        <f>IF('01_Вводные'!$B$234="Да",IF(IF('01_Вводные'!$B$296="Новый сезон",TRUE,TRUE),'06_Сеть_и_дети'!I73*CapacityAge21*'19_Расчет_аналитики'!$F$3247,0),0)</f>
        <v/>
      </c>
      <c r="J3576">
        <f>IF('01_Вводные'!$B$234="Да",IF(IF('01_Вводные'!$B$296="Новый сезон",TRUE,TRUE),'06_Сеть_и_дети'!J73*CapacityAge21*'19_Расчет_аналитики'!$F$3247,0),0)</f>
        <v/>
      </c>
      <c r="K3576">
        <f>IF('01_Вводные'!$B$234="Да",IF(IF('01_Вводные'!$B$296="Новый сезон",TRUE,TRUE),'06_Сеть_и_дети'!K73*CapacityAge21*'19_Расчет_аналитики'!$F$3247,0),0)</f>
        <v/>
      </c>
      <c r="L3576">
        <f>IF('01_Вводные'!$B$234="Да",IF(IF('01_Вводные'!$B$296="Новый сезон",TRUE,TRUE),'06_Сеть_и_дети'!L73*CapacityAge21*'19_Расчет_аналитики'!$F$3247,0),0)</f>
        <v/>
      </c>
      <c r="M3576">
        <f>IF('01_Вводные'!$B$234="Да",IF(IF('01_Вводные'!$B$296="Новый сезон",TRUE,TRUE),'06_Сеть_и_дети'!M73*CapacityAge21*'19_Расчет_аналитики'!$F$3247,0),0)</f>
        <v/>
      </c>
      <c r="N3576">
        <f>IF('01_Вводные'!$B$234="Да",IF(IF('01_Вводные'!$B$296="Новый сезон",TRUE,TRUE),'06_Сеть_и_дети'!N73*CapacityAge21*'19_Расчет_аналитики'!$F$3247,0),0)</f>
        <v/>
      </c>
      <c r="O3576">
        <f>IF('01_Вводные'!$B$234="Да",IF(IF('01_Вводные'!$B$296="Новый сезон",TRUE,TRUE),'06_Сеть_и_дети'!O73*CapacityAge21*'19_Расчет_аналитики'!$F$3247,0),0)</f>
        <v/>
      </c>
      <c r="P3576">
        <f>IF('01_Вводные'!$B$234="Да",IF(IF('01_Вводные'!$B$296="Новый сезон",TRUE,TRUE),'06_Сеть_и_дети'!P73*CapacityAge21*'19_Расчет_аналитики'!$F$3247,0),0)</f>
        <v/>
      </c>
      <c r="Q3576">
        <f>IF('01_Вводные'!$B$234="Да",IF(IF('01_Вводные'!$B$296="Новый сезон",TRUE,TRUE),'06_Сеть_и_дети'!Q73*CapacityAge21*'19_Расчет_аналитики'!$F$3247,0),0)</f>
        <v/>
      </c>
      <c r="R3576">
        <f>IF('01_Вводные'!$B$234="Да",IF(IF('01_Вводные'!$B$296="Новый сезон",TRUE,TRUE),'06_Сеть_и_дети'!R73*CapacityAge21*'19_Расчет_аналитики'!$F$3247,0),0)</f>
        <v/>
      </c>
      <c r="S3576">
        <f>IF('01_Вводные'!$B$234="Да",IF(IF('01_Вводные'!$B$296="Новый сезон",TRUE,TRUE),'06_Сеть_и_дети'!S73*CapacityAge21*'19_Расчет_аналитики'!$F$3247,0),0)</f>
        <v/>
      </c>
      <c r="T3576">
        <f>IF('01_Вводные'!$B$234="Да",IF(IF('01_Вводные'!$B$296="Новый сезон",TRUE,TRUE),'06_Сеть_и_дети'!T73*CapacityAge21*'19_Расчет_аналитики'!$F$3247,0),0)</f>
        <v/>
      </c>
      <c r="U3576">
        <f>IF('01_Вводные'!$B$234="Да",IF(IF('01_Вводные'!$B$296="Новый сезон",TRUE,TRUE),'06_Сеть_и_дети'!U73*CapacityAge21*'19_Расчет_аналитики'!$F$3247,0),0)</f>
        <v/>
      </c>
      <c r="V3576">
        <f>IF('01_Вводные'!$B$234="Да",IF(IF('01_Вводные'!$B$296="Новый сезон",TRUE,TRUE),'19_Расчет_аналитики'!V3464*CapacityAge21*'19_Расчет_аналитики'!$F$3247,0),0)</f>
        <v/>
      </c>
      <c r="W3576">
        <f>IF('01_Вводные'!$B$234="Да",IF(IF('01_Вводные'!$B$296="Новый сезон",TRUE,TRUE),'19_Расчет_аналитики'!W3464*CapacityAge21*'19_Расчет_аналитики'!$F$3247,0),0)</f>
        <v/>
      </c>
      <c r="X3576">
        <f>IF('01_Вводные'!$B$234="Да",IF(IF('01_Вводные'!$B$296="Новый сезон",TRUE,TRUE),'19_Расчет_аналитики'!X3464*CapacityAge21*'19_Расчет_аналитики'!$F$3247,0),0)</f>
        <v/>
      </c>
      <c r="Y3576">
        <f>IF('01_Вводные'!$B$234="Да",IF(IF('01_Вводные'!$B$296="Новый сезон",TRUE,TRUE),'19_Расчет_аналитики'!Y3464*CapacityAge21*'19_Расчет_аналитики'!$F$3247,0),0)</f>
        <v/>
      </c>
      <c r="Z3576">
        <f>IF('01_Вводные'!$B$234="Да",IF(IF('01_Вводные'!$B$296="Новый сезон",TRUE,TRUE),'19_Расчет_аналитики'!Z3464*CapacityAge21*'19_Расчет_аналитики'!$F$3247,0),0)</f>
        <v/>
      </c>
      <c r="AA3576">
        <f>IF('01_Вводные'!$B$234="Да",IF(IF('01_Вводные'!$B$296="Новый сезон",TRUE,TRUE),'19_Расчет_аналитики'!AA3464*CapacityAge21*'19_Расчет_аналитики'!$F$3247,0),0)</f>
        <v/>
      </c>
      <c r="AB3576">
        <f>IF('01_Вводные'!$B$234="Да",IF(IF('01_Вводные'!$B$296="Новый сезон",TRUE,TRUE),'19_Расчет_аналитики'!AB3464*CapacityAge21*'19_Расчет_аналитики'!$F$3247,0),0)</f>
        <v/>
      </c>
      <c r="AC3576">
        <f>IF('01_Вводные'!$B$234="Да",IF(IF('01_Вводные'!$B$296="Новый сезон",TRUE,TRUE),'19_Расчет_аналитики'!AC3464*CapacityAge21*'19_Расчет_аналитики'!$F$3247,0),0)</f>
        <v/>
      </c>
      <c r="AD3576">
        <f>IF('01_Вводные'!$B$234="Да",IF(IF('01_Вводные'!$B$296="Новый сезон",TRUE,TRUE),'19_Расчет_аналитики'!AD3464*CapacityAge21*'19_Расчет_аналитики'!$F$3247,0),0)</f>
        <v/>
      </c>
      <c r="AE3576">
        <f>IF('01_Вводные'!$B$234="Да",IF(IF('01_Вводные'!$B$296="Новый сезон",TRUE,TRUE),'19_Расчет_аналитики'!AE3464*CapacityAge21*'19_Расчет_аналитики'!$F$3247,0),0)</f>
        <v/>
      </c>
      <c r="AF3576">
        <f>IF('01_Вводные'!$B$234="Да",IF(IF('01_Вводные'!$B$296="Новый сезон",TRUE,TRUE),'19_Расчет_аналитики'!AF3464*CapacityAge21*'19_Расчет_аналитики'!$F$3247,0),0)</f>
        <v/>
      </c>
      <c r="AG3576">
        <f>IF('01_Вводные'!$B$234="Да",IF(IF('01_Вводные'!$B$296="Новый сезон",TRUE,TRUE),'19_Расчет_аналитики'!AG3464*CapacityAge21*'19_Расчет_аналитики'!$F$3247,0),0)</f>
        <v/>
      </c>
      <c r="AH3576">
        <f>IF('01_Вводные'!$B$234="Да",IF(IF('01_Вводные'!$B$296="Новый сезон",TRUE,TRUE),'19_Расчет_аналитики'!AH3464*CapacityAge21*'19_Расчет_аналитики'!$F$3247,0),0)</f>
        <v/>
      </c>
      <c r="AI3576">
        <f>IF('01_Вводные'!$B$234="Да",IF(IF('01_Вводные'!$B$296="Новый сезон",TRUE,TRUE),'19_Расчет_аналитики'!AI3464*CapacityAge21*'19_Расчет_аналитики'!$F$3247,0),0)</f>
        <v/>
      </c>
      <c r="AJ3576">
        <f>IF('01_Вводные'!$B$234="Да",IF(IF('01_Вводные'!$B$296="Новый сезон",TRUE,TRUE),'19_Расчет_аналитики'!AJ3464*CapacityAge21*'19_Расчет_аналитики'!$F$3247,0),0)</f>
        <v/>
      </c>
      <c r="AK3576">
        <f>IF('01_Вводные'!$B$234="Да",IF(IF('01_Вводные'!$B$296="Новый сезон",TRUE,TRUE),'19_Расчет_аналитики'!AK3464*CapacityAge21*'19_Расчет_аналитики'!$F$3247,0),0)</f>
        <v/>
      </c>
      <c r="AL3576">
        <f>IF('01_Вводные'!$B$234="Да",IF(IF('01_Вводные'!$B$296="Новый сезон",TRUE,TRUE),'19_Расчет_аналитики'!AL3464*CapacityAge21*'19_Расчет_аналитики'!$F$3247,0),0)</f>
        <v/>
      </c>
      <c r="AM3576">
        <f>IF('01_Вводные'!$B$234="Да",IF(IF('01_Вводные'!$B$296="Новый сезон",TRUE,TRUE),'19_Расчет_аналитики'!AM3464*CapacityAge21*'19_Расчет_аналитики'!$F$3247,0),0)</f>
        <v/>
      </c>
      <c r="AN3576">
        <f>IF('01_Вводные'!$B$234="Да",IF(IF('01_Вводные'!$B$296="Новый сезон",TRUE,TRUE),'19_Расчет_аналитики'!AN3464*CapacityAge21*'19_Расчет_аналитики'!$F$3247,0),0)</f>
        <v/>
      </c>
      <c r="AO3576">
        <f>IF('01_Вводные'!$B$234="Да",IF(IF('01_Вводные'!$B$296="Новый сезон",TRUE,TRUE),'19_Расчет_аналитики'!AO3464*CapacityAge21*'19_Расчет_аналитики'!$F$3247,0),0)</f>
        <v/>
      </c>
      <c r="AP3576">
        <f>IF('01_Вводные'!$B$234="Да",IF(IF('01_Вводные'!$B$296="Новый сезон",TRUE,TRUE),'19_Расчет_аналитики'!AP3464*CapacityAge21*'19_Расчет_аналитики'!$F$3247,0),0)</f>
        <v/>
      </c>
      <c r="AQ3576">
        <f>IF('01_Вводные'!$B$234="Да",IF(IF('01_Вводные'!$B$296="Новый сезон",TRUE,TRUE),'19_Расчет_аналитики'!AQ3464*CapacityAge21*'19_Расчет_аналитики'!$F$3247,0),0)</f>
        <v/>
      </c>
      <c r="AR3576">
        <f>IF('01_Вводные'!$B$234="Да",IF(IF('01_Вводные'!$B$296="Новый сезон",TRUE,TRUE),'19_Расчет_аналитики'!AR3464*CapacityAge21*'19_Расчет_аналитики'!$F$3247,0),0)</f>
        <v/>
      </c>
      <c r="AS3576">
        <f>IF('01_Вводные'!$B$234="Да",IF(IF('01_Вводные'!$B$296="Новый сезон",TRUE,TRUE),'19_Расчет_аналитики'!AS3464*CapacityAge21*'19_Расчет_аналитики'!$F$3247,0),0)</f>
        <v/>
      </c>
      <c r="AT3576">
        <f>IF('01_Вводные'!$B$234="Да",IF(IF('01_Вводные'!$B$296="Новый сезон",TRUE,TRUE),'19_Расчет_аналитики'!AT3464*CapacityAge21*'19_Расчет_аналитики'!$F$3247,0),0)</f>
        <v/>
      </c>
      <c r="AU3576">
        <f>IF('01_Вводные'!$B$234="Да",IF(IF('01_Вводные'!$B$296="Новый сезон",TRUE,TRUE),'19_Расчет_аналитики'!AU3464*CapacityAge21*'19_Расчет_аналитики'!$F$3247,0),0)</f>
        <v/>
      </c>
      <c r="AV3576">
        <f>IF('01_Вводные'!$B$234="Да",IF(IF('01_Вводные'!$B$296="Новый сезон",TRUE,TRUE),'19_Расчет_аналитики'!AV3464*CapacityAge21*'19_Расчет_аналитики'!$F$3247,0),0)</f>
        <v/>
      </c>
      <c r="AW3576">
        <f>IF('01_Вводные'!$B$234="Да",IF(IF('01_Вводные'!$B$296="Новый сезон",TRUE,TRUE),'19_Расчет_аналитики'!AW3464*CapacityAge21*'19_Расчет_аналитики'!$F$3247,0),0)</f>
        <v/>
      </c>
      <c r="AX3576">
        <f>IF('01_Вводные'!$B$234="Да",IF(IF('01_Вводные'!$B$296="Новый сезон",TRUE,TRUE),'19_Расчет_аналитики'!AX3464*CapacityAge21*'19_Расчет_аналитики'!$F$3247,0),0)</f>
        <v/>
      </c>
      <c r="AY3576">
        <f>IF('01_Вводные'!$B$234="Да",IF(IF('01_Вводные'!$B$296="Новый сезон",TRUE,TRUE),'19_Расчет_аналитики'!AY3464*CapacityAge21*'19_Расчет_аналитики'!$F$3247,0),0)</f>
        <v/>
      </c>
      <c r="AZ3576">
        <f>IF('01_Вводные'!$B$234="Да",IF(IF('01_Вводные'!$B$296="Новый сезон",TRUE,TRUE),'19_Расчет_аналитики'!AZ3464*CapacityAge21*'19_Расчет_аналитики'!$F$3247,0),0)</f>
        <v/>
      </c>
      <c r="BA3576">
        <f>IF('01_Вводные'!$B$234="Да",IF(IF('01_Вводные'!$B$296="Новый сезон",TRUE,TRUE),'19_Расчет_аналитики'!BA3464*CapacityAge21*'19_Расчет_аналитики'!$F$3247,0),0)</f>
        <v/>
      </c>
      <c r="BB3576">
        <f>IF('01_Вводные'!$B$234="Да",IF(IF('01_Вводные'!$B$296="Новый сезон",TRUE,TRUE),'19_Расчет_аналитики'!BB3464*CapacityAge21*'19_Расчет_аналитики'!$F$3247,0),0)</f>
        <v/>
      </c>
      <c r="BC3576">
        <f>IF('01_Вводные'!$B$234="Да",IF(IF('01_Вводные'!$B$296="Новый сезон",TRUE,TRUE),'19_Расчет_аналитики'!BC3464*CapacityAge21*'19_Расчет_аналитики'!$F$3247,0),0)</f>
        <v/>
      </c>
      <c r="BD3576">
        <f>IF('01_Вводные'!$B$234="Да",IF(IF('01_Вводные'!$B$296="Новый сезон",TRUE,TRUE),'19_Расчет_аналитики'!BD3464*CapacityAge21*'19_Расчет_аналитики'!$F$3247,0),0)</f>
        <v/>
      </c>
      <c r="BE3576">
        <f>IF('01_Вводные'!$B$234="Да",IF(IF('01_Вводные'!$B$296="Новый сезон",TRUE,TRUE),'19_Расчет_аналитики'!BE3464*CapacityAge21*'19_Расчет_аналитики'!$F$3247,0),0)</f>
        <v/>
      </c>
      <c r="BF3576">
        <f>IF('01_Вводные'!$B$234="Да",IF(IF('01_Вводные'!$B$296="Новый сезон",TRUE,TRUE),'19_Расчет_аналитики'!BF3464*CapacityAge21*'19_Расчет_аналитики'!$F$3247,0),0)</f>
        <v/>
      </c>
      <c r="BG3576">
        <f>IF('01_Вводные'!$B$234="Да",IF(IF('01_Вводные'!$B$296="Новый сезон",TRUE,TRUE),'19_Расчет_аналитики'!BG3464*CapacityAge21*'19_Расчет_аналитики'!$F$3247,0),0)</f>
        <v/>
      </c>
      <c r="BH3576">
        <f>IF('01_Вводные'!$B$234="Да",IF(IF('01_Вводные'!$B$296="Новый сезон",TRUE,TRUE),'19_Расчет_аналитики'!BH3464*CapacityAge21*'19_Расчет_аналитики'!$F$3247,0),0)</f>
        <v/>
      </c>
      <c r="BI3576">
        <f>IF('01_Вводные'!$B$234="Да",IF(IF('01_Вводные'!$B$296="Новый сезон",TRUE,TRUE),'19_Расчет_аналитики'!BI3464*CapacityAge21*'19_Расчет_аналитики'!$F$3247,0),0)</f>
        <v/>
      </c>
      <c r="BJ3576">
        <f>IF('01_Вводные'!$B$234="Да",IF(IF('01_Вводные'!$B$296="Новый сезон",TRUE,TRUE),'19_Расчет_аналитики'!BJ3464*CapacityAge21*'19_Расчет_аналитики'!$F$3247,0),0)</f>
        <v/>
      </c>
      <c r="BK3576">
        <f>IF('01_Вводные'!$B$234="Да",IF(IF('01_Вводные'!$B$296="Новый сезон",TRUE,TRUE),'19_Расчет_аналитики'!BK3464*CapacityAge21*'19_Расчет_аналитики'!$F$3247,0),0)</f>
        <v/>
      </c>
      <c r="BL3576">
        <f>IF('01_Вводные'!$B$234="Да",IF(IF('01_Вводные'!$B$296="Новый сезон",TRUE,TRUE),'19_Расчет_аналитики'!BL3464*CapacityAge21*'19_Расчет_аналитики'!$F$3247,0),0)</f>
        <v/>
      </c>
      <c r="BM3576">
        <f>IF('01_Вводные'!$B$234="Да",IF(IF('01_Вводные'!$B$296="Новый сезон",TRUE,TRUE),'19_Расчет_аналитики'!BM3464*CapacityAge21*'19_Расчет_аналитики'!$F$3247,0),0)</f>
        <v/>
      </c>
      <c r="BN3576">
        <f>IF('01_Вводные'!$B$234="Да",IF(IF('01_Вводные'!$B$296="Новый сезон",TRUE,TRUE),'19_Расчет_аналитики'!BN3464*CapacityAge21*'19_Расчет_аналитики'!$F$3247,0),0)</f>
        <v/>
      </c>
      <c r="BO3576">
        <f>IF('01_Вводные'!$B$234="Да",IF(IF('01_Вводные'!$B$296="Новый сезон",TRUE,TRUE),'19_Расчет_аналитики'!BO3464*CapacityAge21*'19_Расчет_аналитики'!$F$3247,0),0)</f>
        <v/>
      </c>
    </row>
    <row r="3577">
      <c r="B3577">
        <f>IF('01_Вводные'!$B$234="Да",IF(IF('01_Вводные'!$B$296="Новый сезон",TRUE,TRUE),'06_Сеть_и_дети'!B74*CapacityAge22*'19_Расчет_аналитики'!$F$3247,0),0)</f>
        <v/>
      </c>
      <c r="C3577">
        <f>IF('01_Вводные'!$B$234="Да",IF(IF('01_Вводные'!$B$296="Новый сезон",TRUE,TRUE),'06_Сеть_и_дети'!C74*CapacityAge22*'19_Расчет_аналитики'!$F$3247,0),0)</f>
        <v/>
      </c>
      <c r="D3577">
        <f>IF('01_Вводные'!$B$234="Да",IF(IF('01_Вводные'!$B$296="Новый сезон",TRUE,TRUE),'06_Сеть_и_дети'!D74*CapacityAge22*'19_Расчет_аналитики'!$F$3247,0),0)</f>
        <v/>
      </c>
      <c r="E3577">
        <f>IF('01_Вводные'!$B$234="Да",IF(IF('01_Вводные'!$B$296="Новый сезон",TRUE,TRUE),'06_Сеть_и_дети'!E74*CapacityAge22*'19_Расчет_аналитики'!$F$3247,0),0)</f>
        <v/>
      </c>
      <c r="F3577">
        <f>IF('01_Вводные'!$B$234="Да",IF(IF('01_Вводные'!$B$296="Новый сезон",TRUE,TRUE),'06_Сеть_и_дети'!F74*CapacityAge22*'19_Расчет_аналитики'!$F$3247,0),0)</f>
        <v/>
      </c>
      <c r="G3577">
        <f>IF('01_Вводные'!$B$234="Да",IF(IF('01_Вводные'!$B$296="Новый сезон",TRUE,TRUE),'06_Сеть_и_дети'!G74*CapacityAge22*'19_Расчет_аналитики'!$F$3247,0),0)</f>
        <v/>
      </c>
      <c r="H3577">
        <f>IF('01_Вводные'!$B$234="Да",IF(IF('01_Вводные'!$B$296="Новый сезон",TRUE,TRUE),'06_Сеть_и_дети'!H74*CapacityAge22*'19_Расчет_аналитики'!$F$3247,0),0)</f>
        <v/>
      </c>
      <c r="I3577">
        <f>IF('01_Вводные'!$B$234="Да",IF(IF('01_Вводные'!$B$296="Новый сезон",TRUE,TRUE),'06_Сеть_и_дети'!I74*CapacityAge22*'19_Расчет_аналитики'!$F$3247,0),0)</f>
        <v/>
      </c>
      <c r="J3577">
        <f>IF('01_Вводные'!$B$234="Да",IF(IF('01_Вводные'!$B$296="Новый сезон",TRUE,TRUE),'06_Сеть_и_дети'!J74*CapacityAge22*'19_Расчет_аналитики'!$F$3247,0),0)</f>
        <v/>
      </c>
      <c r="K3577">
        <f>IF('01_Вводные'!$B$234="Да",IF(IF('01_Вводные'!$B$296="Новый сезон",TRUE,TRUE),'06_Сеть_и_дети'!K74*CapacityAge22*'19_Расчет_аналитики'!$F$3247,0),0)</f>
        <v/>
      </c>
      <c r="L3577">
        <f>IF('01_Вводные'!$B$234="Да",IF(IF('01_Вводные'!$B$296="Новый сезон",TRUE,TRUE),'06_Сеть_и_дети'!L74*CapacityAge22*'19_Расчет_аналитики'!$F$3247,0),0)</f>
        <v/>
      </c>
      <c r="M3577">
        <f>IF('01_Вводные'!$B$234="Да",IF(IF('01_Вводные'!$B$296="Новый сезон",TRUE,TRUE),'06_Сеть_и_дети'!M74*CapacityAge22*'19_Расчет_аналитики'!$F$3247,0),0)</f>
        <v/>
      </c>
      <c r="N3577">
        <f>IF('01_Вводные'!$B$234="Да",IF(IF('01_Вводные'!$B$296="Новый сезон",TRUE,TRUE),'06_Сеть_и_дети'!N74*CapacityAge22*'19_Расчет_аналитики'!$F$3247,0),0)</f>
        <v/>
      </c>
      <c r="O3577">
        <f>IF('01_Вводные'!$B$234="Да",IF(IF('01_Вводные'!$B$296="Новый сезон",TRUE,TRUE),'06_Сеть_и_дети'!O74*CapacityAge22*'19_Расчет_аналитики'!$F$3247,0),0)</f>
        <v/>
      </c>
      <c r="P3577">
        <f>IF('01_Вводные'!$B$234="Да",IF(IF('01_Вводные'!$B$296="Новый сезон",TRUE,TRUE),'06_Сеть_и_дети'!P74*CapacityAge22*'19_Расчет_аналитики'!$F$3247,0),0)</f>
        <v/>
      </c>
      <c r="Q3577">
        <f>IF('01_Вводные'!$B$234="Да",IF(IF('01_Вводные'!$B$296="Новый сезон",TRUE,TRUE),'06_Сеть_и_дети'!Q74*CapacityAge22*'19_Расчет_аналитики'!$F$3247,0),0)</f>
        <v/>
      </c>
      <c r="R3577">
        <f>IF('01_Вводные'!$B$234="Да",IF(IF('01_Вводные'!$B$296="Новый сезон",TRUE,TRUE),'06_Сеть_и_дети'!R74*CapacityAge22*'19_Расчет_аналитики'!$F$3247,0),0)</f>
        <v/>
      </c>
      <c r="S3577">
        <f>IF('01_Вводные'!$B$234="Да",IF(IF('01_Вводные'!$B$296="Новый сезон",TRUE,TRUE),'06_Сеть_и_дети'!S74*CapacityAge22*'19_Расчет_аналитики'!$F$3247,0),0)</f>
        <v/>
      </c>
      <c r="T3577">
        <f>IF('01_Вводные'!$B$234="Да",IF(IF('01_Вводные'!$B$296="Новый сезон",TRUE,TRUE),'06_Сеть_и_дети'!T74*CapacityAge22*'19_Расчет_аналитики'!$F$3247,0),0)</f>
        <v/>
      </c>
      <c r="U3577">
        <f>IF('01_Вводные'!$B$234="Да",IF(IF('01_Вводные'!$B$296="Новый сезон",TRUE,TRUE),'06_Сеть_и_дети'!U74*CapacityAge22*'19_Расчет_аналитики'!$F$3247,0),0)</f>
        <v/>
      </c>
      <c r="V3577">
        <f>IF('01_Вводные'!$B$234="Да",IF(IF('01_Вводные'!$B$296="Новый сезон",TRUE,TRUE),'06_Сеть_и_дети'!V74*CapacityAge22*'19_Расчет_аналитики'!$F$3247,0),0)</f>
        <v/>
      </c>
      <c r="W3577">
        <f>IF('01_Вводные'!$B$234="Да",IF(IF('01_Вводные'!$B$296="Новый сезон",TRUE,TRUE),'19_Расчет_аналитики'!W3465*CapacityAge22*'19_Расчет_аналитики'!$F$3247,0),0)</f>
        <v/>
      </c>
      <c r="X3577">
        <f>IF('01_Вводные'!$B$234="Да",IF(IF('01_Вводные'!$B$296="Новый сезон",TRUE,TRUE),'19_Расчет_аналитики'!X3465*CapacityAge22*'19_Расчет_аналитики'!$F$3247,0),0)</f>
        <v/>
      </c>
      <c r="Y3577">
        <f>IF('01_Вводные'!$B$234="Да",IF(IF('01_Вводные'!$B$296="Новый сезон",TRUE,TRUE),'19_Расчет_аналитики'!Y3465*CapacityAge22*'19_Расчет_аналитики'!$F$3247,0),0)</f>
        <v/>
      </c>
      <c r="Z3577">
        <f>IF('01_Вводные'!$B$234="Да",IF(IF('01_Вводные'!$B$296="Новый сезон",TRUE,TRUE),'19_Расчет_аналитики'!Z3465*CapacityAge22*'19_Расчет_аналитики'!$F$3247,0),0)</f>
        <v/>
      </c>
      <c r="AA3577">
        <f>IF('01_Вводные'!$B$234="Да",IF(IF('01_Вводные'!$B$296="Новый сезон",TRUE,TRUE),'19_Расчет_аналитики'!AA3465*CapacityAge22*'19_Расчет_аналитики'!$F$3247,0),0)</f>
        <v/>
      </c>
      <c r="AB3577">
        <f>IF('01_Вводные'!$B$234="Да",IF(IF('01_Вводные'!$B$296="Новый сезон",TRUE,TRUE),'19_Расчет_аналитики'!AB3465*CapacityAge22*'19_Расчет_аналитики'!$F$3247,0),0)</f>
        <v/>
      </c>
      <c r="AC3577">
        <f>IF('01_Вводные'!$B$234="Да",IF(IF('01_Вводные'!$B$296="Новый сезон",TRUE,TRUE),'19_Расчет_аналитики'!AC3465*CapacityAge22*'19_Расчет_аналитики'!$F$3247,0),0)</f>
        <v/>
      </c>
      <c r="AD3577">
        <f>IF('01_Вводные'!$B$234="Да",IF(IF('01_Вводные'!$B$296="Новый сезон",TRUE,TRUE),'19_Расчет_аналитики'!AD3465*CapacityAge22*'19_Расчет_аналитики'!$F$3247,0),0)</f>
        <v/>
      </c>
      <c r="AE3577">
        <f>IF('01_Вводные'!$B$234="Да",IF(IF('01_Вводные'!$B$296="Новый сезон",TRUE,TRUE),'19_Расчет_аналитики'!AE3465*CapacityAge22*'19_Расчет_аналитики'!$F$3247,0),0)</f>
        <v/>
      </c>
      <c r="AF3577">
        <f>IF('01_Вводные'!$B$234="Да",IF(IF('01_Вводные'!$B$296="Новый сезон",TRUE,TRUE),'19_Расчет_аналитики'!AF3465*CapacityAge22*'19_Расчет_аналитики'!$F$3247,0),0)</f>
        <v/>
      </c>
      <c r="AG3577">
        <f>IF('01_Вводные'!$B$234="Да",IF(IF('01_Вводные'!$B$296="Новый сезон",TRUE,TRUE),'19_Расчет_аналитики'!AG3465*CapacityAge22*'19_Расчет_аналитики'!$F$3247,0),0)</f>
        <v/>
      </c>
      <c r="AH3577">
        <f>IF('01_Вводные'!$B$234="Да",IF(IF('01_Вводные'!$B$296="Новый сезон",TRUE,TRUE),'19_Расчет_аналитики'!AH3465*CapacityAge22*'19_Расчет_аналитики'!$F$3247,0),0)</f>
        <v/>
      </c>
      <c r="AI3577">
        <f>IF('01_Вводные'!$B$234="Да",IF(IF('01_Вводные'!$B$296="Новый сезон",TRUE,TRUE),'19_Расчет_аналитики'!AI3465*CapacityAge22*'19_Расчет_аналитики'!$F$3247,0),0)</f>
        <v/>
      </c>
      <c r="AJ3577">
        <f>IF('01_Вводные'!$B$234="Да",IF(IF('01_Вводные'!$B$296="Новый сезон",TRUE,TRUE),'19_Расчет_аналитики'!AJ3465*CapacityAge22*'19_Расчет_аналитики'!$F$3247,0),0)</f>
        <v/>
      </c>
      <c r="AK3577">
        <f>IF('01_Вводные'!$B$234="Да",IF(IF('01_Вводные'!$B$296="Новый сезон",TRUE,TRUE),'19_Расчет_аналитики'!AK3465*CapacityAge22*'19_Расчет_аналитики'!$F$3247,0),0)</f>
        <v/>
      </c>
      <c r="AL3577">
        <f>IF('01_Вводные'!$B$234="Да",IF(IF('01_Вводные'!$B$296="Новый сезон",TRUE,TRUE),'19_Расчет_аналитики'!AL3465*CapacityAge22*'19_Расчет_аналитики'!$F$3247,0),0)</f>
        <v/>
      </c>
      <c r="AM3577">
        <f>IF('01_Вводные'!$B$234="Да",IF(IF('01_Вводные'!$B$296="Новый сезон",TRUE,TRUE),'19_Расчет_аналитики'!AM3465*CapacityAge22*'19_Расчет_аналитики'!$F$3247,0),0)</f>
        <v/>
      </c>
      <c r="AN3577">
        <f>IF('01_Вводные'!$B$234="Да",IF(IF('01_Вводные'!$B$296="Новый сезон",TRUE,TRUE),'19_Расчет_аналитики'!AN3465*CapacityAge22*'19_Расчет_аналитики'!$F$3247,0),0)</f>
        <v/>
      </c>
      <c r="AO3577">
        <f>IF('01_Вводные'!$B$234="Да",IF(IF('01_Вводные'!$B$296="Новый сезон",TRUE,TRUE),'19_Расчет_аналитики'!AO3465*CapacityAge22*'19_Расчет_аналитики'!$F$3247,0),0)</f>
        <v/>
      </c>
      <c r="AP3577">
        <f>IF('01_Вводные'!$B$234="Да",IF(IF('01_Вводные'!$B$296="Новый сезон",TRUE,TRUE),'19_Расчет_аналитики'!AP3465*CapacityAge22*'19_Расчет_аналитики'!$F$3247,0),0)</f>
        <v/>
      </c>
      <c r="AQ3577">
        <f>IF('01_Вводные'!$B$234="Да",IF(IF('01_Вводные'!$B$296="Новый сезон",TRUE,TRUE),'19_Расчет_аналитики'!AQ3465*CapacityAge22*'19_Расчет_аналитики'!$F$3247,0),0)</f>
        <v/>
      </c>
      <c r="AR3577">
        <f>IF('01_Вводные'!$B$234="Да",IF(IF('01_Вводные'!$B$296="Новый сезон",TRUE,TRUE),'19_Расчет_аналитики'!AR3465*CapacityAge22*'19_Расчет_аналитики'!$F$3247,0),0)</f>
        <v/>
      </c>
      <c r="AS3577">
        <f>IF('01_Вводные'!$B$234="Да",IF(IF('01_Вводные'!$B$296="Новый сезон",TRUE,TRUE),'19_Расчет_аналитики'!AS3465*CapacityAge22*'19_Расчет_аналитики'!$F$3247,0),0)</f>
        <v/>
      </c>
      <c r="AT3577">
        <f>IF('01_Вводные'!$B$234="Да",IF(IF('01_Вводные'!$B$296="Новый сезон",TRUE,TRUE),'19_Расчет_аналитики'!AT3465*CapacityAge22*'19_Расчет_аналитики'!$F$3247,0),0)</f>
        <v/>
      </c>
      <c r="AU3577">
        <f>IF('01_Вводные'!$B$234="Да",IF(IF('01_Вводные'!$B$296="Новый сезон",TRUE,TRUE),'19_Расчет_аналитики'!AU3465*CapacityAge22*'19_Расчет_аналитики'!$F$3247,0),0)</f>
        <v/>
      </c>
      <c r="AV3577">
        <f>IF('01_Вводные'!$B$234="Да",IF(IF('01_Вводные'!$B$296="Новый сезон",TRUE,TRUE),'19_Расчет_аналитики'!AV3465*CapacityAge22*'19_Расчет_аналитики'!$F$3247,0),0)</f>
        <v/>
      </c>
      <c r="AW3577">
        <f>IF('01_Вводные'!$B$234="Да",IF(IF('01_Вводные'!$B$296="Новый сезон",TRUE,TRUE),'19_Расчет_аналитики'!AW3465*CapacityAge22*'19_Расчет_аналитики'!$F$3247,0),0)</f>
        <v/>
      </c>
      <c r="AX3577">
        <f>IF('01_Вводные'!$B$234="Да",IF(IF('01_Вводные'!$B$296="Новый сезон",TRUE,TRUE),'19_Расчет_аналитики'!AX3465*CapacityAge22*'19_Расчет_аналитики'!$F$3247,0),0)</f>
        <v/>
      </c>
      <c r="AY3577">
        <f>IF('01_Вводные'!$B$234="Да",IF(IF('01_Вводные'!$B$296="Новый сезон",TRUE,TRUE),'19_Расчет_аналитики'!AY3465*CapacityAge22*'19_Расчет_аналитики'!$F$3247,0),0)</f>
        <v/>
      </c>
      <c r="AZ3577">
        <f>IF('01_Вводные'!$B$234="Да",IF(IF('01_Вводные'!$B$296="Новый сезон",TRUE,TRUE),'19_Расчет_аналитики'!AZ3465*CapacityAge22*'19_Расчет_аналитики'!$F$3247,0),0)</f>
        <v/>
      </c>
      <c r="BA3577">
        <f>IF('01_Вводные'!$B$234="Да",IF(IF('01_Вводные'!$B$296="Новый сезон",TRUE,TRUE),'19_Расчет_аналитики'!BA3465*CapacityAge22*'19_Расчет_аналитики'!$F$3247,0),0)</f>
        <v/>
      </c>
      <c r="BB3577">
        <f>IF('01_Вводные'!$B$234="Да",IF(IF('01_Вводные'!$B$296="Новый сезон",TRUE,TRUE),'19_Расчет_аналитики'!BB3465*CapacityAge22*'19_Расчет_аналитики'!$F$3247,0),0)</f>
        <v/>
      </c>
      <c r="BC3577">
        <f>IF('01_Вводные'!$B$234="Да",IF(IF('01_Вводные'!$B$296="Новый сезон",TRUE,TRUE),'19_Расчет_аналитики'!BC3465*CapacityAge22*'19_Расчет_аналитики'!$F$3247,0),0)</f>
        <v/>
      </c>
      <c r="BD3577">
        <f>IF('01_Вводные'!$B$234="Да",IF(IF('01_Вводные'!$B$296="Новый сезон",TRUE,TRUE),'19_Расчет_аналитики'!BD3465*CapacityAge22*'19_Расчет_аналитики'!$F$3247,0),0)</f>
        <v/>
      </c>
      <c r="BE3577">
        <f>IF('01_Вводные'!$B$234="Да",IF(IF('01_Вводные'!$B$296="Новый сезон",TRUE,TRUE),'19_Расчет_аналитики'!BE3465*CapacityAge22*'19_Расчет_аналитики'!$F$3247,0),0)</f>
        <v/>
      </c>
      <c r="BF3577">
        <f>IF('01_Вводные'!$B$234="Да",IF(IF('01_Вводные'!$B$296="Новый сезон",TRUE,TRUE),'19_Расчет_аналитики'!BF3465*CapacityAge22*'19_Расчет_аналитики'!$F$3247,0),0)</f>
        <v/>
      </c>
      <c r="BG3577">
        <f>IF('01_Вводные'!$B$234="Да",IF(IF('01_Вводные'!$B$296="Новый сезон",TRUE,TRUE),'19_Расчет_аналитики'!BG3465*CapacityAge22*'19_Расчет_аналитики'!$F$3247,0),0)</f>
        <v/>
      </c>
      <c r="BH3577">
        <f>IF('01_Вводные'!$B$234="Да",IF(IF('01_Вводные'!$B$296="Новый сезон",TRUE,TRUE),'19_Расчет_аналитики'!BH3465*CapacityAge22*'19_Расчет_аналитики'!$F$3247,0),0)</f>
        <v/>
      </c>
      <c r="BI3577">
        <f>IF('01_Вводные'!$B$234="Да",IF(IF('01_Вводные'!$B$296="Новый сезон",TRUE,TRUE),'19_Расчет_аналитики'!BI3465*CapacityAge22*'19_Расчет_аналитики'!$F$3247,0),0)</f>
        <v/>
      </c>
      <c r="BJ3577">
        <f>IF('01_Вводные'!$B$234="Да",IF(IF('01_Вводные'!$B$296="Новый сезон",TRUE,TRUE),'19_Расчет_аналитики'!BJ3465*CapacityAge22*'19_Расчет_аналитики'!$F$3247,0),0)</f>
        <v/>
      </c>
      <c r="BK3577">
        <f>IF('01_Вводные'!$B$234="Да",IF(IF('01_Вводные'!$B$296="Новый сезон",TRUE,TRUE),'19_Расчет_аналитики'!BK3465*CapacityAge22*'19_Расчет_аналитики'!$F$3247,0),0)</f>
        <v/>
      </c>
      <c r="BL3577">
        <f>IF('01_Вводные'!$B$234="Да",IF(IF('01_Вводные'!$B$296="Новый сезон",TRUE,TRUE),'19_Расчет_аналитики'!BL3465*CapacityAge22*'19_Расчет_аналитики'!$F$3247,0),0)</f>
        <v/>
      </c>
      <c r="BM3577">
        <f>IF('01_Вводные'!$B$234="Да",IF(IF('01_Вводные'!$B$296="Новый сезон",TRUE,TRUE),'19_Расчет_аналитики'!BM3465*CapacityAge22*'19_Расчет_аналитики'!$F$3247,0),0)</f>
        <v/>
      </c>
      <c r="BN3577">
        <f>IF('01_Вводные'!$B$234="Да",IF(IF('01_Вводные'!$B$296="Новый сезон",TRUE,TRUE),'19_Расчет_аналитики'!BN3465*CapacityAge22*'19_Расчет_аналитики'!$F$3247,0),0)</f>
        <v/>
      </c>
      <c r="BO3577">
        <f>IF('01_Вводные'!$B$234="Да",IF(IF('01_Вводные'!$B$296="Новый сезон",TRUE,TRUE),'19_Расчет_аналитики'!BO3465*CapacityAge22*'19_Расчет_аналитики'!$F$3247,0),0)</f>
        <v/>
      </c>
    </row>
    <row r="3578">
      <c r="B3578">
        <f>IF('01_Вводные'!$B$234="Да",IF(IF('01_Вводные'!$B$296="Новый сезон",TRUE,TRUE),'06_Сеть_и_дети'!B75*CapacityAge23*'19_Расчет_аналитики'!$F$3247,0),0)</f>
        <v/>
      </c>
      <c r="C3578">
        <f>IF('01_Вводные'!$B$234="Да",IF(IF('01_Вводные'!$B$296="Новый сезон",TRUE,TRUE),'06_Сеть_и_дети'!C75*CapacityAge23*'19_Расчет_аналитики'!$F$3247,0),0)</f>
        <v/>
      </c>
      <c r="D3578">
        <f>IF('01_Вводные'!$B$234="Да",IF(IF('01_Вводные'!$B$296="Новый сезон",TRUE,TRUE),'06_Сеть_и_дети'!D75*CapacityAge23*'19_Расчет_аналитики'!$F$3247,0),0)</f>
        <v/>
      </c>
      <c r="E3578">
        <f>IF('01_Вводные'!$B$234="Да",IF(IF('01_Вводные'!$B$296="Новый сезон",TRUE,TRUE),'06_Сеть_и_дети'!E75*CapacityAge23*'19_Расчет_аналитики'!$F$3247,0),0)</f>
        <v/>
      </c>
      <c r="F3578">
        <f>IF('01_Вводные'!$B$234="Да",IF(IF('01_Вводные'!$B$296="Новый сезон",TRUE,TRUE),'06_Сеть_и_дети'!F75*CapacityAge23*'19_Расчет_аналитики'!$F$3247,0),0)</f>
        <v/>
      </c>
      <c r="G3578">
        <f>IF('01_Вводные'!$B$234="Да",IF(IF('01_Вводные'!$B$296="Новый сезон",TRUE,TRUE),'06_Сеть_и_дети'!G75*CapacityAge23*'19_Расчет_аналитики'!$F$3247,0),0)</f>
        <v/>
      </c>
      <c r="H3578">
        <f>IF('01_Вводные'!$B$234="Да",IF(IF('01_Вводные'!$B$296="Новый сезон",TRUE,TRUE),'06_Сеть_и_дети'!H75*CapacityAge23*'19_Расчет_аналитики'!$F$3247,0),0)</f>
        <v/>
      </c>
      <c r="I3578">
        <f>IF('01_Вводные'!$B$234="Да",IF(IF('01_Вводные'!$B$296="Новый сезон",TRUE,TRUE),'06_Сеть_и_дети'!I75*CapacityAge23*'19_Расчет_аналитики'!$F$3247,0),0)</f>
        <v/>
      </c>
      <c r="J3578">
        <f>IF('01_Вводные'!$B$234="Да",IF(IF('01_Вводные'!$B$296="Новый сезон",TRUE,TRUE),'06_Сеть_и_дети'!J75*CapacityAge23*'19_Расчет_аналитики'!$F$3247,0),0)</f>
        <v/>
      </c>
      <c r="K3578">
        <f>IF('01_Вводные'!$B$234="Да",IF(IF('01_Вводные'!$B$296="Новый сезон",TRUE,TRUE),'06_Сеть_и_дети'!K75*CapacityAge23*'19_Расчет_аналитики'!$F$3247,0),0)</f>
        <v/>
      </c>
      <c r="L3578">
        <f>IF('01_Вводные'!$B$234="Да",IF(IF('01_Вводные'!$B$296="Новый сезон",TRUE,TRUE),'06_Сеть_и_дети'!L75*CapacityAge23*'19_Расчет_аналитики'!$F$3247,0),0)</f>
        <v/>
      </c>
      <c r="M3578">
        <f>IF('01_Вводные'!$B$234="Да",IF(IF('01_Вводные'!$B$296="Новый сезон",TRUE,TRUE),'06_Сеть_и_дети'!M75*CapacityAge23*'19_Расчет_аналитики'!$F$3247,0),0)</f>
        <v/>
      </c>
      <c r="N3578">
        <f>IF('01_Вводные'!$B$234="Да",IF(IF('01_Вводные'!$B$296="Новый сезон",TRUE,TRUE),'06_Сеть_и_дети'!N75*CapacityAge23*'19_Расчет_аналитики'!$F$3247,0),0)</f>
        <v/>
      </c>
      <c r="O3578">
        <f>IF('01_Вводные'!$B$234="Да",IF(IF('01_Вводные'!$B$296="Новый сезон",TRUE,TRUE),'06_Сеть_и_дети'!O75*CapacityAge23*'19_Расчет_аналитики'!$F$3247,0),0)</f>
        <v/>
      </c>
      <c r="P3578">
        <f>IF('01_Вводные'!$B$234="Да",IF(IF('01_Вводные'!$B$296="Новый сезон",TRUE,TRUE),'06_Сеть_и_дети'!P75*CapacityAge23*'19_Расчет_аналитики'!$F$3247,0),0)</f>
        <v/>
      </c>
      <c r="Q3578">
        <f>IF('01_Вводные'!$B$234="Да",IF(IF('01_Вводные'!$B$296="Новый сезон",TRUE,TRUE),'06_Сеть_и_дети'!Q75*CapacityAge23*'19_Расчет_аналитики'!$F$3247,0),0)</f>
        <v/>
      </c>
      <c r="R3578">
        <f>IF('01_Вводные'!$B$234="Да",IF(IF('01_Вводные'!$B$296="Новый сезон",TRUE,TRUE),'06_Сеть_и_дети'!R75*CapacityAge23*'19_Расчет_аналитики'!$F$3247,0),0)</f>
        <v/>
      </c>
      <c r="S3578">
        <f>IF('01_Вводные'!$B$234="Да",IF(IF('01_Вводные'!$B$296="Новый сезон",TRUE,TRUE),'06_Сеть_и_дети'!S75*CapacityAge23*'19_Расчет_аналитики'!$F$3247,0),0)</f>
        <v/>
      </c>
      <c r="T3578">
        <f>IF('01_Вводные'!$B$234="Да",IF(IF('01_Вводные'!$B$296="Новый сезон",TRUE,TRUE),'06_Сеть_и_дети'!T75*CapacityAge23*'19_Расчет_аналитики'!$F$3247,0),0)</f>
        <v/>
      </c>
      <c r="U3578">
        <f>IF('01_Вводные'!$B$234="Да",IF(IF('01_Вводные'!$B$296="Новый сезон",TRUE,TRUE),'06_Сеть_и_дети'!U75*CapacityAge23*'19_Расчет_аналитики'!$F$3247,0),0)</f>
        <v/>
      </c>
      <c r="V3578">
        <f>IF('01_Вводные'!$B$234="Да",IF(IF('01_Вводные'!$B$296="Новый сезон",TRUE,TRUE),'06_Сеть_и_дети'!V75*CapacityAge23*'19_Расчет_аналитики'!$F$3247,0),0)</f>
        <v/>
      </c>
      <c r="W3578">
        <f>IF('01_Вводные'!$B$234="Да",IF(IF('01_Вводные'!$B$296="Новый сезон",TRUE,TRUE),'06_Сеть_и_дети'!W75*CapacityAge23*'19_Расчет_аналитики'!$F$3247,0),0)</f>
        <v/>
      </c>
      <c r="X3578">
        <f>IF('01_Вводные'!$B$234="Да",IF(IF('01_Вводные'!$B$296="Новый сезон",TRUE,TRUE),'19_Расчет_аналитики'!X3466*CapacityAge23*'19_Расчет_аналитики'!$F$3247,0),0)</f>
        <v/>
      </c>
      <c r="Y3578">
        <f>IF('01_Вводные'!$B$234="Да",IF(IF('01_Вводные'!$B$296="Новый сезон",TRUE,TRUE),'19_Расчет_аналитики'!Y3466*CapacityAge23*'19_Расчет_аналитики'!$F$3247,0),0)</f>
        <v/>
      </c>
      <c r="Z3578">
        <f>IF('01_Вводные'!$B$234="Да",IF(IF('01_Вводные'!$B$296="Новый сезон",TRUE,TRUE),'19_Расчет_аналитики'!Z3466*CapacityAge23*'19_Расчет_аналитики'!$F$3247,0),0)</f>
        <v/>
      </c>
      <c r="AA3578">
        <f>IF('01_Вводные'!$B$234="Да",IF(IF('01_Вводные'!$B$296="Новый сезон",TRUE,TRUE),'19_Расчет_аналитики'!AA3466*CapacityAge23*'19_Расчет_аналитики'!$F$3247,0),0)</f>
        <v/>
      </c>
      <c r="AB3578">
        <f>IF('01_Вводные'!$B$234="Да",IF(IF('01_Вводные'!$B$296="Новый сезон",TRUE,TRUE),'19_Расчет_аналитики'!AB3466*CapacityAge23*'19_Расчет_аналитики'!$F$3247,0),0)</f>
        <v/>
      </c>
      <c r="AC3578">
        <f>IF('01_Вводные'!$B$234="Да",IF(IF('01_Вводные'!$B$296="Новый сезон",TRUE,TRUE),'19_Расчет_аналитики'!AC3466*CapacityAge23*'19_Расчет_аналитики'!$F$3247,0),0)</f>
        <v/>
      </c>
      <c r="AD3578">
        <f>IF('01_Вводные'!$B$234="Да",IF(IF('01_Вводные'!$B$296="Новый сезон",TRUE,TRUE),'19_Расчет_аналитики'!AD3466*CapacityAge23*'19_Расчет_аналитики'!$F$3247,0),0)</f>
        <v/>
      </c>
      <c r="AE3578">
        <f>IF('01_Вводные'!$B$234="Да",IF(IF('01_Вводные'!$B$296="Новый сезон",TRUE,TRUE),'19_Расчет_аналитики'!AE3466*CapacityAge23*'19_Расчет_аналитики'!$F$3247,0),0)</f>
        <v/>
      </c>
      <c r="AF3578">
        <f>IF('01_Вводные'!$B$234="Да",IF(IF('01_Вводные'!$B$296="Новый сезон",TRUE,TRUE),'19_Расчет_аналитики'!AF3466*CapacityAge23*'19_Расчет_аналитики'!$F$3247,0),0)</f>
        <v/>
      </c>
      <c r="AG3578">
        <f>IF('01_Вводные'!$B$234="Да",IF(IF('01_Вводные'!$B$296="Новый сезон",TRUE,TRUE),'19_Расчет_аналитики'!AG3466*CapacityAge23*'19_Расчет_аналитики'!$F$3247,0),0)</f>
        <v/>
      </c>
      <c r="AH3578">
        <f>IF('01_Вводные'!$B$234="Да",IF(IF('01_Вводные'!$B$296="Новый сезон",TRUE,TRUE),'19_Расчет_аналитики'!AH3466*CapacityAge23*'19_Расчет_аналитики'!$F$3247,0),0)</f>
        <v/>
      </c>
      <c r="AI3578">
        <f>IF('01_Вводные'!$B$234="Да",IF(IF('01_Вводные'!$B$296="Новый сезон",TRUE,TRUE),'19_Расчет_аналитики'!AI3466*CapacityAge23*'19_Расчет_аналитики'!$F$3247,0),0)</f>
        <v/>
      </c>
      <c r="AJ3578">
        <f>IF('01_Вводные'!$B$234="Да",IF(IF('01_Вводные'!$B$296="Новый сезон",TRUE,TRUE),'19_Расчет_аналитики'!AJ3466*CapacityAge23*'19_Расчет_аналитики'!$F$3247,0),0)</f>
        <v/>
      </c>
      <c r="AK3578">
        <f>IF('01_Вводные'!$B$234="Да",IF(IF('01_Вводные'!$B$296="Новый сезон",TRUE,TRUE),'19_Расчет_аналитики'!AK3466*CapacityAge23*'19_Расчет_аналитики'!$F$3247,0),0)</f>
        <v/>
      </c>
      <c r="AL3578">
        <f>IF('01_Вводные'!$B$234="Да",IF(IF('01_Вводные'!$B$296="Новый сезон",TRUE,TRUE),'19_Расчет_аналитики'!AL3466*CapacityAge23*'19_Расчет_аналитики'!$F$3247,0),0)</f>
        <v/>
      </c>
      <c r="AM3578">
        <f>IF('01_Вводные'!$B$234="Да",IF(IF('01_Вводные'!$B$296="Новый сезон",TRUE,TRUE),'19_Расчет_аналитики'!AM3466*CapacityAge23*'19_Расчет_аналитики'!$F$3247,0),0)</f>
        <v/>
      </c>
      <c r="AN3578">
        <f>IF('01_Вводные'!$B$234="Да",IF(IF('01_Вводные'!$B$296="Новый сезон",TRUE,TRUE),'19_Расчет_аналитики'!AN3466*CapacityAge23*'19_Расчет_аналитики'!$F$3247,0),0)</f>
        <v/>
      </c>
      <c r="AO3578">
        <f>IF('01_Вводные'!$B$234="Да",IF(IF('01_Вводные'!$B$296="Новый сезон",TRUE,TRUE),'19_Расчет_аналитики'!AO3466*CapacityAge23*'19_Расчет_аналитики'!$F$3247,0),0)</f>
        <v/>
      </c>
      <c r="AP3578">
        <f>IF('01_Вводные'!$B$234="Да",IF(IF('01_Вводные'!$B$296="Новый сезон",TRUE,TRUE),'19_Расчет_аналитики'!AP3466*CapacityAge23*'19_Расчет_аналитики'!$F$3247,0),0)</f>
        <v/>
      </c>
      <c r="AQ3578">
        <f>IF('01_Вводные'!$B$234="Да",IF(IF('01_Вводные'!$B$296="Новый сезон",TRUE,TRUE),'19_Расчет_аналитики'!AQ3466*CapacityAge23*'19_Расчет_аналитики'!$F$3247,0),0)</f>
        <v/>
      </c>
      <c r="AR3578">
        <f>IF('01_Вводные'!$B$234="Да",IF(IF('01_Вводные'!$B$296="Новый сезон",TRUE,TRUE),'19_Расчет_аналитики'!AR3466*CapacityAge23*'19_Расчет_аналитики'!$F$3247,0),0)</f>
        <v/>
      </c>
      <c r="AS3578">
        <f>IF('01_Вводные'!$B$234="Да",IF(IF('01_Вводные'!$B$296="Новый сезон",TRUE,TRUE),'19_Расчет_аналитики'!AS3466*CapacityAge23*'19_Расчет_аналитики'!$F$3247,0),0)</f>
        <v/>
      </c>
      <c r="AT3578">
        <f>IF('01_Вводные'!$B$234="Да",IF(IF('01_Вводные'!$B$296="Новый сезон",TRUE,TRUE),'19_Расчет_аналитики'!AT3466*CapacityAge23*'19_Расчет_аналитики'!$F$3247,0),0)</f>
        <v/>
      </c>
      <c r="AU3578">
        <f>IF('01_Вводные'!$B$234="Да",IF(IF('01_Вводные'!$B$296="Новый сезон",TRUE,TRUE),'19_Расчет_аналитики'!AU3466*CapacityAge23*'19_Расчет_аналитики'!$F$3247,0),0)</f>
        <v/>
      </c>
      <c r="AV3578">
        <f>IF('01_Вводные'!$B$234="Да",IF(IF('01_Вводные'!$B$296="Новый сезон",TRUE,TRUE),'19_Расчет_аналитики'!AV3466*CapacityAge23*'19_Расчет_аналитики'!$F$3247,0),0)</f>
        <v/>
      </c>
      <c r="AW3578">
        <f>IF('01_Вводные'!$B$234="Да",IF(IF('01_Вводные'!$B$296="Новый сезон",TRUE,TRUE),'19_Расчет_аналитики'!AW3466*CapacityAge23*'19_Расчет_аналитики'!$F$3247,0),0)</f>
        <v/>
      </c>
      <c r="AX3578">
        <f>IF('01_Вводные'!$B$234="Да",IF(IF('01_Вводные'!$B$296="Новый сезон",TRUE,TRUE),'19_Расчет_аналитики'!AX3466*CapacityAge23*'19_Расчет_аналитики'!$F$3247,0),0)</f>
        <v/>
      </c>
      <c r="AY3578">
        <f>IF('01_Вводные'!$B$234="Да",IF(IF('01_Вводные'!$B$296="Новый сезон",TRUE,TRUE),'19_Расчет_аналитики'!AY3466*CapacityAge23*'19_Расчет_аналитики'!$F$3247,0),0)</f>
        <v/>
      </c>
      <c r="AZ3578">
        <f>IF('01_Вводные'!$B$234="Да",IF(IF('01_Вводные'!$B$296="Новый сезон",TRUE,TRUE),'19_Расчет_аналитики'!AZ3466*CapacityAge23*'19_Расчет_аналитики'!$F$3247,0),0)</f>
        <v/>
      </c>
      <c r="BA3578">
        <f>IF('01_Вводные'!$B$234="Да",IF(IF('01_Вводные'!$B$296="Новый сезон",TRUE,TRUE),'19_Расчет_аналитики'!BA3466*CapacityAge23*'19_Расчет_аналитики'!$F$3247,0),0)</f>
        <v/>
      </c>
      <c r="BB3578">
        <f>IF('01_Вводные'!$B$234="Да",IF(IF('01_Вводные'!$B$296="Новый сезон",TRUE,TRUE),'19_Расчет_аналитики'!BB3466*CapacityAge23*'19_Расчет_аналитики'!$F$3247,0),0)</f>
        <v/>
      </c>
      <c r="BC3578">
        <f>IF('01_Вводные'!$B$234="Да",IF(IF('01_Вводные'!$B$296="Новый сезон",TRUE,TRUE),'19_Расчет_аналитики'!BC3466*CapacityAge23*'19_Расчет_аналитики'!$F$3247,0),0)</f>
        <v/>
      </c>
      <c r="BD3578">
        <f>IF('01_Вводные'!$B$234="Да",IF(IF('01_Вводные'!$B$296="Новый сезон",TRUE,TRUE),'19_Расчет_аналитики'!BD3466*CapacityAge23*'19_Расчет_аналитики'!$F$3247,0),0)</f>
        <v/>
      </c>
      <c r="BE3578">
        <f>IF('01_Вводные'!$B$234="Да",IF(IF('01_Вводные'!$B$296="Новый сезон",TRUE,TRUE),'19_Расчет_аналитики'!BE3466*CapacityAge23*'19_Расчет_аналитики'!$F$3247,0),0)</f>
        <v/>
      </c>
      <c r="BF3578">
        <f>IF('01_Вводные'!$B$234="Да",IF(IF('01_Вводные'!$B$296="Новый сезон",TRUE,TRUE),'19_Расчет_аналитики'!BF3466*CapacityAge23*'19_Расчет_аналитики'!$F$3247,0),0)</f>
        <v/>
      </c>
      <c r="BG3578">
        <f>IF('01_Вводные'!$B$234="Да",IF(IF('01_Вводные'!$B$296="Новый сезон",TRUE,TRUE),'19_Расчет_аналитики'!BG3466*CapacityAge23*'19_Расчет_аналитики'!$F$3247,0),0)</f>
        <v/>
      </c>
      <c r="BH3578">
        <f>IF('01_Вводные'!$B$234="Да",IF(IF('01_Вводные'!$B$296="Новый сезон",TRUE,TRUE),'19_Расчет_аналитики'!BH3466*CapacityAge23*'19_Расчет_аналитики'!$F$3247,0),0)</f>
        <v/>
      </c>
      <c r="BI3578">
        <f>IF('01_Вводные'!$B$234="Да",IF(IF('01_Вводные'!$B$296="Новый сезон",TRUE,TRUE),'19_Расчет_аналитики'!BI3466*CapacityAge23*'19_Расчет_аналитики'!$F$3247,0),0)</f>
        <v/>
      </c>
      <c r="BJ3578">
        <f>IF('01_Вводные'!$B$234="Да",IF(IF('01_Вводные'!$B$296="Новый сезон",TRUE,TRUE),'19_Расчет_аналитики'!BJ3466*CapacityAge23*'19_Расчет_аналитики'!$F$3247,0),0)</f>
        <v/>
      </c>
      <c r="BK3578">
        <f>IF('01_Вводные'!$B$234="Да",IF(IF('01_Вводные'!$B$296="Новый сезон",TRUE,TRUE),'19_Расчет_аналитики'!BK3466*CapacityAge23*'19_Расчет_аналитики'!$F$3247,0),0)</f>
        <v/>
      </c>
      <c r="BL3578">
        <f>IF('01_Вводные'!$B$234="Да",IF(IF('01_Вводные'!$B$296="Новый сезон",TRUE,TRUE),'19_Расчет_аналитики'!BL3466*CapacityAge23*'19_Расчет_аналитики'!$F$3247,0),0)</f>
        <v/>
      </c>
      <c r="BM3578">
        <f>IF('01_Вводные'!$B$234="Да",IF(IF('01_Вводные'!$B$296="Новый сезон",TRUE,TRUE),'19_Расчет_аналитики'!BM3466*CapacityAge23*'19_Расчет_аналитики'!$F$3247,0),0)</f>
        <v/>
      </c>
      <c r="BN3578">
        <f>IF('01_Вводные'!$B$234="Да",IF(IF('01_Вводные'!$B$296="Новый сезон",TRUE,TRUE),'19_Расчет_аналитики'!BN3466*CapacityAge23*'19_Расчет_аналитики'!$F$3247,0),0)</f>
        <v/>
      </c>
      <c r="BO3578">
        <f>IF('01_Вводные'!$B$234="Да",IF(IF('01_Вводные'!$B$296="Новый сезон",TRUE,TRUE),'19_Расчет_аналитики'!BO3466*CapacityAge23*'19_Расчет_аналитики'!$F$3247,0),0)</f>
        <v/>
      </c>
    </row>
    <row r="3579">
      <c r="B3579">
        <f>IF('01_Вводные'!$B$234="Да",IF(IF('01_Вводные'!$B$296="Новый сезон",TRUE,TRUE),'06_Сеть_и_дети'!B76*CapacityAge24*'19_Расчет_аналитики'!$F$3247,0),0)</f>
        <v/>
      </c>
      <c r="C3579">
        <f>IF('01_Вводные'!$B$234="Да",IF(IF('01_Вводные'!$B$296="Новый сезон",TRUE,TRUE),'06_Сеть_и_дети'!C76*CapacityAge24*'19_Расчет_аналитики'!$F$3247,0),0)</f>
        <v/>
      </c>
      <c r="D3579">
        <f>IF('01_Вводные'!$B$234="Да",IF(IF('01_Вводные'!$B$296="Новый сезон",TRUE,TRUE),'06_Сеть_и_дети'!D76*CapacityAge24*'19_Расчет_аналитики'!$F$3247,0),0)</f>
        <v/>
      </c>
      <c r="E3579">
        <f>IF('01_Вводные'!$B$234="Да",IF(IF('01_Вводные'!$B$296="Новый сезон",TRUE,TRUE),'06_Сеть_и_дети'!E76*CapacityAge24*'19_Расчет_аналитики'!$F$3247,0),0)</f>
        <v/>
      </c>
      <c r="F3579">
        <f>IF('01_Вводные'!$B$234="Да",IF(IF('01_Вводные'!$B$296="Новый сезон",TRUE,TRUE),'06_Сеть_и_дети'!F76*CapacityAge24*'19_Расчет_аналитики'!$F$3247,0),0)</f>
        <v/>
      </c>
      <c r="G3579">
        <f>IF('01_Вводные'!$B$234="Да",IF(IF('01_Вводные'!$B$296="Новый сезон",TRUE,TRUE),'06_Сеть_и_дети'!G76*CapacityAge24*'19_Расчет_аналитики'!$F$3247,0),0)</f>
        <v/>
      </c>
      <c r="H3579">
        <f>IF('01_Вводные'!$B$234="Да",IF(IF('01_Вводные'!$B$296="Новый сезон",TRUE,TRUE),'06_Сеть_и_дети'!H76*CapacityAge24*'19_Расчет_аналитики'!$F$3247,0),0)</f>
        <v/>
      </c>
      <c r="I3579">
        <f>IF('01_Вводные'!$B$234="Да",IF(IF('01_Вводные'!$B$296="Новый сезон",TRUE,TRUE),'06_Сеть_и_дети'!I76*CapacityAge24*'19_Расчет_аналитики'!$F$3247,0),0)</f>
        <v/>
      </c>
      <c r="J3579">
        <f>IF('01_Вводные'!$B$234="Да",IF(IF('01_Вводные'!$B$296="Новый сезон",TRUE,TRUE),'06_Сеть_и_дети'!J76*CapacityAge24*'19_Расчет_аналитики'!$F$3247,0),0)</f>
        <v/>
      </c>
      <c r="K3579">
        <f>IF('01_Вводные'!$B$234="Да",IF(IF('01_Вводные'!$B$296="Новый сезон",TRUE,TRUE),'06_Сеть_и_дети'!K76*CapacityAge24*'19_Расчет_аналитики'!$F$3247,0),0)</f>
        <v/>
      </c>
      <c r="L3579">
        <f>IF('01_Вводные'!$B$234="Да",IF(IF('01_Вводные'!$B$296="Новый сезон",TRUE,TRUE),'06_Сеть_и_дети'!L76*CapacityAge24*'19_Расчет_аналитики'!$F$3247,0),0)</f>
        <v/>
      </c>
      <c r="M3579">
        <f>IF('01_Вводные'!$B$234="Да",IF(IF('01_Вводные'!$B$296="Новый сезон",TRUE,TRUE),'06_Сеть_и_дети'!M76*CapacityAge24*'19_Расчет_аналитики'!$F$3247,0),0)</f>
        <v/>
      </c>
      <c r="N3579">
        <f>IF('01_Вводные'!$B$234="Да",IF(IF('01_Вводные'!$B$296="Новый сезон",TRUE,TRUE),'06_Сеть_и_дети'!N76*CapacityAge24*'19_Расчет_аналитики'!$F$3247,0),0)</f>
        <v/>
      </c>
      <c r="O3579">
        <f>IF('01_Вводные'!$B$234="Да",IF(IF('01_Вводные'!$B$296="Новый сезон",TRUE,TRUE),'06_Сеть_и_дети'!O76*CapacityAge24*'19_Расчет_аналитики'!$F$3247,0),0)</f>
        <v/>
      </c>
      <c r="P3579">
        <f>IF('01_Вводные'!$B$234="Да",IF(IF('01_Вводные'!$B$296="Новый сезон",TRUE,TRUE),'06_Сеть_и_дети'!P76*CapacityAge24*'19_Расчет_аналитики'!$F$3247,0),0)</f>
        <v/>
      </c>
      <c r="Q3579">
        <f>IF('01_Вводные'!$B$234="Да",IF(IF('01_Вводные'!$B$296="Новый сезон",TRUE,TRUE),'06_Сеть_и_дети'!Q76*CapacityAge24*'19_Расчет_аналитики'!$F$3247,0),0)</f>
        <v/>
      </c>
      <c r="R3579">
        <f>IF('01_Вводные'!$B$234="Да",IF(IF('01_Вводные'!$B$296="Новый сезон",TRUE,TRUE),'06_Сеть_и_дети'!R76*CapacityAge24*'19_Расчет_аналитики'!$F$3247,0),0)</f>
        <v/>
      </c>
      <c r="S3579">
        <f>IF('01_Вводные'!$B$234="Да",IF(IF('01_Вводные'!$B$296="Новый сезон",TRUE,TRUE),'06_Сеть_и_дети'!S76*CapacityAge24*'19_Расчет_аналитики'!$F$3247,0),0)</f>
        <v/>
      </c>
      <c r="T3579">
        <f>IF('01_Вводные'!$B$234="Да",IF(IF('01_Вводные'!$B$296="Новый сезон",TRUE,TRUE),'06_Сеть_и_дети'!T76*CapacityAge24*'19_Расчет_аналитики'!$F$3247,0),0)</f>
        <v/>
      </c>
      <c r="U3579">
        <f>IF('01_Вводные'!$B$234="Да",IF(IF('01_Вводные'!$B$296="Новый сезон",TRUE,TRUE),'06_Сеть_и_дети'!U76*CapacityAge24*'19_Расчет_аналитики'!$F$3247,0),0)</f>
        <v/>
      </c>
      <c r="V3579">
        <f>IF('01_Вводные'!$B$234="Да",IF(IF('01_Вводные'!$B$296="Новый сезон",TRUE,TRUE),'06_Сеть_и_дети'!V76*CapacityAge24*'19_Расчет_аналитики'!$F$3247,0),0)</f>
        <v/>
      </c>
      <c r="W3579">
        <f>IF('01_Вводные'!$B$234="Да",IF(IF('01_Вводные'!$B$296="Новый сезон",TRUE,TRUE),'06_Сеть_и_дети'!W76*CapacityAge24*'19_Расчет_аналитики'!$F$3247,0),0)</f>
        <v/>
      </c>
      <c r="X3579">
        <f>IF('01_Вводные'!$B$234="Да",IF(IF('01_Вводные'!$B$296="Новый сезон",TRUE,TRUE),'06_Сеть_и_дети'!X76*CapacityAge24*'19_Расчет_аналитики'!$F$3247,0),0)</f>
        <v/>
      </c>
      <c r="Y3579">
        <f>IF('01_Вводные'!$B$234="Да",IF(IF('01_Вводные'!$B$296="Новый сезон",TRUE,TRUE),'19_Расчет_аналитики'!Y3467*CapacityAge24*'19_Расчет_аналитики'!$F$3247,0),0)</f>
        <v/>
      </c>
      <c r="Z3579">
        <f>IF('01_Вводные'!$B$234="Да",IF(IF('01_Вводные'!$B$296="Новый сезон",TRUE,TRUE),'19_Расчет_аналитики'!Z3467*CapacityAge24*'19_Расчет_аналитики'!$F$3247,0),0)</f>
        <v/>
      </c>
      <c r="AA3579">
        <f>IF('01_Вводные'!$B$234="Да",IF(IF('01_Вводные'!$B$296="Новый сезон",TRUE,TRUE),'19_Расчет_аналитики'!AA3467*CapacityAge24*'19_Расчет_аналитики'!$F$3247,0),0)</f>
        <v/>
      </c>
      <c r="AB3579">
        <f>IF('01_Вводные'!$B$234="Да",IF(IF('01_Вводные'!$B$296="Новый сезон",TRUE,TRUE),'19_Расчет_аналитики'!AB3467*CapacityAge24*'19_Расчет_аналитики'!$F$3247,0),0)</f>
        <v/>
      </c>
      <c r="AC3579">
        <f>IF('01_Вводные'!$B$234="Да",IF(IF('01_Вводные'!$B$296="Новый сезон",TRUE,TRUE),'19_Расчет_аналитики'!AC3467*CapacityAge24*'19_Расчет_аналитики'!$F$3247,0),0)</f>
        <v/>
      </c>
      <c r="AD3579">
        <f>IF('01_Вводные'!$B$234="Да",IF(IF('01_Вводные'!$B$296="Новый сезон",TRUE,TRUE),'19_Расчет_аналитики'!AD3467*CapacityAge24*'19_Расчет_аналитики'!$F$3247,0),0)</f>
        <v/>
      </c>
      <c r="AE3579">
        <f>IF('01_Вводные'!$B$234="Да",IF(IF('01_Вводные'!$B$296="Новый сезон",TRUE,TRUE),'19_Расчет_аналитики'!AE3467*CapacityAge24*'19_Расчет_аналитики'!$F$3247,0),0)</f>
        <v/>
      </c>
      <c r="AF3579">
        <f>IF('01_Вводные'!$B$234="Да",IF(IF('01_Вводные'!$B$296="Новый сезон",TRUE,TRUE),'19_Расчет_аналитики'!AF3467*CapacityAge24*'19_Расчет_аналитики'!$F$3247,0),0)</f>
        <v/>
      </c>
      <c r="AG3579">
        <f>IF('01_Вводные'!$B$234="Да",IF(IF('01_Вводные'!$B$296="Новый сезон",TRUE,TRUE),'19_Расчет_аналитики'!AG3467*CapacityAge24*'19_Расчет_аналитики'!$F$3247,0),0)</f>
        <v/>
      </c>
      <c r="AH3579">
        <f>IF('01_Вводные'!$B$234="Да",IF(IF('01_Вводные'!$B$296="Новый сезон",TRUE,TRUE),'19_Расчет_аналитики'!AH3467*CapacityAge24*'19_Расчет_аналитики'!$F$3247,0),0)</f>
        <v/>
      </c>
      <c r="AI3579">
        <f>IF('01_Вводные'!$B$234="Да",IF(IF('01_Вводные'!$B$296="Новый сезон",TRUE,TRUE),'19_Расчет_аналитики'!AI3467*CapacityAge24*'19_Расчет_аналитики'!$F$3247,0),0)</f>
        <v/>
      </c>
      <c r="AJ3579">
        <f>IF('01_Вводные'!$B$234="Да",IF(IF('01_Вводные'!$B$296="Новый сезон",TRUE,TRUE),'19_Расчет_аналитики'!AJ3467*CapacityAge24*'19_Расчет_аналитики'!$F$3247,0),0)</f>
        <v/>
      </c>
      <c r="AK3579">
        <f>IF('01_Вводные'!$B$234="Да",IF(IF('01_Вводные'!$B$296="Новый сезон",TRUE,TRUE),'19_Расчет_аналитики'!AK3467*CapacityAge24*'19_Расчет_аналитики'!$F$3247,0),0)</f>
        <v/>
      </c>
      <c r="AL3579">
        <f>IF('01_Вводные'!$B$234="Да",IF(IF('01_Вводные'!$B$296="Новый сезон",TRUE,TRUE),'19_Расчет_аналитики'!AL3467*CapacityAge24*'19_Расчет_аналитики'!$F$3247,0),0)</f>
        <v/>
      </c>
      <c r="AM3579">
        <f>IF('01_Вводные'!$B$234="Да",IF(IF('01_Вводные'!$B$296="Новый сезон",TRUE,TRUE),'19_Расчет_аналитики'!AM3467*CapacityAge24*'19_Расчет_аналитики'!$F$3247,0),0)</f>
        <v/>
      </c>
      <c r="AN3579">
        <f>IF('01_Вводные'!$B$234="Да",IF(IF('01_Вводные'!$B$296="Новый сезон",TRUE,TRUE),'19_Расчет_аналитики'!AN3467*CapacityAge24*'19_Расчет_аналитики'!$F$3247,0),0)</f>
        <v/>
      </c>
      <c r="AO3579">
        <f>IF('01_Вводные'!$B$234="Да",IF(IF('01_Вводные'!$B$296="Новый сезон",TRUE,TRUE),'19_Расчет_аналитики'!AO3467*CapacityAge24*'19_Расчет_аналитики'!$F$3247,0),0)</f>
        <v/>
      </c>
      <c r="AP3579">
        <f>IF('01_Вводные'!$B$234="Да",IF(IF('01_Вводные'!$B$296="Новый сезон",TRUE,TRUE),'19_Расчет_аналитики'!AP3467*CapacityAge24*'19_Расчет_аналитики'!$F$3247,0),0)</f>
        <v/>
      </c>
      <c r="AQ3579">
        <f>IF('01_Вводные'!$B$234="Да",IF(IF('01_Вводные'!$B$296="Новый сезон",TRUE,TRUE),'19_Расчет_аналитики'!AQ3467*CapacityAge24*'19_Расчет_аналитики'!$F$3247,0),0)</f>
        <v/>
      </c>
      <c r="AR3579">
        <f>IF('01_Вводные'!$B$234="Да",IF(IF('01_Вводные'!$B$296="Новый сезон",TRUE,TRUE),'19_Расчет_аналитики'!AR3467*CapacityAge24*'19_Расчет_аналитики'!$F$3247,0),0)</f>
        <v/>
      </c>
      <c r="AS3579">
        <f>IF('01_Вводные'!$B$234="Да",IF(IF('01_Вводные'!$B$296="Новый сезон",TRUE,TRUE),'19_Расчет_аналитики'!AS3467*CapacityAge24*'19_Расчет_аналитики'!$F$3247,0),0)</f>
        <v/>
      </c>
      <c r="AT3579">
        <f>IF('01_Вводные'!$B$234="Да",IF(IF('01_Вводные'!$B$296="Новый сезон",TRUE,TRUE),'19_Расчет_аналитики'!AT3467*CapacityAge24*'19_Расчет_аналитики'!$F$3247,0),0)</f>
        <v/>
      </c>
      <c r="AU3579">
        <f>IF('01_Вводные'!$B$234="Да",IF(IF('01_Вводные'!$B$296="Новый сезон",TRUE,TRUE),'19_Расчет_аналитики'!AU3467*CapacityAge24*'19_Расчет_аналитики'!$F$3247,0),0)</f>
        <v/>
      </c>
      <c r="AV3579">
        <f>IF('01_Вводные'!$B$234="Да",IF(IF('01_Вводные'!$B$296="Новый сезон",TRUE,TRUE),'19_Расчет_аналитики'!AV3467*CapacityAge24*'19_Расчет_аналитики'!$F$3247,0),0)</f>
        <v/>
      </c>
      <c r="AW3579">
        <f>IF('01_Вводные'!$B$234="Да",IF(IF('01_Вводные'!$B$296="Новый сезон",TRUE,TRUE),'19_Расчет_аналитики'!AW3467*CapacityAge24*'19_Расчет_аналитики'!$F$3247,0),0)</f>
        <v/>
      </c>
      <c r="AX3579">
        <f>IF('01_Вводные'!$B$234="Да",IF(IF('01_Вводные'!$B$296="Новый сезон",TRUE,TRUE),'19_Расчет_аналитики'!AX3467*CapacityAge24*'19_Расчет_аналитики'!$F$3247,0),0)</f>
        <v/>
      </c>
      <c r="AY3579">
        <f>IF('01_Вводные'!$B$234="Да",IF(IF('01_Вводные'!$B$296="Новый сезон",TRUE,TRUE),'19_Расчет_аналитики'!AY3467*CapacityAge24*'19_Расчет_аналитики'!$F$3247,0),0)</f>
        <v/>
      </c>
      <c r="AZ3579">
        <f>IF('01_Вводные'!$B$234="Да",IF(IF('01_Вводные'!$B$296="Новый сезон",TRUE,TRUE),'19_Расчет_аналитики'!AZ3467*CapacityAge24*'19_Расчет_аналитики'!$F$3247,0),0)</f>
        <v/>
      </c>
      <c r="BA3579">
        <f>IF('01_Вводные'!$B$234="Да",IF(IF('01_Вводные'!$B$296="Новый сезон",TRUE,TRUE),'19_Расчет_аналитики'!BA3467*CapacityAge24*'19_Расчет_аналитики'!$F$3247,0),0)</f>
        <v/>
      </c>
      <c r="BB3579">
        <f>IF('01_Вводные'!$B$234="Да",IF(IF('01_Вводные'!$B$296="Новый сезон",TRUE,TRUE),'19_Расчет_аналитики'!BB3467*CapacityAge24*'19_Расчет_аналитики'!$F$3247,0),0)</f>
        <v/>
      </c>
      <c r="BC3579">
        <f>IF('01_Вводные'!$B$234="Да",IF(IF('01_Вводные'!$B$296="Новый сезон",TRUE,TRUE),'19_Расчет_аналитики'!BC3467*CapacityAge24*'19_Расчет_аналитики'!$F$3247,0),0)</f>
        <v/>
      </c>
      <c r="BD3579">
        <f>IF('01_Вводные'!$B$234="Да",IF(IF('01_Вводные'!$B$296="Новый сезон",TRUE,TRUE),'19_Расчет_аналитики'!BD3467*CapacityAge24*'19_Расчет_аналитики'!$F$3247,0),0)</f>
        <v/>
      </c>
      <c r="BE3579">
        <f>IF('01_Вводные'!$B$234="Да",IF(IF('01_Вводные'!$B$296="Новый сезон",TRUE,TRUE),'19_Расчет_аналитики'!BE3467*CapacityAge24*'19_Расчет_аналитики'!$F$3247,0),0)</f>
        <v/>
      </c>
      <c r="BF3579">
        <f>IF('01_Вводные'!$B$234="Да",IF(IF('01_Вводные'!$B$296="Новый сезон",TRUE,TRUE),'19_Расчет_аналитики'!BF3467*CapacityAge24*'19_Расчет_аналитики'!$F$3247,0),0)</f>
        <v/>
      </c>
      <c r="BG3579">
        <f>IF('01_Вводные'!$B$234="Да",IF(IF('01_Вводные'!$B$296="Новый сезон",TRUE,TRUE),'19_Расчет_аналитики'!BG3467*CapacityAge24*'19_Расчет_аналитики'!$F$3247,0),0)</f>
        <v/>
      </c>
      <c r="BH3579">
        <f>IF('01_Вводные'!$B$234="Да",IF(IF('01_Вводные'!$B$296="Новый сезон",TRUE,TRUE),'19_Расчет_аналитики'!BH3467*CapacityAge24*'19_Расчет_аналитики'!$F$3247,0),0)</f>
        <v/>
      </c>
      <c r="BI3579">
        <f>IF('01_Вводные'!$B$234="Да",IF(IF('01_Вводные'!$B$296="Новый сезон",TRUE,TRUE),'19_Расчет_аналитики'!BI3467*CapacityAge24*'19_Расчет_аналитики'!$F$3247,0),0)</f>
        <v/>
      </c>
      <c r="BJ3579">
        <f>IF('01_Вводные'!$B$234="Да",IF(IF('01_Вводные'!$B$296="Новый сезон",TRUE,TRUE),'19_Расчет_аналитики'!BJ3467*CapacityAge24*'19_Расчет_аналитики'!$F$3247,0),0)</f>
        <v/>
      </c>
      <c r="BK3579">
        <f>IF('01_Вводные'!$B$234="Да",IF(IF('01_Вводные'!$B$296="Новый сезон",TRUE,TRUE),'19_Расчет_аналитики'!BK3467*CapacityAge24*'19_Расчет_аналитики'!$F$3247,0),0)</f>
        <v/>
      </c>
      <c r="BL3579">
        <f>IF('01_Вводные'!$B$234="Да",IF(IF('01_Вводные'!$B$296="Новый сезон",TRUE,TRUE),'19_Расчет_аналитики'!BL3467*CapacityAge24*'19_Расчет_аналитики'!$F$3247,0),0)</f>
        <v/>
      </c>
      <c r="BM3579">
        <f>IF('01_Вводные'!$B$234="Да",IF(IF('01_Вводные'!$B$296="Новый сезон",TRUE,TRUE),'19_Расчет_аналитики'!BM3467*CapacityAge24*'19_Расчет_аналитики'!$F$3247,0),0)</f>
        <v/>
      </c>
      <c r="BN3579">
        <f>IF('01_Вводные'!$B$234="Да",IF(IF('01_Вводные'!$B$296="Новый сезон",TRUE,TRUE),'19_Расчет_аналитики'!BN3467*CapacityAge24*'19_Расчет_аналитики'!$F$3247,0),0)</f>
        <v/>
      </c>
      <c r="BO3579">
        <f>IF('01_Вводные'!$B$234="Да",IF(IF('01_Вводные'!$B$296="Новый сезон",TRUE,TRUE),'19_Расчет_аналитики'!BO3467*CapacityAge24*'19_Расчет_аналитики'!$F$3247,0),0)</f>
        <v/>
      </c>
    </row>
    <row r="3580">
      <c r="B3580">
        <f>IF('01_Вводные'!$B$234="Да",IF(IF('01_Вводные'!$B$296="Новый сезон",TRUE,TRUE),'06_Сеть_и_дети'!B77*CapacityAge25*'19_Расчет_аналитики'!$F$3247,0),0)</f>
        <v/>
      </c>
      <c r="C3580">
        <f>IF('01_Вводные'!$B$234="Да",IF(IF('01_Вводные'!$B$296="Новый сезон",TRUE,TRUE),'06_Сеть_и_дети'!C77*CapacityAge25*'19_Расчет_аналитики'!$F$3247,0),0)</f>
        <v/>
      </c>
      <c r="D3580">
        <f>IF('01_Вводные'!$B$234="Да",IF(IF('01_Вводные'!$B$296="Новый сезон",TRUE,TRUE),'06_Сеть_и_дети'!D77*CapacityAge25*'19_Расчет_аналитики'!$F$3247,0),0)</f>
        <v/>
      </c>
      <c r="E3580">
        <f>IF('01_Вводные'!$B$234="Да",IF(IF('01_Вводные'!$B$296="Новый сезон",TRUE,TRUE),'06_Сеть_и_дети'!E77*CapacityAge25*'19_Расчет_аналитики'!$F$3247,0),0)</f>
        <v/>
      </c>
      <c r="F3580">
        <f>IF('01_Вводные'!$B$234="Да",IF(IF('01_Вводные'!$B$296="Новый сезон",TRUE,TRUE),'06_Сеть_и_дети'!F77*CapacityAge25*'19_Расчет_аналитики'!$F$3247,0),0)</f>
        <v/>
      </c>
      <c r="G3580">
        <f>IF('01_Вводные'!$B$234="Да",IF(IF('01_Вводные'!$B$296="Новый сезон",TRUE,TRUE),'06_Сеть_и_дети'!G77*CapacityAge25*'19_Расчет_аналитики'!$F$3247,0),0)</f>
        <v/>
      </c>
      <c r="H3580">
        <f>IF('01_Вводные'!$B$234="Да",IF(IF('01_Вводные'!$B$296="Новый сезон",TRUE,TRUE),'06_Сеть_и_дети'!H77*CapacityAge25*'19_Расчет_аналитики'!$F$3247,0),0)</f>
        <v/>
      </c>
      <c r="I3580">
        <f>IF('01_Вводные'!$B$234="Да",IF(IF('01_Вводные'!$B$296="Новый сезон",TRUE,TRUE),'06_Сеть_и_дети'!I77*CapacityAge25*'19_Расчет_аналитики'!$F$3247,0),0)</f>
        <v/>
      </c>
      <c r="J3580">
        <f>IF('01_Вводные'!$B$234="Да",IF(IF('01_Вводные'!$B$296="Новый сезон",TRUE,TRUE),'06_Сеть_и_дети'!J77*CapacityAge25*'19_Расчет_аналитики'!$F$3247,0),0)</f>
        <v/>
      </c>
      <c r="K3580">
        <f>IF('01_Вводные'!$B$234="Да",IF(IF('01_Вводные'!$B$296="Новый сезон",TRUE,TRUE),'06_Сеть_и_дети'!K77*CapacityAge25*'19_Расчет_аналитики'!$F$3247,0),0)</f>
        <v/>
      </c>
      <c r="L3580">
        <f>IF('01_Вводные'!$B$234="Да",IF(IF('01_Вводные'!$B$296="Новый сезон",TRUE,TRUE),'06_Сеть_и_дети'!L77*CapacityAge25*'19_Расчет_аналитики'!$F$3247,0),0)</f>
        <v/>
      </c>
      <c r="M3580">
        <f>IF('01_Вводные'!$B$234="Да",IF(IF('01_Вводные'!$B$296="Новый сезон",TRUE,TRUE),'06_Сеть_и_дети'!M77*CapacityAge25*'19_Расчет_аналитики'!$F$3247,0),0)</f>
        <v/>
      </c>
      <c r="N3580">
        <f>IF('01_Вводные'!$B$234="Да",IF(IF('01_Вводные'!$B$296="Новый сезон",TRUE,TRUE),'06_Сеть_и_дети'!N77*CapacityAge25*'19_Расчет_аналитики'!$F$3247,0),0)</f>
        <v/>
      </c>
      <c r="O3580">
        <f>IF('01_Вводные'!$B$234="Да",IF(IF('01_Вводные'!$B$296="Новый сезон",TRUE,TRUE),'06_Сеть_и_дети'!O77*CapacityAge25*'19_Расчет_аналитики'!$F$3247,0),0)</f>
        <v/>
      </c>
      <c r="P3580">
        <f>IF('01_Вводные'!$B$234="Да",IF(IF('01_Вводные'!$B$296="Новый сезон",TRUE,TRUE),'06_Сеть_и_дети'!P77*CapacityAge25*'19_Расчет_аналитики'!$F$3247,0),0)</f>
        <v/>
      </c>
      <c r="Q3580">
        <f>IF('01_Вводные'!$B$234="Да",IF(IF('01_Вводные'!$B$296="Новый сезон",TRUE,TRUE),'06_Сеть_и_дети'!Q77*CapacityAge25*'19_Расчет_аналитики'!$F$3247,0),0)</f>
        <v/>
      </c>
      <c r="R3580">
        <f>IF('01_Вводные'!$B$234="Да",IF(IF('01_Вводные'!$B$296="Новый сезон",TRUE,TRUE),'06_Сеть_и_дети'!R77*CapacityAge25*'19_Расчет_аналитики'!$F$3247,0),0)</f>
        <v/>
      </c>
      <c r="S3580">
        <f>IF('01_Вводные'!$B$234="Да",IF(IF('01_Вводные'!$B$296="Новый сезон",TRUE,TRUE),'06_Сеть_и_дети'!S77*CapacityAge25*'19_Расчет_аналитики'!$F$3247,0),0)</f>
        <v/>
      </c>
      <c r="T3580">
        <f>IF('01_Вводные'!$B$234="Да",IF(IF('01_Вводные'!$B$296="Новый сезон",TRUE,TRUE),'06_Сеть_и_дети'!T77*CapacityAge25*'19_Расчет_аналитики'!$F$3247,0),0)</f>
        <v/>
      </c>
      <c r="U3580">
        <f>IF('01_Вводные'!$B$234="Да",IF(IF('01_Вводные'!$B$296="Новый сезон",TRUE,TRUE),'06_Сеть_и_дети'!U77*CapacityAge25*'19_Расчет_аналитики'!$F$3247,0),0)</f>
        <v/>
      </c>
      <c r="V3580">
        <f>IF('01_Вводные'!$B$234="Да",IF(IF('01_Вводные'!$B$296="Новый сезон",TRUE,TRUE),'06_Сеть_и_дети'!V77*CapacityAge25*'19_Расчет_аналитики'!$F$3247,0),0)</f>
        <v/>
      </c>
      <c r="W3580">
        <f>IF('01_Вводные'!$B$234="Да",IF(IF('01_Вводные'!$B$296="Новый сезон",TRUE,TRUE),'06_Сеть_и_дети'!W77*CapacityAge25*'19_Расчет_аналитики'!$F$3247,0),0)</f>
        <v/>
      </c>
      <c r="X3580">
        <f>IF('01_Вводные'!$B$234="Да",IF(IF('01_Вводные'!$B$296="Новый сезон",TRUE,TRUE),'06_Сеть_и_дети'!X77*CapacityAge25*'19_Расчет_аналитики'!$F$3247,0),0)</f>
        <v/>
      </c>
      <c r="Y3580">
        <f>IF('01_Вводные'!$B$234="Да",IF(IF('01_Вводные'!$B$296="Новый сезон",TRUE,TRUE),'06_Сеть_и_дети'!Y77*CapacityAge25*'19_Расчет_аналитики'!$F$3247,0),0)</f>
        <v/>
      </c>
      <c r="Z3580">
        <f>IF('01_Вводные'!$B$234="Да",IF(IF('01_Вводные'!$B$296="Новый сезон",TRUE,TRUE),'19_Расчет_аналитики'!Z3468*CapacityAge25*'19_Расчет_аналитики'!$F$3247,0),0)</f>
        <v/>
      </c>
      <c r="AA3580">
        <f>IF('01_Вводные'!$B$234="Да",IF(IF('01_Вводные'!$B$296="Новый сезон",TRUE,TRUE),'19_Расчет_аналитики'!AA3468*CapacityAge25*'19_Расчет_аналитики'!$F$3247,0),0)</f>
        <v/>
      </c>
      <c r="AB3580">
        <f>IF('01_Вводные'!$B$234="Да",IF(IF('01_Вводные'!$B$296="Новый сезон",TRUE,TRUE),'19_Расчет_аналитики'!AB3468*CapacityAge25*'19_Расчет_аналитики'!$F$3247,0),0)</f>
        <v/>
      </c>
      <c r="AC3580">
        <f>IF('01_Вводные'!$B$234="Да",IF(IF('01_Вводные'!$B$296="Новый сезон",TRUE,TRUE),'19_Расчет_аналитики'!AC3468*CapacityAge25*'19_Расчет_аналитики'!$F$3247,0),0)</f>
        <v/>
      </c>
      <c r="AD3580">
        <f>IF('01_Вводные'!$B$234="Да",IF(IF('01_Вводные'!$B$296="Новый сезон",TRUE,TRUE),'19_Расчет_аналитики'!AD3468*CapacityAge25*'19_Расчет_аналитики'!$F$3247,0),0)</f>
        <v/>
      </c>
      <c r="AE3580">
        <f>IF('01_Вводные'!$B$234="Да",IF(IF('01_Вводные'!$B$296="Новый сезон",TRUE,TRUE),'19_Расчет_аналитики'!AE3468*CapacityAge25*'19_Расчет_аналитики'!$F$3247,0),0)</f>
        <v/>
      </c>
      <c r="AF3580">
        <f>IF('01_Вводные'!$B$234="Да",IF(IF('01_Вводные'!$B$296="Новый сезон",TRUE,TRUE),'19_Расчет_аналитики'!AF3468*CapacityAge25*'19_Расчет_аналитики'!$F$3247,0),0)</f>
        <v/>
      </c>
      <c r="AG3580">
        <f>IF('01_Вводные'!$B$234="Да",IF(IF('01_Вводные'!$B$296="Новый сезон",TRUE,TRUE),'19_Расчет_аналитики'!AG3468*CapacityAge25*'19_Расчет_аналитики'!$F$3247,0),0)</f>
        <v/>
      </c>
      <c r="AH3580">
        <f>IF('01_Вводные'!$B$234="Да",IF(IF('01_Вводные'!$B$296="Новый сезон",TRUE,TRUE),'19_Расчет_аналитики'!AH3468*CapacityAge25*'19_Расчет_аналитики'!$F$3247,0),0)</f>
        <v/>
      </c>
      <c r="AI3580">
        <f>IF('01_Вводные'!$B$234="Да",IF(IF('01_Вводные'!$B$296="Новый сезон",TRUE,TRUE),'19_Расчет_аналитики'!AI3468*CapacityAge25*'19_Расчет_аналитики'!$F$3247,0),0)</f>
        <v/>
      </c>
      <c r="AJ3580">
        <f>IF('01_Вводные'!$B$234="Да",IF(IF('01_Вводные'!$B$296="Новый сезон",TRUE,TRUE),'19_Расчет_аналитики'!AJ3468*CapacityAge25*'19_Расчет_аналитики'!$F$3247,0),0)</f>
        <v/>
      </c>
      <c r="AK3580">
        <f>IF('01_Вводные'!$B$234="Да",IF(IF('01_Вводные'!$B$296="Новый сезон",TRUE,TRUE),'19_Расчет_аналитики'!AK3468*CapacityAge25*'19_Расчет_аналитики'!$F$3247,0),0)</f>
        <v/>
      </c>
      <c r="AL3580">
        <f>IF('01_Вводные'!$B$234="Да",IF(IF('01_Вводные'!$B$296="Новый сезон",TRUE,TRUE),'19_Расчет_аналитики'!AL3468*CapacityAge25*'19_Расчет_аналитики'!$F$3247,0),0)</f>
        <v/>
      </c>
      <c r="AM3580">
        <f>IF('01_Вводные'!$B$234="Да",IF(IF('01_Вводные'!$B$296="Новый сезон",TRUE,TRUE),'19_Расчет_аналитики'!AM3468*CapacityAge25*'19_Расчет_аналитики'!$F$3247,0),0)</f>
        <v/>
      </c>
      <c r="AN3580">
        <f>IF('01_Вводные'!$B$234="Да",IF(IF('01_Вводные'!$B$296="Новый сезон",TRUE,TRUE),'19_Расчет_аналитики'!AN3468*CapacityAge25*'19_Расчет_аналитики'!$F$3247,0),0)</f>
        <v/>
      </c>
      <c r="AO3580">
        <f>IF('01_Вводные'!$B$234="Да",IF(IF('01_Вводные'!$B$296="Новый сезон",TRUE,TRUE),'19_Расчет_аналитики'!AO3468*CapacityAge25*'19_Расчет_аналитики'!$F$3247,0),0)</f>
        <v/>
      </c>
      <c r="AP3580">
        <f>IF('01_Вводные'!$B$234="Да",IF(IF('01_Вводные'!$B$296="Новый сезон",TRUE,TRUE),'19_Расчет_аналитики'!AP3468*CapacityAge25*'19_Расчет_аналитики'!$F$3247,0),0)</f>
        <v/>
      </c>
      <c r="AQ3580">
        <f>IF('01_Вводные'!$B$234="Да",IF(IF('01_Вводные'!$B$296="Новый сезон",TRUE,TRUE),'19_Расчет_аналитики'!AQ3468*CapacityAge25*'19_Расчет_аналитики'!$F$3247,0),0)</f>
        <v/>
      </c>
      <c r="AR3580">
        <f>IF('01_Вводные'!$B$234="Да",IF(IF('01_Вводные'!$B$296="Новый сезон",TRUE,TRUE),'19_Расчет_аналитики'!AR3468*CapacityAge25*'19_Расчет_аналитики'!$F$3247,0),0)</f>
        <v/>
      </c>
      <c r="AS3580">
        <f>IF('01_Вводные'!$B$234="Да",IF(IF('01_Вводные'!$B$296="Новый сезон",TRUE,TRUE),'19_Расчет_аналитики'!AS3468*CapacityAge25*'19_Расчет_аналитики'!$F$3247,0),0)</f>
        <v/>
      </c>
      <c r="AT3580">
        <f>IF('01_Вводные'!$B$234="Да",IF(IF('01_Вводные'!$B$296="Новый сезон",TRUE,TRUE),'19_Расчет_аналитики'!AT3468*CapacityAge25*'19_Расчет_аналитики'!$F$3247,0),0)</f>
        <v/>
      </c>
      <c r="AU3580">
        <f>IF('01_Вводные'!$B$234="Да",IF(IF('01_Вводные'!$B$296="Новый сезон",TRUE,TRUE),'19_Расчет_аналитики'!AU3468*CapacityAge25*'19_Расчет_аналитики'!$F$3247,0),0)</f>
        <v/>
      </c>
      <c r="AV3580">
        <f>IF('01_Вводные'!$B$234="Да",IF(IF('01_Вводные'!$B$296="Новый сезон",TRUE,TRUE),'19_Расчет_аналитики'!AV3468*CapacityAge25*'19_Расчет_аналитики'!$F$3247,0),0)</f>
        <v/>
      </c>
      <c r="AW3580">
        <f>IF('01_Вводные'!$B$234="Да",IF(IF('01_Вводные'!$B$296="Новый сезон",TRUE,TRUE),'19_Расчет_аналитики'!AW3468*CapacityAge25*'19_Расчет_аналитики'!$F$3247,0),0)</f>
        <v/>
      </c>
      <c r="AX3580">
        <f>IF('01_Вводные'!$B$234="Да",IF(IF('01_Вводные'!$B$296="Новый сезон",TRUE,TRUE),'19_Расчет_аналитики'!AX3468*CapacityAge25*'19_Расчет_аналитики'!$F$3247,0),0)</f>
        <v/>
      </c>
      <c r="AY3580">
        <f>IF('01_Вводные'!$B$234="Да",IF(IF('01_Вводные'!$B$296="Новый сезон",TRUE,TRUE),'19_Расчет_аналитики'!AY3468*CapacityAge25*'19_Расчет_аналитики'!$F$3247,0),0)</f>
        <v/>
      </c>
      <c r="AZ3580">
        <f>IF('01_Вводные'!$B$234="Да",IF(IF('01_Вводные'!$B$296="Новый сезон",TRUE,TRUE),'19_Расчет_аналитики'!AZ3468*CapacityAge25*'19_Расчет_аналитики'!$F$3247,0),0)</f>
        <v/>
      </c>
      <c r="BA3580">
        <f>IF('01_Вводные'!$B$234="Да",IF(IF('01_Вводные'!$B$296="Новый сезон",TRUE,TRUE),'19_Расчет_аналитики'!BA3468*CapacityAge25*'19_Расчет_аналитики'!$F$3247,0),0)</f>
        <v/>
      </c>
      <c r="BB3580">
        <f>IF('01_Вводные'!$B$234="Да",IF(IF('01_Вводные'!$B$296="Новый сезон",TRUE,TRUE),'19_Расчет_аналитики'!BB3468*CapacityAge25*'19_Расчет_аналитики'!$F$3247,0),0)</f>
        <v/>
      </c>
      <c r="BC3580">
        <f>IF('01_Вводные'!$B$234="Да",IF(IF('01_Вводные'!$B$296="Новый сезон",TRUE,TRUE),'19_Расчет_аналитики'!BC3468*CapacityAge25*'19_Расчет_аналитики'!$F$3247,0),0)</f>
        <v/>
      </c>
      <c r="BD3580">
        <f>IF('01_Вводные'!$B$234="Да",IF(IF('01_Вводные'!$B$296="Новый сезон",TRUE,TRUE),'19_Расчет_аналитики'!BD3468*CapacityAge25*'19_Расчет_аналитики'!$F$3247,0),0)</f>
        <v/>
      </c>
      <c r="BE3580">
        <f>IF('01_Вводные'!$B$234="Да",IF(IF('01_Вводные'!$B$296="Новый сезон",TRUE,TRUE),'19_Расчет_аналитики'!BE3468*CapacityAge25*'19_Расчет_аналитики'!$F$3247,0),0)</f>
        <v/>
      </c>
      <c r="BF3580">
        <f>IF('01_Вводные'!$B$234="Да",IF(IF('01_Вводные'!$B$296="Новый сезон",TRUE,TRUE),'19_Расчет_аналитики'!BF3468*CapacityAge25*'19_Расчет_аналитики'!$F$3247,0),0)</f>
        <v/>
      </c>
      <c r="BG3580">
        <f>IF('01_Вводные'!$B$234="Да",IF(IF('01_Вводные'!$B$296="Новый сезон",TRUE,TRUE),'19_Расчет_аналитики'!BG3468*CapacityAge25*'19_Расчет_аналитики'!$F$3247,0),0)</f>
        <v/>
      </c>
      <c r="BH3580">
        <f>IF('01_Вводные'!$B$234="Да",IF(IF('01_Вводные'!$B$296="Новый сезон",TRUE,TRUE),'19_Расчет_аналитики'!BH3468*CapacityAge25*'19_Расчет_аналитики'!$F$3247,0),0)</f>
        <v/>
      </c>
      <c r="BI3580">
        <f>IF('01_Вводные'!$B$234="Да",IF(IF('01_Вводные'!$B$296="Новый сезон",TRUE,TRUE),'19_Расчет_аналитики'!BI3468*CapacityAge25*'19_Расчет_аналитики'!$F$3247,0),0)</f>
        <v/>
      </c>
      <c r="BJ3580">
        <f>IF('01_Вводные'!$B$234="Да",IF(IF('01_Вводные'!$B$296="Новый сезон",TRUE,TRUE),'19_Расчет_аналитики'!BJ3468*CapacityAge25*'19_Расчет_аналитики'!$F$3247,0),0)</f>
        <v/>
      </c>
      <c r="BK3580">
        <f>IF('01_Вводные'!$B$234="Да",IF(IF('01_Вводные'!$B$296="Новый сезон",TRUE,TRUE),'19_Расчет_аналитики'!BK3468*CapacityAge25*'19_Расчет_аналитики'!$F$3247,0),0)</f>
        <v/>
      </c>
      <c r="BL3580">
        <f>IF('01_Вводные'!$B$234="Да",IF(IF('01_Вводные'!$B$296="Новый сезон",TRUE,TRUE),'19_Расчет_аналитики'!BL3468*CapacityAge25*'19_Расчет_аналитики'!$F$3247,0),0)</f>
        <v/>
      </c>
      <c r="BM3580">
        <f>IF('01_Вводные'!$B$234="Да",IF(IF('01_Вводные'!$B$296="Новый сезон",TRUE,TRUE),'19_Расчет_аналитики'!BM3468*CapacityAge25*'19_Расчет_аналитики'!$F$3247,0),0)</f>
        <v/>
      </c>
      <c r="BN3580">
        <f>IF('01_Вводные'!$B$234="Да",IF(IF('01_Вводные'!$B$296="Новый сезон",TRUE,TRUE),'19_Расчет_аналитики'!BN3468*CapacityAge25*'19_Расчет_аналитики'!$F$3247,0),0)</f>
        <v/>
      </c>
      <c r="BO3580">
        <f>IF('01_Вводные'!$B$234="Да",IF(IF('01_Вводные'!$B$296="Новый сезон",TRUE,TRUE),'19_Расчет_аналитики'!BO3468*CapacityAge25*'19_Расчет_аналитики'!$F$3247,0),0)</f>
        <v/>
      </c>
    </row>
    <row r="3581"/>
    <row r="3582">
      <c r="B3582">
        <f>IF('01_Вводные'!$B$234="Да",SUM('19_Расчет_аналитики'!B3556:B3580),0)</f>
        <v/>
      </c>
      <c r="C3582">
        <f>IF('01_Вводные'!$B$234="Да",SUM('19_Расчет_аналитики'!C3556:C3580),0)</f>
        <v/>
      </c>
      <c r="D3582">
        <f>IF('01_Вводные'!$B$234="Да",SUM('19_Расчет_аналитики'!D3556:D3580),0)</f>
        <v/>
      </c>
      <c r="E3582">
        <f>IF('01_Вводные'!$B$234="Да",SUM('19_Расчет_аналитики'!E3556:E3580),0)</f>
        <v/>
      </c>
      <c r="F3582">
        <f>IF('01_Вводные'!$B$234="Да",SUM('19_Расчет_аналитики'!F3556:F3580),0)</f>
        <v/>
      </c>
      <c r="G3582">
        <f>IF('01_Вводные'!$B$234="Да",SUM('19_Расчет_аналитики'!G3556:G3580),0)</f>
        <v/>
      </c>
      <c r="H3582">
        <f>IF('01_Вводные'!$B$234="Да",SUM('19_Расчет_аналитики'!H3556:H3580),0)</f>
        <v/>
      </c>
      <c r="I3582">
        <f>IF('01_Вводные'!$B$234="Да",SUM('19_Расчет_аналитики'!I3556:I3580),0)</f>
        <v/>
      </c>
      <c r="J3582">
        <f>IF('01_Вводные'!$B$234="Да",SUM('19_Расчет_аналитики'!J3556:J3580),0)</f>
        <v/>
      </c>
      <c r="K3582">
        <f>IF('01_Вводные'!$B$234="Да",SUM('19_Расчет_аналитики'!K3556:K3580),0)</f>
        <v/>
      </c>
      <c r="L3582">
        <f>IF('01_Вводные'!$B$234="Да",SUM('19_Расчет_аналитики'!L3556:L3580),0)</f>
        <v/>
      </c>
      <c r="M3582">
        <f>IF('01_Вводные'!$B$234="Да",SUM('19_Расчет_аналитики'!M3556:M3580),0)</f>
        <v/>
      </c>
      <c r="N3582">
        <f>IF('01_Вводные'!$B$234="Да",SUM('19_Расчет_аналитики'!N3556:N3580),0)</f>
        <v/>
      </c>
      <c r="O3582">
        <f>IF('01_Вводные'!$B$234="Да",SUM('19_Расчет_аналитики'!O3556:O3580),0)</f>
        <v/>
      </c>
      <c r="P3582">
        <f>IF('01_Вводные'!$B$234="Да",SUM('19_Расчет_аналитики'!P3556:P3580),0)</f>
        <v/>
      </c>
      <c r="Q3582">
        <f>IF('01_Вводные'!$B$234="Да",SUM('19_Расчет_аналитики'!Q3556:Q3580),0)</f>
        <v/>
      </c>
      <c r="R3582">
        <f>IF('01_Вводные'!$B$234="Да",SUM('19_Расчет_аналитики'!R3556:R3580),0)</f>
        <v/>
      </c>
      <c r="S3582">
        <f>IF('01_Вводные'!$B$234="Да",SUM('19_Расчет_аналитики'!S3556:S3580),0)</f>
        <v/>
      </c>
      <c r="T3582">
        <f>IF('01_Вводные'!$B$234="Да",SUM('19_Расчет_аналитики'!T3556:T3580),0)</f>
        <v/>
      </c>
      <c r="U3582">
        <f>IF('01_Вводные'!$B$234="Да",SUM('19_Расчет_аналитики'!U3556:U3580),0)</f>
        <v/>
      </c>
      <c r="V3582">
        <f>IF('01_Вводные'!$B$234="Да",SUM('19_Расчет_аналитики'!V3556:V3580),0)</f>
        <v/>
      </c>
      <c r="W3582">
        <f>IF('01_Вводные'!$B$234="Да",SUM('19_Расчет_аналитики'!W3556:W3580),0)</f>
        <v/>
      </c>
      <c r="X3582">
        <f>IF('01_Вводные'!$B$234="Да",SUM('19_Расчет_аналитики'!X3556:X3580),0)</f>
        <v/>
      </c>
      <c r="Y3582">
        <f>IF('01_Вводные'!$B$234="Да",SUM('19_Расчет_аналитики'!Y3556:Y3580),0)</f>
        <v/>
      </c>
      <c r="Z3582">
        <f>IF('01_Вводные'!$B$234="Да",SUM('19_Расчет_аналитики'!Z3556:Z3580),0)</f>
        <v/>
      </c>
      <c r="AA3582">
        <f>IF('01_Вводные'!$B$234="Да",SUM('19_Расчет_аналитики'!AA3556:AA3580),0)</f>
        <v/>
      </c>
      <c r="AB3582">
        <f>IF('01_Вводные'!$B$234="Да",SUM('19_Расчет_аналитики'!AB3556:AB3580),0)</f>
        <v/>
      </c>
      <c r="AC3582">
        <f>IF('01_Вводные'!$B$234="Да",SUM('19_Расчет_аналитики'!AC3556:AC3580),0)</f>
        <v/>
      </c>
      <c r="AD3582">
        <f>IF('01_Вводные'!$B$234="Да",SUM('19_Расчет_аналитики'!AD3556:AD3580),0)</f>
        <v/>
      </c>
      <c r="AE3582">
        <f>IF('01_Вводные'!$B$234="Да",SUM('19_Расчет_аналитики'!AE3556:AE3580),0)</f>
        <v/>
      </c>
      <c r="AF3582">
        <f>IF('01_Вводные'!$B$234="Да",SUM('19_Расчет_аналитики'!AF3556:AF3580),0)</f>
        <v/>
      </c>
      <c r="AG3582">
        <f>IF('01_Вводные'!$B$234="Да",SUM('19_Расчет_аналитики'!AG3556:AG3580),0)</f>
        <v/>
      </c>
      <c r="AH3582">
        <f>IF('01_Вводные'!$B$234="Да",SUM('19_Расчет_аналитики'!AH3556:AH3580),0)</f>
        <v/>
      </c>
      <c r="AI3582">
        <f>IF('01_Вводные'!$B$234="Да",SUM('19_Расчет_аналитики'!AI3556:AI3580),0)</f>
        <v/>
      </c>
      <c r="AJ3582">
        <f>IF('01_Вводные'!$B$234="Да",SUM('19_Расчет_аналитики'!AJ3556:AJ3580),0)</f>
        <v/>
      </c>
      <c r="AK3582">
        <f>IF('01_Вводные'!$B$234="Да",SUM('19_Расчет_аналитики'!AK3556:AK3580),0)</f>
        <v/>
      </c>
      <c r="AL3582">
        <f>IF('01_Вводные'!$B$234="Да",SUM('19_Расчет_аналитики'!AL3556:AL3580),0)</f>
        <v/>
      </c>
      <c r="AM3582">
        <f>IF('01_Вводные'!$B$234="Да",SUM('19_Расчет_аналитики'!AM3556:AM3580),0)</f>
        <v/>
      </c>
      <c r="AN3582">
        <f>IF('01_Вводные'!$B$234="Да",SUM('19_Расчет_аналитики'!AN3556:AN3580),0)</f>
        <v/>
      </c>
      <c r="AO3582">
        <f>IF('01_Вводные'!$B$234="Да",SUM('19_Расчет_аналитики'!AO3556:AO3580),0)</f>
        <v/>
      </c>
      <c r="AP3582">
        <f>IF('01_Вводные'!$B$234="Да",SUM('19_Расчет_аналитики'!AP3556:AP3580),0)</f>
        <v/>
      </c>
      <c r="AQ3582">
        <f>IF('01_Вводные'!$B$234="Да",SUM('19_Расчет_аналитики'!AQ3556:AQ3580),0)</f>
        <v/>
      </c>
      <c r="AR3582">
        <f>IF('01_Вводные'!$B$234="Да",SUM('19_Расчет_аналитики'!AR3556:AR3580),0)</f>
        <v/>
      </c>
      <c r="AS3582">
        <f>IF('01_Вводные'!$B$234="Да",SUM('19_Расчет_аналитики'!AS3556:AS3580),0)</f>
        <v/>
      </c>
      <c r="AT3582">
        <f>IF('01_Вводные'!$B$234="Да",SUM('19_Расчет_аналитики'!AT3556:AT3580),0)</f>
        <v/>
      </c>
      <c r="AU3582">
        <f>IF('01_Вводные'!$B$234="Да",SUM('19_Расчет_аналитики'!AU3556:AU3580),0)</f>
        <v/>
      </c>
      <c r="AV3582">
        <f>IF('01_Вводные'!$B$234="Да",SUM('19_Расчет_аналитики'!AV3556:AV3580),0)</f>
        <v/>
      </c>
      <c r="AW3582">
        <f>IF('01_Вводные'!$B$234="Да",SUM('19_Расчет_аналитики'!AW3556:AW3580),0)</f>
        <v/>
      </c>
      <c r="AX3582">
        <f>IF('01_Вводные'!$B$234="Да",SUM('19_Расчет_аналитики'!AX3556:AX3580),0)</f>
        <v/>
      </c>
      <c r="AY3582">
        <f>IF('01_Вводные'!$B$234="Да",SUM('19_Расчет_аналитики'!AY3556:AY3580),0)</f>
        <v/>
      </c>
      <c r="AZ3582">
        <f>IF('01_Вводные'!$B$234="Да",SUM('19_Расчет_аналитики'!AZ3556:AZ3580),0)</f>
        <v/>
      </c>
      <c r="BA3582">
        <f>IF('01_Вводные'!$B$234="Да",SUM('19_Расчет_аналитики'!BA3556:BA3580),0)</f>
        <v/>
      </c>
      <c r="BB3582">
        <f>IF('01_Вводные'!$B$234="Да",SUM('19_Расчет_аналитики'!BB3556:BB3580),0)</f>
        <v/>
      </c>
      <c r="BC3582">
        <f>IF('01_Вводные'!$B$234="Да",SUM('19_Расчет_аналитики'!BC3556:BC3580),0)</f>
        <v/>
      </c>
      <c r="BD3582">
        <f>IF('01_Вводные'!$B$234="Да",SUM('19_Расчет_аналитики'!BD3556:BD3580),0)</f>
        <v/>
      </c>
      <c r="BE3582">
        <f>IF('01_Вводные'!$B$234="Да",SUM('19_Расчет_аналитики'!BE3556:BE3580),0)</f>
        <v/>
      </c>
      <c r="BF3582">
        <f>IF('01_Вводные'!$B$234="Да",SUM('19_Расчет_аналитики'!BF3556:BF3580),0)</f>
        <v/>
      </c>
      <c r="BG3582">
        <f>IF('01_Вводные'!$B$234="Да",SUM('19_Расчет_аналитики'!BG3556:BG3580),0)</f>
        <v/>
      </c>
      <c r="BH3582">
        <f>IF('01_Вводные'!$B$234="Да",SUM('19_Расчет_аналитики'!BH3556:BH3580),0)</f>
        <v/>
      </c>
      <c r="BI3582">
        <f>IF('01_Вводные'!$B$234="Да",SUM('19_Расчет_аналитики'!BI3556:BI3580),0)</f>
        <v/>
      </c>
      <c r="BJ3582">
        <f>IF('01_Вводные'!$B$234="Да",SUM('19_Расчет_аналитики'!BJ3556:BJ3580),0)</f>
        <v/>
      </c>
      <c r="BK3582">
        <f>IF('01_Вводные'!$B$234="Да",SUM('19_Расчет_аналитики'!BK3556:BK3580),0)</f>
        <v/>
      </c>
      <c r="BL3582">
        <f>IF('01_Вводные'!$B$234="Да",SUM('19_Расчет_аналитики'!BL3556:BL3580),0)</f>
        <v/>
      </c>
      <c r="BM3582">
        <f>IF('01_Вводные'!$B$234="Да",SUM('19_Расчет_аналитики'!BM3556:BM3580),0)</f>
        <v/>
      </c>
      <c r="BN3582">
        <f>IF('01_Вводные'!$B$234="Да",SUM('19_Расчет_аналитики'!BN3556:BN3580),0)</f>
        <v/>
      </c>
      <c r="BO3582">
        <f>IF('01_Вводные'!$B$234="Да",SUM('19_Расчет_аналитики'!BO3556:BO3580),0)</f>
        <v/>
      </c>
    </row>
    <row r="3583"/>
    <row r="3584"/>
    <row r="3585"/>
    <row r="3586"/>
    <row r="3587"/>
    <row r="3588"/>
    <row r="3589"/>
    <row r="3590"/>
    <row r="3591"/>
    <row r="3592"/>
    <row r="3593">
      <c r="B3593">
        <f>IF('01_Вводные'!$B$234="Да",'06_Сеть_и_дети'!B5*'19_Расчет_аналитики'!$F$3247*'19_Расчет_аналитики'!$F$3248*'18_Календарь_тарифы'!B4,0)</f>
        <v/>
      </c>
      <c r="C3593">
        <f>IF('01_Вводные'!$B$234="Да",'06_Сеть_и_дети'!C5*'19_Расчет_аналитики'!$F$3247*'19_Расчет_аналитики'!$F$3248*'18_Календарь_тарифы'!C4,0)</f>
        <v/>
      </c>
      <c r="D3593">
        <f>IF('01_Вводные'!$B$234="Да",'06_Сеть_и_дети'!D5*'19_Расчет_аналитики'!$F$3247*'19_Расчет_аналитики'!$F$3248*'18_Календарь_тарифы'!D4,0)</f>
        <v/>
      </c>
      <c r="E3593">
        <f>IF('01_Вводные'!$B$234="Да",'06_Сеть_и_дети'!E5*'19_Расчет_аналитики'!$F$3247*'19_Расчет_аналитики'!$F$3248*'18_Календарь_тарифы'!E4,0)</f>
        <v/>
      </c>
      <c r="F3593">
        <f>IF('01_Вводные'!$B$234="Да",'06_Сеть_и_дети'!F5*'19_Расчет_аналитики'!$F$3247*'19_Расчет_аналитики'!$F$3248*'18_Календарь_тарифы'!F4,0)</f>
        <v/>
      </c>
      <c r="G3593">
        <f>IF('01_Вводные'!$B$234="Да",'06_Сеть_и_дети'!G5*'19_Расчет_аналитики'!$F$3247*'19_Расчет_аналитики'!$F$3248*'18_Календарь_тарифы'!G4,0)</f>
        <v/>
      </c>
      <c r="H3593">
        <f>IF('01_Вводные'!$B$234="Да",'06_Сеть_и_дети'!H5*'19_Расчет_аналитики'!$F$3247*'19_Расчет_аналитики'!$F$3248*'18_Календарь_тарифы'!H4,0)</f>
        <v/>
      </c>
      <c r="I3593">
        <f>IF('01_Вводные'!$B$234="Да",'06_Сеть_и_дети'!I5*'19_Расчет_аналитики'!$F$3247*'19_Расчет_аналитики'!$F$3248*'18_Календарь_тарифы'!I4,0)</f>
        <v/>
      </c>
      <c r="J3593">
        <f>IF('01_Вводные'!$B$234="Да",'06_Сеть_и_дети'!J5*'19_Расчет_аналитики'!$F$3247*'19_Расчет_аналитики'!$F$3248*'18_Календарь_тарифы'!J4,0)</f>
        <v/>
      </c>
      <c r="K3593">
        <f>IF('01_Вводные'!$B$234="Да",'06_Сеть_и_дети'!K5*'19_Расчет_аналитики'!$F$3247*'19_Расчет_аналитики'!$F$3248*'18_Календарь_тарифы'!K4,0)</f>
        <v/>
      </c>
      <c r="L3593">
        <f>IF('01_Вводные'!$B$234="Да",'06_Сеть_и_дети'!L5*'19_Расчет_аналитики'!$F$3247*'19_Расчет_аналитики'!$F$3248*'18_Календарь_тарифы'!L4,0)</f>
        <v/>
      </c>
      <c r="M3593">
        <f>IF('01_Вводные'!$B$234="Да",'06_Сеть_и_дети'!M5*'19_Расчет_аналитики'!$F$3247*'19_Расчет_аналитики'!$F$3248*'18_Календарь_тарифы'!M4,0)</f>
        <v/>
      </c>
      <c r="N3593">
        <f>IF('01_Вводные'!$B$234="Да",'06_Сеть_и_дети'!N5*'19_Расчет_аналитики'!$F$3247*'19_Расчет_аналитики'!$F$3248*'18_Календарь_тарифы'!N4,0)</f>
        <v/>
      </c>
      <c r="O3593">
        <f>IF('01_Вводные'!$B$234="Да",'06_Сеть_и_дети'!O5*'19_Расчет_аналитики'!$F$3247*'19_Расчет_аналитики'!$F$3248*'18_Календарь_тарифы'!O4,0)</f>
        <v/>
      </c>
      <c r="P3593">
        <f>IF('01_Вводные'!$B$234="Да",'06_Сеть_и_дети'!P5*'19_Расчет_аналитики'!$F$3247*'19_Расчет_аналитики'!$F$3248*'18_Календарь_тарифы'!P4,0)</f>
        <v/>
      </c>
      <c r="Q3593">
        <f>IF('01_Вводные'!$B$234="Да",'06_Сеть_и_дети'!Q5*'19_Расчет_аналитики'!$F$3247*'19_Расчет_аналитики'!$F$3248*'18_Календарь_тарифы'!Q4,0)</f>
        <v/>
      </c>
      <c r="R3593">
        <f>IF('01_Вводные'!$B$234="Да",'06_Сеть_и_дети'!R5*'19_Расчет_аналитики'!$F$3247*'19_Расчет_аналитики'!$F$3248*'18_Календарь_тарифы'!R4,0)</f>
        <v/>
      </c>
      <c r="S3593">
        <f>IF('01_Вводные'!$B$234="Да",'06_Сеть_и_дети'!S5*'19_Расчет_аналитики'!$F$3247*'19_Расчет_аналитики'!$F$3248*'18_Календарь_тарифы'!S4,0)</f>
        <v/>
      </c>
      <c r="T3593">
        <f>IF('01_Вводные'!$B$234="Да",'06_Сеть_и_дети'!T5*'19_Расчет_аналитики'!$F$3247*'19_Расчет_аналитики'!$F$3248*'18_Календарь_тарифы'!T4,0)</f>
        <v/>
      </c>
      <c r="U3593">
        <f>IF('01_Вводные'!$B$234="Да",'06_Сеть_и_дети'!U5*'19_Расчет_аналитики'!$F$3247*'19_Расчет_аналитики'!$F$3248*'18_Календарь_тарифы'!U4,0)</f>
        <v/>
      </c>
      <c r="V3593">
        <f>IF('01_Вводные'!$B$234="Да",'06_Сеть_и_дети'!V5*'19_Расчет_аналитики'!$F$3247*'19_Расчет_аналитики'!$F$3248*'18_Календарь_тарифы'!V4,0)</f>
        <v/>
      </c>
      <c r="W3593">
        <f>IF('01_Вводные'!$B$234="Да",'06_Сеть_и_дети'!W5*'19_Расчет_аналитики'!$F$3247*'19_Расчет_аналитики'!$F$3248*'18_Календарь_тарифы'!W4,0)</f>
        <v/>
      </c>
      <c r="X3593">
        <f>IF('01_Вводные'!$B$234="Да",'06_Сеть_и_дети'!X5*'19_Расчет_аналитики'!$F$3247*'19_Расчет_аналитики'!$F$3248*'18_Календарь_тарифы'!X4,0)</f>
        <v/>
      </c>
      <c r="Y3593">
        <f>IF('01_Вводные'!$B$234="Да",'06_Сеть_и_дети'!Y5*'19_Расчет_аналитики'!$F$3247*'19_Расчет_аналитики'!$F$3248*'18_Календарь_тарифы'!Y4,0)</f>
        <v/>
      </c>
      <c r="Z3593">
        <f>IF('01_Вводные'!$B$234="Да",'06_Сеть_и_дети'!Z5*'19_Расчет_аналитики'!$F$3247*'19_Расчет_аналитики'!$F$3248*'18_Календарь_тарифы'!Z4,0)</f>
        <v/>
      </c>
      <c r="AA3593">
        <f>IF('01_Вводные'!$B$234="Да",'06_Сеть_и_дети'!AA5*'19_Расчет_аналитики'!$F$3247*'19_Расчет_аналитики'!$F$3248*'18_Календарь_тарифы'!AA4,0)</f>
        <v/>
      </c>
      <c r="AB3593">
        <f>IF('01_Вводные'!$B$234="Да",'06_Сеть_и_дети'!AB5*'19_Расчет_аналитики'!$F$3247*'19_Расчет_аналитики'!$F$3248*'18_Календарь_тарифы'!AB4,0)</f>
        <v/>
      </c>
      <c r="AC3593">
        <f>IF('01_Вводные'!$B$234="Да",'06_Сеть_и_дети'!AC5*'19_Расчет_аналитики'!$F$3247*'19_Расчет_аналитики'!$F$3248*'18_Календарь_тарифы'!AC4,0)</f>
        <v/>
      </c>
      <c r="AD3593">
        <f>IF('01_Вводные'!$B$234="Да",'06_Сеть_и_дети'!AD5*'19_Расчет_аналитики'!$F$3247*'19_Расчет_аналитики'!$F$3248*'18_Календарь_тарифы'!AD4,0)</f>
        <v/>
      </c>
      <c r="AE3593">
        <f>IF('01_Вводные'!$B$234="Да",'06_Сеть_и_дети'!AE5*'19_Расчет_аналитики'!$F$3247*'19_Расчет_аналитики'!$F$3248*'18_Календарь_тарифы'!AE4,0)</f>
        <v/>
      </c>
      <c r="AF3593">
        <f>IF('01_Вводные'!$B$234="Да",'06_Сеть_и_дети'!AF5*'19_Расчет_аналитики'!$F$3247*'19_Расчет_аналитики'!$F$3248*'18_Календарь_тарифы'!AF4,0)</f>
        <v/>
      </c>
      <c r="AG3593">
        <f>IF('01_Вводные'!$B$234="Да",'06_Сеть_и_дети'!AG5*'19_Расчет_аналитики'!$F$3247*'19_Расчет_аналитики'!$F$3248*'18_Календарь_тарифы'!AG4,0)</f>
        <v/>
      </c>
      <c r="AH3593">
        <f>IF('01_Вводные'!$B$234="Да",'06_Сеть_и_дети'!AH5*'19_Расчет_аналитики'!$F$3247*'19_Расчет_аналитики'!$F$3248*'18_Календарь_тарифы'!AH4,0)</f>
        <v/>
      </c>
      <c r="AI3593">
        <f>IF('01_Вводные'!$B$234="Да",'06_Сеть_и_дети'!AI5*'19_Расчет_аналитики'!$F$3247*'19_Расчет_аналитики'!$F$3248*'18_Календарь_тарифы'!AI4,0)</f>
        <v/>
      </c>
      <c r="AJ3593">
        <f>IF('01_Вводные'!$B$234="Да",'06_Сеть_и_дети'!AJ5*'19_Расчет_аналитики'!$F$3247*'19_Расчет_аналитики'!$F$3248*'18_Календарь_тарифы'!AJ4,0)</f>
        <v/>
      </c>
      <c r="AK3593">
        <f>IF('01_Вводные'!$B$234="Да",'06_Сеть_и_дети'!AK5*'19_Расчет_аналитики'!$F$3247*'19_Расчет_аналитики'!$F$3248*'18_Календарь_тарифы'!AK4,0)</f>
        <v/>
      </c>
      <c r="AL3593">
        <f>IF('01_Вводные'!$B$234="Да",'06_Сеть_и_дети'!AL5*'19_Расчет_аналитики'!$F$3247*'19_Расчет_аналитики'!$F$3248*'18_Календарь_тарифы'!AL4,0)</f>
        <v/>
      </c>
      <c r="AM3593">
        <f>IF('01_Вводные'!$B$234="Да",'06_Сеть_и_дети'!AM5*'19_Расчет_аналитики'!$F$3247*'19_Расчет_аналитики'!$F$3248*'18_Календарь_тарифы'!AM4,0)</f>
        <v/>
      </c>
      <c r="AN3593">
        <f>IF('01_Вводные'!$B$234="Да",'06_Сеть_и_дети'!AN5*'19_Расчет_аналитики'!$F$3247*'19_Расчет_аналитики'!$F$3248*'18_Календарь_тарифы'!AN4,0)</f>
        <v/>
      </c>
      <c r="AO3593">
        <f>IF('01_Вводные'!$B$234="Да",'06_Сеть_и_дети'!AO5*'19_Расчет_аналитики'!$F$3247*'19_Расчет_аналитики'!$F$3248*'18_Календарь_тарифы'!AO4,0)</f>
        <v/>
      </c>
      <c r="AP3593">
        <f>IF('01_Вводные'!$B$234="Да",'06_Сеть_и_дети'!AP5*'19_Расчет_аналитики'!$F$3247*'19_Расчет_аналитики'!$F$3248*'18_Календарь_тарифы'!AP4,0)</f>
        <v/>
      </c>
      <c r="AQ3593">
        <f>IF('01_Вводные'!$B$234="Да",'06_Сеть_и_дети'!AQ5*'19_Расчет_аналитики'!$F$3247*'19_Расчет_аналитики'!$F$3248*'18_Календарь_тарифы'!AQ4,0)</f>
        <v/>
      </c>
      <c r="AR3593">
        <f>IF('01_Вводные'!$B$234="Да",'06_Сеть_и_дети'!AR5*'19_Расчет_аналитики'!$F$3247*'19_Расчет_аналитики'!$F$3248*'18_Календарь_тарифы'!AR4,0)</f>
        <v/>
      </c>
      <c r="AS3593">
        <f>IF('01_Вводные'!$B$234="Да",'06_Сеть_и_дети'!AS5*'19_Расчет_аналитики'!$F$3247*'19_Расчет_аналитики'!$F$3248*'18_Календарь_тарифы'!AS4,0)</f>
        <v/>
      </c>
      <c r="AT3593">
        <f>IF('01_Вводные'!$B$234="Да",'06_Сеть_и_дети'!AT5*'19_Расчет_аналитики'!$F$3247*'19_Расчет_аналитики'!$F$3248*'18_Календарь_тарифы'!AT4,0)</f>
        <v/>
      </c>
      <c r="AU3593">
        <f>IF('01_Вводные'!$B$234="Да",'06_Сеть_и_дети'!AU5*'19_Расчет_аналитики'!$F$3247*'19_Расчет_аналитики'!$F$3248*'18_Календарь_тарифы'!AU4,0)</f>
        <v/>
      </c>
      <c r="AV3593">
        <f>IF('01_Вводные'!$B$234="Да",'06_Сеть_и_дети'!AV5*'19_Расчет_аналитики'!$F$3247*'19_Расчет_аналитики'!$F$3248*'18_Календарь_тарифы'!AV4,0)</f>
        <v/>
      </c>
      <c r="AW3593">
        <f>IF('01_Вводные'!$B$234="Да",'06_Сеть_и_дети'!AW5*'19_Расчет_аналитики'!$F$3247*'19_Расчет_аналитики'!$F$3248*'18_Календарь_тарифы'!AW4,0)</f>
        <v/>
      </c>
      <c r="AX3593">
        <f>IF('01_Вводные'!$B$234="Да",'06_Сеть_и_дети'!AX5*'19_Расчет_аналитики'!$F$3247*'19_Расчет_аналитики'!$F$3248*'18_Календарь_тарифы'!AX4,0)</f>
        <v/>
      </c>
      <c r="AY3593">
        <f>IF('01_Вводные'!$B$234="Да",'06_Сеть_и_дети'!AY5*'19_Расчет_аналитики'!$F$3247*'19_Расчет_аналитики'!$F$3248*'18_Календарь_тарифы'!AY4,0)</f>
        <v/>
      </c>
      <c r="AZ3593">
        <f>IF('01_Вводные'!$B$234="Да",'06_Сеть_и_дети'!AZ5*'19_Расчет_аналитики'!$F$3247*'19_Расчет_аналитики'!$F$3248*'18_Календарь_тарифы'!AZ4,0)</f>
        <v/>
      </c>
      <c r="BA3593">
        <f>IF('01_Вводные'!$B$234="Да",'06_Сеть_и_дети'!BA5*'19_Расчет_аналитики'!$F$3247*'19_Расчет_аналитики'!$F$3248*'18_Календарь_тарифы'!BA4,0)</f>
        <v/>
      </c>
      <c r="BB3593">
        <f>IF('01_Вводные'!$B$234="Да",'06_Сеть_и_дети'!BB5*'19_Расчет_аналитики'!$F$3247*'19_Расчет_аналитики'!$F$3248*'18_Календарь_тарифы'!BB4,0)</f>
        <v/>
      </c>
      <c r="BC3593">
        <f>IF('01_Вводные'!$B$234="Да",'06_Сеть_и_дети'!BC5*'19_Расчет_аналитики'!$F$3247*'19_Расчет_аналитики'!$F$3248*'18_Календарь_тарифы'!BC4,0)</f>
        <v/>
      </c>
      <c r="BD3593">
        <f>IF('01_Вводные'!$B$234="Да",'06_Сеть_и_дети'!BD5*'19_Расчет_аналитики'!$F$3247*'19_Расчет_аналитики'!$F$3248*'18_Календарь_тарифы'!BD4,0)</f>
        <v/>
      </c>
      <c r="BE3593">
        <f>IF('01_Вводные'!$B$234="Да",'06_Сеть_и_дети'!BE5*'19_Расчет_аналитики'!$F$3247*'19_Расчет_аналитики'!$F$3248*'18_Календарь_тарифы'!BE4,0)</f>
        <v/>
      </c>
      <c r="BF3593">
        <f>IF('01_Вводные'!$B$234="Да",'06_Сеть_и_дети'!BF5*'19_Расчет_аналитики'!$F$3247*'19_Расчет_аналитики'!$F$3248*'18_Календарь_тарифы'!BF4,0)</f>
        <v/>
      </c>
      <c r="BG3593">
        <f>IF('01_Вводные'!$B$234="Да",'06_Сеть_и_дети'!BG5*'19_Расчет_аналитики'!$F$3247*'19_Расчет_аналитики'!$F$3248*'18_Календарь_тарифы'!BG4,0)</f>
        <v/>
      </c>
      <c r="BH3593">
        <f>IF('01_Вводные'!$B$234="Да",'06_Сеть_и_дети'!BH5*'19_Расчет_аналитики'!$F$3247*'19_Расчет_аналитики'!$F$3248*'18_Календарь_тарифы'!BH4,0)</f>
        <v/>
      </c>
      <c r="BI3593">
        <f>IF('01_Вводные'!$B$234="Да",'06_Сеть_и_дети'!BI5*'19_Расчет_аналитики'!$F$3247*'19_Расчет_аналитики'!$F$3248*'18_Календарь_тарифы'!BI4,0)</f>
        <v/>
      </c>
      <c r="BJ3593">
        <f>IF('01_Вводные'!$B$234="Да",'06_Сеть_и_дети'!BJ5*'19_Расчет_аналитики'!$F$3247*'19_Расчет_аналитики'!$F$3248*'18_Календарь_тарифы'!BJ4,0)</f>
        <v/>
      </c>
      <c r="BK3593">
        <f>IF('01_Вводные'!$B$234="Да",'06_Сеть_и_дети'!BK5*'19_Расчет_аналитики'!$F$3247*'19_Расчет_аналитики'!$F$3248*'18_Календарь_тарифы'!BK4,0)</f>
        <v/>
      </c>
      <c r="BL3593">
        <f>IF('01_Вводные'!$B$234="Да",'06_Сеть_и_дети'!BL5*'19_Расчет_аналитики'!$F$3247*'19_Расчет_аналитики'!$F$3248*'18_Календарь_тарифы'!BL4,0)</f>
        <v/>
      </c>
      <c r="BM3593">
        <f>IF('01_Вводные'!$B$234="Да",'06_Сеть_и_дети'!BM5*'19_Расчет_аналитики'!$F$3247*'19_Расчет_аналитики'!$F$3248*'18_Календарь_тарифы'!BM4,0)</f>
        <v/>
      </c>
      <c r="BN3593">
        <f>IF('01_Вводные'!$B$234="Да",'06_Сеть_и_дети'!BN5*'19_Расчет_аналитики'!$F$3247*'19_Расчет_аналитики'!$F$3248*'18_Календарь_тарифы'!BN4,0)</f>
        <v/>
      </c>
      <c r="BO3593">
        <f>IF('01_Вводные'!$B$234="Да",'06_Сеть_и_дети'!BO5*'19_Расчет_аналитики'!$F$3247*'19_Расчет_аналитики'!$F$3248*'18_Календарь_тарифы'!BO4,0)</f>
        <v/>
      </c>
    </row>
    <row r="3594"/>
    <row r="3595">
      <c r="B3595">
        <f>IF('01_Вводные'!$B$234="Да",'19_Расчет_аналитики'!B3593*IF('06_Сеть_и_дети'!B$3&gt;='01_Вводные'!$B$245,'01_Вводные'!$B$57,'01_Вводные'!$B$55),0)</f>
        <v/>
      </c>
      <c r="C3595">
        <f>IF('01_Вводные'!$B$234="Да",'19_Расчет_аналитики'!C3593*IF('06_Сеть_и_дети'!C$3&gt;='01_Вводные'!$B$245,'01_Вводные'!$B$57,'01_Вводные'!$B$55),0)</f>
        <v/>
      </c>
      <c r="D3595">
        <f>IF('01_Вводные'!$B$234="Да",'19_Расчет_аналитики'!D3593*IF('06_Сеть_и_дети'!D$3&gt;='01_Вводные'!$B$245,'01_Вводные'!$B$57,'01_Вводные'!$B$55),0)</f>
        <v/>
      </c>
      <c r="E3595">
        <f>IF('01_Вводные'!$B$234="Да",'19_Расчет_аналитики'!E3593*IF('06_Сеть_и_дети'!E$3&gt;='01_Вводные'!$B$245,'01_Вводные'!$B$57,'01_Вводные'!$B$55),0)</f>
        <v/>
      </c>
      <c r="F3595">
        <f>IF('01_Вводные'!$B$234="Да",'19_Расчет_аналитики'!F3593*IF('06_Сеть_и_дети'!F$3&gt;='01_Вводные'!$B$245,'01_Вводные'!$B$57,'01_Вводные'!$B$55),0)</f>
        <v/>
      </c>
      <c r="G3595">
        <f>IF('01_Вводные'!$B$234="Да",'19_Расчет_аналитики'!G3593*IF('06_Сеть_и_дети'!G$3&gt;='01_Вводные'!$B$245,'01_Вводные'!$B$57,'01_Вводные'!$B$55),0)</f>
        <v/>
      </c>
      <c r="H3595">
        <f>IF('01_Вводные'!$B$234="Да",'19_Расчет_аналитики'!H3593*IF('06_Сеть_и_дети'!H$3&gt;='01_Вводные'!$B$245,'01_Вводные'!$B$57,'01_Вводные'!$B$55),0)</f>
        <v/>
      </c>
      <c r="I3595">
        <f>IF('01_Вводные'!$B$234="Да",'19_Расчет_аналитики'!I3593*IF('06_Сеть_и_дети'!I$3&gt;='01_Вводные'!$B$245,'01_Вводные'!$B$57,'01_Вводные'!$B$55),0)</f>
        <v/>
      </c>
      <c r="J3595">
        <f>IF('01_Вводные'!$B$234="Да",'19_Расчет_аналитики'!J3593*IF('06_Сеть_и_дети'!J$3&gt;='01_Вводные'!$B$245,'01_Вводные'!$B$57,'01_Вводные'!$B$55),0)</f>
        <v/>
      </c>
      <c r="K3595">
        <f>IF('01_Вводные'!$B$234="Да",'19_Расчет_аналитики'!K3593*IF('06_Сеть_и_дети'!K$3&gt;='01_Вводные'!$B$245,'01_Вводные'!$B$57,'01_Вводные'!$B$55),0)</f>
        <v/>
      </c>
      <c r="L3595">
        <f>IF('01_Вводные'!$B$234="Да",'19_Расчет_аналитики'!L3593*IF('06_Сеть_и_дети'!L$3&gt;='01_Вводные'!$B$245,'01_Вводные'!$B$57,'01_Вводные'!$B$55),0)</f>
        <v/>
      </c>
      <c r="M3595">
        <f>IF('01_Вводные'!$B$234="Да",'19_Расчет_аналитики'!M3593*IF('06_Сеть_и_дети'!M$3&gt;='01_Вводные'!$B$245,'01_Вводные'!$B$57,'01_Вводные'!$B$55),0)</f>
        <v/>
      </c>
      <c r="N3595">
        <f>IF('01_Вводные'!$B$234="Да",'19_Расчет_аналитики'!N3593*IF('06_Сеть_и_дети'!N$3&gt;='01_Вводные'!$B$245,'01_Вводные'!$B$57,'01_Вводные'!$B$55),0)</f>
        <v/>
      </c>
      <c r="O3595">
        <f>IF('01_Вводные'!$B$234="Да",'19_Расчет_аналитики'!O3593*IF('06_Сеть_и_дети'!O$3&gt;='01_Вводные'!$B$245,'01_Вводные'!$B$57,'01_Вводные'!$B$55),0)</f>
        <v/>
      </c>
      <c r="P3595">
        <f>IF('01_Вводные'!$B$234="Да",'19_Расчет_аналитики'!P3593*IF('06_Сеть_и_дети'!P$3&gt;='01_Вводные'!$B$245,'01_Вводные'!$B$57,'01_Вводные'!$B$55),0)</f>
        <v/>
      </c>
      <c r="Q3595">
        <f>IF('01_Вводные'!$B$234="Да",'19_Расчет_аналитики'!Q3593*IF('06_Сеть_и_дети'!Q$3&gt;='01_Вводные'!$B$245,'01_Вводные'!$B$57,'01_Вводные'!$B$55),0)</f>
        <v/>
      </c>
      <c r="R3595">
        <f>IF('01_Вводные'!$B$234="Да",'19_Расчет_аналитики'!R3593*IF('06_Сеть_и_дети'!R$3&gt;='01_Вводные'!$B$245,'01_Вводные'!$B$57,'01_Вводные'!$B$55),0)</f>
        <v/>
      </c>
      <c r="S3595">
        <f>IF('01_Вводные'!$B$234="Да",'19_Расчет_аналитики'!S3593*IF('06_Сеть_и_дети'!S$3&gt;='01_Вводные'!$B$245,'01_Вводные'!$B$57,'01_Вводные'!$B$55),0)</f>
        <v/>
      </c>
      <c r="T3595">
        <f>IF('01_Вводные'!$B$234="Да",'19_Расчет_аналитики'!T3593*IF('06_Сеть_и_дети'!T$3&gt;='01_Вводные'!$B$245,'01_Вводные'!$B$57,'01_Вводные'!$B$55),0)</f>
        <v/>
      </c>
      <c r="U3595">
        <f>IF('01_Вводные'!$B$234="Да",'19_Расчет_аналитики'!U3593*IF('06_Сеть_и_дети'!U$3&gt;='01_Вводные'!$B$245,'01_Вводные'!$B$57,'01_Вводные'!$B$55),0)</f>
        <v/>
      </c>
      <c r="V3595">
        <f>IF('01_Вводные'!$B$234="Да",'19_Расчет_аналитики'!V3593*IF('06_Сеть_и_дети'!V$3&gt;='01_Вводные'!$B$245,'01_Вводные'!$B$57,'01_Вводные'!$B$55),0)</f>
        <v/>
      </c>
      <c r="W3595">
        <f>IF('01_Вводные'!$B$234="Да",'19_Расчет_аналитики'!W3593*IF('06_Сеть_и_дети'!W$3&gt;='01_Вводные'!$B$245,'01_Вводные'!$B$57,'01_Вводные'!$B$55),0)</f>
        <v/>
      </c>
      <c r="X3595">
        <f>IF('01_Вводные'!$B$234="Да",'19_Расчет_аналитики'!X3593*IF('06_Сеть_и_дети'!X$3&gt;='01_Вводные'!$B$245,'01_Вводные'!$B$57,'01_Вводные'!$B$55),0)</f>
        <v/>
      </c>
      <c r="Y3595">
        <f>IF('01_Вводные'!$B$234="Да",'19_Расчет_аналитики'!Y3593*IF('06_Сеть_и_дети'!Y$3&gt;='01_Вводные'!$B$245,'01_Вводные'!$B$57,'01_Вводные'!$B$55),0)</f>
        <v/>
      </c>
      <c r="Z3595">
        <f>IF('01_Вводные'!$B$234="Да",'19_Расчет_аналитики'!Z3593*IF('06_Сеть_и_дети'!Z$3&gt;='01_Вводные'!$B$245,'01_Вводные'!$B$57,'01_Вводные'!$B$55),0)</f>
        <v/>
      </c>
      <c r="AA3595">
        <f>IF('01_Вводные'!$B$234="Да",'19_Расчет_аналитики'!AA3593*IF('06_Сеть_и_дети'!AA$3&gt;='01_Вводные'!$B$245,'01_Вводные'!$B$57,'01_Вводные'!$B$55),0)</f>
        <v/>
      </c>
      <c r="AB3595">
        <f>IF('01_Вводные'!$B$234="Да",'19_Расчет_аналитики'!AB3593*IF('06_Сеть_и_дети'!AB$3&gt;='01_Вводные'!$B$245,'01_Вводные'!$B$57,'01_Вводные'!$B$55),0)</f>
        <v/>
      </c>
      <c r="AC3595">
        <f>IF('01_Вводные'!$B$234="Да",'19_Расчет_аналитики'!AC3593*IF('06_Сеть_и_дети'!AC$3&gt;='01_Вводные'!$B$245,'01_Вводные'!$B$57,'01_Вводные'!$B$55),0)</f>
        <v/>
      </c>
      <c r="AD3595">
        <f>IF('01_Вводные'!$B$234="Да",'19_Расчет_аналитики'!AD3593*IF('06_Сеть_и_дети'!AD$3&gt;='01_Вводные'!$B$245,'01_Вводные'!$B$57,'01_Вводные'!$B$55),0)</f>
        <v/>
      </c>
      <c r="AE3595">
        <f>IF('01_Вводные'!$B$234="Да",'19_Расчет_аналитики'!AE3593*IF('06_Сеть_и_дети'!AE$3&gt;='01_Вводные'!$B$245,'01_Вводные'!$B$57,'01_Вводные'!$B$55),0)</f>
        <v/>
      </c>
      <c r="AF3595">
        <f>IF('01_Вводные'!$B$234="Да",'19_Расчет_аналитики'!AF3593*IF('06_Сеть_и_дети'!AF$3&gt;='01_Вводные'!$B$245,'01_Вводные'!$B$57,'01_Вводные'!$B$55),0)</f>
        <v/>
      </c>
      <c r="AG3595">
        <f>IF('01_Вводные'!$B$234="Да",'19_Расчет_аналитики'!AG3593*IF('06_Сеть_и_дети'!AG$3&gt;='01_Вводные'!$B$245,'01_Вводные'!$B$57,'01_Вводные'!$B$55),0)</f>
        <v/>
      </c>
      <c r="AH3595">
        <f>IF('01_Вводные'!$B$234="Да",'19_Расчет_аналитики'!AH3593*IF('06_Сеть_и_дети'!AH$3&gt;='01_Вводные'!$B$245,'01_Вводные'!$B$57,'01_Вводные'!$B$55),0)</f>
        <v/>
      </c>
      <c r="AI3595">
        <f>IF('01_Вводные'!$B$234="Да",'19_Расчет_аналитики'!AI3593*IF('06_Сеть_и_дети'!AI$3&gt;='01_Вводные'!$B$245,'01_Вводные'!$B$57,'01_Вводные'!$B$55),0)</f>
        <v/>
      </c>
      <c r="AJ3595">
        <f>IF('01_Вводные'!$B$234="Да",'19_Расчет_аналитики'!AJ3593*IF('06_Сеть_и_дети'!AJ$3&gt;='01_Вводные'!$B$245,'01_Вводные'!$B$57,'01_Вводные'!$B$55),0)</f>
        <v/>
      </c>
      <c r="AK3595">
        <f>IF('01_Вводные'!$B$234="Да",'19_Расчет_аналитики'!AK3593*IF('06_Сеть_и_дети'!AK$3&gt;='01_Вводные'!$B$245,'01_Вводные'!$B$57,'01_Вводные'!$B$55),0)</f>
        <v/>
      </c>
      <c r="AL3595">
        <f>IF('01_Вводные'!$B$234="Да",'19_Расчет_аналитики'!AL3593*IF('06_Сеть_и_дети'!AL$3&gt;='01_Вводные'!$B$245,'01_Вводные'!$B$57,'01_Вводные'!$B$55),0)</f>
        <v/>
      </c>
      <c r="AM3595">
        <f>IF('01_Вводные'!$B$234="Да",'19_Расчет_аналитики'!AM3593*IF('06_Сеть_и_дети'!AM$3&gt;='01_Вводные'!$B$245,'01_Вводные'!$B$57,'01_Вводные'!$B$55),0)</f>
        <v/>
      </c>
      <c r="AN3595">
        <f>IF('01_Вводные'!$B$234="Да",'19_Расчет_аналитики'!AN3593*IF('06_Сеть_и_дети'!AN$3&gt;='01_Вводные'!$B$245,'01_Вводные'!$B$57,'01_Вводные'!$B$55),0)</f>
        <v/>
      </c>
      <c r="AO3595">
        <f>IF('01_Вводные'!$B$234="Да",'19_Расчет_аналитики'!AO3593*IF('06_Сеть_и_дети'!AO$3&gt;='01_Вводные'!$B$245,'01_Вводные'!$B$57,'01_Вводные'!$B$55),0)</f>
        <v/>
      </c>
      <c r="AP3595">
        <f>IF('01_Вводные'!$B$234="Да",'19_Расчет_аналитики'!AP3593*IF('06_Сеть_и_дети'!AP$3&gt;='01_Вводные'!$B$245,'01_Вводные'!$B$57,'01_Вводные'!$B$55),0)</f>
        <v/>
      </c>
      <c r="AQ3595">
        <f>IF('01_Вводные'!$B$234="Да",'19_Расчет_аналитики'!AQ3593*IF('06_Сеть_и_дети'!AQ$3&gt;='01_Вводные'!$B$245,'01_Вводные'!$B$57,'01_Вводные'!$B$55),0)</f>
        <v/>
      </c>
      <c r="AR3595">
        <f>IF('01_Вводные'!$B$234="Да",'19_Расчет_аналитики'!AR3593*IF('06_Сеть_и_дети'!AR$3&gt;='01_Вводные'!$B$245,'01_Вводные'!$B$57,'01_Вводные'!$B$55),0)</f>
        <v/>
      </c>
      <c r="AS3595">
        <f>IF('01_Вводные'!$B$234="Да",'19_Расчет_аналитики'!AS3593*IF('06_Сеть_и_дети'!AS$3&gt;='01_Вводные'!$B$245,'01_Вводные'!$B$57,'01_Вводные'!$B$55),0)</f>
        <v/>
      </c>
      <c r="AT3595">
        <f>IF('01_Вводные'!$B$234="Да",'19_Расчет_аналитики'!AT3593*IF('06_Сеть_и_дети'!AT$3&gt;='01_Вводные'!$B$245,'01_Вводные'!$B$57,'01_Вводные'!$B$55),0)</f>
        <v/>
      </c>
      <c r="AU3595">
        <f>IF('01_Вводные'!$B$234="Да",'19_Расчет_аналитики'!AU3593*IF('06_Сеть_и_дети'!AU$3&gt;='01_Вводные'!$B$245,'01_Вводные'!$B$57,'01_Вводные'!$B$55),0)</f>
        <v/>
      </c>
      <c r="AV3595">
        <f>IF('01_Вводные'!$B$234="Да",'19_Расчет_аналитики'!AV3593*IF('06_Сеть_и_дети'!AV$3&gt;='01_Вводные'!$B$245,'01_Вводные'!$B$57,'01_Вводные'!$B$55),0)</f>
        <v/>
      </c>
      <c r="AW3595">
        <f>IF('01_Вводные'!$B$234="Да",'19_Расчет_аналитики'!AW3593*IF('06_Сеть_и_дети'!AW$3&gt;='01_Вводные'!$B$245,'01_Вводные'!$B$57,'01_Вводные'!$B$55),0)</f>
        <v/>
      </c>
      <c r="AX3595">
        <f>IF('01_Вводные'!$B$234="Да",'19_Расчет_аналитики'!AX3593*IF('06_Сеть_и_дети'!AX$3&gt;='01_Вводные'!$B$245,'01_Вводные'!$B$57,'01_Вводные'!$B$55),0)</f>
        <v/>
      </c>
      <c r="AY3595">
        <f>IF('01_Вводные'!$B$234="Да",'19_Расчет_аналитики'!AY3593*IF('06_Сеть_и_дети'!AY$3&gt;='01_Вводные'!$B$245,'01_Вводные'!$B$57,'01_Вводные'!$B$55),0)</f>
        <v/>
      </c>
      <c r="AZ3595">
        <f>IF('01_Вводные'!$B$234="Да",'19_Расчет_аналитики'!AZ3593*IF('06_Сеть_и_дети'!AZ$3&gt;='01_Вводные'!$B$245,'01_Вводные'!$B$57,'01_Вводные'!$B$55),0)</f>
        <v/>
      </c>
      <c r="BA3595">
        <f>IF('01_Вводные'!$B$234="Да",'19_Расчет_аналитики'!BA3593*IF('06_Сеть_и_дети'!BA$3&gt;='01_Вводные'!$B$245,'01_Вводные'!$B$57,'01_Вводные'!$B$55),0)</f>
        <v/>
      </c>
      <c r="BB3595">
        <f>IF('01_Вводные'!$B$234="Да",'19_Расчет_аналитики'!BB3593*IF('06_Сеть_и_дети'!BB$3&gt;='01_Вводные'!$B$245,'01_Вводные'!$B$57,'01_Вводные'!$B$55),0)</f>
        <v/>
      </c>
      <c r="BC3595">
        <f>IF('01_Вводные'!$B$234="Да",'19_Расчет_аналитики'!BC3593*IF('06_Сеть_и_дети'!BC$3&gt;='01_Вводные'!$B$245,'01_Вводные'!$B$57,'01_Вводные'!$B$55),0)</f>
        <v/>
      </c>
      <c r="BD3595">
        <f>IF('01_Вводные'!$B$234="Да",'19_Расчет_аналитики'!BD3593*IF('06_Сеть_и_дети'!BD$3&gt;='01_Вводные'!$B$245,'01_Вводные'!$B$57,'01_Вводные'!$B$55),0)</f>
        <v/>
      </c>
      <c r="BE3595">
        <f>IF('01_Вводные'!$B$234="Да",'19_Расчет_аналитики'!BE3593*IF('06_Сеть_и_дети'!BE$3&gt;='01_Вводные'!$B$245,'01_Вводные'!$B$57,'01_Вводные'!$B$55),0)</f>
        <v/>
      </c>
      <c r="BF3595">
        <f>IF('01_Вводные'!$B$234="Да",'19_Расчет_аналитики'!BF3593*IF('06_Сеть_и_дети'!BF$3&gt;='01_Вводные'!$B$245,'01_Вводные'!$B$57,'01_Вводные'!$B$55),0)</f>
        <v/>
      </c>
      <c r="BG3595">
        <f>IF('01_Вводные'!$B$234="Да",'19_Расчет_аналитики'!BG3593*IF('06_Сеть_и_дети'!BG$3&gt;='01_Вводные'!$B$245,'01_Вводные'!$B$57,'01_Вводные'!$B$55),0)</f>
        <v/>
      </c>
      <c r="BH3595">
        <f>IF('01_Вводные'!$B$234="Да",'19_Расчет_аналитики'!BH3593*IF('06_Сеть_и_дети'!BH$3&gt;='01_Вводные'!$B$245,'01_Вводные'!$B$57,'01_Вводные'!$B$55),0)</f>
        <v/>
      </c>
      <c r="BI3595">
        <f>IF('01_Вводные'!$B$234="Да",'19_Расчет_аналитики'!BI3593*IF('06_Сеть_и_дети'!BI$3&gt;='01_Вводные'!$B$245,'01_Вводные'!$B$57,'01_Вводные'!$B$55),0)</f>
        <v/>
      </c>
      <c r="BJ3595">
        <f>IF('01_Вводные'!$B$234="Да",'19_Расчет_аналитики'!BJ3593*IF('06_Сеть_и_дети'!BJ$3&gt;='01_Вводные'!$B$245,'01_Вводные'!$B$57,'01_Вводные'!$B$55),0)</f>
        <v/>
      </c>
      <c r="BK3595">
        <f>IF('01_Вводные'!$B$234="Да",'19_Расчет_аналитики'!BK3593*IF('06_Сеть_и_дети'!BK$3&gt;='01_Вводные'!$B$245,'01_Вводные'!$B$57,'01_Вводные'!$B$55),0)</f>
        <v/>
      </c>
      <c r="BL3595">
        <f>IF('01_Вводные'!$B$234="Да",'19_Расчет_аналитики'!BL3593*IF('06_Сеть_и_дети'!BL$3&gt;='01_Вводные'!$B$245,'01_Вводные'!$B$57,'01_Вводные'!$B$55),0)</f>
        <v/>
      </c>
      <c r="BM3595">
        <f>IF('01_Вводные'!$B$234="Да",'19_Расчет_аналитики'!BM3593*IF('06_Сеть_и_дети'!BM$3&gt;='01_Вводные'!$B$245,'01_Вводные'!$B$57,'01_Вводные'!$B$55),0)</f>
        <v/>
      </c>
      <c r="BN3595">
        <f>IF('01_Вводные'!$B$234="Да",'19_Расчет_аналитики'!BN3593*IF('06_Сеть_и_дети'!BN$3&gt;='01_Вводные'!$B$245,'01_Вводные'!$B$57,'01_Вводные'!$B$55),0)</f>
        <v/>
      </c>
      <c r="BO3595">
        <f>IF('01_Вводные'!$B$234="Да",'19_Расчет_аналитики'!BO3593*IF('06_Сеть_и_дети'!BO$3&gt;='01_Вводные'!$B$245,'01_Вводные'!$B$57,'01_Вводные'!$B$55),0)</f>
        <v/>
      </c>
    </row>
    <row r="3596">
      <c r="B3596">
        <f>IF('01_Вводные'!$B$234="Да",'19_Расчет_аналитики'!B3593*IF('06_Сеть_и_дети'!B$3&gt;='01_Вводные'!$B$245,'01_Вводные'!$B$57,'01_Вводные'!$B$56),0)</f>
        <v/>
      </c>
      <c r="C3596">
        <f>IF('01_Вводные'!$B$234="Да",'19_Расчет_аналитики'!C3593*IF('06_Сеть_и_дети'!C$3&gt;='01_Вводные'!$B$245,'01_Вводные'!$B$57,'01_Вводные'!$B$56),0)</f>
        <v/>
      </c>
      <c r="D3596">
        <f>IF('01_Вводные'!$B$234="Да",'19_Расчет_аналитики'!D3593*IF('06_Сеть_и_дети'!D$3&gt;='01_Вводные'!$B$245,'01_Вводные'!$B$57,'01_Вводные'!$B$56),0)</f>
        <v/>
      </c>
      <c r="E3596">
        <f>IF('01_Вводные'!$B$234="Да",'19_Расчет_аналитики'!E3593*IF('06_Сеть_и_дети'!E$3&gt;='01_Вводные'!$B$245,'01_Вводные'!$B$57,'01_Вводные'!$B$56),0)</f>
        <v/>
      </c>
      <c r="F3596">
        <f>IF('01_Вводные'!$B$234="Да",'19_Расчет_аналитики'!F3593*IF('06_Сеть_и_дети'!F$3&gt;='01_Вводные'!$B$245,'01_Вводные'!$B$57,'01_Вводные'!$B$56),0)</f>
        <v/>
      </c>
      <c r="G3596">
        <f>IF('01_Вводные'!$B$234="Да",'19_Расчет_аналитики'!G3593*IF('06_Сеть_и_дети'!G$3&gt;='01_Вводные'!$B$245,'01_Вводные'!$B$57,'01_Вводные'!$B$56),0)</f>
        <v/>
      </c>
      <c r="H3596">
        <f>IF('01_Вводные'!$B$234="Да",'19_Расчет_аналитики'!H3593*IF('06_Сеть_и_дети'!H$3&gt;='01_Вводные'!$B$245,'01_Вводные'!$B$57,'01_Вводные'!$B$56),0)</f>
        <v/>
      </c>
      <c r="I3596">
        <f>IF('01_Вводные'!$B$234="Да",'19_Расчет_аналитики'!I3593*IF('06_Сеть_и_дети'!I$3&gt;='01_Вводные'!$B$245,'01_Вводные'!$B$57,'01_Вводные'!$B$56),0)</f>
        <v/>
      </c>
      <c r="J3596">
        <f>IF('01_Вводные'!$B$234="Да",'19_Расчет_аналитики'!J3593*IF('06_Сеть_и_дети'!J$3&gt;='01_Вводные'!$B$245,'01_Вводные'!$B$57,'01_Вводные'!$B$56),0)</f>
        <v/>
      </c>
      <c r="K3596">
        <f>IF('01_Вводные'!$B$234="Да",'19_Расчет_аналитики'!K3593*IF('06_Сеть_и_дети'!K$3&gt;='01_Вводные'!$B$245,'01_Вводные'!$B$57,'01_Вводные'!$B$56),0)</f>
        <v/>
      </c>
      <c r="L3596">
        <f>IF('01_Вводные'!$B$234="Да",'19_Расчет_аналитики'!L3593*IF('06_Сеть_и_дети'!L$3&gt;='01_Вводные'!$B$245,'01_Вводные'!$B$57,'01_Вводные'!$B$56),0)</f>
        <v/>
      </c>
      <c r="M3596">
        <f>IF('01_Вводные'!$B$234="Да",'19_Расчет_аналитики'!M3593*IF('06_Сеть_и_дети'!M$3&gt;='01_Вводные'!$B$245,'01_Вводные'!$B$57,'01_Вводные'!$B$56),0)</f>
        <v/>
      </c>
      <c r="N3596">
        <f>IF('01_Вводные'!$B$234="Да",'19_Расчет_аналитики'!N3593*IF('06_Сеть_и_дети'!N$3&gt;='01_Вводные'!$B$245,'01_Вводные'!$B$57,'01_Вводные'!$B$56),0)</f>
        <v/>
      </c>
      <c r="O3596">
        <f>IF('01_Вводные'!$B$234="Да",'19_Расчет_аналитики'!O3593*IF('06_Сеть_и_дети'!O$3&gt;='01_Вводные'!$B$245,'01_Вводные'!$B$57,'01_Вводные'!$B$56),0)</f>
        <v/>
      </c>
      <c r="P3596">
        <f>IF('01_Вводные'!$B$234="Да",'19_Расчет_аналитики'!P3593*IF('06_Сеть_и_дети'!P$3&gt;='01_Вводные'!$B$245,'01_Вводные'!$B$57,'01_Вводные'!$B$56),0)</f>
        <v/>
      </c>
      <c r="Q3596">
        <f>IF('01_Вводные'!$B$234="Да",'19_Расчет_аналитики'!Q3593*IF('06_Сеть_и_дети'!Q$3&gt;='01_Вводные'!$B$245,'01_Вводные'!$B$57,'01_Вводные'!$B$56),0)</f>
        <v/>
      </c>
      <c r="R3596">
        <f>IF('01_Вводные'!$B$234="Да",'19_Расчет_аналитики'!R3593*IF('06_Сеть_и_дети'!R$3&gt;='01_Вводные'!$B$245,'01_Вводные'!$B$57,'01_Вводные'!$B$56),0)</f>
        <v/>
      </c>
      <c r="S3596">
        <f>IF('01_Вводные'!$B$234="Да",'19_Расчет_аналитики'!S3593*IF('06_Сеть_и_дети'!S$3&gt;='01_Вводные'!$B$245,'01_Вводные'!$B$57,'01_Вводные'!$B$56),0)</f>
        <v/>
      </c>
      <c r="T3596">
        <f>IF('01_Вводные'!$B$234="Да",'19_Расчет_аналитики'!T3593*IF('06_Сеть_и_дети'!T$3&gt;='01_Вводные'!$B$245,'01_Вводные'!$B$57,'01_Вводные'!$B$56),0)</f>
        <v/>
      </c>
      <c r="U3596">
        <f>IF('01_Вводные'!$B$234="Да",'19_Расчет_аналитики'!U3593*IF('06_Сеть_и_дети'!U$3&gt;='01_Вводные'!$B$245,'01_Вводные'!$B$57,'01_Вводные'!$B$56),0)</f>
        <v/>
      </c>
      <c r="V3596">
        <f>IF('01_Вводные'!$B$234="Да",'19_Расчет_аналитики'!V3593*IF('06_Сеть_и_дети'!V$3&gt;='01_Вводные'!$B$245,'01_Вводные'!$B$57,'01_Вводные'!$B$56),0)</f>
        <v/>
      </c>
      <c r="W3596">
        <f>IF('01_Вводные'!$B$234="Да",'19_Расчет_аналитики'!W3593*IF('06_Сеть_и_дети'!W$3&gt;='01_Вводные'!$B$245,'01_Вводные'!$B$57,'01_Вводные'!$B$56),0)</f>
        <v/>
      </c>
      <c r="X3596">
        <f>IF('01_Вводные'!$B$234="Да",'19_Расчет_аналитики'!X3593*IF('06_Сеть_и_дети'!X$3&gt;='01_Вводные'!$B$245,'01_Вводные'!$B$57,'01_Вводные'!$B$56),0)</f>
        <v/>
      </c>
      <c r="Y3596">
        <f>IF('01_Вводные'!$B$234="Да",'19_Расчет_аналитики'!Y3593*IF('06_Сеть_и_дети'!Y$3&gt;='01_Вводные'!$B$245,'01_Вводные'!$B$57,'01_Вводные'!$B$56),0)</f>
        <v/>
      </c>
      <c r="Z3596">
        <f>IF('01_Вводные'!$B$234="Да",'19_Расчет_аналитики'!Z3593*IF('06_Сеть_и_дети'!Z$3&gt;='01_Вводные'!$B$245,'01_Вводные'!$B$57,'01_Вводные'!$B$56),0)</f>
        <v/>
      </c>
      <c r="AA3596">
        <f>IF('01_Вводные'!$B$234="Да",'19_Расчет_аналитики'!AA3593*IF('06_Сеть_и_дети'!AA$3&gt;='01_Вводные'!$B$245,'01_Вводные'!$B$57,'01_Вводные'!$B$56),0)</f>
        <v/>
      </c>
      <c r="AB3596">
        <f>IF('01_Вводные'!$B$234="Да",'19_Расчет_аналитики'!AB3593*IF('06_Сеть_и_дети'!AB$3&gt;='01_Вводные'!$B$245,'01_Вводные'!$B$57,'01_Вводные'!$B$56),0)</f>
        <v/>
      </c>
      <c r="AC3596">
        <f>IF('01_Вводные'!$B$234="Да",'19_Расчет_аналитики'!AC3593*IF('06_Сеть_и_дети'!AC$3&gt;='01_Вводные'!$B$245,'01_Вводные'!$B$57,'01_Вводные'!$B$56),0)</f>
        <v/>
      </c>
      <c r="AD3596">
        <f>IF('01_Вводные'!$B$234="Да",'19_Расчет_аналитики'!AD3593*IF('06_Сеть_и_дети'!AD$3&gt;='01_Вводные'!$B$245,'01_Вводные'!$B$57,'01_Вводные'!$B$56),0)</f>
        <v/>
      </c>
      <c r="AE3596">
        <f>IF('01_Вводные'!$B$234="Да",'19_Расчет_аналитики'!AE3593*IF('06_Сеть_и_дети'!AE$3&gt;='01_Вводные'!$B$245,'01_Вводные'!$B$57,'01_Вводные'!$B$56),0)</f>
        <v/>
      </c>
      <c r="AF3596">
        <f>IF('01_Вводные'!$B$234="Да",'19_Расчет_аналитики'!AF3593*IF('06_Сеть_и_дети'!AF$3&gt;='01_Вводные'!$B$245,'01_Вводные'!$B$57,'01_Вводные'!$B$56),0)</f>
        <v/>
      </c>
      <c r="AG3596">
        <f>IF('01_Вводные'!$B$234="Да",'19_Расчет_аналитики'!AG3593*IF('06_Сеть_и_дети'!AG$3&gt;='01_Вводные'!$B$245,'01_Вводные'!$B$57,'01_Вводные'!$B$56),0)</f>
        <v/>
      </c>
      <c r="AH3596">
        <f>IF('01_Вводные'!$B$234="Да",'19_Расчет_аналитики'!AH3593*IF('06_Сеть_и_дети'!AH$3&gt;='01_Вводные'!$B$245,'01_Вводные'!$B$57,'01_Вводные'!$B$56),0)</f>
        <v/>
      </c>
      <c r="AI3596">
        <f>IF('01_Вводные'!$B$234="Да",'19_Расчет_аналитики'!AI3593*IF('06_Сеть_и_дети'!AI$3&gt;='01_Вводные'!$B$245,'01_Вводные'!$B$57,'01_Вводные'!$B$56),0)</f>
        <v/>
      </c>
      <c r="AJ3596">
        <f>IF('01_Вводные'!$B$234="Да",'19_Расчет_аналитики'!AJ3593*IF('06_Сеть_и_дети'!AJ$3&gt;='01_Вводные'!$B$245,'01_Вводные'!$B$57,'01_Вводные'!$B$56),0)</f>
        <v/>
      </c>
      <c r="AK3596">
        <f>IF('01_Вводные'!$B$234="Да",'19_Расчет_аналитики'!AK3593*IF('06_Сеть_и_дети'!AK$3&gt;='01_Вводные'!$B$245,'01_Вводные'!$B$57,'01_Вводные'!$B$56),0)</f>
        <v/>
      </c>
      <c r="AL3596">
        <f>IF('01_Вводные'!$B$234="Да",'19_Расчет_аналитики'!AL3593*IF('06_Сеть_и_дети'!AL$3&gt;='01_Вводные'!$B$245,'01_Вводные'!$B$57,'01_Вводные'!$B$56),0)</f>
        <v/>
      </c>
      <c r="AM3596">
        <f>IF('01_Вводные'!$B$234="Да",'19_Расчет_аналитики'!AM3593*IF('06_Сеть_и_дети'!AM$3&gt;='01_Вводные'!$B$245,'01_Вводные'!$B$57,'01_Вводные'!$B$56),0)</f>
        <v/>
      </c>
      <c r="AN3596">
        <f>IF('01_Вводные'!$B$234="Да",'19_Расчет_аналитики'!AN3593*IF('06_Сеть_и_дети'!AN$3&gt;='01_Вводные'!$B$245,'01_Вводные'!$B$57,'01_Вводные'!$B$56),0)</f>
        <v/>
      </c>
      <c r="AO3596">
        <f>IF('01_Вводные'!$B$234="Да",'19_Расчет_аналитики'!AO3593*IF('06_Сеть_и_дети'!AO$3&gt;='01_Вводные'!$B$245,'01_Вводные'!$B$57,'01_Вводные'!$B$56),0)</f>
        <v/>
      </c>
      <c r="AP3596">
        <f>IF('01_Вводные'!$B$234="Да",'19_Расчет_аналитики'!AP3593*IF('06_Сеть_и_дети'!AP$3&gt;='01_Вводные'!$B$245,'01_Вводные'!$B$57,'01_Вводные'!$B$56),0)</f>
        <v/>
      </c>
      <c r="AQ3596">
        <f>IF('01_Вводные'!$B$234="Да",'19_Расчет_аналитики'!AQ3593*IF('06_Сеть_и_дети'!AQ$3&gt;='01_Вводные'!$B$245,'01_Вводные'!$B$57,'01_Вводные'!$B$56),0)</f>
        <v/>
      </c>
      <c r="AR3596">
        <f>IF('01_Вводные'!$B$234="Да",'19_Расчет_аналитики'!AR3593*IF('06_Сеть_и_дети'!AR$3&gt;='01_Вводные'!$B$245,'01_Вводные'!$B$57,'01_Вводные'!$B$56),0)</f>
        <v/>
      </c>
      <c r="AS3596">
        <f>IF('01_Вводные'!$B$234="Да",'19_Расчет_аналитики'!AS3593*IF('06_Сеть_и_дети'!AS$3&gt;='01_Вводные'!$B$245,'01_Вводные'!$B$57,'01_Вводные'!$B$56),0)</f>
        <v/>
      </c>
      <c r="AT3596">
        <f>IF('01_Вводные'!$B$234="Да",'19_Расчет_аналитики'!AT3593*IF('06_Сеть_и_дети'!AT$3&gt;='01_Вводные'!$B$245,'01_Вводные'!$B$57,'01_Вводные'!$B$56),0)</f>
        <v/>
      </c>
      <c r="AU3596">
        <f>IF('01_Вводные'!$B$234="Да",'19_Расчет_аналитики'!AU3593*IF('06_Сеть_и_дети'!AU$3&gt;='01_Вводные'!$B$245,'01_Вводные'!$B$57,'01_Вводные'!$B$56),0)</f>
        <v/>
      </c>
      <c r="AV3596">
        <f>IF('01_Вводные'!$B$234="Да",'19_Расчет_аналитики'!AV3593*IF('06_Сеть_и_дети'!AV$3&gt;='01_Вводные'!$B$245,'01_Вводные'!$B$57,'01_Вводные'!$B$56),0)</f>
        <v/>
      </c>
      <c r="AW3596">
        <f>IF('01_Вводные'!$B$234="Да",'19_Расчет_аналитики'!AW3593*IF('06_Сеть_и_дети'!AW$3&gt;='01_Вводные'!$B$245,'01_Вводные'!$B$57,'01_Вводные'!$B$56),0)</f>
        <v/>
      </c>
      <c r="AX3596">
        <f>IF('01_Вводные'!$B$234="Да",'19_Расчет_аналитики'!AX3593*IF('06_Сеть_и_дети'!AX$3&gt;='01_Вводные'!$B$245,'01_Вводные'!$B$57,'01_Вводные'!$B$56),0)</f>
        <v/>
      </c>
      <c r="AY3596">
        <f>IF('01_Вводные'!$B$234="Да",'19_Расчет_аналитики'!AY3593*IF('06_Сеть_и_дети'!AY$3&gt;='01_Вводные'!$B$245,'01_Вводные'!$B$57,'01_Вводные'!$B$56),0)</f>
        <v/>
      </c>
      <c r="AZ3596">
        <f>IF('01_Вводные'!$B$234="Да",'19_Расчет_аналитики'!AZ3593*IF('06_Сеть_и_дети'!AZ$3&gt;='01_Вводные'!$B$245,'01_Вводные'!$B$57,'01_Вводные'!$B$56),0)</f>
        <v/>
      </c>
      <c r="BA3596">
        <f>IF('01_Вводные'!$B$234="Да",'19_Расчет_аналитики'!BA3593*IF('06_Сеть_и_дети'!BA$3&gt;='01_Вводные'!$B$245,'01_Вводные'!$B$57,'01_Вводные'!$B$56),0)</f>
        <v/>
      </c>
      <c r="BB3596">
        <f>IF('01_Вводные'!$B$234="Да",'19_Расчет_аналитики'!BB3593*IF('06_Сеть_и_дети'!BB$3&gt;='01_Вводные'!$B$245,'01_Вводные'!$B$57,'01_Вводные'!$B$56),0)</f>
        <v/>
      </c>
      <c r="BC3596">
        <f>IF('01_Вводные'!$B$234="Да",'19_Расчет_аналитики'!BC3593*IF('06_Сеть_и_дети'!BC$3&gt;='01_Вводные'!$B$245,'01_Вводные'!$B$57,'01_Вводные'!$B$56),0)</f>
        <v/>
      </c>
      <c r="BD3596">
        <f>IF('01_Вводные'!$B$234="Да",'19_Расчет_аналитики'!BD3593*IF('06_Сеть_и_дети'!BD$3&gt;='01_Вводные'!$B$245,'01_Вводные'!$B$57,'01_Вводные'!$B$56),0)</f>
        <v/>
      </c>
      <c r="BE3596">
        <f>IF('01_Вводные'!$B$234="Да",'19_Расчет_аналитики'!BE3593*IF('06_Сеть_и_дети'!BE$3&gt;='01_Вводные'!$B$245,'01_Вводные'!$B$57,'01_Вводные'!$B$56),0)</f>
        <v/>
      </c>
      <c r="BF3596">
        <f>IF('01_Вводные'!$B$234="Да",'19_Расчет_аналитики'!BF3593*IF('06_Сеть_и_дети'!BF$3&gt;='01_Вводные'!$B$245,'01_Вводные'!$B$57,'01_Вводные'!$B$56),0)</f>
        <v/>
      </c>
      <c r="BG3596">
        <f>IF('01_Вводные'!$B$234="Да",'19_Расчет_аналитики'!BG3593*IF('06_Сеть_и_дети'!BG$3&gt;='01_Вводные'!$B$245,'01_Вводные'!$B$57,'01_Вводные'!$B$56),0)</f>
        <v/>
      </c>
      <c r="BH3596">
        <f>IF('01_Вводные'!$B$234="Да",'19_Расчет_аналитики'!BH3593*IF('06_Сеть_и_дети'!BH$3&gt;='01_Вводные'!$B$245,'01_Вводные'!$B$57,'01_Вводные'!$B$56),0)</f>
        <v/>
      </c>
      <c r="BI3596">
        <f>IF('01_Вводные'!$B$234="Да",'19_Расчет_аналитики'!BI3593*IF('06_Сеть_и_дети'!BI$3&gt;='01_Вводные'!$B$245,'01_Вводные'!$B$57,'01_Вводные'!$B$56),0)</f>
        <v/>
      </c>
      <c r="BJ3596">
        <f>IF('01_Вводные'!$B$234="Да",'19_Расчет_аналитики'!BJ3593*IF('06_Сеть_и_дети'!BJ$3&gt;='01_Вводные'!$B$245,'01_Вводные'!$B$57,'01_Вводные'!$B$56),0)</f>
        <v/>
      </c>
      <c r="BK3596">
        <f>IF('01_Вводные'!$B$234="Да",'19_Расчет_аналитики'!BK3593*IF('06_Сеть_и_дети'!BK$3&gt;='01_Вводные'!$B$245,'01_Вводные'!$B$57,'01_Вводные'!$B$56),0)</f>
        <v/>
      </c>
      <c r="BL3596">
        <f>IF('01_Вводные'!$B$234="Да",'19_Расчет_аналитики'!BL3593*IF('06_Сеть_и_дети'!BL$3&gt;='01_Вводные'!$B$245,'01_Вводные'!$B$57,'01_Вводные'!$B$56),0)</f>
        <v/>
      </c>
      <c r="BM3596">
        <f>IF('01_Вводные'!$B$234="Да",'19_Расчет_аналитики'!BM3593*IF('06_Сеть_и_дети'!BM$3&gt;='01_Вводные'!$B$245,'01_Вводные'!$B$57,'01_Вводные'!$B$56),0)</f>
        <v/>
      </c>
      <c r="BN3596">
        <f>IF('01_Вводные'!$B$234="Да",'19_Расчет_аналитики'!BN3593*IF('06_Сеть_и_дети'!BN$3&gt;='01_Вводные'!$B$245,'01_Вводные'!$B$57,'01_Вводные'!$B$56),0)</f>
        <v/>
      </c>
      <c r="BO3596">
        <f>IF('01_Вводные'!$B$234="Да",'19_Расчет_аналитики'!BO3593*IF('06_Сеть_и_дети'!BO$3&gt;='01_Вводные'!$B$245,'01_Вводные'!$B$57,'01_Вводные'!$B$56),0)</f>
        <v/>
      </c>
    </row>
    <row r="3597">
      <c r="B3597">
        <f>IF('01_Вводные'!$B$234="Да",SUM('19_Расчет_аналитики'!B3444:B3468)-'19_Расчет_аналитики'!B3407,0)</f>
        <v/>
      </c>
      <c r="C3597">
        <f>IF('01_Вводные'!$B$234="Да",SUM('19_Расчет_аналитики'!C3444:C3468)-'19_Расчет_аналитики'!C3407,0)</f>
        <v/>
      </c>
      <c r="D3597">
        <f>IF('01_Вводные'!$B$234="Да",SUM('19_Расчет_аналитики'!D3444:D3468)-'19_Расчет_аналитики'!D3407,0)</f>
        <v/>
      </c>
      <c r="E3597">
        <f>IF('01_Вводные'!$B$234="Да",SUM('19_Расчет_аналитики'!E3444:E3468)-'19_Расчет_аналитики'!E3407,0)</f>
        <v/>
      </c>
      <c r="F3597">
        <f>IF('01_Вводные'!$B$234="Да",SUM('19_Расчет_аналитики'!F3444:F3468)-'19_Расчет_аналитики'!F3407,0)</f>
        <v/>
      </c>
      <c r="G3597">
        <f>IF('01_Вводные'!$B$234="Да",SUM('19_Расчет_аналитики'!G3444:G3468)-'19_Расчет_аналитики'!G3407,0)</f>
        <v/>
      </c>
      <c r="H3597">
        <f>IF('01_Вводные'!$B$234="Да",SUM('19_Расчет_аналитики'!H3444:H3468)-'19_Расчет_аналитики'!H3407,0)</f>
        <v/>
      </c>
      <c r="I3597">
        <f>IF('01_Вводные'!$B$234="Да",SUM('19_Расчет_аналитики'!I3444:I3468)-'19_Расчет_аналитики'!I3407,0)</f>
        <v/>
      </c>
      <c r="J3597">
        <f>IF('01_Вводные'!$B$234="Да",SUM('19_Расчет_аналитики'!J3444:J3468)-'19_Расчет_аналитики'!J3407,0)</f>
        <v/>
      </c>
      <c r="K3597">
        <f>IF('01_Вводные'!$B$234="Да",SUM('19_Расчет_аналитики'!K3444:K3468)-'19_Расчет_аналитики'!K3407,0)</f>
        <v/>
      </c>
      <c r="L3597">
        <f>IF('01_Вводные'!$B$234="Да",SUM('19_Расчет_аналитики'!L3444:L3468)-'19_Расчет_аналитики'!L3407,0)</f>
        <v/>
      </c>
      <c r="M3597">
        <f>IF('01_Вводные'!$B$234="Да",SUM('19_Расчет_аналитики'!M3444:M3468)-'19_Расчет_аналитики'!M3407,0)</f>
        <v/>
      </c>
      <c r="N3597">
        <f>IF('01_Вводные'!$B$234="Да",SUM('19_Расчет_аналитики'!N3444:N3468)-'19_Расчет_аналитики'!N3407,0)</f>
        <v/>
      </c>
      <c r="O3597">
        <f>IF('01_Вводные'!$B$234="Да",SUM('19_Расчет_аналитики'!O3444:O3468)-'19_Расчет_аналитики'!O3407,0)</f>
        <v/>
      </c>
      <c r="P3597">
        <f>IF('01_Вводные'!$B$234="Да",SUM('19_Расчет_аналитики'!P3444:P3468)-'19_Расчет_аналитики'!P3407,0)</f>
        <v/>
      </c>
      <c r="Q3597">
        <f>IF('01_Вводные'!$B$234="Да",SUM('19_Расчет_аналитики'!Q3444:Q3468)-'19_Расчет_аналитики'!Q3407,0)</f>
        <v/>
      </c>
      <c r="R3597">
        <f>IF('01_Вводные'!$B$234="Да",SUM('19_Расчет_аналитики'!R3444:R3468)-'19_Расчет_аналитики'!R3407,0)</f>
        <v/>
      </c>
      <c r="S3597">
        <f>IF('01_Вводные'!$B$234="Да",SUM('19_Расчет_аналитики'!S3444:S3468)-'19_Расчет_аналитики'!S3407,0)</f>
        <v/>
      </c>
      <c r="T3597">
        <f>IF('01_Вводные'!$B$234="Да",SUM('19_Расчет_аналитики'!T3444:T3468)-'19_Расчет_аналитики'!T3407,0)</f>
        <v/>
      </c>
      <c r="U3597">
        <f>IF('01_Вводные'!$B$234="Да",SUM('19_Расчет_аналитики'!U3444:U3468)-'19_Расчет_аналитики'!U3407,0)</f>
        <v/>
      </c>
      <c r="V3597">
        <f>IF('01_Вводные'!$B$234="Да",SUM('19_Расчет_аналитики'!V3444:V3468)-'19_Расчет_аналитики'!V3407,0)</f>
        <v/>
      </c>
      <c r="W3597">
        <f>IF('01_Вводные'!$B$234="Да",SUM('19_Расчет_аналитики'!W3444:W3468)-'19_Расчет_аналитики'!W3407,0)</f>
        <v/>
      </c>
      <c r="X3597">
        <f>IF('01_Вводные'!$B$234="Да",SUM('19_Расчет_аналитики'!X3444:X3468)-'19_Расчет_аналитики'!X3407,0)</f>
        <v/>
      </c>
      <c r="Y3597">
        <f>IF('01_Вводные'!$B$234="Да",SUM('19_Расчет_аналитики'!Y3444:Y3468)-'19_Расчет_аналитики'!Y3407,0)</f>
        <v/>
      </c>
      <c r="Z3597">
        <f>IF('01_Вводные'!$B$234="Да",SUM('19_Расчет_аналитики'!Z3444:Z3468)-'19_Расчет_аналитики'!Z3407,0)</f>
        <v/>
      </c>
      <c r="AA3597">
        <f>IF('01_Вводные'!$B$234="Да",SUM('19_Расчет_аналитики'!AA3444:AA3468)-'19_Расчет_аналитики'!AA3407,0)</f>
        <v/>
      </c>
      <c r="AB3597">
        <f>IF('01_Вводные'!$B$234="Да",SUM('19_Расчет_аналитики'!AB3444:AB3468)-'19_Расчет_аналитики'!AB3407,0)</f>
        <v/>
      </c>
      <c r="AC3597">
        <f>IF('01_Вводные'!$B$234="Да",SUM('19_Расчет_аналитики'!AC3444:AC3468)-'19_Расчет_аналитики'!AC3407,0)</f>
        <v/>
      </c>
      <c r="AD3597">
        <f>IF('01_Вводные'!$B$234="Да",SUM('19_Расчет_аналитики'!AD3444:AD3468)-'19_Расчет_аналитики'!AD3407,0)</f>
        <v/>
      </c>
      <c r="AE3597">
        <f>IF('01_Вводные'!$B$234="Да",SUM('19_Расчет_аналитики'!AE3444:AE3468)-'19_Расчет_аналитики'!AE3407,0)</f>
        <v/>
      </c>
      <c r="AF3597">
        <f>IF('01_Вводные'!$B$234="Да",SUM('19_Расчет_аналитики'!AF3444:AF3468)-'19_Расчет_аналитики'!AF3407,0)</f>
        <v/>
      </c>
      <c r="AG3597">
        <f>IF('01_Вводные'!$B$234="Да",SUM('19_Расчет_аналитики'!AG3444:AG3468)-'19_Расчет_аналитики'!AG3407,0)</f>
        <v/>
      </c>
      <c r="AH3597">
        <f>IF('01_Вводные'!$B$234="Да",SUM('19_Расчет_аналитики'!AH3444:AH3468)-'19_Расчет_аналитики'!AH3407,0)</f>
        <v/>
      </c>
      <c r="AI3597">
        <f>IF('01_Вводные'!$B$234="Да",SUM('19_Расчет_аналитики'!AI3444:AI3468)-'19_Расчет_аналитики'!AI3407,0)</f>
        <v/>
      </c>
      <c r="AJ3597">
        <f>IF('01_Вводные'!$B$234="Да",SUM('19_Расчет_аналитики'!AJ3444:AJ3468)-'19_Расчет_аналитики'!AJ3407,0)</f>
        <v/>
      </c>
      <c r="AK3597">
        <f>IF('01_Вводные'!$B$234="Да",SUM('19_Расчет_аналитики'!AK3444:AK3468)-'19_Расчет_аналитики'!AK3407,0)</f>
        <v/>
      </c>
      <c r="AL3597">
        <f>IF('01_Вводные'!$B$234="Да",SUM('19_Расчет_аналитики'!AL3444:AL3468)-'19_Расчет_аналитики'!AL3407,0)</f>
        <v/>
      </c>
      <c r="AM3597">
        <f>IF('01_Вводные'!$B$234="Да",SUM('19_Расчет_аналитики'!AM3444:AM3468)-'19_Расчет_аналитики'!AM3407,0)</f>
        <v/>
      </c>
      <c r="AN3597">
        <f>IF('01_Вводные'!$B$234="Да",SUM('19_Расчет_аналитики'!AN3444:AN3468)-'19_Расчет_аналитики'!AN3407,0)</f>
        <v/>
      </c>
      <c r="AO3597">
        <f>IF('01_Вводные'!$B$234="Да",SUM('19_Расчет_аналитики'!AO3444:AO3468)-'19_Расчет_аналитики'!AO3407,0)</f>
        <v/>
      </c>
      <c r="AP3597">
        <f>IF('01_Вводные'!$B$234="Да",SUM('19_Расчет_аналитики'!AP3444:AP3468)-'19_Расчет_аналитики'!AP3407,0)</f>
        <v/>
      </c>
      <c r="AQ3597">
        <f>IF('01_Вводные'!$B$234="Да",SUM('19_Расчет_аналитики'!AQ3444:AQ3468)-'19_Расчет_аналитики'!AQ3407,0)</f>
        <v/>
      </c>
      <c r="AR3597">
        <f>IF('01_Вводные'!$B$234="Да",SUM('19_Расчет_аналитики'!AR3444:AR3468)-'19_Расчет_аналитики'!AR3407,0)</f>
        <v/>
      </c>
      <c r="AS3597">
        <f>IF('01_Вводные'!$B$234="Да",SUM('19_Расчет_аналитики'!AS3444:AS3468)-'19_Расчет_аналитики'!AS3407,0)</f>
        <v/>
      </c>
      <c r="AT3597">
        <f>IF('01_Вводные'!$B$234="Да",SUM('19_Расчет_аналитики'!AT3444:AT3468)-'19_Расчет_аналитики'!AT3407,0)</f>
        <v/>
      </c>
      <c r="AU3597">
        <f>IF('01_Вводные'!$B$234="Да",SUM('19_Расчет_аналитики'!AU3444:AU3468)-'19_Расчет_аналитики'!AU3407,0)</f>
        <v/>
      </c>
      <c r="AV3597">
        <f>IF('01_Вводные'!$B$234="Да",SUM('19_Расчет_аналитики'!AV3444:AV3468)-'19_Расчет_аналитики'!AV3407,0)</f>
        <v/>
      </c>
      <c r="AW3597">
        <f>IF('01_Вводные'!$B$234="Да",SUM('19_Расчет_аналитики'!AW3444:AW3468)-'19_Расчет_аналитики'!AW3407,0)</f>
        <v/>
      </c>
      <c r="AX3597">
        <f>IF('01_Вводные'!$B$234="Да",SUM('19_Расчет_аналитики'!AX3444:AX3468)-'19_Расчет_аналитики'!AX3407,0)</f>
        <v/>
      </c>
      <c r="AY3597">
        <f>IF('01_Вводные'!$B$234="Да",SUM('19_Расчет_аналитики'!AY3444:AY3468)-'19_Расчет_аналитики'!AY3407,0)</f>
        <v/>
      </c>
      <c r="AZ3597">
        <f>IF('01_Вводные'!$B$234="Да",SUM('19_Расчет_аналитики'!AZ3444:AZ3468)-'19_Расчет_аналитики'!AZ3407,0)</f>
        <v/>
      </c>
      <c r="BA3597">
        <f>IF('01_Вводные'!$B$234="Да",SUM('19_Расчет_аналитики'!BA3444:BA3468)-'19_Расчет_аналитики'!BA3407,0)</f>
        <v/>
      </c>
      <c r="BB3597">
        <f>IF('01_Вводные'!$B$234="Да",SUM('19_Расчет_аналитики'!BB3444:BB3468)-'19_Расчет_аналитики'!BB3407,0)</f>
        <v/>
      </c>
      <c r="BC3597">
        <f>IF('01_Вводные'!$B$234="Да",SUM('19_Расчет_аналитики'!BC3444:BC3468)-'19_Расчет_аналитики'!BC3407,0)</f>
        <v/>
      </c>
      <c r="BD3597">
        <f>IF('01_Вводные'!$B$234="Да",SUM('19_Расчет_аналитики'!BD3444:BD3468)-'19_Расчет_аналитики'!BD3407,0)</f>
        <v/>
      </c>
      <c r="BE3597">
        <f>IF('01_Вводные'!$B$234="Да",SUM('19_Расчет_аналитики'!BE3444:BE3468)-'19_Расчет_аналитики'!BE3407,0)</f>
        <v/>
      </c>
      <c r="BF3597">
        <f>IF('01_Вводные'!$B$234="Да",SUM('19_Расчет_аналитики'!BF3444:BF3468)-'19_Расчет_аналитики'!BF3407,0)</f>
        <v/>
      </c>
      <c r="BG3597">
        <f>IF('01_Вводные'!$B$234="Да",SUM('19_Расчет_аналитики'!BG3444:BG3468)-'19_Расчет_аналитики'!BG3407,0)</f>
        <v/>
      </c>
      <c r="BH3597">
        <f>IF('01_Вводные'!$B$234="Да",SUM('19_Расчет_аналитики'!BH3444:BH3468)-'19_Расчет_аналитики'!BH3407,0)</f>
        <v/>
      </c>
      <c r="BI3597">
        <f>IF('01_Вводные'!$B$234="Да",SUM('19_Расчет_аналитики'!BI3444:BI3468)-'19_Расчет_аналитики'!BI3407,0)</f>
        <v/>
      </c>
      <c r="BJ3597">
        <f>IF('01_Вводные'!$B$234="Да",SUM('19_Расчет_аналитики'!BJ3444:BJ3468)-'19_Расчет_аналитики'!BJ3407,0)</f>
        <v/>
      </c>
      <c r="BK3597">
        <f>IF('01_Вводные'!$B$234="Да",SUM('19_Расчет_аналитики'!BK3444:BK3468)-'19_Расчет_аналитики'!BK3407,0)</f>
        <v/>
      </c>
      <c r="BL3597">
        <f>IF('01_Вводные'!$B$234="Да",SUM('19_Расчет_аналитики'!BL3444:BL3468)-'19_Расчет_аналитики'!BL3407,0)</f>
        <v/>
      </c>
      <c r="BM3597">
        <f>IF('01_Вводные'!$B$234="Да",SUM('19_Расчет_аналитики'!BM3444:BM3468)-'19_Расчет_аналитики'!BM3407,0)</f>
        <v/>
      </c>
      <c r="BN3597">
        <f>IF('01_Вводные'!$B$234="Да",SUM('19_Расчет_аналитики'!BN3444:BN3468)-'19_Расчет_аналитики'!BN3407,0)</f>
        <v/>
      </c>
      <c r="BO3597">
        <f>IF('01_Вводные'!$B$234="Да",SUM('19_Расчет_аналитики'!BO3444:BO3468)-'19_Расчет_аналитики'!BO3407,0)</f>
        <v/>
      </c>
    </row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>
      <c r="F3642">
        <f>IF('01_Вводные'!$B$234="Да",'06_Сеть_и_дети'!F19*'19_Расчет_аналитики'!$B$3122*'07_Мерч'!F4,0)</f>
        <v/>
      </c>
      <c r="G3642">
        <f>IF('01_Вводные'!$B$234="Да",'06_Сеть_и_дети'!G19*'19_Расчет_аналитики'!$B$3122*'07_Мерч'!G4,0)</f>
        <v/>
      </c>
      <c r="H3642">
        <f>IF('01_Вводные'!$B$234="Да",'06_Сеть_и_дети'!H19*'19_Расчет_аналитики'!$B$3122*'07_Мерч'!H4,0)</f>
        <v/>
      </c>
      <c r="I3642">
        <f>IF('01_Вводные'!$B$234="Да",'06_Сеть_и_дети'!I19*'19_Расчет_аналитики'!$B$3122*'07_Мерч'!I4,0)</f>
        <v/>
      </c>
      <c r="J3642">
        <f>IF('01_Вводные'!$B$234="Да",'06_Сеть_и_дети'!J19*'19_Расчет_аналитики'!$B$3122*'07_Мерч'!J4,0)</f>
        <v/>
      </c>
      <c r="K3642">
        <f>IF('01_Вводные'!$B$234="Да",'06_Сеть_и_дети'!K19*'19_Расчет_аналитики'!$B$3122*'07_Мерч'!K4,0)</f>
        <v/>
      </c>
      <c r="L3642">
        <f>IF('01_Вводные'!$B$234="Да",'06_Сеть_и_дети'!L19*'19_Расчет_аналитики'!$B$3122*'07_Мерч'!L4,0)</f>
        <v/>
      </c>
      <c r="M3642">
        <f>IF('01_Вводные'!$B$234="Да",'06_Сеть_и_дети'!M19*'19_Расчет_аналитики'!$B$3122*'07_Мерч'!M4,0)</f>
        <v/>
      </c>
      <c r="N3642">
        <f>IF('01_Вводные'!$B$234="Да",'06_Сеть_и_дети'!N19*'19_Расчет_аналитики'!$B$3122*'07_Мерч'!N4,0)</f>
        <v/>
      </c>
      <c r="O3642">
        <f>IF('01_Вводные'!$B$234="Да",'06_Сеть_и_дети'!O19*'19_Расчет_аналитики'!$B$3122*'07_Мерч'!O4,0)</f>
        <v/>
      </c>
      <c r="P3642">
        <f>IF('01_Вводные'!$B$234="Да",'06_Сеть_и_дети'!P19*'19_Расчет_аналитики'!$B$3122*'07_Мерч'!P4,0)</f>
        <v/>
      </c>
      <c r="Q3642">
        <f>IF('01_Вводные'!$B$234="Да",'06_Сеть_и_дети'!Q19*'19_Расчет_аналитики'!$B$3122*'07_Мерч'!Q4,0)</f>
        <v/>
      </c>
      <c r="R3642">
        <f>IF('01_Вводные'!$B$234="Да",'06_Сеть_и_дети'!R19*'19_Расчет_аналитики'!$B$3122*'07_Мерч'!R4,0)</f>
        <v/>
      </c>
      <c r="S3642">
        <f>IF('01_Вводные'!$B$234="Да",'06_Сеть_и_дети'!S19*'19_Расчет_аналитики'!$B$3122*'07_Мерч'!S4,0)</f>
        <v/>
      </c>
      <c r="T3642">
        <f>IF('01_Вводные'!$B$234="Да",'06_Сеть_и_дети'!T19*'19_Расчет_аналитики'!$B$3122*'07_Мерч'!T4,0)</f>
        <v/>
      </c>
      <c r="U3642">
        <f>IF('01_Вводные'!$B$234="Да",'06_Сеть_и_дети'!U19*'19_Расчет_аналитики'!$B$3122*'07_Мерч'!U4,0)</f>
        <v/>
      </c>
      <c r="V3642">
        <f>IF('01_Вводные'!$B$234="Да",'06_Сеть_и_дети'!V19*'19_Расчет_аналитики'!$B$3122*'07_Мерч'!V4,0)</f>
        <v/>
      </c>
      <c r="W3642">
        <f>IF('01_Вводные'!$B$234="Да",'06_Сеть_и_дети'!W19*'19_Расчет_аналитики'!$B$3122*'07_Мерч'!W4,0)</f>
        <v/>
      </c>
      <c r="X3642">
        <f>IF('01_Вводные'!$B$234="Да",'06_Сеть_и_дети'!X19*'19_Расчет_аналитики'!$B$3122*'07_Мерч'!X4,0)</f>
        <v/>
      </c>
      <c r="Y3642">
        <f>IF('01_Вводные'!$B$234="Да",'06_Сеть_и_дети'!Y19*'19_Расчет_аналитики'!$B$3122*'07_Мерч'!Y4,0)</f>
        <v/>
      </c>
      <c r="Z3642">
        <f>IF('01_Вводные'!$B$234="Да",'06_Сеть_и_дети'!Z19*'19_Расчет_аналитики'!$B$3122*'07_Мерч'!Z4,0)</f>
        <v/>
      </c>
      <c r="AA3642">
        <f>IF('01_Вводные'!$B$234="Да",'06_Сеть_и_дети'!AA19*'19_Расчет_аналитики'!$B$3122*'07_Мерч'!AA4,0)</f>
        <v/>
      </c>
      <c r="AB3642">
        <f>IF('01_Вводные'!$B$234="Да",'06_Сеть_и_дети'!AB19*'19_Расчет_аналитики'!$B$3122*'07_Мерч'!AB4,0)</f>
        <v/>
      </c>
      <c r="AC3642">
        <f>IF('01_Вводные'!$B$234="Да",'06_Сеть_и_дети'!AC19*'19_Расчет_аналитики'!$B$3122*'07_Мерч'!AC4,0)</f>
        <v/>
      </c>
      <c r="AD3642">
        <f>IF('01_Вводные'!$B$234="Да",'06_Сеть_и_дети'!AD19*'19_Расчет_аналитики'!$B$3122*'07_Мерч'!AD4,0)</f>
        <v/>
      </c>
      <c r="AE3642">
        <f>IF('01_Вводные'!$B$234="Да",'06_Сеть_и_дети'!AE19*'19_Расчет_аналитики'!$B$3122*'07_Мерч'!AE4,0)</f>
        <v/>
      </c>
      <c r="AF3642">
        <f>IF('01_Вводные'!$B$234="Да",'06_Сеть_и_дети'!AF19*'19_Расчет_аналитики'!$B$3122*'07_Мерч'!AF4,0)</f>
        <v/>
      </c>
      <c r="AG3642">
        <f>IF('01_Вводные'!$B$234="Да",'06_Сеть_и_дети'!AG19*'19_Расчет_аналитики'!$B$3122*'07_Мерч'!AG4,0)</f>
        <v/>
      </c>
      <c r="AH3642">
        <f>IF('01_Вводные'!$B$234="Да",'06_Сеть_и_дети'!AH19*'19_Расчет_аналитики'!$B$3122*'07_Мерч'!AH4,0)</f>
        <v/>
      </c>
      <c r="AI3642">
        <f>IF('01_Вводные'!$B$234="Да",'06_Сеть_и_дети'!AI19*'19_Расчет_аналитики'!$B$3122*'07_Мерч'!AI4,0)</f>
        <v/>
      </c>
      <c r="AJ3642">
        <f>IF('01_Вводные'!$B$234="Да",'06_Сеть_и_дети'!AJ19*'19_Расчет_аналитики'!$B$3122*'07_Мерч'!AJ4,0)</f>
        <v/>
      </c>
      <c r="AK3642">
        <f>IF('01_Вводные'!$B$234="Да",'06_Сеть_и_дети'!AK19*'19_Расчет_аналитики'!$B$3122*'07_Мерч'!AK4,0)</f>
        <v/>
      </c>
      <c r="AL3642">
        <f>IF('01_Вводные'!$B$234="Да",'06_Сеть_и_дети'!AL19*'19_Расчет_аналитики'!$B$3122*'07_Мерч'!AL4,0)</f>
        <v/>
      </c>
      <c r="AM3642">
        <f>IF('01_Вводные'!$B$234="Да",'06_Сеть_и_дети'!AM19*'19_Расчет_аналитики'!$B$3122*'07_Мерч'!AM4,0)</f>
        <v/>
      </c>
      <c r="AN3642">
        <f>IF('01_Вводные'!$B$234="Да",'06_Сеть_и_дети'!AN19*'19_Расчет_аналитики'!$B$3122*'07_Мерч'!AN4,0)</f>
        <v/>
      </c>
      <c r="AO3642">
        <f>IF('01_Вводные'!$B$234="Да",'06_Сеть_и_дети'!AO19*'19_Расчет_аналитики'!$B$3122*'07_Мерч'!AO4,0)</f>
        <v/>
      </c>
      <c r="AP3642">
        <f>IF('01_Вводные'!$B$234="Да",'06_Сеть_и_дети'!AP19*'19_Расчет_аналитики'!$B$3122*'07_Мерч'!AP4,0)</f>
        <v/>
      </c>
      <c r="AQ3642">
        <f>IF('01_Вводные'!$B$234="Да",'06_Сеть_и_дети'!AQ19*'19_Расчет_аналитики'!$B$3122*'07_Мерч'!AQ4,0)</f>
        <v/>
      </c>
      <c r="AR3642">
        <f>IF('01_Вводные'!$B$234="Да",'06_Сеть_и_дети'!AR19*'19_Расчет_аналитики'!$B$3122*'07_Мерч'!AR4,0)</f>
        <v/>
      </c>
      <c r="AS3642">
        <f>IF('01_Вводные'!$B$234="Да",'06_Сеть_и_дети'!AS19*'19_Расчет_аналитики'!$B$3122*'07_Мерч'!AS4,0)</f>
        <v/>
      </c>
      <c r="AT3642">
        <f>IF('01_Вводные'!$B$234="Да",'06_Сеть_и_дети'!AT19*'19_Расчет_аналитики'!$B$3122*'07_Мерч'!AT4,0)</f>
        <v/>
      </c>
      <c r="AU3642">
        <f>IF('01_Вводные'!$B$234="Да",'06_Сеть_и_дети'!AU19*'19_Расчет_аналитики'!$B$3122*'07_Мерч'!AU4,0)</f>
        <v/>
      </c>
      <c r="AV3642">
        <f>IF('01_Вводные'!$B$234="Да",'06_Сеть_и_дети'!AV19*'19_Расчет_аналитики'!$B$3122*'07_Мерч'!AV4,0)</f>
        <v/>
      </c>
      <c r="AW3642">
        <f>IF('01_Вводные'!$B$234="Да",'06_Сеть_и_дети'!AW19*'19_Расчет_аналитики'!$B$3122*'07_Мерч'!AW4,0)</f>
        <v/>
      </c>
      <c r="AX3642">
        <f>IF('01_Вводные'!$B$234="Да",'06_Сеть_и_дети'!AX19*'19_Расчет_аналитики'!$B$3122*'07_Мерч'!AX4,0)</f>
        <v/>
      </c>
      <c r="AY3642">
        <f>IF('01_Вводные'!$B$234="Да",'06_Сеть_и_дети'!AY19*'19_Расчет_аналитики'!$B$3122*'07_Мерч'!AY4,0)</f>
        <v/>
      </c>
      <c r="AZ3642">
        <f>IF('01_Вводные'!$B$234="Да",'06_Сеть_и_дети'!AZ19*'19_Расчет_аналитики'!$B$3122*'07_Мерч'!AZ4,0)</f>
        <v/>
      </c>
      <c r="BA3642">
        <f>IF('01_Вводные'!$B$234="Да",'06_Сеть_и_дети'!BA19*'19_Расчет_аналитики'!$B$3122*'07_Мерч'!BA4,0)</f>
        <v/>
      </c>
      <c r="BB3642">
        <f>IF('01_Вводные'!$B$234="Да",'06_Сеть_и_дети'!BB19*'19_Расчет_аналитики'!$B$3122*'07_Мерч'!BB4,0)</f>
        <v/>
      </c>
      <c r="BC3642">
        <f>IF('01_Вводные'!$B$234="Да",'06_Сеть_и_дети'!BC19*'19_Расчет_аналитики'!$B$3122*'07_Мерч'!BC4,0)</f>
        <v/>
      </c>
      <c r="BD3642">
        <f>IF('01_Вводные'!$B$234="Да",'06_Сеть_и_дети'!BD19*'19_Расчет_аналитики'!$B$3122*'07_Мерч'!BD4,0)</f>
        <v/>
      </c>
      <c r="BE3642">
        <f>IF('01_Вводные'!$B$234="Да",'06_Сеть_и_дети'!BE19*'19_Расчет_аналитики'!$B$3122*'07_Мерч'!BE4,0)</f>
        <v/>
      </c>
      <c r="BF3642">
        <f>IF('01_Вводные'!$B$234="Да",'06_Сеть_и_дети'!BF19*'19_Расчет_аналитики'!$B$3122*'07_Мерч'!BF4,0)</f>
        <v/>
      </c>
      <c r="BG3642">
        <f>IF('01_Вводные'!$B$234="Да",'06_Сеть_и_дети'!BG19*'19_Расчет_аналитики'!$B$3122*'07_Мерч'!BG4,0)</f>
        <v/>
      </c>
      <c r="BH3642">
        <f>IF('01_Вводные'!$B$234="Да",'06_Сеть_и_дети'!BH19*'19_Расчет_аналитики'!$B$3122*'07_Мерч'!BH4,0)</f>
        <v/>
      </c>
      <c r="BI3642">
        <f>IF('01_Вводные'!$B$234="Да",'06_Сеть_и_дети'!BI19*'19_Расчет_аналитики'!$B$3122*'07_Мерч'!BI4,0)</f>
        <v/>
      </c>
      <c r="BJ3642">
        <f>IF('01_Вводные'!$B$234="Да",'06_Сеть_и_дети'!BJ19*'19_Расчет_аналитики'!$B$3122*'07_Мерч'!BJ4,0)</f>
        <v/>
      </c>
      <c r="BK3642">
        <f>IF('01_Вводные'!$B$234="Да",'06_Сеть_и_дети'!BK19*'19_Расчет_аналитики'!$B$3122*'07_Мерч'!BK4,0)</f>
        <v/>
      </c>
      <c r="BL3642">
        <f>IF('01_Вводные'!$B$234="Да",'06_Сеть_и_дети'!BL19*'19_Расчет_аналитики'!$B$3122*'07_Мерч'!BL4,0)</f>
        <v/>
      </c>
      <c r="BM3642">
        <f>IF('01_Вводные'!$B$234="Да",'06_Сеть_и_дети'!BM19*'19_Расчет_аналитики'!$B$3122*'07_Мерч'!BM4,0)</f>
        <v/>
      </c>
      <c r="BN3642">
        <f>IF('01_Вводные'!$B$234="Да",'06_Сеть_и_дети'!BN19*'19_Расчет_аналитики'!$B$3122*'07_Мерч'!BN4,0)</f>
        <v/>
      </c>
      <c r="BO3642">
        <f>IF('01_Вводные'!$B$234="Да",'06_Сеть_и_дети'!BO19*'19_Расчет_аналитики'!$B$3122*'07_Мерч'!BO4,0)</f>
        <v/>
      </c>
    </row>
    <row r="3643">
      <c r="F3643">
        <f>IF('01_Вводные'!$B$234="Да",'19_Расчет_аналитики'!F3642*'18_Календарь_тарифы'!F10,0)</f>
        <v/>
      </c>
      <c r="G3643">
        <f>IF('01_Вводные'!$B$234="Да",'19_Расчет_аналитики'!G3642*'18_Календарь_тарифы'!G10,0)</f>
        <v/>
      </c>
      <c r="H3643">
        <f>IF('01_Вводные'!$B$234="Да",'19_Расчет_аналитики'!H3642*'18_Календарь_тарифы'!H10,0)</f>
        <v/>
      </c>
      <c r="I3643">
        <f>IF('01_Вводные'!$B$234="Да",'19_Расчет_аналитики'!I3642*'18_Календарь_тарифы'!I10,0)</f>
        <v/>
      </c>
      <c r="J3643">
        <f>IF('01_Вводные'!$B$234="Да",'19_Расчет_аналитики'!J3642*'18_Календарь_тарифы'!J10,0)</f>
        <v/>
      </c>
      <c r="K3643">
        <f>IF('01_Вводные'!$B$234="Да",'19_Расчет_аналитики'!K3642*'18_Календарь_тарифы'!K10,0)</f>
        <v/>
      </c>
      <c r="L3643">
        <f>IF('01_Вводные'!$B$234="Да",'19_Расчет_аналитики'!L3642*'18_Календарь_тарифы'!L10,0)</f>
        <v/>
      </c>
      <c r="M3643">
        <f>IF('01_Вводные'!$B$234="Да",'19_Расчет_аналитики'!M3642*'18_Календарь_тарифы'!M10,0)</f>
        <v/>
      </c>
      <c r="N3643">
        <f>IF('01_Вводные'!$B$234="Да",'19_Расчет_аналитики'!N3642*'18_Календарь_тарифы'!N10,0)</f>
        <v/>
      </c>
      <c r="O3643">
        <f>IF('01_Вводные'!$B$234="Да",'19_Расчет_аналитики'!O3642*'18_Календарь_тарифы'!O10,0)</f>
        <v/>
      </c>
      <c r="P3643">
        <f>IF('01_Вводные'!$B$234="Да",'19_Расчет_аналитики'!P3642*'18_Календарь_тарифы'!P10,0)</f>
        <v/>
      </c>
      <c r="Q3643">
        <f>IF('01_Вводные'!$B$234="Да",'19_Расчет_аналитики'!Q3642*'18_Календарь_тарифы'!Q10,0)</f>
        <v/>
      </c>
      <c r="R3643">
        <f>IF('01_Вводные'!$B$234="Да",'19_Расчет_аналитики'!R3642*'18_Календарь_тарифы'!R10,0)</f>
        <v/>
      </c>
      <c r="S3643">
        <f>IF('01_Вводные'!$B$234="Да",'19_Расчет_аналитики'!S3642*'18_Календарь_тарифы'!S10,0)</f>
        <v/>
      </c>
      <c r="T3643">
        <f>IF('01_Вводные'!$B$234="Да",'19_Расчет_аналитики'!T3642*'18_Календарь_тарифы'!T10,0)</f>
        <v/>
      </c>
      <c r="U3643">
        <f>IF('01_Вводные'!$B$234="Да",'19_Расчет_аналитики'!U3642*'18_Календарь_тарифы'!U10,0)</f>
        <v/>
      </c>
      <c r="V3643">
        <f>IF('01_Вводные'!$B$234="Да",'19_Расчет_аналитики'!V3642*'18_Календарь_тарифы'!V10,0)</f>
        <v/>
      </c>
      <c r="W3643">
        <f>IF('01_Вводные'!$B$234="Да",'19_Расчет_аналитики'!W3642*'18_Календарь_тарифы'!W10,0)</f>
        <v/>
      </c>
      <c r="X3643">
        <f>IF('01_Вводные'!$B$234="Да",'19_Расчет_аналитики'!X3642*'18_Календарь_тарифы'!X10,0)</f>
        <v/>
      </c>
      <c r="Y3643">
        <f>IF('01_Вводные'!$B$234="Да",'19_Расчет_аналитики'!Y3642*'18_Календарь_тарифы'!Y10,0)</f>
        <v/>
      </c>
      <c r="Z3643">
        <f>IF('01_Вводные'!$B$234="Да",'19_Расчет_аналитики'!Z3642*'18_Календарь_тарифы'!Z10,0)</f>
        <v/>
      </c>
      <c r="AA3643">
        <f>IF('01_Вводные'!$B$234="Да",'19_Расчет_аналитики'!AA3642*'18_Календарь_тарифы'!AA10,0)</f>
        <v/>
      </c>
      <c r="AB3643">
        <f>IF('01_Вводные'!$B$234="Да",'19_Расчет_аналитики'!AB3642*'18_Календарь_тарифы'!AB10,0)</f>
        <v/>
      </c>
      <c r="AC3643">
        <f>IF('01_Вводные'!$B$234="Да",'19_Расчет_аналитики'!AC3642*'18_Календарь_тарифы'!AC10,0)</f>
        <v/>
      </c>
      <c r="AD3643">
        <f>IF('01_Вводные'!$B$234="Да",'19_Расчет_аналитики'!AD3642*'18_Календарь_тарифы'!AD10,0)</f>
        <v/>
      </c>
      <c r="AE3643">
        <f>IF('01_Вводные'!$B$234="Да",'19_Расчет_аналитики'!AE3642*'18_Календарь_тарифы'!AE10,0)</f>
        <v/>
      </c>
      <c r="AF3643">
        <f>IF('01_Вводные'!$B$234="Да",'19_Расчет_аналитики'!AF3642*'18_Календарь_тарифы'!AF10,0)</f>
        <v/>
      </c>
      <c r="AG3643">
        <f>IF('01_Вводные'!$B$234="Да",'19_Расчет_аналитики'!AG3642*'18_Календарь_тарифы'!AG10,0)</f>
        <v/>
      </c>
      <c r="AH3643">
        <f>IF('01_Вводные'!$B$234="Да",'19_Расчет_аналитики'!AH3642*'18_Календарь_тарифы'!AH10,0)</f>
        <v/>
      </c>
      <c r="AI3643">
        <f>IF('01_Вводные'!$B$234="Да",'19_Расчет_аналитики'!AI3642*'18_Календарь_тарифы'!AI10,0)</f>
        <v/>
      </c>
      <c r="AJ3643">
        <f>IF('01_Вводные'!$B$234="Да",'19_Расчет_аналитики'!AJ3642*'18_Календарь_тарифы'!AJ10,0)</f>
        <v/>
      </c>
      <c r="AK3643">
        <f>IF('01_Вводные'!$B$234="Да",'19_Расчет_аналитики'!AK3642*'18_Календарь_тарифы'!AK10,0)</f>
        <v/>
      </c>
      <c r="AL3643">
        <f>IF('01_Вводные'!$B$234="Да",'19_Расчет_аналитики'!AL3642*'18_Календарь_тарифы'!AL10,0)</f>
        <v/>
      </c>
      <c r="AM3643">
        <f>IF('01_Вводные'!$B$234="Да",'19_Расчет_аналитики'!AM3642*'18_Календарь_тарифы'!AM10,0)</f>
        <v/>
      </c>
      <c r="AN3643">
        <f>IF('01_Вводные'!$B$234="Да",'19_Расчет_аналитики'!AN3642*'18_Календарь_тарифы'!AN10,0)</f>
        <v/>
      </c>
      <c r="AO3643">
        <f>IF('01_Вводные'!$B$234="Да",'19_Расчет_аналитики'!AO3642*'18_Календарь_тарифы'!AO10,0)</f>
        <v/>
      </c>
      <c r="AP3643">
        <f>IF('01_Вводные'!$B$234="Да",'19_Расчет_аналитики'!AP3642*'18_Календарь_тарифы'!AP10,0)</f>
        <v/>
      </c>
      <c r="AQ3643">
        <f>IF('01_Вводные'!$B$234="Да",'19_Расчет_аналитики'!AQ3642*'18_Календарь_тарифы'!AQ10,0)</f>
        <v/>
      </c>
      <c r="AR3643">
        <f>IF('01_Вводные'!$B$234="Да",'19_Расчет_аналитики'!AR3642*'18_Календарь_тарифы'!AR10,0)</f>
        <v/>
      </c>
      <c r="AS3643">
        <f>IF('01_Вводные'!$B$234="Да",'19_Расчет_аналитики'!AS3642*'18_Календарь_тарифы'!AS10,0)</f>
        <v/>
      </c>
      <c r="AT3643">
        <f>IF('01_Вводные'!$B$234="Да",'19_Расчет_аналитики'!AT3642*'18_Календарь_тарифы'!AT10,0)</f>
        <v/>
      </c>
      <c r="AU3643">
        <f>IF('01_Вводные'!$B$234="Да",'19_Расчет_аналитики'!AU3642*'18_Календарь_тарифы'!AU10,0)</f>
        <v/>
      </c>
      <c r="AV3643">
        <f>IF('01_Вводные'!$B$234="Да",'19_Расчет_аналитики'!AV3642*'18_Календарь_тарифы'!AV10,0)</f>
        <v/>
      </c>
      <c r="AW3643">
        <f>IF('01_Вводные'!$B$234="Да",'19_Расчет_аналитики'!AW3642*'18_Календарь_тарифы'!AW10,0)</f>
        <v/>
      </c>
      <c r="AX3643">
        <f>IF('01_Вводные'!$B$234="Да",'19_Расчет_аналитики'!AX3642*'18_Календарь_тарифы'!AX10,0)</f>
        <v/>
      </c>
      <c r="AY3643">
        <f>IF('01_Вводные'!$B$234="Да",'19_Расчет_аналитики'!AY3642*'18_Календарь_тарифы'!AY10,0)</f>
        <v/>
      </c>
      <c r="AZ3643">
        <f>IF('01_Вводные'!$B$234="Да",'19_Расчет_аналитики'!AZ3642*'18_Календарь_тарифы'!AZ10,0)</f>
        <v/>
      </c>
      <c r="BA3643">
        <f>IF('01_Вводные'!$B$234="Да",'19_Расчет_аналитики'!BA3642*'18_Календарь_тарифы'!BA10,0)</f>
        <v/>
      </c>
      <c r="BB3643">
        <f>IF('01_Вводные'!$B$234="Да",'19_Расчет_аналитики'!BB3642*'18_Календарь_тарифы'!BB10,0)</f>
        <v/>
      </c>
      <c r="BC3643">
        <f>IF('01_Вводные'!$B$234="Да",'19_Расчет_аналитики'!BC3642*'18_Календарь_тарифы'!BC10,0)</f>
        <v/>
      </c>
      <c r="BD3643">
        <f>IF('01_Вводные'!$B$234="Да",'19_Расчет_аналитики'!BD3642*'18_Календарь_тарифы'!BD10,0)</f>
        <v/>
      </c>
      <c r="BE3643">
        <f>IF('01_Вводные'!$B$234="Да",'19_Расчет_аналитики'!BE3642*'18_Календарь_тарифы'!BE10,0)</f>
        <v/>
      </c>
      <c r="BF3643">
        <f>IF('01_Вводные'!$B$234="Да",'19_Расчет_аналитики'!BF3642*'18_Календарь_тарифы'!BF10,0)</f>
        <v/>
      </c>
      <c r="BG3643">
        <f>IF('01_Вводные'!$B$234="Да",'19_Расчет_аналитики'!BG3642*'18_Календарь_тарифы'!BG10,0)</f>
        <v/>
      </c>
      <c r="BH3643">
        <f>IF('01_Вводные'!$B$234="Да",'19_Расчет_аналитики'!BH3642*'18_Календарь_тарифы'!BH10,0)</f>
        <v/>
      </c>
      <c r="BI3643">
        <f>IF('01_Вводные'!$B$234="Да",'19_Расчет_аналитики'!BI3642*'18_Календарь_тарифы'!BI10,0)</f>
        <v/>
      </c>
      <c r="BJ3643">
        <f>IF('01_Вводные'!$B$234="Да",'19_Расчет_аналитики'!BJ3642*'18_Календарь_тарифы'!BJ10,0)</f>
        <v/>
      </c>
      <c r="BK3643">
        <f>IF('01_Вводные'!$B$234="Да",'19_Расчет_аналитики'!BK3642*'18_Календарь_тарифы'!BK10,0)</f>
        <v/>
      </c>
      <c r="BL3643">
        <f>IF('01_Вводные'!$B$234="Да",'19_Расчет_аналитики'!BL3642*'18_Календарь_тарифы'!BL10,0)</f>
        <v/>
      </c>
      <c r="BM3643">
        <f>IF('01_Вводные'!$B$234="Да",'19_Расчет_аналитики'!BM3642*'18_Календарь_тарифы'!BM10,0)</f>
        <v/>
      </c>
      <c r="BN3643">
        <f>IF('01_Вводные'!$B$234="Да",'19_Расчет_аналитики'!BN3642*'18_Календарь_тарифы'!BN10,0)</f>
        <v/>
      </c>
      <c r="BO3643">
        <f>IF('01_Вводные'!$B$234="Да",'19_Расчет_аналитики'!BO3642*'18_Календарь_тарифы'!BO10,0)</f>
        <v/>
      </c>
    </row>
    <row r="3644">
      <c r="F3644">
        <f>IF('01_Вводные'!$B$234="Да",'19_Расчет_аналитики'!F3642*'18_Календарь_тарифы'!F9,0)</f>
        <v/>
      </c>
      <c r="G3644">
        <f>IF('01_Вводные'!$B$234="Да",'19_Расчет_аналитики'!G3642*'18_Календарь_тарифы'!G9,0)</f>
        <v/>
      </c>
      <c r="H3644">
        <f>IF('01_Вводные'!$B$234="Да",'19_Расчет_аналитики'!H3642*'18_Календарь_тарифы'!H9,0)</f>
        <v/>
      </c>
      <c r="I3644">
        <f>IF('01_Вводные'!$B$234="Да",'19_Расчет_аналитики'!I3642*'18_Календарь_тарифы'!I9,0)</f>
        <v/>
      </c>
      <c r="J3644">
        <f>IF('01_Вводные'!$B$234="Да",'19_Расчет_аналитики'!J3642*'18_Календарь_тарифы'!J9,0)</f>
        <v/>
      </c>
      <c r="K3644">
        <f>IF('01_Вводные'!$B$234="Да",'19_Расчет_аналитики'!K3642*'18_Календарь_тарифы'!K9,0)</f>
        <v/>
      </c>
      <c r="L3644">
        <f>IF('01_Вводные'!$B$234="Да",'19_Расчет_аналитики'!L3642*'18_Календарь_тарифы'!L9,0)</f>
        <v/>
      </c>
      <c r="M3644">
        <f>IF('01_Вводные'!$B$234="Да",'19_Расчет_аналитики'!M3642*'18_Календарь_тарифы'!M9,0)</f>
        <v/>
      </c>
      <c r="N3644">
        <f>IF('01_Вводные'!$B$234="Да",'19_Расчет_аналитики'!N3642*'18_Календарь_тарифы'!N9,0)</f>
        <v/>
      </c>
      <c r="O3644">
        <f>IF('01_Вводные'!$B$234="Да",'19_Расчет_аналитики'!O3642*'18_Календарь_тарифы'!O9,0)</f>
        <v/>
      </c>
      <c r="P3644">
        <f>IF('01_Вводные'!$B$234="Да",'19_Расчет_аналитики'!P3642*'18_Календарь_тарифы'!P9,0)</f>
        <v/>
      </c>
      <c r="Q3644">
        <f>IF('01_Вводные'!$B$234="Да",'19_Расчет_аналитики'!Q3642*'18_Календарь_тарифы'!Q9,0)</f>
        <v/>
      </c>
      <c r="R3644">
        <f>IF('01_Вводные'!$B$234="Да",'19_Расчет_аналитики'!R3642*'18_Календарь_тарифы'!R9,0)</f>
        <v/>
      </c>
      <c r="S3644">
        <f>IF('01_Вводные'!$B$234="Да",'19_Расчет_аналитики'!S3642*'18_Календарь_тарифы'!S9,0)</f>
        <v/>
      </c>
      <c r="T3644">
        <f>IF('01_Вводные'!$B$234="Да",'19_Расчет_аналитики'!T3642*'18_Календарь_тарифы'!T9,0)</f>
        <v/>
      </c>
      <c r="U3644">
        <f>IF('01_Вводные'!$B$234="Да",'19_Расчет_аналитики'!U3642*'18_Календарь_тарифы'!U9,0)</f>
        <v/>
      </c>
      <c r="V3644">
        <f>IF('01_Вводные'!$B$234="Да",'19_Расчет_аналитики'!V3642*'18_Календарь_тарифы'!V9,0)</f>
        <v/>
      </c>
      <c r="W3644">
        <f>IF('01_Вводные'!$B$234="Да",'19_Расчет_аналитики'!W3642*'18_Календарь_тарифы'!W9,0)</f>
        <v/>
      </c>
      <c r="X3644">
        <f>IF('01_Вводные'!$B$234="Да",'19_Расчет_аналитики'!X3642*'18_Календарь_тарифы'!X9,0)</f>
        <v/>
      </c>
      <c r="Y3644">
        <f>IF('01_Вводные'!$B$234="Да",'19_Расчет_аналитики'!Y3642*'18_Календарь_тарифы'!Y9,0)</f>
        <v/>
      </c>
      <c r="Z3644">
        <f>IF('01_Вводные'!$B$234="Да",'19_Расчет_аналитики'!Z3642*'18_Календарь_тарифы'!Z9,0)</f>
        <v/>
      </c>
      <c r="AA3644">
        <f>IF('01_Вводные'!$B$234="Да",'19_Расчет_аналитики'!AA3642*'18_Календарь_тарифы'!AA9,0)</f>
        <v/>
      </c>
      <c r="AB3644">
        <f>IF('01_Вводные'!$B$234="Да",'19_Расчет_аналитики'!AB3642*'18_Календарь_тарифы'!AB9,0)</f>
        <v/>
      </c>
      <c r="AC3644">
        <f>IF('01_Вводные'!$B$234="Да",'19_Расчет_аналитики'!AC3642*'18_Календарь_тарифы'!AC9,0)</f>
        <v/>
      </c>
      <c r="AD3644">
        <f>IF('01_Вводные'!$B$234="Да",'19_Расчет_аналитики'!AD3642*'18_Календарь_тарифы'!AD9,0)</f>
        <v/>
      </c>
      <c r="AE3644">
        <f>IF('01_Вводные'!$B$234="Да",'19_Расчет_аналитики'!AE3642*'18_Календарь_тарифы'!AE9,0)</f>
        <v/>
      </c>
      <c r="AF3644">
        <f>IF('01_Вводные'!$B$234="Да",'19_Расчет_аналитики'!AF3642*'18_Календарь_тарифы'!AF9,0)</f>
        <v/>
      </c>
      <c r="AG3644">
        <f>IF('01_Вводные'!$B$234="Да",'19_Расчет_аналитики'!AG3642*'18_Календарь_тарифы'!AG9,0)</f>
        <v/>
      </c>
      <c r="AH3644">
        <f>IF('01_Вводные'!$B$234="Да",'19_Расчет_аналитики'!AH3642*'18_Календарь_тарифы'!AH9,0)</f>
        <v/>
      </c>
      <c r="AI3644">
        <f>IF('01_Вводные'!$B$234="Да",'19_Расчет_аналитики'!AI3642*'18_Календарь_тарифы'!AI9,0)</f>
        <v/>
      </c>
      <c r="AJ3644">
        <f>IF('01_Вводные'!$B$234="Да",'19_Расчет_аналитики'!AJ3642*'18_Календарь_тарифы'!AJ9,0)</f>
        <v/>
      </c>
      <c r="AK3644">
        <f>IF('01_Вводные'!$B$234="Да",'19_Расчет_аналитики'!AK3642*'18_Календарь_тарифы'!AK9,0)</f>
        <v/>
      </c>
      <c r="AL3644">
        <f>IF('01_Вводные'!$B$234="Да",'19_Расчет_аналитики'!AL3642*'18_Календарь_тарифы'!AL9,0)</f>
        <v/>
      </c>
      <c r="AM3644">
        <f>IF('01_Вводные'!$B$234="Да",'19_Расчет_аналитики'!AM3642*'18_Календарь_тарифы'!AM9,0)</f>
        <v/>
      </c>
      <c r="AN3644">
        <f>IF('01_Вводные'!$B$234="Да",'19_Расчет_аналитики'!AN3642*'18_Календарь_тарифы'!AN9,0)</f>
        <v/>
      </c>
      <c r="AO3644">
        <f>IF('01_Вводные'!$B$234="Да",'19_Расчет_аналитики'!AO3642*'18_Календарь_тарифы'!AO9,0)</f>
        <v/>
      </c>
      <c r="AP3644">
        <f>IF('01_Вводные'!$B$234="Да",'19_Расчет_аналитики'!AP3642*'18_Календарь_тарифы'!AP9,0)</f>
        <v/>
      </c>
      <c r="AQ3644">
        <f>IF('01_Вводные'!$B$234="Да",'19_Расчет_аналитики'!AQ3642*'18_Календарь_тарифы'!AQ9,0)</f>
        <v/>
      </c>
      <c r="AR3644">
        <f>IF('01_Вводные'!$B$234="Да",'19_Расчет_аналитики'!AR3642*'18_Календарь_тарифы'!AR9,0)</f>
        <v/>
      </c>
      <c r="AS3644">
        <f>IF('01_Вводные'!$B$234="Да",'19_Расчет_аналитики'!AS3642*'18_Календарь_тарифы'!AS9,0)</f>
        <v/>
      </c>
      <c r="AT3644">
        <f>IF('01_Вводные'!$B$234="Да",'19_Расчет_аналитики'!AT3642*'18_Календарь_тарифы'!AT9,0)</f>
        <v/>
      </c>
      <c r="AU3644">
        <f>IF('01_Вводные'!$B$234="Да",'19_Расчет_аналитики'!AU3642*'18_Календарь_тарифы'!AU9,0)</f>
        <v/>
      </c>
      <c r="AV3644">
        <f>IF('01_Вводные'!$B$234="Да",'19_Расчет_аналитики'!AV3642*'18_Календарь_тарифы'!AV9,0)</f>
        <v/>
      </c>
      <c r="AW3644">
        <f>IF('01_Вводные'!$B$234="Да",'19_Расчет_аналитики'!AW3642*'18_Календарь_тарифы'!AW9,0)</f>
        <v/>
      </c>
      <c r="AX3644">
        <f>IF('01_Вводные'!$B$234="Да",'19_Расчет_аналитики'!AX3642*'18_Календарь_тарифы'!AX9,0)</f>
        <v/>
      </c>
      <c r="AY3644">
        <f>IF('01_Вводные'!$B$234="Да",'19_Расчет_аналитики'!AY3642*'18_Календарь_тарифы'!AY9,0)</f>
        <v/>
      </c>
      <c r="AZ3644">
        <f>IF('01_Вводные'!$B$234="Да",'19_Расчет_аналитики'!AZ3642*'18_Календарь_тарифы'!AZ9,0)</f>
        <v/>
      </c>
      <c r="BA3644">
        <f>IF('01_Вводные'!$B$234="Да",'19_Расчет_аналитики'!BA3642*'18_Календарь_тарифы'!BA9,0)</f>
        <v/>
      </c>
      <c r="BB3644">
        <f>IF('01_Вводные'!$B$234="Да",'19_Расчет_аналитики'!BB3642*'18_Календарь_тарифы'!BB9,0)</f>
        <v/>
      </c>
      <c r="BC3644">
        <f>IF('01_Вводные'!$B$234="Да",'19_Расчет_аналитики'!BC3642*'18_Календарь_тарифы'!BC9,0)</f>
        <v/>
      </c>
      <c r="BD3644">
        <f>IF('01_Вводные'!$B$234="Да",'19_Расчет_аналитики'!BD3642*'18_Календарь_тарифы'!BD9,0)</f>
        <v/>
      </c>
      <c r="BE3644">
        <f>IF('01_Вводные'!$B$234="Да",'19_Расчет_аналитики'!BE3642*'18_Календарь_тарифы'!BE9,0)</f>
        <v/>
      </c>
      <c r="BF3644">
        <f>IF('01_Вводные'!$B$234="Да",'19_Расчет_аналитики'!BF3642*'18_Календарь_тарифы'!BF9,0)</f>
        <v/>
      </c>
      <c r="BG3644">
        <f>IF('01_Вводные'!$B$234="Да",'19_Расчет_аналитики'!BG3642*'18_Календарь_тарифы'!BG9,0)</f>
        <v/>
      </c>
      <c r="BH3644">
        <f>IF('01_Вводные'!$B$234="Да",'19_Расчет_аналитики'!BH3642*'18_Календарь_тарифы'!BH9,0)</f>
        <v/>
      </c>
      <c r="BI3644">
        <f>IF('01_Вводные'!$B$234="Да",'19_Расчет_аналитики'!BI3642*'18_Календарь_тарифы'!BI9,0)</f>
        <v/>
      </c>
      <c r="BJ3644">
        <f>IF('01_Вводные'!$B$234="Да",'19_Расчет_аналитики'!BJ3642*'18_Календарь_тарифы'!BJ9,0)</f>
        <v/>
      </c>
      <c r="BK3644">
        <f>IF('01_Вводные'!$B$234="Да",'19_Расчет_аналитики'!BK3642*'18_Календарь_тарифы'!BK9,0)</f>
        <v/>
      </c>
      <c r="BL3644">
        <f>IF('01_Вводные'!$B$234="Да",'19_Расчет_аналитики'!BL3642*'18_Календарь_тарифы'!BL9,0)</f>
        <v/>
      </c>
      <c r="BM3644">
        <f>IF('01_Вводные'!$B$234="Да",'19_Расчет_аналитики'!BM3642*'18_Календарь_тарифы'!BM9,0)</f>
        <v/>
      </c>
      <c r="BN3644">
        <f>IF('01_Вводные'!$B$234="Да",'19_Расчет_аналитики'!BN3642*'18_Календарь_тарифы'!BN9,0)</f>
        <v/>
      </c>
      <c r="BO3644">
        <f>IF('01_Вводные'!$B$234="Да",'19_Расчет_аналитики'!BO3642*'18_Календарь_тарифы'!BO9,0)</f>
        <v/>
      </c>
    </row>
    <row r="3645"/>
    <row r="3646">
      <c r="B3646">
        <f>'07_Мерч'!B9</f>
        <v/>
      </c>
      <c r="C3646">
        <f>IF('01_Вводные'!$B$234="Да",('19_Расчет_аналитики'!B3399*'01_Вводные'!$B$87*'01_Вводные'!$B$14^1)*'19_Расчет_аналитики'!$B$3094*'19_Расчет_аналитики'!$B$3122,0)</f>
        <v/>
      </c>
      <c r="D3646">
        <f>IF('01_Вводные'!$B$234="Да",('19_Расчет_аналитики'!C3399*'01_Вводные'!$B$87*'01_Вводные'!$B$14^1+'19_Расчет_аналитики'!B3399*'01_Вводные'!$B$88*'01_Вводные'!$B$14^2)*'19_Расчет_аналитики'!$B$3094*'19_Расчет_аналитики'!$B$3122,0)</f>
        <v/>
      </c>
      <c r="E3646">
        <f>IF('01_Вводные'!$B$234="Да",('19_Расчет_аналитики'!D3399*'01_Вводные'!$B$87*'01_Вводные'!$B$14^1+'19_Расчет_аналитики'!C3399*'01_Вводные'!$B$88*'01_Вводные'!$B$14^2+'19_Расчет_аналитики'!B3399*'01_Вводные'!$B$89*'01_Вводные'!$B$14^3)*'19_Расчет_аналитики'!$B$3094*'19_Расчет_аналитики'!$B$3122,0)</f>
        <v/>
      </c>
      <c r="F3646">
        <f>IF('01_Вводные'!$B$234="Да",('19_Расчет_аналитики'!E3399*'01_Вводные'!$B$87*'01_Вводные'!$B$14^1+'19_Расчет_аналитики'!D3399*'01_Вводные'!$B$88*'01_Вводные'!$B$14^2+'19_Расчет_аналитики'!C3399*'01_Вводные'!$B$89*'01_Вводные'!$B$14^3)*'19_Расчет_аналитики'!$B$3094*'19_Расчет_аналитики'!$B$3122,0)</f>
        <v/>
      </c>
      <c r="G3646">
        <f>IF('01_Вводные'!$B$234="Да",('19_Расчет_аналитики'!F3399*'01_Вводные'!$B$87*'01_Вводные'!$B$14^1+'19_Расчет_аналитики'!E3399*'01_Вводные'!$B$88*'01_Вводные'!$B$14^2+'19_Расчет_аналитики'!D3399*'01_Вводные'!$B$89*'01_Вводные'!$B$14^3)*'19_Расчет_аналитики'!$B$3094*'19_Расчет_аналитики'!$B$3122,0)</f>
        <v/>
      </c>
      <c r="H3646">
        <f>IF('01_Вводные'!$B$234="Да",('19_Расчет_аналитики'!G3399*'01_Вводные'!$B$87*'01_Вводные'!$B$14^1+'19_Расчет_аналитики'!F3399*'01_Вводные'!$B$88*'01_Вводные'!$B$14^2+'19_Расчет_аналитики'!E3399*'01_Вводные'!$B$89*'01_Вводные'!$B$14^3)*'19_Расчет_аналитики'!$B$3094*'19_Расчет_аналитики'!$B$3122,0)</f>
        <v/>
      </c>
      <c r="I3646">
        <f>IF('01_Вводные'!$B$234="Да",('19_Расчет_аналитики'!H3399*'01_Вводные'!$B$87*'01_Вводные'!$B$14^1+'19_Расчет_аналитики'!G3399*'01_Вводные'!$B$88*'01_Вводные'!$B$14^2+'19_Расчет_аналитики'!F3399*'01_Вводные'!$B$89*'01_Вводные'!$B$14^3)*'19_Расчет_аналитики'!$B$3094*'19_Расчет_аналитики'!$B$3122,0)</f>
        <v/>
      </c>
      <c r="J3646">
        <f>IF('01_Вводные'!$B$234="Да",('19_Расчет_аналитики'!I3399*'01_Вводные'!$B$87*'01_Вводные'!$B$14^1+'19_Расчет_аналитики'!H3399*'01_Вводные'!$B$88*'01_Вводные'!$B$14^2+'19_Расчет_аналитики'!G3399*'01_Вводные'!$B$89*'01_Вводные'!$B$14^3)*'19_Расчет_аналитики'!$B$3094*'19_Расчет_аналитики'!$B$3122,0)</f>
        <v/>
      </c>
      <c r="K3646">
        <f>IF('01_Вводные'!$B$234="Да",('19_Расчет_аналитики'!J3399*'01_Вводные'!$B$87*'01_Вводные'!$B$14^1+'19_Расчет_аналитики'!I3399*'01_Вводные'!$B$88*'01_Вводные'!$B$14^2+'19_Расчет_аналитики'!H3399*'01_Вводные'!$B$89*'01_Вводные'!$B$14^3)*'19_Расчет_аналитики'!$B$3094*'19_Расчет_аналитики'!$B$3122,0)</f>
        <v/>
      </c>
      <c r="L3646">
        <f>IF('01_Вводные'!$B$234="Да",('19_Расчет_аналитики'!K3399*'01_Вводные'!$B$87*'01_Вводные'!$B$14^1+'19_Расчет_аналитики'!J3399*'01_Вводные'!$B$88*'01_Вводные'!$B$14^2+'19_Расчет_аналитики'!I3399*'01_Вводные'!$B$89*'01_Вводные'!$B$14^3)*'19_Расчет_аналитики'!$B$3094*'19_Расчет_аналитики'!$B$3122,0)</f>
        <v/>
      </c>
      <c r="M3646">
        <f>IF('01_Вводные'!$B$234="Да",('19_Расчет_аналитики'!L3399*'01_Вводные'!$B$87*'01_Вводные'!$B$14^1+'19_Расчет_аналитики'!K3399*'01_Вводные'!$B$88*'01_Вводные'!$B$14^2+'19_Расчет_аналитики'!J3399*'01_Вводные'!$B$89*'01_Вводные'!$B$14^3)*'19_Расчет_аналитики'!$B$3094*'19_Расчет_аналитики'!$B$3122,0)</f>
        <v/>
      </c>
      <c r="N3646">
        <f>IF('01_Вводные'!$B$234="Да",('19_Расчет_аналитики'!M3399*'01_Вводные'!$B$87*'01_Вводные'!$B$14^1+'19_Расчет_аналитики'!L3399*'01_Вводные'!$B$88*'01_Вводные'!$B$14^2+'19_Расчет_аналитики'!K3399*'01_Вводные'!$B$89*'01_Вводные'!$B$14^3)*'19_Расчет_аналитики'!$B$3094*'19_Расчет_аналитики'!$B$3122,0)</f>
        <v/>
      </c>
      <c r="O3646">
        <f>IF('01_Вводные'!$B$234="Да",('19_Расчет_аналитики'!N3399*'01_Вводные'!$B$87*'01_Вводные'!$B$14^1+'19_Расчет_аналитики'!M3399*'01_Вводные'!$B$88*'01_Вводные'!$B$14^2+'19_Расчет_аналитики'!L3399*'01_Вводные'!$B$89*'01_Вводные'!$B$14^3)*'19_Расчет_аналитики'!$B$3094*'19_Расчет_аналитики'!$B$3122,0)</f>
        <v/>
      </c>
      <c r="P3646">
        <f>IF('01_Вводные'!$B$234="Да",('19_Расчет_аналитики'!O3399*'01_Вводные'!$B$87*'01_Вводные'!$B$14^1+'19_Расчет_аналитики'!N3399*'01_Вводные'!$B$88*'01_Вводные'!$B$14^2+'19_Расчет_аналитики'!M3399*'01_Вводные'!$B$89*'01_Вводные'!$B$14^3)*'19_Расчет_аналитики'!$B$3094*'19_Расчет_аналитики'!$B$3122,0)</f>
        <v/>
      </c>
      <c r="Q3646">
        <f>IF('01_Вводные'!$B$234="Да",('19_Расчет_аналитики'!P3399*'01_Вводные'!$B$87*'01_Вводные'!$B$14^1+'19_Расчет_аналитики'!O3399*'01_Вводные'!$B$88*'01_Вводные'!$B$14^2+'19_Расчет_аналитики'!N3399*'01_Вводные'!$B$89*'01_Вводные'!$B$14^3)*'19_Расчет_аналитики'!$B$3094*'19_Расчет_аналитики'!$B$3122,0)</f>
        <v/>
      </c>
      <c r="R3646">
        <f>IF('01_Вводные'!$B$234="Да",('19_Расчет_аналитики'!Q3399*'01_Вводные'!$B$87*'01_Вводные'!$B$14^1+'19_Расчет_аналитики'!P3399*'01_Вводные'!$B$88*'01_Вводные'!$B$14^2+'19_Расчет_аналитики'!O3399*'01_Вводные'!$B$89*'01_Вводные'!$B$14^3)*'19_Расчет_аналитики'!$B$3094*'19_Расчет_аналитики'!$B$3122,0)</f>
        <v/>
      </c>
      <c r="S3646">
        <f>IF('01_Вводные'!$B$234="Да",('19_Расчет_аналитики'!R3399*'01_Вводные'!$B$87*'01_Вводные'!$B$14^1+'19_Расчет_аналитики'!Q3399*'01_Вводные'!$B$88*'01_Вводные'!$B$14^2+'19_Расчет_аналитики'!P3399*'01_Вводные'!$B$89*'01_Вводные'!$B$14^3)*'19_Расчет_аналитики'!$B$3094*'19_Расчет_аналитики'!$B$3122,0)</f>
        <v/>
      </c>
      <c r="T3646">
        <f>IF('01_Вводные'!$B$234="Да",('19_Расчет_аналитики'!S3399*'01_Вводные'!$B$87*'01_Вводные'!$B$14^1+'19_Расчет_аналитики'!R3399*'01_Вводные'!$B$88*'01_Вводные'!$B$14^2+'19_Расчет_аналитики'!Q3399*'01_Вводные'!$B$89*'01_Вводные'!$B$14^3)*'19_Расчет_аналитики'!$B$3094*'19_Расчет_аналитики'!$B$3122,0)</f>
        <v/>
      </c>
      <c r="U3646">
        <f>IF('01_Вводные'!$B$234="Да",('19_Расчет_аналитики'!T3399*'01_Вводные'!$B$87*'01_Вводные'!$B$14^1+'19_Расчет_аналитики'!S3399*'01_Вводные'!$B$88*'01_Вводные'!$B$14^2+'19_Расчет_аналитики'!R3399*'01_Вводные'!$B$89*'01_Вводные'!$B$14^3)*'19_Расчет_аналитики'!$B$3094*'19_Расчет_аналитики'!$B$3122,0)</f>
        <v/>
      </c>
      <c r="V3646">
        <f>IF('01_Вводные'!$B$234="Да",('19_Расчет_аналитики'!U3399*'01_Вводные'!$B$87*'01_Вводные'!$B$14^1+'19_Расчет_аналитики'!T3399*'01_Вводные'!$B$88*'01_Вводные'!$B$14^2+'19_Расчет_аналитики'!S3399*'01_Вводные'!$B$89*'01_Вводные'!$B$14^3)*'19_Расчет_аналитики'!$B$3094*'19_Расчет_аналитики'!$B$3122,0)</f>
        <v/>
      </c>
      <c r="W3646">
        <f>IF('01_Вводные'!$B$234="Да",('19_Расчет_аналитики'!V3399*'01_Вводные'!$B$87*'01_Вводные'!$B$14^1+'19_Расчет_аналитики'!U3399*'01_Вводные'!$B$88*'01_Вводные'!$B$14^2+'19_Расчет_аналитики'!T3399*'01_Вводные'!$B$89*'01_Вводные'!$B$14^3)*'19_Расчет_аналитики'!$B$3094*'19_Расчет_аналитики'!$B$3122,0)</f>
        <v/>
      </c>
      <c r="X3646">
        <f>IF('01_Вводные'!$B$234="Да",('19_Расчет_аналитики'!W3399*'01_Вводные'!$B$87*'01_Вводные'!$B$14^1+'19_Расчет_аналитики'!V3399*'01_Вводные'!$B$88*'01_Вводные'!$B$14^2+'19_Расчет_аналитики'!U3399*'01_Вводные'!$B$89*'01_Вводные'!$B$14^3)*'19_Расчет_аналитики'!$B$3094*'19_Расчет_аналитики'!$B$3122,0)</f>
        <v/>
      </c>
      <c r="Y3646">
        <f>IF('01_Вводные'!$B$234="Да",('19_Расчет_аналитики'!X3399*'01_Вводные'!$B$87*'01_Вводные'!$B$14^1+'19_Расчет_аналитики'!W3399*'01_Вводные'!$B$88*'01_Вводные'!$B$14^2+'19_Расчет_аналитики'!V3399*'01_Вводные'!$B$89*'01_Вводные'!$B$14^3)*'19_Расчет_аналитики'!$B$3094*'19_Расчет_аналитики'!$B$3122,0)</f>
        <v/>
      </c>
      <c r="Z3646">
        <f>IF('01_Вводные'!$B$234="Да",('19_Расчет_аналитики'!Y3399*'01_Вводные'!$B$87*'01_Вводные'!$B$14^1+'19_Расчет_аналитики'!X3399*'01_Вводные'!$B$88*'01_Вводные'!$B$14^2+'19_Расчет_аналитики'!W3399*'01_Вводные'!$B$89*'01_Вводные'!$B$14^3)*'19_Расчет_аналитики'!$B$3094*'19_Расчет_аналитики'!$B$3122,0)</f>
        <v/>
      </c>
      <c r="AA3646">
        <f>IF('01_Вводные'!$B$234="Да",('19_Расчет_аналитики'!Z3399*'01_Вводные'!$B$87*'01_Вводные'!$B$14^1+'19_Расчет_аналитики'!Y3399*'01_Вводные'!$B$88*'01_Вводные'!$B$14^2+'19_Расчет_аналитики'!X3399*'01_Вводные'!$B$89*'01_Вводные'!$B$14^3)*'19_Расчет_аналитики'!$B$3094*'19_Расчет_аналитики'!$B$3122,0)</f>
        <v/>
      </c>
      <c r="AB3646">
        <f>IF('01_Вводные'!$B$234="Да",('19_Расчет_аналитики'!AA3399*'01_Вводные'!$B$87*'01_Вводные'!$B$14^1+'19_Расчет_аналитики'!Z3399*'01_Вводные'!$B$88*'01_Вводные'!$B$14^2+'19_Расчет_аналитики'!Y3399*'01_Вводные'!$B$89*'01_Вводные'!$B$14^3)*'19_Расчет_аналитики'!$B$3094*'19_Расчет_аналитики'!$B$3122,0)</f>
        <v/>
      </c>
      <c r="AC3646">
        <f>IF('01_Вводные'!$B$234="Да",('19_Расчет_аналитики'!AB3399*'01_Вводные'!$B$87*'01_Вводные'!$B$14^1+'19_Расчет_аналитики'!AA3399*'01_Вводные'!$B$88*'01_Вводные'!$B$14^2+'19_Расчет_аналитики'!Z3399*'01_Вводные'!$B$89*'01_Вводные'!$B$14^3)*'19_Расчет_аналитики'!$B$3094*'19_Расчет_аналитики'!$B$3122,0)</f>
        <v/>
      </c>
      <c r="AD3646">
        <f>IF('01_Вводные'!$B$234="Да",('19_Расчет_аналитики'!AC3399*'01_Вводные'!$B$87*'01_Вводные'!$B$14^1+'19_Расчет_аналитики'!AB3399*'01_Вводные'!$B$88*'01_Вводные'!$B$14^2+'19_Расчет_аналитики'!AA3399*'01_Вводные'!$B$89*'01_Вводные'!$B$14^3)*'19_Расчет_аналитики'!$B$3094*'19_Расчет_аналитики'!$B$3122,0)</f>
        <v/>
      </c>
      <c r="AE3646">
        <f>IF('01_Вводные'!$B$234="Да",('19_Расчет_аналитики'!AD3399*'01_Вводные'!$B$87*'01_Вводные'!$B$14^1+'19_Расчет_аналитики'!AC3399*'01_Вводные'!$B$88*'01_Вводные'!$B$14^2+'19_Расчет_аналитики'!AB3399*'01_Вводные'!$B$89*'01_Вводные'!$B$14^3)*'19_Расчет_аналитики'!$B$3094*'19_Расчет_аналитики'!$B$3122,0)</f>
        <v/>
      </c>
      <c r="AF3646">
        <f>IF('01_Вводные'!$B$234="Да",('19_Расчет_аналитики'!AE3399*'01_Вводные'!$B$87*'01_Вводные'!$B$14^1+'19_Расчет_аналитики'!AD3399*'01_Вводные'!$B$88*'01_Вводные'!$B$14^2+'19_Расчет_аналитики'!AC3399*'01_Вводные'!$B$89*'01_Вводные'!$B$14^3)*'19_Расчет_аналитики'!$B$3094*'19_Расчет_аналитики'!$B$3122,0)</f>
        <v/>
      </c>
      <c r="AG3646">
        <f>IF('01_Вводные'!$B$234="Да",('19_Расчет_аналитики'!AF3399*'01_Вводные'!$B$87*'01_Вводные'!$B$14^1+'19_Расчет_аналитики'!AE3399*'01_Вводные'!$B$88*'01_Вводные'!$B$14^2+'19_Расчет_аналитики'!AD3399*'01_Вводные'!$B$89*'01_Вводные'!$B$14^3)*'19_Расчет_аналитики'!$B$3094*'19_Расчет_аналитики'!$B$3122,0)</f>
        <v/>
      </c>
      <c r="AH3646">
        <f>IF('01_Вводные'!$B$234="Да",('19_Расчет_аналитики'!AG3399*'01_Вводные'!$B$87*'01_Вводные'!$B$14^1+'19_Расчет_аналитики'!AF3399*'01_Вводные'!$B$88*'01_Вводные'!$B$14^2+'19_Расчет_аналитики'!AE3399*'01_Вводные'!$B$89*'01_Вводные'!$B$14^3)*'19_Расчет_аналитики'!$B$3094*'19_Расчет_аналитики'!$B$3122,0)</f>
        <v/>
      </c>
      <c r="AI3646">
        <f>IF('01_Вводные'!$B$234="Да",('19_Расчет_аналитики'!AH3399*'01_Вводные'!$B$87*'01_Вводные'!$B$14^1+'19_Расчет_аналитики'!AG3399*'01_Вводные'!$B$88*'01_Вводные'!$B$14^2+'19_Расчет_аналитики'!AF3399*'01_Вводные'!$B$89*'01_Вводные'!$B$14^3)*'19_Расчет_аналитики'!$B$3094*'19_Расчет_аналитики'!$B$3122,0)</f>
        <v/>
      </c>
      <c r="AJ3646">
        <f>IF('01_Вводные'!$B$234="Да",('19_Расчет_аналитики'!AI3399*'01_Вводные'!$B$87*'01_Вводные'!$B$14^1+'19_Расчет_аналитики'!AH3399*'01_Вводные'!$B$88*'01_Вводные'!$B$14^2+'19_Расчет_аналитики'!AG3399*'01_Вводные'!$B$89*'01_Вводные'!$B$14^3)*'19_Расчет_аналитики'!$B$3094*'19_Расчет_аналитики'!$B$3122,0)</f>
        <v/>
      </c>
      <c r="AK3646">
        <f>IF('01_Вводные'!$B$234="Да",('19_Расчет_аналитики'!AJ3399*'01_Вводные'!$B$87*'01_Вводные'!$B$14^1+'19_Расчет_аналитики'!AI3399*'01_Вводные'!$B$88*'01_Вводные'!$B$14^2+'19_Расчет_аналитики'!AH3399*'01_Вводные'!$B$89*'01_Вводные'!$B$14^3)*'19_Расчет_аналитики'!$B$3094*'19_Расчет_аналитики'!$B$3122,0)</f>
        <v/>
      </c>
      <c r="AL3646">
        <f>IF('01_Вводные'!$B$234="Да",('19_Расчет_аналитики'!AK3399*'01_Вводные'!$B$87*'01_Вводные'!$B$14^1+'19_Расчет_аналитики'!AJ3399*'01_Вводные'!$B$88*'01_Вводные'!$B$14^2+'19_Расчет_аналитики'!AI3399*'01_Вводные'!$B$89*'01_Вводные'!$B$14^3)*'19_Расчет_аналитики'!$B$3094*'19_Расчет_аналитики'!$B$3122,0)</f>
        <v/>
      </c>
      <c r="AM3646">
        <f>IF('01_Вводные'!$B$234="Да",('19_Расчет_аналитики'!AL3399*'01_Вводные'!$B$87*'01_Вводные'!$B$14^1+'19_Расчет_аналитики'!AK3399*'01_Вводные'!$B$88*'01_Вводные'!$B$14^2+'19_Расчет_аналитики'!AJ3399*'01_Вводные'!$B$89*'01_Вводные'!$B$14^3)*'19_Расчет_аналитики'!$B$3094*'19_Расчет_аналитики'!$B$3122,0)</f>
        <v/>
      </c>
      <c r="AN3646">
        <f>IF('01_Вводные'!$B$234="Да",('19_Расчет_аналитики'!AM3399*'01_Вводные'!$B$87*'01_Вводные'!$B$14^1+'19_Расчет_аналитики'!AL3399*'01_Вводные'!$B$88*'01_Вводные'!$B$14^2+'19_Расчет_аналитики'!AK3399*'01_Вводные'!$B$89*'01_Вводные'!$B$14^3)*'19_Расчет_аналитики'!$B$3094*'19_Расчет_аналитики'!$B$3122,0)</f>
        <v/>
      </c>
      <c r="AO3646">
        <f>IF('01_Вводные'!$B$234="Да",('19_Расчет_аналитики'!AN3399*'01_Вводные'!$B$87*'01_Вводные'!$B$14^1+'19_Расчет_аналитики'!AM3399*'01_Вводные'!$B$88*'01_Вводные'!$B$14^2+'19_Расчет_аналитики'!AL3399*'01_Вводные'!$B$89*'01_Вводные'!$B$14^3)*'19_Расчет_аналитики'!$B$3094*'19_Расчет_аналитики'!$B$3122,0)</f>
        <v/>
      </c>
      <c r="AP3646">
        <f>IF('01_Вводные'!$B$234="Да",('19_Расчет_аналитики'!AO3399*'01_Вводные'!$B$87*'01_Вводные'!$B$14^1+'19_Расчет_аналитики'!AN3399*'01_Вводные'!$B$88*'01_Вводные'!$B$14^2+'19_Расчет_аналитики'!AM3399*'01_Вводные'!$B$89*'01_Вводные'!$B$14^3)*'19_Расчет_аналитики'!$B$3094*'19_Расчет_аналитики'!$B$3122,0)</f>
        <v/>
      </c>
      <c r="AQ3646">
        <f>IF('01_Вводные'!$B$234="Да",('19_Расчет_аналитики'!AP3399*'01_Вводные'!$B$87*'01_Вводные'!$B$14^1+'19_Расчет_аналитики'!AO3399*'01_Вводные'!$B$88*'01_Вводные'!$B$14^2+'19_Расчет_аналитики'!AN3399*'01_Вводные'!$B$89*'01_Вводные'!$B$14^3)*'19_Расчет_аналитики'!$B$3094*'19_Расчет_аналитики'!$B$3122,0)</f>
        <v/>
      </c>
      <c r="AR3646">
        <f>IF('01_Вводные'!$B$234="Да",('19_Расчет_аналитики'!AQ3399*'01_Вводные'!$B$87*'01_Вводные'!$B$14^1+'19_Расчет_аналитики'!AP3399*'01_Вводные'!$B$88*'01_Вводные'!$B$14^2+'19_Расчет_аналитики'!AO3399*'01_Вводные'!$B$89*'01_Вводные'!$B$14^3)*'19_Расчет_аналитики'!$B$3094*'19_Расчет_аналитики'!$B$3122,0)</f>
        <v/>
      </c>
      <c r="AS3646">
        <f>IF('01_Вводные'!$B$234="Да",('19_Расчет_аналитики'!AR3399*'01_Вводные'!$B$87*'01_Вводные'!$B$14^1+'19_Расчет_аналитики'!AQ3399*'01_Вводные'!$B$88*'01_Вводные'!$B$14^2+'19_Расчет_аналитики'!AP3399*'01_Вводные'!$B$89*'01_Вводные'!$B$14^3)*'19_Расчет_аналитики'!$B$3094*'19_Расчет_аналитики'!$B$3122,0)</f>
        <v/>
      </c>
      <c r="AT3646">
        <f>IF('01_Вводные'!$B$234="Да",('19_Расчет_аналитики'!AS3399*'01_Вводные'!$B$87*'01_Вводные'!$B$14^1+'19_Расчет_аналитики'!AR3399*'01_Вводные'!$B$88*'01_Вводные'!$B$14^2+'19_Расчет_аналитики'!AQ3399*'01_Вводные'!$B$89*'01_Вводные'!$B$14^3)*'19_Расчет_аналитики'!$B$3094*'19_Расчет_аналитики'!$B$3122,0)</f>
        <v/>
      </c>
      <c r="AU3646">
        <f>IF('01_Вводные'!$B$234="Да",('19_Расчет_аналитики'!AT3399*'01_Вводные'!$B$87*'01_Вводные'!$B$14^1+'19_Расчет_аналитики'!AS3399*'01_Вводные'!$B$88*'01_Вводные'!$B$14^2+'19_Расчет_аналитики'!AR3399*'01_Вводные'!$B$89*'01_Вводные'!$B$14^3)*'19_Расчет_аналитики'!$B$3094*'19_Расчет_аналитики'!$B$3122,0)</f>
        <v/>
      </c>
      <c r="AV3646">
        <f>IF('01_Вводные'!$B$234="Да",('19_Расчет_аналитики'!AU3399*'01_Вводные'!$B$87*'01_Вводные'!$B$14^1+'19_Расчет_аналитики'!AT3399*'01_Вводные'!$B$88*'01_Вводные'!$B$14^2+'19_Расчет_аналитики'!AS3399*'01_Вводные'!$B$89*'01_Вводные'!$B$14^3)*'19_Расчет_аналитики'!$B$3094*'19_Расчет_аналитики'!$B$3122,0)</f>
        <v/>
      </c>
      <c r="AW3646">
        <f>IF('01_Вводные'!$B$234="Да",('19_Расчет_аналитики'!AV3399*'01_Вводные'!$B$87*'01_Вводные'!$B$14^1+'19_Расчет_аналитики'!AU3399*'01_Вводные'!$B$88*'01_Вводные'!$B$14^2+'19_Расчет_аналитики'!AT3399*'01_Вводные'!$B$89*'01_Вводные'!$B$14^3)*'19_Расчет_аналитики'!$B$3094*'19_Расчет_аналитики'!$B$3122,0)</f>
        <v/>
      </c>
      <c r="AX3646">
        <f>IF('01_Вводные'!$B$234="Да",('19_Расчет_аналитики'!AW3399*'01_Вводные'!$B$87*'01_Вводные'!$B$14^1+'19_Расчет_аналитики'!AV3399*'01_Вводные'!$B$88*'01_Вводные'!$B$14^2+'19_Расчет_аналитики'!AU3399*'01_Вводные'!$B$89*'01_Вводные'!$B$14^3)*'19_Расчет_аналитики'!$B$3094*'19_Расчет_аналитики'!$B$3122,0)</f>
        <v/>
      </c>
      <c r="AY3646">
        <f>IF('01_Вводные'!$B$234="Да",('19_Расчет_аналитики'!AX3399*'01_Вводные'!$B$87*'01_Вводные'!$B$14^1+'19_Расчет_аналитики'!AW3399*'01_Вводные'!$B$88*'01_Вводные'!$B$14^2+'19_Расчет_аналитики'!AV3399*'01_Вводные'!$B$89*'01_Вводные'!$B$14^3)*'19_Расчет_аналитики'!$B$3094*'19_Расчет_аналитики'!$B$3122,0)</f>
        <v/>
      </c>
      <c r="AZ3646">
        <f>IF('01_Вводные'!$B$234="Да",('19_Расчет_аналитики'!AY3399*'01_Вводные'!$B$87*'01_Вводные'!$B$14^1+'19_Расчет_аналитики'!AX3399*'01_Вводные'!$B$88*'01_Вводные'!$B$14^2+'19_Расчет_аналитики'!AW3399*'01_Вводные'!$B$89*'01_Вводные'!$B$14^3)*'19_Расчет_аналитики'!$B$3094*'19_Расчет_аналитики'!$B$3122,0)</f>
        <v/>
      </c>
      <c r="BA3646">
        <f>IF('01_Вводные'!$B$234="Да",('19_Расчет_аналитики'!AZ3399*'01_Вводные'!$B$87*'01_Вводные'!$B$14^1+'19_Расчет_аналитики'!AY3399*'01_Вводные'!$B$88*'01_Вводные'!$B$14^2+'19_Расчет_аналитики'!AX3399*'01_Вводные'!$B$89*'01_Вводные'!$B$14^3)*'19_Расчет_аналитики'!$B$3094*'19_Расчет_аналитики'!$B$3122,0)</f>
        <v/>
      </c>
      <c r="BB3646">
        <f>IF('01_Вводные'!$B$234="Да",('19_Расчет_аналитики'!BA3399*'01_Вводные'!$B$87*'01_Вводные'!$B$14^1+'19_Расчет_аналитики'!AZ3399*'01_Вводные'!$B$88*'01_Вводные'!$B$14^2+'19_Расчет_аналитики'!AY3399*'01_Вводные'!$B$89*'01_Вводные'!$B$14^3)*'19_Расчет_аналитики'!$B$3094*'19_Расчет_аналитики'!$B$3122,0)</f>
        <v/>
      </c>
      <c r="BC3646">
        <f>IF('01_Вводные'!$B$234="Да",('19_Расчет_аналитики'!BB3399*'01_Вводные'!$B$87*'01_Вводные'!$B$14^1+'19_Расчет_аналитики'!BA3399*'01_Вводные'!$B$88*'01_Вводные'!$B$14^2+'19_Расчет_аналитики'!AZ3399*'01_Вводные'!$B$89*'01_Вводные'!$B$14^3)*'19_Расчет_аналитики'!$B$3094*'19_Расчет_аналитики'!$B$3122,0)</f>
        <v/>
      </c>
      <c r="BD3646">
        <f>IF('01_Вводные'!$B$234="Да",('19_Расчет_аналитики'!BC3399*'01_Вводные'!$B$87*'01_Вводные'!$B$14^1+'19_Расчет_аналитики'!BB3399*'01_Вводные'!$B$88*'01_Вводные'!$B$14^2+'19_Расчет_аналитики'!BA3399*'01_Вводные'!$B$89*'01_Вводные'!$B$14^3)*'19_Расчет_аналитики'!$B$3094*'19_Расчет_аналитики'!$B$3122,0)</f>
        <v/>
      </c>
      <c r="BE3646">
        <f>IF('01_Вводные'!$B$234="Да",('19_Расчет_аналитики'!BD3399*'01_Вводные'!$B$87*'01_Вводные'!$B$14^1+'19_Расчет_аналитики'!BC3399*'01_Вводные'!$B$88*'01_Вводные'!$B$14^2+'19_Расчет_аналитики'!BB3399*'01_Вводные'!$B$89*'01_Вводные'!$B$14^3)*'19_Расчет_аналитики'!$B$3094*'19_Расчет_аналитики'!$B$3122,0)</f>
        <v/>
      </c>
      <c r="BF3646">
        <f>IF('01_Вводные'!$B$234="Да",('19_Расчет_аналитики'!BE3399*'01_Вводные'!$B$87*'01_Вводные'!$B$14^1+'19_Расчет_аналитики'!BD3399*'01_Вводные'!$B$88*'01_Вводные'!$B$14^2+'19_Расчет_аналитики'!BC3399*'01_Вводные'!$B$89*'01_Вводные'!$B$14^3)*'19_Расчет_аналитики'!$B$3094*'19_Расчет_аналитики'!$B$3122,0)</f>
        <v/>
      </c>
      <c r="BG3646">
        <f>IF('01_Вводные'!$B$234="Да",('19_Расчет_аналитики'!BF3399*'01_Вводные'!$B$87*'01_Вводные'!$B$14^1+'19_Расчет_аналитики'!BE3399*'01_Вводные'!$B$88*'01_Вводные'!$B$14^2+'19_Расчет_аналитики'!BD3399*'01_Вводные'!$B$89*'01_Вводные'!$B$14^3)*'19_Расчет_аналитики'!$B$3094*'19_Расчет_аналитики'!$B$3122,0)</f>
        <v/>
      </c>
      <c r="BH3646">
        <f>IF('01_Вводные'!$B$234="Да",('19_Расчет_аналитики'!BG3399*'01_Вводные'!$B$87*'01_Вводные'!$B$14^1+'19_Расчет_аналитики'!BF3399*'01_Вводные'!$B$88*'01_Вводные'!$B$14^2+'19_Расчет_аналитики'!BE3399*'01_Вводные'!$B$89*'01_Вводные'!$B$14^3)*'19_Расчет_аналитики'!$B$3094*'19_Расчет_аналитики'!$B$3122,0)</f>
        <v/>
      </c>
      <c r="BI3646">
        <f>IF('01_Вводные'!$B$234="Да",('19_Расчет_аналитики'!BH3399*'01_Вводные'!$B$87*'01_Вводные'!$B$14^1+'19_Расчет_аналитики'!BG3399*'01_Вводные'!$B$88*'01_Вводные'!$B$14^2+'19_Расчет_аналитики'!BF3399*'01_Вводные'!$B$89*'01_Вводные'!$B$14^3)*'19_Расчет_аналитики'!$B$3094*'19_Расчет_аналитики'!$B$3122,0)</f>
        <v/>
      </c>
      <c r="BJ3646">
        <f>IF('01_Вводные'!$B$234="Да",('19_Расчет_аналитики'!BI3399*'01_Вводные'!$B$87*'01_Вводные'!$B$14^1+'19_Расчет_аналитики'!BH3399*'01_Вводные'!$B$88*'01_Вводные'!$B$14^2+'19_Расчет_аналитики'!BG3399*'01_Вводные'!$B$89*'01_Вводные'!$B$14^3)*'19_Расчет_аналитики'!$B$3094*'19_Расчет_аналитики'!$B$3122,0)</f>
        <v/>
      </c>
      <c r="BK3646">
        <f>IF('01_Вводные'!$B$234="Да",('19_Расчет_аналитики'!BJ3399*'01_Вводные'!$B$87*'01_Вводные'!$B$14^1+'19_Расчет_аналитики'!BI3399*'01_Вводные'!$B$88*'01_Вводные'!$B$14^2+'19_Расчет_аналитики'!BH3399*'01_Вводные'!$B$89*'01_Вводные'!$B$14^3)*'19_Расчет_аналитики'!$B$3094*'19_Расчет_аналитики'!$B$3122,0)</f>
        <v/>
      </c>
      <c r="BL3646">
        <f>IF('01_Вводные'!$B$234="Да",('19_Расчет_аналитики'!BK3399*'01_Вводные'!$B$87*'01_Вводные'!$B$14^1+'19_Расчет_аналитики'!BJ3399*'01_Вводные'!$B$88*'01_Вводные'!$B$14^2+'19_Расчет_аналитики'!BI3399*'01_Вводные'!$B$89*'01_Вводные'!$B$14^3)*'19_Расчет_аналитики'!$B$3094*'19_Расчет_аналитики'!$B$3122,0)</f>
        <v/>
      </c>
      <c r="BM3646">
        <f>IF('01_Вводные'!$B$234="Да",('19_Расчет_аналитики'!BL3399*'01_Вводные'!$B$87*'01_Вводные'!$B$14^1+'19_Расчет_аналитики'!BK3399*'01_Вводные'!$B$88*'01_Вводные'!$B$14^2+'19_Расчет_аналитики'!BJ3399*'01_Вводные'!$B$89*'01_Вводные'!$B$14^3)*'19_Расчет_аналитики'!$B$3094*'19_Расчет_аналитики'!$B$3122,0)</f>
        <v/>
      </c>
      <c r="BN3646">
        <f>IF('01_Вводные'!$B$234="Да",('19_Расчет_аналитики'!BM3399*'01_Вводные'!$B$87*'01_Вводные'!$B$14^1+'19_Расчет_аналитики'!BL3399*'01_Вводные'!$B$88*'01_Вводные'!$B$14^2+'19_Расчет_аналитики'!BK3399*'01_Вводные'!$B$89*'01_Вводные'!$B$14^3)*'19_Расчет_аналитики'!$B$3094*'19_Расчет_аналитики'!$B$3122,0)</f>
        <v/>
      </c>
      <c r="BO3646">
        <f>IF('01_Вводные'!$B$234="Да",('19_Расчет_аналитики'!BN3399*'01_Вводные'!$B$87*'01_Вводные'!$B$14^1+'19_Расчет_аналитики'!BM3399*'01_Вводные'!$B$88*'01_Вводные'!$B$14^2+'19_Расчет_аналитики'!BL3399*'01_Вводные'!$B$89*'01_Вводные'!$B$14^3)*'19_Расчет_аналитики'!$B$3094*'19_Расчет_аналитики'!$B$3122,0)</f>
        <v/>
      </c>
    </row>
    <row r="3647">
      <c r="B3647">
        <f>IF('01_Вводные'!$B$234="Да",'19_Расчет_аналитики'!B3582*'19_Расчет_аналитики'!$B$3122*'07_Мерч'!B4,0)</f>
        <v/>
      </c>
      <c r="C3647">
        <f>IF('01_Вводные'!$B$234="Да",'19_Расчет_аналитики'!C3582*'19_Расчет_аналитики'!$B$3122*'07_Мерч'!C4,0)</f>
        <v/>
      </c>
      <c r="D3647">
        <f>IF('01_Вводные'!$B$234="Да",'19_Расчет_аналитики'!D3582*'19_Расчет_аналитики'!$B$3122*'07_Мерч'!D4,0)</f>
        <v/>
      </c>
      <c r="E3647">
        <f>IF('01_Вводные'!$B$234="Да",'19_Расчет_аналитики'!E3582*'19_Расчет_аналитики'!$B$3122*'07_Мерч'!E4,0)</f>
        <v/>
      </c>
      <c r="F3647">
        <f>IF('01_Вводные'!$B$234="Да",'19_Расчет_аналитики'!F3582*'19_Расчет_аналитики'!$B$3122*'07_Мерч'!F4,0)</f>
        <v/>
      </c>
      <c r="G3647">
        <f>IF('01_Вводные'!$B$234="Да",'19_Расчет_аналитики'!G3582*'19_Расчет_аналитики'!$B$3122*'07_Мерч'!G4,0)</f>
        <v/>
      </c>
      <c r="H3647">
        <f>IF('01_Вводные'!$B$234="Да",'19_Расчет_аналитики'!H3582*'19_Расчет_аналитики'!$B$3122*'07_Мерч'!H4,0)</f>
        <v/>
      </c>
      <c r="I3647">
        <f>IF('01_Вводные'!$B$234="Да",'19_Расчет_аналитики'!I3582*'19_Расчет_аналитики'!$B$3122*'07_Мерч'!I4,0)</f>
        <v/>
      </c>
      <c r="J3647">
        <f>IF('01_Вводные'!$B$234="Да",'19_Расчет_аналитики'!J3582*'19_Расчет_аналитики'!$B$3122*'07_Мерч'!J4,0)</f>
        <v/>
      </c>
      <c r="K3647">
        <f>IF('01_Вводные'!$B$234="Да",'19_Расчет_аналитики'!K3582*'19_Расчет_аналитики'!$B$3122*'07_Мерч'!K4,0)</f>
        <v/>
      </c>
      <c r="L3647">
        <f>IF('01_Вводные'!$B$234="Да",'19_Расчет_аналитики'!L3582*'19_Расчет_аналитики'!$B$3122*'07_Мерч'!L4,0)</f>
        <v/>
      </c>
      <c r="M3647">
        <f>IF('01_Вводные'!$B$234="Да",'19_Расчет_аналитики'!M3582*'19_Расчет_аналитики'!$B$3122*'07_Мерч'!M4,0)</f>
        <v/>
      </c>
      <c r="N3647">
        <f>IF('01_Вводные'!$B$234="Да",'19_Расчет_аналитики'!N3582*'19_Расчет_аналитики'!$B$3122*'07_Мерч'!N4,0)</f>
        <v/>
      </c>
      <c r="O3647">
        <f>IF('01_Вводные'!$B$234="Да",'19_Расчет_аналитики'!O3582*'19_Расчет_аналитики'!$B$3122*'07_Мерч'!O4,0)</f>
        <v/>
      </c>
      <c r="P3647">
        <f>IF('01_Вводные'!$B$234="Да",'19_Расчет_аналитики'!P3582*'19_Расчет_аналитики'!$B$3122*'07_Мерч'!P4,0)</f>
        <v/>
      </c>
      <c r="Q3647">
        <f>IF('01_Вводные'!$B$234="Да",'19_Расчет_аналитики'!Q3582*'19_Расчет_аналитики'!$B$3122*'07_Мерч'!Q4,0)</f>
        <v/>
      </c>
      <c r="R3647">
        <f>IF('01_Вводные'!$B$234="Да",'19_Расчет_аналитики'!R3582*'19_Расчет_аналитики'!$B$3122*'07_Мерч'!R4,0)</f>
        <v/>
      </c>
      <c r="S3647">
        <f>IF('01_Вводные'!$B$234="Да",'19_Расчет_аналитики'!S3582*'19_Расчет_аналитики'!$B$3122*'07_Мерч'!S4,0)</f>
        <v/>
      </c>
      <c r="T3647">
        <f>IF('01_Вводные'!$B$234="Да",'19_Расчет_аналитики'!T3582*'19_Расчет_аналитики'!$B$3122*'07_Мерч'!T4,0)</f>
        <v/>
      </c>
      <c r="U3647">
        <f>IF('01_Вводные'!$B$234="Да",'19_Расчет_аналитики'!U3582*'19_Расчет_аналитики'!$B$3122*'07_Мерч'!U4,0)</f>
        <v/>
      </c>
      <c r="V3647">
        <f>IF('01_Вводные'!$B$234="Да",'19_Расчет_аналитики'!V3582*'19_Расчет_аналитики'!$B$3122*'07_Мерч'!V4,0)</f>
        <v/>
      </c>
      <c r="W3647">
        <f>IF('01_Вводные'!$B$234="Да",'19_Расчет_аналитики'!W3582*'19_Расчет_аналитики'!$B$3122*'07_Мерч'!W4,0)</f>
        <v/>
      </c>
      <c r="X3647">
        <f>IF('01_Вводные'!$B$234="Да",'19_Расчет_аналитики'!X3582*'19_Расчет_аналитики'!$B$3122*'07_Мерч'!X4,0)</f>
        <v/>
      </c>
      <c r="Y3647">
        <f>IF('01_Вводные'!$B$234="Да",'19_Расчет_аналитики'!Y3582*'19_Расчет_аналитики'!$B$3122*'07_Мерч'!Y4,0)</f>
        <v/>
      </c>
      <c r="Z3647">
        <f>IF('01_Вводные'!$B$234="Да",'19_Расчет_аналитики'!Z3582*'19_Расчет_аналитики'!$B$3122*'07_Мерч'!Z4,0)</f>
        <v/>
      </c>
      <c r="AA3647">
        <f>IF('01_Вводные'!$B$234="Да",'19_Расчет_аналитики'!AA3582*'19_Расчет_аналитики'!$B$3122*'07_Мерч'!AA4,0)</f>
        <v/>
      </c>
      <c r="AB3647">
        <f>IF('01_Вводные'!$B$234="Да",'19_Расчет_аналитики'!AB3582*'19_Расчет_аналитики'!$B$3122*'07_Мерч'!AB4,0)</f>
        <v/>
      </c>
      <c r="AC3647">
        <f>IF('01_Вводные'!$B$234="Да",'19_Расчет_аналитики'!AC3582*'19_Расчет_аналитики'!$B$3122*'07_Мерч'!AC4,0)</f>
        <v/>
      </c>
      <c r="AD3647">
        <f>IF('01_Вводные'!$B$234="Да",'19_Расчет_аналитики'!AD3582*'19_Расчет_аналитики'!$B$3122*'07_Мерч'!AD4,0)</f>
        <v/>
      </c>
      <c r="AE3647">
        <f>IF('01_Вводные'!$B$234="Да",'19_Расчет_аналитики'!AE3582*'19_Расчет_аналитики'!$B$3122*'07_Мерч'!AE4,0)</f>
        <v/>
      </c>
      <c r="AF3647">
        <f>IF('01_Вводные'!$B$234="Да",'19_Расчет_аналитики'!AF3582*'19_Расчет_аналитики'!$B$3122*'07_Мерч'!AF4,0)</f>
        <v/>
      </c>
      <c r="AG3647">
        <f>IF('01_Вводные'!$B$234="Да",'19_Расчет_аналитики'!AG3582*'19_Расчет_аналитики'!$B$3122*'07_Мерч'!AG4,0)</f>
        <v/>
      </c>
      <c r="AH3647">
        <f>IF('01_Вводные'!$B$234="Да",'19_Расчет_аналитики'!AH3582*'19_Расчет_аналитики'!$B$3122*'07_Мерч'!AH4,0)</f>
        <v/>
      </c>
      <c r="AI3647">
        <f>IF('01_Вводные'!$B$234="Да",'19_Расчет_аналитики'!AI3582*'19_Расчет_аналитики'!$B$3122*'07_Мерч'!AI4,0)</f>
        <v/>
      </c>
      <c r="AJ3647">
        <f>IF('01_Вводные'!$B$234="Да",'19_Расчет_аналитики'!AJ3582*'19_Расчет_аналитики'!$B$3122*'07_Мерч'!AJ4,0)</f>
        <v/>
      </c>
      <c r="AK3647">
        <f>IF('01_Вводные'!$B$234="Да",'19_Расчет_аналитики'!AK3582*'19_Расчет_аналитики'!$B$3122*'07_Мерч'!AK4,0)</f>
        <v/>
      </c>
      <c r="AL3647">
        <f>IF('01_Вводные'!$B$234="Да",'19_Расчет_аналитики'!AL3582*'19_Расчет_аналитики'!$B$3122*'07_Мерч'!AL4,0)</f>
        <v/>
      </c>
      <c r="AM3647">
        <f>IF('01_Вводные'!$B$234="Да",'19_Расчет_аналитики'!AM3582*'19_Расчет_аналитики'!$B$3122*'07_Мерч'!AM4,0)</f>
        <v/>
      </c>
      <c r="AN3647">
        <f>IF('01_Вводные'!$B$234="Да",'19_Расчет_аналитики'!AN3582*'19_Расчет_аналитики'!$B$3122*'07_Мерч'!AN4,0)</f>
        <v/>
      </c>
      <c r="AO3647">
        <f>IF('01_Вводные'!$B$234="Да",'19_Расчет_аналитики'!AO3582*'19_Расчет_аналитики'!$B$3122*'07_Мерч'!AO4,0)</f>
        <v/>
      </c>
      <c r="AP3647">
        <f>IF('01_Вводные'!$B$234="Да",'19_Расчет_аналитики'!AP3582*'19_Расчет_аналитики'!$B$3122*'07_Мерч'!AP4,0)</f>
        <v/>
      </c>
      <c r="AQ3647">
        <f>IF('01_Вводные'!$B$234="Да",'19_Расчет_аналитики'!AQ3582*'19_Расчет_аналитики'!$B$3122*'07_Мерч'!AQ4,0)</f>
        <v/>
      </c>
      <c r="AR3647">
        <f>IF('01_Вводные'!$B$234="Да",'19_Расчет_аналитики'!AR3582*'19_Расчет_аналитики'!$B$3122*'07_Мерч'!AR4,0)</f>
        <v/>
      </c>
      <c r="AS3647">
        <f>IF('01_Вводные'!$B$234="Да",'19_Расчет_аналитики'!AS3582*'19_Расчет_аналитики'!$B$3122*'07_Мерч'!AS4,0)</f>
        <v/>
      </c>
      <c r="AT3647">
        <f>IF('01_Вводные'!$B$234="Да",'19_Расчет_аналитики'!AT3582*'19_Расчет_аналитики'!$B$3122*'07_Мерч'!AT4,0)</f>
        <v/>
      </c>
      <c r="AU3647">
        <f>IF('01_Вводные'!$B$234="Да",'19_Расчет_аналитики'!AU3582*'19_Расчет_аналитики'!$B$3122*'07_Мерч'!AU4,0)</f>
        <v/>
      </c>
      <c r="AV3647">
        <f>IF('01_Вводные'!$B$234="Да",'19_Расчет_аналитики'!AV3582*'19_Расчет_аналитики'!$B$3122*'07_Мерч'!AV4,0)</f>
        <v/>
      </c>
      <c r="AW3647">
        <f>IF('01_Вводные'!$B$234="Да",'19_Расчет_аналитики'!AW3582*'19_Расчет_аналитики'!$B$3122*'07_Мерч'!AW4,0)</f>
        <v/>
      </c>
      <c r="AX3647">
        <f>IF('01_Вводные'!$B$234="Да",'19_Расчет_аналитики'!AX3582*'19_Расчет_аналитики'!$B$3122*'07_Мерч'!AX4,0)</f>
        <v/>
      </c>
      <c r="AY3647">
        <f>IF('01_Вводные'!$B$234="Да",'19_Расчет_аналитики'!AY3582*'19_Расчет_аналитики'!$B$3122*'07_Мерч'!AY4,0)</f>
        <v/>
      </c>
      <c r="AZ3647">
        <f>IF('01_Вводные'!$B$234="Да",'19_Расчет_аналитики'!AZ3582*'19_Расчет_аналитики'!$B$3122*'07_Мерч'!AZ4,0)</f>
        <v/>
      </c>
      <c r="BA3647">
        <f>IF('01_Вводные'!$B$234="Да",'19_Расчет_аналитики'!BA3582*'19_Расчет_аналитики'!$B$3122*'07_Мерч'!BA4,0)</f>
        <v/>
      </c>
      <c r="BB3647">
        <f>IF('01_Вводные'!$B$234="Да",'19_Расчет_аналитики'!BB3582*'19_Расчет_аналитики'!$B$3122*'07_Мерч'!BB4,0)</f>
        <v/>
      </c>
      <c r="BC3647">
        <f>IF('01_Вводные'!$B$234="Да",'19_Расчет_аналитики'!BC3582*'19_Расчет_аналитики'!$B$3122*'07_Мерч'!BC4,0)</f>
        <v/>
      </c>
      <c r="BD3647">
        <f>IF('01_Вводные'!$B$234="Да",'19_Расчет_аналитики'!BD3582*'19_Расчет_аналитики'!$B$3122*'07_Мерч'!BD4,0)</f>
        <v/>
      </c>
      <c r="BE3647">
        <f>IF('01_Вводные'!$B$234="Да",'19_Расчет_аналитики'!BE3582*'19_Расчет_аналитики'!$B$3122*'07_Мерч'!BE4,0)</f>
        <v/>
      </c>
      <c r="BF3647">
        <f>IF('01_Вводные'!$B$234="Да",'19_Расчет_аналитики'!BF3582*'19_Расчет_аналитики'!$B$3122*'07_Мерч'!BF4,0)</f>
        <v/>
      </c>
      <c r="BG3647">
        <f>IF('01_Вводные'!$B$234="Да",'19_Расчет_аналитики'!BG3582*'19_Расчет_аналитики'!$B$3122*'07_Мерч'!BG4,0)</f>
        <v/>
      </c>
      <c r="BH3647">
        <f>IF('01_Вводные'!$B$234="Да",'19_Расчет_аналитики'!BH3582*'19_Расчет_аналитики'!$B$3122*'07_Мерч'!BH4,0)</f>
        <v/>
      </c>
      <c r="BI3647">
        <f>IF('01_Вводные'!$B$234="Да",'19_Расчет_аналитики'!BI3582*'19_Расчет_аналитики'!$B$3122*'07_Мерч'!BI4,0)</f>
        <v/>
      </c>
      <c r="BJ3647">
        <f>IF('01_Вводные'!$B$234="Да",'19_Расчет_аналитики'!BJ3582*'19_Расчет_аналитики'!$B$3122*'07_Мерч'!BJ4,0)</f>
        <v/>
      </c>
      <c r="BK3647">
        <f>IF('01_Вводные'!$B$234="Да",'19_Расчет_аналитики'!BK3582*'19_Расчет_аналитики'!$B$3122*'07_Мерч'!BK4,0)</f>
        <v/>
      </c>
      <c r="BL3647">
        <f>IF('01_Вводные'!$B$234="Да",'19_Расчет_аналитики'!BL3582*'19_Расчет_аналитики'!$B$3122*'07_Мерч'!BL4,0)</f>
        <v/>
      </c>
      <c r="BM3647">
        <f>IF('01_Вводные'!$B$234="Да",'19_Расчет_аналитики'!BM3582*'19_Расчет_аналитики'!$B$3122*'07_Мерч'!BM4,0)</f>
        <v/>
      </c>
      <c r="BN3647">
        <f>IF('01_Вводные'!$B$234="Да",'19_Расчет_аналитики'!BN3582*'19_Расчет_аналитики'!$B$3122*'07_Мерч'!BN4,0)</f>
        <v/>
      </c>
      <c r="BO3647">
        <f>IF('01_Вводные'!$B$234="Да",'19_Расчет_аналитики'!BO3582*'19_Расчет_аналитики'!$B$3122*'07_Мерч'!BO4,0)</f>
        <v/>
      </c>
    </row>
    <row r="3648">
      <c r="B3648">
        <f>IF('01_Вводные'!$B$234="Да",SUM('19_Расчет_аналитики'!B3646:B3647)*'18_Календарь_тарифы'!B10,0)</f>
        <v/>
      </c>
      <c r="C3648">
        <f>IF('01_Вводные'!$B$234="Да",SUM('19_Расчет_аналитики'!C3646:C3647)*'18_Календарь_тарифы'!C10,0)</f>
        <v/>
      </c>
      <c r="D3648">
        <f>IF('01_Вводные'!$B$234="Да",SUM('19_Расчет_аналитики'!D3646:D3647)*'18_Календарь_тарифы'!D10,0)</f>
        <v/>
      </c>
      <c r="E3648">
        <f>IF('01_Вводные'!$B$234="Да",SUM('19_Расчет_аналитики'!E3646:E3647)*'18_Календарь_тарифы'!E10,0)</f>
        <v/>
      </c>
      <c r="F3648">
        <f>IF('01_Вводные'!$B$234="Да",SUM('19_Расчет_аналитики'!F3646:F3647)*'18_Календарь_тарифы'!F10,0)</f>
        <v/>
      </c>
      <c r="G3648">
        <f>IF('01_Вводные'!$B$234="Да",SUM('19_Расчет_аналитики'!G3646:G3647)*'18_Календарь_тарифы'!G10,0)</f>
        <v/>
      </c>
      <c r="H3648">
        <f>IF('01_Вводные'!$B$234="Да",SUM('19_Расчет_аналитики'!H3646:H3647)*'18_Календарь_тарифы'!H10,0)</f>
        <v/>
      </c>
      <c r="I3648">
        <f>IF('01_Вводные'!$B$234="Да",SUM('19_Расчет_аналитики'!I3646:I3647)*'18_Календарь_тарифы'!I10,0)</f>
        <v/>
      </c>
      <c r="J3648">
        <f>IF('01_Вводные'!$B$234="Да",SUM('19_Расчет_аналитики'!J3646:J3647)*'18_Календарь_тарифы'!J10,0)</f>
        <v/>
      </c>
      <c r="K3648">
        <f>IF('01_Вводные'!$B$234="Да",SUM('19_Расчет_аналитики'!K3646:K3647)*'18_Календарь_тарифы'!K10,0)</f>
        <v/>
      </c>
      <c r="L3648">
        <f>IF('01_Вводные'!$B$234="Да",SUM('19_Расчет_аналитики'!L3646:L3647)*'18_Календарь_тарифы'!L10,0)</f>
        <v/>
      </c>
      <c r="M3648">
        <f>IF('01_Вводные'!$B$234="Да",SUM('19_Расчет_аналитики'!M3646:M3647)*'18_Календарь_тарифы'!M10,0)</f>
        <v/>
      </c>
      <c r="N3648">
        <f>IF('01_Вводные'!$B$234="Да",SUM('19_Расчет_аналитики'!N3646:N3647)*'18_Календарь_тарифы'!N10,0)</f>
        <v/>
      </c>
      <c r="O3648">
        <f>IF('01_Вводные'!$B$234="Да",SUM('19_Расчет_аналитики'!O3646:O3647)*'18_Календарь_тарифы'!O10,0)</f>
        <v/>
      </c>
      <c r="P3648">
        <f>IF('01_Вводные'!$B$234="Да",SUM('19_Расчет_аналитики'!P3646:P3647)*'18_Календарь_тарифы'!P10,0)</f>
        <v/>
      </c>
      <c r="Q3648">
        <f>IF('01_Вводные'!$B$234="Да",SUM('19_Расчет_аналитики'!Q3646:Q3647)*'18_Календарь_тарифы'!Q10,0)</f>
        <v/>
      </c>
      <c r="R3648">
        <f>IF('01_Вводные'!$B$234="Да",SUM('19_Расчет_аналитики'!R3646:R3647)*'18_Календарь_тарифы'!R10,0)</f>
        <v/>
      </c>
      <c r="S3648">
        <f>IF('01_Вводные'!$B$234="Да",SUM('19_Расчет_аналитики'!S3646:S3647)*'18_Календарь_тарифы'!S10,0)</f>
        <v/>
      </c>
      <c r="T3648">
        <f>IF('01_Вводные'!$B$234="Да",SUM('19_Расчет_аналитики'!T3646:T3647)*'18_Календарь_тарифы'!T10,0)</f>
        <v/>
      </c>
      <c r="U3648">
        <f>IF('01_Вводные'!$B$234="Да",SUM('19_Расчет_аналитики'!U3646:U3647)*'18_Календарь_тарифы'!U10,0)</f>
        <v/>
      </c>
      <c r="V3648">
        <f>IF('01_Вводные'!$B$234="Да",SUM('19_Расчет_аналитики'!V3646:V3647)*'18_Календарь_тарифы'!V10,0)</f>
        <v/>
      </c>
      <c r="W3648">
        <f>IF('01_Вводные'!$B$234="Да",SUM('19_Расчет_аналитики'!W3646:W3647)*'18_Календарь_тарифы'!W10,0)</f>
        <v/>
      </c>
      <c r="X3648">
        <f>IF('01_Вводные'!$B$234="Да",SUM('19_Расчет_аналитики'!X3646:X3647)*'18_Календарь_тарифы'!X10,0)</f>
        <v/>
      </c>
      <c r="Y3648">
        <f>IF('01_Вводные'!$B$234="Да",SUM('19_Расчет_аналитики'!Y3646:Y3647)*'18_Календарь_тарифы'!Y10,0)</f>
        <v/>
      </c>
      <c r="Z3648">
        <f>IF('01_Вводные'!$B$234="Да",SUM('19_Расчет_аналитики'!Z3646:Z3647)*'18_Календарь_тарифы'!Z10,0)</f>
        <v/>
      </c>
      <c r="AA3648">
        <f>IF('01_Вводные'!$B$234="Да",SUM('19_Расчет_аналитики'!AA3646:AA3647)*'18_Календарь_тарифы'!AA10,0)</f>
        <v/>
      </c>
      <c r="AB3648">
        <f>IF('01_Вводные'!$B$234="Да",SUM('19_Расчет_аналитики'!AB3646:AB3647)*'18_Календарь_тарифы'!AB10,0)</f>
        <v/>
      </c>
      <c r="AC3648">
        <f>IF('01_Вводные'!$B$234="Да",SUM('19_Расчет_аналитики'!AC3646:AC3647)*'18_Календарь_тарифы'!AC10,0)</f>
        <v/>
      </c>
      <c r="AD3648">
        <f>IF('01_Вводные'!$B$234="Да",SUM('19_Расчет_аналитики'!AD3646:AD3647)*'18_Календарь_тарифы'!AD10,0)</f>
        <v/>
      </c>
      <c r="AE3648">
        <f>IF('01_Вводные'!$B$234="Да",SUM('19_Расчет_аналитики'!AE3646:AE3647)*'18_Календарь_тарифы'!AE10,0)</f>
        <v/>
      </c>
      <c r="AF3648">
        <f>IF('01_Вводные'!$B$234="Да",SUM('19_Расчет_аналитики'!AF3646:AF3647)*'18_Календарь_тарифы'!AF10,0)</f>
        <v/>
      </c>
      <c r="AG3648">
        <f>IF('01_Вводные'!$B$234="Да",SUM('19_Расчет_аналитики'!AG3646:AG3647)*'18_Календарь_тарифы'!AG10,0)</f>
        <v/>
      </c>
      <c r="AH3648">
        <f>IF('01_Вводные'!$B$234="Да",SUM('19_Расчет_аналитики'!AH3646:AH3647)*'18_Календарь_тарифы'!AH10,0)</f>
        <v/>
      </c>
      <c r="AI3648">
        <f>IF('01_Вводные'!$B$234="Да",SUM('19_Расчет_аналитики'!AI3646:AI3647)*'18_Календарь_тарифы'!AI10,0)</f>
        <v/>
      </c>
      <c r="AJ3648">
        <f>IF('01_Вводные'!$B$234="Да",SUM('19_Расчет_аналитики'!AJ3646:AJ3647)*'18_Календарь_тарифы'!AJ10,0)</f>
        <v/>
      </c>
      <c r="AK3648">
        <f>IF('01_Вводные'!$B$234="Да",SUM('19_Расчет_аналитики'!AK3646:AK3647)*'18_Календарь_тарифы'!AK10,0)</f>
        <v/>
      </c>
      <c r="AL3648">
        <f>IF('01_Вводные'!$B$234="Да",SUM('19_Расчет_аналитики'!AL3646:AL3647)*'18_Календарь_тарифы'!AL10,0)</f>
        <v/>
      </c>
      <c r="AM3648">
        <f>IF('01_Вводные'!$B$234="Да",SUM('19_Расчет_аналитики'!AM3646:AM3647)*'18_Календарь_тарифы'!AM10,0)</f>
        <v/>
      </c>
      <c r="AN3648">
        <f>IF('01_Вводные'!$B$234="Да",SUM('19_Расчет_аналитики'!AN3646:AN3647)*'18_Календарь_тарифы'!AN10,0)</f>
        <v/>
      </c>
      <c r="AO3648">
        <f>IF('01_Вводные'!$B$234="Да",SUM('19_Расчет_аналитики'!AO3646:AO3647)*'18_Календарь_тарифы'!AO10,0)</f>
        <v/>
      </c>
      <c r="AP3648">
        <f>IF('01_Вводные'!$B$234="Да",SUM('19_Расчет_аналитики'!AP3646:AP3647)*'18_Календарь_тарифы'!AP10,0)</f>
        <v/>
      </c>
      <c r="AQ3648">
        <f>IF('01_Вводные'!$B$234="Да",SUM('19_Расчет_аналитики'!AQ3646:AQ3647)*'18_Календарь_тарифы'!AQ10,0)</f>
        <v/>
      </c>
      <c r="AR3648">
        <f>IF('01_Вводные'!$B$234="Да",SUM('19_Расчет_аналитики'!AR3646:AR3647)*'18_Календарь_тарифы'!AR10,0)</f>
        <v/>
      </c>
      <c r="AS3648">
        <f>IF('01_Вводные'!$B$234="Да",SUM('19_Расчет_аналитики'!AS3646:AS3647)*'18_Календарь_тарифы'!AS10,0)</f>
        <v/>
      </c>
      <c r="AT3648">
        <f>IF('01_Вводные'!$B$234="Да",SUM('19_Расчет_аналитики'!AT3646:AT3647)*'18_Календарь_тарифы'!AT10,0)</f>
        <v/>
      </c>
      <c r="AU3648">
        <f>IF('01_Вводные'!$B$234="Да",SUM('19_Расчет_аналитики'!AU3646:AU3647)*'18_Календарь_тарифы'!AU10,0)</f>
        <v/>
      </c>
      <c r="AV3648">
        <f>IF('01_Вводные'!$B$234="Да",SUM('19_Расчет_аналитики'!AV3646:AV3647)*'18_Календарь_тарифы'!AV10,0)</f>
        <v/>
      </c>
      <c r="AW3648">
        <f>IF('01_Вводные'!$B$234="Да",SUM('19_Расчет_аналитики'!AW3646:AW3647)*'18_Календарь_тарифы'!AW10,0)</f>
        <v/>
      </c>
      <c r="AX3648">
        <f>IF('01_Вводные'!$B$234="Да",SUM('19_Расчет_аналитики'!AX3646:AX3647)*'18_Календарь_тарифы'!AX10,0)</f>
        <v/>
      </c>
      <c r="AY3648">
        <f>IF('01_Вводные'!$B$234="Да",SUM('19_Расчет_аналитики'!AY3646:AY3647)*'18_Календарь_тарифы'!AY10,0)</f>
        <v/>
      </c>
      <c r="AZ3648">
        <f>IF('01_Вводные'!$B$234="Да",SUM('19_Расчет_аналитики'!AZ3646:AZ3647)*'18_Календарь_тарифы'!AZ10,0)</f>
        <v/>
      </c>
      <c r="BA3648">
        <f>IF('01_Вводные'!$B$234="Да",SUM('19_Расчет_аналитики'!BA3646:BA3647)*'18_Календарь_тарифы'!BA10,0)</f>
        <v/>
      </c>
      <c r="BB3648">
        <f>IF('01_Вводные'!$B$234="Да",SUM('19_Расчет_аналитики'!BB3646:BB3647)*'18_Календарь_тарифы'!BB10,0)</f>
        <v/>
      </c>
      <c r="BC3648">
        <f>IF('01_Вводные'!$B$234="Да",SUM('19_Расчет_аналитики'!BC3646:BC3647)*'18_Календарь_тарифы'!BC10,0)</f>
        <v/>
      </c>
      <c r="BD3648">
        <f>IF('01_Вводные'!$B$234="Да",SUM('19_Расчет_аналитики'!BD3646:BD3647)*'18_Календарь_тарифы'!BD10,0)</f>
        <v/>
      </c>
      <c r="BE3648">
        <f>IF('01_Вводные'!$B$234="Да",SUM('19_Расчет_аналитики'!BE3646:BE3647)*'18_Календарь_тарифы'!BE10,0)</f>
        <v/>
      </c>
      <c r="BF3648">
        <f>IF('01_Вводные'!$B$234="Да",SUM('19_Расчет_аналитики'!BF3646:BF3647)*'18_Календарь_тарифы'!BF10,0)</f>
        <v/>
      </c>
      <c r="BG3648">
        <f>IF('01_Вводные'!$B$234="Да",SUM('19_Расчет_аналитики'!BG3646:BG3647)*'18_Календарь_тарифы'!BG10,0)</f>
        <v/>
      </c>
      <c r="BH3648">
        <f>IF('01_Вводные'!$B$234="Да",SUM('19_Расчет_аналитики'!BH3646:BH3647)*'18_Календарь_тарифы'!BH10,0)</f>
        <v/>
      </c>
      <c r="BI3648">
        <f>IF('01_Вводные'!$B$234="Да",SUM('19_Расчет_аналитики'!BI3646:BI3647)*'18_Календарь_тарифы'!BI10,0)</f>
        <v/>
      </c>
      <c r="BJ3648">
        <f>IF('01_Вводные'!$B$234="Да",SUM('19_Расчет_аналитики'!BJ3646:BJ3647)*'18_Календарь_тарифы'!BJ10,0)</f>
        <v/>
      </c>
      <c r="BK3648">
        <f>IF('01_Вводные'!$B$234="Да",SUM('19_Расчет_аналитики'!BK3646:BK3647)*'18_Календарь_тарифы'!BK10,0)</f>
        <v/>
      </c>
      <c r="BL3648">
        <f>IF('01_Вводные'!$B$234="Да",SUM('19_Расчет_аналитики'!BL3646:BL3647)*'18_Календарь_тарифы'!BL10,0)</f>
        <v/>
      </c>
      <c r="BM3648">
        <f>IF('01_Вводные'!$B$234="Да",SUM('19_Расчет_аналитики'!BM3646:BM3647)*'18_Календарь_тарифы'!BM10,0)</f>
        <v/>
      </c>
      <c r="BN3648">
        <f>IF('01_Вводные'!$B$234="Да",SUM('19_Расчет_аналитики'!BN3646:BN3647)*'18_Календарь_тарифы'!BN10,0)</f>
        <v/>
      </c>
      <c r="BO3648">
        <f>IF('01_Вводные'!$B$234="Да",SUM('19_Расчет_аналитики'!BO3646:BO3647)*'18_Календарь_тарифы'!BO10,0)</f>
        <v/>
      </c>
    </row>
    <row r="3649">
      <c r="B3649">
        <f>IF('01_Вводные'!$B$234="Да",SUM('19_Расчет_аналитики'!B3646:B3647)*'18_Календарь_тарифы'!B9,0)</f>
        <v/>
      </c>
      <c r="C3649">
        <f>IF('01_Вводные'!$B$234="Да",SUM('19_Расчет_аналитики'!C3646:C3647)*'18_Календарь_тарифы'!C9,0)</f>
        <v/>
      </c>
      <c r="D3649">
        <f>IF('01_Вводные'!$B$234="Да",SUM('19_Расчет_аналитики'!D3646:D3647)*'18_Календарь_тарифы'!D9,0)</f>
        <v/>
      </c>
      <c r="E3649">
        <f>IF('01_Вводные'!$B$234="Да",SUM('19_Расчет_аналитики'!E3646:E3647)*'18_Календарь_тарифы'!E9,0)</f>
        <v/>
      </c>
      <c r="F3649">
        <f>IF('01_Вводные'!$B$234="Да",SUM('19_Расчет_аналитики'!F3646:F3647)*'18_Календарь_тарифы'!F9,0)</f>
        <v/>
      </c>
      <c r="G3649">
        <f>IF('01_Вводные'!$B$234="Да",SUM('19_Расчет_аналитики'!G3646:G3647)*'18_Календарь_тарифы'!G9,0)</f>
        <v/>
      </c>
      <c r="H3649">
        <f>IF('01_Вводные'!$B$234="Да",SUM('19_Расчет_аналитики'!H3646:H3647)*'18_Календарь_тарифы'!H9,0)</f>
        <v/>
      </c>
      <c r="I3649">
        <f>IF('01_Вводные'!$B$234="Да",SUM('19_Расчет_аналитики'!I3646:I3647)*'18_Календарь_тарифы'!I9,0)</f>
        <v/>
      </c>
      <c r="J3649">
        <f>IF('01_Вводные'!$B$234="Да",SUM('19_Расчет_аналитики'!J3646:J3647)*'18_Календарь_тарифы'!J9,0)</f>
        <v/>
      </c>
      <c r="K3649">
        <f>IF('01_Вводные'!$B$234="Да",SUM('19_Расчет_аналитики'!K3646:K3647)*'18_Календарь_тарифы'!K9,0)</f>
        <v/>
      </c>
      <c r="L3649">
        <f>IF('01_Вводные'!$B$234="Да",SUM('19_Расчет_аналитики'!L3646:L3647)*'18_Календарь_тарифы'!L9,0)</f>
        <v/>
      </c>
      <c r="M3649">
        <f>IF('01_Вводные'!$B$234="Да",SUM('19_Расчет_аналитики'!M3646:M3647)*'18_Календарь_тарифы'!M9,0)</f>
        <v/>
      </c>
      <c r="N3649">
        <f>IF('01_Вводные'!$B$234="Да",SUM('19_Расчет_аналитики'!N3646:N3647)*'18_Календарь_тарифы'!N9,0)</f>
        <v/>
      </c>
      <c r="O3649">
        <f>IF('01_Вводные'!$B$234="Да",SUM('19_Расчет_аналитики'!O3646:O3647)*'18_Календарь_тарифы'!O9,0)</f>
        <v/>
      </c>
      <c r="P3649">
        <f>IF('01_Вводные'!$B$234="Да",SUM('19_Расчет_аналитики'!P3646:P3647)*'18_Календарь_тарифы'!P9,0)</f>
        <v/>
      </c>
      <c r="Q3649">
        <f>IF('01_Вводные'!$B$234="Да",SUM('19_Расчет_аналитики'!Q3646:Q3647)*'18_Календарь_тарифы'!Q9,0)</f>
        <v/>
      </c>
      <c r="R3649">
        <f>IF('01_Вводные'!$B$234="Да",SUM('19_Расчет_аналитики'!R3646:R3647)*'18_Календарь_тарифы'!R9,0)</f>
        <v/>
      </c>
      <c r="S3649">
        <f>IF('01_Вводные'!$B$234="Да",SUM('19_Расчет_аналитики'!S3646:S3647)*'18_Календарь_тарифы'!S9,0)</f>
        <v/>
      </c>
      <c r="T3649">
        <f>IF('01_Вводные'!$B$234="Да",SUM('19_Расчет_аналитики'!T3646:T3647)*'18_Календарь_тарифы'!T9,0)</f>
        <v/>
      </c>
      <c r="U3649">
        <f>IF('01_Вводные'!$B$234="Да",SUM('19_Расчет_аналитики'!U3646:U3647)*'18_Календарь_тарифы'!U9,0)</f>
        <v/>
      </c>
      <c r="V3649">
        <f>IF('01_Вводные'!$B$234="Да",SUM('19_Расчет_аналитики'!V3646:V3647)*'18_Календарь_тарифы'!V9,0)</f>
        <v/>
      </c>
      <c r="W3649">
        <f>IF('01_Вводные'!$B$234="Да",SUM('19_Расчет_аналитики'!W3646:W3647)*'18_Календарь_тарифы'!W9,0)</f>
        <v/>
      </c>
      <c r="X3649">
        <f>IF('01_Вводные'!$B$234="Да",SUM('19_Расчет_аналитики'!X3646:X3647)*'18_Календарь_тарифы'!X9,0)</f>
        <v/>
      </c>
      <c r="Y3649">
        <f>IF('01_Вводные'!$B$234="Да",SUM('19_Расчет_аналитики'!Y3646:Y3647)*'18_Календарь_тарифы'!Y9,0)</f>
        <v/>
      </c>
      <c r="Z3649">
        <f>IF('01_Вводные'!$B$234="Да",SUM('19_Расчет_аналитики'!Z3646:Z3647)*'18_Календарь_тарифы'!Z9,0)</f>
        <v/>
      </c>
      <c r="AA3649">
        <f>IF('01_Вводные'!$B$234="Да",SUM('19_Расчет_аналитики'!AA3646:AA3647)*'18_Календарь_тарифы'!AA9,0)</f>
        <v/>
      </c>
      <c r="AB3649">
        <f>IF('01_Вводные'!$B$234="Да",SUM('19_Расчет_аналитики'!AB3646:AB3647)*'18_Календарь_тарифы'!AB9,0)</f>
        <v/>
      </c>
      <c r="AC3649">
        <f>IF('01_Вводные'!$B$234="Да",SUM('19_Расчет_аналитики'!AC3646:AC3647)*'18_Календарь_тарифы'!AC9,0)</f>
        <v/>
      </c>
      <c r="AD3649">
        <f>IF('01_Вводные'!$B$234="Да",SUM('19_Расчет_аналитики'!AD3646:AD3647)*'18_Календарь_тарифы'!AD9,0)</f>
        <v/>
      </c>
      <c r="AE3649">
        <f>IF('01_Вводные'!$B$234="Да",SUM('19_Расчет_аналитики'!AE3646:AE3647)*'18_Календарь_тарифы'!AE9,0)</f>
        <v/>
      </c>
      <c r="AF3649">
        <f>IF('01_Вводные'!$B$234="Да",SUM('19_Расчет_аналитики'!AF3646:AF3647)*'18_Календарь_тарифы'!AF9,0)</f>
        <v/>
      </c>
      <c r="AG3649">
        <f>IF('01_Вводные'!$B$234="Да",SUM('19_Расчет_аналитики'!AG3646:AG3647)*'18_Календарь_тарифы'!AG9,0)</f>
        <v/>
      </c>
      <c r="AH3649">
        <f>IF('01_Вводные'!$B$234="Да",SUM('19_Расчет_аналитики'!AH3646:AH3647)*'18_Календарь_тарифы'!AH9,0)</f>
        <v/>
      </c>
      <c r="AI3649">
        <f>IF('01_Вводные'!$B$234="Да",SUM('19_Расчет_аналитики'!AI3646:AI3647)*'18_Календарь_тарифы'!AI9,0)</f>
        <v/>
      </c>
      <c r="AJ3649">
        <f>IF('01_Вводные'!$B$234="Да",SUM('19_Расчет_аналитики'!AJ3646:AJ3647)*'18_Календарь_тарифы'!AJ9,0)</f>
        <v/>
      </c>
      <c r="AK3649">
        <f>IF('01_Вводные'!$B$234="Да",SUM('19_Расчет_аналитики'!AK3646:AK3647)*'18_Календарь_тарифы'!AK9,0)</f>
        <v/>
      </c>
      <c r="AL3649">
        <f>IF('01_Вводные'!$B$234="Да",SUM('19_Расчет_аналитики'!AL3646:AL3647)*'18_Календарь_тарифы'!AL9,0)</f>
        <v/>
      </c>
      <c r="AM3649">
        <f>IF('01_Вводные'!$B$234="Да",SUM('19_Расчет_аналитики'!AM3646:AM3647)*'18_Календарь_тарифы'!AM9,0)</f>
        <v/>
      </c>
      <c r="AN3649">
        <f>IF('01_Вводные'!$B$234="Да",SUM('19_Расчет_аналитики'!AN3646:AN3647)*'18_Календарь_тарифы'!AN9,0)</f>
        <v/>
      </c>
      <c r="AO3649">
        <f>IF('01_Вводные'!$B$234="Да",SUM('19_Расчет_аналитики'!AO3646:AO3647)*'18_Календарь_тарифы'!AO9,0)</f>
        <v/>
      </c>
      <c r="AP3649">
        <f>IF('01_Вводные'!$B$234="Да",SUM('19_Расчет_аналитики'!AP3646:AP3647)*'18_Календарь_тарифы'!AP9,0)</f>
        <v/>
      </c>
      <c r="AQ3649">
        <f>IF('01_Вводные'!$B$234="Да",SUM('19_Расчет_аналитики'!AQ3646:AQ3647)*'18_Календарь_тарифы'!AQ9,0)</f>
        <v/>
      </c>
      <c r="AR3649">
        <f>IF('01_Вводные'!$B$234="Да",SUM('19_Расчет_аналитики'!AR3646:AR3647)*'18_Календарь_тарифы'!AR9,0)</f>
        <v/>
      </c>
      <c r="AS3649">
        <f>IF('01_Вводные'!$B$234="Да",SUM('19_Расчет_аналитики'!AS3646:AS3647)*'18_Календарь_тарифы'!AS9,0)</f>
        <v/>
      </c>
      <c r="AT3649">
        <f>IF('01_Вводные'!$B$234="Да",SUM('19_Расчет_аналитики'!AT3646:AT3647)*'18_Календарь_тарифы'!AT9,0)</f>
        <v/>
      </c>
      <c r="AU3649">
        <f>IF('01_Вводные'!$B$234="Да",SUM('19_Расчет_аналитики'!AU3646:AU3647)*'18_Календарь_тарифы'!AU9,0)</f>
        <v/>
      </c>
      <c r="AV3649">
        <f>IF('01_Вводные'!$B$234="Да",SUM('19_Расчет_аналитики'!AV3646:AV3647)*'18_Календарь_тарифы'!AV9,0)</f>
        <v/>
      </c>
      <c r="AW3649">
        <f>IF('01_Вводные'!$B$234="Да",SUM('19_Расчет_аналитики'!AW3646:AW3647)*'18_Календарь_тарифы'!AW9,0)</f>
        <v/>
      </c>
      <c r="AX3649">
        <f>IF('01_Вводные'!$B$234="Да",SUM('19_Расчет_аналитики'!AX3646:AX3647)*'18_Календарь_тарифы'!AX9,0)</f>
        <v/>
      </c>
      <c r="AY3649">
        <f>IF('01_Вводные'!$B$234="Да",SUM('19_Расчет_аналитики'!AY3646:AY3647)*'18_Календарь_тарифы'!AY9,0)</f>
        <v/>
      </c>
      <c r="AZ3649">
        <f>IF('01_Вводные'!$B$234="Да",SUM('19_Расчет_аналитики'!AZ3646:AZ3647)*'18_Календарь_тарифы'!AZ9,0)</f>
        <v/>
      </c>
      <c r="BA3649">
        <f>IF('01_Вводные'!$B$234="Да",SUM('19_Расчет_аналитики'!BA3646:BA3647)*'18_Календарь_тарифы'!BA9,0)</f>
        <v/>
      </c>
      <c r="BB3649">
        <f>IF('01_Вводные'!$B$234="Да",SUM('19_Расчет_аналитики'!BB3646:BB3647)*'18_Календарь_тарифы'!BB9,0)</f>
        <v/>
      </c>
      <c r="BC3649">
        <f>IF('01_Вводные'!$B$234="Да",SUM('19_Расчет_аналитики'!BC3646:BC3647)*'18_Календарь_тарифы'!BC9,0)</f>
        <v/>
      </c>
      <c r="BD3649">
        <f>IF('01_Вводные'!$B$234="Да",SUM('19_Расчет_аналитики'!BD3646:BD3647)*'18_Календарь_тарифы'!BD9,0)</f>
        <v/>
      </c>
      <c r="BE3649">
        <f>IF('01_Вводные'!$B$234="Да",SUM('19_Расчет_аналитики'!BE3646:BE3647)*'18_Календарь_тарифы'!BE9,0)</f>
        <v/>
      </c>
      <c r="BF3649">
        <f>IF('01_Вводные'!$B$234="Да",SUM('19_Расчет_аналитики'!BF3646:BF3647)*'18_Календарь_тарифы'!BF9,0)</f>
        <v/>
      </c>
      <c r="BG3649">
        <f>IF('01_Вводные'!$B$234="Да",SUM('19_Расчет_аналитики'!BG3646:BG3647)*'18_Календарь_тарифы'!BG9,0)</f>
        <v/>
      </c>
      <c r="BH3649">
        <f>IF('01_Вводные'!$B$234="Да",SUM('19_Расчет_аналитики'!BH3646:BH3647)*'18_Календарь_тарифы'!BH9,0)</f>
        <v/>
      </c>
      <c r="BI3649">
        <f>IF('01_Вводные'!$B$234="Да",SUM('19_Расчет_аналитики'!BI3646:BI3647)*'18_Календарь_тарифы'!BI9,0)</f>
        <v/>
      </c>
      <c r="BJ3649">
        <f>IF('01_Вводные'!$B$234="Да",SUM('19_Расчет_аналитики'!BJ3646:BJ3647)*'18_Календарь_тарифы'!BJ9,0)</f>
        <v/>
      </c>
      <c r="BK3649">
        <f>IF('01_Вводные'!$B$234="Да",SUM('19_Расчет_аналитики'!BK3646:BK3647)*'18_Календарь_тарифы'!BK9,0)</f>
        <v/>
      </c>
      <c r="BL3649">
        <f>IF('01_Вводные'!$B$234="Да",SUM('19_Расчет_аналитики'!BL3646:BL3647)*'18_Календарь_тарифы'!BL9,0)</f>
        <v/>
      </c>
      <c r="BM3649">
        <f>IF('01_Вводные'!$B$234="Да",SUM('19_Расчет_аналитики'!BM3646:BM3647)*'18_Календарь_тарифы'!BM9,0)</f>
        <v/>
      </c>
      <c r="BN3649">
        <f>IF('01_Вводные'!$B$234="Да",SUM('19_Расчет_аналитики'!BN3646:BN3647)*'18_Календарь_тарифы'!BN9,0)</f>
        <v/>
      </c>
      <c r="BO3649">
        <f>IF('01_Вводные'!$B$234="Да",SUM('19_Расчет_аналитики'!BO3646:BO3647)*'18_Календарь_тарифы'!BO9,0)</f>
        <v/>
      </c>
    </row>
    <row r="3650"/>
    <row r="3651">
      <c r="B3651">
        <f>IF('01_Вводные'!$B$234="Да",'07_Мерч'!B6+'19_Расчет_аналитики'!B3648,0)</f>
        <v/>
      </c>
      <c r="C3651">
        <f>IF('01_Вводные'!$B$234="Да",'07_Мерч'!C6+'19_Расчет_аналитики'!C3648,0)</f>
        <v/>
      </c>
      <c r="D3651">
        <f>IF('01_Вводные'!$B$234="Да",'07_Мерч'!D6+'19_Расчет_аналитики'!D3648,0)</f>
        <v/>
      </c>
      <c r="E3651">
        <f>IF('01_Вводные'!$B$234="Да",'07_Мерч'!E6+'19_Расчет_аналитики'!E3648,0)</f>
        <v/>
      </c>
      <c r="F3651">
        <f>IF('01_Вводные'!$B$234="Да",'19_Расчет_аналитики'!F3643+'19_Расчет_аналитики'!F3648,0)</f>
        <v/>
      </c>
      <c r="G3651">
        <f>IF('01_Вводные'!$B$234="Да",'19_Расчет_аналитики'!G3643+'19_Расчет_аналитики'!G3648,0)</f>
        <v/>
      </c>
      <c r="H3651">
        <f>IF('01_Вводные'!$B$234="Да",'19_Расчет_аналитики'!H3643+'19_Расчет_аналитики'!H3648,0)</f>
        <v/>
      </c>
      <c r="I3651">
        <f>IF('01_Вводные'!$B$234="Да",'19_Расчет_аналитики'!I3643+'19_Расчет_аналитики'!I3648,0)</f>
        <v/>
      </c>
      <c r="J3651">
        <f>IF('01_Вводные'!$B$234="Да",'19_Расчет_аналитики'!J3643+'19_Расчет_аналитики'!J3648,0)</f>
        <v/>
      </c>
      <c r="K3651">
        <f>IF('01_Вводные'!$B$234="Да",'19_Расчет_аналитики'!K3643+'19_Расчет_аналитики'!K3648,0)</f>
        <v/>
      </c>
      <c r="L3651">
        <f>IF('01_Вводные'!$B$234="Да",'19_Расчет_аналитики'!L3643+'19_Расчет_аналитики'!L3648,0)</f>
        <v/>
      </c>
      <c r="M3651">
        <f>IF('01_Вводные'!$B$234="Да",'19_Расчет_аналитики'!M3643+'19_Расчет_аналитики'!M3648,0)</f>
        <v/>
      </c>
      <c r="N3651">
        <f>IF('01_Вводные'!$B$234="Да",'19_Расчет_аналитики'!N3643+'19_Расчет_аналитики'!N3648,0)</f>
        <v/>
      </c>
      <c r="O3651">
        <f>IF('01_Вводные'!$B$234="Да",'19_Расчет_аналитики'!O3643+'19_Расчет_аналитики'!O3648,0)</f>
        <v/>
      </c>
      <c r="P3651">
        <f>IF('01_Вводные'!$B$234="Да",'19_Расчет_аналитики'!P3643+'19_Расчет_аналитики'!P3648,0)</f>
        <v/>
      </c>
      <c r="Q3651">
        <f>IF('01_Вводные'!$B$234="Да",'19_Расчет_аналитики'!Q3643+'19_Расчет_аналитики'!Q3648,0)</f>
        <v/>
      </c>
      <c r="R3651">
        <f>IF('01_Вводные'!$B$234="Да",'19_Расчет_аналитики'!R3643+'19_Расчет_аналитики'!R3648,0)</f>
        <v/>
      </c>
      <c r="S3651">
        <f>IF('01_Вводные'!$B$234="Да",'19_Расчет_аналитики'!S3643+'19_Расчет_аналитики'!S3648,0)</f>
        <v/>
      </c>
      <c r="T3651">
        <f>IF('01_Вводные'!$B$234="Да",'19_Расчет_аналитики'!T3643+'19_Расчет_аналитики'!T3648,0)</f>
        <v/>
      </c>
      <c r="U3651">
        <f>IF('01_Вводные'!$B$234="Да",'19_Расчет_аналитики'!U3643+'19_Расчет_аналитики'!U3648,0)</f>
        <v/>
      </c>
      <c r="V3651">
        <f>IF('01_Вводные'!$B$234="Да",'19_Расчет_аналитики'!V3643+'19_Расчет_аналитики'!V3648,0)</f>
        <v/>
      </c>
      <c r="W3651">
        <f>IF('01_Вводные'!$B$234="Да",'19_Расчет_аналитики'!W3643+'19_Расчет_аналитики'!W3648,0)</f>
        <v/>
      </c>
      <c r="X3651">
        <f>IF('01_Вводные'!$B$234="Да",'19_Расчет_аналитики'!X3643+'19_Расчет_аналитики'!X3648,0)</f>
        <v/>
      </c>
      <c r="Y3651">
        <f>IF('01_Вводные'!$B$234="Да",'19_Расчет_аналитики'!Y3643+'19_Расчет_аналитики'!Y3648,0)</f>
        <v/>
      </c>
      <c r="Z3651">
        <f>IF('01_Вводные'!$B$234="Да",'19_Расчет_аналитики'!Z3643+'19_Расчет_аналитики'!Z3648,0)</f>
        <v/>
      </c>
      <c r="AA3651">
        <f>IF('01_Вводные'!$B$234="Да",'19_Расчет_аналитики'!AA3643+'19_Расчет_аналитики'!AA3648,0)</f>
        <v/>
      </c>
      <c r="AB3651">
        <f>IF('01_Вводные'!$B$234="Да",'19_Расчет_аналитики'!AB3643+'19_Расчет_аналитики'!AB3648,0)</f>
        <v/>
      </c>
      <c r="AC3651">
        <f>IF('01_Вводные'!$B$234="Да",'19_Расчет_аналитики'!AC3643+'19_Расчет_аналитики'!AC3648,0)</f>
        <v/>
      </c>
      <c r="AD3651">
        <f>IF('01_Вводные'!$B$234="Да",'19_Расчет_аналитики'!AD3643+'19_Расчет_аналитики'!AD3648,0)</f>
        <v/>
      </c>
      <c r="AE3651">
        <f>IF('01_Вводные'!$B$234="Да",'19_Расчет_аналитики'!AE3643+'19_Расчет_аналитики'!AE3648,0)</f>
        <v/>
      </c>
      <c r="AF3651">
        <f>IF('01_Вводные'!$B$234="Да",'19_Расчет_аналитики'!AF3643+'19_Расчет_аналитики'!AF3648,0)</f>
        <v/>
      </c>
      <c r="AG3651">
        <f>IF('01_Вводные'!$B$234="Да",'19_Расчет_аналитики'!AG3643+'19_Расчет_аналитики'!AG3648,0)</f>
        <v/>
      </c>
      <c r="AH3651">
        <f>IF('01_Вводные'!$B$234="Да",'19_Расчет_аналитики'!AH3643+'19_Расчет_аналитики'!AH3648,0)</f>
        <v/>
      </c>
      <c r="AI3651">
        <f>IF('01_Вводные'!$B$234="Да",'19_Расчет_аналитики'!AI3643+'19_Расчет_аналитики'!AI3648,0)</f>
        <v/>
      </c>
      <c r="AJ3651">
        <f>IF('01_Вводные'!$B$234="Да",'19_Расчет_аналитики'!AJ3643+'19_Расчет_аналитики'!AJ3648,0)</f>
        <v/>
      </c>
      <c r="AK3651">
        <f>IF('01_Вводные'!$B$234="Да",'19_Расчет_аналитики'!AK3643+'19_Расчет_аналитики'!AK3648,0)</f>
        <v/>
      </c>
      <c r="AL3651">
        <f>IF('01_Вводные'!$B$234="Да",'19_Расчет_аналитики'!AL3643+'19_Расчет_аналитики'!AL3648,0)</f>
        <v/>
      </c>
      <c r="AM3651">
        <f>IF('01_Вводные'!$B$234="Да",'19_Расчет_аналитики'!AM3643+'19_Расчет_аналитики'!AM3648,0)</f>
        <v/>
      </c>
      <c r="AN3651">
        <f>IF('01_Вводные'!$B$234="Да",'19_Расчет_аналитики'!AN3643+'19_Расчет_аналитики'!AN3648,0)</f>
        <v/>
      </c>
      <c r="AO3651">
        <f>IF('01_Вводные'!$B$234="Да",'19_Расчет_аналитики'!AO3643+'19_Расчет_аналитики'!AO3648,0)</f>
        <v/>
      </c>
      <c r="AP3651">
        <f>IF('01_Вводные'!$B$234="Да",'19_Расчет_аналитики'!AP3643+'19_Расчет_аналитики'!AP3648,0)</f>
        <v/>
      </c>
      <c r="AQ3651">
        <f>IF('01_Вводные'!$B$234="Да",'19_Расчет_аналитики'!AQ3643+'19_Расчет_аналитики'!AQ3648,0)</f>
        <v/>
      </c>
      <c r="AR3651">
        <f>IF('01_Вводные'!$B$234="Да",'19_Расчет_аналитики'!AR3643+'19_Расчет_аналитики'!AR3648,0)</f>
        <v/>
      </c>
      <c r="AS3651">
        <f>IF('01_Вводные'!$B$234="Да",'19_Расчет_аналитики'!AS3643+'19_Расчет_аналитики'!AS3648,0)</f>
        <v/>
      </c>
      <c r="AT3651">
        <f>IF('01_Вводные'!$B$234="Да",'19_Расчет_аналитики'!AT3643+'19_Расчет_аналитики'!AT3648,0)</f>
        <v/>
      </c>
      <c r="AU3651">
        <f>IF('01_Вводные'!$B$234="Да",'19_Расчет_аналитики'!AU3643+'19_Расчет_аналитики'!AU3648,0)</f>
        <v/>
      </c>
      <c r="AV3651">
        <f>IF('01_Вводные'!$B$234="Да",'19_Расчет_аналитики'!AV3643+'19_Расчет_аналитики'!AV3648,0)</f>
        <v/>
      </c>
      <c r="AW3651">
        <f>IF('01_Вводные'!$B$234="Да",'19_Расчет_аналитики'!AW3643+'19_Расчет_аналитики'!AW3648,0)</f>
        <v/>
      </c>
      <c r="AX3651">
        <f>IF('01_Вводные'!$B$234="Да",'19_Расчет_аналитики'!AX3643+'19_Расчет_аналитики'!AX3648,0)</f>
        <v/>
      </c>
      <c r="AY3651">
        <f>IF('01_Вводные'!$B$234="Да",'19_Расчет_аналитики'!AY3643+'19_Расчет_аналитики'!AY3648,0)</f>
        <v/>
      </c>
      <c r="AZ3651">
        <f>IF('01_Вводные'!$B$234="Да",'19_Расчет_аналитики'!AZ3643+'19_Расчет_аналитики'!AZ3648,0)</f>
        <v/>
      </c>
      <c r="BA3651">
        <f>IF('01_Вводные'!$B$234="Да",'19_Расчет_аналитики'!BA3643+'19_Расчет_аналитики'!BA3648,0)</f>
        <v/>
      </c>
      <c r="BB3651">
        <f>IF('01_Вводные'!$B$234="Да",'19_Расчет_аналитики'!BB3643+'19_Расчет_аналитики'!BB3648,0)</f>
        <v/>
      </c>
      <c r="BC3651">
        <f>IF('01_Вводные'!$B$234="Да",'19_Расчет_аналитики'!BC3643+'19_Расчет_аналитики'!BC3648,0)</f>
        <v/>
      </c>
      <c r="BD3651">
        <f>IF('01_Вводные'!$B$234="Да",'19_Расчет_аналитики'!BD3643+'19_Расчет_аналитики'!BD3648,0)</f>
        <v/>
      </c>
      <c r="BE3651">
        <f>IF('01_Вводные'!$B$234="Да",'19_Расчет_аналитики'!BE3643+'19_Расчет_аналитики'!BE3648,0)</f>
        <v/>
      </c>
      <c r="BF3651">
        <f>IF('01_Вводные'!$B$234="Да",'19_Расчет_аналитики'!BF3643+'19_Расчет_аналитики'!BF3648,0)</f>
        <v/>
      </c>
      <c r="BG3651">
        <f>IF('01_Вводные'!$B$234="Да",'19_Расчет_аналитики'!BG3643+'19_Расчет_аналитики'!BG3648,0)</f>
        <v/>
      </c>
      <c r="BH3651">
        <f>IF('01_Вводные'!$B$234="Да",'19_Расчет_аналитики'!BH3643+'19_Расчет_аналитики'!BH3648,0)</f>
        <v/>
      </c>
      <c r="BI3651">
        <f>IF('01_Вводные'!$B$234="Да",'19_Расчет_аналитики'!BI3643+'19_Расчет_аналитики'!BI3648,0)</f>
        <v/>
      </c>
      <c r="BJ3651">
        <f>IF('01_Вводные'!$B$234="Да",'19_Расчет_аналитики'!BJ3643+'19_Расчет_аналитики'!BJ3648,0)</f>
        <v/>
      </c>
      <c r="BK3651">
        <f>IF('01_Вводные'!$B$234="Да",'19_Расчет_аналитики'!BK3643+'19_Расчет_аналитики'!BK3648,0)</f>
        <v/>
      </c>
      <c r="BL3651">
        <f>IF('01_Вводные'!$B$234="Да",'19_Расчет_аналитики'!BL3643+'19_Расчет_аналитики'!BL3648,0)</f>
        <v/>
      </c>
      <c r="BM3651">
        <f>IF('01_Вводные'!$B$234="Да",'19_Расчет_аналитики'!BM3643+'19_Расчет_аналитики'!BM3648,0)</f>
        <v/>
      </c>
      <c r="BN3651">
        <f>IF('01_Вводные'!$B$234="Да",'19_Расчет_аналитики'!BN3643+'19_Расчет_аналитики'!BN3648,0)</f>
        <v/>
      </c>
      <c r="BO3651">
        <f>IF('01_Вводные'!$B$234="Да",'19_Расчет_аналитики'!BO3643+'19_Расчет_аналитики'!BO3648,0)</f>
        <v/>
      </c>
    </row>
    <row r="3652">
      <c r="B3652">
        <f>IF('01_Вводные'!$B$234="Да",'19_Расчет_аналитики'!B3651/(1+'01_Вводные'!$B$58),0)</f>
        <v/>
      </c>
      <c r="C3652">
        <f>IF('01_Вводные'!$B$234="Да",'19_Расчет_аналитики'!C3651/(1+'01_Вводные'!$B$58),0)</f>
        <v/>
      </c>
      <c r="D3652">
        <f>IF('01_Вводные'!$B$234="Да",'19_Расчет_аналитики'!D3651/(1+'01_Вводные'!$B$58),0)</f>
        <v/>
      </c>
      <c r="E3652">
        <f>IF('01_Вводные'!$B$234="Да",'19_Расчет_аналитики'!E3651/(1+'01_Вводные'!$B$58),0)</f>
        <v/>
      </c>
      <c r="F3652">
        <f>IF('01_Вводные'!$B$234="Да",'19_Расчет_аналитики'!F3651/(1+'01_Вводные'!$B$58),0)</f>
        <v/>
      </c>
      <c r="G3652">
        <f>IF('01_Вводные'!$B$234="Да",'19_Расчет_аналитики'!G3651/(1+'01_Вводные'!$B$58),0)</f>
        <v/>
      </c>
      <c r="H3652">
        <f>IF('01_Вводные'!$B$234="Да",'19_Расчет_аналитики'!H3651/(1+'01_Вводные'!$B$58),0)</f>
        <v/>
      </c>
      <c r="I3652">
        <f>IF('01_Вводные'!$B$234="Да",'19_Расчет_аналитики'!I3651/(1+'01_Вводные'!$B$58),0)</f>
        <v/>
      </c>
      <c r="J3652">
        <f>IF('01_Вводные'!$B$234="Да",'19_Расчет_аналитики'!J3651/(1+'01_Вводные'!$B$58),0)</f>
        <v/>
      </c>
      <c r="K3652">
        <f>IF('01_Вводные'!$B$234="Да",'19_Расчет_аналитики'!K3651/(1+'01_Вводные'!$B$58),0)</f>
        <v/>
      </c>
      <c r="L3652">
        <f>IF('01_Вводные'!$B$234="Да",'19_Расчет_аналитики'!L3651/(1+'01_Вводные'!$B$58),0)</f>
        <v/>
      </c>
      <c r="M3652">
        <f>IF('01_Вводные'!$B$234="Да",'19_Расчет_аналитики'!M3651/(1+'01_Вводные'!$B$58),0)</f>
        <v/>
      </c>
      <c r="N3652">
        <f>IF('01_Вводные'!$B$234="Да",'19_Расчет_аналитики'!N3651/(1+'01_Вводные'!$B$58),0)</f>
        <v/>
      </c>
      <c r="O3652">
        <f>IF('01_Вводные'!$B$234="Да",'19_Расчет_аналитики'!O3651/(1+'01_Вводные'!$B$58),0)</f>
        <v/>
      </c>
      <c r="P3652">
        <f>IF('01_Вводные'!$B$234="Да",'19_Расчет_аналитики'!P3651/(1+'01_Вводные'!$B$58),0)</f>
        <v/>
      </c>
      <c r="Q3652">
        <f>IF('01_Вводные'!$B$234="Да",'19_Расчет_аналитики'!Q3651/(1+'01_Вводные'!$B$58),0)</f>
        <v/>
      </c>
      <c r="R3652">
        <f>IF('01_Вводные'!$B$234="Да",'19_Расчет_аналитики'!R3651/(1+'01_Вводные'!$B$58),0)</f>
        <v/>
      </c>
      <c r="S3652">
        <f>IF('01_Вводные'!$B$234="Да",'19_Расчет_аналитики'!S3651/(1+'01_Вводные'!$B$58),0)</f>
        <v/>
      </c>
      <c r="T3652">
        <f>IF('01_Вводные'!$B$234="Да",'19_Расчет_аналитики'!T3651/(1+'01_Вводные'!$B$58),0)</f>
        <v/>
      </c>
      <c r="U3652">
        <f>IF('01_Вводные'!$B$234="Да",'19_Расчет_аналитики'!U3651/(1+'01_Вводные'!$B$58),0)</f>
        <v/>
      </c>
      <c r="V3652">
        <f>IF('01_Вводные'!$B$234="Да",'19_Расчет_аналитики'!V3651/(1+'01_Вводные'!$B$58),0)</f>
        <v/>
      </c>
      <c r="W3652">
        <f>IF('01_Вводные'!$B$234="Да",'19_Расчет_аналитики'!W3651/(1+'01_Вводные'!$B$58),0)</f>
        <v/>
      </c>
      <c r="X3652">
        <f>IF('01_Вводные'!$B$234="Да",'19_Расчет_аналитики'!X3651/(1+'01_Вводные'!$B$58),0)</f>
        <v/>
      </c>
      <c r="Y3652">
        <f>IF('01_Вводные'!$B$234="Да",'19_Расчет_аналитики'!Y3651/(1+'01_Вводные'!$B$58),0)</f>
        <v/>
      </c>
      <c r="Z3652">
        <f>IF('01_Вводные'!$B$234="Да",'19_Расчет_аналитики'!Z3651/(1+'01_Вводные'!$B$58),0)</f>
        <v/>
      </c>
      <c r="AA3652">
        <f>IF('01_Вводные'!$B$234="Да",'19_Расчет_аналитики'!AA3651/(1+'01_Вводные'!$B$58),0)</f>
        <v/>
      </c>
      <c r="AB3652">
        <f>IF('01_Вводные'!$B$234="Да",'19_Расчет_аналитики'!AB3651/(1+'01_Вводные'!$B$58),0)</f>
        <v/>
      </c>
      <c r="AC3652">
        <f>IF('01_Вводные'!$B$234="Да",'19_Расчет_аналитики'!AC3651/(1+'01_Вводные'!$B$58),0)</f>
        <v/>
      </c>
      <c r="AD3652">
        <f>IF('01_Вводные'!$B$234="Да",'19_Расчет_аналитики'!AD3651/(1+'01_Вводные'!$B$58),0)</f>
        <v/>
      </c>
      <c r="AE3652">
        <f>IF('01_Вводные'!$B$234="Да",'19_Расчет_аналитики'!AE3651/(1+'01_Вводные'!$B$58),0)</f>
        <v/>
      </c>
      <c r="AF3652">
        <f>IF('01_Вводные'!$B$234="Да",'19_Расчет_аналитики'!AF3651/(1+'01_Вводные'!$B$58),0)</f>
        <v/>
      </c>
      <c r="AG3652">
        <f>IF('01_Вводные'!$B$234="Да",'19_Расчет_аналитики'!AG3651/(1+'01_Вводные'!$B$58),0)</f>
        <v/>
      </c>
      <c r="AH3652">
        <f>IF('01_Вводные'!$B$234="Да",'19_Расчет_аналитики'!AH3651/(1+'01_Вводные'!$B$58),0)</f>
        <v/>
      </c>
      <c r="AI3652">
        <f>IF('01_Вводные'!$B$234="Да",'19_Расчет_аналитики'!AI3651/(1+'01_Вводные'!$B$58),0)</f>
        <v/>
      </c>
      <c r="AJ3652">
        <f>IF('01_Вводные'!$B$234="Да",'19_Расчет_аналитики'!AJ3651/(1+'01_Вводные'!$B$58),0)</f>
        <v/>
      </c>
      <c r="AK3652">
        <f>IF('01_Вводные'!$B$234="Да",'19_Расчет_аналитики'!AK3651/(1+'01_Вводные'!$B$58),0)</f>
        <v/>
      </c>
      <c r="AL3652">
        <f>IF('01_Вводные'!$B$234="Да",'19_Расчет_аналитики'!AL3651/(1+'01_Вводные'!$B$58),0)</f>
        <v/>
      </c>
      <c r="AM3652">
        <f>IF('01_Вводные'!$B$234="Да",'19_Расчет_аналитики'!AM3651/(1+'01_Вводные'!$B$58),0)</f>
        <v/>
      </c>
      <c r="AN3652">
        <f>IF('01_Вводные'!$B$234="Да",'19_Расчет_аналитики'!AN3651/(1+'01_Вводные'!$B$58),0)</f>
        <v/>
      </c>
      <c r="AO3652">
        <f>IF('01_Вводные'!$B$234="Да",'19_Расчет_аналитики'!AO3651/(1+'01_Вводные'!$B$58),0)</f>
        <v/>
      </c>
      <c r="AP3652">
        <f>IF('01_Вводные'!$B$234="Да",'19_Расчет_аналитики'!AP3651/(1+'01_Вводные'!$B$58),0)</f>
        <v/>
      </c>
      <c r="AQ3652">
        <f>IF('01_Вводные'!$B$234="Да",'19_Расчет_аналитики'!AQ3651/(1+'01_Вводные'!$B$58),0)</f>
        <v/>
      </c>
      <c r="AR3652">
        <f>IF('01_Вводные'!$B$234="Да",'19_Расчет_аналитики'!AR3651/(1+'01_Вводные'!$B$58),0)</f>
        <v/>
      </c>
      <c r="AS3652">
        <f>IF('01_Вводные'!$B$234="Да",'19_Расчет_аналитики'!AS3651/(1+'01_Вводные'!$B$58),0)</f>
        <v/>
      </c>
      <c r="AT3652">
        <f>IF('01_Вводные'!$B$234="Да",'19_Расчет_аналитики'!AT3651/(1+'01_Вводные'!$B$58),0)</f>
        <v/>
      </c>
      <c r="AU3652">
        <f>IF('01_Вводные'!$B$234="Да",'19_Расчет_аналитики'!AU3651/(1+'01_Вводные'!$B$58),0)</f>
        <v/>
      </c>
      <c r="AV3652">
        <f>IF('01_Вводные'!$B$234="Да",'19_Расчет_аналитики'!AV3651/(1+'01_Вводные'!$B$58),0)</f>
        <v/>
      </c>
      <c r="AW3652">
        <f>IF('01_Вводные'!$B$234="Да",'19_Расчет_аналитики'!AW3651/(1+'01_Вводные'!$B$58),0)</f>
        <v/>
      </c>
      <c r="AX3652">
        <f>IF('01_Вводные'!$B$234="Да",'19_Расчет_аналитики'!AX3651/(1+'01_Вводные'!$B$58),0)</f>
        <v/>
      </c>
      <c r="AY3652">
        <f>IF('01_Вводные'!$B$234="Да",'19_Расчет_аналитики'!AY3651/(1+'01_Вводные'!$B$58),0)</f>
        <v/>
      </c>
      <c r="AZ3652">
        <f>IF('01_Вводные'!$B$234="Да",'19_Расчет_аналитики'!AZ3651/(1+'01_Вводные'!$B$58),0)</f>
        <v/>
      </c>
      <c r="BA3652">
        <f>IF('01_Вводные'!$B$234="Да",'19_Расчет_аналитики'!BA3651/(1+'01_Вводные'!$B$58),0)</f>
        <v/>
      </c>
      <c r="BB3652">
        <f>IF('01_Вводные'!$B$234="Да",'19_Расчет_аналитики'!BB3651/(1+'01_Вводные'!$B$58),0)</f>
        <v/>
      </c>
      <c r="BC3652">
        <f>IF('01_Вводные'!$B$234="Да",'19_Расчет_аналитики'!BC3651/(1+'01_Вводные'!$B$58),0)</f>
        <v/>
      </c>
      <c r="BD3652">
        <f>IF('01_Вводные'!$B$234="Да",'19_Расчет_аналитики'!BD3651/(1+'01_Вводные'!$B$58),0)</f>
        <v/>
      </c>
      <c r="BE3652">
        <f>IF('01_Вводные'!$B$234="Да",'19_Расчет_аналитики'!BE3651/(1+'01_Вводные'!$B$58),0)</f>
        <v/>
      </c>
      <c r="BF3652">
        <f>IF('01_Вводные'!$B$234="Да",'19_Расчет_аналитики'!BF3651/(1+'01_Вводные'!$B$58),0)</f>
        <v/>
      </c>
      <c r="BG3652">
        <f>IF('01_Вводные'!$B$234="Да",'19_Расчет_аналитики'!BG3651/(1+'01_Вводные'!$B$58),0)</f>
        <v/>
      </c>
      <c r="BH3652">
        <f>IF('01_Вводные'!$B$234="Да",'19_Расчет_аналитики'!BH3651/(1+'01_Вводные'!$B$58),0)</f>
        <v/>
      </c>
      <c r="BI3652">
        <f>IF('01_Вводные'!$B$234="Да",'19_Расчет_аналитики'!BI3651/(1+'01_Вводные'!$B$58),0)</f>
        <v/>
      </c>
      <c r="BJ3652">
        <f>IF('01_Вводные'!$B$234="Да",'19_Расчет_аналитики'!BJ3651/(1+'01_Вводные'!$B$58),0)</f>
        <v/>
      </c>
      <c r="BK3652">
        <f>IF('01_Вводные'!$B$234="Да",'19_Расчет_аналитики'!BK3651/(1+'01_Вводные'!$B$58),0)</f>
        <v/>
      </c>
      <c r="BL3652">
        <f>IF('01_Вводные'!$B$234="Да",'19_Расчет_аналитики'!BL3651/(1+'01_Вводные'!$B$58),0)</f>
        <v/>
      </c>
      <c r="BM3652">
        <f>IF('01_Вводные'!$B$234="Да",'19_Расчет_аналитики'!BM3651/(1+'01_Вводные'!$B$58),0)</f>
        <v/>
      </c>
      <c r="BN3652">
        <f>IF('01_Вводные'!$B$234="Да",'19_Расчет_аналитики'!BN3651/(1+'01_Вводные'!$B$58),0)</f>
        <v/>
      </c>
      <c r="BO3652">
        <f>IF('01_Вводные'!$B$234="Да",'19_Расчет_аналитики'!BO3651/(1+'01_Вводные'!$B$58),0)</f>
        <v/>
      </c>
    </row>
    <row r="3653">
      <c r="B3653">
        <f>IF('01_Вводные'!$B$234="Да",'07_Мерч'!B7+'19_Расчет_аналитики'!B3649,0)</f>
        <v/>
      </c>
      <c r="C3653">
        <f>IF('01_Вводные'!$B$234="Да",'07_Мерч'!C7+'19_Расчет_аналитики'!C3649,0)</f>
        <v/>
      </c>
      <c r="D3653">
        <f>IF('01_Вводные'!$B$234="Да",'07_Мерч'!D7+'19_Расчет_аналитики'!D3649,0)</f>
        <v/>
      </c>
      <c r="E3653">
        <f>IF('01_Вводные'!$B$234="Да",'07_Мерч'!E7+'19_Расчет_аналитики'!E3649,0)</f>
        <v/>
      </c>
      <c r="F3653">
        <f>IF('01_Вводные'!$B$234="Да",'19_Расчет_аналитики'!F3644+'19_Расчет_аналитики'!F3649,0)</f>
        <v/>
      </c>
      <c r="G3653">
        <f>IF('01_Вводные'!$B$234="Да",'19_Расчет_аналитики'!G3644+'19_Расчет_аналитики'!G3649,0)</f>
        <v/>
      </c>
      <c r="H3653">
        <f>IF('01_Вводные'!$B$234="Да",'19_Расчет_аналитики'!H3644+'19_Расчет_аналитики'!H3649,0)</f>
        <v/>
      </c>
      <c r="I3653">
        <f>IF('01_Вводные'!$B$234="Да",'19_Расчет_аналитики'!I3644+'19_Расчет_аналитики'!I3649,0)</f>
        <v/>
      </c>
      <c r="J3653">
        <f>IF('01_Вводные'!$B$234="Да",'19_Расчет_аналитики'!J3644+'19_Расчет_аналитики'!J3649,0)</f>
        <v/>
      </c>
      <c r="K3653">
        <f>IF('01_Вводные'!$B$234="Да",'19_Расчет_аналитики'!K3644+'19_Расчет_аналитики'!K3649,0)</f>
        <v/>
      </c>
      <c r="L3653">
        <f>IF('01_Вводные'!$B$234="Да",'19_Расчет_аналитики'!L3644+'19_Расчет_аналитики'!L3649,0)</f>
        <v/>
      </c>
      <c r="M3653">
        <f>IF('01_Вводные'!$B$234="Да",'19_Расчет_аналитики'!M3644+'19_Расчет_аналитики'!M3649,0)</f>
        <v/>
      </c>
      <c r="N3653">
        <f>IF('01_Вводные'!$B$234="Да",'19_Расчет_аналитики'!N3644+'19_Расчет_аналитики'!N3649,0)</f>
        <v/>
      </c>
      <c r="O3653">
        <f>IF('01_Вводные'!$B$234="Да",'19_Расчет_аналитики'!O3644+'19_Расчет_аналитики'!O3649,0)</f>
        <v/>
      </c>
      <c r="P3653">
        <f>IF('01_Вводные'!$B$234="Да",'19_Расчет_аналитики'!P3644+'19_Расчет_аналитики'!P3649,0)</f>
        <v/>
      </c>
      <c r="Q3653">
        <f>IF('01_Вводные'!$B$234="Да",'19_Расчет_аналитики'!Q3644+'19_Расчет_аналитики'!Q3649,0)</f>
        <v/>
      </c>
      <c r="R3653">
        <f>IF('01_Вводные'!$B$234="Да",'19_Расчет_аналитики'!R3644+'19_Расчет_аналитики'!R3649,0)</f>
        <v/>
      </c>
      <c r="S3653">
        <f>IF('01_Вводные'!$B$234="Да",'19_Расчет_аналитики'!S3644+'19_Расчет_аналитики'!S3649,0)</f>
        <v/>
      </c>
      <c r="T3653">
        <f>IF('01_Вводные'!$B$234="Да",'19_Расчет_аналитики'!T3644+'19_Расчет_аналитики'!T3649,0)</f>
        <v/>
      </c>
      <c r="U3653">
        <f>IF('01_Вводные'!$B$234="Да",'19_Расчет_аналитики'!U3644+'19_Расчет_аналитики'!U3649,0)</f>
        <v/>
      </c>
      <c r="V3653">
        <f>IF('01_Вводные'!$B$234="Да",'19_Расчет_аналитики'!V3644+'19_Расчет_аналитики'!V3649,0)</f>
        <v/>
      </c>
      <c r="W3653">
        <f>IF('01_Вводные'!$B$234="Да",'19_Расчет_аналитики'!W3644+'19_Расчет_аналитики'!W3649,0)</f>
        <v/>
      </c>
      <c r="X3653">
        <f>IF('01_Вводные'!$B$234="Да",'19_Расчет_аналитики'!X3644+'19_Расчет_аналитики'!X3649,0)</f>
        <v/>
      </c>
      <c r="Y3653">
        <f>IF('01_Вводные'!$B$234="Да",'19_Расчет_аналитики'!Y3644+'19_Расчет_аналитики'!Y3649,0)</f>
        <v/>
      </c>
      <c r="Z3653">
        <f>IF('01_Вводные'!$B$234="Да",'19_Расчет_аналитики'!Z3644+'19_Расчет_аналитики'!Z3649,0)</f>
        <v/>
      </c>
      <c r="AA3653">
        <f>IF('01_Вводные'!$B$234="Да",'19_Расчет_аналитики'!AA3644+'19_Расчет_аналитики'!AA3649,0)</f>
        <v/>
      </c>
      <c r="AB3653">
        <f>IF('01_Вводные'!$B$234="Да",'19_Расчет_аналитики'!AB3644+'19_Расчет_аналитики'!AB3649,0)</f>
        <v/>
      </c>
      <c r="AC3653">
        <f>IF('01_Вводные'!$B$234="Да",'19_Расчет_аналитики'!AC3644+'19_Расчет_аналитики'!AC3649,0)</f>
        <v/>
      </c>
      <c r="AD3653">
        <f>IF('01_Вводные'!$B$234="Да",'19_Расчет_аналитики'!AD3644+'19_Расчет_аналитики'!AD3649,0)</f>
        <v/>
      </c>
      <c r="AE3653">
        <f>IF('01_Вводные'!$B$234="Да",'19_Расчет_аналитики'!AE3644+'19_Расчет_аналитики'!AE3649,0)</f>
        <v/>
      </c>
      <c r="AF3653">
        <f>IF('01_Вводные'!$B$234="Да",'19_Расчет_аналитики'!AF3644+'19_Расчет_аналитики'!AF3649,0)</f>
        <v/>
      </c>
      <c r="AG3653">
        <f>IF('01_Вводные'!$B$234="Да",'19_Расчет_аналитики'!AG3644+'19_Расчет_аналитики'!AG3649,0)</f>
        <v/>
      </c>
      <c r="AH3653">
        <f>IF('01_Вводные'!$B$234="Да",'19_Расчет_аналитики'!AH3644+'19_Расчет_аналитики'!AH3649,0)</f>
        <v/>
      </c>
      <c r="AI3653">
        <f>IF('01_Вводные'!$B$234="Да",'19_Расчет_аналитики'!AI3644+'19_Расчет_аналитики'!AI3649,0)</f>
        <v/>
      </c>
      <c r="AJ3653">
        <f>IF('01_Вводные'!$B$234="Да",'19_Расчет_аналитики'!AJ3644+'19_Расчет_аналитики'!AJ3649,0)</f>
        <v/>
      </c>
      <c r="AK3653">
        <f>IF('01_Вводные'!$B$234="Да",'19_Расчет_аналитики'!AK3644+'19_Расчет_аналитики'!AK3649,0)</f>
        <v/>
      </c>
      <c r="AL3653">
        <f>IF('01_Вводные'!$B$234="Да",'19_Расчет_аналитики'!AL3644+'19_Расчет_аналитики'!AL3649,0)</f>
        <v/>
      </c>
      <c r="AM3653">
        <f>IF('01_Вводные'!$B$234="Да",'19_Расчет_аналитики'!AM3644+'19_Расчет_аналитики'!AM3649,0)</f>
        <v/>
      </c>
      <c r="AN3653">
        <f>IF('01_Вводные'!$B$234="Да",'19_Расчет_аналитики'!AN3644+'19_Расчет_аналитики'!AN3649,0)</f>
        <v/>
      </c>
      <c r="AO3653">
        <f>IF('01_Вводные'!$B$234="Да",'19_Расчет_аналитики'!AO3644+'19_Расчет_аналитики'!AO3649,0)</f>
        <v/>
      </c>
      <c r="AP3653">
        <f>IF('01_Вводные'!$B$234="Да",'19_Расчет_аналитики'!AP3644+'19_Расчет_аналитики'!AP3649,0)</f>
        <v/>
      </c>
      <c r="AQ3653">
        <f>IF('01_Вводные'!$B$234="Да",'19_Расчет_аналитики'!AQ3644+'19_Расчет_аналитики'!AQ3649,0)</f>
        <v/>
      </c>
      <c r="AR3653">
        <f>IF('01_Вводные'!$B$234="Да",'19_Расчет_аналитики'!AR3644+'19_Расчет_аналитики'!AR3649,0)</f>
        <v/>
      </c>
      <c r="AS3653">
        <f>IF('01_Вводные'!$B$234="Да",'19_Расчет_аналитики'!AS3644+'19_Расчет_аналитики'!AS3649,0)</f>
        <v/>
      </c>
      <c r="AT3653">
        <f>IF('01_Вводные'!$B$234="Да",'19_Расчет_аналитики'!AT3644+'19_Расчет_аналитики'!AT3649,0)</f>
        <v/>
      </c>
      <c r="AU3653">
        <f>IF('01_Вводные'!$B$234="Да",'19_Расчет_аналитики'!AU3644+'19_Расчет_аналитики'!AU3649,0)</f>
        <v/>
      </c>
      <c r="AV3653">
        <f>IF('01_Вводные'!$B$234="Да",'19_Расчет_аналитики'!AV3644+'19_Расчет_аналитики'!AV3649,0)</f>
        <v/>
      </c>
      <c r="AW3653">
        <f>IF('01_Вводные'!$B$234="Да",'19_Расчет_аналитики'!AW3644+'19_Расчет_аналитики'!AW3649,0)</f>
        <v/>
      </c>
      <c r="AX3653">
        <f>IF('01_Вводные'!$B$234="Да",'19_Расчет_аналитики'!AX3644+'19_Расчет_аналитики'!AX3649,0)</f>
        <v/>
      </c>
      <c r="AY3653">
        <f>IF('01_Вводные'!$B$234="Да",'19_Расчет_аналитики'!AY3644+'19_Расчет_аналитики'!AY3649,0)</f>
        <v/>
      </c>
      <c r="AZ3653">
        <f>IF('01_Вводные'!$B$234="Да",'19_Расчет_аналитики'!AZ3644+'19_Расчет_аналитики'!AZ3649,0)</f>
        <v/>
      </c>
      <c r="BA3653">
        <f>IF('01_Вводные'!$B$234="Да",'19_Расчет_аналитики'!BA3644+'19_Расчет_аналитики'!BA3649,0)</f>
        <v/>
      </c>
      <c r="BB3653">
        <f>IF('01_Вводные'!$B$234="Да",'19_Расчет_аналитики'!BB3644+'19_Расчет_аналитики'!BB3649,0)</f>
        <v/>
      </c>
      <c r="BC3653">
        <f>IF('01_Вводные'!$B$234="Да",'19_Расчет_аналитики'!BC3644+'19_Расчет_аналитики'!BC3649,0)</f>
        <v/>
      </c>
      <c r="BD3653">
        <f>IF('01_Вводные'!$B$234="Да",'19_Расчет_аналитики'!BD3644+'19_Расчет_аналитики'!BD3649,0)</f>
        <v/>
      </c>
      <c r="BE3653">
        <f>IF('01_Вводные'!$B$234="Да",'19_Расчет_аналитики'!BE3644+'19_Расчет_аналитики'!BE3649,0)</f>
        <v/>
      </c>
      <c r="BF3653">
        <f>IF('01_Вводные'!$B$234="Да",'19_Расчет_аналитики'!BF3644+'19_Расчет_аналитики'!BF3649,0)</f>
        <v/>
      </c>
      <c r="BG3653">
        <f>IF('01_Вводные'!$B$234="Да",'19_Расчет_аналитики'!BG3644+'19_Расчет_аналитики'!BG3649,0)</f>
        <v/>
      </c>
      <c r="BH3653">
        <f>IF('01_Вводные'!$B$234="Да",'19_Расчет_аналитики'!BH3644+'19_Расчет_аналитики'!BH3649,0)</f>
        <v/>
      </c>
      <c r="BI3653">
        <f>IF('01_Вводные'!$B$234="Да",'19_Расчет_аналитики'!BI3644+'19_Расчет_аналитики'!BI3649,0)</f>
        <v/>
      </c>
      <c r="BJ3653">
        <f>IF('01_Вводные'!$B$234="Да",'19_Расчет_аналитики'!BJ3644+'19_Расчет_аналитики'!BJ3649,0)</f>
        <v/>
      </c>
      <c r="BK3653">
        <f>IF('01_Вводные'!$B$234="Да",'19_Расчет_аналитики'!BK3644+'19_Расчет_аналитики'!BK3649,0)</f>
        <v/>
      </c>
      <c r="BL3653">
        <f>IF('01_Вводные'!$B$234="Да",'19_Расчет_аналитики'!BL3644+'19_Расчет_аналитики'!BL3649,0)</f>
        <v/>
      </c>
      <c r="BM3653">
        <f>IF('01_Вводные'!$B$234="Да",'19_Расчет_аналитики'!BM3644+'19_Расчет_аналитики'!BM3649,0)</f>
        <v/>
      </c>
      <c r="BN3653">
        <f>IF('01_Вводные'!$B$234="Да",'19_Расчет_аналитики'!BN3644+'19_Расчет_аналитики'!BN3649,0)</f>
        <v/>
      </c>
      <c r="BO3653">
        <f>IF('01_Вводные'!$B$234="Да",'19_Расчет_аналитики'!BO3644+'19_Расчет_аналитики'!BO3649,0)</f>
        <v/>
      </c>
    </row>
    <row r="3654">
      <c r="B3654">
        <f>IF('01_Вводные'!$B$234="Да",'19_Расчет_аналитики'!B3652*'01_Вводные'!$B$75,0)</f>
        <v/>
      </c>
      <c r="C3654">
        <f>IF('01_Вводные'!$B$234="Да",'19_Расчет_аналитики'!C3652*'01_Вводные'!$B$75,0)</f>
        <v/>
      </c>
      <c r="D3654">
        <f>IF('01_Вводные'!$B$234="Да",'19_Расчет_аналитики'!D3652*'01_Вводные'!$B$75,0)</f>
        <v/>
      </c>
      <c r="E3654">
        <f>IF('01_Вводные'!$B$234="Да",'19_Расчет_аналитики'!E3652*'01_Вводные'!$B$75,0)</f>
        <v/>
      </c>
      <c r="F3654">
        <f>IF('01_Вводные'!$B$234="Да",'19_Расчет_аналитики'!F3652*'01_Вводные'!$B$75,0)</f>
        <v/>
      </c>
      <c r="G3654">
        <f>IF('01_Вводные'!$B$234="Да",'19_Расчет_аналитики'!G3652*'01_Вводные'!$B$75,0)</f>
        <v/>
      </c>
      <c r="H3654">
        <f>IF('01_Вводные'!$B$234="Да",'19_Расчет_аналитики'!H3652*'01_Вводные'!$B$75,0)</f>
        <v/>
      </c>
      <c r="I3654">
        <f>IF('01_Вводные'!$B$234="Да",'19_Расчет_аналитики'!I3652*'01_Вводные'!$B$75,0)</f>
        <v/>
      </c>
      <c r="J3654">
        <f>IF('01_Вводные'!$B$234="Да",'19_Расчет_аналитики'!J3652*'01_Вводные'!$B$75,0)</f>
        <v/>
      </c>
      <c r="K3654">
        <f>IF('01_Вводные'!$B$234="Да",'19_Расчет_аналитики'!K3652*'01_Вводные'!$B$75,0)</f>
        <v/>
      </c>
      <c r="L3654">
        <f>IF('01_Вводные'!$B$234="Да",'19_Расчет_аналитики'!L3652*'01_Вводные'!$B$75,0)</f>
        <v/>
      </c>
      <c r="M3654">
        <f>IF('01_Вводные'!$B$234="Да",'19_Расчет_аналитики'!M3652*'01_Вводные'!$B$75,0)</f>
        <v/>
      </c>
      <c r="N3654">
        <f>IF('01_Вводные'!$B$234="Да",'19_Расчет_аналитики'!N3652*'01_Вводные'!$B$75,0)</f>
        <v/>
      </c>
      <c r="O3654">
        <f>IF('01_Вводные'!$B$234="Да",'19_Расчет_аналитики'!O3652*'01_Вводные'!$B$75,0)</f>
        <v/>
      </c>
      <c r="P3654">
        <f>IF('01_Вводные'!$B$234="Да",'19_Расчет_аналитики'!P3652*'01_Вводные'!$B$75,0)</f>
        <v/>
      </c>
      <c r="Q3654">
        <f>IF('01_Вводные'!$B$234="Да",'19_Расчет_аналитики'!Q3652*'01_Вводные'!$B$75,0)</f>
        <v/>
      </c>
      <c r="R3654">
        <f>IF('01_Вводные'!$B$234="Да",'19_Расчет_аналитики'!R3652*'01_Вводные'!$B$75,0)</f>
        <v/>
      </c>
      <c r="S3654">
        <f>IF('01_Вводные'!$B$234="Да",'19_Расчет_аналитики'!S3652*'01_Вводные'!$B$75,0)</f>
        <v/>
      </c>
      <c r="T3654">
        <f>IF('01_Вводные'!$B$234="Да",'19_Расчет_аналитики'!T3652*'01_Вводные'!$B$75,0)</f>
        <v/>
      </c>
      <c r="U3654">
        <f>IF('01_Вводные'!$B$234="Да",'19_Расчет_аналитики'!U3652*'01_Вводные'!$B$75,0)</f>
        <v/>
      </c>
      <c r="V3654">
        <f>IF('01_Вводные'!$B$234="Да",'19_Расчет_аналитики'!V3652*'01_Вводные'!$B$75,0)</f>
        <v/>
      </c>
      <c r="W3654">
        <f>IF('01_Вводные'!$B$234="Да",'19_Расчет_аналитики'!W3652*'01_Вводные'!$B$75,0)</f>
        <v/>
      </c>
      <c r="X3654">
        <f>IF('01_Вводные'!$B$234="Да",'19_Расчет_аналитики'!X3652*'01_Вводные'!$B$75,0)</f>
        <v/>
      </c>
      <c r="Y3654">
        <f>IF('01_Вводные'!$B$234="Да",'19_Расчет_аналитики'!Y3652*'01_Вводные'!$B$75,0)</f>
        <v/>
      </c>
      <c r="Z3654">
        <f>IF('01_Вводные'!$B$234="Да",'19_Расчет_аналитики'!Z3652*'01_Вводные'!$B$75,0)</f>
        <v/>
      </c>
      <c r="AA3654">
        <f>IF('01_Вводные'!$B$234="Да",'19_Расчет_аналитики'!AA3652*'01_Вводные'!$B$75,0)</f>
        <v/>
      </c>
      <c r="AB3654">
        <f>IF('01_Вводные'!$B$234="Да",'19_Расчет_аналитики'!AB3652*'01_Вводные'!$B$75,0)</f>
        <v/>
      </c>
      <c r="AC3654">
        <f>IF('01_Вводные'!$B$234="Да",'19_Расчет_аналитики'!AC3652*'01_Вводные'!$B$75,0)</f>
        <v/>
      </c>
      <c r="AD3654">
        <f>IF('01_Вводные'!$B$234="Да",'19_Расчет_аналитики'!AD3652*'01_Вводные'!$B$75,0)</f>
        <v/>
      </c>
      <c r="AE3654">
        <f>IF('01_Вводные'!$B$234="Да",'19_Расчет_аналитики'!AE3652*'01_Вводные'!$B$75,0)</f>
        <v/>
      </c>
      <c r="AF3654">
        <f>IF('01_Вводные'!$B$234="Да",'19_Расчет_аналитики'!AF3652*'01_Вводные'!$B$75,0)</f>
        <v/>
      </c>
      <c r="AG3654">
        <f>IF('01_Вводные'!$B$234="Да",'19_Расчет_аналитики'!AG3652*'01_Вводные'!$B$75,0)</f>
        <v/>
      </c>
      <c r="AH3654">
        <f>IF('01_Вводные'!$B$234="Да",'19_Расчет_аналитики'!AH3652*'01_Вводные'!$B$75,0)</f>
        <v/>
      </c>
      <c r="AI3654">
        <f>IF('01_Вводные'!$B$234="Да",'19_Расчет_аналитики'!AI3652*'01_Вводные'!$B$75,0)</f>
        <v/>
      </c>
      <c r="AJ3654">
        <f>IF('01_Вводные'!$B$234="Да",'19_Расчет_аналитики'!AJ3652*'01_Вводные'!$B$75,0)</f>
        <v/>
      </c>
      <c r="AK3654">
        <f>IF('01_Вводные'!$B$234="Да",'19_Расчет_аналитики'!AK3652*'01_Вводные'!$B$75,0)</f>
        <v/>
      </c>
      <c r="AL3654">
        <f>IF('01_Вводные'!$B$234="Да",'19_Расчет_аналитики'!AL3652*'01_Вводные'!$B$75,0)</f>
        <v/>
      </c>
      <c r="AM3654">
        <f>IF('01_Вводные'!$B$234="Да",'19_Расчет_аналитики'!AM3652*'01_Вводные'!$B$75,0)</f>
        <v/>
      </c>
      <c r="AN3654">
        <f>IF('01_Вводные'!$B$234="Да",'19_Расчет_аналитики'!AN3652*'01_Вводные'!$B$75,0)</f>
        <v/>
      </c>
      <c r="AO3654">
        <f>IF('01_Вводные'!$B$234="Да",'19_Расчет_аналитики'!AO3652*'01_Вводные'!$B$75,0)</f>
        <v/>
      </c>
      <c r="AP3654">
        <f>IF('01_Вводные'!$B$234="Да",'19_Расчет_аналитики'!AP3652*'01_Вводные'!$B$75,0)</f>
        <v/>
      </c>
      <c r="AQ3654">
        <f>IF('01_Вводные'!$B$234="Да",'19_Расчет_аналитики'!AQ3652*'01_Вводные'!$B$75,0)</f>
        <v/>
      </c>
      <c r="AR3654">
        <f>IF('01_Вводные'!$B$234="Да",'19_Расчет_аналитики'!AR3652*'01_Вводные'!$B$75,0)</f>
        <v/>
      </c>
      <c r="AS3654">
        <f>IF('01_Вводные'!$B$234="Да",'19_Расчет_аналитики'!AS3652*'01_Вводные'!$B$75,0)</f>
        <v/>
      </c>
      <c r="AT3654">
        <f>IF('01_Вводные'!$B$234="Да",'19_Расчет_аналитики'!AT3652*'01_Вводные'!$B$75,0)</f>
        <v/>
      </c>
      <c r="AU3654">
        <f>IF('01_Вводные'!$B$234="Да",'19_Расчет_аналитики'!AU3652*'01_Вводные'!$B$75,0)</f>
        <v/>
      </c>
      <c r="AV3654">
        <f>IF('01_Вводные'!$B$234="Да",'19_Расчет_аналитики'!AV3652*'01_Вводные'!$B$75,0)</f>
        <v/>
      </c>
      <c r="AW3654">
        <f>IF('01_Вводные'!$B$234="Да",'19_Расчет_аналитики'!AW3652*'01_Вводные'!$B$75,0)</f>
        <v/>
      </c>
      <c r="AX3654">
        <f>IF('01_Вводные'!$B$234="Да",'19_Расчет_аналитики'!AX3652*'01_Вводные'!$B$75,0)</f>
        <v/>
      </c>
      <c r="AY3654">
        <f>IF('01_Вводные'!$B$234="Да",'19_Расчет_аналитики'!AY3652*'01_Вводные'!$B$75,0)</f>
        <v/>
      </c>
      <c r="AZ3654">
        <f>IF('01_Вводные'!$B$234="Да",'19_Расчет_аналитики'!AZ3652*'01_Вводные'!$B$75,0)</f>
        <v/>
      </c>
      <c r="BA3654">
        <f>IF('01_Вводные'!$B$234="Да",'19_Расчет_аналитики'!BA3652*'01_Вводные'!$B$75,0)</f>
        <v/>
      </c>
      <c r="BB3654">
        <f>IF('01_Вводные'!$B$234="Да",'19_Расчет_аналитики'!BB3652*'01_Вводные'!$B$75,0)</f>
        <v/>
      </c>
      <c r="BC3654">
        <f>IF('01_Вводные'!$B$234="Да",'19_Расчет_аналитики'!BC3652*'01_Вводные'!$B$75,0)</f>
        <v/>
      </c>
      <c r="BD3654">
        <f>IF('01_Вводные'!$B$234="Да",'19_Расчет_аналитики'!BD3652*'01_Вводные'!$B$75,0)</f>
        <v/>
      </c>
      <c r="BE3654">
        <f>IF('01_Вводные'!$B$234="Да",'19_Расчет_аналитики'!BE3652*'01_Вводные'!$B$75,0)</f>
        <v/>
      </c>
      <c r="BF3654">
        <f>IF('01_Вводные'!$B$234="Да",'19_Расчет_аналитики'!BF3652*'01_Вводные'!$B$75,0)</f>
        <v/>
      </c>
      <c r="BG3654">
        <f>IF('01_Вводные'!$B$234="Да",'19_Расчет_аналитики'!BG3652*'01_Вводные'!$B$75,0)</f>
        <v/>
      </c>
      <c r="BH3654">
        <f>IF('01_Вводные'!$B$234="Да",'19_Расчет_аналитики'!BH3652*'01_Вводные'!$B$75,0)</f>
        <v/>
      </c>
      <c r="BI3654">
        <f>IF('01_Вводные'!$B$234="Да",'19_Расчет_аналитики'!BI3652*'01_Вводные'!$B$75,0)</f>
        <v/>
      </c>
      <c r="BJ3654">
        <f>IF('01_Вводные'!$B$234="Да",'19_Расчет_аналитики'!BJ3652*'01_Вводные'!$B$75,0)</f>
        <v/>
      </c>
      <c r="BK3654">
        <f>IF('01_Вводные'!$B$234="Да",'19_Расчет_аналитики'!BK3652*'01_Вводные'!$B$75,0)</f>
        <v/>
      </c>
      <c r="BL3654">
        <f>IF('01_Вводные'!$B$234="Да",'19_Расчет_аналитики'!BL3652*'01_Вводные'!$B$75,0)</f>
        <v/>
      </c>
      <c r="BM3654">
        <f>IF('01_Вводные'!$B$234="Да",'19_Расчет_аналитики'!BM3652*'01_Вводные'!$B$75,0)</f>
        <v/>
      </c>
      <c r="BN3654">
        <f>IF('01_Вводные'!$B$234="Да",'19_Расчет_аналитики'!BN3652*'01_Вводные'!$B$75,0)</f>
        <v/>
      </c>
      <c r="BO3654">
        <f>IF('01_Вводные'!$B$234="Да",'19_Расчет_аналитики'!BO3652*'01_Вводные'!$B$75,0)</f>
        <v/>
      </c>
    </row>
    <row r="3655">
      <c r="B3655">
        <f>IF('01_Вводные'!$B$234="Да",MAX(0,'19_Расчет_аналитики'!B3652-'19_Расчет_аналитики'!B3653-'19_Расчет_аналитики'!B3654),0)</f>
        <v/>
      </c>
      <c r="C3655">
        <f>IF('01_Вводные'!$B$234="Да",MAX(0,'19_Расчет_аналитики'!C3652-'19_Расчет_аналитики'!C3653-'19_Расчет_аналитики'!C3654),0)</f>
        <v/>
      </c>
      <c r="D3655">
        <f>IF('01_Вводные'!$B$234="Да",MAX(0,'19_Расчет_аналитики'!D3652-'19_Расчет_аналитики'!D3653-'19_Расчет_аналитики'!D3654),0)</f>
        <v/>
      </c>
      <c r="E3655">
        <f>IF('01_Вводные'!$B$234="Да",MAX(0,'19_Расчет_аналитики'!E3652-'19_Расчет_аналитики'!E3653-'19_Расчет_аналитики'!E3654),0)</f>
        <v/>
      </c>
      <c r="F3655">
        <f>IF('01_Вводные'!$B$234="Да",MAX(0,'19_Расчет_аналитики'!F3652-'19_Расчет_аналитики'!F3653-'19_Расчет_аналитики'!F3654),0)</f>
        <v/>
      </c>
      <c r="G3655">
        <f>IF('01_Вводные'!$B$234="Да",MAX(0,'19_Расчет_аналитики'!G3652-'19_Расчет_аналитики'!G3653-'19_Расчет_аналитики'!G3654),0)</f>
        <v/>
      </c>
      <c r="H3655">
        <f>IF('01_Вводные'!$B$234="Да",MAX(0,'19_Расчет_аналитики'!H3652-'19_Расчет_аналитики'!H3653-'19_Расчет_аналитики'!H3654),0)</f>
        <v/>
      </c>
      <c r="I3655">
        <f>IF('01_Вводные'!$B$234="Да",MAX(0,'19_Расчет_аналитики'!I3652-'19_Расчет_аналитики'!I3653-'19_Расчет_аналитики'!I3654),0)</f>
        <v/>
      </c>
      <c r="J3655">
        <f>IF('01_Вводные'!$B$234="Да",MAX(0,'19_Расчет_аналитики'!J3652-'19_Расчет_аналитики'!J3653-'19_Расчет_аналитики'!J3654),0)</f>
        <v/>
      </c>
      <c r="K3655">
        <f>IF('01_Вводные'!$B$234="Да",MAX(0,'19_Расчет_аналитики'!K3652-'19_Расчет_аналитики'!K3653-'19_Расчет_аналитики'!K3654),0)</f>
        <v/>
      </c>
      <c r="L3655">
        <f>IF('01_Вводные'!$B$234="Да",MAX(0,'19_Расчет_аналитики'!L3652-'19_Расчет_аналитики'!L3653-'19_Расчет_аналитики'!L3654),0)</f>
        <v/>
      </c>
      <c r="M3655">
        <f>IF('01_Вводные'!$B$234="Да",MAX(0,'19_Расчет_аналитики'!M3652-'19_Расчет_аналитики'!M3653-'19_Расчет_аналитики'!M3654),0)</f>
        <v/>
      </c>
      <c r="N3655">
        <f>IF('01_Вводные'!$B$234="Да",MAX(0,'19_Расчет_аналитики'!N3652-'19_Расчет_аналитики'!N3653-'19_Расчет_аналитики'!N3654),0)</f>
        <v/>
      </c>
      <c r="O3655">
        <f>IF('01_Вводные'!$B$234="Да",MAX(0,'19_Расчет_аналитики'!O3652-'19_Расчет_аналитики'!O3653-'19_Расчет_аналитики'!O3654),0)</f>
        <v/>
      </c>
      <c r="P3655">
        <f>IF('01_Вводные'!$B$234="Да",MAX(0,'19_Расчет_аналитики'!P3652-'19_Расчет_аналитики'!P3653-'19_Расчет_аналитики'!P3654),0)</f>
        <v/>
      </c>
      <c r="Q3655">
        <f>IF('01_Вводные'!$B$234="Да",MAX(0,'19_Расчет_аналитики'!Q3652-'19_Расчет_аналитики'!Q3653-'19_Расчет_аналитики'!Q3654),0)</f>
        <v/>
      </c>
      <c r="R3655">
        <f>IF('01_Вводные'!$B$234="Да",MAX(0,'19_Расчет_аналитики'!R3652-'19_Расчет_аналитики'!R3653-'19_Расчет_аналитики'!R3654),0)</f>
        <v/>
      </c>
      <c r="S3655">
        <f>IF('01_Вводные'!$B$234="Да",MAX(0,'19_Расчет_аналитики'!S3652-'19_Расчет_аналитики'!S3653-'19_Расчет_аналитики'!S3654),0)</f>
        <v/>
      </c>
      <c r="T3655">
        <f>IF('01_Вводные'!$B$234="Да",MAX(0,'19_Расчет_аналитики'!T3652-'19_Расчет_аналитики'!T3653-'19_Расчет_аналитики'!T3654),0)</f>
        <v/>
      </c>
      <c r="U3655">
        <f>IF('01_Вводные'!$B$234="Да",MAX(0,'19_Расчет_аналитики'!U3652-'19_Расчет_аналитики'!U3653-'19_Расчет_аналитики'!U3654),0)</f>
        <v/>
      </c>
      <c r="V3655">
        <f>IF('01_Вводные'!$B$234="Да",MAX(0,'19_Расчет_аналитики'!V3652-'19_Расчет_аналитики'!V3653-'19_Расчет_аналитики'!V3654),0)</f>
        <v/>
      </c>
      <c r="W3655">
        <f>IF('01_Вводные'!$B$234="Да",MAX(0,'19_Расчет_аналитики'!W3652-'19_Расчет_аналитики'!W3653-'19_Расчет_аналитики'!W3654),0)</f>
        <v/>
      </c>
      <c r="X3655">
        <f>IF('01_Вводные'!$B$234="Да",MAX(0,'19_Расчет_аналитики'!X3652-'19_Расчет_аналитики'!X3653-'19_Расчет_аналитики'!X3654),0)</f>
        <v/>
      </c>
      <c r="Y3655">
        <f>IF('01_Вводные'!$B$234="Да",MAX(0,'19_Расчет_аналитики'!Y3652-'19_Расчет_аналитики'!Y3653-'19_Расчет_аналитики'!Y3654),0)</f>
        <v/>
      </c>
      <c r="Z3655">
        <f>IF('01_Вводные'!$B$234="Да",MAX(0,'19_Расчет_аналитики'!Z3652-'19_Расчет_аналитики'!Z3653-'19_Расчет_аналитики'!Z3654),0)</f>
        <v/>
      </c>
      <c r="AA3655">
        <f>IF('01_Вводные'!$B$234="Да",MAX(0,'19_Расчет_аналитики'!AA3652-'19_Расчет_аналитики'!AA3653-'19_Расчет_аналитики'!AA3654),0)</f>
        <v/>
      </c>
      <c r="AB3655">
        <f>IF('01_Вводные'!$B$234="Да",MAX(0,'19_Расчет_аналитики'!AB3652-'19_Расчет_аналитики'!AB3653-'19_Расчет_аналитики'!AB3654),0)</f>
        <v/>
      </c>
      <c r="AC3655">
        <f>IF('01_Вводные'!$B$234="Да",MAX(0,'19_Расчет_аналитики'!AC3652-'19_Расчет_аналитики'!AC3653-'19_Расчет_аналитики'!AC3654),0)</f>
        <v/>
      </c>
      <c r="AD3655">
        <f>IF('01_Вводные'!$B$234="Да",MAX(0,'19_Расчет_аналитики'!AD3652-'19_Расчет_аналитики'!AD3653-'19_Расчет_аналитики'!AD3654),0)</f>
        <v/>
      </c>
      <c r="AE3655">
        <f>IF('01_Вводные'!$B$234="Да",MAX(0,'19_Расчет_аналитики'!AE3652-'19_Расчет_аналитики'!AE3653-'19_Расчет_аналитики'!AE3654),0)</f>
        <v/>
      </c>
      <c r="AF3655">
        <f>IF('01_Вводные'!$B$234="Да",MAX(0,'19_Расчет_аналитики'!AF3652-'19_Расчет_аналитики'!AF3653-'19_Расчет_аналитики'!AF3654),0)</f>
        <v/>
      </c>
      <c r="AG3655">
        <f>IF('01_Вводные'!$B$234="Да",MAX(0,'19_Расчет_аналитики'!AG3652-'19_Расчет_аналитики'!AG3653-'19_Расчет_аналитики'!AG3654),0)</f>
        <v/>
      </c>
      <c r="AH3655">
        <f>IF('01_Вводные'!$B$234="Да",MAX(0,'19_Расчет_аналитики'!AH3652-'19_Расчет_аналитики'!AH3653-'19_Расчет_аналитики'!AH3654),0)</f>
        <v/>
      </c>
      <c r="AI3655">
        <f>IF('01_Вводные'!$B$234="Да",MAX(0,'19_Расчет_аналитики'!AI3652-'19_Расчет_аналитики'!AI3653-'19_Расчет_аналитики'!AI3654),0)</f>
        <v/>
      </c>
      <c r="AJ3655">
        <f>IF('01_Вводные'!$B$234="Да",MAX(0,'19_Расчет_аналитики'!AJ3652-'19_Расчет_аналитики'!AJ3653-'19_Расчет_аналитики'!AJ3654),0)</f>
        <v/>
      </c>
      <c r="AK3655">
        <f>IF('01_Вводные'!$B$234="Да",MAX(0,'19_Расчет_аналитики'!AK3652-'19_Расчет_аналитики'!AK3653-'19_Расчет_аналитики'!AK3654),0)</f>
        <v/>
      </c>
      <c r="AL3655">
        <f>IF('01_Вводные'!$B$234="Да",MAX(0,'19_Расчет_аналитики'!AL3652-'19_Расчет_аналитики'!AL3653-'19_Расчет_аналитики'!AL3654),0)</f>
        <v/>
      </c>
      <c r="AM3655">
        <f>IF('01_Вводные'!$B$234="Да",MAX(0,'19_Расчет_аналитики'!AM3652-'19_Расчет_аналитики'!AM3653-'19_Расчет_аналитики'!AM3654),0)</f>
        <v/>
      </c>
      <c r="AN3655">
        <f>IF('01_Вводные'!$B$234="Да",MAX(0,'19_Расчет_аналитики'!AN3652-'19_Расчет_аналитики'!AN3653-'19_Расчет_аналитики'!AN3654),0)</f>
        <v/>
      </c>
      <c r="AO3655">
        <f>IF('01_Вводные'!$B$234="Да",MAX(0,'19_Расчет_аналитики'!AO3652-'19_Расчет_аналитики'!AO3653-'19_Расчет_аналитики'!AO3654),0)</f>
        <v/>
      </c>
      <c r="AP3655">
        <f>IF('01_Вводные'!$B$234="Да",MAX(0,'19_Расчет_аналитики'!AP3652-'19_Расчет_аналитики'!AP3653-'19_Расчет_аналитики'!AP3654),0)</f>
        <v/>
      </c>
      <c r="AQ3655">
        <f>IF('01_Вводные'!$B$234="Да",MAX(0,'19_Расчет_аналитики'!AQ3652-'19_Расчет_аналитики'!AQ3653-'19_Расчет_аналитики'!AQ3654),0)</f>
        <v/>
      </c>
      <c r="AR3655">
        <f>IF('01_Вводные'!$B$234="Да",MAX(0,'19_Расчет_аналитики'!AR3652-'19_Расчет_аналитики'!AR3653-'19_Расчет_аналитики'!AR3654),0)</f>
        <v/>
      </c>
      <c r="AS3655">
        <f>IF('01_Вводные'!$B$234="Да",MAX(0,'19_Расчет_аналитики'!AS3652-'19_Расчет_аналитики'!AS3653-'19_Расчет_аналитики'!AS3654),0)</f>
        <v/>
      </c>
      <c r="AT3655">
        <f>IF('01_Вводные'!$B$234="Да",MAX(0,'19_Расчет_аналитики'!AT3652-'19_Расчет_аналитики'!AT3653-'19_Расчет_аналитики'!AT3654),0)</f>
        <v/>
      </c>
      <c r="AU3655">
        <f>IF('01_Вводные'!$B$234="Да",MAX(0,'19_Расчет_аналитики'!AU3652-'19_Расчет_аналитики'!AU3653-'19_Расчет_аналитики'!AU3654),0)</f>
        <v/>
      </c>
      <c r="AV3655">
        <f>IF('01_Вводные'!$B$234="Да",MAX(0,'19_Расчет_аналитики'!AV3652-'19_Расчет_аналитики'!AV3653-'19_Расчет_аналитики'!AV3654),0)</f>
        <v/>
      </c>
      <c r="AW3655">
        <f>IF('01_Вводные'!$B$234="Да",MAX(0,'19_Расчет_аналитики'!AW3652-'19_Расчет_аналитики'!AW3653-'19_Расчет_аналитики'!AW3654),0)</f>
        <v/>
      </c>
      <c r="AX3655">
        <f>IF('01_Вводные'!$B$234="Да",MAX(0,'19_Расчет_аналитики'!AX3652-'19_Расчет_аналитики'!AX3653-'19_Расчет_аналитики'!AX3654),0)</f>
        <v/>
      </c>
      <c r="AY3655">
        <f>IF('01_Вводные'!$B$234="Да",MAX(0,'19_Расчет_аналитики'!AY3652-'19_Расчет_аналитики'!AY3653-'19_Расчет_аналитики'!AY3654),0)</f>
        <v/>
      </c>
      <c r="AZ3655">
        <f>IF('01_Вводные'!$B$234="Да",MAX(0,'19_Расчет_аналитики'!AZ3652-'19_Расчет_аналитики'!AZ3653-'19_Расчет_аналитики'!AZ3654),0)</f>
        <v/>
      </c>
      <c r="BA3655">
        <f>IF('01_Вводные'!$B$234="Да",MAX(0,'19_Расчет_аналитики'!BA3652-'19_Расчет_аналитики'!BA3653-'19_Расчет_аналитики'!BA3654),0)</f>
        <v/>
      </c>
      <c r="BB3655">
        <f>IF('01_Вводные'!$B$234="Да",MAX(0,'19_Расчет_аналитики'!BB3652-'19_Расчет_аналитики'!BB3653-'19_Расчет_аналитики'!BB3654),0)</f>
        <v/>
      </c>
      <c r="BC3655">
        <f>IF('01_Вводные'!$B$234="Да",MAX(0,'19_Расчет_аналитики'!BC3652-'19_Расчет_аналитики'!BC3653-'19_Расчет_аналитики'!BC3654),0)</f>
        <v/>
      </c>
      <c r="BD3655">
        <f>IF('01_Вводные'!$B$234="Да",MAX(0,'19_Расчет_аналитики'!BD3652-'19_Расчет_аналитики'!BD3653-'19_Расчет_аналитики'!BD3654),0)</f>
        <v/>
      </c>
      <c r="BE3655">
        <f>IF('01_Вводные'!$B$234="Да",MAX(0,'19_Расчет_аналитики'!BE3652-'19_Расчет_аналитики'!BE3653-'19_Расчет_аналитики'!BE3654),0)</f>
        <v/>
      </c>
      <c r="BF3655">
        <f>IF('01_Вводные'!$B$234="Да",MAX(0,'19_Расчет_аналитики'!BF3652-'19_Расчет_аналитики'!BF3653-'19_Расчет_аналитики'!BF3654),0)</f>
        <v/>
      </c>
      <c r="BG3655">
        <f>IF('01_Вводные'!$B$234="Да",MAX(0,'19_Расчет_аналитики'!BG3652-'19_Расчет_аналитики'!BG3653-'19_Расчет_аналитики'!BG3654),0)</f>
        <v/>
      </c>
      <c r="BH3655">
        <f>IF('01_Вводные'!$B$234="Да",MAX(0,'19_Расчет_аналитики'!BH3652-'19_Расчет_аналитики'!BH3653-'19_Расчет_аналитики'!BH3654),0)</f>
        <v/>
      </c>
      <c r="BI3655">
        <f>IF('01_Вводные'!$B$234="Да",MAX(0,'19_Расчет_аналитики'!BI3652-'19_Расчет_аналитики'!BI3653-'19_Расчет_аналитики'!BI3654),0)</f>
        <v/>
      </c>
      <c r="BJ3655">
        <f>IF('01_Вводные'!$B$234="Да",MAX(0,'19_Расчет_аналитики'!BJ3652-'19_Расчет_аналитики'!BJ3653-'19_Расчет_аналитики'!BJ3654),0)</f>
        <v/>
      </c>
      <c r="BK3655">
        <f>IF('01_Вводные'!$B$234="Да",MAX(0,'19_Расчет_аналитики'!BK3652-'19_Расчет_аналитики'!BK3653-'19_Расчет_аналитики'!BK3654),0)</f>
        <v/>
      </c>
      <c r="BL3655">
        <f>IF('01_Вводные'!$B$234="Да",MAX(0,'19_Расчет_аналитики'!BL3652-'19_Расчет_аналитики'!BL3653-'19_Расчет_аналитики'!BL3654),0)</f>
        <v/>
      </c>
      <c r="BM3655">
        <f>IF('01_Вводные'!$B$234="Да",MAX(0,'19_Расчет_аналитики'!BM3652-'19_Расчет_аналитики'!BM3653-'19_Расчет_аналитики'!BM3654),0)</f>
        <v/>
      </c>
      <c r="BN3655">
        <f>IF('01_Вводные'!$B$234="Да",MAX(0,'19_Расчет_аналитики'!BN3652-'19_Расчет_аналитики'!BN3653-'19_Расчет_аналитики'!BN3654),0)</f>
        <v/>
      </c>
      <c r="BO3655">
        <f>IF('01_Вводные'!$B$234="Да",MAX(0,'19_Расчет_аналитики'!BO3652-'19_Расчет_аналитики'!BO3653-'19_Расчет_аналитики'!BO3654),0)</f>
        <v/>
      </c>
    </row>
    <row r="3656">
      <c r="B3656">
        <f>IF('01_Вводные'!$B$234="Да",'19_Расчет_аналитики'!B3655*'01_Вводные'!$B$76,0)</f>
        <v/>
      </c>
      <c r="C3656">
        <f>IF('01_Вводные'!$B$234="Да",'19_Расчет_аналитики'!C3655*'01_Вводные'!$B$76,0)</f>
        <v/>
      </c>
      <c r="D3656">
        <f>IF('01_Вводные'!$B$234="Да",'19_Расчет_аналитики'!D3655*'01_Вводные'!$B$76,0)</f>
        <v/>
      </c>
      <c r="E3656">
        <f>IF('01_Вводные'!$B$234="Да",'19_Расчет_аналитики'!E3655*'01_Вводные'!$B$76,0)</f>
        <v/>
      </c>
      <c r="F3656">
        <f>IF('01_Вводные'!$B$234="Да",'19_Расчет_аналитики'!F3655*'01_Вводные'!$B$76,0)</f>
        <v/>
      </c>
      <c r="G3656">
        <f>IF('01_Вводные'!$B$234="Да",'19_Расчет_аналитики'!G3655*'01_Вводные'!$B$76,0)</f>
        <v/>
      </c>
      <c r="H3656">
        <f>IF('01_Вводные'!$B$234="Да",'19_Расчет_аналитики'!H3655*'01_Вводные'!$B$76,0)</f>
        <v/>
      </c>
      <c r="I3656">
        <f>IF('01_Вводные'!$B$234="Да",'19_Расчет_аналитики'!I3655*'01_Вводные'!$B$76,0)</f>
        <v/>
      </c>
      <c r="J3656">
        <f>IF('01_Вводные'!$B$234="Да",'19_Расчет_аналитики'!J3655*'01_Вводные'!$B$76,0)</f>
        <v/>
      </c>
      <c r="K3656">
        <f>IF('01_Вводные'!$B$234="Да",'19_Расчет_аналитики'!K3655*'01_Вводные'!$B$76,0)</f>
        <v/>
      </c>
      <c r="L3656">
        <f>IF('01_Вводные'!$B$234="Да",'19_Расчет_аналитики'!L3655*'01_Вводные'!$B$76,0)</f>
        <v/>
      </c>
      <c r="M3656">
        <f>IF('01_Вводные'!$B$234="Да",'19_Расчет_аналитики'!M3655*'01_Вводные'!$B$76,0)</f>
        <v/>
      </c>
      <c r="N3656">
        <f>IF('01_Вводные'!$B$234="Да",'19_Расчет_аналитики'!N3655*'01_Вводные'!$B$76,0)</f>
        <v/>
      </c>
      <c r="O3656">
        <f>IF('01_Вводные'!$B$234="Да",'19_Расчет_аналитики'!O3655*'01_Вводные'!$B$76,0)</f>
        <v/>
      </c>
      <c r="P3656">
        <f>IF('01_Вводные'!$B$234="Да",'19_Расчет_аналитики'!P3655*'01_Вводные'!$B$76,0)</f>
        <v/>
      </c>
      <c r="Q3656">
        <f>IF('01_Вводные'!$B$234="Да",'19_Расчет_аналитики'!Q3655*'01_Вводные'!$B$76,0)</f>
        <v/>
      </c>
      <c r="R3656">
        <f>IF('01_Вводные'!$B$234="Да",'19_Расчет_аналитики'!R3655*'01_Вводные'!$B$76,0)</f>
        <v/>
      </c>
      <c r="S3656">
        <f>IF('01_Вводные'!$B$234="Да",'19_Расчет_аналитики'!S3655*'01_Вводные'!$B$76,0)</f>
        <v/>
      </c>
      <c r="T3656">
        <f>IF('01_Вводные'!$B$234="Да",'19_Расчет_аналитики'!T3655*'01_Вводные'!$B$76,0)</f>
        <v/>
      </c>
      <c r="U3656">
        <f>IF('01_Вводные'!$B$234="Да",'19_Расчет_аналитики'!U3655*'01_Вводные'!$B$76,0)</f>
        <v/>
      </c>
      <c r="V3656">
        <f>IF('01_Вводные'!$B$234="Да",'19_Расчет_аналитики'!V3655*'01_Вводные'!$B$76,0)</f>
        <v/>
      </c>
      <c r="W3656">
        <f>IF('01_Вводные'!$B$234="Да",'19_Расчет_аналитики'!W3655*'01_Вводные'!$B$76,0)</f>
        <v/>
      </c>
      <c r="X3656">
        <f>IF('01_Вводные'!$B$234="Да",'19_Расчет_аналитики'!X3655*'01_Вводные'!$B$76,0)</f>
        <v/>
      </c>
      <c r="Y3656">
        <f>IF('01_Вводные'!$B$234="Да",'19_Расчет_аналитики'!Y3655*'01_Вводные'!$B$76,0)</f>
        <v/>
      </c>
      <c r="Z3656">
        <f>IF('01_Вводные'!$B$234="Да",'19_Расчет_аналитики'!Z3655*'01_Вводные'!$B$76,0)</f>
        <v/>
      </c>
      <c r="AA3656">
        <f>IF('01_Вводные'!$B$234="Да",'19_Расчет_аналитики'!AA3655*'01_Вводные'!$B$76,0)</f>
        <v/>
      </c>
      <c r="AB3656">
        <f>IF('01_Вводные'!$B$234="Да",'19_Расчет_аналитики'!AB3655*'01_Вводные'!$B$76,0)</f>
        <v/>
      </c>
      <c r="AC3656">
        <f>IF('01_Вводные'!$B$234="Да",'19_Расчет_аналитики'!AC3655*'01_Вводные'!$B$76,0)</f>
        <v/>
      </c>
      <c r="AD3656">
        <f>IF('01_Вводные'!$B$234="Да",'19_Расчет_аналитики'!AD3655*'01_Вводные'!$B$76,0)</f>
        <v/>
      </c>
      <c r="AE3656">
        <f>IF('01_Вводные'!$B$234="Да",'19_Расчет_аналитики'!AE3655*'01_Вводные'!$B$76,0)</f>
        <v/>
      </c>
      <c r="AF3656">
        <f>IF('01_Вводные'!$B$234="Да",'19_Расчет_аналитики'!AF3655*'01_Вводные'!$B$76,0)</f>
        <v/>
      </c>
      <c r="AG3656">
        <f>IF('01_Вводные'!$B$234="Да",'19_Расчет_аналитики'!AG3655*'01_Вводные'!$B$76,0)</f>
        <v/>
      </c>
      <c r="AH3656">
        <f>IF('01_Вводные'!$B$234="Да",'19_Расчет_аналитики'!AH3655*'01_Вводные'!$B$76,0)</f>
        <v/>
      </c>
      <c r="AI3656">
        <f>IF('01_Вводные'!$B$234="Да",'19_Расчет_аналитики'!AI3655*'01_Вводные'!$B$76,0)</f>
        <v/>
      </c>
      <c r="AJ3656">
        <f>IF('01_Вводные'!$B$234="Да",'19_Расчет_аналитики'!AJ3655*'01_Вводные'!$B$76,0)</f>
        <v/>
      </c>
      <c r="AK3656">
        <f>IF('01_Вводные'!$B$234="Да",'19_Расчет_аналитики'!AK3655*'01_Вводные'!$B$76,0)</f>
        <v/>
      </c>
      <c r="AL3656">
        <f>IF('01_Вводные'!$B$234="Да",'19_Расчет_аналитики'!AL3655*'01_Вводные'!$B$76,0)</f>
        <v/>
      </c>
      <c r="AM3656">
        <f>IF('01_Вводные'!$B$234="Да",'19_Расчет_аналитики'!AM3655*'01_Вводные'!$B$76,0)</f>
        <v/>
      </c>
      <c r="AN3656">
        <f>IF('01_Вводные'!$B$234="Да",'19_Расчет_аналитики'!AN3655*'01_Вводные'!$B$76,0)</f>
        <v/>
      </c>
      <c r="AO3656">
        <f>IF('01_Вводные'!$B$234="Да",'19_Расчет_аналитики'!AO3655*'01_Вводные'!$B$76,0)</f>
        <v/>
      </c>
      <c r="AP3656">
        <f>IF('01_Вводные'!$B$234="Да",'19_Расчет_аналитики'!AP3655*'01_Вводные'!$B$76,0)</f>
        <v/>
      </c>
      <c r="AQ3656">
        <f>IF('01_Вводные'!$B$234="Да",'19_Расчет_аналитики'!AQ3655*'01_Вводные'!$B$76,0)</f>
        <v/>
      </c>
      <c r="AR3656">
        <f>IF('01_Вводные'!$B$234="Да",'19_Расчет_аналитики'!AR3655*'01_Вводные'!$B$76,0)</f>
        <v/>
      </c>
      <c r="AS3656">
        <f>IF('01_Вводные'!$B$234="Да",'19_Расчет_аналитики'!AS3655*'01_Вводные'!$B$76,0)</f>
        <v/>
      </c>
      <c r="AT3656">
        <f>IF('01_Вводные'!$B$234="Да",'19_Расчет_аналитики'!AT3655*'01_Вводные'!$B$76,0)</f>
        <v/>
      </c>
      <c r="AU3656">
        <f>IF('01_Вводные'!$B$234="Да",'19_Расчет_аналитики'!AU3655*'01_Вводные'!$B$76,0)</f>
        <v/>
      </c>
      <c r="AV3656">
        <f>IF('01_Вводные'!$B$234="Да",'19_Расчет_аналитики'!AV3655*'01_Вводные'!$B$76,0)</f>
        <v/>
      </c>
      <c r="AW3656">
        <f>IF('01_Вводные'!$B$234="Да",'19_Расчет_аналитики'!AW3655*'01_Вводные'!$B$76,0)</f>
        <v/>
      </c>
      <c r="AX3656">
        <f>IF('01_Вводные'!$B$234="Да",'19_Расчет_аналитики'!AX3655*'01_Вводные'!$B$76,0)</f>
        <v/>
      </c>
      <c r="AY3656">
        <f>IF('01_Вводные'!$B$234="Да",'19_Расчет_аналитики'!AY3655*'01_Вводные'!$B$76,0)</f>
        <v/>
      </c>
      <c r="AZ3656">
        <f>IF('01_Вводные'!$B$234="Да",'19_Расчет_аналитики'!AZ3655*'01_Вводные'!$B$76,0)</f>
        <v/>
      </c>
      <c r="BA3656">
        <f>IF('01_Вводные'!$B$234="Да",'19_Расчет_аналитики'!BA3655*'01_Вводные'!$B$76,0)</f>
        <v/>
      </c>
      <c r="BB3656">
        <f>IF('01_Вводные'!$B$234="Да",'19_Расчет_аналитики'!BB3655*'01_Вводные'!$B$76,0)</f>
        <v/>
      </c>
      <c r="BC3656">
        <f>IF('01_Вводные'!$B$234="Да",'19_Расчет_аналитики'!BC3655*'01_Вводные'!$B$76,0)</f>
        <v/>
      </c>
      <c r="BD3656">
        <f>IF('01_Вводные'!$B$234="Да",'19_Расчет_аналитики'!BD3655*'01_Вводные'!$B$76,0)</f>
        <v/>
      </c>
      <c r="BE3656">
        <f>IF('01_Вводные'!$B$234="Да",'19_Расчет_аналитики'!BE3655*'01_Вводные'!$B$76,0)</f>
        <v/>
      </c>
      <c r="BF3656">
        <f>IF('01_Вводные'!$B$234="Да",'19_Расчет_аналитики'!BF3655*'01_Вводные'!$B$76,0)</f>
        <v/>
      </c>
      <c r="BG3656">
        <f>IF('01_Вводные'!$B$234="Да",'19_Расчет_аналитики'!BG3655*'01_Вводные'!$B$76,0)</f>
        <v/>
      </c>
      <c r="BH3656">
        <f>IF('01_Вводные'!$B$234="Да",'19_Расчет_аналитики'!BH3655*'01_Вводные'!$B$76,0)</f>
        <v/>
      </c>
      <c r="BI3656">
        <f>IF('01_Вводные'!$B$234="Да",'19_Расчет_аналитики'!BI3655*'01_Вводные'!$B$76,0)</f>
        <v/>
      </c>
      <c r="BJ3656">
        <f>IF('01_Вводные'!$B$234="Да",'19_Расчет_аналитики'!BJ3655*'01_Вводные'!$B$76,0)</f>
        <v/>
      </c>
      <c r="BK3656">
        <f>IF('01_Вводные'!$B$234="Да",'19_Расчет_аналитики'!BK3655*'01_Вводные'!$B$76,0)</f>
        <v/>
      </c>
      <c r="BL3656">
        <f>IF('01_Вводные'!$B$234="Да",'19_Расчет_аналитики'!BL3655*'01_Вводные'!$B$76,0)</f>
        <v/>
      </c>
      <c r="BM3656">
        <f>IF('01_Вводные'!$B$234="Да",'19_Расчет_аналитики'!BM3655*'01_Вводные'!$B$76,0)</f>
        <v/>
      </c>
      <c r="BN3656">
        <f>IF('01_Вводные'!$B$234="Да",'19_Расчет_аналитики'!BN3655*'01_Вводные'!$B$76,0)</f>
        <v/>
      </c>
      <c r="BO3656">
        <f>IF('01_Вводные'!$B$234="Да",'19_Расчет_аналитики'!BO3655*'01_Вводные'!$B$76,0)</f>
        <v/>
      </c>
    </row>
    <row r="3657"/>
    <row r="3658"/>
    <row r="3659">
      <c r="C3659">
        <f>IF('01_Вводные'!$B$234="Да",'19_Расчет_аналитики'!B3663,0)</f>
        <v/>
      </c>
      <c r="D3659">
        <f>IF('01_Вводные'!$B$234="Да",'19_Расчет_аналитики'!C3663,0)</f>
        <v/>
      </c>
      <c r="E3659">
        <f>IF('01_Вводные'!$B$234="Да",'19_Расчет_аналитики'!D3663,0)</f>
        <v/>
      </c>
      <c r="F3659">
        <f>IF('01_Вводные'!$B$234="Да",'19_Расчет_аналитики'!E3663,0)</f>
        <v/>
      </c>
      <c r="G3659">
        <f>IF('01_Вводные'!$B$234="Да",'19_Расчет_аналитики'!F3663,0)</f>
        <v/>
      </c>
      <c r="H3659">
        <f>IF('01_Вводные'!$B$234="Да",'19_Расчет_аналитики'!G3663,0)</f>
        <v/>
      </c>
      <c r="I3659">
        <f>IF('01_Вводные'!$B$234="Да",'19_Расчет_аналитики'!H3663,0)</f>
        <v/>
      </c>
      <c r="J3659">
        <f>IF('01_Вводные'!$B$234="Да",'19_Расчет_аналитики'!I3663,0)</f>
        <v/>
      </c>
      <c r="K3659">
        <f>IF('01_Вводные'!$B$234="Да",'19_Расчет_аналитики'!J3663,0)</f>
        <v/>
      </c>
      <c r="L3659">
        <f>IF('01_Вводные'!$B$234="Да",'19_Расчет_аналитики'!K3663,0)</f>
        <v/>
      </c>
      <c r="M3659">
        <f>IF('01_Вводные'!$B$234="Да",'19_Расчет_аналитики'!L3663,0)</f>
        <v/>
      </c>
      <c r="N3659">
        <f>IF('01_Вводные'!$B$234="Да",'19_Расчет_аналитики'!M3663,0)</f>
        <v/>
      </c>
      <c r="O3659">
        <f>IF('01_Вводные'!$B$234="Да",'19_Расчет_аналитики'!N3663,0)</f>
        <v/>
      </c>
      <c r="P3659">
        <f>IF('01_Вводные'!$B$234="Да",'19_Расчет_аналитики'!O3663,0)</f>
        <v/>
      </c>
      <c r="Q3659">
        <f>IF('01_Вводные'!$B$234="Да",'19_Расчет_аналитики'!P3663,0)</f>
        <v/>
      </c>
      <c r="R3659">
        <f>IF('01_Вводные'!$B$234="Да",'19_Расчет_аналитики'!Q3663,0)</f>
        <v/>
      </c>
      <c r="S3659">
        <f>IF('01_Вводные'!$B$234="Да",'19_Расчет_аналитики'!R3663,0)</f>
        <v/>
      </c>
      <c r="T3659">
        <f>IF('01_Вводные'!$B$234="Да",'19_Расчет_аналитики'!S3663,0)</f>
        <v/>
      </c>
      <c r="U3659">
        <f>IF('01_Вводные'!$B$234="Да",'19_Расчет_аналитики'!T3663,0)</f>
        <v/>
      </c>
      <c r="V3659">
        <f>IF('01_Вводные'!$B$234="Да",'19_Расчет_аналитики'!U3663,0)</f>
        <v/>
      </c>
      <c r="W3659">
        <f>IF('01_Вводные'!$B$234="Да",'19_Расчет_аналитики'!V3663,0)</f>
        <v/>
      </c>
      <c r="X3659">
        <f>IF('01_Вводные'!$B$234="Да",'19_Расчет_аналитики'!W3663,0)</f>
        <v/>
      </c>
      <c r="Y3659">
        <f>IF('01_Вводные'!$B$234="Да",'19_Расчет_аналитики'!X3663,0)</f>
        <v/>
      </c>
      <c r="Z3659">
        <f>IF('01_Вводные'!$B$234="Да",'19_Расчет_аналитики'!Y3663,0)</f>
        <v/>
      </c>
      <c r="AA3659">
        <f>IF('01_Вводные'!$B$234="Да",'19_Расчет_аналитики'!Z3663,0)</f>
        <v/>
      </c>
      <c r="AB3659">
        <f>IF('01_Вводные'!$B$234="Да",'19_Расчет_аналитики'!AA3663,0)</f>
        <v/>
      </c>
      <c r="AC3659">
        <f>IF('01_Вводные'!$B$234="Да",'19_Расчет_аналитики'!AB3663,0)</f>
        <v/>
      </c>
      <c r="AD3659">
        <f>IF('01_Вводные'!$B$234="Да",'19_Расчет_аналитики'!AC3663,0)</f>
        <v/>
      </c>
      <c r="AE3659">
        <f>IF('01_Вводные'!$B$234="Да",'19_Расчет_аналитики'!AD3663,0)</f>
        <v/>
      </c>
      <c r="AF3659">
        <f>IF('01_Вводные'!$B$234="Да",'19_Расчет_аналитики'!AE3663,0)</f>
        <v/>
      </c>
      <c r="AG3659">
        <f>IF('01_Вводные'!$B$234="Да",'19_Расчет_аналитики'!AF3663,0)</f>
        <v/>
      </c>
      <c r="AH3659">
        <f>IF('01_Вводные'!$B$234="Да",'19_Расчет_аналитики'!AG3663,0)</f>
        <v/>
      </c>
      <c r="AI3659">
        <f>IF('01_Вводные'!$B$234="Да",'19_Расчет_аналитики'!AH3663,0)</f>
        <v/>
      </c>
      <c r="AJ3659">
        <f>IF('01_Вводные'!$B$234="Да",'19_Расчет_аналитики'!AI3663,0)</f>
        <v/>
      </c>
      <c r="AK3659">
        <f>IF('01_Вводные'!$B$234="Да",'19_Расчет_аналитики'!AJ3663,0)</f>
        <v/>
      </c>
      <c r="AL3659">
        <f>IF('01_Вводные'!$B$234="Да",'19_Расчет_аналитики'!AK3663,0)</f>
        <v/>
      </c>
      <c r="AM3659">
        <f>IF('01_Вводные'!$B$234="Да",'19_Расчет_аналитики'!AL3663,0)</f>
        <v/>
      </c>
      <c r="AN3659">
        <f>IF('01_Вводные'!$B$234="Да",'19_Расчет_аналитики'!AM3663,0)</f>
        <v/>
      </c>
      <c r="AO3659">
        <f>IF('01_Вводные'!$B$234="Да",'19_Расчет_аналитики'!AN3663,0)</f>
        <v/>
      </c>
      <c r="AP3659">
        <f>IF('01_Вводные'!$B$234="Да",'19_Расчет_аналитики'!AO3663,0)</f>
        <v/>
      </c>
      <c r="AQ3659">
        <f>IF('01_Вводные'!$B$234="Да",'19_Расчет_аналитики'!AP3663,0)</f>
        <v/>
      </c>
      <c r="AR3659">
        <f>IF('01_Вводные'!$B$234="Да",'19_Расчет_аналитики'!AQ3663,0)</f>
        <v/>
      </c>
      <c r="AS3659">
        <f>IF('01_Вводные'!$B$234="Да",'19_Расчет_аналитики'!AR3663,0)</f>
        <v/>
      </c>
      <c r="AT3659">
        <f>IF('01_Вводные'!$B$234="Да",'19_Расчет_аналитики'!AS3663,0)</f>
        <v/>
      </c>
      <c r="AU3659">
        <f>IF('01_Вводные'!$B$234="Да",'19_Расчет_аналитики'!AT3663,0)</f>
        <v/>
      </c>
      <c r="AV3659">
        <f>IF('01_Вводные'!$B$234="Да",'19_Расчет_аналитики'!AU3663,0)</f>
        <v/>
      </c>
      <c r="AW3659">
        <f>IF('01_Вводные'!$B$234="Да",'19_Расчет_аналитики'!AV3663,0)</f>
        <v/>
      </c>
      <c r="AX3659">
        <f>IF('01_Вводные'!$B$234="Да",'19_Расчет_аналитики'!AW3663,0)</f>
        <v/>
      </c>
      <c r="AY3659">
        <f>IF('01_Вводные'!$B$234="Да",'19_Расчет_аналитики'!AX3663,0)</f>
        <v/>
      </c>
      <c r="AZ3659">
        <f>IF('01_Вводные'!$B$234="Да",'19_Расчет_аналитики'!AY3663,0)</f>
        <v/>
      </c>
      <c r="BA3659">
        <f>IF('01_Вводные'!$B$234="Да",'19_Расчет_аналитики'!AZ3663,0)</f>
        <v/>
      </c>
      <c r="BB3659">
        <f>IF('01_Вводные'!$B$234="Да",'19_Расчет_аналитики'!BA3663,0)</f>
        <v/>
      </c>
      <c r="BC3659">
        <f>IF('01_Вводные'!$B$234="Да",'19_Расчет_аналитики'!BB3663,0)</f>
        <v/>
      </c>
      <c r="BD3659">
        <f>IF('01_Вводные'!$B$234="Да",'19_Расчет_аналитики'!BC3663,0)</f>
        <v/>
      </c>
      <c r="BE3659">
        <f>IF('01_Вводные'!$B$234="Да",'19_Расчет_аналитики'!BD3663,0)</f>
        <v/>
      </c>
      <c r="BF3659">
        <f>IF('01_Вводные'!$B$234="Да",'19_Расчет_аналитики'!BE3663,0)</f>
        <v/>
      </c>
      <c r="BG3659">
        <f>IF('01_Вводные'!$B$234="Да",'19_Расчет_аналитики'!BF3663,0)</f>
        <v/>
      </c>
      <c r="BH3659">
        <f>IF('01_Вводные'!$B$234="Да",'19_Расчет_аналитики'!BG3663,0)</f>
        <v/>
      </c>
      <c r="BI3659">
        <f>IF('01_Вводные'!$B$234="Да",'19_Расчет_аналитики'!BH3663,0)</f>
        <v/>
      </c>
      <c r="BJ3659">
        <f>IF('01_Вводные'!$B$234="Да",'19_Расчет_аналитики'!BI3663,0)</f>
        <v/>
      </c>
      <c r="BK3659">
        <f>IF('01_Вводные'!$B$234="Да",'19_Расчет_аналитики'!BJ3663,0)</f>
        <v/>
      </c>
      <c r="BL3659">
        <f>IF('01_Вводные'!$B$234="Да",'19_Расчет_аналитики'!BK3663,0)</f>
        <v/>
      </c>
      <c r="BM3659">
        <f>IF('01_Вводные'!$B$234="Да",'19_Расчет_аналитики'!BL3663,0)</f>
        <v/>
      </c>
      <c r="BN3659">
        <f>IF('01_Вводные'!$B$234="Да",'19_Расчет_аналитики'!BM3663,0)</f>
        <v/>
      </c>
      <c r="BO3659">
        <f>IF('01_Вводные'!$B$234="Да",'19_Расчет_аналитики'!BN3663,0)</f>
        <v/>
      </c>
    </row>
    <row r="3660">
      <c r="B3660">
        <f>IF('01_Вводные'!$B$234="Да",'19_Расчет_аналитики'!B3653,0)</f>
        <v/>
      </c>
      <c r="C3660">
        <f>IF('01_Вводные'!$B$234="Да",'19_Расчет_аналитики'!C3653,0)</f>
        <v/>
      </c>
      <c r="D3660">
        <f>IF('01_Вводные'!$B$234="Да",'19_Расчет_аналитики'!D3653,0)</f>
        <v/>
      </c>
      <c r="E3660">
        <f>IF('01_Вводные'!$B$234="Да",'19_Расчет_аналитики'!E3653,0)</f>
        <v/>
      </c>
      <c r="F3660">
        <f>IF('01_Вводные'!$B$234="Да",'19_Расчет_аналитики'!F3653,0)</f>
        <v/>
      </c>
      <c r="G3660">
        <f>IF('01_Вводные'!$B$234="Да",'19_Расчет_аналитики'!G3653,0)</f>
        <v/>
      </c>
      <c r="H3660">
        <f>IF('01_Вводные'!$B$234="Да",'19_Расчет_аналитики'!H3653,0)</f>
        <v/>
      </c>
      <c r="I3660">
        <f>IF('01_Вводные'!$B$234="Да",'19_Расчет_аналитики'!I3653,0)</f>
        <v/>
      </c>
      <c r="J3660">
        <f>IF('01_Вводные'!$B$234="Да",'19_Расчет_аналитики'!J3653,0)</f>
        <v/>
      </c>
      <c r="K3660">
        <f>IF('01_Вводные'!$B$234="Да",'19_Расчет_аналитики'!K3653,0)</f>
        <v/>
      </c>
      <c r="L3660">
        <f>IF('01_Вводные'!$B$234="Да",'19_Расчет_аналитики'!L3653,0)</f>
        <v/>
      </c>
      <c r="M3660">
        <f>IF('01_Вводные'!$B$234="Да",'19_Расчет_аналитики'!M3653,0)</f>
        <v/>
      </c>
      <c r="N3660">
        <f>IF('01_Вводные'!$B$234="Да",'19_Расчет_аналитики'!N3653,0)</f>
        <v/>
      </c>
      <c r="O3660">
        <f>IF('01_Вводные'!$B$234="Да",'19_Расчет_аналитики'!O3653,0)</f>
        <v/>
      </c>
      <c r="P3660">
        <f>IF('01_Вводные'!$B$234="Да",'19_Расчет_аналитики'!P3653,0)</f>
        <v/>
      </c>
      <c r="Q3660">
        <f>IF('01_Вводные'!$B$234="Да",'19_Расчет_аналитики'!Q3653,0)</f>
        <v/>
      </c>
      <c r="R3660">
        <f>IF('01_Вводные'!$B$234="Да",'19_Расчет_аналитики'!R3653,0)</f>
        <v/>
      </c>
      <c r="S3660">
        <f>IF('01_Вводные'!$B$234="Да",'19_Расчет_аналитики'!S3653,0)</f>
        <v/>
      </c>
      <c r="T3660">
        <f>IF('01_Вводные'!$B$234="Да",'19_Расчет_аналитики'!T3653,0)</f>
        <v/>
      </c>
      <c r="U3660">
        <f>IF('01_Вводные'!$B$234="Да",'19_Расчет_аналитики'!U3653,0)</f>
        <v/>
      </c>
      <c r="V3660">
        <f>IF('01_Вводные'!$B$234="Да",'19_Расчет_аналитики'!V3653,0)</f>
        <v/>
      </c>
      <c r="W3660">
        <f>IF('01_Вводные'!$B$234="Да",'19_Расчет_аналитики'!W3653,0)</f>
        <v/>
      </c>
      <c r="X3660">
        <f>IF('01_Вводные'!$B$234="Да",'19_Расчет_аналитики'!X3653,0)</f>
        <v/>
      </c>
      <c r="Y3660">
        <f>IF('01_Вводные'!$B$234="Да",'19_Расчет_аналитики'!Y3653,0)</f>
        <v/>
      </c>
      <c r="Z3660">
        <f>IF('01_Вводные'!$B$234="Да",'19_Расчет_аналитики'!Z3653,0)</f>
        <v/>
      </c>
      <c r="AA3660">
        <f>IF('01_Вводные'!$B$234="Да",'19_Расчет_аналитики'!AA3653,0)</f>
        <v/>
      </c>
      <c r="AB3660">
        <f>IF('01_Вводные'!$B$234="Да",'19_Расчет_аналитики'!AB3653,0)</f>
        <v/>
      </c>
      <c r="AC3660">
        <f>IF('01_Вводные'!$B$234="Да",'19_Расчет_аналитики'!AC3653,0)</f>
        <v/>
      </c>
      <c r="AD3660">
        <f>IF('01_Вводные'!$B$234="Да",'19_Расчет_аналитики'!AD3653,0)</f>
        <v/>
      </c>
      <c r="AE3660">
        <f>IF('01_Вводные'!$B$234="Да",'19_Расчет_аналитики'!AE3653,0)</f>
        <v/>
      </c>
      <c r="AF3660">
        <f>IF('01_Вводные'!$B$234="Да",'19_Расчет_аналитики'!AF3653,0)</f>
        <v/>
      </c>
      <c r="AG3660">
        <f>IF('01_Вводные'!$B$234="Да",'19_Расчет_аналитики'!AG3653,0)</f>
        <v/>
      </c>
      <c r="AH3660">
        <f>IF('01_Вводные'!$B$234="Да",'19_Расчет_аналитики'!AH3653,0)</f>
        <v/>
      </c>
      <c r="AI3660">
        <f>IF('01_Вводные'!$B$234="Да",'19_Расчет_аналитики'!AI3653,0)</f>
        <v/>
      </c>
      <c r="AJ3660">
        <f>IF('01_Вводные'!$B$234="Да",'19_Расчет_аналитики'!AJ3653,0)</f>
        <v/>
      </c>
      <c r="AK3660">
        <f>IF('01_Вводные'!$B$234="Да",'19_Расчет_аналитики'!AK3653,0)</f>
        <v/>
      </c>
      <c r="AL3660">
        <f>IF('01_Вводные'!$B$234="Да",'19_Расчет_аналитики'!AL3653,0)</f>
        <v/>
      </c>
      <c r="AM3660">
        <f>IF('01_Вводные'!$B$234="Да",'19_Расчет_аналитики'!AM3653,0)</f>
        <v/>
      </c>
      <c r="AN3660">
        <f>IF('01_Вводные'!$B$234="Да",'19_Расчет_аналитики'!AN3653,0)</f>
        <v/>
      </c>
      <c r="AO3660">
        <f>IF('01_Вводные'!$B$234="Да",'19_Расчет_аналитики'!AO3653,0)</f>
        <v/>
      </c>
      <c r="AP3660">
        <f>IF('01_Вводные'!$B$234="Да",'19_Расчет_аналитики'!AP3653,0)</f>
        <v/>
      </c>
      <c r="AQ3660">
        <f>IF('01_Вводные'!$B$234="Да",'19_Расчет_аналитики'!AQ3653,0)</f>
        <v/>
      </c>
      <c r="AR3660">
        <f>IF('01_Вводные'!$B$234="Да",'19_Расчет_аналитики'!AR3653,0)</f>
        <v/>
      </c>
      <c r="AS3660">
        <f>IF('01_Вводные'!$B$234="Да",'19_Расчет_аналитики'!AS3653,0)</f>
        <v/>
      </c>
      <c r="AT3660">
        <f>IF('01_Вводные'!$B$234="Да",'19_Расчет_аналитики'!AT3653,0)</f>
        <v/>
      </c>
      <c r="AU3660">
        <f>IF('01_Вводные'!$B$234="Да",'19_Расчет_аналитики'!AU3653,0)</f>
        <v/>
      </c>
      <c r="AV3660">
        <f>IF('01_Вводные'!$B$234="Да",'19_Расчет_аналитики'!AV3653,0)</f>
        <v/>
      </c>
      <c r="AW3660">
        <f>IF('01_Вводные'!$B$234="Да",'19_Расчет_аналитики'!AW3653,0)</f>
        <v/>
      </c>
      <c r="AX3660">
        <f>IF('01_Вводные'!$B$234="Да",'19_Расчет_аналитики'!AX3653,0)</f>
        <v/>
      </c>
      <c r="AY3660">
        <f>IF('01_Вводные'!$B$234="Да",'19_Расчет_аналитики'!AY3653,0)</f>
        <v/>
      </c>
      <c r="AZ3660">
        <f>IF('01_Вводные'!$B$234="Да",'19_Расчет_аналитики'!AZ3653,0)</f>
        <v/>
      </c>
      <c r="BA3660">
        <f>IF('01_Вводные'!$B$234="Да",'19_Расчет_аналитики'!BA3653,0)</f>
        <v/>
      </c>
      <c r="BB3660">
        <f>IF('01_Вводные'!$B$234="Да",'19_Расчет_аналитики'!BB3653,0)</f>
        <v/>
      </c>
      <c r="BC3660">
        <f>IF('01_Вводные'!$B$234="Да",'19_Расчет_аналитики'!BC3653,0)</f>
        <v/>
      </c>
      <c r="BD3660">
        <f>IF('01_Вводные'!$B$234="Да",'19_Расчет_аналитики'!BD3653,0)</f>
        <v/>
      </c>
      <c r="BE3660">
        <f>IF('01_Вводные'!$B$234="Да",'19_Расчет_аналитики'!BE3653,0)</f>
        <v/>
      </c>
      <c r="BF3660">
        <f>IF('01_Вводные'!$B$234="Да",'19_Расчет_аналитики'!BF3653,0)</f>
        <v/>
      </c>
      <c r="BG3660">
        <f>IF('01_Вводные'!$B$234="Да",'19_Расчет_аналитики'!BG3653,0)</f>
        <v/>
      </c>
      <c r="BH3660">
        <f>IF('01_Вводные'!$B$234="Да",'19_Расчет_аналитики'!BH3653,0)</f>
        <v/>
      </c>
      <c r="BI3660">
        <f>IF('01_Вводные'!$B$234="Да",'19_Расчет_аналитики'!BI3653,0)</f>
        <v/>
      </c>
      <c r="BJ3660">
        <f>IF('01_Вводные'!$B$234="Да",'19_Расчет_аналитики'!BJ3653,0)</f>
        <v/>
      </c>
      <c r="BK3660">
        <f>IF('01_Вводные'!$B$234="Да",'19_Расчет_аналитики'!BK3653,0)</f>
        <v/>
      </c>
      <c r="BL3660">
        <f>IF('01_Вводные'!$B$234="Да",'19_Расчет_аналитики'!BL3653,0)</f>
        <v/>
      </c>
      <c r="BM3660">
        <f>IF('01_Вводные'!$B$234="Да",'19_Расчет_аналитики'!BM3653,0)</f>
        <v/>
      </c>
      <c r="BN3660">
        <f>IF('01_Вводные'!$B$234="Да",'19_Расчет_аналитики'!BN3653,0)</f>
        <v/>
      </c>
      <c r="BO3660">
        <f>IF('01_Вводные'!$B$234="Да",'19_Расчет_аналитики'!BO3653,0)</f>
        <v/>
      </c>
    </row>
    <row r="3661">
      <c r="B3661">
        <f>IF('01_Вводные'!$B$234="Да",SUM(IF('01_Вводные'!$B$80&gt;=1,'19_Расчет_аналитики'!C3653,0),IF('01_Вводные'!$B$80&gt;=2,'19_Расчет_аналитики'!D3653,0),IF('01_Вводные'!$B$80&gt;=3,'19_Расчет_аналитики'!E3653,0),IF('01_Вводные'!$B$80&gt;=4,'19_Расчет_аналитики'!F3653,0),IF('01_Вводные'!$B$80&gt;=5,'19_Расчет_аналитики'!G3653,0),IF('01_Вводные'!$B$80&gt;=6,'19_Расчет_аналитики'!H3653,0)),0)</f>
        <v/>
      </c>
      <c r="C3661">
        <f>IF('01_Вводные'!$B$234="Да",SUM(IF('01_Вводные'!$B$80&gt;=1,'19_Расчет_аналитики'!D3653,0),IF('01_Вводные'!$B$80&gt;=2,'19_Расчет_аналитики'!E3653,0),IF('01_Вводные'!$B$80&gt;=3,'19_Расчет_аналитики'!F3653,0),IF('01_Вводные'!$B$80&gt;=4,'19_Расчет_аналитики'!G3653,0),IF('01_Вводные'!$B$80&gt;=5,'19_Расчет_аналитики'!H3653,0),IF('01_Вводные'!$B$80&gt;=6,'19_Расчет_аналитики'!I3653,0)),0)</f>
        <v/>
      </c>
      <c r="D3661">
        <f>IF('01_Вводные'!$B$234="Да",SUM(IF('01_Вводные'!$B$80&gt;=1,'19_Расчет_аналитики'!E3653,0),IF('01_Вводные'!$B$80&gt;=2,'19_Расчет_аналитики'!F3653,0),IF('01_Вводные'!$B$80&gt;=3,'19_Расчет_аналитики'!G3653,0),IF('01_Вводные'!$B$80&gt;=4,'19_Расчет_аналитики'!H3653,0),IF('01_Вводные'!$B$80&gt;=5,'19_Расчет_аналитики'!I3653,0),IF('01_Вводные'!$B$80&gt;=6,'19_Расчет_аналитики'!J3653,0)),0)</f>
        <v/>
      </c>
      <c r="E3661">
        <f>IF('01_Вводные'!$B$234="Да",SUM(IF('01_Вводные'!$B$80&gt;=1,'19_Расчет_аналитики'!F3653,0),IF('01_Вводные'!$B$80&gt;=2,'19_Расчет_аналитики'!G3653,0),IF('01_Вводные'!$B$80&gt;=3,'19_Расчет_аналитики'!H3653,0),IF('01_Вводные'!$B$80&gt;=4,'19_Расчет_аналитики'!I3653,0),IF('01_Вводные'!$B$80&gt;=5,'19_Расчет_аналитики'!J3653,0),IF('01_Вводные'!$B$80&gt;=6,'19_Расчет_аналитики'!K3653,0)),0)</f>
        <v/>
      </c>
      <c r="F3661">
        <f>IF('01_Вводные'!$B$234="Да",SUM(IF('01_Вводные'!$B$80&gt;=1,'19_Расчет_аналитики'!G3653,0),IF('01_Вводные'!$B$80&gt;=2,'19_Расчет_аналитики'!H3653,0),IF('01_Вводные'!$B$80&gt;=3,'19_Расчет_аналитики'!I3653,0),IF('01_Вводные'!$B$80&gt;=4,'19_Расчет_аналитики'!J3653,0),IF('01_Вводные'!$B$80&gt;=5,'19_Расчет_аналитики'!K3653,0),IF('01_Вводные'!$B$80&gt;=6,'19_Расчет_аналитики'!L3653,0)),0)</f>
        <v/>
      </c>
      <c r="G3661">
        <f>IF('01_Вводные'!$B$234="Да",SUM(IF('01_Вводные'!$B$80&gt;=1,'19_Расчет_аналитики'!H3653,0),IF('01_Вводные'!$B$80&gt;=2,'19_Расчет_аналитики'!I3653,0),IF('01_Вводные'!$B$80&gt;=3,'19_Расчет_аналитики'!J3653,0),IF('01_Вводные'!$B$80&gt;=4,'19_Расчет_аналитики'!K3653,0),IF('01_Вводные'!$B$80&gt;=5,'19_Расчет_аналитики'!L3653,0),IF('01_Вводные'!$B$80&gt;=6,'19_Расчет_аналитики'!M3653,0)),0)</f>
        <v/>
      </c>
      <c r="H3661">
        <f>IF('01_Вводные'!$B$234="Да",SUM(IF('01_Вводные'!$B$80&gt;=1,'19_Расчет_аналитики'!I3653,0),IF('01_Вводные'!$B$80&gt;=2,'19_Расчет_аналитики'!J3653,0),IF('01_Вводные'!$B$80&gt;=3,'19_Расчет_аналитики'!K3653,0),IF('01_Вводные'!$B$80&gt;=4,'19_Расчет_аналитики'!L3653,0),IF('01_Вводные'!$B$80&gt;=5,'19_Расчет_аналитики'!M3653,0),IF('01_Вводные'!$B$80&gt;=6,'19_Расчет_аналитики'!N3653,0)),0)</f>
        <v/>
      </c>
      <c r="I3661">
        <f>IF('01_Вводные'!$B$234="Да",SUM(IF('01_Вводные'!$B$80&gt;=1,'19_Расчет_аналитики'!J3653,0),IF('01_Вводные'!$B$80&gt;=2,'19_Расчет_аналитики'!K3653,0),IF('01_Вводные'!$B$80&gt;=3,'19_Расчет_аналитики'!L3653,0),IF('01_Вводные'!$B$80&gt;=4,'19_Расчет_аналитики'!M3653,0),IF('01_Вводные'!$B$80&gt;=5,'19_Расчет_аналитики'!N3653,0),IF('01_Вводные'!$B$80&gt;=6,'19_Расчет_аналитики'!O3653,0)),0)</f>
        <v/>
      </c>
      <c r="J3661">
        <f>IF('01_Вводные'!$B$234="Да",SUM(IF('01_Вводные'!$B$80&gt;=1,'19_Расчет_аналитики'!K3653,0),IF('01_Вводные'!$B$80&gt;=2,'19_Расчет_аналитики'!L3653,0),IF('01_Вводные'!$B$80&gt;=3,'19_Расчет_аналитики'!M3653,0),IF('01_Вводные'!$B$80&gt;=4,'19_Расчет_аналитики'!N3653,0),IF('01_Вводные'!$B$80&gt;=5,'19_Расчет_аналитики'!O3653,0),IF('01_Вводные'!$B$80&gt;=6,'19_Расчет_аналитики'!P3653,0)),0)</f>
        <v/>
      </c>
      <c r="K3661">
        <f>IF('01_Вводные'!$B$234="Да",SUM(IF('01_Вводные'!$B$80&gt;=1,'19_Расчет_аналитики'!L3653,0),IF('01_Вводные'!$B$80&gt;=2,'19_Расчет_аналитики'!M3653,0),IF('01_Вводные'!$B$80&gt;=3,'19_Расчет_аналитики'!N3653,0),IF('01_Вводные'!$B$80&gt;=4,'19_Расчет_аналитики'!O3653,0),IF('01_Вводные'!$B$80&gt;=5,'19_Расчет_аналитики'!P3653,0),IF('01_Вводные'!$B$80&gt;=6,'19_Расчет_аналитики'!Q3653,0)),0)</f>
        <v/>
      </c>
      <c r="L3661">
        <f>IF('01_Вводные'!$B$234="Да",SUM(IF('01_Вводные'!$B$80&gt;=1,'19_Расчет_аналитики'!M3653,0),IF('01_Вводные'!$B$80&gt;=2,'19_Расчет_аналитики'!N3653,0),IF('01_Вводные'!$B$80&gt;=3,'19_Расчет_аналитики'!O3653,0),IF('01_Вводные'!$B$80&gt;=4,'19_Расчет_аналитики'!P3653,0),IF('01_Вводные'!$B$80&gt;=5,'19_Расчет_аналитики'!Q3653,0),IF('01_Вводные'!$B$80&gt;=6,'19_Расчет_аналитики'!R3653,0)),0)</f>
        <v/>
      </c>
      <c r="M3661">
        <f>IF('01_Вводные'!$B$234="Да",SUM(IF('01_Вводные'!$B$80&gt;=1,'19_Расчет_аналитики'!N3653,0),IF('01_Вводные'!$B$80&gt;=2,'19_Расчет_аналитики'!O3653,0),IF('01_Вводные'!$B$80&gt;=3,'19_Расчет_аналитики'!P3653,0),IF('01_Вводные'!$B$80&gt;=4,'19_Расчет_аналитики'!Q3653,0),IF('01_Вводные'!$B$80&gt;=5,'19_Расчет_аналитики'!R3653,0),IF('01_Вводные'!$B$80&gt;=6,'19_Расчет_аналитики'!S3653,0)),0)</f>
        <v/>
      </c>
      <c r="N3661">
        <f>IF('01_Вводные'!$B$234="Да",SUM(IF('01_Вводные'!$B$80&gt;=1,'19_Расчет_аналитики'!O3653,0),IF('01_Вводные'!$B$80&gt;=2,'19_Расчет_аналитики'!P3653,0),IF('01_Вводные'!$B$80&gt;=3,'19_Расчет_аналитики'!Q3653,0),IF('01_Вводные'!$B$80&gt;=4,'19_Расчет_аналитики'!R3653,0),IF('01_Вводные'!$B$80&gt;=5,'19_Расчет_аналитики'!S3653,0),IF('01_Вводные'!$B$80&gt;=6,'19_Расчет_аналитики'!T3653,0)),0)</f>
        <v/>
      </c>
      <c r="O3661">
        <f>IF('01_Вводные'!$B$234="Да",SUM(IF('01_Вводные'!$B$80&gt;=1,'19_Расчет_аналитики'!P3653,0),IF('01_Вводные'!$B$80&gt;=2,'19_Расчет_аналитики'!Q3653,0),IF('01_Вводные'!$B$80&gt;=3,'19_Расчет_аналитики'!R3653,0),IF('01_Вводные'!$B$80&gt;=4,'19_Расчет_аналитики'!S3653,0),IF('01_Вводные'!$B$80&gt;=5,'19_Расчет_аналитики'!T3653,0),IF('01_Вводные'!$B$80&gt;=6,'19_Расчет_аналитики'!U3653,0)),0)</f>
        <v/>
      </c>
      <c r="P3661">
        <f>IF('01_Вводные'!$B$234="Да",SUM(IF('01_Вводные'!$B$80&gt;=1,'19_Расчет_аналитики'!Q3653,0),IF('01_Вводные'!$B$80&gt;=2,'19_Расчет_аналитики'!R3653,0),IF('01_Вводные'!$B$80&gt;=3,'19_Расчет_аналитики'!S3653,0),IF('01_Вводные'!$B$80&gt;=4,'19_Расчет_аналитики'!T3653,0),IF('01_Вводные'!$B$80&gt;=5,'19_Расчет_аналитики'!U3653,0),IF('01_Вводные'!$B$80&gt;=6,'19_Расчет_аналитики'!V3653,0)),0)</f>
        <v/>
      </c>
      <c r="Q3661">
        <f>IF('01_Вводные'!$B$234="Да",SUM(IF('01_Вводные'!$B$80&gt;=1,'19_Расчет_аналитики'!R3653,0),IF('01_Вводные'!$B$80&gt;=2,'19_Расчет_аналитики'!S3653,0),IF('01_Вводные'!$B$80&gt;=3,'19_Расчет_аналитики'!T3653,0),IF('01_Вводные'!$B$80&gt;=4,'19_Расчет_аналитики'!U3653,0),IF('01_Вводные'!$B$80&gt;=5,'19_Расчет_аналитики'!V3653,0),IF('01_Вводные'!$B$80&gt;=6,'19_Расчет_аналитики'!W3653,0)),0)</f>
        <v/>
      </c>
      <c r="R3661">
        <f>IF('01_Вводные'!$B$234="Да",SUM(IF('01_Вводные'!$B$80&gt;=1,'19_Расчет_аналитики'!S3653,0),IF('01_Вводные'!$B$80&gt;=2,'19_Расчет_аналитики'!T3653,0),IF('01_Вводные'!$B$80&gt;=3,'19_Расчет_аналитики'!U3653,0),IF('01_Вводные'!$B$80&gt;=4,'19_Расчет_аналитики'!V3653,0),IF('01_Вводные'!$B$80&gt;=5,'19_Расчет_аналитики'!W3653,0),IF('01_Вводные'!$B$80&gt;=6,'19_Расчет_аналитики'!X3653,0)),0)</f>
        <v/>
      </c>
      <c r="S3661">
        <f>IF('01_Вводные'!$B$234="Да",SUM(IF('01_Вводные'!$B$80&gt;=1,'19_Расчет_аналитики'!T3653,0),IF('01_Вводные'!$B$80&gt;=2,'19_Расчет_аналитики'!U3653,0),IF('01_Вводные'!$B$80&gt;=3,'19_Расчет_аналитики'!V3653,0),IF('01_Вводные'!$B$80&gt;=4,'19_Расчет_аналитики'!W3653,0),IF('01_Вводные'!$B$80&gt;=5,'19_Расчет_аналитики'!X3653,0),IF('01_Вводные'!$B$80&gt;=6,'19_Расчет_аналитики'!Y3653,0)),0)</f>
        <v/>
      </c>
      <c r="T3661">
        <f>IF('01_Вводные'!$B$234="Да",SUM(IF('01_Вводные'!$B$80&gt;=1,'19_Расчет_аналитики'!U3653,0),IF('01_Вводные'!$B$80&gt;=2,'19_Расчет_аналитики'!V3653,0),IF('01_Вводные'!$B$80&gt;=3,'19_Расчет_аналитики'!W3653,0),IF('01_Вводные'!$B$80&gt;=4,'19_Расчет_аналитики'!X3653,0),IF('01_Вводные'!$B$80&gt;=5,'19_Расчет_аналитики'!Y3653,0),IF('01_Вводные'!$B$80&gt;=6,'19_Расчет_аналитики'!Z3653,0)),0)</f>
        <v/>
      </c>
      <c r="U3661">
        <f>IF('01_Вводные'!$B$234="Да",SUM(IF('01_Вводные'!$B$80&gt;=1,'19_Расчет_аналитики'!V3653,0),IF('01_Вводные'!$B$80&gt;=2,'19_Расчет_аналитики'!W3653,0),IF('01_Вводные'!$B$80&gt;=3,'19_Расчет_аналитики'!X3653,0),IF('01_Вводные'!$B$80&gt;=4,'19_Расчет_аналитики'!Y3653,0),IF('01_Вводные'!$B$80&gt;=5,'19_Расчет_аналитики'!Z3653,0),IF('01_Вводные'!$B$80&gt;=6,'19_Расчет_аналитики'!AA3653,0)),0)</f>
        <v/>
      </c>
      <c r="V3661">
        <f>IF('01_Вводные'!$B$234="Да",SUM(IF('01_Вводные'!$B$80&gt;=1,'19_Расчет_аналитики'!W3653,0),IF('01_Вводные'!$B$80&gt;=2,'19_Расчет_аналитики'!X3653,0),IF('01_Вводные'!$B$80&gt;=3,'19_Расчет_аналитики'!Y3653,0),IF('01_Вводные'!$B$80&gt;=4,'19_Расчет_аналитики'!Z3653,0),IF('01_Вводные'!$B$80&gt;=5,'19_Расчет_аналитики'!AA3653,0),IF('01_Вводные'!$B$80&gt;=6,'19_Расчет_аналитики'!AB3653,0)),0)</f>
        <v/>
      </c>
      <c r="W3661">
        <f>IF('01_Вводные'!$B$234="Да",SUM(IF('01_Вводные'!$B$80&gt;=1,'19_Расчет_аналитики'!X3653,0),IF('01_Вводные'!$B$80&gt;=2,'19_Расчет_аналитики'!Y3653,0),IF('01_Вводные'!$B$80&gt;=3,'19_Расчет_аналитики'!Z3653,0),IF('01_Вводные'!$B$80&gt;=4,'19_Расчет_аналитики'!AA3653,0),IF('01_Вводные'!$B$80&gt;=5,'19_Расчет_аналитики'!AB3653,0),IF('01_Вводные'!$B$80&gt;=6,'19_Расчет_аналитики'!AC3653,0)),0)</f>
        <v/>
      </c>
      <c r="X3661">
        <f>IF('01_Вводные'!$B$234="Да",SUM(IF('01_Вводные'!$B$80&gt;=1,'19_Расчет_аналитики'!Y3653,0),IF('01_Вводные'!$B$80&gt;=2,'19_Расчет_аналитики'!Z3653,0),IF('01_Вводные'!$B$80&gt;=3,'19_Расчет_аналитики'!AA3653,0),IF('01_Вводные'!$B$80&gt;=4,'19_Расчет_аналитики'!AB3653,0),IF('01_Вводные'!$B$80&gt;=5,'19_Расчет_аналитики'!AC3653,0),IF('01_Вводные'!$B$80&gt;=6,'19_Расчет_аналитики'!AD3653,0)),0)</f>
        <v/>
      </c>
      <c r="Y3661">
        <f>IF('01_Вводные'!$B$234="Да",SUM(IF('01_Вводные'!$B$80&gt;=1,'19_Расчет_аналитики'!Z3653,0),IF('01_Вводные'!$B$80&gt;=2,'19_Расчет_аналитики'!AA3653,0),IF('01_Вводные'!$B$80&gt;=3,'19_Расчет_аналитики'!AB3653,0),IF('01_Вводные'!$B$80&gt;=4,'19_Расчет_аналитики'!AC3653,0),IF('01_Вводные'!$B$80&gt;=5,'19_Расчет_аналитики'!AD3653,0),IF('01_Вводные'!$B$80&gt;=6,'19_Расчет_аналитики'!AE3653,0)),0)</f>
        <v/>
      </c>
      <c r="Z3661">
        <f>IF('01_Вводные'!$B$234="Да",SUM(IF('01_Вводные'!$B$80&gt;=1,'19_Расчет_аналитики'!AA3653,0),IF('01_Вводные'!$B$80&gt;=2,'19_Расчет_аналитики'!AB3653,0),IF('01_Вводные'!$B$80&gt;=3,'19_Расчет_аналитики'!AC3653,0),IF('01_Вводные'!$B$80&gt;=4,'19_Расчет_аналитики'!AD3653,0),IF('01_Вводные'!$B$80&gt;=5,'19_Расчет_аналитики'!AE3653,0),IF('01_Вводные'!$B$80&gt;=6,'19_Расчет_аналитики'!AF3653,0)),0)</f>
        <v/>
      </c>
      <c r="AA3661">
        <f>IF('01_Вводные'!$B$234="Да",SUM(IF('01_Вводные'!$B$80&gt;=1,'19_Расчет_аналитики'!AB3653,0),IF('01_Вводные'!$B$80&gt;=2,'19_Расчет_аналитики'!AC3653,0),IF('01_Вводные'!$B$80&gt;=3,'19_Расчет_аналитики'!AD3653,0),IF('01_Вводные'!$B$80&gt;=4,'19_Расчет_аналитики'!AE3653,0),IF('01_Вводные'!$B$80&gt;=5,'19_Расчет_аналитики'!AF3653,0),IF('01_Вводные'!$B$80&gt;=6,'19_Расчет_аналитики'!AG3653,0)),0)</f>
        <v/>
      </c>
      <c r="AB3661">
        <f>IF('01_Вводные'!$B$234="Да",SUM(IF('01_Вводные'!$B$80&gt;=1,'19_Расчет_аналитики'!AC3653,0),IF('01_Вводные'!$B$80&gt;=2,'19_Расчет_аналитики'!AD3653,0),IF('01_Вводные'!$B$80&gt;=3,'19_Расчет_аналитики'!AE3653,0),IF('01_Вводные'!$B$80&gt;=4,'19_Расчет_аналитики'!AF3653,0),IF('01_Вводные'!$B$80&gt;=5,'19_Расчет_аналитики'!AG3653,0),IF('01_Вводные'!$B$80&gt;=6,'19_Расчет_аналитики'!AH3653,0)),0)</f>
        <v/>
      </c>
      <c r="AC3661">
        <f>IF('01_Вводные'!$B$234="Да",SUM(IF('01_Вводные'!$B$80&gt;=1,'19_Расчет_аналитики'!AD3653,0),IF('01_Вводные'!$B$80&gt;=2,'19_Расчет_аналитики'!AE3653,0),IF('01_Вводные'!$B$80&gt;=3,'19_Расчет_аналитики'!AF3653,0),IF('01_Вводные'!$B$80&gt;=4,'19_Расчет_аналитики'!AG3653,0),IF('01_Вводные'!$B$80&gt;=5,'19_Расчет_аналитики'!AH3653,0),IF('01_Вводные'!$B$80&gt;=6,'19_Расчет_аналитики'!AI3653,0)),0)</f>
        <v/>
      </c>
      <c r="AD3661">
        <f>IF('01_Вводные'!$B$234="Да",SUM(IF('01_Вводные'!$B$80&gt;=1,'19_Расчет_аналитики'!AE3653,0),IF('01_Вводные'!$B$80&gt;=2,'19_Расчет_аналитики'!AF3653,0),IF('01_Вводные'!$B$80&gt;=3,'19_Расчет_аналитики'!AG3653,0),IF('01_Вводные'!$B$80&gt;=4,'19_Расчет_аналитики'!AH3653,0),IF('01_Вводные'!$B$80&gt;=5,'19_Расчет_аналитики'!AI3653,0),IF('01_Вводные'!$B$80&gt;=6,'19_Расчет_аналитики'!AJ3653,0)),0)</f>
        <v/>
      </c>
      <c r="AE3661">
        <f>IF('01_Вводные'!$B$234="Да",SUM(IF('01_Вводные'!$B$80&gt;=1,'19_Расчет_аналитики'!AF3653,0),IF('01_Вводные'!$B$80&gt;=2,'19_Расчет_аналитики'!AG3653,0),IF('01_Вводные'!$B$80&gt;=3,'19_Расчет_аналитики'!AH3653,0),IF('01_Вводные'!$B$80&gt;=4,'19_Расчет_аналитики'!AI3653,0),IF('01_Вводные'!$B$80&gt;=5,'19_Расчет_аналитики'!AJ3653,0),IF('01_Вводные'!$B$80&gt;=6,'19_Расчет_аналитики'!AK3653,0)),0)</f>
        <v/>
      </c>
      <c r="AF3661">
        <f>IF('01_Вводные'!$B$234="Да",SUM(IF('01_Вводные'!$B$80&gt;=1,'19_Расчет_аналитики'!AG3653,0),IF('01_Вводные'!$B$80&gt;=2,'19_Расчет_аналитики'!AH3653,0),IF('01_Вводные'!$B$80&gt;=3,'19_Расчет_аналитики'!AI3653,0),IF('01_Вводные'!$B$80&gt;=4,'19_Расчет_аналитики'!AJ3653,0),IF('01_Вводные'!$B$80&gt;=5,'19_Расчет_аналитики'!AK3653,0),IF('01_Вводные'!$B$80&gt;=6,'19_Расчет_аналитики'!AL3653,0)),0)</f>
        <v/>
      </c>
      <c r="AG3661">
        <f>IF('01_Вводные'!$B$234="Да",SUM(IF('01_Вводные'!$B$80&gt;=1,'19_Расчет_аналитики'!AH3653,0),IF('01_Вводные'!$B$80&gt;=2,'19_Расчет_аналитики'!AI3653,0),IF('01_Вводные'!$B$80&gt;=3,'19_Расчет_аналитики'!AJ3653,0),IF('01_Вводные'!$B$80&gt;=4,'19_Расчет_аналитики'!AK3653,0),IF('01_Вводные'!$B$80&gt;=5,'19_Расчет_аналитики'!AL3653,0),IF('01_Вводные'!$B$80&gt;=6,'19_Расчет_аналитики'!AM3653,0)),0)</f>
        <v/>
      </c>
      <c r="AH3661">
        <f>IF('01_Вводные'!$B$234="Да",SUM(IF('01_Вводные'!$B$80&gt;=1,'19_Расчет_аналитики'!AI3653,0),IF('01_Вводные'!$B$80&gt;=2,'19_Расчет_аналитики'!AJ3653,0),IF('01_Вводные'!$B$80&gt;=3,'19_Расчет_аналитики'!AK3653,0),IF('01_Вводные'!$B$80&gt;=4,'19_Расчет_аналитики'!AL3653,0),IF('01_Вводные'!$B$80&gt;=5,'19_Расчет_аналитики'!AM3653,0),IF('01_Вводные'!$B$80&gt;=6,'19_Расчет_аналитики'!AN3653,0)),0)</f>
        <v/>
      </c>
      <c r="AI3661">
        <f>IF('01_Вводные'!$B$234="Да",SUM(IF('01_Вводные'!$B$80&gt;=1,'19_Расчет_аналитики'!AJ3653,0),IF('01_Вводные'!$B$80&gt;=2,'19_Расчет_аналитики'!AK3653,0),IF('01_Вводные'!$B$80&gt;=3,'19_Расчет_аналитики'!AL3653,0),IF('01_Вводные'!$B$80&gt;=4,'19_Расчет_аналитики'!AM3653,0),IF('01_Вводные'!$B$80&gt;=5,'19_Расчет_аналитики'!AN3653,0),IF('01_Вводные'!$B$80&gt;=6,'19_Расчет_аналитики'!AO3653,0)),0)</f>
        <v/>
      </c>
      <c r="AJ3661">
        <f>IF('01_Вводные'!$B$234="Да",SUM(IF('01_Вводные'!$B$80&gt;=1,'19_Расчет_аналитики'!AK3653,0),IF('01_Вводные'!$B$80&gt;=2,'19_Расчет_аналитики'!AL3653,0),IF('01_Вводные'!$B$80&gt;=3,'19_Расчет_аналитики'!AM3653,0),IF('01_Вводные'!$B$80&gt;=4,'19_Расчет_аналитики'!AN3653,0),IF('01_Вводные'!$B$80&gt;=5,'19_Расчет_аналитики'!AO3653,0),IF('01_Вводные'!$B$80&gt;=6,'19_Расчет_аналитики'!AP3653,0)),0)</f>
        <v/>
      </c>
      <c r="AK3661">
        <f>IF('01_Вводные'!$B$234="Да",SUM(IF('01_Вводные'!$B$80&gt;=1,'19_Расчет_аналитики'!AL3653,0),IF('01_Вводные'!$B$80&gt;=2,'19_Расчет_аналитики'!AM3653,0),IF('01_Вводные'!$B$80&gt;=3,'19_Расчет_аналитики'!AN3653,0),IF('01_Вводные'!$B$80&gt;=4,'19_Расчет_аналитики'!AO3653,0),IF('01_Вводные'!$B$80&gt;=5,'19_Расчет_аналитики'!AP3653,0),IF('01_Вводные'!$B$80&gt;=6,'19_Расчет_аналитики'!AQ3653,0)),0)</f>
        <v/>
      </c>
      <c r="AL3661">
        <f>IF('01_Вводные'!$B$234="Да",SUM(IF('01_Вводные'!$B$80&gt;=1,'19_Расчет_аналитики'!AM3653,0),IF('01_Вводные'!$B$80&gt;=2,'19_Расчет_аналитики'!AN3653,0),IF('01_Вводные'!$B$80&gt;=3,'19_Расчет_аналитики'!AO3653,0),IF('01_Вводные'!$B$80&gt;=4,'19_Расчет_аналитики'!AP3653,0),IF('01_Вводные'!$B$80&gt;=5,'19_Расчет_аналитики'!AQ3653,0),IF('01_Вводные'!$B$80&gt;=6,'19_Расчет_аналитики'!AR3653,0)),0)</f>
        <v/>
      </c>
      <c r="AM3661">
        <f>IF('01_Вводные'!$B$234="Да",SUM(IF('01_Вводные'!$B$80&gt;=1,'19_Расчет_аналитики'!AN3653,0),IF('01_Вводные'!$B$80&gt;=2,'19_Расчет_аналитики'!AO3653,0),IF('01_Вводные'!$B$80&gt;=3,'19_Расчет_аналитики'!AP3653,0),IF('01_Вводные'!$B$80&gt;=4,'19_Расчет_аналитики'!AQ3653,0),IF('01_Вводные'!$B$80&gt;=5,'19_Расчет_аналитики'!AR3653,0),IF('01_Вводные'!$B$80&gt;=6,'19_Расчет_аналитики'!AS3653,0)),0)</f>
        <v/>
      </c>
      <c r="AN3661">
        <f>IF('01_Вводные'!$B$234="Да",SUM(IF('01_Вводные'!$B$80&gt;=1,'19_Расчет_аналитики'!AO3653,0),IF('01_Вводные'!$B$80&gt;=2,'19_Расчет_аналитики'!AP3653,0),IF('01_Вводные'!$B$80&gt;=3,'19_Расчет_аналитики'!AQ3653,0),IF('01_Вводные'!$B$80&gt;=4,'19_Расчет_аналитики'!AR3653,0),IF('01_Вводные'!$B$80&gt;=5,'19_Расчет_аналитики'!AS3653,0),IF('01_Вводные'!$B$80&gt;=6,'19_Расчет_аналитики'!AT3653,0)),0)</f>
        <v/>
      </c>
      <c r="AO3661">
        <f>IF('01_Вводные'!$B$234="Да",SUM(IF('01_Вводные'!$B$80&gt;=1,'19_Расчет_аналитики'!AP3653,0),IF('01_Вводные'!$B$80&gt;=2,'19_Расчет_аналитики'!AQ3653,0),IF('01_Вводные'!$B$80&gt;=3,'19_Расчет_аналитики'!AR3653,0),IF('01_Вводные'!$B$80&gt;=4,'19_Расчет_аналитики'!AS3653,0),IF('01_Вводные'!$B$80&gt;=5,'19_Расчет_аналитики'!AT3653,0),IF('01_Вводные'!$B$80&gt;=6,'19_Расчет_аналитики'!AU3653,0)),0)</f>
        <v/>
      </c>
      <c r="AP3661">
        <f>IF('01_Вводные'!$B$234="Да",SUM(IF('01_Вводные'!$B$80&gt;=1,'19_Расчет_аналитики'!AQ3653,0),IF('01_Вводные'!$B$80&gt;=2,'19_Расчет_аналитики'!AR3653,0),IF('01_Вводные'!$B$80&gt;=3,'19_Расчет_аналитики'!AS3653,0),IF('01_Вводные'!$B$80&gt;=4,'19_Расчет_аналитики'!AT3653,0),IF('01_Вводные'!$B$80&gt;=5,'19_Расчет_аналитики'!AU3653,0),IF('01_Вводные'!$B$80&gt;=6,'19_Расчет_аналитики'!AV3653,0)),0)</f>
        <v/>
      </c>
      <c r="AQ3661">
        <f>IF('01_Вводные'!$B$234="Да",SUM(IF('01_Вводные'!$B$80&gt;=1,'19_Расчет_аналитики'!AR3653,0),IF('01_Вводные'!$B$80&gt;=2,'19_Расчет_аналитики'!AS3653,0),IF('01_Вводные'!$B$80&gt;=3,'19_Расчет_аналитики'!AT3653,0),IF('01_Вводные'!$B$80&gt;=4,'19_Расчет_аналитики'!AU3653,0),IF('01_Вводные'!$B$80&gt;=5,'19_Расчет_аналитики'!AV3653,0),IF('01_Вводные'!$B$80&gt;=6,'19_Расчет_аналитики'!AW3653,0)),0)</f>
        <v/>
      </c>
      <c r="AR3661">
        <f>IF('01_Вводные'!$B$234="Да",SUM(IF('01_Вводные'!$B$80&gt;=1,'19_Расчет_аналитики'!AS3653,0),IF('01_Вводные'!$B$80&gt;=2,'19_Расчет_аналитики'!AT3653,0),IF('01_Вводные'!$B$80&gt;=3,'19_Расчет_аналитики'!AU3653,0),IF('01_Вводные'!$B$80&gt;=4,'19_Расчет_аналитики'!AV3653,0),IF('01_Вводные'!$B$80&gt;=5,'19_Расчет_аналитики'!AW3653,0),IF('01_Вводные'!$B$80&gt;=6,'19_Расчет_аналитики'!AX3653,0)),0)</f>
        <v/>
      </c>
      <c r="AS3661">
        <f>IF('01_Вводные'!$B$234="Да",SUM(IF('01_Вводные'!$B$80&gt;=1,'19_Расчет_аналитики'!AT3653,0),IF('01_Вводные'!$B$80&gt;=2,'19_Расчет_аналитики'!AU3653,0),IF('01_Вводные'!$B$80&gt;=3,'19_Расчет_аналитики'!AV3653,0),IF('01_Вводные'!$B$80&gt;=4,'19_Расчет_аналитики'!AW3653,0),IF('01_Вводные'!$B$80&gt;=5,'19_Расчет_аналитики'!AX3653,0),IF('01_Вводные'!$B$80&gt;=6,'19_Расчет_аналитики'!AY3653,0)),0)</f>
        <v/>
      </c>
      <c r="AT3661">
        <f>IF('01_Вводные'!$B$234="Да",SUM(IF('01_Вводные'!$B$80&gt;=1,'19_Расчет_аналитики'!AU3653,0),IF('01_Вводные'!$B$80&gt;=2,'19_Расчет_аналитики'!AV3653,0),IF('01_Вводные'!$B$80&gt;=3,'19_Расчет_аналитики'!AW3653,0),IF('01_Вводные'!$B$80&gt;=4,'19_Расчет_аналитики'!AX3653,0),IF('01_Вводные'!$B$80&gt;=5,'19_Расчет_аналитики'!AY3653,0),IF('01_Вводные'!$B$80&gt;=6,'19_Расчет_аналитики'!AZ3653,0)),0)</f>
        <v/>
      </c>
      <c r="AU3661">
        <f>IF('01_Вводные'!$B$234="Да",SUM(IF('01_Вводные'!$B$80&gt;=1,'19_Расчет_аналитики'!AV3653,0),IF('01_Вводные'!$B$80&gt;=2,'19_Расчет_аналитики'!AW3653,0),IF('01_Вводные'!$B$80&gt;=3,'19_Расчет_аналитики'!AX3653,0),IF('01_Вводные'!$B$80&gt;=4,'19_Расчет_аналитики'!AY3653,0),IF('01_Вводные'!$B$80&gt;=5,'19_Расчет_аналитики'!AZ3653,0),IF('01_Вводные'!$B$80&gt;=6,'19_Расчет_аналитики'!BA3653,0)),0)</f>
        <v/>
      </c>
      <c r="AV3661">
        <f>IF('01_Вводные'!$B$234="Да",SUM(IF('01_Вводные'!$B$80&gt;=1,'19_Расчет_аналитики'!AW3653,0),IF('01_Вводные'!$B$80&gt;=2,'19_Расчет_аналитики'!AX3653,0),IF('01_Вводные'!$B$80&gt;=3,'19_Расчет_аналитики'!AY3653,0),IF('01_Вводные'!$B$80&gt;=4,'19_Расчет_аналитики'!AZ3653,0),IF('01_Вводные'!$B$80&gt;=5,'19_Расчет_аналитики'!BA3653,0),IF('01_Вводные'!$B$80&gt;=6,'19_Расчет_аналитики'!BB3653,0)),0)</f>
        <v/>
      </c>
      <c r="AW3661">
        <f>IF('01_Вводные'!$B$234="Да",SUM(IF('01_Вводные'!$B$80&gt;=1,'19_Расчет_аналитики'!AX3653,0),IF('01_Вводные'!$B$80&gt;=2,'19_Расчет_аналитики'!AY3653,0),IF('01_Вводные'!$B$80&gt;=3,'19_Расчет_аналитики'!AZ3653,0),IF('01_Вводные'!$B$80&gt;=4,'19_Расчет_аналитики'!BA3653,0),IF('01_Вводные'!$B$80&gt;=5,'19_Расчет_аналитики'!BB3653,0),IF('01_Вводные'!$B$80&gt;=6,'19_Расчет_аналитики'!BC3653,0)),0)</f>
        <v/>
      </c>
      <c r="AX3661">
        <f>IF('01_Вводные'!$B$234="Да",SUM(IF('01_Вводные'!$B$80&gt;=1,'19_Расчет_аналитики'!AY3653,0),IF('01_Вводные'!$B$80&gt;=2,'19_Расчет_аналитики'!AZ3653,0),IF('01_Вводные'!$B$80&gt;=3,'19_Расчет_аналитики'!BA3653,0),IF('01_Вводные'!$B$80&gt;=4,'19_Расчет_аналитики'!BB3653,0),IF('01_Вводные'!$B$80&gt;=5,'19_Расчет_аналитики'!BC3653,0),IF('01_Вводные'!$B$80&gt;=6,'19_Расчет_аналитики'!BD3653,0)),0)</f>
        <v/>
      </c>
      <c r="AY3661">
        <f>IF('01_Вводные'!$B$234="Да",SUM(IF('01_Вводные'!$B$80&gt;=1,'19_Расчет_аналитики'!AZ3653,0),IF('01_Вводные'!$B$80&gt;=2,'19_Расчет_аналитики'!BA3653,0),IF('01_Вводные'!$B$80&gt;=3,'19_Расчет_аналитики'!BB3653,0),IF('01_Вводные'!$B$80&gt;=4,'19_Расчет_аналитики'!BC3653,0),IF('01_Вводные'!$B$80&gt;=5,'19_Расчет_аналитики'!BD3653,0),IF('01_Вводные'!$B$80&gt;=6,'19_Расчет_аналитики'!BE3653,0)),0)</f>
        <v/>
      </c>
      <c r="AZ3661">
        <f>IF('01_Вводные'!$B$234="Да",SUM(IF('01_Вводные'!$B$80&gt;=1,'19_Расчет_аналитики'!BA3653,0),IF('01_Вводные'!$B$80&gt;=2,'19_Расчет_аналитики'!BB3653,0),IF('01_Вводные'!$B$80&gt;=3,'19_Расчет_аналитики'!BC3653,0),IF('01_Вводные'!$B$80&gt;=4,'19_Расчет_аналитики'!BD3653,0),IF('01_Вводные'!$B$80&gt;=5,'19_Расчет_аналитики'!BE3653,0),IF('01_Вводные'!$B$80&gt;=6,'19_Расчет_аналитики'!BF3653,0)),0)</f>
        <v/>
      </c>
      <c r="BA3661">
        <f>IF('01_Вводные'!$B$234="Да",SUM(IF('01_Вводные'!$B$80&gt;=1,'19_Расчет_аналитики'!BB3653,0),IF('01_Вводные'!$B$80&gt;=2,'19_Расчет_аналитики'!BC3653,0),IF('01_Вводные'!$B$80&gt;=3,'19_Расчет_аналитики'!BD3653,0),IF('01_Вводные'!$B$80&gt;=4,'19_Расчет_аналитики'!BE3653,0),IF('01_Вводные'!$B$80&gt;=5,'19_Расчет_аналитики'!BF3653,0),IF('01_Вводные'!$B$80&gt;=6,'19_Расчет_аналитики'!BG3653,0)),0)</f>
        <v/>
      </c>
      <c r="BB3661">
        <f>IF('01_Вводные'!$B$234="Да",SUM(IF('01_Вводные'!$B$80&gt;=1,'19_Расчет_аналитики'!BC3653,0),IF('01_Вводные'!$B$80&gt;=2,'19_Расчет_аналитики'!BD3653,0),IF('01_Вводные'!$B$80&gt;=3,'19_Расчет_аналитики'!BE3653,0),IF('01_Вводные'!$B$80&gt;=4,'19_Расчет_аналитики'!BF3653,0),IF('01_Вводные'!$B$80&gt;=5,'19_Расчет_аналитики'!BG3653,0),IF('01_Вводные'!$B$80&gt;=6,'19_Расчет_аналитики'!BH3653,0)),0)</f>
        <v/>
      </c>
      <c r="BC3661">
        <f>IF('01_Вводные'!$B$234="Да",SUM(IF('01_Вводные'!$B$80&gt;=1,'19_Расчет_аналитики'!BD3653,0),IF('01_Вводные'!$B$80&gt;=2,'19_Расчет_аналитики'!BE3653,0),IF('01_Вводные'!$B$80&gt;=3,'19_Расчет_аналитики'!BF3653,0),IF('01_Вводные'!$B$80&gt;=4,'19_Расчет_аналитики'!BG3653,0),IF('01_Вводные'!$B$80&gt;=5,'19_Расчет_аналитики'!BH3653,0),IF('01_Вводные'!$B$80&gt;=6,'19_Расчет_аналитики'!BI3653,0)),0)</f>
        <v/>
      </c>
      <c r="BD3661">
        <f>IF('01_Вводные'!$B$234="Да",SUM(IF('01_Вводные'!$B$80&gt;=1,'19_Расчет_аналитики'!BE3653,0),IF('01_Вводные'!$B$80&gt;=2,'19_Расчет_аналитики'!BF3653,0),IF('01_Вводные'!$B$80&gt;=3,'19_Расчет_аналитики'!BG3653,0),IF('01_Вводные'!$B$80&gt;=4,'19_Расчет_аналитики'!BH3653,0),IF('01_Вводные'!$B$80&gt;=5,'19_Расчет_аналитики'!BI3653,0),IF('01_Вводные'!$B$80&gt;=6,'19_Расчет_аналитики'!BJ3653,0)),0)</f>
        <v/>
      </c>
      <c r="BE3661">
        <f>IF('01_Вводные'!$B$234="Да",SUM(IF('01_Вводные'!$B$80&gt;=1,'19_Расчет_аналитики'!BF3653,0),IF('01_Вводные'!$B$80&gt;=2,'19_Расчет_аналитики'!BG3653,0),IF('01_Вводные'!$B$80&gt;=3,'19_Расчет_аналитики'!BH3653,0),IF('01_Вводные'!$B$80&gt;=4,'19_Расчет_аналитики'!BI3653,0),IF('01_Вводные'!$B$80&gt;=5,'19_Расчет_аналитики'!BJ3653,0),IF('01_Вводные'!$B$80&gt;=6,'19_Расчет_аналитики'!BK3653,0)),0)</f>
        <v/>
      </c>
      <c r="BF3661">
        <f>IF('01_Вводные'!$B$234="Да",SUM(IF('01_Вводные'!$B$80&gt;=1,'19_Расчет_аналитики'!BG3653,0),IF('01_Вводные'!$B$80&gt;=2,'19_Расчет_аналитики'!BH3653,0),IF('01_Вводные'!$B$80&gt;=3,'19_Расчет_аналитики'!BI3653,0),IF('01_Вводные'!$B$80&gt;=4,'19_Расчет_аналитики'!BJ3653,0),IF('01_Вводные'!$B$80&gt;=5,'19_Расчет_аналитики'!BK3653,0),IF('01_Вводные'!$B$80&gt;=6,'19_Расчет_аналитики'!BL3653,0)),0)</f>
        <v/>
      </c>
      <c r="BG3661">
        <f>IF('01_Вводные'!$B$234="Да",SUM(IF('01_Вводные'!$B$80&gt;=1,'19_Расчет_аналитики'!BH3653,0),IF('01_Вводные'!$B$80&gt;=2,'19_Расчет_аналитики'!BI3653,0),IF('01_Вводные'!$B$80&gt;=3,'19_Расчет_аналитики'!BJ3653,0),IF('01_Вводные'!$B$80&gt;=4,'19_Расчет_аналитики'!BK3653,0),IF('01_Вводные'!$B$80&gt;=5,'19_Расчет_аналитики'!BL3653,0),IF('01_Вводные'!$B$80&gt;=6,'19_Расчет_аналитики'!BM3653,0)),0)</f>
        <v/>
      </c>
      <c r="BH3661">
        <f>IF('01_Вводные'!$B$234="Да",SUM(IF('01_Вводные'!$B$80&gt;=1,'19_Расчет_аналитики'!BI3653,0),IF('01_Вводные'!$B$80&gt;=2,'19_Расчет_аналитики'!BJ3653,0),IF('01_Вводные'!$B$80&gt;=3,'19_Расчет_аналитики'!BK3653,0),IF('01_Вводные'!$B$80&gt;=4,'19_Расчет_аналитики'!BL3653,0),IF('01_Вводные'!$B$80&gt;=5,'19_Расчет_аналитики'!BM3653,0),IF('01_Вводные'!$B$80&gt;=6,'19_Расчет_аналитики'!BN3653,0)),0)</f>
        <v/>
      </c>
      <c r="BI3661">
        <f>IF('01_Вводные'!$B$234="Да",SUM(IF('01_Вводные'!$B$80&gt;=1,'19_Расчет_аналитики'!BJ3653,0),IF('01_Вводные'!$B$80&gt;=2,'19_Расчет_аналитики'!BK3653,0),IF('01_Вводные'!$B$80&gt;=3,'19_Расчет_аналитики'!BL3653,0),IF('01_Вводные'!$B$80&gt;=4,'19_Расчет_аналитики'!BM3653,0),IF('01_Вводные'!$B$80&gt;=5,'19_Расчет_аналитики'!BN3653,0),IF('01_Вводные'!$B$80&gt;=6,'19_Расчет_аналитики'!BO3653,0)),0)</f>
        <v/>
      </c>
    </row>
    <row r="3662">
      <c r="B3662">
        <f>IF('01_Вводные'!$B$234="Да",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3661-('07_Мерч'!B22-'19_Расчет_аналитики'!B3660)),0),0)</f>
        <v/>
      </c>
      <c r="C3662">
        <f>IF('01_Вводные'!$B$234="Да",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3661-('19_Расчет_аналитики'!C3659-'19_Расчет_аналитики'!C3660)),0),0)</f>
        <v/>
      </c>
      <c r="D3662">
        <f>IF('01_Вводные'!$B$234="Да",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3661-('19_Расчет_аналитики'!D3659-'19_Расчет_аналитики'!D3660)),0),0)</f>
        <v/>
      </c>
      <c r="E3662">
        <f>IF('01_Вводные'!$B$234="Да",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3661-('19_Расчет_аналитики'!E3659-'19_Расчет_аналитики'!E3660)),0),0)</f>
        <v/>
      </c>
      <c r="F3662">
        <f>IF('01_Вводные'!$B$234="Да",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3661-('19_Расчет_аналитики'!F3659-'19_Расчет_аналитики'!F3660)),0),0)</f>
        <v/>
      </c>
      <c r="G3662">
        <f>IF('01_Вводные'!$B$234="Да",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3661-('19_Расчет_аналитики'!G3659-'19_Расчет_аналитики'!G3660)),0),0)</f>
        <v/>
      </c>
      <c r="H3662">
        <f>IF('01_Вводные'!$B$234="Да",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3661-('19_Расчет_аналитики'!H3659-'19_Расчет_аналитики'!H3660)),0),0)</f>
        <v/>
      </c>
      <c r="I3662">
        <f>IF('01_Вводные'!$B$234="Да",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3661-('19_Расчет_аналитики'!I3659-'19_Расчет_аналитики'!I3660)),0),0)</f>
        <v/>
      </c>
      <c r="J3662">
        <f>IF('01_Вводные'!$B$234="Да",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3661-('19_Расчет_аналитики'!J3659-'19_Расчет_аналитики'!J3660)),0),0)</f>
        <v/>
      </c>
      <c r="K3662">
        <f>IF('01_Вводные'!$B$234="Да",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3661-('19_Расчет_аналитики'!K3659-'19_Расчет_аналитики'!K3660)),0),0)</f>
        <v/>
      </c>
      <c r="L3662">
        <f>IF('01_Вводные'!$B$234="Да",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3661-('19_Расчет_аналитики'!L3659-'19_Расчет_аналитики'!L3660)),0),0)</f>
        <v/>
      </c>
      <c r="M3662">
        <f>IF('01_Вводные'!$B$234="Да",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3661-('19_Расчет_аналитики'!M3659-'19_Расчет_аналитики'!M3660)),0),0)</f>
        <v/>
      </c>
      <c r="N3662">
        <f>IF('01_Вводные'!$B$234="Да",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3661-('19_Расчет_аналитики'!N3659-'19_Расчет_аналитики'!N3660)),0),0)</f>
        <v/>
      </c>
      <c r="O3662">
        <f>IF('01_Вводные'!$B$234="Да",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3661-('19_Расчет_аналитики'!O3659-'19_Расчет_аналитики'!O3660)),0),0)</f>
        <v/>
      </c>
      <c r="P3662">
        <f>IF('01_Вводные'!$B$234="Да",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3661-('19_Расчет_аналитики'!P3659-'19_Расчет_аналитики'!P3660)),0),0)</f>
        <v/>
      </c>
      <c r="Q3662">
        <f>IF('01_Вводные'!$B$234="Да",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3661-('19_Расчет_аналитики'!Q3659-'19_Расчет_аналитики'!Q3660)),0),0)</f>
        <v/>
      </c>
      <c r="R3662">
        <f>IF('01_Вводные'!$B$234="Да",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3661-('19_Расчет_аналитики'!R3659-'19_Расчет_аналитики'!R3660)),0),0)</f>
        <v/>
      </c>
      <c r="S3662">
        <f>IF('01_Вводные'!$B$234="Да",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3661-('19_Расчет_аналитики'!S3659-'19_Расчет_аналитики'!S3660)),0),0)</f>
        <v/>
      </c>
      <c r="T3662">
        <f>IF('01_Вводные'!$B$234="Да",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3661-('19_Расчет_аналитики'!T3659-'19_Расчет_аналитики'!T3660)),0),0)</f>
        <v/>
      </c>
      <c r="U3662">
        <f>IF('01_Вводные'!$B$234="Да",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3661-('19_Расчет_аналитики'!U3659-'19_Расчет_аналитики'!U3660)),0),0)</f>
        <v/>
      </c>
      <c r="V3662">
        <f>IF('01_Вводные'!$B$234="Да",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3661-('19_Расчет_аналитики'!V3659-'19_Расчет_аналитики'!V3660)),0),0)</f>
        <v/>
      </c>
      <c r="W3662">
        <f>IF('01_Вводные'!$B$234="Да",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3661-('19_Расчет_аналитики'!W3659-'19_Расчет_аналитики'!W3660)),0),0)</f>
        <v/>
      </c>
      <c r="X3662">
        <f>IF('01_Вводные'!$B$234="Да",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3661-('19_Расчет_аналитики'!X3659-'19_Расчет_аналитики'!X3660)),0),0)</f>
        <v/>
      </c>
      <c r="Y3662">
        <f>IF('01_Вводные'!$B$234="Да",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3661-('19_Расчет_аналитики'!Y3659-'19_Расчет_аналитики'!Y3660)),0),0)</f>
        <v/>
      </c>
      <c r="Z3662">
        <f>IF('01_Вводные'!$B$234="Да",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3661-('19_Расчет_аналитики'!Z3659-'19_Расчет_аналитики'!Z3660)),0),0)</f>
        <v/>
      </c>
      <c r="AA3662">
        <f>IF('01_Вводные'!$B$234="Да",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3661-('19_Расчет_аналитики'!AA3659-'19_Расчет_аналитики'!AA3660)),0),0)</f>
        <v/>
      </c>
      <c r="AB3662">
        <f>IF('01_Вводные'!$B$234="Да",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3661-('19_Расчет_аналитики'!AB3659-'19_Расчет_аналитики'!AB3660)),0),0)</f>
        <v/>
      </c>
      <c r="AC3662">
        <f>IF('01_Вводные'!$B$234="Да",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3661-('19_Расчет_аналитики'!AC3659-'19_Расчет_аналитики'!AC3660)),0),0)</f>
        <v/>
      </c>
      <c r="AD3662">
        <f>IF('01_Вводные'!$B$234="Да",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3661-('19_Расчет_аналитики'!AD3659-'19_Расчет_аналитики'!AD3660)),0),0)</f>
        <v/>
      </c>
      <c r="AE3662">
        <f>IF('01_Вводные'!$B$234="Да",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3661-('19_Расчет_аналитики'!AE3659-'19_Расчет_аналитики'!AE3660)),0),0)</f>
        <v/>
      </c>
      <c r="AF3662">
        <f>IF('01_Вводные'!$B$234="Да",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3661-('19_Расчет_аналитики'!AF3659-'19_Расчет_аналитики'!AF3660)),0),0)</f>
        <v/>
      </c>
      <c r="AG3662">
        <f>IF('01_Вводные'!$B$234="Да",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3661-('19_Расчет_аналитики'!AG3659-'19_Расчет_аналитики'!AG3660)),0),0)</f>
        <v/>
      </c>
      <c r="AH3662">
        <f>IF('01_Вводные'!$B$234="Да",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3661-('19_Расчет_аналитики'!AH3659-'19_Расчет_аналитики'!AH3660)),0),0)</f>
        <v/>
      </c>
      <c r="AI3662">
        <f>IF('01_Вводные'!$B$234="Да",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3661-('19_Расчет_аналитики'!AI3659-'19_Расчет_аналитики'!AI3660)),0),0)</f>
        <v/>
      </c>
      <c r="AJ3662">
        <f>IF('01_Вводные'!$B$234="Да",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3661-('19_Расчет_аналитики'!AJ3659-'19_Расчет_аналитики'!AJ3660)),0),0)</f>
        <v/>
      </c>
      <c r="AK3662">
        <f>IF('01_Вводные'!$B$234="Да",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3661-('19_Расчет_аналитики'!AK3659-'19_Расчет_аналитики'!AK3660)),0),0)</f>
        <v/>
      </c>
      <c r="AL3662">
        <f>IF('01_Вводные'!$B$234="Да",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3661-('19_Расчет_аналитики'!AL3659-'19_Расчет_аналитики'!AL3660)),0),0)</f>
        <v/>
      </c>
      <c r="AM3662">
        <f>IF('01_Вводные'!$B$234="Да",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3661-('19_Расчет_аналитики'!AM3659-'19_Расчет_аналитики'!AM3660)),0),0)</f>
        <v/>
      </c>
      <c r="AN3662">
        <f>IF('01_Вводные'!$B$234="Да",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3661-('19_Расчет_аналитики'!AN3659-'19_Расчет_аналитики'!AN3660)),0),0)</f>
        <v/>
      </c>
      <c r="AO3662">
        <f>IF('01_Вводные'!$B$234="Да",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3661-('19_Расчет_аналитики'!AO3659-'19_Расчет_аналитики'!AO3660)),0),0)</f>
        <v/>
      </c>
      <c r="AP3662">
        <f>IF('01_Вводные'!$B$234="Да",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3661-('19_Расчет_аналитики'!AP3659-'19_Расчет_аналитики'!AP3660)),0),0)</f>
        <v/>
      </c>
      <c r="AQ3662">
        <f>IF('01_Вводные'!$B$234="Да",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3661-('19_Расчет_аналитики'!AQ3659-'19_Расчет_аналитики'!AQ3660)),0),0)</f>
        <v/>
      </c>
      <c r="AR3662">
        <f>IF('01_Вводные'!$B$234="Да",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3661-('19_Расчет_аналитики'!AR3659-'19_Расчет_аналитики'!AR3660)),0),0)</f>
        <v/>
      </c>
      <c r="AS3662">
        <f>IF('01_Вводные'!$B$234="Да",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3661-('19_Расчет_аналитики'!AS3659-'19_Расчет_аналитики'!AS3660)),0),0)</f>
        <v/>
      </c>
      <c r="AT3662">
        <f>IF('01_Вводные'!$B$234="Да",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3661-('19_Расчет_аналитики'!AT3659-'19_Расчет_аналитики'!AT3660)),0),0)</f>
        <v/>
      </c>
      <c r="AU3662">
        <f>IF('01_Вводные'!$B$234="Да",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3661-('19_Расчет_аналитики'!AU3659-'19_Расчет_аналитики'!AU3660)),0),0)</f>
        <v/>
      </c>
      <c r="AV3662">
        <f>IF('01_Вводные'!$B$234="Да",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3661-('19_Расчет_аналитики'!AV3659-'19_Расчет_аналитики'!AV3660)),0),0)</f>
        <v/>
      </c>
      <c r="AW3662">
        <f>IF('01_Вводные'!$B$234="Да",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3661-('19_Расчет_аналитики'!AW3659-'19_Расчет_аналитики'!AW3660)),0),0)</f>
        <v/>
      </c>
      <c r="AX3662">
        <f>IF('01_Вводные'!$B$234="Да",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3661-('19_Расчет_аналитики'!AX3659-'19_Расчет_аналитики'!AX3660)),0),0)</f>
        <v/>
      </c>
      <c r="AY3662">
        <f>IF('01_Вводные'!$B$234="Да",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3661-('19_Расчет_аналитики'!AY3659-'19_Расчет_аналитики'!AY3660)),0),0)</f>
        <v/>
      </c>
      <c r="AZ3662">
        <f>IF('01_Вводные'!$B$234="Да",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3661-('19_Расчет_аналитики'!AZ3659-'19_Расчет_аналитики'!AZ3660)),0),0)</f>
        <v/>
      </c>
      <c r="BA3662">
        <f>IF('01_Вводные'!$B$234="Да",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3661-('19_Расчет_аналитики'!BA3659-'19_Расчет_аналитики'!BA3660)),0),0)</f>
        <v/>
      </c>
      <c r="BB3662">
        <f>IF('01_Вводные'!$B$234="Да",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3661-('19_Расчет_аналитики'!BB3659-'19_Расчет_аналитики'!BB3660)),0),0)</f>
        <v/>
      </c>
      <c r="BC3662">
        <f>IF('01_Вводные'!$B$234="Да",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3661-('19_Расчет_аналитики'!BC3659-'19_Расчет_аналитики'!BC3660)),0),0)</f>
        <v/>
      </c>
      <c r="BD3662">
        <f>IF('01_Вводные'!$B$234="Да",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3661-('19_Расчет_аналитики'!BD3659-'19_Расчет_аналитики'!BD3660)),0),0)</f>
        <v/>
      </c>
      <c r="BE3662">
        <f>IF('01_Вводные'!$B$234="Да",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3661-('19_Расчет_аналитики'!BE3659-'19_Расчет_аналитики'!BE3660)),0),0)</f>
        <v/>
      </c>
      <c r="BF3662">
        <f>IF('01_Вводные'!$B$234="Да",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3661-('19_Расчет_аналитики'!BF3659-'19_Расчет_аналитики'!BF3660)),0),0)</f>
        <v/>
      </c>
      <c r="BG3662">
        <f>IF('01_Вводные'!$B$234="Да",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3661-('19_Расчет_аналитики'!BG3659-'19_Расчет_аналитики'!BG3660)),0),0)</f>
        <v/>
      </c>
      <c r="BH3662">
        <f>IF('01_Вводные'!$B$234="Да",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3661-('19_Расчет_аналитики'!BH3659-'19_Расчет_аналитики'!BH3660)),0),0)</f>
        <v/>
      </c>
      <c r="BI3662">
        <f>IF('01_Вводные'!$B$234="Да",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3661-('19_Расчет_аналитики'!BI3659-'19_Расчет_аналитики'!BI3660)),0),0)</f>
        <v/>
      </c>
      <c r="BJ3662">
        <f>IF('01_Вводные'!$B$234="Да",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3659-'19_Расчет_аналитики'!BJ3660)),0),0)</f>
        <v/>
      </c>
      <c r="BK3662">
        <f>IF('01_Вводные'!$B$234="Да",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3659-'19_Расчет_аналитики'!BK3660)),0),0)</f>
        <v/>
      </c>
      <c r="BL3662">
        <f>IF('01_Вводные'!$B$234="Да",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3659-'19_Расчет_аналитики'!BL3660)),0),0)</f>
        <v/>
      </c>
      <c r="BM3662">
        <f>IF('01_Вводные'!$B$234="Да",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3659-'19_Расчет_аналитики'!BM3660)),0),0)</f>
        <v/>
      </c>
      <c r="BN3662">
        <f>IF('01_Вводные'!$B$234="Да",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3659-'19_Расчет_аналитики'!BN3660)),0),0)</f>
        <v/>
      </c>
      <c r="BO3662">
        <f>IF('01_Вводные'!$B$234="Да",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3659-'19_Расчет_аналитики'!BO3660)),0),0)</f>
        <v/>
      </c>
    </row>
    <row r="3663">
      <c r="B3663">
        <f>IF('01_Вводные'!$B$234="Да",'07_Мерч'!B22+'19_Расчет_аналитики'!B3662-'19_Расчет_аналитики'!B3660,0)</f>
        <v/>
      </c>
      <c r="C3663">
        <f>IF('01_Вводные'!$B$234="Да",'19_Расчет_аналитики'!C3659+'19_Расчет_аналитики'!C3662-'19_Расчет_аналитики'!C3660,0)</f>
        <v/>
      </c>
      <c r="D3663">
        <f>IF('01_Вводные'!$B$234="Да",'19_Расчет_аналитики'!D3659+'19_Расчет_аналитики'!D3662-'19_Расчет_аналитики'!D3660,0)</f>
        <v/>
      </c>
      <c r="E3663">
        <f>IF('01_Вводные'!$B$234="Да",'19_Расчет_аналитики'!E3659+'19_Расчет_аналитики'!E3662-'19_Расчет_аналитики'!E3660,0)</f>
        <v/>
      </c>
      <c r="F3663">
        <f>IF('01_Вводные'!$B$234="Да",'19_Расчет_аналитики'!F3659+'19_Расчет_аналитики'!F3662-'19_Расчет_аналитики'!F3660,0)</f>
        <v/>
      </c>
      <c r="G3663">
        <f>IF('01_Вводные'!$B$234="Да",'19_Расчет_аналитики'!G3659+'19_Расчет_аналитики'!G3662-'19_Расчет_аналитики'!G3660,0)</f>
        <v/>
      </c>
      <c r="H3663">
        <f>IF('01_Вводные'!$B$234="Да",'19_Расчет_аналитики'!H3659+'19_Расчет_аналитики'!H3662-'19_Расчет_аналитики'!H3660,0)</f>
        <v/>
      </c>
      <c r="I3663">
        <f>IF('01_Вводные'!$B$234="Да",'19_Расчет_аналитики'!I3659+'19_Расчет_аналитики'!I3662-'19_Расчет_аналитики'!I3660,0)</f>
        <v/>
      </c>
      <c r="J3663">
        <f>IF('01_Вводные'!$B$234="Да",'19_Расчет_аналитики'!J3659+'19_Расчет_аналитики'!J3662-'19_Расчет_аналитики'!J3660,0)</f>
        <v/>
      </c>
      <c r="K3663">
        <f>IF('01_Вводные'!$B$234="Да",'19_Расчет_аналитики'!K3659+'19_Расчет_аналитики'!K3662-'19_Расчет_аналитики'!K3660,0)</f>
        <v/>
      </c>
      <c r="L3663">
        <f>IF('01_Вводные'!$B$234="Да",'19_Расчет_аналитики'!L3659+'19_Расчет_аналитики'!L3662-'19_Расчет_аналитики'!L3660,0)</f>
        <v/>
      </c>
      <c r="M3663">
        <f>IF('01_Вводные'!$B$234="Да",'19_Расчет_аналитики'!M3659+'19_Расчет_аналитики'!M3662-'19_Расчет_аналитики'!M3660,0)</f>
        <v/>
      </c>
      <c r="N3663">
        <f>IF('01_Вводные'!$B$234="Да",'19_Расчет_аналитики'!N3659+'19_Расчет_аналитики'!N3662-'19_Расчет_аналитики'!N3660,0)</f>
        <v/>
      </c>
      <c r="O3663">
        <f>IF('01_Вводные'!$B$234="Да",'19_Расчет_аналитики'!O3659+'19_Расчет_аналитики'!O3662-'19_Расчет_аналитики'!O3660,0)</f>
        <v/>
      </c>
      <c r="P3663">
        <f>IF('01_Вводные'!$B$234="Да",'19_Расчет_аналитики'!P3659+'19_Расчет_аналитики'!P3662-'19_Расчет_аналитики'!P3660,0)</f>
        <v/>
      </c>
      <c r="Q3663">
        <f>IF('01_Вводные'!$B$234="Да",'19_Расчет_аналитики'!Q3659+'19_Расчет_аналитики'!Q3662-'19_Расчет_аналитики'!Q3660,0)</f>
        <v/>
      </c>
      <c r="R3663">
        <f>IF('01_Вводные'!$B$234="Да",'19_Расчет_аналитики'!R3659+'19_Расчет_аналитики'!R3662-'19_Расчет_аналитики'!R3660,0)</f>
        <v/>
      </c>
      <c r="S3663">
        <f>IF('01_Вводные'!$B$234="Да",'19_Расчет_аналитики'!S3659+'19_Расчет_аналитики'!S3662-'19_Расчет_аналитики'!S3660,0)</f>
        <v/>
      </c>
      <c r="T3663">
        <f>IF('01_Вводные'!$B$234="Да",'19_Расчет_аналитики'!T3659+'19_Расчет_аналитики'!T3662-'19_Расчет_аналитики'!T3660,0)</f>
        <v/>
      </c>
      <c r="U3663">
        <f>IF('01_Вводные'!$B$234="Да",'19_Расчет_аналитики'!U3659+'19_Расчет_аналитики'!U3662-'19_Расчет_аналитики'!U3660,0)</f>
        <v/>
      </c>
      <c r="V3663">
        <f>IF('01_Вводные'!$B$234="Да",'19_Расчет_аналитики'!V3659+'19_Расчет_аналитики'!V3662-'19_Расчет_аналитики'!V3660,0)</f>
        <v/>
      </c>
      <c r="W3663">
        <f>IF('01_Вводные'!$B$234="Да",'19_Расчет_аналитики'!W3659+'19_Расчет_аналитики'!W3662-'19_Расчет_аналитики'!W3660,0)</f>
        <v/>
      </c>
      <c r="X3663">
        <f>IF('01_Вводные'!$B$234="Да",'19_Расчет_аналитики'!X3659+'19_Расчет_аналитики'!X3662-'19_Расчет_аналитики'!X3660,0)</f>
        <v/>
      </c>
      <c r="Y3663">
        <f>IF('01_Вводные'!$B$234="Да",'19_Расчет_аналитики'!Y3659+'19_Расчет_аналитики'!Y3662-'19_Расчет_аналитики'!Y3660,0)</f>
        <v/>
      </c>
      <c r="Z3663">
        <f>IF('01_Вводные'!$B$234="Да",'19_Расчет_аналитики'!Z3659+'19_Расчет_аналитики'!Z3662-'19_Расчет_аналитики'!Z3660,0)</f>
        <v/>
      </c>
      <c r="AA3663">
        <f>IF('01_Вводные'!$B$234="Да",'19_Расчет_аналитики'!AA3659+'19_Расчет_аналитики'!AA3662-'19_Расчет_аналитики'!AA3660,0)</f>
        <v/>
      </c>
      <c r="AB3663">
        <f>IF('01_Вводные'!$B$234="Да",'19_Расчет_аналитики'!AB3659+'19_Расчет_аналитики'!AB3662-'19_Расчет_аналитики'!AB3660,0)</f>
        <v/>
      </c>
      <c r="AC3663">
        <f>IF('01_Вводные'!$B$234="Да",'19_Расчет_аналитики'!AC3659+'19_Расчет_аналитики'!AC3662-'19_Расчет_аналитики'!AC3660,0)</f>
        <v/>
      </c>
      <c r="AD3663">
        <f>IF('01_Вводные'!$B$234="Да",'19_Расчет_аналитики'!AD3659+'19_Расчет_аналитики'!AD3662-'19_Расчет_аналитики'!AD3660,0)</f>
        <v/>
      </c>
      <c r="AE3663">
        <f>IF('01_Вводные'!$B$234="Да",'19_Расчет_аналитики'!AE3659+'19_Расчет_аналитики'!AE3662-'19_Расчет_аналитики'!AE3660,0)</f>
        <v/>
      </c>
      <c r="AF3663">
        <f>IF('01_Вводные'!$B$234="Да",'19_Расчет_аналитики'!AF3659+'19_Расчет_аналитики'!AF3662-'19_Расчет_аналитики'!AF3660,0)</f>
        <v/>
      </c>
      <c r="AG3663">
        <f>IF('01_Вводные'!$B$234="Да",'19_Расчет_аналитики'!AG3659+'19_Расчет_аналитики'!AG3662-'19_Расчет_аналитики'!AG3660,0)</f>
        <v/>
      </c>
      <c r="AH3663">
        <f>IF('01_Вводные'!$B$234="Да",'19_Расчет_аналитики'!AH3659+'19_Расчет_аналитики'!AH3662-'19_Расчет_аналитики'!AH3660,0)</f>
        <v/>
      </c>
      <c r="AI3663">
        <f>IF('01_Вводные'!$B$234="Да",'19_Расчет_аналитики'!AI3659+'19_Расчет_аналитики'!AI3662-'19_Расчет_аналитики'!AI3660,0)</f>
        <v/>
      </c>
      <c r="AJ3663">
        <f>IF('01_Вводные'!$B$234="Да",'19_Расчет_аналитики'!AJ3659+'19_Расчет_аналитики'!AJ3662-'19_Расчет_аналитики'!AJ3660,0)</f>
        <v/>
      </c>
      <c r="AK3663">
        <f>IF('01_Вводные'!$B$234="Да",'19_Расчет_аналитики'!AK3659+'19_Расчет_аналитики'!AK3662-'19_Расчет_аналитики'!AK3660,0)</f>
        <v/>
      </c>
      <c r="AL3663">
        <f>IF('01_Вводные'!$B$234="Да",'19_Расчет_аналитики'!AL3659+'19_Расчет_аналитики'!AL3662-'19_Расчет_аналитики'!AL3660,0)</f>
        <v/>
      </c>
      <c r="AM3663">
        <f>IF('01_Вводные'!$B$234="Да",'19_Расчет_аналитики'!AM3659+'19_Расчет_аналитики'!AM3662-'19_Расчет_аналитики'!AM3660,0)</f>
        <v/>
      </c>
      <c r="AN3663">
        <f>IF('01_Вводные'!$B$234="Да",'19_Расчет_аналитики'!AN3659+'19_Расчет_аналитики'!AN3662-'19_Расчет_аналитики'!AN3660,0)</f>
        <v/>
      </c>
      <c r="AO3663">
        <f>IF('01_Вводные'!$B$234="Да",'19_Расчет_аналитики'!AO3659+'19_Расчет_аналитики'!AO3662-'19_Расчет_аналитики'!AO3660,0)</f>
        <v/>
      </c>
      <c r="AP3663">
        <f>IF('01_Вводные'!$B$234="Да",'19_Расчет_аналитики'!AP3659+'19_Расчет_аналитики'!AP3662-'19_Расчет_аналитики'!AP3660,0)</f>
        <v/>
      </c>
      <c r="AQ3663">
        <f>IF('01_Вводные'!$B$234="Да",'19_Расчет_аналитики'!AQ3659+'19_Расчет_аналитики'!AQ3662-'19_Расчет_аналитики'!AQ3660,0)</f>
        <v/>
      </c>
      <c r="AR3663">
        <f>IF('01_Вводные'!$B$234="Да",'19_Расчет_аналитики'!AR3659+'19_Расчет_аналитики'!AR3662-'19_Расчет_аналитики'!AR3660,0)</f>
        <v/>
      </c>
      <c r="AS3663">
        <f>IF('01_Вводные'!$B$234="Да",'19_Расчет_аналитики'!AS3659+'19_Расчет_аналитики'!AS3662-'19_Расчет_аналитики'!AS3660,0)</f>
        <v/>
      </c>
      <c r="AT3663">
        <f>IF('01_Вводные'!$B$234="Да",'19_Расчет_аналитики'!AT3659+'19_Расчет_аналитики'!AT3662-'19_Расчет_аналитики'!AT3660,0)</f>
        <v/>
      </c>
      <c r="AU3663">
        <f>IF('01_Вводные'!$B$234="Да",'19_Расчет_аналитики'!AU3659+'19_Расчет_аналитики'!AU3662-'19_Расчет_аналитики'!AU3660,0)</f>
        <v/>
      </c>
      <c r="AV3663">
        <f>IF('01_Вводные'!$B$234="Да",'19_Расчет_аналитики'!AV3659+'19_Расчет_аналитики'!AV3662-'19_Расчет_аналитики'!AV3660,0)</f>
        <v/>
      </c>
      <c r="AW3663">
        <f>IF('01_Вводные'!$B$234="Да",'19_Расчет_аналитики'!AW3659+'19_Расчет_аналитики'!AW3662-'19_Расчет_аналитики'!AW3660,0)</f>
        <v/>
      </c>
      <c r="AX3663">
        <f>IF('01_Вводные'!$B$234="Да",'19_Расчет_аналитики'!AX3659+'19_Расчет_аналитики'!AX3662-'19_Расчет_аналитики'!AX3660,0)</f>
        <v/>
      </c>
      <c r="AY3663">
        <f>IF('01_Вводные'!$B$234="Да",'19_Расчет_аналитики'!AY3659+'19_Расчет_аналитики'!AY3662-'19_Расчет_аналитики'!AY3660,0)</f>
        <v/>
      </c>
      <c r="AZ3663">
        <f>IF('01_Вводные'!$B$234="Да",'19_Расчет_аналитики'!AZ3659+'19_Расчет_аналитики'!AZ3662-'19_Расчет_аналитики'!AZ3660,0)</f>
        <v/>
      </c>
      <c r="BA3663">
        <f>IF('01_Вводные'!$B$234="Да",'19_Расчет_аналитики'!BA3659+'19_Расчет_аналитики'!BA3662-'19_Расчет_аналитики'!BA3660,0)</f>
        <v/>
      </c>
      <c r="BB3663">
        <f>IF('01_Вводные'!$B$234="Да",'19_Расчет_аналитики'!BB3659+'19_Расчет_аналитики'!BB3662-'19_Расчет_аналитики'!BB3660,0)</f>
        <v/>
      </c>
      <c r="BC3663">
        <f>IF('01_Вводные'!$B$234="Да",'19_Расчет_аналитики'!BC3659+'19_Расчет_аналитики'!BC3662-'19_Расчет_аналитики'!BC3660,0)</f>
        <v/>
      </c>
      <c r="BD3663">
        <f>IF('01_Вводные'!$B$234="Да",'19_Расчет_аналитики'!BD3659+'19_Расчет_аналитики'!BD3662-'19_Расчет_аналитики'!BD3660,0)</f>
        <v/>
      </c>
      <c r="BE3663">
        <f>IF('01_Вводные'!$B$234="Да",'19_Расчет_аналитики'!BE3659+'19_Расчет_аналитики'!BE3662-'19_Расчет_аналитики'!BE3660,0)</f>
        <v/>
      </c>
      <c r="BF3663">
        <f>IF('01_Вводные'!$B$234="Да",'19_Расчет_аналитики'!BF3659+'19_Расчет_аналитики'!BF3662-'19_Расчет_аналитики'!BF3660,0)</f>
        <v/>
      </c>
      <c r="BG3663">
        <f>IF('01_Вводные'!$B$234="Да",'19_Расчет_аналитики'!BG3659+'19_Расчет_аналитики'!BG3662-'19_Расчет_аналитики'!BG3660,0)</f>
        <v/>
      </c>
      <c r="BH3663">
        <f>IF('01_Вводные'!$B$234="Да",'19_Расчет_аналитики'!BH3659+'19_Расчет_аналитики'!BH3662-'19_Расчет_аналитики'!BH3660,0)</f>
        <v/>
      </c>
      <c r="BI3663">
        <f>IF('01_Вводные'!$B$234="Да",'19_Расчет_аналитики'!BI3659+'19_Расчет_аналитики'!BI3662-'19_Расчет_аналитики'!BI3660,0)</f>
        <v/>
      </c>
      <c r="BJ3663">
        <f>IF('01_Вводные'!$B$234="Да",'19_Расчет_аналитики'!BJ3659+'19_Расчет_аналитики'!BJ3662-'19_Расчет_аналитики'!BJ3660,0)</f>
        <v/>
      </c>
      <c r="BK3663">
        <f>IF('01_Вводные'!$B$234="Да",'19_Расчет_аналитики'!BK3659+'19_Расчет_аналитики'!BK3662-'19_Расчет_аналитики'!BK3660,0)</f>
        <v/>
      </c>
      <c r="BL3663">
        <f>IF('01_Вводные'!$B$234="Да",'19_Расчет_аналитики'!BL3659+'19_Расчет_аналитики'!BL3662-'19_Расчет_аналитики'!BL3660,0)</f>
        <v/>
      </c>
      <c r="BM3663">
        <f>IF('01_Вводные'!$B$234="Да",'19_Расчет_аналитики'!BM3659+'19_Расчет_аналитики'!BM3662-'19_Расчет_аналитики'!BM3660,0)</f>
        <v/>
      </c>
      <c r="BN3663">
        <f>IF('01_Вводные'!$B$234="Да",'19_Расчет_аналитики'!BN3659+'19_Расчет_аналитики'!BN3662-'19_Расчет_аналитики'!BN3660,0)</f>
        <v/>
      </c>
      <c r="BO3663">
        <f>IF('01_Вводные'!$B$234="Да",'19_Расчет_аналитики'!BO3659+'19_Расчет_аналитики'!BO3662-'19_Расчет_аналитики'!BO3660,0)</f>
        <v/>
      </c>
    </row>
    <row r="3664">
      <c r="B3664">
        <f>IF('01_Вводные'!$B$234="Да",MAX(0,-'19_Расчет_аналитики'!B3663),0)</f>
        <v/>
      </c>
      <c r="C3664">
        <f>IF('01_Вводные'!$B$234="Да",MAX(0,-'19_Расчет_аналитики'!C3663),0)</f>
        <v/>
      </c>
      <c r="D3664">
        <f>IF('01_Вводные'!$B$234="Да",MAX(0,-'19_Расчет_аналитики'!D3663),0)</f>
        <v/>
      </c>
      <c r="E3664">
        <f>IF('01_Вводные'!$B$234="Да",MAX(0,-'19_Расчет_аналитики'!E3663),0)</f>
        <v/>
      </c>
      <c r="F3664">
        <f>IF('01_Вводные'!$B$234="Да",MAX(0,-'19_Расчет_аналитики'!F3663),0)</f>
        <v/>
      </c>
      <c r="G3664">
        <f>IF('01_Вводные'!$B$234="Да",MAX(0,-'19_Расчет_аналитики'!G3663),0)</f>
        <v/>
      </c>
      <c r="H3664">
        <f>IF('01_Вводные'!$B$234="Да",MAX(0,-'19_Расчет_аналитики'!H3663),0)</f>
        <v/>
      </c>
      <c r="I3664">
        <f>IF('01_Вводные'!$B$234="Да",MAX(0,-'19_Расчет_аналитики'!I3663),0)</f>
        <v/>
      </c>
      <c r="J3664">
        <f>IF('01_Вводные'!$B$234="Да",MAX(0,-'19_Расчет_аналитики'!J3663),0)</f>
        <v/>
      </c>
      <c r="K3664">
        <f>IF('01_Вводные'!$B$234="Да",MAX(0,-'19_Расчет_аналитики'!K3663),0)</f>
        <v/>
      </c>
      <c r="L3664">
        <f>IF('01_Вводные'!$B$234="Да",MAX(0,-'19_Расчет_аналитики'!L3663),0)</f>
        <v/>
      </c>
      <c r="M3664">
        <f>IF('01_Вводные'!$B$234="Да",MAX(0,-'19_Расчет_аналитики'!M3663),0)</f>
        <v/>
      </c>
      <c r="N3664">
        <f>IF('01_Вводные'!$B$234="Да",MAX(0,-'19_Расчет_аналитики'!N3663),0)</f>
        <v/>
      </c>
      <c r="O3664">
        <f>IF('01_Вводные'!$B$234="Да",MAX(0,-'19_Расчет_аналитики'!O3663),0)</f>
        <v/>
      </c>
      <c r="P3664">
        <f>IF('01_Вводные'!$B$234="Да",MAX(0,-'19_Расчет_аналитики'!P3663),0)</f>
        <v/>
      </c>
      <c r="Q3664">
        <f>IF('01_Вводные'!$B$234="Да",MAX(0,-'19_Расчет_аналитики'!Q3663),0)</f>
        <v/>
      </c>
      <c r="R3664">
        <f>IF('01_Вводные'!$B$234="Да",MAX(0,-'19_Расчет_аналитики'!R3663),0)</f>
        <v/>
      </c>
      <c r="S3664">
        <f>IF('01_Вводные'!$B$234="Да",MAX(0,-'19_Расчет_аналитики'!S3663),0)</f>
        <v/>
      </c>
      <c r="T3664">
        <f>IF('01_Вводные'!$B$234="Да",MAX(0,-'19_Расчет_аналитики'!T3663),0)</f>
        <v/>
      </c>
      <c r="U3664">
        <f>IF('01_Вводные'!$B$234="Да",MAX(0,-'19_Расчет_аналитики'!U3663),0)</f>
        <v/>
      </c>
      <c r="V3664">
        <f>IF('01_Вводные'!$B$234="Да",MAX(0,-'19_Расчет_аналитики'!V3663),0)</f>
        <v/>
      </c>
      <c r="W3664">
        <f>IF('01_Вводные'!$B$234="Да",MAX(0,-'19_Расчет_аналитики'!W3663),0)</f>
        <v/>
      </c>
      <c r="X3664">
        <f>IF('01_Вводные'!$B$234="Да",MAX(0,-'19_Расчет_аналитики'!X3663),0)</f>
        <v/>
      </c>
      <c r="Y3664">
        <f>IF('01_Вводные'!$B$234="Да",MAX(0,-'19_Расчет_аналитики'!Y3663),0)</f>
        <v/>
      </c>
      <c r="Z3664">
        <f>IF('01_Вводные'!$B$234="Да",MAX(0,-'19_Расчет_аналитики'!Z3663),0)</f>
        <v/>
      </c>
      <c r="AA3664">
        <f>IF('01_Вводные'!$B$234="Да",MAX(0,-'19_Расчет_аналитики'!AA3663),0)</f>
        <v/>
      </c>
      <c r="AB3664">
        <f>IF('01_Вводные'!$B$234="Да",MAX(0,-'19_Расчет_аналитики'!AB3663),0)</f>
        <v/>
      </c>
      <c r="AC3664">
        <f>IF('01_Вводные'!$B$234="Да",MAX(0,-'19_Расчет_аналитики'!AC3663),0)</f>
        <v/>
      </c>
      <c r="AD3664">
        <f>IF('01_Вводные'!$B$234="Да",MAX(0,-'19_Расчет_аналитики'!AD3663),0)</f>
        <v/>
      </c>
      <c r="AE3664">
        <f>IF('01_Вводные'!$B$234="Да",MAX(0,-'19_Расчет_аналитики'!AE3663),0)</f>
        <v/>
      </c>
      <c r="AF3664">
        <f>IF('01_Вводные'!$B$234="Да",MAX(0,-'19_Расчет_аналитики'!AF3663),0)</f>
        <v/>
      </c>
      <c r="AG3664">
        <f>IF('01_Вводные'!$B$234="Да",MAX(0,-'19_Расчет_аналитики'!AG3663),0)</f>
        <v/>
      </c>
      <c r="AH3664">
        <f>IF('01_Вводные'!$B$234="Да",MAX(0,-'19_Расчет_аналитики'!AH3663),0)</f>
        <v/>
      </c>
      <c r="AI3664">
        <f>IF('01_Вводные'!$B$234="Да",MAX(0,-'19_Расчет_аналитики'!AI3663),0)</f>
        <v/>
      </c>
      <c r="AJ3664">
        <f>IF('01_Вводные'!$B$234="Да",MAX(0,-'19_Расчет_аналитики'!AJ3663),0)</f>
        <v/>
      </c>
      <c r="AK3664">
        <f>IF('01_Вводные'!$B$234="Да",MAX(0,-'19_Расчет_аналитики'!AK3663),0)</f>
        <v/>
      </c>
      <c r="AL3664">
        <f>IF('01_Вводные'!$B$234="Да",MAX(0,-'19_Расчет_аналитики'!AL3663),0)</f>
        <v/>
      </c>
      <c r="AM3664">
        <f>IF('01_Вводные'!$B$234="Да",MAX(0,-'19_Расчет_аналитики'!AM3663),0)</f>
        <v/>
      </c>
      <c r="AN3664">
        <f>IF('01_Вводные'!$B$234="Да",MAX(0,-'19_Расчет_аналитики'!AN3663),0)</f>
        <v/>
      </c>
      <c r="AO3664">
        <f>IF('01_Вводные'!$B$234="Да",MAX(0,-'19_Расчет_аналитики'!AO3663),0)</f>
        <v/>
      </c>
      <c r="AP3664">
        <f>IF('01_Вводные'!$B$234="Да",MAX(0,-'19_Расчет_аналитики'!AP3663),0)</f>
        <v/>
      </c>
      <c r="AQ3664">
        <f>IF('01_Вводные'!$B$234="Да",MAX(0,-'19_Расчет_аналитики'!AQ3663),0)</f>
        <v/>
      </c>
      <c r="AR3664">
        <f>IF('01_Вводные'!$B$234="Да",MAX(0,-'19_Расчет_аналитики'!AR3663),0)</f>
        <v/>
      </c>
      <c r="AS3664">
        <f>IF('01_Вводные'!$B$234="Да",MAX(0,-'19_Расчет_аналитики'!AS3663),0)</f>
        <v/>
      </c>
      <c r="AT3664">
        <f>IF('01_Вводные'!$B$234="Да",MAX(0,-'19_Расчет_аналитики'!AT3663),0)</f>
        <v/>
      </c>
      <c r="AU3664">
        <f>IF('01_Вводные'!$B$234="Да",MAX(0,-'19_Расчет_аналитики'!AU3663),0)</f>
        <v/>
      </c>
      <c r="AV3664">
        <f>IF('01_Вводные'!$B$234="Да",MAX(0,-'19_Расчет_аналитики'!AV3663),0)</f>
        <v/>
      </c>
      <c r="AW3664">
        <f>IF('01_Вводные'!$B$234="Да",MAX(0,-'19_Расчет_аналитики'!AW3663),0)</f>
        <v/>
      </c>
      <c r="AX3664">
        <f>IF('01_Вводные'!$B$234="Да",MAX(0,-'19_Расчет_аналитики'!AX3663),0)</f>
        <v/>
      </c>
      <c r="AY3664">
        <f>IF('01_Вводные'!$B$234="Да",MAX(0,-'19_Расчет_аналитики'!AY3663),0)</f>
        <v/>
      </c>
      <c r="AZ3664">
        <f>IF('01_Вводные'!$B$234="Да",MAX(0,-'19_Расчет_аналитики'!AZ3663),0)</f>
        <v/>
      </c>
      <c r="BA3664">
        <f>IF('01_Вводные'!$B$234="Да",MAX(0,-'19_Расчет_аналитики'!BA3663),0)</f>
        <v/>
      </c>
      <c r="BB3664">
        <f>IF('01_Вводные'!$B$234="Да",MAX(0,-'19_Расчет_аналитики'!BB3663),0)</f>
        <v/>
      </c>
      <c r="BC3664">
        <f>IF('01_Вводные'!$B$234="Да",MAX(0,-'19_Расчет_аналитики'!BC3663),0)</f>
        <v/>
      </c>
      <c r="BD3664">
        <f>IF('01_Вводные'!$B$234="Да",MAX(0,-'19_Расчет_аналитики'!BD3663),0)</f>
        <v/>
      </c>
      <c r="BE3664">
        <f>IF('01_Вводные'!$B$234="Да",MAX(0,-'19_Расчет_аналитики'!BE3663),0)</f>
        <v/>
      </c>
      <c r="BF3664">
        <f>IF('01_Вводные'!$B$234="Да",MAX(0,-'19_Расчет_аналитики'!BF3663),0)</f>
        <v/>
      </c>
      <c r="BG3664">
        <f>IF('01_Вводные'!$B$234="Да",MAX(0,-'19_Расчет_аналитики'!BG3663),0)</f>
        <v/>
      </c>
      <c r="BH3664">
        <f>IF('01_Вводные'!$B$234="Да",MAX(0,-'19_Расчет_аналитики'!BH3663),0)</f>
        <v/>
      </c>
      <c r="BI3664">
        <f>IF('01_Вводные'!$B$234="Да",MAX(0,-'19_Расчет_аналитики'!BI3663),0)</f>
        <v/>
      </c>
      <c r="BJ3664">
        <f>IF('01_Вводные'!$B$234="Да",MAX(0,-'19_Расчет_аналитики'!BJ3663),0)</f>
        <v/>
      </c>
      <c r="BK3664">
        <f>IF('01_Вводные'!$B$234="Да",MAX(0,-'19_Расчет_аналитики'!BK3663),0)</f>
        <v/>
      </c>
      <c r="BL3664">
        <f>IF('01_Вводные'!$B$234="Да",MAX(0,-'19_Расчет_аналитики'!BL3663),0)</f>
        <v/>
      </c>
      <c r="BM3664">
        <f>IF('01_Вводные'!$B$234="Да",MAX(0,-'19_Расчет_аналитики'!BM3663),0)</f>
        <v/>
      </c>
      <c r="BN3664">
        <f>IF('01_Вводные'!$B$234="Да",MAX(0,-'19_Расчет_аналитики'!BN3663),0)</f>
        <v/>
      </c>
      <c r="BO3664">
        <f>IF('01_Вводные'!$B$234="Да",MAX(0,-'19_Расчет_аналитики'!BO3663),0)</f>
        <v/>
      </c>
    </row>
    <row r="3665"/>
    <row r="3666">
      <c r="C3666">
        <f>IF('01_Вводные'!$B$234="Да",'19_Расчет_аналитики'!B3669,0)</f>
        <v/>
      </c>
      <c r="D3666">
        <f>IF('01_Вводные'!$B$234="Да",'19_Расчет_аналитики'!C3669,0)</f>
        <v/>
      </c>
      <c r="E3666">
        <f>IF('01_Вводные'!$B$234="Да",'19_Расчет_аналитики'!D3669,0)</f>
        <v/>
      </c>
      <c r="F3666">
        <f>IF('01_Вводные'!$B$234="Да",'19_Расчет_аналитики'!E3669,0)</f>
        <v/>
      </c>
      <c r="G3666">
        <f>IF('01_Вводные'!$B$234="Да",'19_Расчет_аналитики'!F3669,0)</f>
        <v/>
      </c>
      <c r="H3666">
        <f>IF('01_Вводные'!$B$234="Да",'19_Расчет_аналитики'!G3669,0)</f>
        <v/>
      </c>
      <c r="I3666">
        <f>IF('01_Вводные'!$B$234="Да",'19_Расчет_аналитики'!H3669,0)</f>
        <v/>
      </c>
      <c r="J3666">
        <f>IF('01_Вводные'!$B$234="Да",'19_Расчет_аналитики'!I3669,0)</f>
        <v/>
      </c>
      <c r="K3666">
        <f>IF('01_Вводные'!$B$234="Да",'19_Расчет_аналитики'!J3669,0)</f>
        <v/>
      </c>
      <c r="L3666">
        <f>IF('01_Вводные'!$B$234="Да",'19_Расчет_аналитики'!K3669,0)</f>
        <v/>
      </c>
      <c r="M3666">
        <f>IF('01_Вводные'!$B$234="Да",'19_Расчет_аналитики'!L3669,0)</f>
        <v/>
      </c>
      <c r="N3666">
        <f>IF('01_Вводные'!$B$234="Да",'19_Расчет_аналитики'!M3669,0)</f>
        <v/>
      </c>
      <c r="O3666">
        <f>IF('01_Вводные'!$B$234="Да",'19_Расчет_аналитики'!N3669,0)</f>
        <v/>
      </c>
      <c r="P3666">
        <f>IF('01_Вводные'!$B$234="Да",'19_Расчет_аналитики'!O3669,0)</f>
        <v/>
      </c>
      <c r="Q3666">
        <f>IF('01_Вводные'!$B$234="Да",'19_Расчет_аналитики'!P3669,0)</f>
        <v/>
      </c>
      <c r="R3666">
        <f>IF('01_Вводные'!$B$234="Да",'19_Расчет_аналитики'!Q3669,0)</f>
        <v/>
      </c>
      <c r="S3666">
        <f>IF('01_Вводные'!$B$234="Да",'19_Расчет_аналитики'!R3669,0)</f>
        <v/>
      </c>
      <c r="T3666">
        <f>IF('01_Вводные'!$B$234="Да",'19_Расчет_аналитики'!S3669,0)</f>
        <v/>
      </c>
      <c r="U3666">
        <f>IF('01_Вводные'!$B$234="Да",'19_Расчет_аналитики'!T3669,0)</f>
        <v/>
      </c>
      <c r="V3666">
        <f>IF('01_Вводные'!$B$234="Да",'19_Расчет_аналитики'!U3669,0)</f>
        <v/>
      </c>
      <c r="W3666">
        <f>IF('01_Вводные'!$B$234="Да",'19_Расчет_аналитики'!V3669,0)</f>
        <v/>
      </c>
      <c r="X3666">
        <f>IF('01_Вводные'!$B$234="Да",'19_Расчет_аналитики'!W3669,0)</f>
        <v/>
      </c>
      <c r="Y3666">
        <f>IF('01_Вводные'!$B$234="Да",'19_Расчет_аналитики'!X3669,0)</f>
        <v/>
      </c>
      <c r="Z3666">
        <f>IF('01_Вводные'!$B$234="Да",'19_Расчет_аналитики'!Y3669,0)</f>
        <v/>
      </c>
      <c r="AA3666">
        <f>IF('01_Вводные'!$B$234="Да",'19_Расчет_аналитики'!Z3669,0)</f>
        <v/>
      </c>
      <c r="AB3666">
        <f>IF('01_Вводные'!$B$234="Да",'19_Расчет_аналитики'!AA3669,0)</f>
        <v/>
      </c>
      <c r="AC3666">
        <f>IF('01_Вводные'!$B$234="Да",'19_Расчет_аналитики'!AB3669,0)</f>
        <v/>
      </c>
      <c r="AD3666">
        <f>IF('01_Вводные'!$B$234="Да",'19_Расчет_аналитики'!AC3669,0)</f>
        <v/>
      </c>
      <c r="AE3666">
        <f>IF('01_Вводные'!$B$234="Да",'19_Расчет_аналитики'!AD3669,0)</f>
        <v/>
      </c>
      <c r="AF3666">
        <f>IF('01_Вводные'!$B$234="Да",'19_Расчет_аналитики'!AE3669,0)</f>
        <v/>
      </c>
      <c r="AG3666">
        <f>IF('01_Вводные'!$B$234="Да",'19_Расчет_аналитики'!AF3669,0)</f>
        <v/>
      </c>
      <c r="AH3666">
        <f>IF('01_Вводные'!$B$234="Да",'19_Расчет_аналитики'!AG3669,0)</f>
        <v/>
      </c>
      <c r="AI3666">
        <f>IF('01_Вводные'!$B$234="Да",'19_Расчет_аналитики'!AH3669,0)</f>
        <v/>
      </c>
      <c r="AJ3666">
        <f>IF('01_Вводные'!$B$234="Да",'19_Расчет_аналитики'!AI3669,0)</f>
        <v/>
      </c>
      <c r="AK3666">
        <f>IF('01_Вводные'!$B$234="Да",'19_Расчет_аналитики'!AJ3669,0)</f>
        <v/>
      </c>
      <c r="AL3666">
        <f>IF('01_Вводные'!$B$234="Да",'19_Расчет_аналитики'!AK3669,0)</f>
        <v/>
      </c>
      <c r="AM3666">
        <f>IF('01_Вводные'!$B$234="Да",'19_Расчет_аналитики'!AL3669,0)</f>
        <v/>
      </c>
      <c r="AN3666">
        <f>IF('01_Вводные'!$B$234="Да",'19_Расчет_аналитики'!AM3669,0)</f>
        <v/>
      </c>
      <c r="AO3666">
        <f>IF('01_Вводные'!$B$234="Да",'19_Расчет_аналитики'!AN3669,0)</f>
        <v/>
      </c>
      <c r="AP3666">
        <f>IF('01_Вводные'!$B$234="Да",'19_Расчет_аналитики'!AO3669,0)</f>
        <v/>
      </c>
      <c r="AQ3666">
        <f>IF('01_Вводные'!$B$234="Да",'19_Расчет_аналитики'!AP3669,0)</f>
        <v/>
      </c>
      <c r="AR3666">
        <f>IF('01_Вводные'!$B$234="Да",'19_Расчет_аналитики'!AQ3669,0)</f>
        <v/>
      </c>
      <c r="AS3666">
        <f>IF('01_Вводные'!$B$234="Да",'19_Расчет_аналитики'!AR3669,0)</f>
        <v/>
      </c>
      <c r="AT3666">
        <f>IF('01_Вводные'!$B$234="Да",'19_Расчет_аналитики'!AS3669,0)</f>
        <v/>
      </c>
      <c r="AU3666">
        <f>IF('01_Вводные'!$B$234="Да",'19_Расчет_аналитики'!AT3669,0)</f>
        <v/>
      </c>
      <c r="AV3666">
        <f>IF('01_Вводные'!$B$234="Да",'19_Расчет_аналитики'!AU3669,0)</f>
        <v/>
      </c>
      <c r="AW3666">
        <f>IF('01_Вводные'!$B$234="Да",'19_Расчет_аналитики'!AV3669,0)</f>
        <v/>
      </c>
      <c r="AX3666">
        <f>IF('01_Вводные'!$B$234="Да",'19_Расчет_аналитики'!AW3669,0)</f>
        <v/>
      </c>
      <c r="AY3666">
        <f>IF('01_Вводные'!$B$234="Да",'19_Расчет_аналитики'!AX3669,0)</f>
        <v/>
      </c>
      <c r="AZ3666">
        <f>IF('01_Вводные'!$B$234="Да",'19_Расчет_аналитики'!AY3669,0)</f>
        <v/>
      </c>
      <c r="BA3666">
        <f>IF('01_Вводные'!$B$234="Да",'19_Расчет_аналитики'!AZ3669,0)</f>
        <v/>
      </c>
      <c r="BB3666">
        <f>IF('01_Вводные'!$B$234="Да",'19_Расчет_аналитики'!BA3669,0)</f>
        <v/>
      </c>
      <c r="BC3666">
        <f>IF('01_Вводные'!$B$234="Да",'19_Расчет_аналитики'!BB3669,0)</f>
        <v/>
      </c>
      <c r="BD3666">
        <f>IF('01_Вводные'!$B$234="Да",'19_Расчет_аналитики'!BC3669,0)</f>
        <v/>
      </c>
      <c r="BE3666">
        <f>IF('01_Вводные'!$B$234="Да",'19_Расчет_аналитики'!BD3669,0)</f>
        <v/>
      </c>
      <c r="BF3666">
        <f>IF('01_Вводные'!$B$234="Да",'19_Расчет_аналитики'!BE3669,0)</f>
        <v/>
      </c>
      <c r="BG3666">
        <f>IF('01_Вводные'!$B$234="Да",'19_Расчет_аналитики'!BF3669,0)</f>
        <v/>
      </c>
      <c r="BH3666">
        <f>IF('01_Вводные'!$B$234="Да",'19_Расчет_аналитики'!BG3669,0)</f>
        <v/>
      </c>
      <c r="BI3666">
        <f>IF('01_Вводные'!$B$234="Да",'19_Расчет_аналитики'!BH3669,0)</f>
        <v/>
      </c>
      <c r="BJ3666">
        <f>IF('01_Вводные'!$B$234="Да",'19_Расчет_аналитики'!BI3669,0)</f>
        <v/>
      </c>
      <c r="BK3666">
        <f>IF('01_Вводные'!$B$234="Да",'19_Расчет_аналитики'!BJ3669,0)</f>
        <v/>
      </c>
      <c r="BL3666">
        <f>IF('01_Вводные'!$B$234="Да",'19_Расчет_аналитики'!BK3669,0)</f>
        <v/>
      </c>
      <c r="BM3666">
        <f>IF('01_Вводные'!$B$234="Да",'19_Расчет_аналитики'!BL3669,0)</f>
        <v/>
      </c>
      <c r="BN3666">
        <f>IF('01_Вводные'!$B$234="Да",'19_Расчет_аналитики'!BM3669,0)</f>
        <v/>
      </c>
      <c r="BO3666">
        <f>IF('01_Вводные'!$B$234="Да",'19_Расчет_аналитики'!BN3669,0)</f>
        <v/>
      </c>
    </row>
    <row r="3667">
      <c r="B3667">
        <f>IF('01_Вводные'!$B$234="Да",MIN('07_Мерч'!B29,'19_Расчет_аналитики'!B3653*'01_Вводные'!$B$79),0)</f>
        <v/>
      </c>
      <c r="C3667">
        <f>IF('01_Вводные'!$B$234="Да",MIN('19_Расчет_аналитики'!C3666,'19_Расчет_аналитики'!C3653*'01_Вводные'!$B$79),0)</f>
        <v/>
      </c>
      <c r="D3667">
        <f>IF('01_Вводные'!$B$234="Да",MIN('19_Расчет_аналитики'!D3666,'19_Расчет_аналитики'!D3653*'01_Вводные'!$B$79),0)</f>
        <v/>
      </c>
      <c r="E3667">
        <f>IF('01_Вводные'!$B$234="Да",MIN('19_Расчет_аналитики'!E3666,'19_Расчет_аналитики'!E3653*'01_Вводные'!$B$79),0)</f>
        <v/>
      </c>
      <c r="F3667">
        <f>IF('01_Вводные'!$B$234="Да",MIN('19_Расчет_аналитики'!F3666,'19_Расчет_аналитики'!F3653*'01_Вводные'!$B$79),0)</f>
        <v/>
      </c>
      <c r="G3667">
        <f>IF('01_Вводные'!$B$234="Да",MIN('19_Расчет_аналитики'!G3666,'19_Расчет_аналитики'!G3653*'01_Вводные'!$B$79),0)</f>
        <v/>
      </c>
      <c r="H3667">
        <f>IF('01_Вводные'!$B$234="Да",MIN('19_Расчет_аналитики'!H3666,'19_Расчет_аналитики'!H3653*'01_Вводные'!$B$79),0)</f>
        <v/>
      </c>
      <c r="I3667">
        <f>IF('01_Вводные'!$B$234="Да",MIN('19_Расчет_аналитики'!I3666,'19_Расчет_аналитики'!I3653*'01_Вводные'!$B$79),0)</f>
        <v/>
      </c>
      <c r="J3667">
        <f>IF('01_Вводные'!$B$234="Да",MIN('19_Расчет_аналитики'!J3666,'19_Расчет_аналитики'!J3653*'01_Вводные'!$B$79),0)</f>
        <v/>
      </c>
      <c r="K3667">
        <f>IF('01_Вводные'!$B$234="Да",MIN('19_Расчет_аналитики'!K3666,'19_Расчет_аналитики'!K3653*'01_Вводные'!$B$79),0)</f>
        <v/>
      </c>
      <c r="L3667">
        <f>IF('01_Вводные'!$B$234="Да",MIN('19_Расчет_аналитики'!L3666,'19_Расчет_аналитики'!L3653*'01_Вводные'!$B$79),0)</f>
        <v/>
      </c>
      <c r="M3667">
        <f>IF('01_Вводные'!$B$234="Да",MIN('19_Расчет_аналитики'!M3666,'19_Расчет_аналитики'!M3653*'01_Вводные'!$B$79),0)</f>
        <v/>
      </c>
      <c r="N3667">
        <f>IF('01_Вводные'!$B$234="Да",MIN('19_Расчет_аналитики'!N3666,'19_Расчет_аналитики'!N3653*'01_Вводные'!$B$79),0)</f>
        <v/>
      </c>
      <c r="O3667">
        <f>IF('01_Вводные'!$B$234="Да",MIN('19_Расчет_аналитики'!O3666,'19_Расчет_аналитики'!O3653*'01_Вводные'!$B$79),0)</f>
        <v/>
      </c>
      <c r="P3667">
        <f>IF('01_Вводные'!$B$234="Да",MIN('19_Расчет_аналитики'!P3666,'19_Расчет_аналитики'!P3653*'01_Вводные'!$B$79),0)</f>
        <v/>
      </c>
      <c r="Q3667">
        <f>IF('01_Вводные'!$B$234="Да",MIN('19_Расчет_аналитики'!Q3666,'19_Расчет_аналитики'!Q3653*'01_Вводные'!$B$79),0)</f>
        <v/>
      </c>
      <c r="R3667">
        <f>IF('01_Вводные'!$B$234="Да",MIN('19_Расчет_аналитики'!R3666,'19_Расчет_аналитики'!R3653*'01_Вводные'!$B$79),0)</f>
        <v/>
      </c>
      <c r="S3667">
        <f>IF('01_Вводные'!$B$234="Да",MIN('19_Расчет_аналитики'!S3666,'19_Расчет_аналитики'!S3653*'01_Вводные'!$B$79),0)</f>
        <v/>
      </c>
      <c r="T3667">
        <f>IF('01_Вводные'!$B$234="Да",MIN('19_Расчет_аналитики'!T3666,'19_Расчет_аналитики'!T3653*'01_Вводные'!$B$79),0)</f>
        <v/>
      </c>
      <c r="U3667">
        <f>IF('01_Вводные'!$B$234="Да",MIN('19_Расчет_аналитики'!U3666,'19_Расчет_аналитики'!U3653*'01_Вводные'!$B$79),0)</f>
        <v/>
      </c>
      <c r="V3667">
        <f>IF('01_Вводные'!$B$234="Да",MIN('19_Расчет_аналитики'!V3666,'19_Расчет_аналитики'!V3653*'01_Вводные'!$B$79),0)</f>
        <v/>
      </c>
      <c r="W3667">
        <f>IF('01_Вводные'!$B$234="Да",MIN('19_Расчет_аналитики'!W3666,'19_Расчет_аналитики'!W3653*'01_Вводные'!$B$79),0)</f>
        <v/>
      </c>
      <c r="X3667">
        <f>IF('01_Вводные'!$B$234="Да",MIN('19_Расчет_аналитики'!X3666,'19_Расчет_аналитики'!X3653*'01_Вводные'!$B$79),0)</f>
        <v/>
      </c>
      <c r="Y3667">
        <f>IF('01_Вводные'!$B$234="Да",MIN('19_Расчет_аналитики'!Y3666,'19_Расчет_аналитики'!Y3653*'01_Вводные'!$B$79),0)</f>
        <v/>
      </c>
      <c r="Z3667">
        <f>IF('01_Вводные'!$B$234="Да",MIN('19_Расчет_аналитики'!Z3666,'19_Расчет_аналитики'!Z3653*'01_Вводные'!$B$79),0)</f>
        <v/>
      </c>
      <c r="AA3667">
        <f>IF('01_Вводные'!$B$234="Да",MIN('19_Расчет_аналитики'!AA3666,'19_Расчет_аналитики'!AA3653*'01_Вводные'!$B$79),0)</f>
        <v/>
      </c>
      <c r="AB3667">
        <f>IF('01_Вводные'!$B$234="Да",MIN('19_Расчет_аналитики'!AB3666,'19_Расчет_аналитики'!AB3653*'01_Вводные'!$B$79),0)</f>
        <v/>
      </c>
      <c r="AC3667">
        <f>IF('01_Вводные'!$B$234="Да",MIN('19_Расчет_аналитики'!AC3666,'19_Расчет_аналитики'!AC3653*'01_Вводные'!$B$79),0)</f>
        <v/>
      </c>
      <c r="AD3667">
        <f>IF('01_Вводные'!$B$234="Да",MIN('19_Расчет_аналитики'!AD3666,'19_Расчет_аналитики'!AD3653*'01_Вводные'!$B$79),0)</f>
        <v/>
      </c>
      <c r="AE3667">
        <f>IF('01_Вводные'!$B$234="Да",MIN('19_Расчет_аналитики'!AE3666,'19_Расчет_аналитики'!AE3653*'01_Вводные'!$B$79),0)</f>
        <v/>
      </c>
      <c r="AF3667">
        <f>IF('01_Вводные'!$B$234="Да",MIN('19_Расчет_аналитики'!AF3666,'19_Расчет_аналитики'!AF3653*'01_Вводные'!$B$79),0)</f>
        <v/>
      </c>
      <c r="AG3667">
        <f>IF('01_Вводные'!$B$234="Да",MIN('19_Расчет_аналитики'!AG3666,'19_Расчет_аналитики'!AG3653*'01_Вводные'!$B$79),0)</f>
        <v/>
      </c>
      <c r="AH3667">
        <f>IF('01_Вводные'!$B$234="Да",MIN('19_Расчет_аналитики'!AH3666,'19_Расчет_аналитики'!AH3653*'01_Вводные'!$B$79),0)</f>
        <v/>
      </c>
      <c r="AI3667">
        <f>IF('01_Вводные'!$B$234="Да",MIN('19_Расчет_аналитики'!AI3666,'19_Расчет_аналитики'!AI3653*'01_Вводные'!$B$79),0)</f>
        <v/>
      </c>
      <c r="AJ3667">
        <f>IF('01_Вводные'!$B$234="Да",MIN('19_Расчет_аналитики'!AJ3666,'19_Расчет_аналитики'!AJ3653*'01_Вводные'!$B$79),0)</f>
        <v/>
      </c>
      <c r="AK3667">
        <f>IF('01_Вводные'!$B$234="Да",MIN('19_Расчет_аналитики'!AK3666,'19_Расчет_аналитики'!AK3653*'01_Вводные'!$B$79),0)</f>
        <v/>
      </c>
      <c r="AL3667">
        <f>IF('01_Вводные'!$B$234="Да",MIN('19_Расчет_аналитики'!AL3666,'19_Расчет_аналитики'!AL3653*'01_Вводные'!$B$79),0)</f>
        <v/>
      </c>
      <c r="AM3667">
        <f>IF('01_Вводные'!$B$234="Да",MIN('19_Расчет_аналитики'!AM3666,'19_Расчет_аналитики'!AM3653*'01_Вводные'!$B$79),0)</f>
        <v/>
      </c>
      <c r="AN3667">
        <f>IF('01_Вводные'!$B$234="Да",MIN('19_Расчет_аналитики'!AN3666,'19_Расчет_аналитики'!AN3653*'01_Вводные'!$B$79),0)</f>
        <v/>
      </c>
      <c r="AO3667">
        <f>IF('01_Вводные'!$B$234="Да",MIN('19_Расчет_аналитики'!AO3666,'19_Расчет_аналитики'!AO3653*'01_Вводные'!$B$79),0)</f>
        <v/>
      </c>
      <c r="AP3667">
        <f>IF('01_Вводные'!$B$234="Да",MIN('19_Расчет_аналитики'!AP3666,'19_Расчет_аналитики'!AP3653*'01_Вводные'!$B$79),0)</f>
        <v/>
      </c>
      <c r="AQ3667">
        <f>IF('01_Вводные'!$B$234="Да",MIN('19_Расчет_аналитики'!AQ3666,'19_Расчет_аналитики'!AQ3653*'01_Вводные'!$B$79),0)</f>
        <v/>
      </c>
      <c r="AR3667">
        <f>IF('01_Вводные'!$B$234="Да",MIN('19_Расчет_аналитики'!AR3666,'19_Расчет_аналитики'!AR3653*'01_Вводные'!$B$79),0)</f>
        <v/>
      </c>
      <c r="AS3667">
        <f>IF('01_Вводные'!$B$234="Да",MIN('19_Расчет_аналитики'!AS3666,'19_Расчет_аналитики'!AS3653*'01_Вводные'!$B$79),0)</f>
        <v/>
      </c>
      <c r="AT3667">
        <f>IF('01_Вводные'!$B$234="Да",MIN('19_Расчет_аналитики'!AT3666,'19_Расчет_аналитики'!AT3653*'01_Вводные'!$B$79),0)</f>
        <v/>
      </c>
      <c r="AU3667">
        <f>IF('01_Вводные'!$B$234="Да",MIN('19_Расчет_аналитики'!AU3666,'19_Расчет_аналитики'!AU3653*'01_Вводные'!$B$79),0)</f>
        <v/>
      </c>
      <c r="AV3667">
        <f>IF('01_Вводные'!$B$234="Да",MIN('19_Расчет_аналитики'!AV3666,'19_Расчет_аналитики'!AV3653*'01_Вводные'!$B$79),0)</f>
        <v/>
      </c>
      <c r="AW3667">
        <f>IF('01_Вводные'!$B$234="Да",MIN('19_Расчет_аналитики'!AW3666,'19_Расчет_аналитики'!AW3653*'01_Вводные'!$B$79),0)</f>
        <v/>
      </c>
      <c r="AX3667">
        <f>IF('01_Вводные'!$B$234="Да",MIN('19_Расчет_аналитики'!AX3666,'19_Расчет_аналитики'!AX3653*'01_Вводные'!$B$79),0)</f>
        <v/>
      </c>
      <c r="AY3667">
        <f>IF('01_Вводные'!$B$234="Да",MIN('19_Расчет_аналитики'!AY3666,'19_Расчет_аналитики'!AY3653*'01_Вводные'!$B$79),0)</f>
        <v/>
      </c>
      <c r="AZ3667">
        <f>IF('01_Вводные'!$B$234="Да",MIN('19_Расчет_аналитики'!AZ3666,'19_Расчет_аналитики'!AZ3653*'01_Вводные'!$B$79),0)</f>
        <v/>
      </c>
      <c r="BA3667">
        <f>IF('01_Вводные'!$B$234="Да",MIN('19_Расчет_аналитики'!BA3666,'19_Расчет_аналитики'!BA3653*'01_Вводные'!$B$79),0)</f>
        <v/>
      </c>
      <c r="BB3667">
        <f>IF('01_Вводные'!$B$234="Да",MIN('19_Расчет_аналитики'!BB3666,'19_Расчет_аналитики'!BB3653*'01_Вводные'!$B$79),0)</f>
        <v/>
      </c>
      <c r="BC3667">
        <f>IF('01_Вводные'!$B$234="Да",MIN('19_Расчет_аналитики'!BC3666,'19_Расчет_аналитики'!BC3653*'01_Вводные'!$B$79),0)</f>
        <v/>
      </c>
      <c r="BD3667">
        <f>IF('01_Вводные'!$B$234="Да",MIN('19_Расчет_аналитики'!BD3666,'19_Расчет_аналитики'!BD3653*'01_Вводные'!$B$79),0)</f>
        <v/>
      </c>
      <c r="BE3667">
        <f>IF('01_Вводные'!$B$234="Да",MIN('19_Расчет_аналитики'!BE3666,'19_Расчет_аналитики'!BE3653*'01_Вводные'!$B$79),0)</f>
        <v/>
      </c>
      <c r="BF3667">
        <f>IF('01_Вводные'!$B$234="Да",MIN('19_Расчет_аналитики'!BF3666,'19_Расчет_аналитики'!BF3653*'01_Вводные'!$B$79),0)</f>
        <v/>
      </c>
      <c r="BG3667">
        <f>IF('01_Вводные'!$B$234="Да",MIN('19_Расчет_аналитики'!BG3666,'19_Расчет_аналитики'!BG3653*'01_Вводные'!$B$79),0)</f>
        <v/>
      </c>
      <c r="BH3667">
        <f>IF('01_Вводные'!$B$234="Да",MIN('19_Расчет_аналитики'!BH3666,'19_Расчет_аналитики'!BH3653*'01_Вводные'!$B$79),0)</f>
        <v/>
      </c>
      <c r="BI3667">
        <f>IF('01_Вводные'!$B$234="Да",MIN('19_Расчет_аналитики'!BI3666,'19_Расчет_аналитики'!BI3653*'01_Вводные'!$B$79),0)</f>
        <v/>
      </c>
      <c r="BJ3667">
        <f>IF('01_Вводные'!$B$234="Да",MIN('19_Расчет_аналитики'!BJ3666,'19_Расчет_аналитики'!BJ3653*'01_Вводные'!$B$79),0)</f>
        <v/>
      </c>
      <c r="BK3667">
        <f>IF('01_Вводные'!$B$234="Да",MIN('19_Расчет_аналитики'!BK3666,'19_Расчет_аналитики'!BK3653*'01_Вводные'!$B$79),0)</f>
        <v/>
      </c>
      <c r="BL3667">
        <f>IF('01_Вводные'!$B$234="Да",MIN('19_Расчет_аналитики'!BL3666,'19_Расчет_аналитики'!BL3653*'01_Вводные'!$B$79),0)</f>
        <v/>
      </c>
      <c r="BM3667">
        <f>IF('01_Вводные'!$B$234="Да",MIN('19_Расчет_аналитики'!BM3666,'19_Расчет_аналитики'!BM3653*'01_Вводные'!$B$79),0)</f>
        <v/>
      </c>
      <c r="BN3667">
        <f>IF('01_Вводные'!$B$234="Да",MIN('19_Расчет_аналитики'!BN3666,'19_Расчет_аналитики'!BN3653*'01_Вводные'!$B$79),0)</f>
        <v/>
      </c>
      <c r="BO3667">
        <f>IF('01_Вводные'!$B$234="Да",MIN('19_Расчет_аналитики'!BO3666,'19_Расчет_аналитики'!BO3653*'01_Вводные'!$B$79),0)</f>
        <v/>
      </c>
    </row>
    <row r="3668">
      <c r="B3668">
        <f>IF('01_Вводные'!$B$234="Да",IF(OR('01_Вводные'!$B$238="Нет",'19_Расчет_аналитики'!B3663&gt;='19_Расчет_аналитики'!B3375-0.01),MIN('19_Расчет_аналитики'!B3667,MAX(0,'19_Расчет_аналитики'!B3823)),0),0)</f>
        <v/>
      </c>
      <c r="C3668">
        <f>IF('01_Вводные'!$B$234="Да",IF(OR('01_Вводные'!$B$238="Нет",'19_Расчет_аналитики'!C3663&gt;='19_Расчет_аналитики'!C3375-0.01),MIN('19_Расчет_аналитики'!C3667,MAX(0,'19_Расчет_аналитики'!C3823)),0),0)</f>
        <v/>
      </c>
      <c r="D3668">
        <f>IF('01_Вводные'!$B$234="Да",IF(OR('01_Вводные'!$B$238="Нет",'19_Расчет_аналитики'!D3663&gt;='19_Расчет_аналитики'!D3375-0.01),MIN('19_Расчет_аналитики'!D3667,MAX(0,'19_Расчет_аналитики'!D3823)),0),0)</f>
        <v/>
      </c>
      <c r="E3668">
        <f>IF('01_Вводные'!$B$234="Да",IF(OR('01_Вводные'!$B$238="Нет",'19_Расчет_аналитики'!E3663&gt;='19_Расчет_аналитики'!E3375-0.01),MIN('19_Расчет_аналитики'!E3667,MAX(0,'19_Расчет_аналитики'!E3823)),0),0)</f>
        <v/>
      </c>
      <c r="F3668">
        <f>IF('01_Вводные'!$B$234="Да",IF(OR('01_Вводные'!$B$238="Нет",'19_Расчет_аналитики'!F3663&gt;='19_Расчет_аналитики'!F3375-0.01),MIN('19_Расчет_аналитики'!F3667,MAX(0,'19_Расчет_аналитики'!F3823)),0),0)</f>
        <v/>
      </c>
      <c r="G3668">
        <f>IF('01_Вводные'!$B$234="Да",IF(OR('01_Вводные'!$B$238="Нет",'19_Расчет_аналитики'!G3663&gt;='19_Расчет_аналитики'!G3375-0.01),MIN('19_Расчет_аналитики'!G3667,MAX(0,'19_Расчет_аналитики'!G3823)),0),0)</f>
        <v/>
      </c>
      <c r="H3668">
        <f>IF('01_Вводные'!$B$234="Да",IF(OR('01_Вводные'!$B$238="Нет",'19_Расчет_аналитики'!H3663&gt;='19_Расчет_аналитики'!H3375-0.01),MIN('19_Расчет_аналитики'!H3667,MAX(0,'19_Расчет_аналитики'!H3823)),0),0)</f>
        <v/>
      </c>
      <c r="I3668">
        <f>IF('01_Вводные'!$B$234="Да",IF(OR('01_Вводные'!$B$238="Нет",'19_Расчет_аналитики'!I3663&gt;='19_Расчет_аналитики'!I3375-0.01),MIN('19_Расчет_аналитики'!I3667,MAX(0,'19_Расчет_аналитики'!I3823)),0),0)</f>
        <v/>
      </c>
      <c r="J3668">
        <f>IF('01_Вводные'!$B$234="Да",IF(OR('01_Вводные'!$B$238="Нет",'19_Расчет_аналитики'!J3663&gt;='19_Расчет_аналитики'!J3375-0.01),MIN('19_Расчет_аналитики'!J3667,MAX(0,'19_Расчет_аналитики'!J3823)),0),0)</f>
        <v/>
      </c>
      <c r="K3668">
        <f>IF('01_Вводные'!$B$234="Да",IF(OR('01_Вводные'!$B$238="Нет",'19_Расчет_аналитики'!K3663&gt;='19_Расчет_аналитики'!K3375-0.01),MIN('19_Расчет_аналитики'!K3667,MAX(0,'19_Расчет_аналитики'!K3823)),0),0)</f>
        <v/>
      </c>
      <c r="L3668">
        <f>IF('01_Вводные'!$B$234="Да",IF(OR('01_Вводные'!$B$238="Нет",'19_Расчет_аналитики'!L3663&gt;='19_Расчет_аналитики'!L3375-0.01),MIN('19_Расчет_аналитики'!L3667,MAX(0,'19_Расчет_аналитики'!L3823)),0),0)</f>
        <v/>
      </c>
      <c r="M3668">
        <f>IF('01_Вводные'!$B$234="Да",IF(OR('01_Вводные'!$B$238="Нет",'19_Расчет_аналитики'!M3663&gt;='19_Расчет_аналитики'!M3375-0.01),MIN('19_Расчет_аналитики'!M3667,MAX(0,'19_Расчет_аналитики'!M3823)),0),0)</f>
        <v/>
      </c>
      <c r="N3668">
        <f>IF('01_Вводные'!$B$234="Да",IF(OR('01_Вводные'!$B$238="Нет",'19_Расчет_аналитики'!N3663&gt;='19_Расчет_аналитики'!N3375-0.01),MIN('19_Расчет_аналитики'!N3667,MAX(0,'19_Расчет_аналитики'!N3823)),0),0)</f>
        <v/>
      </c>
      <c r="O3668">
        <f>IF('01_Вводные'!$B$234="Да",IF(OR('01_Вводные'!$B$238="Нет",'19_Расчет_аналитики'!O3663&gt;='19_Расчет_аналитики'!O3375-0.01),MIN('19_Расчет_аналитики'!O3667,MAX(0,'19_Расчет_аналитики'!O3823)),0),0)</f>
        <v/>
      </c>
      <c r="P3668">
        <f>IF('01_Вводные'!$B$234="Да",IF(OR('01_Вводные'!$B$238="Нет",'19_Расчет_аналитики'!P3663&gt;='19_Расчет_аналитики'!P3375-0.01),MIN('19_Расчет_аналитики'!P3667,MAX(0,'19_Расчет_аналитики'!P3823)),0),0)</f>
        <v/>
      </c>
      <c r="Q3668">
        <f>IF('01_Вводные'!$B$234="Да",IF(OR('01_Вводные'!$B$238="Нет",'19_Расчет_аналитики'!Q3663&gt;='19_Расчет_аналитики'!Q3375-0.01),MIN('19_Расчет_аналитики'!Q3667,MAX(0,'19_Расчет_аналитики'!Q3823)),0),0)</f>
        <v/>
      </c>
      <c r="R3668">
        <f>IF('01_Вводные'!$B$234="Да",IF(OR('01_Вводные'!$B$238="Нет",'19_Расчет_аналитики'!R3663&gt;='19_Расчет_аналитики'!R3375-0.01),MIN('19_Расчет_аналитики'!R3667,MAX(0,'19_Расчет_аналитики'!R3823)),0),0)</f>
        <v/>
      </c>
      <c r="S3668">
        <f>IF('01_Вводные'!$B$234="Да",IF(OR('01_Вводные'!$B$238="Нет",'19_Расчет_аналитики'!S3663&gt;='19_Расчет_аналитики'!S3375-0.01),MIN('19_Расчет_аналитики'!S3667,MAX(0,'19_Расчет_аналитики'!S3823)),0),0)</f>
        <v/>
      </c>
      <c r="T3668">
        <f>IF('01_Вводные'!$B$234="Да",IF(OR('01_Вводные'!$B$238="Нет",'19_Расчет_аналитики'!T3663&gt;='19_Расчет_аналитики'!T3375-0.01),MIN('19_Расчет_аналитики'!T3667,MAX(0,'19_Расчет_аналитики'!T3823)),0),0)</f>
        <v/>
      </c>
      <c r="U3668">
        <f>IF('01_Вводные'!$B$234="Да",IF(OR('01_Вводные'!$B$238="Нет",'19_Расчет_аналитики'!U3663&gt;='19_Расчет_аналитики'!U3375-0.01),MIN('19_Расчет_аналитики'!U3667,MAX(0,'19_Расчет_аналитики'!U3823)),0),0)</f>
        <v/>
      </c>
      <c r="V3668">
        <f>IF('01_Вводные'!$B$234="Да",IF(OR('01_Вводные'!$B$238="Нет",'19_Расчет_аналитики'!V3663&gt;='19_Расчет_аналитики'!V3375-0.01),MIN('19_Расчет_аналитики'!V3667,MAX(0,'19_Расчет_аналитики'!V3823)),0),0)</f>
        <v/>
      </c>
      <c r="W3668">
        <f>IF('01_Вводные'!$B$234="Да",IF(OR('01_Вводные'!$B$238="Нет",'19_Расчет_аналитики'!W3663&gt;='19_Расчет_аналитики'!W3375-0.01),MIN('19_Расчет_аналитики'!W3667,MAX(0,'19_Расчет_аналитики'!W3823)),0),0)</f>
        <v/>
      </c>
      <c r="X3668">
        <f>IF('01_Вводные'!$B$234="Да",IF(OR('01_Вводные'!$B$238="Нет",'19_Расчет_аналитики'!X3663&gt;='19_Расчет_аналитики'!X3375-0.01),MIN('19_Расчет_аналитики'!X3667,MAX(0,'19_Расчет_аналитики'!X3823)),0),0)</f>
        <v/>
      </c>
      <c r="Y3668">
        <f>IF('01_Вводные'!$B$234="Да",IF(OR('01_Вводные'!$B$238="Нет",'19_Расчет_аналитики'!Y3663&gt;='19_Расчет_аналитики'!Y3375-0.01),MIN('19_Расчет_аналитики'!Y3667,MAX(0,'19_Расчет_аналитики'!Y3823)),0),0)</f>
        <v/>
      </c>
      <c r="Z3668">
        <f>IF('01_Вводные'!$B$234="Да",IF(OR('01_Вводные'!$B$238="Нет",'19_Расчет_аналитики'!Z3663&gt;='19_Расчет_аналитики'!Z3375-0.01),MIN('19_Расчет_аналитики'!Z3667,MAX(0,'19_Расчет_аналитики'!Z3823)),0),0)</f>
        <v/>
      </c>
      <c r="AA3668">
        <f>IF('01_Вводные'!$B$234="Да",IF(OR('01_Вводные'!$B$238="Нет",'19_Расчет_аналитики'!AA3663&gt;='19_Расчет_аналитики'!AA3375-0.01),MIN('19_Расчет_аналитики'!AA3667,MAX(0,'19_Расчет_аналитики'!AA3823)),0),0)</f>
        <v/>
      </c>
      <c r="AB3668">
        <f>IF('01_Вводные'!$B$234="Да",IF(OR('01_Вводные'!$B$238="Нет",'19_Расчет_аналитики'!AB3663&gt;='19_Расчет_аналитики'!AB3375-0.01),MIN('19_Расчет_аналитики'!AB3667,MAX(0,'19_Расчет_аналитики'!AB3823)),0),0)</f>
        <v/>
      </c>
      <c r="AC3668">
        <f>IF('01_Вводные'!$B$234="Да",IF(OR('01_Вводные'!$B$238="Нет",'19_Расчет_аналитики'!AC3663&gt;='19_Расчет_аналитики'!AC3375-0.01),MIN('19_Расчет_аналитики'!AC3667,MAX(0,'19_Расчет_аналитики'!AC3823)),0),0)</f>
        <v/>
      </c>
      <c r="AD3668">
        <f>IF('01_Вводные'!$B$234="Да",IF(OR('01_Вводные'!$B$238="Нет",'19_Расчет_аналитики'!AD3663&gt;='19_Расчет_аналитики'!AD3375-0.01),MIN('19_Расчет_аналитики'!AD3667,MAX(0,'19_Расчет_аналитики'!AD3823)),0),0)</f>
        <v/>
      </c>
      <c r="AE3668">
        <f>IF('01_Вводные'!$B$234="Да",IF(OR('01_Вводные'!$B$238="Нет",'19_Расчет_аналитики'!AE3663&gt;='19_Расчет_аналитики'!AE3375-0.01),MIN('19_Расчет_аналитики'!AE3667,MAX(0,'19_Расчет_аналитики'!AE3823)),0),0)</f>
        <v/>
      </c>
      <c r="AF3668">
        <f>IF('01_Вводные'!$B$234="Да",IF(OR('01_Вводные'!$B$238="Нет",'19_Расчет_аналитики'!AF3663&gt;='19_Расчет_аналитики'!AF3375-0.01),MIN('19_Расчет_аналитики'!AF3667,MAX(0,'19_Расчет_аналитики'!AF3823)),0),0)</f>
        <v/>
      </c>
      <c r="AG3668">
        <f>IF('01_Вводные'!$B$234="Да",IF(OR('01_Вводные'!$B$238="Нет",'19_Расчет_аналитики'!AG3663&gt;='19_Расчет_аналитики'!AG3375-0.01),MIN('19_Расчет_аналитики'!AG3667,MAX(0,'19_Расчет_аналитики'!AG3823)),0),0)</f>
        <v/>
      </c>
      <c r="AH3668">
        <f>IF('01_Вводные'!$B$234="Да",IF(OR('01_Вводные'!$B$238="Нет",'19_Расчет_аналитики'!AH3663&gt;='19_Расчет_аналитики'!AH3375-0.01),MIN('19_Расчет_аналитики'!AH3667,MAX(0,'19_Расчет_аналитики'!AH3823)),0),0)</f>
        <v/>
      </c>
      <c r="AI3668">
        <f>IF('01_Вводные'!$B$234="Да",IF(OR('01_Вводные'!$B$238="Нет",'19_Расчет_аналитики'!AI3663&gt;='19_Расчет_аналитики'!AI3375-0.01),MIN('19_Расчет_аналитики'!AI3667,MAX(0,'19_Расчет_аналитики'!AI3823)),0),0)</f>
        <v/>
      </c>
      <c r="AJ3668">
        <f>IF('01_Вводные'!$B$234="Да",IF(OR('01_Вводные'!$B$238="Нет",'19_Расчет_аналитики'!AJ3663&gt;='19_Расчет_аналитики'!AJ3375-0.01),MIN('19_Расчет_аналитики'!AJ3667,MAX(0,'19_Расчет_аналитики'!AJ3823)),0),0)</f>
        <v/>
      </c>
      <c r="AK3668">
        <f>IF('01_Вводные'!$B$234="Да",IF(OR('01_Вводные'!$B$238="Нет",'19_Расчет_аналитики'!AK3663&gt;='19_Расчет_аналитики'!AK3375-0.01),MIN('19_Расчет_аналитики'!AK3667,MAX(0,'19_Расчет_аналитики'!AK3823)),0),0)</f>
        <v/>
      </c>
      <c r="AL3668">
        <f>IF('01_Вводные'!$B$234="Да",IF(OR('01_Вводные'!$B$238="Нет",'19_Расчет_аналитики'!AL3663&gt;='19_Расчет_аналитики'!AL3375-0.01),MIN('19_Расчет_аналитики'!AL3667,MAX(0,'19_Расчет_аналитики'!AL3823)),0),0)</f>
        <v/>
      </c>
      <c r="AM3668">
        <f>IF('01_Вводные'!$B$234="Да",IF(OR('01_Вводные'!$B$238="Нет",'19_Расчет_аналитики'!AM3663&gt;='19_Расчет_аналитики'!AM3375-0.01),MIN('19_Расчет_аналитики'!AM3667,MAX(0,'19_Расчет_аналитики'!AM3823)),0),0)</f>
        <v/>
      </c>
      <c r="AN3668">
        <f>IF('01_Вводные'!$B$234="Да",IF(OR('01_Вводные'!$B$238="Нет",'19_Расчет_аналитики'!AN3663&gt;='19_Расчет_аналитики'!AN3375-0.01),MIN('19_Расчет_аналитики'!AN3667,MAX(0,'19_Расчет_аналитики'!AN3823)),0),0)</f>
        <v/>
      </c>
      <c r="AO3668">
        <f>IF('01_Вводные'!$B$234="Да",IF(OR('01_Вводные'!$B$238="Нет",'19_Расчет_аналитики'!AO3663&gt;='19_Расчет_аналитики'!AO3375-0.01),MIN('19_Расчет_аналитики'!AO3667,MAX(0,'19_Расчет_аналитики'!AO3823)),0),0)</f>
        <v/>
      </c>
      <c r="AP3668">
        <f>IF('01_Вводные'!$B$234="Да",IF(OR('01_Вводные'!$B$238="Нет",'19_Расчет_аналитики'!AP3663&gt;='19_Расчет_аналитики'!AP3375-0.01),MIN('19_Расчет_аналитики'!AP3667,MAX(0,'19_Расчет_аналитики'!AP3823)),0),0)</f>
        <v/>
      </c>
      <c r="AQ3668">
        <f>IF('01_Вводные'!$B$234="Да",IF(OR('01_Вводные'!$B$238="Нет",'19_Расчет_аналитики'!AQ3663&gt;='19_Расчет_аналитики'!AQ3375-0.01),MIN('19_Расчет_аналитики'!AQ3667,MAX(0,'19_Расчет_аналитики'!AQ3823)),0),0)</f>
        <v/>
      </c>
      <c r="AR3668">
        <f>IF('01_Вводные'!$B$234="Да",IF(OR('01_Вводные'!$B$238="Нет",'19_Расчет_аналитики'!AR3663&gt;='19_Расчет_аналитики'!AR3375-0.01),MIN('19_Расчет_аналитики'!AR3667,MAX(0,'19_Расчет_аналитики'!AR3823)),0),0)</f>
        <v/>
      </c>
      <c r="AS3668">
        <f>IF('01_Вводные'!$B$234="Да",IF(OR('01_Вводные'!$B$238="Нет",'19_Расчет_аналитики'!AS3663&gt;='19_Расчет_аналитики'!AS3375-0.01),MIN('19_Расчет_аналитики'!AS3667,MAX(0,'19_Расчет_аналитики'!AS3823)),0),0)</f>
        <v/>
      </c>
      <c r="AT3668">
        <f>IF('01_Вводные'!$B$234="Да",IF(OR('01_Вводные'!$B$238="Нет",'19_Расчет_аналитики'!AT3663&gt;='19_Расчет_аналитики'!AT3375-0.01),MIN('19_Расчет_аналитики'!AT3667,MAX(0,'19_Расчет_аналитики'!AT3823)),0),0)</f>
        <v/>
      </c>
      <c r="AU3668">
        <f>IF('01_Вводные'!$B$234="Да",IF(OR('01_Вводные'!$B$238="Нет",'19_Расчет_аналитики'!AU3663&gt;='19_Расчет_аналитики'!AU3375-0.01),MIN('19_Расчет_аналитики'!AU3667,MAX(0,'19_Расчет_аналитики'!AU3823)),0),0)</f>
        <v/>
      </c>
      <c r="AV3668">
        <f>IF('01_Вводные'!$B$234="Да",IF(OR('01_Вводные'!$B$238="Нет",'19_Расчет_аналитики'!AV3663&gt;='19_Расчет_аналитики'!AV3375-0.01),MIN('19_Расчет_аналитики'!AV3667,MAX(0,'19_Расчет_аналитики'!AV3823)),0),0)</f>
        <v/>
      </c>
      <c r="AW3668">
        <f>IF('01_Вводные'!$B$234="Да",IF(OR('01_Вводные'!$B$238="Нет",'19_Расчет_аналитики'!AW3663&gt;='19_Расчет_аналитики'!AW3375-0.01),MIN('19_Расчет_аналитики'!AW3667,MAX(0,'19_Расчет_аналитики'!AW3823)),0),0)</f>
        <v/>
      </c>
      <c r="AX3668">
        <f>IF('01_Вводные'!$B$234="Да",IF(OR('01_Вводные'!$B$238="Нет",'19_Расчет_аналитики'!AX3663&gt;='19_Расчет_аналитики'!AX3375-0.01),MIN('19_Расчет_аналитики'!AX3667,MAX(0,'19_Расчет_аналитики'!AX3823)),0),0)</f>
        <v/>
      </c>
      <c r="AY3668">
        <f>IF('01_Вводные'!$B$234="Да",IF(OR('01_Вводные'!$B$238="Нет",'19_Расчет_аналитики'!AY3663&gt;='19_Расчет_аналитики'!AY3375-0.01),MIN('19_Расчет_аналитики'!AY3667,MAX(0,'19_Расчет_аналитики'!AY3823)),0),0)</f>
        <v/>
      </c>
      <c r="AZ3668">
        <f>IF('01_Вводные'!$B$234="Да",IF(OR('01_Вводные'!$B$238="Нет",'19_Расчет_аналитики'!AZ3663&gt;='19_Расчет_аналитики'!AZ3375-0.01),MIN('19_Расчет_аналитики'!AZ3667,MAX(0,'19_Расчет_аналитики'!AZ3823)),0),0)</f>
        <v/>
      </c>
      <c r="BA3668">
        <f>IF('01_Вводные'!$B$234="Да",IF(OR('01_Вводные'!$B$238="Нет",'19_Расчет_аналитики'!BA3663&gt;='19_Расчет_аналитики'!BA3375-0.01),MIN('19_Расчет_аналитики'!BA3667,MAX(0,'19_Расчет_аналитики'!BA3823)),0),0)</f>
        <v/>
      </c>
      <c r="BB3668">
        <f>IF('01_Вводные'!$B$234="Да",IF(OR('01_Вводные'!$B$238="Нет",'19_Расчет_аналитики'!BB3663&gt;='19_Расчет_аналитики'!BB3375-0.01),MIN('19_Расчет_аналитики'!BB3667,MAX(0,'19_Расчет_аналитики'!BB3823)),0),0)</f>
        <v/>
      </c>
      <c r="BC3668">
        <f>IF('01_Вводные'!$B$234="Да",IF(OR('01_Вводные'!$B$238="Нет",'19_Расчет_аналитики'!BC3663&gt;='19_Расчет_аналитики'!BC3375-0.01),MIN('19_Расчет_аналитики'!BC3667,MAX(0,'19_Расчет_аналитики'!BC3823)),0),0)</f>
        <v/>
      </c>
      <c r="BD3668">
        <f>IF('01_Вводные'!$B$234="Да",IF(OR('01_Вводные'!$B$238="Нет",'19_Расчет_аналитики'!BD3663&gt;='19_Расчет_аналитики'!BD3375-0.01),MIN('19_Расчет_аналитики'!BD3667,MAX(0,'19_Расчет_аналитики'!BD3823)),0),0)</f>
        <v/>
      </c>
      <c r="BE3668">
        <f>IF('01_Вводные'!$B$234="Да",IF(OR('01_Вводные'!$B$238="Нет",'19_Расчет_аналитики'!BE3663&gt;='19_Расчет_аналитики'!BE3375-0.01),MIN('19_Расчет_аналитики'!BE3667,MAX(0,'19_Расчет_аналитики'!BE3823)),0),0)</f>
        <v/>
      </c>
      <c r="BF3668">
        <f>IF('01_Вводные'!$B$234="Да",IF(OR('01_Вводные'!$B$238="Нет",'19_Расчет_аналитики'!BF3663&gt;='19_Расчет_аналитики'!BF3375-0.01),MIN('19_Расчет_аналитики'!BF3667,MAX(0,'19_Расчет_аналитики'!BF3823)),0),0)</f>
        <v/>
      </c>
      <c r="BG3668">
        <f>IF('01_Вводные'!$B$234="Да",IF(OR('01_Вводные'!$B$238="Нет",'19_Расчет_аналитики'!BG3663&gt;='19_Расчет_аналитики'!BG3375-0.01),MIN('19_Расчет_аналитики'!BG3667,MAX(0,'19_Расчет_аналитики'!BG3823)),0),0)</f>
        <v/>
      </c>
      <c r="BH3668">
        <f>IF('01_Вводные'!$B$234="Да",IF(OR('01_Вводные'!$B$238="Нет",'19_Расчет_аналитики'!BH3663&gt;='19_Расчет_аналитики'!BH3375-0.01),MIN('19_Расчет_аналитики'!BH3667,MAX(0,'19_Расчет_аналитики'!BH3823)),0),0)</f>
        <v/>
      </c>
      <c r="BI3668">
        <f>IF('01_Вводные'!$B$234="Да",IF(OR('01_Вводные'!$B$238="Нет",'19_Расчет_аналитики'!BI3663&gt;='19_Расчет_аналитики'!BI3375-0.01),MIN('19_Расчет_аналитики'!BI3667,MAX(0,'19_Расчет_аналитики'!BI3823)),0),0)</f>
        <v/>
      </c>
    </row>
    <row r="3669">
      <c r="B3669">
        <f>IF('01_Вводные'!$B$234="Да",MAX(0,'07_Мерч'!B29-'19_Расчет_аналитики'!B3668),0)</f>
        <v/>
      </c>
      <c r="C3669">
        <f>IF('01_Вводные'!$B$234="Да",MAX(0,'19_Расчет_аналитики'!C3666-'19_Расчет_аналитики'!C3668),0)</f>
        <v/>
      </c>
      <c r="D3669">
        <f>IF('01_Вводные'!$B$234="Да",MAX(0,'19_Расчет_аналитики'!D3666-'19_Расчет_аналитики'!D3668),0)</f>
        <v/>
      </c>
      <c r="E3669">
        <f>IF('01_Вводные'!$B$234="Да",MAX(0,'19_Расчет_аналитики'!E3666-'19_Расчет_аналитики'!E3668),0)</f>
        <v/>
      </c>
      <c r="F3669">
        <f>IF('01_Вводные'!$B$234="Да",MAX(0,'19_Расчет_аналитики'!F3666-'19_Расчет_аналитики'!F3668),0)</f>
        <v/>
      </c>
      <c r="G3669">
        <f>IF('01_Вводные'!$B$234="Да",MAX(0,'19_Расчет_аналитики'!G3666-'19_Расчет_аналитики'!G3668),0)</f>
        <v/>
      </c>
      <c r="H3669">
        <f>IF('01_Вводные'!$B$234="Да",MAX(0,'19_Расчет_аналитики'!H3666-'19_Расчет_аналитики'!H3668),0)</f>
        <v/>
      </c>
      <c r="I3669">
        <f>IF('01_Вводные'!$B$234="Да",MAX(0,'19_Расчет_аналитики'!I3666-'19_Расчет_аналитики'!I3668),0)</f>
        <v/>
      </c>
      <c r="J3669">
        <f>IF('01_Вводные'!$B$234="Да",MAX(0,'19_Расчет_аналитики'!J3666-'19_Расчет_аналитики'!J3668),0)</f>
        <v/>
      </c>
      <c r="K3669">
        <f>IF('01_Вводные'!$B$234="Да",MAX(0,'19_Расчет_аналитики'!K3666-'19_Расчет_аналитики'!K3668),0)</f>
        <v/>
      </c>
      <c r="L3669">
        <f>IF('01_Вводные'!$B$234="Да",MAX(0,'19_Расчет_аналитики'!L3666-'19_Расчет_аналитики'!L3668),0)</f>
        <v/>
      </c>
      <c r="M3669">
        <f>IF('01_Вводные'!$B$234="Да",MAX(0,'19_Расчет_аналитики'!M3666-'19_Расчет_аналитики'!M3668),0)</f>
        <v/>
      </c>
      <c r="N3669">
        <f>IF('01_Вводные'!$B$234="Да",MAX(0,'19_Расчет_аналитики'!N3666-'19_Расчет_аналитики'!N3668),0)</f>
        <v/>
      </c>
      <c r="O3669">
        <f>IF('01_Вводные'!$B$234="Да",MAX(0,'19_Расчет_аналитики'!O3666-'19_Расчет_аналитики'!O3668),0)</f>
        <v/>
      </c>
      <c r="P3669">
        <f>IF('01_Вводные'!$B$234="Да",MAX(0,'19_Расчет_аналитики'!P3666-'19_Расчет_аналитики'!P3668),0)</f>
        <v/>
      </c>
      <c r="Q3669">
        <f>IF('01_Вводные'!$B$234="Да",MAX(0,'19_Расчет_аналитики'!Q3666-'19_Расчет_аналитики'!Q3668),0)</f>
        <v/>
      </c>
      <c r="R3669">
        <f>IF('01_Вводные'!$B$234="Да",MAX(0,'19_Расчет_аналитики'!R3666-'19_Расчет_аналитики'!R3668),0)</f>
        <v/>
      </c>
      <c r="S3669">
        <f>IF('01_Вводные'!$B$234="Да",MAX(0,'19_Расчет_аналитики'!S3666-'19_Расчет_аналитики'!S3668),0)</f>
        <v/>
      </c>
      <c r="T3669">
        <f>IF('01_Вводные'!$B$234="Да",MAX(0,'19_Расчет_аналитики'!T3666-'19_Расчет_аналитики'!T3668),0)</f>
        <v/>
      </c>
      <c r="U3669">
        <f>IF('01_Вводные'!$B$234="Да",MAX(0,'19_Расчет_аналитики'!U3666-'19_Расчет_аналитики'!U3668),0)</f>
        <v/>
      </c>
      <c r="V3669">
        <f>IF('01_Вводные'!$B$234="Да",MAX(0,'19_Расчет_аналитики'!V3666-'19_Расчет_аналитики'!V3668),0)</f>
        <v/>
      </c>
      <c r="W3669">
        <f>IF('01_Вводные'!$B$234="Да",MAX(0,'19_Расчет_аналитики'!W3666-'19_Расчет_аналитики'!W3668),0)</f>
        <v/>
      </c>
      <c r="X3669">
        <f>IF('01_Вводные'!$B$234="Да",MAX(0,'19_Расчет_аналитики'!X3666-'19_Расчет_аналитики'!X3668),0)</f>
        <v/>
      </c>
      <c r="Y3669">
        <f>IF('01_Вводные'!$B$234="Да",MAX(0,'19_Расчет_аналитики'!Y3666-'19_Расчет_аналитики'!Y3668),0)</f>
        <v/>
      </c>
      <c r="Z3669">
        <f>IF('01_Вводные'!$B$234="Да",MAX(0,'19_Расчет_аналитики'!Z3666-'19_Расчет_аналитики'!Z3668),0)</f>
        <v/>
      </c>
      <c r="AA3669">
        <f>IF('01_Вводные'!$B$234="Да",MAX(0,'19_Расчет_аналитики'!AA3666-'19_Расчет_аналитики'!AA3668),0)</f>
        <v/>
      </c>
      <c r="AB3669">
        <f>IF('01_Вводные'!$B$234="Да",MAX(0,'19_Расчет_аналитики'!AB3666-'19_Расчет_аналитики'!AB3668),0)</f>
        <v/>
      </c>
      <c r="AC3669">
        <f>IF('01_Вводные'!$B$234="Да",MAX(0,'19_Расчет_аналитики'!AC3666-'19_Расчет_аналитики'!AC3668),0)</f>
        <v/>
      </c>
      <c r="AD3669">
        <f>IF('01_Вводные'!$B$234="Да",MAX(0,'19_Расчет_аналитики'!AD3666-'19_Расчет_аналитики'!AD3668),0)</f>
        <v/>
      </c>
      <c r="AE3669">
        <f>IF('01_Вводные'!$B$234="Да",MAX(0,'19_Расчет_аналитики'!AE3666-'19_Расчет_аналитики'!AE3668),0)</f>
        <v/>
      </c>
      <c r="AF3669">
        <f>IF('01_Вводные'!$B$234="Да",MAX(0,'19_Расчет_аналитики'!AF3666-'19_Расчет_аналитики'!AF3668),0)</f>
        <v/>
      </c>
      <c r="AG3669">
        <f>IF('01_Вводные'!$B$234="Да",MAX(0,'19_Расчет_аналитики'!AG3666-'19_Расчет_аналитики'!AG3668),0)</f>
        <v/>
      </c>
      <c r="AH3669">
        <f>IF('01_Вводные'!$B$234="Да",MAX(0,'19_Расчет_аналитики'!AH3666-'19_Расчет_аналитики'!AH3668),0)</f>
        <v/>
      </c>
      <c r="AI3669">
        <f>IF('01_Вводные'!$B$234="Да",MAX(0,'19_Расчет_аналитики'!AI3666-'19_Расчет_аналитики'!AI3668),0)</f>
        <v/>
      </c>
      <c r="AJ3669">
        <f>IF('01_Вводные'!$B$234="Да",MAX(0,'19_Расчет_аналитики'!AJ3666-'19_Расчет_аналитики'!AJ3668),0)</f>
        <v/>
      </c>
      <c r="AK3669">
        <f>IF('01_Вводные'!$B$234="Да",MAX(0,'19_Расчет_аналитики'!AK3666-'19_Расчет_аналитики'!AK3668),0)</f>
        <v/>
      </c>
      <c r="AL3669">
        <f>IF('01_Вводные'!$B$234="Да",MAX(0,'19_Расчет_аналитики'!AL3666-'19_Расчет_аналитики'!AL3668),0)</f>
        <v/>
      </c>
      <c r="AM3669">
        <f>IF('01_Вводные'!$B$234="Да",MAX(0,'19_Расчет_аналитики'!AM3666-'19_Расчет_аналитики'!AM3668),0)</f>
        <v/>
      </c>
      <c r="AN3669">
        <f>IF('01_Вводные'!$B$234="Да",MAX(0,'19_Расчет_аналитики'!AN3666-'19_Расчет_аналитики'!AN3668),0)</f>
        <v/>
      </c>
      <c r="AO3669">
        <f>IF('01_Вводные'!$B$234="Да",MAX(0,'19_Расчет_аналитики'!AO3666-'19_Расчет_аналитики'!AO3668),0)</f>
        <v/>
      </c>
      <c r="AP3669">
        <f>IF('01_Вводные'!$B$234="Да",MAX(0,'19_Расчет_аналитики'!AP3666-'19_Расчет_аналитики'!AP3668),0)</f>
        <v/>
      </c>
      <c r="AQ3669">
        <f>IF('01_Вводные'!$B$234="Да",MAX(0,'19_Расчет_аналитики'!AQ3666-'19_Расчет_аналитики'!AQ3668),0)</f>
        <v/>
      </c>
      <c r="AR3669">
        <f>IF('01_Вводные'!$B$234="Да",MAX(0,'19_Расчет_аналитики'!AR3666-'19_Расчет_аналитики'!AR3668),0)</f>
        <v/>
      </c>
      <c r="AS3669">
        <f>IF('01_Вводные'!$B$234="Да",MAX(0,'19_Расчет_аналитики'!AS3666-'19_Расчет_аналитики'!AS3668),0)</f>
        <v/>
      </c>
      <c r="AT3669">
        <f>IF('01_Вводные'!$B$234="Да",MAX(0,'19_Расчет_аналитики'!AT3666-'19_Расчет_аналитики'!AT3668),0)</f>
        <v/>
      </c>
      <c r="AU3669">
        <f>IF('01_Вводные'!$B$234="Да",MAX(0,'19_Расчет_аналитики'!AU3666-'19_Расчет_аналитики'!AU3668),0)</f>
        <v/>
      </c>
      <c r="AV3669">
        <f>IF('01_Вводные'!$B$234="Да",MAX(0,'19_Расчет_аналитики'!AV3666-'19_Расчет_аналитики'!AV3668),0)</f>
        <v/>
      </c>
      <c r="AW3669">
        <f>IF('01_Вводные'!$B$234="Да",MAX(0,'19_Расчет_аналитики'!AW3666-'19_Расчет_аналитики'!AW3668),0)</f>
        <v/>
      </c>
      <c r="AX3669">
        <f>IF('01_Вводные'!$B$234="Да",MAX(0,'19_Расчет_аналитики'!AX3666-'19_Расчет_аналитики'!AX3668),0)</f>
        <v/>
      </c>
      <c r="AY3669">
        <f>IF('01_Вводные'!$B$234="Да",MAX(0,'19_Расчет_аналитики'!AY3666-'19_Расчет_аналитики'!AY3668),0)</f>
        <v/>
      </c>
      <c r="AZ3669">
        <f>IF('01_Вводные'!$B$234="Да",MAX(0,'19_Расчет_аналитики'!AZ3666-'19_Расчет_аналитики'!AZ3668),0)</f>
        <v/>
      </c>
      <c r="BA3669">
        <f>IF('01_Вводные'!$B$234="Да",MAX(0,'19_Расчет_аналитики'!BA3666-'19_Расчет_аналитики'!BA3668),0)</f>
        <v/>
      </c>
      <c r="BB3669">
        <f>IF('01_Вводные'!$B$234="Да",MAX(0,'19_Расчет_аналитики'!BB3666-'19_Расчет_аналитики'!BB3668),0)</f>
        <v/>
      </c>
      <c r="BC3669">
        <f>IF('01_Вводные'!$B$234="Да",MAX(0,'19_Расчет_аналитики'!BC3666-'19_Расчет_аналитики'!BC3668),0)</f>
        <v/>
      </c>
      <c r="BD3669">
        <f>IF('01_Вводные'!$B$234="Да",MAX(0,'19_Расчет_аналитики'!BD3666-'19_Расчет_аналитики'!BD3668),0)</f>
        <v/>
      </c>
      <c r="BE3669">
        <f>IF('01_Вводные'!$B$234="Да",MAX(0,'19_Расчет_аналитики'!BE3666-'19_Расчет_аналитики'!BE3668),0)</f>
        <v/>
      </c>
      <c r="BF3669">
        <f>IF('01_Вводные'!$B$234="Да",MAX(0,'19_Расчет_аналитики'!BF3666-'19_Расчет_аналитики'!BF3668),0)</f>
        <v/>
      </c>
      <c r="BG3669">
        <f>IF('01_Вводные'!$B$234="Да",MAX(0,'19_Расчет_аналитики'!BG3666-'19_Расчет_аналитики'!BG3668),0)</f>
        <v/>
      </c>
      <c r="BH3669">
        <f>IF('01_Вводные'!$B$234="Да",MAX(0,'19_Расчет_аналитики'!BH3666-'19_Расчет_аналитики'!BH3668),0)</f>
        <v/>
      </c>
      <c r="BI3669">
        <f>IF('01_Вводные'!$B$234="Да",MAX(0,'19_Расчет_аналитики'!BI3666-'19_Расчет_аналитики'!BI3668),0)</f>
        <v/>
      </c>
      <c r="BJ3669">
        <f>IF('01_Вводные'!$B$234="Да",MAX(0,'19_Расчет_аналитики'!BJ3666-'07_Мерч'!BJ31),0)</f>
        <v/>
      </c>
      <c r="BK3669">
        <f>IF('01_Вводные'!$B$234="Да",MAX(0,'19_Расчет_аналитики'!BK3666-'07_Мерч'!BK31),0)</f>
        <v/>
      </c>
      <c r="BL3669">
        <f>IF('01_Вводные'!$B$234="Да",MAX(0,'19_Расчет_аналитики'!BL3666-'07_Мерч'!BL31),0)</f>
        <v/>
      </c>
      <c r="BM3669">
        <f>IF('01_Вводные'!$B$234="Да",MAX(0,'19_Расчет_аналитики'!BM3666-'07_Мерч'!BM31),0)</f>
        <v/>
      </c>
      <c r="BN3669">
        <f>IF('01_Вводные'!$B$234="Да",MAX(0,'19_Расчет_аналитики'!BN3666-'07_Мерч'!BN31),0)</f>
        <v/>
      </c>
      <c r="BO3669">
        <f>IF('01_Вводные'!$B$234="Да",MAX(0,'19_Расчет_аналитики'!BO3666-'07_Мерч'!BO31),0)</f>
        <v/>
      </c>
    </row>
    <row r="3670"/>
    <row r="3671"/>
    <row r="3672"/>
    <row r="3673"/>
    <row r="3674"/>
    <row r="3675"/>
    <row r="3676"/>
    <row r="3677"/>
    <row r="3678"/>
    <row r="3679"/>
    <row r="3680"/>
    <row r="3681"/>
    <row r="3682"/>
    <row r="3683">
      <c r="C3683">
        <f>IF('01_Вводные'!$B$234="Да",MAX(0,MAX('01_Вводные'!$B$118,INT('19_Расчет_аналитики'!C3743/'01_Вводные'!$B$117)+1)-'01_Вводные'!$B$118),0)</f>
        <v/>
      </c>
      <c r="D3683">
        <f>IF('01_Вводные'!$B$234="Да",MAX(0,MAX('01_Вводные'!$B$118,INT('19_Расчет_аналитики'!D3743/'01_Вводные'!$B$117)+1)-'01_Вводные'!$B$118),0)</f>
        <v/>
      </c>
      <c r="E3683">
        <f>IF('01_Вводные'!$B$234="Да",MAX(0,MAX('01_Вводные'!$B$118,INT('19_Расчет_аналитики'!E3743/'01_Вводные'!$B$117)+1)-'01_Вводные'!$B$118),0)</f>
        <v/>
      </c>
      <c r="F3683">
        <f>IF('01_Вводные'!$B$234="Да",MAX(0,MAX('01_Вводные'!$B$118,INT('19_Расчет_аналитики'!F3743/'01_Вводные'!$B$117)+1)-'01_Вводные'!$B$118),0)</f>
        <v/>
      </c>
      <c r="G3683">
        <f>IF('01_Вводные'!$B$234="Да",MAX(0,MAX('01_Вводные'!$B$118,INT('19_Расчет_аналитики'!G3743/'01_Вводные'!$B$117)+1)-'01_Вводные'!$B$118),0)</f>
        <v/>
      </c>
      <c r="H3683">
        <f>IF('01_Вводные'!$B$234="Да",MAX(0,MAX('01_Вводные'!$B$118,INT('19_Расчет_аналитики'!H3743/'01_Вводные'!$B$117)+1)-'01_Вводные'!$B$118),0)</f>
        <v/>
      </c>
      <c r="I3683">
        <f>IF('01_Вводные'!$B$234="Да",MAX(0,MAX('01_Вводные'!$B$118,INT('19_Расчет_аналитики'!I3743/'01_Вводные'!$B$117)+1)-'01_Вводные'!$B$118),0)</f>
        <v/>
      </c>
      <c r="J3683">
        <f>IF('01_Вводные'!$B$234="Да",MAX(0,MAX('01_Вводные'!$B$118,INT('19_Расчет_аналитики'!J3743/'01_Вводные'!$B$117)+1)-'01_Вводные'!$B$118),0)</f>
        <v/>
      </c>
      <c r="K3683">
        <f>IF('01_Вводные'!$B$234="Да",MAX(0,MAX('01_Вводные'!$B$118,INT('19_Расчет_аналитики'!K3743/'01_Вводные'!$B$117)+1)-'01_Вводные'!$B$118),0)</f>
        <v/>
      </c>
      <c r="L3683">
        <f>IF('01_Вводные'!$B$234="Да",MAX(0,MAX('01_Вводные'!$B$118,INT('19_Расчет_аналитики'!L3743/'01_Вводные'!$B$117)+1)-'01_Вводные'!$B$118),0)</f>
        <v/>
      </c>
      <c r="M3683">
        <f>IF('01_Вводные'!$B$234="Да",MAX(0,MAX('01_Вводные'!$B$118,INT('19_Расчет_аналитики'!M3743/'01_Вводные'!$B$117)+1)-'01_Вводные'!$B$118),0)</f>
        <v/>
      </c>
      <c r="N3683">
        <f>IF('01_Вводные'!$B$234="Да",MAX(0,MAX('01_Вводные'!$B$118,INT('19_Расчет_аналитики'!N3743/'01_Вводные'!$B$117)+1)-'01_Вводные'!$B$118),0)</f>
        <v/>
      </c>
      <c r="O3683">
        <f>IF('01_Вводные'!$B$234="Да",MAX(0,MAX('01_Вводные'!$B$118,INT('19_Расчет_аналитики'!O3743/'01_Вводные'!$B$117)+1)-'01_Вводные'!$B$118),0)</f>
        <v/>
      </c>
      <c r="P3683">
        <f>IF('01_Вводные'!$B$234="Да",MAX(0,MAX('01_Вводные'!$B$118,INT('19_Расчет_аналитики'!P3743/'01_Вводные'!$B$117)+1)-'01_Вводные'!$B$118),0)</f>
        <v/>
      </c>
      <c r="Q3683">
        <f>IF('01_Вводные'!$B$234="Да",MAX(0,MAX('01_Вводные'!$B$118,INT('19_Расчет_аналитики'!Q3743/'01_Вводные'!$B$117)+1)-'01_Вводные'!$B$118),0)</f>
        <v/>
      </c>
      <c r="R3683">
        <f>IF('01_Вводные'!$B$234="Да",MAX(0,MAX('01_Вводные'!$B$118,INT('19_Расчет_аналитики'!R3743/'01_Вводные'!$B$117)+1)-'01_Вводные'!$B$118),0)</f>
        <v/>
      </c>
      <c r="S3683">
        <f>IF('01_Вводные'!$B$234="Да",MAX(0,MAX('01_Вводные'!$B$118,INT('19_Расчет_аналитики'!S3743/'01_Вводные'!$B$117)+1)-'01_Вводные'!$B$118),0)</f>
        <v/>
      </c>
      <c r="T3683">
        <f>IF('01_Вводные'!$B$234="Да",MAX(0,MAX('01_Вводные'!$B$118,INT('19_Расчет_аналитики'!T3743/'01_Вводные'!$B$117)+1)-'01_Вводные'!$B$118),0)</f>
        <v/>
      </c>
      <c r="U3683">
        <f>IF('01_Вводные'!$B$234="Да",MAX(0,MAX('01_Вводные'!$B$118,INT('19_Расчет_аналитики'!U3743/'01_Вводные'!$B$117)+1)-'01_Вводные'!$B$118),0)</f>
        <v/>
      </c>
      <c r="V3683">
        <f>IF('01_Вводные'!$B$234="Да",MAX(0,MAX('01_Вводные'!$B$118,INT('19_Расчет_аналитики'!V3743/'01_Вводные'!$B$117)+1)-'01_Вводные'!$B$118),0)</f>
        <v/>
      </c>
      <c r="W3683">
        <f>IF('01_Вводные'!$B$234="Да",MAX(0,MAX('01_Вводные'!$B$118,INT('19_Расчет_аналитики'!W3743/'01_Вводные'!$B$117)+1)-'01_Вводные'!$B$118),0)</f>
        <v/>
      </c>
      <c r="X3683">
        <f>IF('01_Вводные'!$B$234="Да",MAX(0,MAX('01_Вводные'!$B$118,INT('19_Расчет_аналитики'!X3743/'01_Вводные'!$B$117)+1)-'01_Вводные'!$B$118),0)</f>
        <v/>
      </c>
      <c r="Y3683">
        <f>IF('01_Вводные'!$B$234="Да",MAX(0,MAX('01_Вводные'!$B$118,INT('19_Расчет_аналитики'!Y3743/'01_Вводные'!$B$117)+1)-'01_Вводные'!$B$118),0)</f>
        <v/>
      </c>
      <c r="Z3683">
        <f>IF('01_Вводные'!$B$234="Да",MAX(0,MAX('01_Вводные'!$B$118,INT('19_Расчет_аналитики'!Z3743/'01_Вводные'!$B$117)+1)-'01_Вводные'!$B$118),0)</f>
        <v/>
      </c>
      <c r="AA3683">
        <f>IF('01_Вводные'!$B$234="Да",MAX(0,MAX('01_Вводные'!$B$118,INT('19_Расчет_аналитики'!AA3743/'01_Вводные'!$B$117)+1)-'01_Вводные'!$B$118),0)</f>
        <v/>
      </c>
      <c r="AB3683">
        <f>IF('01_Вводные'!$B$234="Да",MAX(0,MAX('01_Вводные'!$B$118,INT('19_Расчет_аналитики'!AB3743/'01_Вводные'!$B$117)+1)-'01_Вводные'!$B$118),0)</f>
        <v/>
      </c>
      <c r="AC3683">
        <f>IF('01_Вводные'!$B$234="Да",MAX(0,MAX('01_Вводные'!$B$118,INT('19_Расчет_аналитики'!AC3743/'01_Вводные'!$B$117)+1)-'01_Вводные'!$B$118),0)</f>
        <v/>
      </c>
      <c r="AD3683">
        <f>IF('01_Вводные'!$B$234="Да",MAX(0,MAX('01_Вводные'!$B$118,INT('19_Расчет_аналитики'!AD3743/'01_Вводные'!$B$117)+1)-'01_Вводные'!$B$118),0)</f>
        <v/>
      </c>
      <c r="AE3683">
        <f>IF('01_Вводные'!$B$234="Да",MAX(0,MAX('01_Вводные'!$B$118,INT('19_Расчет_аналитики'!AE3743/'01_Вводные'!$B$117)+1)-'01_Вводные'!$B$118),0)</f>
        <v/>
      </c>
      <c r="AF3683">
        <f>IF('01_Вводные'!$B$234="Да",MAX(0,MAX('01_Вводные'!$B$118,INT('19_Расчет_аналитики'!AF3743/'01_Вводные'!$B$117)+1)-'01_Вводные'!$B$118),0)</f>
        <v/>
      </c>
      <c r="AG3683">
        <f>IF('01_Вводные'!$B$234="Да",MAX(0,MAX('01_Вводные'!$B$118,INT('19_Расчет_аналитики'!AG3743/'01_Вводные'!$B$117)+1)-'01_Вводные'!$B$118),0)</f>
        <v/>
      </c>
      <c r="AH3683">
        <f>IF('01_Вводные'!$B$234="Да",MAX(0,MAX('01_Вводные'!$B$118,INT('19_Расчет_аналитики'!AH3743/'01_Вводные'!$B$117)+1)-'01_Вводные'!$B$118),0)</f>
        <v/>
      </c>
      <c r="AI3683">
        <f>IF('01_Вводные'!$B$234="Да",MAX(0,MAX('01_Вводные'!$B$118,INT('19_Расчет_аналитики'!AI3743/'01_Вводные'!$B$117)+1)-'01_Вводные'!$B$118),0)</f>
        <v/>
      </c>
      <c r="AJ3683">
        <f>IF('01_Вводные'!$B$234="Да",MAX(0,MAX('01_Вводные'!$B$118,INT('19_Расчет_аналитики'!AJ3743/'01_Вводные'!$B$117)+1)-'01_Вводные'!$B$118),0)</f>
        <v/>
      </c>
      <c r="AK3683">
        <f>IF('01_Вводные'!$B$234="Да",MAX(0,MAX('01_Вводные'!$B$118,INT('19_Расчет_аналитики'!AK3743/'01_Вводные'!$B$117)+1)-'01_Вводные'!$B$118),0)</f>
        <v/>
      </c>
      <c r="AL3683">
        <f>IF('01_Вводные'!$B$234="Да",MAX(0,MAX('01_Вводные'!$B$118,INT('19_Расчет_аналитики'!AL3743/'01_Вводные'!$B$117)+1)-'01_Вводные'!$B$118),0)</f>
        <v/>
      </c>
      <c r="AM3683">
        <f>IF('01_Вводные'!$B$234="Да",MAX(0,MAX('01_Вводные'!$B$118,INT('19_Расчет_аналитики'!AM3743/'01_Вводные'!$B$117)+1)-'01_Вводные'!$B$118),0)</f>
        <v/>
      </c>
      <c r="AN3683">
        <f>IF('01_Вводные'!$B$234="Да",MAX(0,MAX('01_Вводные'!$B$118,INT('19_Расчет_аналитики'!AN3743/'01_Вводные'!$B$117)+1)-'01_Вводные'!$B$118),0)</f>
        <v/>
      </c>
      <c r="AO3683">
        <f>IF('01_Вводные'!$B$234="Да",MAX(0,MAX('01_Вводные'!$B$118,INT('19_Расчет_аналитики'!AO3743/'01_Вводные'!$B$117)+1)-'01_Вводные'!$B$118),0)</f>
        <v/>
      </c>
      <c r="AP3683">
        <f>IF('01_Вводные'!$B$234="Да",MAX(0,MAX('01_Вводные'!$B$118,INT('19_Расчет_аналитики'!AP3743/'01_Вводные'!$B$117)+1)-'01_Вводные'!$B$118),0)</f>
        <v/>
      </c>
      <c r="AQ3683">
        <f>IF('01_Вводные'!$B$234="Да",MAX(0,MAX('01_Вводные'!$B$118,INT('19_Расчет_аналитики'!AQ3743/'01_Вводные'!$B$117)+1)-'01_Вводные'!$B$118),0)</f>
        <v/>
      </c>
      <c r="AR3683">
        <f>IF('01_Вводные'!$B$234="Да",MAX(0,MAX('01_Вводные'!$B$118,INT('19_Расчет_аналитики'!AR3743/'01_Вводные'!$B$117)+1)-'01_Вводные'!$B$118),0)</f>
        <v/>
      </c>
      <c r="AS3683">
        <f>IF('01_Вводные'!$B$234="Да",MAX(0,MAX('01_Вводные'!$B$118,INT('19_Расчет_аналитики'!AS3743/'01_Вводные'!$B$117)+1)-'01_Вводные'!$B$118),0)</f>
        <v/>
      </c>
      <c r="AT3683">
        <f>IF('01_Вводные'!$B$234="Да",MAX(0,MAX('01_Вводные'!$B$118,INT('19_Расчет_аналитики'!AT3743/'01_Вводные'!$B$117)+1)-'01_Вводные'!$B$118),0)</f>
        <v/>
      </c>
      <c r="AU3683">
        <f>IF('01_Вводные'!$B$234="Да",MAX(0,MAX('01_Вводные'!$B$118,INT('19_Расчет_аналитики'!AU3743/'01_Вводные'!$B$117)+1)-'01_Вводные'!$B$118),0)</f>
        <v/>
      </c>
      <c r="AV3683">
        <f>IF('01_Вводные'!$B$234="Да",MAX(0,MAX('01_Вводные'!$B$118,INT('19_Расчет_аналитики'!AV3743/'01_Вводные'!$B$117)+1)-'01_Вводные'!$B$118),0)</f>
        <v/>
      </c>
      <c r="AW3683">
        <f>IF('01_Вводные'!$B$234="Да",MAX(0,MAX('01_Вводные'!$B$118,INT('19_Расчет_аналитики'!AW3743/'01_Вводные'!$B$117)+1)-'01_Вводные'!$B$118),0)</f>
        <v/>
      </c>
      <c r="AX3683">
        <f>IF('01_Вводные'!$B$234="Да",MAX(0,MAX('01_Вводные'!$B$118,INT('19_Расчет_аналитики'!AX3743/'01_Вводные'!$B$117)+1)-'01_Вводные'!$B$118),0)</f>
        <v/>
      </c>
      <c r="AY3683">
        <f>IF('01_Вводные'!$B$234="Да",MAX(0,MAX('01_Вводные'!$B$118,INT('19_Расчет_аналитики'!AY3743/'01_Вводные'!$B$117)+1)-'01_Вводные'!$B$118),0)</f>
        <v/>
      </c>
      <c r="AZ3683">
        <f>IF('01_Вводные'!$B$234="Да",MAX(0,MAX('01_Вводные'!$B$118,INT('19_Расчет_аналитики'!AZ3743/'01_Вводные'!$B$117)+1)-'01_Вводные'!$B$118),0)</f>
        <v/>
      </c>
      <c r="BA3683">
        <f>IF('01_Вводные'!$B$234="Да",MAX(0,MAX('01_Вводные'!$B$118,INT('19_Расчет_аналитики'!BA3743/'01_Вводные'!$B$117)+1)-'01_Вводные'!$B$118),0)</f>
        <v/>
      </c>
      <c r="BB3683">
        <f>IF('01_Вводные'!$B$234="Да",MAX(0,MAX('01_Вводные'!$B$118,INT('19_Расчет_аналитики'!BB3743/'01_Вводные'!$B$117)+1)-'01_Вводные'!$B$118),0)</f>
        <v/>
      </c>
      <c r="BC3683">
        <f>IF('01_Вводные'!$B$234="Да",MAX(0,MAX('01_Вводные'!$B$118,INT('19_Расчет_аналитики'!BC3743/'01_Вводные'!$B$117)+1)-'01_Вводные'!$B$118),0)</f>
        <v/>
      </c>
      <c r="BD3683">
        <f>IF('01_Вводные'!$B$234="Да",MAX(0,MAX('01_Вводные'!$B$118,INT('19_Расчет_аналитики'!BD3743/'01_Вводные'!$B$117)+1)-'01_Вводные'!$B$118),0)</f>
        <v/>
      </c>
      <c r="BE3683">
        <f>IF('01_Вводные'!$B$234="Да",MAX(0,MAX('01_Вводные'!$B$118,INT('19_Расчет_аналитики'!BE3743/'01_Вводные'!$B$117)+1)-'01_Вводные'!$B$118),0)</f>
        <v/>
      </c>
      <c r="BF3683">
        <f>IF('01_Вводные'!$B$234="Да",MAX(0,MAX('01_Вводные'!$B$118,INT('19_Расчет_аналитики'!BF3743/'01_Вводные'!$B$117)+1)-'01_Вводные'!$B$118),0)</f>
        <v/>
      </c>
      <c r="BG3683">
        <f>IF('01_Вводные'!$B$234="Да",MAX(0,MAX('01_Вводные'!$B$118,INT('19_Расчет_аналитики'!BG3743/'01_Вводные'!$B$117)+1)-'01_Вводные'!$B$118),0)</f>
        <v/>
      </c>
      <c r="BH3683">
        <f>IF('01_Вводные'!$B$234="Да",MAX(0,MAX('01_Вводные'!$B$118,INT('19_Расчет_аналитики'!BH3743/'01_Вводные'!$B$117)+1)-'01_Вводные'!$B$118),0)</f>
        <v/>
      </c>
      <c r="BI3683">
        <f>IF('01_Вводные'!$B$234="Да",MAX(0,MAX('01_Вводные'!$B$118,INT('19_Расчет_аналитики'!BI3743/'01_Вводные'!$B$117)+1)-'01_Вводные'!$B$118),0)</f>
        <v/>
      </c>
    </row>
    <row r="3684">
      <c r="C3684">
        <f>IF('01_Вводные'!$B$234="Да",'19_Расчет_аналитики'!C3683*'01_Вводные'!$B$119*'08_ФОТ'!C5,0)</f>
        <v/>
      </c>
      <c r="D3684">
        <f>IF('01_Вводные'!$B$234="Да",'19_Расчет_аналитики'!D3683*'01_Вводные'!$B$119*'08_ФОТ'!D5,0)</f>
        <v/>
      </c>
      <c r="E3684">
        <f>IF('01_Вводные'!$B$234="Да",'19_Расчет_аналитики'!E3683*'01_Вводные'!$B$119*'08_ФОТ'!E5,0)</f>
        <v/>
      </c>
      <c r="F3684">
        <f>IF('01_Вводные'!$B$234="Да",'19_Расчет_аналитики'!F3683*'01_Вводные'!$B$119*'08_ФОТ'!F5,0)</f>
        <v/>
      </c>
      <c r="G3684">
        <f>IF('01_Вводные'!$B$234="Да",'19_Расчет_аналитики'!G3683*'01_Вводные'!$B$119*'08_ФОТ'!G5,0)</f>
        <v/>
      </c>
      <c r="H3684">
        <f>IF('01_Вводные'!$B$234="Да",'19_Расчет_аналитики'!H3683*'01_Вводные'!$B$119*'08_ФОТ'!H5,0)</f>
        <v/>
      </c>
      <c r="I3684">
        <f>IF('01_Вводные'!$B$234="Да",'19_Расчет_аналитики'!I3683*'01_Вводные'!$B$119*'08_ФОТ'!I5,0)</f>
        <v/>
      </c>
      <c r="J3684">
        <f>IF('01_Вводные'!$B$234="Да",'19_Расчет_аналитики'!J3683*'01_Вводные'!$B$119*'08_ФОТ'!J5,0)</f>
        <v/>
      </c>
      <c r="K3684">
        <f>IF('01_Вводные'!$B$234="Да",'19_Расчет_аналитики'!K3683*'01_Вводные'!$B$119*'08_ФОТ'!K5,0)</f>
        <v/>
      </c>
      <c r="L3684">
        <f>IF('01_Вводные'!$B$234="Да",'19_Расчет_аналитики'!L3683*'01_Вводные'!$B$119*'08_ФОТ'!L5,0)</f>
        <v/>
      </c>
      <c r="M3684">
        <f>IF('01_Вводные'!$B$234="Да",'19_Расчет_аналитики'!M3683*'01_Вводные'!$B$119*'08_ФОТ'!M5,0)</f>
        <v/>
      </c>
      <c r="N3684">
        <f>IF('01_Вводные'!$B$234="Да",'19_Расчет_аналитики'!N3683*'01_Вводные'!$B$119*'08_ФОТ'!N5,0)</f>
        <v/>
      </c>
      <c r="O3684">
        <f>IF('01_Вводные'!$B$234="Да",'19_Расчет_аналитики'!O3683*'01_Вводные'!$B$119*'08_ФОТ'!O5,0)</f>
        <v/>
      </c>
      <c r="P3684">
        <f>IF('01_Вводные'!$B$234="Да",'19_Расчет_аналитики'!P3683*'01_Вводные'!$B$119*'08_ФОТ'!P5,0)</f>
        <v/>
      </c>
      <c r="Q3684">
        <f>IF('01_Вводные'!$B$234="Да",'19_Расчет_аналитики'!Q3683*'01_Вводные'!$B$119*'08_ФОТ'!Q5,0)</f>
        <v/>
      </c>
      <c r="R3684">
        <f>IF('01_Вводные'!$B$234="Да",'19_Расчет_аналитики'!R3683*'01_Вводные'!$B$119*'08_ФОТ'!R5,0)</f>
        <v/>
      </c>
      <c r="S3684">
        <f>IF('01_Вводные'!$B$234="Да",'19_Расчет_аналитики'!S3683*'01_Вводные'!$B$119*'08_ФОТ'!S5,0)</f>
        <v/>
      </c>
      <c r="T3684">
        <f>IF('01_Вводные'!$B$234="Да",'19_Расчет_аналитики'!T3683*'01_Вводные'!$B$119*'08_ФОТ'!T5,0)</f>
        <v/>
      </c>
      <c r="U3684">
        <f>IF('01_Вводные'!$B$234="Да",'19_Расчет_аналитики'!U3683*'01_Вводные'!$B$119*'08_ФОТ'!U5,0)</f>
        <v/>
      </c>
      <c r="V3684">
        <f>IF('01_Вводные'!$B$234="Да",'19_Расчет_аналитики'!V3683*'01_Вводные'!$B$119*'08_ФОТ'!V5,0)</f>
        <v/>
      </c>
      <c r="W3684">
        <f>IF('01_Вводные'!$B$234="Да",'19_Расчет_аналитики'!W3683*'01_Вводные'!$B$119*'08_ФОТ'!W5,0)</f>
        <v/>
      </c>
      <c r="X3684">
        <f>IF('01_Вводные'!$B$234="Да",'19_Расчет_аналитики'!X3683*'01_Вводные'!$B$119*'08_ФОТ'!X5,0)</f>
        <v/>
      </c>
      <c r="Y3684">
        <f>IF('01_Вводные'!$B$234="Да",'19_Расчет_аналитики'!Y3683*'01_Вводные'!$B$119*'08_ФОТ'!Y5,0)</f>
        <v/>
      </c>
      <c r="Z3684">
        <f>IF('01_Вводные'!$B$234="Да",'19_Расчет_аналитики'!Z3683*'01_Вводные'!$B$119*'08_ФОТ'!Z5,0)</f>
        <v/>
      </c>
      <c r="AA3684">
        <f>IF('01_Вводные'!$B$234="Да",'19_Расчет_аналитики'!AA3683*'01_Вводные'!$B$119*'08_ФОТ'!AA5,0)</f>
        <v/>
      </c>
      <c r="AB3684">
        <f>IF('01_Вводные'!$B$234="Да",'19_Расчет_аналитики'!AB3683*'01_Вводные'!$B$119*'08_ФОТ'!AB5,0)</f>
        <v/>
      </c>
      <c r="AC3684">
        <f>IF('01_Вводные'!$B$234="Да",'19_Расчет_аналитики'!AC3683*'01_Вводные'!$B$119*'08_ФОТ'!AC5,0)</f>
        <v/>
      </c>
      <c r="AD3684">
        <f>IF('01_Вводные'!$B$234="Да",'19_Расчет_аналитики'!AD3683*'01_Вводные'!$B$119*'08_ФОТ'!AD5,0)</f>
        <v/>
      </c>
      <c r="AE3684">
        <f>IF('01_Вводные'!$B$234="Да",'19_Расчет_аналитики'!AE3683*'01_Вводные'!$B$119*'08_ФОТ'!AE5,0)</f>
        <v/>
      </c>
      <c r="AF3684">
        <f>IF('01_Вводные'!$B$234="Да",'19_Расчет_аналитики'!AF3683*'01_Вводные'!$B$119*'08_ФОТ'!AF5,0)</f>
        <v/>
      </c>
      <c r="AG3684">
        <f>IF('01_Вводные'!$B$234="Да",'19_Расчет_аналитики'!AG3683*'01_Вводные'!$B$119*'08_ФОТ'!AG5,0)</f>
        <v/>
      </c>
      <c r="AH3684">
        <f>IF('01_Вводные'!$B$234="Да",'19_Расчет_аналитики'!AH3683*'01_Вводные'!$B$119*'08_ФОТ'!AH5,0)</f>
        <v/>
      </c>
      <c r="AI3684">
        <f>IF('01_Вводные'!$B$234="Да",'19_Расчет_аналитики'!AI3683*'01_Вводные'!$B$119*'08_ФОТ'!AI5,0)</f>
        <v/>
      </c>
      <c r="AJ3684">
        <f>IF('01_Вводные'!$B$234="Да",'19_Расчет_аналитики'!AJ3683*'01_Вводные'!$B$119*'08_ФОТ'!AJ5,0)</f>
        <v/>
      </c>
      <c r="AK3684">
        <f>IF('01_Вводные'!$B$234="Да",'19_Расчет_аналитики'!AK3683*'01_Вводные'!$B$119*'08_ФОТ'!AK5,0)</f>
        <v/>
      </c>
      <c r="AL3684">
        <f>IF('01_Вводные'!$B$234="Да",'19_Расчет_аналитики'!AL3683*'01_Вводные'!$B$119*'08_ФОТ'!AL5,0)</f>
        <v/>
      </c>
      <c r="AM3684">
        <f>IF('01_Вводные'!$B$234="Да",'19_Расчет_аналитики'!AM3683*'01_Вводные'!$B$119*'08_ФОТ'!AM5,0)</f>
        <v/>
      </c>
      <c r="AN3684">
        <f>IF('01_Вводные'!$B$234="Да",'19_Расчет_аналитики'!AN3683*'01_Вводные'!$B$119*'08_ФОТ'!AN5,0)</f>
        <v/>
      </c>
      <c r="AO3684">
        <f>IF('01_Вводные'!$B$234="Да",'19_Расчет_аналитики'!AO3683*'01_Вводные'!$B$119*'08_ФОТ'!AO5,0)</f>
        <v/>
      </c>
      <c r="AP3684">
        <f>IF('01_Вводные'!$B$234="Да",'19_Расчет_аналитики'!AP3683*'01_Вводные'!$B$119*'08_ФОТ'!AP5,0)</f>
        <v/>
      </c>
      <c r="AQ3684">
        <f>IF('01_Вводные'!$B$234="Да",'19_Расчет_аналитики'!AQ3683*'01_Вводные'!$B$119*'08_ФОТ'!AQ5,0)</f>
        <v/>
      </c>
      <c r="AR3684">
        <f>IF('01_Вводные'!$B$234="Да",'19_Расчет_аналитики'!AR3683*'01_Вводные'!$B$119*'08_ФОТ'!AR5,0)</f>
        <v/>
      </c>
      <c r="AS3684">
        <f>IF('01_Вводные'!$B$234="Да",'19_Расчет_аналитики'!AS3683*'01_Вводные'!$B$119*'08_ФОТ'!AS5,0)</f>
        <v/>
      </c>
      <c r="AT3684">
        <f>IF('01_Вводные'!$B$234="Да",'19_Расчет_аналитики'!AT3683*'01_Вводные'!$B$119*'08_ФОТ'!AT5,0)</f>
        <v/>
      </c>
      <c r="AU3684">
        <f>IF('01_Вводные'!$B$234="Да",'19_Расчет_аналитики'!AU3683*'01_Вводные'!$B$119*'08_ФОТ'!AU5,0)</f>
        <v/>
      </c>
      <c r="AV3684">
        <f>IF('01_Вводные'!$B$234="Да",'19_Расчет_аналитики'!AV3683*'01_Вводные'!$B$119*'08_ФОТ'!AV5,0)</f>
        <v/>
      </c>
      <c r="AW3684">
        <f>IF('01_Вводные'!$B$234="Да",'19_Расчет_аналитики'!AW3683*'01_Вводные'!$B$119*'08_ФОТ'!AW5,0)</f>
        <v/>
      </c>
      <c r="AX3684">
        <f>IF('01_Вводные'!$B$234="Да",'19_Расчет_аналитики'!AX3683*'01_Вводные'!$B$119*'08_ФОТ'!AX5,0)</f>
        <v/>
      </c>
      <c r="AY3684">
        <f>IF('01_Вводные'!$B$234="Да",'19_Расчет_аналитики'!AY3683*'01_Вводные'!$B$119*'08_ФОТ'!AY5,0)</f>
        <v/>
      </c>
      <c r="AZ3684">
        <f>IF('01_Вводные'!$B$234="Да",'19_Расчет_аналитики'!AZ3683*'01_Вводные'!$B$119*'08_ФОТ'!AZ5,0)</f>
        <v/>
      </c>
      <c r="BA3684">
        <f>IF('01_Вводные'!$B$234="Да",'19_Расчет_аналитики'!BA3683*'01_Вводные'!$B$119*'08_ФОТ'!BA5,0)</f>
        <v/>
      </c>
      <c r="BB3684">
        <f>IF('01_Вводные'!$B$234="Да",'19_Расчет_аналитики'!BB3683*'01_Вводные'!$B$119*'08_ФОТ'!BB5,0)</f>
        <v/>
      </c>
      <c r="BC3684">
        <f>IF('01_Вводные'!$B$234="Да",'19_Расчет_аналитики'!BC3683*'01_Вводные'!$B$119*'08_ФОТ'!BC5,0)</f>
        <v/>
      </c>
      <c r="BD3684">
        <f>IF('01_Вводные'!$B$234="Да",'19_Расчет_аналитики'!BD3683*'01_Вводные'!$B$119*'08_ФОТ'!BD5,0)</f>
        <v/>
      </c>
      <c r="BE3684">
        <f>IF('01_Вводные'!$B$234="Да",'19_Расчет_аналитики'!BE3683*'01_Вводные'!$B$119*'08_ФОТ'!BE5,0)</f>
        <v/>
      </c>
      <c r="BF3684">
        <f>IF('01_Вводные'!$B$234="Да",'19_Расчет_аналитики'!BF3683*'01_Вводные'!$B$119*'08_ФОТ'!BF5,0)</f>
        <v/>
      </c>
      <c r="BG3684">
        <f>IF('01_Вводные'!$B$234="Да",'19_Расчет_аналитики'!BG3683*'01_Вводные'!$B$119*'08_ФОТ'!BG5,0)</f>
        <v/>
      </c>
      <c r="BH3684">
        <f>IF('01_Вводные'!$B$234="Да",'19_Расчет_аналитики'!BH3683*'01_Вводные'!$B$119*'08_ФОТ'!BH5,0)</f>
        <v/>
      </c>
      <c r="BI3684">
        <f>IF('01_Вводные'!$B$234="Да",'19_Расчет_аналитики'!BI3683*'01_Вводные'!$B$119*'08_ФОТ'!BI5,0)</f>
        <v/>
      </c>
    </row>
    <row r="3685">
      <c r="C3685">
        <f>IF('01_Вводные'!$B$234="Да",SUM('08_ФОТ'!C7:C9,'19_Расчет_аналитики'!C3684),0)</f>
        <v/>
      </c>
      <c r="D3685">
        <f>IF('01_Вводные'!$B$234="Да",SUM('08_ФОТ'!D7:D9,'19_Расчет_аналитики'!D3684),0)</f>
        <v/>
      </c>
      <c r="E3685">
        <f>IF('01_Вводные'!$B$234="Да",SUM('08_ФОТ'!E7:E9,'19_Расчет_аналитики'!E3684),0)</f>
        <v/>
      </c>
      <c r="F3685">
        <f>IF('01_Вводные'!$B$234="Да",SUM('08_ФОТ'!F7:F9,'19_Расчет_аналитики'!F3684),0)</f>
        <v/>
      </c>
      <c r="G3685">
        <f>IF('01_Вводные'!$B$234="Да",SUM('08_ФОТ'!G7:G9,'19_Расчет_аналитики'!G3684),0)</f>
        <v/>
      </c>
      <c r="H3685">
        <f>IF('01_Вводные'!$B$234="Да",SUM('08_ФОТ'!H7:H9,'19_Расчет_аналитики'!H3684),0)</f>
        <v/>
      </c>
      <c r="I3685">
        <f>IF('01_Вводные'!$B$234="Да",SUM('08_ФОТ'!I7:I9,'19_Расчет_аналитики'!I3684),0)</f>
        <v/>
      </c>
      <c r="J3685">
        <f>IF('01_Вводные'!$B$234="Да",SUM('08_ФОТ'!J7:J9,'19_Расчет_аналитики'!J3684),0)</f>
        <v/>
      </c>
      <c r="K3685">
        <f>IF('01_Вводные'!$B$234="Да",SUM('08_ФОТ'!K7:K9,'19_Расчет_аналитики'!K3684),0)</f>
        <v/>
      </c>
      <c r="L3685">
        <f>IF('01_Вводные'!$B$234="Да",SUM('08_ФОТ'!L7:L9,'19_Расчет_аналитики'!L3684),0)</f>
        <v/>
      </c>
      <c r="M3685">
        <f>IF('01_Вводные'!$B$234="Да",SUM('08_ФОТ'!M7:M9,'19_Расчет_аналитики'!M3684),0)</f>
        <v/>
      </c>
      <c r="N3685">
        <f>IF('01_Вводные'!$B$234="Да",SUM('08_ФОТ'!N7:N9,'19_Расчет_аналитики'!N3684),0)</f>
        <v/>
      </c>
      <c r="O3685">
        <f>IF('01_Вводные'!$B$234="Да",SUM('08_ФОТ'!O7:O9,'19_Расчет_аналитики'!O3684),0)</f>
        <v/>
      </c>
      <c r="P3685">
        <f>IF('01_Вводные'!$B$234="Да",SUM('08_ФОТ'!P7:P9,'19_Расчет_аналитики'!P3684),0)</f>
        <v/>
      </c>
      <c r="Q3685">
        <f>IF('01_Вводные'!$B$234="Да",SUM('08_ФОТ'!Q7:Q9,'19_Расчет_аналитики'!Q3684),0)</f>
        <v/>
      </c>
      <c r="R3685">
        <f>IF('01_Вводные'!$B$234="Да",SUM('08_ФОТ'!R7:R9,'19_Расчет_аналитики'!R3684),0)</f>
        <v/>
      </c>
      <c r="S3685">
        <f>IF('01_Вводные'!$B$234="Да",SUM('08_ФОТ'!S7:S9,'19_Расчет_аналитики'!S3684),0)</f>
        <v/>
      </c>
      <c r="T3685">
        <f>IF('01_Вводные'!$B$234="Да",SUM('08_ФОТ'!T7:T9,'19_Расчет_аналитики'!T3684),0)</f>
        <v/>
      </c>
      <c r="U3685">
        <f>IF('01_Вводные'!$B$234="Да",SUM('08_ФОТ'!U7:U9,'19_Расчет_аналитики'!U3684),0)</f>
        <v/>
      </c>
      <c r="V3685">
        <f>IF('01_Вводные'!$B$234="Да",SUM('08_ФОТ'!V7:V9,'19_Расчет_аналитики'!V3684),0)</f>
        <v/>
      </c>
      <c r="W3685">
        <f>IF('01_Вводные'!$B$234="Да",SUM('08_ФОТ'!W7:W9,'19_Расчет_аналитики'!W3684),0)</f>
        <v/>
      </c>
      <c r="X3685">
        <f>IF('01_Вводные'!$B$234="Да",SUM('08_ФОТ'!X7:X9,'19_Расчет_аналитики'!X3684),0)</f>
        <v/>
      </c>
      <c r="Y3685">
        <f>IF('01_Вводные'!$B$234="Да",SUM('08_ФОТ'!Y7:Y9,'19_Расчет_аналитики'!Y3684),0)</f>
        <v/>
      </c>
      <c r="Z3685">
        <f>IF('01_Вводные'!$B$234="Да",SUM('08_ФОТ'!Z7:Z9,'19_Расчет_аналитики'!Z3684),0)</f>
        <v/>
      </c>
      <c r="AA3685">
        <f>IF('01_Вводные'!$B$234="Да",SUM('08_ФОТ'!AA7:AA9,'19_Расчет_аналитики'!AA3684),0)</f>
        <v/>
      </c>
      <c r="AB3685">
        <f>IF('01_Вводные'!$B$234="Да",SUM('08_ФОТ'!AB7:AB9,'19_Расчет_аналитики'!AB3684),0)</f>
        <v/>
      </c>
      <c r="AC3685">
        <f>IF('01_Вводные'!$B$234="Да",SUM('08_ФОТ'!AC7:AC9,'19_Расчет_аналитики'!AC3684),0)</f>
        <v/>
      </c>
      <c r="AD3685">
        <f>IF('01_Вводные'!$B$234="Да",SUM('08_ФОТ'!AD7:AD9,'19_Расчет_аналитики'!AD3684),0)</f>
        <v/>
      </c>
      <c r="AE3685">
        <f>IF('01_Вводные'!$B$234="Да",SUM('08_ФОТ'!AE7:AE9,'19_Расчет_аналитики'!AE3684),0)</f>
        <v/>
      </c>
      <c r="AF3685">
        <f>IF('01_Вводные'!$B$234="Да",SUM('08_ФОТ'!AF7:AF9,'19_Расчет_аналитики'!AF3684),0)</f>
        <v/>
      </c>
      <c r="AG3685">
        <f>IF('01_Вводные'!$B$234="Да",SUM('08_ФОТ'!AG7:AG9,'19_Расчет_аналитики'!AG3684),0)</f>
        <v/>
      </c>
      <c r="AH3685">
        <f>IF('01_Вводные'!$B$234="Да",SUM('08_ФОТ'!AH7:AH9,'19_Расчет_аналитики'!AH3684),0)</f>
        <v/>
      </c>
      <c r="AI3685">
        <f>IF('01_Вводные'!$B$234="Да",SUM('08_ФОТ'!AI7:AI9,'19_Расчет_аналитики'!AI3684),0)</f>
        <v/>
      </c>
      <c r="AJ3685">
        <f>IF('01_Вводные'!$B$234="Да",SUM('08_ФОТ'!AJ7:AJ9,'19_Расчет_аналитики'!AJ3684),0)</f>
        <v/>
      </c>
      <c r="AK3685">
        <f>IF('01_Вводные'!$B$234="Да",SUM('08_ФОТ'!AK7:AK9,'19_Расчет_аналитики'!AK3684),0)</f>
        <v/>
      </c>
      <c r="AL3685">
        <f>IF('01_Вводные'!$B$234="Да",SUM('08_ФОТ'!AL7:AL9,'19_Расчет_аналитики'!AL3684),0)</f>
        <v/>
      </c>
      <c r="AM3685">
        <f>IF('01_Вводные'!$B$234="Да",SUM('08_ФОТ'!AM7:AM9,'19_Расчет_аналитики'!AM3684),0)</f>
        <v/>
      </c>
      <c r="AN3685">
        <f>IF('01_Вводные'!$B$234="Да",SUM('08_ФОТ'!AN7:AN9,'19_Расчет_аналитики'!AN3684),0)</f>
        <v/>
      </c>
      <c r="AO3685">
        <f>IF('01_Вводные'!$B$234="Да",SUM('08_ФОТ'!AO7:AO9,'19_Расчет_аналитики'!AO3684),0)</f>
        <v/>
      </c>
      <c r="AP3685">
        <f>IF('01_Вводные'!$B$234="Да",SUM('08_ФОТ'!AP7:AP9,'19_Расчет_аналитики'!AP3684),0)</f>
        <v/>
      </c>
      <c r="AQ3685">
        <f>IF('01_Вводные'!$B$234="Да",SUM('08_ФОТ'!AQ7:AQ9,'19_Расчет_аналитики'!AQ3684),0)</f>
        <v/>
      </c>
      <c r="AR3685">
        <f>IF('01_Вводные'!$B$234="Да",SUM('08_ФОТ'!AR7:AR9,'19_Расчет_аналитики'!AR3684),0)</f>
        <v/>
      </c>
      <c r="AS3685">
        <f>IF('01_Вводные'!$B$234="Да",SUM('08_ФОТ'!AS7:AS9,'19_Расчет_аналитики'!AS3684),0)</f>
        <v/>
      </c>
      <c r="AT3685">
        <f>IF('01_Вводные'!$B$234="Да",SUM('08_ФОТ'!AT7:AT9,'19_Расчет_аналитики'!AT3684),0)</f>
        <v/>
      </c>
      <c r="AU3685">
        <f>IF('01_Вводные'!$B$234="Да",SUM('08_ФОТ'!AU7:AU9,'19_Расчет_аналитики'!AU3684),0)</f>
        <v/>
      </c>
      <c r="AV3685">
        <f>IF('01_Вводные'!$B$234="Да",SUM('08_ФОТ'!AV7:AV9,'19_Расчет_аналитики'!AV3684),0)</f>
        <v/>
      </c>
      <c r="AW3685">
        <f>IF('01_Вводные'!$B$234="Да",SUM('08_ФОТ'!AW7:AW9,'19_Расчет_аналитики'!AW3684),0)</f>
        <v/>
      </c>
      <c r="AX3685">
        <f>IF('01_Вводные'!$B$234="Да",SUM('08_ФОТ'!AX7:AX9,'19_Расчет_аналитики'!AX3684),0)</f>
        <v/>
      </c>
      <c r="AY3685">
        <f>IF('01_Вводные'!$B$234="Да",SUM('08_ФОТ'!AY7:AY9,'19_Расчет_аналитики'!AY3684),0)</f>
        <v/>
      </c>
      <c r="AZ3685">
        <f>IF('01_Вводные'!$B$234="Да",SUM('08_ФОТ'!AZ7:AZ9,'19_Расчет_аналитики'!AZ3684),0)</f>
        <v/>
      </c>
      <c r="BA3685">
        <f>IF('01_Вводные'!$B$234="Да",SUM('08_ФОТ'!BA7:BA9,'19_Расчет_аналитики'!BA3684),0)</f>
        <v/>
      </c>
      <c r="BB3685">
        <f>IF('01_Вводные'!$B$234="Да",SUM('08_ФОТ'!BB7:BB9,'19_Расчет_аналитики'!BB3684),0)</f>
        <v/>
      </c>
      <c r="BC3685">
        <f>IF('01_Вводные'!$B$234="Да",SUM('08_ФОТ'!BC7:BC9,'19_Расчет_аналитики'!BC3684),0)</f>
        <v/>
      </c>
      <c r="BD3685">
        <f>IF('01_Вводные'!$B$234="Да",SUM('08_ФОТ'!BD7:BD9,'19_Расчет_аналитики'!BD3684),0)</f>
        <v/>
      </c>
      <c r="BE3685">
        <f>IF('01_Вводные'!$B$234="Да",SUM('08_ФОТ'!BE7:BE9,'19_Расчет_аналитики'!BE3684),0)</f>
        <v/>
      </c>
      <c r="BF3685">
        <f>IF('01_Вводные'!$B$234="Да",SUM('08_ФОТ'!BF7:BF9,'19_Расчет_аналитики'!BF3684),0)</f>
        <v/>
      </c>
      <c r="BG3685">
        <f>IF('01_Вводные'!$B$234="Да",SUM('08_ФОТ'!BG7:BG9,'19_Расчет_аналитики'!BG3684),0)</f>
        <v/>
      </c>
      <c r="BH3685">
        <f>IF('01_Вводные'!$B$234="Да",SUM('08_ФОТ'!BH7:BH9,'19_Расчет_аналитики'!BH3684),0)</f>
        <v/>
      </c>
      <c r="BI3685">
        <f>IF('01_Вводные'!$B$234="Да",SUM('08_ФОТ'!BI7:BI9,'19_Расчет_аналитики'!BI3684),0)</f>
        <v/>
      </c>
    </row>
    <row r="3686">
      <c r="C3686">
        <f>IF('01_Вводные'!$B$234="Да",'19_Расчет_аналитики'!C3685*'01_Вводные'!$B$131,0)</f>
        <v/>
      </c>
      <c r="D3686">
        <f>IF('01_Вводные'!$B$234="Да",'19_Расчет_аналитики'!D3685*'01_Вводные'!$B$131,0)</f>
        <v/>
      </c>
      <c r="E3686">
        <f>IF('01_Вводные'!$B$234="Да",'19_Расчет_аналитики'!E3685*'01_Вводные'!$B$131,0)</f>
        <v/>
      </c>
      <c r="F3686">
        <f>IF('01_Вводные'!$B$234="Да",'19_Расчет_аналитики'!F3685*'01_Вводные'!$B$131,0)</f>
        <v/>
      </c>
      <c r="G3686">
        <f>IF('01_Вводные'!$B$234="Да",'19_Расчет_аналитики'!G3685*'01_Вводные'!$B$131,0)</f>
        <v/>
      </c>
      <c r="H3686">
        <f>IF('01_Вводные'!$B$234="Да",'19_Расчет_аналитики'!H3685*'01_Вводные'!$B$131,0)</f>
        <v/>
      </c>
      <c r="I3686">
        <f>IF('01_Вводные'!$B$234="Да",'19_Расчет_аналитики'!I3685*'01_Вводные'!$B$131,0)</f>
        <v/>
      </c>
      <c r="J3686">
        <f>IF('01_Вводные'!$B$234="Да",'19_Расчет_аналитики'!J3685*'01_Вводные'!$B$131,0)</f>
        <v/>
      </c>
      <c r="K3686">
        <f>IF('01_Вводные'!$B$234="Да",'19_Расчет_аналитики'!K3685*'01_Вводные'!$B$131,0)</f>
        <v/>
      </c>
      <c r="L3686">
        <f>IF('01_Вводные'!$B$234="Да",'19_Расчет_аналитики'!L3685*'01_Вводные'!$B$131,0)</f>
        <v/>
      </c>
      <c r="M3686">
        <f>IF('01_Вводные'!$B$234="Да",'19_Расчет_аналитики'!M3685*'01_Вводные'!$B$131,0)</f>
        <v/>
      </c>
      <c r="N3686">
        <f>IF('01_Вводные'!$B$234="Да",'19_Расчет_аналитики'!N3685*'01_Вводные'!$B$131,0)</f>
        <v/>
      </c>
      <c r="O3686">
        <f>IF('01_Вводные'!$B$234="Да",'19_Расчет_аналитики'!O3685*'01_Вводные'!$B$131,0)</f>
        <v/>
      </c>
      <c r="P3686">
        <f>IF('01_Вводные'!$B$234="Да",'19_Расчет_аналитики'!P3685*'01_Вводные'!$B$131,0)</f>
        <v/>
      </c>
      <c r="Q3686">
        <f>IF('01_Вводные'!$B$234="Да",'19_Расчет_аналитики'!Q3685*'01_Вводные'!$B$131,0)</f>
        <v/>
      </c>
      <c r="R3686">
        <f>IF('01_Вводные'!$B$234="Да",'19_Расчет_аналитики'!R3685*'01_Вводные'!$B$131,0)</f>
        <v/>
      </c>
      <c r="S3686">
        <f>IF('01_Вводные'!$B$234="Да",'19_Расчет_аналитики'!S3685*'01_Вводные'!$B$131,0)</f>
        <v/>
      </c>
      <c r="T3686">
        <f>IF('01_Вводные'!$B$234="Да",'19_Расчет_аналитики'!T3685*'01_Вводные'!$B$131,0)</f>
        <v/>
      </c>
      <c r="U3686">
        <f>IF('01_Вводные'!$B$234="Да",'19_Расчет_аналитики'!U3685*'01_Вводные'!$B$131,0)</f>
        <v/>
      </c>
      <c r="V3686">
        <f>IF('01_Вводные'!$B$234="Да",'19_Расчет_аналитики'!V3685*'01_Вводные'!$B$131,0)</f>
        <v/>
      </c>
      <c r="W3686">
        <f>IF('01_Вводные'!$B$234="Да",'19_Расчет_аналитики'!W3685*'01_Вводные'!$B$131,0)</f>
        <v/>
      </c>
      <c r="X3686">
        <f>IF('01_Вводные'!$B$234="Да",'19_Расчет_аналитики'!X3685*'01_Вводные'!$B$131,0)</f>
        <v/>
      </c>
      <c r="Y3686">
        <f>IF('01_Вводные'!$B$234="Да",'19_Расчет_аналитики'!Y3685*'01_Вводные'!$B$131,0)</f>
        <v/>
      </c>
      <c r="Z3686">
        <f>IF('01_Вводные'!$B$234="Да",'19_Расчет_аналитики'!Z3685*'01_Вводные'!$B$131,0)</f>
        <v/>
      </c>
      <c r="AA3686">
        <f>IF('01_Вводные'!$B$234="Да",'19_Расчет_аналитики'!AA3685*'01_Вводные'!$B$131,0)</f>
        <v/>
      </c>
      <c r="AB3686">
        <f>IF('01_Вводные'!$B$234="Да",'19_Расчет_аналитики'!AB3685*'01_Вводные'!$B$131,0)</f>
        <v/>
      </c>
      <c r="AC3686">
        <f>IF('01_Вводные'!$B$234="Да",'19_Расчет_аналитики'!AC3685*'01_Вводные'!$B$131,0)</f>
        <v/>
      </c>
      <c r="AD3686">
        <f>IF('01_Вводные'!$B$234="Да",'19_Расчет_аналитики'!AD3685*'01_Вводные'!$B$131,0)</f>
        <v/>
      </c>
      <c r="AE3686">
        <f>IF('01_Вводные'!$B$234="Да",'19_Расчет_аналитики'!AE3685*'01_Вводные'!$B$131,0)</f>
        <v/>
      </c>
      <c r="AF3686">
        <f>IF('01_Вводные'!$B$234="Да",'19_Расчет_аналитики'!AF3685*'01_Вводные'!$B$131,0)</f>
        <v/>
      </c>
      <c r="AG3686">
        <f>IF('01_Вводные'!$B$234="Да",'19_Расчет_аналитики'!AG3685*'01_Вводные'!$B$131,0)</f>
        <v/>
      </c>
      <c r="AH3686">
        <f>IF('01_Вводные'!$B$234="Да",'19_Расчет_аналитики'!AH3685*'01_Вводные'!$B$131,0)</f>
        <v/>
      </c>
      <c r="AI3686">
        <f>IF('01_Вводные'!$B$234="Да",'19_Расчет_аналитики'!AI3685*'01_Вводные'!$B$131,0)</f>
        <v/>
      </c>
      <c r="AJ3686">
        <f>IF('01_Вводные'!$B$234="Да",'19_Расчет_аналитики'!AJ3685*'01_Вводные'!$B$131,0)</f>
        <v/>
      </c>
      <c r="AK3686">
        <f>IF('01_Вводные'!$B$234="Да",'19_Расчет_аналитики'!AK3685*'01_Вводные'!$B$131,0)</f>
        <v/>
      </c>
      <c r="AL3686">
        <f>IF('01_Вводные'!$B$234="Да",'19_Расчет_аналитики'!AL3685*'01_Вводные'!$B$131,0)</f>
        <v/>
      </c>
      <c r="AM3686">
        <f>IF('01_Вводные'!$B$234="Да",'19_Расчет_аналитики'!AM3685*'01_Вводные'!$B$131,0)</f>
        <v/>
      </c>
      <c r="AN3686">
        <f>IF('01_Вводные'!$B$234="Да",'19_Расчет_аналитики'!AN3685*'01_Вводные'!$B$131,0)</f>
        <v/>
      </c>
      <c r="AO3686">
        <f>IF('01_Вводные'!$B$234="Да",'19_Расчет_аналитики'!AO3685*'01_Вводные'!$B$131,0)</f>
        <v/>
      </c>
      <c r="AP3686">
        <f>IF('01_Вводные'!$B$234="Да",'19_Расчет_аналитики'!AP3685*'01_Вводные'!$B$131,0)</f>
        <v/>
      </c>
      <c r="AQ3686">
        <f>IF('01_Вводные'!$B$234="Да",'19_Расчет_аналитики'!AQ3685*'01_Вводные'!$B$131,0)</f>
        <v/>
      </c>
      <c r="AR3686">
        <f>IF('01_Вводные'!$B$234="Да",'19_Расчет_аналитики'!AR3685*'01_Вводные'!$B$131,0)</f>
        <v/>
      </c>
      <c r="AS3686">
        <f>IF('01_Вводные'!$B$234="Да",'19_Расчет_аналитики'!AS3685*'01_Вводные'!$B$131,0)</f>
        <v/>
      </c>
      <c r="AT3686">
        <f>IF('01_Вводные'!$B$234="Да",'19_Расчет_аналитики'!AT3685*'01_Вводные'!$B$131,0)</f>
        <v/>
      </c>
      <c r="AU3686">
        <f>IF('01_Вводные'!$B$234="Да",'19_Расчет_аналитики'!AU3685*'01_Вводные'!$B$131,0)</f>
        <v/>
      </c>
      <c r="AV3686">
        <f>IF('01_Вводные'!$B$234="Да",'19_Расчет_аналитики'!AV3685*'01_Вводные'!$B$131,0)</f>
        <v/>
      </c>
      <c r="AW3686">
        <f>IF('01_Вводные'!$B$234="Да",'19_Расчет_аналитики'!AW3685*'01_Вводные'!$B$131,0)</f>
        <v/>
      </c>
      <c r="AX3686">
        <f>IF('01_Вводные'!$B$234="Да",'19_Расчет_аналитики'!AX3685*'01_Вводные'!$B$131,0)</f>
        <v/>
      </c>
      <c r="AY3686">
        <f>IF('01_Вводные'!$B$234="Да",'19_Расчет_аналитики'!AY3685*'01_Вводные'!$B$131,0)</f>
        <v/>
      </c>
      <c r="AZ3686">
        <f>IF('01_Вводные'!$B$234="Да",'19_Расчет_аналитики'!AZ3685*'01_Вводные'!$B$131,0)</f>
        <v/>
      </c>
      <c r="BA3686">
        <f>IF('01_Вводные'!$B$234="Да",'19_Расчет_аналитики'!BA3685*'01_Вводные'!$B$131,0)</f>
        <v/>
      </c>
      <c r="BB3686">
        <f>IF('01_Вводные'!$B$234="Да",'19_Расчет_аналитики'!BB3685*'01_Вводные'!$B$131,0)</f>
        <v/>
      </c>
      <c r="BC3686">
        <f>IF('01_Вводные'!$B$234="Да",'19_Расчет_аналитики'!BC3685*'01_Вводные'!$B$131,0)</f>
        <v/>
      </c>
      <c r="BD3686">
        <f>IF('01_Вводные'!$B$234="Да",'19_Расчет_аналитики'!BD3685*'01_Вводные'!$B$131,0)</f>
        <v/>
      </c>
      <c r="BE3686">
        <f>IF('01_Вводные'!$B$234="Да",'19_Расчет_аналитики'!BE3685*'01_Вводные'!$B$131,0)</f>
        <v/>
      </c>
      <c r="BF3686">
        <f>IF('01_Вводные'!$B$234="Да",'19_Расчет_аналитики'!BF3685*'01_Вводные'!$B$131,0)</f>
        <v/>
      </c>
      <c r="BG3686">
        <f>IF('01_Вводные'!$B$234="Да",'19_Расчет_аналитики'!BG3685*'01_Вводные'!$B$131,0)</f>
        <v/>
      </c>
      <c r="BH3686">
        <f>IF('01_Вводные'!$B$234="Да",'19_Расчет_аналитики'!BH3685*'01_Вводные'!$B$131,0)</f>
        <v/>
      </c>
      <c r="BI3686">
        <f>IF('01_Вводные'!$B$234="Да",'19_Расчет_аналитики'!BI3685*'01_Вводные'!$B$131,0)</f>
        <v/>
      </c>
    </row>
    <row r="3687"/>
    <row r="3688">
      <c r="C3688">
        <f>IF('01_Вводные'!$B$234="Да",('01_Вводные'!$B$118+'19_Расчет_аналитики'!C3683+1)*IF('08_ФОТ'!C$3&lt;'01_Вводные'!$B$250,'01_Вводные'!$B$123,'01_Вводные'!$B$124)/'01_Вводные'!$B$132,0)</f>
        <v/>
      </c>
      <c r="D3688">
        <f>IF('01_Вводные'!$B$234="Да",('01_Вводные'!$B$118+'19_Расчет_аналитики'!D3683+1)*IF('08_ФОТ'!D$3&lt;'01_Вводные'!$B$250,'01_Вводные'!$B$123,'01_Вводные'!$B$124)/'01_Вводные'!$B$132,0)</f>
        <v/>
      </c>
      <c r="E3688">
        <f>IF('01_Вводные'!$B$234="Да",('01_Вводные'!$B$118+'19_Расчет_аналитики'!E3683+1)*IF('08_ФОТ'!E$3&lt;'01_Вводные'!$B$250,'01_Вводные'!$B$123,'01_Вводные'!$B$124)/'01_Вводные'!$B$132,0)</f>
        <v/>
      </c>
      <c r="F3688">
        <f>IF('01_Вводные'!$B$234="Да",('01_Вводные'!$B$118+'19_Расчет_аналитики'!F3683+1)*IF('08_ФОТ'!F$3&lt;'01_Вводные'!$B$250,'01_Вводные'!$B$123,'01_Вводные'!$B$124)/'01_Вводные'!$B$132,0)</f>
        <v/>
      </c>
      <c r="G3688">
        <f>IF('01_Вводные'!$B$234="Да",('01_Вводные'!$B$118+'19_Расчет_аналитики'!G3683+1)*IF('08_ФОТ'!G$3&lt;'01_Вводные'!$B$250,'01_Вводные'!$B$123,'01_Вводные'!$B$124)/'01_Вводные'!$B$132,0)</f>
        <v/>
      </c>
      <c r="H3688">
        <f>IF('01_Вводные'!$B$234="Да",('01_Вводные'!$B$118+'19_Расчет_аналитики'!H3683+1)*IF('08_ФОТ'!H$3&lt;'01_Вводные'!$B$250,'01_Вводные'!$B$123,'01_Вводные'!$B$124)/'01_Вводные'!$B$132,0)</f>
        <v/>
      </c>
      <c r="I3688">
        <f>IF('01_Вводные'!$B$234="Да",('01_Вводные'!$B$118+'19_Расчет_аналитики'!I3683+1)*IF('08_ФОТ'!I$3&lt;'01_Вводные'!$B$250,'01_Вводные'!$B$123,'01_Вводные'!$B$124)/'01_Вводные'!$B$132,0)</f>
        <v/>
      </c>
      <c r="J3688">
        <f>IF('01_Вводные'!$B$234="Да",('01_Вводные'!$B$118+'19_Расчет_аналитики'!J3683+1)*IF('08_ФОТ'!J$3&lt;'01_Вводные'!$B$250,'01_Вводные'!$B$123,'01_Вводные'!$B$124)/'01_Вводные'!$B$132,0)</f>
        <v/>
      </c>
      <c r="K3688">
        <f>IF('01_Вводные'!$B$234="Да",('01_Вводные'!$B$118+'19_Расчет_аналитики'!K3683+1)*IF('08_ФОТ'!K$3&lt;'01_Вводные'!$B$250,'01_Вводные'!$B$123,'01_Вводные'!$B$124)/'01_Вводные'!$B$132,0)</f>
        <v/>
      </c>
      <c r="L3688">
        <f>IF('01_Вводные'!$B$234="Да",('01_Вводные'!$B$118+'19_Расчет_аналитики'!L3683+1)*IF('08_ФОТ'!L$3&lt;'01_Вводные'!$B$250,'01_Вводные'!$B$123,'01_Вводные'!$B$124)/'01_Вводные'!$B$132,0)</f>
        <v/>
      </c>
      <c r="M3688">
        <f>IF('01_Вводные'!$B$234="Да",('01_Вводные'!$B$118+'19_Расчет_аналитики'!M3683+1)*IF('08_ФОТ'!M$3&lt;'01_Вводные'!$B$250,'01_Вводные'!$B$123,'01_Вводные'!$B$124)/'01_Вводные'!$B$132,0)</f>
        <v/>
      </c>
      <c r="N3688">
        <f>IF('01_Вводные'!$B$234="Да",('01_Вводные'!$B$118+'19_Расчет_аналитики'!N3683+1)*IF('08_ФОТ'!N$3&lt;'01_Вводные'!$B$250,'01_Вводные'!$B$123,'01_Вводные'!$B$124)/'01_Вводные'!$B$132,0)</f>
        <v/>
      </c>
      <c r="O3688">
        <f>IF('01_Вводные'!$B$234="Да",('01_Вводные'!$B$118+'19_Расчет_аналитики'!O3683+1)*IF('08_ФОТ'!O$3&lt;'01_Вводные'!$B$250,'01_Вводные'!$B$123,'01_Вводные'!$B$124)/'01_Вводные'!$B$132,0)</f>
        <v/>
      </c>
      <c r="P3688">
        <f>IF('01_Вводные'!$B$234="Да",('01_Вводные'!$B$118+'19_Расчет_аналитики'!P3683+1)*IF('08_ФОТ'!P$3&lt;'01_Вводные'!$B$250,'01_Вводные'!$B$123,'01_Вводные'!$B$124)/'01_Вводные'!$B$132,0)</f>
        <v/>
      </c>
      <c r="Q3688">
        <f>IF('01_Вводные'!$B$234="Да",('01_Вводные'!$B$118+'19_Расчет_аналитики'!Q3683+1)*IF('08_ФОТ'!Q$3&lt;'01_Вводные'!$B$250,'01_Вводные'!$B$123,'01_Вводные'!$B$124)/'01_Вводные'!$B$132,0)</f>
        <v/>
      </c>
      <c r="R3688">
        <f>IF('01_Вводные'!$B$234="Да",('01_Вводные'!$B$118+'19_Расчет_аналитики'!R3683+1)*IF('08_ФОТ'!R$3&lt;'01_Вводные'!$B$250,'01_Вводные'!$B$123,'01_Вводные'!$B$124)/'01_Вводные'!$B$132,0)</f>
        <v/>
      </c>
      <c r="S3688">
        <f>IF('01_Вводные'!$B$234="Да",('01_Вводные'!$B$118+'19_Расчет_аналитики'!S3683+1)*IF('08_ФОТ'!S$3&lt;'01_Вводные'!$B$250,'01_Вводные'!$B$123,'01_Вводные'!$B$124)/'01_Вводные'!$B$132,0)</f>
        <v/>
      </c>
      <c r="T3688">
        <f>IF('01_Вводные'!$B$234="Да",('01_Вводные'!$B$118+'19_Расчет_аналитики'!T3683+1)*IF('08_ФОТ'!T$3&lt;'01_Вводные'!$B$250,'01_Вводные'!$B$123,'01_Вводные'!$B$124)/'01_Вводные'!$B$132,0)</f>
        <v/>
      </c>
      <c r="U3688">
        <f>IF('01_Вводные'!$B$234="Да",('01_Вводные'!$B$118+'19_Расчет_аналитики'!U3683+1)*IF('08_ФОТ'!U$3&lt;'01_Вводные'!$B$250,'01_Вводные'!$B$123,'01_Вводные'!$B$124)/'01_Вводные'!$B$132,0)</f>
        <v/>
      </c>
      <c r="V3688">
        <f>IF('01_Вводные'!$B$234="Да",('01_Вводные'!$B$118+'19_Расчет_аналитики'!V3683+1)*IF('08_ФОТ'!V$3&lt;'01_Вводные'!$B$250,'01_Вводные'!$B$123,'01_Вводные'!$B$124)/'01_Вводные'!$B$132,0)</f>
        <v/>
      </c>
      <c r="W3688">
        <f>IF('01_Вводные'!$B$234="Да",('01_Вводные'!$B$118+'19_Расчет_аналитики'!W3683+1)*IF('08_ФОТ'!W$3&lt;'01_Вводные'!$B$250,'01_Вводные'!$B$123,'01_Вводные'!$B$124)/'01_Вводные'!$B$132,0)</f>
        <v/>
      </c>
      <c r="X3688">
        <f>IF('01_Вводные'!$B$234="Да",('01_Вводные'!$B$118+'19_Расчет_аналитики'!X3683+1)*IF('08_ФОТ'!X$3&lt;'01_Вводные'!$B$250,'01_Вводные'!$B$123,'01_Вводные'!$B$124)/'01_Вводные'!$B$132,0)</f>
        <v/>
      </c>
      <c r="Y3688">
        <f>IF('01_Вводные'!$B$234="Да",('01_Вводные'!$B$118+'19_Расчет_аналитики'!Y3683+1)*IF('08_ФОТ'!Y$3&lt;'01_Вводные'!$B$250,'01_Вводные'!$B$123,'01_Вводные'!$B$124)/'01_Вводные'!$B$132,0)</f>
        <v/>
      </c>
      <c r="Z3688">
        <f>IF('01_Вводные'!$B$234="Да",('01_Вводные'!$B$118+'19_Расчет_аналитики'!Z3683+1)*IF('08_ФОТ'!Z$3&lt;'01_Вводные'!$B$250,'01_Вводные'!$B$123,'01_Вводные'!$B$124)/'01_Вводные'!$B$132,0)</f>
        <v/>
      </c>
      <c r="AA3688">
        <f>IF('01_Вводные'!$B$234="Да",('01_Вводные'!$B$118+'19_Расчет_аналитики'!AA3683+1)*IF('08_ФОТ'!AA$3&lt;'01_Вводные'!$B$250,'01_Вводные'!$B$123,'01_Вводные'!$B$124)/'01_Вводные'!$B$132,0)</f>
        <v/>
      </c>
      <c r="AB3688">
        <f>IF('01_Вводные'!$B$234="Да",('01_Вводные'!$B$118+'19_Расчет_аналитики'!AB3683+1)*IF('08_ФОТ'!AB$3&lt;'01_Вводные'!$B$250,'01_Вводные'!$B$123,'01_Вводные'!$B$124)/'01_Вводные'!$B$132,0)</f>
        <v/>
      </c>
      <c r="AC3688">
        <f>IF('01_Вводные'!$B$234="Да",('01_Вводные'!$B$118+'19_Расчет_аналитики'!AC3683+1)*IF('08_ФОТ'!AC$3&lt;'01_Вводные'!$B$250,'01_Вводные'!$B$123,'01_Вводные'!$B$124)/'01_Вводные'!$B$132,0)</f>
        <v/>
      </c>
      <c r="AD3688">
        <f>IF('01_Вводные'!$B$234="Да",('01_Вводные'!$B$118+'19_Расчет_аналитики'!AD3683+1)*IF('08_ФОТ'!AD$3&lt;'01_Вводные'!$B$250,'01_Вводные'!$B$123,'01_Вводные'!$B$124)/'01_Вводные'!$B$132,0)</f>
        <v/>
      </c>
      <c r="AE3688">
        <f>IF('01_Вводные'!$B$234="Да",('01_Вводные'!$B$118+'19_Расчет_аналитики'!AE3683+1)*IF('08_ФОТ'!AE$3&lt;'01_Вводные'!$B$250,'01_Вводные'!$B$123,'01_Вводные'!$B$124)/'01_Вводные'!$B$132,0)</f>
        <v/>
      </c>
      <c r="AF3688">
        <f>IF('01_Вводные'!$B$234="Да",('01_Вводные'!$B$118+'19_Расчет_аналитики'!AF3683+1)*IF('08_ФОТ'!AF$3&lt;'01_Вводные'!$B$250,'01_Вводные'!$B$123,'01_Вводные'!$B$124)/'01_Вводные'!$B$132,0)</f>
        <v/>
      </c>
      <c r="AG3688">
        <f>IF('01_Вводные'!$B$234="Да",('01_Вводные'!$B$118+'19_Расчет_аналитики'!AG3683+1)*IF('08_ФОТ'!AG$3&lt;'01_Вводные'!$B$250,'01_Вводные'!$B$123,'01_Вводные'!$B$124)/'01_Вводные'!$B$132,0)</f>
        <v/>
      </c>
      <c r="AH3688">
        <f>IF('01_Вводные'!$B$234="Да",('01_Вводные'!$B$118+'19_Расчет_аналитики'!AH3683+1)*IF('08_ФОТ'!AH$3&lt;'01_Вводные'!$B$250,'01_Вводные'!$B$123,'01_Вводные'!$B$124)/'01_Вводные'!$B$132,0)</f>
        <v/>
      </c>
      <c r="AI3688">
        <f>IF('01_Вводные'!$B$234="Да",('01_Вводные'!$B$118+'19_Расчет_аналитики'!AI3683+1)*IF('08_ФОТ'!AI$3&lt;'01_Вводные'!$B$250,'01_Вводные'!$B$123,'01_Вводные'!$B$124)/'01_Вводные'!$B$132,0)</f>
        <v/>
      </c>
      <c r="AJ3688">
        <f>IF('01_Вводные'!$B$234="Да",('01_Вводные'!$B$118+'19_Расчет_аналитики'!AJ3683+1)*IF('08_ФОТ'!AJ$3&lt;'01_Вводные'!$B$250,'01_Вводные'!$B$123,'01_Вводные'!$B$124)/'01_Вводные'!$B$132,0)</f>
        <v/>
      </c>
      <c r="AK3688">
        <f>IF('01_Вводные'!$B$234="Да",('01_Вводные'!$B$118+'19_Расчет_аналитики'!AK3683+1)*IF('08_ФОТ'!AK$3&lt;'01_Вводные'!$B$250,'01_Вводные'!$B$123,'01_Вводные'!$B$124)/'01_Вводные'!$B$132,0)</f>
        <v/>
      </c>
      <c r="AL3688">
        <f>IF('01_Вводные'!$B$234="Да",('01_Вводные'!$B$118+'19_Расчет_аналитики'!AL3683+1)*IF('08_ФОТ'!AL$3&lt;'01_Вводные'!$B$250,'01_Вводные'!$B$123,'01_Вводные'!$B$124)/'01_Вводные'!$B$132,0)</f>
        <v/>
      </c>
      <c r="AM3688">
        <f>IF('01_Вводные'!$B$234="Да",('01_Вводные'!$B$118+'19_Расчет_аналитики'!AM3683+1)*IF('08_ФОТ'!AM$3&lt;'01_Вводные'!$B$250,'01_Вводные'!$B$123,'01_Вводные'!$B$124)/'01_Вводные'!$B$132,0)</f>
        <v/>
      </c>
      <c r="AN3688">
        <f>IF('01_Вводные'!$B$234="Да",('01_Вводные'!$B$118+'19_Расчет_аналитики'!AN3683+1)*IF('08_ФОТ'!AN$3&lt;'01_Вводные'!$B$250,'01_Вводные'!$B$123,'01_Вводные'!$B$124)/'01_Вводные'!$B$132,0)</f>
        <v/>
      </c>
      <c r="AO3688">
        <f>IF('01_Вводные'!$B$234="Да",('01_Вводные'!$B$118+'19_Расчет_аналитики'!AO3683+1)*IF('08_ФОТ'!AO$3&lt;'01_Вводные'!$B$250,'01_Вводные'!$B$123,'01_Вводные'!$B$124)/'01_Вводные'!$B$132,0)</f>
        <v/>
      </c>
      <c r="AP3688">
        <f>IF('01_Вводные'!$B$234="Да",('01_Вводные'!$B$118+'19_Расчет_аналитики'!AP3683+1)*IF('08_ФОТ'!AP$3&lt;'01_Вводные'!$B$250,'01_Вводные'!$B$123,'01_Вводные'!$B$124)/'01_Вводные'!$B$132,0)</f>
        <v/>
      </c>
      <c r="AQ3688">
        <f>IF('01_Вводные'!$B$234="Да",('01_Вводные'!$B$118+'19_Расчет_аналитики'!AQ3683+1)*IF('08_ФОТ'!AQ$3&lt;'01_Вводные'!$B$250,'01_Вводные'!$B$123,'01_Вводные'!$B$124)/'01_Вводные'!$B$132,0)</f>
        <v/>
      </c>
      <c r="AR3688">
        <f>IF('01_Вводные'!$B$234="Да",('01_Вводные'!$B$118+'19_Расчет_аналитики'!AR3683+1)*IF('08_ФОТ'!AR$3&lt;'01_Вводные'!$B$250,'01_Вводные'!$B$123,'01_Вводные'!$B$124)/'01_Вводные'!$B$132,0)</f>
        <v/>
      </c>
      <c r="AS3688">
        <f>IF('01_Вводные'!$B$234="Да",('01_Вводные'!$B$118+'19_Расчет_аналитики'!AS3683+1)*IF('08_ФОТ'!AS$3&lt;'01_Вводные'!$B$250,'01_Вводные'!$B$123,'01_Вводные'!$B$124)/'01_Вводные'!$B$132,0)</f>
        <v/>
      </c>
      <c r="AT3688">
        <f>IF('01_Вводные'!$B$234="Да",('01_Вводные'!$B$118+'19_Расчет_аналитики'!AT3683+1)*IF('08_ФОТ'!AT$3&lt;'01_Вводные'!$B$250,'01_Вводные'!$B$123,'01_Вводные'!$B$124)/'01_Вводные'!$B$132,0)</f>
        <v/>
      </c>
      <c r="AU3688">
        <f>IF('01_Вводные'!$B$234="Да",('01_Вводные'!$B$118+'19_Расчет_аналитики'!AU3683+1)*IF('08_ФОТ'!AU$3&lt;'01_Вводные'!$B$250,'01_Вводные'!$B$123,'01_Вводные'!$B$124)/'01_Вводные'!$B$132,0)</f>
        <v/>
      </c>
      <c r="AV3688">
        <f>IF('01_Вводные'!$B$234="Да",('01_Вводные'!$B$118+'19_Расчет_аналитики'!AV3683+1)*IF('08_ФОТ'!AV$3&lt;'01_Вводные'!$B$250,'01_Вводные'!$B$123,'01_Вводные'!$B$124)/'01_Вводные'!$B$132,0)</f>
        <v/>
      </c>
      <c r="AW3688">
        <f>IF('01_Вводные'!$B$234="Да",('01_Вводные'!$B$118+'19_Расчет_аналитики'!AW3683+1)*IF('08_ФОТ'!AW$3&lt;'01_Вводные'!$B$250,'01_Вводные'!$B$123,'01_Вводные'!$B$124)/'01_Вводные'!$B$132,0)</f>
        <v/>
      </c>
      <c r="AX3688">
        <f>IF('01_Вводные'!$B$234="Да",('01_Вводные'!$B$118+'19_Расчет_аналитики'!AX3683+1)*IF('08_ФОТ'!AX$3&lt;'01_Вводные'!$B$250,'01_Вводные'!$B$123,'01_Вводные'!$B$124)/'01_Вводные'!$B$132,0)</f>
        <v/>
      </c>
      <c r="AY3688">
        <f>IF('01_Вводные'!$B$234="Да",('01_Вводные'!$B$118+'19_Расчет_аналитики'!AY3683+1)*IF('08_ФОТ'!AY$3&lt;'01_Вводные'!$B$250,'01_Вводные'!$B$123,'01_Вводные'!$B$124)/'01_Вводные'!$B$132,0)</f>
        <v/>
      </c>
      <c r="AZ3688">
        <f>IF('01_Вводные'!$B$234="Да",('01_Вводные'!$B$118+'19_Расчет_аналитики'!AZ3683+1)*IF('08_ФОТ'!AZ$3&lt;'01_Вводные'!$B$250,'01_Вводные'!$B$123,'01_Вводные'!$B$124)/'01_Вводные'!$B$132,0)</f>
        <v/>
      </c>
      <c r="BA3688">
        <f>IF('01_Вводные'!$B$234="Да",('01_Вводные'!$B$118+'19_Расчет_аналитики'!BA3683+1)*IF('08_ФОТ'!BA$3&lt;'01_Вводные'!$B$250,'01_Вводные'!$B$123,'01_Вводные'!$B$124)/'01_Вводные'!$B$132,0)</f>
        <v/>
      </c>
      <c r="BB3688">
        <f>IF('01_Вводные'!$B$234="Да",('01_Вводные'!$B$118+'19_Расчет_аналитики'!BB3683+1)*IF('08_ФОТ'!BB$3&lt;'01_Вводные'!$B$250,'01_Вводные'!$B$123,'01_Вводные'!$B$124)/'01_Вводные'!$B$132,0)</f>
        <v/>
      </c>
      <c r="BC3688">
        <f>IF('01_Вводные'!$B$234="Да",('01_Вводные'!$B$118+'19_Расчет_аналитики'!BC3683+1)*IF('08_ФОТ'!BC$3&lt;'01_Вводные'!$B$250,'01_Вводные'!$B$123,'01_Вводные'!$B$124)/'01_Вводные'!$B$132,0)</f>
        <v/>
      </c>
      <c r="BD3688">
        <f>IF('01_Вводные'!$B$234="Да",('01_Вводные'!$B$118+'19_Расчет_аналитики'!BD3683+1)*IF('08_ФОТ'!BD$3&lt;'01_Вводные'!$B$250,'01_Вводные'!$B$123,'01_Вводные'!$B$124)/'01_Вводные'!$B$132,0)</f>
        <v/>
      </c>
      <c r="BE3688">
        <f>IF('01_Вводные'!$B$234="Да",('01_Вводные'!$B$118+'19_Расчет_аналитики'!BE3683+1)*IF('08_ФОТ'!BE$3&lt;'01_Вводные'!$B$250,'01_Вводные'!$B$123,'01_Вводные'!$B$124)/'01_Вводные'!$B$132,0)</f>
        <v/>
      </c>
      <c r="BF3688">
        <f>IF('01_Вводные'!$B$234="Да",('01_Вводные'!$B$118+'19_Расчет_аналитики'!BF3683+1)*IF('08_ФОТ'!BF$3&lt;'01_Вводные'!$B$250,'01_Вводные'!$B$123,'01_Вводные'!$B$124)/'01_Вводные'!$B$132,0)</f>
        <v/>
      </c>
      <c r="BG3688">
        <f>IF('01_Вводные'!$B$234="Да",('01_Вводные'!$B$118+'19_Расчет_аналитики'!BG3683+1)*IF('08_ФОТ'!BG$3&lt;'01_Вводные'!$B$250,'01_Вводные'!$B$123,'01_Вводные'!$B$124)/'01_Вводные'!$B$132,0)</f>
        <v/>
      </c>
      <c r="BH3688">
        <f>IF('01_Вводные'!$B$234="Да",('01_Вводные'!$B$118+'19_Расчет_аналитики'!BH3683+1)*IF('08_ФОТ'!BH$3&lt;'01_Вводные'!$B$250,'01_Вводные'!$B$123,'01_Вводные'!$B$124)/'01_Вводные'!$B$132,0)</f>
        <v/>
      </c>
      <c r="BI3688">
        <f>IF('01_Вводные'!$B$234="Да",('01_Вводные'!$B$118+'19_Расчет_аналитики'!BI3683+1)*IF('08_ФОТ'!BI$3&lt;'01_Вводные'!$B$250,'01_Вводные'!$B$123,'01_Вводные'!$B$124)/'01_Вводные'!$B$132,0)</f>
        <v/>
      </c>
    </row>
    <row r="3689">
      <c r="C3689">
        <f>IF('01_Вводные'!$B$234="Да",'19_Расчет_аналитики'!C3688*'01_Вводные'!$B$131,0)</f>
        <v/>
      </c>
      <c r="D3689">
        <f>IF('01_Вводные'!$B$234="Да",'19_Расчет_аналитики'!D3688*'01_Вводные'!$B$131,0)</f>
        <v/>
      </c>
      <c r="E3689">
        <f>IF('01_Вводные'!$B$234="Да",'19_Расчет_аналитики'!E3688*'01_Вводные'!$B$131,0)</f>
        <v/>
      </c>
      <c r="F3689">
        <f>IF('01_Вводные'!$B$234="Да",'19_Расчет_аналитики'!F3688*'01_Вводные'!$B$131,0)</f>
        <v/>
      </c>
      <c r="G3689">
        <f>IF('01_Вводные'!$B$234="Да",'19_Расчет_аналитики'!G3688*'01_Вводные'!$B$131,0)</f>
        <v/>
      </c>
      <c r="H3689">
        <f>IF('01_Вводные'!$B$234="Да",'19_Расчет_аналитики'!H3688*'01_Вводные'!$B$131,0)</f>
        <v/>
      </c>
      <c r="I3689">
        <f>IF('01_Вводные'!$B$234="Да",'19_Расчет_аналитики'!I3688*'01_Вводные'!$B$131,0)</f>
        <v/>
      </c>
      <c r="J3689">
        <f>IF('01_Вводные'!$B$234="Да",'19_Расчет_аналитики'!J3688*'01_Вводные'!$B$131,0)</f>
        <v/>
      </c>
      <c r="K3689">
        <f>IF('01_Вводные'!$B$234="Да",'19_Расчет_аналитики'!K3688*'01_Вводные'!$B$131,0)</f>
        <v/>
      </c>
      <c r="L3689">
        <f>IF('01_Вводные'!$B$234="Да",'19_Расчет_аналитики'!L3688*'01_Вводные'!$B$131,0)</f>
        <v/>
      </c>
      <c r="M3689">
        <f>IF('01_Вводные'!$B$234="Да",'19_Расчет_аналитики'!M3688*'01_Вводные'!$B$131,0)</f>
        <v/>
      </c>
      <c r="N3689">
        <f>IF('01_Вводные'!$B$234="Да",'19_Расчет_аналитики'!N3688*'01_Вводные'!$B$131,0)</f>
        <v/>
      </c>
      <c r="O3689">
        <f>IF('01_Вводные'!$B$234="Да",'19_Расчет_аналитики'!O3688*'01_Вводные'!$B$131,0)</f>
        <v/>
      </c>
      <c r="P3689">
        <f>IF('01_Вводные'!$B$234="Да",'19_Расчет_аналитики'!P3688*'01_Вводные'!$B$131,0)</f>
        <v/>
      </c>
      <c r="Q3689">
        <f>IF('01_Вводные'!$B$234="Да",'19_Расчет_аналитики'!Q3688*'01_Вводные'!$B$131,0)</f>
        <v/>
      </c>
      <c r="R3689">
        <f>IF('01_Вводные'!$B$234="Да",'19_Расчет_аналитики'!R3688*'01_Вводные'!$B$131,0)</f>
        <v/>
      </c>
      <c r="S3689">
        <f>IF('01_Вводные'!$B$234="Да",'19_Расчет_аналитики'!S3688*'01_Вводные'!$B$131,0)</f>
        <v/>
      </c>
      <c r="T3689">
        <f>IF('01_Вводные'!$B$234="Да",'19_Расчет_аналитики'!T3688*'01_Вводные'!$B$131,0)</f>
        <v/>
      </c>
      <c r="U3689">
        <f>IF('01_Вводные'!$B$234="Да",'19_Расчет_аналитики'!U3688*'01_Вводные'!$B$131,0)</f>
        <v/>
      </c>
      <c r="V3689">
        <f>IF('01_Вводные'!$B$234="Да",'19_Расчет_аналитики'!V3688*'01_Вводные'!$B$131,0)</f>
        <v/>
      </c>
      <c r="W3689">
        <f>IF('01_Вводные'!$B$234="Да",'19_Расчет_аналитики'!W3688*'01_Вводные'!$B$131,0)</f>
        <v/>
      </c>
      <c r="X3689">
        <f>IF('01_Вводные'!$B$234="Да",'19_Расчет_аналитики'!X3688*'01_Вводные'!$B$131,0)</f>
        <v/>
      </c>
      <c r="Y3689">
        <f>IF('01_Вводные'!$B$234="Да",'19_Расчет_аналитики'!Y3688*'01_Вводные'!$B$131,0)</f>
        <v/>
      </c>
      <c r="Z3689">
        <f>IF('01_Вводные'!$B$234="Да",'19_Расчет_аналитики'!Z3688*'01_Вводные'!$B$131,0)</f>
        <v/>
      </c>
      <c r="AA3689">
        <f>IF('01_Вводные'!$B$234="Да",'19_Расчет_аналитики'!AA3688*'01_Вводные'!$B$131,0)</f>
        <v/>
      </c>
      <c r="AB3689">
        <f>IF('01_Вводные'!$B$234="Да",'19_Расчет_аналитики'!AB3688*'01_Вводные'!$B$131,0)</f>
        <v/>
      </c>
      <c r="AC3689">
        <f>IF('01_Вводные'!$B$234="Да",'19_Расчет_аналитики'!AC3688*'01_Вводные'!$B$131,0)</f>
        <v/>
      </c>
      <c r="AD3689">
        <f>IF('01_Вводные'!$B$234="Да",'19_Расчет_аналитики'!AD3688*'01_Вводные'!$B$131,0)</f>
        <v/>
      </c>
      <c r="AE3689">
        <f>IF('01_Вводные'!$B$234="Да",'19_Расчет_аналитики'!AE3688*'01_Вводные'!$B$131,0)</f>
        <v/>
      </c>
      <c r="AF3689">
        <f>IF('01_Вводные'!$B$234="Да",'19_Расчет_аналитики'!AF3688*'01_Вводные'!$B$131,0)</f>
        <v/>
      </c>
      <c r="AG3689">
        <f>IF('01_Вводные'!$B$234="Да",'19_Расчет_аналитики'!AG3688*'01_Вводные'!$B$131,0)</f>
        <v/>
      </c>
      <c r="AH3689">
        <f>IF('01_Вводные'!$B$234="Да",'19_Расчет_аналитики'!AH3688*'01_Вводные'!$B$131,0)</f>
        <v/>
      </c>
      <c r="AI3689">
        <f>IF('01_Вводные'!$B$234="Да",'19_Расчет_аналитики'!AI3688*'01_Вводные'!$B$131,0)</f>
        <v/>
      </c>
      <c r="AJ3689">
        <f>IF('01_Вводные'!$B$234="Да",'19_Расчет_аналитики'!AJ3688*'01_Вводные'!$B$131,0)</f>
        <v/>
      </c>
      <c r="AK3689">
        <f>IF('01_Вводные'!$B$234="Да",'19_Расчет_аналитики'!AK3688*'01_Вводные'!$B$131,0)</f>
        <v/>
      </c>
      <c r="AL3689">
        <f>IF('01_Вводные'!$B$234="Да",'19_Расчет_аналитики'!AL3688*'01_Вводные'!$B$131,0)</f>
        <v/>
      </c>
      <c r="AM3689">
        <f>IF('01_Вводные'!$B$234="Да",'19_Расчет_аналитики'!AM3688*'01_Вводные'!$B$131,0)</f>
        <v/>
      </c>
      <c r="AN3689">
        <f>IF('01_Вводные'!$B$234="Да",'19_Расчет_аналитики'!AN3688*'01_Вводные'!$B$131,0)</f>
        <v/>
      </c>
      <c r="AO3689">
        <f>IF('01_Вводные'!$B$234="Да",'19_Расчет_аналитики'!AO3688*'01_Вводные'!$B$131,0)</f>
        <v/>
      </c>
      <c r="AP3689">
        <f>IF('01_Вводные'!$B$234="Да",'19_Расчет_аналитики'!AP3688*'01_Вводные'!$B$131,0)</f>
        <v/>
      </c>
      <c r="AQ3689">
        <f>IF('01_Вводные'!$B$234="Да",'19_Расчет_аналитики'!AQ3688*'01_Вводные'!$B$131,0)</f>
        <v/>
      </c>
      <c r="AR3689">
        <f>IF('01_Вводные'!$B$234="Да",'19_Расчет_аналитики'!AR3688*'01_Вводные'!$B$131,0)</f>
        <v/>
      </c>
      <c r="AS3689">
        <f>IF('01_Вводные'!$B$234="Да",'19_Расчет_аналитики'!AS3688*'01_Вводные'!$B$131,0)</f>
        <v/>
      </c>
      <c r="AT3689">
        <f>IF('01_Вводные'!$B$234="Да",'19_Расчет_аналитики'!AT3688*'01_Вводные'!$B$131,0)</f>
        <v/>
      </c>
      <c r="AU3689">
        <f>IF('01_Вводные'!$B$234="Да",'19_Расчет_аналитики'!AU3688*'01_Вводные'!$B$131,0)</f>
        <v/>
      </c>
      <c r="AV3689">
        <f>IF('01_Вводные'!$B$234="Да",'19_Расчет_аналитики'!AV3688*'01_Вводные'!$B$131,0)</f>
        <v/>
      </c>
      <c r="AW3689">
        <f>IF('01_Вводные'!$B$234="Да",'19_Расчет_аналитики'!AW3688*'01_Вводные'!$B$131,0)</f>
        <v/>
      </c>
      <c r="AX3689">
        <f>IF('01_Вводные'!$B$234="Да",'19_Расчет_аналитики'!AX3688*'01_Вводные'!$B$131,0)</f>
        <v/>
      </c>
      <c r="AY3689">
        <f>IF('01_Вводные'!$B$234="Да",'19_Расчет_аналитики'!AY3688*'01_Вводные'!$B$131,0)</f>
        <v/>
      </c>
      <c r="AZ3689">
        <f>IF('01_Вводные'!$B$234="Да",'19_Расчет_аналитики'!AZ3688*'01_Вводные'!$B$131,0)</f>
        <v/>
      </c>
      <c r="BA3689">
        <f>IF('01_Вводные'!$B$234="Да",'19_Расчет_аналитики'!BA3688*'01_Вводные'!$B$131,0)</f>
        <v/>
      </c>
      <c r="BB3689">
        <f>IF('01_Вводные'!$B$234="Да",'19_Расчет_аналитики'!BB3688*'01_Вводные'!$B$131,0)</f>
        <v/>
      </c>
      <c r="BC3689">
        <f>IF('01_Вводные'!$B$234="Да",'19_Расчет_аналитики'!BC3688*'01_Вводные'!$B$131,0)</f>
        <v/>
      </c>
      <c r="BD3689">
        <f>IF('01_Вводные'!$B$234="Да",'19_Расчет_аналитики'!BD3688*'01_Вводные'!$B$131,0)</f>
        <v/>
      </c>
      <c r="BE3689">
        <f>IF('01_Вводные'!$B$234="Да",'19_Расчет_аналитики'!BE3688*'01_Вводные'!$B$131,0)</f>
        <v/>
      </c>
      <c r="BF3689">
        <f>IF('01_Вводные'!$B$234="Да",'19_Расчет_аналитики'!BF3688*'01_Вводные'!$B$131,0)</f>
        <v/>
      </c>
      <c r="BG3689">
        <f>IF('01_Вводные'!$B$234="Да",'19_Расчет_аналитики'!BG3688*'01_Вводные'!$B$131,0)</f>
        <v/>
      </c>
      <c r="BH3689">
        <f>IF('01_Вводные'!$B$234="Да",'19_Расчет_аналитики'!BH3688*'01_Вводные'!$B$131,0)</f>
        <v/>
      </c>
      <c r="BI3689">
        <f>IF('01_Вводные'!$B$234="Да",'19_Расчет_аналитики'!BI3688*'01_Вводные'!$B$131,0)</f>
        <v/>
      </c>
    </row>
    <row r="3690">
      <c r="C3690">
        <f>IF('01_Вводные'!$B$234="Да",IF('19_Расчет_аналитики'!C3374&gt;=2,'19_Расчет_аналитики'!C3385*'01_Вводные'!$B$125/(1+'01_Вводные'!$B$131),0),0)</f>
        <v/>
      </c>
      <c r="D3690">
        <f>IF('01_Вводные'!$B$234="Да",IF('19_Расчет_аналитики'!D3374&gt;=2,'19_Расчет_аналитики'!D3385*'01_Вводные'!$B$125/(1+'01_Вводные'!$B$131),0),0)</f>
        <v/>
      </c>
      <c r="E3690">
        <f>IF('01_Вводные'!$B$234="Да",IF('19_Расчет_аналитики'!E3374&gt;=2,'19_Расчет_аналитики'!E3385*'01_Вводные'!$B$125/(1+'01_Вводные'!$B$131),0),0)</f>
        <v/>
      </c>
      <c r="F3690">
        <f>IF('01_Вводные'!$B$234="Да",IF('19_Расчет_аналитики'!F3374&gt;=2,'19_Расчет_аналитики'!F3385*'01_Вводные'!$B$125/(1+'01_Вводные'!$B$131),0),0)</f>
        <v/>
      </c>
      <c r="G3690">
        <f>IF('01_Вводные'!$B$234="Да",IF('19_Расчет_аналитики'!G3374&gt;=2,'19_Расчет_аналитики'!G3385*'01_Вводные'!$B$125/(1+'01_Вводные'!$B$131),0),0)</f>
        <v/>
      </c>
      <c r="H3690">
        <f>IF('01_Вводные'!$B$234="Да",IF('19_Расчет_аналитики'!H3374&gt;=2,'19_Расчет_аналитики'!H3385*'01_Вводные'!$B$125/(1+'01_Вводные'!$B$131),0),0)</f>
        <v/>
      </c>
      <c r="I3690">
        <f>IF('01_Вводные'!$B$234="Да",IF('19_Расчет_аналитики'!I3374&gt;=2,'19_Расчет_аналитики'!I3385*'01_Вводные'!$B$125/(1+'01_Вводные'!$B$131),0),0)</f>
        <v/>
      </c>
      <c r="J3690">
        <f>IF('01_Вводные'!$B$234="Да",IF('19_Расчет_аналитики'!J3374&gt;=2,'19_Расчет_аналитики'!J3385*'01_Вводные'!$B$125/(1+'01_Вводные'!$B$131),0),0)</f>
        <v/>
      </c>
      <c r="K3690">
        <f>IF('01_Вводные'!$B$234="Да",IF('19_Расчет_аналитики'!K3374&gt;=2,'19_Расчет_аналитики'!K3385*'01_Вводные'!$B$125/(1+'01_Вводные'!$B$131),0),0)</f>
        <v/>
      </c>
      <c r="L3690">
        <f>IF('01_Вводные'!$B$234="Да",IF('19_Расчет_аналитики'!L3374&gt;=2,'19_Расчет_аналитики'!L3385*'01_Вводные'!$B$125/(1+'01_Вводные'!$B$131),0),0)</f>
        <v/>
      </c>
      <c r="M3690">
        <f>IF('01_Вводные'!$B$234="Да",IF('19_Расчет_аналитики'!M3374&gt;=2,'19_Расчет_аналитики'!M3385*'01_Вводные'!$B$125/(1+'01_Вводные'!$B$131),0),0)</f>
        <v/>
      </c>
      <c r="N3690">
        <f>IF('01_Вводные'!$B$234="Да",IF('19_Расчет_аналитики'!N3374&gt;=2,'19_Расчет_аналитики'!N3385*'01_Вводные'!$B$125/(1+'01_Вводные'!$B$131),0),0)</f>
        <v/>
      </c>
      <c r="O3690">
        <f>IF('01_Вводные'!$B$234="Да",IF('19_Расчет_аналитики'!O3374&gt;=2,'19_Расчет_аналитики'!O3385*'01_Вводные'!$B$125/(1+'01_Вводные'!$B$131),0),0)</f>
        <v/>
      </c>
      <c r="P3690">
        <f>IF('01_Вводные'!$B$234="Да",IF('19_Расчет_аналитики'!P3374&gt;=2,'19_Расчет_аналитики'!P3385*'01_Вводные'!$B$125/(1+'01_Вводные'!$B$131),0),0)</f>
        <v/>
      </c>
      <c r="Q3690">
        <f>IF('01_Вводные'!$B$234="Да",IF('19_Расчет_аналитики'!Q3374&gt;=2,'19_Расчет_аналитики'!Q3385*'01_Вводные'!$B$125/(1+'01_Вводные'!$B$131),0),0)</f>
        <v/>
      </c>
      <c r="R3690">
        <f>IF('01_Вводные'!$B$234="Да",IF('19_Расчет_аналитики'!R3374&gt;=2,'19_Расчет_аналитики'!R3385*'01_Вводные'!$B$125/(1+'01_Вводные'!$B$131),0),0)</f>
        <v/>
      </c>
      <c r="S3690">
        <f>IF('01_Вводные'!$B$234="Да",IF('19_Расчет_аналитики'!S3374&gt;=2,'19_Расчет_аналитики'!S3385*'01_Вводные'!$B$125/(1+'01_Вводные'!$B$131),0),0)</f>
        <v/>
      </c>
      <c r="T3690">
        <f>IF('01_Вводные'!$B$234="Да",IF('19_Расчет_аналитики'!T3374&gt;=2,'19_Расчет_аналитики'!T3385*'01_Вводные'!$B$125/(1+'01_Вводные'!$B$131),0),0)</f>
        <v/>
      </c>
      <c r="U3690">
        <f>IF('01_Вводные'!$B$234="Да",IF('19_Расчет_аналитики'!U3374&gt;=2,'19_Расчет_аналитики'!U3385*'01_Вводные'!$B$125/(1+'01_Вводные'!$B$131),0),0)</f>
        <v/>
      </c>
      <c r="V3690">
        <f>IF('01_Вводные'!$B$234="Да",IF('19_Расчет_аналитики'!V3374&gt;=2,'19_Расчет_аналитики'!V3385*'01_Вводные'!$B$125/(1+'01_Вводные'!$B$131),0),0)</f>
        <v/>
      </c>
      <c r="W3690">
        <f>IF('01_Вводные'!$B$234="Да",IF('19_Расчет_аналитики'!W3374&gt;=2,'19_Расчет_аналитики'!W3385*'01_Вводные'!$B$125/(1+'01_Вводные'!$B$131),0),0)</f>
        <v/>
      </c>
      <c r="X3690">
        <f>IF('01_Вводные'!$B$234="Да",IF('19_Расчет_аналитики'!X3374&gt;=2,'19_Расчет_аналитики'!X3385*'01_Вводные'!$B$125/(1+'01_Вводные'!$B$131),0),0)</f>
        <v/>
      </c>
      <c r="Y3690">
        <f>IF('01_Вводные'!$B$234="Да",IF('19_Расчет_аналитики'!Y3374&gt;=2,'19_Расчет_аналитики'!Y3385*'01_Вводные'!$B$125/(1+'01_Вводные'!$B$131),0),0)</f>
        <v/>
      </c>
      <c r="Z3690">
        <f>IF('01_Вводные'!$B$234="Да",IF('19_Расчет_аналитики'!Z3374&gt;=2,'19_Расчет_аналитики'!Z3385*'01_Вводные'!$B$125/(1+'01_Вводные'!$B$131),0),0)</f>
        <v/>
      </c>
      <c r="AA3690">
        <f>IF('01_Вводные'!$B$234="Да",IF('19_Расчет_аналитики'!AA3374&gt;=2,'19_Расчет_аналитики'!AA3385*'01_Вводные'!$B$125/(1+'01_Вводные'!$B$131),0),0)</f>
        <v/>
      </c>
      <c r="AB3690">
        <f>IF('01_Вводные'!$B$234="Да",IF('19_Расчет_аналитики'!AB3374&gt;=2,'19_Расчет_аналитики'!AB3385*'01_Вводные'!$B$125/(1+'01_Вводные'!$B$131),0),0)</f>
        <v/>
      </c>
      <c r="AC3690">
        <f>IF('01_Вводные'!$B$234="Да",IF('19_Расчет_аналитики'!AC3374&gt;=2,'19_Расчет_аналитики'!AC3385*'01_Вводные'!$B$125/(1+'01_Вводные'!$B$131),0),0)</f>
        <v/>
      </c>
      <c r="AD3690">
        <f>IF('01_Вводные'!$B$234="Да",IF('19_Расчет_аналитики'!AD3374&gt;=2,'19_Расчет_аналитики'!AD3385*'01_Вводные'!$B$125/(1+'01_Вводные'!$B$131),0),0)</f>
        <v/>
      </c>
      <c r="AE3690">
        <f>IF('01_Вводные'!$B$234="Да",IF('19_Расчет_аналитики'!AE3374&gt;=2,'19_Расчет_аналитики'!AE3385*'01_Вводные'!$B$125/(1+'01_Вводные'!$B$131),0),0)</f>
        <v/>
      </c>
      <c r="AF3690">
        <f>IF('01_Вводные'!$B$234="Да",IF('19_Расчет_аналитики'!AF3374&gt;=2,'19_Расчет_аналитики'!AF3385*'01_Вводные'!$B$125/(1+'01_Вводные'!$B$131),0),0)</f>
        <v/>
      </c>
      <c r="AG3690">
        <f>IF('01_Вводные'!$B$234="Да",IF('19_Расчет_аналитики'!AG3374&gt;=2,'19_Расчет_аналитики'!AG3385*'01_Вводные'!$B$125/(1+'01_Вводные'!$B$131),0),0)</f>
        <v/>
      </c>
      <c r="AH3690">
        <f>IF('01_Вводные'!$B$234="Да",IF('19_Расчет_аналитики'!AH3374&gt;=2,'19_Расчет_аналитики'!AH3385*'01_Вводные'!$B$125/(1+'01_Вводные'!$B$131),0),0)</f>
        <v/>
      </c>
      <c r="AI3690">
        <f>IF('01_Вводные'!$B$234="Да",IF('19_Расчет_аналитики'!AI3374&gt;=2,'19_Расчет_аналитики'!AI3385*'01_Вводные'!$B$125/(1+'01_Вводные'!$B$131),0),0)</f>
        <v/>
      </c>
      <c r="AJ3690">
        <f>IF('01_Вводные'!$B$234="Да",IF('19_Расчет_аналитики'!AJ3374&gt;=2,'19_Расчет_аналитики'!AJ3385*'01_Вводные'!$B$125/(1+'01_Вводные'!$B$131),0),0)</f>
        <v/>
      </c>
      <c r="AK3690">
        <f>IF('01_Вводные'!$B$234="Да",IF('19_Расчет_аналитики'!AK3374&gt;=2,'19_Расчет_аналитики'!AK3385*'01_Вводные'!$B$125/(1+'01_Вводные'!$B$131),0),0)</f>
        <v/>
      </c>
      <c r="AL3690">
        <f>IF('01_Вводные'!$B$234="Да",IF('19_Расчет_аналитики'!AL3374&gt;=2,'19_Расчет_аналитики'!AL3385*'01_Вводные'!$B$125/(1+'01_Вводные'!$B$131),0),0)</f>
        <v/>
      </c>
      <c r="AM3690">
        <f>IF('01_Вводные'!$B$234="Да",IF('19_Расчет_аналитики'!AM3374&gt;=2,'19_Расчет_аналитики'!AM3385*'01_Вводные'!$B$125/(1+'01_Вводные'!$B$131),0),0)</f>
        <v/>
      </c>
      <c r="AN3690">
        <f>IF('01_Вводные'!$B$234="Да",IF('19_Расчет_аналитики'!AN3374&gt;=2,'19_Расчет_аналитики'!AN3385*'01_Вводные'!$B$125/(1+'01_Вводные'!$B$131),0),0)</f>
        <v/>
      </c>
      <c r="AO3690">
        <f>IF('01_Вводные'!$B$234="Да",IF('19_Расчет_аналитики'!AO3374&gt;=2,'19_Расчет_аналитики'!AO3385*'01_Вводные'!$B$125/(1+'01_Вводные'!$B$131),0),0)</f>
        <v/>
      </c>
      <c r="AP3690">
        <f>IF('01_Вводные'!$B$234="Да",IF('19_Расчет_аналитики'!AP3374&gt;=2,'19_Расчет_аналитики'!AP3385*'01_Вводные'!$B$125/(1+'01_Вводные'!$B$131),0),0)</f>
        <v/>
      </c>
      <c r="AQ3690">
        <f>IF('01_Вводные'!$B$234="Да",IF('19_Расчет_аналитики'!AQ3374&gt;=2,'19_Расчет_аналитики'!AQ3385*'01_Вводные'!$B$125/(1+'01_Вводные'!$B$131),0),0)</f>
        <v/>
      </c>
      <c r="AR3690">
        <f>IF('01_Вводные'!$B$234="Да",IF('19_Расчет_аналитики'!AR3374&gt;=2,'19_Расчет_аналитики'!AR3385*'01_Вводные'!$B$125/(1+'01_Вводные'!$B$131),0),0)</f>
        <v/>
      </c>
      <c r="AS3690">
        <f>IF('01_Вводные'!$B$234="Да",IF('19_Расчет_аналитики'!AS3374&gt;=2,'19_Расчет_аналитики'!AS3385*'01_Вводные'!$B$125/(1+'01_Вводные'!$B$131),0),0)</f>
        <v/>
      </c>
      <c r="AT3690">
        <f>IF('01_Вводные'!$B$234="Да",IF('19_Расчет_аналитики'!AT3374&gt;=2,'19_Расчет_аналитики'!AT3385*'01_Вводные'!$B$125/(1+'01_Вводные'!$B$131),0),0)</f>
        <v/>
      </c>
      <c r="AU3690">
        <f>IF('01_Вводные'!$B$234="Да",IF('19_Расчет_аналитики'!AU3374&gt;=2,'19_Расчет_аналитики'!AU3385*'01_Вводные'!$B$125/(1+'01_Вводные'!$B$131),0),0)</f>
        <v/>
      </c>
      <c r="AV3690">
        <f>IF('01_Вводные'!$B$234="Да",IF('19_Расчет_аналитики'!AV3374&gt;=2,'19_Расчет_аналитики'!AV3385*'01_Вводные'!$B$125/(1+'01_Вводные'!$B$131),0),0)</f>
        <v/>
      </c>
      <c r="AW3690">
        <f>IF('01_Вводные'!$B$234="Да",IF('19_Расчет_аналитики'!AW3374&gt;=2,'19_Расчет_аналитики'!AW3385*'01_Вводные'!$B$125/(1+'01_Вводные'!$B$131),0),0)</f>
        <v/>
      </c>
      <c r="AX3690">
        <f>IF('01_Вводные'!$B$234="Да",IF('19_Расчет_аналитики'!AX3374&gt;=2,'19_Расчет_аналитики'!AX3385*'01_Вводные'!$B$125/(1+'01_Вводные'!$B$131),0),0)</f>
        <v/>
      </c>
      <c r="AY3690">
        <f>IF('01_Вводные'!$B$234="Да",IF('19_Расчет_аналитики'!AY3374&gt;=2,'19_Расчет_аналитики'!AY3385*'01_Вводные'!$B$125/(1+'01_Вводные'!$B$131),0),0)</f>
        <v/>
      </c>
      <c r="AZ3690">
        <f>IF('01_Вводные'!$B$234="Да",IF('19_Расчет_аналитики'!AZ3374&gt;=2,'19_Расчет_аналитики'!AZ3385*'01_Вводные'!$B$125/(1+'01_Вводные'!$B$131),0),0)</f>
        <v/>
      </c>
      <c r="BA3690">
        <f>IF('01_Вводные'!$B$234="Да",IF('19_Расчет_аналитики'!BA3374&gt;=2,'19_Расчет_аналитики'!BA3385*'01_Вводные'!$B$125/(1+'01_Вводные'!$B$131),0),0)</f>
        <v/>
      </c>
      <c r="BB3690">
        <f>IF('01_Вводные'!$B$234="Да",IF('19_Расчет_аналитики'!BB3374&gt;=2,'19_Расчет_аналитики'!BB3385*'01_Вводные'!$B$125/(1+'01_Вводные'!$B$131),0),0)</f>
        <v/>
      </c>
      <c r="BC3690">
        <f>IF('01_Вводные'!$B$234="Да",IF('19_Расчет_аналитики'!BC3374&gt;=2,'19_Расчет_аналитики'!BC3385*'01_Вводные'!$B$125/(1+'01_Вводные'!$B$131),0),0)</f>
        <v/>
      </c>
      <c r="BD3690">
        <f>IF('01_Вводные'!$B$234="Да",IF('19_Расчет_аналитики'!BD3374&gt;=2,'19_Расчет_аналитики'!BD3385*'01_Вводные'!$B$125/(1+'01_Вводные'!$B$131),0),0)</f>
        <v/>
      </c>
      <c r="BE3690">
        <f>IF('01_Вводные'!$B$234="Да",IF('19_Расчет_аналитики'!BE3374&gt;=2,'19_Расчет_аналитики'!BE3385*'01_Вводные'!$B$125/(1+'01_Вводные'!$B$131),0),0)</f>
        <v/>
      </c>
      <c r="BF3690">
        <f>IF('01_Вводные'!$B$234="Да",IF('19_Расчет_аналитики'!BF3374&gt;=2,'19_Расчет_аналитики'!BF3385*'01_Вводные'!$B$125/(1+'01_Вводные'!$B$131),0),0)</f>
        <v/>
      </c>
      <c r="BG3690">
        <f>IF('01_Вводные'!$B$234="Да",IF('19_Расчет_аналитики'!BG3374&gt;=2,'19_Расчет_аналитики'!BG3385*'01_Вводные'!$B$125/(1+'01_Вводные'!$B$131),0),0)</f>
        <v/>
      </c>
      <c r="BH3690">
        <f>IF('01_Вводные'!$B$234="Да",IF('19_Расчет_аналитики'!BH3374&gt;=2,'19_Расчет_аналитики'!BH3385*'01_Вводные'!$B$125/(1+'01_Вводные'!$B$131),0),0)</f>
        <v/>
      </c>
      <c r="BI3690">
        <f>IF('01_Вводные'!$B$234="Да",IF('19_Расчет_аналитики'!BI3374&gt;=2,'19_Расчет_аналитики'!BI3385*'01_Вводные'!$B$125/(1+'01_Вводные'!$B$131),0),0)</f>
        <v/>
      </c>
    </row>
    <row r="3691">
      <c r="C3691">
        <f>IF('01_Вводные'!$B$234="Да",'19_Расчет_аналитики'!C3690*'01_Вводные'!$B$131,0)</f>
        <v/>
      </c>
      <c r="D3691">
        <f>IF('01_Вводные'!$B$234="Да",'19_Расчет_аналитики'!D3690*'01_Вводные'!$B$131,0)</f>
        <v/>
      </c>
      <c r="E3691">
        <f>IF('01_Вводные'!$B$234="Да",'19_Расчет_аналитики'!E3690*'01_Вводные'!$B$131,0)</f>
        <v/>
      </c>
      <c r="F3691">
        <f>IF('01_Вводные'!$B$234="Да",'19_Расчет_аналитики'!F3690*'01_Вводные'!$B$131,0)</f>
        <v/>
      </c>
      <c r="G3691">
        <f>IF('01_Вводные'!$B$234="Да",'19_Расчет_аналитики'!G3690*'01_Вводные'!$B$131,0)</f>
        <v/>
      </c>
      <c r="H3691">
        <f>IF('01_Вводные'!$B$234="Да",'19_Расчет_аналитики'!H3690*'01_Вводные'!$B$131,0)</f>
        <v/>
      </c>
      <c r="I3691">
        <f>IF('01_Вводные'!$B$234="Да",'19_Расчет_аналитики'!I3690*'01_Вводные'!$B$131,0)</f>
        <v/>
      </c>
      <c r="J3691">
        <f>IF('01_Вводные'!$B$234="Да",'19_Расчет_аналитики'!J3690*'01_Вводные'!$B$131,0)</f>
        <v/>
      </c>
      <c r="K3691">
        <f>IF('01_Вводные'!$B$234="Да",'19_Расчет_аналитики'!K3690*'01_Вводные'!$B$131,0)</f>
        <v/>
      </c>
      <c r="L3691">
        <f>IF('01_Вводные'!$B$234="Да",'19_Расчет_аналитики'!L3690*'01_Вводные'!$B$131,0)</f>
        <v/>
      </c>
      <c r="M3691">
        <f>IF('01_Вводные'!$B$234="Да",'19_Расчет_аналитики'!M3690*'01_Вводные'!$B$131,0)</f>
        <v/>
      </c>
      <c r="N3691">
        <f>IF('01_Вводные'!$B$234="Да",'19_Расчет_аналитики'!N3690*'01_Вводные'!$B$131,0)</f>
        <v/>
      </c>
      <c r="O3691">
        <f>IF('01_Вводные'!$B$234="Да",'19_Расчет_аналитики'!O3690*'01_Вводные'!$B$131,0)</f>
        <v/>
      </c>
      <c r="P3691">
        <f>IF('01_Вводные'!$B$234="Да",'19_Расчет_аналитики'!P3690*'01_Вводные'!$B$131,0)</f>
        <v/>
      </c>
      <c r="Q3691">
        <f>IF('01_Вводные'!$B$234="Да",'19_Расчет_аналитики'!Q3690*'01_Вводные'!$B$131,0)</f>
        <v/>
      </c>
      <c r="R3691">
        <f>IF('01_Вводные'!$B$234="Да",'19_Расчет_аналитики'!R3690*'01_Вводные'!$B$131,0)</f>
        <v/>
      </c>
      <c r="S3691">
        <f>IF('01_Вводные'!$B$234="Да",'19_Расчет_аналитики'!S3690*'01_Вводные'!$B$131,0)</f>
        <v/>
      </c>
      <c r="T3691">
        <f>IF('01_Вводные'!$B$234="Да",'19_Расчет_аналитики'!T3690*'01_Вводные'!$B$131,0)</f>
        <v/>
      </c>
      <c r="U3691">
        <f>IF('01_Вводные'!$B$234="Да",'19_Расчет_аналитики'!U3690*'01_Вводные'!$B$131,0)</f>
        <v/>
      </c>
      <c r="V3691">
        <f>IF('01_Вводные'!$B$234="Да",'19_Расчет_аналитики'!V3690*'01_Вводные'!$B$131,0)</f>
        <v/>
      </c>
      <c r="W3691">
        <f>IF('01_Вводные'!$B$234="Да",'19_Расчет_аналитики'!W3690*'01_Вводные'!$B$131,0)</f>
        <v/>
      </c>
      <c r="X3691">
        <f>IF('01_Вводные'!$B$234="Да",'19_Расчет_аналитики'!X3690*'01_Вводные'!$B$131,0)</f>
        <v/>
      </c>
      <c r="Y3691">
        <f>IF('01_Вводные'!$B$234="Да",'19_Расчет_аналитики'!Y3690*'01_Вводные'!$B$131,0)</f>
        <v/>
      </c>
      <c r="Z3691">
        <f>IF('01_Вводные'!$B$234="Да",'19_Расчет_аналитики'!Z3690*'01_Вводные'!$B$131,0)</f>
        <v/>
      </c>
      <c r="AA3691">
        <f>IF('01_Вводные'!$B$234="Да",'19_Расчет_аналитики'!AA3690*'01_Вводные'!$B$131,0)</f>
        <v/>
      </c>
      <c r="AB3691">
        <f>IF('01_Вводные'!$B$234="Да",'19_Расчет_аналитики'!AB3690*'01_Вводные'!$B$131,0)</f>
        <v/>
      </c>
      <c r="AC3691">
        <f>IF('01_Вводные'!$B$234="Да",'19_Расчет_аналитики'!AC3690*'01_Вводные'!$B$131,0)</f>
        <v/>
      </c>
      <c r="AD3691">
        <f>IF('01_Вводные'!$B$234="Да",'19_Расчет_аналитики'!AD3690*'01_Вводные'!$B$131,0)</f>
        <v/>
      </c>
      <c r="AE3691">
        <f>IF('01_Вводные'!$B$234="Да",'19_Расчет_аналитики'!AE3690*'01_Вводные'!$B$131,0)</f>
        <v/>
      </c>
      <c r="AF3691">
        <f>IF('01_Вводные'!$B$234="Да",'19_Расчет_аналитики'!AF3690*'01_Вводные'!$B$131,0)</f>
        <v/>
      </c>
      <c r="AG3691">
        <f>IF('01_Вводные'!$B$234="Да",'19_Расчет_аналитики'!AG3690*'01_Вводные'!$B$131,0)</f>
        <v/>
      </c>
      <c r="AH3691">
        <f>IF('01_Вводные'!$B$234="Да",'19_Расчет_аналитики'!AH3690*'01_Вводные'!$B$131,0)</f>
        <v/>
      </c>
      <c r="AI3691">
        <f>IF('01_Вводные'!$B$234="Да",'19_Расчет_аналитики'!AI3690*'01_Вводные'!$B$131,0)</f>
        <v/>
      </c>
      <c r="AJ3691">
        <f>IF('01_Вводные'!$B$234="Да",'19_Расчет_аналитики'!AJ3690*'01_Вводные'!$B$131,0)</f>
        <v/>
      </c>
      <c r="AK3691">
        <f>IF('01_Вводные'!$B$234="Да",'19_Расчет_аналитики'!AK3690*'01_Вводные'!$B$131,0)</f>
        <v/>
      </c>
      <c r="AL3691">
        <f>IF('01_Вводные'!$B$234="Да",'19_Расчет_аналитики'!AL3690*'01_Вводные'!$B$131,0)</f>
        <v/>
      </c>
      <c r="AM3691">
        <f>IF('01_Вводные'!$B$234="Да",'19_Расчет_аналитики'!AM3690*'01_Вводные'!$B$131,0)</f>
        <v/>
      </c>
      <c r="AN3691">
        <f>IF('01_Вводные'!$B$234="Да",'19_Расчет_аналитики'!AN3690*'01_Вводные'!$B$131,0)</f>
        <v/>
      </c>
      <c r="AO3691">
        <f>IF('01_Вводные'!$B$234="Да",'19_Расчет_аналитики'!AO3690*'01_Вводные'!$B$131,0)</f>
        <v/>
      </c>
      <c r="AP3691">
        <f>IF('01_Вводные'!$B$234="Да",'19_Расчет_аналитики'!AP3690*'01_Вводные'!$B$131,0)</f>
        <v/>
      </c>
      <c r="AQ3691">
        <f>IF('01_Вводные'!$B$234="Да",'19_Расчет_аналитики'!AQ3690*'01_Вводные'!$B$131,0)</f>
        <v/>
      </c>
      <c r="AR3691">
        <f>IF('01_Вводные'!$B$234="Да",'19_Расчет_аналитики'!AR3690*'01_Вводные'!$B$131,0)</f>
        <v/>
      </c>
      <c r="AS3691">
        <f>IF('01_Вводные'!$B$234="Да",'19_Расчет_аналитики'!AS3690*'01_Вводные'!$B$131,0)</f>
        <v/>
      </c>
      <c r="AT3691">
        <f>IF('01_Вводные'!$B$234="Да",'19_Расчет_аналитики'!AT3690*'01_Вводные'!$B$131,0)</f>
        <v/>
      </c>
      <c r="AU3691">
        <f>IF('01_Вводные'!$B$234="Да",'19_Расчет_аналитики'!AU3690*'01_Вводные'!$B$131,0)</f>
        <v/>
      </c>
      <c r="AV3691">
        <f>IF('01_Вводные'!$B$234="Да",'19_Расчет_аналитики'!AV3690*'01_Вводные'!$B$131,0)</f>
        <v/>
      </c>
      <c r="AW3691">
        <f>IF('01_Вводные'!$B$234="Да",'19_Расчет_аналитики'!AW3690*'01_Вводные'!$B$131,0)</f>
        <v/>
      </c>
      <c r="AX3691">
        <f>IF('01_Вводные'!$B$234="Да",'19_Расчет_аналитики'!AX3690*'01_Вводные'!$B$131,0)</f>
        <v/>
      </c>
      <c r="AY3691">
        <f>IF('01_Вводные'!$B$234="Да",'19_Расчет_аналитики'!AY3690*'01_Вводные'!$B$131,0)</f>
        <v/>
      </c>
      <c r="AZ3691">
        <f>IF('01_Вводные'!$B$234="Да",'19_Расчет_аналитики'!AZ3690*'01_Вводные'!$B$131,0)</f>
        <v/>
      </c>
      <c r="BA3691">
        <f>IF('01_Вводные'!$B$234="Да",'19_Расчет_аналитики'!BA3690*'01_Вводные'!$B$131,0)</f>
        <v/>
      </c>
      <c r="BB3691">
        <f>IF('01_Вводные'!$B$234="Да",'19_Расчет_аналитики'!BB3690*'01_Вводные'!$B$131,0)</f>
        <v/>
      </c>
      <c r="BC3691">
        <f>IF('01_Вводные'!$B$234="Да",'19_Расчет_аналитики'!BC3690*'01_Вводные'!$B$131,0)</f>
        <v/>
      </c>
      <c r="BD3691">
        <f>IF('01_Вводные'!$B$234="Да",'19_Расчет_аналитики'!BD3690*'01_Вводные'!$B$131,0)</f>
        <v/>
      </c>
      <c r="BE3691">
        <f>IF('01_Вводные'!$B$234="Да",'19_Расчет_аналитики'!BE3690*'01_Вводные'!$B$131,0)</f>
        <v/>
      </c>
      <c r="BF3691">
        <f>IF('01_Вводные'!$B$234="Да",'19_Расчет_аналитики'!BF3690*'01_Вводные'!$B$131,0)</f>
        <v/>
      </c>
      <c r="BG3691">
        <f>IF('01_Вводные'!$B$234="Да",'19_Расчет_аналитики'!BG3690*'01_Вводные'!$B$131,0)</f>
        <v/>
      </c>
      <c r="BH3691">
        <f>IF('01_Вводные'!$B$234="Да",'19_Расчет_аналитики'!BH3690*'01_Вводные'!$B$131,0)</f>
        <v/>
      </c>
      <c r="BI3691">
        <f>IF('01_Вводные'!$B$234="Да",'19_Расчет_аналитики'!BI3690*'01_Вводные'!$B$131,0)</f>
        <v/>
      </c>
    </row>
    <row r="3692">
      <c r="C3692">
        <f>IF('01_Вводные'!$B$234="Да",IF('19_Расчет_аналитики'!C3374&gt;='01_Вводные'!$B$126,IF('01_Вводные'!$B$129="ИП",'01_Вводные'!$B$127+'19_Расчет_аналитики'!C3385*'01_Вводные'!$B$128,('01_Вводные'!$B$127/'01_Вводные'!$B$132+'19_Расчет_аналитики'!C3385*'01_Вводные'!$B$128)*(1+'01_Вводные'!$B$131)),0),0)</f>
        <v/>
      </c>
      <c r="D3692">
        <f>IF('01_Вводные'!$B$234="Да",IF('19_Расчет_аналитики'!D3374&gt;='01_Вводные'!$B$126,IF('01_Вводные'!$B$129="ИП",'01_Вводные'!$B$127+'19_Расчет_аналитики'!D3385*'01_Вводные'!$B$128,('01_Вводные'!$B$127/'01_Вводные'!$B$132+'19_Расчет_аналитики'!D3385*'01_Вводные'!$B$128)*(1+'01_Вводные'!$B$131)),0),0)</f>
        <v/>
      </c>
      <c r="E3692">
        <f>IF('01_Вводные'!$B$234="Да",IF('19_Расчет_аналитики'!E3374&gt;='01_Вводные'!$B$126,IF('01_Вводные'!$B$129="ИП",'01_Вводные'!$B$127+'19_Расчет_аналитики'!E3385*'01_Вводные'!$B$128,('01_Вводные'!$B$127/'01_Вводные'!$B$132+'19_Расчет_аналитики'!E3385*'01_Вводные'!$B$128)*(1+'01_Вводные'!$B$131)),0),0)</f>
        <v/>
      </c>
      <c r="F3692">
        <f>IF('01_Вводные'!$B$234="Да",IF('19_Расчет_аналитики'!F3374&gt;='01_Вводные'!$B$126,IF('01_Вводные'!$B$129="ИП",'01_Вводные'!$B$127+'19_Расчет_аналитики'!F3385*'01_Вводные'!$B$128,('01_Вводные'!$B$127/'01_Вводные'!$B$132+'19_Расчет_аналитики'!F3385*'01_Вводные'!$B$128)*(1+'01_Вводные'!$B$131)),0),0)</f>
        <v/>
      </c>
      <c r="G3692">
        <f>IF('01_Вводные'!$B$234="Да",IF('19_Расчет_аналитики'!G3374&gt;='01_Вводные'!$B$126,IF('01_Вводные'!$B$129="ИП",'01_Вводные'!$B$127+'19_Расчет_аналитики'!G3385*'01_Вводные'!$B$128,('01_Вводные'!$B$127/'01_Вводные'!$B$132+'19_Расчет_аналитики'!G3385*'01_Вводные'!$B$128)*(1+'01_Вводные'!$B$131)),0),0)</f>
        <v/>
      </c>
      <c r="H3692">
        <f>IF('01_Вводные'!$B$234="Да",IF('19_Расчет_аналитики'!H3374&gt;='01_Вводные'!$B$126,IF('01_Вводные'!$B$129="ИП",'01_Вводные'!$B$127+'19_Расчет_аналитики'!H3385*'01_Вводные'!$B$128,('01_Вводные'!$B$127/'01_Вводные'!$B$132+'19_Расчет_аналитики'!H3385*'01_Вводные'!$B$128)*(1+'01_Вводные'!$B$131)),0),0)</f>
        <v/>
      </c>
      <c r="I3692">
        <f>IF('01_Вводные'!$B$234="Да",IF('19_Расчет_аналитики'!I3374&gt;='01_Вводные'!$B$126,IF('01_Вводные'!$B$129="ИП",'01_Вводные'!$B$127+'19_Расчет_аналитики'!I3385*'01_Вводные'!$B$128,('01_Вводные'!$B$127/'01_Вводные'!$B$132+'19_Расчет_аналитики'!I3385*'01_Вводные'!$B$128)*(1+'01_Вводные'!$B$131)),0),0)</f>
        <v/>
      </c>
      <c r="J3692">
        <f>IF('01_Вводные'!$B$234="Да",IF('19_Расчет_аналитики'!J3374&gt;='01_Вводные'!$B$126,IF('01_Вводные'!$B$129="ИП",'01_Вводные'!$B$127+'19_Расчет_аналитики'!J3385*'01_Вводные'!$B$128,('01_Вводные'!$B$127/'01_Вводные'!$B$132+'19_Расчет_аналитики'!J3385*'01_Вводные'!$B$128)*(1+'01_Вводные'!$B$131)),0),0)</f>
        <v/>
      </c>
      <c r="K3692">
        <f>IF('01_Вводные'!$B$234="Да",IF('19_Расчет_аналитики'!K3374&gt;='01_Вводные'!$B$126,IF('01_Вводные'!$B$129="ИП",'01_Вводные'!$B$127+'19_Расчет_аналитики'!K3385*'01_Вводные'!$B$128,('01_Вводные'!$B$127/'01_Вводные'!$B$132+'19_Расчет_аналитики'!K3385*'01_Вводные'!$B$128)*(1+'01_Вводные'!$B$131)),0),0)</f>
        <v/>
      </c>
      <c r="L3692">
        <f>IF('01_Вводные'!$B$234="Да",IF('19_Расчет_аналитики'!L3374&gt;='01_Вводные'!$B$126,IF('01_Вводные'!$B$129="ИП",'01_Вводные'!$B$127+'19_Расчет_аналитики'!L3385*'01_Вводные'!$B$128,('01_Вводные'!$B$127/'01_Вводные'!$B$132+'19_Расчет_аналитики'!L3385*'01_Вводные'!$B$128)*(1+'01_Вводные'!$B$131)),0),0)</f>
        <v/>
      </c>
      <c r="M3692">
        <f>IF('01_Вводные'!$B$234="Да",IF('19_Расчет_аналитики'!M3374&gt;='01_Вводные'!$B$126,IF('01_Вводные'!$B$129="ИП",'01_Вводные'!$B$127+'19_Расчет_аналитики'!M3385*'01_Вводные'!$B$128,('01_Вводные'!$B$127/'01_Вводные'!$B$132+'19_Расчет_аналитики'!M3385*'01_Вводные'!$B$128)*(1+'01_Вводные'!$B$131)),0),0)</f>
        <v/>
      </c>
      <c r="N3692">
        <f>IF('01_Вводные'!$B$234="Да",IF('19_Расчет_аналитики'!N3374&gt;='01_Вводные'!$B$126,IF('01_Вводные'!$B$129="ИП",'01_Вводные'!$B$127+'19_Расчет_аналитики'!N3385*'01_Вводные'!$B$128,('01_Вводные'!$B$127/'01_Вводные'!$B$132+'19_Расчет_аналитики'!N3385*'01_Вводные'!$B$128)*(1+'01_Вводные'!$B$131)),0),0)</f>
        <v/>
      </c>
      <c r="O3692">
        <f>IF('01_Вводные'!$B$234="Да",IF('19_Расчет_аналитики'!O3374&gt;='01_Вводные'!$B$126,IF('01_Вводные'!$B$129="ИП",'01_Вводные'!$B$127+'19_Расчет_аналитики'!O3385*'01_Вводные'!$B$128,('01_Вводные'!$B$127/'01_Вводные'!$B$132+'19_Расчет_аналитики'!O3385*'01_Вводные'!$B$128)*(1+'01_Вводные'!$B$131)),0),0)</f>
        <v/>
      </c>
      <c r="P3692">
        <f>IF('01_Вводные'!$B$234="Да",IF('19_Расчет_аналитики'!P3374&gt;='01_Вводные'!$B$126,IF('01_Вводные'!$B$129="ИП",'01_Вводные'!$B$127+'19_Расчет_аналитики'!P3385*'01_Вводные'!$B$128,('01_Вводные'!$B$127/'01_Вводные'!$B$132+'19_Расчет_аналитики'!P3385*'01_Вводные'!$B$128)*(1+'01_Вводные'!$B$131)),0),0)</f>
        <v/>
      </c>
      <c r="Q3692">
        <f>IF('01_Вводные'!$B$234="Да",IF('19_Расчет_аналитики'!Q3374&gt;='01_Вводные'!$B$126,IF('01_Вводные'!$B$129="ИП",'01_Вводные'!$B$127+'19_Расчет_аналитики'!Q3385*'01_Вводные'!$B$128,('01_Вводные'!$B$127/'01_Вводные'!$B$132+'19_Расчет_аналитики'!Q3385*'01_Вводные'!$B$128)*(1+'01_Вводные'!$B$131)),0),0)</f>
        <v/>
      </c>
      <c r="R3692">
        <f>IF('01_Вводные'!$B$234="Да",IF('19_Расчет_аналитики'!R3374&gt;='01_Вводные'!$B$126,IF('01_Вводные'!$B$129="ИП",'01_Вводные'!$B$127+'19_Расчет_аналитики'!R3385*'01_Вводные'!$B$128,('01_Вводные'!$B$127/'01_Вводные'!$B$132+'19_Расчет_аналитики'!R3385*'01_Вводные'!$B$128)*(1+'01_Вводные'!$B$131)),0),0)</f>
        <v/>
      </c>
      <c r="S3692">
        <f>IF('01_Вводные'!$B$234="Да",IF('19_Расчет_аналитики'!S3374&gt;='01_Вводные'!$B$126,IF('01_Вводные'!$B$129="ИП",'01_Вводные'!$B$127+'19_Расчет_аналитики'!S3385*'01_Вводные'!$B$128,('01_Вводные'!$B$127/'01_Вводные'!$B$132+'19_Расчет_аналитики'!S3385*'01_Вводные'!$B$128)*(1+'01_Вводные'!$B$131)),0),0)</f>
        <v/>
      </c>
      <c r="T3692">
        <f>IF('01_Вводные'!$B$234="Да",IF('19_Расчет_аналитики'!T3374&gt;='01_Вводные'!$B$126,IF('01_Вводные'!$B$129="ИП",'01_Вводные'!$B$127+'19_Расчет_аналитики'!T3385*'01_Вводные'!$B$128,('01_Вводные'!$B$127/'01_Вводные'!$B$132+'19_Расчет_аналитики'!T3385*'01_Вводные'!$B$128)*(1+'01_Вводные'!$B$131)),0),0)</f>
        <v/>
      </c>
      <c r="U3692">
        <f>IF('01_Вводные'!$B$234="Да",IF('19_Расчет_аналитики'!U3374&gt;='01_Вводные'!$B$126,IF('01_Вводные'!$B$129="ИП",'01_Вводные'!$B$127+'19_Расчет_аналитики'!U3385*'01_Вводные'!$B$128,('01_Вводные'!$B$127/'01_Вводные'!$B$132+'19_Расчет_аналитики'!U3385*'01_Вводные'!$B$128)*(1+'01_Вводные'!$B$131)),0),0)</f>
        <v/>
      </c>
      <c r="V3692">
        <f>IF('01_Вводные'!$B$234="Да",IF('19_Расчет_аналитики'!V3374&gt;='01_Вводные'!$B$126,IF('01_Вводные'!$B$129="ИП",'01_Вводные'!$B$127+'19_Расчет_аналитики'!V3385*'01_Вводные'!$B$128,('01_Вводные'!$B$127/'01_Вводные'!$B$132+'19_Расчет_аналитики'!V3385*'01_Вводные'!$B$128)*(1+'01_Вводные'!$B$131)),0),0)</f>
        <v/>
      </c>
      <c r="W3692">
        <f>IF('01_Вводные'!$B$234="Да",IF('19_Расчет_аналитики'!W3374&gt;='01_Вводные'!$B$126,IF('01_Вводные'!$B$129="ИП",'01_Вводные'!$B$127+'19_Расчет_аналитики'!W3385*'01_Вводные'!$B$128,('01_Вводные'!$B$127/'01_Вводные'!$B$132+'19_Расчет_аналитики'!W3385*'01_Вводные'!$B$128)*(1+'01_Вводные'!$B$131)),0),0)</f>
        <v/>
      </c>
      <c r="X3692">
        <f>IF('01_Вводные'!$B$234="Да",IF('19_Расчет_аналитики'!X3374&gt;='01_Вводные'!$B$126,IF('01_Вводные'!$B$129="ИП",'01_Вводные'!$B$127+'19_Расчет_аналитики'!X3385*'01_Вводные'!$B$128,('01_Вводные'!$B$127/'01_Вводные'!$B$132+'19_Расчет_аналитики'!X3385*'01_Вводные'!$B$128)*(1+'01_Вводные'!$B$131)),0),0)</f>
        <v/>
      </c>
      <c r="Y3692">
        <f>IF('01_Вводные'!$B$234="Да",IF('19_Расчет_аналитики'!Y3374&gt;='01_Вводные'!$B$126,IF('01_Вводные'!$B$129="ИП",'01_Вводные'!$B$127+'19_Расчет_аналитики'!Y3385*'01_Вводные'!$B$128,('01_Вводные'!$B$127/'01_Вводные'!$B$132+'19_Расчет_аналитики'!Y3385*'01_Вводные'!$B$128)*(1+'01_Вводные'!$B$131)),0),0)</f>
        <v/>
      </c>
      <c r="Z3692">
        <f>IF('01_Вводные'!$B$234="Да",IF('19_Расчет_аналитики'!Z3374&gt;='01_Вводные'!$B$126,IF('01_Вводные'!$B$129="ИП",'01_Вводные'!$B$127+'19_Расчет_аналитики'!Z3385*'01_Вводные'!$B$128,('01_Вводные'!$B$127/'01_Вводные'!$B$132+'19_Расчет_аналитики'!Z3385*'01_Вводные'!$B$128)*(1+'01_Вводные'!$B$131)),0),0)</f>
        <v/>
      </c>
      <c r="AA3692">
        <f>IF('01_Вводные'!$B$234="Да",IF('19_Расчет_аналитики'!AA3374&gt;='01_Вводные'!$B$126,IF('01_Вводные'!$B$129="ИП",'01_Вводные'!$B$127+'19_Расчет_аналитики'!AA3385*'01_Вводные'!$B$128,('01_Вводные'!$B$127/'01_Вводные'!$B$132+'19_Расчет_аналитики'!AA3385*'01_Вводные'!$B$128)*(1+'01_Вводные'!$B$131)),0),0)</f>
        <v/>
      </c>
      <c r="AB3692">
        <f>IF('01_Вводные'!$B$234="Да",IF('19_Расчет_аналитики'!AB3374&gt;='01_Вводные'!$B$126,IF('01_Вводные'!$B$129="ИП",'01_Вводные'!$B$127+'19_Расчет_аналитики'!AB3385*'01_Вводные'!$B$128,('01_Вводные'!$B$127/'01_Вводные'!$B$132+'19_Расчет_аналитики'!AB3385*'01_Вводные'!$B$128)*(1+'01_Вводные'!$B$131)),0),0)</f>
        <v/>
      </c>
      <c r="AC3692">
        <f>IF('01_Вводные'!$B$234="Да",IF('19_Расчет_аналитики'!AC3374&gt;='01_Вводные'!$B$126,IF('01_Вводные'!$B$129="ИП",'01_Вводные'!$B$127+'19_Расчет_аналитики'!AC3385*'01_Вводные'!$B$128,('01_Вводные'!$B$127/'01_Вводные'!$B$132+'19_Расчет_аналитики'!AC3385*'01_Вводные'!$B$128)*(1+'01_Вводные'!$B$131)),0),0)</f>
        <v/>
      </c>
      <c r="AD3692">
        <f>IF('01_Вводные'!$B$234="Да",IF('19_Расчет_аналитики'!AD3374&gt;='01_Вводные'!$B$126,IF('01_Вводные'!$B$129="ИП",'01_Вводные'!$B$127+'19_Расчет_аналитики'!AD3385*'01_Вводные'!$B$128,('01_Вводные'!$B$127/'01_Вводные'!$B$132+'19_Расчет_аналитики'!AD3385*'01_Вводные'!$B$128)*(1+'01_Вводные'!$B$131)),0),0)</f>
        <v/>
      </c>
      <c r="AE3692">
        <f>IF('01_Вводные'!$B$234="Да",IF('19_Расчет_аналитики'!AE3374&gt;='01_Вводные'!$B$126,IF('01_Вводные'!$B$129="ИП",'01_Вводные'!$B$127+'19_Расчет_аналитики'!AE3385*'01_Вводные'!$B$128,('01_Вводные'!$B$127/'01_Вводные'!$B$132+'19_Расчет_аналитики'!AE3385*'01_Вводные'!$B$128)*(1+'01_Вводные'!$B$131)),0),0)</f>
        <v/>
      </c>
      <c r="AF3692">
        <f>IF('01_Вводные'!$B$234="Да",IF('19_Расчет_аналитики'!AF3374&gt;='01_Вводные'!$B$126,IF('01_Вводные'!$B$129="ИП",'01_Вводные'!$B$127+'19_Расчет_аналитики'!AF3385*'01_Вводные'!$B$128,('01_Вводные'!$B$127/'01_Вводные'!$B$132+'19_Расчет_аналитики'!AF3385*'01_Вводные'!$B$128)*(1+'01_Вводные'!$B$131)),0),0)</f>
        <v/>
      </c>
      <c r="AG3692">
        <f>IF('01_Вводные'!$B$234="Да",IF('19_Расчет_аналитики'!AG3374&gt;='01_Вводные'!$B$126,IF('01_Вводные'!$B$129="ИП",'01_Вводные'!$B$127+'19_Расчет_аналитики'!AG3385*'01_Вводные'!$B$128,('01_Вводные'!$B$127/'01_Вводные'!$B$132+'19_Расчет_аналитики'!AG3385*'01_Вводные'!$B$128)*(1+'01_Вводные'!$B$131)),0),0)</f>
        <v/>
      </c>
      <c r="AH3692">
        <f>IF('01_Вводные'!$B$234="Да",IF('19_Расчет_аналитики'!AH3374&gt;='01_Вводные'!$B$126,IF('01_Вводные'!$B$129="ИП",'01_Вводные'!$B$127+'19_Расчет_аналитики'!AH3385*'01_Вводные'!$B$128,('01_Вводные'!$B$127/'01_Вводные'!$B$132+'19_Расчет_аналитики'!AH3385*'01_Вводные'!$B$128)*(1+'01_Вводные'!$B$131)),0),0)</f>
        <v/>
      </c>
      <c r="AI3692">
        <f>IF('01_Вводные'!$B$234="Да",IF('19_Расчет_аналитики'!AI3374&gt;='01_Вводные'!$B$126,IF('01_Вводные'!$B$129="ИП",'01_Вводные'!$B$127+'19_Расчет_аналитики'!AI3385*'01_Вводные'!$B$128,('01_Вводные'!$B$127/'01_Вводные'!$B$132+'19_Расчет_аналитики'!AI3385*'01_Вводные'!$B$128)*(1+'01_Вводные'!$B$131)),0),0)</f>
        <v/>
      </c>
      <c r="AJ3692">
        <f>IF('01_Вводные'!$B$234="Да",IF('19_Расчет_аналитики'!AJ3374&gt;='01_Вводные'!$B$126,IF('01_Вводные'!$B$129="ИП",'01_Вводные'!$B$127+'19_Расчет_аналитики'!AJ3385*'01_Вводные'!$B$128,('01_Вводные'!$B$127/'01_Вводные'!$B$132+'19_Расчет_аналитики'!AJ3385*'01_Вводные'!$B$128)*(1+'01_Вводные'!$B$131)),0),0)</f>
        <v/>
      </c>
      <c r="AK3692">
        <f>IF('01_Вводные'!$B$234="Да",IF('19_Расчет_аналитики'!AK3374&gt;='01_Вводные'!$B$126,IF('01_Вводные'!$B$129="ИП",'01_Вводные'!$B$127+'19_Расчет_аналитики'!AK3385*'01_Вводные'!$B$128,('01_Вводные'!$B$127/'01_Вводные'!$B$132+'19_Расчет_аналитики'!AK3385*'01_Вводные'!$B$128)*(1+'01_Вводные'!$B$131)),0),0)</f>
        <v/>
      </c>
      <c r="AL3692">
        <f>IF('01_Вводные'!$B$234="Да",IF('19_Расчет_аналитики'!AL3374&gt;='01_Вводные'!$B$126,IF('01_Вводные'!$B$129="ИП",'01_Вводные'!$B$127+'19_Расчет_аналитики'!AL3385*'01_Вводные'!$B$128,('01_Вводные'!$B$127/'01_Вводные'!$B$132+'19_Расчет_аналитики'!AL3385*'01_Вводные'!$B$128)*(1+'01_Вводные'!$B$131)),0),0)</f>
        <v/>
      </c>
      <c r="AM3692">
        <f>IF('01_Вводные'!$B$234="Да",IF('19_Расчет_аналитики'!AM3374&gt;='01_Вводные'!$B$126,IF('01_Вводные'!$B$129="ИП",'01_Вводные'!$B$127+'19_Расчет_аналитики'!AM3385*'01_Вводные'!$B$128,('01_Вводные'!$B$127/'01_Вводные'!$B$132+'19_Расчет_аналитики'!AM3385*'01_Вводные'!$B$128)*(1+'01_Вводные'!$B$131)),0),0)</f>
        <v/>
      </c>
      <c r="AN3692">
        <f>IF('01_Вводные'!$B$234="Да",IF('19_Расчет_аналитики'!AN3374&gt;='01_Вводные'!$B$126,IF('01_Вводные'!$B$129="ИП",'01_Вводные'!$B$127+'19_Расчет_аналитики'!AN3385*'01_Вводные'!$B$128,('01_Вводные'!$B$127/'01_Вводные'!$B$132+'19_Расчет_аналитики'!AN3385*'01_Вводные'!$B$128)*(1+'01_Вводные'!$B$131)),0),0)</f>
        <v/>
      </c>
      <c r="AO3692">
        <f>IF('01_Вводные'!$B$234="Да",IF('19_Расчет_аналитики'!AO3374&gt;='01_Вводные'!$B$126,IF('01_Вводные'!$B$129="ИП",'01_Вводные'!$B$127+'19_Расчет_аналитики'!AO3385*'01_Вводные'!$B$128,('01_Вводные'!$B$127/'01_Вводные'!$B$132+'19_Расчет_аналитики'!AO3385*'01_Вводные'!$B$128)*(1+'01_Вводные'!$B$131)),0),0)</f>
        <v/>
      </c>
      <c r="AP3692">
        <f>IF('01_Вводные'!$B$234="Да",IF('19_Расчет_аналитики'!AP3374&gt;='01_Вводные'!$B$126,IF('01_Вводные'!$B$129="ИП",'01_Вводные'!$B$127+'19_Расчет_аналитики'!AP3385*'01_Вводные'!$B$128,('01_Вводные'!$B$127/'01_Вводные'!$B$132+'19_Расчет_аналитики'!AP3385*'01_Вводные'!$B$128)*(1+'01_Вводные'!$B$131)),0),0)</f>
        <v/>
      </c>
      <c r="AQ3692">
        <f>IF('01_Вводные'!$B$234="Да",IF('19_Расчет_аналитики'!AQ3374&gt;='01_Вводные'!$B$126,IF('01_Вводные'!$B$129="ИП",'01_Вводные'!$B$127+'19_Расчет_аналитики'!AQ3385*'01_Вводные'!$B$128,('01_Вводные'!$B$127/'01_Вводные'!$B$132+'19_Расчет_аналитики'!AQ3385*'01_Вводные'!$B$128)*(1+'01_Вводные'!$B$131)),0),0)</f>
        <v/>
      </c>
      <c r="AR3692">
        <f>IF('01_Вводные'!$B$234="Да",IF('19_Расчет_аналитики'!AR3374&gt;='01_Вводные'!$B$126,IF('01_Вводные'!$B$129="ИП",'01_Вводные'!$B$127+'19_Расчет_аналитики'!AR3385*'01_Вводные'!$B$128,('01_Вводные'!$B$127/'01_Вводные'!$B$132+'19_Расчет_аналитики'!AR3385*'01_Вводные'!$B$128)*(1+'01_Вводные'!$B$131)),0),0)</f>
        <v/>
      </c>
      <c r="AS3692">
        <f>IF('01_Вводные'!$B$234="Да",IF('19_Расчет_аналитики'!AS3374&gt;='01_Вводные'!$B$126,IF('01_Вводные'!$B$129="ИП",'01_Вводные'!$B$127+'19_Расчет_аналитики'!AS3385*'01_Вводные'!$B$128,('01_Вводные'!$B$127/'01_Вводные'!$B$132+'19_Расчет_аналитики'!AS3385*'01_Вводные'!$B$128)*(1+'01_Вводные'!$B$131)),0),0)</f>
        <v/>
      </c>
      <c r="AT3692">
        <f>IF('01_Вводные'!$B$234="Да",IF('19_Расчет_аналитики'!AT3374&gt;='01_Вводные'!$B$126,IF('01_Вводные'!$B$129="ИП",'01_Вводные'!$B$127+'19_Расчет_аналитики'!AT3385*'01_Вводные'!$B$128,('01_Вводные'!$B$127/'01_Вводные'!$B$132+'19_Расчет_аналитики'!AT3385*'01_Вводные'!$B$128)*(1+'01_Вводные'!$B$131)),0),0)</f>
        <v/>
      </c>
      <c r="AU3692">
        <f>IF('01_Вводные'!$B$234="Да",IF('19_Расчет_аналитики'!AU3374&gt;='01_Вводные'!$B$126,IF('01_Вводные'!$B$129="ИП",'01_Вводные'!$B$127+'19_Расчет_аналитики'!AU3385*'01_Вводные'!$B$128,('01_Вводные'!$B$127/'01_Вводные'!$B$132+'19_Расчет_аналитики'!AU3385*'01_Вводные'!$B$128)*(1+'01_Вводные'!$B$131)),0),0)</f>
        <v/>
      </c>
      <c r="AV3692">
        <f>IF('01_Вводные'!$B$234="Да",IF('19_Расчет_аналитики'!AV3374&gt;='01_Вводные'!$B$126,IF('01_Вводные'!$B$129="ИП",'01_Вводные'!$B$127+'19_Расчет_аналитики'!AV3385*'01_Вводные'!$B$128,('01_Вводные'!$B$127/'01_Вводные'!$B$132+'19_Расчет_аналитики'!AV3385*'01_Вводные'!$B$128)*(1+'01_Вводные'!$B$131)),0),0)</f>
        <v/>
      </c>
      <c r="AW3692">
        <f>IF('01_Вводные'!$B$234="Да",IF('19_Расчет_аналитики'!AW3374&gt;='01_Вводные'!$B$126,IF('01_Вводные'!$B$129="ИП",'01_Вводные'!$B$127+'19_Расчет_аналитики'!AW3385*'01_Вводные'!$B$128,('01_Вводные'!$B$127/'01_Вводные'!$B$132+'19_Расчет_аналитики'!AW3385*'01_Вводные'!$B$128)*(1+'01_Вводные'!$B$131)),0),0)</f>
        <v/>
      </c>
      <c r="AX3692">
        <f>IF('01_Вводные'!$B$234="Да",IF('19_Расчет_аналитики'!AX3374&gt;='01_Вводные'!$B$126,IF('01_Вводные'!$B$129="ИП",'01_Вводные'!$B$127+'19_Расчет_аналитики'!AX3385*'01_Вводные'!$B$128,('01_Вводные'!$B$127/'01_Вводные'!$B$132+'19_Расчет_аналитики'!AX3385*'01_Вводные'!$B$128)*(1+'01_Вводные'!$B$131)),0),0)</f>
        <v/>
      </c>
      <c r="AY3692">
        <f>IF('01_Вводные'!$B$234="Да",IF('19_Расчет_аналитики'!AY3374&gt;='01_Вводные'!$B$126,IF('01_Вводные'!$B$129="ИП",'01_Вводные'!$B$127+'19_Расчет_аналитики'!AY3385*'01_Вводные'!$B$128,('01_Вводные'!$B$127/'01_Вводные'!$B$132+'19_Расчет_аналитики'!AY3385*'01_Вводные'!$B$128)*(1+'01_Вводные'!$B$131)),0),0)</f>
        <v/>
      </c>
      <c r="AZ3692">
        <f>IF('01_Вводные'!$B$234="Да",IF('19_Расчет_аналитики'!AZ3374&gt;='01_Вводные'!$B$126,IF('01_Вводные'!$B$129="ИП",'01_Вводные'!$B$127+'19_Расчет_аналитики'!AZ3385*'01_Вводные'!$B$128,('01_Вводные'!$B$127/'01_Вводные'!$B$132+'19_Расчет_аналитики'!AZ3385*'01_Вводные'!$B$128)*(1+'01_Вводные'!$B$131)),0),0)</f>
        <v/>
      </c>
      <c r="BA3692">
        <f>IF('01_Вводные'!$B$234="Да",IF('19_Расчет_аналитики'!BA3374&gt;='01_Вводные'!$B$126,IF('01_Вводные'!$B$129="ИП",'01_Вводные'!$B$127+'19_Расчет_аналитики'!BA3385*'01_Вводные'!$B$128,('01_Вводные'!$B$127/'01_Вводные'!$B$132+'19_Расчет_аналитики'!BA3385*'01_Вводные'!$B$128)*(1+'01_Вводные'!$B$131)),0),0)</f>
        <v/>
      </c>
      <c r="BB3692">
        <f>IF('01_Вводные'!$B$234="Да",IF('19_Расчет_аналитики'!BB3374&gt;='01_Вводные'!$B$126,IF('01_Вводные'!$B$129="ИП",'01_Вводные'!$B$127+'19_Расчет_аналитики'!BB3385*'01_Вводные'!$B$128,('01_Вводные'!$B$127/'01_Вводные'!$B$132+'19_Расчет_аналитики'!BB3385*'01_Вводные'!$B$128)*(1+'01_Вводные'!$B$131)),0),0)</f>
        <v/>
      </c>
      <c r="BC3692">
        <f>IF('01_Вводные'!$B$234="Да",IF('19_Расчет_аналитики'!BC3374&gt;='01_Вводные'!$B$126,IF('01_Вводные'!$B$129="ИП",'01_Вводные'!$B$127+'19_Расчет_аналитики'!BC3385*'01_Вводные'!$B$128,('01_Вводные'!$B$127/'01_Вводные'!$B$132+'19_Расчет_аналитики'!BC3385*'01_Вводные'!$B$128)*(1+'01_Вводные'!$B$131)),0),0)</f>
        <v/>
      </c>
      <c r="BD3692">
        <f>IF('01_Вводные'!$B$234="Да",IF('19_Расчет_аналитики'!BD3374&gt;='01_Вводные'!$B$126,IF('01_Вводные'!$B$129="ИП",'01_Вводные'!$B$127+'19_Расчет_аналитики'!BD3385*'01_Вводные'!$B$128,('01_Вводные'!$B$127/'01_Вводные'!$B$132+'19_Расчет_аналитики'!BD3385*'01_Вводные'!$B$128)*(1+'01_Вводные'!$B$131)),0),0)</f>
        <v/>
      </c>
      <c r="BE3692">
        <f>IF('01_Вводные'!$B$234="Да",IF('19_Расчет_аналитики'!BE3374&gt;='01_Вводные'!$B$126,IF('01_Вводные'!$B$129="ИП",'01_Вводные'!$B$127+'19_Расчет_аналитики'!BE3385*'01_Вводные'!$B$128,('01_Вводные'!$B$127/'01_Вводные'!$B$132+'19_Расчет_аналитики'!BE3385*'01_Вводные'!$B$128)*(1+'01_Вводные'!$B$131)),0),0)</f>
        <v/>
      </c>
      <c r="BF3692">
        <f>IF('01_Вводные'!$B$234="Да",IF('19_Расчет_аналитики'!BF3374&gt;='01_Вводные'!$B$126,IF('01_Вводные'!$B$129="ИП",'01_Вводные'!$B$127+'19_Расчет_аналитики'!BF3385*'01_Вводные'!$B$128,('01_Вводные'!$B$127/'01_Вводные'!$B$132+'19_Расчет_аналитики'!BF3385*'01_Вводные'!$B$128)*(1+'01_Вводные'!$B$131)),0),0)</f>
        <v/>
      </c>
      <c r="BG3692">
        <f>IF('01_Вводные'!$B$234="Да",IF('19_Расчет_аналитики'!BG3374&gt;='01_Вводные'!$B$126,IF('01_Вводные'!$B$129="ИП",'01_Вводные'!$B$127+'19_Расчет_аналитики'!BG3385*'01_Вводные'!$B$128,('01_Вводные'!$B$127/'01_Вводные'!$B$132+'19_Расчет_аналитики'!BG3385*'01_Вводные'!$B$128)*(1+'01_Вводные'!$B$131)),0),0)</f>
        <v/>
      </c>
      <c r="BH3692">
        <f>IF('01_Вводные'!$B$234="Да",IF('19_Расчет_аналитики'!BH3374&gt;='01_Вводные'!$B$126,IF('01_Вводные'!$B$129="ИП",'01_Вводные'!$B$127+'19_Расчет_аналитики'!BH3385*'01_Вводные'!$B$128,('01_Вводные'!$B$127/'01_Вводные'!$B$132+'19_Расчет_аналитики'!BH3385*'01_Вводные'!$B$128)*(1+'01_Вводные'!$B$131)),0),0)</f>
        <v/>
      </c>
      <c r="BI3692">
        <f>IF('01_Вводные'!$B$234="Да",IF('19_Расчет_аналитики'!BI3374&gt;='01_Вводные'!$B$126,IF('01_Вводные'!$B$129="ИП",'01_Вводные'!$B$127+'19_Расчет_аналитики'!BI3385*'01_Вводные'!$B$128,('01_Вводные'!$B$127/'01_Вводные'!$B$132+'19_Расчет_аналитики'!BI3385*'01_Вводные'!$B$128)*(1+'01_Вводные'!$B$131)),0),0)</f>
        <v/>
      </c>
    </row>
    <row r="3693"/>
    <row r="3694"/>
    <row r="3695"/>
    <row r="3696"/>
    <row r="3697">
      <c r="C3697">
        <f>IF('01_Вводные'!$B$234="Да",(MAX(0,'19_Расчет_аналитики'!C3683-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$120,0)</f>
        <v/>
      </c>
      <c r="D3697">
        <f>IF('01_Вводные'!$B$234="Да",(MAX(0,'19_Расчет_аналитики'!D3683-'19_Расчет_аналитики'!C3683)*'01_Вводные'!$B$119*'08_ФОТ'!D5+IF('08_ФОТ'!D$3='01_Вводные'!$B$247,'01_Вводные'!$B$133/'01_Вводные'!$B$132,0)+IF('08_ФОТ'!D$3='01_Вводные'!$B$248,'01_Вводные'!$B$134/'01_Вводные'!$B$132,0))*'01_Вводные'!$B$120,0)</f>
        <v/>
      </c>
      <c r="E3697">
        <f>IF('01_Вводные'!$B$234="Да",(MAX(0,'19_Расчет_аналитики'!E3683-'19_Расчет_аналитики'!D3683)*'01_Вводные'!$B$119*'08_ФОТ'!E5+IF('08_ФОТ'!E$3='01_Вводные'!$B$247,'01_Вводные'!$B$133/'01_Вводные'!$B$132,0)+IF('08_ФОТ'!E$3='01_Вводные'!$B$248,'01_Вводные'!$B$134/'01_Вводные'!$B$132,0))*'01_Вводные'!$B$120,0)</f>
        <v/>
      </c>
      <c r="F3697">
        <f>IF('01_Вводные'!$B$234="Да",(MAX(0,'19_Расчет_аналитики'!F3683-'19_Расчет_аналитики'!E3683)*'01_Вводные'!$B$119*'08_ФОТ'!F5+IF('08_ФОТ'!F$3='01_Вводные'!$B$247,'01_Вводные'!$B$133/'01_Вводные'!$B$132,0)+IF('08_ФОТ'!F$3='01_Вводные'!$B$248,'01_Вводные'!$B$134/'01_Вводные'!$B$132,0))*'01_Вводные'!$B$120,0)</f>
        <v/>
      </c>
      <c r="G3697">
        <f>IF('01_Вводные'!$B$234="Да",(MAX(0,'19_Расчет_аналитики'!G3683-'19_Расчет_аналитики'!F3683)*'01_Вводные'!$B$119*'08_ФОТ'!G5+IF('08_ФОТ'!G$3='01_Вводные'!$B$247,'01_Вводные'!$B$133/'01_Вводные'!$B$132,0)+IF('08_ФОТ'!G$3='01_Вводные'!$B$248,'01_Вводные'!$B$134/'01_Вводные'!$B$132,0))*'01_Вводные'!$B$120,0)</f>
        <v/>
      </c>
      <c r="H3697">
        <f>IF('01_Вводные'!$B$234="Да",(MAX(0,'19_Расчет_аналитики'!H3683-'19_Расчет_аналитики'!G3683)*'01_Вводные'!$B$119*'08_ФОТ'!H5+IF('08_ФОТ'!H$3='01_Вводные'!$B$247,'01_Вводные'!$B$133/'01_Вводные'!$B$132,0)+IF('08_ФОТ'!H$3='01_Вводные'!$B$248,'01_Вводные'!$B$134/'01_Вводные'!$B$132,0))*'01_Вводные'!$B$120,0)</f>
        <v/>
      </c>
      <c r="I3697">
        <f>IF('01_Вводные'!$B$234="Да",(MAX(0,'19_Расчет_аналитики'!I3683-'19_Расчет_аналитики'!H3683)*'01_Вводные'!$B$119*'08_ФОТ'!I5+IF('08_ФОТ'!I$3='01_Вводные'!$B$247,'01_Вводные'!$B$133/'01_Вводные'!$B$132,0)+IF('08_ФОТ'!I$3='01_Вводные'!$B$248,'01_Вводные'!$B$134/'01_Вводные'!$B$132,0))*'01_Вводные'!$B$120,0)</f>
        <v/>
      </c>
      <c r="J3697">
        <f>IF('01_Вводные'!$B$234="Да",(MAX(0,'19_Расчет_аналитики'!J3683-'19_Расчет_аналитики'!I3683)*'01_Вводные'!$B$119*'08_ФОТ'!J5+IF('08_ФОТ'!J$3='01_Вводные'!$B$247,'01_Вводные'!$B$133/'01_Вводные'!$B$132,0)+IF('08_ФОТ'!J$3='01_Вводные'!$B$248,'01_Вводные'!$B$134/'01_Вводные'!$B$132,0))*'01_Вводные'!$B$120,0)</f>
        <v/>
      </c>
      <c r="K3697">
        <f>IF('01_Вводные'!$B$234="Да",(MAX(0,'19_Расчет_аналитики'!K3683-'19_Расчет_аналитики'!J3683)*'01_Вводные'!$B$119*'08_ФОТ'!K5+IF('08_ФОТ'!K$3='01_Вводные'!$B$247,'01_Вводные'!$B$133/'01_Вводные'!$B$132,0)+IF('08_ФОТ'!K$3='01_Вводные'!$B$248,'01_Вводные'!$B$134/'01_Вводные'!$B$132,0))*'01_Вводные'!$B$120,0)</f>
        <v/>
      </c>
      <c r="L3697">
        <f>IF('01_Вводные'!$B$234="Да",(MAX(0,'19_Расчет_аналитики'!L3683-'19_Расчет_аналитики'!K3683)*'01_Вводные'!$B$119*'08_ФОТ'!L5+IF('08_ФОТ'!L$3='01_Вводные'!$B$247,'01_Вводные'!$B$133/'01_Вводные'!$B$132,0)+IF('08_ФОТ'!L$3='01_Вводные'!$B$248,'01_Вводные'!$B$134/'01_Вводные'!$B$132,0))*'01_Вводные'!$B$120,0)</f>
        <v/>
      </c>
      <c r="M3697">
        <f>IF('01_Вводные'!$B$234="Да",(MAX(0,'19_Расчет_аналитики'!M3683-'19_Расчет_аналитики'!L3683)*'01_Вводные'!$B$119*'08_ФОТ'!M5+IF('08_ФОТ'!M$3='01_Вводные'!$B$247,'01_Вводные'!$B$133/'01_Вводные'!$B$132,0)+IF('08_ФОТ'!M$3='01_Вводные'!$B$248,'01_Вводные'!$B$134/'01_Вводные'!$B$132,0))*'01_Вводные'!$B$120,0)</f>
        <v/>
      </c>
      <c r="N3697">
        <f>IF('01_Вводные'!$B$234="Да",(MAX(0,'19_Расчет_аналитики'!N3683-'19_Расчет_аналитики'!M3683)*'01_Вводные'!$B$119*'08_ФОТ'!N5+IF('08_ФОТ'!N$3='01_Вводные'!$B$247,'01_Вводные'!$B$133/'01_Вводные'!$B$132,0)+IF('08_ФОТ'!N$3='01_Вводные'!$B$248,'01_Вводные'!$B$134/'01_Вводные'!$B$132,0))*'01_Вводные'!$B$120,0)</f>
        <v/>
      </c>
      <c r="O3697">
        <f>IF('01_Вводные'!$B$234="Да",(MAX(0,'19_Расчет_аналитики'!O3683-'19_Расчет_аналитики'!N3683)*'01_Вводные'!$B$119*'08_ФОТ'!O5+IF('08_ФОТ'!O$3='01_Вводные'!$B$247,'01_Вводные'!$B$133/'01_Вводные'!$B$132,0)+IF('08_ФОТ'!O$3='01_Вводные'!$B$248,'01_Вводные'!$B$134/'01_Вводные'!$B$132,0))*'01_Вводные'!$B$120,0)</f>
        <v/>
      </c>
      <c r="P3697">
        <f>IF('01_Вводные'!$B$234="Да",(MAX(0,'19_Расчет_аналитики'!P3683-'19_Расчет_аналитики'!O3683)*'01_Вводные'!$B$119*'08_ФОТ'!P5+IF('08_ФОТ'!P$3='01_Вводные'!$B$247,'01_Вводные'!$B$133/'01_Вводные'!$B$132,0)+IF('08_ФОТ'!P$3='01_Вводные'!$B$248,'01_Вводные'!$B$134/'01_Вводные'!$B$132,0))*'01_Вводные'!$B$120,0)</f>
        <v/>
      </c>
      <c r="Q3697">
        <f>IF('01_Вводные'!$B$234="Да",(MAX(0,'19_Расчет_аналитики'!Q3683-'19_Расчет_аналитики'!P3683)*'01_Вводные'!$B$119*'08_ФОТ'!Q5+IF('08_ФОТ'!Q$3='01_Вводные'!$B$247,'01_Вводные'!$B$133/'01_Вводные'!$B$132,0)+IF('08_ФОТ'!Q$3='01_Вводные'!$B$248,'01_Вводные'!$B$134/'01_Вводные'!$B$132,0))*'01_Вводные'!$B$120,0)</f>
        <v/>
      </c>
      <c r="R3697">
        <f>IF('01_Вводные'!$B$234="Да",(MAX(0,'19_Расчет_аналитики'!R3683-'19_Расчет_аналитики'!Q3683)*'01_Вводные'!$B$119*'08_ФОТ'!R5+IF('08_ФОТ'!R$3='01_Вводные'!$B$247,'01_Вводные'!$B$133/'01_Вводные'!$B$132,0)+IF('08_ФОТ'!R$3='01_Вводные'!$B$248,'01_Вводные'!$B$134/'01_Вводные'!$B$132,0))*'01_Вводные'!$B$120,0)</f>
        <v/>
      </c>
      <c r="S3697">
        <f>IF('01_Вводные'!$B$234="Да",(MAX(0,'19_Расчет_аналитики'!S3683-'19_Расчет_аналитики'!R3683)*'01_Вводные'!$B$119*'08_ФОТ'!S5+IF('08_ФОТ'!S$3='01_Вводные'!$B$247,'01_Вводные'!$B$133/'01_Вводные'!$B$132,0)+IF('08_ФОТ'!S$3='01_Вводные'!$B$248,'01_Вводные'!$B$134/'01_Вводные'!$B$132,0))*'01_Вводные'!$B$120,0)</f>
        <v/>
      </c>
      <c r="T3697">
        <f>IF('01_Вводные'!$B$234="Да",(MAX(0,'19_Расчет_аналитики'!T3683-'19_Расчет_аналитики'!S3683)*'01_Вводные'!$B$119*'08_ФОТ'!T5+IF('08_ФОТ'!T$3='01_Вводные'!$B$247,'01_Вводные'!$B$133/'01_Вводные'!$B$132,0)+IF('08_ФОТ'!T$3='01_Вводные'!$B$248,'01_Вводные'!$B$134/'01_Вводные'!$B$132,0))*'01_Вводные'!$B$120,0)</f>
        <v/>
      </c>
      <c r="U3697">
        <f>IF('01_Вводные'!$B$234="Да",(MAX(0,'19_Расчет_аналитики'!U3683-'19_Расчет_аналитики'!T3683)*'01_Вводные'!$B$119*'08_ФОТ'!U5+IF('08_ФОТ'!U$3='01_Вводные'!$B$247,'01_Вводные'!$B$133/'01_Вводные'!$B$132,0)+IF('08_ФОТ'!U$3='01_Вводные'!$B$248,'01_Вводные'!$B$134/'01_Вводные'!$B$132,0))*'01_Вводные'!$B$120,0)</f>
        <v/>
      </c>
      <c r="V3697">
        <f>IF('01_Вводные'!$B$234="Да",(MAX(0,'19_Расчет_аналитики'!V3683-'19_Расчет_аналитики'!U3683)*'01_Вводные'!$B$119*'08_ФОТ'!V5+IF('08_ФОТ'!V$3='01_Вводные'!$B$247,'01_Вводные'!$B$133/'01_Вводные'!$B$132,0)+IF('08_ФОТ'!V$3='01_Вводные'!$B$248,'01_Вводные'!$B$134/'01_Вводные'!$B$132,0))*'01_Вводные'!$B$120,0)</f>
        <v/>
      </c>
      <c r="W3697">
        <f>IF('01_Вводные'!$B$234="Да",(MAX(0,'19_Расчет_аналитики'!W3683-'19_Расчет_аналитики'!V3683)*'01_Вводные'!$B$119*'08_ФОТ'!W5+IF('08_ФОТ'!W$3='01_Вводные'!$B$247,'01_Вводные'!$B$133/'01_Вводные'!$B$132,0)+IF('08_ФОТ'!W$3='01_Вводные'!$B$248,'01_Вводные'!$B$134/'01_Вводные'!$B$132,0))*'01_Вводные'!$B$120,0)</f>
        <v/>
      </c>
      <c r="X3697">
        <f>IF('01_Вводные'!$B$234="Да",(MAX(0,'19_Расчет_аналитики'!X3683-'19_Расчет_аналитики'!W3683)*'01_Вводные'!$B$119*'08_ФОТ'!X5+IF('08_ФОТ'!X$3='01_Вводные'!$B$247,'01_Вводные'!$B$133/'01_Вводные'!$B$132,0)+IF('08_ФОТ'!X$3='01_Вводные'!$B$248,'01_Вводные'!$B$134/'01_Вводные'!$B$132,0))*'01_Вводные'!$B$120,0)</f>
        <v/>
      </c>
      <c r="Y3697">
        <f>IF('01_Вводные'!$B$234="Да",(MAX(0,'19_Расчет_аналитики'!Y3683-'19_Расчет_аналитики'!X3683)*'01_Вводные'!$B$119*'08_ФОТ'!Y5+IF('08_ФОТ'!Y$3='01_Вводные'!$B$247,'01_Вводные'!$B$133/'01_Вводные'!$B$132,0)+IF('08_ФОТ'!Y$3='01_Вводные'!$B$248,'01_Вводные'!$B$134/'01_Вводные'!$B$132,0))*'01_Вводные'!$B$120,0)</f>
        <v/>
      </c>
      <c r="Z3697">
        <f>IF('01_Вводные'!$B$234="Да",(MAX(0,'19_Расчет_аналитики'!Z3683-'19_Расчет_аналитики'!Y3683)*'01_Вводные'!$B$119*'08_ФОТ'!Z5+IF('08_ФОТ'!Z$3='01_Вводные'!$B$247,'01_Вводные'!$B$133/'01_Вводные'!$B$132,0)+IF('08_ФОТ'!Z$3='01_Вводные'!$B$248,'01_Вводные'!$B$134/'01_Вводные'!$B$132,0))*'01_Вводные'!$B$120,0)</f>
        <v/>
      </c>
      <c r="AA3697">
        <f>IF('01_Вводные'!$B$234="Да",(MAX(0,'19_Расчет_аналитики'!AA3683-'19_Расчет_аналитики'!Z3683)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$120,0)</f>
        <v/>
      </c>
      <c r="AB3697">
        <f>IF('01_Вводные'!$B$234="Да",(MAX(0,'19_Расчет_аналитики'!AB3683-'19_Расчет_аналитики'!AA3683)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$120,0)</f>
        <v/>
      </c>
      <c r="AC3697">
        <f>IF('01_Вводные'!$B$234="Да",(MAX(0,'19_Расчет_аналитики'!AC3683-'19_Расчет_аналитики'!AB3683)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$120,0)</f>
        <v/>
      </c>
      <c r="AD3697">
        <f>IF('01_Вводные'!$B$234="Да",(MAX(0,'19_Расчет_аналитики'!AD3683-'19_Расчет_аналитики'!AC3683)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$120,0)</f>
        <v/>
      </c>
      <c r="AE3697">
        <f>IF('01_Вводные'!$B$234="Да",(MAX(0,'19_Расчет_аналитики'!AE3683-'19_Расчет_аналитики'!AD3683)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$120,0)</f>
        <v/>
      </c>
      <c r="AF3697">
        <f>IF('01_Вводные'!$B$234="Да",(MAX(0,'19_Расчет_аналитики'!AF3683-'19_Расчет_аналитики'!AE3683)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$120,0)</f>
        <v/>
      </c>
      <c r="AG3697">
        <f>IF('01_Вводные'!$B$234="Да",(MAX(0,'19_Расчет_аналитики'!AG3683-'19_Расчет_аналитики'!AF3683)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$120,0)</f>
        <v/>
      </c>
      <c r="AH3697">
        <f>IF('01_Вводные'!$B$234="Да",(MAX(0,'19_Расчет_аналитики'!AH3683-'19_Расчет_аналитики'!AG3683)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$120,0)</f>
        <v/>
      </c>
      <c r="AI3697">
        <f>IF('01_Вводные'!$B$234="Да",(MAX(0,'19_Расчет_аналитики'!AI3683-'19_Расчет_аналитики'!AH3683)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$120,0)</f>
        <v/>
      </c>
      <c r="AJ3697">
        <f>IF('01_Вводные'!$B$234="Да",(MAX(0,'19_Расчет_аналитики'!AJ3683-'19_Расчет_аналитики'!AI3683)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$120,0)</f>
        <v/>
      </c>
      <c r="AK3697">
        <f>IF('01_Вводные'!$B$234="Да",(MAX(0,'19_Расчет_аналитики'!AK3683-'19_Расчет_аналитики'!AJ3683)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$120,0)</f>
        <v/>
      </c>
      <c r="AL3697">
        <f>IF('01_Вводные'!$B$234="Да",(MAX(0,'19_Расчет_аналитики'!AL3683-'19_Расчет_аналитики'!AK3683)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$120,0)</f>
        <v/>
      </c>
      <c r="AM3697">
        <f>IF('01_Вводные'!$B$234="Да",(MAX(0,'19_Расчет_аналитики'!AM3683-'19_Расчет_аналитики'!AL3683)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$120,0)</f>
        <v/>
      </c>
      <c r="AN3697">
        <f>IF('01_Вводные'!$B$234="Да",(MAX(0,'19_Расчет_аналитики'!AN3683-'19_Расчет_аналитики'!AM3683)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$120,0)</f>
        <v/>
      </c>
      <c r="AO3697">
        <f>IF('01_Вводные'!$B$234="Да",(MAX(0,'19_Расчет_аналитики'!AO3683-'19_Расчет_аналитики'!AN3683)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$120,0)</f>
        <v/>
      </c>
      <c r="AP3697">
        <f>IF('01_Вводные'!$B$234="Да",(MAX(0,'19_Расчет_аналитики'!AP3683-'19_Расчет_аналитики'!AO3683)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$120,0)</f>
        <v/>
      </c>
      <c r="AQ3697">
        <f>IF('01_Вводные'!$B$234="Да",(MAX(0,'19_Расчет_аналитики'!AQ3683-'19_Расчет_аналитики'!AP3683)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$120,0)</f>
        <v/>
      </c>
      <c r="AR3697">
        <f>IF('01_Вводные'!$B$234="Да",(MAX(0,'19_Расчет_аналитики'!AR3683-'19_Расчет_аналитики'!AQ3683)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$120,0)</f>
        <v/>
      </c>
      <c r="AS3697">
        <f>IF('01_Вводные'!$B$234="Да",(MAX(0,'19_Расчет_аналитики'!AS3683-'19_Расчет_аналитики'!AR3683)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$120,0)</f>
        <v/>
      </c>
      <c r="AT3697">
        <f>IF('01_Вводные'!$B$234="Да",(MAX(0,'19_Расчет_аналитики'!AT3683-'19_Расчет_аналитики'!AS3683)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$120,0)</f>
        <v/>
      </c>
      <c r="AU3697">
        <f>IF('01_Вводные'!$B$234="Да",(MAX(0,'19_Расчет_аналитики'!AU3683-'19_Расчет_аналитики'!AT3683)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$120,0)</f>
        <v/>
      </c>
      <c r="AV3697">
        <f>IF('01_Вводные'!$B$234="Да",(MAX(0,'19_Расчет_аналитики'!AV3683-'19_Расчет_аналитики'!AU3683)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$120,0)</f>
        <v/>
      </c>
      <c r="AW3697">
        <f>IF('01_Вводные'!$B$234="Да",(MAX(0,'19_Расчет_аналитики'!AW3683-'19_Расчет_аналитики'!AV3683)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$120,0)</f>
        <v/>
      </c>
      <c r="AX3697">
        <f>IF('01_Вводные'!$B$234="Да",(MAX(0,'19_Расчет_аналитики'!AX3683-'19_Расчет_аналитики'!AW3683)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$120,0)</f>
        <v/>
      </c>
      <c r="AY3697">
        <f>IF('01_Вводные'!$B$234="Да",(MAX(0,'19_Расчет_аналитики'!AY3683-'19_Расчет_аналитики'!AX3683)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$120,0)</f>
        <v/>
      </c>
      <c r="AZ3697">
        <f>IF('01_Вводные'!$B$234="Да",(MAX(0,'19_Расчет_аналитики'!AZ3683-'19_Расчет_аналитики'!AY3683)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$120,0)</f>
        <v/>
      </c>
      <c r="BA3697">
        <f>IF('01_Вводные'!$B$234="Да",(MAX(0,'19_Расчет_аналитики'!BA3683-'19_Расчет_аналитики'!AZ3683)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$120,0)</f>
        <v/>
      </c>
      <c r="BB3697">
        <f>IF('01_Вводные'!$B$234="Да",(MAX(0,'19_Расчет_аналитики'!BB3683-'19_Расчет_аналитики'!BA3683)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$120,0)</f>
        <v/>
      </c>
      <c r="BC3697">
        <f>IF('01_Вводные'!$B$234="Да",(MAX(0,'19_Расчет_аналитики'!BC3683-'19_Расчет_аналитики'!BB3683)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$120,0)</f>
        <v/>
      </c>
      <c r="BD3697">
        <f>IF('01_Вводные'!$B$234="Да",(MAX(0,'19_Расчет_аналитики'!BD3683-'19_Расчет_аналитики'!BC3683)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$120,0)</f>
        <v/>
      </c>
      <c r="BE3697">
        <f>IF('01_Вводные'!$B$234="Да",(MAX(0,'19_Расчет_аналитики'!BE3683-'19_Расчет_аналитики'!BD3683)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$120,0)</f>
        <v/>
      </c>
      <c r="BF3697">
        <f>IF('01_Вводные'!$B$234="Да",(MAX(0,'19_Расчет_аналитики'!BF3683-'19_Расчет_аналитики'!BE3683)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$120,0)</f>
        <v/>
      </c>
      <c r="BG3697">
        <f>IF('01_Вводные'!$B$234="Да",(MAX(0,'19_Расчет_аналитики'!BG3683-'19_Расчет_аналитики'!BF3683)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$120,0)</f>
        <v/>
      </c>
      <c r="BH3697">
        <f>IF('01_Вводные'!$B$234="Да",(MAX(0,'19_Расчет_аналитики'!BH3683-'19_Расчет_аналитики'!BG3683)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$120,0)</f>
        <v/>
      </c>
      <c r="BI3697">
        <f>IF('01_Вводные'!$B$234="Да",(MAX(0,'19_Расчет_аналитики'!BI3683-'19_Расчет_аналитики'!BH3683)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$120,0)</f>
        <v/>
      </c>
    </row>
    <row r="3698">
      <c r="C3698">
        <f>'08_ФОТ'!C25</f>
        <v/>
      </c>
      <c r="D3698">
        <f>'08_ФОТ'!D25</f>
        <v/>
      </c>
      <c r="E3698">
        <f>'08_ФОТ'!E25</f>
        <v/>
      </c>
      <c r="F3698">
        <f>'08_ФОТ'!F25</f>
        <v/>
      </c>
      <c r="G3698">
        <f>'08_ФОТ'!G25</f>
        <v/>
      </c>
      <c r="H3698">
        <f>'08_ФОТ'!H25</f>
        <v/>
      </c>
      <c r="I3698">
        <f>'08_ФОТ'!I25</f>
        <v/>
      </c>
      <c r="J3698">
        <f>'08_ФОТ'!J25</f>
        <v/>
      </c>
      <c r="K3698">
        <f>'08_ФОТ'!K25</f>
        <v/>
      </c>
      <c r="L3698">
        <f>'08_ФОТ'!L25</f>
        <v/>
      </c>
      <c r="M3698">
        <f>'08_ФОТ'!M25</f>
        <v/>
      </c>
      <c r="N3698">
        <f>'08_ФОТ'!N25</f>
        <v/>
      </c>
      <c r="O3698">
        <f>'08_ФОТ'!O25</f>
        <v/>
      </c>
      <c r="P3698">
        <f>'08_ФОТ'!P25</f>
        <v/>
      </c>
      <c r="Q3698">
        <f>'08_ФОТ'!Q25</f>
        <v/>
      </c>
      <c r="R3698">
        <f>'08_ФОТ'!R25</f>
        <v/>
      </c>
      <c r="S3698">
        <f>'08_ФОТ'!S25</f>
        <v/>
      </c>
      <c r="T3698">
        <f>'08_ФОТ'!T25</f>
        <v/>
      </c>
      <c r="U3698">
        <f>'08_ФОТ'!U25</f>
        <v/>
      </c>
      <c r="V3698">
        <f>'08_ФОТ'!V25</f>
        <v/>
      </c>
      <c r="W3698">
        <f>'08_ФОТ'!W25</f>
        <v/>
      </c>
      <c r="X3698">
        <f>'08_ФОТ'!X25</f>
        <v/>
      </c>
      <c r="Y3698">
        <f>'08_ФОТ'!Y25</f>
        <v/>
      </c>
      <c r="Z3698">
        <f>'08_ФОТ'!Z25</f>
        <v/>
      </c>
      <c r="AA3698">
        <f>'08_ФОТ'!AA25</f>
        <v/>
      </c>
      <c r="AB3698">
        <f>'08_ФОТ'!AB25</f>
        <v/>
      </c>
      <c r="AC3698">
        <f>'08_ФОТ'!AC25</f>
        <v/>
      </c>
      <c r="AD3698">
        <f>'08_ФОТ'!AD25</f>
        <v/>
      </c>
      <c r="AE3698">
        <f>'08_ФОТ'!AE25</f>
        <v/>
      </c>
      <c r="AF3698">
        <f>'08_ФОТ'!AF25</f>
        <v/>
      </c>
      <c r="AG3698">
        <f>'08_ФОТ'!AG25</f>
        <v/>
      </c>
      <c r="AH3698">
        <f>'08_ФОТ'!AH25</f>
        <v/>
      </c>
      <c r="AI3698">
        <f>'08_ФОТ'!AI25</f>
        <v/>
      </c>
      <c r="AJ3698">
        <f>'08_ФОТ'!AJ25</f>
        <v/>
      </c>
      <c r="AK3698">
        <f>'08_ФОТ'!AK25</f>
        <v/>
      </c>
      <c r="AL3698">
        <f>'08_ФОТ'!AL25</f>
        <v/>
      </c>
      <c r="AM3698">
        <f>'08_ФОТ'!AM25</f>
        <v/>
      </c>
      <c r="AN3698">
        <f>'08_ФОТ'!AN25</f>
        <v/>
      </c>
      <c r="AO3698">
        <f>'08_ФОТ'!AO25</f>
        <v/>
      </c>
      <c r="AP3698">
        <f>'08_ФОТ'!AP25</f>
        <v/>
      </c>
      <c r="AQ3698">
        <f>'08_ФОТ'!AQ25</f>
        <v/>
      </c>
      <c r="AR3698">
        <f>'08_ФОТ'!AR25</f>
        <v/>
      </c>
      <c r="AS3698">
        <f>'08_ФОТ'!AS25</f>
        <v/>
      </c>
      <c r="AT3698">
        <f>'08_ФОТ'!AT25</f>
        <v/>
      </c>
      <c r="AU3698">
        <f>'08_ФОТ'!AU25</f>
        <v/>
      </c>
      <c r="AV3698">
        <f>'08_ФОТ'!AV25</f>
        <v/>
      </c>
      <c r="AW3698">
        <f>'08_ФОТ'!AW25</f>
        <v/>
      </c>
      <c r="AX3698">
        <f>'08_ФОТ'!AX25</f>
        <v/>
      </c>
      <c r="AY3698">
        <f>'08_ФОТ'!AY25</f>
        <v/>
      </c>
      <c r="AZ3698">
        <f>'08_ФОТ'!AZ25</f>
        <v/>
      </c>
      <c r="BA3698">
        <f>'08_ФОТ'!BA25</f>
        <v/>
      </c>
      <c r="BB3698">
        <f>'08_ФОТ'!BB25</f>
        <v/>
      </c>
      <c r="BC3698">
        <f>'08_ФОТ'!BC25</f>
        <v/>
      </c>
      <c r="BD3698">
        <f>'08_ФОТ'!BD25</f>
        <v/>
      </c>
      <c r="BE3698">
        <f>'08_ФОТ'!BE25</f>
        <v/>
      </c>
      <c r="BF3698">
        <f>'08_ФОТ'!BF25</f>
        <v/>
      </c>
      <c r="BG3698">
        <f>'08_ФОТ'!BG25</f>
        <v/>
      </c>
      <c r="BH3698">
        <f>'08_ФОТ'!BH25</f>
        <v/>
      </c>
      <c r="BI3698">
        <f>'08_ФОТ'!BI25</f>
        <v/>
      </c>
    </row>
    <row r="3699">
      <c r="C3699">
        <f>'08_ФОТ'!C26</f>
        <v/>
      </c>
      <c r="D3699">
        <f>'08_ФОТ'!D26</f>
        <v/>
      </c>
      <c r="E3699">
        <f>'08_ФОТ'!E26</f>
        <v/>
      </c>
      <c r="F3699">
        <f>'08_ФОТ'!F26</f>
        <v/>
      </c>
      <c r="G3699">
        <f>'08_ФОТ'!G26</f>
        <v/>
      </c>
      <c r="H3699">
        <f>'08_ФОТ'!H26</f>
        <v/>
      </c>
      <c r="I3699">
        <f>'08_ФОТ'!I26</f>
        <v/>
      </c>
      <c r="J3699">
        <f>'08_ФОТ'!J26</f>
        <v/>
      </c>
      <c r="K3699">
        <f>'08_ФОТ'!K26</f>
        <v/>
      </c>
      <c r="L3699">
        <f>'08_ФОТ'!L26</f>
        <v/>
      </c>
      <c r="M3699">
        <f>'08_ФОТ'!M26</f>
        <v/>
      </c>
      <c r="N3699">
        <f>'08_ФОТ'!N26</f>
        <v/>
      </c>
      <c r="O3699">
        <f>'08_ФОТ'!O26</f>
        <v/>
      </c>
      <c r="P3699">
        <f>'08_ФОТ'!P26</f>
        <v/>
      </c>
      <c r="Q3699">
        <f>'08_ФОТ'!Q26</f>
        <v/>
      </c>
      <c r="R3699">
        <f>'08_ФОТ'!R26</f>
        <v/>
      </c>
      <c r="S3699">
        <f>'08_ФОТ'!S26</f>
        <v/>
      </c>
      <c r="T3699">
        <f>'08_ФОТ'!T26</f>
        <v/>
      </c>
      <c r="U3699">
        <f>'08_ФОТ'!U26</f>
        <v/>
      </c>
      <c r="V3699">
        <f>'08_ФОТ'!V26</f>
        <v/>
      </c>
      <c r="W3699">
        <f>'08_ФОТ'!W26</f>
        <v/>
      </c>
      <c r="X3699">
        <f>'08_ФОТ'!X26</f>
        <v/>
      </c>
      <c r="Y3699">
        <f>'08_ФОТ'!Y26</f>
        <v/>
      </c>
      <c r="Z3699">
        <f>'08_ФОТ'!Z26</f>
        <v/>
      </c>
      <c r="AA3699">
        <f>'08_ФОТ'!AA26</f>
        <v/>
      </c>
      <c r="AB3699">
        <f>'08_ФОТ'!AB26</f>
        <v/>
      </c>
      <c r="AC3699">
        <f>'08_ФОТ'!AC26</f>
        <v/>
      </c>
      <c r="AD3699">
        <f>'08_ФОТ'!AD26</f>
        <v/>
      </c>
      <c r="AE3699">
        <f>'08_ФОТ'!AE26</f>
        <v/>
      </c>
      <c r="AF3699">
        <f>'08_ФОТ'!AF26</f>
        <v/>
      </c>
      <c r="AG3699">
        <f>'08_ФОТ'!AG26</f>
        <v/>
      </c>
      <c r="AH3699">
        <f>'08_ФОТ'!AH26</f>
        <v/>
      </c>
      <c r="AI3699">
        <f>'08_ФОТ'!AI26</f>
        <v/>
      </c>
      <c r="AJ3699">
        <f>'08_ФОТ'!AJ26</f>
        <v/>
      </c>
      <c r="AK3699">
        <f>'08_ФОТ'!AK26</f>
        <v/>
      </c>
      <c r="AL3699">
        <f>'08_ФОТ'!AL26</f>
        <v/>
      </c>
      <c r="AM3699">
        <f>'08_ФОТ'!AM26</f>
        <v/>
      </c>
      <c r="AN3699">
        <f>'08_ФОТ'!AN26</f>
        <v/>
      </c>
      <c r="AO3699">
        <f>'08_ФОТ'!AO26</f>
        <v/>
      </c>
      <c r="AP3699">
        <f>'08_ФОТ'!AP26</f>
        <v/>
      </c>
      <c r="AQ3699">
        <f>'08_ФОТ'!AQ26</f>
        <v/>
      </c>
      <c r="AR3699">
        <f>'08_ФОТ'!AR26</f>
        <v/>
      </c>
      <c r="AS3699">
        <f>'08_ФОТ'!AS26</f>
        <v/>
      </c>
      <c r="AT3699">
        <f>'08_ФОТ'!AT26</f>
        <v/>
      </c>
      <c r="AU3699">
        <f>'08_ФОТ'!AU26</f>
        <v/>
      </c>
      <c r="AV3699">
        <f>'08_ФОТ'!AV26</f>
        <v/>
      </c>
      <c r="AW3699">
        <f>'08_ФОТ'!AW26</f>
        <v/>
      </c>
      <c r="AX3699">
        <f>'08_ФОТ'!AX26</f>
        <v/>
      </c>
      <c r="AY3699">
        <f>'08_ФОТ'!AY26</f>
        <v/>
      </c>
      <c r="AZ3699">
        <f>'08_ФОТ'!AZ26</f>
        <v/>
      </c>
      <c r="BA3699">
        <f>'08_ФОТ'!BA26</f>
        <v/>
      </c>
      <c r="BB3699">
        <f>'08_ФОТ'!BB26</f>
        <v/>
      </c>
      <c r="BC3699">
        <f>'08_ФОТ'!BC26</f>
        <v/>
      </c>
      <c r="BD3699">
        <f>'08_ФОТ'!BD26</f>
        <v/>
      </c>
      <c r="BE3699">
        <f>'08_ФОТ'!BE26</f>
        <v/>
      </c>
      <c r="BF3699">
        <f>'08_ФОТ'!BF26</f>
        <v/>
      </c>
      <c r="BG3699">
        <f>'08_ФОТ'!BG26</f>
        <v/>
      </c>
      <c r="BH3699">
        <f>'08_ФОТ'!BH26</f>
        <v/>
      </c>
      <c r="BI3699">
        <f>'08_ФОТ'!BI26</f>
        <v/>
      </c>
    </row>
    <row r="3700"/>
    <row r="3701">
      <c r="C3701">
        <f>IF('01_Вводные'!$B$234="Да",SUM('19_Расчет_аналитики'!C3685:C3686,'19_Расчет_аналитики'!C3688:C3692,'08_ФОТ'!C21:C22,'19_Расчет_аналитики'!C3697:C3699),0)</f>
        <v/>
      </c>
      <c r="D3701">
        <f>IF('01_Вводные'!$B$234="Да",SUM('19_Расчет_аналитики'!D3685:D3686,'19_Расчет_аналитики'!D3688:D3692,'08_ФОТ'!D21:D22,'19_Расчет_аналитики'!D3697:D3699),0)</f>
        <v/>
      </c>
      <c r="E3701">
        <f>IF('01_Вводные'!$B$234="Да",SUM('19_Расчет_аналитики'!E3685:E3686,'19_Расчет_аналитики'!E3688:E3692,'08_ФОТ'!E21:E22,'19_Расчет_аналитики'!E3697:E3699),0)</f>
        <v/>
      </c>
      <c r="F3701">
        <f>IF('01_Вводные'!$B$234="Да",SUM('19_Расчет_аналитики'!F3685:F3686,'19_Расчет_аналитики'!F3688:F3692,'08_ФОТ'!F21:F22,'19_Расчет_аналитики'!F3697:F3699),0)</f>
        <v/>
      </c>
      <c r="G3701">
        <f>IF('01_Вводные'!$B$234="Да",SUM('19_Расчет_аналитики'!G3685:G3686,'19_Расчет_аналитики'!G3688:G3692,'08_ФОТ'!G21:G22,'19_Расчет_аналитики'!G3697:G3699),0)</f>
        <v/>
      </c>
      <c r="H3701">
        <f>IF('01_Вводные'!$B$234="Да",SUM('19_Расчет_аналитики'!H3685:H3686,'19_Расчет_аналитики'!H3688:H3692,'08_ФОТ'!H21:H22,'19_Расчет_аналитики'!H3697:H3699),0)</f>
        <v/>
      </c>
      <c r="I3701">
        <f>IF('01_Вводные'!$B$234="Да",SUM('19_Расчет_аналитики'!I3685:I3686,'19_Расчет_аналитики'!I3688:I3692,'08_ФОТ'!I21:I22,'19_Расчет_аналитики'!I3697:I3699),0)</f>
        <v/>
      </c>
      <c r="J3701">
        <f>IF('01_Вводные'!$B$234="Да",SUM('19_Расчет_аналитики'!J3685:J3686,'19_Расчет_аналитики'!J3688:J3692,'08_ФОТ'!J21:J22,'19_Расчет_аналитики'!J3697:J3699),0)</f>
        <v/>
      </c>
      <c r="K3701">
        <f>IF('01_Вводные'!$B$234="Да",SUM('19_Расчет_аналитики'!K3685:K3686,'19_Расчет_аналитики'!K3688:K3692,'08_ФОТ'!K21:K22,'19_Расчет_аналитики'!K3697:K3699),0)</f>
        <v/>
      </c>
      <c r="L3701">
        <f>IF('01_Вводные'!$B$234="Да",SUM('19_Расчет_аналитики'!L3685:L3686,'19_Расчет_аналитики'!L3688:L3692,'08_ФОТ'!L21:L22,'19_Расчет_аналитики'!L3697:L3699),0)</f>
        <v/>
      </c>
      <c r="M3701">
        <f>IF('01_Вводные'!$B$234="Да",SUM('19_Расчет_аналитики'!M3685:M3686,'19_Расчет_аналитики'!M3688:M3692,'08_ФОТ'!M21:M22,'19_Расчет_аналитики'!M3697:M3699),0)</f>
        <v/>
      </c>
      <c r="N3701">
        <f>IF('01_Вводные'!$B$234="Да",SUM('19_Расчет_аналитики'!N3685:N3686,'19_Расчет_аналитики'!N3688:N3692,'08_ФОТ'!N21:N22,'19_Расчет_аналитики'!N3697:N3699),0)</f>
        <v/>
      </c>
      <c r="O3701">
        <f>IF('01_Вводные'!$B$234="Да",SUM('19_Расчет_аналитики'!O3685:O3686,'19_Расчет_аналитики'!O3688:O3692,'08_ФОТ'!O21:O22,'19_Расчет_аналитики'!O3697:O3699),0)</f>
        <v/>
      </c>
      <c r="P3701">
        <f>IF('01_Вводные'!$B$234="Да",SUM('19_Расчет_аналитики'!P3685:P3686,'19_Расчет_аналитики'!P3688:P3692,'08_ФОТ'!P21:P22,'19_Расчет_аналитики'!P3697:P3699),0)</f>
        <v/>
      </c>
      <c r="Q3701">
        <f>IF('01_Вводные'!$B$234="Да",SUM('19_Расчет_аналитики'!Q3685:Q3686,'19_Расчет_аналитики'!Q3688:Q3692,'08_ФОТ'!Q21:Q22,'19_Расчет_аналитики'!Q3697:Q3699),0)</f>
        <v/>
      </c>
      <c r="R3701">
        <f>IF('01_Вводные'!$B$234="Да",SUM('19_Расчет_аналитики'!R3685:R3686,'19_Расчет_аналитики'!R3688:R3692,'08_ФОТ'!R21:R22,'19_Расчет_аналитики'!R3697:R3699),0)</f>
        <v/>
      </c>
      <c r="S3701">
        <f>IF('01_Вводные'!$B$234="Да",SUM('19_Расчет_аналитики'!S3685:S3686,'19_Расчет_аналитики'!S3688:S3692,'08_ФОТ'!S21:S22,'19_Расчет_аналитики'!S3697:S3699),0)</f>
        <v/>
      </c>
      <c r="T3701">
        <f>IF('01_Вводные'!$B$234="Да",SUM('19_Расчет_аналитики'!T3685:T3686,'19_Расчет_аналитики'!T3688:T3692,'08_ФОТ'!T21:T22,'19_Расчет_аналитики'!T3697:T3699),0)</f>
        <v/>
      </c>
      <c r="U3701">
        <f>IF('01_Вводные'!$B$234="Да",SUM('19_Расчет_аналитики'!U3685:U3686,'19_Расчет_аналитики'!U3688:U3692,'08_ФОТ'!U21:U22,'19_Расчет_аналитики'!U3697:U3699),0)</f>
        <v/>
      </c>
      <c r="V3701">
        <f>IF('01_Вводные'!$B$234="Да",SUM('19_Расчет_аналитики'!V3685:V3686,'19_Расчет_аналитики'!V3688:V3692,'08_ФОТ'!V21:V22,'19_Расчет_аналитики'!V3697:V3699),0)</f>
        <v/>
      </c>
      <c r="W3701">
        <f>IF('01_Вводные'!$B$234="Да",SUM('19_Расчет_аналитики'!W3685:W3686,'19_Расчет_аналитики'!W3688:W3692,'08_ФОТ'!W21:W22,'19_Расчет_аналитики'!W3697:W3699),0)</f>
        <v/>
      </c>
      <c r="X3701">
        <f>IF('01_Вводные'!$B$234="Да",SUM('19_Расчет_аналитики'!X3685:X3686,'19_Расчет_аналитики'!X3688:X3692,'08_ФОТ'!X21:X22,'19_Расчет_аналитики'!X3697:X3699),0)</f>
        <v/>
      </c>
      <c r="Y3701">
        <f>IF('01_Вводные'!$B$234="Да",SUM('19_Расчет_аналитики'!Y3685:Y3686,'19_Расчет_аналитики'!Y3688:Y3692,'08_ФОТ'!Y21:Y22,'19_Расчет_аналитики'!Y3697:Y3699),0)</f>
        <v/>
      </c>
      <c r="Z3701">
        <f>IF('01_Вводные'!$B$234="Да",SUM('19_Расчет_аналитики'!Z3685:Z3686,'19_Расчет_аналитики'!Z3688:Z3692,'08_ФОТ'!Z21:Z22,'19_Расчет_аналитики'!Z3697:Z3699),0)</f>
        <v/>
      </c>
      <c r="AA3701">
        <f>IF('01_Вводные'!$B$234="Да",SUM('19_Расчет_аналитики'!AA3685:AA3686,'19_Расчет_аналитики'!AA3688:AA3692,'08_ФОТ'!AA21:AA22,'19_Расчет_аналитики'!AA3697:AA3699),0)</f>
        <v/>
      </c>
      <c r="AB3701">
        <f>IF('01_Вводные'!$B$234="Да",SUM('19_Расчет_аналитики'!AB3685:AB3686,'19_Расчет_аналитики'!AB3688:AB3692,'08_ФОТ'!AB21:AB22,'19_Расчет_аналитики'!AB3697:AB3699),0)</f>
        <v/>
      </c>
      <c r="AC3701">
        <f>IF('01_Вводные'!$B$234="Да",SUM('19_Расчет_аналитики'!AC3685:AC3686,'19_Расчет_аналитики'!AC3688:AC3692,'08_ФОТ'!AC21:AC22,'19_Расчет_аналитики'!AC3697:AC3699),0)</f>
        <v/>
      </c>
      <c r="AD3701">
        <f>IF('01_Вводные'!$B$234="Да",SUM('19_Расчет_аналитики'!AD3685:AD3686,'19_Расчет_аналитики'!AD3688:AD3692,'08_ФОТ'!AD21:AD22,'19_Расчет_аналитики'!AD3697:AD3699),0)</f>
        <v/>
      </c>
      <c r="AE3701">
        <f>IF('01_Вводные'!$B$234="Да",SUM('19_Расчет_аналитики'!AE3685:AE3686,'19_Расчет_аналитики'!AE3688:AE3692,'08_ФОТ'!AE21:AE22,'19_Расчет_аналитики'!AE3697:AE3699),0)</f>
        <v/>
      </c>
      <c r="AF3701">
        <f>IF('01_Вводные'!$B$234="Да",SUM('19_Расчет_аналитики'!AF3685:AF3686,'19_Расчет_аналитики'!AF3688:AF3692,'08_ФОТ'!AF21:AF22,'19_Расчет_аналитики'!AF3697:AF3699),0)</f>
        <v/>
      </c>
      <c r="AG3701">
        <f>IF('01_Вводные'!$B$234="Да",SUM('19_Расчет_аналитики'!AG3685:AG3686,'19_Расчет_аналитики'!AG3688:AG3692,'08_ФОТ'!AG21:AG22,'19_Расчет_аналитики'!AG3697:AG3699),0)</f>
        <v/>
      </c>
      <c r="AH3701">
        <f>IF('01_Вводные'!$B$234="Да",SUM('19_Расчет_аналитики'!AH3685:AH3686,'19_Расчет_аналитики'!AH3688:AH3692,'08_ФОТ'!AH21:AH22,'19_Расчет_аналитики'!AH3697:AH3699),0)</f>
        <v/>
      </c>
      <c r="AI3701">
        <f>IF('01_Вводные'!$B$234="Да",SUM('19_Расчет_аналитики'!AI3685:AI3686,'19_Расчет_аналитики'!AI3688:AI3692,'08_ФОТ'!AI21:AI22,'19_Расчет_аналитики'!AI3697:AI3699),0)</f>
        <v/>
      </c>
      <c r="AJ3701">
        <f>IF('01_Вводные'!$B$234="Да",SUM('19_Расчет_аналитики'!AJ3685:AJ3686,'19_Расчет_аналитики'!AJ3688:AJ3692,'08_ФОТ'!AJ21:AJ22,'19_Расчет_аналитики'!AJ3697:AJ3699),0)</f>
        <v/>
      </c>
      <c r="AK3701">
        <f>IF('01_Вводные'!$B$234="Да",SUM('19_Расчет_аналитики'!AK3685:AK3686,'19_Расчет_аналитики'!AK3688:AK3692,'08_ФОТ'!AK21:AK22,'19_Расчет_аналитики'!AK3697:AK3699),0)</f>
        <v/>
      </c>
      <c r="AL3701">
        <f>IF('01_Вводные'!$B$234="Да",SUM('19_Расчет_аналитики'!AL3685:AL3686,'19_Расчет_аналитики'!AL3688:AL3692,'08_ФОТ'!AL21:AL22,'19_Расчет_аналитики'!AL3697:AL3699),0)</f>
        <v/>
      </c>
      <c r="AM3701">
        <f>IF('01_Вводные'!$B$234="Да",SUM('19_Расчет_аналитики'!AM3685:AM3686,'19_Расчет_аналитики'!AM3688:AM3692,'08_ФОТ'!AM21:AM22,'19_Расчет_аналитики'!AM3697:AM3699),0)</f>
        <v/>
      </c>
      <c r="AN3701">
        <f>IF('01_Вводные'!$B$234="Да",SUM('19_Расчет_аналитики'!AN3685:AN3686,'19_Расчет_аналитики'!AN3688:AN3692,'08_ФОТ'!AN21:AN22,'19_Расчет_аналитики'!AN3697:AN3699),0)</f>
        <v/>
      </c>
      <c r="AO3701">
        <f>IF('01_Вводные'!$B$234="Да",SUM('19_Расчет_аналитики'!AO3685:AO3686,'19_Расчет_аналитики'!AO3688:AO3692,'08_ФОТ'!AO21:AO22,'19_Расчет_аналитики'!AO3697:AO3699),0)</f>
        <v/>
      </c>
      <c r="AP3701">
        <f>IF('01_Вводные'!$B$234="Да",SUM('19_Расчет_аналитики'!AP3685:AP3686,'19_Расчет_аналитики'!AP3688:AP3692,'08_ФОТ'!AP21:AP22,'19_Расчет_аналитики'!AP3697:AP3699),0)</f>
        <v/>
      </c>
      <c r="AQ3701">
        <f>IF('01_Вводные'!$B$234="Да",SUM('19_Расчет_аналитики'!AQ3685:AQ3686,'19_Расчет_аналитики'!AQ3688:AQ3692,'08_ФОТ'!AQ21:AQ22,'19_Расчет_аналитики'!AQ3697:AQ3699),0)</f>
        <v/>
      </c>
      <c r="AR3701">
        <f>IF('01_Вводные'!$B$234="Да",SUM('19_Расчет_аналитики'!AR3685:AR3686,'19_Расчет_аналитики'!AR3688:AR3692,'08_ФОТ'!AR21:AR22,'19_Расчет_аналитики'!AR3697:AR3699),0)</f>
        <v/>
      </c>
      <c r="AS3701">
        <f>IF('01_Вводные'!$B$234="Да",SUM('19_Расчет_аналитики'!AS3685:AS3686,'19_Расчет_аналитики'!AS3688:AS3692,'08_ФОТ'!AS21:AS22,'19_Расчет_аналитики'!AS3697:AS3699),0)</f>
        <v/>
      </c>
      <c r="AT3701">
        <f>IF('01_Вводные'!$B$234="Да",SUM('19_Расчет_аналитики'!AT3685:AT3686,'19_Расчет_аналитики'!AT3688:AT3692,'08_ФОТ'!AT21:AT22,'19_Расчет_аналитики'!AT3697:AT3699),0)</f>
        <v/>
      </c>
      <c r="AU3701">
        <f>IF('01_Вводные'!$B$234="Да",SUM('19_Расчет_аналитики'!AU3685:AU3686,'19_Расчет_аналитики'!AU3688:AU3692,'08_ФОТ'!AU21:AU22,'19_Расчет_аналитики'!AU3697:AU3699),0)</f>
        <v/>
      </c>
      <c r="AV3701">
        <f>IF('01_Вводные'!$B$234="Да",SUM('19_Расчет_аналитики'!AV3685:AV3686,'19_Расчет_аналитики'!AV3688:AV3692,'08_ФОТ'!AV21:AV22,'19_Расчет_аналитики'!AV3697:AV3699),0)</f>
        <v/>
      </c>
      <c r="AW3701">
        <f>IF('01_Вводные'!$B$234="Да",SUM('19_Расчет_аналитики'!AW3685:AW3686,'19_Расчет_аналитики'!AW3688:AW3692,'08_ФОТ'!AW21:AW22,'19_Расчет_аналитики'!AW3697:AW3699),0)</f>
        <v/>
      </c>
      <c r="AX3701">
        <f>IF('01_Вводные'!$B$234="Да",SUM('19_Расчет_аналитики'!AX3685:AX3686,'19_Расчет_аналитики'!AX3688:AX3692,'08_ФОТ'!AX21:AX22,'19_Расчет_аналитики'!AX3697:AX3699),0)</f>
        <v/>
      </c>
      <c r="AY3701">
        <f>IF('01_Вводные'!$B$234="Да",SUM('19_Расчет_аналитики'!AY3685:AY3686,'19_Расчет_аналитики'!AY3688:AY3692,'08_ФОТ'!AY21:AY22,'19_Расчет_аналитики'!AY3697:AY3699),0)</f>
        <v/>
      </c>
      <c r="AZ3701">
        <f>IF('01_Вводные'!$B$234="Да",SUM('19_Расчет_аналитики'!AZ3685:AZ3686,'19_Расчет_аналитики'!AZ3688:AZ3692,'08_ФОТ'!AZ21:AZ22,'19_Расчет_аналитики'!AZ3697:AZ3699),0)</f>
        <v/>
      </c>
      <c r="BA3701">
        <f>IF('01_Вводные'!$B$234="Да",SUM('19_Расчет_аналитики'!BA3685:BA3686,'19_Расчет_аналитики'!BA3688:BA3692,'08_ФОТ'!BA21:BA22,'19_Расчет_аналитики'!BA3697:BA3699),0)</f>
        <v/>
      </c>
      <c r="BB3701">
        <f>IF('01_Вводные'!$B$234="Да",SUM('19_Расчет_аналитики'!BB3685:BB3686,'19_Расчет_аналитики'!BB3688:BB3692,'08_ФОТ'!BB21:BB22,'19_Расчет_аналитики'!BB3697:BB3699),0)</f>
        <v/>
      </c>
      <c r="BC3701">
        <f>IF('01_Вводные'!$B$234="Да",SUM('19_Расчет_аналитики'!BC3685:BC3686,'19_Расчет_аналитики'!BC3688:BC3692,'08_ФОТ'!BC21:BC22,'19_Расчет_аналитики'!BC3697:BC3699),0)</f>
        <v/>
      </c>
      <c r="BD3701">
        <f>IF('01_Вводные'!$B$234="Да",SUM('19_Расчет_аналитики'!BD3685:BD3686,'19_Расчет_аналитики'!BD3688:BD3692,'08_ФОТ'!BD21:BD22,'19_Расчет_аналитики'!BD3697:BD3699),0)</f>
        <v/>
      </c>
      <c r="BE3701">
        <f>IF('01_Вводные'!$B$234="Да",SUM('19_Расчет_аналитики'!BE3685:BE3686,'19_Расчет_аналитики'!BE3688:BE3692,'08_ФОТ'!BE21:BE22,'19_Расчет_аналитики'!BE3697:BE3699),0)</f>
        <v/>
      </c>
      <c r="BF3701">
        <f>IF('01_Вводные'!$B$234="Да",SUM('19_Расчет_аналитики'!BF3685:BF3686,'19_Расчет_аналитики'!BF3688:BF3692,'08_ФОТ'!BF21:BF22,'19_Расчет_аналитики'!BF3697:BF3699),0)</f>
        <v/>
      </c>
      <c r="BG3701">
        <f>IF('01_Вводные'!$B$234="Да",SUM('19_Расчет_аналитики'!BG3685:BG3686,'19_Расчет_аналитики'!BG3688:BG3692,'08_ФОТ'!BG21:BG22,'19_Расчет_аналитики'!BG3697:BG3699),0)</f>
        <v/>
      </c>
      <c r="BH3701">
        <f>IF('01_Вводные'!$B$234="Да",SUM('19_Расчет_аналитики'!BH3685:BH3686,'19_Расчет_аналитики'!BH3688:BH3692,'08_ФОТ'!BH21:BH22,'19_Расчет_аналитики'!BH3697:BH3699),0)</f>
        <v/>
      </c>
      <c r="BI3701">
        <f>IF('01_Вводные'!$B$234="Да",SUM('19_Расчет_аналитики'!BI3685:BI3686,'19_Расчет_аналитики'!BI3688:BI3692,'08_ФОТ'!BI21:BI22,'19_Расчет_аналитики'!BI3697:BI3699),0)</f>
        <v/>
      </c>
    </row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>
      <c r="C3743">
        <f>IF('01_Вводные'!$B$234="Да",'19_Расчет_аналитики'!C3401,0)</f>
        <v/>
      </c>
      <c r="D3743">
        <f>IF('01_Вводные'!$B$234="Да",'19_Расчет_аналитики'!D3401,0)</f>
        <v/>
      </c>
      <c r="E3743">
        <f>IF('01_Вводные'!$B$234="Да",'19_Расчет_аналитики'!E3401,0)</f>
        <v/>
      </c>
      <c r="F3743">
        <f>IF('01_Вводные'!$B$234="Да",'19_Расчет_аналитики'!F3401,0)</f>
        <v/>
      </c>
      <c r="G3743">
        <f>IF('01_Вводные'!$B$234="Да",'19_Расчет_аналитики'!G3401,0)</f>
        <v/>
      </c>
      <c r="H3743">
        <f>IF('01_Вводные'!$B$234="Да",'19_Расчет_аналитики'!H3401,0)</f>
        <v/>
      </c>
      <c r="I3743">
        <f>IF('01_Вводные'!$B$234="Да",'19_Расчет_аналитики'!I3401,0)</f>
        <v/>
      </c>
      <c r="J3743">
        <f>IF('01_Вводные'!$B$234="Да",'19_Расчет_аналитики'!J3401,0)</f>
        <v/>
      </c>
      <c r="K3743">
        <f>IF('01_Вводные'!$B$234="Да",'19_Расчет_аналитики'!K3401,0)</f>
        <v/>
      </c>
      <c r="L3743">
        <f>IF('01_Вводные'!$B$234="Да",'19_Расчет_аналитики'!L3401,0)</f>
        <v/>
      </c>
      <c r="M3743">
        <f>IF('01_Вводные'!$B$234="Да",'19_Расчет_аналитики'!M3401,0)</f>
        <v/>
      </c>
      <c r="N3743">
        <f>IF('01_Вводные'!$B$234="Да",'19_Расчет_аналитики'!N3401,0)</f>
        <v/>
      </c>
      <c r="O3743">
        <f>IF('01_Вводные'!$B$234="Да",'19_Расчет_аналитики'!O3401,0)</f>
        <v/>
      </c>
      <c r="P3743">
        <f>IF('01_Вводные'!$B$234="Да",'19_Расчет_аналитики'!P3401,0)</f>
        <v/>
      </c>
      <c r="Q3743">
        <f>IF('01_Вводные'!$B$234="Да",'19_Расчет_аналитики'!Q3401,0)</f>
        <v/>
      </c>
      <c r="R3743">
        <f>IF('01_Вводные'!$B$234="Да",'19_Расчет_аналитики'!R3401,0)</f>
        <v/>
      </c>
      <c r="S3743">
        <f>IF('01_Вводные'!$B$234="Да",'19_Расчет_аналитики'!S3401,0)</f>
        <v/>
      </c>
      <c r="T3743">
        <f>IF('01_Вводные'!$B$234="Да",'19_Расчет_аналитики'!T3401,0)</f>
        <v/>
      </c>
      <c r="U3743">
        <f>IF('01_Вводные'!$B$234="Да",'19_Расчет_аналитики'!U3401,0)</f>
        <v/>
      </c>
      <c r="V3743">
        <f>IF('01_Вводные'!$B$234="Да",'19_Расчет_аналитики'!V3401,0)</f>
        <v/>
      </c>
      <c r="W3743">
        <f>IF('01_Вводные'!$B$234="Да",'19_Расчет_аналитики'!W3401,0)</f>
        <v/>
      </c>
      <c r="X3743">
        <f>IF('01_Вводные'!$B$234="Да",'19_Расчет_аналитики'!X3401,0)</f>
        <v/>
      </c>
      <c r="Y3743">
        <f>IF('01_Вводные'!$B$234="Да",'19_Расчет_аналитики'!Y3401,0)</f>
        <v/>
      </c>
      <c r="Z3743">
        <f>IF('01_Вводные'!$B$234="Да",'19_Расчет_аналитики'!Z3401,0)</f>
        <v/>
      </c>
      <c r="AA3743">
        <f>IF('01_Вводные'!$B$234="Да",'19_Расчет_аналитики'!AA3401,0)</f>
        <v/>
      </c>
      <c r="AB3743">
        <f>IF('01_Вводные'!$B$234="Да",'19_Расчет_аналитики'!AB3401,0)</f>
        <v/>
      </c>
      <c r="AC3743">
        <f>IF('01_Вводные'!$B$234="Да",'19_Расчет_аналитики'!AC3401,0)</f>
        <v/>
      </c>
      <c r="AD3743">
        <f>IF('01_Вводные'!$B$234="Да",'19_Расчет_аналитики'!AD3401,0)</f>
        <v/>
      </c>
      <c r="AE3743">
        <f>IF('01_Вводные'!$B$234="Да",'19_Расчет_аналитики'!AE3401,0)</f>
        <v/>
      </c>
      <c r="AF3743">
        <f>IF('01_Вводные'!$B$234="Да",'19_Расчет_аналитики'!AF3401,0)</f>
        <v/>
      </c>
      <c r="AG3743">
        <f>IF('01_Вводные'!$B$234="Да",'19_Расчет_аналитики'!AG3401,0)</f>
        <v/>
      </c>
      <c r="AH3743">
        <f>IF('01_Вводные'!$B$234="Да",'19_Расчет_аналитики'!AH3401,0)</f>
        <v/>
      </c>
      <c r="AI3743">
        <f>IF('01_Вводные'!$B$234="Да",'19_Расчет_аналитики'!AI3401,0)</f>
        <v/>
      </c>
      <c r="AJ3743">
        <f>IF('01_Вводные'!$B$234="Да",'19_Расчет_аналитики'!AJ3401,0)</f>
        <v/>
      </c>
      <c r="AK3743">
        <f>IF('01_Вводные'!$B$234="Да",'19_Расчет_аналитики'!AK3401,0)</f>
        <v/>
      </c>
      <c r="AL3743">
        <f>IF('01_Вводные'!$B$234="Да",'19_Расчет_аналитики'!AL3401,0)</f>
        <v/>
      </c>
      <c r="AM3743">
        <f>IF('01_Вводные'!$B$234="Да",'19_Расчет_аналитики'!AM3401,0)</f>
        <v/>
      </c>
      <c r="AN3743">
        <f>IF('01_Вводные'!$B$234="Да",'19_Расчет_аналитики'!AN3401,0)</f>
        <v/>
      </c>
      <c r="AO3743">
        <f>IF('01_Вводные'!$B$234="Да",'19_Расчет_аналитики'!AO3401,0)</f>
        <v/>
      </c>
      <c r="AP3743">
        <f>IF('01_Вводные'!$B$234="Да",'19_Расчет_аналитики'!AP3401,0)</f>
        <v/>
      </c>
      <c r="AQ3743">
        <f>IF('01_Вводные'!$B$234="Да",'19_Расчет_аналитики'!AQ3401,0)</f>
        <v/>
      </c>
      <c r="AR3743">
        <f>IF('01_Вводные'!$B$234="Да",'19_Расчет_аналитики'!AR3401,0)</f>
        <v/>
      </c>
      <c r="AS3743">
        <f>IF('01_Вводные'!$B$234="Да",'19_Расчет_аналитики'!AS3401,0)</f>
        <v/>
      </c>
      <c r="AT3743">
        <f>IF('01_Вводные'!$B$234="Да",'19_Расчет_аналитики'!AT3401,0)</f>
        <v/>
      </c>
      <c r="AU3743">
        <f>IF('01_Вводные'!$B$234="Да",'19_Расчет_аналитики'!AU3401,0)</f>
        <v/>
      </c>
      <c r="AV3743">
        <f>IF('01_Вводные'!$B$234="Да",'19_Расчет_аналитики'!AV3401,0)</f>
        <v/>
      </c>
      <c r="AW3743">
        <f>IF('01_Вводные'!$B$234="Да",'19_Расчет_аналитики'!AW3401,0)</f>
        <v/>
      </c>
      <c r="AX3743">
        <f>IF('01_Вводные'!$B$234="Да",'19_Расчет_аналитики'!AX3401,0)</f>
        <v/>
      </c>
      <c r="AY3743">
        <f>IF('01_Вводные'!$B$234="Да",'19_Расчет_аналитики'!AY3401,0)</f>
        <v/>
      </c>
      <c r="AZ3743">
        <f>IF('01_Вводные'!$B$234="Да",'19_Расчет_аналитики'!AZ3401,0)</f>
        <v/>
      </c>
      <c r="BA3743">
        <f>IF('01_Вводные'!$B$234="Да",'19_Расчет_аналитики'!BA3401,0)</f>
        <v/>
      </c>
      <c r="BB3743">
        <f>IF('01_Вводные'!$B$234="Да",'19_Расчет_аналитики'!BB3401,0)</f>
        <v/>
      </c>
      <c r="BC3743">
        <f>IF('01_Вводные'!$B$234="Да",'19_Расчет_аналитики'!BC3401,0)</f>
        <v/>
      </c>
      <c r="BD3743">
        <f>IF('01_Вводные'!$B$234="Да",'19_Расчет_аналитики'!BD3401,0)</f>
        <v/>
      </c>
      <c r="BE3743">
        <f>IF('01_Вводные'!$B$234="Да",'19_Расчет_аналитики'!BE3401,0)</f>
        <v/>
      </c>
      <c r="BF3743">
        <f>IF('01_Вводные'!$B$234="Да",'19_Расчет_аналитики'!BF3401,0)</f>
        <v/>
      </c>
      <c r="BG3743">
        <f>IF('01_Вводные'!$B$234="Да",'19_Расчет_аналитики'!BG3401,0)</f>
        <v/>
      </c>
      <c r="BH3743">
        <f>IF('01_Вводные'!$B$234="Да",'19_Расчет_аналитики'!BH3401,0)</f>
        <v/>
      </c>
      <c r="BI3743">
        <f>IF('01_Вводные'!$B$234="Да",'19_Расчет_аналитики'!BI3401,0)</f>
        <v/>
      </c>
    </row>
    <row r="3744">
      <c r="B3744">
        <f>IF('01_Вводные'!$B$234="Да",'19_Расчет_аналитики'!B3415,0)</f>
        <v/>
      </c>
      <c r="C3744">
        <f>IF('01_Вводные'!$B$234="Да",'19_Расчет_аналитики'!C3415,0)</f>
        <v/>
      </c>
      <c r="D3744">
        <f>IF('01_Вводные'!$B$234="Да",'19_Расчет_аналитики'!D3415,0)</f>
        <v/>
      </c>
      <c r="E3744">
        <f>IF('01_Вводные'!$B$234="Да",'19_Расчет_аналитики'!E3415,0)</f>
        <v/>
      </c>
      <c r="F3744">
        <f>IF('01_Вводные'!$B$234="Да",'19_Расчет_аналитики'!F3415,0)</f>
        <v/>
      </c>
      <c r="G3744">
        <f>IF('01_Вводные'!$B$234="Да",'19_Расчет_аналитики'!G3415,0)</f>
        <v/>
      </c>
      <c r="H3744">
        <f>IF('01_Вводные'!$B$234="Да",'19_Расчет_аналитики'!H3415,0)</f>
        <v/>
      </c>
      <c r="I3744">
        <f>IF('01_Вводные'!$B$234="Да",'19_Расчет_аналитики'!I3415,0)</f>
        <v/>
      </c>
      <c r="J3744">
        <f>IF('01_Вводные'!$B$234="Да",'19_Расчет_аналитики'!J3415,0)</f>
        <v/>
      </c>
      <c r="K3744">
        <f>IF('01_Вводные'!$B$234="Да",'19_Расчет_аналитики'!K3415,0)</f>
        <v/>
      </c>
      <c r="L3744">
        <f>IF('01_Вводные'!$B$234="Да",'19_Расчет_аналитики'!L3415,0)</f>
        <v/>
      </c>
      <c r="M3744">
        <f>IF('01_Вводные'!$B$234="Да",'19_Расчет_аналитики'!M3415,0)</f>
        <v/>
      </c>
      <c r="N3744">
        <f>IF('01_Вводные'!$B$234="Да",'19_Расчет_аналитики'!N3415,0)</f>
        <v/>
      </c>
      <c r="O3744">
        <f>IF('01_Вводные'!$B$234="Да",'19_Расчет_аналитики'!O3415,0)</f>
        <v/>
      </c>
      <c r="P3744">
        <f>IF('01_Вводные'!$B$234="Да",'19_Расчет_аналитики'!P3415,0)</f>
        <v/>
      </c>
      <c r="Q3744">
        <f>IF('01_Вводные'!$B$234="Да",'19_Расчет_аналитики'!Q3415,0)</f>
        <v/>
      </c>
      <c r="R3744">
        <f>IF('01_Вводные'!$B$234="Да",'19_Расчет_аналитики'!R3415,0)</f>
        <v/>
      </c>
      <c r="S3744">
        <f>IF('01_Вводные'!$B$234="Да",'19_Расчет_аналитики'!S3415,0)</f>
        <v/>
      </c>
      <c r="T3744">
        <f>IF('01_Вводные'!$B$234="Да",'19_Расчет_аналитики'!T3415,0)</f>
        <v/>
      </c>
      <c r="U3744">
        <f>IF('01_Вводные'!$B$234="Да",'19_Расчет_аналитики'!U3415,0)</f>
        <v/>
      </c>
      <c r="V3744">
        <f>IF('01_Вводные'!$B$234="Да",'19_Расчет_аналитики'!V3415,0)</f>
        <v/>
      </c>
      <c r="W3744">
        <f>IF('01_Вводные'!$B$234="Да",'19_Расчет_аналитики'!W3415,0)</f>
        <v/>
      </c>
      <c r="X3744">
        <f>IF('01_Вводные'!$B$234="Да",'19_Расчет_аналитики'!X3415,0)</f>
        <v/>
      </c>
      <c r="Y3744">
        <f>IF('01_Вводные'!$B$234="Да",'19_Расчет_аналитики'!Y3415,0)</f>
        <v/>
      </c>
      <c r="Z3744">
        <f>IF('01_Вводные'!$B$234="Да",'19_Расчет_аналитики'!Z3415,0)</f>
        <v/>
      </c>
      <c r="AA3744">
        <f>IF('01_Вводные'!$B$234="Да",'19_Расчет_аналитики'!AA3415,0)</f>
        <v/>
      </c>
      <c r="AB3744">
        <f>IF('01_Вводные'!$B$234="Да",'19_Расчет_аналитики'!AB3415,0)</f>
        <v/>
      </c>
      <c r="AC3744">
        <f>IF('01_Вводные'!$B$234="Да",'19_Расчет_аналитики'!AC3415,0)</f>
        <v/>
      </c>
      <c r="AD3744">
        <f>IF('01_Вводные'!$B$234="Да",'19_Расчет_аналитики'!AD3415,0)</f>
        <v/>
      </c>
      <c r="AE3744">
        <f>IF('01_Вводные'!$B$234="Да",'19_Расчет_аналитики'!AE3415,0)</f>
        <v/>
      </c>
      <c r="AF3744">
        <f>IF('01_Вводные'!$B$234="Да",'19_Расчет_аналитики'!AF3415,0)</f>
        <v/>
      </c>
      <c r="AG3744">
        <f>IF('01_Вводные'!$B$234="Да",'19_Расчет_аналитики'!AG3415,0)</f>
        <v/>
      </c>
      <c r="AH3744">
        <f>IF('01_Вводные'!$B$234="Да",'19_Расчет_аналитики'!AH3415,0)</f>
        <v/>
      </c>
      <c r="AI3744">
        <f>IF('01_Вводные'!$B$234="Да",'19_Расчет_аналитики'!AI3415,0)</f>
        <v/>
      </c>
      <c r="AJ3744">
        <f>IF('01_Вводные'!$B$234="Да",'19_Расчет_аналитики'!AJ3415,0)</f>
        <v/>
      </c>
      <c r="AK3744">
        <f>IF('01_Вводные'!$B$234="Да",'19_Расчет_аналитики'!AK3415,0)</f>
        <v/>
      </c>
      <c r="AL3744">
        <f>IF('01_Вводные'!$B$234="Да",'19_Расчет_аналитики'!AL3415,0)</f>
        <v/>
      </c>
      <c r="AM3744">
        <f>IF('01_Вводные'!$B$234="Да",'19_Расчет_аналитики'!AM3415,0)</f>
        <v/>
      </c>
      <c r="AN3744">
        <f>IF('01_Вводные'!$B$234="Да",'19_Расчет_аналитики'!AN3415,0)</f>
        <v/>
      </c>
      <c r="AO3744">
        <f>IF('01_Вводные'!$B$234="Да",'19_Расчет_аналитики'!AO3415,0)</f>
        <v/>
      </c>
      <c r="AP3744">
        <f>IF('01_Вводные'!$B$234="Да",'19_Расчет_аналитики'!AP3415,0)</f>
        <v/>
      </c>
      <c r="AQ3744">
        <f>IF('01_Вводные'!$B$234="Да",'19_Расчет_аналитики'!AQ3415,0)</f>
        <v/>
      </c>
      <c r="AR3744">
        <f>IF('01_Вводные'!$B$234="Да",'19_Расчет_аналитики'!AR3415,0)</f>
        <v/>
      </c>
      <c r="AS3744">
        <f>IF('01_Вводные'!$B$234="Да",'19_Расчет_аналитики'!AS3415,0)</f>
        <v/>
      </c>
      <c r="AT3744">
        <f>IF('01_Вводные'!$B$234="Да",'19_Расчет_аналитики'!AT3415,0)</f>
        <v/>
      </c>
      <c r="AU3744">
        <f>IF('01_Вводные'!$B$234="Да",'19_Расчет_аналитики'!AU3415,0)</f>
        <v/>
      </c>
      <c r="AV3744">
        <f>IF('01_Вводные'!$B$234="Да",'19_Расчет_аналитики'!AV3415,0)</f>
        <v/>
      </c>
      <c r="AW3744">
        <f>IF('01_Вводные'!$B$234="Да",'19_Расчет_аналитики'!AW3415,0)</f>
        <v/>
      </c>
      <c r="AX3744">
        <f>IF('01_Вводные'!$B$234="Да",'19_Расчет_аналитики'!AX3415,0)</f>
        <v/>
      </c>
      <c r="AY3744">
        <f>IF('01_Вводные'!$B$234="Да",'19_Расчет_аналитики'!AY3415,0)</f>
        <v/>
      </c>
      <c r="AZ3744">
        <f>IF('01_Вводные'!$B$234="Да",'19_Расчет_аналитики'!AZ3415,0)</f>
        <v/>
      </c>
      <c r="BA3744">
        <f>IF('01_Вводные'!$B$234="Да",'19_Расчет_аналитики'!BA3415,0)</f>
        <v/>
      </c>
      <c r="BB3744">
        <f>IF('01_Вводные'!$B$234="Да",'19_Расчет_аналитики'!BB3415,0)</f>
        <v/>
      </c>
      <c r="BC3744">
        <f>IF('01_Вводные'!$B$234="Да",'19_Расчет_аналитики'!BC3415,0)</f>
        <v/>
      </c>
      <c r="BD3744">
        <f>IF('01_Вводные'!$B$234="Да",'19_Расчет_аналитики'!BD3415,0)</f>
        <v/>
      </c>
      <c r="BE3744">
        <f>IF('01_Вводные'!$B$234="Да",'19_Расчет_аналитики'!BE3415,0)</f>
        <v/>
      </c>
      <c r="BF3744">
        <f>IF('01_Вводные'!$B$234="Да",'19_Расчет_аналитики'!BF3415,0)</f>
        <v/>
      </c>
      <c r="BG3744">
        <f>IF('01_Вводные'!$B$234="Да",'19_Расчет_аналитики'!BG3415,0)</f>
        <v/>
      </c>
      <c r="BH3744">
        <f>IF('01_Вводные'!$B$234="Да",'19_Расчет_аналитики'!BH3415,0)</f>
        <v/>
      </c>
      <c r="BI3744">
        <f>IF('01_Вводные'!$B$234="Да",'19_Расчет_аналитики'!BI3415,0)</f>
        <v/>
      </c>
    </row>
    <row r="3745">
      <c r="B3745">
        <f>IF('01_Вводные'!$B$234="Да",'19_Расчет_аналитики'!B3416,0)</f>
        <v/>
      </c>
      <c r="C3745">
        <f>IF('01_Вводные'!$B$234="Да",'19_Расчет_аналитики'!C3416,0)</f>
        <v/>
      </c>
      <c r="D3745">
        <f>IF('01_Вводные'!$B$234="Да",'19_Расчет_аналитики'!D3416,0)</f>
        <v/>
      </c>
      <c r="E3745">
        <f>IF('01_Вводные'!$B$234="Да",'19_Расчет_аналитики'!E3416,0)</f>
        <v/>
      </c>
      <c r="F3745">
        <f>IF('01_Вводные'!$B$234="Да",'19_Расчет_аналитики'!F3416,0)</f>
        <v/>
      </c>
      <c r="G3745">
        <f>IF('01_Вводные'!$B$234="Да",'19_Расчет_аналитики'!G3416,0)</f>
        <v/>
      </c>
      <c r="H3745">
        <f>IF('01_Вводные'!$B$234="Да",'19_Расчет_аналитики'!H3416,0)</f>
        <v/>
      </c>
      <c r="I3745">
        <f>IF('01_Вводные'!$B$234="Да",'19_Расчет_аналитики'!I3416,0)</f>
        <v/>
      </c>
      <c r="J3745">
        <f>IF('01_Вводные'!$B$234="Да",'19_Расчет_аналитики'!J3416,0)</f>
        <v/>
      </c>
      <c r="K3745">
        <f>IF('01_Вводные'!$B$234="Да",'19_Расчет_аналитики'!K3416,0)</f>
        <v/>
      </c>
      <c r="L3745">
        <f>IF('01_Вводные'!$B$234="Да",'19_Расчет_аналитики'!L3416,0)</f>
        <v/>
      </c>
      <c r="M3745">
        <f>IF('01_Вводные'!$B$234="Да",'19_Расчет_аналитики'!M3416,0)</f>
        <v/>
      </c>
      <c r="N3745">
        <f>IF('01_Вводные'!$B$234="Да",'19_Расчет_аналитики'!N3416,0)</f>
        <v/>
      </c>
      <c r="O3745">
        <f>IF('01_Вводные'!$B$234="Да",'19_Расчет_аналитики'!O3416,0)</f>
        <v/>
      </c>
      <c r="P3745">
        <f>IF('01_Вводные'!$B$234="Да",'19_Расчет_аналитики'!P3416,0)</f>
        <v/>
      </c>
      <c r="Q3745">
        <f>IF('01_Вводные'!$B$234="Да",'19_Расчет_аналитики'!Q3416,0)</f>
        <v/>
      </c>
      <c r="R3745">
        <f>IF('01_Вводные'!$B$234="Да",'19_Расчет_аналитики'!R3416,0)</f>
        <v/>
      </c>
      <c r="S3745">
        <f>IF('01_Вводные'!$B$234="Да",'19_Расчет_аналитики'!S3416,0)</f>
        <v/>
      </c>
      <c r="T3745">
        <f>IF('01_Вводные'!$B$234="Да",'19_Расчет_аналитики'!T3416,0)</f>
        <v/>
      </c>
      <c r="U3745">
        <f>IF('01_Вводные'!$B$234="Да",'19_Расчет_аналитики'!U3416,0)</f>
        <v/>
      </c>
      <c r="V3745">
        <f>IF('01_Вводные'!$B$234="Да",'19_Расчет_аналитики'!V3416,0)</f>
        <v/>
      </c>
      <c r="W3745">
        <f>IF('01_Вводные'!$B$234="Да",'19_Расчет_аналитики'!W3416,0)</f>
        <v/>
      </c>
      <c r="X3745">
        <f>IF('01_Вводные'!$B$234="Да",'19_Расчет_аналитики'!X3416,0)</f>
        <v/>
      </c>
      <c r="Y3745">
        <f>IF('01_Вводные'!$B$234="Да",'19_Расчет_аналитики'!Y3416,0)</f>
        <v/>
      </c>
      <c r="Z3745">
        <f>IF('01_Вводные'!$B$234="Да",'19_Расчет_аналитики'!Z3416,0)</f>
        <v/>
      </c>
      <c r="AA3745">
        <f>IF('01_Вводные'!$B$234="Да",'19_Расчет_аналитики'!AA3416,0)</f>
        <v/>
      </c>
      <c r="AB3745">
        <f>IF('01_Вводные'!$B$234="Да",'19_Расчет_аналитики'!AB3416,0)</f>
        <v/>
      </c>
      <c r="AC3745">
        <f>IF('01_Вводные'!$B$234="Да",'19_Расчет_аналитики'!AC3416,0)</f>
        <v/>
      </c>
      <c r="AD3745">
        <f>IF('01_Вводные'!$B$234="Да",'19_Расчет_аналитики'!AD3416,0)</f>
        <v/>
      </c>
      <c r="AE3745">
        <f>IF('01_Вводные'!$B$234="Да",'19_Расчет_аналитики'!AE3416,0)</f>
        <v/>
      </c>
      <c r="AF3745">
        <f>IF('01_Вводные'!$B$234="Да",'19_Расчет_аналитики'!AF3416,0)</f>
        <v/>
      </c>
      <c r="AG3745">
        <f>IF('01_Вводные'!$B$234="Да",'19_Расчет_аналитики'!AG3416,0)</f>
        <v/>
      </c>
      <c r="AH3745">
        <f>IF('01_Вводные'!$B$234="Да",'19_Расчет_аналитики'!AH3416,0)</f>
        <v/>
      </c>
      <c r="AI3745">
        <f>IF('01_Вводные'!$B$234="Да",'19_Расчет_аналитики'!AI3416,0)</f>
        <v/>
      </c>
      <c r="AJ3745">
        <f>IF('01_Вводные'!$B$234="Да",'19_Расчет_аналитики'!AJ3416,0)</f>
        <v/>
      </c>
      <c r="AK3745">
        <f>IF('01_Вводные'!$B$234="Да",'19_Расчет_аналитики'!AK3416,0)</f>
        <v/>
      </c>
      <c r="AL3745">
        <f>IF('01_Вводные'!$B$234="Да",'19_Расчет_аналитики'!AL3416,0)</f>
        <v/>
      </c>
      <c r="AM3745">
        <f>IF('01_Вводные'!$B$234="Да",'19_Расчет_аналитики'!AM3416,0)</f>
        <v/>
      </c>
      <c r="AN3745">
        <f>IF('01_Вводные'!$B$234="Да",'19_Расчет_аналитики'!AN3416,0)</f>
        <v/>
      </c>
      <c r="AO3745">
        <f>IF('01_Вводные'!$B$234="Да",'19_Расчет_аналитики'!AO3416,0)</f>
        <v/>
      </c>
      <c r="AP3745">
        <f>IF('01_Вводные'!$B$234="Да",'19_Расчет_аналитики'!AP3416,0)</f>
        <v/>
      </c>
      <c r="AQ3745">
        <f>IF('01_Вводные'!$B$234="Да",'19_Расчет_аналитики'!AQ3416,0)</f>
        <v/>
      </c>
      <c r="AR3745">
        <f>IF('01_Вводные'!$B$234="Да",'19_Расчет_аналитики'!AR3416,0)</f>
        <v/>
      </c>
      <c r="AS3745">
        <f>IF('01_Вводные'!$B$234="Да",'19_Расчет_аналитики'!AS3416,0)</f>
        <v/>
      </c>
      <c r="AT3745">
        <f>IF('01_Вводные'!$B$234="Да",'19_Расчет_аналитики'!AT3416,0)</f>
        <v/>
      </c>
      <c r="AU3745">
        <f>IF('01_Вводные'!$B$234="Да",'19_Расчет_аналитики'!AU3416,0)</f>
        <v/>
      </c>
      <c r="AV3745">
        <f>IF('01_Вводные'!$B$234="Да",'19_Расчет_аналитики'!AV3416,0)</f>
        <v/>
      </c>
      <c r="AW3745">
        <f>IF('01_Вводные'!$B$234="Да",'19_Расчет_аналитики'!AW3416,0)</f>
        <v/>
      </c>
      <c r="AX3745">
        <f>IF('01_Вводные'!$B$234="Да",'19_Расчет_аналитики'!AX3416,0)</f>
        <v/>
      </c>
      <c r="AY3745">
        <f>IF('01_Вводные'!$B$234="Да",'19_Расчет_аналитики'!AY3416,0)</f>
        <v/>
      </c>
      <c r="AZ3745">
        <f>IF('01_Вводные'!$B$234="Да",'19_Расчет_аналитики'!AZ3416,0)</f>
        <v/>
      </c>
      <c r="BA3745">
        <f>IF('01_Вводные'!$B$234="Да",'19_Расчет_аналитики'!BA3416,0)</f>
        <v/>
      </c>
      <c r="BB3745">
        <f>IF('01_Вводные'!$B$234="Да",'19_Расчет_аналитики'!BB3416,0)</f>
        <v/>
      </c>
      <c r="BC3745">
        <f>IF('01_Вводные'!$B$234="Да",'19_Расчет_аналитики'!BC3416,0)</f>
        <v/>
      </c>
      <c r="BD3745">
        <f>IF('01_Вводные'!$B$234="Да",'19_Расчет_аналитики'!BD3416,0)</f>
        <v/>
      </c>
      <c r="BE3745">
        <f>IF('01_Вводные'!$B$234="Да",'19_Расчет_аналитики'!BE3416,0)</f>
        <v/>
      </c>
      <c r="BF3745">
        <f>IF('01_Вводные'!$B$234="Да",'19_Расчет_аналитики'!BF3416,0)</f>
        <v/>
      </c>
      <c r="BG3745">
        <f>IF('01_Вводные'!$B$234="Да",'19_Расчет_аналитики'!BG3416,0)</f>
        <v/>
      </c>
      <c r="BH3745">
        <f>IF('01_Вводные'!$B$234="Да",'19_Расчет_аналитики'!BH3416,0)</f>
        <v/>
      </c>
      <c r="BI3745">
        <f>IF('01_Вводные'!$B$234="Да",'19_Расчет_аналитики'!BI3416,0)</f>
        <v/>
      </c>
    </row>
    <row r="3746"/>
    <row r="3747"/>
    <row r="3748">
      <c r="B3748">
        <f>'02_Модель'!B18</f>
        <v/>
      </c>
      <c r="C3748">
        <f>IF('01_Вводные'!$B$234="Да",'19_Расчет_аналитики'!C3385,0)</f>
        <v/>
      </c>
      <c r="D3748">
        <f>IF('01_Вводные'!$B$234="Да",'19_Расчет_аналитики'!D3385,0)</f>
        <v/>
      </c>
      <c r="E3748">
        <f>IF('01_Вводные'!$B$234="Да",'19_Расчет_аналитики'!E3385,0)</f>
        <v/>
      </c>
      <c r="F3748">
        <f>IF('01_Вводные'!$B$234="Да",'19_Расчет_аналитики'!F3385,0)</f>
        <v/>
      </c>
      <c r="G3748">
        <f>IF('01_Вводные'!$B$234="Да",'19_Расчет_аналитики'!G3385,0)</f>
        <v/>
      </c>
      <c r="H3748">
        <f>IF('01_Вводные'!$B$234="Да",'19_Расчет_аналитики'!H3385,0)</f>
        <v/>
      </c>
      <c r="I3748">
        <f>IF('01_Вводные'!$B$234="Да",'19_Расчет_аналитики'!I3385,0)</f>
        <v/>
      </c>
      <c r="J3748">
        <f>IF('01_Вводные'!$B$234="Да",'19_Расчет_аналитики'!J3385,0)</f>
        <v/>
      </c>
      <c r="K3748">
        <f>IF('01_Вводные'!$B$234="Да",'19_Расчет_аналитики'!K3385,0)</f>
        <v/>
      </c>
      <c r="L3748">
        <f>IF('01_Вводные'!$B$234="Да",'19_Расчет_аналитики'!L3385,0)</f>
        <v/>
      </c>
      <c r="M3748">
        <f>IF('01_Вводные'!$B$234="Да",'19_Расчет_аналитики'!M3385,0)</f>
        <v/>
      </c>
      <c r="N3748">
        <f>IF('01_Вводные'!$B$234="Да",'19_Расчет_аналитики'!N3385,0)</f>
        <v/>
      </c>
      <c r="O3748">
        <f>IF('01_Вводные'!$B$234="Да",'19_Расчет_аналитики'!O3385,0)</f>
        <v/>
      </c>
      <c r="P3748">
        <f>IF('01_Вводные'!$B$234="Да",'19_Расчет_аналитики'!P3385,0)</f>
        <v/>
      </c>
      <c r="Q3748">
        <f>IF('01_Вводные'!$B$234="Да",'19_Расчет_аналитики'!Q3385,0)</f>
        <v/>
      </c>
      <c r="R3748">
        <f>IF('01_Вводные'!$B$234="Да",'19_Расчет_аналитики'!R3385,0)</f>
        <v/>
      </c>
      <c r="S3748">
        <f>IF('01_Вводные'!$B$234="Да",'19_Расчет_аналитики'!S3385,0)</f>
        <v/>
      </c>
      <c r="T3748">
        <f>IF('01_Вводные'!$B$234="Да",'19_Расчет_аналитики'!T3385,0)</f>
        <v/>
      </c>
      <c r="U3748">
        <f>IF('01_Вводные'!$B$234="Да",'19_Расчет_аналитики'!U3385,0)</f>
        <v/>
      </c>
      <c r="V3748">
        <f>IF('01_Вводные'!$B$234="Да",'19_Расчет_аналитики'!V3385,0)</f>
        <v/>
      </c>
      <c r="W3748">
        <f>IF('01_Вводные'!$B$234="Да",'19_Расчет_аналитики'!W3385,0)</f>
        <v/>
      </c>
      <c r="X3748">
        <f>IF('01_Вводные'!$B$234="Да",'19_Расчет_аналитики'!X3385,0)</f>
        <v/>
      </c>
      <c r="Y3748">
        <f>IF('01_Вводные'!$B$234="Да",'19_Расчет_аналитики'!Y3385,0)</f>
        <v/>
      </c>
      <c r="Z3748">
        <f>IF('01_Вводные'!$B$234="Да",'19_Расчет_аналитики'!Z3385,0)</f>
        <v/>
      </c>
      <c r="AA3748">
        <f>IF('01_Вводные'!$B$234="Да",'19_Расчет_аналитики'!AA3385,0)</f>
        <v/>
      </c>
      <c r="AB3748">
        <f>IF('01_Вводные'!$B$234="Да",'19_Расчет_аналитики'!AB3385,0)</f>
        <v/>
      </c>
      <c r="AC3748">
        <f>IF('01_Вводные'!$B$234="Да",'19_Расчет_аналитики'!AC3385,0)</f>
        <v/>
      </c>
      <c r="AD3748">
        <f>IF('01_Вводные'!$B$234="Да",'19_Расчет_аналитики'!AD3385,0)</f>
        <v/>
      </c>
      <c r="AE3748">
        <f>IF('01_Вводные'!$B$234="Да",'19_Расчет_аналитики'!AE3385,0)</f>
        <v/>
      </c>
      <c r="AF3748">
        <f>IF('01_Вводные'!$B$234="Да",'19_Расчет_аналитики'!AF3385,0)</f>
        <v/>
      </c>
      <c r="AG3748">
        <f>IF('01_Вводные'!$B$234="Да",'19_Расчет_аналитики'!AG3385,0)</f>
        <v/>
      </c>
      <c r="AH3748">
        <f>IF('01_Вводные'!$B$234="Да",'19_Расчет_аналитики'!AH3385,0)</f>
        <v/>
      </c>
      <c r="AI3748">
        <f>IF('01_Вводные'!$B$234="Да",'19_Расчет_аналитики'!AI3385,0)</f>
        <v/>
      </c>
      <c r="AJ3748">
        <f>IF('01_Вводные'!$B$234="Да",'19_Расчет_аналитики'!AJ3385,0)</f>
        <v/>
      </c>
      <c r="AK3748">
        <f>IF('01_Вводные'!$B$234="Да",'19_Расчет_аналитики'!AK3385,0)</f>
        <v/>
      </c>
      <c r="AL3748">
        <f>IF('01_Вводные'!$B$234="Да",'19_Расчет_аналитики'!AL3385,0)</f>
        <v/>
      </c>
      <c r="AM3748">
        <f>IF('01_Вводные'!$B$234="Да",'19_Расчет_аналитики'!AM3385,0)</f>
        <v/>
      </c>
      <c r="AN3748">
        <f>IF('01_Вводные'!$B$234="Да",'19_Расчет_аналитики'!AN3385,0)</f>
        <v/>
      </c>
      <c r="AO3748">
        <f>IF('01_Вводные'!$B$234="Да",'19_Расчет_аналитики'!AO3385,0)</f>
        <v/>
      </c>
      <c r="AP3748">
        <f>IF('01_Вводные'!$B$234="Да",'19_Расчет_аналитики'!AP3385,0)</f>
        <v/>
      </c>
      <c r="AQ3748">
        <f>IF('01_Вводные'!$B$234="Да",'19_Расчет_аналитики'!AQ3385,0)</f>
        <v/>
      </c>
      <c r="AR3748">
        <f>IF('01_Вводные'!$B$234="Да",'19_Расчет_аналитики'!AR3385,0)</f>
        <v/>
      </c>
      <c r="AS3748">
        <f>IF('01_Вводные'!$B$234="Да",'19_Расчет_аналитики'!AS3385,0)</f>
        <v/>
      </c>
      <c r="AT3748">
        <f>IF('01_Вводные'!$B$234="Да",'19_Расчет_аналитики'!AT3385,0)</f>
        <v/>
      </c>
      <c r="AU3748">
        <f>IF('01_Вводные'!$B$234="Да",'19_Расчет_аналитики'!AU3385,0)</f>
        <v/>
      </c>
      <c r="AV3748">
        <f>IF('01_Вводные'!$B$234="Да",'19_Расчет_аналитики'!AV3385,0)</f>
        <v/>
      </c>
      <c r="AW3748">
        <f>IF('01_Вводные'!$B$234="Да",'19_Расчет_аналитики'!AW3385,0)</f>
        <v/>
      </c>
      <c r="AX3748">
        <f>IF('01_Вводные'!$B$234="Да",'19_Расчет_аналитики'!AX3385,0)</f>
        <v/>
      </c>
      <c r="AY3748">
        <f>IF('01_Вводные'!$B$234="Да",'19_Расчет_аналитики'!AY3385,0)</f>
        <v/>
      </c>
      <c r="AZ3748">
        <f>IF('01_Вводные'!$B$234="Да",'19_Расчет_аналитики'!AZ3385,0)</f>
        <v/>
      </c>
      <c r="BA3748">
        <f>IF('01_Вводные'!$B$234="Да",'19_Расчет_аналитики'!BA3385,0)</f>
        <v/>
      </c>
      <c r="BB3748">
        <f>IF('01_Вводные'!$B$234="Да",'19_Расчет_аналитики'!BB3385,0)</f>
        <v/>
      </c>
      <c r="BC3748">
        <f>IF('01_Вводные'!$B$234="Да",'19_Расчет_аналитики'!BC3385,0)</f>
        <v/>
      </c>
      <c r="BD3748">
        <f>IF('01_Вводные'!$B$234="Да",'19_Расчет_аналитики'!BD3385,0)</f>
        <v/>
      </c>
      <c r="BE3748">
        <f>IF('01_Вводные'!$B$234="Да",'19_Расчет_аналитики'!BE3385,0)</f>
        <v/>
      </c>
      <c r="BF3748">
        <f>IF('01_Вводные'!$B$234="Да",'19_Расчет_аналитики'!BF3385,0)</f>
        <v/>
      </c>
      <c r="BG3748">
        <f>IF('01_Вводные'!$B$234="Да",'19_Расчет_аналитики'!BG3385,0)</f>
        <v/>
      </c>
      <c r="BH3748">
        <f>IF('01_Вводные'!$B$234="Да",'19_Расчет_аналитики'!BH3385,0)</f>
        <v/>
      </c>
      <c r="BI3748">
        <f>IF('01_Вводные'!$B$234="Да",'19_Расчет_аналитики'!BI3385,0)</f>
        <v/>
      </c>
    </row>
    <row r="3749">
      <c r="B3749">
        <f>IF('01_Вводные'!$B$234="Да",'19_Расчет_аналитики'!B3419/(1+'01_Вводные'!$B$58),0)</f>
        <v/>
      </c>
      <c r="C3749">
        <f>IF('01_Вводные'!$B$234="Да",'19_Расчет_аналитики'!C3419/(1+'01_Вводные'!$B$58),0)</f>
        <v/>
      </c>
      <c r="D3749">
        <f>IF('01_Вводные'!$B$234="Да",'19_Расчет_аналитики'!D3419/(1+'01_Вводные'!$B$58),0)</f>
        <v/>
      </c>
      <c r="E3749">
        <f>IF('01_Вводные'!$B$234="Да",'19_Расчет_аналитики'!E3419/(1+'01_Вводные'!$B$58),0)</f>
        <v/>
      </c>
      <c r="F3749">
        <f>IF('01_Вводные'!$B$234="Да",'19_Расчет_аналитики'!F3419/(1+'01_Вводные'!$B$58),0)</f>
        <v/>
      </c>
      <c r="G3749">
        <f>IF('01_Вводные'!$B$234="Да",'19_Расчет_аналитики'!G3419/(1+'01_Вводные'!$B$58),0)</f>
        <v/>
      </c>
      <c r="H3749">
        <f>IF('01_Вводные'!$B$234="Да",'19_Расчет_аналитики'!H3419/(1+'01_Вводные'!$B$58),0)</f>
        <v/>
      </c>
      <c r="I3749">
        <f>IF('01_Вводные'!$B$234="Да",'19_Расчет_аналитики'!I3419/(1+'01_Вводные'!$B$58),0)</f>
        <v/>
      </c>
      <c r="J3749">
        <f>IF('01_Вводные'!$B$234="Да",'19_Расчет_аналитики'!J3419/(1+'01_Вводные'!$B$58),0)</f>
        <v/>
      </c>
      <c r="K3749">
        <f>IF('01_Вводные'!$B$234="Да",'19_Расчет_аналитики'!K3419/(1+'01_Вводные'!$B$58),0)</f>
        <v/>
      </c>
      <c r="L3749">
        <f>IF('01_Вводные'!$B$234="Да",'19_Расчет_аналитики'!L3419/(1+'01_Вводные'!$B$58),0)</f>
        <v/>
      </c>
      <c r="M3749">
        <f>IF('01_Вводные'!$B$234="Да",'19_Расчет_аналитики'!M3419/(1+'01_Вводные'!$B$58),0)</f>
        <v/>
      </c>
      <c r="N3749">
        <f>IF('01_Вводные'!$B$234="Да",'19_Расчет_аналитики'!N3419/(1+'01_Вводные'!$B$58),0)</f>
        <v/>
      </c>
      <c r="O3749">
        <f>IF('01_Вводные'!$B$234="Да",'19_Расчет_аналитики'!O3419/(1+'01_Вводные'!$B$58),0)</f>
        <v/>
      </c>
      <c r="P3749">
        <f>IF('01_Вводные'!$B$234="Да",'19_Расчет_аналитики'!P3419/(1+'01_Вводные'!$B$58),0)</f>
        <v/>
      </c>
      <c r="Q3749">
        <f>IF('01_Вводные'!$B$234="Да",'19_Расчет_аналитики'!Q3419/(1+'01_Вводные'!$B$58),0)</f>
        <v/>
      </c>
      <c r="R3749">
        <f>IF('01_Вводные'!$B$234="Да",'19_Расчет_аналитики'!R3419/(1+'01_Вводные'!$B$58),0)</f>
        <v/>
      </c>
      <c r="S3749">
        <f>IF('01_Вводные'!$B$234="Да",'19_Расчет_аналитики'!S3419/(1+'01_Вводные'!$B$58),0)</f>
        <v/>
      </c>
      <c r="T3749">
        <f>IF('01_Вводные'!$B$234="Да",'19_Расчет_аналитики'!T3419/(1+'01_Вводные'!$B$58),0)</f>
        <v/>
      </c>
      <c r="U3749">
        <f>IF('01_Вводные'!$B$234="Да",'19_Расчет_аналитики'!U3419/(1+'01_Вводные'!$B$58),0)</f>
        <v/>
      </c>
      <c r="V3749">
        <f>IF('01_Вводные'!$B$234="Да",'19_Расчет_аналитики'!V3419/(1+'01_Вводные'!$B$58),0)</f>
        <v/>
      </c>
      <c r="W3749">
        <f>IF('01_Вводные'!$B$234="Да",'19_Расчет_аналитики'!W3419/(1+'01_Вводные'!$B$58),0)</f>
        <v/>
      </c>
      <c r="X3749">
        <f>IF('01_Вводные'!$B$234="Да",'19_Расчет_аналитики'!X3419/(1+'01_Вводные'!$B$58),0)</f>
        <v/>
      </c>
      <c r="Y3749">
        <f>IF('01_Вводные'!$B$234="Да",'19_Расчет_аналитики'!Y3419/(1+'01_Вводные'!$B$58),0)</f>
        <v/>
      </c>
      <c r="Z3749">
        <f>IF('01_Вводные'!$B$234="Да",'19_Расчет_аналитики'!Z3419/(1+'01_Вводные'!$B$58),0)</f>
        <v/>
      </c>
      <c r="AA3749">
        <f>IF('01_Вводные'!$B$234="Да",'19_Расчет_аналитики'!AA3419/(1+'01_Вводные'!$B$58),0)</f>
        <v/>
      </c>
      <c r="AB3749">
        <f>IF('01_Вводные'!$B$234="Да",'19_Расчет_аналитики'!AB3419/(1+'01_Вводные'!$B$58),0)</f>
        <v/>
      </c>
      <c r="AC3749">
        <f>IF('01_Вводные'!$B$234="Да",'19_Расчет_аналитики'!AC3419/(1+'01_Вводные'!$B$58),0)</f>
        <v/>
      </c>
      <c r="AD3749">
        <f>IF('01_Вводные'!$B$234="Да",'19_Расчет_аналитики'!AD3419/(1+'01_Вводные'!$B$58),0)</f>
        <v/>
      </c>
      <c r="AE3749">
        <f>IF('01_Вводные'!$B$234="Да",'19_Расчет_аналитики'!AE3419/(1+'01_Вводные'!$B$58),0)</f>
        <v/>
      </c>
      <c r="AF3749">
        <f>IF('01_Вводные'!$B$234="Да",'19_Расчет_аналитики'!AF3419/(1+'01_Вводные'!$B$58),0)</f>
        <v/>
      </c>
      <c r="AG3749">
        <f>IF('01_Вводные'!$B$234="Да",'19_Расчет_аналитики'!AG3419/(1+'01_Вводные'!$B$58),0)</f>
        <v/>
      </c>
      <c r="AH3749">
        <f>IF('01_Вводные'!$B$234="Да",'19_Расчет_аналитики'!AH3419/(1+'01_Вводные'!$B$58),0)</f>
        <v/>
      </c>
      <c r="AI3749">
        <f>IF('01_Вводные'!$B$234="Да",'19_Расчет_аналитики'!AI3419/(1+'01_Вводные'!$B$58),0)</f>
        <v/>
      </c>
      <c r="AJ3749">
        <f>IF('01_Вводные'!$B$234="Да",'19_Расчет_аналитики'!AJ3419/(1+'01_Вводные'!$B$58),0)</f>
        <v/>
      </c>
      <c r="AK3749">
        <f>IF('01_Вводные'!$B$234="Да",'19_Расчет_аналитики'!AK3419/(1+'01_Вводные'!$B$58),0)</f>
        <v/>
      </c>
      <c r="AL3749">
        <f>IF('01_Вводные'!$B$234="Да",'19_Расчет_аналитики'!AL3419/(1+'01_Вводные'!$B$58),0)</f>
        <v/>
      </c>
      <c r="AM3749">
        <f>IF('01_Вводные'!$B$234="Да",'19_Расчет_аналитики'!AM3419/(1+'01_Вводные'!$B$58),0)</f>
        <v/>
      </c>
      <c r="AN3749">
        <f>IF('01_Вводные'!$B$234="Да",'19_Расчет_аналитики'!AN3419/(1+'01_Вводные'!$B$58),0)</f>
        <v/>
      </c>
      <c r="AO3749">
        <f>IF('01_Вводные'!$B$234="Да",'19_Расчет_аналитики'!AO3419/(1+'01_Вводные'!$B$58),0)</f>
        <v/>
      </c>
      <c r="AP3749">
        <f>IF('01_Вводные'!$B$234="Да",'19_Расчет_аналитики'!AP3419/(1+'01_Вводные'!$B$58),0)</f>
        <v/>
      </c>
      <c r="AQ3749">
        <f>IF('01_Вводные'!$B$234="Да",'19_Расчет_аналитики'!AQ3419/(1+'01_Вводные'!$B$58),0)</f>
        <v/>
      </c>
      <c r="AR3749">
        <f>IF('01_Вводные'!$B$234="Да",'19_Расчет_аналитики'!AR3419/(1+'01_Вводные'!$B$58),0)</f>
        <v/>
      </c>
      <c r="AS3749">
        <f>IF('01_Вводные'!$B$234="Да",'19_Расчет_аналитики'!AS3419/(1+'01_Вводные'!$B$58),0)</f>
        <v/>
      </c>
      <c r="AT3749">
        <f>IF('01_Вводные'!$B$234="Да",'19_Расчет_аналитики'!AT3419/(1+'01_Вводные'!$B$58),0)</f>
        <v/>
      </c>
      <c r="AU3749">
        <f>IF('01_Вводные'!$B$234="Да",'19_Расчет_аналитики'!AU3419/(1+'01_Вводные'!$B$58),0)</f>
        <v/>
      </c>
      <c r="AV3749">
        <f>IF('01_Вводные'!$B$234="Да",'19_Расчет_аналитики'!AV3419/(1+'01_Вводные'!$B$58),0)</f>
        <v/>
      </c>
      <c r="AW3749">
        <f>IF('01_Вводные'!$B$234="Да",'19_Расчет_аналитики'!AW3419/(1+'01_Вводные'!$B$58),0)</f>
        <v/>
      </c>
      <c r="AX3749">
        <f>IF('01_Вводные'!$B$234="Да",'19_Расчет_аналитики'!AX3419/(1+'01_Вводные'!$B$58),0)</f>
        <v/>
      </c>
      <c r="AY3749">
        <f>IF('01_Вводные'!$B$234="Да",'19_Расчет_аналитики'!AY3419/(1+'01_Вводные'!$B$58),0)</f>
        <v/>
      </c>
      <c r="AZ3749">
        <f>IF('01_Вводные'!$B$234="Да",'19_Расчет_аналитики'!AZ3419/(1+'01_Вводные'!$B$58),0)</f>
        <v/>
      </c>
      <c r="BA3749">
        <f>IF('01_Вводные'!$B$234="Да",'19_Расчет_аналитики'!BA3419/(1+'01_Вводные'!$B$58),0)</f>
        <v/>
      </c>
      <c r="BB3749">
        <f>IF('01_Вводные'!$B$234="Да",'19_Расчет_аналитики'!BB3419/(1+'01_Вводные'!$B$58),0)</f>
        <v/>
      </c>
      <c r="BC3749">
        <f>IF('01_Вводные'!$B$234="Да",'19_Расчет_аналитики'!BC3419/(1+'01_Вводные'!$B$58),0)</f>
        <v/>
      </c>
      <c r="BD3749">
        <f>IF('01_Вводные'!$B$234="Да",'19_Расчет_аналитики'!BD3419/(1+'01_Вводные'!$B$58),0)</f>
        <v/>
      </c>
      <c r="BE3749">
        <f>IF('01_Вводные'!$B$234="Да",'19_Расчет_аналитики'!BE3419/(1+'01_Вводные'!$B$58),0)</f>
        <v/>
      </c>
      <c r="BF3749">
        <f>IF('01_Вводные'!$B$234="Да",'19_Расчет_аналитики'!BF3419/(1+'01_Вводные'!$B$58),0)</f>
        <v/>
      </c>
      <c r="BG3749">
        <f>IF('01_Вводные'!$B$234="Да",'19_Расчет_аналитики'!BG3419/(1+'01_Вводные'!$B$58),0)</f>
        <v/>
      </c>
      <c r="BH3749">
        <f>IF('01_Вводные'!$B$234="Да",'19_Расчет_аналитики'!BH3419/(1+'01_Вводные'!$B$58),0)</f>
        <v/>
      </c>
      <c r="BI3749">
        <f>IF('01_Вводные'!$B$234="Да",'19_Расчет_аналитики'!BI3419/(1+'01_Вводные'!$B$58),0)</f>
        <v/>
      </c>
    </row>
    <row r="3750">
      <c r="B3750">
        <f>IF('01_Вводные'!$B$234="Да",'19_Расчет_аналитики'!B3420/(1+'01_Вводные'!$B$58),0)</f>
        <v/>
      </c>
      <c r="C3750">
        <f>IF('01_Вводные'!$B$234="Да",'19_Расчет_аналитики'!C3420/(1+'01_Вводные'!$B$58),0)</f>
        <v/>
      </c>
      <c r="D3750">
        <f>IF('01_Вводные'!$B$234="Да",'19_Расчет_аналитики'!D3420/(1+'01_Вводные'!$B$58),0)</f>
        <v/>
      </c>
      <c r="E3750">
        <f>IF('01_Вводные'!$B$234="Да",'19_Расчет_аналитики'!E3420/(1+'01_Вводные'!$B$58),0)</f>
        <v/>
      </c>
      <c r="F3750">
        <f>IF('01_Вводные'!$B$234="Да",'19_Расчет_аналитики'!F3420/(1+'01_Вводные'!$B$58),0)</f>
        <v/>
      </c>
      <c r="G3750">
        <f>IF('01_Вводные'!$B$234="Да",'19_Расчет_аналитики'!G3420/(1+'01_Вводные'!$B$58),0)</f>
        <v/>
      </c>
      <c r="H3750">
        <f>IF('01_Вводные'!$B$234="Да",'19_Расчет_аналитики'!H3420/(1+'01_Вводные'!$B$58),0)</f>
        <v/>
      </c>
      <c r="I3750">
        <f>IF('01_Вводные'!$B$234="Да",'19_Расчет_аналитики'!I3420/(1+'01_Вводные'!$B$58),0)</f>
        <v/>
      </c>
      <c r="J3750">
        <f>IF('01_Вводные'!$B$234="Да",'19_Расчет_аналитики'!J3420/(1+'01_Вводные'!$B$58),0)</f>
        <v/>
      </c>
      <c r="K3750">
        <f>IF('01_Вводные'!$B$234="Да",'19_Расчет_аналитики'!K3420/(1+'01_Вводные'!$B$58),0)</f>
        <v/>
      </c>
      <c r="L3750">
        <f>IF('01_Вводные'!$B$234="Да",'19_Расчет_аналитики'!L3420/(1+'01_Вводные'!$B$58),0)</f>
        <v/>
      </c>
      <c r="M3750">
        <f>IF('01_Вводные'!$B$234="Да",'19_Расчет_аналитики'!M3420/(1+'01_Вводные'!$B$58),0)</f>
        <v/>
      </c>
      <c r="N3750">
        <f>IF('01_Вводные'!$B$234="Да",'19_Расчет_аналитики'!N3420/(1+'01_Вводные'!$B$58),0)</f>
        <v/>
      </c>
      <c r="O3750">
        <f>IF('01_Вводные'!$B$234="Да",'19_Расчет_аналитики'!O3420/(1+'01_Вводные'!$B$58),0)</f>
        <v/>
      </c>
      <c r="P3750">
        <f>IF('01_Вводные'!$B$234="Да",'19_Расчет_аналитики'!P3420/(1+'01_Вводные'!$B$58),0)</f>
        <v/>
      </c>
      <c r="Q3750">
        <f>IF('01_Вводные'!$B$234="Да",'19_Расчет_аналитики'!Q3420/(1+'01_Вводные'!$B$58),0)</f>
        <v/>
      </c>
      <c r="R3750">
        <f>IF('01_Вводные'!$B$234="Да",'19_Расчет_аналитики'!R3420/(1+'01_Вводные'!$B$58),0)</f>
        <v/>
      </c>
      <c r="S3750">
        <f>IF('01_Вводные'!$B$234="Да",'19_Расчет_аналитики'!S3420/(1+'01_Вводные'!$B$58),0)</f>
        <v/>
      </c>
      <c r="T3750">
        <f>IF('01_Вводные'!$B$234="Да",'19_Расчет_аналитики'!T3420/(1+'01_Вводные'!$B$58),0)</f>
        <v/>
      </c>
      <c r="U3750">
        <f>IF('01_Вводные'!$B$234="Да",'19_Расчет_аналитики'!U3420/(1+'01_Вводные'!$B$58),0)</f>
        <v/>
      </c>
      <c r="V3750">
        <f>IF('01_Вводные'!$B$234="Да",'19_Расчет_аналитики'!V3420/(1+'01_Вводные'!$B$58),0)</f>
        <v/>
      </c>
      <c r="W3750">
        <f>IF('01_Вводные'!$B$234="Да",'19_Расчет_аналитики'!W3420/(1+'01_Вводные'!$B$58),0)</f>
        <v/>
      </c>
      <c r="X3750">
        <f>IF('01_Вводные'!$B$234="Да",'19_Расчет_аналитики'!X3420/(1+'01_Вводные'!$B$58),0)</f>
        <v/>
      </c>
      <c r="Y3750">
        <f>IF('01_Вводные'!$B$234="Да",'19_Расчет_аналитики'!Y3420/(1+'01_Вводные'!$B$58),0)</f>
        <v/>
      </c>
      <c r="Z3750">
        <f>IF('01_Вводные'!$B$234="Да",'19_Расчет_аналитики'!Z3420/(1+'01_Вводные'!$B$58),0)</f>
        <v/>
      </c>
      <c r="AA3750">
        <f>IF('01_Вводные'!$B$234="Да",'19_Расчет_аналитики'!AA3420/(1+'01_Вводные'!$B$58),0)</f>
        <v/>
      </c>
      <c r="AB3750">
        <f>IF('01_Вводные'!$B$234="Да",'19_Расчет_аналитики'!AB3420/(1+'01_Вводные'!$B$58),0)</f>
        <v/>
      </c>
      <c r="AC3750">
        <f>IF('01_Вводные'!$B$234="Да",'19_Расчет_аналитики'!AC3420/(1+'01_Вводные'!$B$58),0)</f>
        <v/>
      </c>
      <c r="AD3750">
        <f>IF('01_Вводные'!$B$234="Да",'19_Расчет_аналитики'!AD3420/(1+'01_Вводные'!$B$58),0)</f>
        <v/>
      </c>
      <c r="AE3750">
        <f>IF('01_Вводные'!$B$234="Да",'19_Расчет_аналитики'!AE3420/(1+'01_Вводные'!$B$58),0)</f>
        <v/>
      </c>
      <c r="AF3750">
        <f>IF('01_Вводные'!$B$234="Да",'19_Расчет_аналитики'!AF3420/(1+'01_Вводные'!$B$58),0)</f>
        <v/>
      </c>
      <c r="AG3750">
        <f>IF('01_Вводные'!$B$234="Да",'19_Расчет_аналитики'!AG3420/(1+'01_Вводные'!$B$58),0)</f>
        <v/>
      </c>
      <c r="AH3750">
        <f>IF('01_Вводные'!$B$234="Да",'19_Расчет_аналитики'!AH3420/(1+'01_Вводные'!$B$58),0)</f>
        <v/>
      </c>
      <c r="AI3750">
        <f>IF('01_Вводные'!$B$234="Да",'19_Расчет_аналитики'!AI3420/(1+'01_Вводные'!$B$58),0)</f>
        <v/>
      </c>
      <c r="AJ3750">
        <f>IF('01_Вводные'!$B$234="Да",'19_Расчет_аналитики'!AJ3420/(1+'01_Вводные'!$B$58),0)</f>
        <v/>
      </c>
      <c r="AK3750">
        <f>IF('01_Вводные'!$B$234="Да",'19_Расчет_аналитики'!AK3420/(1+'01_Вводные'!$B$58),0)</f>
        <v/>
      </c>
      <c r="AL3750">
        <f>IF('01_Вводные'!$B$234="Да",'19_Расчет_аналитики'!AL3420/(1+'01_Вводные'!$B$58),0)</f>
        <v/>
      </c>
      <c r="AM3750">
        <f>IF('01_Вводные'!$B$234="Да",'19_Расчет_аналитики'!AM3420/(1+'01_Вводные'!$B$58),0)</f>
        <v/>
      </c>
      <c r="AN3750">
        <f>IF('01_Вводные'!$B$234="Да",'19_Расчет_аналитики'!AN3420/(1+'01_Вводные'!$B$58),0)</f>
        <v/>
      </c>
      <c r="AO3750">
        <f>IF('01_Вводные'!$B$234="Да",'19_Расчет_аналитики'!AO3420/(1+'01_Вводные'!$B$58),0)</f>
        <v/>
      </c>
      <c r="AP3750">
        <f>IF('01_Вводные'!$B$234="Да",'19_Расчет_аналитики'!AP3420/(1+'01_Вводные'!$B$58),0)</f>
        <v/>
      </c>
      <c r="AQ3750">
        <f>IF('01_Вводные'!$B$234="Да",'19_Расчет_аналитики'!AQ3420/(1+'01_Вводные'!$B$58),0)</f>
        <v/>
      </c>
      <c r="AR3750">
        <f>IF('01_Вводные'!$B$234="Да",'19_Расчет_аналитики'!AR3420/(1+'01_Вводные'!$B$58),0)</f>
        <v/>
      </c>
      <c r="AS3750">
        <f>IF('01_Вводные'!$B$234="Да",'19_Расчет_аналитики'!AS3420/(1+'01_Вводные'!$B$58),0)</f>
        <v/>
      </c>
      <c r="AT3750">
        <f>IF('01_Вводные'!$B$234="Да",'19_Расчет_аналитики'!AT3420/(1+'01_Вводные'!$B$58),0)</f>
        <v/>
      </c>
      <c r="AU3750">
        <f>IF('01_Вводные'!$B$234="Да",'19_Расчет_аналитики'!AU3420/(1+'01_Вводные'!$B$58),0)</f>
        <v/>
      </c>
      <c r="AV3750">
        <f>IF('01_Вводные'!$B$234="Да",'19_Расчет_аналитики'!AV3420/(1+'01_Вводные'!$B$58),0)</f>
        <v/>
      </c>
      <c r="AW3750">
        <f>IF('01_Вводные'!$B$234="Да",'19_Расчет_аналитики'!AW3420/(1+'01_Вводные'!$B$58),0)</f>
        <v/>
      </c>
      <c r="AX3750">
        <f>IF('01_Вводные'!$B$234="Да",'19_Расчет_аналитики'!AX3420/(1+'01_Вводные'!$B$58),0)</f>
        <v/>
      </c>
      <c r="AY3750">
        <f>IF('01_Вводные'!$B$234="Да",'19_Расчет_аналитики'!AY3420/(1+'01_Вводные'!$B$58),0)</f>
        <v/>
      </c>
      <c r="AZ3750">
        <f>IF('01_Вводные'!$B$234="Да",'19_Расчет_аналитики'!AZ3420/(1+'01_Вводные'!$B$58),0)</f>
        <v/>
      </c>
      <c r="BA3750">
        <f>IF('01_Вводные'!$B$234="Да",'19_Расчет_аналитики'!BA3420/(1+'01_Вводные'!$B$58),0)</f>
        <v/>
      </c>
      <c r="BB3750">
        <f>IF('01_Вводные'!$B$234="Да",'19_Расчет_аналитики'!BB3420/(1+'01_Вводные'!$B$58),0)</f>
        <v/>
      </c>
      <c r="BC3750">
        <f>IF('01_Вводные'!$B$234="Да",'19_Расчет_аналитики'!BC3420/(1+'01_Вводные'!$B$58),0)</f>
        <v/>
      </c>
      <c r="BD3750">
        <f>IF('01_Вводные'!$B$234="Да",'19_Расчет_аналитики'!BD3420/(1+'01_Вводные'!$B$58),0)</f>
        <v/>
      </c>
      <c r="BE3750">
        <f>IF('01_Вводные'!$B$234="Да",'19_Расчет_аналитики'!BE3420/(1+'01_Вводные'!$B$58),0)</f>
        <v/>
      </c>
      <c r="BF3750">
        <f>IF('01_Вводные'!$B$234="Да",'19_Расчет_аналитики'!BF3420/(1+'01_Вводные'!$B$58),0)</f>
        <v/>
      </c>
      <c r="BG3750">
        <f>IF('01_Вводные'!$B$234="Да",'19_Расчет_аналитики'!BG3420/(1+'01_Вводные'!$B$58),0)</f>
        <v/>
      </c>
      <c r="BH3750">
        <f>IF('01_Вводные'!$B$234="Да",'19_Расчет_аналитики'!BH3420/(1+'01_Вводные'!$B$58),0)</f>
        <v/>
      </c>
      <c r="BI3750">
        <f>IF('01_Вводные'!$B$234="Да",'19_Расчет_аналитики'!BI3420/(1+'01_Вводные'!$B$58),0)</f>
        <v/>
      </c>
    </row>
    <row r="3751">
      <c r="B3751">
        <f>IF('01_Вводные'!$B$234="Да",'19_Расчет_аналитики'!B3652,0)</f>
        <v/>
      </c>
      <c r="C3751">
        <f>IF('01_Вводные'!$B$234="Да",'19_Расчет_аналитики'!C3652,0)</f>
        <v/>
      </c>
      <c r="D3751">
        <f>IF('01_Вводные'!$B$234="Да",'19_Расчет_аналитики'!D3652,0)</f>
        <v/>
      </c>
      <c r="E3751">
        <f>IF('01_Вводные'!$B$234="Да",'19_Расчет_аналитики'!E3652,0)</f>
        <v/>
      </c>
      <c r="F3751">
        <f>IF('01_Вводные'!$B$234="Да",'19_Расчет_аналитики'!F3652,0)</f>
        <v/>
      </c>
      <c r="G3751">
        <f>IF('01_Вводные'!$B$234="Да",'19_Расчет_аналитики'!G3652,0)</f>
        <v/>
      </c>
      <c r="H3751">
        <f>IF('01_Вводные'!$B$234="Да",'19_Расчет_аналитики'!H3652,0)</f>
        <v/>
      </c>
      <c r="I3751">
        <f>IF('01_Вводные'!$B$234="Да",'19_Расчет_аналитики'!I3652,0)</f>
        <v/>
      </c>
      <c r="J3751">
        <f>IF('01_Вводные'!$B$234="Да",'19_Расчет_аналитики'!J3652,0)</f>
        <v/>
      </c>
      <c r="K3751">
        <f>IF('01_Вводные'!$B$234="Да",'19_Расчет_аналитики'!K3652,0)</f>
        <v/>
      </c>
      <c r="L3751">
        <f>IF('01_Вводные'!$B$234="Да",'19_Расчет_аналитики'!L3652,0)</f>
        <v/>
      </c>
      <c r="M3751">
        <f>IF('01_Вводные'!$B$234="Да",'19_Расчет_аналитики'!M3652,0)</f>
        <v/>
      </c>
      <c r="N3751">
        <f>IF('01_Вводные'!$B$234="Да",'19_Расчет_аналитики'!N3652,0)</f>
        <v/>
      </c>
      <c r="O3751">
        <f>IF('01_Вводные'!$B$234="Да",'19_Расчет_аналитики'!O3652,0)</f>
        <v/>
      </c>
      <c r="P3751">
        <f>IF('01_Вводные'!$B$234="Да",'19_Расчет_аналитики'!P3652,0)</f>
        <v/>
      </c>
      <c r="Q3751">
        <f>IF('01_Вводные'!$B$234="Да",'19_Расчет_аналитики'!Q3652,0)</f>
        <v/>
      </c>
      <c r="R3751">
        <f>IF('01_Вводные'!$B$234="Да",'19_Расчет_аналитики'!R3652,0)</f>
        <v/>
      </c>
      <c r="S3751">
        <f>IF('01_Вводные'!$B$234="Да",'19_Расчет_аналитики'!S3652,0)</f>
        <v/>
      </c>
      <c r="T3751">
        <f>IF('01_Вводные'!$B$234="Да",'19_Расчет_аналитики'!T3652,0)</f>
        <v/>
      </c>
      <c r="U3751">
        <f>IF('01_Вводные'!$B$234="Да",'19_Расчет_аналитики'!U3652,0)</f>
        <v/>
      </c>
      <c r="V3751">
        <f>IF('01_Вводные'!$B$234="Да",'19_Расчет_аналитики'!V3652,0)</f>
        <v/>
      </c>
      <c r="W3751">
        <f>IF('01_Вводные'!$B$234="Да",'19_Расчет_аналитики'!W3652,0)</f>
        <v/>
      </c>
      <c r="X3751">
        <f>IF('01_Вводные'!$B$234="Да",'19_Расчет_аналитики'!X3652,0)</f>
        <v/>
      </c>
      <c r="Y3751">
        <f>IF('01_Вводные'!$B$234="Да",'19_Расчет_аналитики'!Y3652,0)</f>
        <v/>
      </c>
      <c r="Z3751">
        <f>IF('01_Вводные'!$B$234="Да",'19_Расчет_аналитики'!Z3652,0)</f>
        <v/>
      </c>
      <c r="AA3751">
        <f>IF('01_Вводные'!$B$234="Да",'19_Расчет_аналитики'!AA3652,0)</f>
        <v/>
      </c>
      <c r="AB3751">
        <f>IF('01_Вводные'!$B$234="Да",'19_Расчет_аналитики'!AB3652,0)</f>
        <v/>
      </c>
      <c r="AC3751">
        <f>IF('01_Вводные'!$B$234="Да",'19_Расчет_аналитики'!AC3652,0)</f>
        <v/>
      </c>
      <c r="AD3751">
        <f>IF('01_Вводные'!$B$234="Да",'19_Расчет_аналитики'!AD3652,0)</f>
        <v/>
      </c>
      <c r="AE3751">
        <f>IF('01_Вводные'!$B$234="Да",'19_Расчет_аналитики'!AE3652,0)</f>
        <v/>
      </c>
      <c r="AF3751">
        <f>IF('01_Вводные'!$B$234="Да",'19_Расчет_аналитики'!AF3652,0)</f>
        <v/>
      </c>
      <c r="AG3751">
        <f>IF('01_Вводные'!$B$234="Да",'19_Расчет_аналитики'!AG3652,0)</f>
        <v/>
      </c>
      <c r="AH3751">
        <f>IF('01_Вводные'!$B$234="Да",'19_Расчет_аналитики'!AH3652,0)</f>
        <v/>
      </c>
      <c r="AI3751">
        <f>IF('01_Вводные'!$B$234="Да",'19_Расчет_аналитики'!AI3652,0)</f>
        <v/>
      </c>
      <c r="AJ3751">
        <f>IF('01_Вводные'!$B$234="Да",'19_Расчет_аналитики'!AJ3652,0)</f>
        <v/>
      </c>
      <c r="AK3751">
        <f>IF('01_Вводные'!$B$234="Да",'19_Расчет_аналитики'!AK3652,0)</f>
        <v/>
      </c>
      <c r="AL3751">
        <f>IF('01_Вводные'!$B$234="Да",'19_Расчет_аналитики'!AL3652,0)</f>
        <v/>
      </c>
      <c r="AM3751">
        <f>IF('01_Вводные'!$B$234="Да",'19_Расчет_аналитики'!AM3652,0)</f>
        <v/>
      </c>
      <c r="AN3751">
        <f>IF('01_Вводные'!$B$234="Да",'19_Расчет_аналитики'!AN3652,0)</f>
        <v/>
      </c>
      <c r="AO3751">
        <f>IF('01_Вводные'!$B$234="Да",'19_Расчет_аналитики'!AO3652,0)</f>
        <v/>
      </c>
      <c r="AP3751">
        <f>IF('01_Вводные'!$B$234="Да",'19_Расчет_аналитики'!AP3652,0)</f>
        <v/>
      </c>
      <c r="AQ3751">
        <f>IF('01_Вводные'!$B$234="Да",'19_Расчет_аналитики'!AQ3652,0)</f>
        <v/>
      </c>
      <c r="AR3751">
        <f>IF('01_Вводные'!$B$234="Да",'19_Расчет_аналитики'!AR3652,0)</f>
        <v/>
      </c>
      <c r="AS3751">
        <f>IF('01_Вводные'!$B$234="Да",'19_Расчет_аналитики'!AS3652,0)</f>
        <v/>
      </c>
      <c r="AT3751">
        <f>IF('01_Вводные'!$B$234="Да",'19_Расчет_аналитики'!AT3652,0)</f>
        <v/>
      </c>
      <c r="AU3751">
        <f>IF('01_Вводные'!$B$234="Да",'19_Расчет_аналитики'!AU3652,0)</f>
        <v/>
      </c>
      <c r="AV3751">
        <f>IF('01_Вводные'!$B$234="Да",'19_Расчет_аналитики'!AV3652,0)</f>
        <v/>
      </c>
      <c r="AW3751">
        <f>IF('01_Вводные'!$B$234="Да",'19_Расчет_аналитики'!AW3652,0)</f>
        <v/>
      </c>
      <c r="AX3751">
        <f>IF('01_Вводные'!$B$234="Да",'19_Расчет_аналитики'!AX3652,0)</f>
        <v/>
      </c>
      <c r="AY3751">
        <f>IF('01_Вводные'!$B$234="Да",'19_Расчет_аналитики'!AY3652,0)</f>
        <v/>
      </c>
      <c r="AZ3751">
        <f>IF('01_Вводные'!$B$234="Да",'19_Расчет_аналитики'!AZ3652,0)</f>
        <v/>
      </c>
      <c r="BA3751">
        <f>IF('01_Вводные'!$B$234="Да",'19_Расчет_аналитики'!BA3652,0)</f>
        <v/>
      </c>
      <c r="BB3751">
        <f>IF('01_Вводные'!$B$234="Да",'19_Расчет_аналитики'!BB3652,0)</f>
        <v/>
      </c>
      <c r="BC3751">
        <f>IF('01_Вводные'!$B$234="Да",'19_Расчет_аналитики'!BC3652,0)</f>
        <v/>
      </c>
      <c r="BD3751">
        <f>IF('01_Вводные'!$B$234="Да",'19_Расчет_аналитики'!BD3652,0)</f>
        <v/>
      </c>
      <c r="BE3751">
        <f>IF('01_Вводные'!$B$234="Да",'19_Расчет_аналитики'!BE3652,0)</f>
        <v/>
      </c>
      <c r="BF3751">
        <f>IF('01_Вводные'!$B$234="Да",'19_Расчет_аналитики'!BF3652,0)</f>
        <v/>
      </c>
      <c r="BG3751">
        <f>IF('01_Вводные'!$B$234="Да",'19_Расчет_аналитики'!BG3652,0)</f>
        <v/>
      </c>
      <c r="BH3751">
        <f>IF('01_Вводные'!$B$234="Да",'19_Расчет_аналитики'!BH3652,0)</f>
        <v/>
      </c>
      <c r="BI3751">
        <f>IF('01_Вводные'!$B$234="Да",'19_Расчет_аналитики'!BI3652,0)</f>
        <v/>
      </c>
    </row>
    <row r="3752">
      <c r="B3752">
        <f>'02_Модель'!B22</f>
        <v/>
      </c>
      <c r="C3752">
        <f>'02_Модель'!C22</f>
        <v/>
      </c>
      <c r="D3752">
        <f>'02_Модель'!D22</f>
        <v/>
      </c>
      <c r="E3752">
        <f>'02_Модель'!E22</f>
        <v/>
      </c>
      <c r="F3752">
        <f>'02_Модель'!F22</f>
        <v/>
      </c>
      <c r="G3752">
        <f>'02_Модель'!G22</f>
        <v/>
      </c>
      <c r="H3752">
        <f>'02_Модель'!H22</f>
        <v/>
      </c>
      <c r="I3752">
        <f>'02_Модель'!I22</f>
        <v/>
      </c>
      <c r="J3752">
        <f>'02_Модель'!J22</f>
        <v/>
      </c>
      <c r="K3752">
        <f>'02_Модель'!K22</f>
        <v/>
      </c>
      <c r="L3752">
        <f>'02_Модель'!L22</f>
        <v/>
      </c>
      <c r="M3752">
        <f>'02_Модель'!M22</f>
        <v/>
      </c>
      <c r="N3752">
        <f>'02_Модель'!N22</f>
        <v/>
      </c>
      <c r="O3752">
        <f>'02_Модель'!O22</f>
        <v/>
      </c>
      <c r="P3752">
        <f>'02_Модель'!P22</f>
        <v/>
      </c>
      <c r="Q3752">
        <f>'02_Модель'!Q22</f>
        <v/>
      </c>
      <c r="R3752">
        <f>'02_Модель'!R22</f>
        <v/>
      </c>
      <c r="S3752">
        <f>'02_Модель'!S22</f>
        <v/>
      </c>
      <c r="T3752">
        <f>'02_Модель'!T22</f>
        <v/>
      </c>
      <c r="U3752">
        <f>'02_Модель'!U22</f>
        <v/>
      </c>
      <c r="V3752">
        <f>'02_Модель'!V22</f>
        <v/>
      </c>
      <c r="W3752">
        <f>'02_Модель'!W22</f>
        <v/>
      </c>
      <c r="X3752">
        <f>'02_Модель'!X22</f>
        <v/>
      </c>
      <c r="Y3752">
        <f>'02_Модель'!Y22</f>
        <v/>
      </c>
      <c r="Z3752">
        <f>'02_Модель'!Z22</f>
        <v/>
      </c>
      <c r="AA3752">
        <f>'02_Модель'!AA22</f>
        <v/>
      </c>
      <c r="AB3752">
        <f>'02_Модель'!AB22</f>
        <v/>
      </c>
      <c r="AC3752">
        <f>'02_Модель'!AC22</f>
        <v/>
      </c>
      <c r="AD3752">
        <f>'02_Модель'!AD22</f>
        <v/>
      </c>
      <c r="AE3752">
        <f>'02_Модель'!AE22</f>
        <v/>
      </c>
      <c r="AF3752">
        <f>'02_Модель'!AF22</f>
        <v/>
      </c>
      <c r="AG3752">
        <f>'02_Модель'!AG22</f>
        <v/>
      </c>
      <c r="AH3752">
        <f>'02_Модель'!AH22</f>
        <v/>
      </c>
      <c r="AI3752">
        <f>'02_Модель'!AI22</f>
        <v/>
      </c>
      <c r="AJ3752">
        <f>'02_Модель'!AJ22</f>
        <v/>
      </c>
      <c r="AK3752">
        <f>'02_Модель'!AK22</f>
        <v/>
      </c>
      <c r="AL3752">
        <f>'02_Модель'!AL22</f>
        <v/>
      </c>
      <c r="AM3752">
        <f>'02_Модель'!AM22</f>
        <v/>
      </c>
      <c r="AN3752">
        <f>'02_Модель'!AN22</f>
        <v/>
      </c>
      <c r="AO3752">
        <f>'02_Модель'!AO22</f>
        <v/>
      </c>
      <c r="AP3752">
        <f>'02_Модель'!AP22</f>
        <v/>
      </c>
      <c r="AQ3752">
        <f>'02_Модель'!AQ22</f>
        <v/>
      </c>
      <c r="AR3752">
        <f>'02_Модель'!AR22</f>
        <v/>
      </c>
      <c r="AS3752">
        <f>'02_Модель'!AS22</f>
        <v/>
      </c>
      <c r="AT3752">
        <f>'02_Модель'!AT22</f>
        <v/>
      </c>
      <c r="AU3752">
        <f>'02_Модель'!AU22</f>
        <v/>
      </c>
      <c r="AV3752">
        <f>'02_Модель'!AV22</f>
        <v/>
      </c>
      <c r="AW3752">
        <f>'02_Модель'!AW22</f>
        <v/>
      </c>
      <c r="AX3752">
        <f>'02_Модель'!AX22</f>
        <v/>
      </c>
      <c r="AY3752">
        <f>'02_Модель'!AY22</f>
        <v/>
      </c>
      <c r="AZ3752">
        <f>'02_Модель'!AZ22</f>
        <v/>
      </c>
      <c r="BA3752">
        <f>'02_Модель'!BA22</f>
        <v/>
      </c>
      <c r="BB3752">
        <f>'02_Модель'!BB22</f>
        <v/>
      </c>
      <c r="BC3752">
        <f>'02_Модель'!BC22</f>
        <v/>
      </c>
      <c r="BD3752">
        <f>'02_Модель'!BD22</f>
        <v/>
      </c>
      <c r="BE3752">
        <f>'02_Модель'!BE22</f>
        <v/>
      </c>
      <c r="BF3752">
        <f>'02_Модель'!BF22</f>
        <v/>
      </c>
      <c r="BG3752">
        <f>'02_Модель'!BG22</f>
        <v/>
      </c>
      <c r="BH3752">
        <f>'02_Модель'!BH22</f>
        <v/>
      </c>
      <c r="BI3752">
        <f>'02_Модель'!BI22</f>
        <v/>
      </c>
    </row>
    <row r="3753">
      <c r="B3753">
        <f>IF('01_Вводные'!$B$234="Да",SUM('19_Расчет_аналитики'!B3748:B3752),0)</f>
        <v/>
      </c>
      <c r="C3753">
        <f>IF('01_Вводные'!$B$234="Да",SUM('19_Расчет_аналитики'!C3748:C3752),0)</f>
        <v/>
      </c>
      <c r="D3753">
        <f>IF('01_Вводные'!$B$234="Да",SUM('19_Расчет_аналитики'!D3748:D3752),0)</f>
        <v/>
      </c>
      <c r="E3753">
        <f>IF('01_Вводные'!$B$234="Да",SUM('19_Расчет_аналитики'!E3748:E3752),0)</f>
        <v/>
      </c>
      <c r="F3753">
        <f>IF('01_Вводные'!$B$234="Да",SUM('19_Расчет_аналитики'!F3748:F3752),0)</f>
        <v/>
      </c>
      <c r="G3753">
        <f>IF('01_Вводные'!$B$234="Да",SUM('19_Расчет_аналитики'!G3748:G3752),0)</f>
        <v/>
      </c>
      <c r="H3753">
        <f>IF('01_Вводные'!$B$234="Да",SUM('19_Расчет_аналитики'!H3748:H3752),0)</f>
        <v/>
      </c>
      <c r="I3753">
        <f>IF('01_Вводные'!$B$234="Да",SUM('19_Расчет_аналитики'!I3748:I3752),0)</f>
        <v/>
      </c>
      <c r="J3753">
        <f>IF('01_Вводные'!$B$234="Да",SUM('19_Расчет_аналитики'!J3748:J3752),0)</f>
        <v/>
      </c>
      <c r="K3753">
        <f>IF('01_Вводные'!$B$234="Да",SUM('19_Расчет_аналитики'!K3748:K3752),0)</f>
        <v/>
      </c>
      <c r="L3753">
        <f>IF('01_Вводные'!$B$234="Да",SUM('19_Расчет_аналитики'!L3748:L3752),0)</f>
        <v/>
      </c>
      <c r="M3753">
        <f>IF('01_Вводные'!$B$234="Да",SUM('19_Расчет_аналитики'!M3748:M3752),0)</f>
        <v/>
      </c>
      <c r="N3753">
        <f>IF('01_Вводные'!$B$234="Да",SUM('19_Расчет_аналитики'!N3748:N3752),0)</f>
        <v/>
      </c>
      <c r="O3753">
        <f>IF('01_Вводные'!$B$234="Да",SUM('19_Расчет_аналитики'!O3748:O3752),0)</f>
        <v/>
      </c>
      <c r="P3753">
        <f>IF('01_Вводные'!$B$234="Да",SUM('19_Расчет_аналитики'!P3748:P3752),0)</f>
        <v/>
      </c>
      <c r="Q3753">
        <f>IF('01_Вводные'!$B$234="Да",SUM('19_Расчет_аналитики'!Q3748:Q3752),0)</f>
        <v/>
      </c>
      <c r="R3753">
        <f>IF('01_Вводные'!$B$234="Да",SUM('19_Расчет_аналитики'!R3748:R3752),0)</f>
        <v/>
      </c>
      <c r="S3753">
        <f>IF('01_Вводные'!$B$234="Да",SUM('19_Расчет_аналитики'!S3748:S3752),0)</f>
        <v/>
      </c>
      <c r="T3753">
        <f>IF('01_Вводные'!$B$234="Да",SUM('19_Расчет_аналитики'!T3748:T3752),0)</f>
        <v/>
      </c>
      <c r="U3753">
        <f>IF('01_Вводные'!$B$234="Да",SUM('19_Расчет_аналитики'!U3748:U3752),0)</f>
        <v/>
      </c>
      <c r="V3753">
        <f>IF('01_Вводные'!$B$234="Да",SUM('19_Расчет_аналитики'!V3748:V3752),0)</f>
        <v/>
      </c>
      <c r="W3753">
        <f>IF('01_Вводные'!$B$234="Да",SUM('19_Расчет_аналитики'!W3748:W3752),0)</f>
        <v/>
      </c>
      <c r="X3753">
        <f>IF('01_Вводные'!$B$234="Да",SUM('19_Расчет_аналитики'!X3748:X3752),0)</f>
        <v/>
      </c>
      <c r="Y3753">
        <f>IF('01_Вводные'!$B$234="Да",SUM('19_Расчет_аналитики'!Y3748:Y3752),0)</f>
        <v/>
      </c>
      <c r="Z3753">
        <f>IF('01_Вводные'!$B$234="Да",SUM('19_Расчет_аналитики'!Z3748:Z3752),0)</f>
        <v/>
      </c>
      <c r="AA3753">
        <f>IF('01_Вводные'!$B$234="Да",SUM('19_Расчет_аналитики'!AA3748:AA3752),0)</f>
        <v/>
      </c>
      <c r="AB3753">
        <f>IF('01_Вводные'!$B$234="Да",SUM('19_Расчет_аналитики'!AB3748:AB3752),0)</f>
        <v/>
      </c>
      <c r="AC3753">
        <f>IF('01_Вводные'!$B$234="Да",SUM('19_Расчет_аналитики'!AC3748:AC3752),0)</f>
        <v/>
      </c>
      <c r="AD3753">
        <f>IF('01_Вводные'!$B$234="Да",SUM('19_Расчет_аналитики'!AD3748:AD3752),0)</f>
        <v/>
      </c>
      <c r="AE3753">
        <f>IF('01_Вводные'!$B$234="Да",SUM('19_Расчет_аналитики'!AE3748:AE3752),0)</f>
        <v/>
      </c>
      <c r="AF3753">
        <f>IF('01_Вводные'!$B$234="Да",SUM('19_Расчет_аналитики'!AF3748:AF3752),0)</f>
        <v/>
      </c>
      <c r="AG3753">
        <f>IF('01_Вводные'!$B$234="Да",SUM('19_Расчет_аналитики'!AG3748:AG3752),0)</f>
        <v/>
      </c>
      <c r="AH3753">
        <f>IF('01_Вводные'!$B$234="Да",SUM('19_Расчет_аналитики'!AH3748:AH3752),0)</f>
        <v/>
      </c>
      <c r="AI3753">
        <f>IF('01_Вводные'!$B$234="Да",SUM('19_Расчет_аналитики'!AI3748:AI3752),0)</f>
        <v/>
      </c>
      <c r="AJ3753">
        <f>IF('01_Вводные'!$B$234="Да",SUM('19_Расчет_аналитики'!AJ3748:AJ3752),0)</f>
        <v/>
      </c>
      <c r="AK3753">
        <f>IF('01_Вводные'!$B$234="Да",SUM('19_Расчет_аналитики'!AK3748:AK3752),0)</f>
        <v/>
      </c>
      <c r="AL3753">
        <f>IF('01_Вводные'!$B$234="Да",SUM('19_Расчет_аналитики'!AL3748:AL3752),0)</f>
        <v/>
      </c>
      <c r="AM3753">
        <f>IF('01_Вводные'!$B$234="Да",SUM('19_Расчет_аналитики'!AM3748:AM3752),0)</f>
        <v/>
      </c>
      <c r="AN3753">
        <f>IF('01_Вводные'!$B$234="Да",SUM('19_Расчет_аналитики'!AN3748:AN3752),0)</f>
        <v/>
      </c>
      <c r="AO3753">
        <f>IF('01_Вводные'!$B$234="Да",SUM('19_Расчет_аналитики'!AO3748:AO3752),0)</f>
        <v/>
      </c>
      <c r="AP3753">
        <f>IF('01_Вводные'!$B$234="Да",SUM('19_Расчет_аналитики'!AP3748:AP3752),0)</f>
        <v/>
      </c>
      <c r="AQ3753">
        <f>IF('01_Вводные'!$B$234="Да",SUM('19_Расчет_аналитики'!AQ3748:AQ3752),0)</f>
        <v/>
      </c>
      <c r="AR3753">
        <f>IF('01_Вводные'!$B$234="Да",SUM('19_Расчет_аналитики'!AR3748:AR3752),0)</f>
        <v/>
      </c>
      <c r="AS3753">
        <f>IF('01_Вводные'!$B$234="Да",SUM('19_Расчет_аналитики'!AS3748:AS3752),0)</f>
        <v/>
      </c>
      <c r="AT3753">
        <f>IF('01_Вводные'!$B$234="Да",SUM('19_Расчет_аналитики'!AT3748:AT3752),0)</f>
        <v/>
      </c>
      <c r="AU3753">
        <f>IF('01_Вводные'!$B$234="Да",SUM('19_Расчет_аналитики'!AU3748:AU3752),0)</f>
        <v/>
      </c>
      <c r="AV3753">
        <f>IF('01_Вводные'!$B$234="Да",SUM('19_Расчет_аналитики'!AV3748:AV3752),0)</f>
        <v/>
      </c>
      <c r="AW3753">
        <f>IF('01_Вводные'!$B$234="Да",SUM('19_Расчет_аналитики'!AW3748:AW3752),0)</f>
        <v/>
      </c>
      <c r="AX3753">
        <f>IF('01_Вводные'!$B$234="Да",SUM('19_Расчет_аналитики'!AX3748:AX3752),0)</f>
        <v/>
      </c>
      <c r="AY3753">
        <f>IF('01_Вводные'!$B$234="Да",SUM('19_Расчет_аналитики'!AY3748:AY3752),0)</f>
        <v/>
      </c>
      <c r="AZ3753">
        <f>IF('01_Вводные'!$B$234="Да",SUM('19_Расчет_аналитики'!AZ3748:AZ3752),0)</f>
        <v/>
      </c>
      <c r="BA3753">
        <f>IF('01_Вводные'!$B$234="Да",SUM('19_Расчет_аналитики'!BA3748:BA3752),0)</f>
        <v/>
      </c>
      <c r="BB3753">
        <f>IF('01_Вводные'!$B$234="Да",SUM('19_Расчет_аналитики'!BB3748:BB3752),0)</f>
        <v/>
      </c>
      <c r="BC3753">
        <f>IF('01_Вводные'!$B$234="Да",SUM('19_Расчет_аналитики'!BC3748:BC3752),0)</f>
        <v/>
      </c>
      <c r="BD3753">
        <f>IF('01_Вводные'!$B$234="Да",SUM('19_Расчет_аналитики'!BD3748:BD3752),0)</f>
        <v/>
      </c>
      <c r="BE3753">
        <f>IF('01_Вводные'!$B$234="Да",SUM('19_Расчет_аналитики'!BE3748:BE3752),0)</f>
        <v/>
      </c>
      <c r="BF3753">
        <f>IF('01_Вводные'!$B$234="Да",SUM('19_Расчет_аналитики'!BF3748:BF3752),0)</f>
        <v/>
      </c>
      <c r="BG3753">
        <f>IF('01_Вводные'!$B$234="Да",SUM('19_Расчет_аналитики'!BG3748:BG3752),0)</f>
        <v/>
      </c>
      <c r="BH3753">
        <f>IF('01_Вводные'!$B$234="Да",SUM('19_Расчет_аналитики'!BH3748:BH3752),0)</f>
        <v/>
      </c>
      <c r="BI3753">
        <f>IF('01_Вводные'!$B$234="Да",SUM('19_Расчет_аналитики'!BI3748:BI3752),0)</f>
        <v/>
      </c>
    </row>
    <row r="3754"/>
    <row r="3755"/>
    <row r="3756">
      <c r="B3756">
        <f>IF('01_Вводные'!$B$234="Да",'19_Расчет_аналитики'!B3653,0)</f>
        <v/>
      </c>
      <c r="C3756">
        <f>IF('01_Вводные'!$B$234="Да",'19_Расчет_аналитики'!C3653,0)</f>
        <v/>
      </c>
      <c r="D3756">
        <f>IF('01_Вводные'!$B$234="Да",'19_Расчет_аналитики'!D3653,0)</f>
        <v/>
      </c>
      <c r="E3756">
        <f>IF('01_Вводные'!$B$234="Да",'19_Расчет_аналитики'!E3653,0)</f>
        <v/>
      </c>
      <c r="F3756">
        <f>IF('01_Вводные'!$B$234="Да",'19_Расчет_аналитики'!F3653,0)</f>
        <v/>
      </c>
      <c r="G3756">
        <f>IF('01_Вводные'!$B$234="Да",'19_Расчет_аналитики'!G3653,0)</f>
        <v/>
      </c>
      <c r="H3756">
        <f>IF('01_Вводные'!$B$234="Да",'19_Расчет_аналитики'!H3653,0)</f>
        <v/>
      </c>
      <c r="I3756">
        <f>IF('01_Вводные'!$B$234="Да",'19_Расчет_аналитики'!I3653,0)</f>
        <v/>
      </c>
      <c r="J3756">
        <f>IF('01_Вводные'!$B$234="Да",'19_Расчет_аналитики'!J3653,0)</f>
        <v/>
      </c>
      <c r="K3756">
        <f>IF('01_Вводные'!$B$234="Да",'19_Расчет_аналитики'!K3653,0)</f>
        <v/>
      </c>
      <c r="L3756">
        <f>IF('01_Вводные'!$B$234="Да",'19_Расчет_аналитики'!L3653,0)</f>
        <v/>
      </c>
      <c r="M3756">
        <f>IF('01_Вводные'!$B$234="Да",'19_Расчет_аналитики'!M3653,0)</f>
        <v/>
      </c>
      <c r="N3756">
        <f>IF('01_Вводные'!$B$234="Да",'19_Расчет_аналитики'!N3653,0)</f>
        <v/>
      </c>
      <c r="O3756">
        <f>IF('01_Вводные'!$B$234="Да",'19_Расчет_аналитики'!O3653,0)</f>
        <v/>
      </c>
      <c r="P3756">
        <f>IF('01_Вводные'!$B$234="Да",'19_Расчет_аналитики'!P3653,0)</f>
        <v/>
      </c>
      <c r="Q3756">
        <f>IF('01_Вводные'!$B$234="Да",'19_Расчет_аналитики'!Q3653,0)</f>
        <v/>
      </c>
      <c r="R3756">
        <f>IF('01_Вводные'!$B$234="Да",'19_Расчет_аналитики'!R3653,0)</f>
        <v/>
      </c>
      <c r="S3756">
        <f>IF('01_Вводные'!$B$234="Да",'19_Расчет_аналитики'!S3653,0)</f>
        <v/>
      </c>
      <c r="T3756">
        <f>IF('01_Вводные'!$B$234="Да",'19_Расчет_аналитики'!T3653,0)</f>
        <v/>
      </c>
      <c r="U3756">
        <f>IF('01_Вводные'!$B$234="Да",'19_Расчет_аналитики'!U3653,0)</f>
        <v/>
      </c>
      <c r="V3756">
        <f>IF('01_Вводные'!$B$234="Да",'19_Расчет_аналитики'!V3653,0)</f>
        <v/>
      </c>
      <c r="W3756">
        <f>IF('01_Вводные'!$B$234="Да",'19_Расчет_аналитики'!W3653,0)</f>
        <v/>
      </c>
      <c r="X3756">
        <f>IF('01_Вводные'!$B$234="Да",'19_Расчет_аналитики'!X3653,0)</f>
        <v/>
      </c>
      <c r="Y3756">
        <f>IF('01_Вводные'!$B$234="Да",'19_Расчет_аналитики'!Y3653,0)</f>
        <v/>
      </c>
      <c r="Z3756">
        <f>IF('01_Вводные'!$B$234="Да",'19_Расчет_аналитики'!Z3653,0)</f>
        <v/>
      </c>
      <c r="AA3756">
        <f>IF('01_Вводные'!$B$234="Да",'19_Расчет_аналитики'!AA3653,0)</f>
        <v/>
      </c>
      <c r="AB3756">
        <f>IF('01_Вводные'!$B$234="Да",'19_Расчет_аналитики'!AB3653,0)</f>
        <v/>
      </c>
      <c r="AC3756">
        <f>IF('01_Вводные'!$B$234="Да",'19_Расчет_аналитики'!AC3653,0)</f>
        <v/>
      </c>
      <c r="AD3756">
        <f>IF('01_Вводные'!$B$234="Да",'19_Расчет_аналитики'!AD3653,0)</f>
        <v/>
      </c>
      <c r="AE3756">
        <f>IF('01_Вводные'!$B$234="Да",'19_Расчет_аналитики'!AE3653,0)</f>
        <v/>
      </c>
      <c r="AF3756">
        <f>IF('01_Вводные'!$B$234="Да",'19_Расчет_аналитики'!AF3653,0)</f>
        <v/>
      </c>
      <c r="AG3756">
        <f>IF('01_Вводные'!$B$234="Да",'19_Расчет_аналитики'!AG3653,0)</f>
        <v/>
      </c>
      <c r="AH3756">
        <f>IF('01_Вводные'!$B$234="Да",'19_Расчет_аналитики'!AH3653,0)</f>
        <v/>
      </c>
      <c r="AI3756">
        <f>IF('01_Вводные'!$B$234="Да",'19_Расчет_аналитики'!AI3653,0)</f>
        <v/>
      </c>
      <c r="AJ3756">
        <f>IF('01_Вводные'!$B$234="Да",'19_Расчет_аналитики'!AJ3653,0)</f>
        <v/>
      </c>
      <c r="AK3756">
        <f>IF('01_Вводные'!$B$234="Да",'19_Расчет_аналитики'!AK3653,0)</f>
        <v/>
      </c>
      <c r="AL3756">
        <f>IF('01_Вводные'!$B$234="Да",'19_Расчет_аналитики'!AL3653,0)</f>
        <v/>
      </c>
      <c r="AM3756">
        <f>IF('01_Вводные'!$B$234="Да",'19_Расчет_аналитики'!AM3653,0)</f>
        <v/>
      </c>
      <c r="AN3756">
        <f>IF('01_Вводные'!$B$234="Да",'19_Расчет_аналитики'!AN3653,0)</f>
        <v/>
      </c>
      <c r="AO3756">
        <f>IF('01_Вводные'!$B$234="Да",'19_Расчет_аналитики'!AO3653,0)</f>
        <v/>
      </c>
      <c r="AP3756">
        <f>IF('01_Вводные'!$B$234="Да",'19_Расчет_аналитики'!AP3653,0)</f>
        <v/>
      </c>
      <c r="AQ3756">
        <f>IF('01_Вводные'!$B$234="Да",'19_Расчет_аналитики'!AQ3653,0)</f>
        <v/>
      </c>
      <c r="AR3756">
        <f>IF('01_Вводные'!$B$234="Да",'19_Расчет_аналитики'!AR3653,0)</f>
        <v/>
      </c>
      <c r="AS3756">
        <f>IF('01_Вводные'!$B$234="Да",'19_Расчет_аналитики'!AS3653,0)</f>
        <v/>
      </c>
      <c r="AT3756">
        <f>IF('01_Вводные'!$B$234="Да",'19_Расчет_аналитики'!AT3653,0)</f>
        <v/>
      </c>
      <c r="AU3756">
        <f>IF('01_Вводные'!$B$234="Да",'19_Расчет_аналитики'!AU3653,0)</f>
        <v/>
      </c>
      <c r="AV3756">
        <f>IF('01_Вводные'!$B$234="Да",'19_Расчет_аналитики'!AV3653,0)</f>
        <v/>
      </c>
      <c r="AW3756">
        <f>IF('01_Вводные'!$B$234="Да",'19_Расчет_аналитики'!AW3653,0)</f>
        <v/>
      </c>
      <c r="AX3756">
        <f>IF('01_Вводные'!$B$234="Да",'19_Расчет_аналитики'!AX3653,0)</f>
        <v/>
      </c>
      <c r="AY3756">
        <f>IF('01_Вводные'!$B$234="Да",'19_Расчет_аналитики'!AY3653,0)</f>
        <v/>
      </c>
      <c r="AZ3756">
        <f>IF('01_Вводные'!$B$234="Да",'19_Расчет_аналитики'!AZ3653,0)</f>
        <v/>
      </c>
      <c r="BA3756">
        <f>IF('01_Вводные'!$B$234="Да",'19_Расчет_аналитики'!BA3653,0)</f>
        <v/>
      </c>
      <c r="BB3756">
        <f>IF('01_Вводные'!$B$234="Да",'19_Расчет_аналитики'!BB3653,0)</f>
        <v/>
      </c>
      <c r="BC3756">
        <f>IF('01_Вводные'!$B$234="Да",'19_Расчет_аналитики'!BC3653,0)</f>
        <v/>
      </c>
      <c r="BD3756">
        <f>IF('01_Вводные'!$B$234="Да",'19_Расчет_аналитики'!BD3653,0)</f>
        <v/>
      </c>
      <c r="BE3756">
        <f>IF('01_Вводные'!$B$234="Да",'19_Расчет_аналитики'!BE3653,0)</f>
        <v/>
      </c>
      <c r="BF3756">
        <f>IF('01_Вводные'!$B$234="Да",'19_Расчет_аналитики'!BF3653,0)</f>
        <v/>
      </c>
      <c r="BG3756">
        <f>IF('01_Вводные'!$B$234="Да",'19_Расчет_аналитики'!BG3653,0)</f>
        <v/>
      </c>
      <c r="BH3756">
        <f>IF('01_Вводные'!$B$234="Да",'19_Расчет_аналитики'!BH3653,0)</f>
        <v/>
      </c>
      <c r="BI3756">
        <f>IF('01_Вводные'!$B$234="Да",'19_Расчет_аналитики'!BI3653,0)</f>
        <v/>
      </c>
    </row>
    <row r="3757">
      <c r="B3757">
        <f>IF('01_Вводные'!$B$234="Да",'19_Расчет_аналитики'!B3654,0)</f>
        <v/>
      </c>
      <c r="C3757">
        <f>IF('01_Вводные'!$B$234="Да",'19_Расчет_аналитики'!C3654,0)</f>
        <v/>
      </c>
      <c r="D3757">
        <f>IF('01_Вводные'!$B$234="Да",'19_Расчет_аналитики'!D3654,0)</f>
        <v/>
      </c>
      <c r="E3757">
        <f>IF('01_Вводные'!$B$234="Да",'19_Расчет_аналитики'!E3654,0)</f>
        <v/>
      </c>
      <c r="F3757">
        <f>IF('01_Вводные'!$B$234="Да",'19_Расчет_аналитики'!F3654,0)</f>
        <v/>
      </c>
      <c r="G3757">
        <f>IF('01_Вводные'!$B$234="Да",'19_Расчет_аналитики'!G3654,0)</f>
        <v/>
      </c>
      <c r="H3757">
        <f>IF('01_Вводные'!$B$234="Да",'19_Расчет_аналитики'!H3654,0)</f>
        <v/>
      </c>
      <c r="I3757">
        <f>IF('01_Вводные'!$B$234="Да",'19_Расчет_аналитики'!I3654,0)</f>
        <v/>
      </c>
      <c r="J3757">
        <f>IF('01_Вводные'!$B$234="Да",'19_Расчет_аналитики'!J3654,0)</f>
        <v/>
      </c>
      <c r="K3757">
        <f>IF('01_Вводные'!$B$234="Да",'19_Расчет_аналитики'!K3654,0)</f>
        <v/>
      </c>
      <c r="L3757">
        <f>IF('01_Вводные'!$B$234="Да",'19_Расчет_аналитики'!L3654,0)</f>
        <v/>
      </c>
      <c r="M3757">
        <f>IF('01_Вводные'!$B$234="Да",'19_Расчет_аналитики'!M3654,0)</f>
        <v/>
      </c>
      <c r="N3757">
        <f>IF('01_Вводные'!$B$234="Да",'19_Расчет_аналитики'!N3654,0)</f>
        <v/>
      </c>
      <c r="O3757">
        <f>IF('01_Вводные'!$B$234="Да",'19_Расчет_аналитики'!O3654,0)</f>
        <v/>
      </c>
      <c r="P3757">
        <f>IF('01_Вводные'!$B$234="Да",'19_Расчет_аналитики'!P3654,0)</f>
        <v/>
      </c>
      <c r="Q3757">
        <f>IF('01_Вводные'!$B$234="Да",'19_Расчет_аналитики'!Q3654,0)</f>
        <v/>
      </c>
      <c r="R3757">
        <f>IF('01_Вводные'!$B$234="Да",'19_Расчет_аналитики'!R3654,0)</f>
        <v/>
      </c>
      <c r="S3757">
        <f>IF('01_Вводные'!$B$234="Да",'19_Расчет_аналитики'!S3654,0)</f>
        <v/>
      </c>
      <c r="T3757">
        <f>IF('01_Вводные'!$B$234="Да",'19_Расчет_аналитики'!T3654,0)</f>
        <v/>
      </c>
      <c r="U3757">
        <f>IF('01_Вводные'!$B$234="Да",'19_Расчет_аналитики'!U3654,0)</f>
        <v/>
      </c>
      <c r="V3757">
        <f>IF('01_Вводные'!$B$234="Да",'19_Расчет_аналитики'!V3654,0)</f>
        <v/>
      </c>
      <c r="W3757">
        <f>IF('01_Вводные'!$B$234="Да",'19_Расчет_аналитики'!W3654,0)</f>
        <v/>
      </c>
      <c r="X3757">
        <f>IF('01_Вводные'!$B$234="Да",'19_Расчет_аналитики'!X3654,0)</f>
        <v/>
      </c>
      <c r="Y3757">
        <f>IF('01_Вводные'!$B$234="Да",'19_Расчет_аналитики'!Y3654,0)</f>
        <v/>
      </c>
      <c r="Z3757">
        <f>IF('01_Вводные'!$B$234="Да",'19_Расчет_аналитики'!Z3654,0)</f>
        <v/>
      </c>
      <c r="AA3757">
        <f>IF('01_Вводные'!$B$234="Да",'19_Расчет_аналитики'!AA3654,0)</f>
        <v/>
      </c>
      <c r="AB3757">
        <f>IF('01_Вводные'!$B$234="Да",'19_Расчет_аналитики'!AB3654,0)</f>
        <v/>
      </c>
      <c r="AC3757">
        <f>IF('01_Вводные'!$B$234="Да",'19_Расчет_аналитики'!AC3654,0)</f>
        <v/>
      </c>
      <c r="AD3757">
        <f>IF('01_Вводные'!$B$234="Да",'19_Расчет_аналитики'!AD3654,0)</f>
        <v/>
      </c>
      <c r="AE3757">
        <f>IF('01_Вводные'!$B$234="Да",'19_Расчет_аналитики'!AE3654,0)</f>
        <v/>
      </c>
      <c r="AF3757">
        <f>IF('01_Вводные'!$B$234="Да",'19_Расчет_аналитики'!AF3654,0)</f>
        <v/>
      </c>
      <c r="AG3757">
        <f>IF('01_Вводные'!$B$234="Да",'19_Расчет_аналитики'!AG3654,0)</f>
        <v/>
      </c>
      <c r="AH3757">
        <f>IF('01_Вводные'!$B$234="Да",'19_Расчет_аналитики'!AH3654,0)</f>
        <v/>
      </c>
      <c r="AI3757">
        <f>IF('01_Вводные'!$B$234="Да",'19_Расчет_аналитики'!AI3654,0)</f>
        <v/>
      </c>
      <c r="AJ3757">
        <f>IF('01_Вводные'!$B$234="Да",'19_Расчет_аналитики'!AJ3654,0)</f>
        <v/>
      </c>
      <c r="AK3757">
        <f>IF('01_Вводные'!$B$234="Да",'19_Расчет_аналитики'!AK3654,0)</f>
        <v/>
      </c>
      <c r="AL3757">
        <f>IF('01_Вводные'!$B$234="Да",'19_Расчет_аналитики'!AL3654,0)</f>
        <v/>
      </c>
      <c r="AM3757">
        <f>IF('01_Вводные'!$B$234="Да",'19_Расчет_аналитики'!AM3654,0)</f>
        <v/>
      </c>
      <c r="AN3757">
        <f>IF('01_Вводные'!$B$234="Да",'19_Расчет_аналитики'!AN3654,0)</f>
        <v/>
      </c>
      <c r="AO3757">
        <f>IF('01_Вводные'!$B$234="Да",'19_Расчет_аналитики'!AO3654,0)</f>
        <v/>
      </c>
      <c r="AP3757">
        <f>IF('01_Вводные'!$B$234="Да",'19_Расчет_аналитики'!AP3654,0)</f>
        <v/>
      </c>
      <c r="AQ3757">
        <f>IF('01_Вводные'!$B$234="Да",'19_Расчет_аналитики'!AQ3654,0)</f>
        <v/>
      </c>
      <c r="AR3757">
        <f>IF('01_Вводные'!$B$234="Да",'19_Расчет_аналитики'!AR3654,0)</f>
        <v/>
      </c>
      <c r="AS3757">
        <f>IF('01_Вводные'!$B$234="Да",'19_Расчет_аналитики'!AS3654,0)</f>
        <v/>
      </c>
      <c r="AT3757">
        <f>IF('01_Вводные'!$B$234="Да",'19_Расчет_аналитики'!AT3654,0)</f>
        <v/>
      </c>
      <c r="AU3757">
        <f>IF('01_Вводные'!$B$234="Да",'19_Расчет_аналитики'!AU3654,0)</f>
        <v/>
      </c>
      <c r="AV3757">
        <f>IF('01_Вводные'!$B$234="Да",'19_Расчет_аналитики'!AV3654,0)</f>
        <v/>
      </c>
      <c r="AW3757">
        <f>IF('01_Вводные'!$B$234="Да",'19_Расчет_аналитики'!AW3654,0)</f>
        <v/>
      </c>
      <c r="AX3757">
        <f>IF('01_Вводные'!$B$234="Да",'19_Расчет_аналитики'!AX3654,0)</f>
        <v/>
      </c>
      <c r="AY3757">
        <f>IF('01_Вводные'!$B$234="Да",'19_Расчет_аналитики'!AY3654,0)</f>
        <v/>
      </c>
      <c r="AZ3757">
        <f>IF('01_Вводные'!$B$234="Да",'19_Расчет_аналитики'!AZ3654,0)</f>
        <v/>
      </c>
      <c r="BA3757">
        <f>IF('01_Вводные'!$B$234="Да",'19_Расчет_аналитики'!BA3654,0)</f>
        <v/>
      </c>
      <c r="BB3757">
        <f>IF('01_Вводные'!$B$234="Да",'19_Расчет_аналитики'!BB3654,0)</f>
        <v/>
      </c>
      <c r="BC3757">
        <f>IF('01_Вводные'!$B$234="Да",'19_Расчет_аналитики'!BC3654,0)</f>
        <v/>
      </c>
      <c r="BD3757">
        <f>IF('01_Вводные'!$B$234="Да",'19_Расчет_аналитики'!BD3654,0)</f>
        <v/>
      </c>
      <c r="BE3757">
        <f>IF('01_Вводные'!$B$234="Да",'19_Расчет_аналитики'!BE3654,0)</f>
        <v/>
      </c>
      <c r="BF3757">
        <f>IF('01_Вводные'!$B$234="Да",'19_Расчет_аналитики'!BF3654,0)</f>
        <v/>
      </c>
      <c r="BG3757">
        <f>IF('01_Вводные'!$B$234="Да",'19_Расчет_аналитики'!BG3654,0)</f>
        <v/>
      </c>
      <c r="BH3757">
        <f>IF('01_Вводные'!$B$234="Да",'19_Расчет_аналитики'!BH3654,0)</f>
        <v/>
      </c>
      <c r="BI3757">
        <f>IF('01_Вводные'!$B$234="Да",'19_Расчет_аналитики'!BI3654,0)</f>
        <v/>
      </c>
    </row>
    <row r="3758">
      <c r="B3758">
        <f>IF('01_Вводные'!$B$234="Да",'19_Расчет_аналитики'!B3656,0)</f>
        <v/>
      </c>
      <c r="C3758">
        <f>IF('01_Вводные'!$B$234="Да",'19_Расчет_аналитики'!C3656,0)</f>
        <v/>
      </c>
      <c r="D3758">
        <f>IF('01_Вводные'!$B$234="Да",'19_Расчет_аналитики'!D3656,0)</f>
        <v/>
      </c>
      <c r="E3758">
        <f>IF('01_Вводные'!$B$234="Да",'19_Расчет_аналитики'!E3656,0)</f>
        <v/>
      </c>
      <c r="F3758">
        <f>IF('01_Вводные'!$B$234="Да",'19_Расчет_аналитики'!F3656,0)</f>
        <v/>
      </c>
      <c r="G3758">
        <f>IF('01_Вводные'!$B$234="Да",'19_Расчет_аналитики'!G3656,0)</f>
        <v/>
      </c>
      <c r="H3758">
        <f>IF('01_Вводные'!$B$234="Да",'19_Расчет_аналитики'!H3656,0)</f>
        <v/>
      </c>
      <c r="I3758">
        <f>IF('01_Вводные'!$B$234="Да",'19_Расчет_аналитики'!I3656,0)</f>
        <v/>
      </c>
      <c r="J3758">
        <f>IF('01_Вводные'!$B$234="Да",'19_Расчет_аналитики'!J3656,0)</f>
        <v/>
      </c>
      <c r="K3758">
        <f>IF('01_Вводные'!$B$234="Да",'19_Расчет_аналитики'!K3656,0)</f>
        <v/>
      </c>
      <c r="L3758">
        <f>IF('01_Вводные'!$B$234="Да",'19_Расчет_аналитики'!L3656,0)</f>
        <v/>
      </c>
      <c r="M3758">
        <f>IF('01_Вводные'!$B$234="Да",'19_Расчет_аналитики'!M3656,0)</f>
        <v/>
      </c>
      <c r="N3758">
        <f>IF('01_Вводные'!$B$234="Да",'19_Расчет_аналитики'!N3656,0)</f>
        <v/>
      </c>
      <c r="O3758">
        <f>IF('01_Вводные'!$B$234="Да",'19_Расчет_аналитики'!O3656,0)</f>
        <v/>
      </c>
      <c r="P3758">
        <f>IF('01_Вводные'!$B$234="Да",'19_Расчет_аналитики'!P3656,0)</f>
        <v/>
      </c>
      <c r="Q3758">
        <f>IF('01_Вводные'!$B$234="Да",'19_Расчет_аналитики'!Q3656,0)</f>
        <v/>
      </c>
      <c r="R3758">
        <f>IF('01_Вводные'!$B$234="Да",'19_Расчет_аналитики'!R3656,0)</f>
        <v/>
      </c>
      <c r="S3758">
        <f>IF('01_Вводные'!$B$234="Да",'19_Расчет_аналитики'!S3656,0)</f>
        <v/>
      </c>
      <c r="T3758">
        <f>IF('01_Вводные'!$B$234="Да",'19_Расчет_аналитики'!T3656,0)</f>
        <v/>
      </c>
      <c r="U3758">
        <f>IF('01_Вводные'!$B$234="Да",'19_Расчет_аналитики'!U3656,0)</f>
        <v/>
      </c>
      <c r="V3758">
        <f>IF('01_Вводные'!$B$234="Да",'19_Расчет_аналитики'!V3656,0)</f>
        <v/>
      </c>
      <c r="W3758">
        <f>IF('01_Вводные'!$B$234="Да",'19_Расчет_аналитики'!W3656,0)</f>
        <v/>
      </c>
      <c r="X3758">
        <f>IF('01_Вводные'!$B$234="Да",'19_Расчет_аналитики'!X3656,0)</f>
        <v/>
      </c>
      <c r="Y3758">
        <f>IF('01_Вводные'!$B$234="Да",'19_Расчет_аналитики'!Y3656,0)</f>
        <v/>
      </c>
      <c r="Z3758">
        <f>IF('01_Вводные'!$B$234="Да",'19_Расчет_аналитики'!Z3656,0)</f>
        <v/>
      </c>
      <c r="AA3758">
        <f>IF('01_Вводные'!$B$234="Да",'19_Расчет_аналитики'!AA3656,0)</f>
        <v/>
      </c>
      <c r="AB3758">
        <f>IF('01_Вводные'!$B$234="Да",'19_Расчет_аналитики'!AB3656,0)</f>
        <v/>
      </c>
      <c r="AC3758">
        <f>IF('01_Вводные'!$B$234="Да",'19_Расчет_аналитики'!AC3656,0)</f>
        <v/>
      </c>
      <c r="AD3758">
        <f>IF('01_Вводные'!$B$234="Да",'19_Расчет_аналитики'!AD3656,0)</f>
        <v/>
      </c>
      <c r="AE3758">
        <f>IF('01_Вводные'!$B$234="Да",'19_Расчет_аналитики'!AE3656,0)</f>
        <v/>
      </c>
      <c r="AF3758">
        <f>IF('01_Вводные'!$B$234="Да",'19_Расчет_аналитики'!AF3656,0)</f>
        <v/>
      </c>
      <c r="AG3758">
        <f>IF('01_Вводные'!$B$234="Да",'19_Расчет_аналитики'!AG3656,0)</f>
        <v/>
      </c>
      <c r="AH3758">
        <f>IF('01_Вводные'!$B$234="Да",'19_Расчет_аналитики'!AH3656,0)</f>
        <v/>
      </c>
      <c r="AI3758">
        <f>IF('01_Вводные'!$B$234="Да",'19_Расчет_аналитики'!AI3656,0)</f>
        <v/>
      </c>
      <c r="AJ3758">
        <f>IF('01_Вводные'!$B$234="Да",'19_Расчет_аналитики'!AJ3656,0)</f>
        <v/>
      </c>
      <c r="AK3758">
        <f>IF('01_Вводные'!$B$234="Да",'19_Расчет_аналитики'!AK3656,0)</f>
        <v/>
      </c>
      <c r="AL3758">
        <f>IF('01_Вводные'!$B$234="Да",'19_Расчет_аналитики'!AL3656,0)</f>
        <v/>
      </c>
      <c r="AM3758">
        <f>IF('01_Вводные'!$B$234="Да",'19_Расчет_аналитики'!AM3656,0)</f>
        <v/>
      </c>
      <c r="AN3758">
        <f>IF('01_Вводные'!$B$234="Да",'19_Расчет_аналитики'!AN3656,0)</f>
        <v/>
      </c>
      <c r="AO3758">
        <f>IF('01_Вводные'!$B$234="Да",'19_Расчет_аналитики'!AO3656,0)</f>
        <v/>
      </c>
      <c r="AP3758">
        <f>IF('01_Вводные'!$B$234="Да",'19_Расчет_аналитики'!AP3656,0)</f>
        <v/>
      </c>
      <c r="AQ3758">
        <f>IF('01_Вводные'!$B$234="Да",'19_Расчет_аналитики'!AQ3656,0)</f>
        <v/>
      </c>
      <c r="AR3758">
        <f>IF('01_Вводные'!$B$234="Да",'19_Расчет_аналитики'!AR3656,0)</f>
        <v/>
      </c>
      <c r="AS3758">
        <f>IF('01_Вводные'!$B$234="Да",'19_Расчет_аналитики'!AS3656,0)</f>
        <v/>
      </c>
      <c r="AT3758">
        <f>IF('01_Вводные'!$B$234="Да",'19_Расчет_аналитики'!AT3656,0)</f>
        <v/>
      </c>
      <c r="AU3758">
        <f>IF('01_Вводные'!$B$234="Да",'19_Расчет_аналитики'!AU3656,0)</f>
        <v/>
      </c>
      <c r="AV3758">
        <f>IF('01_Вводные'!$B$234="Да",'19_Расчет_аналитики'!AV3656,0)</f>
        <v/>
      </c>
      <c r="AW3758">
        <f>IF('01_Вводные'!$B$234="Да",'19_Расчет_аналитики'!AW3656,0)</f>
        <v/>
      </c>
      <c r="AX3758">
        <f>IF('01_Вводные'!$B$234="Да",'19_Расчет_аналитики'!AX3656,0)</f>
        <v/>
      </c>
      <c r="AY3758">
        <f>IF('01_Вводные'!$B$234="Да",'19_Расчет_аналитики'!AY3656,0)</f>
        <v/>
      </c>
      <c r="AZ3758">
        <f>IF('01_Вводные'!$B$234="Да",'19_Расчет_аналитики'!AZ3656,0)</f>
        <v/>
      </c>
      <c r="BA3758">
        <f>IF('01_Вводные'!$B$234="Да",'19_Расчет_аналитики'!BA3656,0)</f>
        <v/>
      </c>
      <c r="BB3758">
        <f>IF('01_Вводные'!$B$234="Да",'19_Расчет_аналитики'!BB3656,0)</f>
        <v/>
      </c>
      <c r="BC3758">
        <f>IF('01_Вводные'!$B$234="Да",'19_Расчет_аналитики'!BC3656,0)</f>
        <v/>
      </c>
      <c r="BD3758">
        <f>IF('01_Вводные'!$B$234="Да",'19_Расчет_аналитики'!BD3656,0)</f>
        <v/>
      </c>
      <c r="BE3758">
        <f>IF('01_Вводные'!$B$234="Да",'19_Расчет_аналитики'!BE3656,0)</f>
        <v/>
      </c>
      <c r="BF3758">
        <f>IF('01_Вводные'!$B$234="Да",'19_Расчет_аналитики'!BF3656,0)</f>
        <v/>
      </c>
      <c r="BG3758">
        <f>IF('01_Вводные'!$B$234="Да",'19_Расчет_аналитики'!BG3656,0)</f>
        <v/>
      </c>
      <c r="BH3758">
        <f>IF('01_Вводные'!$B$234="Да",'19_Расчет_аналитики'!BH3656,0)</f>
        <v/>
      </c>
      <c r="BI3758">
        <f>IF('01_Вводные'!$B$234="Да",'19_Расчет_аналитики'!BI3656,0)</f>
        <v/>
      </c>
    </row>
    <row r="3759">
      <c r="B3759">
        <f>'02_Модель'!B29</f>
        <v/>
      </c>
      <c r="C3759">
        <f>IF('01_Вводные'!$B$234="Да",'19_Расчет_аналитики'!C3748*'01_Вводные'!$B$59,0)</f>
        <v/>
      </c>
      <c r="D3759">
        <f>IF('01_Вводные'!$B$234="Да",'19_Расчет_аналитики'!D3748*'01_Вводные'!$B$59,0)</f>
        <v/>
      </c>
      <c r="E3759">
        <f>IF('01_Вводные'!$B$234="Да",'19_Расчет_аналитики'!E3748*'01_Вводные'!$B$59,0)</f>
        <v/>
      </c>
      <c r="F3759">
        <f>IF('01_Вводные'!$B$234="Да",'19_Расчет_аналитики'!F3748*'01_Вводные'!$B$59,0)</f>
        <v/>
      </c>
      <c r="G3759">
        <f>IF('01_Вводные'!$B$234="Да",'19_Расчет_аналитики'!G3748*'01_Вводные'!$B$59,0)</f>
        <v/>
      </c>
      <c r="H3759">
        <f>IF('01_Вводные'!$B$234="Да",'19_Расчет_аналитики'!H3748*'01_Вводные'!$B$59,0)</f>
        <v/>
      </c>
      <c r="I3759">
        <f>IF('01_Вводные'!$B$234="Да",'19_Расчет_аналитики'!I3748*'01_Вводные'!$B$59,0)</f>
        <v/>
      </c>
      <c r="J3759">
        <f>IF('01_Вводные'!$B$234="Да",'19_Расчет_аналитики'!J3748*'01_Вводные'!$B$59,0)</f>
        <v/>
      </c>
      <c r="K3759">
        <f>IF('01_Вводные'!$B$234="Да",'19_Расчет_аналитики'!K3748*'01_Вводные'!$B$59,0)</f>
        <v/>
      </c>
      <c r="L3759">
        <f>IF('01_Вводные'!$B$234="Да",'19_Расчет_аналитики'!L3748*'01_Вводные'!$B$59,0)</f>
        <v/>
      </c>
      <c r="M3759">
        <f>IF('01_Вводные'!$B$234="Да",'19_Расчет_аналитики'!M3748*'01_Вводные'!$B$59,0)</f>
        <v/>
      </c>
      <c r="N3759">
        <f>IF('01_Вводные'!$B$234="Да",'19_Расчет_аналитики'!N3748*'01_Вводные'!$B$59,0)</f>
        <v/>
      </c>
      <c r="O3759">
        <f>IF('01_Вводные'!$B$234="Да",'19_Расчет_аналитики'!O3748*'01_Вводные'!$B$59,0)</f>
        <v/>
      </c>
      <c r="P3759">
        <f>IF('01_Вводные'!$B$234="Да",'19_Расчет_аналитики'!P3748*'01_Вводные'!$B$59,0)</f>
        <v/>
      </c>
      <c r="Q3759">
        <f>IF('01_Вводные'!$B$234="Да",'19_Расчет_аналитики'!Q3748*'01_Вводные'!$B$59,0)</f>
        <v/>
      </c>
      <c r="R3759">
        <f>IF('01_Вводные'!$B$234="Да",'19_Расчет_аналитики'!R3748*'01_Вводные'!$B$59,0)</f>
        <v/>
      </c>
      <c r="S3759">
        <f>IF('01_Вводные'!$B$234="Да",'19_Расчет_аналитики'!S3748*'01_Вводные'!$B$59,0)</f>
        <v/>
      </c>
      <c r="T3759">
        <f>IF('01_Вводные'!$B$234="Да",'19_Расчет_аналитики'!T3748*'01_Вводные'!$B$59,0)</f>
        <v/>
      </c>
      <c r="U3759">
        <f>IF('01_Вводные'!$B$234="Да",'19_Расчет_аналитики'!U3748*'01_Вводные'!$B$59,0)</f>
        <v/>
      </c>
      <c r="V3759">
        <f>IF('01_Вводные'!$B$234="Да",'19_Расчет_аналитики'!V3748*'01_Вводные'!$B$59,0)</f>
        <v/>
      </c>
      <c r="W3759">
        <f>IF('01_Вводные'!$B$234="Да",'19_Расчет_аналитики'!W3748*'01_Вводные'!$B$59,0)</f>
        <v/>
      </c>
      <c r="X3759">
        <f>IF('01_Вводные'!$B$234="Да",'19_Расчет_аналитики'!X3748*'01_Вводные'!$B$59,0)</f>
        <v/>
      </c>
      <c r="Y3759">
        <f>IF('01_Вводные'!$B$234="Да",'19_Расчет_аналитики'!Y3748*'01_Вводные'!$B$59,0)</f>
        <v/>
      </c>
      <c r="Z3759">
        <f>IF('01_Вводные'!$B$234="Да",'19_Расчет_аналитики'!Z3748*'01_Вводные'!$B$59,0)</f>
        <v/>
      </c>
      <c r="AA3759">
        <f>IF('01_Вводные'!$B$234="Да",'19_Расчет_аналитики'!AA3748*'01_Вводные'!$B$59,0)</f>
        <v/>
      </c>
      <c r="AB3759">
        <f>IF('01_Вводные'!$B$234="Да",'19_Расчет_аналитики'!AB3748*'01_Вводные'!$B$59,0)</f>
        <v/>
      </c>
      <c r="AC3759">
        <f>IF('01_Вводные'!$B$234="Да",'19_Расчет_аналитики'!AC3748*'01_Вводные'!$B$59,0)</f>
        <v/>
      </c>
      <c r="AD3759">
        <f>IF('01_Вводные'!$B$234="Да",'19_Расчет_аналитики'!AD3748*'01_Вводные'!$B$59,0)</f>
        <v/>
      </c>
      <c r="AE3759">
        <f>IF('01_Вводные'!$B$234="Да",'19_Расчет_аналитики'!AE3748*'01_Вводные'!$B$59,0)</f>
        <v/>
      </c>
      <c r="AF3759">
        <f>IF('01_Вводные'!$B$234="Да",'19_Расчет_аналитики'!AF3748*'01_Вводные'!$B$59,0)</f>
        <v/>
      </c>
      <c r="AG3759">
        <f>IF('01_Вводные'!$B$234="Да",'19_Расчет_аналитики'!AG3748*'01_Вводные'!$B$59,0)</f>
        <v/>
      </c>
      <c r="AH3759">
        <f>IF('01_Вводные'!$B$234="Да",'19_Расчет_аналитики'!AH3748*'01_Вводные'!$B$59,0)</f>
        <v/>
      </c>
      <c r="AI3759">
        <f>IF('01_Вводные'!$B$234="Да",'19_Расчет_аналитики'!AI3748*'01_Вводные'!$B$59,0)</f>
        <v/>
      </c>
      <c r="AJ3759">
        <f>IF('01_Вводные'!$B$234="Да",'19_Расчет_аналитики'!AJ3748*'01_Вводные'!$B$59,0)</f>
        <v/>
      </c>
      <c r="AK3759">
        <f>IF('01_Вводные'!$B$234="Да",'19_Расчет_аналитики'!AK3748*'01_Вводные'!$B$59,0)</f>
        <v/>
      </c>
      <c r="AL3759">
        <f>IF('01_Вводные'!$B$234="Да",'19_Расчет_аналитики'!AL3748*'01_Вводные'!$B$59,0)</f>
        <v/>
      </c>
      <c r="AM3759">
        <f>IF('01_Вводные'!$B$234="Да",'19_Расчет_аналитики'!AM3748*'01_Вводные'!$B$59,0)</f>
        <v/>
      </c>
      <c r="AN3759">
        <f>IF('01_Вводные'!$B$234="Да",'19_Расчет_аналитики'!AN3748*'01_Вводные'!$B$59,0)</f>
        <v/>
      </c>
      <c r="AO3759">
        <f>IF('01_Вводные'!$B$234="Да",'19_Расчет_аналитики'!AO3748*'01_Вводные'!$B$59,0)</f>
        <v/>
      </c>
      <c r="AP3759">
        <f>IF('01_Вводные'!$B$234="Да",'19_Расчет_аналитики'!AP3748*'01_Вводные'!$B$59,0)</f>
        <v/>
      </c>
      <c r="AQ3759">
        <f>IF('01_Вводные'!$B$234="Да",'19_Расчет_аналитики'!AQ3748*'01_Вводные'!$B$59,0)</f>
        <v/>
      </c>
      <c r="AR3759">
        <f>IF('01_Вводные'!$B$234="Да",'19_Расчет_аналитики'!AR3748*'01_Вводные'!$B$59,0)</f>
        <v/>
      </c>
      <c r="AS3759">
        <f>IF('01_Вводные'!$B$234="Да",'19_Расчет_аналитики'!AS3748*'01_Вводные'!$B$59,0)</f>
        <v/>
      </c>
      <c r="AT3759">
        <f>IF('01_Вводные'!$B$234="Да",'19_Расчет_аналитики'!AT3748*'01_Вводные'!$B$59,0)</f>
        <v/>
      </c>
      <c r="AU3759">
        <f>IF('01_Вводные'!$B$234="Да",'19_Расчет_аналитики'!AU3748*'01_Вводные'!$B$59,0)</f>
        <v/>
      </c>
      <c r="AV3759">
        <f>IF('01_Вводные'!$B$234="Да",'19_Расчет_аналитики'!AV3748*'01_Вводные'!$B$59,0)</f>
        <v/>
      </c>
      <c r="AW3759">
        <f>IF('01_Вводные'!$B$234="Да",'19_Расчет_аналитики'!AW3748*'01_Вводные'!$B$59,0)</f>
        <v/>
      </c>
      <c r="AX3759">
        <f>IF('01_Вводные'!$B$234="Да",'19_Расчет_аналитики'!AX3748*'01_Вводные'!$B$59,0)</f>
        <v/>
      </c>
      <c r="AY3759">
        <f>IF('01_Вводные'!$B$234="Да",'19_Расчет_аналитики'!AY3748*'01_Вводные'!$B$59,0)</f>
        <v/>
      </c>
      <c r="AZ3759">
        <f>IF('01_Вводные'!$B$234="Да",'19_Расчет_аналитики'!AZ3748*'01_Вводные'!$B$59,0)</f>
        <v/>
      </c>
      <c r="BA3759">
        <f>IF('01_Вводные'!$B$234="Да",'19_Расчет_аналитики'!BA3748*'01_Вводные'!$B$59,0)</f>
        <v/>
      </c>
      <c r="BB3759">
        <f>IF('01_Вводные'!$B$234="Да",'19_Расчет_аналитики'!BB3748*'01_Вводные'!$B$59,0)</f>
        <v/>
      </c>
      <c r="BC3759">
        <f>IF('01_Вводные'!$B$234="Да",'19_Расчет_аналитики'!BC3748*'01_Вводные'!$B$59,0)</f>
        <v/>
      </c>
      <c r="BD3759">
        <f>IF('01_Вводные'!$B$234="Да",'19_Расчет_аналитики'!BD3748*'01_Вводные'!$B$59,0)</f>
        <v/>
      </c>
      <c r="BE3759">
        <f>IF('01_Вводные'!$B$234="Да",'19_Расчет_аналитики'!BE3748*'01_Вводные'!$B$59,0)</f>
        <v/>
      </c>
      <c r="BF3759">
        <f>IF('01_Вводные'!$B$234="Да",'19_Расчет_аналитики'!BF3748*'01_Вводные'!$B$59,0)</f>
        <v/>
      </c>
      <c r="BG3759">
        <f>IF('01_Вводные'!$B$234="Да",'19_Расчет_аналитики'!BG3748*'01_Вводные'!$B$59,0)</f>
        <v/>
      </c>
      <c r="BH3759">
        <f>IF('01_Вводные'!$B$234="Да",'19_Расчет_аналитики'!BH3748*'01_Вводные'!$B$59,0)</f>
        <v/>
      </c>
      <c r="BI3759">
        <f>IF('01_Вводные'!$B$234="Да",'19_Расчет_аналитики'!BI3748*'01_Вводные'!$B$59,0)</f>
        <v/>
      </c>
    </row>
    <row r="3760">
      <c r="B3760">
        <f>IF('01_Вводные'!$B$234="Да",('19_Расчет_аналитики'!B3749+'19_Расчет_аналитики'!B3750)*'01_Вводные'!$B$60,0)</f>
        <v/>
      </c>
      <c r="C3760">
        <f>IF('01_Вводные'!$B$234="Да",('19_Расчет_аналитики'!C3749+'19_Расчет_аналитики'!C3750)*'01_Вводные'!$B$60,0)</f>
        <v/>
      </c>
      <c r="D3760">
        <f>IF('01_Вводные'!$B$234="Да",('19_Расчет_аналитики'!D3749+'19_Расчет_аналитики'!D3750)*'01_Вводные'!$B$60,0)</f>
        <v/>
      </c>
      <c r="E3760">
        <f>IF('01_Вводные'!$B$234="Да",('19_Расчет_аналитики'!E3749+'19_Расчет_аналитики'!E3750)*'01_Вводные'!$B$60,0)</f>
        <v/>
      </c>
      <c r="F3760">
        <f>IF('01_Вводные'!$B$234="Да",('19_Расчет_аналитики'!F3749+'19_Расчет_аналитики'!F3750)*'01_Вводные'!$B$60,0)</f>
        <v/>
      </c>
      <c r="G3760">
        <f>IF('01_Вводные'!$B$234="Да",('19_Расчет_аналитики'!G3749+'19_Расчет_аналитики'!G3750)*'01_Вводные'!$B$60,0)</f>
        <v/>
      </c>
      <c r="H3760">
        <f>IF('01_Вводные'!$B$234="Да",('19_Расчет_аналитики'!H3749+'19_Расчет_аналитики'!H3750)*'01_Вводные'!$B$60,0)</f>
        <v/>
      </c>
      <c r="I3760">
        <f>IF('01_Вводные'!$B$234="Да",('19_Расчет_аналитики'!I3749+'19_Расчет_аналитики'!I3750)*'01_Вводные'!$B$60,0)</f>
        <v/>
      </c>
      <c r="J3760">
        <f>IF('01_Вводные'!$B$234="Да",('19_Расчет_аналитики'!J3749+'19_Расчет_аналитики'!J3750)*'01_Вводные'!$B$60,0)</f>
        <v/>
      </c>
      <c r="K3760">
        <f>IF('01_Вводные'!$B$234="Да",('19_Расчет_аналитики'!K3749+'19_Расчет_аналитики'!K3750)*'01_Вводные'!$B$60,0)</f>
        <v/>
      </c>
      <c r="L3760">
        <f>IF('01_Вводные'!$B$234="Да",('19_Расчет_аналитики'!L3749+'19_Расчет_аналитики'!L3750)*'01_Вводные'!$B$60,0)</f>
        <v/>
      </c>
      <c r="M3760">
        <f>IF('01_Вводные'!$B$234="Да",('19_Расчет_аналитики'!M3749+'19_Расчет_аналитики'!M3750)*'01_Вводные'!$B$60,0)</f>
        <v/>
      </c>
      <c r="N3760">
        <f>IF('01_Вводные'!$B$234="Да",('19_Расчет_аналитики'!N3749+'19_Расчет_аналитики'!N3750)*'01_Вводные'!$B$60,0)</f>
        <v/>
      </c>
      <c r="O3760">
        <f>IF('01_Вводные'!$B$234="Да",('19_Расчет_аналитики'!O3749+'19_Расчет_аналитики'!O3750)*'01_Вводные'!$B$60,0)</f>
        <v/>
      </c>
      <c r="P3760">
        <f>IF('01_Вводные'!$B$234="Да",('19_Расчет_аналитики'!P3749+'19_Расчет_аналитики'!P3750)*'01_Вводные'!$B$60,0)</f>
        <v/>
      </c>
      <c r="Q3760">
        <f>IF('01_Вводные'!$B$234="Да",('19_Расчет_аналитики'!Q3749+'19_Расчет_аналитики'!Q3750)*'01_Вводные'!$B$60,0)</f>
        <v/>
      </c>
      <c r="R3760">
        <f>IF('01_Вводные'!$B$234="Да",('19_Расчет_аналитики'!R3749+'19_Расчет_аналитики'!R3750)*'01_Вводные'!$B$60,0)</f>
        <v/>
      </c>
      <c r="S3760">
        <f>IF('01_Вводные'!$B$234="Да",('19_Расчет_аналитики'!S3749+'19_Расчет_аналитики'!S3750)*'01_Вводные'!$B$60,0)</f>
        <v/>
      </c>
      <c r="T3760">
        <f>IF('01_Вводные'!$B$234="Да",('19_Расчет_аналитики'!T3749+'19_Расчет_аналитики'!T3750)*'01_Вводные'!$B$60,0)</f>
        <v/>
      </c>
      <c r="U3760">
        <f>IF('01_Вводные'!$B$234="Да",('19_Расчет_аналитики'!U3749+'19_Расчет_аналитики'!U3750)*'01_Вводные'!$B$60,0)</f>
        <v/>
      </c>
      <c r="V3760">
        <f>IF('01_Вводные'!$B$234="Да",('19_Расчет_аналитики'!V3749+'19_Расчет_аналитики'!V3750)*'01_Вводные'!$B$60,0)</f>
        <v/>
      </c>
      <c r="W3760">
        <f>IF('01_Вводные'!$B$234="Да",('19_Расчет_аналитики'!W3749+'19_Расчет_аналитики'!W3750)*'01_Вводные'!$B$60,0)</f>
        <v/>
      </c>
      <c r="X3760">
        <f>IF('01_Вводные'!$B$234="Да",('19_Расчет_аналитики'!X3749+'19_Расчет_аналитики'!X3750)*'01_Вводные'!$B$60,0)</f>
        <v/>
      </c>
      <c r="Y3760">
        <f>IF('01_Вводные'!$B$234="Да",('19_Расчет_аналитики'!Y3749+'19_Расчет_аналитики'!Y3750)*'01_Вводные'!$B$60,0)</f>
        <v/>
      </c>
      <c r="Z3760">
        <f>IF('01_Вводные'!$B$234="Да",('19_Расчет_аналитики'!Z3749+'19_Расчет_аналитики'!Z3750)*'01_Вводные'!$B$60,0)</f>
        <v/>
      </c>
      <c r="AA3760">
        <f>IF('01_Вводные'!$B$234="Да",('19_Расчет_аналитики'!AA3749+'19_Расчет_аналитики'!AA3750)*'01_Вводные'!$B$60,0)</f>
        <v/>
      </c>
      <c r="AB3760">
        <f>IF('01_Вводные'!$B$234="Да",('19_Расчет_аналитики'!AB3749+'19_Расчет_аналитики'!AB3750)*'01_Вводные'!$B$60,0)</f>
        <v/>
      </c>
      <c r="AC3760">
        <f>IF('01_Вводные'!$B$234="Да",('19_Расчет_аналитики'!AC3749+'19_Расчет_аналитики'!AC3750)*'01_Вводные'!$B$60,0)</f>
        <v/>
      </c>
      <c r="AD3760">
        <f>IF('01_Вводные'!$B$234="Да",('19_Расчет_аналитики'!AD3749+'19_Расчет_аналитики'!AD3750)*'01_Вводные'!$B$60,0)</f>
        <v/>
      </c>
      <c r="AE3760">
        <f>IF('01_Вводные'!$B$234="Да",('19_Расчет_аналитики'!AE3749+'19_Расчет_аналитики'!AE3750)*'01_Вводные'!$B$60,0)</f>
        <v/>
      </c>
      <c r="AF3760">
        <f>IF('01_Вводные'!$B$234="Да",('19_Расчет_аналитики'!AF3749+'19_Расчет_аналитики'!AF3750)*'01_Вводные'!$B$60,0)</f>
        <v/>
      </c>
      <c r="AG3760">
        <f>IF('01_Вводные'!$B$234="Да",('19_Расчет_аналитики'!AG3749+'19_Расчет_аналитики'!AG3750)*'01_Вводные'!$B$60,0)</f>
        <v/>
      </c>
      <c r="AH3760">
        <f>IF('01_Вводные'!$B$234="Да",('19_Расчет_аналитики'!AH3749+'19_Расчет_аналитики'!AH3750)*'01_Вводные'!$B$60,0)</f>
        <v/>
      </c>
      <c r="AI3760">
        <f>IF('01_Вводные'!$B$234="Да",('19_Расчет_аналитики'!AI3749+'19_Расчет_аналитики'!AI3750)*'01_Вводные'!$B$60,0)</f>
        <v/>
      </c>
      <c r="AJ3760">
        <f>IF('01_Вводные'!$B$234="Да",('19_Расчет_аналитики'!AJ3749+'19_Расчет_аналитики'!AJ3750)*'01_Вводные'!$B$60,0)</f>
        <v/>
      </c>
      <c r="AK3760">
        <f>IF('01_Вводные'!$B$234="Да",('19_Расчет_аналитики'!AK3749+'19_Расчет_аналитики'!AK3750)*'01_Вводные'!$B$60,0)</f>
        <v/>
      </c>
      <c r="AL3760">
        <f>IF('01_Вводные'!$B$234="Да",('19_Расчет_аналитики'!AL3749+'19_Расчет_аналитики'!AL3750)*'01_Вводные'!$B$60,0)</f>
        <v/>
      </c>
      <c r="AM3760">
        <f>IF('01_Вводные'!$B$234="Да",('19_Расчет_аналитики'!AM3749+'19_Расчет_аналитики'!AM3750)*'01_Вводные'!$B$60,0)</f>
        <v/>
      </c>
      <c r="AN3760">
        <f>IF('01_Вводные'!$B$234="Да",('19_Расчет_аналитики'!AN3749+'19_Расчет_аналитики'!AN3750)*'01_Вводные'!$B$60,0)</f>
        <v/>
      </c>
      <c r="AO3760">
        <f>IF('01_Вводные'!$B$234="Да",('19_Расчет_аналитики'!AO3749+'19_Расчет_аналитики'!AO3750)*'01_Вводные'!$B$60,0)</f>
        <v/>
      </c>
      <c r="AP3760">
        <f>IF('01_Вводные'!$B$234="Да",('19_Расчет_аналитики'!AP3749+'19_Расчет_аналитики'!AP3750)*'01_Вводные'!$B$60,0)</f>
        <v/>
      </c>
      <c r="AQ3760">
        <f>IF('01_Вводные'!$B$234="Да",('19_Расчет_аналитики'!AQ3749+'19_Расчет_аналитики'!AQ3750)*'01_Вводные'!$B$60,0)</f>
        <v/>
      </c>
      <c r="AR3760">
        <f>IF('01_Вводные'!$B$234="Да",('19_Расчет_аналитики'!AR3749+'19_Расчет_аналитики'!AR3750)*'01_Вводные'!$B$60,0)</f>
        <v/>
      </c>
      <c r="AS3760">
        <f>IF('01_Вводные'!$B$234="Да",('19_Расчет_аналитики'!AS3749+'19_Расчет_аналитики'!AS3750)*'01_Вводные'!$B$60,0)</f>
        <v/>
      </c>
      <c r="AT3760">
        <f>IF('01_Вводные'!$B$234="Да",('19_Расчет_аналитики'!AT3749+'19_Расчет_аналитики'!AT3750)*'01_Вводные'!$B$60,0)</f>
        <v/>
      </c>
      <c r="AU3760">
        <f>IF('01_Вводные'!$B$234="Да",('19_Расчет_аналитики'!AU3749+'19_Расчет_аналитики'!AU3750)*'01_Вводные'!$B$60,0)</f>
        <v/>
      </c>
      <c r="AV3760">
        <f>IF('01_Вводные'!$B$234="Да",('19_Расчет_аналитики'!AV3749+'19_Расчет_аналитики'!AV3750)*'01_Вводные'!$B$60,0)</f>
        <v/>
      </c>
      <c r="AW3760">
        <f>IF('01_Вводные'!$B$234="Да",('19_Расчет_аналитики'!AW3749+'19_Расчет_аналитики'!AW3750)*'01_Вводные'!$B$60,0)</f>
        <v/>
      </c>
      <c r="AX3760">
        <f>IF('01_Вводные'!$B$234="Да",('19_Расчет_аналитики'!AX3749+'19_Расчет_аналитики'!AX3750)*'01_Вводные'!$B$60,0)</f>
        <v/>
      </c>
      <c r="AY3760">
        <f>IF('01_Вводные'!$B$234="Да",('19_Расчет_аналитики'!AY3749+'19_Расчет_аналитики'!AY3750)*'01_Вводные'!$B$60,0)</f>
        <v/>
      </c>
      <c r="AZ3760">
        <f>IF('01_Вводные'!$B$234="Да",('19_Расчет_аналитики'!AZ3749+'19_Расчет_аналитики'!AZ3750)*'01_Вводные'!$B$60,0)</f>
        <v/>
      </c>
      <c r="BA3760">
        <f>IF('01_Вводные'!$B$234="Да",('19_Расчет_аналитики'!BA3749+'19_Расчет_аналитики'!BA3750)*'01_Вводные'!$B$60,0)</f>
        <v/>
      </c>
      <c r="BB3760">
        <f>IF('01_Вводные'!$B$234="Да",('19_Расчет_аналитики'!BB3749+'19_Расчет_аналитики'!BB3750)*'01_Вводные'!$B$60,0)</f>
        <v/>
      </c>
      <c r="BC3760">
        <f>IF('01_Вводные'!$B$234="Да",('19_Расчет_аналитики'!BC3749+'19_Расчет_аналитики'!BC3750)*'01_Вводные'!$B$60,0)</f>
        <v/>
      </c>
      <c r="BD3760">
        <f>IF('01_Вводные'!$B$234="Да",('19_Расчет_аналитики'!BD3749+'19_Расчет_аналитики'!BD3750)*'01_Вводные'!$B$60,0)</f>
        <v/>
      </c>
      <c r="BE3760">
        <f>IF('01_Вводные'!$B$234="Да",('19_Расчет_аналитики'!BE3749+'19_Расчет_аналитики'!BE3750)*'01_Вводные'!$B$60,0)</f>
        <v/>
      </c>
      <c r="BF3760">
        <f>IF('01_Вводные'!$B$234="Да",('19_Расчет_аналитики'!BF3749+'19_Расчет_аналитики'!BF3750)*'01_Вводные'!$B$60,0)</f>
        <v/>
      </c>
      <c r="BG3760">
        <f>IF('01_Вводные'!$B$234="Да",('19_Расчет_аналитики'!BG3749+'19_Расчет_аналитики'!BG3750)*'01_Вводные'!$B$60,0)</f>
        <v/>
      </c>
      <c r="BH3760">
        <f>IF('01_Вводные'!$B$234="Да",('19_Расчет_аналитики'!BH3749+'19_Расчет_аналитики'!BH3750)*'01_Вводные'!$B$60,0)</f>
        <v/>
      </c>
      <c r="BI3760">
        <f>IF('01_Вводные'!$B$234="Да",('19_Расчет_аналитики'!BI3749+'19_Расчет_аналитики'!BI3750)*'01_Вводные'!$B$60,0)</f>
        <v/>
      </c>
    </row>
    <row r="3761">
      <c r="B3761">
        <f>'02_Модель'!B31</f>
        <v/>
      </c>
      <c r="C3761">
        <f>'02_Модель'!C31</f>
        <v/>
      </c>
      <c r="D3761">
        <f>'02_Модель'!D31</f>
        <v/>
      </c>
      <c r="E3761">
        <f>'02_Модель'!E31</f>
        <v/>
      </c>
      <c r="F3761">
        <f>'02_Модель'!F31</f>
        <v/>
      </c>
      <c r="G3761">
        <f>'02_Модель'!G31</f>
        <v/>
      </c>
      <c r="H3761">
        <f>'02_Модель'!H31</f>
        <v/>
      </c>
      <c r="I3761">
        <f>'02_Модель'!I31</f>
        <v/>
      </c>
      <c r="J3761">
        <f>'02_Модель'!J31</f>
        <v/>
      </c>
      <c r="K3761">
        <f>'02_Модель'!K31</f>
        <v/>
      </c>
      <c r="L3761">
        <f>'02_Модель'!L31</f>
        <v/>
      </c>
      <c r="M3761">
        <f>'02_Модель'!M31</f>
        <v/>
      </c>
      <c r="N3761">
        <f>'02_Модель'!N31</f>
        <v/>
      </c>
      <c r="O3761">
        <f>'02_Модель'!O31</f>
        <v/>
      </c>
      <c r="P3761">
        <f>'02_Модель'!P31</f>
        <v/>
      </c>
      <c r="Q3761">
        <f>'02_Модель'!Q31</f>
        <v/>
      </c>
      <c r="R3761">
        <f>'02_Модель'!R31</f>
        <v/>
      </c>
      <c r="S3761">
        <f>'02_Модель'!S31</f>
        <v/>
      </c>
      <c r="T3761">
        <f>'02_Модель'!T31</f>
        <v/>
      </c>
      <c r="U3761">
        <f>'02_Модель'!U31</f>
        <v/>
      </c>
      <c r="V3761">
        <f>'02_Модель'!V31</f>
        <v/>
      </c>
      <c r="W3761">
        <f>'02_Модель'!W31</f>
        <v/>
      </c>
      <c r="X3761">
        <f>'02_Модель'!X31</f>
        <v/>
      </c>
      <c r="Y3761">
        <f>'02_Модель'!Y31</f>
        <v/>
      </c>
      <c r="Z3761">
        <f>'02_Модель'!Z31</f>
        <v/>
      </c>
      <c r="AA3761">
        <f>'02_Модель'!AA31</f>
        <v/>
      </c>
      <c r="AB3761">
        <f>'02_Модель'!AB31</f>
        <v/>
      </c>
      <c r="AC3761">
        <f>'02_Модель'!AC31</f>
        <v/>
      </c>
      <c r="AD3761">
        <f>'02_Модель'!AD31</f>
        <v/>
      </c>
      <c r="AE3761">
        <f>'02_Модель'!AE31</f>
        <v/>
      </c>
      <c r="AF3761">
        <f>'02_Модель'!AF31</f>
        <v/>
      </c>
      <c r="AG3761">
        <f>'02_Модель'!AG31</f>
        <v/>
      </c>
      <c r="AH3761">
        <f>'02_Модель'!AH31</f>
        <v/>
      </c>
      <c r="AI3761">
        <f>'02_Модель'!AI31</f>
        <v/>
      </c>
      <c r="AJ3761">
        <f>'02_Модель'!AJ31</f>
        <v/>
      </c>
      <c r="AK3761">
        <f>'02_Модель'!AK31</f>
        <v/>
      </c>
      <c r="AL3761">
        <f>'02_Модель'!AL31</f>
        <v/>
      </c>
      <c r="AM3761">
        <f>'02_Модель'!AM31</f>
        <v/>
      </c>
      <c r="AN3761">
        <f>'02_Модель'!AN31</f>
        <v/>
      </c>
      <c r="AO3761">
        <f>'02_Модель'!AO31</f>
        <v/>
      </c>
      <c r="AP3761">
        <f>'02_Модель'!AP31</f>
        <v/>
      </c>
      <c r="AQ3761">
        <f>'02_Модель'!AQ31</f>
        <v/>
      </c>
      <c r="AR3761">
        <f>'02_Модель'!AR31</f>
        <v/>
      </c>
      <c r="AS3761">
        <f>'02_Модель'!AS31</f>
        <v/>
      </c>
      <c r="AT3761">
        <f>'02_Модель'!AT31</f>
        <v/>
      </c>
      <c r="AU3761">
        <f>'02_Модель'!AU31</f>
        <v/>
      </c>
      <c r="AV3761">
        <f>'02_Модель'!AV31</f>
        <v/>
      </c>
      <c r="AW3761">
        <f>'02_Модель'!AW31</f>
        <v/>
      </c>
      <c r="AX3761">
        <f>'02_Модель'!AX31</f>
        <v/>
      </c>
      <c r="AY3761">
        <f>'02_Модель'!AY31</f>
        <v/>
      </c>
      <c r="AZ3761">
        <f>'02_Модель'!AZ31</f>
        <v/>
      </c>
      <c r="BA3761">
        <f>'02_Модель'!BA31</f>
        <v/>
      </c>
      <c r="BB3761">
        <f>'02_Модель'!BB31</f>
        <v/>
      </c>
      <c r="BC3761">
        <f>'02_Модель'!BC31</f>
        <v/>
      </c>
      <c r="BD3761">
        <f>'02_Модель'!BD31</f>
        <v/>
      </c>
      <c r="BE3761">
        <f>'02_Модель'!BE31</f>
        <v/>
      </c>
      <c r="BF3761">
        <f>'02_Модель'!BF31</f>
        <v/>
      </c>
      <c r="BG3761">
        <f>'02_Модель'!BG31</f>
        <v/>
      </c>
      <c r="BH3761">
        <f>'02_Модель'!BH31</f>
        <v/>
      </c>
      <c r="BI3761">
        <f>'02_Модель'!BI31</f>
        <v/>
      </c>
    </row>
    <row r="3762">
      <c r="B3762">
        <f>IF('01_Вводные'!$B$234="Да",SUM('19_Расчет_аналитики'!B3756:B3761),0)</f>
        <v/>
      </c>
      <c r="C3762">
        <f>IF('01_Вводные'!$B$234="Да",SUM('19_Расчет_аналитики'!C3756:C3761),0)</f>
        <v/>
      </c>
      <c r="D3762">
        <f>IF('01_Вводные'!$B$234="Да",SUM('19_Расчет_аналитики'!D3756:D3761),0)</f>
        <v/>
      </c>
      <c r="E3762">
        <f>IF('01_Вводные'!$B$234="Да",SUM('19_Расчет_аналитики'!E3756:E3761),0)</f>
        <v/>
      </c>
      <c r="F3762">
        <f>IF('01_Вводные'!$B$234="Да",SUM('19_Расчет_аналитики'!F3756:F3761),0)</f>
        <v/>
      </c>
      <c r="G3762">
        <f>IF('01_Вводные'!$B$234="Да",SUM('19_Расчет_аналитики'!G3756:G3761),0)</f>
        <v/>
      </c>
      <c r="H3762">
        <f>IF('01_Вводные'!$B$234="Да",SUM('19_Расчет_аналитики'!H3756:H3761),0)</f>
        <v/>
      </c>
      <c r="I3762">
        <f>IF('01_Вводные'!$B$234="Да",SUM('19_Расчет_аналитики'!I3756:I3761),0)</f>
        <v/>
      </c>
      <c r="J3762">
        <f>IF('01_Вводные'!$B$234="Да",SUM('19_Расчет_аналитики'!J3756:J3761),0)</f>
        <v/>
      </c>
      <c r="K3762">
        <f>IF('01_Вводные'!$B$234="Да",SUM('19_Расчет_аналитики'!K3756:K3761),0)</f>
        <v/>
      </c>
      <c r="L3762">
        <f>IF('01_Вводные'!$B$234="Да",SUM('19_Расчет_аналитики'!L3756:L3761),0)</f>
        <v/>
      </c>
      <c r="M3762">
        <f>IF('01_Вводные'!$B$234="Да",SUM('19_Расчет_аналитики'!M3756:M3761),0)</f>
        <v/>
      </c>
      <c r="N3762">
        <f>IF('01_Вводные'!$B$234="Да",SUM('19_Расчет_аналитики'!N3756:N3761),0)</f>
        <v/>
      </c>
      <c r="O3762">
        <f>IF('01_Вводные'!$B$234="Да",SUM('19_Расчет_аналитики'!O3756:O3761),0)</f>
        <v/>
      </c>
      <c r="P3762">
        <f>IF('01_Вводные'!$B$234="Да",SUM('19_Расчет_аналитики'!P3756:P3761),0)</f>
        <v/>
      </c>
      <c r="Q3762">
        <f>IF('01_Вводные'!$B$234="Да",SUM('19_Расчет_аналитики'!Q3756:Q3761),0)</f>
        <v/>
      </c>
      <c r="R3762">
        <f>IF('01_Вводные'!$B$234="Да",SUM('19_Расчет_аналитики'!R3756:R3761),0)</f>
        <v/>
      </c>
      <c r="S3762">
        <f>IF('01_Вводные'!$B$234="Да",SUM('19_Расчет_аналитики'!S3756:S3761),0)</f>
        <v/>
      </c>
      <c r="T3762">
        <f>IF('01_Вводные'!$B$234="Да",SUM('19_Расчет_аналитики'!T3756:T3761),0)</f>
        <v/>
      </c>
      <c r="U3762">
        <f>IF('01_Вводные'!$B$234="Да",SUM('19_Расчет_аналитики'!U3756:U3761),0)</f>
        <v/>
      </c>
      <c r="V3762">
        <f>IF('01_Вводные'!$B$234="Да",SUM('19_Расчет_аналитики'!V3756:V3761),0)</f>
        <v/>
      </c>
      <c r="W3762">
        <f>IF('01_Вводные'!$B$234="Да",SUM('19_Расчет_аналитики'!W3756:W3761),0)</f>
        <v/>
      </c>
      <c r="X3762">
        <f>IF('01_Вводные'!$B$234="Да",SUM('19_Расчет_аналитики'!X3756:X3761),0)</f>
        <v/>
      </c>
      <c r="Y3762">
        <f>IF('01_Вводные'!$B$234="Да",SUM('19_Расчет_аналитики'!Y3756:Y3761),0)</f>
        <v/>
      </c>
      <c r="Z3762">
        <f>IF('01_Вводные'!$B$234="Да",SUM('19_Расчет_аналитики'!Z3756:Z3761),0)</f>
        <v/>
      </c>
      <c r="AA3762">
        <f>IF('01_Вводные'!$B$234="Да",SUM('19_Расчет_аналитики'!AA3756:AA3761),0)</f>
        <v/>
      </c>
      <c r="AB3762">
        <f>IF('01_Вводные'!$B$234="Да",SUM('19_Расчет_аналитики'!AB3756:AB3761),0)</f>
        <v/>
      </c>
      <c r="AC3762">
        <f>IF('01_Вводные'!$B$234="Да",SUM('19_Расчет_аналитики'!AC3756:AC3761),0)</f>
        <v/>
      </c>
      <c r="AD3762">
        <f>IF('01_Вводные'!$B$234="Да",SUM('19_Расчет_аналитики'!AD3756:AD3761),0)</f>
        <v/>
      </c>
      <c r="AE3762">
        <f>IF('01_Вводные'!$B$234="Да",SUM('19_Расчет_аналитики'!AE3756:AE3761),0)</f>
        <v/>
      </c>
      <c r="AF3762">
        <f>IF('01_Вводные'!$B$234="Да",SUM('19_Расчет_аналитики'!AF3756:AF3761),0)</f>
        <v/>
      </c>
      <c r="AG3762">
        <f>IF('01_Вводные'!$B$234="Да",SUM('19_Расчет_аналитики'!AG3756:AG3761),0)</f>
        <v/>
      </c>
      <c r="AH3762">
        <f>IF('01_Вводные'!$B$234="Да",SUM('19_Расчет_аналитики'!AH3756:AH3761),0)</f>
        <v/>
      </c>
      <c r="AI3762">
        <f>IF('01_Вводные'!$B$234="Да",SUM('19_Расчет_аналитики'!AI3756:AI3761),0)</f>
        <v/>
      </c>
      <c r="AJ3762">
        <f>IF('01_Вводные'!$B$234="Да",SUM('19_Расчет_аналитики'!AJ3756:AJ3761),0)</f>
        <v/>
      </c>
      <c r="AK3762">
        <f>IF('01_Вводные'!$B$234="Да",SUM('19_Расчет_аналитики'!AK3756:AK3761),0)</f>
        <v/>
      </c>
      <c r="AL3762">
        <f>IF('01_Вводные'!$B$234="Да",SUM('19_Расчет_аналитики'!AL3756:AL3761),0)</f>
        <v/>
      </c>
      <c r="AM3762">
        <f>IF('01_Вводные'!$B$234="Да",SUM('19_Расчет_аналитики'!AM3756:AM3761),0)</f>
        <v/>
      </c>
      <c r="AN3762">
        <f>IF('01_Вводные'!$B$234="Да",SUM('19_Расчет_аналитики'!AN3756:AN3761),0)</f>
        <v/>
      </c>
      <c r="AO3762">
        <f>IF('01_Вводные'!$B$234="Да",SUM('19_Расчет_аналитики'!AO3756:AO3761),0)</f>
        <v/>
      </c>
      <c r="AP3762">
        <f>IF('01_Вводные'!$B$234="Да",SUM('19_Расчет_аналитики'!AP3756:AP3761),0)</f>
        <v/>
      </c>
      <c r="AQ3762">
        <f>IF('01_Вводные'!$B$234="Да",SUM('19_Расчет_аналитики'!AQ3756:AQ3761),0)</f>
        <v/>
      </c>
      <c r="AR3762">
        <f>IF('01_Вводные'!$B$234="Да",SUM('19_Расчет_аналитики'!AR3756:AR3761),0)</f>
        <v/>
      </c>
      <c r="AS3762">
        <f>IF('01_Вводные'!$B$234="Да",SUM('19_Расчет_аналитики'!AS3756:AS3761),0)</f>
        <v/>
      </c>
      <c r="AT3762">
        <f>IF('01_Вводные'!$B$234="Да",SUM('19_Расчет_аналитики'!AT3756:AT3761),0)</f>
        <v/>
      </c>
      <c r="AU3762">
        <f>IF('01_Вводные'!$B$234="Да",SUM('19_Расчет_аналитики'!AU3756:AU3761),0)</f>
        <v/>
      </c>
      <c r="AV3762">
        <f>IF('01_Вводные'!$B$234="Да",SUM('19_Расчет_аналитики'!AV3756:AV3761),0)</f>
        <v/>
      </c>
      <c r="AW3762">
        <f>IF('01_Вводные'!$B$234="Да",SUM('19_Расчет_аналитики'!AW3756:AW3761),0)</f>
        <v/>
      </c>
      <c r="AX3762">
        <f>IF('01_Вводные'!$B$234="Да",SUM('19_Расчет_аналитики'!AX3756:AX3761),0)</f>
        <v/>
      </c>
      <c r="AY3762">
        <f>IF('01_Вводные'!$B$234="Да",SUM('19_Расчет_аналитики'!AY3756:AY3761),0)</f>
        <v/>
      </c>
      <c r="AZ3762">
        <f>IF('01_Вводные'!$B$234="Да",SUM('19_Расчет_аналитики'!AZ3756:AZ3761),0)</f>
        <v/>
      </c>
      <c r="BA3762">
        <f>IF('01_Вводные'!$B$234="Да",SUM('19_Расчет_аналитики'!BA3756:BA3761),0)</f>
        <v/>
      </c>
      <c r="BB3762">
        <f>IF('01_Вводные'!$B$234="Да",SUM('19_Расчет_аналитики'!BB3756:BB3761),0)</f>
        <v/>
      </c>
      <c r="BC3762">
        <f>IF('01_Вводные'!$B$234="Да",SUM('19_Расчет_аналитики'!BC3756:BC3761),0)</f>
        <v/>
      </c>
      <c r="BD3762">
        <f>IF('01_Вводные'!$B$234="Да",SUM('19_Расчет_аналитики'!BD3756:BD3761),0)</f>
        <v/>
      </c>
      <c r="BE3762">
        <f>IF('01_Вводные'!$B$234="Да",SUM('19_Расчет_аналитики'!BE3756:BE3761),0)</f>
        <v/>
      </c>
      <c r="BF3762">
        <f>IF('01_Вводные'!$B$234="Да",SUM('19_Расчет_аналитики'!BF3756:BF3761),0)</f>
        <v/>
      </c>
      <c r="BG3762">
        <f>IF('01_Вводные'!$B$234="Да",SUM('19_Расчет_аналитики'!BG3756:BG3761),0)</f>
        <v/>
      </c>
      <c r="BH3762">
        <f>IF('01_Вводные'!$B$234="Да",SUM('19_Расчет_аналитики'!BH3756:BH3761),0)</f>
        <v/>
      </c>
      <c r="BI3762">
        <f>IF('01_Вводные'!$B$234="Да",SUM('19_Расчет_аналитики'!BI3756:BI3761),0)</f>
        <v/>
      </c>
    </row>
    <row r="3763">
      <c r="B3763">
        <f>IF('01_Вводные'!$B$234="Да",'19_Расчет_аналитики'!B3753-'19_Расчет_аналитики'!B3762,0)</f>
        <v/>
      </c>
      <c r="C3763">
        <f>IF('01_Вводные'!$B$234="Да",'19_Расчет_аналитики'!C3753-'19_Расчет_аналитики'!C3762,0)</f>
        <v/>
      </c>
      <c r="D3763">
        <f>IF('01_Вводные'!$B$234="Да",'19_Расчет_аналитики'!D3753-'19_Расчет_аналитики'!D3762,0)</f>
        <v/>
      </c>
      <c r="E3763">
        <f>IF('01_Вводные'!$B$234="Да",'19_Расчет_аналитики'!E3753-'19_Расчет_аналитики'!E3762,0)</f>
        <v/>
      </c>
      <c r="F3763">
        <f>IF('01_Вводные'!$B$234="Да",'19_Расчет_аналитики'!F3753-'19_Расчет_аналитики'!F3762,0)</f>
        <v/>
      </c>
      <c r="G3763">
        <f>IF('01_Вводные'!$B$234="Да",'19_Расчет_аналитики'!G3753-'19_Расчет_аналитики'!G3762,0)</f>
        <v/>
      </c>
      <c r="H3763">
        <f>IF('01_Вводные'!$B$234="Да",'19_Расчет_аналитики'!H3753-'19_Расчет_аналитики'!H3762,0)</f>
        <v/>
      </c>
      <c r="I3763">
        <f>IF('01_Вводные'!$B$234="Да",'19_Расчет_аналитики'!I3753-'19_Расчет_аналитики'!I3762,0)</f>
        <v/>
      </c>
      <c r="J3763">
        <f>IF('01_Вводные'!$B$234="Да",'19_Расчет_аналитики'!J3753-'19_Расчет_аналитики'!J3762,0)</f>
        <v/>
      </c>
      <c r="K3763">
        <f>IF('01_Вводные'!$B$234="Да",'19_Расчет_аналитики'!K3753-'19_Расчет_аналитики'!K3762,0)</f>
        <v/>
      </c>
      <c r="L3763">
        <f>IF('01_Вводные'!$B$234="Да",'19_Расчет_аналитики'!L3753-'19_Расчет_аналитики'!L3762,0)</f>
        <v/>
      </c>
      <c r="M3763">
        <f>IF('01_Вводные'!$B$234="Да",'19_Расчет_аналитики'!M3753-'19_Расчет_аналитики'!M3762,0)</f>
        <v/>
      </c>
      <c r="N3763">
        <f>IF('01_Вводные'!$B$234="Да",'19_Расчет_аналитики'!N3753-'19_Расчет_аналитики'!N3762,0)</f>
        <v/>
      </c>
      <c r="O3763">
        <f>IF('01_Вводные'!$B$234="Да",'19_Расчет_аналитики'!O3753-'19_Расчет_аналитики'!O3762,0)</f>
        <v/>
      </c>
      <c r="P3763">
        <f>IF('01_Вводные'!$B$234="Да",'19_Расчет_аналитики'!P3753-'19_Расчет_аналитики'!P3762,0)</f>
        <v/>
      </c>
      <c r="Q3763">
        <f>IF('01_Вводные'!$B$234="Да",'19_Расчет_аналитики'!Q3753-'19_Расчет_аналитики'!Q3762,0)</f>
        <v/>
      </c>
      <c r="R3763">
        <f>IF('01_Вводные'!$B$234="Да",'19_Расчет_аналитики'!R3753-'19_Расчет_аналитики'!R3762,0)</f>
        <v/>
      </c>
      <c r="S3763">
        <f>IF('01_Вводные'!$B$234="Да",'19_Расчет_аналитики'!S3753-'19_Расчет_аналитики'!S3762,0)</f>
        <v/>
      </c>
      <c r="T3763">
        <f>IF('01_Вводные'!$B$234="Да",'19_Расчет_аналитики'!T3753-'19_Расчет_аналитики'!T3762,0)</f>
        <v/>
      </c>
      <c r="U3763">
        <f>IF('01_Вводные'!$B$234="Да",'19_Расчет_аналитики'!U3753-'19_Расчет_аналитики'!U3762,0)</f>
        <v/>
      </c>
      <c r="V3763">
        <f>IF('01_Вводные'!$B$234="Да",'19_Расчет_аналитики'!V3753-'19_Расчет_аналитики'!V3762,0)</f>
        <v/>
      </c>
      <c r="W3763">
        <f>IF('01_Вводные'!$B$234="Да",'19_Расчет_аналитики'!W3753-'19_Расчет_аналитики'!W3762,0)</f>
        <v/>
      </c>
      <c r="X3763">
        <f>IF('01_Вводные'!$B$234="Да",'19_Расчет_аналитики'!X3753-'19_Расчет_аналитики'!X3762,0)</f>
        <v/>
      </c>
      <c r="Y3763">
        <f>IF('01_Вводные'!$B$234="Да",'19_Расчет_аналитики'!Y3753-'19_Расчет_аналитики'!Y3762,0)</f>
        <v/>
      </c>
      <c r="Z3763">
        <f>IF('01_Вводные'!$B$234="Да",'19_Расчет_аналитики'!Z3753-'19_Расчет_аналитики'!Z3762,0)</f>
        <v/>
      </c>
      <c r="AA3763">
        <f>IF('01_Вводные'!$B$234="Да",'19_Расчет_аналитики'!AA3753-'19_Расчет_аналитики'!AA3762,0)</f>
        <v/>
      </c>
      <c r="AB3763">
        <f>IF('01_Вводные'!$B$234="Да",'19_Расчет_аналитики'!AB3753-'19_Расчет_аналитики'!AB3762,0)</f>
        <v/>
      </c>
      <c r="AC3763">
        <f>IF('01_Вводные'!$B$234="Да",'19_Расчет_аналитики'!AC3753-'19_Расчет_аналитики'!AC3762,0)</f>
        <v/>
      </c>
      <c r="AD3763">
        <f>IF('01_Вводные'!$B$234="Да",'19_Расчет_аналитики'!AD3753-'19_Расчет_аналитики'!AD3762,0)</f>
        <v/>
      </c>
      <c r="AE3763">
        <f>IF('01_Вводные'!$B$234="Да",'19_Расчет_аналитики'!AE3753-'19_Расчет_аналитики'!AE3762,0)</f>
        <v/>
      </c>
      <c r="AF3763">
        <f>IF('01_Вводные'!$B$234="Да",'19_Расчет_аналитики'!AF3753-'19_Расчет_аналитики'!AF3762,0)</f>
        <v/>
      </c>
      <c r="AG3763">
        <f>IF('01_Вводные'!$B$234="Да",'19_Расчет_аналитики'!AG3753-'19_Расчет_аналитики'!AG3762,0)</f>
        <v/>
      </c>
      <c r="AH3763">
        <f>IF('01_Вводные'!$B$234="Да",'19_Расчет_аналитики'!AH3753-'19_Расчет_аналитики'!AH3762,0)</f>
        <v/>
      </c>
      <c r="AI3763">
        <f>IF('01_Вводные'!$B$234="Да",'19_Расчет_аналитики'!AI3753-'19_Расчет_аналитики'!AI3762,0)</f>
        <v/>
      </c>
      <c r="AJ3763">
        <f>IF('01_Вводные'!$B$234="Да",'19_Расчет_аналитики'!AJ3753-'19_Расчет_аналитики'!AJ3762,0)</f>
        <v/>
      </c>
      <c r="AK3763">
        <f>IF('01_Вводные'!$B$234="Да",'19_Расчет_аналитики'!AK3753-'19_Расчет_аналитики'!AK3762,0)</f>
        <v/>
      </c>
      <c r="AL3763">
        <f>IF('01_Вводные'!$B$234="Да",'19_Расчет_аналитики'!AL3753-'19_Расчет_аналитики'!AL3762,0)</f>
        <v/>
      </c>
      <c r="AM3763">
        <f>IF('01_Вводные'!$B$234="Да",'19_Расчет_аналитики'!AM3753-'19_Расчет_аналитики'!AM3762,0)</f>
        <v/>
      </c>
      <c r="AN3763">
        <f>IF('01_Вводные'!$B$234="Да",'19_Расчет_аналитики'!AN3753-'19_Расчет_аналитики'!AN3762,0)</f>
        <v/>
      </c>
      <c r="AO3763">
        <f>IF('01_Вводные'!$B$234="Да",'19_Расчет_аналитики'!AO3753-'19_Расчет_аналитики'!AO3762,0)</f>
        <v/>
      </c>
      <c r="AP3763">
        <f>IF('01_Вводные'!$B$234="Да",'19_Расчет_аналитики'!AP3753-'19_Расчет_аналитики'!AP3762,0)</f>
        <v/>
      </c>
      <c r="AQ3763">
        <f>IF('01_Вводные'!$B$234="Да",'19_Расчет_аналитики'!AQ3753-'19_Расчет_аналитики'!AQ3762,0)</f>
        <v/>
      </c>
      <c r="AR3763">
        <f>IF('01_Вводные'!$B$234="Да",'19_Расчет_аналитики'!AR3753-'19_Расчет_аналитики'!AR3762,0)</f>
        <v/>
      </c>
      <c r="AS3763">
        <f>IF('01_Вводные'!$B$234="Да",'19_Расчет_аналитики'!AS3753-'19_Расчет_аналитики'!AS3762,0)</f>
        <v/>
      </c>
      <c r="AT3763">
        <f>IF('01_Вводные'!$B$234="Да",'19_Расчет_аналитики'!AT3753-'19_Расчет_аналитики'!AT3762,0)</f>
        <v/>
      </c>
      <c r="AU3763">
        <f>IF('01_Вводные'!$B$234="Да",'19_Расчет_аналитики'!AU3753-'19_Расчет_аналитики'!AU3762,0)</f>
        <v/>
      </c>
      <c r="AV3763">
        <f>IF('01_Вводные'!$B$234="Да",'19_Расчет_аналитики'!AV3753-'19_Расчет_аналитики'!AV3762,0)</f>
        <v/>
      </c>
      <c r="AW3763">
        <f>IF('01_Вводные'!$B$234="Да",'19_Расчет_аналитики'!AW3753-'19_Расчет_аналитики'!AW3762,0)</f>
        <v/>
      </c>
      <c r="AX3763">
        <f>IF('01_Вводные'!$B$234="Да",'19_Расчет_аналитики'!AX3753-'19_Расчет_аналитики'!AX3762,0)</f>
        <v/>
      </c>
      <c r="AY3763">
        <f>IF('01_Вводные'!$B$234="Да",'19_Расчет_аналитики'!AY3753-'19_Расчет_аналитики'!AY3762,0)</f>
        <v/>
      </c>
      <c r="AZ3763">
        <f>IF('01_Вводные'!$B$234="Да",'19_Расчет_аналитики'!AZ3753-'19_Расчет_аналитики'!AZ3762,0)</f>
        <v/>
      </c>
      <c r="BA3763">
        <f>IF('01_Вводные'!$B$234="Да",'19_Расчет_аналитики'!BA3753-'19_Расчет_аналитики'!BA3762,0)</f>
        <v/>
      </c>
      <c r="BB3763">
        <f>IF('01_Вводные'!$B$234="Да",'19_Расчет_аналитики'!BB3753-'19_Расчет_аналитики'!BB3762,0)</f>
        <v/>
      </c>
      <c r="BC3763">
        <f>IF('01_Вводные'!$B$234="Да",'19_Расчет_аналитики'!BC3753-'19_Расчет_аналитики'!BC3762,0)</f>
        <v/>
      </c>
      <c r="BD3763">
        <f>IF('01_Вводные'!$B$234="Да",'19_Расчет_аналитики'!BD3753-'19_Расчет_аналитики'!BD3762,0)</f>
        <v/>
      </c>
      <c r="BE3763">
        <f>IF('01_Вводные'!$B$234="Да",'19_Расчет_аналитики'!BE3753-'19_Расчет_аналитики'!BE3762,0)</f>
        <v/>
      </c>
      <c r="BF3763">
        <f>IF('01_Вводные'!$B$234="Да",'19_Расчет_аналитики'!BF3753-'19_Расчет_аналитики'!BF3762,0)</f>
        <v/>
      </c>
      <c r="BG3763">
        <f>IF('01_Вводные'!$B$234="Да",'19_Расчет_аналитики'!BG3753-'19_Расчет_аналитики'!BG3762,0)</f>
        <v/>
      </c>
      <c r="BH3763">
        <f>IF('01_Вводные'!$B$234="Да",'19_Расчет_аналитики'!BH3753-'19_Расчет_аналитики'!BH3762,0)</f>
        <v/>
      </c>
      <c r="BI3763">
        <f>IF('01_Вводные'!$B$234="Да",'19_Расчет_аналитики'!BI3753-'19_Расчет_аналитики'!BI3762,0)</f>
        <v/>
      </c>
    </row>
    <row r="3764"/>
    <row r="3765"/>
    <row r="3766">
      <c r="B3766">
        <f>'02_Модель'!B36</f>
        <v/>
      </c>
      <c r="C3766">
        <f>IF('01_Вводные'!$B$234="Да",'19_Расчет_аналитики'!C3701,0)</f>
        <v/>
      </c>
      <c r="D3766">
        <f>IF('01_Вводные'!$B$234="Да",'19_Расчет_аналитики'!D3701,0)</f>
        <v/>
      </c>
      <c r="E3766">
        <f>IF('01_Вводные'!$B$234="Да",'19_Расчет_аналитики'!E3701,0)</f>
        <v/>
      </c>
      <c r="F3766">
        <f>IF('01_Вводные'!$B$234="Да",'19_Расчет_аналитики'!F3701,0)</f>
        <v/>
      </c>
      <c r="G3766">
        <f>IF('01_Вводные'!$B$234="Да",'19_Расчет_аналитики'!G3701,0)</f>
        <v/>
      </c>
      <c r="H3766">
        <f>IF('01_Вводные'!$B$234="Да",'19_Расчет_аналитики'!H3701,0)</f>
        <v/>
      </c>
      <c r="I3766">
        <f>IF('01_Вводные'!$B$234="Да",'19_Расчет_аналитики'!I3701,0)</f>
        <v/>
      </c>
      <c r="J3766">
        <f>IF('01_Вводные'!$B$234="Да",'19_Расчет_аналитики'!J3701,0)</f>
        <v/>
      </c>
      <c r="K3766">
        <f>IF('01_Вводные'!$B$234="Да",'19_Расчет_аналитики'!K3701,0)</f>
        <v/>
      </c>
      <c r="L3766">
        <f>IF('01_Вводные'!$B$234="Да",'19_Расчет_аналитики'!L3701,0)</f>
        <v/>
      </c>
      <c r="M3766">
        <f>IF('01_Вводные'!$B$234="Да",'19_Расчет_аналитики'!M3701,0)</f>
        <v/>
      </c>
      <c r="N3766">
        <f>IF('01_Вводные'!$B$234="Да",'19_Расчет_аналитики'!N3701,0)</f>
        <v/>
      </c>
      <c r="O3766">
        <f>IF('01_Вводные'!$B$234="Да",'19_Расчет_аналитики'!O3701,0)</f>
        <v/>
      </c>
      <c r="P3766">
        <f>IF('01_Вводные'!$B$234="Да",'19_Расчет_аналитики'!P3701,0)</f>
        <v/>
      </c>
      <c r="Q3766">
        <f>IF('01_Вводные'!$B$234="Да",'19_Расчет_аналитики'!Q3701,0)</f>
        <v/>
      </c>
      <c r="R3766">
        <f>IF('01_Вводные'!$B$234="Да",'19_Расчет_аналитики'!R3701,0)</f>
        <v/>
      </c>
      <c r="S3766">
        <f>IF('01_Вводные'!$B$234="Да",'19_Расчет_аналитики'!S3701,0)</f>
        <v/>
      </c>
      <c r="T3766">
        <f>IF('01_Вводные'!$B$234="Да",'19_Расчет_аналитики'!T3701,0)</f>
        <v/>
      </c>
      <c r="U3766">
        <f>IF('01_Вводные'!$B$234="Да",'19_Расчет_аналитики'!U3701,0)</f>
        <v/>
      </c>
      <c r="V3766">
        <f>IF('01_Вводные'!$B$234="Да",'19_Расчет_аналитики'!V3701,0)</f>
        <v/>
      </c>
      <c r="W3766">
        <f>IF('01_Вводные'!$B$234="Да",'19_Расчет_аналитики'!W3701,0)</f>
        <v/>
      </c>
      <c r="X3766">
        <f>IF('01_Вводные'!$B$234="Да",'19_Расчет_аналитики'!X3701,0)</f>
        <v/>
      </c>
      <c r="Y3766">
        <f>IF('01_Вводные'!$B$234="Да",'19_Расчет_аналитики'!Y3701,0)</f>
        <v/>
      </c>
      <c r="Z3766">
        <f>IF('01_Вводные'!$B$234="Да",'19_Расчет_аналитики'!Z3701,0)</f>
        <v/>
      </c>
      <c r="AA3766">
        <f>IF('01_Вводные'!$B$234="Да",'19_Расчет_аналитики'!AA3701,0)</f>
        <v/>
      </c>
      <c r="AB3766">
        <f>IF('01_Вводные'!$B$234="Да",'19_Расчет_аналитики'!AB3701,0)</f>
        <v/>
      </c>
      <c r="AC3766">
        <f>IF('01_Вводные'!$B$234="Да",'19_Расчет_аналитики'!AC3701,0)</f>
        <v/>
      </c>
      <c r="AD3766">
        <f>IF('01_Вводные'!$B$234="Да",'19_Расчет_аналитики'!AD3701,0)</f>
        <v/>
      </c>
      <c r="AE3766">
        <f>IF('01_Вводные'!$B$234="Да",'19_Расчет_аналитики'!AE3701,0)</f>
        <v/>
      </c>
      <c r="AF3766">
        <f>IF('01_Вводные'!$B$234="Да",'19_Расчет_аналитики'!AF3701,0)</f>
        <v/>
      </c>
      <c r="AG3766">
        <f>IF('01_Вводные'!$B$234="Да",'19_Расчет_аналитики'!AG3701,0)</f>
        <v/>
      </c>
      <c r="AH3766">
        <f>IF('01_Вводные'!$B$234="Да",'19_Расчет_аналитики'!AH3701,0)</f>
        <v/>
      </c>
      <c r="AI3766">
        <f>IF('01_Вводные'!$B$234="Да",'19_Расчет_аналитики'!AI3701,0)</f>
        <v/>
      </c>
      <c r="AJ3766">
        <f>IF('01_Вводные'!$B$234="Да",'19_Расчет_аналитики'!AJ3701,0)</f>
        <v/>
      </c>
      <c r="AK3766">
        <f>IF('01_Вводные'!$B$234="Да",'19_Расчет_аналитики'!AK3701,0)</f>
        <v/>
      </c>
      <c r="AL3766">
        <f>IF('01_Вводные'!$B$234="Да",'19_Расчет_аналитики'!AL3701,0)</f>
        <v/>
      </c>
      <c r="AM3766">
        <f>IF('01_Вводные'!$B$234="Да",'19_Расчет_аналитики'!AM3701,0)</f>
        <v/>
      </c>
      <c r="AN3766">
        <f>IF('01_Вводные'!$B$234="Да",'19_Расчет_аналитики'!AN3701,0)</f>
        <v/>
      </c>
      <c r="AO3766">
        <f>IF('01_Вводные'!$B$234="Да",'19_Расчет_аналитики'!AO3701,0)</f>
        <v/>
      </c>
      <c r="AP3766">
        <f>IF('01_Вводные'!$B$234="Да",'19_Расчет_аналитики'!AP3701,0)</f>
        <v/>
      </c>
      <c r="AQ3766">
        <f>IF('01_Вводные'!$B$234="Да",'19_Расчет_аналитики'!AQ3701,0)</f>
        <v/>
      </c>
      <c r="AR3766">
        <f>IF('01_Вводные'!$B$234="Да",'19_Расчет_аналитики'!AR3701,0)</f>
        <v/>
      </c>
      <c r="AS3766">
        <f>IF('01_Вводные'!$B$234="Да",'19_Расчет_аналитики'!AS3701,0)</f>
        <v/>
      </c>
      <c r="AT3766">
        <f>IF('01_Вводные'!$B$234="Да",'19_Расчет_аналитики'!AT3701,0)</f>
        <v/>
      </c>
      <c r="AU3766">
        <f>IF('01_Вводные'!$B$234="Да",'19_Расчет_аналитики'!AU3701,0)</f>
        <v/>
      </c>
      <c r="AV3766">
        <f>IF('01_Вводные'!$B$234="Да",'19_Расчет_аналитики'!AV3701,0)</f>
        <v/>
      </c>
      <c r="AW3766">
        <f>IF('01_Вводные'!$B$234="Да",'19_Расчет_аналитики'!AW3701,0)</f>
        <v/>
      </c>
      <c r="AX3766">
        <f>IF('01_Вводные'!$B$234="Да",'19_Расчет_аналитики'!AX3701,0)</f>
        <v/>
      </c>
      <c r="AY3766">
        <f>IF('01_Вводные'!$B$234="Да",'19_Расчет_аналитики'!AY3701,0)</f>
        <v/>
      </c>
      <c r="AZ3766">
        <f>IF('01_Вводные'!$B$234="Да",'19_Расчет_аналитики'!AZ3701,0)</f>
        <v/>
      </c>
      <c r="BA3766">
        <f>IF('01_Вводные'!$B$234="Да",'19_Расчет_аналитики'!BA3701,0)</f>
        <v/>
      </c>
      <c r="BB3766">
        <f>IF('01_Вводные'!$B$234="Да",'19_Расчет_аналитики'!BB3701,0)</f>
        <v/>
      </c>
      <c r="BC3766">
        <f>IF('01_Вводные'!$B$234="Да",'19_Расчет_аналитики'!BC3701,0)</f>
        <v/>
      </c>
      <c r="BD3766">
        <f>IF('01_Вводные'!$B$234="Да",'19_Расчет_аналитики'!BD3701,0)</f>
        <v/>
      </c>
      <c r="BE3766">
        <f>IF('01_Вводные'!$B$234="Да",'19_Расчет_аналитики'!BE3701,0)</f>
        <v/>
      </c>
      <c r="BF3766">
        <f>IF('01_Вводные'!$B$234="Да",'19_Расчет_аналитики'!BF3701,0)</f>
        <v/>
      </c>
      <c r="BG3766">
        <f>IF('01_Вводные'!$B$234="Да",'19_Расчет_аналитики'!BG3701,0)</f>
        <v/>
      </c>
      <c r="BH3766">
        <f>IF('01_Вводные'!$B$234="Да",'19_Расчет_аналитики'!BH3701,0)</f>
        <v/>
      </c>
      <c r="BI3766">
        <f>IF('01_Вводные'!$B$234="Да",'19_Расчет_аналитики'!BI3701,0)</f>
        <v/>
      </c>
    </row>
    <row r="3767">
      <c r="B3767">
        <f>IF('01_Вводные'!$B$234="Да",('01_Вводные'!$B$105+(MAX(0,'06_Сеть_и_дети'!B11-'01_Вводные'!$B$106)+'19_Расчет_аналитики'!B3435)*'01_Вводные'!$B$107)*'18_Календарь_тарифы'!B4,0)</f>
        <v/>
      </c>
      <c r="C3767">
        <f>IF('01_Вводные'!$B$234="Да",('01_Вводные'!$B$105+(MAX(0,'06_Сеть_и_дети'!C11-'01_Вводные'!$B$106)+'19_Расчет_аналитики'!C3435)*'01_Вводные'!$B$107)*'18_Календарь_тарифы'!C4,0)</f>
        <v/>
      </c>
      <c r="D3767">
        <f>IF('01_Вводные'!$B$234="Да",('01_Вводные'!$B$105+(MAX(0,'06_Сеть_и_дети'!D11-'01_Вводные'!$B$106)+'19_Расчет_аналитики'!D3435)*'01_Вводные'!$B$107)*'18_Календарь_тарифы'!D4,0)</f>
        <v/>
      </c>
      <c r="E3767">
        <f>IF('01_Вводные'!$B$234="Да",('01_Вводные'!$B$105+(MAX(0,'06_Сеть_и_дети'!E11-'01_Вводные'!$B$106)+'19_Расчет_аналитики'!E3435)*'01_Вводные'!$B$107)*'18_Календарь_тарифы'!E4,0)</f>
        <v/>
      </c>
      <c r="F3767">
        <f>IF('01_Вводные'!$B$234="Да",('01_Вводные'!$B$105+(MAX(0,'06_Сеть_и_дети'!F11-'01_Вводные'!$B$106)+'19_Расчет_аналитики'!F3435)*'01_Вводные'!$B$107)*'18_Календарь_тарифы'!F4,0)</f>
        <v/>
      </c>
      <c r="G3767">
        <f>IF('01_Вводные'!$B$234="Да",('01_Вводные'!$B$105+(MAX(0,'06_Сеть_и_дети'!G11-'01_Вводные'!$B$106)+'19_Расчет_аналитики'!G3435)*'01_Вводные'!$B$107)*'18_Календарь_тарифы'!G4,0)</f>
        <v/>
      </c>
      <c r="H3767">
        <f>IF('01_Вводные'!$B$234="Да",('01_Вводные'!$B$105+(MAX(0,'06_Сеть_и_дети'!H11-'01_Вводные'!$B$106)+'19_Расчет_аналитики'!H3435)*'01_Вводные'!$B$107)*'18_Календарь_тарифы'!H4,0)</f>
        <v/>
      </c>
      <c r="I3767">
        <f>IF('01_Вводные'!$B$234="Да",('01_Вводные'!$B$105+(MAX(0,'06_Сеть_и_дети'!I11-'01_Вводные'!$B$106)+'19_Расчет_аналитики'!I3435)*'01_Вводные'!$B$107)*'18_Календарь_тарифы'!I4,0)</f>
        <v/>
      </c>
      <c r="J3767">
        <f>IF('01_Вводные'!$B$234="Да",('01_Вводные'!$B$105+(MAX(0,'06_Сеть_и_дети'!J11-'01_Вводные'!$B$106)+'19_Расчет_аналитики'!J3435)*'01_Вводные'!$B$107)*'18_Календарь_тарифы'!J4,0)</f>
        <v/>
      </c>
      <c r="K3767">
        <f>IF('01_Вводные'!$B$234="Да",('01_Вводные'!$B$105+(MAX(0,'06_Сеть_и_дети'!K11-'01_Вводные'!$B$106)+'19_Расчет_аналитики'!K3435)*'01_Вводные'!$B$107)*'18_Календарь_тарифы'!K4,0)</f>
        <v/>
      </c>
      <c r="L3767">
        <f>IF('01_Вводные'!$B$234="Да",('01_Вводные'!$B$105+(MAX(0,'06_Сеть_и_дети'!L11-'01_Вводные'!$B$106)+'19_Расчет_аналитики'!L3435)*'01_Вводные'!$B$107)*'18_Календарь_тарифы'!L4,0)</f>
        <v/>
      </c>
      <c r="M3767">
        <f>IF('01_Вводные'!$B$234="Да",('01_Вводные'!$B$105+(MAX(0,'06_Сеть_и_дети'!M11-'01_Вводные'!$B$106)+'19_Расчет_аналитики'!M3435)*'01_Вводные'!$B$107)*'18_Календарь_тарифы'!M4,0)</f>
        <v/>
      </c>
      <c r="N3767">
        <f>IF('01_Вводные'!$B$234="Да",('01_Вводные'!$B$105+(MAX(0,'06_Сеть_и_дети'!N11-'01_Вводные'!$B$106)+'19_Расчет_аналитики'!N3435)*'01_Вводные'!$B$107)*'18_Календарь_тарифы'!N4,0)</f>
        <v/>
      </c>
      <c r="O3767">
        <f>IF('01_Вводные'!$B$234="Да",('01_Вводные'!$B$105+(MAX(0,'06_Сеть_и_дети'!O11-'01_Вводные'!$B$106)+'19_Расчет_аналитики'!O3435)*'01_Вводные'!$B$107)*'18_Календарь_тарифы'!O4,0)</f>
        <v/>
      </c>
      <c r="P3767">
        <f>IF('01_Вводные'!$B$234="Да",('01_Вводные'!$B$105+(MAX(0,'06_Сеть_и_дети'!P11-'01_Вводные'!$B$106)+'19_Расчет_аналитики'!P3435)*'01_Вводные'!$B$107)*'18_Календарь_тарифы'!P4,0)</f>
        <v/>
      </c>
      <c r="Q3767">
        <f>IF('01_Вводные'!$B$234="Да",('01_Вводные'!$B$105+(MAX(0,'06_Сеть_и_дети'!Q11-'01_Вводные'!$B$106)+'19_Расчет_аналитики'!Q3435)*'01_Вводные'!$B$107)*'18_Календарь_тарифы'!Q4,0)</f>
        <v/>
      </c>
      <c r="R3767">
        <f>IF('01_Вводные'!$B$234="Да",('01_Вводные'!$B$105+(MAX(0,'06_Сеть_и_дети'!R11-'01_Вводные'!$B$106)+'19_Расчет_аналитики'!R3435)*'01_Вводные'!$B$107)*'18_Календарь_тарифы'!R4,0)</f>
        <v/>
      </c>
      <c r="S3767">
        <f>IF('01_Вводные'!$B$234="Да",('01_Вводные'!$B$105+(MAX(0,'06_Сеть_и_дети'!S11-'01_Вводные'!$B$106)+'19_Расчет_аналитики'!S3435)*'01_Вводные'!$B$107)*'18_Календарь_тарифы'!S4,0)</f>
        <v/>
      </c>
      <c r="T3767">
        <f>IF('01_Вводные'!$B$234="Да",('01_Вводные'!$B$105+(MAX(0,'06_Сеть_и_дети'!T11-'01_Вводные'!$B$106)+'19_Расчет_аналитики'!T3435)*'01_Вводные'!$B$107)*'18_Календарь_тарифы'!T4,0)</f>
        <v/>
      </c>
      <c r="U3767">
        <f>IF('01_Вводные'!$B$234="Да",('01_Вводные'!$B$105+(MAX(0,'06_Сеть_и_дети'!U11-'01_Вводные'!$B$106)+'19_Расчет_аналитики'!U3435)*'01_Вводные'!$B$107)*'18_Календарь_тарифы'!U4,0)</f>
        <v/>
      </c>
      <c r="V3767">
        <f>IF('01_Вводные'!$B$234="Да",('01_Вводные'!$B$105+(MAX(0,'06_Сеть_и_дети'!V11-'01_Вводные'!$B$106)+'19_Расчет_аналитики'!V3435)*'01_Вводные'!$B$107)*'18_Календарь_тарифы'!V4,0)</f>
        <v/>
      </c>
      <c r="W3767">
        <f>IF('01_Вводные'!$B$234="Да",('01_Вводные'!$B$105+(MAX(0,'06_Сеть_и_дети'!W11-'01_Вводные'!$B$106)+'19_Расчет_аналитики'!W3435)*'01_Вводные'!$B$107)*'18_Календарь_тарифы'!W4,0)</f>
        <v/>
      </c>
      <c r="X3767">
        <f>IF('01_Вводные'!$B$234="Да",('01_Вводные'!$B$105+(MAX(0,'06_Сеть_и_дети'!X11-'01_Вводные'!$B$106)+'19_Расчет_аналитики'!X3435)*'01_Вводные'!$B$107)*'18_Календарь_тарифы'!X4,0)</f>
        <v/>
      </c>
      <c r="Y3767">
        <f>IF('01_Вводные'!$B$234="Да",('01_Вводные'!$B$105+(MAX(0,'06_Сеть_и_дети'!Y11-'01_Вводные'!$B$106)+'19_Расчет_аналитики'!Y3435)*'01_Вводные'!$B$107)*'18_Календарь_тарифы'!Y4,0)</f>
        <v/>
      </c>
      <c r="Z3767">
        <f>IF('01_Вводные'!$B$234="Да",('01_Вводные'!$B$105+(MAX(0,'06_Сеть_и_дети'!Z11-'01_Вводные'!$B$106)+'19_Расчет_аналитики'!Z3435)*'01_Вводные'!$B$107)*'18_Календарь_тарифы'!Z4,0)</f>
        <v/>
      </c>
      <c r="AA3767">
        <f>IF('01_Вводные'!$B$234="Да",('01_Вводные'!$B$105+(MAX(0,'06_Сеть_и_дети'!AA11-'01_Вводные'!$B$106)+'19_Расчет_аналитики'!AA3435)*'01_Вводные'!$B$107)*'18_Календарь_тарифы'!AA4,0)</f>
        <v/>
      </c>
      <c r="AB3767">
        <f>IF('01_Вводные'!$B$234="Да",('01_Вводные'!$B$105+(MAX(0,'06_Сеть_и_дети'!AB11-'01_Вводные'!$B$106)+'19_Расчет_аналитики'!AB3435)*'01_Вводные'!$B$107)*'18_Календарь_тарифы'!AB4,0)</f>
        <v/>
      </c>
      <c r="AC3767">
        <f>IF('01_Вводные'!$B$234="Да",('01_Вводные'!$B$105+(MAX(0,'06_Сеть_и_дети'!AC11-'01_Вводные'!$B$106)+'19_Расчет_аналитики'!AC3435)*'01_Вводные'!$B$107)*'18_Календарь_тарифы'!AC4,0)</f>
        <v/>
      </c>
      <c r="AD3767">
        <f>IF('01_Вводные'!$B$234="Да",('01_Вводные'!$B$105+(MAX(0,'06_Сеть_и_дети'!AD11-'01_Вводные'!$B$106)+'19_Расчет_аналитики'!AD3435)*'01_Вводные'!$B$107)*'18_Календарь_тарифы'!AD4,0)</f>
        <v/>
      </c>
      <c r="AE3767">
        <f>IF('01_Вводные'!$B$234="Да",('01_Вводные'!$B$105+(MAX(0,'06_Сеть_и_дети'!AE11-'01_Вводные'!$B$106)+'19_Расчет_аналитики'!AE3435)*'01_Вводные'!$B$107)*'18_Календарь_тарифы'!AE4,0)</f>
        <v/>
      </c>
      <c r="AF3767">
        <f>IF('01_Вводные'!$B$234="Да",('01_Вводные'!$B$105+(MAX(0,'06_Сеть_и_дети'!AF11-'01_Вводные'!$B$106)+'19_Расчет_аналитики'!AF3435)*'01_Вводные'!$B$107)*'18_Календарь_тарифы'!AF4,0)</f>
        <v/>
      </c>
      <c r="AG3767">
        <f>IF('01_Вводные'!$B$234="Да",('01_Вводные'!$B$105+(MAX(0,'06_Сеть_и_дети'!AG11-'01_Вводные'!$B$106)+'19_Расчет_аналитики'!AG3435)*'01_Вводные'!$B$107)*'18_Календарь_тарифы'!AG4,0)</f>
        <v/>
      </c>
      <c r="AH3767">
        <f>IF('01_Вводные'!$B$234="Да",('01_Вводные'!$B$105+(MAX(0,'06_Сеть_и_дети'!AH11-'01_Вводные'!$B$106)+'19_Расчет_аналитики'!AH3435)*'01_Вводные'!$B$107)*'18_Календарь_тарифы'!AH4,0)</f>
        <v/>
      </c>
      <c r="AI3767">
        <f>IF('01_Вводные'!$B$234="Да",('01_Вводные'!$B$105+(MAX(0,'06_Сеть_и_дети'!AI11-'01_Вводные'!$B$106)+'19_Расчет_аналитики'!AI3435)*'01_Вводные'!$B$107)*'18_Календарь_тарифы'!AI4,0)</f>
        <v/>
      </c>
      <c r="AJ3767">
        <f>IF('01_Вводные'!$B$234="Да",('01_Вводные'!$B$105+(MAX(0,'06_Сеть_и_дети'!AJ11-'01_Вводные'!$B$106)+'19_Расчет_аналитики'!AJ3435)*'01_Вводные'!$B$107)*'18_Календарь_тарифы'!AJ4,0)</f>
        <v/>
      </c>
      <c r="AK3767">
        <f>IF('01_Вводные'!$B$234="Да",('01_Вводные'!$B$105+(MAX(0,'06_Сеть_и_дети'!AK11-'01_Вводные'!$B$106)+'19_Расчет_аналитики'!AK3435)*'01_Вводные'!$B$107)*'18_Календарь_тарифы'!AK4,0)</f>
        <v/>
      </c>
      <c r="AL3767">
        <f>IF('01_Вводные'!$B$234="Да",('01_Вводные'!$B$105+(MAX(0,'06_Сеть_и_дети'!AL11-'01_Вводные'!$B$106)+'19_Расчет_аналитики'!AL3435)*'01_Вводные'!$B$107)*'18_Календарь_тарифы'!AL4,0)</f>
        <v/>
      </c>
      <c r="AM3767">
        <f>IF('01_Вводные'!$B$234="Да",('01_Вводные'!$B$105+(MAX(0,'06_Сеть_и_дети'!AM11-'01_Вводные'!$B$106)+'19_Расчет_аналитики'!AM3435)*'01_Вводные'!$B$107)*'18_Календарь_тарифы'!AM4,0)</f>
        <v/>
      </c>
      <c r="AN3767">
        <f>IF('01_Вводные'!$B$234="Да",('01_Вводные'!$B$105+(MAX(0,'06_Сеть_и_дети'!AN11-'01_Вводные'!$B$106)+'19_Расчет_аналитики'!AN3435)*'01_Вводные'!$B$107)*'18_Календарь_тарифы'!AN4,0)</f>
        <v/>
      </c>
      <c r="AO3767">
        <f>IF('01_Вводные'!$B$234="Да",('01_Вводные'!$B$105+(MAX(0,'06_Сеть_и_дети'!AO11-'01_Вводные'!$B$106)+'19_Расчет_аналитики'!AO3435)*'01_Вводные'!$B$107)*'18_Календарь_тарифы'!AO4,0)</f>
        <v/>
      </c>
      <c r="AP3767">
        <f>IF('01_Вводные'!$B$234="Да",('01_Вводные'!$B$105+(MAX(0,'06_Сеть_и_дети'!AP11-'01_Вводные'!$B$106)+'19_Расчет_аналитики'!AP3435)*'01_Вводные'!$B$107)*'18_Календарь_тарифы'!AP4,0)</f>
        <v/>
      </c>
      <c r="AQ3767">
        <f>IF('01_Вводные'!$B$234="Да",('01_Вводные'!$B$105+(MAX(0,'06_Сеть_и_дети'!AQ11-'01_Вводные'!$B$106)+'19_Расчет_аналитики'!AQ3435)*'01_Вводные'!$B$107)*'18_Календарь_тарифы'!AQ4,0)</f>
        <v/>
      </c>
      <c r="AR3767">
        <f>IF('01_Вводные'!$B$234="Да",('01_Вводные'!$B$105+(MAX(0,'06_Сеть_и_дети'!AR11-'01_Вводные'!$B$106)+'19_Расчет_аналитики'!AR3435)*'01_Вводные'!$B$107)*'18_Календарь_тарифы'!AR4,0)</f>
        <v/>
      </c>
      <c r="AS3767">
        <f>IF('01_Вводные'!$B$234="Да",('01_Вводные'!$B$105+(MAX(0,'06_Сеть_и_дети'!AS11-'01_Вводные'!$B$106)+'19_Расчет_аналитики'!AS3435)*'01_Вводные'!$B$107)*'18_Календарь_тарифы'!AS4,0)</f>
        <v/>
      </c>
      <c r="AT3767">
        <f>IF('01_Вводные'!$B$234="Да",('01_Вводные'!$B$105+(MAX(0,'06_Сеть_и_дети'!AT11-'01_Вводные'!$B$106)+'19_Расчет_аналитики'!AT3435)*'01_Вводные'!$B$107)*'18_Календарь_тарифы'!AT4,0)</f>
        <v/>
      </c>
      <c r="AU3767">
        <f>IF('01_Вводные'!$B$234="Да",('01_Вводные'!$B$105+(MAX(0,'06_Сеть_и_дети'!AU11-'01_Вводные'!$B$106)+'19_Расчет_аналитики'!AU3435)*'01_Вводные'!$B$107)*'18_Календарь_тарифы'!AU4,0)</f>
        <v/>
      </c>
      <c r="AV3767">
        <f>IF('01_Вводные'!$B$234="Да",('01_Вводные'!$B$105+(MAX(0,'06_Сеть_и_дети'!AV11-'01_Вводные'!$B$106)+'19_Расчет_аналитики'!AV3435)*'01_Вводные'!$B$107)*'18_Календарь_тарифы'!AV4,0)</f>
        <v/>
      </c>
      <c r="AW3767">
        <f>IF('01_Вводные'!$B$234="Да",('01_Вводные'!$B$105+(MAX(0,'06_Сеть_и_дети'!AW11-'01_Вводные'!$B$106)+'19_Расчет_аналитики'!AW3435)*'01_Вводные'!$B$107)*'18_Календарь_тарифы'!AW4,0)</f>
        <v/>
      </c>
      <c r="AX3767">
        <f>IF('01_Вводные'!$B$234="Да",('01_Вводные'!$B$105+(MAX(0,'06_Сеть_и_дети'!AX11-'01_Вводные'!$B$106)+'19_Расчет_аналитики'!AX3435)*'01_Вводные'!$B$107)*'18_Календарь_тарифы'!AX4,0)</f>
        <v/>
      </c>
      <c r="AY3767">
        <f>IF('01_Вводные'!$B$234="Да",('01_Вводные'!$B$105+(MAX(0,'06_Сеть_и_дети'!AY11-'01_Вводные'!$B$106)+'19_Расчет_аналитики'!AY3435)*'01_Вводные'!$B$107)*'18_Календарь_тарифы'!AY4,0)</f>
        <v/>
      </c>
      <c r="AZ3767">
        <f>IF('01_Вводные'!$B$234="Да",('01_Вводные'!$B$105+(MAX(0,'06_Сеть_и_дети'!AZ11-'01_Вводные'!$B$106)+'19_Расчет_аналитики'!AZ3435)*'01_Вводные'!$B$107)*'18_Календарь_тарифы'!AZ4,0)</f>
        <v/>
      </c>
      <c r="BA3767">
        <f>IF('01_Вводные'!$B$234="Да",('01_Вводные'!$B$105+(MAX(0,'06_Сеть_и_дети'!BA11-'01_Вводные'!$B$106)+'19_Расчет_аналитики'!BA3435)*'01_Вводные'!$B$107)*'18_Календарь_тарифы'!BA4,0)</f>
        <v/>
      </c>
      <c r="BB3767">
        <f>IF('01_Вводные'!$B$234="Да",('01_Вводные'!$B$105+(MAX(0,'06_Сеть_и_дети'!BB11-'01_Вводные'!$B$106)+'19_Расчет_аналитики'!BB3435)*'01_Вводные'!$B$107)*'18_Календарь_тарифы'!BB4,0)</f>
        <v/>
      </c>
      <c r="BC3767">
        <f>IF('01_Вводные'!$B$234="Да",('01_Вводные'!$B$105+(MAX(0,'06_Сеть_и_дети'!BC11-'01_Вводные'!$B$106)+'19_Расчет_аналитики'!BC3435)*'01_Вводные'!$B$107)*'18_Календарь_тарифы'!BC4,0)</f>
        <v/>
      </c>
      <c r="BD3767">
        <f>IF('01_Вводные'!$B$234="Да",('01_Вводные'!$B$105+(MAX(0,'06_Сеть_и_дети'!BD11-'01_Вводные'!$B$106)+'19_Расчет_аналитики'!BD3435)*'01_Вводные'!$B$107)*'18_Календарь_тарифы'!BD4,0)</f>
        <v/>
      </c>
      <c r="BE3767">
        <f>IF('01_Вводные'!$B$234="Да",('01_Вводные'!$B$105+(MAX(0,'06_Сеть_и_дети'!BE11-'01_Вводные'!$B$106)+'19_Расчет_аналитики'!BE3435)*'01_Вводные'!$B$107)*'18_Календарь_тарифы'!BE4,0)</f>
        <v/>
      </c>
      <c r="BF3767">
        <f>IF('01_Вводные'!$B$234="Да",('01_Вводные'!$B$105+(MAX(0,'06_Сеть_и_дети'!BF11-'01_Вводные'!$B$106)+'19_Расчет_аналитики'!BF3435)*'01_Вводные'!$B$107)*'18_Календарь_тарифы'!BF4,0)</f>
        <v/>
      </c>
      <c r="BG3767">
        <f>IF('01_Вводные'!$B$234="Да",('01_Вводные'!$B$105+(MAX(0,'06_Сеть_и_дети'!BG11-'01_Вводные'!$B$106)+'19_Расчет_аналитики'!BG3435)*'01_Вводные'!$B$107)*'18_Календарь_тарифы'!BG4,0)</f>
        <v/>
      </c>
      <c r="BH3767">
        <f>IF('01_Вводные'!$B$234="Да",('01_Вводные'!$B$105+(MAX(0,'06_Сеть_и_дети'!BH11-'01_Вводные'!$B$106)+'19_Расчет_аналитики'!BH3435)*'01_Вводные'!$B$107)*'18_Календарь_тарифы'!BH4,0)</f>
        <v/>
      </c>
      <c r="BI3767">
        <f>IF('01_Вводные'!$B$234="Да",('01_Вводные'!$B$105+(MAX(0,'06_Сеть_и_дети'!BI11-'01_Вводные'!$B$106)+'19_Расчет_аналитики'!BI3435)*'01_Вводные'!$B$107)*'18_Календарь_тарифы'!BI4,0)</f>
        <v/>
      </c>
    </row>
    <row r="3768">
      <c r="B3768">
        <f>'02_Модель'!B38</f>
        <v/>
      </c>
      <c r="C3768">
        <f>'02_Модель'!C38</f>
        <v/>
      </c>
      <c r="D3768">
        <f>'02_Модель'!D38</f>
        <v/>
      </c>
      <c r="E3768">
        <f>'02_Модель'!E38</f>
        <v/>
      </c>
      <c r="F3768">
        <f>'02_Модель'!F38</f>
        <v/>
      </c>
      <c r="G3768">
        <f>'02_Модель'!G38</f>
        <v/>
      </c>
      <c r="H3768">
        <f>'02_Модель'!H38</f>
        <v/>
      </c>
      <c r="I3768">
        <f>'02_Модель'!I38</f>
        <v/>
      </c>
      <c r="J3768">
        <f>'02_Модель'!J38</f>
        <v/>
      </c>
      <c r="K3768">
        <f>'02_Модель'!K38</f>
        <v/>
      </c>
      <c r="L3768">
        <f>'02_Модель'!L38</f>
        <v/>
      </c>
      <c r="M3768">
        <f>'02_Модель'!M38</f>
        <v/>
      </c>
      <c r="N3768">
        <f>'02_Модель'!N38</f>
        <v/>
      </c>
      <c r="O3768">
        <f>'02_Модель'!O38</f>
        <v/>
      </c>
      <c r="P3768">
        <f>'02_Модель'!P38</f>
        <v/>
      </c>
      <c r="Q3768">
        <f>'02_Модель'!Q38</f>
        <v/>
      </c>
      <c r="R3768">
        <f>'02_Модель'!R38</f>
        <v/>
      </c>
      <c r="S3768">
        <f>'02_Модель'!S38</f>
        <v/>
      </c>
      <c r="T3768">
        <f>'02_Модель'!T38</f>
        <v/>
      </c>
      <c r="U3768">
        <f>'02_Модель'!U38</f>
        <v/>
      </c>
      <c r="V3768">
        <f>'02_Модель'!V38</f>
        <v/>
      </c>
      <c r="W3768">
        <f>'02_Модель'!W38</f>
        <v/>
      </c>
      <c r="X3768">
        <f>'02_Модель'!X38</f>
        <v/>
      </c>
      <c r="Y3768">
        <f>'02_Модель'!Y38</f>
        <v/>
      </c>
      <c r="Z3768">
        <f>'02_Модель'!Z38</f>
        <v/>
      </c>
      <c r="AA3768">
        <f>'02_Модель'!AA38</f>
        <v/>
      </c>
      <c r="AB3768">
        <f>'02_Модель'!AB38</f>
        <v/>
      </c>
      <c r="AC3768">
        <f>'02_Модель'!AC38</f>
        <v/>
      </c>
      <c r="AD3768">
        <f>'02_Модель'!AD38</f>
        <v/>
      </c>
      <c r="AE3768">
        <f>'02_Модель'!AE38</f>
        <v/>
      </c>
      <c r="AF3768">
        <f>'02_Модель'!AF38</f>
        <v/>
      </c>
      <c r="AG3768">
        <f>'02_Модель'!AG38</f>
        <v/>
      </c>
      <c r="AH3768">
        <f>'02_Модель'!AH38</f>
        <v/>
      </c>
      <c r="AI3768">
        <f>'02_Модель'!AI38</f>
        <v/>
      </c>
      <c r="AJ3768">
        <f>'02_Модель'!AJ38</f>
        <v/>
      </c>
      <c r="AK3768">
        <f>'02_Модель'!AK38</f>
        <v/>
      </c>
      <c r="AL3768">
        <f>'02_Модель'!AL38</f>
        <v/>
      </c>
      <c r="AM3768">
        <f>'02_Модель'!AM38</f>
        <v/>
      </c>
      <c r="AN3768">
        <f>'02_Модель'!AN38</f>
        <v/>
      </c>
      <c r="AO3768">
        <f>'02_Модель'!AO38</f>
        <v/>
      </c>
      <c r="AP3768">
        <f>'02_Модель'!AP38</f>
        <v/>
      </c>
      <c r="AQ3768">
        <f>'02_Модель'!AQ38</f>
        <v/>
      </c>
      <c r="AR3768">
        <f>'02_Модель'!AR38</f>
        <v/>
      </c>
      <c r="AS3768">
        <f>'02_Модель'!AS38</f>
        <v/>
      </c>
      <c r="AT3768">
        <f>'02_Модель'!AT38</f>
        <v/>
      </c>
      <c r="AU3768">
        <f>'02_Модель'!AU38</f>
        <v/>
      </c>
      <c r="AV3768">
        <f>'02_Модель'!AV38</f>
        <v/>
      </c>
      <c r="AW3768">
        <f>'02_Модель'!AW38</f>
        <v/>
      </c>
      <c r="AX3768">
        <f>'02_Модель'!AX38</f>
        <v/>
      </c>
      <c r="AY3768">
        <f>'02_Модель'!AY38</f>
        <v/>
      </c>
      <c r="AZ3768">
        <f>'02_Модель'!AZ38</f>
        <v/>
      </c>
      <c r="BA3768">
        <f>'02_Модель'!BA38</f>
        <v/>
      </c>
      <c r="BB3768">
        <f>'02_Модель'!BB38</f>
        <v/>
      </c>
      <c r="BC3768">
        <f>'02_Модель'!BC38</f>
        <v/>
      </c>
      <c r="BD3768">
        <f>'02_Модель'!BD38</f>
        <v/>
      </c>
      <c r="BE3768">
        <f>'02_Модель'!BE38</f>
        <v/>
      </c>
      <c r="BF3768">
        <f>'02_Модель'!BF38</f>
        <v/>
      </c>
      <c r="BG3768">
        <f>'02_Модель'!BG38</f>
        <v/>
      </c>
      <c r="BH3768">
        <f>'02_Модель'!BH38</f>
        <v/>
      </c>
      <c r="BI3768">
        <f>'02_Модель'!BI38</f>
        <v/>
      </c>
    </row>
    <row r="3769">
      <c r="B3769">
        <f>'02_Модель'!B39</f>
        <v/>
      </c>
      <c r="C3769">
        <f>'02_Модель'!C39</f>
        <v/>
      </c>
      <c r="D3769">
        <f>'02_Модель'!D39</f>
        <v/>
      </c>
      <c r="E3769">
        <f>'02_Модель'!E39</f>
        <v/>
      </c>
      <c r="F3769">
        <f>'02_Модель'!F39</f>
        <v/>
      </c>
      <c r="G3769">
        <f>'02_Модель'!G39</f>
        <v/>
      </c>
      <c r="H3769">
        <f>'02_Модель'!H39</f>
        <v/>
      </c>
      <c r="I3769">
        <f>'02_Модель'!I39</f>
        <v/>
      </c>
      <c r="J3769">
        <f>'02_Модель'!J39</f>
        <v/>
      </c>
      <c r="K3769">
        <f>'02_Модель'!K39</f>
        <v/>
      </c>
      <c r="L3769">
        <f>'02_Модель'!L39</f>
        <v/>
      </c>
      <c r="M3769">
        <f>'02_Модель'!M39</f>
        <v/>
      </c>
      <c r="N3769">
        <f>'02_Модель'!N39</f>
        <v/>
      </c>
      <c r="O3769">
        <f>'02_Модель'!O39</f>
        <v/>
      </c>
      <c r="P3769">
        <f>'02_Модель'!P39</f>
        <v/>
      </c>
      <c r="Q3769">
        <f>'02_Модель'!Q39</f>
        <v/>
      </c>
      <c r="R3769">
        <f>'02_Модель'!R39</f>
        <v/>
      </c>
      <c r="S3769">
        <f>'02_Модель'!S39</f>
        <v/>
      </c>
      <c r="T3769">
        <f>'02_Модель'!T39</f>
        <v/>
      </c>
      <c r="U3769">
        <f>'02_Модель'!U39</f>
        <v/>
      </c>
      <c r="V3769">
        <f>'02_Модель'!V39</f>
        <v/>
      </c>
      <c r="W3769">
        <f>'02_Модель'!W39</f>
        <v/>
      </c>
      <c r="X3769">
        <f>'02_Модель'!X39</f>
        <v/>
      </c>
      <c r="Y3769">
        <f>'02_Модель'!Y39</f>
        <v/>
      </c>
      <c r="Z3769">
        <f>'02_Модель'!Z39</f>
        <v/>
      </c>
      <c r="AA3769">
        <f>'02_Модель'!AA39</f>
        <v/>
      </c>
      <c r="AB3769">
        <f>'02_Модель'!AB39</f>
        <v/>
      </c>
      <c r="AC3769">
        <f>'02_Модель'!AC39</f>
        <v/>
      </c>
      <c r="AD3769">
        <f>'02_Модель'!AD39</f>
        <v/>
      </c>
      <c r="AE3769">
        <f>'02_Модель'!AE39</f>
        <v/>
      </c>
      <c r="AF3769">
        <f>'02_Модель'!AF39</f>
        <v/>
      </c>
      <c r="AG3769">
        <f>'02_Модель'!AG39</f>
        <v/>
      </c>
      <c r="AH3769">
        <f>'02_Модель'!AH39</f>
        <v/>
      </c>
      <c r="AI3769">
        <f>'02_Модель'!AI39</f>
        <v/>
      </c>
      <c r="AJ3769">
        <f>'02_Модель'!AJ39</f>
        <v/>
      </c>
      <c r="AK3769">
        <f>'02_Модель'!AK39</f>
        <v/>
      </c>
      <c r="AL3769">
        <f>'02_Модель'!AL39</f>
        <v/>
      </c>
      <c r="AM3769">
        <f>'02_Модель'!AM39</f>
        <v/>
      </c>
      <c r="AN3769">
        <f>'02_Модель'!AN39</f>
        <v/>
      </c>
      <c r="AO3769">
        <f>'02_Модель'!AO39</f>
        <v/>
      </c>
      <c r="AP3769">
        <f>'02_Модель'!AP39</f>
        <v/>
      </c>
      <c r="AQ3769">
        <f>'02_Модель'!AQ39</f>
        <v/>
      </c>
      <c r="AR3769">
        <f>'02_Модель'!AR39</f>
        <v/>
      </c>
      <c r="AS3769">
        <f>'02_Модель'!AS39</f>
        <v/>
      </c>
      <c r="AT3769">
        <f>'02_Модель'!AT39</f>
        <v/>
      </c>
      <c r="AU3769">
        <f>'02_Модель'!AU39</f>
        <v/>
      </c>
      <c r="AV3769">
        <f>'02_Модель'!AV39</f>
        <v/>
      </c>
      <c r="AW3769">
        <f>'02_Модель'!AW39</f>
        <v/>
      </c>
      <c r="AX3769">
        <f>'02_Модель'!AX39</f>
        <v/>
      </c>
      <c r="AY3769">
        <f>'02_Модель'!AY39</f>
        <v/>
      </c>
      <c r="AZ3769">
        <f>'02_Модель'!AZ39</f>
        <v/>
      </c>
      <c r="BA3769">
        <f>'02_Модель'!BA39</f>
        <v/>
      </c>
      <c r="BB3769">
        <f>'02_Модель'!BB39</f>
        <v/>
      </c>
      <c r="BC3769">
        <f>'02_Модель'!BC39</f>
        <v/>
      </c>
      <c r="BD3769">
        <f>'02_Модель'!BD39</f>
        <v/>
      </c>
      <c r="BE3769">
        <f>'02_Модель'!BE39</f>
        <v/>
      </c>
      <c r="BF3769">
        <f>'02_Модель'!BF39</f>
        <v/>
      </c>
      <c r="BG3769">
        <f>'02_Модель'!BG39</f>
        <v/>
      </c>
      <c r="BH3769">
        <f>'02_Модель'!BH39</f>
        <v/>
      </c>
      <c r="BI3769">
        <f>'02_Модель'!BI39</f>
        <v/>
      </c>
    </row>
    <row r="3770">
      <c r="B3770">
        <f>'02_Модель'!B40</f>
        <v/>
      </c>
      <c r="C3770">
        <f>'02_Модель'!C40</f>
        <v/>
      </c>
      <c r="D3770">
        <f>'02_Модель'!D40</f>
        <v/>
      </c>
      <c r="E3770">
        <f>'02_Модель'!E40</f>
        <v/>
      </c>
      <c r="F3770">
        <f>'02_Модель'!F40</f>
        <v/>
      </c>
      <c r="G3770">
        <f>'02_Модель'!G40</f>
        <v/>
      </c>
      <c r="H3770">
        <f>'02_Модель'!H40</f>
        <v/>
      </c>
      <c r="I3770">
        <f>'02_Модель'!I40</f>
        <v/>
      </c>
      <c r="J3770">
        <f>'02_Модель'!J40</f>
        <v/>
      </c>
      <c r="K3770">
        <f>'02_Модель'!K40</f>
        <v/>
      </c>
      <c r="L3770">
        <f>'02_Модель'!L40</f>
        <v/>
      </c>
      <c r="M3770">
        <f>'02_Модель'!M40</f>
        <v/>
      </c>
      <c r="N3770">
        <f>'02_Модель'!N40</f>
        <v/>
      </c>
      <c r="O3770">
        <f>'02_Модель'!O40</f>
        <v/>
      </c>
      <c r="P3770">
        <f>'02_Модель'!P40</f>
        <v/>
      </c>
      <c r="Q3770">
        <f>'02_Модель'!Q40</f>
        <v/>
      </c>
      <c r="R3770">
        <f>'02_Модель'!R40</f>
        <v/>
      </c>
      <c r="S3770">
        <f>'02_Модель'!S40</f>
        <v/>
      </c>
      <c r="T3770">
        <f>'02_Модель'!T40</f>
        <v/>
      </c>
      <c r="U3770">
        <f>'02_Модель'!U40</f>
        <v/>
      </c>
      <c r="V3770">
        <f>'02_Модель'!V40</f>
        <v/>
      </c>
      <c r="W3770">
        <f>'02_Модель'!W40</f>
        <v/>
      </c>
      <c r="X3770">
        <f>'02_Модель'!X40</f>
        <v/>
      </c>
      <c r="Y3770">
        <f>'02_Модель'!Y40</f>
        <v/>
      </c>
      <c r="Z3770">
        <f>'02_Модель'!Z40</f>
        <v/>
      </c>
      <c r="AA3770">
        <f>'02_Модель'!AA40</f>
        <v/>
      </c>
      <c r="AB3770">
        <f>'02_Модель'!AB40</f>
        <v/>
      </c>
      <c r="AC3770">
        <f>'02_Модель'!AC40</f>
        <v/>
      </c>
      <c r="AD3770">
        <f>'02_Модель'!AD40</f>
        <v/>
      </c>
      <c r="AE3770">
        <f>'02_Модель'!AE40</f>
        <v/>
      </c>
      <c r="AF3770">
        <f>'02_Модель'!AF40</f>
        <v/>
      </c>
      <c r="AG3770">
        <f>'02_Модель'!AG40</f>
        <v/>
      </c>
      <c r="AH3770">
        <f>'02_Модель'!AH40</f>
        <v/>
      </c>
      <c r="AI3770">
        <f>'02_Модель'!AI40</f>
        <v/>
      </c>
      <c r="AJ3770">
        <f>'02_Модель'!AJ40</f>
        <v/>
      </c>
      <c r="AK3770">
        <f>'02_Модель'!AK40</f>
        <v/>
      </c>
      <c r="AL3770">
        <f>'02_Модель'!AL40</f>
        <v/>
      </c>
      <c r="AM3770">
        <f>'02_Модель'!AM40</f>
        <v/>
      </c>
      <c r="AN3770">
        <f>'02_Модель'!AN40</f>
        <v/>
      </c>
      <c r="AO3770">
        <f>'02_Модель'!AO40</f>
        <v/>
      </c>
      <c r="AP3770">
        <f>'02_Модель'!AP40</f>
        <v/>
      </c>
      <c r="AQ3770">
        <f>'02_Модель'!AQ40</f>
        <v/>
      </c>
      <c r="AR3770">
        <f>'02_Модель'!AR40</f>
        <v/>
      </c>
      <c r="AS3770">
        <f>'02_Модель'!AS40</f>
        <v/>
      </c>
      <c r="AT3770">
        <f>'02_Модель'!AT40</f>
        <v/>
      </c>
      <c r="AU3770">
        <f>'02_Модель'!AU40</f>
        <v/>
      </c>
      <c r="AV3770">
        <f>'02_Модель'!AV40</f>
        <v/>
      </c>
      <c r="AW3770">
        <f>'02_Модель'!AW40</f>
        <v/>
      </c>
      <c r="AX3770">
        <f>'02_Модель'!AX40</f>
        <v/>
      </c>
      <c r="AY3770">
        <f>'02_Модель'!AY40</f>
        <v/>
      </c>
      <c r="AZ3770">
        <f>'02_Модель'!AZ40</f>
        <v/>
      </c>
      <c r="BA3770">
        <f>'02_Модель'!BA40</f>
        <v/>
      </c>
      <c r="BB3770">
        <f>'02_Модель'!BB40</f>
        <v/>
      </c>
      <c r="BC3770">
        <f>'02_Модель'!BC40</f>
        <v/>
      </c>
      <c r="BD3770">
        <f>'02_Модель'!BD40</f>
        <v/>
      </c>
      <c r="BE3770">
        <f>'02_Модель'!BE40</f>
        <v/>
      </c>
      <c r="BF3770">
        <f>'02_Модель'!BF40</f>
        <v/>
      </c>
      <c r="BG3770">
        <f>'02_Модель'!BG40</f>
        <v/>
      </c>
      <c r="BH3770">
        <f>'02_Модель'!BH40</f>
        <v/>
      </c>
      <c r="BI3770">
        <f>'02_Модель'!BI40</f>
        <v/>
      </c>
    </row>
    <row r="3771">
      <c r="B3771">
        <f>'02_Модель'!B41</f>
        <v/>
      </c>
      <c r="C3771">
        <f>'02_Модель'!C41</f>
        <v/>
      </c>
      <c r="D3771">
        <f>'02_Модель'!D41</f>
        <v/>
      </c>
      <c r="E3771">
        <f>'02_Модель'!E41</f>
        <v/>
      </c>
      <c r="F3771">
        <f>'02_Модель'!F41</f>
        <v/>
      </c>
      <c r="G3771">
        <f>'02_Модель'!G41</f>
        <v/>
      </c>
      <c r="H3771">
        <f>'02_Модель'!H41</f>
        <v/>
      </c>
      <c r="I3771">
        <f>'02_Модель'!I41</f>
        <v/>
      </c>
      <c r="J3771">
        <f>'02_Модель'!J41</f>
        <v/>
      </c>
      <c r="K3771">
        <f>'02_Модель'!K41</f>
        <v/>
      </c>
      <c r="L3771">
        <f>'02_Модель'!L41</f>
        <v/>
      </c>
      <c r="M3771">
        <f>'02_Модель'!M41</f>
        <v/>
      </c>
      <c r="N3771">
        <f>'02_Модель'!N41</f>
        <v/>
      </c>
      <c r="O3771">
        <f>'02_Модель'!O41</f>
        <v/>
      </c>
      <c r="P3771">
        <f>'02_Модель'!P41</f>
        <v/>
      </c>
      <c r="Q3771">
        <f>'02_Модель'!Q41</f>
        <v/>
      </c>
      <c r="R3771">
        <f>'02_Модель'!R41</f>
        <v/>
      </c>
      <c r="S3771">
        <f>'02_Модель'!S41</f>
        <v/>
      </c>
      <c r="T3771">
        <f>'02_Модель'!T41</f>
        <v/>
      </c>
      <c r="U3771">
        <f>'02_Модель'!U41</f>
        <v/>
      </c>
      <c r="V3771">
        <f>'02_Модель'!V41</f>
        <v/>
      </c>
      <c r="W3771">
        <f>'02_Модель'!W41</f>
        <v/>
      </c>
      <c r="X3771">
        <f>'02_Модель'!X41</f>
        <v/>
      </c>
      <c r="Y3771">
        <f>'02_Модель'!Y41</f>
        <v/>
      </c>
      <c r="Z3771">
        <f>'02_Модель'!Z41</f>
        <v/>
      </c>
      <c r="AA3771">
        <f>'02_Модель'!AA41</f>
        <v/>
      </c>
      <c r="AB3771">
        <f>'02_Модель'!AB41</f>
        <v/>
      </c>
      <c r="AC3771">
        <f>'02_Модель'!AC41</f>
        <v/>
      </c>
      <c r="AD3771">
        <f>'02_Модель'!AD41</f>
        <v/>
      </c>
      <c r="AE3771">
        <f>'02_Модель'!AE41</f>
        <v/>
      </c>
      <c r="AF3771">
        <f>'02_Модель'!AF41</f>
        <v/>
      </c>
      <c r="AG3771">
        <f>'02_Модель'!AG41</f>
        <v/>
      </c>
      <c r="AH3771">
        <f>'02_Модель'!AH41</f>
        <v/>
      </c>
      <c r="AI3771">
        <f>'02_Модель'!AI41</f>
        <v/>
      </c>
      <c r="AJ3771">
        <f>'02_Модель'!AJ41</f>
        <v/>
      </c>
      <c r="AK3771">
        <f>'02_Модель'!AK41</f>
        <v/>
      </c>
      <c r="AL3771">
        <f>'02_Модель'!AL41</f>
        <v/>
      </c>
      <c r="AM3771">
        <f>'02_Модель'!AM41</f>
        <v/>
      </c>
      <c r="AN3771">
        <f>'02_Модель'!AN41</f>
        <v/>
      </c>
      <c r="AO3771">
        <f>'02_Модель'!AO41</f>
        <v/>
      </c>
      <c r="AP3771">
        <f>'02_Модель'!AP41</f>
        <v/>
      </c>
      <c r="AQ3771">
        <f>'02_Модель'!AQ41</f>
        <v/>
      </c>
      <c r="AR3771">
        <f>'02_Модель'!AR41</f>
        <v/>
      </c>
      <c r="AS3771">
        <f>'02_Модель'!AS41</f>
        <v/>
      </c>
      <c r="AT3771">
        <f>'02_Модель'!AT41</f>
        <v/>
      </c>
      <c r="AU3771">
        <f>'02_Модель'!AU41</f>
        <v/>
      </c>
      <c r="AV3771">
        <f>'02_Модель'!AV41</f>
        <v/>
      </c>
      <c r="AW3771">
        <f>'02_Модель'!AW41</f>
        <v/>
      </c>
      <c r="AX3771">
        <f>'02_Модель'!AX41</f>
        <v/>
      </c>
      <c r="AY3771">
        <f>'02_Модель'!AY41</f>
        <v/>
      </c>
      <c r="AZ3771">
        <f>'02_Модель'!AZ41</f>
        <v/>
      </c>
      <c r="BA3771">
        <f>'02_Модель'!BA41</f>
        <v/>
      </c>
      <c r="BB3771">
        <f>'02_Модель'!BB41</f>
        <v/>
      </c>
      <c r="BC3771">
        <f>'02_Модель'!BC41</f>
        <v/>
      </c>
      <c r="BD3771">
        <f>'02_Модель'!BD41</f>
        <v/>
      </c>
      <c r="BE3771">
        <f>'02_Модель'!BE41</f>
        <v/>
      </c>
      <c r="BF3771">
        <f>'02_Модель'!BF41</f>
        <v/>
      </c>
      <c r="BG3771">
        <f>'02_Модель'!BG41</f>
        <v/>
      </c>
      <c r="BH3771">
        <f>'02_Модель'!BH41</f>
        <v/>
      </c>
      <c r="BI3771">
        <f>'02_Модель'!BI41</f>
        <v/>
      </c>
    </row>
    <row r="3772">
      <c r="B3772">
        <f>IF('01_Вводные'!$B$234="Да",'19_Расчет_аналитики'!B3382,0)</f>
        <v/>
      </c>
      <c r="C3772">
        <f>IF('01_Вводные'!$B$234="Да",'19_Расчет_аналитики'!C3382,0)</f>
        <v/>
      </c>
      <c r="D3772">
        <f>IF('01_Вводные'!$B$234="Да",'19_Расчет_аналитики'!D3382,0)</f>
        <v/>
      </c>
      <c r="E3772">
        <f>IF('01_Вводные'!$B$234="Да",'19_Расчет_аналитики'!E3382,0)</f>
        <v/>
      </c>
      <c r="F3772">
        <f>IF('01_Вводные'!$B$234="Да",'19_Расчет_аналитики'!F3382,0)</f>
        <v/>
      </c>
      <c r="G3772">
        <f>IF('01_Вводные'!$B$234="Да",'19_Расчет_аналитики'!G3382,0)</f>
        <v/>
      </c>
      <c r="H3772">
        <f>IF('01_Вводные'!$B$234="Да",'19_Расчет_аналитики'!H3382,0)</f>
        <v/>
      </c>
      <c r="I3772">
        <f>IF('01_Вводные'!$B$234="Да",'19_Расчет_аналитики'!I3382,0)</f>
        <v/>
      </c>
      <c r="J3772">
        <f>IF('01_Вводные'!$B$234="Да",'19_Расчет_аналитики'!J3382,0)</f>
        <v/>
      </c>
      <c r="K3772">
        <f>IF('01_Вводные'!$B$234="Да",'19_Расчет_аналитики'!K3382,0)</f>
        <v/>
      </c>
      <c r="L3772">
        <f>IF('01_Вводные'!$B$234="Да",'19_Расчет_аналитики'!L3382,0)</f>
        <v/>
      </c>
      <c r="M3772">
        <f>IF('01_Вводные'!$B$234="Да",'19_Расчет_аналитики'!M3382,0)</f>
        <v/>
      </c>
      <c r="N3772">
        <f>IF('01_Вводные'!$B$234="Да",'19_Расчет_аналитики'!N3382,0)</f>
        <v/>
      </c>
      <c r="O3772">
        <f>IF('01_Вводные'!$B$234="Да",'19_Расчет_аналитики'!O3382,0)</f>
        <v/>
      </c>
      <c r="P3772">
        <f>IF('01_Вводные'!$B$234="Да",'19_Расчет_аналитики'!P3382,0)</f>
        <v/>
      </c>
      <c r="Q3772">
        <f>IF('01_Вводные'!$B$234="Да",'19_Расчет_аналитики'!Q3382,0)</f>
        <v/>
      </c>
      <c r="R3772">
        <f>IF('01_Вводные'!$B$234="Да",'19_Расчет_аналитики'!R3382,0)</f>
        <v/>
      </c>
      <c r="S3772">
        <f>IF('01_Вводные'!$B$234="Да",'19_Расчет_аналитики'!S3382,0)</f>
        <v/>
      </c>
      <c r="T3772">
        <f>IF('01_Вводные'!$B$234="Да",'19_Расчет_аналитики'!T3382,0)</f>
        <v/>
      </c>
      <c r="U3772">
        <f>IF('01_Вводные'!$B$234="Да",'19_Расчет_аналитики'!U3382,0)</f>
        <v/>
      </c>
      <c r="V3772">
        <f>IF('01_Вводные'!$B$234="Да",'19_Расчет_аналитики'!V3382,0)</f>
        <v/>
      </c>
      <c r="W3772">
        <f>IF('01_Вводные'!$B$234="Да",'19_Расчет_аналитики'!W3382,0)</f>
        <v/>
      </c>
      <c r="X3772">
        <f>IF('01_Вводные'!$B$234="Да",'19_Расчет_аналитики'!X3382,0)</f>
        <v/>
      </c>
      <c r="Y3772">
        <f>IF('01_Вводные'!$B$234="Да",'19_Расчет_аналитики'!Y3382,0)</f>
        <v/>
      </c>
      <c r="Z3772">
        <f>IF('01_Вводные'!$B$234="Да",'19_Расчет_аналитики'!Z3382,0)</f>
        <v/>
      </c>
      <c r="AA3772">
        <f>IF('01_Вводные'!$B$234="Да",'19_Расчет_аналитики'!AA3382,0)</f>
        <v/>
      </c>
      <c r="AB3772">
        <f>IF('01_Вводные'!$B$234="Да",'19_Расчет_аналитики'!AB3382,0)</f>
        <v/>
      </c>
      <c r="AC3772">
        <f>IF('01_Вводные'!$B$234="Да",'19_Расчет_аналитики'!AC3382,0)</f>
        <v/>
      </c>
      <c r="AD3772">
        <f>IF('01_Вводные'!$B$234="Да",'19_Расчет_аналитики'!AD3382,0)</f>
        <v/>
      </c>
      <c r="AE3772">
        <f>IF('01_Вводные'!$B$234="Да",'19_Расчет_аналитики'!AE3382,0)</f>
        <v/>
      </c>
      <c r="AF3772">
        <f>IF('01_Вводные'!$B$234="Да",'19_Расчет_аналитики'!AF3382,0)</f>
        <v/>
      </c>
      <c r="AG3772">
        <f>IF('01_Вводные'!$B$234="Да",'19_Расчет_аналитики'!AG3382,0)</f>
        <v/>
      </c>
      <c r="AH3772">
        <f>IF('01_Вводные'!$B$234="Да",'19_Расчет_аналитики'!AH3382,0)</f>
        <v/>
      </c>
      <c r="AI3772">
        <f>IF('01_Вводные'!$B$234="Да",'19_Расчет_аналитики'!AI3382,0)</f>
        <v/>
      </c>
      <c r="AJ3772">
        <f>IF('01_Вводные'!$B$234="Да",'19_Расчет_аналитики'!AJ3382,0)</f>
        <v/>
      </c>
      <c r="AK3772">
        <f>IF('01_Вводные'!$B$234="Да",'19_Расчет_аналитики'!AK3382,0)</f>
        <v/>
      </c>
      <c r="AL3772">
        <f>IF('01_Вводные'!$B$234="Да",'19_Расчет_аналитики'!AL3382,0)</f>
        <v/>
      </c>
      <c r="AM3772">
        <f>IF('01_Вводные'!$B$234="Да",'19_Расчет_аналитики'!AM3382,0)</f>
        <v/>
      </c>
      <c r="AN3772">
        <f>IF('01_Вводные'!$B$234="Да",'19_Расчет_аналитики'!AN3382,0)</f>
        <v/>
      </c>
      <c r="AO3772">
        <f>IF('01_Вводные'!$B$234="Да",'19_Расчет_аналитики'!AO3382,0)</f>
        <v/>
      </c>
      <c r="AP3772">
        <f>IF('01_Вводные'!$B$234="Да",'19_Расчет_аналитики'!AP3382,0)</f>
        <v/>
      </c>
      <c r="AQ3772">
        <f>IF('01_Вводные'!$B$234="Да",'19_Расчет_аналитики'!AQ3382,0)</f>
        <v/>
      </c>
      <c r="AR3772">
        <f>IF('01_Вводные'!$B$234="Да",'19_Расчет_аналитики'!AR3382,0)</f>
        <v/>
      </c>
      <c r="AS3772">
        <f>IF('01_Вводные'!$B$234="Да",'19_Расчет_аналитики'!AS3382,0)</f>
        <v/>
      </c>
      <c r="AT3772">
        <f>IF('01_Вводные'!$B$234="Да",'19_Расчет_аналитики'!AT3382,0)</f>
        <v/>
      </c>
      <c r="AU3772">
        <f>IF('01_Вводные'!$B$234="Да",'19_Расчет_аналитики'!AU3382,0)</f>
        <v/>
      </c>
      <c r="AV3772">
        <f>IF('01_Вводные'!$B$234="Да",'19_Расчет_аналитики'!AV3382,0)</f>
        <v/>
      </c>
      <c r="AW3772">
        <f>IF('01_Вводные'!$B$234="Да",'19_Расчет_аналитики'!AW3382,0)</f>
        <v/>
      </c>
      <c r="AX3772">
        <f>IF('01_Вводные'!$B$234="Да",'19_Расчет_аналитики'!AX3382,0)</f>
        <v/>
      </c>
      <c r="AY3772">
        <f>IF('01_Вводные'!$B$234="Да",'19_Расчет_аналитики'!AY3382,0)</f>
        <v/>
      </c>
      <c r="AZ3772">
        <f>IF('01_Вводные'!$B$234="Да",'19_Расчет_аналитики'!AZ3382,0)</f>
        <v/>
      </c>
      <c r="BA3772">
        <f>IF('01_Вводные'!$B$234="Да",'19_Расчет_аналитики'!BA3382,0)</f>
        <v/>
      </c>
      <c r="BB3772">
        <f>IF('01_Вводные'!$B$234="Да",'19_Расчет_аналитики'!BB3382,0)</f>
        <v/>
      </c>
      <c r="BC3772">
        <f>IF('01_Вводные'!$B$234="Да",'19_Расчет_аналитики'!BC3382,0)</f>
        <v/>
      </c>
      <c r="BD3772">
        <f>IF('01_Вводные'!$B$234="Да",'19_Расчет_аналитики'!BD3382,0)</f>
        <v/>
      </c>
      <c r="BE3772">
        <f>IF('01_Вводные'!$B$234="Да",'19_Расчет_аналитики'!BE3382,0)</f>
        <v/>
      </c>
      <c r="BF3772">
        <f>IF('01_Вводные'!$B$234="Да",'19_Расчет_аналитики'!BF3382,0)</f>
        <v/>
      </c>
      <c r="BG3772">
        <f>IF('01_Вводные'!$B$234="Да",'19_Расчет_аналитики'!BG3382,0)</f>
        <v/>
      </c>
      <c r="BH3772">
        <f>IF('01_Вводные'!$B$234="Да",'19_Расчет_аналитики'!BH3382,0)</f>
        <v/>
      </c>
      <c r="BI3772">
        <f>IF('01_Вводные'!$B$234="Да",'19_Расчет_аналитики'!BI3382,0)</f>
        <v/>
      </c>
    </row>
    <row r="3773">
      <c r="B3773">
        <f>IF('01_Вводные'!$B$234="Да",SUM('19_Расчет_аналитики'!B3766:B3772),0)</f>
        <v/>
      </c>
      <c r="C3773">
        <f>IF('01_Вводные'!$B$234="Да",SUM('19_Расчет_аналитики'!C3766:C3772),0)</f>
        <v/>
      </c>
      <c r="D3773">
        <f>IF('01_Вводные'!$B$234="Да",SUM('19_Расчет_аналитики'!D3766:D3772),0)</f>
        <v/>
      </c>
      <c r="E3773">
        <f>IF('01_Вводные'!$B$234="Да",SUM('19_Расчет_аналитики'!E3766:E3772),0)</f>
        <v/>
      </c>
      <c r="F3773">
        <f>IF('01_Вводные'!$B$234="Да",SUM('19_Расчет_аналитики'!F3766:F3772),0)</f>
        <v/>
      </c>
      <c r="G3773">
        <f>IF('01_Вводные'!$B$234="Да",SUM('19_Расчет_аналитики'!G3766:G3772),0)</f>
        <v/>
      </c>
      <c r="H3773">
        <f>IF('01_Вводные'!$B$234="Да",SUM('19_Расчет_аналитики'!H3766:H3772),0)</f>
        <v/>
      </c>
      <c r="I3773">
        <f>IF('01_Вводные'!$B$234="Да",SUM('19_Расчет_аналитики'!I3766:I3772),0)</f>
        <v/>
      </c>
      <c r="J3773">
        <f>IF('01_Вводные'!$B$234="Да",SUM('19_Расчет_аналитики'!J3766:J3772),0)</f>
        <v/>
      </c>
      <c r="K3773">
        <f>IF('01_Вводные'!$B$234="Да",SUM('19_Расчет_аналитики'!K3766:K3772),0)</f>
        <v/>
      </c>
      <c r="L3773">
        <f>IF('01_Вводные'!$B$234="Да",SUM('19_Расчет_аналитики'!L3766:L3772),0)</f>
        <v/>
      </c>
      <c r="M3773">
        <f>IF('01_Вводные'!$B$234="Да",SUM('19_Расчет_аналитики'!M3766:M3772),0)</f>
        <v/>
      </c>
      <c r="N3773">
        <f>IF('01_Вводные'!$B$234="Да",SUM('19_Расчет_аналитики'!N3766:N3772),0)</f>
        <v/>
      </c>
      <c r="O3773">
        <f>IF('01_Вводные'!$B$234="Да",SUM('19_Расчет_аналитики'!O3766:O3772),0)</f>
        <v/>
      </c>
      <c r="P3773">
        <f>IF('01_Вводные'!$B$234="Да",SUM('19_Расчет_аналитики'!P3766:P3772),0)</f>
        <v/>
      </c>
      <c r="Q3773">
        <f>IF('01_Вводные'!$B$234="Да",SUM('19_Расчет_аналитики'!Q3766:Q3772),0)</f>
        <v/>
      </c>
      <c r="R3773">
        <f>IF('01_Вводные'!$B$234="Да",SUM('19_Расчет_аналитики'!R3766:R3772),0)</f>
        <v/>
      </c>
      <c r="S3773">
        <f>IF('01_Вводные'!$B$234="Да",SUM('19_Расчет_аналитики'!S3766:S3772),0)</f>
        <v/>
      </c>
      <c r="T3773">
        <f>IF('01_Вводные'!$B$234="Да",SUM('19_Расчет_аналитики'!T3766:T3772),0)</f>
        <v/>
      </c>
      <c r="U3773">
        <f>IF('01_Вводные'!$B$234="Да",SUM('19_Расчет_аналитики'!U3766:U3772),0)</f>
        <v/>
      </c>
      <c r="V3773">
        <f>IF('01_Вводные'!$B$234="Да",SUM('19_Расчет_аналитики'!V3766:V3772),0)</f>
        <v/>
      </c>
      <c r="W3773">
        <f>IF('01_Вводные'!$B$234="Да",SUM('19_Расчет_аналитики'!W3766:W3772),0)</f>
        <v/>
      </c>
      <c r="X3773">
        <f>IF('01_Вводные'!$B$234="Да",SUM('19_Расчет_аналитики'!X3766:X3772),0)</f>
        <v/>
      </c>
      <c r="Y3773">
        <f>IF('01_Вводные'!$B$234="Да",SUM('19_Расчет_аналитики'!Y3766:Y3772),0)</f>
        <v/>
      </c>
      <c r="Z3773">
        <f>IF('01_Вводные'!$B$234="Да",SUM('19_Расчет_аналитики'!Z3766:Z3772),0)</f>
        <v/>
      </c>
      <c r="AA3773">
        <f>IF('01_Вводные'!$B$234="Да",SUM('19_Расчет_аналитики'!AA3766:AA3772),0)</f>
        <v/>
      </c>
      <c r="AB3773">
        <f>IF('01_Вводные'!$B$234="Да",SUM('19_Расчет_аналитики'!AB3766:AB3772),0)</f>
        <v/>
      </c>
      <c r="AC3773">
        <f>IF('01_Вводные'!$B$234="Да",SUM('19_Расчет_аналитики'!AC3766:AC3772),0)</f>
        <v/>
      </c>
      <c r="AD3773">
        <f>IF('01_Вводные'!$B$234="Да",SUM('19_Расчет_аналитики'!AD3766:AD3772),0)</f>
        <v/>
      </c>
      <c r="AE3773">
        <f>IF('01_Вводные'!$B$234="Да",SUM('19_Расчет_аналитики'!AE3766:AE3772),0)</f>
        <v/>
      </c>
      <c r="AF3773">
        <f>IF('01_Вводные'!$B$234="Да",SUM('19_Расчет_аналитики'!AF3766:AF3772),0)</f>
        <v/>
      </c>
      <c r="AG3773">
        <f>IF('01_Вводные'!$B$234="Да",SUM('19_Расчет_аналитики'!AG3766:AG3772),0)</f>
        <v/>
      </c>
      <c r="AH3773">
        <f>IF('01_Вводные'!$B$234="Да",SUM('19_Расчет_аналитики'!AH3766:AH3772),0)</f>
        <v/>
      </c>
      <c r="AI3773">
        <f>IF('01_Вводные'!$B$234="Да",SUM('19_Расчет_аналитики'!AI3766:AI3772),0)</f>
        <v/>
      </c>
      <c r="AJ3773">
        <f>IF('01_Вводные'!$B$234="Да",SUM('19_Расчет_аналитики'!AJ3766:AJ3772),0)</f>
        <v/>
      </c>
      <c r="AK3773">
        <f>IF('01_Вводные'!$B$234="Да",SUM('19_Расчет_аналитики'!AK3766:AK3772),0)</f>
        <v/>
      </c>
      <c r="AL3773">
        <f>IF('01_Вводные'!$B$234="Да",SUM('19_Расчет_аналитики'!AL3766:AL3772),0)</f>
        <v/>
      </c>
      <c r="AM3773">
        <f>IF('01_Вводные'!$B$234="Да",SUM('19_Расчет_аналитики'!AM3766:AM3772),0)</f>
        <v/>
      </c>
      <c r="AN3773">
        <f>IF('01_Вводные'!$B$234="Да",SUM('19_Расчет_аналитики'!AN3766:AN3772),0)</f>
        <v/>
      </c>
      <c r="AO3773">
        <f>IF('01_Вводные'!$B$234="Да",SUM('19_Расчет_аналитики'!AO3766:AO3772),0)</f>
        <v/>
      </c>
      <c r="AP3773">
        <f>IF('01_Вводные'!$B$234="Да",SUM('19_Расчет_аналитики'!AP3766:AP3772),0)</f>
        <v/>
      </c>
      <c r="AQ3773">
        <f>IF('01_Вводные'!$B$234="Да",SUM('19_Расчет_аналитики'!AQ3766:AQ3772),0)</f>
        <v/>
      </c>
      <c r="AR3773">
        <f>IF('01_Вводные'!$B$234="Да",SUM('19_Расчет_аналитики'!AR3766:AR3772),0)</f>
        <v/>
      </c>
      <c r="AS3773">
        <f>IF('01_Вводные'!$B$234="Да",SUM('19_Расчет_аналитики'!AS3766:AS3772),0)</f>
        <v/>
      </c>
      <c r="AT3773">
        <f>IF('01_Вводные'!$B$234="Да",SUM('19_Расчет_аналитики'!AT3766:AT3772),0)</f>
        <v/>
      </c>
      <c r="AU3773">
        <f>IF('01_Вводные'!$B$234="Да",SUM('19_Расчет_аналитики'!AU3766:AU3772),0)</f>
        <v/>
      </c>
      <c r="AV3773">
        <f>IF('01_Вводные'!$B$234="Да",SUM('19_Расчет_аналитики'!AV3766:AV3772),0)</f>
        <v/>
      </c>
      <c r="AW3773">
        <f>IF('01_Вводные'!$B$234="Да",SUM('19_Расчет_аналитики'!AW3766:AW3772),0)</f>
        <v/>
      </c>
      <c r="AX3773">
        <f>IF('01_Вводные'!$B$234="Да",SUM('19_Расчет_аналитики'!AX3766:AX3772),0)</f>
        <v/>
      </c>
      <c r="AY3773">
        <f>IF('01_Вводные'!$B$234="Да",SUM('19_Расчет_аналитики'!AY3766:AY3772),0)</f>
        <v/>
      </c>
      <c r="AZ3773">
        <f>IF('01_Вводные'!$B$234="Да",SUM('19_Расчет_аналитики'!AZ3766:AZ3772),0)</f>
        <v/>
      </c>
      <c r="BA3773">
        <f>IF('01_Вводные'!$B$234="Да",SUM('19_Расчет_аналитики'!BA3766:BA3772),0)</f>
        <v/>
      </c>
      <c r="BB3773">
        <f>IF('01_Вводные'!$B$234="Да",SUM('19_Расчет_аналитики'!BB3766:BB3772),0)</f>
        <v/>
      </c>
      <c r="BC3773">
        <f>IF('01_Вводные'!$B$234="Да",SUM('19_Расчет_аналитики'!BC3766:BC3772),0)</f>
        <v/>
      </c>
      <c r="BD3773">
        <f>IF('01_Вводные'!$B$234="Да",SUM('19_Расчет_аналитики'!BD3766:BD3772),0)</f>
        <v/>
      </c>
      <c r="BE3773">
        <f>IF('01_Вводные'!$B$234="Да",SUM('19_Расчет_аналитики'!BE3766:BE3772),0)</f>
        <v/>
      </c>
      <c r="BF3773">
        <f>IF('01_Вводные'!$B$234="Да",SUM('19_Расчет_аналитики'!BF3766:BF3772),0)</f>
        <v/>
      </c>
      <c r="BG3773">
        <f>IF('01_Вводные'!$B$234="Да",SUM('19_Расчет_аналитики'!BG3766:BG3772),0)</f>
        <v/>
      </c>
      <c r="BH3773">
        <f>IF('01_Вводные'!$B$234="Да",SUM('19_Расчет_аналитики'!BH3766:BH3772),0)</f>
        <v/>
      </c>
      <c r="BI3773">
        <f>IF('01_Вводные'!$B$234="Да",SUM('19_Расчет_аналитики'!BI3766:BI3772),0)</f>
        <v/>
      </c>
    </row>
    <row r="3774">
      <c r="B3774">
        <f>IF('01_Вводные'!$B$234="Да",'19_Расчет_аналитики'!B3763-'19_Расчет_аналитики'!B3773,0)</f>
        <v/>
      </c>
      <c r="C3774">
        <f>IF('01_Вводные'!$B$234="Да",'19_Расчет_аналитики'!C3763-'19_Расчет_аналитики'!C3773,0)</f>
        <v/>
      </c>
      <c r="D3774">
        <f>IF('01_Вводные'!$B$234="Да",'19_Расчет_аналитики'!D3763-'19_Расчет_аналитики'!D3773,0)</f>
        <v/>
      </c>
      <c r="E3774">
        <f>IF('01_Вводные'!$B$234="Да",'19_Расчет_аналитики'!E3763-'19_Расчет_аналитики'!E3773,0)</f>
        <v/>
      </c>
      <c r="F3774">
        <f>IF('01_Вводные'!$B$234="Да",'19_Расчет_аналитики'!F3763-'19_Расчет_аналитики'!F3773,0)</f>
        <v/>
      </c>
      <c r="G3774">
        <f>IF('01_Вводные'!$B$234="Да",'19_Расчет_аналитики'!G3763-'19_Расчет_аналитики'!G3773,0)</f>
        <v/>
      </c>
      <c r="H3774">
        <f>IF('01_Вводные'!$B$234="Да",'19_Расчет_аналитики'!H3763-'19_Расчет_аналитики'!H3773,0)</f>
        <v/>
      </c>
      <c r="I3774">
        <f>IF('01_Вводные'!$B$234="Да",'19_Расчет_аналитики'!I3763-'19_Расчет_аналитики'!I3773,0)</f>
        <v/>
      </c>
      <c r="J3774">
        <f>IF('01_Вводные'!$B$234="Да",'19_Расчет_аналитики'!J3763-'19_Расчет_аналитики'!J3773,0)</f>
        <v/>
      </c>
      <c r="K3774">
        <f>IF('01_Вводные'!$B$234="Да",'19_Расчет_аналитики'!K3763-'19_Расчет_аналитики'!K3773,0)</f>
        <v/>
      </c>
      <c r="L3774">
        <f>IF('01_Вводные'!$B$234="Да",'19_Расчет_аналитики'!L3763-'19_Расчет_аналитики'!L3773,0)</f>
        <v/>
      </c>
      <c r="M3774">
        <f>IF('01_Вводные'!$B$234="Да",'19_Расчет_аналитики'!M3763-'19_Расчет_аналитики'!M3773,0)</f>
        <v/>
      </c>
      <c r="N3774">
        <f>IF('01_Вводные'!$B$234="Да",'19_Расчет_аналитики'!N3763-'19_Расчет_аналитики'!N3773,0)</f>
        <v/>
      </c>
      <c r="O3774">
        <f>IF('01_Вводные'!$B$234="Да",'19_Расчет_аналитики'!O3763-'19_Расчет_аналитики'!O3773,0)</f>
        <v/>
      </c>
      <c r="P3774">
        <f>IF('01_Вводные'!$B$234="Да",'19_Расчет_аналитики'!P3763-'19_Расчет_аналитики'!P3773,0)</f>
        <v/>
      </c>
      <c r="Q3774">
        <f>IF('01_Вводные'!$B$234="Да",'19_Расчет_аналитики'!Q3763-'19_Расчет_аналитики'!Q3773,0)</f>
        <v/>
      </c>
      <c r="R3774">
        <f>IF('01_Вводные'!$B$234="Да",'19_Расчет_аналитики'!R3763-'19_Расчет_аналитики'!R3773,0)</f>
        <v/>
      </c>
      <c r="S3774">
        <f>IF('01_Вводные'!$B$234="Да",'19_Расчет_аналитики'!S3763-'19_Расчет_аналитики'!S3773,0)</f>
        <v/>
      </c>
      <c r="T3774">
        <f>IF('01_Вводные'!$B$234="Да",'19_Расчет_аналитики'!T3763-'19_Расчет_аналитики'!T3773,0)</f>
        <v/>
      </c>
      <c r="U3774">
        <f>IF('01_Вводные'!$B$234="Да",'19_Расчет_аналитики'!U3763-'19_Расчет_аналитики'!U3773,0)</f>
        <v/>
      </c>
      <c r="V3774">
        <f>IF('01_Вводные'!$B$234="Да",'19_Расчет_аналитики'!V3763-'19_Расчет_аналитики'!V3773,0)</f>
        <v/>
      </c>
      <c r="W3774">
        <f>IF('01_Вводные'!$B$234="Да",'19_Расчет_аналитики'!W3763-'19_Расчет_аналитики'!W3773,0)</f>
        <v/>
      </c>
      <c r="X3774">
        <f>IF('01_Вводные'!$B$234="Да",'19_Расчет_аналитики'!X3763-'19_Расчет_аналитики'!X3773,0)</f>
        <v/>
      </c>
      <c r="Y3774">
        <f>IF('01_Вводные'!$B$234="Да",'19_Расчет_аналитики'!Y3763-'19_Расчет_аналитики'!Y3773,0)</f>
        <v/>
      </c>
      <c r="Z3774">
        <f>IF('01_Вводные'!$B$234="Да",'19_Расчет_аналитики'!Z3763-'19_Расчет_аналитики'!Z3773,0)</f>
        <v/>
      </c>
      <c r="AA3774">
        <f>IF('01_Вводные'!$B$234="Да",'19_Расчет_аналитики'!AA3763-'19_Расчет_аналитики'!AA3773,0)</f>
        <v/>
      </c>
      <c r="AB3774">
        <f>IF('01_Вводные'!$B$234="Да",'19_Расчет_аналитики'!AB3763-'19_Расчет_аналитики'!AB3773,0)</f>
        <v/>
      </c>
      <c r="AC3774">
        <f>IF('01_Вводные'!$B$234="Да",'19_Расчет_аналитики'!AC3763-'19_Расчет_аналитики'!AC3773,0)</f>
        <v/>
      </c>
      <c r="AD3774">
        <f>IF('01_Вводные'!$B$234="Да",'19_Расчет_аналитики'!AD3763-'19_Расчет_аналитики'!AD3773,0)</f>
        <v/>
      </c>
      <c r="AE3774">
        <f>IF('01_Вводные'!$B$234="Да",'19_Расчет_аналитики'!AE3763-'19_Расчет_аналитики'!AE3773,0)</f>
        <v/>
      </c>
      <c r="AF3774">
        <f>IF('01_Вводные'!$B$234="Да",'19_Расчет_аналитики'!AF3763-'19_Расчет_аналитики'!AF3773,0)</f>
        <v/>
      </c>
      <c r="AG3774">
        <f>IF('01_Вводные'!$B$234="Да",'19_Расчет_аналитики'!AG3763-'19_Расчет_аналитики'!AG3773,0)</f>
        <v/>
      </c>
      <c r="AH3774">
        <f>IF('01_Вводные'!$B$234="Да",'19_Расчет_аналитики'!AH3763-'19_Расчет_аналитики'!AH3773,0)</f>
        <v/>
      </c>
      <c r="AI3774">
        <f>IF('01_Вводные'!$B$234="Да",'19_Расчет_аналитики'!AI3763-'19_Расчет_аналитики'!AI3773,0)</f>
        <v/>
      </c>
      <c r="AJ3774">
        <f>IF('01_Вводные'!$B$234="Да",'19_Расчет_аналитики'!AJ3763-'19_Расчет_аналитики'!AJ3773,0)</f>
        <v/>
      </c>
      <c r="AK3774">
        <f>IF('01_Вводные'!$B$234="Да",'19_Расчет_аналитики'!AK3763-'19_Расчет_аналитики'!AK3773,0)</f>
        <v/>
      </c>
      <c r="AL3774">
        <f>IF('01_Вводные'!$B$234="Да",'19_Расчет_аналитики'!AL3763-'19_Расчет_аналитики'!AL3773,0)</f>
        <v/>
      </c>
      <c r="AM3774">
        <f>IF('01_Вводные'!$B$234="Да",'19_Расчет_аналитики'!AM3763-'19_Расчет_аналитики'!AM3773,0)</f>
        <v/>
      </c>
      <c r="AN3774">
        <f>IF('01_Вводные'!$B$234="Да",'19_Расчет_аналитики'!AN3763-'19_Расчет_аналитики'!AN3773,0)</f>
        <v/>
      </c>
      <c r="AO3774">
        <f>IF('01_Вводные'!$B$234="Да",'19_Расчет_аналитики'!AO3763-'19_Расчет_аналитики'!AO3773,0)</f>
        <v/>
      </c>
      <c r="AP3774">
        <f>IF('01_Вводные'!$B$234="Да",'19_Расчет_аналитики'!AP3763-'19_Расчет_аналитики'!AP3773,0)</f>
        <v/>
      </c>
      <c r="AQ3774">
        <f>IF('01_Вводные'!$B$234="Да",'19_Расчет_аналитики'!AQ3763-'19_Расчет_аналитики'!AQ3773,0)</f>
        <v/>
      </c>
      <c r="AR3774">
        <f>IF('01_Вводные'!$B$234="Да",'19_Расчет_аналитики'!AR3763-'19_Расчет_аналитики'!AR3773,0)</f>
        <v/>
      </c>
      <c r="AS3774">
        <f>IF('01_Вводные'!$B$234="Да",'19_Расчет_аналитики'!AS3763-'19_Расчет_аналитики'!AS3773,0)</f>
        <v/>
      </c>
      <c r="AT3774">
        <f>IF('01_Вводные'!$B$234="Да",'19_Расчет_аналитики'!AT3763-'19_Расчет_аналитики'!AT3773,0)</f>
        <v/>
      </c>
      <c r="AU3774">
        <f>IF('01_Вводные'!$B$234="Да",'19_Расчет_аналитики'!AU3763-'19_Расчет_аналитики'!AU3773,0)</f>
        <v/>
      </c>
      <c r="AV3774">
        <f>IF('01_Вводные'!$B$234="Да",'19_Расчет_аналитики'!AV3763-'19_Расчет_аналитики'!AV3773,0)</f>
        <v/>
      </c>
      <c r="AW3774">
        <f>IF('01_Вводные'!$B$234="Да",'19_Расчет_аналитики'!AW3763-'19_Расчет_аналитики'!AW3773,0)</f>
        <v/>
      </c>
      <c r="AX3774">
        <f>IF('01_Вводные'!$B$234="Да",'19_Расчет_аналитики'!AX3763-'19_Расчет_аналитики'!AX3773,0)</f>
        <v/>
      </c>
      <c r="AY3774">
        <f>IF('01_Вводные'!$B$234="Да",'19_Расчет_аналитики'!AY3763-'19_Расчет_аналитики'!AY3773,0)</f>
        <v/>
      </c>
      <c r="AZ3774">
        <f>IF('01_Вводные'!$B$234="Да",'19_Расчет_аналитики'!AZ3763-'19_Расчет_аналитики'!AZ3773,0)</f>
        <v/>
      </c>
      <c r="BA3774">
        <f>IF('01_Вводные'!$B$234="Да",'19_Расчет_аналитики'!BA3763-'19_Расчет_аналитики'!BA3773,0)</f>
        <v/>
      </c>
      <c r="BB3774">
        <f>IF('01_Вводные'!$B$234="Да",'19_Расчет_аналитики'!BB3763-'19_Расчет_аналитики'!BB3773,0)</f>
        <v/>
      </c>
      <c r="BC3774">
        <f>IF('01_Вводные'!$B$234="Да",'19_Расчет_аналитики'!BC3763-'19_Расчет_аналитики'!BC3773,0)</f>
        <v/>
      </c>
      <c r="BD3774">
        <f>IF('01_Вводные'!$B$234="Да",'19_Расчет_аналитики'!BD3763-'19_Расчет_аналитики'!BD3773,0)</f>
        <v/>
      </c>
      <c r="BE3774">
        <f>IF('01_Вводные'!$B$234="Да",'19_Расчет_аналитики'!BE3763-'19_Расчет_аналитики'!BE3773,0)</f>
        <v/>
      </c>
      <c r="BF3774">
        <f>IF('01_Вводные'!$B$234="Да",'19_Расчет_аналитики'!BF3763-'19_Расчет_аналитики'!BF3773,0)</f>
        <v/>
      </c>
      <c r="BG3774">
        <f>IF('01_Вводные'!$B$234="Да",'19_Расчет_аналитики'!BG3763-'19_Расчет_аналитики'!BG3773,0)</f>
        <v/>
      </c>
      <c r="BH3774">
        <f>IF('01_Вводные'!$B$234="Да",'19_Расчет_аналитики'!BH3763-'19_Расчет_аналитики'!BH3773,0)</f>
        <v/>
      </c>
      <c r="BI3774">
        <f>IF('01_Вводные'!$B$234="Да",'19_Расчет_аналитики'!BI3763-'19_Расчет_аналитики'!BI3773,0)</f>
        <v/>
      </c>
    </row>
    <row r="3775">
      <c r="B3775">
        <f>IF('01_Вводные'!$B$234="Да",IF('19_Расчет_аналитики'!B3753=0,0,'19_Расчет_аналитики'!B3774/'19_Расчет_аналитики'!B3753),0)</f>
        <v/>
      </c>
      <c r="C3775">
        <f>IF('01_Вводные'!$B$234="Да",IF('19_Расчет_аналитики'!C3753=0,0,'19_Расчет_аналитики'!C3774/'19_Расчет_аналитики'!C3753),0)</f>
        <v/>
      </c>
      <c r="D3775">
        <f>IF('01_Вводные'!$B$234="Да",IF('19_Расчет_аналитики'!D3753=0,0,'19_Расчет_аналитики'!D3774/'19_Расчет_аналитики'!D3753),0)</f>
        <v/>
      </c>
      <c r="E3775">
        <f>IF('01_Вводные'!$B$234="Да",IF('19_Расчет_аналитики'!E3753=0,0,'19_Расчет_аналитики'!E3774/'19_Расчет_аналитики'!E3753),0)</f>
        <v/>
      </c>
      <c r="F3775">
        <f>IF('01_Вводные'!$B$234="Да",IF('19_Расчет_аналитики'!F3753=0,0,'19_Расчет_аналитики'!F3774/'19_Расчет_аналитики'!F3753),0)</f>
        <v/>
      </c>
      <c r="G3775">
        <f>IF('01_Вводные'!$B$234="Да",IF('19_Расчет_аналитики'!G3753=0,0,'19_Расчет_аналитики'!G3774/'19_Расчет_аналитики'!G3753),0)</f>
        <v/>
      </c>
      <c r="H3775">
        <f>IF('01_Вводные'!$B$234="Да",IF('19_Расчет_аналитики'!H3753=0,0,'19_Расчет_аналитики'!H3774/'19_Расчет_аналитики'!H3753),0)</f>
        <v/>
      </c>
      <c r="I3775">
        <f>IF('01_Вводные'!$B$234="Да",IF('19_Расчет_аналитики'!I3753=0,0,'19_Расчет_аналитики'!I3774/'19_Расчет_аналитики'!I3753),0)</f>
        <v/>
      </c>
      <c r="J3775">
        <f>IF('01_Вводные'!$B$234="Да",IF('19_Расчет_аналитики'!J3753=0,0,'19_Расчет_аналитики'!J3774/'19_Расчет_аналитики'!J3753),0)</f>
        <v/>
      </c>
      <c r="K3775">
        <f>IF('01_Вводные'!$B$234="Да",IF('19_Расчет_аналитики'!K3753=0,0,'19_Расчет_аналитики'!K3774/'19_Расчет_аналитики'!K3753),0)</f>
        <v/>
      </c>
      <c r="L3775">
        <f>IF('01_Вводные'!$B$234="Да",IF('19_Расчет_аналитики'!L3753=0,0,'19_Расчет_аналитики'!L3774/'19_Расчет_аналитики'!L3753),0)</f>
        <v/>
      </c>
      <c r="M3775">
        <f>IF('01_Вводные'!$B$234="Да",IF('19_Расчет_аналитики'!M3753=0,0,'19_Расчет_аналитики'!M3774/'19_Расчет_аналитики'!M3753),0)</f>
        <v/>
      </c>
      <c r="N3775">
        <f>IF('01_Вводные'!$B$234="Да",IF('19_Расчет_аналитики'!N3753=0,0,'19_Расчет_аналитики'!N3774/'19_Расчет_аналитики'!N3753),0)</f>
        <v/>
      </c>
      <c r="O3775">
        <f>IF('01_Вводные'!$B$234="Да",IF('19_Расчет_аналитики'!O3753=0,0,'19_Расчет_аналитики'!O3774/'19_Расчет_аналитики'!O3753),0)</f>
        <v/>
      </c>
      <c r="P3775">
        <f>IF('01_Вводные'!$B$234="Да",IF('19_Расчет_аналитики'!P3753=0,0,'19_Расчет_аналитики'!P3774/'19_Расчет_аналитики'!P3753),0)</f>
        <v/>
      </c>
      <c r="Q3775">
        <f>IF('01_Вводные'!$B$234="Да",IF('19_Расчет_аналитики'!Q3753=0,0,'19_Расчет_аналитики'!Q3774/'19_Расчет_аналитики'!Q3753),0)</f>
        <v/>
      </c>
      <c r="R3775">
        <f>IF('01_Вводные'!$B$234="Да",IF('19_Расчет_аналитики'!R3753=0,0,'19_Расчет_аналитики'!R3774/'19_Расчет_аналитики'!R3753),0)</f>
        <v/>
      </c>
      <c r="S3775">
        <f>IF('01_Вводные'!$B$234="Да",IF('19_Расчет_аналитики'!S3753=0,0,'19_Расчет_аналитики'!S3774/'19_Расчет_аналитики'!S3753),0)</f>
        <v/>
      </c>
      <c r="T3775">
        <f>IF('01_Вводные'!$B$234="Да",IF('19_Расчет_аналитики'!T3753=0,0,'19_Расчет_аналитики'!T3774/'19_Расчет_аналитики'!T3753),0)</f>
        <v/>
      </c>
      <c r="U3775">
        <f>IF('01_Вводные'!$B$234="Да",IF('19_Расчет_аналитики'!U3753=0,0,'19_Расчет_аналитики'!U3774/'19_Расчет_аналитики'!U3753),0)</f>
        <v/>
      </c>
      <c r="V3775">
        <f>IF('01_Вводные'!$B$234="Да",IF('19_Расчет_аналитики'!V3753=0,0,'19_Расчет_аналитики'!V3774/'19_Расчет_аналитики'!V3753),0)</f>
        <v/>
      </c>
      <c r="W3775">
        <f>IF('01_Вводные'!$B$234="Да",IF('19_Расчет_аналитики'!W3753=0,0,'19_Расчет_аналитики'!W3774/'19_Расчет_аналитики'!W3753),0)</f>
        <v/>
      </c>
      <c r="X3775">
        <f>IF('01_Вводные'!$B$234="Да",IF('19_Расчет_аналитики'!X3753=0,0,'19_Расчет_аналитики'!X3774/'19_Расчет_аналитики'!X3753),0)</f>
        <v/>
      </c>
      <c r="Y3775">
        <f>IF('01_Вводные'!$B$234="Да",IF('19_Расчет_аналитики'!Y3753=0,0,'19_Расчет_аналитики'!Y3774/'19_Расчет_аналитики'!Y3753),0)</f>
        <v/>
      </c>
      <c r="Z3775">
        <f>IF('01_Вводные'!$B$234="Да",IF('19_Расчет_аналитики'!Z3753=0,0,'19_Расчет_аналитики'!Z3774/'19_Расчет_аналитики'!Z3753),0)</f>
        <v/>
      </c>
      <c r="AA3775">
        <f>IF('01_Вводные'!$B$234="Да",IF('19_Расчет_аналитики'!AA3753=0,0,'19_Расчет_аналитики'!AA3774/'19_Расчет_аналитики'!AA3753),0)</f>
        <v/>
      </c>
      <c r="AB3775">
        <f>IF('01_Вводные'!$B$234="Да",IF('19_Расчет_аналитики'!AB3753=0,0,'19_Расчет_аналитики'!AB3774/'19_Расчет_аналитики'!AB3753),0)</f>
        <v/>
      </c>
      <c r="AC3775">
        <f>IF('01_Вводные'!$B$234="Да",IF('19_Расчет_аналитики'!AC3753=0,0,'19_Расчет_аналитики'!AC3774/'19_Расчет_аналитики'!AC3753),0)</f>
        <v/>
      </c>
      <c r="AD3775">
        <f>IF('01_Вводные'!$B$234="Да",IF('19_Расчет_аналитики'!AD3753=0,0,'19_Расчет_аналитики'!AD3774/'19_Расчет_аналитики'!AD3753),0)</f>
        <v/>
      </c>
      <c r="AE3775">
        <f>IF('01_Вводные'!$B$234="Да",IF('19_Расчет_аналитики'!AE3753=0,0,'19_Расчет_аналитики'!AE3774/'19_Расчет_аналитики'!AE3753),0)</f>
        <v/>
      </c>
      <c r="AF3775">
        <f>IF('01_Вводные'!$B$234="Да",IF('19_Расчет_аналитики'!AF3753=0,0,'19_Расчет_аналитики'!AF3774/'19_Расчет_аналитики'!AF3753),0)</f>
        <v/>
      </c>
      <c r="AG3775">
        <f>IF('01_Вводные'!$B$234="Да",IF('19_Расчет_аналитики'!AG3753=0,0,'19_Расчет_аналитики'!AG3774/'19_Расчет_аналитики'!AG3753),0)</f>
        <v/>
      </c>
      <c r="AH3775">
        <f>IF('01_Вводные'!$B$234="Да",IF('19_Расчет_аналитики'!AH3753=0,0,'19_Расчет_аналитики'!AH3774/'19_Расчет_аналитики'!AH3753),0)</f>
        <v/>
      </c>
      <c r="AI3775">
        <f>IF('01_Вводные'!$B$234="Да",IF('19_Расчет_аналитики'!AI3753=0,0,'19_Расчет_аналитики'!AI3774/'19_Расчет_аналитики'!AI3753),0)</f>
        <v/>
      </c>
      <c r="AJ3775">
        <f>IF('01_Вводные'!$B$234="Да",IF('19_Расчет_аналитики'!AJ3753=0,0,'19_Расчет_аналитики'!AJ3774/'19_Расчет_аналитики'!AJ3753),0)</f>
        <v/>
      </c>
      <c r="AK3775">
        <f>IF('01_Вводные'!$B$234="Да",IF('19_Расчет_аналитики'!AK3753=0,0,'19_Расчет_аналитики'!AK3774/'19_Расчет_аналитики'!AK3753),0)</f>
        <v/>
      </c>
      <c r="AL3775">
        <f>IF('01_Вводные'!$B$234="Да",IF('19_Расчет_аналитики'!AL3753=0,0,'19_Расчет_аналитики'!AL3774/'19_Расчет_аналитики'!AL3753),0)</f>
        <v/>
      </c>
      <c r="AM3775">
        <f>IF('01_Вводные'!$B$234="Да",IF('19_Расчет_аналитики'!AM3753=0,0,'19_Расчет_аналитики'!AM3774/'19_Расчет_аналитики'!AM3753),0)</f>
        <v/>
      </c>
      <c r="AN3775">
        <f>IF('01_Вводные'!$B$234="Да",IF('19_Расчет_аналитики'!AN3753=0,0,'19_Расчет_аналитики'!AN3774/'19_Расчет_аналитики'!AN3753),0)</f>
        <v/>
      </c>
      <c r="AO3775">
        <f>IF('01_Вводные'!$B$234="Да",IF('19_Расчет_аналитики'!AO3753=0,0,'19_Расчет_аналитики'!AO3774/'19_Расчет_аналитики'!AO3753),0)</f>
        <v/>
      </c>
      <c r="AP3775">
        <f>IF('01_Вводные'!$B$234="Да",IF('19_Расчет_аналитики'!AP3753=0,0,'19_Расчет_аналитики'!AP3774/'19_Расчет_аналитики'!AP3753),0)</f>
        <v/>
      </c>
      <c r="AQ3775">
        <f>IF('01_Вводные'!$B$234="Да",IF('19_Расчет_аналитики'!AQ3753=0,0,'19_Расчет_аналитики'!AQ3774/'19_Расчет_аналитики'!AQ3753),0)</f>
        <v/>
      </c>
      <c r="AR3775">
        <f>IF('01_Вводные'!$B$234="Да",IF('19_Расчет_аналитики'!AR3753=0,0,'19_Расчет_аналитики'!AR3774/'19_Расчет_аналитики'!AR3753),0)</f>
        <v/>
      </c>
      <c r="AS3775">
        <f>IF('01_Вводные'!$B$234="Да",IF('19_Расчет_аналитики'!AS3753=0,0,'19_Расчет_аналитики'!AS3774/'19_Расчет_аналитики'!AS3753),0)</f>
        <v/>
      </c>
      <c r="AT3775">
        <f>IF('01_Вводные'!$B$234="Да",IF('19_Расчет_аналитики'!AT3753=0,0,'19_Расчет_аналитики'!AT3774/'19_Расчет_аналитики'!AT3753),0)</f>
        <v/>
      </c>
      <c r="AU3775">
        <f>IF('01_Вводные'!$B$234="Да",IF('19_Расчет_аналитики'!AU3753=0,0,'19_Расчет_аналитики'!AU3774/'19_Расчет_аналитики'!AU3753),0)</f>
        <v/>
      </c>
      <c r="AV3775">
        <f>IF('01_Вводные'!$B$234="Да",IF('19_Расчет_аналитики'!AV3753=0,0,'19_Расчет_аналитики'!AV3774/'19_Расчет_аналитики'!AV3753),0)</f>
        <v/>
      </c>
      <c r="AW3775">
        <f>IF('01_Вводные'!$B$234="Да",IF('19_Расчет_аналитики'!AW3753=0,0,'19_Расчет_аналитики'!AW3774/'19_Расчет_аналитики'!AW3753),0)</f>
        <v/>
      </c>
      <c r="AX3775">
        <f>IF('01_Вводные'!$B$234="Да",IF('19_Расчет_аналитики'!AX3753=0,0,'19_Расчет_аналитики'!AX3774/'19_Расчет_аналитики'!AX3753),0)</f>
        <v/>
      </c>
      <c r="AY3775">
        <f>IF('01_Вводные'!$B$234="Да",IF('19_Расчет_аналитики'!AY3753=0,0,'19_Расчет_аналитики'!AY3774/'19_Расчет_аналитики'!AY3753),0)</f>
        <v/>
      </c>
      <c r="AZ3775">
        <f>IF('01_Вводные'!$B$234="Да",IF('19_Расчет_аналитики'!AZ3753=0,0,'19_Расчет_аналитики'!AZ3774/'19_Расчет_аналитики'!AZ3753),0)</f>
        <v/>
      </c>
      <c r="BA3775">
        <f>IF('01_Вводные'!$B$234="Да",IF('19_Расчет_аналитики'!BA3753=0,0,'19_Расчет_аналитики'!BA3774/'19_Расчет_аналитики'!BA3753),0)</f>
        <v/>
      </c>
      <c r="BB3775">
        <f>IF('01_Вводные'!$B$234="Да",IF('19_Расчет_аналитики'!BB3753=0,0,'19_Расчет_аналитики'!BB3774/'19_Расчет_аналитики'!BB3753),0)</f>
        <v/>
      </c>
      <c r="BC3775">
        <f>IF('01_Вводные'!$B$234="Да",IF('19_Расчет_аналитики'!BC3753=0,0,'19_Расчет_аналитики'!BC3774/'19_Расчет_аналитики'!BC3753),0)</f>
        <v/>
      </c>
      <c r="BD3775">
        <f>IF('01_Вводные'!$B$234="Да",IF('19_Расчет_аналитики'!BD3753=0,0,'19_Расчет_аналитики'!BD3774/'19_Расчет_аналитики'!BD3753),0)</f>
        <v/>
      </c>
      <c r="BE3775">
        <f>IF('01_Вводные'!$B$234="Да",IF('19_Расчет_аналитики'!BE3753=0,0,'19_Расчет_аналитики'!BE3774/'19_Расчет_аналитики'!BE3753),0)</f>
        <v/>
      </c>
      <c r="BF3775">
        <f>IF('01_Вводные'!$B$234="Да",IF('19_Расчет_аналитики'!BF3753=0,0,'19_Расчет_аналитики'!BF3774/'19_Расчет_аналитики'!BF3753),0)</f>
        <v/>
      </c>
      <c r="BG3775">
        <f>IF('01_Вводные'!$B$234="Да",IF('19_Расчет_аналитики'!BG3753=0,0,'19_Расчет_аналитики'!BG3774/'19_Расчет_аналитики'!BG3753),0)</f>
        <v/>
      </c>
      <c r="BH3775">
        <f>IF('01_Вводные'!$B$234="Да",IF('19_Расчет_аналитики'!BH3753=0,0,'19_Расчет_аналитики'!BH3774/'19_Расчет_аналитики'!BH3753),0)</f>
        <v/>
      </c>
      <c r="BI3775">
        <f>IF('01_Вводные'!$B$234="Да",IF('19_Расчет_аналитики'!BI3753=0,0,'19_Расчет_аналитики'!BI3774/'19_Расчет_аналитики'!BI3753),0)</f>
        <v/>
      </c>
    </row>
    <row r="3776">
      <c r="B3776">
        <f>IF('01_Вводные'!$B$234="Да",MAX('01_Вводные'!$B$157*'19_Расчет_аналитики'!B3753,'01_Вводные'!$B$156*MAX(0,'19_Расчет_аналитики'!B3774)),0)</f>
        <v/>
      </c>
      <c r="C3776">
        <f>IF('01_Вводные'!$B$234="Да",MAX('01_Вводные'!$B$157*'19_Расчет_аналитики'!C3753,'01_Вводные'!$B$156*MAX(0,'19_Расчет_аналитики'!C3774)),0)</f>
        <v/>
      </c>
      <c r="D3776">
        <f>IF('01_Вводные'!$B$234="Да",MAX('01_Вводные'!$B$157*'19_Расчет_аналитики'!D3753,'01_Вводные'!$B$156*MAX(0,'19_Расчет_аналитики'!D3774)),0)</f>
        <v/>
      </c>
      <c r="E3776">
        <f>IF('01_Вводные'!$B$234="Да",MAX('01_Вводные'!$B$157*'19_Расчет_аналитики'!E3753,'01_Вводные'!$B$156*MAX(0,'19_Расчет_аналитики'!E3774)),0)</f>
        <v/>
      </c>
      <c r="F3776">
        <f>IF('01_Вводные'!$B$234="Да",MAX('01_Вводные'!$B$157*'19_Расчет_аналитики'!F3753,'01_Вводные'!$B$156*MAX(0,'19_Расчет_аналитики'!F3774)),0)</f>
        <v/>
      </c>
      <c r="G3776">
        <f>IF('01_Вводные'!$B$234="Да",MAX('01_Вводные'!$B$157*'19_Расчет_аналитики'!G3753,'01_Вводные'!$B$156*MAX(0,'19_Расчет_аналитики'!G3774)),0)</f>
        <v/>
      </c>
      <c r="H3776">
        <f>IF('01_Вводные'!$B$234="Да",MAX('01_Вводные'!$B$157*'19_Расчет_аналитики'!H3753,'01_Вводные'!$B$156*MAX(0,'19_Расчет_аналитики'!H3774)),0)</f>
        <v/>
      </c>
      <c r="I3776">
        <f>IF('01_Вводные'!$B$234="Да",MAX('01_Вводные'!$B$157*'19_Расчет_аналитики'!I3753,'01_Вводные'!$B$156*MAX(0,'19_Расчет_аналитики'!I3774)),0)</f>
        <v/>
      </c>
      <c r="J3776">
        <f>IF('01_Вводные'!$B$234="Да",MAX('01_Вводные'!$B$157*'19_Расчет_аналитики'!J3753,'01_Вводные'!$B$156*MAX(0,'19_Расчет_аналитики'!J3774)),0)</f>
        <v/>
      </c>
      <c r="K3776">
        <f>IF('01_Вводные'!$B$234="Да",MAX('01_Вводные'!$B$157*'19_Расчет_аналитики'!K3753,'01_Вводные'!$B$156*MAX(0,'19_Расчет_аналитики'!K3774)),0)</f>
        <v/>
      </c>
      <c r="L3776">
        <f>IF('01_Вводные'!$B$234="Да",MAX('01_Вводные'!$B$157*'19_Расчет_аналитики'!L3753,'01_Вводные'!$B$156*MAX(0,'19_Расчет_аналитики'!L3774)),0)</f>
        <v/>
      </c>
      <c r="M3776">
        <f>IF('01_Вводные'!$B$234="Да",MAX('01_Вводные'!$B$157*'19_Расчет_аналитики'!M3753,'01_Вводные'!$B$156*MAX(0,'19_Расчет_аналитики'!M3774)),0)</f>
        <v/>
      </c>
      <c r="N3776">
        <f>IF('01_Вводные'!$B$234="Да",MAX('01_Вводные'!$B$157*'19_Расчет_аналитики'!N3753,'01_Вводные'!$B$156*MAX(0,'19_Расчет_аналитики'!N3774)),0)</f>
        <v/>
      </c>
      <c r="O3776">
        <f>IF('01_Вводные'!$B$234="Да",MAX('01_Вводные'!$B$157*'19_Расчет_аналитики'!O3753,'01_Вводные'!$B$156*MAX(0,'19_Расчет_аналитики'!O3774)),0)</f>
        <v/>
      </c>
      <c r="P3776">
        <f>IF('01_Вводные'!$B$234="Да",MAX('01_Вводные'!$B$157*'19_Расчет_аналитики'!P3753,'01_Вводные'!$B$156*MAX(0,'19_Расчет_аналитики'!P3774)),0)</f>
        <v/>
      </c>
      <c r="Q3776">
        <f>IF('01_Вводные'!$B$234="Да",MAX('01_Вводные'!$B$157*'19_Расчет_аналитики'!Q3753,'01_Вводные'!$B$156*MAX(0,'19_Расчет_аналитики'!Q3774)),0)</f>
        <v/>
      </c>
      <c r="R3776">
        <f>IF('01_Вводные'!$B$234="Да",MAX('01_Вводные'!$B$157*'19_Расчет_аналитики'!R3753,'01_Вводные'!$B$156*MAX(0,'19_Расчет_аналитики'!R3774)),0)</f>
        <v/>
      </c>
      <c r="S3776">
        <f>IF('01_Вводные'!$B$234="Да",MAX('01_Вводные'!$B$157*'19_Расчет_аналитики'!S3753,'01_Вводные'!$B$156*MAX(0,'19_Расчет_аналитики'!S3774)),0)</f>
        <v/>
      </c>
      <c r="T3776">
        <f>IF('01_Вводные'!$B$234="Да",MAX('01_Вводные'!$B$157*'19_Расчет_аналитики'!T3753,'01_Вводные'!$B$156*MAX(0,'19_Расчет_аналитики'!T3774)),0)</f>
        <v/>
      </c>
      <c r="U3776">
        <f>IF('01_Вводные'!$B$234="Да",MAX('01_Вводные'!$B$157*'19_Расчет_аналитики'!U3753,'01_Вводные'!$B$156*MAX(0,'19_Расчет_аналитики'!U3774)),0)</f>
        <v/>
      </c>
      <c r="V3776">
        <f>IF('01_Вводные'!$B$234="Да",MAX('01_Вводные'!$B$157*'19_Расчет_аналитики'!V3753,'01_Вводные'!$B$156*MAX(0,'19_Расчет_аналитики'!V3774)),0)</f>
        <v/>
      </c>
      <c r="W3776">
        <f>IF('01_Вводные'!$B$234="Да",MAX('01_Вводные'!$B$157*'19_Расчет_аналитики'!W3753,'01_Вводные'!$B$156*MAX(0,'19_Расчет_аналитики'!W3774)),0)</f>
        <v/>
      </c>
      <c r="X3776">
        <f>IF('01_Вводные'!$B$234="Да",MAX('01_Вводные'!$B$157*'19_Расчет_аналитики'!X3753,'01_Вводные'!$B$156*MAX(0,'19_Расчет_аналитики'!X3774)),0)</f>
        <v/>
      </c>
      <c r="Y3776">
        <f>IF('01_Вводные'!$B$234="Да",MAX('01_Вводные'!$B$157*'19_Расчет_аналитики'!Y3753,'01_Вводные'!$B$156*MAX(0,'19_Расчет_аналитики'!Y3774)),0)</f>
        <v/>
      </c>
      <c r="Z3776">
        <f>IF('01_Вводные'!$B$234="Да",MAX('01_Вводные'!$B$157*'19_Расчет_аналитики'!Z3753,'01_Вводные'!$B$156*MAX(0,'19_Расчет_аналитики'!Z3774)),0)</f>
        <v/>
      </c>
      <c r="AA3776">
        <f>IF('01_Вводные'!$B$234="Да",MAX('01_Вводные'!$B$157*'19_Расчет_аналитики'!AA3753,'01_Вводные'!$B$156*MAX(0,'19_Расчет_аналитики'!AA3774)),0)</f>
        <v/>
      </c>
      <c r="AB3776">
        <f>IF('01_Вводные'!$B$234="Да",MAX('01_Вводные'!$B$157*'19_Расчет_аналитики'!AB3753,'01_Вводные'!$B$156*MAX(0,'19_Расчет_аналитики'!AB3774)),0)</f>
        <v/>
      </c>
      <c r="AC3776">
        <f>IF('01_Вводные'!$B$234="Да",MAX('01_Вводные'!$B$157*'19_Расчет_аналитики'!AC3753,'01_Вводные'!$B$156*MAX(0,'19_Расчет_аналитики'!AC3774)),0)</f>
        <v/>
      </c>
      <c r="AD3776">
        <f>IF('01_Вводные'!$B$234="Да",MAX('01_Вводные'!$B$157*'19_Расчет_аналитики'!AD3753,'01_Вводные'!$B$156*MAX(0,'19_Расчет_аналитики'!AD3774)),0)</f>
        <v/>
      </c>
      <c r="AE3776">
        <f>IF('01_Вводные'!$B$234="Да",MAX('01_Вводные'!$B$157*'19_Расчет_аналитики'!AE3753,'01_Вводные'!$B$156*MAX(0,'19_Расчет_аналитики'!AE3774)),0)</f>
        <v/>
      </c>
      <c r="AF3776">
        <f>IF('01_Вводные'!$B$234="Да",MAX('01_Вводные'!$B$157*'19_Расчет_аналитики'!AF3753,'01_Вводные'!$B$156*MAX(0,'19_Расчет_аналитики'!AF3774)),0)</f>
        <v/>
      </c>
      <c r="AG3776">
        <f>IF('01_Вводные'!$B$234="Да",MAX('01_Вводные'!$B$157*'19_Расчет_аналитики'!AG3753,'01_Вводные'!$B$156*MAX(0,'19_Расчет_аналитики'!AG3774)),0)</f>
        <v/>
      </c>
      <c r="AH3776">
        <f>IF('01_Вводные'!$B$234="Да",MAX('01_Вводные'!$B$157*'19_Расчет_аналитики'!AH3753,'01_Вводные'!$B$156*MAX(0,'19_Расчет_аналитики'!AH3774)),0)</f>
        <v/>
      </c>
      <c r="AI3776">
        <f>IF('01_Вводные'!$B$234="Да",MAX('01_Вводные'!$B$157*'19_Расчет_аналитики'!AI3753,'01_Вводные'!$B$156*MAX(0,'19_Расчет_аналитики'!AI3774)),0)</f>
        <v/>
      </c>
      <c r="AJ3776">
        <f>IF('01_Вводные'!$B$234="Да",MAX('01_Вводные'!$B$157*'19_Расчет_аналитики'!AJ3753,'01_Вводные'!$B$156*MAX(0,'19_Расчет_аналитики'!AJ3774)),0)</f>
        <v/>
      </c>
      <c r="AK3776">
        <f>IF('01_Вводные'!$B$234="Да",MAX('01_Вводные'!$B$157*'19_Расчет_аналитики'!AK3753,'01_Вводные'!$B$156*MAX(0,'19_Расчет_аналитики'!AK3774)),0)</f>
        <v/>
      </c>
      <c r="AL3776">
        <f>IF('01_Вводные'!$B$234="Да",MAX('01_Вводные'!$B$157*'19_Расчет_аналитики'!AL3753,'01_Вводные'!$B$156*MAX(0,'19_Расчет_аналитики'!AL3774)),0)</f>
        <v/>
      </c>
      <c r="AM3776">
        <f>IF('01_Вводные'!$B$234="Да",MAX('01_Вводные'!$B$157*'19_Расчет_аналитики'!AM3753,'01_Вводные'!$B$156*MAX(0,'19_Расчет_аналитики'!AM3774)),0)</f>
        <v/>
      </c>
      <c r="AN3776">
        <f>IF('01_Вводные'!$B$234="Да",MAX('01_Вводные'!$B$157*'19_Расчет_аналитики'!AN3753,'01_Вводные'!$B$156*MAX(0,'19_Расчет_аналитики'!AN3774)),0)</f>
        <v/>
      </c>
      <c r="AO3776">
        <f>IF('01_Вводные'!$B$234="Да",MAX('01_Вводные'!$B$157*'19_Расчет_аналитики'!AO3753,'01_Вводные'!$B$156*MAX(0,'19_Расчет_аналитики'!AO3774)),0)</f>
        <v/>
      </c>
      <c r="AP3776">
        <f>IF('01_Вводные'!$B$234="Да",MAX('01_Вводные'!$B$157*'19_Расчет_аналитики'!AP3753,'01_Вводные'!$B$156*MAX(0,'19_Расчет_аналитики'!AP3774)),0)</f>
        <v/>
      </c>
      <c r="AQ3776">
        <f>IF('01_Вводные'!$B$234="Да",MAX('01_Вводные'!$B$157*'19_Расчет_аналитики'!AQ3753,'01_Вводные'!$B$156*MAX(0,'19_Расчет_аналитики'!AQ3774)),0)</f>
        <v/>
      </c>
      <c r="AR3776">
        <f>IF('01_Вводные'!$B$234="Да",MAX('01_Вводные'!$B$157*'19_Расчет_аналитики'!AR3753,'01_Вводные'!$B$156*MAX(0,'19_Расчет_аналитики'!AR3774)),0)</f>
        <v/>
      </c>
      <c r="AS3776">
        <f>IF('01_Вводные'!$B$234="Да",MAX('01_Вводные'!$B$157*'19_Расчет_аналитики'!AS3753,'01_Вводные'!$B$156*MAX(0,'19_Расчет_аналитики'!AS3774)),0)</f>
        <v/>
      </c>
      <c r="AT3776">
        <f>IF('01_Вводные'!$B$234="Да",MAX('01_Вводные'!$B$157*'19_Расчет_аналитики'!AT3753,'01_Вводные'!$B$156*MAX(0,'19_Расчет_аналитики'!AT3774)),0)</f>
        <v/>
      </c>
      <c r="AU3776">
        <f>IF('01_Вводные'!$B$234="Да",MAX('01_Вводные'!$B$157*'19_Расчет_аналитики'!AU3753,'01_Вводные'!$B$156*MAX(0,'19_Расчет_аналитики'!AU3774)),0)</f>
        <v/>
      </c>
      <c r="AV3776">
        <f>IF('01_Вводные'!$B$234="Да",MAX('01_Вводные'!$B$157*'19_Расчет_аналитики'!AV3753,'01_Вводные'!$B$156*MAX(0,'19_Расчет_аналитики'!AV3774)),0)</f>
        <v/>
      </c>
      <c r="AW3776">
        <f>IF('01_Вводные'!$B$234="Да",MAX('01_Вводные'!$B$157*'19_Расчет_аналитики'!AW3753,'01_Вводные'!$B$156*MAX(0,'19_Расчет_аналитики'!AW3774)),0)</f>
        <v/>
      </c>
      <c r="AX3776">
        <f>IF('01_Вводные'!$B$234="Да",MAX('01_Вводные'!$B$157*'19_Расчет_аналитики'!AX3753,'01_Вводные'!$B$156*MAX(0,'19_Расчет_аналитики'!AX3774)),0)</f>
        <v/>
      </c>
      <c r="AY3776">
        <f>IF('01_Вводные'!$B$234="Да",MAX('01_Вводные'!$B$157*'19_Расчет_аналитики'!AY3753,'01_Вводные'!$B$156*MAX(0,'19_Расчет_аналитики'!AY3774)),0)</f>
        <v/>
      </c>
      <c r="AZ3776">
        <f>IF('01_Вводные'!$B$234="Да",MAX('01_Вводные'!$B$157*'19_Расчет_аналитики'!AZ3753,'01_Вводные'!$B$156*MAX(0,'19_Расчет_аналитики'!AZ3774)),0)</f>
        <v/>
      </c>
      <c r="BA3776">
        <f>IF('01_Вводные'!$B$234="Да",MAX('01_Вводные'!$B$157*'19_Расчет_аналитики'!BA3753,'01_Вводные'!$B$156*MAX(0,'19_Расчет_аналитики'!BA3774)),0)</f>
        <v/>
      </c>
      <c r="BB3776">
        <f>IF('01_Вводные'!$B$234="Да",MAX('01_Вводные'!$B$157*'19_Расчет_аналитики'!BB3753,'01_Вводные'!$B$156*MAX(0,'19_Расчет_аналитики'!BB3774)),0)</f>
        <v/>
      </c>
      <c r="BC3776">
        <f>IF('01_Вводные'!$B$234="Да",MAX('01_Вводные'!$B$157*'19_Расчет_аналитики'!BC3753,'01_Вводные'!$B$156*MAX(0,'19_Расчет_аналитики'!BC3774)),0)</f>
        <v/>
      </c>
      <c r="BD3776">
        <f>IF('01_Вводные'!$B$234="Да",MAX('01_Вводные'!$B$157*'19_Расчет_аналитики'!BD3753,'01_Вводные'!$B$156*MAX(0,'19_Расчет_аналитики'!BD3774)),0)</f>
        <v/>
      </c>
      <c r="BE3776">
        <f>IF('01_Вводные'!$B$234="Да",MAX('01_Вводные'!$B$157*'19_Расчет_аналитики'!BE3753,'01_Вводные'!$B$156*MAX(0,'19_Расчет_аналитики'!BE3774)),0)</f>
        <v/>
      </c>
      <c r="BF3776">
        <f>IF('01_Вводные'!$B$234="Да",MAX('01_Вводные'!$B$157*'19_Расчет_аналитики'!BF3753,'01_Вводные'!$B$156*MAX(0,'19_Расчет_аналитики'!BF3774)),0)</f>
        <v/>
      </c>
      <c r="BG3776">
        <f>IF('01_Вводные'!$B$234="Да",MAX('01_Вводные'!$B$157*'19_Расчет_аналитики'!BG3753,'01_Вводные'!$B$156*MAX(0,'19_Расчет_аналитики'!BG3774)),0)</f>
        <v/>
      </c>
      <c r="BH3776">
        <f>IF('01_Вводные'!$B$234="Да",MAX('01_Вводные'!$B$157*'19_Расчет_аналитики'!BH3753,'01_Вводные'!$B$156*MAX(0,'19_Расчет_аналитики'!BH3774)),0)</f>
        <v/>
      </c>
      <c r="BI3776">
        <f>IF('01_Вводные'!$B$234="Да",MAX('01_Вводные'!$B$157*'19_Расчет_аналитики'!BI3753,'01_Вводные'!$B$156*MAX(0,'19_Расчет_аналитики'!BI3774)),0)</f>
        <v/>
      </c>
    </row>
    <row r="3777">
      <c r="B3777">
        <f>IF('01_Вводные'!$B$234="Да",'19_Расчет_аналитики'!B3774-'19_Расчет_аналитики'!B3776,0)</f>
        <v/>
      </c>
      <c r="C3777">
        <f>IF('01_Вводные'!$B$234="Да",'19_Расчет_аналитики'!C3774-'19_Расчет_аналитики'!C3776,0)</f>
        <v/>
      </c>
      <c r="D3777">
        <f>IF('01_Вводные'!$B$234="Да",'19_Расчет_аналитики'!D3774-'19_Расчет_аналитики'!D3776,0)</f>
        <v/>
      </c>
      <c r="E3777">
        <f>IF('01_Вводные'!$B$234="Да",'19_Расчет_аналитики'!E3774-'19_Расчет_аналитики'!E3776,0)</f>
        <v/>
      </c>
      <c r="F3777">
        <f>IF('01_Вводные'!$B$234="Да",'19_Расчет_аналитики'!F3774-'19_Расчет_аналитики'!F3776,0)</f>
        <v/>
      </c>
      <c r="G3777">
        <f>IF('01_Вводные'!$B$234="Да",'19_Расчет_аналитики'!G3774-'19_Расчет_аналитики'!G3776,0)</f>
        <v/>
      </c>
      <c r="H3777">
        <f>IF('01_Вводные'!$B$234="Да",'19_Расчет_аналитики'!H3774-'19_Расчет_аналитики'!H3776,0)</f>
        <v/>
      </c>
      <c r="I3777">
        <f>IF('01_Вводные'!$B$234="Да",'19_Расчет_аналитики'!I3774-'19_Расчет_аналитики'!I3776,0)</f>
        <v/>
      </c>
      <c r="J3777">
        <f>IF('01_Вводные'!$B$234="Да",'19_Расчет_аналитики'!J3774-'19_Расчет_аналитики'!J3776,0)</f>
        <v/>
      </c>
      <c r="K3777">
        <f>IF('01_Вводные'!$B$234="Да",'19_Расчет_аналитики'!K3774-'19_Расчет_аналитики'!K3776,0)</f>
        <v/>
      </c>
      <c r="L3777">
        <f>IF('01_Вводные'!$B$234="Да",'19_Расчет_аналитики'!L3774-'19_Расчет_аналитики'!L3776,0)</f>
        <v/>
      </c>
      <c r="M3777">
        <f>IF('01_Вводные'!$B$234="Да",'19_Расчет_аналитики'!M3774-'19_Расчет_аналитики'!M3776,0)</f>
        <v/>
      </c>
      <c r="N3777">
        <f>IF('01_Вводные'!$B$234="Да",'19_Расчет_аналитики'!N3774-'19_Расчет_аналитики'!N3776,0)</f>
        <v/>
      </c>
      <c r="O3777">
        <f>IF('01_Вводные'!$B$234="Да",'19_Расчет_аналитики'!O3774-'19_Расчет_аналитики'!O3776,0)</f>
        <v/>
      </c>
      <c r="P3777">
        <f>IF('01_Вводные'!$B$234="Да",'19_Расчет_аналитики'!P3774-'19_Расчет_аналитики'!P3776,0)</f>
        <v/>
      </c>
      <c r="Q3777">
        <f>IF('01_Вводные'!$B$234="Да",'19_Расчет_аналитики'!Q3774-'19_Расчет_аналитики'!Q3776,0)</f>
        <v/>
      </c>
      <c r="R3777">
        <f>IF('01_Вводные'!$B$234="Да",'19_Расчет_аналитики'!R3774-'19_Расчет_аналитики'!R3776,0)</f>
        <v/>
      </c>
      <c r="S3777">
        <f>IF('01_Вводные'!$B$234="Да",'19_Расчет_аналитики'!S3774-'19_Расчет_аналитики'!S3776,0)</f>
        <v/>
      </c>
      <c r="T3777">
        <f>IF('01_Вводные'!$B$234="Да",'19_Расчет_аналитики'!T3774-'19_Расчет_аналитики'!T3776,0)</f>
        <v/>
      </c>
      <c r="U3777">
        <f>IF('01_Вводные'!$B$234="Да",'19_Расчет_аналитики'!U3774-'19_Расчет_аналитики'!U3776,0)</f>
        <v/>
      </c>
      <c r="V3777">
        <f>IF('01_Вводные'!$B$234="Да",'19_Расчет_аналитики'!V3774-'19_Расчет_аналитики'!V3776,0)</f>
        <v/>
      </c>
      <c r="W3777">
        <f>IF('01_Вводные'!$B$234="Да",'19_Расчет_аналитики'!W3774-'19_Расчет_аналитики'!W3776,0)</f>
        <v/>
      </c>
      <c r="X3777">
        <f>IF('01_Вводные'!$B$234="Да",'19_Расчет_аналитики'!X3774-'19_Расчет_аналитики'!X3776,0)</f>
        <v/>
      </c>
      <c r="Y3777">
        <f>IF('01_Вводные'!$B$234="Да",'19_Расчет_аналитики'!Y3774-'19_Расчет_аналитики'!Y3776,0)</f>
        <v/>
      </c>
      <c r="Z3777">
        <f>IF('01_Вводные'!$B$234="Да",'19_Расчет_аналитики'!Z3774-'19_Расчет_аналитики'!Z3776,0)</f>
        <v/>
      </c>
      <c r="AA3777">
        <f>IF('01_Вводные'!$B$234="Да",'19_Расчет_аналитики'!AA3774-'19_Расчет_аналитики'!AA3776,0)</f>
        <v/>
      </c>
      <c r="AB3777">
        <f>IF('01_Вводные'!$B$234="Да",'19_Расчет_аналитики'!AB3774-'19_Расчет_аналитики'!AB3776,0)</f>
        <v/>
      </c>
      <c r="AC3777">
        <f>IF('01_Вводные'!$B$234="Да",'19_Расчет_аналитики'!AC3774-'19_Расчет_аналитики'!AC3776,0)</f>
        <v/>
      </c>
      <c r="AD3777">
        <f>IF('01_Вводные'!$B$234="Да",'19_Расчет_аналитики'!AD3774-'19_Расчет_аналитики'!AD3776,0)</f>
        <v/>
      </c>
      <c r="AE3777">
        <f>IF('01_Вводные'!$B$234="Да",'19_Расчет_аналитики'!AE3774-'19_Расчет_аналитики'!AE3776,0)</f>
        <v/>
      </c>
      <c r="AF3777">
        <f>IF('01_Вводные'!$B$234="Да",'19_Расчет_аналитики'!AF3774-'19_Расчет_аналитики'!AF3776,0)</f>
        <v/>
      </c>
      <c r="AG3777">
        <f>IF('01_Вводные'!$B$234="Да",'19_Расчет_аналитики'!AG3774-'19_Расчет_аналитики'!AG3776,0)</f>
        <v/>
      </c>
      <c r="AH3777">
        <f>IF('01_Вводные'!$B$234="Да",'19_Расчет_аналитики'!AH3774-'19_Расчет_аналитики'!AH3776,0)</f>
        <v/>
      </c>
      <c r="AI3777">
        <f>IF('01_Вводные'!$B$234="Да",'19_Расчет_аналитики'!AI3774-'19_Расчет_аналитики'!AI3776,0)</f>
        <v/>
      </c>
      <c r="AJ3777">
        <f>IF('01_Вводные'!$B$234="Да",'19_Расчет_аналитики'!AJ3774-'19_Расчет_аналитики'!AJ3776,0)</f>
        <v/>
      </c>
      <c r="AK3777">
        <f>IF('01_Вводные'!$B$234="Да",'19_Расчет_аналитики'!AK3774-'19_Расчет_аналитики'!AK3776,0)</f>
        <v/>
      </c>
      <c r="AL3777">
        <f>IF('01_Вводные'!$B$234="Да",'19_Расчет_аналитики'!AL3774-'19_Расчет_аналитики'!AL3776,0)</f>
        <v/>
      </c>
      <c r="AM3777">
        <f>IF('01_Вводные'!$B$234="Да",'19_Расчет_аналитики'!AM3774-'19_Расчет_аналитики'!AM3776,0)</f>
        <v/>
      </c>
      <c r="AN3777">
        <f>IF('01_Вводные'!$B$234="Да",'19_Расчет_аналитики'!AN3774-'19_Расчет_аналитики'!AN3776,0)</f>
        <v/>
      </c>
      <c r="AO3777">
        <f>IF('01_Вводные'!$B$234="Да",'19_Расчет_аналитики'!AO3774-'19_Расчет_аналитики'!AO3776,0)</f>
        <v/>
      </c>
      <c r="AP3777">
        <f>IF('01_Вводные'!$B$234="Да",'19_Расчет_аналитики'!AP3774-'19_Расчет_аналитики'!AP3776,0)</f>
        <v/>
      </c>
      <c r="AQ3777">
        <f>IF('01_Вводные'!$B$234="Да",'19_Расчет_аналитики'!AQ3774-'19_Расчет_аналитики'!AQ3776,0)</f>
        <v/>
      </c>
      <c r="AR3777">
        <f>IF('01_Вводные'!$B$234="Да",'19_Расчет_аналитики'!AR3774-'19_Расчет_аналитики'!AR3776,0)</f>
        <v/>
      </c>
      <c r="AS3777">
        <f>IF('01_Вводные'!$B$234="Да",'19_Расчет_аналитики'!AS3774-'19_Расчет_аналитики'!AS3776,0)</f>
        <v/>
      </c>
      <c r="AT3777">
        <f>IF('01_Вводные'!$B$234="Да",'19_Расчет_аналитики'!AT3774-'19_Расчет_аналитики'!AT3776,0)</f>
        <v/>
      </c>
      <c r="AU3777">
        <f>IF('01_Вводные'!$B$234="Да",'19_Расчет_аналитики'!AU3774-'19_Расчет_аналитики'!AU3776,0)</f>
        <v/>
      </c>
      <c r="AV3777">
        <f>IF('01_Вводные'!$B$234="Да",'19_Расчет_аналитики'!AV3774-'19_Расчет_аналитики'!AV3776,0)</f>
        <v/>
      </c>
      <c r="AW3777">
        <f>IF('01_Вводные'!$B$234="Да",'19_Расчет_аналитики'!AW3774-'19_Расчет_аналитики'!AW3776,0)</f>
        <v/>
      </c>
      <c r="AX3777">
        <f>IF('01_Вводные'!$B$234="Да",'19_Расчет_аналитики'!AX3774-'19_Расчет_аналитики'!AX3776,0)</f>
        <v/>
      </c>
      <c r="AY3777">
        <f>IF('01_Вводные'!$B$234="Да",'19_Расчет_аналитики'!AY3774-'19_Расчет_аналитики'!AY3776,0)</f>
        <v/>
      </c>
      <c r="AZ3777">
        <f>IF('01_Вводные'!$B$234="Да",'19_Расчет_аналитики'!AZ3774-'19_Расчет_аналитики'!AZ3776,0)</f>
        <v/>
      </c>
      <c r="BA3777">
        <f>IF('01_Вводные'!$B$234="Да",'19_Расчет_аналитики'!BA3774-'19_Расчет_аналитики'!BA3776,0)</f>
        <v/>
      </c>
      <c r="BB3777">
        <f>IF('01_Вводные'!$B$234="Да",'19_Расчет_аналитики'!BB3774-'19_Расчет_аналитики'!BB3776,0)</f>
        <v/>
      </c>
      <c r="BC3777">
        <f>IF('01_Вводные'!$B$234="Да",'19_Расчет_аналитики'!BC3774-'19_Расчет_аналитики'!BC3776,0)</f>
        <v/>
      </c>
      <c r="BD3777">
        <f>IF('01_Вводные'!$B$234="Да",'19_Расчет_аналитики'!BD3774-'19_Расчет_аналитики'!BD3776,0)</f>
        <v/>
      </c>
      <c r="BE3777">
        <f>IF('01_Вводные'!$B$234="Да",'19_Расчет_аналитики'!BE3774-'19_Расчет_аналитики'!BE3776,0)</f>
        <v/>
      </c>
      <c r="BF3777">
        <f>IF('01_Вводные'!$B$234="Да",'19_Расчет_аналитики'!BF3774-'19_Расчет_аналитики'!BF3776,0)</f>
        <v/>
      </c>
      <c r="BG3777">
        <f>IF('01_Вводные'!$B$234="Да",'19_Расчет_аналитики'!BG3774-'19_Расчет_аналитики'!BG3776,0)</f>
        <v/>
      </c>
      <c r="BH3777">
        <f>IF('01_Вводные'!$B$234="Да",'19_Расчет_аналитики'!BH3774-'19_Расчет_аналитики'!BH3776,0)</f>
        <v/>
      </c>
      <c r="BI3777">
        <f>IF('01_Вводные'!$B$234="Да",'19_Расчет_аналитики'!BI3774-'19_Расчет_аналитики'!BI3776,0)</f>
        <v/>
      </c>
    </row>
    <row r="3778"/>
    <row r="3779"/>
    <row r="3780"/>
    <row r="3781">
      <c r="C3781">
        <f>IF('01_Вводные'!$B$234="Да",'19_Расчет_аналитики'!B3802,0)</f>
        <v/>
      </c>
      <c r="D3781">
        <f>IF('01_Вводные'!$B$234="Да",'19_Расчет_аналитики'!C3802,0)</f>
        <v/>
      </c>
      <c r="E3781">
        <f>IF('01_Вводные'!$B$234="Да",'19_Расчет_аналитики'!D3802,0)</f>
        <v/>
      </c>
      <c r="F3781">
        <f>IF('01_Вводные'!$B$234="Да",'19_Расчет_аналитики'!E3802,0)</f>
        <v/>
      </c>
      <c r="G3781">
        <f>IF('01_Вводные'!$B$234="Да",'19_Расчет_аналитики'!F3802,0)</f>
        <v/>
      </c>
      <c r="H3781">
        <f>IF('01_Вводные'!$B$234="Да",'19_Расчет_аналитики'!G3802,0)</f>
        <v/>
      </c>
      <c r="I3781">
        <f>IF('01_Вводные'!$B$234="Да",'19_Расчет_аналитики'!H3802,0)</f>
        <v/>
      </c>
      <c r="J3781">
        <f>IF('01_Вводные'!$B$234="Да",'19_Расчет_аналитики'!I3802,0)</f>
        <v/>
      </c>
      <c r="K3781">
        <f>IF('01_Вводные'!$B$234="Да",'19_Расчет_аналитики'!J3802,0)</f>
        <v/>
      </c>
      <c r="L3781">
        <f>IF('01_Вводные'!$B$234="Да",'19_Расчет_аналитики'!K3802,0)</f>
        <v/>
      </c>
      <c r="M3781">
        <f>IF('01_Вводные'!$B$234="Да",'19_Расчет_аналитики'!L3802,0)</f>
        <v/>
      </c>
      <c r="N3781">
        <f>IF('01_Вводные'!$B$234="Да",'19_Расчет_аналитики'!M3802,0)</f>
        <v/>
      </c>
      <c r="O3781">
        <f>IF('01_Вводные'!$B$234="Да",'19_Расчет_аналитики'!N3802,0)</f>
        <v/>
      </c>
      <c r="P3781">
        <f>IF('01_Вводные'!$B$234="Да",'19_Расчет_аналитики'!O3802,0)</f>
        <v/>
      </c>
      <c r="Q3781">
        <f>IF('01_Вводные'!$B$234="Да",'19_Расчет_аналитики'!P3802,0)</f>
        <v/>
      </c>
      <c r="R3781">
        <f>IF('01_Вводные'!$B$234="Да",'19_Расчет_аналитики'!Q3802,0)</f>
        <v/>
      </c>
      <c r="S3781">
        <f>IF('01_Вводные'!$B$234="Да",'19_Расчет_аналитики'!R3802,0)</f>
        <v/>
      </c>
      <c r="T3781">
        <f>IF('01_Вводные'!$B$234="Да",'19_Расчет_аналитики'!S3802,0)</f>
        <v/>
      </c>
      <c r="U3781">
        <f>IF('01_Вводные'!$B$234="Да",'19_Расчет_аналитики'!T3802,0)</f>
        <v/>
      </c>
      <c r="V3781">
        <f>IF('01_Вводные'!$B$234="Да",'19_Расчет_аналитики'!U3802,0)</f>
        <v/>
      </c>
      <c r="W3781">
        <f>IF('01_Вводные'!$B$234="Да",'19_Расчет_аналитики'!V3802,0)</f>
        <v/>
      </c>
      <c r="X3781">
        <f>IF('01_Вводные'!$B$234="Да",'19_Расчет_аналитики'!W3802,0)</f>
        <v/>
      </c>
      <c r="Y3781">
        <f>IF('01_Вводные'!$B$234="Да",'19_Расчет_аналитики'!X3802,0)</f>
        <v/>
      </c>
      <c r="Z3781">
        <f>IF('01_Вводные'!$B$234="Да",'19_Расчет_аналитики'!Y3802,0)</f>
        <v/>
      </c>
      <c r="AA3781">
        <f>IF('01_Вводные'!$B$234="Да",'19_Расчет_аналитики'!Z3802,0)</f>
        <v/>
      </c>
      <c r="AB3781">
        <f>IF('01_Вводные'!$B$234="Да",'19_Расчет_аналитики'!AA3802,0)</f>
        <v/>
      </c>
      <c r="AC3781">
        <f>IF('01_Вводные'!$B$234="Да",'19_Расчет_аналитики'!AB3802,0)</f>
        <v/>
      </c>
      <c r="AD3781">
        <f>IF('01_Вводные'!$B$234="Да",'19_Расчет_аналитики'!AC3802,0)</f>
        <v/>
      </c>
      <c r="AE3781">
        <f>IF('01_Вводные'!$B$234="Да",'19_Расчет_аналитики'!AD3802,0)</f>
        <v/>
      </c>
      <c r="AF3781">
        <f>IF('01_Вводные'!$B$234="Да",'19_Расчет_аналитики'!AE3802,0)</f>
        <v/>
      </c>
      <c r="AG3781">
        <f>IF('01_Вводные'!$B$234="Да",'19_Расчет_аналитики'!AF3802,0)</f>
        <v/>
      </c>
      <c r="AH3781">
        <f>IF('01_Вводные'!$B$234="Да",'19_Расчет_аналитики'!AG3802,0)</f>
        <v/>
      </c>
      <c r="AI3781">
        <f>IF('01_Вводные'!$B$234="Да",'19_Расчет_аналитики'!AH3802,0)</f>
        <v/>
      </c>
      <c r="AJ3781">
        <f>IF('01_Вводные'!$B$234="Да",'19_Расчет_аналитики'!AI3802,0)</f>
        <v/>
      </c>
      <c r="AK3781">
        <f>IF('01_Вводные'!$B$234="Да",'19_Расчет_аналитики'!AJ3802,0)</f>
        <v/>
      </c>
      <c r="AL3781">
        <f>IF('01_Вводные'!$B$234="Да",'19_Расчет_аналитики'!AK3802,0)</f>
        <v/>
      </c>
      <c r="AM3781">
        <f>IF('01_Вводные'!$B$234="Да",'19_Расчет_аналитики'!AL3802,0)</f>
        <v/>
      </c>
      <c r="AN3781">
        <f>IF('01_Вводные'!$B$234="Да",'19_Расчет_аналитики'!AM3802,0)</f>
        <v/>
      </c>
      <c r="AO3781">
        <f>IF('01_Вводные'!$B$234="Да",'19_Расчет_аналитики'!AN3802,0)</f>
        <v/>
      </c>
      <c r="AP3781">
        <f>IF('01_Вводные'!$B$234="Да",'19_Расчет_аналитики'!AO3802,0)</f>
        <v/>
      </c>
      <c r="AQ3781">
        <f>IF('01_Вводные'!$B$234="Да",'19_Расчет_аналитики'!AP3802,0)</f>
        <v/>
      </c>
      <c r="AR3781">
        <f>IF('01_Вводные'!$B$234="Да",'19_Расчет_аналитики'!AQ3802,0)</f>
        <v/>
      </c>
      <c r="AS3781">
        <f>IF('01_Вводные'!$B$234="Да",'19_Расчет_аналитики'!AR3802,0)</f>
        <v/>
      </c>
      <c r="AT3781">
        <f>IF('01_Вводные'!$B$234="Да",'19_Расчет_аналитики'!AS3802,0)</f>
        <v/>
      </c>
      <c r="AU3781">
        <f>IF('01_Вводные'!$B$234="Да",'19_Расчет_аналитики'!AT3802,0)</f>
        <v/>
      </c>
      <c r="AV3781">
        <f>IF('01_Вводные'!$B$234="Да",'19_Расчет_аналитики'!AU3802,0)</f>
        <v/>
      </c>
      <c r="AW3781">
        <f>IF('01_Вводные'!$B$234="Да",'19_Расчет_аналитики'!AV3802,0)</f>
        <v/>
      </c>
      <c r="AX3781">
        <f>IF('01_Вводные'!$B$234="Да",'19_Расчет_аналитики'!AW3802,0)</f>
        <v/>
      </c>
      <c r="AY3781">
        <f>IF('01_Вводные'!$B$234="Да",'19_Расчет_аналитики'!AX3802,0)</f>
        <v/>
      </c>
      <c r="AZ3781">
        <f>IF('01_Вводные'!$B$234="Да",'19_Расчет_аналитики'!AY3802,0)</f>
        <v/>
      </c>
      <c r="BA3781">
        <f>IF('01_Вводные'!$B$234="Да",'19_Расчет_аналитики'!AZ3802,0)</f>
        <v/>
      </c>
      <c r="BB3781">
        <f>IF('01_Вводные'!$B$234="Да",'19_Расчет_аналитики'!BA3802,0)</f>
        <v/>
      </c>
      <c r="BC3781">
        <f>IF('01_Вводные'!$B$234="Да",'19_Расчет_аналитики'!BB3802,0)</f>
        <v/>
      </c>
      <c r="BD3781">
        <f>IF('01_Вводные'!$B$234="Да",'19_Расчет_аналитики'!BC3802,0)</f>
        <v/>
      </c>
      <c r="BE3781">
        <f>IF('01_Вводные'!$B$234="Да",'19_Расчет_аналитики'!BD3802,0)</f>
        <v/>
      </c>
      <c r="BF3781">
        <f>IF('01_Вводные'!$B$234="Да",'19_Расчет_аналитики'!BE3802,0)</f>
        <v/>
      </c>
      <c r="BG3781">
        <f>IF('01_Вводные'!$B$234="Да",'19_Расчет_аналитики'!BF3802,0)</f>
        <v/>
      </c>
      <c r="BH3781">
        <f>IF('01_Вводные'!$B$234="Да",'19_Расчет_аналитики'!BG3802,0)</f>
        <v/>
      </c>
      <c r="BI3781">
        <f>IF('01_Вводные'!$B$234="Да",'19_Расчет_аналитики'!BH3802,0)</f>
        <v/>
      </c>
    </row>
    <row r="3782">
      <c r="B3782">
        <f>'02_Модель'!B52</f>
        <v/>
      </c>
      <c r="C3782">
        <f>IF('01_Вводные'!$B$234="Да",'19_Расчет_аналитики'!C3384,0)</f>
        <v/>
      </c>
      <c r="D3782">
        <f>IF('01_Вводные'!$B$234="Да",'19_Расчет_аналитики'!D3384,0)</f>
        <v/>
      </c>
      <c r="E3782">
        <f>IF('01_Вводные'!$B$234="Да",'19_Расчет_аналитики'!E3384,0)</f>
        <v/>
      </c>
      <c r="F3782">
        <f>IF('01_Вводные'!$B$234="Да",'19_Расчет_аналитики'!F3384,0)</f>
        <v/>
      </c>
      <c r="G3782">
        <f>IF('01_Вводные'!$B$234="Да",'19_Расчет_аналитики'!G3384,0)</f>
        <v/>
      </c>
      <c r="H3782">
        <f>IF('01_Вводные'!$B$234="Да",'19_Расчет_аналитики'!H3384,0)</f>
        <v/>
      </c>
      <c r="I3782">
        <f>IF('01_Вводные'!$B$234="Да",'19_Расчет_аналитики'!I3384,0)</f>
        <v/>
      </c>
      <c r="J3782">
        <f>IF('01_Вводные'!$B$234="Да",'19_Расчет_аналитики'!J3384,0)</f>
        <v/>
      </c>
      <c r="K3782">
        <f>IF('01_Вводные'!$B$234="Да",'19_Расчет_аналитики'!K3384,0)</f>
        <v/>
      </c>
      <c r="L3782">
        <f>IF('01_Вводные'!$B$234="Да",'19_Расчет_аналитики'!L3384,0)</f>
        <v/>
      </c>
      <c r="M3782">
        <f>IF('01_Вводные'!$B$234="Да",'19_Расчет_аналитики'!M3384,0)</f>
        <v/>
      </c>
      <c r="N3782">
        <f>IF('01_Вводные'!$B$234="Да",'19_Расчет_аналитики'!N3384,0)</f>
        <v/>
      </c>
      <c r="O3782">
        <f>IF('01_Вводные'!$B$234="Да",'19_Расчет_аналитики'!O3384,0)</f>
        <v/>
      </c>
      <c r="P3782">
        <f>IF('01_Вводные'!$B$234="Да",'19_Расчет_аналитики'!P3384,0)</f>
        <v/>
      </c>
      <c r="Q3782">
        <f>IF('01_Вводные'!$B$234="Да",'19_Расчет_аналитики'!Q3384,0)</f>
        <v/>
      </c>
      <c r="R3782">
        <f>IF('01_Вводные'!$B$234="Да",'19_Расчет_аналитики'!R3384,0)</f>
        <v/>
      </c>
      <c r="S3782">
        <f>IF('01_Вводные'!$B$234="Да",'19_Расчет_аналитики'!S3384,0)</f>
        <v/>
      </c>
      <c r="T3782">
        <f>IF('01_Вводные'!$B$234="Да",'19_Расчет_аналитики'!T3384,0)</f>
        <v/>
      </c>
      <c r="U3782">
        <f>IF('01_Вводные'!$B$234="Да",'19_Расчет_аналитики'!U3384,0)</f>
        <v/>
      </c>
      <c r="V3782">
        <f>IF('01_Вводные'!$B$234="Да",'19_Расчет_аналитики'!V3384,0)</f>
        <v/>
      </c>
      <c r="W3782">
        <f>IF('01_Вводные'!$B$234="Да",'19_Расчет_аналитики'!W3384,0)</f>
        <v/>
      </c>
      <c r="X3782">
        <f>IF('01_Вводные'!$B$234="Да",'19_Расчет_аналитики'!X3384,0)</f>
        <v/>
      </c>
      <c r="Y3782">
        <f>IF('01_Вводные'!$B$234="Да",'19_Расчет_аналитики'!Y3384,0)</f>
        <v/>
      </c>
      <c r="Z3782">
        <f>IF('01_Вводные'!$B$234="Да",'19_Расчет_аналитики'!Z3384,0)</f>
        <v/>
      </c>
      <c r="AA3782">
        <f>IF('01_Вводные'!$B$234="Да",'19_Расчет_аналитики'!AA3384,0)</f>
        <v/>
      </c>
      <c r="AB3782">
        <f>IF('01_Вводные'!$B$234="Да",'19_Расчет_аналитики'!AB3384,0)</f>
        <v/>
      </c>
      <c r="AC3782">
        <f>IF('01_Вводные'!$B$234="Да",'19_Расчет_аналитики'!AC3384,0)</f>
        <v/>
      </c>
      <c r="AD3782">
        <f>IF('01_Вводные'!$B$234="Да",'19_Расчет_аналитики'!AD3384,0)</f>
        <v/>
      </c>
      <c r="AE3782">
        <f>IF('01_Вводные'!$B$234="Да",'19_Расчет_аналитики'!AE3384,0)</f>
        <v/>
      </c>
      <c r="AF3782">
        <f>IF('01_Вводные'!$B$234="Да",'19_Расчет_аналитики'!AF3384,0)</f>
        <v/>
      </c>
      <c r="AG3782">
        <f>IF('01_Вводные'!$B$234="Да",'19_Расчет_аналитики'!AG3384,0)</f>
        <v/>
      </c>
      <c r="AH3782">
        <f>IF('01_Вводные'!$B$234="Да",'19_Расчет_аналитики'!AH3384,0)</f>
        <v/>
      </c>
      <c r="AI3782">
        <f>IF('01_Вводные'!$B$234="Да",'19_Расчет_аналитики'!AI3384,0)</f>
        <v/>
      </c>
      <c r="AJ3782">
        <f>IF('01_Вводные'!$B$234="Да",'19_Расчет_аналитики'!AJ3384,0)</f>
        <v/>
      </c>
      <c r="AK3782">
        <f>IF('01_Вводные'!$B$234="Да",'19_Расчет_аналитики'!AK3384,0)</f>
        <v/>
      </c>
      <c r="AL3782">
        <f>IF('01_Вводные'!$B$234="Да",'19_Расчет_аналитики'!AL3384,0)</f>
        <v/>
      </c>
      <c r="AM3782">
        <f>IF('01_Вводные'!$B$234="Да",'19_Расчет_аналитики'!AM3384,0)</f>
        <v/>
      </c>
      <c r="AN3782">
        <f>IF('01_Вводные'!$B$234="Да",'19_Расчет_аналитики'!AN3384,0)</f>
        <v/>
      </c>
      <c r="AO3782">
        <f>IF('01_Вводные'!$B$234="Да",'19_Расчет_аналитики'!AO3384,0)</f>
        <v/>
      </c>
      <c r="AP3782">
        <f>IF('01_Вводные'!$B$234="Да",'19_Расчет_аналитики'!AP3384,0)</f>
        <v/>
      </c>
      <c r="AQ3782">
        <f>IF('01_Вводные'!$B$234="Да",'19_Расчет_аналитики'!AQ3384,0)</f>
        <v/>
      </c>
      <c r="AR3782">
        <f>IF('01_Вводные'!$B$234="Да",'19_Расчет_аналитики'!AR3384,0)</f>
        <v/>
      </c>
      <c r="AS3782">
        <f>IF('01_Вводные'!$B$234="Да",'19_Расчет_аналитики'!AS3384,0)</f>
        <v/>
      </c>
      <c r="AT3782">
        <f>IF('01_Вводные'!$B$234="Да",'19_Расчет_аналитики'!AT3384,0)</f>
        <v/>
      </c>
      <c r="AU3782">
        <f>IF('01_Вводные'!$B$234="Да",'19_Расчет_аналитики'!AU3384,0)</f>
        <v/>
      </c>
      <c r="AV3782">
        <f>IF('01_Вводные'!$B$234="Да",'19_Расчет_аналитики'!AV3384,0)</f>
        <v/>
      </c>
      <c r="AW3782">
        <f>IF('01_Вводные'!$B$234="Да",'19_Расчет_аналитики'!AW3384,0)</f>
        <v/>
      </c>
      <c r="AX3782">
        <f>IF('01_Вводные'!$B$234="Да",'19_Расчет_аналитики'!AX3384,0)</f>
        <v/>
      </c>
      <c r="AY3782">
        <f>IF('01_Вводные'!$B$234="Да",'19_Расчет_аналитики'!AY3384,0)</f>
        <v/>
      </c>
      <c r="AZ3782">
        <f>IF('01_Вводные'!$B$234="Да",'19_Расчет_аналитики'!AZ3384,0)</f>
        <v/>
      </c>
      <c r="BA3782">
        <f>IF('01_Вводные'!$B$234="Да",'19_Расчет_аналитики'!BA3384,0)</f>
        <v/>
      </c>
      <c r="BB3782">
        <f>IF('01_Вводные'!$B$234="Да",'19_Расчет_аналитики'!BB3384,0)</f>
        <v/>
      </c>
      <c r="BC3782">
        <f>IF('01_Вводные'!$B$234="Да",'19_Расчет_аналитики'!BC3384,0)</f>
        <v/>
      </c>
      <c r="BD3782">
        <f>IF('01_Вводные'!$B$234="Да",'19_Расчет_аналитики'!BD3384,0)</f>
        <v/>
      </c>
      <c r="BE3782">
        <f>IF('01_Вводные'!$B$234="Да",'19_Расчет_аналитики'!BE3384,0)</f>
        <v/>
      </c>
      <c r="BF3782">
        <f>IF('01_Вводные'!$B$234="Да",'19_Расчет_аналитики'!BF3384,0)</f>
        <v/>
      </c>
      <c r="BG3782">
        <f>IF('01_Вводные'!$B$234="Да",'19_Расчет_аналитики'!BG3384,0)</f>
        <v/>
      </c>
      <c r="BH3782">
        <f>IF('01_Вводные'!$B$234="Да",'19_Расчет_аналитики'!BH3384,0)</f>
        <v/>
      </c>
      <c r="BI3782">
        <f>IF('01_Вводные'!$B$234="Да",'19_Расчет_аналитики'!BI3384,0)</f>
        <v/>
      </c>
    </row>
    <row r="3783">
      <c r="B3783">
        <f>IF('01_Вводные'!$B$234="Да",'19_Расчет_аналитики'!$B$3068*('19_Расчет_аналитики'!B3749+'19_Расчет_аналитики'!B3750)*(1+'01_Вводные'!$B$58)+(1-'19_Расчет_аналитики'!$B$3068)*0,0)</f>
        <v/>
      </c>
      <c r="C3783">
        <f>IF('01_Вводные'!$B$234="Да",'19_Расчет_аналитики'!$B$3068*('19_Расчет_аналитики'!C3749+'19_Расчет_аналитики'!C3750)*(1+'01_Вводные'!$B$58)+(1-'19_Расчет_аналитики'!$B$3068)*('19_Расчет_аналитики'!B3749+'19_Расчет_аналитики'!B3750)*(1+'01_Вводные'!$B$58),0)</f>
        <v/>
      </c>
      <c r="D3783">
        <f>IF('01_Вводные'!$B$234="Да",'19_Расчет_аналитики'!$B$3068*('19_Расчет_аналитики'!D3749+'19_Расчет_аналитики'!D3750)*(1+'01_Вводные'!$B$58)+(1-'19_Расчет_аналитики'!$B$3068)*('19_Расчет_аналитики'!C3749+'19_Расчет_аналитики'!C3750)*(1+'01_Вводные'!$B$58),0)</f>
        <v/>
      </c>
      <c r="E3783">
        <f>IF('01_Вводные'!$B$234="Да",'19_Расчет_аналитики'!$B$3068*('19_Расчет_аналитики'!E3749+'19_Расчет_аналитики'!E3750)*(1+'01_Вводные'!$B$58)+(1-'19_Расчет_аналитики'!$B$3068)*('19_Расчет_аналитики'!D3749+'19_Расчет_аналитики'!D3750)*(1+'01_Вводные'!$B$58),0)</f>
        <v/>
      </c>
      <c r="F3783">
        <f>IF('01_Вводные'!$B$234="Да",'19_Расчет_аналитики'!$B$3068*('19_Расчет_аналитики'!F3749+'19_Расчет_аналитики'!F3750)*(1+'01_Вводные'!$B$58)+(1-'19_Расчет_аналитики'!$B$3068)*('19_Расчет_аналитики'!E3749+'19_Расчет_аналитики'!E3750)*(1+'01_Вводные'!$B$58),0)</f>
        <v/>
      </c>
      <c r="G3783">
        <f>IF('01_Вводные'!$B$234="Да",'19_Расчет_аналитики'!$B$3068*('19_Расчет_аналитики'!G3749+'19_Расчет_аналитики'!G3750)*(1+'01_Вводные'!$B$58)+(1-'19_Расчет_аналитики'!$B$3068)*('19_Расчет_аналитики'!F3749+'19_Расчет_аналитики'!F3750)*(1+'01_Вводные'!$B$58),0)</f>
        <v/>
      </c>
      <c r="H3783">
        <f>IF('01_Вводные'!$B$234="Да",'19_Расчет_аналитики'!$B$3068*('19_Расчет_аналитики'!H3749+'19_Расчет_аналитики'!H3750)*(1+'01_Вводные'!$B$58)+(1-'19_Расчет_аналитики'!$B$3068)*('19_Расчет_аналитики'!G3749+'19_Расчет_аналитики'!G3750)*(1+'01_Вводные'!$B$58),0)</f>
        <v/>
      </c>
      <c r="I3783">
        <f>IF('01_Вводные'!$B$234="Да",'19_Расчет_аналитики'!$B$3068*('19_Расчет_аналитики'!I3749+'19_Расчет_аналитики'!I3750)*(1+'01_Вводные'!$B$58)+(1-'19_Расчет_аналитики'!$B$3068)*('19_Расчет_аналитики'!H3749+'19_Расчет_аналитики'!H3750)*(1+'01_Вводные'!$B$58),0)</f>
        <v/>
      </c>
      <c r="J3783">
        <f>IF('01_Вводные'!$B$234="Да",'19_Расчет_аналитики'!$B$3068*('19_Расчет_аналитики'!J3749+'19_Расчет_аналитики'!J3750)*(1+'01_Вводные'!$B$58)+(1-'19_Расчет_аналитики'!$B$3068)*('19_Расчет_аналитики'!I3749+'19_Расчет_аналитики'!I3750)*(1+'01_Вводные'!$B$58),0)</f>
        <v/>
      </c>
      <c r="K3783">
        <f>IF('01_Вводные'!$B$234="Да",'19_Расчет_аналитики'!$B$3068*('19_Расчет_аналитики'!K3749+'19_Расчет_аналитики'!K3750)*(1+'01_Вводные'!$B$58)+(1-'19_Расчет_аналитики'!$B$3068)*('19_Расчет_аналитики'!J3749+'19_Расчет_аналитики'!J3750)*(1+'01_Вводные'!$B$58),0)</f>
        <v/>
      </c>
      <c r="L3783">
        <f>IF('01_Вводные'!$B$234="Да",'19_Расчет_аналитики'!$B$3068*('19_Расчет_аналитики'!L3749+'19_Расчет_аналитики'!L3750)*(1+'01_Вводные'!$B$58)+(1-'19_Расчет_аналитики'!$B$3068)*('19_Расчет_аналитики'!K3749+'19_Расчет_аналитики'!K3750)*(1+'01_Вводные'!$B$58),0)</f>
        <v/>
      </c>
      <c r="M3783">
        <f>IF('01_Вводные'!$B$234="Да",'19_Расчет_аналитики'!$B$3068*('19_Расчет_аналитики'!M3749+'19_Расчет_аналитики'!M3750)*(1+'01_Вводные'!$B$58)+(1-'19_Расчет_аналитики'!$B$3068)*('19_Расчет_аналитики'!L3749+'19_Расчет_аналитики'!L3750)*(1+'01_Вводные'!$B$58),0)</f>
        <v/>
      </c>
      <c r="N3783">
        <f>IF('01_Вводные'!$B$234="Да",'19_Расчет_аналитики'!$B$3068*('19_Расчет_аналитики'!N3749+'19_Расчет_аналитики'!N3750)*(1+'01_Вводные'!$B$58)+(1-'19_Расчет_аналитики'!$B$3068)*('19_Расчет_аналитики'!M3749+'19_Расчет_аналитики'!M3750)*(1+'01_Вводные'!$B$58),0)</f>
        <v/>
      </c>
      <c r="O3783">
        <f>IF('01_Вводные'!$B$234="Да",'19_Расчет_аналитики'!$B$3068*('19_Расчет_аналитики'!O3749+'19_Расчет_аналитики'!O3750)*(1+'01_Вводные'!$B$58)+(1-'19_Расчет_аналитики'!$B$3068)*('19_Расчет_аналитики'!N3749+'19_Расчет_аналитики'!N3750)*(1+'01_Вводные'!$B$58),0)</f>
        <v/>
      </c>
      <c r="P3783">
        <f>IF('01_Вводные'!$B$234="Да",'19_Расчет_аналитики'!$B$3068*('19_Расчет_аналитики'!P3749+'19_Расчет_аналитики'!P3750)*(1+'01_Вводные'!$B$58)+(1-'19_Расчет_аналитики'!$B$3068)*('19_Расчет_аналитики'!O3749+'19_Расчет_аналитики'!O3750)*(1+'01_Вводные'!$B$58),0)</f>
        <v/>
      </c>
      <c r="Q3783">
        <f>IF('01_Вводные'!$B$234="Да",'19_Расчет_аналитики'!$B$3068*('19_Расчет_аналитики'!Q3749+'19_Расчет_аналитики'!Q3750)*(1+'01_Вводные'!$B$58)+(1-'19_Расчет_аналитики'!$B$3068)*('19_Расчет_аналитики'!P3749+'19_Расчет_аналитики'!P3750)*(1+'01_Вводные'!$B$58),0)</f>
        <v/>
      </c>
      <c r="R3783">
        <f>IF('01_Вводные'!$B$234="Да",'19_Расчет_аналитики'!$B$3068*('19_Расчет_аналитики'!R3749+'19_Расчет_аналитики'!R3750)*(1+'01_Вводные'!$B$58)+(1-'19_Расчет_аналитики'!$B$3068)*('19_Расчет_аналитики'!Q3749+'19_Расчет_аналитики'!Q3750)*(1+'01_Вводные'!$B$58),0)</f>
        <v/>
      </c>
      <c r="S3783">
        <f>IF('01_Вводные'!$B$234="Да",'19_Расчет_аналитики'!$B$3068*('19_Расчет_аналитики'!S3749+'19_Расчет_аналитики'!S3750)*(1+'01_Вводные'!$B$58)+(1-'19_Расчет_аналитики'!$B$3068)*('19_Расчет_аналитики'!R3749+'19_Расчет_аналитики'!R3750)*(1+'01_Вводные'!$B$58),0)</f>
        <v/>
      </c>
      <c r="T3783">
        <f>IF('01_Вводные'!$B$234="Да",'19_Расчет_аналитики'!$B$3068*('19_Расчет_аналитики'!T3749+'19_Расчет_аналитики'!T3750)*(1+'01_Вводные'!$B$58)+(1-'19_Расчет_аналитики'!$B$3068)*('19_Расчет_аналитики'!S3749+'19_Расчет_аналитики'!S3750)*(1+'01_Вводные'!$B$58),0)</f>
        <v/>
      </c>
      <c r="U3783">
        <f>IF('01_Вводные'!$B$234="Да",'19_Расчет_аналитики'!$B$3068*('19_Расчет_аналитики'!U3749+'19_Расчет_аналитики'!U3750)*(1+'01_Вводные'!$B$58)+(1-'19_Расчет_аналитики'!$B$3068)*('19_Расчет_аналитики'!T3749+'19_Расчет_аналитики'!T3750)*(1+'01_Вводные'!$B$58),0)</f>
        <v/>
      </c>
      <c r="V3783">
        <f>IF('01_Вводные'!$B$234="Да",'19_Расчет_аналитики'!$B$3068*('19_Расчет_аналитики'!V3749+'19_Расчет_аналитики'!V3750)*(1+'01_Вводные'!$B$58)+(1-'19_Расчет_аналитики'!$B$3068)*('19_Расчет_аналитики'!U3749+'19_Расчет_аналитики'!U3750)*(1+'01_Вводные'!$B$58),0)</f>
        <v/>
      </c>
      <c r="W3783">
        <f>IF('01_Вводные'!$B$234="Да",'19_Расчет_аналитики'!$B$3068*('19_Расчет_аналитики'!W3749+'19_Расчет_аналитики'!W3750)*(1+'01_Вводные'!$B$58)+(1-'19_Расчет_аналитики'!$B$3068)*('19_Расчет_аналитики'!V3749+'19_Расчет_аналитики'!V3750)*(1+'01_Вводные'!$B$58),0)</f>
        <v/>
      </c>
      <c r="X3783">
        <f>IF('01_Вводные'!$B$234="Да",'19_Расчет_аналитики'!$B$3068*('19_Расчет_аналитики'!X3749+'19_Расчет_аналитики'!X3750)*(1+'01_Вводные'!$B$58)+(1-'19_Расчет_аналитики'!$B$3068)*('19_Расчет_аналитики'!W3749+'19_Расчет_аналитики'!W3750)*(1+'01_Вводные'!$B$58),0)</f>
        <v/>
      </c>
      <c r="Y3783">
        <f>IF('01_Вводные'!$B$234="Да",'19_Расчет_аналитики'!$B$3068*('19_Расчет_аналитики'!Y3749+'19_Расчет_аналитики'!Y3750)*(1+'01_Вводные'!$B$58)+(1-'19_Расчет_аналитики'!$B$3068)*('19_Расчет_аналитики'!X3749+'19_Расчет_аналитики'!X3750)*(1+'01_Вводные'!$B$58),0)</f>
        <v/>
      </c>
      <c r="Z3783">
        <f>IF('01_Вводные'!$B$234="Да",'19_Расчет_аналитики'!$B$3068*('19_Расчет_аналитики'!Z3749+'19_Расчет_аналитики'!Z3750)*(1+'01_Вводные'!$B$58)+(1-'19_Расчет_аналитики'!$B$3068)*('19_Расчет_аналитики'!Y3749+'19_Расчет_аналитики'!Y3750)*(1+'01_Вводные'!$B$58),0)</f>
        <v/>
      </c>
      <c r="AA3783">
        <f>IF('01_Вводные'!$B$234="Да",'19_Расчет_аналитики'!$B$3068*('19_Расчет_аналитики'!AA3749+'19_Расчет_аналитики'!AA3750)*(1+'01_Вводные'!$B$58)+(1-'19_Расчет_аналитики'!$B$3068)*('19_Расчет_аналитики'!Z3749+'19_Расчет_аналитики'!Z3750)*(1+'01_Вводные'!$B$58),0)</f>
        <v/>
      </c>
      <c r="AB3783">
        <f>IF('01_Вводные'!$B$234="Да",'19_Расчет_аналитики'!$B$3068*('19_Расчет_аналитики'!AB3749+'19_Расчет_аналитики'!AB3750)*(1+'01_Вводные'!$B$58)+(1-'19_Расчет_аналитики'!$B$3068)*('19_Расчет_аналитики'!AA3749+'19_Расчет_аналитики'!AA3750)*(1+'01_Вводные'!$B$58),0)</f>
        <v/>
      </c>
      <c r="AC3783">
        <f>IF('01_Вводные'!$B$234="Да",'19_Расчет_аналитики'!$B$3068*('19_Расчет_аналитики'!AC3749+'19_Расчет_аналитики'!AC3750)*(1+'01_Вводные'!$B$58)+(1-'19_Расчет_аналитики'!$B$3068)*('19_Расчет_аналитики'!AB3749+'19_Расчет_аналитики'!AB3750)*(1+'01_Вводные'!$B$58),0)</f>
        <v/>
      </c>
      <c r="AD3783">
        <f>IF('01_Вводные'!$B$234="Да",'19_Расчет_аналитики'!$B$3068*('19_Расчет_аналитики'!AD3749+'19_Расчет_аналитики'!AD3750)*(1+'01_Вводные'!$B$58)+(1-'19_Расчет_аналитики'!$B$3068)*('19_Расчет_аналитики'!AC3749+'19_Расчет_аналитики'!AC3750)*(1+'01_Вводные'!$B$58),0)</f>
        <v/>
      </c>
      <c r="AE3783">
        <f>IF('01_Вводные'!$B$234="Да",'19_Расчет_аналитики'!$B$3068*('19_Расчет_аналитики'!AE3749+'19_Расчет_аналитики'!AE3750)*(1+'01_Вводные'!$B$58)+(1-'19_Расчет_аналитики'!$B$3068)*('19_Расчет_аналитики'!AD3749+'19_Расчет_аналитики'!AD3750)*(1+'01_Вводные'!$B$58),0)</f>
        <v/>
      </c>
      <c r="AF3783">
        <f>IF('01_Вводные'!$B$234="Да",'19_Расчет_аналитики'!$B$3068*('19_Расчет_аналитики'!AF3749+'19_Расчет_аналитики'!AF3750)*(1+'01_Вводные'!$B$58)+(1-'19_Расчет_аналитики'!$B$3068)*('19_Расчет_аналитики'!AE3749+'19_Расчет_аналитики'!AE3750)*(1+'01_Вводные'!$B$58),0)</f>
        <v/>
      </c>
      <c r="AG3783">
        <f>IF('01_Вводные'!$B$234="Да",'19_Расчет_аналитики'!$B$3068*('19_Расчет_аналитики'!AG3749+'19_Расчет_аналитики'!AG3750)*(1+'01_Вводные'!$B$58)+(1-'19_Расчет_аналитики'!$B$3068)*('19_Расчет_аналитики'!AF3749+'19_Расчет_аналитики'!AF3750)*(1+'01_Вводные'!$B$58),0)</f>
        <v/>
      </c>
      <c r="AH3783">
        <f>IF('01_Вводные'!$B$234="Да",'19_Расчет_аналитики'!$B$3068*('19_Расчет_аналитики'!AH3749+'19_Расчет_аналитики'!AH3750)*(1+'01_Вводные'!$B$58)+(1-'19_Расчет_аналитики'!$B$3068)*('19_Расчет_аналитики'!AG3749+'19_Расчет_аналитики'!AG3750)*(1+'01_Вводные'!$B$58),0)</f>
        <v/>
      </c>
      <c r="AI3783">
        <f>IF('01_Вводные'!$B$234="Да",'19_Расчет_аналитики'!$B$3068*('19_Расчет_аналитики'!AI3749+'19_Расчет_аналитики'!AI3750)*(1+'01_Вводные'!$B$58)+(1-'19_Расчет_аналитики'!$B$3068)*('19_Расчет_аналитики'!AH3749+'19_Расчет_аналитики'!AH3750)*(1+'01_Вводные'!$B$58),0)</f>
        <v/>
      </c>
      <c r="AJ3783">
        <f>IF('01_Вводные'!$B$234="Да",'19_Расчет_аналитики'!$B$3068*('19_Расчет_аналитики'!AJ3749+'19_Расчет_аналитики'!AJ3750)*(1+'01_Вводные'!$B$58)+(1-'19_Расчет_аналитики'!$B$3068)*('19_Расчет_аналитики'!AI3749+'19_Расчет_аналитики'!AI3750)*(1+'01_Вводные'!$B$58),0)</f>
        <v/>
      </c>
      <c r="AK3783">
        <f>IF('01_Вводные'!$B$234="Да",'19_Расчет_аналитики'!$B$3068*('19_Расчет_аналитики'!AK3749+'19_Расчет_аналитики'!AK3750)*(1+'01_Вводные'!$B$58)+(1-'19_Расчет_аналитики'!$B$3068)*('19_Расчет_аналитики'!AJ3749+'19_Расчет_аналитики'!AJ3750)*(1+'01_Вводные'!$B$58),0)</f>
        <v/>
      </c>
      <c r="AL3783">
        <f>IF('01_Вводные'!$B$234="Да",'19_Расчет_аналитики'!$B$3068*('19_Расчет_аналитики'!AL3749+'19_Расчет_аналитики'!AL3750)*(1+'01_Вводные'!$B$58)+(1-'19_Расчет_аналитики'!$B$3068)*('19_Расчет_аналитики'!AK3749+'19_Расчет_аналитики'!AK3750)*(1+'01_Вводные'!$B$58),0)</f>
        <v/>
      </c>
      <c r="AM3783">
        <f>IF('01_Вводные'!$B$234="Да",'19_Расчет_аналитики'!$B$3068*('19_Расчет_аналитики'!AM3749+'19_Расчет_аналитики'!AM3750)*(1+'01_Вводные'!$B$58)+(1-'19_Расчет_аналитики'!$B$3068)*('19_Расчет_аналитики'!AL3749+'19_Расчет_аналитики'!AL3750)*(1+'01_Вводные'!$B$58),0)</f>
        <v/>
      </c>
      <c r="AN3783">
        <f>IF('01_Вводные'!$B$234="Да",'19_Расчет_аналитики'!$B$3068*('19_Расчет_аналитики'!AN3749+'19_Расчет_аналитики'!AN3750)*(1+'01_Вводные'!$B$58)+(1-'19_Расчет_аналитики'!$B$3068)*('19_Расчет_аналитики'!AM3749+'19_Расчет_аналитики'!AM3750)*(1+'01_Вводные'!$B$58),0)</f>
        <v/>
      </c>
      <c r="AO3783">
        <f>IF('01_Вводные'!$B$234="Да",'19_Расчет_аналитики'!$B$3068*('19_Расчет_аналитики'!AO3749+'19_Расчет_аналитики'!AO3750)*(1+'01_Вводные'!$B$58)+(1-'19_Расчет_аналитики'!$B$3068)*('19_Расчет_аналитики'!AN3749+'19_Расчет_аналитики'!AN3750)*(1+'01_Вводные'!$B$58),0)</f>
        <v/>
      </c>
      <c r="AP3783">
        <f>IF('01_Вводные'!$B$234="Да",'19_Расчет_аналитики'!$B$3068*('19_Расчет_аналитики'!AP3749+'19_Расчет_аналитики'!AP3750)*(1+'01_Вводные'!$B$58)+(1-'19_Расчет_аналитики'!$B$3068)*('19_Расчет_аналитики'!AO3749+'19_Расчет_аналитики'!AO3750)*(1+'01_Вводные'!$B$58),0)</f>
        <v/>
      </c>
      <c r="AQ3783">
        <f>IF('01_Вводные'!$B$234="Да",'19_Расчет_аналитики'!$B$3068*('19_Расчет_аналитики'!AQ3749+'19_Расчет_аналитики'!AQ3750)*(1+'01_Вводные'!$B$58)+(1-'19_Расчет_аналитики'!$B$3068)*('19_Расчет_аналитики'!AP3749+'19_Расчет_аналитики'!AP3750)*(1+'01_Вводные'!$B$58),0)</f>
        <v/>
      </c>
      <c r="AR3783">
        <f>IF('01_Вводные'!$B$234="Да",'19_Расчет_аналитики'!$B$3068*('19_Расчет_аналитики'!AR3749+'19_Расчет_аналитики'!AR3750)*(1+'01_Вводные'!$B$58)+(1-'19_Расчет_аналитики'!$B$3068)*('19_Расчет_аналитики'!AQ3749+'19_Расчет_аналитики'!AQ3750)*(1+'01_Вводные'!$B$58),0)</f>
        <v/>
      </c>
      <c r="AS3783">
        <f>IF('01_Вводные'!$B$234="Да",'19_Расчет_аналитики'!$B$3068*('19_Расчет_аналитики'!AS3749+'19_Расчет_аналитики'!AS3750)*(1+'01_Вводные'!$B$58)+(1-'19_Расчет_аналитики'!$B$3068)*('19_Расчет_аналитики'!AR3749+'19_Расчет_аналитики'!AR3750)*(1+'01_Вводные'!$B$58),0)</f>
        <v/>
      </c>
      <c r="AT3783">
        <f>IF('01_Вводные'!$B$234="Да",'19_Расчет_аналитики'!$B$3068*('19_Расчет_аналитики'!AT3749+'19_Расчет_аналитики'!AT3750)*(1+'01_Вводные'!$B$58)+(1-'19_Расчет_аналитики'!$B$3068)*('19_Расчет_аналитики'!AS3749+'19_Расчет_аналитики'!AS3750)*(1+'01_Вводные'!$B$58),0)</f>
        <v/>
      </c>
      <c r="AU3783">
        <f>IF('01_Вводные'!$B$234="Да",'19_Расчет_аналитики'!$B$3068*('19_Расчет_аналитики'!AU3749+'19_Расчет_аналитики'!AU3750)*(1+'01_Вводные'!$B$58)+(1-'19_Расчет_аналитики'!$B$3068)*('19_Расчет_аналитики'!AT3749+'19_Расчет_аналитики'!AT3750)*(1+'01_Вводные'!$B$58),0)</f>
        <v/>
      </c>
      <c r="AV3783">
        <f>IF('01_Вводные'!$B$234="Да",'19_Расчет_аналитики'!$B$3068*('19_Расчет_аналитики'!AV3749+'19_Расчет_аналитики'!AV3750)*(1+'01_Вводные'!$B$58)+(1-'19_Расчет_аналитики'!$B$3068)*('19_Расчет_аналитики'!AU3749+'19_Расчет_аналитики'!AU3750)*(1+'01_Вводные'!$B$58),0)</f>
        <v/>
      </c>
      <c r="AW3783">
        <f>IF('01_Вводные'!$B$234="Да",'19_Расчет_аналитики'!$B$3068*('19_Расчет_аналитики'!AW3749+'19_Расчет_аналитики'!AW3750)*(1+'01_Вводные'!$B$58)+(1-'19_Расчет_аналитики'!$B$3068)*('19_Расчет_аналитики'!AV3749+'19_Расчет_аналитики'!AV3750)*(1+'01_Вводные'!$B$58),0)</f>
        <v/>
      </c>
      <c r="AX3783">
        <f>IF('01_Вводные'!$B$234="Да",'19_Расчет_аналитики'!$B$3068*('19_Расчет_аналитики'!AX3749+'19_Расчет_аналитики'!AX3750)*(1+'01_Вводные'!$B$58)+(1-'19_Расчет_аналитики'!$B$3068)*('19_Расчет_аналитики'!AW3749+'19_Расчет_аналитики'!AW3750)*(1+'01_Вводные'!$B$58),0)</f>
        <v/>
      </c>
      <c r="AY3783">
        <f>IF('01_Вводные'!$B$234="Да",'19_Расчет_аналитики'!$B$3068*('19_Расчет_аналитики'!AY3749+'19_Расчет_аналитики'!AY3750)*(1+'01_Вводные'!$B$58)+(1-'19_Расчет_аналитики'!$B$3068)*('19_Расчет_аналитики'!AX3749+'19_Расчет_аналитики'!AX3750)*(1+'01_Вводные'!$B$58),0)</f>
        <v/>
      </c>
      <c r="AZ3783">
        <f>IF('01_Вводные'!$B$234="Да",'19_Расчет_аналитики'!$B$3068*('19_Расчет_аналитики'!AZ3749+'19_Расчет_аналитики'!AZ3750)*(1+'01_Вводные'!$B$58)+(1-'19_Расчет_аналитики'!$B$3068)*('19_Расчет_аналитики'!AY3749+'19_Расчет_аналитики'!AY3750)*(1+'01_Вводные'!$B$58),0)</f>
        <v/>
      </c>
      <c r="BA3783">
        <f>IF('01_Вводные'!$B$234="Да",'19_Расчет_аналитики'!$B$3068*('19_Расчет_аналитики'!BA3749+'19_Расчет_аналитики'!BA3750)*(1+'01_Вводные'!$B$58)+(1-'19_Расчет_аналитики'!$B$3068)*('19_Расчет_аналитики'!AZ3749+'19_Расчет_аналитики'!AZ3750)*(1+'01_Вводные'!$B$58),0)</f>
        <v/>
      </c>
      <c r="BB3783">
        <f>IF('01_Вводные'!$B$234="Да",'19_Расчет_аналитики'!$B$3068*('19_Расчет_аналитики'!BB3749+'19_Расчет_аналитики'!BB3750)*(1+'01_Вводные'!$B$58)+(1-'19_Расчет_аналитики'!$B$3068)*('19_Расчет_аналитики'!BA3749+'19_Расчет_аналитики'!BA3750)*(1+'01_Вводные'!$B$58),0)</f>
        <v/>
      </c>
      <c r="BC3783">
        <f>IF('01_Вводные'!$B$234="Да",'19_Расчет_аналитики'!$B$3068*('19_Расчет_аналитики'!BC3749+'19_Расчет_аналитики'!BC3750)*(1+'01_Вводные'!$B$58)+(1-'19_Расчет_аналитики'!$B$3068)*('19_Расчет_аналитики'!BB3749+'19_Расчет_аналитики'!BB3750)*(1+'01_Вводные'!$B$58),0)</f>
        <v/>
      </c>
      <c r="BD3783">
        <f>IF('01_Вводные'!$B$234="Да",'19_Расчет_аналитики'!$B$3068*('19_Расчет_аналитики'!BD3749+'19_Расчет_аналитики'!BD3750)*(1+'01_Вводные'!$B$58)+(1-'19_Расчет_аналитики'!$B$3068)*('19_Расчет_аналитики'!BC3749+'19_Расчет_аналитики'!BC3750)*(1+'01_Вводные'!$B$58),0)</f>
        <v/>
      </c>
      <c r="BE3783">
        <f>IF('01_Вводные'!$B$234="Да",'19_Расчет_аналитики'!$B$3068*('19_Расчет_аналитики'!BE3749+'19_Расчет_аналитики'!BE3750)*(1+'01_Вводные'!$B$58)+(1-'19_Расчет_аналитики'!$B$3068)*('19_Расчет_аналитики'!BD3749+'19_Расчет_аналитики'!BD3750)*(1+'01_Вводные'!$B$58),0)</f>
        <v/>
      </c>
      <c r="BF3783">
        <f>IF('01_Вводные'!$B$234="Да",'19_Расчет_аналитики'!$B$3068*('19_Расчет_аналитики'!BF3749+'19_Расчет_аналитики'!BF3750)*(1+'01_Вводные'!$B$58)+(1-'19_Расчет_аналитики'!$B$3068)*('19_Расчет_аналитики'!BE3749+'19_Расчет_аналитики'!BE3750)*(1+'01_Вводные'!$B$58),0)</f>
        <v/>
      </c>
      <c r="BG3783">
        <f>IF('01_Вводные'!$B$234="Да",'19_Расчет_аналитики'!$B$3068*('19_Расчет_аналитики'!BG3749+'19_Расчет_аналитики'!BG3750)*(1+'01_Вводные'!$B$58)+(1-'19_Расчет_аналитики'!$B$3068)*('19_Расчет_аналитики'!BF3749+'19_Расчет_аналитики'!BF3750)*(1+'01_Вводные'!$B$58),0)</f>
        <v/>
      </c>
      <c r="BH3783">
        <f>IF('01_Вводные'!$B$234="Да",'19_Расчет_аналитики'!$B$3068*('19_Расчет_аналитики'!BH3749+'19_Расчет_аналитики'!BH3750)*(1+'01_Вводные'!$B$58)+(1-'19_Расчет_аналитики'!$B$3068)*('19_Расчет_аналитики'!BG3749+'19_Расчет_аналитики'!BG3750)*(1+'01_Вводные'!$B$58),0)</f>
        <v/>
      </c>
      <c r="BI3783">
        <f>IF('01_Вводные'!$B$234="Да",'19_Расчет_аналитики'!$B$3068*('19_Расчет_аналитики'!BI3749+'19_Расчет_аналитики'!BI3750)*(1+'01_Вводные'!$B$58)+(1-'19_Расчет_аналитики'!$B$3068)*('19_Расчет_аналитики'!BH3749+'19_Расчет_аналитики'!BH3750)*(1+'01_Вводные'!$B$58),0)</f>
        <v/>
      </c>
    </row>
    <row r="3784">
      <c r="B3784">
        <f>IF('01_Вводные'!$B$234="Да",'19_Расчет_аналитики'!B3651,0)</f>
        <v/>
      </c>
      <c r="C3784">
        <f>IF('01_Вводные'!$B$234="Да",'19_Расчет_аналитики'!C3651,0)</f>
        <v/>
      </c>
      <c r="D3784">
        <f>IF('01_Вводные'!$B$234="Да",'19_Расчет_аналитики'!D3651,0)</f>
        <v/>
      </c>
      <c r="E3784">
        <f>IF('01_Вводные'!$B$234="Да",'19_Расчет_аналитики'!E3651,0)</f>
        <v/>
      </c>
      <c r="F3784">
        <f>IF('01_Вводные'!$B$234="Да",'19_Расчет_аналитики'!F3651,0)</f>
        <v/>
      </c>
      <c r="G3784">
        <f>IF('01_Вводные'!$B$234="Да",'19_Расчет_аналитики'!G3651,0)</f>
        <v/>
      </c>
      <c r="H3784">
        <f>IF('01_Вводные'!$B$234="Да",'19_Расчет_аналитики'!H3651,0)</f>
        <v/>
      </c>
      <c r="I3784">
        <f>IF('01_Вводные'!$B$234="Да",'19_Расчет_аналитики'!I3651,0)</f>
        <v/>
      </c>
      <c r="J3784">
        <f>IF('01_Вводные'!$B$234="Да",'19_Расчет_аналитики'!J3651,0)</f>
        <v/>
      </c>
      <c r="K3784">
        <f>IF('01_Вводные'!$B$234="Да",'19_Расчет_аналитики'!K3651,0)</f>
        <v/>
      </c>
      <c r="L3784">
        <f>IF('01_Вводные'!$B$234="Да",'19_Расчет_аналитики'!L3651,0)</f>
        <v/>
      </c>
      <c r="M3784">
        <f>IF('01_Вводные'!$B$234="Да",'19_Расчет_аналитики'!M3651,0)</f>
        <v/>
      </c>
      <c r="N3784">
        <f>IF('01_Вводные'!$B$234="Да",'19_Расчет_аналитики'!N3651,0)</f>
        <v/>
      </c>
      <c r="O3784">
        <f>IF('01_Вводные'!$B$234="Да",'19_Расчет_аналитики'!O3651,0)</f>
        <v/>
      </c>
      <c r="P3784">
        <f>IF('01_Вводные'!$B$234="Да",'19_Расчет_аналитики'!P3651,0)</f>
        <v/>
      </c>
      <c r="Q3784">
        <f>IF('01_Вводные'!$B$234="Да",'19_Расчет_аналитики'!Q3651,0)</f>
        <v/>
      </c>
      <c r="R3784">
        <f>IF('01_Вводные'!$B$234="Да",'19_Расчет_аналитики'!R3651,0)</f>
        <v/>
      </c>
      <c r="S3784">
        <f>IF('01_Вводные'!$B$234="Да",'19_Расчет_аналитики'!S3651,0)</f>
        <v/>
      </c>
      <c r="T3784">
        <f>IF('01_Вводные'!$B$234="Да",'19_Расчет_аналитики'!T3651,0)</f>
        <v/>
      </c>
      <c r="U3784">
        <f>IF('01_Вводные'!$B$234="Да",'19_Расчет_аналитики'!U3651,0)</f>
        <v/>
      </c>
      <c r="V3784">
        <f>IF('01_Вводные'!$B$234="Да",'19_Расчет_аналитики'!V3651,0)</f>
        <v/>
      </c>
      <c r="W3784">
        <f>IF('01_Вводные'!$B$234="Да",'19_Расчет_аналитики'!W3651,0)</f>
        <v/>
      </c>
      <c r="X3784">
        <f>IF('01_Вводные'!$B$234="Да",'19_Расчет_аналитики'!X3651,0)</f>
        <v/>
      </c>
      <c r="Y3784">
        <f>IF('01_Вводные'!$B$234="Да",'19_Расчет_аналитики'!Y3651,0)</f>
        <v/>
      </c>
      <c r="Z3784">
        <f>IF('01_Вводные'!$B$234="Да",'19_Расчет_аналитики'!Z3651,0)</f>
        <v/>
      </c>
      <c r="AA3784">
        <f>IF('01_Вводные'!$B$234="Да",'19_Расчет_аналитики'!AA3651,0)</f>
        <v/>
      </c>
      <c r="AB3784">
        <f>IF('01_Вводные'!$B$234="Да",'19_Расчет_аналитики'!AB3651,0)</f>
        <v/>
      </c>
      <c r="AC3784">
        <f>IF('01_Вводные'!$B$234="Да",'19_Расчет_аналитики'!AC3651,0)</f>
        <v/>
      </c>
      <c r="AD3784">
        <f>IF('01_Вводные'!$B$234="Да",'19_Расчет_аналитики'!AD3651,0)</f>
        <v/>
      </c>
      <c r="AE3784">
        <f>IF('01_Вводные'!$B$234="Да",'19_Расчет_аналитики'!AE3651,0)</f>
        <v/>
      </c>
      <c r="AF3784">
        <f>IF('01_Вводные'!$B$234="Да",'19_Расчет_аналитики'!AF3651,0)</f>
        <v/>
      </c>
      <c r="AG3784">
        <f>IF('01_Вводные'!$B$234="Да",'19_Расчет_аналитики'!AG3651,0)</f>
        <v/>
      </c>
      <c r="AH3784">
        <f>IF('01_Вводные'!$B$234="Да",'19_Расчет_аналитики'!AH3651,0)</f>
        <v/>
      </c>
      <c r="AI3784">
        <f>IF('01_Вводные'!$B$234="Да",'19_Расчет_аналитики'!AI3651,0)</f>
        <v/>
      </c>
      <c r="AJ3784">
        <f>IF('01_Вводные'!$B$234="Да",'19_Расчет_аналитики'!AJ3651,0)</f>
        <v/>
      </c>
      <c r="AK3784">
        <f>IF('01_Вводные'!$B$234="Да",'19_Расчет_аналитики'!AK3651,0)</f>
        <v/>
      </c>
      <c r="AL3784">
        <f>IF('01_Вводные'!$B$234="Да",'19_Расчет_аналитики'!AL3651,0)</f>
        <v/>
      </c>
      <c r="AM3784">
        <f>IF('01_Вводные'!$B$234="Да",'19_Расчет_аналитики'!AM3651,0)</f>
        <v/>
      </c>
      <c r="AN3784">
        <f>IF('01_Вводные'!$B$234="Да",'19_Расчет_аналитики'!AN3651,0)</f>
        <v/>
      </c>
      <c r="AO3784">
        <f>IF('01_Вводные'!$B$234="Да",'19_Расчет_аналитики'!AO3651,0)</f>
        <v/>
      </c>
      <c r="AP3784">
        <f>IF('01_Вводные'!$B$234="Да",'19_Расчет_аналитики'!AP3651,0)</f>
        <v/>
      </c>
      <c r="AQ3784">
        <f>IF('01_Вводные'!$B$234="Да",'19_Расчет_аналитики'!AQ3651,0)</f>
        <v/>
      </c>
      <c r="AR3784">
        <f>IF('01_Вводные'!$B$234="Да",'19_Расчет_аналитики'!AR3651,0)</f>
        <v/>
      </c>
      <c r="AS3784">
        <f>IF('01_Вводные'!$B$234="Да",'19_Расчет_аналитики'!AS3651,0)</f>
        <v/>
      </c>
      <c r="AT3784">
        <f>IF('01_Вводные'!$B$234="Да",'19_Расчет_аналитики'!AT3651,0)</f>
        <v/>
      </c>
      <c r="AU3784">
        <f>IF('01_Вводные'!$B$234="Да",'19_Расчет_аналитики'!AU3651,0)</f>
        <v/>
      </c>
      <c r="AV3784">
        <f>IF('01_Вводные'!$B$234="Да",'19_Расчет_аналитики'!AV3651,0)</f>
        <v/>
      </c>
      <c r="AW3784">
        <f>IF('01_Вводные'!$B$234="Да",'19_Расчет_аналитики'!AW3651,0)</f>
        <v/>
      </c>
      <c r="AX3784">
        <f>IF('01_Вводные'!$B$234="Да",'19_Расчет_аналитики'!AX3651,0)</f>
        <v/>
      </c>
      <c r="AY3784">
        <f>IF('01_Вводные'!$B$234="Да",'19_Расчет_аналитики'!AY3651,0)</f>
        <v/>
      </c>
      <c r="AZ3784">
        <f>IF('01_Вводные'!$B$234="Да",'19_Расчет_аналитики'!AZ3651,0)</f>
        <v/>
      </c>
      <c r="BA3784">
        <f>IF('01_Вводные'!$B$234="Да",'19_Расчет_аналитики'!BA3651,0)</f>
        <v/>
      </c>
      <c r="BB3784">
        <f>IF('01_Вводные'!$B$234="Да",'19_Расчет_аналитики'!BB3651,0)</f>
        <v/>
      </c>
      <c r="BC3784">
        <f>IF('01_Вводные'!$B$234="Да",'19_Расчет_аналитики'!BC3651,0)</f>
        <v/>
      </c>
      <c r="BD3784">
        <f>IF('01_Вводные'!$B$234="Да",'19_Расчет_аналитики'!BD3651,0)</f>
        <v/>
      </c>
      <c r="BE3784">
        <f>IF('01_Вводные'!$B$234="Да",'19_Расчет_аналитики'!BE3651,0)</f>
        <v/>
      </c>
      <c r="BF3784">
        <f>IF('01_Вводные'!$B$234="Да",'19_Расчет_аналитики'!BF3651,0)</f>
        <v/>
      </c>
      <c r="BG3784">
        <f>IF('01_Вводные'!$B$234="Да",'19_Расчет_аналитики'!BG3651,0)</f>
        <v/>
      </c>
      <c r="BH3784">
        <f>IF('01_Вводные'!$B$234="Да",'19_Расчет_аналитики'!BH3651,0)</f>
        <v/>
      </c>
      <c r="BI3784">
        <f>IF('01_Вводные'!$B$234="Да",'19_Расчет_аналитики'!BI3651,0)</f>
        <v/>
      </c>
    </row>
    <row r="3785">
      <c r="B3785">
        <f>'02_Модель'!B55</f>
        <v/>
      </c>
      <c r="C3785">
        <f>'02_Модель'!C55</f>
        <v/>
      </c>
      <c r="D3785">
        <f>'02_Модель'!D55</f>
        <v/>
      </c>
      <c r="E3785">
        <f>'02_Модель'!E55</f>
        <v/>
      </c>
      <c r="F3785">
        <f>'02_Модель'!F55</f>
        <v/>
      </c>
      <c r="G3785">
        <f>'02_Модель'!G55</f>
        <v/>
      </c>
      <c r="H3785">
        <f>'02_Модель'!H55</f>
        <v/>
      </c>
      <c r="I3785">
        <f>'02_Модель'!I55</f>
        <v/>
      </c>
      <c r="J3785">
        <f>'02_Модель'!J55</f>
        <v/>
      </c>
      <c r="K3785">
        <f>'02_Модель'!K55</f>
        <v/>
      </c>
      <c r="L3785">
        <f>'02_Модель'!L55</f>
        <v/>
      </c>
      <c r="M3785">
        <f>'02_Модель'!M55</f>
        <v/>
      </c>
      <c r="N3785">
        <f>'02_Модель'!N55</f>
        <v/>
      </c>
      <c r="O3785">
        <f>'02_Модель'!O55</f>
        <v/>
      </c>
      <c r="P3785">
        <f>'02_Модель'!P55</f>
        <v/>
      </c>
      <c r="Q3785">
        <f>'02_Модель'!Q55</f>
        <v/>
      </c>
      <c r="R3785">
        <f>'02_Модель'!R55</f>
        <v/>
      </c>
      <c r="S3785">
        <f>'02_Модель'!S55</f>
        <v/>
      </c>
      <c r="T3785">
        <f>'02_Модель'!T55</f>
        <v/>
      </c>
      <c r="U3785">
        <f>'02_Модель'!U55</f>
        <v/>
      </c>
      <c r="V3785">
        <f>'02_Модель'!V55</f>
        <v/>
      </c>
      <c r="W3785">
        <f>'02_Модель'!W55</f>
        <v/>
      </c>
      <c r="X3785">
        <f>'02_Модель'!X55</f>
        <v/>
      </c>
      <c r="Y3785">
        <f>'02_Модель'!Y55</f>
        <v/>
      </c>
      <c r="Z3785">
        <f>'02_Модель'!Z55</f>
        <v/>
      </c>
      <c r="AA3785">
        <f>'02_Модель'!AA55</f>
        <v/>
      </c>
      <c r="AB3785">
        <f>'02_Модель'!AB55</f>
        <v/>
      </c>
      <c r="AC3785">
        <f>'02_Модель'!AC55</f>
        <v/>
      </c>
      <c r="AD3785">
        <f>'02_Модель'!AD55</f>
        <v/>
      </c>
      <c r="AE3785">
        <f>'02_Модель'!AE55</f>
        <v/>
      </c>
      <c r="AF3785">
        <f>'02_Модель'!AF55</f>
        <v/>
      </c>
      <c r="AG3785">
        <f>'02_Модель'!AG55</f>
        <v/>
      </c>
      <c r="AH3785">
        <f>'02_Модель'!AH55</f>
        <v/>
      </c>
      <c r="AI3785">
        <f>'02_Модель'!AI55</f>
        <v/>
      </c>
      <c r="AJ3785">
        <f>'02_Модель'!AJ55</f>
        <v/>
      </c>
      <c r="AK3785">
        <f>'02_Модель'!AK55</f>
        <v/>
      </c>
      <c r="AL3785">
        <f>'02_Модель'!AL55</f>
        <v/>
      </c>
      <c r="AM3785">
        <f>'02_Модель'!AM55</f>
        <v/>
      </c>
      <c r="AN3785">
        <f>'02_Модель'!AN55</f>
        <v/>
      </c>
      <c r="AO3785">
        <f>'02_Модель'!AO55</f>
        <v/>
      </c>
      <c r="AP3785">
        <f>'02_Модель'!AP55</f>
        <v/>
      </c>
      <c r="AQ3785">
        <f>'02_Модель'!AQ55</f>
        <v/>
      </c>
      <c r="AR3785">
        <f>'02_Модель'!AR55</f>
        <v/>
      </c>
      <c r="AS3785">
        <f>'02_Модель'!AS55</f>
        <v/>
      </c>
      <c r="AT3785">
        <f>'02_Модель'!AT55</f>
        <v/>
      </c>
      <c r="AU3785">
        <f>'02_Модель'!AU55</f>
        <v/>
      </c>
      <c r="AV3785">
        <f>'02_Модель'!AV55</f>
        <v/>
      </c>
      <c r="AW3785">
        <f>'02_Модель'!AW55</f>
        <v/>
      </c>
      <c r="AX3785">
        <f>'02_Модель'!AX55</f>
        <v/>
      </c>
      <c r="AY3785">
        <f>'02_Модель'!AY55</f>
        <v/>
      </c>
      <c r="AZ3785">
        <f>'02_Модель'!AZ55</f>
        <v/>
      </c>
      <c r="BA3785">
        <f>'02_Модель'!BA55</f>
        <v/>
      </c>
      <c r="BB3785">
        <f>'02_Модель'!BB55</f>
        <v/>
      </c>
      <c r="BC3785">
        <f>'02_Модель'!BC55</f>
        <v/>
      </c>
      <c r="BD3785">
        <f>'02_Модель'!BD55</f>
        <v/>
      </c>
      <c r="BE3785">
        <f>'02_Модель'!BE55</f>
        <v/>
      </c>
      <c r="BF3785">
        <f>'02_Модель'!BF55</f>
        <v/>
      </c>
      <c r="BG3785">
        <f>'02_Модель'!BG55</f>
        <v/>
      </c>
      <c r="BH3785">
        <f>'02_Модель'!BH55</f>
        <v/>
      </c>
      <c r="BI3785">
        <f>'02_Модель'!BI55</f>
        <v/>
      </c>
    </row>
    <row r="3786">
      <c r="B3786">
        <f>IF('01_Вводные'!$B$234="Да",SUM('19_Расчет_аналитики'!B3782:B3785),0)</f>
        <v/>
      </c>
      <c r="C3786">
        <f>IF('01_Вводные'!$B$234="Да",SUM('19_Расчет_аналитики'!C3782:C3785),0)</f>
        <v/>
      </c>
      <c r="D3786">
        <f>IF('01_Вводные'!$B$234="Да",SUM('19_Расчет_аналитики'!D3782:D3785),0)</f>
        <v/>
      </c>
      <c r="E3786">
        <f>IF('01_Вводные'!$B$234="Да",SUM('19_Расчет_аналитики'!E3782:E3785),0)</f>
        <v/>
      </c>
      <c r="F3786">
        <f>IF('01_Вводные'!$B$234="Да",SUM('19_Расчет_аналитики'!F3782:F3785),0)</f>
        <v/>
      </c>
      <c r="G3786">
        <f>IF('01_Вводные'!$B$234="Да",SUM('19_Расчет_аналитики'!G3782:G3785),0)</f>
        <v/>
      </c>
      <c r="H3786">
        <f>IF('01_Вводные'!$B$234="Да",SUM('19_Расчет_аналитики'!H3782:H3785),0)</f>
        <v/>
      </c>
      <c r="I3786">
        <f>IF('01_Вводные'!$B$234="Да",SUM('19_Расчет_аналитики'!I3782:I3785),0)</f>
        <v/>
      </c>
      <c r="J3786">
        <f>IF('01_Вводные'!$B$234="Да",SUM('19_Расчет_аналитики'!J3782:J3785),0)</f>
        <v/>
      </c>
      <c r="K3786">
        <f>IF('01_Вводные'!$B$234="Да",SUM('19_Расчет_аналитики'!K3782:K3785),0)</f>
        <v/>
      </c>
      <c r="L3786">
        <f>IF('01_Вводные'!$B$234="Да",SUM('19_Расчет_аналитики'!L3782:L3785),0)</f>
        <v/>
      </c>
      <c r="M3786">
        <f>IF('01_Вводные'!$B$234="Да",SUM('19_Расчет_аналитики'!M3782:M3785),0)</f>
        <v/>
      </c>
      <c r="N3786">
        <f>IF('01_Вводные'!$B$234="Да",SUM('19_Расчет_аналитики'!N3782:N3785),0)</f>
        <v/>
      </c>
      <c r="O3786">
        <f>IF('01_Вводные'!$B$234="Да",SUM('19_Расчет_аналитики'!O3782:O3785),0)</f>
        <v/>
      </c>
      <c r="P3786">
        <f>IF('01_Вводные'!$B$234="Да",SUM('19_Расчет_аналитики'!P3782:P3785),0)</f>
        <v/>
      </c>
      <c r="Q3786">
        <f>IF('01_Вводные'!$B$234="Да",SUM('19_Расчет_аналитики'!Q3782:Q3785),0)</f>
        <v/>
      </c>
      <c r="R3786">
        <f>IF('01_Вводные'!$B$234="Да",SUM('19_Расчет_аналитики'!R3782:R3785),0)</f>
        <v/>
      </c>
      <c r="S3786">
        <f>IF('01_Вводные'!$B$234="Да",SUM('19_Расчет_аналитики'!S3782:S3785),0)</f>
        <v/>
      </c>
      <c r="T3786">
        <f>IF('01_Вводные'!$B$234="Да",SUM('19_Расчет_аналитики'!T3782:T3785),0)</f>
        <v/>
      </c>
      <c r="U3786">
        <f>IF('01_Вводные'!$B$234="Да",SUM('19_Расчет_аналитики'!U3782:U3785),0)</f>
        <v/>
      </c>
      <c r="V3786">
        <f>IF('01_Вводные'!$B$234="Да",SUM('19_Расчет_аналитики'!V3782:V3785),0)</f>
        <v/>
      </c>
      <c r="W3786">
        <f>IF('01_Вводные'!$B$234="Да",SUM('19_Расчет_аналитики'!W3782:W3785),0)</f>
        <v/>
      </c>
      <c r="X3786">
        <f>IF('01_Вводные'!$B$234="Да",SUM('19_Расчет_аналитики'!X3782:X3785),0)</f>
        <v/>
      </c>
      <c r="Y3786">
        <f>IF('01_Вводные'!$B$234="Да",SUM('19_Расчет_аналитики'!Y3782:Y3785),0)</f>
        <v/>
      </c>
      <c r="Z3786">
        <f>IF('01_Вводные'!$B$234="Да",SUM('19_Расчет_аналитики'!Z3782:Z3785),0)</f>
        <v/>
      </c>
      <c r="AA3786">
        <f>IF('01_Вводные'!$B$234="Да",SUM('19_Расчет_аналитики'!AA3782:AA3785),0)</f>
        <v/>
      </c>
      <c r="AB3786">
        <f>IF('01_Вводные'!$B$234="Да",SUM('19_Расчет_аналитики'!AB3782:AB3785),0)</f>
        <v/>
      </c>
      <c r="AC3786">
        <f>IF('01_Вводные'!$B$234="Да",SUM('19_Расчет_аналитики'!AC3782:AC3785),0)</f>
        <v/>
      </c>
      <c r="AD3786">
        <f>IF('01_Вводные'!$B$234="Да",SUM('19_Расчет_аналитики'!AD3782:AD3785),0)</f>
        <v/>
      </c>
      <c r="AE3786">
        <f>IF('01_Вводные'!$B$234="Да",SUM('19_Расчет_аналитики'!AE3782:AE3785),0)</f>
        <v/>
      </c>
      <c r="AF3786">
        <f>IF('01_Вводные'!$B$234="Да",SUM('19_Расчет_аналитики'!AF3782:AF3785),0)</f>
        <v/>
      </c>
      <c r="AG3786">
        <f>IF('01_Вводные'!$B$234="Да",SUM('19_Расчет_аналитики'!AG3782:AG3785),0)</f>
        <v/>
      </c>
      <c r="AH3786">
        <f>IF('01_Вводные'!$B$234="Да",SUM('19_Расчет_аналитики'!AH3782:AH3785),0)</f>
        <v/>
      </c>
      <c r="AI3786">
        <f>IF('01_Вводные'!$B$234="Да",SUM('19_Расчет_аналитики'!AI3782:AI3785),0)</f>
        <v/>
      </c>
      <c r="AJ3786">
        <f>IF('01_Вводные'!$B$234="Да",SUM('19_Расчет_аналитики'!AJ3782:AJ3785),0)</f>
        <v/>
      </c>
      <c r="AK3786">
        <f>IF('01_Вводные'!$B$234="Да",SUM('19_Расчет_аналитики'!AK3782:AK3785),0)</f>
        <v/>
      </c>
      <c r="AL3786">
        <f>IF('01_Вводные'!$B$234="Да",SUM('19_Расчет_аналитики'!AL3782:AL3785),0)</f>
        <v/>
      </c>
      <c r="AM3786">
        <f>IF('01_Вводные'!$B$234="Да",SUM('19_Расчет_аналитики'!AM3782:AM3785),0)</f>
        <v/>
      </c>
      <c r="AN3786">
        <f>IF('01_Вводные'!$B$234="Да",SUM('19_Расчет_аналитики'!AN3782:AN3785),0)</f>
        <v/>
      </c>
      <c r="AO3786">
        <f>IF('01_Вводные'!$B$234="Да",SUM('19_Расчет_аналитики'!AO3782:AO3785),0)</f>
        <v/>
      </c>
      <c r="AP3786">
        <f>IF('01_Вводные'!$B$234="Да",SUM('19_Расчет_аналитики'!AP3782:AP3785),0)</f>
        <v/>
      </c>
      <c r="AQ3786">
        <f>IF('01_Вводные'!$B$234="Да",SUM('19_Расчет_аналитики'!AQ3782:AQ3785),0)</f>
        <v/>
      </c>
      <c r="AR3786">
        <f>IF('01_Вводные'!$B$234="Да",SUM('19_Расчет_аналитики'!AR3782:AR3785),0)</f>
        <v/>
      </c>
      <c r="AS3786">
        <f>IF('01_Вводные'!$B$234="Да",SUM('19_Расчет_аналитики'!AS3782:AS3785),0)</f>
        <v/>
      </c>
      <c r="AT3786">
        <f>IF('01_Вводные'!$B$234="Да",SUM('19_Расчет_аналитики'!AT3782:AT3785),0)</f>
        <v/>
      </c>
      <c r="AU3786">
        <f>IF('01_Вводные'!$B$234="Да",SUM('19_Расчет_аналитики'!AU3782:AU3785),0)</f>
        <v/>
      </c>
      <c r="AV3786">
        <f>IF('01_Вводные'!$B$234="Да",SUM('19_Расчет_аналитики'!AV3782:AV3785),0)</f>
        <v/>
      </c>
      <c r="AW3786">
        <f>IF('01_Вводные'!$B$234="Да",SUM('19_Расчет_аналитики'!AW3782:AW3785),0)</f>
        <v/>
      </c>
      <c r="AX3786">
        <f>IF('01_Вводные'!$B$234="Да",SUM('19_Расчет_аналитики'!AX3782:AX3785),0)</f>
        <v/>
      </c>
      <c r="AY3786">
        <f>IF('01_Вводные'!$B$234="Да",SUM('19_Расчет_аналитики'!AY3782:AY3785),0)</f>
        <v/>
      </c>
      <c r="AZ3786">
        <f>IF('01_Вводные'!$B$234="Да",SUM('19_Расчет_аналитики'!AZ3782:AZ3785),0)</f>
        <v/>
      </c>
      <c r="BA3786">
        <f>IF('01_Вводные'!$B$234="Да",SUM('19_Расчет_аналитики'!BA3782:BA3785),0)</f>
        <v/>
      </c>
      <c r="BB3786">
        <f>IF('01_Вводные'!$B$234="Да",SUM('19_Расчет_аналитики'!BB3782:BB3785),0)</f>
        <v/>
      </c>
      <c r="BC3786">
        <f>IF('01_Вводные'!$B$234="Да",SUM('19_Расчет_аналитики'!BC3782:BC3785),0)</f>
        <v/>
      </c>
      <c r="BD3786">
        <f>IF('01_Вводные'!$B$234="Да",SUM('19_Расчет_аналитики'!BD3782:BD3785),0)</f>
        <v/>
      </c>
      <c r="BE3786">
        <f>IF('01_Вводные'!$B$234="Да",SUM('19_Расчет_аналитики'!BE3782:BE3785),0)</f>
        <v/>
      </c>
      <c r="BF3786">
        <f>IF('01_Вводные'!$B$234="Да",SUM('19_Расчет_аналитики'!BF3782:BF3785),0)</f>
        <v/>
      </c>
      <c r="BG3786">
        <f>IF('01_Вводные'!$B$234="Да",SUM('19_Расчет_аналитики'!BG3782:BG3785),0)</f>
        <v/>
      </c>
      <c r="BH3786">
        <f>IF('01_Вводные'!$B$234="Да",SUM('19_Расчет_аналитики'!BH3782:BH3785),0)</f>
        <v/>
      </c>
      <c r="BI3786">
        <f>IF('01_Вводные'!$B$234="Да",SUM('19_Расчет_аналитики'!BI3782:BI3785),0)</f>
        <v/>
      </c>
    </row>
    <row r="3787">
      <c r="B3787">
        <f>IF('01_Вводные'!$B$234="Да",'19_Расчет_аналитики'!B3829,0)</f>
        <v/>
      </c>
      <c r="C3787">
        <f>IF('01_Вводные'!$B$234="Да",'19_Расчет_аналитики'!C3829,0)</f>
        <v/>
      </c>
      <c r="D3787">
        <f>IF('01_Вводные'!$B$234="Да",'19_Расчет_аналитики'!D3829,0)</f>
        <v/>
      </c>
      <c r="E3787">
        <f>IF('01_Вводные'!$B$234="Да",'19_Расчет_аналитики'!E3829,0)</f>
        <v/>
      </c>
      <c r="F3787">
        <f>IF('01_Вводные'!$B$234="Да",'19_Расчет_аналитики'!F3829,0)</f>
        <v/>
      </c>
      <c r="G3787">
        <f>IF('01_Вводные'!$B$234="Да",'19_Расчет_аналитики'!G3829,0)</f>
        <v/>
      </c>
      <c r="H3787">
        <f>IF('01_Вводные'!$B$234="Да",'19_Расчет_аналитики'!H3829,0)</f>
        <v/>
      </c>
      <c r="I3787">
        <f>IF('01_Вводные'!$B$234="Да",'19_Расчет_аналитики'!I3829,0)</f>
        <v/>
      </c>
      <c r="J3787">
        <f>IF('01_Вводные'!$B$234="Да",'19_Расчет_аналитики'!J3829,0)</f>
        <v/>
      </c>
      <c r="K3787">
        <f>IF('01_Вводные'!$B$234="Да",'19_Расчет_аналитики'!K3829,0)</f>
        <v/>
      </c>
      <c r="L3787">
        <f>IF('01_Вводные'!$B$234="Да",'19_Расчет_аналитики'!L3829,0)</f>
        <v/>
      </c>
      <c r="M3787">
        <f>IF('01_Вводные'!$B$234="Да",'19_Расчет_аналитики'!M3829,0)</f>
        <v/>
      </c>
      <c r="N3787">
        <f>IF('01_Вводные'!$B$234="Да",'19_Расчет_аналитики'!N3829,0)</f>
        <v/>
      </c>
      <c r="O3787">
        <f>IF('01_Вводные'!$B$234="Да",'19_Расчет_аналитики'!O3829,0)</f>
        <v/>
      </c>
      <c r="P3787">
        <f>IF('01_Вводные'!$B$234="Да",'19_Расчет_аналитики'!P3829,0)</f>
        <v/>
      </c>
      <c r="Q3787">
        <f>IF('01_Вводные'!$B$234="Да",'19_Расчет_аналитики'!Q3829,0)</f>
        <v/>
      </c>
      <c r="R3787">
        <f>IF('01_Вводные'!$B$234="Да",'19_Расчет_аналитики'!R3829,0)</f>
        <v/>
      </c>
      <c r="S3787">
        <f>IF('01_Вводные'!$B$234="Да",'19_Расчет_аналитики'!S3829,0)</f>
        <v/>
      </c>
      <c r="T3787">
        <f>IF('01_Вводные'!$B$234="Да",'19_Расчет_аналитики'!T3829,0)</f>
        <v/>
      </c>
      <c r="U3787">
        <f>IF('01_Вводные'!$B$234="Да",'19_Расчет_аналитики'!U3829,0)</f>
        <v/>
      </c>
      <c r="V3787">
        <f>IF('01_Вводные'!$B$234="Да",'19_Расчет_аналитики'!V3829,0)</f>
        <v/>
      </c>
      <c r="W3787">
        <f>IF('01_Вводные'!$B$234="Да",'19_Расчет_аналитики'!W3829,0)</f>
        <v/>
      </c>
      <c r="X3787">
        <f>IF('01_Вводные'!$B$234="Да",'19_Расчет_аналитики'!X3829,0)</f>
        <v/>
      </c>
      <c r="Y3787">
        <f>IF('01_Вводные'!$B$234="Да",'19_Расчет_аналитики'!Y3829,0)</f>
        <v/>
      </c>
      <c r="Z3787">
        <f>IF('01_Вводные'!$B$234="Да",'19_Расчет_аналитики'!Z3829,0)</f>
        <v/>
      </c>
      <c r="AA3787">
        <f>IF('01_Вводные'!$B$234="Да",'19_Расчет_аналитики'!AA3829,0)</f>
        <v/>
      </c>
      <c r="AB3787">
        <f>IF('01_Вводные'!$B$234="Да",'19_Расчет_аналитики'!AB3829,0)</f>
        <v/>
      </c>
      <c r="AC3787">
        <f>IF('01_Вводные'!$B$234="Да",'19_Расчет_аналитики'!AC3829,0)</f>
        <v/>
      </c>
      <c r="AD3787">
        <f>IF('01_Вводные'!$B$234="Да",'19_Расчет_аналитики'!AD3829,0)</f>
        <v/>
      </c>
      <c r="AE3787">
        <f>IF('01_Вводные'!$B$234="Да",'19_Расчет_аналитики'!AE3829,0)</f>
        <v/>
      </c>
      <c r="AF3787">
        <f>IF('01_Вводные'!$B$234="Да",'19_Расчет_аналитики'!AF3829,0)</f>
        <v/>
      </c>
      <c r="AG3787">
        <f>IF('01_Вводные'!$B$234="Да",'19_Расчет_аналитики'!AG3829,0)</f>
        <v/>
      </c>
      <c r="AH3787">
        <f>IF('01_Вводные'!$B$234="Да",'19_Расчет_аналитики'!AH3829,0)</f>
        <v/>
      </c>
      <c r="AI3787">
        <f>IF('01_Вводные'!$B$234="Да",'19_Расчет_аналитики'!AI3829,0)</f>
        <v/>
      </c>
      <c r="AJ3787">
        <f>IF('01_Вводные'!$B$234="Да",'19_Расчет_аналитики'!AJ3829,0)</f>
        <v/>
      </c>
      <c r="AK3787">
        <f>IF('01_Вводные'!$B$234="Да",'19_Расчет_аналитики'!AK3829,0)</f>
        <v/>
      </c>
      <c r="AL3787">
        <f>IF('01_Вводные'!$B$234="Да",'19_Расчет_аналитики'!AL3829,0)</f>
        <v/>
      </c>
      <c r="AM3787">
        <f>IF('01_Вводные'!$B$234="Да",'19_Расчет_аналитики'!AM3829,0)</f>
        <v/>
      </c>
      <c r="AN3787">
        <f>IF('01_Вводные'!$B$234="Да",'19_Расчет_аналитики'!AN3829,0)</f>
        <v/>
      </c>
      <c r="AO3787">
        <f>IF('01_Вводные'!$B$234="Да",'19_Расчет_аналитики'!AO3829,0)</f>
        <v/>
      </c>
      <c r="AP3787">
        <f>IF('01_Вводные'!$B$234="Да",'19_Расчет_аналитики'!AP3829,0)</f>
        <v/>
      </c>
      <c r="AQ3787">
        <f>IF('01_Вводные'!$B$234="Да",'19_Расчет_аналитики'!AQ3829,0)</f>
        <v/>
      </c>
      <c r="AR3787">
        <f>IF('01_Вводные'!$B$234="Да",'19_Расчет_аналитики'!AR3829,0)</f>
        <v/>
      </c>
      <c r="AS3787">
        <f>IF('01_Вводные'!$B$234="Да",'19_Расчет_аналитики'!AS3829,0)</f>
        <v/>
      </c>
      <c r="AT3787">
        <f>IF('01_Вводные'!$B$234="Да",'19_Расчет_аналитики'!AT3829,0)</f>
        <v/>
      </c>
      <c r="AU3787">
        <f>IF('01_Вводные'!$B$234="Да",'19_Расчет_аналитики'!AU3829,0)</f>
        <v/>
      </c>
      <c r="AV3787">
        <f>IF('01_Вводные'!$B$234="Да",'19_Расчет_аналитики'!AV3829,0)</f>
        <v/>
      </c>
      <c r="AW3787">
        <f>IF('01_Вводные'!$B$234="Да",'19_Расчет_аналитики'!AW3829,0)</f>
        <v/>
      </c>
      <c r="AX3787">
        <f>IF('01_Вводные'!$B$234="Да",'19_Расчет_аналитики'!AX3829,0)</f>
        <v/>
      </c>
      <c r="AY3787">
        <f>IF('01_Вводные'!$B$234="Да",'19_Расчет_аналитики'!AY3829,0)</f>
        <v/>
      </c>
      <c r="AZ3787">
        <f>IF('01_Вводные'!$B$234="Да",'19_Расчет_аналитики'!AZ3829,0)</f>
        <v/>
      </c>
      <c r="BA3787">
        <f>IF('01_Вводные'!$B$234="Да",'19_Расчет_аналитики'!BA3829,0)</f>
        <v/>
      </c>
      <c r="BB3787">
        <f>IF('01_Вводные'!$B$234="Да",'19_Расчет_аналитики'!BB3829,0)</f>
        <v/>
      </c>
      <c r="BC3787">
        <f>IF('01_Вводные'!$B$234="Да",'19_Расчет_аналитики'!BC3829,0)</f>
        <v/>
      </c>
      <c r="BD3787">
        <f>IF('01_Вводные'!$B$234="Да",'19_Расчет_аналитики'!BD3829,0)</f>
        <v/>
      </c>
      <c r="BE3787">
        <f>IF('01_Вводные'!$B$234="Да",'19_Расчет_аналитики'!BE3829,0)</f>
        <v/>
      </c>
      <c r="BF3787">
        <f>IF('01_Вводные'!$B$234="Да",'19_Расчет_аналитики'!BF3829,0)</f>
        <v/>
      </c>
      <c r="BG3787">
        <f>IF('01_Вводные'!$B$234="Да",'19_Расчет_аналитики'!BG3829,0)</f>
        <v/>
      </c>
      <c r="BH3787">
        <f>IF('01_Вводные'!$B$234="Да",'19_Расчет_аналитики'!BH3829,0)</f>
        <v/>
      </c>
      <c r="BI3787">
        <f>IF('01_Вводные'!$B$234="Да",'19_Расчет_аналитики'!BI3829,0)</f>
        <v/>
      </c>
    </row>
    <row r="3788">
      <c r="B3788">
        <f>IF('01_Вводные'!$B$234="Да",'19_Расчет_аналитики'!B3757,0)</f>
        <v/>
      </c>
      <c r="C3788">
        <f>IF('01_Вводные'!$B$234="Да",'19_Расчет_аналитики'!C3757,0)</f>
        <v/>
      </c>
      <c r="D3788">
        <f>IF('01_Вводные'!$B$234="Да",'19_Расчет_аналитики'!D3757,0)</f>
        <v/>
      </c>
      <c r="E3788">
        <f>IF('01_Вводные'!$B$234="Да",'19_Расчет_аналитики'!E3757,0)</f>
        <v/>
      </c>
      <c r="F3788">
        <f>IF('01_Вводные'!$B$234="Да",'19_Расчет_аналитики'!F3757,0)</f>
        <v/>
      </c>
      <c r="G3788">
        <f>IF('01_Вводные'!$B$234="Да",'19_Расчет_аналитики'!G3757,0)</f>
        <v/>
      </c>
      <c r="H3788">
        <f>IF('01_Вводные'!$B$234="Да",'19_Расчет_аналитики'!H3757,0)</f>
        <v/>
      </c>
      <c r="I3788">
        <f>IF('01_Вводные'!$B$234="Да",'19_Расчет_аналитики'!I3757,0)</f>
        <v/>
      </c>
      <c r="J3788">
        <f>IF('01_Вводные'!$B$234="Да",'19_Расчет_аналитики'!J3757,0)</f>
        <v/>
      </c>
      <c r="K3788">
        <f>IF('01_Вводные'!$B$234="Да",'19_Расчет_аналитики'!K3757,0)</f>
        <v/>
      </c>
      <c r="L3788">
        <f>IF('01_Вводные'!$B$234="Да",'19_Расчет_аналитики'!L3757,0)</f>
        <v/>
      </c>
      <c r="M3788">
        <f>IF('01_Вводные'!$B$234="Да",'19_Расчет_аналитики'!M3757,0)</f>
        <v/>
      </c>
      <c r="N3788">
        <f>IF('01_Вводные'!$B$234="Да",'19_Расчет_аналитики'!N3757,0)</f>
        <v/>
      </c>
      <c r="O3788">
        <f>IF('01_Вводные'!$B$234="Да",'19_Расчет_аналитики'!O3757,0)</f>
        <v/>
      </c>
      <c r="P3788">
        <f>IF('01_Вводные'!$B$234="Да",'19_Расчет_аналитики'!P3757,0)</f>
        <v/>
      </c>
      <c r="Q3788">
        <f>IF('01_Вводные'!$B$234="Да",'19_Расчет_аналитики'!Q3757,0)</f>
        <v/>
      </c>
      <c r="R3788">
        <f>IF('01_Вводные'!$B$234="Да",'19_Расчет_аналитики'!R3757,0)</f>
        <v/>
      </c>
      <c r="S3788">
        <f>IF('01_Вводные'!$B$234="Да",'19_Расчет_аналитики'!S3757,0)</f>
        <v/>
      </c>
      <c r="T3788">
        <f>IF('01_Вводные'!$B$234="Да",'19_Расчет_аналитики'!T3757,0)</f>
        <v/>
      </c>
      <c r="U3788">
        <f>IF('01_Вводные'!$B$234="Да",'19_Расчет_аналитики'!U3757,0)</f>
        <v/>
      </c>
      <c r="V3788">
        <f>IF('01_Вводные'!$B$234="Да",'19_Расчет_аналитики'!V3757,0)</f>
        <v/>
      </c>
      <c r="W3788">
        <f>IF('01_Вводные'!$B$234="Да",'19_Расчет_аналитики'!W3757,0)</f>
        <v/>
      </c>
      <c r="X3788">
        <f>IF('01_Вводные'!$B$234="Да",'19_Расчет_аналитики'!X3757,0)</f>
        <v/>
      </c>
      <c r="Y3788">
        <f>IF('01_Вводные'!$B$234="Да",'19_Расчет_аналитики'!Y3757,0)</f>
        <v/>
      </c>
      <c r="Z3788">
        <f>IF('01_Вводные'!$B$234="Да",'19_Расчет_аналитики'!Z3757,0)</f>
        <v/>
      </c>
      <c r="AA3788">
        <f>IF('01_Вводные'!$B$234="Да",'19_Расчет_аналитики'!AA3757,0)</f>
        <v/>
      </c>
      <c r="AB3788">
        <f>IF('01_Вводные'!$B$234="Да",'19_Расчет_аналитики'!AB3757,0)</f>
        <v/>
      </c>
      <c r="AC3788">
        <f>IF('01_Вводные'!$B$234="Да",'19_Расчет_аналитики'!AC3757,0)</f>
        <v/>
      </c>
      <c r="AD3788">
        <f>IF('01_Вводные'!$B$234="Да",'19_Расчет_аналитики'!AD3757,0)</f>
        <v/>
      </c>
      <c r="AE3788">
        <f>IF('01_Вводные'!$B$234="Да",'19_Расчет_аналитики'!AE3757,0)</f>
        <v/>
      </c>
      <c r="AF3788">
        <f>IF('01_Вводные'!$B$234="Да",'19_Расчет_аналитики'!AF3757,0)</f>
        <v/>
      </c>
      <c r="AG3788">
        <f>IF('01_Вводные'!$B$234="Да",'19_Расчет_аналитики'!AG3757,0)</f>
        <v/>
      </c>
      <c r="AH3788">
        <f>IF('01_Вводные'!$B$234="Да",'19_Расчет_аналитики'!AH3757,0)</f>
        <v/>
      </c>
      <c r="AI3788">
        <f>IF('01_Вводные'!$B$234="Да",'19_Расчет_аналитики'!AI3757,0)</f>
        <v/>
      </c>
      <c r="AJ3788">
        <f>IF('01_Вводные'!$B$234="Да",'19_Расчет_аналитики'!AJ3757,0)</f>
        <v/>
      </c>
      <c r="AK3788">
        <f>IF('01_Вводные'!$B$234="Да",'19_Расчет_аналитики'!AK3757,0)</f>
        <v/>
      </c>
      <c r="AL3788">
        <f>IF('01_Вводные'!$B$234="Да",'19_Расчет_аналитики'!AL3757,0)</f>
        <v/>
      </c>
      <c r="AM3788">
        <f>IF('01_Вводные'!$B$234="Да",'19_Расчет_аналитики'!AM3757,0)</f>
        <v/>
      </c>
      <c r="AN3788">
        <f>IF('01_Вводные'!$B$234="Да",'19_Расчет_аналитики'!AN3757,0)</f>
        <v/>
      </c>
      <c r="AO3788">
        <f>IF('01_Вводные'!$B$234="Да",'19_Расчет_аналитики'!AO3757,0)</f>
        <v/>
      </c>
      <c r="AP3788">
        <f>IF('01_Вводные'!$B$234="Да",'19_Расчет_аналитики'!AP3757,0)</f>
        <v/>
      </c>
      <c r="AQ3788">
        <f>IF('01_Вводные'!$B$234="Да",'19_Расчет_аналитики'!AQ3757,0)</f>
        <v/>
      </c>
      <c r="AR3788">
        <f>IF('01_Вводные'!$B$234="Да",'19_Расчет_аналитики'!AR3757,0)</f>
        <v/>
      </c>
      <c r="AS3788">
        <f>IF('01_Вводные'!$B$234="Да",'19_Расчет_аналитики'!AS3757,0)</f>
        <v/>
      </c>
      <c r="AT3788">
        <f>IF('01_Вводные'!$B$234="Да",'19_Расчет_аналитики'!AT3757,0)</f>
        <v/>
      </c>
      <c r="AU3788">
        <f>IF('01_Вводные'!$B$234="Да",'19_Расчет_аналитики'!AU3757,0)</f>
        <v/>
      </c>
      <c r="AV3788">
        <f>IF('01_Вводные'!$B$234="Да",'19_Расчет_аналитики'!AV3757,0)</f>
        <v/>
      </c>
      <c r="AW3788">
        <f>IF('01_Вводные'!$B$234="Да",'19_Расчет_аналитики'!AW3757,0)</f>
        <v/>
      </c>
      <c r="AX3788">
        <f>IF('01_Вводные'!$B$234="Да",'19_Расчет_аналитики'!AX3757,0)</f>
        <v/>
      </c>
      <c r="AY3788">
        <f>IF('01_Вводные'!$B$234="Да",'19_Расчет_аналитики'!AY3757,0)</f>
        <v/>
      </c>
      <c r="AZ3788">
        <f>IF('01_Вводные'!$B$234="Да",'19_Расчет_аналитики'!AZ3757,0)</f>
        <v/>
      </c>
      <c r="BA3788">
        <f>IF('01_Вводные'!$B$234="Да",'19_Расчет_аналитики'!BA3757,0)</f>
        <v/>
      </c>
      <c r="BB3788">
        <f>IF('01_Вводные'!$B$234="Да",'19_Расчет_аналитики'!BB3757,0)</f>
        <v/>
      </c>
      <c r="BC3788">
        <f>IF('01_Вводные'!$B$234="Да",'19_Расчет_аналитики'!BC3757,0)</f>
        <v/>
      </c>
      <c r="BD3788">
        <f>IF('01_Вводные'!$B$234="Да",'19_Расчет_аналитики'!BD3757,0)</f>
        <v/>
      </c>
      <c r="BE3788">
        <f>IF('01_Вводные'!$B$234="Да",'19_Расчет_аналитики'!BE3757,0)</f>
        <v/>
      </c>
      <c r="BF3788">
        <f>IF('01_Вводные'!$B$234="Да",'19_Расчет_аналитики'!BF3757,0)</f>
        <v/>
      </c>
      <c r="BG3788">
        <f>IF('01_Вводные'!$B$234="Да",'19_Расчет_аналитики'!BG3757,0)</f>
        <v/>
      </c>
      <c r="BH3788">
        <f>IF('01_Вводные'!$B$234="Да",'19_Расчет_аналитики'!BH3757,0)</f>
        <v/>
      </c>
      <c r="BI3788">
        <f>IF('01_Вводные'!$B$234="Да",'19_Расчет_аналитики'!BI3757,0)</f>
        <v/>
      </c>
    </row>
    <row r="3789">
      <c r="B3789">
        <f>IF('01_Вводные'!$B$234="Да",'01_Вводные'!$B$21*('19_Расчет_аналитики'!B3767+'02_Модель'!B38+'02_Модель'!B39+'02_Модель'!B40+'02_Модель'!B41+'19_Расчет_аналитики'!B3772+'19_Расчет_аналитики'!B3662)+(1-'01_Вводные'!$B$21)*0,0)</f>
        <v/>
      </c>
      <c r="C3789">
        <f>IF('01_Вводные'!$B$234="Да",'01_Вводные'!$B$21*('19_Расчет_аналитики'!C3767+'02_Модель'!C38+'02_Модель'!C39+'02_Модель'!C40+'02_Модель'!C41+'19_Расчет_аналитики'!C3772+'19_Расчет_аналитики'!C3662)+(1-'01_Вводные'!$B$21)*('19_Расчет_аналитики'!B3767+'02_Модель'!B38+'02_Модель'!B39+'02_Модель'!B40+'02_Модель'!B41+'19_Расчет_аналитики'!B3772+'19_Расчет_аналитики'!B3662),0)</f>
        <v/>
      </c>
      <c r="D3789">
        <f>IF('01_Вводные'!$B$234="Да",'01_Вводные'!$B$21*('19_Расчет_аналитики'!D3767+'02_Модель'!D38+'02_Модель'!D39+'02_Модель'!D40+'02_Модель'!D41+'19_Расчет_аналитики'!D3772+'19_Расчет_аналитики'!D3662)+(1-'01_Вводные'!$B$21)*('19_Расчет_аналитики'!C3767+'02_Модель'!C38+'02_Модель'!C39+'02_Модель'!C40+'02_Модель'!C41+'19_Расчет_аналитики'!C3772+'19_Расчет_аналитики'!C3662),0)</f>
        <v/>
      </c>
      <c r="E3789">
        <f>IF('01_Вводные'!$B$234="Да",'01_Вводные'!$B$21*('19_Расчет_аналитики'!E3767+'02_Модель'!E38+'02_Модель'!E39+'02_Модель'!E40+'02_Модель'!E41+'19_Расчет_аналитики'!E3772+'19_Расчет_аналитики'!E3662)+(1-'01_Вводные'!$B$21)*('19_Расчет_аналитики'!D3767+'02_Модель'!D38+'02_Модель'!D39+'02_Модель'!D40+'02_Модель'!D41+'19_Расчет_аналитики'!D3772+'19_Расчет_аналитики'!D3662),0)</f>
        <v/>
      </c>
      <c r="F3789">
        <f>IF('01_Вводные'!$B$234="Да",'01_Вводные'!$B$21*('19_Расчет_аналитики'!F3767+'02_Модель'!F38+'02_Модель'!F39+'02_Модель'!F40+'02_Модель'!F41+'19_Расчет_аналитики'!F3772+'19_Расчет_аналитики'!F3662)+(1-'01_Вводные'!$B$21)*('19_Расчет_аналитики'!E3767+'02_Модель'!E38+'02_Модель'!E39+'02_Модель'!E40+'02_Модель'!E41+'19_Расчет_аналитики'!E3772+'19_Расчет_аналитики'!E3662),0)</f>
        <v/>
      </c>
      <c r="G3789">
        <f>IF('01_Вводные'!$B$234="Да",'01_Вводные'!$B$21*('19_Расчет_аналитики'!G3767+'02_Модель'!G38+'02_Модель'!G39+'02_Модель'!G40+'02_Модель'!G41+'19_Расчет_аналитики'!G3772+'19_Расчет_аналитики'!G3662)+(1-'01_Вводные'!$B$21)*('19_Расчет_аналитики'!F3767+'02_Модель'!F38+'02_Модель'!F39+'02_Модель'!F40+'02_Модель'!F41+'19_Расчет_аналитики'!F3772+'19_Расчет_аналитики'!F3662),0)</f>
        <v/>
      </c>
      <c r="H3789">
        <f>IF('01_Вводные'!$B$234="Да",'01_Вводные'!$B$21*('19_Расчет_аналитики'!H3767+'02_Модель'!H38+'02_Модель'!H39+'02_Модель'!H40+'02_Модель'!H41+'19_Расчет_аналитики'!H3772+'19_Расчет_аналитики'!H3662)+(1-'01_Вводные'!$B$21)*('19_Расчет_аналитики'!G3767+'02_Модель'!G38+'02_Модель'!G39+'02_Модель'!G40+'02_Модель'!G41+'19_Расчет_аналитики'!G3772+'19_Расчет_аналитики'!G3662),0)</f>
        <v/>
      </c>
      <c r="I3789">
        <f>IF('01_Вводные'!$B$234="Да",'01_Вводные'!$B$21*('19_Расчет_аналитики'!I3767+'02_Модель'!I38+'02_Модель'!I39+'02_Модель'!I40+'02_Модель'!I41+'19_Расчет_аналитики'!I3772+'19_Расчет_аналитики'!I3662)+(1-'01_Вводные'!$B$21)*('19_Расчет_аналитики'!H3767+'02_Модель'!H38+'02_Модель'!H39+'02_Модель'!H40+'02_Модель'!H41+'19_Расчет_аналитики'!H3772+'19_Расчет_аналитики'!H3662),0)</f>
        <v/>
      </c>
      <c r="J3789">
        <f>IF('01_Вводные'!$B$234="Да",'01_Вводные'!$B$21*('19_Расчет_аналитики'!J3767+'02_Модель'!J38+'02_Модель'!J39+'02_Модель'!J40+'02_Модель'!J41+'19_Расчет_аналитики'!J3772+'19_Расчет_аналитики'!J3662)+(1-'01_Вводные'!$B$21)*('19_Расчет_аналитики'!I3767+'02_Модель'!I38+'02_Модель'!I39+'02_Модель'!I40+'02_Модель'!I41+'19_Расчет_аналитики'!I3772+'19_Расчет_аналитики'!I3662),0)</f>
        <v/>
      </c>
      <c r="K3789">
        <f>IF('01_Вводные'!$B$234="Да",'01_Вводные'!$B$21*('19_Расчет_аналитики'!K3767+'02_Модель'!K38+'02_Модель'!K39+'02_Модель'!K40+'02_Модель'!K41+'19_Расчет_аналитики'!K3772+'19_Расчет_аналитики'!K3662)+(1-'01_Вводные'!$B$21)*('19_Расчет_аналитики'!J3767+'02_Модель'!J38+'02_Модель'!J39+'02_Модель'!J40+'02_Модель'!J41+'19_Расчет_аналитики'!J3772+'19_Расчет_аналитики'!J3662),0)</f>
        <v/>
      </c>
      <c r="L3789">
        <f>IF('01_Вводные'!$B$234="Да",'01_Вводные'!$B$21*('19_Расчет_аналитики'!L3767+'02_Модель'!L38+'02_Модель'!L39+'02_Модель'!L40+'02_Модель'!L41+'19_Расчет_аналитики'!L3772+'19_Расчет_аналитики'!L3662)+(1-'01_Вводные'!$B$21)*('19_Расчет_аналитики'!K3767+'02_Модель'!K38+'02_Модель'!K39+'02_Модель'!K40+'02_Модель'!K41+'19_Расчет_аналитики'!K3772+'19_Расчет_аналитики'!K3662),0)</f>
        <v/>
      </c>
      <c r="M3789">
        <f>IF('01_Вводные'!$B$234="Да",'01_Вводные'!$B$21*('19_Расчет_аналитики'!M3767+'02_Модель'!M38+'02_Модель'!M39+'02_Модель'!M40+'02_Модель'!M41+'19_Расчет_аналитики'!M3772+'19_Расчет_аналитики'!M3662)+(1-'01_Вводные'!$B$21)*('19_Расчет_аналитики'!L3767+'02_Модель'!L38+'02_Модель'!L39+'02_Модель'!L40+'02_Модель'!L41+'19_Расчет_аналитики'!L3772+'19_Расчет_аналитики'!L3662),0)</f>
        <v/>
      </c>
      <c r="N3789">
        <f>IF('01_Вводные'!$B$234="Да",'01_Вводные'!$B$21*('19_Расчет_аналитики'!N3767+'02_Модель'!N38+'02_Модель'!N39+'02_Модель'!N40+'02_Модель'!N41+'19_Расчет_аналитики'!N3772+'19_Расчет_аналитики'!N3662)+(1-'01_Вводные'!$B$21)*('19_Расчет_аналитики'!M3767+'02_Модель'!M38+'02_Модель'!M39+'02_Модель'!M40+'02_Модель'!M41+'19_Расчет_аналитики'!M3772+'19_Расчет_аналитики'!M3662),0)</f>
        <v/>
      </c>
      <c r="O3789">
        <f>IF('01_Вводные'!$B$234="Да",'01_Вводные'!$B$21*('19_Расчет_аналитики'!O3767+'02_Модель'!O38+'02_Модель'!O39+'02_Модель'!O40+'02_Модель'!O41+'19_Расчет_аналитики'!O3772+'19_Расчет_аналитики'!O3662)+(1-'01_Вводные'!$B$21)*('19_Расчет_аналитики'!N3767+'02_Модель'!N38+'02_Модель'!N39+'02_Модель'!N40+'02_Модель'!N41+'19_Расчет_аналитики'!N3772+'19_Расчет_аналитики'!N3662),0)</f>
        <v/>
      </c>
      <c r="P3789">
        <f>IF('01_Вводные'!$B$234="Да",'01_Вводные'!$B$21*('19_Расчет_аналитики'!P3767+'02_Модель'!P38+'02_Модель'!P39+'02_Модель'!P40+'02_Модель'!P41+'19_Расчет_аналитики'!P3772+'19_Расчет_аналитики'!P3662)+(1-'01_Вводные'!$B$21)*('19_Расчет_аналитики'!O3767+'02_Модель'!O38+'02_Модель'!O39+'02_Модель'!O40+'02_Модель'!O41+'19_Расчет_аналитики'!O3772+'19_Расчет_аналитики'!O3662),0)</f>
        <v/>
      </c>
      <c r="Q3789">
        <f>IF('01_Вводные'!$B$234="Да",'01_Вводные'!$B$21*('19_Расчет_аналитики'!Q3767+'02_Модель'!Q38+'02_Модель'!Q39+'02_Модель'!Q40+'02_Модель'!Q41+'19_Расчет_аналитики'!Q3772+'19_Расчет_аналитики'!Q3662)+(1-'01_Вводные'!$B$21)*('19_Расчет_аналитики'!P3767+'02_Модель'!P38+'02_Модель'!P39+'02_Модель'!P40+'02_Модель'!P41+'19_Расчет_аналитики'!P3772+'19_Расчет_аналитики'!P3662),0)</f>
        <v/>
      </c>
      <c r="R3789">
        <f>IF('01_Вводные'!$B$234="Да",'01_Вводные'!$B$21*('19_Расчет_аналитики'!R3767+'02_Модель'!R38+'02_Модель'!R39+'02_Модель'!R40+'02_Модель'!R41+'19_Расчет_аналитики'!R3772+'19_Расчет_аналитики'!R3662)+(1-'01_Вводные'!$B$21)*('19_Расчет_аналитики'!Q3767+'02_Модель'!Q38+'02_Модель'!Q39+'02_Модель'!Q40+'02_Модель'!Q41+'19_Расчет_аналитики'!Q3772+'19_Расчет_аналитики'!Q3662),0)</f>
        <v/>
      </c>
      <c r="S3789">
        <f>IF('01_Вводные'!$B$234="Да",'01_Вводные'!$B$21*('19_Расчет_аналитики'!S3767+'02_Модель'!S38+'02_Модель'!S39+'02_Модель'!S40+'02_Модель'!S41+'19_Расчет_аналитики'!S3772+'19_Расчет_аналитики'!S3662)+(1-'01_Вводные'!$B$21)*('19_Расчет_аналитики'!R3767+'02_Модель'!R38+'02_Модель'!R39+'02_Модель'!R40+'02_Модель'!R41+'19_Расчет_аналитики'!R3772+'19_Расчет_аналитики'!R3662),0)</f>
        <v/>
      </c>
      <c r="T3789">
        <f>IF('01_Вводные'!$B$234="Да",'01_Вводные'!$B$21*('19_Расчет_аналитики'!T3767+'02_Модель'!T38+'02_Модель'!T39+'02_Модель'!T40+'02_Модель'!T41+'19_Расчет_аналитики'!T3772+'19_Расчет_аналитики'!T3662)+(1-'01_Вводные'!$B$21)*('19_Расчет_аналитики'!S3767+'02_Модель'!S38+'02_Модель'!S39+'02_Модель'!S40+'02_Модель'!S41+'19_Расчет_аналитики'!S3772+'19_Расчет_аналитики'!S3662),0)</f>
        <v/>
      </c>
      <c r="U3789">
        <f>IF('01_Вводные'!$B$234="Да",'01_Вводные'!$B$21*('19_Расчет_аналитики'!U3767+'02_Модель'!U38+'02_Модель'!U39+'02_Модель'!U40+'02_Модель'!U41+'19_Расчет_аналитики'!U3772+'19_Расчет_аналитики'!U3662)+(1-'01_Вводные'!$B$21)*('19_Расчет_аналитики'!T3767+'02_Модель'!T38+'02_Модель'!T39+'02_Модель'!T40+'02_Модель'!T41+'19_Расчет_аналитики'!T3772+'19_Расчет_аналитики'!T3662),0)</f>
        <v/>
      </c>
      <c r="V3789">
        <f>IF('01_Вводные'!$B$234="Да",'01_Вводные'!$B$21*('19_Расчет_аналитики'!V3767+'02_Модель'!V38+'02_Модель'!V39+'02_Модель'!V40+'02_Модель'!V41+'19_Расчет_аналитики'!V3772+'19_Расчет_аналитики'!V3662)+(1-'01_Вводные'!$B$21)*('19_Расчет_аналитики'!U3767+'02_Модель'!U38+'02_Модель'!U39+'02_Модель'!U40+'02_Модель'!U41+'19_Расчет_аналитики'!U3772+'19_Расчет_аналитики'!U3662),0)</f>
        <v/>
      </c>
      <c r="W3789">
        <f>IF('01_Вводные'!$B$234="Да",'01_Вводные'!$B$21*('19_Расчет_аналитики'!W3767+'02_Модель'!W38+'02_Модель'!W39+'02_Модель'!W40+'02_Модель'!W41+'19_Расчет_аналитики'!W3772+'19_Расчет_аналитики'!W3662)+(1-'01_Вводные'!$B$21)*('19_Расчет_аналитики'!V3767+'02_Модель'!V38+'02_Модель'!V39+'02_Модель'!V40+'02_Модель'!V41+'19_Расчет_аналитики'!V3772+'19_Расчет_аналитики'!V3662),0)</f>
        <v/>
      </c>
      <c r="X3789">
        <f>IF('01_Вводные'!$B$234="Да",'01_Вводные'!$B$21*('19_Расчет_аналитики'!X3767+'02_Модель'!X38+'02_Модель'!X39+'02_Модель'!X40+'02_Модель'!X41+'19_Расчет_аналитики'!X3772+'19_Расчет_аналитики'!X3662)+(1-'01_Вводные'!$B$21)*('19_Расчет_аналитики'!W3767+'02_Модель'!W38+'02_Модель'!W39+'02_Модель'!W40+'02_Модель'!W41+'19_Расчет_аналитики'!W3772+'19_Расчет_аналитики'!W3662),0)</f>
        <v/>
      </c>
      <c r="Y3789">
        <f>IF('01_Вводные'!$B$234="Да",'01_Вводные'!$B$21*('19_Расчет_аналитики'!Y3767+'02_Модель'!Y38+'02_Модель'!Y39+'02_Модель'!Y40+'02_Модель'!Y41+'19_Расчет_аналитики'!Y3772+'19_Расчет_аналитики'!Y3662)+(1-'01_Вводные'!$B$21)*('19_Расчет_аналитики'!X3767+'02_Модель'!X38+'02_Модель'!X39+'02_Модель'!X40+'02_Модель'!X41+'19_Расчет_аналитики'!X3772+'19_Расчет_аналитики'!X3662),0)</f>
        <v/>
      </c>
      <c r="Z3789">
        <f>IF('01_Вводные'!$B$234="Да",'01_Вводные'!$B$21*('19_Расчет_аналитики'!Z3767+'02_Модель'!Z38+'02_Модель'!Z39+'02_Модель'!Z40+'02_Модель'!Z41+'19_Расчет_аналитики'!Z3772+'19_Расчет_аналитики'!Z3662)+(1-'01_Вводные'!$B$21)*('19_Расчет_аналитики'!Y3767+'02_Модель'!Y38+'02_Модель'!Y39+'02_Модель'!Y40+'02_Модель'!Y41+'19_Расчет_аналитики'!Y3772+'19_Расчет_аналитики'!Y3662),0)</f>
        <v/>
      </c>
      <c r="AA3789">
        <f>IF('01_Вводные'!$B$234="Да",'01_Вводные'!$B$21*('19_Расчет_аналитики'!AA3767+'02_Модель'!AA38+'02_Модель'!AA39+'02_Модель'!AA40+'02_Модель'!AA41+'19_Расчет_аналитики'!AA3772+'19_Расчет_аналитики'!AA3662)+(1-'01_Вводные'!$B$21)*('19_Расчет_аналитики'!Z3767+'02_Модель'!Z38+'02_Модель'!Z39+'02_Модель'!Z40+'02_Модель'!Z41+'19_Расчет_аналитики'!Z3772+'19_Расчет_аналитики'!Z3662),0)</f>
        <v/>
      </c>
      <c r="AB3789">
        <f>IF('01_Вводные'!$B$234="Да",'01_Вводные'!$B$21*('19_Расчет_аналитики'!AB3767+'02_Модель'!AB38+'02_Модель'!AB39+'02_Модель'!AB40+'02_Модель'!AB41+'19_Расчет_аналитики'!AB3772+'19_Расчет_аналитики'!AB3662)+(1-'01_Вводные'!$B$21)*('19_Расчет_аналитики'!AA3767+'02_Модель'!AA38+'02_Модель'!AA39+'02_Модель'!AA40+'02_Модель'!AA41+'19_Расчет_аналитики'!AA3772+'19_Расчет_аналитики'!AA3662),0)</f>
        <v/>
      </c>
      <c r="AC3789">
        <f>IF('01_Вводные'!$B$234="Да",'01_Вводные'!$B$21*('19_Расчет_аналитики'!AC3767+'02_Модель'!AC38+'02_Модель'!AC39+'02_Модель'!AC40+'02_Модель'!AC41+'19_Расчет_аналитики'!AC3772+'19_Расчет_аналитики'!AC3662)+(1-'01_Вводные'!$B$21)*('19_Расчет_аналитики'!AB3767+'02_Модель'!AB38+'02_Модель'!AB39+'02_Модель'!AB40+'02_Модель'!AB41+'19_Расчет_аналитики'!AB3772+'19_Расчет_аналитики'!AB3662),0)</f>
        <v/>
      </c>
      <c r="AD3789">
        <f>IF('01_Вводные'!$B$234="Да",'01_Вводные'!$B$21*('19_Расчет_аналитики'!AD3767+'02_Модель'!AD38+'02_Модель'!AD39+'02_Модель'!AD40+'02_Модель'!AD41+'19_Расчет_аналитики'!AD3772+'19_Расчет_аналитики'!AD3662)+(1-'01_Вводные'!$B$21)*('19_Расчет_аналитики'!AC3767+'02_Модель'!AC38+'02_Модель'!AC39+'02_Модель'!AC40+'02_Модель'!AC41+'19_Расчет_аналитики'!AC3772+'19_Расчет_аналитики'!AC3662),0)</f>
        <v/>
      </c>
      <c r="AE3789">
        <f>IF('01_Вводные'!$B$234="Да",'01_Вводные'!$B$21*('19_Расчет_аналитики'!AE3767+'02_Модель'!AE38+'02_Модель'!AE39+'02_Модель'!AE40+'02_Модель'!AE41+'19_Расчет_аналитики'!AE3772+'19_Расчет_аналитики'!AE3662)+(1-'01_Вводные'!$B$21)*('19_Расчет_аналитики'!AD3767+'02_Модель'!AD38+'02_Модель'!AD39+'02_Модель'!AD40+'02_Модель'!AD41+'19_Расчет_аналитики'!AD3772+'19_Расчет_аналитики'!AD3662),0)</f>
        <v/>
      </c>
      <c r="AF3789">
        <f>IF('01_Вводные'!$B$234="Да",'01_Вводные'!$B$21*('19_Расчет_аналитики'!AF3767+'02_Модель'!AF38+'02_Модель'!AF39+'02_Модель'!AF40+'02_Модель'!AF41+'19_Расчет_аналитики'!AF3772+'19_Расчет_аналитики'!AF3662)+(1-'01_Вводные'!$B$21)*('19_Расчет_аналитики'!AE3767+'02_Модель'!AE38+'02_Модель'!AE39+'02_Модель'!AE40+'02_Модель'!AE41+'19_Расчет_аналитики'!AE3772+'19_Расчет_аналитики'!AE3662),0)</f>
        <v/>
      </c>
      <c r="AG3789">
        <f>IF('01_Вводные'!$B$234="Да",'01_Вводные'!$B$21*('19_Расчет_аналитики'!AG3767+'02_Модель'!AG38+'02_Модель'!AG39+'02_Модель'!AG40+'02_Модель'!AG41+'19_Расчет_аналитики'!AG3772+'19_Расчет_аналитики'!AG3662)+(1-'01_Вводные'!$B$21)*('19_Расчет_аналитики'!AF3767+'02_Модель'!AF38+'02_Модель'!AF39+'02_Модель'!AF40+'02_Модель'!AF41+'19_Расчет_аналитики'!AF3772+'19_Расчет_аналитики'!AF3662),0)</f>
        <v/>
      </c>
      <c r="AH3789">
        <f>IF('01_Вводные'!$B$234="Да",'01_Вводные'!$B$21*('19_Расчет_аналитики'!AH3767+'02_Модель'!AH38+'02_Модель'!AH39+'02_Модель'!AH40+'02_Модель'!AH41+'19_Расчет_аналитики'!AH3772+'19_Расчет_аналитики'!AH3662)+(1-'01_Вводные'!$B$21)*('19_Расчет_аналитики'!AG3767+'02_Модель'!AG38+'02_Модель'!AG39+'02_Модель'!AG40+'02_Модель'!AG41+'19_Расчет_аналитики'!AG3772+'19_Расчет_аналитики'!AG3662),0)</f>
        <v/>
      </c>
      <c r="AI3789">
        <f>IF('01_Вводные'!$B$234="Да",'01_Вводные'!$B$21*('19_Расчет_аналитики'!AI3767+'02_Модель'!AI38+'02_Модель'!AI39+'02_Модель'!AI40+'02_Модель'!AI41+'19_Расчет_аналитики'!AI3772+'19_Расчет_аналитики'!AI3662)+(1-'01_Вводные'!$B$21)*('19_Расчет_аналитики'!AH3767+'02_Модель'!AH38+'02_Модель'!AH39+'02_Модель'!AH40+'02_Модель'!AH41+'19_Расчет_аналитики'!AH3772+'19_Расчет_аналитики'!AH3662),0)</f>
        <v/>
      </c>
      <c r="AJ3789">
        <f>IF('01_Вводные'!$B$234="Да",'01_Вводные'!$B$21*('19_Расчет_аналитики'!AJ3767+'02_Модель'!AJ38+'02_Модель'!AJ39+'02_Модель'!AJ40+'02_Модель'!AJ41+'19_Расчет_аналитики'!AJ3772+'19_Расчет_аналитики'!AJ3662)+(1-'01_Вводные'!$B$21)*('19_Расчет_аналитики'!AI3767+'02_Модель'!AI38+'02_Модель'!AI39+'02_Модель'!AI40+'02_Модель'!AI41+'19_Расчет_аналитики'!AI3772+'19_Расчет_аналитики'!AI3662),0)</f>
        <v/>
      </c>
      <c r="AK3789">
        <f>IF('01_Вводные'!$B$234="Да",'01_Вводные'!$B$21*('19_Расчет_аналитики'!AK3767+'02_Модель'!AK38+'02_Модель'!AK39+'02_Модель'!AK40+'02_Модель'!AK41+'19_Расчет_аналитики'!AK3772+'19_Расчет_аналитики'!AK3662)+(1-'01_Вводные'!$B$21)*('19_Расчет_аналитики'!AJ3767+'02_Модель'!AJ38+'02_Модель'!AJ39+'02_Модель'!AJ40+'02_Модель'!AJ41+'19_Расчет_аналитики'!AJ3772+'19_Расчет_аналитики'!AJ3662),0)</f>
        <v/>
      </c>
      <c r="AL3789">
        <f>IF('01_Вводные'!$B$234="Да",'01_Вводные'!$B$21*('19_Расчет_аналитики'!AL3767+'02_Модель'!AL38+'02_Модель'!AL39+'02_Модель'!AL40+'02_Модель'!AL41+'19_Расчет_аналитики'!AL3772+'19_Расчет_аналитики'!AL3662)+(1-'01_Вводные'!$B$21)*('19_Расчет_аналитики'!AK3767+'02_Модель'!AK38+'02_Модель'!AK39+'02_Модель'!AK40+'02_Модель'!AK41+'19_Расчет_аналитики'!AK3772+'19_Расчет_аналитики'!AK3662),0)</f>
        <v/>
      </c>
      <c r="AM3789">
        <f>IF('01_Вводные'!$B$234="Да",'01_Вводные'!$B$21*('19_Расчет_аналитики'!AM3767+'02_Модель'!AM38+'02_Модель'!AM39+'02_Модель'!AM40+'02_Модель'!AM41+'19_Расчет_аналитики'!AM3772+'19_Расчет_аналитики'!AM3662)+(1-'01_Вводные'!$B$21)*('19_Расчет_аналитики'!AL3767+'02_Модель'!AL38+'02_Модель'!AL39+'02_Модель'!AL40+'02_Модель'!AL41+'19_Расчет_аналитики'!AL3772+'19_Расчет_аналитики'!AL3662),0)</f>
        <v/>
      </c>
      <c r="AN3789">
        <f>IF('01_Вводные'!$B$234="Да",'01_Вводные'!$B$21*('19_Расчет_аналитики'!AN3767+'02_Модель'!AN38+'02_Модель'!AN39+'02_Модель'!AN40+'02_Модель'!AN41+'19_Расчет_аналитики'!AN3772+'19_Расчет_аналитики'!AN3662)+(1-'01_Вводные'!$B$21)*('19_Расчет_аналитики'!AM3767+'02_Модель'!AM38+'02_Модель'!AM39+'02_Модель'!AM40+'02_Модель'!AM41+'19_Расчет_аналитики'!AM3772+'19_Расчет_аналитики'!AM3662),0)</f>
        <v/>
      </c>
      <c r="AO3789">
        <f>IF('01_Вводные'!$B$234="Да",'01_Вводные'!$B$21*('19_Расчет_аналитики'!AO3767+'02_Модель'!AO38+'02_Модель'!AO39+'02_Модель'!AO40+'02_Модель'!AO41+'19_Расчет_аналитики'!AO3772+'19_Расчет_аналитики'!AO3662)+(1-'01_Вводные'!$B$21)*('19_Расчет_аналитики'!AN3767+'02_Модель'!AN38+'02_Модель'!AN39+'02_Модель'!AN40+'02_Модель'!AN41+'19_Расчет_аналитики'!AN3772+'19_Расчет_аналитики'!AN3662),0)</f>
        <v/>
      </c>
      <c r="AP3789">
        <f>IF('01_Вводные'!$B$234="Да",'01_Вводные'!$B$21*('19_Расчет_аналитики'!AP3767+'02_Модель'!AP38+'02_Модель'!AP39+'02_Модель'!AP40+'02_Модель'!AP41+'19_Расчет_аналитики'!AP3772+'19_Расчет_аналитики'!AP3662)+(1-'01_Вводные'!$B$21)*('19_Расчет_аналитики'!AO3767+'02_Модель'!AO38+'02_Модель'!AO39+'02_Модель'!AO40+'02_Модель'!AO41+'19_Расчет_аналитики'!AO3772+'19_Расчет_аналитики'!AO3662),0)</f>
        <v/>
      </c>
      <c r="AQ3789">
        <f>IF('01_Вводные'!$B$234="Да",'01_Вводные'!$B$21*('19_Расчет_аналитики'!AQ3767+'02_Модель'!AQ38+'02_Модель'!AQ39+'02_Модель'!AQ40+'02_Модель'!AQ41+'19_Расчет_аналитики'!AQ3772+'19_Расчет_аналитики'!AQ3662)+(1-'01_Вводные'!$B$21)*('19_Расчет_аналитики'!AP3767+'02_Модель'!AP38+'02_Модель'!AP39+'02_Модель'!AP40+'02_Модель'!AP41+'19_Расчет_аналитики'!AP3772+'19_Расчет_аналитики'!AP3662),0)</f>
        <v/>
      </c>
      <c r="AR3789">
        <f>IF('01_Вводные'!$B$234="Да",'01_Вводные'!$B$21*('19_Расчет_аналитики'!AR3767+'02_Модель'!AR38+'02_Модель'!AR39+'02_Модель'!AR40+'02_Модель'!AR41+'19_Расчет_аналитики'!AR3772+'19_Расчет_аналитики'!AR3662)+(1-'01_Вводные'!$B$21)*('19_Расчет_аналитики'!AQ3767+'02_Модель'!AQ38+'02_Модель'!AQ39+'02_Модель'!AQ40+'02_Модель'!AQ41+'19_Расчет_аналитики'!AQ3772+'19_Расчет_аналитики'!AQ3662),0)</f>
        <v/>
      </c>
      <c r="AS3789">
        <f>IF('01_Вводные'!$B$234="Да",'01_Вводные'!$B$21*('19_Расчет_аналитики'!AS3767+'02_Модель'!AS38+'02_Модель'!AS39+'02_Модель'!AS40+'02_Модель'!AS41+'19_Расчет_аналитики'!AS3772+'19_Расчет_аналитики'!AS3662)+(1-'01_Вводные'!$B$21)*('19_Расчет_аналитики'!AR3767+'02_Модель'!AR38+'02_Модель'!AR39+'02_Модель'!AR40+'02_Модель'!AR41+'19_Расчет_аналитики'!AR3772+'19_Расчет_аналитики'!AR3662),0)</f>
        <v/>
      </c>
      <c r="AT3789">
        <f>IF('01_Вводные'!$B$234="Да",'01_Вводные'!$B$21*('19_Расчет_аналитики'!AT3767+'02_Модель'!AT38+'02_Модель'!AT39+'02_Модель'!AT40+'02_Модель'!AT41+'19_Расчет_аналитики'!AT3772+'19_Расчет_аналитики'!AT3662)+(1-'01_Вводные'!$B$21)*('19_Расчет_аналитики'!AS3767+'02_Модель'!AS38+'02_Модель'!AS39+'02_Модель'!AS40+'02_Модель'!AS41+'19_Расчет_аналитики'!AS3772+'19_Расчет_аналитики'!AS3662),0)</f>
        <v/>
      </c>
      <c r="AU3789">
        <f>IF('01_Вводные'!$B$234="Да",'01_Вводные'!$B$21*('19_Расчет_аналитики'!AU3767+'02_Модель'!AU38+'02_Модель'!AU39+'02_Модель'!AU40+'02_Модель'!AU41+'19_Расчет_аналитики'!AU3772+'19_Расчет_аналитики'!AU3662)+(1-'01_Вводные'!$B$21)*('19_Расчет_аналитики'!AT3767+'02_Модель'!AT38+'02_Модель'!AT39+'02_Модель'!AT40+'02_Модель'!AT41+'19_Расчет_аналитики'!AT3772+'19_Расчет_аналитики'!AT3662),0)</f>
        <v/>
      </c>
      <c r="AV3789">
        <f>IF('01_Вводные'!$B$234="Да",'01_Вводные'!$B$21*('19_Расчет_аналитики'!AV3767+'02_Модель'!AV38+'02_Модель'!AV39+'02_Модель'!AV40+'02_Модель'!AV41+'19_Расчет_аналитики'!AV3772+'19_Расчет_аналитики'!AV3662)+(1-'01_Вводные'!$B$21)*('19_Расчет_аналитики'!AU3767+'02_Модель'!AU38+'02_Модель'!AU39+'02_Модель'!AU40+'02_Модель'!AU41+'19_Расчет_аналитики'!AU3772+'19_Расчет_аналитики'!AU3662),0)</f>
        <v/>
      </c>
      <c r="AW3789">
        <f>IF('01_Вводные'!$B$234="Да",'01_Вводные'!$B$21*('19_Расчет_аналитики'!AW3767+'02_Модель'!AW38+'02_Модель'!AW39+'02_Модель'!AW40+'02_Модель'!AW41+'19_Расчет_аналитики'!AW3772+'19_Расчет_аналитики'!AW3662)+(1-'01_Вводные'!$B$21)*('19_Расчет_аналитики'!AV3767+'02_Модель'!AV38+'02_Модель'!AV39+'02_Модель'!AV40+'02_Модель'!AV41+'19_Расчет_аналитики'!AV3772+'19_Расчет_аналитики'!AV3662),0)</f>
        <v/>
      </c>
      <c r="AX3789">
        <f>IF('01_Вводные'!$B$234="Да",'01_Вводные'!$B$21*('19_Расчет_аналитики'!AX3767+'02_Модель'!AX38+'02_Модель'!AX39+'02_Модель'!AX40+'02_Модель'!AX41+'19_Расчет_аналитики'!AX3772+'19_Расчет_аналитики'!AX3662)+(1-'01_Вводные'!$B$21)*('19_Расчет_аналитики'!AW3767+'02_Модель'!AW38+'02_Модель'!AW39+'02_Модель'!AW40+'02_Модель'!AW41+'19_Расчет_аналитики'!AW3772+'19_Расчет_аналитики'!AW3662),0)</f>
        <v/>
      </c>
      <c r="AY3789">
        <f>IF('01_Вводные'!$B$234="Да",'01_Вводные'!$B$21*('19_Расчет_аналитики'!AY3767+'02_Модель'!AY38+'02_Модель'!AY39+'02_Модель'!AY40+'02_Модель'!AY41+'19_Расчет_аналитики'!AY3772+'19_Расчет_аналитики'!AY3662)+(1-'01_Вводные'!$B$21)*('19_Расчет_аналитики'!AX3767+'02_Модель'!AX38+'02_Модель'!AX39+'02_Модель'!AX40+'02_Модель'!AX41+'19_Расчет_аналитики'!AX3772+'19_Расчет_аналитики'!AX3662),0)</f>
        <v/>
      </c>
      <c r="AZ3789">
        <f>IF('01_Вводные'!$B$234="Да",'01_Вводные'!$B$21*('19_Расчет_аналитики'!AZ3767+'02_Модель'!AZ38+'02_Модель'!AZ39+'02_Модель'!AZ40+'02_Модель'!AZ41+'19_Расчет_аналитики'!AZ3772+'19_Расчет_аналитики'!AZ3662)+(1-'01_Вводные'!$B$21)*('19_Расчет_аналитики'!AY3767+'02_Модель'!AY38+'02_Модель'!AY39+'02_Модель'!AY40+'02_Модель'!AY41+'19_Расчет_аналитики'!AY3772+'19_Расчет_аналитики'!AY3662),0)</f>
        <v/>
      </c>
      <c r="BA3789">
        <f>IF('01_Вводные'!$B$234="Да",'01_Вводные'!$B$21*('19_Расчет_аналитики'!BA3767+'02_Модель'!BA38+'02_Модель'!BA39+'02_Модель'!BA40+'02_Модель'!BA41+'19_Расчет_аналитики'!BA3772+'19_Расчет_аналитики'!BA3662)+(1-'01_Вводные'!$B$21)*('19_Расчет_аналитики'!AZ3767+'02_Модель'!AZ38+'02_Модель'!AZ39+'02_Модель'!AZ40+'02_Модель'!AZ41+'19_Расчет_аналитики'!AZ3772+'19_Расчет_аналитики'!AZ3662),0)</f>
        <v/>
      </c>
      <c r="BB3789">
        <f>IF('01_Вводные'!$B$234="Да",'01_Вводные'!$B$21*('19_Расчет_аналитики'!BB3767+'02_Модель'!BB38+'02_Модель'!BB39+'02_Модель'!BB40+'02_Модель'!BB41+'19_Расчет_аналитики'!BB3772+'19_Расчет_аналитики'!BB3662)+(1-'01_Вводные'!$B$21)*('19_Расчет_аналитики'!BA3767+'02_Модель'!BA38+'02_Модель'!BA39+'02_Модель'!BA40+'02_Модель'!BA41+'19_Расчет_аналитики'!BA3772+'19_Расчет_аналитики'!BA3662),0)</f>
        <v/>
      </c>
      <c r="BC3789">
        <f>IF('01_Вводные'!$B$234="Да",'01_Вводные'!$B$21*('19_Расчет_аналитики'!BC3767+'02_Модель'!BC38+'02_Модель'!BC39+'02_Модель'!BC40+'02_Модель'!BC41+'19_Расчет_аналитики'!BC3772+'19_Расчет_аналитики'!BC3662)+(1-'01_Вводные'!$B$21)*('19_Расчет_аналитики'!BB3767+'02_Модель'!BB38+'02_Модель'!BB39+'02_Модель'!BB40+'02_Модель'!BB41+'19_Расчет_аналитики'!BB3772+'19_Расчет_аналитики'!BB3662),0)</f>
        <v/>
      </c>
      <c r="BD3789">
        <f>IF('01_Вводные'!$B$234="Да",'01_Вводные'!$B$21*('19_Расчет_аналитики'!BD3767+'02_Модель'!BD38+'02_Модель'!BD39+'02_Модель'!BD40+'02_Модель'!BD41+'19_Расчет_аналитики'!BD3772+'19_Расчет_аналитики'!BD3662)+(1-'01_Вводные'!$B$21)*('19_Расчет_аналитики'!BC3767+'02_Модель'!BC38+'02_Модель'!BC39+'02_Модель'!BC40+'02_Модель'!BC41+'19_Расчет_аналитики'!BC3772+'19_Расчет_аналитики'!BC3662),0)</f>
        <v/>
      </c>
      <c r="BE3789">
        <f>IF('01_Вводные'!$B$234="Да",'01_Вводные'!$B$21*('19_Расчет_аналитики'!BE3767+'02_Модель'!BE38+'02_Модель'!BE39+'02_Модель'!BE40+'02_Модель'!BE41+'19_Расчет_аналитики'!BE3772+'19_Расчет_аналитики'!BE3662)+(1-'01_Вводные'!$B$21)*('19_Расчет_аналитики'!BD3767+'02_Модель'!BD38+'02_Модель'!BD39+'02_Модель'!BD40+'02_Модель'!BD41+'19_Расчет_аналитики'!BD3772+'19_Расчет_аналитики'!BD3662),0)</f>
        <v/>
      </c>
      <c r="BF3789">
        <f>IF('01_Вводные'!$B$234="Да",'01_Вводные'!$B$21*('19_Расчет_аналитики'!BF3767+'02_Модель'!BF38+'02_Модель'!BF39+'02_Модель'!BF40+'02_Модель'!BF41+'19_Расчет_аналитики'!BF3772+'19_Расчет_аналитики'!BF3662)+(1-'01_Вводные'!$B$21)*('19_Расчет_аналитики'!BE3767+'02_Модель'!BE38+'02_Модель'!BE39+'02_Модель'!BE40+'02_Модель'!BE41+'19_Расчет_аналитики'!BE3772+'19_Расчет_аналитики'!BE3662),0)</f>
        <v/>
      </c>
      <c r="BG3789">
        <f>IF('01_Вводные'!$B$234="Да",'01_Вводные'!$B$21*('19_Расчет_аналитики'!BG3767+'02_Модель'!BG38+'02_Модель'!BG39+'02_Модель'!BG40+'02_Модель'!BG41+'19_Расчет_аналитики'!BG3772+'19_Расчет_аналитики'!BG3662)+(1-'01_Вводные'!$B$21)*('19_Расчет_аналитики'!BF3767+'02_Модель'!BF38+'02_Модель'!BF39+'02_Модель'!BF40+'02_Модель'!BF41+'19_Расчет_аналитики'!BF3772+'19_Расчет_аналитики'!BF3662),0)</f>
        <v/>
      </c>
      <c r="BH3789">
        <f>IF('01_Вводные'!$B$234="Да",'01_Вводные'!$B$21*('19_Расчет_аналитики'!BH3767+'02_Модель'!BH38+'02_Модель'!BH39+'02_Модель'!BH40+'02_Модель'!BH41+'19_Расчет_аналитики'!BH3772+'19_Расчет_аналитики'!BH3662)+(1-'01_Вводные'!$B$21)*('19_Расчет_аналитики'!BG3767+'02_Модель'!BG38+'02_Модель'!BG39+'02_Модель'!BG40+'02_Модель'!BG41+'19_Расчет_аналитики'!BG3772+'19_Расчет_аналитики'!BG3662),0)</f>
        <v/>
      </c>
      <c r="BI3789">
        <f>IF('01_Вводные'!$B$234="Да",'01_Вводные'!$B$21*('19_Расчет_аналитики'!BI3767+'02_Модель'!BI38+'02_Модель'!BI39+'02_Модель'!BI40+'02_Модель'!BI41+'19_Расчет_аналитики'!BI3772+'19_Расчет_аналитики'!BI3662)+(1-'01_Вводные'!$B$21)*('19_Расчет_аналитики'!BH3767+'02_Модель'!BH38+'02_Модель'!BH39+'02_Модель'!BH40+'02_Модель'!BH41+'19_Расчет_аналитики'!BH3772+'19_Расчет_аналитики'!BH3662),0)</f>
        <v/>
      </c>
    </row>
    <row r="3790">
      <c r="B3790">
        <f>'02_Модель'!B60</f>
        <v/>
      </c>
      <c r="C3790">
        <f>IF('01_Вводные'!$B$234="Да",'19_Расчет_аналитики'!C3766,0)</f>
        <v/>
      </c>
      <c r="D3790">
        <f>IF('01_Вводные'!$B$234="Да",'19_Расчет_аналитики'!D3766,0)</f>
        <v/>
      </c>
      <c r="E3790">
        <f>IF('01_Вводные'!$B$234="Да",'19_Расчет_аналитики'!E3766,0)</f>
        <v/>
      </c>
      <c r="F3790">
        <f>IF('01_Вводные'!$B$234="Да",'19_Расчет_аналитики'!F3766,0)</f>
        <v/>
      </c>
      <c r="G3790">
        <f>IF('01_Вводные'!$B$234="Да",'19_Расчет_аналитики'!G3766,0)</f>
        <v/>
      </c>
      <c r="H3790">
        <f>IF('01_Вводные'!$B$234="Да",'19_Расчет_аналитики'!H3766,0)</f>
        <v/>
      </c>
      <c r="I3790">
        <f>IF('01_Вводные'!$B$234="Да",'19_Расчет_аналитики'!I3766,0)</f>
        <v/>
      </c>
      <c r="J3790">
        <f>IF('01_Вводные'!$B$234="Да",'19_Расчет_аналитики'!J3766,0)</f>
        <v/>
      </c>
      <c r="K3790">
        <f>IF('01_Вводные'!$B$234="Да",'19_Расчет_аналитики'!K3766,0)</f>
        <v/>
      </c>
      <c r="L3790">
        <f>IF('01_Вводные'!$B$234="Да",'19_Расчет_аналитики'!L3766,0)</f>
        <v/>
      </c>
      <c r="M3790">
        <f>IF('01_Вводные'!$B$234="Да",'19_Расчет_аналитики'!M3766,0)</f>
        <v/>
      </c>
      <c r="N3790">
        <f>IF('01_Вводные'!$B$234="Да",'19_Расчет_аналитики'!N3766,0)</f>
        <v/>
      </c>
      <c r="O3790">
        <f>IF('01_Вводные'!$B$234="Да",'19_Расчет_аналитики'!O3766,0)</f>
        <v/>
      </c>
      <c r="P3790">
        <f>IF('01_Вводные'!$B$234="Да",'19_Расчет_аналитики'!P3766,0)</f>
        <v/>
      </c>
      <c r="Q3790">
        <f>IF('01_Вводные'!$B$234="Да",'19_Расчет_аналитики'!Q3766,0)</f>
        <v/>
      </c>
      <c r="R3790">
        <f>IF('01_Вводные'!$B$234="Да",'19_Расчет_аналитики'!R3766,0)</f>
        <v/>
      </c>
      <c r="S3790">
        <f>IF('01_Вводные'!$B$234="Да",'19_Расчет_аналитики'!S3766,0)</f>
        <v/>
      </c>
      <c r="T3790">
        <f>IF('01_Вводные'!$B$234="Да",'19_Расчет_аналитики'!T3766,0)</f>
        <v/>
      </c>
      <c r="U3790">
        <f>IF('01_Вводные'!$B$234="Да",'19_Расчет_аналитики'!U3766,0)</f>
        <v/>
      </c>
      <c r="V3790">
        <f>IF('01_Вводные'!$B$234="Да",'19_Расчет_аналитики'!V3766,0)</f>
        <v/>
      </c>
      <c r="W3790">
        <f>IF('01_Вводные'!$B$234="Да",'19_Расчет_аналитики'!W3766,0)</f>
        <v/>
      </c>
      <c r="X3790">
        <f>IF('01_Вводные'!$B$234="Да",'19_Расчет_аналитики'!X3766,0)</f>
        <v/>
      </c>
      <c r="Y3790">
        <f>IF('01_Вводные'!$B$234="Да",'19_Расчет_аналитики'!Y3766,0)</f>
        <v/>
      </c>
      <c r="Z3790">
        <f>IF('01_Вводные'!$B$234="Да",'19_Расчет_аналитики'!Z3766,0)</f>
        <v/>
      </c>
      <c r="AA3790">
        <f>IF('01_Вводные'!$B$234="Да",'19_Расчет_аналитики'!AA3766,0)</f>
        <v/>
      </c>
      <c r="AB3790">
        <f>IF('01_Вводные'!$B$234="Да",'19_Расчет_аналитики'!AB3766,0)</f>
        <v/>
      </c>
      <c r="AC3790">
        <f>IF('01_Вводные'!$B$234="Да",'19_Расчет_аналитики'!AC3766,0)</f>
        <v/>
      </c>
      <c r="AD3790">
        <f>IF('01_Вводные'!$B$234="Да",'19_Расчет_аналитики'!AD3766,0)</f>
        <v/>
      </c>
      <c r="AE3790">
        <f>IF('01_Вводные'!$B$234="Да",'19_Расчет_аналитики'!AE3766,0)</f>
        <v/>
      </c>
      <c r="AF3790">
        <f>IF('01_Вводные'!$B$234="Да",'19_Расчет_аналитики'!AF3766,0)</f>
        <v/>
      </c>
      <c r="AG3790">
        <f>IF('01_Вводные'!$B$234="Да",'19_Расчет_аналитики'!AG3766,0)</f>
        <v/>
      </c>
      <c r="AH3790">
        <f>IF('01_Вводные'!$B$234="Да",'19_Расчет_аналитики'!AH3766,0)</f>
        <v/>
      </c>
      <c r="AI3790">
        <f>IF('01_Вводные'!$B$234="Да",'19_Расчет_аналитики'!AI3766,0)</f>
        <v/>
      </c>
      <c r="AJ3790">
        <f>IF('01_Вводные'!$B$234="Да",'19_Расчет_аналитики'!AJ3766,0)</f>
        <v/>
      </c>
      <c r="AK3790">
        <f>IF('01_Вводные'!$B$234="Да",'19_Расчет_аналитики'!AK3766,0)</f>
        <v/>
      </c>
      <c r="AL3790">
        <f>IF('01_Вводные'!$B$234="Да",'19_Расчет_аналитики'!AL3766,0)</f>
        <v/>
      </c>
      <c r="AM3790">
        <f>IF('01_Вводные'!$B$234="Да",'19_Расчет_аналитики'!AM3766,0)</f>
        <v/>
      </c>
      <c r="AN3790">
        <f>IF('01_Вводные'!$B$234="Да",'19_Расчет_аналитики'!AN3766,0)</f>
        <v/>
      </c>
      <c r="AO3790">
        <f>IF('01_Вводные'!$B$234="Да",'19_Расчет_аналитики'!AO3766,0)</f>
        <v/>
      </c>
      <c r="AP3790">
        <f>IF('01_Вводные'!$B$234="Да",'19_Расчет_аналитики'!AP3766,0)</f>
        <v/>
      </c>
      <c r="AQ3790">
        <f>IF('01_Вводные'!$B$234="Да",'19_Расчет_аналитики'!AQ3766,0)</f>
        <v/>
      </c>
      <c r="AR3790">
        <f>IF('01_Вводные'!$B$234="Да",'19_Расчет_аналитики'!AR3766,0)</f>
        <v/>
      </c>
      <c r="AS3790">
        <f>IF('01_Вводные'!$B$234="Да",'19_Расчет_аналитики'!AS3766,0)</f>
        <v/>
      </c>
      <c r="AT3790">
        <f>IF('01_Вводные'!$B$234="Да",'19_Расчет_аналитики'!AT3766,0)</f>
        <v/>
      </c>
      <c r="AU3790">
        <f>IF('01_Вводные'!$B$234="Да",'19_Расчет_аналитики'!AU3766,0)</f>
        <v/>
      </c>
      <c r="AV3790">
        <f>IF('01_Вводные'!$B$234="Да",'19_Расчет_аналитики'!AV3766,0)</f>
        <v/>
      </c>
      <c r="AW3790">
        <f>IF('01_Вводные'!$B$234="Да",'19_Расчет_аналитики'!AW3766,0)</f>
        <v/>
      </c>
      <c r="AX3790">
        <f>IF('01_Вводные'!$B$234="Да",'19_Расчет_аналитики'!AX3766,0)</f>
        <v/>
      </c>
      <c r="AY3790">
        <f>IF('01_Вводные'!$B$234="Да",'19_Расчет_аналитики'!AY3766,0)</f>
        <v/>
      </c>
      <c r="AZ3790">
        <f>IF('01_Вводные'!$B$234="Да",'19_Расчет_аналитики'!AZ3766,0)</f>
        <v/>
      </c>
      <c r="BA3790">
        <f>IF('01_Вводные'!$B$234="Да",'19_Расчет_аналитики'!BA3766,0)</f>
        <v/>
      </c>
      <c r="BB3790">
        <f>IF('01_Вводные'!$B$234="Да",'19_Расчет_аналитики'!BB3766,0)</f>
        <v/>
      </c>
      <c r="BC3790">
        <f>IF('01_Вводные'!$B$234="Да",'19_Расчет_аналитики'!BC3766,0)</f>
        <v/>
      </c>
      <c r="BD3790">
        <f>IF('01_Вводные'!$B$234="Да",'19_Расчет_аналитики'!BD3766,0)</f>
        <v/>
      </c>
      <c r="BE3790">
        <f>IF('01_Вводные'!$B$234="Да",'19_Расчет_аналитики'!BE3766,0)</f>
        <v/>
      </c>
      <c r="BF3790">
        <f>IF('01_Вводные'!$B$234="Да",'19_Расчет_аналитики'!BF3766,0)</f>
        <v/>
      </c>
      <c r="BG3790">
        <f>IF('01_Вводные'!$B$234="Да",'19_Расчет_аналитики'!BG3766,0)</f>
        <v/>
      </c>
      <c r="BH3790">
        <f>IF('01_Вводные'!$B$234="Да",'19_Расчет_аналитики'!BH3766,0)</f>
        <v/>
      </c>
      <c r="BI3790">
        <f>IF('01_Вводные'!$B$234="Да",'19_Расчет_аналитики'!BI3766,0)</f>
        <v/>
      </c>
    </row>
    <row r="3791">
      <c r="B3791">
        <f>IF('01_Вводные'!$B$234="Да",'02_Модель'!B29+('19_Расчет_аналитики'!B3783/(1+'01_Вводные'!$B$58))*'01_Вводные'!$B$60+'19_Расчет_аналитики'!B3758,0)</f>
        <v/>
      </c>
      <c r="C3791">
        <f>IF('01_Вводные'!$B$234="Да",'19_Расчет_аналитики'!C3759+('19_Расчет_аналитики'!C3783/(1+'01_Вводные'!$B$58))*'01_Вводные'!$B$60+'19_Расчет_аналитики'!C3758,0)</f>
        <v/>
      </c>
      <c r="D3791">
        <f>IF('01_Вводные'!$B$234="Да",'19_Расчет_аналитики'!D3759+('19_Расчет_аналитики'!D3783/(1+'01_Вводные'!$B$58))*'01_Вводные'!$B$60+'19_Расчет_аналитики'!D3758,0)</f>
        <v/>
      </c>
      <c r="E3791">
        <f>IF('01_Вводные'!$B$234="Да",'19_Расчет_аналитики'!E3759+('19_Расчет_аналитики'!E3783/(1+'01_Вводные'!$B$58))*'01_Вводные'!$B$60+'19_Расчет_аналитики'!E3758,0)</f>
        <v/>
      </c>
      <c r="F3791">
        <f>IF('01_Вводные'!$B$234="Да",'19_Расчет_аналитики'!F3759+('19_Расчет_аналитики'!F3783/(1+'01_Вводные'!$B$58))*'01_Вводные'!$B$60+'19_Расчет_аналитики'!F3758,0)</f>
        <v/>
      </c>
      <c r="G3791">
        <f>IF('01_Вводные'!$B$234="Да",'19_Расчет_аналитики'!G3759+('19_Расчет_аналитики'!G3783/(1+'01_Вводные'!$B$58))*'01_Вводные'!$B$60+'19_Расчет_аналитики'!G3758,0)</f>
        <v/>
      </c>
      <c r="H3791">
        <f>IF('01_Вводные'!$B$234="Да",'19_Расчет_аналитики'!H3759+('19_Расчет_аналитики'!H3783/(1+'01_Вводные'!$B$58))*'01_Вводные'!$B$60+'19_Расчет_аналитики'!H3758,0)</f>
        <v/>
      </c>
      <c r="I3791">
        <f>IF('01_Вводные'!$B$234="Да",'19_Расчет_аналитики'!I3759+('19_Расчет_аналитики'!I3783/(1+'01_Вводные'!$B$58))*'01_Вводные'!$B$60+'19_Расчет_аналитики'!I3758,0)</f>
        <v/>
      </c>
      <c r="J3791">
        <f>IF('01_Вводные'!$B$234="Да",'19_Расчет_аналитики'!J3759+('19_Расчет_аналитики'!J3783/(1+'01_Вводные'!$B$58))*'01_Вводные'!$B$60+'19_Расчет_аналитики'!J3758,0)</f>
        <v/>
      </c>
      <c r="K3791">
        <f>IF('01_Вводные'!$B$234="Да",'19_Расчет_аналитики'!K3759+('19_Расчет_аналитики'!K3783/(1+'01_Вводные'!$B$58))*'01_Вводные'!$B$60+'19_Расчет_аналитики'!K3758,0)</f>
        <v/>
      </c>
      <c r="L3791">
        <f>IF('01_Вводные'!$B$234="Да",'19_Расчет_аналитики'!L3759+('19_Расчет_аналитики'!L3783/(1+'01_Вводные'!$B$58))*'01_Вводные'!$B$60+'19_Расчет_аналитики'!L3758,0)</f>
        <v/>
      </c>
      <c r="M3791">
        <f>IF('01_Вводные'!$B$234="Да",'19_Расчет_аналитики'!M3759+('19_Расчет_аналитики'!M3783/(1+'01_Вводные'!$B$58))*'01_Вводные'!$B$60+'19_Расчет_аналитики'!M3758,0)</f>
        <v/>
      </c>
      <c r="N3791">
        <f>IF('01_Вводные'!$B$234="Да",'19_Расчет_аналитики'!N3759+('19_Расчет_аналитики'!N3783/(1+'01_Вводные'!$B$58))*'01_Вводные'!$B$60+'19_Расчет_аналитики'!N3758,0)</f>
        <v/>
      </c>
      <c r="O3791">
        <f>IF('01_Вводные'!$B$234="Да",'19_Расчет_аналитики'!O3759+('19_Расчет_аналитики'!O3783/(1+'01_Вводные'!$B$58))*'01_Вводные'!$B$60+'19_Расчет_аналитики'!O3758,0)</f>
        <v/>
      </c>
      <c r="P3791">
        <f>IF('01_Вводные'!$B$234="Да",'19_Расчет_аналитики'!P3759+('19_Расчет_аналитики'!P3783/(1+'01_Вводные'!$B$58))*'01_Вводные'!$B$60+'19_Расчет_аналитики'!P3758,0)</f>
        <v/>
      </c>
      <c r="Q3791">
        <f>IF('01_Вводные'!$B$234="Да",'19_Расчет_аналитики'!Q3759+('19_Расчет_аналитики'!Q3783/(1+'01_Вводные'!$B$58))*'01_Вводные'!$B$60+'19_Расчет_аналитики'!Q3758,0)</f>
        <v/>
      </c>
      <c r="R3791">
        <f>IF('01_Вводные'!$B$234="Да",'19_Расчет_аналитики'!R3759+('19_Расчет_аналитики'!R3783/(1+'01_Вводные'!$B$58))*'01_Вводные'!$B$60+'19_Расчет_аналитики'!R3758,0)</f>
        <v/>
      </c>
      <c r="S3791">
        <f>IF('01_Вводные'!$B$234="Да",'19_Расчет_аналитики'!S3759+('19_Расчет_аналитики'!S3783/(1+'01_Вводные'!$B$58))*'01_Вводные'!$B$60+'19_Расчет_аналитики'!S3758,0)</f>
        <v/>
      </c>
      <c r="T3791">
        <f>IF('01_Вводные'!$B$234="Да",'19_Расчет_аналитики'!T3759+('19_Расчет_аналитики'!T3783/(1+'01_Вводные'!$B$58))*'01_Вводные'!$B$60+'19_Расчет_аналитики'!T3758,0)</f>
        <v/>
      </c>
      <c r="U3791">
        <f>IF('01_Вводные'!$B$234="Да",'19_Расчет_аналитики'!U3759+('19_Расчет_аналитики'!U3783/(1+'01_Вводные'!$B$58))*'01_Вводные'!$B$60+'19_Расчет_аналитики'!U3758,0)</f>
        <v/>
      </c>
      <c r="V3791">
        <f>IF('01_Вводные'!$B$234="Да",'19_Расчет_аналитики'!V3759+('19_Расчет_аналитики'!V3783/(1+'01_Вводные'!$B$58))*'01_Вводные'!$B$60+'19_Расчет_аналитики'!V3758,0)</f>
        <v/>
      </c>
      <c r="W3791">
        <f>IF('01_Вводные'!$B$234="Да",'19_Расчет_аналитики'!W3759+('19_Расчет_аналитики'!W3783/(1+'01_Вводные'!$B$58))*'01_Вводные'!$B$60+'19_Расчет_аналитики'!W3758,0)</f>
        <v/>
      </c>
      <c r="X3791">
        <f>IF('01_Вводные'!$B$234="Да",'19_Расчет_аналитики'!X3759+('19_Расчет_аналитики'!X3783/(1+'01_Вводные'!$B$58))*'01_Вводные'!$B$60+'19_Расчет_аналитики'!X3758,0)</f>
        <v/>
      </c>
      <c r="Y3791">
        <f>IF('01_Вводные'!$B$234="Да",'19_Расчет_аналитики'!Y3759+('19_Расчет_аналитики'!Y3783/(1+'01_Вводные'!$B$58))*'01_Вводные'!$B$60+'19_Расчет_аналитики'!Y3758,0)</f>
        <v/>
      </c>
      <c r="Z3791">
        <f>IF('01_Вводные'!$B$234="Да",'19_Расчет_аналитики'!Z3759+('19_Расчет_аналитики'!Z3783/(1+'01_Вводные'!$B$58))*'01_Вводные'!$B$60+'19_Расчет_аналитики'!Z3758,0)</f>
        <v/>
      </c>
      <c r="AA3791">
        <f>IF('01_Вводные'!$B$234="Да",'19_Расчет_аналитики'!AA3759+('19_Расчет_аналитики'!AA3783/(1+'01_Вводные'!$B$58))*'01_Вводные'!$B$60+'19_Расчет_аналитики'!AA3758,0)</f>
        <v/>
      </c>
      <c r="AB3791">
        <f>IF('01_Вводные'!$B$234="Да",'19_Расчет_аналитики'!AB3759+('19_Расчет_аналитики'!AB3783/(1+'01_Вводные'!$B$58))*'01_Вводные'!$B$60+'19_Расчет_аналитики'!AB3758,0)</f>
        <v/>
      </c>
      <c r="AC3791">
        <f>IF('01_Вводные'!$B$234="Да",'19_Расчет_аналитики'!AC3759+('19_Расчет_аналитики'!AC3783/(1+'01_Вводные'!$B$58))*'01_Вводные'!$B$60+'19_Расчет_аналитики'!AC3758,0)</f>
        <v/>
      </c>
      <c r="AD3791">
        <f>IF('01_Вводные'!$B$234="Да",'19_Расчет_аналитики'!AD3759+('19_Расчет_аналитики'!AD3783/(1+'01_Вводные'!$B$58))*'01_Вводные'!$B$60+'19_Расчет_аналитики'!AD3758,0)</f>
        <v/>
      </c>
      <c r="AE3791">
        <f>IF('01_Вводные'!$B$234="Да",'19_Расчет_аналитики'!AE3759+('19_Расчет_аналитики'!AE3783/(1+'01_Вводные'!$B$58))*'01_Вводные'!$B$60+'19_Расчет_аналитики'!AE3758,0)</f>
        <v/>
      </c>
      <c r="AF3791">
        <f>IF('01_Вводные'!$B$234="Да",'19_Расчет_аналитики'!AF3759+('19_Расчет_аналитики'!AF3783/(1+'01_Вводные'!$B$58))*'01_Вводные'!$B$60+'19_Расчет_аналитики'!AF3758,0)</f>
        <v/>
      </c>
      <c r="AG3791">
        <f>IF('01_Вводные'!$B$234="Да",'19_Расчет_аналитики'!AG3759+('19_Расчет_аналитики'!AG3783/(1+'01_Вводные'!$B$58))*'01_Вводные'!$B$60+'19_Расчет_аналитики'!AG3758,0)</f>
        <v/>
      </c>
      <c r="AH3791">
        <f>IF('01_Вводные'!$B$234="Да",'19_Расчет_аналитики'!AH3759+('19_Расчет_аналитики'!AH3783/(1+'01_Вводные'!$B$58))*'01_Вводные'!$B$60+'19_Расчет_аналитики'!AH3758,0)</f>
        <v/>
      </c>
      <c r="AI3791">
        <f>IF('01_Вводные'!$B$234="Да",'19_Расчет_аналитики'!AI3759+('19_Расчет_аналитики'!AI3783/(1+'01_Вводные'!$B$58))*'01_Вводные'!$B$60+'19_Расчет_аналитики'!AI3758,0)</f>
        <v/>
      </c>
      <c r="AJ3791">
        <f>IF('01_Вводные'!$B$234="Да",'19_Расчет_аналитики'!AJ3759+('19_Расчет_аналитики'!AJ3783/(1+'01_Вводные'!$B$58))*'01_Вводные'!$B$60+'19_Расчет_аналитики'!AJ3758,0)</f>
        <v/>
      </c>
      <c r="AK3791">
        <f>IF('01_Вводные'!$B$234="Да",'19_Расчет_аналитики'!AK3759+('19_Расчет_аналитики'!AK3783/(1+'01_Вводные'!$B$58))*'01_Вводные'!$B$60+'19_Расчет_аналитики'!AK3758,0)</f>
        <v/>
      </c>
      <c r="AL3791">
        <f>IF('01_Вводные'!$B$234="Да",'19_Расчет_аналитики'!AL3759+('19_Расчет_аналитики'!AL3783/(1+'01_Вводные'!$B$58))*'01_Вводные'!$B$60+'19_Расчет_аналитики'!AL3758,0)</f>
        <v/>
      </c>
      <c r="AM3791">
        <f>IF('01_Вводные'!$B$234="Да",'19_Расчет_аналитики'!AM3759+('19_Расчет_аналитики'!AM3783/(1+'01_Вводные'!$B$58))*'01_Вводные'!$B$60+'19_Расчет_аналитики'!AM3758,0)</f>
        <v/>
      </c>
      <c r="AN3791">
        <f>IF('01_Вводные'!$B$234="Да",'19_Расчет_аналитики'!AN3759+('19_Расчет_аналитики'!AN3783/(1+'01_Вводные'!$B$58))*'01_Вводные'!$B$60+'19_Расчет_аналитики'!AN3758,0)</f>
        <v/>
      </c>
      <c r="AO3791">
        <f>IF('01_Вводные'!$B$234="Да",'19_Расчет_аналитики'!AO3759+('19_Расчет_аналитики'!AO3783/(1+'01_Вводные'!$B$58))*'01_Вводные'!$B$60+'19_Расчет_аналитики'!AO3758,0)</f>
        <v/>
      </c>
      <c r="AP3791">
        <f>IF('01_Вводные'!$B$234="Да",'19_Расчет_аналитики'!AP3759+('19_Расчет_аналитики'!AP3783/(1+'01_Вводные'!$B$58))*'01_Вводные'!$B$60+'19_Расчет_аналитики'!AP3758,0)</f>
        <v/>
      </c>
      <c r="AQ3791">
        <f>IF('01_Вводные'!$B$234="Да",'19_Расчет_аналитики'!AQ3759+('19_Расчет_аналитики'!AQ3783/(1+'01_Вводные'!$B$58))*'01_Вводные'!$B$60+'19_Расчет_аналитики'!AQ3758,0)</f>
        <v/>
      </c>
      <c r="AR3791">
        <f>IF('01_Вводные'!$B$234="Да",'19_Расчет_аналитики'!AR3759+('19_Расчет_аналитики'!AR3783/(1+'01_Вводные'!$B$58))*'01_Вводные'!$B$60+'19_Расчет_аналитики'!AR3758,0)</f>
        <v/>
      </c>
      <c r="AS3791">
        <f>IF('01_Вводные'!$B$234="Да",'19_Расчет_аналитики'!AS3759+('19_Расчет_аналитики'!AS3783/(1+'01_Вводные'!$B$58))*'01_Вводные'!$B$60+'19_Расчет_аналитики'!AS3758,0)</f>
        <v/>
      </c>
      <c r="AT3791">
        <f>IF('01_Вводные'!$B$234="Да",'19_Расчет_аналитики'!AT3759+('19_Расчет_аналитики'!AT3783/(1+'01_Вводные'!$B$58))*'01_Вводные'!$B$60+'19_Расчет_аналитики'!AT3758,0)</f>
        <v/>
      </c>
      <c r="AU3791">
        <f>IF('01_Вводные'!$B$234="Да",'19_Расчет_аналитики'!AU3759+('19_Расчет_аналитики'!AU3783/(1+'01_Вводные'!$B$58))*'01_Вводные'!$B$60+'19_Расчет_аналитики'!AU3758,0)</f>
        <v/>
      </c>
      <c r="AV3791">
        <f>IF('01_Вводные'!$B$234="Да",'19_Расчет_аналитики'!AV3759+('19_Расчет_аналитики'!AV3783/(1+'01_Вводные'!$B$58))*'01_Вводные'!$B$60+'19_Расчет_аналитики'!AV3758,0)</f>
        <v/>
      </c>
      <c r="AW3791">
        <f>IF('01_Вводные'!$B$234="Да",'19_Расчет_аналитики'!AW3759+('19_Расчет_аналитики'!AW3783/(1+'01_Вводные'!$B$58))*'01_Вводные'!$B$60+'19_Расчет_аналитики'!AW3758,0)</f>
        <v/>
      </c>
      <c r="AX3791">
        <f>IF('01_Вводные'!$B$234="Да",'19_Расчет_аналитики'!AX3759+('19_Расчет_аналитики'!AX3783/(1+'01_Вводные'!$B$58))*'01_Вводные'!$B$60+'19_Расчет_аналитики'!AX3758,0)</f>
        <v/>
      </c>
      <c r="AY3791">
        <f>IF('01_Вводные'!$B$234="Да",'19_Расчет_аналитики'!AY3759+('19_Расчет_аналитики'!AY3783/(1+'01_Вводные'!$B$58))*'01_Вводные'!$B$60+'19_Расчет_аналитики'!AY3758,0)</f>
        <v/>
      </c>
      <c r="AZ3791">
        <f>IF('01_Вводные'!$B$234="Да",'19_Расчет_аналитики'!AZ3759+('19_Расчет_аналитики'!AZ3783/(1+'01_Вводные'!$B$58))*'01_Вводные'!$B$60+'19_Расчет_аналитики'!AZ3758,0)</f>
        <v/>
      </c>
      <c r="BA3791">
        <f>IF('01_Вводные'!$B$234="Да",'19_Расчет_аналитики'!BA3759+('19_Расчет_аналитики'!BA3783/(1+'01_Вводные'!$B$58))*'01_Вводные'!$B$60+'19_Расчет_аналитики'!BA3758,0)</f>
        <v/>
      </c>
      <c r="BB3791">
        <f>IF('01_Вводные'!$B$234="Да",'19_Расчет_аналитики'!BB3759+('19_Расчет_аналитики'!BB3783/(1+'01_Вводные'!$B$58))*'01_Вводные'!$B$60+'19_Расчет_аналитики'!BB3758,0)</f>
        <v/>
      </c>
      <c r="BC3791">
        <f>IF('01_Вводные'!$B$234="Да",'19_Расчет_аналитики'!BC3759+('19_Расчет_аналитики'!BC3783/(1+'01_Вводные'!$B$58))*'01_Вводные'!$B$60+'19_Расчет_аналитики'!BC3758,0)</f>
        <v/>
      </c>
      <c r="BD3791">
        <f>IF('01_Вводные'!$B$234="Да",'19_Расчет_аналитики'!BD3759+('19_Расчет_аналитики'!BD3783/(1+'01_Вводные'!$B$58))*'01_Вводные'!$B$60+'19_Расчет_аналитики'!BD3758,0)</f>
        <v/>
      </c>
      <c r="BE3791">
        <f>IF('01_Вводные'!$B$234="Да",'19_Расчет_аналитики'!BE3759+('19_Расчет_аналитики'!BE3783/(1+'01_Вводные'!$B$58))*'01_Вводные'!$B$60+'19_Расчет_аналитики'!BE3758,0)</f>
        <v/>
      </c>
      <c r="BF3791">
        <f>IF('01_Вводные'!$B$234="Да",'19_Расчет_аналитики'!BF3759+('19_Расчет_аналитики'!BF3783/(1+'01_Вводные'!$B$58))*'01_Вводные'!$B$60+'19_Расчет_аналитики'!BF3758,0)</f>
        <v/>
      </c>
      <c r="BG3791">
        <f>IF('01_Вводные'!$B$234="Да",'19_Расчет_аналитики'!BG3759+('19_Расчет_аналитики'!BG3783/(1+'01_Вводные'!$B$58))*'01_Вводные'!$B$60+'19_Расчет_аналитики'!BG3758,0)</f>
        <v/>
      </c>
      <c r="BH3791">
        <f>IF('01_Вводные'!$B$234="Да",'19_Расчет_аналитики'!BH3759+('19_Расчет_аналитики'!BH3783/(1+'01_Вводные'!$B$58))*'01_Вводные'!$B$60+'19_Расчет_аналитики'!BH3758,0)</f>
        <v/>
      </c>
      <c r="BI3791">
        <f>IF('01_Вводные'!$B$234="Да",'19_Расчет_аналитики'!BI3759+('19_Расчет_аналитики'!BI3783/(1+'01_Вводные'!$B$58))*'01_Вводные'!$B$60+'19_Расчет_аналитики'!BI3758,0)</f>
        <v/>
      </c>
    </row>
    <row r="3792">
      <c r="B3792">
        <f>IF('01_Вводные'!$B$234="Да",('02_Модель'!B52+'19_Расчет_аналитики'!B3783+'19_Расчет_аналитики'!B3784)-('02_Модель'!B52+'19_Расчет_аналитики'!B3783+'19_Расчет_аналитики'!B3784)/(1+'01_Вводные'!$B$58),0)</f>
        <v/>
      </c>
      <c r="C3792">
        <f>IF('01_Вводные'!$B$234="Да",('19_Расчет_аналитики'!C3782+'19_Расчет_аналитики'!C3783+'19_Расчет_аналитики'!C3784)-('19_Расчет_аналитики'!C3782+'19_Расчет_аналитики'!C3783+'19_Расчет_аналитики'!C3784)/(1+'01_Вводные'!$B$58),0)</f>
        <v/>
      </c>
      <c r="D3792">
        <f>IF('01_Вводные'!$B$234="Да",('19_Расчет_аналитики'!D3782+'19_Расчет_аналитики'!D3783+'19_Расчет_аналитики'!D3784)-('19_Расчет_аналитики'!D3782+'19_Расчет_аналитики'!D3783+'19_Расчет_аналитики'!D3784)/(1+'01_Вводные'!$B$58),0)</f>
        <v/>
      </c>
      <c r="E3792">
        <f>IF('01_Вводные'!$B$234="Да",('19_Расчет_аналитики'!E3782+'19_Расчет_аналитики'!E3783+'19_Расчет_аналитики'!E3784)-('19_Расчет_аналитики'!E3782+'19_Расчет_аналитики'!E3783+'19_Расчет_аналитики'!E3784)/(1+'01_Вводные'!$B$58),0)</f>
        <v/>
      </c>
      <c r="F3792">
        <f>IF('01_Вводные'!$B$234="Да",('19_Расчет_аналитики'!F3782+'19_Расчет_аналитики'!F3783+'19_Расчет_аналитики'!F3784)-('19_Расчет_аналитики'!F3782+'19_Расчет_аналитики'!F3783+'19_Расчет_аналитики'!F3784)/(1+'01_Вводные'!$B$58),0)</f>
        <v/>
      </c>
      <c r="G3792">
        <f>IF('01_Вводные'!$B$234="Да",('19_Расчет_аналитики'!G3782+'19_Расчет_аналитики'!G3783+'19_Расчет_аналитики'!G3784)-('19_Расчет_аналитики'!G3782+'19_Расчет_аналитики'!G3783+'19_Расчет_аналитики'!G3784)/(1+'01_Вводные'!$B$58),0)</f>
        <v/>
      </c>
      <c r="H3792">
        <f>IF('01_Вводные'!$B$234="Да",('19_Расчет_аналитики'!H3782+'19_Расчет_аналитики'!H3783+'19_Расчет_аналитики'!H3784)-('19_Расчет_аналитики'!H3782+'19_Расчет_аналитики'!H3783+'19_Расчет_аналитики'!H3784)/(1+'01_Вводные'!$B$58),0)</f>
        <v/>
      </c>
      <c r="I3792">
        <f>IF('01_Вводные'!$B$234="Да",('19_Расчет_аналитики'!I3782+'19_Расчет_аналитики'!I3783+'19_Расчет_аналитики'!I3784)-('19_Расчет_аналитики'!I3782+'19_Расчет_аналитики'!I3783+'19_Расчет_аналитики'!I3784)/(1+'01_Вводные'!$B$58),0)</f>
        <v/>
      </c>
      <c r="J3792">
        <f>IF('01_Вводные'!$B$234="Да",('19_Расчет_аналитики'!J3782+'19_Расчет_аналитики'!J3783+'19_Расчет_аналитики'!J3784)-('19_Расчет_аналитики'!J3782+'19_Расчет_аналитики'!J3783+'19_Расчет_аналитики'!J3784)/(1+'01_Вводные'!$B$58),0)</f>
        <v/>
      </c>
      <c r="K3792">
        <f>IF('01_Вводные'!$B$234="Да",('19_Расчет_аналитики'!K3782+'19_Расчет_аналитики'!K3783+'19_Расчет_аналитики'!K3784)-('19_Расчет_аналитики'!K3782+'19_Расчет_аналитики'!K3783+'19_Расчет_аналитики'!K3784)/(1+'01_Вводные'!$B$58),0)</f>
        <v/>
      </c>
      <c r="L3792">
        <f>IF('01_Вводные'!$B$234="Да",('19_Расчет_аналитики'!L3782+'19_Расчет_аналитики'!L3783+'19_Расчет_аналитики'!L3784)-('19_Расчет_аналитики'!L3782+'19_Расчет_аналитики'!L3783+'19_Расчет_аналитики'!L3784)/(1+'01_Вводные'!$B$58),0)</f>
        <v/>
      </c>
      <c r="M3792">
        <f>IF('01_Вводные'!$B$234="Да",('19_Расчет_аналитики'!M3782+'19_Расчет_аналитики'!M3783+'19_Расчет_аналитики'!M3784)-('19_Расчет_аналитики'!M3782+'19_Расчет_аналитики'!M3783+'19_Расчет_аналитики'!M3784)/(1+'01_Вводные'!$B$58),0)</f>
        <v/>
      </c>
      <c r="N3792">
        <f>IF('01_Вводные'!$B$234="Да",('19_Расчет_аналитики'!N3782+'19_Расчет_аналитики'!N3783+'19_Расчет_аналитики'!N3784)-('19_Расчет_аналитики'!N3782+'19_Расчет_аналитики'!N3783+'19_Расчет_аналитики'!N3784)/(1+'01_Вводные'!$B$58),0)</f>
        <v/>
      </c>
      <c r="O3792">
        <f>IF('01_Вводные'!$B$234="Да",('19_Расчет_аналитики'!O3782+'19_Расчет_аналитики'!O3783+'19_Расчет_аналитики'!O3784)-('19_Расчет_аналитики'!O3782+'19_Расчет_аналитики'!O3783+'19_Расчет_аналитики'!O3784)/(1+'01_Вводные'!$B$58),0)</f>
        <v/>
      </c>
      <c r="P3792">
        <f>IF('01_Вводные'!$B$234="Да",('19_Расчет_аналитики'!P3782+'19_Расчет_аналитики'!P3783+'19_Расчет_аналитики'!P3784)-('19_Расчет_аналитики'!P3782+'19_Расчет_аналитики'!P3783+'19_Расчет_аналитики'!P3784)/(1+'01_Вводные'!$B$58),0)</f>
        <v/>
      </c>
      <c r="Q3792">
        <f>IF('01_Вводные'!$B$234="Да",('19_Расчет_аналитики'!Q3782+'19_Расчет_аналитики'!Q3783+'19_Расчет_аналитики'!Q3784)-('19_Расчет_аналитики'!Q3782+'19_Расчет_аналитики'!Q3783+'19_Расчет_аналитики'!Q3784)/(1+'01_Вводные'!$B$58),0)</f>
        <v/>
      </c>
      <c r="R3792">
        <f>IF('01_Вводные'!$B$234="Да",('19_Расчет_аналитики'!R3782+'19_Расчет_аналитики'!R3783+'19_Расчет_аналитики'!R3784)-('19_Расчет_аналитики'!R3782+'19_Расчет_аналитики'!R3783+'19_Расчет_аналитики'!R3784)/(1+'01_Вводные'!$B$58),0)</f>
        <v/>
      </c>
      <c r="S3792">
        <f>IF('01_Вводные'!$B$234="Да",('19_Расчет_аналитики'!S3782+'19_Расчет_аналитики'!S3783+'19_Расчет_аналитики'!S3784)-('19_Расчет_аналитики'!S3782+'19_Расчет_аналитики'!S3783+'19_Расчет_аналитики'!S3784)/(1+'01_Вводные'!$B$58),0)</f>
        <v/>
      </c>
      <c r="T3792">
        <f>IF('01_Вводные'!$B$234="Да",('19_Расчет_аналитики'!T3782+'19_Расчет_аналитики'!T3783+'19_Расчет_аналитики'!T3784)-('19_Расчет_аналитики'!T3782+'19_Расчет_аналитики'!T3783+'19_Расчет_аналитики'!T3784)/(1+'01_Вводные'!$B$58),0)</f>
        <v/>
      </c>
      <c r="U3792">
        <f>IF('01_Вводные'!$B$234="Да",('19_Расчет_аналитики'!U3782+'19_Расчет_аналитики'!U3783+'19_Расчет_аналитики'!U3784)-('19_Расчет_аналитики'!U3782+'19_Расчет_аналитики'!U3783+'19_Расчет_аналитики'!U3784)/(1+'01_Вводные'!$B$58),0)</f>
        <v/>
      </c>
      <c r="V3792">
        <f>IF('01_Вводные'!$B$234="Да",('19_Расчет_аналитики'!V3782+'19_Расчет_аналитики'!V3783+'19_Расчет_аналитики'!V3784)-('19_Расчет_аналитики'!V3782+'19_Расчет_аналитики'!V3783+'19_Расчет_аналитики'!V3784)/(1+'01_Вводные'!$B$58),0)</f>
        <v/>
      </c>
      <c r="W3792">
        <f>IF('01_Вводные'!$B$234="Да",('19_Расчет_аналитики'!W3782+'19_Расчет_аналитики'!W3783+'19_Расчет_аналитики'!W3784)-('19_Расчет_аналитики'!W3782+'19_Расчет_аналитики'!W3783+'19_Расчет_аналитики'!W3784)/(1+'01_Вводные'!$B$58),0)</f>
        <v/>
      </c>
      <c r="X3792">
        <f>IF('01_Вводные'!$B$234="Да",('19_Расчет_аналитики'!X3782+'19_Расчет_аналитики'!X3783+'19_Расчет_аналитики'!X3784)-('19_Расчет_аналитики'!X3782+'19_Расчет_аналитики'!X3783+'19_Расчет_аналитики'!X3784)/(1+'01_Вводные'!$B$58),0)</f>
        <v/>
      </c>
      <c r="Y3792">
        <f>IF('01_Вводные'!$B$234="Да",('19_Расчет_аналитики'!Y3782+'19_Расчет_аналитики'!Y3783+'19_Расчет_аналитики'!Y3784)-('19_Расчет_аналитики'!Y3782+'19_Расчет_аналитики'!Y3783+'19_Расчет_аналитики'!Y3784)/(1+'01_Вводные'!$B$58),0)</f>
        <v/>
      </c>
      <c r="Z3792">
        <f>IF('01_Вводные'!$B$234="Да",('19_Расчет_аналитики'!Z3782+'19_Расчет_аналитики'!Z3783+'19_Расчет_аналитики'!Z3784)-('19_Расчет_аналитики'!Z3782+'19_Расчет_аналитики'!Z3783+'19_Расчет_аналитики'!Z3784)/(1+'01_Вводные'!$B$58),0)</f>
        <v/>
      </c>
      <c r="AA3792">
        <f>IF('01_Вводные'!$B$234="Да",('19_Расчет_аналитики'!AA3782+'19_Расчет_аналитики'!AA3783+'19_Расчет_аналитики'!AA3784)-('19_Расчет_аналитики'!AA3782+'19_Расчет_аналитики'!AA3783+'19_Расчет_аналитики'!AA3784)/(1+'01_Вводные'!$B$58),0)</f>
        <v/>
      </c>
      <c r="AB3792">
        <f>IF('01_Вводные'!$B$234="Да",('19_Расчет_аналитики'!AB3782+'19_Расчет_аналитики'!AB3783+'19_Расчет_аналитики'!AB3784)-('19_Расчет_аналитики'!AB3782+'19_Расчет_аналитики'!AB3783+'19_Расчет_аналитики'!AB3784)/(1+'01_Вводные'!$B$58),0)</f>
        <v/>
      </c>
      <c r="AC3792">
        <f>IF('01_Вводные'!$B$234="Да",('19_Расчет_аналитики'!AC3782+'19_Расчет_аналитики'!AC3783+'19_Расчет_аналитики'!AC3784)-('19_Расчет_аналитики'!AC3782+'19_Расчет_аналитики'!AC3783+'19_Расчет_аналитики'!AC3784)/(1+'01_Вводные'!$B$58),0)</f>
        <v/>
      </c>
      <c r="AD3792">
        <f>IF('01_Вводные'!$B$234="Да",('19_Расчет_аналитики'!AD3782+'19_Расчет_аналитики'!AD3783+'19_Расчет_аналитики'!AD3784)-('19_Расчет_аналитики'!AD3782+'19_Расчет_аналитики'!AD3783+'19_Расчет_аналитики'!AD3784)/(1+'01_Вводные'!$B$58),0)</f>
        <v/>
      </c>
      <c r="AE3792">
        <f>IF('01_Вводные'!$B$234="Да",('19_Расчет_аналитики'!AE3782+'19_Расчет_аналитики'!AE3783+'19_Расчет_аналитики'!AE3784)-('19_Расчет_аналитики'!AE3782+'19_Расчет_аналитики'!AE3783+'19_Расчет_аналитики'!AE3784)/(1+'01_Вводные'!$B$58),0)</f>
        <v/>
      </c>
      <c r="AF3792">
        <f>IF('01_Вводные'!$B$234="Да",('19_Расчет_аналитики'!AF3782+'19_Расчет_аналитики'!AF3783+'19_Расчет_аналитики'!AF3784)-('19_Расчет_аналитики'!AF3782+'19_Расчет_аналитики'!AF3783+'19_Расчет_аналитики'!AF3784)/(1+'01_Вводные'!$B$58),0)</f>
        <v/>
      </c>
      <c r="AG3792">
        <f>IF('01_Вводные'!$B$234="Да",('19_Расчет_аналитики'!AG3782+'19_Расчет_аналитики'!AG3783+'19_Расчет_аналитики'!AG3784)-('19_Расчет_аналитики'!AG3782+'19_Расчет_аналитики'!AG3783+'19_Расчет_аналитики'!AG3784)/(1+'01_Вводные'!$B$58),0)</f>
        <v/>
      </c>
      <c r="AH3792">
        <f>IF('01_Вводные'!$B$234="Да",('19_Расчет_аналитики'!AH3782+'19_Расчет_аналитики'!AH3783+'19_Расчет_аналитики'!AH3784)-('19_Расчет_аналитики'!AH3782+'19_Расчет_аналитики'!AH3783+'19_Расчет_аналитики'!AH3784)/(1+'01_Вводные'!$B$58),0)</f>
        <v/>
      </c>
      <c r="AI3792">
        <f>IF('01_Вводные'!$B$234="Да",('19_Расчет_аналитики'!AI3782+'19_Расчет_аналитики'!AI3783+'19_Расчет_аналитики'!AI3784)-('19_Расчет_аналитики'!AI3782+'19_Расчет_аналитики'!AI3783+'19_Расчет_аналитики'!AI3784)/(1+'01_Вводные'!$B$58),0)</f>
        <v/>
      </c>
      <c r="AJ3792">
        <f>IF('01_Вводные'!$B$234="Да",('19_Расчет_аналитики'!AJ3782+'19_Расчет_аналитики'!AJ3783+'19_Расчет_аналитики'!AJ3784)-('19_Расчет_аналитики'!AJ3782+'19_Расчет_аналитики'!AJ3783+'19_Расчет_аналитики'!AJ3784)/(1+'01_Вводные'!$B$58),0)</f>
        <v/>
      </c>
      <c r="AK3792">
        <f>IF('01_Вводные'!$B$234="Да",('19_Расчет_аналитики'!AK3782+'19_Расчет_аналитики'!AK3783+'19_Расчет_аналитики'!AK3784)-('19_Расчет_аналитики'!AK3782+'19_Расчет_аналитики'!AK3783+'19_Расчет_аналитики'!AK3784)/(1+'01_Вводные'!$B$58),0)</f>
        <v/>
      </c>
      <c r="AL3792">
        <f>IF('01_Вводные'!$B$234="Да",('19_Расчет_аналитики'!AL3782+'19_Расчет_аналитики'!AL3783+'19_Расчет_аналитики'!AL3784)-('19_Расчет_аналитики'!AL3782+'19_Расчет_аналитики'!AL3783+'19_Расчет_аналитики'!AL3784)/(1+'01_Вводные'!$B$58),0)</f>
        <v/>
      </c>
      <c r="AM3792">
        <f>IF('01_Вводные'!$B$234="Да",('19_Расчет_аналитики'!AM3782+'19_Расчет_аналитики'!AM3783+'19_Расчет_аналитики'!AM3784)-('19_Расчет_аналитики'!AM3782+'19_Расчет_аналитики'!AM3783+'19_Расчет_аналитики'!AM3784)/(1+'01_Вводные'!$B$58),0)</f>
        <v/>
      </c>
      <c r="AN3792">
        <f>IF('01_Вводные'!$B$234="Да",('19_Расчет_аналитики'!AN3782+'19_Расчет_аналитики'!AN3783+'19_Расчет_аналитики'!AN3784)-('19_Расчет_аналитики'!AN3782+'19_Расчет_аналитики'!AN3783+'19_Расчет_аналитики'!AN3784)/(1+'01_Вводные'!$B$58),0)</f>
        <v/>
      </c>
      <c r="AO3792">
        <f>IF('01_Вводные'!$B$234="Да",('19_Расчет_аналитики'!AO3782+'19_Расчет_аналитики'!AO3783+'19_Расчет_аналитики'!AO3784)-('19_Расчет_аналитики'!AO3782+'19_Расчет_аналитики'!AO3783+'19_Расчет_аналитики'!AO3784)/(1+'01_Вводные'!$B$58),0)</f>
        <v/>
      </c>
      <c r="AP3792">
        <f>IF('01_Вводные'!$B$234="Да",('19_Расчет_аналитики'!AP3782+'19_Расчет_аналитики'!AP3783+'19_Расчет_аналитики'!AP3784)-('19_Расчет_аналитики'!AP3782+'19_Расчет_аналитики'!AP3783+'19_Расчет_аналитики'!AP3784)/(1+'01_Вводные'!$B$58),0)</f>
        <v/>
      </c>
      <c r="AQ3792">
        <f>IF('01_Вводные'!$B$234="Да",('19_Расчет_аналитики'!AQ3782+'19_Расчет_аналитики'!AQ3783+'19_Расчет_аналитики'!AQ3784)-('19_Расчет_аналитики'!AQ3782+'19_Расчет_аналитики'!AQ3783+'19_Расчет_аналитики'!AQ3784)/(1+'01_Вводные'!$B$58),0)</f>
        <v/>
      </c>
      <c r="AR3792">
        <f>IF('01_Вводные'!$B$234="Да",('19_Расчет_аналитики'!AR3782+'19_Расчет_аналитики'!AR3783+'19_Расчет_аналитики'!AR3784)-('19_Расчет_аналитики'!AR3782+'19_Расчет_аналитики'!AR3783+'19_Расчет_аналитики'!AR3784)/(1+'01_Вводные'!$B$58),0)</f>
        <v/>
      </c>
      <c r="AS3792">
        <f>IF('01_Вводные'!$B$234="Да",('19_Расчет_аналитики'!AS3782+'19_Расчет_аналитики'!AS3783+'19_Расчет_аналитики'!AS3784)-('19_Расчет_аналитики'!AS3782+'19_Расчет_аналитики'!AS3783+'19_Расчет_аналитики'!AS3784)/(1+'01_Вводные'!$B$58),0)</f>
        <v/>
      </c>
      <c r="AT3792">
        <f>IF('01_Вводные'!$B$234="Да",('19_Расчет_аналитики'!AT3782+'19_Расчет_аналитики'!AT3783+'19_Расчет_аналитики'!AT3784)-('19_Расчет_аналитики'!AT3782+'19_Расчет_аналитики'!AT3783+'19_Расчет_аналитики'!AT3784)/(1+'01_Вводные'!$B$58),0)</f>
        <v/>
      </c>
      <c r="AU3792">
        <f>IF('01_Вводные'!$B$234="Да",('19_Расчет_аналитики'!AU3782+'19_Расчет_аналитики'!AU3783+'19_Расчет_аналитики'!AU3784)-('19_Расчет_аналитики'!AU3782+'19_Расчет_аналитики'!AU3783+'19_Расчет_аналитики'!AU3784)/(1+'01_Вводные'!$B$58),0)</f>
        <v/>
      </c>
      <c r="AV3792">
        <f>IF('01_Вводные'!$B$234="Да",('19_Расчет_аналитики'!AV3782+'19_Расчет_аналитики'!AV3783+'19_Расчет_аналитики'!AV3784)-('19_Расчет_аналитики'!AV3782+'19_Расчет_аналитики'!AV3783+'19_Расчет_аналитики'!AV3784)/(1+'01_Вводные'!$B$58),0)</f>
        <v/>
      </c>
      <c r="AW3792">
        <f>IF('01_Вводные'!$B$234="Да",('19_Расчет_аналитики'!AW3782+'19_Расчет_аналитики'!AW3783+'19_Расчет_аналитики'!AW3784)-('19_Расчет_аналитики'!AW3782+'19_Расчет_аналитики'!AW3783+'19_Расчет_аналитики'!AW3784)/(1+'01_Вводные'!$B$58),0)</f>
        <v/>
      </c>
      <c r="AX3792">
        <f>IF('01_Вводные'!$B$234="Да",('19_Расчет_аналитики'!AX3782+'19_Расчет_аналитики'!AX3783+'19_Расчет_аналитики'!AX3784)-('19_Расчет_аналитики'!AX3782+'19_Расчет_аналитики'!AX3783+'19_Расчет_аналитики'!AX3784)/(1+'01_Вводные'!$B$58),0)</f>
        <v/>
      </c>
      <c r="AY3792">
        <f>IF('01_Вводные'!$B$234="Да",('19_Расчет_аналитики'!AY3782+'19_Расчет_аналитики'!AY3783+'19_Расчет_аналитики'!AY3784)-('19_Расчет_аналитики'!AY3782+'19_Расчет_аналитики'!AY3783+'19_Расчет_аналитики'!AY3784)/(1+'01_Вводные'!$B$58),0)</f>
        <v/>
      </c>
      <c r="AZ3792">
        <f>IF('01_Вводные'!$B$234="Да",('19_Расчет_аналитики'!AZ3782+'19_Расчет_аналитики'!AZ3783+'19_Расчет_аналитики'!AZ3784)-('19_Расчет_аналитики'!AZ3782+'19_Расчет_аналитики'!AZ3783+'19_Расчет_аналитики'!AZ3784)/(1+'01_Вводные'!$B$58),0)</f>
        <v/>
      </c>
      <c r="BA3792">
        <f>IF('01_Вводные'!$B$234="Да",('19_Расчет_аналитики'!BA3782+'19_Расчет_аналитики'!BA3783+'19_Расчет_аналитики'!BA3784)-('19_Расчет_аналитики'!BA3782+'19_Расчет_аналитики'!BA3783+'19_Расчет_аналитики'!BA3784)/(1+'01_Вводные'!$B$58),0)</f>
        <v/>
      </c>
      <c r="BB3792">
        <f>IF('01_Вводные'!$B$234="Да",('19_Расчет_аналитики'!BB3782+'19_Расчет_аналитики'!BB3783+'19_Расчет_аналитики'!BB3784)-('19_Расчет_аналитики'!BB3782+'19_Расчет_аналитики'!BB3783+'19_Расчет_аналитики'!BB3784)/(1+'01_Вводные'!$B$58),0)</f>
        <v/>
      </c>
      <c r="BC3792">
        <f>IF('01_Вводные'!$B$234="Да",('19_Расчет_аналитики'!BC3782+'19_Расчет_аналитики'!BC3783+'19_Расчет_аналитики'!BC3784)-('19_Расчет_аналитики'!BC3782+'19_Расчет_аналитики'!BC3783+'19_Расчет_аналитики'!BC3784)/(1+'01_Вводные'!$B$58),0)</f>
        <v/>
      </c>
      <c r="BD3792">
        <f>IF('01_Вводные'!$B$234="Да",('19_Расчет_аналитики'!BD3782+'19_Расчет_аналитики'!BD3783+'19_Расчет_аналитики'!BD3784)-('19_Расчет_аналитики'!BD3782+'19_Расчет_аналитики'!BD3783+'19_Расчет_аналитики'!BD3784)/(1+'01_Вводные'!$B$58),0)</f>
        <v/>
      </c>
      <c r="BE3792">
        <f>IF('01_Вводные'!$B$234="Да",('19_Расчет_аналитики'!BE3782+'19_Расчет_аналитики'!BE3783+'19_Расчет_аналитики'!BE3784)-('19_Расчет_аналитики'!BE3782+'19_Расчет_аналитики'!BE3783+'19_Расчет_аналитики'!BE3784)/(1+'01_Вводные'!$B$58),0)</f>
        <v/>
      </c>
      <c r="BF3792">
        <f>IF('01_Вводные'!$B$234="Да",('19_Расчет_аналитики'!BF3782+'19_Расчет_аналитики'!BF3783+'19_Расчет_аналитики'!BF3784)-('19_Расчет_аналитики'!BF3782+'19_Расчет_аналитики'!BF3783+'19_Расчет_аналитики'!BF3784)/(1+'01_Вводные'!$B$58),0)</f>
        <v/>
      </c>
      <c r="BG3792">
        <f>IF('01_Вводные'!$B$234="Да",('19_Расчет_аналитики'!BG3782+'19_Расчет_аналитики'!BG3783+'19_Расчет_аналитики'!BG3784)-('19_Расчет_аналитики'!BG3782+'19_Расчет_аналитики'!BG3783+'19_Расчет_аналитики'!BG3784)/(1+'01_Вводные'!$B$58),0)</f>
        <v/>
      </c>
      <c r="BH3792">
        <f>IF('01_Вводные'!$B$234="Да",('19_Расчет_аналитики'!BH3782+'19_Расчет_аналитики'!BH3783+'19_Расчет_аналитики'!BH3784)-('19_Расчет_аналитики'!BH3782+'19_Расчет_аналитики'!BH3783+'19_Расчет_аналитики'!BH3784)/(1+'01_Вводные'!$B$58),0)</f>
        <v/>
      </c>
      <c r="BI3792">
        <f>IF('01_Вводные'!$B$234="Да",('19_Расчет_аналитики'!BI3782+'19_Расчет_аналитики'!BI3783+'19_Расчет_аналитики'!BI3784)-('19_Расчет_аналитики'!BI3782+'19_Расчет_аналитики'!BI3783+'19_Расчет_аналитики'!BI3784)/(1+'01_Вводные'!$B$58),0)</f>
        <v/>
      </c>
    </row>
    <row r="3793">
      <c r="B3793">
        <f>'02_Модель'!B63</f>
        <v/>
      </c>
      <c r="C3793">
        <f>'02_Модель'!C63</f>
        <v/>
      </c>
      <c r="D3793">
        <f>'02_Модель'!D63</f>
        <v/>
      </c>
      <c r="E3793">
        <f>'02_Модель'!E63</f>
        <v/>
      </c>
      <c r="F3793">
        <f>'02_Модель'!F63</f>
        <v/>
      </c>
      <c r="G3793">
        <f>'02_Модель'!G63</f>
        <v/>
      </c>
      <c r="H3793">
        <f>'02_Модель'!H63</f>
        <v/>
      </c>
      <c r="I3793">
        <f>'02_Модель'!I63</f>
        <v/>
      </c>
      <c r="J3793">
        <f>'02_Модель'!J63</f>
        <v/>
      </c>
      <c r="K3793">
        <f>'02_Модель'!K63</f>
        <v/>
      </c>
      <c r="L3793">
        <f>'02_Модель'!L63</f>
        <v/>
      </c>
      <c r="M3793">
        <f>'02_Модель'!M63</f>
        <v/>
      </c>
      <c r="N3793">
        <f>'02_Модель'!N63</f>
        <v/>
      </c>
      <c r="O3793">
        <f>'02_Модель'!O63</f>
        <v/>
      </c>
      <c r="P3793">
        <f>'02_Модель'!P63</f>
        <v/>
      </c>
      <c r="Q3793">
        <f>'02_Модель'!Q63</f>
        <v/>
      </c>
      <c r="R3793">
        <f>'02_Модель'!R63</f>
        <v/>
      </c>
      <c r="S3793">
        <f>'02_Модель'!S63</f>
        <v/>
      </c>
      <c r="T3793">
        <f>'02_Модель'!T63</f>
        <v/>
      </c>
      <c r="U3793">
        <f>'02_Модель'!U63</f>
        <v/>
      </c>
      <c r="V3793">
        <f>'02_Модель'!V63</f>
        <v/>
      </c>
      <c r="W3793">
        <f>'02_Модель'!W63</f>
        <v/>
      </c>
      <c r="X3793">
        <f>'02_Модель'!X63</f>
        <v/>
      </c>
      <c r="Y3793">
        <f>'02_Модель'!Y63</f>
        <v/>
      </c>
      <c r="Z3793">
        <f>'02_Модель'!Z63</f>
        <v/>
      </c>
      <c r="AA3793">
        <f>'02_Модель'!AA63</f>
        <v/>
      </c>
      <c r="AB3793">
        <f>'02_Модель'!AB63</f>
        <v/>
      </c>
      <c r="AC3793">
        <f>'02_Модель'!AC63</f>
        <v/>
      </c>
      <c r="AD3793">
        <f>'02_Модель'!AD63</f>
        <v/>
      </c>
      <c r="AE3793">
        <f>'02_Модель'!AE63</f>
        <v/>
      </c>
      <c r="AF3793">
        <f>'02_Модель'!AF63</f>
        <v/>
      </c>
      <c r="AG3793">
        <f>'02_Модель'!AG63</f>
        <v/>
      </c>
      <c r="AH3793">
        <f>'02_Модель'!AH63</f>
        <v/>
      </c>
      <c r="AI3793">
        <f>'02_Модель'!AI63</f>
        <v/>
      </c>
      <c r="AJ3793">
        <f>'02_Модель'!AJ63</f>
        <v/>
      </c>
      <c r="AK3793">
        <f>'02_Модель'!AK63</f>
        <v/>
      </c>
      <c r="AL3793">
        <f>'02_Модель'!AL63</f>
        <v/>
      </c>
      <c r="AM3793">
        <f>'02_Модель'!AM63</f>
        <v/>
      </c>
      <c r="AN3793">
        <f>'02_Модель'!AN63</f>
        <v/>
      </c>
      <c r="AO3793">
        <f>'02_Модель'!AO63</f>
        <v/>
      </c>
      <c r="AP3793">
        <f>'02_Модель'!AP63</f>
        <v/>
      </c>
      <c r="AQ3793">
        <f>'02_Модель'!AQ63</f>
        <v/>
      </c>
      <c r="AR3793">
        <f>'02_Модель'!AR63</f>
        <v/>
      </c>
      <c r="AS3793">
        <f>'02_Модель'!AS63</f>
        <v/>
      </c>
      <c r="AT3793">
        <f>'02_Модель'!AT63</f>
        <v/>
      </c>
      <c r="AU3793">
        <f>'02_Модель'!AU63</f>
        <v/>
      </c>
      <c r="AV3793">
        <f>'02_Модель'!AV63</f>
        <v/>
      </c>
      <c r="AW3793">
        <f>'02_Модель'!AW63</f>
        <v/>
      </c>
      <c r="AX3793">
        <f>'02_Модель'!AX63</f>
        <v/>
      </c>
      <c r="AY3793">
        <f>'02_Модель'!AY63</f>
        <v/>
      </c>
      <c r="AZ3793">
        <f>'02_Модель'!AZ63</f>
        <v/>
      </c>
      <c r="BA3793">
        <f>'02_Модель'!BA63</f>
        <v/>
      </c>
      <c r="BB3793">
        <f>'02_Модель'!BB63</f>
        <v/>
      </c>
      <c r="BC3793">
        <f>'02_Модель'!BC63</f>
        <v/>
      </c>
      <c r="BD3793">
        <f>'02_Модель'!BD63</f>
        <v/>
      </c>
      <c r="BE3793">
        <f>'02_Модель'!BE63</f>
        <v/>
      </c>
      <c r="BF3793">
        <f>'02_Модель'!BF63</f>
        <v/>
      </c>
      <c r="BG3793">
        <f>'02_Модель'!BG63</f>
        <v/>
      </c>
      <c r="BH3793">
        <f>'02_Модель'!BH63</f>
        <v/>
      </c>
      <c r="BI3793">
        <f>'02_Модель'!BI63</f>
        <v/>
      </c>
    </row>
    <row r="3794">
      <c r="B3794">
        <f>IF('01_Вводные'!$B$234="Да",'19_Расчет_аналитики'!B3776,0)</f>
        <v/>
      </c>
      <c r="C3794">
        <f>IF('01_Вводные'!$B$234="Да",'19_Расчет_аналитики'!C3776,0)</f>
        <v/>
      </c>
      <c r="D3794">
        <f>IF('01_Вводные'!$B$234="Да",'19_Расчет_аналитики'!D3776,0)</f>
        <v/>
      </c>
      <c r="E3794">
        <f>IF('01_Вводные'!$B$234="Да",'19_Расчет_аналитики'!E3776,0)</f>
        <v/>
      </c>
      <c r="F3794">
        <f>IF('01_Вводные'!$B$234="Да",'19_Расчет_аналитики'!F3776,0)</f>
        <v/>
      </c>
      <c r="G3794">
        <f>IF('01_Вводные'!$B$234="Да",'19_Расчет_аналитики'!G3776,0)</f>
        <v/>
      </c>
      <c r="H3794">
        <f>IF('01_Вводные'!$B$234="Да",'19_Расчет_аналитики'!H3776,0)</f>
        <v/>
      </c>
      <c r="I3794">
        <f>IF('01_Вводные'!$B$234="Да",'19_Расчет_аналитики'!I3776,0)</f>
        <v/>
      </c>
      <c r="J3794">
        <f>IF('01_Вводные'!$B$234="Да",'19_Расчет_аналитики'!J3776,0)</f>
        <v/>
      </c>
      <c r="K3794">
        <f>IF('01_Вводные'!$B$234="Да",'19_Расчет_аналитики'!K3776,0)</f>
        <v/>
      </c>
      <c r="L3794">
        <f>IF('01_Вводные'!$B$234="Да",'19_Расчет_аналитики'!L3776,0)</f>
        <v/>
      </c>
      <c r="M3794">
        <f>IF('01_Вводные'!$B$234="Да",'19_Расчет_аналитики'!M3776,0)</f>
        <v/>
      </c>
      <c r="N3794">
        <f>IF('01_Вводные'!$B$234="Да",'19_Расчет_аналитики'!N3776,0)</f>
        <v/>
      </c>
      <c r="O3794">
        <f>IF('01_Вводные'!$B$234="Да",'19_Расчет_аналитики'!O3776,0)</f>
        <v/>
      </c>
      <c r="P3794">
        <f>IF('01_Вводные'!$B$234="Да",'19_Расчет_аналитики'!P3776,0)</f>
        <v/>
      </c>
      <c r="Q3794">
        <f>IF('01_Вводные'!$B$234="Да",'19_Расчет_аналитики'!Q3776,0)</f>
        <v/>
      </c>
      <c r="R3794">
        <f>IF('01_Вводные'!$B$234="Да",'19_Расчет_аналитики'!R3776,0)</f>
        <v/>
      </c>
      <c r="S3794">
        <f>IF('01_Вводные'!$B$234="Да",'19_Расчет_аналитики'!S3776,0)</f>
        <v/>
      </c>
      <c r="T3794">
        <f>IF('01_Вводные'!$B$234="Да",'19_Расчет_аналитики'!T3776,0)</f>
        <v/>
      </c>
      <c r="U3794">
        <f>IF('01_Вводные'!$B$234="Да",'19_Расчет_аналитики'!U3776,0)</f>
        <v/>
      </c>
      <c r="V3794">
        <f>IF('01_Вводные'!$B$234="Да",'19_Расчет_аналитики'!V3776,0)</f>
        <v/>
      </c>
      <c r="W3794">
        <f>IF('01_Вводные'!$B$234="Да",'19_Расчет_аналитики'!W3776,0)</f>
        <v/>
      </c>
      <c r="X3794">
        <f>IF('01_Вводные'!$B$234="Да",'19_Расчет_аналитики'!X3776,0)</f>
        <v/>
      </c>
      <c r="Y3794">
        <f>IF('01_Вводные'!$B$234="Да",'19_Расчет_аналитики'!Y3776,0)</f>
        <v/>
      </c>
      <c r="Z3794">
        <f>IF('01_Вводные'!$B$234="Да",'19_Расчет_аналитики'!Z3776,0)</f>
        <v/>
      </c>
      <c r="AA3794">
        <f>IF('01_Вводные'!$B$234="Да",'19_Расчет_аналитики'!AA3776,0)</f>
        <v/>
      </c>
      <c r="AB3794">
        <f>IF('01_Вводные'!$B$234="Да",'19_Расчет_аналитики'!AB3776,0)</f>
        <v/>
      </c>
      <c r="AC3794">
        <f>IF('01_Вводные'!$B$234="Да",'19_Расчет_аналитики'!AC3776,0)</f>
        <v/>
      </c>
      <c r="AD3794">
        <f>IF('01_Вводные'!$B$234="Да",'19_Расчет_аналитики'!AD3776,0)</f>
        <v/>
      </c>
      <c r="AE3794">
        <f>IF('01_Вводные'!$B$234="Да",'19_Расчет_аналитики'!AE3776,0)</f>
        <v/>
      </c>
      <c r="AF3794">
        <f>IF('01_Вводные'!$B$234="Да",'19_Расчет_аналитики'!AF3776,0)</f>
        <v/>
      </c>
      <c r="AG3794">
        <f>IF('01_Вводные'!$B$234="Да",'19_Расчет_аналитики'!AG3776,0)</f>
        <v/>
      </c>
      <c r="AH3794">
        <f>IF('01_Вводные'!$B$234="Да",'19_Расчет_аналитики'!AH3776,0)</f>
        <v/>
      </c>
      <c r="AI3794">
        <f>IF('01_Вводные'!$B$234="Да",'19_Расчет_аналитики'!AI3776,0)</f>
        <v/>
      </c>
      <c r="AJ3794">
        <f>IF('01_Вводные'!$B$234="Да",'19_Расчет_аналитики'!AJ3776,0)</f>
        <v/>
      </c>
      <c r="AK3794">
        <f>IF('01_Вводные'!$B$234="Да",'19_Расчет_аналитики'!AK3776,0)</f>
        <v/>
      </c>
      <c r="AL3794">
        <f>IF('01_Вводные'!$B$234="Да",'19_Расчет_аналитики'!AL3776,0)</f>
        <v/>
      </c>
      <c r="AM3794">
        <f>IF('01_Вводные'!$B$234="Да",'19_Расчет_аналитики'!AM3776,0)</f>
        <v/>
      </c>
      <c r="AN3794">
        <f>IF('01_Вводные'!$B$234="Да",'19_Расчет_аналитики'!AN3776,0)</f>
        <v/>
      </c>
      <c r="AO3794">
        <f>IF('01_Вводные'!$B$234="Да",'19_Расчет_аналитики'!AO3776,0)</f>
        <v/>
      </c>
      <c r="AP3794">
        <f>IF('01_Вводные'!$B$234="Да",'19_Расчет_аналитики'!AP3776,0)</f>
        <v/>
      </c>
      <c r="AQ3794">
        <f>IF('01_Вводные'!$B$234="Да",'19_Расчет_аналитики'!AQ3776,0)</f>
        <v/>
      </c>
      <c r="AR3794">
        <f>IF('01_Вводные'!$B$234="Да",'19_Расчет_аналитики'!AR3776,0)</f>
        <v/>
      </c>
      <c r="AS3794">
        <f>IF('01_Вводные'!$B$234="Да",'19_Расчет_аналитики'!AS3776,0)</f>
        <v/>
      </c>
      <c r="AT3794">
        <f>IF('01_Вводные'!$B$234="Да",'19_Расчет_аналитики'!AT3776,0)</f>
        <v/>
      </c>
      <c r="AU3794">
        <f>IF('01_Вводные'!$B$234="Да",'19_Расчет_аналитики'!AU3776,0)</f>
        <v/>
      </c>
      <c r="AV3794">
        <f>IF('01_Вводные'!$B$234="Да",'19_Расчет_аналитики'!AV3776,0)</f>
        <v/>
      </c>
      <c r="AW3794">
        <f>IF('01_Вводные'!$B$234="Да",'19_Расчет_аналитики'!AW3776,0)</f>
        <v/>
      </c>
      <c r="AX3794">
        <f>IF('01_Вводные'!$B$234="Да",'19_Расчет_аналитики'!AX3776,0)</f>
        <v/>
      </c>
      <c r="AY3794">
        <f>IF('01_Вводные'!$B$234="Да",'19_Расчет_аналитики'!AY3776,0)</f>
        <v/>
      </c>
      <c r="AZ3794">
        <f>IF('01_Вводные'!$B$234="Да",'19_Расчет_аналитики'!AZ3776,0)</f>
        <v/>
      </c>
      <c r="BA3794">
        <f>IF('01_Вводные'!$B$234="Да",'19_Расчет_аналитики'!BA3776,0)</f>
        <v/>
      </c>
      <c r="BB3794">
        <f>IF('01_Вводные'!$B$234="Да",'19_Расчет_аналитики'!BB3776,0)</f>
        <v/>
      </c>
      <c r="BC3794">
        <f>IF('01_Вводные'!$B$234="Да",'19_Расчет_аналитики'!BC3776,0)</f>
        <v/>
      </c>
      <c r="BD3794">
        <f>IF('01_Вводные'!$B$234="Да",'19_Расчет_аналитики'!BD3776,0)</f>
        <v/>
      </c>
      <c r="BE3794">
        <f>IF('01_Вводные'!$B$234="Да",'19_Расчет_аналитики'!BE3776,0)</f>
        <v/>
      </c>
      <c r="BF3794">
        <f>IF('01_Вводные'!$B$234="Да",'19_Расчет_аналитики'!BF3776,0)</f>
        <v/>
      </c>
      <c r="BG3794">
        <f>IF('01_Вводные'!$B$234="Да",'19_Расчет_аналитики'!BG3776,0)</f>
        <v/>
      </c>
      <c r="BH3794">
        <f>IF('01_Вводные'!$B$234="Да",'19_Расчет_аналитики'!BH3776,0)</f>
        <v/>
      </c>
      <c r="BI3794">
        <f>IF('01_Вводные'!$B$234="Да",'19_Расчет_аналитики'!BI3776,0)</f>
        <v/>
      </c>
    </row>
    <row r="3795">
      <c r="B3795">
        <f>IF('01_Вводные'!$B$234="Да",'19_Расчет_аналитики'!B3662,0)</f>
        <v/>
      </c>
      <c r="C3795">
        <f>IF('01_Вводные'!$B$234="Да",'19_Расчет_аналитики'!C3662,0)</f>
        <v/>
      </c>
      <c r="D3795">
        <f>IF('01_Вводные'!$B$234="Да",'19_Расчет_аналитики'!D3662,0)</f>
        <v/>
      </c>
      <c r="E3795">
        <f>IF('01_Вводные'!$B$234="Да",'19_Расчет_аналитики'!E3662,0)</f>
        <v/>
      </c>
      <c r="F3795">
        <f>IF('01_Вводные'!$B$234="Да",'19_Расчет_аналитики'!F3662,0)</f>
        <v/>
      </c>
      <c r="G3795">
        <f>IF('01_Вводные'!$B$234="Да",'19_Расчет_аналитики'!G3662,0)</f>
        <v/>
      </c>
      <c r="H3795">
        <f>IF('01_Вводные'!$B$234="Да",'19_Расчет_аналитики'!H3662,0)</f>
        <v/>
      </c>
      <c r="I3795">
        <f>IF('01_Вводные'!$B$234="Да",'19_Расчет_аналитики'!I3662,0)</f>
        <v/>
      </c>
      <c r="J3795">
        <f>IF('01_Вводные'!$B$234="Да",'19_Расчет_аналитики'!J3662,0)</f>
        <v/>
      </c>
      <c r="K3795">
        <f>IF('01_Вводные'!$B$234="Да",'19_Расчет_аналитики'!K3662,0)</f>
        <v/>
      </c>
      <c r="L3795">
        <f>IF('01_Вводные'!$B$234="Да",'19_Расчет_аналитики'!L3662,0)</f>
        <v/>
      </c>
      <c r="M3795">
        <f>IF('01_Вводные'!$B$234="Да",'19_Расчет_аналитики'!M3662,0)</f>
        <v/>
      </c>
      <c r="N3795">
        <f>IF('01_Вводные'!$B$234="Да",'19_Расчет_аналитики'!N3662,0)</f>
        <v/>
      </c>
      <c r="O3795">
        <f>IF('01_Вводные'!$B$234="Да",'19_Расчет_аналитики'!O3662,0)</f>
        <v/>
      </c>
      <c r="P3795">
        <f>IF('01_Вводные'!$B$234="Да",'19_Расчет_аналитики'!P3662,0)</f>
        <v/>
      </c>
      <c r="Q3795">
        <f>IF('01_Вводные'!$B$234="Да",'19_Расчет_аналитики'!Q3662,0)</f>
        <v/>
      </c>
      <c r="R3795">
        <f>IF('01_Вводные'!$B$234="Да",'19_Расчет_аналитики'!R3662,0)</f>
        <v/>
      </c>
      <c r="S3795">
        <f>IF('01_Вводные'!$B$234="Да",'19_Расчет_аналитики'!S3662,0)</f>
        <v/>
      </c>
      <c r="T3795">
        <f>IF('01_Вводные'!$B$234="Да",'19_Расчет_аналитики'!T3662,0)</f>
        <v/>
      </c>
      <c r="U3795">
        <f>IF('01_Вводные'!$B$234="Да",'19_Расчет_аналитики'!U3662,0)</f>
        <v/>
      </c>
      <c r="V3795">
        <f>IF('01_Вводные'!$B$234="Да",'19_Расчет_аналитики'!V3662,0)</f>
        <v/>
      </c>
      <c r="W3795">
        <f>IF('01_Вводные'!$B$234="Да",'19_Расчет_аналитики'!W3662,0)</f>
        <v/>
      </c>
      <c r="X3795">
        <f>IF('01_Вводные'!$B$234="Да",'19_Расчет_аналитики'!X3662,0)</f>
        <v/>
      </c>
      <c r="Y3795">
        <f>IF('01_Вводные'!$B$234="Да",'19_Расчет_аналитики'!Y3662,0)</f>
        <v/>
      </c>
      <c r="Z3795">
        <f>IF('01_Вводные'!$B$234="Да",'19_Расчет_аналитики'!Z3662,0)</f>
        <v/>
      </c>
      <c r="AA3795">
        <f>IF('01_Вводные'!$B$234="Да",'19_Расчет_аналитики'!AA3662,0)</f>
        <v/>
      </c>
      <c r="AB3795">
        <f>IF('01_Вводные'!$B$234="Да",'19_Расчет_аналитики'!AB3662,0)</f>
        <v/>
      </c>
      <c r="AC3795">
        <f>IF('01_Вводные'!$B$234="Да",'19_Расчет_аналитики'!AC3662,0)</f>
        <v/>
      </c>
      <c r="AD3795">
        <f>IF('01_Вводные'!$B$234="Да",'19_Расчет_аналитики'!AD3662,0)</f>
        <v/>
      </c>
      <c r="AE3795">
        <f>IF('01_Вводные'!$B$234="Да",'19_Расчет_аналитики'!AE3662,0)</f>
        <v/>
      </c>
      <c r="AF3795">
        <f>IF('01_Вводные'!$B$234="Да",'19_Расчет_аналитики'!AF3662,0)</f>
        <v/>
      </c>
      <c r="AG3795">
        <f>IF('01_Вводные'!$B$234="Да",'19_Расчет_аналитики'!AG3662,0)</f>
        <v/>
      </c>
      <c r="AH3795">
        <f>IF('01_Вводные'!$B$234="Да",'19_Расчет_аналитики'!AH3662,0)</f>
        <v/>
      </c>
      <c r="AI3795">
        <f>IF('01_Вводные'!$B$234="Да",'19_Расчет_аналитики'!AI3662,0)</f>
        <v/>
      </c>
      <c r="AJ3795">
        <f>IF('01_Вводные'!$B$234="Да",'19_Расчет_аналитики'!AJ3662,0)</f>
        <v/>
      </c>
      <c r="AK3795">
        <f>IF('01_Вводные'!$B$234="Да",'19_Расчет_аналитики'!AK3662,0)</f>
        <v/>
      </c>
      <c r="AL3795">
        <f>IF('01_Вводные'!$B$234="Да",'19_Расчет_аналитики'!AL3662,0)</f>
        <v/>
      </c>
      <c r="AM3795">
        <f>IF('01_Вводные'!$B$234="Да",'19_Расчет_аналитики'!AM3662,0)</f>
        <v/>
      </c>
      <c r="AN3795">
        <f>IF('01_Вводные'!$B$234="Да",'19_Расчет_аналитики'!AN3662,0)</f>
        <v/>
      </c>
      <c r="AO3795">
        <f>IF('01_Вводные'!$B$234="Да",'19_Расчет_аналитики'!AO3662,0)</f>
        <v/>
      </c>
      <c r="AP3795">
        <f>IF('01_Вводные'!$B$234="Да",'19_Расчет_аналитики'!AP3662,0)</f>
        <v/>
      </c>
      <c r="AQ3795">
        <f>IF('01_Вводные'!$B$234="Да",'19_Расчет_аналитики'!AQ3662,0)</f>
        <v/>
      </c>
      <c r="AR3795">
        <f>IF('01_Вводные'!$B$234="Да",'19_Расчет_аналитики'!AR3662,0)</f>
        <v/>
      </c>
      <c r="AS3795">
        <f>IF('01_Вводные'!$B$234="Да",'19_Расчет_аналитики'!AS3662,0)</f>
        <v/>
      </c>
      <c r="AT3795">
        <f>IF('01_Вводные'!$B$234="Да",'19_Расчет_аналитики'!AT3662,0)</f>
        <v/>
      </c>
      <c r="AU3795">
        <f>IF('01_Вводные'!$B$234="Да",'19_Расчет_аналитики'!AU3662,0)</f>
        <v/>
      </c>
      <c r="AV3795">
        <f>IF('01_Вводные'!$B$234="Да",'19_Расчет_аналитики'!AV3662,0)</f>
        <v/>
      </c>
      <c r="AW3795">
        <f>IF('01_Вводные'!$B$234="Да",'19_Расчет_аналитики'!AW3662,0)</f>
        <v/>
      </c>
      <c r="AX3795">
        <f>IF('01_Вводные'!$B$234="Да",'19_Расчет_аналитики'!AX3662,0)</f>
        <v/>
      </c>
      <c r="AY3795">
        <f>IF('01_Вводные'!$B$234="Да",'19_Расчет_аналитики'!AY3662,0)</f>
        <v/>
      </c>
      <c r="AZ3795">
        <f>IF('01_Вводные'!$B$234="Да",'19_Расчет_аналитики'!AZ3662,0)</f>
        <v/>
      </c>
      <c r="BA3795">
        <f>IF('01_Вводные'!$B$234="Да",'19_Расчет_аналитики'!BA3662,0)</f>
        <v/>
      </c>
      <c r="BB3795">
        <f>IF('01_Вводные'!$B$234="Да",'19_Расчет_аналитики'!BB3662,0)</f>
        <v/>
      </c>
      <c r="BC3795">
        <f>IF('01_Вводные'!$B$234="Да",'19_Расчет_аналитики'!BC3662,0)</f>
        <v/>
      </c>
      <c r="BD3795">
        <f>IF('01_Вводные'!$B$234="Да",'19_Расчет_аналитики'!BD3662,0)</f>
        <v/>
      </c>
      <c r="BE3795">
        <f>IF('01_Вводные'!$B$234="Да",'19_Расчет_аналитики'!BE3662,0)</f>
        <v/>
      </c>
      <c r="BF3795">
        <f>IF('01_Вводные'!$B$234="Да",'19_Расчет_аналитики'!BF3662,0)</f>
        <v/>
      </c>
      <c r="BG3795">
        <f>IF('01_Вводные'!$B$234="Да",'19_Расчет_аналитики'!BG3662,0)</f>
        <v/>
      </c>
      <c r="BH3795">
        <f>IF('01_Вводные'!$B$234="Да",'19_Расчет_аналитики'!BH3662,0)</f>
        <v/>
      </c>
      <c r="BI3795">
        <f>IF('01_Вводные'!$B$234="Да",'19_Расчет_аналитики'!BI3662,0)</f>
        <v/>
      </c>
    </row>
    <row r="3796"/>
    <row r="3797">
      <c r="B3797">
        <f>IF('01_Вводные'!$B$234="Да",SUM('19_Расчет_аналитики'!B3787:B3794)+'02_Модель'!B66,0)</f>
        <v/>
      </c>
      <c r="C3797">
        <f>IF('01_Вводные'!$B$234="Да",SUM('19_Расчет_аналитики'!C3787:C3794)+'02_Модель'!C66,0)</f>
        <v/>
      </c>
      <c r="D3797">
        <f>IF('01_Вводные'!$B$234="Да",SUM('19_Расчет_аналитики'!D3787:D3794)+'02_Модель'!D66,0)</f>
        <v/>
      </c>
      <c r="E3797">
        <f>IF('01_Вводные'!$B$234="Да",SUM('19_Расчет_аналитики'!E3787:E3794)+'02_Модель'!E66,0)</f>
        <v/>
      </c>
      <c r="F3797">
        <f>IF('01_Вводные'!$B$234="Да",SUM('19_Расчет_аналитики'!F3787:F3794)+'02_Модель'!F66,0)</f>
        <v/>
      </c>
      <c r="G3797">
        <f>IF('01_Вводные'!$B$234="Да",SUM('19_Расчет_аналитики'!G3787:G3794)+'02_Модель'!G66,0)</f>
        <v/>
      </c>
      <c r="H3797">
        <f>IF('01_Вводные'!$B$234="Да",SUM('19_Расчет_аналитики'!H3787:H3794)+'02_Модель'!H66,0)</f>
        <v/>
      </c>
      <c r="I3797">
        <f>IF('01_Вводные'!$B$234="Да",SUM('19_Расчет_аналитики'!I3787:I3794)+'02_Модель'!I66,0)</f>
        <v/>
      </c>
      <c r="J3797">
        <f>IF('01_Вводные'!$B$234="Да",SUM('19_Расчет_аналитики'!J3787:J3794)+'02_Модель'!J66,0)</f>
        <v/>
      </c>
      <c r="K3797">
        <f>IF('01_Вводные'!$B$234="Да",SUM('19_Расчет_аналитики'!K3787:K3794)+'02_Модель'!K66,0)</f>
        <v/>
      </c>
      <c r="L3797">
        <f>IF('01_Вводные'!$B$234="Да",SUM('19_Расчет_аналитики'!L3787:L3794)+'02_Модель'!L66,0)</f>
        <v/>
      </c>
      <c r="M3797">
        <f>IF('01_Вводные'!$B$234="Да",SUM('19_Расчет_аналитики'!M3787:M3794)+'02_Модель'!M66,0)</f>
        <v/>
      </c>
      <c r="N3797">
        <f>IF('01_Вводные'!$B$234="Да",SUM('19_Расчет_аналитики'!N3787:N3794)+'02_Модель'!N66,0)</f>
        <v/>
      </c>
      <c r="O3797">
        <f>IF('01_Вводные'!$B$234="Да",SUM('19_Расчет_аналитики'!O3787:O3794)+'02_Модель'!O66,0)</f>
        <v/>
      </c>
      <c r="P3797">
        <f>IF('01_Вводные'!$B$234="Да",SUM('19_Расчет_аналитики'!P3787:P3794)+'02_Модель'!P66,0)</f>
        <v/>
      </c>
      <c r="Q3797">
        <f>IF('01_Вводные'!$B$234="Да",SUM('19_Расчет_аналитики'!Q3787:Q3794)+'02_Модель'!Q66,0)</f>
        <v/>
      </c>
      <c r="R3797">
        <f>IF('01_Вводные'!$B$234="Да",SUM('19_Расчет_аналитики'!R3787:R3794)+'02_Модель'!R66,0)</f>
        <v/>
      </c>
      <c r="S3797">
        <f>IF('01_Вводные'!$B$234="Да",SUM('19_Расчет_аналитики'!S3787:S3794)+'02_Модель'!S66,0)</f>
        <v/>
      </c>
      <c r="T3797">
        <f>IF('01_Вводные'!$B$234="Да",SUM('19_Расчет_аналитики'!T3787:T3794)+'02_Модель'!T66,0)</f>
        <v/>
      </c>
      <c r="U3797">
        <f>IF('01_Вводные'!$B$234="Да",SUM('19_Расчет_аналитики'!U3787:U3794)+'02_Модель'!U66,0)</f>
        <v/>
      </c>
      <c r="V3797">
        <f>IF('01_Вводные'!$B$234="Да",SUM('19_Расчет_аналитики'!V3787:V3794)+'02_Модель'!V66,0)</f>
        <v/>
      </c>
      <c r="W3797">
        <f>IF('01_Вводные'!$B$234="Да",SUM('19_Расчет_аналитики'!W3787:W3794)+'02_Модель'!W66,0)</f>
        <v/>
      </c>
      <c r="X3797">
        <f>IF('01_Вводные'!$B$234="Да",SUM('19_Расчет_аналитики'!X3787:X3794)+'02_Модель'!X66,0)</f>
        <v/>
      </c>
      <c r="Y3797">
        <f>IF('01_Вводные'!$B$234="Да",SUM('19_Расчет_аналитики'!Y3787:Y3794)+'02_Модель'!Y66,0)</f>
        <v/>
      </c>
      <c r="Z3797">
        <f>IF('01_Вводные'!$B$234="Да",SUM('19_Расчет_аналитики'!Z3787:Z3794)+'02_Модель'!Z66,0)</f>
        <v/>
      </c>
      <c r="AA3797">
        <f>IF('01_Вводные'!$B$234="Да",SUM('19_Расчет_аналитики'!AA3787:AA3794)+'02_Модель'!AA66,0)</f>
        <v/>
      </c>
      <c r="AB3797">
        <f>IF('01_Вводные'!$B$234="Да",SUM('19_Расчет_аналитики'!AB3787:AB3794)+'02_Модель'!AB66,0)</f>
        <v/>
      </c>
      <c r="AC3797">
        <f>IF('01_Вводные'!$B$234="Да",SUM('19_Расчет_аналитики'!AC3787:AC3794)+'02_Модель'!AC66,0)</f>
        <v/>
      </c>
      <c r="AD3797">
        <f>IF('01_Вводные'!$B$234="Да",SUM('19_Расчет_аналитики'!AD3787:AD3794)+'02_Модель'!AD66,0)</f>
        <v/>
      </c>
      <c r="AE3797">
        <f>IF('01_Вводные'!$B$234="Да",SUM('19_Расчет_аналитики'!AE3787:AE3794)+'02_Модель'!AE66,0)</f>
        <v/>
      </c>
      <c r="AF3797">
        <f>IF('01_Вводные'!$B$234="Да",SUM('19_Расчет_аналитики'!AF3787:AF3794)+'02_Модель'!AF66,0)</f>
        <v/>
      </c>
      <c r="AG3797">
        <f>IF('01_Вводные'!$B$234="Да",SUM('19_Расчет_аналитики'!AG3787:AG3794)+'02_Модель'!AG66,0)</f>
        <v/>
      </c>
      <c r="AH3797">
        <f>IF('01_Вводные'!$B$234="Да",SUM('19_Расчет_аналитики'!AH3787:AH3794)+'02_Модель'!AH66,0)</f>
        <v/>
      </c>
      <c r="AI3797">
        <f>IF('01_Вводные'!$B$234="Да",SUM('19_Расчет_аналитики'!AI3787:AI3794)+'02_Модель'!AI66,0)</f>
        <v/>
      </c>
      <c r="AJ3797">
        <f>IF('01_Вводные'!$B$234="Да",SUM('19_Расчет_аналитики'!AJ3787:AJ3794)+'02_Модель'!AJ66,0)</f>
        <v/>
      </c>
      <c r="AK3797">
        <f>IF('01_Вводные'!$B$234="Да",SUM('19_Расчет_аналитики'!AK3787:AK3794)+'02_Модель'!AK66,0)</f>
        <v/>
      </c>
      <c r="AL3797">
        <f>IF('01_Вводные'!$B$234="Да",SUM('19_Расчет_аналитики'!AL3787:AL3794)+'02_Модель'!AL66,0)</f>
        <v/>
      </c>
      <c r="AM3797">
        <f>IF('01_Вводные'!$B$234="Да",SUM('19_Расчет_аналитики'!AM3787:AM3794)+'02_Модель'!AM66,0)</f>
        <v/>
      </c>
      <c r="AN3797">
        <f>IF('01_Вводные'!$B$234="Да",SUM('19_Расчет_аналитики'!AN3787:AN3794)+'02_Модель'!AN66,0)</f>
        <v/>
      </c>
      <c r="AO3797">
        <f>IF('01_Вводные'!$B$234="Да",SUM('19_Расчет_аналитики'!AO3787:AO3794)+'02_Модель'!AO66,0)</f>
        <v/>
      </c>
      <c r="AP3797">
        <f>IF('01_Вводные'!$B$234="Да",SUM('19_Расчет_аналитики'!AP3787:AP3794)+'02_Модель'!AP66,0)</f>
        <v/>
      </c>
      <c r="AQ3797">
        <f>IF('01_Вводные'!$B$234="Да",SUM('19_Расчет_аналитики'!AQ3787:AQ3794)+'02_Модель'!AQ66,0)</f>
        <v/>
      </c>
      <c r="AR3797">
        <f>IF('01_Вводные'!$B$234="Да",SUM('19_Расчет_аналитики'!AR3787:AR3794)+'02_Модель'!AR66,0)</f>
        <v/>
      </c>
      <c r="AS3797">
        <f>IF('01_Вводные'!$B$234="Да",SUM('19_Расчет_аналитики'!AS3787:AS3794)+'02_Модель'!AS66,0)</f>
        <v/>
      </c>
      <c r="AT3797">
        <f>IF('01_Вводные'!$B$234="Да",SUM('19_Расчет_аналитики'!AT3787:AT3794)+'02_Модель'!AT66,0)</f>
        <v/>
      </c>
      <c r="AU3797">
        <f>IF('01_Вводные'!$B$234="Да",SUM('19_Расчет_аналитики'!AU3787:AU3794)+'02_Модель'!AU66,0)</f>
        <v/>
      </c>
      <c r="AV3797">
        <f>IF('01_Вводные'!$B$234="Да",SUM('19_Расчет_аналитики'!AV3787:AV3794)+'02_Модель'!AV66,0)</f>
        <v/>
      </c>
      <c r="AW3797">
        <f>IF('01_Вводные'!$B$234="Да",SUM('19_Расчет_аналитики'!AW3787:AW3794)+'02_Модель'!AW66,0)</f>
        <v/>
      </c>
      <c r="AX3797">
        <f>IF('01_Вводные'!$B$234="Да",SUM('19_Расчет_аналитики'!AX3787:AX3794)+'02_Модель'!AX66,0)</f>
        <v/>
      </c>
      <c r="AY3797">
        <f>IF('01_Вводные'!$B$234="Да",SUM('19_Расчет_аналитики'!AY3787:AY3794)+'02_Модель'!AY66,0)</f>
        <v/>
      </c>
      <c r="AZ3797">
        <f>IF('01_Вводные'!$B$234="Да",SUM('19_Расчет_аналитики'!AZ3787:AZ3794)+'02_Модель'!AZ66,0)</f>
        <v/>
      </c>
      <c r="BA3797">
        <f>IF('01_Вводные'!$B$234="Да",SUM('19_Расчет_аналитики'!BA3787:BA3794)+'02_Модель'!BA66,0)</f>
        <v/>
      </c>
      <c r="BB3797">
        <f>IF('01_Вводные'!$B$234="Да",SUM('19_Расчет_аналитики'!BB3787:BB3794)+'02_Модель'!BB66,0)</f>
        <v/>
      </c>
      <c r="BC3797">
        <f>IF('01_Вводные'!$B$234="Да",SUM('19_Расчет_аналитики'!BC3787:BC3794)+'02_Модель'!BC66,0)</f>
        <v/>
      </c>
      <c r="BD3797">
        <f>IF('01_Вводные'!$B$234="Да",SUM('19_Расчет_аналитики'!BD3787:BD3794)+'02_Модель'!BD66,0)</f>
        <v/>
      </c>
      <c r="BE3797">
        <f>IF('01_Вводные'!$B$234="Да",SUM('19_Расчет_аналитики'!BE3787:BE3794)+'02_Модель'!BE66,0)</f>
        <v/>
      </c>
      <c r="BF3797">
        <f>IF('01_Вводные'!$B$234="Да",SUM('19_Расчет_аналитики'!BF3787:BF3794)+'02_Модель'!BF66,0)</f>
        <v/>
      </c>
      <c r="BG3797">
        <f>IF('01_Вводные'!$B$234="Да",SUM('19_Расчет_аналитики'!BG3787:BG3794)+'02_Модель'!BG66,0)</f>
        <v/>
      </c>
      <c r="BH3797">
        <f>IF('01_Вводные'!$B$234="Да",SUM('19_Расчет_аналитики'!BH3787:BH3794)+'02_Модель'!BH66,0)</f>
        <v/>
      </c>
      <c r="BI3797">
        <f>IF('01_Вводные'!$B$234="Да",SUM('19_Расчет_аналитики'!BI3787:BI3794)+'02_Модель'!BI66,0)</f>
        <v/>
      </c>
    </row>
    <row r="3798">
      <c r="B3798">
        <f>IF('01_Вводные'!$B$234="Да",'19_Расчет_аналитики'!B3786-'19_Расчет_аналитики'!B3797,0)</f>
        <v/>
      </c>
      <c r="C3798">
        <f>IF('01_Вводные'!$B$234="Да",'19_Расчет_аналитики'!C3786-'19_Расчет_аналитики'!C3797,0)</f>
        <v/>
      </c>
      <c r="D3798">
        <f>IF('01_Вводные'!$B$234="Да",'19_Расчет_аналитики'!D3786-'19_Расчет_аналитики'!D3797,0)</f>
        <v/>
      </c>
      <c r="E3798">
        <f>IF('01_Вводные'!$B$234="Да",'19_Расчет_аналитики'!E3786-'19_Расчет_аналитики'!E3797,0)</f>
        <v/>
      </c>
      <c r="F3798">
        <f>IF('01_Вводные'!$B$234="Да",'19_Расчет_аналитики'!F3786-'19_Расчет_аналитики'!F3797,0)</f>
        <v/>
      </c>
      <c r="G3798">
        <f>IF('01_Вводные'!$B$234="Да",'19_Расчет_аналитики'!G3786-'19_Расчет_аналитики'!G3797,0)</f>
        <v/>
      </c>
      <c r="H3798">
        <f>IF('01_Вводные'!$B$234="Да",'19_Расчет_аналитики'!H3786-'19_Расчет_аналитики'!H3797,0)</f>
        <v/>
      </c>
      <c r="I3798">
        <f>IF('01_Вводные'!$B$234="Да",'19_Расчет_аналитики'!I3786-'19_Расчет_аналитики'!I3797,0)</f>
        <v/>
      </c>
      <c r="J3798">
        <f>IF('01_Вводные'!$B$234="Да",'19_Расчет_аналитики'!J3786-'19_Расчет_аналитики'!J3797,0)</f>
        <v/>
      </c>
      <c r="K3798">
        <f>IF('01_Вводные'!$B$234="Да",'19_Расчет_аналитики'!K3786-'19_Расчет_аналитики'!K3797,0)</f>
        <v/>
      </c>
      <c r="L3798">
        <f>IF('01_Вводные'!$B$234="Да",'19_Расчет_аналитики'!L3786-'19_Расчет_аналитики'!L3797,0)</f>
        <v/>
      </c>
      <c r="M3798">
        <f>IF('01_Вводные'!$B$234="Да",'19_Расчет_аналитики'!M3786-'19_Расчет_аналитики'!M3797,0)</f>
        <v/>
      </c>
      <c r="N3798">
        <f>IF('01_Вводные'!$B$234="Да",'19_Расчет_аналитики'!N3786-'19_Расчет_аналитики'!N3797,0)</f>
        <v/>
      </c>
      <c r="O3798">
        <f>IF('01_Вводные'!$B$234="Да",'19_Расчет_аналитики'!O3786-'19_Расчет_аналитики'!O3797,0)</f>
        <v/>
      </c>
      <c r="P3798">
        <f>IF('01_Вводные'!$B$234="Да",'19_Расчет_аналитики'!P3786-'19_Расчет_аналитики'!P3797,0)</f>
        <v/>
      </c>
      <c r="Q3798">
        <f>IF('01_Вводные'!$B$234="Да",'19_Расчет_аналитики'!Q3786-'19_Расчет_аналитики'!Q3797,0)</f>
        <v/>
      </c>
      <c r="R3798">
        <f>IF('01_Вводные'!$B$234="Да",'19_Расчет_аналитики'!R3786-'19_Расчет_аналитики'!R3797,0)</f>
        <v/>
      </c>
      <c r="S3798">
        <f>IF('01_Вводные'!$B$234="Да",'19_Расчет_аналитики'!S3786-'19_Расчет_аналитики'!S3797,0)</f>
        <v/>
      </c>
      <c r="T3798">
        <f>IF('01_Вводные'!$B$234="Да",'19_Расчет_аналитики'!T3786-'19_Расчет_аналитики'!T3797,0)</f>
        <v/>
      </c>
      <c r="U3798">
        <f>IF('01_Вводные'!$B$234="Да",'19_Расчет_аналитики'!U3786-'19_Расчет_аналитики'!U3797,0)</f>
        <v/>
      </c>
      <c r="V3798">
        <f>IF('01_Вводные'!$B$234="Да",'19_Расчет_аналитики'!V3786-'19_Расчет_аналитики'!V3797,0)</f>
        <v/>
      </c>
      <c r="W3798">
        <f>IF('01_Вводные'!$B$234="Да",'19_Расчет_аналитики'!W3786-'19_Расчет_аналитики'!W3797,0)</f>
        <v/>
      </c>
      <c r="X3798">
        <f>IF('01_Вводные'!$B$234="Да",'19_Расчет_аналитики'!X3786-'19_Расчет_аналитики'!X3797,0)</f>
        <v/>
      </c>
      <c r="Y3798">
        <f>IF('01_Вводные'!$B$234="Да",'19_Расчет_аналитики'!Y3786-'19_Расчет_аналитики'!Y3797,0)</f>
        <v/>
      </c>
      <c r="Z3798">
        <f>IF('01_Вводные'!$B$234="Да",'19_Расчет_аналитики'!Z3786-'19_Расчет_аналитики'!Z3797,0)</f>
        <v/>
      </c>
      <c r="AA3798">
        <f>IF('01_Вводные'!$B$234="Да",'19_Расчет_аналитики'!AA3786-'19_Расчет_аналитики'!AA3797,0)</f>
        <v/>
      </c>
      <c r="AB3798">
        <f>IF('01_Вводные'!$B$234="Да",'19_Расчет_аналитики'!AB3786-'19_Расчет_аналитики'!AB3797,0)</f>
        <v/>
      </c>
      <c r="AC3798">
        <f>IF('01_Вводные'!$B$234="Да",'19_Расчет_аналитики'!AC3786-'19_Расчет_аналитики'!AC3797,0)</f>
        <v/>
      </c>
      <c r="AD3798">
        <f>IF('01_Вводные'!$B$234="Да",'19_Расчет_аналитики'!AD3786-'19_Расчет_аналитики'!AD3797,0)</f>
        <v/>
      </c>
      <c r="AE3798">
        <f>IF('01_Вводные'!$B$234="Да",'19_Расчет_аналитики'!AE3786-'19_Расчет_аналитики'!AE3797,0)</f>
        <v/>
      </c>
      <c r="AF3798">
        <f>IF('01_Вводные'!$B$234="Да",'19_Расчет_аналитики'!AF3786-'19_Расчет_аналитики'!AF3797,0)</f>
        <v/>
      </c>
      <c r="AG3798">
        <f>IF('01_Вводные'!$B$234="Да",'19_Расчет_аналитики'!AG3786-'19_Расчет_аналитики'!AG3797,0)</f>
        <v/>
      </c>
      <c r="AH3798">
        <f>IF('01_Вводные'!$B$234="Да",'19_Расчет_аналитики'!AH3786-'19_Расчет_аналитики'!AH3797,0)</f>
        <v/>
      </c>
      <c r="AI3798">
        <f>IF('01_Вводные'!$B$234="Да",'19_Расчет_аналитики'!AI3786-'19_Расчет_аналитики'!AI3797,0)</f>
        <v/>
      </c>
      <c r="AJ3798">
        <f>IF('01_Вводные'!$B$234="Да",'19_Расчет_аналитики'!AJ3786-'19_Расчет_аналитики'!AJ3797,0)</f>
        <v/>
      </c>
      <c r="AK3798">
        <f>IF('01_Вводные'!$B$234="Да",'19_Расчет_аналитики'!AK3786-'19_Расчет_аналитики'!AK3797,0)</f>
        <v/>
      </c>
      <c r="AL3798">
        <f>IF('01_Вводные'!$B$234="Да",'19_Расчет_аналитики'!AL3786-'19_Расчет_аналитики'!AL3797,0)</f>
        <v/>
      </c>
      <c r="AM3798">
        <f>IF('01_Вводные'!$B$234="Да",'19_Расчет_аналитики'!AM3786-'19_Расчет_аналитики'!AM3797,0)</f>
        <v/>
      </c>
      <c r="AN3798">
        <f>IF('01_Вводные'!$B$234="Да",'19_Расчет_аналитики'!AN3786-'19_Расчет_аналитики'!AN3797,0)</f>
        <v/>
      </c>
      <c r="AO3798">
        <f>IF('01_Вводные'!$B$234="Да",'19_Расчет_аналитики'!AO3786-'19_Расчет_аналитики'!AO3797,0)</f>
        <v/>
      </c>
      <c r="AP3798">
        <f>IF('01_Вводные'!$B$234="Да",'19_Расчет_аналитики'!AP3786-'19_Расчет_аналитики'!AP3797,0)</f>
        <v/>
      </c>
      <c r="AQ3798">
        <f>IF('01_Вводные'!$B$234="Да",'19_Расчет_аналитики'!AQ3786-'19_Расчет_аналитики'!AQ3797,0)</f>
        <v/>
      </c>
      <c r="AR3798">
        <f>IF('01_Вводные'!$B$234="Да",'19_Расчет_аналитики'!AR3786-'19_Расчет_аналитики'!AR3797,0)</f>
        <v/>
      </c>
      <c r="AS3798">
        <f>IF('01_Вводные'!$B$234="Да",'19_Расчет_аналитики'!AS3786-'19_Расчет_аналитики'!AS3797,0)</f>
        <v/>
      </c>
      <c r="AT3798">
        <f>IF('01_Вводные'!$B$234="Да",'19_Расчет_аналитики'!AT3786-'19_Расчет_аналитики'!AT3797,0)</f>
        <v/>
      </c>
      <c r="AU3798">
        <f>IF('01_Вводные'!$B$234="Да",'19_Расчет_аналитики'!AU3786-'19_Расчет_аналитики'!AU3797,0)</f>
        <v/>
      </c>
      <c r="AV3798">
        <f>IF('01_Вводные'!$B$234="Да",'19_Расчет_аналитики'!AV3786-'19_Расчет_аналитики'!AV3797,0)</f>
        <v/>
      </c>
      <c r="AW3798">
        <f>IF('01_Вводные'!$B$234="Да",'19_Расчет_аналитики'!AW3786-'19_Расчет_аналитики'!AW3797,0)</f>
        <v/>
      </c>
      <c r="AX3798">
        <f>IF('01_Вводные'!$B$234="Да",'19_Расчет_аналитики'!AX3786-'19_Расчет_аналитики'!AX3797,0)</f>
        <v/>
      </c>
      <c r="AY3798">
        <f>IF('01_Вводные'!$B$234="Да",'19_Расчет_аналитики'!AY3786-'19_Расчет_аналитики'!AY3797,0)</f>
        <v/>
      </c>
      <c r="AZ3798">
        <f>IF('01_Вводные'!$B$234="Да",'19_Расчет_аналитики'!AZ3786-'19_Расчет_аналитики'!AZ3797,0)</f>
        <v/>
      </c>
      <c r="BA3798">
        <f>IF('01_Вводные'!$B$234="Да",'19_Расчет_аналитики'!BA3786-'19_Расчет_аналитики'!BA3797,0)</f>
        <v/>
      </c>
      <c r="BB3798">
        <f>IF('01_Вводные'!$B$234="Да",'19_Расчет_аналитики'!BB3786-'19_Расчет_аналитики'!BB3797,0)</f>
        <v/>
      </c>
      <c r="BC3798">
        <f>IF('01_Вводные'!$B$234="Да",'19_Расчет_аналитики'!BC3786-'19_Расчет_аналитики'!BC3797,0)</f>
        <v/>
      </c>
      <c r="BD3798">
        <f>IF('01_Вводные'!$B$234="Да",'19_Расчет_аналитики'!BD3786-'19_Расчет_аналитики'!BD3797,0)</f>
        <v/>
      </c>
      <c r="BE3798">
        <f>IF('01_Вводные'!$B$234="Да",'19_Расчет_аналитики'!BE3786-'19_Расчет_аналитики'!BE3797,0)</f>
        <v/>
      </c>
      <c r="BF3798">
        <f>IF('01_Вводные'!$B$234="Да",'19_Расчет_аналитики'!BF3786-'19_Расчет_аналитики'!BF3797,0)</f>
        <v/>
      </c>
      <c r="BG3798">
        <f>IF('01_Вводные'!$B$234="Да",'19_Расчет_аналитики'!BG3786-'19_Расчет_аналитики'!BG3797,0)</f>
        <v/>
      </c>
      <c r="BH3798">
        <f>IF('01_Вводные'!$B$234="Да",'19_Расчет_аналитики'!BH3786-'19_Расчет_аналитики'!BH3797,0)</f>
        <v/>
      </c>
      <c r="BI3798">
        <f>IF('01_Вводные'!$B$234="Да",'19_Расчет_аналитики'!BI3786-'19_Расчет_аналитики'!BI3797,0)</f>
        <v/>
      </c>
    </row>
    <row r="3799">
      <c r="B3799">
        <f>IF('01_Вводные'!$B$234="Да",'02_Модель'!B51+'19_Расчет_аналитики'!B3798,0)</f>
        <v/>
      </c>
      <c r="C3799">
        <f>IF('01_Вводные'!$B$234="Да",'19_Расчет_аналитики'!C3781+'19_Расчет_аналитики'!C3798,0)</f>
        <v/>
      </c>
      <c r="D3799">
        <f>IF('01_Вводные'!$B$234="Да",'19_Расчет_аналитики'!D3781+'19_Расчет_аналитики'!D3798,0)</f>
        <v/>
      </c>
      <c r="E3799">
        <f>IF('01_Вводные'!$B$234="Да",'19_Расчет_аналитики'!E3781+'19_Расчет_аналитики'!E3798,0)</f>
        <v/>
      </c>
      <c r="F3799">
        <f>IF('01_Вводные'!$B$234="Да",'19_Расчет_аналитики'!F3781+'19_Расчет_аналитики'!F3798,0)</f>
        <v/>
      </c>
      <c r="G3799">
        <f>IF('01_Вводные'!$B$234="Да",'19_Расчет_аналитики'!G3781+'19_Расчет_аналитики'!G3798,0)</f>
        <v/>
      </c>
      <c r="H3799">
        <f>IF('01_Вводные'!$B$234="Да",'19_Расчет_аналитики'!H3781+'19_Расчет_аналитики'!H3798,0)</f>
        <v/>
      </c>
      <c r="I3799">
        <f>IF('01_Вводные'!$B$234="Да",'19_Расчет_аналитики'!I3781+'19_Расчет_аналитики'!I3798,0)</f>
        <v/>
      </c>
      <c r="J3799">
        <f>IF('01_Вводные'!$B$234="Да",'19_Расчет_аналитики'!J3781+'19_Расчет_аналитики'!J3798,0)</f>
        <v/>
      </c>
      <c r="K3799">
        <f>IF('01_Вводные'!$B$234="Да",'19_Расчет_аналитики'!K3781+'19_Расчет_аналитики'!K3798,0)</f>
        <v/>
      </c>
      <c r="L3799">
        <f>IF('01_Вводные'!$B$234="Да",'19_Расчет_аналитики'!L3781+'19_Расчет_аналитики'!L3798,0)</f>
        <v/>
      </c>
      <c r="M3799">
        <f>IF('01_Вводные'!$B$234="Да",'19_Расчет_аналитики'!M3781+'19_Расчет_аналитики'!M3798,0)</f>
        <v/>
      </c>
      <c r="N3799">
        <f>IF('01_Вводные'!$B$234="Да",'19_Расчет_аналитики'!N3781+'19_Расчет_аналитики'!N3798,0)</f>
        <v/>
      </c>
      <c r="O3799">
        <f>IF('01_Вводные'!$B$234="Да",'19_Расчет_аналитики'!O3781+'19_Расчет_аналитики'!O3798,0)</f>
        <v/>
      </c>
      <c r="P3799">
        <f>IF('01_Вводные'!$B$234="Да",'19_Расчет_аналитики'!P3781+'19_Расчет_аналитики'!P3798,0)</f>
        <v/>
      </c>
      <c r="Q3799">
        <f>IF('01_Вводные'!$B$234="Да",'19_Расчет_аналитики'!Q3781+'19_Расчет_аналитики'!Q3798,0)</f>
        <v/>
      </c>
      <c r="R3799">
        <f>IF('01_Вводные'!$B$234="Да",'19_Расчет_аналитики'!R3781+'19_Расчет_аналитики'!R3798,0)</f>
        <v/>
      </c>
      <c r="S3799">
        <f>IF('01_Вводные'!$B$234="Да",'19_Расчет_аналитики'!S3781+'19_Расчет_аналитики'!S3798,0)</f>
        <v/>
      </c>
      <c r="T3799">
        <f>IF('01_Вводные'!$B$234="Да",'19_Расчет_аналитики'!T3781+'19_Расчет_аналитики'!T3798,0)</f>
        <v/>
      </c>
      <c r="U3799">
        <f>IF('01_Вводные'!$B$234="Да",'19_Расчет_аналитики'!U3781+'19_Расчет_аналитики'!U3798,0)</f>
        <v/>
      </c>
      <c r="V3799">
        <f>IF('01_Вводные'!$B$234="Да",'19_Расчет_аналитики'!V3781+'19_Расчет_аналитики'!V3798,0)</f>
        <v/>
      </c>
      <c r="W3799">
        <f>IF('01_Вводные'!$B$234="Да",'19_Расчет_аналитики'!W3781+'19_Расчет_аналитики'!W3798,0)</f>
        <v/>
      </c>
      <c r="X3799">
        <f>IF('01_Вводные'!$B$234="Да",'19_Расчет_аналитики'!X3781+'19_Расчет_аналитики'!X3798,0)</f>
        <v/>
      </c>
      <c r="Y3799">
        <f>IF('01_Вводные'!$B$234="Да",'19_Расчет_аналитики'!Y3781+'19_Расчет_аналитики'!Y3798,0)</f>
        <v/>
      </c>
      <c r="Z3799">
        <f>IF('01_Вводные'!$B$234="Да",'19_Расчет_аналитики'!Z3781+'19_Расчет_аналитики'!Z3798,0)</f>
        <v/>
      </c>
      <c r="AA3799">
        <f>IF('01_Вводные'!$B$234="Да",'19_Расчет_аналитики'!AA3781+'19_Расчет_аналитики'!AA3798,0)</f>
        <v/>
      </c>
      <c r="AB3799">
        <f>IF('01_Вводные'!$B$234="Да",'19_Расчет_аналитики'!AB3781+'19_Расчет_аналитики'!AB3798,0)</f>
        <v/>
      </c>
      <c r="AC3799">
        <f>IF('01_Вводные'!$B$234="Да",'19_Расчет_аналитики'!AC3781+'19_Расчет_аналитики'!AC3798,0)</f>
        <v/>
      </c>
      <c r="AD3799">
        <f>IF('01_Вводные'!$B$234="Да",'19_Расчет_аналитики'!AD3781+'19_Расчет_аналитики'!AD3798,0)</f>
        <v/>
      </c>
      <c r="AE3799">
        <f>IF('01_Вводные'!$B$234="Да",'19_Расчет_аналитики'!AE3781+'19_Расчет_аналитики'!AE3798,0)</f>
        <v/>
      </c>
      <c r="AF3799">
        <f>IF('01_Вводные'!$B$234="Да",'19_Расчет_аналитики'!AF3781+'19_Расчет_аналитики'!AF3798,0)</f>
        <v/>
      </c>
      <c r="AG3799">
        <f>IF('01_Вводные'!$B$234="Да",'19_Расчет_аналитики'!AG3781+'19_Расчет_аналитики'!AG3798,0)</f>
        <v/>
      </c>
      <c r="AH3799">
        <f>IF('01_Вводные'!$B$234="Да",'19_Расчет_аналитики'!AH3781+'19_Расчет_аналитики'!AH3798,0)</f>
        <v/>
      </c>
      <c r="AI3799">
        <f>IF('01_Вводные'!$B$234="Да",'19_Расчет_аналитики'!AI3781+'19_Расчет_аналитики'!AI3798,0)</f>
        <v/>
      </c>
      <c r="AJ3799">
        <f>IF('01_Вводные'!$B$234="Да",'19_Расчет_аналитики'!AJ3781+'19_Расчет_аналитики'!AJ3798,0)</f>
        <v/>
      </c>
      <c r="AK3799">
        <f>IF('01_Вводные'!$B$234="Да",'19_Расчет_аналитики'!AK3781+'19_Расчет_аналитики'!AK3798,0)</f>
        <v/>
      </c>
      <c r="AL3799">
        <f>IF('01_Вводные'!$B$234="Да",'19_Расчет_аналитики'!AL3781+'19_Расчет_аналитики'!AL3798,0)</f>
        <v/>
      </c>
      <c r="AM3799">
        <f>IF('01_Вводные'!$B$234="Да",'19_Расчет_аналитики'!AM3781+'19_Расчет_аналитики'!AM3798,0)</f>
        <v/>
      </c>
      <c r="AN3799">
        <f>IF('01_Вводные'!$B$234="Да",'19_Расчет_аналитики'!AN3781+'19_Расчет_аналитики'!AN3798,0)</f>
        <v/>
      </c>
      <c r="AO3799">
        <f>IF('01_Вводные'!$B$234="Да",'19_Расчет_аналитики'!AO3781+'19_Расчет_аналитики'!AO3798,0)</f>
        <v/>
      </c>
      <c r="AP3799">
        <f>IF('01_Вводные'!$B$234="Да",'19_Расчет_аналитики'!AP3781+'19_Расчет_аналитики'!AP3798,0)</f>
        <v/>
      </c>
      <c r="AQ3799">
        <f>IF('01_Вводные'!$B$234="Да",'19_Расчет_аналитики'!AQ3781+'19_Расчет_аналитики'!AQ3798,0)</f>
        <v/>
      </c>
      <c r="AR3799">
        <f>IF('01_Вводные'!$B$234="Да",'19_Расчет_аналитики'!AR3781+'19_Расчет_аналитики'!AR3798,0)</f>
        <v/>
      </c>
      <c r="AS3799">
        <f>IF('01_Вводные'!$B$234="Да",'19_Расчет_аналитики'!AS3781+'19_Расчет_аналитики'!AS3798,0)</f>
        <v/>
      </c>
      <c r="AT3799">
        <f>IF('01_Вводные'!$B$234="Да",'19_Расчет_аналитики'!AT3781+'19_Расчет_аналитики'!AT3798,0)</f>
        <v/>
      </c>
      <c r="AU3799">
        <f>IF('01_Вводные'!$B$234="Да",'19_Расчет_аналитики'!AU3781+'19_Расчет_аналитики'!AU3798,0)</f>
        <v/>
      </c>
      <c r="AV3799">
        <f>IF('01_Вводные'!$B$234="Да",'19_Расчет_аналитики'!AV3781+'19_Расчет_аналитики'!AV3798,0)</f>
        <v/>
      </c>
      <c r="AW3799">
        <f>IF('01_Вводные'!$B$234="Да",'19_Расчет_аналитики'!AW3781+'19_Расчет_аналитики'!AW3798,0)</f>
        <v/>
      </c>
      <c r="AX3799">
        <f>IF('01_Вводные'!$B$234="Да",'19_Расчет_аналитики'!AX3781+'19_Расчет_аналитики'!AX3798,0)</f>
        <v/>
      </c>
      <c r="AY3799">
        <f>IF('01_Вводные'!$B$234="Да",'19_Расчет_аналитики'!AY3781+'19_Расчет_аналитики'!AY3798,0)</f>
        <v/>
      </c>
      <c r="AZ3799">
        <f>IF('01_Вводные'!$B$234="Да",'19_Расчет_аналитики'!AZ3781+'19_Расчет_аналитики'!AZ3798,0)</f>
        <v/>
      </c>
      <c r="BA3799">
        <f>IF('01_Вводные'!$B$234="Да",'19_Расчет_аналитики'!BA3781+'19_Расчет_аналитики'!BA3798,0)</f>
        <v/>
      </c>
      <c r="BB3799">
        <f>IF('01_Вводные'!$B$234="Да",'19_Расчет_аналитики'!BB3781+'19_Расчет_аналитики'!BB3798,0)</f>
        <v/>
      </c>
      <c r="BC3799">
        <f>IF('01_Вводные'!$B$234="Да",'19_Расчет_аналитики'!BC3781+'19_Расчет_аналитики'!BC3798,0)</f>
        <v/>
      </c>
      <c r="BD3799">
        <f>IF('01_Вводные'!$B$234="Да",'19_Расчет_аналитики'!BD3781+'19_Расчет_аналитики'!BD3798,0)</f>
        <v/>
      </c>
      <c r="BE3799">
        <f>IF('01_Вводные'!$B$234="Да",'19_Расчет_аналитики'!BE3781+'19_Расчет_аналитики'!BE3798,0)</f>
        <v/>
      </c>
      <c r="BF3799">
        <f>IF('01_Вводные'!$B$234="Да",'19_Расчет_аналитики'!BF3781+'19_Расчет_аналитики'!BF3798,0)</f>
        <v/>
      </c>
      <c r="BG3799">
        <f>IF('01_Вводные'!$B$234="Да",'19_Расчет_аналитики'!BG3781+'19_Расчет_аналитики'!BG3798,0)</f>
        <v/>
      </c>
      <c r="BH3799">
        <f>IF('01_Вводные'!$B$234="Да",'19_Расчет_аналитики'!BH3781+'19_Расчет_аналитики'!BH3798,0)</f>
        <v/>
      </c>
      <c r="BI3799">
        <f>IF('01_Вводные'!$B$234="Да",'19_Расчет_аналитики'!BI3781+'19_Расчет_аналитики'!BI3798,0)</f>
        <v/>
      </c>
    </row>
    <row r="3800">
      <c r="B3800">
        <f>IF('01_Вводные'!$B$234="Да",'19_Расчет_аналитики'!B3668,0)</f>
        <v/>
      </c>
      <c r="C3800">
        <f>IF('01_Вводные'!$B$234="Да",'19_Расчет_аналитики'!C3668,0)</f>
        <v/>
      </c>
      <c r="D3800">
        <f>IF('01_Вводные'!$B$234="Да",'19_Расчет_аналитики'!D3668,0)</f>
        <v/>
      </c>
      <c r="E3800">
        <f>IF('01_Вводные'!$B$234="Да",'19_Расчет_аналитики'!E3668,0)</f>
        <v/>
      </c>
      <c r="F3800">
        <f>IF('01_Вводные'!$B$234="Да",'19_Расчет_аналитики'!F3668,0)</f>
        <v/>
      </c>
      <c r="G3800">
        <f>IF('01_Вводные'!$B$234="Да",'19_Расчет_аналитики'!G3668,0)</f>
        <v/>
      </c>
      <c r="H3800">
        <f>IF('01_Вводные'!$B$234="Да",'19_Расчет_аналитики'!H3668,0)</f>
        <v/>
      </c>
      <c r="I3800">
        <f>IF('01_Вводные'!$B$234="Да",'19_Расчет_аналитики'!I3668,0)</f>
        <v/>
      </c>
      <c r="J3800">
        <f>IF('01_Вводные'!$B$234="Да",'19_Расчет_аналитики'!J3668,0)</f>
        <v/>
      </c>
      <c r="K3800">
        <f>IF('01_Вводные'!$B$234="Да",'19_Расчет_аналитики'!K3668,0)</f>
        <v/>
      </c>
      <c r="L3800">
        <f>IF('01_Вводные'!$B$234="Да",'19_Расчет_аналитики'!L3668,0)</f>
        <v/>
      </c>
      <c r="M3800">
        <f>IF('01_Вводные'!$B$234="Да",'19_Расчет_аналитики'!M3668,0)</f>
        <v/>
      </c>
      <c r="N3800">
        <f>IF('01_Вводные'!$B$234="Да",'19_Расчет_аналитики'!N3668,0)</f>
        <v/>
      </c>
      <c r="O3800">
        <f>IF('01_Вводные'!$B$234="Да",'19_Расчет_аналитики'!O3668,0)</f>
        <v/>
      </c>
      <c r="P3800">
        <f>IF('01_Вводные'!$B$234="Да",'19_Расчет_аналитики'!P3668,0)</f>
        <v/>
      </c>
      <c r="Q3800">
        <f>IF('01_Вводные'!$B$234="Да",'19_Расчет_аналитики'!Q3668,0)</f>
        <v/>
      </c>
      <c r="R3800">
        <f>IF('01_Вводные'!$B$234="Да",'19_Расчет_аналитики'!R3668,0)</f>
        <v/>
      </c>
      <c r="S3800">
        <f>IF('01_Вводные'!$B$234="Да",'19_Расчет_аналитики'!S3668,0)</f>
        <v/>
      </c>
      <c r="T3800">
        <f>IF('01_Вводные'!$B$234="Да",'19_Расчет_аналитики'!T3668,0)</f>
        <v/>
      </c>
      <c r="U3800">
        <f>IF('01_Вводные'!$B$234="Да",'19_Расчет_аналитики'!U3668,0)</f>
        <v/>
      </c>
      <c r="V3800">
        <f>IF('01_Вводные'!$B$234="Да",'19_Расчет_аналитики'!V3668,0)</f>
        <v/>
      </c>
      <c r="W3800">
        <f>IF('01_Вводные'!$B$234="Да",'19_Расчет_аналитики'!W3668,0)</f>
        <v/>
      </c>
      <c r="X3800">
        <f>IF('01_Вводные'!$B$234="Да",'19_Расчет_аналитики'!X3668,0)</f>
        <v/>
      </c>
      <c r="Y3800">
        <f>IF('01_Вводные'!$B$234="Да",'19_Расчет_аналитики'!Y3668,0)</f>
        <v/>
      </c>
      <c r="Z3800">
        <f>IF('01_Вводные'!$B$234="Да",'19_Расчет_аналитики'!Z3668,0)</f>
        <v/>
      </c>
      <c r="AA3800">
        <f>IF('01_Вводные'!$B$234="Да",'19_Расчет_аналитики'!AA3668,0)</f>
        <v/>
      </c>
      <c r="AB3800">
        <f>IF('01_Вводные'!$B$234="Да",'19_Расчет_аналитики'!AB3668,0)</f>
        <v/>
      </c>
      <c r="AC3800">
        <f>IF('01_Вводные'!$B$234="Да",'19_Расчет_аналитики'!AC3668,0)</f>
        <v/>
      </c>
      <c r="AD3800">
        <f>IF('01_Вводные'!$B$234="Да",'19_Расчет_аналитики'!AD3668,0)</f>
        <v/>
      </c>
      <c r="AE3800">
        <f>IF('01_Вводные'!$B$234="Да",'19_Расчет_аналитики'!AE3668,0)</f>
        <v/>
      </c>
      <c r="AF3800">
        <f>IF('01_Вводные'!$B$234="Да",'19_Расчет_аналитики'!AF3668,0)</f>
        <v/>
      </c>
      <c r="AG3800">
        <f>IF('01_Вводные'!$B$234="Да",'19_Расчет_аналитики'!AG3668,0)</f>
        <v/>
      </c>
      <c r="AH3800">
        <f>IF('01_Вводные'!$B$234="Да",'19_Расчет_аналитики'!AH3668,0)</f>
        <v/>
      </c>
      <c r="AI3800">
        <f>IF('01_Вводные'!$B$234="Да",'19_Расчет_аналитики'!AI3668,0)</f>
        <v/>
      </c>
      <c r="AJ3800">
        <f>IF('01_Вводные'!$B$234="Да",'19_Расчет_аналитики'!AJ3668,0)</f>
        <v/>
      </c>
      <c r="AK3800">
        <f>IF('01_Вводные'!$B$234="Да",'19_Расчет_аналитики'!AK3668,0)</f>
        <v/>
      </c>
      <c r="AL3800">
        <f>IF('01_Вводные'!$B$234="Да",'19_Расчет_аналитики'!AL3668,0)</f>
        <v/>
      </c>
      <c r="AM3800">
        <f>IF('01_Вводные'!$B$234="Да",'19_Расчет_аналитики'!AM3668,0)</f>
        <v/>
      </c>
      <c r="AN3800">
        <f>IF('01_Вводные'!$B$234="Да",'19_Расчет_аналитики'!AN3668,0)</f>
        <v/>
      </c>
      <c r="AO3800">
        <f>IF('01_Вводные'!$B$234="Да",'19_Расчет_аналитики'!AO3668,0)</f>
        <v/>
      </c>
      <c r="AP3800">
        <f>IF('01_Вводные'!$B$234="Да",'19_Расчет_аналитики'!AP3668,0)</f>
        <v/>
      </c>
      <c r="AQ3800">
        <f>IF('01_Вводные'!$B$234="Да",'19_Расчет_аналитики'!AQ3668,0)</f>
        <v/>
      </c>
      <c r="AR3800">
        <f>IF('01_Вводные'!$B$234="Да",'19_Расчет_аналитики'!AR3668,0)</f>
        <v/>
      </c>
      <c r="AS3800">
        <f>IF('01_Вводные'!$B$234="Да",'19_Расчет_аналитики'!AS3668,0)</f>
        <v/>
      </c>
      <c r="AT3800">
        <f>IF('01_Вводные'!$B$234="Да",'19_Расчет_аналитики'!AT3668,0)</f>
        <v/>
      </c>
      <c r="AU3800">
        <f>IF('01_Вводные'!$B$234="Да",'19_Расчет_аналитики'!AU3668,0)</f>
        <v/>
      </c>
      <c r="AV3800">
        <f>IF('01_Вводные'!$B$234="Да",'19_Расчет_аналитики'!AV3668,0)</f>
        <v/>
      </c>
      <c r="AW3800">
        <f>IF('01_Вводные'!$B$234="Да",'19_Расчет_аналитики'!AW3668,0)</f>
        <v/>
      </c>
      <c r="AX3800">
        <f>IF('01_Вводные'!$B$234="Да",'19_Расчет_аналитики'!AX3668,0)</f>
        <v/>
      </c>
      <c r="AY3800">
        <f>IF('01_Вводные'!$B$234="Да",'19_Расчет_аналитики'!AY3668,0)</f>
        <v/>
      </c>
      <c r="AZ3800">
        <f>IF('01_Вводные'!$B$234="Да",'19_Расчет_аналитики'!AZ3668,0)</f>
        <v/>
      </c>
      <c r="BA3800">
        <f>IF('01_Вводные'!$B$234="Да",'19_Расчет_аналитики'!BA3668,0)</f>
        <v/>
      </c>
      <c r="BB3800">
        <f>IF('01_Вводные'!$B$234="Да",'19_Расчет_аналитики'!BB3668,0)</f>
        <v/>
      </c>
      <c r="BC3800">
        <f>IF('01_Вводные'!$B$234="Да",'19_Расчет_аналитики'!BC3668,0)</f>
        <v/>
      </c>
      <c r="BD3800">
        <f>IF('01_Вводные'!$B$234="Да",'19_Расчет_аналитики'!BD3668,0)</f>
        <v/>
      </c>
      <c r="BE3800">
        <f>IF('01_Вводные'!$B$234="Да",'19_Расчет_аналитики'!BE3668,0)</f>
        <v/>
      </c>
      <c r="BF3800">
        <f>IF('01_Вводные'!$B$234="Да",'19_Расчет_аналитики'!BF3668,0)</f>
        <v/>
      </c>
      <c r="BG3800">
        <f>IF('01_Вводные'!$B$234="Да",'19_Расчет_аналитики'!BG3668,0)</f>
        <v/>
      </c>
      <c r="BH3800">
        <f>IF('01_Вводные'!$B$234="Да",'19_Расчет_аналитики'!BH3668,0)</f>
        <v/>
      </c>
      <c r="BI3800">
        <f>IF('01_Вводные'!$B$234="Да",'19_Расчет_аналитики'!BI3668,0)</f>
        <v/>
      </c>
    </row>
    <row r="3801">
      <c r="B3801">
        <f>IF('01_Вводные'!$B$234="Да",'19_Расчет_аналитики'!B3798-'19_Расчет_аналитики'!B3800,0)</f>
        <v/>
      </c>
      <c r="C3801">
        <f>IF('01_Вводные'!$B$234="Да",'19_Расчет_аналитики'!C3798-'19_Расчет_аналитики'!C3800,0)</f>
        <v/>
      </c>
      <c r="D3801">
        <f>IF('01_Вводные'!$B$234="Да",'19_Расчет_аналитики'!D3798-'19_Расчет_аналитики'!D3800,0)</f>
        <v/>
      </c>
      <c r="E3801">
        <f>IF('01_Вводные'!$B$234="Да",'19_Расчет_аналитики'!E3798-'19_Расчет_аналитики'!E3800,0)</f>
        <v/>
      </c>
      <c r="F3801">
        <f>IF('01_Вводные'!$B$234="Да",'19_Расчет_аналитики'!F3798-'19_Расчет_аналитики'!F3800,0)</f>
        <v/>
      </c>
      <c r="G3801">
        <f>IF('01_Вводные'!$B$234="Да",'19_Расчет_аналитики'!G3798-'19_Расчет_аналитики'!G3800,0)</f>
        <v/>
      </c>
      <c r="H3801">
        <f>IF('01_Вводные'!$B$234="Да",'19_Расчет_аналитики'!H3798-'19_Расчет_аналитики'!H3800,0)</f>
        <v/>
      </c>
      <c r="I3801">
        <f>IF('01_Вводные'!$B$234="Да",'19_Расчет_аналитики'!I3798-'19_Расчет_аналитики'!I3800,0)</f>
        <v/>
      </c>
      <c r="J3801">
        <f>IF('01_Вводные'!$B$234="Да",'19_Расчет_аналитики'!J3798-'19_Расчет_аналитики'!J3800,0)</f>
        <v/>
      </c>
      <c r="K3801">
        <f>IF('01_Вводные'!$B$234="Да",'19_Расчет_аналитики'!K3798-'19_Расчет_аналитики'!K3800,0)</f>
        <v/>
      </c>
      <c r="L3801">
        <f>IF('01_Вводные'!$B$234="Да",'19_Расчет_аналитики'!L3798-'19_Расчет_аналитики'!L3800,0)</f>
        <v/>
      </c>
      <c r="M3801">
        <f>IF('01_Вводные'!$B$234="Да",'19_Расчет_аналитики'!M3798-'19_Расчет_аналитики'!M3800,0)</f>
        <v/>
      </c>
      <c r="N3801">
        <f>IF('01_Вводные'!$B$234="Да",'19_Расчет_аналитики'!N3798-'19_Расчет_аналитики'!N3800,0)</f>
        <v/>
      </c>
      <c r="O3801">
        <f>IF('01_Вводные'!$B$234="Да",'19_Расчет_аналитики'!O3798-'19_Расчет_аналитики'!O3800,0)</f>
        <v/>
      </c>
      <c r="P3801">
        <f>IF('01_Вводные'!$B$234="Да",'19_Расчет_аналитики'!P3798-'19_Расчет_аналитики'!P3800,0)</f>
        <v/>
      </c>
      <c r="Q3801">
        <f>IF('01_Вводные'!$B$234="Да",'19_Расчет_аналитики'!Q3798-'19_Расчет_аналитики'!Q3800,0)</f>
        <v/>
      </c>
      <c r="R3801">
        <f>IF('01_Вводные'!$B$234="Да",'19_Расчет_аналитики'!R3798-'19_Расчет_аналитики'!R3800,0)</f>
        <v/>
      </c>
      <c r="S3801">
        <f>IF('01_Вводные'!$B$234="Да",'19_Расчет_аналитики'!S3798-'19_Расчет_аналитики'!S3800,0)</f>
        <v/>
      </c>
      <c r="T3801">
        <f>IF('01_Вводные'!$B$234="Да",'19_Расчет_аналитики'!T3798-'19_Расчет_аналитики'!T3800,0)</f>
        <v/>
      </c>
      <c r="U3801">
        <f>IF('01_Вводные'!$B$234="Да",'19_Расчет_аналитики'!U3798-'19_Расчет_аналитики'!U3800,0)</f>
        <v/>
      </c>
      <c r="V3801">
        <f>IF('01_Вводные'!$B$234="Да",'19_Расчет_аналитики'!V3798-'19_Расчет_аналитики'!V3800,0)</f>
        <v/>
      </c>
      <c r="W3801">
        <f>IF('01_Вводные'!$B$234="Да",'19_Расчет_аналитики'!W3798-'19_Расчет_аналитики'!W3800,0)</f>
        <v/>
      </c>
      <c r="X3801">
        <f>IF('01_Вводные'!$B$234="Да",'19_Расчет_аналитики'!X3798-'19_Расчет_аналитики'!X3800,0)</f>
        <v/>
      </c>
      <c r="Y3801">
        <f>IF('01_Вводные'!$B$234="Да",'19_Расчет_аналитики'!Y3798-'19_Расчет_аналитики'!Y3800,0)</f>
        <v/>
      </c>
      <c r="Z3801">
        <f>IF('01_Вводные'!$B$234="Да",'19_Расчет_аналитики'!Z3798-'19_Расчет_аналитики'!Z3800,0)</f>
        <v/>
      </c>
      <c r="AA3801">
        <f>IF('01_Вводные'!$B$234="Да",'19_Расчет_аналитики'!AA3798-'19_Расчет_аналитики'!AA3800,0)</f>
        <v/>
      </c>
      <c r="AB3801">
        <f>IF('01_Вводные'!$B$234="Да",'19_Расчет_аналитики'!AB3798-'19_Расчет_аналитики'!AB3800,0)</f>
        <v/>
      </c>
      <c r="AC3801">
        <f>IF('01_Вводные'!$B$234="Да",'19_Расчет_аналитики'!AC3798-'19_Расчет_аналитики'!AC3800,0)</f>
        <v/>
      </c>
      <c r="AD3801">
        <f>IF('01_Вводные'!$B$234="Да",'19_Расчет_аналитики'!AD3798-'19_Расчет_аналитики'!AD3800,0)</f>
        <v/>
      </c>
      <c r="AE3801">
        <f>IF('01_Вводные'!$B$234="Да",'19_Расчет_аналитики'!AE3798-'19_Расчет_аналитики'!AE3800,0)</f>
        <v/>
      </c>
      <c r="AF3801">
        <f>IF('01_Вводные'!$B$234="Да",'19_Расчет_аналитики'!AF3798-'19_Расчет_аналитики'!AF3800,0)</f>
        <v/>
      </c>
      <c r="AG3801">
        <f>IF('01_Вводные'!$B$234="Да",'19_Расчет_аналитики'!AG3798-'19_Расчет_аналитики'!AG3800,0)</f>
        <v/>
      </c>
      <c r="AH3801">
        <f>IF('01_Вводные'!$B$234="Да",'19_Расчет_аналитики'!AH3798-'19_Расчет_аналитики'!AH3800,0)</f>
        <v/>
      </c>
      <c r="AI3801">
        <f>IF('01_Вводные'!$B$234="Да",'19_Расчет_аналитики'!AI3798-'19_Расчет_аналитики'!AI3800,0)</f>
        <v/>
      </c>
      <c r="AJ3801">
        <f>IF('01_Вводные'!$B$234="Да",'19_Расчет_аналитики'!AJ3798-'19_Расчет_аналитики'!AJ3800,0)</f>
        <v/>
      </c>
      <c r="AK3801">
        <f>IF('01_Вводные'!$B$234="Да",'19_Расчет_аналитики'!AK3798-'19_Расчет_аналитики'!AK3800,0)</f>
        <v/>
      </c>
      <c r="AL3801">
        <f>IF('01_Вводные'!$B$234="Да",'19_Расчет_аналитики'!AL3798-'19_Расчет_аналитики'!AL3800,0)</f>
        <v/>
      </c>
      <c r="AM3801">
        <f>IF('01_Вводные'!$B$234="Да",'19_Расчет_аналитики'!AM3798-'19_Расчет_аналитики'!AM3800,0)</f>
        <v/>
      </c>
      <c r="AN3801">
        <f>IF('01_Вводные'!$B$234="Да",'19_Расчет_аналитики'!AN3798-'19_Расчет_аналитики'!AN3800,0)</f>
        <v/>
      </c>
      <c r="AO3801">
        <f>IF('01_Вводные'!$B$234="Да",'19_Расчет_аналитики'!AO3798-'19_Расчет_аналитики'!AO3800,0)</f>
        <v/>
      </c>
      <c r="AP3801">
        <f>IF('01_Вводные'!$B$234="Да",'19_Расчет_аналитики'!AP3798-'19_Расчет_аналитики'!AP3800,0)</f>
        <v/>
      </c>
      <c r="AQ3801">
        <f>IF('01_Вводные'!$B$234="Да",'19_Расчет_аналитики'!AQ3798-'19_Расчет_аналитики'!AQ3800,0)</f>
        <v/>
      </c>
      <c r="AR3801">
        <f>IF('01_Вводные'!$B$234="Да",'19_Расчет_аналитики'!AR3798-'19_Расчет_аналитики'!AR3800,0)</f>
        <v/>
      </c>
      <c r="AS3801">
        <f>IF('01_Вводные'!$B$234="Да",'19_Расчет_аналитики'!AS3798-'19_Расчет_аналитики'!AS3800,0)</f>
        <v/>
      </c>
      <c r="AT3801">
        <f>IF('01_Вводные'!$B$234="Да",'19_Расчет_аналитики'!AT3798-'19_Расчет_аналитики'!AT3800,0)</f>
        <v/>
      </c>
      <c r="AU3801">
        <f>IF('01_Вводные'!$B$234="Да",'19_Расчет_аналитики'!AU3798-'19_Расчет_аналитики'!AU3800,0)</f>
        <v/>
      </c>
      <c r="AV3801">
        <f>IF('01_Вводные'!$B$234="Да",'19_Расчет_аналитики'!AV3798-'19_Расчет_аналитики'!AV3800,0)</f>
        <v/>
      </c>
      <c r="AW3801">
        <f>IF('01_Вводные'!$B$234="Да",'19_Расчет_аналитики'!AW3798-'19_Расчет_аналитики'!AW3800,0)</f>
        <v/>
      </c>
      <c r="AX3801">
        <f>IF('01_Вводные'!$B$234="Да",'19_Расчет_аналитики'!AX3798-'19_Расчет_аналитики'!AX3800,0)</f>
        <v/>
      </c>
      <c r="AY3801">
        <f>IF('01_Вводные'!$B$234="Да",'19_Расчет_аналитики'!AY3798-'19_Расчет_аналитики'!AY3800,0)</f>
        <v/>
      </c>
      <c r="AZ3801">
        <f>IF('01_Вводные'!$B$234="Да",'19_Расчет_аналитики'!AZ3798-'19_Расчет_аналитики'!AZ3800,0)</f>
        <v/>
      </c>
      <c r="BA3801">
        <f>IF('01_Вводные'!$B$234="Да",'19_Расчет_аналитики'!BA3798-'19_Расчет_аналитики'!BA3800,0)</f>
        <v/>
      </c>
      <c r="BB3801">
        <f>IF('01_Вводные'!$B$234="Да",'19_Расчет_аналитики'!BB3798-'19_Расчет_аналитики'!BB3800,0)</f>
        <v/>
      </c>
      <c r="BC3801">
        <f>IF('01_Вводные'!$B$234="Да",'19_Расчет_аналитики'!BC3798-'19_Расчет_аналитики'!BC3800,0)</f>
        <v/>
      </c>
      <c r="BD3801">
        <f>IF('01_Вводные'!$B$234="Да",'19_Расчет_аналитики'!BD3798-'19_Расчет_аналитики'!BD3800,0)</f>
        <v/>
      </c>
      <c r="BE3801">
        <f>IF('01_Вводные'!$B$234="Да",'19_Расчет_аналитики'!BE3798-'19_Расчет_аналитики'!BE3800,0)</f>
        <v/>
      </c>
      <c r="BF3801">
        <f>IF('01_Вводные'!$B$234="Да",'19_Расчет_аналитики'!BF3798-'19_Расчет_аналитики'!BF3800,0)</f>
        <v/>
      </c>
      <c r="BG3801">
        <f>IF('01_Вводные'!$B$234="Да",'19_Расчет_аналитики'!BG3798-'19_Расчет_аналитики'!BG3800,0)</f>
        <v/>
      </c>
      <c r="BH3801">
        <f>IF('01_Вводные'!$B$234="Да",'19_Расчет_аналитики'!BH3798-'19_Расчет_аналитики'!BH3800,0)</f>
        <v/>
      </c>
      <c r="BI3801">
        <f>IF('01_Вводные'!$B$234="Да",'19_Расчет_аналитики'!BI3798-'19_Расчет_аналитики'!BI3800,0)</f>
        <v/>
      </c>
    </row>
    <row r="3802">
      <c r="B3802">
        <f>IF('01_Вводные'!$B$234="Да",'02_Модель'!B51+'19_Расчет_аналитики'!B3801,0)</f>
        <v/>
      </c>
      <c r="C3802">
        <f>IF('01_Вводные'!$B$234="Да",'19_Расчет_аналитики'!C3781+'19_Расчет_аналитики'!C3801,0)</f>
        <v/>
      </c>
      <c r="D3802">
        <f>IF('01_Вводные'!$B$234="Да",'19_Расчет_аналитики'!D3781+'19_Расчет_аналитики'!D3801,0)</f>
        <v/>
      </c>
      <c r="E3802">
        <f>IF('01_Вводные'!$B$234="Да",'19_Расчет_аналитики'!E3781+'19_Расчет_аналитики'!E3801,0)</f>
        <v/>
      </c>
      <c r="F3802">
        <f>IF('01_Вводные'!$B$234="Да",'19_Расчет_аналитики'!F3781+'19_Расчет_аналитики'!F3801,0)</f>
        <v/>
      </c>
      <c r="G3802">
        <f>IF('01_Вводные'!$B$234="Да",'19_Расчет_аналитики'!G3781+'19_Расчет_аналитики'!G3801,0)</f>
        <v/>
      </c>
      <c r="H3802">
        <f>IF('01_Вводные'!$B$234="Да",'19_Расчет_аналитики'!H3781+'19_Расчет_аналитики'!H3801,0)</f>
        <v/>
      </c>
      <c r="I3802">
        <f>IF('01_Вводные'!$B$234="Да",'19_Расчет_аналитики'!I3781+'19_Расчет_аналитики'!I3801,0)</f>
        <v/>
      </c>
      <c r="J3802">
        <f>IF('01_Вводные'!$B$234="Да",'19_Расчет_аналитики'!J3781+'19_Расчет_аналитики'!J3801,0)</f>
        <v/>
      </c>
      <c r="K3802">
        <f>IF('01_Вводные'!$B$234="Да",'19_Расчет_аналитики'!K3781+'19_Расчет_аналитики'!K3801,0)</f>
        <v/>
      </c>
      <c r="L3802">
        <f>IF('01_Вводные'!$B$234="Да",'19_Расчет_аналитики'!L3781+'19_Расчет_аналитики'!L3801,0)</f>
        <v/>
      </c>
      <c r="M3802">
        <f>IF('01_Вводные'!$B$234="Да",'19_Расчет_аналитики'!M3781+'19_Расчет_аналитики'!M3801,0)</f>
        <v/>
      </c>
      <c r="N3802">
        <f>IF('01_Вводные'!$B$234="Да",'19_Расчет_аналитики'!N3781+'19_Расчет_аналитики'!N3801,0)</f>
        <v/>
      </c>
      <c r="O3802">
        <f>IF('01_Вводные'!$B$234="Да",'19_Расчет_аналитики'!O3781+'19_Расчет_аналитики'!O3801,0)</f>
        <v/>
      </c>
      <c r="P3802">
        <f>IF('01_Вводные'!$B$234="Да",'19_Расчет_аналитики'!P3781+'19_Расчет_аналитики'!P3801,0)</f>
        <v/>
      </c>
      <c r="Q3802">
        <f>IF('01_Вводные'!$B$234="Да",'19_Расчет_аналитики'!Q3781+'19_Расчет_аналитики'!Q3801,0)</f>
        <v/>
      </c>
      <c r="R3802">
        <f>IF('01_Вводные'!$B$234="Да",'19_Расчет_аналитики'!R3781+'19_Расчет_аналитики'!R3801,0)</f>
        <v/>
      </c>
      <c r="S3802">
        <f>IF('01_Вводные'!$B$234="Да",'19_Расчет_аналитики'!S3781+'19_Расчет_аналитики'!S3801,0)</f>
        <v/>
      </c>
      <c r="T3802">
        <f>IF('01_Вводные'!$B$234="Да",'19_Расчет_аналитики'!T3781+'19_Расчет_аналитики'!T3801,0)</f>
        <v/>
      </c>
      <c r="U3802">
        <f>IF('01_Вводные'!$B$234="Да",'19_Расчет_аналитики'!U3781+'19_Расчет_аналитики'!U3801,0)</f>
        <v/>
      </c>
      <c r="V3802">
        <f>IF('01_Вводные'!$B$234="Да",'19_Расчет_аналитики'!V3781+'19_Расчет_аналитики'!V3801,0)</f>
        <v/>
      </c>
      <c r="W3802">
        <f>IF('01_Вводные'!$B$234="Да",'19_Расчет_аналитики'!W3781+'19_Расчет_аналитики'!W3801,0)</f>
        <v/>
      </c>
      <c r="X3802">
        <f>IF('01_Вводные'!$B$234="Да",'19_Расчет_аналитики'!X3781+'19_Расчет_аналитики'!X3801,0)</f>
        <v/>
      </c>
      <c r="Y3802">
        <f>IF('01_Вводные'!$B$234="Да",'19_Расчет_аналитики'!Y3781+'19_Расчет_аналитики'!Y3801,0)</f>
        <v/>
      </c>
      <c r="Z3802">
        <f>IF('01_Вводные'!$B$234="Да",'19_Расчет_аналитики'!Z3781+'19_Расчет_аналитики'!Z3801,0)</f>
        <v/>
      </c>
      <c r="AA3802">
        <f>IF('01_Вводные'!$B$234="Да",'19_Расчет_аналитики'!AA3781+'19_Расчет_аналитики'!AA3801,0)</f>
        <v/>
      </c>
      <c r="AB3802">
        <f>IF('01_Вводные'!$B$234="Да",'19_Расчет_аналитики'!AB3781+'19_Расчет_аналитики'!AB3801,0)</f>
        <v/>
      </c>
      <c r="AC3802">
        <f>IF('01_Вводные'!$B$234="Да",'19_Расчет_аналитики'!AC3781+'19_Расчет_аналитики'!AC3801,0)</f>
        <v/>
      </c>
      <c r="AD3802">
        <f>IF('01_Вводные'!$B$234="Да",'19_Расчет_аналитики'!AD3781+'19_Расчет_аналитики'!AD3801,0)</f>
        <v/>
      </c>
      <c r="AE3802">
        <f>IF('01_Вводные'!$B$234="Да",'19_Расчет_аналитики'!AE3781+'19_Расчет_аналитики'!AE3801,0)</f>
        <v/>
      </c>
      <c r="AF3802">
        <f>IF('01_Вводные'!$B$234="Да",'19_Расчет_аналитики'!AF3781+'19_Расчет_аналитики'!AF3801,0)</f>
        <v/>
      </c>
      <c r="AG3802">
        <f>IF('01_Вводные'!$B$234="Да",'19_Расчет_аналитики'!AG3781+'19_Расчет_аналитики'!AG3801,0)</f>
        <v/>
      </c>
      <c r="AH3802">
        <f>IF('01_Вводные'!$B$234="Да",'19_Расчет_аналитики'!AH3781+'19_Расчет_аналитики'!AH3801,0)</f>
        <v/>
      </c>
      <c r="AI3802">
        <f>IF('01_Вводные'!$B$234="Да",'19_Расчет_аналитики'!AI3781+'19_Расчет_аналитики'!AI3801,0)</f>
        <v/>
      </c>
      <c r="AJ3802">
        <f>IF('01_Вводные'!$B$234="Да",'19_Расчет_аналитики'!AJ3781+'19_Расчет_аналитики'!AJ3801,0)</f>
        <v/>
      </c>
      <c r="AK3802">
        <f>IF('01_Вводные'!$B$234="Да",'19_Расчет_аналитики'!AK3781+'19_Расчет_аналитики'!AK3801,0)</f>
        <v/>
      </c>
      <c r="AL3802">
        <f>IF('01_Вводные'!$B$234="Да",'19_Расчет_аналитики'!AL3781+'19_Расчет_аналитики'!AL3801,0)</f>
        <v/>
      </c>
      <c r="AM3802">
        <f>IF('01_Вводные'!$B$234="Да",'19_Расчет_аналитики'!AM3781+'19_Расчет_аналитики'!AM3801,0)</f>
        <v/>
      </c>
      <c r="AN3802">
        <f>IF('01_Вводные'!$B$234="Да",'19_Расчет_аналитики'!AN3781+'19_Расчет_аналитики'!AN3801,0)</f>
        <v/>
      </c>
      <c r="AO3802">
        <f>IF('01_Вводные'!$B$234="Да",'19_Расчет_аналитики'!AO3781+'19_Расчет_аналитики'!AO3801,0)</f>
        <v/>
      </c>
      <c r="AP3802">
        <f>IF('01_Вводные'!$B$234="Да",'19_Расчет_аналитики'!AP3781+'19_Расчет_аналитики'!AP3801,0)</f>
        <v/>
      </c>
      <c r="AQ3802">
        <f>IF('01_Вводные'!$B$234="Да",'19_Расчет_аналитики'!AQ3781+'19_Расчет_аналитики'!AQ3801,0)</f>
        <v/>
      </c>
      <c r="AR3802">
        <f>IF('01_Вводные'!$B$234="Да",'19_Расчет_аналитики'!AR3781+'19_Расчет_аналитики'!AR3801,0)</f>
        <v/>
      </c>
      <c r="AS3802">
        <f>IF('01_Вводные'!$B$234="Да",'19_Расчет_аналитики'!AS3781+'19_Расчет_аналитики'!AS3801,0)</f>
        <v/>
      </c>
      <c r="AT3802">
        <f>IF('01_Вводные'!$B$234="Да",'19_Расчет_аналитики'!AT3781+'19_Расчет_аналитики'!AT3801,0)</f>
        <v/>
      </c>
      <c r="AU3802">
        <f>IF('01_Вводные'!$B$234="Да",'19_Расчет_аналитики'!AU3781+'19_Расчет_аналитики'!AU3801,0)</f>
        <v/>
      </c>
      <c r="AV3802">
        <f>IF('01_Вводные'!$B$234="Да",'19_Расчет_аналитики'!AV3781+'19_Расчет_аналитики'!AV3801,0)</f>
        <v/>
      </c>
      <c r="AW3802">
        <f>IF('01_Вводные'!$B$234="Да",'19_Расчет_аналитики'!AW3781+'19_Расчет_аналитики'!AW3801,0)</f>
        <v/>
      </c>
      <c r="AX3802">
        <f>IF('01_Вводные'!$B$234="Да",'19_Расчет_аналитики'!AX3781+'19_Расчет_аналитики'!AX3801,0)</f>
        <v/>
      </c>
      <c r="AY3802">
        <f>IF('01_Вводные'!$B$234="Да",'19_Расчет_аналитики'!AY3781+'19_Расчет_аналитики'!AY3801,0)</f>
        <v/>
      </c>
      <c r="AZ3802">
        <f>IF('01_Вводные'!$B$234="Да",'19_Расчет_аналитики'!AZ3781+'19_Расчет_аналитики'!AZ3801,0)</f>
        <v/>
      </c>
      <c r="BA3802">
        <f>IF('01_Вводные'!$B$234="Да",'19_Расчет_аналитики'!BA3781+'19_Расчет_аналитики'!BA3801,0)</f>
        <v/>
      </c>
      <c r="BB3802">
        <f>IF('01_Вводные'!$B$234="Да",'19_Расчет_аналитики'!BB3781+'19_Расчет_аналитики'!BB3801,0)</f>
        <v/>
      </c>
      <c r="BC3802">
        <f>IF('01_Вводные'!$B$234="Да",'19_Расчет_аналитики'!BC3781+'19_Расчет_аналитики'!BC3801,0)</f>
        <v/>
      </c>
      <c r="BD3802">
        <f>IF('01_Вводные'!$B$234="Да",'19_Расчет_аналитики'!BD3781+'19_Расчет_аналитики'!BD3801,0)</f>
        <v/>
      </c>
      <c r="BE3802">
        <f>IF('01_Вводные'!$B$234="Да",'19_Расчет_аналитики'!BE3781+'19_Расчет_аналитики'!BE3801,0)</f>
        <v/>
      </c>
      <c r="BF3802">
        <f>IF('01_Вводные'!$B$234="Да",'19_Расчет_аналитики'!BF3781+'19_Расчет_аналитики'!BF3801,0)</f>
        <v/>
      </c>
      <c r="BG3802">
        <f>IF('01_Вводные'!$B$234="Да",'19_Расчет_аналитики'!BG3781+'19_Расчет_аналитики'!BG3801,0)</f>
        <v/>
      </c>
      <c r="BH3802">
        <f>IF('01_Вводные'!$B$234="Да",'19_Расчет_аналитики'!BH3781+'19_Расчет_аналитики'!BH3801,0)</f>
        <v/>
      </c>
      <c r="BI3802">
        <f>IF('01_Вводные'!$B$234="Да",'19_Расчет_аналитики'!BI3781+'19_Расчет_аналитики'!BI3801,0)</f>
        <v/>
      </c>
    </row>
    <row r="3803"/>
    <row r="3804"/>
    <row r="3805">
      <c r="B3805">
        <f>IF('01_Вводные'!$B$234="Да",'19_Расчет_аналитики'!B3669,0)</f>
        <v/>
      </c>
      <c r="C3805">
        <f>IF('01_Вводные'!$B$234="Да",'19_Расчет_аналитики'!C3669,0)</f>
        <v/>
      </c>
      <c r="D3805">
        <f>IF('01_Вводные'!$B$234="Да",'19_Расчет_аналитики'!D3669,0)</f>
        <v/>
      </c>
      <c r="E3805">
        <f>IF('01_Вводные'!$B$234="Да",'19_Расчет_аналитики'!E3669,0)</f>
        <v/>
      </c>
      <c r="F3805">
        <f>IF('01_Вводные'!$B$234="Да",'19_Расчет_аналитики'!F3669,0)</f>
        <v/>
      </c>
      <c r="G3805">
        <f>IF('01_Вводные'!$B$234="Да",'19_Расчет_аналитики'!G3669,0)</f>
        <v/>
      </c>
      <c r="H3805">
        <f>IF('01_Вводные'!$B$234="Да",'19_Расчет_аналитики'!H3669,0)</f>
        <v/>
      </c>
      <c r="I3805">
        <f>IF('01_Вводные'!$B$234="Да",'19_Расчет_аналитики'!I3669,0)</f>
        <v/>
      </c>
      <c r="J3805">
        <f>IF('01_Вводные'!$B$234="Да",'19_Расчет_аналитики'!J3669,0)</f>
        <v/>
      </c>
      <c r="K3805">
        <f>IF('01_Вводные'!$B$234="Да",'19_Расчет_аналитики'!K3669,0)</f>
        <v/>
      </c>
      <c r="L3805">
        <f>IF('01_Вводные'!$B$234="Да",'19_Расчет_аналитики'!L3669,0)</f>
        <v/>
      </c>
      <c r="M3805">
        <f>IF('01_Вводные'!$B$234="Да",'19_Расчет_аналитики'!M3669,0)</f>
        <v/>
      </c>
      <c r="N3805">
        <f>IF('01_Вводные'!$B$234="Да",'19_Расчет_аналитики'!N3669,0)</f>
        <v/>
      </c>
      <c r="O3805">
        <f>IF('01_Вводные'!$B$234="Да",'19_Расчет_аналитики'!O3669,0)</f>
        <v/>
      </c>
      <c r="P3805">
        <f>IF('01_Вводные'!$B$234="Да",'19_Расчет_аналитики'!P3669,0)</f>
        <v/>
      </c>
      <c r="Q3805">
        <f>IF('01_Вводные'!$B$234="Да",'19_Расчет_аналитики'!Q3669,0)</f>
        <v/>
      </c>
      <c r="R3805">
        <f>IF('01_Вводные'!$B$234="Да",'19_Расчет_аналитики'!R3669,0)</f>
        <v/>
      </c>
      <c r="S3805">
        <f>IF('01_Вводные'!$B$234="Да",'19_Расчет_аналитики'!S3669,0)</f>
        <v/>
      </c>
      <c r="T3805">
        <f>IF('01_Вводные'!$B$234="Да",'19_Расчет_аналитики'!T3669,0)</f>
        <v/>
      </c>
      <c r="U3805">
        <f>IF('01_Вводные'!$B$234="Да",'19_Расчет_аналитики'!U3669,0)</f>
        <v/>
      </c>
      <c r="V3805">
        <f>IF('01_Вводные'!$B$234="Да",'19_Расчет_аналитики'!V3669,0)</f>
        <v/>
      </c>
      <c r="W3805">
        <f>IF('01_Вводные'!$B$234="Да",'19_Расчет_аналитики'!W3669,0)</f>
        <v/>
      </c>
      <c r="X3805">
        <f>IF('01_Вводные'!$B$234="Да",'19_Расчет_аналитики'!X3669,0)</f>
        <v/>
      </c>
      <c r="Y3805">
        <f>IF('01_Вводные'!$B$234="Да",'19_Расчет_аналитики'!Y3669,0)</f>
        <v/>
      </c>
      <c r="Z3805">
        <f>IF('01_Вводные'!$B$234="Да",'19_Расчет_аналитики'!Z3669,0)</f>
        <v/>
      </c>
      <c r="AA3805">
        <f>IF('01_Вводные'!$B$234="Да",'19_Расчет_аналитики'!AA3669,0)</f>
        <v/>
      </c>
      <c r="AB3805">
        <f>IF('01_Вводные'!$B$234="Да",'19_Расчет_аналитики'!AB3669,0)</f>
        <v/>
      </c>
      <c r="AC3805">
        <f>IF('01_Вводные'!$B$234="Да",'19_Расчет_аналитики'!AC3669,0)</f>
        <v/>
      </c>
      <c r="AD3805">
        <f>IF('01_Вводные'!$B$234="Да",'19_Расчет_аналитики'!AD3669,0)</f>
        <v/>
      </c>
      <c r="AE3805">
        <f>IF('01_Вводные'!$B$234="Да",'19_Расчет_аналитики'!AE3669,0)</f>
        <v/>
      </c>
      <c r="AF3805">
        <f>IF('01_Вводные'!$B$234="Да",'19_Расчет_аналитики'!AF3669,0)</f>
        <v/>
      </c>
      <c r="AG3805">
        <f>IF('01_Вводные'!$B$234="Да",'19_Расчет_аналитики'!AG3669,0)</f>
        <v/>
      </c>
      <c r="AH3805">
        <f>IF('01_Вводные'!$B$234="Да",'19_Расчет_аналитики'!AH3669,0)</f>
        <v/>
      </c>
      <c r="AI3805">
        <f>IF('01_Вводные'!$B$234="Да",'19_Расчет_аналитики'!AI3669,0)</f>
        <v/>
      </c>
      <c r="AJ3805">
        <f>IF('01_Вводные'!$B$234="Да",'19_Расчет_аналитики'!AJ3669,0)</f>
        <v/>
      </c>
      <c r="AK3805">
        <f>IF('01_Вводные'!$B$234="Да",'19_Расчет_аналитики'!AK3669,0)</f>
        <v/>
      </c>
      <c r="AL3805">
        <f>IF('01_Вводные'!$B$234="Да",'19_Расчет_аналитики'!AL3669,0)</f>
        <v/>
      </c>
      <c r="AM3805">
        <f>IF('01_Вводные'!$B$234="Да",'19_Расчет_аналитики'!AM3669,0)</f>
        <v/>
      </c>
      <c r="AN3805">
        <f>IF('01_Вводные'!$B$234="Да",'19_Расчет_аналитики'!AN3669,0)</f>
        <v/>
      </c>
      <c r="AO3805">
        <f>IF('01_Вводные'!$B$234="Да",'19_Расчет_аналитики'!AO3669,0)</f>
        <v/>
      </c>
      <c r="AP3805">
        <f>IF('01_Вводные'!$B$234="Да",'19_Расчет_аналитики'!AP3669,0)</f>
        <v/>
      </c>
      <c r="AQ3805">
        <f>IF('01_Вводные'!$B$234="Да",'19_Расчет_аналитики'!AQ3669,0)</f>
        <v/>
      </c>
      <c r="AR3805">
        <f>IF('01_Вводные'!$B$234="Да",'19_Расчет_аналитики'!AR3669,0)</f>
        <v/>
      </c>
      <c r="AS3805">
        <f>IF('01_Вводные'!$B$234="Да",'19_Расчет_аналитики'!AS3669,0)</f>
        <v/>
      </c>
      <c r="AT3805">
        <f>IF('01_Вводные'!$B$234="Да",'19_Расчет_аналитики'!AT3669,0)</f>
        <v/>
      </c>
      <c r="AU3805">
        <f>IF('01_Вводные'!$B$234="Да",'19_Расчет_аналитики'!AU3669,0)</f>
        <v/>
      </c>
      <c r="AV3805">
        <f>IF('01_Вводные'!$B$234="Да",'19_Расчет_аналитики'!AV3669,0)</f>
        <v/>
      </c>
      <c r="AW3805">
        <f>IF('01_Вводные'!$B$234="Да",'19_Расчет_аналитики'!AW3669,0)</f>
        <v/>
      </c>
      <c r="AX3805">
        <f>IF('01_Вводные'!$B$234="Да",'19_Расчет_аналитики'!AX3669,0)</f>
        <v/>
      </c>
      <c r="AY3805">
        <f>IF('01_Вводные'!$B$234="Да",'19_Расчет_аналитики'!AY3669,0)</f>
        <v/>
      </c>
      <c r="AZ3805">
        <f>IF('01_Вводные'!$B$234="Да",'19_Расчет_аналитики'!AZ3669,0)</f>
        <v/>
      </c>
      <c r="BA3805">
        <f>IF('01_Вводные'!$B$234="Да",'19_Расчет_аналитики'!BA3669,0)</f>
        <v/>
      </c>
      <c r="BB3805">
        <f>IF('01_Вводные'!$B$234="Да",'19_Расчет_аналитики'!BB3669,0)</f>
        <v/>
      </c>
      <c r="BC3805">
        <f>IF('01_Вводные'!$B$234="Да",'19_Расчет_аналитики'!BC3669,0)</f>
        <v/>
      </c>
      <c r="BD3805">
        <f>IF('01_Вводные'!$B$234="Да",'19_Расчет_аналитики'!BD3669,0)</f>
        <v/>
      </c>
      <c r="BE3805">
        <f>IF('01_Вводные'!$B$234="Да",'19_Расчет_аналитики'!BE3669,0)</f>
        <v/>
      </c>
      <c r="BF3805">
        <f>IF('01_Вводные'!$B$234="Да",'19_Расчет_аналитики'!BF3669,0)</f>
        <v/>
      </c>
      <c r="BG3805">
        <f>IF('01_Вводные'!$B$234="Да",'19_Расчет_аналитики'!BG3669,0)</f>
        <v/>
      </c>
      <c r="BH3805">
        <f>IF('01_Вводные'!$B$234="Да",'19_Расчет_аналитики'!BH3669,0)</f>
        <v/>
      </c>
      <c r="BI3805">
        <f>IF('01_Вводные'!$B$234="Да",'19_Расчет_аналитики'!BI3669,0)</f>
        <v/>
      </c>
    </row>
    <row r="3806">
      <c r="B3806">
        <f>IF('01_Вводные'!$B$234="Да",'19_Расчет_аналитики'!B3663,0)</f>
        <v/>
      </c>
      <c r="C3806">
        <f>IF('01_Вводные'!$B$234="Да",'19_Расчет_аналитики'!C3663,0)</f>
        <v/>
      </c>
      <c r="D3806">
        <f>IF('01_Вводные'!$B$234="Да",'19_Расчет_аналитики'!D3663,0)</f>
        <v/>
      </c>
      <c r="E3806">
        <f>IF('01_Вводные'!$B$234="Да",'19_Расчет_аналитики'!E3663,0)</f>
        <v/>
      </c>
      <c r="F3806">
        <f>IF('01_Вводные'!$B$234="Да",'19_Расчет_аналитики'!F3663,0)</f>
        <v/>
      </c>
      <c r="G3806">
        <f>IF('01_Вводные'!$B$234="Да",'19_Расчет_аналитики'!G3663,0)</f>
        <v/>
      </c>
      <c r="H3806">
        <f>IF('01_Вводные'!$B$234="Да",'19_Расчет_аналитики'!H3663,0)</f>
        <v/>
      </c>
      <c r="I3806">
        <f>IF('01_Вводные'!$B$234="Да",'19_Расчет_аналитики'!I3663,0)</f>
        <v/>
      </c>
      <c r="J3806">
        <f>IF('01_Вводные'!$B$234="Да",'19_Расчет_аналитики'!J3663,0)</f>
        <v/>
      </c>
      <c r="K3806">
        <f>IF('01_Вводные'!$B$234="Да",'19_Расчет_аналитики'!K3663,0)</f>
        <v/>
      </c>
      <c r="L3806">
        <f>IF('01_Вводные'!$B$234="Да",'19_Расчет_аналитики'!L3663,0)</f>
        <v/>
      </c>
      <c r="M3806">
        <f>IF('01_Вводные'!$B$234="Да",'19_Расчет_аналитики'!M3663,0)</f>
        <v/>
      </c>
      <c r="N3806">
        <f>IF('01_Вводные'!$B$234="Да",'19_Расчет_аналитики'!N3663,0)</f>
        <v/>
      </c>
      <c r="O3806">
        <f>IF('01_Вводные'!$B$234="Да",'19_Расчет_аналитики'!O3663,0)</f>
        <v/>
      </c>
      <c r="P3806">
        <f>IF('01_Вводные'!$B$234="Да",'19_Расчет_аналитики'!P3663,0)</f>
        <v/>
      </c>
      <c r="Q3806">
        <f>IF('01_Вводные'!$B$234="Да",'19_Расчет_аналитики'!Q3663,0)</f>
        <v/>
      </c>
      <c r="R3806">
        <f>IF('01_Вводные'!$B$234="Да",'19_Расчет_аналитики'!R3663,0)</f>
        <v/>
      </c>
      <c r="S3806">
        <f>IF('01_Вводные'!$B$234="Да",'19_Расчет_аналитики'!S3663,0)</f>
        <v/>
      </c>
      <c r="T3806">
        <f>IF('01_Вводные'!$B$234="Да",'19_Расчет_аналитики'!T3663,0)</f>
        <v/>
      </c>
      <c r="U3806">
        <f>IF('01_Вводные'!$B$234="Да",'19_Расчет_аналитики'!U3663,0)</f>
        <v/>
      </c>
      <c r="V3806">
        <f>IF('01_Вводные'!$B$234="Да",'19_Расчет_аналитики'!V3663,0)</f>
        <v/>
      </c>
      <c r="W3806">
        <f>IF('01_Вводные'!$B$234="Да",'19_Расчет_аналитики'!W3663,0)</f>
        <v/>
      </c>
      <c r="X3806">
        <f>IF('01_Вводные'!$B$234="Да",'19_Расчет_аналитики'!X3663,0)</f>
        <v/>
      </c>
      <c r="Y3806">
        <f>IF('01_Вводные'!$B$234="Да",'19_Расчет_аналитики'!Y3663,0)</f>
        <v/>
      </c>
      <c r="Z3806">
        <f>IF('01_Вводные'!$B$234="Да",'19_Расчет_аналитики'!Z3663,0)</f>
        <v/>
      </c>
      <c r="AA3806">
        <f>IF('01_Вводные'!$B$234="Да",'19_Расчет_аналитики'!AA3663,0)</f>
        <v/>
      </c>
      <c r="AB3806">
        <f>IF('01_Вводные'!$B$234="Да",'19_Расчет_аналитики'!AB3663,0)</f>
        <v/>
      </c>
      <c r="AC3806">
        <f>IF('01_Вводные'!$B$234="Да",'19_Расчет_аналитики'!AC3663,0)</f>
        <v/>
      </c>
      <c r="AD3806">
        <f>IF('01_Вводные'!$B$234="Да",'19_Расчет_аналитики'!AD3663,0)</f>
        <v/>
      </c>
      <c r="AE3806">
        <f>IF('01_Вводные'!$B$234="Да",'19_Расчет_аналитики'!AE3663,0)</f>
        <v/>
      </c>
      <c r="AF3806">
        <f>IF('01_Вводные'!$B$234="Да",'19_Расчет_аналитики'!AF3663,0)</f>
        <v/>
      </c>
      <c r="AG3806">
        <f>IF('01_Вводные'!$B$234="Да",'19_Расчет_аналитики'!AG3663,0)</f>
        <v/>
      </c>
      <c r="AH3806">
        <f>IF('01_Вводные'!$B$234="Да",'19_Расчет_аналитики'!AH3663,0)</f>
        <v/>
      </c>
      <c r="AI3806">
        <f>IF('01_Вводные'!$B$234="Да",'19_Расчет_аналитики'!AI3663,0)</f>
        <v/>
      </c>
      <c r="AJ3806">
        <f>IF('01_Вводные'!$B$234="Да",'19_Расчет_аналитики'!AJ3663,0)</f>
        <v/>
      </c>
      <c r="AK3806">
        <f>IF('01_Вводные'!$B$234="Да",'19_Расчет_аналитики'!AK3663,0)</f>
        <v/>
      </c>
      <c r="AL3806">
        <f>IF('01_Вводные'!$B$234="Да",'19_Расчет_аналитики'!AL3663,0)</f>
        <v/>
      </c>
      <c r="AM3806">
        <f>IF('01_Вводные'!$B$234="Да",'19_Расчет_аналитики'!AM3663,0)</f>
        <v/>
      </c>
      <c r="AN3806">
        <f>IF('01_Вводные'!$B$234="Да",'19_Расчет_аналитики'!AN3663,0)</f>
        <v/>
      </c>
      <c r="AO3806">
        <f>IF('01_Вводные'!$B$234="Да",'19_Расчет_аналитики'!AO3663,0)</f>
        <v/>
      </c>
      <c r="AP3806">
        <f>IF('01_Вводные'!$B$234="Да",'19_Расчет_аналитики'!AP3663,0)</f>
        <v/>
      </c>
      <c r="AQ3806">
        <f>IF('01_Вводные'!$B$234="Да",'19_Расчет_аналитики'!AQ3663,0)</f>
        <v/>
      </c>
      <c r="AR3806">
        <f>IF('01_Вводные'!$B$234="Да",'19_Расчет_аналитики'!AR3663,0)</f>
        <v/>
      </c>
      <c r="AS3806">
        <f>IF('01_Вводные'!$B$234="Да",'19_Расчет_аналитики'!AS3663,0)</f>
        <v/>
      </c>
      <c r="AT3806">
        <f>IF('01_Вводные'!$B$234="Да",'19_Расчет_аналитики'!AT3663,0)</f>
        <v/>
      </c>
      <c r="AU3806">
        <f>IF('01_Вводные'!$B$234="Да",'19_Расчет_аналитики'!AU3663,0)</f>
        <v/>
      </c>
      <c r="AV3806">
        <f>IF('01_Вводные'!$B$234="Да",'19_Расчет_аналитики'!AV3663,0)</f>
        <v/>
      </c>
      <c r="AW3806">
        <f>IF('01_Вводные'!$B$234="Да",'19_Расчет_аналитики'!AW3663,0)</f>
        <v/>
      </c>
      <c r="AX3806">
        <f>IF('01_Вводные'!$B$234="Да",'19_Расчет_аналитики'!AX3663,0)</f>
        <v/>
      </c>
      <c r="AY3806">
        <f>IF('01_Вводные'!$B$234="Да",'19_Расчет_аналитики'!AY3663,0)</f>
        <v/>
      </c>
      <c r="AZ3806">
        <f>IF('01_Вводные'!$B$234="Да",'19_Расчет_аналитики'!AZ3663,0)</f>
        <v/>
      </c>
      <c r="BA3806">
        <f>IF('01_Вводные'!$B$234="Да",'19_Расчет_аналитики'!BA3663,0)</f>
        <v/>
      </c>
      <c r="BB3806">
        <f>IF('01_Вводные'!$B$234="Да",'19_Расчет_аналитики'!BB3663,0)</f>
        <v/>
      </c>
      <c r="BC3806">
        <f>IF('01_Вводные'!$B$234="Да",'19_Расчет_аналитики'!BC3663,0)</f>
        <v/>
      </c>
      <c r="BD3806">
        <f>IF('01_Вводные'!$B$234="Да",'19_Расчет_аналитики'!BD3663,0)</f>
        <v/>
      </c>
      <c r="BE3806">
        <f>IF('01_Вводные'!$B$234="Да",'19_Расчет_аналитики'!BE3663,0)</f>
        <v/>
      </c>
      <c r="BF3806">
        <f>IF('01_Вводные'!$B$234="Да",'19_Расчет_аналитики'!BF3663,0)</f>
        <v/>
      </c>
      <c r="BG3806">
        <f>IF('01_Вводные'!$B$234="Да",'19_Расчет_аналитики'!BG3663,0)</f>
        <v/>
      </c>
      <c r="BH3806">
        <f>IF('01_Вводные'!$B$234="Да",'19_Расчет_аналитики'!BH3663,0)</f>
        <v/>
      </c>
      <c r="BI3806">
        <f>IF('01_Вводные'!$B$234="Да",'19_Расчет_аналитики'!BI3663,0)</f>
        <v/>
      </c>
    </row>
    <row r="3807">
      <c r="B3807">
        <f>IF('01_Вводные'!$B$234="Да",'19_Расчет_аналитики'!B3661,0)</f>
        <v/>
      </c>
      <c r="C3807">
        <f>IF('01_Вводные'!$B$234="Да",'19_Расчет_аналитики'!C3661,0)</f>
        <v/>
      </c>
      <c r="D3807">
        <f>IF('01_Вводные'!$B$234="Да",'19_Расчет_аналитики'!D3661,0)</f>
        <v/>
      </c>
      <c r="E3807">
        <f>IF('01_Вводные'!$B$234="Да",'19_Расчет_аналитики'!E3661,0)</f>
        <v/>
      </c>
      <c r="F3807">
        <f>IF('01_Вводные'!$B$234="Да",'19_Расчет_аналитики'!F3661,0)</f>
        <v/>
      </c>
      <c r="G3807">
        <f>IF('01_Вводные'!$B$234="Да",'19_Расчет_аналитики'!G3661,0)</f>
        <v/>
      </c>
      <c r="H3807">
        <f>IF('01_Вводные'!$B$234="Да",'19_Расчет_аналитики'!H3661,0)</f>
        <v/>
      </c>
      <c r="I3807">
        <f>IF('01_Вводные'!$B$234="Да",'19_Расчет_аналитики'!I3661,0)</f>
        <v/>
      </c>
      <c r="J3807">
        <f>IF('01_Вводные'!$B$234="Да",'19_Расчет_аналитики'!J3661,0)</f>
        <v/>
      </c>
      <c r="K3807">
        <f>IF('01_Вводные'!$B$234="Да",'19_Расчет_аналитики'!K3661,0)</f>
        <v/>
      </c>
      <c r="L3807">
        <f>IF('01_Вводные'!$B$234="Да",'19_Расчет_аналитики'!L3661,0)</f>
        <v/>
      </c>
      <c r="M3807">
        <f>IF('01_Вводные'!$B$234="Да",'19_Расчет_аналитики'!M3661,0)</f>
        <v/>
      </c>
      <c r="N3807">
        <f>IF('01_Вводные'!$B$234="Да",'19_Расчет_аналитики'!N3661,0)</f>
        <v/>
      </c>
      <c r="O3807">
        <f>IF('01_Вводные'!$B$234="Да",'19_Расчет_аналитики'!O3661,0)</f>
        <v/>
      </c>
      <c r="P3807">
        <f>IF('01_Вводные'!$B$234="Да",'19_Расчет_аналитики'!P3661,0)</f>
        <v/>
      </c>
      <c r="Q3807">
        <f>IF('01_Вводные'!$B$234="Да",'19_Расчет_аналитики'!Q3661,0)</f>
        <v/>
      </c>
      <c r="R3807">
        <f>IF('01_Вводные'!$B$234="Да",'19_Расчет_аналитики'!R3661,0)</f>
        <v/>
      </c>
      <c r="S3807">
        <f>IF('01_Вводные'!$B$234="Да",'19_Расчет_аналитики'!S3661,0)</f>
        <v/>
      </c>
      <c r="T3807">
        <f>IF('01_Вводные'!$B$234="Да",'19_Расчет_аналитики'!T3661,0)</f>
        <v/>
      </c>
      <c r="U3807">
        <f>IF('01_Вводные'!$B$234="Да",'19_Расчет_аналитики'!U3661,0)</f>
        <v/>
      </c>
      <c r="V3807">
        <f>IF('01_Вводные'!$B$234="Да",'19_Расчет_аналитики'!V3661,0)</f>
        <v/>
      </c>
      <c r="W3807">
        <f>IF('01_Вводные'!$B$234="Да",'19_Расчет_аналитики'!W3661,0)</f>
        <v/>
      </c>
      <c r="X3807">
        <f>IF('01_Вводные'!$B$234="Да",'19_Расчет_аналитики'!X3661,0)</f>
        <v/>
      </c>
      <c r="Y3807">
        <f>IF('01_Вводные'!$B$234="Да",'19_Расчет_аналитики'!Y3661,0)</f>
        <v/>
      </c>
      <c r="Z3807">
        <f>IF('01_Вводные'!$B$234="Да",'19_Расчет_аналитики'!Z3661,0)</f>
        <v/>
      </c>
      <c r="AA3807">
        <f>IF('01_Вводные'!$B$234="Да",'19_Расчет_аналитики'!AA3661,0)</f>
        <v/>
      </c>
      <c r="AB3807">
        <f>IF('01_Вводные'!$B$234="Да",'19_Расчет_аналитики'!AB3661,0)</f>
        <v/>
      </c>
      <c r="AC3807">
        <f>IF('01_Вводные'!$B$234="Да",'19_Расчет_аналитики'!AC3661,0)</f>
        <v/>
      </c>
      <c r="AD3807">
        <f>IF('01_Вводные'!$B$234="Да",'19_Расчет_аналитики'!AD3661,0)</f>
        <v/>
      </c>
      <c r="AE3807">
        <f>IF('01_Вводные'!$B$234="Да",'19_Расчет_аналитики'!AE3661,0)</f>
        <v/>
      </c>
      <c r="AF3807">
        <f>IF('01_Вводные'!$B$234="Да",'19_Расчет_аналитики'!AF3661,0)</f>
        <v/>
      </c>
      <c r="AG3807">
        <f>IF('01_Вводные'!$B$234="Да",'19_Расчет_аналитики'!AG3661,0)</f>
        <v/>
      </c>
      <c r="AH3807">
        <f>IF('01_Вводные'!$B$234="Да",'19_Расчет_аналитики'!AH3661,0)</f>
        <v/>
      </c>
      <c r="AI3807">
        <f>IF('01_Вводные'!$B$234="Да",'19_Расчет_аналитики'!AI3661,0)</f>
        <v/>
      </c>
      <c r="AJ3807">
        <f>IF('01_Вводные'!$B$234="Да",'19_Расчет_аналитики'!AJ3661,0)</f>
        <v/>
      </c>
      <c r="AK3807">
        <f>IF('01_Вводные'!$B$234="Да",'19_Расчет_аналитики'!AK3661,0)</f>
        <v/>
      </c>
      <c r="AL3807">
        <f>IF('01_Вводные'!$B$234="Да",'19_Расчет_аналитики'!AL3661,0)</f>
        <v/>
      </c>
      <c r="AM3807">
        <f>IF('01_Вводные'!$B$234="Да",'19_Расчет_аналитики'!AM3661,0)</f>
        <v/>
      </c>
      <c r="AN3807">
        <f>IF('01_Вводные'!$B$234="Да",'19_Расчет_аналитики'!AN3661,0)</f>
        <v/>
      </c>
      <c r="AO3807">
        <f>IF('01_Вводные'!$B$234="Да",'19_Расчет_аналитики'!AO3661,0)</f>
        <v/>
      </c>
      <c r="AP3807">
        <f>IF('01_Вводные'!$B$234="Да",'19_Расчет_аналитики'!AP3661,0)</f>
        <v/>
      </c>
      <c r="AQ3807">
        <f>IF('01_Вводные'!$B$234="Да",'19_Расчет_аналитики'!AQ3661,0)</f>
        <v/>
      </c>
      <c r="AR3807">
        <f>IF('01_Вводные'!$B$234="Да",'19_Расчет_аналитики'!AR3661,0)</f>
        <v/>
      </c>
      <c r="AS3807">
        <f>IF('01_Вводные'!$B$234="Да",'19_Расчет_аналитики'!AS3661,0)</f>
        <v/>
      </c>
      <c r="AT3807">
        <f>IF('01_Вводные'!$B$234="Да",'19_Расчет_аналитики'!AT3661,0)</f>
        <v/>
      </c>
      <c r="AU3807">
        <f>IF('01_Вводные'!$B$234="Да",'19_Расчет_аналитики'!AU3661,0)</f>
        <v/>
      </c>
      <c r="AV3807">
        <f>IF('01_Вводные'!$B$234="Да",'19_Расчет_аналитики'!AV3661,0)</f>
        <v/>
      </c>
      <c r="AW3807">
        <f>IF('01_Вводные'!$B$234="Да",'19_Расчет_аналитики'!AW3661,0)</f>
        <v/>
      </c>
      <c r="AX3807">
        <f>IF('01_Вводные'!$B$234="Да",'19_Расчет_аналитики'!AX3661,0)</f>
        <v/>
      </c>
      <c r="AY3807">
        <f>IF('01_Вводные'!$B$234="Да",'19_Расчет_аналитики'!AY3661,0)</f>
        <v/>
      </c>
      <c r="AZ3807">
        <f>IF('01_Вводные'!$B$234="Да",'19_Расчет_аналитики'!AZ3661,0)</f>
        <v/>
      </c>
      <c r="BA3807">
        <f>IF('01_Вводные'!$B$234="Да",'19_Расчет_аналитики'!BA3661,0)</f>
        <v/>
      </c>
      <c r="BB3807">
        <f>IF('01_Вводные'!$B$234="Да",'19_Расчет_аналитики'!BB3661,0)</f>
        <v/>
      </c>
      <c r="BC3807">
        <f>IF('01_Вводные'!$B$234="Да",'19_Расчет_аналитики'!BC3661,0)</f>
        <v/>
      </c>
      <c r="BD3807">
        <f>IF('01_Вводные'!$B$234="Да",'19_Расчет_аналитики'!BD3661,0)</f>
        <v/>
      </c>
      <c r="BE3807">
        <f>IF('01_Вводные'!$B$234="Да",'19_Расчет_аналитики'!BE3661,0)</f>
        <v/>
      </c>
      <c r="BF3807">
        <f>IF('01_Вводные'!$B$234="Да",'19_Расчет_аналитики'!BF3661,0)</f>
        <v/>
      </c>
      <c r="BG3807">
        <f>IF('01_Вводные'!$B$234="Да",'19_Расчет_аналитики'!BG3661,0)</f>
        <v/>
      </c>
      <c r="BH3807">
        <f>IF('01_Вводные'!$B$234="Да",'19_Расчет_аналитики'!BH3661,0)</f>
        <v/>
      </c>
      <c r="BI3807">
        <f>IF('01_Вводные'!$B$234="Да",'19_Расчет_аналитики'!BI3661,0)</f>
        <v/>
      </c>
    </row>
    <row r="3808">
      <c r="B3808">
        <f>IF('01_Вводные'!$B$234="Да",'19_Расчет_аналитики'!B3664,0)</f>
        <v/>
      </c>
      <c r="C3808">
        <f>IF('01_Вводные'!$B$234="Да",'19_Расчет_аналитики'!C3664,0)</f>
        <v/>
      </c>
      <c r="D3808">
        <f>IF('01_Вводные'!$B$234="Да",'19_Расчет_аналитики'!D3664,0)</f>
        <v/>
      </c>
      <c r="E3808">
        <f>IF('01_Вводные'!$B$234="Да",'19_Расчет_аналитики'!E3664,0)</f>
        <v/>
      </c>
      <c r="F3808">
        <f>IF('01_Вводные'!$B$234="Да",'19_Расчет_аналитики'!F3664,0)</f>
        <v/>
      </c>
      <c r="G3808">
        <f>IF('01_Вводные'!$B$234="Да",'19_Расчет_аналитики'!G3664,0)</f>
        <v/>
      </c>
      <c r="H3808">
        <f>IF('01_Вводные'!$B$234="Да",'19_Расчет_аналитики'!H3664,0)</f>
        <v/>
      </c>
      <c r="I3808">
        <f>IF('01_Вводные'!$B$234="Да",'19_Расчет_аналитики'!I3664,0)</f>
        <v/>
      </c>
      <c r="J3808">
        <f>IF('01_Вводные'!$B$234="Да",'19_Расчет_аналитики'!J3664,0)</f>
        <v/>
      </c>
      <c r="K3808">
        <f>IF('01_Вводные'!$B$234="Да",'19_Расчет_аналитики'!K3664,0)</f>
        <v/>
      </c>
      <c r="L3808">
        <f>IF('01_Вводные'!$B$234="Да",'19_Расчет_аналитики'!L3664,0)</f>
        <v/>
      </c>
      <c r="M3808">
        <f>IF('01_Вводные'!$B$234="Да",'19_Расчет_аналитики'!M3664,0)</f>
        <v/>
      </c>
      <c r="N3808">
        <f>IF('01_Вводные'!$B$234="Да",'19_Расчет_аналитики'!N3664,0)</f>
        <v/>
      </c>
      <c r="O3808">
        <f>IF('01_Вводные'!$B$234="Да",'19_Расчет_аналитики'!O3664,0)</f>
        <v/>
      </c>
      <c r="P3808">
        <f>IF('01_Вводные'!$B$234="Да",'19_Расчет_аналитики'!P3664,0)</f>
        <v/>
      </c>
      <c r="Q3808">
        <f>IF('01_Вводные'!$B$234="Да",'19_Расчет_аналитики'!Q3664,0)</f>
        <v/>
      </c>
      <c r="R3808">
        <f>IF('01_Вводные'!$B$234="Да",'19_Расчет_аналитики'!R3664,0)</f>
        <v/>
      </c>
      <c r="S3808">
        <f>IF('01_Вводные'!$B$234="Да",'19_Расчет_аналитики'!S3664,0)</f>
        <v/>
      </c>
      <c r="T3808">
        <f>IF('01_Вводные'!$B$234="Да",'19_Расчет_аналитики'!T3664,0)</f>
        <v/>
      </c>
      <c r="U3808">
        <f>IF('01_Вводные'!$B$234="Да",'19_Расчет_аналитики'!U3664,0)</f>
        <v/>
      </c>
      <c r="V3808">
        <f>IF('01_Вводные'!$B$234="Да",'19_Расчет_аналитики'!V3664,0)</f>
        <v/>
      </c>
      <c r="W3808">
        <f>IF('01_Вводные'!$B$234="Да",'19_Расчет_аналитики'!W3664,0)</f>
        <v/>
      </c>
      <c r="X3808">
        <f>IF('01_Вводные'!$B$234="Да",'19_Расчет_аналитики'!X3664,0)</f>
        <v/>
      </c>
      <c r="Y3808">
        <f>IF('01_Вводные'!$B$234="Да",'19_Расчет_аналитики'!Y3664,0)</f>
        <v/>
      </c>
      <c r="Z3808">
        <f>IF('01_Вводные'!$B$234="Да",'19_Расчет_аналитики'!Z3664,0)</f>
        <v/>
      </c>
      <c r="AA3808">
        <f>IF('01_Вводные'!$B$234="Да",'19_Расчет_аналитики'!AA3664,0)</f>
        <v/>
      </c>
      <c r="AB3808">
        <f>IF('01_Вводные'!$B$234="Да",'19_Расчет_аналитики'!AB3664,0)</f>
        <v/>
      </c>
      <c r="AC3808">
        <f>IF('01_Вводные'!$B$234="Да",'19_Расчет_аналитики'!AC3664,0)</f>
        <v/>
      </c>
      <c r="AD3808">
        <f>IF('01_Вводные'!$B$234="Да",'19_Расчет_аналитики'!AD3664,0)</f>
        <v/>
      </c>
      <c r="AE3808">
        <f>IF('01_Вводные'!$B$234="Да",'19_Расчет_аналитики'!AE3664,0)</f>
        <v/>
      </c>
      <c r="AF3808">
        <f>IF('01_Вводные'!$B$234="Да",'19_Расчет_аналитики'!AF3664,0)</f>
        <v/>
      </c>
      <c r="AG3808">
        <f>IF('01_Вводные'!$B$234="Да",'19_Расчет_аналитики'!AG3664,0)</f>
        <v/>
      </c>
      <c r="AH3808">
        <f>IF('01_Вводные'!$B$234="Да",'19_Расчет_аналитики'!AH3664,0)</f>
        <v/>
      </c>
      <c r="AI3808">
        <f>IF('01_Вводные'!$B$234="Да",'19_Расчет_аналитики'!AI3664,0)</f>
        <v/>
      </c>
      <c r="AJ3808">
        <f>IF('01_Вводные'!$B$234="Да",'19_Расчет_аналитики'!AJ3664,0)</f>
        <v/>
      </c>
      <c r="AK3808">
        <f>IF('01_Вводные'!$B$234="Да",'19_Расчет_аналитики'!AK3664,0)</f>
        <v/>
      </c>
      <c r="AL3808">
        <f>IF('01_Вводные'!$B$234="Да",'19_Расчет_аналитики'!AL3664,0)</f>
        <v/>
      </c>
      <c r="AM3808">
        <f>IF('01_Вводные'!$B$234="Да",'19_Расчет_аналитики'!AM3664,0)</f>
        <v/>
      </c>
      <c r="AN3808">
        <f>IF('01_Вводные'!$B$234="Да",'19_Расчет_аналитики'!AN3664,0)</f>
        <v/>
      </c>
      <c r="AO3808">
        <f>IF('01_Вводные'!$B$234="Да",'19_Расчет_аналитики'!AO3664,0)</f>
        <v/>
      </c>
      <c r="AP3808">
        <f>IF('01_Вводные'!$B$234="Да",'19_Расчет_аналитики'!AP3664,0)</f>
        <v/>
      </c>
      <c r="AQ3808">
        <f>IF('01_Вводные'!$B$234="Да",'19_Расчет_аналитики'!AQ3664,0)</f>
        <v/>
      </c>
      <c r="AR3808">
        <f>IF('01_Вводные'!$B$234="Да",'19_Расчет_аналитики'!AR3664,0)</f>
        <v/>
      </c>
      <c r="AS3808">
        <f>IF('01_Вводные'!$B$234="Да",'19_Расчет_аналитики'!AS3664,0)</f>
        <v/>
      </c>
      <c r="AT3808">
        <f>IF('01_Вводные'!$B$234="Да",'19_Расчет_аналитики'!AT3664,0)</f>
        <v/>
      </c>
      <c r="AU3808">
        <f>IF('01_Вводные'!$B$234="Да",'19_Расчет_аналитики'!AU3664,0)</f>
        <v/>
      </c>
      <c r="AV3808">
        <f>IF('01_Вводные'!$B$234="Да",'19_Расчет_аналитики'!AV3664,0)</f>
        <v/>
      </c>
      <c r="AW3808">
        <f>IF('01_Вводные'!$B$234="Да",'19_Расчет_аналитики'!AW3664,0)</f>
        <v/>
      </c>
      <c r="AX3808">
        <f>IF('01_Вводные'!$B$234="Да",'19_Расчет_аналитики'!AX3664,0)</f>
        <v/>
      </c>
      <c r="AY3808">
        <f>IF('01_Вводные'!$B$234="Да",'19_Расчет_аналитики'!AY3664,0)</f>
        <v/>
      </c>
      <c r="AZ3808">
        <f>IF('01_Вводные'!$B$234="Да",'19_Расчет_аналитики'!AZ3664,0)</f>
        <v/>
      </c>
      <c r="BA3808">
        <f>IF('01_Вводные'!$B$234="Да",'19_Расчет_аналитики'!BA3664,0)</f>
        <v/>
      </c>
      <c r="BB3808">
        <f>IF('01_Вводные'!$B$234="Да",'19_Расчет_аналитики'!BB3664,0)</f>
        <v/>
      </c>
      <c r="BC3808">
        <f>IF('01_Вводные'!$B$234="Да",'19_Расчет_аналитики'!BC3664,0)</f>
        <v/>
      </c>
      <c r="BD3808">
        <f>IF('01_Вводные'!$B$234="Да",'19_Расчет_аналитики'!BD3664,0)</f>
        <v/>
      </c>
      <c r="BE3808">
        <f>IF('01_Вводные'!$B$234="Да",'19_Расчет_аналитики'!BE3664,0)</f>
        <v/>
      </c>
      <c r="BF3808">
        <f>IF('01_Вводные'!$B$234="Да",'19_Расчет_аналитики'!BF3664,0)</f>
        <v/>
      </c>
      <c r="BG3808">
        <f>IF('01_Вводные'!$B$234="Да",'19_Расчет_аналитики'!BG3664,0)</f>
        <v/>
      </c>
      <c r="BH3808">
        <f>IF('01_Вводные'!$B$234="Да",'19_Расчет_аналитики'!BH3664,0)</f>
        <v/>
      </c>
      <c r="BI3808">
        <f>IF('01_Вводные'!$B$234="Да",'19_Расчет_аналитики'!BI3664,0)</f>
        <v/>
      </c>
    </row>
    <row r="3809"/>
    <row r="3810">
      <c r="B3810">
        <f>IF('01_Вводные'!$B$234="Да",0+'19_Расчет_аналитики'!B3749+'19_Расчет_аналитики'!B3750-'19_Расчет_аналитики'!B3783/(1+'01_Вводные'!$B$58),0)</f>
        <v/>
      </c>
      <c r="C3810">
        <f>IF('01_Вводные'!$B$234="Да",'19_Расчет_аналитики'!B3810+'19_Расчет_аналитики'!C3749+'19_Расчет_аналитики'!C3750-'19_Расчет_аналитики'!C3783/(1+'01_Вводные'!$B$58),0)</f>
        <v/>
      </c>
      <c r="D3810">
        <f>IF('01_Вводные'!$B$234="Да",'19_Расчет_аналитики'!C3810+'19_Расчет_аналитики'!D3749+'19_Расчет_аналитики'!D3750-'19_Расчет_аналитики'!D3783/(1+'01_Вводные'!$B$58),0)</f>
        <v/>
      </c>
      <c r="E3810">
        <f>IF('01_Вводные'!$B$234="Да",'19_Расчет_аналитики'!D3810+'19_Расчет_аналитики'!E3749+'19_Расчет_аналитики'!E3750-'19_Расчет_аналитики'!E3783/(1+'01_Вводные'!$B$58),0)</f>
        <v/>
      </c>
      <c r="F3810">
        <f>IF('01_Вводные'!$B$234="Да",'19_Расчет_аналитики'!E3810+'19_Расчет_аналитики'!F3749+'19_Расчет_аналитики'!F3750-'19_Расчет_аналитики'!F3783/(1+'01_Вводные'!$B$58),0)</f>
        <v/>
      </c>
      <c r="G3810">
        <f>IF('01_Вводные'!$B$234="Да",'19_Расчет_аналитики'!F3810+'19_Расчет_аналитики'!G3749+'19_Расчет_аналитики'!G3750-'19_Расчет_аналитики'!G3783/(1+'01_Вводные'!$B$58),0)</f>
        <v/>
      </c>
      <c r="H3810">
        <f>IF('01_Вводные'!$B$234="Да",'19_Расчет_аналитики'!G3810+'19_Расчет_аналитики'!H3749+'19_Расчет_аналитики'!H3750-'19_Расчет_аналитики'!H3783/(1+'01_Вводные'!$B$58),0)</f>
        <v/>
      </c>
      <c r="I3810">
        <f>IF('01_Вводные'!$B$234="Да",'19_Расчет_аналитики'!H3810+'19_Расчет_аналитики'!I3749+'19_Расчет_аналитики'!I3750-'19_Расчет_аналитики'!I3783/(1+'01_Вводные'!$B$58),0)</f>
        <v/>
      </c>
      <c r="J3810">
        <f>IF('01_Вводные'!$B$234="Да",'19_Расчет_аналитики'!I3810+'19_Расчет_аналитики'!J3749+'19_Расчет_аналитики'!J3750-'19_Расчет_аналитики'!J3783/(1+'01_Вводные'!$B$58),0)</f>
        <v/>
      </c>
      <c r="K3810">
        <f>IF('01_Вводные'!$B$234="Да",'19_Расчет_аналитики'!J3810+'19_Расчет_аналитики'!K3749+'19_Расчет_аналитики'!K3750-'19_Расчет_аналитики'!K3783/(1+'01_Вводные'!$B$58),0)</f>
        <v/>
      </c>
      <c r="L3810">
        <f>IF('01_Вводные'!$B$234="Да",'19_Расчет_аналитики'!K3810+'19_Расчет_аналитики'!L3749+'19_Расчет_аналитики'!L3750-'19_Расчет_аналитики'!L3783/(1+'01_Вводные'!$B$58),0)</f>
        <v/>
      </c>
      <c r="M3810">
        <f>IF('01_Вводные'!$B$234="Да",'19_Расчет_аналитики'!L3810+'19_Расчет_аналитики'!M3749+'19_Расчет_аналитики'!M3750-'19_Расчет_аналитики'!M3783/(1+'01_Вводные'!$B$58),0)</f>
        <v/>
      </c>
      <c r="N3810">
        <f>IF('01_Вводные'!$B$234="Да",'19_Расчет_аналитики'!M3810+'19_Расчет_аналитики'!N3749+'19_Расчет_аналитики'!N3750-'19_Расчет_аналитики'!N3783/(1+'01_Вводные'!$B$58),0)</f>
        <v/>
      </c>
      <c r="O3810">
        <f>IF('01_Вводные'!$B$234="Да",'19_Расчет_аналитики'!N3810+'19_Расчет_аналитики'!O3749+'19_Расчет_аналитики'!O3750-'19_Расчет_аналитики'!O3783/(1+'01_Вводные'!$B$58),0)</f>
        <v/>
      </c>
      <c r="P3810">
        <f>IF('01_Вводные'!$B$234="Да",'19_Расчет_аналитики'!O3810+'19_Расчет_аналитики'!P3749+'19_Расчет_аналитики'!P3750-'19_Расчет_аналитики'!P3783/(1+'01_Вводные'!$B$58),0)</f>
        <v/>
      </c>
      <c r="Q3810">
        <f>IF('01_Вводные'!$B$234="Да",'19_Расчет_аналитики'!P3810+'19_Расчет_аналитики'!Q3749+'19_Расчет_аналитики'!Q3750-'19_Расчет_аналитики'!Q3783/(1+'01_Вводные'!$B$58),0)</f>
        <v/>
      </c>
      <c r="R3810">
        <f>IF('01_Вводные'!$B$234="Да",'19_Расчет_аналитики'!Q3810+'19_Расчет_аналитики'!R3749+'19_Расчет_аналитики'!R3750-'19_Расчет_аналитики'!R3783/(1+'01_Вводные'!$B$58),0)</f>
        <v/>
      </c>
      <c r="S3810">
        <f>IF('01_Вводные'!$B$234="Да",'19_Расчет_аналитики'!R3810+'19_Расчет_аналитики'!S3749+'19_Расчет_аналитики'!S3750-'19_Расчет_аналитики'!S3783/(1+'01_Вводные'!$B$58),0)</f>
        <v/>
      </c>
      <c r="T3810">
        <f>IF('01_Вводные'!$B$234="Да",'19_Расчет_аналитики'!S3810+'19_Расчет_аналитики'!T3749+'19_Расчет_аналитики'!T3750-'19_Расчет_аналитики'!T3783/(1+'01_Вводные'!$B$58),0)</f>
        <v/>
      </c>
      <c r="U3810">
        <f>IF('01_Вводные'!$B$234="Да",'19_Расчет_аналитики'!T3810+'19_Расчет_аналитики'!U3749+'19_Расчет_аналитики'!U3750-'19_Расчет_аналитики'!U3783/(1+'01_Вводные'!$B$58),0)</f>
        <v/>
      </c>
      <c r="V3810">
        <f>IF('01_Вводные'!$B$234="Да",'19_Расчет_аналитики'!U3810+'19_Расчет_аналитики'!V3749+'19_Расчет_аналитики'!V3750-'19_Расчет_аналитики'!V3783/(1+'01_Вводные'!$B$58),0)</f>
        <v/>
      </c>
      <c r="W3810">
        <f>IF('01_Вводные'!$B$234="Да",'19_Расчет_аналитики'!V3810+'19_Расчет_аналитики'!W3749+'19_Расчет_аналитики'!W3750-'19_Расчет_аналитики'!W3783/(1+'01_Вводные'!$B$58),0)</f>
        <v/>
      </c>
      <c r="X3810">
        <f>IF('01_Вводные'!$B$234="Да",'19_Расчет_аналитики'!W3810+'19_Расчет_аналитики'!X3749+'19_Расчет_аналитики'!X3750-'19_Расчет_аналитики'!X3783/(1+'01_Вводные'!$B$58),0)</f>
        <v/>
      </c>
      <c r="Y3810">
        <f>IF('01_Вводные'!$B$234="Да",'19_Расчет_аналитики'!X3810+'19_Расчет_аналитики'!Y3749+'19_Расчет_аналитики'!Y3750-'19_Расчет_аналитики'!Y3783/(1+'01_Вводные'!$B$58),0)</f>
        <v/>
      </c>
      <c r="Z3810">
        <f>IF('01_Вводные'!$B$234="Да",'19_Расчет_аналитики'!Y3810+'19_Расчет_аналитики'!Z3749+'19_Расчет_аналитики'!Z3750-'19_Расчет_аналитики'!Z3783/(1+'01_Вводные'!$B$58),0)</f>
        <v/>
      </c>
      <c r="AA3810">
        <f>IF('01_Вводные'!$B$234="Да",'19_Расчет_аналитики'!Z3810+'19_Расчет_аналитики'!AA3749+'19_Расчет_аналитики'!AA3750-'19_Расчет_аналитики'!AA3783/(1+'01_Вводные'!$B$58),0)</f>
        <v/>
      </c>
      <c r="AB3810">
        <f>IF('01_Вводные'!$B$234="Да",'19_Расчет_аналитики'!AA3810+'19_Расчет_аналитики'!AB3749+'19_Расчет_аналитики'!AB3750-'19_Расчет_аналитики'!AB3783/(1+'01_Вводные'!$B$58),0)</f>
        <v/>
      </c>
      <c r="AC3810">
        <f>IF('01_Вводные'!$B$234="Да",'19_Расчет_аналитики'!AB3810+'19_Расчет_аналитики'!AC3749+'19_Расчет_аналитики'!AC3750-'19_Расчет_аналитики'!AC3783/(1+'01_Вводные'!$B$58),0)</f>
        <v/>
      </c>
      <c r="AD3810">
        <f>IF('01_Вводные'!$B$234="Да",'19_Расчет_аналитики'!AC3810+'19_Расчет_аналитики'!AD3749+'19_Расчет_аналитики'!AD3750-'19_Расчет_аналитики'!AD3783/(1+'01_Вводные'!$B$58),0)</f>
        <v/>
      </c>
      <c r="AE3810">
        <f>IF('01_Вводные'!$B$234="Да",'19_Расчет_аналитики'!AD3810+'19_Расчет_аналитики'!AE3749+'19_Расчет_аналитики'!AE3750-'19_Расчет_аналитики'!AE3783/(1+'01_Вводные'!$B$58),0)</f>
        <v/>
      </c>
      <c r="AF3810">
        <f>IF('01_Вводные'!$B$234="Да",'19_Расчет_аналитики'!AE3810+'19_Расчет_аналитики'!AF3749+'19_Расчет_аналитики'!AF3750-'19_Расчет_аналитики'!AF3783/(1+'01_Вводные'!$B$58),0)</f>
        <v/>
      </c>
      <c r="AG3810">
        <f>IF('01_Вводные'!$B$234="Да",'19_Расчет_аналитики'!AF3810+'19_Расчет_аналитики'!AG3749+'19_Расчет_аналитики'!AG3750-'19_Расчет_аналитики'!AG3783/(1+'01_Вводные'!$B$58),0)</f>
        <v/>
      </c>
      <c r="AH3810">
        <f>IF('01_Вводные'!$B$234="Да",'19_Расчет_аналитики'!AG3810+'19_Расчет_аналитики'!AH3749+'19_Расчет_аналитики'!AH3750-'19_Расчет_аналитики'!AH3783/(1+'01_Вводные'!$B$58),0)</f>
        <v/>
      </c>
      <c r="AI3810">
        <f>IF('01_Вводные'!$B$234="Да",'19_Расчет_аналитики'!AH3810+'19_Расчет_аналитики'!AI3749+'19_Расчет_аналитики'!AI3750-'19_Расчет_аналитики'!AI3783/(1+'01_Вводные'!$B$58),0)</f>
        <v/>
      </c>
      <c r="AJ3810">
        <f>IF('01_Вводные'!$B$234="Да",'19_Расчет_аналитики'!AI3810+'19_Расчет_аналитики'!AJ3749+'19_Расчет_аналитики'!AJ3750-'19_Расчет_аналитики'!AJ3783/(1+'01_Вводные'!$B$58),0)</f>
        <v/>
      </c>
      <c r="AK3810">
        <f>IF('01_Вводные'!$B$234="Да",'19_Расчет_аналитики'!AJ3810+'19_Расчет_аналитики'!AK3749+'19_Расчет_аналитики'!AK3750-'19_Расчет_аналитики'!AK3783/(1+'01_Вводные'!$B$58),0)</f>
        <v/>
      </c>
      <c r="AL3810">
        <f>IF('01_Вводные'!$B$234="Да",'19_Расчет_аналитики'!AK3810+'19_Расчет_аналитики'!AL3749+'19_Расчет_аналитики'!AL3750-'19_Расчет_аналитики'!AL3783/(1+'01_Вводные'!$B$58),0)</f>
        <v/>
      </c>
      <c r="AM3810">
        <f>IF('01_Вводные'!$B$234="Да",'19_Расчет_аналитики'!AL3810+'19_Расчет_аналитики'!AM3749+'19_Расчет_аналитики'!AM3750-'19_Расчет_аналитики'!AM3783/(1+'01_Вводные'!$B$58),0)</f>
        <v/>
      </c>
      <c r="AN3810">
        <f>IF('01_Вводные'!$B$234="Да",'19_Расчет_аналитики'!AM3810+'19_Расчет_аналитики'!AN3749+'19_Расчет_аналитики'!AN3750-'19_Расчет_аналитики'!AN3783/(1+'01_Вводные'!$B$58),0)</f>
        <v/>
      </c>
      <c r="AO3810">
        <f>IF('01_Вводные'!$B$234="Да",'19_Расчет_аналитики'!AN3810+'19_Расчет_аналитики'!AO3749+'19_Расчет_аналитики'!AO3750-'19_Расчет_аналитики'!AO3783/(1+'01_Вводные'!$B$58),0)</f>
        <v/>
      </c>
      <c r="AP3810">
        <f>IF('01_Вводные'!$B$234="Да",'19_Расчет_аналитики'!AO3810+'19_Расчет_аналитики'!AP3749+'19_Расчет_аналитики'!AP3750-'19_Расчет_аналитики'!AP3783/(1+'01_Вводные'!$B$58),0)</f>
        <v/>
      </c>
      <c r="AQ3810">
        <f>IF('01_Вводные'!$B$234="Да",'19_Расчет_аналитики'!AP3810+'19_Расчет_аналитики'!AQ3749+'19_Расчет_аналитики'!AQ3750-'19_Расчет_аналитики'!AQ3783/(1+'01_Вводные'!$B$58),0)</f>
        <v/>
      </c>
      <c r="AR3810">
        <f>IF('01_Вводные'!$B$234="Да",'19_Расчет_аналитики'!AQ3810+'19_Расчет_аналитики'!AR3749+'19_Расчет_аналитики'!AR3750-'19_Расчет_аналитики'!AR3783/(1+'01_Вводные'!$B$58),0)</f>
        <v/>
      </c>
      <c r="AS3810">
        <f>IF('01_Вводные'!$B$234="Да",'19_Расчет_аналитики'!AR3810+'19_Расчет_аналитики'!AS3749+'19_Расчет_аналитики'!AS3750-'19_Расчет_аналитики'!AS3783/(1+'01_Вводные'!$B$58),0)</f>
        <v/>
      </c>
      <c r="AT3810">
        <f>IF('01_Вводные'!$B$234="Да",'19_Расчет_аналитики'!AS3810+'19_Расчет_аналитики'!AT3749+'19_Расчет_аналитики'!AT3750-'19_Расчет_аналитики'!AT3783/(1+'01_Вводные'!$B$58),0)</f>
        <v/>
      </c>
      <c r="AU3810">
        <f>IF('01_Вводные'!$B$234="Да",'19_Расчет_аналитики'!AT3810+'19_Расчет_аналитики'!AU3749+'19_Расчет_аналитики'!AU3750-'19_Расчет_аналитики'!AU3783/(1+'01_Вводные'!$B$58),0)</f>
        <v/>
      </c>
      <c r="AV3810">
        <f>IF('01_Вводные'!$B$234="Да",'19_Расчет_аналитики'!AU3810+'19_Расчет_аналитики'!AV3749+'19_Расчет_аналитики'!AV3750-'19_Расчет_аналитики'!AV3783/(1+'01_Вводные'!$B$58),0)</f>
        <v/>
      </c>
      <c r="AW3810">
        <f>IF('01_Вводные'!$B$234="Да",'19_Расчет_аналитики'!AV3810+'19_Расчет_аналитики'!AW3749+'19_Расчет_аналитики'!AW3750-'19_Расчет_аналитики'!AW3783/(1+'01_Вводные'!$B$58),0)</f>
        <v/>
      </c>
      <c r="AX3810">
        <f>IF('01_Вводные'!$B$234="Да",'19_Расчет_аналитики'!AW3810+'19_Расчет_аналитики'!AX3749+'19_Расчет_аналитики'!AX3750-'19_Расчет_аналитики'!AX3783/(1+'01_Вводные'!$B$58),0)</f>
        <v/>
      </c>
      <c r="AY3810">
        <f>IF('01_Вводные'!$B$234="Да",'19_Расчет_аналитики'!AX3810+'19_Расчет_аналитики'!AY3749+'19_Расчет_аналитики'!AY3750-'19_Расчет_аналитики'!AY3783/(1+'01_Вводные'!$B$58),0)</f>
        <v/>
      </c>
      <c r="AZ3810">
        <f>IF('01_Вводные'!$B$234="Да",'19_Расчет_аналитики'!AY3810+'19_Расчет_аналитики'!AZ3749+'19_Расчет_аналитики'!AZ3750-'19_Расчет_аналитики'!AZ3783/(1+'01_Вводные'!$B$58),0)</f>
        <v/>
      </c>
      <c r="BA3810">
        <f>IF('01_Вводные'!$B$234="Да",'19_Расчет_аналитики'!AZ3810+'19_Расчет_аналитики'!BA3749+'19_Расчет_аналитики'!BA3750-'19_Расчет_аналитики'!BA3783/(1+'01_Вводные'!$B$58),0)</f>
        <v/>
      </c>
      <c r="BB3810">
        <f>IF('01_Вводные'!$B$234="Да",'19_Расчет_аналитики'!BA3810+'19_Расчет_аналитики'!BB3749+'19_Расчет_аналитики'!BB3750-'19_Расчет_аналитики'!BB3783/(1+'01_Вводные'!$B$58),0)</f>
        <v/>
      </c>
      <c r="BC3810">
        <f>IF('01_Вводные'!$B$234="Да",'19_Расчет_аналитики'!BB3810+'19_Расчет_аналитики'!BC3749+'19_Расчет_аналитики'!BC3750-'19_Расчет_аналитики'!BC3783/(1+'01_Вводные'!$B$58),0)</f>
        <v/>
      </c>
      <c r="BD3810">
        <f>IF('01_Вводные'!$B$234="Да",'19_Расчет_аналитики'!BC3810+'19_Расчет_аналитики'!BD3749+'19_Расчет_аналитики'!BD3750-'19_Расчет_аналитики'!BD3783/(1+'01_Вводные'!$B$58),0)</f>
        <v/>
      </c>
      <c r="BE3810">
        <f>IF('01_Вводные'!$B$234="Да",'19_Расчет_аналитики'!BD3810+'19_Расчет_аналитики'!BE3749+'19_Расчет_аналитики'!BE3750-'19_Расчет_аналитики'!BE3783/(1+'01_Вводные'!$B$58),0)</f>
        <v/>
      </c>
      <c r="BF3810">
        <f>IF('01_Вводные'!$B$234="Да",'19_Расчет_аналитики'!BE3810+'19_Расчет_аналитики'!BF3749+'19_Расчет_аналитики'!BF3750-'19_Расчет_аналитики'!BF3783/(1+'01_Вводные'!$B$58),0)</f>
        <v/>
      </c>
      <c r="BG3810">
        <f>IF('01_Вводные'!$B$234="Да",'19_Расчет_аналитики'!BF3810+'19_Расчет_аналитики'!BG3749+'19_Расчет_аналитики'!BG3750-'19_Расчет_аналитики'!BG3783/(1+'01_Вводные'!$B$58),0)</f>
        <v/>
      </c>
      <c r="BH3810">
        <f>IF('01_Вводные'!$B$234="Да",'19_Расчет_аналитики'!BG3810+'19_Расчет_аналитики'!BH3749+'19_Расчет_аналитики'!BH3750-'19_Расчет_аналитики'!BH3783/(1+'01_Вводные'!$B$58),0)</f>
        <v/>
      </c>
      <c r="BI3810">
        <f>IF('01_Вводные'!$B$234="Да",'19_Расчет_аналитики'!BH3810+'19_Расчет_аналитики'!BI3749+'19_Расчет_аналитики'!BI3750-'19_Расчет_аналитики'!BI3783/(1+'01_Вводные'!$B$58),0)</f>
        <v/>
      </c>
    </row>
    <row r="3811">
      <c r="B3811">
        <f>IF('01_Вводные'!$B$234="Да",0+SUM('19_Расчет_аналитики'!B3767:B3772)+'19_Расчет_аналитики'!B3662-'19_Расчет_аналитики'!B3789,0)</f>
        <v/>
      </c>
      <c r="C3811">
        <f>IF('01_Вводные'!$B$234="Да",'19_Расчет_аналитики'!B3811+SUM('19_Расчет_аналитики'!C3767:C3772)+'19_Расчет_аналитики'!C3662-'19_Расчет_аналитики'!C3789,0)</f>
        <v/>
      </c>
      <c r="D3811">
        <f>IF('01_Вводные'!$B$234="Да",'19_Расчет_аналитики'!C3811+SUM('19_Расчет_аналитики'!D3767:D3772)+'19_Расчет_аналитики'!D3662-'19_Расчет_аналитики'!D3789,0)</f>
        <v/>
      </c>
      <c r="E3811">
        <f>IF('01_Вводные'!$B$234="Да",'19_Расчет_аналитики'!D3811+SUM('19_Расчет_аналитики'!E3767:E3772)+'19_Расчет_аналитики'!E3662-'19_Расчет_аналитики'!E3789,0)</f>
        <v/>
      </c>
      <c r="F3811">
        <f>IF('01_Вводные'!$B$234="Да",'19_Расчет_аналитики'!E3811+SUM('19_Расчет_аналитики'!F3767:F3772)+'19_Расчет_аналитики'!F3662-'19_Расчет_аналитики'!F3789,0)</f>
        <v/>
      </c>
      <c r="G3811">
        <f>IF('01_Вводные'!$B$234="Да",'19_Расчет_аналитики'!F3811+SUM('19_Расчет_аналитики'!G3767:G3772)+'19_Расчет_аналитики'!G3662-'19_Расчет_аналитики'!G3789,0)</f>
        <v/>
      </c>
      <c r="H3811">
        <f>IF('01_Вводные'!$B$234="Да",'19_Расчет_аналитики'!G3811+SUM('19_Расчет_аналитики'!H3767:H3772)+'19_Расчет_аналитики'!H3662-'19_Расчет_аналитики'!H3789,0)</f>
        <v/>
      </c>
      <c r="I3811">
        <f>IF('01_Вводные'!$B$234="Да",'19_Расчет_аналитики'!H3811+SUM('19_Расчет_аналитики'!I3767:I3772)+'19_Расчет_аналитики'!I3662-'19_Расчет_аналитики'!I3789,0)</f>
        <v/>
      </c>
      <c r="J3811">
        <f>IF('01_Вводные'!$B$234="Да",'19_Расчет_аналитики'!I3811+SUM('19_Расчет_аналитики'!J3767:J3772)+'19_Расчет_аналитики'!J3662-'19_Расчет_аналитики'!J3789,0)</f>
        <v/>
      </c>
      <c r="K3811">
        <f>IF('01_Вводные'!$B$234="Да",'19_Расчет_аналитики'!J3811+SUM('19_Расчет_аналитики'!K3767:K3772)+'19_Расчет_аналитики'!K3662-'19_Расчет_аналитики'!K3789,0)</f>
        <v/>
      </c>
      <c r="L3811">
        <f>IF('01_Вводные'!$B$234="Да",'19_Расчет_аналитики'!K3811+SUM('19_Расчет_аналитики'!L3767:L3772)+'19_Расчет_аналитики'!L3662-'19_Расчет_аналитики'!L3789,0)</f>
        <v/>
      </c>
      <c r="M3811">
        <f>IF('01_Вводные'!$B$234="Да",'19_Расчет_аналитики'!L3811+SUM('19_Расчет_аналитики'!M3767:M3772)+'19_Расчет_аналитики'!M3662-'19_Расчет_аналитики'!M3789,0)</f>
        <v/>
      </c>
      <c r="N3811">
        <f>IF('01_Вводные'!$B$234="Да",'19_Расчет_аналитики'!M3811+SUM('19_Расчет_аналитики'!N3767:N3772)+'19_Расчет_аналитики'!N3662-'19_Расчет_аналитики'!N3789,0)</f>
        <v/>
      </c>
      <c r="O3811">
        <f>IF('01_Вводные'!$B$234="Да",'19_Расчет_аналитики'!N3811+SUM('19_Расчет_аналитики'!O3767:O3772)+'19_Расчет_аналитики'!O3662-'19_Расчет_аналитики'!O3789,0)</f>
        <v/>
      </c>
      <c r="P3811">
        <f>IF('01_Вводные'!$B$234="Да",'19_Расчет_аналитики'!O3811+SUM('19_Расчет_аналитики'!P3767:P3772)+'19_Расчет_аналитики'!P3662-'19_Расчет_аналитики'!P3789,0)</f>
        <v/>
      </c>
      <c r="Q3811">
        <f>IF('01_Вводные'!$B$234="Да",'19_Расчет_аналитики'!P3811+SUM('19_Расчет_аналитики'!Q3767:Q3772)+'19_Расчет_аналитики'!Q3662-'19_Расчет_аналитики'!Q3789,0)</f>
        <v/>
      </c>
      <c r="R3811">
        <f>IF('01_Вводные'!$B$234="Да",'19_Расчет_аналитики'!Q3811+SUM('19_Расчет_аналитики'!R3767:R3772)+'19_Расчет_аналитики'!R3662-'19_Расчет_аналитики'!R3789,0)</f>
        <v/>
      </c>
      <c r="S3811">
        <f>IF('01_Вводные'!$B$234="Да",'19_Расчет_аналитики'!R3811+SUM('19_Расчет_аналитики'!S3767:S3772)+'19_Расчет_аналитики'!S3662-'19_Расчет_аналитики'!S3789,0)</f>
        <v/>
      </c>
      <c r="T3811">
        <f>IF('01_Вводные'!$B$234="Да",'19_Расчет_аналитики'!S3811+SUM('19_Расчет_аналитики'!T3767:T3772)+'19_Расчет_аналитики'!T3662-'19_Расчет_аналитики'!T3789,0)</f>
        <v/>
      </c>
      <c r="U3811">
        <f>IF('01_Вводные'!$B$234="Да",'19_Расчет_аналитики'!T3811+SUM('19_Расчет_аналитики'!U3767:U3772)+'19_Расчет_аналитики'!U3662-'19_Расчет_аналитики'!U3789,0)</f>
        <v/>
      </c>
      <c r="V3811">
        <f>IF('01_Вводные'!$B$234="Да",'19_Расчет_аналитики'!U3811+SUM('19_Расчет_аналитики'!V3767:V3772)+'19_Расчет_аналитики'!V3662-'19_Расчет_аналитики'!V3789,0)</f>
        <v/>
      </c>
      <c r="W3811">
        <f>IF('01_Вводные'!$B$234="Да",'19_Расчет_аналитики'!V3811+SUM('19_Расчет_аналитики'!W3767:W3772)+'19_Расчет_аналитики'!W3662-'19_Расчет_аналитики'!W3789,0)</f>
        <v/>
      </c>
      <c r="X3811">
        <f>IF('01_Вводные'!$B$234="Да",'19_Расчет_аналитики'!W3811+SUM('19_Расчет_аналитики'!X3767:X3772)+'19_Расчет_аналитики'!X3662-'19_Расчет_аналитики'!X3789,0)</f>
        <v/>
      </c>
      <c r="Y3811">
        <f>IF('01_Вводные'!$B$234="Да",'19_Расчет_аналитики'!X3811+SUM('19_Расчет_аналитики'!Y3767:Y3772)+'19_Расчет_аналитики'!Y3662-'19_Расчет_аналитики'!Y3789,0)</f>
        <v/>
      </c>
      <c r="Z3811">
        <f>IF('01_Вводные'!$B$234="Да",'19_Расчет_аналитики'!Y3811+SUM('19_Расчет_аналитики'!Z3767:Z3772)+'19_Расчет_аналитики'!Z3662-'19_Расчет_аналитики'!Z3789,0)</f>
        <v/>
      </c>
      <c r="AA3811">
        <f>IF('01_Вводные'!$B$234="Да",'19_Расчет_аналитики'!Z3811+SUM('19_Расчет_аналитики'!AA3767:AA3772)+'19_Расчет_аналитики'!AA3662-'19_Расчет_аналитики'!AA3789,0)</f>
        <v/>
      </c>
      <c r="AB3811">
        <f>IF('01_Вводные'!$B$234="Да",'19_Расчет_аналитики'!AA3811+SUM('19_Расчет_аналитики'!AB3767:AB3772)+'19_Расчет_аналитики'!AB3662-'19_Расчет_аналитики'!AB3789,0)</f>
        <v/>
      </c>
      <c r="AC3811">
        <f>IF('01_Вводные'!$B$234="Да",'19_Расчет_аналитики'!AB3811+SUM('19_Расчет_аналитики'!AC3767:AC3772)+'19_Расчет_аналитики'!AC3662-'19_Расчет_аналитики'!AC3789,0)</f>
        <v/>
      </c>
      <c r="AD3811">
        <f>IF('01_Вводные'!$B$234="Да",'19_Расчет_аналитики'!AC3811+SUM('19_Расчет_аналитики'!AD3767:AD3772)+'19_Расчет_аналитики'!AD3662-'19_Расчет_аналитики'!AD3789,0)</f>
        <v/>
      </c>
      <c r="AE3811">
        <f>IF('01_Вводные'!$B$234="Да",'19_Расчет_аналитики'!AD3811+SUM('19_Расчет_аналитики'!AE3767:AE3772)+'19_Расчет_аналитики'!AE3662-'19_Расчет_аналитики'!AE3789,0)</f>
        <v/>
      </c>
      <c r="AF3811">
        <f>IF('01_Вводные'!$B$234="Да",'19_Расчет_аналитики'!AE3811+SUM('19_Расчет_аналитики'!AF3767:AF3772)+'19_Расчет_аналитики'!AF3662-'19_Расчет_аналитики'!AF3789,0)</f>
        <v/>
      </c>
      <c r="AG3811">
        <f>IF('01_Вводные'!$B$234="Да",'19_Расчет_аналитики'!AF3811+SUM('19_Расчет_аналитики'!AG3767:AG3772)+'19_Расчет_аналитики'!AG3662-'19_Расчет_аналитики'!AG3789,0)</f>
        <v/>
      </c>
      <c r="AH3811">
        <f>IF('01_Вводные'!$B$234="Да",'19_Расчет_аналитики'!AG3811+SUM('19_Расчет_аналитики'!AH3767:AH3772)+'19_Расчет_аналитики'!AH3662-'19_Расчет_аналитики'!AH3789,0)</f>
        <v/>
      </c>
      <c r="AI3811">
        <f>IF('01_Вводные'!$B$234="Да",'19_Расчет_аналитики'!AH3811+SUM('19_Расчет_аналитики'!AI3767:AI3772)+'19_Расчет_аналитики'!AI3662-'19_Расчет_аналитики'!AI3789,0)</f>
        <v/>
      </c>
      <c r="AJ3811">
        <f>IF('01_Вводные'!$B$234="Да",'19_Расчет_аналитики'!AI3811+SUM('19_Расчет_аналитики'!AJ3767:AJ3772)+'19_Расчет_аналитики'!AJ3662-'19_Расчет_аналитики'!AJ3789,0)</f>
        <v/>
      </c>
      <c r="AK3811">
        <f>IF('01_Вводные'!$B$234="Да",'19_Расчет_аналитики'!AJ3811+SUM('19_Расчет_аналитики'!AK3767:AK3772)+'19_Расчет_аналитики'!AK3662-'19_Расчет_аналитики'!AK3789,0)</f>
        <v/>
      </c>
      <c r="AL3811">
        <f>IF('01_Вводные'!$B$234="Да",'19_Расчет_аналитики'!AK3811+SUM('19_Расчет_аналитики'!AL3767:AL3772)+'19_Расчет_аналитики'!AL3662-'19_Расчет_аналитики'!AL3789,0)</f>
        <v/>
      </c>
      <c r="AM3811">
        <f>IF('01_Вводные'!$B$234="Да",'19_Расчет_аналитики'!AL3811+SUM('19_Расчет_аналитики'!AM3767:AM3772)+'19_Расчет_аналитики'!AM3662-'19_Расчет_аналитики'!AM3789,0)</f>
        <v/>
      </c>
      <c r="AN3811">
        <f>IF('01_Вводные'!$B$234="Да",'19_Расчет_аналитики'!AM3811+SUM('19_Расчет_аналитики'!AN3767:AN3772)+'19_Расчет_аналитики'!AN3662-'19_Расчет_аналитики'!AN3789,0)</f>
        <v/>
      </c>
      <c r="AO3811">
        <f>IF('01_Вводные'!$B$234="Да",'19_Расчет_аналитики'!AN3811+SUM('19_Расчет_аналитики'!AO3767:AO3772)+'19_Расчет_аналитики'!AO3662-'19_Расчет_аналитики'!AO3789,0)</f>
        <v/>
      </c>
      <c r="AP3811">
        <f>IF('01_Вводные'!$B$234="Да",'19_Расчет_аналитики'!AO3811+SUM('19_Расчет_аналитики'!AP3767:AP3772)+'19_Расчет_аналитики'!AP3662-'19_Расчет_аналитики'!AP3789,0)</f>
        <v/>
      </c>
      <c r="AQ3811">
        <f>IF('01_Вводные'!$B$234="Да",'19_Расчет_аналитики'!AP3811+SUM('19_Расчет_аналитики'!AQ3767:AQ3772)+'19_Расчет_аналитики'!AQ3662-'19_Расчет_аналитики'!AQ3789,0)</f>
        <v/>
      </c>
      <c r="AR3811">
        <f>IF('01_Вводные'!$B$234="Да",'19_Расчет_аналитики'!AQ3811+SUM('19_Расчет_аналитики'!AR3767:AR3772)+'19_Расчет_аналитики'!AR3662-'19_Расчет_аналитики'!AR3789,0)</f>
        <v/>
      </c>
      <c r="AS3811">
        <f>IF('01_Вводные'!$B$234="Да",'19_Расчет_аналитики'!AR3811+SUM('19_Расчет_аналитики'!AS3767:AS3772)+'19_Расчет_аналитики'!AS3662-'19_Расчет_аналитики'!AS3789,0)</f>
        <v/>
      </c>
      <c r="AT3811">
        <f>IF('01_Вводные'!$B$234="Да",'19_Расчет_аналитики'!AS3811+SUM('19_Расчет_аналитики'!AT3767:AT3772)+'19_Расчет_аналитики'!AT3662-'19_Расчет_аналитики'!AT3789,0)</f>
        <v/>
      </c>
      <c r="AU3811">
        <f>IF('01_Вводные'!$B$234="Да",'19_Расчет_аналитики'!AT3811+SUM('19_Расчет_аналитики'!AU3767:AU3772)+'19_Расчет_аналитики'!AU3662-'19_Расчет_аналитики'!AU3789,0)</f>
        <v/>
      </c>
      <c r="AV3811">
        <f>IF('01_Вводные'!$B$234="Да",'19_Расчет_аналитики'!AU3811+SUM('19_Расчет_аналитики'!AV3767:AV3772)+'19_Расчет_аналитики'!AV3662-'19_Расчет_аналитики'!AV3789,0)</f>
        <v/>
      </c>
      <c r="AW3811">
        <f>IF('01_Вводные'!$B$234="Да",'19_Расчет_аналитики'!AV3811+SUM('19_Расчет_аналитики'!AW3767:AW3772)+'19_Расчет_аналитики'!AW3662-'19_Расчет_аналитики'!AW3789,0)</f>
        <v/>
      </c>
      <c r="AX3811">
        <f>IF('01_Вводные'!$B$234="Да",'19_Расчет_аналитики'!AW3811+SUM('19_Расчет_аналитики'!AX3767:AX3772)+'19_Расчет_аналитики'!AX3662-'19_Расчет_аналитики'!AX3789,0)</f>
        <v/>
      </c>
      <c r="AY3811">
        <f>IF('01_Вводные'!$B$234="Да",'19_Расчет_аналитики'!AX3811+SUM('19_Расчет_аналитики'!AY3767:AY3772)+'19_Расчет_аналитики'!AY3662-'19_Расчет_аналитики'!AY3789,0)</f>
        <v/>
      </c>
      <c r="AZ3811">
        <f>IF('01_Вводные'!$B$234="Да",'19_Расчет_аналитики'!AY3811+SUM('19_Расчет_аналитики'!AZ3767:AZ3772)+'19_Расчет_аналитики'!AZ3662-'19_Расчет_аналитики'!AZ3789,0)</f>
        <v/>
      </c>
      <c r="BA3811">
        <f>IF('01_Вводные'!$B$234="Да",'19_Расчет_аналитики'!AZ3811+SUM('19_Расчет_аналитики'!BA3767:BA3772)+'19_Расчет_аналитики'!BA3662-'19_Расчет_аналитики'!BA3789,0)</f>
        <v/>
      </c>
      <c r="BB3811">
        <f>IF('01_Вводные'!$B$234="Да",'19_Расчет_аналитики'!BA3811+SUM('19_Расчет_аналитики'!BB3767:BB3772)+'19_Расчет_аналитики'!BB3662-'19_Расчет_аналитики'!BB3789,0)</f>
        <v/>
      </c>
      <c r="BC3811">
        <f>IF('01_Вводные'!$B$234="Да",'19_Расчет_аналитики'!BB3811+SUM('19_Расчет_аналитики'!BC3767:BC3772)+'19_Расчет_аналитики'!BC3662-'19_Расчет_аналитики'!BC3789,0)</f>
        <v/>
      </c>
      <c r="BD3811">
        <f>IF('01_Вводные'!$B$234="Да",'19_Расчет_аналитики'!BC3811+SUM('19_Расчет_аналитики'!BD3767:BD3772)+'19_Расчет_аналитики'!BD3662-'19_Расчет_аналитики'!BD3789,0)</f>
        <v/>
      </c>
      <c r="BE3811">
        <f>IF('01_Вводные'!$B$234="Да",'19_Расчет_аналитики'!BD3811+SUM('19_Расчет_аналитики'!BE3767:BE3772)+'19_Расчет_аналитики'!BE3662-'19_Расчет_аналитики'!BE3789,0)</f>
        <v/>
      </c>
      <c r="BF3811">
        <f>IF('01_Вводные'!$B$234="Да",'19_Расчет_аналитики'!BE3811+SUM('19_Расчет_аналитики'!BF3767:BF3772)+'19_Расчет_аналитики'!BF3662-'19_Расчет_аналитики'!BF3789,0)</f>
        <v/>
      </c>
      <c r="BG3811">
        <f>IF('01_Вводные'!$B$234="Да",'19_Расчет_аналитики'!BF3811+SUM('19_Расчет_аналитики'!BG3767:BG3772)+'19_Расчет_аналитики'!BG3662-'19_Расчет_аналитики'!BG3789,0)</f>
        <v/>
      </c>
      <c r="BH3811">
        <f>IF('01_Вводные'!$B$234="Да",'19_Расчет_аналитики'!BG3811+SUM('19_Расчет_аналитики'!BH3767:BH3772)+'19_Расчет_аналитики'!BH3662-'19_Расчет_аналитики'!BH3789,0)</f>
        <v/>
      </c>
      <c r="BI3811">
        <f>IF('01_Вводные'!$B$234="Да",'19_Расчет_аналитики'!BH3811+SUM('19_Расчет_аналитики'!BI3767:BI3772)+'19_Расчет_аналитики'!BI3662-'19_Расчет_аналитики'!BI3789,0)</f>
        <v/>
      </c>
    </row>
    <row r="3812"/>
    <row r="3813"/>
    <row r="3814">
      <c r="B3814">
        <f>IF('01_Вводные'!$B$234="Да",'19_Расчет_аналитики'!B3663-'07_Мерч'!B22,0)</f>
        <v/>
      </c>
      <c r="C3814">
        <f>IF('01_Вводные'!$B$234="Да",'19_Расчет_аналитики'!C3663-'19_Расчет_аналитики'!C3659,0)</f>
        <v/>
      </c>
      <c r="D3814">
        <f>IF('01_Вводные'!$B$234="Да",'19_Расчет_аналитики'!D3663-'19_Расчет_аналитики'!D3659,0)</f>
        <v/>
      </c>
      <c r="E3814">
        <f>IF('01_Вводные'!$B$234="Да",'19_Расчет_аналитики'!E3663-'19_Расчет_аналитики'!E3659,0)</f>
        <v/>
      </c>
      <c r="F3814">
        <f>IF('01_Вводные'!$B$234="Да",'19_Расчет_аналитики'!F3663-'19_Расчет_аналитики'!F3659,0)</f>
        <v/>
      </c>
      <c r="G3814">
        <f>IF('01_Вводные'!$B$234="Да",'19_Расчет_аналитики'!G3663-'19_Расчет_аналитики'!G3659,0)</f>
        <v/>
      </c>
      <c r="H3814">
        <f>IF('01_Вводные'!$B$234="Да",'19_Расчет_аналитики'!H3663-'19_Расчет_аналитики'!H3659,0)</f>
        <v/>
      </c>
      <c r="I3814">
        <f>IF('01_Вводные'!$B$234="Да",'19_Расчет_аналитики'!I3663-'19_Расчет_аналитики'!I3659,0)</f>
        <v/>
      </c>
      <c r="J3814">
        <f>IF('01_Вводные'!$B$234="Да",'19_Расчет_аналитики'!J3663-'19_Расчет_аналитики'!J3659,0)</f>
        <v/>
      </c>
      <c r="K3814">
        <f>IF('01_Вводные'!$B$234="Да",'19_Расчет_аналитики'!K3663-'19_Расчет_аналитики'!K3659,0)</f>
        <v/>
      </c>
      <c r="L3814">
        <f>IF('01_Вводные'!$B$234="Да",'19_Расчет_аналитики'!L3663-'19_Расчет_аналитики'!L3659,0)</f>
        <v/>
      </c>
      <c r="M3814">
        <f>IF('01_Вводные'!$B$234="Да",'19_Расчет_аналитики'!M3663-'19_Расчет_аналитики'!M3659,0)</f>
        <v/>
      </c>
      <c r="N3814">
        <f>IF('01_Вводные'!$B$234="Да",'19_Расчет_аналитики'!N3663-'19_Расчет_аналитики'!N3659,0)</f>
        <v/>
      </c>
      <c r="O3814">
        <f>IF('01_Вводные'!$B$234="Да",'19_Расчет_аналитики'!O3663-'19_Расчет_аналитики'!O3659,0)</f>
        <v/>
      </c>
      <c r="P3814">
        <f>IF('01_Вводные'!$B$234="Да",'19_Расчет_аналитики'!P3663-'19_Расчет_аналитики'!P3659,0)</f>
        <v/>
      </c>
      <c r="Q3814">
        <f>IF('01_Вводные'!$B$234="Да",'19_Расчет_аналитики'!Q3663-'19_Расчет_аналитики'!Q3659,0)</f>
        <v/>
      </c>
      <c r="R3814">
        <f>IF('01_Вводные'!$B$234="Да",'19_Расчет_аналитики'!R3663-'19_Расчет_аналитики'!R3659,0)</f>
        <v/>
      </c>
      <c r="S3814">
        <f>IF('01_Вводные'!$B$234="Да",'19_Расчет_аналитики'!S3663-'19_Расчет_аналитики'!S3659,0)</f>
        <v/>
      </c>
      <c r="T3814">
        <f>IF('01_Вводные'!$B$234="Да",'19_Расчет_аналитики'!T3663-'19_Расчет_аналитики'!T3659,0)</f>
        <v/>
      </c>
      <c r="U3814">
        <f>IF('01_Вводные'!$B$234="Да",'19_Расчет_аналитики'!U3663-'19_Расчет_аналитики'!U3659,0)</f>
        <v/>
      </c>
      <c r="V3814">
        <f>IF('01_Вводные'!$B$234="Да",'19_Расчет_аналитики'!V3663-'19_Расчет_аналитики'!V3659,0)</f>
        <v/>
      </c>
      <c r="W3814">
        <f>IF('01_Вводные'!$B$234="Да",'19_Расчет_аналитики'!W3663-'19_Расчет_аналитики'!W3659,0)</f>
        <v/>
      </c>
      <c r="X3814">
        <f>IF('01_Вводные'!$B$234="Да",'19_Расчет_аналитики'!X3663-'19_Расчет_аналитики'!X3659,0)</f>
        <v/>
      </c>
      <c r="Y3814">
        <f>IF('01_Вводные'!$B$234="Да",'19_Расчет_аналитики'!Y3663-'19_Расчет_аналитики'!Y3659,0)</f>
        <v/>
      </c>
      <c r="Z3814">
        <f>IF('01_Вводные'!$B$234="Да",'19_Расчет_аналитики'!Z3663-'19_Расчет_аналитики'!Z3659,0)</f>
        <v/>
      </c>
      <c r="AA3814">
        <f>IF('01_Вводные'!$B$234="Да",'19_Расчет_аналитики'!AA3663-'19_Расчет_аналитики'!AA3659,0)</f>
        <v/>
      </c>
      <c r="AB3814">
        <f>IF('01_Вводные'!$B$234="Да",'19_Расчет_аналитики'!AB3663-'19_Расчет_аналитики'!AB3659,0)</f>
        <v/>
      </c>
      <c r="AC3814">
        <f>IF('01_Вводные'!$B$234="Да",'19_Расчет_аналитики'!AC3663-'19_Расчет_аналитики'!AC3659,0)</f>
        <v/>
      </c>
      <c r="AD3814">
        <f>IF('01_Вводные'!$B$234="Да",'19_Расчет_аналитики'!AD3663-'19_Расчет_аналитики'!AD3659,0)</f>
        <v/>
      </c>
      <c r="AE3814">
        <f>IF('01_Вводные'!$B$234="Да",'19_Расчет_аналитики'!AE3663-'19_Расчет_аналитики'!AE3659,0)</f>
        <v/>
      </c>
      <c r="AF3814">
        <f>IF('01_Вводные'!$B$234="Да",'19_Расчет_аналитики'!AF3663-'19_Расчет_аналитики'!AF3659,0)</f>
        <v/>
      </c>
      <c r="AG3814">
        <f>IF('01_Вводные'!$B$234="Да",'19_Расчет_аналитики'!AG3663-'19_Расчет_аналитики'!AG3659,0)</f>
        <v/>
      </c>
      <c r="AH3814">
        <f>IF('01_Вводные'!$B$234="Да",'19_Расчет_аналитики'!AH3663-'19_Расчет_аналитики'!AH3659,0)</f>
        <v/>
      </c>
      <c r="AI3814">
        <f>IF('01_Вводные'!$B$234="Да",'19_Расчет_аналитики'!AI3663-'19_Расчет_аналитики'!AI3659,0)</f>
        <v/>
      </c>
      <c r="AJ3814">
        <f>IF('01_Вводные'!$B$234="Да",'19_Расчет_аналитики'!AJ3663-'19_Расчет_аналитики'!AJ3659,0)</f>
        <v/>
      </c>
      <c r="AK3814">
        <f>IF('01_Вводные'!$B$234="Да",'19_Расчет_аналитики'!AK3663-'19_Расчет_аналитики'!AK3659,0)</f>
        <v/>
      </c>
      <c r="AL3814">
        <f>IF('01_Вводные'!$B$234="Да",'19_Расчет_аналитики'!AL3663-'19_Расчет_аналитики'!AL3659,0)</f>
        <v/>
      </c>
      <c r="AM3814">
        <f>IF('01_Вводные'!$B$234="Да",'19_Расчет_аналитики'!AM3663-'19_Расчет_аналитики'!AM3659,0)</f>
        <v/>
      </c>
      <c r="AN3814">
        <f>IF('01_Вводные'!$B$234="Да",'19_Расчет_аналитики'!AN3663-'19_Расчет_аналитики'!AN3659,0)</f>
        <v/>
      </c>
      <c r="AO3814">
        <f>IF('01_Вводные'!$B$234="Да",'19_Расчет_аналитики'!AO3663-'19_Расчет_аналитики'!AO3659,0)</f>
        <v/>
      </c>
      <c r="AP3814">
        <f>IF('01_Вводные'!$B$234="Да",'19_Расчет_аналитики'!AP3663-'19_Расчет_аналитики'!AP3659,0)</f>
        <v/>
      </c>
      <c r="AQ3814">
        <f>IF('01_Вводные'!$B$234="Да",'19_Расчет_аналитики'!AQ3663-'19_Расчет_аналитики'!AQ3659,0)</f>
        <v/>
      </c>
      <c r="AR3814">
        <f>IF('01_Вводные'!$B$234="Да",'19_Расчет_аналитики'!AR3663-'19_Расчет_аналитики'!AR3659,0)</f>
        <v/>
      </c>
      <c r="AS3814">
        <f>IF('01_Вводные'!$B$234="Да",'19_Расчет_аналитики'!AS3663-'19_Расчет_аналитики'!AS3659,0)</f>
        <v/>
      </c>
      <c r="AT3814">
        <f>IF('01_Вводные'!$B$234="Да",'19_Расчет_аналитики'!AT3663-'19_Расчет_аналитики'!AT3659,0)</f>
        <v/>
      </c>
      <c r="AU3814">
        <f>IF('01_Вводные'!$B$234="Да",'19_Расчет_аналитики'!AU3663-'19_Расчет_аналитики'!AU3659,0)</f>
        <v/>
      </c>
      <c r="AV3814">
        <f>IF('01_Вводные'!$B$234="Да",'19_Расчет_аналитики'!AV3663-'19_Расчет_аналитики'!AV3659,0)</f>
        <v/>
      </c>
      <c r="AW3814">
        <f>IF('01_Вводные'!$B$234="Да",'19_Расчет_аналитики'!AW3663-'19_Расчет_аналитики'!AW3659,0)</f>
        <v/>
      </c>
      <c r="AX3814">
        <f>IF('01_Вводные'!$B$234="Да",'19_Расчет_аналитики'!AX3663-'19_Расчет_аналитики'!AX3659,0)</f>
        <v/>
      </c>
      <c r="AY3814">
        <f>IF('01_Вводные'!$B$234="Да",'19_Расчет_аналитики'!AY3663-'19_Расчет_аналитики'!AY3659,0)</f>
        <v/>
      </c>
      <c r="AZ3814">
        <f>IF('01_Вводные'!$B$234="Да",'19_Расчет_аналитики'!AZ3663-'19_Расчет_аналитики'!AZ3659,0)</f>
        <v/>
      </c>
      <c r="BA3814">
        <f>IF('01_Вводные'!$B$234="Да",'19_Расчет_аналитики'!BA3663-'19_Расчет_аналитики'!BA3659,0)</f>
        <v/>
      </c>
      <c r="BB3814">
        <f>IF('01_Вводные'!$B$234="Да",'19_Расчет_аналитики'!BB3663-'19_Расчет_аналитики'!BB3659,0)</f>
        <v/>
      </c>
      <c r="BC3814">
        <f>IF('01_Вводные'!$B$234="Да",'19_Расчет_аналитики'!BC3663-'19_Расчет_аналитики'!BC3659,0)</f>
        <v/>
      </c>
      <c r="BD3814">
        <f>IF('01_Вводные'!$B$234="Да",'19_Расчет_аналитики'!BD3663-'19_Расчет_аналитики'!BD3659,0)</f>
        <v/>
      </c>
      <c r="BE3814">
        <f>IF('01_Вводные'!$B$234="Да",'19_Расчет_аналитики'!BE3663-'19_Расчет_аналитики'!BE3659,0)</f>
        <v/>
      </c>
      <c r="BF3814">
        <f>IF('01_Вводные'!$B$234="Да",'19_Расчет_аналитики'!BF3663-'19_Расчет_аналитики'!BF3659,0)</f>
        <v/>
      </c>
      <c r="BG3814">
        <f>IF('01_Вводные'!$B$234="Да",'19_Расчет_аналитики'!BG3663-'19_Расчет_аналитики'!BG3659,0)</f>
        <v/>
      </c>
      <c r="BH3814">
        <f>IF('01_Вводные'!$B$234="Да",'19_Расчет_аналитики'!BH3663-'19_Расчет_аналитики'!BH3659,0)</f>
        <v/>
      </c>
      <c r="BI3814">
        <f>IF('01_Вводные'!$B$234="Да",'19_Расчет_аналитики'!BI3663-'19_Расчет_аналитики'!BI3659,0)</f>
        <v/>
      </c>
    </row>
    <row r="3815">
      <c r="B3815">
        <f>IF('01_Вводные'!$B$234="Да",'19_Расчет_аналитики'!B3774-'19_Расчет_аналитики'!B3776-('19_Расчет_аналитики'!B3810-0)+('19_Расчет_аналитики'!B3811-0)+('02_Модель'!B82-0)-('02_Модель'!B83-0)-'19_Расчет_аналитики'!B3814-'19_Расчет_аналитики'!B3800+('19_Расчет_аналитики'!B3818-0)-'19_Расчет_аналитики'!B3787,0)</f>
        <v/>
      </c>
      <c r="C3815">
        <f>IF('01_Вводные'!$B$234="Да",'19_Расчет_аналитики'!C3774-'19_Расчет_аналитики'!C3776-('19_Расчет_аналитики'!C3810-'19_Расчет_аналитики'!B3810)+('19_Расчет_аналитики'!C3811-'19_Расчет_аналитики'!B3811)+('02_Модель'!C82-'02_Модель'!B82)-('02_Модель'!C83-'02_Модель'!B83)-'19_Расчет_аналитики'!C3814-'19_Расчет_аналитики'!C3800+('19_Расчет_аналитики'!C3818-'19_Расчет_аналитики'!B3818)-'19_Расчет_аналитики'!C3787,0)</f>
        <v/>
      </c>
      <c r="D3815">
        <f>IF('01_Вводные'!$B$234="Да",'19_Расчет_аналитики'!D3774-'19_Расчет_аналитики'!D3776-('19_Расчет_аналитики'!D3810-'19_Расчет_аналитики'!C3810)+('19_Расчет_аналитики'!D3811-'19_Расчет_аналитики'!C3811)+('02_Модель'!D82-'02_Модель'!C82)-('02_Модель'!D83-'02_Модель'!C83)-'19_Расчет_аналитики'!D3814-'19_Расчет_аналитики'!D3800+('19_Расчет_аналитики'!D3818-'19_Расчет_аналитики'!C3818)-'19_Расчет_аналитики'!D3787,0)</f>
        <v/>
      </c>
      <c r="E3815">
        <f>IF('01_Вводные'!$B$234="Да",'19_Расчет_аналитики'!E3774-'19_Расчет_аналитики'!E3776-('19_Расчет_аналитики'!E3810-'19_Расчет_аналитики'!D3810)+('19_Расчет_аналитики'!E3811-'19_Расчет_аналитики'!D3811)+('02_Модель'!E82-'02_Модель'!D82)-('02_Модель'!E83-'02_Модель'!D83)-'19_Расчет_аналитики'!E3814-'19_Расчет_аналитики'!E3800+('19_Расчет_аналитики'!E3818-'19_Расчет_аналитики'!D3818)-'19_Расчет_аналитики'!E3787,0)</f>
        <v/>
      </c>
      <c r="F3815">
        <f>IF('01_Вводные'!$B$234="Да",'19_Расчет_аналитики'!F3774-'19_Расчет_аналитики'!F3776-('19_Расчет_аналитики'!F3810-'19_Расчет_аналитики'!E3810)+('19_Расчет_аналитики'!F3811-'19_Расчет_аналитики'!E3811)+('02_Модель'!F82-'02_Модель'!E82)-('02_Модель'!F83-'02_Модель'!E83)-'19_Расчет_аналитики'!F3814-'19_Расчет_аналитики'!F3800+('19_Расчет_аналитики'!F3818-'19_Расчет_аналитики'!E3818)-'19_Расчет_аналитики'!F3787,0)</f>
        <v/>
      </c>
      <c r="G3815">
        <f>IF('01_Вводные'!$B$234="Да",'19_Расчет_аналитики'!G3774-'19_Расчет_аналитики'!G3776-('19_Расчет_аналитики'!G3810-'19_Расчет_аналитики'!F3810)+('19_Расчет_аналитики'!G3811-'19_Расчет_аналитики'!F3811)+('02_Модель'!G82-'02_Модель'!F82)-('02_Модель'!G83-'02_Модель'!F83)-'19_Расчет_аналитики'!G3814-'19_Расчет_аналитики'!G3800+('19_Расчет_аналитики'!G3818-'19_Расчет_аналитики'!F3818)-'19_Расчет_аналитики'!G3787,0)</f>
        <v/>
      </c>
      <c r="H3815">
        <f>IF('01_Вводные'!$B$234="Да",'19_Расчет_аналитики'!H3774-'19_Расчет_аналитики'!H3776-('19_Расчет_аналитики'!H3810-'19_Расчет_аналитики'!G3810)+('19_Расчет_аналитики'!H3811-'19_Расчет_аналитики'!G3811)+('02_Модель'!H82-'02_Модель'!G82)-('02_Модель'!H83-'02_Модель'!G83)-'19_Расчет_аналитики'!H3814-'19_Расчет_аналитики'!H3800+('19_Расчет_аналитики'!H3818-'19_Расчет_аналитики'!G3818)-'19_Расчет_аналитики'!H3787,0)</f>
        <v/>
      </c>
      <c r="I3815">
        <f>IF('01_Вводные'!$B$234="Да",'19_Расчет_аналитики'!I3774-'19_Расчет_аналитики'!I3776-('19_Расчет_аналитики'!I3810-'19_Расчет_аналитики'!H3810)+('19_Расчет_аналитики'!I3811-'19_Расчет_аналитики'!H3811)+('02_Модель'!I82-'02_Модель'!H82)-('02_Модель'!I83-'02_Модель'!H83)-'19_Расчет_аналитики'!I3814-'19_Расчет_аналитики'!I3800+('19_Расчет_аналитики'!I3818-'19_Расчет_аналитики'!H3818)-'19_Расчет_аналитики'!I3787,0)</f>
        <v/>
      </c>
      <c r="J3815">
        <f>IF('01_Вводные'!$B$234="Да",'19_Расчет_аналитики'!J3774-'19_Расчет_аналитики'!J3776-('19_Расчет_аналитики'!J3810-'19_Расчет_аналитики'!I3810)+('19_Расчет_аналитики'!J3811-'19_Расчет_аналитики'!I3811)+('02_Модель'!J82-'02_Модель'!I82)-('02_Модель'!J83-'02_Модель'!I83)-'19_Расчет_аналитики'!J3814-'19_Расчет_аналитики'!J3800+('19_Расчет_аналитики'!J3818-'19_Расчет_аналитики'!I3818)-'19_Расчет_аналитики'!J3787,0)</f>
        <v/>
      </c>
      <c r="K3815">
        <f>IF('01_Вводные'!$B$234="Да",'19_Расчет_аналитики'!K3774-'19_Расчет_аналитики'!K3776-('19_Расчет_аналитики'!K3810-'19_Расчет_аналитики'!J3810)+('19_Расчет_аналитики'!K3811-'19_Расчет_аналитики'!J3811)+('02_Модель'!K82-'02_Модель'!J82)-('02_Модель'!K83-'02_Модель'!J83)-'19_Расчет_аналитики'!K3814-'19_Расчет_аналитики'!K3800+('19_Расчет_аналитики'!K3818-'19_Расчет_аналитики'!J3818)-'19_Расчет_аналитики'!K3787,0)</f>
        <v/>
      </c>
      <c r="L3815">
        <f>IF('01_Вводные'!$B$234="Да",'19_Расчет_аналитики'!L3774-'19_Расчет_аналитики'!L3776-('19_Расчет_аналитики'!L3810-'19_Расчет_аналитики'!K3810)+('19_Расчет_аналитики'!L3811-'19_Расчет_аналитики'!K3811)+('02_Модель'!L82-'02_Модель'!K82)-('02_Модель'!L83-'02_Модель'!K83)-'19_Расчет_аналитики'!L3814-'19_Расчет_аналитики'!L3800+('19_Расчет_аналитики'!L3818-'19_Расчет_аналитики'!K3818)-'19_Расчет_аналитики'!L3787,0)</f>
        <v/>
      </c>
      <c r="M3815">
        <f>IF('01_Вводные'!$B$234="Да",'19_Расчет_аналитики'!M3774-'19_Расчет_аналитики'!M3776-('19_Расчет_аналитики'!M3810-'19_Расчет_аналитики'!L3810)+('19_Расчет_аналитики'!M3811-'19_Расчет_аналитики'!L3811)+('02_Модель'!M82-'02_Модель'!L82)-('02_Модель'!M83-'02_Модель'!L83)-'19_Расчет_аналитики'!M3814-'19_Расчет_аналитики'!M3800+('19_Расчет_аналитики'!M3818-'19_Расчет_аналитики'!L3818)-'19_Расчет_аналитики'!M3787,0)</f>
        <v/>
      </c>
      <c r="N3815">
        <f>IF('01_Вводные'!$B$234="Да",'19_Расчет_аналитики'!N3774-'19_Расчет_аналитики'!N3776-('19_Расчет_аналитики'!N3810-'19_Расчет_аналитики'!M3810)+('19_Расчет_аналитики'!N3811-'19_Расчет_аналитики'!M3811)+('02_Модель'!N82-'02_Модель'!M82)-('02_Модель'!N83-'02_Модель'!M83)-'19_Расчет_аналитики'!N3814-'19_Расчет_аналитики'!N3800+('19_Расчет_аналитики'!N3818-'19_Расчет_аналитики'!M3818)-'19_Расчет_аналитики'!N3787,0)</f>
        <v/>
      </c>
      <c r="O3815">
        <f>IF('01_Вводные'!$B$234="Да",'19_Расчет_аналитики'!O3774-'19_Расчет_аналитики'!O3776-('19_Расчет_аналитики'!O3810-'19_Расчет_аналитики'!N3810)+('19_Расчет_аналитики'!O3811-'19_Расчет_аналитики'!N3811)+('02_Модель'!O82-'02_Модель'!N82)-('02_Модель'!O83-'02_Модель'!N83)-'19_Расчет_аналитики'!O3814-'19_Расчет_аналитики'!O3800+('19_Расчет_аналитики'!O3818-'19_Расчет_аналитики'!N3818)-'19_Расчет_аналитики'!O3787,0)</f>
        <v/>
      </c>
      <c r="P3815">
        <f>IF('01_Вводные'!$B$234="Да",'19_Расчет_аналитики'!P3774-'19_Расчет_аналитики'!P3776-('19_Расчет_аналитики'!P3810-'19_Расчет_аналитики'!O3810)+('19_Расчет_аналитики'!P3811-'19_Расчет_аналитики'!O3811)+('02_Модель'!P82-'02_Модель'!O82)-('02_Модель'!P83-'02_Модель'!O83)-'19_Расчет_аналитики'!P3814-'19_Расчет_аналитики'!P3800+('19_Расчет_аналитики'!P3818-'19_Расчет_аналитики'!O3818)-'19_Расчет_аналитики'!P3787,0)</f>
        <v/>
      </c>
      <c r="Q3815">
        <f>IF('01_Вводные'!$B$234="Да",'19_Расчет_аналитики'!Q3774-'19_Расчет_аналитики'!Q3776-('19_Расчет_аналитики'!Q3810-'19_Расчет_аналитики'!P3810)+('19_Расчет_аналитики'!Q3811-'19_Расчет_аналитики'!P3811)+('02_Модель'!Q82-'02_Модель'!P82)-('02_Модель'!Q83-'02_Модель'!P83)-'19_Расчет_аналитики'!Q3814-'19_Расчет_аналитики'!Q3800+('19_Расчет_аналитики'!Q3818-'19_Расчет_аналитики'!P3818)-'19_Расчет_аналитики'!Q3787,0)</f>
        <v/>
      </c>
      <c r="R3815">
        <f>IF('01_Вводные'!$B$234="Да",'19_Расчет_аналитики'!R3774-'19_Расчет_аналитики'!R3776-('19_Расчет_аналитики'!R3810-'19_Расчет_аналитики'!Q3810)+('19_Расчет_аналитики'!R3811-'19_Расчет_аналитики'!Q3811)+('02_Модель'!R82-'02_Модель'!Q82)-('02_Модель'!R83-'02_Модель'!Q83)-'19_Расчет_аналитики'!R3814-'19_Расчет_аналитики'!R3800+('19_Расчет_аналитики'!R3818-'19_Расчет_аналитики'!Q3818)-'19_Расчет_аналитики'!R3787,0)</f>
        <v/>
      </c>
      <c r="S3815">
        <f>IF('01_Вводные'!$B$234="Да",'19_Расчет_аналитики'!S3774-'19_Расчет_аналитики'!S3776-('19_Расчет_аналитики'!S3810-'19_Расчет_аналитики'!R3810)+('19_Расчет_аналитики'!S3811-'19_Расчет_аналитики'!R3811)+('02_Модель'!S82-'02_Модель'!R82)-('02_Модель'!S83-'02_Модель'!R83)-'19_Расчет_аналитики'!S3814-'19_Расчет_аналитики'!S3800+('19_Расчет_аналитики'!S3818-'19_Расчет_аналитики'!R3818)-'19_Расчет_аналитики'!S3787,0)</f>
        <v/>
      </c>
      <c r="T3815">
        <f>IF('01_Вводные'!$B$234="Да",'19_Расчет_аналитики'!T3774-'19_Расчет_аналитики'!T3776-('19_Расчет_аналитики'!T3810-'19_Расчет_аналитики'!S3810)+('19_Расчет_аналитики'!T3811-'19_Расчет_аналитики'!S3811)+('02_Модель'!T82-'02_Модель'!S82)-('02_Модель'!T83-'02_Модель'!S83)-'19_Расчет_аналитики'!T3814-'19_Расчет_аналитики'!T3800+('19_Расчет_аналитики'!T3818-'19_Расчет_аналитики'!S3818)-'19_Расчет_аналитики'!T3787,0)</f>
        <v/>
      </c>
      <c r="U3815">
        <f>IF('01_Вводные'!$B$234="Да",'19_Расчет_аналитики'!U3774-'19_Расчет_аналитики'!U3776-('19_Расчет_аналитики'!U3810-'19_Расчет_аналитики'!T3810)+('19_Расчет_аналитики'!U3811-'19_Расчет_аналитики'!T3811)+('02_Модель'!U82-'02_Модель'!T82)-('02_Модель'!U83-'02_Модель'!T83)-'19_Расчет_аналитики'!U3814-'19_Расчет_аналитики'!U3800+('19_Расчет_аналитики'!U3818-'19_Расчет_аналитики'!T3818)-'19_Расчет_аналитики'!U3787,0)</f>
        <v/>
      </c>
      <c r="V3815">
        <f>IF('01_Вводные'!$B$234="Да",'19_Расчет_аналитики'!V3774-'19_Расчет_аналитики'!V3776-('19_Расчет_аналитики'!V3810-'19_Расчет_аналитики'!U3810)+('19_Расчет_аналитики'!V3811-'19_Расчет_аналитики'!U3811)+('02_Модель'!V82-'02_Модель'!U82)-('02_Модель'!V83-'02_Модель'!U83)-'19_Расчет_аналитики'!V3814-'19_Расчет_аналитики'!V3800+('19_Расчет_аналитики'!V3818-'19_Расчет_аналитики'!U3818)-'19_Расчет_аналитики'!V3787,0)</f>
        <v/>
      </c>
      <c r="W3815">
        <f>IF('01_Вводные'!$B$234="Да",'19_Расчет_аналитики'!W3774-'19_Расчет_аналитики'!W3776-('19_Расчет_аналитики'!W3810-'19_Расчет_аналитики'!V3810)+('19_Расчет_аналитики'!W3811-'19_Расчет_аналитики'!V3811)+('02_Модель'!W82-'02_Модель'!V82)-('02_Модель'!W83-'02_Модель'!V83)-'19_Расчет_аналитики'!W3814-'19_Расчет_аналитики'!W3800+('19_Расчет_аналитики'!W3818-'19_Расчет_аналитики'!V3818)-'19_Расчет_аналитики'!W3787,0)</f>
        <v/>
      </c>
      <c r="X3815">
        <f>IF('01_Вводные'!$B$234="Да",'19_Расчет_аналитики'!X3774-'19_Расчет_аналитики'!X3776-('19_Расчет_аналитики'!X3810-'19_Расчет_аналитики'!W3810)+('19_Расчет_аналитики'!X3811-'19_Расчет_аналитики'!W3811)+('02_Модель'!X82-'02_Модель'!W82)-('02_Модель'!X83-'02_Модель'!W83)-'19_Расчет_аналитики'!X3814-'19_Расчет_аналитики'!X3800+('19_Расчет_аналитики'!X3818-'19_Расчет_аналитики'!W3818)-'19_Расчет_аналитики'!X3787,0)</f>
        <v/>
      </c>
      <c r="Y3815">
        <f>IF('01_Вводные'!$B$234="Да",'19_Расчет_аналитики'!Y3774-'19_Расчет_аналитики'!Y3776-('19_Расчет_аналитики'!Y3810-'19_Расчет_аналитики'!X3810)+('19_Расчет_аналитики'!Y3811-'19_Расчет_аналитики'!X3811)+('02_Модель'!Y82-'02_Модель'!X82)-('02_Модель'!Y83-'02_Модель'!X83)-'19_Расчет_аналитики'!Y3814-'19_Расчет_аналитики'!Y3800+('19_Расчет_аналитики'!Y3818-'19_Расчет_аналитики'!X3818)-'19_Расчет_аналитики'!Y3787,0)</f>
        <v/>
      </c>
      <c r="Z3815">
        <f>IF('01_Вводные'!$B$234="Да",'19_Расчет_аналитики'!Z3774-'19_Расчет_аналитики'!Z3776-('19_Расчет_аналитики'!Z3810-'19_Расчет_аналитики'!Y3810)+('19_Расчет_аналитики'!Z3811-'19_Расчет_аналитики'!Y3811)+('02_Модель'!Z82-'02_Модель'!Y82)-('02_Модель'!Z83-'02_Модель'!Y83)-'19_Расчет_аналитики'!Z3814-'19_Расчет_аналитики'!Z3800+('19_Расчет_аналитики'!Z3818-'19_Расчет_аналитики'!Y3818)-'19_Расчет_аналитики'!Z3787,0)</f>
        <v/>
      </c>
      <c r="AA3815">
        <f>IF('01_Вводные'!$B$234="Да",'19_Расчет_аналитики'!AA3774-'19_Расчет_аналитики'!AA3776-('19_Расчет_аналитики'!AA3810-'19_Расчет_аналитики'!Z3810)+('19_Расчет_аналитики'!AA3811-'19_Расчет_аналитики'!Z3811)+('02_Модель'!AA82-'02_Модель'!Z82)-('02_Модель'!AA83-'02_Модель'!Z83)-'19_Расчет_аналитики'!AA3814-'19_Расчет_аналитики'!AA3800+('19_Расчет_аналитики'!AA3818-'19_Расчет_аналитики'!Z3818)-'19_Расчет_аналитики'!AA3787,0)</f>
        <v/>
      </c>
      <c r="AB3815">
        <f>IF('01_Вводные'!$B$234="Да",'19_Расчет_аналитики'!AB3774-'19_Расчет_аналитики'!AB3776-('19_Расчет_аналитики'!AB3810-'19_Расчет_аналитики'!AA3810)+('19_Расчет_аналитики'!AB3811-'19_Расчет_аналитики'!AA3811)+('02_Модель'!AB82-'02_Модель'!AA82)-('02_Модель'!AB83-'02_Модель'!AA83)-'19_Расчет_аналитики'!AB3814-'19_Расчет_аналитики'!AB3800+('19_Расчет_аналитики'!AB3818-'19_Расчет_аналитики'!AA3818)-'19_Расчет_аналитики'!AB3787,0)</f>
        <v/>
      </c>
      <c r="AC3815">
        <f>IF('01_Вводные'!$B$234="Да",'19_Расчет_аналитики'!AC3774-'19_Расчет_аналитики'!AC3776-('19_Расчет_аналитики'!AC3810-'19_Расчет_аналитики'!AB3810)+('19_Расчет_аналитики'!AC3811-'19_Расчет_аналитики'!AB3811)+('02_Модель'!AC82-'02_Модель'!AB82)-('02_Модель'!AC83-'02_Модель'!AB83)-'19_Расчет_аналитики'!AC3814-'19_Расчет_аналитики'!AC3800+('19_Расчет_аналитики'!AC3818-'19_Расчет_аналитики'!AB3818)-'19_Расчет_аналитики'!AC3787,0)</f>
        <v/>
      </c>
      <c r="AD3815">
        <f>IF('01_Вводные'!$B$234="Да",'19_Расчет_аналитики'!AD3774-'19_Расчет_аналитики'!AD3776-('19_Расчет_аналитики'!AD3810-'19_Расчет_аналитики'!AC3810)+('19_Расчет_аналитики'!AD3811-'19_Расчет_аналитики'!AC3811)+('02_Модель'!AD82-'02_Модель'!AC82)-('02_Модель'!AD83-'02_Модель'!AC83)-'19_Расчет_аналитики'!AD3814-'19_Расчет_аналитики'!AD3800+('19_Расчет_аналитики'!AD3818-'19_Расчет_аналитики'!AC3818)-'19_Расчет_аналитики'!AD3787,0)</f>
        <v/>
      </c>
      <c r="AE3815">
        <f>IF('01_Вводные'!$B$234="Да",'19_Расчет_аналитики'!AE3774-'19_Расчет_аналитики'!AE3776-('19_Расчет_аналитики'!AE3810-'19_Расчет_аналитики'!AD3810)+('19_Расчет_аналитики'!AE3811-'19_Расчет_аналитики'!AD3811)+('02_Модель'!AE82-'02_Модель'!AD82)-('02_Модель'!AE83-'02_Модель'!AD83)-'19_Расчет_аналитики'!AE3814-'19_Расчет_аналитики'!AE3800+('19_Расчет_аналитики'!AE3818-'19_Расчет_аналитики'!AD3818)-'19_Расчет_аналитики'!AE3787,0)</f>
        <v/>
      </c>
      <c r="AF3815">
        <f>IF('01_Вводные'!$B$234="Да",'19_Расчет_аналитики'!AF3774-'19_Расчет_аналитики'!AF3776-('19_Расчет_аналитики'!AF3810-'19_Расчет_аналитики'!AE3810)+('19_Расчет_аналитики'!AF3811-'19_Расчет_аналитики'!AE3811)+('02_Модель'!AF82-'02_Модель'!AE82)-('02_Модель'!AF83-'02_Модель'!AE83)-'19_Расчет_аналитики'!AF3814-'19_Расчет_аналитики'!AF3800+('19_Расчет_аналитики'!AF3818-'19_Расчет_аналитики'!AE3818)-'19_Расчет_аналитики'!AF3787,0)</f>
        <v/>
      </c>
      <c r="AG3815">
        <f>IF('01_Вводные'!$B$234="Да",'19_Расчет_аналитики'!AG3774-'19_Расчет_аналитики'!AG3776-('19_Расчет_аналитики'!AG3810-'19_Расчет_аналитики'!AF3810)+('19_Расчет_аналитики'!AG3811-'19_Расчет_аналитики'!AF3811)+('02_Модель'!AG82-'02_Модель'!AF82)-('02_Модель'!AG83-'02_Модель'!AF83)-'19_Расчет_аналитики'!AG3814-'19_Расчет_аналитики'!AG3800+('19_Расчет_аналитики'!AG3818-'19_Расчет_аналитики'!AF3818)-'19_Расчет_аналитики'!AG3787,0)</f>
        <v/>
      </c>
      <c r="AH3815">
        <f>IF('01_Вводные'!$B$234="Да",'19_Расчет_аналитики'!AH3774-'19_Расчет_аналитики'!AH3776-('19_Расчет_аналитики'!AH3810-'19_Расчет_аналитики'!AG3810)+('19_Расчет_аналитики'!AH3811-'19_Расчет_аналитики'!AG3811)+('02_Модель'!AH82-'02_Модель'!AG82)-('02_Модель'!AH83-'02_Модель'!AG83)-'19_Расчет_аналитики'!AH3814-'19_Расчет_аналитики'!AH3800+('19_Расчет_аналитики'!AH3818-'19_Расчет_аналитики'!AG3818)-'19_Расчет_аналитики'!AH3787,0)</f>
        <v/>
      </c>
      <c r="AI3815">
        <f>IF('01_Вводные'!$B$234="Да",'19_Расчет_аналитики'!AI3774-'19_Расчет_аналитики'!AI3776-('19_Расчет_аналитики'!AI3810-'19_Расчет_аналитики'!AH3810)+('19_Расчет_аналитики'!AI3811-'19_Расчет_аналитики'!AH3811)+('02_Модель'!AI82-'02_Модель'!AH82)-('02_Модель'!AI83-'02_Модель'!AH83)-'19_Расчет_аналитики'!AI3814-'19_Расчет_аналитики'!AI3800+('19_Расчет_аналитики'!AI3818-'19_Расчет_аналитики'!AH3818)-'19_Расчет_аналитики'!AI3787,0)</f>
        <v/>
      </c>
      <c r="AJ3815">
        <f>IF('01_Вводные'!$B$234="Да",'19_Расчет_аналитики'!AJ3774-'19_Расчет_аналитики'!AJ3776-('19_Расчет_аналитики'!AJ3810-'19_Расчет_аналитики'!AI3810)+('19_Расчет_аналитики'!AJ3811-'19_Расчет_аналитики'!AI3811)+('02_Модель'!AJ82-'02_Модель'!AI82)-('02_Модель'!AJ83-'02_Модель'!AI83)-'19_Расчет_аналитики'!AJ3814-'19_Расчет_аналитики'!AJ3800+('19_Расчет_аналитики'!AJ3818-'19_Расчет_аналитики'!AI3818)-'19_Расчет_аналитики'!AJ3787,0)</f>
        <v/>
      </c>
      <c r="AK3815">
        <f>IF('01_Вводные'!$B$234="Да",'19_Расчет_аналитики'!AK3774-'19_Расчет_аналитики'!AK3776-('19_Расчет_аналитики'!AK3810-'19_Расчет_аналитики'!AJ3810)+('19_Расчет_аналитики'!AK3811-'19_Расчет_аналитики'!AJ3811)+('02_Модель'!AK82-'02_Модель'!AJ82)-('02_Модель'!AK83-'02_Модель'!AJ83)-'19_Расчет_аналитики'!AK3814-'19_Расчет_аналитики'!AK3800+('19_Расчет_аналитики'!AK3818-'19_Расчет_аналитики'!AJ3818)-'19_Расчет_аналитики'!AK3787,0)</f>
        <v/>
      </c>
      <c r="AL3815">
        <f>IF('01_Вводные'!$B$234="Да",'19_Расчет_аналитики'!AL3774-'19_Расчет_аналитики'!AL3776-('19_Расчет_аналитики'!AL3810-'19_Расчет_аналитики'!AK3810)+('19_Расчет_аналитики'!AL3811-'19_Расчет_аналитики'!AK3811)+('02_Модель'!AL82-'02_Модель'!AK82)-('02_Модель'!AL83-'02_Модель'!AK83)-'19_Расчет_аналитики'!AL3814-'19_Расчет_аналитики'!AL3800+('19_Расчет_аналитики'!AL3818-'19_Расчет_аналитики'!AK3818)-'19_Расчет_аналитики'!AL3787,0)</f>
        <v/>
      </c>
      <c r="AM3815">
        <f>IF('01_Вводные'!$B$234="Да",'19_Расчет_аналитики'!AM3774-'19_Расчет_аналитики'!AM3776-('19_Расчет_аналитики'!AM3810-'19_Расчет_аналитики'!AL3810)+('19_Расчет_аналитики'!AM3811-'19_Расчет_аналитики'!AL3811)+('02_Модель'!AM82-'02_Модель'!AL82)-('02_Модель'!AM83-'02_Модель'!AL83)-'19_Расчет_аналитики'!AM3814-'19_Расчет_аналитики'!AM3800+('19_Расчет_аналитики'!AM3818-'19_Расчет_аналитики'!AL3818)-'19_Расчет_аналитики'!AM3787,0)</f>
        <v/>
      </c>
      <c r="AN3815">
        <f>IF('01_Вводные'!$B$234="Да",'19_Расчет_аналитики'!AN3774-'19_Расчет_аналитики'!AN3776-('19_Расчет_аналитики'!AN3810-'19_Расчет_аналитики'!AM3810)+('19_Расчет_аналитики'!AN3811-'19_Расчет_аналитики'!AM3811)+('02_Модель'!AN82-'02_Модель'!AM82)-('02_Модель'!AN83-'02_Модель'!AM83)-'19_Расчет_аналитики'!AN3814-'19_Расчет_аналитики'!AN3800+('19_Расчет_аналитики'!AN3818-'19_Расчет_аналитики'!AM3818)-'19_Расчет_аналитики'!AN3787,0)</f>
        <v/>
      </c>
      <c r="AO3815">
        <f>IF('01_Вводные'!$B$234="Да",'19_Расчет_аналитики'!AO3774-'19_Расчет_аналитики'!AO3776-('19_Расчет_аналитики'!AO3810-'19_Расчет_аналитики'!AN3810)+('19_Расчет_аналитики'!AO3811-'19_Расчет_аналитики'!AN3811)+('02_Модель'!AO82-'02_Модель'!AN82)-('02_Модель'!AO83-'02_Модель'!AN83)-'19_Расчет_аналитики'!AO3814-'19_Расчет_аналитики'!AO3800+('19_Расчет_аналитики'!AO3818-'19_Расчет_аналитики'!AN3818)-'19_Расчет_аналитики'!AO3787,0)</f>
        <v/>
      </c>
      <c r="AP3815">
        <f>IF('01_Вводные'!$B$234="Да",'19_Расчет_аналитики'!AP3774-'19_Расчет_аналитики'!AP3776-('19_Расчет_аналитики'!AP3810-'19_Расчет_аналитики'!AO3810)+('19_Расчет_аналитики'!AP3811-'19_Расчет_аналитики'!AO3811)+('02_Модель'!AP82-'02_Модель'!AO82)-('02_Модель'!AP83-'02_Модель'!AO83)-'19_Расчет_аналитики'!AP3814-'19_Расчет_аналитики'!AP3800+('19_Расчет_аналитики'!AP3818-'19_Расчет_аналитики'!AO3818)-'19_Расчет_аналитики'!AP3787,0)</f>
        <v/>
      </c>
      <c r="AQ3815">
        <f>IF('01_Вводные'!$B$234="Да",'19_Расчет_аналитики'!AQ3774-'19_Расчет_аналитики'!AQ3776-('19_Расчет_аналитики'!AQ3810-'19_Расчет_аналитики'!AP3810)+('19_Расчет_аналитики'!AQ3811-'19_Расчет_аналитики'!AP3811)+('02_Модель'!AQ82-'02_Модель'!AP82)-('02_Модель'!AQ83-'02_Модель'!AP83)-'19_Расчет_аналитики'!AQ3814-'19_Расчет_аналитики'!AQ3800+('19_Расчет_аналитики'!AQ3818-'19_Расчет_аналитики'!AP3818)-'19_Расчет_аналитики'!AQ3787,0)</f>
        <v/>
      </c>
      <c r="AR3815">
        <f>IF('01_Вводные'!$B$234="Да",'19_Расчет_аналитики'!AR3774-'19_Расчет_аналитики'!AR3776-('19_Расчет_аналитики'!AR3810-'19_Расчет_аналитики'!AQ3810)+('19_Расчет_аналитики'!AR3811-'19_Расчет_аналитики'!AQ3811)+('02_Модель'!AR82-'02_Модель'!AQ82)-('02_Модель'!AR83-'02_Модель'!AQ83)-'19_Расчет_аналитики'!AR3814-'19_Расчет_аналитики'!AR3800+('19_Расчет_аналитики'!AR3818-'19_Расчет_аналитики'!AQ3818)-'19_Расчет_аналитики'!AR3787,0)</f>
        <v/>
      </c>
      <c r="AS3815">
        <f>IF('01_Вводные'!$B$234="Да",'19_Расчет_аналитики'!AS3774-'19_Расчет_аналитики'!AS3776-('19_Расчет_аналитики'!AS3810-'19_Расчет_аналитики'!AR3810)+('19_Расчет_аналитики'!AS3811-'19_Расчет_аналитики'!AR3811)+('02_Модель'!AS82-'02_Модель'!AR82)-('02_Модель'!AS83-'02_Модель'!AR83)-'19_Расчет_аналитики'!AS3814-'19_Расчет_аналитики'!AS3800+('19_Расчет_аналитики'!AS3818-'19_Расчет_аналитики'!AR3818)-'19_Расчет_аналитики'!AS3787,0)</f>
        <v/>
      </c>
      <c r="AT3815">
        <f>IF('01_Вводные'!$B$234="Да",'19_Расчет_аналитики'!AT3774-'19_Расчет_аналитики'!AT3776-('19_Расчет_аналитики'!AT3810-'19_Расчет_аналитики'!AS3810)+('19_Расчет_аналитики'!AT3811-'19_Расчет_аналитики'!AS3811)+('02_Модель'!AT82-'02_Модель'!AS82)-('02_Модель'!AT83-'02_Модель'!AS83)-'19_Расчет_аналитики'!AT3814-'19_Расчет_аналитики'!AT3800+('19_Расчет_аналитики'!AT3818-'19_Расчет_аналитики'!AS3818)-'19_Расчет_аналитики'!AT3787,0)</f>
        <v/>
      </c>
      <c r="AU3815">
        <f>IF('01_Вводные'!$B$234="Да",'19_Расчет_аналитики'!AU3774-'19_Расчет_аналитики'!AU3776-('19_Расчет_аналитики'!AU3810-'19_Расчет_аналитики'!AT3810)+('19_Расчет_аналитики'!AU3811-'19_Расчет_аналитики'!AT3811)+('02_Модель'!AU82-'02_Модель'!AT82)-('02_Модель'!AU83-'02_Модель'!AT83)-'19_Расчет_аналитики'!AU3814-'19_Расчет_аналитики'!AU3800+('19_Расчет_аналитики'!AU3818-'19_Расчет_аналитики'!AT3818)-'19_Расчет_аналитики'!AU3787,0)</f>
        <v/>
      </c>
      <c r="AV3815">
        <f>IF('01_Вводные'!$B$234="Да",'19_Расчет_аналитики'!AV3774-'19_Расчет_аналитики'!AV3776-('19_Расчет_аналитики'!AV3810-'19_Расчет_аналитики'!AU3810)+('19_Расчет_аналитики'!AV3811-'19_Расчет_аналитики'!AU3811)+('02_Модель'!AV82-'02_Модель'!AU82)-('02_Модель'!AV83-'02_Модель'!AU83)-'19_Расчет_аналитики'!AV3814-'19_Расчет_аналитики'!AV3800+('19_Расчет_аналитики'!AV3818-'19_Расчет_аналитики'!AU3818)-'19_Расчет_аналитики'!AV3787,0)</f>
        <v/>
      </c>
      <c r="AW3815">
        <f>IF('01_Вводные'!$B$234="Да",'19_Расчет_аналитики'!AW3774-'19_Расчет_аналитики'!AW3776-('19_Расчет_аналитики'!AW3810-'19_Расчет_аналитики'!AV3810)+('19_Расчет_аналитики'!AW3811-'19_Расчет_аналитики'!AV3811)+('02_Модель'!AW82-'02_Модель'!AV82)-('02_Модель'!AW83-'02_Модель'!AV83)-'19_Расчет_аналитики'!AW3814-'19_Расчет_аналитики'!AW3800+('19_Расчет_аналитики'!AW3818-'19_Расчет_аналитики'!AV3818)-'19_Расчет_аналитики'!AW3787,0)</f>
        <v/>
      </c>
      <c r="AX3815">
        <f>IF('01_Вводные'!$B$234="Да",'19_Расчет_аналитики'!AX3774-'19_Расчет_аналитики'!AX3776-('19_Расчет_аналитики'!AX3810-'19_Расчет_аналитики'!AW3810)+('19_Расчет_аналитики'!AX3811-'19_Расчет_аналитики'!AW3811)+('02_Модель'!AX82-'02_Модель'!AW82)-('02_Модель'!AX83-'02_Модель'!AW83)-'19_Расчет_аналитики'!AX3814-'19_Расчет_аналитики'!AX3800+('19_Расчет_аналитики'!AX3818-'19_Расчет_аналитики'!AW3818)-'19_Расчет_аналитики'!AX3787,0)</f>
        <v/>
      </c>
      <c r="AY3815">
        <f>IF('01_Вводные'!$B$234="Да",'19_Расчет_аналитики'!AY3774-'19_Расчет_аналитики'!AY3776-('19_Расчет_аналитики'!AY3810-'19_Расчет_аналитики'!AX3810)+('19_Расчет_аналитики'!AY3811-'19_Расчет_аналитики'!AX3811)+('02_Модель'!AY82-'02_Модель'!AX82)-('02_Модель'!AY83-'02_Модель'!AX83)-'19_Расчет_аналитики'!AY3814-'19_Расчет_аналитики'!AY3800+('19_Расчет_аналитики'!AY3818-'19_Расчет_аналитики'!AX3818)-'19_Расчет_аналитики'!AY3787,0)</f>
        <v/>
      </c>
      <c r="AZ3815">
        <f>IF('01_Вводные'!$B$234="Да",'19_Расчет_аналитики'!AZ3774-'19_Расчет_аналитики'!AZ3776-('19_Расчет_аналитики'!AZ3810-'19_Расчет_аналитики'!AY3810)+('19_Расчет_аналитики'!AZ3811-'19_Расчет_аналитики'!AY3811)+('02_Модель'!AZ82-'02_Модель'!AY82)-('02_Модель'!AZ83-'02_Модель'!AY83)-'19_Расчет_аналитики'!AZ3814-'19_Расчет_аналитики'!AZ3800+('19_Расчет_аналитики'!AZ3818-'19_Расчет_аналитики'!AY3818)-'19_Расчет_аналитики'!AZ3787,0)</f>
        <v/>
      </c>
      <c r="BA3815">
        <f>IF('01_Вводные'!$B$234="Да",'19_Расчет_аналитики'!BA3774-'19_Расчет_аналитики'!BA3776-('19_Расчет_аналитики'!BA3810-'19_Расчет_аналитики'!AZ3810)+('19_Расчет_аналитики'!BA3811-'19_Расчет_аналитики'!AZ3811)+('02_Модель'!BA82-'02_Модель'!AZ82)-('02_Модель'!BA83-'02_Модель'!AZ83)-'19_Расчет_аналитики'!BA3814-'19_Расчет_аналитики'!BA3800+('19_Расчет_аналитики'!BA3818-'19_Расчет_аналитики'!AZ3818)-'19_Расчет_аналитики'!BA3787,0)</f>
        <v/>
      </c>
      <c r="BB3815">
        <f>IF('01_Вводные'!$B$234="Да",'19_Расчет_аналитики'!BB3774-'19_Расчет_аналитики'!BB3776-('19_Расчет_аналитики'!BB3810-'19_Расчет_аналитики'!BA3810)+('19_Расчет_аналитики'!BB3811-'19_Расчет_аналитики'!BA3811)+('02_Модель'!BB82-'02_Модель'!BA82)-('02_Модель'!BB83-'02_Модель'!BA83)-'19_Расчет_аналитики'!BB3814-'19_Расчет_аналитики'!BB3800+('19_Расчет_аналитики'!BB3818-'19_Расчет_аналитики'!BA3818)-'19_Расчет_аналитики'!BB3787,0)</f>
        <v/>
      </c>
      <c r="BC3815">
        <f>IF('01_Вводные'!$B$234="Да",'19_Расчет_аналитики'!BC3774-'19_Расчет_аналитики'!BC3776-('19_Расчет_аналитики'!BC3810-'19_Расчет_аналитики'!BB3810)+('19_Расчет_аналитики'!BC3811-'19_Расчет_аналитики'!BB3811)+('02_Модель'!BC82-'02_Модель'!BB82)-('02_Модель'!BC83-'02_Модель'!BB83)-'19_Расчет_аналитики'!BC3814-'19_Расчет_аналитики'!BC3800+('19_Расчет_аналитики'!BC3818-'19_Расчет_аналитики'!BB3818)-'19_Расчет_аналитики'!BC3787,0)</f>
        <v/>
      </c>
      <c r="BD3815">
        <f>IF('01_Вводные'!$B$234="Да",'19_Расчет_аналитики'!BD3774-'19_Расчет_аналитики'!BD3776-('19_Расчет_аналитики'!BD3810-'19_Расчет_аналитики'!BC3810)+('19_Расчет_аналитики'!BD3811-'19_Расчет_аналитики'!BC3811)+('02_Модель'!BD82-'02_Модель'!BC82)-('02_Модель'!BD83-'02_Модель'!BC83)-'19_Расчет_аналитики'!BD3814-'19_Расчет_аналитики'!BD3800+('19_Расчет_аналитики'!BD3818-'19_Расчет_аналитики'!BC3818)-'19_Расчет_аналитики'!BD3787,0)</f>
        <v/>
      </c>
      <c r="BE3815">
        <f>IF('01_Вводные'!$B$234="Да",'19_Расчет_аналитики'!BE3774-'19_Расчет_аналитики'!BE3776-('19_Расчет_аналитики'!BE3810-'19_Расчет_аналитики'!BD3810)+('19_Расчет_аналитики'!BE3811-'19_Расчет_аналитики'!BD3811)+('02_Модель'!BE82-'02_Модель'!BD82)-('02_Модель'!BE83-'02_Модель'!BD83)-'19_Расчет_аналитики'!BE3814-'19_Расчет_аналитики'!BE3800+('19_Расчет_аналитики'!BE3818-'19_Расчет_аналитики'!BD3818)-'19_Расчет_аналитики'!BE3787,0)</f>
        <v/>
      </c>
      <c r="BF3815">
        <f>IF('01_Вводные'!$B$234="Да",'19_Расчет_аналитики'!BF3774-'19_Расчет_аналитики'!BF3776-('19_Расчет_аналитики'!BF3810-'19_Расчет_аналитики'!BE3810)+('19_Расчет_аналитики'!BF3811-'19_Расчет_аналитики'!BE3811)+('02_Модель'!BF82-'02_Модель'!BE82)-('02_Модель'!BF83-'02_Модель'!BE83)-'19_Расчет_аналитики'!BF3814-'19_Расчет_аналитики'!BF3800+('19_Расчет_аналитики'!BF3818-'19_Расчет_аналитики'!BE3818)-'19_Расчет_аналитики'!BF3787,0)</f>
        <v/>
      </c>
      <c r="BG3815">
        <f>IF('01_Вводные'!$B$234="Да",'19_Расчет_аналитики'!BG3774-'19_Расчет_аналитики'!BG3776-('19_Расчет_аналитики'!BG3810-'19_Расчет_аналитики'!BF3810)+('19_Расчет_аналитики'!BG3811-'19_Расчет_аналитики'!BF3811)+('02_Модель'!BG82-'02_Модель'!BF82)-('02_Модель'!BG83-'02_Модель'!BF83)-'19_Расчет_аналитики'!BG3814-'19_Расчет_аналитики'!BG3800+('19_Расчет_аналитики'!BG3818-'19_Расчет_аналитики'!BF3818)-'19_Расчет_аналитики'!BG3787,0)</f>
        <v/>
      </c>
      <c r="BH3815">
        <f>IF('01_Вводные'!$B$234="Да",'19_Расчет_аналитики'!BH3774-'19_Расчет_аналитики'!BH3776-('19_Расчет_аналитики'!BH3810-'19_Расчет_аналитики'!BG3810)+('19_Расчет_аналитики'!BH3811-'19_Расчет_аналитики'!BG3811)+('02_Модель'!BH82-'02_Модель'!BG82)-('02_Модель'!BH83-'02_Модель'!BG83)-'19_Расчет_аналитики'!BH3814-'19_Расчет_аналитики'!BH3800+('19_Расчет_аналитики'!BH3818-'19_Расчет_аналитики'!BG3818)-'19_Расчет_аналитики'!BH3787,0)</f>
        <v/>
      </c>
      <c r="BI3815">
        <f>IF('01_Вводные'!$B$234="Да",'19_Расчет_аналитики'!BI3774-'19_Расчет_аналитики'!BI3776-('19_Расчет_аналитики'!BI3810-'19_Расчет_аналитики'!BH3810)+('19_Расчет_аналитики'!BI3811-'19_Расчет_аналитики'!BH3811)+('02_Модель'!BI82-'02_Модель'!BH82)-('02_Модель'!BI83-'02_Модель'!BH83)-'19_Расчет_аналитики'!BI3814-'19_Расчет_аналитики'!BI3800+('19_Расчет_аналитики'!BI3818-'19_Расчет_аналитики'!BH3818)-'19_Расчет_аналитики'!BI3787,0)</f>
        <v/>
      </c>
    </row>
    <row r="3816">
      <c r="B3816">
        <f>IF('01_Вводные'!$B$234="Да",'19_Расчет_аналитики'!B3815-'19_Расчет_аналитики'!B3801,0)</f>
        <v/>
      </c>
      <c r="C3816">
        <f>IF('01_Вводные'!$B$234="Да",'19_Расчет_аналитики'!C3815-'19_Расчет_аналитики'!C3801,0)</f>
        <v/>
      </c>
      <c r="D3816">
        <f>IF('01_Вводные'!$B$234="Да",'19_Расчет_аналитики'!D3815-'19_Расчет_аналитики'!D3801,0)</f>
        <v/>
      </c>
      <c r="E3816">
        <f>IF('01_Вводные'!$B$234="Да",'19_Расчет_аналитики'!E3815-'19_Расчет_аналитики'!E3801,0)</f>
        <v/>
      </c>
      <c r="F3816">
        <f>IF('01_Вводные'!$B$234="Да",'19_Расчет_аналитики'!F3815-'19_Расчет_аналитики'!F3801,0)</f>
        <v/>
      </c>
      <c r="G3816">
        <f>IF('01_Вводные'!$B$234="Да",'19_Расчет_аналитики'!G3815-'19_Расчет_аналитики'!G3801,0)</f>
        <v/>
      </c>
      <c r="H3816">
        <f>IF('01_Вводные'!$B$234="Да",'19_Расчет_аналитики'!H3815-'19_Расчет_аналитики'!H3801,0)</f>
        <v/>
      </c>
      <c r="I3816">
        <f>IF('01_Вводные'!$B$234="Да",'19_Расчет_аналитики'!I3815-'19_Расчет_аналитики'!I3801,0)</f>
        <v/>
      </c>
      <c r="J3816">
        <f>IF('01_Вводные'!$B$234="Да",'19_Расчет_аналитики'!J3815-'19_Расчет_аналитики'!J3801,0)</f>
        <v/>
      </c>
      <c r="K3816">
        <f>IF('01_Вводные'!$B$234="Да",'19_Расчет_аналитики'!K3815-'19_Расчет_аналитики'!K3801,0)</f>
        <v/>
      </c>
      <c r="L3816">
        <f>IF('01_Вводные'!$B$234="Да",'19_Расчет_аналитики'!L3815-'19_Расчет_аналитики'!L3801,0)</f>
        <v/>
      </c>
      <c r="M3816">
        <f>IF('01_Вводные'!$B$234="Да",'19_Расчет_аналитики'!M3815-'19_Расчет_аналитики'!M3801,0)</f>
        <v/>
      </c>
      <c r="N3816">
        <f>IF('01_Вводные'!$B$234="Да",'19_Расчет_аналитики'!N3815-'19_Расчет_аналитики'!N3801,0)</f>
        <v/>
      </c>
      <c r="O3816">
        <f>IF('01_Вводные'!$B$234="Да",'19_Расчет_аналитики'!O3815-'19_Расчет_аналитики'!O3801,0)</f>
        <v/>
      </c>
      <c r="P3816">
        <f>IF('01_Вводные'!$B$234="Да",'19_Расчет_аналитики'!P3815-'19_Расчет_аналитики'!P3801,0)</f>
        <v/>
      </c>
      <c r="Q3816">
        <f>IF('01_Вводные'!$B$234="Да",'19_Расчет_аналитики'!Q3815-'19_Расчет_аналитики'!Q3801,0)</f>
        <v/>
      </c>
      <c r="R3816">
        <f>IF('01_Вводные'!$B$234="Да",'19_Расчет_аналитики'!R3815-'19_Расчет_аналитики'!R3801,0)</f>
        <v/>
      </c>
      <c r="S3816">
        <f>IF('01_Вводные'!$B$234="Да",'19_Расчет_аналитики'!S3815-'19_Расчет_аналитики'!S3801,0)</f>
        <v/>
      </c>
      <c r="T3816">
        <f>IF('01_Вводные'!$B$234="Да",'19_Расчет_аналитики'!T3815-'19_Расчет_аналитики'!T3801,0)</f>
        <v/>
      </c>
      <c r="U3816">
        <f>IF('01_Вводные'!$B$234="Да",'19_Расчет_аналитики'!U3815-'19_Расчет_аналитики'!U3801,0)</f>
        <v/>
      </c>
      <c r="V3816">
        <f>IF('01_Вводные'!$B$234="Да",'19_Расчет_аналитики'!V3815-'19_Расчет_аналитики'!V3801,0)</f>
        <v/>
      </c>
      <c r="W3816">
        <f>IF('01_Вводные'!$B$234="Да",'19_Расчет_аналитики'!W3815-'19_Расчет_аналитики'!W3801,0)</f>
        <v/>
      </c>
      <c r="X3816">
        <f>IF('01_Вводные'!$B$234="Да",'19_Расчет_аналитики'!X3815-'19_Расчет_аналитики'!X3801,0)</f>
        <v/>
      </c>
      <c r="Y3816">
        <f>IF('01_Вводные'!$B$234="Да",'19_Расчет_аналитики'!Y3815-'19_Расчет_аналитики'!Y3801,0)</f>
        <v/>
      </c>
      <c r="Z3816">
        <f>IF('01_Вводные'!$B$234="Да",'19_Расчет_аналитики'!Z3815-'19_Расчет_аналитики'!Z3801,0)</f>
        <v/>
      </c>
      <c r="AA3816">
        <f>IF('01_Вводные'!$B$234="Да",'19_Расчет_аналитики'!AA3815-'19_Расчет_аналитики'!AA3801,0)</f>
        <v/>
      </c>
      <c r="AB3816">
        <f>IF('01_Вводные'!$B$234="Да",'19_Расчет_аналитики'!AB3815-'19_Расчет_аналитики'!AB3801,0)</f>
        <v/>
      </c>
      <c r="AC3816">
        <f>IF('01_Вводные'!$B$234="Да",'19_Расчет_аналитики'!AC3815-'19_Расчет_аналитики'!AC3801,0)</f>
        <v/>
      </c>
      <c r="AD3816">
        <f>IF('01_Вводные'!$B$234="Да",'19_Расчет_аналитики'!AD3815-'19_Расчет_аналитики'!AD3801,0)</f>
        <v/>
      </c>
      <c r="AE3816">
        <f>IF('01_Вводные'!$B$234="Да",'19_Расчет_аналитики'!AE3815-'19_Расчет_аналитики'!AE3801,0)</f>
        <v/>
      </c>
      <c r="AF3816">
        <f>IF('01_Вводные'!$B$234="Да",'19_Расчет_аналитики'!AF3815-'19_Расчет_аналитики'!AF3801,0)</f>
        <v/>
      </c>
      <c r="AG3816">
        <f>IF('01_Вводные'!$B$234="Да",'19_Расчет_аналитики'!AG3815-'19_Расчет_аналитики'!AG3801,0)</f>
        <v/>
      </c>
      <c r="AH3816">
        <f>IF('01_Вводные'!$B$234="Да",'19_Расчет_аналитики'!AH3815-'19_Расчет_аналитики'!AH3801,0)</f>
        <v/>
      </c>
      <c r="AI3816">
        <f>IF('01_Вводные'!$B$234="Да",'19_Расчет_аналитики'!AI3815-'19_Расчет_аналитики'!AI3801,0)</f>
        <v/>
      </c>
      <c r="AJ3816">
        <f>IF('01_Вводные'!$B$234="Да",'19_Расчет_аналитики'!AJ3815-'19_Расчет_аналитики'!AJ3801,0)</f>
        <v/>
      </c>
      <c r="AK3816">
        <f>IF('01_Вводные'!$B$234="Да",'19_Расчет_аналитики'!AK3815-'19_Расчет_аналитики'!AK3801,0)</f>
        <v/>
      </c>
      <c r="AL3816">
        <f>IF('01_Вводные'!$B$234="Да",'19_Расчет_аналитики'!AL3815-'19_Расчет_аналитики'!AL3801,0)</f>
        <v/>
      </c>
      <c r="AM3816">
        <f>IF('01_Вводные'!$B$234="Да",'19_Расчет_аналитики'!AM3815-'19_Расчет_аналитики'!AM3801,0)</f>
        <v/>
      </c>
      <c r="AN3816">
        <f>IF('01_Вводные'!$B$234="Да",'19_Расчет_аналитики'!AN3815-'19_Расчет_аналитики'!AN3801,0)</f>
        <v/>
      </c>
      <c r="AO3816">
        <f>IF('01_Вводные'!$B$234="Да",'19_Расчет_аналитики'!AO3815-'19_Расчет_аналитики'!AO3801,0)</f>
        <v/>
      </c>
      <c r="AP3816">
        <f>IF('01_Вводные'!$B$234="Да",'19_Расчет_аналитики'!AP3815-'19_Расчет_аналитики'!AP3801,0)</f>
        <v/>
      </c>
      <c r="AQ3816">
        <f>IF('01_Вводные'!$B$234="Да",'19_Расчет_аналитики'!AQ3815-'19_Расчет_аналитики'!AQ3801,0)</f>
        <v/>
      </c>
      <c r="AR3816">
        <f>IF('01_Вводные'!$B$234="Да",'19_Расчет_аналитики'!AR3815-'19_Расчет_аналитики'!AR3801,0)</f>
        <v/>
      </c>
      <c r="AS3816">
        <f>IF('01_Вводные'!$B$234="Да",'19_Расчет_аналитики'!AS3815-'19_Расчет_аналитики'!AS3801,0)</f>
        <v/>
      </c>
      <c r="AT3816">
        <f>IF('01_Вводные'!$B$234="Да",'19_Расчет_аналитики'!AT3815-'19_Расчет_аналитики'!AT3801,0)</f>
        <v/>
      </c>
      <c r="AU3816">
        <f>IF('01_Вводные'!$B$234="Да",'19_Расчет_аналитики'!AU3815-'19_Расчет_аналитики'!AU3801,0)</f>
        <v/>
      </c>
      <c r="AV3816">
        <f>IF('01_Вводные'!$B$234="Да",'19_Расчет_аналитики'!AV3815-'19_Расчет_аналитики'!AV3801,0)</f>
        <v/>
      </c>
      <c r="AW3816">
        <f>IF('01_Вводные'!$B$234="Да",'19_Расчет_аналитики'!AW3815-'19_Расчет_аналитики'!AW3801,0)</f>
        <v/>
      </c>
      <c r="AX3816">
        <f>IF('01_Вводные'!$B$234="Да",'19_Расчет_аналитики'!AX3815-'19_Расчет_аналитики'!AX3801,0)</f>
        <v/>
      </c>
      <c r="AY3816">
        <f>IF('01_Вводные'!$B$234="Да",'19_Расчет_аналитики'!AY3815-'19_Расчет_аналитики'!AY3801,0)</f>
        <v/>
      </c>
      <c r="AZ3816">
        <f>IF('01_Вводные'!$B$234="Да",'19_Расчет_аналитики'!AZ3815-'19_Расчет_аналитики'!AZ3801,0)</f>
        <v/>
      </c>
      <c r="BA3816">
        <f>IF('01_Вводные'!$B$234="Да",'19_Расчет_аналитики'!BA3815-'19_Расчет_аналитики'!BA3801,0)</f>
        <v/>
      </c>
      <c r="BB3816">
        <f>IF('01_Вводные'!$B$234="Да",'19_Расчет_аналитики'!BB3815-'19_Расчет_аналитики'!BB3801,0)</f>
        <v/>
      </c>
      <c r="BC3816">
        <f>IF('01_Вводные'!$B$234="Да",'19_Расчет_аналитики'!BC3815-'19_Расчет_аналитики'!BC3801,0)</f>
        <v/>
      </c>
      <c r="BD3816">
        <f>IF('01_Вводные'!$B$234="Да",'19_Расчет_аналитики'!BD3815-'19_Расчет_аналитики'!BD3801,0)</f>
        <v/>
      </c>
      <c r="BE3816">
        <f>IF('01_Вводные'!$B$234="Да",'19_Расчет_аналитики'!BE3815-'19_Расчет_аналитики'!BE3801,0)</f>
        <v/>
      </c>
      <c r="BF3816">
        <f>IF('01_Вводные'!$B$234="Да",'19_Расчет_аналитики'!BF3815-'19_Расчет_аналитики'!BF3801,0)</f>
        <v/>
      </c>
      <c r="BG3816">
        <f>IF('01_Вводные'!$B$234="Да",'19_Расчет_аналитики'!BG3815-'19_Расчет_аналитики'!BG3801,0)</f>
        <v/>
      </c>
      <c r="BH3816">
        <f>IF('01_Вводные'!$B$234="Да",'19_Расчет_аналитики'!BH3815-'19_Расчет_аналитики'!BH3801,0)</f>
        <v/>
      </c>
      <c r="BI3816">
        <f>IF('01_Вводные'!$B$234="Да",'19_Расчет_аналитики'!BI3815-'19_Расчет_аналитики'!BI3801,0)</f>
        <v/>
      </c>
    </row>
    <row r="3817">
      <c r="B3817">
        <f>IF('01_Вводные'!$B$234="Да",'07_Мерч'!B22+'19_Расчет_аналитики'!B3662-'19_Расчет_аналитики'!B3660-'19_Расчет_аналитики'!B3663,0)</f>
        <v/>
      </c>
      <c r="C3817">
        <f>IF('01_Вводные'!$B$234="Да",'19_Расчет_аналитики'!C3659+'19_Расчет_аналитики'!C3662-'19_Расчет_аналитики'!C3660-'19_Расчет_аналитики'!C3663,0)</f>
        <v/>
      </c>
      <c r="D3817">
        <f>IF('01_Вводные'!$B$234="Да",'19_Расчет_аналитики'!D3659+'19_Расчет_аналитики'!D3662-'19_Расчет_аналитики'!D3660-'19_Расчет_аналитики'!D3663,0)</f>
        <v/>
      </c>
      <c r="E3817">
        <f>IF('01_Вводные'!$B$234="Да",'19_Расчет_аналитики'!E3659+'19_Расчет_аналитики'!E3662-'19_Расчет_аналитики'!E3660-'19_Расчет_аналитики'!E3663,0)</f>
        <v/>
      </c>
      <c r="F3817">
        <f>IF('01_Вводные'!$B$234="Да",'19_Расчет_аналитики'!F3659+'19_Расчет_аналитики'!F3662-'19_Расчет_аналитики'!F3660-'19_Расчет_аналитики'!F3663,0)</f>
        <v/>
      </c>
      <c r="G3817">
        <f>IF('01_Вводные'!$B$234="Да",'19_Расчет_аналитики'!G3659+'19_Расчет_аналитики'!G3662-'19_Расчет_аналитики'!G3660-'19_Расчет_аналитики'!G3663,0)</f>
        <v/>
      </c>
      <c r="H3817">
        <f>IF('01_Вводные'!$B$234="Да",'19_Расчет_аналитики'!H3659+'19_Расчет_аналитики'!H3662-'19_Расчет_аналитики'!H3660-'19_Расчет_аналитики'!H3663,0)</f>
        <v/>
      </c>
      <c r="I3817">
        <f>IF('01_Вводные'!$B$234="Да",'19_Расчет_аналитики'!I3659+'19_Расчет_аналитики'!I3662-'19_Расчет_аналитики'!I3660-'19_Расчет_аналитики'!I3663,0)</f>
        <v/>
      </c>
      <c r="J3817">
        <f>IF('01_Вводные'!$B$234="Да",'19_Расчет_аналитики'!J3659+'19_Расчет_аналитики'!J3662-'19_Расчет_аналитики'!J3660-'19_Расчет_аналитики'!J3663,0)</f>
        <v/>
      </c>
      <c r="K3817">
        <f>IF('01_Вводные'!$B$234="Да",'19_Расчет_аналитики'!K3659+'19_Расчет_аналитики'!K3662-'19_Расчет_аналитики'!K3660-'19_Расчет_аналитики'!K3663,0)</f>
        <v/>
      </c>
      <c r="L3817">
        <f>IF('01_Вводные'!$B$234="Да",'19_Расчет_аналитики'!L3659+'19_Расчет_аналитики'!L3662-'19_Расчет_аналитики'!L3660-'19_Расчет_аналитики'!L3663,0)</f>
        <v/>
      </c>
      <c r="M3817">
        <f>IF('01_Вводные'!$B$234="Да",'19_Расчет_аналитики'!M3659+'19_Расчет_аналитики'!M3662-'19_Расчет_аналитики'!M3660-'19_Расчет_аналитики'!M3663,0)</f>
        <v/>
      </c>
      <c r="N3817">
        <f>IF('01_Вводные'!$B$234="Да",'19_Расчет_аналитики'!N3659+'19_Расчет_аналитики'!N3662-'19_Расчет_аналитики'!N3660-'19_Расчет_аналитики'!N3663,0)</f>
        <v/>
      </c>
      <c r="O3817">
        <f>IF('01_Вводные'!$B$234="Да",'19_Расчет_аналитики'!O3659+'19_Расчет_аналитики'!O3662-'19_Расчет_аналитики'!O3660-'19_Расчет_аналитики'!O3663,0)</f>
        <v/>
      </c>
      <c r="P3817">
        <f>IF('01_Вводные'!$B$234="Да",'19_Расчет_аналитики'!P3659+'19_Расчет_аналитики'!P3662-'19_Расчет_аналитики'!P3660-'19_Расчет_аналитики'!P3663,0)</f>
        <v/>
      </c>
      <c r="Q3817">
        <f>IF('01_Вводные'!$B$234="Да",'19_Расчет_аналитики'!Q3659+'19_Расчет_аналитики'!Q3662-'19_Расчет_аналитики'!Q3660-'19_Расчет_аналитики'!Q3663,0)</f>
        <v/>
      </c>
      <c r="R3817">
        <f>IF('01_Вводные'!$B$234="Да",'19_Расчет_аналитики'!R3659+'19_Расчет_аналитики'!R3662-'19_Расчет_аналитики'!R3660-'19_Расчет_аналитики'!R3663,0)</f>
        <v/>
      </c>
      <c r="S3817">
        <f>IF('01_Вводные'!$B$234="Да",'19_Расчет_аналитики'!S3659+'19_Расчет_аналитики'!S3662-'19_Расчет_аналитики'!S3660-'19_Расчет_аналитики'!S3663,0)</f>
        <v/>
      </c>
      <c r="T3817">
        <f>IF('01_Вводные'!$B$234="Да",'19_Расчет_аналитики'!T3659+'19_Расчет_аналитики'!T3662-'19_Расчет_аналитики'!T3660-'19_Расчет_аналитики'!T3663,0)</f>
        <v/>
      </c>
      <c r="U3817">
        <f>IF('01_Вводные'!$B$234="Да",'19_Расчет_аналитики'!U3659+'19_Расчет_аналитики'!U3662-'19_Расчет_аналитики'!U3660-'19_Расчет_аналитики'!U3663,0)</f>
        <v/>
      </c>
      <c r="V3817">
        <f>IF('01_Вводные'!$B$234="Да",'19_Расчет_аналитики'!V3659+'19_Расчет_аналитики'!V3662-'19_Расчет_аналитики'!V3660-'19_Расчет_аналитики'!V3663,0)</f>
        <v/>
      </c>
      <c r="W3817">
        <f>IF('01_Вводные'!$B$234="Да",'19_Расчет_аналитики'!W3659+'19_Расчет_аналитики'!W3662-'19_Расчет_аналитики'!W3660-'19_Расчет_аналитики'!W3663,0)</f>
        <v/>
      </c>
      <c r="X3817">
        <f>IF('01_Вводные'!$B$234="Да",'19_Расчет_аналитики'!X3659+'19_Расчет_аналитики'!X3662-'19_Расчет_аналитики'!X3660-'19_Расчет_аналитики'!X3663,0)</f>
        <v/>
      </c>
      <c r="Y3817">
        <f>IF('01_Вводные'!$B$234="Да",'19_Расчет_аналитики'!Y3659+'19_Расчет_аналитики'!Y3662-'19_Расчет_аналитики'!Y3660-'19_Расчет_аналитики'!Y3663,0)</f>
        <v/>
      </c>
      <c r="Z3817">
        <f>IF('01_Вводные'!$B$234="Да",'19_Расчет_аналитики'!Z3659+'19_Расчет_аналитики'!Z3662-'19_Расчет_аналитики'!Z3660-'19_Расчет_аналитики'!Z3663,0)</f>
        <v/>
      </c>
      <c r="AA3817">
        <f>IF('01_Вводные'!$B$234="Да",'19_Расчет_аналитики'!AA3659+'19_Расчет_аналитики'!AA3662-'19_Расчет_аналитики'!AA3660-'19_Расчет_аналитики'!AA3663,0)</f>
        <v/>
      </c>
      <c r="AB3817">
        <f>IF('01_Вводные'!$B$234="Да",'19_Расчет_аналитики'!AB3659+'19_Расчет_аналитики'!AB3662-'19_Расчет_аналитики'!AB3660-'19_Расчет_аналитики'!AB3663,0)</f>
        <v/>
      </c>
      <c r="AC3817">
        <f>IF('01_Вводные'!$B$234="Да",'19_Расчет_аналитики'!AC3659+'19_Расчет_аналитики'!AC3662-'19_Расчет_аналитики'!AC3660-'19_Расчет_аналитики'!AC3663,0)</f>
        <v/>
      </c>
      <c r="AD3817">
        <f>IF('01_Вводные'!$B$234="Да",'19_Расчет_аналитики'!AD3659+'19_Расчет_аналитики'!AD3662-'19_Расчет_аналитики'!AD3660-'19_Расчет_аналитики'!AD3663,0)</f>
        <v/>
      </c>
      <c r="AE3817">
        <f>IF('01_Вводные'!$B$234="Да",'19_Расчет_аналитики'!AE3659+'19_Расчет_аналитики'!AE3662-'19_Расчет_аналитики'!AE3660-'19_Расчет_аналитики'!AE3663,0)</f>
        <v/>
      </c>
      <c r="AF3817">
        <f>IF('01_Вводные'!$B$234="Да",'19_Расчет_аналитики'!AF3659+'19_Расчет_аналитики'!AF3662-'19_Расчет_аналитики'!AF3660-'19_Расчет_аналитики'!AF3663,0)</f>
        <v/>
      </c>
      <c r="AG3817">
        <f>IF('01_Вводные'!$B$234="Да",'19_Расчет_аналитики'!AG3659+'19_Расчет_аналитики'!AG3662-'19_Расчет_аналитики'!AG3660-'19_Расчет_аналитики'!AG3663,0)</f>
        <v/>
      </c>
      <c r="AH3817">
        <f>IF('01_Вводные'!$B$234="Да",'19_Расчет_аналитики'!AH3659+'19_Расчет_аналитики'!AH3662-'19_Расчет_аналитики'!AH3660-'19_Расчет_аналитики'!AH3663,0)</f>
        <v/>
      </c>
      <c r="AI3817">
        <f>IF('01_Вводные'!$B$234="Да",'19_Расчет_аналитики'!AI3659+'19_Расчет_аналитики'!AI3662-'19_Расчет_аналитики'!AI3660-'19_Расчет_аналитики'!AI3663,0)</f>
        <v/>
      </c>
      <c r="AJ3817">
        <f>IF('01_Вводные'!$B$234="Да",'19_Расчет_аналитики'!AJ3659+'19_Расчет_аналитики'!AJ3662-'19_Расчет_аналитики'!AJ3660-'19_Расчет_аналитики'!AJ3663,0)</f>
        <v/>
      </c>
      <c r="AK3817">
        <f>IF('01_Вводные'!$B$234="Да",'19_Расчет_аналитики'!AK3659+'19_Расчет_аналитики'!AK3662-'19_Расчет_аналитики'!AK3660-'19_Расчет_аналитики'!AK3663,0)</f>
        <v/>
      </c>
      <c r="AL3817">
        <f>IF('01_Вводные'!$B$234="Да",'19_Расчет_аналитики'!AL3659+'19_Расчет_аналитики'!AL3662-'19_Расчет_аналитики'!AL3660-'19_Расчет_аналитики'!AL3663,0)</f>
        <v/>
      </c>
      <c r="AM3817">
        <f>IF('01_Вводные'!$B$234="Да",'19_Расчет_аналитики'!AM3659+'19_Расчет_аналитики'!AM3662-'19_Расчет_аналитики'!AM3660-'19_Расчет_аналитики'!AM3663,0)</f>
        <v/>
      </c>
      <c r="AN3817">
        <f>IF('01_Вводные'!$B$234="Да",'19_Расчет_аналитики'!AN3659+'19_Расчет_аналитики'!AN3662-'19_Расчет_аналитики'!AN3660-'19_Расчет_аналитики'!AN3663,0)</f>
        <v/>
      </c>
      <c r="AO3817">
        <f>IF('01_Вводные'!$B$234="Да",'19_Расчет_аналитики'!AO3659+'19_Расчет_аналитики'!AO3662-'19_Расчет_аналитики'!AO3660-'19_Расчет_аналитики'!AO3663,0)</f>
        <v/>
      </c>
      <c r="AP3817">
        <f>IF('01_Вводные'!$B$234="Да",'19_Расчет_аналитики'!AP3659+'19_Расчет_аналитики'!AP3662-'19_Расчет_аналитики'!AP3660-'19_Расчет_аналитики'!AP3663,0)</f>
        <v/>
      </c>
      <c r="AQ3817">
        <f>IF('01_Вводные'!$B$234="Да",'19_Расчет_аналитики'!AQ3659+'19_Расчет_аналитики'!AQ3662-'19_Расчет_аналитики'!AQ3660-'19_Расчет_аналитики'!AQ3663,0)</f>
        <v/>
      </c>
      <c r="AR3817">
        <f>IF('01_Вводные'!$B$234="Да",'19_Расчет_аналитики'!AR3659+'19_Расчет_аналитики'!AR3662-'19_Расчет_аналитики'!AR3660-'19_Расчет_аналитики'!AR3663,0)</f>
        <v/>
      </c>
      <c r="AS3817">
        <f>IF('01_Вводные'!$B$234="Да",'19_Расчет_аналитики'!AS3659+'19_Расчет_аналитики'!AS3662-'19_Расчет_аналитики'!AS3660-'19_Расчет_аналитики'!AS3663,0)</f>
        <v/>
      </c>
      <c r="AT3817">
        <f>IF('01_Вводные'!$B$234="Да",'19_Расчет_аналитики'!AT3659+'19_Расчет_аналитики'!AT3662-'19_Расчет_аналитики'!AT3660-'19_Расчет_аналитики'!AT3663,0)</f>
        <v/>
      </c>
      <c r="AU3817">
        <f>IF('01_Вводные'!$B$234="Да",'19_Расчет_аналитики'!AU3659+'19_Расчет_аналитики'!AU3662-'19_Расчет_аналитики'!AU3660-'19_Расчет_аналитики'!AU3663,0)</f>
        <v/>
      </c>
      <c r="AV3817">
        <f>IF('01_Вводные'!$B$234="Да",'19_Расчет_аналитики'!AV3659+'19_Расчет_аналитики'!AV3662-'19_Расчет_аналитики'!AV3660-'19_Расчет_аналитики'!AV3663,0)</f>
        <v/>
      </c>
      <c r="AW3817">
        <f>IF('01_Вводные'!$B$234="Да",'19_Расчет_аналитики'!AW3659+'19_Расчет_аналитики'!AW3662-'19_Расчет_аналитики'!AW3660-'19_Расчет_аналитики'!AW3663,0)</f>
        <v/>
      </c>
      <c r="AX3817">
        <f>IF('01_Вводные'!$B$234="Да",'19_Расчет_аналитики'!AX3659+'19_Расчет_аналитики'!AX3662-'19_Расчет_аналитики'!AX3660-'19_Расчет_аналитики'!AX3663,0)</f>
        <v/>
      </c>
      <c r="AY3817">
        <f>IF('01_Вводные'!$B$234="Да",'19_Расчет_аналитики'!AY3659+'19_Расчет_аналитики'!AY3662-'19_Расчет_аналитики'!AY3660-'19_Расчет_аналитики'!AY3663,0)</f>
        <v/>
      </c>
      <c r="AZ3817">
        <f>IF('01_Вводные'!$B$234="Да",'19_Расчет_аналитики'!AZ3659+'19_Расчет_аналитики'!AZ3662-'19_Расчет_аналитики'!AZ3660-'19_Расчет_аналитики'!AZ3663,0)</f>
        <v/>
      </c>
      <c r="BA3817">
        <f>IF('01_Вводные'!$B$234="Да",'19_Расчет_аналитики'!BA3659+'19_Расчет_аналитики'!BA3662-'19_Расчет_аналитики'!BA3660-'19_Расчет_аналитики'!BA3663,0)</f>
        <v/>
      </c>
      <c r="BB3817">
        <f>IF('01_Вводные'!$B$234="Да",'19_Расчет_аналитики'!BB3659+'19_Расчет_аналитики'!BB3662-'19_Расчет_аналитики'!BB3660-'19_Расчет_аналитики'!BB3663,0)</f>
        <v/>
      </c>
      <c r="BC3817">
        <f>IF('01_Вводные'!$B$234="Да",'19_Расчет_аналитики'!BC3659+'19_Расчет_аналитики'!BC3662-'19_Расчет_аналитики'!BC3660-'19_Расчет_аналитики'!BC3663,0)</f>
        <v/>
      </c>
      <c r="BD3817">
        <f>IF('01_Вводные'!$B$234="Да",'19_Расчет_аналитики'!BD3659+'19_Расчет_аналитики'!BD3662-'19_Расчет_аналитики'!BD3660-'19_Расчет_аналитики'!BD3663,0)</f>
        <v/>
      </c>
      <c r="BE3817">
        <f>IF('01_Вводные'!$B$234="Да",'19_Расчет_аналитики'!BE3659+'19_Расчет_аналитики'!BE3662-'19_Расчет_аналитики'!BE3660-'19_Расчет_аналитики'!BE3663,0)</f>
        <v/>
      </c>
      <c r="BF3817">
        <f>IF('01_Вводные'!$B$234="Да",'19_Расчет_аналитики'!BF3659+'19_Расчет_аналитики'!BF3662-'19_Расчет_аналитики'!BF3660-'19_Расчет_аналитики'!BF3663,0)</f>
        <v/>
      </c>
      <c r="BG3817">
        <f>IF('01_Вводные'!$B$234="Да",'19_Расчет_аналитики'!BG3659+'19_Расчет_аналитики'!BG3662-'19_Расчет_аналитики'!BG3660-'19_Расчет_аналитики'!BG3663,0)</f>
        <v/>
      </c>
      <c r="BH3817">
        <f>IF('01_Вводные'!$B$234="Да",'19_Расчет_аналитики'!BH3659+'19_Расчет_аналитики'!BH3662-'19_Расчет_аналитики'!BH3660-'19_Расчет_аналитики'!BH3663,0)</f>
        <v/>
      </c>
      <c r="BI3817">
        <f>IF('01_Вводные'!$B$234="Да",'19_Расчет_аналитики'!BI3659+'19_Расчет_аналитики'!BI3662-'19_Расчет_аналитики'!BI3660-'19_Расчет_аналитики'!BI3663,0)</f>
        <v/>
      </c>
    </row>
    <row r="3818">
      <c r="B3818">
        <f>IF('01_Вводные'!$B$234="Да",0+SUM('19_Расчет_аналитики'!B3758:B3760)-'19_Расчет_аналитики'!B3791,0)</f>
        <v/>
      </c>
      <c r="C3818">
        <f>IF('01_Вводные'!$B$234="Да",'19_Расчет_аналитики'!B3818+SUM('19_Расчет_аналитики'!C3758:C3760)-'19_Расчет_аналитики'!C3791,0)</f>
        <v/>
      </c>
      <c r="D3818">
        <f>IF('01_Вводные'!$B$234="Да",'19_Расчет_аналитики'!C3818+SUM('19_Расчет_аналитики'!D3758:D3760)-'19_Расчет_аналитики'!D3791,0)</f>
        <v/>
      </c>
      <c r="E3818">
        <f>IF('01_Вводные'!$B$234="Да",'19_Расчет_аналитики'!D3818+SUM('19_Расчет_аналитики'!E3758:E3760)-'19_Расчет_аналитики'!E3791,0)</f>
        <v/>
      </c>
      <c r="F3818">
        <f>IF('01_Вводные'!$B$234="Да",'19_Расчет_аналитики'!E3818+SUM('19_Расчет_аналитики'!F3758:F3760)-'19_Расчет_аналитики'!F3791,0)</f>
        <v/>
      </c>
      <c r="G3818">
        <f>IF('01_Вводные'!$B$234="Да",'19_Расчет_аналитики'!F3818+SUM('19_Расчет_аналитики'!G3758:G3760)-'19_Расчет_аналитики'!G3791,0)</f>
        <v/>
      </c>
      <c r="H3818">
        <f>IF('01_Вводные'!$B$234="Да",'19_Расчет_аналитики'!G3818+SUM('19_Расчет_аналитики'!H3758:H3760)-'19_Расчет_аналитики'!H3791,0)</f>
        <v/>
      </c>
      <c r="I3818">
        <f>IF('01_Вводные'!$B$234="Да",'19_Расчет_аналитики'!H3818+SUM('19_Расчет_аналитики'!I3758:I3760)-'19_Расчет_аналитики'!I3791,0)</f>
        <v/>
      </c>
      <c r="J3818">
        <f>IF('01_Вводные'!$B$234="Да",'19_Расчет_аналитики'!I3818+SUM('19_Расчет_аналитики'!J3758:J3760)-'19_Расчет_аналитики'!J3791,0)</f>
        <v/>
      </c>
      <c r="K3818">
        <f>IF('01_Вводные'!$B$234="Да",'19_Расчет_аналитики'!J3818+SUM('19_Расчет_аналитики'!K3758:K3760)-'19_Расчет_аналитики'!K3791,0)</f>
        <v/>
      </c>
      <c r="L3818">
        <f>IF('01_Вводные'!$B$234="Да",'19_Расчет_аналитики'!K3818+SUM('19_Расчет_аналитики'!L3758:L3760)-'19_Расчет_аналитики'!L3791,0)</f>
        <v/>
      </c>
      <c r="M3818">
        <f>IF('01_Вводные'!$B$234="Да",'19_Расчет_аналитики'!L3818+SUM('19_Расчет_аналитики'!M3758:M3760)-'19_Расчет_аналитики'!M3791,0)</f>
        <v/>
      </c>
      <c r="N3818">
        <f>IF('01_Вводные'!$B$234="Да",'19_Расчет_аналитики'!M3818+SUM('19_Расчет_аналитики'!N3758:N3760)-'19_Расчет_аналитики'!N3791,0)</f>
        <v/>
      </c>
      <c r="O3818">
        <f>IF('01_Вводные'!$B$234="Да",'19_Расчет_аналитики'!N3818+SUM('19_Расчет_аналитики'!O3758:O3760)-'19_Расчет_аналитики'!O3791,0)</f>
        <v/>
      </c>
      <c r="P3818">
        <f>IF('01_Вводные'!$B$234="Да",'19_Расчет_аналитики'!O3818+SUM('19_Расчет_аналитики'!P3758:P3760)-'19_Расчет_аналитики'!P3791,0)</f>
        <v/>
      </c>
      <c r="Q3818">
        <f>IF('01_Вводные'!$B$234="Да",'19_Расчет_аналитики'!P3818+SUM('19_Расчет_аналитики'!Q3758:Q3760)-'19_Расчет_аналитики'!Q3791,0)</f>
        <v/>
      </c>
      <c r="R3818">
        <f>IF('01_Вводные'!$B$234="Да",'19_Расчет_аналитики'!Q3818+SUM('19_Расчет_аналитики'!R3758:R3760)-'19_Расчет_аналитики'!R3791,0)</f>
        <v/>
      </c>
      <c r="S3818">
        <f>IF('01_Вводные'!$B$234="Да",'19_Расчет_аналитики'!R3818+SUM('19_Расчет_аналитики'!S3758:S3760)-'19_Расчет_аналитики'!S3791,0)</f>
        <v/>
      </c>
      <c r="T3818">
        <f>IF('01_Вводные'!$B$234="Да",'19_Расчет_аналитики'!S3818+SUM('19_Расчет_аналитики'!T3758:T3760)-'19_Расчет_аналитики'!T3791,0)</f>
        <v/>
      </c>
      <c r="U3818">
        <f>IF('01_Вводные'!$B$234="Да",'19_Расчет_аналитики'!T3818+SUM('19_Расчет_аналитики'!U3758:U3760)-'19_Расчет_аналитики'!U3791,0)</f>
        <v/>
      </c>
      <c r="V3818">
        <f>IF('01_Вводные'!$B$234="Да",'19_Расчет_аналитики'!U3818+SUM('19_Расчет_аналитики'!V3758:V3760)-'19_Расчет_аналитики'!V3791,0)</f>
        <v/>
      </c>
      <c r="W3818">
        <f>IF('01_Вводные'!$B$234="Да",'19_Расчет_аналитики'!V3818+SUM('19_Расчет_аналитики'!W3758:W3760)-'19_Расчет_аналитики'!W3791,0)</f>
        <v/>
      </c>
      <c r="X3818">
        <f>IF('01_Вводные'!$B$234="Да",'19_Расчет_аналитики'!W3818+SUM('19_Расчет_аналитики'!X3758:X3760)-'19_Расчет_аналитики'!X3791,0)</f>
        <v/>
      </c>
      <c r="Y3818">
        <f>IF('01_Вводные'!$B$234="Да",'19_Расчет_аналитики'!X3818+SUM('19_Расчет_аналитики'!Y3758:Y3760)-'19_Расчет_аналитики'!Y3791,0)</f>
        <v/>
      </c>
      <c r="Z3818">
        <f>IF('01_Вводные'!$B$234="Да",'19_Расчет_аналитики'!Y3818+SUM('19_Расчет_аналитики'!Z3758:Z3760)-'19_Расчет_аналитики'!Z3791,0)</f>
        <v/>
      </c>
      <c r="AA3818">
        <f>IF('01_Вводные'!$B$234="Да",'19_Расчет_аналитики'!Z3818+SUM('19_Расчет_аналитики'!AA3758:AA3760)-'19_Расчет_аналитики'!AA3791,0)</f>
        <v/>
      </c>
      <c r="AB3818">
        <f>IF('01_Вводные'!$B$234="Да",'19_Расчет_аналитики'!AA3818+SUM('19_Расчет_аналитики'!AB3758:AB3760)-'19_Расчет_аналитики'!AB3791,0)</f>
        <v/>
      </c>
      <c r="AC3818">
        <f>IF('01_Вводные'!$B$234="Да",'19_Расчет_аналитики'!AB3818+SUM('19_Расчет_аналитики'!AC3758:AC3760)-'19_Расчет_аналитики'!AC3791,0)</f>
        <v/>
      </c>
      <c r="AD3818">
        <f>IF('01_Вводные'!$B$234="Да",'19_Расчет_аналитики'!AC3818+SUM('19_Расчет_аналитики'!AD3758:AD3760)-'19_Расчет_аналитики'!AD3791,0)</f>
        <v/>
      </c>
      <c r="AE3818">
        <f>IF('01_Вводные'!$B$234="Да",'19_Расчет_аналитики'!AD3818+SUM('19_Расчет_аналитики'!AE3758:AE3760)-'19_Расчет_аналитики'!AE3791,0)</f>
        <v/>
      </c>
      <c r="AF3818">
        <f>IF('01_Вводные'!$B$234="Да",'19_Расчет_аналитики'!AE3818+SUM('19_Расчет_аналитики'!AF3758:AF3760)-'19_Расчет_аналитики'!AF3791,0)</f>
        <v/>
      </c>
      <c r="AG3818">
        <f>IF('01_Вводные'!$B$234="Да",'19_Расчет_аналитики'!AF3818+SUM('19_Расчет_аналитики'!AG3758:AG3760)-'19_Расчет_аналитики'!AG3791,0)</f>
        <v/>
      </c>
      <c r="AH3818">
        <f>IF('01_Вводные'!$B$234="Да",'19_Расчет_аналитики'!AG3818+SUM('19_Расчет_аналитики'!AH3758:AH3760)-'19_Расчет_аналитики'!AH3791,0)</f>
        <v/>
      </c>
      <c r="AI3818">
        <f>IF('01_Вводные'!$B$234="Да",'19_Расчет_аналитики'!AH3818+SUM('19_Расчет_аналитики'!AI3758:AI3760)-'19_Расчет_аналитики'!AI3791,0)</f>
        <v/>
      </c>
      <c r="AJ3818">
        <f>IF('01_Вводные'!$B$234="Да",'19_Расчет_аналитики'!AI3818+SUM('19_Расчет_аналитики'!AJ3758:AJ3760)-'19_Расчет_аналитики'!AJ3791,0)</f>
        <v/>
      </c>
      <c r="AK3818">
        <f>IF('01_Вводные'!$B$234="Да",'19_Расчет_аналитики'!AJ3818+SUM('19_Расчет_аналитики'!AK3758:AK3760)-'19_Расчет_аналитики'!AK3791,0)</f>
        <v/>
      </c>
      <c r="AL3818">
        <f>IF('01_Вводные'!$B$234="Да",'19_Расчет_аналитики'!AK3818+SUM('19_Расчет_аналитики'!AL3758:AL3760)-'19_Расчет_аналитики'!AL3791,0)</f>
        <v/>
      </c>
      <c r="AM3818">
        <f>IF('01_Вводные'!$B$234="Да",'19_Расчет_аналитики'!AL3818+SUM('19_Расчет_аналитики'!AM3758:AM3760)-'19_Расчет_аналитики'!AM3791,0)</f>
        <v/>
      </c>
      <c r="AN3818">
        <f>IF('01_Вводные'!$B$234="Да",'19_Расчет_аналитики'!AM3818+SUM('19_Расчет_аналитики'!AN3758:AN3760)-'19_Расчет_аналитики'!AN3791,0)</f>
        <v/>
      </c>
      <c r="AO3818">
        <f>IF('01_Вводные'!$B$234="Да",'19_Расчет_аналитики'!AN3818+SUM('19_Расчет_аналитики'!AO3758:AO3760)-'19_Расчет_аналитики'!AO3791,0)</f>
        <v/>
      </c>
      <c r="AP3818">
        <f>IF('01_Вводные'!$B$234="Да",'19_Расчет_аналитики'!AO3818+SUM('19_Расчет_аналитики'!AP3758:AP3760)-'19_Расчет_аналитики'!AP3791,0)</f>
        <v/>
      </c>
      <c r="AQ3818">
        <f>IF('01_Вводные'!$B$234="Да",'19_Расчет_аналитики'!AP3818+SUM('19_Расчет_аналитики'!AQ3758:AQ3760)-'19_Расчет_аналитики'!AQ3791,0)</f>
        <v/>
      </c>
      <c r="AR3818">
        <f>IF('01_Вводные'!$B$234="Да",'19_Расчет_аналитики'!AQ3818+SUM('19_Расчет_аналитики'!AR3758:AR3760)-'19_Расчет_аналитики'!AR3791,0)</f>
        <v/>
      </c>
      <c r="AS3818">
        <f>IF('01_Вводные'!$B$234="Да",'19_Расчет_аналитики'!AR3818+SUM('19_Расчет_аналитики'!AS3758:AS3760)-'19_Расчет_аналитики'!AS3791,0)</f>
        <v/>
      </c>
      <c r="AT3818">
        <f>IF('01_Вводные'!$B$234="Да",'19_Расчет_аналитики'!AS3818+SUM('19_Расчет_аналитики'!AT3758:AT3760)-'19_Расчет_аналитики'!AT3791,0)</f>
        <v/>
      </c>
      <c r="AU3818">
        <f>IF('01_Вводные'!$B$234="Да",'19_Расчет_аналитики'!AT3818+SUM('19_Расчет_аналитики'!AU3758:AU3760)-'19_Расчет_аналитики'!AU3791,0)</f>
        <v/>
      </c>
      <c r="AV3818">
        <f>IF('01_Вводные'!$B$234="Да",'19_Расчет_аналитики'!AU3818+SUM('19_Расчет_аналитики'!AV3758:AV3760)-'19_Расчет_аналитики'!AV3791,0)</f>
        <v/>
      </c>
      <c r="AW3818">
        <f>IF('01_Вводные'!$B$234="Да",'19_Расчет_аналитики'!AV3818+SUM('19_Расчет_аналитики'!AW3758:AW3760)-'19_Расчет_аналитики'!AW3791,0)</f>
        <v/>
      </c>
      <c r="AX3818">
        <f>IF('01_Вводные'!$B$234="Да",'19_Расчет_аналитики'!AW3818+SUM('19_Расчет_аналитики'!AX3758:AX3760)-'19_Расчет_аналитики'!AX3791,0)</f>
        <v/>
      </c>
      <c r="AY3818">
        <f>IF('01_Вводные'!$B$234="Да",'19_Расчет_аналитики'!AX3818+SUM('19_Расчет_аналитики'!AY3758:AY3760)-'19_Расчет_аналитики'!AY3791,0)</f>
        <v/>
      </c>
      <c r="AZ3818">
        <f>IF('01_Вводные'!$B$234="Да",'19_Расчет_аналитики'!AY3818+SUM('19_Расчет_аналитики'!AZ3758:AZ3760)-'19_Расчет_аналитики'!AZ3791,0)</f>
        <v/>
      </c>
      <c r="BA3818">
        <f>IF('01_Вводные'!$B$234="Да",'19_Расчет_аналитики'!AZ3818+SUM('19_Расчет_аналитики'!BA3758:BA3760)-'19_Расчет_аналитики'!BA3791,0)</f>
        <v/>
      </c>
      <c r="BB3818">
        <f>IF('01_Вводные'!$B$234="Да",'19_Расчет_аналитики'!BA3818+SUM('19_Расчет_аналитики'!BB3758:BB3760)-'19_Расчет_аналитики'!BB3791,0)</f>
        <v/>
      </c>
      <c r="BC3818">
        <f>IF('01_Вводные'!$B$234="Да",'19_Расчет_аналитики'!BB3818+SUM('19_Расчет_аналитики'!BC3758:BC3760)-'19_Расчет_аналитики'!BC3791,0)</f>
        <v/>
      </c>
      <c r="BD3818">
        <f>IF('01_Вводные'!$B$234="Да",'19_Расчет_аналитики'!BC3818+SUM('19_Расчет_аналитики'!BD3758:BD3760)-'19_Расчет_аналитики'!BD3791,0)</f>
        <v/>
      </c>
      <c r="BE3818">
        <f>IF('01_Вводные'!$B$234="Да",'19_Расчет_аналитики'!BD3818+SUM('19_Расчет_аналитики'!BE3758:BE3760)-'19_Расчет_аналитики'!BE3791,0)</f>
        <v/>
      </c>
      <c r="BF3818">
        <f>IF('01_Вводные'!$B$234="Да",'19_Расчет_аналитики'!BE3818+SUM('19_Расчет_аналитики'!BF3758:BF3760)-'19_Расчет_аналитики'!BF3791,0)</f>
        <v/>
      </c>
      <c r="BG3818">
        <f>IF('01_Вводные'!$B$234="Да",'19_Расчет_аналитики'!BF3818+SUM('19_Расчет_аналитики'!BG3758:BG3760)-'19_Расчет_аналитики'!BG3791,0)</f>
        <v/>
      </c>
      <c r="BH3818">
        <f>IF('01_Вводные'!$B$234="Да",'19_Расчет_аналитики'!BG3818+SUM('19_Расчет_аналитики'!BH3758:BH3760)-'19_Расчет_аналитики'!BH3791,0)</f>
        <v/>
      </c>
      <c r="BI3818">
        <f>IF('01_Вводные'!$B$234="Да",'19_Расчет_аналитики'!BH3818+SUM('19_Расчет_аналитики'!BI3758:BI3760)-'19_Расчет_аналитики'!BI3791,0)</f>
        <v/>
      </c>
    </row>
    <row r="3819"/>
    <row r="3820"/>
    <row r="3821"/>
    <row r="3822"/>
    <row r="3823">
      <c r="B3823">
        <f>IF('01_Вводные'!$B$234="Да",MAX(0,'19_Расчет_аналитики'!B3799-'01_Вводные'!$B$237-'19_Расчет_аналитики'!B3824),0)</f>
        <v/>
      </c>
      <c r="C3823">
        <f>IF('01_Вводные'!$B$234="Да",MAX(0,'19_Расчет_аналитики'!C3799-'01_Вводные'!$B$237-'19_Расчет_аналитики'!C3824),0)</f>
        <v/>
      </c>
      <c r="D3823">
        <f>IF('01_Вводные'!$B$234="Да",MAX(0,'19_Расчет_аналитики'!D3799-'01_Вводные'!$B$237-'19_Расчет_аналитики'!D3824),0)</f>
        <v/>
      </c>
      <c r="E3823">
        <f>IF('01_Вводные'!$B$234="Да",MAX(0,'19_Расчет_аналитики'!E3799-'01_Вводные'!$B$237-'19_Расчет_аналитики'!E3824),0)</f>
        <v/>
      </c>
      <c r="F3823">
        <f>IF('01_Вводные'!$B$234="Да",MAX(0,'19_Расчет_аналитики'!F3799-'01_Вводные'!$B$237-'19_Расчет_аналитики'!F3824),0)</f>
        <v/>
      </c>
      <c r="G3823">
        <f>IF('01_Вводные'!$B$234="Да",MAX(0,'19_Расчет_аналитики'!G3799-'01_Вводные'!$B$237-'19_Расчет_аналитики'!G3824),0)</f>
        <v/>
      </c>
      <c r="H3823">
        <f>IF('01_Вводные'!$B$234="Да",MAX(0,'19_Расчет_аналитики'!H3799-'01_Вводные'!$B$237-'19_Расчет_аналитики'!H3824),0)</f>
        <v/>
      </c>
      <c r="I3823">
        <f>IF('01_Вводные'!$B$234="Да",MAX(0,'19_Расчет_аналитики'!I3799-'01_Вводные'!$B$237-'19_Расчет_аналитики'!I3824),0)</f>
        <v/>
      </c>
      <c r="J3823">
        <f>IF('01_Вводные'!$B$234="Да",MAX(0,'19_Расчет_аналитики'!J3799-'01_Вводные'!$B$237-'19_Расчет_аналитики'!J3824),0)</f>
        <v/>
      </c>
      <c r="K3823">
        <f>IF('01_Вводные'!$B$234="Да",MAX(0,'19_Расчет_аналитики'!K3799-'01_Вводные'!$B$237-'19_Расчет_аналитики'!K3824),0)</f>
        <v/>
      </c>
      <c r="L3823">
        <f>IF('01_Вводные'!$B$234="Да",MAX(0,'19_Расчет_аналитики'!L3799-'01_Вводные'!$B$237-'19_Расчет_аналитики'!L3824),0)</f>
        <v/>
      </c>
      <c r="M3823">
        <f>IF('01_Вводные'!$B$234="Да",MAX(0,'19_Расчет_аналитики'!M3799-'01_Вводные'!$B$237-'19_Расчет_аналитики'!M3824),0)</f>
        <v/>
      </c>
      <c r="N3823">
        <f>IF('01_Вводные'!$B$234="Да",MAX(0,'19_Расчет_аналитики'!N3799-'01_Вводные'!$B$237-'19_Расчет_аналитики'!N3824),0)</f>
        <v/>
      </c>
      <c r="O3823">
        <f>IF('01_Вводные'!$B$234="Да",MAX(0,'19_Расчет_аналитики'!O3799-'01_Вводные'!$B$237-'19_Расчет_аналитики'!O3824),0)</f>
        <v/>
      </c>
      <c r="P3823">
        <f>IF('01_Вводные'!$B$234="Да",MAX(0,'19_Расчет_аналитики'!P3799-'01_Вводные'!$B$237-'19_Расчет_аналитики'!P3824),0)</f>
        <v/>
      </c>
      <c r="Q3823">
        <f>IF('01_Вводные'!$B$234="Да",MAX(0,'19_Расчет_аналитики'!Q3799-'01_Вводные'!$B$237-'19_Расчет_аналитики'!Q3824),0)</f>
        <v/>
      </c>
      <c r="R3823">
        <f>IF('01_Вводные'!$B$234="Да",MAX(0,'19_Расчет_аналитики'!R3799-'01_Вводные'!$B$237-'19_Расчет_аналитики'!R3824),0)</f>
        <v/>
      </c>
      <c r="S3823">
        <f>IF('01_Вводные'!$B$234="Да",MAX(0,'19_Расчет_аналитики'!S3799-'01_Вводные'!$B$237-'19_Расчет_аналитики'!S3824),0)</f>
        <v/>
      </c>
      <c r="T3823">
        <f>IF('01_Вводные'!$B$234="Да",MAX(0,'19_Расчет_аналитики'!T3799-'01_Вводные'!$B$237-'19_Расчет_аналитики'!T3824),0)</f>
        <v/>
      </c>
      <c r="U3823">
        <f>IF('01_Вводные'!$B$234="Да",MAX(0,'19_Расчет_аналитики'!U3799-'01_Вводные'!$B$237-'19_Расчет_аналитики'!U3824),0)</f>
        <v/>
      </c>
      <c r="V3823">
        <f>IF('01_Вводные'!$B$234="Да",MAX(0,'19_Расчет_аналитики'!V3799-'01_Вводные'!$B$237-'19_Расчет_аналитики'!V3824),0)</f>
        <v/>
      </c>
      <c r="W3823">
        <f>IF('01_Вводные'!$B$234="Да",MAX(0,'19_Расчет_аналитики'!W3799-'01_Вводные'!$B$237-'19_Расчет_аналитики'!W3824),0)</f>
        <v/>
      </c>
      <c r="X3823">
        <f>IF('01_Вводные'!$B$234="Да",MAX(0,'19_Расчет_аналитики'!X3799-'01_Вводные'!$B$237-'19_Расчет_аналитики'!X3824),0)</f>
        <v/>
      </c>
      <c r="Y3823">
        <f>IF('01_Вводные'!$B$234="Да",MAX(0,'19_Расчет_аналитики'!Y3799-'01_Вводные'!$B$237-'19_Расчет_аналитики'!Y3824),0)</f>
        <v/>
      </c>
      <c r="Z3823">
        <f>IF('01_Вводные'!$B$234="Да",MAX(0,'19_Расчет_аналитики'!Z3799-'01_Вводные'!$B$237-'19_Расчет_аналитики'!Z3824),0)</f>
        <v/>
      </c>
      <c r="AA3823">
        <f>IF('01_Вводные'!$B$234="Да",MAX(0,'19_Расчет_аналитики'!AA3799-'01_Вводные'!$B$237-'19_Расчет_аналитики'!AA3824),0)</f>
        <v/>
      </c>
      <c r="AB3823">
        <f>IF('01_Вводные'!$B$234="Да",MAX(0,'19_Расчет_аналитики'!AB3799-'01_Вводные'!$B$237-'19_Расчет_аналитики'!AB3824),0)</f>
        <v/>
      </c>
      <c r="AC3823">
        <f>IF('01_Вводные'!$B$234="Да",MAX(0,'19_Расчет_аналитики'!AC3799-'01_Вводные'!$B$237-'19_Расчет_аналитики'!AC3824),0)</f>
        <v/>
      </c>
      <c r="AD3823">
        <f>IF('01_Вводные'!$B$234="Да",MAX(0,'19_Расчет_аналитики'!AD3799-'01_Вводные'!$B$237-'19_Расчет_аналитики'!AD3824),0)</f>
        <v/>
      </c>
      <c r="AE3823">
        <f>IF('01_Вводные'!$B$234="Да",MAX(0,'19_Расчет_аналитики'!AE3799-'01_Вводные'!$B$237-'19_Расчет_аналитики'!AE3824),0)</f>
        <v/>
      </c>
      <c r="AF3823">
        <f>IF('01_Вводные'!$B$234="Да",MAX(0,'19_Расчет_аналитики'!AF3799-'01_Вводные'!$B$237-'19_Расчет_аналитики'!AF3824),0)</f>
        <v/>
      </c>
      <c r="AG3823">
        <f>IF('01_Вводные'!$B$234="Да",MAX(0,'19_Расчет_аналитики'!AG3799-'01_Вводные'!$B$237-'19_Расчет_аналитики'!AG3824),0)</f>
        <v/>
      </c>
      <c r="AH3823">
        <f>IF('01_Вводные'!$B$234="Да",MAX(0,'19_Расчет_аналитики'!AH3799-'01_Вводные'!$B$237-'19_Расчет_аналитики'!AH3824),0)</f>
        <v/>
      </c>
      <c r="AI3823">
        <f>IF('01_Вводные'!$B$234="Да",MAX(0,'19_Расчет_аналитики'!AI3799-'01_Вводные'!$B$237-'19_Расчет_аналитики'!AI3824),0)</f>
        <v/>
      </c>
      <c r="AJ3823">
        <f>IF('01_Вводные'!$B$234="Да",MAX(0,'19_Расчет_аналитики'!AJ3799-'01_Вводные'!$B$237-'19_Расчет_аналитики'!AJ3824),0)</f>
        <v/>
      </c>
      <c r="AK3823">
        <f>IF('01_Вводные'!$B$234="Да",MAX(0,'19_Расчет_аналитики'!AK3799-'01_Вводные'!$B$237-'19_Расчет_аналитики'!AK3824),0)</f>
        <v/>
      </c>
      <c r="AL3823">
        <f>IF('01_Вводные'!$B$234="Да",MAX(0,'19_Расчет_аналитики'!AL3799-'01_Вводные'!$B$237-'19_Расчет_аналитики'!AL3824),0)</f>
        <v/>
      </c>
      <c r="AM3823">
        <f>IF('01_Вводные'!$B$234="Да",MAX(0,'19_Расчет_аналитики'!AM3799-'01_Вводные'!$B$237-'19_Расчет_аналитики'!AM3824),0)</f>
        <v/>
      </c>
      <c r="AN3823">
        <f>IF('01_Вводные'!$B$234="Да",MAX(0,'19_Расчет_аналитики'!AN3799-'01_Вводные'!$B$237-'19_Расчет_аналитики'!AN3824),0)</f>
        <v/>
      </c>
      <c r="AO3823">
        <f>IF('01_Вводные'!$B$234="Да",MAX(0,'19_Расчет_аналитики'!AO3799-'01_Вводные'!$B$237-'19_Расчет_аналитики'!AO3824),0)</f>
        <v/>
      </c>
      <c r="AP3823">
        <f>IF('01_Вводные'!$B$234="Да",MAX(0,'19_Расчет_аналитики'!AP3799-'01_Вводные'!$B$237-'19_Расчет_аналитики'!AP3824),0)</f>
        <v/>
      </c>
      <c r="AQ3823">
        <f>IF('01_Вводные'!$B$234="Да",MAX(0,'19_Расчет_аналитики'!AQ3799-'01_Вводные'!$B$237-'19_Расчет_аналитики'!AQ3824),0)</f>
        <v/>
      </c>
      <c r="AR3823">
        <f>IF('01_Вводные'!$B$234="Да",MAX(0,'19_Расчет_аналитики'!AR3799-'01_Вводные'!$B$237-'19_Расчет_аналитики'!AR3824),0)</f>
        <v/>
      </c>
      <c r="AS3823">
        <f>IF('01_Вводные'!$B$234="Да",MAX(0,'19_Расчет_аналитики'!AS3799-'01_Вводные'!$B$237-'19_Расчет_аналитики'!AS3824),0)</f>
        <v/>
      </c>
      <c r="AT3823">
        <f>IF('01_Вводные'!$B$234="Да",MAX(0,'19_Расчет_аналитики'!AT3799-'01_Вводные'!$B$237-'19_Расчет_аналитики'!AT3824),0)</f>
        <v/>
      </c>
      <c r="AU3823">
        <f>IF('01_Вводные'!$B$234="Да",MAX(0,'19_Расчет_аналитики'!AU3799-'01_Вводные'!$B$237-'19_Расчет_аналитики'!AU3824),0)</f>
        <v/>
      </c>
      <c r="AV3823">
        <f>IF('01_Вводные'!$B$234="Да",MAX(0,'19_Расчет_аналитики'!AV3799-'01_Вводные'!$B$237-'19_Расчет_аналитики'!AV3824),0)</f>
        <v/>
      </c>
      <c r="AW3823">
        <f>IF('01_Вводные'!$B$234="Да",MAX(0,'19_Расчет_аналитики'!AW3799-'01_Вводные'!$B$237-'19_Расчет_аналитики'!AW3824),0)</f>
        <v/>
      </c>
      <c r="AX3823">
        <f>IF('01_Вводные'!$B$234="Да",MAX(0,'19_Расчет_аналитики'!AX3799-'01_Вводные'!$B$237-'19_Расчет_аналитики'!AX3824),0)</f>
        <v/>
      </c>
      <c r="AY3823">
        <f>IF('01_Вводные'!$B$234="Да",MAX(0,'19_Расчет_аналитики'!AY3799-'01_Вводные'!$B$237-'19_Расчет_аналитики'!AY3824),0)</f>
        <v/>
      </c>
      <c r="AZ3823">
        <f>IF('01_Вводные'!$B$234="Да",MAX(0,'19_Расчет_аналитики'!AZ3799-'01_Вводные'!$B$237-'19_Расчет_аналитики'!AZ3824),0)</f>
        <v/>
      </c>
      <c r="BA3823">
        <f>IF('01_Вводные'!$B$234="Да",MAX(0,'19_Расчет_аналитики'!BA3799-'01_Вводные'!$B$237-'19_Расчет_аналитики'!BA3824),0)</f>
        <v/>
      </c>
      <c r="BB3823">
        <f>IF('01_Вводные'!$B$234="Да",MAX(0,'19_Расчет_аналитики'!BB3799-'01_Вводные'!$B$237-'19_Расчет_аналитики'!BB3824),0)</f>
        <v/>
      </c>
      <c r="BC3823">
        <f>IF('01_Вводные'!$B$234="Да",MAX(0,'19_Расчет_аналитики'!BC3799-'01_Вводные'!$B$237-'19_Расчет_аналитики'!BC3824),0)</f>
        <v/>
      </c>
      <c r="BD3823">
        <f>IF('01_Вводные'!$B$234="Да",MAX(0,'19_Расчет_аналитики'!BD3799-'01_Вводные'!$B$237-'19_Расчет_аналитики'!BD3824),0)</f>
        <v/>
      </c>
      <c r="BE3823">
        <f>IF('01_Вводные'!$B$234="Да",MAX(0,'19_Расчет_аналитики'!BE3799-'01_Вводные'!$B$237-'19_Расчет_аналитики'!BE3824),0)</f>
        <v/>
      </c>
      <c r="BF3823">
        <f>IF('01_Вводные'!$B$234="Да",MAX(0,'19_Расчет_аналитики'!BF3799-'01_Вводные'!$B$237-'19_Расчет_аналитики'!BF3824),0)</f>
        <v/>
      </c>
      <c r="BG3823">
        <f>IF('01_Вводные'!$B$234="Да",MAX(0,'19_Расчет_аналитики'!BG3799-'01_Вводные'!$B$237-'19_Расчет_аналитики'!BG3824),0)</f>
        <v/>
      </c>
      <c r="BH3823">
        <f>IF('01_Вводные'!$B$234="Да",MAX(0,'19_Расчет_аналитики'!BH3799-'01_Вводные'!$B$237-'19_Расчет_аналитики'!BH3824),0)</f>
        <v/>
      </c>
      <c r="BI3823">
        <f>IF('01_Вводные'!$B$234="Да",MAX(0,'19_Расчет_аналитики'!BI3799-'01_Вводные'!$B$237-'19_Расчет_аналитики'!BI3824),0)</f>
        <v/>
      </c>
    </row>
    <row r="3824">
      <c r="B3824">
        <f>IF('01_Вводные'!$B$234="Да",MAX(0,'19_Расчет_аналитики'!C3824-'19_Расчет_аналитики'!C3798),0)</f>
        <v/>
      </c>
      <c r="C3824">
        <f>IF('01_Вводные'!$B$234="Да",MAX(0,'19_Расчет_аналитики'!D3824-'19_Расчет_аналитики'!D3798),0)</f>
        <v/>
      </c>
      <c r="D3824">
        <f>IF('01_Вводные'!$B$234="Да",MAX(0,'19_Расчет_аналитики'!E3824-'19_Расчет_аналитики'!E3798),0)</f>
        <v/>
      </c>
      <c r="E3824">
        <f>IF('01_Вводные'!$B$234="Да",MAX(0,'19_Расчет_аналитики'!F3824-'19_Расчет_аналитики'!F3798),0)</f>
        <v/>
      </c>
      <c r="F3824">
        <f>IF('01_Вводные'!$B$234="Да",MAX(0,'19_Расчет_аналитики'!G3824-'19_Расчет_аналитики'!G3798),0)</f>
        <v/>
      </c>
      <c r="G3824">
        <f>IF('01_Вводные'!$B$234="Да",MAX(0,'19_Расчет_аналитики'!H3824-'19_Расчет_аналитики'!H3798),0)</f>
        <v/>
      </c>
      <c r="H3824">
        <f>IF('01_Вводные'!$B$234="Да",MAX(0,'19_Расчет_аналитики'!I3824-'19_Расчет_аналитики'!I3798),0)</f>
        <v/>
      </c>
      <c r="I3824">
        <f>IF('01_Вводные'!$B$234="Да",MAX(0,'19_Расчет_аналитики'!J3824-'19_Расчет_аналитики'!J3798),0)</f>
        <v/>
      </c>
      <c r="J3824">
        <f>IF('01_Вводные'!$B$234="Да",MAX(0,'19_Расчет_аналитики'!K3824-'19_Расчет_аналитики'!K3798),0)</f>
        <v/>
      </c>
      <c r="K3824">
        <f>IF('01_Вводные'!$B$234="Да",MAX(0,'19_Расчет_аналитики'!L3824-'19_Расчет_аналитики'!L3798),0)</f>
        <v/>
      </c>
      <c r="L3824">
        <f>IF('01_Вводные'!$B$234="Да",MAX(0,'19_Расчет_аналитики'!M3824-'19_Расчет_аналитики'!M3798),0)</f>
        <v/>
      </c>
      <c r="M3824">
        <f>IF('01_Вводные'!$B$234="Да",MAX(0,'19_Расчет_аналитики'!N3824-'19_Расчет_аналитики'!N3798),0)</f>
        <v/>
      </c>
      <c r="N3824">
        <f>IF('01_Вводные'!$B$234="Да",MAX(0,'19_Расчет_аналитики'!O3824-'19_Расчет_аналитики'!O3798),0)</f>
        <v/>
      </c>
      <c r="O3824">
        <f>IF('01_Вводные'!$B$234="Да",MAX(0,'19_Расчет_аналитики'!P3824-'19_Расчет_аналитики'!P3798),0)</f>
        <v/>
      </c>
      <c r="P3824">
        <f>IF('01_Вводные'!$B$234="Да",MAX(0,'19_Расчет_аналитики'!Q3824-'19_Расчет_аналитики'!Q3798),0)</f>
        <v/>
      </c>
      <c r="Q3824">
        <f>IF('01_Вводные'!$B$234="Да",MAX(0,'19_Расчет_аналитики'!R3824-'19_Расчет_аналитики'!R3798),0)</f>
        <v/>
      </c>
      <c r="R3824">
        <f>IF('01_Вводные'!$B$234="Да",MAX(0,'19_Расчет_аналитики'!S3824-'19_Расчет_аналитики'!S3798),0)</f>
        <v/>
      </c>
      <c r="S3824">
        <f>IF('01_Вводные'!$B$234="Да",MAX(0,'19_Расчет_аналитики'!T3824-'19_Расчет_аналитики'!T3798),0)</f>
        <v/>
      </c>
      <c r="T3824">
        <f>IF('01_Вводные'!$B$234="Да",MAX(0,'19_Расчет_аналитики'!U3824-'19_Расчет_аналитики'!U3798),0)</f>
        <v/>
      </c>
      <c r="U3824">
        <f>IF('01_Вводные'!$B$234="Да",MAX(0,'19_Расчет_аналитики'!V3824-'19_Расчет_аналитики'!V3798),0)</f>
        <v/>
      </c>
      <c r="V3824">
        <f>IF('01_Вводные'!$B$234="Да",MAX(0,'19_Расчет_аналитики'!W3824-'19_Расчет_аналитики'!W3798),0)</f>
        <v/>
      </c>
      <c r="W3824">
        <f>IF('01_Вводные'!$B$234="Да",MAX(0,'19_Расчет_аналитики'!X3824-'19_Расчет_аналитики'!X3798),0)</f>
        <v/>
      </c>
      <c r="X3824">
        <f>IF('01_Вводные'!$B$234="Да",MAX(0,'19_Расчет_аналитики'!Y3824-'19_Расчет_аналитики'!Y3798),0)</f>
        <v/>
      </c>
      <c r="Y3824">
        <f>IF('01_Вводные'!$B$234="Да",MAX(0,'19_Расчет_аналитики'!Z3824-'19_Расчет_аналитики'!Z3798),0)</f>
        <v/>
      </c>
      <c r="Z3824">
        <f>IF('01_Вводные'!$B$234="Да",MAX(0,'19_Расчет_аналитики'!AA3824-'19_Расчет_аналитики'!AA3798),0)</f>
        <v/>
      </c>
      <c r="AA3824">
        <f>IF('01_Вводные'!$B$234="Да",MAX(0,'19_Расчет_аналитики'!AB3824-'19_Расчет_аналитики'!AB3798),0)</f>
        <v/>
      </c>
      <c r="AB3824">
        <f>IF('01_Вводные'!$B$234="Да",MAX(0,'19_Расчет_аналитики'!AC3824-'19_Расчет_аналитики'!AC3798),0)</f>
        <v/>
      </c>
      <c r="AC3824">
        <f>IF('01_Вводные'!$B$234="Да",MAX(0,'19_Расчет_аналитики'!AD3824-'19_Расчет_аналитики'!AD3798),0)</f>
        <v/>
      </c>
      <c r="AD3824">
        <f>IF('01_Вводные'!$B$234="Да",MAX(0,'19_Расчет_аналитики'!AE3824-'19_Расчет_аналитики'!AE3798),0)</f>
        <v/>
      </c>
      <c r="AE3824">
        <f>IF('01_Вводные'!$B$234="Да",MAX(0,'19_Расчет_аналитики'!AF3824-'19_Расчет_аналитики'!AF3798),0)</f>
        <v/>
      </c>
      <c r="AF3824">
        <f>IF('01_Вводные'!$B$234="Да",MAX(0,'19_Расчет_аналитики'!AG3824-'19_Расчет_аналитики'!AG3798),0)</f>
        <v/>
      </c>
      <c r="AG3824">
        <f>IF('01_Вводные'!$B$234="Да",MAX(0,'19_Расчет_аналитики'!AH3824-'19_Расчет_аналитики'!AH3798),0)</f>
        <v/>
      </c>
      <c r="AH3824">
        <f>IF('01_Вводные'!$B$234="Да",MAX(0,'19_Расчет_аналитики'!AI3824-'19_Расчет_аналитики'!AI3798),0)</f>
        <v/>
      </c>
      <c r="AI3824">
        <f>IF('01_Вводные'!$B$234="Да",MAX(0,'19_Расчет_аналитики'!AJ3824-'19_Расчет_аналитики'!AJ3798),0)</f>
        <v/>
      </c>
      <c r="AJ3824">
        <f>IF('01_Вводные'!$B$234="Да",MAX(0,'19_Расчет_аналитики'!AK3824-'19_Расчет_аналитики'!AK3798),0)</f>
        <v/>
      </c>
      <c r="AK3824">
        <f>IF('01_Вводные'!$B$234="Да",MAX(0,'19_Расчет_аналитики'!AL3824-'19_Расчет_аналитики'!AL3798),0)</f>
        <v/>
      </c>
      <c r="AL3824">
        <f>IF('01_Вводные'!$B$234="Да",MAX(0,'19_Расчет_аналитики'!AM3824-'19_Расчет_аналитики'!AM3798),0)</f>
        <v/>
      </c>
      <c r="AM3824">
        <f>IF('01_Вводные'!$B$234="Да",MAX(0,'19_Расчет_аналитики'!AN3824-'19_Расчет_аналитики'!AN3798),0)</f>
        <v/>
      </c>
      <c r="AN3824">
        <f>IF('01_Вводные'!$B$234="Да",MAX(0,'19_Расчет_аналитики'!AO3824-'19_Расчет_аналитики'!AO3798),0)</f>
        <v/>
      </c>
      <c r="AO3824">
        <f>IF('01_Вводные'!$B$234="Да",MAX(0,'19_Расчет_аналитики'!AP3824-'19_Расчет_аналитики'!AP3798),0)</f>
        <v/>
      </c>
      <c r="AP3824">
        <f>IF('01_Вводные'!$B$234="Да",MAX(0,'19_Расчет_аналитики'!AQ3824-'19_Расчет_аналитики'!AQ3798),0)</f>
        <v/>
      </c>
      <c r="AQ3824">
        <f>IF('01_Вводные'!$B$234="Да",MAX(0,'19_Расчет_аналитики'!AR3824-'19_Расчет_аналитики'!AR3798),0)</f>
        <v/>
      </c>
      <c r="AR3824">
        <f>IF('01_Вводные'!$B$234="Да",MAX(0,'19_Расчет_аналитики'!AS3824-'19_Расчет_аналитики'!AS3798),0)</f>
        <v/>
      </c>
      <c r="AS3824">
        <f>IF('01_Вводные'!$B$234="Да",MAX(0,'19_Расчет_аналитики'!AT3824-'19_Расчет_аналитики'!AT3798),0)</f>
        <v/>
      </c>
      <c r="AT3824">
        <f>IF('01_Вводные'!$B$234="Да",MAX(0,'19_Расчет_аналитики'!AU3824-'19_Расчет_аналитики'!AU3798),0)</f>
        <v/>
      </c>
      <c r="AU3824">
        <f>IF('01_Вводные'!$B$234="Да",MAX(0,'19_Расчет_аналитики'!AV3824-'19_Расчет_аналитики'!AV3798),0)</f>
        <v/>
      </c>
      <c r="AV3824">
        <f>IF('01_Вводные'!$B$234="Да",MAX(0,'19_Расчет_аналитики'!AW3824-'19_Расчет_аналитики'!AW3798),0)</f>
        <v/>
      </c>
      <c r="AW3824">
        <f>IF('01_Вводные'!$B$234="Да",MAX(0,'19_Расчет_аналитики'!AX3824-'19_Расчет_аналитики'!AX3798),0)</f>
        <v/>
      </c>
      <c r="AX3824">
        <f>IF('01_Вводные'!$B$234="Да",MAX(0,'19_Расчет_аналитики'!AY3824-'19_Расчет_аналитики'!AY3798),0)</f>
        <v/>
      </c>
      <c r="AY3824">
        <f>IF('01_Вводные'!$B$234="Да",MAX(0,'19_Расчет_аналитики'!AZ3824-'19_Расчет_аналитики'!AZ3798),0)</f>
        <v/>
      </c>
      <c r="AZ3824">
        <f>IF('01_Вводные'!$B$234="Да",MAX(0,'19_Расчет_аналитики'!BA3824-'19_Расчет_аналитики'!BA3798),0)</f>
        <v/>
      </c>
      <c r="BA3824">
        <f>IF('01_Вводные'!$B$234="Да",MAX(0,'19_Расчет_аналитики'!BB3824-'19_Расчет_аналитики'!BB3798),0)</f>
        <v/>
      </c>
      <c r="BB3824">
        <f>IF('01_Вводные'!$B$234="Да",MAX(0,'19_Расчет_аналитики'!BC3824-'19_Расчет_аналитики'!BC3798),0)</f>
        <v/>
      </c>
      <c r="BC3824">
        <f>IF('01_Вводные'!$B$234="Да",MAX(0,'19_Расчет_аналитики'!BD3824-'19_Расчет_аналитики'!BD3798),0)</f>
        <v/>
      </c>
      <c r="BD3824">
        <f>IF('01_Вводные'!$B$234="Да",MAX(0,'19_Расчет_аналитики'!BE3824-'19_Расчет_аналитики'!BE3798),0)</f>
        <v/>
      </c>
      <c r="BE3824">
        <f>IF('01_Вводные'!$B$234="Да",MAX(0,'19_Расчет_аналитики'!BF3824-'19_Расчет_аналитики'!BF3798),0)</f>
        <v/>
      </c>
      <c r="BF3824">
        <f>IF('01_Вводные'!$B$234="Да",MAX(0,'19_Расчет_аналитики'!BG3824-'19_Расчет_аналитики'!BG3798),0)</f>
        <v/>
      </c>
      <c r="BG3824">
        <f>IF('01_Вводные'!$B$234="Да",MAX(0,'19_Расчет_аналитики'!BH3824-'19_Расчет_аналитики'!BH3798),0)</f>
        <v/>
      </c>
      <c r="BH3824">
        <f>IF('01_Вводные'!$B$234="Да",MAX(0,'19_Расчет_аналитики'!BI3824-'19_Расчет_аналитики'!BI3798),0)</f>
        <v/>
      </c>
      <c r="BI3824" t="n">
        <v>0</v>
      </c>
    </row>
    <row r="3825"/>
    <row r="3826">
      <c r="B3826">
        <f>IF('01_Вводные'!$B$234="Да",IF('01_Вводные'!$B$288="С НДС",SUM('19_Расчет_аналитики'!B3748:B3751)*(1+'01_Вводные'!$B$58)+'09_Лагеря'!B10,'19_Расчет_аналитики'!B3753),0)</f>
        <v/>
      </c>
      <c r="C3826">
        <f>IF('01_Вводные'!$B$234="Да",IF('01_Вводные'!$B$288="С НДС",SUM('19_Расчет_аналитики'!C3748:C3751)*(1+'01_Вводные'!$B$58)+'09_Лагеря'!C10,'19_Расчет_аналитики'!C3753),0)</f>
        <v/>
      </c>
      <c r="D3826">
        <f>IF('01_Вводные'!$B$234="Да",IF('01_Вводные'!$B$288="С НДС",SUM('19_Расчет_аналитики'!D3748:D3751)*(1+'01_Вводные'!$B$58)+'09_Лагеря'!D10,'19_Расчет_аналитики'!D3753),0)</f>
        <v/>
      </c>
      <c r="E3826">
        <f>IF('01_Вводные'!$B$234="Да",IF('01_Вводные'!$B$288="С НДС",SUM('19_Расчет_аналитики'!E3748:E3751)*(1+'01_Вводные'!$B$58)+'09_Лагеря'!E10,'19_Расчет_аналитики'!E3753),0)</f>
        <v/>
      </c>
      <c r="F3826">
        <f>IF('01_Вводные'!$B$234="Да",IF('01_Вводные'!$B$288="С НДС",SUM('19_Расчет_аналитики'!F3748:F3751)*(1+'01_Вводные'!$B$58)+'09_Лагеря'!F10,'19_Расчет_аналитики'!F3753),0)</f>
        <v/>
      </c>
      <c r="G3826">
        <f>IF('01_Вводные'!$B$234="Да",IF('01_Вводные'!$B$288="С НДС",SUM('19_Расчет_аналитики'!G3748:G3751)*(1+'01_Вводные'!$B$58)+'09_Лагеря'!G10,'19_Расчет_аналитики'!G3753),0)</f>
        <v/>
      </c>
      <c r="H3826">
        <f>IF('01_Вводные'!$B$234="Да",IF('01_Вводные'!$B$288="С НДС",SUM('19_Расчет_аналитики'!H3748:H3751)*(1+'01_Вводные'!$B$58)+'09_Лагеря'!H10,'19_Расчет_аналитики'!H3753),0)</f>
        <v/>
      </c>
      <c r="I3826">
        <f>IF('01_Вводные'!$B$234="Да",IF('01_Вводные'!$B$288="С НДС",SUM('19_Расчет_аналитики'!I3748:I3751)*(1+'01_Вводные'!$B$58)+'09_Лагеря'!I10,'19_Расчет_аналитики'!I3753),0)</f>
        <v/>
      </c>
      <c r="J3826">
        <f>IF('01_Вводные'!$B$234="Да",IF('01_Вводные'!$B$288="С НДС",SUM('19_Расчет_аналитики'!J3748:J3751)*(1+'01_Вводные'!$B$58)+'09_Лагеря'!J10,'19_Расчет_аналитики'!J3753),0)</f>
        <v/>
      </c>
      <c r="K3826">
        <f>IF('01_Вводные'!$B$234="Да",IF('01_Вводные'!$B$288="С НДС",SUM('19_Расчет_аналитики'!K3748:K3751)*(1+'01_Вводные'!$B$58)+'09_Лагеря'!K10,'19_Расчет_аналитики'!K3753),0)</f>
        <v/>
      </c>
      <c r="L3826">
        <f>IF('01_Вводные'!$B$234="Да",IF('01_Вводные'!$B$288="С НДС",SUM('19_Расчет_аналитики'!L3748:L3751)*(1+'01_Вводные'!$B$58)+'09_Лагеря'!L10,'19_Расчет_аналитики'!L3753),0)</f>
        <v/>
      </c>
      <c r="M3826">
        <f>IF('01_Вводные'!$B$234="Да",IF('01_Вводные'!$B$288="С НДС",SUM('19_Расчет_аналитики'!M3748:M3751)*(1+'01_Вводные'!$B$58)+'09_Лагеря'!M10,'19_Расчет_аналитики'!M3753),0)</f>
        <v/>
      </c>
      <c r="N3826">
        <f>IF('01_Вводные'!$B$234="Да",IF('01_Вводные'!$B$288="С НДС",SUM('19_Расчет_аналитики'!N3748:N3751)*(1+'01_Вводные'!$B$58)+'09_Лагеря'!N10,'19_Расчет_аналитики'!N3753),0)</f>
        <v/>
      </c>
      <c r="O3826">
        <f>IF('01_Вводные'!$B$234="Да",IF('01_Вводные'!$B$288="С НДС",SUM('19_Расчет_аналитики'!O3748:O3751)*(1+'01_Вводные'!$B$58)+'09_Лагеря'!O10,'19_Расчет_аналитики'!O3753),0)</f>
        <v/>
      </c>
      <c r="P3826">
        <f>IF('01_Вводные'!$B$234="Да",IF('01_Вводные'!$B$288="С НДС",SUM('19_Расчет_аналитики'!P3748:P3751)*(1+'01_Вводные'!$B$58)+'09_Лагеря'!P10,'19_Расчет_аналитики'!P3753),0)</f>
        <v/>
      </c>
      <c r="Q3826">
        <f>IF('01_Вводные'!$B$234="Да",IF('01_Вводные'!$B$288="С НДС",SUM('19_Расчет_аналитики'!Q3748:Q3751)*(1+'01_Вводные'!$B$58)+'09_Лагеря'!Q10,'19_Расчет_аналитики'!Q3753),0)</f>
        <v/>
      </c>
      <c r="R3826">
        <f>IF('01_Вводные'!$B$234="Да",IF('01_Вводные'!$B$288="С НДС",SUM('19_Расчет_аналитики'!R3748:R3751)*(1+'01_Вводные'!$B$58)+'09_Лагеря'!R10,'19_Расчет_аналитики'!R3753),0)</f>
        <v/>
      </c>
      <c r="S3826">
        <f>IF('01_Вводные'!$B$234="Да",IF('01_Вводные'!$B$288="С НДС",SUM('19_Расчет_аналитики'!S3748:S3751)*(1+'01_Вводные'!$B$58)+'09_Лагеря'!S10,'19_Расчет_аналитики'!S3753),0)</f>
        <v/>
      </c>
      <c r="T3826">
        <f>IF('01_Вводные'!$B$234="Да",IF('01_Вводные'!$B$288="С НДС",SUM('19_Расчет_аналитики'!T3748:T3751)*(1+'01_Вводные'!$B$58)+'09_Лагеря'!T10,'19_Расчет_аналитики'!T3753),0)</f>
        <v/>
      </c>
      <c r="U3826">
        <f>IF('01_Вводные'!$B$234="Да",IF('01_Вводные'!$B$288="С НДС",SUM('19_Расчет_аналитики'!U3748:U3751)*(1+'01_Вводные'!$B$58)+'09_Лагеря'!U10,'19_Расчет_аналитики'!U3753),0)</f>
        <v/>
      </c>
      <c r="V3826">
        <f>IF('01_Вводные'!$B$234="Да",IF('01_Вводные'!$B$288="С НДС",SUM('19_Расчет_аналитики'!V3748:V3751)*(1+'01_Вводные'!$B$58)+'09_Лагеря'!V10,'19_Расчет_аналитики'!V3753),0)</f>
        <v/>
      </c>
      <c r="W3826">
        <f>IF('01_Вводные'!$B$234="Да",IF('01_Вводные'!$B$288="С НДС",SUM('19_Расчет_аналитики'!W3748:W3751)*(1+'01_Вводные'!$B$58)+'09_Лагеря'!W10,'19_Расчет_аналитики'!W3753),0)</f>
        <v/>
      </c>
      <c r="X3826">
        <f>IF('01_Вводные'!$B$234="Да",IF('01_Вводные'!$B$288="С НДС",SUM('19_Расчет_аналитики'!X3748:X3751)*(1+'01_Вводные'!$B$58)+'09_Лагеря'!X10,'19_Расчет_аналитики'!X3753),0)</f>
        <v/>
      </c>
      <c r="Y3826">
        <f>IF('01_Вводные'!$B$234="Да",IF('01_Вводные'!$B$288="С НДС",SUM('19_Расчет_аналитики'!Y3748:Y3751)*(1+'01_Вводные'!$B$58)+'09_Лагеря'!Y10,'19_Расчет_аналитики'!Y3753),0)</f>
        <v/>
      </c>
      <c r="Z3826">
        <f>IF('01_Вводные'!$B$234="Да",IF('01_Вводные'!$B$288="С НДС",SUM('19_Расчет_аналитики'!Z3748:Z3751)*(1+'01_Вводные'!$B$58)+'09_Лагеря'!Z10,'19_Расчет_аналитики'!Z3753),0)</f>
        <v/>
      </c>
      <c r="AA3826">
        <f>IF('01_Вводные'!$B$234="Да",IF('01_Вводные'!$B$288="С НДС",SUM('19_Расчет_аналитики'!AA3748:AA3751)*(1+'01_Вводные'!$B$58)+'09_Лагеря'!AA10,'19_Расчет_аналитики'!AA3753),0)</f>
        <v/>
      </c>
      <c r="AB3826">
        <f>IF('01_Вводные'!$B$234="Да",IF('01_Вводные'!$B$288="С НДС",SUM('19_Расчет_аналитики'!AB3748:AB3751)*(1+'01_Вводные'!$B$58)+'09_Лагеря'!AB10,'19_Расчет_аналитики'!AB3753),0)</f>
        <v/>
      </c>
      <c r="AC3826">
        <f>IF('01_Вводные'!$B$234="Да",IF('01_Вводные'!$B$288="С НДС",SUM('19_Расчет_аналитики'!AC3748:AC3751)*(1+'01_Вводные'!$B$58)+'09_Лагеря'!AC10,'19_Расчет_аналитики'!AC3753),0)</f>
        <v/>
      </c>
      <c r="AD3826">
        <f>IF('01_Вводные'!$B$234="Да",IF('01_Вводные'!$B$288="С НДС",SUM('19_Расчет_аналитики'!AD3748:AD3751)*(1+'01_Вводные'!$B$58)+'09_Лагеря'!AD10,'19_Расчет_аналитики'!AD3753),0)</f>
        <v/>
      </c>
      <c r="AE3826">
        <f>IF('01_Вводные'!$B$234="Да",IF('01_Вводные'!$B$288="С НДС",SUM('19_Расчет_аналитики'!AE3748:AE3751)*(1+'01_Вводные'!$B$58)+'09_Лагеря'!AE10,'19_Расчет_аналитики'!AE3753),0)</f>
        <v/>
      </c>
      <c r="AF3826">
        <f>IF('01_Вводные'!$B$234="Да",IF('01_Вводные'!$B$288="С НДС",SUM('19_Расчет_аналитики'!AF3748:AF3751)*(1+'01_Вводные'!$B$58)+'09_Лагеря'!AF10,'19_Расчет_аналитики'!AF3753),0)</f>
        <v/>
      </c>
      <c r="AG3826">
        <f>IF('01_Вводные'!$B$234="Да",IF('01_Вводные'!$B$288="С НДС",SUM('19_Расчет_аналитики'!AG3748:AG3751)*(1+'01_Вводные'!$B$58)+'09_Лагеря'!AG10,'19_Расчет_аналитики'!AG3753),0)</f>
        <v/>
      </c>
      <c r="AH3826">
        <f>IF('01_Вводные'!$B$234="Да",IF('01_Вводные'!$B$288="С НДС",SUM('19_Расчет_аналитики'!AH3748:AH3751)*(1+'01_Вводные'!$B$58)+'09_Лагеря'!AH10,'19_Расчет_аналитики'!AH3753),0)</f>
        <v/>
      </c>
      <c r="AI3826">
        <f>IF('01_Вводные'!$B$234="Да",IF('01_Вводные'!$B$288="С НДС",SUM('19_Расчет_аналитики'!AI3748:AI3751)*(1+'01_Вводные'!$B$58)+'09_Лагеря'!AI10,'19_Расчет_аналитики'!AI3753),0)</f>
        <v/>
      </c>
      <c r="AJ3826">
        <f>IF('01_Вводные'!$B$234="Да",IF('01_Вводные'!$B$288="С НДС",SUM('19_Расчет_аналитики'!AJ3748:AJ3751)*(1+'01_Вводные'!$B$58)+'09_Лагеря'!AJ10,'19_Расчет_аналитики'!AJ3753),0)</f>
        <v/>
      </c>
      <c r="AK3826">
        <f>IF('01_Вводные'!$B$234="Да",IF('01_Вводные'!$B$288="С НДС",SUM('19_Расчет_аналитики'!AK3748:AK3751)*(1+'01_Вводные'!$B$58)+'09_Лагеря'!AK10,'19_Расчет_аналитики'!AK3753),0)</f>
        <v/>
      </c>
      <c r="AL3826">
        <f>IF('01_Вводные'!$B$234="Да",IF('01_Вводные'!$B$288="С НДС",SUM('19_Расчет_аналитики'!AL3748:AL3751)*(1+'01_Вводные'!$B$58)+'09_Лагеря'!AL10,'19_Расчет_аналитики'!AL3753),0)</f>
        <v/>
      </c>
      <c r="AM3826">
        <f>IF('01_Вводные'!$B$234="Да",IF('01_Вводные'!$B$288="С НДС",SUM('19_Расчет_аналитики'!AM3748:AM3751)*(1+'01_Вводные'!$B$58)+'09_Лагеря'!AM10,'19_Расчет_аналитики'!AM3753),0)</f>
        <v/>
      </c>
      <c r="AN3826">
        <f>IF('01_Вводные'!$B$234="Да",IF('01_Вводные'!$B$288="С НДС",SUM('19_Расчет_аналитики'!AN3748:AN3751)*(1+'01_Вводные'!$B$58)+'09_Лагеря'!AN10,'19_Расчет_аналитики'!AN3753),0)</f>
        <v/>
      </c>
      <c r="AO3826">
        <f>IF('01_Вводные'!$B$234="Да",IF('01_Вводные'!$B$288="С НДС",SUM('19_Расчет_аналитики'!AO3748:AO3751)*(1+'01_Вводные'!$B$58)+'09_Лагеря'!AO10,'19_Расчет_аналитики'!AO3753),0)</f>
        <v/>
      </c>
      <c r="AP3826">
        <f>IF('01_Вводные'!$B$234="Да",IF('01_Вводные'!$B$288="С НДС",SUM('19_Расчет_аналитики'!AP3748:AP3751)*(1+'01_Вводные'!$B$58)+'09_Лагеря'!AP10,'19_Расчет_аналитики'!AP3753),0)</f>
        <v/>
      </c>
      <c r="AQ3826">
        <f>IF('01_Вводные'!$B$234="Да",IF('01_Вводные'!$B$288="С НДС",SUM('19_Расчет_аналитики'!AQ3748:AQ3751)*(1+'01_Вводные'!$B$58)+'09_Лагеря'!AQ10,'19_Расчет_аналитики'!AQ3753),0)</f>
        <v/>
      </c>
      <c r="AR3826">
        <f>IF('01_Вводные'!$B$234="Да",IF('01_Вводные'!$B$288="С НДС",SUM('19_Расчет_аналитики'!AR3748:AR3751)*(1+'01_Вводные'!$B$58)+'09_Лагеря'!AR10,'19_Расчет_аналитики'!AR3753),0)</f>
        <v/>
      </c>
      <c r="AS3826">
        <f>IF('01_Вводные'!$B$234="Да",IF('01_Вводные'!$B$288="С НДС",SUM('19_Расчет_аналитики'!AS3748:AS3751)*(1+'01_Вводные'!$B$58)+'09_Лагеря'!AS10,'19_Расчет_аналитики'!AS3753),0)</f>
        <v/>
      </c>
      <c r="AT3826">
        <f>IF('01_Вводные'!$B$234="Да",IF('01_Вводные'!$B$288="С НДС",SUM('19_Расчет_аналитики'!AT3748:AT3751)*(1+'01_Вводные'!$B$58)+'09_Лагеря'!AT10,'19_Расчет_аналитики'!AT3753),0)</f>
        <v/>
      </c>
      <c r="AU3826">
        <f>IF('01_Вводные'!$B$234="Да",IF('01_Вводные'!$B$288="С НДС",SUM('19_Расчет_аналитики'!AU3748:AU3751)*(1+'01_Вводные'!$B$58)+'09_Лагеря'!AU10,'19_Расчет_аналитики'!AU3753),0)</f>
        <v/>
      </c>
      <c r="AV3826">
        <f>IF('01_Вводные'!$B$234="Да",IF('01_Вводные'!$B$288="С НДС",SUM('19_Расчет_аналитики'!AV3748:AV3751)*(1+'01_Вводные'!$B$58)+'09_Лагеря'!AV10,'19_Расчет_аналитики'!AV3753),0)</f>
        <v/>
      </c>
      <c r="AW3826">
        <f>IF('01_Вводные'!$B$234="Да",IF('01_Вводные'!$B$288="С НДС",SUM('19_Расчет_аналитики'!AW3748:AW3751)*(1+'01_Вводные'!$B$58)+'09_Лагеря'!AW10,'19_Расчет_аналитики'!AW3753),0)</f>
        <v/>
      </c>
      <c r="AX3826">
        <f>IF('01_Вводные'!$B$234="Да",IF('01_Вводные'!$B$288="С НДС",SUM('19_Расчет_аналитики'!AX3748:AX3751)*(1+'01_Вводные'!$B$58)+'09_Лагеря'!AX10,'19_Расчет_аналитики'!AX3753),0)</f>
        <v/>
      </c>
      <c r="AY3826">
        <f>IF('01_Вводные'!$B$234="Да",IF('01_Вводные'!$B$288="С НДС",SUM('19_Расчет_аналитики'!AY3748:AY3751)*(1+'01_Вводные'!$B$58)+'09_Лагеря'!AY10,'19_Расчет_аналитики'!AY3753),0)</f>
        <v/>
      </c>
      <c r="AZ3826">
        <f>IF('01_Вводные'!$B$234="Да",IF('01_Вводные'!$B$288="С НДС",SUM('19_Расчет_аналитики'!AZ3748:AZ3751)*(1+'01_Вводные'!$B$58)+'09_Лагеря'!AZ10,'19_Расчет_аналитики'!AZ3753),0)</f>
        <v/>
      </c>
      <c r="BA3826">
        <f>IF('01_Вводные'!$B$234="Да",IF('01_Вводные'!$B$288="С НДС",SUM('19_Расчет_аналитики'!BA3748:BA3751)*(1+'01_Вводные'!$B$58)+'09_Лагеря'!BA10,'19_Расчет_аналитики'!BA3753),0)</f>
        <v/>
      </c>
      <c r="BB3826">
        <f>IF('01_Вводные'!$B$234="Да",IF('01_Вводные'!$B$288="С НДС",SUM('19_Расчет_аналитики'!BB3748:BB3751)*(1+'01_Вводные'!$B$58)+'09_Лагеря'!BB10,'19_Расчет_аналитики'!BB3753),0)</f>
        <v/>
      </c>
      <c r="BC3826">
        <f>IF('01_Вводные'!$B$234="Да",IF('01_Вводные'!$B$288="С НДС",SUM('19_Расчет_аналитики'!BC3748:BC3751)*(1+'01_Вводные'!$B$58)+'09_Лагеря'!BC10,'19_Расчет_аналитики'!BC3753),0)</f>
        <v/>
      </c>
      <c r="BD3826">
        <f>IF('01_Вводные'!$B$234="Да",IF('01_Вводные'!$B$288="С НДС",SUM('19_Расчет_аналитики'!BD3748:BD3751)*(1+'01_Вводные'!$B$58)+'09_Лагеря'!BD10,'19_Расчет_аналитики'!BD3753),0)</f>
        <v/>
      </c>
      <c r="BE3826">
        <f>IF('01_Вводные'!$B$234="Да",IF('01_Вводные'!$B$288="С НДС",SUM('19_Расчет_аналитики'!BE3748:BE3751)*(1+'01_Вводные'!$B$58)+'09_Лагеря'!BE10,'19_Расчет_аналитики'!BE3753),0)</f>
        <v/>
      </c>
      <c r="BF3826">
        <f>IF('01_Вводные'!$B$234="Да",IF('01_Вводные'!$B$288="С НДС",SUM('19_Расчет_аналитики'!BF3748:BF3751)*(1+'01_Вводные'!$B$58)+'09_Лагеря'!BF10,'19_Расчет_аналитики'!BF3753),0)</f>
        <v/>
      </c>
      <c r="BG3826">
        <f>IF('01_Вводные'!$B$234="Да",IF('01_Вводные'!$B$288="С НДС",SUM('19_Расчет_аналитики'!BG3748:BG3751)*(1+'01_Вводные'!$B$58)+'09_Лагеря'!BG10,'19_Расчет_аналитики'!BG3753),0)</f>
        <v/>
      </c>
      <c r="BH3826">
        <f>IF('01_Вводные'!$B$234="Да",IF('01_Вводные'!$B$288="С НДС",SUM('19_Расчет_аналитики'!BH3748:BH3751)*(1+'01_Вводные'!$B$58)+'09_Лагеря'!BH10,'19_Расчет_аналитики'!BH3753),0)</f>
        <v/>
      </c>
      <c r="BI3826">
        <f>IF('01_Вводные'!$B$234="Да",IF('01_Вводные'!$B$288="С НДС",SUM('19_Расчет_аналитики'!BI3748:BI3751)*(1+'01_Вводные'!$B$58)+'09_Лагеря'!BI10,'19_Расчет_аналитики'!BI3753),0)</f>
        <v/>
      </c>
    </row>
    <row r="3827">
      <c r="B3827">
        <f>IF('01_Вводные'!$B$234="Да",IF('01_Вводные'!$B$290="Да",'19_Расчет_аналитики'!B3826*'01_Вводные'!$B$286,0),0)</f>
        <v/>
      </c>
      <c r="C3827">
        <f>IF('01_Вводные'!$B$234="Да",IF('01_Вводные'!$B$290="Да",'19_Расчет_аналитики'!C3826*'01_Вводные'!$B$286,0),0)</f>
        <v/>
      </c>
      <c r="D3827">
        <f>IF('01_Вводные'!$B$234="Да",IF('01_Вводные'!$B$290="Да",'19_Расчет_аналитики'!D3826*'01_Вводные'!$B$286,0),0)</f>
        <v/>
      </c>
      <c r="E3827">
        <f>IF('01_Вводные'!$B$234="Да",IF('01_Вводные'!$B$290="Да",'19_Расчет_аналитики'!E3826*'01_Вводные'!$B$286,0),0)</f>
        <v/>
      </c>
      <c r="F3827">
        <f>IF('01_Вводные'!$B$234="Да",IF('01_Вводные'!$B$290="Да",'19_Расчет_аналитики'!F3826*'01_Вводные'!$B$286,0),0)</f>
        <v/>
      </c>
      <c r="G3827">
        <f>IF('01_Вводные'!$B$234="Да",IF('01_Вводные'!$B$290="Да",'19_Расчет_аналитики'!G3826*'01_Вводные'!$B$286,0),0)</f>
        <v/>
      </c>
      <c r="H3827">
        <f>IF('01_Вводные'!$B$234="Да",IF('01_Вводные'!$B$290="Да",'19_Расчет_аналитики'!H3826*'01_Вводные'!$B$286,0),0)</f>
        <v/>
      </c>
      <c r="I3827">
        <f>IF('01_Вводные'!$B$234="Да",IF('01_Вводные'!$B$290="Да",'19_Расчет_аналитики'!I3826*'01_Вводные'!$B$286,0),0)</f>
        <v/>
      </c>
      <c r="J3827">
        <f>IF('01_Вводные'!$B$234="Да",IF('01_Вводные'!$B$290="Да",'19_Расчет_аналитики'!J3826*'01_Вводные'!$B$286,0),0)</f>
        <v/>
      </c>
      <c r="K3827">
        <f>IF('01_Вводные'!$B$234="Да",IF('01_Вводные'!$B$290="Да",'19_Расчет_аналитики'!K3826*'01_Вводные'!$B$286,0),0)</f>
        <v/>
      </c>
      <c r="L3827">
        <f>IF('01_Вводные'!$B$234="Да",IF('01_Вводные'!$B$290="Да",'19_Расчет_аналитики'!L3826*'01_Вводные'!$B$286,0),0)</f>
        <v/>
      </c>
      <c r="M3827">
        <f>IF('01_Вводные'!$B$234="Да",IF('01_Вводные'!$B$290="Да",'19_Расчет_аналитики'!M3826*'01_Вводные'!$B$286,0),0)</f>
        <v/>
      </c>
      <c r="N3827">
        <f>IF('01_Вводные'!$B$234="Да",IF('01_Вводные'!$B$290="Да",'19_Расчет_аналитики'!N3826*'01_Вводные'!$B$286,0),0)</f>
        <v/>
      </c>
      <c r="O3827">
        <f>IF('01_Вводные'!$B$234="Да",IF('01_Вводные'!$B$290="Да",'19_Расчет_аналитики'!O3826*'01_Вводные'!$B$286,0),0)</f>
        <v/>
      </c>
      <c r="P3827">
        <f>IF('01_Вводные'!$B$234="Да",IF('01_Вводные'!$B$290="Да",'19_Расчет_аналитики'!P3826*'01_Вводные'!$B$286,0),0)</f>
        <v/>
      </c>
      <c r="Q3827">
        <f>IF('01_Вводные'!$B$234="Да",IF('01_Вводные'!$B$290="Да",'19_Расчет_аналитики'!Q3826*'01_Вводные'!$B$286,0),0)</f>
        <v/>
      </c>
      <c r="R3827">
        <f>IF('01_Вводные'!$B$234="Да",IF('01_Вводные'!$B$290="Да",'19_Расчет_аналитики'!R3826*'01_Вводные'!$B$286,0),0)</f>
        <v/>
      </c>
      <c r="S3827">
        <f>IF('01_Вводные'!$B$234="Да",IF('01_Вводные'!$B$290="Да",'19_Расчет_аналитики'!S3826*'01_Вводные'!$B$286,0),0)</f>
        <v/>
      </c>
      <c r="T3827">
        <f>IF('01_Вводные'!$B$234="Да",IF('01_Вводные'!$B$290="Да",'19_Расчет_аналитики'!T3826*'01_Вводные'!$B$286,0),0)</f>
        <v/>
      </c>
      <c r="U3827">
        <f>IF('01_Вводные'!$B$234="Да",IF('01_Вводные'!$B$290="Да",'19_Расчет_аналитики'!U3826*'01_Вводные'!$B$286,0),0)</f>
        <v/>
      </c>
      <c r="V3827">
        <f>IF('01_Вводные'!$B$234="Да",IF('01_Вводные'!$B$290="Да",'19_Расчет_аналитики'!V3826*'01_Вводные'!$B$286,0),0)</f>
        <v/>
      </c>
      <c r="W3827">
        <f>IF('01_Вводные'!$B$234="Да",IF('01_Вводные'!$B$290="Да",'19_Расчет_аналитики'!W3826*'01_Вводные'!$B$286,0),0)</f>
        <v/>
      </c>
      <c r="X3827">
        <f>IF('01_Вводные'!$B$234="Да",IF('01_Вводные'!$B$290="Да",'19_Расчет_аналитики'!X3826*'01_Вводные'!$B$286,0),0)</f>
        <v/>
      </c>
      <c r="Y3827">
        <f>IF('01_Вводные'!$B$234="Да",IF('01_Вводные'!$B$290="Да",'19_Расчет_аналитики'!Y3826*'01_Вводные'!$B$286,0),0)</f>
        <v/>
      </c>
      <c r="Z3827">
        <f>IF('01_Вводные'!$B$234="Да",IF('01_Вводные'!$B$290="Да",'19_Расчет_аналитики'!Z3826*'01_Вводные'!$B$286,0),0)</f>
        <v/>
      </c>
      <c r="AA3827">
        <f>IF('01_Вводные'!$B$234="Да",IF('01_Вводные'!$B$290="Да",'19_Расчет_аналитики'!AA3826*'01_Вводные'!$B$286,0),0)</f>
        <v/>
      </c>
      <c r="AB3827">
        <f>IF('01_Вводные'!$B$234="Да",IF('01_Вводные'!$B$290="Да",'19_Расчет_аналитики'!AB3826*'01_Вводные'!$B$286,0),0)</f>
        <v/>
      </c>
      <c r="AC3827">
        <f>IF('01_Вводные'!$B$234="Да",IF('01_Вводные'!$B$290="Да",'19_Расчет_аналитики'!AC3826*'01_Вводные'!$B$286,0),0)</f>
        <v/>
      </c>
      <c r="AD3827">
        <f>IF('01_Вводные'!$B$234="Да",IF('01_Вводные'!$B$290="Да",'19_Расчет_аналитики'!AD3826*'01_Вводные'!$B$286,0),0)</f>
        <v/>
      </c>
      <c r="AE3827">
        <f>IF('01_Вводные'!$B$234="Да",IF('01_Вводные'!$B$290="Да",'19_Расчет_аналитики'!AE3826*'01_Вводные'!$B$286,0),0)</f>
        <v/>
      </c>
      <c r="AF3827">
        <f>IF('01_Вводные'!$B$234="Да",IF('01_Вводные'!$B$290="Да",'19_Расчет_аналитики'!AF3826*'01_Вводные'!$B$286,0),0)</f>
        <v/>
      </c>
      <c r="AG3827">
        <f>IF('01_Вводные'!$B$234="Да",IF('01_Вводные'!$B$290="Да",'19_Расчет_аналитики'!AG3826*'01_Вводные'!$B$286,0),0)</f>
        <v/>
      </c>
      <c r="AH3827">
        <f>IF('01_Вводные'!$B$234="Да",IF('01_Вводные'!$B$290="Да",'19_Расчет_аналитики'!AH3826*'01_Вводные'!$B$286,0),0)</f>
        <v/>
      </c>
      <c r="AI3827">
        <f>IF('01_Вводные'!$B$234="Да",IF('01_Вводные'!$B$290="Да",'19_Расчет_аналитики'!AI3826*'01_Вводные'!$B$286,0),0)</f>
        <v/>
      </c>
      <c r="AJ3827">
        <f>IF('01_Вводные'!$B$234="Да",IF('01_Вводные'!$B$290="Да",'19_Расчет_аналитики'!AJ3826*'01_Вводные'!$B$286,0),0)</f>
        <v/>
      </c>
      <c r="AK3827">
        <f>IF('01_Вводные'!$B$234="Да",IF('01_Вводные'!$B$290="Да",'19_Расчет_аналитики'!AK3826*'01_Вводные'!$B$286,0),0)</f>
        <v/>
      </c>
      <c r="AL3827">
        <f>IF('01_Вводные'!$B$234="Да",IF('01_Вводные'!$B$290="Да",'19_Расчет_аналитики'!AL3826*'01_Вводные'!$B$286,0),0)</f>
        <v/>
      </c>
      <c r="AM3827">
        <f>IF('01_Вводные'!$B$234="Да",IF('01_Вводные'!$B$290="Да",'19_Расчет_аналитики'!AM3826*'01_Вводные'!$B$286,0),0)</f>
        <v/>
      </c>
      <c r="AN3827">
        <f>IF('01_Вводные'!$B$234="Да",IF('01_Вводные'!$B$290="Да",'19_Расчет_аналитики'!AN3826*'01_Вводные'!$B$286,0),0)</f>
        <v/>
      </c>
      <c r="AO3827">
        <f>IF('01_Вводные'!$B$234="Да",IF('01_Вводные'!$B$290="Да",'19_Расчет_аналитики'!AO3826*'01_Вводные'!$B$286,0),0)</f>
        <v/>
      </c>
      <c r="AP3827">
        <f>IF('01_Вводные'!$B$234="Да",IF('01_Вводные'!$B$290="Да",'19_Расчет_аналитики'!AP3826*'01_Вводные'!$B$286,0),0)</f>
        <v/>
      </c>
      <c r="AQ3827">
        <f>IF('01_Вводные'!$B$234="Да",IF('01_Вводные'!$B$290="Да",'19_Расчет_аналитики'!AQ3826*'01_Вводные'!$B$286,0),0)</f>
        <v/>
      </c>
      <c r="AR3827">
        <f>IF('01_Вводные'!$B$234="Да",IF('01_Вводные'!$B$290="Да",'19_Расчет_аналитики'!AR3826*'01_Вводные'!$B$286,0),0)</f>
        <v/>
      </c>
      <c r="AS3827">
        <f>IF('01_Вводные'!$B$234="Да",IF('01_Вводные'!$B$290="Да",'19_Расчет_аналитики'!AS3826*'01_Вводные'!$B$286,0),0)</f>
        <v/>
      </c>
      <c r="AT3827">
        <f>IF('01_Вводные'!$B$234="Да",IF('01_Вводные'!$B$290="Да",'19_Расчет_аналитики'!AT3826*'01_Вводные'!$B$286,0),0)</f>
        <v/>
      </c>
      <c r="AU3827">
        <f>IF('01_Вводные'!$B$234="Да",IF('01_Вводные'!$B$290="Да",'19_Расчет_аналитики'!AU3826*'01_Вводные'!$B$286,0),0)</f>
        <v/>
      </c>
      <c r="AV3827">
        <f>IF('01_Вводные'!$B$234="Да",IF('01_Вводные'!$B$290="Да",'19_Расчет_аналитики'!AV3826*'01_Вводные'!$B$286,0),0)</f>
        <v/>
      </c>
      <c r="AW3827">
        <f>IF('01_Вводные'!$B$234="Да",IF('01_Вводные'!$B$290="Да",'19_Расчет_аналитики'!AW3826*'01_Вводные'!$B$286,0),0)</f>
        <v/>
      </c>
      <c r="AX3827">
        <f>IF('01_Вводные'!$B$234="Да",IF('01_Вводные'!$B$290="Да",'19_Расчет_аналитики'!AX3826*'01_Вводные'!$B$286,0),0)</f>
        <v/>
      </c>
      <c r="AY3827">
        <f>IF('01_Вводные'!$B$234="Да",IF('01_Вводные'!$B$290="Да",'19_Расчет_аналитики'!AY3826*'01_Вводные'!$B$286,0),0)</f>
        <v/>
      </c>
      <c r="AZ3827">
        <f>IF('01_Вводные'!$B$234="Да",IF('01_Вводные'!$B$290="Да",'19_Расчет_аналитики'!AZ3826*'01_Вводные'!$B$286,0),0)</f>
        <v/>
      </c>
      <c r="BA3827">
        <f>IF('01_Вводные'!$B$234="Да",IF('01_Вводные'!$B$290="Да",'19_Расчет_аналитики'!BA3826*'01_Вводные'!$B$286,0),0)</f>
        <v/>
      </c>
      <c r="BB3827">
        <f>IF('01_Вводные'!$B$234="Да",IF('01_Вводные'!$B$290="Да",'19_Расчет_аналитики'!BB3826*'01_Вводные'!$B$286,0),0)</f>
        <v/>
      </c>
      <c r="BC3827">
        <f>IF('01_Вводные'!$B$234="Да",IF('01_Вводные'!$B$290="Да",'19_Расчет_аналитики'!BC3826*'01_Вводные'!$B$286,0),0)</f>
        <v/>
      </c>
      <c r="BD3827">
        <f>IF('01_Вводные'!$B$234="Да",IF('01_Вводные'!$B$290="Да",'19_Расчет_аналитики'!BD3826*'01_Вводные'!$B$286,0),0)</f>
        <v/>
      </c>
      <c r="BE3827">
        <f>IF('01_Вводные'!$B$234="Да",IF('01_Вводные'!$B$290="Да",'19_Расчет_аналитики'!BE3826*'01_Вводные'!$B$286,0),0)</f>
        <v/>
      </c>
      <c r="BF3827">
        <f>IF('01_Вводные'!$B$234="Да",IF('01_Вводные'!$B$290="Да",'19_Расчет_аналитики'!BF3826*'01_Вводные'!$B$286,0),0)</f>
        <v/>
      </c>
      <c r="BG3827">
        <f>IF('01_Вводные'!$B$234="Да",IF('01_Вводные'!$B$290="Да",'19_Расчет_аналитики'!BG3826*'01_Вводные'!$B$286,0),0)</f>
        <v/>
      </c>
      <c r="BH3827">
        <f>IF('01_Вводные'!$B$234="Да",IF('01_Вводные'!$B$290="Да",'19_Расчет_аналитики'!BH3826*'01_Вводные'!$B$286,0),0)</f>
        <v/>
      </c>
      <c r="BI3827">
        <f>IF('01_Вводные'!$B$234="Да",IF('01_Вводные'!$B$290="Да",'19_Расчет_аналитики'!BI3826*'01_Вводные'!$B$286,0),0)</f>
        <v/>
      </c>
    </row>
    <row r="3828">
      <c r="B3828">
        <f>'02_Модель'!B98</f>
        <v/>
      </c>
      <c r="C3828">
        <f>'02_Модель'!C98</f>
        <v/>
      </c>
      <c r="D3828">
        <f>'02_Модель'!D98</f>
        <v/>
      </c>
      <c r="E3828">
        <f>'02_Модель'!E98</f>
        <v/>
      </c>
      <c r="F3828">
        <f>'02_Модель'!F98</f>
        <v/>
      </c>
      <c r="G3828">
        <f>'02_Модель'!G98</f>
        <v/>
      </c>
      <c r="H3828">
        <f>'02_Модель'!H98</f>
        <v/>
      </c>
      <c r="I3828">
        <f>'02_Модель'!I98</f>
        <v/>
      </c>
      <c r="J3828">
        <f>'02_Модель'!J98</f>
        <v/>
      </c>
      <c r="K3828">
        <f>'02_Модель'!K98</f>
        <v/>
      </c>
      <c r="L3828">
        <f>'02_Модель'!L98</f>
        <v/>
      </c>
      <c r="M3828">
        <f>'02_Модель'!M98</f>
        <v/>
      </c>
      <c r="N3828">
        <f>'02_Модель'!N98</f>
        <v/>
      </c>
      <c r="O3828">
        <f>'02_Модель'!O98</f>
        <v/>
      </c>
      <c r="P3828">
        <f>'02_Модель'!P98</f>
        <v/>
      </c>
      <c r="Q3828">
        <f>'02_Модель'!Q98</f>
        <v/>
      </c>
      <c r="R3828">
        <f>'02_Модель'!R98</f>
        <v/>
      </c>
      <c r="S3828">
        <f>'02_Модель'!S98</f>
        <v/>
      </c>
      <c r="T3828">
        <f>'02_Модель'!T98</f>
        <v/>
      </c>
      <c r="U3828">
        <f>'02_Модель'!U98</f>
        <v/>
      </c>
      <c r="V3828">
        <f>'02_Модель'!V98</f>
        <v/>
      </c>
      <c r="W3828">
        <f>'02_Модель'!W98</f>
        <v/>
      </c>
      <c r="X3828">
        <f>'02_Модель'!X98</f>
        <v/>
      </c>
      <c r="Y3828">
        <f>'02_Модель'!Y98</f>
        <v/>
      </c>
      <c r="Z3828">
        <f>'02_Модель'!Z98</f>
        <v/>
      </c>
      <c r="AA3828">
        <f>'02_Модель'!AA98</f>
        <v/>
      </c>
      <c r="AB3828">
        <f>'02_Модель'!AB98</f>
        <v/>
      </c>
      <c r="AC3828">
        <f>'02_Модель'!AC98</f>
        <v/>
      </c>
      <c r="AD3828">
        <f>'02_Модель'!AD98</f>
        <v/>
      </c>
      <c r="AE3828">
        <f>'02_Модель'!AE98</f>
        <v/>
      </c>
      <c r="AF3828">
        <f>'02_Модель'!AF98</f>
        <v/>
      </c>
      <c r="AG3828">
        <f>'02_Модель'!AG98</f>
        <v/>
      </c>
      <c r="AH3828">
        <f>'02_Модель'!AH98</f>
        <v/>
      </c>
      <c r="AI3828">
        <f>'02_Модель'!AI98</f>
        <v/>
      </c>
      <c r="AJ3828">
        <f>'02_Модель'!AJ98</f>
        <v/>
      </c>
      <c r="AK3828">
        <f>'02_Модель'!AK98</f>
        <v/>
      </c>
      <c r="AL3828">
        <f>'02_Модель'!AL98</f>
        <v/>
      </c>
      <c r="AM3828">
        <f>'02_Модель'!AM98</f>
        <v/>
      </c>
      <c r="AN3828">
        <f>'02_Модель'!AN98</f>
        <v/>
      </c>
      <c r="AO3828">
        <f>'02_Модель'!AO98</f>
        <v/>
      </c>
      <c r="AP3828">
        <f>'02_Модель'!AP98</f>
        <v/>
      </c>
      <c r="AQ3828">
        <f>'02_Модель'!AQ98</f>
        <v/>
      </c>
      <c r="AR3828">
        <f>'02_Модель'!AR98</f>
        <v/>
      </c>
      <c r="AS3828">
        <f>'02_Модель'!AS98</f>
        <v/>
      </c>
      <c r="AT3828">
        <f>'02_Модель'!AT98</f>
        <v/>
      </c>
      <c r="AU3828">
        <f>'02_Модель'!AU98</f>
        <v/>
      </c>
      <c r="AV3828">
        <f>'02_Модель'!AV98</f>
        <v/>
      </c>
      <c r="AW3828">
        <f>'02_Модель'!AW98</f>
        <v/>
      </c>
      <c r="AX3828">
        <f>'02_Модель'!AX98</f>
        <v/>
      </c>
      <c r="AY3828">
        <f>'02_Модель'!AY98</f>
        <v/>
      </c>
      <c r="AZ3828">
        <f>'02_Модель'!AZ98</f>
        <v/>
      </c>
      <c r="BA3828">
        <f>'02_Модель'!BA98</f>
        <v/>
      </c>
      <c r="BB3828">
        <f>'02_Модель'!BB98</f>
        <v/>
      </c>
      <c r="BC3828">
        <f>'02_Модель'!BC98</f>
        <v/>
      </c>
      <c r="BD3828">
        <f>'02_Модель'!BD98</f>
        <v/>
      </c>
      <c r="BE3828">
        <f>'02_Модель'!BE98</f>
        <v/>
      </c>
      <c r="BF3828">
        <f>'02_Модель'!BF98</f>
        <v/>
      </c>
      <c r="BG3828">
        <f>'02_Модель'!BG98</f>
        <v/>
      </c>
      <c r="BH3828">
        <f>'02_Модель'!BH98</f>
        <v/>
      </c>
      <c r="BI3828">
        <f>'02_Модель'!BI98</f>
        <v/>
      </c>
    </row>
    <row r="3829">
      <c r="B3829">
        <f>IF('01_Вводные'!$B$234="Да",SUM('19_Расчет_аналитики'!B3827:B3828),0)</f>
        <v/>
      </c>
      <c r="C3829">
        <f>IF('01_Вводные'!$B$234="Да",SUM('19_Расчет_аналитики'!C3827:C3828),0)</f>
        <v/>
      </c>
      <c r="D3829">
        <f>IF('01_Вводные'!$B$234="Да",SUM('19_Расчет_аналитики'!D3827:D3828),0)</f>
        <v/>
      </c>
      <c r="E3829">
        <f>IF('01_Вводные'!$B$234="Да",SUM('19_Расчет_аналитики'!E3827:E3828),0)</f>
        <v/>
      </c>
      <c r="F3829">
        <f>IF('01_Вводные'!$B$234="Да",SUM('19_Расчет_аналитики'!F3827:F3828),0)</f>
        <v/>
      </c>
      <c r="G3829">
        <f>IF('01_Вводные'!$B$234="Да",SUM('19_Расчет_аналитики'!G3827:G3828),0)</f>
        <v/>
      </c>
      <c r="H3829">
        <f>IF('01_Вводные'!$B$234="Да",SUM('19_Расчет_аналитики'!H3827:H3828),0)</f>
        <v/>
      </c>
      <c r="I3829">
        <f>IF('01_Вводные'!$B$234="Да",SUM('19_Расчет_аналитики'!I3827:I3828),0)</f>
        <v/>
      </c>
      <c r="J3829">
        <f>IF('01_Вводные'!$B$234="Да",SUM('19_Расчет_аналитики'!J3827:J3828),0)</f>
        <v/>
      </c>
      <c r="K3829">
        <f>IF('01_Вводные'!$B$234="Да",SUM('19_Расчет_аналитики'!K3827:K3828),0)</f>
        <v/>
      </c>
      <c r="L3829">
        <f>IF('01_Вводные'!$B$234="Да",SUM('19_Расчет_аналитики'!L3827:L3828),0)</f>
        <v/>
      </c>
      <c r="M3829">
        <f>IF('01_Вводные'!$B$234="Да",SUM('19_Расчет_аналитики'!M3827:M3828),0)</f>
        <v/>
      </c>
      <c r="N3829">
        <f>IF('01_Вводные'!$B$234="Да",SUM('19_Расчет_аналитики'!N3827:N3828),0)</f>
        <v/>
      </c>
      <c r="O3829">
        <f>IF('01_Вводные'!$B$234="Да",SUM('19_Расчет_аналитики'!O3827:O3828),0)</f>
        <v/>
      </c>
      <c r="P3829">
        <f>IF('01_Вводные'!$B$234="Да",SUM('19_Расчет_аналитики'!P3827:P3828),0)</f>
        <v/>
      </c>
      <c r="Q3829">
        <f>IF('01_Вводные'!$B$234="Да",SUM('19_Расчет_аналитики'!Q3827:Q3828),0)</f>
        <v/>
      </c>
      <c r="R3829">
        <f>IF('01_Вводные'!$B$234="Да",SUM('19_Расчет_аналитики'!R3827:R3828),0)</f>
        <v/>
      </c>
      <c r="S3829">
        <f>IF('01_Вводные'!$B$234="Да",SUM('19_Расчет_аналитики'!S3827:S3828),0)</f>
        <v/>
      </c>
      <c r="T3829">
        <f>IF('01_Вводные'!$B$234="Да",SUM('19_Расчет_аналитики'!T3827:T3828),0)</f>
        <v/>
      </c>
      <c r="U3829">
        <f>IF('01_Вводные'!$B$234="Да",SUM('19_Расчет_аналитики'!U3827:U3828),0)</f>
        <v/>
      </c>
      <c r="V3829">
        <f>IF('01_Вводные'!$B$234="Да",SUM('19_Расчет_аналитики'!V3827:V3828),0)</f>
        <v/>
      </c>
      <c r="W3829">
        <f>IF('01_Вводные'!$B$234="Да",SUM('19_Расчет_аналитики'!W3827:W3828),0)</f>
        <v/>
      </c>
      <c r="X3829">
        <f>IF('01_Вводные'!$B$234="Да",SUM('19_Расчет_аналитики'!X3827:X3828),0)</f>
        <v/>
      </c>
      <c r="Y3829">
        <f>IF('01_Вводные'!$B$234="Да",SUM('19_Расчет_аналитики'!Y3827:Y3828),0)</f>
        <v/>
      </c>
      <c r="Z3829">
        <f>IF('01_Вводные'!$B$234="Да",SUM('19_Расчет_аналитики'!Z3827:Z3828),0)</f>
        <v/>
      </c>
      <c r="AA3829">
        <f>IF('01_Вводные'!$B$234="Да",SUM('19_Расчет_аналитики'!AA3827:AA3828),0)</f>
        <v/>
      </c>
      <c r="AB3829">
        <f>IF('01_Вводные'!$B$234="Да",SUM('19_Расчет_аналитики'!AB3827:AB3828),0)</f>
        <v/>
      </c>
      <c r="AC3829">
        <f>IF('01_Вводные'!$B$234="Да",SUM('19_Расчет_аналитики'!AC3827:AC3828),0)</f>
        <v/>
      </c>
      <c r="AD3829">
        <f>IF('01_Вводные'!$B$234="Да",SUM('19_Расчет_аналитики'!AD3827:AD3828),0)</f>
        <v/>
      </c>
      <c r="AE3829">
        <f>IF('01_Вводные'!$B$234="Да",SUM('19_Расчет_аналитики'!AE3827:AE3828),0)</f>
        <v/>
      </c>
      <c r="AF3829">
        <f>IF('01_Вводные'!$B$234="Да",SUM('19_Расчет_аналитики'!AF3827:AF3828),0)</f>
        <v/>
      </c>
      <c r="AG3829">
        <f>IF('01_Вводные'!$B$234="Да",SUM('19_Расчет_аналитики'!AG3827:AG3828),0)</f>
        <v/>
      </c>
      <c r="AH3829">
        <f>IF('01_Вводные'!$B$234="Да",SUM('19_Расчет_аналитики'!AH3827:AH3828),0)</f>
        <v/>
      </c>
      <c r="AI3829">
        <f>IF('01_Вводные'!$B$234="Да",SUM('19_Расчет_аналитики'!AI3827:AI3828),0)</f>
        <v/>
      </c>
      <c r="AJ3829">
        <f>IF('01_Вводные'!$B$234="Да",SUM('19_Расчет_аналитики'!AJ3827:AJ3828),0)</f>
        <v/>
      </c>
      <c r="AK3829">
        <f>IF('01_Вводные'!$B$234="Да",SUM('19_Расчет_аналитики'!AK3827:AK3828),0)</f>
        <v/>
      </c>
      <c r="AL3829">
        <f>IF('01_Вводные'!$B$234="Да",SUM('19_Расчет_аналитики'!AL3827:AL3828),0)</f>
        <v/>
      </c>
      <c r="AM3829">
        <f>IF('01_Вводные'!$B$234="Да",SUM('19_Расчет_аналитики'!AM3827:AM3828),0)</f>
        <v/>
      </c>
      <c r="AN3829">
        <f>IF('01_Вводные'!$B$234="Да",SUM('19_Расчет_аналитики'!AN3827:AN3828),0)</f>
        <v/>
      </c>
      <c r="AO3829">
        <f>IF('01_Вводные'!$B$234="Да",SUM('19_Расчет_аналитики'!AO3827:AO3828),0)</f>
        <v/>
      </c>
      <c r="AP3829">
        <f>IF('01_Вводные'!$B$234="Да",SUM('19_Расчет_аналитики'!AP3827:AP3828),0)</f>
        <v/>
      </c>
      <c r="AQ3829">
        <f>IF('01_Вводные'!$B$234="Да",SUM('19_Расчет_аналитики'!AQ3827:AQ3828),0)</f>
        <v/>
      </c>
      <c r="AR3829">
        <f>IF('01_Вводные'!$B$234="Да",SUM('19_Расчет_аналитики'!AR3827:AR3828),0)</f>
        <v/>
      </c>
      <c r="AS3829">
        <f>IF('01_Вводные'!$B$234="Да",SUM('19_Расчет_аналитики'!AS3827:AS3828),0)</f>
        <v/>
      </c>
      <c r="AT3829">
        <f>IF('01_Вводные'!$B$234="Да",SUM('19_Расчет_аналитики'!AT3827:AT3828),0)</f>
        <v/>
      </c>
      <c r="AU3829">
        <f>IF('01_Вводные'!$B$234="Да",SUM('19_Расчет_аналитики'!AU3827:AU3828),0)</f>
        <v/>
      </c>
      <c r="AV3829">
        <f>IF('01_Вводные'!$B$234="Да",SUM('19_Расчет_аналитики'!AV3827:AV3828),0)</f>
        <v/>
      </c>
      <c r="AW3829">
        <f>IF('01_Вводные'!$B$234="Да",SUM('19_Расчет_аналитики'!AW3827:AW3828),0)</f>
        <v/>
      </c>
      <c r="AX3829">
        <f>IF('01_Вводные'!$B$234="Да",SUM('19_Расчет_аналитики'!AX3827:AX3828),0)</f>
        <v/>
      </c>
      <c r="AY3829">
        <f>IF('01_Вводные'!$B$234="Да",SUM('19_Расчет_аналитики'!AY3827:AY3828),0)</f>
        <v/>
      </c>
      <c r="AZ3829">
        <f>IF('01_Вводные'!$B$234="Да",SUM('19_Расчет_аналитики'!AZ3827:AZ3828),0)</f>
        <v/>
      </c>
      <c r="BA3829">
        <f>IF('01_Вводные'!$B$234="Да",SUM('19_Расчет_аналитики'!BA3827:BA3828),0)</f>
        <v/>
      </c>
      <c r="BB3829">
        <f>IF('01_Вводные'!$B$234="Да",SUM('19_Расчет_аналитики'!BB3827:BB3828),0)</f>
        <v/>
      </c>
      <c r="BC3829">
        <f>IF('01_Вводные'!$B$234="Да",SUM('19_Расчет_аналитики'!BC3827:BC3828),0)</f>
        <v/>
      </c>
      <c r="BD3829">
        <f>IF('01_Вводные'!$B$234="Да",SUM('19_Расчет_аналитики'!BD3827:BD3828),0)</f>
        <v/>
      </c>
      <c r="BE3829">
        <f>IF('01_Вводные'!$B$234="Да",SUM('19_Расчет_аналитики'!BE3827:BE3828),0)</f>
        <v/>
      </c>
      <c r="BF3829">
        <f>IF('01_Вводные'!$B$234="Да",SUM('19_Расчет_аналитики'!BF3827:BF3828),0)</f>
        <v/>
      </c>
      <c r="BG3829">
        <f>IF('01_Вводные'!$B$234="Да",SUM('19_Расчет_аналитики'!BG3827:BG3828),0)</f>
        <v/>
      </c>
      <c r="BH3829">
        <f>IF('01_Вводные'!$B$234="Да",SUM('19_Расчет_аналитики'!BH3827:BH3828),0)</f>
        <v/>
      </c>
      <c r="BI3829">
        <f>IF('01_Вводные'!$B$234="Да",SUM('19_Расчет_аналитики'!BI3827:BI3828),0)</f>
        <v/>
      </c>
    </row>
    <row r="3830">
      <c r="B3830">
        <f>IF('01_Вводные'!$B$234="Да",SUM('19_Расчет_аналитики'!$B3829:B3829),0)</f>
        <v/>
      </c>
      <c r="C3830">
        <f>IF('01_Вводные'!$B$234="Да",SUM('19_Расчет_аналитики'!$B3829:C3829),0)</f>
        <v/>
      </c>
      <c r="D3830">
        <f>IF('01_Вводные'!$B$234="Да",SUM('19_Расчет_аналитики'!$B3829:D3829),0)</f>
        <v/>
      </c>
      <c r="E3830">
        <f>IF('01_Вводные'!$B$234="Да",SUM('19_Расчет_аналитики'!$B3829:E3829),0)</f>
        <v/>
      </c>
      <c r="F3830">
        <f>IF('01_Вводные'!$B$234="Да",SUM('19_Расчет_аналитики'!$B3829:F3829),0)</f>
        <v/>
      </c>
      <c r="G3830">
        <f>IF('01_Вводные'!$B$234="Да",SUM('19_Расчет_аналитики'!$B3829:G3829),0)</f>
        <v/>
      </c>
      <c r="H3830">
        <f>IF('01_Вводные'!$B$234="Да",SUM('19_Расчет_аналитики'!$B3829:H3829),0)</f>
        <v/>
      </c>
      <c r="I3830">
        <f>IF('01_Вводные'!$B$234="Да",SUM('19_Расчет_аналитики'!$B3829:I3829),0)</f>
        <v/>
      </c>
      <c r="J3830">
        <f>IF('01_Вводные'!$B$234="Да",SUM('19_Расчет_аналитики'!$B3829:J3829),0)</f>
        <v/>
      </c>
      <c r="K3830">
        <f>IF('01_Вводные'!$B$234="Да",SUM('19_Расчет_аналитики'!$B3829:K3829),0)</f>
        <v/>
      </c>
      <c r="L3830">
        <f>IF('01_Вводные'!$B$234="Да",SUM('19_Расчет_аналитики'!$B3829:L3829),0)</f>
        <v/>
      </c>
      <c r="M3830">
        <f>IF('01_Вводные'!$B$234="Да",SUM('19_Расчет_аналитики'!$B3829:M3829),0)</f>
        <v/>
      </c>
      <c r="N3830">
        <f>IF('01_Вводные'!$B$234="Да",SUM('19_Расчет_аналитики'!$B3829:N3829),0)</f>
        <v/>
      </c>
      <c r="O3830">
        <f>IF('01_Вводные'!$B$234="Да",SUM('19_Расчет_аналитики'!$B3829:O3829),0)</f>
        <v/>
      </c>
      <c r="P3830">
        <f>IF('01_Вводные'!$B$234="Да",SUM('19_Расчет_аналитики'!$B3829:P3829),0)</f>
        <v/>
      </c>
      <c r="Q3830">
        <f>IF('01_Вводные'!$B$234="Да",SUM('19_Расчет_аналитики'!$B3829:Q3829),0)</f>
        <v/>
      </c>
      <c r="R3830">
        <f>IF('01_Вводные'!$B$234="Да",SUM('19_Расчет_аналитики'!$B3829:R3829),0)</f>
        <v/>
      </c>
      <c r="S3830">
        <f>IF('01_Вводные'!$B$234="Да",SUM('19_Расчет_аналитики'!$B3829:S3829),0)</f>
        <v/>
      </c>
      <c r="T3830">
        <f>IF('01_Вводные'!$B$234="Да",SUM('19_Расчет_аналитики'!$B3829:T3829),0)</f>
        <v/>
      </c>
      <c r="U3830">
        <f>IF('01_Вводные'!$B$234="Да",SUM('19_Расчет_аналитики'!$B3829:U3829),0)</f>
        <v/>
      </c>
      <c r="V3830">
        <f>IF('01_Вводные'!$B$234="Да",SUM('19_Расчет_аналитики'!$B3829:V3829),0)</f>
        <v/>
      </c>
      <c r="W3830">
        <f>IF('01_Вводные'!$B$234="Да",SUM('19_Расчет_аналитики'!$B3829:W3829),0)</f>
        <v/>
      </c>
      <c r="X3830">
        <f>IF('01_Вводные'!$B$234="Да",SUM('19_Расчет_аналитики'!$B3829:X3829),0)</f>
        <v/>
      </c>
      <c r="Y3830">
        <f>IF('01_Вводные'!$B$234="Да",SUM('19_Расчет_аналитики'!$B3829:Y3829),0)</f>
        <v/>
      </c>
      <c r="Z3830">
        <f>IF('01_Вводные'!$B$234="Да",SUM('19_Расчет_аналитики'!$B3829:Z3829),0)</f>
        <v/>
      </c>
      <c r="AA3830">
        <f>IF('01_Вводные'!$B$234="Да",SUM('19_Расчет_аналитики'!$B3829:AA3829),0)</f>
        <v/>
      </c>
      <c r="AB3830">
        <f>IF('01_Вводные'!$B$234="Да",SUM('19_Расчет_аналитики'!$B3829:AB3829),0)</f>
        <v/>
      </c>
      <c r="AC3830">
        <f>IF('01_Вводные'!$B$234="Да",SUM('19_Расчет_аналитики'!$B3829:AC3829),0)</f>
        <v/>
      </c>
      <c r="AD3830">
        <f>IF('01_Вводные'!$B$234="Да",SUM('19_Расчет_аналитики'!$B3829:AD3829),0)</f>
        <v/>
      </c>
      <c r="AE3830">
        <f>IF('01_Вводные'!$B$234="Да",SUM('19_Расчет_аналитики'!$B3829:AE3829),0)</f>
        <v/>
      </c>
      <c r="AF3830">
        <f>IF('01_Вводные'!$B$234="Да",SUM('19_Расчет_аналитики'!$B3829:AF3829),0)</f>
        <v/>
      </c>
      <c r="AG3830">
        <f>IF('01_Вводные'!$B$234="Да",SUM('19_Расчет_аналитики'!$B3829:AG3829),0)</f>
        <v/>
      </c>
      <c r="AH3830">
        <f>IF('01_Вводные'!$B$234="Да",SUM('19_Расчет_аналитики'!$B3829:AH3829),0)</f>
        <v/>
      </c>
      <c r="AI3830">
        <f>IF('01_Вводные'!$B$234="Да",SUM('19_Расчет_аналитики'!$B3829:AI3829),0)</f>
        <v/>
      </c>
      <c r="AJ3830">
        <f>IF('01_Вводные'!$B$234="Да",SUM('19_Расчет_аналитики'!$B3829:AJ3829),0)</f>
        <v/>
      </c>
      <c r="AK3830">
        <f>IF('01_Вводные'!$B$234="Да",SUM('19_Расчет_аналитики'!$B3829:AK3829),0)</f>
        <v/>
      </c>
      <c r="AL3830">
        <f>IF('01_Вводные'!$B$234="Да",SUM('19_Расчет_аналитики'!$B3829:AL3829),0)</f>
        <v/>
      </c>
      <c r="AM3830">
        <f>IF('01_Вводные'!$B$234="Да",SUM('19_Расчет_аналитики'!$B3829:AM3829),0)</f>
        <v/>
      </c>
      <c r="AN3830">
        <f>IF('01_Вводные'!$B$234="Да",SUM('19_Расчет_аналитики'!$B3829:AN3829),0)</f>
        <v/>
      </c>
      <c r="AO3830">
        <f>IF('01_Вводные'!$B$234="Да",SUM('19_Расчет_аналитики'!$B3829:AO3829),0)</f>
        <v/>
      </c>
      <c r="AP3830">
        <f>IF('01_Вводные'!$B$234="Да",SUM('19_Расчет_аналитики'!$B3829:AP3829),0)</f>
        <v/>
      </c>
      <c r="AQ3830">
        <f>IF('01_Вводные'!$B$234="Да",SUM('19_Расчет_аналитики'!$B3829:AQ3829),0)</f>
        <v/>
      </c>
      <c r="AR3830">
        <f>IF('01_Вводные'!$B$234="Да",SUM('19_Расчет_аналитики'!$B3829:AR3829),0)</f>
        <v/>
      </c>
      <c r="AS3830">
        <f>IF('01_Вводные'!$B$234="Да",SUM('19_Расчет_аналитики'!$B3829:AS3829),0)</f>
        <v/>
      </c>
      <c r="AT3830">
        <f>IF('01_Вводные'!$B$234="Да",SUM('19_Расчет_аналитики'!$B3829:AT3829),0)</f>
        <v/>
      </c>
      <c r="AU3830">
        <f>IF('01_Вводные'!$B$234="Да",SUM('19_Расчет_аналитики'!$B3829:AU3829),0)</f>
        <v/>
      </c>
      <c r="AV3830">
        <f>IF('01_Вводные'!$B$234="Да",SUM('19_Расчет_аналитики'!$B3829:AV3829),0)</f>
        <v/>
      </c>
      <c r="AW3830">
        <f>IF('01_Вводные'!$B$234="Да",SUM('19_Расчет_аналитики'!$B3829:AW3829),0)</f>
        <v/>
      </c>
      <c r="AX3830">
        <f>IF('01_Вводные'!$B$234="Да",SUM('19_Расчет_аналитики'!$B3829:AX3829),0)</f>
        <v/>
      </c>
      <c r="AY3830">
        <f>IF('01_Вводные'!$B$234="Да",SUM('19_Расчет_аналитики'!$B3829:AY3829),0)</f>
        <v/>
      </c>
      <c r="AZ3830">
        <f>IF('01_Вводные'!$B$234="Да",SUM('19_Расчет_аналитики'!$B3829:AZ3829),0)</f>
        <v/>
      </c>
      <c r="BA3830">
        <f>IF('01_Вводные'!$B$234="Да",SUM('19_Расчет_аналитики'!$B3829:BA3829),0)</f>
        <v/>
      </c>
      <c r="BB3830">
        <f>IF('01_Вводные'!$B$234="Да",SUM('19_Расчет_аналитики'!$B3829:BB3829),0)</f>
        <v/>
      </c>
      <c r="BC3830">
        <f>IF('01_Вводные'!$B$234="Да",SUM('19_Расчет_аналитики'!$B3829:BC3829),0)</f>
        <v/>
      </c>
      <c r="BD3830">
        <f>IF('01_Вводные'!$B$234="Да",SUM('19_Расчет_аналитики'!$B3829:BD3829),0)</f>
        <v/>
      </c>
      <c r="BE3830">
        <f>IF('01_Вводные'!$B$234="Да",SUM('19_Расчет_аналитики'!$B3829:BE3829),0)</f>
        <v/>
      </c>
      <c r="BF3830">
        <f>IF('01_Вводные'!$B$234="Да",SUM('19_Расчет_аналитики'!$B3829:BF3829),0)</f>
        <v/>
      </c>
      <c r="BG3830">
        <f>IF('01_Вводные'!$B$234="Да",SUM('19_Расчет_аналитики'!$B3829:BG3829),0)</f>
        <v/>
      </c>
      <c r="BH3830">
        <f>IF('01_Вводные'!$B$234="Да",SUM('19_Расчет_аналитики'!$B3829:BH3829),0)</f>
        <v/>
      </c>
      <c r="BI3830">
        <f>IF('01_Вводные'!$B$234="Да",SUM('19_Расчет_аналитики'!$B3829:BI3829),0)</f>
        <v/>
      </c>
    </row>
    <row r="3831"/>
    <row r="3832"/>
    <row r="3833"/>
    <row r="3834"/>
    <row r="3835"/>
    <row r="3836"/>
    <row r="3837"/>
    <row r="3838"/>
    <row r="3839"/>
    <row r="3840"/>
    <row r="3841">
      <c r="B3841">
        <f>IF('01_Вводные'!$B$234="Да",INDEX('19_Расчет_аналитики'!$C$3111:$C$3115,MIN(5,INT(0/12)+1),1)*'18_Календарь_тарифы'!B4,0)</f>
        <v/>
      </c>
      <c r="C3841">
        <f>IF('01_Вводные'!$B$234="Да",INDEX('19_Расчет_аналитики'!$C$3111:$C$3115,MIN(5,INT(1/12)+1),1)*'18_Календарь_тарифы'!C4,0)</f>
        <v/>
      </c>
      <c r="D3841">
        <f>IF('01_Вводные'!$B$234="Да",INDEX('19_Расчет_аналитики'!$C$3111:$C$3115,MIN(5,INT(2/12)+1),1)*'18_Календарь_тарифы'!D4,0)</f>
        <v/>
      </c>
      <c r="E3841">
        <f>IF('01_Вводные'!$B$234="Да",INDEX('19_Расчет_аналитики'!$C$3111:$C$3115,MIN(5,INT(3/12)+1),1)*'18_Календарь_тарифы'!E4,0)</f>
        <v/>
      </c>
      <c r="F3841">
        <f>IF('01_Вводные'!$B$234="Да",INDEX('19_Расчет_аналитики'!$C$3111:$C$3115,MIN(5,INT(4/12)+1),1)*'18_Календарь_тарифы'!F4,0)</f>
        <v/>
      </c>
      <c r="G3841">
        <f>IF('01_Вводные'!$B$234="Да",INDEX('19_Расчет_аналитики'!$C$3111:$C$3115,MIN(5,INT(5/12)+1),1)*'18_Календарь_тарифы'!G4,0)</f>
        <v/>
      </c>
      <c r="H3841">
        <f>IF('01_Вводные'!$B$234="Да",INDEX('19_Расчет_аналитики'!$C$3111:$C$3115,MIN(5,INT(6/12)+1),1)*'18_Календарь_тарифы'!H4,0)</f>
        <v/>
      </c>
      <c r="I3841">
        <f>IF('01_Вводные'!$B$234="Да",INDEX('19_Расчет_аналитики'!$C$3111:$C$3115,MIN(5,INT(7/12)+1),1)*'18_Календарь_тарифы'!I4,0)</f>
        <v/>
      </c>
      <c r="J3841">
        <f>IF('01_Вводные'!$B$234="Да",INDEX('19_Расчет_аналитики'!$C$3111:$C$3115,MIN(5,INT(8/12)+1),1)*'18_Календарь_тарифы'!J4,0)</f>
        <v/>
      </c>
      <c r="K3841">
        <f>IF('01_Вводные'!$B$234="Да",INDEX('19_Расчет_аналитики'!$C$3111:$C$3115,MIN(5,INT(9/12)+1),1)*'18_Календарь_тарифы'!K4,0)</f>
        <v/>
      </c>
      <c r="L3841">
        <f>IF('01_Вводные'!$B$234="Да",INDEX('19_Расчет_аналитики'!$C$3111:$C$3115,MIN(5,INT(10/12)+1),1)*'18_Календарь_тарифы'!L4,0)</f>
        <v/>
      </c>
      <c r="M3841">
        <f>IF('01_Вводные'!$B$234="Да",INDEX('19_Расчет_аналитики'!$C$3111:$C$3115,MIN(5,INT(11/12)+1),1)*'18_Календарь_тарифы'!M4,0)</f>
        <v/>
      </c>
      <c r="N3841">
        <f>IF('01_Вводные'!$B$234="Да",INDEX('19_Расчет_аналитики'!$C$3111:$C$3115,MIN(5,INT(12/12)+1),1)*'18_Календарь_тарифы'!N4,0)</f>
        <v/>
      </c>
      <c r="O3841">
        <f>IF('01_Вводные'!$B$234="Да",INDEX('19_Расчет_аналитики'!$C$3111:$C$3115,MIN(5,INT(13/12)+1),1)*'18_Календарь_тарифы'!O4,0)</f>
        <v/>
      </c>
      <c r="P3841">
        <f>IF('01_Вводные'!$B$234="Да",INDEX('19_Расчет_аналитики'!$C$3111:$C$3115,MIN(5,INT(14/12)+1),1)*'18_Календарь_тарифы'!P4,0)</f>
        <v/>
      </c>
      <c r="Q3841">
        <f>IF('01_Вводные'!$B$234="Да",INDEX('19_Расчет_аналитики'!$C$3111:$C$3115,MIN(5,INT(15/12)+1),1)*'18_Календарь_тарифы'!Q4,0)</f>
        <v/>
      </c>
      <c r="R3841">
        <f>IF('01_Вводные'!$B$234="Да",INDEX('19_Расчет_аналитики'!$C$3111:$C$3115,MIN(5,INT(16/12)+1),1)*'18_Календарь_тарифы'!R4,0)</f>
        <v/>
      </c>
      <c r="S3841">
        <f>IF('01_Вводные'!$B$234="Да",INDEX('19_Расчет_аналитики'!$C$3111:$C$3115,MIN(5,INT(17/12)+1),1)*'18_Календарь_тарифы'!S4,0)</f>
        <v/>
      </c>
      <c r="T3841">
        <f>IF('01_Вводные'!$B$234="Да",INDEX('19_Расчет_аналитики'!$C$3111:$C$3115,MIN(5,INT(18/12)+1),1)*'18_Календарь_тарифы'!T4,0)</f>
        <v/>
      </c>
      <c r="U3841">
        <f>IF('01_Вводные'!$B$234="Да",INDEX('19_Расчет_аналитики'!$C$3111:$C$3115,MIN(5,INT(19/12)+1),1)*'18_Календарь_тарифы'!U4,0)</f>
        <v/>
      </c>
      <c r="V3841">
        <f>IF('01_Вводные'!$B$234="Да",INDEX('19_Расчет_аналитики'!$C$3111:$C$3115,MIN(5,INT(20/12)+1),1)*'18_Календарь_тарифы'!V4,0)</f>
        <v/>
      </c>
      <c r="W3841">
        <f>IF('01_Вводные'!$B$234="Да",INDEX('19_Расчет_аналитики'!$C$3111:$C$3115,MIN(5,INT(21/12)+1),1)*'18_Календарь_тарифы'!W4,0)</f>
        <v/>
      </c>
      <c r="X3841">
        <f>IF('01_Вводные'!$B$234="Да",INDEX('19_Расчет_аналитики'!$C$3111:$C$3115,MIN(5,INT(22/12)+1),1)*'18_Календарь_тарифы'!X4,0)</f>
        <v/>
      </c>
      <c r="Y3841">
        <f>IF('01_Вводные'!$B$234="Да",INDEX('19_Расчет_аналитики'!$C$3111:$C$3115,MIN(5,INT(23/12)+1),1)*'18_Календарь_тарифы'!Y4,0)</f>
        <v/>
      </c>
      <c r="Z3841">
        <f>IF('01_Вводные'!$B$234="Да",INDEX('19_Расчет_аналитики'!$C$3111:$C$3115,MIN(5,INT(24/12)+1),1)*'18_Календарь_тарифы'!Z4,0)</f>
        <v/>
      </c>
      <c r="AA3841">
        <f>IF('01_Вводные'!$B$234="Да",INDEX('19_Расчет_аналитики'!$C$3111:$C$3115,MIN(5,INT(25/12)+1),1)*'18_Календарь_тарифы'!AA4,0)</f>
        <v/>
      </c>
      <c r="AB3841">
        <f>IF('01_Вводные'!$B$234="Да",INDEX('19_Расчет_аналитики'!$C$3111:$C$3115,MIN(5,INT(26/12)+1),1)*'18_Календарь_тарифы'!AB4,0)</f>
        <v/>
      </c>
      <c r="AC3841">
        <f>IF('01_Вводные'!$B$234="Да",INDEX('19_Расчет_аналитики'!$C$3111:$C$3115,MIN(5,INT(27/12)+1),1)*'18_Календарь_тарифы'!AC4,0)</f>
        <v/>
      </c>
      <c r="AD3841">
        <f>IF('01_Вводные'!$B$234="Да",INDEX('19_Расчет_аналитики'!$C$3111:$C$3115,MIN(5,INT(28/12)+1),1)*'18_Календарь_тарифы'!AD4,0)</f>
        <v/>
      </c>
      <c r="AE3841">
        <f>IF('01_Вводные'!$B$234="Да",INDEX('19_Расчет_аналитики'!$C$3111:$C$3115,MIN(5,INT(29/12)+1),1)*'18_Календарь_тарифы'!AE4,0)</f>
        <v/>
      </c>
      <c r="AF3841">
        <f>IF('01_Вводные'!$B$234="Да",INDEX('19_Расчет_аналитики'!$C$3111:$C$3115,MIN(5,INT(30/12)+1),1)*'18_Календарь_тарифы'!AF4,0)</f>
        <v/>
      </c>
      <c r="AG3841">
        <f>IF('01_Вводные'!$B$234="Да",INDEX('19_Расчет_аналитики'!$C$3111:$C$3115,MIN(5,INT(31/12)+1),1)*'18_Календарь_тарифы'!AG4,0)</f>
        <v/>
      </c>
      <c r="AH3841">
        <f>IF('01_Вводные'!$B$234="Да",INDEX('19_Расчет_аналитики'!$C$3111:$C$3115,MIN(5,INT(32/12)+1),1)*'18_Календарь_тарифы'!AH4,0)</f>
        <v/>
      </c>
      <c r="AI3841">
        <f>IF('01_Вводные'!$B$234="Да",INDEX('19_Расчет_аналитики'!$C$3111:$C$3115,MIN(5,INT(33/12)+1),1)*'18_Календарь_тарифы'!AI4,0)</f>
        <v/>
      </c>
      <c r="AJ3841">
        <f>IF('01_Вводные'!$B$234="Да",INDEX('19_Расчет_аналитики'!$C$3111:$C$3115,MIN(5,INT(34/12)+1),1)*'18_Календарь_тарифы'!AJ4,0)</f>
        <v/>
      </c>
      <c r="AK3841">
        <f>IF('01_Вводные'!$B$234="Да",INDEX('19_Расчет_аналитики'!$C$3111:$C$3115,MIN(5,INT(35/12)+1),1)*'18_Календарь_тарифы'!AK4,0)</f>
        <v/>
      </c>
      <c r="AL3841">
        <f>IF('01_Вводные'!$B$234="Да",INDEX('19_Расчет_аналитики'!$C$3111:$C$3115,MIN(5,INT(36/12)+1),1)*'18_Календарь_тарифы'!AL4,0)</f>
        <v/>
      </c>
      <c r="AM3841">
        <f>IF('01_Вводные'!$B$234="Да",INDEX('19_Расчет_аналитики'!$C$3111:$C$3115,MIN(5,INT(37/12)+1),1)*'18_Календарь_тарифы'!AM4,0)</f>
        <v/>
      </c>
      <c r="AN3841">
        <f>IF('01_Вводные'!$B$234="Да",INDEX('19_Расчет_аналитики'!$C$3111:$C$3115,MIN(5,INT(38/12)+1),1)*'18_Календарь_тарифы'!AN4,0)</f>
        <v/>
      </c>
      <c r="AO3841">
        <f>IF('01_Вводные'!$B$234="Да",INDEX('19_Расчет_аналитики'!$C$3111:$C$3115,MIN(5,INT(39/12)+1),1)*'18_Календарь_тарифы'!AO4,0)</f>
        <v/>
      </c>
      <c r="AP3841">
        <f>IF('01_Вводные'!$B$234="Да",INDEX('19_Расчет_аналитики'!$C$3111:$C$3115,MIN(5,INT(40/12)+1),1)*'18_Календарь_тарифы'!AP4,0)</f>
        <v/>
      </c>
      <c r="AQ3841">
        <f>IF('01_Вводные'!$B$234="Да",INDEX('19_Расчет_аналитики'!$C$3111:$C$3115,MIN(5,INT(41/12)+1),1)*'18_Календарь_тарифы'!AQ4,0)</f>
        <v/>
      </c>
      <c r="AR3841">
        <f>IF('01_Вводные'!$B$234="Да",INDEX('19_Расчет_аналитики'!$C$3111:$C$3115,MIN(5,INT(42/12)+1),1)*'18_Календарь_тарифы'!AR4,0)</f>
        <v/>
      </c>
      <c r="AS3841">
        <f>IF('01_Вводные'!$B$234="Да",INDEX('19_Расчет_аналитики'!$C$3111:$C$3115,MIN(5,INT(43/12)+1),1)*'18_Календарь_тарифы'!AS4,0)</f>
        <v/>
      </c>
      <c r="AT3841">
        <f>IF('01_Вводные'!$B$234="Да",INDEX('19_Расчет_аналитики'!$C$3111:$C$3115,MIN(5,INT(44/12)+1),1)*'18_Календарь_тарифы'!AT4,0)</f>
        <v/>
      </c>
      <c r="AU3841">
        <f>IF('01_Вводные'!$B$234="Да",INDEX('19_Расчет_аналитики'!$C$3111:$C$3115,MIN(5,INT(45/12)+1),1)*'18_Календарь_тарифы'!AU4,0)</f>
        <v/>
      </c>
      <c r="AV3841">
        <f>IF('01_Вводные'!$B$234="Да",INDEX('19_Расчет_аналитики'!$C$3111:$C$3115,MIN(5,INT(46/12)+1),1)*'18_Календарь_тарифы'!AV4,0)</f>
        <v/>
      </c>
      <c r="AW3841">
        <f>IF('01_Вводные'!$B$234="Да",INDEX('19_Расчет_аналитики'!$C$3111:$C$3115,MIN(5,INT(47/12)+1),1)*'18_Календарь_тарифы'!AW4,0)</f>
        <v/>
      </c>
      <c r="AX3841">
        <f>IF('01_Вводные'!$B$234="Да",INDEX('19_Расчет_аналитики'!$C$3111:$C$3115,MIN(5,INT(48/12)+1),1)*'18_Календарь_тарифы'!AX4,0)</f>
        <v/>
      </c>
      <c r="AY3841">
        <f>IF('01_Вводные'!$B$234="Да",INDEX('19_Расчет_аналитики'!$C$3111:$C$3115,MIN(5,INT(49/12)+1),1)*'18_Календарь_тарифы'!AY4,0)</f>
        <v/>
      </c>
      <c r="AZ3841">
        <f>IF('01_Вводные'!$B$234="Да",INDEX('19_Расчет_аналитики'!$C$3111:$C$3115,MIN(5,INT(50/12)+1),1)*'18_Календарь_тарифы'!AZ4,0)</f>
        <v/>
      </c>
      <c r="BA3841">
        <f>IF('01_Вводные'!$B$234="Да",INDEX('19_Расчет_аналитики'!$C$3111:$C$3115,MIN(5,INT(51/12)+1),1)*'18_Календарь_тарифы'!BA4,0)</f>
        <v/>
      </c>
      <c r="BB3841">
        <f>IF('01_Вводные'!$B$234="Да",INDEX('19_Расчет_аналитики'!$C$3111:$C$3115,MIN(5,INT(52/12)+1),1)*'18_Календарь_тарифы'!BB4,0)</f>
        <v/>
      </c>
      <c r="BC3841">
        <f>IF('01_Вводные'!$B$234="Да",INDEX('19_Расчет_аналитики'!$C$3111:$C$3115,MIN(5,INT(53/12)+1),1)*'18_Календарь_тарифы'!BC4,0)</f>
        <v/>
      </c>
      <c r="BD3841">
        <f>IF('01_Вводные'!$B$234="Да",INDEX('19_Расчет_аналитики'!$C$3111:$C$3115,MIN(5,INT(54/12)+1),1)*'18_Календарь_тарифы'!BD4,0)</f>
        <v/>
      </c>
      <c r="BE3841">
        <f>IF('01_Вводные'!$B$234="Да",INDEX('19_Расчет_аналитики'!$C$3111:$C$3115,MIN(5,INT(55/12)+1),1)*'18_Календарь_тарифы'!BE4,0)</f>
        <v/>
      </c>
      <c r="BF3841">
        <f>IF('01_Вводные'!$B$234="Да",INDEX('19_Расчет_аналитики'!$C$3111:$C$3115,MIN(5,INT(56/12)+1),1)*'18_Календарь_тарифы'!BF4,0)</f>
        <v/>
      </c>
      <c r="BG3841">
        <f>IF('01_Вводные'!$B$234="Да",INDEX('19_Расчет_аналитики'!$C$3111:$C$3115,MIN(5,INT(57/12)+1),1)*'18_Календарь_тарифы'!BG4,0)</f>
        <v/>
      </c>
      <c r="BH3841">
        <f>IF('01_Вводные'!$B$234="Да",INDEX('19_Расчет_аналитики'!$C$3111:$C$3115,MIN(5,INT(58/12)+1),1)*'18_Календарь_тарифы'!BH4,0)</f>
        <v/>
      </c>
      <c r="BI3841">
        <f>IF('01_Вводные'!$B$234="Да",INDEX('19_Расчет_аналитики'!$C$3111:$C$3115,MIN(5,INT(59/12)+1),1)*'18_Календарь_тарифы'!BI4,0)</f>
        <v/>
      </c>
      <c r="BJ3841">
        <f>IF('01_Вводные'!$B$234="Да",INDEX('19_Расчет_аналитики'!$C$3111:$C$3115,MIN(5,INT(60/12)+1),1)*'18_Календарь_тарифы'!BJ4,0)</f>
        <v/>
      </c>
      <c r="BK3841">
        <f>IF('01_Вводные'!$B$234="Да",INDEX('19_Расчет_аналитики'!$C$3111:$C$3115,MIN(5,INT(61/12)+1),1)*'18_Календарь_тарифы'!BK4,0)</f>
        <v/>
      </c>
      <c r="BL3841">
        <f>IF('01_Вводные'!$B$234="Да",INDEX('19_Расчет_аналитики'!$C$3111:$C$3115,MIN(5,INT(62/12)+1),1)*'18_Календарь_тарифы'!BL4,0)</f>
        <v/>
      </c>
      <c r="BM3841">
        <f>IF('01_Вводные'!$B$234="Да",INDEX('19_Расчет_аналитики'!$C$3111:$C$3115,MIN(5,INT(63/12)+1),1)*'18_Календарь_тарифы'!BM4,0)</f>
        <v/>
      </c>
      <c r="BN3841">
        <f>IF('01_Вводные'!$B$234="Да",INDEX('19_Расчет_аналитики'!$C$3111:$C$3115,MIN(5,INT(64/12)+1),1)*'18_Календарь_тарифы'!BN4,0)</f>
        <v/>
      </c>
      <c r="BO3841">
        <f>IF('01_Вводные'!$B$234="Да",INDEX('19_Расчет_аналитики'!$C$3111:$C$3115,MIN(5,INT(65/12)+1),1)*'18_Календарь_тарифы'!BO4,0)</f>
        <v/>
      </c>
    </row>
    <row r="3842">
      <c r="B3842">
        <f>IF('01_Вводные'!$B$234="Да",'19_Расчет_аналитики'!$B$3099*'18_Календарь_тарифы'!B4,0)</f>
        <v/>
      </c>
      <c r="C3842">
        <f>IF('01_Вводные'!$B$234="Да",'19_Расчет_аналитики'!$B$3099*'18_Календарь_тарифы'!C4,0)</f>
        <v/>
      </c>
      <c r="D3842">
        <f>IF('01_Вводные'!$B$234="Да",'19_Расчет_аналитики'!$B$3099*'18_Календарь_тарифы'!D4,0)</f>
        <v/>
      </c>
      <c r="E3842">
        <f>IF('01_Вводные'!$B$234="Да",'19_Расчет_аналитики'!$B$3099*'18_Календарь_тарифы'!E4,0)</f>
        <v/>
      </c>
      <c r="F3842">
        <f>IF('01_Вводные'!$B$234="Да",'19_Расчет_аналитики'!$B$3099*'18_Календарь_тарифы'!F4,0)</f>
        <v/>
      </c>
      <c r="G3842">
        <f>IF('01_Вводные'!$B$234="Да",'19_Расчет_аналитики'!$B$3099*'18_Календарь_тарифы'!G4,0)</f>
        <v/>
      </c>
      <c r="H3842">
        <f>IF('01_Вводные'!$B$234="Да",'19_Расчет_аналитики'!$B$3099*'18_Календарь_тарифы'!H4,0)</f>
        <v/>
      </c>
      <c r="I3842">
        <f>IF('01_Вводные'!$B$234="Да",'19_Расчет_аналитики'!$B$3099*'18_Календарь_тарифы'!I4,0)</f>
        <v/>
      </c>
      <c r="J3842">
        <f>IF('01_Вводные'!$B$234="Да",'19_Расчет_аналитики'!$B$3099*'18_Календарь_тарифы'!J4,0)</f>
        <v/>
      </c>
      <c r="K3842">
        <f>IF('01_Вводные'!$B$234="Да",'19_Расчет_аналитики'!$B$3099*'18_Календарь_тарифы'!K4,0)</f>
        <v/>
      </c>
      <c r="L3842">
        <f>IF('01_Вводные'!$B$234="Да",'19_Расчет_аналитики'!$B$3099*'18_Календарь_тарифы'!L4,0)</f>
        <v/>
      </c>
      <c r="M3842">
        <f>IF('01_Вводные'!$B$234="Да",'19_Расчет_аналитики'!$B$3099*'18_Календарь_тарифы'!M4,0)</f>
        <v/>
      </c>
      <c r="N3842">
        <f>IF('01_Вводные'!$B$234="Да",'19_Расчет_аналитики'!$B$3099*'18_Календарь_тарифы'!N4,0)</f>
        <v/>
      </c>
      <c r="O3842">
        <f>IF('01_Вводные'!$B$234="Да",'19_Расчет_аналитики'!$B$3099*'18_Календарь_тарифы'!O4,0)</f>
        <v/>
      </c>
      <c r="P3842">
        <f>IF('01_Вводные'!$B$234="Да",'19_Расчет_аналитики'!$B$3099*'18_Календарь_тарифы'!P4,0)</f>
        <v/>
      </c>
      <c r="Q3842">
        <f>IF('01_Вводные'!$B$234="Да",'19_Расчет_аналитики'!$B$3099*'18_Календарь_тарифы'!Q4,0)</f>
        <v/>
      </c>
      <c r="R3842">
        <f>IF('01_Вводные'!$B$234="Да",'19_Расчет_аналитики'!$B$3099*'18_Календарь_тарифы'!R4,0)</f>
        <v/>
      </c>
      <c r="S3842">
        <f>IF('01_Вводные'!$B$234="Да",'19_Расчет_аналитики'!$B$3099*'18_Календарь_тарифы'!S4,0)</f>
        <v/>
      </c>
      <c r="T3842">
        <f>IF('01_Вводные'!$B$234="Да",'19_Расчет_аналитики'!$B$3099*'18_Календарь_тарифы'!T4,0)</f>
        <v/>
      </c>
      <c r="U3842">
        <f>IF('01_Вводные'!$B$234="Да",'19_Расчет_аналитики'!$B$3099*'18_Календарь_тарифы'!U4,0)</f>
        <v/>
      </c>
      <c r="V3842">
        <f>IF('01_Вводные'!$B$234="Да",'19_Расчет_аналитики'!$B$3099*'18_Календарь_тарифы'!V4,0)</f>
        <v/>
      </c>
      <c r="W3842">
        <f>IF('01_Вводные'!$B$234="Да",'19_Расчет_аналитики'!$B$3099*'18_Календарь_тарифы'!W4,0)</f>
        <v/>
      </c>
      <c r="X3842">
        <f>IF('01_Вводные'!$B$234="Да",'19_Расчет_аналитики'!$B$3099*'18_Календарь_тарифы'!X4,0)</f>
        <v/>
      </c>
      <c r="Y3842">
        <f>IF('01_Вводные'!$B$234="Да",'19_Расчет_аналитики'!$B$3099*'18_Календарь_тарифы'!Y4,0)</f>
        <v/>
      </c>
      <c r="Z3842">
        <f>IF('01_Вводные'!$B$234="Да",'19_Расчет_аналитики'!$B$3099*'18_Календарь_тарифы'!Z4,0)</f>
        <v/>
      </c>
      <c r="AA3842">
        <f>IF('01_Вводные'!$B$234="Да",'19_Расчет_аналитики'!$B$3099*'18_Календарь_тарифы'!AA4,0)</f>
        <v/>
      </c>
      <c r="AB3842">
        <f>IF('01_Вводные'!$B$234="Да",'19_Расчет_аналитики'!$B$3099*'18_Календарь_тарифы'!AB4,0)</f>
        <v/>
      </c>
      <c r="AC3842">
        <f>IF('01_Вводные'!$B$234="Да",'19_Расчет_аналитики'!$B$3099*'18_Календарь_тарифы'!AC4,0)</f>
        <v/>
      </c>
      <c r="AD3842">
        <f>IF('01_Вводные'!$B$234="Да",'19_Расчет_аналитики'!$B$3099*'18_Календарь_тарифы'!AD4,0)</f>
        <v/>
      </c>
      <c r="AE3842">
        <f>IF('01_Вводные'!$B$234="Да",'19_Расчет_аналитики'!$B$3099*'18_Календарь_тарифы'!AE4,0)</f>
        <v/>
      </c>
      <c r="AF3842">
        <f>IF('01_Вводные'!$B$234="Да",'19_Расчет_аналитики'!$B$3099*'18_Календарь_тарифы'!AF4,0)</f>
        <v/>
      </c>
      <c r="AG3842">
        <f>IF('01_Вводные'!$B$234="Да",'19_Расчет_аналитики'!$B$3099*'18_Календарь_тарифы'!AG4,0)</f>
        <v/>
      </c>
      <c r="AH3842">
        <f>IF('01_Вводные'!$B$234="Да",'19_Расчет_аналитики'!$B$3099*'18_Календарь_тарифы'!AH4,0)</f>
        <v/>
      </c>
      <c r="AI3842">
        <f>IF('01_Вводные'!$B$234="Да",'19_Расчет_аналитики'!$B$3099*'18_Календарь_тарифы'!AI4,0)</f>
        <v/>
      </c>
      <c r="AJ3842">
        <f>IF('01_Вводные'!$B$234="Да",'19_Расчет_аналитики'!$B$3099*'18_Календарь_тарифы'!AJ4,0)</f>
        <v/>
      </c>
      <c r="AK3842">
        <f>IF('01_Вводные'!$B$234="Да",'19_Расчет_аналитики'!$B$3099*'18_Календарь_тарифы'!AK4,0)</f>
        <v/>
      </c>
      <c r="AL3842">
        <f>IF('01_Вводные'!$B$234="Да",'19_Расчет_аналитики'!$B$3099*'18_Календарь_тарифы'!AL4,0)</f>
        <v/>
      </c>
      <c r="AM3842">
        <f>IF('01_Вводные'!$B$234="Да",'19_Расчет_аналитики'!$B$3099*'18_Календарь_тарифы'!AM4,0)</f>
        <v/>
      </c>
      <c r="AN3842">
        <f>IF('01_Вводные'!$B$234="Да",'19_Расчет_аналитики'!$B$3099*'18_Календарь_тарифы'!AN4,0)</f>
        <v/>
      </c>
      <c r="AO3842">
        <f>IF('01_Вводные'!$B$234="Да",'19_Расчет_аналитики'!$B$3099*'18_Календарь_тарифы'!AO4,0)</f>
        <v/>
      </c>
      <c r="AP3842">
        <f>IF('01_Вводные'!$B$234="Да",'19_Расчет_аналитики'!$B$3099*'18_Календарь_тарифы'!AP4,0)</f>
        <v/>
      </c>
      <c r="AQ3842">
        <f>IF('01_Вводные'!$B$234="Да",'19_Расчет_аналитики'!$B$3099*'18_Календарь_тарифы'!AQ4,0)</f>
        <v/>
      </c>
      <c r="AR3842">
        <f>IF('01_Вводные'!$B$234="Да",'19_Расчет_аналитики'!$B$3099*'18_Календарь_тарифы'!AR4,0)</f>
        <v/>
      </c>
      <c r="AS3842">
        <f>IF('01_Вводные'!$B$234="Да",'19_Расчет_аналитики'!$B$3099*'18_Календарь_тарифы'!AS4,0)</f>
        <v/>
      </c>
      <c r="AT3842">
        <f>IF('01_Вводные'!$B$234="Да",'19_Расчет_аналитики'!$B$3099*'18_Календарь_тарифы'!AT4,0)</f>
        <v/>
      </c>
      <c r="AU3842">
        <f>IF('01_Вводные'!$B$234="Да",'19_Расчет_аналитики'!$B$3099*'18_Календарь_тарифы'!AU4,0)</f>
        <v/>
      </c>
      <c r="AV3842">
        <f>IF('01_Вводные'!$B$234="Да",'19_Расчет_аналитики'!$B$3099*'18_Календарь_тарифы'!AV4,0)</f>
        <v/>
      </c>
      <c r="AW3842">
        <f>IF('01_Вводные'!$B$234="Да",'19_Расчет_аналитики'!$B$3099*'18_Календарь_тарифы'!AW4,0)</f>
        <v/>
      </c>
      <c r="AX3842">
        <f>IF('01_Вводные'!$B$234="Да",'19_Расчет_аналитики'!$B$3099*'18_Календарь_тарифы'!AX4,0)</f>
        <v/>
      </c>
      <c r="AY3842">
        <f>IF('01_Вводные'!$B$234="Да",'19_Расчет_аналитики'!$B$3099*'18_Календарь_тарифы'!AY4,0)</f>
        <v/>
      </c>
      <c r="AZ3842">
        <f>IF('01_Вводные'!$B$234="Да",'19_Расчет_аналитики'!$B$3099*'18_Календарь_тарифы'!AZ4,0)</f>
        <v/>
      </c>
      <c r="BA3842">
        <f>IF('01_Вводные'!$B$234="Да",'19_Расчет_аналитики'!$B$3099*'18_Календарь_тарифы'!BA4,0)</f>
        <v/>
      </c>
      <c r="BB3842">
        <f>IF('01_Вводные'!$B$234="Да",'19_Расчет_аналитики'!$B$3099*'18_Календарь_тарифы'!BB4,0)</f>
        <v/>
      </c>
      <c r="BC3842">
        <f>IF('01_Вводные'!$B$234="Да",'19_Расчет_аналитики'!$B$3099*'18_Календарь_тарифы'!BC4,0)</f>
        <v/>
      </c>
      <c r="BD3842">
        <f>IF('01_Вводные'!$B$234="Да",'19_Расчет_аналитики'!$B$3099*'18_Календарь_тарифы'!BD4,0)</f>
        <v/>
      </c>
      <c r="BE3842">
        <f>IF('01_Вводные'!$B$234="Да",'19_Расчет_аналитики'!$B$3099*'18_Календарь_тарифы'!BE4,0)</f>
        <v/>
      </c>
      <c r="BF3842">
        <f>IF('01_Вводные'!$B$234="Да",'19_Расчет_аналитики'!$B$3099*'18_Календарь_тарифы'!BF4,0)</f>
        <v/>
      </c>
      <c r="BG3842">
        <f>IF('01_Вводные'!$B$234="Да",'19_Расчет_аналитики'!$B$3099*'18_Календарь_тарифы'!BG4,0)</f>
        <v/>
      </c>
      <c r="BH3842">
        <f>IF('01_Вводные'!$B$234="Да",'19_Расчет_аналитики'!$B$3099*'18_Календарь_тарифы'!BH4,0)</f>
        <v/>
      </c>
      <c r="BI3842">
        <f>IF('01_Вводные'!$B$234="Да",'19_Расчет_аналитики'!$B$3099*'18_Календарь_тарифы'!BI4,0)</f>
        <v/>
      </c>
      <c r="BJ3842">
        <f>IF('01_Вводные'!$B$234="Да",'19_Расчет_аналитики'!$B$3099*'18_Календарь_тарифы'!BJ4,0)</f>
        <v/>
      </c>
      <c r="BK3842">
        <f>IF('01_Вводные'!$B$234="Да",'19_Расчет_аналитики'!$B$3099*'18_Календарь_тарифы'!BK4,0)</f>
        <v/>
      </c>
      <c r="BL3842">
        <f>IF('01_Вводные'!$B$234="Да",'19_Расчет_аналитики'!$B$3099*'18_Календарь_тарифы'!BL4,0)</f>
        <v/>
      </c>
      <c r="BM3842">
        <f>IF('01_Вводные'!$B$234="Да",'19_Расчет_аналитики'!$B$3099*'18_Календарь_тарифы'!BM4,0)</f>
        <v/>
      </c>
      <c r="BN3842">
        <f>IF('01_Вводные'!$B$234="Да",'19_Расчет_аналитики'!$B$3099*'18_Календарь_тарифы'!BN4,0)</f>
        <v/>
      </c>
      <c r="BO3842">
        <f>IF('01_Вводные'!$B$234="Да",'19_Расчет_аналитики'!$B$3099*'18_Календарь_тарифы'!BO4,0)</f>
        <v/>
      </c>
    </row>
    <row r="3843"/>
    <row r="3844"/>
    <row r="3845">
      <c r="B3845">
        <f>IF('01_Вводные'!$B$234="Да",'19_Расчет_аналитики'!$B$3074*'18_Календарь_тарифы'!B4,0)</f>
        <v/>
      </c>
      <c r="C3845">
        <f>IF('01_Вводные'!$B$234="Да",'19_Расчет_аналитики'!$B$3074*'18_Календарь_тарифы'!C4,0)</f>
        <v/>
      </c>
      <c r="D3845">
        <f>IF('01_Вводные'!$B$234="Да",'19_Расчет_аналитики'!$B$3074*'18_Календарь_тарифы'!D4,0)</f>
        <v/>
      </c>
      <c r="E3845">
        <f>IF('01_Вводные'!$B$234="Да",'19_Расчет_аналитики'!$B$3074*'18_Календарь_тарифы'!E4,0)</f>
        <v/>
      </c>
      <c r="F3845">
        <f>IF('01_Вводные'!$B$234="Да",'19_Расчет_аналитики'!$B$3074*'18_Календарь_тарифы'!F4,0)</f>
        <v/>
      </c>
      <c r="G3845">
        <f>IF('01_Вводные'!$B$234="Да",'19_Расчет_аналитики'!$B$3074*'18_Календарь_тарифы'!G4,0)</f>
        <v/>
      </c>
      <c r="H3845">
        <f>IF('01_Вводные'!$B$234="Да",'19_Расчет_аналитики'!$B$3074*'18_Календарь_тарифы'!H4,0)</f>
        <v/>
      </c>
      <c r="I3845">
        <f>IF('01_Вводные'!$B$234="Да",'19_Расчет_аналитики'!$B$3074*'18_Календарь_тарифы'!I4,0)</f>
        <v/>
      </c>
      <c r="J3845">
        <f>IF('01_Вводные'!$B$234="Да",'19_Расчет_аналитики'!$B$3074*'18_Календарь_тарифы'!J4,0)</f>
        <v/>
      </c>
      <c r="K3845">
        <f>IF('01_Вводные'!$B$234="Да",'19_Расчет_аналитики'!$B$3074*'18_Календарь_тарифы'!K4,0)</f>
        <v/>
      </c>
      <c r="L3845">
        <f>IF('01_Вводные'!$B$234="Да",'19_Расчет_аналитики'!$B$3074*'18_Календарь_тарифы'!L4,0)</f>
        <v/>
      </c>
      <c r="M3845">
        <f>IF('01_Вводные'!$B$234="Да",'19_Расчет_аналитики'!$B$3074*'18_Календарь_тарифы'!M4,0)</f>
        <v/>
      </c>
      <c r="N3845">
        <f>IF('01_Вводные'!$B$234="Да",'19_Расчет_аналитики'!$B$3074*'18_Календарь_тарифы'!N4,0)</f>
        <v/>
      </c>
      <c r="O3845">
        <f>IF('01_Вводные'!$B$234="Да",'19_Расчет_аналитики'!$B$3074*'18_Календарь_тарифы'!O4,0)</f>
        <v/>
      </c>
      <c r="P3845">
        <f>IF('01_Вводные'!$B$234="Да",'19_Расчет_аналитики'!$B$3074*'18_Календарь_тарифы'!P4,0)</f>
        <v/>
      </c>
      <c r="Q3845">
        <f>IF('01_Вводные'!$B$234="Да",'19_Расчет_аналитики'!$B$3074*'18_Календарь_тарифы'!Q4,0)</f>
        <v/>
      </c>
      <c r="R3845">
        <f>IF('01_Вводные'!$B$234="Да",'19_Расчет_аналитики'!$B$3074*'18_Календарь_тарифы'!R4,0)</f>
        <v/>
      </c>
      <c r="S3845">
        <f>IF('01_Вводные'!$B$234="Да",'19_Расчет_аналитики'!$B$3074*'18_Календарь_тарифы'!S4,0)</f>
        <v/>
      </c>
      <c r="T3845">
        <f>IF('01_Вводные'!$B$234="Да",'19_Расчет_аналитики'!$B$3074*'18_Календарь_тарифы'!T4,0)</f>
        <v/>
      </c>
      <c r="U3845">
        <f>IF('01_Вводные'!$B$234="Да",'19_Расчет_аналитики'!$B$3074*'18_Календарь_тарифы'!U4,0)</f>
        <v/>
      </c>
      <c r="V3845">
        <f>IF('01_Вводные'!$B$234="Да",'19_Расчет_аналитики'!$B$3074*'18_Календарь_тарифы'!V4,0)</f>
        <v/>
      </c>
      <c r="W3845">
        <f>IF('01_Вводные'!$B$234="Да",'19_Расчет_аналитики'!$B$3074*'18_Календарь_тарифы'!W4,0)</f>
        <v/>
      </c>
      <c r="X3845">
        <f>IF('01_Вводные'!$B$234="Да",'19_Расчет_аналитики'!$B$3074*'18_Календарь_тарифы'!X4,0)</f>
        <v/>
      </c>
      <c r="Y3845">
        <f>IF('01_Вводные'!$B$234="Да",'19_Расчет_аналитики'!$B$3074*'18_Календарь_тарифы'!Y4,0)</f>
        <v/>
      </c>
      <c r="Z3845">
        <f>IF('01_Вводные'!$B$234="Да",'19_Расчет_аналитики'!$B$3074*'18_Календарь_тарифы'!Z4,0)</f>
        <v/>
      </c>
      <c r="AA3845">
        <f>IF('01_Вводные'!$B$234="Да",'19_Расчет_аналитики'!$B$3074*'18_Календарь_тарифы'!AA4,0)</f>
        <v/>
      </c>
      <c r="AB3845">
        <f>IF('01_Вводные'!$B$234="Да",'19_Расчет_аналитики'!$B$3074*'18_Календарь_тарифы'!AB4,0)</f>
        <v/>
      </c>
      <c r="AC3845">
        <f>IF('01_Вводные'!$B$234="Да",'19_Расчет_аналитики'!$B$3074*'18_Календарь_тарифы'!AC4,0)</f>
        <v/>
      </c>
      <c r="AD3845">
        <f>IF('01_Вводные'!$B$234="Да",'19_Расчет_аналитики'!$B$3074*'18_Календарь_тарифы'!AD4,0)</f>
        <v/>
      </c>
      <c r="AE3845">
        <f>IF('01_Вводные'!$B$234="Да",'19_Расчет_аналитики'!$B$3074*'18_Календарь_тарифы'!AE4,0)</f>
        <v/>
      </c>
      <c r="AF3845">
        <f>IF('01_Вводные'!$B$234="Да",'19_Расчет_аналитики'!$B$3074*'18_Календарь_тарифы'!AF4,0)</f>
        <v/>
      </c>
      <c r="AG3845">
        <f>IF('01_Вводные'!$B$234="Да",'19_Расчет_аналитики'!$B$3074*'18_Календарь_тарифы'!AG4,0)</f>
        <v/>
      </c>
      <c r="AH3845">
        <f>IF('01_Вводные'!$B$234="Да",'19_Расчет_аналитики'!$B$3074*'18_Календарь_тарифы'!AH4,0)</f>
        <v/>
      </c>
      <c r="AI3845">
        <f>IF('01_Вводные'!$B$234="Да",'19_Расчет_аналитики'!$B$3074*'18_Календарь_тарифы'!AI4,0)</f>
        <v/>
      </c>
      <c r="AJ3845">
        <f>IF('01_Вводные'!$B$234="Да",'19_Расчет_аналитики'!$B$3074*'18_Календарь_тарифы'!AJ4,0)</f>
        <v/>
      </c>
      <c r="AK3845">
        <f>IF('01_Вводные'!$B$234="Да",'19_Расчет_аналитики'!$B$3074*'18_Календарь_тарифы'!AK4,0)</f>
        <v/>
      </c>
      <c r="AL3845">
        <f>IF('01_Вводные'!$B$234="Да",'19_Расчет_аналитики'!$B$3074*'18_Календарь_тарифы'!AL4,0)</f>
        <v/>
      </c>
      <c r="AM3845">
        <f>IF('01_Вводные'!$B$234="Да",'19_Расчет_аналитики'!$B$3074*'18_Календарь_тарифы'!AM4,0)</f>
        <v/>
      </c>
      <c r="AN3845">
        <f>IF('01_Вводные'!$B$234="Да",'19_Расчет_аналитики'!$B$3074*'18_Календарь_тарифы'!AN4,0)</f>
        <v/>
      </c>
      <c r="AO3845">
        <f>IF('01_Вводные'!$B$234="Да",'19_Расчет_аналитики'!$B$3074*'18_Календарь_тарифы'!AO4,0)</f>
        <v/>
      </c>
      <c r="AP3845">
        <f>IF('01_Вводные'!$B$234="Да",'19_Расчет_аналитики'!$B$3074*'18_Календарь_тарифы'!AP4,0)</f>
        <v/>
      </c>
      <c r="AQ3845">
        <f>IF('01_Вводные'!$B$234="Да",'19_Расчет_аналитики'!$B$3074*'18_Календарь_тарифы'!AQ4,0)</f>
        <v/>
      </c>
      <c r="AR3845">
        <f>IF('01_Вводные'!$B$234="Да",'19_Расчет_аналитики'!$B$3074*'18_Календарь_тарифы'!AR4,0)</f>
        <v/>
      </c>
      <c r="AS3845">
        <f>IF('01_Вводные'!$B$234="Да",'19_Расчет_аналитики'!$B$3074*'18_Календарь_тарифы'!AS4,0)</f>
        <v/>
      </c>
      <c r="AT3845">
        <f>IF('01_Вводные'!$B$234="Да",'19_Расчет_аналитики'!$B$3074*'18_Календарь_тарифы'!AT4,0)</f>
        <v/>
      </c>
      <c r="AU3845">
        <f>IF('01_Вводные'!$B$234="Да",'19_Расчет_аналитики'!$B$3074*'18_Календарь_тарифы'!AU4,0)</f>
        <v/>
      </c>
      <c r="AV3845">
        <f>IF('01_Вводные'!$B$234="Да",'19_Расчет_аналитики'!$B$3074*'18_Календарь_тарифы'!AV4,0)</f>
        <v/>
      </c>
      <c r="AW3845">
        <f>IF('01_Вводные'!$B$234="Да",'19_Расчет_аналитики'!$B$3074*'18_Календарь_тарифы'!AW4,0)</f>
        <v/>
      </c>
      <c r="AX3845">
        <f>IF('01_Вводные'!$B$234="Да",'19_Расчет_аналитики'!$B$3074*'18_Календарь_тарифы'!AX4,0)</f>
        <v/>
      </c>
      <c r="AY3845">
        <f>IF('01_Вводные'!$B$234="Да",'19_Расчет_аналитики'!$B$3074*'18_Календарь_тарифы'!AY4,0)</f>
        <v/>
      </c>
      <c r="AZ3845">
        <f>IF('01_Вводные'!$B$234="Да",'19_Расчет_аналитики'!$B$3074*'18_Календарь_тарифы'!AZ4,0)</f>
        <v/>
      </c>
      <c r="BA3845">
        <f>IF('01_Вводные'!$B$234="Да",'19_Расчет_аналитики'!$B$3074*'18_Календарь_тарифы'!BA4,0)</f>
        <v/>
      </c>
      <c r="BB3845">
        <f>IF('01_Вводные'!$B$234="Да",'19_Расчет_аналитики'!$B$3074*'18_Календарь_тарифы'!BB4,0)</f>
        <v/>
      </c>
      <c r="BC3845">
        <f>IF('01_Вводные'!$B$234="Да",'19_Расчет_аналитики'!$B$3074*'18_Календарь_тарифы'!BC4,0)</f>
        <v/>
      </c>
      <c r="BD3845">
        <f>IF('01_Вводные'!$B$234="Да",'19_Расчет_аналитики'!$B$3074*'18_Календарь_тарифы'!BD4,0)</f>
        <v/>
      </c>
      <c r="BE3845">
        <f>IF('01_Вводные'!$B$234="Да",'19_Расчет_аналитики'!$B$3074*'18_Календарь_тарифы'!BE4,0)</f>
        <v/>
      </c>
      <c r="BF3845">
        <f>IF('01_Вводные'!$B$234="Да",'19_Расчет_аналитики'!$B$3074*'18_Календарь_тарифы'!BF4,0)</f>
        <v/>
      </c>
      <c r="BG3845">
        <f>IF('01_Вводные'!$B$234="Да",'19_Расчет_аналитики'!$B$3074*'18_Календарь_тарифы'!BG4,0)</f>
        <v/>
      </c>
      <c r="BH3845">
        <f>IF('01_Вводные'!$B$234="Да",'19_Расчет_аналитики'!$B$3074*'18_Календарь_тарифы'!BH4,0)</f>
        <v/>
      </c>
      <c r="BI3845">
        <f>IF('01_Вводные'!$B$234="Да",'19_Расчет_аналитики'!$B$3074*'18_Календарь_тарифы'!BI4,0)</f>
        <v/>
      </c>
      <c r="BJ3845">
        <f>IF('01_Вводные'!$B$234="Да",'19_Расчет_аналитики'!$B$3074*'18_Календарь_тарифы'!BJ4,0)</f>
        <v/>
      </c>
      <c r="BK3845">
        <f>IF('01_Вводные'!$B$234="Да",'19_Расчет_аналитики'!$B$3074*'18_Календарь_тарифы'!BK4,0)</f>
        <v/>
      </c>
      <c r="BL3845">
        <f>IF('01_Вводные'!$B$234="Да",'19_Расчет_аналитики'!$B$3074*'18_Календарь_тарифы'!BL4,0)</f>
        <v/>
      </c>
      <c r="BM3845">
        <f>IF('01_Вводные'!$B$234="Да",'19_Расчет_аналитики'!$B$3074*'18_Календарь_тарифы'!BM4,0)</f>
        <v/>
      </c>
      <c r="BN3845">
        <f>IF('01_Вводные'!$B$234="Да",'19_Расчет_аналитики'!$B$3074*'18_Календарь_тарифы'!BN4,0)</f>
        <v/>
      </c>
      <c r="BO3845">
        <f>IF('01_Вводные'!$B$234="Да",'19_Расчет_аналитики'!$B$3074*'18_Календарь_тарифы'!BO4,0)</f>
        <v/>
      </c>
    </row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>
      <c r="A4051" t="inlineStr">
        <is>
          <t>Sensitivity plus</t>
        </is>
      </c>
    </row>
    <row r="4052"/>
    <row r="4053">
      <c r="B4053">
        <f>IF('01_Вводные'!$B$257=1,1+'01_Вводные'!$B$258,1)</f>
        <v/>
      </c>
      <c r="C4053">
        <f>IF('01_Вводные'!$B$257=2,1+'01_Вводные'!$B$258,1)</f>
        <v/>
      </c>
      <c r="D4053">
        <f>IF('01_Вводные'!$B$257=3,1+'01_Вводные'!$B$258,1)</f>
        <v/>
      </c>
      <c r="E4053">
        <f>IF('01_Вводные'!$B$257=4,1+'01_Вводные'!$B$258,1)</f>
        <v/>
      </c>
      <c r="F4053">
        <f>IF('01_Вводные'!$B$257=5,1+'01_Вводные'!$B$258,1)</f>
        <v/>
      </c>
      <c r="G4053">
        <f>IF('01_Вводные'!$B$257=6,1+'01_Вводные'!$B$258,1)</f>
        <v/>
      </c>
    </row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>
      <c r="B4078">
        <f>'01_Вводные'!$B$225*'19_Расчет_аналитики'!$F$4263</f>
        <v/>
      </c>
    </row>
    <row r="4079"/>
    <row r="4080">
      <c r="B4080">
        <f>MAX(0,MIN(1,(30-'19_Расчет_аналитики'!B4078)/30))</f>
        <v/>
      </c>
    </row>
    <row r="4081"/>
    <row r="4082"/>
    <row r="4083"/>
    <row r="4084"/>
    <row r="4085"/>
    <row r="4086">
      <c r="B4086">
        <f>'01_Вводные'!$B$224*'19_Расчет_аналитики'!$F$4262</f>
        <v/>
      </c>
    </row>
    <row r="4087"/>
    <row r="4088"/>
    <row r="4089"/>
    <row r="4090"/>
    <row r="4091"/>
    <row r="4092"/>
    <row r="4093"/>
    <row r="4094"/>
    <row r="4095"/>
    <row r="4096">
      <c r="B4096">
        <f>'01_Вводные'!$B$210*'19_Расчет_аналитики'!$F$4258</f>
        <v/>
      </c>
    </row>
    <row r="4097">
      <c r="B4097">
        <f>'01_Вводные'!$B$211*'19_Расчет_аналитики'!$F$4258</f>
        <v/>
      </c>
    </row>
    <row r="4098">
      <c r="B4098">
        <f>'01_Вводные'!$B$212*'19_Расчет_аналитики'!$F$4258</f>
        <v/>
      </c>
    </row>
    <row r="4099">
      <c r="B4099">
        <f>'01_Вводные'!$B$213*'19_Расчет_аналитики'!$F$4258</f>
        <v/>
      </c>
    </row>
    <row r="4100">
      <c r="B4100">
        <f>'01_Вводные'!$B$214*'19_Расчет_аналитики'!$F$4258</f>
        <v/>
      </c>
    </row>
    <row r="4101"/>
    <row r="4102"/>
    <row r="4103"/>
    <row r="4104"/>
    <row r="4105"/>
    <row r="4106">
      <c r="B4106">
        <f>'01_Вводные'!$B$215*'19_Расчет_аналитики'!$F$4259</f>
        <v/>
      </c>
    </row>
    <row r="4107">
      <c r="B4107">
        <f>'01_Вводные'!$B$216*'19_Расчет_аналитики'!$F$4259</f>
        <v/>
      </c>
    </row>
    <row r="4108"/>
    <row r="4109"/>
    <row r="4110"/>
    <row r="4111">
      <c r="B4111">
        <f>'01_Вводные'!$B$217*'19_Расчет_аналитики'!$F$4260</f>
        <v/>
      </c>
    </row>
    <row r="4112"/>
    <row r="4113"/>
    <row r="4114"/>
    <row r="4115"/>
    <row r="4116"/>
    <row r="4117"/>
    <row r="4118"/>
    <row r="4119"/>
    <row r="4120"/>
    <row r="4121"/>
    <row r="4122"/>
    <row r="4123">
      <c r="C4123">
        <f>'01_Вводные'!$B$218*'19_Расчет_аналитики'!$F$4260</f>
        <v/>
      </c>
    </row>
    <row r="4124">
      <c r="C4124">
        <f>'01_Вводные'!$B$219*'19_Расчет_аналитики'!$F$4260</f>
        <v/>
      </c>
    </row>
    <row r="4125">
      <c r="C4125">
        <f>'01_Вводные'!$B$220*'19_Расчет_аналитики'!$F$4260</f>
        <v/>
      </c>
    </row>
    <row r="4126">
      <c r="C4126">
        <f>'01_Вводные'!$B$221*'19_Расчет_аналитики'!$F$4260</f>
        <v/>
      </c>
    </row>
    <row r="4127">
      <c r="C4127">
        <f>'01_Вводные'!$B$222*'19_Расчет_аналитики'!$F$4260</f>
        <v/>
      </c>
    </row>
    <row r="4128"/>
    <row r="4129"/>
    <row r="4130"/>
    <row r="4131"/>
    <row r="4132"/>
    <row r="4133"/>
    <row r="4134">
      <c r="B4134">
        <f>'01_Вводные'!$B$223*'19_Расчет_аналитики'!$F$4261</f>
        <v/>
      </c>
    </row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>
      <c r="F4258">
        <f>'19_Расчет_аналитики'!$B$4053</f>
        <v/>
      </c>
    </row>
    <row r="4259">
      <c r="F4259">
        <f>'19_Расчет_аналитики'!$C$4053</f>
        <v/>
      </c>
    </row>
    <row r="4260">
      <c r="F4260">
        <f>'19_Расчет_аналитики'!$D$4053</f>
        <v/>
      </c>
    </row>
    <row r="4261">
      <c r="F4261">
        <f>'19_Расчет_аналитики'!$E$4053</f>
        <v/>
      </c>
    </row>
    <row r="4262">
      <c r="F4262">
        <f>'19_Расчет_аналитики'!$F$4053</f>
        <v/>
      </c>
    </row>
    <row r="4263">
      <c r="F4263">
        <f>'19_Расчет_аналитики'!$G$4053</f>
        <v/>
      </c>
    </row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>
      <c r="B4376">
        <f>IF('01_Вводные'!$B$234="Да",'19_Расчет_аналитики'!B4096,0)</f>
        <v/>
      </c>
      <c r="D4376">
        <f>IF('01_Вводные'!$B$234="Да",SUM('19_Расчет_аналитики'!B4386:M4386),0)</f>
        <v/>
      </c>
      <c r="E4376">
        <f>IF('01_Вводные'!$B$234="Да",ROUND('19_Расчет_аналитики'!D4376-'19_Расчет_аналитики'!B4376,8),0)</f>
        <v/>
      </c>
    </row>
    <row r="4377">
      <c r="B4377">
        <f>IF('01_Вводные'!$B$234="Да",'19_Расчет_аналитики'!B4097,0)</f>
        <v/>
      </c>
      <c r="D4377">
        <f>IF('01_Вводные'!$B$234="Да",SUM('19_Расчет_аналитики'!N4386:Y4386),0)</f>
        <v/>
      </c>
      <c r="E4377">
        <f>IF('01_Вводные'!$B$234="Да",ROUND('19_Расчет_аналитики'!D4377-'19_Расчет_аналитики'!B4377,8),0)</f>
        <v/>
      </c>
    </row>
    <row r="4378">
      <c r="B4378">
        <f>IF('01_Вводные'!$B$234="Да",'19_Расчет_аналитики'!B4098,0)</f>
        <v/>
      </c>
      <c r="D4378">
        <f>IF('01_Вводные'!$B$234="Да",SUM('19_Расчет_аналитики'!Z4386:AK4386),0)</f>
        <v/>
      </c>
      <c r="E4378">
        <f>IF('01_Вводные'!$B$234="Да",ROUND('19_Расчет_аналитики'!D4378-'19_Расчет_аналитики'!B4378,8),0)</f>
        <v/>
      </c>
    </row>
    <row r="4379">
      <c r="B4379">
        <f>IF('01_Вводные'!$B$234="Да",'19_Расчет_аналитики'!B4099,0)</f>
        <v/>
      </c>
      <c r="D4379">
        <f>IF('01_Вводные'!$B$234="Да",SUM('19_Расчет_аналитики'!AL4386:AW4386),0)</f>
        <v/>
      </c>
      <c r="E4379">
        <f>IF('01_Вводные'!$B$234="Да",ROUND('19_Расчет_аналитики'!D4379-'19_Расчет_аналитики'!B4379,8),0)</f>
        <v/>
      </c>
    </row>
    <row r="4380">
      <c r="B4380">
        <f>IF('01_Вводные'!$B$234="Да",'19_Расчет_аналитики'!B4100,0)</f>
        <v/>
      </c>
      <c r="D4380">
        <f>IF('01_Вводные'!$B$234="Да",SUM('19_Расчет_аналитики'!AX4386:BI4386),0)</f>
        <v/>
      </c>
      <c r="E4380">
        <f>IF('01_Вводные'!$B$234="Да",ROUND('19_Расчет_аналитики'!D4380-'19_Расчет_аналитики'!B4380,8),0)</f>
        <v/>
      </c>
    </row>
    <row r="4381"/>
    <row r="4382"/>
    <row r="4383"/>
    <row r="4384"/>
    <row r="4385"/>
    <row r="4386">
      <c r="B4386">
        <f>0</f>
        <v/>
      </c>
      <c r="C4386">
        <f>IF('01_Вводные'!$B$234="Да",'19_Расчет_аналитики'!$B$4096*INDEX('01_Вводные'!$C$36:$N$36,1,MOD(MONTH('06_Сеть_и_дети'!C$3)-9,12)+1)/(SUM('01_Вводные'!$C$36:$N$36)-INDEX('01_Вводные'!$C$36:$N$36,1,MOD(MONTH('01_Вводные'!$B$7)-9,12)+1)),0)</f>
        <v/>
      </c>
      <c r="D4386">
        <f>IF('01_Вводные'!$B$234="Да",'19_Расчет_аналитики'!$B$4096*INDEX('01_Вводные'!$C$36:$N$36,1,MOD(MONTH('06_Сеть_и_дети'!D$3)-9,12)+1)/(SUM('01_Вводные'!$C$36:$N$36)-INDEX('01_Вводные'!$C$36:$N$36,1,MOD(MONTH('01_Вводные'!$B$7)-9,12)+1)),0)</f>
        <v/>
      </c>
      <c r="E4386">
        <f>IF('01_Вводные'!$B$234="Да",'19_Расчет_аналитики'!$B$4096*INDEX('01_Вводные'!$C$36:$N$36,1,MOD(MONTH('06_Сеть_и_дети'!E$3)-9,12)+1)/(SUM('01_Вводные'!$C$36:$N$36)-INDEX('01_Вводные'!$C$36:$N$36,1,MOD(MONTH('01_Вводные'!$B$7)-9,12)+1)),0)</f>
        <v/>
      </c>
      <c r="F4386">
        <f>IF('01_Вводные'!$B$234="Да",'19_Расчет_аналитики'!$B$4096*INDEX('01_Вводные'!$C$36:$N$36,1,MOD(MONTH('06_Сеть_и_дети'!F$3)-9,12)+1)/(SUM('01_Вводные'!$C$36:$N$36)-INDEX('01_Вводные'!$C$36:$N$36,1,MOD(MONTH('01_Вводные'!$B$7)-9,12)+1)),0)</f>
        <v/>
      </c>
      <c r="G4386">
        <f>IF('01_Вводные'!$B$234="Да",'19_Расчет_аналитики'!$B$4096*INDEX('01_Вводные'!$C$36:$N$36,1,MOD(MONTH('06_Сеть_и_дети'!G$3)-9,12)+1)/(SUM('01_Вводные'!$C$36:$N$36)-INDEX('01_Вводные'!$C$36:$N$36,1,MOD(MONTH('01_Вводные'!$B$7)-9,12)+1)),0)</f>
        <v/>
      </c>
      <c r="H4386">
        <f>IF('01_Вводные'!$B$234="Да",'19_Расчет_аналитики'!$B$4096*INDEX('01_Вводные'!$C$36:$N$36,1,MOD(MONTH('06_Сеть_и_дети'!H$3)-9,12)+1)/(SUM('01_Вводные'!$C$36:$N$36)-INDEX('01_Вводные'!$C$36:$N$36,1,MOD(MONTH('01_Вводные'!$B$7)-9,12)+1)),0)</f>
        <v/>
      </c>
      <c r="I4386">
        <f>IF('01_Вводные'!$B$234="Да",'19_Расчет_аналитики'!$B$4096*INDEX('01_Вводные'!$C$36:$N$36,1,MOD(MONTH('06_Сеть_и_дети'!I$3)-9,12)+1)/(SUM('01_Вводные'!$C$36:$N$36)-INDEX('01_Вводные'!$C$36:$N$36,1,MOD(MONTH('01_Вводные'!$B$7)-9,12)+1)),0)</f>
        <v/>
      </c>
      <c r="J4386">
        <f>IF('01_Вводные'!$B$234="Да",'19_Расчет_аналитики'!$B$4096*INDEX('01_Вводные'!$C$36:$N$36,1,MOD(MONTH('06_Сеть_и_дети'!J$3)-9,12)+1)/(SUM('01_Вводные'!$C$36:$N$36)-INDEX('01_Вводные'!$C$36:$N$36,1,MOD(MONTH('01_Вводные'!$B$7)-9,12)+1)),0)</f>
        <v/>
      </c>
      <c r="K4386">
        <f>IF('01_Вводные'!$B$234="Да",'19_Расчет_аналитики'!$B$4096*INDEX('01_Вводные'!$C$36:$N$36,1,MOD(MONTH('06_Сеть_и_дети'!K$3)-9,12)+1)/(SUM('01_Вводные'!$C$36:$N$36)-INDEX('01_Вводные'!$C$36:$N$36,1,MOD(MONTH('01_Вводные'!$B$7)-9,12)+1)),0)</f>
        <v/>
      </c>
      <c r="L4386">
        <f>IF('01_Вводные'!$B$234="Да",'19_Расчет_аналитики'!$B$4096*INDEX('01_Вводные'!$C$36:$N$36,1,MOD(MONTH('06_Сеть_и_дети'!L$3)-9,12)+1)/(SUM('01_Вводные'!$C$36:$N$36)-INDEX('01_Вводные'!$C$36:$N$36,1,MOD(MONTH('01_Вводные'!$B$7)-9,12)+1)),0)</f>
        <v/>
      </c>
      <c r="M4386">
        <f>IF('01_Вводные'!$B$234="Да",'19_Расчет_аналитики'!$B$4096*INDEX('01_Вводные'!$C$36:$N$36,1,MOD(MONTH('06_Сеть_и_дети'!M$3)-9,12)+1)/(SUM('01_Вводные'!$C$36:$N$36)-INDEX('01_Вводные'!$C$36:$N$36,1,MOD(MONTH('01_Вводные'!$B$7)-9,12)+1)),0)</f>
        <v/>
      </c>
      <c r="N4386">
        <f>IF('01_Вводные'!$B$234="Да",'19_Расчет_аналитики'!$B$4097*INDEX('01_Вводные'!$C$37:$N$37,1,MOD(MONTH('06_Сеть_и_дети'!N$3)-9,12)+1)/SUM('01_Вводные'!$C$37:$N$37),0)</f>
        <v/>
      </c>
      <c r="O4386">
        <f>IF('01_Вводные'!$B$234="Да",'19_Расчет_аналитики'!$B$4097*INDEX('01_Вводные'!$C$37:$N$37,1,MOD(MONTH('06_Сеть_и_дети'!O$3)-9,12)+1)/SUM('01_Вводные'!$C$37:$N$37),0)</f>
        <v/>
      </c>
      <c r="P4386">
        <f>IF('01_Вводные'!$B$234="Да",'19_Расчет_аналитики'!$B$4097*INDEX('01_Вводные'!$C$37:$N$37,1,MOD(MONTH('06_Сеть_и_дети'!P$3)-9,12)+1)/SUM('01_Вводные'!$C$37:$N$37),0)</f>
        <v/>
      </c>
      <c r="Q4386">
        <f>IF('01_Вводные'!$B$234="Да",'19_Расчет_аналитики'!$B$4097*INDEX('01_Вводные'!$C$37:$N$37,1,MOD(MONTH('06_Сеть_и_дети'!Q$3)-9,12)+1)/SUM('01_Вводные'!$C$37:$N$37),0)</f>
        <v/>
      </c>
      <c r="R4386">
        <f>IF('01_Вводные'!$B$234="Да",'19_Расчет_аналитики'!$B$4097*INDEX('01_Вводные'!$C$37:$N$37,1,MOD(MONTH('06_Сеть_и_дети'!R$3)-9,12)+1)/SUM('01_Вводные'!$C$37:$N$37),0)</f>
        <v/>
      </c>
      <c r="S4386">
        <f>IF('01_Вводные'!$B$234="Да",'19_Расчет_аналитики'!$B$4097*INDEX('01_Вводные'!$C$37:$N$37,1,MOD(MONTH('06_Сеть_и_дети'!S$3)-9,12)+1)/SUM('01_Вводные'!$C$37:$N$37),0)</f>
        <v/>
      </c>
      <c r="T4386">
        <f>IF('01_Вводные'!$B$234="Да",'19_Расчет_аналитики'!$B$4097*INDEX('01_Вводные'!$C$37:$N$37,1,MOD(MONTH('06_Сеть_и_дети'!T$3)-9,12)+1)/SUM('01_Вводные'!$C$37:$N$37),0)</f>
        <v/>
      </c>
      <c r="U4386">
        <f>IF('01_Вводные'!$B$234="Да",'19_Расчет_аналитики'!$B$4097*INDEX('01_Вводные'!$C$37:$N$37,1,MOD(MONTH('06_Сеть_и_дети'!U$3)-9,12)+1)/SUM('01_Вводные'!$C$37:$N$37),0)</f>
        <v/>
      </c>
      <c r="V4386">
        <f>IF('01_Вводные'!$B$234="Да",'19_Расчет_аналитики'!$B$4097*INDEX('01_Вводные'!$C$37:$N$37,1,MOD(MONTH('06_Сеть_и_дети'!V$3)-9,12)+1)/SUM('01_Вводные'!$C$37:$N$37),0)</f>
        <v/>
      </c>
      <c r="W4386">
        <f>IF('01_Вводные'!$B$234="Да",'19_Расчет_аналитики'!$B$4097*INDEX('01_Вводные'!$C$37:$N$37,1,MOD(MONTH('06_Сеть_и_дети'!W$3)-9,12)+1)/SUM('01_Вводные'!$C$37:$N$37),0)</f>
        <v/>
      </c>
      <c r="X4386">
        <f>IF('01_Вводные'!$B$234="Да",'19_Расчет_аналитики'!$B$4097*INDEX('01_Вводные'!$C$37:$N$37,1,MOD(MONTH('06_Сеть_и_дети'!X$3)-9,12)+1)/SUM('01_Вводные'!$C$37:$N$37),0)</f>
        <v/>
      </c>
      <c r="Y4386">
        <f>IF('01_Вводные'!$B$234="Да",'19_Расчет_аналитики'!$B$4097*INDEX('01_Вводные'!$C$37:$N$37,1,MOD(MONTH('06_Сеть_и_дети'!Y$3)-9,12)+1)/SUM('01_Вводные'!$C$37:$N$37),0)</f>
        <v/>
      </c>
      <c r="Z4386">
        <f>IF('01_Вводные'!$B$234="Да",'19_Расчет_аналитики'!$B$4098*INDEX('01_Вводные'!$C$38:$N$38,1,MOD(MONTH('06_Сеть_и_дети'!Z$3)-9,12)+1)/SUM('01_Вводные'!$C$38:$N$38),0)</f>
        <v/>
      </c>
      <c r="AA4386">
        <f>IF('01_Вводные'!$B$234="Да",'19_Расчет_аналитики'!$B$4098*INDEX('01_Вводные'!$C$38:$N$38,1,MOD(MONTH('06_Сеть_и_дети'!AA$3)-9,12)+1)/SUM('01_Вводные'!$C$38:$N$38),0)</f>
        <v/>
      </c>
      <c r="AB4386">
        <f>IF('01_Вводные'!$B$234="Да",'19_Расчет_аналитики'!$B$4098*INDEX('01_Вводные'!$C$38:$N$38,1,MOD(MONTH('06_Сеть_и_дети'!AB$3)-9,12)+1)/SUM('01_Вводные'!$C$38:$N$38),0)</f>
        <v/>
      </c>
      <c r="AC4386">
        <f>IF('01_Вводные'!$B$234="Да",'19_Расчет_аналитики'!$B$4098*INDEX('01_Вводные'!$C$38:$N$38,1,MOD(MONTH('06_Сеть_и_дети'!AC$3)-9,12)+1)/SUM('01_Вводные'!$C$38:$N$38),0)</f>
        <v/>
      </c>
      <c r="AD4386">
        <f>IF('01_Вводные'!$B$234="Да",'19_Расчет_аналитики'!$B$4098*INDEX('01_Вводные'!$C$38:$N$38,1,MOD(MONTH('06_Сеть_и_дети'!AD$3)-9,12)+1)/SUM('01_Вводные'!$C$38:$N$38),0)</f>
        <v/>
      </c>
      <c r="AE4386">
        <f>IF('01_Вводные'!$B$234="Да",'19_Расчет_аналитики'!$B$4098*INDEX('01_Вводные'!$C$38:$N$38,1,MOD(MONTH('06_Сеть_и_дети'!AE$3)-9,12)+1)/SUM('01_Вводные'!$C$38:$N$38),0)</f>
        <v/>
      </c>
      <c r="AF4386">
        <f>IF('01_Вводные'!$B$234="Да",'19_Расчет_аналитики'!$B$4098*INDEX('01_Вводные'!$C$38:$N$38,1,MOD(MONTH('06_Сеть_и_дети'!AF$3)-9,12)+1)/SUM('01_Вводные'!$C$38:$N$38),0)</f>
        <v/>
      </c>
      <c r="AG4386">
        <f>IF('01_Вводные'!$B$234="Да",'19_Расчет_аналитики'!$B$4098*INDEX('01_Вводные'!$C$38:$N$38,1,MOD(MONTH('06_Сеть_и_дети'!AG$3)-9,12)+1)/SUM('01_Вводные'!$C$38:$N$38),0)</f>
        <v/>
      </c>
      <c r="AH4386">
        <f>IF('01_Вводные'!$B$234="Да",'19_Расчет_аналитики'!$B$4098*INDEX('01_Вводные'!$C$38:$N$38,1,MOD(MONTH('06_Сеть_и_дети'!AH$3)-9,12)+1)/SUM('01_Вводные'!$C$38:$N$38),0)</f>
        <v/>
      </c>
      <c r="AI4386">
        <f>IF('01_Вводные'!$B$234="Да",'19_Расчет_аналитики'!$B$4098*INDEX('01_Вводные'!$C$38:$N$38,1,MOD(MONTH('06_Сеть_и_дети'!AI$3)-9,12)+1)/SUM('01_Вводные'!$C$38:$N$38),0)</f>
        <v/>
      </c>
      <c r="AJ4386">
        <f>IF('01_Вводные'!$B$234="Да",'19_Расчет_аналитики'!$B$4098*INDEX('01_Вводные'!$C$38:$N$38,1,MOD(MONTH('06_Сеть_и_дети'!AJ$3)-9,12)+1)/SUM('01_Вводные'!$C$38:$N$38),0)</f>
        <v/>
      </c>
      <c r="AK4386">
        <f>IF('01_Вводные'!$B$234="Да",'19_Расчет_аналитики'!$B$4098*INDEX('01_Вводные'!$C$38:$N$38,1,MOD(MONTH('06_Сеть_и_дети'!AK$3)-9,12)+1)/SUM('01_Вводные'!$C$38:$N$38),0)</f>
        <v/>
      </c>
      <c r="AL4386">
        <f>IF('01_Вводные'!$B$234="Да",'19_Расчет_аналитики'!$B$4099*INDEX('01_Вводные'!$C$39:$N$39,1,MOD(MONTH('06_Сеть_и_дети'!AL$3)-9,12)+1)/SUM('01_Вводные'!$C$39:$N$39),0)</f>
        <v/>
      </c>
      <c r="AM4386">
        <f>IF('01_Вводные'!$B$234="Да",'19_Расчет_аналитики'!$B$4099*INDEX('01_Вводные'!$C$39:$N$39,1,MOD(MONTH('06_Сеть_и_дети'!AM$3)-9,12)+1)/SUM('01_Вводные'!$C$39:$N$39),0)</f>
        <v/>
      </c>
      <c r="AN4386">
        <f>IF('01_Вводные'!$B$234="Да",'19_Расчет_аналитики'!$B$4099*INDEX('01_Вводные'!$C$39:$N$39,1,MOD(MONTH('06_Сеть_и_дети'!AN$3)-9,12)+1)/SUM('01_Вводные'!$C$39:$N$39),0)</f>
        <v/>
      </c>
      <c r="AO4386">
        <f>IF('01_Вводные'!$B$234="Да",'19_Расчет_аналитики'!$B$4099*INDEX('01_Вводные'!$C$39:$N$39,1,MOD(MONTH('06_Сеть_и_дети'!AO$3)-9,12)+1)/SUM('01_Вводные'!$C$39:$N$39),0)</f>
        <v/>
      </c>
      <c r="AP4386">
        <f>IF('01_Вводные'!$B$234="Да",'19_Расчет_аналитики'!$B$4099*INDEX('01_Вводные'!$C$39:$N$39,1,MOD(MONTH('06_Сеть_и_дети'!AP$3)-9,12)+1)/SUM('01_Вводные'!$C$39:$N$39),0)</f>
        <v/>
      </c>
      <c r="AQ4386">
        <f>IF('01_Вводные'!$B$234="Да",'19_Расчет_аналитики'!$B$4099*INDEX('01_Вводные'!$C$39:$N$39,1,MOD(MONTH('06_Сеть_и_дети'!AQ$3)-9,12)+1)/SUM('01_Вводные'!$C$39:$N$39),0)</f>
        <v/>
      </c>
      <c r="AR4386">
        <f>IF('01_Вводные'!$B$234="Да",'19_Расчет_аналитики'!$B$4099*INDEX('01_Вводные'!$C$39:$N$39,1,MOD(MONTH('06_Сеть_и_дети'!AR$3)-9,12)+1)/SUM('01_Вводные'!$C$39:$N$39),0)</f>
        <v/>
      </c>
      <c r="AS4386">
        <f>IF('01_Вводные'!$B$234="Да",'19_Расчет_аналитики'!$B$4099*INDEX('01_Вводные'!$C$39:$N$39,1,MOD(MONTH('06_Сеть_и_дети'!AS$3)-9,12)+1)/SUM('01_Вводные'!$C$39:$N$39),0)</f>
        <v/>
      </c>
      <c r="AT4386">
        <f>IF('01_Вводные'!$B$234="Да",'19_Расчет_аналитики'!$B$4099*INDEX('01_Вводные'!$C$39:$N$39,1,MOD(MONTH('06_Сеть_и_дети'!AT$3)-9,12)+1)/SUM('01_Вводные'!$C$39:$N$39),0)</f>
        <v/>
      </c>
      <c r="AU4386">
        <f>IF('01_Вводные'!$B$234="Да",'19_Расчет_аналитики'!$B$4099*INDEX('01_Вводные'!$C$39:$N$39,1,MOD(MONTH('06_Сеть_и_дети'!AU$3)-9,12)+1)/SUM('01_Вводные'!$C$39:$N$39),0)</f>
        <v/>
      </c>
      <c r="AV4386">
        <f>IF('01_Вводные'!$B$234="Да",'19_Расчет_аналитики'!$B$4099*INDEX('01_Вводные'!$C$39:$N$39,1,MOD(MONTH('06_Сеть_и_дети'!AV$3)-9,12)+1)/SUM('01_Вводные'!$C$39:$N$39),0)</f>
        <v/>
      </c>
      <c r="AW4386">
        <f>IF('01_Вводные'!$B$234="Да",'19_Расчет_аналитики'!$B$4099*INDEX('01_Вводные'!$C$39:$N$39,1,MOD(MONTH('06_Сеть_и_дети'!AW$3)-9,12)+1)/SUM('01_Вводные'!$C$39:$N$39),0)</f>
        <v/>
      </c>
      <c r="AX4386">
        <f>IF('01_Вводные'!$B$234="Да",'19_Расчет_аналитики'!$B$4100*INDEX('01_Вводные'!$C$40:$N$40,1,MOD(MONTH('06_Сеть_и_дети'!AX$3)-9,12)+1)/SUM('01_Вводные'!$C$40:$N$40),0)</f>
        <v/>
      </c>
      <c r="AY4386">
        <f>IF('01_Вводные'!$B$234="Да",'19_Расчет_аналитики'!$B$4100*INDEX('01_Вводные'!$C$40:$N$40,1,MOD(MONTH('06_Сеть_и_дети'!AY$3)-9,12)+1)/SUM('01_Вводные'!$C$40:$N$40),0)</f>
        <v/>
      </c>
      <c r="AZ4386">
        <f>IF('01_Вводные'!$B$234="Да",'19_Расчет_аналитики'!$B$4100*INDEX('01_Вводные'!$C$40:$N$40,1,MOD(MONTH('06_Сеть_и_дети'!AZ$3)-9,12)+1)/SUM('01_Вводные'!$C$40:$N$40),0)</f>
        <v/>
      </c>
      <c r="BA4386">
        <f>IF('01_Вводные'!$B$234="Да",'19_Расчет_аналитики'!$B$4100*INDEX('01_Вводные'!$C$40:$N$40,1,MOD(MONTH('06_Сеть_и_дети'!BA$3)-9,12)+1)/SUM('01_Вводные'!$C$40:$N$40),0)</f>
        <v/>
      </c>
      <c r="BB4386">
        <f>IF('01_Вводные'!$B$234="Да",'19_Расчет_аналитики'!$B$4100*INDEX('01_Вводные'!$C$40:$N$40,1,MOD(MONTH('06_Сеть_и_дети'!BB$3)-9,12)+1)/SUM('01_Вводные'!$C$40:$N$40),0)</f>
        <v/>
      </c>
      <c r="BC4386">
        <f>IF('01_Вводные'!$B$234="Да",'19_Расчет_аналитики'!$B$4100*INDEX('01_Вводные'!$C$40:$N$40,1,MOD(MONTH('06_Сеть_и_дети'!BC$3)-9,12)+1)/SUM('01_Вводные'!$C$40:$N$40),0)</f>
        <v/>
      </c>
      <c r="BD4386">
        <f>IF('01_Вводные'!$B$234="Да",'19_Расчет_аналитики'!$B$4100*INDEX('01_Вводные'!$C$40:$N$40,1,MOD(MONTH('06_Сеть_и_дети'!BD$3)-9,12)+1)/SUM('01_Вводные'!$C$40:$N$40),0)</f>
        <v/>
      </c>
      <c r="BE4386">
        <f>IF('01_Вводные'!$B$234="Да",'19_Расчет_аналитики'!$B$4100*INDEX('01_Вводные'!$C$40:$N$40,1,MOD(MONTH('06_Сеть_и_дети'!BE$3)-9,12)+1)/SUM('01_Вводные'!$C$40:$N$40),0)</f>
        <v/>
      </c>
      <c r="BF4386">
        <f>IF('01_Вводные'!$B$234="Да",'19_Расчет_аналитики'!$B$4100*INDEX('01_Вводные'!$C$40:$N$40,1,MOD(MONTH('06_Сеть_и_дети'!BF$3)-9,12)+1)/SUM('01_Вводные'!$C$40:$N$40),0)</f>
        <v/>
      </c>
      <c r="BG4386">
        <f>IF('01_Вводные'!$B$234="Да",'19_Расчет_аналитики'!$B$4100*INDEX('01_Вводные'!$C$40:$N$40,1,MOD(MONTH('06_Сеть_и_дети'!BG$3)-9,12)+1)/SUM('01_Вводные'!$C$40:$N$40),0)</f>
        <v/>
      </c>
      <c r="BH4386">
        <f>IF('01_Вводные'!$B$234="Да",'19_Расчет_аналитики'!$B$4100*INDEX('01_Вводные'!$C$40:$N$40,1,MOD(MONTH('06_Сеть_и_дети'!BH$3)-9,12)+1)/SUM('01_Вводные'!$C$40:$N$40),0)</f>
        <v/>
      </c>
      <c r="BI4386">
        <f>IF('01_Вводные'!$B$234="Да",'19_Расчет_аналитики'!$B$4100*INDEX('01_Вводные'!$C$40:$N$40,1,MOD(MONTH('06_Сеть_и_дети'!BI$3)-9,12)+1)/SUM('01_Вводные'!$C$40:$N$40),0)</f>
        <v/>
      </c>
    </row>
    <row r="4387">
      <c r="A4387" t="inlineStr">
        <is>
          <t>Минимальный запас для возврата займа</t>
        </is>
      </c>
      <c r="B4387">
        <f>SUM(IF('01_Вводные'!$B$310&gt;=1,'19_Расчет_аналитики'!C4665,0),IF('01_Вводные'!$B$310&gt;=2,'19_Расчет_аналитики'!D4665,0),IF('01_Вводные'!$B$310&gt;=3,'19_Расчет_аналитики'!E4665,0),IF('01_Вводные'!$B$310&gt;=4,'19_Расчет_аналитики'!F4665,0),IF('01_Вводные'!$B$310&gt;=5,'19_Расчет_аналитики'!G4665,0),IF('01_Вводные'!$B$310&gt;=6,'19_Расчет_аналитики'!H4665,0))</f>
        <v/>
      </c>
      <c r="C4387">
        <f>SUM(IF('01_Вводные'!$B$310&gt;=1,'19_Расчет_аналитики'!D4665,0),IF('01_Вводные'!$B$310&gt;=2,'19_Расчет_аналитики'!E4665,0),IF('01_Вводные'!$B$310&gt;=3,'19_Расчет_аналитики'!F4665,0),IF('01_Вводные'!$B$310&gt;=4,'19_Расчет_аналитики'!G4665,0),IF('01_Вводные'!$B$310&gt;=5,'19_Расчет_аналитики'!H4665,0),IF('01_Вводные'!$B$310&gt;=6,'19_Расчет_аналитики'!I4665,0))</f>
        <v/>
      </c>
      <c r="D4387">
        <f>SUM(IF('01_Вводные'!$B$310&gt;=1,'19_Расчет_аналитики'!E4665,0),IF('01_Вводные'!$B$310&gt;=2,'19_Расчет_аналитики'!F4665,0),IF('01_Вводные'!$B$310&gt;=3,'19_Расчет_аналитики'!G4665,0),IF('01_Вводные'!$B$310&gt;=4,'19_Расчет_аналитики'!H4665,0),IF('01_Вводные'!$B$310&gt;=5,'19_Расчет_аналитики'!I4665,0),IF('01_Вводные'!$B$310&gt;=6,'19_Расчет_аналитики'!J4665,0))</f>
        <v/>
      </c>
      <c r="E4387">
        <f>SUM(IF('01_Вводные'!$B$310&gt;=1,'19_Расчет_аналитики'!F4665,0),IF('01_Вводные'!$B$310&gt;=2,'19_Расчет_аналитики'!G4665,0),IF('01_Вводные'!$B$310&gt;=3,'19_Расчет_аналитики'!H4665,0),IF('01_Вводные'!$B$310&gt;=4,'19_Расчет_аналитики'!I4665,0),IF('01_Вводные'!$B$310&gt;=5,'19_Расчет_аналитики'!J4665,0),IF('01_Вводные'!$B$310&gt;=6,'19_Расчет_аналитики'!K4665,0))</f>
        <v/>
      </c>
      <c r="F4387">
        <f>SUM(IF('01_Вводные'!$B$310&gt;=1,'19_Расчет_аналитики'!G4665,0),IF('01_Вводные'!$B$310&gt;=2,'19_Расчет_аналитики'!H4665,0),IF('01_Вводные'!$B$310&gt;=3,'19_Расчет_аналитики'!I4665,0),IF('01_Вводные'!$B$310&gt;=4,'19_Расчет_аналитики'!J4665,0),IF('01_Вводные'!$B$310&gt;=5,'19_Расчет_аналитики'!K4665,0),IF('01_Вводные'!$B$310&gt;=6,'19_Расчет_аналитики'!L4665,0))</f>
        <v/>
      </c>
      <c r="G4387">
        <f>SUM(IF('01_Вводные'!$B$310&gt;=1,'19_Расчет_аналитики'!H4665,0),IF('01_Вводные'!$B$310&gt;=2,'19_Расчет_аналитики'!I4665,0),IF('01_Вводные'!$B$310&gt;=3,'19_Расчет_аналитики'!J4665,0),IF('01_Вводные'!$B$310&gt;=4,'19_Расчет_аналитики'!K4665,0),IF('01_Вводные'!$B$310&gt;=5,'19_Расчет_аналитики'!L4665,0),IF('01_Вводные'!$B$310&gt;=6,'19_Расчет_аналитики'!M4665,0))</f>
        <v/>
      </c>
      <c r="H4387">
        <f>SUM(IF('01_Вводные'!$B$310&gt;=1,'19_Расчет_аналитики'!I4665,0),IF('01_Вводные'!$B$310&gt;=2,'19_Расчет_аналитики'!J4665,0),IF('01_Вводные'!$B$310&gt;=3,'19_Расчет_аналитики'!K4665,0),IF('01_Вводные'!$B$310&gt;=4,'19_Расчет_аналитики'!L4665,0),IF('01_Вводные'!$B$310&gt;=5,'19_Расчет_аналитики'!M4665,0),IF('01_Вводные'!$B$310&gt;=6,'19_Расчет_аналитики'!N4665,0))</f>
        <v/>
      </c>
      <c r="I4387">
        <f>SUM(IF('01_Вводные'!$B$310&gt;=1,'19_Расчет_аналитики'!J4665,0),IF('01_Вводные'!$B$310&gt;=2,'19_Расчет_аналитики'!K4665,0),IF('01_Вводные'!$B$310&gt;=3,'19_Расчет_аналитики'!L4665,0),IF('01_Вводные'!$B$310&gt;=4,'19_Расчет_аналитики'!M4665,0),IF('01_Вводные'!$B$310&gt;=5,'19_Расчет_аналитики'!N4665,0),IF('01_Вводные'!$B$310&gt;=6,'19_Расчет_аналитики'!O4665,0))</f>
        <v/>
      </c>
      <c r="J4387">
        <f>SUM(IF('01_Вводные'!$B$310&gt;=1,'19_Расчет_аналитики'!K4665,0),IF('01_Вводные'!$B$310&gt;=2,'19_Расчет_аналитики'!L4665,0),IF('01_Вводные'!$B$310&gt;=3,'19_Расчет_аналитики'!M4665,0),IF('01_Вводные'!$B$310&gt;=4,'19_Расчет_аналитики'!N4665,0),IF('01_Вводные'!$B$310&gt;=5,'19_Расчет_аналитики'!O4665,0),IF('01_Вводные'!$B$310&gt;=6,'19_Расчет_аналитики'!P4665,0))</f>
        <v/>
      </c>
      <c r="K4387">
        <f>SUM(IF('01_Вводные'!$B$310&gt;=1,'19_Расчет_аналитики'!L4665,0),IF('01_Вводные'!$B$310&gt;=2,'19_Расчет_аналитики'!M4665,0),IF('01_Вводные'!$B$310&gt;=3,'19_Расчет_аналитики'!N4665,0),IF('01_Вводные'!$B$310&gt;=4,'19_Расчет_аналитики'!O4665,0),IF('01_Вводные'!$B$310&gt;=5,'19_Расчет_аналитики'!P4665,0),IF('01_Вводные'!$B$310&gt;=6,'19_Расчет_аналитики'!Q4665,0))</f>
        <v/>
      </c>
      <c r="L4387">
        <f>SUM(IF('01_Вводные'!$B$310&gt;=1,'19_Расчет_аналитики'!M4665,0),IF('01_Вводные'!$B$310&gt;=2,'19_Расчет_аналитики'!N4665,0),IF('01_Вводные'!$B$310&gt;=3,'19_Расчет_аналитики'!O4665,0),IF('01_Вводные'!$B$310&gt;=4,'19_Расчет_аналитики'!P4665,0),IF('01_Вводные'!$B$310&gt;=5,'19_Расчет_аналитики'!Q4665,0),IF('01_Вводные'!$B$310&gt;=6,'19_Расчет_аналитики'!R4665,0))</f>
        <v/>
      </c>
      <c r="M4387">
        <f>SUM(IF('01_Вводные'!$B$310&gt;=1,'19_Расчет_аналитики'!N4665,0),IF('01_Вводные'!$B$310&gt;=2,'19_Расчет_аналитики'!O4665,0),IF('01_Вводные'!$B$310&gt;=3,'19_Расчет_аналитики'!P4665,0),IF('01_Вводные'!$B$310&gt;=4,'19_Расчет_аналитики'!Q4665,0),IF('01_Вводные'!$B$310&gt;=5,'19_Расчет_аналитики'!R4665,0),IF('01_Вводные'!$B$310&gt;=6,'19_Расчет_аналитики'!S4665,0))</f>
        <v/>
      </c>
      <c r="N4387">
        <f>SUM(IF('01_Вводные'!$B$310&gt;=1,'19_Расчет_аналитики'!O4665,0),IF('01_Вводные'!$B$310&gt;=2,'19_Расчет_аналитики'!P4665,0),IF('01_Вводные'!$B$310&gt;=3,'19_Расчет_аналитики'!Q4665,0),IF('01_Вводные'!$B$310&gt;=4,'19_Расчет_аналитики'!R4665,0),IF('01_Вводные'!$B$310&gt;=5,'19_Расчет_аналитики'!S4665,0),IF('01_Вводные'!$B$310&gt;=6,'19_Расчет_аналитики'!T4665,0))</f>
        <v/>
      </c>
      <c r="O4387">
        <f>SUM(IF('01_Вводные'!$B$310&gt;=1,'19_Расчет_аналитики'!P4665,0),IF('01_Вводные'!$B$310&gt;=2,'19_Расчет_аналитики'!Q4665,0),IF('01_Вводные'!$B$310&gt;=3,'19_Расчет_аналитики'!R4665,0),IF('01_Вводные'!$B$310&gt;=4,'19_Расчет_аналитики'!S4665,0),IF('01_Вводные'!$B$310&gt;=5,'19_Расчет_аналитики'!T4665,0),IF('01_Вводные'!$B$310&gt;=6,'19_Расчет_аналитики'!U4665,0))</f>
        <v/>
      </c>
      <c r="P4387">
        <f>SUM(IF('01_Вводные'!$B$310&gt;=1,'19_Расчет_аналитики'!Q4665,0),IF('01_Вводные'!$B$310&gt;=2,'19_Расчет_аналитики'!R4665,0),IF('01_Вводные'!$B$310&gt;=3,'19_Расчет_аналитики'!S4665,0),IF('01_Вводные'!$B$310&gt;=4,'19_Расчет_аналитики'!T4665,0),IF('01_Вводные'!$B$310&gt;=5,'19_Расчет_аналитики'!U4665,0),IF('01_Вводные'!$B$310&gt;=6,'19_Расчет_аналитики'!V4665,0))</f>
        <v/>
      </c>
      <c r="Q4387">
        <f>SUM(IF('01_Вводные'!$B$310&gt;=1,'19_Расчет_аналитики'!R4665,0),IF('01_Вводные'!$B$310&gt;=2,'19_Расчет_аналитики'!S4665,0),IF('01_Вводные'!$B$310&gt;=3,'19_Расчет_аналитики'!T4665,0),IF('01_Вводные'!$B$310&gt;=4,'19_Расчет_аналитики'!U4665,0),IF('01_Вводные'!$B$310&gt;=5,'19_Расчет_аналитики'!V4665,0),IF('01_Вводные'!$B$310&gt;=6,'19_Расчет_аналитики'!W4665,0))</f>
        <v/>
      </c>
      <c r="R4387">
        <f>SUM(IF('01_Вводные'!$B$310&gt;=1,'19_Расчет_аналитики'!S4665,0),IF('01_Вводные'!$B$310&gt;=2,'19_Расчет_аналитики'!T4665,0),IF('01_Вводные'!$B$310&gt;=3,'19_Расчет_аналитики'!U4665,0),IF('01_Вводные'!$B$310&gt;=4,'19_Расчет_аналитики'!V4665,0),IF('01_Вводные'!$B$310&gt;=5,'19_Расчет_аналитики'!W4665,0),IF('01_Вводные'!$B$310&gt;=6,'19_Расчет_аналитики'!X4665,0))</f>
        <v/>
      </c>
      <c r="S4387">
        <f>SUM(IF('01_Вводные'!$B$310&gt;=1,'19_Расчет_аналитики'!T4665,0),IF('01_Вводные'!$B$310&gt;=2,'19_Расчет_аналитики'!U4665,0),IF('01_Вводные'!$B$310&gt;=3,'19_Расчет_аналитики'!V4665,0),IF('01_Вводные'!$B$310&gt;=4,'19_Расчет_аналитики'!W4665,0),IF('01_Вводные'!$B$310&gt;=5,'19_Расчет_аналитики'!X4665,0),IF('01_Вводные'!$B$310&gt;=6,'19_Расчет_аналитики'!Y4665,0))</f>
        <v/>
      </c>
      <c r="T4387">
        <f>SUM(IF('01_Вводные'!$B$310&gt;=1,'19_Расчет_аналитики'!U4665,0),IF('01_Вводные'!$B$310&gt;=2,'19_Расчет_аналитики'!V4665,0),IF('01_Вводные'!$B$310&gt;=3,'19_Расчет_аналитики'!W4665,0),IF('01_Вводные'!$B$310&gt;=4,'19_Расчет_аналитики'!X4665,0),IF('01_Вводные'!$B$310&gt;=5,'19_Расчет_аналитики'!Y4665,0),IF('01_Вводные'!$B$310&gt;=6,'19_Расчет_аналитики'!Z4665,0))</f>
        <v/>
      </c>
      <c r="U4387">
        <f>SUM(IF('01_Вводные'!$B$310&gt;=1,'19_Расчет_аналитики'!V4665,0),IF('01_Вводные'!$B$310&gt;=2,'19_Расчет_аналитики'!W4665,0),IF('01_Вводные'!$B$310&gt;=3,'19_Расчет_аналитики'!X4665,0),IF('01_Вводные'!$B$310&gt;=4,'19_Расчет_аналитики'!Y4665,0),IF('01_Вводные'!$B$310&gt;=5,'19_Расчет_аналитики'!Z4665,0),IF('01_Вводные'!$B$310&gt;=6,'19_Расчет_аналитики'!AA4665,0))</f>
        <v/>
      </c>
      <c r="V4387">
        <f>SUM(IF('01_Вводные'!$B$310&gt;=1,'19_Расчет_аналитики'!W4665,0),IF('01_Вводные'!$B$310&gt;=2,'19_Расчет_аналитики'!X4665,0),IF('01_Вводные'!$B$310&gt;=3,'19_Расчет_аналитики'!Y4665,0),IF('01_Вводные'!$B$310&gt;=4,'19_Расчет_аналитики'!Z4665,0),IF('01_Вводные'!$B$310&gt;=5,'19_Расчет_аналитики'!AA4665,0),IF('01_Вводные'!$B$310&gt;=6,'19_Расчет_аналитики'!AB4665,0))</f>
        <v/>
      </c>
      <c r="W4387">
        <f>SUM(IF('01_Вводные'!$B$310&gt;=1,'19_Расчет_аналитики'!X4665,0),IF('01_Вводные'!$B$310&gt;=2,'19_Расчет_аналитики'!Y4665,0),IF('01_Вводные'!$B$310&gt;=3,'19_Расчет_аналитики'!Z4665,0),IF('01_Вводные'!$B$310&gt;=4,'19_Расчет_аналитики'!AA4665,0),IF('01_Вводные'!$B$310&gt;=5,'19_Расчет_аналитики'!AB4665,0),IF('01_Вводные'!$B$310&gt;=6,'19_Расчет_аналитики'!AC4665,0))</f>
        <v/>
      </c>
      <c r="X4387">
        <f>SUM(IF('01_Вводные'!$B$310&gt;=1,'19_Расчет_аналитики'!Y4665,0),IF('01_Вводные'!$B$310&gt;=2,'19_Расчет_аналитики'!Z4665,0),IF('01_Вводные'!$B$310&gt;=3,'19_Расчет_аналитики'!AA4665,0),IF('01_Вводные'!$B$310&gt;=4,'19_Расчет_аналитики'!AB4665,0),IF('01_Вводные'!$B$310&gt;=5,'19_Расчет_аналитики'!AC4665,0),IF('01_Вводные'!$B$310&gt;=6,'19_Расчет_аналитики'!AD4665,0))</f>
        <v/>
      </c>
      <c r="Y4387">
        <f>SUM(IF('01_Вводные'!$B$310&gt;=1,'19_Расчет_аналитики'!Z4665,0),IF('01_Вводные'!$B$310&gt;=2,'19_Расчет_аналитики'!AA4665,0),IF('01_Вводные'!$B$310&gt;=3,'19_Расчет_аналитики'!AB4665,0),IF('01_Вводные'!$B$310&gt;=4,'19_Расчет_аналитики'!AC4665,0),IF('01_Вводные'!$B$310&gt;=5,'19_Расчет_аналитики'!AD4665,0),IF('01_Вводные'!$B$310&gt;=6,'19_Расчет_аналитики'!AE4665,0))</f>
        <v/>
      </c>
      <c r="Z4387">
        <f>SUM(IF('01_Вводные'!$B$310&gt;=1,'19_Расчет_аналитики'!AA4665,0),IF('01_Вводные'!$B$310&gt;=2,'19_Расчет_аналитики'!AB4665,0),IF('01_Вводные'!$B$310&gt;=3,'19_Расчет_аналитики'!AC4665,0),IF('01_Вводные'!$B$310&gt;=4,'19_Расчет_аналитики'!AD4665,0),IF('01_Вводные'!$B$310&gt;=5,'19_Расчет_аналитики'!AE4665,0),IF('01_Вводные'!$B$310&gt;=6,'19_Расчет_аналитики'!AF4665,0))</f>
        <v/>
      </c>
      <c r="AA4387">
        <f>SUM(IF('01_Вводные'!$B$310&gt;=1,'19_Расчет_аналитики'!AB4665,0),IF('01_Вводные'!$B$310&gt;=2,'19_Расчет_аналитики'!AC4665,0),IF('01_Вводные'!$B$310&gt;=3,'19_Расчет_аналитики'!AD4665,0),IF('01_Вводные'!$B$310&gt;=4,'19_Расчет_аналитики'!AE4665,0),IF('01_Вводные'!$B$310&gt;=5,'19_Расчет_аналитики'!AF4665,0),IF('01_Вводные'!$B$310&gt;=6,'19_Расчет_аналитики'!AG4665,0))</f>
        <v/>
      </c>
      <c r="AB4387">
        <f>SUM(IF('01_Вводные'!$B$310&gt;=1,'19_Расчет_аналитики'!AC4665,0),IF('01_Вводные'!$B$310&gt;=2,'19_Расчет_аналитики'!AD4665,0),IF('01_Вводные'!$B$310&gt;=3,'19_Расчет_аналитики'!AE4665,0),IF('01_Вводные'!$B$310&gt;=4,'19_Расчет_аналитики'!AF4665,0),IF('01_Вводные'!$B$310&gt;=5,'19_Расчет_аналитики'!AG4665,0),IF('01_Вводные'!$B$310&gt;=6,'19_Расчет_аналитики'!AH4665,0))</f>
        <v/>
      </c>
      <c r="AC4387">
        <f>SUM(IF('01_Вводные'!$B$310&gt;=1,'19_Расчет_аналитики'!AD4665,0),IF('01_Вводные'!$B$310&gt;=2,'19_Расчет_аналитики'!AE4665,0),IF('01_Вводные'!$B$310&gt;=3,'19_Расчет_аналитики'!AF4665,0),IF('01_Вводные'!$B$310&gt;=4,'19_Расчет_аналитики'!AG4665,0),IF('01_Вводные'!$B$310&gt;=5,'19_Расчет_аналитики'!AH4665,0),IF('01_Вводные'!$B$310&gt;=6,'19_Расчет_аналитики'!AI4665,0))</f>
        <v/>
      </c>
      <c r="AD4387">
        <f>SUM(IF('01_Вводные'!$B$310&gt;=1,'19_Расчет_аналитики'!AE4665,0),IF('01_Вводные'!$B$310&gt;=2,'19_Расчет_аналитики'!AF4665,0),IF('01_Вводные'!$B$310&gt;=3,'19_Расчет_аналитики'!AG4665,0),IF('01_Вводные'!$B$310&gt;=4,'19_Расчет_аналитики'!AH4665,0),IF('01_Вводные'!$B$310&gt;=5,'19_Расчет_аналитики'!AI4665,0),IF('01_Вводные'!$B$310&gt;=6,'19_Расчет_аналитики'!AJ4665,0))</f>
        <v/>
      </c>
      <c r="AE4387">
        <f>SUM(IF('01_Вводные'!$B$310&gt;=1,'19_Расчет_аналитики'!AF4665,0),IF('01_Вводные'!$B$310&gt;=2,'19_Расчет_аналитики'!AG4665,0),IF('01_Вводные'!$B$310&gt;=3,'19_Расчет_аналитики'!AH4665,0),IF('01_Вводные'!$B$310&gt;=4,'19_Расчет_аналитики'!AI4665,0),IF('01_Вводные'!$B$310&gt;=5,'19_Расчет_аналитики'!AJ4665,0),IF('01_Вводные'!$B$310&gt;=6,'19_Расчет_аналитики'!AK4665,0))</f>
        <v/>
      </c>
      <c r="AF4387">
        <f>SUM(IF('01_Вводные'!$B$310&gt;=1,'19_Расчет_аналитики'!AG4665,0),IF('01_Вводные'!$B$310&gt;=2,'19_Расчет_аналитики'!AH4665,0),IF('01_Вводные'!$B$310&gt;=3,'19_Расчет_аналитики'!AI4665,0),IF('01_Вводные'!$B$310&gt;=4,'19_Расчет_аналитики'!AJ4665,0),IF('01_Вводные'!$B$310&gt;=5,'19_Расчет_аналитики'!AK4665,0),IF('01_Вводные'!$B$310&gt;=6,'19_Расчет_аналитики'!AL4665,0))</f>
        <v/>
      </c>
      <c r="AG4387">
        <f>SUM(IF('01_Вводные'!$B$310&gt;=1,'19_Расчет_аналитики'!AH4665,0),IF('01_Вводные'!$B$310&gt;=2,'19_Расчет_аналитики'!AI4665,0),IF('01_Вводные'!$B$310&gt;=3,'19_Расчет_аналитики'!AJ4665,0),IF('01_Вводные'!$B$310&gt;=4,'19_Расчет_аналитики'!AK4665,0),IF('01_Вводные'!$B$310&gt;=5,'19_Расчет_аналитики'!AL4665,0),IF('01_Вводные'!$B$310&gt;=6,'19_Расчет_аналитики'!AM4665,0))</f>
        <v/>
      </c>
      <c r="AH4387">
        <f>SUM(IF('01_Вводные'!$B$310&gt;=1,'19_Расчет_аналитики'!AI4665,0),IF('01_Вводные'!$B$310&gt;=2,'19_Расчет_аналитики'!AJ4665,0),IF('01_Вводные'!$B$310&gt;=3,'19_Расчет_аналитики'!AK4665,0),IF('01_Вводные'!$B$310&gt;=4,'19_Расчет_аналитики'!AL4665,0),IF('01_Вводные'!$B$310&gt;=5,'19_Расчет_аналитики'!AM4665,0),IF('01_Вводные'!$B$310&gt;=6,'19_Расчет_аналитики'!AN4665,0))</f>
        <v/>
      </c>
      <c r="AI4387">
        <f>SUM(IF('01_Вводные'!$B$310&gt;=1,'19_Расчет_аналитики'!AJ4665,0),IF('01_Вводные'!$B$310&gt;=2,'19_Расчет_аналитики'!AK4665,0),IF('01_Вводные'!$B$310&gt;=3,'19_Расчет_аналитики'!AL4665,0),IF('01_Вводные'!$B$310&gt;=4,'19_Расчет_аналитики'!AM4665,0),IF('01_Вводные'!$B$310&gt;=5,'19_Расчет_аналитики'!AN4665,0),IF('01_Вводные'!$B$310&gt;=6,'19_Расчет_аналитики'!AO4665,0))</f>
        <v/>
      </c>
      <c r="AJ4387">
        <f>SUM(IF('01_Вводные'!$B$310&gt;=1,'19_Расчет_аналитики'!AK4665,0),IF('01_Вводные'!$B$310&gt;=2,'19_Расчет_аналитики'!AL4665,0),IF('01_Вводные'!$B$310&gt;=3,'19_Расчет_аналитики'!AM4665,0),IF('01_Вводные'!$B$310&gt;=4,'19_Расчет_аналитики'!AN4665,0),IF('01_Вводные'!$B$310&gt;=5,'19_Расчет_аналитики'!AO4665,0),IF('01_Вводные'!$B$310&gt;=6,'19_Расчет_аналитики'!AP4665,0))</f>
        <v/>
      </c>
      <c r="AK4387">
        <f>SUM(IF('01_Вводные'!$B$310&gt;=1,'19_Расчет_аналитики'!AL4665,0),IF('01_Вводные'!$B$310&gt;=2,'19_Расчет_аналитики'!AM4665,0),IF('01_Вводные'!$B$310&gt;=3,'19_Расчет_аналитики'!AN4665,0),IF('01_Вводные'!$B$310&gt;=4,'19_Расчет_аналитики'!AO4665,0),IF('01_Вводные'!$B$310&gt;=5,'19_Расчет_аналитики'!AP4665,0),IF('01_Вводные'!$B$310&gt;=6,'19_Расчет_аналитики'!AQ4665,0))</f>
        <v/>
      </c>
      <c r="AL4387">
        <f>SUM(IF('01_Вводные'!$B$310&gt;=1,'19_Расчет_аналитики'!AM4665,0),IF('01_Вводные'!$B$310&gt;=2,'19_Расчет_аналитики'!AN4665,0),IF('01_Вводные'!$B$310&gt;=3,'19_Расчет_аналитики'!AO4665,0),IF('01_Вводные'!$B$310&gt;=4,'19_Расчет_аналитики'!AP4665,0),IF('01_Вводные'!$B$310&gt;=5,'19_Расчет_аналитики'!AQ4665,0),IF('01_Вводные'!$B$310&gt;=6,'19_Расчет_аналитики'!AR4665,0))</f>
        <v/>
      </c>
      <c r="AM4387">
        <f>SUM(IF('01_Вводные'!$B$310&gt;=1,'19_Расчет_аналитики'!AN4665,0),IF('01_Вводные'!$B$310&gt;=2,'19_Расчет_аналитики'!AO4665,0),IF('01_Вводные'!$B$310&gt;=3,'19_Расчет_аналитики'!AP4665,0),IF('01_Вводные'!$B$310&gt;=4,'19_Расчет_аналитики'!AQ4665,0),IF('01_Вводные'!$B$310&gt;=5,'19_Расчет_аналитики'!AR4665,0),IF('01_Вводные'!$B$310&gt;=6,'19_Расчет_аналитики'!AS4665,0))</f>
        <v/>
      </c>
      <c r="AN4387">
        <f>SUM(IF('01_Вводные'!$B$310&gt;=1,'19_Расчет_аналитики'!AO4665,0),IF('01_Вводные'!$B$310&gt;=2,'19_Расчет_аналитики'!AP4665,0),IF('01_Вводные'!$B$310&gt;=3,'19_Расчет_аналитики'!AQ4665,0),IF('01_Вводные'!$B$310&gt;=4,'19_Расчет_аналитики'!AR4665,0),IF('01_Вводные'!$B$310&gt;=5,'19_Расчет_аналитики'!AS4665,0),IF('01_Вводные'!$B$310&gt;=6,'19_Расчет_аналитики'!AT4665,0))</f>
        <v/>
      </c>
      <c r="AO4387">
        <f>SUM(IF('01_Вводные'!$B$310&gt;=1,'19_Расчет_аналитики'!AP4665,0),IF('01_Вводные'!$B$310&gt;=2,'19_Расчет_аналитики'!AQ4665,0),IF('01_Вводные'!$B$310&gt;=3,'19_Расчет_аналитики'!AR4665,0),IF('01_Вводные'!$B$310&gt;=4,'19_Расчет_аналитики'!AS4665,0),IF('01_Вводные'!$B$310&gt;=5,'19_Расчет_аналитики'!AT4665,0),IF('01_Вводные'!$B$310&gt;=6,'19_Расчет_аналитики'!AU4665,0))</f>
        <v/>
      </c>
      <c r="AP4387">
        <f>SUM(IF('01_Вводные'!$B$310&gt;=1,'19_Расчет_аналитики'!AQ4665,0),IF('01_Вводные'!$B$310&gt;=2,'19_Расчет_аналитики'!AR4665,0),IF('01_Вводные'!$B$310&gt;=3,'19_Расчет_аналитики'!AS4665,0),IF('01_Вводные'!$B$310&gt;=4,'19_Расчет_аналитики'!AT4665,0),IF('01_Вводные'!$B$310&gt;=5,'19_Расчет_аналитики'!AU4665,0),IF('01_Вводные'!$B$310&gt;=6,'19_Расчет_аналитики'!AV4665,0))</f>
        <v/>
      </c>
      <c r="AQ4387">
        <f>SUM(IF('01_Вводные'!$B$310&gt;=1,'19_Расчет_аналитики'!AR4665,0),IF('01_Вводные'!$B$310&gt;=2,'19_Расчет_аналитики'!AS4665,0),IF('01_Вводные'!$B$310&gt;=3,'19_Расчет_аналитики'!AT4665,0),IF('01_Вводные'!$B$310&gt;=4,'19_Расчет_аналитики'!AU4665,0),IF('01_Вводные'!$B$310&gt;=5,'19_Расчет_аналитики'!AV4665,0),IF('01_Вводные'!$B$310&gt;=6,'19_Расчет_аналитики'!AW4665,0))</f>
        <v/>
      </c>
      <c r="AR4387">
        <f>SUM(IF('01_Вводные'!$B$310&gt;=1,'19_Расчет_аналитики'!AS4665,0),IF('01_Вводные'!$B$310&gt;=2,'19_Расчет_аналитики'!AT4665,0),IF('01_Вводные'!$B$310&gt;=3,'19_Расчет_аналитики'!AU4665,0),IF('01_Вводные'!$B$310&gt;=4,'19_Расчет_аналитики'!AV4665,0),IF('01_Вводные'!$B$310&gt;=5,'19_Расчет_аналитики'!AW4665,0),IF('01_Вводные'!$B$310&gt;=6,'19_Расчет_аналитики'!AX4665,0))</f>
        <v/>
      </c>
      <c r="AS4387">
        <f>SUM(IF('01_Вводные'!$B$310&gt;=1,'19_Расчет_аналитики'!AT4665,0),IF('01_Вводные'!$B$310&gt;=2,'19_Расчет_аналитики'!AU4665,0),IF('01_Вводные'!$B$310&gt;=3,'19_Расчет_аналитики'!AV4665,0),IF('01_Вводные'!$B$310&gt;=4,'19_Расчет_аналитики'!AW4665,0),IF('01_Вводные'!$B$310&gt;=5,'19_Расчет_аналитики'!AX4665,0),IF('01_Вводные'!$B$310&gt;=6,'19_Расчет_аналитики'!AY4665,0))</f>
        <v/>
      </c>
      <c r="AT4387">
        <f>SUM(IF('01_Вводные'!$B$310&gt;=1,'19_Расчет_аналитики'!AU4665,0),IF('01_Вводные'!$B$310&gt;=2,'19_Расчет_аналитики'!AV4665,0),IF('01_Вводные'!$B$310&gt;=3,'19_Расчет_аналитики'!AW4665,0),IF('01_Вводные'!$B$310&gt;=4,'19_Расчет_аналитики'!AX4665,0),IF('01_Вводные'!$B$310&gt;=5,'19_Расчет_аналитики'!AY4665,0),IF('01_Вводные'!$B$310&gt;=6,'19_Расчет_аналитики'!AZ4665,0))</f>
        <v/>
      </c>
      <c r="AU4387">
        <f>SUM(IF('01_Вводные'!$B$310&gt;=1,'19_Расчет_аналитики'!AV4665,0),IF('01_Вводные'!$B$310&gt;=2,'19_Расчет_аналитики'!AW4665,0),IF('01_Вводные'!$B$310&gt;=3,'19_Расчет_аналитики'!AX4665,0),IF('01_Вводные'!$B$310&gt;=4,'19_Расчет_аналитики'!AY4665,0),IF('01_Вводные'!$B$310&gt;=5,'19_Расчет_аналитики'!AZ4665,0),IF('01_Вводные'!$B$310&gt;=6,'19_Расчет_аналитики'!BA4665,0))</f>
        <v/>
      </c>
      <c r="AV4387">
        <f>SUM(IF('01_Вводные'!$B$310&gt;=1,'19_Расчет_аналитики'!AW4665,0),IF('01_Вводные'!$B$310&gt;=2,'19_Расчет_аналитики'!AX4665,0),IF('01_Вводные'!$B$310&gt;=3,'19_Расчет_аналитики'!AY4665,0),IF('01_Вводные'!$B$310&gt;=4,'19_Расчет_аналитики'!AZ4665,0),IF('01_Вводные'!$B$310&gt;=5,'19_Расчет_аналитики'!BA4665,0),IF('01_Вводные'!$B$310&gt;=6,'19_Расчет_аналитики'!BB4665,0))</f>
        <v/>
      </c>
      <c r="AW4387">
        <f>SUM(IF('01_Вводные'!$B$310&gt;=1,'19_Расчет_аналитики'!AX4665,0),IF('01_Вводные'!$B$310&gt;=2,'19_Расчет_аналитики'!AY4665,0),IF('01_Вводные'!$B$310&gt;=3,'19_Расчет_аналитики'!AZ4665,0),IF('01_Вводные'!$B$310&gt;=4,'19_Расчет_аналитики'!BA4665,0),IF('01_Вводные'!$B$310&gt;=5,'19_Расчет_аналитики'!BB4665,0),IF('01_Вводные'!$B$310&gt;=6,'19_Расчет_аналитики'!BC4665,0))</f>
        <v/>
      </c>
      <c r="AX4387">
        <f>SUM(IF('01_Вводные'!$B$310&gt;=1,'19_Расчет_аналитики'!AY4665,0),IF('01_Вводные'!$B$310&gt;=2,'19_Расчет_аналитики'!AZ4665,0),IF('01_Вводные'!$B$310&gt;=3,'19_Расчет_аналитики'!BA4665,0),IF('01_Вводные'!$B$310&gt;=4,'19_Расчет_аналитики'!BB4665,0),IF('01_Вводные'!$B$310&gt;=5,'19_Расчет_аналитики'!BC4665,0),IF('01_Вводные'!$B$310&gt;=6,'19_Расчет_аналитики'!BD4665,0))</f>
        <v/>
      </c>
      <c r="AY4387">
        <f>SUM(IF('01_Вводные'!$B$310&gt;=1,'19_Расчет_аналитики'!AZ4665,0),IF('01_Вводные'!$B$310&gt;=2,'19_Расчет_аналитики'!BA4665,0),IF('01_Вводные'!$B$310&gt;=3,'19_Расчет_аналитики'!BB4665,0),IF('01_Вводные'!$B$310&gt;=4,'19_Расчет_аналитики'!BC4665,0),IF('01_Вводные'!$B$310&gt;=5,'19_Расчет_аналитики'!BD4665,0),IF('01_Вводные'!$B$310&gt;=6,'19_Расчет_аналитики'!BE4665,0))</f>
        <v/>
      </c>
      <c r="AZ4387">
        <f>SUM(IF('01_Вводные'!$B$310&gt;=1,'19_Расчет_аналитики'!BA4665,0),IF('01_Вводные'!$B$310&gt;=2,'19_Расчет_аналитики'!BB4665,0),IF('01_Вводные'!$B$310&gt;=3,'19_Расчет_аналитики'!BC4665,0),IF('01_Вводные'!$B$310&gt;=4,'19_Расчет_аналитики'!BD4665,0),IF('01_Вводные'!$B$310&gt;=5,'19_Расчет_аналитики'!BE4665,0),IF('01_Вводные'!$B$310&gt;=6,'19_Расчет_аналитики'!BF4665,0))</f>
        <v/>
      </c>
      <c r="BA4387">
        <f>SUM(IF('01_Вводные'!$B$310&gt;=1,'19_Расчет_аналитики'!BB4665,0),IF('01_Вводные'!$B$310&gt;=2,'19_Расчет_аналитики'!BC4665,0),IF('01_Вводные'!$B$310&gt;=3,'19_Расчет_аналитики'!BD4665,0),IF('01_Вводные'!$B$310&gt;=4,'19_Расчет_аналитики'!BE4665,0),IF('01_Вводные'!$B$310&gt;=5,'19_Расчет_аналитики'!BF4665,0),IF('01_Вводные'!$B$310&gt;=6,'19_Расчет_аналитики'!BG4665,0))</f>
        <v/>
      </c>
      <c r="BB4387">
        <f>SUM(IF('01_Вводные'!$B$310&gt;=1,'19_Расчет_аналитики'!BC4665,0),IF('01_Вводные'!$B$310&gt;=2,'19_Расчет_аналитики'!BD4665,0),IF('01_Вводные'!$B$310&gt;=3,'19_Расчет_аналитики'!BE4665,0),IF('01_Вводные'!$B$310&gt;=4,'19_Расчет_аналитики'!BF4665,0),IF('01_Вводные'!$B$310&gt;=5,'19_Расчет_аналитики'!BG4665,0),IF('01_Вводные'!$B$310&gt;=6,'19_Расчет_аналитики'!BH4665,0))</f>
        <v/>
      </c>
      <c r="BC4387">
        <f>SUM(IF('01_Вводные'!$B$310&gt;=1,'19_Расчет_аналитики'!BD4665,0),IF('01_Вводные'!$B$310&gt;=2,'19_Расчет_аналитики'!BE4665,0),IF('01_Вводные'!$B$310&gt;=3,'19_Расчет_аналитики'!BF4665,0),IF('01_Вводные'!$B$310&gt;=4,'19_Расчет_аналитики'!BG4665,0),IF('01_Вводные'!$B$310&gt;=5,'19_Расчет_аналитики'!BH4665,0),IF('01_Вводные'!$B$310&gt;=6,'19_Расчет_аналитики'!BI4665,0))</f>
        <v/>
      </c>
      <c r="BD4387">
        <f>SUM(IF('01_Вводные'!$B$310&gt;=1,'19_Расчет_аналитики'!BE4665,0),IF('01_Вводные'!$B$310&gt;=2,'19_Расчет_аналитики'!BF4665,0),IF('01_Вводные'!$B$310&gt;=3,'19_Расчет_аналитики'!BG4665,0),IF('01_Вводные'!$B$310&gt;=4,'19_Расчет_аналитики'!BH4665,0),IF('01_Вводные'!$B$310&gt;=5,'19_Расчет_аналитики'!BI4665,0),IF('01_Вводные'!$B$310&gt;=6,'19_Расчет_аналитики'!BJ4665,0))</f>
        <v/>
      </c>
      <c r="BE4387">
        <f>SUM(IF('01_Вводные'!$B$310&gt;=1,'19_Расчет_аналитики'!BF4665,0),IF('01_Вводные'!$B$310&gt;=2,'19_Расчет_аналитики'!BG4665,0),IF('01_Вводные'!$B$310&gt;=3,'19_Расчет_аналитики'!BH4665,0),IF('01_Вводные'!$B$310&gt;=4,'19_Расчет_аналитики'!BI4665,0),IF('01_Вводные'!$B$310&gt;=5,'19_Расчет_аналитики'!BJ4665,0),IF('01_Вводные'!$B$310&gt;=6,'19_Расчет_аналитики'!BK4665,0))</f>
        <v/>
      </c>
      <c r="BF4387">
        <f>SUM(IF('01_Вводные'!$B$310&gt;=1,'19_Расчет_аналитики'!BG4665,0),IF('01_Вводные'!$B$310&gt;=2,'19_Расчет_аналитики'!BH4665,0),IF('01_Вводные'!$B$310&gt;=3,'19_Расчет_аналитики'!BI4665,0),IF('01_Вводные'!$B$310&gt;=4,'19_Расчет_аналитики'!BJ4665,0),IF('01_Вводные'!$B$310&gt;=5,'19_Расчет_аналитики'!BK4665,0),IF('01_Вводные'!$B$310&gt;=6,'19_Расчет_аналитики'!BL4665,0))</f>
        <v/>
      </c>
      <c r="BG4387">
        <f>SUM(IF('01_Вводные'!$B$310&gt;=1,'19_Расчет_аналитики'!BH4665,0),IF('01_Вводные'!$B$310&gt;=2,'19_Расчет_аналитики'!BI4665,0),IF('01_Вводные'!$B$310&gt;=3,'19_Расчет_аналитики'!BJ4665,0),IF('01_Вводные'!$B$310&gt;=4,'19_Расчет_аналитики'!BK4665,0),IF('01_Вводные'!$B$310&gt;=5,'19_Расчет_аналитики'!BL4665,0),IF('01_Вводные'!$B$310&gt;=6,'19_Расчет_аналитики'!BM4665,0))</f>
        <v/>
      </c>
      <c r="BH4387">
        <f>SUM(IF('01_Вводные'!$B$310&gt;=1,'19_Расчет_аналитики'!BI4665,0),IF('01_Вводные'!$B$310&gt;=2,'19_Расчет_аналитики'!BJ4665,0),IF('01_Вводные'!$B$310&gt;=3,'19_Расчет_аналитики'!BK4665,0),IF('01_Вводные'!$B$310&gt;=4,'19_Расчет_аналитики'!BL4665,0),IF('01_Вводные'!$B$310&gt;=5,'19_Расчет_аналитики'!BM4665,0),IF('01_Вводные'!$B$310&gt;=6,'19_Расчет_аналитики'!BN4665,0))</f>
        <v/>
      </c>
      <c r="BI4387">
        <f>SUM(IF('01_Вводные'!$B$310&gt;=1,'19_Расчет_аналитики'!BJ4665,0),IF('01_Вводные'!$B$310&gt;=2,'19_Расчет_аналитики'!BK4665,0),IF('01_Вводные'!$B$310&gt;=3,'19_Расчет_аналитики'!BL4665,0),IF('01_Вводные'!$B$310&gt;=4,'19_Расчет_аналитики'!BM4665,0),IF('01_Вводные'!$B$310&gt;=5,'19_Расчет_аналитики'!BN4665,0),IF('01_Вводные'!$B$310&gt;=6,'19_Расчет_аналитики'!BO4665,0))</f>
        <v/>
      </c>
      <c r="BJ4387">
        <f>SUM(IF('01_Вводные'!$B$310&gt;=1,'19_Расчет_аналитики'!BK4665,0),IF('01_Вводные'!$B$310&gt;=2,'19_Расчет_аналитики'!BL4665,0),IF('01_Вводные'!$B$310&gt;=3,'19_Расчет_аналитики'!BM4665,0),IF('01_Вводные'!$B$310&gt;=4,'19_Расчет_аналитики'!BN4665,0),IF('01_Вводные'!$B$310&gt;=5,'19_Расчет_аналитики'!BO4665,0),IF('01_Вводные'!$B$310&gt;=6,'19_Расчет_аналитики'!BP4665,0))</f>
        <v/>
      </c>
      <c r="BK4387">
        <f>SUM(IF('01_Вводные'!$B$310&gt;=1,'19_Расчет_аналитики'!BL4665,0),IF('01_Вводные'!$B$310&gt;=2,'19_Расчет_аналитики'!BM4665,0),IF('01_Вводные'!$B$310&gt;=3,'19_Расчет_аналитики'!BN4665,0),IF('01_Вводные'!$B$310&gt;=4,'19_Расчет_аналитики'!BO4665,0),IF('01_Вводные'!$B$310&gt;=5,'19_Расчет_аналитики'!BP4665,0),IF('01_Вводные'!$B$310&gt;=6,'19_Расчет_аналитики'!BQ4665,0))</f>
        <v/>
      </c>
      <c r="BL4387">
        <f>SUM(IF('01_Вводные'!$B$310&gt;=1,'19_Расчет_аналитики'!BM4665,0),IF('01_Вводные'!$B$310&gt;=2,'19_Расчет_аналитики'!BN4665,0),IF('01_Вводные'!$B$310&gt;=3,'19_Расчет_аналитики'!BO4665,0),IF('01_Вводные'!$B$310&gt;=4,'19_Расчет_аналитики'!BP4665,0),IF('01_Вводные'!$B$310&gt;=5,'19_Расчет_аналитики'!BQ4665,0),IF('01_Вводные'!$B$310&gt;=6,'19_Расчет_аналитики'!BR4665,0))</f>
        <v/>
      </c>
      <c r="BM4387">
        <f>SUM(IF('01_Вводные'!$B$310&gt;=1,'19_Расчет_аналитики'!BN4665,0),IF('01_Вводные'!$B$310&gt;=2,'19_Расчет_аналитики'!BO4665,0),IF('01_Вводные'!$B$310&gt;=3,'19_Расчет_аналитики'!BP4665,0),IF('01_Вводные'!$B$310&gt;=4,'19_Расчет_аналитики'!BQ4665,0),IF('01_Вводные'!$B$310&gt;=5,'19_Расчет_аналитики'!BR4665,0),IF('01_Вводные'!$B$310&gt;=6,'19_Расчет_аналитики'!BS4665,0))</f>
        <v/>
      </c>
      <c r="BN4387">
        <f>SUM(IF('01_Вводные'!$B$310&gt;=1,'19_Расчет_аналитики'!BO4665,0),IF('01_Вводные'!$B$310&gt;=2,'19_Расчет_аналитики'!BP4665,0),IF('01_Вводные'!$B$310&gt;=3,'19_Расчет_аналитики'!BQ4665,0),IF('01_Вводные'!$B$310&gt;=4,'19_Расчет_аналитики'!BR4665,0),IF('01_Вводные'!$B$310&gt;=5,'19_Расчет_аналитики'!BS4665,0),IF('01_Вводные'!$B$310&gt;=6,'19_Расчет_аналитики'!BT4665,0))</f>
        <v/>
      </c>
      <c r="BO4387">
        <f>SUM(IF('01_Вводные'!$B$310&gt;=1,'19_Расчет_аналитики'!BP4665,0),IF('01_Вводные'!$B$310&gt;=2,'19_Расчет_аналитики'!BQ4665,0),IF('01_Вводные'!$B$310&gt;=3,'19_Расчет_аналитики'!BR4665,0),IF('01_Вводные'!$B$310&gt;=4,'19_Расчет_аналитики'!BS4665,0),IF('01_Вводные'!$B$310&gt;=5,'19_Расчет_аналитики'!BT4665,0),IF('01_Вводные'!$B$310&gt;=6,'19_Расчет_аналитики'!BU4665,0))</f>
        <v/>
      </c>
    </row>
    <row r="4388">
      <c r="C4388">
        <f>IF('01_Вводные'!$B$234="Да",IF('01_Вводные'!$B$25&gt;0,ROUNDUP(ROUND('19_Расчет_аналитики'!C4386/'01_Вводные'!$B$25,10),0),0),0)</f>
        <v/>
      </c>
      <c r="D4388">
        <f>IF('01_Вводные'!$B$234="Да",IF('01_Вводные'!$B$25&gt;0,ROUNDUP(ROUND('19_Расчет_аналитики'!D4386/'01_Вводные'!$B$25,10),0),0),0)</f>
        <v/>
      </c>
      <c r="E4388">
        <f>IF('01_Вводные'!$B$234="Да",IF('01_Вводные'!$B$25&gt;0,ROUNDUP(ROUND('19_Расчет_аналитики'!E4386/'01_Вводные'!$B$25,10),0),0),0)</f>
        <v/>
      </c>
      <c r="F4388">
        <f>IF('01_Вводные'!$B$234="Да",IF('01_Вводные'!$B$25&gt;0,ROUNDUP(ROUND('19_Расчет_аналитики'!F4386/'01_Вводные'!$B$25,10),0),0),0)</f>
        <v/>
      </c>
      <c r="G4388">
        <f>IF('01_Вводные'!$B$234="Да",IF('01_Вводные'!$B$25&gt;0,ROUNDUP(ROUND('19_Расчет_аналитики'!G4386/'01_Вводные'!$B$25,10),0),0),0)</f>
        <v/>
      </c>
      <c r="H4388">
        <f>IF('01_Вводные'!$B$234="Да",IF('01_Вводные'!$B$25&gt;0,ROUNDUP(ROUND('19_Расчет_аналитики'!H4386/'01_Вводные'!$B$25,10),0),0),0)</f>
        <v/>
      </c>
      <c r="I4388">
        <f>IF('01_Вводные'!$B$234="Да",IF('01_Вводные'!$B$25&gt;0,ROUNDUP(ROUND('19_Расчет_аналитики'!I4386/'01_Вводные'!$B$25,10),0),0),0)</f>
        <v/>
      </c>
      <c r="J4388">
        <f>IF('01_Вводные'!$B$234="Да",IF('01_Вводные'!$B$25&gt;0,ROUNDUP(ROUND('19_Расчет_аналитики'!J4386/'01_Вводные'!$B$25,10),0),0),0)</f>
        <v/>
      </c>
      <c r="K4388">
        <f>IF('01_Вводные'!$B$234="Да",IF('01_Вводные'!$B$25&gt;0,ROUNDUP(ROUND('19_Расчет_аналитики'!K4386/'01_Вводные'!$B$25,10),0),0),0)</f>
        <v/>
      </c>
      <c r="L4388">
        <f>IF('01_Вводные'!$B$234="Да",IF('01_Вводные'!$B$25&gt;0,ROUNDUP(ROUND('19_Расчет_аналитики'!L4386/'01_Вводные'!$B$25,10),0),0),0)</f>
        <v/>
      </c>
      <c r="M4388">
        <f>IF('01_Вводные'!$B$234="Да",IF('01_Вводные'!$B$25&gt;0,ROUNDUP(ROUND('19_Расчет_аналитики'!M4386/'01_Вводные'!$B$25,10),0),0),0)</f>
        <v/>
      </c>
      <c r="N4388">
        <f>IF('01_Вводные'!$B$234="Да",IF('01_Вводные'!$B$25&gt;0,ROUNDUP(ROUND('19_Расчет_аналитики'!N4386/'01_Вводные'!$B$25,10),0),0),0)</f>
        <v/>
      </c>
      <c r="O4388">
        <f>IF('01_Вводные'!$B$234="Да",IF('01_Вводные'!$B$25&gt;0,ROUNDUP(ROUND('19_Расчет_аналитики'!O4386/'01_Вводные'!$B$25,10),0),0),0)</f>
        <v/>
      </c>
      <c r="P4388">
        <f>IF('01_Вводные'!$B$234="Да",IF('01_Вводные'!$B$25&gt;0,ROUNDUP(ROUND('19_Расчет_аналитики'!P4386/'01_Вводные'!$B$25,10),0),0),0)</f>
        <v/>
      </c>
      <c r="Q4388">
        <f>IF('01_Вводные'!$B$234="Да",IF('01_Вводные'!$B$25&gt;0,ROUNDUP(ROUND('19_Расчет_аналитики'!Q4386/'01_Вводные'!$B$25,10),0),0),0)</f>
        <v/>
      </c>
      <c r="R4388">
        <f>IF('01_Вводные'!$B$234="Да",IF('01_Вводные'!$B$25&gt;0,ROUNDUP(ROUND('19_Расчет_аналитики'!R4386/'01_Вводные'!$B$25,10),0),0),0)</f>
        <v/>
      </c>
      <c r="S4388">
        <f>IF('01_Вводные'!$B$234="Да",IF('01_Вводные'!$B$25&gt;0,ROUNDUP(ROUND('19_Расчет_аналитики'!S4386/'01_Вводные'!$B$25,10),0),0),0)</f>
        <v/>
      </c>
      <c r="T4388">
        <f>IF('01_Вводные'!$B$234="Да",IF('01_Вводные'!$B$25&gt;0,ROUNDUP(ROUND('19_Расчет_аналитики'!T4386/'01_Вводные'!$B$25,10),0),0),0)</f>
        <v/>
      </c>
      <c r="U4388">
        <f>IF('01_Вводные'!$B$234="Да",IF('01_Вводные'!$B$25&gt;0,ROUNDUP(ROUND('19_Расчет_аналитики'!U4386/'01_Вводные'!$B$25,10),0),0),0)</f>
        <v/>
      </c>
      <c r="V4388">
        <f>IF('01_Вводные'!$B$234="Да",IF('01_Вводные'!$B$25&gt;0,ROUNDUP(ROUND('19_Расчет_аналитики'!V4386/'01_Вводные'!$B$25,10),0),0),0)</f>
        <v/>
      </c>
      <c r="W4388">
        <f>IF('01_Вводные'!$B$234="Да",IF('01_Вводные'!$B$25&gt;0,ROUNDUP(ROUND('19_Расчет_аналитики'!W4386/'01_Вводные'!$B$25,10),0),0),0)</f>
        <v/>
      </c>
      <c r="X4388">
        <f>IF('01_Вводные'!$B$234="Да",IF('01_Вводные'!$B$25&gt;0,ROUNDUP(ROUND('19_Расчет_аналитики'!X4386/'01_Вводные'!$B$25,10),0),0),0)</f>
        <v/>
      </c>
      <c r="Y4388">
        <f>IF('01_Вводные'!$B$234="Да",IF('01_Вводные'!$B$25&gt;0,ROUNDUP(ROUND('19_Расчет_аналитики'!Y4386/'01_Вводные'!$B$25,10),0),0),0)</f>
        <v/>
      </c>
      <c r="Z4388">
        <f>IF('01_Вводные'!$B$234="Да",IF('01_Вводные'!$B$25&gt;0,ROUNDUP(ROUND('19_Расчет_аналитики'!Z4386/'01_Вводные'!$B$25,10),0),0),0)</f>
        <v/>
      </c>
      <c r="AA4388">
        <f>IF('01_Вводные'!$B$234="Да",IF('01_Вводные'!$B$25&gt;0,ROUNDUP(ROUND('19_Расчет_аналитики'!AA4386/'01_Вводные'!$B$25,10),0),0),0)</f>
        <v/>
      </c>
      <c r="AB4388">
        <f>IF('01_Вводные'!$B$234="Да",IF('01_Вводные'!$B$25&gt;0,ROUNDUP(ROUND('19_Расчет_аналитики'!AB4386/'01_Вводные'!$B$25,10),0),0),0)</f>
        <v/>
      </c>
      <c r="AC4388">
        <f>IF('01_Вводные'!$B$234="Да",IF('01_Вводные'!$B$25&gt;0,ROUNDUP(ROUND('19_Расчет_аналитики'!AC4386/'01_Вводные'!$B$25,10),0),0),0)</f>
        <v/>
      </c>
      <c r="AD4388">
        <f>IF('01_Вводные'!$B$234="Да",IF('01_Вводные'!$B$25&gt;0,ROUNDUP(ROUND('19_Расчет_аналитики'!AD4386/'01_Вводные'!$B$25,10),0),0),0)</f>
        <v/>
      </c>
      <c r="AE4388">
        <f>IF('01_Вводные'!$B$234="Да",IF('01_Вводные'!$B$25&gt;0,ROUNDUP(ROUND('19_Расчет_аналитики'!AE4386/'01_Вводные'!$B$25,10),0),0),0)</f>
        <v/>
      </c>
      <c r="AF4388">
        <f>IF('01_Вводные'!$B$234="Да",IF('01_Вводные'!$B$25&gt;0,ROUNDUP(ROUND('19_Расчет_аналитики'!AF4386/'01_Вводные'!$B$25,10),0),0),0)</f>
        <v/>
      </c>
      <c r="AG4388">
        <f>IF('01_Вводные'!$B$234="Да",IF('01_Вводные'!$B$25&gt;0,ROUNDUP(ROUND('19_Расчет_аналитики'!AG4386/'01_Вводные'!$B$25,10),0),0),0)</f>
        <v/>
      </c>
      <c r="AH4388">
        <f>IF('01_Вводные'!$B$234="Да",IF('01_Вводные'!$B$25&gt;0,ROUNDUP(ROUND('19_Расчет_аналитики'!AH4386/'01_Вводные'!$B$25,10),0),0),0)</f>
        <v/>
      </c>
      <c r="AI4388">
        <f>IF('01_Вводные'!$B$234="Да",IF('01_Вводные'!$B$25&gt;0,ROUNDUP(ROUND('19_Расчет_аналитики'!AI4386/'01_Вводные'!$B$25,10),0),0),0)</f>
        <v/>
      </c>
      <c r="AJ4388">
        <f>IF('01_Вводные'!$B$234="Да",IF('01_Вводные'!$B$25&gt;0,ROUNDUP(ROUND('19_Расчет_аналитики'!AJ4386/'01_Вводные'!$B$25,10),0),0),0)</f>
        <v/>
      </c>
      <c r="AK4388">
        <f>IF('01_Вводные'!$B$234="Да",IF('01_Вводные'!$B$25&gt;0,ROUNDUP(ROUND('19_Расчет_аналитики'!AK4386/'01_Вводные'!$B$25,10),0),0),0)</f>
        <v/>
      </c>
      <c r="AL4388">
        <f>IF('01_Вводные'!$B$234="Да",IF('01_Вводные'!$B$25&gt;0,ROUNDUP(ROUND('19_Расчет_аналитики'!AL4386/'01_Вводные'!$B$25,10),0),0),0)</f>
        <v/>
      </c>
      <c r="AM4388">
        <f>IF('01_Вводные'!$B$234="Да",IF('01_Вводные'!$B$25&gt;0,ROUNDUP(ROUND('19_Расчет_аналитики'!AM4386/'01_Вводные'!$B$25,10),0),0),0)</f>
        <v/>
      </c>
      <c r="AN4388">
        <f>IF('01_Вводные'!$B$234="Да",IF('01_Вводные'!$B$25&gt;0,ROUNDUP(ROUND('19_Расчет_аналитики'!AN4386/'01_Вводные'!$B$25,10),0),0),0)</f>
        <v/>
      </c>
      <c r="AO4388">
        <f>IF('01_Вводные'!$B$234="Да",IF('01_Вводные'!$B$25&gt;0,ROUNDUP(ROUND('19_Расчет_аналитики'!AO4386/'01_Вводные'!$B$25,10),0),0),0)</f>
        <v/>
      </c>
      <c r="AP4388">
        <f>IF('01_Вводные'!$B$234="Да",IF('01_Вводные'!$B$25&gt;0,ROUNDUP(ROUND('19_Расчет_аналитики'!AP4386/'01_Вводные'!$B$25,10),0),0),0)</f>
        <v/>
      </c>
      <c r="AQ4388">
        <f>IF('01_Вводные'!$B$234="Да",IF('01_Вводные'!$B$25&gt;0,ROUNDUP(ROUND('19_Расчет_аналитики'!AQ4386/'01_Вводные'!$B$25,10),0),0),0)</f>
        <v/>
      </c>
      <c r="AR4388">
        <f>IF('01_Вводные'!$B$234="Да",IF('01_Вводные'!$B$25&gt;0,ROUNDUP(ROUND('19_Расчет_аналитики'!AR4386/'01_Вводные'!$B$25,10),0),0),0)</f>
        <v/>
      </c>
      <c r="AS4388">
        <f>IF('01_Вводные'!$B$234="Да",IF('01_Вводные'!$B$25&gt;0,ROUNDUP(ROUND('19_Расчет_аналитики'!AS4386/'01_Вводные'!$B$25,10),0),0),0)</f>
        <v/>
      </c>
      <c r="AT4388">
        <f>IF('01_Вводные'!$B$234="Да",IF('01_Вводные'!$B$25&gt;0,ROUNDUP(ROUND('19_Расчет_аналитики'!AT4386/'01_Вводные'!$B$25,10),0),0),0)</f>
        <v/>
      </c>
      <c r="AU4388">
        <f>IF('01_Вводные'!$B$234="Да",IF('01_Вводные'!$B$25&gt;0,ROUNDUP(ROUND('19_Расчет_аналитики'!AU4386/'01_Вводные'!$B$25,10),0),0),0)</f>
        <v/>
      </c>
      <c r="AV4388">
        <f>IF('01_Вводные'!$B$234="Да",IF('01_Вводные'!$B$25&gt;0,ROUNDUP(ROUND('19_Расчет_аналитики'!AV4386/'01_Вводные'!$B$25,10),0),0),0)</f>
        <v/>
      </c>
      <c r="AW4388">
        <f>IF('01_Вводные'!$B$234="Да",IF('01_Вводные'!$B$25&gt;0,ROUNDUP(ROUND('19_Расчет_аналитики'!AW4386/'01_Вводные'!$B$25,10),0),0),0)</f>
        <v/>
      </c>
      <c r="AX4388">
        <f>IF('01_Вводные'!$B$234="Да",IF('01_Вводные'!$B$25&gt;0,ROUNDUP(ROUND('19_Расчет_аналитики'!AX4386/'01_Вводные'!$B$25,10),0),0),0)</f>
        <v/>
      </c>
      <c r="AY4388">
        <f>IF('01_Вводные'!$B$234="Да",IF('01_Вводные'!$B$25&gt;0,ROUNDUP(ROUND('19_Расчет_аналитики'!AY4386/'01_Вводные'!$B$25,10),0),0),0)</f>
        <v/>
      </c>
      <c r="AZ4388">
        <f>IF('01_Вводные'!$B$234="Да",IF('01_Вводные'!$B$25&gt;0,ROUNDUP(ROUND('19_Расчет_аналитики'!AZ4386/'01_Вводные'!$B$25,10),0),0),0)</f>
        <v/>
      </c>
      <c r="BA4388">
        <f>IF('01_Вводные'!$B$234="Да",IF('01_Вводные'!$B$25&gt;0,ROUNDUP(ROUND('19_Расчет_аналитики'!BA4386/'01_Вводные'!$B$25,10),0),0),0)</f>
        <v/>
      </c>
      <c r="BB4388">
        <f>IF('01_Вводные'!$B$234="Да",IF('01_Вводные'!$B$25&gt;0,ROUNDUP(ROUND('19_Расчет_аналитики'!BB4386/'01_Вводные'!$B$25,10),0),0),0)</f>
        <v/>
      </c>
      <c r="BC4388">
        <f>IF('01_Вводные'!$B$234="Да",IF('01_Вводные'!$B$25&gt;0,ROUNDUP(ROUND('19_Расчет_аналитики'!BC4386/'01_Вводные'!$B$25,10),0),0),0)</f>
        <v/>
      </c>
      <c r="BD4388">
        <f>IF('01_Вводные'!$B$234="Да",IF('01_Вводные'!$B$25&gt;0,ROUNDUP(ROUND('19_Расчет_аналитики'!BD4386/'01_Вводные'!$B$25,10),0),0),0)</f>
        <v/>
      </c>
      <c r="BE4388">
        <f>IF('01_Вводные'!$B$234="Да",IF('01_Вводные'!$B$25&gt;0,ROUNDUP(ROUND('19_Расчет_аналитики'!BE4386/'01_Вводные'!$B$25,10),0),0),0)</f>
        <v/>
      </c>
      <c r="BF4388">
        <f>IF('01_Вводные'!$B$234="Да",IF('01_Вводные'!$B$25&gt;0,ROUNDUP(ROUND('19_Расчет_аналитики'!BF4386/'01_Вводные'!$B$25,10),0),0),0)</f>
        <v/>
      </c>
      <c r="BG4388">
        <f>IF('01_Вводные'!$B$234="Да",IF('01_Вводные'!$B$25&gt;0,ROUNDUP(ROUND('19_Расчет_аналитики'!BG4386/'01_Вводные'!$B$25,10),0),0),0)</f>
        <v/>
      </c>
      <c r="BH4388">
        <f>IF('01_Вводные'!$B$234="Да",IF('01_Вводные'!$B$25&gt;0,ROUNDUP(ROUND('19_Расчет_аналитики'!BH4386/'01_Вводные'!$B$25,10),0),0),0)</f>
        <v/>
      </c>
      <c r="BI4388">
        <f>IF('01_Вводные'!$B$234="Да",IF('01_Вводные'!$B$25&gt;0,ROUNDUP(ROUND('19_Расчет_аналитики'!BI4386/'01_Вводные'!$B$25,10),0),0),0)</f>
        <v/>
      </c>
    </row>
    <row r="4389">
      <c r="B4389">
        <f>IF('01_Вводные'!$B$234="Да",IF(1&lt;='01_Вводные'!$B$15,0,INDEX('19_Расчет_аналитики'!$B$4386:$BI$4386,1,1-'01_Вводные'!$B$15))*'01_Вводные'!$B$298,0)</f>
        <v/>
      </c>
      <c r="C4389">
        <f>IF('01_Вводные'!$B$234="Да",IF(2&lt;='01_Вводные'!$B$15,0,INDEX('19_Расчет_аналитики'!$B$4386:$BI$4386,1,2-'01_Вводные'!$B$15))*'01_Вводные'!$B$298,0)</f>
        <v/>
      </c>
      <c r="D4389">
        <f>IF('01_Вводные'!$B$234="Да",IF(3&lt;='01_Вводные'!$B$15,0,INDEX('19_Расчет_аналитики'!$B$4386:$BI$4386,1,3-'01_Вводные'!$B$15))*'01_Вводные'!$B$298,0)</f>
        <v/>
      </c>
      <c r="E4389">
        <f>IF('01_Вводные'!$B$234="Да",IF(4&lt;='01_Вводные'!$B$15,0,INDEX('19_Расчет_аналитики'!$B$4386:$BI$4386,1,4-'01_Вводные'!$B$15))*'01_Вводные'!$B$298,0)</f>
        <v/>
      </c>
      <c r="F4389">
        <f>IF('01_Вводные'!$B$234="Да",IF(5&lt;='01_Вводные'!$B$15,0,INDEX('19_Расчет_аналитики'!$B$4386:$BI$4386,1,5-'01_Вводные'!$B$15))*'01_Вводные'!$B$298,0)</f>
        <v/>
      </c>
      <c r="G4389">
        <f>IF('01_Вводные'!$B$234="Да",IF(6&lt;='01_Вводные'!$B$15,0,INDEX('19_Расчет_аналитики'!$B$4386:$BI$4386,1,6-'01_Вводные'!$B$15))*'01_Вводные'!$B$298,0)</f>
        <v/>
      </c>
      <c r="H4389">
        <f>IF('01_Вводные'!$B$234="Да",IF(7&lt;='01_Вводные'!$B$15,0,INDEX('19_Расчет_аналитики'!$B$4386:$BI$4386,1,7-'01_Вводные'!$B$15))*'01_Вводные'!$B$298,0)</f>
        <v/>
      </c>
      <c r="I4389">
        <f>IF('01_Вводные'!$B$234="Да",IF(8&lt;='01_Вводные'!$B$15,0,INDEX('19_Расчет_аналитики'!$B$4386:$BI$4386,1,8-'01_Вводные'!$B$15))*'01_Вводные'!$B$298,0)</f>
        <v/>
      </c>
      <c r="J4389">
        <f>IF('01_Вводные'!$B$234="Да",IF(9&lt;='01_Вводные'!$B$15,0,INDEX('19_Расчет_аналитики'!$B$4386:$BI$4386,1,9-'01_Вводные'!$B$15))*'01_Вводные'!$B$298,0)</f>
        <v/>
      </c>
      <c r="K4389">
        <f>IF('01_Вводные'!$B$234="Да",IF(10&lt;='01_Вводные'!$B$15,0,INDEX('19_Расчет_аналитики'!$B$4386:$BI$4386,1,10-'01_Вводные'!$B$15))*'01_Вводные'!$B$298,0)</f>
        <v/>
      </c>
      <c r="L4389">
        <f>IF('01_Вводные'!$B$234="Да",IF(11&lt;='01_Вводные'!$B$15,0,INDEX('19_Расчет_аналитики'!$B$4386:$BI$4386,1,11-'01_Вводные'!$B$15))*'01_Вводные'!$B$298,0)</f>
        <v/>
      </c>
      <c r="M4389">
        <f>IF('01_Вводные'!$B$234="Да",IF(12&lt;='01_Вводные'!$B$15,0,INDEX('19_Расчет_аналитики'!$B$4386:$BI$4386,1,12-'01_Вводные'!$B$15))*'01_Вводные'!$B$298,0)</f>
        <v/>
      </c>
      <c r="N4389">
        <f>IF('01_Вводные'!$B$234="Да",IF(13&lt;='01_Вводные'!$B$15,0,INDEX('19_Расчет_аналитики'!$B$4386:$BI$4386,1,13-'01_Вводные'!$B$15))*'01_Вводные'!$B$298,0)</f>
        <v/>
      </c>
      <c r="O4389">
        <f>IF('01_Вводные'!$B$234="Да",IF(14&lt;='01_Вводные'!$B$15,0,INDEX('19_Расчет_аналитики'!$B$4386:$BI$4386,1,14-'01_Вводные'!$B$15))*'01_Вводные'!$B$298,0)</f>
        <v/>
      </c>
      <c r="P4389">
        <f>IF('01_Вводные'!$B$234="Да",IF(15&lt;='01_Вводные'!$B$15,0,INDEX('19_Расчет_аналитики'!$B$4386:$BI$4386,1,15-'01_Вводные'!$B$15))*'01_Вводные'!$B$298,0)</f>
        <v/>
      </c>
      <c r="Q4389">
        <f>IF('01_Вводные'!$B$234="Да",IF(16&lt;='01_Вводные'!$B$15,0,INDEX('19_Расчет_аналитики'!$B$4386:$BI$4386,1,16-'01_Вводные'!$B$15))*'01_Вводные'!$B$298,0)</f>
        <v/>
      </c>
      <c r="R4389">
        <f>IF('01_Вводные'!$B$234="Да",IF(17&lt;='01_Вводные'!$B$15,0,INDEX('19_Расчет_аналитики'!$B$4386:$BI$4386,1,17-'01_Вводные'!$B$15))*'01_Вводные'!$B$298,0)</f>
        <v/>
      </c>
      <c r="S4389">
        <f>IF('01_Вводные'!$B$234="Да",IF(18&lt;='01_Вводные'!$B$15,0,INDEX('19_Расчет_аналитики'!$B$4386:$BI$4386,1,18-'01_Вводные'!$B$15))*'01_Вводные'!$B$298,0)</f>
        <v/>
      </c>
      <c r="T4389">
        <f>IF('01_Вводные'!$B$234="Да",IF(19&lt;='01_Вводные'!$B$15,0,INDEX('19_Расчет_аналитики'!$B$4386:$BI$4386,1,19-'01_Вводные'!$B$15))*'01_Вводные'!$B$298,0)</f>
        <v/>
      </c>
      <c r="U4389">
        <f>IF('01_Вводные'!$B$234="Да",IF(20&lt;='01_Вводные'!$B$15,0,INDEX('19_Расчет_аналитики'!$B$4386:$BI$4386,1,20-'01_Вводные'!$B$15))*'01_Вводные'!$B$298,0)</f>
        <v/>
      </c>
      <c r="V4389">
        <f>IF('01_Вводные'!$B$234="Да",IF(21&lt;='01_Вводные'!$B$15,0,INDEX('19_Расчет_аналитики'!$B$4386:$BI$4386,1,21-'01_Вводные'!$B$15))*'01_Вводные'!$B$298,0)</f>
        <v/>
      </c>
      <c r="W4389">
        <f>IF('01_Вводные'!$B$234="Да",IF(22&lt;='01_Вводные'!$B$15,0,INDEX('19_Расчет_аналитики'!$B$4386:$BI$4386,1,22-'01_Вводные'!$B$15))*'01_Вводные'!$B$298,0)</f>
        <v/>
      </c>
      <c r="X4389">
        <f>IF('01_Вводные'!$B$234="Да",IF(23&lt;='01_Вводные'!$B$15,0,INDEX('19_Расчет_аналитики'!$B$4386:$BI$4386,1,23-'01_Вводные'!$B$15))*'01_Вводные'!$B$298,0)</f>
        <v/>
      </c>
      <c r="Y4389">
        <f>IF('01_Вводные'!$B$234="Да",IF(24&lt;='01_Вводные'!$B$15,0,INDEX('19_Расчет_аналитики'!$B$4386:$BI$4386,1,24-'01_Вводные'!$B$15))*'01_Вводные'!$B$298,0)</f>
        <v/>
      </c>
      <c r="Z4389">
        <f>IF('01_Вводные'!$B$234="Да",IF(25&lt;='01_Вводные'!$B$15,0,INDEX('19_Расчет_аналитики'!$B$4386:$BI$4386,1,25-'01_Вводные'!$B$15))*'01_Вводные'!$B$298,0)</f>
        <v/>
      </c>
      <c r="AA4389">
        <f>IF('01_Вводные'!$B$234="Да",IF(26&lt;='01_Вводные'!$B$15,0,INDEX('19_Расчет_аналитики'!$B$4386:$BI$4386,1,26-'01_Вводные'!$B$15))*'01_Вводные'!$B$298,0)</f>
        <v/>
      </c>
      <c r="AB4389">
        <f>IF('01_Вводные'!$B$234="Да",IF(27&lt;='01_Вводные'!$B$15,0,INDEX('19_Расчет_аналитики'!$B$4386:$BI$4386,1,27-'01_Вводные'!$B$15))*'01_Вводные'!$B$298,0)</f>
        <v/>
      </c>
      <c r="AC4389">
        <f>IF('01_Вводные'!$B$234="Да",IF(28&lt;='01_Вводные'!$B$15,0,INDEX('19_Расчет_аналитики'!$B$4386:$BI$4386,1,28-'01_Вводные'!$B$15))*'01_Вводные'!$B$298,0)</f>
        <v/>
      </c>
      <c r="AD4389">
        <f>IF('01_Вводные'!$B$234="Да",IF(29&lt;='01_Вводные'!$B$15,0,INDEX('19_Расчет_аналитики'!$B$4386:$BI$4386,1,29-'01_Вводные'!$B$15))*'01_Вводные'!$B$298,0)</f>
        <v/>
      </c>
      <c r="AE4389">
        <f>IF('01_Вводные'!$B$234="Да",IF(30&lt;='01_Вводные'!$B$15,0,INDEX('19_Расчет_аналитики'!$B$4386:$BI$4386,1,30-'01_Вводные'!$B$15))*'01_Вводные'!$B$298,0)</f>
        <v/>
      </c>
      <c r="AF4389">
        <f>IF('01_Вводные'!$B$234="Да",IF(31&lt;='01_Вводные'!$B$15,0,INDEX('19_Расчет_аналитики'!$B$4386:$BI$4386,1,31-'01_Вводные'!$B$15))*'01_Вводные'!$B$298,0)</f>
        <v/>
      </c>
      <c r="AG4389">
        <f>IF('01_Вводные'!$B$234="Да",IF(32&lt;='01_Вводные'!$B$15,0,INDEX('19_Расчет_аналитики'!$B$4386:$BI$4386,1,32-'01_Вводные'!$B$15))*'01_Вводные'!$B$298,0)</f>
        <v/>
      </c>
      <c r="AH4389">
        <f>IF('01_Вводные'!$B$234="Да",IF(33&lt;='01_Вводные'!$B$15,0,INDEX('19_Расчет_аналитики'!$B$4386:$BI$4386,1,33-'01_Вводные'!$B$15))*'01_Вводные'!$B$298,0)</f>
        <v/>
      </c>
      <c r="AI4389">
        <f>IF('01_Вводные'!$B$234="Да",IF(34&lt;='01_Вводные'!$B$15,0,INDEX('19_Расчет_аналитики'!$B$4386:$BI$4386,1,34-'01_Вводные'!$B$15))*'01_Вводные'!$B$298,0)</f>
        <v/>
      </c>
      <c r="AJ4389">
        <f>IF('01_Вводные'!$B$234="Да",IF(35&lt;='01_Вводные'!$B$15,0,INDEX('19_Расчет_аналитики'!$B$4386:$BI$4386,1,35-'01_Вводные'!$B$15))*'01_Вводные'!$B$298,0)</f>
        <v/>
      </c>
      <c r="AK4389">
        <f>IF('01_Вводные'!$B$234="Да",IF(36&lt;='01_Вводные'!$B$15,0,INDEX('19_Расчет_аналитики'!$B$4386:$BI$4386,1,36-'01_Вводные'!$B$15))*'01_Вводные'!$B$298,0)</f>
        <v/>
      </c>
      <c r="AL4389">
        <f>IF('01_Вводные'!$B$234="Да",IF(37&lt;='01_Вводные'!$B$15,0,INDEX('19_Расчет_аналитики'!$B$4386:$BI$4386,1,37-'01_Вводные'!$B$15))*'01_Вводные'!$B$298,0)</f>
        <v/>
      </c>
      <c r="AM4389">
        <f>IF('01_Вводные'!$B$234="Да",IF(38&lt;='01_Вводные'!$B$15,0,INDEX('19_Расчет_аналитики'!$B$4386:$BI$4386,1,38-'01_Вводные'!$B$15))*'01_Вводные'!$B$298,0)</f>
        <v/>
      </c>
      <c r="AN4389">
        <f>IF('01_Вводные'!$B$234="Да",IF(39&lt;='01_Вводные'!$B$15,0,INDEX('19_Расчет_аналитики'!$B$4386:$BI$4386,1,39-'01_Вводные'!$B$15))*'01_Вводные'!$B$298,0)</f>
        <v/>
      </c>
      <c r="AO4389">
        <f>IF('01_Вводные'!$B$234="Да",IF(40&lt;='01_Вводные'!$B$15,0,INDEX('19_Расчет_аналитики'!$B$4386:$BI$4386,1,40-'01_Вводные'!$B$15))*'01_Вводные'!$B$298,0)</f>
        <v/>
      </c>
      <c r="AP4389">
        <f>IF('01_Вводные'!$B$234="Да",IF(41&lt;='01_Вводные'!$B$15,0,INDEX('19_Расчет_аналитики'!$B$4386:$BI$4386,1,41-'01_Вводные'!$B$15))*'01_Вводные'!$B$298,0)</f>
        <v/>
      </c>
      <c r="AQ4389">
        <f>IF('01_Вводные'!$B$234="Да",IF(42&lt;='01_Вводные'!$B$15,0,INDEX('19_Расчет_аналитики'!$B$4386:$BI$4386,1,42-'01_Вводные'!$B$15))*'01_Вводные'!$B$298,0)</f>
        <v/>
      </c>
      <c r="AR4389">
        <f>IF('01_Вводные'!$B$234="Да",IF(43&lt;='01_Вводные'!$B$15,0,INDEX('19_Расчет_аналитики'!$B$4386:$BI$4386,1,43-'01_Вводные'!$B$15))*'01_Вводные'!$B$298,0)</f>
        <v/>
      </c>
      <c r="AS4389">
        <f>IF('01_Вводные'!$B$234="Да",IF(44&lt;='01_Вводные'!$B$15,0,INDEX('19_Расчет_аналитики'!$B$4386:$BI$4386,1,44-'01_Вводные'!$B$15))*'01_Вводные'!$B$298,0)</f>
        <v/>
      </c>
      <c r="AT4389">
        <f>IF('01_Вводные'!$B$234="Да",IF(45&lt;='01_Вводные'!$B$15,0,INDEX('19_Расчет_аналитики'!$B$4386:$BI$4386,1,45-'01_Вводные'!$B$15))*'01_Вводные'!$B$298,0)</f>
        <v/>
      </c>
      <c r="AU4389">
        <f>IF('01_Вводные'!$B$234="Да",IF(46&lt;='01_Вводные'!$B$15,0,INDEX('19_Расчет_аналитики'!$B$4386:$BI$4386,1,46-'01_Вводные'!$B$15))*'01_Вводные'!$B$298,0)</f>
        <v/>
      </c>
      <c r="AV4389">
        <f>IF('01_Вводные'!$B$234="Да",IF(47&lt;='01_Вводные'!$B$15,0,INDEX('19_Расчет_аналитики'!$B$4386:$BI$4386,1,47-'01_Вводные'!$B$15))*'01_Вводные'!$B$298,0)</f>
        <v/>
      </c>
      <c r="AW4389">
        <f>IF('01_Вводные'!$B$234="Да",IF(48&lt;='01_Вводные'!$B$15,0,INDEX('19_Расчет_аналитики'!$B$4386:$BI$4386,1,48-'01_Вводные'!$B$15))*'01_Вводные'!$B$298,0)</f>
        <v/>
      </c>
      <c r="AX4389">
        <f>IF('01_Вводные'!$B$234="Да",IF(49&lt;='01_Вводные'!$B$15,0,INDEX('19_Расчет_аналитики'!$B$4386:$BI$4386,1,49-'01_Вводные'!$B$15))*'01_Вводные'!$B$298,0)</f>
        <v/>
      </c>
      <c r="AY4389">
        <f>IF('01_Вводные'!$B$234="Да",IF(50&lt;='01_Вводные'!$B$15,0,INDEX('19_Расчет_аналитики'!$B$4386:$BI$4386,1,50-'01_Вводные'!$B$15))*'01_Вводные'!$B$298,0)</f>
        <v/>
      </c>
      <c r="AZ4389">
        <f>IF('01_Вводные'!$B$234="Да",IF(51&lt;='01_Вводные'!$B$15,0,INDEX('19_Расчет_аналитики'!$B$4386:$BI$4386,1,51-'01_Вводные'!$B$15))*'01_Вводные'!$B$298,0)</f>
        <v/>
      </c>
      <c r="BA4389">
        <f>IF('01_Вводные'!$B$234="Да",IF(52&lt;='01_Вводные'!$B$15,0,INDEX('19_Расчет_аналитики'!$B$4386:$BI$4386,1,52-'01_Вводные'!$B$15))*'01_Вводные'!$B$298,0)</f>
        <v/>
      </c>
      <c r="BB4389">
        <f>IF('01_Вводные'!$B$234="Да",IF(53&lt;='01_Вводные'!$B$15,0,INDEX('19_Расчет_аналитики'!$B$4386:$BI$4386,1,53-'01_Вводные'!$B$15))*'01_Вводные'!$B$298,0)</f>
        <v/>
      </c>
      <c r="BC4389">
        <f>IF('01_Вводные'!$B$234="Да",IF(54&lt;='01_Вводные'!$B$15,0,INDEX('19_Расчет_аналитики'!$B$4386:$BI$4386,1,54-'01_Вводные'!$B$15))*'01_Вводные'!$B$298,0)</f>
        <v/>
      </c>
      <c r="BD4389">
        <f>IF('01_Вводные'!$B$234="Да",IF(55&lt;='01_Вводные'!$B$15,0,INDEX('19_Расчет_аналитики'!$B$4386:$BI$4386,1,55-'01_Вводные'!$B$15))*'01_Вводные'!$B$298,0)</f>
        <v/>
      </c>
      <c r="BE4389">
        <f>IF('01_Вводные'!$B$234="Да",IF(56&lt;='01_Вводные'!$B$15,0,INDEX('19_Расчет_аналитики'!$B$4386:$BI$4386,1,56-'01_Вводные'!$B$15))*'01_Вводные'!$B$298,0)</f>
        <v/>
      </c>
      <c r="BF4389">
        <f>IF('01_Вводные'!$B$234="Да",IF(57&lt;='01_Вводные'!$B$15,0,INDEX('19_Расчет_аналитики'!$B$4386:$BI$4386,1,57-'01_Вводные'!$B$15))*'01_Вводные'!$B$298,0)</f>
        <v/>
      </c>
      <c r="BG4389">
        <f>IF('01_Вводные'!$B$234="Да",IF(58&lt;='01_Вводные'!$B$15,0,INDEX('19_Расчет_аналитики'!$B$4386:$BI$4386,1,58-'01_Вводные'!$B$15))*'01_Вводные'!$B$298,0)</f>
        <v/>
      </c>
      <c r="BH4389">
        <f>IF('01_Вводные'!$B$234="Да",IF(59&lt;='01_Вводные'!$B$15,0,INDEX('19_Расчет_аналитики'!$B$4386:$BI$4386,1,59-'01_Вводные'!$B$15))*'01_Вводные'!$B$298,0)</f>
        <v/>
      </c>
      <c r="BI4389">
        <f>IF('01_Вводные'!$B$234="Да",IF(60&lt;='01_Вводные'!$B$15,0,INDEX('19_Расчет_аналитики'!$B$4386:$BI$4386,1,60-'01_Вводные'!$B$15))*'01_Вводные'!$B$298,0)</f>
        <v/>
      </c>
    </row>
    <row r="4390"/>
    <row r="4391"/>
    <row r="4392">
      <c r="B4392">
        <f>IF('01_Вводные'!$B$234="Да",SUMIF('04_Продажи'!$B$28:$BI$28,'04_Продажи'!B$11,'19_Расчет_аналитики'!$B$4386:$BI$4386)*'19_Расчет_аналитики'!B4857,0)</f>
        <v/>
      </c>
      <c r="C4392">
        <f>IF('01_Вводные'!$B$234="Да",SUMIF('04_Продажи'!$B$28:$BI$28,'04_Продажи'!C$11,'19_Расчет_аналитики'!$B$4386:$BI$4386)*'19_Расчет_аналитики'!C4857,0)</f>
        <v/>
      </c>
      <c r="D4392">
        <f>IF('01_Вводные'!$B$234="Да",SUMIF('04_Продажи'!$B$28:$BI$28,'04_Продажи'!D$11,'19_Расчет_аналитики'!$B$4386:$BI$4386)*'19_Расчет_аналитики'!D4857,0)</f>
        <v/>
      </c>
      <c r="E4392">
        <f>IF('01_Вводные'!$B$234="Да",SUMIF('04_Продажи'!$B$28:$BI$28,'04_Продажи'!E$11,'19_Расчет_аналитики'!$B$4386:$BI$4386)*'19_Расчет_аналитики'!E4857,0)</f>
        <v/>
      </c>
      <c r="F4392">
        <f>IF('01_Вводные'!$B$234="Да",SUMIF('04_Продажи'!$B$28:$BI$28,'04_Продажи'!F$11,'19_Расчет_аналитики'!$B$4386:$BI$4386)*'19_Расчет_аналитики'!F4857,0)</f>
        <v/>
      </c>
      <c r="G4392">
        <f>IF('01_Вводные'!$B$234="Да",SUMIF('04_Продажи'!$B$28:$BI$28,'04_Продажи'!G$11,'19_Расчет_аналитики'!$B$4386:$BI$4386)*'19_Расчет_аналитики'!G4857,0)</f>
        <v/>
      </c>
      <c r="H4392">
        <f>IF('01_Вводные'!$B$234="Да",SUMIF('04_Продажи'!$B$28:$BI$28,'04_Продажи'!H$11,'19_Расчет_аналитики'!$B$4386:$BI$4386)*'19_Расчет_аналитики'!H4857,0)</f>
        <v/>
      </c>
      <c r="I4392">
        <f>IF('01_Вводные'!$B$234="Да",SUMIF('04_Продажи'!$B$28:$BI$28,'04_Продажи'!I$11,'19_Расчет_аналитики'!$B$4386:$BI$4386)*'19_Расчет_аналитики'!I4857,0)</f>
        <v/>
      </c>
      <c r="J4392">
        <f>IF('01_Вводные'!$B$234="Да",SUMIF('04_Продажи'!$B$28:$BI$28,'04_Продажи'!J$11,'19_Расчет_аналитики'!$B$4386:$BI$4386)*'19_Расчет_аналитики'!J4857,0)</f>
        <v/>
      </c>
      <c r="K4392">
        <f>IF('01_Вводные'!$B$234="Да",SUMIF('04_Продажи'!$B$28:$BI$28,'04_Продажи'!K$11,'19_Расчет_аналитики'!$B$4386:$BI$4386)*'19_Расчет_аналитики'!K4857,0)</f>
        <v/>
      </c>
      <c r="L4392">
        <f>IF('01_Вводные'!$B$234="Да",SUMIF('04_Продажи'!$B$28:$BI$28,'04_Продажи'!L$11,'19_Расчет_аналитики'!$B$4386:$BI$4386)*'19_Расчет_аналитики'!L4857,0)</f>
        <v/>
      </c>
      <c r="M4392">
        <f>IF('01_Вводные'!$B$234="Да",SUMIF('04_Продажи'!$B$28:$BI$28,'04_Продажи'!M$11,'19_Расчет_аналитики'!$B$4386:$BI$4386)*'19_Расчет_аналитики'!M4857,0)</f>
        <v/>
      </c>
      <c r="N4392">
        <f>IF('01_Вводные'!$B$234="Да",SUMIF('04_Продажи'!$B$28:$BI$28,'04_Продажи'!N$11,'19_Расчет_аналитики'!$B$4386:$BI$4386)*'19_Расчет_аналитики'!N4857,0)</f>
        <v/>
      </c>
      <c r="O4392">
        <f>IF('01_Вводные'!$B$234="Да",SUMIF('04_Продажи'!$B$28:$BI$28,'04_Продажи'!O$11,'19_Расчет_аналитики'!$B$4386:$BI$4386)*'19_Расчет_аналитики'!O4857,0)</f>
        <v/>
      </c>
      <c r="P4392">
        <f>IF('01_Вводные'!$B$234="Да",SUMIF('04_Продажи'!$B$28:$BI$28,'04_Продажи'!P$11,'19_Расчет_аналитики'!$B$4386:$BI$4386)*'19_Расчет_аналитики'!P4857,0)</f>
        <v/>
      </c>
      <c r="Q4392">
        <f>IF('01_Вводные'!$B$234="Да",SUMIF('04_Продажи'!$B$28:$BI$28,'04_Продажи'!Q$11,'19_Расчет_аналитики'!$B$4386:$BI$4386)*'19_Расчет_аналитики'!Q4857,0)</f>
        <v/>
      </c>
      <c r="R4392">
        <f>IF('01_Вводные'!$B$234="Да",SUMIF('04_Продажи'!$B$28:$BI$28,'04_Продажи'!R$11,'19_Расчет_аналитики'!$B$4386:$BI$4386)*'19_Расчет_аналитики'!R4857,0)</f>
        <v/>
      </c>
      <c r="S4392">
        <f>IF('01_Вводные'!$B$234="Да",SUMIF('04_Продажи'!$B$28:$BI$28,'04_Продажи'!S$11,'19_Расчет_аналитики'!$B$4386:$BI$4386)*'19_Расчет_аналитики'!S4857,0)</f>
        <v/>
      </c>
      <c r="T4392">
        <f>IF('01_Вводные'!$B$234="Да",SUMIF('04_Продажи'!$B$28:$BI$28,'04_Продажи'!T$11,'19_Расчет_аналитики'!$B$4386:$BI$4386)*'19_Расчет_аналитики'!T4857,0)</f>
        <v/>
      </c>
      <c r="U4392">
        <f>IF('01_Вводные'!$B$234="Да",SUMIF('04_Продажи'!$B$28:$BI$28,'04_Продажи'!U$11,'19_Расчет_аналитики'!$B$4386:$BI$4386)*'19_Расчет_аналитики'!U4857,0)</f>
        <v/>
      </c>
      <c r="V4392">
        <f>IF('01_Вводные'!$B$234="Да",SUMIF('04_Продажи'!$B$28:$BI$28,'04_Продажи'!V$11,'19_Расчет_аналитики'!$B$4386:$BI$4386)*'19_Расчет_аналитики'!V4857,0)</f>
        <v/>
      </c>
      <c r="W4392">
        <f>IF('01_Вводные'!$B$234="Да",SUMIF('04_Продажи'!$B$28:$BI$28,'04_Продажи'!W$11,'19_Расчет_аналитики'!$B$4386:$BI$4386)*'19_Расчет_аналитики'!W4857,0)</f>
        <v/>
      </c>
      <c r="X4392">
        <f>IF('01_Вводные'!$B$234="Да",SUMIF('04_Продажи'!$B$28:$BI$28,'04_Продажи'!X$11,'19_Расчет_аналитики'!$B$4386:$BI$4386)*'19_Расчет_аналитики'!X4857,0)</f>
        <v/>
      </c>
      <c r="Y4392">
        <f>IF('01_Вводные'!$B$234="Да",SUMIF('04_Продажи'!$B$28:$BI$28,'04_Продажи'!Y$11,'19_Расчет_аналитики'!$B$4386:$BI$4386)*'19_Расчет_аналитики'!Y4857,0)</f>
        <v/>
      </c>
      <c r="Z4392">
        <f>IF('01_Вводные'!$B$234="Да",SUMIF('04_Продажи'!$B$28:$BI$28,'04_Продажи'!Z$11,'19_Расчет_аналитики'!$B$4386:$BI$4386)*'19_Расчет_аналитики'!Z4857,0)</f>
        <v/>
      </c>
      <c r="AA4392">
        <f>IF('01_Вводные'!$B$234="Да",SUMIF('04_Продажи'!$B$28:$BI$28,'04_Продажи'!AA$11,'19_Расчет_аналитики'!$B$4386:$BI$4386)*'19_Расчет_аналитики'!AA4857,0)</f>
        <v/>
      </c>
      <c r="AB4392">
        <f>IF('01_Вводные'!$B$234="Да",SUMIF('04_Продажи'!$B$28:$BI$28,'04_Продажи'!AB$11,'19_Расчет_аналитики'!$B$4386:$BI$4386)*'19_Расчет_аналитики'!AB4857,0)</f>
        <v/>
      </c>
      <c r="AC4392">
        <f>IF('01_Вводные'!$B$234="Да",SUMIF('04_Продажи'!$B$28:$BI$28,'04_Продажи'!AC$11,'19_Расчет_аналитики'!$B$4386:$BI$4386)*'19_Расчет_аналитики'!AC4857,0)</f>
        <v/>
      </c>
      <c r="AD4392">
        <f>IF('01_Вводные'!$B$234="Да",SUMIF('04_Продажи'!$B$28:$BI$28,'04_Продажи'!AD$11,'19_Расчет_аналитики'!$B$4386:$BI$4386)*'19_Расчет_аналитики'!AD4857,0)</f>
        <v/>
      </c>
      <c r="AE4392">
        <f>IF('01_Вводные'!$B$234="Да",SUMIF('04_Продажи'!$B$28:$BI$28,'04_Продажи'!AE$11,'19_Расчет_аналитики'!$B$4386:$BI$4386)*'19_Расчет_аналитики'!AE4857,0)</f>
        <v/>
      </c>
      <c r="AF4392">
        <f>IF('01_Вводные'!$B$234="Да",SUMIF('04_Продажи'!$B$28:$BI$28,'04_Продажи'!AF$11,'19_Расчет_аналитики'!$B$4386:$BI$4386)*'19_Расчет_аналитики'!AF4857,0)</f>
        <v/>
      </c>
      <c r="AG4392">
        <f>IF('01_Вводные'!$B$234="Да",SUMIF('04_Продажи'!$B$28:$BI$28,'04_Продажи'!AG$11,'19_Расчет_аналитики'!$B$4386:$BI$4386)*'19_Расчет_аналитики'!AG4857,0)</f>
        <v/>
      </c>
      <c r="AH4392">
        <f>IF('01_Вводные'!$B$234="Да",SUMIF('04_Продажи'!$B$28:$BI$28,'04_Продажи'!AH$11,'19_Расчет_аналитики'!$B$4386:$BI$4386)*'19_Расчет_аналитики'!AH4857,0)</f>
        <v/>
      </c>
      <c r="AI4392">
        <f>IF('01_Вводные'!$B$234="Да",SUMIF('04_Продажи'!$B$28:$BI$28,'04_Продажи'!AI$11,'19_Расчет_аналитики'!$B$4386:$BI$4386)*'19_Расчет_аналитики'!AI4857,0)</f>
        <v/>
      </c>
      <c r="AJ4392">
        <f>IF('01_Вводные'!$B$234="Да",SUMIF('04_Продажи'!$B$28:$BI$28,'04_Продажи'!AJ$11,'19_Расчет_аналитики'!$B$4386:$BI$4386)*'19_Расчет_аналитики'!AJ4857,0)</f>
        <v/>
      </c>
      <c r="AK4392">
        <f>IF('01_Вводные'!$B$234="Да",SUMIF('04_Продажи'!$B$28:$BI$28,'04_Продажи'!AK$11,'19_Расчет_аналитики'!$B$4386:$BI$4386)*'19_Расчет_аналитики'!AK4857,0)</f>
        <v/>
      </c>
      <c r="AL4392">
        <f>IF('01_Вводные'!$B$234="Да",SUMIF('04_Продажи'!$B$28:$BI$28,'04_Продажи'!AL$11,'19_Расчет_аналитики'!$B$4386:$BI$4386)*'19_Расчет_аналитики'!AL4857,0)</f>
        <v/>
      </c>
      <c r="AM4392">
        <f>IF('01_Вводные'!$B$234="Да",SUMIF('04_Продажи'!$B$28:$BI$28,'04_Продажи'!AM$11,'19_Расчет_аналитики'!$B$4386:$BI$4386)*'19_Расчет_аналитики'!AM4857,0)</f>
        <v/>
      </c>
      <c r="AN4392">
        <f>IF('01_Вводные'!$B$234="Да",SUMIF('04_Продажи'!$B$28:$BI$28,'04_Продажи'!AN$11,'19_Расчет_аналитики'!$B$4386:$BI$4386)*'19_Расчет_аналитики'!AN4857,0)</f>
        <v/>
      </c>
      <c r="AO4392">
        <f>IF('01_Вводные'!$B$234="Да",SUMIF('04_Продажи'!$B$28:$BI$28,'04_Продажи'!AO$11,'19_Расчет_аналитики'!$B$4386:$BI$4386)*'19_Расчет_аналитики'!AO4857,0)</f>
        <v/>
      </c>
      <c r="AP4392">
        <f>IF('01_Вводные'!$B$234="Да",SUMIF('04_Продажи'!$B$28:$BI$28,'04_Продажи'!AP$11,'19_Расчет_аналитики'!$B$4386:$BI$4386)*'19_Расчет_аналитики'!AP4857,0)</f>
        <v/>
      </c>
      <c r="AQ4392">
        <f>IF('01_Вводные'!$B$234="Да",SUMIF('04_Продажи'!$B$28:$BI$28,'04_Продажи'!AQ$11,'19_Расчет_аналитики'!$B$4386:$BI$4386)*'19_Расчет_аналитики'!AQ4857,0)</f>
        <v/>
      </c>
      <c r="AR4392">
        <f>IF('01_Вводные'!$B$234="Да",SUMIF('04_Продажи'!$B$28:$BI$28,'04_Продажи'!AR$11,'19_Расчет_аналитики'!$B$4386:$BI$4386)*'19_Расчет_аналитики'!AR4857,0)</f>
        <v/>
      </c>
      <c r="AS4392">
        <f>IF('01_Вводные'!$B$234="Да",SUMIF('04_Продажи'!$B$28:$BI$28,'04_Продажи'!AS$11,'19_Расчет_аналитики'!$B$4386:$BI$4386)*'19_Расчет_аналитики'!AS4857,0)</f>
        <v/>
      </c>
      <c r="AT4392">
        <f>IF('01_Вводные'!$B$234="Да",SUMIF('04_Продажи'!$B$28:$BI$28,'04_Продажи'!AT$11,'19_Расчет_аналитики'!$B$4386:$BI$4386)*'19_Расчет_аналитики'!AT4857,0)</f>
        <v/>
      </c>
      <c r="AU4392">
        <f>IF('01_Вводные'!$B$234="Да",SUMIF('04_Продажи'!$B$28:$BI$28,'04_Продажи'!AU$11,'19_Расчет_аналитики'!$B$4386:$BI$4386)*'19_Расчет_аналитики'!AU4857,0)</f>
        <v/>
      </c>
      <c r="AV4392">
        <f>IF('01_Вводные'!$B$234="Да",SUMIF('04_Продажи'!$B$28:$BI$28,'04_Продажи'!AV$11,'19_Расчет_аналитики'!$B$4386:$BI$4386)*'19_Расчет_аналитики'!AV4857,0)</f>
        <v/>
      </c>
      <c r="AW4392">
        <f>IF('01_Вводные'!$B$234="Да",SUMIF('04_Продажи'!$B$28:$BI$28,'04_Продажи'!AW$11,'19_Расчет_аналитики'!$B$4386:$BI$4386)*'19_Расчет_аналитики'!AW4857,0)</f>
        <v/>
      </c>
      <c r="AX4392">
        <f>IF('01_Вводные'!$B$234="Да",SUMIF('04_Продажи'!$B$28:$BI$28,'04_Продажи'!AX$11,'19_Расчет_аналитики'!$B$4386:$BI$4386)*'19_Расчет_аналитики'!AX4857,0)</f>
        <v/>
      </c>
      <c r="AY4392">
        <f>IF('01_Вводные'!$B$234="Да",SUMIF('04_Продажи'!$B$28:$BI$28,'04_Продажи'!AY$11,'19_Расчет_аналитики'!$B$4386:$BI$4386)*'19_Расчет_аналитики'!AY4857,0)</f>
        <v/>
      </c>
      <c r="AZ4392">
        <f>IF('01_Вводные'!$B$234="Да",SUMIF('04_Продажи'!$B$28:$BI$28,'04_Продажи'!AZ$11,'19_Расчет_аналитики'!$B$4386:$BI$4386)*'19_Расчет_аналитики'!AZ4857,0)</f>
        <v/>
      </c>
      <c r="BA4392">
        <f>IF('01_Вводные'!$B$234="Да",SUMIF('04_Продажи'!$B$28:$BI$28,'04_Продажи'!BA$11,'19_Расчет_аналитики'!$B$4386:$BI$4386)*'19_Расчет_аналитики'!BA4857,0)</f>
        <v/>
      </c>
      <c r="BB4392">
        <f>IF('01_Вводные'!$B$234="Да",SUMIF('04_Продажи'!$B$28:$BI$28,'04_Продажи'!BB$11,'19_Расчет_аналитики'!$B$4386:$BI$4386)*'19_Расчет_аналитики'!BB4857,0)</f>
        <v/>
      </c>
      <c r="BC4392">
        <f>IF('01_Вводные'!$B$234="Да",SUMIF('04_Продажи'!$B$28:$BI$28,'04_Продажи'!BC$11,'19_Расчет_аналитики'!$B$4386:$BI$4386)*'19_Расчет_аналитики'!BC4857,0)</f>
        <v/>
      </c>
      <c r="BD4392">
        <f>IF('01_Вводные'!$B$234="Да",SUMIF('04_Продажи'!$B$28:$BI$28,'04_Продажи'!BD$11,'19_Расчет_аналитики'!$B$4386:$BI$4386)*'19_Расчет_аналитики'!BD4857,0)</f>
        <v/>
      </c>
      <c r="BE4392">
        <f>IF('01_Вводные'!$B$234="Да",SUMIF('04_Продажи'!$B$28:$BI$28,'04_Продажи'!BE$11,'19_Расчет_аналитики'!$B$4386:$BI$4386)*'19_Расчет_аналитики'!BE4857,0)</f>
        <v/>
      </c>
      <c r="BF4392">
        <f>IF('01_Вводные'!$B$234="Да",SUMIF('04_Продажи'!$B$28:$BI$28,'04_Продажи'!BF$11,'19_Расчет_аналитики'!$B$4386:$BI$4386)*'19_Расчет_аналитики'!BF4857,0)</f>
        <v/>
      </c>
      <c r="BG4392">
        <f>IF('01_Вводные'!$B$234="Да",SUMIF('04_Продажи'!$B$28:$BI$28,'04_Продажи'!BG$11,'19_Расчет_аналитики'!$B$4386:$BI$4386)*'19_Расчет_аналитики'!BG4857,0)</f>
        <v/>
      </c>
      <c r="BH4392">
        <f>IF('01_Вводные'!$B$234="Да",SUMIF('04_Продажи'!$B$28:$BI$28,'04_Продажи'!BH$11,'19_Расчет_аналитики'!$B$4386:$BI$4386)*'19_Расчет_аналитики'!BH4857,0)</f>
        <v/>
      </c>
      <c r="BI4392">
        <f>IF('01_Вводные'!$B$234="Да",SUMIF('04_Продажи'!$B$28:$BI$28,'04_Продажи'!BI$11,'19_Расчет_аналитики'!$B$4386:$BI$4386)*'19_Расчет_аналитики'!BI4857,0)</f>
        <v/>
      </c>
    </row>
    <row r="4393"/>
    <row r="4394">
      <c r="B4394">
        <f>IF('01_Вводные'!$B$234="Да",'19_Расчет_аналитики'!B4392+'04_Продажи'!B22,0)</f>
        <v/>
      </c>
      <c r="C4394">
        <f>IF('01_Вводные'!$B$234="Да",'19_Расчет_аналитики'!C4392+'04_Продажи'!C22,0)</f>
        <v/>
      </c>
      <c r="D4394">
        <f>IF('01_Вводные'!$B$234="Да",'19_Расчет_аналитики'!D4392+'04_Продажи'!D22,0)</f>
        <v/>
      </c>
      <c r="E4394">
        <f>IF('01_Вводные'!$B$234="Да",'19_Расчет_аналитики'!E4392+'04_Продажи'!E22,0)</f>
        <v/>
      </c>
      <c r="F4394">
        <f>IF('01_Вводные'!$B$234="Да",'19_Расчет_аналитики'!F4392+'04_Продажи'!F22,0)</f>
        <v/>
      </c>
      <c r="G4394">
        <f>IF('01_Вводные'!$B$234="Да",'19_Расчет_аналитики'!G4392+'04_Продажи'!G22,0)</f>
        <v/>
      </c>
      <c r="H4394">
        <f>IF('01_Вводные'!$B$234="Да",'19_Расчет_аналитики'!H4392+'04_Продажи'!H22,0)</f>
        <v/>
      </c>
      <c r="I4394">
        <f>IF('01_Вводные'!$B$234="Да",'19_Расчет_аналитики'!I4392+'04_Продажи'!I22,0)</f>
        <v/>
      </c>
      <c r="J4394">
        <f>IF('01_Вводные'!$B$234="Да",'19_Расчет_аналитики'!J4392+'04_Продажи'!J22,0)</f>
        <v/>
      </c>
      <c r="K4394">
        <f>IF('01_Вводные'!$B$234="Да",'19_Расчет_аналитики'!K4392+'04_Продажи'!K22,0)</f>
        <v/>
      </c>
      <c r="L4394">
        <f>IF('01_Вводные'!$B$234="Да",'19_Расчет_аналитики'!L4392+'04_Продажи'!L22,0)</f>
        <v/>
      </c>
      <c r="M4394">
        <f>IF('01_Вводные'!$B$234="Да",'19_Расчет_аналитики'!M4392+'04_Продажи'!M22,0)</f>
        <v/>
      </c>
      <c r="N4394">
        <f>IF('01_Вводные'!$B$234="Да",'19_Расчет_аналитики'!N4392+'04_Продажи'!N22,0)</f>
        <v/>
      </c>
      <c r="O4394">
        <f>IF('01_Вводные'!$B$234="Да",'19_Расчет_аналитики'!O4392+'04_Продажи'!O22,0)</f>
        <v/>
      </c>
      <c r="P4394">
        <f>IF('01_Вводные'!$B$234="Да",'19_Расчет_аналитики'!P4392+'04_Продажи'!P22,0)</f>
        <v/>
      </c>
      <c r="Q4394">
        <f>IF('01_Вводные'!$B$234="Да",'19_Расчет_аналитики'!Q4392+'04_Продажи'!Q22,0)</f>
        <v/>
      </c>
      <c r="R4394">
        <f>IF('01_Вводные'!$B$234="Да",'19_Расчет_аналитики'!R4392+'04_Продажи'!R22,0)</f>
        <v/>
      </c>
      <c r="S4394">
        <f>IF('01_Вводные'!$B$234="Да",'19_Расчет_аналитики'!S4392+'04_Продажи'!S22,0)</f>
        <v/>
      </c>
      <c r="T4394">
        <f>IF('01_Вводные'!$B$234="Да",'19_Расчет_аналитики'!T4392+'04_Продажи'!T22,0)</f>
        <v/>
      </c>
      <c r="U4394">
        <f>IF('01_Вводные'!$B$234="Да",'19_Расчет_аналитики'!U4392+'04_Продажи'!U22,0)</f>
        <v/>
      </c>
      <c r="V4394">
        <f>IF('01_Вводные'!$B$234="Да",'19_Расчет_аналитики'!V4392+'04_Продажи'!V22,0)</f>
        <v/>
      </c>
      <c r="W4394">
        <f>IF('01_Вводные'!$B$234="Да",'19_Расчет_аналитики'!W4392+'04_Продажи'!W22,0)</f>
        <v/>
      </c>
      <c r="X4394">
        <f>IF('01_Вводные'!$B$234="Да",'19_Расчет_аналитики'!X4392+'04_Продажи'!X22,0)</f>
        <v/>
      </c>
      <c r="Y4394">
        <f>IF('01_Вводные'!$B$234="Да",'19_Расчет_аналитики'!Y4392+'04_Продажи'!Y22,0)</f>
        <v/>
      </c>
      <c r="Z4394">
        <f>IF('01_Вводные'!$B$234="Да",'19_Расчет_аналитики'!Z4392+'04_Продажи'!Z22,0)</f>
        <v/>
      </c>
      <c r="AA4394">
        <f>IF('01_Вводные'!$B$234="Да",'19_Расчет_аналитики'!AA4392+'04_Продажи'!AA22,0)</f>
        <v/>
      </c>
      <c r="AB4394">
        <f>IF('01_Вводные'!$B$234="Да",'19_Расчет_аналитики'!AB4392+'04_Продажи'!AB22,0)</f>
        <v/>
      </c>
      <c r="AC4394">
        <f>IF('01_Вводные'!$B$234="Да",'19_Расчет_аналитики'!AC4392+'04_Продажи'!AC22,0)</f>
        <v/>
      </c>
      <c r="AD4394">
        <f>IF('01_Вводные'!$B$234="Да",'19_Расчет_аналитики'!AD4392+'04_Продажи'!AD22,0)</f>
        <v/>
      </c>
      <c r="AE4394">
        <f>IF('01_Вводные'!$B$234="Да",'19_Расчет_аналитики'!AE4392+'04_Продажи'!AE22,0)</f>
        <v/>
      </c>
      <c r="AF4394">
        <f>IF('01_Вводные'!$B$234="Да",'19_Расчет_аналитики'!AF4392+'04_Продажи'!AF22,0)</f>
        <v/>
      </c>
      <c r="AG4394">
        <f>IF('01_Вводные'!$B$234="Да",'19_Расчет_аналитики'!AG4392+'04_Продажи'!AG22,0)</f>
        <v/>
      </c>
      <c r="AH4394">
        <f>IF('01_Вводные'!$B$234="Да",'19_Расчет_аналитики'!AH4392+'04_Продажи'!AH22,0)</f>
        <v/>
      </c>
      <c r="AI4394">
        <f>IF('01_Вводные'!$B$234="Да",'19_Расчет_аналитики'!AI4392+'04_Продажи'!AI22,0)</f>
        <v/>
      </c>
      <c r="AJ4394">
        <f>IF('01_Вводные'!$B$234="Да",'19_Расчет_аналитики'!AJ4392+'04_Продажи'!AJ22,0)</f>
        <v/>
      </c>
      <c r="AK4394">
        <f>IF('01_Вводные'!$B$234="Да",'19_Расчет_аналитики'!AK4392+'04_Продажи'!AK22,0)</f>
        <v/>
      </c>
      <c r="AL4394">
        <f>IF('01_Вводные'!$B$234="Да",'19_Расчет_аналитики'!AL4392+'04_Продажи'!AL22,0)</f>
        <v/>
      </c>
      <c r="AM4394">
        <f>IF('01_Вводные'!$B$234="Да",'19_Расчет_аналитики'!AM4392+'04_Продажи'!AM22,0)</f>
        <v/>
      </c>
      <c r="AN4394">
        <f>IF('01_Вводные'!$B$234="Да",'19_Расчет_аналитики'!AN4392+'04_Продажи'!AN22,0)</f>
        <v/>
      </c>
      <c r="AO4394">
        <f>IF('01_Вводные'!$B$234="Да",'19_Расчет_аналитики'!AO4392+'04_Продажи'!AO22,0)</f>
        <v/>
      </c>
      <c r="AP4394">
        <f>IF('01_Вводные'!$B$234="Да",'19_Расчет_аналитики'!AP4392+'04_Продажи'!AP22,0)</f>
        <v/>
      </c>
      <c r="AQ4394">
        <f>IF('01_Вводные'!$B$234="Да",'19_Расчет_аналитики'!AQ4392+'04_Продажи'!AQ22,0)</f>
        <v/>
      </c>
      <c r="AR4394">
        <f>IF('01_Вводные'!$B$234="Да",'19_Расчет_аналитики'!AR4392+'04_Продажи'!AR22,0)</f>
        <v/>
      </c>
      <c r="AS4394">
        <f>IF('01_Вводные'!$B$234="Да",'19_Расчет_аналитики'!AS4392+'04_Продажи'!AS22,0)</f>
        <v/>
      </c>
      <c r="AT4394">
        <f>IF('01_Вводные'!$B$234="Да",'19_Расчет_аналитики'!AT4392+'04_Продажи'!AT22,0)</f>
        <v/>
      </c>
      <c r="AU4394">
        <f>IF('01_Вводные'!$B$234="Да",'19_Расчет_аналитики'!AU4392+'04_Продажи'!AU22,0)</f>
        <v/>
      </c>
      <c r="AV4394">
        <f>IF('01_Вводные'!$B$234="Да",'19_Расчет_аналитики'!AV4392+'04_Продажи'!AV22,0)</f>
        <v/>
      </c>
      <c r="AW4394">
        <f>IF('01_Вводные'!$B$234="Да",'19_Расчет_аналитики'!AW4392+'04_Продажи'!AW22,0)</f>
        <v/>
      </c>
      <c r="AX4394">
        <f>IF('01_Вводные'!$B$234="Да",'19_Расчет_аналитики'!AX4392+'04_Продажи'!AX22,0)</f>
        <v/>
      </c>
      <c r="AY4394">
        <f>IF('01_Вводные'!$B$234="Да",'19_Расчет_аналитики'!AY4392+'04_Продажи'!AY22,0)</f>
        <v/>
      </c>
      <c r="AZ4394">
        <f>IF('01_Вводные'!$B$234="Да",'19_Расчет_аналитики'!AZ4392+'04_Продажи'!AZ22,0)</f>
        <v/>
      </c>
      <c r="BA4394">
        <f>IF('01_Вводные'!$B$234="Да",'19_Расчет_аналитики'!BA4392+'04_Продажи'!BA22,0)</f>
        <v/>
      </c>
      <c r="BB4394">
        <f>IF('01_Вводные'!$B$234="Да",'19_Расчет_аналитики'!BB4392+'04_Продажи'!BB22,0)</f>
        <v/>
      </c>
      <c r="BC4394">
        <f>IF('01_Вводные'!$B$234="Да",'19_Расчет_аналитики'!BC4392+'04_Продажи'!BC22,0)</f>
        <v/>
      </c>
      <c r="BD4394">
        <f>IF('01_Вводные'!$B$234="Да",'19_Расчет_аналитики'!BD4392+'04_Продажи'!BD22,0)</f>
        <v/>
      </c>
      <c r="BE4394">
        <f>IF('01_Вводные'!$B$234="Да",'19_Расчет_аналитики'!BE4392+'04_Продажи'!BE22,0)</f>
        <v/>
      </c>
      <c r="BF4394">
        <f>IF('01_Вводные'!$B$234="Да",'19_Расчет_аналитики'!BF4392+'04_Продажи'!BF22,0)</f>
        <v/>
      </c>
      <c r="BG4394">
        <f>IF('01_Вводные'!$B$234="Да",'19_Расчет_аналитики'!BG4392+'04_Продажи'!BG22,0)</f>
        <v/>
      </c>
      <c r="BH4394">
        <f>IF('01_Вводные'!$B$234="Да",'19_Расчет_аналитики'!BH4392+'04_Продажи'!BH22,0)</f>
        <v/>
      </c>
      <c r="BI4394">
        <f>IF('01_Вводные'!$B$234="Да",'19_Расчет_аналитики'!BI4392+'04_Продажи'!BI22,0)</f>
        <v/>
      </c>
    </row>
    <row r="4395"/>
    <row r="4396">
      <c r="C4396">
        <f>IF('01_Вводные'!$B$234="Да",'19_Расчет_аналитики'!C4386*'18_Календарь_тарифы'!C6,0)</f>
        <v/>
      </c>
      <c r="D4396">
        <f>IF('01_Вводные'!$B$234="Да",'19_Расчет_аналитики'!D4386*'18_Календарь_тарифы'!D6,0)</f>
        <v/>
      </c>
      <c r="E4396">
        <f>IF('01_Вводные'!$B$234="Да",'19_Расчет_аналитики'!E4386*'18_Календарь_тарифы'!E6,0)</f>
        <v/>
      </c>
      <c r="F4396">
        <f>IF('01_Вводные'!$B$234="Да",'19_Расчет_аналитики'!F4386*'18_Календарь_тарифы'!F6,0)</f>
        <v/>
      </c>
      <c r="G4396">
        <f>IF('01_Вводные'!$B$234="Да",'19_Расчет_аналитики'!G4386*'18_Календарь_тарифы'!G6,0)</f>
        <v/>
      </c>
      <c r="H4396">
        <f>IF('01_Вводные'!$B$234="Да",'19_Расчет_аналитики'!H4386*'18_Календарь_тарифы'!H6,0)</f>
        <v/>
      </c>
      <c r="I4396">
        <f>IF('01_Вводные'!$B$234="Да",'19_Расчет_аналитики'!I4386*'18_Календарь_тарифы'!I6,0)</f>
        <v/>
      </c>
      <c r="J4396">
        <f>IF('01_Вводные'!$B$234="Да",'19_Расчет_аналитики'!J4386*'18_Календарь_тарифы'!J6,0)</f>
        <v/>
      </c>
      <c r="K4396">
        <f>IF('01_Вводные'!$B$234="Да",'19_Расчет_аналитики'!K4386*'18_Календарь_тарифы'!K6,0)</f>
        <v/>
      </c>
      <c r="L4396">
        <f>IF('01_Вводные'!$B$234="Да",'19_Расчет_аналитики'!L4386*'18_Календарь_тарифы'!L6,0)</f>
        <v/>
      </c>
      <c r="M4396">
        <f>IF('01_Вводные'!$B$234="Да",'19_Расчет_аналитики'!M4386*'18_Календарь_тарифы'!M6,0)</f>
        <v/>
      </c>
      <c r="N4396">
        <f>IF('01_Вводные'!$B$234="Да",'19_Расчет_аналитики'!N4386*'18_Календарь_тарифы'!N6,0)</f>
        <v/>
      </c>
      <c r="O4396">
        <f>IF('01_Вводные'!$B$234="Да",'19_Расчет_аналитики'!O4386*'18_Календарь_тарифы'!O6,0)</f>
        <v/>
      </c>
      <c r="P4396">
        <f>IF('01_Вводные'!$B$234="Да",'19_Расчет_аналитики'!P4386*'18_Календарь_тарифы'!P6,0)</f>
        <v/>
      </c>
      <c r="Q4396">
        <f>IF('01_Вводные'!$B$234="Да",'19_Расчет_аналитики'!Q4386*'18_Календарь_тарифы'!Q6,0)</f>
        <v/>
      </c>
      <c r="R4396">
        <f>IF('01_Вводные'!$B$234="Да",'19_Расчет_аналитики'!R4386*'18_Календарь_тарифы'!R6,0)</f>
        <v/>
      </c>
      <c r="S4396">
        <f>IF('01_Вводные'!$B$234="Да",'19_Расчет_аналитики'!S4386*'18_Календарь_тарифы'!S6,0)</f>
        <v/>
      </c>
      <c r="T4396">
        <f>IF('01_Вводные'!$B$234="Да",'19_Расчет_аналитики'!T4386*'18_Календарь_тарифы'!T6,0)</f>
        <v/>
      </c>
      <c r="U4396">
        <f>IF('01_Вводные'!$B$234="Да",'19_Расчет_аналитики'!U4386*'18_Календарь_тарифы'!U6,0)</f>
        <v/>
      </c>
      <c r="V4396">
        <f>IF('01_Вводные'!$B$234="Да",'19_Расчет_аналитики'!V4386*'18_Календарь_тарифы'!V6,0)</f>
        <v/>
      </c>
      <c r="W4396">
        <f>IF('01_Вводные'!$B$234="Да",'19_Расчет_аналитики'!W4386*'18_Календарь_тарифы'!W6,0)</f>
        <v/>
      </c>
      <c r="X4396">
        <f>IF('01_Вводные'!$B$234="Да",'19_Расчет_аналитики'!X4386*'18_Календарь_тарифы'!X6,0)</f>
        <v/>
      </c>
      <c r="Y4396">
        <f>IF('01_Вводные'!$B$234="Да",'19_Расчет_аналитики'!Y4386*'18_Календарь_тарифы'!Y6,0)</f>
        <v/>
      </c>
      <c r="Z4396">
        <f>IF('01_Вводные'!$B$234="Да",'19_Расчет_аналитики'!Z4386*'18_Календарь_тарифы'!Z6,0)</f>
        <v/>
      </c>
      <c r="AA4396">
        <f>IF('01_Вводные'!$B$234="Да",'19_Расчет_аналитики'!AA4386*'18_Календарь_тарифы'!AA6,0)</f>
        <v/>
      </c>
      <c r="AB4396">
        <f>IF('01_Вводные'!$B$234="Да",'19_Расчет_аналитики'!AB4386*'18_Календарь_тарифы'!AB6,0)</f>
        <v/>
      </c>
      <c r="AC4396">
        <f>IF('01_Вводные'!$B$234="Да",'19_Расчет_аналитики'!AC4386*'18_Календарь_тарифы'!AC6,0)</f>
        <v/>
      </c>
      <c r="AD4396">
        <f>IF('01_Вводные'!$B$234="Да",'19_Расчет_аналитики'!AD4386*'18_Календарь_тарифы'!AD6,0)</f>
        <v/>
      </c>
      <c r="AE4396">
        <f>IF('01_Вводные'!$B$234="Да",'19_Расчет_аналитики'!AE4386*'18_Календарь_тарифы'!AE6,0)</f>
        <v/>
      </c>
      <c r="AF4396">
        <f>IF('01_Вводные'!$B$234="Да",'19_Расчет_аналитики'!AF4386*'18_Календарь_тарифы'!AF6,0)</f>
        <v/>
      </c>
      <c r="AG4396">
        <f>IF('01_Вводные'!$B$234="Да",'19_Расчет_аналитики'!AG4386*'18_Календарь_тарифы'!AG6,0)</f>
        <v/>
      </c>
      <c r="AH4396">
        <f>IF('01_Вводные'!$B$234="Да",'19_Расчет_аналитики'!AH4386*'18_Календарь_тарифы'!AH6,0)</f>
        <v/>
      </c>
      <c r="AI4396">
        <f>IF('01_Вводные'!$B$234="Да",'19_Расчет_аналитики'!AI4386*'18_Календарь_тарифы'!AI6,0)</f>
        <v/>
      </c>
      <c r="AJ4396">
        <f>IF('01_Вводные'!$B$234="Да",'19_Расчет_аналитики'!AJ4386*'18_Календарь_тарифы'!AJ6,0)</f>
        <v/>
      </c>
      <c r="AK4396">
        <f>IF('01_Вводные'!$B$234="Да",'19_Расчет_аналитики'!AK4386*'18_Календарь_тарифы'!AK6,0)</f>
        <v/>
      </c>
      <c r="AL4396">
        <f>IF('01_Вводные'!$B$234="Да",'19_Расчет_аналитики'!AL4386*'18_Календарь_тарифы'!AL6,0)</f>
        <v/>
      </c>
      <c r="AM4396">
        <f>IF('01_Вводные'!$B$234="Да",'19_Расчет_аналитики'!AM4386*'18_Календарь_тарифы'!AM6,0)</f>
        <v/>
      </c>
      <c r="AN4396">
        <f>IF('01_Вводные'!$B$234="Да",'19_Расчет_аналитики'!AN4386*'18_Календарь_тарифы'!AN6,0)</f>
        <v/>
      </c>
      <c r="AO4396">
        <f>IF('01_Вводные'!$B$234="Да",'19_Расчет_аналитики'!AO4386*'18_Календарь_тарифы'!AO6,0)</f>
        <v/>
      </c>
      <c r="AP4396">
        <f>IF('01_Вводные'!$B$234="Да",'19_Расчет_аналитики'!AP4386*'18_Календарь_тарифы'!AP6,0)</f>
        <v/>
      </c>
      <c r="AQ4396">
        <f>IF('01_Вводные'!$B$234="Да",'19_Расчет_аналитики'!AQ4386*'18_Календарь_тарифы'!AQ6,0)</f>
        <v/>
      </c>
      <c r="AR4396">
        <f>IF('01_Вводные'!$B$234="Да",'19_Расчет_аналитики'!AR4386*'18_Календарь_тарифы'!AR6,0)</f>
        <v/>
      </c>
      <c r="AS4396">
        <f>IF('01_Вводные'!$B$234="Да",'19_Расчет_аналитики'!AS4386*'18_Календарь_тарифы'!AS6,0)</f>
        <v/>
      </c>
      <c r="AT4396">
        <f>IF('01_Вводные'!$B$234="Да",'19_Расчет_аналитики'!AT4386*'18_Календарь_тарифы'!AT6,0)</f>
        <v/>
      </c>
      <c r="AU4396">
        <f>IF('01_Вводные'!$B$234="Да",'19_Расчет_аналитики'!AU4386*'18_Календарь_тарифы'!AU6,0)</f>
        <v/>
      </c>
      <c r="AV4396">
        <f>IF('01_Вводные'!$B$234="Да",'19_Расчет_аналитики'!AV4386*'18_Календарь_тарифы'!AV6,0)</f>
        <v/>
      </c>
      <c r="AW4396">
        <f>IF('01_Вводные'!$B$234="Да",'19_Расчет_аналитики'!AW4386*'18_Календарь_тарифы'!AW6,0)</f>
        <v/>
      </c>
      <c r="AX4396">
        <f>IF('01_Вводные'!$B$234="Да",'19_Расчет_аналитики'!AX4386*'18_Календарь_тарифы'!AX6,0)</f>
        <v/>
      </c>
      <c r="AY4396">
        <f>IF('01_Вводные'!$B$234="Да",'19_Расчет_аналитики'!AY4386*'18_Календарь_тарифы'!AY6,0)</f>
        <v/>
      </c>
      <c r="AZ4396">
        <f>IF('01_Вводные'!$B$234="Да",'19_Расчет_аналитики'!AZ4386*'18_Календарь_тарифы'!AZ6,0)</f>
        <v/>
      </c>
      <c r="BA4396">
        <f>IF('01_Вводные'!$B$234="Да",'19_Расчет_аналитики'!BA4386*'18_Календарь_тарифы'!BA6,0)</f>
        <v/>
      </c>
      <c r="BB4396">
        <f>IF('01_Вводные'!$B$234="Да",'19_Расчет_аналитики'!BB4386*'18_Календарь_тарифы'!BB6,0)</f>
        <v/>
      </c>
      <c r="BC4396">
        <f>IF('01_Вводные'!$B$234="Да",'19_Расчет_аналитики'!BC4386*'18_Календарь_тарифы'!BC6,0)</f>
        <v/>
      </c>
      <c r="BD4396">
        <f>IF('01_Вводные'!$B$234="Да",'19_Расчет_аналитики'!BD4386*'18_Календарь_тарифы'!BD6,0)</f>
        <v/>
      </c>
      <c r="BE4396">
        <f>IF('01_Вводные'!$B$234="Да",'19_Расчет_аналитики'!BE4386*'18_Календарь_тарифы'!BE6,0)</f>
        <v/>
      </c>
      <c r="BF4396">
        <f>IF('01_Вводные'!$B$234="Да",'19_Расчет_аналитики'!BF4386*'18_Календарь_тарифы'!BF6,0)</f>
        <v/>
      </c>
      <c r="BG4396">
        <f>IF('01_Вводные'!$B$234="Да",'19_Расчет_аналитики'!BG4386*'18_Календарь_тарифы'!BG6,0)</f>
        <v/>
      </c>
      <c r="BH4396">
        <f>IF('01_Вводные'!$B$234="Да",'19_Расчет_аналитики'!BH4386*'18_Календарь_тарифы'!BH6,0)</f>
        <v/>
      </c>
      <c r="BI4396">
        <f>IF('01_Вводные'!$B$234="Да",'19_Расчет_аналитики'!BI4386*'18_Календарь_тарифы'!BI6,0)</f>
        <v/>
      </c>
    </row>
    <row r="4397">
      <c r="C4397">
        <f>IF('01_Вводные'!$B$234="Да",'19_Расчет_аналитики'!C4396/(1+'01_Вводные'!$B$58),0)</f>
        <v/>
      </c>
      <c r="D4397">
        <f>IF('01_Вводные'!$B$234="Да",'19_Расчет_аналитики'!D4396/(1+'01_Вводные'!$B$58),0)</f>
        <v/>
      </c>
      <c r="E4397">
        <f>IF('01_Вводные'!$B$234="Да",'19_Расчет_аналитики'!E4396/(1+'01_Вводные'!$B$58),0)</f>
        <v/>
      </c>
      <c r="F4397">
        <f>IF('01_Вводные'!$B$234="Да",'19_Расчет_аналитики'!F4396/(1+'01_Вводные'!$B$58),0)</f>
        <v/>
      </c>
      <c r="G4397">
        <f>IF('01_Вводные'!$B$234="Да",'19_Расчет_аналитики'!G4396/(1+'01_Вводные'!$B$58),0)</f>
        <v/>
      </c>
      <c r="H4397">
        <f>IF('01_Вводные'!$B$234="Да",'19_Расчет_аналитики'!H4396/(1+'01_Вводные'!$B$58),0)</f>
        <v/>
      </c>
      <c r="I4397">
        <f>IF('01_Вводные'!$B$234="Да",'19_Расчет_аналитики'!I4396/(1+'01_Вводные'!$B$58),0)</f>
        <v/>
      </c>
      <c r="J4397">
        <f>IF('01_Вводные'!$B$234="Да",'19_Расчет_аналитики'!J4396/(1+'01_Вводные'!$B$58),0)</f>
        <v/>
      </c>
      <c r="K4397">
        <f>IF('01_Вводные'!$B$234="Да",'19_Расчет_аналитики'!K4396/(1+'01_Вводные'!$B$58),0)</f>
        <v/>
      </c>
      <c r="L4397">
        <f>IF('01_Вводные'!$B$234="Да",'19_Расчет_аналитики'!L4396/(1+'01_Вводные'!$B$58),0)</f>
        <v/>
      </c>
      <c r="M4397">
        <f>IF('01_Вводные'!$B$234="Да",'19_Расчет_аналитики'!M4396/(1+'01_Вводные'!$B$58),0)</f>
        <v/>
      </c>
      <c r="N4397">
        <f>IF('01_Вводные'!$B$234="Да",'19_Расчет_аналитики'!N4396/(1+'01_Вводные'!$B$58),0)</f>
        <v/>
      </c>
      <c r="O4397">
        <f>IF('01_Вводные'!$B$234="Да",'19_Расчет_аналитики'!O4396/(1+'01_Вводные'!$B$58),0)</f>
        <v/>
      </c>
      <c r="P4397">
        <f>IF('01_Вводные'!$B$234="Да",'19_Расчет_аналитики'!P4396/(1+'01_Вводные'!$B$58),0)</f>
        <v/>
      </c>
      <c r="Q4397">
        <f>IF('01_Вводные'!$B$234="Да",'19_Расчет_аналитики'!Q4396/(1+'01_Вводные'!$B$58),0)</f>
        <v/>
      </c>
      <c r="R4397">
        <f>IF('01_Вводные'!$B$234="Да",'19_Расчет_аналитики'!R4396/(1+'01_Вводные'!$B$58),0)</f>
        <v/>
      </c>
      <c r="S4397">
        <f>IF('01_Вводные'!$B$234="Да",'19_Расчет_аналитики'!S4396/(1+'01_Вводные'!$B$58),0)</f>
        <v/>
      </c>
      <c r="T4397">
        <f>IF('01_Вводные'!$B$234="Да",'19_Расчет_аналитики'!T4396/(1+'01_Вводные'!$B$58),0)</f>
        <v/>
      </c>
      <c r="U4397">
        <f>IF('01_Вводные'!$B$234="Да",'19_Расчет_аналитики'!U4396/(1+'01_Вводные'!$B$58),0)</f>
        <v/>
      </c>
      <c r="V4397">
        <f>IF('01_Вводные'!$B$234="Да",'19_Расчет_аналитики'!V4396/(1+'01_Вводные'!$B$58),0)</f>
        <v/>
      </c>
      <c r="W4397">
        <f>IF('01_Вводные'!$B$234="Да",'19_Расчет_аналитики'!W4396/(1+'01_Вводные'!$B$58),0)</f>
        <v/>
      </c>
      <c r="X4397">
        <f>IF('01_Вводные'!$B$234="Да",'19_Расчет_аналитики'!X4396/(1+'01_Вводные'!$B$58),0)</f>
        <v/>
      </c>
      <c r="Y4397">
        <f>IF('01_Вводные'!$B$234="Да",'19_Расчет_аналитики'!Y4396/(1+'01_Вводные'!$B$58),0)</f>
        <v/>
      </c>
      <c r="Z4397">
        <f>IF('01_Вводные'!$B$234="Да",'19_Расчет_аналитики'!Z4396/(1+'01_Вводные'!$B$58),0)</f>
        <v/>
      </c>
      <c r="AA4397">
        <f>IF('01_Вводные'!$B$234="Да",'19_Расчет_аналитики'!AA4396/(1+'01_Вводные'!$B$58),0)</f>
        <v/>
      </c>
      <c r="AB4397">
        <f>IF('01_Вводные'!$B$234="Да",'19_Расчет_аналитики'!AB4396/(1+'01_Вводные'!$B$58),0)</f>
        <v/>
      </c>
      <c r="AC4397">
        <f>IF('01_Вводные'!$B$234="Да",'19_Расчет_аналитики'!AC4396/(1+'01_Вводные'!$B$58),0)</f>
        <v/>
      </c>
      <c r="AD4397">
        <f>IF('01_Вводные'!$B$234="Да",'19_Расчет_аналитики'!AD4396/(1+'01_Вводные'!$B$58),0)</f>
        <v/>
      </c>
      <c r="AE4397">
        <f>IF('01_Вводные'!$B$234="Да",'19_Расчет_аналитики'!AE4396/(1+'01_Вводные'!$B$58),0)</f>
        <v/>
      </c>
      <c r="AF4397">
        <f>IF('01_Вводные'!$B$234="Да",'19_Расчет_аналитики'!AF4396/(1+'01_Вводные'!$B$58),0)</f>
        <v/>
      </c>
      <c r="AG4397">
        <f>IF('01_Вводные'!$B$234="Да",'19_Расчет_аналитики'!AG4396/(1+'01_Вводные'!$B$58),0)</f>
        <v/>
      </c>
      <c r="AH4397">
        <f>IF('01_Вводные'!$B$234="Да",'19_Расчет_аналитики'!AH4396/(1+'01_Вводные'!$B$58),0)</f>
        <v/>
      </c>
      <c r="AI4397">
        <f>IF('01_Вводные'!$B$234="Да",'19_Расчет_аналитики'!AI4396/(1+'01_Вводные'!$B$58),0)</f>
        <v/>
      </c>
      <c r="AJ4397">
        <f>IF('01_Вводные'!$B$234="Да",'19_Расчет_аналитики'!AJ4396/(1+'01_Вводные'!$B$58),0)</f>
        <v/>
      </c>
      <c r="AK4397">
        <f>IF('01_Вводные'!$B$234="Да",'19_Расчет_аналитики'!AK4396/(1+'01_Вводные'!$B$58),0)</f>
        <v/>
      </c>
      <c r="AL4397">
        <f>IF('01_Вводные'!$B$234="Да",'19_Расчет_аналитики'!AL4396/(1+'01_Вводные'!$B$58),0)</f>
        <v/>
      </c>
      <c r="AM4397">
        <f>IF('01_Вводные'!$B$234="Да",'19_Расчет_аналитики'!AM4396/(1+'01_Вводные'!$B$58),0)</f>
        <v/>
      </c>
      <c r="AN4397">
        <f>IF('01_Вводные'!$B$234="Да",'19_Расчет_аналитики'!AN4396/(1+'01_Вводные'!$B$58),0)</f>
        <v/>
      </c>
      <c r="AO4397">
        <f>IF('01_Вводные'!$B$234="Да",'19_Расчет_аналитики'!AO4396/(1+'01_Вводные'!$B$58),0)</f>
        <v/>
      </c>
      <c r="AP4397">
        <f>IF('01_Вводные'!$B$234="Да",'19_Расчет_аналитики'!AP4396/(1+'01_Вводные'!$B$58),0)</f>
        <v/>
      </c>
      <c r="AQ4397">
        <f>IF('01_Вводные'!$B$234="Да",'19_Расчет_аналитики'!AQ4396/(1+'01_Вводные'!$B$58),0)</f>
        <v/>
      </c>
      <c r="AR4397">
        <f>IF('01_Вводные'!$B$234="Да",'19_Расчет_аналитики'!AR4396/(1+'01_Вводные'!$B$58),0)</f>
        <v/>
      </c>
      <c r="AS4397">
        <f>IF('01_Вводные'!$B$234="Да",'19_Расчет_аналитики'!AS4396/(1+'01_Вводные'!$B$58),0)</f>
        <v/>
      </c>
      <c r="AT4397">
        <f>IF('01_Вводные'!$B$234="Да",'19_Расчет_аналитики'!AT4396/(1+'01_Вводные'!$B$58),0)</f>
        <v/>
      </c>
      <c r="AU4397">
        <f>IF('01_Вводные'!$B$234="Да",'19_Расчет_аналитики'!AU4396/(1+'01_Вводные'!$B$58),0)</f>
        <v/>
      </c>
      <c r="AV4397">
        <f>IF('01_Вводные'!$B$234="Да",'19_Расчет_аналитики'!AV4396/(1+'01_Вводные'!$B$58),0)</f>
        <v/>
      </c>
      <c r="AW4397">
        <f>IF('01_Вводные'!$B$234="Да",'19_Расчет_аналитики'!AW4396/(1+'01_Вводные'!$B$58),0)</f>
        <v/>
      </c>
      <c r="AX4397">
        <f>IF('01_Вводные'!$B$234="Да",'19_Расчет_аналитики'!AX4396/(1+'01_Вводные'!$B$58),0)</f>
        <v/>
      </c>
      <c r="AY4397">
        <f>IF('01_Вводные'!$B$234="Да",'19_Расчет_аналитики'!AY4396/(1+'01_Вводные'!$B$58),0)</f>
        <v/>
      </c>
      <c r="AZ4397">
        <f>IF('01_Вводные'!$B$234="Да",'19_Расчет_аналитики'!AZ4396/(1+'01_Вводные'!$B$58),0)</f>
        <v/>
      </c>
      <c r="BA4397">
        <f>IF('01_Вводные'!$B$234="Да",'19_Расчет_аналитики'!BA4396/(1+'01_Вводные'!$B$58),0)</f>
        <v/>
      </c>
      <c r="BB4397">
        <f>IF('01_Вводные'!$B$234="Да",'19_Расчет_аналитики'!BB4396/(1+'01_Вводные'!$B$58),0)</f>
        <v/>
      </c>
      <c r="BC4397">
        <f>IF('01_Вводные'!$B$234="Да",'19_Расчет_аналитики'!BC4396/(1+'01_Вводные'!$B$58),0)</f>
        <v/>
      </c>
      <c r="BD4397">
        <f>IF('01_Вводные'!$B$234="Да",'19_Расчет_аналитики'!BD4396/(1+'01_Вводные'!$B$58),0)</f>
        <v/>
      </c>
      <c r="BE4397">
        <f>IF('01_Вводные'!$B$234="Да",'19_Расчет_аналитики'!BE4396/(1+'01_Вводные'!$B$58),0)</f>
        <v/>
      </c>
      <c r="BF4397">
        <f>IF('01_Вводные'!$B$234="Да",'19_Расчет_аналитики'!BF4396/(1+'01_Вводные'!$B$58),0)</f>
        <v/>
      </c>
      <c r="BG4397">
        <f>IF('01_Вводные'!$B$234="Да",'19_Расчет_аналитики'!BG4396/(1+'01_Вводные'!$B$58),0)</f>
        <v/>
      </c>
      <c r="BH4397">
        <f>IF('01_Вводные'!$B$234="Да",'19_Расчет_аналитики'!BH4396/(1+'01_Вводные'!$B$58),0)</f>
        <v/>
      </c>
      <c r="BI4397">
        <f>IF('01_Вводные'!$B$234="Да",'19_Расчет_аналитики'!BI4396/(1+'01_Вводные'!$B$58),0)</f>
        <v/>
      </c>
    </row>
    <row r="4398"/>
    <row r="4399"/>
    <row r="4400"/>
    <row r="4401"/>
    <row r="4402"/>
    <row r="4403"/>
    <row r="4404"/>
    <row r="4405"/>
    <row r="4406"/>
    <row r="4407"/>
    <row r="4408"/>
    <row r="4409"/>
    <row r="4410">
      <c r="C4410">
        <f>IF('01_Вводные'!$B$234="Да",'19_Расчет_аналитики'!C4386,0)</f>
        <v/>
      </c>
      <c r="D4410">
        <f>IF('01_Вводные'!$B$234="Да",'19_Расчет_аналитики'!D4386,0)</f>
        <v/>
      </c>
      <c r="E4410">
        <f>IF('01_Вводные'!$B$234="Да",'19_Расчет_аналитики'!E4386,0)</f>
        <v/>
      </c>
      <c r="F4410">
        <f>IF('01_Вводные'!$B$234="Да",'19_Расчет_аналитики'!F4386,0)</f>
        <v/>
      </c>
      <c r="G4410">
        <f>IF('01_Вводные'!$B$234="Да",'19_Расчет_аналитики'!G4386,0)</f>
        <v/>
      </c>
      <c r="H4410">
        <f>IF('01_Вводные'!$B$234="Да",'19_Расчет_аналитики'!H4386,0)</f>
        <v/>
      </c>
      <c r="I4410">
        <f>IF('01_Вводные'!$B$234="Да",'19_Расчет_аналитики'!I4386,0)</f>
        <v/>
      </c>
      <c r="J4410">
        <f>IF('01_Вводные'!$B$234="Да",'19_Расчет_аналитики'!J4386,0)</f>
        <v/>
      </c>
      <c r="K4410">
        <f>IF('01_Вводные'!$B$234="Да",'19_Расчет_аналитики'!K4386,0)</f>
        <v/>
      </c>
      <c r="L4410">
        <f>IF('01_Вводные'!$B$234="Да",'19_Расчет_аналитики'!L4386,0)</f>
        <v/>
      </c>
      <c r="M4410">
        <f>IF('01_Вводные'!$B$234="Да",'19_Расчет_аналитики'!M4386,0)</f>
        <v/>
      </c>
      <c r="N4410">
        <f>IF('01_Вводные'!$B$234="Да",'19_Расчет_аналитики'!N4386,0)</f>
        <v/>
      </c>
      <c r="O4410">
        <f>IF('01_Вводные'!$B$234="Да",'19_Расчет_аналитики'!O4386,0)</f>
        <v/>
      </c>
      <c r="P4410">
        <f>IF('01_Вводные'!$B$234="Да",'19_Расчет_аналитики'!P4386,0)</f>
        <v/>
      </c>
      <c r="Q4410">
        <f>IF('01_Вводные'!$B$234="Да",'19_Расчет_аналитики'!Q4386,0)</f>
        <v/>
      </c>
      <c r="R4410">
        <f>IF('01_Вводные'!$B$234="Да",'19_Расчет_аналитики'!R4386,0)</f>
        <v/>
      </c>
      <c r="S4410">
        <f>IF('01_Вводные'!$B$234="Да",'19_Расчет_аналитики'!S4386,0)</f>
        <v/>
      </c>
      <c r="T4410">
        <f>IF('01_Вводные'!$B$234="Да",'19_Расчет_аналитики'!T4386,0)</f>
        <v/>
      </c>
      <c r="U4410">
        <f>IF('01_Вводные'!$B$234="Да",'19_Расчет_аналитики'!U4386,0)</f>
        <v/>
      </c>
      <c r="V4410">
        <f>IF('01_Вводные'!$B$234="Да",'19_Расчет_аналитики'!V4386,0)</f>
        <v/>
      </c>
      <c r="W4410">
        <f>IF('01_Вводные'!$B$234="Да",'19_Расчет_аналитики'!W4386,0)</f>
        <v/>
      </c>
      <c r="X4410">
        <f>IF('01_Вводные'!$B$234="Да",'19_Расчет_аналитики'!X4386,0)</f>
        <v/>
      </c>
      <c r="Y4410">
        <f>IF('01_Вводные'!$B$234="Да",'19_Расчет_аналитики'!Y4386,0)</f>
        <v/>
      </c>
      <c r="Z4410">
        <f>IF('01_Вводные'!$B$234="Да",'19_Расчет_аналитики'!Z4386,0)</f>
        <v/>
      </c>
      <c r="AA4410">
        <f>IF('01_Вводные'!$B$234="Да",'19_Расчет_аналитики'!AA4386,0)</f>
        <v/>
      </c>
      <c r="AB4410">
        <f>IF('01_Вводные'!$B$234="Да",'19_Расчет_аналитики'!AB4386,0)</f>
        <v/>
      </c>
      <c r="AC4410">
        <f>IF('01_Вводные'!$B$234="Да",'19_Расчет_аналитики'!AC4386,0)</f>
        <v/>
      </c>
      <c r="AD4410">
        <f>IF('01_Вводные'!$B$234="Да",'19_Расчет_аналитики'!AD4386,0)</f>
        <v/>
      </c>
      <c r="AE4410">
        <f>IF('01_Вводные'!$B$234="Да",'19_Расчет_аналитики'!AE4386,0)</f>
        <v/>
      </c>
      <c r="AF4410">
        <f>IF('01_Вводные'!$B$234="Да",'19_Расчет_аналитики'!AF4386,0)</f>
        <v/>
      </c>
      <c r="AG4410">
        <f>IF('01_Вводные'!$B$234="Да",'19_Расчет_аналитики'!AG4386,0)</f>
        <v/>
      </c>
      <c r="AH4410">
        <f>IF('01_Вводные'!$B$234="Да",'19_Расчет_аналитики'!AH4386,0)</f>
        <v/>
      </c>
      <c r="AI4410">
        <f>IF('01_Вводные'!$B$234="Да",'19_Расчет_аналитики'!AI4386,0)</f>
        <v/>
      </c>
      <c r="AJ4410">
        <f>IF('01_Вводные'!$B$234="Да",'19_Расчет_аналитики'!AJ4386,0)</f>
        <v/>
      </c>
      <c r="AK4410">
        <f>IF('01_Вводные'!$B$234="Да",'19_Расчет_аналитики'!AK4386,0)</f>
        <v/>
      </c>
      <c r="AL4410">
        <f>IF('01_Вводные'!$B$234="Да",'19_Расчет_аналитики'!AL4386,0)</f>
        <v/>
      </c>
      <c r="AM4410">
        <f>IF('01_Вводные'!$B$234="Да",'19_Расчет_аналитики'!AM4386,0)</f>
        <v/>
      </c>
      <c r="AN4410">
        <f>IF('01_Вводные'!$B$234="Да",'19_Расчет_аналитики'!AN4386,0)</f>
        <v/>
      </c>
      <c r="AO4410">
        <f>IF('01_Вводные'!$B$234="Да",'19_Расчет_аналитики'!AO4386,0)</f>
        <v/>
      </c>
      <c r="AP4410">
        <f>IF('01_Вводные'!$B$234="Да",'19_Расчет_аналитики'!AP4386,0)</f>
        <v/>
      </c>
      <c r="AQ4410">
        <f>IF('01_Вводные'!$B$234="Да",'19_Расчет_аналитики'!AQ4386,0)</f>
        <v/>
      </c>
      <c r="AR4410">
        <f>IF('01_Вводные'!$B$234="Да",'19_Расчет_аналитики'!AR4386,0)</f>
        <v/>
      </c>
      <c r="AS4410">
        <f>IF('01_Вводные'!$B$234="Да",'19_Расчет_аналитики'!AS4386,0)</f>
        <v/>
      </c>
      <c r="AT4410">
        <f>IF('01_Вводные'!$B$234="Да",'19_Расчет_аналитики'!AT4386,0)</f>
        <v/>
      </c>
      <c r="AU4410">
        <f>IF('01_Вводные'!$B$234="Да",'19_Расчет_аналитики'!AU4386,0)</f>
        <v/>
      </c>
      <c r="AV4410">
        <f>IF('01_Вводные'!$B$234="Да",'19_Расчет_аналитики'!AV4386,0)</f>
        <v/>
      </c>
      <c r="AW4410">
        <f>IF('01_Вводные'!$B$234="Да",'19_Расчет_аналитики'!AW4386,0)</f>
        <v/>
      </c>
      <c r="AX4410">
        <f>IF('01_Вводные'!$B$234="Да",'19_Расчет_аналитики'!AX4386,0)</f>
        <v/>
      </c>
      <c r="AY4410">
        <f>IF('01_Вводные'!$B$234="Да",'19_Расчет_аналитики'!AY4386,0)</f>
        <v/>
      </c>
      <c r="AZ4410">
        <f>IF('01_Вводные'!$B$234="Да",'19_Расчет_аналитики'!AZ4386,0)</f>
        <v/>
      </c>
      <c r="BA4410">
        <f>IF('01_Вводные'!$B$234="Да",'19_Расчет_аналитики'!BA4386,0)</f>
        <v/>
      </c>
      <c r="BB4410">
        <f>IF('01_Вводные'!$B$234="Да",'19_Расчет_аналитики'!BB4386,0)</f>
        <v/>
      </c>
      <c r="BC4410">
        <f>IF('01_Вводные'!$B$234="Да",'19_Расчет_аналитики'!BC4386,0)</f>
        <v/>
      </c>
      <c r="BD4410">
        <f>IF('01_Вводные'!$B$234="Да",'19_Расчет_аналитики'!BD4386,0)</f>
        <v/>
      </c>
      <c r="BE4410">
        <f>IF('01_Вводные'!$B$234="Да",'19_Расчет_аналитики'!BE4386,0)</f>
        <v/>
      </c>
      <c r="BF4410">
        <f>IF('01_Вводные'!$B$234="Да",'19_Расчет_аналитики'!BF4386,0)</f>
        <v/>
      </c>
      <c r="BG4410">
        <f>IF('01_Вводные'!$B$234="Да",'19_Расчет_аналитики'!BG4386,0)</f>
        <v/>
      </c>
      <c r="BH4410">
        <f>IF('01_Вводные'!$B$234="Да",'19_Расчет_аналитики'!BH4386,0)</f>
        <v/>
      </c>
      <c r="BI4410">
        <f>IF('01_Вводные'!$B$234="Да",'19_Расчет_аналитики'!BI4386,0)</f>
        <v/>
      </c>
    </row>
    <row r="4411">
      <c r="B4411">
        <f>IF(OR(1&lt;='01_Вводные'!$B$15,1-'01_Вводные'!$B$15&gt;60),0,INDEX('19_Расчет_аналитики'!$B$4386:$BI$4386,1,1-'01_Вводные'!$B$15))*'01_Вводные'!$B$298*MIN(1,'01_Вводные'!$B$22)+IF(OR(1&lt;=('01_Вводные'!$B$15+'01_Вводные'!$B$311),1-('01_Вводные'!$B$15+'01_Вводные'!$B$311)&gt;60),0,INDEX('19_Расчет_аналитики'!$B$4386:$BI$4386,1,1-('01_Вводные'!$B$15+'01_Вводные'!$B$311)))*'01_Вводные'!$B$298*MAX(0,'01_Вводные'!$B$22-1)</f>
        <v/>
      </c>
      <c r="C4411">
        <f>IF(OR(2&lt;='01_Вводные'!$B$15,2-'01_Вводные'!$B$15&gt;60),0,INDEX('19_Расчет_аналитики'!$B$4386:$BI$4386,1,2-'01_Вводные'!$B$15))*'01_Вводные'!$B$298*MIN(1,'01_Вводные'!$B$22)+IF(OR(2&lt;=('01_Вводные'!$B$15+'01_Вводные'!$B$311),2-('01_Вводные'!$B$15+'01_Вводные'!$B$311)&gt;60),0,INDEX('19_Расчет_аналитики'!$B$4386:$BI$4386,1,2-('01_Вводные'!$B$15+'01_Вводные'!$B$311)))*'01_Вводные'!$B$298*MAX(0,'01_Вводные'!$B$22-1)</f>
        <v/>
      </c>
      <c r="D4411">
        <f>IF(OR(3&lt;='01_Вводные'!$B$15,3-'01_Вводные'!$B$15&gt;60),0,INDEX('19_Расчет_аналитики'!$B$4386:$BI$4386,1,3-'01_Вводные'!$B$15))*'01_Вводные'!$B$298*MIN(1,'01_Вводные'!$B$22)+IF(OR(3&lt;=('01_Вводные'!$B$15+'01_Вводные'!$B$311),3-('01_Вводные'!$B$15+'01_Вводные'!$B$311)&gt;60),0,INDEX('19_Расчет_аналитики'!$B$4386:$BI$4386,1,3-('01_Вводные'!$B$15+'01_Вводные'!$B$311)))*'01_Вводные'!$B$298*MAX(0,'01_Вводные'!$B$22-1)</f>
        <v/>
      </c>
      <c r="E4411">
        <f>IF(OR(4&lt;='01_Вводные'!$B$15,4-'01_Вводные'!$B$15&gt;60),0,INDEX('19_Расчет_аналитики'!$B$4386:$BI$4386,1,4-'01_Вводные'!$B$15))*'01_Вводные'!$B$298*MIN(1,'01_Вводные'!$B$22)+IF(OR(4&lt;=('01_Вводные'!$B$15+'01_Вводные'!$B$311),4-('01_Вводные'!$B$15+'01_Вводные'!$B$311)&gt;60),0,INDEX('19_Расчет_аналитики'!$B$4386:$BI$4386,1,4-('01_Вводные'!$B$15+'01_Вводные'!$B$311)))*'01_Вводные'!$B$298*MAX(0,'01_Вводные'!$B$22-1)</f>
        <v/>
      </c>
      <c r="F4411">
        <f>IF(OR(5&lt;='01_Вводные'!$B$15,5-'01_Вводные'!$B$15&gt;60),0,INDEX('19_Расчет_аналитики'!$B$4386:$BI$4386,1,5-'01_Вводные'!$B$15))*'01_Вводные'!$B$298*MIN(1,'01_Вводные'!$B$22)+IF(OR(5&lt;=('01_Вводные'!$B$15+'01_Вводные'!$B$311),5-('01_Вводные'!$B$15+'01_Вводные'!$B$311)&gt;60),0,INDEX('19_Расчет_аналитики'!$B$4386:$BI$4386,1,5-('01_Вводные'!$B$15+'01_Вводные'!$B$311)))*'01_Вводные'!$B$298*MAX(0,'01_Вводные'!$B$22-1)</f>
        <v/>
      </c>
      <c r="G4411">
        <f>IF(OR(6&lt;='01_Вводные'!$B$15,6-'01_Вводные'!$B$15&gt;60),0,INDEX('19_Расчет_аналитики'!$B$4386:$BI$4386,1,6-'01_Вводные'!$B$15))*'01_Вводные'!$B$298*MIN(1,'01_Вводные'!$B$22)+IF(OR(6&lt;=('01_Вводные'!$B$15+'01_Вводные'!$B$311),6-('01_Вводные'!$B$15+'01_Вводные'!$B$311)&gt;60),0,INDEX('19_Расчет_аналитики'!$B$4386:$BI$4386,1,6-('01_Вводные'!$B$15+'01_Вводные'!$B$311)))*'01_Вводные'!$B$298*MAX(0,'01_Вводные'!$B$22-1)</f>
        <v/>
      </c>
      <c r="H4411">
        <f>IF(OR(7&lt;='01_Вводные'!$B$15,7-'01_Вводные'!$B$15&gt;60),0,INDEX('19_Расчет_аналитики'!$B$4386:$BI$4386,1,7-'01_Вводные'!$B$15))*'01_Вводные'!$B$298*MIN(1,'01_Вводные'!$B$22)+IF(OR(7&lt;=('01_Вводные'!$B$15+'01_Вводные'!$B$311),7-('01_Вводные'!$B$15+'01_Вводные'!$B$311)&gt;60),0,INDEX('19_Расчет_аналитики'!$B$4386:$BI$4386,1,7-('01_Вводные'!$B$15+'01_Вводные'!$B$311)))*'01_Вводные'!$B$298*MAX(0,'01_Вводные'!$B$22-1)</f>
        <v/>
      </c>
      <c r="I4411">
        <f>IF(OR(8&lt;='01_Вводные'!$B$15,8-'01_Вводные'!$B$15&gt;60),0,INDEX('19_Расчет_аналитики'!$B$4386:$BI$4386,1,8-'01_Вводные'!$B$15))*'01_Вводные'!$B$298*MIN(1,'01_Вводные'!$B$22)+IF(OR(8&lt;=('01_Вводные'!$B$15+'01_Вводные'!$B$311),8-('01_Вводные'!$B$15+'01_Вводные'!$B$311)&gt;60),0,INDEX('19_Расчет_аналитики'!$B$4386:$BI$4386,1,8-('01_Вводные'!$B$15+'01_Вводные'!$B$311)))*'01_Вводные'!$B$298*MAX(0,'01_Вводные'!$B$22-1)</f>
        <v/>
      </c>
      <c r="J4411">
        <f>IF(OR(9&lt;='01_Вводные'!$B$15,9-'01_Вводные'!$B$15&gt;60),0,INDEX('19_Расчет_аналитики'!$B$4386:$BI$4386,1,9-'01_Вводные'!$B$15))*'01_Вводные'!$B$298*MIN(1,'01_Вводные'!$B$22)+IF(OR(9&lt;=('01_Вводные'!$B$15+'01_Вводные'!$B$311),9-('01_Вводные'!$B$15+'01_Вводные'!$B$311)&gt;60),0,INDEX('19_Расчет_аналитики'!$B$4386:$BI$4386,1,9-('01_Вводные'!$B$15+'01_Вводные'!$B$311)))*'01_Вводные'!$B$298*MAX(0,'01_Вводные'!$B$22-1)</f>
        <v/>
      </c>
      <c r="K4411">
        <f>IF(OR(10&lt;='01_Вводные'!$B$15,10-'01_Вводные'!$B$15&gt;60),0,INDEX('19_Расчет_аналитики'!$B$4386:$BI$4386,1,10-'01_Вводные'!$B$15))*'01_Вводные'!$B$298*MIN(1,'01_Вводные'!$B$22)+IF(OR(10&lt;=('01_Вводные'!$B$15+'01_Вводные'!$B$311),10-('01_Вводные'!$B$15+'01_Вводные'!$B$311)&gt;60),0,INDEX('19_Расчет_аналитики'!$B$4386:$BI$4386,1,10-('01_Вводные'!$B$15+'01_Вводные'!$B$311)))*'01_Вводные'!$B$298*MAX(0,'01_Вводные'!$B$22-1)</f>
        <v/>
      </c>
      <c r="L4411">
        <f>IF(OR(11&lt;='01_Вводные'!$B$15,11-'01_Вводные'!$B$15&gt;60),0,INDEX('19_Расчет_аналитики'!$B$4386:$BI$4386,1,11-'01_Вводные'!$B$15))*'01_Вводные'!$B$298*MIN(1,'01_Вводные'!$B$22)+IF(OR(11&lt;=('01_Вводные'!$B$15+'01_Вводные'!$B$311),11-('01_Вводные'!$B$15+'01_Вводные'!$B$311)&gt;60),0,INDEX('19_Расчет_аналитики'!$B$4386:$BI$4386,1,11-('01_Вводные'!$B$15+'01_Вводные'!$B$311)))*'01_Вводные'!$B$298*MAX(0,'01_Вводные'!$B$22-1)</f>
        <v/>
      </c>
      <c r="M4411">
        <f>IF(OR(12&lt;='01_Вводные'!$B$15,12-'01_Вводные'!$B$15&gt;60),0,INDEX('19_Расчет_аналитики'!$B$4386:$BI$4386,1,12-'01_Вводные'!$B$15))*'01_Вводные'!$B$298*MIN(1,'01_Вводные'!$B$22)+IF(OR(12&lt;=('01_Вводные'!$B$15+'01_Вводные'!$B$311),12-('01_Вводные'!$B$15+'01_Вводные'!$B$311)&gt;60),0,INDEX('19_Расчет_аналитики'!$B$4386:$BI$4386,1,12-('01_Вводные'!$B$15+'01_Вводные'!$B$311)))*'01_Вводные'!$B$298*MAX(0,'01_Вводные'!$B$22-1)</f>
        <v/>
      </c>
      <c r="N4411">
        <f>IF(OR(13&lt;='01_Вводные'!$B$15,13-'01_Вводные'!$B$15&gt;60),0,INDEX('19_Расчет_аналитики'!$B$4386:$BI$4386,1,13-'01_Вводные'!$B$15))*'01_Вводные'!$B$298*MIN(1,'01_Вводные'!$B$22)+IF(OR(13&lt;=('01_Вводные'!$B$15+'01_Вводные'!$B$311),13-('01_Вводные'!$B$15+'01_Вводные'!$B$311)&gt;60),0,INDEX('19_Расчет_аналитики'!$B$4386:$BI$4386,1,13-('01_Вводные'!$B$15+'01_Вводные'!$B$311)))*'01_Вводные'!$B$298*MAX(0,'01_Вводные'!$B$22-1)</f>
        <v/>
      </c>
      <c r="O4411">
        <f>IF(OR(14&lt;='01_Вводные'!$B$15,14-'01_Вводные'!$B$15&gt;60),0,INDEX('19_Расчет_аналитики'!$B$4386:$BI$4386,1,14-'01_Вводные'!$B$15))*'01_Вводные'!$B$298*MIN(1,'01_Вводные'!$B$22)+IF(OR(14&lt;=('01_Вводные'!$B$15+'01_Вводные'!$B$311),14-('01_Вводные'!$B$15+'01_Вводные'!$B$311)&gt;60),0,INDEX('19_Расчет_аналитики'!$B$4386:$BI$4386,1,14-('01_Вводные'!$B$15+'01_Вводные'!$B$311)))*'01_Вводные'!$B$298*MAX(0,'01_Вводные'!$B$22-1)</f>
        <v/>
      </c>
      <c r="P4411">
        <f>IF(OR(15&lt;='01_Вводные'!$B$15,15-'01_Вводные'!$B$15&gt;60),0,INDEX('19_Расчет_аналитики'!$B$4386:$BI$4386,1,15-'01_Вводные'!$B$15))*'01_Вводные'!$B$298*MIN(1,'01_Вводные'!$B$22)+IF(OR(15&lt;=('01_Вводные'!$B$15+'01_Вводные'!$B$311),15-('01_Вводные'!$B$15+'01_Вводные'!$B$311)&gt;60),0,INDEX('19_Расчет_аналитики'!$B$4386:$BI$4386,1,15-('01_Вводные'!$B$15+'01_Вводные'!$B$311)))*'01_Вводные'!$B$298*MAX(0,'01_Вводные'!$B$22-1)</f>
        <v/>
      </c>
      <c r="Q4411">
        <f>IF(OR(16&lt;='01_Вводные'!$B$15,16-'01_Вводные'!$B$15&gt;60),0,INDEX('19_Расчет_аналитики'!$B$4386:$BI$4386,1,16-'01_Вводные'!$B$15))*'01_Вводные'!$B$298*MIN(1,'01_Вводные'!$B$22)+IF(OR(16&lt;=('01_Вводные'!$B$15+'01_Вводные'!$B$311),16-('01_Вводные'!$B$15+'01_Вводные'!$B$311)&gt;60),0,INDEX('19_Расчет_аналитики'!$B$4386:$BI$4386,1,16-('01_Вводные'!$B$15+'01_Вводные'!$B$311)))*'01_Вводные'!$B$298*MAX(0,'01_Вводные'!$B$22-1)</f>
        <v/>
      </c>
      <c r="R4411">
        <f>IF(OR(17&lt;='01_Вводные'!$B$15,17-'01_Вводные'!$B$15&gt;60),0,INDEX('19_Расчет_аналитики'!$B$4386:$BI$4386,1,17-'01_Вводные'!$B$15))*'01_Вводные'!$B$298*MIN(1,'01_Вводные'!$B$22)+IF(OR(17&lt;=('01_Вводные'!$B$15+'01_Вводные'!$B$311),17-('01_Вводные'!$B$15+'01_Вводные'!$B$311)&gt;60),0,INDEX('19_Расчет_аналитики'!$B$4386:$BI$4386,1,17-('01_Вводные'!$B$15+'01_Вводные'!$B$311)))*'01_Вводные'!$B$298*MAX(0,'01_Вводные'!$B$22-1)</f>
        <v/>
      </c>
      <c r="S4411">
        <f>IF(OR(18&lt;='01_Вводные'!$B$15,18-'01_Вводные'!$B$15&gt;60),0,INDEX('19_Расчет_аналитики'!$B$4386:$BI$4386,1,18-'01_Вводные'!$B$15))*'01_Вводные'!$B$298*MIN(1,'01_Вводные'!$B$22)+IF(OR(18&lt;=('01_Вводные'!$B$15+'01_Вводные'!$B$311),18-('01_Вводные'!$B$15+'01_Вводные'!$B$311)&gt;60),0,INDEX('19_Расчет_аналитики'!$B$4386:$BI$4386,1,18-('01_Вводные'!$B$15+'01_Вводные'!$B$311)))*'01_Вводные'!$B$298*MAX(0,'01_Вводные'!$B$22-1)</f>
        <v/>
      </c>
      <c r="T4411">
        <f>IF(OR(19&lt;='01_Вводные'!$B$15,19-'01_Вводные'!$B$15&gt;60),0,INDEX('19_Расчет_аналитики'!$B$4386:$BI$4386,1,19-'01_Вводные'!$B$15))*'01_Вводные'!$B$298*MIN(1,'01_Вводные'!$B$22)+IF(OR(19&lt;=('01_Вводные'!$B$15+'01_Вводные'!$B$311),19-('01_Вводные'!$B$15+'01_Вводные'!$B$311)&gt;60),0,INDEX('19_Расчет_аналитики'!$B$4386:$BI$4386,1,19-('01_Вводные'!$B$15+'01_Вводные'!$B$311)))*'01_Вводные'!$B$298*MAX(0,'01_Вводные'!$B$22-1)</f>
        <v/>
      </c>
      <c r="U4411">
        <f>IF(OR(20&lt;='01_Вводные'!$B$15,20-'01_Вводные'!$B$15&gt;60),0,INDEX('19_Расчет_аналитики'!$B$4386:$BI$4386,1,20-'01_Вводные'!$B$15))*'01_Вводные'!$B$298*MIN(1,'01_Вводные'!$B$22)+IF(OR(20&lt;=('01_Вводные'!$B$15+'01_Вводные'!$B$311),20-('01_Вводные'!$B$15+'01_Вводные'!$B$311)&gt;60),0,INDEX('19_Расчет_аналитики'!$B$4386:$BI$4386,1,20-('01_Вводные'!$B$15+'01_Вводные'!$B$311)))*'01_Вводные'!$B$298*MAX(0,'01_Вводные'!$B$22-1)</f>
        <v/>
      </c>
      <c r="V4411">
        <f>IF(OR(21&lt;='01_Вводные'!$B$15,21-'01_Вводные'!$B$15&gt;60),0,INDEX('19_Расчет_аналитики'!$B$4386:$BI$4386,1,21-'01_Вводные'!$B$15))*'01_Вводные'!$B$298*MIN(1,'01_Вводные'!$B$22)+IF(OR(21&lt;=('01_Вводные'!$B$15+'01_Вводные'!$B$311),21-('01_Вводные'!$B$15+'01_Вводные'!$B$311)&gt;60),0,INDEX('19_Расчет_аналитики'!$B$4386:$BI$4386,1,21-('01_Вводные'!$B$15+'01_Вводные'!$B$311)))*'01_Вводные'!$B$298*MAX(0,'01_Вводные'!$B$22-1)</f>
        <v/>
      </c>
      <c r="W4411">
        <f>IF(OR(22&lt;='01_Вводные'!$B$15,22-'01_Вводные'!$B$15&gt;60),0,INDEX('19_Расчет_аналитики'!$B$4386:$BI$4386,1,22-'01_Вводные'!$B$15))*'01_Вводные'!$B$298*MIN(1,'01_Вводные'!$B$22)+IF(OR(22&lt;=('01_Вводные'!$B$15+'01_Вводные'!$B$311),22-('01_Вводные'!$B$15+'01_Вводные'!$B$311)&gt;60),0,INDEX('19_Расчет_аналитики'!$B$4386:$BI$4386,1,22-('01_Вводные'!$B$15+'01_Вводные'!$B$311)))*'01_Вводные'!$B$298*MAX(0,'01_Вводные'!$B$22-1)</f>
        <v/>
      </c>
      <c r="X4411">
        <f>IF(OR(23&lt;='01_Вводные'!$B$15,23-'01_Вводные'!$B$15&gt;60),0,INDEX('19_Расчет_аналитики'!$B$4386:$BI$4386,1,23-'01_Вводные'!$B$15))*'01_Вводные'!$B$298*MIN(1,'01_Вводные'!$B$22)+IF(OR(23&lt;=('01_Вводные'!$B$15+'01_Вводные'!$B$311),23-('01_Вводные'!$B$15+'01_Вводные'!$B$311)&gt;60),0,INDEX('19_Расчет_аналитики'!$B$4386:$BI$4386,1,23-('01_Вводные'!$B$15+'01_Вводные'!$B$311)))*'01_Вводные'!$B$298*MAX(0,'01_Вводные'!$B$22-1)</f>
        <v/>
      </c>
      <c r="Y4411">
        <f>IF(OR(24&lt;='01_Вводные'!$B$15,24-'01_Вводные'!$B$15&gt;60),0,INDEX('19_Расчет_аналитики'!$B$4386:$BI$4386,1,24-'01_Вводные'!$B$15))*'01_Вводные'!$B$298*MIN(1,'01_Вводные'!$B$22)+IF(OR(24&lt;=('01_Вводные'!$B$15+'01_Вводные'!$B$311),24-('01_Вводные'!$B$15+'01_Вводные'!$B$311)&gt;60),0,INDEX('19_Расчет_аналитики'!$B$4386:$BI$4386,1,24-('01_Вводные'!$B$15+'01_Вводные'!$B$311)))*'01_Вводные'!$B$298*MAX(0,'01_Вводные'!$B$22-1)</f>
        <v/>
      </c>
      <c r="Z4411">
        <f>IF(OR(25&lt;='01_Вводные'!$B$15,25-'01_Вводные'!$B$15&gt;60),0,INDEX('19_Расчет_аналитики'!$B$4386:$BI$4386,1,25-'01_Вводные'!$B$15))*'01_Вводные'!$B$298*MIN(1,'01_Вводные'!$B$22)+IF(OR(25&lt;=('01_Вводные'!$B$15+'01_Вводные'!$B$311),25-('01_Вводные'!$B$15+'01_Вводные'!$B$311)&gt;60),0,INDEX('19_Расчет_аналитики'!$B$4386:$BI$4386,1,25-('01_Вводные'!$B$15+'01_Вводные'!$B$311)))*'01_Вводные'!$B$298*MAX(0,'01_Вводные'!$B$22-1)</f>
        <v/>
      </c>
      <c r="AA4411">
        <f>IF(OR(26&lt;='01_Вводные'!$B$15,26-'01_Вводные'!$B$15&gt;60),0,INDEX('19_Расчет_аналитики'!$B$4386:$BI$4386,1,26-'01_Вводные'!$B$15))*'01_Вводные'!$B$298*MIN(1,'01_Вводные'!$B$22)+IF(OR(26&lt;=('01_Вводные'!$B$15+'01_Вводные'!$B$311),26-('01_Вводные'!$B$15+'01_Вводные'!$B$311)&gt;60),0,INDEX('19_Расчет_аналитики'!$B$4386:$BI$4386,1,26-('01_Вводные'!$B$15+'01_Вводные'!$B$311)))*'01_Вводные'!$B$298*MAX(0,'01_Вводные'!$B$22-1)</f>
        <v/>
      </c>
      <c r="AB4411">
        <f>IF(OR(27&lt;='01_Вводные'!$B$15,27-'01_Вводные'!$B$15&gt;60),0,INDEX('19_Расчет_аналитики'!$B$4386:$BI$4386,1,27-'01_Вводные'!$B$15))*'01_Вводные'!$B$298*MIN(1,'01_Вводные'!$B$22)+IF(OR(27&lt;=('01_Вводные'!$B$15+'01_Вводные'!$B$311),27-('01_Вводные'!$B$15+'01_Вводные'!$B$311)&gt;60),0,INDEX('19_Расчет_аналитики'!$B$4386:$BI$4386,1,27-('01_Вводные'!$B$15+'01_Вводные'!$B$311)))*'01_Вводные'!$B$298*MAX(0,'01_Вводные'!$B$22-1)</f>
        <v/>
      </c>
      <c r="AC4411">
        <f>IF(OR(28&lt;='01_Вводные'!$B$15,28-'01_Вводные'!$B$15&gt;60),0,INDEX('19_Расчет_аналитики'!$B$4386:$BI$4386,1,28-'01_Вводные'!$B$15))*'01_Вводные'!$B$298*MIN(1,'01_Вводные'!$B$22)+IF(OR(28&lt;=('01_Вводные'!$B$15+'01_Вводные'!$B$311),28-('01_Вводные'!$B$15+'01_Вводные'!$B$311)&gt;60),0,INDEX('19_Расчет_аналитики'!$B$4386:$BI$4386,1,28-('01_Вводные'!$B$15+'01_Вводные'!$B$311)))*'01_Вводные'!$B$298*MAX(0,'01_Вводные'!$B$22-1)</f>
        <v/>
      </c>
      <c r="AD4411">
        <f>IF(OR(29&lt;='01_Вводные'!$B$15,29-'01_Вводные'!$B$15&gt;60),0,INDEX('19_Расчет_аналитики'!$B$4386:$BI$4386,1,29-'01_Вводные'!$B$15))*'01_Вводные'!$B$298*MIN(1,'01_Вводные'!$B$22)+IF(OR(29&lt;=('01_Вводные'!$B$15+'01_Вводные'!$B$311),29-('01_Вводные'!$B$15+'01_Вводные'!$B$311)&gt;60),0,INDEX('19_Расчет_аналитики'!$B$4386:$BI$4386,1,29-('01_Вводные'!$B$15+'01_Вводные'!$B$311)))*'01_Вводные'!$B$298*MAX(0,'01_Вводные'!$B$22-1)</f>
        <v/>
      </c>
      <c r="AE4411">
        <f>IF(OR(30&lt;='01_Вводные'!$B$15,30-'01_Вводные'!$B$15&gt;60),0,INDEX('19_Расчет_аналитики'!$B$4386:$BI$4386,1,30-'01_Вводные'!$B$15))*'01_Вводные'!$B$298*MIN(1,'01_Вводные'!$B$22)+IF(OR(30&lt;=('01_Вводные'!$B$15+'01_Вводные'!$B$311),30-('01_Вводные'!$B$15+'01_Вводные'!$B$311)&gt;60),0,INDEX('19_Расчет_аналитики'!$B$4386:$BI$4386,1,30-('01_Вводные'!$B$15+'01_Вводные'!$B$311)))*'01_Вводные'!$B$298*MAX(0,'01_Вводные'!$B$22-1)</f>
        <v/>
      </c>
      <c r="AF4411">
        <f>IF(OR(31&lt;='01_Вводные'!$B$15,31-'01_Вводные'!$B$15&gt;60),0,INDEX('19_Расчет_аналитики'!$B$4386:$BI$4386,1,31-'01_Вводные'!$B$15))*'01_Вводные'!$B$298*MIN(1,'01_Вводные'!$B$22)+IF(OR(31&lt;=('01_Вводные'!$B$15+'01_Вводные'!$B$311),31-('01_Вводные'!$B$15+'01_Вводные'!$B$311)&gt;60),0,INDEX('19_Расчет_аналитики'!$B$4386:$BI$4386,1,31-('01_Вводные'!$B$15+'01_Вводные'!$B$311)))*'01_Вводные'!$B$298*MAX(0,'01_Вводные'!$B$22-1)</f>
        <v/>
      </c>
      <c r="AG4411">
        <f>IF(OR(32&lt;='01_Вводные'!$B$15,32-'01_Вводные'!$B$15&gt;60),0,INDEX('19_Расчет_аналитики'!$B$4386:$BI$4386,1,32-'01_Вводные'!$B$15))*'01_Вводные'!$B$298*MIN(1,'01_Вводные'!$B$22)+IF(OR(32&lt;=('01_Вводные'!$B$15+'01_Вводные'!$B$311),32-('01_Вводные'!$B$15+'01_Вводные'!$B$311)&gt;60),0,INDEX('19_Расчет_аналитики'!$B$4386:$BI$4386,1,32-('01_Вводные'!$B$15+'01_Вводные'!$B$311)))*'01_Вводные'!$B$298*MAX(0,'01_Вводные'!$B$22-1)</f>
        <v/>
      </c>
      <c r="AH4411">
        <f>IF(OR(33&lt;='01_Вводные'!$B$15,33-'01_Вводные'!$B$15&gt;60),0,INDEX('19_Расчет_аналитики'!$B$4386:$BI$4386,1,33-'01_Вводные'!$B$15))*'01_Вводные'!$B$298*MIN(1,'01_Вводные'!$B$22)+IF(OR(33&lt;=('01_Вводные'!$B$15+'01_Вводные'!$B$311),33-('01_Вводные'!$B$15+'01_Вводные'!$B$311)&gt;60),0,INDEX('19_Расчет_аналитики'!$B$4386:$BI$4386,1,33-('01_Вводные'!$B$15+'01_Вводные'!$B$311)))*'01_Вводные'!$B$298*MAX(0,'01_Вводные'!$B$22-1)</f>
        <v/>
      </c>
      <c r="AI4411">
        <f>IF(OR(34&lt;='01_Вводные'!$B$15,34-'01_Вводные'!$B$15&gt;60),0,INDEX('19_Расчет_аналитики'!$B$4386:$BI$4386,1,34-'01_Вводные'!$B$15))*'01_Вводные'!$B$298*MIN(1,'01_Вводные'!$B$22)+IF(OR(34&lt;=('01_Вводные'!$B$15+'01_Вводные'!$B$311),34-('01_Вводные'!$B$15+'01_Вводные'!$B$311)&gt;60),0,INDEX('19_Расчет_аналитики'!$B$4386:$BI$4386,1,34-('01_Вводные'!$B$15+'01_Вводные'!$B$311)))*'01_Вводные'!$B$298*MAX(0,'01_Вводные'!$B$22-1)</f>
        <v/>
      </c>
      <c r="AJ4411">
        <f>IF(OR(35&lt;='01_Вводные'!$B$15,35-'01_Вводные'!$B$15&gt;60),0,INDEX('19_Расчет_аналитики'!$B$4386:$BI$4386,1,35-'01_Вводные'!$B$15))*'01_Вводные'!$B$298*MIN(1,'01_Вводные'!$B$22)+IF(OR(35&lt;=('01_Вводные'!$B$15+'01_Вводные'!$B$311),35-('01_Вводные'!$B$15+'01_Вводные'!$B$311)&gt;60),0,INDEX('19_Расчет_аналитики'!$B$4386:$BI$4386,1,35-('01_Вводные'!$B$15+'01_Вводные'!$B$311)))*'01_Вводные'!$B$298*MAX(0,'01_Вводные'!$B$22-1)</f>
        <v/>
      </c>
      <c r="AK4411">
        <f>IF(OR(36&lt;='01_Вводные'!$B$15,36-'01_Вводные'!$B$15&gt;60),0,INDEX('19_Расчет_аналитики'!$B$4386:$BI$4386,1,36-'01_Вводные'!$B$15))*'01_Вводные'!$B$298*MIN(1,'01_Вводные'!$B$22)+IF(OR(36&lt;=('01_Вводные'!$B$15+'01_Вводные'!$B$311),36-('01_Вводные'!$B$15+'01_Вводные'!$B$311)&gt;60),0,INDEX('19_Расчет_аналитики'!$B$4386:$BI$4386,1,36-('01_Вводные'!$B$15+'01_Вводные'!$B$311)))*'01_Вводные'!$B$298*MAX(0,'01_Вводные'!$B$22-1)</f>
        <v/>
      </c>
      <c r="AL4411">
        <f>IF(OR(37&lt;='01_Вводные'!$B$15,37-'01_Вводные'!$B$15&gt;60),0,INDEX('19_Расчет_аналитики'!$B$4386:$BI$4386,1,37-'01_Вводные'!$B$15))*'01_Вводные'!$B$298*MIN(1,'01_Вводные'!$B$22)+IF(OR(37&lt;=('01_Вводные'!$B$15+'01_Вводные'!$B$311),37-('01_Вводные'!$B$15+'01_Вводные'!$B$311)&gt;60),0,INDEX('19_Расчет_аналитики'!$B$4386:$BI$4386,1,37-('01_Вводные'!$B$15+'01_Вводные'!$B$311)))*'01_Вводные'!$B$298*MAX(0,'01_Вводные'!$B$22-1)</f>
        <v/>
      </c>
      <c r="AM4411">
        <f>IF(OR(38&lt;='01_Вводные'!$B$15,38-'01_Вводные'!$B$15&gt;60),0,INDEX('19_Расчет_аналитики'!$B$4386:$BI$4386,1,38-'01_Вводные'!$B$15))*'01_Вводные'!$B$298*MIN(1,'01_Вводные'!$B$22)+IF(OR(38&lt;=('01_Вводные'!$B$15+'01_Вводные'!$B$311),38-('01_Вводные'!$B$15+'01_Вводные'!$B$311)&gt;60),0,INDEX('19_Расчет_аналитики'!$B$4386:$BI$4386,1,38-('01_Вводные'!$B$15+'01_Вводные'!$B$311)))*'01_Вводные'!$B$298*MAX(0,'01_Вводные'!$B$22-1)</f>
        <v/>
      </c>
      <c r="AN4411">
        <f>IF(OR(39&lt;='01_Вводные'!$B$15,39-'01_Вводные'!$B$15&gt;60),0,INDEX('19_Расчет_аналитики'!$B$4386:$BI$4386,1,39-'01_Вводные'!$B$15))*'01_Вводные'!$B$298*MIN(1,'01_Вводные'!$B$22)+IF(OR(39&lt;=('01_Вводные'!$B$15+'01_Вводные'!$B$311),39-('01_Вводные'!$B$15+'01_Вводные'!$B$311)&gt;60),0,INDEX('19_Расчет_аналитики'!$B$4386:$BI$4386,1,39-('01_Вводные'!$B$15+'01_Вводные'!$B$311)))*'01_Вводные'!$B$298*MAX(0,'01_Вводные'!$B$22-1)</f>
        <v/>
      </c>
      <c r="AO4411">
        <f>IF(OR(40&lt;='01_Вводные'!$B$15,40-'01_Вводные'!$B$15&gt;60),0,INDEX('19_Расчет_аналитики'!$B$4386:$BI$4386,1,40-'01_Вводные'!$B$15))*'01_Вводные'!$B$298*MIN(1,'01_Вводные'!$B$22)+IF(OR(40&lt;=('01_Вводные'!$B$15+'01_Вводные'!$B$311),40-('01_Вводные'!$B$15+'01_Вводные'!$B$311)&gt;60),0,INDEX('19_Расчет_аналитики'!$B$4386:$BI$4386,1,40-('01_Вводные'!$B$15+'01_Вводные'!$B$311)))*'01_Вводные'!$B$298*MAX(0,'01_Вводные'!$B$22-1)</f>
        <v/>
      </c>
      <c r="AP4411">
        <f>IF(OR(41&lt;='01_Вводные'!$B$15,41-'01_Вводные'!$B$15&gt;60),0,INDEX('19_Расчет_аналитики'!$B$4386:$BI$4386,1,41-'01_Вводные'!$B$15))*'01_Вводные'!$B$298*MIN(1,'01_Вводные'!$B$22)+IF(OR(41&lt;=('01_Вводные'!$B$15+'01_Вводные'!$B$311),41-('01_Вводные'!$B$15+'01_Вводные'!$B$311)&gt;60),0,INDEX('19_Расчет_аналитики'!$B$4386:$BI$4386,1,41-('01_Вводные'!$B$15+'01_Вводные'!$B$311)))*'01_Вводные'!$B$298*MAX(0,'01_Вводные'!$B$22-1)</f>
        <v/>
      </c>
      <c r="AQ4411">
        <f>IF(OR(42&lt;='01_Вводные'!$B$15,42-'01_Вводные'!$B$15&gt;60),0,INDEX('19_Расчет_аналитики'!$B$4386:$BI$4386,1,42-'01_Вводные'!$B$15))*'01_Вводные'!$B$298*MIN(1,'01_Вводные'!$B$22)+IF(OR(42&lt;=('01_Вводные'!$B$15+'01_Вводные'!$B$311),42-('01_Вводные'!$B$15+'01_Вводные'!$B$311)&gt;60),0,INDEX('19_Расчет_аналитики'!$B$4386:$BI$4386,1,42-('01_Вводные'!$B$15+'01_Вводные'!$B$311)))*'01_Вводные'!$B$298*MAX(0,'01_Вводные'!$B$22-1)</f>
        <v/>
      </c>
      <c r="AR4411">
        <f>IF(OR(43&lt;='01_Вводные'!$B$15,43-'01_Вводные'!$B$15&gt;60),0,INDEX('19_Расчет_аналитики'!$B$4386:$BI$4386,1,43-'01_Вводные'!$B$15))*'01_Вводные'!$B$298*MIN(1,'01_Вводные'!$B$22)+IF(OR(43&lt;=('01_Вводные'!$B$15+'01_Вводные'!$B$311),43-('01_Вводные'!$B$15+'01_Вводные'!$B$311)&gt;60),0,INDEX('19_Расчет_аналитики'!$B$4386:$BI$4386,1,43-('01_Вводные'!$B$15+'01_Вводные'!$B$311)))*'01_Вводные'!$B$298*MAX(0,'01_Вводные'!$B$22-1)</f>
        <v/>
      </c>
      <c r="AS4411">
        <f>IF(OR(44&lt;='01_Вводные'!$B$15,44-'01_Вводные'!$B$15&gt;60),0,INDEX('19_Расчет_аналитики'!$B$4386:$BI$4386,1,44-'01_Вводные'!$B$15))*'01_Вводные'!$B$298*MIN(1,'01_Вводные'!$B$22)+IF(OR(44&lt;=('01_Вводные'!$B$15+'01_Вводные'!$B$311),44-('01_Вводные'!$B$15+'01_Вводные'!$B$311)&gt;60),0,INDEX('19_Расчет_аналитики'!$B$4386:$BI$4386,1,44-('01_Вводные'!$B$15+'01_Вводные'!$B$311)))*'01_Вводные'!$B$298*MAX(0,'01_Вводные'!$B$22-1)</f>
        <v/>
      </c>
      <c r="AT4411">
        <f>IF(OR(45&lt;='01_Вводные'!$B$15,45-'01_Вводные'!$B$15&gt;60),0,INDEX('19_Расчет_аналитики'!$B$4386:$BI$4386,1,45-'01_Вводные'!$B$15))*'01_Вводные'!$B$298*MIN(1,'01_Вводные'!$B$22)+IF(OR(45&lt;=('01_Вводные'!$B$15+'01_Вводные'!$B$311),45-('01_Вводные'!$B$15+'01_Вводные'!$B$311)&gt;60),0,INDEX('19_Расчет_аналитики'!$B$4386:$BI$4386,1,45-('01_Вводные'!$B$15+'01_Вводные'!$B$311)))*'01_Вводные'!$B$298*MAX(0,'01_Вводные'!$B$22-1)</f>
        <v/>
      </c>
      <c r="AU4411">
        <f>IF(OR(46&lt;='01_Вводные'!$B$15,46-'01_Вводные'!$B$15&gt;60),0,INDEX('19_Расчет_аналитики'!$B$4386:$BI$4386,1,46-'01_Вводные'!$B$15))*'01_Вводные'!$B$298*MIN(1,'01_Вводные'!$B$22)+IF(OR(46&lt;=('01_Вводные'!$B$15+'01_Вводные'!$B$311),46-('01_Вводные'!$B$15+'01_Вводные'!$B$311)&gt;60),0,INDEX('19_Расчет_аналитики'!$B$4386:$BI$4386,1,46-('01_Вводные'!$B$15+'01_Вводные'!$B$311)))*'01_Вводные'!$B$298*MAX(0,'01_Вводные'!$B$22-1)</f>
        <v/>
      </c>
      <c r="AV4411">
        <f>IF(OR(47&lt;='01_Вводные'!$B$15,47-'01_Вводные'!$B$15&gt;60),0,INDEX('19_Расчет_аналитики'!$B$4386:$BI$4386,1,47-'01_Вводные'!$B$15))*'01_Вводные'!$B$298*MIN(1,'01_Вводные'!$B$22)+IF(OR(47&lt;=('01_Вводные'!$B$15+'01_Вводные'!$B$311),47-('01_Вводные'!$B$15+'01_Вводные'!$B$311)&gt;60),0,INDEX('19_Расчет_аналитики'!$B$4386:$BI$4386,1,47-('01_Вводные'!$B$15+'01_Вводные'!$B$311)))*'01_Вводные'!$B$298*MAX(0,'01_Вводные'!$B$22-1)</f>
        <v/>
      </c>
      <c r="AW4411">
        <f>IF(OR(48&lt;='01_Вводные'!$B$15,48-'01_Вводные'!$B$15&gt;60),0,INDEX('19_Расчет_аналитики'!$B$4386:$BI$4386,1,48-'01_Вводные'!$B$15))*'01_Вводные'!$B$298*MIN(1,'01_Вводные'!$B$22)+IF(OR(48&lt;=('01_Вводные'!$B$15+'01_Вводные'!$B$311),48-('01_Вводные'!$B$15+'01_Вводные'!$B$311)&gt;60),0,INDEX('19_Расчет_аналитики'!$B$4386:$BI$4386,1,48-('01_Вводные'!$B$15+'01_Вводные'!$B$311)))*'01_Вводные'!$B$298*MAX(0,'01_Вводные'!$B$22-1)</f>
        <v/>
      </c>
      <c r="AX4411">
        <f>IF(OR(49&lt;='01_Вводные'!$B$15,49-'01_Вводные'!$B$15&gt;60),0,INDEX('19_Расчет_аналитики'!$B$4386:$BI$4386,1,49-'01_Вводные'!$B$15))*'01_Вводные'!$B$298*MIN(1,'01_Вводные'!$B$22)+IF(OR(49&lt;=('01_Вводные'!$B$15+'01_Вводные'!$B$311),49-('01_Вводные'!$B$15+'01_Вводные'!$B$311)&gt;60),0,INDEX('19_Расчет_аналитики'!$B$4386:$BI$4386,1,49-('01_Вводные'!$B$15+'01_Вводные'!$B$311)))*'01_Вводные'!$B$298*MAX(0,'01_Вводные'!$B$22-1)</f>
        <v/>
      </c>
      <c r="AY4411">
        <f>IF(OR(50&lt;='01_Вводные'!$B$15,50-'01_Вводные'!$B$15&gt;60),0,INDEX('19_Расчет_аналитики'!$B$4386:$BI$4386,1,50-'01_Вводные'!$B$15))*'01_Вводные'!$B$298*MIN(1,'01_Вводные'!$B$22)+IF(OR(50&lt;=('01_Вводные'!$B$15+'01_Вводные'!$B$311),50-('01_Вводные'!$B$15+'01_Вводные'!$B$311)&gt;60),0,INDEX('19_Расчет_аналитики'!$B$4386:$BI$4386,1,50-('01_Вводные'!$B$15+'01_Вводные'!$B$311)))*'01_Вводные'!$B$298*MAX(0,'01_Вводные'!$B$22-1)</f>
        <v/>
      </c>
      <c r="AZ4411">
        <f>IF(OR(51&lt;='01_Вводные'!$B$15,51-'01_Вводные'!$B$15&gt;60),0,INDEX('19_Расчет_аналитики'!$B$4386:$BI$4386,1,51-'01_Вводные'!$B$15))*'01_Вводные'!$B$298*MIN(1,'01_Вводные'!$B$22)+IF(OR(51&lt;=('01_Вводные'!$B$15+'01_Вводные'!$B$311),51-('01_Вводные'!$B$15+'01_Вводные'!$B$311)&gt;60),0,INDEX('19_Расчет_аналитики'!$B$4386:$BI$4386,1,51-('01_Вводные'!$B$15+'01_Вводные'!$B$311)))*'01_Вводные'!$B$298*MAX(0,'01_Вводные'!$B$22-1)</f>
        <v/>
      </c>
      <c r="BA4411">
        <f>IF(OR(52&lt;='01_Вводные'!$B$15,52-'01_Вводные'!$B$15&gt;60),0,INDEX('19_Расчет_аналитики'!$B$4386:$BI$4386,1,52-'01_Вводные'!$B$15))*'01_Вводные'!$B$298*MIN(1,'01_Вводные'!$B$22)+IF(OR(52&lt;=('01_Вводные'!$B$15+'01_Вводные'!$B$311),52-('01_Вводные'!$B$15+'01_Вводные'!$B$311)&gt;60),0,INDEX('19_Расчет_аналитики'!$B$4386:$BI$4386,1,52-('01_Вводные'!$B$15+'01_Вводные'!$B$311)))*'01_Вводные'!$B$298*MAX(0,'01_Вводные'!$B$22-1)</f>
        <v/>
      </c>
      <c r="BB4411">
        <f>IF(OR(53&lt;='01_Вводные'!$B$15,53-'01_Вводные'!$B$15&gt;60),0,INDEX('19_Расчет_аналитики'!$B$4386:$BI$4386,1,53-'01_Вводные'!$B$15))*'01_Вводные'!$B$298*MIN(1,'01_Вводные'!$B$22)+IF(OR(53&lt;=('01_Вводные'!$B$15+'01_Вводные'!$B$311),53-('01_Вводные'!$B$15+'01_Вводные'!$B$311)&gt;60),0,INDEX('19_Расчет_аналитики'!$B$4386:$BI$4386,1,53-('01_Вводные'!$B$15+'01_Вводные'!$B$311)))*'01_Вводные'!$B$298*MAX(0,'01_Вводные'!$B$22-1)</f>
        <v/>
      </c>
      <c r="BC4411">
        <f>IF(OR(54&lt;='01_Вводные'!$B$15,54-'01_Вводные'!$B$15&gt;60),0,INDEX('19_Расчет_аналитики'!$B$4386:$BI$4386,1,54-'01_Вводные'!$B$15))*'01_Вводные'!$B$298*MIN(1,'01_Вводные'!$B$22)+IF(OR(54&lt;=('01_Вводные'!$B$15+'01_Вводные'!$B$311),54-('01_Вводные'!$B$15+'01_Вводные'!$B$311)&gt;60),0,INDEX('19_Расчет_аналитики'!$B$4386:$BI$4386,1,54-('01_Вводные'!$B$15+'01_Вводные'!$B$311)))*'01_Вводные'!$B$298*MAX(0,'01_Вводные'!$B$22-1)</f>
        <v/>
      </c>
      <c r="BD4411">
        <f>IF(OR(55&lt;='01_Вводные'!$B$15,55-'01_Вводные'!$B$15&gt;60),0,INDEX('19_Расчет_аналитики'!$B$4386:$BI$4386,1,55-'01_Вводные'!$B$15))*'01_Вводные'!$B$298*MIN(1,'01_Вводные'!$B$22)+IF(OR(55&lt;=('01_Вводные'!$B$15+'01_Вводные'!$B$311),55-('01_Вводные'!$B$15+'01_Вводные'!$B$311)&gt;60),0,INDEX('19_Расчет_аналитики'!$B$4386:$BI$4386,1,55-('01_Вводные'!$B$15+'01_Вводные'!$B$311)))*'01_Вводные'!$B$298*MAX(0,'01_Вводные'!$B$22-1)</f>
        <v/>
      </c>
      <c r="BE4411">
        <f>IF(OR(56&lt;='01_Вводные'!$B$15,56-'01_Вводные'!$B$15&gt;60),0,INDEX('19_Расчет_аналитики'!$B$4386:$BI$4386,1,56-'01_Вводные'!$B$15))*'01_Вводные'!$B$298*MIN(1,'01_Вводные'!$B$22)+IF(OR(56&lt;=('01_Вводные'!$B$15+'01_Вводные'!$B$311),56-('01_Вводные'!$B$15+'01_Вводные'!$B$311)&gt;60),0,INDEX('19_Расчет_аналитики'!$B$4386:$BI$4386,1,56-('01_Вводные'!$B$15+'01_Вводные'!$B$311)))*'01_Вводные'!$B$298*MAX(0,'01_Вводные'!$B$22-1)</f>
        <v/>
      </c>
      <c r="BF4411">
        <f>IF(OR(57&lt;='01_Вводные'!$B$15,57-'01_Вводные'!$B$15&gt;60),0,INDEX('19_Расчет_аналитики'!$B$4386:$BI$4386,1,57-'01_Вводные'!$B$15))*'01_Вводные'!$B$298*MIN(1,'01_Вводные'!$B$22)+IF(OR(57&lt;=('01_Вводные'!$B$15+'01_Вводные'!$B$311),57-('01_Вводные'!$B$15+'01_Вводные'!$B$311)&gt;60),0,INDEX('19_Расчет_аналитики'!$B$4386:$BI$4386,1,57-('01_Вводные'!$B$15+'01_Вводные'!$B$311)))*'01_Вводные'!$B$298*MAX(0,'01_Вводные'!$B$22-1)</f>
        <v/>
      </c>
      <c r="BG4411">
        <f>IF(OR(58&lt;='01_Вводные'!$B$15,58-'01_Вводные'!$B$15&gt;60),0,INDEX('19_Расчет_аналитики'!$B$4386:$BI$4386,1,58-'01_Вводные'!$B$15))*'01_Вводные'!$B$298*MIN(1,'01_Вводные'!$B$22)+IF(OR(58&lt;=('01_Вводные'!$B$15+'01_Вводные'!$B$311),58-('01_Вводные'!$B$15+'01_Вводные'!$B$311)&gt;60),0,INDEX('19_Расчет_аналитики'!$B$4386:$BI$4386,1,58-('01_Вводные'!$B$15+'01_Вводные'!$B$311)))*'01_Вводные'!$B$298*MAX(0,'01_Вводные'!$B$22-1)</f>
        <v/>
      </c>
      <c r="BH4411">
        <f>IF(OR(59&lt;='01_Вводные'!$B$15,59-'01_Вводные'!$B$15&gt;60),0,INDEX('19_Расчет_аналитики'!$B$4386:$BI$4386,1,59-'01_Вводные'!$B$15))*'01_Вводные'!$B$298*MIN(1,'01_Вводные'!$B$22)+IF(OR(59&lt;=('01_Вводные'!$B$15+'01_Вводные'!$B$311),59-('01_Вводные'!$B$15+'01_Вводные'!$B$311)&gt;60),0,INDEX('19_Расчет_аналитики'!$B$4386:$BI$4386,1,59-('01_Вводные'!$B$15+'01_Вводные'!$B$311)))*'01_Вводные'!$B$298*MAX(0,'01_Вводные'!$B$22-1)</f>
        <v/>
      </c>
      <c r="BI4411">
        <f>IF(OR(60&lt;='01_Вводные'!$B$15,60-'01_Вводные'!$B$15&gt;60),0,INDEX('19_Расчет_аналитики'!$B$4386:$BI$4386,1,60-'01_Вводные'!$B$15))*'01_Вводные'!$B$298*MIN(1,'01_Вводные'!$B$22)+IF(OR(60&lt;=('01_Вводные'!$B$15+'01_Вводные'!$B$311),60-('01_Вводные'!$B$15+'01_Вводные'!$B$311)&gt;60),0,INDEX('19_Расчет_аналитики'!$B$4386:$BI$4386,1,60-('01_Вводные'!$B$15+'01_Вводные'!$B$311)))*'01_Вводные'!$B$298*MAX(0,'01_Вводные'!$B$22-1)</f>
        <v/>
      </c>
      <c r="BJ4411">
        <f>IF(OR(61&lt;='01_Вводные'!$B$15,61-'01_Вводные'!$B$15&gt;60),0,INDEX('19_Расчет_аналитики'!$B$4386:$BI$4386,1,61-'01_Вводные'!$B$15))*'01_Вводные'!$B$298*MIN(1,'01_Вводные'!$B$22)+IF(OR(61&lt;=('01_Вводные'!$B$15+'01_Вводные'!$B$311),61-('01_Вводные'!$B$15+'01_Вводные'!$B$311)&gt;60),0,INDEX('19_Расчет_аналитики'!$B$4386:$BI$4386,1,61-('01_Вводные'!$B$15+'01_Вводные'!$B$311)))*'01_Вводные'!$B$298*MAX(0,'01_Вводные'!$B$22-1)</f>
        <v/>
      </c>
      <c r="BK4411">
        <f>IF(OR(62&lt;='01_Вводные'!$B$15,62-'01_Вводные'!$B$15&gt;60),0,INDEX('19_Расчет_аналитики'!$B$4386:$BI$4386,1,62-'01_Вводные'!$B$15))*'01_Вводные'!$B$298*MIN(1,'01_Вводные'!$B$22)+IF(OR(62&lt;=('01_Вводные'!$B$15+'01_Вводные'!$B$311),62-('01_Вводные'!$B$15+'01_Вводные'!$B$311)&gt;60),0,INDEX('19_Расчет_аналитики'!$B$4386:$BI$4386,1,62-('01_Вводные'!$B$15+'01_Вводные'!$B$311)))*'01_Вводные'!$B$298*MAX(0,'01_Вводные'!$B$22-1)</f>
        <v/>
      </c>
      <c r="BL4411">
        <f>IF(OR(63&lt;='01_Вводные'!$B$15,63-'01_Вводные'!$B$15&gt;60),0,INDEX('19_Расчет_аналитики'!$B$4386:$BI$4386,1,63-'01_Вводные'!$B$15))*'01_Вводные'!$B$298*MIN(1,'01_Вводные'!$B$22)+IF(OR(63&lt;=('01_Вводные'!$B$15+'01_Вводные'!$B$311),63-('01_Вводные'!$B$15+'01_Вводные'!$B$311)&gt;60),0,INDEX('19_Расчет_аналитики'!$B$4386:$BI$4386,1,63-('01_Вводные'!$B$15+'01_Вводные'!$B$311)))*'01_Вводные'!$B$298*MAX(0,'01_Вводные'!$B$22-1)</f>
        <v/>
      </c>
      <c r="BM4411">
        <f>IF(OR(64&lt;='01_Вводные'!$B$15,64-'01_Вводные'!$B$15&gt;60),0,INDEX('19_Расчет_аналитики'!$B$4386:$BI$4386,1,64-'01_Вводные'!$B$15))*'01_Вводные'!$B$298*MIN(1,'01_Вводные'!$B$22)+IF(OR(64&lt;=('01_Вводные'!$B$15+'01_Вводные'!$B$311),64-('01_Вводные'!$B$15+'01_Вводные'!$B$311)&gt;60),0,INDEX('19_Расчет_аналитики'!$B$4386:$BI$4386,1,64-('01_Вводные'!$B$15+'01_Вводные'!$B$311)))*'01_Вводные'!$B$298*MAX(0,'01_Вводные'!$B$22-1)</f>
        <v/>
      </c>
      <c r="BN4411">
        <f>IF(OR(65&lt;='01_Вводные'!$B$15,65-'01_Вводные'!$B$15&gt;60),0,INDEX('19_Расчет_аналитики'!$B$4386:$BI$4386,1,65-'01_Вводные'!$B$15))*'01_Вводные'!$B$298*MIN(1,'01_Вводные'!$B$22)+IF(OR(65&lt;=('01_Вводные'!$B$15+'01_Вводные'!$B$311),65-('01_Вводные'!$B$15+'01_Вводные'!$B$311)&gt;60),0,INDEX('19_Расчет_аналитики'!$B$4386:$BI$4386,1,65-('01_Вводные'!$B$15+'01_Вводные'!$B$311)))*'01_Вводные'!$B$298*MAX(0,'01_Вводные'!$B$22-1)</f>
        <v/>
      </c>
      <c r="BO4411">
        <f>IF(OR(66&lt;='01_Вводные'!$B$15,66-'01_Вводные'!$B$15&gt;60),0,INDEX('19_Расчет_аналитики'!$B$4386:$BI$4386,1,66-'01_Вводные'!$B$15))*'01_Вводные'!$B$298*MIN(1,'01_Вводные'!$B$22)+IF(OR(66&lt;=('01_Вводные'!$B$15+'01_Вводные'!$B$311),66-('01_Вводные'!$B$15+'01_Вводные'!$B$311)&gt;60),0,INDEX('19_Расчет_аналитики'!$B$4386:$BI$4386,1,66-('01_Вводные'!$B$15+'01_Вводные'!$B$311)))*'01_Вводные'!$B$298*MAX(0,'01_Вводные'!$B$22-1)</f>
        <v/>
      </c>
    </row>
    <row r="4412">
      <c r="C4412">
        <f>IF('01_Вводные'!$B$234="Да",'19_Расчет_аналитики'!C4410*'01_Вводные'!$B$16,0)</f>
        <v/>
      </c>
      <c r="D4412">
        <f>IF('01_Вводные'!$B$234="Да",'19_Расчет_аналитики'!D4410*'01_Вводные'!$B$16,0)</f>
        <v/>
      </c>
      <c r="E4412">
        <f>IF('01_Вводные'!$B$234="Да",'19_Расчет_аналитики'!E4410*'01_Вводные'!$B$16,0)</f>
        <v/>
      </c>
      <c r="F4412">
        <f>IF('01_Вводные'!$B$234="Да",'19_Расчет_аналитики'!F4410*'01_Вводные'!$B$16,0)</f>
        <v/>
      </c>
      <c r="G4412">
        <f>IF('01_Вводные'!$B$234="Да",'19_Расчет_аналитики'!G4410*'01_Вводные'!$B$16,0)</f>
        <v/>
      </c>
      <c r="H4412">
        <f>IF('01_Вводные'!$B$234="Да",'19_Расчет_аналитики'!H4410*'01_Вводные'!$B$16,0)</f>
        <v/>
      </c>
      <c r="I4412">
        <f>IF('01_Вводные'!$B$234="Да",'19_Расчет_аналитики'!I4410*'01_Вводные'!$B$16,0)</f>
        <v/>
      </c>
      <c r="J4412">
        <f>IF('01_Вводные'!$B$234="Да",'19_Расчет_аналитики'!J4410*'01_Вводные'!$B$16,0)</f>
        <v/>
      </c>
      <c r="K4412">
        <f>IF('01_Вводные'!$B$234="Да",'19_Расчет_аналитики'!K4410*'01_Вводные'!$B$16,0)</f>
        <v/>
      </c>
      <c r="L4412">
        <f>IF('01_Вводные'!$B$234="Да",'19_Расчет_аналитики'!L4410*'01_Вводные'!$B$16,0)</f>
        <v/>
      </c>
      <c r="M4412">
        <f>IF('01_Вводные'!$B$234="Да",'19_Расчет_аналитики'!M4410*'01_Вводные'!$B$16,0)</f>
        <v/>
      </c>
      <c r="N4412">
        <f>IF('01_Вводные'!$B$234="Да",'19_Расчет_аналитики'!N4410*'01_Вводные'!$B$16,0)</f>
        <v/>
      </c>
      <c r="O4412">
        <f>IF('01_Вводные'!$B$234="Да",'19_Расчет_аналитики'!O4410*'01_Вводные'!$B$16,0)</f>
        <v/>
      </c>
      <c r="P4412">
        <f>IF('01_Вводные'!$B$234="Да",'19_Расчет_аналитики'!P4410*'01_Вводные'!$B$16,0)</f>
        <v/>
      </c>
      <c r="Q4412">
        <f>IF('01_Вводные'!$B$234="Да",'19_Расчет_аналитики'!Q4410*'01_Вводные'!$B$16,0)</f>
        <v/>
      </c>
      <c r="R4412">
        <f>IF('01_Вводные'!$B$234="Да",'19_Расчет_аналитики'!R4410*'01_Вводные'!$B$16,0)</f>
        <v/>
      </c>
      <c r="S4412">
        <f>IF('01_Вводные'!$B$234="Да",'19_Расчет_аналитики'!S4410*'01_Вводные'!$B$16,0)</f>
        <v/>
      </c>
      <c r="T4412">
        <f>IF('01_Вводные'!$B$234="Да",'19_Расчет_аналитики'!T4410*'01_Вводные'!$B$16,0)</f>
        <v/>
      </c>
      <c r="U4412">
        <f>IF('01_Вводные'!$B$234="Да",'19_Расчет_аналитики'!U4410*'01_Вводные'!$B$16,0)</f>
        <v/>
      </c>
      <c r="V4412">
        <f>IF('01_Вводные'!$B$234="Да",'19_Расчет_аналитики'!V4410*'01_Вводные'!$B$16,0)</f>
        <v/>
      </c>
      <c r="W4412">
        <f>IF('01_Вводные'!$B$234="Да",'19_Расчет_аналитики'!W4410*'01_Вводные'!$B$16,0)</f>
        <v/>
      </c>
      <c r="X4412">
        <f>IF('01_Вводные'!$B$234="Да",'19_Расчет_аналитики'!X4410*'01_Вводные'!$B$16,0)</f>
        <v/>
      </c>
      <c r="Y4412">
        <f>IF('01_Вводные'!$B$234="Да",'19_Расчет_аналитики'!Y4410*'01_Вводные'!$B$16,0)</f>
        <v/>
      </c>
      <c r="Z4412">
        <f>IF('01_Вводные'!$B$234="Да",'19_Расчет_аналитики'!Z4410*'01_Вводные'!$B$16,0)</f>
        <v/>
      </c>
      <c r="AA4412">
        <f>IF('01_Вводные'!$B$234="Да",'19_Расчет_аналитики'!AA4410*'01_Вводные'!$B$16,0)</f>
        <v/>
      </c>
      <c r="AB4412">
        <f>IF('01_Вводные'!$B$234="Да",'19_Расчет_аналитики'!AB4410*'01_Вводные'!$B$16,0)</f>
        <v/>
      </c>
      <c r="AC4412">
        <f>IF('01_Вводные'!$B$234="Да",'19_Расчет_аналитики'!AC4410*'01_Вводные'!$B$16,0)</f>
        <v/>
      </c>
      <c r="AD4412">
        <f>IF('01_Вводные'!$B$234="Да",'19_Расчет_аналитики'!AD4410*'01_Вводные'!$B$16,0)</f>
        <v/>
      </c>
      <c r="AE4412">
        <f>IF('01_Вводные'!$B$234="Да",'19_Расчет_аналитики'!AE4410*'01_Вводные'!$B$16,0)</f>
        <v/>
      </c>
      <c r="AF4412">
        <f>IF('01_Вводные'!$B$234="Да",'19_Расчет_аналитики'!AF4410*'01_Вводные'!$B$16,0)</f>
        <v/>
      </c>
      <c r="AG4412">
        <f>IF('01_Вводные'!$B$234="Да",'19_Расчет_аналитики'!AG4410*'01_Вводные'!$B$16,0)</f>
        <v/>
      </c>
      <c r="AH4412">
        <f>IF('01_Вводные'!$B$234="Да",'19_Расчет_аналитики'!AH4410*'01_Вводные'!$B$16,0)</f>
        <v/>
      </c>
      <c r="AI4412">
        <f>IF('01_Вводные'!$B$234="Да",'19_Расчет_аналитики'!AI4410*'01_Вводные'!$B$16,0)</f>
        <v/>
      </c>
      <c r="AJ4412">
        <f>IF('01_Вводные'!$B$234="Да",'19_Расчет_аналитики'!AJ4410*'01_Вводные'!$B$16,0)</f>
        <v/>
      </c>
      <c r="AK4412">
        <f>IF('01_Вводные'!$B$234="Да",'19_Расчет_аналитики'!AK4410*'01_Вводные'!$B$16,0)</f>
        <v/>
      </c>
      <c r="AL4412">
        <f>IF('01_Вводные'!$B$234="Да",'19_Расчет_аналитики'!AL4410*'01_Вводные'!$B$16,0)</f>
        <v/>
      </c>
      <c r="AM4412">
        <f>IF('01_Вводные'!$B$234="Да",'19_Расчет_аналитики'!AM4410*'01_Вводные'!$B$16,0)</f>
        <v/>
      </c>
      <c r="AN4412">
        <f>IF('01_Вводные'!$B$234="Да",'19_Расчет_аналитики'!AN4410*'01_Вводные'!$B$16,0)</f>
        <v/>
      </c>
      <c r="AO4412">
        <f>IF('01_Вводные'!$B$234="Да",'19_Расчет_аналитики'!AO4410*'01_Вводные'!$B$16,0)</f>
        <v/>
      </c>
      <c r="AP4412">
        <f>IF('01_Вводные'!$B$234="Да",'19_Расчет_аналитики'!AP4410*'01_Вводные'!$B$16,0)</f>
        <v/>
      </c>
      <c r="AQ4412">
        <f>IF('01_Вводные'!$B$234="Да",'19_Расчет_аналитики'!AQ4410*'01_Вводные'!$B$16,0)</f>
        <v/>
      </c>
      <c r="AR4412">
        <f>IF('01_Вводные'!$B$234="Да",'19_Расчет_аналитики'!AR4410*'01_Вводные'!$B$16,0)</f>
        <v/>
      </c>
      <c r="AS4412">
        <f>IF('01_Вводные'!$B$234="Да",'19_Расчет_аналитики'!AS4410*'01_Вводные'!$B$16,0)</f>
        <v/>
      </c>
      <c r="AT4412">
        <f>IF('01_Вводные'!$B$234="Да",'19_Расчет_аналитики'!AT4410*'01_Вводные'!$B$16,0)</f>
        <v/>
      </c>
      <c r="AU4412">
        <f>IF('01_Вводные'!$B$234="Да",'19_Расчет_аналитики'!AU4410*'01_Вводные'!$B$16,0)</f>
        <v/>
      </c>
      <c r="AV4412">
        <f>IF('01_Вводные'!$B$234="Да",'19_Расчет_аналитики'!AV4410*'01_Вводные'!$B$16,0)</f>
        <v/>
      </c>
      <c r="AW4412">
        <f>IF('01_Вводные'!$B$234="Да",'19_Расчет_аналитики'!AW4410*'01_Вводные'!$B$16,0)</f>
        <v/>
      </c>
      <c r="AX4412">
        <f>IF('01_Вводные'!$B$234="Да",'19_Расчет_аналитики'!AX4410*'01_Вводные'!$B$16,0)</f>
        <v/>
      </c>
      <c r="AY4412">
        <f>IF('01_Вводные'!$B$234="Да",'19_Расчет_аналитики'!AY4410*'01_Вводные'!$B$16,0)</f>
        <v/>
      </c>
      <c r="AZ4412">
        <f>IF('01_Вводные'!$B$234="Да",'19_Расчет_аналитики'!AZ4410*'01_Вводные'!$B$16,0)</f>
        <v/>
      </c>
      <c r="BA4412">
        <f>IF('01_Вводные'!$B$234="Да",'19_Расчет_аналитики'!BA4410*'01_Вводные'!$B$16,0)</f>
        <v/>
      </c>
      <c r="BB4412">
        <f>IF('01_Вводные'!$B$234="Да",'19_Расчет_аналитики'!BB4410*'01_Вводные'!$B$16,0)</f>
        <v/>
      </c>
      <c r="BC4412">
        <f>IF('01_Вводные'!$B$234="Да",'19_Расчет_аналитики'!BC4410*'01_Вводные'!$B$16,0)</f>
        <v/>
      </c>
      <c r="BD4412">
        <f>IF('01_Вводные'!$B$234="Да",'19_Расчет_аналитики'!BD4410*'01_Вводные'!$B$16,0)</f>
        <v/>
      </c>
      <c r="BE4412">
        <f>IF('01_Вводные'!$B$234="Да",'19_Расчет_аналитики'!BE4410*'01_Вводные'!$B$16,0)</f>
        <v/>
      </c>
      <c r="BF4412">
        <f>IF('01_Вводные'!$B$234="Да",'19_Расчет_аналитики'!BF4410*'01_Вводные'!$B$16,0)</f>
        <v/>
      </c>
      <c r="BG4412">
        <f>IF('01_Вводные'!$B$234="Да",'19_Расчет_аналитики'!BG4410*'01_Вводные'!$B$16,0)</f>
        <v/>
      </c>
      <c r="BH4412">
        <f>IF('01_Вводные'!$B$234="Да",'19_Расчет_аналитики'!BH4410*'01_Вводные'!$B$16,0)</f>
        <v/>
      </c>
      <c r="BI4412">
        <f>IF('01_Вводные'!$B$234="Да",'19_Расчет_аналитики'!BI4410*'01_Вводные'!$B$16,0)</f>
        <v/>
      </c>
    </row>
    <row r="4413">
      <c r="C4413">
        <f>IF('01_Вводные'!$B$234="Да",'06_Сеть_и_дети'!B10*'01_Вводные'!$B$14+'19_Расчет_аналитики'!C4412,0)</f>
        <v/>
      </c>
      <c r="D4413">
        <f>IF('01_Вводные'!$B$234="Да",'19_Расчет_аналитики'!C4413*'01_Вводные'!$B$14+'19_Расчет_аналитики'!D4412,0)</f>
        <v/>
      </c>
      <c r="E4413">
        <f>IF('01_Вводные'!$B$234="Да",'19_Расчет_аналитики'!D4413*'01_Вводные'!$B$14+'19_Расчет_аналитики'!E4412,0)</f>
        <v/>
      </c>
      <c r="F4413">
        <f>IF('01_Вводные'!$B$234="Да",'19_Расчет_аналитики'!E4413*'01_Вводные'!$B$14+'19_Расчет_аналитики'!F4412,0)</f>
        <v/>
      </c>
      <c r="G4413">
        <f>IF('01_Вводные'!$B$234="Да",'19_Расчет_аналитики'!F4413*'01_Вводные'!$B$14+'19_Расчет_аналитики'!G4412,0)</f>
        <v/>
      </c>
      <c r="H4413">
        <f>IF('01_Вводные'!$B$234="Да",'19_Расчет_аналитики'!G4413*'01_Вводные'!$B$14+'19_Расчет_аналитики'!H4412,0)</f>
        <v/>
      </c>
      <c r="I4413">
        <f>IF('01_Вводные'!$B$234="Да",'19_Расчет_аналитики'!H4413*'01_Вводные'!$B$14+'19_Расчет_аналитики'!I4412,0)</f>
        <v/>
      </c>
      <c r="J4413">
        <f>IF('01_Вводные'!$B$234="Да",'19_Расчет_аналитики'!I4413*'01_Вводные'!$B$14+'19_Расчет_аналитики'!J4412,0)</f>
        <v/>
      </c>
      <c r="K4413">
        <f>IF('01_Вводные'!$B$234="Да",'19_Расчет_аналитики'!J4413*'01_Вводные'!$B$14+'19_Расчет_аналитики'!K4412,0)</f>
        <v/>
      </c>
      <c r="L4413">
        <f>IF('01_Вводные'!$B$234="Да",'19_Расчет_аналитики'!K4413*'01_Вводные'!$B$14+'19_Расчет_аналитики'!L4412,0)</f>
        <v/>
      </c>
      <c r="M4413">
        <f>IF('01_Вводные'!$B$234="Да",'19_Расчет_аналитики'!L4413*'01_Вводные'!$B$14+'19_Расчет_аналитики'!M4412,0)</f>
        <v/>
      </c>
      <c r="N4413">
        <f>IF('01_Вводные'!$B$234="Да",'19_Расчет_аналитики'!M4413*'01_Вводные'!$B$14+'19_Расчет_аналитики'!N4412,0)</f>
        <v/>
      </c>
      <c r="O4413">
        <f>IF('01_Вводные'!$B$234="Да",'19_Расчет_аналитики'!N4413*'01_Вводные'!$B$14+'19_Расчет_аналитики'!O4412,0)</f>
        <v/>
      </c>
      <c r="P4413">
        <f>IF('01_Вводные'!$B$234="Да",'19_Расчет_аналитики'!O4413*'01_Вводные'!$B$14+'19_Расчет_аналитики'!P4412,0)</f>
        <v/>
      </c>
      <c r="Q4413">
        <f>IF('01_Вводные'!$B$234="Да",'19_Расчет_аналитики'!P4413*'01_Вводные'!$B$14+'19_Расчет_аналитики'!Q4412,0)</f>
        <v/>
      </c>
      <c r="R4413">
        <f>IF('01_Вводные'!$B$234="Да",'19_Расчет_аналитики'!Q4413*'01_Вводные'!$B$14+'19_Расчет_аналитики'!R4412,0)</f>
        <v/>
      </c>
      <c r="S4413">
        <f>IF('01_Вводные'!$B$234="Да",'19_Расчет_аналитики'!R4413*'01_Вводные'!$B$14+'19_Расчет_аналитики'!S4412,0)</f>
        <v/>
      </c>
      <c r="T4413">
        <f>IF('01_Вводные'!$B$234="Да",'19_Расчет_аналитики'!S4413*'01_Вводные'!$B$14+'19_Расчет_аналитики'!T4412,0)</f>
        <v/>
      </c>
      <c r="U4413">
        <f>IF('01_Вводные'!$B$234="Да",'19_Расчет_аналитики'!T4413*'01_Вводные'!$B$14+'19_Расчет_аналитики'!U4412,0)</f>
        <v/>
      </c>
      <c r="V4413">
        <f>IF('01_Вводные'!$B$234="Да",'19_Расчет_аналитики'!U4413*'01_Вводные'!$B$14+'19_Расчет_аналитики'!V4412,0)</f>
        <v/>
      </c>
      <c r="W4413">
        <f>IF('01_Вводные'!$B$234="Да",'19_Расчет_аналитики'!V4413*'01_Вводные'!$B$14+'19_Расчет_аналитики'!W4412,0)</f>
        <v/>
      </c>
      <c r="X4413">
        <f>IF('01_Вводные'!$B$234="Да",'19_Расчет_аналитики'!W4413*'01_Вводные'!$B$14+'19_Расчет_аналитики'!X4412,0)</f>
        <v/>
      </c>
      <c r="Y4413">
        <f>IF('01_Вводные'!$B$234="Да",'19_Расчет_аналитики'!X4413*'01_Вводные'!$B$14+'19_Расчет_аналитики'!Y4412,0)</f>
        <v/>
      </c>
      <c r="Z4413">
        <f>IF('01_Вводные'!$B$234="Да",'19_Расчет_аналитики'!Y4413*'01_Вводные'!$B$14+'19_Расчет_аналитики'!Z4412,0)</f>
        <v/>
      </c>
      <c r="AA4413">
        <f>IF('01_Вводные'!$B$234="Да",'19_Расчет_аналитики'!Z4413*'01_Вводные'!$B$14+'19_Расчет_аналитики'!AA4412,0)</f>
        <v/>
      </c>
      <c r="AB4413">
        <f>IF('01_Вводные'!$B$234="Да",'19_Расчет_аналитики'!AA4413*'01_Вводные'!$B$14+'19_Расчет_аналитики'!AB4412,0)</f>
        <v/>
      </c>
      <c r="AC4413">
        <f>IF('01_Вводные'!$B$234="Да",'19_Расчет_аналитики'!AB4413*'01_Вводные'!$B$14+'19_Расчет_аналитики'!AC4412,0)</f>
        <v/>
      </c>
      <c r="AD4413">
        <f>IF('01_Вводные'!$B$234="Да",'19_Расчет_аналитики'!AC4413*'01_Вводные'!$B$14+'19_Расчет_аналитики'!AD4412,0)</f>
        <v/>
      </c>
      <c r="AE4413">
        <f>IF('01_Вводные'!$B$234="Да",'19_Расчет_аналитики'!AD4413*'01_Вводные'!$B$14+'19_Расчет_аналитики'!AE4412,0)</f>
        <v/>
      </c>
      <c r="AF4413">
        <f>IF('01_Вводные'!$B$234="Да",'19_Расчет_аналитики'!AE4413*'01_Вводные'!$B$14+'19_Расчет_аналитики'!AF4412,0)</f>
        <v/>
      </c>
      <c r="AG4413">
        <f>IF('01_Вводные'!$B$234="Да",'19_Расчет_аналитики'!AF4413*'01_Вводные'!$B$14+'19_Расчет_аналитики'!AG4412,0)</f>
        <v/>
      </c>
      <c r="AH4413">
        <f>IF('01_Вводные'!$B$234="Да",'19_Расчет_аналитики'!AG4413*'01_Вводные'!$B$14+'19_Расчет_аналитики'!AH4412,0)</f>
        <v/>
      </c>
      <c r="AI4413">
        <f>IF('01_Вводные'!$B$234="Да",'19_Расчет_аналитики'!AH4413*'01_Вводные'!$B$14+'19_Расчет_аналитики'!AI4412,0)</f>
        <v/>
      </c>
      <c r="AJ4413">
        <f>IF('01_Вводные'!$B$234="Да",'19_Расчет_аналитики'!AI4413*'01_Вводные'!$B$14+'19_Расчет_аналитики'!AJ4412,0)</f>
        <v/>
      </c>
      <c r="AK4413">
        <f>IF('01_Вводные'!$B$234="Да",'19_Расчет_аналитики'!AJ4413*'01_Вводные'!$B$14+'19_Расчет_аналитики'!AK4412,0)</f>
        <v/>
      </c>
      <c r="AL4413">
        <f>IF('01_Вводные'!$B$234="Да",'19_Расчет_аналитики'!AK4413*'01_Вводные'!$B$14+'19_Расчет_аналитики'!AL4412,0)</f>
        <v/>
      </c>
      <c r="AM4413">
        <f>IF('01_Вводные'!$B$234="Да",'19_Расчет_аналитики'!AL4413*'01_Вводные'!$B$14+'19_Расчет_аналитики'!AM4412,0)</f>
        <v/>
      </c>
      <c r="AN4413">
        <f>IF('01_Вводные'!$B$234="Да",'19_Расчет_аналитики'!AM4413*'01_Вводные'!$B$14+'19_Расчет_аналитики'!AN4412,0)</f>
        <v/>
      </c>
      <c r="AO4413">
        <f>IF('01_Вводные'!$B$234="Да",'19_Расчет_аналитики'!AN4413*'01_Вводные'!$B$14+'19_Расчет_аналитики'!AO4412,0)</f>
        <v/>
      </c>
      <c r="AP4413">
        <f>IF('01_Вводные'!$B$234="Да",'19_Расчет_аналитики'!AO4413*'01_Вводные'!$B$14+'19_Расчет_аналитики'!AP4412,0)</f>
        <v/>
      </c>
      <c r="AQ4413">
        <f>IF('01_Вводные'!$B$234="Да",'19_Расчет_аналитики'!AP4413*'01_Вводные'!$B$14+'19_Расчет_аналитики'!AQ4412,0)</f>
        <v/>
      </c>
      <c r="AR4413">
        <f>IF('01_Вводные'!$B$234="Да",'19_Расчет_аналитики'!AQ4413*'01_Вводные'!$B$14+'19_Расчет_аналитики'!AR4412,0)</f>
        <v/>
      </c>
      <c r="AS4413">
        <f>IF('01_Вводные'!$B$234="Да",'19_Расчет_аналитики'!AR4413*'01_Вводные'!$B$14+'19_Расчет_аналитики'!AS4412,0)</f>
        <v/>
      </c>
      <c r="AT4413">
        <f>IF('01_Вводные'!$B$234="Да",'19_Расчет_аналитики'!AS4413*'01_Вводные'!$B$14+'19_Расчет_аналитики'!AT4412,0)</f>
        <v/>
      </c>
      <c r="AU4413">
        <f>IF('01_Вводные'!$B$234="Да",'19_Расчет_аналитики'!AT4413*'01_Вводные'!$B$14+'19_Расчет_аналитики'!AU4412,0)</f>
        <v/>
      </c>
      <c r="AV4413">
        <f>IF('01_Вводные'!$B$234="Да",'19_Расчет_аналитики'!AU4413*'01_Вводные'!$B$14+'19_Расчет_аналитики'!AV4412,0)</f>
        <v/>
      </c>
      <c r="AW4413">
        <f>IF('01_Вводные'!$B$234="Да",'19_Расчет_аналитики'!AV4413*'01_Вводные'!$B$14+'19_Расчет_аналитики'!AW4412,0)</f>
        <v/>
      </c>
      <c r="AX4413">
        <f>IF('01_Вводные'!$B$234="Да",'19_Расчет_аналитики'!AW4413*'01_Вводные'!$B$14+'19_Расчет_аналитики'!AX4412,0)</f>
        <v/>
      </c>
      <c r="AY4413">
        <f>IF('01_Вводные'!$B$234="Да",'19_Расчет_аналитики'!AX4413*'01_Вводные'!$B$14+'19_Расчет_аналитики'!AY4412,0)</f>
        <v/>
      </c>
      <c r="AZ4413">
        <f>IF('01_Вводные'!$B$234="Да",'19_Расчет_аналитики'!AY4413*'01_Вводные'!$B$14+'19_Расчет_аналитики'!AZ4412,0)</f>
        <v/>
      </c>
      <c r="BA4413">
        <f>IF('01_Вводные'!$B$234="Да",'19_Расчет_аналитики'!AZ4413*'01_Вводные'!$B$14+'19_Расчет_аналитики'!BA4412,0)</f>
        <v/>
      </c>
      <c r="BB4413">
        <f>IF('01_Вводные'!$B$234="Да",'19_Расчет_аналитики'!BA4413*'01_Вводные'!$B$14+'19_Расчет_аналитики'!BB4412,0)</f>
        <v/>
      </c>
      <c r="BC4413">
        <f>IF('01_Вводные'!$B$234="Да",'19_Расчет_аналитики'!BB4413*'01_Вводные'!$B$14+'19_Расчет_аналитики'!BC4412,0)</f>
        <v/>
      </c>
      <c r="BD4413">
        <f>IF('01_Вводные'!$B$234="Да",'19_Расчет_аналитики'!BC4413*'01_Вводные'!$B$14+'19_Расчет_аналитики'!BD4412,0)</f>
        <v/>
      </c>
      <c r="BE4413">
        <f>IF('01_Вводные'!$B$234="Да",'19_Расчет_аналитики'!BD4413*'01_Вводные'!$B$14+'19_Расчет_аналитики'!BE4412,0)</f>
        <v/>
      </c>
      <c r="BF4413">
        <f>IF('01_Вводные'!$B$234="Да",'19_Расчет_аналитики'!BE4413*'01_Вводные'!$B$14+'19_Расчет_аналитики'!BF4412,0)</f>
        <v/>
      </c>
      <c r="BG4413">
        <f>IF('01_Вводные'!$B$234="Да",'19_Расчет_аналитики'!BF4413*'01_Вводные'!$B$14+'19_Расчет_аналитики'!BG4412,0)</f>
        <v/>
      </c>
      <c r="BH4413">
        <f>IF('01_Вводные'!$B$234="Да",'19_Расчет_аналитики'!BG4413*'01_Вводные'!$B$14+'19_Расчет_аналитики'!BH4412,0)</f>
        <v/>
      </c>
      <c r="BI4413">
        <f>IF('01_Вводные'!$B$234="Да",'19_Расчет_аналитики'!BH4413*'01_Вводные'!$B$14+'19_Расчет_аналитики'!BI4412,0)</f>
        <v/>
      </c>
      <c r="BJ4413">
        <f>IF('01_Вводные'!$B$234="Да",'19_Расчет_аналитики'!BI4413*'01_Вводные'!$B$14+'06_Сеть_и_дети'!BJ9,0)</f>
        <v/>
      </c>
      <c r="BK4413">
        <f>IF('01_Вводные'!$B$234="Да",'19_Расчет_аналитики'!BJ4413*'01_Вводные'!$B$14+'06_Сеть_и_дети'!BK9,0)</f>
        <v/>
      </c>
      <c r="BL4413">
        <f>IF('01_Вводные'!$B$234="Да",'19_Расчет_аналитики'!BK4413*'01_Вводные'!$B$14+'06_Сеть_и_дети'!BL9,0)</f>
        <v/>
      </c>
      <c r="BM4413">
        <f>IF('01_Вводные'!$B$234="Да",'19_Расчет_аналитики'!BL4413*'01_Вводные'!$B$14+'06_Сеть_и_дети'!BM9,0)</f>
        <v/>
      </c>
      <c r="BN4413">
        <f>IF('01_Вводные'!$B$234="Да",'19_Расчет_аналитики'!BM4413*'01_Вводные'!$B$14+'06_Сеть_и_дети'!BN9,0)</f>
        <v/>
      </c>
      <c r="BO4413">
        <f>IF('01_Вводные'!$B$234="Да",'19_Расчет_аналитики'!BN4413*'01_Вводные'!$B$14+'06_Сеть_и_дети'!BO9,0)</f>
        <v/>
      </c>
    </row>
    <row r="4414"/>
    <row r="4415"/>
    <row r="4416">
      <c r="B4416">
        <f>IF('01_Вводные'!$B$234="Да",SUM('19_Расчет_аналитики'!B4456:B4467),0)</f>
        <v/>
      </c>
      <c r="C4416">
        <f>IF('01_Вводные'!$B$234="Да",SUM('19_Расчет_аналитики'!C4456:C4467),0)</f>
        <v/>
      </c>
      <c r="D4416">
        <f>IF('01_Вводные'!$B$234="Да",SUM('19_Расчет_аналитики'!D4456:D4467),0)</f>
        <v/>
      </c>
      <c r="E4416">
        <f>IF('01_Вводные'!$B$234="Да",SUM('19_Расчет_аналитики'!E4456:E4467),0)</f>
        <v/>
      </c>
      <c r="F4416">
        <f>IF('01_Вводные'!$B$234="Да",SUM('19_Расчет_аналитики'!F4456:F4467),0)</f>
        <v/>
      </c>
      <c r="G4416">
        <f>IF('01_Вводные'!$B$234="Да",SUM('19_Расчет_аналитики'!G4456:G4467),0)</f>
        <v/>
      </c>
      <c r="H4416">
        <f>IF('01_Вводные'!$B$234="Да",SUM('19_Расчет_аналитики'!H4456:H4467),0)</f>
        <v/>
      </c>
      <c r="I4416">
        <f>IF('01_Вводные'!$B$234="Да",SUM('19_Расчет_аналитики'!I4456:I4467),0)</f>
        <v/>
      </c>
      <c r="J4416">
        <f>IF('01_Вводные'!$B$234="Да",SUM('19_Расчет_аналитики'!J4456:J4467),0)</f>
        <v/>
      </c>
      <c r="K4416">
        <f>IF('01_Вводные'!$B$234="Да",SUM('19_Расчет_аналитики'!K4456:K4467),0)</f>
        <v/>
      </c>
      <c r="L4416">
        <f>IF('01_Вводные'!$B$234="Да",SUM('19_Расчет_аналитики'!L4456:L4467),0)</f>
        <v/>
      </c>
      <c r="M4416">
        <f>IF('01_Вводные'!$B$234="Да",SUM('19_Расчет_аналитики'!M4456:M4467),0)</f>
        <v/>
      </c>
      <c r="N4416">
        <f>IF('01_Вводные'!$B$234="Да",SUM('19_Расчет_аналитики'!N4456:N4467),0)</f>
        <v/>
      </c>
      <c r="O4416">
        <f>IF('01_Вводные'!$B$234="Да",SUM('19_Расчет_аналитики'!O4456:O4467),0)</f>
        <v/>
      </c>
      <c r="P4416">
        <f>IF('01_Вводные'!$B$234="Да",SUM('19_Расчет_аналитики'!P4456:P4467),0)</f>
        <v/>
      </c>
      <c r="Q4416">
        <f>IF('01_Вводные'!$B$234="Да",SUM('19_Расчет_аналитики'!Q4456:Q4467),0)</f>
        <v/>
      </c>
      <c r="R4416">
        <f>IF('01_Вводные'!$B$234="Да",SUM('19_Расчет_аналитики'!R4456:R4467),0)</f>
        <v/>
      </c>
      <c r="S4416">
        <f>IF('01_Вводные'!$B$234="Да",SUM('19_Расчет_аналитики'!S4456:S4467),0)</f>
        <v/>
      </c>
      <c r="T4416">
        <f>IF('01_Вводные'!$B$234="Да",SUM('19_Расчет_аналитики'!T4456:T4467),0)</f>
        <v/>
      </c>
      <c r="U4416">
        <f>IF('01_Вводные'!$B$234="Да",SUM('19_Расчет_аналитики'!U4456:U4467),0)</f>
        <v/>
      </c>
      <c r="V4416">
        <f>IF('01_Вводные'!$B$234="Да",SUM('19_Расчет_аналитики'!V4456:V4467),0)</f>
        <v/>
      </c>
      <c r="W4416">
        <f>IF('01_Вводные'!$B$234="Да",SUM('19_Расчет_аналитики'!W4456:W4467),0)</f>
        <v/>
      </c>
      <c r="X4416">
        <f>IF('01_Вводные'!$B$234="Да",SUM('19_Расчет_аналитики'!X4456:X4467),0)</f>
        <v/>
      </c>
      <c r="Y4416">
        <f>IF('01_Вводные'!$B$234="Да",SUM('19_Расчет_аналитики'!Y4456:Y4467),0)</f>
        <v/>
      </c>
      <c r="Z4416">
        <f>IF('01_Вводные'!$B$234="Да",SUM('19_Расчет_аналитики'!Z4456:Z4467),0)</f>
        <v/>
      </c>
      <c r="AA4416">
        <f>IF('01_Вводные'!$B$234="Да",SUM('19_Расчет_аналитики'!AA4456:AA4467),0)</f>
        <v/>
      </c>
      <c r="AB4416">
        <f>IF('01_Вводные'!$B$234="Да",SUM('19_Расчет_аналитики'!AB4456:AB4467),0)</f>
        <v/>
      </c>
      <c r="AC4416">
        <f>IF('01_Вводные'!$B$234="Да",SUM('19_Расчет_аналитики'!AC4456:AC4467),0)</f>
        <v/>
      </c>
      <c r="AD4416">
        <f>IF('01_Вводные'!$B$234="Да",SUM('19_Расчет_аналитики'!AD4456:AD4467),0)</f>
        <v/>
      </c>
      <c r="AE4416">
        <f>IF('01_Вводные'!$B$234="Да",SUM('19_Расчет_аналитики'!AE4456:AE4467),0)</f>
        <v/>
      </c>
      <c r="AF4416">
        <f>IF('01_Вводные'!$B$234="Да",SUM('19_Расчет_аналитики'!AF4456:AF4467),0)</f>
        <v/>
      </c>
      <c r="AG4416">
        <f>IF('01_Вводные'!$B$234="Да",SUM('19_Расчет_аналитики'!AG4456:AG4467),0)</f>
        <v/>
      </c>
      <c r="AH4416">
        <f>IF('01_Вводные'!$B$234="Да",SUM('19_Расчет_аналитики'!AH4456:AH4467),0)</f>
        <v/>
      </c>
      <c r="AI4416">
        <f>IF('01_Вводные'!$B$234="Да",SUM('19_Расчет_аналитики'!AI4456:AI4467),0)</f>
        <v/>
      </c>
      <c r="AJ4416">
        <f>IF('01_Вводные'!$B$234="Да",SUM('19_Расчет_аналитики'!AJ4456:AJ4467),0)</f>
        <v/>
      </c>
      <c r="AK4416">
        <f>IF('01_Вводные'!$B$234="Да",SUM('19_Расчет_аналитики'!AK4456:AK4467),0)</f>
        <v/>
      </c>
      <c r="AL4416">
        <f>IF('01_Вводные'!$B$234="Да",SUM('19_Расчет_аналитики'!AL4456:AL4467),0)</f>
        <v/>
      </c>
      <c r="AM4416">
        <f>IF('01_Вводные'!$B$234="Да",SUM('19_Расчет_аналитики'!AM4456:AM4467),0)</f>
        <v/>
      </c>
      <c r="AN4416">
        <f>IF('01_Вводные'!$B$234="Да",SUM('19_Расчет_аналитики'!AN4456:AN4467),0)</f>
        <v/>
      </c>
      <c r="AO4416">
        <f>IF('01_Вводные'!$B$234="Да",SUM('19_Расчет_аналитики'!AO4456:AO4467),0)</f>
        <v/>
      </c>
      <c r="AP4416">
        <f>IF('01_Вводные'!$B$234="Да",SUM('19_Расчет_аналитики'!AP4456:AP4467),0)</f>
        <v/>
      </c>
      <c r="AQ4416">
        <f>IF('01_Вводные'!$B$234="Да",SUM('19_Расчет_аналитики'!AQ4456:AQ4467),0)</f>
        <v/>
      </c>
      <c r="AR4416">
        <f>IF('01_Вводные'!$B$234="Да",SUM('19_Расчет_аналитики'!AR4456:AR4467),0)</f>
        <v/>
      </c>
      <c r="AS4416">
        <f>IF('01_Вводные'!$B$234="Да",SUM('19_Расчет_аналитики'!AS4456:AS4467),0)</f>
        <v/>
      </c>
      <c r="AT4416">
        <f>IF('01_Вводные'!$B$234="Да",SUM('19_Расчет_аналитики'!AT4456:AT4467),0)</f>
        <v/>
      </c>
      <c r="AU4416">
        <f>IF('01_Вводные'!$B$234="Да",SUM('19_Расчет_аналитики'!AU4456:AU4467),0)</f>
        <v/>
      </c>
      <c r="AV4416">
        <f>IF('01_Вводные'!$B$234="Да",SUM('19_Расчет_аналитики'!AV4456:AV4467),0)</f>
        <v/>
      </c>
      <c r="AW4416">
        <f>IF('01_Вводные'!$B$234="Да",SUM('19_Расчет_аналитики'!AW4456:AW4467),0)</f>
        <v/>
      </c>
      <c r="AX4416">
        <f>IF('01_Вводные'!$B$234="Да",SUM('19_Расчет_аналитики'!AX4456:AX4467),0)</f>
        <v/>
      </c>
      <c r="AY4416">
        <f>IF('01_Вводные'!$B$234="Да",SUM('19_Расчет_аналитики'!AY4456:AY4467),0)</f>
        <v/>
      </c>
      <c r="AZ4416">
        <f>IF('01_Вводные'!$B$234="Да",SUM('19_Расчет_аналитики'!AZ4456:AZ4467),0)</f>
        <v/>
      </c>
      <c r="BA4416">
        <f>IF('01_Вводные'!$B$234="Да",SUM('19_Расчет_аналитики'!BA4456:BA4467),0)</f>
        <v/>
      </c>
      <c r="BB4416">
        <f>IF('01_Вводные'!$B$234="Да",SUM('19_Расчет_аналитики'!BB4456:BB4467),0)</f>
        <v/>
      </c>
      <c r="BC4416">
        <f>IF('01_Вводные'!$B$234="Да",SUM('19_Расчет_аналитики'!BC4456:BC4467),0)</f>
        <v/>
      </c>
      <c r="BD4416">
        <f>IF('01_Вводные'!$B$234="Да",SUM('19_Расчет_аналитики'!BD4456:BD4467),0)</f>
        <v/>
      </c>
      <c r="BE4416">
        <f>IF('01_Вводные'!$B$234="Да",SUM('19_Расчет_аналитики'!BE4456:BE4467),0)</f>
        <v/>
      </c>
      <c r="BF4416">
        <f>IF('01_Вводные'!$B$234="Да",SUM('19_Расчет_аналитики'!BF4456:BF4467),0)</f>
        <v/>
      </c>
      <c r="BG4416">
        <f>IF('01_Вводные'!$B$234="Да",SUM('19_Расчет_аналитики'!BG4456:BG4467),0)</f>
        <v/>
      </c>
      <c r="BH4416">
        <f>IF('01_Вводные'!$B$234="Да",SUM('19_Расчет_аналитики'!BH4456:BH4467),0)</f>
        <v/>
      </c>
      <c r="BI4416">
        <f>IF('01_Вводные'!$B$234="Да",SUM('19_Расчет_аналитики'!BI4456:BI4467),0)</f>
        <v/>
      </c>
      <c r="BJ4416">
        <f>IF('01_Вводные'!$B$234="Да",SUM('19_Расчет_аналитики'!BJ4456:BJ4467),0)</f>
        <v/>
      </c>
      <c r="BK4416">
        <f>IF('01_Вводные'!$B$234="Да",SUM('19_Расчет_аналитики'!BK4456:BK4467),0)</f>
        <v/>
      </c>
      <c r="BL4416">
        <f>IF('01_Вводные'!$B$234="Да",SUM('19_Расчет_аналитики'!BL4456:BL4467),0)</f>
        <v/>
      </c>
      <c r="BM4416">
        <f>IF('01_Вводные'!$B$234="Да",SUM('19_Расчет_аналитики'!BM4456:BM4467),0)</f>
        <v/>
      </c>
      <c r="BN4416">
        <f>IF('01_Вводные'!$B$234="Да",SUM('19_Расчет_аналитики'!BN4456:BN4467),0)</f>
        <v/>
      </c>
      <c r="BO4416">
        <f>IF('01_Вводные'!$B$234="Да",SUM('19_Расчет_аналитики'!BO4456:BO4467),0)</f>
        <v/>
      </c>
    </row>
    <row r="4417">
      <c r="B4417">
        <f>'06_Сеть_и_дети'!B14</f>
        <v/>
      </c>
      <c r="C4417">
        <f>'06_Сеть_и_дети'!C14</f>
        <v/>
      </c>
      <c r="D4417">
        <f>'06_Сеть_и_дети'!D14</f>
        <v/>
      </c>
      <c r="E4417">
        <f>'06_Сеть_и_дети'!E14</f>
        <v/>
      </c>
      <c r="F4417">
        <f>'06_Сеть_и_дети'!F14</f>
        <v/>
      </c>
      <c r="G4417">
        <f>'06_Сеть_и_дети'!G14</f>
        <v/>
      </c>
      <c r="H4417">
        <f>'06_Сеть_и_дети'!H14</f>
        <v/>
      </c>
      <c r="I4417">
        <f>'06_Сеть_и_дети'!I14</f>
        <v/>
      </c>
      <c r="J4417">
        <f>'06_Сеть_и_дети'!J14</f>
        <v/>
      </c>
      <c r="K4417">
        <f>'06_Сеть_и_дети'!K14</f>
        <v/>
      </c>
      <c r="L4417">
        <f>'06_Сеть_и_дети'!L14</f>
        <v/>
      </c>
      <c r="M4417">
        <f>'06_Сеть_и_дети'!M14</f>
        <v/>
      </c>
      <c r="N4417">
        <f>IF('01_Вводные'!$B$234="Да",SUM('19_Расчет_аналитики'!N4468:N4479),0)</f>
        <v/>
      </c>
      <c r="O4417">
        <f>IF('01_Вводные'!$B$234="Да",SUM('19_Расчет_аналитики'!O4468:O4479),0)</f>
        <v/>
      </c>
      <c r="P4417">
        <f>IF('01_Вводные'!$B$234="Да",SUM('19_Расчет_аналитики'!P4468:P4479),0)</f>
        <v/>
      </c>
      <c r="Q4417">
        <f>IF('01_Вводные'!$B$234="Да",SUM('19_Расчет_аналитики'!Q4468:Q4479),0)</f>
        <v/>
      </c>
      <c r="R4417">
        <f>IF('01_Вводные'!$B$234="Да",SUM('19_Расчет_аналитики'!R4468:R4479),0)</f>
        <v/>
      </c>
      <c r="S4417">
        <f>IF('01_Вводные'!$B$234="Да",SUM('19_Расчет_аналитики'!S4468:S4479),0)</f>
        <v/>
      </c>
      <c r="T4417">
        <f>IF('01_Вводные'!$B$234="Да",SUM('19_Расчет_аналитики'!T4468:T4479),0)</f>
        <v/>
      </c>
      <c r="U4417">
        <f>IF('01_Вводные'!$B$234="Да",SUM('19_Расчет_аналитики'!U4468:U4479),0)</f>
        <v/>
      </c>
      <c r="V4417">
        <f>IF('01_Вводные'!$B$234="Да",SUM('19_Расчет_аналитики'!V4468:V4479),0)</f>
        <v/>
      </c>
      <c r="W4417">
        <f>IF('01_Вводные'!$B$234="Да",SUM('19_Расчет_аналитики'!W4468:W4479),0)</f>
        <v/>
      </c>
      <c r="X4417">
        <f>IF('01_Вводные'!$B$234="Да",SUM('19_Расчет_аналитики'!X4468:X4479),0)</f>
        <v/>
      </c>
      <c r="Y4417">
        <f>IF('01_Вводные'!$B$234="Да",SUM('19_Расчет_аналитики'!Y4468:Y4479),0)</f>
        <v/>
      </c>
      <c r="Z4417">
        <f>IF('01_Вводные'!$B$234="Да",SUM('19_Расчет_аналитики'!Z4468:Z4479),0)</f>
        <v/>
      </c>
      <c r="AA4417">
        <f>IF('01_Вводные'!$B$234="Да",SUM('19_Расчет_аналитики'!AA4468:AA4479),0)</f>
        <v/>
      </c>
      <c r="AB4417">
        <f>IF('01_Вводные'!$B$234="Да",SUM('19_Расчет_аналитики'!AB4468:AB4479),0)</f>
        <v/>
      </c>
      <c r="AC4417">
        <f>IF('01_Вводные'!$B$234="Да",SUM('19_Расчет_аналитики'!AC4468:AC4479),0)</f>
        <v/>
      </c>
      <c r="AD4417">
        <f>IF('01_Вводные'!$B$234="Да",SUM('19_Расчет_аналитики'!AD4468:AD4479),0)</f>
        <v/>
      </c>
      <c r="AE4417">
        <f>IF('01_Вводные'!$B$234="Да",SUM('19_Расчет_аналитики'!AE4468:AE4479),0)</f>
        <v/>
      </c>
      <c r="AF4417">
        <f>IF('01_Вводные'!$B$234="Да",SUM('19_Расчет_аналитики'!AF4468:AF4479),0)</f>
        <v/>
      </c>
      <c r="AG4417">
        <f>IF('01_Вводные'!$B$234="Да",SUM('19_Расчет_аналитики'!AG4468:AG4479),0)</f>
        <v/>
      </c>
      <c r="AH4417">
        <f>IF('01_Вводные'!$B$234="Да",SUM('19_Расчет_аналитики'!AH4468:AH4479),0)</f>
        <v/>
      </c>
      <c r="AI4417">
        <f>IF('01_Вводные'!$B$234="Да",SUM('19_Расчет_аналитики'!AI4468:AI4479),0)</f>
        <v/>
      </c>
      <c r="AJ4417">
        <f>IF('01_Вводные'!$B$234="Да",SUM('19_Расчет_аналитики'!AJ4468:AJ4479),0)</f>
        <v/>
      </c>
      <c r="AK4417">
        <f>IF('01_Вводные'!$B$234="Да",SUM('19_Расчет_аналитики'!AK4468:AK4479),0)</f>
        <v/>
      </c>
      <c r="AL4417">
        <f>IF('01_Вводные'!$B$234="Да",SUM('19_Расчет_аналитики'!AL4468:AL4479),0)</f>
        <v/>
      </c>
      <c r="AM4417">
        <f>IF('01_Вводные'!$B$234="Да",SUM('19_Расчет_аналитики'!AM4468:AM4479),0)</f>
        <v/>
      </c>
      <c r="AN4417">
        <f>IF('01_Вводные'!$B$234="Да",SUM('19_Расчет_аналитики'!AN4468:AN4479),0)</f>
        <v/>
      </c>
      <c r="AO4417">
        <f>IF('01_Вводные'!$B$234="Да",SUM('19_Расчет_аналитики'!AO4468:AO4479),0)</f>
        <v/>
      </c>
      <c r="AP4417">
        <f>IF('01_Вводные'!$B$234="Да",SUM('19_Расчет_аналитики'!AP4468:AP4479),0)</f>
        <v/>
      </c>
      <c r="AQ4417">
        <f>IF('01_Вводные'!$B$234="Да",SUM('19_Расчет_аналитики'!AQ4468:AQ4479),0)</f>
        <v/>
      </c>
      <c r="AR4417">
        <f>IF('01_Вводные'!$B$234="Да",SUM('19_Расчет_аналитики'!AR4468:AR4479),0)</f>
        <v/>
      </c>
      <c r="AS4417">
        <f>IF('01_Вводные'!$B$234="Да",SUM('19_Расчет_аналитики'!AS4468:AS4479),0)</f>
        <v/>
      </c>
      <c r="AT4417">
        <f>IF('01_Вводные'!$B$234="Да",SUM('19_Расчет_аналитики'!AT4468:AT4479),0)</f>
        <v/>
      </c>
      <c r="AU4417">
        <f>IF('01_Вводные'!$B$234="Да",SUM('19_Расчет_аналитики'!AU4468:AU4479),0)</f>
        <v/>
      </c>
      <c r="AV4417">
        <f>IF('01_Вводные'!$B$234="Да",SUM('19_Расчет_аналитики'!AV4468:AV4479),0)</f>
        <v/>
      </c>
      <c r="AW4417">
        <f>IF('01_Вводные'!$B$234="Да",SUM('19_Расчет_аналитики'!AW4468:AW4479),0)</f>
        <v/>
      </c>
      <c r="AX4417">
        <f>IF('01_Вводные'!$B$234="Да",SUM('19_Расчет_аналитики'!AX4468:AX4479),0)</f>
        <v/>
      </c>
      <c r="AY4417">
        <f>IF('01_Вводные'!$B$234="Да",SUM('19_Расчет_аналитики'!AY4468:AY4479),0)</f>
        <v/>
      </c>
      <c r="AZ4417">
        <f>IF('01_Вводные'!$B$234="Да",SUM('19_Расчет_аналитики'!AZ4468:AZ4479),0)</f>
        <v/>
      </c>
      <c r="BA4417">
        <f>IF('01_Вводные'!$B$234="Да",SUM('19_Расчет_аналитики'!BA4468:BA4479),0)</f>
        <v/>
      </c>
      <c r="BB4417">
        <f>IF('01_Вводные'!$B$234="Да",SUM('19_Расчет_аналитики'!BB4468:BB4479),0)</f>
        <v/>
      </c>
      <c r="BC4417">
        <f>IF('01_Вводные'!$B$234="Да",SUM('19_Расчет_аналитики'!BC4468:BC4479),0)</f>
        <v/>
      </c>
      <c r="BD4417">
        <f>IF('01_Вводные'!$B$234="Да",SUM('19_Расчет_аналитики'!BD4468:BD4479),0)</f>
        <v/>
      </c>
      <c r="BE4417">
        <f>IF('01_Вводные'!$B$234="Да",SUM('19_Расчет_аналитики'!BE4468:BE4479),0)</f>
        <v/>
      </c>
      <c r="BF4417">
        <f>IF('01_Вводные'!$B$234="Да",SUM('19_Расчет_аналитики'!BF4468:BF4479),0)</f>
        <v/>
      </c>
      <c r="BG4417">
        <f>IF('01_Вводные'!$B$234="Да",SUM('19_Расчет_аналитики'!BG4468:BG4479),0)</f>
        <v/>
      </c>
      <c r="BH4417">
        <f>IF('01_Вводные'!$B$234="Да",SUM('19_Расчет_аналитики'!BH4468:BH4479),0)</f>
        <v/>
      </c>
      <c r="BI4417">
        <f>IF('01_Вводные'!$B$234="Да",SUM('19_Расчет_аналитики'!BI4468:BI4479),0)</f>
        <v/>
      </c>
      <c r="BJ4417">
        <f>IF('01_Вводные'!$B$234="Да",SUM('19_Расчет_аналитики'!BJ4468:BJ4479),0)</f>
        <v/>
      </c>
      <c r="BK4417">
        <f>IF('01_Вводные'!$B$234="Да",SUM('19_Расчет_аналитики'!BK4468:BK4479),0)</f>
        <v/>
      </c>
      <c r="BL4417">
        <f>IF('01_Вводные'!$B$234="Да",SUM('19_Расчет_аналитики'!BL4468:BL4479),0)</f>
        <v/>
      </c>
      <c r="BM4417">
        <f>IF('01_Вводные'!$B$234="Да",SUM('19_Расчет_аналитики'!BM4468:BM4479),0)</f>
        <v/>
      </c>
      <c r="BN4417">
        <f>IF('01_Вводные'!$B$234="Да",SUM('19_Расчет_аналитики'!BN4468:BN4479),0)</f>
        <v/>
      </c>
      <c r="BO4417">
        <f>IF('01_Вводные'!$B$234="Да",SUM('19_Расчет_аналитики'!BO4468:BO4479),0)</f>
        <v/>
      </c>
    </row>
    <row r="4418">
      <c r="B4418">
        <f>'06_Сеть_и_дети'!B15</f>
        <v/>
      </c>
      <c r="C4418">
        <f>'06_Сеть_и_дети'!C15</f>
        <v/>
      </c>
      <c r="D4418">
        <f>'06_Сеть_и_дети'!D15</f>
        <v/>
      </c>
      <c r="E4418">
        <f>'06_Сеть_и_дети'!E15</f>
        <v/>
      </c>
      <c r="F4418">
        <f>'06_Сеть_и_дети'!F15</f>
        <v/>
      </c>
      <c r="G4418">
        <f>'06_Сеть_и_дети'!G15</f>
        <v/>
      </c>
      <c r="H4418">
        <f>'06_Сеть_и_дети'!H15</f>
        <v/>
      </c>
      <c r="I4418">
        <f>'06_Сеть_и_дети'!I15</f>
        <v/>
      </c>
      <c r="J4418">
        <f>'06_Сеть_и_дети'!J15</f>
        <v/>
      </c>
      <c r="K4418">
        <f>'06_Сеть_и_дети'!K15</f>
        <v/>
      </c>
      <c r="L4418">
        <f>'06_Сеть_и_дети'!L15</f>
        <v/>
      </c>
      <c r="M4418">
        <f>'06_Сеть_и_дети'!M15</f>
        <v/>
      </c>
      <c r="N4418">
        <f>'06_Сеть_и_дети'!N15</f>
        <v/>
      </c>
      <c r="O4418">
        <f>'06_Сеть_и_дети'!O15</f>
        <v/>
      </c>
      <c r="P4418">
        <f>'06_Сеть_и_дети'!P15</f>
        <v/>
      </c>
      <c r="Q4418">
        <f>'06_Сеть_и_дети'!Q15</f>
        <v/>
      </c>
      <c r="R4418">
        <f>'06_Сеть_и_дети'!R15</f>
        <v/>
      </c>
      <c r="S4418">
        <f>'06_Сеть_и_дети'!S15</f>
        <v/>
      </c>
      <c r="T4418">
        <f>'06_Сеть_и_дети'!T15</f>
        <v/>
      </c>
      <c r="U4418">
        <f>'06_Сеть_и_дети'!U15</f>
        <v/>
      </c>
      <c r="V4418">
        <f>'06_Сеть_и_дети'!V15</f>
        <v/>
      </c>
      <c r="W4418">
        <f>'06_Сеть_и_дети'!W15</f>
        <v/>
      </c>
      <c r="X4418">
        <f>'06_Сеть_и_дети'!X15</f>
        <v/>
      </c>
      <c r="Y4418">
        <f>'06_Сеть_и_дети'!Y15</f>
        <v/>
      </c>
      <c r="Z4418">
        <f>IF('01_Вводные'!$B$234="Да",'19_Расчет_аналитики'!Z4480,0)</f>
        <v/>
      </c>
      <c r="AA4418">
        <f>IF('01_Вводные'!$B$234="Да",'19_Расчет_аналитики'!AA4480,0)</f>
        <v/>
      </c>
      <c r="AB4418">
        <f>IF('01_Вводные'!$B$234="Да",'19_Расчет_аналитики'!AB4480,0)</f>
        <v/>
      </c>
      <c r="AC4418">
        <f>IF('01_Вводные'!$B$234="Да",'19_Расчет_аналитики'!AC4480,0)</f>
        <v/>
      </c>
      <c r="AD4418">
        <f>IF('01_Вводные'!$B$234="Да",'19_Расчет_аналитики'!AD4480,0)</f>
        <v/>
      </c>
      <c r="AE4418">
        <f>IF('01_Вводные'!$B$234="Да",'19_Расчет_аналитики'!AE4480,0)</f>
        <v/>
      </c>
      <c r="AF4418">
        <f>IF('01_Вводные'!$B$234="Да",'19_Расчет_аналитики'!AF4480,0)</f>
        <v/>
      </c>
      <c r="AG4418">
        <f>IF('01_Вводные'!$B$234="Да",'19_Расчет_аналитики'!AG4480,0)</f>
        <v/>
      </c>
      <c r="AH4418">
        <f>IF('01_Вводные'!$B$234="Да",'19_Расчет_аналитики'!AH4480,0)</f>
        <v/>
      </c>
      <c r="AI4418">
        <f>IF('01_Вводные'!$B$234="Да",'19_Расчет_аналитики'!AI4480,0)</f>
        <v/>
      </c>
      <c r="AJ4418">
        <f>IF('01_Вводные'!$B$234="Да",'19_Расчет_аналитики'!AJ4480,0)</f>
        <v/>
      </c>
      <c r="AK4418">
        <f>IF('01_Вводные'!$B$234="Да",'19_Расчет_аналитики'!AK4480,0)</f>
        <v/>
      </c>
      <c r="AL4418">
        <f>IF('01_Вводные'!$B$234="Да",'19_Расчет_аналитики'!AL4480,0)</f>
        <v/>
      </c>
      <c r="AM4418">
        <f>IF('01_Вводные'!$B$234="Да",'19_Расчет_аналитики'!AM4480,0)</f>
        <v/>
      </c>
      <c r="AN4418">
        <f>IF('01_Вводные'!$B$234="Да",'19_Расчет_аналитики'!AN4480,0)</f>
        <v/>
      </c>
      <c r="AO4418">
        <f>IF('01_Вводные'!$B$234="Да",'19_Расчет_аналитики'!AO4480,0)</f>
        <v/>
      </c>
      <c r="AP4418">
        <f>IF('01_Вводные'!$B$234="Да",'19_Расчет_аналитики'!AP4480,0)</f>
        <v/>
      </c>
      <c r="AQ4418">
        <f>IF('01_Вводные'!$B$234="Да",'19_Расчет_аналитики'!AQ4480,0)</f>
        <v/>
      </c>
      <c r="AR4418">
        <f>IF('01_Вводные'!$B$234="Да",'19_Расчет_аналитики'!AR4480,0)</f>
        <v/>
      </c>
      <c r="AS4418">
        <f>IF('01_Вводные'!$B$234="Да",'19_Расчет_аналитики'!AS4480,0)</f>
        <v/>
      </c>
      <c r="AT4418">
        <f>IF('01_Вводные'!$B$234="Да",'19_Расчет_аналитики'!AT4480,0)</f>
        <v/>
      </c>
      <c r="AU4418">
        <f>IF('01_Вводные'!$B$234="Да",'19_Расчет_аналитики'!AU4480,0)</f>
        <v/>
      </c>
      <c r="AV4418">
        <f>IF('01_Вводные'!$B$234="Да",'19_Расчет_аналитики'!AV4480,0)</f>
        <v/>
      </c>
      <c r="AW4418">
        <f>IF('01_Вводные'!$B$234="Да",'19_Расчет_аналитики'!AW4480,0)</f>
        <v/>
      </c>
      <c r="AX4418">
        <f>IF('01_Вводные'!$B$234="Да",'19_Расчет_аналитики'!AX4480,0)</f>
        <v/>
      </c>
      <c r="AY4418">
        <f>IF('01_Вводные'!$B$234="Да",'19_Расчет_аналитики'!AY4480,0)</f>
        <v/>
      </c>
      <c r="AZ4418">
        <f>IF('01_Вводные'!$B$234="Да",'19_Расчет_аналитики'!AZ4480,0)</f>
        <v/>
      </c>
      <c r="BA4418">
        <f>IF('01_Вводные'!$B$234="Да",'19_Расчет_аналитики'!BA4480,0)</f>
        <v/>
      </c>
      <c r="BB4418">
        <f>IF('01_Вводные'!$B$234="Да",'19_Расчет_аналитики'!BB4480,0)</f>
        <v/>
      </c>
      <c r="BC4418">
        <f>IF('01_Вводные'!$B$234="Да",'19_Расчет_аналитики'!BC4480,0)</f>
        <v/>
      </c>
      <c r="BD4418">
        <f>IF('01_Вводные'!$B$234="Да",'19_Расчет_аналитики'!BD4480,0)</f>
        <v/>
      </c>
      <c r="BE4418">
        <f>IF('01_Вводные'!$B$234="Да",'19_Расчет_аналитики'!BE4480,0)</f>
        <v/>
      </c>
      <c r="BF4418">
        <f>IF('01_Вводные'!$B$234="Да",'19_Расчет_аналитики'!BF4480,0)</f>
        <v/>
      </c>
      <c r="BG4418">
        <f>IF('01_Вводные'!$B$234="Да",'19_Расчет_аналитики'!BG4480,0)</f>
        <v/>
      </c>
      <c r="BH4418">
        <f>IF('01_Вводные'!$B$234="Да",'19_Расчет_аналитики'!BH4480,0)</f>
        <v/>
      </c>
      <c r="BI4418">
        <f>IF('01_Вводные'!$B$234="Да",'19_Расчет_аналитики'!BI4480,0)</f>
        <v/>
      </c>
      <c r="BJ4418">
        <f>IF('01_Вводные'!$B$234="Да",'19_Расчет_аналитики'!BJ4480,0)</f>
        <v/>
      </c>
      <c r="BK4418">
        <f>IF('01_Вводные'!$B$234="Да",'19_Расчет_аналитики'!BK4480,0)</f>
        <v/>
      </c>
      <c r="BL4418">
        <f>IF('01_Вводные'!$B$234="Да",'19_Расчет_аналитики'!BL4480,0)</f>
        <v/>
      </c>
      <c r="BM4418">
        <f>IF('01_Вводные'!$B$234="Да",'19_Расчет_аналитики'!BM4480,0)</f>
        <v/>
      </c>
      <c r="BN4418">
        <f>IF('01_Вводные'!$B$234="Да",'19_Расчет_аналитики'!BN4480,0)</f>
        <v/>
      </c>
      <c r="BO4418">
        <f>IF('01_Вводные'!$B$234="Да",'19_Расчет_аналитики'!BO4480,0)</f>
        <v/>
      </c>
    </row>
    <row r="4419">
      <c r="B4419">
        <f>IF('01_Вводные'!$B$234="Да",SUM('19_Расчет_аналитики'!B4416:B4418),0)</f>
        <v/>
      </c>
      <c r="C4419">
        <f>IF('01_Вводные'!$B$234="Да",SUM('19_Расчет_аналитики'!C4416:C4418),0)</f>
        <v/>
      </c>
      <c r="D4419">
        <f>IF('01_Вводные'!$B$234="Да",SUM('19_Расчет_аналитики'!D4416:D4418),0)</f>
        <v/>
      </c>
      <c r="E4419">
        <f>IF('01_Вводные'!$B$234="Да",SUM('19_Расчет_аналитики'!E4416:E4418),0)</f>
        <v/>
      </c>
      <c r="F4419">
        <f>IF('01_Вводные'!$B$234="Да",SUM('19_Расчет_аналитики'!F4416:F4418),0)</f>
        <v/>
      </c>
      <c r="G4419">
        <f>IF('01_Вводные'!$B$234="Да",SUM('19_Расчет_аналитики'!G4416:G4418),0)</f>
        <v/>
      </c>
      <c r="H4419">
        <f>IF('01_Вводные'!$B$234="Да",SUM('19_Расчет_аналитики'!H4416:H4418),0)</f>
        <v/>
      </c>
      <c r="I4419">
        <f>IF('01_Вводные'!$B$234="Да",SUM('19_Расчет_аналитики'!I4416:I4418),0)</f>
        <v/>
      </c>
      <c r="J4419">
        <f>IF('01_Вводные'!$B$234="Да",SUM('19_Расчет_аналитики'!J4416:J4418),0)</f>
        <v/>
      </c>
      <c r="K4419">
        <f>IF('01_Вводные'!$B$234="Да",SUM('19_Расчет_аналитики'!K4416:K4418),0)</f>
        <v/>
      </c>
      <c r="L4419">
        <f>IF('01_Вводные'!$B$234="Да",SUM('19_Расчет_аналитики'!L4416:L4418),0)</f>
        <v/>
      </c>
      <c r="M4419">
        <f>IF('01_Вводные'!$B$234="Да",SUM('19_Расчет_аналитики'!M4416:M4418),0)</f>
        <v/>
      </c>
      <c r="N4419">
        <f>IF('01_Вводные'!$B$234="Да",SUM('19_Расчет_аналитики'!N4416:N4418),0)</f>
        <v/>
      </c>
      <c r="O4419">
        <f>IF('01_Вводные'!$B$234="Да",SUM('19_Расчет_аналитики'!O4416:O4418),0)</f>
        <v/>
      </c>
      <c r="P4419">
        <f>IF('01_Вводные'!$B$234="Да",SUM('19_Расчет_аналитики'!P4416:P4418),0)</f>
        <v/>
      </c>
      <c r="Q4419">
        <f>IF('01_Вводные'!$B$234="Да",SUM('19_Расчет_аналитики'!Q4416:Q4418),0)</f>
        <v/>
      </c>
      <c r="R4419">
        <f>IF('01_Вводные'!$B$234="Да",SUM('19_Расчет_аналитики'!R4416:R4418),0)</f>
        <v/>
      </c>
      <c r="S4419">
        <f>IF('01_Вводные'!$B$234="Да",SUM('19_Расчет_аналитики'!S4416:S4418),0)</f>
        <v/>
      </c>
      <c r="T4419">
        <f>IF('01_Вводные'!$B$234="Да",SUM('19_Расчет_аналитики'!T4416:T4418),0)</f>
        <v/>
      </c>
      <c r="U4419">
        <f>IF('01_Вводные'!$B$234="Да",SUM('19_Расчет_аналитики'!U4416:U4418),0)</f>
        <v/>
      </c>
      <c r="V4419">
        <f>IF('01_Вводные'!$B$234="Да",SUM('19_Расчет_аналитики'!V4416:V4418),0)</f>
        <v/>
      </c>
      <c r="W4419">
        <f>IF('01_Вводные'!$B$234="Да",SUM('19_Расчет_аналитики'!W4416:W4418),0)</f>
        <v/>
      </c>
      <c r="X4419">
        <f>IF('01_Вводные'!$B$234="Да",SUM('19_Расчет_аналитики'!X4416:X4418),0)</f>
        <v/>
      </c>
      <c r="Y4419">
        <f>IF('01_Вводные'!$B$234="Да",SUM('19_Расчет_аналитики'!Y4416:Y4418),0)</f>
        <v/>
      </c>
      <c r="Z4419">
        <f>IF('01_Вводные'!$B$234="Да",SUM('19_Расчет_аналитики'!Z4416:Z4418),0)</f>
        <v/>
      </c>
      <c r="AA4419">
        <f>IF('01_Вводные'!$B$234="Да",SUM('19_Расчет_аналитики'!AA4416:AA4418),0)</f>
        <v/>
      </c>
      <c r="AB4419">
        <f>IF('01_Вводные'!$B$234="Да",SUM('19_Расчет_аналитики'!AB4416:AB4418),0)</f>
        <v/>
      </c>
      <c r="AC4419">
        <f>IF('01_Вводные'!$B$234="Да",SUM('19_Расчет_аналитики'!AC4416:AC4418),0)</f>
        <v/>
      </c>
      <c r="AD4419">
        <f>IF('01_Вводные'!$B$234="Да",SUM('19_Расчет_аналитики'!AD4416:AD4418),0)</f>
        <v/>
      </c>
      <c r="AE4419">
        <f>IF('01_Вводные'!$B$234="Да",SUM('19_Расчет_аналитики'!AE4416:AE4418),0)</f>
        <v/>
      </c>
      <c r="AF4419">
        <f>IF('01_Вводные'!$B$234="Да",SUM('19_Расчет_аналитики'!AF4416:AF4418),0)</f>
        <v/>
      </c>
      <c r="AG4419">
        <f>IF('01_Вводные'!$B$234="Да",SUM('19_Расчет_аналитики'!AG4416:AG4418),0)</f>
        <v/>
      </c>
      <c r="AH4419">
        <f>IF('01_Вводные'!$B$234="Да",SUM('19_Расчет_аналитики'!AH4416:AH4418),0)</f>
        <v/>
      </c>
      <c r="AI4419">
        <f>IF('01_Вводные'!$B$234="Да",SUM('19_Расчет_аналитики'!AI4416:AI4418),0)</f>
        <v/>
      </c>
      <c r="AJ4419">
        <f>IF('01_Вводные'!$B$234="Да",SUM('19_Расчет_аналитики'!AJ4416:AJ4418),0)</f>
        <v/>
      </c>
      <c r="AK4419">
        <f>IF('01_Вводные'!$B$234="Да",SUM('19_Расчет_аналитики'!AK4416:AK4418),0)</f>
        <v/>
      </c>
      <c r="AL4419">
        <f>IF('01_Вводные'!$B$234="Да",SUM('19_Расчет_аналитики'!AL4416:AL4418),0)</f>
        <v/>
      </c>
      <c r="AM4419">
        <f>IF('01_Вводные'!$B$234="Да",SUM('19_Расчет_аналитики'!AM4416:AM4418),0)</f>
        <v/>
      </c>
      <c r="AN4419">
        <f>IF('01_Вводные'!$B$234="Да",SUM('19_Расчет_аналитики'!AN4416:AN4418),0)</f>
        <v/>
      </c>
      <c r="AO4419">
        <f>IF('01_Вводные'!$B$234="Да",SUM('19_Расчет_аналитики'!AO4416:AO4418),0)</f>
        <v/>
      </c>
      <c r="AP4419">
        <f>IF('01_Вводные'!$B$234="Да",SUM('19_Расчет_аналитики'!AP4416:AP4418),0)</f>
        <v/>
      </c>
      <c r="AQ4419">
        <f>IF('01_Вводные'!$B$234="Да",SUM('19_Расчет_аналитики'!AQ4416:AQ4418),0)</f>
        <v/>
      </c>
      <c r="AR4419">
        <f>IF('01_Вводные'!$B$234="Да",SUM('19_Расчет_аналитики'!AR4416:AR4418),0)</f>
        <v/>
      </c>
      <c r="AS4419">
        <f>IF('01_Вводные'!$B$234="Да",SUM('19_Расчет_аналитики'!AS4416:AS4418),0)</f>
        <v/>
      </c>
      <c r="AT4419">
        <f>IF('01_Вводные'!$B$234="Да",SUM('19_Расчет_аналитики'!AT4416:AT4418),0)</f>
        <v/>
      </c>
      <c r="AU4419">
        <f>IF('01_Вводные'!$B$234="Да",SUM('19_Расчет_аналитики'!AU4416:AU4418),0)</f>
        <v/>
      </c>
      <c r="AV4419">
        <f>IF('01_Вводные'!$B$234="Да",SUM('19_Расчет_аналитики'!AV4416:AV4418),0)</f>
        <v/>
      </c>
      <c r="AW4419">
        <f>IF('01_Вводные'!$B$234="Да",SUM('19_Расчет_аналитики'!AW4416:AW4418),0)</f>
        <v/>
      </c>
      <c r="AX4419">
        <f>IF('01_Вводные'!$B$234="Да",SUM('19_Расчет_аналитики'!AX4416:AX4418),0)</f>
        <v/>
      </c>
      <c r="AY4419">
        <f>IF('01_Вводные'!$B$234="Да",SUM('19_Расчет_аналитики'!AY4416:AY4418),0)</f>
        <v/>
      </c>
      <c r="AZ4419">
        <f>IF('01_Вводные'!$B$234="Да",SUM('19_Расчет_аналитики'!AZ4416:AZ4418),0)</f>
        <v/>
      </c>
      <c r="BA4419">
        <f>IF('01_Вводные'!$B$234="Да",SUM('19_Расчет_аналитики'!BA4416:BA4418),0)</f>
        <v/>
      </c>
      <c r="BB4419">
        <f>IF('01_Вводные'!$B$234="Да",SUM('19_Расчет_аналитики'!BB4416:BB4418),0)</f>
        <v/>
      </c>
      <c r="BC4419">
        <f>IF('01_Вводные'!$B$234="Да",SUM('19_Расчет_аналитики'!BC4416:BC4418),0)</f>
        <v/>
      </c>
      <c r="BD4419">
        <f>IF('01_Вводные'!$B$234="Да",SUM('19_Расчет_аналитики'!BD4416:BD4418),0)</f>
        <v/>
      </c>
      <c r="BE4419">
        <f>IF('01_Вводные'!$B$234="Да",SUM('19_Расчет_аналитики'!BE4416:BE4418),0)</f>
        <v/>
      </c>
      <c r="BF4419">
        <f>IF('01_Вводные'!$B$234="Да",SUM('19_Расчет_аналитики'!BF4416:BF4418),0)</f>
        <v/>
      </c>
      <c r="BG4419">
        <f>IF('01_Вводные'!$B$234="Да",SUM('19_Расчет_аналитики'!BG4416:BG4418),0)</f>
        <v/>
      </c>
      <c r="BH4419">
        <f>IF('01_Вводные'!$B$234="Да",SUM('19_Расчет_аналитики'!BH4416:BH4418),0)</f>
        <v/>
      </c>
      <c r="BI4419">
        <f>IF('01_Вводные'!$B$234="Да",SUM('19_Расчет_аналитики'!BI4416:BI4418),0)</f>
        <v/>
      </c>
      <c r="BJ4419">
        <f>IF('01_Вводные'!$B$234="Да",SUM('19_Расчет_аналитики'!BJ4416:BJ4418),0)</f>
        <v/>
      </c>
      <c r="BK4419">
        <f>IF('01_Вводные'!$B$234="Да",SUM('19_Расчет_аналитики'!BK4416:BK4418),0)</f>
        <v/>
      </c>
      <c r="BL4419">
        <f>IF('01_Вводные'!$B$234="Да",SUM('19_Расчет_аналитики'!BL4416:BL4418),0)</f>
        <v/>
      </c>
      <c r="BM4419">
        <f>IF('01_Вводные'!$B$234="Да",SUM('19_Расчет_аналитики'!BM4416:BM4418),0)</f>
        <v/>
      </c>
      <c r="BN4419">
        <f>IF('01_Вводные'!$B$234="Да",SUM('19_Расчет_аналитики'!BN4416:BN4418),0)</f>
        <v/>
      </c>
      <c r="BO4419">
        <f>IF('01_Вводные'!$B$234="Да",SUM('19_Расчет_аналитики'!BO4416:BO4418),0)</f>
        <v/>
      </c>
    </row>
    <row r="4420">
      <c r="B4420">
        <f>IF('01_Вводные'!$B$234="Да",'06_Сеть_и_дети'!B11+'19_Расчет_аналитики'!B4419,0)</f>
        <v/>
      </c>
      <c r="C4420">
        <f>IF('01_Вводные'!$B$234="Да",'06_Сеть_и_дети'!C11+'19_Расчет_аналитики'!C4419,0)</f>
        <v/>
      </c>
      <c r="D4420">
        <f>IF('01_Вводные'!$B$234="Да",'06_Сеть_и_дети'!D11+'19_Расчет_аналитики'!D4419,0)</f>
        <v/>
      </c>
      <c r="E4420">
        <f>IF('01_Вводные'!$B$234="Да",'06_Сеть_и_дети'!E11+'19_Расчет_аналитики'!E4419,0)</f>
        <v/>
      </c>
      <c r="F4420">
        <f>IF('01_Вводные'!$B$234="Да",'06_Сеть_и_дети'!F11+'19_Расчет_аналитики'!F4419,0)</f>
        <v/>
      </c>
      <c r="G4420">
        <f>IF('01_Вводные'!$B$234="Да",'06_Сеть_и_дети'!G11+'19_Расчет_аналитики'!G4419,0)</f>
        <v/>
      </c>
      <c r="H4420">
        <f>IF('01_Вводные'!$B$234="Да",'06_Сеть_и_дети'!H11+'19_Расчет_аналитики'!H4419,0)</f>
        <v/>
      </c>
      <c r="I4420">
        <f>IF('01_Вводные'!$B$234="Да",'06_Сеть_и_дети'!I11+'19_Расчет_аналитики'!I4419,0)</f>
        <v/>
      </c>
      <c r="J4420">
        <f>IF('01_Вводные'!$B$234="Да",'06_Сеть_и_дети'!J11+'19_Расчет_аналитики'!J4419,0)</f>
        <v/>
      </c>
      <c r="K4420">
        <f>IF('01_Вводные'!$B$234="Да",'06_Сеть_и_дети'!K11+'19_Расчет_аналитики'!K4419,0)</f>
        <v/>
      </c>
      <c r="L4420">
        <f>IF('01_Вводные'!$B$234="Да",'06_Сеть_и_дети'!L11+'19_Расчет_аналитики'!L4419,0)</f>
        <v/>
      </c>
      <c r="M4420">
        <f>IF('01_Вводные'!$B$234="Да",'06_Сеть_и_дети'!M11+'19_Расчет_аналитики'!M4419,0)</f>
        <v/>
      </c>
      <c r="N4420">
        <f>IF('01_Вводные'!$B$234="Да",'06_Сеть_и_дети'!N11+'19_Расчет_аналитики'!N4419,0)</f>
        <v/>
      </c>
      <c r="O4420">
        <f>IF('01_Вводные'!$B$234="Да",'06_Сеть_и_дети'!O11+'19_Расчет_аналитики'!O4419,0)</f>
        <v/>
      </c>
      <c r="P4420">
        <f>IF('01_Вводные'!$B$234="Да",'06_Сеть_и_дети'!P11+'19_Расчет_аналитики'!P4419,0)</f>
        <v/>
      </c>
      <c r="Q4420">
        <f>IF('01_Вводные'!$B$234="Да",'06_Сеть_и_дети'!Q11+'19_Расчет_аналитики'!Q4419,0)</f>
        <v/>
      </c>
      <c r="R4420">
        <f>IF('01_Вводные'!$B$234="Да",'06_Сеть_и_дети'!R11+'19_Расчет_аналитики'!R4419,0)</f>
        <v/>
      </c>
      <c r="S4420">
        <f>IF('01_Вводные'!$B$234="Да",'06_Сеть_и_дети'!S11+'19_Расчет_аналитики'!S4419,0)</f>
        <v/>
      </c>
      <c r="T4420">
        <f>IF('01_Вводные'!$B$234="Да",'06_Сеть_и_дети'!T11+'19_Расчет_аналитики'!T4419,0)</f>
        <v/>
      </c>
      <c r="U4420">
        <f>IF('01_Вводные'!$B$234="Да",'06_Сеть_и_дети'!U11+'19_Расчет_аналитики'!U4419,0)</f>
        <v/>
      </c>
      <c r="V4420">
        <f>IF('01_Вводные'!$B$234="Да",'06_Сеть_и_дети'!V11+'19_Расчет_аналитики'!V4419,0)</f>
        <v/>
      </c>
      <c r="W4420">
        <f>IF('01_Вводные'!$B$234="Да",'06_Сеть_и_дети'!W11+'19_Расчет_аналитики'!W4419,0)</f>
        <v/>
      </c>
      <c r="X4420">
        <f>IF('01_Вводные'!$B$234="Да",'06_Сеть_и_дети'!X11+'19_Расчет_аналитики'!X4419,0)</f>
        <v/>
      </c>
      <c r="Y4420">
        <f>IF('01_Вводные'!$B$234="Да",'06_Сеть_и_дети'!Y11+'19_Расчет_аналитики'!Y4419,0)</f>
        <v/>
      </c>
      <c r="Z4420">
        <f>IF('01_Вводные'!$B$234="Да",'06_Сеть_и_дети'!Z11+'19_Расчет_аналитики'!Z4419,0)</f>
        <v/>
      </c>
      <c r="AA4420">
        <f>IF('01_Вводные'!$B$234="Да",'06_Сеть_и_дети'!AA11+'19_Расчет_аналитики'!AA4419,0)</f>
        <v/>
      </c>
      <c r="AB4420">
        <f>IF('01_Вводные'!$B$234="Да",'06_Сеть_и_дети'!AB11+'19_Расчет_аналитики'!AB4419,0)</f>
        <v/>
      </c>
      <c r="AC4420">
        <f>IF('01_Вводные'!$B$234="Да",'06_Сеть_и_дети'!AC11+'19_Расчет_аналитики'!AC4419,0)</f>
        <v/>
      </c>
      <c r="AD4420">
        <f>IF('01_Вводные'!$B$234="Да",'06_Сеть_и_дети'!AD11+'19_Расчет_аналитики'!AD4419,0)</f>
        <v/>
      </c>
      <c r="AE4420">
        <f>IF('01_Вводные'!$B$234="Да",'06_Сеть_и_дети'!AE11+'19_Расчет_аналитики'!AE4419,0)</f>
        <v/>
      </c>
      <c r="AF4420">
        <f>IF('01_Вводные'!$B$234="Да",'06_Сеть_и_дети'!AF11+'19_Расчет_аналитики'!AF4419,0)</f>
        <v/>
      </c>
      <c r="AG4420">
        <f>IF('01_Вводные'!$B$234="Да",'06_Сеть_и_дети'!AG11+'19_Расчет_аналитики'!AG4419,0)</f>
        <v/>
      </c>
      <c r="AH4420">
        <f>IF('01_Вводные'!$B$234="Да",'06_Сеть_и_дети'!AH11+'19_Расчет_аналитики'!AH4419,0)</f>
        <v/>
      </c>
      <c r="AI4420">
        <f>IF('01_Вводные'!$B$234="Да",'06_Сеть_и_дети'!AI11+'19_Расчет_аналитики'!AI4419,0)</f>
        <v/>
      </c>
      <c r="AJ4420">
        <f>IF('01_Вводные'!$B$234="Да",'06_Сеть_и_дети'!AJ11+'19_Расчет_аналитики'!AJ4419,0)</f>
        <v/>
      </c>
      <c r="AK4420">
        <f>IF('01_Вводные'!$B$234="Да",'06_Сеть_и_дети'!AK11+'19_Расчет_аналитики'!AK4419,0)</f>
        <v/>
      </c>
      <c r="AL4420">
        <f>IF('01_Вводные'!$B$234="Да",'06_Сеть_и_дети'!AL11+'19_Расчет_аналитики'!AL4419,0)</f>
        <v/>
      </c>
      <c r="AM4420">
        <f>IF('01_Вводные'!$B$234="Да",'06_Сеть_и_дети'!AM11+'19_Расчет_аналитики'!AM4419,0)</f>
        <v/>
      </c>
      <c r="AN4420">
        <f>IF('01_Вводные'!$B$234="Да",'06_Сеть_и_дети'!AN11+'19_Расчет_аналитики'!AN4419,0)</f>
        <v/>
      </c>
      <c r="AO4420">
        <f>IF('01_Вводные'!$B$234="Да",'06_Сеть_и_дети'!AO11+'19_Расчет_аналитики'!AO4419,0)</f>
        <v/>
      </c>
      <c r="AP4420">
        <f>IF('01_Вводные'!$B$234="Да",'06_Сеть_и_дети'!AP11+'19_Расчет_аналитики'!AP4419,0)</f>
        <v/>
      </c>
      <c r="AQ4420">
        <f>IF('01_Вводные'!$B$234="Да",'06_Сеть_и_дети'!AQ11+'19_Расчет_аналитики'!AQ4419,0)</f>
        <v/>
      </c>
      <c r="AR4420">
        <f>IF('01_Вводные'!$B$234="Да",'06_Сеть_и_дети'!AR11+'19_Расчет_аналитики'!AR4419,0)</f>
        <v/>
      </c>
      <c r="AS4420">
        <f>IF('01_Вводные'!$B$234="Да",'06_Сеть_и_дети'!AS11+'19_Расчет_аналитики'!AS4419,0)</f>
        <v/>
      </c>
      <c r="AT4420">
        <f>IF('01_Вводные'!$B$234="Да",'06_Сеть_и_дети'!AT11+'19_Расчет_аналитики'!AT4419,0)</f>
        <v/>
      </c>
      <c r="AU4420">
        <f>IF('01_Вводные'!$B$234="Да",'06_Сеть_и_дети'!AU11+'19_Расчет_аналитики'!AU4419,0)</f>
        <v/>
      </c>
      <c r="AV4420">
        <f>IF('01_Вводные'!$B$234="Да",'06_Сеть_и_дети'!AV11+'19_Расчет_аналитики'!AV4419,0)</f>
        <v/>
      </c>
      <c r="AW4420">
        <f>IF('01_Вводные'!$B$234="Да",'06_Сеть_и_дети'!AW11+'19_Расчет_аналитики'!AW4419,0)</f>
        <v/>
      </c>
      <c r="AX4420">
        <f>IF('01_Вводные'!$B$234="Да",'06_Сеть_и_дети'!AX11+'19_Расчет_аналитики'!AX4419,0)</f>
        <v/>
      </c>
      <c r="AY4420">
        <f>IF('01_Вводные'!$B$234="Да",'06_Сеть_и_дети'!AY11+'19_Расчет_аналитики'!AY4419,0)</f>
        <v/>
      </c>
      <c r="AZ4420">
        <f>IF('01_Вводные'!$B$234="Да",'06_Сеть_и_дети'!AZ11+'19_Расчет_аналитики'!AZ4419,0)</f>
        <v/>
      </c>
      <c r="BA4420">
        <f>IF('01_Вводные'!$B$234="Да",'06_Сеть_и_дети'!BA11+'19_Расчет_аналитики'!BA4419,0)</f>
        <v/>
      </c>
      <c r="BB4420">
        <f>IF('01_Вводные'!$B$234="Да",'06_Сеть_и_дети'!BB11+'19_Расчет_аналитики'!BB4419,0)</f>
        <v/>
      </c>
      <c r="BC4420">
        <f>IF('01_Вводные'!$B$234="Да",'06_Сеть_и_дети'!BC11+'19_Расчет_аналитики'!BC4419,0)</f>
        <v/>
      </c>
      <c r="BD4420">
        <f>IF('01_Вводные'!$B$234="Да",'06_Сеть_и_дети'!BD11+'19_Расчет_аналитики'!BD4419,0)</f>
        <v/>
      </c>
      <c r="BE4420">
        <f>IF('01_Вводные'!$B$234="Да",'06_Сеть_и_дети'!BE11+'19_Расчет_аналитики'!BE4419,0)</f>
        <v/>
      </c>
      <c r="BF4420">
        <f>IF('01_Вводные'!$B$234="Да",'06_Сеть_и_дети'!BF11+'19_Расчет_аналитики'!BF4419,0)</f>
        <v/>
      </c>
      <c r="BG4420">
        <f>IF('01_Вводные'!$B$234="Да",'06_Сеть_и_дети'!BG11+'19_Расчет_аналитики'!BG4419,0)</f>
        <v/>
      </c>
      <c r="BH4420">
        <f>IF('01_Вводные'!$B$234="Да",'06_Сеть_и_дети'!BH11+'19_Расчет_аналитики'!BH4419,0)</f>
        <v/>
      </c>
      <c r="BI4420">
        <f>IF('01_Вводные'!$B$234="Да",'06_Сеть_и_дети'!BI11+'19_Расчет_аналитики'!BI4419,0)</f>
        <v/>
      </c>
      <c r="BJ4420">
        <f>IF('01_Вводные'!$B$234="Да",'06_Сеть_и_дети'!BJ11+'19_Расчет_аналитики'!BJ4419,0)</f>
        <v/>
      </c>
      <c r="BK4420">
        <f>IF('01_Вводные'!$B$234="Да",'06_Сеть_и_дети'!BK11+'19_Расчет_аналитики'!BK4419,0)</f>
        <v/>
      </c>
      <c r="BL4420">
        <f>IF('01_Вводные'!$B$234="Да",'06_Сеть_и_дети'!BL11+'19_Расчет_аналитики'!BL4419,0)</f>
        <v/>
      </c>
      <c r="BM4420">
        <f>IF('01_Вводные'!$B$234="Да",'06_Сеть_и_дети'!BM11+'19_Расчет_аналитики'!BM4419,0)</f>
        <v/>
      </c>
      <c r="BN4420">
        <f>IF('01_Вводные'!$B$234="Да",'06_Сеть_и_дети'!BN11+'19_Расчет_аналитики'!BN4419,0)</f>
        <v/>
      </c>
      <c r="BO4420">
        <f>IF('01_Вводные'!$B$234="Да",'06_Сеть_и_дети'!BO11+'19_Расчет_аналитики'!BO4419,0)</f>
        <v/>
      </c>
    </row>
    <row r="4421"/>
    <row r="4422"/>
    <row r="4423"/>
    <row r="4424">
      <c r="B4424">
        <f>IF('01_Вводные'!$B$234="Да",SUMPRODUCT('19_Расчет_аналитики'!B4456:B4467,CapacityYear1)*'19_Расчет_аналитики'!$F$4259*'06_Сеть_и_дети'!B5,0)</f>
        <v/>
      </c>
      <c r="C4424">
        <f>IF('01_Вводные'!$B$234="Да",SUMPRODUCT('19_Расчет_аналитики'!C4456:C4467,CapacityYear1)*'19_Расчет_аналитики'!$F$4259*'06_Сеть_и_дети'!C5,0)</f>
        <v/>
      </c>
      <c r="D4424">
        <f>IF('01_Вводные'!$B$234="Да",SUMPRODUCT('19_Расчет_аналитики'!D4456:D4467,CapacityYear1)*'19_Расчет_аналитики'!$F$4259*'06_Сеть_и_дети'!D5,0)</f>
        <v/>
      </c>
      <c r="E4424">
        <f>IF('01_Вводные'!$B$234="Да",SUMPRODUCT('19_Расчет_аналитики'!E4456:E4467,CapacityYear1)*'19_Расчет_аналитики'!$F$4259*'06_Сеть_и_дети'!E5,0)</f>
        <v/>
      </c>
      <c r="F4424">
        <f>IF('01_Вводные'!$B$234="Да",SUMPRODUCT('19_Расчет_аналитики'!F4456:F4467,CapacityYear1)*'19_Расчет_аналитики'!$F$4259*'06_Сеть_и_дети'!F5,0)</f>
        <v/>
      </c>
      <c r="G4424">
        <f>IF('01_Вводные'!$B$234="Да",SUMPRODUCT('19_Расчет_аналитики'!G4456:G4467,CapacityYear1)*'19_Расчет_аналитики'!$F$4259*'06_Сеть_и_дети'!G5,0)</f>
        <v/>
      </c>
      <c r="H4424">
        <f>IF('01_Вводные'!$B$234="Да",SUMPRODUCT('19_Расчет_аналитики'!H4456:H4467,CapacityYear1)*'19_Расчет_аналитики'!$F$4259*'06_Сеть_и_дети'!H5,0)</f>
        <v/>
      </c>
      <c r="I4424">
        <f>IF('01_Вводные'!$B$234="Да",SUMPRODUCT('19_Расчет_аналитики'!I4456:I4467,CapacityYear1)*'19_Расчет_аналитики'!$F$4259*'06_Сеть_и_дети'!I5,0)</f>
        <v/>
      </c>
      <c r="J4424">
        <f>IF('01_Вводные'!$B$234="Да",SUMPRODUCT('19_Расчет_аналитики'!J4456:J4467,CapacityYear1)*'19_Расчет_аналитики'!$F$4259*'06_Сеть_и_дети'!J5,0)</f>
        <v/>
      </c>
      <c r="K4424">
        <f>IF('01_Вводные'!$B$234="Да",SUMPRODUCT('19_Расчет_аналитики'!K4456:K4467,CapacityYear1)*'19_Расчет_аналитики'!$F$4259*'06_Сеть_и_дети'!K5,0)</f>
        <v/>
      </c>
      <c r="L4424">
        <f>IF('01_Вводные'!$B$234="Да",SUMPRODUCT('19_Расчет_аналитики'!L4456:L4467,CapacityYear1)*'19_Расчет_аналитики'!$F$4259*'06_Сеть_и_дети'!L5,0)</f>
        <v/>
      </c>
      <c r="M4424">
        <f>IF('01_Вводные'!$B$234="Да",SUMPRODUCT('19_Расчет_аналитики'!M4456:M4467,CapacityYear1)*'19_Расчет_аналитики'!$F$4259*'06_Сеть_и_дети'!M5,0)</f>
        <v/>
      </c>
      <c r="N4424">
        <f>IF('01_Вводные'!$B$234="Да",SUMPRODUCT('19_Расчет_аналитики'!N4456:N4467,CapacityYear1)*'19_Расчет_аналитики'!$F$4259*'06_Сеть_и_дети'!N5,0)</f>
        <v/>
      </c>
      <c r="O4424">
        <f>IF('01_Вводные'!$B$234="Да",SUMPRODUCT('19_Расчет_аналитики'!O4456:O4467,CapacityYear1)*'19_Расчет_аналитики'!$F$4259*'06_Сеть_и_дети'!O5,0)</f>
        <v/>
      </c>
      <c r="P4424">
        <f>IF('01_Вводные'!$B$234="Да",SUMPRODUCT('19_Расчет_аналитики'!P4456:P4467,CapacityYear1)*'19_Расчет_аналитики'!$F$4259*'06_Сеть_и_дети'!P5,0)</f>
        <v/>
      </c>
      <c r="Q4424">
        <f>IF('01_Вводные'!$B$234="Да",SUMPRODUCT('19_Расчет_аналитики'!Q4456:Q4467,CapacityYear1)*'19_Расчет_аналитики'!$F$4259*'06_Сеть_и_дети'!Q5,0)</f>
        <v/>
      </c>
      <c r="R4424">
        <f>IF('01_Вводные'!$B$234="Да",SUMPRODUCT('19_Расчет_аналитики'!R4456:R4467,CapacityYear1)*'19_Расчет_аналитики'!$F$4259*'06_Сеть_и_дети'!R5,0)</f>
        <v/>
      </c>
      <c r="S4424">
        <f>IF('01_Вводные'!$B$234="Да",SUMPRODUCT('19_Расчет_аналитики'!S4456:S4467,CapacityYear1)*'19_Расчет_аналитики'!$F$4259*'06_Сеть_и_дети'!S5,0)</f>
        <v/>
      </c>
      <c r="T4424">
        <f>IF('01_Вводные'!$B$234="Да",SUMPRODUCT('19_Расчет_аналитики'!T4456:T4467,CapacityYear1)*'19_Расчет_аналитики'!$F$4259*'06_Сеть_и_дети'!T5,0)</f>
        <v/>
      </c>
      <c r="U4424">
        <f>IF('01_Вводные'!$B$234="Да",SUMPRODUCT('19_Расчет_аналитики'!U4456:U4467,CapacityYear1)*'19_Расчет_аналитики'!$F$4259*'06_Сеть_и_дети'!U5,0)</f>
        <v/>
      </c>
      <c r="V4424">
        <f>IF('01_Вводные'!$B$234="Да",SUMPRODUCT('19_Расчет_аналитики'!V4456:V4467,CapacityYear1)*'19_Расчет_аналитики'!$F$4259*'06_Сеть_и_дети'!V5,0)</f>
        <v/>
      </c>
      <c r="W4424">
        <f>IF('01_Вводные'!$B$234="Да",SUMPRODUCT('19_Расчет_аналитики'!W4456:W4467,CapacityYear1)*'19_Расчет_аналитики'!$F$4259*'06_Сеть_и_дети'!W5,0)</f>
        <v/>
      </c>
      <c r="X4424">
        <f>IF('01_Вводные'!$B$234="Да",SUMPRODUCT('19_Расчет_аналитики'!X4456:X4467,CapacityYear1)*'19_Расчет_аналитики'!$F$4259*'06_Сеть_и_дети'!X5,0)</f>
        <v/>
      </c>
      <c r="Y4424">
        <f>IF('01_Вводные'!$B$234="Да",SUMPRODUCT('19_Расчет_аналитики'!Y4456:Y4467,CapacityYear1)*'19_Расчет_аналитики'!$F$4259*'06_Сеть_и_дети'!Y5,0)</f>
        <v/>
      </c>
      <c r="Z4424">
        <f>IF('01_Вводные'!$B$234="Да",SUMPRODUCT('19_Расчет_аналитики'!Z4456:Z4467,CapacityYear1)*'19_Расчет_аналитики'!$F$4259*'06_Сеть_и_дети'!Z5,0)</f>
        <v/>
      </c>
      <c r="AA4424">
        <f>IF('01_Вводные'!$B$234="Да",SUMPRODUCT('19_Расчет_аналитики'!AA4456:AA4467,CapacityYear1)*'19_Расчет_аналитики'!$F$4259*'06_Сеть_и_дети'!AA5,0)</f>
        <v/>
      </c>
      <c r="AB4424">
        <f>IF('01_Вводные'!$B$234="Да",SUMPRODUCT('19_Расчет_аналитики'!AB4456:AB4467,CapacityYear1)*'19_Расчет_аналитики'!$F$4259*'06_Сеть_и_дети'!AB5,0)</f>
        <v/>
      </c>
      <c r="AC4424">
        <f>IF('01_Вводные'!$B$234="Да",SUMPRODUCT('19_Расчет_аналитики'!AC4456:AC4467,CapacityYear1)*'19_Расчет_аналитики'!$F$4259*'06_Сеть_и_дети'!AC5,0)</f>
        <v/>
      </c>
      <c r="AD4424">
        <f>IF('01_Вводные'!$B$234="Да",SUMPRODUCT('19_Расчет_аналитики'!AD4456:AD4467,CapacityYear1)*'19_Расчет_аналитики'!$F$4259*'06_Сеть_и_дети'!AD5,0)</f>
        <v/>
      </c>
      <c r="AE4424">
        <f>IF('01_Вводные'!$B$234="Да",SUMPRODUCT('19_Расчет_аналитики'!AE4456:AE4467,CapacityYear1)*'19_Расчет_аналитики'!$F$4259*'06_Сеть_и_дети'!AE5,0)</f>
        <v/>
      </c>
      <c r="AF4424">
        <f>IF('01_Вводные'!$B$234="Да",SUMPRODUCT('19_Расчет_аналитики'!AF4456:AF4467,CapacityYear1)*'19_Расчет_аналитики'!$F$4259*'06_Сеть_и_дети'!AF5,0)</f>
        <v/>
      </c>
      <c r="AG4424">
        <f>IF('01_Вводные'!$B$234="Да",SUMPRODUCT('19_Расчет_аналитики'!AG4456:AG4467,CapacityYear1)*'19_Расчет_аналитики'!$F$4259*'06_Сеть_и_дети'!AG5,0)</f>
        <v/>
      </c>
      <c r="AH4424">
        <f>IF('01_Вводные'!$B$234="Да",SUMPRODUCT('19_Расчет_аналитики'!AH4456:AH4467,CapacityYear1)*'19_Расчет_аналитики'!$F$4259*'06_Сеть_и_дети'!AH5,0)</f>
        <v/>
      </c>
      <c r="AI4424">
        <f>IF('01_Вводные'!$B$234="Да",SUMPRODUCT('19_Расчет_аналитики'!AI4456:AI4467,CapacityYear1)*'19_Расчет_аналитики'!$F$4259*'06_Сеть_и_дети'!AI5,0)</f>
        <v/>
      </c>
      <c r="AJ4424">
        <f>IF('01_Вводные'!$B$234="Да",SUMPRODUCT('19_Расчет_аналитики'!AJ4456:AJ4467,CapacityYear1)*'19_Расчет_аналитики'!$F$4259*'06_Сеть_и_дети'!AJ5,0)</f>
        <v/>
      </c>
      <c r="AK4424">
        <f>IF('01_Вводные'!$B$234="Да",SUMPRODUCT('19_Расчет_аналитики'!AK4456:AK4467,CapacityYear1)*'19_Расчет_аналитики'!$F$4259*'06_Сеть_и_дети'!AK5,0)</f>
        <v/>
      </c>
      <c r="AL4424">
        <f>IF('01_Вводные'!$B$234="Да",SUMPRODUCT('19_Расчет_аналитики'!AL4456:AL4467,CapacityYear1)*'19_Расчет_аналитики'!$F$4259*'06_Сеть_и_дети'!AL5,0)</f>
        <v/>
      </c>
      <c r="AM4424">
        <f>IF('01_Вводные'!$B$234="Да",SUMPRODUCT('19_Расчет_аналитики'!AM4456:AM4467,CapacityYear1)*'19_Расчет_аналитики'!$F$4259*'06_Сеть_и_дети'!AM5,0)</f>
        <v/>
      </c>
      <c r="AN4424">
        <f>IF('01_Вводные'!$B$234="Да",SUMPRODUCT('19_Расчет_аналитики'!AN4456:AN4467,CapacityYear1)*'19_Расчет_аналитики'!$F$4259*'06_Сеть_и_дети'!AN5,0)</f>
        <v/>
      </c>
      <c r="AO4424">
        <f>IF('01_Вводные'!$B$234="Да",SUMPRODUCT('19_Расчет_аналитики'!AO4456:AO4467,CapacityYear1)*'19_Расчет_аналитики'!$F$4259*'06_Сеть_и_дети'!AO5,0)</f>
        <v/>
      </c>
      <c r="AP4424">
        <f>IF('01_Вводные'!$B$234="Да",SUMPRODUCT('19_Расчет_аналитики'!AP4456:AP4467,CapacityYear1)*'19_Расчет_аналитики'!$F$4259*'06_Сеть_и_дети'!AP5,0)</f>
        <v/>
      </c>
      <c r="AQ4424">
        <f>IF('01_Вводные'!$B$234="Да",SUMPRODUCT('19_Расчет_аналитики'!AQ4456:AQ4467,CapacityYear1)*'19_Расчет_аналитики'!$F$4259*'06_Сеть_и_дети'!AQ5,0)</f>
        <v/>
      </c>
      <c r="AR4424">
        <f>IF('01_Вводные'!$B$234="Да",SUMPRODUCT('19_Расчет_аналитики'!AR4456:AR4467,CapacityYear1)*'19_Расчет_аналитики'!$F$4259*'06_Сеть_и_дети'!AR5,0)</f>
        <v/>
      </c>
      <c r="AS4424">
        <f>IF('01_Вводные'!$B$234="Да",SUMPRODUCT('19_Расчет_аналитики'!AS4456:AS4467,CapacityYear1)*'19_Расчет_аналитики'!$F$4259*'06_Сеть_и_дети'!AS5,0)</f>
        <v/>
      </c>
      <c r="AT4424">
        <f>IF('01_Вводные'!$B$234="Да",SUMPRODUCT('19_Расчет_аналитики'!AT4456:AT4467,CapacityYear1)*'19_Расчет_аналитики'!$F$4259*'06_Сеть_и_дети'!AT5,0)</f>
        <v/>
      </c>
      <c r="AU4424">
        <f>IF('01_Вводные'!$B$234="Да",SUMPRODUCT('19_Расчет_аналитики'!AU4456:AU4467,CapacityYear1)*'19_Расчет_аналитики'!$F$4259*'06_Сеть_и_дети'!AU5,0)</f>
        <v/>
      </c>
      <c r="AV4424">
        <f>IF('01_Вводные'!$B$234="Да",SUMPRODUCT('19_Расчет_аналитики'!AV4456:AV4467,CapacityYear1)*'19_Расчет_аналитики'!$F$4259*'06_Сеть_и_дети'!AV5,0)</f>
        <v/>
      </c>
      <c r="AW4424">
        <f>IF('01_Вводные'!$B$234="Да",SUMPRODUCT('19_Расчет_аналитики'!AW4456:AW4467,CapacityYear1)*'19_Расчет_аналитики'!$F$4259*'06_Сеть_и_дети'!AW5,0)</f>
        <v/>
      </c>
      <c r="AX4424">
        <f>IF('01_Вводные'!$B$234="Да",SUMPRODUCT('19_Расчет_аналитики'!AX4456:AX4467,CapacityYear1)*'19_Расчет_аналитики'!$F$4259*'06_Сеть_и_дети'!AX5,0)</f>
        <v/>
      </c>
      <c r="AY4424">
        <f>IF('01_Вводные'!$B$234="Да",SUMPRODUCT('19_Расчет_аналитики'!AY4456:AY4467,CapacityYear1)*'19_Расчет_аналитики'!$F$4259*'06_Сеть_и_дети'!AY5,0)</f>
        <v/>
      </c>
      <c r="AZ4424">
        <f>IF('01_Вводные'!$B$234="Да",SUMPRODUCT('19_Расчет_аналитики'!AZ4456:AZ4467,CapacityYear1)*'19_Расчет_аналитики'!$F$4259*'06_Сеть_и_дети'!AZ5,0)</f>
        <v/>
      </c>
      <c r="BA4424">
        <f>IF('01_Вводные'!$B$234="Да",SUMPRODUCT('19_Расчет_аналитики'!BA4456:BA4467,CapacityYear1)*'19_Расчет_аналитики'!$F$4259*'06_Сеть_и_дети'!BA5,0)</f>
        <v/>
      </c>
      <c r="BB4424">
        <f>IF('01_Вводные'!$B$234="Да",SUMPRODUCT('19_Расчет_аналитики'!BB4456:BB4467,CapacityYear1)*'19_Расчет_аналитики'!$F$4259*'06_Сеть_и_дети'!BB5,0)</f>
        <v/>
      </c>
      <c r="BC4424">
        <f>IF('01_Вводные'!$B$234="Да",SUMPRODUCT('19_Расчет_аналитики'!BC4456:BC4467,CapacityYear1)*'19_Расчет_аналитики'!$F$4259*'06_Сеть_и_дети'!BC5,0)</f>
        <v/>
      </c>
      <c r="BD4424">
        <f>IF('01_Вводные'!$B$234="Да",SUMPRODUCT('19_Расчет_аналитики'!BD4456:BD4467,CapacityYear1)*'19_Расчет_аналитики'!$F$4259*'06_Сеть_и_дети'!BD5,0)</f>
        <v/>
      </c>
      <c r="BE4424">
        <f>IF('01_Вводные'!$B$234="Да",SUMPRODUCT('19_Расчет_аналитики'!BE4456:BE4467,CapacityYear1)*'19_Расчет_аналитики'!$F$4259*'06_Сеть_и_дети'!BE5,0)</f>
        <v/>
      </c>
      <c r="BF4424">
        <f>IF('01_Вводные'!$B$234="Да",SUMPRODUCT('19_Расчет_аналитики'!BF4456:BF4467,CapacityYear1)*'19_Расчет_аналитики'!$F$4259*'06_Сеть_и_дети'!BF5,0)</f>
        <v/>
      </c>
      <c r="BG4424">
        <f>IF('01_Вводные'!$B$234="Да",SUMPRODUCT('19_Расчет_аналитики'!BG4456:BG4467,CapacityYear1)*'19_Расчет_аналитики'!$F$4259*'06_Сеть_и_дети'!BG5,0)</f>
        <v/>
      </c>
      <c r="BH4424">
        <f>IF('01_Вводные'!$B$234="Да",SUMPRODUCT('19_Расчет_аналитики'!BH4456:BH4467,CapacityYear1)*'19_Расчет_аналитики'!$F$4259*'06_Сеть_и_дети'!BH5,0)</f>
        <v/>
      </c>
      <c r="BI4424">
        <f>IF('01_Вводные'!$B$234="Да",SUMPRODUCT('19_Расчет_аналитики'!BI4456:BI4467,CapacityYear1)*'19_Расчет_аналитики'!$F$4259*'06_Сеть_и_дети'!BI5,0)</f>
        <v/>
      </c>
      <c r="BJ4424">
        <f>IF('01_Вводные'!$B$234="Да",SUMPRODUCT('19_Расчет_аналитики'!BJ4456:BJ4467,CapacityYear1)*'19_Расчет_аналитики'!$F$4259*'06_Сеть_и_дети'!BJ5,0)</f>
        <v/>
      </c>
      <c r="BK4424">
        <f>IF('01_Вводные'!$B$234="Да",SUMPRODUCT('19_Расчет_аналитики'!BK4456:BK4467,CapacityYear1)*'19_Расчет_аналитики'!$F$4259*'06_Сеть_и_дети'!BK5,0)</f>
        <v/>
      </c>
      <c r="BL4424">
        <f>IF('01_Вводные'!$B$234="Да",SUMPRODUCT('19_Расчет_аналитики'!BL4456:BL4467,CapacityYear1)*'19_Расчет_аналитики'!$F$4259*'06_Сеть_и_дети'!BL5,0)</f>
        <v/>
      </c>
      <c r="BM4424">
        <f>IF('01_Вводные'!$B$234="Да",SUMPRODUCT('19_Расчет_аналитики'!BM4456:BM4467,CapacityYear1)*'19_Расчет_аналитики'!$F$4259*'06_Сеть_и_дети'!BM5,0)</f>
        <v/>
      </c>
      <c r="BN4424">
        <f>IF('01_Вводные'!$B$234="Да",SUMPRODUCT('19_Расчет_аналитики'!BN4456:BN4467,CapacityYear1)*'19_Расчет_аналитики'!$F$4259*'06_Сеть_и_дети'!BN5,0)</f>
        <v/>
      </c>
      <c r="BO4424">
        <f>IF('01_Вводные'!$B$234="Да",SUMPRODUCT('19_Расчет_аналитики'!BO4456:BO4467,CapacityYear1)*'19_Расчет_аналитики'!$F$4259*'06_Сеть_и_дети'!BO5,0)</f>
        <v/>
      </c>
    </row>
    <row r="4425">
      <c r="B4425">
        <f>IF('01_Вводные'!$B$234="Да",SUMPRODUCT('06_Сеть_и_дети'!B65:B76,CapacityYear2)*'19_Расчет_аналитики'!$F$4259*'06_Сеть_и_дети'!B5,0)</f>
        <v/>
      </c>
      <c r="C4425">
        <f>IF('01_Вводные'!$B$234="Да",SUMPRODUCT('06_Сеть_и_дети'!C65:C76,CapacityYear2)*'19_Расчет_аналитики'!$F$4259*'06_Сеть_и_дети'!C5,0)</f>
        <v/>
      </c>
      <c r="D4425">
        <f>IF('01_Вводные'!$B$234="Да",SUMPRODUCT('06_Сеть_и_дети'!D65:D76,CapacityYear2)*'19_Расчет_аналитики'!$F$4259*'06_Сеть_и_дети'!D5,0)</f>
        <v/>
      </c>
      <c r="E4425">
        <f>IF('01_Вводные'!$B$234="Да",SUMPRODUCT('06_Сеть_и_дети'!E65:E76,CapacityYear2)*'19_Расчет_аналитики'!$F$4259*'06_Сеть_и_дети'!E5,0)</f>
        <v/>
      </c>
      <c r="F4425">
        <f>IF('01_Вводные'!$B$234="Да",SUMPRODUCT('06_Сеть_и_дети'!F65:F76,CapacityYear2)*'19_Расчет_аналитики'!$F$4259*'06_Сеть_и_дети'!F5,0)</f>
        <v/>
      </c>
      <c r="G4425">
        <f>IF('01_Вводные'!$B$234="Да",SUMPRODUCT('06_Сеть_и_дети'!G65:G76,CapacityYear2)*'19_Расчет_аналитики'!$F$4259*'06_Сеть_и_дети'!G5,0)</f>
        <v/>
      </c>
      <c r="H4425">
        <f>IF('01_Вводные'!$B$234="Да",SUMPRODUCT('06_Сеть_и_дети'!H65:H76,CapacityYear2)*'19_Расчет_аналитики'!$F$4259*'06_Сеть_и_дети'!H5,0)</f>
        <v/>
      </c>
      <c r="I4425">
        <f>IF('01_Вводные'!$B$234="Да",SUMPRODUCT('06_Сеть_и_дети'!I65:I76,CapacityYear2)*'19_Расчет_аналитики'!$F$4259*'06_Сеть_и_дети'!I5,0)</f>
        <v/>
      </c>
      <c r="J4425">
        <f>IF('01_Вводные'!$B$234="Да",SUMPRODUCT('06_Сеть_и_дети'!J65:J76,CapacityYear2)*'19_Расчет_аналитики'!$F$4259*'06_Сеть_и_дети'!J5,0)</f>
        <v/>
      </c>
      <c r="K4425">
        <f>IF('01_Вводные'!$B$234="Да",SUMPRODUCT('06_Сеть_и_дети'!K65:K76,CapacityYear2)*'19_Расчет_аналитики'!$F$4259*'06_Сеть_и_дети'!K5,0)</f>
        <v/>
      </c>
      <c r="L4425">
        <f>IF('01_Вводные'!$B$234="Да",SUMPRODUCT('06_Сеть_и_дети'!L65:L76,CapacityYear2)*'19_Расчет_аналитики'!$F$4259*'06_Сеть_и_дети'!L5,0)</f>
        <v/>
      </c>
      <c r="M4425">
        <f>IF('01_Вводные'!$B$234="Да",SUMPRODUCT('06_Сеть_и_дети'!M65:M76,CapacityYear2)*'19_Расчет_аналитики'!$F$4259*'06_Сеть_и_дети'!M5,0)</f>
        <v/>
      </c>
      <c r="N4425">
        <f>IF('01_Вводные'!$B$234="Да",SUMPRODUCT('19_Расчет_аналитики'!N4468:N4479,CapacityYear2)*'19_Расчет_аналитики'!$F$4259*'06_Сеть_и_дети'!N5,0)</f>
        <v/>
      </c>
      <c r="O4425">
        <f>IF('01_Вводные'!$B$234="Да",SUMPRODUCT('19_Расчет_аналитики'!O4468:O4479,CapacityYear2)*'19_Расчет_аналитики'!$F$4259*'06_Сеть_и_дети'!O5,0)</f>
        <v/>
      </c>
      <c r="P4425">
        <f>IF('01_Вводные'!$B$234="Да",SUMPRODUCT('19_Расчет_аналитики'!P4468:P4479,CapacityYear2)*'19_Расчет_аналитики'!$F$4259*'06_Сеть_и_дети'!P5,0)</f>
        <v/>
      </c>
      <c r="Q4425">
        <f>IF('01_Вводные'!$B$234="Да",SUMPRODUCT('19_Расчет_аналитики'!Q4468:Q4479,CapacityYear2)*'19_Расчет_аналитики'!$F$4259*'06_Сеть_и_дети'!Q5,0)</f>
        <v/>
      </c>
      <c r="R4425">
        <f>IF('01_Вводные'!$B$234="Да",SUMPRODUCT('19_Расчет_аналитики'!R4468:R4479,CapacityYear2)*'19_Расчет_аналитики'!$F$4259*'06_Сеть_и_дети'!R5,0)</f>
        <v/>
      </c>
      <c r="S4425">
        <f>IF('01_Вводные'!$B$234="Да",SUMPRODUCT('19_Расчет_аналитики'!S4468:S4479,CapacityYear2)*'19_Расчет_аналитики'!$F$4259*'06_Сеть_и_дети'!S5,0)</f>
        <v/>
      </c>
      <c r="T4425">
        <f>IF('01_Вводные'!$B$234="Да",SUMPRODUCT('19_Расчет_аналитики'!T4468:T4479,CapacityYear2)*'19_Расчет_аналитики'!$F$4259*'06_Сеть_и_дети'!T5,0)</f>
        <v/>
      </c>
      <c r="U4425">
        <f>IF('01_Вводные'!$B$234="Да",SUMPRODUCT('19_Расчет_аналитики'!U4468:U4479,CapacityYear2)*'19_Расчет_аналитики'!$F$4259*'06_Сеть_и_дети'!U5,0)</f>
        <v/>
      </c>
      <c r="V4425">
        <f>IF('01_Вводные'!$B$234="Да",SUMPRODUCT('19_Расчет_аналитики'!V4468:V4479,CapacityYear2)*'19_Расчет_аналитики'!$F$4259*'06_Сеть_и_дети'!V5,0)</f>
        <v/>
      </c>
      <c r="W4425">
        <f>IF('01_Вводные'!$B$234="Да",SUMPRODUCT('19_Расчет_аналитики'!W4468:W4479,CapacityYear2)*'19_Расчет_аналитики'!$F$4259*'06_Сеть_и_дети'!W5,0)</f>
        <v/>
      </c>
      <c r="X4425">
        <f>IF('01_Вводные'!$B$234="Да",SUMPRODUCT('19_Расчет_аналитики'!X4468:X4479,CapacityYear2)*'19_Расчет_аналитики'!$F$4259*'06_Сеть_и_дети'!X5,0)</f>
        <v/>
      </c>
      <c r="Y4425">
        <f>IF('01_Вводные'!$B$234="Да",SUMPRODUCT('19_Расчет_аналитики'!Y4468:Y4479,CapacityYear2)*'19_Расчет_аналитики'!$F$4259*'06_Сеть_и_дети'!Y5,0)</f>
        <v/>
      </c>
      <c r="Z4425">
        <f>IF('01_Вводные'!$B$234="Да",SUMPRODUCT('19_Расчет_аналитики'!Z4468:Z4479,CapacityYear2)*'19_Расчет_аналитики'!$F$4259*'06_Сеть_и_дети'!Z5,0)</f>
        <v/>
      </c>
      <c r="AA4425">
        <f>IF('01_Вводные'!$B$234="Да",SUMPRODUCT('19_Расчет_аналитики'!AA4468:AA4479,CapacityYear2)*'19_Расчет_аналитики'!$F$4259*'06_Сеть_и_дети'!AA5,0)</f>
        <v/>
      </c>
      <c r="AB4425">
        <f>IF('01_Вводные'!$B$234="Да",SUMPRODUCT('19_Расчет_аналитики'!AB4468:AB4479,CapacityYear2)*'19_Расчет_аналитики'!$F$4259*'06_Сеть_и_дети'!AB5,0)</f>
        <v/>
      </c>
      <c r="AC4425">
        <f>IF('01_Вводные'!$B$234="Да",SUMPRODUCT('19_Расчет_аналитики'!AC4468:AC4479,CapacityYear2)*'19_Расчет_аналитики'!$F$4259*'06_Сеть_и_дети'!AC5,0)</f>
        <v/>
      </c>
      <c r="AD4425">
        <f>IF('01_Вводные'!$B$234="Да",SUMPRODUCT('19_Расчет_аналитики'!AD4468:AD4479,CapacityYear2)*'19_Расчет_аналитики'!$F$4259*'06_Сеть_и_дети'!AD5,0)</f>
        <v/>
      </c>
      <c r="AE4425">
        <f>IF('01_Вводные'!$B$234="Да",SUMPRODUCT('19_Расчет_аналитики'!AE4468:AE4479,CapacityYear2)*'19_Расчет_аналитики'!$F$4259*'06_Сеть_и_дети'!AE5,0)</f>
        <v/>
      </c>
      <c r="AF4425">
        <f>IF('01_Вводные'!$B$234="Да",SUMPRODUCT('19_Расчет_аналитики'!AF4468:AF4479,CapacityYear2)*'19_Расчет_аналитики'!$F$4259*'06_Сеть_и_дети'!AF5,0)</f>
        <v/>
      </c>
      <c r="AG4425">
        <f>IF('01_Вводные'!$B$234="Да",SUMPRODUCT('19_Расчет_аналитики'!AG4468:AG4479,CapacityYear2)*'19_Расчет_аналитики'!$F$4259*'06_Сеть_и_дети'!AG5,0)</f>
        <v/>
      </c>
      <c r="AH4425">
        <f>IF('01_Вводные'!$B$234="Да",SUMPRODUCT('19_Расчет_аналитики'!AH4468:AH4479,CapacityYear2)*'19_Расчет_аналитики'!$F$4259*'06_Сеть_и_дети'!AH5,0)</f>
        <v/>
      </c>
      <c r="AI4425">
        <f>IF('01_Вводные'!$B$234="Да",SUMPRODUCT('19_Расчет_аналитики'!AI4468:AI4479,CapacityYear2)*'19_Расчет_аналитики'!$F$4259*'06_Сеть_и_дети'!AI5,0)</f>
        <v/>
      </c>
      <c r="AJ4425">
        <f>IF('01_Вводные'!$B$234="Да",SUMPRODUCT('19_Расчет_аналитики'!AJ4468:AJ4479,CapacityYear2)*'19_Расчет_аналитики'!$F$4259*'06_Сеть_и_дети'!AJ5,0)</f>
        <v/>
      </c>
      <c r="AK4425">
        <f>IF('01_Вводные'!$B$234="Да",SUMPRODUCT('19_Расчет_аналитики'!AK4468:AK4479,CapacityYear2)*'19_Расчет_аналитики'!$F$4259*'06_Сеть_и_дети'!AK5,0)</f>
        <v/>
      </c>
      <c r="AL4425">
        <f>IF('01_Вводные'!$B$234="Да",SUMPRODUCT('19_Расчет_аналитики'!AL4468:AL4479,CapacityYear2)*'19_Расчет_аналитики'!$F$4259*'06_Сеть_и_дети'!AL5,0)</f>
        <v/>
      </c>
      <c r="AM4425">
        <f>IF('01_Вводные'!$B$234="Да",SUMPRODUCT('19_Расчет_аналитики'!AM4468:AM4479,CapacityYear2)*'19_Расчет_аналитики'!$F$4259*'06_Сеть_и_дети'!AM5,0)</f>
        <v/>
      </c>
      <c r="AN4425">
        <f>IF('01_Вводные'!$B$234="Да",SUMPRODUCT('19_Расчет_аналитики'!AN4468:AN4479,CapacityYear2)*'19_Расчет_аналитики'!$F$4259*'06_Сеть_и_дети'!AN5,0)</f>
        <v/>
      </c>
      <c r="AO4425">
        <f>IF('01_Вводные'!$B$234="Да",SUMPRODUCT('19_Расчет_аналитики'!AO4468:AO4479,CapacityYear2)*'19_Расчет_аналитики'!$F$4259*'06_Сеть_и_дети'!AO5,0)</f>
        <v/>
      </c>
      <c r="AP4425">
        <f>IF('01_Вводные'!$B$234="Да",SUMPRODUCT('19_Расчет_аналитики'!AP4468:AP4479,CapacityYear2)*'19_Расчет_аналитики'!$F$4259*'06_Сеть_и_дети'!AP5,0)</f>
        <v/>
      </c>
      <c r="AQ4425">
        <f>IF('01_Вводные'!$B$234="Да",SUMPRODUCT('19_Расчет_аналитики'!AQ4468:AQ4479,CapacityYear2)*'19_Расчет_аналитики'!$F$4259*'06_Сеть_и_дети'!AQ5,0)</f>
        <v/>
      </c>
      <c r="AR4425">
        <f>IF('01_Вводные'!$B$234="Да",SUMPRODUCT('19_Расчет_аналитики'!AR4468:AR4479,CapacityYear2)*'19_Расчет_аналитики'!$F$4259*'06_Сеть_и_дети'!AR5,0)</f>
        <v/>
      </c>
      <c r="AS4425">
        <f>IF('01_Вводные'!$B$234="Да",SUMPRODUCT('19_Расчет_аналитики'!AS4468:AS4479,CapacityYear2)*'19_Расчет_аналитики'!$F$4259*'06_Сеть_и_дети'!AS5,0)</f>
        <v/>
      </c>
      <c r="AT4425">
        <f>IF('01_Вводные'!$B$234="Да",SUMPRODUCT('19_Расчет_аналитики'!AT4468:AT4479,CapacityYear2)*'19_Расчет_аналитики'!$F$4259*'06_Сеть_и_дети'!AT5,0)</f>
        <v/>
      </c>
      <c r="AU4425">
        <f>IF('01_Вводные'!$B$234="Да",SUMPRODUCT('19_Расчет_аналитики'!AU4468:AU4479,CapacityYear2)*'19_Расчет_аналитики'!$F$4259*'06_Сеть_и_дети'!AU5,0)</f>
        <v/>
      </c>
      <c r="AV4425">
        <f>IF('01_Вводные'!$B$234="Да",SUMPRODUCT('19_Расчет_аналитики'!AV4468:AV4479,CapacityYear2)*'19_Расчет_аналитики'!$F$4259*'06_Сеть_и_дети'!AV5,0)</f>
        <v/>
      </c>
      <c r="AW4425">
        <f>IF('01_Вводные'!$B$234="Да",SUMPRODUCT('19_Расчет_аналитики'!AW4468:AW4479,CapacityYear2)*'19_Расчет_аналитики'!$F$4259*'06_Сеть_и_дети'!AW5,0)</f>
        <v/>
      </c>
      <c r="AX4425">
        <f>IF('01_Вводные'!$B$234="Да",SUMPRODUCT('19_Расчет_аналитики'!AX4468:AX4479,CapacityYear2)*'19_Расчет_аналитики'!$F$4259*'06_Сеть_и_дети'!AX5,0)</f>
        <v/>
      </c>
      <c r="AY4425">
        <f>IF('01_Вводные'!$B$234="Да",SUMPRODUCT('19_Расчет_аналитики'!AY4468:AY4479,CapacityYear2)*'19_Расчет_аналитики'!$F$4259*'06_Сеть_и_дети'!AY5,0)</f>
        <v/>
      </c>
      <c r="AZ4425">
        <f>IF('01_Вводные'!$B$234="Да",SUMPRODUCT('19_Расчет_аналитики'!AZ4468:AZ4479,CapacityYear2)*'19_Расчет_аналитики'!$F$4259*'06_Сеть_и_дети'!AZ5,0)</f>
        <v/>
      </c>
      <c r="BA4425">
        <f>IF('01_Вводные'!$B$234="Да",SUMPRODUCT('19_Расчет_аналитики'!BA4468:BA4479,CapacityYear2)*'19_Расчет_аналитики'!$F$4259*'06_Сеть_и_дети'!BA5,0)</f>
        <v/>
      </c>
      <c r="BB4425">
        <f>IF('01_Вводные'!$B$234="Да",SUMPRODUCT('19_Расчет_аналитики'!BB4468:BB4479,CapacityYear2)*'19_Расчет_аналитики'!$F$4259*'06_Сеть_и_дети'!BB5,0)</f>
        <v/>
      </c>
      <c r="BC4425">
        <f>IF('01_Вводные'!$B$234="Да",SUMPRODUCT('19_Расчет_аналитики'!BC4468:BC4479,CapacityYear2)*'19_Расчет_аналитики'!$F$4259*'06_Сеть_и_дети'!BC5,0)</f>
        <v/>
      </c>
      <c r="BD4425">
        <f>IF('01_Вводные'!$B$234="Да",SUMPRODUCT('19_Расчет_аналитики'!BD4468:BD4479,CapacityYear2)*'19_Расчет_аналитики'!$F$4259*'06_Сеть_и_дети'!BD5,0)</f>
        <v/>
      </c>
      <c r="BE4425">
        <f>IF('01_Вводные'!$B$234="Да",SUMPRODUCT('19_Расчет_аналитики'!BE4468:BE4479,CapacityYear2)*'19_Расчет_аналитики'!$F$4259*'06_Сеть_и_дети'!BE5,0)</f>
        <v/>
      </c>
      <c r="BF4425">
        <f>IF('01_Вводные'!$B$234="Да",SUMPRODUCT('19_Расчет_аналитики'!BF4468:BF4479,CapacityYear2)*'19_Расчет_аналитики'!$F$4259*'06_Сеть_и_дети'!BF5,0)</f>
        <v/>
      </c>
      <c r="BG4425">
        <f>IF('01_Вводные'!$B$234="Да",SUMPRODUCT('19_Расчет_аналитики'!BG4468:BG4479,CapacityYear2)*'19_Расчет_аналитики'!$F$4259*'06_Сеть_и_дети'!BG5,0)</f>
        <v/>
      </c>
      <c r="BH4425">
        <f>IF('01_Вводные'!$B$234="Да",SUMPRODUCT('19_Расчет_аналитики'!BH4468:BH4479,CapacityYear2)*'19_Расчет_аналитики'!$F$4259*'06_Сеть_и_дети'!BH5,0)</f>
        <v/>
      </c>
      <c r="BI4425">
        <f>IF('01_Вводные'!$B$234="Да",SUMPRODUCT('19_Расчет_аналитики'!BI4468:BI4479,CapacityYear2)*'19_Расчет_аналитики'!$F$4259*'06_Сеть_и_дети'!BI5,0)</f>
        <v/>
      </c>
      <c r="BJ4425">
        <f>IF('01_Вводные'!$B$234="Да",SUMPRODUCT('19_Расчет_аналитики'!BJ4468:BJ4479,CapacityYear2)*'19_Расчет_аналитики'!$F$4259*'06_Сеть_и_дети'!BJ5,0)</f>
        <v/>
      </c>
      <c r="BK4425">
        <f>IF('01_Вводные'!$B$234="Да",SUMPRODUCT('19_Расчет_аналитики'!BK4468:BK4479,CapacityYear2)*'19_Расчет_аналитики'!$F$4259*'06_Сеть_и_дети'!BK5,0)</f>
        <v/>
      </c>
      <c r="BL4425">
        <f>IF('01_Вводные'!$B$234="Да",SUMPRODUCT('19_Расчет_аналитики'!BL4468:BL4479,CapacityYear2)*'19_Расчет_аналитики'!$F$4259*'06_Сеть_и_дети'!BL5,0)</f>
        <v/>
      </c>
      <c r="BM4425">
        <f>IF('01_Вводные'!$B$234="Да",SUMPRODUCT('19_Расчет_аналитики'!BM4468:BM4479,CapacityYear2)*'19_Расчет_аналитики'!$F$4259*'06_Сеть_и_дети'!BM5,0)</f>
        <v/>
      </c>
      <c r="BN4425">
        <f>IF('01_Вводные'!$B$234="Да",SUMPRODUCT('19_Расчет_аналитики'!BN4468:BN4479,CapacityYear2)*'19_Расчет_аналитики'!$F$4259*'06_Сеть_и_дети'!BN5,0)</f>
        <v/>
      </c>
      <c r="BO4425">
        <f>IF('01_Вводные'!$B$234="Да",SUMPRODUCT('19_Расчет_аналитики'!BO4468:BO4479,CapacityYear2)*'19_Расчет_аналитики'!$F$4259*'06_Сеть_и_дети'!BO5,0)</f>
        <v/>
      </c>
    </row>
    <row r="4426">
      <c r="B4426">
        <f>IF('01_Вводные'!$B$234="Да",'06_Сеть_и_дети'!B77*CapacityAge25*'19_Расчет_аналитики'!$F$4259*'06_Сеть_и_дети'!B5,0)</f>
        <v/>
      </c>
      <c r="C4426">
        <f>IF('01_Вводные'!$B$234="Да",'06_Сеть_и_дети'!C77*CapacityAge25*'19_Расчет_аналитики'!$F$4259*'06_Сеть_и_дети'!C5,0)</f>
        <v/>
      </c>
      <c r="D4426">
        <f>IF('01_Вводные'!$B$234="Да",'06_Сеть_и_дети'!D77*CapacityAge25*'19_Расчет_аналитики'!$F$4259*'06_Сеть_и_дети'!D5,0)</f>
        <v/>
      </c>
      <c r="E4426">
        <f>IF('01_Вводные'!$B$234="Да",'06_Сеть_и_дети'!E77*CapacityAge25*'19_Расчет_аналитики'!$F$4259*'06_Сеть_и_дети'!E5,0)</f>
        <v/>
      </c>
      <c r="F4426">
        <f>IF('01_Вводные'!$B$234="Да",'06_Сеть_и_дети'!F77*CapacityAge25*'19_Расчет_аналитики'!$F$4259*'06_Сеть_и_дети'!F5,0)</f>
        <v/>
      </c>
      <c r="G4426">
        <f>IF('01_Вводные'!$B$234="Да",'06_Сеть_и_дети'!G77*CapacityAge25*'19_Расчет_аналитики'!$F$4259*'06_Сеть_и_дети'!G5,0)</f>
        <v/>
      </c>
      <c r="H4426">
        <f>IF('01_Вводные'!$B$234="Да",'06_Сеть_и_дети'!H77*CapacityAge25*'19_Расчет_аналитики'!$F$4259*'06_Сеть_и_дети'!H5,0)</f>
        <v/>
      </c>
      <c r="I4426">
        <f>IF('01_Вводные'!$B$234="Да",'06_Сеть_и_дети'!I77*CapacityAge25*'19_Расчет_аналитики'!$F$4259*'06_Сеть_и_дети'!I5,0)</f>
        <v/>
      </c>
      <c r="J4426">
        <f>IF('01_Вводные'!$B$234="Да",'06_Сеть_и_дети'!J77*CapacityAge25*'19_Расчет_аналитики'!$F$4259*'06_Сеть_и_дети'!J5,0)</f>
        <v/>
      </c>
      <c r="K4426">
        <f>IF('01_Вводные'!$B$234="Да",'06_Сеть_и_дети'!K77*CapacityAge25*'19_Расчет_аналитики'!$F$4259*'06_Сеть_и_дети'!K5,0)</f>
        <v/>
      </c>
      <c r="L4426">
        <f>IF('01_Вводные'!$B$234="Да",'06_Сеть_и_дети'!L77*CapacityAge25*'19_Расчет_аналитики'!$F$4259*'06_Сеть_и_дети'!L5,0)</f>
        <v/>
      </c>
      <c r="M4426">
        <f>IF('01_Вводные'!$B$234="Да",'06_Сеть_и_дети'!M77*CapacityAge25*'19_Расчет_аналитики'!$F$4259*'06_Сеть_и_дети'!M5,0)</f>
        <v/>
      </c>
      <c r="N4426">
        <f>IF('01_Вводные'!$B$234="Да",'06_Сеть_и_дети'!N77*CapacityAge25*'19_Расчет_аналитики'!$F$4259*'06_Сеть_и_дети'!N5,0)</f>
        <v/>
      </c>
      <c r="O4426">
        <f>IF('01_Вводные'!$B$234="Да",'06_Сеть_и_дети'!O77*CapacityAge25*'19_Расчет_аналитики'!$F$4259*'06_Сеть_и_дети'!O5,0)</f>
        <v/>
      </c>
      <c r="P4426">
        <f>IF('01_Вводные'!$B$234="Да",'06_Сеть_и_дети'!P77*CapacityAge25*'19_Расчет_аналитики'!$F$4259*'06_Сеть_и_дети'!P5,0)</f>
        <v/>
      </c>
      <c r="Q4426">
        <f>IF('01_Вводные'!$B$234="Да",'06_Сеть_и_дети'!Q77*CapacityAge25*'19_Расчет_аналитики'!$F$4259*'06_Сеть_и_дети'!Q5,0)</f>
        <v/>
      </c>
      <c r="R4426">
        <f>IF('01_Вводные'!$B$234="Да",'06_Сеть_и_дети'!R77*CapacityAge25*'19_Расчет_аналитики'!$F$4259*'06_Сеть_и_дети'!R5,0)</f>
        <v/>
      </c>
      <c r="S4426">
        <f>IF('01_Вводные'!$B$234="Да",'06_Сеть_и_дети'!S77*CapacityAge25*'19_Расчет_аналитики'!$F$4259*'06_Сеть_и_дети'!S5,0)</f>
        <v/>
      </c>
      <c r="T4426">
        <f>IF('01_Вводные'!$B$234="Да",'06_Сеть_и_дети'!T77*CapacityAge25*'19_Расчет_аналитики'!$F$4259*'06_Сеть_и_дети'!T5,0)</f>
        <v/>
      </c>
      <c r="U4426">
        <f>IF('01_Вводные'!$B$234="Да",'06_Сеть_и_дети'!U77*CapacityAge25*'19_Расчет_аналитики'!$F$4259*'06_Сеть_и_дети'!U5,0)</f>
        <v/>
      </c>
      <c r="V4426">
        <f>IF('01_Вводные'!$B$234="Да",'06_Сеть_и_дети'!V77*CapacityAge25*'19_Расчет_аналитики'!$F$4259*'06_Сеть_и_дети'!V5,0)</f>
        <v/>
      </c>
      <c r="W4426">
        <f>IF('01_Вводные'!$B$234="Да",'06_Сеть_и_дети'!W77*CapacityAge25*'19_Расчет_аналитики'!$F$4259*'06_Сеть_и_дети'!W5,0)</f>
        <v/>
      </c>
      <c r="X4426">
        <f>IF('01_Вводные'!$B$234="Да",'06_Сеть_и_дети'!X77*CapacityAge25*'19_Расчет_аналитики'!$F$4259*'06_Сеть_и_дети'!X5,0)</f>
        <v/>
      </c>
      <c r="Y4426">
        <f>IF('01_Вводные'!$B$234="Да",'06_Сеть_и_дети'!Y77*CapacityAge25*'19_Расчет_аналитики'!$F$4259*'06_Сеть_и_дети'!Y5,0)</f>
        <v/>
      </c>
      <c r="Z4426">
        <f>IF('01_Вводные'!$B$234="Да",'19_Расчет_аналитики'!Z4480*CapacityAge25*'19_Расчет_аналитики'!$F$4259*'06_Сеть_и_дети'!Z5,0)</f>
        <v/>
      </c>
      <c r="AA4426">
        <f>IF('01_Вводные'!$B$234="Да",'19_Расчет_аналитики'!AA4480*CapacityAge25*'19_Расчет_аналитики'!$F$4259*'06_Сеть_и_дети'!AA5,0)</f>
        <v/>
      </c>
      <c r="AB4426">
        <f>IF('01_Вводные'!$B$234="Да",'19_Расчет_аналитики'!AB4480*CapacityAge25*'19_Расчет_аналитики'!$F$4259*'06_Сеть_и_дети'!AB5,0)</f>
        <v/>
      </c>
      <c r="AC4426">
        <f>IF('01_Вводные'!$B$234="Да",'19_Расчет_аналитики'!AC4480*CapacityAge25*'19_Расчет_аналитики'!$F$4259*'06_Сеть_и_дети'!AC5,0)</f>
        <v/>
      </c>
      <c r="AD4426">
        <f>IF('01_Вводные'!$B$234="Да",'19_Расчет_аналитики'!AD4480*CapacityAge25*'19_Расчет_аналитики'!$F$4259*'06_Сеть_и_дети'!AD5,0)</f>
        <v/>
      </c>
      <c r="AE4426">
        <f>IF('01_Вводные'!$B$234="Да",'19_Расчет_аналитики'!AE4480*CapacityAge25*'19_Расчет_аналитики'!$F$4259*'06_Сеть_и_дети'!AE5,0)</f>
        <v/>
      </c>
      <c r="AF4426">
        <f>IF('01_Вводные'!$B$234="Да",'19_Расчет_аналитики'!AF4480*CapacityAge25*'19_Расчет_аналитики'!$F$4259*'06_Сеть_и_дети'!AF5,0)</f>
        <v/>
      </c>
      <c r="AG4426">
        <f>IF('01_Вводные'!$B$234="Да",'19_Расчет_аналитики'!AG4480*CapacityAge25*'19_Расчет_аналитики'!$F$4259*'06_Сеть_и_дети'!AG5,0)</f>
        <v/>
      </c>
      <c r="AH4426">
        <f>IF('01_Вводные'!$B$234="Да",'19_Расчет_аналитики'!AH4480*CapacityAge25*'19_Расчет_аналитики'!$F$4259*'06_Сеть_и_дети'!AH5,0)</f>
        <v/>
      </c>
      <c r="AI4426">
        <f>IF('01_Вводные'!$B$234="Да",'19_Расчет_аналитики'!AI4480*CapacityAge25*'19_Расчет_аналитики'!$F$4259*'06_Сеть_и_дети'!AI5,0)</f>
        <v/>
      </c>
      <c r="AJ4426">
        <f>IF('01_Вводные'!$B$234="Да",'19_Расчет_аналитики'!AJ4480*CapacityAge25*'19_Расчет_аналитики'!$F$4259*'06_Сеть_и_дети'!AJ5,0)</f>
        <v/>
      </c>
      <c r="AK4426">
        <f>IF('01_Вводные'!$B$234="Да",'19_Расчет_аналитики'!AK4480*CapacityAge25*'19_Расчет_аналитики'!$F$4259*'06_Сеть_и_дети'!AK5,0)</f>
        <v/>
      </c>
      <c r="AL4426">
        <f>IF('01_Вводные'!$B$234="Да",'19_Расчет_аналитики'!AL4480*CapacityAge25*'19_Расчет_аналитики'!$F$4259*'06_Сеть_и_дети'!AL5,0)</f>
        <v/>
      </c>
      <c r="AM4426">
        <f>IF('01_Вводные'!$B$234="Да",'19_Расчет_аналитики'!AM4480*CapacityAge25*'19_Расчет_аналитики'!$F$4259*'06_Сеть_и_дети'!AM5,0)</f>
        <v/>
      </c>
      <c r="AN4426">
        <f>IF('01_Вводные'!$B$234="Да",'19_Расчет_аналитики'!AN4480*CapacityAge25*'19_Расчет_аналитики'!$F$4259*'06_Сеть_и_дети'!AN5,0)</f>
        <v/>
      </c>
      <c r="AO4426">
        <f>IF('01_Вводные'!$B$234="Да",'19_Расчет_аналитики'!AO4480*CapacityAge25*'19_Расчет_аналитики'!$F$4259*'06_Сеть_и_дети'!AO5,0)</f>
        <v/>
      </c>
      <c r="AP4426">
        <f>IF('01_Вводные'!$B$234="Да",'19_Расчет_аналитики'!AP4480*CapacityAge25*'19_Расчет_аналитики'!$F$4259*'06_Сеть_и_дети'!AP5,0)</f>
        <v/>
      </c>
      <c r="AQ4426">
        <f>IF('01_Вводные'!$B$234="Да",'19_Расчет_аналитики'!AQ4480*CapacityAge25*'19_Расчет_аналитики'!$F$4259*'06_Сеть_и_дети'!AQ5,0)</f>
        <v/>
      </c>
      <c r="AR4426">
        <f>IF('01_Вводные'!$B$234="Да",'19_Расчет_аналитики'!AR4480*CapacityAge25*'19_Расчет_аналитики'!$F$4259*'06_Сеть_и_дети'!AR5,0)</f>
        <v/>
      </c>
      <c r="AS4426">
        <f>IF('01_Вводные'!$B$234="Да",'19_Расчет_аналитики'!AS4480*CapacityAge25*'19_Расчет_аналитики'!$F$4259*'06_Сеть_и_дети'!AS5,0)</f>
        <v/>
      </c>
      <c r="AT4426">
        <f>IF('01_Вводные'!$B$234="Да",'19_Расчет_аналитики'!AT4480*CapacityAge25*'19_Расчет_аналитики'!$F$4259*'06_Сеть_и_дети'!AT5,0)</f>
        <v/>
      </c>
      <c r="AU4426">
        <f>IF('01_Вводные'!$B$234="Да",'19_Расчет_аналитики'!AU4480*CapacityAge25*'19_Расчет_аналитики'!$F$4259*'06_Сеть_и_дети'!AU5,0)</f>
        <v/>
      </c>
      <c r="AV4426">
        <f>IF('01_Вводные'!$B$234="Да",'19_Расчет_аналитики'!AV4480*CapacityAge25*'19_Расчет_аналитики'!$F$4259*'06_Сеть_и_дети'!AV5,0)</f>
        <v/>
      </c>
      <c r="AW4426">
        <f>IF('01_Вводные'!$B$234="Да",'19_Расчет_аналитики'!AW4480*CapacityAge25*'19_Расчет_аналитики'!$F$4259*'06_Сеть_и_дети'!AW5,0)</f>
        <v/>
      </c>
      <c r="AX4426">
        <f>IF('01_Вводные'!$B$234="Да",'19_Расчет_аналитики'!AX4480*CapacityAge25*'19_Расчет_аналитики'!$F$4259*'06_Сеть_и_дети'!AX5,0)</f>
        <v/>
      </c>
      <c r="AY4426">
        <f>IF('01_Вводные'!$B$234="Да",'19_Расчет_аналитики'!AY4480*CapacityAge25*'19_Расчет_аналитики'!$F$4259*'06_Сеть_и_дети'!AY5,0)</f>
        <v/>
      </c>
      <c r="AZ4426">
        <f>IF('01_Вводные'!$B$234="Да",'19_Расчет_аналитики'!AZ4480*CapacityAge25*'19_Расчет_аналитики'!$F$4259*'06_Сеть_и_дети'!AZ5,0)</f>
        <v/>
      </c>
      <c r="BA4426">
        <f>IF('01_Вводные'!$B$234="Да",'19_Расчет_аналитики'!BA4480*CapacityAge25*'19_Расчет_аналитики'!$F$4259*'06_Сеть_и_дети'!BA5,0)</f>
        <v/>
      </c>
      <c r="BB4426">
        <f>IF('01_Вводные'!$B$234="Да",'19_Расчет_аналитики'!BB4480*CapacityAge25*'19_Расчет_аналитики'!$F$4259*'06_Сеть_и_дети'!BB5,0)</f>
        <v/>
      </c>
      <c r="BC4426">
        <f>IF('01_Вводные'!$B$234="Да",'19_Расчет_аналитики'!BC4480*CapacityAge25*'19_Расчет_аналитики'!$F$4259*'06_Сеть_и_дети'!BC5,0)</f>
        <v/>
      </c>
      <c r="BD4426">
        <f>IF('01_Вводные'!$B$234="Да",'19_Расчет_аналитики'!BD4480*CapacityAge25*'19_Расчет_аналитики'!$F$4259*'06_Сеть_и_дети'!BD5,0)</f>
        <v/>
      </c>
      <c r="BE4426">
        <f>IF('01_Вводные'!$B$234="Да",'19_Расчет_аналитики'!BE4480*CapacityAge25*'19_Расчет_аналитики'!$F$4259*'06_Сеть_и_дети'!BE5,0)</f>
        <v/>
      </c>
      <c r="BF4426">
        <f>IF('01_Вводные'!$B$234="Да",'19_Расчет_аналитики'!BF4480*CapacityAge25*'19_Расчет_аналитики'!$F$4259*'06_Сеть_и_дети'!BF5,0)</f>
        <v/>
      </c>
      <c r="BG4426">
        <f>IF('01_Вводные'!$B$234="Да",'19_Расчет_аналитики'!BG4480*CapacityAge25*'19_Расчет_аналитики'!$F$4259*'06_Сеть_и_дети'!BG5,0)</f>
        <v/>
      </c>
      <c r="BH4426">
        <f>IF('01_Вводные'!$B$234="Да",'19_Расчет_аналитики'!BH4480*CapacityAge25*'19_Расчет_аналитики'!$F$4259*'06_Сеть_и_дети'!BH5,0)</f>
        <v/>
      </c>
      <c r="BI4426">
        <f>IF('01_Вводные'!$B$234="Да",'19_Расчет_аналитики'!BI4480*CapacityAge25*'19_Расчет_аналитики'!$F$4259*'06_Сеть_и_дети'!BI5,0)</f>
        <v/>
      </c>
      <c r="BJ4426">
        <f>IF('01_Вводные'!$B$234="Да",'19_Расчет_аналитики'!BJ4480*CapacityAge25*'19_Расчет_аналитики'!$F$4259*'06_Сеть_и_дети'!BJ5,0)</f>
        <v/>
      </c>
      <c r="BK4426">
        <f>IF('01_Вводные'!$B$234="Да",'19_Расчет_аналитики'!BK4480*CapacityAge25*'19_Расчет_аналитики'!$F$4259*'06_Сеть_и_дети'!BK5,0)</f>
        <v/>
      </c>
      <c r="BL4426">
        <f>IF('01_Вводные'!$B$234="Да",'19_Расчет_аналитики'!BL4480*CapacityAge25*'19_Расчет_аналитики'!$F$4259*'06_Сеть_и_дети'!BL5,0)</f>
        <v/>
      </c>
      <c r="BM4426">
        <f>IF('01_Вводные'!$B$234="Да",'19_Расчет_аналитики'!BM4480*CapacityAge25*'19_Расчет_аналитики'!$F$4259*'06_Сеть_и_дети'!BM5,0)</f>
        <v/>
      </c>
      <c r="BN4426">
        <f>IF('01_Вводные'!$B$234="Да",'19_Расчет_аналитики'!BN4480*CapacityAge25*'19_Расчет_аналитики'!$F$4259*'06_Сеть_и_дети'!BN5,0)</f>
        <v/>
      </c>
      <c r="BO4426">
        <f>IF('01_Вводные'!$B$234="Да",'19_Расчет_аналитики'!BO4480*CapacityAge25*'19_Расчет_аналитики'!$F$4259*'06_Сеть_и_дети'!BO5,0)</f>
        <v/>
      </c>
    </row>
    <row r="4427">
      <c r="B4427">
        <f>IF('01_Вводные'!$B$234="Да",SUM('19_Расчет_аналитики'!B4424:B4426),0)</f>
        <v/>
      </c>
      <c r="C4427">
        <f>IF('01_Вводные'!$B$234="Да",SUM('19_Расчет_аналитики'!C4424:C4426),0)</f>
        <v/>
      </c>
      <c r="D4427">
        <f>IF('01_Вводные'!$B$234="Да",SUM('19_Расчет_аналитики'!D4424:D4426),0)</f>
        <v/>
      </c>
      <c r="E4427">
        <f>IF('01_Вводные'!$B$234="Да",SUM('19_Расчет_аналитики'!E4424:E4426),0)</f>
        <v/>
      </c>
      <c r="F4427">
        <f>IF('01_Вводные'!$B$234="Да",SUM('19_Расчет_аналитики'!F4424:F4426),0)</f>
        <v/>
      </c>
      <c r="G4427">
        <f>IF('01_Вводные'!$B$234="Да",SUM('19_Расчет_аналитики'!G4424:G4426),0)</f>
        <v/>
      </c>
      <c r="H4427">
        <f>IF('01_Вводные'!$B$234="Да",SUM('19_Расчет_аналитики'!H4424:H4426),0)</f>
        <v/>
      </c>
      <c r="I4427">
        <f>IF('01_Вводные'!$B$234="Да",SUM('19_Расчет_аналитики'!I4424:I4426),0)</f>
        <v/>
      </c>
      <c r="J4427">
        <f>IF('01_Вводные'!$B$234="Да",SUM('19_Расчет_аналитики'!J4424:J4426),0)</f>
        <v/>
      </c>
      <c r="K4427">
        <f>IF('01_Вводные'!$B$234="Да",SUM('19_Расчет_аналитики'!K4424:K4426),0)</f>
        <v/>
      </c>
      <c r="L4427">
        <f>IF('01_Вводные'!$B$234="Да",SUM('19_Расчет_аналитики'!L4424:L4426),0)</f>
        <v/>
      </c>
      <c r="M4427">
        <f>IF('01_Вводные'!$B$234="Да",SUM('19_Расчет_аналитики'!M4424:M4426),0)</f>
        <v/>
      </c>
      <c r="N4427">
        <f>IF('01_Вводные'!$B$234="Да",SUM('19_Расчет_аналитики'!N4424:N4426),0)</f>
        <v/>
      </c>
      <c r="O4427">
        <f>IF('01_Вводные'!$B$234="Да",SUM('19_Расчет_аналитики'!O4424:O4426),0)</f>
        <v/>
      </c>
      <c r="P4427">
        <f>IF('01_Вводные'!$B$234="Да",SUM('19_Расчет_аналитики'!P4424:P4426),0)</f>
        <v/>
      </c>
      <c r="Q4427">
        <f>IF('01_Вводные'!$B$234="Да",SUM('19_Расчет_аналитики'!Q4424:Q4426),0)</f>
        <v/>
      </c>
      <c r="R4427">
        <f>IF('01_Вводные'!$B$234="Да",SUM('19_Расчет_аналитики'!R4424:R4426),0)</f>
        <v/>
      </c>
      <c r="S4427">
        <f>IF('01_Вводные'!$B$234="Да",SUM('19_Расчет_аналитики'!S4424:S4426),0)</f>
        <v/>
      </c>
      <c r="T4427">
        <f>IF('01_Вводные'!$B$234="Да",SUM('19_Расчет_аналитики'!T4424:T4426),0)</f>
        <v/>
      </c>
      <c r="U4427">
        <f>IF('01_Вводные'!$B$234="Да",SUM('19_Расчет_аналитики'!U4424:U4426),0)</f>
        <v/>
      </c>
      <c r="V4427">
        <f>IF('01_Вводные'!$B$234="Да",SUM('19_Расчет_аналитики'!V4424:V4426),0)</f>
        <v/>
      </c>
      <c r="W4427">
        <f>IF('01_Вводные'!$B$234="Да",SUM('19_Расчет_аналитики'!W4424:W4426),0)</f>
        <v/>
      </c>
      <c r="X4427">
        <f>IF('01_Вводные'!$B$234="Да",SUM('19_Расчет_аналитики'!X4424:X4426),0)</f>
        <v/>
      </c>
      <c r="Y4427">
        <f>IF('01_Вводные'!$B$234="Да",SUM('19_Расчет_аналитики'!Y4424:Y4426),0)</f>
        <v/>
      </c>
      <c r="Z4427">
        <f>IF('01_Вводные'!$B$234="Да",SUM('19_Расчет_аналитики'!Z4424:Z4426),0)</f>
        <v/>
      </c>
      <c r="AA4427">
        <f>IF('01_Вводные'!$B$234="Да",SUM('19_Расчет_аналитики'!AA4424:AA4426),0)</f>
        <v/>
      </c>
      <c r="AB4427">
        <f>IF('01_Вводные'!$B$234="Да",SUM('19_Расчет_аналитики'!AB4424:AB4426),0)</f>
        <v/>
      </c>
      <c r="AC4427">
        <f>IF('01_Вводные'!$B$234="Да",SUM('19_Расчет_аналитики'!AC4424:AC4426),0)</f>
        <v/>
      </c>
      <c r="AD4427">
        <f>IF('01_Вводные'!$B$234="Да",SUM('19_Расчет_аналитики'!AD4424:AD4426),0)</f>
        <v/>
      </c>
      <c r="AE4427">
        <f>IF('01_Вводные'!$B$234="Да",SUM('19_Расчет_аналитики'!AE4424:AE4426),0)</f>
        <v/>
      </c>
      <c r="AF4427">
        <f>IF('01_Вводные'!$B$234="Да",SUM('19_Расчет_аналитики'!AF4424:AF4426),0)</f>
        <v/>
      </c>
      <c r="AG4427">
        <f>IF('01_Вводные'!$B$234="Да",SUM('19_Расчет_аналитики'!AG4424:AG4426),0)</f>
        <v/>
      </c>
      <c r="AH4427">
        <f>IF('01_Вводные'!$B$234="Да",SUM('19_Расчет_аналитики'!AH4424:AH4426),0)</f>
        <v/>
      </c>
      <c r="AI4427">
        <f>IF('01_Вводные'!$B$234="Да",SUM('19_Расчет_аналитики'!AI4424:AI4426),0)</f>
        <v/>
      </c>
      <c r="AJ4427">
        <f>IF('01_Вводные'!$B$234="Да",SUM('19_Расчет_аналитики'!AJ4424:AJ4426),0)</f>
        <v/>
      </c>
      <c r="AK4427">
        <f>IF('01_Вводные'!$B$234="Да",SUM('19_Расчет_аналитики'!AK4424:AK4426),0)</f>
        <v/>
      </c>
      <c r="AL4427">
        <f>IF('01_Вводные'!$B$234="Да",SUM('19_Расчет_аналитики'!AL4424:AL4426),0)</f>
        <v/>
      </c>
      <c r="AM4427">
        <f>IF('01_Вводные'!$B$234="Да",SUM('19_Расчет_аналитики'!AM4424:AM4426),0)</f>
        <v/>
      </c>
      <c r="AN4427">
        <f>IF('01_Вводные'!$B$234="Да",SUM('19_Расчет_аналитики'!AN4424:AN4426),0)</f>
        <v/>
      </c>
      <c r="AO4427">
        <f>IF('01_Вводные'!$B$234="Да",SUM('19_Расчет_аналитики'!AO4424:AO4426),0)</f>
        <v/>
      </c>
      <c r="AP4427">
        <f>IF('01_Вводные'!$B$234="Да",SUM('19_Расчет_аналитики'!AP4424:AP4426),0)</f>
        <v/>
      </c>
      <c r="AQ4427">
        <f>IF('01_Вводные'!$B$234="Да",SUM('19_Расчет_аналитики'!AQ4424:AQ4426),0)</f>
        <v/>
      </c>
      <c r="AR4427">
        <f>IF('01_Вводные'!$B$234="Да",SUM('19_Расчет_аналитики'!AR4424:AR4426),0)</f>
        <v/>
      </c>
      <c r="AS4427">
        <f>IF('01_Вводные'!$B$234="Да",SUM('19_Расчет_аналитики'!AS4424:AS4426),0)</f>
        <v/>
      </c>
      <c r="AT4427">
        <f>IF('01_Вводные'!$B$234="Да",SUM('19_Расчет_аналитики'!AT4424:AT4426),0)</f>
        <v/>
      </c>
      <c r="AU4427">
        <f>IF('01_Вводные'!$B$234="Да",SUM('19_Расчет_аналитики'!AU4424:AU4426),0)</f>
        <v/>
      </c>
      <c r="AV4427">
        <f>IF('01_Вводные'!$B$234="Да",SUM('19_Расчет_аналитики'!AV4424:AV4426),0)</f>
        <v/>
      </c>
      <c r="AW4427">
        <f>IF('01_Вводные'!$B$234="Да",SUM('19_Расчет_аналитики'!AW4424:AW4426),0)</f>
        <v/>
      </c>
      <c r="AX4427">
        <f>IF('01_Вводные'!$B$234="Да",SUM('19_Расчет_аналитики'!AX4424:AX4426),0)</f>
        <v/>
      </c>
      <c r="AY4427">
        <f>IF('01_Вводные'!$B$234="Да",SUM('19_Расчет_аналитики'!AY4424:AY4426),0)</f>
        <v/>
      </c>
      <c r="AZ4427">
        <f>IF('01_Вводные'!$B$234="Да",SUM('19_Расчет_аналитики'!AZ4424:AZ4426),0)</f>
        <v/>
      </c>
      <c r="BA4427">
        <f>IF('01_Вводные'!$B$234="Да",SUM('19_Расчет_аналитики'!BA4424:BA4426),0)</f>
        <v/>
      </c>
      <c r="BB4427">
        <f>IF('01_Вводные'!$B$234="Да",SUM('19_Расчет_аналитики'!BB4424:BB4426),0)</f>
        <v/>
      </c>
      <c r="BC4427">
        <f>IF('01_Вводные'!$B$234="Да",SUM('19_Расчет_аналитики'!BC4424:BC4426),0)</f>
        <v/>
      </c>
      <c r="BD4427">
        <f>IF('01_Вводные'!$B$234="Да",SUM('19_Расчет_аналитики'!BD4424:BD4426),0)</f>
        <v/>
      </c>
      <c r="BE4427">
        <f>IF('01_Вводные'!$B$234="Да",SUM('19_Расчет_аналитики'!BE4424:BE4426),0)</f>
        <v/>
      </c>
      <c r="BF4427">
        <f>IF('01_Вводные'!$B$234="Да",SUM('19_Расчет_аналитики'!BF4424:BF4426),0)</f>
        <v/>
      </c>
      <c r="BG4427">
        <f>IF('01_Вводные'!$B$234="Да",SUM('19_Расчет_аналитики'!BG4424:BG4426),0)</f>
        <v/>
      </c>
      <c r="BH4427">
        <f>IF('01_Вводные'!$B$234="Да",SUM('19_Расчет_аналитики'!BH4424:BH4426),0)</f>
        <v/>
      </c>
      <c r="BI4427">
        <f>IF('01_Вводные'!$B$234="Да",SUM('19_Расчет_аналитики'!BI4424:BI4426),0)</f>
        <v/>
      </c>
      <c r="BJ4427">
        <f>IF('01_Вводные'!$B$234="Да",SUM('19_Расчет_аналитики'!BJ4424:BJ4426),0)</f>
        <v/>
      </c>
      <c r="BK4427">
        <f>IF('01_Вводные'!$B$234="Да",SUM('19_Расчет_аналитики'!BK4424:BK4426),0)</f>
        <v/>
      </c>
      <c r="BL4427">
        <f>IF('01_Вводные'!$B$234="Да",SUM('19_Расчет_аналитики'!BL4424:BL4426),0)</f>
        <v/>
      </c>
      <c r="BM4427">
        <f>IF('01_Вводные'!$B$234="Да",SUM('19_Расчет_аналитики'!BM4424:BM4426),0)</f>
        <v/>
      </c>
      <c r="BN4427">
        <f>IF('01_Вводные'!$B$234="Да",SUM('19_Расчет_аналитики'!BN4424:BN4426),0)</f>
        <v/>
      </c>
      <c r="BO4427">
        <f>IF('01_Вводные'!$B$234="Да",SUM('19_Расчет_аналитики'!BO4424:BO4426),0)</f>
        <v/>
      </c>
    </row>
    <row r="4428">
      <c r="B4428">
        <f>IF('01_Вводные'!$B$234="Да",'06_Сеть_и_дети'!B20+'19_Расчет_аналитики'!B4427,0)</f>
        <v/>
      </c>
      <c r="C4428">
        <f>IF('01_Вводные'!$B$234="Да",'06_Сеть_и_дети'!C20+'19_Расчет_аналитики'!C4427,0)</f>
        <v/>
      </c>
      <c r="D4428">
        <f>IF('01_Вводные'!$B$234="Да",'06_Сеть_и_дети'!D20+'19_Расчет_аналитики'!D4427,0)</f>
        <v/>
      </c>
      <c r="E4428">
        <f>IF('01_Вводные'!$B$234="Да",'06_Сеть_и_дети'!E20+'19_Расчет_аналитики'!E4427,0)</f>
        <v/>
      </c>
      <c r="F4428">
        <f>IF('01_Вводные'!$B$234="Да",'06_Сеть_и_дети'!F20+'19_Расчет_аналитики'!F4427,0)</f>
        <v/>
      </c>
      <c r="G4428">
        <f>IF('01_Вводные'!$B$234="Да",'06_Сеть_и_дети'!G20+'19_Расчет_аналитики'!G4427,0)</f>
        <v/>
      </c>
      <c r="H4428">
        <f>IF('01_Вводные'!$B$234="Да",'06_Сеть_и_дети'!H20+'19_Расчет_аналитики'!H4427,0)</f>
        <v/>
      </c>
      <c r="I4428">
        <f>IF('01_Вводные'!$B$234="Да",'06_Сеть_и_дети'!I20+'19_Расчет_аналитики'!I4427,0)</f>
        <v/>
      </c>
      <c r="J4428">
        <f>IF('01_Вводные'!$B$234="Да",'06_Сеть_и_дети'!J20+'19_Расчет_аналитики'!J4427,0)</f>
        <v/>
      </c>
      <c r="K4428">
        <f>IF('01_Вводные'!$B$234="Да",'06_Сеть_и_дети'!K20+'19_Расчет_аналитики'!K4427,0)</f>
        <v/>
      </c>
      <c r="L4428">
        <f>IF('01_Вводные'!$B$234="Да",'06_Сеть_и_дети'!L20+'19_Расчет_аналитики'!L4427,0)</f>
        <v/>
      </c>
      <c r="M4428">
        <f>IF('01_Вводные'!$B$234="Да",'06_Сеть_и_дети'!M20+'19_Расчет_аналитики'!M4427,0)</f>
        <v/>
      </c>
      <c r="N4428">
        <f>IF('01_Вводные'!$B$234="Да",'06_Сеть_и_дети'!N20+'19_Расчет_аналитики'!N4427,0)</f>
        <v/>
      </c>
      <c r="O4428">
        <f>IF('01_Вводные'!$B$234="Да",'06_Сеть_и_дети'!O20+'19_Расчет_аналитики'!O4427,0)</f>
        <v/>
      </c>
      <c r="P4428">
        <f>IF('01_Вводные'!$B$234="Да",'06_Сеть_и_дети'!P20+'19_Расчет_аналитики'!P4427,0)</f>
        <v/>
      </c>
      <c r="Q4428">
        <f>IF('01_Вводные'!$B$234="Да",'06_Сеть_и_дети'!Q20+'19_Расчет_аналитики'!Q4427,0)</f>
        <v/>
      </c>
      <c r="R4428">
        <f>IF('01_Вводные'!$B$234="Да",'06_Сеть_и_дети'!R20+'19_Расчет_аналитики'!R4427,0)</f>
        <v/>
      </c>
      <c r="S4428">
        <f>IF('01_Вводные'!$B$234="Да",'06_Сеть_и_дети'!S20+'19_Расчет_аналитики'!S4427,0)</f>
        <v/>
      </c>
      <c r="T4428">
        <f>IF('01_Вводные'!$B$234="Да",'06_Сеть_и_дети'!T20+'19_Расчет_аналитики'!T4427,0)</f>
        <v/>
      </c>
      <c r="U4428">
        <f>IF('01_Вводные'!$B$234="Да",'06_Сеть_и_дети'!U20+'19_Расчет_аналитики'!U4427,0)</f>
        <v/>
      </c>
      <c r="V4428">
        <f>IF('01_Вводные'!$B$234="Да",'06_Сеть_и_дети'!V20+'19_Расчет_аналитики'!V4427,0)</f>
        <v/>
      </c>
      <c r="W4428">
        <f>IF('01_Вводные'!$B$234="Да",'06_Сеть_и_дети'!W20+'19_Расчет_аналитики'!W4427,0)</f>
        <v/>
      </c>
      <c r="X4428">
        <f>IF('01_Вводные'!$B$234="Да",'06_Сеть_и_дети'!X20+'19_Расчет_аналитики'!X4427,0)</f>
        <v/>
      </c>
      <c r="Y4428">
        <f>IF('01_Вводные'!$B$234="Да",'06_Сеть_и_дети'!Y20+'19_Расчет_аналитики'!Y4427,0)</f>
        <v/>
      </c>
      <c r="Z4428">
        <f>IF('01_Вводные'!$B$234="Да",'06_Сеть_и_дети'!Z20+'19_Расчет_аналитики'!Z4427,0)</f>
        <v/>
      </c>
      <c r="AA4428">
        <f>IF('01_Вводные'!$B$234="Да",'06_Сеть_и_дети'!AA20+'19_Расчет_аналитики'!AA4427,0)</f>
        <v/>
      </c>
      <c r="AB4428">
        <f>IF('01_Вводные'!$B$234="Да",'06_Сеть_и_дети'!AB20+'19_Расчет_аналитики'!AB4427,0)</f>
        <v/>
      </c>
      <c r="AC4428">
        <f>IF('01_Вводные'!$B$234="Да",'06_Сеть_и_дети'!AC20+'19_Расчет_аналитики'!AC4427,0)</f>
        <v/>
      </c>
      <c r="AD4428">
        <f>IF('01_Вводные'!$B$234="Да",'06_Сеть_и_дети'!AD20+'19_Расчет_аналитики'!AD4427,0)</f>
        <v/>
      </c>
      <c r="AE4428">
        <f>IF('01_Вводные'!$B$234="Да",'06_Сеть_и_дети'!AE20+'19_Расчет_аналитики'!AE4427,0)</f>
        <v/>
      </c>
      <c r="AF4428">
        <f>IF('01_Вводные'!$B$234="Да",'06_Сеть_и_дети'!AF20+'19_Расчет_аналитики'!AF4427,0)</f>
        <v/>
      </c>
      <c r="AG4428">
        <f>IF('01_Вводные'!$B$234="Да",'06_Сеть_и_дети'!AG20+'19_Расчет_аналитики'!AG4427,0)</f>
        <v/>
      </c>
      <c r="AH4428">
        <f>IF('01_Вводные'!$B$234="Да",'06_Сеть_и_дети'!AH20+'19_Расчет_аналитики'!AH4427,0)</f>
        <v/>
      </c>
      <c r="AI4428">
        <f>IF('01_Вводные'!$B$234="Да",'06_Сеть_и_дети'!AI20+'19_Расчет_аналитики'!AI4427,0)</f>
        <v/>
      </c>
      <c r="AJ4428">
        <f>IF('01_Вводные'!$B$234="Да",'06_Сеть_и_дети'!AJ20+'19_Расчет_аналитики'!AJ4427,0)</f>
        <v/>
      </c>
      <c r="AK4428">
        <f>IF('01_Вводные'!$B$234="Да",'06_Сеть_и_дети'!AK20+'19_Расчет_аналитики'!AK4427,0)</f>
        <v/>
      </c>
      <c r="AL4428">
        <f>IF('01_Вводные'!$B$234="Да",'06_Сеть_и_дети'!AL20+'19_Расчет_аналитики'!AL4427,0)</f>
        <v/>
      </c>
      <c r="AM4428">
        <f>IF('01_Вводные'!$B$234="Да",'06_Сеть_и_дети'!AM20+'19_Расчет_аналитики'!AM4427,0)</f>
        <v/>
      </c>
      <c r="AN4428">
        <f>IF('01_Вводные'!$B$234="Да",'06_Сеть_и_дети'!AN20+'19_Расчет_аналитики'!AN4427,0)</f>
        <v/>
      </c>
      <c r="AO4428">
        <f>IF('01_Вводные'!$B$234="Да",'06_Сеть_и_дети'!AO20+'19_Расчет_аналитики'!AO4427,0)</f>
        <v/>
      </c>
      <c r="AP4428">
        <f>IF('01_Вводные'!$B$234="Да",'06_Сеть_и_дети'!AP20+'19_Расчет_аналитики'!AP4427,0)</f>
        <v/>
      </c>
      <c r="AQ4428">
        <f>IF('01_Вводные'!$B$234="Да",'06_Сеть_и_дети'!AQ20+'19_Расчет_аналитики'!AQ4427,0)</f>
        <v/>
      </c>
      <c r="AR4428">
        <f>IF('01_Вводные'!$B$234="Да",'06_Сеть_и_дети'!AR20+'19_Расчет_аналитики'!AR4427,0)</f>
        <v/>
      </c>
      <c r="AS4428">
        <f>IF('01_Вводные'!$B$234="Да",'06_Сеть_и_дети'!AS20+'19_Расчет_аналитики'!AS4427,0)</f>
        <v/>
      </c>
      <c r="AT4428">
        <f>IF('01_Вводные'!$B$234="Да",'06_Сеть_и_дети'!AT20+'19_Расчет_аналитики'!AT4427,0)</f>
        <v/>
      </c>
      <c r="AU4428">
        <f>IF('01_Вводные'!$B$234="Да",'06_Сеть_и_дети'!AU20+'19_Расчет_аналитики'!AU4427,0)</f>
        <v/>
      </c>
      <c r="AV4428">
        <f>IF('01_Вводные'!$B$234="Да",'06_Сеть_и_дети'!AV20+'19_Расчет_аналитики'!AV4427,0)</f>
        <v/>
      </c>
      <c r="AW4428">
        <f>IF('01_Вводные'!$B$234="Да",'06_Сеть_и_дети'!AW20+'19_Расчет_аналитики'!AW4427,0)</f>
        <v/>
      </c>
      <c r="AX4428">
        <f>IF('01_Вводные'!$B$234="Да",'06_Сеть_и_дети'!AX20+'19_Расчет_аналитики'!AX4427,0)</f>
        <v/>
      </c>
      <c r="AY4428">
        <f>IF('01_Вводные'!$B$234="Да",'06_Сеть_и_дети'!AY20+'19_Расчет_аналитики'!AY4427,0)</f>
        <v/>
      </c>
      <c r="AZ4428">
        <f>IF('01_Вводные'!$B$234="Да",'06_Сеть_и_дети'!AZ20+'19_Расчет_аналитики'!AZ4427,0)</f>
        <v/>
      </c>
      <c r="BA4428">
        <f>IF('01_Вводные'!$B$234="Да",'06_Сеть_и_дети'!BA20+'19_Расчет_аналитики'!BA4427,0)</f>
        <v/>
      </c>
      <c r="BB4428">
        <f>IF('01_Вводные'!$B$234="Да",'06_Сеть_и_дети'!BB20+'19_Расчет_аналитики'!BB4427,0)</f>
        <v/>
      </c>
      <c r="BC4428">
        <f>IF('01_Вводные'!$B$234="Да",'06_Сеть_и_дети'!BC20+'19_Расчет_аналитики'!BC4427,0)</f>
        <v/>
      </c>
      <c r="BD4428">
        <f>IF('01_Вводные'!$B$234="Да",'06_Сеть_и_дети'!BD20+'19_Расчет_аналитики'!BD4427,0)</f>
        <v/>
      </c>
      <c r="BE4428">
        <f>IF('01_Вводные'!$B$234="Да",'06_Сеть_и_дети'!BE20+'19_Расчет_аналитики'!BE4427,0)</f>
        <v/>
      </c>
      <c r="BF4428">
        <f>IF('01_Вводные'!$B$234="Да",'06_Сеть_и_дети'!BF20+'19_Расчет_аналитики'!BF4427,0)</f>
        <v/>
      </c>
      <c r="BG4428">
        <f>IF('01_Вводные'!$B$234="Да",'06_Сеть_и_дети'!BG20+'19_Расчет_аналитики'!BG4427,0)</f>
        <v/>
      </c>
      <c r="BH4428">
        <f>IF('01_Вводные'!$B$234="Да",'06_Сеть_и_дети'!BH20+'19_Расчет_аналитики'!BH4427,0)</f>
        <v/>
      </c>
      <c r="BI4428">
        <f>IF('01_Вводные'!$B$234="Да",'06_Сеть_и_дети'!BI20+'19_Расчет_аналитики'!BI4427,0)</f>
        <v/>
      </c>
      <c r="BJ4428">
        <f>IF('01_Вводные'!$B$234="Да",'06_Сеть_и_дети'!BJ20+'19_Расчет_аналитики'!BJ4427,0)</f>
        <v/>
      </c>
      <c r="BK4428">
        <f>IF('01_Вводные'!$B$234="Да",'06_Сеть_и_дети'!BK20+'19_Расчет_аналитики'!BK4427,0)</f>
        <v/>
      </c>
      <c r="BL4428">
        <f>IF('01_Вводные'!$B$234="Да",'06_Сеть_и_дети'!BL20+'19_Расчет_аналитики'!BL4427,0)</f>
        <v/>
      </c>
      <c r="BM4428">
        <f>IF('01_Вводные'!$B$234="Да",'06_Сеть_и_дети'!BM20+'19_Расчет_аналитики'!BM4427,0)</f>
        <v/>
      </c>
      <c r="BN4428">
        <f>IF('01_Вводные'!$B$234="Да",'06_Сеть_и_дети'!BN20+'19_Расчет_аналитики'!BN4427,0)</f>
        <v/>
      </c>
      <c r="BO4428">
        <f>IF('01_Вводные'!$B$234="Да",'06_Сеть_и_дети'!BO20+'19_Расчет_аналитики'!BO4427,0)</f>
        <v/>
      </c>
    </row>
    <row r="4429"/>
    <row r="4430"/>
    <row r="4431">
      <c r="B4431">
        <f>IF('01_Вводные'!$B$234="Да",SUMPRODUCT(('01_Вводные'!$D$314:$D$318*'01_Вводные'!$B$314:$B$318*IF('01_Вводные'!$B$9=0,0,'06_Сеть_и_дети'!B11/'01_Вводные'!$B$9)+'06_Сеть_и_дети'!B20*'19_Расчет_аналитики'!B4854*'01_Вводные'!$C$314:$C$318*('01_Вводные'!$E$314:$E$318*('06_Сеть_и_дети'!B$3&lt;'01_Вводные'!$B$245)+'01_Вводные'!$B$57*('06_Сеть_и_дети'!B$3&gt;='01_Вводные'!$B$245))+ABS('01_Вводные'!$D$314:$D$318*'01_Вводные'!$B$314:$B$318*IF('01_Вводные'!$B$9=0,0,'06_Сеть_и_дети'!B11/'01_Вводные'!$B$9)-'06_Сеть_и_дети'!B20*'19_Расчет_аналитики'!B4854*'01_Вводные'!$C$314:$C$318*('01_Вводные'!$E$314:$E$318*('06_Сеть_и_дети'!B$3&lt;'01_Вводные'!$B$245)+'01_Вводные'!$B$57*('06_Сеть_и_дети'!B$3&gt;='01_Вводные'!$B$245))))/2),0)</f>
        <v/>
      </c>
      <c r="C4431">
        <f>IF('01_Вводные'!$B$234="Да",SUMPRODUCT(('01_Вводные'!$D$314:$D$318*'01_Вводные'!$B$314:$B$318*IF('01_Вводные'!$B$9=0,0,'06_Сеть_и_дети'!C11/'01_Вводные'!$B$9)+'06_Сеть_и_дети'!C20*'19_Расчет_аналитики'!C4854*'01_Вводные'!$C$314:$C$318*('01_Вводные'!$E$314:$E$318*('06_Сеть_и_дети'!C$3&lt;'01_Вводные'!$B$245)+'01_Вводные'!$B$57*('06_Сеть_и_дети'!C$3&gt;='01_Вводные'!$B$245))+ABS('01_Вводные'!$D$314:$D$318*'01_Вводные'!$B$314:$B$318*IF('01_Вводные'!$B$9=0,0,'06_Сеть_и_дети'!C11/'01_Вводные'!$B$9)-'06_Сеть_и_дети'!C20*'19_Расчет_аналитики'!C4854*'01_Вводные'!$C$314:$C$318*('01_Вводные'!$E$314:$E$318*('06_Сеть_и_дети'!C$3&lt;'01_Вводные'!$B$245)+'01_Вводные'!$B$57*('06_Сеть_и_дети'!C$3&gt;='01_Вводные'!$B$245))))/2),0)</f>
        <v/>
      </c>
      <c r="D4431">
        <f>IF('01_Вводные'!$B$234="Да",SUMPRODUCT(('01_Вводные'!$D$314:$D$318*'01_Вводные'!$B$314:$B$318*IF('01_Вводные'!$B$9=0,0,'06_Сеть_и_дети'!D11/'01_Вводные'!$B$9)+'06_Сеть_и_дети'!D20*'19_Расчет_аналитики'!D4854*'01_Вводные'!$C$314:$C$318*('01_Вводные'!$E$314:$E$318*('06_Сеть_и_дети'!D$3&lt;'01_Вводные'!$B$245)+'01_Вводные'!$B$57*('06_Сеть_и_дети'!D$3&gt;='01_Вводные'!$B$245))+ABS('01_Вводные'!$D$314:$D$318*'01_Вводные'!$B$314:$B$318*IF('01_Вводные'!$B$9=0,0,'06_Сеть_и_дети'!D11/'01_Вводные'!$B$9)-'06_Сеть_и_дети'!D20*'19_Расчет_аналитики'!D4854*'01_Вводные'!$C$314:$C$318*('01_Вводные'!$E$314:$E$318*('06_Сеть_и_дети'!D$3&lt;'01_Вводные'!$B$245)+'01_Вводные'!$B$57*('06_Сеть_и_дети'!D$3&gt;='01_Вводные'!$B$245))))/2),0)</f>
        <v/>
      </c>
      <c r="E4431">
        <f>IF('01_Вводные'!$B$234="Да",SUMPRODUCT(('01_Вводные'!$D$314:$D$318*'01_Вводные'!$B$314:$B$318*IF('01_Вводные'!$B$9=0,0,'06_Сеть_и_дети'!E11/'01_Вводные'!$B$9)+'06_Сеть_и_дети'!E20*'19_Расчет_аналитики'!E4854*'01_Вводные'!$C$314:$C$318*('01_Вводные'!$E$314:$E$318*('06_Сеть_и_дети'!E$3&lt;'01_Вводные'!$B$245)+'01_Вводные'!$B$57*('06_Сеть_и_дети'!E$3&gt;='01_Вводные'!$B$245))+ABS('01_Вводные'!$D$314:$D$318*'01_Вводные'!$B$314:$B$318*IF('01_Вводные'!$B$9=0,0,'06_Сеть_и_дети'!E11/'01_Вводные'!$B$9)-'06_Сеть_и_дети'!E20*'19_Расчет_аналитики'!E4854*'01_Вводные'!$C$314:$C$318*('01_Вводные'!$E$314:$E$318*('06_Сеть_и_дети'!E$3&lt;'01_Вводные'!$B$245)+'01_Вводные'!$B$57*('06_Сеть_и_дети'!E$3&gt;='01_Вводные'!$B$245))))/2),0)</f>
        <v/>
      </c>
      <c r="F4431">
        <f>IF('01_Вводные'!$B$234="Да",SUMPRODUCT(('01_Вводные'!$D$314:$D$318*'01_Вводные'!$B$314:$B$318*IF('01_Вводные'!$B$9=0,0,'06_Сеть_и_дети'!F11/'01_Вводные'!$B$9)+'06_Сеть_и_дети'!F20*'19_Расчет_аналитики'!F4854*'01_Вводные'!$C$314:$C$318*('01_Вводные'!$E$314:$E$318*('06_Сеть_и_дети'!F$3&lt;'01_Вводные'!$B$245)+'01_Вводные'!$B$57*('06_Сеть_и_дети'!F$3&gt;='01_Вводные'!$B$245))+ABS('01_Вводные'!$D$314:$D$318*'01_Вводные'!$B$314:$B$318*IF('01_Вводные'!$B$9=0,0,'06_Сеть_и_дети'!F11/'01_Вводные'!$B$9)-'06_Сеть_и_дети'!F20*'19_Расчет_аналитики'!F4854*'01_Вводные'!$C$314:$C$318*('01_Вводные'!$E$314:$E$318*('06_Сеть_и_дети'!F$3&lt;'01_Вводные'!$B$245)+'01_Вводные'!$B$57*('06_Сеть_и_дети'!F$3&gt;='01_Вводные'!$B$245))))/2),0)</f>
        <v/>
      </c>
      <c r="G4431">
        <f>IF('01_Вводные'!$B$234="Да",SUMPRODUCT(('01_Вводные'!$D$314:$D$318*'01_Вводные'!$B$314:$B$318*IF('01_Вводные'!$B$9=0,0,'06_Сеть_и_дети'!G11/'01_Вводные'!$B$9)+'06_Сеть_и_дети'!G20*'19_Расчет_аналитики'!G4854*'01_Вводные'!$C$314:$C$318*('01_Вводные'!$E$314:$E$318*('06_Сеть_и_дети'!G$3&lt;'01_Вводные'!$B$245)+'01_Вводные'!$B$57*('06_Сеть_и_дети'!G$3&gt;='01_Вводные'!$B$245))+ABS('01_Вводные'!$D$314:$D$318*'01_Вводные'!$B$314:$B$318*IF('01_Вводные'!$B$9=0,0,'06_Сеть_и_дети'!G11/'01_Вводные'!$B$9)-'06_Сеть_и_дети'!G20*'19_Расчет_аналитики'!G4854*'01_Вводные'!$C$314:$C$318*('01_Вводные'!$E$314:$E$318*('06_Сеть_и_дети'!G$3&lt;'01_Вводные'!$B$245)+'01_Вводные'!$B$57*('06_Сеть_и_дети'!G$3&gt;='01_Вводные'!$B$245))))/2),0)</f>
        <v/>
      </c>
      <c r="H4431">
        <f>IF('01_Вводные'!$B$234="Да",SUMPRODUCT(('01_Вводные'!$D$314:$D$318*'01_Вводные'!$B$314:$B$318*IF('01_Вводные'!$B$9=0,0,'06_Сеть_и_дети'!H11/'01_Вводные'!$B$9)+'06_Сеть_и_дети'!H20*'19_Расчет_аналитики'!H4854*'01_Вводные'!$C$314:$C$318*('01_Вводные'!$E$314:$E$318*('06_Сеть_и_дети'!H$3&lt;'01_Вводные'!$B$245)+'01_Вводные'!$B$57*('06_Сеть_и_дети'!H$3&gt;='01_Вводные'!$B$245))+ABS('01_Вводные'!$D$314:$D$318*'01_Вводные'!$B$314:$B$318*IF('01_Вводные'!$B$9=0,0,'06_Сеть_и_дети'!H11/'01_Вводные'!$B$9)-'06_Сеть_и_дети'!H20*'19_Расчет_аналитики'!H4854*'01_Вводные'!$C$314:$C$318*('01_Вводные'!$E$314:$E$318*('06_Сеть_и_дети'!H$3&lt;'01_Вводные'!$B$245)+'01_Вводные'!$B$57*('06_Сеть_и_дети'!H$3&gt;='01_Вводные'!$B$245))))/2),0)</f>
        <v/>
      </c>
      <c r="I4431">
        <f>IF('01_Вводные'!$B$234="Да",SUMPRODUCT(('01_Вводные'!$D$314:$D$318*'01_Вводные'!$B$314:$B$318*IF('01_Вводные'!$B$9=0,0,'06_Сеть_и_дети'!I11/'01_Вводные'!$B$9)+'06_Сеть_и_дети'!I20*'19_Расчет_аналитики'!I4854*'01_Вводные'!$C$314:$C$318*('01_Вводные'!$E$314:$E$318*('06_Сеть_и_дети'!I$3&lt;'01_Вводные'!$B$245)+'01_Вводные'!$B$57*('06_Сеть_и_дети'!I$3&gt;='01_Вводные'!$B$245))+ABS('01_Вводные'!$D$314:$D$318*'01_Вводные'!$B$314:$B$318*IF('01_Вводные'!$B$9=0,0,'06_Сеть_и_дети'!I11/'01_Вводные'!$B$9)-'06_Сеть_и_дети'!I20*'19_Расчет_аналитики'!I4854*'01_Вводные'!$C$314:$C$318*('01_Вводные'!$E$314:$E$318*('06_Сеть_и_дети'!I$3&lt;'01_Вводные'!$B$245)+'01_Вводные'!$B$57*('06_Сеть_и_дети'!I$3&gt;='01_Вводные'!$B$245))))/2),0)</f>
        <v/>
      </c>
      <c r="J4431">
        <f>IF('01_Вводные'!$B$234="Да",SUMPRODUCT(('01_Вводные'!$D$314:$D$318*'01_Вводные'!$B$314:$B$318*IF('01_Вводные'!$B$9=0,0,'06_Сеть_и_дети'!J11/'01_Вводные'!$B$9)+'06_Сеть_и_дети'!J20*'19_Расчет_аналитики'!J4854*'01_Вводные'!$C$314:$C$318*('01_Вводные'!$E$314:$E$318*('06_Сеть_и_дети'!J$3&lt;'01_Вводные'!$B$245)+'01_Вводные'!$B$57*('06_Сеть_и_дети'!J$3&gt;='01_Вводные'!$B$245))+ABS('01_Вводные'!$D$314:$D$318*'01_Вводные'!$B$314:$B$318*IF('01_Вводные'!$B$9=0,0,'06_Сеть_и_дети'!J11/'01_Вводные'!$B$9)-'06_Сеть_и_дети'!J20*'19_Расчет_аналитики'!J4854*'01_Вводные'!$C$314:$C$318*('01_Вводные'!$E$314:$E$318*('06_Сеть_и_дети'!J$3&lt;'01_Вводные'!$B$245)+'01_Вводные'!$B$57*('06_Сеть_и_дети'!J$3&gt;='01_Вводные'!$B$245))))/2),0)</f>
        <v/>
      </c>
      <c r="K4431">
        <f>IF('01_Вводные'!$B$234="Да",SUMPRODUCT(('01_Вводные'!$D$314:$D$318*'01_Вводные'!$B$314:$B$318*IF('01_Вводные'!$B$9=0,0,'06_Сеть_и_дети'!K11/'01_Вводные'!$B$9)+'06_Сеть_и_дети'!K20*'19_Расчет_аналитики'!K4854*'01_Вводные'!$C$314:$C$318*('01_Вводные'!$E$314:$E$318*('06_Сеть_и_дети'!K$3&lt;'01_Вводные'!$B$245)+'01_Вводные'!$B$57*('06_Сеть_и_дети'!K$3&gt;='01_Вводные'!$B$245))+ABS('01_Вводные'!$D$314:$D$318*'01_Вводные'!$B$314:$B$318*IF('01_Вводные'!$B$9=0,0,'06_Сеть_и_дети'!K11/'01_Вводные'!$B$9)-'06_Сеть_и_дети'!K20*'19_Расчет_аналитики'!K4854*'01_Вводные'!$C$314:$C$318*('01_Вводные'!$E$314:$E$318*('06_Сеть_и_дети'!K$3&lt;'01_Вводные'!$B$245)+'01_Вводные'!$B$57*('06_Сеть_и_дети'!K$3&gt;='01_Вводные'!$B$245))))/2),0)</f>
        <v/>
      </c>
      <c r="L4431">
        <f>IF('01_Вводные'!$B$234="Да",SUMPRODUCT(('01_Вводные'!$D$314:$D$318*'01_Вводные'!$B$314:$B$318*IF('01_Вводные'!$B$9=0,0,'06_Сеть_и_дети'!L11/'01_Вводные'!$B$9)+'06_Сеть_и_дети'!L20*'19_Расчет_аналитики'!L4854*'01_Вводные'!$C$314:$C$318*('01_Вводные'!$E$314:$E$318*('06_Сеть_и_дети'!L$3&lt;'01_Вводные'!$B$245)+'01_Вводные'!$B$57*('06_Сеть_и_дети'!L$3&gt;='01_Вводные'!$B$245))+ABS('01_Вводные'!$D$314:$D$318*'01_Вводные'!$B$314:$B$318*IF('01_Вводные'!$B$9=0,0,'06_Сеть_и_дети'!L11/'01_Вводные'!$B$9)-'06_Сеть_и_дети'!L20*'19_Расчет_аналитики'!L4854*'01_Вводные'!$C$314:$C$318*('01_Вводные'!$E$314:$E$318*('06_Сеть_и_дети'!L$3&lt;'01_Вводные'!$B$245)+'01_Вводные'!$B$57*('06_Сеть_и_дети'!L$3&gt;='01_Вводные'!$B$245))))/2),0)</f>
        <v/>
      </c>
      <c r="M4431">
        <f>IF('01_Вводные'!$B$234="Да",SUMPRODUCT(('01_Вводные'!$D$314:$D$318*'01_Вводные'!$B$314:$B$318*IF('01_Вводные'!$B$9=0,0,'06_Сеть_и_дети'!M11/'01_Вводные'!$B$9)+'06_Сеть_и_дети'!M20*'19_Расчет_аналитики'!M4854*'01_Вводные'!$C$314:$C$318*('01_Вводные'!$E$314:$E$318*('06_Сеть_и_дети'!M$3&lt;'01_Вводные'!$B$245)+'01_Вводные'!$B$57*('06_Сеть_и_дети'!M$3&gt;='01_Вводные'!$B$245))+ABS('01_Вводные'!$D$314:$D$318*'01_Вводные'!$B$314:$B$318*IF('01_Вводные'!$B$9=0,0,'06_Сеть_и_дети'!M11/'01_Вводные'!$B$9)-'06_Сеть_и_дети'!M20*'19_Расчет_аналитики'!M4854*'01_Вводные'!$C$314:$C$318*('01_Вводные'!$E$314:$E$318*('06_Сеть_и_дети'!M$3&lt;'01_Вводные'!$B$245)+'01_Вводные'!$B$57*('06_Сеть_и_дети'!M$3&gt;='01_Вводные'!$B$245))))/2),0)</f>
        <v/>
      </c>
      <c r="N4431">
        <f>IF('01_Вводные'!$B$234="Да",SUMPRODUCT(('01_Вводные'!$D$314:$D$318*'01_Вводные'!$B$314:$B$318*IF('01_Вводные'!$B$9=0,0,'06_Сеть_и_дети'!N11/'01_Вводные'!$B$9)+'06_Сеть_и_дети'!N20*'19_Расчет_аналитики'!N4854*'01_Вводные'!$C$314:$C$318*('01_Вводные'!$E$314:$E$318*('06_Сеть_и_дети'!N$3&lt;'01_Вводные'!$B$245)+'01_Вводные'!$B$57*('06_Сеть_и_дети'!N$3&gt;='01_Вводные'!$B$245))+ABS('01_Вводные'!$D$314:$D$318*'01_Вводные'!$B$314:$B$318*IF('01_Вводные'!$B$9=0,0,'06_Сеть_и_дети'!N11/'01_Вводные'!$B$9)-'06_Сеть_и_дети'!N20*'19_Расчет_аналитики'!N4854*'01_Вводные'!$C$314:$C$318*('01_Вводные'!$E$314:$E$318*('06_Сеть_и_дети'!N$3&lt;'01_Вводные'!$B$245)+'01_Вводные'!$B$57*('06_Сеть_и_дети'!N$3&gt;='01_Вводные'!$B$245))))/2),0)</f>
        <v/>
      </c>
      <c r="O4431">
        <f>IF('01_Вводные'!$B$234="Да",SUMPRODUCT(('01_Вводные'!$D$314:$D$318*'01_Вводные'!$B$314:$B$318*IF('01_Вводные'!$B$9=0,0,'06_Сеть_и_дети'!O11/'01_Вводные'!$B$9)+'06_Сеть_и_дети'!O20*'19_Расчет_аналитики'!O4854*'01_Вводные'!$C$314:$C$318*('01_Вводные'!$E$314:$E$318*('06_Сеть_и_дети'!O$3&lt;'01_Вводные'!$B$245)+'01_Вводные'!$B$57*('06_Сеть_и_дети'!O$3&gt;='01_Вводные'!$B$245))+ABS('01_Вводные'!$D$314:$D$318*'01_Вводные'!$B$314:$B$318*IF('01_Вводные'!$B$9=0,0,'06_Сеть_и_дети'!O11/'01_Вводные'!$B$9)-'06_Сеть_и_дети'!O20*'19_Расчет_аналитики'!O4854*'01_Вводные'!$C$314:$C$318*('01_Вводные'!$E$314:$E$318*('06_Сеть_и_дети'!O$3&lt;'01_Вводные'!$B$245)+'01_Вводные'!$B$57*('06_Сеть_и_дети'!O$3&gt;='01_Вводные'!$B$245))))/2),0)</f>
        <v/>
      </c>
      <c r="P4431">
        <f>IF('01_Вводные'!$B$234="Да",SUMPRODUCT(('01_Вводные'!$D$314:$D$318*'01_Вводные'!$B$314:$B$318*IF('01_Вводные'!$B$9=0,0,'06_Сеть_и_дети'!P11/'01_Вводные'!$B$9)+'06_Сеть_и_дети'!P20*'19_Расчет_аналитики'!P4854*'01_Вводные'!$C$314:$C$318*('01_Вводные'!$E$314:$E$318*('06_Сеть_и_дети'!P$3&lt;'01_Вводные'!$B$245)+'01_Вводные'!$B$57*('06_Сеть_и_дети'!P$3&gt;='01_Вводные'!$B$245))+ABS('01_Вводные'!$D$314:$D$318*'01_Вводные'!$B$314:$B$318*IF('01_Вводные'!$B$9=0,0,'06_Сеть_и_дети'!P11/'01_Вводные'!$B$9)-'06_Сеть_и_дети'!P20*'19_Расчет_аналитики'!P4854*'01_Вводные'!$C$314:$C$318*('01_Вводные'!$E$314:$E$318*('06_Сеть_и_дети'!P$3&lt;'01_Вводные'!$B$245)+'01_Вводные'!$B$57*('06_Сеть_и_дети'!P$3&gt;='01_Вводные'!$B$245))))/2),0)</f>
        <v/>
      </c>
      <c r="Q4431">
        <f>IF('01_Вводные'!$B$234="Да",SUMPRODUCT(('01_Вводные'!$D$314:$D$318*'01_Вводные'!$B$314:$B$318*IF('01_Вводные'!$B$9=0,0,'06_Сеть_и_дети'!Q11/'01_Вводные'!$B$9)+'06_Сеть_и_дети'!Q20*'19_Расчет_аналитики'!Q4854*'01_Вводные'!$C$314:$C$318*('01_Вводные'!$E$314:$E$318*('06_Сеть_и_дети'!Q$3&lt;'01_Вводные'!$B$245)+'01_Вводные'!$B$57*('06_Сеть_и_дети'!Q$3&gt;='01_Вводные'!$B$245))+ABS('01_Вводные'!$D$314:$D$318*'01_Вводные'!$B$314:$B$318*IF('01_Вводные'!$B$9=0,0,'06_Сеть_и_дети'!Q11/'01_Вводные'!$B$9)-'06_Сеть_и_дети'!Q20*'19_Расчет_аналитики'!Q4854*'01_Вводные'!$C$314:$C$318*('01_Вводные'!$E$314:$E$318*('06_Сеть_и_дети'!Q$3&lt;'01_Вводные'!$B$245)+'01_Вводные'!$B$57*('06_Сеть_и_дети'!Q$3&gt;='01_Вводные'!$B$245))))/2),0)</f>
        <v/>
      </c>
      <c r="R4431">
        <f>IF('01_Вводные'!$B$234="Да",SUMPRODUCT(('01_Вводные'!$D$314:$D$318*'01_Вводные'!$B$314:$B$318*IF('01_Вводные'!$B$9=0,0,'06_Сеть_и_дети'!R11/'01_Вводные'!$B$9)+'06_Сеть_и_дети'!R20*'19_Расчет_аналитики'!R4854*'01_Вводные'!$C$314:$C$318*('01_Вводные'!$E$314:$E$318*('06_Сеть_и_дети'!R$3&lt;'01_Вводные'!$B$245)+'01_Вводные'!$B$57*('06_Сеть_и_дети'!R$3&gt;='01_Вводные'!$B$245))+ABS('01_Вводные'!$D$314:$D$318*'01_Вводные'!$B$314:$B$318*IF('01_Вводные'!$B$9=0,0,'06_Сеть_и_дети'!R11/'01_Вводные'!$B$9)-'06_Сеть_и_дети'!R20*'19_Расчет_аналитики'!R4854*'01_Вводные'!$C$314:$C$318*('01_Вводные'!$E$314:$E$318*('06_Сеть_и_дети'!R$3&lt;'01_Вводные'!$B$245)+'01_Вводные'!$B$57*('06_Сеть_и_дети'!R$3&gt;='01_Вводные'!$B$245))))/2),0)</f>
        <v/>
      </c>
      <c r="S4431">
        <f>IF('01_Вводные'!$B$234="Да",SUMPRODUCT(('01_Вводные'!$D$314:$D$318*'01_Вводные'!$B$314:$B$318*IF('01_Вводные'!$B$9=0,0,'06_Сеть_и_дети'!S11/'01_Вводные'!$B$9)+'06_Сеть_и_дети'!S20*'19_Расчет_аналитики'!S4854*'01_Вводные'!$C$314:$C$318*('01_Вводные'!$E$314:$E$318*('06_Сеть_и_дети'!S$3&lt;'01_Вводные'!$B$245)+'01_Вводные'!$B$57*('06_Сеть_и_дети'!S$3&gt;='01_Вводные'!$B$245))+ABS('01_Вводные'!$D$314:$D$318*'01_Вводные'!$B$314:$B$318*IF('01_Вводные'!$B$9=0,0,'06_Сеть_и_дети'!S11/'01_Вводные'!$B$9)-'06_Сеть_и_дети'!S20*'19_Расчет_аналитики'!S4854*'01_Вводные'!$C$314:$C$318*('01_Вводные'!$E$314:$E$318*('06_Сеть_и_дети'!S$3&lt;'01_Вводные'!$B$245)+'01_Вводные'!$B$57*('06_Сеть_и_дети'!S$3&gt;='01_Вводные'!$B$245))))/2),0)</f>
        <v/>
      </c>
      <c r="T4431">
        <f>IF('01_Вводные'!$B$234="Да",SUMPRODUCT(('01_Вводные'!$D$314:$D$318*'01_Вводные'!$B$314:$B$318*IF('01_Вводные'!$B$9=0,0,'06_Сеть_и_дети'!T11/'01_Вводные'!$B$9)+'06_Сеть_и_дети'!T20*'19_Расчет_аналитики'!T4854*'01_Вводные'!$C$314:$C$318*('01_Вводные'!$E$314:$E$318*('06_Сеть_и_дети'!T$3&lt;'01_Вводные'!$B$245)+'01_Вводные'!$B$57*('06_Сеть_и_дети'!T$3&gt;='01_Вводные'!$B$245))+ABS('01_Вводные'!$D$314:$D$318*'01_Вводные'!$B$314:$B$318*IF('01_Вводные'!$B$9=0,0,'06_Сеть_и_дети'!T11/'01_Вводные'!$B$9)-'06_Сеть_и_дети'!T20*'19_Расчет_аналитики'!T4854*'01_Вводные'!$C$314:$C$318*('01_Вводные'!$E$314:$E$318*('06_Сеть_и_дети'!T$3&lt;'01_Вводные'!$B$245)+'01_Вводные'!$B$57*('06_Сеть_и_дети'!T$3&gt;='01_Вводные'!$B$245))))/2),0)</f>
        <v/>
      </c>
      <c r="U4431">
        <f>IF('01_Вводные'!$B$234="Да",SUMPRODUCT(('01_Вводные'!$D$314:$D$318*'01_Вводные'!$B$314:$B$318*IF('01_Вводные'!$B$9=0,0,'06_Сеть_и_дети'!U11/'01_Вводные'!$B$9)+'06_Сеть_и_дети'!U20*'19_Расчет_аналитики'!U4854*'01_Вводные'!$C$314:$C$318*('01_Вводные'!$E$314:$E$318*('06_Сеть_и_дети'!U$3&lt;'01_Вводные'!$B$245)+'01_Вводные'!$B$57*('06_Сеть_и_дети'!U$3&gt;='01_Вводные'!$B$245))+ABS('01_Вводные'!$D$314:$D$318*'01_Вводные'!$B$314:$B$318*IF('01_Вводные'!$B$9=0,0,'06_Сеть_и_дети'!U11/'01_Вводные'!$B$9)-'06_Сеть_и_дети'!U20*'19_Расчет_аналитики'!U4854*'01_Вводные'!$C$314:$C$318*('01_Вводные'!$E$314:$E$318*('06_Сеть_и_дети'!U$3&lt;'01_Вводные'!$B$245)+'01_Вводные'!$B$57*('06_Сеть_и_дети'!U$3&gt;='01_Вводные'!$B$245))))/2),0)</f>
        <v/>
      </c>
      <c r="V4431">
        <f>IF('01_Вводные'!$B$234="Да",SUMPRODUCT(('01_Вводные'!$D$314:$D$318*'01_Вводные'!$B$314:$B$318*IF('01_Вводные'!$B$9=0,0,'06_Сеть_и_дети'!V11/'01_Вводные'!$B$9)+'06_Сеть_и_дети'!V20*'19_Расчет_аналитики'!V4854*'01_Вводные'!$C$314:$C$318*('01_Вводные'!$E$314:$E$318*('06_Сеть_и_дети'!V$3&lt;'01_Вводные'!$B$245)+'01_Вводные'!$B$57*('06_Сеть_и_дети'!V$3&gt;='01_Вводные'!$B$245))+ABS('01_Вводные'!$D$314:$D$318*'01_Вводные'!$B$314:$B$318*IF('01_Вводные'!$B$9=0,0,'06_Сеть_и_дети'!V11/'01_Вводные'!$B$9)-'06_Сеть_и_дети'!V20*'19_Расчет_аналитики'!V4854*'01_Вводные'!$C$314:$C$318*('01_Вводные'!$E$314:$E$318*('06_Сеть_и_дети'!V$3&lt;'01_Вводные'!$B$245)+'01_Вводные'!$B$57*('06_Сеть_и_дети'!V$3&gt;='01_Вводные'!$B$245))))/2),0)</f>
        <v/>
      </c>
      <c r="W4431">
        <f>IF('01_Вводные'!$B$234="Да",SUMPRODUCT(('01_Вводные'!$D$314:$D$318*'01_Вводные'!$B$314:$B$318*IF('01_Вводные'!$B$9=0,0,'06_Сеть_и_дети'!W11/'01_Вводные'!$B$9)+'06_Сеть_и_дети'!W20*'19_Расчет_аналитики'!W4854*'01_Вводные'!$C$314:$C$318*('01_Вводные'!$E$314:$E$318*('06_Сеть_и_дети'!W$3&lt;'01_Вводные'!$B$245)+'01_Вводные'!$B$57*('06_Сеть_и_дети'!W$3&gt;='01_Вводные'!$B$245))+ABS('01_Вводные'!$D$314:$D$318*'01_Вводные'!$B$314:$B$318*IF('01_Вводные'!$B$9=0,0,'06_Сеть_и_дети'!W11/'01_Вводные'!$B$9)-'06_Сеть_и_дети'!W20*'19_Расчет_аналитики'!W4854*'01_Вводные'!$C$314:$C$318*('01_Вводные'!$E$314:$E$318*('06_Сеть_и_дети'!W$3&lt;'01_Вводные'!$B$245)+'01_Вводные'!$B$57*('06_Сеть_и_дети'!W$3&gt;='01_Вводные'!$B$245))))/2),0)</f>
        <v/>
      </c>
      <c r="X4431">
        <f>IF('01_Вводные'!$B$234="Да",SUMPRODUCT(('01_Вводные'!$D$314:$D$318*'01_Вводные'!$B$314:$B$318*IF('01_Вводные'!$B$9=0,0,'06_Сеть_и_дети'!X11/'01_Вводные'!$B$9)+'06_Сеть_и_дети'!X20*'19_Расчет_аналитики'!X4854*'01_Вводные'!$C$314:$C$318*('01_Вводные'!$E$314:$E$318*('06_Сеть_и_дети'!X$3&lt;'01_Вводные'!$B$245)+'01_Вводные'!$B$57*('06_Сеть_и_дети'!X$3&gt;='01_Вводные'!$B$245))+ABS('01_Вводные'!$D$314:$D$318*'01_Вводные'!$B$314:$B$318*IF('01_Вводные'!$B$9=0,0,'06_Сеть_и_дети'!X11/'01_Вводные'!$B$9)-'06_Сеть_и_дети'!X20*'19_Расчет_аналитики'!X4854*'01_Вводные'!$C$314:$C$318*('01_Вводные'!$E$314:$E$318*('06_Сеть_и_дети'!X$3&lt;'01_Вводные'!$B$245)+'01_Вводные'!$B$57*('06_Сеть_и_дети'!X$3&gt;='01_Вводные'!$B$245))))/2),0)</f>
        <v/>
      </c>
      <c r="Y4431">
        <f>IF('01_Вводные'!$B$234="Да",SUMPRODUCT(('01_Вводные'!$D$314:$D$318*'01_Вводные'!$B$314:$B$318*IF('01_Вводные'!$B$9=0,0,'06_Сеть_и_дети'!Y11/'01_Вводные'!$B$9)+'06_Сеть_и_дети'!Y20*'19_Расчет_аналитики'!Y4854*'01_Вводные'!$C$314:$C$318*('01_Вводные'!$E$314:$E$318*('06_Сеть_и_дети'!Y$3&lt;'01_Вводные'!$B$245)+'01_Вводные'!$B$57*('06_Сеть_и_дети'!Y$3&gt;='01_Вводные'!$B$245))+ABS('01_Вводные'!$D$314:$D$318*'01_Вводные'!$B$314:$B$318*IF('01_Вводные'!$B$9=0,0,'06_Сеть_и_дети'!Y11/'01_Вводные'!$B$9)-'06_Сеть_и_дети'!Y20*'19_Расчет_аналитики'!Y4854*'01_Вводные'!$C$314:$C$318*('01_Вводные'!$E$314:$E$318*('06_Сеть_и_дети'!Y$3&lt;'01_Вводные'!$B$245)+'01_Вводные'!$B$57*('06_Сеть_и_дети'!Y$3&gt;='01_Вводные'!$B$245))))/2),0)</f>
        <v/>
      </c>
      <c r="Z4431">
        <f>IF('01_Вводные'!$B$234="Да",SUMPRODUCT(('01_Вводные'!$D$314:$D$318*'01_Вводные'!$B$314:$B$318*IF('01_Вводные'!$B$9=0,0,'06_Сеть_и_дети'!Z11/'01_Вводные'!$B$9)+'06_Сеть_и_дети'!Z20*'19_Расчет_аналитики'!Z4854*'01_Вводные'!$C$314:$C$318*('01_Вводные'!$E$314:$E$318*('06_Сеть_и_дети'!Z$3&lt;'01_Вводные'!$B$245)+'01_Вводные'!$B$57*('06_Сеть_и_дети'!Z$3&gt;='01_Вводные'!$B$245))+ABS('01_Вводные'!$D$314:$D$318*'01_Вводные'!$B$314:$B$318*IF('01_Вводные'!$B$9=0,0,'06_Сеть_и_дети'!Z11/'01_Вводные'!$B$9)-'06_Сеть_и_дети'!Z20*'19_Расчет_аналитики'!Z4854*'01_Вводные'!$C$314:$C$318*('01_Вводные'!$E$314:$E$318*('06_Сеть_и_дети'!Z$3&lt;'01_Вводные'!$B$245)+'01_Вводные'!$B$57*('06_Сеть_и_дети'!Z$3&gt;='01_Вводные'!$B$245))))/2),0)</f>
        <v/>
      </c>
      <c r="AA4431">
        <f>IF('01_Вводные'!$B$234="Да",SUMPRODUCT(('01_Вводные'!$D$314:$D$318*'01_Вводные'!$B$314:$B$318*IF('01_Вводные'!$B$9=0,0,'06_Сеть_и_дети'!AA11/'01_Вводные'!$B$9)+'06_Сеть_и_дети'!AA20*'19_Расчет_аналитики'!AA4854*'01_Вводные'!$C$314:$C$318*('01_Вводные'!$E$314:$E$318*('06_Сеть_и_дети'!AA$3&lt;'01_Вводные'!$B$245)+'01_Вводные'!$B$57*('06_Сеть_и_дети'!AA$3&gt;='01_Вводные'!$B$245))+ABS('01_Вводные'!$D$314:$D$318*'01_Вводные'!$B$314:$B$318*IF('01_Вводные'!$B$9=0,0,'06_Сеть_и_дети'!AA11/'01_Вводные'!$B$9)-'06_Сеть_и_дети'!AA20*'19_Расчет_аналитики'!AA4854*'01_Вводные'!$C$314:$C$318*('01_Вводные'!$E$314:$E$318*('06_Сеть_и_дети'!AA$3&lt;'01_Вводные'!$B$245)+'01_Вводные'!$B$57*('06_Сеть_и_дети'!AA$3&gt;='01_Вводные'!$B$245))))/2),0)</f>
        <v/>
      </c>
      <c r="AB4431">
        <f>IF('01_Вводные'!$B$234="Да",SUMPRODUCT(('01_Вводные'!$D$314:$D$318*'01_Вводные'!$B$314:$B$318*IF('01_Вводные'!$B$9=0,0,'06_Сеть_и_дети'!AB11/'01_Вводные'!$B$9)+'06_Сеть_и_дети'!AB20*'19_Расчет_аналитики'!AB4854*'01_Вводные'!$C$314:$C$318*('01_Вводные'!$E$314:$E$318*('06_Сеть_и_дети'!AB$3&lt;'01_Вводные'!$B$245)+'01_Вводные'!$B$57*('06_Сеть_и_дети'!AB$3&gt;='01_Вводные'!$B$245))+ABS('01_Вводные'!$D$314:$D$318*'01_Вводные'!$B$314:$B$318*IF('01_Вводные'!$B$9=0,0,'06_Сеть_и_дети'!AB11/'01_Вводные'!$B$9)-'06_Сеть_и_дети'!AB20*'19_Расчет_аналитики'!AB4854*'01_Вводные'!$C$314:$C$318*('01_Вводные'!$E$314:$E$318*('06_Сеть_и_дети'!AB$3&lt;'01_Вводные'!$B$245)+'01_Вводные'!$B$57*('06_Сеть_и_дети'!AB$3&gt;='01_Вводные'!$B$245))))/2),0)</f>
        <v/>
      </c>
      <c r="AC4431">
        <f>IF('01_Вводные'!$B$234="Да",SUMPRODUCT(('01_Вводные'!$D$314:$D$318*'01_Вводные'!$B$314:$B$318*IF('01_Вводные'!$B$9=0,0,'06_Сеть_и_дети'!AC11/'01_Вводные'!$B$9)+'06_Сеть_и_дети'!AC20*'19_Расчет_аналитики'!AC4854*'01_Вводные'!$C$314:$C$318*('01_Вводные'!$E$314:$E$318*('06_Сеть_и_дети'!AC$3&lt;'01_Вводные'!$B$245)+'01_Вводные'!$B$57*('06_Сеть_и_дети'!AC$3&gt;='01_Вводные'!$B$245))+ABS('01_Вводные'!$D$314:$D$318*'01_Вводные'!$B$314:$B$318*IF('01_Вводные'!$B$9=0,0,'06_Сеть_и_дети'!AC11/'01_Вводные'!$B$9)-'06_Сеть_и_дети'!AC20*'19_Расчет_аналитики'!AC4854*'01_Вводные'!$C$314:$C$318*('01_Вводные'!$E$314:$E$318*('06_Сеть_и_дети'!AC$3&lt;'01_Вводные'!$B$245)+'01_Вводные'!$B$57*('06_Сеть_и_дети'!AC$3&gt;='01_Вводные'!$B$245))))/2),0)</f>
        <v/>
      </c>
      <c r="AD4431">
        <f>IF('01_Вводные'!$B$234="Да",SUMPRODUCT(('01_Вводные'!$D$314:$D$318*'01_Вводные'!$B$314:$B$318*IF('01_Вводные'!$B$9=0,0,'06_Сеть_и_дети'!AD11/'01_Вводные'!$B$9)+'06_Сеть_и_дети'!AD20*'19_Расчет_аналитики'!AD4854*'01_Вводные'!$C$314:$C$318*('01_Вводные'!$E$314:$E$318*('06_Сеть_и_дети'!AD$3&lt;'01_Вводные'!$B$245)+'01_Вводные'!$B$57*('06_Сеть_и_дети'!AD$3&gt;='01_Вводные'!$B$245))+ABS('01_Вводные'!$D$314:$D$318*'01_Вводные'!$B$314:$B$318*IF('01_Вводные'!$B$9=0,0,'06_Сеть_и_дети'!AD11/'01_Вводные'!$B$9)-'06_Сеть_и_дети'!AD20*'19_Расчет_аналитики'!AD4854*'01_Вводные'!$C$314:$C$318*('01_Вводные'!$E$314:$E$318*('06_Сеть_и_дети'!AD$3&lt;'01_Вводные'!$B$245)+'01_Вводные'!$B$57*('06_Сеть_и_дети'!AD$3&gt;='01_Вводные'!$B$245))))/2),0)</f>
        <v/>
      </c>
      <c r="AE4431">
        <f>IF('01_Вводные'!$B$234="Да",SUMPRODUCT(('01_Вводные'!$D$314:$D$318*'01_Вводные'!$B$314:$B$318*IF('01_Вводные'!$B$9=0,0,'06_Сеть_и_дети'!AE11/'01_Вводные'!$B$9)+'06_Сеть_и_дети'!AE20*'19_Расчет_аналитики'!AE4854*'01_Вводные'!$C$314:$C$318*('01_Вводные'!$E$314:$E$318*('06_Сеть_и_дети'!AE$3&lt;'01_Вводные'!$B$245)+'01_Вводные'!$B$57*('06_Сеть_и_дети'!AE$3&gt;='01_Вводные'!$B$245))+ABS('01_Вводные'!$D$314:$D$318*'01_Вводные'!$B$314:$B$318*IF('01_Вводные'!$B$9=0,0,'06_Сеть_и_дети'!AE11/'01_Вводные'!$B$9)-'06_Сеть_и_дети'!AE20*'19_Расчет_аналитики'!AE4854*'01_Вводные'!$C$314:$C$318*('01_Вводные'!$E$314:$E$318*('06_Сеть_и_дети'!AE$3&lt;'01_Вводные'!$B$245)+'01_Вводные'!$B$57*('06_Сеть_и_дети'!AE$3&gt;='01_Вводные'!$B$245))))/2),0)</f>
        <v/>
      </c>
      <c r="AF4431">
        <f>IF('01_Вводные'!$B$234="Да",SUMPRODUCT(('01_Вводные'!$D$314:$D$318*'01_Вводные'!$B$314:$B$318*IF('01_Вводные'!$B$9=0,0,'06_Сеть_и_дети'!AF11/'01_Вводные'!$B$9)+'06_Сеть_и_дети'!AF20*'19_Расчет_аналитики'!AF4854*'01_Вводные'!$C$314:$C$318*('01_Вводные'!$E$314:$E$318*('06_Сеть_и_дети'!AF$3&lt;'01_Вводные'!$B$245)+'01_Вводные'!$B$57*('06_Сеть_и_дети'!AF$3&gt;='01_Вводные'!$B$245))+ABS('01_Вводные'!$D$314:$D$318*'01_Вводные'!$B$314:$B$318*IF('01_Вводные'!$B$9=0,0,'06_Сеть_и_дети'!AF11/'01_Вводные'!$B$9)-'06_Сеть_и_дети'!AF20*'19_Расчет_аналитики'!AF4854*'01_Вводные'!$C$314:$C$318*('01_Вводные'!$E$314:$E$318*('06_Сеть_и_дети'!AF$3&lt;'01_Вводные'!$B$245)+'01_Вводные'!$B$57*('06_Сеть_и_дети'!AF$3&gt;='01_Вводные'!$B$245))))/2),0)</f>
        <v/>
      </c>
      <c r="AG4431">
        <f>IF('01_Вводные'!$B$234="Да",SUMPRODUCT(('01_Вводные'!$D$314:$D$318*'01_Вводные'!$B$314:$B$318*IF('01_Вводные'!$B$9=0,0,'06_Сеть_и_дети'!AG11/'01_Вводные'!$B$9)+'06_Сеть_и_дети'!AG20*'19_Расчет_аналитики'!AG4854*'01_Вводные'!$C$314:$C$318*('01_Вводные'!$E$314:$E$318*('06_Сеть_и_дети'!AG$3&lt;'01_Вводные'!$B$245)+'01_Вводные'!$B$57*('06_Сеть_и_дети'!AG$3&gt;='01_Вводные'!$B$245))+ABS('01_Вводные'!$D$314:$D$318*'01_Вводные'!$B$314:$B$318*IF('01_Вводные'!$B$9=0,0,'06_Сеть_и_дети'!AG11/'01_Вводные'!$B$9)-'06_Сеть_и_дети'!AG20*'19_Расчет_аналитики'!AG4854*'01_Вводные'!$C$314:$C$318*('01_Вводные'!$E$314:$E$318*('06_Сеть_и_дети'!AG$3&lt;'01_Вводные'!$B$245)+'01_Вводные'!$B$57*('06_Сеть_и_дети'!AG$3&gt;='01_Вводные'!$B$245))))/2),0)</f>
        <v/>
      </c>
      <c r="AH4431">
        <f>IF('01_Вводные'!$B$234="Да",SUMPRODUCT(('01_Вводные'!$D$314:$D$318*'01_Вводные'!$B$314:$B$318*IF('01_Вводные'!$B$9=0,0,'06_Сеть_и_дети'!AH11/'01_Вводные'!$B$9)+'06_Сеть_и_дети'!AH20*'19_Расчет_аналитики'!AH4854*'01_Вводные'!$C$314:$C$318*('01_Вводные'!$E$314:$E$318*('06_Сеть_и_дети'!AH$3&lt;'01_Вводные'!$B$245)+'01_Вводные'!$B$57*('06_Сеть_и_дети'!AH$3&gt;='01_Вводные'!$B$245))+ABS('01_Вводные'!$D$314:$D$318*'01_Вводные'!$B$314:$B$318*IF('01_Вводные'!$B$9=0,0,'06_Сеть_и_дети'!AH11/'01_Вводные'!$B$9)-'06_Сеть_и_дети'!AH20*'19_Расчет_аналитики'!AH4854*'01_Вводные'!$C$314:$C$318*('01_Вводные'!$E$314:$E$318*('06_Сеть_и_дети'!AH$3&lt;'01_Вводные'!$B$245)+'01_Вводные'!$B$57*('06_Сеть_и_дети'!AH$3&gt;='01_Вводные'!$B$245))))/2),0)</f>
        <v/>
      </c>
      <c r="AI4431">
        <f>IF('01_Вводные'!$B$234="Да",SUMPRODUCT(('01_Вводные'!$D$314:$D$318*'01_Вводные'!$B$314:$B$318*IF('01_Вводные'!$B$9=0,0,'06_Сеть_и_дети'!AI11/'01_Вводные'!$B$9)+'06_Сеть_и_дети'!AI20*'19_Расчет_аналитики'!AI4854*'01_Вводные'!$C$314:$C$318*('01_Вводные'!$E$314:$E$318*('06_Сеть_и_дети'!AI$3&lt;'01_Вводные'!$B$245)+'01_Вводные'!$B$57*('06_Сеть_и_дети'!AI$3&gt;='01_Вводные'!$B$245))+ABS('01_Вводные'!$D$314:$D$318*'01_Вводные'!$B$314:$B$318*IF('01_Вводные'!$B$9=0,0,'06_Сеть_и_дети'!AI11/'01_Вводные'!$B$9)-'06_Сеть_и_дети'!AI20*'19_Расчет_аналитики'!AI4854*'01_Вводные'!$C$314:$C$318*('01_Вводные'!$E$314:$E$318*('06_Сеть_и_дети'!AI$3&lt;'01_Вводные'!$B$245)+'01_Вводные'!$B$57*('06_Сеть_и_дети'!AI$3&gt;='01_Вводные'!$B$245))))/2),0)</f>
        <v/>
      </c>
      <c r="AJ4431">
        <f>IF('01_Вводные'!$B$234="Да",SUMPRODUCT(('01_Вводные'!$D$314:$D$318*'01_Вводные'!$B$314:$B$318*IF('01_Вводные'!$B$9=0,0,'06_Сеть_и_дети'!AJ11/'01_Вводные'!$B$9)+'06_Сеть_и_дети'!AJ20*'19_Расчет_аналитики'!AJ4854*'01_Вводные'!$C$314:$C$318*('01_Вводные'!$E$314:$E$318*('06_Сеть_и_дети'!AJ$3&lt;'01_Вводные'!$B$245)+'01_Вводные'!$B$57*('06_Сеть_и_дети'!AJ$3&gt;='01_Вводные'!$B$245))+ABS('01_Вводные'!$D$314:$D$318*'01_Вводные'!$B$314:$B$318*IF('01_Вводные'!$B$9=0,0,'06_Сеть_и_дети'!AJ11/'01_Вводные'!$B$9)-'06_Сеть_и_дети'!AJ20*'19_Расчет_аналитики'!AJ4854*'01_Вводные'!$C$314:$C$318*('01_Вводные'!$E$314:$E$318*('06_Сеть_и_дети'!AJ$3&lt;'01_Вводные'!$B$245)+'01_Вводные'!$B$57*('06_Сеть_и_дети'!AJ$3&gt;='01_Вводные'!$B$245))))/2),0)</f>
        <v/>
      </c>
      <c r="AK4431">
        <f>IF('01_Вводные'!$B$234="Да",SUMPRODUCT(('01_Вводные'!$D$314:$D$318*'01_Вводные'!$B$314:$B$318*IF('01_Вводные'!$B$9=0,0,'06_Сеть_и_дети'!AK11/'01_Вводные'!$B$9)+'06_Сеть_и_дети'!AK20*'19_Расчет_аналитики'!AK4854*'01_Вводные'!$C$314:$C$318*('01_Вводные'!$E$314:$E$318*('06_Сеть_и_дети'!AK$3&lt;'01_Вводные'!$B$245)+'01_Вводные'!$B$57*('06_Сеть_и_дети'!AK$3&gt;='01_Вводные'!$B$245))+ABS('01_Вводные'!$D$314:$D$318*'01_Вводные'!$B$314:$B$318*IF('01_Вводные'!$B$9=0,0,'06_Сеть_и_дети'!AK11/'01_Вводные'!$B$9)-'06_Сеть_и_дети'!AK20*'19_Расчет_аналитики'!AK4854*'01_Вводные'!$C$314:$C$318*('01_Вводные'!$E$314:$E$318*('06_Сеть_и_дети'!AK$3&lt;'01_Вводные'!$B$245)+'01_Вводные'!$B$57*('06_Сеть_и_дети'!AK$3&gt;='01_Вводные'!$B$245))))/2),0)</f>
        <v/>
      </c>
      <c r="AL4431">
        <f>IF('01_Вводные'!$B$234="Да",SUMPRODUCT(('01_Вводные'!$D$314:$D$318*'01_Вводные'!$B$314:$B$318*IF('01_Вводные'!$B$9=0,0,'06_Сеть_и_дети'!AL11/'01_Вводные'!$B$9)+'06_Сеть_и_дети'!AL20*'19_Расчет_аналитики'!AL4854*'01_Вводные'!$C$314:$C$318*('01_Вводные'!$E$314:$E$318*('06_Сеть_и_дети'!AL$3&lt;'01_Вводные'!$B$245)+'01_Вводные'!$B$57*('06_Сеть_и_дети'!AL$3&gt;='01_Вводные'!$B$245))+ABS('01_Вводные'!$D$314:$D$318*'01_Вводные'!$B$314:$B$318*IF('01_Вводные'!$B$9=0,0,'06_Сеть_и_дети'!AL11/'01_Вводные'!$B$9)-'06_Сеть_и_дети'!AL20*'19_Расчет_аналитики'!AL4854*'01_Вводные'!$C$314:$C$318*('01_Вводные'!$E$314:$E$318*('06_Сеть_и_дети'!AL$3&lt;'01_Вводные'!$B$245)+'01_Вводные'!$B$57*('06_Сеть_и_дети'!AL$3&gt;='01_Вводные'!$B$245))))/2),0)</f>
        <v/>
      </c>
      <c r="AM4431">
        <f>IF('01_Вводные'!$B$234="Да",SUMPRODUCT(('01_Вводные'!$D$314:$D$318*'01_Вводные'!$B$314:$B$318*IF('01_Вводные'!$B$9=0,0,'06_Сеть_и_дети'!AM11/'01_Вводные'!$B$9)+'06_Сеть_и_дети'!AM20*'19_Расчет_аналитики'!AM4854*'01_Вводные'!$C$314:$C$318*('01_Вводные'!$E$314:$E$318*('06_Сеть_и_дети'!AM$3&lt;'01_Вводные'!$B$245)+'01_Вводные'!$B$57*('06_Сеть_и_дети'!AM$3&gt;='01_Вводные'!$B$245))+ABS('01_Вводные'!$D$314:$D$318*'01_Вводные'!$B$314:$B$318*IF('01_Вводные'!$B$9=0,0,'06_Сеть_и_дети'!AM11/'01_Вводные'!$B$9)-'06_Сеть_и_дети'!AM20*'19_Расчет_аналитики'!AM4854*'01_Вводные'!$C$314:$C$318*('01_Вводные'!$E$314:$E$318*('06_Сеть_и_дети'!AM$3&lt;'01_Вводные'!$B$245)+'01_Вводные'!$B$57*('06_Сеть_и_дети'!AM$3&gt;='01_Вводные'!$B$245))))/2),0)</f>
        <v/>
      </c>
      <c r="AN4431">
        <f>IF('01_Вводные'!$B$234="Да",SUMPRODUCT(('01_Вводные'!$D$314:$D$318*'01_Вводные'!$B$314:$B$318*IF('01_Вводные'!$B$9=0,0,'06_Сеть_и_дети'!AN11/'01_Вводные'!$B$9)+'06_Сеть_и_дети'!AN20*'19_Расчет_аналитики'!AN4854*'01_Вводные'!$C$314:$C$318*('01_Вводные'!$E$314:$E$318*('06_Сеть_и_дети'!AN$3&lt;'01_Вводные'!$B$245)+'01_Вводные'!$B$57*('06_Сеть_и_дети'!AN$3&gt;='01_Вводные'!$B$245))+ABS('01_Вводные'!$D$314:$D$318*'01_Вводные'!$B$314:$B$318*IF('01_Вводные'!$B$9=0,0,'06_Сеть_и_дети'!AN11/'01_Вводные'!$B$9)-'06_Сеть_и_дети'!AN20*'19_Расчет_аналитики'!AN4854*'01_Вводные'!$C$314:$C$318*('01_Вводные'!$E$314:$E$318*('06_Сеть_и_дети'!AN$3&lt;'01_Вводные'!$B$245)+'01_Вводные'!$B$57*('06_Сеть_и_дети'!AN$3&gt;='01_Вводные'!$B$245))))/2),0)</f>
        <v/>
      </c>
      <c r="AO4431">
        <f>IF('01_Вводные'!$B$234="Да",SUMPRODUCT(('01_Вводные'!$D$314:$D$318*'01_Вводные'!$B$314:$B$318*IF('01_Вводные'!$B$9=0,0,'06_Сеть_и_дети'!AO11/'01_Вводные'!$B$9)+'06_Сеть_и_дети'!AO20*'19_Расчет_аналитики'!AO4854*'01_Вводные'!$C$314:$C$318*('01_Вводные'!$E$314:$E$318*('06_Сеть_и_дети'!AO$3&lt;'01_Вводные'!$B$245)+'01_Вводные'!$B$57*('06_Сеть_и_дети'!AO$3&gt;='01_Вводные'!$B$245))+ABS('01_Вводные'!$D$314:$D$318*'01_Вводные'!$B$314:$B$318*IF('01_Вводные'!$B$9=0,0,'06_Сеть_и_дети'!AO11/'01_Вводные'!$B$9)-'06_Сеть_и_дети'!AO20*'19_Расчет_аналитики'!AO4854*'01_Вводные'!$C$314:$C$318*('01_Вводные'!$E$314:$E$318*('06_Сеть_и_дети'!AO$3&lt;'01_Вводные'!$B$245)+'01_Вводные'!$B$57*('06_Сеть_и_дети'!AO$3&gt;='01_Вводные'!$B$245))))/2),0)</f>
        <v/>
      </c>
      <c r="AP4431">
        <f>IF('01_Вводные'!$B$234="Да",SUMPRODUCT(('01_Вводные'!$D$314:$D$318*'01_Вводные'!$B$314:$B$318*IF('01_Вводные'!$B$9=0,0,'06_Сеть_и_дети'!AP11/'01_Вводные'!$B$9)+'06_Сеть_и_дети'!AP20*'19_Расчет_аналитики'!AP4854*'01_Вводные'!$C$314:$C$318*('01_Вводные'!$E$314:$E$318*('06_Сеть_и_дети'!AP$3&lt;'01_Вводные'!$B$245)+'01_Вводные'!$B$57*('06_Сеть_и_дети'!AP$3&gt;='01_Вводные'!$B$245))+ABS('01_Вводные'!$D$314:$D$318*'01_Вводные'!$B$314:$B$318*IF('01_Вводные'!$B$9=0,0,'06_Сеть_и_дети'!AP11/'01_Вводные'!$B$9)-'06_Сеть_и_дети'!AP20*'19_Расчет_аналитики'!AP4854*'01_Вводные'!$C$314:$C$318*('01_Вводные'!$E$314:$E$318*('06_Сеть_и_дети'!AP$3&lt;'01_Вводные'!$B$245)+'01_Вводные'!$B$57*('06_Сеть_и_дети'!AP$3&gt;='01_Вводные'!$B$245))))/2),0)</f>
        <v/>
      </c>
      <c r="AQ4431">
        <f>IF('01_Вводные'!$B$234="Да",SUMPRODUCT(('01_Вводные'!$D$314:$D$318*'01_Вводные'!$B$314:$B$318*IF('01_Вводные'!$B$9=0,0,'06_Сеть_и_дети'!AQ11/'01_Вводные'!$B$9)+'06_Сеть_и_дети'!AQ20*'19_Расчет_аналитики'!AQ4854*'01_Вводные'!$C$314:$C$318*('01_Вводные'!$E$314:$E$318*('06_Сеть_и_дети'!AQ$3&lt;'01_Вводные'!$B$245)+'01_Вводные'!$B$57*('06_Сеть_и_дети'!AQ$3&gt;='01_Вводные'!$B$245))+ABS('01_Вводные'!$D$314:$D$318*'01_Вводные'!$B$314:$B$318*IF('01_Вводные'!$B$9=0,0,'06_Сеть_и_дети'!AQ11/'01_Вводные'!$B$9)-'06_Сеть_и_дети'!AQ20*'19_Расчет_аналитики'!AQ4854*'01_Вводные'!$C$314:$C$318*('01_Вводные'!$E$314:$E$318*('06_Сеть_и_дети'!AQ$3&lt;'01_Вводные'!$B$245)+'01_Вводные'!$B$57*('06_Сеть_и_дети'!AQ$3&gt;='01_Вводные'!$B$245))))/2),0)</f>
        <v/>
      </c>
      <c r="AR4431">
        <f>IF('01_Вводные'!$B$234="Да",SUMPRODUCT(('01_Вводные'!$D$314:$D$318*'01_Вводные'!$B$314:$B$318*IF('01_Вводные'!$B$9=0,0,'06_Сеть_и_дети'!AR11/'01_Вводные'!$B$9)+'06_Сеть_и_дети'!AR20*'19_Расчет_аналитики'!AR4854*'01_Вводные'!$C$314:$C$318*('01_Вводные'!$E$314:$E$318*('06_Сеть_и_дети'!AR$3&lt;'01_Вводные'!$B$245)+'01_Вводные'!$B$57*('06_Сеть_и_дети'!AR$3&gt;='01_Вводные'!$B$245))+ABS('01_Вводные'!$D$314:$D$318*'01_Вводные'!$B$314:$B$318*IF('01_Вводные'!$B$9=0,0,'06_Сеть_и_дети'!AR11/'01_Вводные'!$B$9)-'06_Сеть_и_дети'!AR20*'19_Расчет_аналитики'!AR4854*'01_Вводные'!$C$314:$C$318*('01_Вводные'!$E$314:$E$318*('06_Сеть_и_дети'!AR$3&lt;'01_Вводные'!$B$245)+'01_Вводные'!$B$57*('06_Сеть_и_дети'!AR$3&gt;='01_Вводные'!$B$245))))/2),0)</f>
        <v/>
      </c>
      <c r="AS4431">
        <f>IF('01_Вводные'!$B$234="Да",SUMPRODUCT(('01_Вводные'!$D$314:$D$318*'01_Вводные'!$B$314:$B$318*IF('01_Вводные'!$B$9=0,0,'06_Сеть_и_дети'!AS11/'01_Вводные'!$B$9)+'06_Сеть_и_дети'!AS20*'19_Расчет_аналитики'!AS4854*'01_Вводные'!$C$314:$C$318*('01_Вводные'!$E$314:$E$318*('06_Сеть_и_дети'!AS$3&lt;'01_Вводные'!$B$245)+'01_Вводные'!$B$57*('06_Сеть_и_дети'!AS$3&gt;='01_Вводные'!$B$245))+ABS('01_Вводные'!$D$314:$D$318*'01_Вводные'!$B$314:$B$318*IF('01_Вводные'!$B$9=0,0,'06_Сеть_и_дети'!AS11/'01_Вводные'!$B$9)-'06_Сеть_и_дети'!AS20*'19_Расчет_аналитики'!AS4854*'01_Вводные'!$C$314:$C$318*('01_Вводные'!$E$314:$E$318*('06_Сеть_и_дети'!AS$3&lt;'01_Вводные'!$B$245)+'01_Вводные'!$B$57*('06_Сеть_и_дети'!AS$3&gt;='01_Вводные'!$B$245))))/2),0)</f>
        <v/>
      </c>
      <c r="AT4431">
        <f>IF('01_Вводные'!$B$234="Да",SUMPRODUCT(('01_Вводные'!$D$314:$D$318*'01_Вводные'!$B$314:$B$318*IF('01_Вводные'!$B$9=0,0,'06_Сеть_и_дети'!AT11/'01_Вводные'!$B$9)+'06_Сеть_и_дети'!AT20*'19_Расчет_аналитики'!AT4854*'01_Вводные'!$C$314:$C$318*('01_Вводные'!$E$314:$E$318*('06_Сеть_и_дети'!AT$3&lt;'01_Вводные'!$B$245)+'01_Вводные'!$B$57*('06_Сеть_и_дети'!AT$3&gt;='01_Вводные'!$B$245))+ABS('01_Вводные'!$D$314:$D$318*'01_Вводные'!$B$314:$B$318*IF('01_Вводные'!$B$9=0,0,'06_Сеть_и_дети'!AT11/'01_Вводные'!$B$9)-'06_Сеть_и_дети'!AT20*'19_Расчет_аналитики'!AT4854*'01_Вводные'!$C$314:$C$318*('01_Вводные'!$E$314:$E$318*('06_Сеть_и_дети'!AT$3&lt;'01_Вводные'!$B$245)+'01_Вводные'!$B$57*('06_Сеть_и_дети'!AT$3&gt;='01_Вводные'!$B$245))))/2),0)</f>
        <v/>
      </c>
      <c r="AU4431">
        <f>IF('01_Вводные'!$B$234="Да",SUMPRODUCT(('01_Вводные'!$D$314:$D$318*'01_Вводные'!$B$314:$B$318*IF('01_Вводные'!$B$9=0,0,'06_Сеть_и_дети'!AU11/'01_Вводные'!$B$9)+'06_Сеть_и_дети'!AU20*'19_Расчет_аналитики'!AU4854*'01_Вводные'!$C$314:$C$318*('01_Вводные'!$E$314:$E$318*('06_Сеть_и_дети'!AU$3&lt;'01_Вводные'!$B$245)+'01_Вводные'!$B$57*('06_Сеть_и_дети'!AU$3&gt;='01_Вводные'!$B$245))+ABS('01_Вводные'!$D$314:$D$318*'01_Вводные'!$B$314:$B$318*IF('01_Вводные'!$B$9=0,0,'06_Сеть_и_дети'!AU11/'01_Вводные'!$B$9)-'06_Сеть_и_дети'!AU20*'19_Расчет_аналитики'!AU4854*'01_Вводные'!$C$314:$C$318*('01_Вводные'!$E$314:$E$318*('06_Сеть_и_дети'!AU$3&lt;'01_Вводные'!$B$245)+'01_Вводные'!$B$57*('06_Сеть_и_дети'!AU$3&gt;='01_Вводные'!$B$245))))/2),0)</f>
        <v/>
      </c>
      <c r="AV4431">
        <f>IF('01_Вводные'!$B$234="Да",SUMPRODUCT(('01_Вводные'!$D$314:$D$318*'01_Вводные'!$B$314:$B$318*IF('01_Вводные'!$B$9=0,0,'06_Сеть_и_дети'!AV11/'01_Вводные'!$B$9)+'06_Сеть_и_дети'!AV20*'19_Расчет_аналитики'!AV4854*'01_Вводные'!$C$314:$C$318*('01_Вводные'!$E$314:$E$318*('06_Сеть_и_дети'!AV$3&lt;'01_Вводные'!$B$245)+'01_Вводные'!$B$57*('06_Сеть_и_дети'!AV$3&gt;='01_Вводные'!$B$245))+ABS('01_Вводные'!$D$314:$D$318*'01_Вводные'!$B$314:$B$318*IF('01_Вводные'!$B$9=0,0,'06_Сеть_и_дети'!AV11/'01_Вводные'!$B$9)-'06_Сеть_и_дети'!AV20*'19_Расчет_аналитики'!AV4854*'01_Вводные'!$C$314:$C$318*('01_Вводные'!$E$314:$E$318*('06_Сеть_и_дети'!AV$3&lt;'01_Вводные'!$B$245)+'01_Вводные'!$B$57*('06_Сеть_и_дети'!AV$3&gt;='01_Вводные'!$B$245))))/2),0)</f>
        <v/>
      </c>
      <c r="AW4431">
        <f>IF('01_Вводные'!$B$234="Да",SUMPRODUCT(('01_Вводные'!$D$314:$D$318*'01_Вводные'!$B$314:$B$318*IF('01_Вводные'!$B$9=0,0,'06_Сеть_и_дети'!AW11/'01_Вводные'!$B$9)+'06_Сеть_и_дети'!AW20*'19_Расчет_аналитики'!AW4854*'01_Вводные'!$C$314:$C$318*('01_Вводные'!$E$314:$E$318*('06_Сеть_и_дети'!AW$3&lt;'01_Вводные'!$B$245)+'01_Вводные'!$B$57*('06_Сеть_и_дети'!AW$3&gt;='01_Вводные'!$B$245))+ABS('01_Вводные'!$D$314:$D$318*'01_Вводные'!$B$314:$B$318*IF('01_Вводные'!$B$9=0,0,'06_Сеть_и_дети'!AW11/'01_Вводные'!$B$9)-'06_Сеть_и_дети'!AW20*'19_Расчет_аналитики'!AW4854*'01_Вводные'!$C$314:$C$318*('01_Вводные'!$E$314:$E$318*('06_Сеть_и_дети'!AW$3&lt;'01_Вводные'!$B$245)+'01_Вводные'!$B$57*('06_Сеть_и_дети'!AW$3&gt;='01_Вводные'!$B$245))))/2),0)</f>
        <v/>
      </c>
      <c r="AX4431">
        <f>IF('01_Вводные'!$B$234="Да",SUMPRODUCT(('01_Вводные'!$D$314:$D$318*'01_Вводные'!$B$314:$B$318*IF('01_Вводные'!$B$9=0,0,'06_Сеть_и_дети'!AX11/'01_Вводные'!$B$9)+'06_Сеть_и_дети'!AX20*'19_Расчет_аналитики'!AX4854*'01_Вводные'!$C$314:$C$318*('01_Вводные'!$E$314:$E$318*('06_Сеть_и_дети'!AX$3&lt;'01_Вводные'!$B$245)+'01_Вводные'!$B$57*('06_Сеть_и_дети'!AX$3&gt;='01_Вводные'!$B$245))+ABS('01_Вводные'!$D$314:$D$318*'01_Вводные'!$B$314:$B$318*IF('01_Вводные'!$B$9=0,0,'06_Сеть_и_дети'!AX11/'01_Вводные'!$B$9)-'06_Сеть_и_дети'!AX20*'19_Расчет_аналитики'!AX4854*'01_Вводные'!$C$314:$C$318*('01_Вводные'!$E$314:$E$318*('06_Сеть_и_дети'!AX$3&lt;'01_Вводные'!$B$245)+'01_Вводные'!$B$57*('06_Сеть_и_дети'!AX$3&gt;='01_Вводные'!$B$245))))/2),0)</f>
        <v/>
      </c>
      <c r="AY4431">
        <f>IF('01_Вводные'!$B$234="Да",SUMPRODUCT(('01_Вводные'!$D$314:$D$318*'01_Вводные'!$B$314:$B$318*IF('01_Вводные'!$B$9=0,0,'06_Сеть_и_дети'!AY11/'01_Вводные'!$B$9)+'06_Сеть_и_дети'!AY20*'19_Расчет_аналитики'!AY4854*'01_Вводные'!$C$314:$C$318*('01_Вводные'!$E$314:$E$318*('06_Сеть_и_дети'!AY$3&lt;'01_Вводные'!$B$245)+'01_Вводные'!$B$57*('06_Сеть_и_дети'!AY$3&gt;='01_Вводные'!$B$245))+ABS('01_Вводные'!$D$314:$D$318*'01_Вводные'!$B$314:$B$318*IF('01_Вводные'!$B$9=0,0,'06_Сеть_и_дети'!AY11/'01_Вводные'!$B$9)-'06_Сеть_и_дети'!AY20*'19_Расчет_аналитики'!AY4854*'01_Вводные'!$C$314:$C$318*('01_Вводные'!$E$314:$E$318*('06_Сеть_и_дети'!AY$3&lt;'01_Вводные'!$B$245)+'01_Вводные'!$B$57*('06_Сеть_и_дети'!AY$3&gt;='01_Вводные'!$B$245))))/2),0)</f>
        <v/>
      </c>
      <c r="AZ4431">
        <f>IF('01_Вводные'!$B$234="Да",SUMPRODUCT(('01_Вводные'!$D$314:$D$318*'01_Вводные'!$B$314:$B$318*IF('01_Вводные'!$B$9=0,0,'06_Сеть_и_дети'!AZ11/'01_Вводные'!$B$9)+'06_Сеть_и_дети'!AZ20*'19_Расчет_аналитики'!AZ4854*'01_Вводные'!$C$314:$C$318*('01_Вводные'!$E$314:$E$318*('06_Сеть_и_дети'!AZ$3&lt;'01_Вводные'!$B$245)+'01_Вводные'!$B$57*('06_Сеть_и_дети'!AZ$3&gt;='01_Вводные'!$B$245))+ABS('01_Вводные'!$D$314:$D$318*'01_Вводные'!$B$314:$B$318*IF('01_Вводные'!$B$9=0,0,'06_Сеть_и_дети'!AZ11/'01_Вводные'!$B$9)-'06_Сеть_и_дети'!AZ20*'19_Расчет_аналитики'!AZ4854*'01_Вводные'!$C$314:$C$318*('01_Вводные'!$E$314:$E$318*('06_Сеть_и_дети'!AZ$3&lt;'01_Вводные'!$B$245)+'01_Вводные'!$B$57*('06_Сеть_и_дети'!AZ$3&gt;='01_Вводные'!$B$245))))/2),0)</f>
        <v/>
      </c>
      <c r="BA4431">
        <f>IF('01_Вводные'!$B$234="Да",SUMPRODUCT(('01_Вводные'!$D$314:$D$318*'01_Вводные'!$B$314:$B$318*IF('01_Вводные'!$B$9=0,0,'06_Сеть_и_дети'!BA11/'01_Вводные'!$B$9)+'06_Сеть_и_дети'!BA20*'19_Расчет_аналитики'!BA4854*'01_Вводные'!$C$314:$C$318*('01_Вводные'!$E$314:$E$318*('06_Сеть_и_дети'!BA$3&lt;'01_Вводные'!$B$245)+'01_Вводные'!$B$57*('06_Сеть_и_дети'!BA$3&gt;='01_Вводные'!$B$245))+ABS('01_Вводные'!$D$314:$D$318*'01_Вводные'!$B$314:$B$318*IF('01_Вводные'!$B$9=0,0,'06_Сеть_и_дети'!BA11/'01_Вводные'!$B$9)-'06_Сеть_и_дети'!BA20*'19_Расчет_аналитики'!BA4854*'01_Вводные'!$C$314:$C$318*('01_Вводные'!$E$314:$E$318*('06_Сеть_и_дети'!BA$3&lt;'01_Вводные'!$B$245)+'01_Вводные'!$B$57*('06_Сеть_и_дети'!BA$3&gt;='01_Вводные'!$B$245))))/2),0)</f>
        <v/>
      </c>
      <c r="BB4431">
        <f>IF('01_Вводные'!$B$234="Да",SUMPRODUCT(('01_Вводные'!$D$314:$D$318*'01_Вводные'!$B$314:$B$318*IF('01_Вводные'!$B$9=0,0,'06_Сеть_и_дети'!BB11/'01_Вводные'!$B$9)+'06_Сеть_и_дети'!BB20*'19_Расчет_аналитики'!BB4854*'01_Вводные'!$C$314:$C$318*('01_Вводные'!$E$314:$E$318*('06_Сеть_и_дети'!BB$3&lt;'01_Вводные'!$B$245)+'01_Вводные'!$B$57*('06_Сеть_и_дети'!BB$3&gt;='01_Вводные'!$B$245))+ABS('01_Вводные'!$D$314:$D$318*'01_Вводные'!$B$314:$B$318*IF('01_Вводные'!$B$9=0,0,'06_Сеть_и_дети'!BB11/'01_Вводные'!$B$9)-'06_Сеть_и_дети'!BB20*'19_Расчет_аналитики'!BB4854*'01_Вводные'!$C$314:$C$318*('01_Вводные'!$E$314:$E$318*('06_Сеть_и_дети'!BB$3&lt;'01_Вводные'!$B$245)+'01_Вводные'!$B$57*('06_Сеть_и_дети'!BB$3&gt;='01_Вводные'!$B$245))))/2),0)</f>
        <v/>
      </c>
      <c r="BC4431">
        <f>IF('01_Вводные'!$B$234="Да",SUMPRODUCT(('01_Вводные'!$D$314:$D$318*'01_Вводные'!$B$314:$B$318*IF('01_Вводные'!$B$9=0,0,'06_Сеть_и_дети'!BC11/'01_Вводные'!$B$9)+'06_Сеть_и_дети'!BC20*'19_Расчет_аналитики'!BC4854*'01_Вводные'!$C$314:$C$318*('01_Вводные'!$E$314:$E$318*('06_Сеть_и_дети'!BC$3&lt;'01_Вводные'!$B$245)+'01_Вводные'!$B$57*('06_Сеть_и_дети'!BC$3&gt;='01_Вводные'!$B$245))+ABS('01_Вводные'!$D$314:$D$318*'01_Вводные'!$B$314:$B$318*IF('01_Вводные'!$B$9=0,0,'06_Сеть_и_дети'!BC11/'01_Вводные'!$B$9)-'06_Сеть_и_дети'!BC20*'19_Расчет_аналитики'!BC4854*'01_Вводные'!$C$314:$C$318*('01_Вводные'!$E$314:$E$318*('06_Сеть_и_дети'!BC$3&lt;'01_Вводные'!$B$245)+'01_Вводные'!$B$57*('06_Сеть_и_дети'!BC$3&gt;='01_Вводные'!$B$245))))/2),0)</f>
        <v/>
      </c>
      <c r="BD4431">
        <f>IF('01_Вводные'!$B$234="Да",SUMPRODUCT(('01_Вводные'!$D$314:$D$318*'01_Вводные'!$B$314:$B$318*IF('01_Вводные'!$B$9=0,0,'06_Сеть_и_дети'!BD11/'01_Вводные'!$B$9)+'06_Сеть_и_дети'!BD20*'19_Расчет_аналитики'!BD4854*'01_Вводные'!$C$314:$C$318*('01_Вводные'!$E$314:$E$318*('06_Сеть_и_дети'!BD$3&lt;'01_Вводные'!$B$245)+'01_Вводные'!$B$57*('06_Сеть_и_дети'!BD$3&gt;='01_Вводные'!$B$245))+ABS('01_Вводные'!$D$314:$D$318*'01_Вводные'!$B$314:$B$318*IF('01_Вводные'!$B$9=0,0,'06_Сеть_и_дети'!BD11/'01_Вводные'!$B$9)-'06_Сеть_и_дети'!BD20*'19_Расчет_аналитики'!BD4854*'01_Вводные'!$C$314:$C$318*('01_Вводные'!$E$314:$E$318*('06_Сеть_и_дети'!BD$3&lt;'01_Вводные'!$B$245)+'01_Вводные'!$B$57*('06_Сеть_и_дети'!BD$3&gt;='01_Вводные'!$B$245))))/2),0)</f>
        <v/>
      </c>
      <c r="BE4431">
        <f>IF('01_Вводные'!$B$234="Да",SUMPRODUCT(('01_Вводные'!$D$314:$D$318*'01_Вводные'!$B$314:$B$318*IF('01_Вводные'!$B$9=0,0,'06_Сеть_и_дети'!BE11/'01_Вводные'!$B$9)+'06_Сеть_и_дети'!BE20*'19_Расчет_аналитики'!BE4854*'01_Вводные'!$C$314:$C$318*('01_Вводные'!$E$314:$E$318*('06_Сеть_и_дети'!BE$3&lt;'01_Вводные'!$B$245)+'01_Вводные'!$B$57*('06_Сеть_и_дети'!BE$3&gt;='01_Вводные'!$B$245))+ABS('01_Вводные'!$D$314:$D$318*'01_Вводные'!$B$314:$B$318*IF('01_Вводные'!$B$9=0,0,'06_Сеть_и_дети'!BE11/'01_Вводные'!$B$9)-'06_Сеть_и_дети'!BE20*'19_Расчет_аналитики'!BE4854*'01_Вводные'!$C$314:$C$318*('01_Вводные'!$E$314:$E$318*('06_Сеть_и_дети'!BE$3&lt;'01_Вводные'!$B$245)+'01_Вводные'!$B$57*('06_Сеть_и_дети'!BE$3&gt;='01_Вводные'!$B$245))))/2),0)</f>
        <v/>
      </c>
      <c r="BF4431">
        <f>IF('01_Вводные'!$B$234="Да",SUMPRODUCT(('01_Вводные'!$D$314:$D$318*'01_Вводные'!$B$314:$B$318*IF('01_Вводные'!$B$9=0,0,'06_Сеть_и_дети'!BF11/'01_Вводные'!$B$9)+'06_Сеть_и_дети'!BF20*'19_Расчет_аналитики'!BF4854*'01_Вводные'!$C$314:$C$318*('01_Вводные'!$E$314:$E$318*('06_Сеть_и_дети'!BF$3&lt;'01_Вводные'!$B$245)+'01_Вводные'!$B$57*('06_Сеть_и_дети'!BF$3&gt;='01_Вводные'!$B$245))+ABS('01_Вводные'!$D$314:$D$318*'01_Вводные'!$B$314:$B$318*IF('01_Вводные'!$B$9=0,0,'06_Сеть_и_дети'!BF11/'01_Вводные'!$B$9)-'06_Сеть_и_дети'!BF20*'19_Расчет_аналитики'!BF4854*'01_Вводные'!$C$314:$C$318*('01_Вводные'!$E$314:$E$318*('06_Сеть_и_дети'!BF$3&lt;'01_Вводные'!$B$245)+'01_Вводные'!$B$57*('06_Сеть_и_дети'!BF$3&gt;='01_Вводные'!$B$245))))/2),0)</f>
        <v/>
      </c>
      <c r="BG4431">
        <f>IF('01_Вводные'!$B$234="Да",SUMPRODUCT(('01_Вводные'!$D$314:$D$318*'01_Вводные'!$B$314:$B$318*IF('01_Вводные'!$B$9=0,0,'06_Сеть_и_дети'!BG11/'01_Вводные'!$B$9)+'06_Сеть_и_дети'!BG20*'19_Расчет_аналитики'!BG4854*'01_Вводные'!$C$314:$C$318*('01_Вводные'!$E$314:$E$318*('06_Сеть_и_дети'!BG$3&lt;'01_Вводные'!$B$245)+'01_Вводные'!$B$57*('06_Сеть_и_дети'!BG$3&gt;='01_Вводные'!$B$245))+ABS('01_Вводные'!$D$314:$D$318*'01_Вводные'!$B$314:$B$318*IF('01_Вводные'!$B$9=0,0,'06_Сеть_и_дети'!BG11/'01_Вводные'!$B$9)-'06_Сеть_и_дети'!BG20*'19_Расчет_аналитики'!BG4854*'01_Вводные'!$C$314:$C$318*('01_Вводные'!$E$314:$E$318*('06_Сеть_и_дети'!BG$3&lt;'01_Вводные'!$B$245)+'01_Вводные'!$B$57*('06_Сеть_и_дети'!BG$3&gt;='01_Вводные'!$B$245))))/2),0)</f>
        <v/>
      </c>
      <c r="BH4431">
        <f>IF('01_Вводные'!$B$234="Да",SUMPRODUCT(('01_Вводные'!$D$314:$D$318*'01_Вводные'!$B$314:$B$318*IF('01_Вводные'!$B$9=0,0,'06_Сеть_и_дети'!BH11/'01_Вводные'!$B$9)+'06_Сеть_и_дети'!BH20*'19_Расчет_аналитики'!BH4854*'01_Вводные'!$C$314:$C$318*('01_Вводные'!$E$314:$E$318*('06_Сеть_и_дети'!BH$3&lt;'01_Вводные'!$B$245)+'01_Вводные'!$B$57*('06_Сеть_и_дети'!BH$3&gt;='01_Вводные'!$B$245))+ABS('01_Вводные'!$D$314:$D$318*'01_Вводные'!$B$314:$B$318*IF('01_Вводные'!$B$9=0,0,'06_Сеть_и_дети'!BH11/'01_Вводные'!$B$9)-'06_Сеть_и_дети'!BH20*'19_Расчет_аналитики'!BH4854*'01_Вводные'!$C$314:$C$318*('01_Вводные'!$E$314:$E$318*('06_Сеть_и_дети'!BH$3&lt;'01_Вводные'!$B$245)+'01_Вводные'!$B$57*('06_Сеть_и_дети'!BH$3&gt;='01_Вводные'!$B$245))))/2),0)</f>
        <v/>
      </c>
      <c r="BI4431">
        <f>IF('01_Вводные'!$B$234="Да",SUMPRODUCT(('01_Вводные'!$D$314:$D$318*'01_Вводные'!$B$314:$B$318*IF('01_Вводные'!$B$9=0,0,'06_Сеть_и_дети'!BI11/'01_Вводные'!$B$9)+'06_Сеть_и_дети'!BI20*'19_Расчет_аналитики'!BI4854*'01_Вводные'!$C$314:$C$318*('01_Вводные'!$E$314:$E$318*('06_Сеть_и_дети'!BI$3&lt;'01_Вводные'!$B$245)+'01_Вводные'!$B$57*('06_Сеть_и_дети'!BI$3&gt;='01_Вводные'!$B$245))+ABS('01_Вводные'!$D$314:$D$318*'01_Вводные'!$B$314:$B$318*IF('01_Вводные'!$B$9=0,0,'06_Сеть_и_дети'!BI11/'01_Вводные'!$B$9)-'06_Сеть_и_дети'!BI20*'19_Расчет_аналитики'!BI4854*'01_Вводные'!$C$314:$C$318*('01_Вводные'!$E$314:$E$318*('06_Сеть_и_дети'!BI$3&lt;'01_Вводные'!$B$245)+'01_Вводные'!$B$57*('06_Сеть_и_дети'!BI$3&gt;='01_Вводные'!$B$245))))/2),0)</f>
        <v/>
      </c>
      <c r="BJ4431">
        <f>IF('01_Вводные'!$B$234="Да",SUMPRODUCT(('01_Вводные'!$D$314:$D$318*'01_Вводные'!$B$314:$B$318*IF('01_Вводные'!$B$9=0,0,'06_Сеть_и_дети'!BJ11/'01_Вводные'!$B$9)+'06_Сеть_и_дети'!BJ20*'19_Расчет_аналитики'!BJ4854*'01_Вводные'!$C$314:$C$318*('01_Вводные'!$E$314:$E$318*('06_Сеть_и_дети'!BJ$3&lt;'01_Вводные'!$B$245)+'01_Вводные'!$B$57*('06_Сеть_и_дети'!BJ$3&gt;='01_Вводные'!$B$245))+ABS('01_Вводные'!$D$314:$D$318*'01_Вводные'!$B$314:$B$318*IF('01_Вводные'!$B$9=0,0,'06_Сеть_и_дети'!BJ11/'01_Вводные'!$B$9)-'06_Сеть_и_дети'!BJ20*'19_Расчет_аналитики'!BJ4854*'01_Вводные'!$C$314:$C$318*('01_Вводные'!$E$314:$E$318*('06_Сеть_и_дети'!BJ$3&lt;'01_Вводные'!$B$245)+'01_Вводные'!$B$57*('06_Сеть_и_дети'!BJ$3&gt;='01_Вводные'!$B$245))))/2),0)</f>
        <v/>
      </c>
      <c r="BK4431">
        <f>IF('01_Вводные'!$B$234="Да",SUMPRODUCT(('01_Вводные'!$D$314:$D$318*'01_Вводные'!$B$314:$B$318*IF('01_Вводные'!$B$9=0,0,'06_Сеть_и_дети'!BK11/'01_Вводные'!$B$9)+'06_Сеть_и_дети'!BK20*'19_Расчет_аналитики'!BK4854*'01_Вводные'!$C$314:$C$318*('01_Вводные'!$E$314:$E$318*('06_Сеть_и_дети'!BK$3&lt;'01_Вводные'!$B$245)+'01_Вводные'!$B$57*('06_Сеть_и_дети'!BK$3&gt;='01_Вводные'!$B$245))+ABS('01_Вводные'!$D$314:$D$318*'01_Вводные'!$B$314:$B$318*IF('01_Вводные'!$B$9=0,0,'06_Сеть_и_дети'!BK11/'01_Вводные'!$B$9)-'06_Сеть_и_дети'!BK20*'19_Расчет_аналитики'!BK4854*'01_Вводные'!$C$314:$C$318*('01_Вводные'!$E$314:$E$318*('06_Сеть_и_дети'!BK$3&lt;'01_Вводные'!$B$245)+'01_Вводные'!$B$57*('06_Сеть_и_дети'!BK$3&gt;='01_Вводные'!$B$245))))/2),0)</f>
        <v/>
      </c>
      <c r="BL4431">
        <f>IF('01_Вводные'!$B$234="Да",SUMPRODUCT(('01_Вводные'!$D$314:$D$318*'01_Вводные'!$B$314:$B$318*IF('01_Вводные'!$B$9=0,0,'06_Сеть_и_дети'!BL11/'01_Вводные'!$B$9)+'06_Сеть_и_дети'!BL20*'19_Расчет_аналитики'!BL4854*'01_Вводные'!$C$314:$C$318*('01_Вводные'!$E$314:$E$318*('06_Сеть_и_дети'!BL$3&lt;'01_Вводные'!$B$245)+'01_Вводные'!$B$57*('06_Сеть_и_дети'!BL$3&gt;='01_Вводные'!$B$245))+ABS('01_Вводные'!$D$314:$D$318*'01_Вводные'!$B$314:$B$318*IF('01_Вводные'!$B$9=0,0,'06_Сеть_и_дети'!BL11/'01_Вводные'!$B$9)-'06_Сеть_и_дети'!BL20*'19_Расчет_аналитики'!BL4854*'01_Вводные'!$C$314:$C$318*('01_Вводные'!$E$314:$E$318*('06_Сеть_и_дети'!BL$3&lt;'01_Вводные'!$B$245)+'01_Вводные'!$B$57*('06_Сеть_и_дети'!BL$3&gt;='01_Вводные'!$B$245))))/2),0)</f>
        <v/>
      </c>
      <c r="BM4431">
        <f>IF('01_Вводные'!$B$234="Да",SUMPRODUCT(('01_Вводные'!$D$314:$D$318*'01_Вводные'!$B$314:$B$318*IF('01_Вводные'!$B$9=0,0,'06_Сеть_и_дети'!BM11/'01_Вводные'!$B$9)+'06_Сеть_и_дети'!BM20*'19_Расчет_аналитики'!BM4854*'01_Вводные'!$C$314:$C$318*('01_Вводные'!$E$314:$E$318*('06_Сеть_и_дети'!BM$3&lt;'01_Вводные'!$B$245)+'01_Вводные'!$B$57*('06_Сеть_и_дети'!BM$3&gt;='01_Вводные'!$B$245))+ABS('01_Вводные'!$D$314:$D$318*'01_Вводные'!$B$314:$B$318*IF('01_Вводные'!$B$9=0,0,'06_Сеть_и_дети'!BM11/'01_Вводные'!$B$9)-'06_Сеть_и_дети'!BM20*'19_Расчет_аналитики'!BM4854*'01_Вводные'!$C$314:$C$318*('01_Вводные'!$E$314:$E$318*('06_Сеть_и_дети'!BM$3&lt;'01_Вводные'!$B$245)+'01_Вводные'!$B$57*('06_Сеть_и_дети'!BM$3&gt;='01_Вводные'!$B$245))))/2),0)</f>
        <v/>
      </c>
      <c r="BN4431">
        <f>IF('01_Вводные'!$B$234="Да",SUMPRODUCT(('01_Вводные'!$D$314:$D$318*'01_Вводные'!$B$314:$B$318*IF('01_Вводные'!$B$9=0,0,'06_Сеть_и_дети'!BN11/'01_Вводные'!$B$9)+'06_Сеть_и_дети'!BN20*'19_Расчет_аналитики'!BN4854*'01_Вводные'!$C$314:$C$318*('01_Вводные'!$E$314:$E$318*('06_Сеть_и_дети'!BN$3&lt;'01_Вводные'!$B$245)+'01_Вводные'!$B$57*('06_Сеть_и_дети'!BN$3&gt;='01_Вводные'!$B$245))+ABS('01_Вводные'!$D$314:$D$318*'01_Вводные'!$B$314:$B$318*IF('01_Вводные'!$B$9=0,0,'06_Сеть_и_дети'!BN11/'01_Вводные'!$B$9)-'06_Сеть_и_дети'!BN20*'19_Расчет_аналитики'!BN4854*'01_Вводные'!$C$314:$C$318*('01_Вводные'!$E$314:$E$318*('06_Сеть_и_дети'!BN$3&lt;'01_Вводные'!$B$245)+'01_Вводные'!$B$57*('06_Сеть_и_дети'!BN$3&gt;='01_Вводные'!$B$245))))/2),0)</f>
        <v/>
      </c>
      <c r="BO4431">
        <f>IF('01_Вводные'!$B$234="Да",SUMPRODUCT(('01_Вводные'!$D$314:$D$318*'01_Вводные'!$B$314:$B$318*IF('01_Вводные'!$B$9=0,0,'06_Сеть_и_дети'!BO11/'01_Вводные'!$B$9)+'06_Сеть_и_дети'!BO20*'19_Расчет_аналитики'!BO4854*'01_Вводные'!$C$314:$C$318*('01_Вводные'!$E$314:$E$318*('06_Сеть_и_дети'!BO$3&lt;'01_Вводные'!$B$245)+'01_Вводные'!$B$57*('06_Сеть_и_дети'!BO$3&gt;='01_Вводные'!$B$245))+ABS('01_Вводные'!$D$314:$D$318*'01_Вводные'!$B$314:$B$318*IF('01_Вводные'!$B$9=0,0,'06_Сеть_и_дети'!BO11/'01_Вводные'!$B$9)-'06_Сеть_и_дети'!BO20*'19_Расчет_аналитики'!BO4854*'01_Вводные'!$C$314:$C$318*('01_Вводные'!$E$314:$E$318*('06_Сеть_и_дети'!BO$3&lt;'01_Вводные'!$B$245)+'01_Вводные'!$B$57*('06_Сеть_и_дети'!BO$3&gt;='01_Вводные'!$B$245))))/2),0)</f>
        <v/>
      </c>
    </row>
    <row r="4432">
      <c r="B4432">
        <f>IF('01_Вводные'!$B$234="Да",SUM('19_Расчет_аналитики'!B4512:B4536,'19_Расчет_аналитики'!B4540:B4564),0)</f>
        <v/>
      </c>
      <c r="C4432">
        <f>IF('01_Вводные'!$B$234="Да",SUM('19_Расчет_аналитики'!C4512:C4536,'19_Расчет_аналитики'!C4540:C4564),0)</f>
        <v/>
      </c>
      <c r="D4432">
        <f>IF('01_Вводные'!$B$234="Да",SUM('19_Расчет_аналитики'!D4512:D4536,'19_Расчет_аналитики'!D4540:D4564),0)</f>
        <v/>
      </c>
      <c r="E4432">
        <f>IF('01_Вводные'!$B$234="Да",SUM('19_Расчет_аналитики'!E4512:E4536,'19_Расчет_аналитики'!E4540:E4564),0)</f>
        <v/>
      </c>
      <c r="F4432">
        <f>IF('01_Вводные'!$B$234="Да",SUM('19_Расчет_аналитики'!F4512:F4536,'19_Расчет_аналитики'!F4540:F4564),0)</f>
        <v/>
      </c>
      <c r="G4432">
        <f>IF('01_Вводные'!$B$234="Да",SUM('19_Расчет_аналитики'!G4512:G4536,'19_Расчет_аналитики'!G4540:G4564),0)</f>
        <v/>
      </c>
      <c r="H4432">
        <f>IF('01_Вводные'!$B$234="Да",SUM('19_Расчет_аналитики'!H4512:H4536,'19_Расчет_аналитики'!H4540:H4564),0)</f>
        <v/>
      </c>
      <c r="I4432">
        <f>IF('01_Вводные'!$B$234="Да",SUM('19_Расчет_аналитики'!I4512:I4536,'19_Расчет_аналитики'!I4540:I4564),0)</f>
        <v/>
      </c>
      <c r="J4432">
        <f>IF('01_Вводные'!$B$234="Да",SUM('19_Расчет_аналитики'!J4512:J4536,'19_Расчет_аналитики'!J4540:J4564),0)</f>
        <v/>
      </c>
      <c r="K4432">
        <f>IF('01_Вводные'!$B$234="Да",SUM('19_Расчет_аналитики'!K4512:K4536,'19_Расчет_аналитики'!K4540:K4564),0)</f>
        <v/>
      </c>
      <c r="L4432">
        <f>IF('01_Вводные'!$B$234="Да",SUM('19_Расчет_аналитики'!L4512:L4536,'19_Расчет_аналитики'!L4540:L4564),0)</f>
        <v/>
      </c>
      <c r="M4432">
        <f>IF('01_Вводные'!$B$234="Да",SUM('19_Расчет_аналитики'!M4512:M4536,'19_Расчет_аналитики'!M4540:M4564),0)</f>
        <v/>
      </c>
      <c r="N4432">
        <f>IF('01_Вводные'!$B$234="Да",SUM('19_Расчет_аналитики'!N4512:N4536,'19_Расчет_аналитики'!N4540:N4564),0)</f>
        <v/>
      </c>
      <c r="O4432">
        <f>IF('01_Вводные'!$B$234="Да",SUM('19_Расчет_аналитики'!O4512:O4536,'19_Расчет_аналитики'!O4540:O4564),0)</f>
        <v/>
      </c>
      <c r="P4432">
        <f>IF('01_Вводные'!$B$234="Да",SUM('19_Расчет_аналитики'!P4512:P4536,'19_Расчет_аналитики'!P4540:P4564),0)</f>
        <v/>
      </c>
      <c r="Q4432">
        <f>IF('01_Вводные'!$B$234="Да",SUM('19_Расчет_аналитики'!Q4512:Q4536,'19_Расчет_аналитики'!Q4540:Q4564),0)</f>
        <v/>
      </c>
      <c r="R4432">
        <f>IF('01_Вводные'!$B$234="Да",SUM('19_Расчет_аналитики'!R4512:R4536,'19_Расчет_аналитики'!R4540:R4564),0)</f>
        <v/>
      </c>
      <c r="S4432">
        <f>IF('01_Вводные'!$B$234="Да",SUM('19_Расчет_аналитики'!S4512:S4536,'19_Расчет_аналитики'!S4540:S4564),0)</f>
        <v/>
      </c>
      <c r="T4432">
        <f>IF('01_Вводные'!$B$234="Да",SUM('19_Расчет_аналитики'!T4512:T4536,'19_Расчет_аналитики'!T4540:T4564),0)</f>
        <v/>
      </c>
      <c r="U4432">
        <f>IF('01_Вводные'!$B$234="Да",SUM('19_Расчет_аналитики'!U4512:U4536,'19_Расчет_аналитики'!U4540:U4564),0)</f>
        <v/>
      </c>
      <c r="V4432">
        <f>IF('01_Вводные'!$B$234="Да",SUM('19_Расчет_аналитики'!V4512:V4536,'19_Расчет_аналитики'!V4540:V4564),0)</f>
        <v/>
      </c>
      <c r="W4432">
        <f>IF('01_Вводные'!$B$234="Да",SUM('19_Расчет_аналитики'!W4512:W4536,'19_Расчет_аналитики'!W4540:W4564),0)</f>
        <v/>
      </c>
      <c r="X4432">
        <f>IF('01_Вводные'!$B$234="Да",SUM('19_Расчет_аналитики'!X4512:X4536,'19_Расчет_аналитики'!X4540:X4564),0)</f>
        <v/>
      </c>
      <c r="Y4432">
        <f>IF('01_Вводные'!$B$234="Да",SUM('19_Расчет_аналитики'!Y4512:Y4536,'19_Расчет_аналитики'!Y4540:Y4564),0)</f>
        <v/>
      </c>
      <c r="Z4432">
        <f>IF('01_Вводные'!$B$234="Да",SUM('19_Расчет_аналитики'!Z4512:Z4536,'19_Расчет_аналитики'!Z4540:Z4564),0)</f>
        <v/>
      </c>
      <c r="AA4432">
        <f>IF('01_Вводные'!$B$234="Да",SUM('19_Расчет_аналитики'!AA4512:AA4536,'19_Расчет_аналитики'!AA4540:AA4564),0)</f>
        <v/>
      </c>
      <c r="AB4432">
        <f>IF('01_Вводные'!$B$234="Да",SUM('19_Расчет_аналитики'!AB4512:AB4536,'19_Расчет_аналитики'!AB4540:AB4564),0)</f>
        <v/>
      </c>
      <c r="AC4432">
        <f>IF('01_Вводные'!$B$234="Да",SUM('19_Расчет_аналитики'!AC4512:AC4536,'19_Расчет_аналитики'!AC4540:AC4564),0)</f>
        <v/>
      </c>
      <c r="AD4432">
        <f>IF('01_Вводные'!$B$234="Да",SUM('19_Расчет_аналитики'!AD4512:AD4536,'19_Расчет_аналитики'!AD4540:AD4564),0)</f>
        <v/>
      </c>
      <c r="AE4432">
        <f>IF('01_Вводные'!$B$234="Да",SUM('19_Расчет_аналитики'!AE4512:AE4536,'19_Расчет_аналитики'!AE4540:AE4564),0)</f>
        <v/>
      </c>
      <c r="AF4432">
        <f>IF('01_Вводные'!$B$234="Да",SUM('19_Расчет_аналитики'!AF4512:AF4536,'19_Расчет_аналитики'!AF4540:AF4564),0)</f>
        <v/>
      </c>
      <c r="AG4432">
        <f>IF('01_Вводные'!$B$234="Да",SUM('19_Расчет_аналитики'!AG4512:AG4536,'19_Расчет_аналитики'!AG4540:AG4564),0)</f>
        <v/>
      </c>
      <c r="AH4432">
        <f>IF('01_Вводные'!$B$234="Да",SUM('19_Расчет_аналитики'!AH4512:AH4536,'19_Расчет_аналитики'!AH4540:AH4564),0)</f>
        <v/>
      </c>
      <c r="AI4432">
        <f>IF('01_Вводные'!$B$234="Да",SUM('19_Расчет_аналитики'!AI4512:AI4536,'19_Расчет_аналитики'!AI4540:AI4564),0)</f>
        <v/>
      </c>
      <c r="AJ4432">
        <f>IF('01_Вводные'!$B$234="Да",SUM('19_Расчет_аналитики'!AJ4512:AJ4536,'19_Расчет_аналитики'!AJ4540:AJ4564),0)</f>
        <v/>
      </c>
      <c r="AK4432">
        <f>IF('01_Вводные'!$B$234="Да",SUM('19_Расчет_аналитики'!AK4512:AK4536,'19_Расчет_аналитики'!AK4540:AK4564),0)</f>
        <v/>
      </c>
      <c r="AL4432">
        <f>IF('01_Вводные'!$B$234="Да",SUM('19_Расчет_аналитики'!AL4512:AL4536,'19_Расчет_аналитики'!AL4540:AL4564),0)</f>
        <v/>
      </c>
      <c r="AM4432">
        <f>IF('01_Вводные'!$B$234="Да",SUM('19_Расчет_аналитики'!AM4512:AM4536,'19_Расчет_аналитики'!AM4540:AM4564),0)</f>
        <v/>
      </c>
      <c r="AN4432">
        <f>IF('01_Вводные'!$B$234="Да",SUM('19_Расчет_аналитики'!AN4512:AN4536,'19_Расчет_аналитики'!AN4540:AN4564),0)</f>
        <v/>
      </c>
      <c r="AO4432">
        <f>IF('01_Вводные'!$B$234="Да",SUM('19_Расчет_аналитики'!AO4512:AO4536,'19_Расчет_аналитики'!AO4540:AO4564),0)</f>
        <v/>
      </c>
      <c r="AP4432">
        <f>IF('01_Вводные'!$B$234="Да",SUM('19_Расчет_аналитики'!AP4512:AP4536,'19_Расчет_аналитики'!AP4540:AP4564),0)</f>
        <v/>
      </c>
      <c r="AQ4432">
        <f>IF('01_Вводные'!$B$234="Да",SUM('19_Расчет_аналитики'!AQ4512:AQ4536,'19_Расчет_аналитики'!AQ4540:AQ4564),0)</f>
        <v/>
      </c>
      <c r="AR4432">
        <f>IF('01_Вводные'!$B$234="Да",SUM('19_Расчет_аналитики'!AR4512:AR4536,'19_Расчет_аналитики'!AR4540:AR4564),0)</f>
        <v/>
      </c>
      <c r="AS4432">
        <f>IF('01_Вводные'!$B$234="Да",SUM('19_Расчет_аналитики'!AS4512:AS4536,'19_Расчет_аналитики'!AS4540:AS4564),0)</f>
        <v/>
      </c>
      <c r="AT4432">
        <f>IF('01_Вводные'!$B$234="Да",SUM('19_Расчет_аналитики'!AT4512:AT4536,'19_Расчет_аналитики'!AT4540:AT4564),0)</f>
        <v/>
      </c>
      <c r="AU4432">
        <f>IF('01_Вводные'!$B$234="Да",SUM('19_Расчет_аналитики'!AU4512:AU4536,'19_Расчет_аналитики'!AU4540:AU4564),0)</f>
        <v/>
      </c>
      <c r="AV4432">
        <f>IF('01_Вводные'!$B$234="Да",SUM('19_Расчет_аналитики'!AV4512:AV4536,'19_Расчет_аналитики'!AV4540:AV4564),0)</f>
        <v/>
      </c>
      <c r="AW4432">
        <f>IF('01_Вводные'!$B$234="Да",SUM('19_Расчет_аналитики'!AW4512:AW4536,'19_Расчет_аналитики'!AW4540:AW4564),0)</f>
        <v/>
      </c>
      <c r="AX4432">
        <f>IF('01_Вводные'!$B$234="Да",SUM('19_Расчет_аналитики'!AX4512:AX4536,'19_Расчет_аналитики'!AX4540:AX4564),0)</f>
        <v/>
      </c>
      <c r="AY4432">
        <f>IF('01_Вводные'!$B$234="Да",SUM('19_Расчет_аналитики'!AY4512:AY4536,'19_Расчет_аналитики'!AY4540:AY4564),0)</f>
        <v/>
      </c>
      <c r="AZ4432">
        <f>IF('01_Вводные'!$B$234="Да",SUM('19_Расчет_аналитики'!AZ4512:AZ4536,'19_Расчет_аналитики'!AZ4540:AZ4564),0)</f>
        <v/>
      </c>
      <c r="BA4432">
        <f>IF('01_Вводные'!$B$234="Да",SUM('19_Расчет_аналитики'!BA4512:BA4536,'19_Расчет_аналитики'!BA4540:BA4564),0)</f>
        <v/>
      </c>
      <c r="BB4432">
        <f>IF('01_Вводные'!$B$234="Да",SUM('19_Расчет_аналитики'!BB4512:BB4536,'19_Расчет_аналитики'!BB4540:BB4564),0)</f>
        <v/>
      </c>
      <c r="BC4432">
        <f>IF('01_Вводные'!$B$234="Да",SUM('19_Расчет_аналитики'!BC4512:BC4536,'19_Расчет_аналитики'!BC4540:BC4564),0)</f>
        <v/>
      </c>
      <c r="BD4432">
        <f>IF('01_Вводные'!$B$234="Да",SUM('19_Расчет_аналитики'!BD4512:BD4536,'19_Расчет_аналитики'!BD4540:BD4564),0)</f>
        <v/>
      </c>
      <c r="BE4432">
        <f>IF('01_Вводные'!$B$234="Да",SUM('19_Расчет_аналитики'!BE4512:BE4536,'19_Расчет_аналитики'!BE4540:BE4564),0)</f>
        <v/>
      </c>
      <c r="BF4432">
        <f>IF('01_Вводные'!$B$234="Да",SUM('19_Расчет_аналитики'!BF4512:BF4536,'19_Расчет_аналитики'!BF4540:BF4564),0)</f>
        <v/>
      </c>
      <c r="BG4432">
        <f>IF('01_Вводные'!$B$234="Да",SUM('19_Расчет_аналитики'!BG4512:BG4536,'19_Расчет_аналитики'!BG4540:BG4564),0)</f>
        <v/>
      </c>
      <c r="BH4432">
        <f>IF('01_Вводные'!$B$234="Да",SUM('19_Расчет_аналитики'!BH4512:BH4536,'19_Расчет_аналитики'!BH4540:BH4564),0)</f>
        <v/>
      </c>
      <c r="BI4432">
        <f>IF('01_Вводные'!$B$234="Да",SUM('19_Расчет_аналитики'!BI4512:BI4536,'19_Расчет_аналитики'!BI4540:BI4564),0)</f>
        <v/>
      </c>
      <c r="BJ4432">
        <f>IF('01_Вводные'!$B$234="Да",SUM('19_Расчет_аналитики'!BJ4512:BJ4536,'19_Расчет_аналитики'!BJ4540:BJ4564),0)</f>
        <v/>
      </c>
      <c r="BK4432">
        <f>IF('01_Вводные'!$B$234="Да",SUM('19_Расчет_аналитики'!BK4512:BK4536,'19_Расчет_аналитики'!BK4540:BK4564),0)</f>
        <v/>
      </c>
      <c r="BL4432">
        <f>IF('01_Вводные'!$B$234="Да",SUM('19_Расчет_аналитики'!BL4512:BL4536,'19_Расчет_аналитики'!BL4540:BL4564),0)</f>
        <v/>
      </c>
      <c r="BM4432">
        <f>IF('01_Вводные'!$B$234="Да",SUM('19_Расчет_аналитики'!BM4512:BM4536,'19_Расчет_аналитики'!BM4540:BM4564),0)</f>
        <v/>
      </c>
      <c r="BN4432">
        <f>IF('01_Вводные'!$B$234="Да",SUM('19_Расчет_аналитики'!BN4512:BN4536,'19_Расчет_аналитики'!BN4540:BN4564),0)</f>
        <v/>
      </c>
      <c r="BO4432">
        <f>IF('01_Вводные'!$B$234="Да",SUM('19_Расчет_аналитики'!BO4512:BO4536,'19_Расчет_аналитики'!BO4540:BO4564),0)</f>
        <v/>
      </c>
    </row>
    <row r="4433">
      <c r="B4433">
        <f>IF('01_Вводные'!$B$234="Да",'19_Расчет_аналитики'!B4431+'19_Расчет_аналитики'!B4432,0)</f>
        <v/>
      </c>
      <c r="C4433">
        <f>IF('01_Вводные'!$B$234="Да",'19_Расчет_аналитики'!C4431+'19_Расчет_аналитики'!C4432,0)</f>
        <v/>
      </c>
      <c r="D4433">
        <f>IF('01_Вводные'!$B$234="Да",'19_Расчет_аналитики'!D4431+'19_Расчет_аналитики'!D4432,0)</f>
        <v/>
      </c>
      <c r="E4433">
        <f>IF('01_Вводные'!$B$234="Да",'19_Расчет_аналитики'!E4431+'19_Расчет_аналитики'!E4432,0)</f>
        <v/>
      </c>
      <c r="F4433">
        <f>IF('01_Вводные'!$B$234="Да",'19_Расчет_аналитики'!F4431+'19_Расчет_аналитики'!F4432,0)</f>
        <v/>
      </c>
      <c r="G4433">
        <f>IF('01_Вводные'!$B$234="Да",'19_Расчет_аналитики'!G4431+'19_Расчет_аналитики'!G4432,0)</f>
        <v/>
      </c>
      <c r="H4433">
        <f>IF('01_Вводные'!$B$234="Да",'19_Расчет_аналитики'!H4431+'19_Расчет_аналитики'!H4432,0)</f>
        <v/>
      </c>
      <c r="I4433">
        <f>IF('01_Вводные'!$B$234="Да",'19_Расчет_аналитики'!I4431+'19_Расчет_аналитики'!I4432,0)</f>
        <v/>
      </c>
      <c r="J4433">
        <f>IF('01_Вводные'!$B$234="Да",'19_Расчет_аналитики'!J4431+'19_Расчет_аналитики'!J4432,0)</f>
        <v/>
      </c>
      <c r="K4433">
        <f>IF('01_Вводные'!$B$234="Да",'19_Расчет_аналитики'!K4431+'19_Расчет_аналитики'!K4432,0)</f>
        <v/>
      </c>
      <c r="L4433">
        <f>IF('01_Вводные'!$B$234="Да",'19_Расчет_аналитики'!L4431+'19_Расчет_аналитики'!L4432,0)</f>
        <v/>
      </c>
      <c r="M4433">
        <f>IF('01_Вводные'!$B$234="Да",'19_Расчет_аналитики'!M4431+'19_Расчет_аналитики'!M4432,0)</f>
        <v/>
      </c>
      <c r="N4433">
        <f>IF('01_Вводные'!$B$234="Да",'19_Расчет_аналитики'!N4431+'19_Расчет_аналитики'!N4432,0)</f>
        <v/>
      </c>
      <c r="O4433">
        <f>IF('01_Вводные'!$B$234="Да",'19_Расчет_аналитики'!O4431+'19_Расчет_аналитики'!O4432,0)</f>
        <v/>
      </c>
      <c r="P4433">
        <f>IF('01_Вводные'!$B$234="Да",'19_Расчет_аналитики'!P4431+'19_Расчет_аналитики'!P4432,0)</f>
        <v/>
      </c>
      <c r="Q4433">
        <f>IF('01_Вводные'!$B$234="Да",'19_Расчет_аналитики'!Q4431+'19_Расчет_аналитики'!Q4432,0)</f>
        <v/>
      </c>
      <c r="R4433">
        <f>IF('01_Вводные'!$B$234="Да",'19_Расчет_аналитики'!R4431+'19_Расчет_аналитики'!R4432,0)</f>
        <v/>
      </c>
      <c r="S4433">
        <f>IF('01_Вводные'!$B$234="Да",'19_Расчет_аналитики'!S4431+'19_Расчет_аналитики'!S4432,0)</f>
        <v/>
      </c>
      <c r="T4433">
        <f>IF('01_Вводные'!$B$234="Да",'19_Расчет_аналитики'!T4431+'19_Расчет_аналитики'!T4432,0)</f>
        <v/>
      </c>
      <c r="U4433">
        <f>IF('01_Вводные'!$B$234="Да",'19_Расчет_аналитики'!U4431+'19_Расчет_аналитики'!U4432,0)</f>
        <v/>
      </c>
      <c r="V4433">
        <f>IF('01_Вводные'!$B$234="Да",'19_Расчет_аналитики'!V4431+'19_Расчет_аналитики'!V4432,0)</f>
        <v/>
      </c>
      <c r="W4433">
        <f>IF('01_Вводные'!$B$234="Да",'19_Расчет_аналитики'!W4431+'19_Расчет_аналитики'!W4432,0)</f>
        <v/>
      </c>
      <c r="X4433">
        <f>IF('01_Вводные'!$B$234="Да",'19_Расчет_аналитики'!X4431+'19_Расчет_аналитики'!X4432,0)</f>
        <v/>
      </c>
      <c r="Y4433">
        <f>IF('01_Вводные'!$B$234="Да",'19_Расчет_аналитики'!Y4431+'19_Расчет_аналитики'!Y4432,0)</f>
        <v/>
      </c>
      <c r="Z4433">
        <f>IF('01_Вводные'!$B$234="Да",'19_Расчет_аналитики'!Z4431+'19_Расчет_аналитики'!Z4432,0)</f>
        <v/>
      </c>
      <c r="AA4433">
        <f>IF('01_Вводные'!$B$234="Да",'19_Расчет_аналитики'!AA4431+'19_Расчет_аналитики'!AA4432,0)</f>
        <v/>
      </c>
      <c r="AB4433">
        <f>IF('01_Вводные'!$B$234="Да",'19_Расчет_аналитики'!AB4431+'19_Расчет_аналитики'!AB4432,0)</f>
        <v/>
      </c>
      <c r="AC4433">
        <f>IF('01_Вводные'!$B$234="Да",'19_Расчет_аналитики'!AC4431+'19_Расчет_аналитики'!AC4432,0)</f>
        <v/>
      </c>
      <c r="AD4433">
        <f>IF('01_Вводные'!$B$234="Да",'19_Расчет_аналитики'!AD4431+'19_Расчет_аналитики'!AD4432,0)</f>
        <v/>
      </c>
      <c r="AE4433">
        <f>IF('01_Вводные'!$B$234="Да",'19_Расчет_аналитики'!AE4431+'19_Расчет_аналитики'!AE4432,0)</f>
        <v/>
      </c>
      <c r="AF4433">
        <f>IF('01_Вводные'!$B$234="Да",'19_Расчет_аналитики'!AF4431+'19_Расчет_аналитики'!AF4432,0)</f>
        <v/>
      </c>
      <c r="AG4433">
        <f>IF('01_Вводные'!$B$234="Да",'19_Расчет_аналитики'!AG4431+'19_Расчет_аналитики'!AG4432,0)</f>
        <v/>
      </c>
      <c r="AH4433">
        <f>IF('01_Вводные'!$B$234="Да",'19_Расчет_аналитики'!AH4431+'19_Расчет_аналитики'!AH4432,0)</f>
        <v/>
      </c>
      <c r="AI4433">
        <f>IF('01_Вводные'!$B$234="Да",'19_Расчет_аналитики'!AI4431+'19_Расчет_аналитики'!AI4432,0)</f>
        <v/>
      </c>
      <c r="AJ4433">
        <f>IF('01_Вводные'!$B$234="Да",'19_Расчет_аналитики'!AJ4431+'19_Расчет_аналитики'!AJ4432,0)</f>
        <v/>
      </c>
      <c r="AK4433">
        <f>IF('01_Вводные'!$B$234="Да",'19_Расчет_аналитики'!AK4431+'19_Расчет_аналитики'!AK4432,0)</f>
        <v/>
      </c>
      <c r="AL4433">
        <f>IF('01_Вводные'!$B$234="Да",'19_Расчет_аналитики'!AL4431+'19_Расчет_аналитики'!AL4432,0)</f>
        <v/>
      </c>
      <c r="AM4433">
        <f>IF('01_Вводные'!$B$234="Да",'19_Расчет_аналитики'!AM4431+'19_Расчет_аналитики'!AM4432,0)</f>
        <v/>
      </c>
      <c r="AN4433">
        <f>IF('01_Вводные'!$B$234="Да",'19_Расчет_аналитики'!AN4431+'19_Расчет_аналитики'!AN4432,0)</f>
        <v/>
      </c>
      <c r="AO4433">
        <f>IF('01_Вводные'!$B$234="Да",'19_Расчет_аналитики'!AO4431+'19_Расчет_аналитики'!AO4432,0)</f>
        <v/>
      </c>
      <c r="AP4433">
        <f>IF('01_Вводные'!$B$234="Да",'19_Расчет_аналитики'!AP4431+'19_Расчет_аналитики'!AP4432,0)</f>
        <v/>
      </c>
      <c r="AQ4433">
        <f>IF('01_Вводные'!$B$234="Да",'19_Расчет_аналитики'!AQ4431+'19_Расчет_аналитики'!AQ4432,0)</f>
        <v/>
      </c>
      <c r="AR4433">
        <f>IF('01_Вводные'!$B$234="Да",'19_Расчет_аналитики'!AR4431+'19_Расчет_аналитики'!AR4432,0)</f>
        <v/>
      </c>
      <c r="AS4433">
        <f>IF('01_Вводные'!$B$234="Да",'19_Расчет_аналитики'!AS4431+'19_Расчет_аналитики'!AS4432,0)</f>
        <v/>
      </c>
      <c r="AT4433">
        <f>IF('01_Вводные'!$B$234="Да",'19_Расчет_аналитики'!AT4431+'19_Расчет_аналитики'!AT4432,0)</f>
        <v/>
      </c>
      <c r="AU4433">
        <f>IF('01_Вводные'!$B$234="Да",'19_Расчет_аналитики'!AU4431+'19_Расчет_аналитики'!AU4432,0)</f>
        <v/>
      </c>
      <c r="AV4433">
        <f>IF('01_Вводные'!$B$234="Да",'19_Расчет_аналитики'!AV4431+'19_Расчет_аналитики'!AV4432,0)</f>
        <v/>
      </c>
      <c r="AW4433">
        <f>IF('01_Вводные'!$B$234="Да",'19_Расчет_аналитики'!AW4431+'19_Расчет_аналитики'!AW4432,0)</f>
        <v/>
      </c>
      <c r="AX4433">
        <f>IF('01_Вводные'!$B$234="Да",'19_Расчет_аналитики'!AX4431+'19_Расчет_аналитики'!AX4432,0)</f>
        <v/>
      </c>
      <c r="AY4433">
        <f>IF('01_Вводные'!$B$234="Да",'19_Расчет_аналитики'!AY4431+'19_Расчет_аналитики'!AY4432,0)</f>
        <v/>
      </c>
      <c r="AZ4433">
        <f>IF('01_Вводные'!$B$234="Да",'19_Расчет_аналитики'!AZ4431+'19_Расчет_аналитики'!AZ4432,0)</f>
        <v/>
      </c>
      <c r="BA4433">
        <f>IF('01_Вводные'!$B$234="Да",'19_Расчет_аналитики'!BA4431+'19_Расчет_аналитики'!BA4432,0)</f>
        <v/>
      </c>
      <c r="BB4433">
        <f>IF('01_Вводные'!$B$234="Да",'19_Расчет_аналитики'!BB4431+'19_Расчет_аналитики'!BB4432,0)</f>
        <v/>
      </c>
      <c r="BC4433">
        <f>IF('01_Вводные'!$B$234="Да",'19_Расчет_аналитики'!BC4431+'19_Расчет_аналитики'!BC4432,0)</f>
        <v/>
      </c>
      <c r="BD4433">
        <f>IF('01_Вводные'!$B$234="Да",'19_Расчет_аналитики'!BD4431+'19_Расчет_аналитики'!BD4432,0)</f>
        <v/>
      </c>
      <c r="BE4433">
        <f>IF('01_Вводные'!$B$234="Да",'19_Расчет_аналитики'!BE4431+'19_Расчет_аналитики'!BE4432,0)</f>
        <v/>
      </c>
      <c r="BF4433">
        <f>IF('01_Вводные'!$B$234="Да",'19_Расчет_аналитики'!BF4431+'19_Расчет_аналитики'!BF4432,0)</f>
        <v/>
      </c>
      <c r="BG4433">
        <f>IF('01_Вводные'!$B$234="Да",'19_Расчет_аналитики'!BG4431+'19_Расчет_аналитики'!BG4432,0)</f>
        <v/>
      </c>
      <c r="BH4433">
        <f>IF('01_Вводные'!$B$234="Да",'19_Расчет_аналитики'!BH4431+'19_Расчет_аналитики'!BH4432,0)</f>
        <v/>
      </c>
      <c r="BI4433">
        <f>IF('01_Вводные'!$B$234="Да",'19_Расчет_аналитики'!BI4431+'19_Расчет_аналитики'!BI4432,0)</f>
        <v/>
      </c>
      <c r="BJ4433">
        <f>IF('01_Вводные'!$B$234="Да",'19_Расчет_аналитики'!BJ4431+'19_Расчет_аналитики'!BJ4432,0)</f>
        <v/>
      </c>
      <c r="BK4433">
        <f>IF('01_Вводные'!$B$234="Да",'19_Расчет_аналитики'!BK4431+'19_Расчет_аналитики'!BK4432,0)</f>
        <v/>
      </c>
      <c r="BL4433">
        <f>IF('01_Вводные'!$B$234="Да",'19_Расчет_аналитики'!BL4431+'19_Расчет_аналитики'!BL4432,0)</f>
        <v/>
      </c>
      <c r="BM4433">
        <f>IF('01_Вводные'!$B$234="Да",'19_Расчет_аналитики'!BM4431+'19_Расчет_аналитики'!BM4432,0)</f>
        <v/>
      </c>
      <c r="BN4433">
        <f>IF('01_Вводные'!$B$234="Да",'19_Расчет_аналитики'!BN4431+'19_Расчет_аналитики'!BN4432,0)</f>
        <v/>
      </c>
      <c r="BO4433">
        <f>IF('01_Вводные'!$B$234="Да",'19_Расчет_аналитики'!BO4431+'19_Расчет_аналитики'!BO4432,0)</f>
        <v/>
      </c>
    </row>
    <row r="4434"/>
    <row r="4435"/>
    <row r="4436">
      <c r="B4436">
        <f>IF('01_Вводные'!$B$234="Да",IF(OR(1&lt;='01_Вводные'!$B$15,1-'01_Вводные'!$B$15&gt;60),0,IF(INDEX('04_Продажи'!$B$11:$BI$11,1,1-'01_Вводные'!$B$15)&lt;='01_Вводные'!$B$244,'19_Расчет_аналитики'!B4411,0)),0)</f>
        <v/>
      </c>
      <c r="C4436">
        <f>IF('01_Вводные'!$B$234="Да",IF(OR(2&lt;='01_Вводные'!$B$15,2-'01_Вводные'!$B$15&gt;60),0,IF(INDEX('04_Продажи'!$B$11:$BI$11,1,2-'01_Вводные'!$B$15)&lt;='01_Вводные'!$B$244,'19_Расчет_аналитики'!C4411,0)),0)</f>
        <v/>
      </c>
      <c r="D4436">
        <f>IF('01_Вводные'!$B$234="Да",IF(OR(3&lt;='01_Вводные'!$B$15,3-'01_Вводные'!$B$15&gt;60),0,IF(INDEX('04_Продажи'!$B$11:$BI$11,1,3-'01_Вводные'!$B$15)&lt;='01_Вводные'!$B$244,'19_Расчет_аналитики'!D4411,0)),0)</f>
        <v/>
      </c>
      <c r="E4436">
        <f>IF('01_Вводные'!$B$234="Да",IF(OR(4&lt;='01_Вводные'!$B$15,4-'01_Вводные'!$B$15&gt;60),0,IF(INDEX('04_Продажи'!$B$11:$BI$11,1,4-'01_Вводные'!$B$15)&lt;='01_Вводные'!$B$244,'19_Расчет_аналитики'!E4411,0)),0)</f>
        <v/>
      </c>
      <c r="F4436">
        <f>IF('01_Вводные'!$B$234="Да",IF(OR(5&lt;='01_Вводные'!$B$15,5-'01_Вводные'!$B$15&gt;60),0,IF(INDEX('04_Продажи'!$B$11:$BI$11,1,5-'01_Вводные'!$B$15)&lt;='01_Вводные'!$B$244,'19_Расчет_аналитики'!F4411,0)),0)</f>
        <v/>
      </c>
      <c r="G4436">
        <f>IF('01_Вводные'!$B$234="Да",IF(OR(6&lt;='01_Вводные'!$B$15,6-'01_Вводные'!$B$15&gt;60),0,IF(INDEX('04_Продажи'!$B$11:$BI$11,1,6-'01_Вводные'!$B$15)&lt;='01_Вводные'!$B$244,'19_Расчет_аналитики'!G4411,0)),0)</f>
        <v/>
      </c>
      <c r="H4436">
        <f>IF('01_Вводные'!$B$234="Да",IF(OR(7&lt;='01_Вводные'!$B$15,7-'01_Вводные'!$B$15&gt;60),0,IF(INDEX('04_Продажи'!$B$11:$BI$11,1,7-'01_Вводные'!$B$15)&lt;='01_Вводные'!$B$244,'19_Расчет_аналитики'!H4411,0)),0)</f>
        <v/>
      </c>
      <c r="I4436">
        <f>IF('01_Вводные'!$B$234="Да",IF(OR(8&lt;='01_Вводные'!$B$15,8-'01_Вводные'!$B$15&gt;60),0,IF(INDEX('04_Продажи'!$B$11:$BI$11,1,8-'01_Вводные'!$B$15)&lt;='01_Вводные'!$B$244,'19_Расчет_аналитики'!I4411,0)),0)</f>
        <v/>
      </c>
      <c r="J4436">
        <f>IF('01_Вводные'!$B$234="Да",IF(OR(9&lt;='01_Вводные'!$B$15,9-'01_Вводные'!$B$15&gt;60),0,IF(INDEX('04_Продажи'!$B$11:$BI$11,1,9-'01_Вводные'!$B$15)&lt;='01_Вводные'!$B$244,'19_Расчет_аналитики'!J4411,0)),0)</f>
        <v/>
      </c>
      <c r="K4436">
        <f>IF('01_Вводные'!$B$234="Да",IF(OR(10&lt;='01_Вводные'!$B$15,10-'01_Вводные'!$B$15&gt;60),0,IF(INDEX('04_Продажи'!$B$11:$BI$11,1,10-'01_Вводные'!$B$15)&lt;='01_Вводные'!$B$244,'19_Расчет_аналитики'!K4411,0)),0)</f>
        <v/>
      </c>
      <c r="L4436">
        <f>IF('01_Вводные'!$B$234="Да",IF(OR(11&lt;='01_Вводные'!$B$15,11-'01_Вводные'!$B$15&gt;60),0,IF(INDEX('04_Продажи'!$B$11:$BI$11,1,11-'01_Вводные'!$B$15)&lt;='01_Вводные'!$B$244,'19_Расчет_аналитики'!L4411,0)),0)</f>
        <v/>
      </c>
      <c r="M4436">
        <f>IF('01_Вводные'!$B$234="Да",IF(OR(12&lt;='01_Вводные'!$B$15,12-'01_Вводные'!$B$15&gt;60),0,IF(INDEX('04_Продажи'!$B$11:$BI$11,1,12-'01_Вводные'!$B$15)&lt;='01_Вводные'!$B$244,'19_Расчет_аналитики'!M4411,0)),0)</f>
        <v/>
      </c>
      <c r="N4436">
        <f>IF('01_Вводные'!$B$234="Да",IF(OR(13&lt;='01_Вводные'!$B$15,13-'01_Вводные'!$B$15&gt;60),0,IF(INDEX('04_Продажи'!$B$11:$BI$11,1,13-'01_Вводные'!$B$15)&lt;='01_Вводные'!$B$244,'19_Расчет_аналитики'!N4411,0)),0)</f>
        <v/>
      </c>
      <c r="O4436">
        <f>IF('01_Вводные'!$B$234="Да",IF(OR(14&lt;='01_Вводные'!$B$15,14-'01_Вводные'!$B$15&gt;60),0,IF(INDEX('04_Продажи'!$B$11:$BI$11,1,14-'01_Вводные'!$B$15)&lt;='01_Вводные'!$B$244,'19_Расчет_аналитики'!O4411,0)),0)</f>
        <v/>
      </c>
      <c r="P4436">
        <f>IF('01_Вводные'!$B$234="Да",IF(OR(15&lt;='01_Вводные'!$B$15,15-'01_Вводные'!$B$15&gt;60),0,IF(INDEX('04_Продажи'!$B$11:$BI$11,1,15-'01_Вводные'!$B$15)&lt;='01_Вводные'!$B$244,'19_Расчет_аналитики'!P4411,0)),0)</f>
        <v/>
      </c>
      <c r="Q4436">
        <f>IF('01_Вводные'!$B$234="Да",IF(OR(16&lt;='01_Вводные'!$B$15,16-'01_Вводные'!$B$15&gt;60),0,IF(INDEX('04_Продажи'!$B$11:$BI$11,1,16-'01_Вводные'!$B$15)&lt;='01_Вводные'!$B$244,'19_Расчет_аналитики'!Q4411,0)),0)</f>
        <v/>
      </c>
      <c r="R4436">
        <f>IF('01_Вводные'!$B$234="Да",IF(OR(17&lt;='01_Вводные'!$B$15,17-'01_Вводные'!$B$15&gt;60),0,IF(INDEX('04_Продажи'!$B$11:$BI$11,1,17-'01_Вводные'!$B$15)&lt;='01_Вводные'!$B$244,'19_Расчет_аналитики'!R4411,0)),0)</f>
        <v/>
      </c>
      <c r="S4436">
        <f>IF('01_Вводные'!$B$234="Да",IF(OR(18&lt;='01_Вводные'!$B$15,18-'01_Вводные'!$B$15&gt;60),0,IF(INDEX('04_Продажи'!$B$11:$BI$11,1,18-'01_Вводные'!$B$15)&lt;='01_Вводные'!$B$244,'19_Расчет_аналитики'!S4411,0)),0)</f>
        <v/>
      </c>
      <c r="T4436">
        <f>IF('01_Вводные'!$B$234="Да",IF(OR(19&lt;='01_Вводные'!$B$15,19-'01_Вводные'!$B$15&gt;60),0,IF(INDEX('04_Продажи'!$B$11:$BI$11,1,19-'01_Вводные'!$B$15)&lt;='01_Вводные'!$B$244,'19_Расчет_аналитики'!T4411,0)),0)</f>
        <v/>
      </c>
      <c r="U4436">
        <f>IF('01_Вводные'!$B$234="Да",IF(OR(20&lt;='01_Вводные'!$B$15,20-'01_Вводные'!$B$15&gt;60),0,IF(INDEX('04_Продажи'!$B$11:$BI$11,1,20-'01_Вводные'!$B$15)&lt;='01_Вводные'!$B$244,'19_Расчет_аналитики'!U4411,0)),0)</f>
        <v/>
      </c>
      <c r="V4436">
        <f>IF('01_Вводные'!$B$234="Да",IF(OR(21&lt;='01_Вводные'!$B$15,21-'01_Вводные'!$B$15&gt;60),0,IF(INDEX('04_Продажи'!$B$11:$BI$11,1,21-'01_Вводные'!$B$15)&lt;='01_Вводные'!$B$244,'19_Расчет_аналитики'!V4411,0)),0)</f>
        <v/>
      </c>
      <c r="W4436">
        <f>IF('01_Вводные'!$B$234="Да",IF(OR(22&lt;='01_Вводные'!$B$15,22-'01_Вводные'!$B$15&gt;60),0,IF(INDEX('04_Продажи'!$B$11:$BI$11,1,22-'01_Вводные'!$B$15)&lt;='01_Вводные'!$B$244,'19_Расчет_аналитики'!W4411,0)),0)</f>
        <v/>
      </c>
      <c r="X4436">
        <f>IF('01_Вводные'!$B$234="Да",IF(OR(23&lt;='01_Вводные'!$B$15,23-'01_Вводные'!$B$15&gt;60),0,IF(INDEX('04_Продажи'!$B$11:$BI$11,1,23-'01_Вводные'!$B$15)&lt;='01_Вводные'!$B$244,'19_Расчет_аналитики'!X4411,0)),0)</f>
        <v/>
      </c>
      <c r="Y4436">
        <f>IF('01_Вводные'!$B$234="Да",IF(OR(24&lt;='01_Вводные'!$B$15,24-'01_Вводные'!$B$15&gt;60),0,IF(INDEX('04_Продажи'!$B$11:$BI$11,1,24-'01_Вводные'!$B$15)&lt;='01_Вводные'!$B$244,'19_Расчет_аналитики'!Y4411,0)),0)</f>
        <v/>
      </c>
      <c r="Z4436">
        <f>IF('01_Вводные'!$B$234="Да",IF(OR(25&lt;='01_Вводные'!$B$15,25-'01_Вводные'!$B$15&gt;60),0,IF(INDEX('04_Продажи'!$B$11:$BI$11,1,25-'01_Вводные'!$B$15)&lt;='01_Вводные'!$B$244,'19_Расчет_аналитики'!Z4411,0)),0)</f>
        <v/>
      </c>
      <c r="AA4436">
        <f>IF('01_Вводные'!$B$234="Да",IF(OR(26&lt;='01_Вводные'!$B$15,26-'01_Вводные'!$B$15&gt;60),0,IF(INDEX('04_Продажи'!$B$11:$BI$11,1,26-'01_Вводные'!$B$15)&lt;='01_Вводные'!$B$244,'19_Расчет_аналитики'!AA4411,0)),0)</f>
        <v/>
      </c>
      <c r="AB4436">
        <f>IF('01_Вводные'!$B$234="Да",IF(OR(27&lt;='01_Вводные'!$B$15,27-'01_Вводные'!$B$15&gt;60),0,IF(INDEX('04_Продажи'!$B$11:$BI$11,1,27-'01_Вводные'!$B$15)&lt;='01_Вводные'!$B$244,'19_Расчет_аналитики'!AB4411,0)),0)</f>
        <v/>
      </c>
      <c r="AC4436">
        <f>IF('01_Вводные'!$B$234="Да",IF(OR(28&lt;='01_Вводные'!$B$15,28-'01_Вводные'!$B$15&gt;60),0,IF(INDEX('04_Продажи'!$B$11:$BI$11,1,28-'01_Вводные'!$B$15)&lt;='01_Вводные'!$B$244,'19_Расчет_аналитики'!AC4411,0)),0)</f>
        <v/>
      </c>
      <c r="AD4436">
        <f>IF('01_Вводные'!$B$234="Да",IF(OR(29&lt;='01_Вводные'!$B$15,29-'01_Вводные'!$B$15&gt;60),0,IF(INDEX('04_Продажи'!$B$11:$BI$11,1,29-'01_Вводные'!$B$15)&lt;='01_Вводные'!$B$244,'19_Расчет_аналитики'!AD4411,0)),0)</f>
        <v/>
      </c>
      <c r="AE4436">
        <f>IF('01_Вводные'!$B$234="Да",IF(OR(30&lt;='01_Вводные'!$B$15,30-'01_Вводные'!$B$15&gt;60),0,IF(INDEX('04_Продажи'!$B$11:$BI$11,1,30-'01_Вводные'!$B$15)&lt;='01_Вводные'!$B$244,'19_Расчет_аналитики'!AE4411,0)),0)</f>
        <v/>
      </c>
      <c r="AF4436">
        <f>IF('01_Вводные'!$B$234="Да",IF(OR(31&lt;='01_Вводные'!$B$15,31-'01_Вводные'!$B$15&gt;60),0,IF(INDEX('04_Продажи'!$B$11:$BI$11,1,31-'01_Вводные'!$B$15)&lt;='01_Вводные'!$B$244,'19_Расчет_аналитики'!AF4411,0)),0)</f>
        <v/>
      </c>
      <c r="AG4436">
        <f>IF('01_Вводные'!$B$234="Да",IF(OR(32&lt;='01_Вводные'!$B$15,32-'01_Вводные'!$B$15&gt;60),0,IF(INDEX('04_Продажи'!$B$11:$BI$11,1,32-'01_Вводные'!$B$15)&lt;='01_Вводные'!$B$244,'19_Расчет_аналитики'!AG4411,0)),0)</f>
        <v/>
      </c>
      <c r="AH4436">
        <f>IF('01_Вводные'!$B$234="Да",IF(OR(33&lt;='01_Вводные'!$B$15,33-'01_Вводные'!$B$15&gt;60),0,IF(INDEX('04_Продажи'!$B$11:$BI$11,1,33-'01_Вводные'!$B$15)&lt;='01_Вводные'!$B$244,'19_Расчет_аналитики'!AH4411,0)),0)</f>
        <v/>
      </c>
      <c r="AI4436">
        <f>IF('01_Вводные'!$B$234="Да",IF(OR(34&lt;='01_Вводные'!$B$15,34-'01_Вводные'!$B$15&gt;60),0,IF(INDEX('04_Продажи'!$B$11:$BI$11,1,34-'01_Вводные'!$B$15)&lt;='01_Вводные'!$B$244,'19_Расчет_аналитики'!AI4411,0)),0)</f>
        <v/>
      </c>
      <c r="AJ4436">
        <f>IF('01_Вводные'!$B$234="Да",IF(OR(35&lt;='01_Вводные'!$B$15,35-'01_Вводные'!$B$15&gt;60),0,IF(INDEX('04_Продажи'!$B$11:$BI$11,1,35-'01_Вводные'!$B$15)&lt;='01_Вводные'!$B$244,'19_Расчет_аналитики'!AJ4411,0)),0)</f>
        <v/>
      </c>
      <c r="AK4436">
        <f>IF('01_Вводные'!$B$234="Да",IF(OR(36&lt;='01_Вводные'!$B$15,36-'01_Вводные'!$B$15&gt;60),0,IF(INDEX('04_Продажи'!$B$11:$BI$11,1,36-'01_Вводные'!$B$15)&lt;='01_Вводные'!$B$244,'19_Расчет_аналитики'!AK4411,0)),0)</f>
        <v/>
      </c>
      <c r="AL4436">
        <f>IF('01_Вводные'!$B$234="Да",IF(OR(37&lt;='01_Вводные'!$B$15,37-'01_Вводные'!$B$15&gt;60),0,IF(INDEX('04_Продажи'!$B$11:$BI$11,1,37-'01_Вводные'!$B$15)&lt;='01_Вводные'!$B$244,'19_Расчет_аналитики'!AL4411,0)),0)</f>
        <v/>
      </c>
      <c r="AM4436">
        <f>IF('01_Вводные'!$B$234="Да",IF(OR(38&lt;='01_Вводные'!$B$15,38-'01_Вводные'!$B$15&gt;60),0,IF(INDEX('04_Продажи'!$B$11:$BI$11,1,38-'01_Вводные'!$B$15)&lt;='01_Вводные'!$B$244,'19_Расчет_аналитики'!AM4411,0)),0)</f>
        <v/>
      </c>
      <c r="AN4436">
        <f>IF('01_Вводные'!$B$234="Да",IF(OR(39&lt;='01_Вводные'!$B$15,39-'01_Вводные'!$B$15&gt;60),0,IF(INDEX('04_Продажи'!$B$11:$BI$11,1,39-'01_Вводные'!$B$15)&lt;='01_Вводные'!$B$244,'19_Расчет_аналитики'!AN4411,0)),0)</f>
        <v/>
      </c>
      <c r="AO4436">
        <f>IF('01_Вводные'!$B$234="Да",IF(OR(40&lt;='01_Вводные'!$B$15,40-'01_Вводные'!$B$15&gt;60),0,IF(INDEX('04_Продажи'!$B$11:$BI$11,1,40-'01_Вводные'!$B$15)&lt;='01_Вводные'!$B$244,'19_Расчет_аналитики'!AO4411,0)),0)</f>
        <v/>
      </c>
      <c r="AP4436">
        <f>IF('01_Вводные'!$B$234="Да",IF(OR(41&lt;='01_Вводные'!$B$15,41-'01_Вводные'!$B$15&gt;60),0,IF(INDEX('04_Продажи'!$B$11:$BI$11,1,41-'01_Вводные'!$B$15)&lt;='01_Вводные'!$B$244,'19_Расчет_аналитики'!AP4411,0)),0)</f>
        <v/>
      </c>
      <c r="AQ4436">
        <f>IF('01_Вводные'!$B$234="Да",IF(OR(42&lt;='01_Вводные'!$B$15,42-'01_Вводные'!$B$15&gt;60),0,IF(INDEX('04_Продажи'!$B$11:$BI$11,1,42-'01_Вводные'!$B$15)&lt;='01_Вводные'!$B$244,'19_Расчет_аналитики'!AQ4411,0)),0)</f>
        <v/>
      </c>
      <c r="AR4436">
        <f>IF('01_Вводные'!$B$234="Да",IF(OR(43&lt;='01_Вводные'!$B$15,43-'01_Вводные'!$B$15&gt;60),0,IF(INDEX('04_Продажи'!$B$11:$BI$11,1,43-'01_Вводные'!$B$15)&lt;='01_Вводные'!$B$244,'19_Расчет_аналитики'!AR4411,0)),0)</f>
        <v/>
      </c>
      <c r="AS4436">
        <f>IF('01_Вводные'!$B$234="Да",IF(OR(44&lt;='01_Вводные'!$B$15,44-'01_Вводные'!$B$15&gt;60),0,IF(INDEX('04_Продажи'!$B$11:$BI$11,1,44-'01_Вводные'!$B$15)&lt;='01_Вводные'!$B$244,'19_Расчет_аналитики'!AS4411,0)),0)</f>
        <v/>
      </c>
      <c r="AT4436">
        <f>IF('01_Вводные'!$B$234="Да",IF(OR(45&lt;='01_Вводные'!$B$15,45-'01_Вводные'!$B$15&gt;60),0,IF(INDEX('04_Продажи'!$B$11:$BI$11,1,45-'01_Вводные'!$B$15)&lt;='01_Вводные'!$B$244,'19_Расчет_аналитики'!AT4411,0)),0)</f>
        <v/>
      </c>
      <c r="AU4436">
        <f>IF('01_Вводные'!$B$234="Да",IF(OR(46&lt;='01_Вводные'!$B$15,46-'01_Вводные'!$B$15&gt;60),0,IF(INDEX('04_Продажи'!$B$11:$BI$11,1,46-'01_Вводные'!$B$15)&lt;='01_Вводные'!$B$244,'19_Расчет_аналитики'!AU4411,0)),0)</f>
        <v/>
      </c>
      <c r="AV4436">
        <f>IF('01_Вводные'!$B$234="Да",IF(OR(47&lt;='01_Вводные'!$B$15,47-'01_Вводные'!$B$15&gt;60),0,IF(INDEX('04_Продажи'!$B$11:$BI$11,1,47-'01_Вводные'!$B$15)&lt;='01_Вводные'!$B$244,'19_Расчет_аналитики'!AV4411,0)),0)</f>
        <v/>
      </c>
      <c r="AW4436">
        <f>IF('01_Вводные'!$B$234="Да",IF(OR(48&lt;='01_Вводные'!$B$15,48-'01_Вводные'!$B$15&gt;60),0,IF(INDEX('04_Продажи'!$B$11:$BI$11,1,48-'01_Вводные'!$B$15)&lt;='01_Вводные'!$B$244,'19_Расчет_аналитики'!AW4411,0)),0)</f>
        <v/>
      </c>
      <c r="AX4436">
        <f>IF('01_Вводные'!$B$234="Да",IF(OR(49&lt;='01_Вводные'!$B$15,49-'01_Вводные'!$B$15&gt;60),0,IF(INDEX('04_Продажи'!$B$11:$BI$11,1,49-'01_Вводные'!$B$15)&lt;='01_Вводные'!$B$244,'19_Расчет_аналитики'!AX4411,0)),0)</f>
        <v/>
      </c>
      <c r="AY4436">
        <f>IF('01_Вводные'!$B$234="Да",IF(OR(50&lt;='01_Вводные'!$B$15,50-'01_Вводные'!$B$15&gt;60),0,IF(INDEX('04_Продажи'!$B$11:$BI$11,1,50-'01_Вводные'!$B$15)&lt;='01_Вводные'!$B$244,'19_Расчет_аналитики'!AY4411,0)),0)</f>
        <v/>
      </c>
      <c r="AZ4436">
        <f>IF('01_Вводные'!$B$234="Да",IF(OR(51&lt;='01_Вводные'!$B$15,51-'01_Вводные'!$B$15&gt;60),0,IF(INDEX('04_Продажи'!$B$11:$BI$11,1,51-'01_Вводные'!$B$15)&lt;='01_Вводные'!$B$244,'19_Расчет_аналитики'!AZ4411,0)),0)</f>
        <v/>
      </c>
      <c r="BA4436">
        <f>IF('01_Вводные'!$B$234="Да",IF(OR(52&lt;='01_Вводные'!$B$15,52-'01_Вводные'!$B$15&gt;60),0,IF(INDEX('04_Продажи'!$B$11:$BI$11,1,52-'01_Вводные'!$B$15)&lt;='01_Вводные'!$B$244,'19_Расчет_аналитики'!BA4411,0)),0)</f>
        <v/>
      </c>
      <c r="BB4436">
        <f>IF('01_Вводные'!$B$234="Да",IF(OR(53&lt;='01_Вводные'!$B$15,53-'01_Вводные'!$B$15&gt;60),0,IF(INDEX('04_Продажи'!$B$11:$BI$11,1,53-'01_Вводные'!$B$15)&lt;='01_Вводные'!$B$244,'19_Расчет_аналитики'!BB4411,0)),0)</f>
        <v/>
      </c>
      <c r="BC4436">
        <f>IF('01_Вводные'!$B$234="Да",IF(OR(54&lt;='01_Вводные'!$B$15,54-'01_Вводные'!$B$15&gt;60),0,IF(INDEX('04_Продажи'!$B$11:$BI$11,1,54-'01_Вводные'!$B$15)&lt;='01_Вводные'!$B$244,'19_Расчет_аналитики'!BC4411,0)),0)</f>
        <v/>
      </c>
      <c r="BD4436">
        <f>IF('01_Вводные'!$B$234="Да",IF(OR(55&lt;='01_Вводные'!$B$15,55-'01_Вводные'!$B$15&gt;60),0,IF(INDEX('04_Продажи'!$B$11:$BI$11,1,55-'01_Вводные'!$B$15)&lt;='01_Вводные'!$B$244,'19_Расчет_аналитики'!BD4411,0)),0)</f>
        <v/>
      </c>
      <c r="BE4436">
        <f>IF('01_Вводные'!$B$234="Да",IF(OR(56&lt;='01_Вводные'!$B$15,56-'01_Вводные'!$B$15&gt;60),0,IF(INDEX('04_Продажи'!$B$11:$BI$11,1,56-'01_Вводные'!$B$15)&lt;='01_Вводные'!$B$244,'19_Расчет_аналитики'!BE4411,0)),0)</f>
        <v/>
      </c>
      <c r="BF4436">
        <f>IF('01_Вводные'!$B$234="Да",IF(OR(57&lt;='01_Вводные'!$B$15,57-'01_Вводные'!$B$15&gt;60),0,IF(INDEX('04_Продажи'!$B$11:$BI$11,1,57-'01_Вводные'!$B$15)&lt;='01_Вводные'!$B$244,'19_Расчет_аналитики'!BF4411,0)),0)</f>
        <v/>
      </c>
      <c r="BG4436">
        <f>IF('01_Вводные'!$B$234="Да",IF(OR(58&lt;='01_Вводные'!$B$15,58-'01_Вводные'!$B$15&gt;60),0,IF(INDEX('04_Продажи'!$B$11:$BI$11,1,58-'01_Вводные'!$B$15)&lt;='01_Вводные'!$B$244,'19_Расчет_аналитики'!BG4411,0)),0)</f>
        <v/>
      </c>
      <c r="BH4436">
        <f>IF('01_Вводные'!$B$234="Да",IF(OR(59&lt;='01_Вводные'!$B$15,59-'01_Вводные'!$B$15&gt;60),0,IF(INDEX('04_Продажи'!$B$11:$BI$11,1,59-'01_Вводные'!$B$15)&lt;='01_Вводные'!$B$244,'19_Расчет_аналитики'!BH4411,0)),0)</f>
        <v/>
      </c>
      <c r="BI4436">
        <f>IF('01_Вводные'!$B$234="Да",IF(OR(60&lt;='01_Вводные'!$B$15,60-'01_Вводные'!$B$15&gt;60),0,IF(INDEX('04_Продажи'!$B$11:$BI$11,1,60-'01_Вводные'!$B$15)&lt;='01_Вводные'!$B$244,'19_Расчет_аналитики'!BI4411,0)),0)</f>
        <v/>
      </c>
      <c r="BJ4436">
        <f>IF('01_Вводные'!$B$234="Да",IF(OR(61&lt;='01_Вводные'!$B$15,61-'01_Вводные'!$B$15&gt;60),0,IF(INDEX('04_Продажи'!$B$11:$BI$11,1,61-'01_Вводные'!$B$15)&lt;='01_Вводные'!$B$244,'19_Расчет_аналитики'!BJ4411,0)),0)</f>
        <v/>
      </c>
      <c r="BK4436">
        <f>IF('01_Вводные'!$B$234="Да",IF(OR(62&lt;='01_Вводные'!$B$15,62-'01_Вводные'!$B$15&gt;60),0,IF(INDEX('04_Продажи'!$B$11:$BI$11,1,62-'01_Вводные'!$B$15)&lt;='01_Вводные'!$B$244,'19_Расчет_аналитики'!BK4411,0)),0)</f>
        <v/>
      </c>
      <c r="BL4436">
        <f>IF('01_Вводные'!$B$234="Да",IF(OR(63&lt;='01_Вводные'!$B$15,63-'01_Вводные'!$B$15&gt;60),0,IF(INDEX('04_Продажи'!$B$11:$BI$11,1,63-'01_Вводные'!$B$15)&lt;='01_Вводные'!$B$244,'19_Расчет_аналитики'!BL4411,0)),0)</f>
        <v/>
      </c>
      <c r="BM4436">
        <f>IF('01_Вводные'!$B$234="Да",IF(OR(64&lt;='01_Вводные'!$B$15,64-'01_Вводные'!$B$15&gt;60),0,IF(INDEX('04_Продажи'!$B$11:$BI$11,1,64-'01_Вводные'!$B$15)&lt;='01_Вводные'!$B$244,'19_Расчет_аналитики'!BM4411,0)),0)</f>
        <v/>
      </c>
      <c r="BN4436">
        <f>IF('01_Вводные'!$B$234="Да",IF(OR(65&lt;='01_Вводные'!$B$15,65-'01_Вводные'!$B$15&gt;60),0,IF(INDEX('04_Продажи'!$B$11:$BI$11,1,65-'01_Вводные'!$B$15)&lt;='01_Вводные'!$B$244,'19_Расчет_аналитики'!BN4411,0)),0)</f>
        <v/>
      </c>
      <c r="BO4436">
        <f>IF('01_Вводные'!$B$234="Да",IF(OR(66&lt;='01_Вводные'!$B$15,66-'01_Вводные'!$B$15&gt;60),0,IF(INDEX('04_Продажи'!$B$11:$BI$11,1,66-'01_Вводные'!$B$15)&lt;='01_Вводные'!$B$244,'19_Расчет_аналитики'!BO4411,0)),0)</f>
        <v/>
      </c>
    </row>
    <row r="4437">
      <c r="B4437">
        <f>IF('01_Вводные'!$B$234="Да",SUM('19_Расчет_аналитики'!B4484:B4495),0)</f>
        <v/>
      </c>
      <c r="C4437">
        <f>IF('01_Вводные'!$B$234="Да",SUM('19_Расчет_аналитики'!C4484:C4495),0)</f>
        <v/>
      </c>
      <c r="D4437">
        <f>IF('01_Вводные'!$B$234="Да",SUM('19_Расчет_аналитики'!D4484:D4495),0)</f>
        <v/>
      </c>
      <c r="E4437">
        <f>IF('01_Вводные'!$B$234="Да",SUM('19_Расчет_аналитики'!E4484:E4495),0)</f>
        <v/>
      </c>
      <c r="F4437">
        <f>IF('01_Вводные'!$B$234="Да",SUM('19_Расчет_аналитики'!F4484:F4495),0)</f>
        <v/>
      </c>
      <c r="G4437">
        <f>IF('01_Вводные'!$B$234="Да",SUM('19_Расчет_аналитики'!G4484:G4495),0)</f>
        <v/>
      </c>
      <c r="H4437">
        <f>IF('01_Вводные'!$B$234="Да",SUM('19_Расчет_аналитики'!H4484:H4495),0)</f>
        <v/>
      </c>
      <c r="I4437">
        <f>IF('01_Вводные'!$B$234="Да",SUM('19_Расчет_аналитики'!I4484:I4495),0)</f>
        <v/>
      </c>
      <c r="J4437">
        <f>IF('01_Вводные'!$B$234="Да",SUM('19_Расчет_аналитики'!J4484:J4495),0)</f>
        <v/>
      </c>
      <c r="K4437">
        <f>IF('01_Вводные'!$B$234="Да",SUM('19_Расчет_аналитики'!K4484:K4495),0)</f>
        <v/>
      </c>
      <c r="L4437">
        <f>IF('01_Вводные'!$B$234="Да",SUM('19_Расчет_аналитики'!L4484:L4495),0)</f>
        <v/>
      </c>
      <c r="M4437">
        <f>IF('01_Вводные'!$B$234="Да",SUM('19_Расчет_аналитики'!M4484:M4495),0)</f>
        <v/>
      </c>
      <c r="N4437">
        <f>IF('01_Вводные'!$B$234="Да",SUM('19_Расчет_аналитики'!N4484:N4495),0)</f>
        <v/>
      </c>
      <c r="O4437">
        <f>IF('01_Вводные'!$B$234="Да",SUM('19_Расчет_аналитики'!O4484:O4495),0)</f>
        <v/>
      </c>
      <c r="P4437">
        <f>IF('01_Вводные'!$B$234="Да",SUM('19_Расчет_аналитики'!P4484:P4495),0)</f>
        <v/>
      </c>
      <c r="Q4437">
        <f>IF('01_Вводные'!$B$234="Да",SUM('19_Расчет_аналитики'!Q4484:Q4495),0)</f>
        <v/>
      </c>
      <c r="R4437">
        <f>IF('01_Вводные'!$B$234="Да",SUM('19_Расчет_аналитики'!R4484:R4495),0)</f>
        <v/>
      </c>
      <c r="S4437">
        <f>IF('01_Вводные'!$B$234="Да",SUM('19_Расчет_аналитики'!S4484:S4495),0)</f>
        <v/>
      </c>
      <c r="T4437">
        <f>IF('01_Вводные'!$B$234="Да",SUM('19_Расчет_аналитики'!T4484:T4495),0)</f>
        <v/>
      </c>
      <c r="U4437">
        <f>IF('01_Вводные'!$B$234="Да",SUM('19_Расчет_аналитики'!U4484:U4495),0)</f>
        <v/>
      </c>
      <c r="V4437">
        <f>IF('01_Вводные'!$B$234="Да",SUM('19_Расчет_аналитики'!V4484:V4495),0)</f>
        <v/>
      </c>
      <c r="W4437">
        <f>IF('01_Вводные'!$B$234="Да",SUM('19_Расчет_аналитики'!W4484:W4495),0)</f>
        <v/>
      </c>
      <c r="X4437">
        <f>IF('01_Вводные'!$B$234="Да",SUM('19_Расчет_аналитики'!X4484:X4495),0)</f>
        <v/>
      </c>
      <c r="Y4437">
        <f>IF('01_Вводные'!$B$234="Да",SUM('19_Расчет_аналитики'!Y4484:Y4495),0)</f>
        <v/>
      </c>
      <c r="Z4437">
        <f>IF('01_Вводные'!$B$234="Да",SUM('19_Расчет_аналитики'!Z4484:Z4495),0)</f>
        <v/>
      </c>
      <c r="AA4437">
        <f>IF('01_Вводные'!$B$234="Да",SUM('19_Расчет_аналитики'!AA4484:AA4495),0)</f>
        <v/>
      </c>
      <c r="AB4437">
        <f>IF('01_Вводные'!$B$234="Да",SUM('19_Расчет_аналитики'!AB4484:AB4495),0)</f>
        <v/>
      </c>
      <c r="AC4437">
        <f>IF('01_Вводные'!$B$234="Да",SUM('19_Расчет_аналитики'!AC4484:AC4495),0)</f>
        <v/>
      </c>
      <c r="AD4437">
        <f>IF('01_Вводные'!$B$234="Да",SUM('19_Расчет_аналитики'!AD4484:AD4495),0)</f>
        <v/>
      </c>
      <c r="AE4437">
        <f>IF('01_Вводные'!$B$234="Да",SUM('19_Расчет_аналитики'!AE4484:AE4495),0)</f>
        <v/>
      </c>
      <c r="AF4437">
        <f>IF('01_Вводные'!$B$234="Да",SUM('19_Расчет_аналитики'!AF4484:AF4495),0)</f>
        <v/>
      </c>
      <c r="AG4437">
        <f>IF('01_Вводные'!$B$234="Да",SUM('19_Расчет_аналитики'!AG4484:AG4495),0)</f>
        <v/>
      </c>
      <c r="AH4437">
        <f>IF('01_Вводные'!$B$234="Да",SUM('19_Расчет_аналитики'!AH4484:AH4495),0)</f>
        <v/>
      </c>
      <c r="AI4437">
        <f>IF('01_Вводные'!$B$234="Да",SUM('19_Расчет_аналитики'!AI4484:AI4495),0)</f>
        <v/>
      </c>
      <c r="AJ4437">
        <f>IF('01_Вводные'!$B$234="Да",SUM('19_Расчет_аналитики'!AJ4484:AJ4495),0)</f>
        <v/>
      </c>
      <c r="AK4437">
        <f>IF('01_Вводные'!$B$234="Да",SUM('19_Расчет_аналитики'!AK4484:AK4495),0)</f>
        <v/>
      </c>
      <c r="AL4437">
        <f>IF('01_Вводные'!$B$234="Да",SUM('19_Расчет_аналитики'!AL4484:AL4495),0)</f>
        <v/>
      </c>
      <c r="AM4437">
        <f>IF('01_Вводные'!$B$234="Да",SUM('19_Расчет_аналитики'!AM4484:AM4495),0)</f>
        <v/>
      </c>
      <c r="AN4437">
        <f>IF('01_Вводные'!$B$234="Да",SUM('19_Расчет_аналитики'!AN4484:AN4495),0)</f>
        <v/>
      </c>
      <c r="AO4437">
        <f>IF('01_Вводные'!$B$234="Да",SUM('19_Расчет_аналитики'!AO4484:AO4495),0)</f>
        <v/>
      </c>
      <c r="AP4437">
        <f>IF('01_Вводные'!$B$234="Да",SUM('19_Расчет_аналитики'!AP4484:AP4495),0)</f>
        <v/>
      </c>
      <c r="AQ4437">
        <f>IF('01_Вводные'!$B$234="Да",SUM('19_Расчет_аналитики'!AQ4484:AQ4495),0)</f>
        <v/>
      </c>
      <c r="AR4437">
        <f>IF('01_Вводные'!$B$234="Да",SUM('19_Расчет_аналитики'!AR4484:AR4495),0)</f>
        <v/>
      </c>
      <c r="AS4437">
        <f>IF('01_Вводные'!$B$234="Да",SUM('19_Расчет_аналитики'!AS4484:AS4495),0)</f>
        <v/>
      </c>
      <c r="AT4437">
        <f>IF('01_Вводные'!$B$234="Да",SUM('19_Расчет_аналитики'!AT4484:AT4495),0)</f>
        <v/>
      </c>
      <c r="AU4437">
        <f>IF('01_Вводные'!$B$234="Да",SUM('19_Расчет_аналитики'!AU4484:AU4495),0)</f>
        <v/>
      </c>
      <c r="AV4437">
        <f>IF('01_Вводные'!$B$234="Да",SUM('19_Расчет_аналитики'!AV4484:AV4495),0)</f>
        <v/>
      </c>
      <c r="AW4437">
        <f>IF('01_Вводные'!$B$234="Да",SUM('19_Расчет_аналитики'!AW4484:AW4495),0)</f>
        <v/>
      </c>
      <c r="AX4437">
        <f>IF('01_Вводные'!$B$234="Да",SUM('19_Расчет_аналитики'!AX4484:AX4495),0)</f>
        <v/>
      </c>
      <c r="AY4437">
        <f>IF('01_Вводные'!$B$234="Да",SUM('19_Расчет_аналитики'!AY4484:AY4495),0)</f>
        <v/>
      </c>
      <c r="AZ4437">
        <f>IF('01_Вводные'!$B$234="Да",SUM('19_Расчет_аналитики'!AZ4484:AZ4495),0)</f>
        <v/>
      </c>
      <c r="BA4437">
        <f>IF('01_Вводные'!$B$234="Да",SUM('19_Расчет_аналитики'!BA4484:BA4495),0)</f>
        <v/>
      </c>
      <c r="BB4437">
        <f>IF('01_Вводные'!$B$234="Да",SUM('19_Расчет_аналитики'!BB4484:BB4495),0)</f>
        <v/>
      </c>
      <c r="BC4437">
        <f>IF('01_Вводные'!$B$234="Да",SUM('19_Расчет_аналитики'!BC4484:BC4495),0)</f>
        <v/>
      </c>
      <c r="BD4437">
        <f>IF('01_Вводные'!$B$234="Да",SUM('19_Расчет_аналитики'!BD4484:BD4495),0)</f>
        <v/>
      </c>
      <c r="BE4437">
        <f>IF('01_Вводные'!$B$234="Да",SUM('19_Расчет_аналитики'!BE4484:BE4495),0)</f>
        <v/>
      </c>
      <c r="BF4437">
        <f>IF('01_Вводные'!$B$234="Да",SUM('19_Расчет_аналитики'!BF4484:BF4495),0)</f>
        <v/>
      </c>
      <c r="BG4437">
        <f>IF('01_Вводные'!$B$234="Да",SUM('19_Расчет_аналитики'!BG4484:BG4495),0)</f>
        <v/>
      </c>
      <c r="BH4437">
        <f>IF('01_Вводные'!$B$234="Да",SUM('19_Расчет_аналитики'!BH4484:BH4495),0)</f>
        <v/>
      </c>
      <c r="BI4437">
        <f>IF('01_Вводные'!$B$234="Да",SUM('19_Расчет_аналитики'!BI4484:BI4495),0)</f>
        <v/>
      </c>
      <c r="BJ4437">
        <f>IF('01_Вводные'!$B$234="Да",SUM('19_Расчет_аналитики'!BJ4484:BJ4495),0)</f>
        <v/>
      </c>
      <c r="BK4437">
        <f>IF('01_Вводные'!$B$234="Да",SUM('19_Расчет_аналитики'!BK4484:BK4495),0)</f>
        <v/>
      </c>
      <c r="BL4437">
        <f>IF('01_Вводные'!$B$234="Да",SUM('19_Расчет_аналитики'!BL4484:BL4495),0)</f>
        <v/>
      </c>
      <c r="BM4437">
        <f>IF('01_Вводные'!$B$234="Да",SUM('19_Расчет_аналитики'!BM4484:BM4495),0)</f>
        <v/>
      </c>
      <c r="BN4437">
        <f>IF('01_Вводные'!$B$234="Да",SUM('19_Расчет_аналитики'!BN4484:BN4495),0)</f>
        <v/>
      </c>
      <c r="BO4437">
        <f>IF('01_Вводные'!$B$234="Да",SUM('19_Расчет_аналитики'!BO4484:BO4495),0)</f>
        <v/>
      </c>
    </row>
    <row r="4438"/>
    <row r="4439">
      <c r="B4439">
        <f>IF('01_Вводные'!$B$234="Да",MAX(0,'19_Расчет_аналитики'!B4416-'19_Расчет_аналитики'!B4437),0)</f>
        <v/>
      </c>
      <c r="C4439">
        <f>IF('01_Вводные'!$B$234="Да",MAX(0,'19_Расчет_аналитики'!C4416-'19_Расчет_аналитики'!C4437),0)</f>
        <v/>
      </c>
      <c r="D4439">
        <f>IF('01_Вводные'!$B$234="Да",MAX(0,'19_Расчет_аналитики'!D4416-'19_Расчет_аналитики'!D4437),0)</f>
        <v/>
      </c>
      <c r="E4439">
        <f>IF('01_Вводные'!$B$234="Да",MAX(0,'19_Расчет_аналитики'!E4416-'19_Расчет_аналитики'!E4437),0)</f>
        <v/>
      </c>
      <c r="F4439">
        <f>IF('01_Вводные'!$B$234="Да",MAX(0,'19_Расчет_аналитики'!F4416-'19_Расчет_аналитики'!F4437),0)</f>
        <v/>
      </c>
      <c r="G4439">
        <f>IF('01_Вводные'!$B$234="Да",MAX(0,'19_Расчет_аналитики'!G4416-'19_Расчет_аналитики'!G4437),0)</f>
        <v/>
      </c>
      <c r="H4439">
        <f>IF('01_Вводные'!$B$234="Да",MAX(0,'19_Расчет_аналитики'!H4416-'19_Расчет_аналитики'!H4437),0)</f>
        <v/>
      </c>
      <c r="I4439">
        <f>IF('01_Вводные'!$B$234="Да",MAX(0,'19_Расчет_аналитики'!I4416-'19_Расчет_аналитики'!I4437),0)</f>
        <v/>
      </c>
      <c r="J4439">
        <f>IF('01_Вводные'!$B$234="Да",MAX(0,'19_Расчет_аналитики'!J4416-'19_Расчет_аналитики'!J4437),0)</f>
        <v/>
      </c>
      <c r="K4439">
        <f>IF('01_Вводные'!$B$234="Да",MAX(0,'19_Расчет_аналитики'!K4416-'19_Расчет_аналитики'!K4437),0)</f>
        <v/>
      </c>
      <c r="L4439">
        <f>IF('01_Вводные'!$B$234="Да",MAX(0,'19_Расчет_аналитики'!L4416-'19_Расчет_аналитики'!L4437),0)</f>
        <v/>
      </c>
      <c r="M4439">
        <f>IF('01_Вводные'!$B$234="Да",MAX(0,'19_Расчет_аналитики'!M4416-'19_Расчет_аналитики'!M4437),0)</f>
        <v/>
      </c>
      <c r="N4439">
        <f>IF('01_Вводные'!$B$234="Да",MAX(0,'19_Расчет_аналитики'!N4416-'19_Расчет_аналитики'!N4437),0)</f>
        <v/>
      </c>
      <c r="O4439">
        <f>IF('01_Вводные'!$B$234="Да",MAX(0,'19_Расчет_аналитики'!O4416-'19_Расчет_аналитики'!O4437),0)</f>
        <v/>
      </c>
      <c r="P4439">
        <f>IF('01_Вводные'!$B$234="Да",MAX(0,'19_Расчет_аналитики'!P4416-'19_Расчет_аналитики'!P4437),0)</f>
        <v/>
      </c>
      <c r="Q4439">
        <f>IF('01_Вводные'!$B$234="Да",MAX(0,'19_Расчет_аналитики'!Q4416-'19_Расчет_аналитики'!Q4437),0)</f>
        <v/>
      </c>
      <c r="R4439">
        <f>IF('01_Вводные'!$B$234="Да",MAX(0,'19_Расчет_аналитики'!R4416-'19_Расчет_аналитики'!R4437),0)</f>
        <v/>
      </c>
      <c r="S4439">
        <f>IF('01_Вводные'!$B$234="Да",MAX(0,'19_Расчет_аналитики'!S4416-'19_Расчет_аналитики'!S4437),0)</f>
        <v/>
      </c>
      <c r="T4439">
        <f>IF('01_Вводные'!$B$234="Да",MAX(0,'19_Расчет_аналитики'!T4416-'19_Расчет_аналитики'!T4437),0)</f>
        <v/>
      </c>
      <c r="U4439">
        <f>IF('01_Вводные'!$B$234="Да",MAX(0,'19_Расчет_аналитики'!U4416-'19_Расчет_аналитики'!U4437),0)</f>
        <v/>
      </c>
      <c r="V4439">
        <f>IF('01_Вводные'!$B$234="Да",MAX(0,'19_Расчет_аналитики'!V4416-'19_Расчет_аналитики'!V4437),0)</f>
        <v/>
      </c>
      <c r="W4439">
        <f>IF('01_Вводные'!$B$234="Да",MAX(0,'19_Расчет_аналитики'!W4416-'19_Расчет_аналитики'!W4437),0)</f>
        <v/>
      </c>
      <c r="X4439">
        <f>IF('01_Вводные'!$B$234="Да",MAX(0,'19_Расчет_аналитики'!X4416-'19_Расчет_аналитики'!X4437),0)</f>
        <v/>
      </c>
      <c r="Y4439">
        <f>IF('01_Вводные'!$B$234="Да",MAX(0,'19_Расчет_аналитики'!Y4416-'19_Расчет_аналитики'!Y4437),0)</f>
        <v/>
      </c>
      <c r="Z4439">
        <f>IF('01_Вводные'!$B$234="Да",MAX(0,'19_Расчет_аналитики'!Z4416-'19_Расчет_аналитики'!Z4437),0)</f>
        <v/>
      </c>
      <c r="AA4439">
        <f>IF('01_Вводные'!$B$234="Да",MAX(0,'19_Расчет_аналитики'!AA4416-'19_Расчет_аналитики'!AA4437),0)</f>
        <v/>
      </c>
      <c r="AB4439">
        <f>IF('01_Вводные'!$B$234="Да",MAX(0,'19_Расчет_аналитики'!AB4416-'19_Расчет_аналитики'!AB4437),0)</f>
        <v/>
      </c>
      <c r="AC4439">
        <f>IF('01_Вводные'!$B$234="Да",MAX(0,'19_Расчет_аналитики'!AC4416-'19_Расчет_аналитики'!AC4437),0)</f>
        <v/>
      </c>
      <c r="AD4439">
        <f>IF('01_Вводные'!$B$234="Да",MAX(0,'19_Расчет_аналитики'!AD4416-'19_Расчет_аналитики'!AD4437),0)</f>
        <v/>
      </c>
      <c r="AE4439">
        <f>IF('01_Вводные'!$B$234="Да",MAX(0,'19_Расчет_аналитики'!AE4416-'19_Расчет_аналитики'!AE4437),0)</f>
        <v/>
      </c>
      <c r="AF4439">
        <f>IF('01_Вводные'!$B$234="Да",MAX(0,'19_Расчет_аналитики'!AF4416-'19_Расчет_аналитики'!AF4437),0)</f>
        <v/>
      </c>
      <c r="AG4439">
        <f>IF('01_Вводные'!$B$234="Да",MAX(0,'19_Расчет_аналитики'!AG4416-'19_Расчет_аналитики'!AG4437),0)</f>
        <v/>
      </c>
      <c r="AH4439">
        <f>IF('01_Вводные'!$B$234="Да",MAX(0,'19_Расчет_аналитики'!AH4416-'19_Расчет_аналитики'!AH4437),0)</f>
        <v/>
      </c>
      <c r="AI4439">
        <f>IF('01_Вводные'!$B$234="Да",MAX(0,'19_Расчет_аналитики'!AI4416-'19_Расчет_аналитики'!AI4437),0)</f>
        <v/>
      </c>
      <c r="AJ4439">
        <f>IF('01_Вводные'!$B$234="Да",MAX(0,'19_Расчет_аналитики'!AJ4416-'19_Расчет_аналитики'!AJ4437),0)</f>
        <v/>
      </c>
      <c r="AK4439">
        <f>IF('01_Вводные'!$B$234="Да",MAX(0,'19_Расчет_аналитики'!AK4416-'19_Расчет_аналитики'!AK4437),0)</f>
        <v/>
      </c>
      <c r="AL4439">
        <f>IF('01_Вводные'!$B$234="Да",MAX(0,'19_Расчет_аналитики'!AL4416-'19_Расчет_аналитики'!AL4437),0)</f>
        <v/>
      </c>
      <c r="AM4439">
        <f>IF('01_Вводные'!$B$234="Да",MAX(0,'19_Расчет_аналитики'!AM4416-'19_Расчет_аналитики'!AM4437),0)</f>
        <v/>
      </c>
      <c r="AN4439">
        <f>IF('01_Вводные'!$B$234="Да",MAX(0,'19_Расчет_аналитики'!AN4416-'19_Расчет_аналитики'!AN4437),0)</f>
        <v/>
      </c>
      <c r="AO4439">
        <f>IF('01_Вводные'!$B$234="Да",MAX(0,'19_Расчет_аналитики'!AO4416-'19_Расчет_аналитики'!AO4437),0)</f>
        <v/>
      </c>
      <c r="AP4439">
        <f>IF('01_Вводные'!$B$234="Да",MAX(0,'19_Расчет_аналитики'!AP4416-'19_Расчет_аналитики'!AP4437),0)</f>
        <v/>
      </c>
      <c r="AQ4439">
        <f>IF('01_Вводные'!$B$234="Да",MAX(0,'19_Расчет_аналитики'!AQ4416-'19_Расчет_аналитики'!AQ4437),0)</f>
        <v/>
      </c>
      <c r="AR4439">
        <f>IF('01_Вводные'!$B$234="Да",MAX(0,'19_Расчет_аналитики'!AR4416-'19_Расчет_аналитики'!AR4437),0)</f>
        <v/>
      </c>
      <c r="AS4439">
        <f>IF('01_Вводные'!$B$234="Да",MAX(0,'19_Расчет_аналитики'!AS4416-'19_Расчет_аналитики'!AS4437),0)</f>
        <v/>
      </c>
      <c r="AT4439">
        <f>IF('01_Вводные'!$B$234="Да",MAX(0,'19_Расчет_аналитики'!AT4416-'19_Расчет_аналитики'!AT4437),0)</f>
        <v/>
      </c>
      <c r="AU4439">
        <f>IF('01_Вводные'!$B$234="Да",MAX(0,'19_Расчет_аналитики'!AU4416-'19_Расчет_аналитики'!AU4437),0)</f>
        <v/>
      </c>
      <c r="AV4439">
        <f>IF('01_Вводные'!$B$234="Да",MAX(0,'19_Расчет_аналитики'!AV4416-'19_Расчет_аналитики'!AV4437),0)</f>
        <v/>
      </c>
      <c r="AW4439">
        <f>IF('01_Вводные'!$B$234="Да",MAX(0,'19_Расчет_аналитики'!AW4416-'19_Расчет_аналитики'!AW4437),0)</f>
        <v/>
      </c>
      <c r="AX4439">
        <f>IF('01_Вводные'!$B$234="Да",MAX(0,'19_Расчет_аналитики'!AX4416-'19_Расчет_аналитики'!AX4437),0)</f>
        <v/>
      </c>
      <c r="AY4439">
        <f>IF('01_Вводные'!$B$234="Да",MAX(0,'19_Расчет_аналитики'!AY4416-'19_Расчет_аналитики'!AY4437),0)</f>
        <v/>
      </c>
      <c r="AZ4439">
        <f>IF('01_Вводные'!$B$234="Да",MAX(0,'19_Расчет_аналитики'!AZ4416-'19_Расчет_аналитики'!AZ4437),0)</f>
        <v/>
      </c>
      <c r="BA4439">
        <f>IF('01_Вводные'!$B$234="Да",MAX(0,'19_Расчет_аналитики'!BA4416-'19_Расчет_аналитики'!BA4437),0)</f>
        <v/>
      </c>
      <c r="BB4439">
        <f>IF('01_Вводные'!$B$234="Да",MAX(0,'19_Расчет_аналитики'!BB4416-'19_Расчет_аналитики'!BB4437),0)</f>
        <v/>
      </c>
      <c r="BC4439">
        <f>IF('01_Вводные'!$B$234="Да",MAX(0,'19_Расчет_аналитики'!BC4416-'19_Расчет_аналитики'!BC4437),0)</f>
        <v/>
      </c>
      <c r="BD4439">
        <f>IF('01_Вводные'!$B$234="Да",MAX(0,'19_Расчет_аналитики'!BD4416-'19_Расчет_аналитики'!BD4437),0)</f>
        <v/>
      </c>
      <c r="BE4439">
        <f>IF('01_Вводные'!$B$234="Да",MAX(0,'19_Расчет_аналитики'!BE4416-'19_Расчет_аналитики'!BE4437),0)</f>
        <v/>
      </c>
      <c r="BF4439">
        <f>IF('01_Вводные'!$B$234="Да",MAX(0,'19_Расчет_аналитики'!BF4416-'19_Расчет_аналитики'!BF4437),0)</f>
        <v/>
      </c>
      <c r="BG4439">
        <f>IF('01_Вводные'!$B$234="Да",MAX(0,'19_Расчет_аналитики'!BG4416-'19_Расчет_аналитики'!BG4437),0)</f>
        <v/>
      </c>
      <c r="BH4439">
        <f>IF('01_Вводные'!$B$234="Да",MAX(0,'19_Расчет_аналитики'!BH4416-'19_Расчет_аналитики'!BH4437),0)</f>
        <v/>
      </c>
      <c r="BI4439">
        <f>IF('01_Вводные'!$B$234="Да",MAX(0,'19_Расчет_аналитики'!BI4416-'19_Расчет_аналитики'!BI4437),0)</f>
        <v/>
      </c>
      <c r="BJ4439">
        <f>IF('01_Вводные'!$B$234="Да",MAX(0,'19_Расчет_аналитики'!BJ4416-'19_Расчет_аналитики'!BJ4437),0)</f>
        <v/>
      </c>
      <c r="BK4439">
        <f>IF('01_Вводные'!$B$234="Да",MAX(0,'19_Расчет_аналитики'!BK4416-'19_Расчет_аналитики'!BK4437),0)</f>
        <v/>
      </c>
      <c r="BL4439">
        <f>IF('01_Вводные'!$B$234="Да",MAX(0,'19_Расчет_аналитики'!BL4416-'19_Расчет_аналитики'!BL4437),0)</f>
        <v/>
      </c>
      <c r="BM4439">
        <f>IF('01_Вводные'!$B$234="Да",MAX(0,'19_Расчет_аналитики'!BM4416-'19_Расчет_аналитики'!BM4437),0)</f>
        <v/>
      </c>
      <c r="BN4439">
        <f>IF('01_Вводные'!$B$234="Да",MAX(0,'19_Расчет_аналитики'!BN4416-'19_Расчет_аналитики'!BN4437),0)</f>
        <v/>
      </c>
      <c r="BO4439">
        <f>IF('01_Вводные'!$B$234="Да",MAX(0,'19_Расчет_аналитики'!BO4416-'19_Расчет_аналитики'!BO4437),0)</f>
        <v/>
      </c>
    </row>
    <row r="4440"/>
    <row r="4441"/>
    <row r="4442"/>
    <row r="4443"/>
    <row r="4444"/>
    <row r="4445"/>
    <row r="4446">
      <c r="B4446">
        <f>IF('01_Вводные'!$B$234="Да",IF(1&lt;='01_Вводные'!$B$235,0,INDEX('19_Расчет_аналитики'!$B$4411:$BO$4411,1,1-'01_Вводные'!$B$235)*'01_Вводные'!$B$14^'01_Вводные'!$B$235),0)</f>
        <v/>
      </c>
      <c r="C4446">
        <f>IF('01_Вводные'!$B$234="Да",IF(2&lt;='01_Вводные'!$B$235,0,INDEX('19_Расчет_аналитики'!$B$4411:$BO$4411,1,2-'01_Вводные'!$B$235)*'01_Вводные'!$B$14^'01_Вводные'!$B$235),0)</f>
        <v/>
      </c>
      <c r="D4446">
        <f>IF('01_Вводные'!$B$234="Да",IF(3&lt;='01_Вводные'!$B$235,0,INDEX('19_Расчет_аналитики'!$B$4411:$BO$4411,1,3-'01_Вводные'!$B$235)*'01_Вводные'!$B$14^'01_Вводные'!$B$235),0)</f>
        <v/>
      </c>
      <c r="E4446">
        <f>IF('01_Вводные'!$B$234="Да",IF(4&lt;='01_Вводные'!$B$235,0,INDEX('19_Расчет_аналитики'!$B$4411:$BO$4411,1,4-'01_Вводные'!$B$235)*'01_Вводные'!$B$14^'01_Вводные'!$B$235),0)</f>
        <v/>
      </c>
      <c r="F4446">
        <f>IF('01_Вводные'!$B$234="Да",IF(5&lt;='01_Вводные'!$B$235,0,INDEX('19_Расчет_аналитики'!$B$4411:$BO$4411,1,5-'01_Вводные'!$B$235)*'01_Вводные'!$B$14^'01_Вводные'!$B$235),0)</f>
        <v/>
      </c>
      <c r="G4446">
        <f>IF('01_Вводные'!$B$234="Да",IF(6&lt;='01_Вводные'!$B$235,0,INDEX('19_Расчет_аналитики'!$B$4411:$BO$4411,1,6-'01_Вводные'!$B$235)*'01_Вводные'!$B$14^'01_Вводные'!$B$235),0)</f>
        <v/>
      </c>
      <c r="H4446">
        <f>IF('01_Вводные'!$B$234="Да",IF(7&lt;='01_Вводные'!$B$235,0,INDEX('19_Расчет_аналитики'!$B$4411:$BO$4411,1,7-'01_Вводные'!$B$235)*'01_Вводные'!$B$14^'01_Вводные'!$B$235),0)</f>
        <v/>
      </c>
      <c r="I4446">
        <f>IF('01_Вводные'!$B$234="Да",IF(8&lt;='01_Вводные'!$B$235,0,INDEX('19_Расчет_аналитики'!$B$4411:$BO$4411,1,8-'01_Вводные'!$B$235)*'01_Вводные'!$B$14^'01_Вводные'!$B$235),0)</f>
        <v/>
      </c>
      <c r="J4446">
        <f>IF('01_Вводные'!$B$234="Да",IF(9&lt;='01_Вводные'!$B$235,0,INDEX('19_Расчет_аналитики'!$B$4411:$BO$4411,1,9-'01_Вводные'!$B$235)*'01_Вводные'!$B$14^'01_Вводные'!$B$235),0)</f>
        <v/>
      </c>
      <c r="K4446">
        <f>IF('01_Вводные'!$B$234="Да",IF(10&lt;='01_Вводные'!$B$235,0,INDEX('19_Расчет_аналитики'!$B$4411:$BO$4411,1,10-'01_Вводные'!$B$235)*'01_Вводные'!$B$14^'01_Вводные'!$B$235),0)</f>
        <v/>
      </c>
      <c r="L4446">
        <f>IF('01_Вводные'!$B$234="Да",IF(11&lt;='01_Вводные'!$B$235,0,INDEX('19_Расчет_аналитики'!$B$4411:$BO$4411,1,11-'01_Вводные'!$B$235)*'01_Вводные'!$B$14^'01_Вводные'!$B$235),0)</f>
        <v/>
      </c>
      <c r="M4446">
        <f>IF('01_Вводные'!$B$234="Да",IF(12&lt;='01_Вводные'!$B$235,0,INDEX('19_Расчет_аналитики'!$B$4411:$BO$4411,1,12-'01_Вводные'!$B$235)*'01_Вводные'!$B$14^'01_Вводные'!$B$235),0)</f>
        <v/>
      </c>
      <c r="N4446">
        <f>IF('01_Вводные'!$B$234="Да",IF(13&lt;='01_Вводные'!$B$235,0,INDEX('19_Расчет_аналитики'!$B$4411:$BO$4411,1,13-'01_Вводные'!$B$235)*'01_Вводные'!$B$14^'01_Вводные'!$B$235),0)</f>
        <v/>
      </c>
      <c r="O4446">
        <f>IF('01_Вводные'!$B$234="Да",IF(14&lt;='01_Вводные'!$B$235,0,INDEX('19_Расчет_аналитики'!$B$4411:$BO$4411,1,14-'01_Вводные'!$B$235)*'01_Вводные'!$B$14^'01_Вводные'!$B$235),0)</f>
        <v/>
      </c>
      <c r="P4446">
        <f>IF('01_Вводные'!$B$234="Да",IF(15&lt;='01_Вводные'!$B$235,0,INDEX('19_Расчет_аналитики'!$B$4411:$BO$4411,1,15-'01_Вводные'!$B$235)*'01_Вводные'!$B$14^'01_Вводные'!$B$235),0)</f>
        <v/>
      </c>
      <c r="Q4446">
        <f>IF('01_Вводные'!$B$234="Да",IF(16&lt;='01_Вводные'!$B$235,0,INDEX('19_Расчет_аналитики'!$B$4411:$BO$4411,1,16-'01_Вводные'!$B$235)*'01_Вводные'!$B$14^'01_Вводные'!$B$235),0)</f>
        <v/>
      </c>
      <c r="R4446">
        <f>IF('01_Вводные'!$B$234="Да",IF(17&lt;='01_Вводные'!$B$235,0,INDEX('19_Расчет_аналитики'!$B$4411:$BO$4411,1,17-'01_Вводные'!$B$235)*'01_Вводные'!$B$14^'01_Вводные'!$B$235),0)</f>
        <v/>
      </c>
      <c r="S4446">
        <f>IF('01_Вводные'!$B$234="Да",IF(18&lt;='01_Вводные'!$B$235,0,INDEX('19_Расчет_аналитики'!$B$4411:$BO$4411,1,18-'01_Вводные'!$B$235)*'01_Вводные'!$B$14^'01_Вводные'!$B$235),0)</f>
        <v/>
      </c>
      <c r="T4446">
        <f>IF('01_Вводные'!$B$234="Да",IF(19&lt;='01_Вводные'!$B$235,0,INDEX('19_Расчет_аналитики'!$B$4411:$BO$4411,1,19-'01_Вводные'!$B$235)*'01_Вводные'!$B$14^'01_Вводные'!$B$235),0)</f>
        <v/>
      </c>
      <c r="U4446">
        <f>IF('01_Вводные'!$B$234="Да",IF(20&lt;='01_Вводные'!$B$235,0,INDEX('19_Расчет_аналитики'!$B$4411:$BO$4411,1,20-'01_Вводные'!$B$235)*'01_Вводные'!$B$14^'01_Вводные'!$B$235),0)</f>
        <v/>
      </c>
      <c r="V4446">
        <f>IF('01_Вводные'!$B$234="Да",IF(21&lt;='01_Вводные'!$B$235,0,INDEX('19_Расчет_аналитики'!$B$4411:$BO$4411,1,21-'01_Вводные'!$B$235)*'01_Вводные'!$B$14^'01_Вводные'!$B$235),0)</f>
        <v/>
      </c>
      <c r="W4446">
        <f>IF('01_Вводные'!$B$234="Да",IF(22&lt;='01_Вводные'!$B$235,0,INDEX('19_Расчет_аналитики'!$B$4411:$BO$4411,1,22-'01_Вводные'!$B$235)*'01_Вводные'!$B$14^'01_Вводные'!$B$235),0)</f>
        <v/>
      </c>
      <c r="X4446">
        <f>IF('01_Вводные'!$B$234="Да",IF(23&lt;='01_Вводные'!$B$235,0,INDEX('19_Расчет_аналитики'!$B$4411:$BO$4411,1,23-'01_Вводные'!$B$235)*'01_Вводные'!$B$14^'01_Вводные'!$B$235),0)</f>
        <v/>
      </c>
      <c r="Y4446">
        <f>IF('01_Вводные'!$B$234="Да",IF(24&lt;='01_Вводные'!$B$235,0,INDEX('19_Расчет_аналитики'!$B$4411:$BO$4411,1,24-'01_Вводные'!$B$235)*'01_Вводные'!$B$14^'01_Вводные'!$B$235),0)</f>
        <v/>
      </c>
      <c r="Z4446">
        <f>IF('01_Вводные'!$B$234="Да",IF(25&lt;='01_Вводные'!$B$235,0,INDEX('19_Расчет_аналитики'!$B$4411:$BO$4411,1,25-'01_Вводные'!$B$235)*'01_Вводные'!$B$14^'01_Вводные'!$B$235),0)</f>
        <v/>
      </c>
      <c r="AA4446">
        <f>IF('01_Вводные'!$B$234="Да",IF(26&lt;='01_Вводные'!$B$235,0,INDEX('19_Расчет_аналитики'!$B$4411:$BO$4411,1,26-'01_Вводные'!$B$235)*'01_Вводные'!$B$14^'01_Вводные'!$B$235),0)</f>
        <v/>
      </c>
      <c r="AB4446">
        <f>IF('01_Вводные'!$B$234="Да",IF(27&lt;='01_Вводные'!$B$235,0,INDEX('19_Расчет_аналитики'!$B$4411:$BO$4411,1,27-'01_Вводные'!$B$235)*'01_Вводные'!$B$14^'01_Вводные'!$B$235),0)</f>
        <v/>
      </c>
      <c r="AC4446">
        <f>IF('01_Вводные'!$B$234="Да",IF(28&lt;='01_Вводные'!$B$235,0,INDEX('19_Расчет_аналитики'!$B$4411:$BO$4411,1,28-'01_Вводные'!$B$235)*'01_Вводные'!$B$14^'01_Вводные'!$B$235),0)</f>
        <v/>
      </c>
      <c r="AD4446">
        <f>IF('01_Вводные'!$B$234="Да",IF(29&lt;='01_Вводные'!$B$235,0,INDEX('19_Расчет_аналитики'!$B$4411:$BO$4411,1,29-'01_Вводные'!$B$235)*'01_Вводные'!$B$14^'01_Вводные'!$B$235),0)</f>
        <v/>
      </c>
      <c r="AE4446">
        <f>IF('01_Вводные'!$B$234="Да",IF(30&lt;='01_Вводные'!$B$235,0,INDEX('19_Расчет_аналитики'!$B$4411:$BO$4411,1,30-'01_Вводные'!$B$235)*'01_Вводные'!$B$14^'01_Вводные'!$B$235),0)</f>
        <v/>
      </c>
      <c r="AF4446">
        <f>IF('01_Вводные'!$B$234="Да",IF(31&lt;='01_Вводные'!$B$235,0,INDEX('19_Расчет_аналитики'!$B$4411:$BO$4411,1,31-'01_Вводные'!$B$235)*'01_Вводные'!$B$14^'01_Вводные'!$B$235),0)</f>
        <v/>
      </c>
      <c r="AG4446">
        <f>IF('01_Вводные'!$B$234="Да",IF(32&lt;='01_Вводные'!$B$235,0,INDEX('19_Расчет_аналитики'!$B$4411:$BO$4411,1,32-'01_Вводные'!$B$235)*'01_Вводные'!$B$14^'01_Вводные'!$B$235),0)</f>
        <v/>
      </c>
      <c r="AH4446">
        <f>IF('01_Вводные'!$B$234="Да",IF(33&lt;='01_Вводные'!$B$235,0,INDEX('19_Расчет_аналитики'!$B$4411:$BO$4411,1,33-'01_Вводные'!$B$235)*'01_Вводные'!$B$14^'01_Вводные'!$B$235),0)</f>
        <v/>
      </c>
      <c r="AI4446">
        <f>IF('01_Вводные'!$B$234="Да",IF(34&lt;='01_Вводные'!$B$235,0,INDEX('19_Расчет_аналитики'!$B$4411:$BO$4411,1,34-'01_Вводные'!$B$235)*'01_Вводные'!$B$14^'01_Вводные'!$B$235),0)</f>
        <v/>
      </c>
      <c r="AJ4446">
        <f>IF('01_Вводные'!$B$234="Да",IF(35&lt;='01_Вводные'!$B$235,0,INDEX('19_Расчет_аналитики'!$B$4411:$BO$4411,1,35-'01_Вводные'!$B$235)*'01_Вводные'!$B$14^'01_Вводные'!$B$235),0)</f>
        <v/>
      </c>
      <c r="AK4446">
        <f>IF('01_Вводные'!$B$234="Да",IF(36&lt;='01_Вводные'!$B$235,0,INDEX('19_Расчет_аналитики'!$B$4411:$BO$4411,1,36-'01_Вводные'!$B$235)*'01_Вводные'!$B$14^'01_Вводные'!$B$235),0)</f>
        <v/>
      </c>
      <c r="AL4446">
        <f>IF('01_Вводные'!$B$234="Да",IF(37&lt;='01_Вводные'!$B$235,0,INDEX('19_Расчет_аналитики'!$B$4411:$BO$4411,1,37-'01_Вводные'!$B$235)*'01_Вводные'!$B$14^'01_Вводные'!$B$235),0)</f>
        <v/>
      </c>
      <c r="AM4446">
        <f>IF('01_Вводные'!$B$234="Да",IF(38&lt;='01_Вводные'!$B$235,0,INDEX('19_Расчет_аналитики'!$B$4411:$BO$4411,1,38-'01_Вводные'!$B$235)*'01_Вводные'!$B$14^'01_Вводные'!$B$235),0)</f>
        <v/>
      </c>
      <c r="AN4446">
        <f>IF('01_Вводные'!$B$234="Да",IF(39&lt;='01_Вводные'!$B$235,0,INDEX('19_Расчет_аналитики'!$B$4411:$BO$4411,1,39-'01_Вводные'!$B$235)*'01_Вводные'!$B$14^'01_Вводные'!$B$235),0)</f>
        <v/>
      </c>
      <c r="AO4446">
        <f>IF('01_Вводные'!$B$234="Да",IF(40&lt;='01_Вводные'!$B$235,0,INDEX('19_Расчет_аналитики'!$B$4411:$BO$4411,1,40-'01_Вводные'!$B$235)*'01_Вводные'!$B$14^'01_Вводные'!$B$235),0)</f>
        <v/>
      </c>
      <c r="AP4446">
        <f>IF('01_Вводные'!$B$234="Да",IF(41&lt;='01_Вводные'!$B$235,0,INDEX('19_Расчет_аналитики'!$B$4411:$BO$4411,1,41-'01_Вводные'!$B$235)*'01_Вводные'!$B$14^'01_Вводные'!$B$235),0)</f>
        <v/>
      </c>
      <c r="AQ4446">
        <f>IF('01_Вводные'!$B$234="Да",IF(42&lt;='01_Вводные'!$B$235,0,INDEX('19_Расчет_аналитики'!$B$4411:$BO$4411,1,42-'01_Вводные'!$B$235)*'01_Вводные'!$B$14^'01_Вводные'!$B$235),0)</f>
        <v/>
      </c>
      <c r="AR4446">
        <f>IF('01_Вводные'!$B$234="Да",IF(43&lt;='01_Вводные'!$B$235,0,INDEX('19_Расчет_аналитики'!$B$4411:$BO$4411,1,43-'01_Вводные'!$B$235)*'01_Вводные'!$B$14^'01_Вводные'!$B$235),0)</f>
        <v/>
      </c>
      <c r="AS4446">
        <f>IF('01_Вводные'!$B$234="Да",IF(44&lt;='01_Вводные'!$B$235,0,INDEX('19_Расчет_аналитики'!$B$4411:$BO$4411,1,44-'01_Вводные'!$B$235)*'01_Вводные'!$B$14^'01_Вводные'!$B$235),0)</f>
        <v/>
      </c>
      <c r="AT4446">
        <f>IF('01_Вводные'!$B$234="Да",IF(45&lt;='01_Вводные'!$B$235,0,INDEX('19_Расчет_аналитики'!$B$4411:$BO$4411,1,45-'01_Вводные'!$B$235)*'01_Вводные'!$B$14^'01_Вводные'!$B$235),0)</f>
        <v/>
      </c>
      <c r="AU4446">
        <f>IF('01_Вводные'!$B$234="Да",IF(46&lt;='01_Вводные'!$B$235,0,INDEX('19_Расчет_аналитики'!$B$4411:$BO$4411,1,46-'01_Вводные'!$B$235)*'01_Вводные'!$B$14^'01_Вводные'!$B$235),0)</f>
        <v/>
      </c>
      <c r="AV4446">
        <f>IF('01_Вводные'!$B$234="Да",IF(47&lt;='01_Вводные'!$B$235,0,INDEX('19_Расчет_аналитики'!$B$4411:$BO$4411,1,47-'01_Вводные'!$B$235)*'01_Вводные'!$B$14^'01_Вводные'!$B$235),0)</f>
        <v/>
      </c>
      <c r="AW4446">
        <f>IF('01_Вводные'!$B$234="Да",IF(48&lt;='01_Вводные'!$B$235,0,INDEX('19_Расчет_аналитики'!$B$4411:$BO$4411,1,48-'01_Вводные'!$B$235)*'01_Вводные'!$B$14^'01_Вводные'!$B$235),0)</f>
        <v/>
      </c>
      <c r="AX4446">
        <f>IF('01_Вводные'!$B$234="Да",IF(49&lt;='01_Вводные'!$B$235,0,INDEX('19_Расчет_аналитики'!$B$4411:$BO$4411,1,49-'01_Вводные'!$B$235)*'01_Вводные'!$B$14^'01_Вводные'!$B$235),0)</f>
        <v/>
      </c>
      <c r="AY4446">
        <f>IF('01_Вводные'!$B$234="Да",IF(50&lt;='01_Вводные'!$B$235,0,INDEX('19_Расчет_аналитики'!$B$4411:$BO$4411,1,50-'01_Вводные'!$B$235)*'01_Вводные'!$B$14^'01_Вводные'!$B$235),0)</f>
        <v/>
      </c>
      <c r="AZ4446">
        <f>IF('01_Вводные'!$B$234="Да",IF(51&lt;='01_Вводные'!$B$235,0,INDEX('19_Расчет_аналитики'!$B$4411:$BO$4411,1,51-'01_Вводные'!$B$235)*'01_Вводные'!$B$14^'01_Вводные'!$B$235),0)</f>
        <v/>
      </c>
      <c r="BA4446">
        <f>IF('01_Вводные'!$B$234="Да",IF(52&lt;='01_Вводные'!$B$235,0,INDEX('19_Расчет_аналитики'!$B$4411:$BO$4411,1,52-'01_Вводные'!$B$235)*'01_Вводные'!$B$14^'01_Вводные'!$B$235),0)</f>
        <v/>
      </c>
      <c r="BB4446">
        <f>IF('01_Вводные'!$B$234="Да",IF(53&lt;='01_Вводные'!$B$235,0,INDEX('19_Расчет_аналитики'!$B$4411:$BO$4411,1,53-'01_Вводные'!$B$235)*'01_Вводные'!$B$14^'01_Вводные'!$B$235),0)</f>
        <v/>
      </c>
      <c r="BC4446">
        <f>IF('01_Вводные'!$B$234="Да",IF(54&lt;='01_Вводные'!$B$235,0,INDEX('19_Расчет_аналитики'!$B$4411:$BO$4411,1,54-'01_Вводные'!$B$235)*'01_Вводные'!$B$14^'01_Вводные'!$B$235),0)</f>
        <v/>
      </c>
      <c r="BD4446">
        <f>IF('01_Вводные'!$B$234="Да",IF(55&lt;='01_Вводные'!$B$235,0,INDEX('19_Расчет_аналитики'!$B$4411:$BO$4411,1,55-'01_Вводные'!$B$235)*'01_Вводные'!$B$14^'01_Вводные'!$B$235),0)</f>
        <v/>
      </c>
      <c r="BE4446">
        <f>IF('01_Вводные'!$B$234="Да",IF(56&lt;='01_Вводные'!$B$235,0,INDEX('19_Расчет_аналитики'!$B$4411:$BO$4411,1,56-'01_Вводные'!$B$235)*'01_Вводные'!$B$14^'01_Вводные'!$B$235),0)</f>
        <v/>
      </c>
      <c r="BF4446">
        <f>IF('01_Вводные'!$B$234="Да",IF(57&lt;='01_Вводные'!$B$235,0,INDEX('19_Расчет_аналитики'!$B$4411:$BO$4411,1,57-'01_Вводные'!$B$235)*'01_Вводные'!$B$14^'01_Вводные'!$B$235),0)</f>
        <v/>
      </c>
      <c r="BG4446">
        <f>IF('01_Вводные'!$B$234="Да",IF(58&lt;='01_Вводные'!$B$235,0,INDEX('19_Расчет_аналитики'!$B$4411:$BO$4411,1,58-'01_Вводные'!$B$235)*'01_Вводные'!$B$14^'01_Вводные'!$B$235),0)</f>
        <v/>
      </c>
      <c r="BH4446">
        <f>IF('01_Вводные'!$B$234="Да",IF(59&lt;='01_Вводные'!$B$235,0,INDEX('19_Расчет_аналитики'!$B$4411:$BO$4411,1,59-'01_Вводные'!$B$235)*'01_Вводные'!$B$14^'01_Вводные'!$B$235),0)</f>
        <v/>
      </c>
      <c r="BI4446">
        <f>IF('01_Вводные'!$B$234="Да",IF(60&lt;='01_Вводные'!$B$235,0,INDEX('19_Расчет_аналитики'!$B$4411:$BO$4411,1,60-'01_Вводные'!$B$235)*'01_Вводные'!$B$14^'01_Вводные'!$B$235),0)</f>
        <v/>
      </c>
      <c r="BJ4446">
        <f>IF('01_Вводные'!$B$234="Да",IF(61&lt;='01_Вводные'!$B$235,0,INDEX('19_Расчет_аналитики'!$B$4411:$BO$4411,1,61-'01_Вводные'!$B$235)*'01_Вводные'!$B$14^'01_Вводные'!$B$235),0)</f>
        <v/>
      </c>
      <c r="BK4446">
        <f>IF('01_Вводные'!$B$234="Да",IF(62&lt;='01_Вводные'!$B$235,0,INDEX('19_Расчет_аналитики'!$B$4411:$BO$4411,1,62-'01_Вводные'!$B$235)*'01_Вводные'!$B$14^'01_Вводные'!$B$235),0)</f>
        <v/>
      </c>
      <c r="BL4446">
        <f>IF('01_Вводные'!$B$234="Да",IF(63&lt;='01_Вводные'!$B$235,0,INDEX('19_Расчет_аналитики'!$B$4411:$BO$4411,1,63-'01_Вводные'!$B$235)*'01_Вводные'!$B$14^'01_Вводные'!$B$235),0)</f>
        <v/>
      </c>
      <c r="BM4446">
        <f>IF('01_Вводные'!$B$234="Да",IF(64&lt;='01_Вводные'!$B$235,0,INDEX('19_Расчет_аналитики'!$B$4411:$BO$4411,1,64-'01_Вводные'!$B$235)*'01_Вводные'!$B$14^'01_Вводные'!$B$235),0)</f>
        <v/>
      </c>
      <c r="BN4446">
        <f>IF('01_Вводные'!$B$234="Да",IF(65&lt;='01_Вводные'!$B$235,0,INDEX('19_Расчет_аналитики'!$B$4411:$BO$4411,1,65-'01_Вводные'!$B$235)*'01_Вводные'!$B$14^'01_Вводные'!$B$235),0)</f>
        <v/>
      </c>
      <c r="BO4446">
        <f>IF('01_Вводные'!$B$234="Да",IF(66&lt;='01_Вводные'!$B$235,0,INDEX('19_Расчет_аналитики'!$B$4411:$BO$4411,1,66-'01_Вводные'!$B$235)*'01_Вводные'!$B$14^'01_Вводные'!$B$235),0)</f>
        <v/>
      </c>
    </row>
    <row r="4447">
      <c r="B4447">
        <f>IF('01_Вводные'!$B$234="Да",'19_Расчет_аналитики'!B4446,0)</f>
        <v/>
      </c>
      <c r="C4447">
        <f>IF('01_Вводные'!$B$234="Да",'19_Расчет_аналитики'!B4447*'01_Вводные'!$B$14+'19_Расчет_аналитики'!C4446,0)</f>
        <v/>
      </c>
      <c r="D4447">
        <f>IF('01_Вводные'!$B$234="Да",'19_Расчет_аналитики'!C4447*'01_Вводные'!$B$14+'19_Расчет_аналитики'!D4446,0)</f>
        <v/>
      </c>
      <c r="E4447">
        <f>IF('01_Вводные'!$B$234="Да",'19_Расчет_аналитики'!D4447*'01_Вводные'!$B$14+'19_Расчет_аналитики'!E4446,0)</f>
        <v/>
      </c>
      <c r="F4447">
        <f>IF('01_Вводные'!$B$234="Да",'19_Расчет_аналитики'!E4447*'01_Вводные'!$B$14+'19_Расчет_аналитики'!F4446,0)</f>
        <v/>
      </c>
      <c r="G4447">
        <f>IF('01_Вводные'!$B$234="Да",'19_Расчет_аналитики'!F4447*'01_Вводные'!$B$14+'19_Расчет_аналитики'!G4446,0)</f>
        <v/>
      </c>
      <c r="H4447">
        <f>IF('01_Вводные'!$B$234="Да",'19_Расчет_аналитики'!G4447*'01_Вводные'!$B$14+'19_Расчет_аналитики'!H4446,0)</f>
        <v/>
      </c>
      <c r="I4447">
        <f>IF('01_Вводные'!$B$234="Да",'19_Расчет_аналитики'!H4447*'01_Вводные'!$B$14+'19_Расчет_аналитики'!I4446,0)</f>
        <v/>
      </c>
      <c r="J4447">
        <f>IF('01_Вводные'!$B$234="Да",'19_Расчет_аналитики'!I4447*'01_Вводные'!$B$14+'19_Расчет_аналитики'!J4446,0)</f>
        <v/>
      </c>
      <c r="K4447">
        <f>IF('01_Вводные'!$B$234="Да",'19_Расчет_аналитики'!J4447*'01_Вводные'!$B$14+'19_Расчет_аналитики'!K4446,0)</f>
        <v/>
      </c>
      <c r="L4447">
        <f>IF('01_Вводные'!$B$234="Да",'19_Расчет_аналитики'!K4447*'01_Вводные'!$B$14+'19_Расчет_аналитики'!L4446,0)</f>
        <v/>
      </c>
      <c r="M4447">
        <f>IF('01_Вводные'!$B$234="Да",'19_Расчет_аналитики'!L4447*'01_Вводные'!$B$14+'19_Расчет_аналитики'!M4446,0)</f>
        <v/>
      </c>
      <c r="N4447">
        <f>IF('01_Вводные'!$B$234="Да",'19_Расчет_аналитики'!M4447*'01_Вводные'!$B$14+'19_Расчет_аналитики'!N4446,0)</f>
        <v/>
      </c>
      <c r="O4447">
        <f>IF('01_Вводные'!$B$234="Да",'19_Расчет_аналитики'!N4447*'01_Вводные'!$B$14+'19_Расчет_аналитики'!O4446,0)</f>
        <v/>
      </c>
      <c r="P4447">
        <f>IF('01_Вводные'!$B$234="Да",'19_Расчет_аналитики'!O4447*'01_Вводные'!$B$14+'19_Расчет_аналитики'!P4446,0)</f>
        <v/>
      </c>
      <c r="Q4447">
        <f>IF('01_Вводные'!$B$234="Да",'19_Расчет_аналитики'!P4447*'01_Вводные'!$B$14+'19_Расчет_аналитики'!Q4446,0)</f>
        <v/>
      </c>
      <c r="R4447">
        <f>IF('01_Вводные'!$B$234="Да",'19_Расчет_аналитики'!Q4447*'01_Вводные'!$B$14+'19_Расчет_аналитики'!R4446,0)</f>
        <v/>
      </c>
      <c r="S4447">
        <f>IF('01_Вводные'!$B$234="Да",'19_Расчет_аналитики'!R4447*'01_Вводные'!$B$14+'19_Расчет_аналитики'!S4446,0)</f>
        <v/>
      </c>
      <c r="T4447">
        <f>IF('01_Вводные'!$B$234="Да",'19_Расчет_аналитики'!S4447*'01_Вводные'!$B$14+'19_Расчет_аналитики'!T4446,0)</f>
        <v/>
      </c>
      <c r="U4447">
        <f>IF('01_Вводные'!$B$234="Да",'19_Расчет_аналитики'!T4447*'01_Вводные'!$B$14+'19_Расчет_аналитики'!U4446,0)</f>
        <v/>
      </c>
      <c r="V4447">
        <f>IF('01_Вводные'!$B$234="Да",'19_Расчет_аналитики'!U4447*'01_Вводные'!$B$14+'19_Расчет_аналитики'!V4446,0)</f>
        <v/>
      </c>
      <c r="W4447">
        <f>IF('01_Вводные'!$B$234="Да",'19_Расчет_аналитики'!V4447*'01_Вводные'!$B$14+'19_Расчет_аналитики'!W4446,0)</f>
        <v/>
      </c>
      <c r="X4447">
        <f>IF('01_Вводные'!$B$234="Да",'19_Расчет_аналитики'!W4447*'01_Вводные'!$B$14+'19_Расчет_аналитики'!X4446,0)</f>
        <v/>
      </c>
      <c r="Y4447">
        <f>IF('01_Вводные'!$B$234="Да",'19_Расчет_аналитики'!X4447*'01_Вводные'!$B$14+'19_Расчет_аналитики'!Y4446,0)</f>
        <v/>
      </c>
      <c r="Z4447">
        <f>IF('01_Вводные'!$B$234="Да",'19_Расчет_аналитики'!Y4447*'01_Вводные'!$B$14+'19_Расчет_аналитики'!Z4446,0)</f>
        <v/>
      </c>
      <c r="AA4447">
        <f>IF('01_Вводные'!$B$234="Да",'19_Расчет_аналитики'!Z4447*'01_Вводные'!$B$14+'19_Расчет_аналитики'!AA4446,0)</f>
        <v/>
      </c>
      <c r="AB4447">
        <f>IF('01_Вводные'!$B$234="Да",'19_Расчет_аналитики'!AA4447*'01_Вводные'!$B$14+'19_Расчет_аналитики'!AB4446,0)</f>
        <v/>
      </c>
      <c r="AC4447">
        <f>IF('01_Вводные'!$B$234="Да",'19_Расчет_аналитики'!AB4447*'01_Вводные'!$B$14+'19_Расчет_аналитики'!AC4446,0)</f>
        <v/>
      </c>
      <c r="AD4447">
        <f>IF('01_Вводные'!$B$234="Да",'19_Расчет_аналитики'!AC4447*'01_Вводные'!$B$14+'19_Расчет_аналитики'!AD4446,0)</f>
        <v/>
      </c>
      <c r="AE4447">
        <f>IF('01_Вводные'!$B$234="Да",'19_Расчет_аналитики'!AD4447*'01_Вводные'!$B$14+'19_Расчет_аналитики'!AE4446,0)</f>
        <v/>
      </c>
      <c r="AF4447">
        <f>IF('01_Вводные'!$B$234="Да",'19_Расчет_аналитики'!AE4447*'01_Вводные'!$B$14+'19_Расчет_аналитики'!AF4446,0)</f>
        <v/>
      </c>
      <c r="AG4447">
        <f>IF('01_Вводные'!$B$234="Да",'19_Расчет_аналитики'!AF4447*'01_Вводные'!$B$14+'19_Расчет_аналитики'!AG4446,0)</f>
        <v/>
      </c>
      <c r="AH4447">
        <f>IF('01_Вводные'!$B$234="Да",'19_Расчет_аналитики'!AG4447*'01_Вводные'!$B$14+'19_Расчет_аналитики'!AH4446,0)</f>
        <v/>
      </c>
      <c r="AI4447">
        <f>IF('01_Вводные'!$B$234="Да",'19_Расчет_аналитики'!AH4447*'01_Вводные'!$B$14+'19_Расчет_аналитики'!AI4446,0)</f>
        <v/>
      </c>
      <c r="AJ4447">
        <f>IF('01_Вводные'!$B$234="Да",'19_Расчет_аналитики'!AI4447*'01_Вводные'!$B$14+'19_Расчет_аналитики'!AJ4446,0)</f>
        <v/>
      </c>
      <c r="AK4447">
        <f>IF('01_Вводные'!$B$234="Да",'19_Расчет_аналитики'!AJ4447*'01_Вводные'!$B$14+'19_Расчет_аналитики'!AK4446,0)</f>
        <v/>
      </c>
      <c r="AL4447">
        <f>IF('01_Вводные'!$B$234="Да",'19_Расчет_аналитики'!AK4447*'01_Вводные'!$B$14+'19_Расчет_аналитики'!AL4446,0)</f>
        <v/>
      </c>
      <c r="AM4447">
        <f>IF('01_Вводные'!$B$234="Да",'19_Расчет_аналитики'!AL4447*'01_Вводные'!$B$14+'19_Расчет_аналитики'!AM4446,0)</f>
        <v/>
      </c>
      <c r="AN4447">
        <f>IF('01_Вводные'!$B$234="Да",'19_Расчет_аналитики'!AM4447*'01_Вводные'!$B$14+'19_Расчет_аналитики'!AN4446,0)</f>
        <v/>
      </c>
      <c r="AO4447">
        <f>IF('01_Вводные'!$B$234="Да",'19_Расчет_аналитики'!AN4447*'01_Вводные'!$B$14+'19_Расчет_аналитики'!AO4446,0)</f>
        <v/>
      </c>
      <c r="AP4447">
        <f>IF('01_Вводные'!$B$234="Да",'19_Расчет_аналитики'!AO4447*'01_Вводные'!$B$14+'19_Расчет_аналитики'!AP4446,0)</f>
        <v/>
      </c>
      <c r="AQ4447">
        <f>IF('01_Вводные'!$B$234="Да",'19_Расчет_аналитики'!AP4447*'01_Вводные'!$B$14+'19_Расчет_аналитики'!AQ4446,0)</f>
        <v/>
      </c>
      <c r="AR4447">
        <f>IF('01_Вводные'!$B$234="Да",'19_Расчет_аналитики'!AQ4447*'01_Вводные'!$B$14+'19_Расчет_аналитики'!AR4446,0)</f>
        <v/>
      </c>
      <c r="AS4447">
        <f>IF('01_Вводные'!$B$234="Да",'19_Расчет_аналитики'!AR4447*'01_Вводные'!$B$14+'19_Расчет_аналитики'!AS4446,0)</f>
        <v/>
      </c>
      <c r="AT4447">
        <f>IF('01_Вводные'!$B$234="Да",'19_Расчет_аналитики'!AS4447*'01_Вводные'!$B$14+'19_Расчет_аналитики'!AT4446,0)</f>
        <v/>
      </c>
      <c r="AU4447">
        <f>IF('01_Вводные'!$B$234="Да",'19_Расчет_аналитики'!AT4447*'01_Вводные'!$B$14+'19_Расчет_аналитики'!AU4446,0)</f>
        <v/>
      </c>
      <c r="AV4447">
        <f>IF('01_Вводные'!$B$234="Да",'19_Расчет_аналитики'!AU4447*'01_Вводные'!$B$14+'19_Расчет_аналитики'!AV4446,0)</f>
        <v/>
      </c>
      <c r="AW4447">
        <f>IF('01_Вводные'!$B$234="Да",'19_Расчет_аналитики'!AV4447*'01_Вводные'!$B$14+'19_Расчет_аналитики'!AW4446,0)</f>
        <v/>
      </c>
      <c r="AX4447">
        <f>IF('01_Вводные'!$B$234="Да",'19_Расчет_аналитики'!AW4447*'01_Вводные'!$B$14+'19_Расчет_аналитики'!AX4446,0)</f>
        <v/>
      </c>
      <c r="AY4447">
        <f>IF('01_Вводные'!$B$234="Да",'19_Расчет_аналитики'!AX4447*'01_Вводные'!$B$14+'19_Расчет_аналитики'!AY4446,0)</f>
        <v/>
      </c>
      <c r="AZ4447">
        <f>IF('01_Вводные'!$B$234="Да",'19_Расчет_аналитики'!AY4447*'01_Вводные'!$B$14+'19_Расчет_аналитики'!AZ4446,0)</f>
        <v/>
      </c>
      <c r="BA4447">
        <f>IF('01_Вводные'!$B$234="Да",'19_Расчет_аналитики'!AZ4447*'01_Вводные'!$B$14+'19_Расчет_аналитики'!BA4446,0)</f>
        <v/>
      </c>
      <c r="BB4447">
        <f>IF('01_Вводные'!$B$234="Да",'19_Расчет_аналитики'!BA4447*'01_Вводные'!$B$14+'19_Расчет_аналитики'!BB4446,0)</f>
        <v/>
      </c>
      <c r="BC4447">
        <f>IF('01_Вводные'!$B$234="Да",'19_Расчет_аналитики'!BB4447*'01_Вводные'!$B$14+'19_Расчет_аналитики'!BC4446,0)</f>
        <v/>
      </c>
      <c r="BD4447">
        <f>IF('01_Вводные'!$B$234="Да",'19_Расчет_аналитики'!BC4447*'01_Вводные'!$B$14+'19_Расчет_аналитики'!BD4446,0)</f>
        <v/>
      </c>
      <c r="BE4447">
        <f>IF('01_Вводные'!$B$234="Да",'19_Расчет_аналитики'!BD4447*'01_Вводные'!$B$14+'19_Расчет_аналитики'!BE4446,0)</f>
        <v/>
      </c>
      <c r="BF4447">
        <f>IF('01_Вводные'!$B$234="Да",'19_Расчет_аналитики'!BE4447*'01_Вводные'!$B$14+'19_Расчет_аналитики'!BF4446,0)</f>
        <v/>
      </c>
      <c r="BG4447">
        <f>IF('01_Вводные'!$B$234="Да",'19_Расчет_аналитики'!BF4447*'01_Вводные'!$B$14+'19_Расчет_аналитики'!BG4446,0)</f>
        <v/>
      </c>
      <c r="BH4447">
        <f>IF('01_Вводные'!$B$234="Да",'19_Расчет_аналитики'!BG4447*'01_Вводные'!$B$14+'19_Расчет_аналитики'!BH4446,0)</f>
        <v/>
      </c>
      <c r="BI4447">
        <f>IF('01_Вводные'!$B$234="Да",'19_Расчет_аналитики'!BH4447*'01_Вводные'!$B$14+'19_Расчет_аналитики'!BI4446,0)</f>
        <v/>
      </c>
      <c r="BJ4447">
        <f>IF('01_Вводные'!$B$234="Да",'19_Расчет_аналитики'!BI4447*'01_Вводные'!$B$14+'19_Расчет_аналитики'!BJ4446,0)</f>
        <v/>
      </c>
      <c r="BK4447">
        <f>IF('01_Вводные'!$B$234="Да",'19_Расчет_аналитики'!BJ4447*'01_Вводные'!$B$14+'19_Расчет_аналитики'!BK4446,0)</f>
        <v/>
      </c>
      <c r="BL4447">
        <f>IF('01_Вводные'!$B$234="Да",'19_Расчет_аналитики'!BK4447*'01_Вводные'!$B$14+'19_Расчет_аналитики'!BL4446,0)</f>
        <v/>
      </c>
      <c r="BM4447">
        <f>IF('01_Вводные'!$B$234="Да",'19_Расчет_аналитики'!BL4447*'01_Вводные'!$B$14+'19_Расчет_аналитики'!BM4446,0)</f>
        <v/>
      </c>
      <c r="BN4447">
        <f>IF('01_Вводные'!$B$234="Да",'19_Расчет_аналитики'!BM4447*'01_Вводные'!$B$14+'19_Расчет_аналитики'!BN4446,0)</f>
        <v/>
      </c>
      <c r="BO4447">
        <f>IF('01_Вводные'!$B$234="Да",'19_Расчет_аналитики'!BN4447*'01_Вводные'!$B$14+'19_Расчет_аналитики'!BO4446,0)</f>
        <v/>
      </c>
    </row>
    <row r="4448"/>
    <row r="4449"/>
    <row r="4450"/>
    <row r="4451"/>
    <row r="4452"/>
    <row r="4453"/>
    <row r="4454"/>
    <row r="4455"/>
    <row r="4456">
      <c r="B4456">
        <f>IF('01_Вводные'!$B$234="Да",'19_Расчет_аналитики'!B4411,0)</f>
        <v/>
      </c>
      <c r="C4456">
        <f>IF('01_Вводные'!$B$234="Да",'19_Расчет_аналитики'!C4411,0)</f>
        <v/>
      </c>
      <c r="D4456">
        <f>IF('01_Вводные'!$B$234="Да",'19_Расчет_аналитики'!D4411,0)</f>
        <v/>
      </c>
      <c r="E4456">
        <f>IF('01_Вводные'!$B$234="Да",'19_Расчет_аналитики'!E4411,0)</f>
        <v/>
      </c>
      <c r="F4456">
        <f>IF('01_Вводные'!$B$234="Да",'19_Расчет_аналитики'!F4411,0)</f>
        <v/>
      </c>
      <c r="G4456">
        <f>IF('01_Вводные'!$B$234="Да",'19_Расчет_аналитики'!G4411,0)</f>
        <v/>
      </c>
      <c r="H4456">
        <f>IF('01_Вводные'!$B$234="Да",'19_Расчет_аналитики'!H4411,0)</f>
        <v/>
      </c>
      <c r="I4456">
        <f>IF('01_Вводные'!$B$234="Да",'19_Расчет_аналитики'!I4411,0)</f>
        <v/>
      </c>
      <c r="J4456">
        <f>IF('01_Вводные'!$B$234="Да",'19_Расчет_аналитики'!J4411,0)</f>
        <v/>
      </c>
      <c r="K4456">
        <f>IF('01_Вводные'!$B$234="Да",'19_Расчет_аналитики'!K4411,0)</f>
        <v/>
      </c>
      <c r="L4456">
        <f>IF('01_Вводные'!$B$234="Да",'19_Расчет_аналитики'!L4411,0)</f>
        <v/>
      </c>
      <c r="M4456">
        <f>IF('01_Вводные'!$B$234="Да",'19_Расчет_аналитики'!M4411,0)</f>
        <v/>
      </c>
      <c r="N4456">
        <f>IF('01_Вводные'!$B$234="Да",'19_Расчет_аналитики'!N4411,0)</f>
        <v/>
      </c>
      <c r="O4456">
        <f>IF('01_Вводные'!$B$234="Да",'19_Расчет_аналитики'!O4411,0)</f>
        <v/>
      </c>
      <c r="P4456">
        <f>IF('01_Вводные'!$B$234="Да",'19_Расчет_аналитики'!P4411,0)</f>
        <v/>
      </c>
      <c r="Q4456">
        <f>IF('01_Вводные'!$B$234="Да",'19_Расчет_аналитики'!Q4411,0)</f>
        <v/>
      </c>
      <c r="R4456">
        <f>IF('01_Вводные'!$B$234="Да",'19_Расчет_аналитики'!R4411,0)</f>
        <v/>
      </c>
      <c r="S4456">
        <f>IF('01_Вводные'!$B$234="Да",'19_Расчет_аналитики'!S4411,0)</f>
        <v/>
      </c>
      <c r="T4456">
        <f>IF('01_Вводные'!$B$234="Да",'19_Расчет_аналитики'!T4411,0)</f>
        <v/>
      </c>
      <c r="U4456">
        <f>IF('01_Вводные'!$B$234="Да",'19_Расчет_аналитики'!U4411,0)</f>
        <v/>
      </c>
      <c r="V4456">
        <f>IF('01_Вводные'!$B$234="Да",'19_Расчет_аналитики'!V4411,0)</f>
        <v/>
      </c>
      <c r="W4456">
        <f>IF('01_Вводные'!$B$234="Да",'19_Расчет_аналитики'!W4411,0)</f>
        <v/>
      </c>
      <c r="X4456">
        <f>IF('01_Вводные'!$B$234="Да",'19_Расчет_аналитики'!X4411,0)</f>
        <v/>
      </c>
      <c r="Y4456">
        <f>IF('01_Вводные'!$B$234="Да",'19_Расчет_аналитики'!Y4411,0)</f>
        <v/>
      </c>
      <c r="Z4456">
        <f>IF('01_Вводные'!$B$234="Да",'19_Расчет_аналитики'!Z4411,0)</f>
        <v/>
      </c>
      <c r="AA4456">
        <f>IF('01_Вводные'!$B$234="Да",'19_Расчет_аналитики'!AA4411,0)</f>
        <v/>
      </c>
      <c r="AB4456">
        <f>IF('01_Вводные'!$B$234="Да",'19_Расчет_аналитики'!AB4411,0)</f>
        <v/>
      </c>
      <c r="AC4456">
        <f>IF('01_Вводные'!$B$234="Да",'19_Расчет_аналитики'!AC4411,0)</f>
        <v/>
      </c>
      <c r="AD4456">
        <f>IF('01_Вводные'!$B$234="Да",'19_Расчет_аналитики'!AD4411,0)</f>
        <v/>
      </c>
      <c r="AE4456">
        <f>IF('01_Вводные'!$B$234="Да",'19_Расчет_аналитики'!AE4411,0)</f>
        <v/>
      </c>
      <c r="AF4456">
        <f>IF('01_Вводные'!$B$234="Да",'19_Расчет_аналитики'!AF4411,0)</f>
        <v/>
      </c>
      <c r="AG4456">
        <f>IF('01_Вводные'!$B$234="Да",'19_Расчет_аналитики'!AG4411,0)</f>
        <v/>
      </c>
      <c r="AH4456">
        <f>IF('01_Вводные'!$B$234="Да",'19_Расчет_аналитики'!AH4411,0)</f>
        <v/>
      </c>
      <c r="AI4456">
        <f>IF('01_Вводные'!$B$234="Да",'19_Расчет_аналитики'!AI4411,0)</f>
        <v/>
      </c>
      <c r="AJ4456">
        <f>IF('01_Вводные'!$B$234="Да",'19_Расчет_аналитики'!AJ4411,0)</f>
        <v/>
      </c>
      <c r="AK4456">
        <f>IF('01_Вводные'!$B$234="Да",'19_Расчет_аналитики'!AK4411,0)</f>
        <v/>
      </c>
      <c r="AL4456">
        <f>IF('01_Вводные'!$B$234="Да",'19_Расчет_аналитики'!AL4411,0)</f>
        <v/>
      </c>
      <c r="AM4456">
        <f>IF('01_Вводные'!$B$234="Да",'19_Расчет_аналитики'!AM4411,0)</f>
        <v/>
      </c>
      <c r="AN4456">
        <f>IF('01_Вводные'!$B$234="Да",'19_Расчет_аналитики'!AN4411,0)</f>
        <v/>
      </c>
      <c r="AO4456">
        <f>IF('01_Вводные'!$B$234="Да",'19_Расчет_аналитики'!AO4411,0)</f>
        <v/>
      </c>
      <c r="AP4456">
        <f>IF('01_Вводные'!$B$234="Да",'19_Расчет_аналитики'!AP4411,0)</f>
        <v/>
      </c>
      <c r="AQ4456">
        <f>IF('01_Вводные'!$B$234="Да",'19_Расчет_аналитики'!AQ4411,0)</f>
        <v/>
      </c>
      <c r="AR4456">
        <f>IF('01_Вводные'!$B$234="Да",'19_Расчет_аналитики'!AR4411,0)</f>
        <v/>
      </c>
      <c r="AS4456">
        <f>IF('01_Вводные'!$B$234="Да",'19_Расчет_аналитики'!AS4411,0)</f>
        <v/>
      </c>
      <c r="AT4456">
        <f>IF('01_Вводные'!$B$234="Да",'19_Расчет_аналитики'!AT4411,0)</f>
        <v/>
      </c>
      <c r="AU4456">
        <f>IF('01_Вводные'!$B$234="Да",'19_Расчет_аналитики'!AU4411,0)</f>
        <v/>
      </c>
      <c r="AV4456">
        <f>IF('01_Вводные'!$B$234="Да",'19_Расчет_аналитики'!AV4411,0)</f>
        <v/>
      </c>
      <c r="AW4456">
        <f>IF('01_Вводные'!$B$234="Да",'19_Расчет_аналитики'!AW4411,0)</f>
        <v/>
      </c>
      <c r="AX4456">
        <f>IF('01_Вводные'!$B$234="Да",'19_Расчет_аналитики'!AX4411,0)</f>
        <v/>
      </c>
      <c r="AY4456">
        <f>IF('01_Вводные'!$B$234="Да",'19_Расчет_аналитики'!AY4411,0)</f>
        <v/>
      </c>
      <c r="AZ4456">
        <f>IF('01_Вводные'!$B$234="Да",'19_Расчет_аналитики'!AZ4411,0)</f>
        <v/>
      </c>
      <c r="BA4456">
        <f>IF('01_Вводные'!$B$234="Да",'19_Расчет_аналитики'!BA4411,0)</f>
        <v/>
      </c>
      <c r="BB4456">
        <f>IF('01_Вводные'!$B$234="Да",'19_Расчет_аналитики'!BB4411,0)</f>
        <v/>
      </c>
      <c r="BC4456">
        <f>IF('01_Вводные'!$B$234="Да",'19_Расчет_аналитики'!BC4411,0)</f>
        <v/>
      </c>
      <c r="BD4456">
        <f>IF('01_Вводные'!$B$234="Да",'19_Расчет_аналитики'!BD4411,0)</f>
        <v/>
      </c>
      <c r="BE4456">
        <f>IF('01_Вводные'!$B$234="Да",'19_Расчет_аналитики'!BE4411,0)</f>
        <v/>
      </c>
      <c r="BF4456">
        <f>IF('01_Вводные'!$B$234="Да",'19_Расчет_аналитики'!BF4411,0)</f>
        <v/>
      </c>
      <c r="BG4456">
        <f>IF('01_Вводные'!$B$234="Да",'19_Расчет_аналитики'!BG4411,0)</f>
        <v/>
      </c>
      <c r="BH4456">
        <f>IF('01_Вводные'!$B$234="Да",'19_Расчет_аналитики'!BH4411,0)</f>
        <v/>
      </c>
      <c r="BI4456">
        <f>IF('01_Вводные'!$B$234="Да",'19_Расчет_аналитики'!BI4411,0)</f>
        <v/>
      </c>
      <c r="BJ4456">
        <f>IF('01_Вводные'!$B$234="Да",'19_Расчет_аналитики'!BJ4411,0)</f>
        <v/>
      </c>
      <c r="BK4456">
        <f>IF('01_Вводные'!$B$234="Да",'19_Расчет_аналитики'!BK4411,0)</f>
        <v/>
      </c>
      <c r="BL4456">
        <f>IF('01_Вводные'!$B$234="Да",'19_Расчет_аналитики'!BL4411,0)</f>
        <v/>
      </c>
      <c r="BM4456">
        <f>IF('01_Вводные'!$B$234="Да",'19_Расчет_аналитики'!BM4411,0)</f>
        <v/>
      </c>
      <c r="BN4456">
        <f>IF('01_Вводные'!$B$234="Да",'19_Расчет_аналитики'!BN4411,0)</f>
        <v/>
      </c>
      <c r="BO4456">
        <f>IF('01_Вводные'!$B$234="Да",'19_Расчет_аналитики'!BO4411,0)</f>
        <v/>
      </c>
    </row>
    <row r="4457">
      <c r="B4457">
        <f>'06_Сеть_и_дети'!B54</f>
        <v/>
      </c>
      <c r="C4457">
        <f>IF('01_Вводные'!$B$234="Да",'19_Расчет_аналитики'!B4456*'01_Вводные'!$B$14,0)</f>
        <v/>
      </c>
      <c r="D4457">
        <f>IF('01_Вводные'!$B$234="Да",'19_Расчет_аналитики'!C4456*'01_Вводные'!$B$14,0)</f>
        <v/>
      </c>
      <c r="E4457">
        <f>IF('01_Вводные'!$B$234="Да",'19_Расчет_аналитики'!D4456*'01_Вводные'!$B$14,0)</f>
        <v/>
      </c>
      <c r="F4457">
        <f>IF('01_Вводные'!$B$234="Да",'19_Расчет_аналитики'!E4456*'01_Вводные'!$B$14,0)</f>
        <v/>
      </c>
      <c r="G4457">
        <f>IF('01_Вводные'!$B$234="Да",'19_Расчет_аналитики'!F4456*'01_Вводные'!$B$14,0)</f>
        <v/>
      </c>
      <c r="H4457">
        <f>IF('01_Вводные'!$B$234="Да",'19_Расчет_аналитики'!G4456*'01_Вводные'!$B$14,0)</f>
        <v/>
      </c>
      <c r="I4457">
        <f>IF('01_Вводные'!$B$234="Да",'19_Расчет_аналитики'!H4456*'01_Вводные'!$B$14,0)</f>
        <v/>
      </c>
      <c r="J4457">
        <f>IF('01_Вводные'!$B$234="Да",'19_Расчет_аналитики'!I4456*'01_Вводные'!$B$14,0)</f>
        <v/>
      </c>
      <c r="K4457">
        <f>IF('01_Вводные'!$B$234="Да",'19_Расчет_аналитики'!J4456*'01_Вводные'!$B$14,0)</f>
        <v/>
      </c>
      <c r="L4457">
        <f>IF('01_Вводные'!$B$234="Да",'19_Расчет_аналитики'!K4456*'01_Вводные'!$B$14,0)</f>
        <v/>
      </c>
      <c r="M4457">
        <f>IF('01_Вводные'!$B$234="Да",'19_Расчет_аналитики'!L4456*'01_Вводные'!$B$14,0)</f>
        <v/>
      </c>
      <c r="N4457">
        <f>IF('01_Вводные'!$B$234="Да",'19_Расчет_аналитики'!M4456*'01_Вводные'!$B$14,0)</f>
        <v/>
      </c>
      <c r="O4457">
        <f>IF('01_Вводные'!$B$234="Да",'19_Расчет_аналитики'!N4456*'01_Вводные'!$B$14,0)</f>
        <v/>
      </c>
      <c r="P4457">
        <f>IF('01_Вводные'!$B$234="Да",'19_Расчет_аналитики'!O4456*'01_Вводные'!$B$14,0)</f>
        <v/>
      </c>
      <c r="Q4457">
        <f>IF('01_Вводные'!$B$234="Да",'19_Расчет_аналитики'!P4456*'01_Вводные'!$B$14,0)</f>
        <v/>
      </c>
      <c r="R4457">
        <f>IF('01_Вводные'!$B$234="Да",'19_Расчет_аналитики'!Q4456*'01_Вводные'!$B$14,0)</f>
        <v/>
      </c>
      <c r="S4457">
        <f>IF('01_Вводные'!$B$234="Да",'19_Расчет_аналитики'!R4456*'01_Вводные'!$B$14,0)</f>
        <v/>
      </c>
      <c r="T4457">
        <f>IF('01_Вводные'!$B$234="Да",'19_Расчет_аналитики'!S4456*'01_Вводные'!$B$14,0)</f>
        <v/>
      </c>
      <c r="U4457">
        <f>IF('01_Вводные'!$B$234="Да",'19_Расчет_аналитики'!T4456*'01_Вводные'!$B$14,0)</f>
        <v/>
      </c>
      <c r="V4457">
        <f>IF('01_Вводные'!$B$234="Да",'19_Расчет_аналитики'!U4456*'01_Вводные'!$B$14,0)</f>
        <v/>
      </c>
      <c r="W4457">
        <f>IF('01_Вводные'!$B$234="Да",'19_Расчет_аналитики'!V4456*'01_Вводные'!$B$14,0)</f>
        <v/>
      </c>
      <c r="X4457">
        <f>IF('01_Вводные'!$B$234="Да",'19_Расчет_аналитики'!W4456*'01_Вводные'!$B$14,0)</f>
        <v/>
      </c>
      <c r="Y4457">
        <f>IF('01_Вводные'!$B$234="Да",'19_Расчет_аналитики'!X4456*'01_Вводные'!$B$14,0)</f>
        <v/>
      </c>
      <c r="Z4457">
        <f>IF('01_Вводные'!$B$234="Да",'19_Расчет_аналитики'!Y4456*'01_Вводные'!$B$14,0)</f>
        <v/>
      </c>
      <c r="AA4457">
        <f>IF('01_Вводные'!$B$234="Да",'19_Расчет_аналитики'!Z4456*'01_Вводные'!$B$14,0)</f>
        <v/>
      </c>
      <c r="AB4457">
        <f>IF('01_Вводные'!$B$234="Да",'19_Расчет_аналитики'!AA4456*'01_Вводные'!$B$14,0)</f>
        <v/>
      </c>
      <c r="AC4457">
        <f>IF('01_Вводные'!$B$234="Да",'19_Расчет_аналитики'!AB4456*'01_Вводные'!$B$14,0)</f>
        <v/>
      </c>
      <c r="AD4457">
        <f>IF('01_Вводные'!$B$234="Да",'19_Расчет_аналитики'!AC4456*'01_Вводные'!$B$14,0)</f>
        <v/>
      </c>
      <c r="AE4457">
        <f>IF('01_Вводные'!$B$234="Да",'19_Расчет_аналитики'!AD4456*'01_Вводные'!$B$14,0)</f>
        <v/>
      </c>
      <c r="AF4457">
        <f>IF('01_Вводные'!$B$234="Да",'19_Расчет_аналитики'!AE4456*'01_Вводные'!$B$14,0)</f>
        <v/>
      </c>
      <c r="AG4457">
        <f>IF('01_Вводные'!$B$234="Да",'19_Расчет_аналитики'!AF4456*'01_Вводные'!$B$14,0)</f>
        <v/>
      </c>
      <c r="AH4457">
        <f>IF('01_Вводные'!$B$234="Да",'19_Расчет_аналитики'!AG4456*'01_Вводные'!$B$14,0)</f>
        <v/>
      </c>
      <c r="AI4457">
        <f>IF('01_Вводные'!$B$234="Да",'19_Расчет_аналитики'!AH4456*'01_Вводные'!$B$14,0)</f>
        <v/>
      </c>
      <c r="AJ4457">
        <f>IF('01_Вводные'!$B$234="Да",'19_Расчет_аналитики'!AI4456*'01_Вводные'!$B$14,0)</f>
        <v/>
      </c>
      <c r="AK4457">
        <f>IF('01_Вводные'!$B$234="Да",'19_Расчет_аналитики'!AJ4456*'01_Вводные'!$B$14,0)</f>
        <v/>
      </c>
      <c r="AL4457">
        <f>IF('01_Вводные'!$B$234="Да",'19_Расчет_аналитики'!AK4456*'01_Вводные'!$B$14,0)</f>
        <v/>
      </c>
      <c r="AM4457">
        <f>IF('01_Вводные'!$B$234="Да",'19_Расчет_аналитики'!AL4456*'01_Вводные'!$B$14,0)</f>
        <v/>
      </c>
      <c r="AN4457">
        <f>IF('01_Вводные'!$B$234="Да",'19_Расчет_аналитики'!AM4456*'01_Вводные'!$B$14,0)</f>
        <v/>
      </c>
      <c r="AO4457">
        <f>IF('01_Вводные'!$B$234="Да",'19_Расчет_аналитики'!AN4456*'01_Вводные'!$B$14,0)</f>
        <v/>
      </c>
      <c r="AP4457">
        <f>IF('01_Вводные'!$B$234="Да",'19_Расчет_аналитики'!AO4456*'01_Вводные'!$B$14,0)</f>
        <v/>
      </c>
      <c r="AQ4457">
        <f>IF('01_Вводные'!$B$234="Да",'19_Расчет_аналитики'!AP4456*'01_Вводные'!$B$14,0)</f>
        <v/>
      </c>
      <c r="AR4457">
        <f>IF('01_Вводные'!$B$234="Да",'19_Расчет_аналитики'!AQ4456*'01_Вводные'!$B$14,0)</f>
        <v/>
      </c>
      <c r="AS4457">
        <f>IF('01_Вводные'!$B$234="Да",'19_Расчет_аналитики'!AR4456*'01_Вводные'!$B$14,0)</f>
        <v/>
      </c>
      <c r="AT4457">
        <f>IF('01_Вводные'!$B$234="Да",'19_Расчет_аналитики'!AS4456*'01_Вводные'!$B$14,0)</f>
        <v/>
      </c>
      <c r="AU4457">
        <f>IF('01_Вводные'!$B$234="Да",'19_Расчет_аналитики'!AT4456*'01_Вводные'!$B$14,0)</f>
        <v/>
      </c>
      <c r="AV4457">
        <f>IF('01_Вводные'!$B$234="Да",'19_Расчет_аналитики'!AU4456*'01_Вводные'!$B$14,0)</f>
        <v/>
      </c>
      <c r="AW4457">
        <f>IF('01_Вводные'!$B$234="Да",'19_Расчет_аналитики'!AV4456*'01_Вводные'!$B$14,0)</f>
        <v/>
      </c>
      <c r="AX4457">
        <f>IF('01_Вводные'!$B$234="Да",'19_Расчет_аналитики'!AW4456*'01_Вводные'!$B$14,0)</f>
        <v/>
      </c>
      <c r="AY4457">
        <f>IF('01_Вводные'!$B$234="Да",'19_Расчет_аналитики'!AX4456*'01_Вводные'!$B$14,0)</f>
        <v/>
      </c>
      <c r="AZ4457">
        <f>IF('01_Вводные'!$B$234="Да",'19_Расчет_аналитики'!AY4456*'01_Вводные'!$B$14,0)</f>
        <v/>
      </c>
      <c r="BA4457">
        <f>IF('01_Вводные'!$B$234="Да",'19_Расчет_аналитики'!AZ4456*'01_Вводные'!$B$14,0)</f>
        <v/>
      </c>
      <c r="BB4457">
        <f>IF('01_Вводные'!$B$234="Да",'19_Расчет_аналитики'!BA4456*'01_Вводные'!$B$14,0)</f>
        <v/>
      </c>
      <c r="BC4457">
        <f>IF('01_Вводные'!$B$234="Да",'19_Расчет_аналитики'!BB4456*'01_Вводные'!$B$14,0)</f>
        <v/>
      </c>
      <c r="BD4457">
        <f>IF('01_Вводные'!$B$234="Да",'19_Расчет_аналитики'!BC4456*'01_Вводные'!$B$14,0)</f>
        <v/>
      </c>
      <c r="BE4457">
        <f>IF('01_Вводные'!$B$234="Да",'19_Расчет_аналитики'!BD4456*'01_Вводные'!$B$14,0)</f>
        <v/>
      </c>
      <c r="BF4457">
        <f>IF('01_Вводные'!$B$234="Да",'19_Расчет_аналитики'!BE4456*'01_Вводные'!$B$14,0)</f>
        <v/>
      </c>
      <c r="BG4457">
        <f>IF('01_Вводные'!$B$234="Да",'19_Расчет_аналитики'!BF4456*'01_Вводные'!$B$14,0)</f>
        <v/>
      </c>
      <c r="BH4457">
        <f>IF('01_Вводные'!$B$234="Да",'19_Расчет_аналитики'!BG4456*'01_Вводные'!$B$14,0)</f>
        <v/>
      </c>
      <c r="BI4457">
        <f>IF('01_Вводные'!$B$234="Да",'19_Расчет_аналитики'!BH4456*'01_Вводные'!$B$14,0)</f>
        <v/>
      </c>
      <c r="BJ4457">
        <f>IF('01_Вводные'!$B$234="Да",'19_Расчет_аналитики'!BI4456*'01_Вводные'!$B$14,0)</f>
        <v/>
      </c>
      <c r="BK4457">
        <f>IF('01_Вводные'!$B$234="Да",'19_Расчет_аналитики'!BJ4456*'01_Вводные'!$B$14,0)</f>
        <v/>
      </c>
      <c r="BL4457">
        <f>IF('01_Вводные'!$B$234="Да",'19_Расчет_аналитики'!BK4456*'01_Вводные'!$B$14,0)</f>
        <v/>
      </c>
      <c r="BM4457">
        <f>IF('01_Вводные'!$B$234="Да",'19_Расчет_аналитики'!BL4456*'01_Вводные'!$B$14,0)</f>
        <v/>
      </c>
      <c r="BN4457">
        <f>IF('01_Вводные'!$B$234="Да",'19_Расчет_аналитики'!BM4456*'01_Вводные'!$B$14,0)</f>
        <v/>
      </c>
      <c r="BO4457">
        <f>IF('01_Вводные'!$B$234="Да",'19_Расчет_аналитики'!BN4456*'01_Вводные'!$B$14,0)</f>
        <v/>
      </c>
    </row>
    <row r="4458">
      <c r="B4458">
        <f>'06_Сеть_и_дети'!B55</f>
        <v/>
      </c>
      <c r="C4458">
        <f>'06_Сеть_и_дети'!C55</f>
        <v/>
      </c>
      <c r="D4458">
        <f>IF('01_Вводные'!$B$234="Да",'19_Расчет_аналитики'!C4457*'01_Вводные'!$B$14,0)</f>
        <v/>
      </c>
      <c r="E4458">
        <f>IF('01_Вводные'!$B$234="Да",'19_Расчет_аналитики'!D4457*'01_Вводные'!$B$14,0)</f>
        <v/>
      </c>
      <c r="F4458">
        <f>IF('01_Вводные'!$B$234="Да",'19_Расчет_аналитики'!E4457*'01_Вводные'!$B$14,0)</f>
        <v/>
      </c>
      <c r="G4458">
        <f>IF('01_Вводные'!$B$234="Да",'19_Расчет_аналитики'!F4457*'01_Вводные'!$B$14,0)</f>
        <v/>
      </c>
      <c r="H4458">
        <f>IF('01_Вводные'!$B$234="Да",'19_Расчет_аналитики'!G4457*'01_Вводные'!$B$14,0)</f>
        <v/>
      </c>
      <c r="I4458">
        <f>IF('01_Вводные'!$B$234="Да",'19_Расчет_аналитики'!H4457*'01_Вводные'!$B$14,0)</f>
        <v/>
      </c>
      <c r="J4458">
        <f>IF('01_Вводные'!$B$234="Да",'19_Расчет_аналитики'!I4457*'01_Вводные'!$B$14,0)</f>
        <v/>
      </c>
      <c r="K4458">
        <f>IF('01_Вводные'!$B$234="Да",'19_Расчет_аналитики'!J4457*'01_Вводные'!$B$14,0)</f>
        <v/>
      </c>
      <c r="L4458">
        <f>IF('01_Вводные'!$B$234="Да",'19_Расчет_аналитики'!K4457*'01_Вводные'!$B$14,0)</f>
        <v/>
      </c>
      <c r="M4458">
        <f>IF('01_Вводные'!$B$234="Да",'19_Расчет_аналитики'!L4457*'01_Вводные'!$B$14,0)</f>
        <v/>
      </c>
      <c r="N4458">
        <f>IF('01_Вводные'!$B$234="Да",'19_Расчет_аналитики'!M4457*'01_Вводные'!$B$14,0)</f>
        <v/>
      </c>
      <c r="O4458">
        <f>IF('01_Вводные'!$B$234="Да",'19_Расчет_аналитики'!N4457*'01_Вводные'!$B$14,0)</f>
        <v/>
      </c>
      <c r="P4458">
        <f>IF('01_Вводные'!$B$234="Да",'19_Расчет_аналитики'!O4457*'01_Вводные'!$B$14,0)</f>
        <v/>
      </c>
      <c r="Q4458">
        <f>IF('01_Вводные'!$B$234="Да",'19_Расчет_аналитики'!P4457*'01_Вводные'!$B$14,0)</f>
        <v/>
      </c>
      <c r="R4458">
        <f>IF('01_Вводные'!$B$234="Да",'19_Расчет_аналитики'!Q4457*'01_Вводные'!$B$14,0)</f>
        <v/>
      </c>
      <c r="S4458">
        <f>IF('01_Вводные'!$B$234="Да",'19_Расчет_аналитики'!R4457*'01_Вводные'!$B$14,0)</f>
        <v/>
      </c>
      <c r="T4458">
        <f>IF('01_Вводные'!$B$234="Да",'19_Расчет_аналитики'!S4457*'01_Вводные'!$B$14,0)</f>
        <v/>
      </c>
      <c r="U4458">
        <f>IF('01_Вводные'!$B$234="Да",'19_Расчет_аналитики'!T4457*'01_Вводные'!$B$14,0)</f>
        <v/>
      </c>
      <c r="V4458">
        <f>IF('01_Вводные'!$B$234="Да",'19_Расчет_аналитики'!U4457*'01_Вводные'!$B$14,0)</f>
        <v/>
      </c>
      <c r="W4458">
        <f>IF('01_Вводные'!$B$234="Да",'19_Расчет_аналитики'!V4457*'01_Вводные'!$B$14,0)</f>
        <v/>
      </c>
      <c r="X4458">
        <f>IF('01_Вводные'!$B$234="Да",'19_Расчет_аналитики'!W4457*'01_Вводные'!$B$14,0)</f>
        <v/>
      </c>
      <c r="Y4458">
        <f>IF('01_Вводные'!$B$234="Да",'19_Расчет_аналитики'!X4457*'01_Вводные'!$B$14,0)</f>
        <v/>
      </c>
      <c r="Z4458">
        <f>IF('01_Вводные'!$B$234="Да",'19_Расчет_аналитики'!Y4457*'01_Вводные'!$B$14,0)</f>
        <v/>
      </c>
      <c r="AA4458">
        <f>IF('01_Вводные'!$B$234="Да",'19_Расчет_аналитики'!Z4457*'01_Вводные'!$B$14,0)</f>
        <v/>
      </c>
      <c r="AB4458">
        <f>IF('01_Вводные'!$B$234="Да",'19_Расчет_аналитики'!AA4457*'01_Вводные'!$B$14,0)</f>
        <v/>
      </c>
      <c r="AC4458">
        <f>IF('01_Вводные'!$B$234="Да",'19_Расчет_аналитики'!AB4457*'01_Вводные'!$B$14,0)</f>
        <v/>
      </c>
      <c r="AD4458">
        <f>IF('01_Вводные'!$B$234="Да",'19_Расчет_аналитики'!AC4457*'01_Вводные'!$B$14,0)</f>
        <v/>
      </c>
      <c r="AE4458">
        <f>IF('01_Вводные'!$B$234="Да",'19_Расчет_аналитики'!AD4457*'01_Вводные'!$B$14,0)</f>
        <v/>
      </c>
      <c r="AF4458">
        <f>IF('01_Вводные'!$B$234="Да",'19_Расчет_аналитики'!AE4457*'01_Вводные'!$B$14,0)</f>
        <v/>
      </c>
      <c r="AG4458">
        <f>IF('01_Вводные'!$B$234="Да",'19_Расчет_аналитики'!AF4457*'01_Вводные'!$B$14,0)</f>
        <v/>
      </c>
      <c r="AH4458">
        <f>IF('01_Вводные'!$B$234="Да",'19_Расчет_аналитики'!AG4457*'01_Вводные'!$B$14,0)</f>
        <v/>
      </c>
      <c r="AI4458">
        <f>IF('01_Вводные'!$B$234="Да",'19_Расчет_аналитики'!AH4457*'01_Вводные'!$B$14,0)</f>
        <v/>
      </c>
      <c r="AJ4458">
        <f>IF('01_Вводные'!$B$234="Да",'19_Расчет_аналитики'!AI4457*'01_Вводные'!$B$14,0)</f>
        <v/>
      </c>
      <c r="AK4458">
        <f>IF('01_Вводные'!$B$234="Да",'19_Расчет_аналитики'!AJ4457*'01_Вводные'!$B$14,0)</f>
        <v/>
      </c>
      <c r="AL4458">
        <f>IF('01_Вводные'!$B$234="Да",'19_Расчет_аналитики'!AK4457*'01_Вводные'!$B$14,0)</f>
        <v/>
      </c>
      <c r="AM4458">
        <f>IF('01_Вводные'!$B$234="Да",'19_Расчет_аналитики'!AL4457*'01_Вводные'!$B$14,0)</f>
        <v/>
      </c>
      <c r="AN4458">
        <f>IF('01_Вводные'!$B$234="Да",'19_Расчет_аналитики'!AM4457*'01_Вводные'!$B$14,0)</f>
        <v/>
      </c>
      <c r="AO4458">
        <f>IF('01_Вводные'!$B$234="Да",'19_Расчет_аналитики'!AN4457*'01_Вводные'!$B$14,0)</f>
        <v/>
      </c>
      <c r="AP4458">
        <f>IF('01_Вводные'!$B$234="Да",'19_Расчет_аналитики'!AO4457*'01_Вводные'!$B$14,0)</f>
        <v/>
      </c>
      <c r="AQ4458">
        <f>IF('01_Вводные'!$B$234="Да",'19_Расчет_аналитики'!AP4457*'01_Вводные'!$B$14,0)</f>
        <v/>
      </c>
      <c r="AR4458">
        <f>IF('01_Вводные'!$B$234="Да",'19_Расчет_аналитики'!AQ4457*'01_Вводные'!$B$14,0)</f>
        <v/>
      </c>
      <c r="AS4458">
        <f>IF('01_Вводные'!$B$234="Да",'19_Расчет_аналитики'!AR4457*'01_Вводные'!$B$14,0)</f>
        <v/>
      </c>
      <c r="AT4458">
        <f>IF('01_Вводные'!$B$234="Да",'19_Расчет_аналитики'!AS4457*'01_Вводные'!$B$14,0)</f>
        <v/>
      </c>
      <c r="AU4458">
        <f>IF('01_Вводные'!$B$234="Да",'19_Расчет_аналитики'!AT4457*'01_Вводные'!$B$14,0)</f>
        <v/>
      </c>
      <c r="AV4458">
        <f>IF('01_Вводные'!$B$234="Да",'19_Расчет_аналитики'!AU4457*'01_Вводные'!$B$14,0)</f>
        <v/>
      </c>
      <c r="AW4458">
        <f>IF('01_Вводные'!$B$234="Да",'19_Расчет_аналитики'!AV4457*'01_Вводные'!$B$14,0)</f>
        <v/>
      </c>
      <c r="AX4458">
        <f>IF('01_Вводные'!$B$234="Да",'19_Расчет_аналитики'!AW4457*'01_Вводные'!$B$14,0)</f>
        <v/>
      </c>
      <c r="AY4458">
        <f>IF('01_Вводные'!$B$234="Да",'19_Расчет_аналитики'!AX4457*'01_Вводные'!$B$14,0)</f>
        <v/>
      </c>
      <c r="AZ4458">
        <f>IF('01_Вводные'!$B$234="Да",'19_Расчет_аналитики'!AY4457*'01_Вводные'!$B$14,0)</f>
        <v/>
      </c>
      <c r="BA4458">
        <f>IF('01_Вводные'!$B$234="Да",'19_Расчет_аналитики'!AZ4457*'01_Вводные'!$B$14,0)</f>
        <v/>
      </c>
      <c r="BB4458">
        <f>IF('01_Вводные'!$B$234="Да",'19_Расчет_аналитики'!BA4457*'01_Вводные'!$B$14,0)</f>
        <v/>
      </c>
      <c r="BC4458">
        <f>IF('01_Вводные'!$B$234="Да",'19_Расчет_аналитики'!BB4457*'01_Вводные'!$B$14,0)</f>
        <v/>
      </c>
      <c r="BD4458">
        <f>IF('01_Вводные'!$B$234="Да",'19_Расчет_аналитики'!BC4457*'01_Вводные'!$B$14,0)</f>
        <v/>
      </c>
      <c r="BE4458">
        <f>IF('01_Вводные'!$B$234="Да",'19_Расчет_аналитики'!BD4457*'01_Вводные'!$B$14,0)</f>
        <v/>
      </c>
      <c r="BF4458">
        <f>IF('01_Вводные'!$B$234="Да",'19_Расчет_аналитики'!BE4457*'01_Вводные'!$B$14,0)</f>
        <v/>
      </c>
      <c r="BG4458">
        <f>IF('01_Вводные'!$B$234="Да",'19_Расчет_аналитики'!BF4457*'01_Вводные'!$B$14,0)</f>
        <v/>
      </c>
      <c r="BH4458">
        <f>IF('01_Вводные'!$B$234="Да",'19_Расчет_аналитики'!BG4457*'01_Вводные'!$B$14,0)</f>
        <v/>
      </c>
      <c r="BI4458">
        <f>IF('01_Вводные'!$B$234="Да",'19_Расчет_аналитики'!BH4457*'01_Вводные'!$B$14,0)</f>
        <v/>
      </c>
      <c r="BJ4458">
        <f>IF('01_Вводные'!$B$234="Да",'19_Расчет_аналитики'!BI4457*'01_Вводные'!$B$14,0)</f>
        <v/>
      </c>
      <c r="BK4458">
        <f>IF('01_Вводные'!$B$234="Да",'19_Расчет_аналитики'!BJ4457*'01_Вводные'!$B$14,0)</f>
        <v/>
      </c>
      <c r="BL4458">
        <f>IF('01_Вводные'!$B$234="Да",'19_Расчет_аналитики'!BK4457*'01_Вводные'!$B$14,0)</f>
        <v/>
      </c>
      <c r="BM4458">
        <f>IF('01_Вводные'!$B$234="Да",'19_Расчет_аналитики'!BL4457*'01_Вводные'!$B$14,0)</f>
        <v/>
      </c>
      <c r="BN4458">
        <f>IF('01_Вводные'!$B$234="Да",'19_Расчет_аналитики'!BM4457*'01_Вводные'!$B$14,0)</f>
        <v/>
      </c>
      <c r="BO4458">
        <f>IF('01_Вводные'!$B$234="Да",'19_Расчет_аналитики'!BN4457*'01_Вводные'!$B$14,0)</f>
        <v/>
      </c>
    </row>
    <row r="4459">
      <c r="B4459">
        <f>'06_Сеть_и_дети'!B56</f>
        <v/>
      </c>
      <c r="C4459">
        <f>'06_Сеть_и_дети'!C56</f>
        <v/>
      </c>
      <c r="D4459">
        <f>'06_Сеть_и_дети'!D56</f>
        <v/>
      </c>
      <c r="E4459">
        <f>IF('01_Вводные'!$B$234="Да",'19_Расчет_аналитики'!D4458*'01_Вводные'!$B$14,0)</f>
        <v/>
      </c>
      <c r="F4459">
        <f>IF('01_Вводные'!$B$234="Да",'19_Расчет_аналитики'!E4458*'01_Вводные'!$B$14,0)</f>
        <v/>
      </c>
      <c r="G4459">
        <f>IF('01_Вводные'!$B$234="Да",'19_Расчет_аналитики'!F4458*'01_Вводные'!$B$14,0)</f>
        <v/>
      </c>
      <c r="H4459">
        <f>IF('01_Вводные'!$B$234="Да",'19_Расчет_аналитики'!G4458*'01_Вводные'!$B$14,0)</f>
        <v/>
      </c>
      <c r="I4459">
        <f>IF('01_Вводные'!$B$234="Да",'19_Расчет_аналитики'!H4458*'01_Вводные'!$B$14,0)</f>
        <v/>
      </c>
      <c r="J4459">
        <f>IF('01_Вводные'!$B$234="Да",'19_Расчет_аналитики'!I4458*'01_Вводные'!$B$14,0)</f>
        <v/>
      </c>
      <c r="K4459">
        <f>IF('01_Вводные'!$B$234="Да",'19_Расчет_аналитики'!J4458*'01_Вводные'!$B$14,0)</f>
        <v/>
      </c>
      <c r="L4459">
        <f>IF('01_Вводные'!$B$234="Да",'19_Расчет_аналитики'!K4458*'01_Вводные'!$B$14,0)</f>
        <v/>
      </c>
      <c r="M4459">
        <f>IF('01_Вводные'!$B$234="Да",'19_Расчет_аналитики'!L4458*'01_Вводные'!$B$14,0)</f>
        <v/>
      </c>
      <c r="N4459">
        <f>IF('01_Вводные'!$B$234="Да",'19_Расчет_аналитики'!M4458*'01_Вводные'!$B$14,0)</f>
        <v/>
      </c>
      <c r="O4459">
        <f>IF('01_Вводные'!$B$234="Да",'19_Расчет_аналитики'!N4458*'01_Вводные'!$B$14,0)</f>
        <v/>
      </c>
      <c r="P4459">
        <f>IF('01_Вводные'!$B$234="Да",'19_Расчет_аналитики'!O4458*'01_Вводные'!$B$14,0)</f>
        <v/>
      </c>
      <c r="Q4459">
        <f>IF('01_Вводные'!$B$234="Да",'19_Расчет_аналитики'!P4458*'01_Вводные'!$B$14,0)</f>
        <v/>
      </c>
      <c r="R4459">
        <f>IF('01_Вводные'!$B$234="Да",'19_Расчет_аналитики'!Q4458*'01_Вводные'!$B$14,0)</f>
        <v/>
      </c>
      <c r="S4459">
        <f>IF('01_Вводные'!$B$234="Да",'19_Расчет_аналитики'!R4458*'01_Вводные'!$B$14,0)</f>
        <v/>
      </c>
      <c r="T4459">
        <f>IF('01_Вводные'!$B$234="Да",'19_Расчет_аналитики'!S4458*'01_Вводные'!$B$14,0)</f>
        <v/>
      </c>
      <c r="U4459">
        <f>IF('01_Вводные'!$B$234="Да",'19_Расчет_аналитики'!T4458*'01_Вводные'!$B$14,0)</f>
        <v/>
      </c>
      <c r="V4459">
        <f>IF('01_Вводные'!$B$234="Да",'19_Расчет_аналитики'!U4458*'01_Вводные'!$B$14,0)</f>
        <v/>
      </c>
      <c r="W4459">
        <f>IF('01_Вводные'!$B$234="Да",'19_Расчет_аналитики'!V4458*'01_Вводные'!$B$14,0)</f>
        <v/>
      </c>
      <c r="X4459">
        <f>IF('01_Вводные'!$B$234="Да",'19_Расчет_аналитики'!W4458*'01_Вводные'!$B$14,0)</f>
        <v/>
      </c>
      <c r="Y4459">
        <f>IF('01_Вводные'!$B$234="Да",'19_Расчет_аналитики'!X4458*'01_Вводные'!$B$14,0)</f>
        <v/>
      </c>
      <c r="Z4459">
        <f>IF('01_Вводные'!$B$234="Да",'19_Расчет_аналитики'!Y4458*'01_Вводные'!$B$14,0)</f>
        <v/>
      </c>
      <c r="AA4459">
        <f>IF('01_Вводные'!$B$234="Да",'19_Расчет_аналитики'!Z4458*'01_Вводные'!$B$14,0)</f>
        <v/>
      </c>
      <c r="AB4459">
        <f>IF('01_Вводные'!$B$234="Да",'19_Расчет_аналитики'!AA4458*'01_Вводные'!$B$14,0)</f>
        <v/>
      </c>
      <c r="AC4459">
        <f>IF('01_Вводные'!$B$234="Да",'19_Расчет_аналитики'!AB4458*'01_Вводные'!$B$14,0)</f>
        <v/>
      </c>
      <c r="AD4459">
        <f>IF('01_Вводные'!$B$234="Да",'19_Расчет_аналитики'!AC4458*'01_Вводные'!$B$14,0)</f>
        <v/>
      </c>
      <c r="AE4459">
        <f>IF('01_Вводные'!$B$234="Да",'19_Расчет_аналитики'!AD4458*'01_Вводные'!$B$14,0)</f>
        <v/>
      </c>
      <c r="AF4459">
        <f>IF('01_Вводные'!$B$234="Да",'19_Расчет_аналитики'!AE4458*'01_Вводные'!$B$14,0)</f>
        <v/>
      </c>
      <c r="AG4459">
        <f>IF('01_Вводные'!$B$234="Да",'19_Расчет_аналитики'!AF4458*'01_Вводные'!$B$14,0)</f>
        <v/>
      </c>
      <c r="AH4459">
        <f>IF('01_Вводные'!$B$234="Да",'19_Расчет_аналитики'!AG4458*'01_Вводные'!$B$14,0)</f>
        <v/>
      </c>
      <c r="AI4459">
        <f>IF('01_Вводные'!$B$234="Да",'19_Расчет_аналитики'!AH4458*'01_Вводные'!$B$14,0)</f>
        <v/>
      </c>
      <c r="AJ4459">
        <f>IF('01_Вводные'!$B$234="Да",'19_Расчет_аналитики'!AI4458*'01_Вводные'!$B$14,0)</f>
        <v/>
      </c>
      <c r="AK4459">
        <f>IF('01_Вводные'!$B$234="Да",'19_Расчет_аналитики'!AJ4458*'01_Вводные'!$B$14,0)</f>
        <v/>
      </c>
      <c r="AL4459">
        <f>IF('01_Вводные'!$B$234="Да",'19_Расчет_аналитики'!AK4458*'01_Вводные'!$B$14,0)</f>
        <v/>
      </c>
      <c r="AM4459">
        <f>IF('01_Вводные'!$B$234="Да",'19_Расчет_аналитики'!AL4458*'01_Вводные'!$B$14,0)</f>
        <v/>
      </c>
      <c r="AN4459">
        <f>IF('01_Вводные'!$B$234="Да",'19_Расчет_аналитики'!AM4458*'01_Вводные'!$B$14,0)</f>
        <v/>
      </c>
      <c r="AO4459">
        <f>IF('01_Вводные'!$B$234="Да",'19_Расчет_аналитики'!AN4458*'01_Вводные'!$B$14,0)</f>
        <v/>
      </c>
      <c r="AP4459">
        <f>IF('01_Вводные'!$B$234="Да",'19_Расчет_аналитики'!AO4458*'01_Вводные'!$B$14,0)</f>
        <v/>
      </c>
      <c r="AQ4459">
        <f>IF('01_Вводные'!$B$234="Да",'19_Расчет_аналитики'!AP4458*'01_Вводные'!$B$14,0)</f>
        <v/>
      </c>
      <c r="AR4459">
        <f>IF('01_Вводные'!$B$234="Да",'19_Расчет_аналитики'!AQ4458*'01_Вводные'!$B$14,0)</f>
        <v/>
      </c>
      <c r="AS4459">
        <f>IF('01_Вводные'!$B$234="Да",'19_Расчет_аналитики'!AR4458*'01_Вводные'!$B$14,0)</f>
        <v/>
      </c>
      <c r="AT4459">
        <f>IF('01_Вводные'!$B$234="Да",'19_Расчет_аналитики'!AS4458*'01_Вводные'!$B$14,0)</f>
        <v/>
      </c>
      <c r="AU4459">
        <f>IF('01_Вводные'!$B$234="Да",'19_Расчет_аналитики'!AT4458*'01_Вводные'!$B$14,0)</f>
        <v/>
      </c>
      <c r="AV4459">
        <f>IF('01_Вводные'!$B$234="Да",'19_Расчет_аналитики'!AU4458*'01_Вводные'!$B$14,0)</f>
        <v/>
      </c>
      <c r="AW4459">
        <f>IF('01_Вводные'!$B$234="Да",'19_Расчет_аналитики'!AV4458*'01_Вводные'!$B$14,0)</f>
        <v/>
      </c>
      <c r="AX4459">
        <f>IF('01_Вводные'!$B$234="Да",'19_Расчет_аналитики'!AW4458*'01_Вводные'!$B$14,0)</f>
        <v/>
      </c>
      <c r="AY4459">
        <f>IF('01_Вводные'!$B$234="Да",'19_Расчет_аналитики'!AX4458*'01_Вводные'!$B$14,0)</f>
        <v/>
      </c>
      <c r="AZ4459">
        <f>IF('01_Вводные'!$B$234="Да",'19_Расчет_аналитики'!AY4458*'01_Вводные'!$B$14,0)</f>
        <v/>
      </c>
      <c r="BA4459">
        <f>IF('01_Вводные'!$B$234="Да",'19_Расчет_аналитики'!AZ4458*'01_Вводные'!$B$14,0)</f>
        <v/>
      </c>
      <c r="BB4459">
        <f>IF('01_Вводные'!$B$234="Да",'19_Расчет_аналитики'!BA4458*'01_Вводные'!$B$14,0)</f>
        <v/>
      </c>
      <c r="BC4459">
        <f>IF('01_Вводные'!$B$234="Да",'19_Расчет_аналитики'!BB4458*'01_Вводные'!$B$14,0)</f>
        <v/>
      </c>
      <c r="BD4459">
        <f>IF('01_Вводные'!$B$234="Да",'19_Расчет_аналитики'!BC4458*'01_Вводные'!$B$14,0)</f>
        <v/>
      </c>
      <c r="BE4459">
        <f>IF('01_Вводные'!$B$234="Да",'19_Расчет_аналитики'!BD4458*'01_Вводные'!$B$14,0)</f>
        <v/>
      </c>
      <c r="BF4459">
        <f>IF('01_Вводные'!$B$234="Да",'19_Расчет_аналитики'!BE4458*'01_Вводные'!$B$14,0)</f>
        <v/>
      </c>
      <c r="BG4459">
        <f>IF('01_Вводные'!$B$234="Да",'19_Расчет_аналитики'!BF4458*'01_Вводные'!$B$14,0)</f>
        <v/>
      </c>
      <c r="BH4459">
        <f>IF('01_Вводные'!$B$234="Да",'19_Расчет_аналитики'!BG4458*'01_Вводные'!$B$14,0)</f>
        <v/>
      </c>
      <c r="BI4459">
        <f>IF('01_Вводные'!$B$234="Да",'19_Расчет_аналитики'!BH4458*'01_Вводные'!$B$14,0)</f>
        <v/>
      </c>
      <c r="BJ4459">
        <f>IF('01_Вводные'!$B$234="Да",'19_Расчет_аналитики'!BI4458*'01_Вводные'!$B$14,0)</f>
        <v/>
      </c>
      <c r="BK4459">
        <f>IF('01_Вводные'!$B$234="Да",'19_Расчет_аналитики'!BJ4458*'01_Вводные'!$B$14,0)</f>
        <v/>
      </c>
      <c r="BL4459">
        <f>IF('01_Вводные'!$B$234="Да",'19_Расчет_аналитики'!BK4458*'01_Вводные'!$B$14,0)</f>
        <v/>
      </c>
      <c r="BM4459">
        <f>IF('01_Вводные'!$B$234="Да",'19_Расчет_аналитики'!BL4458*'01_Вводные'!$B$14,0)</f>
        <v/>
      </c>
      <c r="BN4459">
        <f>IF('01_Вводные'!$B$234="Да",'19_Расчет_аналитики'!BM4458*'01_Вводные'!$B$14,0)</f>
        <v/>
      </c>
      <c r="BO4459">
        <f>IF('01_Вводные'!$B$234="Да",'19_Расчет_аналитики'!BN4458*'01_Вводные'!$B$14,0)</f>
        <v/>
      </c>
    </row>
    <row r="4460">
      <c r="B4460">
        <f>'06_Сеть_и_дети'!B57</f>
        <v/>
      </c>
      <c r="C4460">
        <f>'06_Сеть_и_дети'!C57</f>
        <v/>
      </c>
      <c r="D4460">
        <f>'06_Сеть_и_дети'!D57</f>
        <v/>
      </c>
      <c r="E4460">
        <f>'06_Сеть_и_дети'!E57</f>
        <v/>
      </c>
      <c r="F4460">
        <f>IF('01_Вводные'!$B$234="Да",'19_Расчет_аналитики'!E4459*'01_Вводные'!$B$14,0)</f>
        <v/>
      </c>
      <c r="G4460">
        <f>IF('01_Вводные'!$B$234="Да",'19_Расчет_аналитики'!F4459*'01_Вводные'!$B$14,0)</f>
        <v/>
      </c>
      <c r="H4460">
        <f>IF('01_Вводные'!$B$234="Да",'19_Расчет_аналитики'!G4459*'01_Вводные'!$B$14,0)</f>
        <v/>
      </c>
      <c r="I4460">
        <f>IF('01_Вводные'!$B$234="Да",'19_Расчет_аналитики'!H4459*'01_Вводные'!$B$14,0)</f>
        <v/>
      </c>
      <c r="J4460">
        <f>IF('01_Вводные'!$B$234="Да",'19_Расчет_аналитики'!I4459*'01_Вводные'!$B$14,0)</f>
        <v/>
      </c>
      <c r="K4460">
        <f>IF('01_Вводные'!$B$234="Да",'19_Расчет_аналитики'!J4459*'01_Вводные'!$B$14,0)</f>
        <v/>
      </c>
      <c r="L4460">
        <f>IF('01_Вводные'!$B$234="Да",'19_Расчет_аналитики'!K4459*'01_Вводные'!$B$14,0)</f>
        <v/>
      </c>
      <c r="M4460">
        <f>IF('01_Вводные'!$B$234="Да",'19_Расчет_аналитики'!L4459*'01_Вводные'!$B$14,0)</f>
        <v/>
      </c>
      <c r="N4460">
        <f>IF('01_Вводные'!$B$234="Да",'19_Расчет_аналитики'!M4459*'01_Вводные'!$B$14,0)</f>
        <v/>
      </c>
      <c r="O4460">
        <f>IF('01_Вводные'!$B$234="Да",'19_Расчет_аналитики'!N4459*'01_Вводные'!$B$14,0)</f>
        <v/>
      </c>
      <c r="P4460">
        <f>IF('01_Вводные'!$B$234="Да",'19_Расчет_аналитики'!O4459*'01_Вводные'!$B$14,0)</f>
        <v/>
      </c>
      <c r="Q4460">
        <f>IF('01_Вводные'!$B$234="Да",'19_Расчет_аналитики'!P4459*'01_Вводные'!$B$14,0)</f>
        <v/>
      </c>
      <c r="R4460">
        <f>IF('01_Вводные'!$B$234="Да",'19_Расчет_аналитики'!Q4459*'01_Вводные'!$B$14,0)</f>
        <v/>
      </c>
      <c r="S4460">
        <f>IF('01_Вводные'!$B$234="Да",'19_Расчет_аналитики'!R4459*'01_Вводные'!$B$14,0)</f>
        <v/>
      </c>
      <c r="T4460">
        <f>IF('01_Вводные'!$B$234="Да",'19_Расчет_аналитики'!S4459*'01_Вводные'!$B$14,0)</f>
        <v/>
      </c>
      <c r="U4460">
        <f>IF('01_Вводные'!$B$234="Да",'19_Расчет_аналитики'!T4459*'01_Вводные'!$B$14,0)</f>
        <v/>
      </c>
      <c r="V4460">
        <f>IF('01_Вводные'!$B$234="Да",'19_Расчет_аналитики'!U4459*'01_Вводные'!$B$14,0)</f>
        <v/>
      </c>
      <c r="W4460">
        <f>IF('01_Вводные'!$B$234="Да",'19_Расчет_аналитики'!V4459*'01_Вводные'!$B$14,0)</f>
        <v/>
      </c>
      <c r="X4460">
        <f>IF('01_Вводные'!$B$234="Да",'19_Расчет_аналитики'!W4459*'01_Вводные'!$B$14,0)</f>
        <v/>
      </c>
      <c r="Y4460">
        <f>IF('01_Вводные'!$B$234="Да",'19_Расчет_аналитики'!X4459*'01_Вводные'!$B$14,0)</f>
        <v/>
      </c>
      <c r="Z4460">
        <f>IF('01_Вводные'!$B$234="Да",'19_Расчет_аналитики'!Y4459*'01_Вводные'!$B$14,0)</f>
        <v/>
      </c>
      <c r="AA4460">
        <f>IF('01_Вводные'!$B$234="Да",'19_Расчет_аналитики'!Z4459*'01_Вводные'!$B$14,0)</f>
        <v/>
      </c>
      <c r="AB4460">
        <f>IF('01_Вводные'!$B$234="Да",'19_Расчет_аналитики'!AA4459*'01_Вводные'!$B$14,0)</f>
        <v/>
      </c>
      <c r="AC4460">
        <f>IF('01_Вводные'!$B$234="Да",'19_Расчет_аналитики'!AB4459*'01_Вводные'!$B$14,0)</f>
        <v/>
      </c>
      <c r="AD4460">
        <f>IF('01_Вводные'!$B$234="Да",'19_Расчет_аналитики'!AC4459*'01_Вводные'!$B$14,0)</f>
        <v/>
      </c>
      <c r="AE4460">
        <f>IF('01_Вводные'!$B$234="Да",'19_Расчет_аналитики'!AD4459*'01_Вводные'!$B$14,0)</f>
        <v/>
      </c>
      <c r="AF4460">
        <f>IF('01_Вводные'!$B$234="Да",'19_Расчет_аналитики'!AE4459*'01_Вводные'!$B$14,0)</f>
        <v/>
      </c>
      <c r="AG4460">
        <f>IF('01_Вводные'!$B$234="Да",'19_Расчет_аналитики'!AF4459*'01_Вводные'!$B$14,0)</f>
        <v/>
      </c>
      <c r="AH4460">
        <f>IF('01_Вводные'!$B$234="Да",'19_Расчет_аналитики'!AG4459*'01_Вводные'!$B$14,0)</f>
        <v/>
      </c>
      <c r="AI4460">
        <f>IF('01_Вводные'!$B$234="Да",'19_Расчет_аналитики'!AH4459*'01_Вводные'!$B$14,0)</f>
        <v/>
      </c>
      <c r="AJ4460">
        <f>IF('01_Вводные'!$B$234="Да",'19_Расчет_аналитики'!AI4459*'01_Вводные'!$B$14,0)</f>
        <v/>
      </c>
      <c r="AK4460">
        <f>IF('01_Вводные'!$B$234="Да",'19_Расчет_аналитики'!AJ4459*'01_Вводные'!$B$14,0)</f>
        <v/>
      </c>
      <c r="AL4460">
        <f>IF('01_Вводные'!$B$234="Да",'19_Расчет_аналитики'!AK4459*'01_Вводные'!$B$14,0)</f>
        <v/>
      </c>
      <c r="AM4460">
        <f>IF('01_Вводные'!$B$234="Да",'19_Расчет_аналитики'!AL4459*'01_Вводные'!$B$14,0)</f>
        <v/>
      </c>
      <c r="AN4460">
        <f>IF('01_Вводные'!$B$234="Да",'19_Расчет_аналитики'!AM4459*'01_Вводные'!$B$14,0)</f>
        <v/>
      </c>
      <c r="AO4460">
        <f>IF('01_Вводные'!$B$234="Да",'19_Расчет_аналитики'!AN4459*'01_Вводные'!$B$14,0)</f>
        <v/>
      </c>
      <c r="AP4460">
        <f>IF('01_Вводные'!$B$234="Да",'19_Расчет_аналитики'!AO4459*'01_Вводные'!$B$14,0)</f>
        <v/>
      </c>
      <c r="AQ4460">
        <f>IF('01_Вводные'!$B$234="Да",'19_Расчет_аналитики'!AP4459*'01_Вводные'!$B$14,0)</f>
        <v/>
      </c>
      <c r="AR4460">
        <f>IF('01_Вводные'!$B$234="Да",'19_Расчет_аналитики'!AQ4459*'01_Вводные'!$B$14,0)</f>
        <v/>
      </c>
      <c r="AS4460">
        <f>IF('01_Вводные'!$B$234="Да",'19_Расчет_аналитики'!AR4459*'01_Вводные'!$B$14,0)</f>
        <v/>
      </c>
      <c r="AT4460">
        <f>IF('01_Вводные'!$B$234="Да",'19_Расчет_аналитики'!AS4459*'01_Вводные'!$B$14,0)</f>
        <v/>
      </c>
      <c r="AU4460">
        <f>IF('01_Вводные'!$B$234="Да",'19_Расчет_аналитики'!AT4459*'01_Вводные'!$B$14,0)</f>
        <v/>
      </c>
      <c r="AV4460">
        <f>IF('01_Вводные'!$B$234="Да",'19_Расчет_аналитики'!AU4459*'01_Вводные'!$B$14,0)</f>
        <v/>
      </c>
      <c r="AW4460">
        <f>IF('01_Вводные'!$B$234="Да",'19_Расчет_аналитики'!AV4459*'01_Вводные'!$B$14,0)</f>
        <v/>
      </c>
      <c r="AX4460">
        <f>IF('01_Вводные'!$B$234="Да",'19_Расчет_аналитики'!AW4459*'01_Вводные'!$B$14,0)</f>
        <v/>
      </c>
      <c r="AY4460">
        <f>IF('01_Вводные'!$B$234="Да",'19_Расчет_аналитики'!AX4459*'01_Вводные'!$B$14,0)</f>
        <v/>
      </c>
      <c r="AZ4460">
        <f>IF('01_Вводные'!$B$234="Да",'19_Расчет_аналитики'!AY4459*'01_Вводные'!$B$14,0)</f>
        <v/>
      </c>
      <c r="BA4460">
        <f>IF('01_Вводные'!$B$234="Да",'19_Расчет_аналитики'!AZ4459*'01_Вводные'!$B$14,0)</f>
        <v/>
      </c>
      <c r="BB4460">
        <f>IF('01_Вводные'!$B$234="Да",'19_Расчет_аналитики'!BA4459*'01_Вводные'!$B$14,0)</f>
        <v/>
      </c>
      <c r="BC4460">
        <f>IF('01_Вводные'!$B$234="Да",'19_Расчет_аналитики'!BB4459*'01_Вводные'!$B$14,0)</f>
        <v/>
      </c>
      <c r="BD4460">
        <f>IF('01_Вводные'!$B$234="Да",'19_Расчет_аналитики'!BC4459*'01_Вводные'!$B$14,0)</f>
        <v/>
      </c>
      <c r="BE4460">
        <f>IF('01_Вводные'!$B$234="Да",'19_Расчет_аналитики'!BD4459*'01_Вводные'!$B$14,0)</f>
        <v/>
      </c>
      <c r="BF4460">
        <f>IF('01_Вводные'!$B$234="Да",'19_Расчет_аналитики'!BE4459*'01_Вводные'!$B$14,0)</f>
        <v/>
      </c>
      <c r="BG4460">
        <f>IF('01_Вводные'!$B$234="Да",'19_Расчет_аналитики'!BF4459*'01_Вводные'!$B$14,0)</f>
        <v/>
      </c>
      <c r="BH4460">
        <f>IF('01_Вводные'!$B$234="Да",'19_Расчет_аналитики'!BG4459*'01_Вводные'!$B$14,0)</f>
        <v/>
      </c>
      <c r="BI4460">
        <f>IF('01_Вводные'!$B$234="Да",'19_Расчет_аналитики'!BH4459*'01_Вводные'!$B$14,0)</f>
        <v/>
      </c>
      <c r="BJ4460">
        <f>IF('01_Вводные'!$B$234="Да",'19_Расчет_аналитики'!BI4459*'01_Вводные'!$B$14,0)</f>
        <v/>
      </c>
      <c r="BK4460">
        <f>IF('01_Вводные'!$B$234="Да",'19_Расчет_аналитики'!BJ4459*'01_Вводные'!$B$14,0)</f>
        <v/>
      </c>
      <c r="BL4460">
        <f>IF('01_Вводные'!$B$234="Да",'19_Расчет_аналитики'!BK4459*'01_Вводные'!$B$14,0)</f>
        <v/>
      </c>
      <c r="BM4460">
        <f>IF('01_Вводные'!$B$234="Да",'19_Расчет_аналитики'!BL4459*'01_Вводные'!$B$14,0)</f>
        <v/>
      </c>
      <c r="BN4460">
        <f>IF('01_Вводные'!$B$234="Да",'19_Расчет_аналитики'!BM4459*'01_Вводные'!$B$14,0)</f>
        <v/>
      </c>
      <c r="BO4460">
        <f>IF('01_Вводные'!$B$234="Да",'19_Расчет_аналитики'!BN4459*'01_Вводные'!$B$14,0)</f>
        <v/>
      </c>
    </row>
    <row r="4461">
      <c r="B4461">
        <f>'06_Сеть_и_дети'!B58</f>
        <v/>
      </c>
      <c r="C4461">
        <f>'06_Сеть_и_дети'!C58</f>
        <v/>
      </c>
      <c r="D4461">
        <f>'06_Сеть_и_дети'!D58</f>
        <v/>
      </c>
      <c r="E4461">
        <f>'06_Сеть_и_дети'!E58</f>
        <v/>
      </c>
      <c r="F4461">
        <f>'06_Сеть_и_дети'!F58</f>
        <v/>
      </c>
      <c r="G4461">
        <f>IF('01_Вводные'!$B$234="Да",'19_Расчет_аналитики'!F4460*'01_Вводные'!$B$14,0)</f>
        <v/>
      </c>
      <c r="H4461">
        <f>IF('01_Вводные'!$B$234="Да",'19_Расчет_аналитики'!G4460*'01_Вводные'!$B$14,0)</f>
        <v/>
      </c>
      <c r="I4461">
        <f>IF('01_Вводные'!$B$234="Да",'19_Расчет_аналитики'!H4460*'01_Вводные'!$B$14,0)</f>
        <v/>
      </c>
      <c r="J4461">
        <f>IF('01_Вводные'!$B$234="Да",'19_Расчет_аналитики'!I4460*'01_Вводные'!$B$14,0)</f>
        <v/>
      </c>
      <c r="K4461">
        <f>IF('01_Вводные'!$B$234="Да",'19_Расчет_аналитики'!J4460*'01_Вводные'!$B$14,0)</f>
        <v/>
      </c>
      <c r="L4461">
        <f>IF('01_Вводные'!$B$234="Да",'19_Расчет_аналитики'!K4460*'01_Вводные'!$B$14,0)</f>
        <v/>
      </c>
      <c r="M4461">
        <f>IF('01_Вводные'!$B$234="Да",'19_Расчет_аналитики'!L4460*'01_Вводные'!$B$14,0)</f>
        <v/>
      </c>
      <c r="N4461">
        <f>IF('01_Вводные'!$B$234="Да",'19_Расчет_аналитики'!M4460*'01_Вводные'!$B$14,0)</f>
        <v/>
      </c>
      <c r="O4461">
        <f>IF('01_Вводные'!$B$234="Да",'19_Расчет_аналитики'!N4460*'01_Вводные'!$B$14,0)</f>
        <v/>
      </c>
      <c r="P4461">
        <f>IF('01_Вводные'!$B$234="Да",'19_Расчет_аналитики'!O4460*'01_Вводные'!$B$14,0)</f>
        <v/>
      </c>
      <c r="Q4461">
        <f>IF('01_Вводные'!$B$234="Да",'19_Расчет_аналитики'!P4460*'01_Вводные'!$B$14,0)</f>
        <v/>
      </c>
      <c r="R4461">
        <f>IF('01_Вводные'!$B$234="Да",'19_Расчет_аналитики'!Q4460*'01_Вводные'!$B$14,0)</f>
        <v/>
      </c>
      <c r="S4461">
        <f>IF('01_Вводные'!$B$234="Да",'19_Расчет_аналитики'!R4460*'01_Вводные'!$B$14,0)</f>
        <v/>
      </c>
      <c r="T4461">
        <f>IF('01_Вводные'!$B$234="Да",'19_Расчет_аналитики'!S4460*'01_Вводные'!$B$14,0)</f>
        <v/>
      </c>
      <c r="U4461">
        <f>IF('01_Вводные'!$B$234="Да",'19_Расчет_аналитики'!T4460*'01_Вводные'!$B$14,0)</f>
        <v/>
      </c>
      <c r="V4461">
        <f>IF('01_Вводные'!$B$234="Да",'19_Расчет_аналитики'!U4460*'01_Вводные'!$B$14,0)</f>
        <v/>
      </c>
      <c r="W4461">
        <f>IF('01_Вводные'!$B$234="Да",'19_Расчет_аналитики'!V4460*'01_Вводные'!$B$14,0)</f>
        <v/>
      </c>
      <c r="X4461">
        <f>IF('01_Вводные'!$B$234="Да",'19_Расчет_аналитики'!W4460*'01_Вводные'!$B$14,0)</f>
        <v/>
      </c>
      <c r="Y4461">
        <f>IF('01_Вводные'!$B$234="Да",'19_Расчет_аналитики'!X4460*'01_Вводные'!$B$14,0)</f>
        <v/>
      </c>
      <c r="Z4461">
        <f>IF('01_Вводные'!$B$234="Да",'19_Расчет_аналитики'!Y4460*'01_Вводные'!$B$14,0)</f>
        <v/>
      </c>
      <c r="AA4461">
        <f>IF('01_Вводные'!$B$234="Да",'19_Расчет_аналитики'!Z4460*'01_Вводные'!$B$14,0)</f>
        <v/>
      </c>
      <c r="AB4461">
        <f>IF('01_Вводные'!$B$234="Да",'19_Расчет_аналитики'!AA4460*'01_Вводные'!$B$14,0)</f>
        <v/>
      </c>
      <c r="AC4461">
        <f>IF('01_Вводные'!$B$234="Да",'19_Расчет_аналитики'!AB4460*'01_Вводные'!$B$14,0)</f>
        <v/>
      </c>
      <c r="AD4461">
        <f>IF('01_Вводные'!$B$234="Да",'19_Расчет_аналитики'!AC4460*'01_Вводные'!$B$14,0)</f>
        <v/>
      </c>
      <c r="AE4461">
        <f>IF('01_Вводные'!$B$234="Да",'19_Расчет_аналитики'!AD4460*'01_Вводные'!$B$14,0)</f>
        <v/>
      </c>
      <c r="AF4461">
        <f>IF('01_Вводные'!$B$234="Да",'19_Расчет_аналитики'!AE4460*'01_Вводные'!$B$14,0)</f>
        <v/>
      </c>
      <c r="AG4461">
        <f>IF('01_Вводные'!$B$234="Да",'19_Расчет_аналитики'!AF4460*'01_Вводные'!$B$14,0)</f>
        <v/>
      </c>
      <c r="AH4461">
        <f>IF('01_Вводные'!$B$234="Да",'19_Расчет_аналитики'!AG4460*'01_Вводные'!$B$14,0)</f>
        <v/>
      </c>
      <c r="AI4461">
        <f>IF('01_Вводные'!$B$234="Да",'19_Расчет_аналитики'!AH4460*'01_Вводные'!$B$14,0)</f>
        <v/>
      </c>
      <c r="AJ4461">
        <f>IF('01_Вводные'!$B$234="Да",'19_Расчет_аналитики'!AI4460*'01_Вводные'!$B$14,0)</f>
        <v/>
      </c>
      <c r="AK4461">
        <f>IF('01_Вводные'!$B$234="Да",'19_Расчет_аналитики'!AJ4460*'01_Вводные'!$B$14,0)</f>
        <v/>
      </c>
      <c r="AL4461">
        <f>IF('01_Вводные'!$B$234="Да",'19_Расчет_аналитики'!AK4460*'01_Вводные'!$B$14,0)</f>
        <v/>
      </c>
      <c r="AM4461">
        <f>IF('01_Вводные'!$B$234="Да",'19_Расчет_аналитики'!AL4460*'01_Вводные'!$B$14,0)</f>
        <v/>
      </c>
      <c r="AN4461">
        <f>IF('01_Вводные'!$B$234="Да",'19_Расчет_аналитики'!AM4460*'01_Вводные'!$B$14,0)</f>
        <v/>
      </c>
      <c r="AO4461">
        <f>IF('01_Вводные'!$B$234="Да",'19_Расчет_аналитики'!AN4460*'01_Вводные'!$B$14,0)</f>
        <v/>
      </c>
      <c r="AP4461">
        <f>IF('01_Вводные'!$B$234="Да",'19_Расчет_аналитики'!AO4460*'01_Вводные'!$B$14,0)</f>
        <v/>
      </c>
      <c r="AQ4461">
        <f>IF('01_Вводные'!$B$234="Да",'19_Расчет_аналитики'!AP4460*'01_Вводные'!$B$14,0)</f>
        <v/>
      </c>
      <c r="AR4461">
        <f>IF('01_Вводные'!$B$234="Да",'19_Расчет_аналитики'!AQ4460*'01_Вводные'!$B$14,0)</f>
        <v/>
      </c>
      <c r="AS4461">
        <f>IF('01_Вводные'!$B$234="Да",'19_Расчет_аналитики'!AR4460*'01_Вводные'!$B$14,0)</f>
        <v/>
      </c>
      <c r="AT4461">
        <f>IF('01_Вводные'!$B$234="Да",'19_Расчет_аналитики'!AS4460*'01_Вводные'!$B$14,0)</f>
        <v/>
      </c>
      <c r="AU4461">
        <f>IF('01_Вводные'!$B$234="Да",'19_Расчет_аналитики'!AT4460*'01_Вводные'!$B$14,0)</f>
        <v/>
      </c>
      <c r="AV4461">
        <f>IF('01_Вводные'!$B$234="Да",'19_Расчет_аналитики'!AU4460*'01_Вводные'!$B$14,0)</f>
        <v/>
      </c>
      <c r="AW4461">
        <f>IF('01_Вводные'!$B$234="Да",'19_Расчет_аналитики'!AV4460*'01_Вводные'!$B$14,0)</f>
        <v/>
      </c>
      <c r="AX4461">
        <f>IF('01_Вводные'!$B$234="Да",'19_Расчет_аналитики'!AW4460*'01_Вводные'!$B$14,0)</f>
        <v/>
      </c>
      <c r="AY4461">
        <f>IF('01_Вводные'!$B$234="Да",'19_Расчет_аналитики'!AX4460*'01_Вводные'!$B$14,0)</f>
        <v/>
      </c>
      <c r="AZ4461">
        <f>IF('01_Вводные'!$B$234="Да",'19_Расчет_аналитики'!AY4460*'01_Вводные'!$B$14,0)</f>
        <v/>
      </c>
      <c r="BA4461">
        <f>IF('01_Вводные'!$B$234="Да",'19_Расчет_аналитики'!AZ4460*'01_Вводные'!$B$14,0)</f>
        <v/>
      </c>
      <c r="BB4461">
        <f>IF('01_Вводные'!$B$234="Да",'19_Расчет_аналитики'!BA4460*'01_Вводные'!$B$14,0)</f>
        <v/>
      </c>
      <c r="BC4461">
        <f>IF('01_Вводные'!$B$234="Да",'19_Расчет_аналитики'!BB4460*'01_Вводные'!$B$14,0)</f>
        <v/>
      </c>
      <c r="BD4461">
        <f>IF('01_Вводные'!$B$234="Да",'19_Расчет_аналитики'!BC4460*'01_Вводные'!$B$14,0)</f>
        <v/>
      </c>
      <c r="BE4461">
        <f>IF('01_Вводные'!$B$234="Да",'19_Расчет_аналитики'!BD4460*'01_Вводные'!$B$14,0)</f>
        <v/>
      </c>
      <c r="BF4461">
        <f>IF('01_Вводные'!$B$234="Да",'19_Расчет_аналитики'!BE4460*'01_Вводные'!$B$14,0)</f>
        <v/>
      </c>
      <c r="BG4461">
        <f>IF('01_Вводные'!$B$234="Да",'19_Расчет_аналитики'!BF4460*'01_Вводные'!$B$14,0)</f>
        <v/>
      </c>
      <c r="BH4461">
        <f>IF('01_Вводные'!$B$234="Да",'19_Расчет_аналитики'!BG4460*'01_Вводные'!$B$14,0)</f>
        <v/>
      </c>
      <c r="BI4461">
        <f>IF('01_Вводные'!$B$234="Да",'19_Расчет_аналитики'!BH4460*'01_Вводные'!$B$14,0)</f>
        <v/>
      </c>
      <c r="BJ4461">
        <f>IF('01_Вводные'!$B$234="Да",'19_Расчет_аналитики'!BI4460*'01_Вводные'!$B$14,0)</f>
        <v/>
      </c>
      <c r="BK4461">
        <f>IF('01_Вводные'!$B$234="Да",'19_Расчет_аналитики'!BJ4460*'01_Вводные'!$B$14,0)</f>
        <v/>
      </c>
      <c r="BL4461">
        <f>IF('01_Вводные'!$B$234="Да",'19_Расчет_аналитики'!BK4460*'01_Вводные'!$B$14,0)</f>
        <v/>
      </c>
      <c r="BM4461">
        <f>IF('01_Вводные'!$B$234="Да",'19_Расчет_аналитики'!BL4460*'01_Вводные'!$B$14,0)</f>
        <v/>
      </c>
      <c r="BN4461">
        <f>IF('01_Вводные'!$B$234="Да",'19_Расчет_аналитики'!BM4460*'01_Вводные'!$B$14,0)</f>
        <v/>
      </c>
      <c r="BO4461">
        <f>IF('01_Вводные'!$B$234="Да",'19_Расчет_аналитики'!BN4460*'01_Вводные'!$B$14,0)</f>
        <v/>
      </c>
    </row>
    <row r="4462">
      <c r="B4462">
        <f>'06_Сеть_и_дети'!B59</f>
        <v/>
      </c>
      <c r="C4462">
        <f>'06_Сеть_и_дети'!C59</f>
        <v/>
      </c>
      <c r="D4462">
        <f>'06_Сеть_и_дети'!D59</f>
        <v/>
      </c>
      <c r="E4462">
        <f>'06_Сеть_и_дети'!E59</f>
        <v/>
      </c>
      <c r="F4462">
        <f>'06_Сеть_и_дети'!F59</f>
        <v/>
      </c>
      <c r="G4462">
        <f>'06_Сеть_и_дети'!G59</f>
        <v/>
      </c>
      <c r="H4462">
        <f>IF('01_Вводные'!$B$234="Да",'19_Расчет_аналитики'!G4461*'01_Вводные'!$B$14,0)</f>
        <v/>
      </c>
      <c r="I4462">
        <f>IF('01_Вводные'!$B$234="Да",'19_Расчет_аналитики'!H4461*'01_Вводные'!$B$14,0)</f>
        <v/>
      </c>
      <c r="J4462">
        <f>IF('01_Вводные'!$B$234="Да",'19_Расчет_аналитики'!I4461*'01_Вводные'!$B$14,0)</f>
        <v/>
      </c>
      <c r="K4462">
        <f>IF('01_Вводные'!$B$234="Да",'19_Расчет_аналитики'!J4461*'01_Вводные'!$B$14,0)</f>
        <v/>
      </c>
      <c r="L4462">
        <f>IF('01_Вводные'!$B$234="Да",'19_Расчет_аналитики'!K4461*'01_Вводные'!$B$14,0)</f>
        <v/>
      </c>
      <c r="M4462">
        <f>IF('01_Вводные'!$B$234="Да",'19_Расчет_аналитики'!L4461*'01_Вводные'!$B$14,0)</f>
        <v/>
      </c>
      <c r="N4462">
        <f>IF('01_Вводные'!$B$234="Да",'19_Расчет_аналитики'!M4461*'01_Вводные'!$B$14,0)</f>
        <v/>
      </c>
      <c r="O4462">
        <f>IF('01_Вводные'!$B$234="Да",'19_Расчет_аналитики'!N4461*'01_Вводные'!$B$14,0)</f>
        <v/>
      </c>
      <c r="P4462">
        <f>IF('01_Вводные'!$B$234="Да",'19_Расчет_аналитики'!O4461*'01_Вводные'!$B$14,0)</f>
        <v/>
      </c>
      <c r="Q4462">
        <f>IF('01_Вводные'!$B$234="Да",'19_Расчет_аналитики'!P4461*'01_Вводные'!$B$14,0)</f>
        <v/>
      </c>
      <c r="R4462">
        <f>IF('01_Вводные'!$B$234="Да",'19_Расчет_аналитики'!Q4461*'01_Вводные'!$B$14,0)</f>
        <v/>
      </c>
      <c r="S4462">
        <f>IF('01_Вводные'!$B$234="Да",'19_Расчет_аналитики'!R4461*'01_Вводные'!$B$14,0)</f>
        <v/>
      </c>
      <c r="T4462">
        <f>IF('01_Вводные'!$B$234="Да",'19_Расчет_аналитики'!S4461*'01_Вводные'!$B$14,0)</f>
        <v/>
      </c>
      <c r="U4462">
        <f>IF('01_Вводные'!$B$234="Да",'19_Расчет_аналитики'!T4461*'01_Вводные'!$B$14,0)</f>
        <v/>
      </c>
      <c r="V4462">
        <f>IF('01_Вводные'!$B$234="Да",'19_Расчет_аналитики'!U4461*'01_Вводные'!$B$14,0)</f>
        <v/>
      </c>
      <c r="W4462">
        <f>IF('01_Вводные'!$B$234="Да",'19_Расчет_аналитики'!V4461*'01_Вводные'!$B$14,0)</f>
        <v/>
      </c>
      <c r="X4462">
        <f>IF('01_Вводные'!$B$234="Да",'19_Расчет_аналитики'!W4461*'01_Вводные'!$B$14,0)</f>
        <v/>
      </c>
      <c r="Y4462">
        <f>IF('01_Вводные'!$B$234="Да",'19_Расчет_аналитики'!X4461*'01_Вводные'!$B$14,0)</f>
        <v/>
      </c>
      <c r="Z4462">
        <f>IF('01_Вводные'!$B$234="Да",'19_Расчет_аналитики'!Y4461*'01_Вводные'!$B$14,0)</f>
        <v/>
      </c>
      <c r="AA4462">
        <f>IF('01_Вводные'!$B$234="Да",'19_Расчет_аналитики'!Z4461*'01_Вводные'!$B$14,0)</f>
        <v/>
      </c>
      <c r="AB4462">
        <f>IF('01_Вводные'!$B$234="Да",'19_Расчет_аналитики'!AA4461*'01_Вводные'!$B$14,0)</f>
        <v/>
      </c>
      <c r="AC4462">
        <f>IF('01_Вводные'!$B$234="Да",'19_Расчет_аналитики'!AB4461*'01_Вводные'!$B$14,0)</f>
        <v/>
      </c>
      <c r="AD4462">
        <f>IF('01_Вводные'!$B$234="Да",'19_Расчет_аналитики'!AC4461*'01_Вводные'!$B$14,0)</f>
        <v/>
      </c>
      <c r="AE4462">
        <f>IF('01_Вводные'!$B$234="Да",'19_Расчет_аналитики'!AD4461*'01_Вводные'!$B$14,0)</f>
        <v/>
      </c>
      <c r="AF4462">
        <f>IF('01_Вводные'!$B$234="Да",'19_Расчет_аналитики'!AE4461*'01_Вводные'!$B$14,0)</f>
        <v/>
      </c>
      <c r="AG4462">
        <f>IF('01_Вводные'!$B$234="Да",'19_Расчет_аналитики'!AF4461*'01_Вводные'!$B$14,0)</f>
        <v/>
      </c>
      <c r="AH4462">
        <f>IF('01_Вводные'!$B$234="Да",'19_Расчет_аналитики'!AG4461*'01_Вводные'!$B$14,0)</f>
        <v/>
      </c>
      <c r="AI4462">
        <f>IF('01_Вводные'!$B$234="Да",'19_Расчет_аналитики'!AH4461*'01_Вводные'!$B$14,0)</f>
        <v/>
      </c>
      <c r="AJ4462">
        <f>IF('01_Вводные'!$B$234="Да",'19_Расчет_аналитики'!AI4461*'01_Вводные'!$B$14,0)</f>
        <v/>
      </c>
      <c r="AK4462">
        <f>IF('01_Вводные'!$B$234="Да",'19_Расчет_аналитики'!AJ4461*'01_Вводные'!$B$14,0)</f>
        <v/>
      </c>
      <c r="AL4462">
        <f>IF('01_Вводные'!$B$234="Да",'19_Расчет_аналитики'!AK4461*'01_Вводные'!$B$14,0)</f>
        <v/>
      </c>
      <c r="AM4462">
        <f>IF('01_Вводные'!$B$234="Да",'19_Расчет_аналитики'!AL4461*'01_Вводные'!$B$14,0)</f>
        <v/>
      </c>
      <c r="AN4462">
        <f>IF('01_Вводные'!$B$234="Да",'19_Расчет_аналитики'!AM4461*'01_Вводные'!$B$14,0)</f>
        <v/>
      </c>
      <c r="AO4462">
        <f>IF('01_Вводные'!$B$234="Да",'19_Расчет_аналитики'!AN4461*'01_Вводные'!$B$14,0)</f>
        <v/>
      </c>
      <c r="AP4462">
        <f>IF('01_Вводные'!$B$234="Да",'19_Расчет_аналитики'!AO4461*'01_Вводные'!$B$14,0)</f>
        <v/>
      </c>
      <c r="AQ4462">
        <f>IF('01_Вводные'!$B$234="Да",'19_Расчет_аналитики'!AP4461*'01_Вводные'!$B$14,0)</f>
        <v/>
      </c>
      <c r="AR4462">
        <f>IF('01_Вводные'!$B$234="Да",'19_Расчет_аналитики'!AQ4461*'01_Вводные'!$B$14,0)</f>
        <v/>
      </c>
      <c r="AS4462">
        <f>IF('01_Вводные'!$B$234="Да",'19_Расчет_аналитики'!AR4461*'01_Вводные'!$B$14,0)</f>
        <v/>
      </c>
      <c r="AT4462">
        <f>IF('01_Вводные'!$B$234="Да",'19_Расчет_аналитики'!AS4461*'01_Вводные'!$B$14,0)</f>
        <v/>
      </c>
      <c r="AU4462">
        <f>IF('01_Вводные'!$B$234="Да",'19_Расчет_аналитики'!AT4461*'01_Вводные'!$B$14,0)</f>
        <v/>
      </c>
      <c r="AV4462">
        <f>IF('01_Вводные'!$B$234="Да",'19_Расчет_аналитики'!AU4461*'01_Вводные'!$B$14,0)</f>
        <v/>
      </c>
      <c r="AW4462">
        <f>IF('01_Вводные'!$B$234="Да",'19_Расчет_аналитики'!AV4461*'01_Вводные'!$B$14,0)</f>
        <v/>
      </c>
      <c r="AX4462">
        <f>IF('01_Вводные'!$B$234="Да",'19_Расчет_аналитики'!AW4461*'01_Вводные'!$B$14,0)</f>
        <v/>
      </c>
      <c r="AY4462">
        <f>IF('01_Вводные'!$B$234="Да",'19_Расчет_аналитики'!AX4461*'01_Вводные'!$B$14,0)</f>
        <v/>
      </c>
      <c r="AZ4462">
        <f>IF('01_Вводные'!$B$234="Да",'19_Расчет_аналитики'!AY4461*'01_Вводные'!$B$14,0)</f>
        <v/>
      </c>
      <c r="BA4462">
        <f>IF('01_Вводные'!$B$234="Да",'19_Расчет_аналитики'!AZ4461*'01_Вводные'!$B$14,0)</f>
        <v/>
      </c>
      <c r="BB4462">
        <f>IF('01_Вводные'!$B$234="Да",'19_Расчет_аналитики'!BA4461*'01_Вводные'!$B$14,0)</f>
        <v/>
      </c>
      <c r="BC4462">
        <f>IF('01_Вводные'!$B$234="Да",'19_Расчет_аналитики'!BB4461*'01_Вводные'!$B$14,0)</f>
        <v/>
      </c>
      <c r="BD4462">
        <f>IF('01_Вводные'!$B$234="Да",'19_Расчет_аналитики'!BC4461*'01_Вводные'!$B$14,0)</f>
        <v/>
      </c>
      <c r="BE4462">
        <f>IF('01_Вводные'!$B$234="Да",'19_Расчет_аналитики'!BD4461*'01_Вводные'!$B$14,0)</f>
        <v/>
      </c>
      <c r="BF4462">
        <f>IF('01_Вводные'!$B$234="Да",'19_Расчет_аналитики'!BE4461*'01_Вводные'!$B$14,0)</f>
        <v/>
      </c>
      <c r="BG4462">
        <f>IF('01_Вводные'!$B$234="Да",'19_Расчет_аналитики'!BF4461*'01_Вводные'!$B$14,0)</f>
        <v/>
      </c>
      <c r="BH4462">
        <f>IF('01_Вводные'!$B$234="Да",'19_Расчет_аналитики'!BG4461*'01_Вводные'!$B$14,0)</f>
        <v/>
      </c>
      <c r="BI4462">
        <f>IF('01_Вводные'!$B$234="Да",'19_Расчет_аналитики'!BH4461*'01_Вводные'!$B$14,0)</f>
        <v/>
      </c>
      <c r="BJ4462">
        <f>IF('01_Вводные'!$B$234="Да",'19_Расчет_аналитики'!BI4461*'01_Вводные'!$B$14,0)</f>
        <v/>
      </c>
      <c r="BK4462">
        <f>IF('01_Вводные'!$B$234="Да",'19_Расчет_аналитики'!BJ4461*'01_Вводные'!$B$14,0)</f>
        <v/>
      </c>
      <c r="BL4462">
        <f>IF('01_Вводные'!$B$234="Да",'19_Расчет_аналитики'!BK4461*'01_Вводные'!$B$14,0)</f>
        <v/>
      </c>
      <c r="BM4462">
        <f>IF('01_Вводные'!$B$234="Да",'19_Расчет_аналитики'!BL4461*'01_Вводные'!$B$14,0)</f>
        <v/>
      </c>
      <c r="BN4462">
        <f>IF('01_Вводные'!$B$234="Да",'19_Расчет_аналитики'!BM4461*'01_Вводные'!$B$14,0)</f>
        <v/>
      </c>
      <c r="BO4462">
        <f>IF('01_Вводные'!$B$234="Да",'19_Расчет_аналитики'!BN4461*'01_Вводные'!$B$14,0)</f>
        <v/>
      </c>
    </row>
    <row r="4463">
      <c r="B4463">
        <f>'06_Сеть_и_дети'!B60</f>
        <v/>
      </c>
      <c r="C4463">
        <f>'06_Сеть_и_дети'!C60</f>
        <v/>
      </c>
      <c r="D4463">
        <f>'06_Сеть_и_дети'!D60</f>
        <v/>
      </c>
      <c r="E4463">
        <f>'06_Сеть_и_дети'!E60</f>
        <v/>
      </c>
      <c r="F4463">
        <f>'06_Сеть_и_дети'!F60</f>
        <v/>
      </c>
      <c r="G4463">
        <f>'06_Сеть_и_дети'!G60</f>
        <v/>
      </c>
      <c r="H4463">
        <f>'06_Сеть_и_дети'!H60</f>
        <v/>
      </c>
      <c r="I4463">
        <f>IF('01_Вводные'!$B$234="Да",'19_Расчет_аналитики'!H4462*'01_Вводные'!$B$14,0)</f>
        <v/>
      </c>
      <c r="J4463">
        <f>IF('01_Вводные'!$B$234="Да",'19_Расчет_аналитики'!I4462*'01_Вводные'!$B$14,0)</f>
        <v/>
      </c>
      <c r="K4463">
        <f>IF('01_Вводные'!$B$234="Да",'19_Расчет_аналитики'!J4462*'01_Вводные'!$B$14,0)</f>
        <v/>
      </c>
      <c r="L4463">
        <f>IF('01_Вводные'!$B$234="Да",'19_Расчет_аналитики'!K4462*'01_Вводные'!$B$14,0)</f>
        <v/>
      </c>
      <c r="M4463">
        <f>IF('01_Вводные'!$B$234="Да",'19_Расчет_аналитики'!L4462*'01_Вводные'!$B$14,0)</f>
        <v/>
      </c>
      <c r="N4463">
        <f>IF('01_Вводные'!$B$234="Да",'19_Расчет_аналитики'!M4462*'01_Вводные'!$B$14,0)</f>
        <v/>
      </c>
      <c r="O4463">
        <f>IF('01_Вводные'!$B$234="Да",'19_Расчет_аналитики'!N4462*'01_Вводные'!$B$14,0)</f>
        <v/>
      </c>
      <c r="P4463">
        <f>IF('01_Вводные'!$B$234="Да",'19_Расчет_аналитики'!O4462*'01_Вводные'!$B$14,0)</f>
        <v/>
      </c>
      <c r="Q4463">
        <f>IF('01_Вводные'!$B$234="Да",'19_Расчет_аналитики'!P4462*'01_Вводные'!$B$14,0)</f>
        <v/>
      </c>
      <c r="R4463">
        <f>IF('01_Вводные'!$B$234="Да",'19_Расчет_аналитики'!Q4462*'01_Вводные'!$B$14,0)</f>
        <v/>
      </c>
      <c r="S4463">
        <f>IF('01_Вводные'!$B$234="Да",'19_Расчет_аналитики'!R4462*'01_Вводные'!$B$14,0)</f>
        <v/>
      </c>
      <c r="T4463">
        <f>IF('01_Вводные'!$B$234="Да",'19_Расчет_аналитики'!S4462*'01_Вводные'!$B$14,0)</f>
        <v/>
      </c>
      <c r="U4463">
        <f>IF('01_Вводные'!$B$234="Да",'19_Расчет_аналитики'!T4462*'01_Вводные'!$B$14,0)</f>
        <v/>
      </c>
      <c r="V4463">
        <f>IF('01_Вводные'!$B$234="Да",'19_Расчет_аналитики'!U4462*'01_Вводные'!$B$14,0)</f>
        <v/>
      </c>
      <c r="W4463">
        <f>IF('01_Вводные'!$B$234="Да",'19_Расчет_аналитики'!V4462*'01_Вводные'!$B$14,0)</f>
        <v/>
      </c>
      <c r="X4463">
        <f>IF('01_Вводные'!$B$234="Да",'19_Расчет_аналитики'!W4462*'01_Вводные'!$B$14,0)</f>
        <v/>
      </c>
      <c r="Y4463">
        <f>IF('01_Вводные'!$B$234="Да",'19_Расчет_аналитики'!X4462*'01_Вводные'!$B$14,0)</f>
        <v/>
      </c>
      <c r="Z4463">
        <f>IF('01_Вводные'!$B$234="Да",'19_Расчет_аналитики'!Y4462*'01_Вводные'!$B$14,0)</f>
        <v/>
      </c>
      <c r="AA4463">
        <f>IF('01_Вводные'!$B$234="Да",'19_Расчет_аналитики'!Z4462*'01_Вводные'!$B$14,0)</f>
        <v/>
      </c>
      <c r="AB4463">
        <f>IF('01_Вводные'!$B$234="Да",'19_Расчет_аналитики'!AA4462*'01_Вводные'!$B$14,0)</f>
        <v/>
      </c>
      <c r="AC4463">
        <f>IF('01_Вводные'!$B$234="Да",'19_Расчет_аналитики'!AB4462*'01_Вводные'!$B$14,0)</f>
        <v/>
      </c>
      <c r="AD4463">
        <f>IF('01_Вводные'!$B$234="Да",'19_Расчет_аналитики'!AC4462*'01_Вводные'!$B$14,0)</f>
        <v/>
      </c>
      <c r="AE4463">
        <f>IF('01_Вводные'!$B$234="Да",'19_Расчет_аналитики'!AD4462*'01_Вводные'!$B$14,0)</f>
        <v/>
      </c>
      <c r="AF4463">
        <f>IF('01_Вводные'!$B$234="Да",'19_Расчет_аналитики'!AE4462*'01_Вводные'!$B$14,0)</f>
        <v/>
      </c>
      <c r="AG4463">
        <f>IF('01_Вводные'!$B$234="Да",'19_Расчет_аналитики'!AF4462*'01_Вводные'!$B$14,0)</f>
        <v/>
      </c>
      <c r="AH4463">
        <f>IF('01_Вводные'!$B$234="Да",'19_Расчет_аналитики'!AG4462*'01_Вводные'!$B$14,0)</f>
        <v/>
      </c>
      <c r="AI4463">
        <f>IF('01_Вводные'!$B$234="Да",'19_Расчет_аналитики'!AH4462*'01_Вводные'!$B$14,0)</f>
        <v/>
      </c>
      <c r="AJ4463">
        <f>IF('01_Вводные'!$B$234="Да",'19_Расчет_аналитики'!AI4462*'01_Вводные'!$B$14,0)</f>
        <v/>
      </c>
      <c r="AK4463">
        <f>IF('01_Вводные'!$B$234="Да",'19_Расчет_аналитики'!AJ4462*'01_Вводные'!$B$14,0)</f>
        <v/>
      </c>
      <c r="AL4463">
        <f>IF('01_Вводные'!$B$234="Да",'19_Расчет_аналитики'!AK4462*'01_Вводные'!$B$14,0)</f>
        <v/>
      </c>
      <c r="AM4463">
        <f>IF('01_Вводные'!$B$234="Да",'19_Расчет_аналитики'!AL4462*'01_Вводные'!$B$14,0)</f>
        <v/>
      </c>
      <c r="AN4463">
        <f>IF('01_Вводные'!$B$234="Да",'19_Расчет_аналитики'!AM4462*'01_Вводные'!$B$14,0)</f>
        <v/>
      </c>
      <c r="AO4463">
        <f>IF('01_Вводные'!$B$234="Да",'19_Расчет_аналитики'!AN4462*'01_Вводные'!$B$14,0)</f>
        <v/>
      </c>
      <c r="AP4463">
        <f>IF('01_Вводные'!$B$234="Да",'19_Расчет_аналитики'!AO4462*'01_Вводные'!$B$14,0)</f>
        <v/>
      </c>
      <c r="AQ4463">
        <f>IF('01_Вводные'!$B$234="Да",'19_Расчет_аналитики'!AP4462*'01_Вводные'!$B$14,0)</f>
        <v/>
      </c>
      <c r="AR4463">
        <f>IF('01_Вводные'!$B$234="Да",'19_Расчет_аналитики'!AQ4462*'01_Вводные'!$B$14,0)</f>
        <v/>
      </c>
      <c r="AS4463">
        <f>IF('01_Вводные'!$B$234="Да",'19_Расчет_аналитики'!AR4462*'01_Вводные'!$B$14,0)</f>
        <v/>
      </c>
      <c r="AT4463">
        <f>IF('01_Вводные'!$B$234="Да",'19_Расчет_аналитики'!AS4462*'01_Вводные'!$B$14,0)</f>
        <v/>
      </c>
      <c r="AU4463">
        <f>IF('01_Вводные'!$B$234="Да",'19_Расчет_аналитики'!AT4462*'01_Вводные'!$B$14,0)</f>
        <v/>
      </c>
      <c r="AV4463">
        <f>IF('01_Вводные'!$B$234="Да",'19_Расчет_аналитики'!AU4462*'01_Вводные'!$B$14,0)</f>
        <v/>
      </c>
      <c r="AW4463">
        <f>IF('01_Вводные'!$B$234="Да",'19_Расчет_аналитики'!AV4462*'01_Вводные'!$B$14,0)</f>
        <v/>
      </c>
      <c r="AX4463">
        <f>IF('01_Вводные'!$B$234="Да",'19_Расчет_аналитики'!AW4462*'01_Вводные'!$B$14,0)</f>
        <v/>
      </c>
      <c r="AY4463">
        <f>IF('01_Вводные'!$B$234="Да",'19_Расчет_аналитики'!AX4462*'01_Вводные'!$B$14,0)</f>
        <v/>
      </c>
      <c r="AZ4463">
        <f>IF('01_Вводные'!$B$234="Да",'19_Расчет_аналитики'!AY4462*'01_Вводные'!$B$14,0)</f>
        <v/>
      </c>
      <c r="BA4463">
        <f>IF('01_Вводные'!$B$234="Да",'19_Расчет_аналитики'!AZ4462*'01_Вводные'!$B$14,0)</f>
        <v/>
      </c>
      <c r="BB4463">
        <f>IF('01_Вводные'!$B$234="Да",'19_Расчет_аналитики'!BA4462*'01_Вводные'!$B$14,0)</f>
        <v/>
      </c>
      <c r="BC4463">
        <f>IF('01_Вводные'!$B$234="Да",'19_Расчет_аналитики'!BB4462*'01_Вводные'!$B$14,0)</f>
        <v/>
      </c>
      <c r="BD4463">
        <f>IF('01_Вводные'!$B$234="Да",'19_Расчет_аналитики'!BC4462*'01_Вводные'!$B$14,0)</f>
        <v/>
      </c>
      <c r="BE4463">
        <f>IF('01_Вводные'!$B$234="Да",'19_Расчет_аналитики'!BD4462*'01_Вводные'!$B$14,0)</f>
        <v/>
      </c>
      <c r="BF4463">
        <f>IF('01_Вводные'!$B$234="Да",'19_Расчет_аналитики'!BE4462*'01_Вводные'!$B$14,0)</f>
        <v/>
      </c>
      <c r="BG4463">
        <f>IF('01_Вводные'!$B$234="Да",'19_Расчет_аналитики'!BF4462*'01_Вводные'!$B$14,0)</f>
        <v/>
      </c>
      <c r="BH4463">
        <f>IF('01_Вводные'!$B$234="Да",'19_Расчет_аналитики'!BG4462*'01_Вводные'!$B$14,0)</f>
        <v/>
      </c>
      <c r="BI4463">
        <f>IF('01_Вводные'!$B$234="Да",'19_Расчет_аналитики'!BH4462*'01_Вводные'!$B$14,0)</f>
        <v/>
      </c>
      <c r="BJ4463">
        <f>IF('01_Вводные'!$B$234="Да",'19_Расчет_аналитики'!BI4462*'01_Вводные'!$B$14,0)</f>
        <v/>
      </c>
      <c r="BK4463">
        <f>IF('01_Вводные'!$B$234="Да",'19_Расчет_аналитики'!BJ4462*'01_Вводные'!$B$14,0)</f>
        <v/>
      </c>
      <c r="BL4463">
        <f>IF('01_Вводные'!$B$234="Да",'19_Расчет_аналитики'!BK4462*'01_Вводные'!$B$14,0)</f>
        <v/>
      </c>
      <c r="BM4463">
        <f>IF('01_Вводные'!$B$234="Да",'19_Расчет_аналитики'!BL4462*'01_Вводные'!$B$14,0)</f>
        <v/>
      </c>
      <c r="BN4463">
        <f>IF('01_Вводные'!$B$234="Да",'19_Расчет_аналитики'!BM4462*'01_Вводные'!$B$14,0)</f>
        <v/>
      </c>
      <c r="BO4463">
        <f>IF('01_Вводные'!$B$234="Да",'19_Расчет_аналитики'!BN4462*'01_Вводные'!$B$14,0)</f>
        <v/>
      </c>
    </row>
    <row r="4464">
      <c r="B4464">
        <f>'06_Сеть_и_дети'!B61</f>
        <v/>
      </c>
      <c r="C4464">
        <f>'06_Сеть_и_дети'!C61</f>
        <v/>
      </c>
      <c r="D4464">
        <f>'06_Сеть_и_дети'!D61</f>
        <v/>
      </c>
      <c r="E4464">
        <f>'06_Сеть_и_дети'!E61</f>
        <v/>
      </c>
      <c r="F4464">
        <f>'06_Сеть_и_дети'!F61</f>
        <v/>
      </c>
      <c r="G4464">
        <f>'06_Сеть_и_дети'!G61</f>
        <v/>
      </c>
      <c r="H4464">
        <f>'06_Сеть_и_дети'!H61</f>
        <v/>
      </c>
      <c r="I4464">
        <f>'06_Сеть_и_дети'!I61</f>
        <v/>
      </c>
      <c r="J4464">
        <f>IF('01_Вводные'!$B$234="Да",'19_Расчет_аналитики'!I4463*'01_Вводные'!$B$14,0)</f>
        <v/>
      </c>
      <c r="K4464">
        <f>IF('01_Вводные'!$B$234="Да",'19_Расчет_аналитики'!J4463*'01_Вводные'!$B$14,0)</f>
        <v/>
      </c>
      <c r="L4464">
        <f>IF('01_Вводные'!$B$234="Да",'19_Расчет_аналитики'!K4463*'01_Вводные'!$B$14,0)</f>
        <v/>
      </c>
      <c r="M4464">
        <f>IF('01_Вводные'!$B$234="Да",'19_Расчет_аналитики'!L4463*'01_Вводные'!$B$14,0)</f>
        <v/>
      </c>
      <c r="N4464">
        <f>IF('01_Вводные'!$B$234="Да",'19_Расчет_аналитики'!M4463*'01_Вводные'!$B$14,0)</f>
        <v/>
      </c>
      <c r="O4464">
        <f>IF('01_Вводные'!$B$234="Да",'19_Расчет_аналитики'!N4463*'01_Вводные'!$B$14,0)</f>
        <v/>
      </c>
      <c r="P4464">
        <f>IF('01_Вводные'!$B$234="Да",'19_Расчет_аналитики'!O4463*'01_Вводные'!$B$14,0)</f>
        <v/>
      </c>
      <c r="Q4464">
        <f>IF('01_Вводные'!$B$234="Да",'19_Расчет_аналитики'!P4463*'01_Вводные'!$B$14,0)</f>
        <v/>
      </c>
      <c r="R4464">
        <f>IF('01_Вводные'!$B$234="Да",'19_Расчет_аналитики'!Q4463*'01_Вводные'!$B$14,0)</f>
        <v/>
      </c>
      <c r="S4464">
        <f>IF('01_Вводные'!$B$234="Да",'19_Расчет_аналитики'!R4463*'01_Вводные'!$B$14,0)</f>
        <v/>
      </c>
      <c r="T4464">
        <f>IF('01_Вводные'!$B$234="Да",'19_Расчет_аналитики'!S4463*'01_Вводные'!$B$14,0)</f>
        <v/>
      </c>
      <c r="U4464">
        <f>IF('01_Вводные'!$B$234="Да",'19_Расчет_аналитики'!T4463*'01_Вводные'!$B$14,0)</f>
        <v/>
      </c>
      <c r="V4464">
        <f>IF('01_Вводные'!$B$234="Да",'19_Расчет_аналитики'!U4463*'01_Вводные'!$B$14,0)</f>
        <v/>
      </c>
      <c r="W4464">
        <f>IF('01_Вводные'!$B$234="Да",'19_Расчет_аналитики'!V4463*'01_Вводные'!$B$14,0)</f>
        <v/>
      </c>
      <c r="X4464">
        <f>IF('01_Вводные'!$B$234="Да",'19_Расчет_аналитики'!W4463*'01_Вводные'!$B$14,0)</f>
        <v/>
      </c>
      <c r="Y4464">
        <f>IF('01_Вводные'!$B$234="Да",'19_Расчет_аналитики'!X4463*'01_Вводные'!$B$14,0)</f>
        <v/>
      </c>
      <c r="Z4464">
        <f>IF('01_Вводные'!$B$234="Да",'19_Расчет_аналитики'!Y4463*'01_Вводные'!$B$14,0)</f>
        <v/>
      </c>
      <c r="AA4464">
        <f>IF('01_Вводные'!$B$234="Да",'19_Расчет_аналитики'!Z4463*'01_Вводные'!$B$14,0)</f>
        <v/>
      </c>
      <c r="AB4464">
        <f>IF('01_Вводные'!$B$234="Да",'19_Расчет_аналитики'!AA4463*'01_Вводные'!$B$14,0)</f>
        <v/>
      </c>
      <c r="AC4464">
        <f>IF('01_Вводные'!$B$234="Да",'19_Расчет_аналитики'!AB4463*'01_Вводные'!$B$14,0)</f>
        <v/>
      </c>
      <c r="AD4464">
        <f>IF('01_Вводные'!$B$234="Да",'19_Расчет_аналитики'!AC4463*'01_Вводные'!$B$14,0)</f>
        <v/>
      </c>
      <c r="AE4464">
        <f>IF('01_Вводные'!$B$234="Да",'19_Расчет_аналитики'!AD4463*'01_Вводные'!$B$14,0)</f>
        <v/>
      </c>
      <c r="AF4464">
        <f>IF('01_Вводные'!$B$234="Да",'19_Расчет_аналитики'!AE4463*'01_Вводные'!$B$14,0)</f>
        <v/>
      </c>
      <c r="AG4464">
        <f>IF('01_Вводные'!$B$234="Да",'19_Расчет_аналитики'!AF4463*'01_Вводные'!$B$14,0)</f>
        <v/>
      </c>
      <c r="AH4464">
        <f>IF('01_Вводные'!$B$234="Да",'19_Расчет_аналитики'!AG4463*'01_Вводные'!$B$14,0)</f>
        <v/>
      </c>
      <c r="AI4464">
        <f>IF('01_Вводные'!$B$234="Да",'19_Расчет_аналитики'!AH4463*'01_Вводные'!$B$14,0)</f>
        <v/>
      </c>
      <c r="AJ4464">
        <f>IF('01_Вводные'!$B$234="Да",'19_Расчет_аналитики'!AI4463*'01_Вводные'!$B$14,0)</f>
        <v/>
      </c>
      <c r="AK4464">
        <f>IF('01_Вводные'!$B$234="Да",'19_Расчет_аналитики'!AJ4463*'01_Вводные'!$B$14,0)</f>
        <v/>
      </c>
      <c r="AL4464">
        <f>IF('01_Вводные'!$B$234="Да",'19_Расчет_аналитики'!AK4463*'01_Вводные'!$B$14,0)</f>
        <v/>
      </c>
      <c r="AM4464">
        <f>IF('01_Вводные'!$B$234="Да",'19_Расчет_аналитики'!AL4463*'01_Вводные'!$B$14,0)</f>
        <v/>
      </c>
      <c r="AN4464">
        <f>IF('01_Вводные'!$B$234="Да",'19_Расчет_аналитики'!AM4463*'01_Вводные'!$B$14,0)</f>
        <v/>
      </c>
      <c r="AO4464">
        <f>IF('01_Вводные'!$B$234="Да",'19_Расчет_аналитики'!AN4463*'01_Вводные'!$B$14,0)</f>
        <v/>
      </c>
      <c r="AP4464">
        <f>IF('01_Вводные'!$B$234="Да",'19_Расчет_аналитики'!AO4463*'01_Вводные'!$B$14,0)</f>
        <v/>
      </c>
      <c r="AQ4464">
        <f>IF('01_Вводные'!$B$234="Да",'19_Расчет_аналитики'!AP4463*'01_Вводные'!$B$14,0)</f>
        <v/>
      </c>
      <c r="AR4464">
        <f>IF('01_Вводные'!$B$234="Да",'19_Расчет_аналитики'!AQ4463*'01_Вводные'!$B$14,0)</f>
        <v/>
      </c>
      <c r="AS4464">
        <f>IF('01_Вводные'!$B$234="Да",'19_Расчет_аналитики'!AR4463*'01_Вводные'!$B$14,0)</f>
        <v/>
      </c>
      <c r="AT4464">
        <f>IF('01_Вводные'!$B$234="Да",'19_Расчет_аналитики'!AS4463*'01_Вводные'!$B$14,0)</f>
        <v/>
      </c>
      <c r="AU4464">
        <f>IF('01_Вводные'!$B$234="Да",'19_Расчет_аналитики'!AT4463*'01_Вводные'!$B$14,0)</f>
        <v/>
      </c>
      <c r="AV4464">
        <f>IF('01_Вводные'!$B$234="Да",'19_Расчет_аналитики'!AU4463*'01_Вводные'!$B$14,0)</f>
        <v/>
      </c>
      <c r="AW4464">
        <f>IF('01_Вводные'!$B$234="Да",'19_Расчет_аналитики'!AV4463*'01_Вводные'!$B$14,0)</f>
        <v/>
      </c>
      <c r="AX4464">
        <f>IF('01_Вводные'!$B$234="Да",'19_Расчет_аналитики'!AW4463*'01_Вводные'!$B$14,0)</f>
        <v/>
      </c>
      <c r="AY4464">
        <f>IF('01_Вводные'!$B$234="Да",'19_Расчет_аналитики'!AX4463*'01_Вводные'!$B$14,0)</f>
        <v/>
      </c>
      <c r="AZ4464">
        <f>IF('01_Вводные'!$B$234="Да",'19_Расчет_аналитики'!AY4463*'01_Вводные'!$B$14,0)</f>
        <v/>
      </c>
      <c r="BA4464">
        <f>IF('01_Вводные'!$B$234="Да",'19_Расчет_аналитики'!AZ4463*'01_Вводные'!$B$14,0)</f>
        <v/>
      </c>
      <c r="BB4464">
        <f>IF('01_Вводные'!$B$234="Да",'19_Расчет_аналитики'!BA4463*'01_Вводные'!$B$14,0)</f>
        <v/>
      </c>
      <c r="BC4464">
        <f>IF('01_Вводные'!$B$234="Да",'19_Расчет_аналитики'!BB4463*'01_Вводные'!$B$14,0)</f>
        <v/>
      </c>
      <c r="BD4464">
        <f>IF('01_Вводные'!$B$234="Да",'19_Расчет_аналитики'!BC4463*'01_Вводные'!$B$14,0)</f>
        <v/>
      </c>
      <c r="BE4464">
        <f>IF('01_Вводные'!$B$234="Да",'19_Расчет_аналитики'!BD4463*'01_Вводные'!$B$14,0)</f>
        <v/>
      </c>
      <c r="BF4464">
        <f>IF('01_Вводные'!$B$234="Да",'19_Расчет_аналитики'!BE4463*'01_Вводные'!$B$14,0)</f>
        <v/>
      </c>
      <c r="BG4464">
        <f>IF('01_Вводные'!$B$234="Да",'19_Расчет_аналитики'!BF4463*'01_Вводные'!$B$14,0)</f>
        <v/>
      </c>
      <c r="BH4464">
        <f>IF('01_Вводные'!$B$234="Да",'19_Расчет_аналитики'!BG4463*'01_Вводные'!$B$14,0)</f>
        <v/>
      </c>
      <c r="BI4464">
        <f>IF('01_Вводные'!$B$234="Да",'19_Расчет_аналитики'!BH4463*'01_Вводные'!$B$14,0)</f>
        <v/>
      </c>
      <c r="BJ4464">
        <f>IF('01_Вводные'!$B$234="Да",'19_Расчет_аналитики'!BI4463*'01_Вводные'!$B$14,0)</f>
        <v/>
      </c>
      <c r="BK4464">
        <f>IF('01_Вводные'!$B$234="Да",'19_Расчет_аналитики'!BJ4463*'01_Вводные'!$B$14,0)</f>
        <v/>
      </c>
      <c r="BL4464">
        <f>IF('01_Вводные'!$B$234="Да",'19_Расчет_аналитики'!BK4463*'01_Вводные'!$B$14,0)</f>
        <v/>
      </c>
      <c r="BM4464">
        <f>IF('01_Вводные'!$B$234="Да",'19_Расчет_аналитики'!BL4463*'01_Вводные'!$B$14,0)</f>
        <v/>
      </c>
      <c r="BN4464">
        <f>IF('01_Вводные'!$B$234="Да",'19_Расчет_аналитики'!BM4463*'01_Вводные'!$B$14,0)</f>
        <v/>
      </c>
      <c r="BO4464">
        <f>IF('01_Вводные'!$B$234="Да",'19_Расчет_аналитики'!BN4463*'01_Вводные'!$B$14,0)</f>
        <v/>
      </c>
    </row>
    <row r="4465">
      <c r="B4465">
        <f>'06_Сеть_и_дети'!B62</f>
        <v/>
      </c>
      <c r="C4465">
        <f>'06_Сеть_и_дети'!C62</f>
        <v/>
      </c>
      <c r="D4465">
        <f>'06_Сеть_и_дети'!D62</f>
        <v/>
      </c>
      <c r="E4465">
        <f>'06_Сеть_и_дети'!E62</f>
        <v/>
      </c>
      <c r="F4465">
        <f>'06_Сеть_и_дети'!F62</f>
        <v/>
      </c>
      <c r="G4465">
        <f>'06_Сеть_и_дети'!G62</f>
        <v/>
      </c>
      <c r="H4465">
        <f>'06_Сеть_и_дети'!H62</f>
        <v/>
      </c>
      <c r="I4465">
        <f>'06_Сеть_и_дети'!I62</f>
        <v/>
      </c>
      <c r="J4465">
        <f>'06_Сеть_и_дети'!J62</f>
        <v/>
      </c>
      <c r="K4465">
        <f>IF('01_Вводные'!$B$234="Да",'19_Расчет_аналитики'!J4464*'01_Вводные'!$B$14,0)</f>
        <v/>
      </c>
      <c r="L4465">
        <f>IF('01_Вводные'!$B$234="Да",'19_Расчет_аналитики'!K4464*'01_Вводные'!$B$14,0)</f>
        <v/>
      </c>
      <c r="M4465">
        <f>IF('01_Вводные'!$B$234="Да",'19_Расчет_аналитики'!L4464*'01_Вводные'!$B$14,0)</f>
        <v/>
      </c>
      <c r="N4465">
        <f>IF('01_Вводные'!$B$234="Да",'19_Расчет_аналитики'!M4464*'01_Вводные'!$B$14,0)</f>
        <v/>
      </c>
      <c r="O4465">
        <f>IF('01_Вводные'!$B$234="Да",'19_Расчет_аналитики'!N4464*'01_Вводные'!$B$14,0)</f>
        <v/>
      </c>
      <c r="P4465">
        <f>IF('01_Вводные'!$B$234="Да",'19_Расчет_аналитики'!O4464*'01_Вводные'!$B$14,0)</f>
        <v/>
      </c>
      <c r="Q4465">
        <f>IF('01_Вводные'!$B$234="Да",'19_Расчет_аналитики'!P4464*'01_Вводные'!$B$14,0)</f>
        <v/>
      </c>
      <c r="R4465">
        <f>IF('01_Вводные'!$B$234="Да",'19_Расчет_аналитики'!Q4464*'01_Вводные'!$B$14,0)</f>
        <v/>
      </c>
      <c r="S4465">
        <f>IF('01_Вводные'!$B$234="Да",'19_Расчет_аналитики'!R4464*'01_Вводные'!$B$14,0)</f>
        <v/>
      </c>
      <c r="T4465">
        <f>IF('01_Вводные'!$B$234="Да",'19_Расчет_аналитики'!S4464*'01_Вводные'!$B$14,0)</f>
        <v/>
      </c>
      <c r="U4465">
        <f>IF('01_Вводные'!$B$234="Да",'19_Расчет_аналитики'!T4464*'01_Вводные'!$B$14,0)</f>
        <v/>
      </c>
      <c r="V4465">
        <f>IF('01_Вводные'!$B$234="Да",'19_Расчет_аналитики'!U4464*'01_Вводные'!$B$14,0)</f>
        <v/>
      </c>
      <c r="W4465">
        <f>IF('01_Вводные'!$B$234="Да",'19_Расчет_аналитики'!V4464*'01_Вводные'!$B$14,0)</f>
        <v/>
      </c>
      <c r="X4465">
        <f>IF('01_Вводные'!$B$234="Да",'19_Расчет_аналитики'!W4464*'01_Вводные'!$B$14,0)</f>
        <v/>
      </c>
      <c r="Y4465">
        <f>IF('01_Вводные'!$B$234="Да",'19_Расчет_аналитики'!X4464*'01_Вводные'!$B$14,0)</f>
        <v/>
      </c>
      <c r="Z4465">
        <f>IF('01_Вводные'!$B$234="Да",'19_Расчет_аналитики'!Y4464*'01_Вводные'!$B$14,0)</f>
        <v/>
      </c>
      <c r="AA4465">
        <f>IF('01_Вводные'!$B$234="Да",'19_Расчет_аналитики'!Z4464*'01_Вводные'!$B$14,0)</f>
        <v/>
      </c>
      <c r="AB4465">
        <f>IF('01_Вводные'!$B$234="Да",'19_Расчет_аналитики'!AA4464*'01_Вводные'!$B$14,0)</f>
        <v/>
      </c>
      <c r="AC4465">
        <f>IF('01_Вводные'!$B$234="Да",'19_Расчет_аналитики'!AB4464*'01_Вводные'!$B$14,0)</f>
        <v/>
      </c>
      <c r="AD4465">
        <f>IF('01_Вводные'!$B$234="Да",'19_Расчет_аналитики'!AC4464*'01_Вводные'!$B$14,0)</f>
        <v/>
      </c>
      <c r="AE4465">
        <f>IF('01_Вводные'!$B$234="Да",'19_Расчет_аналитики'!AD4464*'01_Вводные'!$B$14,0)</f>
        <v/>
      </c>
      <c r="AF4465">
        <f>IF('01_Вводные'!$B$234="Да",'19_Расчет_аналитики'!AE4464*'01_Вводные'!$B$14,0)</f>
        <v/>
      </c>
      <c r="AG4465">
        <f>IF('01_Вводные'!$B$234="Да",'19_Расчет_аналитики'!AF4464*'01_Вводные'!$B$14,0)</f>
        <v/>
      </c>
      <c r="AH4465">
        <f>IF('01_Вводные'!$B$234="Да",'19_Расчет_аналитики'!AG4464*'01_Вводные'!$B$14,0)</f>
        <v/>
      </c>
      <c r="AI4465">
        <f>IF('01_Вводные'!$B$234="Да",'19_Расчет_аналитики'!AH4464*'01_Вводные'!$B$14,0)</f>
        <v/>
      </c>
      <c r="AJ4465">
        <f>IF('01_Вводные'!$B$234="Да",'19_Расчет_аналитики'!AI4464*'01_Вводные'!$B$14,0)</f>
        <v/>
      </c>
      <c r="AK4465">
        <f>IF('01_Вводные'!$B$234="Да",'19_Расчет_аналитики'!AJ4464*'01_Вводные'!$B$14,0)</f>
        <v/>
      </c>
      <c r="AL4465">
        <f>IF('01_Вводные'!$B$234="Да",'19_Расчет_аналитики'!AK4464*'01_Вводные'!$B$14,0)</f>
        <v/>
      </c>
      <c r="AM4465">
        <f>IF('01_Вводные'!$B$234="Да",'19_Расчет_аналитики'!AL4464*'01_Вводные'!$B$14,0)</f>
        <v/>
      </c>
      <c r="AN4465">
        <f>IF('01_Вводные'!$B$234="Да",'19_Расчет_аналитики'!AM4464*'01_Вводные'!$B$14,0)</f>
        <v/>
      </c>
      <c r="AO4465">
        <f>IF('01_Вводные'!$B$234="Да",'19_Расчет_аналитики'!AN4464*'01_Вводные'!$B$14,0)</f>
        <v/>
      </c>
      <c r="AP4465">
        <f>IF('01_Вводные'!$B$234="Да",'19_Расчет_аналитики'!AO4464*'01_Вводные'!$B$14,0)</f>
        <v/>
      </c>
      <c r="AQ4465">
        <f>IF('01_Вводные'!$B$234="Да",'19_Расчет_аналитики'!AP4464*'01_Вводные'!$B$14,0)</f>
        <v/>
      </c>
      <c r="AR4465">
        <f>IF('01_Вводные'!$B$234="Да",'19_Расчет_аналитики'!AQ4464*'01_Вводные'!$B$14,0)</f>
        <v/>
      </c>
      <c r="AS4465">
        <f>IF('01_Вводные'!$B$234="Да",'19_Расчет_аналитики'!AR4464*'01_Вводные'!$B$14,0)</f>
        <v/>
      </c>
      <c r="AT4465">
        <f>IF('01_Вводные'!$B$234="Да",'19_Расчет_аналитики'!AS4464*'01_Вводные'!$B$14,0)</f>
        <v/>
      </c>
      <c r="AU4465">
        <f>IF('01_Вводные'!$B$234="Да",'19_Расчет_аналитики'!AT4464*'01_Вводные'!$B$14,0)</f>
        <v/>
      </c>
      <c r="AV4465">
        <f>IF('01_Вводные'!$B$234="Да",'19_Расчет_аналитики'!AU4464*'01_Вводные'!$B$14,0)</f>
        <v/>
      </c>
      <c r="AW4465">
        <f>IF('01_Вводные'!$B$234="Да",'19_Расчет_аналитики'!AV4464*'01_Вводные'!$B$14,0)</f>
        <v/>
      </c>
      <c r="AX4465">
        <f>IF('01_Вводные'!$B$234="Да",'19_Расчет_аналитики'!AW4464*'01_Вводные'!$B$14,0)</f>
        <v/>
      </c>
      <c r="AY4465">
        <f>IF('01_Вводные'!$B$234="Да",'19_Расчет_аналитики'!AX4464*'01_Вводные'!$B$14,0)</f>
        <v/>
      </c>
      <c r="AZ4465">
        <f>IF('01_Вводные'!$B$234="Да",'19_Расчет_аналитики'!AY4464*'01_Вводные'!$B$14,0)</f>
        <v/>
      </c>
      <c r="BA4465">
        <f>IF('01_Вводные'!$B$234="Да",'19_Расчет_аналитики'!AZ4464*'01_Вводные'!$B$14,0)</f>
        <v/>
      </c>
      <c r="BB4465">
        <f>IF('01_Вводные'!$B$234="Да",'19_Расчет_аналитики'!BA4464*'01_Вводные'!$B$14,0)</f>
        <v/>
      </c>
      <c r="BC4465">
        <f>IF('01_Вводные'!$B$234="Да",'19_Расчет_аналитики'!BB4464*'01_Вводные'!$B$14,0)</f>
        <v/>
      </c>
      <c r="BD4465">
        <f>IF('01_Вводные'!$B$234="Да",'19_Расчет_аналитики'!BC4464*'01_Вводные'!$B$14,0)</f>
        <v/>
      </c>
      <c r="BE4465">
        <f>IF('01_Вводные'!$B$234="Да",'19_Расчет_аналитики'!BD4464*'01_Вводные'!$B$14,0)</f>
        <v/>
      </c>
      <c r="BF4465">
        <f>IF('01_Вводные'!$B$234="Да",'19_Расчет_аналитики'!BE4464*'01_Вводные'!$B$14,0)</f>
        <v/>
      </c>
      <c r="BG4465">
        <f>IF('01_Вводные'!$B$234="Да",'19_Расчет_аналитики'!BF4464*'01_Вводные'!$B$14,0)</f>
        <v/>
      </c>
      <c r="BH4465">
        <f>IF('01_Вводные'!$B$234="Да",'19_Расчет_аналитики'!BG4464*'01_Вводные'!$B$14,0)</f>
        <v/>
      </c>
      <c r="BI4465">
        <f>IF('01_Вводные'!$B$234="Да",'19_Расчет_аналитики'!BH4464*'01_Вводные'!$B$14,0)</f>
        <v/>
      </c>
      <c r="BJ4465">
        <f>IF('01_Вводные'!$B$234="Да",'19_Расчет_аналитики'!BI4464*'01_Вводные'!$B$14,0)</f>
        <v/>
      </c>
      <c r="BK4465">
        <f>IF('01_Вводные'!$B$234="Да",'19_Расчет_аналитики'!BJ4464*'01_Вводные'!$B$14,0)</f>
        <v/>
      </c>
      <c r="BL4465">
        <f>IF('01_Вводные'!$B$234="Да",'19_Расчет_аналитики'!BK4464*'01_Вводные'!$B$14,0)</f>
        <v/>
      </c>
      <c r="BM4465">
        <f>IF('01_Вводные'!$B$234="Да",'19_Расчет_аналитики'!BL4464*'01_Вводные'!$B$14,0)</f>
        <v/>
      </c>
      <c r="BN4465">
        <f>IF('01_Вводные'!$B$234="Да",'19_Расчет_аналитики'!BM4464*'01_Вводные'!$B$14,0)</f>
        <v/>
      </c>
      <c r="BO4465">
        <f>IF('01_Вводные'!$B$234="Да",'19_Расчет_аналитики'!BN4464*'01_Вводные'!$B$14,0)</f>
        <v/>
      </c>
    </row>
    <row r="4466">
      <c r="B4466">
        <f>'06_Сеть_и_дети'!B63</f>
        <v/>
      </c>
      <c r="C4466">
        <f>'06_Сеть_и_дети'!C63</f>
        <v/>
      </c>
      <c r="D4466">
        <f>'06_Сеть_и_дети'!D63</f>
        <v/>
      </c>
      <c r="E4466">
        <f>'06_Сеть_и_дети'!E63</f>
        <v/>
      </c>
      <c r="F4466">
        <f>'06_Сеть_и_дети'!F63</f>
        <v/>
      </c>
      <c r="G4466">
        <f>'06_Сеть_и_дети'!G63</f>
        <v/>
      </c>
      <c r="H4466">
        <f>'06_Сеть_и_дети'!H63</f>
        <v/>
      </c>
      <c r="I4466">
        <f>'06_Сеть_и_дети'!I63</f>
        <v/>
      </c>
      <c r="J4466">
        <f>'06_Сеть_и_дети'!J63</f>
        <v/>
      </c>
      <c r="K4466">
        <f>'06_Сеть_и_дети'!K63</f>
        <v/>
      </c>
      <c r="L4466">
        <f>IF('01_Вводные'!$B$234="Да",'19_Расчет_аналитики'!K4465*'01_Вводные'!$B$14,0)</f>
        <v/>
      </c>
      <c r="M4466">
        <f>IF('01_Вводные'!$B$234="Да",'19_Расчет_аналитики'!L4465*'01_Вводные'!$B$14,0)</f>
        <v/>
      </c>
      <c r="N4466">
        <f>IF('01_Вводные'!$B$234="Да",'19_Расчет_аналитики'!M4465*'01_Вводные'!$B$14,0)</f>
        <v/>
      </c>
      <c r="O4466">
        <f>IF('01_Вводные'!$B$234="Да",'19_Расчет_аналитики'!N4465*'01_Вводные'!$B$14,0)</f>
        <v/>
      </c>
      <c r="P4466">
        <f>IF('01_Вводные'!$B$234="Да",'19_Расчет_аналитики'!O4465*'01_Вводные'!$B$14,0)</f>
        <v/>
      </c>
      <c r="Q4466">
        <f>IF('01_Вводные'!$B$234="Да",'19_Расчет_аналитики'!P4465*'01_Вводные'!$B$14,0)</f>
        <v/>
      </c>
      <c r="R4466">
        <f>IF('01_Вводные'!$B$234="Да",'19_Расчет_аналитики'!Q4465*'01_Вводные'!$B$14,0)</f>
        <v/>
      </c>
      <c r="S4466">
        <f>IF('01_Вводные'!$B$234="Да",'19_Расчет_аналитики'!R4465*'01_Вводные'!$B$14,0)</f>
        <v/>
      </c>
      <c r="T4466">
        <f>IF('01_Вводные'!$B$234="Да",'19_Расчет_аналитики'!S4465*'01_Вводные'!$B$14,0)</f>
        <v/>
      </c>
      <c r="U4466">
        <f>IF('01_Вводные'!$B$234="Да",'19_Расчет_аналитики'!T4465*'01_Вводные'!$B$14,0)</f>
        <v/>
      </c>
      <c r="V4466">
        <f>IF('01_Вводные'!$B$234="Да",'19_Расчет_аналитики'!U4465*'01_Вводные'!$B$14,0)</f>
        <v/>
      </c>
      <c r="W4466">
        <f>IF('01_Вводные'!$B$234="Да",'19_Расчет_аналитики'!V4465*'01_Вводные'!$B$14,0)</f>
        <v/>
      </c>
      <c r="X4466">
        <f>IF('01_Вводные'!$B$234="Да",'19_Расчет_аналитики'!W4465*'01_Вводные'!$B$14,0)</f>
        <v/>
      </c>
      <c r="Y4466">
        <f>IF('01_Вводные'!$B$234="Да",'19_Расчет_аналитики'!X4465*'01_Вводные'!$B$14,0)</f>
        <v/>
      </c>
      <c r="Z4466">
        <f>IF('01_Вводные'!$B$234="Да",'19_Расчет_аналитики'!Y4465*'01_Вводные'!$B$14,0)</f>
        <v/>
      </c>
      <c r="AA4466">
        <f>IF('01_Вводные'!$B$234="Да",'19_Расчет_аналитики'!Z4465*'01_Вводные'!$B$14,0)</f>
        <v/>
      </c>
      <c r="AB4466">
        <f>IF('01_Вводные'!$B$234="Да",'19_Расчет_аналитики'!AA4465*'01_Вводные'!$B$14,0)</f>
        <v/>
      </c>
      <c r="AC4466">
        <f>IF('01_Вводные'!$B$234="Да",'19_Расчет_аналитики'!AB4465*'01_Вводные'!$B$14,0)</f>
        <v/>
      </c>
      <c r="AD4466">
        <f>IF('01_Вводные'!$B$234="Да",'19_Расчет_аналитики'!AC4465*'01_Вводные'!$B$14,0)</f>
        <v/>
      </c>
      <c r="AE4466">
        <f>IF('01_Вводные'!$B$234="Да",'19_Расчет_аналитики'!AD4465*'01_Вводные'!$B$14,0)</f>
        <v/>
      </c>
      <c r="AF4466">
        <f>IF('01_Вводные'!$B$234="Да",'19_Расчет_аналитики'!AE4465*'01_Вводные'!$B$14,0)</f>
        <v/>
      </c>
      <c r="AG4466">
        <f>IF('01_Вводные'!$B$234="Да",'19_Расчет_аналитики'!AF4465*'01_Вводные'!$B$14,0)</f>
        <v/>
      </c>
      <c r="AH4466">
        <f>IF('01_Вводные'!$B$234="Да",'19_Расчет_аналитики'!AG4465*'01_Вводные'!$B$14,0)</f>
        <v/>
      </c>
      <c r="AI4466">
        <f>IF('01_Вводные'!$B$234="Да",'19_Расчет_аналитики'!AH4465*'01_Вводные'!$B$14,0)</f>
        <v/>
      </c>
      <c r="AJ4466">
        <f>IF('01_Вводные'!$B$234="Да",'19_Расчет_аналитики'!AI4465*'01_Вводные'!$B$14,0)</f>
        <v/>
      </c>
      <c r="AK4466">
        <f>IF('01_Вводные'!$B$234="Да",'19_Расчет_аналитики'!AJ4465*'01_Вводные'!$B$14,0)</f>
        <v/>
      </c>
      <c r="AL4466">
        <f>IF('01_Вводные'!$B$234="Да",'19_Расчет_аналитики'!AK4465*'01_Вводные'!$B$14,0)</f>
        <v/>
      </c>
      <c r="AM4466">
        <f>IF('01_Вводные'!$B$234="Да",'19_Расчет_аналитики'!AL4465*'01_Вводные'!$B$14,0)</f>
        <v/>
      </c>
      <c r="AN4466">
        <f>IF('01_Вводные'!$B$234="Да",'19_Расчет_аналитики'!AM4465*'01_Вводные'!$B$14,0)</f>
        <v/>
      </c>
      <c r="AO4466">
        <f>IF('01_Вводные'!$B$234="Да",'19_Расчет_аналитики'!AN4465*'01_Вводные'!$B$14,0)</f>
        <v/>
      </c>
      <c r="AP4466">
        <f>IF('01_Вводные'!$B$234="Да",'19_Расчет_аналитики'!AO4465*'01_Вводные'!$B$14,0)</f>
        <v/>
      </c>
      <c r="AQ4466">
        <f>IF('01_Вводные'!$B$234="Да",'19_Расчет_аналитики'!AP4465*'01_Вводные'!$B$14,0)</f>
        <v/>
      </c>
      <c r="AR4466">
        <f>IF('01_Вводные'!$B$234="Да",'19_Расчет_аналитики'!AQ4465*'01_Вводные'!$B$14,0)</f>
        <v/>
      </c>
      <c r="AS4466">
        <f>IF('01_Вводные'!$B$234="Да",'19_Расчет_аналитики'!AR4465*'01_Вводные'!$B$14,0)</f>
        <v/>
      </c>
      <c r="AT4466">
        <f>IF('01_Вводные'!$B$234="Да",'19_Расчет_аналитики'!AS4465*'01_Вводные'!$B$14,0)</f>
        <v/>
      </c>
      <c r="AU4466">
        <f>IF('01_Вводные'!$B$234="Да",'19_Расчет_аналитики'!AT4465*'01_Вводные'!$B$14,0)</f>
        <v/>
      </c>
      <c r="AV4466">
        <f>IF('01_Вводные'!$B$234="Да",'19_Расчет_аналитики'!AU4465*'01_Вводные'!$B$14,0)</f>
        <v/>
      </c>
      <c r="AW4466">
        <f>IF('01_Вводные'!$B$234="Да",'19_Расчет_аналитики'!AV4465*'01_Вводные'!$B$14,0)</f>
        <v/>
      </c>
      <c r="AX4466">
        <f>IF('01_Вводные'!$B$234="Да",'19_Расчет_аналитики'!AW4465*'01_Вводные'!$B$14,0)</f>
        <v/>
      </c>
      <c r="AY4466">
        <f>IF('01_Вводные'!$B$234="Да",'19_Расчет_аналитики'!AX4465*'01_Вводные'!$B$14,0)</f>
        <v/>
      </c>
      <c r="AZ4466">
        <f>IF('01_Вводные'!$B$234="Да",'19_Расчет_аналитики'!AY4465*'01_Вводные'!$B$14,0)</f>
        <v/>
      </c>
      <c r="BA4466">
        <f>IF('01_Вводные'!$B$234="Да",'19_Расчет_аналитики'!AZ4465*'01_Вводные'!$B$14,0)</f>
        <v/>
      </c>
      <c r="BB4466">
        <f>IF('01_Вводные'!$B$234="Да",'19_Расчет_аналитики'!BA4465*'01_Вводные'!$B$14,0)</f>
        <v/>
      </c>
      <c r="BC4466">
        <f>IF('01_Вводные'!$B$234="Да",'19_Расчет_аналитики'!BB4465*'01_Вводные'!$B$14,0)</f>
        <v/>
      </c>
      <c r="BD4466">
        <f>IF('01_Вводные'!$B$234="Да",'19_Расчет_аналитики'!BC4465*'01_Вводные'!$B$14,0)</f>
        <v/>
      </c>
      <c r="BE4466">
        <f>IF('01_Вводные'!$B$234="Да",'19_Расчет_аналитики'!BD4465*'01_Вводные'!$B$14,0)</f>
        <v/>
      </c>
      <c r="BF4466">
        <f>IF('01_Вводные'!$B$234="Да",'19_Расчет_аналитики'!BE4465*'01_Вводные'!$B$14,0)</f>
        <v/>
      </c>
      <c r="BG4466">
        <f>IF('01_Вводные'!$B$234="Да",'19_Расчет_аналитики'!BF4465*'01_Вводные'!$B$14,0)</f>
        <v/>
      </c>
      <c r="BH4466">
        <f>IF('01_Вводные'!$B$234="Да",'19_Расчет_аналитики'!BG4465*'01_Вводные'!$B$14,0)</f>
        <v/>
      </c>
      <c r="BI4466">
        <f>IF('01_Вводные'!$B$234="Да",'19_Расчет_аналитики'!BH4465*'01_Вводные'!$B$14,0)</f>
        <v/>
      </c>
      <c r="BJ4466">
        <f>IF('01_Вводные'!$B$234="Да",'19_Расчет_аналитики'!BI4465*'01_Вводные'!$B$14,0)</f>
        <v/>
      </c>
      <c r="BK4466">
        <f>IF('01_Вводные'!$B$234="Да",'19_Расчет_аналитики'!BJ4465*'01_Вводные'!$B$14,0)</f>
        <v/>
      </c>
      <c r="BL4466">
        <f>IF('01_Вводные'!$B$234="Да",'19_Расчет_аналитики'!BK4465*'01_Вводные'!$B$14,0)</f>
        <v/>
      </c>
      <c r="BM4466">
        <f>IF('01_Вводные'!$B$234="Да",'19_Расчет_аналитики'!BL4465*'01_Вводные'!$B$14,0)</f>
        <v/>
      </c>
      <c r="BN4466">
        <f>IF('01_Вводные'!$B$234="Да",'19_Расчет_аналитики'!BM4465*'01_Вводные'!$B$14,0)</f>
        <v/>
      </c>
      <c r="BO4466">
        <f>IF('01_Вводные'!$B$234="Да",'19_Расчет_аналитики'!BN4465*'01_Вводные'!$B$14,0)</f>
        <v/>
      </c>
    </row>
    <row r="4467">
      <c r="B4467">
        <f>'06_Сеть_и_дети'!B64</f>
        <v/>
      </c>
      <c r="C4467">
        <f>'06_Сеть_и_дети'!C64</f>
        <v/>
      </c>
      <c r="D4467">
        <f>'06_Сеть_и_дети'!D64</f>
        <v/>
      </c>
      <c r="E4467">
        <f>'06_Сеть_и_дети'!E64</f>
        <v/>
      </c>
      <c r="F4467">
        <f>'06_Сеть_и_дети'!F64</f>
        <v/>
      </c>
      <c r="G4467">
        <f>'06_Сеть_и_дети'!G64</f>
        <v/>
      </c>
      <c r="H4467">
        <f>'06_Сеть_и_дети'!H64</f>
        <v/>
      </c>
      <c r="I4467">
        <f>'06_Сеть_и_дети'!I64</f>
        <v/>
      </c>
      <c r="J4467">
        <f>'06_Сеть_и_дети'!J64</f>
        <v/>
      </c>
      <c r="K4467">
        <f>'06_Сеть_и_дети'!K64</f>
        <v/>
      </c>
      <c r="L4467">
        <f>'06_Сеть_и_дети'!L64</f>
        <v/>
      </c>
      <c r="M4467">
        <f>IF('01_Вводные'!$B$234="Да",'19_Расчет_аналитики'!L4466*'01_Вводные'!$B$14,0)</f>
        <v/>
      </c>
      <c r="N4467">
        <f>IF('01_Вводные'!$B$234="Да",'19_Расчет_аналитики'!M4466*'01_Вводные'!$B$14,0)</f>
        <v/>
      </c>
      <c r="O4467">
        <f>IF('01_Вводные'!$B$234="Да",'19_Расчет_аналитики'!N4466*'01_Вводные'!$B$14,0)</f>
        <v/>
      </c>
      <c r="P4467">
        <f>IF('01_Вводные'!$B$234="Да",'19_Расчет_аналитики'!O4466*'01_Вводные'!$B$14,0)</f>
        <v/>
      </c>
      <c r="Q4467">
        <f>IF('01_Вводные'!$B$234="Да",'19_Расчет_аналитики'!P4466*'01_Вводные'!$B$14,0)</f>
        <v/>
      </c>
      <c r="R4467">
        <f>IF('01_Вводные'!$B$234="Да",'19_Расчет_аналитики'!Q4466*'01_Вводные'!$B$14,0)</f>
        <v/>
      </c>
      <c r="S4467">
        <f>IF('01_Вводные'!$B$234="Да",'19_Расчет_аналитики'!R4466*'01_Вводные'!$B$14,0)</f>
        <v/>
      </c>
      <c r="T4467">
        <f>IF('01_Вводные'!$B$234="Да",'19_Расчет_аналитики'!S4466*'01_Вводные'!$B$14,0)</f>
        <v/>
      </c>
      <c r="U4467">
        <f>IF('01_Вводные'!$B$234="Да",'19_Расчет_аналитики'!T4466*'01_Вводные'!$B$14,0)</f>
        <v/>
      </c>
      <c r="V4467">
        <f>IF('01_Вводные'!$B$234="Да",'19_Расчет_аналитики'!U4466*'01_Вводные'!$B$14,0)</f>
        <v/>
      </c>
      <c r="W4467">
        <f>IF('01_Вводные'!$B$234="Да",'19_Расчет_аналитики'!V4466*'01_Вводные'!$B$14,0)</f>
        <v/>
      </c>
      <c r="X4467">
        <f>IF('01_Вводные'!$B$234="Да",'19_Расчет_аналитики'!W4466*'01_Вводные'!$B$14,0)</f>
        <v/>
      </c>
      <c r="Y4467">
        <f>IF('01_Вводные'!$B$234="Да",'19_Расчет_аналитики'!X4466*'01_Вводные'!$B$14,0)</f>
        <v/>
      </c>
      <c r="Z4467">
        <f>IF('01_Вводные'!$B$234="Да",'19_Расчет_аналитики'!Y4466*'01_Вводные'!$B$14,0)</f>
        <v/>
      </c>
      <c r="AA4467">
        <f>IF('01_Вводные'!$B$234="Да",'19_Расчет_аналитики'!Z4466*'01_Вводные'!$B$14,0)</f>
        <v/>
      </c>
      <c r="AB4467">
        <f>IF('01_Вводные'!$B$234="Да",'19_Расчет_аналитики'!AA4466*'01_Вводные'!$B$14,0)</f>
        <v/>
      </c>
      <c r="AC4467">
        <f>IF('01_Вводные'!$B$234="Да",'19_Расчет_аналитики'!AB4466*'01_Вводные'!$B$14,0)</f>
        <v/>
      </c>
      <c r="AD4467">
        <f>IF('01_Вводные'!$B$234="Да",'19_Расчет_аналитики'!AC4466*'01_Вводные'!$B$14,0)</f>
        <v/>
      </c>
      <c r="AE4467">
        <f>IF('01_Вводные'!$B$234="Да",'19_Расчет_аналитики'!AD4466*'01_Вводные'!$B$14,0)</f>
        <v/>
      </c>
      <c r="AF4467">
        <f>IF('01_Вводные'!$B$234="Да",'19_Расчет_аналитики'!AE4466*'01_Вводные'!$B$14,0)</f>
        <v/>
      </c>
      <c r="AG4467">
        <f>IF('01_Вводные'!$B$234="Да",'19_Расчет_аналитики'!AF4466*'01_Вводные'!$B$14,0)</f>
        <v/>
      </c>
      <c r="AH4467">
        <f>IF('01_Вводные'!$B$234="Да",'19_Расчет_аналитики'!AG4466*'01_Вводные'!$B$14,0)</f>
        <v/>
      </c>
      <c r="AI4467">
        <f>IF('01_Вводные'!$B$234="Да",'19_Расчет_аналитики'!AH4466*'01_Вводные'!$B$14,0)</f>
        <v/>
      </c>
      <c r="AJ4467">
        <f>IF('01_Вводные'!$B$234="Да",'19_Расчет_аналитики'!AI4466*'01_Вводные'!$B$14,0)</f>
        <v/>
      </c>
      <c r="AK4467">
        <f>IF('01_Вводные'!$B$234="Да",'19_Расчет_аналитики'!AJ4466*'01_Вводные'!$B$14,0)</f>
        <v/>
      </c>
      <c r="AL4467">
        <f>IF('01_Вводные'!$B$234="Да",'19_Расчет_аналитики'!AK4466*'01_Вводные'!$B$14,0)</f>
        <v/>
      </c>
      <c r="AM4467">
        <f>IF('01_Вводные'!$B$234="Да",'19_Расчет_аналитики'!AL4466*'01_Вводные'!$B$14,0)</f>
        <v/>
      </c>
      <c r="AN4467">
        <f>IF('01_Вводные'!$B$234="Да",'19_Расчет_аналитики'!AM4466*'01_Вводные'!$B$14,0)</f>
        <v/>
      </c>
      <c r="AO4467">
        <f>IF('01_Вводные'!$B$234="Да",'19_Расчет_аналитики'!AN4466*'01_Вводные'!$B$14,0)</f>
        <v/>
      </c>
      <c r="AP4467">
        <f>IF('01_Вводные'!$B$234="Да",'19_Расчет_аналитики'!AO4466*'01_Вводные'!$B$14,0)</f>
        <v/>
      </c>
      <c r="AQ4467">
        <f>IF('01_Вводные'!$B$234="Да",'19_Расчет_аналитики'!AP4466*'01_Вводные'!$B$14,0)</f>
        <v/>
      </c>
      <c r="AR4467">
        <f>IF('01_Вводные'!$B$234="Да",'19_Расчет_аналитики'!AQ4466*'01_Вводные'!$B$14,0)</f>
        <v/>
      </c>
      <c r="AS4467">
        <f>IF('01_Вводные'!$B$234="Да",'19_Расчет_аналитики'!AR4466*'01_Вводные'!$B$14,0)</f>
        <v/>
      </c>
      <c r="AT4467">
        <f>IF('01_Вводные'!$B$234="Да",'19_Расчет_аналитики'!AS4466*'01_Вводные'!$B$14,0)</f>
        <v/>
      </c>
      <c r="AU4467">
        <f>IF('01_Вводные'!$B$234="Да",'19_Расчет_аналитики'!AT4466*'01_Вводные'!$B$14,0)</f>
        <v/>
      </c>
      <c r="AV4467">
        <f>IF('01_Вводные'!$B$234="Да",'19_Расчет_аналитики'!AU4466*'01_Вводные'!$B$14,0)</f>
        <v/>
      </c>
      <c r="AW4467">
        <f>IF('01_Вводные'!$B$234="Да",'19_Расчет_аналитики'!AV4466*'01_Вводные'!$B$14,0)</f>
        <v/>
      </c>
      <c r="AX4467">
        <f>IF('01_Вводные'!$B$234="Да",'19_Расчет_аналитики'!AW4466*'01_Вводные'!$B$14,0)</f>
        <v/>
      </c>
      <c r="AY4467">
        <f>IF('01_Вводные'!$B$234="Да",'19_Расчет_аналитики'!AX4466*'01_Вводные'!$B$14,0)</f>
        <v/>
      </c>
      <c r="AZ4467">
        <f>IF('01_Вводные'!$B$234="Да",'19_Расчет_аналитики'!AY4466*'01_Вводные'!$B$14,0)</f>
        <v/>
      </c>
      <c r="BA4467">
        <f>IF('01_Вводные'!$B$234="Да",'19_Расчет_аналитики'!AZ4466*'01_Вводные'!$B$14,0)</f>
        <v/>
      </c>
      <c r="BB4467">
        <f>IF('01_Вводные'!$B$234="Да",'19_Расчет_аналитики'!BA4466*'01_Вводные'!$B$14,0)</f>
        <v/>
      </c>
      <c r="BC4467">
        <f>IF('01_Вводные'!$B$234="Да",'19_Расчет_аналитики'!BB4466*'01_Вводные'!$B$14,0)</f>
        <v/>
      </c>
      <c r="BD4467">
        <f>IF('01_Вводные'!$B$234="Да",'19_Расчет_аналитики'!BC4466*'01_Вводные'!$B$14,0)</f>
        <v/>
      </c>
      <c r="BE4467">
        <f>IF('01_Вводные'!$B$234="Да",'19_Расчет_аналитики'!BD4466*'01_Вводные'!$B$14,0)</f>
        <v/>
      </c>
      <c r="BF4467">
        <f>IF('01_Вводные'!$B$234="Да",'19_Расчет_аналитики'!BE4466*'01_Вводные'!$B$14,0)</f>
        <v/>
      </c>
      <c r="BG4467">
        <f>IF('01_Вводные'!$B$234="Да",'19_Расчет_аналитики'!BF4466*'01_Вводные'!$B$14,0)</f>
        <v/>
      </c>
      <c r="BH4467">
        <f>IF('01_Вводные'!$B$234="Да",'19_Расчет_аналитики'!BG4466*'01_Вводные'!$B$14,0)</f>
        <v/>
      </c>
      <c r="BI4467">
        <f>IF('01_Вводные'!$B$234="Да",'19_Расчет_аналитики'!BH4466*'01_Вводные'!$B$14,0)</f>
        <v/>
      </c>
      <c r="BJ4467">
        <f>IF('01_Вводные'!$B$234="Да",'19_Расчет_аналитики'!BI4466*'01_Вводные'!$B$14,0)</f>
        <v/>
      </c>
      <c r="BK4467">
        <f>IF('01_Вводные'!$B$234="Да",'19_Расчет_аналитики'!BJ4466*'01_Вводные'!$B$14,0)</f>
        <v/>
      </c>
      <c r="BL4467">
        <f>IF('01_Вводные'!$B$234="Да",'19_Расчет_аналитики'!BK4466*'01_Вводные'!$B$14,0)</f>
        <v/>
      </c>
      <c r="BM4467">
        <f>IF('01_Вводные'!$B$234="Да",'19_Расчет_аналитики'!BL4466*'01_Вводные'!$B$14,0)</f>
        <v/>
      </c>
      <c r="BN4467">
        <f>IF('01_Вводные'!$B$234="Да",'19_Расчет_аналитики'!BM4466*'01_Вводные'!$B$14,0)</f>
        <v/>
      </c>
      <c r="BO4467">
        <f>IF('01_Вводные'!$B$234="Да",'19_Расчет_аналитики'!BN4466*'01_Вводные'!$B$14,0)</f>
        <v/>
      </c>
    </row>
    <row r="4468">
      <c r="B4468">
        <f>'06_Сеть_и_дети'!B65</f>
        <v/>
      </c>
      <c r="C4468">
        <f>'06_Сеть_и_дети'!C65</f>
        <v/>
      </c>
      <c r="D4468">
        <f>'06_Сеть_и_дети'!D65</f>
        <v/>
      </c>
      <c r="E4468">
        <f>'06_Сеть_и_дети'!E65</f>
        <v/>
      </c>
      <c r="F4468">
        <f>'06_Сеть_и_дети'!F65</f>
        <v/>
      </c>
      <c r="G4468">
        <f>'06_Сеть_и_дети'!G65</f>
        <v/>
      </c>
      <c r="H4468">
        <f>'06_Сеть_и_дети'!H65</f>
        <v/>
      </c>
      <c r="I4468">
        <f>'06_Сеть_и_дети'!I65</f>
        <v/>
      </c>
      <c r="J4468">
        <f>'06_Сеть_и_дети'!J65</f>
        <v/>
      </c>
      <c r="K4468">
        <f>'06_Сеть_и_дети'!K65</f>
        <v/>
      </c>
      <c r="L4468">
        <f>'06_Сеть_и_дети'!L65</f>
        <v/>
      </c>
      <c r="M4468">
        <f>'06_Сеть_и_дети'!M65</f>
        <v/>
      </c>
      <c r="N4468">
        <f>IF('01_Вводные'!$B$234="Да",'19_Расчет_аналитики'!M4467*'01_Вводные'!$B$14,0)</f>
        <v/>
      </c>
      <c r="O4468">
        <f>IF('01_Вводные'!$B$234="Да",'19_Расчет_аналитики'!N4467*'01_Вводные'!$B$14,0)</f>
        <v/>
      </c>
      <c r="P4468">
        <f>IF('01_Вводные'!$B$234="Да",'19_Расчет_аналитики'!O4467*'01_Вводные'!$B$14,0)</f>
        <v/>
      </c>
      <c r="Q4468">
        <f>IF('01_Вводные'!$B$234="Да",'19_Расчет_аналитики'!P4467*'01_Вводные'!$B$14,0)</f>
        <v/>
      </c>
      <c r="R4468">
        <f>IF('01_Вводные'!$B$234="Да",'19_Расчет_аналитики'!Q4467*'01_Вводные'!$B$14,0)</f>
        <v/>
      </c>
      <c r="S4468">
        <f>IF('01_Вводные'!$B$234="Да",'19_Расчет_аналитики'!R4467*'01_Вводные'!$B$14,0)</f>
        <v/>
      </c>
      <c r="T4468">
        <f>IF('01_Вводные'!$B$234="Да",'19_Расчет_аналитики'!S4467*'01_Вводные'!$B$14,0)</f>
        <v/>
      </c>
      <c r="U4468">
        <f>IF('01_Вводные'!$B$234="Да",'19_Расчет_аналитики'!T4467*'01_Вводные'!$B$14,0)</f>
        <v/>
      </c>
      <c r="V4468">
        <f>IF('01_Вводные'!$B$234="Да",'19_Расчет_аналитики'!U4467*'01_Вводные'!$B$14,0)</f>
        <v/>
      </c>
      <c r="W4468">
        <f>IF('01_Вводные'!$B$234="Да",'19_Расчет_аналитики'!V4467*'01_Вводные'!$B$14,0)</f>
        <v/>
      </c>
      <c r="X4468">
        <f>IF('01_Вводные'!$B$234="Да",'19_Расчет_аналитики'!W4467*'01_Вводные'!$B$14,0)</f>
        <v/>
      </c>
      <c r="Y4468">
        <f>IF('01_Вводные'!$B$234="Да",'19_Расчет_аналитики'!X4467*'01_Вводные'!$B$14,0)</f>
        <v/>
      </c>
      <c r="Z4468">
        <f>IF('01_Вводные'!$B$234="Да",'19_Расчет_аналитики'!Y4467*'01_Вводные'!$B$14,0)</f>
        <v/>
      </c>
      <c r="AA4468">
        <f>IF('01_Вводные'!$B$234="Да",'19_Расчет_аналитики'!Z4467*'01_Вводные'!$B$14,0)</f>
        <v/>
      </c>
      <c r="AB4468">
        <f>IF('01_Вводные'!$B$234="Да",'19_Расчет_аналитики'!AA4467*'01_Вводные'!$B$14,0)</f>
        <v/>
      </c>
      <c r="AC4468">
        <f>IF('01_Вводные'!$B$234="Да",'19_Расчет_аналитики'!AB4467*'01_Вводные'!$B$14,0)</f>
        <v/>
      </c>
      <c r="AD4468">
        <f>IF('01_Вводные'!$B$234="Да",'19_Расчет_аналитики'!AC4467*'01_Вводные'!$B$14,0)</f>
        <v/>
      </c>
      <c r="AE4468">
        <f>IF('01_Вводные'!$B$234="Да",'19_Расчет_аналитики'!AD4467*'01_Вводные'!$B$14,0)</f>
        <v/>
      </c>
      <c r="AF4468">
        <f>IF('01_Вводные'!$B$234="Да",'19_Расчет_аналитики'!AE4467*'01_Вводные'!$B$14,0)</f>
        <v/>
      </c>
      <c r="AG4468">
        <f>IF('01_Вводные'!$B$234="Да",'19_Расчет_аналитики'!AF4467*'01_Вводные'!$B$14,0)</f>
        <v/>
      </c>
      <c r="AH4468">
        <f>IF('01_Вводные'!$B$234="Да",'19_Расчет_аналитики'!AG4467*'01_Вводные'!$B$14,0)</f>
        <v/>
      </c>
      <c r="AI4468">
        <f>IF('01_Вводные'!$B$234="Да",'19_Расчет_аналитики'!AH4467*'01_Вводные'!$B$14,0)</f>
        <v/>
      </c>
      <c r="AJ4468">
        <f>IF('01_Вводные'!$B$234="Да",'19_Расчет_аналитики'!AI4467*'01_Вводные'!$B$14,0)</f>
        <v/>
      </c>
      <c r="AK4468">
        <f>IF('01_Вводные'!$B$234="Да",'19_Расчет_аналитики'!AJ4467*'01_Вводные'!$B$14,0)</f>
        <v/>
      </c>
      <c r="AL4468">
        <f>IF('01_Вводные'!$B$234="Да",'19_Расчет_аналитики'!AK4467*'01_Вводные'!$B$14,0)</f>
        <v/>
      </c>
      <c r="AM4468">
        <f>IF('01_Вводные'!$B$234="Да",'19_Расчет_аналитики'!AL4467*'01_Вводные'!$B$14,0)</f>
        <v/>
      </c>
      <c r="AN4468">
        <f>IF('01_Вводные'!$B$234="Да",'19_Расчет_аналитики'!AM4467*'01_Вводные'!$B$14,0)</f>
        <v/>
      </c>
      <c r="AO4468">
        <f>IF('01_Вводные'!$B$234="Да",'19_Расчет_аналитики'!AN4467*'01_Вводные'!$B$14,0)</f>
        <v/>
      </c>
      <c r="AP4468">
        <f>IF('01_Вводные'!$B$234="Да",'19_Расчет_аналитики'!AO4467*'01_Вводные'!$B$14,0)</f>
        <v/>
      </c>
      <c r="AQ4468">
        <f>IF('01_Вводные'!$B$234="Да",'19_Расчет_аналитики'!AP4467*'01_Вводные'!$B$14,0)</f>
        <v/>
      </c>
      <c r="AR4468">
        <f>IF('01_Вводные'!$B$234="Да",'19_Расчет_аналитики'!AQ4467*'01_Вводные'!$B$14,0)</f>
        <v/>
      </c>
      <c r="AS4468">
        <f>IF('01_Вводные'!$B$234="Да",'19_Расчет_аналитики'!AR4467*'01_Вводные'!$B$14,0)</f>
        <v/>
      </c>
      <c r="AT4468">
        <f>IF('01_Вводные'!$B$234="Да",'19_Расчет_аналитики'!AS4467*'01_Вводные'!$B$14,0)</f>
        <v/>
      </c>
      <c r="AU4468">
        <f>IF('01_Вводные'!$B$234="Да",'19_Расчет_аналитики'!AT4467*'01_Вводные'!$B$14,0)</f>
        <v/>
      </c>
      <c r="AV4468">
        <f>IF('01_Вводные'!$B$234="Да",'19_Расчет_аналитики'!AU4467*'01_Вводные'!$B$14,0)</f>
        <v/>
      </c>
      <c r="AW4468">
        <f>IF('01_Вводные'!$B$234="Да",'19_Расчет_аналитики'!AV4467*'01_Вводные'!$B$14,0)</f>
        <v/>
      </c>
      <c r="AX4468">
        <f>IF('01_Вводные'!$B$234="Да",'19_Расчет_аналитики'!AW4467*'01_Вводные'!$B$14,0)</f>
        <v/>
      </c>
      <c r="AY4468">
        <f>IF('01_Вводные'!$B$234="Да",'19_Расчет_аналитики'!AX4467*'01_Вводные'!$B$14,0)</f>
        <v/>
      </c>
      <c r="AZ4468">
        <f>IF('01_Вводные'!$B$234="Да",'19_Расчет_аналитики'!AY4467*'01_Вводные'!$B$14,0)</f>
        <v/>
      </c>
      <c r="BA4468">
        <f>IF('01_Вводные'!$B$234="Да",'19_Расчет_аналитики'!AZ4467*'01_Вводные'!$B$14,0)</f>
        <v/>
      </c>
      <c r="BB4468">
        <f>IF('01_Вводные'!$B$234="Да",'19_Расчет_аналитики'!BA4467*'01_Вводные'!$B$14,0)</f>
        <v/>
      </c>
      <c r="BC4468">
        <f>IF('01_Вводные'!$B$234="Да",'19_Расчет_аналитики'!BB4467*'01_Вводные'!$B$14,0)</f>
        <v/>
      </c>
      <c r="BD4468">
        <f>IF('01_Вводные'!$B$234="Да",'19_Расчет_аналитики'!BC4467*'01_Вводные'!$B$14,0)</f>
        <v/>
      </c>
      <c r="BE4468">
        <f>IF('01_Вводные'!$B$234="Да",'19_Расчет_аналитики'!BD4467*'01_Вводные'!$B$14,0)</f>
        <v/>
      </c>
      <c r="BF4468">
        <f>IF('01_Вводные'!$B$234="Да",'19_Расчет_аналитики'!BE4467*'01_Вводные'!$B$14,0)</f>
        <v/>
      </c>
      <c r="BG4468">
        <f>IF('01_Вводные'!$B$234="Да",'19_Расчет_аналитики'!BF4467*'01_Вводные'!$B$14,0)</f>
        <v/>
      </c>
      <c r="BH4468">
        <f>IF('01_Вводные'!$B$234="Да",'19_Расчет_аналитики'!BG4467*'01_Вводные'!$B$14,0)</f>
        <v/>
      </c>
      <c r="BI4468">
        <f>IF('01_Вводные'!$B$234="Да",'19_Расчет_аналитики'!BH4467*'01_Вводные'!$B$14,0)</f>
        <v/>
      </c>
      <c r="BJ4468">
        <f>IF('01_Вводные'!$B$234="Да",'19_Расчет_аналитики'!BI4467*'01_Вводные'!$B$14,0)</f>
        <v/>
      </c>
      <c r="BK4468">
        <f>IF('01_Вводные'!$B$234="Да",'19_Расчет_аналитики'!BJ4467*'01_Вводные'!$B$14,0)</f>
        <v/>
      </c>
      <c r="BL4468">
        <f>IF('01_Вводные'!$B$234="Да",'19_Расчет_аналитики'!BK4467*'01_Вводные'!$B$14,0)</f>
        <v/>
      </c>
      <c r="BM4468">
        <f>IF('01_Вводные'!$B$234="Да",'19_Расчет_аналитики'!BL4467*'01_Вводные'!$B$14,0)</f>
        <v/>
      </c>
      <c r="BN4468">
        <f>IF('01_Вводные'!$B$234="Да",'19_Расчет_аналитики'!BM4467*'01_Вводные'!$B$14,0)</f>
        <v/>
      </c>
      <c r="BO4468">
        <f>IF('01_Вводные'!$B$234="Да",'19_Расчет_аналитики'!BN4467*'01_Вводные'!$B$14,0)</f>
        <v/>
      </c>
    </row>
    <row r="4469">
      <c r="B4469">
        <f>'06_Сеть_и_дети'!B66</f>
        <v/>
      </c>
      <c r="C4469">
        <f>'06_Сеть_и_дети'!C66</f>
        <v/>
      </c>
      <c r="D4469">
        <f>'06_Сеть_и_дети'!D66</f>
        <v/>
      </c>
      <c r="E4469">
        <f>'06_Сеть_и_дети'!E66</f>
        <v/>
      </c>
      <c r="F4469">
        <f>'06_Сеть_и_дети'!F66</f>
        <v/>
      </c>
      <c r="G4469">
        <f>'06_Сеть_и_дети'!G66</f>
        <v/>
      </c>
      <c r="H4469">
        <f>'06_Сеть_и_дети'!H66</f>
        <v/>
      </c>
      <c r="I4469">
        <f>'06_Сеть_и_дети'!I66</f>
        <v/>
      </c>
      <c r="J4469">
        <f>'06_Сеть_и_дети'!J66</f>
        <v/>
      </c>
      <c r="K4469">
        <f>'06_Сеть_и_дети'!K66</f>
        <v/>
      </c>
      <c r="L4469">
        <f>'06_Сеть_и_дети'!L66</f>
        <v/>
      </c>
      <c r="M4469">
        <f>'06_Сеть_и_дети'!M66</f>
        <v/>
      </c>
      <c r="N4469">
        <f>'06_Сеть_и_дети'!N66</f>
        <v/>
      </c>
      <c r="O4469">
        <f>IF('01_Вводные'!$B$234="Да",'19_Расчет_аналитики'!N4468*'01_Вводные'!$B$14,0)</f>
        <v/>
      </c>
      <c r="P4469">
        <f>IF('01_Вводные'!$B$234="Да",'19_Расчет_аналитики'!O4468*'01_Вводные'!$B$14,0)</f>
        <v/>
      </c>
      <c r="Q4469">
        <f>IF('01_Вводные'!$B$234="Да",'19_Расчет_аналитики'!P4468*'01_Вводные'!$B$14,0)</f>
        <v/>
      </c>
      <c r="R4469">
        <f>IF('01_Вводные'!$B$234="Да",'19_Расчет_аналитики'!Q4468*'01_Вводные'!$B$14,0)</f>
        <v/>
      </c>
      <c r="S4469">
        <f>IF('01_Вводные'!$B$234="Да",'19_Расчет_аналитики'!R4468*'01_Вводные'!$B$14,0)</f>
        <v/>
      </c>
      <c r="T4469">
        <f>IF('01_Вводные'!$B$234="Да",'19_Расчет_аналитики'!S4468*'01_Вводные'!$B$14,0)</f>
        <v/>
      </c>
      <c r="U4469">
        <f>IF('01_Вводные'!$B$234="Да",'19_Расчет_аналитики'!T4468*'01_Вводные'!$B$14,0)</f>
        <v/>
      </c>
      <c r="V4469">
        <f>IF('01_Вводные'!$B$234="Да",'19_Расчет_аналитики'!U4468*'01_Вводные'!$B$14,0)</f>
        <v/>
      </c>
      <c r="W4469">
        <f>IF('01_Вводные'!$B$234="Да",'19_Расчет_аналитики'!V4468*'01_Вводные'!$B$14,0)</f>
        <v/>
      </c>
      <c r="X4469">
        <f>IF('01_Вводные'!$B$234="Да",'19_Расчет_аналитики'!W4468*'01_Вводные'!$B$14,0)</f>
        <v/>
      </c>
      <c r="Y4469">
        <f>IF('01_Вводные'!$B$234="Да",'19_Расчет_аналитики'!X4468*'01_Вводные'!$B$14,0)</f>
        <v/>
      </c>
      <c r="Z4469">
        <f>IF('01_Вводные'!$B$234="Да",'19_Расчет_аналитики'!Y4468*'01_Вводные'!$B$14,0)</f>
        <v/>
      </c>
      <c r="AA4469">
        <f>IF('01_Вводные'!$B$234="Да",'19_Расчет_аналитики'!Z4468*'01_Вводные'!$B$14,0)</f>
        <v/>
      </c>
      <c r="AB4469">
        <f>IF('01_Вводные'!$B$234="Да",'19_Расчет_аналитики'!AA4468*'01_Вводные'!$B$14,0)</f>
        <v/>
      </c>
      <c r="AC4469">
        <f>IF('01_Вводные'!$B$234="Да",'19_Расчет_аналитики'!AB4468*'01_Вводные'!$B$14,0)</f>
        <v/>
      </c>
      <c r="AD4469">
        <f>IF('01_Вводные'!$B$234="Да",'19_Расчет_аналитики'!AC4468*'01_Вводные'!$B$14,0)</f>
        <v/>
      </c>
      <c r="AE4469">
        <f>IF('01_Вводные'!$B$234="Да",'19_Расчет_аналитики'!AD4468*'01_Вводные'!$B$14,0)</f>
        <v/>
      </c>
      <c r="AF4469">
        <f>IF('01_Вводные'!$B$234="Да",'19_Расчет_аналитики'!AE4468*'01_Вводные'!$B$14,0)</f>
        <v/>
      </c>
      <c r="AG4469">
        <f>IF('01_Вводные'!$B$234="Да",'19_Расчет_аналитики'!AF4468*'01_Вводные'!$B$14,0)</f>
        <v/>
      </c>
      <c r="AH4469">
        <f>IF('01_Вводные'!$B$234="Да",'19_Расчет_аналитики'!AG4468*'01_Вводные'!$B$14,0)</f>
        <v/>
      </c>
      <c r="AI4469">
        <f>IF('01_Вводные'!$B$234="Да",'19_Расчет_аналитики'!AH4468*'01_Вводные'!$B$14,0)</f>
        <v/>
      </c>
      <c r="AJ4469">
        <f>IF('01_Вводные'!$B$234="Да",'19_Расчет_аналитики'!AI4468*'01_Вводные'!$B$14,0)</f>
        <v/>
      </c>
      <c r="AK4469">
        <f>IF('01_Вводные'!$B$234="Да",'19_Расчет_аналитики'!AJ4468*'01_Вводные'!$B$14,0)</f>
        <v/>
      </c>
      <c r="AL4469">
        <f>IF('01_Вводные'!$B$234="Да",'19_Расчет_аналитики'!AK4468*'01_Вводные'!$B$14,0)</f>
        <v/>
      </c>
      <c r="AM4469">
        <f>IF('01_Вводные'!$B$234="Да",'19_Расчет_аналитики'!AL4468*'01_Вводные'!$B$14,0)</f>
        <v/>
      </c>
      <c r="AN4469">
        <f>IF('01_Вводные'!$B$234="Да",'19_Расчет_аналитики'!AM4468*'01_Вводные'!$B$14,0)</f>
        <v/>
      </c>
      <c r="AO4469">
        <f>IF('01_Вводные'!$B$234="Да",'19_Расчет_аналитики'!AN4468*'01_Вводные'!$B$14,0)</f>
        <v/>
      </c>
      <c r="AP4469">
        <f>IF('01_Вводные'!$B$234="Да",'19_Расчет_аналитики'!AO4468*'01_Вводные'!$B$14,0)</f>
        <v/>
      </c>
      <c r="AQ4469">
        <f>IF('01_Вводные'!$B$234="Да",'19_Расчет_аналитики'!AP4468*'01_Вводные'!$B$14,0)</f>
        <v/>
      </c>
      <c r="AR4469">
        <f>IF('01_Вводные'!$B$234="Да",'19_Расчет_аналитики'!AQ4468*'01_Вводные'!$B$14,0)</f>
        <v/>
      </c>
      <c r="AS4469">
        <f>IF('01_Вводные'!$B$234="Да",'19_Расчет_аналитики'!AR4468*'01_Вводные'!$B$14,0)</f>
        <v/>
      </c>
      <c r="AT4469">
        <f>IF('01_Вводные'!$B$234="Да",'19_Расчет_аналитики'!AS4468*'01_Вводные'!$B$14,0)</f>
        <v/>
      </c>
      <c r="AU4469">
        <f>IF('01_Вводные'!$B$234="Да",'19_Расчет_аналитики'!AT4468*'01_Вводные'!$B$14,0)</f>
        <v/>
      </c>
      <c r="AV4469">
        <f>IF('01_Вводные'!$B$234="Да",'19_Расчет_аналитики'!AU4468*'01_Вводные'!$B$14,0)</f>
        <v/>
      </c>
      <c r="AW4469">
        <f>IF('01_Вводные'!$B$234="Да",'19_Расчет_аналитики'!AV4468*'01_Вводные'!$B$14,0)</f>
        <v/>
      </c>
      <c r="AX4469">
        <f>IF('01_Вводные'!$B$234="Да",'19_Расчет_аналитики'!AW4468*'01_Вводные'!$B$14,0)</f>
        <v/>
      </c>
      <c r="AY4469">
        <f>IF('01_Вводные'!$B$234="Да",'19_Расчет_аналитики'!AX4468*'01_Вводные'!$B$14,0)</f>
        <v/>
      </c>
      <c r="AZ4469">
        <f>IF('01_Вводные'!$B$234="Да",'19_Расчет_аналитики'!AY4468*'01_Вводные'!$B$14,0)</f>
        <v/>
      </c>
      <c r="BA4469">
        <f>IF('01_Вводные'!$B$234="Да",'19_Расчет_аналитики'!AZ4468*'01_Вводные'!$B$14,0)</f>
        <v/>
      </c>
      <c r="BB4469">
        <f>IF('01_Вводные'!$B$234="Да",'19_Расчет_аналитики'!BA4468*'01_Вводные'!$B$14,0)</f>
        <v/>
      </c>
      <c r="BC4469">
        <f>IF('01_Вводные'!$B$234="Да",'19_Расчет_аналитики'!BB4468*'01_Вводные'!$B$14,0)</f>
        <v/>
      </c>
      <c r="BD4469">
        <f>IF('01_Вводные'!$B$234="Да",'19_Расчет_аналитики'!BC4468*'01_Вводные'!$B$14,0)</f>
        <v/>
      </c>
      <c r="BE4469">
        <f>IF('01_Вводные'!$B$234="Да",'19_Расчет_аналитики'!BD4468*'01_Вводные'!$B$14,0)</f>
        <v/>
      </c>
      <c r="BF4469">
        <f>IF('01_Вводные'!$B$234="Да",'19_Расчет_аналитики'!BE4468*'01_Вводные'!$B$14,0)</f>
        <v/>
      </c>
      <c r="BG4469">
        <f>IF('01_Вводные'!$B$234="Да",'19_Расчет_аналитики'!BF4468*'01_Вводные'!$B$14,0)</f>
        <v/>
      </c>
      <c r="BH4469">
        <f>IF('01_Вводные'!$B$234="Да",'19_Расчет_аналитики'!BG4468*'01_Вводные'!$B$14,0)</f>
        <v/>
      </c>
      <c r="BI4469">
        <f>IF('01_Вводные'!$B$234="Да",'19_Расчет_аналитики'!BH4468*'01_Вводные'!$B$14,0)</f>
        <v/>
      </c>
      <c r="BJ4469">
        <f>IF('01_Вводные'!$B$234="Да",'19_Расчет_аналитики'!BI4468*'01_Вводные'!$B$14,0)</f>
        <v/>
      </c>
      <c r="BK4469">
        <f>IF('01_Вводные'!$B$234="Да",'19_Расчет_аналитики'!BJ4468*'01_Вводные'!$B$14,0)</f>
        <v/>
      </c>
      <c r="BL4469">
        <f>IF('01_Вводные'!$B$234="Да",'19_Расчет_аналитики'!BK4468*'01_Вводные'!$B$14,0)</f>
        <v/>
      </c>
      <c r="BM4469">
        <f>IF('01_Вводные'!$B$234="Да",'19_Расчет_аналитики'!BL4468*'01_Вводные'!$B$14,0)</f>
        <v/>
      </c>
      <c r="BN4469">
        <f>IF('01_Вводные'!$B$234="Да",'19_Расчет_аналитики'!BM4468*'01_Вводные'!$B$14,0)</f>
        <v/>
      </c>
      <c r="BO4469">
        <f>IF('01_Вводные'!$B$234="Да",'19_Расчет_аналитики'!BN4468*'01_Вводные'!$B$14,0)</f>
        <v/>
      </c>
    </row>
    <row r="4470">
      <c r="B4470">
        <f>'06_Сеть_и_дети'!B67</f>
        <v/>
      </c>
      <c r="C4470">
        <f>'06_Сеть_и_дети'!C67</f>
        <v/>
      </c>
      <c r="D4470">
        <f>'06_Сеть_и_дети'!D67</f>
        <v/>
      </c>
      <c r="E4470">
        <f>'06_Сеть_и_дети'!E67</f>
        <v/>
      </c>
      <c r="F4470">
        <f>'06_Сеть_и_дети'!F67</f>
        <v/>
      </c>
      <c r="G4470">
        <f>'06_Сеть_и_дети'!G67</f>
        <v/>
      </c>
      <c r="H4470">
        <f>'06_Сеть_и_дети'!H67</f>
        <v/>
      </c>
      <c r="I4470">
        <f>'06_Сеть_и_дети'!I67</f>
        <v/>
      </c>
      <c r="J4470">
        <f>'06_Сеть_и_дети'!J67</f>
        <v/>
      </c>
      <c r="K4470">
        <f>'06_Сеть_и_дети'!K67</f>
        <v/>
      </c>
      <c r="L4470">
        <f>'06_Сеть_и_дети'!L67</f>
        <v/>
      </c>
      <c r="M4470">
        <f>'06_Сеть_и_дети'!M67</f>
        <v/>
      </c>
      <c r="N4470">
        <f>'06_Сеть_и_дети'!N67</f>
        <v/>
      </c>
      <c r="O4470">
        <f>'06_Сеть_и_дети'!O67</f>
        <v/>
      </c>
      <c r="P4470">
        <f>IF('01_Вводные'!$B$234="Да",'19_Расчет_аналитики'!O4469*'01_Вводные'!$B$14,0)</f>
        <v/>
      </c>
      <c r="Q4470">
        <f>IF('01_Вводные'!$B$234="Да",'19_Расчет_аналитики'!P4469*'01_Вводные'!$B$14,0)</f>
        <v/>
      </c>
      <c r="R4470">
        <f>IF('01_Вводные'!$B$234="Да",'19_Расчет_аналитики'!Q4469*'01_Вводные'!$B$14,0)</f>
        <v/>
      </c>
      <c r="S4470">
        <f>IF('01_Вводные'!$B$234="Да",'19_Расчет_аналитики'!R4469*'01_Вводные'!$B$14,0)</f>
        <v/>
      </c>
      <c r="T4470">
        <f>IF('01_Вводные'!$B$234="Да",'19_Расчет_аналитики'!S4469*'01_Вводные'!$B$14,0)</f>
        <v/>
      </c>
      <c r="U4470">
        <f>IF('01_Вводные'!$B$234="Да",'19_Расчет_аналитики'!T4469*'01_Вводные'!$B$14,0)</f>
        <v/>
      </c>
      <c r="V4470">
        <f>IF('01_Вводные'!$B$234="Да",'19_Расчет_аналитики'!U4469*'01_Вводные'!$B$14,0)</f>
        <v/>
      </c>
      <c r="W4470">
        <f>IF('01_Вводные'!$B$234="Да",'19_Расчет_аналитики'!V4469*'01_Вводные'!$B$14,0)</f>
        <v/>
      </c>
      <c r="X4470">
        <f>IF('01_Вводные'!$B$234="Да",'19_Расчет_аналитики'!W4469*'01_Вводные'!$B$14,0)</f>
        <v/>
      </c>
      <c r="Y4470">
        <f>IF('01_Вводные'!$B$234="Да",'19_Расчет_аналитики'!X4469*'01_Вводные'!$B$14,0)</f>
        <v/>
      </c>
      <c r="Z4470">
        <f>IF('01_Вводные'!$B$234="Да",'19_Расчет_аналитики'!Y4469*'01_Вводные'!$B$14,0)</f>
        <v/>
      </c>
      <c r="AA4470">
        <f>IF('01_Вводные'!$B$234="Да",'19_Расчет_аналитики'!Z4469*'01_Вводные'!$B$14,0)</f>
        <v/>
      </c>
      <c r="AB4470">
        <f>IF('01_Вводные'!$B$234="Да",'19_Расчет_аналитики'!AA4469*'01_Вводные'!$B$14,0)</f>
        <v/>
      </c>
      <c r="AC4470">
        <f>IF('01_Вводные'!$B$234="Да",'19_Расчет_аналитики'!AB4469*'01_Вводные'!$B$14,0)</f>
        <v/>
      </c>
      <c r="AD4470">
        <f>IF('01_Вводные'!$B$234="Да",'19_Расчет_аналитики'!AC4469*'01_Вводные'!$B$14,0)</f>
        <v/>
      </c>
      <c r="AE4470">
        <f>IF('01_Вводные'!$B$234="Да",'19_Расчет_аналитики'!AD4469*'01_Вводные'!$B$14,0)</f>
        <v/>
      </c>
      <c r="AF4470">
        <f>IF('01_Вводные'!$B$234="Да",'19_Расчет_аналитики'!AE4469*'01_Вводные'!$B$14,0)</f>
        <v/>
      </c>
      <c r="AG4470">
        <f>IF('01_Вводные'!$B$234="Да",'19_Расчет_аналитики'!AF4469*'01_Вводные'!$B$14,0)</f>
        <v/>
      </c>
      <c r="AH4470">
        <f>IF('01_Вводные'!$B$234="Да",'19_Расчет_аналитики'!AG4469*'01_Вводные'!$B$14,0)</f>
        <v/>
      </c>
      <c r="AI4470">
        <f>IF('01_Вводные'!$B$234="Да",'19_Расчет_аналитики'!AH4469*'01_Вводные'!$B$14,0)</f>
        <v/>
      </c>
      <c r="AJ4470">
        <f>IF('01_Вводные'!$B$234="Да",'19_Расчет_аналитики'!AI4469*'01_Вводные'!$B$14,0)</f>
        <v/>
      </c>
      <c r="AK4470">
        <f>IF('01_Вводные'!$B$234="Да",'19_Расчет_аналитики'!AJ4469*'01_Вводные'!$B$14,0)</f>
        <v/>
      </c>
      <c r="AL4470">
        <f>IF('01_Вводные'!$B$234="Да",'19_Расчет_аналитики'!AK4469*'01_Вводные'!$B$14,0)</f>
        <v/>
      </c>
      <c r="AM4470">
        <f>IF('01_Вводные'!$B$234="Да",'19_Расчет_аналитики'!AL4469*'01_Вводные'!$B$14,0)</f>
        <v/>
      </c>
      <c r="AN4470">
        <f>IF('01_Вводные'!$B$234="Да",'19_Расчет_аналитики'!AM4469*'01_Вводные'!$B$14,0)</f>
        <v/>
      </c>
      <c r="AO4470">
        <f>IF('01_Вводные'!$B$234="Да",'19_Расчет_аналитики'!AN4469*'01_Вводные'!$B$14,0)</f>
        <v/>
      </c>
      <c r="AP4470">
        <f>IF('01_Вводные'!$B$234="Да",'19_Расчет_аналитики'!AO4469*'01_Вводные'!$B$14,0)</f>
        <v/>
      </c>
      <c r="AQ4470">
        <f>IF('01_Вводные'!$B$234="Да",'19_Расчет_аналитики'!AP4469*'01_Вводные'!$B$14,0)</f>
        <v/>
      </c>
      <c r="AR4470">
        <f>IF('01_Вводные'!$B$234="Да",'19_Расчет_аналитики'!AQ4469*'01_Вводные'!$B$14,0)</f>
        <v/>
      </c>
      <c r="AS4470">
        <f>IF('01_Вводные'!$B$234="Да",'19_Расчет_аналитики'!AR4469*'01_Вводные'!$B$14,0)</f>
        <v/>
      </c>
      <c r="AT4470">
        <f>IF('01_Вводные'!$B$234="Да",'19_Расчет_аналитики'!AS4469*'01_Вводные'!$B$14,0)</f>
        <v/>
      </c>
      <c r="AU4470">
        <f>IF('01_Вводные'!$B$234="Да",'19_Расчет_аналитики'!AT4469*'01_Вводные'!$B$14,0)</f>
        <v/>
      </c>
      <c r="AV4470">
        <f>IF('01_Вводные'!$B$234="Да",'19_Расчет_аналитики'!AU4469*'01_Вводные'!$B$14,0)</f>
        <v/>
      </c>
      <c r="AW4470">
        <f>IF('01_Вводные'!$B$234="Да",'19_Расчет_аналитики'!AV4469*'01_Вводные'!$B$14,0)</f>
        <v/>
      </c>
      <c r="AX4470">
        <f>IF('01_Вводные'!$B$234="Да",'19_Расчет_аналитики'!AW4469*'01_Вводные'!$B$14,0)</f>
        <v/>
      </c>
      <c r="AY4470">
        <f>IF('01_Вводные'!$B$234="Да",'19_Расчет_аналитики'!AX4469*'01_Вводные'!$B$14,0)</f>
        <v/>
      </c>
      <c r="AZ4470">
        <f>IF('01_Вводные'!$B$234="Да",'19_Расчет_аналитики'!AY4469*'01_Вводные'!$B$14,0)</f>
        <v/>
      </c>
      <c r="BA4470">
        <f>IF('01_Вводные'!$B$234="Да",'19_Расчет_аналитики'!AZ4469*'01_Вводные'!$B$14,0)</f>
        <v/>
      </c>
      <c r="BB4470">
        <f>IF('01_Вводные'!$B$234="Да",'19_Расчет_аналитики'!BA4469*'01_Вводные'!$B$14,0)</f>
        <v/>
      </c>
      <c r="BC4470">
        <f>IF('01_Вводные'!$B$234="Да",'19_Расчет_аналитики'!BB4469*'01_Вводные'!$B$14,0)</f>
        <v/>
      </c>
      <c r="BD4470">
        <f>IF('01_Вводные'!$B$234="Да",'19_Расчет_аналитики'!BC4469*'01_Вводные'!$B$14,0)</f>
        <v/>
      </c>
      <c r="BE4470">
        <f>IF('01_Вводные'!$B$234="Да",'19_Расчет_аналитики'!BD4469*'01_Вводные'!$B$14,0)</f>
        <v/>
      </c>
      <c r="BF4470">
        <f>IF('01_Вводные'!$B$234="Да",'19_Расчет_аналитики'!BE4469*'01_Вводные'!$B$14,0)</f>
        <v/>
      </c>
      <c r="BG4470">
        <f>IF('01_Вводные'!$B$234="Да",'19_Расчет_аналитики'!BF4469*'01_Вводные'!$B$14,0)</f>
        <v/>
      </c>
      <c r="BH4470">
        <f>IF('01_Вводные'!$B$234="Да",'19_Расчет_аналитики'!BG4469*'01_Вводные'!$B$14,0)</f>
        <v/>
      </c>
      <c r="BI4470">
        <f>IF('01_Вводные'!$B$234="Да",'19_Расчет_аналитики'!BH4469*'01_Вводные'!$B$14,0)</f>
        <v/>
      </c>
      <c r="BJ4470">
        <f>IF('01_Вводные'!$B$234="Да",'19_Расчет_аналитики'!BI4469*'01_Вводные'!$B$14,0)</f>
        <v/>
      </c>
      <c r="BK4470">
        <f>IF('01_Вводные'!$B$234="Да",'19_Расчет_аналитики'!BJ4469*'01_Вводные'!$B$14,0)</f>
        <v/>
      </c>
      <c r="BL4470">
        <f>IF('01_Вводные'!$B$234="Да",'19_Расчет_аналитики'!BK4469*'01_Вводные'!$B$14,0)</f>
        <v/>
      </c>
      <c r="BM4470">
        <f>IF('01_Вводные'!$B$234="Да",'19_Расчет_аналитики'!BL4469*'01_Вводные'!$B$14,0)</f>
        <v/>
      </c>
      <c r="BN4470">
        <f>IF('01_Вводные'!$B$234="Да",'19_Расчет_аналитики'!BM4469*'01_Вводные'!$B$14,0)</f>
        <v/>
      </c>
      <c r="BO4470">
        <f>IF('01_Вводные'!$B$234="Да",'19_Расчет_аналитики'!BN4469*'01_Вводные'!$B$14,0)</f>
        <v/>
      </c>
    </row>
    <row r="4471">
      <c r="B4471">
        <f>'06_Сеть_и_дети'!B68</f>
        <v/>
      </c>
      <c r="C4471">
        <f>'06_Сеть_и_дети'!C68</f>
        <v/>
      </c>
      <c r="D4471">
        <f>'06_Сеть_и_дети'!D68</f>
        <v/>
      </c>
      <c r="E4471">
        <f>'06_Сеть_и_дети'!E68</f>
        <v/>
      </c>
      <c r="F4471">
        <f>'06_Сеть_и_дети'!F68</f>
        <v/>
      </c>
      <c r="G4471">
        <f>'06_Сеть_и_дети'!G68</f>
        <v/>
      </c>
      <c r="H4471">
        <f>'06_Сеть_и_дети'!H68</f>
        <v/>
      </c>
      <c r="I4471">
        <f>'06_Сеть_и_дети'!I68</f>
        <v/>
      </c>
      <c r="J4471">
        <f>'06_Сеть_и_дети'!J68</f>
        <v/>
      </c>
      <c r="K4471">
        <f>'06_Сеть_и_дети'!K68</f>
        <v/>
      </c>
      <c r="L4471">
        <f>'06_Сеть_и_дети'!L68</f>
        <v/>
      </c>
      <c r="M4471">
        <f>'06_Сеть_и_дети'!M68</f>
        <v/>
      </c>
      <c r="N4471">
        <f>'06_Сеть_и_дети'!N68</f>
        <v/>
      </c>
      <c r="O4471">
        <f>'06_Сеть_и_дети'!O68</f>
        <v/>
      </c>
      <c r="P4471">
        <f>'06_Сеть_и_дети'!P68</f>
        <v/>
      </c>
      <c r="Q4471">
        <f>IF('01_Вводные'!$B$234="Да",'19_Расчет_аналитики'!P4470*'01_Вводные'!$B$14,0)</f>
        <v/>
      </c>
      <c r="R4471">
        <f>IF('01_Вводные'!$B$234="Да",'19_Расчет_аналитики'!Q4470*'01_Вводные'!$B$14,0)</f>
        <v/>
      </c>
      <c r="S4471">
        <f>IF('01_Вводные'!$B$234="Да",'19_Расчет_аналитики'!R4470*'01_Вводные'!$B$14,0)</f>
        <v/>
      </c>
      <c r="T4471">
        <f>IF('01_Вводные'!$B$234="Да",'19_Расчет_аналитики'!S4470*'01_Вводные'!$B$14,0)</f>
        <v/>
      </c>
      <c r="U4471">
        <f>IF('01_Вводные'!$B$234="Да",'19_Расчет_аналитики'!T4470*'01_Вводные'!$B$14,0)</f>
        <v/>
      </c>
      <c r="V4471">
        <f>IF('01_Вводные'!$B$234="Да",'19_Расчет_аналитики'!U4470*'01_Вводные'!$B$14,0)</f>
        <v/>
      </c>
      <c r="W4471">
        <f>IF('01_Вводные'!$B$234="Да",'19_Расчет_аналитики'!V4470*'01_Вводные'!$B$14,0)</f>
        <v/>
      </c>
      <c r="X4471">
        <f>IF('01_Вводные'!$B$234="Да",'19_Расчет_аналитики'!W4470*'01_Вводные'!$B$14,0)</f>
        <v/>
      </c>
      <c r="Y4471">
        <f>IF('01_Вводные'!$B$234="Да",'19_Расчет_аналитики'!X4470*'01_Вводные'!$B$14,0)</f>
        <v/>
      </c>
      <c r="Z4471">
        <f>IF('01_Вводные'!$B$234="Да",'19_Расчет_аналитики'!Y4470*'01_Вводные'!$B$14,0)</f>
        <v/>
      </c>
      <c r="AA4471">
        <f>IF('01_Вводные'!$B$234="Да",'19_Расчет_аналитики'!Z4470*'01_Вводные'!$B$14,0)</f>
        <v/>
      </c>
      <c r="AB4471">
        <f>IF('01_Вводные'!$B$234="Да",'19_Расчет_аналитики'!AA4470*'01_Вводные'!$B$14,0)</f>
        <v/>
      </c>
      <c r="AC4471">
        <f>IF('01_Вводные'!$B$234="Да",'19_Расчет_аналитики'!AB4470*'01_Вводные'!$B$14,0)</f>
        <v/>
      </c>
      <c r="AD4471">
        <f>IF('01_Вводные'!$B$234="Да",'19_Расчет_аналитики'!AC4470*'01_Вводные'!$B$14,0)</f>
        <v/>
      </c>
      <c r="AE4471">
        <f>IF('01_Вводные'!$B$234="Да",'19_Расчет_аналитики'!AD4470*'01_Вводные'!$B$14,0)</f>
        <v/>
      </c>
      <c r="AF4471">
        <f>IF('01_Вводные'!$B$234="Да",'19_Расчет_аналитики'!AE4470*'01_Вводные'!$B$14,0)</f>
        <v/>
      </c>
      <c r="AG4471">
        <f>IF('01_Вводные'!$B$234="Да",'19_Расчет_аналитики'!AF4470*'01_Вводные'!$B$14,0)</f>
        <v/>
      </c>
      <c r="AH4471">
        <f>IF('01_Вводные'!$B$234="Да",'19_Расчет_аналитики'!AG4470*'01_Вводные'!$B$14,0)</f>
        <v/>
      </c>
      <c r="AI4471">
        <f>IF('01_Вводные'!$B$234="Да",'19_Расчет_аналитики'!AH4470*'01_Вводные'!$B$14,0)</f>
        <v/>
      </c>
      <c r="AJ4471">
        <f>IF('01_Вводные'!$B$234="Да",'19_Расчет_аналитики'!AI4470*'01_Вводные'!$B$14,0)</f>
        <v/>
      </c>
      <c r="AK4471">
        <f>IF('01_Вводные'!$B$234="Да",'19_Расчет_аналитики'!AJ4470*'01_Вводные'!$B$14,0)</f>
        <v/>
      </c>
      <c r="AL4471">
        <f>IF('01_Вводные'!$B$234="Да",'19_Расчет_аналитики'!AK4470*'01_Вводные'!$B$14,0)</f>
        <v/>
      </c>
      <c r="AM4471">
        <f>IF('01_Вводные'!$B$234="Да",'19_Расчет_аналитики'!AL4470*'01_Вводные'!$B$14,0)</f>
        <v/>
      </c>
      <c r="AN4471">
        <f>IF('01_Вводные'!$B$234="Да",'19_Расчет_аналитики'!AM4470*'01_Вводные'!$B$14,0)</f>
        <v/>
      </c>
      <c r="AO4471">
        <f>IF('01_Вводные'!$B$234="Да",'19_Расчет_аналитики'!AN4470*'01_Вводные'!$B$14,0)</f>
        <v/>
      </c>
      <c r="AP4471">
        <f>IF('01_Вводные'!$B$234="Да",'19_Расчет_аналитики'!AO4470*'01_Вводные'!$B$14,0)</f>
        <v/>
      </c>
      <c r="AQ4471">
        <f>IF('01_Вводные'!$B$234="Да",'19_Расчет_аналитики'!AP4470*'01_Вводные'!$B$14,0)</f>
        <v/>
      </c>
      <c r="AR4471">
        <f>IF('01_Вводные'!$B$234="Да",'19_Расчет_аналитики'!AQ4470*'01_Вводные'!$B$14,0)</f>
        <v/>
      </c>
      <c r="AS4471">
        <f>IF('01_Вводные'!$B$234="Да",'19_Расчет_аналитики'!AR4470*'01_Вводные'!$B$14,0)</f>
        <v/>
      </c>
      <c r="AT4471">
        <f>IF('01_Вводные'!$B$234="Да",'19_Расчет_аналитики'!AS4470*'01_Вводные'!$B$14,0)</f>
        <v/>
      </c>
      <c r="AU4471">
        <f>IF('01_Вводные'!$B$234="Да",'19_Расчет_аналитики'!AT4470*'01_Вводные'!$B$14,0)</f>
        <v/>
      </c>
      <c r="AV4471">
        <f>IF('01_Вводные'!$B$234="Да",'19_Расчет_аналитики'!AU4470*'01_Вводные'!$B$14,0)</f>
        <v/>
      </c>
      <c r="AW4471">
        <f>IF('01_Вводные'!$B$234="Да",'19_Расчет_аналитики'!AV4470*'01_Вводные'!$B$14,0)</f>
        <v/>
      </c>
      <c r="AX4471">
        <f>IF('01_Вводные'!$B$234="Да",'19_Расчет_аналитики'!AW4470*'01_Вводные'!$B$14,0)</f>
        <v/>
      </c>
      <c r="AY4471">
        <f>IF('01_Вводные'!$B$234="Да",'19_Расчет_аналитики'!AX4470*'01_Вводные'!$B$14,0)</f>
        <v/>
      </c>
      <c r="AZ4471">
        <f>IF('01_Вводные'!$B$234="Да",'19_Расчет_аналитики'!AY4470*'01_Вводные'!$B$14,0)</f>
        <v/>
      </c>
      <c r="BA4471">
        <f>IF('01_Вводные'!$B$234="Да",'19_Расчет_аналитики'!AZ4470*'01_Вводные'!$B$14,0)</f>
        <v/>
      </c>
      <c r="BB4471">
        <f>IF('01_Вводные'!$B$234="Да",'19_Расчет_аналитики'!BA4470*'01_Вводные'!$B$14,0)</f>
        <v/>
      </c>
      <c r="BC4471">
        <f>IF('01_Вводные'!$B$234="Да",'19_Расчет_аналитики'!BB4470*'01_Вводные'!$B$14,0)</f>
        <v/>
      </c>
      <c r="BD4471">
        <f>IF('01_Вводные'!$B$234="Да",'19_Расчет_аналитики'!BC4470*'01_Вводные'!$B$14,0)</f>
        <v/>
      </c>
      <c r="BE4471">
        <f>IF('01_Вводные'!$B$234="Да",'19_Расчет_аналитики'!BD4470*'01_Вводные'!$B$14,0)</f>
        <v/>
      </c>
      <c r="BF4471">
        <f>IF('01_Вводные'!$B$234="Да",'19_Расчет_аналитики'!BE4470*'01_Вводные'!$B$14,0)</f>
        <v/>
      </c>
      <c r="BG4471">
        <f>IF('01_Вводные'!$B$234="Да",'19_Расчет_аналитики'!BF4470*'01_Вводные'!$B$14,0)</f>
        <v/>
      </c>
      <c r="BH4471">
        <f>IF('01_Вводные'!$B$234="Да",'19_Расчет_аналитики'!BG4470*'01_Вводные'!$B$14,0)</f>
        <v/>
      </c>
      <c r="BI4471">
        <f>IF('01_Вводные'!$B$234="Да",'19_Расчет_аналитики'!BH4470*'01_Вводные'!$B$14,0)</f>
        <v/>
      </c>
      <c r="BJ4471">
        <f>IF('01_Вводные'!$B$234="Да",'19_Расчет_аналитики'!BI4470*'01_Вводные'!$B$14,0)</f>
        <v/>
      </c>
      <c r="BK4471">
        <f>IF('01_Вводные'!$B$234="Да",'19_Расчет_аналитики'!BJ4470*'01_Вводные'!$B$14,0)</f>
        <v/>
      </c>
      <c r="BL4471">
        <f>IF('01_Вводные'!$B$234="Да",'19_Расчет_аналитики'!BK4470*'01_Вводные'!$B$14,0)</f>
        <v/>
      </c>
      <c r="BM4471">
        <f>IF('01_Вводные'!$B$234="Да",'19_Расчет_аналитики'!BL4470*'01_Вводные'!$B$14,0)</f>
        <v/>
      </c>
      <c r="BN4471">
        <f>IF('01_Вводные'!$B$234="Да",'19_Расчет_аналитики'!BM4470*'01_Вводные'!$B$14,0)</f>
        <v/>
      </c>
      <c r="BO4471">
        <f>IF('01_Вводные'!$B$234="Да",'19_Расчет_аналитики'!BN4470*'01_Вводные'!$B$14,0)</f>
        <v/>
      </c>
    </row>
    <row r="4472">
      <c r="B4472">
        <f>'06_Сеть_и_дети'!B69</f>
        <v/>
      </c>
      <c r="C4472">
        <f>'06_Сеть_и_дети'!C69</f>
        <v/>
      </c>
      <c r="D4472">
        <f>'06_Сеть_и_дети'!D69</f>
        <v/>
      </c>
      <c r="E4472">
        <f>'06_Сеть_и_дети'!E69</f>
        <v/>
      </c>
      <c r="F4472">
        <f>'06_Сеть_и_дети'!F69</f>
        <v/>
      </c>
      <c r="G4472">
        <f>'06_Сеть_и_дети'!G69</f>
        <v/>
      </c>
      <c r="H4472">
        <f>'06_Сеть_и_дети'!H69</f>
        <v/>
      </c>
      <c r="I4472">
        <f>'06_Сеть_и_дети'!I69</f>
        <v/>
      </c>
      <c r="J4472">
        <f>'06_Сеть_и_дети'!J69</f>
        <v/>
      </c>
      <c r="K4472">
        <f>'06_Сеть_и_дети'!K69</f>
        <v/>
      </c>
      <c r="L4472">
        <f>'06_Сеть_и_дети'!L69</f>
        <v/>
      </c>
      <c r="M4472">
        <f>'06_Сеть_и_дети'!M69</f>
        <v/>
      </c>
      <c r="N4472">
        <f>'06_Сеть_и_дети'!N69</f>
        <v/>
      </c>
      <c r="O4472">
        <f>'06_Сеть_и_дети'!O69</f>
        <v/>
      </c>
      <c r="P4472">
        <f>'06_Сеть_и_дети'!P69</f>
        <v/>
      </c>
      <c r="Q4472">
        <f>'06_Сеть_и_дети'!Q69</f>
        <v/>
      </c>
      <c r="R4472">
        <f>IF('01_Вводные'!$B$234="Да",'19_Расчет_аналитики'!Q4471*'01_Вводные'!$B$14,0)</f>
        <v/>
      </c>
      <c r="S4472">
        <f>IF('01_Вводные'!$B$234="Да",'19_Расчет_аналитики'!R4471*'01_Вводные'!$B$14,0)</f>
        <v/>
      </c>
      <c r="T4472">
        <f>IF('01_Вводные'!$B$234="Да",'19_Расчет_аналитики'!S4471*'01_Вводные'!$B$14,0)</f>
        <v/>
      </c>
      <c r="U4472">
        <f>IF('01_Вводные'!$B$234="Да",'19_Расчет_аналитики'!T4471*'01_Вводные'!$B$14,0)</f>
        <v/>
      </c>
      <c r="V4472">
        <f>IF('01_Вводные'!$B$234="Да",'19_Расчет_аналитики'!U4471*'01_Вводные'!$B$14,0)</f>
        <v/>
      </c>
      <c r="W4472">
        <f>IF('01_Вводные'!$B$234="Да",'19_Расчет_аналитики'!V4471*'01_Вводные'!$B$14,0)</f>
        <v/>
      </c>
      <c r="X4472">
        <f>IF('01_Вводные'!$B$234="Да",'19_Расчет_аналитики'!W4471*'01_Вводные'!$B$14,0)</f>
        <v/>
      </c>
      <c r="Y4472">
        <f>IF('01_Вводные'!$B$234="Да",'19_Расчет_аналитики'!X4471*'01_Вводные'!$B$14,0)</f>
        <v/>
      </c>
      <c r="Z4472">
        <f>IF('01_Вводные'!$B$234="Да",'19_Расчет_аналитики'!Y4471*'01_Вводные'!$B$14,0)</f>
        <v/>
      </c>
      <c r="AA4472">
        <f>IF('01_Вводные'!$B$234="Да",'19_Расчет_аналитики'!Z4471*'01_Вводные'!$B$14,0)</f>
        <v/>
      </c>
      <c r="AB4472">
        <f>IF('01_Вводные'!$B$234="Да",'19_Расчет_аналитики'!AA4471*'01_Вводные'!$B$14,0)</f>
        <v/>
      </c>
      <c r="AC4472">
        <f>IF('01_Вводные'!$B$234="Да",'19_Расчет_аналитики'!AB4471*'01_Вводные'!$B$14,0)</f>
        <v/>
      </c>
      <c r="AD4472">
        <f>IF('01_Вводные'!$B$234="Да",'19_Расчет_аналитики'!AC4471*'01_Вводные'!$B$14,0)</f>
        <v/>
      </c>
      <c r="AE4472">
        <f>IF('01_Вводные'!$B$234="Да",'19_Расчет_аналитики'!AD4471*'01_Вводные'!$B$14,0)</f>
        <v/>
      </c>
      <c r="AF4472">
        <f>IF('01_Вводные'!$B$234="Да",'19_Расчет_аналитики'!AE4471*'01_Вводные'!$B$14,0)</f>
        <v/>
      </c>
      <c r="AG4472">
        <f>IF('01_Вводные'!$B$234="Да",'19_Расчет_аналитики'!AF4471*'01_Вводные'!$B$14,0)</f>
        <v/>
      </c>
      <c r="AH4472">
        <f>IF('01_Вводные'!$B$234="Да",'19_Расчет_аналитики'!AG4471*'01_Вводные'!$B$14,0)</f>
        <v/>
      </c>
      <c r="AI4472">
        <f>IF('01_Вводные'!$B$234="Да",'19_Расчет_аналитики'!AH4471*'01_Вводные'!$B$14,0)</f>
        <v/>
      </c>
      <c r="AJ4472">
        <f>IF('01_Вводные'!$B$234="Да",'19_Расчет_аналитики'!AI4471*'01_Вводные'!$B$14,0)</f>
        <v/>
      </c>
      <c r="AK4472">
        <f>IF('01_Вводные'!$B$234="Да",'19_Расчет_аналитики'!AJ4471*'01_Вводные'!$B$14,0)</f>
        <v/>
      </c>
      <c r="AL4472">
        <f>IF('01_Вводные'!$B$234="Да",'19_Расчет_аналитики'!AK4471*'01_Вводные'!$B$14,0)</f>
        <v/>
      </c>
      <c r="AM4472">
        <f>IF('01_Вводные'!$B$234="Да",'19_Расчет_аналитики'!AL4471*'01_Вводные'!$B$14,0)</f>
        <v/>
      </c>
      <c r="AN4472">
        <f>IF('01_Вводные'!$B$234="Да",'19_Расчет_аналитики'!AM4471*'01_Вводные'!$B$14,0)</f>
        <v/>
      </c>
      <c r="AO4472">
        <f>IF('01_Вводные'!$B$234="Да",'19_Расчет_аналитики'!AN4471*'01_Вводные'!$B$14,0)</f>
        <v/>
      </c>
      <c r="AP4472">
        <f>IF('01_Вводные'!$B$234="Да",'19_Расчет_аналитики'!AO4471*'01_Вводные'!$B$14,0)</f>
        <v/>
      </c>
      <c r="AQ4472">
        <f>IF('01_Вводные'!$B$234="Да",'19_Расчет_аналитики'!AP4471*'01_Вводные'!$B$14,0)</f>
        <v/>
      </c>
      <c r="AR4472">
        <f>IF('01_Вводные'!$B$234="Да",'19_Расчет_аналитики'!AQ4471*'01_Вводные'!$B$14,0)</f>
        <v/>
      </c>
      <c r="AS4472">
        <f>IF('01_Вводные'!$B$234="Да",'19_Расчет_аналитики'!AR4471*'01_Вводные'!$B$14,0)</f>
        <v/>
      </c>
      <c r="AT4472">
        <f>IF('01_Вводные'!$B$234="Да",'19_Расчет_аналитики'!AS4471*'01_Вводные'!$B$14,0)</f>
        <v/>
      </c>
      <c r="AU4472">
        <f>IF('01_Вводные'!$B$234="Да",'19_Расчет_аналитики'!AT4471*'01_Вводные'!$B$14,0)</f>
        <v/>
      </c>
      <c r="AV4472">
        <f>IF('01_Вводные'!$B$234="Да",'19_Расчет_аналитики'!AU4471*'01_Вводные'!$B$14,0)</f>
        <v/>
      </c>
      <c r="AW4472">
        <f>IF('01_Вводные'!$B$234="Да",'19_Расчет_аналитики'!AV4471*'01_Вводные'!$B$14,0)</f>
        <v/>
      </c>
      <c r="AX4472">
        <f>IF('01_Вводные'!$B$234="Да",'19_Расчет_аналитики'!AW4471*'01_Вводные'!$B$14,0)</f>
        <v/>
      </c>
      <c r="AY4472">
        <f>IF('01_Вводные'!$B$234="Да",'19_Расчет_аналитики'!AX4471*'01_Вводные'!$B$14,0)</f>
        <v/>
      </c>
      <c r="AZ4472">
        <f>IF('01_Вводные'!$B$234="Да",'19_Расчет_аналитики'!AY4471*'01_Вводные'!$B$14,0)</f>
        <v/>
      </c>
      <c r="BA4472">
        <f>IF('01_Вводные'!$B$234="Да",'19_Расчет_аналитики'!AZ4471*'01_Вводные'!$B$14,0)</f>
        <v/>
      </c>
      <c r="BB4472">
        <f>IF('01_Вводные'!$B$234="Да",'19_Расчет_аналитики'!BA4471*'01_Вводные'!$B$14,0)</f>
        <v/>
      </c>
      <c r="BC4472">
        <f>IF('01_Вводные'!$B$234="Да",'19_Расчет_аналитики'!BB4471*'01_Вводные'!$B$14,0)</f>
        <v/>
      </c>
      <c r="BD4472">
        <f>IF('01_Вводные'!$B$234="Да",'19_Расчет_аналитики'!BC4471*'01_Вводные'!$B$14,0)</f>
        <v/>
      </c>
      <c r="BE4472">
        <f>IF('01_Вводные'!$B$234="Да",'19_Расчет_аналитики'!BD4471*'01_Вводные'!$B$14,0)</f>
        <v/>
      </c>
      <c r="BF4472">
        <f>IF('01_Вводные'!$B$234="Да",'19_Расчет_аналитики'!BE4471*'01_Вводные'!$B$14,0)</f>
        <v/>
      </c>
      <c r="BG4472">
        <f>IF('01_Вводные'!$B$234="Да",'19_Расчет_аналитики'!BF4471*'01_Вводные'!$B$14,0)</f>
        <v/>
      </c>
      <c r="BH4472">
        <f>IF('01_Вводные'!$B$234="Да",'19_Расчет_аналитики'!BG4471*'01_Вводные'!$B$14,0)</f>
        <v/>
      </c>
      <c r="BI4472">
        <f>IF('01_Вводные'!$B$234="Да",'19_Расчет_аналитики'!BH4471*'01_Вводные'!$B$14,0)</f>
        <v/>
      </c>
      <c r="BJ4472">
        <f>IF('01_Вводные'!$B$234="Да",'19_Расчет_аналитики'!BI4471*'01_Вводные'!$B$14,0)</f>
        <v/>
      </c>
      <c r="BK4472">
        <f>IF('01_Вводные'!$B$234="Да",'19_Расчет_аналитики'!BJ4471*'01_Вводные'!$B$14,0)</f>
        <v/>
      </c>
      <c r="BL4472">
        <f>IF('01_Вводные'!$B$234="Да",'19_Расчет_аналитики'!BK4471*'01_Вводные'!$B$14,0)</f>
        <v/>
      </c>
      <c r="BM4472">
        <f>IF('01_Вводные'!$B$234="Да",'19_Расчет_аналитики'!BL4471*'01_Вводные'!$B$14,0)</f>
        <v/>
      </c>
      <c r="BN4472">
        <f>IF('01_Вводные'!$B$234="Да",'19_Расчет_аналитики'!BM4471*'01_Вводные'!$B$14,0)</f>
        <v/>
      </c>
      <c r="BO4472">
        <f>IF('01_Вводные'!$B$234="Да",'19_Расчет_аналитики'!BN4471*'01_Вводные'!$B$14,0)</f>
        <v/>
      </c>
    </row>
    <row r="4473">
      <c r="B4473">
        <f>'06_Сеть_и_дети'!B70</f>
        <v/>
      </c>
      <c r="C4473">
        <f>'06_Сеть_и_дети'!C70</f>
        <v/>
      </c>
      <c r="D4473">
        <f>'06_Сеть_и_дети'!D70</f>
        <v/>
      </c>
      <c r="E4473">
        <f>'06_Сеть_и_дети'!E70</f>
        <v/>
      </c>
      <c r="F4473">
        <f>'06_Сеть_и_дети'!F70</f>
        <v/>
      </c>
      <c r="G4473">
        <f>'06_Сеть_и_дети'!G70</f>
        <v/>
      </c>
      <c r="H4473">
        <f>'06_Сеть_и_дети'!H70</f>
        <v/>
      </c>
      <c r="I4473">
        <f>'06_Сеть_и_дети'!I70</f>
        <v/>
      </c>
      <c r="J4473">
        <f>'06_Сеть_и_дети'!J70</f>
        <v/>
      </c>
      <c r="K4473">
        <f>'06_Сеть_и_дети'!K70</f>
        <v/>
      </c>
      <c r="L4473">
        <f>'06_Сеть_и_дети'!L70</f>
        <v/>
      </c>
      <c r="M4473">
        <f>'06_Сеть_и_дети'!M70</f>
        <v/>
      </c>
      <c r="N4473">
        <f>'06_Сеть_и_дети'!N70</f>
        <v/>
      </c>
      <c r="O4473">
        <f>'06_Сеть_и_дети'!O70</f>
        <v/>
      </c>
      <c r="P4473">
        <f>'06_Сеть_и_дети'!P70</f>
        <v/>
      </c>
      <c r="Q4473">
        <f>'06_Сеть_и_дети'!Q70</f>
        <v/>
      </c>
      <c r="R4473">
        <f>'06_Сеть_и_дети'!R70</f>
        <v/>
      </c>
      <c r="S4473">
        <f>IF('01_Вводные'!$B$234="Да",'19_Расчет_аналитики'!R4472*'01_Вводные'!$B$14,0)</f>
        <v/>
      </c>
      <c r="T4473">
        <f>IF('01_Вводные'!$B$234="Да",'19_Расчет_аналитики'!S4472*'01_Вводные'!$B$14,0)</f>
        <v/>
      </c>
      <c r="U4473">
        <f>IF('01_Вводные'!$B$234="Да",'19_Расчет_аналитики'!T4472*'01_Вводные'!$B$14,0)</f>
        <v/>
      </c>
      <c r="V4473">
        <f>IF('01_Вводные'!$B$234="Да",'19_Расчет_аналитики'!U4472*'01_Вводные'!$B$14,0)</f>
        <v/>
      </c>
      <c r="W4473">
        <f>IF('01_Вводные'!$B$234="Да",'19_Расчет_аналитики'!V4472*'01_Вводные'!$B$14,0)</f>
        <v/>
      </c>
      <c r="X4473">
        <f>IF('01_Вводные'!$B$234="Да",'19_Расчет_аналитики'!W4472*'01_Вводные'!$B$14,0)</f>
        <v/>
      </c>
      <c r="Y4473">
        <f>IF('01_Вводные'!$B$234="Да",'19_Расчет_аналитики'!X4472*'01_Вводные'!$B$14,0)</f>
        <v/>
      </c>
      <c r="Z4473">
        <f>IF('01_Вводные'!$B$234="Да",'19_Расчет_аналитики'!Y4472*'01_Вводные'!$B$14,0)</f>
        <v/>
      </c>
      <c r="AA4473">
        <f>IF('01_Вводные'!$B$234="Да",'19_Расчет_аналитики'!Z4472*'01_Вводные'!$B$14,0)</f>
        <v/>
      </c>
      <c r="AB4473">
        <f>IF('01_Вводные'!$B$234="Да",'19_Расчет_аналитики'!AA4472*'01_Вводные'!$B$14,0)</f>
        <v/>
      </c>
      <c r="AC4473">
        <f>IF('01_Вводные'!$B$234="Да",'19_Расчет_аналитики'!AB4472*'01_Вводные'!$B$14,0)</f>
        <v/>
      </c>
      <c r="AD4473">
        <f>IF('01_Вводные'!$B$234="Да",'19_Расчет_аналитики'!AC4472*'01_Вводные'!$B$14,0)</f>
        <v/>
      </c>
      <c r="AE4473">
        <f>IF('01_Вводные'!$B$234="Да",'19_Расчет_аналитики'!AD4472*'01_Вводные'!$B$14,0)</f>
        <v/>
      </c>
      <c r="AF4473">
        <f>IF('01_Вводные'!$B$234="Да",'19_Расчет_аналитики'!AE4472*'01_Вводные'!$B$14,0)</f>
        <v/>
      </c>
      <c r="AG4473">
        <f>IF('01_Вводные'!$B$234="Да",'19_Расчет_аналитики'!AF4472*'01_Вводные'!$B$14,0)</f>
        <v/>
      </c>
      <c r="AH4473">
        <f>IF('01_Вводные'!$B$234="Да",'19_Расчет_аналитики'!AG4472*'01_Вводные'!$B$14,0)</f>
        <v/>
      </c>
      <c r="AI4473">
        <f>IF('01_Вводные'!$B$234="Да",'19_Расчет_аналитики'!AH4472*'01_Вводные'!$B$14,0)</f>
        <v/>
      </c>
      <c r="AJ4473">
        <f>IF('01_Вводные'!$B$234="Да",'19_Расчет_аналитики'!AI4472*'01_Вводные'!$B$14,0)</f>
        <v/>
      </c>
      <c r="AK4473">
        <f>IF('01_Вводные'!$B$234="Да",'19_Расчет_аналитики'!AJ4472*'01_Вводные'!$B$14,0)</f>
        <v/>
      </c>
      <c r="AL4473">
        <f>IF('01_Вводные'!$B$234="Да",'19_Расчет_аналитики'!AK4472*'01_Вводные'!$B$14,0)</f>
        <v/>
      </c>
      <c r="AM4473">
        <f>IF('01_Вводные'!$B$234="Да",'19_Расчет_аналитики'!AL4472*'01_Вводные'!$B$14,0)</f>
        <v/>
      </c>
      <c r="AN4473">
        <f>IF('01_Вводные'!$B$234="Да",'19_Расчет_аналитики'!AM4472*'01_Вводные'!$B$14,0)</f>
        <v/>
      </c>
      <c r="AO4473">
        <f>IF('01_Вводные'!$B$234="Да",'19_Расчет_аналитики'!AN4472*'01_Вводные'!$B$14,0)</f>
        <v/>
      </c>
      <c r="AP4473">
        <f>IF('01_Вводные'!$B$234="Да",'19_Расчет_аналитики'!AO4472*'01_Вводные'!$B$14,0)</f>
        <v/>
      </c>
      <c r="AQ4473">
        <f>IF('01_Вводные'!$B$234="Да",'19_Расчет_аналитики'!AP4472*'01_Вводные'!$B$14,0)</f>
        <v/>
      </c>
      <c r="AR4473">
        <f>IF('01_Вводные'!$B$234="Да",'19_Расчет_аналитики'!AQ4472*'01_Вводные'!$B$14,0)</f>
        <v/>
      </c>
      <c r="AS4473">
        <f>IF('01_Вводные'!$B$234="Да",'19_Расчет_аналитики'!AR4472*'01_Вводные'!$B$14,0)</f>
        <v/>
      </c>
      <c r="AT4473">
        <f>IF('01_Вводные'!$B$234="Да",'19_Расчет_аналитики'!AS4472*'01_Вводные'!$B$14,0)</f>
        <v/>
      </c>
      <c r="AU4473">
        <f>IF('01_Вводные'!$B$234="Да",'19_Расчет_аналитики'!AT4472*'01_Вводные'!$B$14,0)</f>
        <v/>
      </c>
      <c r="AV4473">
        <f>IF('01_Вводные'!$B$234="Да",'19_Расчет_аналитики'!AU4472*'01_Вводные'!$B$14,0)</f>
        <v/>
      </c>
      <c r="AW4473">
        <f>IF('01_Вводные'!$B$234="Да",'19_Расчет_аналитики'!AV4472*'01_Вводные'!$B$14,0)</f>
        <v/>
      </c>
      <c r="AX4473">
        <f>IF('01_Вводные'!$B$234="Да",'19_Расчет_аналитики'!AW4472*'01_Вводные'!$B$14,0)</f>
        <v/>
      </c>
      <c r="AY4473">
        <f>IF('01_Вводные'!$B$234="Да",'19_Расчет_аналитики'!AX4472*'01_Вводные'!$B$14,0)</f>
        <v/>
      </c>
      <c r="AZ4473">
        <f>IF('01_Вводные'!$B$234="Да",'19_Расчет_аналитики'!AY4472*'01_Вводные'!$B$14,0)</f>
        <v/>
      </c>
      <c r="BA4473">
        <f>IF('01_Вводные'!$B$234="Да",'19_Расчет_аналитики'!AZ4472*'01_Вводные'!$B$14,0)</f>
        <v/>
      </c>
      <c r="BB4473">
        <f>IF('01_Вводные'!$B$234="Да",'19_Расчет_аналитики'!BA4472*'01_Вводные'!$B$14,0)</f>
        <v/>
      </c>
      <c r="BC4473">
        <f>IF('01_Вводные'!$B$234="Да",'19_Расчет_аналитики'!BB4472*'01_Вводные'!$B$14,0)</f>
        <v/>
      </c>
      <c r="BD4473">
        <f>IF('01_Вводные'!$B$234="Да",'19_Расчет_аналитики'!BC4472*'01_Вводные'!$B$14,0)</f>
        <v/>
      </c>
      <c r="BE4473">
        <f>IF('01_Вводные'!$B$234="Да",'19_Расчет_аналитики'!BD4472*'01_Вводные'!$B$14,0)</f>
        <v/>
      </c>
      <c r="BF4473">
        <f>IF('01_Вводные'!$B$234="Да",'19_Расчет_аналитики'!BE4472*'01_Вводные'!$B$14,0)</f>
        <v/>
      </c>
      <c r="BG4473">
        <f>IF('01_Вводные'!$B$234="Да",'19_Расчет_аналитики'!BF4472*'01_Вводные'!$B$14,0)</f>
        <v/>
      </c>
      <c r="BH4473">
        <f>IF('01_Вводные'!$B$234="Да",'19_Расчет_аналитики'!BG4472*'01_Вводные'!$B$14,0)</f>
        <v/>
      </c>
      <c r="BI4473">
        <f>IF('01_Вводные'!$B$234="Да",'19_Расчет_аналитики'!BH4472*'01_Вводные'!$B$14,0)</f>
        <v/>
      </c>
      <c r="BJ4473">
        <f>IF('01_Вводные'!$B$234="Да",'19_Расчет_аналитики'!BI4472*'01_Вводные'!$B$14,0)</f>
        <v/>
      </c>
      <c r="BK4473">
        <f>IF('01_Вводные'!$B$234="Да",'19_Расчет_аналитики'!BJ4472*'01_Вводные'!$B$14,0)</f>
        <v/>
      </c>
      <c r="BL4473">
        <f>IF('01_Вводные'!$B$234="Да",'19_Расчет_аналитики'!BK4472*'01_Вводные'!$B$14,0)</f>
        <v/>
      </c>
      <c r="BM4473">
        <f>IF('01_Вводные'!$B$234="Да",'19_Расчет_аналитики'!BL4472*'01_Вводные'!$B$14,0)</f>
        <v/>
      </c>
      <c r="BN4473">
        <f>IF('01_Вводные'!$B$234="Да",'19_Расчет_аналитики'!BM4472*'01_Вводные'!$B$14,0)</f>
        <v/>
      </c>
      <c r="BO4473">
        <f>IF('01_Вводные'!$B$234="Да",'19_Расчет_аналитики'!BN4472*'01_Вводные'!$B$14,0)</f>
        <v/>
      </c>
    </row>
    <row r="4474">
      <c r="B4474">
        <f>'06_Сеть_и_дети'!B71</f>
        <v/>
      </c>
      <c r="C4474">
        <f>'06_Сеть_и_дети'!C71</f>
        <v/>
      </c>
      <c r="D4474">
        <f>'06_Сеть_и_дети'!D71</f>
        <v/>
      </c>
      <c r="E4474">
        <f>'06_Сеть_и_дети'!E71</f>
        <v/>
      </c>
      <c r="F4474">
        <f>'06_Сеть_и_дети'!F71</f>
        <v/>
      </c>
      <c r="G4474">
        <f>'06_Сеть_и_дети'!G71</f>
        <v/>
      </c>
      <c r="H4474">
        <f>'06_Сеть_и_дети'!H71</f>
        <v/>
      </c>
      <c r="I4474">
        <f>'06_Сеть_и_дети'!I71</f>
        <v/>
      </c>
      <c r="J4474">
        <f>'06_Сеть_и_дети'!J71</f>
        <v/>
      </c>
      <c r="K4474">
        <f>'06_Сеть_и_дети'!K71</f>
        <v/>
      </c>
      <c r="L4474">
        <f>'06_Сеть_и_дети'!L71</f>
        <v/>
      </c>
      <c r="M4474">
        <f>'06_Сеть_и_дети'!M71</f>
        <v/>
      </c>
      <c r="N4474">
        <f>'06_Сеть_и_дети'!N71</f>
        <v/>
      </c>
      <c r="O4474">
        <f>'06_Сеть_и_дети'!O71</f>
        <v/>
      </c>
      <c r="P4474">
        <f>'06_Сеть_и_дети'!P71</f>
        <v/>
      </c>
      <c r="Q4474">
        <f>'06_Сеть_и_дети'!Q71</f>
        <v/>
      </c>
      <c r="R4474">
        <f>'06_Сеть_и_дети'!R71</f>
        <v/>
      </c>
      <c r="S4474">
        <f>'06_Сеть_и_дети'!S71</f>
        <v/>
      </c>
      <c r="T4474">
        <f>IF('01_Вводные'!$B$234="Да",'19_Расчет_аналитики'!S4473*'01_Вводные'!$B$14,0)</f>
        <v/>
      </c>
      <c r="U4474">
        <f>IF('01_Вводные'!$B$234="Да",'19_Расчет_аналитики'!T4473*'01_Вводные'!$B$14,0)</f>
        <v/>
      </c>
      <c r="V4474">
        <f>IF('01_Вводные'!$B$234="Да",'19_Расчет_аналитики'!U4473*'01_Вводные'!$B$14,0)</f>
        <v/>
      </c>
      <c r="W4474">
        <f>IF('01_Вводные'!$B$234="Да",'19_Расчет_аналитики'!V4473*'01_Вводные'!$B$14,0)</f>
        <v/>
      </c>
      <c r="X4474">
        <f>IF('01_Вводные'!$B$234="Да",'19_Расчет_аналитики'!W4473*'01_Вводные'!$B$14,0)</f>
        <v/>
      </c>
      <c r="Y4474">
        <f>IF('01_Вводные'!$B$234="Да",'19_Расчет_аналитики'!X4473*'01_Вводные'!$B$14,0)</f>
        <v/>
      </c>
      <c r="Z4474">
        <f>IF('01_Вводные'!$B$234="Да",'19_Расчет_аналитики'!Y4473*'01_Вводные'!$B$14,0)</f>
        <v/>
      </c>
      <c r="AA4474">
        <f>IF('01_Вводные'!$B$234="Да",'19_Расчет_аналитики'!Z4473*'01_Вводные'!$B$14,0)</f>
        <v/>
      </c>
      <c r="AB4474">
        <f>IF('01_Вводные'!$B$234="Да",'19_Расчет_аналитики'!AA4473*'01_Вводные'!$B$14,0)</f>
        <v/>
      </c>
      <c r="AC4474">
        <f>IF('01_Вводные'!$B$234="Да",'19_Расчет_аналитики'!AB4473*'01_Вводные'!$B$14,0)</f>
        <v/>
      </c>
      <c r="AD4474">
        <f>IF('01_Вводные'!$B$234="Да",'19_Расчет_аналитики'!AC4473*'01_Вводные'!$B$14,0)</f>
        <v/>
      </c>
      <c r="AE4474">
        <f>IF('01_Вводные'!$B$234="Да",'19_Расчет_аналитики'!AD4473*'01_Вводные'!$B$14,0)</f>
        <v/>
      </c>
      <c r="AF4474">
        <f>IF('01_Вводные'!$B$234="Да",'19_Расчет_аналитики'!AE4473*'01_Вводные'!$B$14,0)</f>
        <v/>
      </c>
      <c r="AG4474">
        <f>IF('01_Вводные'!$B$234="Да",'19_Расчет_аналитики'!AF4473*'01_Вводные'!$B$14,0)</f>
        <v/>
      </c>
      <c r="AH4474">
        <f>IF('01_Вводные'!$B$234="Да",'19_Расчет_аналитики'!AG4473*'01_Вводные'!$B$14,0)</f>
        <v/>
      </c>
      <c r="AI4474">
        <f>IF('01_Вводные'!$B$234="Да",'19_Расчет_аналитики'!AH4473*'01_Вводные'!$B$14,0)</f>
        <v/>
      </c>
      <c r="AJ4474">
        <f>IF('01_Вводные'!$B$234="Да",'19_Расчет_аналитики'!AI4473*'01_Вводные'!$B$14,0)</f>
        <v/>
      </c>
      <c r="AK4474">
        <f>IF('01_Вводные'!$B$234="Да",'19_Расчет_аналитики'!AJ4473*'01_Вводные'!$B$14,0)</f>
        <v/>
      </c>
      <c r="AL4474">
        <f>IF('01_Вводные'!$B$234="Да",'19_Расчет_аналитики'!AK4473*'01_Вводные'!$B$14,0)</f>
        <v/>
      </c>
      <c r="AM4474">
        <f>IF('01_Вводные'!$B$234="Да",'19_Расчет_аналитики'!AL4473*'01_Вводные'!$B$14,0)</f>
        <v/>
      </c>
      <c r="AN4474">
        <f>IF('01_Вводные'!$B$234="Да",'19_Расчет_аналитики'!AM4473*'01_Вводные'!$B$14,0)</f>
        <v/>
      </c>
      <c r="AO4474">
        <f>IF('01_Вводные'!$B$234="Да",'19_Расчет_аналитики'!AN4473*'01_Вводные'!$B$14,0)</f>
        <v/>
      </c>
      <c r="AP4474">
        <f>IF('01_Вводные'!$B$234="Да",'19_Расчет_аналитики'!AO4473*'01_Вводные'!$B$14,0)</f>
        <v/>
      </c>
      <c r="AQ4474">
        <f>IF('01_Вводные'!$B$234="Да",'19_Расчет_аналитики'!AP4473*'01_Вводные'!$B$14,0)</f>
        <v/>
      </c>
      <c r="AR4474">
        <f>IF('01_Вводные'!$B$234="Да",'19_Расчет_аналитики'!AQ4473*'01_Вводные'!$B$14,0)</f>
        <v/>
      </c>
      <c r="AS4474">
        <f>IF('01_Вводные'!$B$234="Да",'19_Расчет_аналитики'!AR4473*'01_Вводные'!$B$14,0)</f>
        <v/>
      </c>
      <c r="AT4474">
        <f>IF('01_Вводные'!$B$234="Да",'19_Расчет_аналитики'!AS4473*'01_Вводные'!$B$14,0)</f>
        <v/>
      </c>
      <c r="AU4474">
        <f>IF('01_Вводные'!$B$234="Да",'19_Расчет_аналитики'!AT4473*'01_Вводные'!$B$14,0)</f>
        <v/>
      </c>
      <c r="AV4474">
        <f>IF('01_Вводные'!$B$234="Да",'19_Расчет_аналитики'!AU4473*'01_Вводные'!$B$14,0)</f>
        <v/>
      </c>
      <c r="AW4474">
        <f>IF('01_Вводные'!$B$234="Да",'19_Расчет_аналитики'!AV4473*'01_Вводные'!$B$14,0)</f>
        <v/>
      </c>
      <c r="AX4474">
        <f>IF('01_Вводные'!$B$234="Да",'19_Расчет_аналитики'!AW4473*'01_Вводные'!$B$14,0)</f>
        <v/>
      </c>
      <c r="AY4474">
        <f>IF('01_Вводные'!$B$234="Да",'19_Расчет_аналитики'!AX4473*'01_Вводные'!$B$14,0)</f>
        <v/>
      </c>
      <c r="AZ4474">
        <f>IF('01_Вводные'!$B$234="Да",'19_Расчет_аналитики'!AY4473*'01_Вводные'!$B$14,0)</f>
        <v/>
      </c>
      <c r="BA4474">
        <f>IF('01_Вводные'!$B$234="Да",'19_Расчет_аналитики'!AZ4473*'01_Вводные'!$B$14,0)</f>
        <v/>
      </c>
      <c r="BB4474">
        <f>IF('01_Вводные'!$B$234="Да",'19_Расчет_аналитики'!BA4473*'01_Вводные'!$B$14,0)</f>
        <v/>
      </c>
      <c r="BC4474">
        <f>IF('01_Вводные'!$B$234="Да",'19_Расчет_аналитики'!BB4473*'01_Вводные'!$B$14,0)</f>
        <v/>
      </c>
      <c r="BD4474">
        <f>IF('01_Вводные'!$B$234="Да",'19_Расчет_аналитики'!BC4473*'01_Вводные'!$B$14,0)</f>
        <v/>
      </c>
      <c r="BE4474">
        <f>IF('01_Вводные'!$B$234="Да",'19_Расчет_аналитики'!BD4473*'01_Вводные'!$B$14,0)</f>
        <v/>
      </c>
      <c r="BF4474">
        <f>IF('01_Вводные'!$B$234="Да",'19_Расчет_аналитики'!BE4473*'01_Вводные'!$B$14,0)</f>
        <v/>
      </c>
      <c r="BG4474">
        <f>IF('01_Вводные'!$B$234="Да",'19_Расчет_аналитики'!BF4473*'01_Вводные'!$B$14,0)</f>
        <v/>
      </c>
      <c r="BH4474">
        <f>IF('01_Вводные'!$B$234="Да",'19_Расчет_аналитики'!BG4473*'01_Вводные'!$B$14,0)</f>
        <v/>
      </c>
      <c r="BI4474">
        <f>IF('01_Вводные'!$B$234="Да",'19_Расчет_аналитики'!BH4473*'01_Вводные'!$B$14,0)</f>
        <v/>
      </c>
      <c r="BJ4474">
        <f>IF('01_Вводные'!$B$234="Да",'19_Расчет_аналитики'!BI4473*'01_Вводные'!$B$14,0)</f>
        <v/>
      </c>
      <c r="BK4474">
        <f>IF('01_Вводные'!$B$234="Да",'19_Расчет_аналитики'!BJ4473*'01_Вводные'!$B$14,0)</f>
        <v/>
      </c>
      <c r="BL4474">
        <f>IF('01_Вводные'!$B$234="Да",'19_Расчет_аналитики'!BK4473*'01_Вводные'!$B$14,0)</f>
        <v/>
      </c>
      <c r="BM4474">
        <f>IF('01_Вводные'!$B$234="Да",'19_Расчет_аналитики'!BL4473*'01_Вводные'!$B$14,0)</f>
        <v/>
      </c>
      <c r="BN4474">
        <f>IF('01_Вводные'!$B$234="Да",'19_Расчет_аналитики'!BM4473*'01_Вводные'!$B$14,0)</f>
        <v/>
      </c>
      <c r="BO4474">
        <f>IF('01_Вводные'!$B$234="Да",'19_Расчет_аналитики'!BN4473*'01_Вводные'!$B$14,0)</f>
        <v/>
      </c>
    </row>
    <row r="4475">
      <c r="B4475">
        <f>'06_Сеть_и_дети'!B72</f>
        <v/>
      </c>
      <c r="C4475">
        <f>'06_Сеть_и_дети'!C72</f>
        <v/>
      </c>
      <c r="D4475">
        <f>'06_Сеть_и_дети'!D72</f>
        <v/>
      </c>
      <c r="E4475">
        <f>'06_Сеть_и_дети'!E72</f>
        <v/>
      </c>
      <c r="F4475">
        <f>'06_Сеть_и_дети'!F72</f>
        <v/>
      </c>
      <c r="G4475">
        <f>'06_Сеть_и_дети'!G72</f>
        <v/>
      </c>
      <c r="H4475">
        <f>'06_Сеть_и_дети'!H72</f>
        <v/>
      </c>
      <c r="I4475">
        <f>'06_Сеть_и_дети'!I72</f>
        <v/>
      </c>
      <c r="J4475">
        <f>'06_Сеть_и_дети'!J72</f>
        <v/>
      </c>
      <c r="K4475">
        <f>'06_Сеть_и_дети'!K72</f>
        <v/>
      </c>
      <c r="L4475">
        <f>'06_Сеть_и_дети'!L72</f>
        <v/>
      </c>
      <c r="M4475">
        <f>'06_Сеть_и_дети'!M72</f>
        <v/>
      </c>
      <c r="N4475">
        <f>'06_Сеть_и_дети'!N72</f>
        <v/>
      </c>
      <c r="O4475">
        <f>'06_Сеть_и_дети'!O72</f>
        <v/>
      </c>
      <c r="P4475">
        <f>'06_Сеть_и_дети'!P72</f>
        <v/>
      </c>
      <c r="Q4475">
        <f>'06_Сеть_и_дети'!Q72</f>
        <v/>
      </c>
      <c r="R4475">
        <f>'06_Сеть_и_дети'!R72</f>
        <v/>
      </c>
      <c r="S4475">
        <f>'06_Сеть_и_дети'!S72</f>
        <v/>
      </c>
      <c r="T4475">
        <f>'06_Сеть_и_дети'!T72</f>
        <v/>
      </c>
      <c r="U4475">
        <f>IF('01_Вводные'!$B$234="Да",'19_Расчет_аналитики'!T4474*'01_Вводные'!$B$14,0)</f>
        <v/>
      </c>
      <c r="V4475">
        <f>IF('01_Вводные'!$B$234="Да",'19_Расчет_аналитики'!U4474*'01_Вводные'!$B$14,0)</f>
        <v/>
      </c>
      <c r="W4475">
        <f>IF('01_Вводные'!$B$234="Да",'19_Расчет_аналитики'!V4474*'01_Вводные'!$B$14,0)</f>
        <v/>
      </c>
      <c r="X4475">
        <f>IF('01_Вводные'!$B$234="Да",'19_Расчет_аналитики'!W4474*'01_Вводные'!$B$14,0)</f>
        <v/>
      </c>
      <c r="Y4475">
        <f>IF('01_Вводные'!$B$234="Да",'19_Расчет_аналитики'!X4474*'01_Вводные'!$B$14,0)</f>
        <v/>
      </c>
      <c r="Z4475">
        <f>IF('01_Вводные'!$B$234="Да",'19_Расчет_аналитики'!Y4474*'01_Вводные'!$B$14,0)</f>
        <v/>
      </c>
      <c r="AA4475">
        <f>IF('01_Вводные'!$B$234="Да",'19_Расчет_аналитики'!Z4474*'01_Вводные'!$B$14,0)</f>
        <v/>
      </c>
      <c r="AB4475">
        <f>IF('01_Вводные'!$B$234="Да",'19_Расчет_аналитики'!AA4474*'01_Вводные'!$B$14,0)</f>
        <v/>
      </c>
      <c r="AC4475">
        <f>IF('01_Вводные'!$B$234="Да",'19_Расчет_аналитики'!AB4474*'01_Вводные'!$B$14,0)</f>
        <v/>
      </c>
      <c r="AD4475">
        <f>IF('01_Вводные'!$B$234="Да",'19_Расчет_аналитики'!AC4474*'01_Вводные'!$B$14,0)</f>
        <v/>
      </c>
      <c r="AE4475">
        <f>IF('01_Вводные'!$B$234="Да",'19_Расчет_аналитики'!AD4474*'01_Вводные'!$B$14,0)</f>
        <v/>
      </c>
      <c r="AF4475">
        <f>IF('01_Вводные'!$B$234="Да",'19_Расчет_аналитики'!AE4474*'01_Вводные'!$B$14,0)</f>
        <v/>
      </c>
      <c r="AG4475">
        <f>IF('01_Вводные'!$B$234="Да",'19_Расчет_аналитики'!AF4474*'01_Вводные'!$B$14,0)</f>
        <v/>
      </c>
      <c r="AH4475">
        <f>IF('01_Вводные'!$B$234="Да",'19_Расчет_аналитики'!AG4474*'01_Вводные'!$B$14,0)</f>
        <v/>
      </c>
      <c r="AI4475">
        <f>IF('01_Вводные'!$B$234="Да",'19_Расчет_аналитики'!AH4474*'01_Вводные'!$B$14,0)</f>
        <v/>
      </c>
      <c r="AJ4475">
        <f>IF('01_Вводные'!$B$234="Да",'19_Расчет_аналитики'!AI4474*'01_Вводные'!$B$14,0)</f>
        <v/>
      </c>
      <c r="AK4475">
        <f>IF('01_Вводные'!$B$234="Да",'19_Расчет_аналитики'!AJ4474*'01_Вводные'!$B$14,0)</f>
        <v/>
      </c>
      <c r="AL4475">
        <f>IF('01_Вводные'!$B$234="Да",'19_Расчет_аналитики'!AK4474*'01_Вводные'!$B$14,0)</f>
        <v/>
      </c>
      <c r="AM4475">
        <f>IF('01_Вводные'!$B$234="Да",'19_Расчет_аналитики'!AL4474*'01_Вводные'!$B$14,0)</f>
        <v/>
      </c>
      <c r="AN4475">
        <f>IF('01_Вводные'!$B$234="Да",'19_Расчет_аналитики'!AM4474*'01_Вводные'!$B$14,0)</f>
        <v/>
      </c>
      <c r="AO4475">
        <f>IF('01_Вводные'!$B$234="Да",'19_Расчет_аналитики'!AN4474*'01_Вводные'!$B$14,0)</f>
        <v/>
      </c>
      <c r="AP4475">
        <f>IF('01_Вводные'!$B$234="Да",'19_Расчет_аналитики'!AO4474*'01_Вводные'!$B$14,0)</f>
        <v/>
      </c>
      <c r="AQ4475">
        <f>IF('01_Вводные'!$B$234="Да",'19_Расчет_аналитики'!AP4474*'01_Вводные'!$B$14,0)</f>
        <v/>
      </c>
      <c r="AR4475">
        <f>IF('01_Вводные'!$B$234="Да",'19_Расчет_аналитики'!AQ4474*'01_Вводные'!$B$14,0)</f>
        <v/>
      </c>
      <c r="AS4475">
        <f>IF('01_Вводные'!$B$234="Да",'19_Расчет_аналитики'!AR4474*'01_Вводные'!$B$14,0)</f>
        <v/>
      </c>
      <c r="AT4475">
        <f>IF('01_Вводные'!$B$234="Да",'19_Расчет_аналитики'!AS4474*'01_Вводные'!$B$14,0)</f>
        <v/>
      </c>
      <c r="AU4475">
        <f>IF('01_Вводные'!$B$234="Да",'19_Расчет_аналитики'!AT4474*'01_Вводные'!$B$14,0)</f>
        <v/>
      </c>
      <c r="AV4475">
        <f>IF('01_Вводные'!$B$234="Да",'19_Расчет_аналитики'!AU4474*'01_Вводные'!$B$14,0)</f>
        <v/>
      </c>
      <c r="AW4475">
        <f>IF('01_Вводные'!$B$234="Да",'19_Расчет_аналитики'!AV4474*'01_Вводные'!$B$14,0)</f>
        <v/>
      </c>
      <c r="AX4475">
        <f>IF('01_Вводные'!$B$234="Да",'19_Расчет_аналитики'!AW4474*'01_Вводные'!$B$14,0)</f>
        <v/>
      </c>
      <c r="AY4475">
        <f>IF('01_Вводные'!$B$234="Да",'19_Расчет_аналитики'!AX4474*'01_Вводные'!$B$14,0)</f>
        <v/>
      </c>
      <c r="AZ4475">
        <f>IF('01_Вводные'!$B$234="Да",'19_Расчет_аналитики'!AY4474*'01_Вводные'!$B$14,0)</f>
        <v/>
      </c>
      <c r="BA4475">
        <f>IF('01_Вводные'!$B$234="Да",'19_Расчет_аналитики'!AZ4474*'01_Вводные'!$B$14,0)</f>
        <v/>
      </c>
      <c r="BB4475">
        <f>IF('01_Вводные'!$B$234="Да",'19_Расчет_аналитики'!BA4474*'01_Вводные'!$B$14,0)</f>
        <v/>
      </c>
      <c r="BC4475">
        <f>IF('01_Вводные'!$B$234="Да",'19_Расчет_аналитики'!BB4474*'01_Вводные'!$B$14,0)</f>
        <v/>
      </c>
      <c r="BD4475">
        <f>IF('01_Вводные'!$B$234="Да",'19_Расчет_аналитики'!BC4474*'01_Вводные'!$B$14,0)</f>
        <v/>
      </c>
      <c r="BE4475">
        <f>IF('01_Вводные'!$B$234="Да",'19_Расчет_аналитики'!BD4474*'01_Вводные'!$B$14,0)</f>
        <v/>
      </c>
      <c r="BF4475">
        <f>IF('01_Вводные'!$B$234="Да",'19_Расчет_аналитики'!BE4474*'01_Вводные'!$B$14,0)</f>
        <v/>
      </c>
      <c r="BG4475">
        <f>IF('01_Вводные'!$B$234="Да",'19_Расчет_аналитики'!BF4474*'01_Вводные'!$B$14,0)</f>
        <v/>
      </c>
      <c r="BH4475">
        <f>IF('01_Вводные'!$B$234="Да",'19_Расчет_аналитики'!BG4474*'01_Вводные'!$B$14,0)</f>
        <v/>
      </c>
      <c r="BI4475">
        <f>IF('01_Вводные'!$B$234="Да",'19_Расчет_аналитики'!BH4474*'01_Вводные'!$B$14,0)</f>
        <v/>
      </c>
      <c r="BJ4475">
        <f>IF('01_Вводные'!$B$234="Да",'19_Расчет_аналитики'!BI4474*'01_Вводные'!$B$14,0)</f>
        <v/>
      </c>
      <c r="BK4475">
        <f>IF('01_Вводные'!$B$234="Да",'19_Расчет_аналитики'!BJ4474*'01_Вводные'!$B$14,0)</f>
        <v/>
      </c>
      <c r="BL4475">
        <f>IF('01_Вводные'!$B$234="Да",'19_Расчет_аналитики'!BK4474*'01_Вводные'!$B$14,0)</f>
        <v/>
      </c>
      <c r="BM4475">
        <f>IF('01_Вводные'!$B$234="Да",'19_Расчет_аналитики'!BL4474*'01_Вводные'!$B$14,0)</f>
        <v/>
      </c>
      <c r="BN4475">
        <f>IF('01_Вводные'!$B$234="Да",'19_Расчет_аналитики'!BM4474*'01_Вводные'!$B$14,0)</f>
        <v/>
      </c>
      <c r="BO4475">
        <f>IF('01_Вводные'!$B$234="Да",'19_Расчет_аналитики'!BN4474*'01_Вводные'!$B$14,0)</f>
        <v/>
      </c>
    </row>
    <row r="4476">
      <c r="B4476">
        <f>'06_Сеть_и_дети'!B73</f>
        <v/>
      </c>
      <c r="C4476">
        <f>'06_Сеть_и_дети'!C73</f>
        <v/>
      </c>
      <c r="D4476">
        <f>'06_Сеть_и_дети'!D73</f>
        <v/>
      </c>
      <c r="E4476">
        <f>'06_Сеть_и_дети'!E73</f>
        <v/>
      </c>
      <c r="F4476">
        <f>'06_Сеть_и_дети'!F73</f>
        <v/>
      </c>
      <c r="G4476">
        <f>'06_Сеть_и_дети'!G73</f>
        <v/>
      </c>
      <c r="H4476">
        <f>'06_Сеть_и_дети'!H73</f>
        <v/>
      </c>
      <c r="I4476">
        <f>'06_Сеть_и_дети'!I73</f>
        <v/>
      </c>
      <c r="J4476">
        <f>'06_Сеть_и_дети'!J73</f>
        <v/>
      </c>
      <c r="K4476">
        <f>'06_Сеть_и_дети'!K73</f>
        <v/>
      </c>
      <c r="L4476">
        <f>'06_Сеть_и_дети'!L73</f>
        <v/>
      </c>
      <c r="M4476">
        <f>'06_Сеть_и_дети'!M73</f>
        <v/>
      </c>
      <c r="N4476">
        <f>'06_Сеть_и_дети'!N73</f>
        <v/>
      </c>
      <c r="O4476">
        <f>'06_Сеть_и_дети'!O73</f>
        <v/>
      </c>
      <c r="P4476">
        <f>'06_Сеть_и_дети'!P73</f>
        <v/>
      </c>
      <c r="Q4476">
        <f>'06_Сеть_и_дети'!Q73</f>
        <v/>
      </c>
      <c r="R4476">
        <f>'06_Сеть_и_дети'!R73</f>
        <v/>
      </c>
      <c r="S4476">
        <f>'06_Сеть_и_дети'!S73</f>
        <v/>
      </c>
      <c r="T4476">
        <f>'06_Сеть_и_дети'!T73</f>
        <v/>
      </c>
      <c r="U4476">
        <f>'06_Сеть_и_дети'!U73</f>
        <v/>
      </c>
      <c r="V4476">
        <f>IF('01_Вводные'!$B$234="Да",'19_Расчет_аналитики'!U4475*'01_Вводные'!$B$14,0)</f>
        <v/>
      </c>
      <c r="W4476">
        <f>IF('01_Вводные'!$B$234="Да",'19_Расчет_аналитики'!V4475*'01_Вводные'!$B$14,0)</f>
        <v/>
      </c>
      <c r="X4476">
        <f>IF('01_Вводные'!$B$234="Да",'19_Расчет_аналитики'!W4475*'01_Вводные'!$B$14,0)</f>
        <v/>
      </c>
      <c r="Y4476">
        <f>IF('01_Вводные'!$B$234="Да",'19_Расчет_аналитики'!X4475*'01_Вводные'!$B$14,0)</f>
        <v/>
      </c>
      <c r="Z4476">
        <f>IF('01_Вводные'!$B$234="Да",'19_Расчет_аналитики'!Y4475*'01_Вводные'!$B$14,0)</f>
        <v/>
      </c>
      <c r="AA4476">
        <f>IF('01_Вводные'!$B$234="Да",'19_Расчет_аналитики'!Z4475*'01_Вводные'!$B$14,0)</f>
        <v/>
      </c>
      <c r="AB4476">
        <f>IF('01_Вводные'!$B$234="Да",'19_Расчет_аналитики'!AA4475*'01_Вводные'!$B$14,0)</f>
        <v/>
      </c>
      <c r="AC4476">
        <f>IF('01_Вводные'!$B$234="Да",'19_Расчет_аналитики'!AB4475*'01_Вводные'!$B$14,0)</f>
        <v/>
      </c>
      <c r="AD4476">
        <f>IF('01_Вводные'!$B$234="Да",'19_Расчет_аналитики'!AC4475*'01_Вводные'!$B$14,0)</f>
        <v/>
      </c>
      <c r="AE4476">
        <f>IF('01_Вводные'!$B$234="Да",'19_Расчет_аналитики'!AD4475*'01_Вводные'!$B$14,0)</f>
        <v/>
      </c>
      <c r="AF4476">
        <f>IF('01_Вводные'!$B$234="Да",'19_Расчет_аналитики'!AE4475*'01_Вводные'!$B$14,0)</f>
        <v/>
      </c>
      <c r="AG4476">
        <f>IF('01_Вводные'!$B$234="Да",'19_Расчет_аналитики'!AF4475*'01_Вводные'!$B$14,0)</f>
        <v/>
      </c>
      <c r="AH4476">
        <f>IF('01_Вводные'!$B$234="Да",'19_Расчет_аналитики'!AG4475*'01_Вводные'!$B$14,0)</f>
        <v/>
      </c>
      <c r="AI4476">
        <f>IF('01_Вводные'!$B$234="Да",'19_Расчет_аналитики'!AH4475*'01_Вводные'!$B$14,0)</f>
        <v/>
      </c>
      <c r="AJ4476">
        <f>IF('01_Вводные'!$B$234="Да",'19_Расчет_аналитики'!AI4475*'01_Вводные'!$B$14,0)</f>
        <v/>
      </c>
      <c r="AK4476">
        <f>IF('01_Вводные'!$B$234="Да",'19_Расчет_аналитики'!AJ4475*'01_Вводные'!$B$14,0)</f>
        <v/>
      </c>
      <c r="AL4476">
        <f>IF('01_Вводные'!$B$234="Да",'19_Расчет_аналитики'!AK4475*'01_Вводные'!$B$14,0)</f>
        <v/>
      </c>
      <c r="AM4476">
        <f>IF('01_Вводные'!$B$234="Да",'19_Расчет_аналитики'!AL4475*'01_Вводные'!$B$14,0)</f>
        <v/>
      </c>
      <c r="AN4476">
        <f>IF('01_Вводные'!$B$234="Да",'19_Расчет_аналитики'!AM4475*'01_Вводные'!$B$14,0)</f>
        <v/>
      </c>
      <c r="AO4476">
        <f>IF('01_Вводные'!$B$234="Да",'19_Расчет_аналитики'!AN4475*'01_Вводные'!$B$14,0)</f>
        <v/>
      </c>
      <c r="AP4476">
        <f>IF('01_Вводные'!$B$234="Да",'19_Расчет_аналитики'!AO4475*'01_Вводные'!$B$14,0)</f>
        <v/>
      </c>
      <c r="AQ4476">
        <f>IF('01_Вводные'!$B$234="Да",'19_Расчет_аналитики'!AP4475*'01_Вводные'!$B$14,0)</f>
        <v/>
      </c>
      <c r="AR4476">
        <f>IF('01_Вводные'!$B$234="Да",'19_Расчет_аналитики'!AQ4475*'01_Вводные'!$B$14,0)</f>
        <v/>
      </c>
      <c r="AS4476">
        <f>IF('01_Вводные'!$B$234="Да",'19_Расчет_аналитики'!AR4475*'01_Вводные'!$B$14,0)</f>
        <v/>
      </c>
      <c r="AT4476">
        <f>IF('01_Вводные'!$B$234="Да",'19_Расчет_аналитики'!AS4475*'01_Вводные'!$B$14,0)</f>
        <v/>
      </c>
      <c r="AU4476">
        <f>IF('01_Вводные'!$B$234="Да",'19_Расчет_аналитики'!AT4475*'01_Вводные'!$B$14,0)</f>
        <v/>
      </c>
      <c r="AV4476">
        <f>IF('01_Вводные'!$B$234="Да",'19_Расчет_аналитики'!AU4475*'01_Вводные'!$B$14,0)</f>
        <v/>
      </c>
      <c r="AW4476">
        <f>IF('01_Вводные'!$B$234="Да",'19_Расчет_аналитики'!AV4475*'01_Вводные'!$B$14,0)</f>
        <v/>
      </c>
      <c r="AX4476">
        <f>IF('01_Вводные'!$B$234="Да",'19_Расчет_аналитики'!AW4475*'01_Вводные'!$B$14,0)</f>
        <v/>
      </c>
      <c r="AY4476">
        <f>IF('01_Вводные'!$B$234="Да",'19_Расчет_аналитики'!AX4475*'01_Вводные'!$B$14,0)</f>
        <v/>
      </c>
      <c r="AZ4476">
        <f>IF('01_Вводные'!$B$234="Да",'19_Расчет_аналитики'!AY4475*'01_Вводные'!$B$14,0)</f>
        <v/>
      </c>
      <c r="BA4476">
        <f>IF('01_Вводные'!$B$234="Да",'19_Расчет_аналитики'!AZ4475*'01_Вводные'!$B$14,0)</f>
        <v/>
      </c>
      <c r="BB4476">
        <f>IF('01_Вводные'!$B$234="Да",'19_Расчет_аналитики'!BA4475*'01_Вводные'!$B$14,0)</f>
        <v/>
      </c>
      <c r="BC4476">
        <f>IF('01_Вводные'!$B$234="Да",'19_Расчет_аналитики'!BB4475*'01_Вводные'!$B$14,0)</f>
        <v/>
      </c>
      <c r="BD4476">
        <f>IF('01_Вводные'!$B$234="Да",'19_Расчет_аналитики'!BC4475*'01_Вводные'!$B$14,0)</f>
        <v/>
      </c>
      <c r="BE4476">
        <f>IF('01_Вводные'!$B$234="Да",'19_Расчет_аналитики'!BD4475*'01_Вводные'!$B$14,0)</f>
        <v/>
      </c>
      <c r="BF4476">
        <f>IF('01_Вводные'!$B$234="Да",'19_Расчет_аналитики'!BE4475*'01_Вводные'!$B$14,0)</f>
        <v/>
      </c>
      <c r="BG4476">
        <f>IF('01_Вводные'!$B$234="Да",'19_Расчет_аналитики'!BF4475*'01_Вводные'!$B$14,0)</f>
        <v/>
      </c>
      <c r="BH4476">
        <f>IF('01_Вводные'!$B$234="Да",'19_Расчет_аналитики'!BG4475*'01_Вводные'!$B$14,0)</f>
        <v/>
      </c>
      <c r="BI4476">
        <f>IF('01_Вводные'!$B$234="Да",'19_Расчет_аналитики'!BH4475*'01_Вводные'!$B$14,0)</f>
        <v/>
      </c>
      <c r="BJ4476">
        <f>IF('01_Вводные'!$B$234="Да",'19_Расчет_аналитики'!BI4475*'01_Вводные'!$B$14,0)</f>
        <v/>
      </c>
      <c r="BK4476">
        <f>IF('01_Вводные'!$B$234="Да",'19_Расчет_аналитики'!BJ4475*'01_Вводные'!$B$14,0)</f>
        <v/>
      </c>
      <c r="BL4476">
        <f>IF('01_Вводные'!$B$234="Да",'19_Расчет_аналитики'!BK4475*'01_Вводные'!$B$14,0)</f>
        <v/>
      </c>
      <c r="BM4476">
        <f>IF('01_Вводные'!$B$234="Да",'19_Расчет_аналитики'!BL4475*'01_Вводные'!$B$14,0)</f>
        <v/>
      </c>
      <c r="BN4476">
        <f>IF('01_Вводные'!$B$234="Да",'19_Расчет_аналитики'!BM4475*'01_Вводные'!$B$14,0)</f>
        <v/>
      </c>
      <c r="BO4476">
        <f>IF('01_Вводные'!$B$234="Да",'19_Расчет_аналитики'!BN4475*'01_Вводные'!$B$14,0)</f>
        <v/>
      </c>
    </row>
    <row r="4477">
      <c r="B4477">
        <f>'06_Сеть_и_дети'!B74</f>
        <v/>
      </c>
      <c r="C4477">
        <f>'06_Сеть_и_дети'!C74</f>
        <v/>
      </c>
      <c r="D4477">
        <f>'06_Сеть_и_дети'!D74</f>
        <v/>
      </c>
      <c r="E4477">
        <f>'06_Сеть_и_дети'!E74</f>
        <v/>
      </c>
      <c r="F4477">
        <f>'06_Сеть_и_дети'!F74</f>
        <v/>
      </c>
      <c r="G4477">
        <f>'06_Сеть_и_дети'!G74</f>
        <v/>
      </c>
      <c r="H4477">
        <f>'06_Сеть_и_дети'!H74</f>
        <v/>
      </c>
      <c r="I4477">
        <f>'06_Сеть_и_дети'!I74</f>
        <v/>
      </c>
      <c r="J4477">
        <f>'06_Сеть_и_дети'!J74</f>
        <v/>
      </c>
      <c r="K4477">
        <f>'06_Сеть_и_дети'!K74</f>
        <v/>
      </c>
      <c r="L4477">
        <f>'06_Сеть_и_дети'!L74</f>
        <v/>
      </c>
      <c r="M4477">
        <f>'06_Сеть_и_дети'!M74</f>
        <v/>
      </c>
      <c r="N4477">
        <f>'06_Сеть_и_дети'!N74</f>
        <v/>
      </c>
      <c r="O4477">
        <f>'06_Сеть_и_дети'!O74</f>
        <v/>
      </c>
      <c r="P4477">
        <f>'06_Сеть_и_дети'!P74</f>
        <v/>
      </c>
      <c r="Q4477">
        <f>'06_Сеть_и_дети'!Q74</f>
        <v/>
      </c>
      <c r="R4477">
        <f>'06_Сеть_и_дети'!R74</f>
        <v/>
      </c>
      <c r="S4477">
        <f>'06_Сеть_и_дети'!S74</f>
        <v/>
      </c>
      <c r="T4477">
        <f>'06_Сеть_и_дети'!T74</f>
        <v/>
      </c>
      <c r="U4477">
        <f>'06_Сеть_и_дети'!U74</f>
        <v/>
      </c>
      <c r="V4477">
        <f>'06_Сеть_и_дети'!V74</f>
        <v/>
      </c>
      <c r="W4477">
        <f>IF('01_Вводные'!$B$234="Да",'19_Расчет_аналитики'!V4476*'01_Вводные'!$B$14,0)</f>
        <v/>
      </c>
      <c r="X4477">
        <f>IF('01_Вводные'!$B$234="Да",'19_Расчет_аналитики'!W4476*'01_Вводные'!$B$14,0)</f>
        <v/>
      </c>
      <c r="Y4477">
        <f>IF('01_Вводные'!$B$234="Да",'19_Расчет_аналитики'!X4476*'01_Вводные'!$B$14,0)</f>
        <v/>
      </c>
      <c r="Z4477">
        <f>IF('01_Вводные'!$B$234="Да",'19_Расчет_аналитики'!Y4476*'01_Вводные'!$B$14,0)</f>
        <v/>
      </c>
      <c r="AA4477">
        <f>IF('01_Вводные'!$B$234="Да",'19_Расчет_аналитики'!Z4476*'01_Вводные'!$B$14,0)</f>
        <v/>
      </c>
      <c r="AB4477">
        <f>IF('01_Вводные'!$B$234="Да",'19_Расчет_аналитики'!AA4476*'01_Вводные'!$B$14,0)</f>
        <v/>
      </c>
      <c r="AC4477">
        <f>IF('01_Вводные'!$B$234="Да",'19_Расчет_аналитики'!AB4476*'01_Вводные'!$B$14,0)</f>
        <v/>
      </c>
      <c r="AD4477">
        <f>IF('01_Вводные'!$B$234="Да",'19_Расчет_аналитики'!AC4476*'01_Вводные'!$B$14,0)</f>
        <v/>
      </c>
      <c r="AE4477">
        <f>IF('01_Вводные'!$B$234="Да",'19_Расчет_аналитики'!AD4476*'01_Вводные'!$B$14,0)</f>
        <v/>
      </c>
      <c r="AF4477">
        <f>IF('01_Вводные'!$B$234="Да",'19_Расчет_аналитики'!AE4476*'01_Вводные'!$B$14,0)</f>
        <v/>
      </c>
      <c r="AG4477">
        <f>IF('01_Вводные'!$B$234="Да",'19_Расчет_аналитики'!AF4476*'01_Вводные'!$B$14,0)</f>
        <v/>
      </c>
      <c r="AH4477">
        <f>IF('01_Вводные'!$B$234="Да",'19_Расчет_аналитики'!AG4476*'01_Вводные'!$B$14,0)</f>
        <v/>
      </c>
      <c r="AI4477">
        <f>IF('01_Вводные'!$B$234="Да",'19_Расчет_аналитики'!AH4476*'01_Вводные'!$B$14,0)</f>
        <v/>
      </c>
      <c r="AJ4477">
        <f>IF('01_Вводные'!$B$234="Да",'19_Расчет_аналитики'!AI4476*'01_Вводные'!$B$14,0)</f>
        <v/>
      </c>
      <c r="AK4477">
        <f>IF('01_Вводные'!$B$234="Да",'19_Расчет_аналитики'!AJ4476*'01_Вводные'!$B$14,0)</f>
        <v/>
      </c>
      <c r="AL4477">
        <f>IF('01_Вводные'!$B$234="Да",'19_Расчет_аналитики'!AK4476*'01_Вводные'!$B$14,0)</f>
        <v/>
      </c>
      <c r="AM4477">
        <f>IF('01_Вводные'!$B$234="Да",'19_Расчет_аналитики'!AL4476*'01_Вводные'!$B$14,0)</f>
        <v/>
      </c>
      <c r="AN4477">
        <f>IF('01_Вводные'!$B$234="Да",'19_Расчет_аналитики'!AM4476*'01_Вводные'!$B$14,0)</f>
        <v/>
      </c>
      <c r="AO4477">
        <f>IF('01_Вводные'!$B$234="Да",'19_Расчет_аналитики'!AN4476*'01_Вводные'!$B$14,0)</f>
        <v/>
      </c>
      <c r="AP4477">
        <f>IF('01_Вводные'!$B$234="Да",'19_Расчет_аналитики'!AO4476*'01_Вводные'!$B$14,0)</f>
        <v/>
      </c>
      <c r="AQ4477">
        <f>IF('01_Вводные'!$B$234="Да",'19_Расчет_аналитики'!AP4476*'01_Вводные'!$B$14,0)</f>
        <v/>
      </c>
      <c r="AR4477">
        <f>IF('01_Вводные'!$B$234="Да",'19_Расчет_аналитики'!AQ4476*'01_Вводные'!$B$14,0)</f>
        <v/>
      </c>
      <c r="AS4477">
        <f>IF('01_Вводные'!$B$234="Да",'19_Расчет_аналитики'!AR4476*'01_Вводные'!$B$14,0)</f>
        <v/>
      </c>
      <c r="AT4477">
        <f>IF('01_Вводные'!$B$234="Да",'19_Расчет_аналитики'!AS4476*'01_Вводные'!$B$14,0)</f>
        <v/>
      </c>
      <c r="AU4477">
        <f>IF('01_Вводные'!$B$234="Да",'19_Расчет_аналитики'!AT4476*'01_Вводные'!$B$14,0)</f>
        <v/>
      </c>
      <c r="AV4477">
        <f>IF('01_Вводные'!$B$234="Да",'19_Расчет_аналитики'!AU4476*'01_Вводные'!$B$14,0)</f>
        <v/>
      </c>
      <c r="AW4477">
        <f>IF('01_Вводные'!$B$234="Да",'19_Расчет_аналитики'!AV4476*'01_Вводные'!$B$14,0)</f>
        <v/>
      </c>
      <c r="AX4477">
        <f>IF('01_Вводные'!$B$234="Да",'19_Расчет_аналитики'!AW4476*'01_Вводные'!$B$14,0)</f>
        <v/>
      </c>
      <c r="AY4477">
        <f>IF('01_Вводные'!$B$234="Да",'19_Расчет_аналитики'!AX4476*'01_Вводные'!$B$14,0)</f>
        <v/>
      </c>
      <c r="AZ4477">
        <f>IF('01_Вводные'!$B$234="Да",'19_Расчет_аналитики'!AY4476*'01_Вводные'!$B$14,0)</f>
        <v/>
      </c>
      <c r="BA4477">
        <f>IF('01_Вводные'!$B$234="Да",'19_Расчет_аналитики'!AZ4476*'01_Вводные'!$B$14,0)</f>
        <v/>
      </c>
      <c r="BB4477">
        <f>IF('01_Вводные'!$B$234="Да",'19_Расчет_аналитики'!BA4476*'01_Вводные'!$B$14,0)</f>
        <v/>
      </c>
      <c r="BC4477">
        <f>IF('01_Вводные'!$B$234="Да",'19_Расчет_аналитики'!BB4476*'01_Вводные'!$B$14,0)</f>
        <v/>
      </c>
      <c r="BD4477">
        <f>IF('01_Вводные'!$B$234="Да",'19_Расчет_аналитики'!BC4476*'01_Вводные'!$B$14,0)</f>
        <v/>
      </c>
      <c r="BE4477">
        <f>IF('01_Вводные'!$B$234="Да",'19_Расчет_аналитики'!BD4476*'01_Вводные'!$B$14,0)</f>
        <v/>
      </c>
      <c r="BF4477">
        <f>IF('01_Вводные'!$B$234="Да",'19_Расчет_аналитики'!BE4476*'01_Вводные'!$B$14,0)</f>
        <v/>
      </c>
      <c r="BG4477">
        <f>IF('01_Вводные'!$B$234="Да",'19_Расчет_аналитики'!BF4476*'01_Вводные'!$B$14,0)</f>
        <v/>
      </c>
      <c r="BH4477">
        <f>IF('01_Вводные'!$B$234="Да",'19_Расчет_аналитики'!BG4476*'01_Вводные'!$B$14,0)</f>
        <v/>
      </c>
      <c r="BI4477">
        <f>IF('01_Вводные'!$B$234="Да",'19_Расчет_аналитики'!BH4476*'01_Вводные'!$B$14,0)</f>
        <v/>
      </c>
      <c r="BJ4477">
        <f>IF('01_Вводные'!$B$234="Да",'19_Расчет_аналитики'!BI4476*'01_Вводные'!$B$14,0)</f>
        <v/>
      </c>
      <c r="BK4477">
        <f>IF('01_Вводные'!$B$234="Да",'19_Расчет_аналитики'!BJ4476*'01_Вводные'!$B$14,0)</f>
        <v/>
      </c>
      <c r="BL4477">
        <f>IF('01_Вводные'!$B$234="Да",'19_Расчет_аналитики'!BK4476*'01_Вводные'!$B$14,0)</f>
        <v/>
      </c>
      <c r="BM4477">
        <f>IF('01_Вводные'!$B$234="Да",'19_Расчет_аналитики'!BL4476*'01_Вводные'!$B$14,0)</f>
        <v/>
      </c>
      <c r="BN4477">
        <f>IF('01_Вводные'!$B$234="Да",'19_Расчет_аналитики'!BM4476*'01_Вводные'!$B$14,0)</f>
        <v/>
      </c>
      <c r="BO4477">
        <f>IF('01_Вводные'!$B$234="Да",'19_Расчет_аналитики'!BN4476*'01_Вводные'!$B$14,0)</f>
        <v/>
      </c>
    </row>
    <row r="4478">
      <c r="B4478">
        <f>'06_Сеть_и_дети'!B75</f>
        <v/>
      </c>
      <c r="C4478">
        <f>'06_Сеть_и_дети'!C75</f>
        <v/>
      </c>
      <c r="D4478">
        <f>'06_Сеть_и_дети'!D75</f>
        <v/>
      </c>
      <c r="E4478">
        <f>'06_Сеть_и_дети'!E75</f>
        <v/>
      </c>
      <c r="F4478">
        <f>'06_Сеть_и_дети'!F75</f>
        <v/>
      </c>
      <c r="G4478">
        <f>'06_Сеть_и_дети'!G75</f>
        <v/>
      </c>
      <c r="H4478">
        <f>'06_Сеть_и_дети'!H75</f>
        <v/>
      </c>
      <c r="I4478">
        <f>'06_Сеть_и_дети'!I75</f>
        <v/>
      </c>
      <c r="J4478">
        <f>'06_Сеть_и_дети'!J75</f>
        <v/>
      </c>
      <c r="K4478">
        <f>'06_Сеть_и_дети'!K75</f>
        <v/>
      </c>
      <c r="L4478">
        <f>'06_Сеть_и_дети'!L75</f>
        <v/>
      </c>
      <c r="M4478">
        <f>'06_Сеть_и_дети'!M75</f>
        <v/>
      </c>
      <c r="N4478">
        <f>'06_Сеть_и_дети'!N75</f>
        <v/>
      </c>
      <c r="O4478">
        <f>'06_Сеть_и_дети'!O75</f>
        <v/>
      </c>
      <c r="P4478">
        <f>'06_Сеть_и_дети'!P75</f>
        <v/>
      </c>
      <c r="Q4478">
        <f>'06_Сеть_и_дети'!Q75</f>
        <v/>
      </c>
      <c r="R4478">
        <f>'06_Сеть_и_дети'!R75</f>
        <v/>
      </c>
      <c r="S4478">
        <f>'06_Сеть_и_дети'!S75</f>
        <v/>
      </c>
      <c r="T4478">
        <f>'06_Сеть_и_дети'!T75</f>
        <v/>
      </c>
      <c r="U4478">
        <f>'06_Сеть_и_дети'!U75</f>
        <v/>
      </c>
      <c r="V4478">
        <f>'06_Сеть_и_дети'!V75</f>
        <v/>
      </c>
      <c r="W4478">
        <f>'06_Сеть_и_дети'!W75</f>
        <v/>
      </c>
      <c r="X4478">
        <f>IF('01_Вводные'!$B$234="Да",'19_Расчет_аналитики'!W4477*'01_Вводные'!$B$14,0)</f>
        <v/>
      </c>
      <c r="Y4478">
        <f>IF('01_Вводные'!$B$234="Да",'19_Расчет_аналитики'!X4477*'01_Вводные'!$B$14,0)</f>
        <v/>
      </c>
      <c r="Z4478">
        <f>IF('01_Вводные'!$B$234="Да",'19_Расчет_аналитики'!Y4477*'01_Вводные'!$B$14,0)</f>
        <v/>
      </c>
      <c r="AA4478">
        <f>IF('01_Вводные'!$B$234="Да",'19_Расчет_аналитики'!Z4477*'01_Вводные'!$B$14,0)</f>
        <v/>
      </c>
      <c r="AB4478">
        <f>IF('01_Вводные'!$B$234="Да",'19_Расчет_аналитики'!AA4477*'01_Вводные'!$B$14,0)</f>
        <v/>
      </c>
      <c r="AC4478">
        <f>IF('01_Вводные'!$B$234="Да",'19_Расчет_аналитики'!AB4477*'01_Вводные'!$B$14,0)</f>
        <v/>
      </c>
      <c r="AD4478">
        <f>IF('01_Вводные'!$B$234="Да",'19_Расчет_аналитики'!AC4477*'01_Вводные'!$B$14,0)</f>
        <v/>
      </c>
      <c r="AE4478">
        <f>IF('01_Вводные'!$B$234="Да",'19_Расчет_аналитики'!AD4477*'01_Вводные'!$B$14,0)</f>
        <v/>
      </c>
      <c r="AF4478">
        <f>IF('01_Вводные'!$B$234="Да",'19_Расчет_аналитики'!AE4477*'01_Вводные'!$B$14,0)</f>
        <v/>
      </c>
      <c r="AG4478">
        <f>IF('01_Вводные'!$B$234="Да",'19_Расчет_аналитики'!AF4477*'01_Вводные'!$B$14,0)</f>
        <v/>
      </c>
      <c r="AH4478">
        <f>IF('01_Вводные'!$B$234="Да",'19_Расчет_аналитики'!AG4477*'01_Вводные'!$B$14,0)</f>
        <v/>
      </c>
      <c r="AI4478">
        <f>IF('01_Вводные'!$B$234="Да",'19_Расчет_аналитики'!AH4477*'01_Вводные'!$B$14,0)</f>
        <v/>
      </c>
      <c r="AJ4478">
        <f>IF('01_Вводные'!$B$234="Да",'19_Расчет_аналитики'!AI4477*'01_Вводные'!$B$14,0)</f>
        <v/>
      </c>
      <c r="AK4478">
        <f>IF('01_Вводные'!$B$234="Да",'19_Расчет_аналитики'!AJ4477*'01_Вводные'!$B$14,0)</f>
        <v/>
      </c>
      <c r="AL4478">
        <f>IF('01_Вводные'!$B$234="Да",'19_Расчет_аналитики'!AK4477*'01_Вводные'!$B$14,0)</f>
        <v/>
      </c>
      <c r="AM4478">
        <f>IF('01_Вводные'!$B$234="Да",'19_Расчет_аналитики'!AL4477*'01_Вводные'!$B$14,0)</f>
        <v/>
      </c>
      <c r="AN4478">
        <f>IF('01_Вводные'!$B$234="Да",'19_Расчет_аналитики'!AM4477*'01_Вводные'!$B$14,0)</f>
        <v/>
      </c>
      <c r="AO4478">
        <f>IF('01_Вводные'!$B$234="Да",'19_Расчет_аналитики'!AN4477*'01_Вводные'!$B$14,0)</f>
        <v/>
      </c>
      <c r="AP4478">
        <f>IF('01_Вводные'!$B$234="Да",'19_Расчет_аналитики'!AO4477*'01_Вводные'!$B$14,0)</f>
        <v/>
      </c>
      <c r="AQ4478">
        <f>IF('01_Вводные'!$B$234="Да",'19_Расчет_аналитики'!AP4477*'01_Вводные'!$B$14,0)</f>
        <v/>
      </c>
      <c r="AR4478">
        <f>IF('01_Вводные'!$B$234="Да",'19_Расчет_аналитики'!AQ4477*'01_Вводные'!$B$14,0)</f>
        <v/>
      </c>
      <c r="AS4478">
        <f>IF('01_Вводные'!$B$234="Да",'19_Расчет_аналитики'!AR4477*'01_Вводные'!$B$14,0)</f>
        <v/>
      </c>
      <c r="AT4478">
        <f>IF('01_Вводные'!$B$234="Да",'19_Расчет_аналитики'!AS4477*'01_Вводные'!$B$14,0)</f>
        <v/>
      </c>
      <c r="AU4478">
        <f>IF('01_Вводные'!$B$234="Да",'19_Расчет_аналитики'!AT4477*'01_Вводные'!$B$14,0)</f>
        <v/>
      </c>
      <c r="AV4478">
        <f>IF('01_Вводные'!$B$234="Да",'19_Расчет_аналитики'!AU4477*'01_Вводные'!$B$14,0)</f>
        <v/>
      </c>
      <c r="AW4478">
        <f>IF('01_Вводные'!$B$234="Да",'19_Расчет_аналитики'!AV4477*'01_Вводные'!$B$14,0)</f>
        <v/>
      </c>
      <c r="AX4478">
        <f>IF('01_Вводные'!$B$234="Да",'19_Расчет_аналитики'!AW4477*'01_Вводные'!$B$14,0)</f>
        <v/>
      </c>
      <c r="AY4478">
        <f>IF('01_Вводные'!$B$234="Да",'19_Расчет_аналитики'!AX4477*'01_Вводные'!$B$14,0)</f>
        <v/>
      </c>
      <c r="AZ4478">
        <f>IF('01_Вводные'!$B$234="Да",'19_Расчет_аналитики'!AY4477*'01_Вводные'!$B$14,0)</f>
        <v/>
      </c>
      <c r="BA4478">
        <f>IF('01_Вводные'!$B$234="Да",'19_Расчет_аналитики'!AZ4477*'01_Вводные'!$B$14,0)</f>
        <v/>
      </c>
      <c r="BB4478">
        <f>IF('01_Вводные'!$B$234="Да",'19_Расчет_аналитики'!BA4477*'01_Вводные'!$B$14,0)</f>
        <v/>
      </c>
      <c r="BC4478">
        <f>IF('01_Вводные'!$B$234="Да",'19_Расчет_аналитики'!BB4477*'01_Вводные'!$B$14,0)</f>
        <v/>
      </c>
      <c r="BD4478">
        <f>IF('01_Вводные'!$B$234="Да",'19_Расчет_аналитики'!BC4477*'01_Вводные'!$B$14,0)</f>
        <v/>
      </c>
      <c r="BE4478">
        <f>IF('01_Вводные'!$B$234="Да",'19_Расчет_аналитики'!BD4477*'01_Вводные'!$B$14,0)</f>
        <v/>
      </c>
      <c r="BF4478">
        <f>IF('01_Вводные'!$B$234="Да",'19_Расчет_аналитики'!BE4477*'01_Вводные'!$B$14,0)</f>
        <v/>
      </c>
      <c r="BG4478">
        <f>IF('01_Вводные'!$B$234="Да",'19_Расчет_аналитики'!BF4477*'01_Вводные'!$B$14,0)</f>
        <v/>
      </c>
      <c r="BH4478">
        <f>IF('01_Вводные'!$B$234="Да",'19_Расчет_аналитики'!BG4477*'01_Вводные'!$B$14,0)</f>
        <v/>
      </c>
      <c r="BI4478">
        <f>IF('01_Вводные'!$B$234="Да",'19_Расчет_аналитики'!BH4477*'01_Вводные'!$B$14,0)</f>
        <v/>
      </c>
      <c r="BJ4478">
        <f>IF('01_Вводные'!$B$234="Да",'19_Расчет_аналитики'!BI4477*'01_Вводные'!$B$14,0)</f>
        <v/>
      </c>
      <c r="BK4478">
        <f>IF('01_Вводные'!$B$234="Да",'19_Расчет_аналитики'!BJ4477*'01_Вводные'!$B$14,0)</f>
        <v/>
      </c>
      <c r="BL4478">
        <f>IF('01_Вводные'!$B$234="Да",'19_Расчет_аналитики'!BK4477*'01_Вводные'!$B$14,0)</f>
        <v/>
      </c>
      <c r="BM4478">
        <f>IF('01_Вводные'!$B$234="Да",'19_Расчет_аналитики'!BL4477*'01_Вводные'!$B$14,0)</f>
        <v/>
      </c>
      <c r="BN4478">
        <f>IF('01_Вводные'!$B$234="Да",'19_Расчет_аналитики'!BM4477*'01_Вводные'!$B$14,0)</f>
        <v/>
      </c>
      <c r="BO4478">
        <f>IF('01_Вводные'!$B$234="Да",'19_Расчет_аналитики'!BN4477*'01_Вводные'!$B$14,0)</f>
        <v/>
      </c>
    </row>
    <row r="4479">
      <c r="B4479">
        <f>'06_Сеть_и_дети'!B76</f>
        <v/>
      </c>
      <c r="C4479">
        <f>'06_Сеть_и_дети'!C76</f>
        <v/>
      </c>
      <c r="D4479">
        <f>'06_Сеть_и_дети'!D76</f>
        <v/>
      </c>
      <c r="E4479">
        <f>'06_Сеть_и_дети'!E76</f>
        <v/>
      </c>
      <c r="F4479">
        <f>'06_Сеть_и_дети'!F76</f>
        <v/>
      </c>
      <c r="G4479">
        <f>'06_Сеть_и_дети'!G76</f>
        <v/>
      </c>
      <c r="H4479">
        <f>'06_Сеть_и_дети'!H76</f>
        <v/>
      </c>
      <c r="I4479">
        <f>'06_Сеть_и_дети'!I76</f>
        <v/>
      </c>
      <c r="J4479">
        <f>'06_Сеть_и_дети'!J76</f>
        <v/>
      </c>
      <c r="K4479">
        <f>'06_Сеть_и_дети'!K76</f>
        <v/>
      </c>
      <c r="L4479">
        <f>'06_Сеть_и_дети'!L76</f>
        <v/>
      </c>
      <c r="M4479">
        <f>'06_Сеть_и_дети'!M76</f>
        <v/>
      </c>
      <c r="N4479">
        <f>'06_Сеть_и_дети'!N76</f>
        <v/>
      </c>
      <c r="O4479">
        <f>'06_Сеть_и_дети'!O76</f>
        <v/>
      </c>
      <c r="P4479">
        <f>'06_Сеть_и_дети'!P76</f>
        <v/>
      </c>
      <c r="Q4479">
        <f>'06_Сеть_и_дети'!Q76</f>
        <v/>
      </c>
      <c r="R4479">
        <f>'06_Сеть_и_дети'!R76</f>
        <v/>
      </c>
      <c r="S4479">
        <f>'06_Сеть_и_дети'!S76</f>
        <v/>
      </c>
      <c r="T4479">
        <f>'06_Сеть_и_дети'!T76</f>
        <v/>
      </c>
      <c r="U4479">
        <f>'06_Сеть_и_дети'!U76</f>
        <v/>
      </c>
      <c r="V4479">
        <f>'06_Сеть_и_дети'!V76</f>
        <v/>
      </c>
      <c r="W4479">
        <f>'06_Сеть_и_дети'!W76</f>
        <v/>
      </c>
      <c r="X4479">
        <f>'06_Сеть_и_дети'!X76</f>
        <v/>
      </c>
      <c r="Y4479">
        <f>IF('01_Вводные'!$B$234="Да",'19_Расчет_аналитики'!X4478*'01_Вводные'!$B$14,0)</f>
        <v/>
      </c>
      <c r="Z4479">
        <f>IF('01_Вводные'!$B$234="Да",'19_Расчет_аналитики'!Y4478*'01_Вводные'!$B$14,0)</f>
        <v/>
      </c>
      <c r="AA4479">
        <f>IF('01_Вводные'!$B$234="Да",'19_Расчет_аналитики'!Z4478*'01_Вводные'!$B$14,0)</f>
        <v/>
      </c>
      <c r="AB4479">
        <f>IF('01_Вводные'!$B$234="Да",'19_Расчет_аналитики'!AA4478*'01_Вводные'!$B$14,0)</f>
        <v/>
      </c>
      <c r="AC4479">
        <f>IF('01_Вводные'!$B$234="Да",'19_Расчет_аналитики'!AB4478*'01_Вводные'!$B$14,0)</f>
        <v/>
      </c>
      <c r="AD4479">
        <f>IF('01_Вводные'!$B$234="Да",'19_Расчет_аналитики'!AC4478*'01_Вводные'!$B$14,0)</f>
        <v/>
      </c>
      <c r="AE4479">
        <f>IF('01_Вводные'!$B$234="Да",'19_Расчет_аналитики'!AD4478*'01_Вводные'!$B$14,0)</f>
        <v/>
      </c>
      <c r="AF4479">
        <f>IF('01_Вводные'!$B$234="Да",'19_Расчет_аналитики'!AE4478*'01_Вводные'!$B$14,0)</f>
        <v/>
      </c>
      <c r="AG4479">
        <f>IF('01_Вводные'!$B$234="Да",'19_Расчет_аналитики'!AF4478*'01_Вводные'!$B$14,0)</f>
        <v/>
      </c>
      <c r="AH4479">
        <f>IF('01_Вводные'!$B$234="Да",'19_Расчет_аналитики'!AG4478*'01_Вводные'!$B$14,0)</f>
        <v/>
      </c>
      <c r="AI4479">
        <f>IF('01_Вводные'!$B$234="Да",'19_Расчет_аналитики'!AH4478*'01_Вводные'!$B$14,0)</f>
        <v/>
      </c>
      <c r="AJ4479">
        <f>IF('01_Вводные'!$B$234="Да",'19_Расчет_аналитики'!AI4478*'01_Вводные'!$B$14,0)</f>
        <v/>
      </c>
      <c r="AK4479">
        <f>IF('01_Вводные'!$B$234="Да",'19_Расчет_аналитики'!AJ4478*'01_Вводные'!$B$14,0)</f>
        <v/>
      </c>
      <c r="AL4479">
        <f>IF('01_Вводные'!$B$234="Да",'19_Расчет_аналитики'!AK4478*'01_Вводные'!$B$14,0)</f>
        <v/>
      </c>
      <c r="AM4479">
        <f>IF('01_Вводные'!$B$234="Да",'19_Расчет_аналитики'!AL4478*'01_Вводные'!$B$14,0)</f>
        <v/>
      </c>
      <c r="AN4479">
        <f>IF('01_Вводные'!$B$234="Да",'19_Расчет_аналитики'!AM4478*'01_Вводные'!$B$14,0)</f>
        <v/>
      </c>
      <c r="AO4479">
        <f>IF('01_Вводные'!$B$234="Да",'19_Расчет_аналитики'!AN4478*'01_Вводные'!$B$14,0)</f>
        <v/>
      </c>
      <c r="AP4479">
        <f>IF('01_Вводные'!$B$234="Да",'19_Расчет_аналитики'!AO4478*'01_Вводные'!$B$14,0)</f>
        <v/>
      </c>
      <c r="AQ4479">
        <f>IF('01_Вводные'!$B$234="Да",'19_Расчет_аналитики'!AP4478*'01_Вводные'!$B$14,0)</f>
        <v/>
      </c>
      <c r="AR4479">
        <f>IF('01_Вводные'!$B$234="Да",'19_Расчет_аналитики'!AQ4478*'01_Вводные'!$B$14,0)</f>
        <v/>
      </c>
      <c r="AS4479">
        <f>IF('01_Вводные'!$B$234="Да",'19_Расчет_аналитики'!AR4478*'01_Вводные'!$B$14,0)</f>
        <v/>
      </c>
      <c r="AT4479">
        <f>IF('01_Вводные'!$B$234="Да",'19_Расчет_аналитики'!AS4478*'01_Вводные'!$B$14,0)</f>
        <v/>
      </c>
      <c r="AU4479">
        <f>IF('01_Вводные'!$B$234="Да",'19_Расчет_аналитики'!AT4478*'01_Вводные'!$B$14,0)</f>
        <v/>
      </c>
      <c r="AV4479">
        <f>IF('01_Вводные'!$B$234="Да",'19_Расчет_аналитики'!AU4478*'01_Вводные'!$B$14,0)</f>
        <v/>
      </c>
      <c r="AW4479">
        <f>IF('01_Вводные'!$B$234="Да",'19_Расчет_аналитики'!AV4478*'01_Вводные'!$B$14,0)</f>
        <v/>
      </c>
      <c r="AX4479">
        <f>IF('01_Вводные'!$B$234="Да",'19_Расчет_аналитики'!AW4478*'01_Вводные'!$B$14,0)</f>
        <v/>
      </c>
      <c r="AY4479">
        <f>IF('01_Вводные'!$B$234="Да",'19_Расчет_аналитики'!AX4478*'01_Вводные'!$B$14,0)</f>
        <v/>
      </c>
      <c r="AZ4479">
        <f>IF('01_Вводные'!$B$234="Да",'19_Расчет_аналитики'!AY4478*'01_Вводные'!$B$14,0)</f>
        <v/>
      </c>
      <c r="BA4479">
        <f>IF('01_Вводные'!$B$234="Да",'19_Расчет_аналитики'!AZ4478*'01_Вводные'!$B$14,0)</f>
        <v/>
      </c>
      <c r="BB4479">
        <f>IF('01_Вводные'!$B$234="Да",'19_Расчет_аналитики'!BA4478*'01_Вводные'!$B$14,0)</f>
        <v/>
      </c>
      <c r="BC4479">
        <f>IF('01_Вводные'!$B$234="Да",'19_Расчет_аналитики'!BB4478*'01_Вводные'!$B$14,0)</f>
        <v/>
      </c>
      <c r="BD4479">
        <f>IF('01_Вводные'!$B$234="Да",'19_Расчет_аналитики'!BC4478*'01_Вводные'!$B$14,0)</f>
        <v/>
      </c>
      <c r="BE4479">
        <f>IF('01_Вводные'!$B$234="Да",'19_Расчет_аналитики'!BD4478*'01_Вводные'!$B$14,0)</f>
        <v/>
      </c>
      <c r="BF4479">
        <f>IF('01_Вводные'!$B$234="Да",'19_Расчет_аналитики'!BE4478*'01_Вводные'!$B$14,0)</f>
        <v/>
      </c>
      <c r="BG4479">
        <f>IF('01_Вводные'!$B$234="Да",'19_Расчет_аналитики'!BF4478*'01_Вводные'!$B$14,0)</f>
        <v/>
      </c>
      <c r="BH4479">
        <f>IF('01_Вводные'!$B$234="Да",'19_Расчет_аналитики'!BG4478*'01_Вводные'!$B$14,0)</f>
        <v/>
      </c>
      <c r="BI4479">
        <f>IF('01_Вводные'!$B$234="Да",'19_Расчет_аналитики'!BH4478*'01_Вводные'!$B$14,0)</f>
        <v/>
      </c>
      <c r="BJ4479">
        <f>IF('01_Вводные'!$B$234="Да",'19_Расчет_аналитики'!BI4478*'01_Вводные'!$B$14,0)</f>
        <v/>
      </c>
      <c r="BK4479">
        <f>IF('01_Вводные'!$B$234="Да",'19_Расчет_аналитики'!BJ4478*'01_Вводные'!$B$14,0)</f>
        <v/>
      </c>
      <c r="BL4479">
        <f>IF('01_Вводные'!$B$234="Да",'19_Расчет_аналитики'!BK4478*'01_Вводные'!$B$14,0)</f>
        <v/>
      </c>
      <c r="BM4479">
        <f>IF('01_Вводные'!$B$234="Да",'19_Расчет_аналитики'!BL4478*'01_Вводные'!$B$14,0)</f>
        <v/>
      </c>
      <c r="BN4479">
        <f>IF('01_Вводные'!$B$234="Да",'19_Расчет_аналитики'!BM4478*'01_Вводные'!$B$14,0)</f>
        <v/>
      </c>
      <c r="BO4479">
        <f>IF('01_Вводные'!$B$234="Да",'19_Расчет_аналитики'!BN4478*'01_Вводные'!$B$14,0)</f>
        <v/>
      </c>
    </row>
    <row r="4480">
      <c r="B4480">
        <f>'06_Сеть_и_дети'!B77</f>
        <v/>
      </c>
      <c r="C4480">
        <f>'06_Сеть_и_дети'!C77</f>
        <v/>
      </c>
      <c r="D4480">
        <f>'06_Сеть_и_дети'!D77</f>
        <v/>
      </c>
      <c r="E4480">
        <f>'06_Сеть_и_дети'!E77</f>
        <v/>
      </c>
      <c r="F4480">
        <f>'06_Сеть_и_дети'!F77</f>
        <v/>
      </c>
      <c r="G4480">
        <f>'06_Сеть_и_дети'!G77</f>
        <v/>
      </c>
      <c r="H4480">
        <f>'06_Сеть_и_дети'!H77</f>
        <v/>
      </c>
      <c r="I4480">
        <f>'06_Сеть_и_дети'!I77</f>
        <v/>
      </c>
      <c r="J4480">
        <f>'06_Сеть_и_дети'!J77</f>
        <v/>
      </c>
      <c r="K4480">
        <f>'06_Сеть_и_дети'!K77</f>
        <v/>
      </c>
      <c r="L4480">
        <f>'06_Сеть_и_дети'!L77</f>
        <v/>
      </c>
      <c r="M4480">
        <f>'06_Сеть_и_дети'!M77</f>
        <v/>
      </c>
      <c r="N4480">
        <f>'06_Сеть_и_дети'!N77</f>
        <v/>
      </c>
      <c r="O4480">
        <f>'06_Сеть_и_дети'!O77</f>
        <v/>
      </c>
      <c r="P4480">
        <f>'06_Сеть_и_дети'!P77</f>
        <v/>
      </c>
      <c r="Q4480">
        <f>'06_Сеть_и_дети'!Q77</f>
        <v/>
      </c>
      <c r="R4480">
        <f>'06_Сеть_и_дети'!R77</f>
        <v/>
      </c>
      <c r="S4480">
        <f>'06_Сеть_и_дети'!S77</f>
        <v/>
      </c>
      <c r="T4480">
        <f>'06_Сеть_и_дети'!T77</f>
        <v/>
      </c>
      <c r="U4480">
        <f>'06_Сеть_и_дети'!U77</f>
        <v/>
      </c>
      <c r="V4480">
        <f>'06_Сеть_и_дети'!V77</f>
        <v/>
      </c>
      <c r="W4480">
        <f>'06_Сеть_и_дети'!W77</f>
        <v/>
      </c>
      <c r="X4480">
        <f>'06_Сеть_и_дети'!X77</f>
        <v/>
      </c>
      <c r="Y4480">
        <f>'06_Сеть_и_дети'!Y77</f>
        <v/>
      </c>
      <c r="Z4480">
        <f>IF('01_Вводные'!$B$234="Да",SUM('19_Расчет_аналитики'!Y4479:Y4480)*'01_Вводные'!$B$14,0)</f>
        <v/>
      </c>
      <c r="AA4480">
        <f>IF('01_Вводные'!$B$234="Да",SUM('19_Расчет_аналитики'!Z4479:Z4480)*'01_Вводные'!$B$14,0)</f>
        <v/>
      </c>
      <c r="AB4480">
        <f>IF('01_Вводные'!$B$234="Да",SUM('19_Расчет_аналитики'!AA4479:AA4480)*'01_Вводные'!$B$14,0)</f>
        <v/>
      </c>
      <c r="AC4480">
        <f>IF('01_Вводные'!$B$234="Да",SUM('19_Расчет_аналитики'!AB4479:AB4480)*'01_Вводные'!$B$14,0)</f>
        <v/>
      </c>
      <c r="AD4480">
        <f>IF('01_Вводные'!$B$234="Да",SUM('19_Расчет_аналитики'!AC4479:AC4480)*'01_Вводные'!$B$14,0)</f>
        <v/>
      </c>
      <c r="AE4480">
        <f>IF('01_Вводные'!$B$234="Да",SUM('19_Расчет_аналитики'!AD4479:AD4480)*'01_Вводные'!$B$14,0)</f>
        <v/>
      </c>
      <c r="AF4480">
        <f>IF('01_Вводные'!$B$234="Да",SUM('19_Расчет_аналитики'!AE4479:AE4480)*'01_Вводные'!$B$14,0)</f>
        <v/>
      </c>
      <c r="AG4480">
        <f>IF('01_Вводные'!$B$234="Да",SUM('19_Расчет_аналитики'!AF4479:AF4480)*'01_Вводные'!$B$14,0)</f>
        <v/>
      </c>
      <c r="AH4480">
        <f>IF('01_Вводные'!$B$234="Да",SUM('19_Расчет_аналитики'!AG4479:AG4480)*'01_Вводные'!$B$14,0)</f>
        <v/>
      </c>
      <c r="AI4480">
        <f>IF('01_Вводные'!$B$234="Да",SUM('19_Расчет_аналитики'!AH4479:AH4480)*'01_Вводные'!$B$14,0)</f>
        <v/>
      </c>
      <c r="AJ4480">
        <f>IF('01_Вводные'!$B$234="Да",SUM('19_Расчет_аналитики'!AI4479:AI4480)*'01_Вводные'!$B$14,0)</f>
        <v/>
      </c>
      <c r="AK4480">
        <f>IF('01_Вводные'!$B$234="Да",SUM('19_Расчет_аналитики'!AJ4479:AJ4480)*'01_Вводные'!$B$14,0)</f>
        <v/>
      </c>
      <c r="AL4480">
        <f>IF('01_Вводные'!$B$234="Да",SUM('19_Расчет_аналитики'!AK4479:AK4480)*'01_Вводные'!$B$14,0)</f>
        <v/>
      </c>
      <c r="AM4480">
        <f>IF('01_Вводные'!$B$234="Да",SUM('19_Расчет_аналитики'!AL4479:AL4480)*'01_Вводные'!$B$14,0)</f>
        <v/>
      </c>
      <c r="AN4480">
        <f>IF('01_Вводные'!$B$234="Да",SUM('19_Расчет_аналитики'!AM4479:AM4480)*'01_Вводные'!$B$14,0)</f>
        <v/>
      </c>
      <c r="AO4480">
        <f>IF('01_Вводные'!$B$234="Да",SUM('19_Расчет_аналитики'!AN4479:AN4480)*'01_Вводные'!$B$14,0)</f>
        <v/>
      </c>
      <c r="AP4480">
        <f>IF('01_Вводные'!$B$234="Да",SUM('19_Расчет_аналитики'!AO4479:AO4480)*'01_Вводные'!$B$14,0)</f>
        <v/>
      </c>
      <c r="AQ4480">
        <f>IF('01_Вводные'!$B$234="Да",SUM('19_Расчет_аналитики'!AP4479:AP4480)*'01_Вводные'!$B$14,0)</f>
        <v/>
      </c>
      <c r="AR4480">
        <f>IF('01_Вводные'!$B$234="Да",SUM('19_Расчет_аналитики'!AQ4479:AQ4480)*'01_Вводные'!$B$14,0)</f>
        <v/>
      </c>
      <c r="AS4480">
        <f>IF('01_Вводные'!$B$234="Да",SUM('19_Расчет_аналитики'!AR4479:AR4480)*'01_Вводные'!$B$14,0)</f>
        <v/>
      </c>
      <c r="AT4480">
        <f>IF('01_Вводные'!$B$234="Да",SUM('19_Расчет_аналитики'!AS4479:AS4480)*'01_Вводные'!$B$14,0)</f>
        <v/>
      </c>
      <c r="AU4480">
        <f>IF('01_Вводные'!$B$234="Да",SUM('19_Расчет_аналитики'!AT4479:AT4480)*'01_Вводные'!$B$14,0)</f>
        <v/>
      </c>
      <c r="AV4480">
        <f>IF('01_Вводные'!$B$234="Да",SUM('19_Расчет_аналитики'!AU4479:AU4480)*'01_Вводные'!$B$14,0)</f>
        <v/>
      </c>
      <c r="AW4480">
        <f>IF('01_Вводные'!$B$234="Да",SUM('19_Расчет_аналитики'!AV4479:AV4480)*'01_Вводные'!$B$14,0)</f>
        <v/>
      </c>
      <c r="AX4480">
        <f>IF('01_Вводные'!$B$234="Да",SUM('19_Расчет_аналитики'!AW4479:AW4480)*'01_Вводные'!$B$14,0)</f>
        <v/>
      </c>
      <c r="AY4480">
        <f>IF('01_Вводные'!$B$234="Да",SUM('19_Расчет_аналитики'!AX4479:AX4480)*'01_Вводные'!$B$14,0)</f>
        <v/>
      </c>
      <c r="AZ4480">
        <f>IF('01_Вводные'!$B$234="Да",SUM('19_Расчет_аналитики'!AY4479:AY4480)*'01_Вводные'!$B$14,0)</f>
        <v/>
      </c>
      <c r="BA4480">
        <f>IF('01_Вводные'!$B$234="Да",SUM('19_Расчет_аналитики'!AZ4479:AZ4480)*'01_Вводные'!$B$14,0)</f>
        <v/>
      </c>
      <c r="BB4480">
        <f>IF('01_Вводные'!$B$234="Да",SUM('19_Расчет_аналитики'!BA4479:BA4480)*'01_Вводные'!$B$14,0)</f>
        <v/>
      </c>
      <c r="BC4480">
        <f>IF('01_Вводные'!$B$234="Да",SUM('19_Расчет_аналитики'!BB4479:BB4480)*'01_Вводные'!$B$14,0)</f>
        <v/>
      </c>
      <c r="BD4480">
        <f>IF('01_Вводные'!$B$234="Да",SUM('19_Расчет_аналитики'!BC4479:BC4480)*'01_Вводные'!$B$14,0)</f>
        <v/>
      </c>
      <c r="BE4480">
        <f>IF('01_Вводные'!$B$234="Да",SUM('19_Расчет_аналитики'!BD4479:BD4480)*'01_Вводные'!$B$14,0)</f>
        <v/>
      </c>
      <c r="BF4480">
        <f>IF('01_Вводные'!$B$234="Да",SUM('19_Расчет_аналитики'!BE4479:BE4480)*'01_Вводные'!$B$14,0)</f>
        <v/>
      </c>
      <c r="BG4480">
        <f>IF('01_Вводные'!$B$234="Да",SUM('19_Расчет_аналитики'!BF4479:BF4480)*'01_Вводные'!$B$14,0)</f>
        <v/>
      </c>
      <c r="BH4480">
        <f>IF('01_Вводные'!$B$234="Да",SUM('19_Расчет_аналитики'!BG4479:BG4480)*'01_Вводные'!$B$14,0)</f>
        <v/>
      </c>
      <c r="BI4480">
        <f>IF('01_Вводные'!$B$234="Да",SUM('19_Расчет_аналитики'!BH4479:BH4480)*'01_Вводные'!$B$14,0)</f>
        <v/>
      </c>
      <c r="BJ4480">
        <f>IF('01_Вводные'!$B$234="Да",SUM('19_Расчет_аналитики'!BI4479:BI4480)*'01_Вводные'!$B$14,0)</f>
        <v/>
      </c>
      <c r="BK4480">
        <f>IF('01_Вводные'!$B$234="Да",SUM('19_Расчет_аналитики'!BJ4479:BJ4480)*'01_Вводные'!$B$14,0)</f>
        <v/>
      </c>
      <c r="BL4480">
        <f>IF('01_Вводные'!$B$234="Да",SUM('19_Расчет_аналитики'!BK4479:BK4480)*'01_Вводные'!$B$14,0)</f>
        <v/>
      </c>
      <c r="BM4480">
        <f>IF('01_Вводные'!$B$234="Да",SUM('19_Расчет_аналитики'!BL4479:BL4480)*'01_Вводные'!$B$14,0)</f>
        <v/>
      </c>
      <c r="BN4480">
        <f>IF('01_Вводные'!$B$234="Да",SUM('19_Расчет_аналитики'!BM4479:BM4480)*'01_Вводные'!$B$14,0)</f>
        <v/>
      </c>
      <c r="BO4480">
        <f>IF('01_Вводные'!$B$234="Да",SUM('19_Расчет_аналитики'!BN4479:BN4480)*'01_Вводные'!$B$14,0)</f>
        <v/>
      </c>
    </row>
    <row r="4481"/>
    <row r="4482"/>
    <row r="4483"/>
    <row r="4484">
      <c r="B4484">
        <f>IF('01_Вводные'!$B$234="Да",'19_Расчет_аналитики'!B4436,0)</f>
        <v/>
      </c>
      <c r="C4484">
        <f>IF('01_Вводные'!$B$234="Да",'19_Расчет_аналитики'!C4436,0)</f>
        <v/>
      </c>
      <c r="D4484">
        <f>IF('01_Вводные'!$B$234="Да",'19_Расчет_аналитики'!D4436,0)</f>
        <v/>
      </c>
      <c r="E4484">
        <f>IF('01_Вводные'!$B$234="Да",'19_Расчет_аналитики'!E4436,0)</f>
        <v/>
      </c>
      <c r="F4484">
        <f>IF('01_Вводные'!$B$234="Да",'19_Расчет_аналитики'!F4436,0)</f>
        <v/>
      </c>
      <c r="G4484">
        <f>IF('01_Вводные'!$B$234="Да",'19_Расчет_аналитики'!G4436,0)</f>
        <v/>
      </c>
      <c r="H4484">
        <f>IF('01_Вводные'!$B$234="Да",'19_Расчет_аналитики'!H4436,0)</f>
        <v/>
      </c>
      <c r="I4484">
        <f>IF('01_Вводные'!$B$234="Да",'19_Расчет_аналитики'!I4436,0)</f>
        <v/>
      </c>
      <c r="J4484">
        <f>IF('01_Вводные'!$B$234="Да",'19_Расчет_аналитики'!J4436,0)</f>
        <v/>
      </c>
      <c r="K4484">
        <f>IF('01_Вводные'!$B$234="Да",'19_Расчет_аналитики'!K4436,0)</f>
        <v/>
      </c>
      <c r="L4484">
        <f>IF('01_Вводные'!$B$234="Да",'19_Расчет_аналитики'!L4436,0)</f>
        <v/>
      </c>
      <c r="M4484">
        <f>IF('01_Вводные'!$B$234="Да",'19_Расчет_аналитики'!M4436,0)</f>
        <v/>
      </c>
      <c r="N4484">
        <f>IF('01_Вводные'!$B$234="Да",'19_Расчет_аналитики'!N4436,0)</f>
        <v/>
      </c>
      <c r="O4484">
        <f>IF('01_Вводные'!$B$234="Да",'19_Расчет_аналитики'!O4436,0)</f>
        <v/>
      </c>
      <c r="P4484">
        <f>IF('01_Вводные'!$B$234="Да",'19_Расчет_аналитики'!P4436,0)</f>
        <v/>
      </c>
      <c r="Q4484">
        <f>IF('01_Вводные'!$B$234="Да",'19_Расчет_аналитики'!Q4436,0)</f>
        <v/>
      </c>
      <c r="R4484">
        <f>IF('01_Вводные'!$B$234="Да",'19_Расчет_аналитики'!R4436,0)</f>
        <v/>
      </c>
      <c r="S4484">
        <f>IF('01_Вводные'!$B$234="Да",'19_Расчет_аналитики'!S4436,0)</f>
        <v/>
      </c>
      <c r="T4484">
        <f>IF('01_Вводные'!$B$234="Да",'19_Расчет_аналитики'!T4436,0)</f>
        <v/>
      </c>
      <c r="U4484">
        <f>IF('01_Вводные'!$B$234="Да",'19_Расчет_аналитики'!U4436,0)</f>
        <v/>
      </c>
      <c r="V4484">
        <f>IF('01_Вводные'!$B$234="Да",'19_Расчет_аналитики'!V4436,0)</f>
        <v/>
      </c>
      <c r="W4484">
        <f>IF('01_Вводные'!$B$234="Да",'19_Расчет_аналитики'!W4436,0)</f>
        <v/>
      </c>
      <c r="X4484">
        <f>IF('01_Вводные'!$B$234="Да",'19_Расчет_аналитики'!X4436,0)</f>
        <v/>
      </c>
      <c r="Y4484">
        <f>IF('01_Вводные'!$B$234="Да",'19_Расчет_аналитики'!Y4436,0)</f>
        <v/>
      </c>
      <c r="Z4484">
        <f>IF('01_Вводные'!$B$234="Да",'19_Расчет_аналитики'!Z4436,0)</f>
        <v/>
      </c>
      <c r="AA4484">
        <f>IF('01_Вводные'!$B$234="Да",'19_Расчет_аналитики'!AA4436,0)</f>
        <v/>
      </c>
      <c r="AB4484">
        <f>IF('01_Вводные'!$B$234="Да",'19_Расчет_аналитики'!AB4436,0)</f>
        <v/>
      </c>
      <c r="AC4484">
        <f>IF('01_Вводные'!$B$234="Да",'19_Расчет_аналитики'!AC4436,0)</f>
        <v/>
      </c>
      <c r="AD4484">
        <f>IF('01_Вводные'!$B$234="Да",'19_Расчет_аналитики'!AD4436,0)</f>
        <v/>
      </c>
      <c r="AE4484">
        <f>IF('01_Вводные'!$B$234="Да",'19_Расчет_аналитики'!AE4436,0)</f>
        <v/>
      </c>
      <c r="AF4484">
        <f>IF('01_Вводные'!$B$234="Да",'19_Расчет_аналитики'!AF4436,0)</f>
        <v/>
      </c>
      <c r="AG4484">
        <f>IF('01_Вводные'!$B$234="Да",'19_Расчет_аналитики'!AG4436,0)</f>
        <v/>
      </c>
      <c r="AH4484">
        <f>IF('01_Вводные'!$B$234="Да",'19_Расчет_аналитики'!AH4436,0)</f>
        <v/>
      </c>
      <c r="AI4484">
        <f>IF('01_Вводные'!$B$234="Да",'19_Расчет_аналитики'!AI4436,0)</f>
        <v/>
      </c>
      <c r="AJ4484">
        <f>IF('01_Вводные'!$B$234="Да",'19_Расчет_аналитики'!AJ4436,0)</f>
        <v/>
      </c>
      <c r="AK4484">
        <f>IF('01_Вводные'!$B$234="Да",'19_Расчет_аналитики'!AK4436,0)</f>
        <v/>
      </c>
      <c r="AL4484">
        <f>IF('01_Вводные'!$B$234="Да",'19_Расчет_аналитики'!AL4436,0)</f>
        <v/>
      </c>
      <c r="AM4484">
        <f>IF('01_Вводные'!$B$234="Да",'19_Расчет_аналитики'!AM4436,0)</f>
        <v/>
      </c>
      <c r="AN4484">
        <f>IF('01_Вводные'!$B$234="Да",'19_Расчет_аналитики'!AN4436,0)</f>
        <v/>
      </c>
      <c r="AO4484">
        <f>IF('01_Вводные'!$B$234="Да",'19_Расчет_аналитики'!AO4436,0)</f>
        <v/>
      </c>
      <c r="AP4484">
        <f>IF('01_Вводные'!$B$234="Да",'19_Расчет_аналитики'!AP4436,0)</f>
        <v/>
      </c>
      <c r="AQ4484">
        <f>IF('01_Вводные'!$B$234="Да",'19_Расчет_аналитики'!AQ4436,0)</f>
        <v/>
      </c>
      <c r="AR4484">
        <f>IF('01_Вводные'!$B$234="Да",'19_Расчет_аналитики'!AR4436,0)</f>
        <v/>
      </c>
      <c r="AS4484">
        <f>IF('01_Вводные'!$B$234="Да",'19_Расчет_аналитики'!AS4436,0)</f>
        <v/>
      </c>
      <c r="AT4484">
        <f>IF('01_Вводные'!$B$234="Да",'19_Расчет_аналитики'!AT4436,0)</f>
        <v/>
      </c>
      <c r="AU4484">
        <f>IF('01_Вводные'!$B$234="Да",'19_Расчет_аналитики'!AU4436,0)</f>
        <v/>
      </c>
      <c r="AV4484">
        <f>IF('01_Вводные'!$B$234="Да",'19_Расчет_аналитики'!AV4436,0)</f>
        <v/>
      </c>
      <c r="AW4484">
        <f>IF('01_Вводные'!$B$234="Да",'19_Расчет_аналитики'!AW4436,0)</f>
        <v/>
      </c>
      <c r="AX4484">
        <f>IF('01_Вводные'!$B$234="Да",'19_Расчет_аналитики'!AX4436,0)</f>
        <v/>
      </c>
      <c r="AY4484">
        <f>IF('01_Вводные'!$B$234="Да",'19_Расчет_аналитики'!AY4436,0)</f>
        <v/>
      </c>
      <c r="AZ4484">
        <f>IF('01_Вводные'!$B$234="Да",'19_Расчет_аналитики'!AZ4436,0)</f>
        <v/>
      </c>
      <c r="BA4484">
        <f>IF('01_Вводные'!$B$234="Да",'19_Расчет_аналитики'!BA4436,0)</f>
        <v/>
      </c>
      <c r="BB4484">
        <f>IF('01_Вводные'!$B$234="Да",'19_Расчет_аналитики'!BB4436,0)</f>
        <v/>
      </c>
      <c r="BC4484">
        <f>IF('01_Вводные'!$B$234="Да",'19_Расчет_аналитики'!BC4436,0)</f>
        <v/>
      </c>
      <c r="BD4484">
        <f>IF('01_Вводные'!$B$234="Да",'19_Расчет_аналитики'!BD4436,0)</f>
        <v/>
      </c>
      <c r="BE4484">
        <f>IF('01_Вводные'!$B$234="Да",'19_Расчет_аналитики'!BE4436,0)</f>
        <v/>
      </c>
      <c r="BF4484">
        <f>IF('01_Вводные'!$B$234="Да",'19_Расчет_аналитики'!BF4436,0)</f>
        <v/>
      </c>
      <c r="BG4484">
        <f>IF('01_Вводные'!$B$234="Да",'19_Расчет_аналитики'!BG4436,0)</f>
        <v/>
      </c>
      <c r="BH4484">
        <f>IF('01_Вводные'!$B$234="Да",'19_Расчет_аналитики'!BH4436,0)</f>
        <v/>
      </c>
      <c r="BI4484">
        <f>IF('01_Вводные'!$B$234="Да",'19_Расчет_аналитики'!BI4436,0)</f>
        <v/>
      </c>
      <c r="BJ4484">
        <f>IF('01_Вводные'!$B$234="Да",'19_Расчет_аналитики'!BJ4436,0)</f>
        <v/>
      </c>
      <c r="BK4484">
        <f>IF('01_Вводные'!$B$234="Да",'19_Расчет_аналитики'!BK4436,0)</f>
        <v/>
      </c>
      <c r="BL4484">
        <f>IF('01_Вводные'!$B$234="Да",'19_Расчет_аналитики'!BL4436,0)</f>
        <v/>
      </c>
      <c r="BM4484">
        <f>IF('01_Вводные'!$B$234="Да",'19_Расчет_аналитики'!BM4436,0)</f>
        <v/>
      </c>
      <c r="BN4484">
        <f>IF('01_Вводные'!$B$234="Да",'19_Расчет_аналитики'!BN4436,0)</f>
        <v/>
      </c>
      <c r="BO4484">
        <f>IF('01_Вводные'!$B$234="Да",'19_Расчет_аналитики'!BO4436,0)</f>
        <v/>
      </c>
    </row>
    <row r="4485">
      <c r="B4485">
        <f>'06_Сеть_и_дети'!B82</f>
        <v/>
      </c>
      <c r="C4485">
        <f>IF('01_Вводные'!$B$234="Да",'19_Расчет_аналитики'!B4484*'01_Вводные'!$B$14,0)</f>
        <v/>
      </c>
      <c r="D4485">
        <f>IF('01_Вводные'!$B$234="Да",'19_Расчет_аналитики'!C4484*'01_Вводные'!$B$14,0)</f>
        <v/>
      </c>
      <c r="E4485">
        <f>IF('01_Вводные'!$B$234="Да",'19_Расчет_аналитики'!D4484*'01_Вводные'!$B$14,0)</f>
        <v/>
      </c>
      <c r="F4485">
        <f>IF('01_Вводные'!$B$234="Да",'19_Расчет_аналитики'!E4484*'01_Вводные'!$B$14,0)</f>
        <v/>
      </c>
      <c r="G4485">
        <f>IF('01_Вводные'!$B$234="Да",'19_Расчет_аналитики'!F4484*'01_Вводные'!$B$14,0)</f>
        <v/>
      </c>
      <c r="H4485">
        <f>IF('01_Вводные'!$B$234="Да",'19_Расчет_аналитики'!G4484*'01_Вводные'!$B$14,0)</f>
        <v/>
      </c>
      <c r="I4485">
        <f>IF('01_Вводные'!$B$234="Да",'19_Расчет_аналитики'!H4484*'01_Вводные'!$B$14,0)</f>
        <v/>
      </c>
      <c r="J4485">
        <f>IF('01_Вводные'!$B$234="Да",'19_Расчет_аналитики'!I4484*'01_Вводные'!$B$14,0)</f>
        <v/>
      </c>
      <c r="K4485">
        <f>IF('01_Вводные'!$B$234="Да",'19_Расчет_аналитики'!J4484*'01_Вводные'!$B$14,0)</f>
        <v/>
      </c>
      <c r="L4485">
        <f>IF('01_Вводные'!$B$234="Да",'19_Расчет_аналитики'!K4484*'01_Вводные'!$B$14,0)</f>
        <v/>
      </c>
      <c r="M4485">
        <f>IF('01_Вводные'!$B$234="Да",'19_Расчет_аналитики'!L4484*'01_Вводные'!$B$14,0)</f>
        <v/>
      </c>
      <c r="N4485">
        <f>IF('01_Вводные'!$B$234="Да",'19_Расчет_аналитики'!M4484*'01_Вводные'!$B$14,0)</f>
        <v/>
      </c>
      <c r="O4485">
        <f>IF('01_Вводные'!$B$234="Да",'19_Расчет_аналитики'!N4484*'01_Вводные'!$B$14,0)</f>
        <v/>
      </c>
      <c r="P4485">
        <f>IF('01_Вводные'!$B$234="Да",'19_Расчет_аналитики'!O4484*'01_Вводные'!$B$14,0)</f>
        <v/>
      </c>
      <c r="Q4485">
        <f>IF('01_Вводные'!$B$234="Да",'19_Расчет_аналитики'!P4484*'01_Вводные'!$B$14,0)</f>
        <v/>
      </c>
      <c r="R4485">
        <f>IF('01_Вводные'!$B$234="Да",'19_Расчет_аналитики'!Q4484*'01_Вводные'!$B$14,0)</f>
        <v/>
      </c>
      <c r="S4485">
        <f>IF('01_Вводные'!$B$234="Да",'19_Расчет_аналитики'!R4484*'01_Вводные'!$B$14,0)</f>
        <v/>
      </c>
      <c r="T4485">
        <f>IF('01_Вводные'!$B$234="Да",'19_Расчет_аналитики'!S4484*'01_Вводные'!$B$14,0)</f>
        <v/>
      </c>
      <c r="U4485">
        <f>IF('01_Вводные'!$B$234="Да",'19_Расчет_аналитики'!T4484*'01_Вводные'!$B$14,0)</f>
        <v/>
      </c>
      <c r="V4485">
        <f>IF('01_Вводные'!$B$234="Да",'19_Расчет_аналитики'!U4484*'01_Вводные'!$B$14,0)</f>
        <v/>
      </c>
      <c r="W4485">
        <f>IF('01_Вводные'!$B$234="Да",'19_Расчет_аналитики'!V4484*'01_Вводные'!$B$14,0)</f>
        <v/>
      </c>
      <c r="X4485">
        <f>IF('01_Вводные'!$B$234="Да",'19_Расчет_аналитики'!W4484*'01_Вводные'!$B$14,0)</f>
        <v/>
      </c>
      <c r="Y4485">
        <f>IF('01_Вводные'!$B$234="Да",'19_Расчет_аналитики'!X4484*'01_Вводные'!$B$14,0)</f>
        <v/>
      </c>
      <c r="Z4485">
        <f>IF('01_Вводные'!$B$234="Да",'19_Расчет_аналитики'!Y4484*'01_Вводные'!$B$14,0)</f>
        <v/>
      </c>
      <c r="AA4485">
        <f>IF('01_Вводные'!$B$234="Да",'19_Расчет_аналитики'!Z4484*'01_Вводные'!$B$14,0)</f>
        <v/>
      </c>
      <c r="AB4485">
        <f>IF('01_Вводные'!$B$234="Да",'19_Расчет_аналитики'!AA4484*'01_Вводные'!$B$14,0)</f>
        <v/>
      </c>
      <c r="AC4485">
        <f>IF('01_Вводные'!$B$234="Да",'19_Расчет_аналитики'!AB4484*'01_Вводные'!$B$14,0)</f>
        <v/>
      </c>
      <c r="AD4485">
        <f>IF('01_Вводные'!$B$234="Да",'19_Расчет_аналитики'!AC4484*'01_Вводные'!$B$14,0)</f>
        <v/>
      </c>
      <c r="AE4485">
        <f>IF('01_Вводные'!$B$234="Да",'19_Расчет_аналитики'!AD4484*'01_Вводные'!$B$14,0)</f>
        <v/>
      </c>
      <c r="AF4485">
        <f>IF('01_Вводные'!$B$234="Да",'19_Расчет_аналитики'!AE4484*'01_Вводные'!$B$14,0)</f>
        <v/>
      </c>
      <c r="AG4485">
        <f>IF('01_Вводные'!$B$234="Да",'19_Расчет_аналитики'!AF4484*'01_Вводные'!$B$14,0)</f>
        <v/>
      </c>
      <c r="AH4485">
        <f>IF('01_Вводные'!$B$234="Да",'19_Расчет_аналитики'!AG4484*'01_Вводные'!$B$14,0)</f>
        <v/>
      </c>
      <c r="AI4485">
        <f>IF('01_Вводные'!$B$234="Да",'19_Расчет_аналитики'!AH4484*'01_Вводные'!$B$14,0)</f>
        <v/>
      </c>
      <c r="AJ4485">
        <f>IF('01_Вводные'!$B$234="Да",'19_Расчет_аналитики'!AI4484*'01_Вводные'!$B$14,0)</f>
        <v/>
      </c>
      <c r="AK4485">
        <f>IF('01_Вводные'!$B$234="Да",'19_Расчет_аналитики'!AJ4484*'01_Вводные'!$B$14,0)</f>
        <v/>
      </c>
      <c r="AL4485">
        <f>IF('01_Вводные'!$B$234="Да",'19_Расчет_аналитики'!AK4484*'01_Вводные'!$B$14,0)</f>
        <v/>
      </c>
      <c r="AM4485">
        <f>IF('01_Вводные'!$B$234="Да",'19_Расчет_аналитики'!AL4484*'01_Вводные'!$B$14,0)</f>
        <v/>
      </c>
      <c r="AN4485">
        <f>IF('01_Вводные'!$B$234="Да",'19_Расчет_аналитики'!AM4484*'01_Вводные'!$B$14,0)</f>
        <v/>
      </c>
      <c r="AO4485">
        <f>IF('01_Вводные'!$B$234="Да",'19_Расчет_аналитики'!AN4484*'01_Вводные'!$B$14,0)</f>
        <v/>
      </c>
      <c r="AP4485">
        <f>IF('01_Вводные'!$B$234="Да",'19_Расчет_аналитики'!AO4484*'01_Вводные'!$B$14,0)</f>
        <v/>
      </c>
      <c r="AQ4485">
        <f>IF('01_Вводные'!$B$234="Да",'19_Расчет_аналитики'!AP4484*'01_Вводные'!$B$14,0)</f>
        <v/>
      </c>
      <c r="AR4485">
        <f>IF('01_Вводные'!$B$234="Да",'19_Расчет_аналитики'!AQ4484*'01_Вводные'!$B$14,0)</f>
        <v/>
      </c>
      <c r="AS4485">
        <f>IF('01_Вводные'!$B$234="Да",'19_Расчет_аналитики'!AR4484*'01_Вводные'!$B$14,0)</f>
        <v/>
      </c>
      <c r="AT4485">
        <f>IF('01_Вводные'!$B$234="Да",'19_Расчет_аналитики'!AS4484*'01_Вводные'!$B$14,0)</f>
        <v/>
      </c>
      <c r="AU4485">
        <f>IF('01_Вводные'!$B$234="Да",'19_Расчет_аналитики'!AT4484*'01_Вводные'!$B$14,0)</f>
        <v/>
      </c>
      <c r="AV4485">
        <f>IF('01_Вводные'!$B$234="Да",'19_Расчет_аналитики'!AU4484*'01_Вводные'!$B$14,0)</f>
        <v/>
      </c>
      <c r="AW4485">
        <f>IF('01_Вводные'!$B$234="Да",'19_Расчет_аналитики'!AV4484*'01_Вводные'!$B$14,0)</f>
        <v/>
      </c>
      <c r="AX4485">
        <f>IF('01_Вводные'!$B$234="Да",'19_Расчет_аналитики'!AW4484*'01_Вводные'!$B$14,0)</f>
        <v/>
      </c>
      <c r="AY4485">
        <f>IF('01_Вводные'!$B$234="Да",'19_Расчет_аналитики'!AX4484*'01_Вводные'!$B$14,0)</f>
        <v/>
      </c>
      <c r="AZ4485">
        <f>IF('01_Вводные'!$B$234="Да",'19_Расчет_аналитики'!AY4484*'01_Вводные'!$B$14,0)</f>
        <v/>
      </c>
      <c r="BA4485">
        <f>IF('01_Вводные'!$B$234="Да",'19_Расчет_аналитики'!AZ4484*'01_Вводные'!$B$14,0)</f>
        <v/>
      </c>
      <c r="BB4485">
        <f>IF('01_Вводные'!$B$234="Да",'19_Расчет_аналитики'!BA4484*'01_Вводные'!$B$14,0)</f>
        <v/>
      </c>
      <c r="BC4485">
        <f>IF('01_Вводные'!$B$234="Да",'19_Расчет_аналитики'!BB4484*'01_Вводные'!$B$14,0)</f>
        <v/>
      </c>
      <c r="BD4485">
        <f>IF('01_Вводные'!$B$234="Да",'19_Расчет_аналитики'!BC4484*'01_Вводные'!$B$14,0)</f>
        <v/>
      </c>
      <c r="BE4485">
        <f>IF('01_Вводные'!$B$234="Да",'19_Расчет_аналитики'!BD4484*'01_Вводные'!$B$14,0)</f>
        <v/>
      </c>
      <c r="BF4485">
        <f>IF('01_Вводные'!$B$234="Да",'19_Расчет_аналитики'!BE4484*'01_Вводные'!$B$14,0)</f>
        <v/>
      </c>
      <c r="BG4485">
        <f>IF('01_Вводные'!$B$234="Да",'19_Расчет_аналитики'!BF4484*'01_Вводные'!$B$14,0)</f>
        <v/>
      </c>
      <c r="BH4485">
        <f>IF('01_Вводные'!$B$234="Да",'19_Расчет_аналитики'!BG4484*'01_Вводные'!$B$14,0)</f>
        <v/>
      </c>
      <c r="BI4485">
        <f>IF('01_Вводные'!$B$234="Да",'19_Расчет_аналитики'!BH4484*'01_Вводные'!$B$14,0)</f>
        <v/>
      </c>
      <c r="BJ4485">
        <f>IF('01_Вводные'!$B$234="Да",'19_Расчет_аналитики'!BI4484*'01_Вводные'!$B$14,0)</f>
        <v/>
      </c>
      <c r="BK4485">
        <f>IF('01_Вводные'!$B$234="Да",'19_Расчет_аналитики'!BJ4484*'01_Вводные'!$B$14,0)</f>
        <v/>
      </c>
      <c r="BL4485">
        <f>IF('01_Вводные'!$B$234="Да",'19_Расчет_аналитики'!BK4484*'01_Вводные'!$B$14,0)</f>
        <v/>
      </c>
      <c r="BM4485">
        <f>IF('01_Вводные'!$B$234="Да",'19_Расчет_аналитики'!BL4484*'01_Вводные'!$B$14,0)</f>
        <v/>
      </c>
      <c r="BN4485">
        <f>IF('01_Вводные'!$B$234="Да",'19_Расчет_аналитики'!BM4484*'01_Вводные'!$B$14,0)</f>
        <v/>
      </c>
      <c r="BO4485">
        <f>IF('01_Вводные'!$B$234="Да",'19_Расчет_аналитики'!BN4484*'01_Вводные'!$B$14,0)</f>
        <v/>
      </c>
    </row>
    <row r="4486">
      <c r="B4486">
        <f>'06_Сеть_и_дети'!B83</f>
        <v/>
      </c>
      <c r="C4486">
        <f>'06_Сеть_и_дети'!C83</f>
        <v/>
      </c>
      <c r="D4486">
        <f>IF('01_Вводные'!$B$234="Да",'19_Расчет_аналитики'!C4485*'01_Вводные'!$B$14,0)</f>
        <v/>
      </c>
      <c r="E4486">
        <f>IF('01_Вводные'!$B$234="Да",'19_Расчет_аналитики'!D4485*'01_Вводные'!$B$14,0)</f>
        <v/>
      </c>
      <c r="F4486">
        <f>IF('01_Вводные'!$B$234="Да",'19_Расчет_аналитики'!E4485*'01_Вводные'!$B$14,0)</f>
        <v/>
      </c>
      <c r="G4486">
        <f>IF('01_Вводные'!$B$234="Да",'19_Расчет_аналитики'!F4485*'01_Вводные'!$B$14,0)</f>
        <v/>
      </c>
      <c r="H4486">
        <f>IF('01_Вводные'!$B$234="Да",'19_Расчет_аналитики'!G4485*'01_Вводные'!$B$14,0)</f>
        <v/>
      </c>
      <c r="I4486">
        <f>IF('01_Вводные'!$B$234="Да",'19_Расчет_аналитики'!H4485*'01_Вводные'!$B$14,0)</f>
        <v/>
      </c>
      <c r="J4486">
        <f>IF('01_Вводные'!$B$234="Да",'19_Расчет_аналитики'!I4485*'01_Вводные'!$B$14,0)</f>
        <v/>
      </c>
      <c r="K4486">
        <f>IF('01_Вводные'!$B$234="Да",'19_Расчет_аналитики'!J4485*'01_Вводные'!$B$14,0)</f>
        <v/>
      </c>
      <c r="L4486">
        <f>IF('01_Вводные'!$B$234="Да",'19_Расчет_аналитики'!K4485*'01_Вводные'!$B$14,0)</f>
        <v/>
      </c>
      <c r="M4486">
        <f>IF('01_Вводные'!$B$234="Да",'19_Расчет_аналитики'!L4485*'01_Вводные'!$B$14,0)</f>
        <v/>
      </c>
      <c r="N4486">
        <f>IF('01_Вводные'!$B$234="Да",'19_Расчет_аналитики'!M4485*'01_Вводные'!$B$14,0)</f>
        <v/>
      </c>
      <c r="O4486">
        <f>IF('01_Вводные'!$B$234="Да",'19_Расчет_аналитики'!N4485*'01_Вводные'!$B$14,0)</f>
        <v/>
      </c>
      <c r="P4486">
        <f>IF('01_Вводные'!$B$234="Да",'19_Расчет_аналитики'!O4485*'01_Вводные'!$B$14,0)</f>
        <v/>
      </c>
      <c r="Q4486">
        <f>IF('01_Вводные'!$B$234="Да",'19_Расчет_аналитики'!P4485*'01_Вводные'!$B$14,0)</f>
        <v/>
      </c>
      <c r="R4486">
        <f>IF('01_Вводные'!$B$234="Да",'19_Расчет_аналитики'!Q4485*'01_Вводные'!$B$14,0)</f>
        <v/>
      </c>
      <c r="S4486">
        <f>IF('01_Вводные'!$B$234="Да",'19_Расчет_аналитики'!R4485*'01_Вводные'!$B$14,0)</f>
        <v/>
      </c>
      <c r="T4486">
        <f>IF('01_Вводные'!$B$234="Да",'19_Расчет_аналитики'!S4485*'01_Вводные'!$B$14,0)</f>
        <v/>
      </c>
      <c r="U4486">
        <f>IF('01_Вводные'!$B$234="Да",'19_Расчет_аналитики'!T4485*'01_Вводные'!$B$14,0)</f>
        <v/>
      </c>
      <c r="V4486">
        <f>IF('01_Вводные'!$B$234="Да",'19_Расчет_аналитики'!U4485*'01_Вводные'!$B$14,0)</f>
        <v/>
      </c>
      <c r="W4486">
        <f>IF('01_Вводные'!$B$234="Да",'19_Расчет_аналитики'!V4485*'01_Вводные'!$B$14,0)</f>
        <v/>
      </c>
      <c r="X4486">
        <f>IF('01_Вводные'!$B$234="Да",'19_Расчет_аналитики'!W4485*'01_Вводные'!$B$14,0)</f>
        <v/>
      </c>
      <c r="Y4486">
        <f>IF('01_Вводные'!$B$234="Да",'19_Расчет_аналитики'!X4485*'01_Вводные'!$B$14,0)</f>
        <v/>
      </c>
      <c r="Z4486">
        <f>IF('01_Вводные'!$B$234="Да",'19_Расчет_аналитики'!Y4485*'01_Вводные'!$B$14,0)</f>
        <v/>
      </c>
      <c r="AA4486">
        <f>IF('01_Вводные'!$B$234="Да",'19_Расчет_аналитики'!Z4485*'01_Вводные'!$B$14,0)</f>
        <v/>
      </c>
      <c r="AB4486">
        <f>IF('01_Вводные'!$B$234="Да",'19_Расчет_аналитики'!AA4485*'01_Вводные'!$B$14,0)</f>
        <v/>
      </c>
      <c r="AC4486">
        <f>IF('01_Вводные'!$B$234="Да",'19_Расчет_аналитики'!AB4485*'01_Вводные'!$B$14,0)</f>
        <v/>
      </c>
      <c r="AD4486">
        <f>IF('01_Вводные'!$B$234="Да",'19_Расчет_аналитики'!AC4485*'01_Вводные'!$B$14,0)</f>
        <v/>
      </c>
      <c r="AE4486">
        <f>IF('01_Вводные'!$B$234="Да",'19_Расчет_аналитики'!AD4485*'01_Вводные'!$B$14,0)</f>
        <v/>
      </c>
      <c r="AF4486">
        <f>IF('01_Вводные'!$B$234="Да",'19_Расчет_аналитики'!AE4485*'01_Вводные'!$B$14,0)</f>
        <v/>
      </c>
      <c r="AG4486">
        <f>IF('01_Вводные'!$B$234="Да",'19_Расчет_аналитики'!AF4485*'01_Вводные'!$B$14,0)</f>
        <v/>
      </c>
      <c r="AH4486">
        <f>IF('01_Вводные'!$B$234="Да",'19_Расчет_аналитики'!AG4485*'01_Вводные'!$B$14,0)</f>
        <v/>
      </c>
      <c r="AI4486">
        <f>IF('01_Вводные'!$B$234="Да",'19_Расчет_аналитики'!AH4485*'01_Вводные'!$B$14,0)</f>
        <v/>
      </c>
      <c r="AJ4486">
        <f>IF('01_Вводные'!$B$234="Да",'19_Расчет_аналитики'!AI4485*'01_Вводные'!$B$14,0)</f>
        <v/>
      </c>
      <c r="AK4486">
        <f>IF('01_Вводные'!$B$234="Да",'19_Расчет_аналитики'!AJ4485*'01_Вводные'!$B$14,0)</f>
        <v/>
      </c>
      <c r="AL4486">
        <f>IF('01_Вводные'!$B$234="Да",'19_Расчет_аналитики'!AK4485*'01_Вводные'!$B$14,0)</f>
        <v/>
      </c>
      <c r="AM4486">
        <f>IF('01_Вводные'!$B$234="Да",'19_Расчет_аналитики'!AL4485*'01_Вводные'!$B$14,0)</f>
        <v/>
      </c>
      <c r="AN4486">
        <f>IF('01_Вводные'!$B$234="Да",'19_Расчет_аналитики'!AM4485*'01_Вводные'!$B$14,0)</f>
        <v/>
      </c>
      <c r="AO4486">
        <f>IF('01_Вводные'!$B$234="Да",'19_Расчет_аналитики'!AN4485*'01_Вводные'!$B$14,0)</f>
        <v/>
      </c>
      <c r="AP4486">
        <f>IF('01_Вводные'!$B$234="Да",'19_Расчет_аналитики'!AO4485*'01_Вводные'!$B$14,0)</f>
        <v/>
      </c>
      <c r="AQ4486">
        <f>IF('01_Вводные'!$B$234="Да",'19_Расчет_аналитики'!AP4485*'01_Вводные'!$B$14,0)</f>
        <v/>
      </c>
      <c r="AR4486">
        <f>IF('01_Вводные'!$B$234="Да",'19_Расчет_аналитики'!AQ4485*'01_Вводные'!$B$14,0)</f>
        <v/>
      </c>
      <c r="AS4486">
        <f>IF('01_Вводные'!$B$234="Да",'19_Расчет_аналитики'!AR4485*'01_Вводные'!$B$14,0)</f>
        <v/>
      </c>
      <c r="AT4486">
        <f>IF('01_Вводные'!$B$234="Да",'19_Расчет_аналитики'!AS4485*'01_Вводные'!$B$14,0)</f>
        <v/>
      </c>
      <c r="AU4486">
        <f>IF('01_Вводные'!$B$234="Да",'19_Расчет_аналитики'!AT4485*'01_Вводные'!$B$14,0)</f>
        <v/>
      </c>
      <c r="AV4486">
        <f>IF('01_Вводные'!$B$234="Да",'19_Расчет_аналитики'!AU4485*'01_Вводные'!$B$14,0)</f>
        <v/>
      </c>
      <c r="AW4486">
        <f>IF('01_Вводные'!$B$234="Да",'19_Расчет_аналитики'!AV4485*'01_Вводные'!$B$14,0)</f>
        <v/>
      </c>
      <c r="AX4486">
        <f>IF('01_Вводные'!$B$234="Да",'19_Расчет_аналитики'!AW4485*'01_Вводные'!$B$14,0)</f>
        <v/>
      </c>
      <c r="AY4486">
        <f>IF('01_Вводные'!$B$234="Да",'19_Расчет_аналитики'!AX4485*'01_Вводные'!$B$14,0)</f>
        <v/>
      </c>
      <c r="AZ4486">
        <f>IF('01_Вводные'!$B$234="Да",'19_Расчет_аналитики'!AY4485*'01_Вводные'!$B$14,0)</f>
        <v/>
      </c>
      <c r="BA4486">
        <f>IF('01_Вводные'!$B$234="Да",'19_Расчет_аналитики'!AZ4485*'01_Вводные'!$B$14,0)</f>
        <v/>
      </c>
      <c r="BB4486">
        <f>IF('01_Вводные'!$B$234="Да",'19_Расчет_аналитики'!BA4485*'01_Вводные'!$B$14,0)</f>
        <v/>
      </c>
      <c r="BC4486">
        <f>IF('01_Вводные'!$B$234="Да",'19_Расчет_аналитики'!BB4485*'01_Вводные'!$B$14,0)</f>
        <v/>
      </c>
      <c r="BD4486">
        <f>IF('01_Вводные'!$B$234="Да",'19_Расчет_аналитики'!BC4485*'01_Вводные'!$B$14,0)</f>
        <v/>
      </c>
      <c r="BE4486">
        <f>IF('01_Вводные'!$B$234="Да",'19_Расчет_аналитики'!BD4485*'01_Вводные'!$B$14,0)</f>
        <v/>
      </c>
      <c r="BF4486">
        <f>IF('01_Вводные'!$B$234="Да",'19_Расчет_аналитики'!BE4485*'01_Вводные'!$B$14,0)</f>
        <v/>
      </c>
      <c r="BG4486">
        <f>IF('01_Вводные'!$B$234="Да",'19_Расчет_аналитики'!BF4485*'01_Вводные'!$B$14,0)</f>
        <v/>
      </c>
      <c r="BH4486">
        <f>IF('01_Вводные'!$B$234="Да",'19_Расчет_аналитики'!BG4485*'01_Вводные'!$B$14,0)</f>
        <v/>
      </c>
      <c r="BI4486">
        <f>IF('01_Вводные'!$B$234="Да",'19_Расчет_аналитики'!BH4485*'01_Вводные'!$B$14,0)</f>
        <v/>
      </c>
      <c r="BJ4486">
        <f>IF('01_Вводные'!$B$234="Да",'19_Расчет_аналитики'!BI4485*'01_Вводные'!$B$14,0)</f>
        <v/>
      </c>
      <c r="BK4486">
        <f>IF('01_Вводные'!$B$234="Да",'19_Расчет_аналитики'!BJ4485*'01_Вводные'!$B$14,0)</f>
        <v/>
      </c>
      <c r="BL4486">
        <f>IF('01_Вводные'!$B$234="Да",'19_Расчет_аналитики'!BK4485*'01_Вводные'!$B$14,0)</f>
        <v/>
      </c>
      <c r="BM4486">
        <f>IF('01_Вводные'!$B$234="Да",'19_Расчет_аналитики'!BL4485*'01_Вводные'!$B$14,0)</f>
        <v/>
      </c>
      <c r="BN4486">
        <f>IF('01_Вводные'!$B$234="Да",'19_Расчет_аналитики'!BM4485*'01_Вводные'!$B$14,0)</f>
        <v/>
      </c>
      <c r="BO4486">
        <f>IF('01_Вводные'!$B$234="Да",'19_Расчет_аналитики'!BN4485*'01_Вводные'!$B$14,0)</f>
        <v/>
      </c>
    </row>
    <row r="4487">
      <c r="B4487">
        <f>'06_Сеть_и_дети'!B84</f>
        <v/>
      </c>
      <c r="C4487">
        <f>'06_Сеть_и_дети'!C84</f>
        <v/>
      </c>
      <c r="D4487">
        <f>'06_Сеть_и_дети'!D84</f>
        <v/>
      </c>
      <c r="E4487">
        <f>IF('01_Вводные'!$B$234="Да",'19_Расчет_аналитики'!D4486*'01_Вводные'!$B$14,0)</f>
        <v/>
      </c>
      <c r="F4487">
        <f>IF('01_Вводные'!$B$234="Да",'19_Расчет_аналитики'!E4486*'01_Вводные'!$B$14,0)</f>
        <v/>
      </c>
      <c r="G4487">
        <f>IF('01_Вводные'!$B$234="Да",'19_Расчет_аналитики'!F4486*'01_Вводные'!$B$14,0)</f>
        <v/>
      </c>
      <c r="H4487">
        <f>IF('01_Вводные'!$B$234="Да",'19_Расчет_аналитики'!G4486*'01_Вводные'!$B$14,0)</f>
        <v/>
      </c>
      <c r="I4487">
        <f>IF('01_Вводные'!$B$234="Да",'19_Расчет_аналитики'!H4486*'01_Вводные'!$B$14,0)</f>
        <v/>
      </c>
      <c r="J4487">
        <f>IF('01_Вводные'!$B$234="Да",'19_Расчет_аналитики'!I4486*'01_Вводные'!$B$14,0)</f>
        <v/>
      </c>
      <c r="K4487">
        <f>IF('01_Вводные'!$B$234="Да",'19_Расчет_аналитики'!J4486*'01_Вводные'!$B$14,0)</f>
        <v/>
      </c>
      <c r="L4487">
        <f>IF('01_Вводные'!$B$234="Да",'19_Расчет_аналитики'!K4486*'01_Вводные'!$B$14,0)</f>
        <v/>
      </c>
      <c r="M4487">
        <f>IF('01_Вводные'!$B$234="Да",'19_Расчет_аналитики'!L4486*'01_Вводные'!$B$14,0)</f>
        <v/>
      </c>
      <c r="N4487">
        <f>IF('01_Вводные'!$B$234="Да",'19_Расчет_аналитики'!M4486*'01_Вводные'!$B$14,0)</f>
        <v/>
      </c>
      <c r="O4487">
        <f>IF('01_Вводные'!$B$234="Да",'19_Расчет_аналитики'!N4486*'01_Вводные'!$B$14,0)</f>
        <v/>
      </c>
      <c r="P4487">
        <f>IF('01_Вводные'!$B$234="Да",'19_Расчет_аналитики'!O4486*'01_Вводные'!$B$14,0)</f>
        <v/>
      </c>
      <c r="Q4487">
        <f>IF('01_Вводные'!$B$234="Да",'19_Расчет_аналитики'!P4486*'01_Вводные'!$B$14,0)</f>
        <v/>
      </c>
      <c r="R4487">
        <f>IF('01_Вводные'!$B$234="Да",'19_Расчет_аналитики'!Q4486*'01_Вводные'!$B$14,0)</f>
        <v/>
      </c>
      <c r="S4487">
        <f>IF('01_Вводные'!$B$234="Да",'19_Расчет_аналитики'!R4486*'01_Вводные'!$B$14,0)</f>
        <v/>
      </c>
      <c r="T4487">
        <f>IF('01_Вводные'!$B$234="Да",'19_Расчет_аналитики'!S4486*'01_Вводные'!$B$14,0)</f>
        <v/>
      </c>
      <c r="U4487">
        <f>IF('01_Вводные'!$B$234="Да",'19_Расчет_аналитики'!T4486*'01_Вводные'!$B$14,0)</f>
        <v/>
      </c>
      <c r="V4487">
        <f>IF('01_Вводные'!$B$234="Да",'19_Расчет_аналитики'!U4486*'01_Вводные'!$B$14,0)</f>
        <v/>
      </c>
      <c r="W4487">
        <f>IF('01_Вводные'!$B$234="Да",'19_Расчет_аналитики'!V4486*'01_Вводные'!$B$14,0)</f>
        <v/>
      </c>
      <c r="X4487">
        <f>IF('01_Вводные'!$B$234="Да",'19_Расчет_аналитики'!W4486*'01_Вводные'!$B$14,0)</f>
        <v/>
      </c>
      <c r="Y4487">
        <f>IF('01_Вводные'!$B$234="Да",'19_Расчет_аналитики'!X4486*'01_Вводные'!$B$14,0)</f>
        <v/>
      </c>
      <c r="Z4487">
        <f>IF('01_Вводные'!$B$234="Да",'19_Расчет_аналитики'!Y4486*'01_Вводные'!$B$14,0)</f>
        <v/>
      </c>
      <c r="AA4487">
        <f>IF('01_Вводные'!$B$234="Да",'19_Расчет_аналитики'!Z4486*'01_Вводные'!$B$14,0)</f>
        <v/>
      </c>
      <c r="AB4487">
        <f>IF('01_Вводные'!$B$234="Да",'19_Расчет_аналитики'!AA4486*'01_Вводные'!$B$14,0)</f>
        <v/>
      </c>
      <c r="AC4487">
        <f>IF('01_Вводные'!$B$234="Да",'19_Расчет_аналитики'!AB4486*'01_Вводные'!$B$14,0)</f>
        <v/>
      </c>
      <c r="AD4487">
        <f>IF('01_Вводные'!$B$234="Да",'19_Расчет_аналитики'!AC4486*'01_Вводные'!$B$14,0)</f>
        <v/>
      </c>
      <c r="AE4487">
        <f>IF('01_Вводные'!$B$234="Да",'19_Расчет_аналитики'!AD4486*'01_Вводные'!$B$14,0)</f>
        <v/>
      </c>
      <c r="AF4487">
        <f>IF('01_Вводные'!$B$234="Да",'19_Расчет_аналитики'!AE4486*'01_Вводные'!$B$14,0)</f>
        <v/>
      </c>
      <c r="AG4487">
        <f>IF('01_Вводные'!$B$234="Да",'19_Расчет_аналитики'!AF4486*'01_Вводные'!$B$14,0)</f>
        <v/>
      </c>
      <c r="AH4487">
        <f>IF('01_Вводные'!$B$234="Да",'19_Расчет_аналитики'!AG4486*'01_Вводные'!$B$14,0)</f>
        <v/>
      </c>
      <c r="AI4487">
        <f>IF('01_Вводные'!$B$234="Да",'19_Расчет_аналитики'!AH4486*'01_Вводные'!$B$14,0)</f>
        <v/>
      </c>
      <c r="AJ4487">
        <f>IF('01_Вводные'!$B$234="Да",'19_Расчет_аналитики'!AI4486*'01_Вводные'!$B$14,0)</f>
        <v/>
      </c>
      <c r="AK4487">
        <f>IF('01_Вводные'!$B$234="Да",'19_Расчет_аналитики'!AJ4486*'01_Вводные'!$B$14,0)</f>
        <v/>
      </c>
      <c r="AL4487">
        <f>IF('01_Вводные'!$B$234="Да",'19_Расчет_аналитики'!AK4486*'01_Вводные'!$B$14,0)</f>
        <v/>
      </c>
      <c r="AM4487">
        <f>IF('01_Вводные'!$B$234="Да",'19_Расчет_аналитики'!AL4486*'01_Вводные'!$B$14,0)</f>
        <v/>
      </c>
      <c r="AN4487">
        <f>IF('01_Вводные'!$B$234="Да",'19_Расчет_аналитики'!AM4486*'01_Вводные'!$B$14,0)</f>
        <v/>
      </c>
      <c r="AO4487">
        <f>IF('01_Вводные'!$B$234="Да",'19_Расчет_аналитики'!AN4486*'01_Вводные'!$B$14,0)</f>
        <v/>
      </c>
      <c r="AP4487">
        <f>IF('01_Вводные'!$B$234="Да",'19_Расчет_аналитики'!AO4486*'01_Вводные'!$B$14,0)</f>
        <v/>
      </c>
      <c r="AQ4487">
        <f>IF('01_Вводные'!$B$234="Да",'19_Расчет_аналитики'!AP4486*'01_Вводные'!$B$14,0)</f>
        <v/>
      </c>
      <c r="AR4487">
        <f>IF('01_Вводные'!$B$234="Да",'19_Расчет_аналитики'!AQ4486*'01_Вводные'!$B$14,0)</f>
        <v/>
      </c>
      <c r="AS4487">
        <f>IF('01_Вводные'!$B$234="Да",'19_Расчет_аналитики'!AR4486*'01_Вводные'!$B$14,0)</f>
        <v/>
      </c>
      <c r="AT4487">
        <f>IF('01_Вводные'!$B$234="Да",'19_Расчет_аналитики'!AS4486*'01_Вводные'!$B$14,0)</f>
        <v/>
      </c>
      <c r="AU4487">
        <f>IF('01_Вводные'!$B$234="Да",'19_Расчет_аналитики'!AT4486*'01_Вводные'!$B$14,0)</f>
        <v/>
      </c>
      <c r="AV4487">
        <f>IF('01_Вводные'!$B$234="Да",'19_Расчет_аналитики'!AU4486*'01_Вводные'!$B$14,0)</f>
        <v/>
      </c>
      <c r="AW4487">
        <f>IF('01_Вводные'!$B$234="Да",'19_Расчет_аналитики'!AV4486*'01_Вводные'!$B$14,0)</f>
        <v/>
      </c>
      <c r="AX4487">
        <f>IF('01_Вводные'!$B$234="Да",'19_Расчет_аналитики'!AW4486*'01_Вводные'!$B$14,0)</f>
        <v/>
      </c>
      <c r="AY4487">
        <f>IF('01_Вводные'!$B$234="Да",'19_Расчет_аналитики'!AX4486*'01_Вводные'!$B$14,0)</f>
        <v/>
      </c>
      <c r="AZ4487">
        <f>IF('01_Вводные'!$B$234="Да",'19_Расчет_аналитики'!AY4486*'01_Вводные'!$B$14,0)</f>
        <v/>
      </c>
      <c r="BA4487">
        <f>IF('01_Вводные'!$B$234="Да",'19_Расчет_аналитики'!AZ4486*'01_Вводные'!$B$14,0)</f>
        <v/>
      </c>
      <c r="BB4487">
        <f>IF('01_Вводные'!$B$234="Да",'19_Расчет_аналитики'!BA4486*'01_Вводные'!$B$14,0)</f>
        <v/>
      </c>
      <c r="BC4487">
        <f>IF('01_Вводные'!$B$234="Да",'19_Расчет_аналитики'!BB4486*'01_Вводные'!$B$14,0)</f>
        <v/>
      </c>
      <c r="BD4487">
        <f>IF('01_Вводные'!$B$234="Да",'19_Расчет_аналитики'!BC4486*'01_Вводные'!$B$14,0)</f>
        <v/>
      </c>
      <c r="BE4487">
        <f>IF('01_Вводные'!$B$234="Да",'19_Расчет_аналитики'!BD4486*'01_Вводные'!$B$14,0)</f>
        <v/>
      </c>
      <c r="BF4487">
        <f>IF('01_Вводные'!$B$234="Да",'19_Расчет_аналитики'!BE4486*'01_Вводные'!$B$14,0)</f>
        <v/>
      </c>
      <c r="BG4487">
        <f>IF('01_Вводные'!$B$234="Да",'19_Расчет_аналитики'!BF4486*'01_Вводные'!$B$14,0)</f>
        <v/>
      </c>
      <c r="BH4487">
        <f>IF('01_Вводные'!$B$234="Да",'19_Расчет_аналитики'!BG4486*'01_Вводные'!$B$14,0)</f>
        <v/>
      </c>
      <c r="BI4487">
        <f>IF('01_Вводные'!$B$234="Да",'19_Расчет_аналитики'!BH4486*'01_Вводные'!$B$14,0)</f>
        <v/>
      </c>
      <c r="BJ4487">
        <f>IF('01_Вводные'!$B$234="Да",'19_Расчет_аналитики'!BI4486*'01_Вводные'!$B$14,0)</f>
        <v/>
      </c>
      <c r="BK4487">
        <f>IF('01_Вводные'!$B$234="Да",'19_Расчет_аналитики'!BJ4486*'01_Вводные'!$B$14,0)</f>
        <v/>
      </c>
      <c r="BL4487">
        <f>IF('01_Вводные'!$B$234="Да",'19_Расчет_аналитики'!BK4486*'01_Вводные'!$B$14,0)</f>
        <v/>
      </c>
      <c r="BM4487">
        <f>IF('01_Вводные'!$B$234="Да",'19_Расчет_аналитики'!BL4486*'01_Вводные'!$B$14,0)</f>
        <v/>
      </c>
      <c r="BN4487">
        <f>IF('01_Вводные'!$B$234="Да",'19_Расчет_аналитики'!BM4486*'01_Вводные'!$B$14,0)</f>
        <v/>
      </c>
      <c r="BO4487">
        <f>IF('01_Вводные'!$B$234="Да",'19_Расчет_аналитики'!BN4486*'01_Вводные'!$B$14,0)</f>
        <v/>
      </c>
    </row>
    <row r="4488">
      <c r="B4488">
        <f>'06_Сеть_и_дети'!B85</f>
        <v/>
      </c>
      <c r="C4488">
        <f>'06_Сеть_и_дети'!C85</f>
        <v/>
      </c>
      <c r="D4488">
        <f>'06_Сеть_и_дети'!D85</f>
        <v/>
      </c>
      <c r="E4488">
        <f>'06_Сеть_и_дети'!E85</f>
        <v/>
      </c>
      <c r="F4488">
        <f>IF('01_Вводные'!$B$234="Да",'19_Расчет_аналитики'!E4487*'01_Вводные'!$B$14,0)</f>
        <v/>
      </c>
      <c r="G4488">
        <f>IF('01_Вводные'!$B$234="Да",'19_Расчет_аналитики'!F4487*'01_Вводные'!$B$14,0)</f>
        <v/>
      </c>
      <c r="H4488">
        <f>IF('01_Вводные'!$B$234="Да",'19_Расчет_аналитики'!G4487*'01_Вводные'!$B$14,0)</f>
        <v/>
      </c>
      <c r="I4488">
        <f>IF('01_Вводные'!$B$234="Да",'19_Расчет_аналитики'!H4487*'01_Вводные'!$B$14,0)</f>
        <v/>
      </c>
      <c r="J4488">
        <f>IF('01_Вводные'!$B$234="Да",'19_Расчет_аналитики'!I4487*'01_Вводные'!$B$14,0)</f>
        <v/>
      </c>
      <c r="K4488">
        <f>IF('01_Вводные'!$B$234="Да",'19_Расчет_аналитики'!J4487*'01_Вводные'!$B$14,0)</f>
        <v/>
      </c>
      <c r="L4488">
        <f>IF('01_Вводные'!$B$234="Да",'19_Расчет_аналитики'!K4487*'01_Вводные'!$B$14,0)</f>
        <v/>
      </c>
      <c r="M4488">
        <f>IF('01_Вводные'!$B$234="Да",'19_Расчет_аналитики'!L4487*'01_Вводные'!$B$14,0)</f>
        <v/>
      </c>
      <c r="N4488">
        <f>IF('01_Вводные'!$B$234="Да",'19_Расчет_аналитики'!M4487*'01_Вводные'!$B$14,0)</f>
        <v/>
      </c>
      <c r="O4488">
        <f>IF('01_Вводные'!$B$234="Да",'19_Расчет_аналитики'!N4487*'01_Вводные'!$B$14,0)</f>
        <v/>
      </c>
      <c r="P4488">
        <f>IF('01_Вводные'!$B$234="Да",'19_Расчет_аналитики'!O4487*'01_Вводные'!$B$14,0)</f>
        <v/>
      </c>
      <c r="Q4488">
        <f>IF('01_Вводные'!$B$234="Да",'19_Расчет_аналитики'!P4487*'01_Вводные'!$B$14,0)</f>
        <v/>
      </c>
      <c r="R4488">
        <f>IF('01_Вводные'!$B$234="Да",'19_Расчет_аналитики'!Q4487*'01_Вводные'!$B$14,0)</f>
        <v/>
      </c>
      <c r="S4488">
        <f>IF('01_Вводные'!$B$234="Да",'19_Расчет_аналитики'!R4487*'01_Вводные'!$B$14,0)</f>
        <v/>
      </c>
      <c r="T4488">
        <f>IF('01_Вводные'!$B$234="Да",'19_Расчет_аналитики'!S4487*'01_Вводные'!$B$14,0)</f>
        <v/>
      </c>
      <c r="U4488">
        <f>IF('01_Вводные'!$B$234="Да",'19_Расчет_аналитики'!T4487*'01_Вводные'!$B$14,0)</f>
        <v/>
      </c>
      <c r="V4488">
        <f>IF('01_Вводные'!$B$234="Да",'19_Расчет_аналитики'!U4487*'01_Вводные'!$B$14,0)</f>
        <v/>
      </c>
      <c r="W4488">
        <f>IF('01_Вводные'!$B$234="Да",'19_Расчет_аналитики'!V4487*'01_Вводные'!$B$14,0)</f>
        <v/>
      </c>
      <c r="X4488">
        <f>IF('01_Вводные'!$B$234="Да",'19_Расчет_аналитики'!W4487*'01_Вводные'!$B$14,0)</f>
        <v/>
      </c>
      <c r="Y4488">
        <f>IF('01_Вводные'!$B$234="Да",'19_Расчет_аналитики'!X4487*'01_Вводные'!$B$14,0)</f>
        <v/>
      </c>
      <c r="Z4488">
        <f>IF('01_Вводные'!$B$234="Да",'19_Расчет_аналитики'!Y4487*'01_Вводные'!$B$14,0)</f>
        <v/>
      </c>
      <c r="AA4488">
        <f>IF('01_Вводные'!$B$234="Да",'19_Расчет_аналитики'!Z4487*'01_Вводные'!$B$14,0)</f>
        <v/>
      </c>
      <c r="AB4488">
        <f>IF('01_Вводные'!$B$234="Да",'19_Расчет_аналитики'!AA4487*'01_Вводные'!$B$14,0)</f>
        <v/>
      </c>
      <c r="AC4488">
        <f>IF('01_Вводные'!$B$234="Да",'19_Расчет_аналитики'!AB4487*'01_Вводные'!$B$14,0)</f>
        <v/>
      </c>
      <c r="AD4488">
        <f>IF('01_Вводные'!$B$234="Да",'19_Расчет_аналитики'!AC4487*'01_Вводные'!$B$14,0)</f>
        <v/>
      </c>
      <c r="AE4488">
        <f>IF('01_Вводные'!$B$234="Да",'19_Расчет_аналитики'!AD4487*'01_Вводные'!$B$14,0)</f>
        <v/>
      </c>
      <c r="AF4488">
        <f>IF('01_Вводные'!$B$234="Да",'19_Расчет_аналитики'!AE4487*'01_Вводные'!$B$14,0)</f>
        <v/>
      </c>
      <c r="AG4488">
        <f>IF('01_Вводные'!$B$234="Да",'19_Расчет_аналитики'!AF4487*'01_Вводные'!$B$14,0)</f>
        <v/>
      </c>
      <c r="AH4488">
        <f>IF('01_Вводные'!$B$234="Да",'19_Расчет_аналитики'!AG4487*'01_Вводные'!$B$14,0)</f>
        <v/>
      </c>
      <c r="AI4488">
        <f>IF('01_Вводные'!$B$234="Да",'19_Расчет_аналитики'!AH4487*'01_Вводные'!$B$14,0)</f>
        <v/>
      </c>
      <c r="AJ4488">
        <f>IF('01_Вводные'!$B$234="Да",'19_Расчет_аналитики'!AI4487*'01_Вводные'!$B$14,0)</f>
        <v/>
      </c>
      <c r="AK4488">
        <f>IF('01_Вводные'!$B$234="Да",'19_Расчет_аналитики'!AJ4487*'01_Вводные'!$B$14,0)</f>
        <v/>
      </c>
      <c r="AL4488">
        <f>IF('01_Вводные'!$B$234="Да",'19_Расчет_аналитики'!AK4487*'01_Вводные'!$B$14,0)</f>
        <v/>
      </c>
      <c r="AM4488">
        <f>IF('01_Вводные'!$B$234="Да",'19_Расчет_аналитики'!AL4487*'01_Вводные'!$B$14,0)</f>
        <v/>
      </c>
      <c r="AN4488">
        <f>IF('01_Вводные'!$B$234="Да",'19_Расчет_аналитики'!AM4487*'01_Вводные'!$B$14,0)</f>
        <v/>
      </c>
      <c r="AO4488">
        <f>IF('01_Вводные'!$B$234="Да",'19_Расчет_аналитики'!AN4487*'01_Вводные'!$B$14,0)</f>
        <v/>
      </c>
      <c r="AP4488">
        <f>IF('01_Вводные'!$B$234="Да",'19_Расчет_аналитики'!AO4487*'01_Вводные'!$B$14,0)</f>
        <v/>
      </c>
      <c r="AQ4488">
        <f>IF('01_Вводные'!$B$234="Да",'19_Расчет_аналитики'!AP4487*'01_Вводные'!$B$14,0)</f>
        <v/>
      </c>
      <c r="AR4488">
        <f>IF('01_Вводные'!$B$234="Да",'19_Расчет_аналитики'!AQ4487*'01_Вводные'!$B$14,0)</f>
        <v/>
      </c>
      <c r="AS4488">
        <f>IF('01_Вводные'!$B$234="Да",'19_Расчет_аналитики'!AR4487*'01_Вводные'!$B$14,0)</f>
        <v/>
      </c>
      <c r="AT4488">
        <f>IF('01_Вводные'!$B$234="Да",'19_Расчет_аналитики'!AS4487*'01_Вводные'!$B$14,0)</f>
        <v/>
      </c>
      <c r="AU4488">
        <f>IF('01_Вводные'!$B$234="Да",'19_Расчет_аналитики'!AT4487*'01_Вводные'!$B$14,0)</f>
        <v/>
      </c>
      <c r="AV4488">
        <f>IF('01_Вводные'!$B$234="Да",'19_Расчет_аналитики'!AU4487*'01_Вводные'!$B$14,0)</f>
        <v/>
      </c>
      <c r="AW4488">
        <f>IF('01_Вводные'!$B$234="Да",'19_Расчет_аналитики'!AV4487*'01_Вводные'!$B$14,0)</f>
        <v/>
      </c>
      <c r="AX4488">
        <f>IF('01_Вводные'!$B$234="Да",'19_Расчет_аналитики'!AW4487*'01_Вводные'!$B$14,0)</f>
        <v/>
      </c>
      <c r="AY4488">
        <f>IF('01_Вводные'!$B$234="Да",'19_Расчет_аналитики'!AX4487*'01_Вводные'!$B$14,0)</f>
        <v/>
      </c>
      <c r="AZ4488">
        <f>IF('01_Вводные'!$B$234="Да",'19_Расчет_аналитики'!AY4487*'01_Вводные'!$B$14,0)</f>
        <v/>
      </c>
      <c r="BA4488">
        <f>IF('01_Вводные'!$B$234="Да",'19_Расчет_аналитики'!AZ4487*'01_Вводные'!$B$14,0)</f>
        <v/>
      </c>
      <c r="BB4488">
        <f>IF('01_Вводные'!$B$234="Да",'19_Расчет_аналитики'!BA4487*'01_Вводные'!$B$14,0)</f>
        <v/>
      </c>
      <c r="BC4488">
        <f>IF('01_Вводные'!$B$234="Да",'19_Расчет_аналитики'!BB4487*'01_Вводные'!$B$14,0)</f>
        <v/>
      </c>
      <c r="BD4488">
        <f>IF('01_Вводные'!$B$234="Да",'19_Расчет_аналитики'!BC4487*'01_Вводные'!$B$14,0)</f>
        <v/>
      </c>
      <c r="BE4488">
        <f>IF('01_Вводные'!$B$234="Да",'19_Расчет_аналитики'!BD4487*'01_Вводные'!$B$14,0)</f>
        <v/>
      </c>
      <c r="BF4488">
        <f>IF('01_Вводные'!$B$234="Да",'19_Расчет_аналитики'!BE4487*'01_Вводные'!$B$14,0)</f>
        <v/>
      </c>
      <c r="BG4488">
        <f>IF('01_Вводные'!$B$234="Да",'19_Расчет_аналитики'!BF4487*'01_Вводные'!$B$14,0)</f>
        <v/>
      </c>
      <c r="BH4488">
        <f>IF('01_Вводные'!$B$234="Да",'19_Расчет_аналитики'!BG4487*'01_Вводные'!$B$14,0)</f>
        <v/>
      </c>
      <c r="BI4488">
        <f>IF('01_Вводные'!$B$234="Да",'19_Расчет_аналитики'!BH4487*'01_Вводные'!$B$14,0)</f>
        <v/>
      </c>
      <c r="BJ4488">
        <f>IF('01_Вводные'!$B$234="Да",'19_Расчет_аналитики'!BI4487*'01_Вводные'!$B$14,0)</f>
        <v/>
      </c>
      <c r="BK4488">
        <f>IF('01_Вводные'!$B$234="Да",'19_Расчет_аналитики'!BJ4487*'01_Вводные'!$B$14,0)</f>
        <v/>
      </c>
      <c r="BL4488">
        <f>IF('01_Вводные'!$B$234="Да",'19_Расчет_аналитики'!BK4487*'01_Вводные'!$B$14,0)</f>
        <v/>
      </c>
      <c r="BM4488">
        <f>IF('01_Вводные'!$B$234="Да",'19_Расчет_аналитики'!BL4487*'01_Вводные'!$B$14,0)</f>
        <v/>
      </c>
      <c r="BN4488">
        <f>IF('01_Вводные'!$B$234="Да",'19_Расчет_аналитики'!BM4487*'01_Вводные'!$B$14,0)</f>
        <v/>
      </c>
      <c r="BO4488">
        <f>IF('01_Вводные'!$B$234="Да",'19_Расчет_аналитики'!BN4487*'01_Вводные'!$B$14,0)</f>
        <v/>
      </c>
    </row>
    <row r="4489">
      <c r="B4489">
        <f>'06_Сеть_и_дети'!B86</f>
        <v/>
      </c>
      <c r="C4489">
        <f>'06_Сеть_и_дети'!C86</f>
        <v/>
      </c>
      <c r="D4489">
        <f>'06_Сеть_и_дети'!D86</f>
        <v/>
      </c>
      <c r="E4489">
        <f>'06_Сеть_и_дети'!E86</f>
        <v/>
      </c>
      <c r="F4489">
        <f>'06_Сеть_и_дети'!F86</f>
        <v/>
      </c>
      <c r="G4489">
        <f>IF('01_Вводные'!$B$234="Да",'19_Расчет_аналитики'!F4488*'01_Вводные'!$B$14,0)</f>
        <v/>
      </c>
      <c r="H4489">
        <f>IF('01_Вводные'!$B$234="Да",'19_Расчет_аналитики'!G4488*'01_Вводные'!$B$14,0)</f>
        <v/>
      </c>
      <c r="I4489">
        <f>IF('01_Вводные'!$B$234="Да",'19_Расчет_аналитики'!H4488*'01_Вводные'!$B$14,0)</f>
        <v/>
      </c>
      <c r="J4489">
        <f>IF('01_Вводные'!$B$234="Да",'19_Расчет_аналитики'!I4488*'01_Вводные'!$B$14,0)</f>
        <v/>
      </c>
      <c r="K4489">
        <f>IF('01_Вводные'!$B$234="Да",'19_Расчет_аналитики'!J4488*'01_Вводные'!$B$14,0)</f>
        <v/>
      </c>
      <c r="L4489">
        <f>IF('01_Вводные'!$B$234="Да",'19_Расчет_аналитики'!K4488*'01_Вводные'!$B$14,0)</f>
        <v/>
      </c>
      <c r="M4489">
        <f>IF('01_Вводные'!$B$234="Да",'19_Расчет_аналитики'!L4488*'01_Вводные'!$B$14,0)</f>
        <v/>
      </c>
      <c r="N4489">
        <f>IF('01_Вводные'!$B$234="Да",'19_Расчет_аналитики'!M4488*'01_Вводные'!$B$14,0)</f>
        <v/>
      </c>
      <c r="O4489">
        <f>IF('01_Вводные'!$B$234="Да",'19_Расчет_аналитики'!N4488*'01_Вводные'!$B$14,0)</f>
        <v/>
      </c>
      <c r="P4489">
        <f>IF('01_Вводные'!$B$234="Да",'19_Расчет_аналитики'!O4488*'01_Вводные'!$B$14,0)</f>
        <v/>
      </c>
      <c r="Q4489">
        <f>IF('01_Вводные'!$B$234="Да",'19_Расчет_аналитики'!P4488*'01_Вводные'!$B$14,0)</f>
        <v/>
      </c>
      <c r="R4489">
        <f>IF('01_Вводные'!$B$234="Да",'19_Расчет_аналитики'!Q4488*'01_Вводные'!$B$14,0)</f>
        <v/>
      </c>
      <c r="S4489">
        <f>IF('01_Вводные'!$B$234="Да",'19_Расчет_аналитики'!R4488*'01_Вводные'!$B$14,0)</f>
        <v/>
      </c>
      <c r="T4489">
        <f>IF('01_Вводные'!$B$234="Да",'19_Расчет_аналитики'!S4488*'01_Вводные'!$B$14,0)</f>
        <v/>
      </c>
      <c r="U4489">
        <f>IF('01_Вводные'!$B$234="Да",'19_Расчет_аналитики'!T4488*'01_Вводные'!$B$14,0)</f>
        <v/>
      </c>
      <c r="V4489">
        <f>IF('01_Вводные'!$B$234="Да",'19_Расчет_аналитики'!U4488*'01_Вводные'!$B$14,0)</f>
        <v/>
      </c>
      <c r="W4489">
        <f>IF('01_Вводные'!$B$234="Да",'19_Расчет_аналитики'!V4488*'01_Вводные'!$B$14,0)</f>
        <v/>
      </c>
      <c r="X4489">
        <f>IF('01_Вводные'!$B$234="Да",'19_Расчет_аналитики'!W4488*'01_Вводные'!$B$14,0)</f>
        <v/>
      </c>
      <c r="Y4489">
        <f>IF('01_Вводные'!$B$234="Да",'19_Расчет_аналитики'!X4488*'01_Вводные'!$B$14,0)</f>
        <v/>
      </c>
      <c r="Z4489">
        <f>IF('01_Вводные'!$B$234="Да",'19_Расчет_аналитики'!Y4488*'01_Вводные'!$B$14,0)</f>
        <v/>
      </c>
      <c r="AA4489">
        <f>IF('01_Вводные'!$B$234="Да",'19_Расчет_аналитики'!Z4488*'01_Вводные'!$B$14,0)</f>
        <v/>
      </c>
      <c r="AB4489">
        <f>IF('01_Вводные'!$B$234="Да",'19_Расчет_аналитики'!AA4488*'01_Вводные'!$B$14,0)</f>
        <v/>
      </c>
      <c r="AC4489">
        <f>IF('01_Вводные'!$B$234="Да",'19_Расчет_аналитики'!AB4488*'01_Вводные'!$B$14,0)</f>
        <v/>
      </c>
      <c r="AD4489">
        <f>IF('01_Вводные'!$B$234="Да",'19_Расчет_аналитики'!AC4488*'01_Вводные'!$B$14,0)</f>
        <v/>
      </c>
      <c r="AE4489">
        <f>IF('01_Вводные'!$B$234="Да",'19_Расчет_аналитики'!AD4488*'01_Вводные'!$B$14,0)</f>
        <v/>
      </c>
      <c r="AF4489">
        <f>IF('01_Вводные'!$B$234="Да",'19_Расчет_аналитики'!AE4488*'01_Вводные'!$B$14,0)</f>
        <v/>
      </c>
      <c r="AG4489">
        <f>IF('01_Вводные'!$B$234="Да",'19_Расчет_аналитики'!AF4488*'01_Вводные'!$B$14,0)</f>
        <v/>
      </c>
      <c r="AH4489">
        <f>IF('01_Вводные'!$B$234="Да",'19_Расчет_аналитики'!AG4488*'01_Вводные'!$B$14,0)</f>
        <v/>
      </c>
      <c r="AI4489">
        <f>IF('01_Вводные'!$B$234="Да",'19_Расчет_аналитики'!AH4488*'01_Вводные'!$B$14,0)</f>
        <v/>
      </c>
      <c r="AJ4489">
        <f>IF('01_Вводные'!$B$234="Да",'19_Расчет_аналитики'!AI4488*'01_Вводные'!$B$14,0)</f>
        <v/>
      </c>
      <c r="AK4489">
        <f>IF('01_Вводные'!$B$234="Да",'19_Расчет_аналитики'!AJ4488*'01_Вводные'!$B$14,0)</f>
        <v/>
      </c>
      <c r="AL4489">
        <f>IF('01_Вводные'!$B$234="Да",'19_Расчет_аналитики'!AK4488*'01_Вводные'!$B$14,0)</f>
        <v/>
      </c>
      <c r="AM4489">
        <f>IF('01_Вводные'!$B$234="Да",'19_Расчет_аналитики'!AL4488*'01_Вводные'!$B$14,0)</f>
        <v/>
      </c>
      <c r="AN4489">
        <f>IF('01_Вводные'!$B$234="Да",'19_Расчет_аналитики'!AM4488*'01_Вводные'!$B$14,0)</f>
        <v/>
      </c>
      <c r="AO4489">
        <f>IF('01_Вводные'!$B$234="Да",'19_Расчет_аналитики'!AN4488*'01_Вводные'!$B$14,0)</f>
        <v/>
      </c>
      <c r="AP4489">
        <f>IF('01_Вводные'!$B$234="Да",'19_Расчет_аналитики'!AO4488*'01_Вводные'!$B$14,0)</f>
        <v/>
      </c>
      <c r="AQ4489">
        <f>IF('01_Вводные'!$B$234="Да",'19_Расчет_аналитики'!AP4488*'01_Вводные'!$B$14,0)</f>
        <v/>
      </c>
      <c r="AR4489">
        <f>IF('01_Вводные'!$B$234="Да",'19_Расчет_аналитики'!AQ4488*'01_Вводные'!$B$14,0)</f>
        <v/>
      </c>
      <c r="AS4489">
        <f>IF('01_Вводные'!$B$234="Да",'19_Расчет_аналитики'!AR4488*'01_Вводные'!$B$14,0)</f>
        <v/>
      </c>
      <c r="AT4489">
        <f>IF('01_Вводные'!$B$234="Да",'19_Расчет_аналитики'!AS4488*'01_Вводные'!$B$14,0)</f>
        <v/>
      </c>
      <c r="AU4489">
        <f>IF('01_Вводные'!$B$234="Да",'19_Расчет_аналитики'!AT4488*'01_Вводные'!$B$14,0)</f>
        <v/>
      </c>
      <c r="AV4489">
        <f>IF('01_Вводные'!$B$234="Да",'19_Расчет_аналитики'!AU4488*'01_Вводные'!$B$14,0)</f>
        <v/>
      </c>
      <c r="AW4489">
        <f>IF('01_Вводные'!$B$234="Да",'19_Расчет_аналитики'!AV4488*'01_Вводные'!$B$14,0)</f>
        <v/>
      </c>
      <c r="AX4489">
        <f>IF('01_Вводные'!$B$234="Да",'19_Расчет_аналитики'!AW4488*'01_Вводные'!$B$14,0)</f>
        <v/>
      </c>
      <c r="AY4489">
        <f>IF('01_Вводные'!$B$234="Да",'19_Расчет_аналитики'!AX4488*'01_Вводные'!$B$14,0)</f>
        <v/>
      </c>
      <c r="AZ4489">
        <f>IF('01_Вводные'!$B$234="Да",'19_Расчет_аналитики'!AY4488*'01_Вводные'!$B$14,0)</f>
        <v/>
      </c>
      <c r="BA4489">
        <f>IF('01_Вводные'!$B$234="Да",'19_Расчет_аналитики'!AZ4488*'01_Вводные'!$B$14,0)</f>
        <v/>
      </c>
      <c r="BB4489">
        <f>IF('01_Вводные'!$B$234="Да",'19_Расчет_аналитики'!BA4488*'01_Вводные'!$B$14,0)</f>
        <v/>
      </c>
      <c r="BC4489">
        <f>IF('01_Вводные'!$B$234="Да",'19_Расчет_аналитики'!BB4488*'01_Вводные'!$B$14,0)</f>
        <v/>
      </c>
      <c r="BD4489">
        <f>IF('01_Вводные'!$B$234="Да",'19_Расчет_аналитики'!BC4488*'01_Вводные'!$B$14,0)</f>
        <v/>
      </c>
      <c r="BE4489">
        <f>IF('01_Вводные'!$B$234="Да",'19_Расчет_аналитики'!BD4488*'01_Вводные'!$B$14,0)</f>
        <v/>
      </c>
      <c r="BF4489">
        <f>IF('01_Вводные'!$B$234="Да",'19_Расчет_аналитики'!BE4488*'01_Вводные'!$B$14,0)</f>
        <v/>
      </c>
      <c r="BG4489">
        <f>IF('01_Вводные'!$B$234="Да",'19_Расчет_аналитики'!BF4488*'01_Вводные'!$B$14,0)</f>
        <v/>
      </c>
      <c r="BH4489">
        <f>IF('01_Вводные'!$B$234="Да",'19_Расчет_аналитики'!BG4488*'01_Вводные'!$B$14,0)</f>
        <v/>
      </c>
      <c r="BI4489">
        <f>IF('01_Вводные'!$B$234="Да",'19_Расчет_аналитики'!BH4488*'01_Вводные'!$B$14,0)</f>
        <v/>
      </c>
      <c r="BJ4489">
        <f>IF('01_Вводные'!$B$234="Да",'19_Расчет_аналитики'!BI4488*'01_Вводные'!$B$14,0)</f>
        <v/>
      </c>
      <c r="BK4489">
        <f>IF('01_Вводные'!$B$234="Да",'19_Расчет_аналитики'!BJ4488*'01_Вводные'!$B$14,0)</f>
        <v/>
      </c>
      <c r="BL4489">
        <f>IF('01_Вводные'!$B$234="Да",'19_Расчет_аналитики'!BK4488*'01_Вводные'!$B$14,0)</f>
        <v/>
      </c>
      <c r="BM4489">
        <f>IF('01_Вводные'!$B$234="Да",'19_Расчет_аналитики'!BL4488*'01_Вводные'!$B$14,0)</f>
        <v/>
      </c>
      <c r="BN4489">
        <f>IF('01_Вводные'!$B$234="Да",'19_Расчет_аналитики'!BM4488*'01_Вводные'!$B$14,0)</f>
        <v/>
      </c>
      <c r="BO4489">
        <f>IF('01_Вводные'!$B$234="Да",'19_Расчет_аналитики'!BN4488*'01_Вводные'!$B$14,0)</f>
        <v/>
      </c>
    </row>
    <row r="4490">
      <c r="B4490">
        <f>'06_Сеть_и_дети'!B87</f>
        <v/>
      </c>
      <c r="C4490">
        <f>'06_Сеть_и_дети'!C87</f>
        <v/>
      </c>
      <c r="D4490">
        <f>'06_Сеть_и_дети'!D87</f>
        <v/>
      </c>
      <c r="E4490">
        <f>'06_Сеть_и_дети'!E87</f>
        <v/>
      </c>
      <c r="F4490">
        <f>'06_Сеть_и_дети'!F87</f>
        <v/>
      </c>
      <c r="G4490">
        <f>'06_Сеть_и_дети'!G87</f>
        <v/>
      </c>
      <c r="H4490">
        <f>IF('01_Вводные'!$B$234="Да",'19_Расчет_аналитики'!G4489*'01_Вводные'!$B$14,0)</f>
        <v/>
      </c>
      <c r="I4490">
        <f>IF('01_Вводные'!$B$234="Да",'19_Расчет_аналитики'!H4489*'01_Вводные'!$B$14,0)</f>
        <v/>
      </c>
      <c r="J4490">
        <f>IF('01_Вводные'!$B$234="Да",'19_Расчет_аналитики'!I4489*'01_Вводные'!$B$14,0)</f>
        <v/>
      </c>
      <c r="K4490">
        <f>IF('01_Вводные'!$B$234="Да",'19_Расчет_аналитики'!J4489*'01_Вводные'!$B$14,0)</f>
        <v/>
      </c>
      <c r="L4490">
        <f>IF('01_Вводные'!$B$234="Да",'19_Расчет_аналитики'!K4489*'01_Вводные'!$B$14,0)</f>
        <v/>
      </c>
      <c r="M4490">
        <f>IF('01_Вводные'!$B$234="Да",'19_Расчет_аналитики'!L4489*'01_Вводные'!$B$14,0)</f>
        <v/>
      </c>
      <c r="N4490">
        <f>IF('01_Вводные'!$B$234="Да",'19_Расчет_аналитики'!M4489*'01_Вводные'!$B$14,0)</f>
        <v/>
      </c>
      <c r="O4490">
        <f>IF('01_Вводные'!$B$234="Да",'19_Расчет_аналитики'!N4489*'01_Вводные'!$B$14,0)</f>
        <v/>
      </c>
      <c r="P4490">
        <f>IF('01_Вводные'!$B$234="Да",'19_Расчет_аналитики'!O4489*'01_Вводные'!$B$14,0)</f>
        <v/>
      </c>
      <c r="Q4490">
        <f>IF('01_Вводные'!$B$234="Да",'19_Расчет_аналитики'!P4489*'01_Вводные'!$B$14,0)</f>
        <v/>
      </c>
      <c r="R4490">
        <f>IF('01_Вводные'!$B$234="Да",'19_Расчет_аналитики'!Q4489*'01_Вводные'!$B$14,0)</f>
        <v/>
      </c>
      <c r="S4490">
        <f>IF('01_Вводные'!$B$234="Да",'19_Расчет_аналитики'!R4489*'01_Вводные'!$B$14,0)</f>
        <v/>
      </c>
      <c r="T4490">
        <f>IF('01_Вводные'!$B$234="Да",'19_Расчет_аналитики'!S4489*'01_Вводные'!$B$14,0)</f>
        <v/>
      </c>
      <c r="U4490">
        <f>IF('01_Вводные'!$B$234="Да",'19_Расчет_аналитики'!T4489*'01_Вводные'!$B$14,0)</f>
        <v/>
      </c>
      <c r="V4490">
        <f>IF('01_Вводные'!$B$234="Да",'19_Расчет_аналитики'!U4489*'01_Вводные'!$B$14,0)</f>
        <v/>
      </c>
      <c r="W4490">
        <f>IF('01_Вводные'!$B$234="Да",'19_Расчет_аналитики'!V4489*'01_Вводные'!$B$14,0)</f>
        <v/>
      </c>
      <c r="X4490">
        <f>IF('01_Вводные'!$B$234="Да",'19_Расчет_аналитики'!W4489*'01_Вводные'!$B$14,0)</f>
        <v/>
      </c>
      <c r="Y4490">
        <f>IF('01_Вводные'!$B$234="Да",'19_Расчет_аналитики'!X4489*'01_Вводные'!$B$14,0)</f>
        <v/>
      </c>
      <c r="Z4490">
        <f>IF('01_Вводные'!$B$234="Да",'19_Расчет_аналитики'!Y4489*'01_Вводные'!$B$14,0)</f>
        <v/>
      </c>
      <c r="AA4490">
        <f>IF('01_Вводные'!$B$234="Да",'19_Расчет_аналитики'!Z4489*'01_Вводные'!$B$14,0)</f>
        <v/>
      </c>
      <c r="AB4490">
        <f>IF('01_Вводные'!$B$234="Да",'19_Расчет_аналитики'!AA4489*'01_Вводные'!$B$14,0)</f>
        <v/>
      </c>
      <c r="AC4490">
        <f>IF('01_Вводные'!$B$234="Да",'19_Расчет_аналитики'!AB4489*'01_Вводные'!$B$14,0)</f>
        <v/>
      </c>
      <c r="AD4490">
        <f>IF('01_Вводные'!$B$234="Да",'19_Расчет_аналитики'!AC4489*'01_Вводные'!$B$14,0)</f>
        <v/>
      </c>
      <c r="AE4490">
        <f>IF('01_Вводные'!$B$234="Да",'19_Расчет_аналитики'!AD4489*'01_Вводные'!$B$14,0)</f>
        <v/>
      </c>
      <c r="AF4490">
        <f>IF('01_Вводные'!$B$234="Да",'19_Расчет_аналитики'!AE4489*'01_Вводные'!$B$14,0)</f>
        <v/>
      </c>
      <c r="AG4490">
        <f>IF('01_Вводные'!$B$234="Да",'19_Расчет_аналитики'!AF4489*'01_Вводные'!$B$14,0)</f>
        <v/>
      </c>
      <c r="AH4490">
        <f>IF('01_Вводные'!$B$234="Да",'19_Расчет_аналитики'!AG4489*'01_Вводные'!$B$14,0)</f>
        <v/>
      </c>
      <c r="AI4490">
        <f>IF('01_Вводные'!$B$234="Да",'19_Расчет_аналитики'!AH4489*'01_Вводные'!$B$14,0)</f>
        <v/>
      </c>
      <c r="AJ4490">
        <f>IF('01_Вводные'!$B$234="Да",'19_Расчет_аналитики'!AI4489*'01_Вводные'!$B$14,0)</f>
        <v/>
      </c>
      <c r="AK4490">
        <f>IF('01_Вводные'!$B$234="Да",'19_Расчет_аналитики'!AJ4489*'01_Вводные'!$B$14,0)</f>
        <v/>
      </c>
      <c r="AL4490">
        <f>IF('01_Вводные'!$B$234="Да",'19_Расчет_аналитики'!AK4489*'01_Вводные'!$B$14,0)</f>
        <v/>
      </c>
      <c r="AM4490">
        <f>IF('01_Вводные'!$B$234="Да",'19_Расчет_аналитики'!AL4489*'01_Вводные'!$B$14,0)</f>
        <v/>
      </c>
      <c r="AN4490">
        <f>IF('01_Вводные'!$B$234="Да",'19_Расчет_аналитики'!AM4489*'01_Вводные'!$B$14,0)</f>
        <v/>
      </c>
      <c r="AO4490">
        <f>IF('01_Вводные'!$B$234="Да",'19_Расчет_аналитики'!AN4489*'01_Вводные'!$B$14,0)</f>
        <v/>
      </c>
      <c r="AP4490">
        <f>IF('01_Вводные'!$B$234="Да",'19_Расчет_аналитики'!AO4489*'01_Вводные'!$B$14,0)</f>
        <v/>
      </c>
      <c r="AQ4490">
        <f>IF('01_Вводные'!$B$234="Да",'19_Расчет_аналитики'!AP4489*'01_Вводные'!$B$14,0)</f>
        <v/>
      </c>
      <c r="AR4490">
        <f>IF('01_Вводные'!$B$234="Да",'19_Расчет_аналитики'!AQ4489*'01_Вводные'!$B$14,0)</f>
        <v/>
      </c>
      <c r="AS4490">
        <f>IF('01_Вводные'!$B$234="Да",'19_Расчет_аналитики'!AR4489*'01_Вводные'!$B$14,0)</f>
        <v/>
      </c>
      <c r="AT4490">
        <f>IF('01_Вводные'!$B$234="Да",'19_Расчет_аналитики'!AS4489*'01_Вводные'!$B$14,0)</f>
        <v/>
      </c>
      <c r="AU4490">
        <f>IF('01_Вводные'!$B$234="Да",'19_Расчет_аналитики'!AT4489*'01_Вводные'!$B$14,0)</f>
        <v/>
      </c>
      <c r="AV4490">
        <f>IF('01_Вводные'!$B$234="Да",'19_Расчет_аналитики'!AU4489*'01_Вводные'!$B$14,0)</f>
        <v/>
      </c>
      <c r="AW4490">
        <f>IF('01_Вводные'!$B$234="Да",'19_Расчет_аналитики'!AV4489*'01_Вводные'!$B$14,0)</f>
        <v/>
      </c>
      <c r="AX4490">
        <f>IF('01_Вводные'!$B$234="Да",'19_Расчет_аналитики'!AW4489*'01_Вводные'!$B$14,0)</f>
        <v/>
      </c>
      <c r="AY4490">
        <f>IF('01_Вводные'!$B$234="Да",'19_Расчет_аналитики'!AX4489*'01_Вводные'!$B$14,0)</f>
        <v/>
      </c>
      <c r="AZ4490">
        <f>IF('01_Вводные'!$B$234="Да",'19_Расчет_аналитики'!AY4489*'01_Вводные'!$B$14,0)</f>
        <v/>
      </c>
      <c r="BA4490">
        <f>IF('01_Вводные'!$B$234="Да",'19_Расчет_аналитики'!AZ4489*'01_Вводные'!$B$14,0)</f>
        <v/>
      </c>
      <c r="BB4490">
        <f>IF('01_Вводные'!$B$234="Да",'19_Расчет_аналитики'!BA4489*'01_Вводные'!$B$14,0)</f>
        <v/>
      </c>
      <c r="BC4490">
        <f>IF('01_Вводные'!$B$234="Да",'19_Расчет_аналитики'!BB4489*'01_Вводные'!$B$14,0)</f>
        <v/>
      </c>
      <c r="BD4490">
        <f>IF('01_Вводные'!$B$234="Да",'19_Расчет_аналитики'!BC4489*'01_Вводные'!$B$14,0)</f>
        <v/>
      </c>
      <c r="BE4490">
        <f>IF('01_Вводные'!$B$234="Да",'19_Расчет_аналитики'!BD4489*'01_Вводные'!$B$14,0)</f>
        <v/>
      </c>
      <c r="BF4490">
        <f>IF('01_Вводные'!$B$234="Да",'19_Расчет_аналитики'!BE4489*'01_Вводные'!$B$14,0)</f>
        <v/>
      </c>
      <c r="BG4490">
        <f>IF('01_Вводные'!$B$234="Да",'19_Расчет_аналитики'!BF4489*'01_Вводные'!$B$14,0)</f>
        <v/>
      </c>
      <c r="BH4490">
        <f>IF('01_Вводные'!$B$234="Да",'19_Расчет_аналитики'!BG4489*'01_Вводные'!$B$14,0)</f>
        <v/>
      </c>
      <c r="BI4490">
        <f>IF('01_Вводные'!$B$234="Да",'19_Расчет_аналитики'!BH4489*'01_Вводные'!$B$14,0)</f>
        <v/>
      </c>
      <c r="BJ4490">
        <f>IF('01_Вводные'!$B$234="Да",'19_Расчет_аналитики'!BI4489*'01_Вводные'!$B$14,0)</f>
        <v/>
      </c>
      <c r="BK4490">
        <f>IF('01_Вводные'!$B$234="Да",'19_Расчет_аналитики'!BJ4489*'01_Вводные'!$B$14,0)</f>
        <v/>
      </c>
      <c r="BL4490">
        <f>IF('01_Вводные'!$B$234="Да",'19_Расчет_аналитики'!BK4489*'01_Вводные'!$B$14,0)</f>
        <v/>
      </c>
      <c r="BM4490">
        <f>IF('01_Вводные'!$B$234="Да",'19_Расчет_аналитики'!BL4489*'01_Вводные'!$B$14,0)</f>
        <v/>
      </c>
      <c r="BN4490">
        <f>IF('01_Вводные'!$B$234="Да",'19_Расчет_аналитики'!BM4489*'01_Вводные'!$B$14,0)</f>
        <v/>
      </c>
      <c r="BO4490">
        <f>IF('01_Вводные'!$B$234="Да",'19_Расчет_аналитики'!BN4489*'01_Вводные'!$B$14,0)</f>
        <v/>
      </c>
    </row>
    <row r="4491">
      <c r="B4491">
        <f>'06_Сеть_и_дети'!B88</f>
        <v/>
      </c>
      <c r="C4491">
        <f>'06_Сеть_и_дети'!C88</f>
        <v/>
      </c>
      <c r="D4491">
        <f>'06_Сеть_и_дети'!D88</f>
        <v/>
      </c>
      <c r="E4491">
        <f>'06_Сеть_и_дети'!E88</f>
        <v/>
      </c>
      <c r="F4491">
        <f>'06_Сеть_и_дети'!F88</f>
        <v/>
      </c>
      <c r="G4491">
        <f>'06_Сеть_и_дети'!G88</f>
        <v/>
      </c>
      <c r="H4491">
        <f>'06_Сеть_и_дети'!H88</f>
        <v/>
      </c>
      <c r="I4491">
        <f>IF('01_Вводные'!$B$234="Да",'19_Расчет_аналитики'!H4490*'01_Вводные'!$B$14,0)</f>
        <v/>
      </c>
      <c r="J4491">
        <f>IF('01_Вводные'!$B$234="Да",'19_Расчет_аналитики'!I4490*'01_Вводные'!$B$14,0)</f>
        <v/>
      </c>
      <c r="K4491">
        <f>IF('01_Вводные'!$B$234="Да",'19_Расчет_аналитики'!J4490*'01_Вводные'!$B$14,0)</f>
        <v/>
      </c>
      <c r="L4491">
        <f>IF('01_Вводные'!$B$234="Да",'19_Расчет_аналитики'!K4490*'01_Вводные'!$B$14,0)</f>
        <v/>
      </c>
      <c r="M4491">
        <f>IF('01_Вводные'!$B$234="Да",'19_Расчет_аналитики'!L4490*'01_Вводные'!$B$14,0)</f>
        <v/>
      </c>
      <c r="N4491">
        <f>IF('01_Вводные'!$B$234="Да",'19_Расчет_аналитики'!M4490*'01_Вводные'!$B$14,0)</f>
        <v/>
      </c>
      <c r="O4491">
        <f>IF('01_Вводные'!$B$234="Да",'19_Расчет_аналитики'!N4490*'01_Вводные'!$B$14,0)</f>
        <v/>
      </c>
      <c r="P4491">
        <f>IF('01_Вводные'!$B$234="Да",'19_Расчет_аналитики'!O4490*'01_Вводные'!$B$14,0)</f>
        <v/>
      </c>
      <c r="Q4491">
        <f>IF('01_Вводные'!$B$234="Да",'19_Расчет_аналитики'!P4490*'01_Вводные'!$B$14,0)</f>
        <v/>
      </c>
      <c r="R4491">
        <f>IF('01_Вводные'!$B$234="Да",'19_Расчет_аналитики'!Q4490*'01_Вводные'!$B$14,0)</f>
        <v/>
      </c>
      <c r="S4491">
        <f>IF('01_Вводные'!$B$234="Да",'19_Расчет_аналитики'!R4490*'01_Вводные'!$B$14,0)</f>
        <v/>
      </c>
      <c r="T4491">
        <f>IF('01_Вводные'!$B$234="Да",'19_Расчет_аналитики'!S4490*'01_Вводные'!$B$14,0)</f>
        <v/>
      </c>
      <c r="U4491">
        <f>IF('01_Вводные'!$B$234="Да",'19_Расчет_аналитики'!T4490*'01_Вводные'!$B$14,0)</f>
        <v/>
      </c>
      <c r="V4491">
        <f>IF('01_Вводные'!$B$234="Да",'19_Расчет_аналитики'!U4490*'01_Вводные'!$B$14,0)</f>
        <v/>
      </c>
      <c r="W4491">
        <f>IF('01_Вводные'!$B$234="Да",'19_Расчет_аналитики'!V4490*'01_Вводные'!$B$14,0)</f>
        <v/>
      </c>
      <c r="X4491">
        <f>IF('01_Вводные'!$B$234="Да",'19_Расчет_аналитики'!W4490*'01_Вводные'!$B$14,0)</f>
        <v/>
      </c>
      <c r="Y4491">
        <f>IF('01_Вводные'!$B$234="Да",'19_Расчет_аналитики'!X4490*'01_Вводные'!$B$14,0)</f>
        <v/>
      </c>
      <c r="Z4491">
        <f>IF('01_Вводные'!$B$234="Да",'19_Расчет_аналитики'!Y4490*'01_Вводные'!$B$14,0)</f>
        <v/>
      </c>
      <c r="AA4491">
        <f>IF('01_Вводные'!$B$234="Да",'19_Расчет_аналитики'!Z4490*'01_Вводные'!$B$14,0)</f>
        <v/>
      </c>
      <c r="AB4491">
        <f>IF('01_Вводные'!$B$234="Да",'19_Расчет_аналитики'!AA4490*'01_Вводные'!$B$14,0)</f>
        <v/>
      </c>
      <c r="AC4491">
        <f>IF('01_Вводные'!$B$234="Да",'19_Расчет_аналитики'!AB4490*'01_Вводные'!$B$14,0)</f>
        <v/>
      </c>
      <c r="AD4491">
        <f>IF('01_Вводные'!$B$234="Да",'19_Расчет_аналитики'!AC4490*'01_Вводные'!$B$14,0)</f>
        <v/>
      </c>
      <c r="AE4491">
        <f>IF('01_Вводные'!$B$234="Да",'19_Расчет_аналитики'!AD4490*'01_Вводные'!$B$14,0)</f>
        <v/>
      </c>
      <c r="AF4491">
        <f>IF('01_Вводные'!$B$234="Да",'19_Расчет_аналитики'!AE4490*'01_Вводные'!$B$14,0)</f>
        <v/>
      </c>
      <c r="AG4491">
        <f>IF('01_Вводные'!$B$234="Да",'19_Расчет_аналитики'!AF4490*'01_Вводные'!$B$14,0)</f>
        <v/>
      </c>
      <c r="AH4491">
        <f>IF('01_Вводные'!$B$234="Да",'19_Расчет_аналитики'!AG4490*'01_Вводные'!$B$14,0)</f>
        <v/>
      </c>
      <c r="AI4491">
        <f>IF('01_Вводные'!$B$234="Да",'19_Расчет_аналитики'!AH4490*'01_Вводные'!$B$14,0)</f>
        <v/>
      </c>
      <c r="AJ4491">
        <f>IF('01_Вводные'!$B$234="Да",'19_Расчет_аналитики'!AI4490*'01_Вводные'!$B$14,0)</f>
        <v/>
      </c>
      <c r="AK4491">
        <f>IF('01_Вводные'!$B$234="Да",'19_Расчет_аналитики'!AJ4490*'01_Вводные'!$B$14,0)</f>
        <v/>
      </c>
      <c r="AL4491">
        <f>IF('01_Вводные'!$B$234="Да",'19_Расчет_аналитики'!AK4490*'01_Вводные'!$B$14,0)</f>
        <v/>
      </c>
      <c r="AM4491">
        <f>IF('01_Вводные'!$B$234="Да",'19_Расчет_аналитики'!AL4490*'01_Вводные'!$B$14,0)</f>
        <v/>
      </c>
      <c r="AN4491">
        <f>IF('01_Вводные'!$B$234="Да",'19_Расчет_аналитики'!AM4490*'01_Вводные'!$B$14,0)</f>
        <v/>
      </c>
      <c r="AO4491">
        <f>IF('01_Вводные'!$B$234="Да",'19_Расчет_аналитики'!AN4490*'01_Вводные'!$B$14,0)</f>
        <v/>
      </c>
      <c r="AP4491">
        <f>IF('01_Вводные'!$B$234="Да",'19_Расчет_аналитики'!AO4490*'01_Вводные'!$B$14,0)</f>
        <v/>
      </c>
      <c r="AQ4491">
        <f>IF('01_Вводные'!$B$234="Да",'19_Расчет_аналитики'!AP4490*'01_Вводные'!$B$14,0)</f>
        <v/>
      </c>
      <c r="AR4491">
        <f>IF('01_Вводные'!$B$234="Да",'19_Расчет_аналитики'!AQ4490*'01_Вводные'!$B$14,0)</f>
        <v/>
      </c>
      <c r="AS4491">
        <f>IF('01_Вводные'!$B$234="Да",'19_Расчет_аналитики'!AR4490*'01_Вводные'!$B$14,0)</f>
        <v/>
      </c>
      <c r="AT4491">
        <f>IF('01_Вводные'!$B$234="Да",'19_Расчет_аналитики'!AS4490*'01_Вводные'!$B$14,0)</f>
        <v/>
      </c>
      <c r="AU4491">
        <f>IF('01_Вводные'!$B$234="Да",'19_Расчет_аналитики'!AT4490*'01_Вводные'!$B$14,0)</f>
        <v/>
      </c>
      <c r="AV4491">
        <f>IF('01_Вводные'!$B$234="Да",'19_Расчет_аналитики'!AU4490*'01_Вводные'!$B$14,0)</f>
        <v/>
      </c>
      <c r="AW4491">
        <f>IF('01_Вводные'!$B$234="Да",'19_Расчет_аналитики'!AV4490*'01_Вводные'!$B$14,0)</f>
        <v/>
      </c>
      <c r="AX4491">
        <f>IF('01_Вводные'!$B$234="Да",'19_Расчет_аналитики'!AW4490*'01_Вводные'!$B$14,0)</f>
        <v/>
      </c>
      <c r="AY4491">
        <f>IF('01_Вводные'!$B$234="Да",'19_Расчет_аналитики'!AX4490*'01_Вводные'!$B$14,0)</f>
        <v/>
      </c>
      <c r="AZ4491">
        <f>IF('01_Вводные'!$B$234="Да",'19_Расчет_аналитики'!AY4490*'01_Вводные'!$B$14,0)</f>
        <v/>
      </c>
      <c r="BA4491">
        <f>IF('01_Вводные'!$B$234="Да",'19_Расчет_аналитики'!AZ4490*'01_Вводные'!$B$14,0)</f>
        <v/>
      </c>
      <c r="BB4491">
        <f>IF('01_Вводные'!$B$234="Да",'19_Расчет_аналитики'!BA4490*'01_Вводные'!$B$14,0)</f>
        <v/>
      </c>
      <c r="BC4491">
        <f>IF('01_Вводные'!$B$234="Да",'19_Расчет_аналитики'!BB4490*'01_Вводные'!$B$14,0)</f>
        <v/>
      </c>
      <c r="BD4491">
        <f>IF('01_Вводные'!$B$234="Да",'19_Расчет_аналитики'!BC4490*'01_Вводные'!$B$14,0)</f>
        <v/>
      </c>
      <c r="BE4491">
        <f>IF('01_Вводные'!$B$234="Да",'19_Расчет_аналитики'!BD4490*'01_Вводные'!$B$14,0)</f>
        <v/>
      </c>
      <c r="BF4491">
        <f>IF('01_Вводные'!$B$234="Да",'19_Расчет_аналитики'!BE4490*'01_Вводные'!$B$14,0)</f>
        <v/>
      </c>
      <c r="BG4491">
        <f>IF('01_Вводные'!$B$234="Да",'19_Расчет_аналитики'!BF4490*'01_Вводные'!$B$14,0)</f>
        <v/>
      </c>
      <c r="BH4491">
        <f>IF('01_Вводные'!$B$234="Да",'19_Расчет_аналитики'!BG4490*'01_Вводные'!$B$14,0)</f>
        <v/>
      </c>
      <c r="BI4491">
        <f>IF('01_Вводные'!$B$234="Да",'19_Расчет_аналитики'!BH4490*'01_Вводные'!$B$14,0)</f>
        <v/>
      </c>
      <c r="BJ4491">
        <f>IF('01_Вводные'!$B$234="Да",'19_Расчет_аналитики'!BI4490*'01_Вводные'!$B$14,0)</f>
        <v/>
      </c>
      <c r="BK4491">
        <f>IF('01_Вводные'!$B$234="Да",'19_Расчет_аналитики'!BJ4490*'01_Вводные'!$B$14,0)</f>
        <v/>
      </c>
      <c r="BL4491">
        <f>IF('01_Вводные'!$B$234="Да",'19_Расчет_аналитики'!BK4490*'01_Вводные'!$B$14,0)</f>
        <v/>
      </c>
      <c r="BM4491">
        <f>IF('01_Вводные'!$B$234="Да",'19_Расчет_аналитики'!BL4490*'01_Вводные'!$B$14,0)</f>
        <v/>
      </c>
      <c r="BN4491">
        <f>IF('01_Вводные'!$B$234="Да",'19_Расчет_аналитики'!BM4490*'01_Вводные'!$B$14,0)</f>
        <v/>
      </c>
      <c r="BO4491">
        <f>IF('01_Вводные'!$B$234="Да",'19_Расчет_аналитики'!BN4490*'01_Вводные'!$B$14,0)</f>
        <v/>
      </c>
    </row>
    <row r="4492">
      <c r="B4492">
        <f>'06_Сеть_и_дети'!B89</f>
        <v/>
      </c>
      <c r="C4492">
        <f>'06_Сеть_и_дети'!C89</f>
        <v/>
      </c>
      <c r="D4492">
        <f>'06_Сеть_и_дети'!D89</f>
        <v/>
      </c>
      <c r="E4492">
        <f>'06_Сеть_и_дети'!E89</f>
        <v/>
      </c>
      <c r="F4492">
        <f>'06_Сеть_и_дети'!F89</f>
        <v/>
      </c>
      <c r="G4492">
        <f>'06_Сеть_и_дети'!G89</f>
        <v/>
      </c>
      <c r="H4492">
        <f>'06_Сеть_и_дети'!H89</f>
        <v/>
      </c>
      <c r="I4492">
        <f>'06_Сеть_и_дети'!I89</f>
        <v/>
      </c>
      <c r="J4492">
        <f>IF('01_Вводные'!$B$234="Да",'19_Расчет_аналитики'!I4491*'01_Вводные'!$B$14,0)</f>
        <v/>
      </c>
      <c r="K4492">
        <f>IF('01_Вводные'!$B$234="Да",'19_Расчет_аналитики'!J4491*'01_Вводные'!$B$14,0)</f>
        <v/>
      </c>
      <c r="L4492">
        <f>IF('01_Вводные'!$B$234="Да",'19_Расчет_аналитики'!K4491*'01_Вводные'!$B$14,0)</f>
        <v/>
      </c>
      <c r="M4492">
        <f>IF('01_Вводные'!$B$234="Да",'19_Расчет_аналитики'!L4491*'01_Вводные'!$B$14,0)</f>
        <v/>
      </c>
      <c r="N4492">
        <f>IF('01_Вводные'!$B$234="Да",'19_Расчет_аналитики'!M4491*'01_Вводные'!$B$14,0)</f>
        <v/>
      </c>
      <c r="O4492">
        <f>IF('01_Вводные'!$B$234="Да",'19_Расчет_аналитики'!N4491*'01_Вводные'!$B$14,0)</f>
        <v/>
      </c>
      <c r="P4492">
        <f>IF('01_Вводные'!$B$234="Да",'19_Расчет_аналитики'!O4491*'01_Вводные'!$B$14,0)</f>
        <v/>
      </c>
      <c r="Q4492">
        <f>IF('01_Вводные'!$B$234="Да",'19_Расчет_аналитики'!P4491*'01_Вводные'!$B$14,0)</f>
        <v/>
      </c>
      <c r="R4492">
        <f>IF('01_Вводные'!$B$234="Да",'19_Расчет_аналитики'!Q4491*'01_Вводные'!$B$14,0)</f>
        <v/>
      </c>
      <c r="S4492">
        <f>IF('01_Вводные'!$B$234="Да",'19_Расчет_аналитики'!R4491*'01_Вводные'!$B$14,0)</f>
        <v/>
      </c>
      <c r="T4492">
        <f>IF('01_Вводные'!$B$234="Да",'19_Расчет_аналитики'!S4491*'01_Вводные'!$B$14,0)</f>
        <v/>
      </c>
      <c r="U4492">
        <f>IF('01_Вводные'!$B$234="Да",'19_Расчет_аналитики'!T4491*'01_Вводные'!$B$14,0)</f>
        <v/>
      </c>
      <c r="V4492">
        <f>IF('01_Вводные'!$B$234="Да",'19_Расчет_аналитики'!U4491*'01_Вводные'!$B$14,0)</f>
        <v/>
      </c>
      <c r="W4492">
        <f>IF('01_Вводные'!$B$234="Да",'19_Расчет_аналитики'!V4491*'01_Вводные'!$B$14,0)</f>
        <v/>
      </c>
      <c r="X4492">
        <f>IF('01_Вводные'!$B$234="Да",'19_Расчет_аналитики'!W4491*'01_Вводные'!$B$14,0)</f>
        <v/>
      </c>
      <c r="Y4492">
        <f>IF('01_Вводные'!$B$234="Да",'19_Расчет_аналитики'!X4491*'01_Вводные'!$B$14,0)</f>
        <v/>
      </c>
      <c r="Z4492">
        <f>IF('01_Вводные'!$B$234="Да",'19_Расчет_аналитики'!Y4491*'01_Вводные'!$B$14,0)</f>
        <v/>
      </c>
      <c r="AA4492">
        <f>IF('01_Вводные'!$B$234="Да",'19_Расчет_аналитики'!Z4491*'01_Вводные'!$B$14,0)</f>
        <v/>
      </c>
      <c r="AB4492">
        <f>IF('01_Вводные'!$B$234="Да",'19_Расчет_аналитики'!AA4491*'01_Вводные'!$B$14,0)</f>
        <v/>
      </c>
      <c r="AC4492">
        <f>IF('01_Вводные'!$B$234="Да",'19_Расчет_аналитики'!AB4491*'01_Вводные'!$B$14,0)</f>
        <v/>
      </c>
      <c r="AD4492">
        <f>IF('01_Вводные'!$B$234="Да",'19_Расчет_аналитики'!AC4491*'01_Вводные'!$B$14,0)</f>
        <v/>
      </c>
      <c r="AE4492">
        <f>IF('01_Вводные'!$B$234="Да",'19_Расчет_аналитики'!AD4491*'01_Вводные'!$B$14,0)</f>
        <v/>
      </c>
      <c r="AF4492">
        <f>IF('01_Вводные'!$B$234="Да",'19_Расчет_аналитики'!AE4491*'01_Вводные'!$B$14,0)</f>
        <v/>
      </c>
      <c r="AG4492">
        <f>IF('01_Вводные'!$B$234="Да",'19_Расчет_аналитики'!AF4491*'01_Вводные'!$B$14,0)</f>
        <v/>
      </c>
      <c r="AH4492">
        <f>IF('01_Вводные'!$B$234="Да",'19_Расчет_аналитики'!AG4491*'01_Вводные'!$B$14,0)</f>
        <v/>
      </c>
      <c r="AI4492">
        <f>IF('01_Вводные'!$B$234="Да",'19_Расчет_аналитики'!AH4491*'01_Вводные'!$B$14,0)</f>
        <v/>
      </c>
      <c r="AJ4492">
        <f>IF('01_Вводные'!$B$234="Да",'19_Расчет_аналитики'!AI4491*'01_Вводные'!$B$14,0)</f>
        <v/>
      </c>
      <c r="AK4492">
        <f>IF('01_Вводные'!$B$234="Да",'19_Расчет_аналитики'!AJ4491*'01_Вводные'!$B$14,0)</f>
        <v/>
      </c>
      <c r="AL4492">
        <f>IF('01_Вводные'!$B$234="Да",'19_Расчет_аналитики'!AK4491*'01_Вводные'!$B$14,0)</f>
        <v/>
      </c>
      <c r="AM4492">
        <f>IF('01_Вводные'!$B$234="Да",'19_Расчет_аналитики'!AL4491*'01_Вводные'!$B$14,0)</f>
        <v/>
      </c>
      <c r="AN4492">
        <f>IF('01_Вводные'!$B$234="Да",'19_Расчет_аналитики'!AM4491*'01_Вводные'!$B$14,0)</f>
        <v/>
      </c>
      <c r="AO4492">
        <f>IF('01_Вводные'!$B$234="Да",'19_Расчет_аналитики'!AN4491*'01_Вводные'!$B$14,0)</f>
        <v/>
      </c>
      <c r="AP4492">
        <f>IF('01_Вводные'!$B$234="Да",'19_Расчет_аналитики'!AO4491*'01_Вводные'!$B$14,0)</f>
        <v/>
      </c>
      <c r="AQ4492">
        <f>IF('01_Вводные'!$B$234="Да",'19_Расчет_аналитики'!AP4491*'01_Вводные'!$B$14,0)</f>
        <v/>
      </c>
      <c r="AR4492">
        <f>IF('01_Вводные'!$B$234="Да",'19_Расчет_аналитики'!AQ4491*'01_Вводные'!$B$14,0)</f>
        <v/>
      </c>
      <c r="AS4492">
        <f>IF('01_Вводные'!$B$234="Да",'19_Расчет_аналитики'!AR4491*'01_Вводные'!$B$14,0)</f>
        <v/>
      </c>
      <c r="AT4492">
        <f>IF('01_Вводные'!$B$234="Да",'19_Расчет_аналитики'!AS4491*'01_Вводные'!$B$14,0)</f>
        <v/>
      </c>
      <c r="AU4492">
        <f>IF('01_Вводные'!$B$234="Да",'19_Расчет_аналитики'!AT4491*'01_Вводные'!$B$14,0)</f>
        <v/>
      </c>
      <c r="AV4492">
        <f>IF('01_Вводные'!$B$234="Да",'19_Расчет_аналитики'!AU4491*'01_Вводные'!$B$14,0)</f>
        <v/>
      </c>
      <c r="AW4492">
        <f>IF('01_Вводные'!$B$234="Да",'19_Расчет_аналитики'!AV4491*'01_Вводные'!$B$14,0)</f>
        <v/>
      </c>
      <c r="AX4492">
        <f>IF('01_Вводные'!$B$234="Да",'19_Расчет_аналитики'!AW4491*'01_Вводные'!$B$14,0)</f>
        <v/>
      </c>
      <c r="AY4492">
        <f>IF('01_Вводные'!$B$234="Да",'19_Расчет_аналитики'!AX4491*'01_Вводные'!$B$14,0)</f>
        <v/>
      </c>
      <c r="AZ4492">
        <f>IF('01_Вводные'!$B$234="Да",'19_Расчет_аналитики'!AY4491*'01_Вводные'!$B$14,0)</f>
        <v/>
      </c>
      <c r="BA4492">
        <f>IF('01_Вводные'!$B$234="Да",'19_Расчет_аналитики'!AZ4491*'01_Вводные'!$B$14,0)</f>
        <v/>
      </c>
      <c r="BB4492">
        <f>IF('01_Вводные'!$B$234="Да",'19_Расчет_аналитики'!BA4491*'01_Вводные'!$B$14,0)</f>
        <v/>
      </c>
      <c r="BC4492">
        <f>IF('01_Вводные'!$B$234="Да",'19_Расчет_аналитики'!BB4491*'01_Вводные'!$B$14,0)</f>
        <v/>
      </c>
      <c r="BD4492">
        <f>IF('01_Вводные'!$B$234="Да",'19_Расчет_аналитики'!BC4491*'01_Вводные'!$B$14,0)</f>
        <v/>
      </c>
      <c r="BE4492">
        <f>IF('01_Вводные'!$B$234="Да",'19_Расчет_аналитики'!BD4491*'01_Вводные'!$B$14,0)</f>
        <v/>
      </c>
      <c r="BF4492">
        <f>IF('01_Вводные'!$B$234="Да",'19_Расчет_аналитики'!BE4491*'01_Вводные'!$B$14,0)</f>
        <v/>
      </c>
      <c r="BG4492">
        <f>IF('01_Вводные'!$B$234="Да",'19_Расчет_аналитики'!BF4491*'01_Вводные'!$B$14,0)</f>
        <v/>
      </c>
      <c r="BH4492">
        <f>IF('01_Вводные'!$B$234="Да",'19_Расчет_аналитики'!BG4491*'01_Вводные'!$B$14,0)</f>
        <v/>
      </c>
      <c r="BI4492">
        <f>IF('01_Вводные'!$B$234="Да",'19_Расчет_аналитики'!BH4491*'01_Вводные'!$B$14,0)</f>
        <v/>
      </c>
      <c r="BJ4492">
        <f>IF('01_Вводные'!$B$234="Да",'19_Расчет_аналитики'!BI4491*'01_Вводные'!$B$14,0)</f>
        <v/>
      </c>
      <c r="BK4492">
        <f>IF('01_Вводные'!$B$234="Да",'19_Расчет_аналитики'!BJ4491*'01_Вводные'!$B$14,0)</f>
        <v/>
      </c>
      <c r="BL4492">
        <f>IF('01_Вводные'!$B$234="Да",'19_Расчет_аналитики'!BK4491*'01_Вводные'!$B$14,0)</f>
        <v/>
      </c>
      <c r="BM4492">
        <f>IF('01_Вводные'!$B$234="Да",'19_Расчет_аналитики'!BL4491*'01_Вводные'!$B$14,0)</f>
        <v/>
      </c>
      <c r="BN4492">
        <f>IF('01_Вводные'!$B$234="Да",'19_Расчет_аналитики'!BM4491*'01_Вводные'!$B$14,0)</f>
        <v/>
      </c>
      <c r="BO4492">
        <f>IF('01_Вводные'!$B$234="Да",'19_Расчет_аналитики'!BN4491*'01_Вводные'!$B$14,0)</f>
        <v/>
      </c>
    </row>
    <row r="4493">
      <c r="B4493">
        <f>'06_Сеть_и_дети'!B90</f>
        <v/>
      </c>
      <c r="C4493">
        <f>'06_Сеть_и_дети'!C90</f>
        <v/>
      </c>
      <c r="D4493">
        <f>'06_Сеть_и_дети'!D90</f>
        <v/>
      </c>
      <c r="E4493">
        <f>'06_Сеть_и_дети'!E90</f>
        <v/>
      </c>
      <c r="F4493">
        <f>'06_Сеть_и_дети'!F90</f>
        <v/>
      </c>
      <c r="G4493">
        <f>'06_Сеть_и_дети'!G90</f>
        <v/>
      </c>
      <c r="H4493">
        <f>'06_Сеть_и_дети'!H90</f>
        <v/>
      </c>
      <c r="I4493">
        <f>'06_Сеть_и_дети'!I90</f>
        <v/>
      </c>
      <c r="J4493">
        <f>'06_Сеть_и_дети'!J90</f>
        <v/>
      </c>
      <c r="K4493">
        <f>IF('01_Вводные'!$B$234="Да",'19_Расчет_аналитики'!J4492*'01_Вводные'!$B$14,0)</f>
        <v/>
      </c>
      <c r="L4493">
        <f>IF('01_Вводные'!$B$234="Да",'19_Расчет_аналитики'!K4492*'01_Вводные'!$B$14,0)</f>
        <v/>
      </c>
      <c r="M4493">
        <f>IF('01_Вводные'!$B$234="Да",'19_Расчет_аналитики'!L4492*'01_Вводные'!$B$14,0)</f>
        <v/>
      </c>
      <c r="N4493">
        <f>IF('01_Вводные'!$B$234="Да",'19_Расчет_аналитики'!M4492*'01_Вводные'!$B$14,0)</f>
        <v/>
      </c>
      <c r="O4493">
        <f>IF('01_Вводные'!$B$234="Да",'19_Расчет_аналитики'!N4492*'01_Вводные'!$B$14,0)</f>
        <v/>
      </c>
      <c r="P4493">
        <f>IF('01_Вводные'!$B$234="Да",'19_Расчет_аналитики'!O4492*'01_Вводные'!$B$14,0)</f>
        <v/>
      </c>
      <c r="Q4493">
        <f>IF('01_Вводные'!$B$234="Да",'19_Расчет_аналитики'!P4492*'01_Вводные'!$B$14,0)</f>
        <v/>
      </c>
      <c r="R4493">
        <f>IF('01_Вводные'!$B$234="Да",'19_Расчет_аналитики'!Q4492*'01_Вводные'!$B$14,0)</f>
        <v/>
      </c>
      <c r="S4493">
        <f>IF('01_Вводные'!$B$234="Да",'19_Расчет_аналитики'!R4492*'01_Вводные'!$B$14,0)</f>
        <v/>
      </c>
      <c r="T4493">
        <f>IF('01_Вводные'!$B$234="Да",'19_Расчет_аналитики'!S4492*'01_Вводные'!$B$14,0)</f>
        <v/>
      </c>
      <c r="U4493">
        <f>IF('01_Вводные'!$B$234="Да",'19_Расчет_аналитики'!T4492*'01_Вводные'!$B$14,0)</f>
        <v/>
      </c>
      <c r="V4493">
        <f>IF('01_Вводные'!$B$234="Да",'19_Расчет_аналитики'!U4492*'01_Вводные'!$B$14,0)</f>
        <v/>
      </c>
      <c r="W4493">
        <f>IF('01_Вводные'!$B$234="Да",'19_Расчет_аналитики'!V4492*'01_Вводные'!$B$14,0)</f>
        <v/>
      </c>
      <c r="X4493">
        <f>IF('01_Вводные'!$B$234="Да",'19_Расчет_аналитики'!W4492*'01_Вводные'!$B$14,0)</f>
        <v/>
      </c>
      <c r="Y4493">
        <f>IF('01_Вводные'!$B$234="Да",'19_Расчет_аналитики'!X4492*'01_Вводные'!$B$14,0)</f>
        <v/>
      </c>
      <c r="Z4493">
        <f>IF('01_Вводные'!$B$234="Да",'19_Расчет_аналитики'!Y4492*'01_Вводные'!$B$14,0)</f>
        <v/>
      </c>
      <c r="AA4493">
        <f>IF('01_Вводные'!$B$234="Да",'19_Расчет_аналитики'!Z4492*'01_Вводные'!$B$14,0)</f>
        <v/>
      </c>
      <c r="AB4493">
        <f>IF('01_Вводные'!$B$234="Да",'19_Расчет_аналитики'!AA4492*'01_Вводные'!$B$14,0)</f>
        <v/>
      </c>
      <c r="AC4493">
        <f>IF('01_Вводные'!$B$234="Да",'19_Расчет_аналитики'!AB4492*'01_Вводные'!$B$14,0)</f>
        <v/>
      </c>
      <c r="AD4493">
        <f>IF('01_Вводные'!$B$234="Да",'19_Расчет_аналитики'!AC4492*'01_Вводные'!$B$14,0)</f>
        <v/>
      </c>
      <c r="AE4493">
        <f>IF('01_Вводные'!$B$234="Да",'19_Расчет_аналитики'!AD4492*'01_Вводные'!$B$14,0)</f>
        <v/>
      </c>
      <c r="AF4493">
        <f>IF('01_Вводные'!$B$234="Да",'19_Расчет_аналитики'!AE4492*'01_Вводные'!$B$14,0)</f>
        <v/>
      </c>
      <c r="AG4493">
        <f>IF('01_Вводные'!$B$234="Да",'19_Расчет_аналитики'!AF4492*'01_Вводные'!$B$14,0)</f>
        <v/>
      </c>
      <c r="AH4493">
        <f>IF('01_Вводные'!$B$234="Да",'19_Расчет_аналитики'!AG4492*'01_Вводные'!$B$14,0)</f>
        <v/>
      </c>
      <c r="AI4493">
        <f>IF('01_Вводные'!$B$234="Да",'19_Расчет_аналитики'!AH4492*'01_Вводные'!$B$14,0)</f>
        <v/>
      </c>
      <c r="AJ4493">
        <f>IF('01_Вводные'!$B$234="Да",'19_Расчет_аналитики'!AI4492*'01_Вводные'!$B$14,0)</f>
        <v/>
      </c>
      <c r="AK4493">
        <f>IF('01_Вводные'!$B$234="Да",'19_Расчет_аналитики'!AJ4492*'01_Вводные'!$B$14,0)</f>
        <v/>
      </c>
      <c r="AL4493">
        <f>IF('01_Вводные'!$B$234="Да",'19_Расчет_аналитики'!AK4492*'01_Вводные'!$B$14,0)</f>
        <v/>
      </c>
      <c r="AM4493">
        <f>IF('01_Вводные'!$B$234="Да",'19_Расчет_аналитики'!AL4492*'01_Вводные'!$B$14,0)</f>
        <v/>
      </c>
      <c r="AN4493">
        <f>IF('01_Вводные'!$B$234="Да",'19_Расчет_аналитики'!AM4492*'01_Вводные'!$B$14,0)</f>
        <v/>
      </c>
      <c r="AO4493">
        <f>IF('01_Вводные'!$B$234="Да",'19_Расчет_аналитики'!AN4492*'01_Вводные'!$B$14,0)</f>
        <v/>
      </c>
      <c r="AP4493">
        <f>IF('01_Вводные'!$B$234="Да",'19_Расчет_аналитики'!AO4492*'01_Вводные'!$B$14,0)</f>
        <v/>
      </c>
      <c r="AQ4493">
        <f>IF('01_Вводные'!$B$234="Да",'19_Расчет_аналитики'!AP4492*'01_Вводные'!$B$14,0)</f>
        <v/>
      </c>
      <c r="AR4493">
        <f>IF('01_Вводные'!$B$234="Да",'19_Расчет_аналитики'!AQ4492*'01_Вводные'!$B$14,0)</f>
        <v/>
      </c>
      <c r="AS4493">
        <f>IF('01_Вводные'!$B$234="Да",'19_Расчет_аналитики'!AR4492*'01_Вводные'!$B$14,0)</f>
        <v/>
      </c>
      <c r="AT4493">
        <f>IF('01_Вводные'!$B$234="Да",'19_Расчет_аналитики'!AS4492*'01_Вводные'!$B$14,0)</f>
        <v/>
      </c>
      <c r="AU4493">
        <f>IF('01_Вводные'!$B$234="Да",'19_Расчет_аналитики'!AT4492*'01_Вводные'!$B$14,0)</f>
        <v/>
      </c>
      <c r="AV4493">
        <f>IF('01_Вводные'!$B$234="Да",'19_Расчет_аналитики'!AU4492*'01_Вводные'!$B$14,0)</f>
        <v/>
      </c>
      <c r="AW4493">
        <f>IF('01_Вводные'!$B$234="Да",'19_Расчет_аналитики'!AV4492*'01_Вводные'!$B$14,0)</f>
        <v/>
      </c>
      <c r="AX4493">
        <f>IF('01_Вводные'!$B$234="Да",'19_Расчет_аналитики'!AW4492*'01_Вводные'!$B$14,0)</f>
        <v/>
      </c>
      <c r="AY4493">
        <f>IF('01_Вводные'!$B$234="Да",'19_Расчет_аналитики'!AX4492*'01_Вводные'!$B$14,0)</f>
        <v/>
      </c>
      <c r="AZ4493">
        <f>IF('01_Вводные'!$B$234="Да",'19_Расчет_аналитики'!AY4492*'01_Вводные'!$B$14,0)</f>
        <v/>
      </c>
      <c r="BA4493">
        <f>IF('01_Вводные'!$B$234="Да",'19_Расчет_аналитики'!AZ4492*'01_Вводные'!$B$14,0)</f>
        <v/>
      </c>
      <c r="BB4493">
        <f>IF('01_Вводные'!$B$234="Да",'19_Расчет_аналитики'!BA4492*'01_Вводные'!$B$14,0)</f>
        <v/>
      </c>
      <c r="BC4493">
        <f>IF('01_Вводные'!$B$234="Да",'19_Расчет_аналитики'!BB4492*'01_Вводные'!$B$14,0)</f>
        <v/>
      </c>
      <c r="BD4493">
        <f>IF('01_Вводные'!$B$234="Да",'19_Расчет_аналитики'!BC4492*'01_Вводные'!$B$14,0)</f>
        <v/>
      </c>
      <c r="BE4493">
        <f>IF('01_Вводные'!$B$234="Да",'19_Расчет_аналитики'!BD4492*'01_Вводные'!$B$14,0)</f>
        <v/>
      </c>
      <c r="BF4493">
        <f>IF('01_Вводные'!$B$234="Да",'19_Расчет_аналитики'!BE4492*'01_Вводные'!$B$14,0)</f>
        <v/>
      </c>
      <c r="BG4493">
        <f>IF('01_Вводные'!$B$234="Да",'19_Расчет_аналитики'!BF4492*'01_Вводные'!$B$14,0)</f>
        <v/>
      </c>
      <c r="BH4493">
        <f>IF('01_Вводные'!$B$234="Да",'19_Расчет_аналитики'!BG4492*'01_Вводные'!$B$14,0)</f>
        <v/>
      </c>
      <c r="BI4493">
        <f>IF('01_Вводные'!$B$234="Да",'19_Расчет_аналитики'!BH4492*'01_Вводные'!$B$14,0)</f>
        <v/>
      </c>
      <c r="BJ4493">
        <f>IF('01_Вводные'!$B$234="Да",'19_Расчет_аналитики'!BI4492*'01_Вводные'!$B$14,0)</f>
        <v/>
      </c>
      <c r="BK4493">
        <f>IF('01_Вводные'!$B$234="Да",'19_Расчет_аналитики'!BJ4492*'01_Вводные'!$B$14,0)</f>
        <v/>
      </c>
      <c r="BL4493">
        <f>IF('01_Вводные'!$B$234="Да",'19_Расчет_аналитики'!BK4492*'01_Вводные'!$B$14,0)</f>
        <v/>
      </c>
      <c r="BM4493">
        <f>IF('01_Вводные'!$B$234="Да",'19_Расчет_аналитики'!BL4492*'01_Вводные'!$B$14,0)</f>
        <v/>
      </c>
      <c r="BN4493">
        <f>IF('01_Вводные'!$B$234="Да",'19_Расчет_аналитики'!BM4492*'01_Вводные'!$B$14,0)</f>
        <v/>
      </c>
      <c r="BO4493">
        <f>IF('01_Вводные'!$B$234="Да",'19_Расчет_аналитики'!BN4492*'01_Вводные'!$B$14,0)</f>
        <v/>
      </c>
    </row>
    <row r="4494">
      <c r="B4494">
        <f>'06_Сеть_и_дети'!B91</f>
        <v/>
      </c>
      <c r="C4494">
        <f>'06_Сеть_и_дети'!C91</f>
        <v/>
      </c>
      <c r="D4494">
        <f>'06_Сеть_и_дети'!D91</f>
        <v/>
      </c>
      <c r="E4494">
        <f>'06_Сеть_и_дети'!E91</f>
        <v/>
      </c>
      <c r="F4494">
        <f>'06_Сеть_и_дети'!F91</f>
        <v/>
      </c>
      <c r="G4494">
        <f>'06_Сеть_и_дети'!G91</f>
        <v/>
      </c>
      <c r="H4494">
        <f>'06_Сеть_и_дети'!H91</f>
        <v/>
      </c>
      <c r="I4494">
        <f>'06_Сеть_и_дети'!I91</f>
        <v/>
      </c>
      <c r="J4494">
        <f>'06_Сеть_и_дети'!J91</f>
        <v/>
      </c>
      <c r="K4494">
        <f>'06_Сеть_и_дети'!K91</f>
        <v/>
      </c>
      <c r="L4494">
        <f>IF('01_Вводные'!$B$234="Да",'19_Расчет_аналитики'!K4493*'01_Вводные'!$B$14,0)</f>
        <v/>
      </c>
      <c r="M4494">
        <f>IF('01_Вводные'!$B$234="Да",'19_Расчет_аналитики'!L4493*'01_Вводные'!$B$14,0)</f>
        <v/>
      </c>
      <c r="N4494">
        <f>IF('01_Вводные'!$B$234="Да",'19_Расчет_аналитики'!M4493*'01_Вводные'!$B$14,0)</f>
        <v/>
      </c>
      <c r="O4494">
        <f>IF('01_Вводные'!$B$234="Да",'19_Расчет_аналитики'!N4493*'01_Вводные'!$B$14,0)</f>
        <v/>
      </c>
      <c r="P4494">
        <f>IF('01_Вводные'!$B$234="Да",'19_Расчет_аналитики'!O4493*'01_Вводные'!$B$14,0)</f>
        <v/>
      </c>
      <c r="Q4494">
        <f>IF('01_Вводные'!$B$234="Да",'19_Расчет_аналитики'!P4493*'01_Вводные'!$B$14,0)</f>
        <v/>
      </c>
      <c r="R4494">
        <f>IF('01_Вводные'!$B$234="Да",'19_Расчет_аналитики'!Q4493*'01_Вводные'!$B$14,0)</f>
        <v/>
      </c>
      <c r="S4494">
        <f>IF('01_Вводные'!$B$234="Да",'19_Расчет_аналитики'!R4493*'01_Вводные'!$B$14,0)</f>
        <v/>
      </c>
      <c r="T4494">
        <f>IF('01_Вводные'!$B$234="Да",'19_Расчет_аналитики'!S4493*'01_Вводные'!$B$14,0)</f>
        <v/>
      </c>
      <c r="U4494">
        <f>IF('01_Вводные'!$B$234="Да",'19_Расчет_аналитики'!T4493*'01_Вводные'!$B$14,0)</f>
        <v/>
      </c>
      <c r="V4494">
        <f>IF('01_Вводные'!$B$234="Да",'19_Расчет_аналитики'!U4493*'01_Вводные'!$B$14,0)</f>
        <v/>
      </c>
      <c r="W4494">
        <f>IF('01_Вводные'!$B$234="Да",'19_Расчет_аналитики'!V4493*'01_Вводные'!$B$14,0)</f>
        <v/>
      </c>
      <c r="X4494">
        <f>IF('01_Вводные'!$B$234="Да",'19_Расчет_аналитики'!W4493*'01_Вводные'!$B$14,0)</f>
        <v/>
      </c>
      <c r="Y4494">
        <f>IF('01_Вводные'!$B$234="Да",'19_Расчет_аналитики'!X4493*'01_Вводные'!$B$14,0)</f>
        <v/>
      </c>
      <c r="Z4494">
        <f>IF('01_Вводные'!$B$234="Да",'19_Расчет_аналитики'!Y4493*'01_Вводные'!$B$14,0)</f>
        <v/>
      </c>
      <c r="AA4494">
        <f>IF('01_Вводные'!$B$234="Да",'19_Расчет_аналитики'!Z4493*'01_Вводные'!$B$14,0)</f>
        <v/>
      </c>
      <c r="AB4494">
        <f>IF('01_Вводные'!$B$234="Да",'19_Расчет_аналитики'!AA4493*'01_Вводные'!$B$14,0)</f>
        <v/>
      </c>
      <c r="AC4494">
        <f>IF('01_Вводные'!$B$234="Да",'19_Расчет_аналитики'!AB4493*'01_Вводные'!$B$14,0)</f>
        <v/>
      </c>
      <c r="AD4494">
        <f>IF('01_Вводные'!$B$234="Да",'19_Расчет_аналитики'!AC4493*'01_Вводные'!$B$14,0)</f>
        <v/>
      </c>
      <c r="AE4494">
        <f>IF('01_Вводные'!$B$234="Да",'19_Расчет_аналитики'!AD4493*'01_Вводные'!$B$14,0)</f>
        <v/>
      </c>
      <c r="AF4494">
        <f>IF('01_Вводные'!$B$234="Да",'19_Расчет_аналитики'!AE4493*'01_Вводные'!$B$14,0)</f>
        <v/>
      </c>
      <c r="AG4494">
        <f>IF('01_Вводные'!$B$234="Да",'19_Расчет_аналитики'!AF4493*'01_Вводные'!$B$14,0)</f>
        <v/>
      </c>
      <c r="AH4494">
        <f>IF('01_Вводные'!$B$234="Да",'19_Расчет_аналитики'!AG4493*'01_Вводные'!$B$14,0)</f>
        <v/>
      </c>
      <c r="AI4494">
        <f>IF('01_Вводные'!$B$234="Да",'19_Расчет_аналитики'!AH4493*'01_Вводные'!$B$14,0)</f>
        <v/>
      </c>
      <c r="AJ4494">
        <f>IF('01_Вводные'!$B$234="Да",'19_Расчет_аналитики'!AI4493*'01_Вводные'!$B$14,0)</f>
        <v/>
      </c>
      <c r="AK4494">
        <f>IF('01_Вводные'!$B$234="Да",'19_Расчет_аналитики'!AJ4493*'01_Вводные'!$B$14,0)</f>
        <v/>
      </c>
      <c r="AL4494">
        <f>IF('01_Вводные'!$B$234="Да",'19_Расчет_аналитики'!AK4493*'01_Вводные'!$B$14,0)</f>
        <v/>
      </c>
      <c r="AM4494">
        <f>IF('01_Вводные'!$B$234="Да",'19_Расчет_аналитики'!AL4493*'01_Вводные'!$B$14,0)</f>
        <v/>
      </c>
      <c r="AN4494">
        <f>IF('01_Вводные'!$B$234="Да",'19_Расчет_аналитики'!AM4493*'01_Вводные'!$B$14,0)</f>
        <v/>
      </c>
      <c r="AO4494">
        <f>IF('01_Вводные'!$B$234="Да",'19_Расчет_аналитики'!AN4493*'01_Вводные'!$B$14,0)</f>
        <v/>
      </c>
      <c r="AP4494">
        <f>IF('01_Вводные'!$B$234="Да",'19_Расчет_аналитики'!AO4493*'01_Вводные'!$B$14,0)</f>
        <v/>
      </c>
      <c r="AQ4494">
        <f>IF('01_Вводные'!$B$234="Да",'19_Расчет_аналитики'!AP4493*'01_Вводные'!$B$14,0)</f>
        <v/>
      </c>
      <c r="AR4494">
        <f>IF('01_Вводные'!$B$234="Да",'19_Расчет_аналитики'!AQ4493*'01_Вводные'!$B$14,0)</f>
        <v/>
      </c>
      <c r="AS4494">
        <f>IF('01_Вводные'!$B$234="Да",'19_Расчет_аналитики'!AR4493*'01_Вводные'!$B$14,0)</f>
        <v/>
      </c>
      <c r="AT4494">
        <f>IF('01_Вводные'!$B$234="Да",'19_Расчет_аналитики'!AS4493*'01_Вводные'!$B$14,0)</f>
        <v/>
      </c>
      <c r="AU4494">
        <f>IF('01_Вводные'!$B$234="Да",'19_Расчет_аналитики'!AT4493*'01_Вводные'!$B$14,0)</f>
        <v/>
      </c>
      <c r="AV4494">
        <f>IF('01_Вводные'!$B$234="Да",'19_Расчет_аналитики'!AU4493*'01_Вводные'!$B$14,0)</f>
        <v/>
      </c>
      <c r="AW4494">
        <f>IF('01_Вводные'!$B$234="Да",'19_Расчет_аналитики'!AV4493*'01_Вводные'!$B$14,0)</f>
        <v/>
      </c>
      <c r="AX4494">
        <f>IF('01_Вводные'!$B$234="Да",'19_Расчет_аналитики'!AW4493*'01_Вводные'!$B$14,0)</f>
        <v/>
      </c>
      <c r="AY4494">
        <f>IF('01_Вводные'!$B$234="Да",'19_Расчет_аналитики'!AX4493*'01_Вводные'!$B$14,0)</f>
        <v/>
      </c>
      <c r="AZ4494">
        <f>IF('01_Вводные'!$B$234="Да",'19_Расчет_аналитики'!AY4493*'01_Вводные'!$B$14,0)</f>
        <v/>
      </c>
      <c r="BA4494">
        <f>IF('01_Вводные'!$B$234="Да",'19_Расчет_аналитики'!AZ4493*'01_Вводные'!$B$14,0)</f>
        <v/>
      </c>
      <c r="BB4494">
        <f>IF('01_Вводные'!$B$234="Да",'19_Расчет_аналитики'!BA4493*'01_Вводные'!$B$14,0)</f>
        <v/>
      </c>
      <c r="BC4494">
        <f>IF('01_Вводные'!$B$234="Да",'19_Расчет_аналитики'!BB4493*'01_Вводные'!$B$14,0)</f>
        <v/>
      </c>
      <c r="BD4494">
        <f>IF('01_Вводные'!$B$234="Да",'19_Расчет_аналитики'!BC4493*'01_Вводные'!$B$14,0)</f>
        <v/>
      </c>
      <c r="BE4494">
        <f>IF('01_Вводные'!$B$234="Да",'19_Расчет_аналитики'!BD4493*'01_Вводные'!$B$14,0)</f>
        <v/>
      </c>
      <c r="BF4494">
        <f>IF('01_Вводные'!$B$234="Да",'19_Расчет_аналитики'!BE4493*'01_Вводные'!$B$14,0)</f>
        <v/>
      </c>
      <c r="BG4494">
        <f>IF('01_Вводные'!$B$234="Да",'19_Расчет_аналитики'!BF4493*'01_Вводные'!$B$14,0)</f>
        <v/>
      </c>
      <c r="BH4494">
        <f>IF('01_Вводные'!$B$234="Да",'19_Расчет_аналитики'!BG4493*'01_Вводные'!$B$14,0)</f>
        <v/>
      </c>
      <c r="BI4494">
        <f>IF('01_Вводные'!$B$234="Да",'19_Расчет_аналитики'!BH4493*'01_Вводные'!$B$14,0)</f>
        <v/>
      </c>
      <c r="BJ4494">
        <f>IF('01_Вводные'!$B$234="Да",'19_Расчет_аналитики'!BI4493*'01_Вводные'!$B$14,0)</f>
        <v/>
      </c>
      <c r="BK4494">
        <f>IF('01_Вводные'!$B$234="Да",'19_Расчет_аналитики'!BJ4493*'01_Вводные'!$B$14,0)</f>
        <v/>
      </c>
      <c r="BL4494">
        <f>IF('01_Вводные'!$B$234="Да",'19_Расчет_аналитики'!BK4493*'01_Вводные'!$B$14,0)</f>
        <v/>
      </c>
      <c r="BM4494">
        <f>IF('01_Вводные'!$B$234="Да",'19_Расчет_аналитики'!BL4493*'01_Вводные'!$B$14,0)</f>
        <v/>
      </c>
      <c r="BN4494">
        <f>IF('01_Вводные'!$B$234="Да",'19_Расчет_аналитики'!BM4493*'01_Вводные'!$B$14,0)</f>
        <v/>
      </c>
      <c r="BO4494">
        <f>IF('01_Вводные'!$B$234="Да",'19_Расчет_аналитики'!BN4493*'01_Вводные'!$B$14,0)</f>
        <v/>
      </c>
    </row>
    <row r="4495">
      <c r="B4495">
        <f>'06_Сеть_и_дети'!B92</f>
        <v/>
      </c>
      <c r="C4495">
        <f>'06_Сеть_и_дети'!C92</f>
        <v/>
      </c>
      <c r="D4495">
        <f>'06_Сеть_и_дети'!D92</f>
        <v/>
      </c>
      <c r="E4495">
        <f>'06_Сеть_и_дети'!E92</f>
        <v/>
      </c>
      <c r="F4495">
        <f>'06_Сеть_и_дети'!F92</f>
        <v/>
      </c>
      <c r="G4495">
        <f>'06_Сеть_и_дети'!G92</f>
        <v/>
      </c>
      <c r="H4495">
        <f>'06_Сеть_и_дети'!H92</f>
        <v/>
      </c>
      <c r="I4495">
        <f>'06_Сеть_и_дети'!I92</f>
        <v/>
      </c>
      <c r="J4495">
        <f>'06_Сеть_и_дети'!J92</f>
        <v/>
      </c>
      <c r="K4495">
        <f>'06_Сеть_и_дети'!K92</f>
        <v/>
      </c>
      <c r="L4495">
        <f>'06_Сеть_и_дети'!L92</f>
        <v/>
      </c>
      <c r="M4495">
        <f>IF('01_Вводные'!$B$234="Да",'19_Расчет_аналитики'!L4494*'01_Вводные'!$B$14,0)</f>
        <v/>
      </c>
      <c r="N4495">
        <f>IF('01_Вводные'!$B$234="Да",'19_Расчет_аналитики'!M4494*'01_Вводные'!$B$14,0)</f>
        <v/>
      </c>
      <c r="O4495">
        <f>IF('01_Вводные'!$B$234="Да",'19_Расчет_аналитики'!N4494*'01_Вводные'!$B$14,0)</f>
        <v/>
      </c>
      <c r="P4495">
        <f>IF('01_Вводные'!$B$234="Да",'19_Расчет_аналитики'!O4494*'01_Вводные'!$B$14,0)</f>
        <v/>
      </c>
      <c r="Q4495">
        <f>IF('01_Вводные'!$B$234="Да",'19_Расчет_аналитики'!P4494*'01_Вводные'!$B$14,0)</f>
        <v/>
      </c>
      <c r="R4495">
        <f>IF('01_Вводные'!$B$234="Да",'19_Расчет_аналитики'!Q4494*'01_Вводные'!$B$14,0)</f>
        <v/>
      </c>
      <c r="S4495">
        <f>IF('01_Вводные'!$B$234="Да",'19_Расчет_аналитики'!R4494*'01_Вводные'!$B$14,0)</f>
        <v/>
      </c>
      <c r="T4495">
        <f>IF('01_Вводные'!$B$234="Да",'19_Расчет_аналитики'!S4494*'01_Вводные'!$B$14,0)</f>
        <v/>
      </c>
      <c r="U4495">
        <f>IF('01_Вводные'!$B$234="Да",'19_Расчет_аналитики'!T4494*'01_Вводные'!$B$14,0)</f>
        <v/>
      </c>
      <c r="V4495">
        <f>IF('01_Вводные'!$B$234="Да",'19_Расчет_аналитики'!U4494*'01_Вводные'!$B$14,0)</f>
        <v/>
      </c>
      <c r="W4495">
        <f>IF('01_Вводные'!$B$234="Да",'19_Расчет_аналитики'!V4494*'01_Вводные'!$B$14,0)</f>
        <v/>
      </c>
      <c r="X4495">
        <f>IF('01_Вводные'!$B$234="Да",'19_Расчет_аналитики'!W4494*'01_Вводные'!$B$14,0)</f>
        <v/>
      </c>
      <c r="Y4495">
        <f>IF('01_Вводные'!$B$234="Да",'19_Расчет_аналитики'!X4494*'01_Вводные'!$B$14,0)</f>
        <v/>
      </c>
      <c r="Z4495">
        <f>IF('01_Вводные'!$B$234="Да",'19_Расчет_аналитики'!Y4494*'01_Вводные'!$B$14,0)</f>
        <v/>
      </c>
      <c r="AA4495">
        <f>IF('01_Вводные'!$B$234="Да",'19_Расчет_аналитики'!Z4494*'01_Вводные'!$B$14,0)</f>
        <v/>
      </c>
      <c r="AB4495">
        <f>IF('01_Вводные'!$B$234="Да",'19_Расчет_аналитики'!AA4494*'01_Вводные'!$B$14,0)</f>
        <v/>
      </c>
      <c r="AC4495">
        <f>IF('01_Вводные'!$B$234="Да",'19_Расчет_аналитики'!AB4494*'01_Вводные'!$B$14,0)</f>
        <v/>
      </c>
      <c r="AD4495">
        <f>IF('01_Вводные'!$B$234="Да",'19_Расчет_аналитики'!AC4494*'01_Вводные'!$B$14,0)</f>
        <v/>
      </c>
      <c r="AE4495">
        <f>IF('01_Вводные'!$B$234="Да",'19_Расчет_аналитики'!AD4494*'01_Вводные'!$B$14,0)</f>
        <v/>
      </c>
      <c r="AF4495">
        <f>IF('01_Вводные'!$B$234="Да",'19_Расчет_аналитики'!AE4494*'01_Вводные'!$B$14,0)</f>
        <v/>
      </c>
      <c r="AG4495">
        <f>IF('01_Вводные'!$B$234="Да",'19_Расчет_аналитики'!AF4494*'01_Вводные'!$B$14,0)</f>
        <v/>
      </c>
      <c r="AH4495">
        <f>IF('01_Вводные'!$B$234="Да",'19_Расчет_аналитики'!AG4494*'01_Вводные'!$B$14,0)</f>
        <v/>
      </c>
      <c r="AI4495">
        <f>IF('01_Вводные'!$B$234="Да",'19_Расчет_аналитики'!AH4494*'01_Вводные'!$B$14,0)</f>
        <v/>
      </c>
      <c r="AJ4495">
        <f>IF('01_Вводные'!$B$234="Да",'19_Расчет_аналитики'!AI4494*'01_Вводные'!$B$14,0)</f>
        <v/>
      </c>
      <c r="AK4495">
        <f>IF('01_Вводные'!$B$234="Да",'19_Расчет_аналитики'!AJ4494*'01_Вводные'!$B$14,0)</f>
        <v/>
      </c>
      <c r="AL4495">
        <f>IF('01_Вводные'!$B$234="Да",'19_Расчет_аналитики'!AK4494*'01_Вводные'!$B$14,0)</f>
        <v/>
      </c>
      <c r="AM4495">
        <f>IF('01_Вводные'!$B$234="Да",'19_Расчет_аналитики'!AL4494*'01_Вводные'!$B$14,0)</f>
        <v/>
      </c>
      <c r="AN4495">
        <f>IF('01_Вводные'!$B$234="Да",'19_Расчет_аналитики'!AM4494*'01_Вводные'!$B$14,0)</f>
        <v/>
      </c>
      <c r="AO4495">
        <f>IF('01_Вводные'!$B$234="Да",'19_Расчет_аналитики'!AN4494*'01_Вводные'!$B$14,0)</f>
        <v/>
      </c>
      <c r="AP4495">
        <f>IF('01_Вводные'!$B$234="Да",'19_Расчет_аналитики'!AO4494*'01_Вводные'!$B$14,0)</f>
        <v/>
      </c>
      <c r="AQ4495">
        <f>IF('01_Вводные'!$B$234="Да",'19_Расчет_аналитики'!AP4494*'01_Вводные'!$B$14,0)</f>
        <v/>
      </c>
      <c r="AR4495">
        <f>IF('01_Вводные'!$B$234="Да",'19_Расчет_аналитики'!AQ4494*'01_Вводные'!$B$14,0)</f>
        <v/>
      </c>
      <c r="AS4495">
        <f>IF('01_Вводные'!$B$234="Да",'19_Расчет_аналитики'!AR4494*'01_Вводные'!$B$14,0)</f>
        <v/>
      </c>
      <c r="AT4495">
        <f>IF('01_Вводные'!$B$234="Да",'19_Расчет_аналитики'!AS4494*'01_Вводные'!$B$14,0)</f>
        <v/>
      </c>
      <c r="AU4495">
        <f>IF('01_Вводные'!$B$234="Да",'19_Расчет_аналитики'!AT4494*'01_Вводные'!$B$14,0)</f>
        <v/>
      </c>
      <c r="AV4495">
        <f>IF('01_Вводные'!$B$234="Да",'19_Расчет_аналитики'!AU4494*'01_Вводные'!$B$14,0)</f>
        <v/>
      </c>
      <c r="AW4495">
        <f>IF('01_Вводные'!$B$234="Да",'19_Расчет_аналитики'!AV4494*'01_Вводные'!$B$14,0)</f>
        <v/>
      </c>
      <c r="AX4495">
        <f>IF('01_Вводные'!$B$234="Да",'19_Расчет_аналитики'!AW4494*'01_Вводные'!$B$14,0)</f>
        <v/>
      </c>
      <c r="AY4495">
        <f>IF('01_Вводные'!$B$234="Да",'19_Расчет_аналитики'!AX4494*'01_Вводные'!$B$14,0)</f>
        <v/>
      </c>
      <c r="AZ4495">
        <f>IF('01_Вводные'!$B$234="Да",'19_Расчет_аналитики'!AY4494*'01_Вводные'!$B$14,0)</f>
        <v/>
      </c>
      <c r="BA4495">
        <f>IF('01_Вводные'!$B$234="Да",'19_Расчет_аналитики'!AZ4494*'01_Вводные'!$B$14,0)</f>
        <v/>
      </c>
      <c r="BB4495">
        <f>IF('01_Вводные'!$B$234="Да",'19_Расчет_аналитики'!BA4494*'01_Вводные'!$B$14,0)</f>
        <v/>
      </c>
      <c r="BC4495">
        <f>IF('01_Вводные'!$B$234="Да",'19_Расчет_аналитики'!BB4494*'01_Вводные'!$B$14,0)</f>
        <v/>
      </c>
      <c r="BD4495">
        <f>IF('01_Вводные'!$B$234="Да",'19_Расчет_аналитики'!BC4494*'01_Вводные'!$B$14,0)</f>
        <v/>
      </c>
      <c r="BE4495">
        <f>IF('01_Вводные'!$B$234="Да",'19_Расчет_аналитики'!BD4494*'01_Вводные'!$B$14,0)</f>
        <v/>
      </c>
      <c r="BF4495">
        <f>IF('01_Вводные'!$B$234="Да",'19_Расчет_аналитики'!BE4494*'01_Вводные'!$B$14,0)</f>
        <v/>
      </c>
      <c r="BG4495">
        <f>IF('01_Вводные'!$B$234="Да",'19_Расчет_аналитики'!BF4494*'01_Вводные'!$B$14,0)</f>
        <v/>
      </c>
      <c r="BH4495">
        <f>IF('01_Вводные'!$B$234="Да",'19_Расчет_аналитики'!BG4494*'01_Вводные'!$B$14,0)</f>
        <v/>
      </c>
      <c r="BI4495">
        <f>IF('01_Вводные'!$B$234="Да",'19_Расчет_аналитики'!BH4494*'01_Вводные'!$B$14,0)</f>
        <v/>
      </c>
      <c r="BJ4495">
        <f>IF('01_Вводные'!$B$234="Да",'19_Расчет_аналитики'!BI4494*'01_Вводные'!$B$14,0)</f>
        <v/>
      </c>
      <c r="BK4495">
        <f>IF('01_Вводные'!$B$234="Да",'19_Расчет_аналитики'!BJ4494*'01_Вводные'!$B$14,0)</f>
        <v/>
      </c>
      <c r="BL4495">
        <f>IF('01_Вводные'!$B$234="Да",'19_Расчет_аналитики'!BK4494*'01_Вводные'!$B$14,0)</f>
        <v/>
      </c>
      <c r="BM4495">
        <f>IF('01_Вводные'!$B$234="Да",'19_Расчет_аналитики'!BL4494*'01_Вводные'!$B$14,0)</f>
        <v/>
      </c>
      <c r="BN4495">
        <f>IF('01_Вводные'!$B$234="Да",'19_Расчет_аналитики'!BM4494*'01_Вводные'!$B$14,0)</f>
        <v/>
      </c>
      <c r="BO4495">
        <f>IF('01_Вводные'!$B$234="Да",'19_Расчет_аналитики'!BN4494*'01_Вводные'!$B$14,0)</f>
        <v/>
      </c>
    </row>
    <row r="4496">
      <c r="N4496">
        <f>IF('01_Вводные'!$B$234="Да",'19_Расчет_аналитики'!M4495*'01_Вводные'!$B$14,0)</f>
        <v/>
      </c>
      <c r="O4496">
        <f>IF('01_Вводные'!$B$234="Да",'19_Расчет_аналитики'!N4495*'01_Вводные'!$B$14,0)</f>
        <v/>
      </c>
      <c r="P4496">
        <f>IF('01_Вводные'!$B$234="Да",'19_Расчет_аналитики'!O4495*'01_Вводные'!$B$14,0)</f>
        <v/>
      </c>
      <c r="Q4496">
        <f>IF('01_Вводные'!$B$234="Да",'19_Расчет_аналитики'!P4495*'01_Вводные'!$B$14,0)</f>
        <v/>
      </c>
      <c r="R4496">
        <f>IF('01_Вводные'!$B$234="Да",'19_Расчет_аналитики'!Q4495*'01_Вводные'!$B$14,0)</f>
        <v/>
      </c>
      <c r="S4496">
        <f>IF('01_Вводные'!$B$234="Да",'19_Расчет_аналитики'!R4495*'01_Вводные'!$B$14,0)</f>
        <v/>
      </c>
      <c r="T4496">
        <f>IF('01_Вводные'!$B$234="Да",'19_Расчет_аналитики'!S4495*'01_Вводные'!$B$14,0)</f>
        <v/>
      </c>
      <c r="U4496">
        <f>IF('01_Вводные'!$B$234="Да",'19_Расчет_аналитики'!T4495*'01_Вводные'!$B$14,0)</f>
        <v/>
      </c>
      <c r="V4496">
        <f>IF('01_Вводные'!$B$234="Да",'19_Расчет_аналитики'!U4495*'01_Вводные'!$B$14,0)</f>
        <v/>
      </c>
      <c r="W4496">
        <f>IF('01_Вводные'!$B$234="Да",'19_Расчет_аналитики'!V4495*'01_Вводные'!$B$14,0)</f>
        <v/>
      </c>
      <c r="X4496">
        <f>IF('01_Вводные'!$B$234="Да",'19_Расчет_аналитики'!W4495*'01_Вводные'!$B$14,0)</f>
        <v/>
      </c>
      <c r="Y4496">
        <f>IF('01_Вводные'!$B$234="Да",'19_Расчет_аналитики'!X4495*'01_Вводные'!$B$14,0)</f>
        <v/>
      </c>
      <c r="Z4496">
        <f>IF('01_Вводные'!$B$234="Да",'19_Расчет_аналитики'!Y4495*'01_Вводные'!$B$14,0)</f>
        <v/>
      </c>
      <c r="AA4496">
        <f>IF('01_Вводные'!$B$234="Да",'19_Расчет_аналитики'!Z4495*'01_Вводные'!$B$14,0)</f>
        <v/>
      </c>
      <c r="AB4496">
        <f>IF('01_Вводные'!$B$234="Да",'19_Расчет_аналитики'!AA4495*'01_Вводные'!$B$14,0)</f>
        <v/>
      </c>
      <c r="AC4496">
        <f>IF('01_Вводные'!$B$234="Да",'19_Расчет_аналитики'!AB4495*'01_Вводные'!$B$14,0)</f>
        <v/>
      </c>
      <c r="AD4496">
        <f>IF('01_Вводные'!$B$234="Да",'19_Расчет_аналитики'!AC4495*'01_Вводные'!$B$14,0)</f>
        <v/>
      </c>
      <c r="AE4496">
        <f>IF('01_Вводные'!$B$234="Да",'19_Расчет_аналитики'!AD4495*'01_Вводные'!$B$14,0)</f>
        <v/>
      </c>
      <c r="AF4496">
        <f>IF('01_Вводные'!$B$234="Да",'19_Расчет_аналитики'!AE4495*'01_Вводные'!$B$14,0)</f>
        <v/>
      </c>
      <c r="AG4496">
        <f>IF('01_Вводные'!$B$234="Да",'19_Расчет_аналитики'!AF4495*'01_Вводные'!$B$14,0)</f>
        <v/>
      </c>
      <c r="AH4496">
        <f>IF('01_Вводные'!$B$234="Да",'19_Расчет_аналитики'!AG4495*'01_Вводные'!$B$14,0)</f>
        <v/>
      </c>
      <c r="AI4496">
        <f>IF('01_Вводные'!$B$234="Да",'19_Расчет_аналитики'!AH4495*'01_Вводные'!$B$14,0)</f>
        <v/>
      </c>
      <c r="AJ4496">
        <f>IF('01_Вводные'!$B$234="Да",'19_Расчет_аналитики'!AI4495*'01_Вводные'!$B$14,0)</f>
        <v/>
      </c>
      <c r="AK4496">
        <f>IF('01_Вводные'!$B$234="Да",'19_Расчет_аналитики'!AJ4495*'01_Вводные'!$B$14,0)</f>
        <v/>
      </c>
      <c r="AL4496">
        <f>IF('01_Вводные'!$B$234="Да",'19_Расчет_аналитики'!AK4495*'01_Вводные'!$B$14,0)</f>
        <v/>
      </c>
      <c r="AM4496">
        <f>IF('01_Вводные'!$B$234="Да",'19_Расчет_аналитики'!AL4495*'01_Вводные'!$B$14,0)</f>
        <v/>
      </c>
      <c r="AN4496">
        <f>IF('01_Вводные'!$B$234="Да",'19_Расчет_аналитики'!AM4495*'01_Вводные'!$B$14,0)</f>
        <v/>
      </c>
      <c r="AO4496">
        <f>IF('01_Вводные'!$B$234="Да",'19_Расчет_аналитики'!AN4495*'01_Вводные'!$B$14,0)</f>
        <v/>
      </c>
      <c r="AP4496">
        <f>IF('01_Вводные'!$B$234="Да",'19_Расчет_аналитики'!AO4495*'01_Вводные'!$B$14,0)</f>
        <v/>
      </c>
      <c r="AQ4496">
        <f>IF('01_Вводные'!$B$234="Да",'19_Расчет_аналитики'!AP4495*'01_Вводные'!$B$14,0)</f>
        <v/>
      </c>
      <c r="AR4496">
        <f>IF('01_Вводные'!$B$234="Да",'19_Расчет_аналитики'!AQ4495*'01_Вводные'!$B$14,0)</f>
        <v/>
      </c>
      <c r="AS4496">
        <f>IF('01_Вводные'!$B$234="Да",'19_Расчет_аналитики'!AR4495*'01_Вводные'!$B$14,0)</f>
        <v/>
      </c>
      <c r="AT4496">
        <f>IF('01_Вводные'!$B$234="Да",'19_Расчет_аналитики'!AS4495*'01_Вводные'!$B$14,0)</f>
        <v/>
      </c>
      <c r="AU4496">
        <f>IF('01_Вводные'!$B$234="Да",'19_Расчет_аналитики'!AT4495*'01_Вводные'!$B$14,0)</f>
        <v/>
      </c>
      <c r="AV4496">
        <f>IF('01_Вводные'!$B$234="Да",'19_Расчет_аналитики'!AU4495*'01_Вводные'!$B$14,0)</f>
        <v/>
      </c>
      <c r="AW4496">
        <f>IF('01_Вводные'!$B$234="Да",'19_Расчет_аналитики'!AV4495*'01_Вводные'!$B$14,0)</f>
        <v/>
      </c>
      <c r="AX4496">
        <f>IF('01_Вводные'!$B$234="Да",'19_Расчет_аналитики'!AW4495*'01_Вводные'!$B$14,0)</f>
        <v/>
      </c>
      <c r="AY4496">
        <f>IF('01_Вводные'!$B$234="Да",'19_Расчет_аналитики'!AX4495*'01_Вводные'!$B$14,0)</f>
        <v/>
      </c>
      <c r="AZ4496">
        <f>IF('01_Вводные'!$B$234="Да",'19_Расчет_аналитики'!AY4495*'01_Вводные'!$B$14,0)</f>
        <v/>
      </c>
      <c r="BA4496">
        <f>IF('01_Вводные'!$B$234="Да",'19_Расчет_аналитики'!AZ4495*'01_Вводные'!$B$14,0)</f>
        <v/>
      </c>
      <c r="BB4496">
        <f>IF('01_Вводные'!$B$234="Да",'19_Расчет_аналитики'!BA4495*'01_Вводные'!$B$14,0)</f>
        <v/>
      </c>
      <c r="BC4496">
        <f>IF('01_Вводные'!$B$234="Да",'19_Расчет_аналитики'!BB4495*'01_Вводные'!$B$14,0)</f>
        <v/>
      </c>
      <c r="BD4496">
        <f>IF('01_Вводные'!$B$234="Да",'19_Расчет_аналитики'!BC4495*'01_Вводные'!$B$14,0)</f>
        <v/>
      </c>
      <c r="BE4496">
        <f>IF('01_Вводные'!$B$234="Да",'19_Расчет_аналитики'!BD4495*'01_Вводные'!$B$14,0)</f>
        <v/>
      </c>
      <c r="BF4496">
        <f>IF('01_Вводные'!$B$234="Да",'19_Расчет_аналитики'!BE4495*'01_Вводные'!$B$14,0)</f>
        <v/>
      </c>
      <c r="BG4496">
        <f>IF('01_Вводные'!$B$234="Да",'19_Расчет_аналитики'!BF4495*'01_Вводные'!$B$14,0)</f>
        <v/>
      </c>
      <c r="BH4496">
        <f>IF('01_Вводные'!$B$234="Да",'19_Расчет_аналитики'!BG4495*'01_Вводные'!$B$14,0)</f>
        <v/>
      </c>
      <c r="BI4496">
        <f>IF('01_Вводные'!$B$234="Да",'19_Расчет_аналитики'!BH4495*'01_Вводные'!$B$14,0)</f>
        <v/>
      </c>
      <c r="BJ4496">
        <f>IF('01_Вводные'!$B$234="Да",'19_Расчет_аналитики'!BI4495*'01_Вводные'!$B$14,0)</f>
        <v/>
      </c>
      <c r="BK4496">
        <f>IF('01_Вводные'!$B$234="Да",'19_Расчет_аналитики'!BJ4495*'01_Вводные'!$B$14,0)</f>
        <v/>
      </c>
      <c r="BL4496">
        <f>IF('01_Вводные'!$B$234="Да",'19_Расчет_аналитики'!BK4495*'01_Вводные'!$B$14,0)</f>
        <v/>
      </c>
      <c r="BM4496">
        <f>IF('01_Вводные'!$B$234="Да",'19_Расчет_аналитики'!BL4495*'01_Вводные'!$B$14,0)</f>
        <v/>
      </c>
      <c r="BN4496">
        <f>IF('01_Вводные'!$B$234="Да",'19_Расчет_аналитики'!BM4495*'01_Вводные'!$B$14,0)</f>
        <v/>
      </c>
      <c r="BO4496">
        <f>IF('01_Вводные'!$B$234="Да",'19_Расчет_аналитики'!BN4495*'01_Вводные'!$B$14,0)</f>
        <v/>
      </c>
    </row>
    <row r="4497">
      <c r="N4497">
        <f>'06_Сеть_и_дети'!N94</f>
        <v/>
      </c>
      <c r="O4497">
        <f>IF('01_Вводные'!$B$234="Да",'19_Расчет_аналитики'!N4496*'01_Вводные'!$B$14,0)</f>
        <v/>
      </c>
      <c r="P4497">
        <f>IF('01_Вводные'!$B$234="Да",'19_Расчет_аналитики'!O4496*'01_Вводные'!$B$14,0)</f>
        <v/>
      </c>
      <c r="Q4497">
        <f>IF('01_Вводные'!$B$234="Да",'19_Расчет_аналитики'!P4496*'01_Вводные'!$B$14,0)</f>
        <v/>
      </c>
      <c r="R4497">
        <f>IF('01_Вводные'!$B$234="Да",'19_Расчет_аналитики'!Q4496*'01_Вводные'!$B$14,0)</f>
        <v/>
      </c>
      <c r="S4497">
        <f>IF('01_Вводные'!$B$234="Да",'19_Расчет_аналитики'!R4496*'01_Вводные'!$B$14,0)</f>
        <v/>
      </c>
      <c r="T4497">
        <f>IF('01_Вводные'!$B$234="Да",'19_Расчет_аналитики'!S4496*'01_Вводные'!$B$14,0)</f>
        <v/>
      </c>
      <c r="U4497">
        <f>IF('01_Вводные'!$B$234="Да",'19_Расчет_аналитики'!T4496*'01_Вводные'!$B$14,0)</f>
        <v/>
      </c>
      <c r="V4497">
        <f>IF('01_Вводные'!$B$234="Да",'19_Расчет_аналитики'!U4496*'01_Вводные'!$B$14,0)</f>
        <v/>
      </c>
      <c r="W4497">
        <f>IF('01_Вводные'!$B$234="Да",'19_Расчет_аналитики'!V4496*'01_Вводные'!$B$14,0)</f>
        <v/>
      </c>
      <c r="X4497">
        <f>IF('01_Вводные'!$B$234="Да",'19_Расчет_аналитики'!W4496*'01_Вводные'!$B$14,0)</f>
        <v/>
      </c>
      <c r="Y4497">
        <f>IF('01_Вводные'!$B$234="Да",'19_Расчет_аналитики'!X4496*'01_Вводные'!$B$14,0)</f>
        <v/>
      </c>
      <c r="Z4497">
        <f>IF('01_Вводные'!$B$234="Да",'19_Расчет_аналитики'!Y4496*'01_Вводные'!$B$14,0)</f>
        <v/>
      </c>
      <c r="AA4497">
        <f>IF('01_Вводные'!$B$234="Да",'19_Расчет_аналитики'!Z4496*'01_Вводные'!$B$14,0)</f>
        <v/>
      </c>
      <c r="AB4497">
        <f>IF('01_Вводные'!$B$234="Да",'19_Расчет_аналитики'!AA4496*'01_Вводные'!$B$14,0)</f>
        <v/>
      </c>
      <c r="AC4497">
        <f>IF('01_Вводные'!$B$234="Да",'19_Расчет_аналитики'!AB4496*'01_Вводные'!$B$14,0)</f>
        <v/>
      </c>
      <c r="AD4497">
        <f>IF('01_Вводные'!$B$234="Да",'19_Расчет_аналитики'!AC4496*'01_Вводные'!$B$14,0)</f>
        <v/>
      </c>
      <c r="AE4497">
        <f>IF('01_Вводные'!$B$234="Да",'19_Расчет_аналитики'!AD4496*'01_Вводные'!$B$14,0)</f>
        <v/>
      </c>
      <c r="AF4497">
        <f>IF('01_Вводные'!$B$234="Да",'19_Расчет_аналитики'!AE4496*'01_Вводные'!$B$14,0)</f>
        <v/>
      </c>
      <c r="AG4497">
        <f>IF('01_Вводные'!$B$234="Да",'19_Расчет_аналитики'!AF4496*'01_Вводные'!$B$14,0)</f>
        <v/>
      </c>
      <c r="AH4497">
        <f>IF('01_Вводные'!$B$234="Да",'19_Расчет_аналитики'!AG4496*'01_Вводные'!$B$14,0)</f>
        <v/>
      </c>
      <c r="AI4497">
        <f>IF('01_Вводные'!$B$234="Да",'19_Расчет_аналитики'!AH4496*'01_Вводные'!$B$14,0)</f>
        <v/>
      </c>
      <c r="AJ4497">
        <f>IF('01_Вводные'!$B$234="Да",'19_Расчет_аналитики'!AI4496*'01_Вводные'!$B$14,0)</f>
        <v/>
      </c>
      <c r="AK4497">
        <f>IF('01_Вводные'!$B$234="Да",'19_Расчет_аналитики'!AJ4496*'01_Вводные'!$B$14,0)</f>
        <v/>
      </c>
      <c r="AL4497">
        <f>IF('01_Вводные'!$B$234="Да",'19_Расчет_аналитики'!AK4496*'01_Вводные'!$B$14,0)</f>
        <v/>
      </c>
      <c r="AM4497">
        <f>IF('01_Вводные'!$B$234="Да",'19_Расчет_аналитики'!AL4496*'01_Вводные'!$B$14,0)</f>
        <v/>
      </c>
      <c r="AN4497">
        <f>IF('01_Вводные'!$B$234="Да",'19_Расчет_аналитики'!AM4496*'01_Вводные'!$B$14,0)</f>
        <v/>
      </c>
      <c r="AO4497">
        <f>IF('01_Вводные'!$B$234="Да",'19_Расчет_аналитики'!AN4496*'01_Вводные'!$B$14,0)</f>
        <v/>
      </c>
      <c r="AP4497">
        <f>IF('01_Вводные'!$B$234="Да",'19_Расчет_аналитики'!AO4496*'01_Вводные'!$B$14,0)</f>
        <v/>
      </c>
      <c r="AQ4497">
        <f>IF('01_Вводные'!$B$234="Да",'19_Расчет_аналитики'!AP4496*'01_Вводные'!$B$14,0)</f>
        <v/>
      </c>
      <c r="AR4497">
        <f>IF('01_Вводные'!$B$234="Да",'19_Расчет_аналитики'!AQ4496*'01_Вводные'!$B$14,0)</f>
        <v/>
      </c>
      <c r="AS4497">
        <f>IF('01_Вводные'!$B$234="Да",'19_Расчет_аналитики'!AR4496*'01_Вводные'!$B$14,0)</f>
        <v/>
      </c>
      <c r="AT4497">
        <f>IF('01_Вводные'!$B$234="Да",'19_Расчет_аналитики'!AS4496*'01_Вводные'!$B$14,0)</f>
        <v/>
      </c>
      <c r="AU4497">
        <f>IF('01_Вводные'!$B$234="Да",'19_Расчет_аналитики'!AT4496*'01_Вводные'!$B$14,0)</f>
        <v/>
      </c>
      <c r="AV4497">
        <f>IF('01_Вводные'!$B$234="Да",'19_Расчет_аналитики'!AU4496*'01_Вводные'!$B$14,0)</f>
        <v/>
      </c>
      <c r="AW4497">
        <f>IF('01_Вводные'!$B$234="Да",'19_Расчет_аналитики'!AV4496*'01_Вводные'!$B$14,0)</f>
        <v/>
      </c>
      <c r="AX4497">
        <f>IF('01_Вводные'!$B$234="Да",'19_Расчет_аналитики'!AW4496*'01_Вводные'!$B$14,0)</f>
        <v/>
      </c>
      <c r="AY4497">
        <f>IF('01_Вводные'!$B$234="Да",'19_Расчет_аналитики'!AX4496*'01_Вводные'!$B$14,0)</f>
        <v/>
      </c>
      <c r="AZ4497">
        <f>IF('01_Вводные'!$B$234="Да",'19_Расчет_аналитики'!AY4496*'01_Вводные'!$B$14,0)</f>
        <v/>
      </c>
      <c r="BA4497">
        <f>IF('01_Вводные'!$B$234="Да",'19_Расчет_аналитики'!AZ4496*'01_Вводные'!$B$14,0)</f>
        <v/>
      </c>
      <c r="BB4497">
        <f>IF('01_Вводные'!$B$234="Да",'19_Расчет_аналитики'!BA4496*'01_Вводные'!$B$14,0)</f>
        <v/>
      </c>
      <c r="BC4497">
        <f>IF('01_Вводные'!$B$234="Да",'19_Расчет_аналитики'!BB4496*'01_Вводные'!$B$14,0)</f>
        <v/>
      </c>
      <c r="BD4497">
        <f>IF('01_Вводные'!$B$234="Да",'19_Расчет_аналитики'!BC4496*'01_Вводные'!$B$14,0)</f>
        <v/>
      </c>
      <c r="BE4497">
        <f>IF('01_Вводные'!$B$234="Да",'19_Расчет_аналитики'!BD4496*'01_Вводные'!$B$14,0)</f>
        <v/>
      </c>
      <c r="BF4497">
        <f>IF('01_Вводные'!$B$234="Да",'19_Расчет_аналитики'!BE4496*'01_Вводные'!$B$14,0)</f>
        <v/>
      </c>
      <c r="BG4497">
        <f>IF('01_Вводные'!$B$234="Да",'19_Расчет_аналитики'!BF4496*'01_Вводные'!$B$14,0)</f>
        <v/>
      </c>
      <c r="BH4497">
        <f>IF('01_Вводные'!$B$234="Да",'19_Расчет_аналитики'!BG4496*'01_Вводные'!$B$14,0)</f>
        <v/>
      </c>
      <c r="BI4497">
        <f>IF('01_Вводные'!$B$234="Да",'19_Расчет_аналитики'!BH4496*'01_Вводные'!$B$14,0)</f>
        <v/>
      </c>
      <c r="BJ4497">
        <f>IF('01_Вводные'!$B$234="Да",'19_Расчет_аналитики'!BI4496*'01_Вводные'!$B$14,0)</f>
        <v/>
      </c>
      <c r="BK4497">
        <f>IF('01_Вводные'!$B$234="Да",'19_Расчет_аналитики'!BJ4496*'01_Вводные'!$B$14,0)</f>
        <v/>
      </c>
      <c r="BL4497">
        <f>IF('01_Вводные'!$B$234="Да",'19_Расчет_аналитики'!BK4496*'01_Вводные'!$B$14,0)</f>
        <v/>
      </c>
      <c r="BM4497">
        <f>IF('01_Вводные'!$B$234="Да",'19_Расчет_аналитики'!BL4496*'01_Вводные'!$B$14,0)</f>
        <v/>
      </c>
      <c r="BN4497">
        <f>IF('01_Вводные'!$B$234="Да",'19_Расчет_аналитики'!BM4496*'01_Вводные'!$B$14,0)</f>
        <v/>
      </c>
      <c r="BO4497">
        <f>IF('01_Вводные'!$B$234="Да",'19_Расчет_аналитики'!BN4496*'01_Вводные'!$B$14,0)</f>
        <v/>
      </c>
    </row>
    <row r="4498">
      <c r="N4498">
        <f>'06_Сеть_и_дети'!N95</f>
        <v/>
      </c>
      <c r="O4498">
        <f>'06_Сеть_и_дети'!O95</f>
        <v/>
      </c>
      <c r="P4498">
        <f>IF('01_Вводные'!$B$234="Да",'19_Расчет_аналитики'!O4497*'01_Вводные'!$B$14,0)</f>
        <v/>
      </c>
      <c r="Q4498">
        <f>IF('01_Вводные'!$B$234="Да",'19_Расчет_аналитики'!P4497*'01_Вводные'!$B$14,0)</f>
        <v/>
      </c>
      <c r="R4498">
        <f>IF('01_Вводные'!$B$234="Да",'19_Расчет_аналитики'!Q4497*'01_Вводные'!$B$14,0)</f>
        <v/>
      </c>
      <c r="S4498">
        <f>IF('01_Вводные'!$B$234="Да",'19_Расчет_аналитики'!R4497*'01_Вводные'!$B$14,0)</f>
        <v/>
      </c>
      <c r="T4498">
        <f>IF('01_Вводные'!$B$234="Да",'19_Расчет_аналитики'!S4497*'01_Вводные'!$B$14,0)</f>
        <v/>
      </c>
      <c r="U4498">
        <f>IF('01_Вводные'!$B$234="Да",'19_Расчет_аналитики'!T4497*'01_Вводные'!$B$14,0)</f>
        <v/>
      </c>
      <c r="V4498">
        <f>IF('01_Вводные'!$B$234="Да",'19_Расчет_аналитики'!U4497*'01_Вводные'!$B$14,0)</f>
        <v/>
      </c>
      <c r="W4498">
        <f>IF('01_Вводные'!$B$234="Да",'19_Расчет_аналитики'!V4497*'01_Вводные'!$B$14,0)</f>
        <v/>
      </c>
      <c r="X4498">
        <f>IF('01_Вводные'!$B$234="Да",'19_Расчет_аналитики'!W4497*'01_Вводные'!$B$14,0)</f>
        <v/>
      </c>
      <c r="Y4498">
        <f>IF('01_Вводные'!$B$234="Да",'19_Расчет_аналитики'!X4497*'01_Вводные'!$B$14,0)</f>
        <v/>
      </c>
      <c r="Z4498">
        <f>IF('01_Вводные'!$B$234="Да",'19_Расчет_аналитики'!Y4497*'01_Вводные'!$B$14,0)</f>
        <v/>
      </c>
      <c r="AA4498">
        <f>IF('01_Вводные'!$B$234="Да",'19_Расчет_аналитики'!Z4497*'01_Вводные'!$B$14,0)</f>
        <v/>
      </c>
      <c r="AB4498">
        <f>IF('01_Вводные'!$B$234="Да",'19_Расчет_аналитики'!AA4497*'01_Вводные'!$B$14,0)</f>
        <v/>
      </c>
      <c r="AC4498">
        <f>IF('01_Вводные'!$B$234="Да",'19_Расчет_аналитики'!AB4497*'01_Вводные'!$B$14,0)</f>
        <v/>
      </c>
      <c r="AD4498">
        <f>IF('01_Вводные'!$B$234="Да",'19_Расчет_аналитики'!AC4497*'01_Вводные'!$B$14,0)</f>
        <v/>
      </c>
      <c r="AE4498">
        <f>IF('01_Вводные'!$B$234="Да",'19_Расчет_аналитики'!AD4497*'01_Вводные'!$B$14,0)</f>
        <v/>
      </c>
      <c r="AF4498">
        <f>IF('01_Вводные'!$B$234="Да",'19_Расчет_аналитики'!AE4497*'01_Вводные'!$B$14,0)</f>
        <v/>
      </c>
      <c r="AG4498">
        <f>IF('01_Вводные'!$B$234="Да",'19_Расчет_аналитики'!AF4497*'01_Вводные'!$B$14,0)</f>
        <v/>
      </c>
      <c r="AH4498">
        <f>IF('01_Вводные'!$B$234="Да",'19_Расчет_аналитики'!AG4497*'01_Вводные'!$B$14,0)</f>
        <v/>
      </c>
      <c r="AI4498">
        <f>IF('01_Вводные'!$B$234="Да",'19_Расчет_аналитики'!AH4497*'01_Вводные'!$B$14,0)</f>
        <v/>
      </c>
      <c r="AJ4498">
        <f>IF('01_Вводные'!$B$234="Да",'19_Расчет_аналитики'!AI4497*'01_Вводные'!$B$14,0)</f>
        <v/>
      </c>
      <c r="AK4498">
        <f>IF('01_Вводные'!$B$234="Да",'19_Расчет_аналитики'!AJ4497*'01_Вводные'!$B$14,0)</f>
        <v/>
      </c>
      <c r="AL4498">
        <f>IF('01_Вводные'!$B$234="Да",'19_Расчет_аналитики'!AK4497*'01_Вводные'!$B$14,0)</f>
        <v/>
      </c>
      <c r="AM4498">
        <f>IF('01_Вводные'!$B$234="Да",'19_Расчет_аналитики'!AL4497*'01_Вводные'!$B$14,0)</f>
        <v/>
      </c>
      <c r="AN4498">
        <f>IF('01_Вводные'!$B$234="Да",'19_Расчет_аналитики'!AM4497*'01_Вводные'!$B$14,0)</f>
        <v/>
      </c>
      <c r="AO4498">
        <f>IF('01_Вводные'!$B$234="Да",'19_Расчет_аналитики'!AN4497*'01_Вводные'!$B$14,0)</f>
        <v/>
      </c>
      <c r="AP4498">
        <f>IF('01_Вводные'!$B$234="Да",'19_Расчет_аналитики'!AO4497*'01_Вводные'!$B$14,0)</f>
        <v/>
      </c>
      <c r="AQ4498">
        <f>IF('01_Вводные'!$B$234="Да",'19_Расчет_аналитики'!AP4497*'01_Вводные'!$B$14,0)</f>
        <v/>
      </c>
      <c r="AR4498">
        <f>IF('01_Вводные'!$B$234="Да",'19_Расчет_аналитики'!AQ4497*'01_Вводные'!$B$14,0)</f>
        <v/>
      </c>
      <c r="AS4498">
        <f>IF('01_Вводные'!$B$234="Да",'19_Расчет_аналитики'!AR4497*'01_Вводные'!$B$14,0)</f>
        <v/>
      </c>
      <c r="AT4498">
        <f>IF('01_Вводные'!$B$234="Да",'19_Расчет_аналитики'!AS4497*'01_Вводные'!$B$14,0)</f>
        <v/>
      </c>
      <c r="AU4498">
        <f>IF('01_Вводные'!$B$234="Да",'19_Расчет_аналитики'!AT4497*'01_Вводные'!$B$14,0)</f>
        <v/>
      </c>
      <c r="AV4498">
        <f>IF('01_Вводные'!$B$234="Да",'19_Расчет_аналитики'!AU4497*'01_Вводные'!$B$14,0)</f>
        <v/>
      </c>
      <c r="AW4498">
        <f>IF('01_Вводные'!$B$234="Да",'19_Расчет_аналитики'!AV4497*'01_Вводные'!$B$14,0)</f>
        <v/>
      </c>
      <c r="AX4498">
        <f>IF('01_Вводные'!$B$234="Да",'19_Расчет_аналитики'!AW4497*'01_Вводные'!$B$14,0)</f>
        <v/>
      </c>
      <c r="AY4498">
        <f>IF('01_Вводные'!$B$234="Да",'19_Расчет_аналитики'!AX4497*'01_Вводные'!$B$14,0)</f>
        <v/>
      </c>
      <c r="AZ4498">
        <f>IF('01_Вводные'!$B$234="Да",'19_Расчет_аналитики'!AY4497*'01_Вводные'!$B$14,0)</f>
        <v/>
      </c>
      <c r="BA4498">
        <f>IF('01_Вводные'!$B$234="Да",'19_Расчет_аналитики'!AZ4497*'01_Вводные'!$B$14,0)</f>
        <v/>
      </c>
      <c r="BB4498">
        <f>IF('01_Вводные'!$B$234="Да",'19_Расчет_аналитики'!BA4497*'01_Вводные'!$B$14,0)</f>
        <v/>
      </c>
      <c r="BC4498">
        <f>IF('01_Вводные'!$B$234="Да",'19_Расчет_аналитики'!BB4497*'01_Вводные'!$B$14,0)</f>
        <v/>
      </c>
      <c r="BD4498">
        <f>IF('01_Вводные'!$B$234="Да",'19_Расчет_аналитики'!BC4497*'01_Вводные'!$B$14,0)</f>
        <v/>
      </c>
      <c r="BE4498">
        <f>IF('01_Вводные'!$B$234="Да",'19_Расчет_аналитики'!BD4497*'01_Вводные'!$B$14,0)</f>
        <v/>
      </c>
      <c r="BF4498">
        <f>IF('01_Вводные'!$B$234="Да",'19_Расчет_аналитики'!BE4497*'01_Вводные'!$B$14,0)</f>
        <v/>
      </c>
      <c r="BG4498">
        <f>IF('01_Вводные'!$B$234="Да",'19_Расчет_аналитики'!BF4497*'01_Вводные'!$B$14,0)</f>
        <v/>
      </c>
      <c r="BH4498">
        <f>IF('01_Вводные'!$B$234="Да",'19_Расчет_аналитики'!BG4497*'01_Вводные'!$B$14,0)</f>
        <v/>
      </c>
      <c r="BI4498">
        <f>IF('01_Вводные'!$B$234="Да",'19_Расчет_аналитики'!BH4497*'01_Вводные'!$B$14,0)</f>
        <v/>
      </c>
      <c r="BJ4498">
        <f>IF('01_Вводные'!$B$234="Да",'19_Расчет_аналитики'!BI4497*'01_Вводные'!$B$14,0)</f>
        <v/>
      </c>
      <c r="BK4498">
        <f>IF('01_Вводные'!$B$234="Да",'19_Расчет_аналитики'!BJ4497*'01_Вводные'!$B$14,0)</f>
        <v/>
      </c>
      <c r="BL4498">
        <f>IF('01_Вводные'!$B$234="Да",'19_Расчет_аналитики'!BK4497*'01_Вводные'!$B$14,0)</f>
        <v/>
      </c>
      <c r="BM4498">
        <f>IF('01_Вводные'!$B$234="Да",'19_Расчет_аналитики'!BL4497*'01_Вводные'!$B$14,0)</f>
        <v/>
      </c>
      <c r="BN4498">
        <f>IF('01_Вводные'!$B$234="Да",'19_Расчет_аналитики'!BM4497*'01_Вводные'!$B$14,0)</f>
        <v/>
      </c>
      <c r="BO4498">
        <f>IF('01_Вводные'!$B$234="Да",'19_Расчет_аналитики'!BN4497*'01_Вводные'!$B$14,0)</f>
        <v/>
      </c>
    </row>
    <row r="4499">
      <c r="N4499">
        <f>'06_Сеть_и_дети'!N96</f>
        <v/>
      </c>
      <c r="O4499">
        <f>'06_Сеть_и_дети'!O96</f>
        <v/>
      </c>
      <c r="P4499">
        <f>'06_Сеть_и_дети'!P96</f>
        <v/>
      </c>
      <c r="Q4499">
        <f>IF('01_Вводные'!$B$234="Да",'19_Расчет_аналитики'!P4498*'01_Вводные'!$B$14,0)</f>
        <v/>
      </c>
      <c r="R4499">
        <f>IF('01_Вводные'!$B$234="Да",'19_Расчет_аналитики'!Q4498*'01_Вводные'!$B$14,0)</f>
        <v/>
      </c>
      <c r="S4499">
        <f>IF('01_Вводные'!$B$234="Да",'19_Расчет_аналитики'!R4498*'01_Вводные'!$B$14,0)</f>
        <v/>
      </c>
      <c r="T4499">
        <f>IF('01_Вводные'!$B$234="Да",'19_Расчет_аналитики'!S4498*'01_Вводные'!$B$14,0)</f>
        <v/>
      </c>
      <c r="U4499">
        <f>IF('01_Вводные'!$B$234="Да",'19_Расчет_аналитики'!T4498*'01_Вводные'!$B$14,0)</f>
        <v/>
      </c>
      <c r="V4499">
        <f>IF('01_Вводные'!$B$234="Да",'19_Расчет_аналитики'!U4498*'01_Вводные'!$B$14,0)</f>
        <v/>
      </c>
      <c r="W4499">
        <f>IF('01_Вводные'!$B$234="Да",'19_Расчет_аналитики'!V4498*'01_Вводные'!$B$14,0)</f>
        <v/>
      </c>
      <c r="X4499">
        <f>IF('01_Вводные'!$B$234="Да",'19_Расчет_аналитики'!W4498*'01_Вводные'!$B$14,0)</f>
        <v/>
      </c>
      <c r="Y4499">
        <f>IF('01_Вводные'!$B$234="Да",'19_Расчет_аналитики'!X4498*'01_Вводные'!$B$14,0)</f>
        <v/>
      </c>
      <c r="Z4499">
        <f>IF('01_Вводные'!$B$234="Да",'19_Расчет_аналитики'!Y4498*'01_Вводные'!$B$14,0)</f>
        <v/>
      </c>
      <c r="AA4499">
        <f>IF('01_Вводные'!$B$234="Да",'19_Расчет_аналитики'!Z4498*'01_Вводные'!$B$14,0)</f>
        <v/>
      </c>
      <c r="AB4499">
        <f>IF('01_Вводные'!$B$234="Да",'19_Расчет_аналитики'!AA4498*'01_Вводные'!$B$14,0)</f>
        <v/>
      </c>
      <c r="AC4499">
        <f>IF('01_Вводные'!$B$234="Да",'19_Расчет_аналитики'!AB4498*'01_Вводные'!$B$14,0)</f>
        <v/>
      </c>
      <c r="AD4499">
        <f>IF('01_Вводные'!$B$234="Да",'19_Расчет_аналитики'!AC4498*'01_Вводные'!$B$14,0)</f>
        <v/>
      </c>
      <c r="AE4499">
        <f>IF('01_Вводные'!$B$234="Да",'19_Расчет_аналитики'!AD4498*'01_Вводные'!$B$14,0)</f>
        <v/>
      </c>
      <c r="AF4499">
        <f>IF('01_Вводные'!$B$234="Да",'19_Расчет_аналитики'!AE4498*'01_Вводные'!$B$14,0)</f>
        <v/>
      </c>
      <c r="AG4499">
        <f>IF('01_Вводные'!$B$234="Да",'19_Расчет_аналитики'!AF4498*'01_Вводные'!$B$14,0)</f>
        <v/>
      </c>
      <c r="AH4499">
        <f>IF('01_Вводные'!$B$234="Да",'19_Расчет_аналитики'!AG4498*'01_Вводные'!$B$14,0)</f>
        <v/>
      </c>
      <c r="AI4499">
        <f>IF('01_Вводные'!$B$234="Да",'19_Расчет_аналитики'!AH4498*'01_Вводные'!$B$14,0)</f>
        <v/>
      </c>
      <c r="AJ4499">
        <f>IF('01_Вводные'!$B$234="Да",'19_Расчет_аналитики'!AI4498*'01_Вводные'!$B$14,0)</f>
        <v/>
      </c>
      <c r="AK4499">
        <f>IF('01_Вводные'!$B$234="Да",'19_Расчет_аналитики'!AJ4498*'01_Вводные'!$B$14,0)</f>
        <v/>
      </c>
      <c r="AL4499">
        <f>IF('01_Вводные'!$B$234="Да",'19_Расчет_аналитики'!AK4498*'01_Вводные'!$B$14,0)</f>
        <v/>
      </c>
      <c r="AM4499">
        <f>IF('01_Вводные'!$B$234="Да",'19_Расчет_аналитики'!AL4498*'01_Вводные'!$B$14,0)</f>
        <v/>
      </c>
      <c r="AN4499">
        <f>IF('01_Вводные'!$B$234="Да",'19_Расчет_аналитики'!AM4498*'01_Вводные'!$B$14,0)</f>
        <v/>
      </c>
      <c r="AO4499">
        <f>IF('01_Вводные'!$B$234="Да",'19_Расчет_аналитики'!AN4498*'01_Вводные'!$B$14,0)</f>
        <v/>
      </c>
      <c r="AP4499">
        <f>IF('01_Вводные'!$B$234="Да",'19_Расчет_аналитики'!AO4498*'01_Вводные'!$B$14,0)</f>
        <v/>
      </c>
      <c r="AQ4499">
        <f>IF('01_Вводные'!$B$234="Да",'19_Расчет_аналитики'!AP4498*'01_Вводные'!$B$14,0)</f>
        <v/>
      </c>
      <c r="AR4499">
        <f>IF('01_Вводные'!$B$234="Да",'19_Расчет_аналитики'!AQ4498*'01_Вводные'!$B$14,0)</f>
        <v/>
      </c>
      <c r="AS4499">
        <f>IF('01_Вводные'!$B$234="Да",'19_Расчет_аналитики'!AR4498*'01_Вводные'!$B$14,0)</f>
        <v/>
      </c>
      <c r="AT4499">
        <f>IF('01_Вводные'!$B$234="Да",'19_Расчет_аналитики'!AS4498*'01_Вводные'!$B$14,0)</f>
        <v/>
      </c>
      <c r="AU4499">
        <f>IF('01_Вводные'!$B$234="Да",'19_Расчет_аналитики'!AT4498*'01_Вводные'!$B$14,0)</f>
        <v/>
      </c>
      <c r="AV4499">
        <f>IF('01_Вводные'!$B$234="Да",'19_Расчет_аналитики'!AU4498*'01_Вводные'!$B$14,0)</f>
        <v/>
      </c>
      <c r="AW4499">
        <f>IF('01_Вводные'!$B$234="Да",'19_Расчет_аналитики'!AV4498*'01_Вводные'!$B$14,0)</f>
        <v/>
      </c>
      <c r="AX4499">
        <f>IF('01_Вводные'!$B$234="Да",'19_Расчет_аналитики'!AW4498*'01_Вводные'!$B$14,0)</f>
        <v/>
      </c>
      <c r="AY4499">
        <f>IF('01_Вводные'!$B$234="Да",'19_Расчет_аналитики'!AX4498*'01_Вводные'!$B$14,0)</f>
        <v/>
      </c>
      <c r="AZ4499">
        <f>IF('01_Вводные'!$B$234="Да",'19_Расчет_аналитики'!AY4498*'01_Вводные'!$B$14,0)</f>
        <v/>
      </c>
      <c r="BA4499">
        <f>IF('01_Вводные'!$B$234="Да",'19_Расчет_аналитики'!AZ4498*'01_Вводные'!$B$14,0)</f>
        <v/>
      </c>
      <c r="BB4499">
        <f>IF('01_Вводные'!$B$234="Да",'19_Расчет_аналитики'!BA4498*'01_Вводные'!$B$14,0)</f>
        <v/>
      </c>
      <c r="BC4499">
        <f>IF('01_Вводные'!$B$234="Да",'19_Расчет_аналитики'!BB4498*'01_Вводные'!$B$14,0)</f>
        <v/>
      </c>
      <c r="BD4499">
        <f>IF('01_Вводные'!$B$234="Да",'19_Расчет_аналитики'!BC4498*'01_Вводные'!$B$14,0)</f>
        <v/>
      </c>
      <c r="BE4499">
        <f>IF('01_Вводные'!$B$234="Да",'19_Расчет_аналитики'!BD4498*'01_Вводные'!$B$14,0)</f>
        <v/>
      </c>
      <c r="BF4499">
        <f>IF('01_Вводные'!$B$234="Да",'19_Расчет_аналитики'!BE4498*'01_Вводные'!$B$14,0)</f>
        <v/>
      </c>
      <c r="BG4499">
        <f>IF('01_Вводные'!$B$234="Да",'19_Расчет_аналитики'!BF4498*'01_Вводные'!$B$14,0)</f>
        <v/>
      </c>
      <c r="BH4499">
        <f>IF('01_Вводные'!$B$234="Да",'19_Расчет_аналитики'!BG4498*'01_Вводные'!$B$14,0)</f>
        <v/>
      </c>
      <c r="BI4499">
        <f>IF('01_Вводные'!$B$234="Да",'19_Расчет_аналитики'!BH4498*'01_Вводные'!$B$14,0)</f>
        <v/>
      </c>
      <c r="BJ4499">
        <f>IF('01_Вводные'!$B$234="Да",'19_Расчет_аналитики'!BI4498*'01_Вводные'!$B$14,0)</f>
        <v/>
      </c>
      <c r="BK4499">
        <f>IF('01_Вводные'!$B$234="Да",'19_Расчет_аналитики'!BJ4498*'01_Вводные'!$B$14,0)</f>
        <v/>
      </c>
      <c r="BL4499">
        <f>IF('01_Вводные'!$B$234="Да",'19_Расчет_аналитики'!BK4498*'01_Вводные'!$B$14,0)</f>
        <v/>
      </c>
      <c r="BM4499">
        <f>IF('01_Вводные'!$B$234="Да",'19_Расчет_аналитики'!BL4498*'01_Вводные'!$B$14,0)</f>
        <v/>
      </c>
      <c r="BN4499">
        <f>IF('01_Вводные'!$B$234="Да",'19_Расчет_аналитики'!BM4498*'01_Вводные'!$B$14,0)</f>
        <v/>
      </c>
      <c r="BO4499">
        <f>IF('01_Вводные'!$B$234="Да",'19_Расчет_аналитики'!BN4498*'01_Вводные'!$B$14,0)</f>
        <v/>
      </c>
    </row>
    <row r="4500">
      <c r="N4500">
        <f>'06_Сеть_и_дети'!N97</f>
        <v/>
      </c>
      <c r="O4500">
        <f>'06_Сеть_и_дети'!O97</f>
        <v/>
      </c>
      <c r="P4500">
        <f>'06_Сеть_и_дети'!P97</f>
        <v/>
      </c>
      <c r="Q4500">
        <f>'06_Сеть_и_дети'!Q97</f>
        <v/>
      </c>
      <c r="R4500">
        <f>IF('01_Вводные'!$B$234="Да",'19_Расчет_аналитики'!Q4499*'01_Вводные'!$B$14,0)</f>
        <v/>
      </c>
      <c r="S4500">
        <f>IF('01_Вводные'!$B$234="Да",'19_Расчет_аналитики'!R4499*'01_Вводные'!$B$14,0)</f>
        <v/>
      </c>
      <c r="T4500">
        <f>IF('01_Вводные'!$B$234="Да",'19_Расчет_аналитики'!S4499*'01_Вводные'!$B$14,0)</f>
        <v/>
      </c>
      <c r="U4500">
        <f>IF('01_Вводные'!$B$234="Да",'19_Расчет_аналитики'!T4499*'01_Вводные'!$B$14,0)</f>
        <v/>
      </c>
      <c r="V4500">
        <f>IF('01_Вводные'!$B$234="Да",'19_Расчет_аналитики'!U4499*'01_Вводные'!$B$14,0)</f>
        <v/>
      </c>
      <c r="W4500">
        <f>IF('01_Вводные'!$B$234="Да",'19_Расчет_аналитики'!V4499*'01_Вводные'!$B$14,0)</f>
        <v/>
      </c>
      <c r="X4500">
        <f>IF('01_Вводные'!$B$234="Да",'19_Расчет_аналитики'!W4499*'01_Вводные'!$B$14,0)</f>
        <v/>
      </c>
      <c r="Y4500">
        <f>IF('01_Вводные'!$B$234="Да",'19_Расчет_аналитики'!X4499*'01_Вводные'!$B$14,0)</f>
        <v/>
      </c>
      <c r="Z4500">
        <f>IF('01_Вводные'!$B$234="Да",'19_Расчет_аналитики'!Y4499*'01_Вводные'!$B$14,0)</f>
        <v/>
      </c>
      <c r="AA4500">
        <f>IF('01_Вводные'!$B$234="Да",'19_Расчет_аналитики'!Z4499*'01_Вводные'!$B$14,0)</f>
        <v/>
      </c>
      <c r="AB4500">
        <f>IF('01_Вводные'!$B$234="Да",'19_Расчет_аналитики'!AA4499*'01_Вводные'!$B$14,0)</f>
        <v/>
      </c>
      <c r="AC4500">
        <f>IF('01_Вводные'!$B$234="Да",'19_Расчет_аналитики'!AB4499*'01_Вводные'!$B$14,0)</f>
        <v/>
      </c>
      <c r="AD4500">
        <f>IF('01_Вводные'!$B$234="Да",'19_Расчет_аналитики'!AC4499*'01_Вводные'!$B$14,0)</f>
        <v/>
      </c>
      <c r="AE4500">
        <f>IF('01_Вводные'!$B$234="Да",'19_Расчет_аналитики'!AD4499*'01_Вводные'!$B$14,0)</f>
        <v/>
      </c>
      <c r="AF4500">
        <f>IF('01_Вводные'!$B$234="Да",'19_Расчет_аналитики'!AE4499*'01_Вводные'!$B$14,0)</f>
        <v/>
      </c>
      <c r="AG4500">
        <f>IF('01_Вводные'!$B$234="Да",'19_Расчет_аналитики'!AF4499*'01_Вводные'!$B$14,0)</f>
        <v/>
      </c>
      <c r="AH4500">
        <f>IF('01_Вводные'!$B$234="Да",'19_Расчет_аналитики'!AG4499*'01_Вводные'!$B$14,0)</f>
        <v/>
      </c>
      <c r="AI4500">
        <f>IF('01_Вводные'!$B$234="Да",'19_Расчет_аналитики'!AH4499*'01_Вводные'!$B$14,0)</f>
        <v/>
      </c>
      <c r="AJ4500">
        <f>IF('01_Вводные'!$B$234="Да",'19_Расчет_аналитики'!AI4499*'01_Вводные'!$B$14,0)</f>
        <v/>
      </c>
      <c r="AK4500">
        <f>IF('01_Вводные'!$B$234="Да",'19_Расчет_аналитики'!AJ4499*'01_Вводные'!$B$14,0)</f>
        <v/>
      </c>
      <c r="AL4500">
        <f>IF('01_Вводные'!$B$234="Да",'19_Расчет_аналитики'!AK4499*'01_Вводные'!$B$14,0)</f>
        <v/>
      </c>
      <c r="AM4500">
        <f>IF('01_Вводные'!$B$234="Да",'19_Расчет_аналитики'!AL4499*'01_Вводные'!$B$14,0)</f>
        <v/>
      </c>
      <c r="AN4500">
        <f>IF('01_Вводные'!$B$234="Да",'19_Расчет_аналитики'!AM4499*'01_Вводные'!$B$14,0)</f>
        <v/>
      </c>
      <c r="AO4500">
        <f>IF('01_Вводные'!$B$234="Да",'19_Расчет_аналитики'!AN4499*'01_Вводные'!$B$14,0)</f>
        <v/>
      </c>
      <c r="AP4500">
        <f>IF('01_Вводные'!$B$234="Да",'19_Расчет_аналитики'!AO4499*'01_Вводные'!$B$14,0)</f>
        <v/>
      </c>
      <c r="AQ4500">
        <f>IF('01_Вводные'!$B$234="Да",'19_Расчет_аналитики'!AP4499*'01_Вводные'!$B$14,0)</f>
        <v/>
      </c>
      <c r="AR4500">
        <f>IF('01_Вводные'!$B$234="Да",'19_Расчет_аналитики'!AQ4499*'01_Вводные'!$B$14,0)</f>
        <v/>
      </c>
      <c r="AS4500">
        <f>IF('01_Вводные'!$B$234="Да",'19_Расчет_аналитики'!AR4499*'01_Вводные'!$B$14,0)</f>
        <v/>
      </c>
      <c r="AT4500">
        <f>IF('01_Вводные'!$B$234="Да",'19_Расчет_аналитики'!AS4499*'01_Вводные'!$B$14,0)</f>
        <v/>
      </c>
      <c r="AU4500">
        <f>IF('01_Вводные'!$B$234="Да",'19_Расчет_аналитики'!AT4499*'01_Вводные'!$B$14,0)</f>
        <v/>
      </c>
      <c r="AV4500">
        <f>IF('01_Вводные'!$B$234="Да",'19_Расчет_аналитики'!AU4499*'01_Вводные'!$B$14,0)</f>
        <v/>
      </c>
      <c r="AW4500">
        <f>IF('01_Вводные'!$B$234="Да",'19_Расчет_аналитики'!AV4499*'01_Вводные'!$B$14,0)</f>
        <v/>
      </c>
      <c r="AX4500">
        <f>IF('01_Вводные'!$B$234="Да",'19_Расчет_аналитики'!AW4499*'01_Вводные'!$B$14,0)</f>
        <v/>
      </c>
      <c r="AY4500">
        <f>IF('01_Вводные'!$B$234="Да",'19_Расчет_аналитики'!AX4499*'01_Вводные'!$B$14,0)</f>
        <v/>
      </c>
      <c r="AZ4500">
        <f>IF('01_Вводные'!$B$234="Да",'19_Расчет_аналитики'!AY4499*'01_Вводные'!$B$14,0)</f>
        <v/>
      </c>
      <c r="BA4500">
        <f>IF('01_Вводные'!$B$234="Да",'19_Расчет_аналитики'!AZ4499*'01_Вводные'!$B$14,0)</f>
        <v/>
      </c>
      <c r="BB4500">
        <f>IF('01_Вводные'!$B$234="Да",'19_Расчет_аналитики'!BA4499*'01_Вводные'!$B$14,0)</f>
        <v/>
      </c>
      <c r="BC4500">
        <f>IF('01_Вводные'!$B$234="Да",'19_Расчет_аналитики'!BB4499*'01_Вводные'!$B$14,0)</f>
        <v/>
      </c>
      <c r="BD4500">
        <f>IF('01_Вводные'!$B$234="Да",'19_Расчет_аналитики'!BC4499*'01_Вводные'!$B$14,0)</f>
        <v/>
      </c>
      <c r="BE4500">
        <f>IF('01_Вводные'!$B$234="Да",'19_Расчет_аналитики'!BD4499*'01_Вводные'!$B$14,0)</f>
        <v/>
      </c>
      <c r="BF4500">
        <f>IF('01_Вводные'!$B$234="Да",'19_Расчет_аналитики'!BE4499*'01_Вводные'!$B$14,0)</f>
        <v/>
      </c>
      <c r="BG4500">
        <f>IF('01_Вводные'!$B$234="Да",'19_Расчет_аналитики'!BF4499*'01_Вводные'!$B$14,0)</f>
        <v/>
      </c>
      <c r="BH4500">
        <f>IF('01_Вводные'!$B$234="Да",'19_Расчет_аналитики'!BG4499*'01_Вводные'!$B$14,0)</f>
        <v/>
      </c>
      <c r="BI4500">
        <f>IF('01_Вводные'!$B$234="Да",'19_Расчет_аналитики'!BH4499*'01_Вводные'!$B$14,0)</f>
        <v/>
      </c>
      <c r="BJ4500">
        <f>IF('01_Вводные'!$B$234="Да",'19_Расчет_аналитики'!BI4499*'01_Вводные'!$B$14,0)</f>
        <v/>
      </c>
      <c r="BK4500">
        <f>IF('01_Вводные'!$B$234="Да",'19_Расчет_аналитики'!BJ4499*'01_Вводные'!$B$14,0)</f>
        <v/>
      </c>
      <c r="BL4500">
        <f>IF('01_Вводные'!$B$234="Да",'19_Расчет_аналитики'!BK4499*'01_Вводные'!$B$14,0)</f>
        <v/>
      </c>
      <c r="BM4500">
        <f>IF('01_Вводные'!$B$234="Да",'19_Расчет_аналитики'!BL4499*'01_Вводные'!$B$14,0)</f>
        <v/>
      </c>
      <c r="BN4500">
        <f>IF('01_Вводные'!$B$234="Да",'19_Расчет_аналитики'!BM4499*'01_Вводные'!$B$14,0)</f>
        <v/>
      </c>
      <c r="BO4500">
        <f>IF('01_Вводные'!$B$234="Да",'19_Расчет_аналитики'!BN4499*'01_Вводные'!$B$14,0)</f>
        <v/>
      </c>
    </row>
    <row r="4501">
      <c r="N4501">
        <f>'06_Сеть_и_дети'!N98</f>
        <v/>
      </c>
      <c r="O4501">
        <f>'06_Сеть_и_дети'!O98</f>
        <v/>
      </c>
      <c r="P4501">
        <f>'06_Сеть_и_дети'!P98</f>
        <v/>
      </c>
      <c r="Q4501">
        <f>'06_Сеть_и_дети'!Q98</f>
        <v/>
      </c>
      <c r="R4501">
        <f>'06_Сеть_и_дети'!R98</f>
        <v/>
      </c>
      <c r="S4501">
        <f>IF('01_Вводные'!$B$234="Да",'19_Расчет_аналитики'!R4500*'01_Вводные'!$B$14,0)</f>
        <v/>
      </c>
      <c r="T4501">
        <f>IF('01_Вводные'!$B$234="Да",'19_Расчет_аналитики'!S4500*'01_Вводные'!$B$14,0)</f>
        <v/>
      </c>
      <c r="U4501">
        <f>IF('01_Вводные'!$B$234="Да",'19_Расчет_аналитики'!T4500*'01_Вводные'!$B$14,0)</f>
        <v/>
      </c>
      <c r="V4501">
        <f>IF('01_Вводные'!$B$234="Да",'19_Расчет_аналитики'!U4500*'01_Вводные'!$B$14,0)</f>
        <v/>
      </c>
      <c r="W4501">
        <f>IF('01_Вводные'!$B$234="Да",'19_Расчет_аналитики'!V4500*'01_Вводные'!$B$14,0)</f>
        <v/>
      </c>
      <c r="X4501">
        <f>IF('01_Вводные'!$B$234="Да",'19_Расчет_аналитики'!W4500*'01_Вводные'!$B$14,0)</f>
        <v/>
      </c>
      <c r="Y4501">
        <f>IF('01_Вводные'!$B$234="Да",'19_Расчет_аналитики'!X4500*'01_Вводные'!$B$14,0)</f>
        <v/>
      </c>
      <c r="Z4501">
        <f>IF('01_Вводные'!$B$234="Да",'19_Расчет_аналитики'!Y4500*'01_Вводные'!$B$14,0)</f>
        <v/>
      </c>
      <c r="AA4501">
        <f>IF('01_Вводные'!$B$234="Да",'19_Расчет_аналитики'!Z4500*'01_Вводные'!$B$14,0)</f>
        <v/>
      </c>
      <c r="AB4501">
        <f>IF('01_Вводные'!$B$234="Да",'19_Расчет_аналитики'!AA4500*'01_Вводные'!$B$14,0)</f>
        <v/>
      </c>
      <c r="AC4501">
        <f>IF('01_Вводные'!$B$234="Да",'19_Расчет_аналитики'!AB4500*'01_Вводные'!$B$14,0)</f>
        <v/>
      </c>
      <c r="AD4501">
        <f>IF('01_Вводные'!$B$234="Да",'19_Расчет_аналитики'!AC4500*'01_Вводные'!$B$14,0)</f>
        <v/>
      </c>
      <c r="AE4501">
        <f>IF('01_Вводные'!$B$234="Да",'19_Расчет_аналитики'!AD4500*'01_Вводные'!$B$14,0)</f>
        <v/>
      </c>
      <c r="AF4501">
        <f>IF('01_Вводные'!$B$234="Да",'19_Расчет_аналитики'!AE4500*'01_Вводные'!$B$14,0)</f>
        <v/>
      </c>
      <c r="AG4501">
        <f>IF('01_Вводные'!$B$234="Да",'19_Расчет_аналитики'!AF4500*'01_Вводные'!$B$14,0)</f>
        <v/>
      </c>
      <c r="AH4501">
        <f>IF('01_Вводные'!$B$234="Да",'19_Расчет_аналитики'!AG4500*'01_Вводные'!$B$14,0)</f>
        <v/>
      </c>
      <c r="AI4501">
        <f>IF('01_Вводные'!$B$234="Да",'19_Расчет_аналитики'!AH4500*'01_Вводные'!$B$14,0)</f>
        <v/>
      </c>
      <c r="AJ4501">
        <f>IF('01_Вводные'!$B$234="Да",'19_Расчет_аналитики'!AI4500*'01_Вводные'!$B$14,0)</f>
        <v/>
      </c>
      <c r="AK4501">
        <f>IF('01_Вводные'!$B$234="Да",'19_Расчет_аналитики'!AJ4500*'01_Вводные'!$B$14,0)</f>
        <v/>
      </c>
      <c r="AL4501">
        <f>IF('01_Вводные'!$B$234="Да",'19_Расчет_аналитики'!AK4500*'01_Вводные'!$B$14,0)</f>
        <v/>
      </c>
      <c r="AM4501">
        <f>IF('01_Вводные'!$B$234="Да",'19_Расчет_аналитики'!AL4500*'01_Вводные'!$B$14,0)</f>
        <v/>
      </c>
      <c r="AN4501">
        <f>IF('01_Вводные'!$B$234="Да",'19_Расчет_аналитики'!AM4500*'01_Вводные'!$B$14,0)</f>
        <v/>
      </c>
      <c r="AO4501">
        <f>IF('01_Вводные'!$B$234="Да",'19_Расчет_аналитики'!AN4500*'01_Вводные'!$B$14,0)</f>
        <v/>
      </c>
      <c r="AP4501">
        <f>IF('01_Вводные'!$B$234="Да",'19_Расчет_аналитики'!AO4500*'01_Вводные'!$B$14,0)</f>
        <v/>
      </c>
      <c r="AQ4501">
        <f>IF('01_Вводные'!$B$234="Да",'19_Расчет_аналитики'!AP4500*'01_Вводные'!$B$14,0)</f>
        <v/>
      </c>
      <c r="AR4501">
        <f>IF('01_Вводные'!$B$234="Да",'19_Расчет_аналитики'!AQ4500*'01_Вводные'!$B$14,0)</f>
        <v/>
      </c>
      <c r="AS4501">
        <f>IF('01_Вводные'!$B$234="Да",'19_Расчет_аналитики'!AR4500*'01_Вводные'!$B$14,0)</f>
        <v/>
      </c>
      <c r="AT4501">
        <f>IF('01_Вводные'!$B$234="Да",'19_Расчет_аналитики'!AS4500*'01_Вводные'!$B$14,0)</f>
        <v/>
      </c>
      <c r="AU4501">
        <f>IF('01_Вводные'!$B$234="Да",'19_Расчет_аналитики'!AT4500*'01_Вводные'!$B$14,0)</f>
        <v/>
      </c>
      <c r="AV4501">
        <f>IF('01_Вводные'!$B$234="Да",'19_Расчет_аналитики'!AU4500*'01_Вводные'!$B$14,0)</f>
        <v/>
      </c>
      <c r="AW4501">
        <f>IF('01_Вводные'!$B$234="Да",'19_Расчет_аналитики'!AV4500*'01_Вводные'!$B$14,0)</f>
        <v/>
      </c>
      <c r="AX4501">
        <f>IF('01_Вводные'!$B$234="Да",'19_Расчет_аналитики'!AW4500*'01_Вводные'!$B$14,0)</f>
        <v/>
      </c>
      <c r="AY4501">
        <f>IF('01_Вводные'!$B$234="Да",'19_Расчет_аналитики'!AX4500*'01_Вводные'!$B$14,0)</f>
        <v/>
      </c>
      <c r="AZ4501">
        <f>IF('01_Вводные'!$B$234="Да",'19_Расчет_аналитики'!AY4500*'01_Вводные'!$B$14,0)</f>
        <v/>
      </c>
      <c r="BA4501">
        <f>IF('01_Вводные'!$B$234="Да",'19_Расчет_аналитики'!AZ4500*'01_Вводные'!$B$14,0)</f>
        <v/>
      </c>
      <c r="BB4501">
        <f>IF('01_Вводные'!$B$234="Да",'19_Расчет_аналитики'!BA4500*'01_Вводные'!$B$14,0)</f>
        <v/>
      </c>
      <c r="BC4501">
        <f>IF('01_Вводные'!$B$234="Да",'19_Расчет_аналитики'!BB4500*'01_Вводные'!$B$14,0)</f>
        <v/>
      </c>
      <c r="BD4501">
        <f>IF('01_Вводные'!$B$234="Да",'19_Расчет_аналитики'!BC4500*'01_Вводные'!$B$14,0)</f>
        <v/>
      </c>
      <c r="BE4501">
        <f>IF('01_Вводные'!$B$234="Да",'19_Расчет_аналитики'!BD4500*'01_Вводные'!$B$14,0)</f>
        <v/>
      </c>
      <c r="BF4501">
        <f>IF('01_Вводные'!$B$234="Да",'19_Расчет_аналитики'!BE4500*'01_Вводные'!$B$14,0)</f>
        <v/>
      </c>
      <c r="BG4501">
        <f>IF('01_Вводные'!$B$234="Да",'19_Расчет_аналитики'!BF4500*'01_Вводные'!$B$14,0)</f>
        <v/>
      </c>
      <c r="BH4501">
        <f>IF('01_Вводные'!$B$234="Да",'19_Расчет_аналитики'!BG4500*'01_Вводные'!$B$14,0)</f>
        <v/>
      </c>
      <c r="BI4501">
        <f>IF('01_Вводные'!$B$234="Да",'19_Расчет_аналитики'!BH4500*'01_Вводные'!$B$14,0)</f>
        <v/>
      </c>
      <c r="BJ4501">
        <f>IF('01_Вводные'!$B$234="Да",'19_Расчет_аналитики'!BI4500*'01_Вводные'!$B$14,0)</f>
        <v/>
      </c>
      <c r="BK4501">
        <f>IF('01_Вводные'!$B$234="Да",'19_Расчет_аналитики'!BJ4500*'01_Вводные'!$B$14,0)</f>
        <v/>
      </c>
      <c r="BL4501">
        <f>IF('01_Вводные'!$B$234="Да",'19_Расчет_аналитики'!BK4500*'01_Вводные'!$B$14,0)</f>
        <v/>
      </c>
      <c r="BM4501">
        <f>IF('01_Вводные'!$B$234="Да",'19_Расчет_аналитики'!BL4500*'01_Вводные'!$B$14,0)</f>
        <v/>
      </c>
      <c r="BN4501">
        <f>IF('01_Вводные'!$B$234="Да",'19_Расчет_аналитики'!BM4500*'01_Вводные'!$B$14,0)</f>
        <v/>
      </c>
      <c r="BO4501">
        <f>IF('01_Вводные'!$B$234="Да",'19_Расчет_аналитики'!BN4500*'01_Вводные'!$B$14,0)</f>
        <v/>
      </c>
    </row>
    <row r="4502">
      <c r="N4502">
        <f>'06_Сеть_и_дети'!N99</f>
        <v/>
      </c>
      <c r="O4502">
        <f>'06_Сеть_и_дети'!O99</f>
        <v/>
      </c>
      <c r="P4502">
        <f>'06_Сеть_и_дети'!P99</f>
        <v/>
      </c>
      <c r="Q4502">
        <f>'06_Сеть_и_дети'!Q99</f>
        <v/>
      </c>
      <c r="R4502">
        <f>'06_Сеть_и_дети'!R99</f>
        <v/>
      </c>
      <c r="S4502">
        <f>'06_Сеть_и_дети'!S99</f>
        <v/>
      </c>
      <c r="T4502">
        <f>IF('01_Вводные'!$B$234="Да",'19_Расчет_аналитики'!S4501*'01_Вводные'!$B$14,0)</f>
        <v/>
      </c>
      <c r="U4502">
        <f>IF('01_Вводные'!$B$234="Да",'19_Расчет_аналитики'!T4501*'01_Вводные'!$B$14,0)</f>
        <v/>
      </c>
      <c r="V4502">
        <f>IF('01_Вводные'!$B$234="Да",'19_Расчет_аналитики'!U4501*'01_Вводные'!$B$14,0)</f>
        <v/>
      </c>
      <c r="W4502">
        <f>IF('01_Вводные'!$B$234="Да",'19_Расчет_аналитики'!V4501*'01_Вводные'!$B$14,0)</f>
        <v/>
      </c>
      <c r="X4502">
        <f>IF('01_Вводные'!$B$234="Да",'19_Расчет_аналитики'!W4501*'01_Вводные'!$B$14,0)</f>
        <v/>
      </c>
      <c r="Y4502">
        <f>IF('01_Вводные'!$B$234="Да",'19_Расчет_аналитики'!X4501*'01_Вводные'!$B$14,0)</f>
        <v/>
      </c>
      <c r="Z4502">
        <f>IF('01_Вводные'!$B$234="Да",'19_Расчет_аналитики'!Y4501*'01_Вводные'!$B$14,0)</f>
        <v/>
      </c>
      <c r="AA4502">
        <f>IF('01_Вводные'!$B$234="Да",'19_Расчет_аналитики'!Z4501*'01_Вводные'!$B$14,0)</f>
        <v/>
      </c>
      <c r="AB4502">
        <f>IF('01_Вводные'!$B$234="Да",'19_Расчет_аналитики'!AA4501*'01_Вводные'!$B$14,0)</f>
        <v/>
      </c>
      <c r="AC4502">
        <f>IF('01_Вводные'!$B$234="Да",'19_Расчет_аналитики'!AB4501*'01_Вводные'!$B$14,0)</f>
        <v/>
      </c>
      <c r="AD4502">
        <f>IF('01_Вводные'!$B$234="Да",'19_Расчет_аналитики'!AC4501*'01_Вводные'!$B$14,0)</f>
        <v/>
      </c>
      <c r="AE4502">
        <f>IF('01_Вводные'!$B$234="Да",'19_Расчет_аналитики'!AD4501*'01_Вводные'!$B$14,0)</f>
        <v/>
      </c>
      <c r="AF4502">
        <f>IF('01_Вводные'!$B$234="Да",'19_Расчет_аналитики'!AE4501*'01_Вводные'!$B$14,0)</f>
        <v/>
      </c>
      <c r="AG4502">
        <f>IF('01_Вводные'!$B$234="Да",'19_Расчет_аналитики'!AF4501*'01_Вводные'!$B$14,0)</f>
        <v/>
      </c>
      <c r="AH4502">
        <f>IF('01_Вводные'!$B$234="Да",'19_Расчет_аналитики'!AG4501*'01_Вводные'!$B$14,0)</f>
        <v/>
      </c>
      <c r="AI4502">
        <f>IF('01_Вводные'!$B$234="Да",'19_Расчет_аналитики'!AH4501*'01_Вводные'!$B$14,0)</f>
        <v/>
      </c>
      <c r="AJ4502">
        <f>IF('01_Вводные'!$B$234="Да",'19_Расчет_аналитики'!AI4501*'01_Вводные'!$B$14,0)</f>
        <v/>
      </c>
      <c r="AK4502">
        <f>IF('01_Вводные'!$B$234="Да",'19_Расчет_аналитики'!AJ4501*'01_Вводные'!$B$14,0)</f>
        <v/>
      </c>
      <c r="AL4502">
        <f>IF('01_Вводные'!$B$234="Да",'19_Расчет_аналитики'!AK4501*'01_Вводные'!$B$14,0)</f>
        <v/>
      </c>
      <c r="AM4502">
        <f>IF('01_Вводные'!$B$234="Да",'19_Расчет_аналитики'!AL4501*'01_Вводные'!$B$14,0)</f>
        <v/>
      </c>
      <c r="AN4502">
        <f>IF('01_Вводные'!$B$234="Да",'19_Расчет_аналитики'!AM4501*'01_Вводные'!$B$14,0)</f>
        <v/>
      </c>
      <c r="AO4502">
        <f>IF('01_Вводные'!$B$234="Да",'19_Расчет_аналитики'!AN4501*'01_Вводные'!$B$14,0)</f>
        <v/>
      </c>
      <c r="AP4502">
        <f>IF('01_Вводные'!$B$234="Да",'19_Расчет_аналитики'!AO4501*'01_Вводные'!$B$14,0)</f>
        <v/>
      </c>
      <c r="AQ4502">
        <f>IF('01_Вводные'!$B$234="Да",'19_Расчет_аналитики'!AP4501*'01_Вводные'!$B$14,0)</f>
        <v/>
      </c>
      <c r="AR4502">
        <f>IF('01_Вводные'!$B$234="Да",'19_Расчет_аналитики'!AQ4501*'01_Вводные'!$B$14,0)</f>
        <v/>
      </c>
      <c r="AS4502">
        <f>IF('01_Вводные'!$B$234="Да",'19_Расчет_аналитики'!AR4501*'01_Вводные'!$B$14,0)</f>
        <v/>
      </c>
      <c r="AT4502">
        <f>IF('01_Вводные'!$B$234="Да",'19_Расчет_аналитики'!AS4501*'01_Вводные'!$B$14,0)</f>
        <v/>
      </c>
      <c r="AU4502">
        <f>IF('01_Вводные'!$B$234="Да",'19_Расчет_аналитики'!AT4501*'01_Вводные'!$B$14,0)</f>
        <v/>
      </c>
      <c r="AV4502">
        <f>IF('01_Вводные'!$B$234="Да",'19_Расчет_аналитики'!AU4501*'01_Вводные'!$B$14,0)</f>
        <v/>
      </c>
      <c r="AW4502">
        <f>IF('01_Вводные'!$B$234="Да",'19_Расчет_аналитики'!AV4501*'01_Вводные'!$B$14,0)</f>
        <v/>
      </c>
      <c r="AX4502">
        <f>IF('01_Вводные'!$B$234="Да",'19_Расчет_аналитики'!AW4501*'01_Вводные'!$B$14,0)</f>
        <v/>
      </c>
      <c r="AY4502">
        <f>IF('01_Вводные'!$B$234="Да",'19_Расчет_аналитики'!AX4501*'01_Вводные'!$B$14,0)</f>
        <v/>
      </c>
      <c r="AZ4502">
        <f>IF('01_Вводные'!$B$234="Да",'19_Расчет_аналитики'!AY4501*'01_Вводные'!$B$14,0)</f>
        <v/>
      </c>
      <c r="BA4502">
        <f>IF('01_Вводные'!$B$234="Да",'19_Расчет_аналитики'!AZ4501*'01_Вводные'!$B$14,0)</f>
        <v/>
      </c>
      <c r="BB4502">
        <f>IF('01_Вводные'!$B$234="Да",'19_Расчет_аналитики'!BA4501*'01_Вводные'!$B$14,0)</f>
        <v/>
      </c>
      <c r="BC4502">
        <f>IF('01_Вводные'!$B$234="Да",'19_Расчет_аналитики'!BB4501*'01_Вводные'!$B$14,0)</f>
        <v/>
      </c>
      <c r="BD4502">
        <f>IF('01_Вводные'!$B$234="Да",'19_Расчет_аналитики'!BC4501*'01_Вводные'!$B$14,0)</f>
        <v/>
      </c>
      <c r="BE4502">
        <f>IF('01_Вводные'!$B$234="Да",'19_Расчет_аналитики'!BD4501*'01_Вводные'!$B$14,0)</f>
        <v/>
      </c>
      <c r="BF4502">
        <f>IF('01_Вводные'!$B$234="Да",'19_Расчет_аналитики'!BE4501*'01_Вводные'!$B$14,0)</f>
        <v/>
      </c>
      <c r="BG4502">
        <f>IF('01_Вводные'!$B$234="Да",'19_Расчет_аналитики'!BF4501*'01_Вводные'!$B$14,0)</f>
        <v/>
      </c>
      <c r="BH4502">
        <f>IF('01_Вводные'!$B$234="Да",'19_Расчет_аналитики'!BG4501*'01_Вводные'!$B$14,0)</f>
        <v/>
      </c>
      <c r="BI4502">
        <f>IF('01_Вводные'!$B$234="Да",'19_Расчет_аналитики'!BH4501*'01_Вводные'!$B$14,0)</f>
        <v/>
      </c>
      <c r="BJ4502">
        <f>IF('01_Вводные'!$B$234="Да",'19_Расчет_аналитики'!BI4501*'01_Вводные'!$B$14,0)</f>
        <v/>
      </c>
      <c r="BK4502">
        <f>IF('01_Вводные'!$B$234="Да",'19_Расчет_аналитики'!BJ4501*'01_Вводные'!$B$14,0)</f>
        <v/>
      </c>
      <c r="BL4502">
        <f>IF('01_Вводные'!$B$234="Да",'19_Расчет_аналитики'!BK4501*'01_Вводные'!$B$14,0)</f>
        <v/>
      </c>
      <c r="BM4502">
        <f>IF('01_Вводные'!$B$234="Да",'19_Расчет_аналитики'!BL4501*'01_Вводные'!$B$14,0)</f>
        <v/>
      </c>
      <c r="BN4502">
        <f>IF('01_Вводные'!$B$234="Да",'19_Расчет_аналитики'!BM4501*'01_Вводные'!$B$14,0)</f>
        <v/>
      </c>
      <c r="BO4502">
        <f>IF('01_Вводные'!$B$234="Да",'19_Расчет_аналитики'!BN4501*'01_Вводные'!$B$14,0)</f>
        <v/>
      </c>
    </row>
    <row r="4503">
      <c r="N4503">
        <f>'06_Сеть_и_дети'!N100</f>
        <v/>
      </c>
      <c r="O4503">
        <f>'06_Сеть_и_дети'!O100</f>
        <v/>
      </c>
      <c r="P4503">
        <f>'06_Сеть_и_дети'!P100</f>
        <v/>
      </c>
      <c r="Q4503">
        <f>'06_Сеть_и_дети'!Q100</f>
        <v/>
      </c>
      <c r="R4503">
        <f>'06_Сеть_и_дети'!R100</f>
        <v/>
      </c>
      <c r="S4503">
        <f>'06_Сеть_и_дети'!S100</f>
        <v/>
      </c>
      <c r="T4503">
        <f>'06_Сеть_и_дети'!T100</f>
        <v/>
      </c>
      <c r="U4503">
        <f>IF('01_Вводные'!$B$234="Да",'19_Расчет_аналитики'!T4502*'01_Вводные'!$B$14,0)</f>
        <v/>
      </c>
      <c r="V4503">
        <f>IF('01_Вводные'!$B$234="Да",'19_Расчет_аналитики'!U4502*'01_Вводные'!$B$14,0)</f>
        <v/>
      </c>
      <c r="W4503">
        <f>IF('01_Вводные'!$B$234="Да",'19_Расчет_аналитики'!V4502*'01_Вводные'!$B$14,0)</f>
        <v/>
      </c>
      <c r="X4503">
        <f>IF('01_Вводные'!$B$234="Да",'19_Расчет_аналитики'!W4502*'01_Вводные'!$B$14,0)</f>
        <v/>
      </c>
      <c r="Y4503">
        <f>IF('01_Вводные'!$B$234="Да",'19_Расчет_аналитики'!X4502*'01_Вводные'!$B$14,0)</f>
        <v/>
      </c>
      <c r="Z4503">
        <f>IF('01_Вводные'!$B$234="Да",'19_Расчет_аналитики'!Y4502*'01_Вводные'!$B$14,0)</f>
        <v/>
      </c>
      <c r="AA4503">
        <f>IF('01_Вводные'!$B$234="Да",'19_Расчет_аналитики'!Z4502*'01_Вводные'!$B$14,0)</f>
        <v/>
      </c>
      <c r="AB4503">
        <f>IF('01_Вводные'!$B$234="Да",'19_Расчет_аналитики'!AA4502*'01_Вводные'!$B$14,0)</f>
        <v/>
      </c>
      <c r="AC4503">
        <f>IF('01_Вводные'!$B$234="Да",'19_Расчет_аналитики'!AB4502*'01_Вводные'!$B$14,0)</f>
        <v/>
      </c>
      <c r="AD4503">
        <f>IF('01_Вводные'!$B$234="Да",'19_Расчет_аналитики'!AC4502*'01_Вводные'!$B$14,0)</f>
        <v/>
      </c>
      <c r="AE4503">
        <f>IF('01_Вводные'!$B$234="Да",'19_Расчет_аналитики'!AD4502*'01_Вводные'!$B$14,0)</f>
        <v/>
      </c>
      <c r="AF4503">
        <f>IF('01_Вводные'!$B$234="Да",'19_Расчет_аналитики'!AE4502*'01_Вводные'!$B$14,0)</f>
        <v/>
      </c>
      <c r="AG4503">
        <f>IF('01_Вводные'!$B$234="Да",'19_Расчет_аналитики'!AF4502*'01_Вводные'!$B$14,0)</f>
        <v/>
      </c>
      <c r="AH4503">
        <f>IF('01_Вводные'!$B$234="Да",'19_Расчет_аналитики'!AG4502*'01_Вводные'!$B$14,0)</f>
        <v/>
      </c>
      <c r="AI4503">
        <f>IF('01_Вводные'!$B$234="Да",'19_Расчет_аналитики'!AH4502*'01_Вводные'!$B$14,0)</f>
        <v/>
      </c>
      <c r="AJ4503">
        <f>IF('01_Вводные'!$B$234="Да",'19_Расчет_аналитики'!AI4502*'01_Вводные'!$B$14,0)</f>
        <v/>
      </c>
      <c r="AK4503">
        <f>IF('01_Вводные'!$B$234="Да",'19_Расчет_аналитики'!AJ4502*'01_Вводные'!$B$14,0)</f>
        <v/>
      </c>
      <c r="AL4503">
        <f>IF('01_Вводные'!$B$234="Да",'19_Расчет_аналитики'!AK4502*'01_Вводные'!$B$14,0)</f>
        <v/>
      </c>
      <c r="AM4503">
        <f>IF('01_Вводные'!$B$234="Да",'19_Расчет_аналитики'!AL4502*'01_Вводные'!$B$14,0)</f>
        <v/>
      </c>
      <c r="AN4503">
        <f>IF('01_Вводные'!$B$234="Да",'19_Расчет_аналитики'!AM4502*'01_Вводные'!$B$14,0)</f>
        <v/>
      </c>
      <c r="AO4503">
        <f>IF('01_Вводные'!$B$234="Да",'19_Расчет_аналитики'!AN4502*'01_Вводные'!$B$14,0)</f>
        <v/>
      </c>
      <c r="AP4503">
        <f>IF('01_Вводные'!$B$234="Да",'19_Расчет_аналитики'!AO4502*'01_Вводные'!$B$14,0)</f>
        <v/>
      </c>
      <c r="AQ4503">
        <f>IF('01_Вводные'!$B$234="Да",'19_Расчет_аналитики'!AP4502*'01_Вводные'!$B$14,0)</f>
        <v/>
      </c>
      <c r="AR4503">
        <f>IF('01_Вводные'!$B$234="Да",'19_Расчет_аналитики'!AQ4502*'01_Вводные'!$B$14,0)</f>
        <v/>
      </c>
      <c r="AS4503">
        <f>IF('01_Вводные'!$B$234="Да",'19_Расчет_аналитики'!AR4502*'01_Вводные'!$B$14,0)</f>
        <v/>
      </c>
      <c r="AT4503">
        <f>IF('01_Вводные'!$B$234="Да",'19_Расчет_аналитики'!AS4502*'01_Вводные'!$B$14,0)</f>
        <v/>
      </c>
      <c r="AU4503">
        <f>IF('01_Вводные'!$B$234="Да",'19_Расчет_аналитики'!AT4502*'01_Вводные'!$B$14,0)</f>
        <v/>
      </c>
      <c r="AV4503">
        <f>IF('01_Вводные'!$B$234="Да",'19_Расчет_аналитики'!AU4502*'01_Вводные'!$B$14,0)</f>
        <v/>
      </c>
      <c r="AW4503">
        <f>IF('01_Вводные'!$B$234="Да",'19_Расчет_аналитики'!AV4502*'01_Вводные'!$B$14,0)</f>
        <v/>
      </c>
      <c r="AX4503">
        <f>IF('01_Вводные'!$B$234="Да",'19_Расчет_аналитики'!AW4502*'01_Вводные'!$B$14,0)</f>
        <v/>
      </c>
      <c r="AY4503">
        <f>IF('01_Вводные'!$B$234="Да",'19_Расчет_аналитики'!AX4502*'01_Вводные'!$B$14,0)</f>
        <v/>
      </c>
      <c r="AZ4503">
        <f>IF('01_Вводные'!$B$234="Да",'19_Расчет_аналитики'!AY4502*'01_Вводные'!$B$14,0)</f>
        <v/>
      </c>
      <c r="BA4503">
        <f>IF('01_Вводные'!$B$234="Да",'19_Расчет_аналитики'!AZ4502*'01_Вводные'!$B$14,0)</f>
        <v/>
      </c>
      <c r="BB4503">
        <f>IF('01_Вводные'!$B$234="Да",'19_Расчет_аналитики'!BA4502*'01_Вводные'!$B$14,0)</f>
        <v/>
      </c>
      <c r="BC4503">
        <f>IF('01_Вводные'!$B$234="Да",'19_Расчет_аналитики'!BB4502*'01_Вводные'!$B$14,0)</f>
        <v/>
      </c>
      <c r="BD4503">
        <f>IF('01_Вводные'!$B$234="Да",'19_Расчет_аналитики'!BC4502*'01_Вводные'!$B$14,0)</f>
        <v/>
      </c>
      <c r="BE4503">
        <f>IF('01_Вводные'!$B$234="Да",'19_Расчет_аналитики'!BD4502*'01_Вводные'!$B$14,0)</f>
        <v/>
      </c>
      <c r="BF4503">
        <f>IF('01_Вводные'!$B$234="Да",'19_Расчет_аналитики'!BE4502*'01_Вводные'!$B$14,0)</f>
        <v/>
      </c>
      <c r="BG4503">
        <f>IF('01_Вводные'!$B$234="Да",'19_Расчет_аналитики'!BF4502*'01_Вводные'!$B$14,0)</f>
        <v/>
      </c>
      <c r="BH4503">
        <f>IF('01_Вводные'!$B$234="Да",'19_Расчет_аналитики'!BG4502*'01_Вводные'!$B$14,0)</f>
        <v/>
      </c>
      <c r="BI4503">
        <f>IF('01_Вводные'!$B$234="Да",'19_Расчет_аналитики'!BH4502*'01_Вводные'!$B$14,0)</f>
        <v/>
      </c>
      <c r="BJ4503">
        <f>IF('01_Вводные'!$B$234="Да",'19_Расчет_аналитики'!BI4502*'01_Вводные'!$B$14,0)</f>
        <v/>
      </c>
      <c r="BK4503">
        <f>IF('01_Вводные'!$B$234="Да",'19_Расчет_аналитики'!BJ4502*'01_Вводные'!$B$14,0)</f>
        <v/>
      </c>
      <c r="BL4503">
        <f>IF('01_Вводные'!$B$234="Да",'19_Расчет_аналитики'!BK4502*'01_Вводные'!$B$14,0)</f>
        <v/>
      </c>
      <c r="BM4503">
        <f>IF('01_Вводные'!$B$234="Да",'19_Расчет_аналитики'!BL4502*'01_Вводные'!$B$14,0)</f>
        <v/>
      </c>
      <c r="BN4503">
        <f>IF('01_Вводные'!$B$234="Да",'19_Расчет_аналитики'!BM4502*'01_Вводные'!$B$14,0)</f>
        <v/>
      </c>
      <c r="BO4503">
        <f>IF('01_Вводные'!$B$234="Да",'19_Расчет_аналитики'!BN4502*'01_Вводные'!$B$14,0)</f>
        <v/>
      </c>
    </row>
    <row r="4504">
      <c r="N4504">
        <f>'06_Сеть_и_дети'!N101</f>
        <v/>
      </c>
      <c r="O4504">
        <f>'06_Сеть_и_дети'!O101</f>
        <v/>
      </c>
      <c r="P4504">
        <f>'06_Сеть_и_дети'!P101</f>
        <v/>
      </c>
      <c r="Q4504">
        <f>'06_Сеть_и_дети'!Q101</f>
        <v/>
      </c>
      <c r="R4504">
        <f>'06_Сеть_и_дети'!R101</f>
        <v/>
      </c>
      <c r="S4504">
        <f>'06_Сеть_и_дети'!S101</f>
        <v/>
      </c>
      <c r="T4504">
        <f>'06_Сеть_и_дети'!T101</f>
        <v/>
      </c>
      <c r="U4504">
        <f>'06_Сеть_и_дети'!U101</f>
        <v/>
      </c>
      <c r="V4504">
        <f>IF('01_Вводные'!$B$234="Да",'19_Расчет_аналитики'!U4503*'01_Вводные'!$B$14,0)</f>
        <v/>
      </c>
      <c r="W4504">
        <f>IF('01_Вводные'!$B$234="Да",'19_Расчет_аналитики'!V4503*'01_Вводные'!$B$14,0)</f>
        <v/>
      </c>
      <c r="X4504">
        <f>IF('01_Вводные'!$B$234="Да",'19_Расчет_аналитики'!W4503*'01_Вводные'!$B$14,0)</f>
        <v/>
      </c>
      <c r="Y4504">
        <f>IF('01_Вводные'!$B$234="Да",'19_Расчет_аналитики'!X4503*'01_Вводные'!$B$14,0)</f>
        <v/>
      </c>
      <c r="Z4504">
        <f>IF('01_Вводные'!$B$234="Да",'19_Расчет_аналитики'!Y4503*'01_Вводные'!$B$14,0)</f>
        <v/>
      </c>
      <c r="AA4504">
        <f>IF('01_Вводные'!$B$234="Да",'19_Расчет_аналитики'!Z4503*'01_Вводные'!$B$14,0)</f>
        <v/>
      </c>
      <c r="AB4504">
        <f>IF('01_Вводные'!$B$234="Да",'19_Расчет_аналитики'!AA4503*'01_Вводные'!$B$14,0)</f>
        <v/>
      </c>
      <c r="AC4504">
        <f>IF('01_Вводные'!$B$234="Да",'19_Расчет_аналитики'!AB4503*'01_Вводные'!$B$14,0)</f>
        <v/>
      </c>
      <c r="AD4504">
        <f>IF('01_Вводные'!$B$234="Да",'19_Расчет_аналитики'!AC4503*'01_Вводные'!$B$14,0)</f>
        <v/>
      </c>
      <c r="AE4504">
        <f>IF('01_Вводные'!$B$234="Да",'19_Расчет_аналитики'!AD4503*'01_Вводные'!$B$14,0)</f>
        <v/>
      </c>
      <c r="AF4504">
        <f>IF('01_Вводные'!$B$234="Да",'19_Расчет_аналитики'!AE4503*'01_Вводные'!$B$14,0)</f>
        <v/>
      </c>
      <c r="AG4504">
        <f>IF('01_Вводные'!$B$234="Да",'19_Расчет_аналитики'!AF4503*'01_Вводные'!$B$14,0)</f>
        <v/>
      </c>
      <c r="AH4504">
        <f>IF('01_Вводные'!$B$234="Да",'19_Расчет_аналитики'!AG4503*'01_Вводные'!$B$14,0)</f>
        <v/>
      </c>
      <c r="AI4504">
        <f>IF('01_Вводные'!$B$234="Да",'19_Расчет_аналитики'!AH4503*'01_Вводные'!$B$14,0)</f>
        <v/>
      </c>
      <c r="AJ4504">
        <f>IF('01_Вводные'!$B$234="Да",'19_Расчет_аналитики'!AI4503*'01_Вводные'!$B$14,0)</f>
        <v/>
      </c>
      <c r="AK4504">
        <f>IF('01_Вводные'!$B$234="Да",'19_Расчет_аналитики'!AJ4503*'01_Вводные'!$B$14,0)</f>
        <v/>
      </c>
      <c r="AL4504">
        <f>IF('01_Вводные'!$B$234="Да",'19_Расчет_аналитики'!AK4503*'01_Вводные'!$B$14,0)</f>
        <v/>
      </c>
      <c r="AM4504">
        <f>IF('01_Вводные'!$B$234="Да",'19_Расчет_аналитики'!AL4503*'01_Вводные'!$B$14,0)</f>
        <v/>
      </c>
      <c r="AN4504">
        <f>IF('01_Вводные'!$B$234="Да",'19_Расчет_аналитики'!AM4503*'01_Вводные'!$B$14,0)</f>
        <v/>
      </c>
      <c r="AO4504">
        <f>IF('01_Вводные'!$B$234="Да",'19_Расчет_аналитики'!AN4503*'01_Вводные'!$B$14,0)</f>
        <v/>
      </c>
      <c r="AP4504">
        <f>IF('01_Вводные'!$B$234="Да",'19_Расчет_аналитики'!AO4503*'01_Вводные'!$B$14,0)</f>
        <v/>
      </c>
      <c r="AQ4504">
        <f>IF('01_Вводные'!$B$234="Да",'19_Расчет_аналитики'!AP4503*'01_Вводные'!$B$14,0)</f>
        <v/>
      </c>
      <c r="AR4504">
        <f>IF('01_Вводные'!$B$234="Да",'19_Расчет_аналитики'!AQ4503*'01_Вводные'!$B$14,0)</f>
        <v/>
      </c>
      <c r="AS4504">
        <f>IF('01_Вводные'!$B$234="Да",'19_Расчет_аналитики'!AR4503*'01_Вводные'!$B$14,0)</f>
        <v/>
      </c>
      <c r="AT4504">
        <f>IF('01_Вводные'!$B$234="Да",'19_Расчет_аналитики'!AS4503*'01_Вводные'!$B$14,0)</f>
        <v/>
      </c>
      <c r="AU4504">
        <f>IF('01_Вводные'!$B$234="Да",'19_Расчет_аналитики'!AT4503*'01_Вводные'!$B$14,0)</f>
        <v/>
      </c>
      <c r="AV4504">
        <f>IF('01_Вводные'!$B$234="Да",'19_Расчет_аналитики'!AU4503*'01_Вводные'!$B$14,0)</f>
        <v/>
      </c>
      <c r="AW4504">
        <f>IF('01_Вводные'!$B$234="Да",'19_Расчет_аналитики'!AV4503*'01_Вводные'!$B$14,0)</f>
        <v/>
      </c>
      <c r="AX4504">
        <f>IF('01_Вводные'!$B$234="Да",'19_Расчет_аналитики'!AW4503*'01_Вводные'!$B$14,0)</f>
        <v/>
      </c>
      <c r="AY4504">
        <f>IF('01_Вводные'!$B$234="Да",'19_Расчет_аналитики'!AX4503*'01_Вводные'!$B$14,0)</f>
        <v/>
      </c>
      <c r="AZ4504">
        <f>IF('01_Вводные'!$B$234="Да",'19_Расчет_аналитики'!AY4503*'01_Вводные'!$B$14,0)</f>
        <v/>
      </c>
      <c r="BA4504">
        <f>IF('01_Вводные'!$B$234="Да",'19_Расчет_аналитики'!AZ4503*'01_Вводные'!$B$14,0)</f>
        <v/>
      </c>
      <c r="BB4504">
        <f>IF('01_Вводные'!$B$234="Да",'19_Расчет_аналитики'!BA4503*'01_Вводные'!$B$14,0)</f>
        <v/>
      </c>
      <c r="BC4504">
        <f>IF('01_Вводные'!$B$234="Да",'19_Расчет_аналитики'!BB4503*'01_Вводные'!$B$14,0)</f>
        <v/>
      </c>
      <c r="BD4504">
        <f>IF('01_Вводные'!$B$234="Да",'19_Расчет_аналитики'!BC4503*'01_Вводные'!$B$14,0)</f>
        <v/>
      </c>
      <c r="BE4504">
        <f>IF('01_Вводные'!$B$234="Да",'19_Расчет_аналитики'!BD4503*'01_Вводные'!$B$14,0)</f>
        <v/>
      </c>
      <c r="BF4504">
        <f>IF('01_Вводные'!$B$234="Да",'19_Расчет_аналитики'!BE4503*'01_Вводные'!$B$14,0)</f>
        <v/>
      </c>
      <c r="BG4504">
        <f>IF('01_Вводные'!$B$234="Да",'19_Расчет_аналитики'!BF4503*'01_Вводные'!$B$14,0)</f>
        <v/>
      </c>
      <c r="BH4504">
        <f>IF('01_Вводные'!$B$234="Да",'19_Расчет_аналитики'!BG4503*'01_Вводные'!$B$14,0)</f>
        <v/>
      </c>
      <c r="BI4504">
        <f>IF('01_Вводные'!$B$234="Да",'19_Расчет_аналитики'!BH4503*'01_Вводные'!$B$14,0)</f>
        <v/>
      </c>
      <c r="BJ4504">
        <f>IF('01_Вводные'!$B$234="Да",'19_Расчет_аналитики'!BI4503*'01_Вводные'!$B$14,0)</f>
        <v/>
      </c>
      <c r="BK4504">
        <f>IF('01_Вводные'!$B$234="Да",'19_Расчет_аналитики'!BJ4503*'01_Вводные'!$B$14,0)</f>
        <v/>
      </c>
      <c r="BL4504">
        <f>IF('01_Вводные'!$B$234="Да",'19_Расчет_аналитики'!BK4503*'01_Вводные'!$B$14,0)</f>
        <v/>
      </c>
      <c r="BM4504">
        <f>IF('01_Вводные'!$B$234="Да",'19_Расчет_аналитики'!BL4503*'01_Вводные'!$B$14,0)</f>
        <v/>
      </c>
      <c r="BN4504">
        <f>IF('01_Вводные'!$B$234="Да",'19_Расчет_аналитики'!BM4503*'01_Вводные'!$B$14,0)</f>
        <v/>
      </c>
      <c r="BO4504">
        <f>IF('01_Вводные'!$B$234="Да",'19_Расчет_аналитики'!BN4503*'01_Вводные'!$B$14,0)</f>
        <v/>
      </c>
    </row>
    <row r="4505">
      <c r="N4505">
        <f>'06_Сеть_и_дети'!N102</f>
        <v/>
      </c>
      <c r="O4505">
        <f>'06_Сеть_и_дети'!O102</f>
        <v/>
      </c>
      <c r="P4505">
        <f>'06_Сеть_и_дети'!P102</f>
        <v/>
      </c>
      <c r="Q4505">
        <f>'06_Сеть_и_дети'!Q102</f>
        <v/>
      </c>
      <c r="R4505">
        <f>'06_Сеть_и_дети'!R102</f>
        <v/>
      </c>
      <c r="S4505">
        <f>'06_Сеть_и_дети'!S102</f>
        <v/>
      </c>
      <c r="T4505">
        <f>'06_Сеть_и_дети'!T102</f>
        <v/>
      </c>
      <c r="U4505">
        <f>'06_Сеть_и_дети'!U102</f>
        <v/>
      </c>
      <c r="V4505">
        <f>'06_Сеть_и_дети'!V102</f>
        <v/>
      </c>
      <c r="W4505">
        <f>IF('01_Вводные'!$B$234="Да",'19_Расчет_аналитики'!V4504*'01_Вводные'!$B$14,0)</f>
        <v/>
      </c>
      <c r="X4505">
        <f>IF('01_Вводные'!$B$234="Да",'19_Расчет_аналитики'!W4504*'01_Вводные'!$B$14,0)</f>
        <v/>
      </c>
      <c r="Y4505">
        <f>IF('01_Вводные'!$B$234="Да",'19_Расчет_аналитики'!X4504*'01_Вводные'!$B$14,0)</f>
        <v/>
      </c>
      <c r="Z4505">
        <f>IF('01_Вводные'!$B$234="Да",'19_Расчет_аналитики'!Y4504*'01_Вводные'!$B$14,0)</f>
        <v/>
      </c>
      <c r="AA4505">
        <f>IF('01_Вводные'!$B$234="Да",'19_Расчет_аналитики'!Z4504*'01_Вводные'!$B$14,0)</f>
        <v/>
      </c>
      <c r="AB4505">
        <f>IF('01_Вводные'!$B$234="Да",'19_Расчет_аналитики'!AA4504*'01_Вводные'!$B$14,0)</f>
        <v/>
      </c>
      <c r="AC4505">
        <f>IF('01_Вводные'!$B$234="Да",'19_Расчет_аналитики'!AB4504*'01_Вводные'!$B$14,0)</f>
        <v/>
      </c>
      <c r="AD4505">
        <f>IF('01_Вводные'!$B$234="Да",'19_Расчет_аналитики'!AC4504*'01_Вводные'!$B$14,0)</f>
        <v/>
      </c>
      <c r="AE4505">
        <f>IF('01_Вводные'!$B$234="Да",'19_Расчет_аналитики'!AD4504*'01_Вводные'!$B$14,0)</f>
        <v/>
      </c>
      <c r="AF4505">
        <f>IF('01_Вводные'!$B$234="Да",'19_Расчет_аналитики'!AE4504*'01_Вводные'!$B$14,0)</f>
        <v/>
      </c>
      <c r="AG4505">
        <f>IF('01_Вводные'!$B$234="Да",'19_Расчет_аналитики'!AF4504*'01_Вводные'!$B$14,0)</f>
        <v/>
      </c>
      <c r="AH4505">
        <f>IF('01_Вводные'!$B$234="Да",'19_Расчет_аналитики'!AG4504*'01_Вводные'!$B$14,0)</f>
        <v/>
      </c>
      <c r="AI4505">
        <f>IF('01_Вводные'!$B$234="Да",'19_Расчет_аналитики'!AH4504*'01_Вводные'!$B$14,0)</f>
        <v/>
      </c>
      <c r="AJ4505">
        <f>IF('01_Вводные'!$B$234="Да",'19_Расчет_аналитики'!AI4504*'01_Вводные'!$B$14,0)</f>
        <v/>
      </c>
      <c r="AK4505">
        <f>IF('01_Вводные'!$B$234="Да",'19_Расчет_аналитики'!AJ4504*'01_Вводные'!$B$14,0)</f>
        <v/>
      </c>
      <c r="AL4505">
        <f>IF('01_Вводные'!$B$234="Да",'19_Расчет_аналитики'!AK4504*'01_Вводные'!$B$14,0)</f>
        <v/>
      </c>
      <c r="AM4505">
        <f>IF('01_Вводные'!$B$234="Да",'19_Расчет_аналитики'!AL4504*'01_Вводные'!$B$14,0)</f>
        <v/>
      </c>
      <c r="AN4505">
        <f>IF('01_Вводные'!$B$234="Да",'19_Расчет_аналитики'!AM4504*'01_Вводные'!$B$14,0)</f>
        <v/>
      </c>
      <c r="AO4505">
        <f>IF('01_Вводные'!$B$234="Да",'19_Расчет_аналитики'!AN4504*'01_Вводные'!$B$14,0)</f>
        <v/>
      </c>
      <c r="AP4505">
        <f>IF('01_Вводные'!$B$234="Да",'19_Расчет_аналитики'!AO4504*'01_Вводные'!$B$14,0)</f>
        <v/>
      </c>
      <c r="AQ4505">
        <f>IF('01_Вводные'!$B$234="Да",'19_Расчет_аналитики'!AP4504*'01_Вводные'!$B$14,0)</f>
        <v/>
      </c>
      <c r="AR4505">
        <f>IF('01_Вводные'!$B$234="Да",'19_Расчет_аналитики'!AQ4504*'01_Вводные'!$B$14,0)</f>
        <v/>
      </c>
      <c r="AS4505">
        <f>IF('01_Вводные'!$B$234="Да",'19_Расчет_аналитики'!AR4504*'01_Вводные'!$B$14,0)</f>
        <v/>
      </c>
      <c r="AT4505">
        <f>IF('01_Вводные'!$B$234="Да",'19_Расчет_аналитики'!AS4504*'01_Вводные'!$B$14,0)</f>
        <v/>
      </c>
      <c r="AU4505">
        <f>IF('01_Вводные'!$B$234="Да",'19_Расчет_аналитики'!AT4504*'01_Вводные'!$B$14,0)</f>
        <v/>
      </c>
      <c r="AV4505">
        <f>IF('01_Вводные'!$B$234="Да",'19_Расчет_аналитики'!AU4504*'01_Вводные'!$B$14,0)</f>
        <v/>
      </c>
      <c r="AW4505">
        <f>IF('01_Вводные'!$B$234="Да",'19_Расчет_аналитики'!AV4504*'01_Вводные'!$B$14,0)</f>
        <v/>
      </c>
      <c r="AX4505">
        <f>IF('01_Вводные'!$B$234="Да",'19_Расчет_аналитики'!AW4504*'01_Вводные'!$B$14,0)</f>
        <v/>
      </c>
      <c r="AY4505">
        <f>IF('01_Вводные'!$B$234="Да",'19_Расчет_аналитики'!AX4504*'01_Вводные'!$B$14,0)</f>
        <v/>
      </c>
      <c r="AZ4505">
        <f>IF('01_Вводные'!$B$234="Да",'19_Расчет_аналитики'!AY4504*'01_Вводные'!$B$14,0)</f>
        <v/>
      </c>
      <c r="BA4505">
        <f>IF('01_Вводные'!$B$234="Да",'19_Расчет_аналитики'!AZ4504*'01_Вводные'!$B$14,0)</f>
        <v/>
      </c>
      <c r="BB4505">
        <f>IF('01_Вводные'!$B$234="Да",'19_Расчет_аналитики'!BA4504*'01_Вводные'!$B$14,0)</f>
        <v/>
      </c>
      <c r="BC4505">
        <f>IF('01_Вводные'!$B$234="Да",'19_Расчет_аналитики'!BB4504*'01_Вводные'!$B$14,0)</f>
        <v/>
      </c>
      <c r="BD4505">
        <f>IF('01_Вводные'!$B$234="Да",'19_Расчет_аналитики'!BC4504*'01_Вводные'!$B$14,0)</f>
        <v/>
      </c>
      <c r="BE4505">
        <f>IF('01_Вводные'!$B$234="Да",'19_Расчет_аналитики'!BD4504*'01_Вводные'!$B$14,0)</f>
        <v/>
      </c>
      <c r="BF4505">
        <f>IF('01_Вводные'!$B$234="Да",'19_Расчет_аналитики'!BE4504*'01_Вводные'!$B$14,0)</f>
        <v/>
      </c>
      <c r="BG4505">
        <f>IF('01_Вводные'!$B$234="Да",'19_Расчет_аналитики'!BF4504*'01_Вводные'!$B$14,0)</f>
        <v/>
      </c>
      <c r="BH4505">
        <f>IF('01_Вводные'!$B$234="Да",'19_Расчет_аналитики'!BG4504*'01_Вводные'!$B$14,0)</f>
        <v/>
      </c>
      <c r="BI4505">
        <f>IF('01_Вводные'!$B$234="Да",'19_Расчет_аналитики'!BH4504*'01_Вводные'!$B$14,0)</f>
        <v/>
      </c>
      <c r="BJ4505">
        <f>IF('01_Вводные'!$B$234="Да",'19_Расчет_аналитики'!BI4504*'01_Вводные'!$B$14,0)</f>
        <v/>
      </c>
      <c r="BK4505">
        <f>IF('01_Вводные'!$B$234="Да",'19_Расчет_аналитики'!BJ4504*'01_Вводные'!$B$14,0)</f>
        <v/>
      </c>
      <c r="BL4505">
        <f>IF('01_Вводные'!$B$234="Да",'19_Расчет_аналитики'!BK4504*'01_Вводные'!$B$14,0)</f>
        <v/>
      </c>
      <c r="BM4505">
        <f>IF('01_Вводные'!$B$234="Да",'19_Расчет_аналитики'!BL4504*'01_Вводные'!$B$14,0)</f>
        <v/>
      </c>
      <c r="BN4505">
        <f>IF('01_Вводные'!$B$234="Да",'19_Расчет_аналитики'!BM4504*'01_Вводные'!$B$14,0)</f>
        <v/>
      </c>
      <c r="BO4505">
        <f>IF('01_Вводные'!$B$234="Да",'19_Расчет_аналитики'!BN4504*'01_Вводные'!$B$14,0)</f>
        <v/>
      </c>
    </row>
    <row r="4506">
      <c r="N4506">
        <f>'06_Сеть_и_дети'!N103</f>
        <v/>
      </c>
      <c r="O4506">
        <f>'06_Сеть_и_дети'!O103</f>
        <v/>
      </c>
      <c r="P4506">
        <f>'06_Сеть_и_дети'!P103</f>
        <v/>
      </c>
      <c r="Q4506">
        <f>'06_Сеть_и_дети'!Q103</f>
        <v/>
      </c>
      <c r="R4506">
        <f>'06_Сеть_и_дети'!R103</f>
        <v/>
      </c>
      <c r="S4506">
        <f>'06_Сеть_и_дети'!S103</f>
        <v/>
      </c>
      <c r="T4506">
        <f>'06_Сеть_и_дети'!T103</f>
        <v/>
      </c>
      <c r="U4506">
        <f>'06_Сеть_и_дети'!U103</f>
        <v/>
      </c>
      <c r="V4506">
        <f>'06_Сеть_и_дети'!V103</f>
        <v/>
      </c>
      <c r="W4506">
        <f>'06_Сеть_и_дети'!W103</f>
        <v/>
      </c>
      <c r="X4506">
        <f>IF('01_Вводные'!$B$234="Да",'19_Расчет_аналитики'!W4505*'01_Вводные'!$B$14,0)</f>
        <v/>
      </c>
      <c r="Y4506">
        <f>IF('01_Вводные'!$B$234="Да",'19_Расчет_аналитики'!X4505*'01_Вводные'!$B$14,0)</f>
        <v/>
      </c>
      <c r="Z4506">
        <f>IF('01_Вводные'!$B$234="Да",'19_Расчет_аналитики'!Y4505*'01_Вводные'!$B$14,0)</f>
        <v/>
      </c>
      <c r="AA4506">
        <f>IF('01_Вводные'!$B$234="Да",'19_Расчет_аналитики'!Z4505*'01_Вводные'!$B$14,0)</f>
        <v/>
      </c>
      <c r="AB4506">
        <f>IF('01_Вводные'!$B$234="Да",'19_Расчет_аналитики'!AA4505*'01_Вводные'!$B$14,0)</f>
        <v/>
      </c>
      <c r="AC4506">
        <f>IF('01_Вводные'!$B$234="Да",'19_Расчет_аналитики'!AB4505*'01_Вводные'!$B$14,0)</f>
        <v/>
      </c>
      <c r="AD4506">
        <f>IF('01_Вводные'!$B$234="Да",'19_Расчет_аналитики'!AC4505*'01_Вводные'!$B$14,0)</f>
        <v/>
      </c>
      <c r="AE4506">
        <f>IF('01_Вводные'!$B$234="Да",'19_Расчет_аналитики'!AD4505*'01_Вводные'!$B$14,0)</f>
        <v/>
      </c>
      <c r="AF4506">
        <f>IF('01_Вводные'!$B$234="Да",'19_Расчет_аналитики'!AE4505*'01_Вводные'!$B$14,0)</f>
        <v/>
      </c>
      <c r="AG4506">
        <f>IF('01_Вводные'!$B$234="Да",'19_Расчет_аналитики'!AF4505*'01_Вводные'!$B$14,0)</f>
        <v/>
      </c>
      <c r="AH4506">
        <f>IF('01_Вводные'!$B$234="Да",'19_Расчет_аналитики'!AG4505*'01_Вводные'!$B$14,0)</f>
        <v/>
      </c>
      <c r="AI4506">
        <f>IF('01_Вводные'!$B$234="Да",'19_Расчет_аналитики'!AH4505*'01_Вводные'!$B$14,0)</f>
        <v/>
      </c>
      <c r="AJ4506">
        <f>IF('01_Вводные'!$B$234="Да",'19_Расчет_аналитики'!AI4505*'01_Вводные'!$B$14,0)</f>
        <v/>
      </c>
      <c r="AK4506">
        <f>IF('01_Вводные'!$B$234="Да",'19_Расчет_аналитики'!AJ4505*'01_Вводные'!$B$14,0)</f>
        <v/>
      </c>
      <c r="AL4506">
        <f>IF('01_Вводные'!$B$234="Да",'19_Расчет_аналитики'!AK4505*'01_Вводные'!$B$14,0)</f>
        <v/>
      </c>
      <c r="AM4506">
        <f>IF('01_Вводные'!$B$234="Да",'19_Расчет_аналитики'!AL4505*'01_Вводные'!$B$14,0)</f>
        <v/>
      </c>
      <c r="AN4506">
        <f>IF('01_Вводные'!$B$234="Да",'19_Расчет_аналитики'!AM4505*'01_Вводные'!$B$14,0)</f>
        <v/>
      </c>
      <c r="AO4506">
        <f>IF('01_Вводные'!$B$234="Да",'19_Расчет_аналитики'!AN4505*'01_Вводные'!$B$14,0)</f>
        <v/>
      </c>
      <c r="AP4506">
        <f>IF('01_Вводные'!$B$234="Да",'19_Расчет_аналитики'!AO4505*'01_Вводные'!$B$14,0)</f>
        <v/>
      </c>
      <c r="AQ4506">
        <f>IF('01_Вводные'!$B$234="Да",'19_Расчет_аналитики'!AP4505*'01_Вводные'!$B$14,0)</f>
        <v/>
      </c>
      <c r="AR4506">
        <f>IF('01_Вводные'!$B$234="Да",'19_Расчет_аналитики'!AQ4505*'01_Вводные'!$B$14,0)</f>
        <v/>
      </c>
      <c r="AS4506">
        <f>IF('01_Вводные'!$B$234="Да",'19_Расчет_аналитики'!AR4505*'01_Вводные'!$B$14,0)</f>
        <v/>
      </c>
      <c r="AT4506">
        <f>IF('01_Вводные'!$B$234="Да",'19_Расчет_аналитики'!AS4505*'01_Вводные'!$B$14,0)</f>
        <v/>
      </c>
      <c r="AU4506">
        <f>IF('01_Вводные'!$B$234="Да",'19_Расчет_аналитики'!AT4505*'01_Вводные'!$B$14,0)</f>
        <v/>
      </c>
      <c r="AV4506">
        <f>IF('01_Вводные'!$B$234="Да",'19_Расчет_аналитики'!AU4505*'01_Вводные'!$B$14,0)</f>
        <v/>
      </c>
      <c r="AW4506">
        <f>IF('01_Вводные'!$B$234="Да",'19_Расчет_аналитики'!AV4505*'01_Вводные'!$B$14,0)</f>
        <v/>
      </c>
      <c r="AX4506">
        <f>IF('01_Вводные'!$B$234="Да",'19_Расчет_аналитики'!AW4505*'01_Вводные'!$B$14,0)</f>
        <v/>
      </c>
      <c r="AY4506">
        <f>IF('01_Вводные'!$B$234="Да",'19_Расчет_аналитики'!AX4505*'01_Вводные'!$B$14,0)</f>
        <v/>
      </c>
      <c r="AZ4506">
        <f>IF('01_Вводные'!$B$234="Да",'19_Расчет_аналитики'!AY4505*'01_Вводные'!$B$14,0)</f>
        <v/>
      </c>
      <c r="BA4506">
        <f>IF('01_Вводные'!$B$234="Да",'19_Расчет_аналитики'!AZ4505*'01_Вводные'!$B$14,0)</f>
        <v/>
      </c>
      <c r="BB4506">
        <f>IF('01_Вводные'!$B$234="Да",'19_Расчет_аналитики'!BA4505*'01_Вводные'!$B$14,0)</f>
        <v/>
      </c>
      <c r="BC4506">
        <f>IF('01_Вводные'!$B$234="Да",'19_Расчет_аналитики'!BB4505*'01_Вводные'!$B$14,0)</f>
        <v/>
      </c>
      <c r="BD4506">
        <f>IF('01_Вводные'!$B$234="Да",'19_Расчет_аналитики'!BC4505*'01_Вводные'!$B$14,0)</f>
        <v/>
      </c>
      <c r="BE4506">
        <f>IF('01_Вводные'!$B$234="Да",'19_Расчет_аналитики'!BD4505*'01_Вводные'!$B$14,0)</f>
        <v/>
      </c>
      <c r="BF4506">
        <f>IF('01_Вводные'!$B$234="Да",'19_Расчет_аналитики'!BE4505*'01_Вводные'!$B$14,0)</f>
        <v/>
      </c>
      <c r="BG4506">
        <f>IF('01_Вводные'!$B$234="Да",'19_Расчет_аналитики'!BF4505*'01_Вводные'!$B$14,0)</f>
        <v/>
      </c>
      <c r="BH4506">
        <f>IF('01_Вводные'!$B$234="Да",'19_Расчет_аналитики'!BG4505*'01_Вводные'!$B$14,0)</f>
        <v/>
      </c>
      <c r="BI4506">
        <f>IF('01_Вводные'!$B$234="Да",'19_Расчет_аналитики'!BH4505*'01_Вводные'!$B$14,0)</f>
        <v/>
      </c>
      <c r="BJ4506">
        <f>IF('01_Вводные'!$B$234="Да",'19_Расчет_аналитики'!BI4505*'01_Вводные'!$B$14,0)</f>
        <v/>
      </c>
      <c r="BK4506">
        <f>IF('01_Вводные'!$B$234="Да",'19_Расчет_аналитики'!BJ4505*'01_Вводные'!$B$14,0)</f>
        <v/>
      </c>
      <c r="BL4506">
        <f>IF('01_Вводные'!$B$234="Да",'19_Расчет_аналитики'!BK4505*'01_Вводные'!$B$14,0)</f>
        <v/>
      </c>
      <c r="BM4506">
        <f>IF('01_Вводные'!$B$234="Да",'19_Расчет_аналитики'!BL4505*'01_Вводные'!$B$14,0)</f>
        <v/>
      </c>
      <c r="BN4506">
        <f>IF('01_Вводные'!$B$234="Да",'19_Расчет_аналитики'!BM4505*'01_Вводные'!$B$14,0)</f>
        <v/>
      </c>
      <c r="BO4506">
        <f>IF('01_Вводные'!$B$234="Да",'19_Расчет_аналитики'!BN4505*'01_Вводные'!$B$14,0)</f>
        <v/>
      </c>
    </row>
    <row r="4507">
      <c r="N4507">
        <f>'06_Сеть_и_дети'!N104</f>
        <v/>
      </c>
      <c r="O4507">
        <f>'06_Сеть_и_дети'!O104</f>
        <v/>
      </c>
      <c r="P4507">
        <f>'06_Сеть_и_дети'!P104</f>
        <v/>
      </c>
      <c r="Q4507">
        <f>'06_Сеть_и_дети'!Q104</f>
        <v/>
      </c>
      <c r="R4507">
        <f>'06_Сеть_и_дети'!R104</f>
        <v/>
      </c>
      <c r="S4507">
        <f>'06_Сеть_и_дети'!S104</f>
        <v/>
      </c>
      <c r="T4507">
        <f>'06_Сеть_и_дети'!T104</f>
        <v/>
      </c>
      <c r="U4507">
        <f>'06_Сеть_и_дети'!U104</f>
        <v/>
      </c>
      <c r="V4507">
        <f>'06_Сеть_и_дети'!V104</f>
        <v/>
      </c>
      <c r="W4507">
        <f>'06_Сеть_и_дети'!W104</f>
        <v/>
      </c>
      <c r="X4507">
        <f>'06_Сеть_и_дети'!X104</f>
        <v/>
      </c>
      <c r="Y4507">
        <f>IF('01_Вводные'!$B$234="Да",'19_Расчет_аналитики'!X4506*'01_Вводные'!$B$14,0)</f>
        <v/>
      </c>
      <c r="Z4507">
        <f>IF('01_Вводные'!$B$234="Да",'19_Расчет_аналитики'!Y4506*'01_Вводные'!$B$14,0)</f>
        <v/>
      </c>
      <c r="AA4507">
        <f>IF('01_Вводные'!$B$234="Да",'19_Расчет_аналитики'!Z4506*'01_Вводные'!$B$14,0)</f>
        <v/>
      </c>
      <c r="AB4507">
        <f>IF('01_Вводные'!$B$234="Да",'19_Расчет_аналитики'!AA4506*'01_Вводные'!$B$14,0)</f>
        <v/>
      </c>
      <c r="AC4507">
        <f>IF('01_Вводные'!$B$234="Да",'19_Расчет_аналитики'!AB4506*'01_Вводные'!$B$14,0)</f>
        <v/>
      </c>
      <c r="AD4507">
        <f>IF('01_Вводные'!$B$234="Да",'19_Расчет_аналитики'!AC4506*'01_Вводные'!$B$14,0)</f>
        <v/>
      </c>
      <c r="AE4507">
        <f>IF('01_Вводные'!$B$234="Да",'19_Расчет_аналитики'!AD4506*'01_Вводные'!$B$14,0)</f>
        <v/>
      </c>
      <c r="AF4507">
        <f>IF('01_Вводные'!$B$234="Да",'19_Расчет_аналитики'!AE4506*'01_Вводные'!$B$14,0)</f>
        <v/>
      </c>
      <c r="AG4507">
        <f>IF('01_Вводные'!$B$234="Да",'19_Расчет_аналитики'!AF4506*'01_Вводные'!$B$14,0)</f>
        <v/>
      </c>
      <c r="AH4507">
        <f>IF('01_Вводные'!$B$234="Да",'19_Расчет_аналитики'!AG4506*'01_Вводные'!$B$14,0)</f>
        <v/>
      </c>
      <c r="AI4507">
        <f>IF('01_Вводные'!$B$234="Да",'19_Расчет_аналитики'!AH4506*'01_Вводные'!$B$14,0)</f>
        <v/>
      </c>
      <c r="AJ4507">
        <f>IF('01_Вводные'!$B$234="Да",'19_Расчет_аналитики'!AI4506*'01_Вводные'!$B$14,0)</f>
        <v/>
      </c>
      <c r="AK4507">
        <f>IF('01_Вводные'!$B$234="Да",'19_Расчет_аналитики'!AJ4506*'01_Вводные'!$B$14,0)</f>
        <v/>
      </c>
      <c r="AL4507">
        <f>IF('01_Вводные'!$B$234="Да",'19_Расчет_аналитики'!AK4506*'01_Вводные'!$B$14,0)</f>
        <v/>
      </c>
      <c r="AM4507">
        <f>IF('01_Вводные'!$B$234="Да",'19_Расчет_аналитики'!AL4506*'01_Вводные'!$B$14,0)</f>
        <v/>
      </c>
      <c r="AN4507">
        <f>IF('01_Вводные'!$B$234="Да",'19_Расчет_аналитики'!AM4506*'01_Вводные'!$B$14,0)</f>
        <v/>
      </c>
      <c r="AO4507">
        <f>IF('01_Вводные'!$B$234="Да",'19_Расчет_аналитики'!AN4506*'01_Вводные'!$B$14,0)</f>
        <v/>
      </c>
      <c r="AP4507">
        <f>IF('01_Вводные'!$B$234="Да",'19_Расчет_аналитики'!AO4506*'01_Вводные'!$B$14,0)</f>
        <v/>
      </c>
      <c r="AQ4507">
        <f>IF('01_Вводные'!$B$234="Да",'19_Расчет_аналитики'!AP4506*'01_Вводные'!$B$14,0)</f>
        <v/>
      </c>
      <c r="AR4507">
        <f>IF('01_Вводные'!$B$234="Да",'19_Расчет_аналитики'!AQ4506*'01_Вводные'!$B$14,0)</f>
        <v/>
      </c>
      <c r="AS4507">
        <f>IF('01_Вводные'!$B$234="Да",'19_Расчет_аналитики'!AR4506*'01_Вводные'!$B$14,0)</f>
        <v/>
      </c>
      <c r="AT4507">
        <f>IF('01_Вводные'!$B$234="Да",'19_Расчет_аналитики'!AS4506*'01_Вводные'!$B$14,0)</f>
        <v/>
      </c>
      <c r="AU4507">
        <f>IF('01_Вводные'!$B$234="Да",'19_Расчет_аналитики'!AT4506*'01_Вводные'!$B$14,0)</f>
        <v/>
      </c>
      <c r="AV4507">
        <f>IF('01_Вводные'!$B$234="Да",'19_Расчет_аналитики'!AU4506*'01_Вводные'!$B$14,0)</f>
        <v/>
      </c>
      <c r="AW4507">
        <f>IF('01_Вводные'!$B$234="Да",'19_Расчет_аналитики'!AV4506*'01_Вводные'!$B$14,0)</f>
        <v/>
      </c>
      <c r="AX4507">
        <f>IF('01_Вводные'!$B$234="Да",'19_Расчет_аналитики'!AW4506*'01_Вводные'!$B$14,0)</f>
        <v/>
      </c>
      <c r="AY4507">
        <f>IF('01_Вводные'!$B$234="Да",'19_Расчет_аналитики'!AX4506*'01_Вводные'!$B$14,0)</f>
        <v/>
      </c>
      <c r="AZ4507">
        <f>IF('01_Вводные'!$B$234="Да",'19_Расчет_аналитики'!AY4506*'01_Вводные'!$B$14,0)</f>
        <v/>
      </c>
      <c r="BA4507">
        <f>IF('01_Вводные'!$B$234="Да",'19_Расчет_аналитики'!AZ4506*'01_Вводные'!$B$14,0)</f>
        <v/>
      </c>
      <c r="BB4507">
        <f>IF('01_Вводные'!$B$234="Да",'19_Расчет_аналитики'!BA4506*'01_Вводные'!$B$14,0)</f>
        <v/>
      </c>
      <c r="BC4507">
        <f>IF('01_Вводные'!$B$234="Да",'19_Расчет_аналитики'!BB4506*'01_Вводные'!$B$14,0)</f>
        <v/>
      </c>
      <c r="BD4507">
        <f>IF('01_Вводные'!$B$234="Да",'19_Расчет_аналитики'!BC4506*'01_Вводные'!$B$14,0)</f>
        <v/>
      </c>
      <c r="BE4507">
        <f>IF('01_Вводные'!$B$234="Да",'19_Расчет_аналитики'!BD4506*'01_Вводные'!$B$14,0)</f>
        <v/>
      </c>
      <c r="BF4507">
        <f>IF('01_Вводные'!$B$234="Да",'19_Расчет_аналитики'!BE4506*'01_Вводные'!$B$14,0)</f>
        <v/>
      </c>
      <c r="BG4507">
        <f>IF('01_Вводные'!$B$234="Да",'19_Расчет_аналитики'!BF4506*'01_Вводные'!$B$14,0)</f>
        <v/>
      </c>
      <c r="BH4507">
        <f>IF('01_Вводные'!$B$234="Да",'19_Расчет_аналитики'!BG4506*'01_Вводные'!$B$14,0)</f>
        <v/>
      </c>
      <c r="BI4507">
        <f>IF('01_Вводные'!$B$234="Да",'19_Расчет_аналитики'!BH4506*'01_Вводные'!$B$14,0)</f>
        <v/>
      </c>
      <c r="BJ4507">
        <f>IF('01_Вводные'!$B$234="Да",'19_Расчет_аналитики'!BI4506*'01_Вводные'!$B$14,0)</f>
        <v/>
      </c>
      <c r="BK4507">
        <f>IF('01_Вводные'!$B$234="Да",'19_Расчет_аналитики'!BJ4506*'01_Вводные'!$B$14,0)</f>
        <v/>
      </c>
      <c r="BL4507">
        <f>IF('01_Вводные'!$B$234="Да",'19_Расчет_аналитики'!BK4506*'01_Вводные'!$B$14,0)</f>
        <v/>
      </c>
      <c r="BM4507">
        <f>IF('01_Вводные'!$B$234="Да",'19_Расчет_аналитики'!BL4506*'01_Вводные'!$B$14,0)</f>
        <v/>
      </c>
      <c r="BN4507">
        <f>IF('01_Вводные'!$B$234="Да",'19_Расчет_аналитики'!BM4506*'01_Вводные'!$B$14,0)</f>
        <v/>
      </c>
      <c r="BO4507">
        <f>IF('01_Вводные'!$B$234="Да",'19_Расчет_аналитики'!BN4506*'01_Вводные'!$B$14,0)</f>
        <v/>
      </c>
    </row>
    <row r="4508">
      <c r="N4508">
        <f>'06_Сеть_и_дети'!N105</f>
        <v/>
      </c>
      <c r="O4508">
        <f>'06_Сеть_и_дети'!O105</f>
        <v/>
      </c>
      <c r="P4508">
        <f>'06_Сеть_и_дети'!P105</f>
        <v/>
      </c>
      <c r="Q4508">
        <f>'06_Сеть_и_дети'!Q105</f>
        <v/>
      </c>
      <c r="R4508">
        <f>'06_Сеть_и_дети'!R105</f>
        <v/>
      </c>
      <c r="S4508">
        <f>'06_Сеть_и_дети'!S105</f>
        <v/>
      </c>
      <c r="T4508">
        <f>'06_Сеть_и_дети'!T105</f>
        <v/>
      </c>
      <c r="U4508">
        <f>'06_Сеть_и_дети'!U105</f>
        <v/>
      </c>
      <c r="V4508">
        <f>'06_Сеть_и_дети'!V105</f>
        <v/>
      </c>
      <c r="W4508">
        <f>'06_Сеть_и_дети'!W105</f>
        <v/>
      </c>
      <c r="X4508">
        <f>'06_Сеть_и_дети'!X105</f>
        <v/>
      </c>
      <c r="Y4508">
        <f>'06_Сеть_и_дети'!Y105</f>
        <v/>
      </c>
      <c r="Z4508">
        <f>IF('01_Вводные'!$B$234="Да",SUM('19_Расчет_аналитики'!Y4507:Y4508)*'01_Вводные'!$B$14,0)</f>
        <v/>
      </c>
      <c r="AA4508">
        <f>IF('01_Вводные'!$B$234="Да",SUM('19_Расчет_аналитики'!Z4507:Z4508)*'01_Вводные'!$B$14,0)</f>
        <v/>
      </c>
      <c r="AB4508">
        <f>IF('01_Вводные'!$B$234="Да",SUM('19_Расчет_аналитики'!AA4507:AA4508)*'01_Вводные'!$B$14,0)</f>
        <v/>
      </c>
      <c r="AC4508">
        <f>IF('01_Вводные'!$B$234="Да",SUM('19_Расчет_аналитики'!AB4507:AB4508)*'01_Вводные'!$B$14,0)</f>
        <v/>
      </c>
      <c r="AD4508">
        <f>IF('01_Вводные'!$B$234="Да",SUM('19_Расчет_аналитики'!AC4507:AC4508)*'01_Вводные'!$B$14,0)</f>
        <v/>
      </c>
      <c r="AE4508">
        <f>IF('01_Вводные'!$B$234="Да",SUM('19_Расчет_аналитики'!AD4507:AD4508)*'01_Вводные'!$B$14,0)</f>
        <v/>
      </c>
      <c r="AF4508">
        <f>IF('01_Вводные'!$B$234="Да",SUM('19_Расчет_аналитики'!AE4507:AE4508)*'01_Вводные'!$B$14,0)</f>
        <v/>
      </c>
      <c r="AG4508">
        <f>IF('01_Вводные'!$B$234="Да",SUM('19_Расчет_аналитики'!AF4507:AF4508)*'01_Вводные'!$B$14,0)</f>
        <v/>
      </c>
      <c r="AH4508">
        <f>IF('01_Вводные'!$B$234="Да",SUM('19_Расчет_аналитики'!AG4507:AG4508)*'01_Вводные'!$B$14,0)</f>
        <v/>
      </c>
      <c r="AI4508">
        <f>IF('01_Вводные'!$B$234="Да",SUM('19_Расчет_аналитики'!AH4507:AH4508)*'01_Вводные'!$B$14,0)</f>
        <v/>
      </c>
      <c r="AJ4508">
        <f>IF('01_Вводные'!$B$234="Да",SUM('19_Расчет_аналитики'!AI4507:AI4508)*'01_Вводные'!$B$14,0)</f>
        <v/>
      </c>
      <c r="AK4508">
        <f>IF('01_Вводные'!$B$234="Да",SUM('19_Расчет_аналитики'!AJ4507:AJ4508)*'01_Вводные'!$B$14,0)</f>
        <v/>
      </c>
      <c r="AL4508">
        <f>IF('01_Вводные'!$B$234="Да",SUM('19_Расчет_аналитики'!AK4507:AK4508)*'01_Вводные'!$B$14,0)</f>
        <v/>
      </c>
      <c r="AM4508">
        <f>IF('01_Вводные'!$B$234="Да",SUM('19_Расчет_аналитики'!AL4507:AL4508)*'01_Вводные'!$B$14,0)</f>
        <v/>
      </c>
      <c r="AN4508">
        <f>IF('01_Вводные'!$B$234="Да",SUM('19_Расчет_аналитики'!AM4507:AM4508)*'01_Вводные'!$B$14,0)</f>
        <v/>
      </c>
      <c r="AO4508">
        <f>IF('01_Вводные'!$B$234="Да",SUM('19_Расчет_аналитики'!AN4507:AN4508)*'01_Вводные'!$B$14,0)</f>
        <v/>
      </c>
      <c r="AP4508">
        <f>IF('01_Вводные'!$B$234="Да",SUM('19_Расчет_аналитики'!AO4507:AO4508)*'01_Вводные'!$B$14,0)</f>
        <v/>
      </c>
      <c r="AQ4508">
        <f>IF('01_Вводные'!$B$234="Да",SUM('19_Расчет_аналитики'!AP4507:AP4508)*'01_Вводные'!$B$14,0)</f>
        <v/>
      </c>
      <c r="AR4508">
        <f>IF('01_Вводные'!$B$234="Да",SUM('19_Расчет_аналитики'!AQ4507:AQ4508)*'01_Вводные'!$B$14,0)</f>
        <v/>
      </c>
      <c r="AS4508">
        <f>IF('01_Вводные'!$B$234="Да",SUM('19_Расчет_аналитики'!AR4507:AR4508)*'01_Вводные'!$B$14,0)</f>
        <v/>
      </c>
      <c r="AT4508">
        <f>IF('01_Вводные'!$B$234="Да",SUM('19_Расчет_аналитики'!AS4507:AS4508)*'01_Вводные'!$B$14,0)</f>
        <v/>
      </c>
      <c r="AU4508">
        <f>IF('01_Вводные'!$B$234="Да",SUM('19_Расчет_аналитики'!AT4507:AT4508)*'01_Вводные'!$B$14,0)</f>
        <v/>
      </c>
      <c r="AV4508">
        <f>IF('01_Вводные'!$B$234="Да",SUM('19_Расчет_аналитики'!AU4507:AU4508)*'01_Вводные'!$B$14,0)</f>
        <v/>
      </c>
      <c r="AW4508">
        <f>IF('01_Вводные'!$B$234="Да",SUM('19_Расчет_аналитики'!AV4507:AV4508)*'01_Вводные'!$B$14,0)</f>
        <v/>
      </c>
      <c r="AX4508">
        <f>IF('01_Вводные'!$B$234="Да",SUM('19_Расчет_аналитики'!AW4507:AW4508)*'01_Вводные'!$B$14,0)</f>
        <v/>
      </c>
      <c r="AY4508">
        <f>IF('01_Вводные'!$B$234="Да",SUM('19_Расчет_аналитики'!AX4507:AX4508)*'01_Вводные'!$B$14,0)</f>
        <v/>
      </c>
      <c r="AZ4508">
        <f>IF('01_Вводные'!$B$234="Да",SUM('19_Расчет_аналитики'!AY4507:AY4508)*'01_Вводные'!$B$14,0)</f>
        <v/>
      </c>
      <c r="BA4508">
        <f>IF('01_Вводные'!$B$234="Да",SUM('19_Расчет_аналитики'!AZ4507:AZ4508)*'01_Вводные'!$B$14,0)</f>
        <v/>
      </c>
      <c r="BB4508">
        <f>IF('01_Вводные'!$B$234="Да",SUM('19_Расчет_аналитики'!BA4507:BA4508)*'01_Вводные'!$B$14,0)</f>
        <v/>
      </c>
      <c r="BC4508">
        <f>IF('01_Вводные'!$B$234="Да",SUM('19_Расчет_аналитики'!BB4507:BB4508)*'01_Вводные'!$B$14,0)</f>
        <v/>
      </c>
      <c r="BD4508">
        <f>IF('01_Вводные'!$B$234="Да",SUM('19_Расчет_аналитики'!BC4507:BC4508)*'01_Вводные'!$B$14,0)</f>
        <v/>
      </c>
      <c r="BE4508">
        <f>IF('01_Вводные'!$B$234="Да",SUM('19_Расчет_аналитики'!BD4507:BD4508)*'01_Вводные'!$B$14,0)</f>
        <v/>
      </c>
      <c r="BF4508">
        <f>IF('01_Вводные'!$B$234="Да",SUM('19_Расчет_аналитики'!BE4507:BE4508)*'01_Вводные'!$B$14,0)</f>
        <v/>
      </c>
      <c r="BG4508">
        <f>IF('01_Вводные'!$B$234="Да",SUM('19_Расчет_аналитики'!BF4507:BF4508)*'01_Вводные'!$B$14,0)</f>
        <v/>
      </c>
      <c r="BH4508">
        <f>IF('01_Вводные'!$B$234="Да",SUM('19_Расчет_аналитики'!BG4507:BG4508)*'01_Вводные'!$B$14,0)</f>
        <v/>
      </c>
      <c r="BI4508">
        <f>IF('01_Вводные'!$B$234="Да",SUM('19_Расчет_аналитики'!BH4507:BH4508)*'01_Вводные'!$B$14,0)</f>
        <v/>
      </c>
      <c r="BJ4508">
        <f>IF('01_Вводные'!$B$234="Да",SUM('19_Расчет_аналитики'!BI4507:BI4508)*'01_Вводные'!$B$14,0)</f>
        <v/>
      </c>
      <c r="BK4508">
        <f>IF('01_Вводные'!$B$234="Да",SUM('19_Расчет_аналитики'!BJ4507:BJ4508)*'01_Вводные'!$B$14,0)</f>
        <v/>
      </c>
      <c r="BL4508">
        <f>IF('01_Вводные'!$B$234="Да",SUM('19_Расчет_аналитики'!BK4507:BK4508)*'01_Вводные'!$B$14,0)</f>
        <v/>
      </c>
      <c r="BM4508">
        <f>IF('01_Вводные'!$B$234="Да",SUM('19_Расчет_аналитики'!BL4507:BL4508)*'01_Вводные'!$B$14,0)</f>
        <v/>
      </c>
      <c r="BN4508">
        <f>IF('01_Вводные'!$B$234="Да",SUM('19_Расчет_аналитики'!BM4507:BM4508)*'01_Вводные'!$B$14,0)</f>
        <v/>
      </c>
      <c r="BO4508">
        <f>IF('01_Вводные'!$B$234="Да",SUM('19_Расчет_аналитики'!BN4507:BN4508)*'01_Вводные'!$B$14,0)</f>
        <v/>
      </c>
    </row>
    <row r="4509"/>
    <row r="4510"/>
    <row r="4511"/>
    <row r="4512">
      <c r="B4512">
        <f>IF('01_Вводные'!$B$234="Да",IF(OR('19_Расчет_аналитики'!B4484=0,1&lt;='01_Вводные'!$B$297),0,'19_Расчет_аналитики'!B4484*IF('01_Вводные'!$B$239="Да",MeanMinAge01+'19_Расчет_аналитики'!B4607*SUMIF(ThresholdAge01,"&lt;"&amp;'19_Расчет_аналитики'!B4607,WeightedRevAge01)-SUMIF(ThresholdAge01,"&lt;"&amp;'19_Расчет_аналитики'!B4607,WeightedMinAge01),MAX(CapacityAge01*'01_Вводные'!$B$218*'19_Расчет_аналитики'!B4607,MeanMinAge01))),0)</f>
        <v/>
      </c>
      <c r="C4512">
        <f>IF('01_Вводные'!$B$234="Да",IF(OR('19_Расчет_аналитики'!C4484=0,1&lt;='01_Вводные'!$B$297),0,'19_Расчет_аналитики'!C4484*IF('01_Вводные'!$B$239="Да",MeanMinAge01+'19_Расчет_аналитики'!C4607*SUMIF(ThresholdAge01,"&lt;"&amp;'19_Расчет_аналитики'!C4607,WeightedRevAge01)-SUMIF(ThresholdAge01,"&lt;"&amp;'19_Расчет_аналитики'!C4607,WeightedMinAge01),MAX(CapacityAge01*'01_Вводные'!$B$218*'19_Расчет_аналитики'!C4607,MeanMinAge01))),0)</f>
        <v/>
      </c>
      <c r="D4512">
        <f>IF('01_Вводные'!$B$234="Да",IF(OR('19_Расчет_аналитики'!D4484=0,1&lt;='01_Вводные'!$B$297),0,'19_Расчет_аналитики'!D4484*IF('01_Вводные'!$B$239="Да",MeanMinAge01+'19_Расчет_аналитики'!D4607*SUMIF(ThresholdAge01,"&lt;"&amp;'19_Расчет_аналитики'!D4607,WeightedRevAge01)-SUMIF(ThresholdAge01,"&lt;"&amp;'19_Расчет_аналитики'!D4607,WeightedMinAge01),MAX(CapacityAge01*'01_Вводные'!$B$218*'19_Расчет_аналитики'!D4607,MeanMinAge01))),0)</f>
        <v/>
      </c>
      <c r="E4512">
        <f>IF('01_Вводные'!$B$234="Да",IF(OR('19_Расчет_аналитики'!E4484=0,1&lt;='01_Вводные'!$B$297),0,'19_Расчет_аналитики'!E4484*IF('01_Вводные'!$B$239="Да",MeanMinAge01+'19_Расчет_аналитики'!E4607*SUMIF(ThresholdAge01,"&lt;"&amp;'19_Расчет_аналитики'!E4607,WeightedRevAge01)-SUMIF(ThresholdAge01,"&lt;"&amp;'19_Расчет_аналитики'!E4607,WeightedMinAge01),MAX(CapacityAge01*'01_Вводные'!$B$218*'19_Расчет_аналитики'!E4607,MeanMinAge01))),0)</f>
        <v/>
      </c>
      <c r="F4512">
        <f>IF('01_Вводные'!$B$234="Да",IF(OR('19_Расчет_аналитики'!F4484=0,1&lt;='01_Вводные'!$B$297),0,'19_Расчет_аналитики'!F4484*IF('01_Вводные'!$B$239="Да",MeanMinAge01+'19_Расчет_аналитики'!F4607*SUMIF(ThresholdAge01,"&lt;"&amp;'19_Расчет_аналитики'!F4607,WeightedRevAge01)-SUMIF(ThresholdAge01,"&lt;"&amp;'19_Расчет_аналитики'!F4607,WeightedMinAge01),MAX(CapacityAge01*'01_Вводные'!$B$218*'19_Расчет_аналитики'!F4607,MeanMinAge01))),0)</f>
        <v/>
      </c>
      <c r="G4512">
        <f>IF('01_Вводные'!$B$234="Да",IF(OR('19_Расчет_аналитики'!G4484=0,1&lt;='01_Вводные'!$B$297),0,'19_Расчет_аналитики'!G4484*IF('01_Вводные'!$B$239="Да",MeanMinAge01+'19_Расчет_аналитики'!G4607*SUMIF(ThresholdAge01,"&lt;"&amp;'19_Расчет_аналитики'!G4607,WeightedRevAge01)-SUMIF(ThresholdAge01,"&lt;"&amp;'19_Расчет_аналитики'!G4607,WeightedMinAge01),MAX(CapacityAge01*'01_Вводные'!$B$218*'19_Расчет_аналитики'!G4607,MeanMinAge01))),0)</f>
        <v/>
      </c>
      <c r="H4512">
        <f>IF('01_Вводные'!$B$234="Да",IF(OR('19_Расчет_аналитики'!H4484=0,1&lt;='01_Вводные'!$B$297),0,'19_Расчет_аналитики'!H4484*IF('01_Вводные'!$B$239="Да",MeanMinAge01+'19_Расчет_аналитики'!H4607*SUMIF(ThresholdAge01,"&lt;"&amp;'19_Расчет_аналитики'!H4607,WeightedRevAge01)-SUMIF(ThresholdAge01,"&lt;"&amp;'19_Расчет_аналитики'!H4607,WeightedMinAge01),MAX(CapacityAge01*'01_Вводные'!$B$218*'19_Расчет_аналитики'!H4607,MeanMinAge01))),0)</f>
        <v/>
      </c>
      <c r="I4512">
        <f>IF('01_Вводные'!$B$234="Да",IF(OR('19_Расчет_аналитики'!I4484=0,1&lt;='01_Вводные'!$B$297),0,'19_Расчет_аналитики'!I4484*IF('01_Вводные'!$B$239="Да",MeanMinAge01+'19_Расчет_аналитики'!I4607*SUMIF(ThresholdAge01,"&lt;"&amp;'19_Расчет_аналитики'!I4607,WeightedRevAge01)-SUMIF(ThresholdAge01,"&lt;"&amp;'19_Расчет_аналитики'!I4607,WeightedMinAge01),MAX(CapacityAge01*'01_Вводные'!$B$218*'19_Расчет_аналитики'!I4607,MeanMinAge01))),0)</f>
        <v/>
      </c>
      <c r="J4512">
        <f>IF('01_Вводные'!$B$234="Да",IF(OR('19_Расчет_аналитики'!J4484=0,1&lt;='01_Вводные'!$B$297),0,'19_Расчет_аналитики'!J4484*IF('01_Вводные'!$B$239="Да",MeanMinAge01+'19_Расчет_аналитики'!J4607*SUMIF(ThresholdAge01,"&lt;"&amp;'19_Расчет_аналитики'!J4607,WeightedRevAge01)-SUMIF(ThresholdAge01,"&lt;"&amp;'19_Расчет_аналитики'!J4607,WeightedMinAge01),MAX(CapacityAge01*'01_Вводные'!$B$218*'19_Расчет_аналитики'!J4607,MeanMinAge01))),0)</f>
        <v/>
      </c>
      <c r="K4512">
        <f>IF('01_Вводные'!$B$234="Да",IF(OR('19_Расчет_аналитики'!K4484=0,1&lt;='01_Вводные'!$B$297),0,'19_Расчет_аналитики'!K4484*IF('01_Вводные'!$B$239="Да",MeanMinAge01+'19_Расчет_аналитики'!K4607*SUMIF(ThresholdAge01,"&lt;"&amp;'19_Расчет_аналитики'!K4607,WeightedRevAge01)-SUMIF(ThresholdAge01,"&lt;"&amp;'19_Расчет_аналитики'!K4607,WeightedMinAge01),MAX(CapacityAge01*'01_Вводные'!$B$218*'19_Расчет_аналитики'!K4607,MeanMinAge01))),0)</f>
        <v/>
      </c>
      <c r="L4512">
        <f>IF('01_Вводные'!$B$234="Да",IF(OR('19_Расчет_аналитики'!L4484=0,1&lt;='01_Вводные'!$B$297),0,'19_Расчет_аналитики'!L4484*IF('01_Вводные'!$B$239="Да",MeanMinAge01+'19_Расчет_аналитики'!L4607*SUMIF(ThresholdAge01,"&lt;"&amp;'19_Расчет_аналитики'!L4607,WeightedRevAge01)-SUMIF(ThresholdAge01,"&lt;"&amp;'19_Расчет_аналитики'!L4607,WeightedMinAge01),MAX(CapacityAge01*'01_Вводные'!$B$218*'19_Расчет_аналитики'!L4607,MeanMinAge01))),0)</f>
        <v/>
      </c>
      <c r="M4512">
        <f>IF('01_Вводные'!$B$234="Да",IF(OR('19_Расчет_аналитики'!M4484=0,1&lt;='01_Вводные'!$B$297),0,'19_Расчет_аналитики'!M4484*IF('01_Вводные'!$B$239="Да",MeanMinAge01+'19_Расчет_аналитики'!M4607*SUMIF(ThresholdAge01,"&lt;"&amp;'19_Расчет_аналитики'!M4607,WeightedRevAge01)-SUMIF(ThresholdAge01,"&lt;"&amp;'19_Расчет_аналитики'!M4607,WeightedMinAge01),MAX(CapacityAge01*'01_Вводные'!$B$218*'19_Расчет_аналитики'!M4607,MeanMinAge01))),0)</f>
        <v/>
      </c>
      <c r="N4512">
        <f>IF('01_Вводные'!$B$234="Да",IF(OR('19_Расчет_аналитики'!N4484=0,1&lt;='01_Вводные'!$B$297),0,'19_Расчет_аналитики'!N4484*IF('01_Вводные'!$B$239="Да",MeanMinAge01+'19_Расчет_аналитики'!N4607*SUMIF(ThresholdAge01,"&lt;"&amp;'19_Расчет_аналитики'!N4607,WeightedRevAge01)-SUMIF(ThresholdAge01,"&lt;"&amp;'19_Расчет_аналитики'!N4607,WeightedMinAge01),MAX(CapacityAge01*'01_Вводные'!$B$218*'19_Расчет_аналитики'!N4607,MeanMinAge01))),0)</f>
        <v/>
      </c>
      <c r="O4512">
        <f>IF('01_Вводные'!$B$234="Да",IF(OR('19_Расчет_аналитики'!O4484=0,1&lt;='01_Вводные'!$B$297),0,'19_Расчет_аналитики'!O4484*IF('01_Вводные'!$B$239="Да",MeanMinAge01+'19_Расчет_аналитики'!O4607*SUMIF(ThresholdAge01,"&lt;"&amp;'19_Расчет_аналитики'!O4607,WeightedRevAge01)-SUMIF(ThresholdAge01,"&lt;"&amp;'19_Расчет_аналитики'!O4607,WeightedMinAge01),MAX(CapacityAge01*'01_Вводные'!$B$218*'19_Расчет_аналитики'!O4607,MeanMinAge01))),0)</f>
        <v/>
      </c>
      <c r="P4512">
        <f>IF('01_Вводные'!$B$234="Да",IF(OR('19_Расчет_аналитики'!P4484=0,1&lt;='01_Вводные'!$B$297),0,'19_Расчет_аналитики'!P4484*IF('01_Вводные'!$B$239="Да",MeanMinAge01+'19_Расчет_аналитики'!P4607*SUMIF(ThresholdAge01,"&lt;"&amp;'19_Расчет_аналитики'!P4607,WeightedRevAge01)-SUMIF(ThresholdAge01,"&lt;"&amp;'19_Расчет_аналитики'!P4607,WeightedMinAge01),MAX(CapacityAge01*'01_Вводные'!$B$218*'19_Расчет_аналитики'!P4607,MeanMinAge01))),0)</f>
        <v/>
      </c>
      <c r="Q4512">
        <f>IF('01_Вводные'!$B$234="Да",IF(OR('19_Расчет_аналитики'!Q4484=0,1&lt;='01_Вводные'!$B$297),0,'19_Расчет_аналитики'!Q4484*IF('01_Вводные'!$B$239="Да",MeanMinAge01+'19_Расчет_аналитики'!Q4607*SUMIF(ThresholdAge01,"&lt;"&amp;'19_Расчет_аналитики'!Q4607,WeightedRevAge01)-SUMIF(ThresholdAge01,"&lt;"&amp;'19_Расчет_аналитики'!Q4607,WeightedMinAge01),MAX(CapacityAge01*'01_Вводные'!$B$218*'19_Расчет_аналитики'!Q4607,MeanMinAge01))),0)</f>
        <v/>
      </c>
      <c r="R4512">
        <f>IF('01_Вводные'!$B$234="Да",IF(OR('19_Расчет_аналитики'!R4484=0,1&lt;='01_Вводные'!$B$297),0,'19_Расчет_аналитики'!R4484*IF('01_Вводные'!$B$239="Да",MeanMinAge01+'19_Расчет_аналитики'!R4607*SUMIF(ThresholdAge01,"&lt;"&amp;'19_Расчет_аналитики'!R4607,WeightedRevAge01)-SUMIF(ThresholdAge01,"&lt;"&amp;'19_Расчет_аналитики'!R4607,WeightedMinAge01),MAX(CapacityAge01*'01_Вводные'!$B$218*'19_Расчет_аналитики'!R4607,MeanMinAge01))),0)</f>
        <v/>
      </c>
      <c r="S4512">
        <f>IF('01_Вводные'!$B$234="Да",IF(OR('19_Расчет_аналитики'!S4484=0,1&lt;='01_Вводные'!$B$297),0,'19_Расчет_аналитики'!S4484*IF('01_Вводные'!$B$239="Да",MeanMinAge01+'19_Расчет_аналитики'!S4607*SUMIF(ThresholdAge01,"&lt;"&amp;'19_Расчет_аналитики'!S4607,WeightedRevAge01)-SUMIF(ThresholdAge01,"&lt;"&amp;'19_Расчет_аналитики'!S4607,WeightedMinAge01),MAX(CapacityAge01*'01_Вводные'!$B$218*'19_Расчет_аналитики'!S4607,MeanMinAge01))),0)</f>
        <v/>
      </c>
      <c r="T4512">
        <f>IF('01_Вводные'!$B$234="Да",IF(OR('19_Расчет_аналитики'!T4484=0,1&lt;='01_Вводные'!$B$297),0,'19_Расчет_аналитики'!T4484*IF('01_Вводные'!$B$239="Да",MeanMinAge01+'19_Расчет_аналитики'!T4607*SUMIF(ThresholdAge01,"&lt;"&amp;'19_Расчет_аналитики'!T4607,WeightedRevAge01)-SUMIF(ThresholdAge01,"&lt;"&amp;'19_Расчет_аналитики'!T4607,WeightedMinAge01),MAX(CapacityAge01*'01_Вводные'!$B$218*'19_Расчет_аналитики'!T4607,MeanMinAge01))),0)</f>
        <v/>
      </c>
      <c r="U4512">
        <f>IF('01_Вводные'!$B$234="Да",IF(OR('19_Расчет_аналитики'!U4484=0,1&lt;='01_Вводные'!$B$297),0,'19_Расчет_аналитики'!U4484*IF('01_Вводные'!$B$239="Да",MeanMinAge01+'19_Расчет_аналитики'!U4607*SUMIF(ThresholdAge01,"&lt;"&amp;'19_Расчет_аналитики'!U4607,WeightedRevAge01)-SUMIF(ThresholdAge01,"&lt;"&amp;'19_Расчет_аналитики'!U4607,WeightedMinAge01),MAX(CapacityAge01*'01_Вводные'!$B$218*'19_Расчет_аналитики'!U4607,MeanMinAge01))),0)</f>
        <v/>
      </c>
      <c r="V4512">
        <f>IF('01_Вводные'!$B$234="Да",IF(OR('19_Расчет_аналитики'!V4484=0,1&lt;='01_Вводные'!$B$297),0,'19_Расчет_аналитики'!V4484*IF('01_Вводные'!$B$239="Да",MeanMinAge01+'19_Расчет_аналитики'!V4607*SUMIF(ThresholdAge01,"&lt;"&amp;'19_Расчет_аналитики'!V4607,WeightedRevAge01)-SUMIF(ThresholdAge01,"&lt;"&amp;'19_Расчет_аналитики'!V4607,WeightedMinAge01),MAX(CapacityAge01*'01_Вводные'!$B$218*'19_Расчет_аналитики'!V4607,MeanMinAge01))),0)</f>
        <v/>
      </c>
      <c r="W4512">
        <f>IF('01_Вводные'!$B$234="Да",IF(OR('19_Расчет_аналитики'!W4484=0,1&lt;='01_Вводные'!$B$297),0,'19_Расчет_аналитики'!W4484*IF('01_Вводные'!$B$239="Да",MeanMinAge01+'19_Расчет_аналитики'!W4607*SUMIF(ThresholdAge01,"&lt;"&amp;'19_Расчет_аналитики'!W4607,WeightedRevAge01)-SUMIF(ThresholdAge01,"&lt;"&amp;'19_Расчет_аналитики'!W4607,WeightedMinAge01),MAX(CapacityAge01*'01_Вводные'!$B$218*'19_Расчет_аналитики'!W4607,MeanMinAge01))),0)</f>
        <v/>
      </c>
      <c r="X4512">
        <f>IF('01_Вводные'!$B$234="Да",IF(OR('19_Расчет_аналитики'!X4484=0,1&lt;='01_Вводные'!$B$297),0,'19_Расчет_аналитики'!X4484*IF('01_Вводные'!$B$239="Да",MeanMinAge01+'19_Расчет_аналитики'!X4607*SUMIF(ThresholdAge01,"&lt;"&amp;'19_Расчет_аналитики'!X4607,WeightedRevAge01)-SUMIF(ThresholdAge01,"&lt;"&amp;'19_Расчет_аналитики'!X4607,WeightedMinAge01),MAX(CapacityAge01*'01_Вводные'!$B$218*'19_Расчет_аналитики'!X4607,MeanMinAge01))),0)</f>
        <v/>
      </c>
      <c r="Y4512">
        <f>IF('01_Вводные'!$B$234="Да",IF(OR('19_Расчет_аналитики'!Y4484=0,1&lt;='01_Вводные'!$B$297),0,'19_Расчет_аналитики'!Y4484*IF('01_Вводные'!$B$239="Да",MeanMinAge01+'19_Расчет_аналитики'!Y4607*SUMIF(ThresholdAge01,"&lt;"&amp;'19_Расчет_аналитики'!Y4607,WeightedRevAge01)-SUMIF(ThresholdAge01,"&lt;"&amp;'19_Расчет_аналитики'!Y4607,WeightedMinAge01),MAX(CapacityAge01*'01_Вводные'!$B$218*'19_Расчет_аналитики'!Y4607,MeanMinAge01))),0)</f>
        <v/>
      </c>
      <c r="Z4512">
        <f>IF('01_Вводные'!$B$234="Да",IF(OR('19_Расчет_аналитики'!Z4484=0,1&lt;='01_Вводные'!$B$297),0,'19_Расчет_аналитики'!Z4484*IF('01_Вводные'!$B$239="Да",MeanMinAge01+'19_Расчет_аналитики'!Z4607*SUMIF(ThresholdAge01,"&lt;"&amp;'19_Расчет_аналитики'!Z4607,WeightedRevAge01)-SUMIF(ThresholdAge01,"&lt;"&amp;'19_Расчет_аналитики'!Z4607,WeightedMinAge01),MAX(CapacityAge01*'01_Вводные'!$B$218*'19_Расчет_аналитики'!Z4607,MeanMinAge01))),0)</f>
        <v/>
      </c>
      <c r="AA4512">
        <f>IF('01_Вводные'!$B$234="Да",IF(OR('19_Расчет_аналитики'!AA4484=0,1&lt;='01_Вводные'!$B$297),0,'19_Расчет_аналитики'!AA4484*IF('01_Вводные'!$B$239="Да",MeanMinAge01+'19_Расчет_аналитики'!AA4607*SUMIF(ThresholdAge01,"&lt;"&amp;'19_Расчет_аналитики'!AA4607,WeightedRevAge01)-SUMIF(ThresholdAge01,"&lt;"&amp;'19_Расчет_аналитики'!AA4607,WeightedMinAge01),MAX(CapacityAge01*'01_Вводные'!$B$218*'19_Расчет_аналитики'!AA4607,MeanMinAge01))),0)</f>
        <v/>
      </c>
      <c r="AB4512">
        <f>IF('01_Вводные'!$B$234="Да",IF(OR('19_Расчет_аналитики'!AB4484=0,1&lt;='01_Вводные'!$B$297),0,'19_Расчет_аналитики'!AB4484*IF('01_Вводные'!$B$239="Да",MeanMinAge01+'19_Расчет_аналитики'!AB4607*SUMIF(ThresholdAge01,"&lt;"&amp;'19_Расчет_аналитики'!AB4607,WeightedRevAge01)-SUMIF(ThresholdAge01,"&lt;"&amp;'19_Расчет_аналитики'!AB4607,WeightedMinAge01),MAX(CapacityAge01*'01_Вводные'!$B$218*'19_Расчет_аналитики'!AB4607,MeanMinAge01))),0)</f>
        <v/>
      </c>
      <c r="AC4512">
        <f>IF('01_Вводные'!$B$234="Да",IF(OR('19_Расчет_аналитики'!AC4484=0,1&lt;='01_Вводные'!$B$297),0,'19_Расчет_аналитики'!AC4484*IF('01_Вводные'!$B$239="Да",MeanMinAge01+'19_Расчет_аналитики'!AC4607*SUMIF(ThresholdAge01,"&lt;"&amp;'19_Расчет_аналитики'!AC4607,WeightedRevAge01)-SUMIF(ThresholdAge01,"&lt;"&amp;'19_Расчет_аналитики'!AC4607,WeightedMinAge01),MAX(CapacityAge01*'01_Вводные'!$B$218*'19_Расчет_аналитики'!AC4607,MeanMinAge01))),0)</f>
        <v/>
      </c>
      <c r="AD4512">
        <f>IF('01_Вводные'!$B$234="Да",IF(OR('19_Расчет_аналитики'!AD4484=0,1&lt;='01_Вводные'!$B$297),0,'19_Расчет_аналитики'!AD4484*IF('01_Вводные'!$B$239="Да",MeanMinAge01+'19_Расчет_аналитики'!AD4607*SUMIF(ThresholdAge01,"&lt;"&amp;'19_Расчет_аналитики'!AD4607,WeightedRevAge01)-SUMIF(ThresholdAge01,"&lt;"&amp;'19_Расчет_аналитики'!AD4607,WeightedMinAge01),MAX(CapacityAge01*'01_Вводные'!$B$218*'19_Расчет_аналитики'!AD4607,MeanMinAge01))),0)</f>
        <v/>
      </c>
      <c r="AE4512">
        <f>IF('01_Вводные'!$B$234="Да",IF(OR('19_Расчет_аналитики'!AE4484=0,1&lt;='01_Вводные'!$B$297),0,'19_Расчет_аналитики'!AE4484*IF('01_Вводные'!$B$239="Да",MeanMinAge01+'19_Расчет_аналитики'!AE4607*SUMIF(ThresholdAge01,"&lt;"&amp;'19_Расчет_аналитики'!AE4607,WeightedRevAge01)-SUMIF(ThresholdAge01,"&lt;"&amp;'19_Расчет_аналитики'!AE4607,WeightedMinAge01),MAX(CapacityAge01*'01_Вводные'!$B$218*'19_Расчет_аналитики'!AE4607,MeanMinAge01))),0)</f>
        <v/>
      </c>
      <c r="AF4512">
        <f>IF('01_Вводные'!$B$234="Да",IF(OR('19_Расчет_аналитики'!AF4484=0,1&lt;='01_Вводные'!$B$297),0,'19_Расчет_аналитики'!AF4484*IF('01_Вводные'!$B$239="Да",MeanMinAge01+'19_Расчет_аналитики'!AF4607*SUMIF(ThresholdAge01,"&lt;"&amp;'19_Расчет_аналитики'!AF4607,WeightedRevAge01)-SUMIF(ThresholdAge01,"&lt;"&amp;'19_Расчет_аналитики'!AF4607,WeightedMinAge01),MAX(CapacityAge01*'01_Вводные'!$B$218*'19_Расчет_аналитики'!AF4607,MeanMinAge01))),0)</f>
        <v/>
      </c>
      <c r="AG4512">
        <f>IF('01_Вводные'!$B$234="Да",IF(OR('19_Расчет_аналитики'!AG4484=0,1&lt;='01_Вводные'!$B$297),0,'19_Расчет_аналитики'!AG4484*IF('01_Вводные'!$B$239="Да",MeanMinAge01+'19_Расчет_аналитики'!AG4607*SUMIF(ThresholdAge01,"&lt;"&amp;'19_Расчет_аналитики'!AG4607,WeightedRevAge01)-SUMIF(ThresholdAge01,"&lt;"&amp;'19_Расчет_аналитики'!AG4607,WeightedMinAge01),MAX(CapacityAge01*'01_Вводные'!$B$218*'19_Расчет_аналитики'!AG4607,MeanMinAge01))),0)</f>
        <v/>
      </c>
      <c r="AH4512">
        <f>IF('01_Вводные'!$B$234="Да",IF(OR('19_Расчет_аналитики'!AH4484=0,1&lt;='01_Вводные'!$B$297),0,'19_Расчет_аналитики'!AH4484*IF('01_Вводные'!$B$239="Да",MeanMinAge01+'19_Расчет_аналитики'!AH4607*SUMIF(ThresholdAge01,"&lt;"&amp;'19_Расчет_аналитики'!AH4607,WeightedRevAge01)-SUMIF(ThresholdAge01,"&lt;"&amp;'19_Расчет_аналитики'!AH4607,WeightedMinAge01),MAX(CapacityAge01*'01_Вводные'!$B$218*'19_Расчет_аналитики'!AH4607,MeanMinAge01))),0)</f>
        <v/>
      </c>
      <c r="AI4512">
        <f>IF('01_Вводные'!$B$234="Да",IF(OR('19_Расчет_аналитики'!AI4484=0,1&lt;='01_Вводные'!$B$297),0,'19_Расчет_аналитики'!AI4484*IF('01_Вводные'!$B$239="Да",MeanMinAge01+'19_Расчет_аналитики'!AI4607*SUMIF(ThresholdAge01,"&lt;"&amp;'19_Расчет_аналитики'!AI4607,WeightedRevAge01)-SUMIF(ThresholdAge01,"&lt;"&amp;'19_Расчет_аналитики'!AI4607,WeightedMinAge01),MAX(CapacityAge01*'01_Вводные'!$B$218*'19_Расчет_аналитики'!AI4607,MeanMinAge01))),0)</f>
        <v/>
      </c>
      <c r="AJ4512">
        <f>IF('01_Вводные'!$B$234="Да",IF(OR('19_Расчет_аналитики'!AJ4484=0,1&lt;='01_Вводные'!$B$297),0,'19_Расчет_аналитики'!AJ4484*IF('01_Вводные'!$B$239="Да",MeanMinAge01+'19_Расчет_аналитики'!AJ4607*SUMIF(ThresholdAge01,"&lt;"&amp;'19_Расчет_аналитики'!AJ4607,WeightedRevAge01)-SUMIF(ThresholdAge01,"&lt;"&amp;'19_Расчет_аналитики'!AJ4607,WeightedMinAge01),MAX(CapacityAge01*'01_Вводные'!$B$218*'19_Расчет_аналитики'!AJ4607,MeanMinAge01))),0)</f>
        <v/>
      </c>
      <c r="AK4512">
        <f>IF('01_Вводные'!$B$234="Да",IF(OR('19_Расчет_аналитики'!AK4484=0,1&lt;='01_Вводные'!$B$297),0,'19_Расчет_аналитики'!AK4484*IF('01_Вводные'!$B$239="Да",MeanMinAge01+'19_Расчет_аналитики'!AK4607*SUMIF(ThresholdAge01,"&lt;"&amp;'19_Расчет_аналитики'!AK4607,WeightedRevAge01)-SUMIF(ThresholdAge01,"&lt;"&amp;'19_Расчет_аналитики'!AK4607,WeightedMinAge01),MAX(CapacityAge01*'01_Вводные'!$B$218*'19_Расчет_аналитики'!AK4607,MeanMinAge01))),0)</f>
        <v/>
      </c>
      <c r="AL4512">
        <f>IF('01_Вводные'!$B$234="Да",IF(OR('19_Расчет_аналитики'!AL4484=0,1&lt;='01_Вводные'!$B$297),0,'19_Расчет_аналитики'!AL4484*IF('01_Вводные'!$B$239="Да",MeanMinAge01+'19_Расчет_аналитики'!AL4607*SUMIF(ThresholdAge01,"&lt;"&amp;'19_Расчет_аналитики'!AL4607,WeightedRevAge01)-SUMIF(ThresholdAge01,"&lt;"&amp;'19_Расчет_аналитики'!AL4607,WeightedMinAge01),MAX(CapacityAge01*'01_Вводные'!$B$218*'19_Расчет_аналитики'!AL4607,MeanMinAge01))),0)</f>
        <v/>
      </c>
      <c r="AM4512">
        <f>IF('01_Вводные'!$B$234="Да",IF(OR('19_Расчет_аналитики'!AM4484=0,1&lt;='01_Вводные'!$B$297),0,'19_Расчет_аналитики'!AM4484*IF('01_Вводные'!$B$239="Да",MeanMinAge01+'19_Расчет_аналитики'!AM4607*SUMIF(ThresholdAge01,"&lt;"&amp;'19_Расчет_аналитики'!AM4607,WeightedRevAge01)-SUMIF(ThresholdAge01,"&lt;"&amp;'19_Расчет_аналитики'!AM4607,WeightedMinAge01),MAX(CapacityAge01*'01_Вводные'!$B$218*'19_Расчет_аналитики'!AM4607,MeanMinAge01))),0)</f>
        <v/>
      </c>
      <c r="AN4512">
        <f>IF('01_Вводные'!$B$234="Да",IF(OR('19_Расчет_аналитики'!AN4484=0,1&lt;='01_Вводные'!$B$297),0,'19_Расчет_аналитики'!AN4484*IF('01_Вводные'!$B$239="Да",MeanMinAge01+'19_Расчет_аналитики'!AN4607*SUMIF(ThresholdAge01,"&lt;"&amp;'19_Расчет_аналитики'!AN4607,WeightedRevAge01)-SUMIF(ThresholdAge01,"&lt;"&amp;'19_Расчет_аналитики'!AN4607,WeightedMinAge01),MAX(CapacityAge01*'01_Вводные'!$B$218*'19_Расчет_аналитики'!AN4607,MeanMinAge01))),0)</f>
        <v/>
      </c>
      <c r="AO4512">
        <f>IF('01_Вводные'!$B$234="Да",IF(OR('19_Расчет_аналитики'!AO4484=0,1&lt;='01_Вводные'!$B$297),0,'19_Расчет_аналитики'!AO4484*IF('01_Вводные'!$B$239="Да",MeanMinAge01+'19_Расчет_аналитики'!AO4607*SUMIF(ThresholdAge01,"&lt;"&amp;'19_Расчет_аналитики'!AO4607,WeightedRevAge01)-SUMIF(ThresholdAge01,"&lt;"&amp;'19_Расчет_аналитики'!AO4607,WeightedMinAge01),MAX(CapacityAge01*'01_Вводные'!$B$218*'19_Расчет_аналитики'!AO4607,MeanMinAge01))),0)</f>
        <v/>
      </c>
      <c r="AP4512">
        <f>IF('01_Вводные'!$B$234="Да",IF(OR('19_Расчет_аналитики'!AP4484=0,1&lt;='01_Вводные'!$B$297),0,'19_Расчет_аналитики'!AP4484*IF('01_Вводные'!$B$239="Да",MeanMinAge01+'19_Расчет_аналитики'!AP4607*SUMIF(ThresholdAge01,"&lt;"&amp;'19_Расчет_аналитики'!AP4607,WeightedRevAge01)-SUMIF(ThresholdAge01,"&lt;"&amp;'19_Расчет_аналитики'!AP4607,WeightedMinAge01),MAX(CapacityAge01*'01_Вводные'!$B$218*'19_Расчет_аналитики'!AP4607,MeanMinAge01))),0)</f>
        <v/>
      </c>
      <c r="AQ4512">
        <f>IF('01_Вводные'!$B$234="Да",IF(OR('19_Расчет_аналитики'!AQ4484=0,1&lt;='01_Вводные'!$B$297),0,'19_Расчет_аналитики'!AQ4484*IF('01_Вводные'!$B$239="Да",MeanMinAge01+'19_Расчет_аналитики'!AQ4607*SUMIF(ThresholdAge01,"&lt;"&amp;'19_Расчет_аналитики'!AQ4607,WeightedRevAge01)-SUMIF(ThresholdAge01,"&lt;"&amp;'19_Расчет_аналитики'!AQ4607,WeightedMinAge01),MAX(CapacityAge01*'01_Вводные'!$B$218*'19_Расчет_аналитики'!AQ4607,MeanMinAge01))),0)</f>
        <v/>
      </c>
      <c r="AR4512">
        <f>IF('01_Вводные'!$B$234="Да",IF(OR('19_Расчет_аналитики'!AR4484=0,1&lt;='01_Вводные'!$B$297),0,'19_Расчет_аналитики'!AR4484*IF('01_Вводные'!$B$239="Да",MeanMinAge01+'19_Расчет_аналитики'!AR4607*SUMIF(ThresholdAge01,"&lt;"&amp;'19_Расчет_аналитики'!AR4607,WeightedRevAge01)-SUMIF(ThresholdAge01,"&lt;"&amp;'19_Расчет_аналитики'!AR4607,WeightedMinAge01),MAX(CapacityAge01*'01_Вводные'!$B$218*'19_Расчет_аналитики'!AR4607,MeanMinAge01))),0)</f>
        <v/>
      </c>
      <c r="AS4512">
        <f>IF('01_Вводные'!$B$234="Да",IF(OR('19_Расчет_аналитики'!AS4484=0,1&lt;='01_Вводные'!$B$297),0,'19_Расчет_аналитики'!AS4484*IF('01_Вводные'!$B$239="Да",MeanMinAge01+'19_Расчет_аналитики'!AS4607*SUMIF(ThresholdAge01,"&lt;"&amp;'19_Расчет_аналитики'!AS4607,WeightedRevAge01)-SUMIF(ThresholdAge01,"&lt;"&amp;'19_Расчет_аналитики'!AS4607,WeightedMinAge01),MAX(CapacityAge01*'01_Вводные'!$B$218*'19_Расчет_аналитики'!AS4607,MeanMinAge01))),0)</f>
        <v/>
      </c>
      <c r="AT4512">
        <f>IF('01_Вводные'!$B$234="Да",IF(OR('19_Расчет_аналитики'!AT4484=0,1&lt;='01_Вводные'!$B$297),0,'19_Расчет_аналитики'!AT4484*IF('01_Вводные'!$B$239="Да",MeanMinAge01+'19_Расчет_аналитики'!AT4607*SUMIF(ThresholdAge01,"&lt;"&amp;'19_Расчет_аналитики'!AT4607,WeightedRevAge01)-SUMIF(ThresholdAge01,"&lt;"&amp;'19_Расчет_аналитики'!AT4607,WeightedMinAge01),MAX(CapacityAge01*'01_Вводные'!$B$218*'19_Расчет_аналитики'!AT4607,MeanMinAge01))),0)</f>
        <v/>
      </c>
      <c r="AU4512">
        <f>IF('01_Вводные'!$B$234="Да",IF(OR('19_Расчет_аналитики'!AU4484=0,1&lt;='01_Вводные'!$B$297),0,'19_Расчет_аналитики'!AU4484*IF('01_Вводные'!$B$239="Да",MeanMinAge01+'19_Расчет_аналитики'!AU4607*SUMIF(ThresholdAge01,"&lt;"&amp;'19_Расчет_аналитики'!AU4607,WeightedRevAge01)-SUMIF(ThresholdAge01,"&lt;"&amp;'19_Расчет_аналитики'!AU4607,WeightedMinAge01),MAX(CapacityAge01*'01_Вводные'!$B$218*'19_Расчет_аналитики'!AU4607,MeanMinAge01))),0)</f>
        <v/>
      </c>
      <c r="AV4512">
        <f>IF('01_Вводные'!$B$234="Да",IF(OR('19_Расчет_аналитики'!AV4484=0,1&lt;='01_Вводные'!$B$297),0,'19_Расчет_аналитики'!AV4484*IF('01_Вводные'!$B$239="Да",MeanMinAge01+'19_Расчет_аналитики'!AV4607*SUMIF(ThresholdAge01,"&lt;"&amp;'19_Расчет_аналитики'!AV4607,WeightedRevAge01)-SUMIF(ThresholdAge01,"&lt;"&amp;'19_Расчет_аналитики'!AV4607,WeightedMinAge01),MAX(CapacityAge01*'01_Вводные'!$B$218*'19_Расчет_аналитики'!AV4607,MeanMinAge01))),0)</f>
        <v/>
      </c>
      <c r="AW4512">
        <f>IF('01_Вводные'!$B$234="Да",IF(OR('19_Расчет_аналитики'!AW4484=0,1&lt;='01_Вводные'!$B$297),0,'19_Расчет_аналитики'!AW4484*IF('01_Вводные'!$B$239="Да",MeanMinAge01+'19_Расчет_аналитики'!AW4607*SUMIF(ThresholdAge01,"&lt;"&amp;'19_Расчет_аналитики'!AW4607,WeightedRevAge01)-SUMIF(ThresholdAge01,"&lt;"&amp;'19_Расчет_аналитики'!AW4607,WeightedMinAge01),MAX(CapacityAge01*'01_Вводные'!$B$218*'19_Расчет_аналитики'!AW4607,MeanMinAge01))),0)</f>
        <v/>
      </c>
      <c r="AX4512">
        <f>IF('01_Вводные'!$B$234="Да",IF(OR('19_Расчет_аналитики'!AX4484=0,1&lt;='01_Вводные'!$B$297),0,'19_Расчет_аналитики'!AX4484*IF('01_Вводные'!$B$239="Да",MeanMinAge01+'19_Расчет_аналитики'!AX4607*SUMIF(ThresholdAge01,"&lt;"&amp;'19_Расчет_аналитики'!AX4607,WeightedRevAge01)-SUMIF(ThresholdAge01,"&lt;"&amp;'19_Расчет_аналитики'!AX4607,WeightedMinAge01),MAX(CapacityAge01*'01_Вводные'!$B$218*'19_Расчет_аналитики'!AX4607,MeanMinAge01))),0)</f>
        <v/>
      </c>
      <c r="AY4512">
        <f>IF('01_Вводные'!$B$234="Да",IF(OR('19_Расчет_аналитики'!AY4484=0,1&lt;='01_Вводные'!$B$297),0,'19_Расчет_аналитики'!AY4484*IF('01_Вводные'!$B$239="Да",MeanMinAge01+'19_Расчет_аналитики'!AY4607*SUMIF(ThresholdAge01,"&lt;"&amp;'19_Расчет_аналитики'!AY4607,WeightedRevAge01)-SUMIF(ThresholdAge01,"&lt;"&amp;'19_Расчет_аналитики'!AY4607,WeightedMinAge01),MAX(CapacityAge01*'01_Вводные'!$B$218*'19_Расчет_аналитики'!AY4607,MeanMinAge01))),0)</f>
        <v/>
      </c>
      <c r="AZ4512">
        <f>IF('01_Вводные'!$B$234="Да",IF(OR('19_Расчет_аналитики'!AZ4484=0,1&lt;='01_Вводные'!$B$297),0,'19_Расчет_аналитики'!AZ4484*IF('01_Вводные'!$B$239="Да",MeanMinAge01+'19_Расчет_аналитики'!AZ4607*SUMIF(ThresholdAge01,"&lt;"&amp;'19_Расчет_аналитики'!AZ4607,WeightedRevAge01)-SUMIF(ThresholdAge01,"&lt;"&amp;'19_Расчет_аналитики'!AZ4607,WeightedMinAge01),MAX(CapacityAge01*'01_Вводные'!$B$218*'19_Расчет_аналитики'!AZ4607,MeanMinAge01))),0)</f>
        <v/>
      </c>
      <c r="BA4512">
        <f>IF('01_Вводные'!$B$234="Да",IF(OR('19_Расчет_аналитики'!BA4484=0,1&lt;='01_Вводные'!$B$297),0,'19_Расчет_аналитики'!BA4484*IF('01_Вводные'!$B$239="Да",MeanMinAge01+'19_Расчет_аналитики'!BA4607*SUMIF(ThresholdAge01,"&lt;"&amp;'19_Расчет_аналитики'!BA4607,WeightedRevAge01)-SUMIF(ThresholdAge01,"&lt;"&amp;'19_Расчет_аналитики'!BA4607,WeightedMinAge01),MAX(CapacityAge01*'01_Вводные'!$B$218*'19_Расчет_аналитики'!BA4607,MeanMinAge01))),0)</f>
        <v/>
      </c>
      <c r="BB4512">
        <f>IF('01_Вводные'!$B$234="Да",IF(OR('19_Расчет_аналитики'!BB4484=0,1&lt;='01_Вводные'!$B$297),0,'19_Расчет_аналитики'!BB4484*IF('01_Вводные'!$B$239="Да",MeanMinAge01+'19_Расчет_аналитики'!BB4607*SUMIF(ThresholdAge01,"&lt;"&amp;'19_Расчет_аналитики'!BB4607,WeightedRevAge01)-SUMIF(ThresholdAge01,"&lt;"&amp;'19_Расчет_аналитики'!BB4607,WeightedMinAge01),MAX(CapacityAge01*'01_Вводные'!$B$218*'19_Расчет_аналитики'!BB4607,MeanMinAge01))),0)</f>
        <v/>
      </c>
      <c r="BC4512">
        <f>IF('01_Вводные'!$B$234="Да",IF(OR('19_Расчет_аналитики'!BC4484=0,1&lt;='01_Вводные'!$B$297),0,'19_Расчет_аналитики'!BC4484*IF('01_Вводные'!$B$239="Да",MeanMinAge01+'19_Расчет_аналитики'!BC4607*SUMIF(ThresholdAge01,"&lt;"&amp;'19_Расчет_аналитики'!BC4607,WeightedRevAge01)-SUMIF(ThresholdAge01,"&lt;"&amp;'19_Расчет_аналитики'!BC4607,WeightedMinAge01),MAX(CapacityAge01*'01_Вводные'!$B$218*'19_Расчет_аналитики'!BC4607,MeanMinAge01))),0)</f>
        <v/>
      </c>
      <c r="BD4512">
        <f>IF('01_Вводные'!$B$234="Да",IF(OR('19_Расчет_аналитики'!BD4484=0,1&lt;='01_Вводные'!$B$297),0,'19_Расчет_аналитики'!BD4484*IF('01_Вводные'!$B$239="Да",MeanMinAge01+'19_Расчет_аналитики'!BD4607*SUMIF(ThresholdAge01,"&lt;"&amp;'19_Расчет_аналитики'!BD4607,WeightedRevAge01)-SUMIF(ThresholdAge01,"&lt;"&amp;'19_Расчет_аналитики'!BD4607,WeightedMinAge01),MAX(CapacityAge01*'01_Вводные'!$B$218*'19_Расчет_аналитики'!BD4607,MeanMinAge01))),0)</f>
        <v/>
      </c>
      <c r="BE4512">
        <f>IF('01_Вводные'!$B$234="Да",IF(OR('19_Расчет_аналитики'!BE4484=0,1&lt;='01_Вводные'!$B$297),0,'19_Расчет_аналитики'!BE4484*IF('01_Вводные'!$B$239="Да",MeanMinAge01+'19_Расчет_аналитики'!BE4607*SUMIF(ThresholdAge01,"&lt;"&amp;'19_Расчет_аналитики'!BE4607,WeightedRevAge01)-SUMIF(ThresholdAge01,"&lt;"&amp;'19_Расчет_аналитики'!BE4607,WeightedMinAge01),MAX(CapacityAge01*'01_Вводные'!$B$218*'19_Расчет_аналитики'!BE4607,MeanMinAge01))),0)</f>
        <v/>
      </c>
      <c r="BF4512">
        <f>IF('01_Вводные'!$B$234="Да",IF(OR('19_Расчет_аналитики'!BF4484=0,1&lt;='01_Вводные'!$B$297),0,'19_Расчет_аналитики'!BF4484*IF('01_Вводные'!$B$239="Да",MeanMinAge01+'19_Расчет_аналитики'!BF4607*SUMIF(ThresholdAge01,"&lt;"&amp;'19_Расчет_аналитики'!BF4607,WeightedRevAge01)-SUMIF(ThresholdAge01,"&lt;"&amp;'19_Расчет_аналитики'!BF4607,WeightedMinAge01),MAX(CapacityAge01*'01_Вводные'!$B$218*'19_Расчет_аналитики'!BF4607,MeanMinAge01))),0)</f>
        <v/>
      </c>
      <c r="BG4512">
        <f>IF('01_Вводные'!$B$234="Да",IF(OR('19_Расчет_аналитики'!BG4484=0,1&lt;='01_Вводные'!$B$297),0,'19_Расчет_аналитики'!BG4484*IF('01_Вводные'!$B$239="Да",MeanMinAge01+'19_Расчет_аналитики'!BG4607*SUMIF(ThresholdAge01,"&lt;"&amp;'19_Расчет_аналитики'!BG4607,WeightedRevAge01)-SUMIF(ThresholdAge01,"&lt;"&amp;'19_Расчет_аналитики'!BG4607,WeightedMinAge01),MAX(CapacityAge01*'01_Вводные'!$B$218*'19_Расчет_аналитики'!BG4607,MeanMinAge01))),0)</f>
        <v/>
      </c>
      <c r="BH4512">
        <f>IF('01_Вводные'!$B$234="Да",IF(OR('19_Расчет_аналитики'!BH4484=0,1&lt;='01_Вводные'!$B$297),0,'19_Расчет_аналитики'!BH4484*IF('01_Вводные'!$B$239="Да",MeanMinAge01+'19_Расчет_аналитики'!BH4607*SUMIF(ThresholdAge01,"&lt;"&amp;'19_Расчет_аналитики'!BH4607,WeightedRevAge01)-SUMIF(ThresholdAge01,"&lt;"&amp;'19_Расчет_аналитики'!BH4607,WeightedMinAge01),MAX(CapacityAge01*'01_Вводные'!$B$218*'19_Расчет_аналитики'!BH4607,MeanMinAge01))),0)</f>
        <v/>
      </c>
      <c r="BI4512">
        <f>IF('01_Вводные'!$B$234="Да",IF(OR('19_Расчет_аналитики'!BI4484=0,1&lt;='01_Вводные'!$B$297),0,'19_Расчет_аналитики'!BI4484*IF('01_Вводные'!$B$239="Да",MeanMinAge01+'19_Расчет_аналитики'!BI4607*SUMIF(ThresholdAge01,"&lt;"&amp;'19_Расчет_аналитики'!BI4607,WeightedRevAge01)-SUMIF(ThresholdAge01,"&lt;"&amp;'19_Расчет_аналитики'!BI4607,WeightedMinAge01),MAX(CapacityAge01*'01_Вводные'!$B$218*'19_Расчет_аналитики'!BI4607,MeanMinAge01))),0)</f>
        <v/>
      </c>
      <c r="BJ4512">
        <f>IF('01_Вводные'!$B$234="Да",IF(OR('19_Расчет_аналитики'!BJ4484=0,1&lt;='01_Вводные'!$B$297),0,'19_Расчет_аналитики'!BJ4484*IF('01_Вводные'!$B$239="Да",MeanMinAge01+'19_Расчет_аналитики'!BJ4607*SUMIF(ThresholdAge01,"&lt;"&amp;'19_Расчет_аналитики'!BJ4607,WeightedRevAge01)-SUMIF(ThresholdAge01,"&lt;"&amp;'19_Расчет_аналитики'!BJ4607,WeightedMinAge01),MAX(CapacityAge01*'01_Вводные'!$B$218*'19_Расчет_аналитики'!BJ4607,MeanMinAge01))),0)</f>
        <v/>
      </c>
      <c r="BK4512">
        <f>IF('01_Вводные'!$B$234="Да",IF(OR('19_Расчет_аналитики'!BK4484=0,1&lt;='01_Вводные'!$B$297),0,'19_Расчет_аналитики'!BK4484*IF('01_Вводные'!$B$239="Да",MeanMinAge01+'19_Расчет_аналитики'!BK4607*SUMIF(ThresholdAge01,"&lt;"&amp;'19_Расчет_аналитики'!BK4607,WeightedRevAge01)-SUMIF(ThresholdAge01,"&lt;"&amp;'19_Расчет_аналитики'!BK4607,WeightedMinAge01),MAX(CapacityAge01*'01_Вводные'!$B$218*'19_Расчет_аналитики'!BK4607,MeanMinAge01))),0)</f>
        <v/>
      </c>
      <c r="BL4512">
        <f>IF('01_Вводные'!$B$234="Да",IF(OR('19_Расчет_аналитики'!BL4484=0,1&lt;='01_Вводные'!$B$297),0,'19_Расчет_аналитики'!BL4484*IF('01_Вводные'!$B$239="Да",MeanMinAge01+'19_Расчет_аналитики'!BL4607*SUMIF(ThresholdAge01,"&lt;"&amp;'19_Расчет_аналитики'!BL4607,WeightedRevAge01)-SUMIF(ThresholdAge01,"&lt;"&amp;'19_Расчет_аналитики'!BL4607,WeightedMinAge01),MAX(CapacityAge01*'01_Вводные'!$B$218*'19_Расчет_аналитики'!BL4607,MeanMinAge01))),0)</f>
        <v/>
      </c>
      <c r="BM4512">
        <f>IF('01_Вводные'!$B$234="Да",IF(OR('19_Расчет_аналитики'!BM4484=0,1&lt;='01_Вводные'!$B$297),0,'19_Расчет_аналитики'!BM4484*IF('01_Вводные'!$B$239="Да",MeanMinAge01+'19_Расчет_аналитики'!BM4607*SUMIF(ThresholdAge01,"&lt;"&amp;'19_Расчет_аналитики'!BM4607,WeightedRevAge01)-SUMIF(ThresholdAge01,"&lt;"&amp;'19_Расчет_аналитики'!BM4607,WeightedMinAge01),MAX(CapacityAge01*'01_Вводные'!$B$218*'19_Расчет_аналитики'!BM4607,MeanMinAge01))),0)</f>
        <v/>
      </c>
      <c r="BN4512">
        <f>IF('01_Вводные'!$B$234="Да",IF(OR('19_Расчет_аналитики'!BN4484=0,1&lt;='01_Вводные'!$B$297),0,'19_Расчет_аналитики'!BN4484*IF('01_Вводные'!$B$239="Да",MeanMinAge01+'19_Расчет_аналитики'!BN4607*SUMIF(ThresholdAge01,"&lt;"&amp;'19_Расчет_аналитики'!BN4607,WeightedRevAge01)-SUMIF(ThresholdAge01,"&lt;"&amp;'19_Расчет_аналитики'!BN4607,WeightedMinAge01),MAX(CapacityAge01*'01_Вводные'!$B$218*'19_Расчет_аналитики'!BN4607,MeanMinAge01))),0)</f>
        <v/>
      </c>
      <c r="BO4512">
        <f>IF('01_Вводные'!$B$234="Да",IF(OR('19_Расчет_аналитики'!BO4484=0,1&lt;='01_Вводные'!$B$297),0,'19_Расчет_аналитики'!BO4484*IF('01_Вводные'!$B$239="Да",MeanMinAge01+'19_Расчет_аналитики'!BO4607*SUMIF(ThresholdAge01,"&lt;"&amp;'19_Расчет_аналитики'!BO4607,WeightedRevAge01)-SUMIF(ThresholdAge01,"&lt;"&amp;'19_Расчет_аналитики'!BO4607,WeightedMinAge01),MAX(CapacityAge01*'01_Вводные'!$B$218*'19_Расчет_аналитики'!BO4607,MeanMinAge01))),0)</f>
        <v/>
      </c>
    </row>
    <row r="4513">
      <c r="B4513">
        <f>IF('01_Вводные'!$B$234="Да",IF(OR('06_Сеть_и_дети'!B82=0,2&lt;='01_Вводные'!$B$297),0,'06_Сеть_и_дети'!B82*IF('01_Вводные'!$B$239="Да",MeanMinAge02+'19_Расчет_аналитики'!B4607*SUMIF(ThresholdAge02,"&lt;"&amp;'19_Расчет_аналитики'!B4607,WeightedRevAge02)-SUMIF(ThresholdAge02,"&lt;"&amp;'19_Расчет_аналитики'!B4607,WeightedMinAge02),MAX(CapacityAge02*'01_Вводные'!$B$218*'19_Расчет_аналитики'!B4607,MeanMinAge02))),0)</f>
        <v/>
      </c>
      <c r="C4513">
        <f>IF('01_Вводные'!$B$234="Да",IF(OR('19_Расчет_аналитики'!C4485=0,2&lt;='01_Вводные'!$B$297),0,'19_Расчет_аналитики'!C4485*IF('01_Вводные'!$B$239="Да",MeanMinAge02+'19_Расчет_аналитики'!C4607*SUMIF(ThresholdAge02,"&lt;"&amp;'19_Расчет_аналитики'!C4607,WeightedRevAge02)-SUMIF(ThresholdAge02,"&lt;"&amp;'19_Расчет_аналитики'!C4607,WeightedMinAge02),MAX(CapacityAge02*'01_Вводные'!$B$218*'19_Расчет_аналитики'!C4607,MeanMinAge02))),0)</f>
        <v/>
      </c>
      <c r="D4513">
        <f>IF('01_Вводные'!$B$234="Да",IF(OR('19_Расчет_аналитики'!D4485=0,2&lt;='01_Вводные'!$B$297),0,'19_Расчет_аналитики'!D4485*IF('01_Вводные'!$B$239="Да",MeanMinAge02+'19_Расчет_аналитики'!D4607*SUMIF(ThresholdAge02,"&lt;"&amp;'19_Расчет_аналитики'!D4607,WeightedRevAge02)-SUMIF(ThresholdAge02,"&lt;"&amp;'19_Расчет_аналитики'!D4607,WeightedMinAge02),MAX(CapacityAge02*'01_Вводные'!$B$218*'19_Расчет_аналитики'!D4607,MeanMinAge02))),0)</f>
        <v/>
      </c>
      <c r="E4513">
        <f>IF('01_Вводные'!$B$234="Да",IF(OR('19_Расчет_аналитики'!E4485=0,2&lt;='01_Вводные'!$B$297),0,'19_Расчет_аналитики'!E4485*IF('01_Вводные'!$B$239="Да",MeanMinAge02+'19_Расчет_аналитики'!E4607*SUMIF(ThresholdAge02,"&lt;"&amp;'19_Расчет_аналитики'!E4607,WeightedRevAge02)-SUMIF(ThresholdAge02,"&lt;"&amp;'19_Расчет_аналитики'!E4607,WeightedMinAge02),MAX(CapacityAge02*'01_Вводные'!$B$218*'19_Расчет_аналитики'!E4607,MeanMinAge02))),0)</f>
        <v/>
      </c>
      <c r="F4513">
        <f>IF('01_Вводные'!$B$234="Да",IF(OR('19_Расчет_аналитики'!F4485=0,2&lt;='01_Вводные'!$B$297),0,'19_Расчет_аналитики'!F4485*IF('01_Вводные'!$B$239="Да",MeanMinAge02+'19_Расчет_аналитики'!F4607*SUMIF(ThresholdAge02,"&lt;"&amp;'19_Расчет_аналитики'!F4607,WeightedRevAge02)-SUMIF(ThresholdAge02,"&lt;"&amp;'19_Расчет_аналитики'!F4607,WeightedMinAge02),MAX(CapacityAge02*'01_Вводные'!$B$218*'19_Расчет_аналитики'!F4607,MeanMinAge02))),0)</f>
        <v/>
      </c>
      <c r="G4513">
        <f>IF('01_Вводные'!$B$234="Да",IF(OR('19_Расчет_аналитики'!G4485=0,2&lt;='01_Вводные'!$B$297),0,'19_Расчет_аналитики'!G4485*IF('01_Вводные'!$B$239="Да",MeanMinAge02+'19_Расчет_аналитики'!G4607*SUMIF(ThresholdAge02,"&lt;"&amp;'19_Расчет_аналитики'!G4607,WeightedRevAge02)-SUMIF(ThresholdAge02,"&lt;"&amp;'19_Расчет_аналитики'!G4607,WeightedMinAge02),MAX(CapacityAge02*'01_Вводные'!$B$218*'19_Расчет_аналитики'!G4607,MeanMinAge02))),0)</f>
        <v/>
      </c>
      <c r="H4513">
        <f>IF('01_Вводные'!$B$234="Да",IF(OR('19_Расчет_аналитики'!H4485=0,2&lt;='01_Вводные'!$B$297),0,'19_Расчет_аналитики'!H4485*IF('01_Вводные'!$B$239="Да",MeanMinAge02+'19_Расчет_аналитики'!H4607*SUMIF(ThresholdAge02,"&lt;"&amp;'19_Расчет_аналитики'!H4607,WeightedRevAge02)-SUMIF(ThresholdAge02,"&lt;"&amp;'19_Расчет_аналитики'!H4607,WeightedMinAge02),MAX(CapacityAge02*'01_Вводные'!$B$218*'19_Расчет_аналитики'!H4607,MeanMinAge02))),0)</f>
        <v/>
      </c>
      <c r="I4513">
        <f>IF('01_Вводные'!$B$234="Да",IF(OR('19_Расчет_аналитики'!I4485=0,2&lt;='01_Вводные'!$B$297),0,'19_Расчет_аналитики'!I4485*IF('01_Вводные'!$B$239="Да",MeanMinAge02+'19_Расчет_аналитики'!I4607*SUMIF(ThresholdAge02,"&lt;"&amp;'19_Расчет_аналитики'!I4607,WeightedRevAge02)-SUMIF(ThresholdAge02,"&lt;"&amp;'19_Расчет_аналитики'!I4607,WeightedMinAge02),MAX(CapacityAge02*'01_Вводные'!$B$218*'19_Расчет_аналитики'!I4607,MeanMinAge02))),0)</f>
        <v/>
      </c>
      <c r="J4513">
        <f>IF('01_Вводные'!$B$234="Да",IF(OR('19_Расчет_аналитики'!J4485=0,2&lt;='01_Вводные'!$B$297),0,'19_Расчет_аналитики'!J4485*IF('01_Вводные'!$B$239="Да",MeanMinAge02+'19_Расчет_аналитики'!J4607*SUMIF(ThresholdAge02,"&lt;"&amp;'19_Расчет_аналитики'!J4607,WeightedRevAge02)-SUMIF(ThresholdAge02,"&lt;"&amp;'19_Расчет_аналитики'!J4607,WeightedMinAge02),MAX(CapacityAge02*'01_Вводные'!$B$218*'19_Расчет_аналитики'!J4607,MeanMinAge02))),0)</f>
        <v/>
      </c>
      <c r="K4513">
        <f>IF('01_Вводные'!$B$234="Да",IF(OR('19_Расчет_аналитики'!K4485=0,2&lt;='01_Вводные'!$B$297),0,'19_Расчет_аналитики'!K4485*IF('01_Вводные'!$B$239="Да",MeanMinAge02+'19_Расчет_аналитики'!K4607*SUMIF(ThresholdAge02,"&lt;"&amp;'19_Расчет_аналитики'!K4607,WeightedRevAge02)-SUMIF(ThresholdAge02,"&lt;"&amp;'19_Расчет_аналитики'!K4607,WeightedMinAge02),MAX(CapacityAge02*'01_Вводные'!$B$218*'19_Расчет_аналитики'!K4607,MeanMinAge02))),0)</f>
        <v/>
      </c>
      <c r="L4513">
        <f>IF('01_Вводные'!$B$234="Да",IF(OR('19_Расчет_аналитики'!L4485=0,2&lt;='01_Вводные'!$B$297),0,'19_Расчет_аналитики'!L4485*IF('01_Вводные'!$B$239="Да",MeanMinAge02+'19_Расчет_аналитики'!L4607*SUMIF(ThresholdAge02,"&lt;"&amp;'19_Расчет_аналитики'!L4607,WeightedRevAge02)-SUMIF(ThresholdAge02,"&lt;"&amp;'19_Расчет_аналитики'!L4607,WeightedMinAge02),MAX(CapacityAge02*'01_Вводные'!$B$218*'19_Расчет_аналитики'!L4607,MeanMinAge02))),0)</f>
        <v/>
      </c>
      <c r="M4513">
        <f>IF('01_Вводные'!$B$234="Да",IF(OR('19_Расчет_аналитики'!M4485=0,2&lt;='01_Вводные'!$B$297),0,'19_Расчет_аналитики'!M4485*IF('01_Вводные'!$B$239="Да",MeanMinAge02+'19_Расчет_аналитики'!M4607*SUMIF(ThresholdAge02,"&lt;"&amp;'19_Расчет_аналитики'!M4607,WeightedRevAge02)-SUMIF(ThresholdAge02,"&lt;"&amp;'19_Расчет_аналитики'!M4607,WeightedMinAge02),MAX(CapacityAge02*'01_Вводные'!$B$218*'19_Расчет_аналитики'!M4607,MeanMinAge02))),0)</f>
        <v/>
      </c>
      <c r="N4513">
        <f>IF('01_Вводные'!$B$234="Да",IF(OR('19_Расчет_аналитики'!N4485=0,2&lt;='01_Вводные'!$B$297),0,'19_Расчет_аналитики'!N4485*IF('01_Вводные'!$B$239="Да",MeanMinAge02+'19_Расчет_аналитики'!N4607*SUMIF(ThresholdAge02,"&lt;"&amp;'19_Расчет_аналитики'!N4607,WeightedRevAge02)-SUMIF(ThresholdAge02,"&lt;"&amp;'19_Расчет_аналитики'!N4607,WeightedMinAge02),MAX(CapacityAge02*'01_Вводные'!$B$218*'19_Расчет_аналитики'!N4607,MeanMinAge02))),0)</f>
        <v/>
      </c>
      <c r="O4513">
        <f>IF('01_Вводные'!$B$234="Да",IF(OR('19_Расчет_аналитики'!O4485=0,2&lt;='01_Вводные'!$B$297),0,'19_Расчет_аналитики'!O4485*IF('01_Вводные'!$B$239="Да",MeanMinAge02+'19_Расчет_аналитики'!O4607*SUMIF(ThresholdAge02,"&lt;"&amp;'19_Расчет_аналитики'!O4607,WeightedRevAge02)-SUMIF(ThresholdAge02,"&lt;"&amp;'19_Расчет_аналитики'!O4607,WeightedMinAge02),MAX(CapacityAge02*'01_Вводные'!$B$218*'19_Расчет_аналитики'!O4607,MeanMinAge02))),0)</f>
        <v/>
      </c>
      <c r="P4513">
        <f>IF('01_Вводные'!$B$234="Да",IF(OR('19_Расчет_аналитики'!P4485=0,2&lt;='01_Вводные'!$B$297),0,'19_Расчет_аналитики'!P4485*IF('01_Вводные'!$B$239="Да",MeanMinAge02+'19_Расчет_аналитики'!P4607*SUMIF(ThresholdAge02,"&lt;"&amp;'19_Расчет_аналитики'!P4607,WeightedRevAge02)-SUMIF(ThresholdAge02,"&lt;"&amp;'19_Расчет_аналитики'!P4607,WeightedMinAge02),MAX(CapacityAge02*'01_Вводные'!$B$218*'19_Расчет_аналитики'!P4607,MeanMinAge02))),0)</f>
        <v/>
      </c>
      <c r="Q4513">
        <f>IF('01_Вводные'!$B$234="Да",IF(OR('19_Расчет_аналитики'!Q4485=0,2&lt;='01_Вводные'!$B$297),0,'19_Расчет_аналитики'!Q4485*IF('01_Вводные'!$B$239="Да",MeanMinAge02+'19_Расчет_аналитики'!Q4607*SUMIF(ThresholdAge02,"&lt;"&amp;'19_Расчет_аналитики'!Q4607,WeightedRevAge02)-SUMIF(ThresholdAge02,"&lt;"&amp;'19_Расчет_аналитики'!Q4607,WeightedMinAge02),MAX(CapacityAge02*'01_Вводные'!$B$218*'19_Расчет_аналитики'!Q4607,MeanMinAge02))),0)</f>
        <v/>
      </c>
      <c r="R4513">
        <f>IF('01_Вводные'!$B$234="Да",IF(OR('19_Расчет_аналитики'!R4485=0,2&lt;='01_Вводные'!$B$297),0,'19_Расчет_аналитики'!R4485*IF('01_Вводные'!$B$239="Да",MeanMinAge02+'19_Расчет_аналитики'!R4607*SUMIF(ThresholdAge02,"&lt;"&amp;'19_Расчет_аналитики'!R4607,WeightedRevAge02)-SUMIF(ThresholdAge02,"&lt;"&amp;'19_Расчет_аналитики'!R4607,WeightedMinAge02),MAX(CapacityAge02*'01_Вводные'!$B$218*'19_Расчет_аналитики'!R4607,MeanMinAge02))),0)</f>
        <v/>
      </c>
      <c r="S4513">
        <f>IF('01_Вводные'!$B$234="Да",IF(OR('19_Расчет_аналитики'!S4485=0,2&lt;='01_Вводные'!$B$297),0,'19_Расчет_аналитики'!S4485*IF('01_Вводные'!$B$239="Да",MeanMinAge02+'19_Расчет_аналитики'!S4607*SUMIF(ThresholdAge02,"&lt;"&amp;'19_Расчет_аналитики'!S4607,WeightedRevAge02)-SUMIF(ThresholdAge02,"&lt;"&amp;'19_Расчет_аналитики'!S4607,WeightedMinAge02),MAX(CapacityAge02*'01_Вводные'!$B$218*'19_Расчет_аналитики'!S4607,MeanMinAge02))),0)</f>
        <v/>
      </c>
      <c r="T4513">
        <f>IF('01_Вводные'!$B$234="Да",IF(OR('19_Расчет_аналитики'!T4485=0,2&lt;='01_Вводные'!$B$297),0,'19_Расчет_аналитики'!T4485*IF('01_Вводные'!$B$239="Да",MeanMinAge02+'19_Расчет_аналитики'!T4607*SUMIF(ThresholdAge02,"&lt;"&amp;'19_Расчет_аналитики'!T4607,WeightedRevAge02)-SUMIF(ThresholdAge02,"&lt;"&amp;'19_Расчет_аналитики'!T4607,WeightedMinAge02),MAX(CapacityAge02*'01_Вводные'!$B$218*'19_Расчет_аналитики'!T4607,MeanMinAge02))),0)</f>
        <v/>
      </c>
      <c r="U4513">
        <f>IF('01_Вводные'!$B$234="Да",IF(OR('19_Расчет_аналитики'!U4485=0,2&lt;='01_Вводные'!$B$297),0,'19_Расчет_аналитики'!U4485*IF('01_Вводные'!$B$239="Да",MeanMinAge02+'19_Расчет_аналитики'!U4607*SUMIF(ThresholdAge02,"&lt;"&amp;'19_Расчет_аналитики'!U4607,WeightedRevAge02)-SUMIF(ThresholdAge02,"&lt;"&amp;'19_Расчет_аналитики'!U4607,WeightedMinAge02),MAX(CapacityAge02*'01_Вводные'!$B$218*'19_Расчет_аналитики'!U4607,MeanMinAge02))),0)</f>
        <v/>
      </c>
      <c r="V4513">
        <f>IF('01_Вводные'!$B$234="Да",IF(OR('19_Расчет_аналитики'!V4485=0,2&lt;='01_Вводные'!$B$297),0,'19_Расчет_аналитики'!V4485*IF('01_Вводные'!$B$239="Да",MeanMinAge02+'19_Расчет_аналитики'!V4607*SUMIF(ThresholdAge02,"&lt;"&amp;'19_Расчет_аналитики'!V4607,WeightedRevAge02)-SUMIF(ThresholdAge02,"&lt;"&amp;'19_Расчет_аналитики'!V4607,WeightedMinAge02),MAX(CapacityAge02*'01_Вводные'!$B$218*'19_Расчет_аналитики'!V4607,MeanMinAge02))),0)</f>
        <v/>
      </c>
      <c r="W4513">
        <f>IF('01_Вводные'!$B$234="Да",IF(OR('19_Расчет_аналитики'!W4485=0,2&lt;='01_Вводные'!$B$297),0,'19_Расчет_аналитики'!W4485*IF('01_Вводные'!$B$239="Да",MeanMinAge02+'19_Расчет_аналитики'!W4607*SUMIF(ThresholdAge02,"&lt;"&amp;'19_Расчет_аналитики'!W4607,WeightedRevAge02)-SUMIF(ThresholdAge02,"&lt;"&amp;'19_Расчет_аналитики'!W4607,WeightedMinAge02),MAX(CapacityAge02*'01_Вводные'!$B$218*'19_Расчет_аналитики'!W4607,MeanMinAge02))),0)</f>
        <v/>
      </c>
      <c r="X4513">
        <f>IF('01_Вводные'!$B$234="Да",IF(OR('19_Расчет_аналитики'!X4485=0,2&lt;='01_Вводные'!$B$297),0,'19_Расчет_аналитики'!X4485*IF('01_Вводные'!$B$239="Да",MeanMinAge02+'19_Расчет_аналитики'!X4607*SUMIF(ThresholdAge02,"&lt;"&amp;'19_Расчет_аналитики'!X4607,WeightedRevAge02)-SUMIF(ThresholdAge02,"&lt;"&amp;'19_Расчет_аналитики'!X4607,WeightedMinAge02),MAX(CapacityAge02*'01_Вводные'!$B$218*'19_Расчет_аналитики'!X4607,MeanMinAge02))),0)</f>
        <v/>
      </c>
      <c r="Y4513">
        <f>IF('01_Вводные'!$B$234="Да",IF(OR('19_Расчет_аналитики'!Y4485=0,2&lt;='01_Вводные'!$B$297),0,'19_Расчет_аналитики'!Y4485*IF('01_Вводные'!$B$239="Да",MeanMinAge02+'19_Расчет_аналитики'!Y4607*SUMIF(ThresholdAge02,"&lt;"&amp;'19_Расчет_аналитики'!Y4607,WeightedRevAge02)-SUMIF(ThresholdAge02,"&lt;"&amp;'19_Расчет_аналитики'!Y4607,WeightedMinAge02),MAX(CapacityAge02*'01_Вводные'!$B$218*'19_Расчет_аналитики'!Y4607,MeanMinAge02))),0)</f>
        <v/>
      </c>
      <c r="Z4513">
        <f>IF('01_Вводные'!$B$234="Да",IF(OR('19_Расчет_аналитики'!Z4485=0,2&lt;='01_Вводные'!$B$297),0,'19_Расчет_аналитики'!Z4485*IF('01_Вводные'!$B$239="Да",MeanMinAge02+'19_Расчет_аналитики'!Z4607*SUMIF(ThresholdAge02,"&lt;"&amp;'19_Расчет_аналитики'!Z4607,WeightedRevAge02)-SUMIF(ThresholdAge02,"&lt;"&amp;'19_Расчет_аналитики'!Z4607,WeightedMinAge02),MAX(CapacityAge02*'01_Вводные'!$B$218*'19_Расчет_аналитики'!Z4607,MeanMinAge02))),0)</f>
        <v/>
      </c>
      <c r="AA4513">
        <f>IF('01_Вводные'!$B$234="Да",IF(OR('19_Расчет_аналитики'!AA4485=0,2&lt;='01_Вводные'!$B$297),0,'19_Расчет_аналитики'!AA4485*IF('01_Вводные'!$B$239="Да",MeanMinAge02+'19_Расчет_аналитики'!AA4607*SUMIF(ThresholdAge02,"&lt;"&amp;'19_Расчет_аналитики'!AA4607,WeightedRevAge02)-SUMIF(ThresholdAge02,"&lt;"&amp;'19_Расчет_аналитики'!AA4607,WeightedMinAge02),MAX(CapacityAge02*'01_Вводные'!$B$218*'19_Расчет_аналитики'!AA4607,MeanMinAge02))),0)</f>
        <v/>
      </c>
      <c r="AB4513">
        <f>IF('01_Вводные'!$B$234="Да",IF(OR('19_Расчет_аналитики'!AB4485=0,2&lt;='01_Вводные'!$B$297),0,'19_Расчет_аналитики'!AB4485*IF('01_Вводные'!$B$239="Да",MeanMinAge02+'19_Расчет_аналитики'!AB4607*SUMIF(ThresholdAge02,"&lt;"&amp;'19_Расчет_аналитики'!AB4607,WeightedRevAge02)-SUMIF(ThresholdAge02,"&lt;"&amp;'19_Расчет_аналитики'!AB4607,WeightedMinAge02),MAX(CapacityAge02*'01_Вводные'!$B$218*'19_Расчет_аналитики'!AB4607,MeanMinAge02))),0)</f>
        <v/>
      </c>
      <c r="AC4513">
        <f>IF('01_Вводные'!$B$234="Да",IF(OR('19_Расчет_аналитики'!AC4485=0,2&lt;='01_Вводные'!$B$297),0,'19_Расчет_аналитики'!AC4485*IF('01_Вводные'!$B$239="Да",MeanMinAge02+'19_Расчет_аналитики'!AC4607*SUMIF(ThresholdAge02,"&lt;"&amp;'19_Расчет_аналитики'!AC4607,WeightedRevAge02)-SUMIF(ThresholdAge02,"&lt;"&amp;'19_Расчет_аналитики'!AC4607,WeightedMinAge02),MAX(CapacityAge02*'01_Вводные'!$B$218*'19_Расчет_аналитики'!AC4607,MeanMinAge02))),0)</f>
        <v/>
      </c>
      <c r="AD4513">
        <f>IF('01_Вводные'!$B$234="Да",IF(OR('19_Расчет_аналитики'!AD4485=0,2&lt;='01_Вводные'!$B$297),0,'19_Расчет_аналитики'!AD4485*IF('01_Вводные'!$B$239="Да",MeanMinAge02+'19_Расчет_аналитики'!AD4607*SUMIF(ThresholdAge02,"&lt;"&amp;'19_Расчет_аналитики'!AD4607,WeightedRevAge02)-SUMIF(ThresholdAge02,"&lt;"&amp;'19_Расчет_аналитики'!AD4607,WeightedMinAge02),MAX(CapacityAge02*'01_Вводные'!$B$218*'19_Расчет_аналитики'!AD4607,MeanMinAge02))),0)</f>
        <v/>
      </c>
      <c r="AE4513">
        <f>IF('01_Вводные'!$B$234="Да",IF(OR('19_Расчет_аналитики'!AE4485=0,2&lt;='01_Вводные'!$B$297),0,'19_Расчет_аналитики'!AE4485*IF('01_Вводные'!$B$239="Да",MeanMinAge02+'19_Расчет_аналитики'!AE4607*SUMIF(ThresholdAge02,"&lt;"&amp;'19_Расчет_аналитики'!AE4607,WeightedRevAge02)-SUMIF(ThresholdAge02,"&lt;"&amp;'19_Расчет_аналитики'!AE4607,WeightedMinAge02),MAX(CapacityAge02*'01_Вводные'!$B$218*'19_Расчет_аналитики'!AE4607,MeanMinAge02))),0)</f>
        <v/>
      </c>
      <c r="AF4513">
        <f>IF('01_Вводные'!$B$234="Да",IF(OR('19_Расчет_аналитики'!AF4485=0,2&lt;='01_Вводные'!$B$297),0,'19_Расчет_аналитики'!AF4485*IF('01_Вводные'!$B$239="Да",MeanMinAge02+'19_Расчет_аналитики'!AF4607*SUMIF(ThresholdAge02,"&lt;"&amp;'19_Расчет_аналитики'!AF4607,WeightedRevAge02)-SUMIF(ThresholdAge02,"&lt;"&amp;'19_Расчет_аналитики'!AF4607,WeightedMinAge02),MAX(CapacityAge02*'01_Вводные'!$B$218*'19_Расчет_аналитики'!AF4607,MeanMinAge02))),0)</f>
        <v/>
      </c>
      <c r="AG4513">
        <f>IF('01_Вводные'!$B$234="Да",IF(OR('19_Расчет_аналитики'!AG4485=0,2&lt;='01_Вводные'!$B$297),0,'19_Расчет_аналитики'!AG4485*IF('01_Вводные'!$B$239="Да",MeanMinAge02+'19_Расчет_аналитики'!AG4607*SUMIF(ThresholdAge02,"&lt;"&amp;'19_Расчет_аналитики'!AG4607,WeightedRevAge02)-SUMIF(ThresholdAge02,"&lt;"&amp;'19_Расчет_аналитики'!AG4607,WeightedMinAge02),MAX(CapacityAge02*'01_Вводные'!$B$218*'19_Расчет_аналитики'!AG4607,MeanMinAge02))),0)</f>
        <v/>
      </c>
      <c r="AH4513">
        <f>IF('01_Вводные'!$B$234="Да",IF(OR('19_Расчет_аналитики'!AH4485=0,2&lt;='01_Вводные'!$B$297),0,'19_Расчет_аналитики'!AH4485*IF('01_Вводные'!$B$239="Да",MeanMinAge02+'19_Расчет_аналитики'!AH4607*SUMIF(ThresholdAge02,"&lt;"&amp;'19_Расчет_аналитики'!AH4607,WeightedRevAge02)-SUMIF(ThresholdAge02,"&lt;"&amp;'19_Расчет_аналитики'!AH4607,WeightedMinAge02),MAX(CapacityAge02*'01_Вводные'!$B$218*'19_Расчет_аналитики'!AH4607,MeanMinAge02))),0)</f>
        <v/>
      </c>
      <c r="AI4513">
        <f>IF('01_Вводные'!$B$234="Да",IF(OR('19_Расчет_аналитики'!AI4485=0,2&lt;='01_Вводные'!$B$297),0,'19_Расчет_аналитики'!AI4485*IF('01_Вводные'!$B$239="Да",MeanMinAge02+'19_Расчет_аналитики'!AI4607*SUMIF(ThresholdAge02,"&lt;"&amp;'19_Расчет_аналитики'!AI4607,WeightedRevAge02)-SUMIF(ThresholdAge02,"&lt;"&amp;'19_Расчет_аналитики'!AI4607,WeightedMinAge02),MAX(CapacityAge02*'01_Вводные'!$B$218*'19_Расчет_аналитики'!AI4607,MeanMinAge02))),0)</f>
        <v/>
      </c>
      <c r="AJ4513">
        <f>IF('01_Вводные'!$B$234="Да",IF(OR('19_Расчет_аналитики'!AJ4485=0,2&lt;='01_Вводные'!$B$297),0,'19_Расчет_аналитики'!AJ4485*IF('01_Вводные'!$B$239="Да",MeanMinAge02+'19_Расчет_аналитики'!AJ4607*SUMIF(ThresholdAge02,"&lt;"&amp;'19_Расчет_аналитики'!AJ4607,WeightedRevAge02)-SUMIF(ThresholdAge02,"&lt;"&amp;'19_Расчет_аналитики'!AJ4607,WeightedMinAge02),MAX(CapacityAge02*'01_Вводные'!$B$218*'19_Расчет_аналитики'!AJ4607,MeanMinAge02))),0)</f>
        <v/>
      </c>
      <c r="AK4513">
        <f>IF('01_Вводные'!$B$234="Да",IF(OR('19_Расчет_аналитики'!AK4485=0,2&lt;='01_Вводные'!$B$297),0,'19_Расчет_аналитики'!AK4485*IF('01_Вводные'!$B$239="Да",MeanMinAge02+'19_Расчет_аналитики'!AK4607*SUMIF(ThresholdAge02,"&lt;"&amp;'19_Расчет_аналитики'!AK4607,WeightedRevAge02)-SUMIF(ThresholdAge02,"&lt;"&amp;'19_Расчет_аналитики'!AK4607,WeightedMinAge02),MAX(CapacityAge02*'01_Вводные'!$B$218*'19_Расчет_аналитики'!AK4607,MeanMinAge02))),0)</f>
        <v/>
      </c>
      <c r="AL4513">
        <f>IF('01_Вводные'!$B$234="Да",IF(OR('19_Расчет_аналитики'!AL4485=0,2&lt;='01_Вводные'!$B$297),0,'19_Расчет_аналитики'!AL4485*IF('01_Вводные'!$B$239="Да",MeanMinAge02+'19_Расчет_аналитики'!AL4607*SUMIF(ThresholdAge02,"&lt;"&amp;'19_Расчет_аналитики'!AL4607,WeightedRevAge02)-SUMIF(ThresholdAge02,"&lt;"&amp;'19_Расчет_аналитики'!AL4607,WeightedMinAge02),MAX(CapacityAge02*'01_Вводные'!$B$218*'19_Расчет_аналитики'!AL4607,MeanMinAge02))),0)</f>
        <v/>
      </c>
      <c r="AM4513">
        <f>IF('01_Вводные'!$B$234="Да",IF(OR('19_Расчет_аналитики'!AM4485=0,2&lt;='01_Вводные'!$B$297),0,'19_Расчет_аналитики'!AM4485*IF('01_Вводные'!$B$239="Да",MeanMinAge02+'19_Расчет_аналитики'!AM4607*SUMIF(ThresholdAge02,"&lt;"&amp;'19_Расчет_аналитики'!AM4607,WeightedRevAge02)-SUMIF(ThresholdAge02,"&lt;"&amp;'19_Расчет_аналитики'!AM4607,WeightedMinAge02),MAX(CapacityAge02*'01_Вводные'!$B$218*'19_Расчет_аналитики'!AM4607,MeanMinAge02))),0)</f>
        <v/>
      </c>
      <c r="AN4513">
        <f>IF('01_Вводные'!$B$234="Да",IF(OR('19_Расчет_аналитики'!AN4485=0,2&lt;='01_Вводные'!$B$297),0,'19_Расчет_аналитики'!AN4485*IF('01_Вводные'!$B$239="Да",MeanMinAge02+'19_Расчет_аналитики'!AN4607*SUMIF(ThresholdAge02,"&lt;"&amp;'19_Расчет_аналитики'!AN4607,WeightedRevAge02)-SUMIF(ThresholdAge02,"&lt;"&amp;'19_Расчет_аналитики'!AN4607,WeightedMinAge02),MAX(CapacityAge02*'01_Вводные'!$B$218*'19_Расчет_аналитики'!AN4607,MeanMinAge02))),0)</f>
        <v/>
      </c>
      <c r="AO4513">
        <f>IF('01_Вводные'!$B$234="Да",IF(OR('19_Расчет_аналитики'!AO4485=0,2&lt;='01_Вводные'!$B$297),0,'19_Расчет_аналитики'!AO4485*IF('01_Вводные'!$B$239="Да",MeanMinAge02+'19_Расчет_аналитики'!AO4607*SUMIF(ThresholdAge02,"&lt;"&amp;'19_Расчет_аналитики'!AO4607,WeightedRevAge02)-SUMIF(ThresholdAge02,"&lt;"&amp;'19_Расчет_аналитики'!AO4607,WeightedMinAge02),MAX(CapacityAge02*'01_Вводные'!$B$218*'19_Расчет_аналитики'!AO4607,MeanMinAge02))),0)</f>
        <v/>
      </c>
      <c r="AP4513">
        <f>IF('01_Вводные'!$B$234="Да",IF(OR('19_Расчет_аналитики'!AP4485=0,2&lt;='01_Вводные'!$B$297),0,'19_Расчет_аналитики'!AP4485*IF('01_Вводные'!$B$239="Да",MeanMinAge02+'19_Расчет_аналитики'!AP4607*SUMIF(ThresholdAge02,"&lt;"&amp;'19_Расчет_аналитики'!AP4607,WeightedRevAge02)-SUMIF(ThresholdAge02,"&lt;"&amp;'19_Расчет_аналитики'!AP4607,WeightedMinAge02),MAX(CapacityAge02*'01_Вводные'!$B$218*'19_Расчет_аналитики'!AP4607,MeanMinAge02))),0)</f>
        <v/>
      </c>
      <c r="AQ4513">
        <f>IF('01_Вводные'!$B$234="Да",IF(OR('19_Расчет_аналитики'!AQ4485=0,2&lt;='01_Вводные'!$B$297),0,'19_Расчет_аналитики'!AQ4485*IF('01_Вводные'!$B$239="Да",MeanMinAge02+'19_Расчет_аналитики'!AQ4607*SUMIF(ThresholdAge02,"&lt;"&amp;'19_Расчет_аналитики'!AQ4607,WeightedRevAge02)-SUMIF(ThresholdAge02,"&lt;"&amp;'19_Расчет_аналитики'!AQ4607,WeightedMinAge02),MAX(CapacityAge02*'01_Вводные'!$B$218*'19_Расчет_аналитики'!AQ4607,MeanMinAge02))),0)</f>
        <v/>
      </c>
      <c r="AR4513">
        <f>IF('01_Вводные'!$B$234="Да",IF(OR('19_Расчет_аналитики'!AR4485=0,2&lt;='01_Вводные'!$B$297),0,'19_Расчет_аналитики'!AR4485*IF('01_Вводные'!$B$239="Да",MeanMinAge02+'19_Расчет_аналитики'!AR4607*SUMIF(ThresholdAge02,"&lt;"&amp;'19_Расчет_аналитики'!AR4607,WeightedRevAge02)-SUMIF(ThresholdAge02,"&lt;"&amp;'19_Расчет_аналитики'!AR4607,WeightedMinAge02),MAX(CapacityAge02*'01_Вводные'!$B$218*'19_Расчет_аналитики'!AR4607,MeanMinAge02))),0)</f>
        <v/>
      </c>
      <c r="AS4513">
        <f>IF('01_Вводные'!$B$234="Да",IF(OR('19_Расчет_аналитики'!AS4485=0,2&lt;='01_Вводные'!$B$297),0,'19_Расчет_аналитики'!AS4485*IF('01_Вводные'!$B$239="Да",MeanMinAge02+'19_Расчет_аналитики'!AS4607*SUMIF(ThresholdAge02,"&lt;"&amp;'19_Расчет_аналитики'!AS4607,WeightedRevAge02)-SUMIF(ThresholdAge02,"&lt;"&amp;'19_Расчет_аналитики'!AS4607,WeightedMinAge02),MAX(CapacityAge02*'01_Вводные'!$B$218*'19_Расчет_аналитики'!AS4607,MeanMinAge02))),0)</f>
        <v/>
      </c>
      <c r="AT4513">
        <f>IF('01_Вводные'!$B$234="Да",IF(OR('19_Расчет_аналитики'!AT4485=0,2&lt;='01_Вводные'!$B$297),0,'19_Расчет_аналитики'!AT4485*IF('01_Вводные'!$B$239="Да",MeanMinAge02+'19_Расчет_аналитики'!AT4607*SUMIF(ThresholdAge02,"&lt;"&amp;'19_Расчет_аналитики'!AT4607,WeightedRevAge02)-SUMIF(ThresholdAge02,"&lt;"&amp;'19_Расчет_аналитики'!AT4607,WeightedMinAge02),MAX(CapacityAge02*'01_Вводные'!$B$218*'19_Расчет_аналитики'!AT4607,MeanMinAge02))),0)</f>
        <v/>
      </c>
      <c r="AU4513">
        <f>IF('01_Вводные'!$B$234="Да",IF(OR('19_Расчет_аналитики'!AU4485=0,2&lt;='01_Вводные'!$B$297),0,'19_Расчет_аналитики'!AU4485*IF('01_Вводные'!$B$239="Да",MeanMinAge02+'19_Расчет_аналитики'!AU4607*SUMIF(ThresholdAge02,"&lt;"&amp;'19_Расчет_аналитики'!AU4607,WeightedRevAge02)-SUMIF(ThresholdAge02,"&lt;"&amp;'19_Расчет_аналитики'!AU4607,WeightedMinAge02),MAX(CapacityAge02*'01_Вводные'!$B$218*'19_Расчет_аналитики'!AU4607,MeanMinAge02))),0)</f>
        <v/>
      </c>
      <c r="AV4513">
        <f>IF('01_Вводные'!$B$234="Да",IF(OR('19_Расчет_аналитики'!AV4485=0,2&lt;='01_Вводные'!$B$297),0,'19_Расчет_аналитики'!AV4485*IF('01_Вводные'!$B$239="Да",MeanMinAge02+'19_Расчет_аналитики'!AV4607*SUMIF(ThresholdAge02,"&lt;"&amp;'19_Расчет_аналитики'!AV4607,WeightedRevAge02)-SUMIF(ThresholdAge02,"&lt;"&amp;'19_Расчет_аналитики'!AV4607,WeightedMinAge02),MAX(CapacityAge02*'01_Вводные'!$B$218*'19_Расчет_аналитики'!AV4607,MeanMinAge02))),0)</f>
        <v/>
      </c>
      <c r="AW4513">
        <f>IF('01_Вводные'!$B$234="Да",IF(OR('19_Расчет_аналитики'!AW4485=0,2&lt;='01_Вводные'!$B$297),0,'19_Расчет_аналитики'!AW4485*IF('01_Вводные'!$B$239="Да",MeanMinAge02+'19_Расчет_аналитики'!AW4607*SUMIF(ThresholdAge02,"&lt;"&amp;'19_Расчет_аналитики'!AW4607,WeightedRevAge02)-SUMIF(ThresholdAge02,"&lt;"&amp;'19_Расчет_аналитики'!AW4607,WeightedMinAge02),MAX(CapacityAge02*'01_Вводные'!$B$218*'19_Расчет_аналитики'!AW4607,MeanMinAge02))),0)</f>
        <v/>
      </c>
      <c r="AX4513">
        <f>IF('01_Вводные'!$B$234="Да",IF(OR('19_Расчет_аналитики'!AX4485=0,2&lt;='01_Вводные'!$B$297),0,'19_Расчет_аналитики'!AX4485*IF('01_Вводные'!$B$239="Да",MeanMinAge02+'19_Расчет_аналитики'!AX4607*SUMIF(ThresholdAge02,"&lt;"&amp;'19_Расчет_аналитики'!AX4607,WeightedRevAge02)-SUMIF(ThresholdAge02,"&lt;"&amp;'19_Расчет_аналитики'!AX4607,WeightedMinAge02),MAX(CapacityAge02*'01_Вводные'!$B$218*'19_Расчет_аналитики'!AX4607,MeanMinAge02))),0)</f>
        <v/>
      </c>
      <c r="AY4513">
        <f>IF('01_Вводные'!$B$234="Да",IF(OR('19_Расчет_аналитики'!AY4485=0,2&lt;='01_Вводные'!$B$297),0,'19_Расчет_аналитики'!AY4485*IF('01_Вводные'!$B$239="Да",MeanMinAge02+'19_Расчет_аналитики'!AY4607*SUMIF(ThresholdAge02,"&lt;"&amp;'19_Расчет_аналитики'!AY4607,WeightedRevAge02)-SUMIF(ThresholdAge02,"&lt;"&amp;'19_Расчет_аналитики'!AY4607,WeightedMinAge02),MAX(CapacityAge02*'01_Вводные'!$B$218*'19_Расчет_аналитики'!AY4607,MeanMinAge02))),0)</f>
        <v/>
      </c>
      <c r="AZ4513">
        <f>IF('01_Вводные'!$B$234="Да",IF(OR('19_Расчет_аналитики'!AZ4485=0,2&lt;='01_Вводные'!$B$297),0,'19_Расчет_аналитики'!AZ4485*IF('01_Вводные'!$B$239="Да",MeanMinAge02+'19_Расчет_аналитики'!AZ4607*SUMIF(ThresholdAge02,"&lt;"&amp;'19_Расчет_аналитики'!AZ4607,WeightedRevAge02)-SUMIF(ThresholdAge02,"&lt;"&amp;'19_Расчет_аналитики'!AZ4607,WeightedMinAge02),MAX(CapacityAge02*'01_Вводные'!$B$218*'19_Расчет_аналитики'!AZ4607,MeanMinAge02))),0)</f>
        <v/>
      </c>
      <c r="BA4513">
        <f>IF('01_Вводные'!$B$234="Да",IF(OR('19_Расчет_аналитики'!BA4485=0,2&lt;='01_Вводные'!$B$297),0,'19_Расчет_аналитики'!BA4485*IF('01_Вводные'!$B$239="Да",MeanMinAge02+'19_Расчет_аналитики'!BA4607*SUMIF(ThresholdAge02,"&lt;"&amp;'19_Расчет_аналитики'!BA4607,WeightedRevAge02)-SUMIF(ThresholdAge02,"&lt;"&amp;'19_Расчет_аналитики'!BA4607,WeightedMinAge02),MAX(CapacityAge02*'01_Вводные'!$B$218*'19_Расчет_аналитики'!BA4607,MeanMinAge02))),0)</f>
        <v/>
      </c>
      <c r="BB4513">
        <f>IF('01_Вводные'!$B$234="Да",IF(OR('19_Расчет_аналитики'!BB4485=0,2&lt;='01_Вводные'!$B$297),0,'19_Расчет_аналитики'!BB4485*IF('01_Вводные'!$B$239="Да",MeanMinAge02+'19_Расчет_аналитики'!BB4607*SUMIF(ThresholdAge02,"&lt;"&amp;'19_Расчет_аналитики'!BB4607,WeightedRevAge02)-SUMIF(ThresholdAge02,"&lt;"&amp;'19_Расчет_аналитики'!BB4607,WeightedMinAge02),MAX(CapacityAge02*'01_Вводные'!$B$218*'19_Расчет_аналитики'!BB4607,MeanMinAge02))),0)</f>
        <v/>
      </c>
      <c r="BC4513">
        <f>IF('01_Вводные'!$B$234="Да",IF(OR('19_Расчет_аналитики'!BC4485=0,2&lt;='01_Вводные'!$B$297),0,'19_Расчет_аналитики'!BC4485*IF('01_Вводные'!$B$239="Да",MeanMinAge02+'19_Расчет_аналитики'!BC4607*SUMIF(ThresholdAge02,"&lt;"&amp;'19_Расчет_аналитики'!BC4607,WeightedRevAge02)-SUMIF(ThresholdAge02,"&lt;"&amp;'19_Расчет_аналитики'!BC4607,WeightedMinAge02),MAX(CapacityAge02*'01_Вводные'!$B$218*'19_Расчет_аналитики'!BC4607,MeanMinAge02))),0)</f>
        <v/>
      </c>
      <c r="BD4513">
        <f>IF('01_Вводные'!$B$234="Да",IF(OR('19_Расчет_аналитики'!BD4485=0,2&lt;='01_Вводные'!$B$297),0,'19_Расчет_аналитики'!BD4485*IF('01_Вводные'!$B$239="Да",MeanMinAge02+'19_Расчет_аналитики'!BD4607*SUMIF(ThresholdAge02,"&lt;"&amp;'19_Расчет_аналитики'!BD4607,WeightedRevAge02)-SUMIF(ThresholdAge02,"&lt;"&amp;'19_Расчет_аналитики'!BD4607,WeightedMinAge02),MAX(CapacityAge02*'01_Вводные'!$B$218*'19_Расчет_аналитики'!BD4607,MeanMinAge02))),0)</f>
        <v/>
      </c>
      <c r="BE4513">
        <f>IF('01_Вводные'!$B$234="Да",IF(OR('19_Расчет_аналитики'!BE4485=0,2&lt;='01_Вводные'!$B$297),0,'19_Расчет_аналитики'!BE4485*IF('01_Вводные'!$B$239="Да",MeanMinAge02+'19_Расчет_аналитики'!BE4607*SUMIF(ThresholdAge02,"&lt;"&amp;'19_Расчет_аналитики'!BE4607,WeightedRevAge02)-SUMIF(ThresholdAge02,"&lt;"&amp;'19_Расчет_аналитики'!BE4607,WeightedMinAge02),MAX(CapacityAge02*'01_Вводные'!$B$218*'19_Расчет_аналитики'!BE4607,MeanMinAge02))),0)</f>
        <v/>
      </c>
      <c r="BF4513">
        <f>IF('01_Вводные'!$B$234="Да",IF(OR('19_Расчет_аналитики'!BF4485=0,2&lt;='01_Вводные'!$B$297),0,'19_Расчет_аналитики'!BF4485*IF('01_Вводные'!$B$239="Да",MeanMinAge02+'19_Расчет_аналитики'!BF4607*SUMIF(ThresholdAge02,"&lt;"&amp;'19_Расчет_аналитики'!BF4607,WeightedRevAge02)-SUMIF(ThresholdAge02,"&lt;"&amp;'19_Расчет_аналитики'!BF4607,WeightedMinAge02),MAX(CapacityAge02*'01_Вводные'!$B$218*'19_Расчет_аналитики'!BF4607,MeanMinAge02))),0)</f>
        <v/>
      </c>
      <c r="BG4513">
        <f>IF('01_Вводные'!$B$234="Да",IF(OR('19_Расчет_аналитики'!BG4485=0,2&lt;='01_Вводные'!$B$297),0,'19_Расчет_аналитики'!BG4485*IF('01_Вводные'!$B$239="Да",MeanMinAge02+'19_Расчет_аналитики'!BG4607*SUMIF(ThresholdAge02,"&lt;"&amp;'19_Расчет_аналитики'!BG4607,WeightedRevAge02)-SUMIF(ThresholdAge02,"&lt;"&amp;'19_Расчет_аналитики'!BG4607,WeightedMinAge02),MAX(CapacityAge02*'01_Вводные'!$B$218*'19_Расчет_аналитики'!BG4607,MeanMinAge02))),0)</f>
        <v/>
      </c>
      <c r="BH4513">
        <f>IF('01_Вводные'!$B$234="Да",IF(OR('19_Расчет_аналитики'!BH4485=0,2&lt;='01_Вводные'!$B$297),0,'19_Расчет_аналитики'!BH4485*IF('01_Вводные'!$B$239="Да",MeanMinAge02+'19_Расчет_аналитики'!BH4607*SUMIF(ThresholdAge02,"&lt;"&amp;'19_Расчет_аналитики'!BH4607,WeightedRevAge02)-SUMIF(ThresholdAge02,"&lt;"&amp;'19_Расчет_аналитики'!BH4607,WeightedMinAge02),MAX(CapacityAge02*'01_Вводные'!$B$218*'19_Расчет_аналитики'!BH4607,MeanMinAge02))),0)</f>
        <v/>
      </c>
      <c r="BI4513">
        <f>IF('01_Вводные'!$B$234="Да",IF(OR('19_Расчет_аналитики'!BI4485=0,2&lt;='01_Вводные'!$B$297),0,'19_Расчет_аналитики'!BI4485*IF('01_Вводные'!$B$239="Да",MeanMinAge02+'19_Расчет_аналитики'!BI4607*SUMIF(ThresholdAge02,"&lt;"&amp;'19_Расчет_аналитики'!BI4607,WeightedRevAge02)-SUMIF(ThresholdAge02,"&lt;"&amp;'19_Расчет_аналитики'!BI4607,WeightedMinAge02),MAX(CapacityAge02*'01_Вводные'!$B$218*'19_Расчет_аналитики'!BI4607,MeanMinAge02))),0)</f>
        <v/>
      </c>
      <c r="BJ4513">
        <f>IF('01_Вводные'!$B$234="Да",IF(OR('19_Расчет_аналитики'!BJ4485=0,2&lt;='01_Вводные'!$B$297),0,'19_Расчет_аналитики'!BJ4485*IF('01_Вводные'!$B$239="Да",MeanMinAge02+'19_Расчет_аналитики'!BJ4607*SUMIF(ThresholdAge02,"&lt;"&amp;'19_Расчет_аналитики'!BJ4607,WeightedRevAge02)-SUMIF(ThresholdAge02,"&lt;"&amp;'19_Расчет_аналитики'!BJ4607,WeightedMinAge02),MAX(CapacityAge02*'01_Вводные'!$B$218*'19_Расчет_аналитики'!BJ4607,MeanMinAge02))),0)</f>
        <v/>
      </c>
      <c r="BK4513">
        <f>IF('01_Вводные'!$B$234="Да",IF(OR('19_Расчет_аналитики'!BK4485=0,2&lt;='01_Вводные'!$B$297),0,'19_Расчет_аналитики'!BK4485*IF('01_Вводные'!$B$239="Да",MeanMinAge02+'19_Расчет_аналитики'!BK4607*SUMIF(ThresholdAge02,"&lt;"&amp;'19_Расчет_аналитики'!BK4607,WeightedRevAge02)-SUMIF(ThresholdAge02,"&lt;"&amp;'19_Расчет_аналитики'!BK4607,WeightedMinAge02),MAX(CapacityAge02*'01_Вводные'!$B$218*'19_Расчет_аналитики'!BK4607,MeanMinAge02))),0)</f>
        <v/>
      </c>
      <c r="BL4513">
        <f>IF('01_Вводные'!$B$234="Да",IF(OR('19_Расчет_аналитики'!BL4485=0,2&lt;='01_Вводные'!$B$297),0,'19_Расчет_аналитики'!BL4485*IF('01_Вводные'!$B$239="Да",MeanMinAge02+'19_Расчет_аналитики'!BL4607*SUMIF(ThresholdAge02,"&lt;"&amp;'19_Расчет_аналитики'!BL4607,WeightedRevAge02)-SUMIF(ThresholdAge02,"&lt;"&amp;'19_Расчет_аналитики'!BL4607,WeightedMinAge02),MAX(CapacityAge02*'01_Вводные'!$B$218*'19_Расчет_аналитики'!BL4607,MeanMinAge02))),0)</f>
        <v/>
      </c>
      <c r="BM4513">
        <f>IF('01_Вводные'!$B$234="Да",IF(OR('19_Расчет_аналитики'!BM4485=0,2&lt;='01_Вводные'!$B$297),0,'19_Расчет_аналитики'!BM4485*IF('01_Вводные'!$B$239="Да",MeanMinAge02+'19_Расчет_аналитики'!BM4607*SUMIF(ThresholdAge02,"&lt;"&amp;'19_Расчет_аналитики'!BM4607,WeightedRevAge02)-SUMIF(ThresholdAge02,"&lt;"&amp;'19_Расчет_аналитики'!BM4607,WeightedMinAge02),MAX(CapacityAge02*'01_Вводные'!$B$218*'19_Расчет_аналитики'!BM4607,MeanMinAge02))),0)</f>
        <v/>
      </c>
      <c r="BN4513">
        <f>IF('01_Вводные'!$B$234="Да",IF(OR('19_Расчет_аналитики'!BN4485=0,2&lt;='01_Вводные'!$B$297),0,'19_Расчет_аналитики'!BN4485*IF('01_Вводные'!$B$239="Да",MeanMinAge02+'19_Расчет_аналитики'!BN4607*SUMIF(ThresholdAge02,"&lt;"&amp;'19_Расчет_аналитики'!BN4607,WeightedRevAge02)-SUMIF(ThresholdAge02,"&lt;"&amp;'19_Расчет_аналитики'!BN4607,WeightedMinAge02),MAX(CapacityAge02*'01_Вводные'!$B$218*'19_Расчет_аналитики'!BN4607,MeanMinAge02))),0)</f>
        <v/>
      </c>
      <c r="BO4513">
        <f>IF('01_Вводные'!$B$234="Да",IF(OR('19_Расчет_аналитики'!BO4485=0,2&lt;='01_Вводные'!$B$297),0,'19_Расчет_аналитики'!BO4485*IF('01_Вводные'!$B$239="Да",MeanMinAge02+'19_Расчет_аналитики'!BO4607*SUMIF(ThresholdAge02,"&lt;"&amp;'19_Расчет_аналитики'!BO4607,WeightedRevAge02)-SUMIF(ThresholdAge02,"&lt;"&amp;'19_Расчет_аналитики'!BO4607,WeightedMinAge02),MAX(CapacityAge02*'01_Вводные'!$B$218*'19_Расчет_аналитики'!BO4607,MeanMinAge02))),0)</f>
        <v/>
      </c>
    </row>
    <row r="4514">
      <c r="B4514">
        <f>IF('01_Вводные'!$B$234="Да",IF(OR('06_Сеть_и_дети'!B83=0,3&lt;='01_Вводные'!$B$297),0,'06_Сеть_и_дети'!B83*IF('01_Вводные'!$B$239="Да",MeanMinAge03+'19_Расчет_аналитики'!B4607*SUMIF(ThresholdAge03,"&lt;"&amp;'19_Расчет_аналитики'!B4607,WeightedRevAge03)-SUMIF(ThresholdAge03,"&lt;"&amp;'19_Расчет_аналитики'!B4607,WeightedMinAge03),MAX(CapacityAge03*'01_Вводные'!$B$218*'19_Расчет_аналитики'!B4607,MeanMinAge03))),0)</f>
        <v/>
      </c>
      <c r="C4514">
        <f>IF('01_Вводные'!$B$234="Да",IF(OR('06_Сеть_и_дети'!C83=0,3&lt;='01_Вводные'!$B$297),0,'06_Сеть_и_дети'!C83*IF('01_Вводные'!$B$239="Да",MeanMinAge03+'19_Расчет_аналитики'!C4607*SUMIF(ThresholdAge03,"&lt;"&amp;'19_Расчет_аналитики'!C4607,WeightedRevAge03)-SUMIF(ThresholdAge03,"&lt;"&amp;'19_Расчет_аналитики'!C4607,WeightedMinAge03),MAX(CapacityAge03*'01_Вводные'!$B$218*'19_Расчет_аналитики'!C4607,MeanMinAge03))),0)</f>
        <v/>
      </c>
      <c r="D4514">
        <f>IF('01_Вводные'!$B$234="Да",IF(OR('19_Расчет_аналитики'!D4486=0,3&lt;='01_Вводные'!$B$297),0,'19_Расчет_аналитики'!D4486*IF('01_Вводные'!$B$239="Да",MeanMinAge03+'19_Расчет_аналитики'!D4607*SUMIF(ThresholdAge03,"&lt;"&amp;'19_Расчет_аналитики'!D4607,WeightedRevAge03)-SUMIF(ThresholdAge03,"&lt;"&amp;'19_Расчет_аналитики'!D4607,WeightedMinAge03),MAX(CapacityAge03*'01_Вводные'!$B$218*'19_Расчет_аналитики'!D4607,MeanMinAge03))),0)</f>
        <v/>
      </c>
      <c r="E4514">
        <f>IF('01_Вводные'!$B$234="Да",IF(OR('19_Расчет_аналитики'!E4486=0,3&lt;='01_Вводные'!$B$297),0,'19_Расчет_аналитики'!E4486*IF('01_Вводные'!$B$239="Да",MeanMinAge03+'19_Расчет_аналитики'!E4607*SUMIF(ThresholdAge03,"&lt;"&amp;'19_Расчет_аналитики'!E4607,WeightedRevAge03)-SUMIF(ThresholdAge03,"&lt;"&amp;'19_Расчет_аналитики'!E4607,WeightedMinAge03),MAX(CapacityAge03*'01_Вводные'!$B$218*'19_Расчет_аналитики'!E4607,MeanMinAge03))),0)</f>
        <v/>
      </c>
      <c r="F4514">
        <f>IF('01_Вводные'!$B$234="Да",IF(OR('19_Расчет_аналитики'!F4486=0,3&lt;='01_Вводные'!$B$297),0,'19_Расчет_аналитики'!F4486*IF('01_Вводные'!$B$239="Да",MeanMinAge03+'19_Расчет_аналитики'!F4607*SUMIF(ThresholdAge03,"&lt;"&amp;'19_Расчет_аналитики'!F4607,WeightedRevAge03)-SUMIF(ThresholdAge03,"&lt;"&amp;'19_Расчет_аналитики'!F4607,WeightedMinAge03),MAX(CapacityAge03*'01_Вводные'!$B$218*'19_Расчет_аналитики'!F4607,MeanMinAge03))),0)</f>
        <v/>
      </c>
      <c r="G4514">
        <f>IF('01_Вводные'!$B$234="Да",IF(OR('19_Расчет_аналитики'!G4486=0,3&lt;='01_Вводные'!$B$297),0,'19_Расчет_аналитики'!G4486*IF('01_Вводные'!$B$239="Да",MeanMinAge03+'19_Расчет_аналитики'!G4607*SUMIF(ThresholdAge03,"&lt;"&amp;'19_Расчет_аналитики'!G4607,WeightedRevAge03)-SUMIF(ThresholdAge03,"&lt;"&amp;'19_Расчет_аналитики'!G4607,WeightedMinAge03),MAX(CapacityAge03*'01_Вводные'!$B$218*'19_Расчет_аналитики'!G4607,MeanMinAge03))),0)</f>
        <v/>
      </c>
      <c r="H4514">
        <f>IF('01_Вводные'!$B$234="Да",IF(OR('19_Расчет_аналитики'!H4486=0,3&lt;='01_Вводные'!$B$297),0,'19_Расчет_аналитики'!H4486*IF('01_Вводные'!$B$239="Да",MeanMinAge03+'19_Расчет_аналитики'!H4607*SUMIF(ThresholdAge03,"&lt;"&amp;'19_Расчет_аналитики'!H4607,WeightedRevAge03)-SUMIF(ThresholdAge03,"&lt;"&amp;'19_Расчет_аналитики'!H4607,WeightedMinAge03),MAX(CapacityAge03*'01_Вводные'!$B$218*'19_Расчет_аналитики'!H4607,MeanMinAge03))),0)</f>
        <v/>
      </c>
      <c r="I4514">
        <f>IF('01_Вводные'!$B$234="Да",IF(OR('19_Расчет_аналитики'!I4486=0,3&lt;='01_Вводные'!$B$297),0,'19_Расчет_аналитики'!I4486*IF('01_Вводные'!$B$239="Да",MeanMinAge03+'19_Расчет_аналитики'!I4607*SUMIF(ThresholdAge03,"&lt;"&amp;'19_Расчет_аналитики'!I4607,WeightedRevAge03)-SUMIF(ThresholdAge03,"&lt;"&amp;'19_Расчет_аналитики'!I4607,WeightedMinAge03),MAX(CapacityAge03*'01_Вводные'!$B$218*'19_Расчет_аналитики'!I4607,MeanMinAge03))),0)</f>
        <v/>
      </c>
      <c r="J4514">
        <f>IF('01_Вводные'!$B$234="Да",IF(OR('19_Расчет_аналитики'!J4486=0,3&lt;='01_Вводные'!$B$297),0,'19_Расчет_аналитики'!J4486*IF('01_Вводные'!$B$239="Да",MeanMinAge03+'19_Расчет_аналитики'!J4607*SUMIF(ThresholdAge03,"&lt;"&amp;'19_Расчет_аналитики'!J4607,WeightedRevAge03)-SUMIF(ThresholdAge03,"&lt;"&amp;'19_Расчет_аналитики'!J4607,WeightedMinAge03),MAX(CapacityAge03*'01_Вводные'!$B$218*'19_Расчет_аналитики'!J4607,MeanMinAge03))),0)</f>
        <v/>
      </c>
      <c r="K4514">
        <f>IF('01_Вводные'!$B$234="Да",IF(OR('19_Расчет_аналитики'!K4486=0,3&lt;='01_Вводные'!$B$297),0,'19_Расчет_аналитики'!K4486*IF('01_Вводные'!$B$239="Да",MeanMinAge03+'19_Расчет_аналитики'!K4607*SUMIF(ThresholdAge03,"&lt;"&amp;'19_Расчет_аналитики'!K4607,WeightedRevAge03)-SUMIF(ThresholdAge03,"&lt;"&amp;'19_Расчет_аналитики'!K4607,WeightedMinAge03),MAX(CapacityAge03*'01_Вводные'!$B$218*'19_Расчет_аналитики'!K4607,MeanMinAge03))),0)</f>
        <v/>
      </c>
      <c r="L4514">
        <f>IF('01_Вводные'!$B$234="Да",IF(OR('19_Расчет_аналитики'!L4486=0,3&lt;='01_Вводные'!$B$297),0,'19_Расчет_аналитики'!L4486*IF('01_Вводные'!$B$239="Да",MeanMinAge03+'19_Расчет_аналитики'!L4607*SUMIF(ThresholdAge03,"&lt;"&amp;'19_Расчет_аналитики'!L4607,WeightedRevAge03)-SUMIF(ThresholdAge03,"&lt;"&amp;'19_Расчет_аналитики'!L4607,WeightedMinAge03),MAX(CapacityAge03*'01_Вводные'!$B$218*'19_Расчет_аналитики'!L4607,MeanMinAge03))),0)</f>
        <v/>
      </c>
      <c r="M4514">
        <f>IF('01_Вводные'!$B$234="Да",IF(OR('19_Расчет_аналитики'!M4486=0,3&lt;='01_Вводные'!$B$297),0,'19_Расчет_аналитики'!M4486*IF('01_Вводные'!$B$239="Да",MeanMinAge03+'19_Расчет_аналитики'!M4607*SUMIF(ThresholdAge03,"&lt;"&amp;'19_Расчет_аналитики'!M4607,WeightedRevAge03)-SUMIF(ThresholdAge03,"&lt;"&amp;'19_Расчет_аналитики'!M4607,WeightedMinAge03),MAX(CapacityAge03*'01_Вводные'!$B$218*'19_Расчет_аналитики'!M4607,MeanMinAge03))),0)</f>
        <v/>
      </c>
      <c r="N4514">
        <f>IF('01_Вводные'!$B$234="Да",IF(OR('19_Расчет_аналитики'!N4486=0,3&lt;='01_Вводные'!$B$297),0,'19_Расчет_аналитики'!N4486*IF('01_Вводные'!$B$239="Да",MeanMinAge03+'19_Расчет_аналитики'!N4607*SUMIF(ThresholdAge03,"&lt;"&amp;'19_Расчет_аналитики'!N4607,WeightedRevAge03)-SUMIF(ThresholdAge03,"&lt;"&amp;'19_Расчет_аналитики'!N4607,WeightedMinAge03),MAX(CapacityAge03*'01_Вводные'!$B$218*'19_Расчет_аналитики'!N4607,MeanMinAge03))),0)</f>
        <v/>
      </c>
      <c r="O4514">
        <f>IF('01_Вводные'!$B$234="Да",IF(OR('19_Расчет_аналитики'!O4486=0,3&lt;='01_Вводные'!$B$297),0,'19_Расчет_аналитики'!O4486*IF('01_Вводные'!$B$239="Да",MeanMinAge03+'19_Расчет_аналитики'!O4607*SUMIF(ThresholdAge03,"&lt;"&amp;'19_Расчет_аналитики'!O4607,WeightedRevAge03)-SUMIF(ThresholdAge03,"&lt;"&amp;'19_Расчет_аналитики'!O4607,WeightedMinAge03),MAX(CapacityAge03*'01_Вводные'!$B$218*'19_Расчет_аналитики'!O4607,MeanMinAge03))),0)</f>
        <v/>
      </c>
      <c r="P4514">
        <f>IF('01_Вводные'!$B$234="Да",IF(OR('19_Расчет_аналитики'!P4486=0,3&lt;='01_Вводные'!$B$297),0,'19_Расчет_аналитики'!P4486*IF('01_Вводные'!$B$239="Да",MeanMinAge03+'19_Расчет_аналитики'!P4607*SUMIF(ThresholdAge03,"&lt;"&amp;'19_Расчет_аналитики'!P4607,WeightedRevAge03)-SUMIF(ThresholdAge03,"&lt;"&amp;'19_Расчет_аналитики'!P4607,WeightedMinAge03),MAX(CapacityAge03*'01_Вводные'!$B$218*'19_Расчет_аналитики'!P4607,MeanMinAge03))),0)</f>
        <v/>
      </c>
      <c r="Q4514">
        <f>IF('01_Вводные'!$B$234="Да",IF(OR('19_Расчет_аналитики'!Q4486=0,3&lt;='01_Вводные'!$B$297),0,'19_Расчет_аналитики'!Q4486*IF('01_Вводные'!$B$239="Да",MeanMinAge03+'19_Расчет_аналитики'!Q4607*SUMIF(ThresholdAge03,"&lt;"&amp;'19_Расчет_аналитики'!Q4607,WeightedRevAge03)-SUMIF(ThresholdAge03,"&lt;"&amp;'19_Расчет_аналитики'!Q4607,WeightedMinAge03),MAX(CapacityAge03*'01_Вводные'!$B$218*'19_Расчет_аналитики'!Q4607,MeanMinAge03))),0)</f>
        <v/>
      </c>
      <c r="R4514">
        <f>IF('01_Вводные'!$B$234="Да",IF(OR('19_Расчет_аналитики'!R4486=0,3&lt;='01_Вводные'!$B$297),0,'19_Расчет_аналитики'!R4486*IF('01_Вводные'!$B$239="Да",MeanMinAge03+'19_Расчет_аналитики'!R4607*SUMIF(ThresholdAge03,"&lt;"&amp;'19_Расчет_аналитики'!R4607,WeightedRevAge03)-SUMIF(ThresholdAge03,"&lt;"&amp;'19_Расчет_аналитики'!R4607,WeightedMinAge03),MAX(CapacityAge03*'01_Вводные'!$B$218*'19_Расчет_аналитики'!R4607,MeanMinAge03))),0)</f>
        <v/>
      </c>
      <c r="S4514">
        <f>IF('01_Вводные'!$B$234="Да",IF(OR('19_Расчет_аналитики'!S4486=0,3&lt;='01_Вводные'!$B$297),0,'19_Расчет_аналитики'!S4486*IF('01_Вводные'!$B$239="Да",MeanMinAge03+'19_Расчет_аналитики'!S4607*SUMIF(ThresholdAge03,"&lt;"&amp;'19_Расчет_аналитики'!S4607,WeightedRevAge03)-SUMIF(ThresholdAge03,"&lt;"&amp;'19_Расчет_аналитики'!S4607,WeightedMinAge03),MAX(CapacityAge03*'01_Вводные'!$B$218*'19_Расчет_аналитики'!S4607,MeanMinAge03))),0)</f>
        <v/>
      </c>
      <c r="T4514">
        <f>IF('01_Вводные'!$B$234="Да",IF(OR('19_Расчет_аналитики'!T4486=0,3&lt;='01_Вводные'!$B$297),0,'19_Расчет_аналитики'!T4486*IF('01_Вводные'!$B$239="Да",MeanMinAge03+'19_Расчет_аналитики'!T4607*SUMIF(ThresholdAge03,"&lt;"&amp;'19_Расчет_аналитики'!T4607,WeightedRevAge03)-SUMIF(ThresholdAge03,"&lt;"&amp;'19_Расчет_аналитики'!T4607,WeightedMinAge03),MAX(CapacityAge03*'01_Вводные'!$B$218*'19_Расчет_аналитики'!T4607,MeanMinAge03))),0)</f>
        <v/>
      </c>
      <c r="U4514">
        <f>IF('01_Вводные'!$B$234="Да",IF(OR('19_Расчет_аналитики'!U4486=0,3&lt;='01_Вводные'!$B$297),0,'19_Расчет_аналитики'!U4486*IF('01_Вводные'!$B$239="Да",MeanMinAge03+'19_Расчет_аналитики'!U4607*SUMIF(ThresholdAge03,"&lt;"&amp;'19_Расчет_аналитики'!U4607,WeightedRevAge03)-SUMIF(ThresholdAge03,"&lt;"&amp;'19_Расчет_аналитики'!U4607,WeightedMinAge03),MAX(CapacityAge03*'01_Вводные'!$B$218*'19_Расчет_аналитики'!U4607,MeanMinAge03))),0)</f>
        <v/>
      </c>
      <c r="V4514">
        <f>IF('01_Вводные'!$B$234="Да",IF(OR('19_Расчет_аналитики'!V4486=0,3&lt;='01_Вводные'!$B$297),0,'19_Расчет_аналитики'!V4486*IF('01_Вводные'!$B$239="Да",MeanMinAge03+'19_Расчет_аналитики'!V4607*SUMIF(ThresholdAge03,"&lt;"&amp;'19_Расчет_аналитики'!V4607,WeightedRevAge03)-SUMIF(ThresholdAge03,"&lt;"&amp;'19_Расчет_аналитики'!V4607,WeightedMinAge03),MAX(CapacityAge03*'01_Вводные'!$B$218*'19_Расчет_аналитики'!V4607,MeanMinAge03))),0)</f>
        <v/>
      </c>
      <c r="W4514">
        <f>IF('01_Вводные'!$B$234="Да",IF(OR('19_Расчет_аналитики'!W4486=0,3&lt;='01_Вводные'!$B$297),0,'19_Расчет_аналитики'!W4486*IF('01_Вводные'!$B$239="Да",MeanMinAge03+'19_Расчет_аналитики'!W4607*SUMIF(ThresholdAge03,"&lt;"&amp;'19_Расчет_аналитики'!W4607,WeightedRevAge03)-SUMIF(ThresholdAge03,"&lt;"&amp;'19_Расчет_аналитики'!W4607,WeightedMinAge03),MAX(CapacityAge03*'01_Вводные'!$B$218*'19_Расчет_аналитики'!W4607,MeanMinAge03))),0)</f>
        <v/>
      </c>
      <c r="X4514">
        <f>IF('01_Вводные'!$B$234="Да",IF(OR('19_Расчет_аналитики'!X4486=0,3&lt;='01_Вводные'!$B$297),0,'19_Расчет_аналитики'!X4486*IF('01_Вводные'!$B$239="Да",MeanMinAge03+'19_Расчет_аналитики'!X4607*SUMIF(ThresholdAge03,"&lt;"&amp;'19_Расчет_аналитики'!X4607,WeightedRevAge03)-SUMIF(ThresholdAge03,"&lt;"&amp;'19_Расчет_аналитики'!X4607,WeightedMinAge03),MAX(CapacityAge03*'01_Вводные'!$B$218*'19_Расчет_аналитики'!X4607,MeanMinAge03))),0)</f>
        <v/>
      </c>
      <c r="Y4514">
        <f>IF('01_Вводные'!$B$234="Да",IF(OR('19_Расчет_аналитики'!Y4486=0,3&lt;='01_Вводные'!$B$297),0,'19_Расчет_аналитики'!Y4486*IF('01_Вводные'!$B$239="Да",MeanMinAge03+'19_Расчет_аналитики'!Y4607*SUMIF(ThresholdAge03,"&lt;"&amp;'19_Расчет_аналитики'!Y4607,WeightedRevAge03)-SUMIF(ThresholdAge03,"&lt;"&amp;'19_Расчет_аналитики'!Y4607,WeightedMinAge03),MAX(CapacityAge03*'01_Вводные'!$B$218*'19_Расчет_аналитики'!Y4607,MeanMinAge03))),0)</f>
        <v/>
      </c>
      <c r="Z4514">
        <f>IF('01_Вводные'!$B$234="Да",IF(OR('19_Расчет_аналитики'!Z4486=0,3&lt;='01_Вводные'!$B$297),0,'19_Расчет_аналитики'!Z4486*IF('01_Вводные'!$B$239="Да",MeanMinAge03+'19_Расчет_аналитики'!Z4607*SUMIF(ThresholdAge03,"&lt;"&amp;'19_Расчет_аналитики'!Z4607,WeightedRevAge03)-SUMIF(ThresholdAge03,"&lt;"&amp;'19_Расчет_аналитики'!Z4607,WeightedMinAge03),MAX(CapacityAge03*'01_Вводные'!$B$218*'19_Расчет_аналитики'!Z4607,MeanMinAge03))),0)</f>
        <v/>
      </c>
      <c r="AA4514">
        <f>IF('01_Вводные'!$B$234="Да",IF(OR('19_Расчет_аналитики'!AA4486=0,3&lt;='01_Вводные'!$B$297),0,'19_Расчет_аналитики'!AA4486*IF('01_Вводные'!$B$239="Да",MeanMinAge03+'19_Расчет_аналитики'!AA4607*SUMIF(ThresholdAge03,"&lt;"&amp;'19_Расчет_аналитики'!AA4607,WeightedRevAge03)-SUMIF(ThresholdAge03,"&lt;"&amp;'19_Расчет_аналитики'!AA4607,WeightedMinAge03),MAX(CapacityAge03*'01_Вводные'!$B$218*'19_Расчет_аналитики'!AA4607,MeanMinAge03))),0)</f>
        <v/>
      </c>
      <c r="AB4514">
        <f>IF('01_Вводные'!$B$234="Да",IF(OR('19_Расчет_аналитики'!AB4486=0,3&lt;='01_Вводные'!$B$297),0,'19_Расчет_аналитики'!AB4486*IF('01_Вводные'!$B$239="Да",MeanMinAge03+'19_Расчет_аналитики'!AB4607*SUMIF(ThresholdAge03,"&lt;"&amp;'19_Расчет_аналитики'!AB4607,WeightedRevAge03)-SUMIF(ThresholdAge03,"&lt;"&amp;'19_Расчет_аналитики'!AB4607,WeightedMinAge03),MAX(CapacityAge03*'01_Вводные'!$B$218*'19_Расчет_аналитики'!AB4607,MeanMinAge03))),0)</f>
        <v/>
      </c>
      <c r="AC4514">
        <f>IF('01_Вводные'!$B$234="Да",IF(OR('19_Расчет_аналитики'!AC4486=0,3&lt;='01_Вводные'!$B$297),0,'19_Расчет_аналитики'!AC4486*IF('01_Вводные'!$B$239="Да",MeanMinAge03+'19_Расчет_аналитики'!AC4607*SUMIF(ThresholdAge03,"&lt;"&amp;'19_Расчет_аналитики'!AC4607,WeightedRevAge03)-SUMIF(ThresholdAge03,"&lt;"&amp;'19_Расчет_аналитики'!AC4607,WeightedMinAge03),MAX(CapacityAge03*'01_Вводные'!$B$218*'19_Расчет_аналитики'!AC4607,MeanMinAge03))),0)</f>
        <v/>
      </c>
      <c r="AD4514">
        <f>IF('01_Вводные'!$B$234="Да",IF(OR('19_Расчет_аналитики'!AD4486=0,3&lt;='01_Вводные'!$B$297),0,'19_Расчет_аналитики'!AD4486*IF('01_Вводные'!$B$239="Да",MeanMinAge03+'19_Расчет_аналитики'!AD4607*SUMIF(ThresholdAge03,"&lt;"&amp;'19_Расчет_аналитики'!AD4607,WeightedRevAge03)-SUMIF(ThresholdAge03,"&lt;"&amp;'19_Расчет_аналитики'!AD4607,WeightedMinAge03),MAX(CapacityAge03*'01_Вводные'!$B$218*'19_Расчет_аналитики'!AD4607,MeanMinAge03))),0)</f>
        <v/>
      </c>
      <c r="AE4514">
        <f>IF('01_Вводные'!$B$234="Да",IF(OR('19_Расчет_аналитики'!AE4486=0,3&lt;='01_Вводные'!$B$297),0,'19_Расчет_аналитики'!AE4486*IF('01_Вводные'!$B$239="Да",MeanMinAge03+'19_Расчет_аналитики'!AE4607*SUMIF(ThresholdAge03,"&lt;"&amp;'19_Расчет_аналитики'!AE4607,WeightedRevAge03)-SUMIF(ThresholdAge03,"&lt;"&amp;'19_Расчет_аналитики'!AE4607,WeightedMinAge03),MAX(CapacityAge03*'01_Вводные'!$B$218*'19_Расчет_аналитики'!AE4607,MeanMinAge03))),0)</f>
        <v/>
      </c>
      <c r="AF4514">
        <f>IF('01_Вводные'!$B$234="Да",IF(OR('19_Расчет_аналитики'!AF4486=0,3&lt;='01_Вводные'!$B$297),0,'19_Расчет_аналитики'!AF4486*IF('01_Вводные'!$B$239="Да",MeanMinAge03+'19_Расчет_аналитики'!AF4607*SUMIF(ThresholdAge03,"&lt;"&amp;'19_Расчет_аналитики'!AF4607,WeightedRevAge03)-SUMIF(ThresholdAge03,"&lt;"&amp;'19_Расчет_аналитики'!AF4607,WeightedMinAge03),MAX(CapacityAge03*'01_Вводные'!$B$218*'19_Расчет_аналитики'!AF4607,MeanMinAge03))),0)</f>
        <v/>
      </c>
      <c r="AG4514">
        <f>IF('01_Вводные'!$B$234="Да",IF(OR('19_Расчет_аналитики'!AG4486=0,3&lt;='01_Вводные'!$B$297),0,'19_Расчет_аналитики'!AG4486*IF('01_Вводные'!$B$239="Да",MeanMinAge03+'19_Расчет_аналитики'!AG4607*SUMIF(ThresholdAge03,"&lt;"&amp;'19_Расчет_аналитики'!AG4607,WeightedRevAge03)-SUMIF(ThresholdAge03,"&lt;"&amp;'19_Расчет_аналитики'!AG4607,WeightedMinAge03),MAX(CapacityAge03*'01_Вводные'!$B$218*'19_Расчет_аналитики'!AG4607,MeanMinAge03))),0)</f>
        <v/>
      </c>
      <c r="AH4514">
        <f>IF('01_Вводные'!$B$234="Да",IF(OR('19_Расчет_аналитики'!AH4486=0,3&lt;='01_Вводные'!$B$297),0,'19_Расчет_аналитики'!AH4486*IF('01_Вводные'!$B$239="Да",MeanMinAge03+'19_Расчет_аналитики'!AH4607*SUMIF(ThresholdAge03,"&lt;"&amp;'19_Расчет_аналитики'!AH4607,WeightedRevAge03)-SUMIF(ThresholdAge03,"&lt;"&amp;'19_Расчет_аналитики'!AH4607,WeightedMinAge03),MAX(CapacityAge03*'01_Вводные'!$B$218*'19_Расчет_аналитики'!AH4607,MeanMinAge03))),0)</f>
        <v/>
      </c>
      <c r="AI4514">
        <f>IF('01_Вводные'!$B$234="Да",IF(OR('19_Расчет_аналитики'!AI4486=0,3&lt;='01_Вводные'!$B$297),0,'19_Расчет_аналитики'!AI4486*IF('01_Вводные'!$B$239="Да",MeanMinAge03+'19_Расчет_аналитики'!AI4607*SUMIF(ThresholdAge03,"&lt;"&amp;'19_Расчет_аналитики'!AI4607,WeightedRevAge03)-SUMIF(ThresholdAge03,"&lt;"&amp;'19_Расчет_аналитики'!AI4607,WeightedMinAge03),MAX(CapacityAge03*'01_Вводные'!$B$218*'19_Расчет_аналитики'!AI4607,MeanMinAge03))),0)</f>
        <v/>
      </c>
      <c r="AJ4514">
        <f>IF('01_Вводные'!$B$234="Да",IF(OR('19_Расчет_аналитики'!AJ4486=0,3&lt;='01_Вводные'!$B$297),0,'19_Расчет_аналитики'!AJ4486*IF('01_Вводные'!$B$239="Да",MeanMinAge03+'19_Расчет_аналитики'!AJ4607*SUMIF(ThresholdAge03,"&lt;"&amp;'19_Расчет_аналитики'!AJ4607,WeightedRevAge03)-SUMIF(ThresholdAge03,"&lt;"&amp;'19_Расчет_аналитики'!AJ4607,WeightedMinAge03),MAX(CapacityAge03*'01_Вводные'!$B$218*'19_Расчет_аналитики'!AJ4607,MeanMinAge03))),0)</f>
        <v/>
      </c>
      <c r="AK4514">
        <f>IF('01_Вводные'!$B$234="Да",IF(OR('19_Расчет_аналитики'!AK4486=0,3&lt;='01_Вводные'!$B$297),0,'19_Расчет_аналитики'!AK4486*IF('01_Вводные'!$B$239="Да",MeanMinAge03+'19_Расчет_аналитики'!AK4607*SUMIF(ThresholdAge03,"&lt;"&amp;'19_Расчет_аналитики'!AK4607,WeightedRevAge03)-SUMIF(ThresholdAge03,"&lt;"&amp;'19_Расчет_аналитики'!AK4607,WeightedMinAge03),MAX(CapacityAge03*'01_Вводные'!$B$218*'19_Расчет_аналитики'!AK4607,MeanMinAge03))),0)</f>
        <v/>
      </c>
      <c r="AL4514">
        <f>IF('01_Вводные'!$B$234="Да",IF(OR('19_Расчет_аналитики'!AL4486=0,3&lt;='01_Вводные'!$B$297),0,'19_Расчет_аналитики'!AL4486*IF('01_Вводные'!$B$239="Да",MeanMinAge03+'19_Расчет_аналитики'!AL4607*SUMIF(ThresholdAge03,"&lt;"&amp;'19_Расчет_аналитики'!AL4607,WeightedRevAge03)-SUMIF(ThresholdAge03,"&lt;"&amp;'19_Расчет_аналитики'!AL4607,WeightedMinAge03),MAX(CapacityAge03*'01_Вводные'!$B$218*'19_Расчет_аналитики'!AL4607,MeanMinAge03))),0)</f>
        <v/>
      </c>
      <c r="AM4514">
        <f>IF('01_Вводные'!$B$234="Да",IF(OR('19_Расчет_аналитики'!AM4486=0,3&lt;='01_Вводные'!$B$297),0,'19_Расчет_аналитики'!AM4486*IF('01_Вводные'!$B$239="Да",MeanMinAge03+'19_Расчет_аналитики'!AM4607*SUMIF(ThresholdAge03,"&lt;"&amp;'19_Расчет_аналитики'!AM4607,WeightedRevAge03)-SUMIF(ThresholdAge03,"&lt;"&amp;'19_Расчет_аналитики'!AM4607,WeightedMinAge03),MAX(CapacityAge03*'01_Вводные'!$B$218*'19_Расчет_аналитики'!AM4607,MeanMinAge03))),0)</f>
        <v/>
      </c>
      <c r="AN4514">
        <f>IF('01_Вводные'!$B$234="Да",IF(OR('19_Расчет_аналитики'!AN4486=0,3&lt;='01_Вводные'!$B$297),0,'19_Расчет_аналитики'!AN4486*IF('01_Вводные'!$B$239="Да",MeanMinAge03+'19_Расчет_аналитики'!AN4607*SUMIF(ThresholdAge03,"&lt;"&amp;'19_Расчет_аналитики'!AN4607,WeightedRevAge03)-SUMIF(ThresholdAge03,"&lt;"&amp;'19_Расчет_аналитики'!AN4607,WeightedMinAge03),MAX(CapacityAge03*'01_Вводные'!$B$218*'19_Расчет_аналитики'!AN4607,MeanMinAge03))),0)</f>
        <v/>
      </c>
      <c r="AO4514">
        <f>IF('01_Вводные'!$B$234="Да",IF(OR('19_Расчет_аналитики'!AO4486=0,3&lt;='01_Вводные'!$B$297),0,'19_Расчет_аналитики'!AO4486*IF('01_Вводные'!$B$239="Да",MeanMinAge03+'19_Расчет_аналитики'!AO4607*SUMIF(ThresholdAge03,"&lt;"&amp;'19_Расчет_аналитики'!AO4607,WeightedRevAge03)-SUMIF(ThresholdAge03,"&lt;"&amp;'19_Расчет_аналитики'!AO4607,WeightedMinAge03),MAX(CapacityAge03*'01_Вводные'!$B$218*'19_Расчет_аналитики'!AO4607,MeanMinAge03))),0)</f>
        <v/>
      </c>
      <c r="AP4514">
        <f>IF('01_Вводные'!$B$234="Да",IF(OR('19_Расчет_аналитики'!AP4486=0,3&lt;='01_Вводные'!$B$297),0,'19_Расчет_аналитики'!AP4486*IF('01_Вводные'!$B$239="Да",MeanMinAge03+'19_Расчет_аналитики'!AP4607*SUMIF(ThresholdAge03,"&lt;"&amp;'19_Расчет_аналитики'!AP4607,WeightedRevAge03)-SUMIF(ThresholdAge03,"&lt;"&amp;'19_Расчет_аналитики'!AP4607,WeightedMinAge03),MAX(CapacityAge03*'01_Вводные'!$B$218*'19_Расчет_аналитики'!AP4607,MeanMinAge03))),0)</f>
        <v/>
      </c>
      <c r="AQ4514">
        <f>IF('01_Вводные'!$B$234="Да",IF(OR('19_Расчет_аналитики'!AQ4486=0,3&lt;='01_Вводные'!$B$297),0,'19_Расчет_аналитики'!AQ4486*IF('01_Вводные'!$B$239="Да",MeanMinAge03+'19_Расчет_аналитики'!AQ4607*SUMIF(ThresholdAge03,"&lt;"&amp;'19_Расчет_аналитики'!AQ4607,WeightedRevAge03)-SUMIF(ThresholdAge03,"&lt;"&amp;'19_Расчет_аналитики'!AQ4607,WeightedMinAge03),MAX(CapacityAge03*'01_Вводные'!$B$218*'19_Расчет_аналитики'!AQ4607,MeanMinAge03))),0)</f>
        <v/>
      </c>
      <c r="AR4514">
        <f>IF('01_Вводные'!$B$234="Да",IF(OR('19_Расчет_аналитики'!AR4486=0,3&lt;='01_Вводные'!$B$297),0,'19_Расчет_аналитики'!AR4486*IF('01_Вводные'!$B$239="Да",MeanMinAge03+'19_Расчет_аналитики'!AR4607*SUMIF(ThresholdAge03,"&lt;"&amp;'19_Расчет_аналитики'!AR4607,WeightedRevAge03)-SUMIF(ThresholdAge03,"&lt;"&amp;'19_Расчет_аналитики'!AR4607,WeightedMinAge03),MAX(CapacityAge03*'01_Вводные'!$B$218*'19_Расчет_аналитики'!AR4607,MeanMinAge03))),0)</f>
        <v/>
      </c>
      <c r="AS4514">
        <f>IF('01_Вводные'!$B$234="Да",IF(OR('19_Расчет_аналитики'!AS4486=0,3&lt;='01_Вводные'!$B$297),0,'19_Расчет_аналитики'!AS4486*IF('01_Вводные'!$B$239="Да",MeanMinAge03+'19_Расчет_аналитики'!AS4607*SUMIF(ThresholdAge03,"&lt;"&amp;'19_Расчет_аналитики'!AS4607,WeightedRevAge03)-SUMIF(ThresholdAge03,"&lt;"&amp;'19_Расчет_аналитики'!AS4607,WeightedMinAge03),MAX(CapacityAge03*'01_Вводные'!$B$218*'19_Расчет_аналитики'!AS4607,MeanMinAge03))),0)</f>
        <v/>
      </c>
      <c r="AT4514">
        <f>IF('01_Вводные'!$B$234="Да",IF(OR('19_Расчет_аналитики'!AT4486=0,3&lt;='01_Вводные'!$B$297),0,'19_Расчет_аналитики'!AT4486*IF('01_Вводные'!$B$239="Да",MeanMinAge03+'19_Расчет_аналитики'!AT4607*SUMIF(ThresholdAge03,"&lt;"&amp;'19_Расчет_аналитики'!AT4607,WeightedRevAge03)-SUMIF(ThresholdAge03,"&lt;"&amp;'19_Расчет_аналитики'!AT4607,WeightedMinAge03),MAX(CapacityAge03*'01_Вводные'!$B$218*'19_Расчет_аналитики'!AT4607,MeanMinAge03))),0)</f>
        <v/>
      </c>
      <c r="AU4514">
        <f>IF('01_Вводные'!$B$234="Да",IF(OR('19_Расчет_аналитики'!AU4486=0,3&lt;='01_Вводные'!$B$297),0,'19_Расчет_аналитики'!AU4486*IF('01_Вводные'!$B$239="Да",MeanMinAge03+'19_Расчет_аналитики'!AU4607*SUMIF(ThresholdAge03,"&lt;"&amp;'19_Расчет_аналитики'!AU4607,WeightedRevAge03)-SUMIF(ThresholdAge03,"&lt;"&amp;'19_Расчет_аналитики'!AU4607,WeightedMinAge03),MAX(CapacityAge03*'01_Вводные'!$B$218*'19_Расчет_аналитики'!AU4607,MeanMinAge03))),0)</f>
        <v/>
      </c>
      <c r="AV4514">
        <f>IF('01_Вводные'!$B$234="Да",IF(OR('19_Расчет_аналитики'!AV4486=0,3&lt;='01_Вводные'!$B$297),0,'19_Расчет_аналитики'!AV4486*IF('01_Вводные'!$B$239="Да",MeanMinAge03+'19_Расчет_аналитики'!AV4607*SUMIF(ThresholdAge03,"&lt;"&amp;'19_Расчет_аналитики'!AV4607,WeightedRevAge03)-SUMIF(ThresholdAge03,"&lt;"&amp;'19_Расчет_аналитики'!AV4607,WeightedMinAge03),MAX(CapacityAge03*'01_Вводные'!$B$218*'19_Расчет_аналитики'!AV4607,MeanMinAge03))),0)</f>
        <v/>
      </c>
      <c r="AW4514">
        <f>IF('01_Вводные'!$B$234="Да",IF(OR('19_Расчет_аналитики'!AW4486=0,3&lt;='01_Вводные'!$B$297),0,'19_Расчет_аналитики'!AW4486*IF('01_Вводные'!$B$239="Да",MeanMinAge03+'19_Расчет_аналитики'!AW4607*SUMIF(ThresholdAge03,"&lt;"&amp;'19_Расчет_аналитики'!AW4607,WeightedRevAge03)-SUMIF(ThresholdAge03,"&lt;"&amp;'19_Расчет_аналитики'!AW4607,WeightedMinAge03),MAX(CapacityAge03*'01_Вводные'!$B$218*'19_Расчет_аналитики'!AW4607,MeanMinAge03))),0)</f>
        <v/>
      </c>
      <c r="AX4514">
        <f>IF('01_Вводные'!$B$234="Да",IF(OR('19_Расчет_аналитики'!AX4486=0,3&lt;='01_Вводные'!$B$297),0,'19_Расчет_аналитики'!AX4486*IF('01_Вводные'!$B$239="Да",MeanMinAge03+'19_Расчет_аналитики'!AX4607*SUMIF(ThresholdAge03,"&lt;"&amp;'19_Расчет_аналитики'!AX4607,WeightedRevAge03)-SUMIF(ThresholdAge03,"&lt;"&amp;'19_Расчет_аналитики'!AX4607,WeightedMinAge03),MAX(CapacityAge03*'01_Вводные'!$B$218*'19_Расчет_аналитики'!AX4607,MeanMinAge03))),0)</f>
        <v/>
      </c>
      <c r="AY4514">
        <f>IF('01_Вводные'!$B$234="Да",IF(OR('19_Расчет_аналитики'!AY4486=0,3&lt;='01_Вводные'!$B$297),0,'19_Расчет_аналитики'!AY4486*IF('01_Вводные'!$B$239="Да",MeanMinAge03+'19_Расчет_аналитики'!AY4607*SUMIF(ThresholdAge03,"&lt;"&amp;'19_Расчет_аналитики'!AY4607,WeightedRevAge03)-SUMIF(ThresholdAge03,"&lt;"&amp;'19_Расчет_аналитики'!AY4607,WeightedMinAge03),MAX(CapacityAge03*'01_Вводные'!$B$218*'19_Расчет_аналитики'!AY4607,MeanMinAge03))),0)</f>
        <v/>
      </c>
      <c r="AZ4514">
        <f>IF('01_Вводные'!$B$234="Да",IF(OR('19_Расчет_аналитики'!AZ4486=0,3&lt;='01_Вводные'!$B$297),0,'19_Расчет_аналитики'!AZ4486*IF('01_Вводные'!$B$239="Да",MeanMinAge03+'19_Расчет_аналитики'!AZ4607*SUMIF(ThresholdAge03,"&lt;"&amp;'19_Расчет_аналитики'!AZ4607,WeightedRevAge03)-SUMIF(ThresholdAge03,"&lt;"&amp;'19_Расчет_аналитики'!AZ4607,WeightedMinAge03),MAX(CapacityAge03*'01_Вводные'!$B$218*'19_Расчет_аналитики'!AZ4607,MeanMinAge03))),0)</f>
        <v/>
      </c>
      <c r="BA4514">
        <f>IF('01_Вводные'!$B$234="Да",IF(OR('19_Расчет_аналитики'!BA4486=0,3&lt;='01_Вводные'!$B$297),0,'19_Расчет_аналитики'!BA4486*IF('01_Вводные'!$B$239="Да",MeanMinAge03+'19_Расчет_аналитики'!BA4607*SUMIF(ThresholdAge03,"&lt;"&amp;'19_Расчет_аналитики'!BA4607,WeightedRevAge03)-SUMIF(ThresholdAge03,"&lt;"&amp;'19_Расчет_аналитики'!BA4607,WeightedMinAge03),MAX(CapacityAge03*'01_Вводные'!$B$218*'19_Расчет_аналитики'!BA4607,MeanMinAge03))),0)</f>
        <v/>
      </c>
      <c r="BB4514">
        <f>IF('01_Вводные'!$B$234="Да",IF(OR('19_Расчет_аналитики'!BB4486=0,3&lt;='01_Вводные'!$B$297),0,'19_Расчет_аналитики'!BB4486*IF('01_Вводные'!$B$239="Да",MeanMinAge03+'19_Расчет_аналитики'!BB4607*SUMIF(ThresholdAge03,"&lt;"&amp;'19_Расчет_аналитики'!BB4607,WeightedRevAge03)-SUMIF(ThresholdAge03,"&lt;"&amp;'19_Расчет_аналитики'!BB4607,WeightedMinAge03),MAX(CapacityAge03*'01_Вводные'!$B$218*'19_Расчет_аналитики'!BB4607,MeanMinAge03))),0)</f>
        <v/>
      </c>
      <c r="BC4514">
        <f>IF('01_Вводные'!$B$234="Да",IF(OR('19_Расчет_аналитики'!BC4486=0,3&lt;='01_Вводные'!$B$297),0,'19_Расчет_аналитики'!BC4486*IF('01_Вводные'!$B$239="Да",MeanMinAge03+'19_Расчет_аналитики'!BC4607*SUMIF(ThresholdAge03,"&lt;"&amp;'19_Расчет_аналитики'!BC4607,WeightedRevAge03)-SUMIF(ThresholdAge03,"&lt;"&amp;'19_Расчет_аналитики'!BC4607,WeightedMinAge03),MAX(CapacityAge03*'01_Вводные'!$B$218*'19_Расчет_аналитики'!BC4607,MeanMinAge03))),0)</f>
        <v/>
      </c>
      <c r="BD4514">
        <f>IF('01_Вводные'!$B$234="Да",IF(OR('19_Расчет_аналитики'!BD4486=0,3&lt;='01_Вводные'!$B$297),0,'19_Расчет_аналитики'!BD4486*IF('01_Вводные'!$B$239="Да",MeanMinAge03+'19_Расчет_аналитики'!BD4607*SUMIF(ThresholdAge03,"&lt;"&amp;'19_Расчет_аналитики'!BD4607,WeightedRevAge03)-SUMIF(ThresholdAge03,"&lt;"&amp;'19_Расчет_аналитики'!BD4607,WeightedMinAge03),MAX(CapacityAge03*'01_Вводные'!$B$218*'19_Расчет_аналитики'!BD4607,MeanMinAge03))),0)</f>
        <v/>
      </c>
      <c r="BE4514">
        <f>IF('01_Вводные'!$B$234="Да",IF(OR('19_Расчет_аналитики'!BE4486=0,3&lt;='01_Вводные'!$B$297),0,'19_Расчет_аналитики'!BE4486*IF('01_Вводные'!$B$239="Да",MeanMinAge03+'19_Расчет_аналитики'!BE4607*SUMIF(ThresholdAge03,"&lt;"&amp;'19_Расчет_аналитики'!BE4607,WeightedRevAge03)-SUMIF(ThresholdAge03,"&lt;"&amp;'19_Расчет_аналитики'!BE4607,WeightedMinAge03),MAX(CapacityAge03*'01_Вводные'!$B$218*'19_Расчет_аналитики'!BE4607,MeanMinAge03))),0)</f>
        <v/>
      </c>
      <c r="BF4514">
        <f>IF('01_Вводные'!$B$234="Да",IF(OR('19_Расчет_аналитики'!BF4486=0,3&lt;='01_Вводные'!$B$297),0,'19_Расчет_аналитики'!BF4486*IF('01_Вводные'!$B$239="Да",MeanMinAge03+'19_Расчет_аналитики'!BF4607*SUMIF(ThresholdAge03,"&lt;"&amp;'19_Расчет_аналитики'!BF4607,WeightedRevAge03)-SUMIF(ThresholdAge03,"&lt;"&amp;'19_Расчет_аналитики'!BF4607,WeightedMinAge03),MAX(CapacityAge03*'01_Вводные'!$B$218*'19_Расчет_аналитики'!BF4607,MeanMinAge03))),0)</f>
        <v/>
      </c>
      <c r="BG4514">
        <f>IF('01_Вводные'!$B$234="Да",IF(OR('19_Расчет_аналитики'!BG4486=0,3&lt;='01_Вводные'!$B$297),0,'19_Расчет_аналитики'!BG4486*IF('01_Вводные'!$B$239="Да",MeanMinAge03+'19_Расчет_аналитики'!BG4607*SUMIF(ThresholdAge03,"&lt;"&amp;'19_Расчет_аналитики'!BG4607,WeightedRevAge03)-SUMIF(ThresholdAge03,"&lt;"&amp;'19_Расчет_аналитики'!BG4607,WeightedMinAge03),MAX(CapacityAge03*'01_Вводные'!$B$218*'19_Расчет_аналитики'!BG4607,MeanMinAge03))),0)</f>
        <v/>
      </c>
      <c r="BH4514">
        <f>IF('01_Вводные'!$B$234="Да",IF(OR('19_Расчет_аналитики'!BH4486=0,3&lt;='01_Вводные'!$B$297),0,'19_Расчет_аналитики'!BH4486*IF('01_Вводные'!$B$239="Да",MeanMinAge03+'19_Расчет_аналитики'!BH4607*SUMIF(ThresholdAge03,"&lt;"&amp;'19_Расчет_аналитики'!BH4607,WeightedRevAge03)-SUMIF(ThresholdAge03,"&lt;"&amp;'19_Расчет_аналитики'!BH4607,WeightedMinAge03),MAX(CapacityAge03*'01_Вводные'!$B$218*'19_Расчет_аналитики'!BH4607,MeanMinAge03))),0)</f>
        <v/>
      </c>
      <c r="BI4514">
        <f>IF('01_Вводные'!$B$234="Да",IF(OR('19_Расчет_аналитики'!BI4486=0,3&lt;='01_Вводные'!$B$297),0,'19_Расчет_аналитики'!BI4486*IF('01_Вводные'!$B$239="Да",MeanMinAge03+'19_Расчет_аналитики'!BI4607*SUMIF(ThresholdAge03,"&lt;"&amp;'19_Расчет_аналитики'!BI4607,WeightedRevAge03)-SUMIF(ThresholdAge03,"&lt;"&amp;'19_Расчет_аналитики'!BI4607,WeightedMinAge03),MAX(CapacityAge03*'01_Вводные'!$B$218*'19_Расчет_аналитики'!BI4607,MeanMinAge03))),0)</f>
        <v/>
      </c>
      <c r="BJ4514">
        <f>IF('01_Вводные'!$B$234="Да",IF(OR('19_Расчет_аналитики'!BJ4486=0,3&lt;='01_Вводные'!$B$297),0,'19_Расчет_аналитики'!BJ4486*IF('01_Вводные'!$B$239="Да",MeanMinAge03+'19_Расчет_аналитики'!BJ4607*SUMIF(ThresholdAge03,"&lt;"&amp;'19_Расчет_аналитики'!BJ4607,WeightedRevAge03)-SUMIF(ThresholdAge03,"&lt;"&amp;'19_Расчет_аналитики'!BJ4607,WeightedMinAge03),MAX(CapacityAge03*'01_Вводные'!$B$218*'19_Расчет_аналитики'!BJ4607,MeanMinAge03))),0)</f>
        <v/>
      </c>
      <c r="BK4514">
        <f>IF('01_Вводные'!$B$234="Да",IF(OR('19_Расчет_аналитики'!BK4486=0,3&lt;='01_Вводные'!$B$297),0,'19_Расчет_аналитики'!BK4486*IF('01_Вводные'!$B$239="Да",MeanMinAge03+'19_Расчет_аналитики'!BK4607*SUMIF(ThresholdAge03,"&lt;"&amp;'19_Расчет_аналитики'!BK4607,WeightedRevAge03)-SUMIF(ThresholdAge03,"&lt;"&amp;'19_Расчет_аналитики'!BK4607,WeightedMinAge03),MAX(CapacityAge03*'01_Вводные'!$B$218*'19_Расчет_аналитики'!BK4607,MeanMinAge03))),0)</f>
        <v/>
      </c>
      <c r="BL4514">
        <f>IF('01_Вводные'!$B$234="Да",IF(OR('19_Расчет_аналитики'!BL4486=0,3&lt;='01_Вводные'!$B$297),0,'19_Расчет_аналитики'!BL4486*IF('01_Вводные'!$B$239="Да",MeanMinAge03+'19_Расчет_аналитики'!BL4607*SUMIF(ThresholdAge03,"&lt;"&amp;'19_Расчет_аналитики'!BL4607,WeightedRevAge03)-SUMIF(ThresholdAge03,"&lt;"&amp;'19_Расчет_аналитики'!BL4607,WeightedMinAge03),MAX(CapacityAge03*'01_Вводные'!$B$218*'19_Расчет_аналитики'!BL4607,MeanMinAge03))),0)</f>
        <v/>
      </c>
      <c r="BM4514">
        <f>IF('01_Вводные'!$B$234="Да",IF(OR('19_Расчет_аналитики'!BM4486=0,3&lt;='01_Вводные'!$B$297),0,'19_Расчет_аналитики'!BM4486*IF('01_Вводные'!$B$239="Да",MeanMinAge03+'19_Расчет_аналитики'!BM4607*SUMIF(ThresholdAge03,"&lt;"&amp;'19_Расчет_аналитики'!BM4607,WeightedRevAge03)-SUMIF(ThresholdAge03,"&lt;"&amp;'19_Расчет_аналитики'!BM4607,WeightedMinAge03),MAX(CapacityAge03*'01_Вводные'!$B$218*'19_Расчет_аналитики'!BM4607,MeanMinAge03))),0)</f>
        <v/>
      </c>
      <c r="BN4514">
        <f>IF('01_Вводные'!$B$234="Да",IF(OR('19_Расчет_аналитики'!BN4486=0,3&lt;='01_Вводные'!$B$297),0,'19_Расчет_аналитики'!BN4486*IF('01_Вводные'!$B$239="Да",MeanMinAge03+'19_Расчет_аналитики'!BN4607*SUMIF(ThresholdAge03,"&lt;"&amp;'19_Расчет_аналитики'!BN4607,WeightedRevAge03)-SUMIF(ThresholdAge03,"&lt;"&amp;'19_Расчет_аналитики'!BN4607,WeightedMinAge03),MAX(CapacityAge03*'01_Вводные'!$B$218*'19_Расчет_аналитики'!BN4607,MeanMinAge03))),0)</f>
        <v/>
      </c>
      <c r="BO4514">
        <f>IF('01_Вводные'!$B$234="Да",IF(OR('19_Расчет_аналитики'!BO4486=0,3&lt;='01_Вводные'!$B$297),0,'19_Расчет_аналитики'!BO4486*IF('01_Вводные'!$B$239="Да",MeanMinAge03+'19_Расчет_аналитики'!BO4607*SUMIF(ThresholdAge03,"&lt;"&amp;'19_Расчет_аналитики'!BO4607,WeightedRevAge03)-SUMIF(ThresholdAge03,"&lt;"&amp;'19_Расчет_аналитики'!BO4607,WeightedMinAge03),MAX(CapacityAge03*'01_Вводные'!$B$218*'19_Расчет_аналитики'!BO4607,MeanMinAge03))),0)</f>
        <v/>
      </c>
    </row>
    <row r="4515">
      <c r="B4515">
        <f>IF('01_Вводные'!$B$234="Да",IF(OR('06_Сеть_и_дети'!B84=0,4&lt;='01_Вводные'!$B$297),0,'06_Сеть_и_дети'!B84*IF('01_Вводные'!$B$239="Да",MeanMinAge04+'19_Расчет_аналитики'!B4607*SUMIF(ThresholdAge04,"&lt;"&amp;'19_Расчет_аналитики'!B4607,WeightedRevAge04)-SUMIF(ThresholdAge04,"&lt;"&amp;'19_Расчет_аналитики'!B4607,WeightedMinAge04),MAX(CapacityAge04*'01_Вводные'!$B$218*'19_Расчет_аналитики'!B4607,MeanMinAge04))),0)</f>
        <v/>
      </c>
      <c r="C4515">
        <f>IF('01_Вводные'!$B$234="Да",IF(OR('06_Сеть_и_дети'!C84=0,4&lt;='01_Вводные'!$B$297),0,'06_Сеть_и_дети'!C84*IF('01_Вводные'!$B$239="Да",MeanMinAge04+'19_Расчет_аналитики'!C4607*SUMIF(ThresholdAge04,"&lt;"&amp;'19_Расчет_аналитики'!C4607,WeightedRevAge04)-SUMIF(ThresholdAge04,"&lt;"&amp;'19_Расчет_аналитики'!C4607,WeightedMinAge04),MAX(CapacityAge04*'01_Вводные'!$B$218*'19_Расчет_аналитики'!C4607,MeanMinAge04))),0)</f>
        <v/>
      </c>
      <c r="D4515">
        <f>IF('01_Вводные'!$B$234="Да",IF(OR('06_Сеть_и_дети'!D84=0,4&lt;='01_Вводные'!$B$297),0,'06_Сеть_и_дети'!D84*IF('01_Вводные'!$B$239="Да",MeanMinAge04+'19_Расчет_аналитики'!D4607*SUMIF(ThresholdAge04,"&lt;"&amp;'19_Расчет_аналитики'!D4607,WeightedRevAge04)-SUMIF(ThresholdAge04,"&lt;"&amp;'19_Расчет_аналитики'!D4607,WeightedMinAge04),MAX(CapacityAge04*'01_Вводные'!$B$218*'19_Расчет_аналитики'!D4607,MeanMinAge04))),0)</f>
        <v/>
      </c>
      <c r="E4515">
        <f>IF('01_Вводные'!$B$234="Да",IF(OR('19_Расчет_аналитики'!E4487=0,4&lt;='01_Вводные'!$B$297),0,'19_Расчет_аналитики'!E4487*IF('01_Вводные'!$B$239="Да",MeanMinAge04+'19_Расчет_аналитики'!E4607*SUMIF(ThresholdAge04,"&lt;"&amp;'19_Расчет_аналитики'!E4607,WeightedRevAge04)-SUMIF(ThresholdAge04,"&lt;"&amp;'19_Расчет_аналитики'!E4607,WeightedMinAge04),MAX(CapacityAge04*'01_Вводные'!$B$218*'19_Расчет_аналитики'!E4607,MeanMinAge04))),0)</f>
        <v/>
      </c>
      <c r="F4515">
        <f>IF('01_Вводные'!$B$234="Да",IF(OR('19_Расчет_аналитики'!F4487=0,4&lt;='01_Вводные'!$B$297),0,'19_Расчет_аналитики'!F4487*IF('01_Вводные'!$B$239="Да",MeanMinAge04+'19_Расчет_аналитики'!F4607*SUMIF(ThresholdAge04,"&lt;"&amp;'19_Расчет_аналитики'!F4607,WeightedRevAge04)-SUMIF(ThresholdAge04,"&lt;"&amp;'19_Расчет_аналитики'!F4607,WeightedMinAge04),MAX(CapacityAge04*'01_Вводные'!$B$218*'19_Расчет_аналитики'!F4607,MeanMinAge04))),0)</f>
        <v/>
      </c>
      <c r="G4515">
        <f>IF('01_Вводные'!$B$234="Да",IF(OR('19_Расчет_аналитики'!G4487=0,4&lt;='01_Вводные'!$B$297),0,'19_Расчет_аналитики'!G4487*IF('01_Вводные'!$B$239="Да",MeanMinAge04+'19_Расчет_аналитики'!G4607*SUMIF(ThresholdAge04,"&lt;"&amp;'19_Расчет_аналитики'!G4607,WeightedRevAge04)-SUMIF(ThresholdAge04,"&lt;"&amp;'19_Расчет_аналитики'!G4607,WeightedMinAge04),MAX(CapacityAge04*'01_Вводные'!$B$218*'19_Расчет_аналитики'!G4607,MeanMinAge04))),0)</f>
        <v/>
      </c>
      <c r="H4515">
        <f>IF('01_Вводные'!$B$234="Да",IF(OR('19_Расчет_аналитики'!H4487=0,4&lt;='01_Вводные'!$B$297),0,'19_Расчет_аналитики'!H4487*IF('01_Вводные'!$B$239="Да",MeanMinAge04+'19_Расчет_аналитики'!H4607*SUMIF(ThresholdAge04,"&lt;"&amp;'19_Расчет_аналитики'!H4607,WeightedRevAge04)-SUMIF(ThresholdAge04,"&lt;"&amp;'19_Расчет_аналитики'!H4607,WeightedMinAge04),MAX(CapacityAge04*'01_Вводные'!$B$218*'19_Расчет_аналитики'!H4607,MeanMinAge04))),0)</f>
        <v/>
      </c>
      <c r="I4515">
        <f>IF('01_Вводные'!$B$234="Да",IF(OR('19_Расчет_аналитики'!I4487=0,4&lt;='01_Вводные'!$B$297),0,'19_Расчет_аналитики'!I4487*IF('01_Вводные'!$B$239="Да",MeanMinAge04+'19_Расчет_аналитики'!I4607*SUMIF(ThresholdAge04,"&lt;"&amp;'19_Расчет_аналитики'!I4607,WeightedRevAge04)-SUMIF(ThresholdAge04,"&lt;"&amp;'19_Расчет_аналитики'!I4607,WeightedMinAge04),MAX(CapacityAge04*'01_Вводные'!$B$218*'19_Расчет_аналитики'!I4607,MeanMinAge04))),0)</f>
        <v/>
      </c>
      <c r="J4515">
        <f>IF('01_Вводные'!$B$234="Да",IF(OR('19_Расчет_аналитики'!J4487=0,4&lt;='01_Вводные'!$B$297),0,'19_Расчет_аналитики'!J4487*IF('01_Вводные'!$B$239="Да",MeanMinAge04+'19_Расчет_аналитики'!J4607*SUMIF(ThresholdAge04,"&lt;"&amp;'19_Расчет_аналитики'!J4607,WeightedRevAge04)-SUMIF(ThresholdAge04,"&lt;"&amp;'19_Расчет_аналитики'!J4607,WeightedMinAge04),MAX(CapacityAge04*'01_Вводные'!$B$218*'19_Расчет_аналитики'!J4607,MeanMinAge04))),0)</f>
        <v/>
      </c>
      <c r="K4515">
        <f>IF('01_Вводные'!$B$234="Да",IF(OR('19_Расчет_аналитики'!K4487=0,4&lt;='01_Вводные'!$B$297),0,'19_Расчет_аналитики'!K4487*IF('01_Вводные'!$B$239="Да",MeanMinAge04+'19_Расчет_аналитики'!K4607*SUMIF(ThresholdAge04,"&lt;"&amp;'19_Расчет_аналитики'!K4607,WeightedRevAge04)-SUMIF(ThresholdAge04,"&lt;"&amp;'19_Расчет_аналитики'!K4607,WeightedMinAge04),MAX(CapacityAge04*'01_Вводные'!$B$218*'19_Расчет_аналитики'!K4607,MeanMinAge04))),0)</f>
        <v/>
      </c>
      <c r="L4515">
        <f>IF('01_Вводные'!$B$234="Да",IF(OR('19_Расчет_аналитики'!L4487=0,4&lt;='01_Вводные'!$B$297),0,'19_Расчет_аналитики'!L4487*IF('01_Вводные'!$B$239="Да",MeanMinAge04+'19_Расчет_аналитики'!L4607*SUMIF(ThresholdAge04,"&lt;"&amp;'19_Расчет_аналитики'!L4607,WeightedRevAge04)-SUMIF(ThresholdAge04,"&lt;"&amp;'19_Расчет_аналитики'!L4607,WeightedMinAge04),MAX(CapacityAge04*'01_Вводные'!$B$218*'19_Расчет_аналитики'!L4607,MeanMinAge04))),0)</f>
        <v/>
      </c>
      <c r="M4515">
        <f>IF('01_Вводные'!$B$234="Да",IF(OR('19_Расчет_аналитики'!M4487=0,4&lt;='01_Вводные'!$B$297),0,'19_Расчет_аналитики'!M4487*IF('01_Вводные'!$B$239="Да",MeanMinAge04+'19_Расчет_аналитики'!M4607*SUMIF(ThresholdAge04,"&lt;"&amp;'19_Расчет_аналитики'!M4607,WeightedRevAge04)-SUMIF(ThresholdAge04,"&lt;"&amp;'19_Расчет_аналитики'!M4607,WeightedMinAge04),MAX(CapacityAge04*'01_Вводные'!$B$218*'19_Расчет_аналитики'!M4607,MeanMinAge04))),0)</f>
        <v/>
      </c>
      <c r="N4515">
        <f>IF('01_Вводные'!$B$234="Да",IF(OR('19_Расчет_аналитики'!N4487=0,4&lt;='01_Вводные'!$B$297),0,'19_Расчет_аналитики'!N4487*IF('01_Вводные'!$B$239="Да",MeanMinAge04+'19_Расчет_аналитики'!N4607*SUMIF(ThresholdAge04,"&lt;"&amp;'19_Расчет_аналитики'!N4607,WeightedRevAge04)-SUMIF(ThresholdAge04,"&lt;"&amp;'19_Расчет_аналитики'!N4607,WeightedMinAge04),MAX(CapacityAge04*'01_Вводные'!$B$218*'19_Расчет_аналитики'!N4607,MeanMinAge04))),0)</f>
        <v/>
      </c>
      <c r="O4515">
        <f>IF('01_Вводные'!$B$234="Да",IF(OR('19_Расчет_аналитики'!O4487=0,4&lt;='01_Вводные'!$B$297),0,'19_Расчет_аналитики'!O4487*IF('01_Вводные'!$B$239="Да",MeanMinAge04+'19_Расчет_аналитики'!O4607*SUMIF(ThresholdAge04,"&lt;"&amp;'19_Расчет_аналитики'!O4607,WeightedRevAge04)-SUMIF(ThresholdAge04,"&lt;"&amp;'19_Расчет_аналитики'!O4607,WeightedMinAge04),MAX(CapacityAge04*'01_Вводные'!$B$218*'19_Расчет_аналитики'!O4607,MeanMinAge04))),0)</f>
        <v/>
      </c>
      <c r="P4515">
        <f>IF('01_Вводные'!$B$234="Да",IF(OR('19_Расчет_аналитики'!P4487=0,4&lt;='01_Вводные'!$B$297),0,'19_Расчет_аналитики'!P4487*IF('01_Вводные'!$B$239="Да",MeanMinAge04+'19_Расчет_аналитики'!P4607*SUMIF(ThresholdAge04,"&lt;"&amp;'19_Расчет_аналитики'!P4607,WeightedRevAge04)-SUMIF(ThresholdAge04,"&lt;"&amp;'19_Расчет_аналитики'!P4607,WeightedMinAge04),MAX(CapacityAge04*'01_Вводные'!$B$218*'19_Расчет_аналитики'!P4607,MeanMinAge04))),0)</f>
        <v/>
      </c>
      <c r="Q4515">
        <f>IF('01_Вводные'!$B$234="Да",IF(OR('19_Расчет_аналитики'!Q4487=0,4&lt;='01_Вводные'!$B$297),0,'19_Расчет_аналитики'!Q4487*IF('01_Вводные'!$B$239="Да",MeanMinAge04+'19_Расчет_аналитики'!Q4607*SUMIF(ThresholdAge04,"&lt;"&amp;'19_Расчет_аналитики'!Q4607,WeightedRevAge04)-SUMIF(ThresholdAge04,"&lt;"&amp;'19_Расчет_аналитики'!Q4607,WeightedMinAge04),MAX(CapacityAge04*'01_Вводные'!$B$218*'19_Расчет_аналитики'!Q4607,MeanMinAge04))),0)</f>
        <v/>
      </c>
      <c r="R4515">
        <f>IF('01_Вводные'!$B$234="Да",IF(OR('19_Расчет_аналитики'!R4487=0,4&lt;='01_Вводные'!$B$297),0,'19_Расчет_аналитики'!R4487*IF('01_Вводные'!$B$239="Да",MeanMinAge04+'19_Расчет_аналитики'!R4607*SUMIF(ThresholdAge04,"&lt;"&amp;'19_Расчет_аналитики'!R4607,WeightedRevAge04)-SUMIF(ThresholdAge04,"&lt;"&amp;'19_Расчет_аналитики'!R4607,WeightedMinAge04),MAX(CapacityAge04*'01_Вводные'!$B$218*'19_Расчет_аналитики'!R4607,MeanMinAge04))),0)</f>
        <v/>
      </c>
      <c r="S4515">
        <f>IF('01_Вводные'!$B$234="Да",IF(OR('19_Расчет_аналитики'!S4487=0,4&lt;='01_Вводные'!$B$297),0,'19_Расчет_аналитики'!S4487*IF('01_Вводные'!$B$239="Да",MeanMinAge04+'19_Расчет_аналитики'!S4607*SUMIF(ThresholdAge04,"&lt;"&amp;'19_Расчет_аналитики'!S4607,WeightedRevAge04)-SUMIF(ThresholdAge04,"&lt;"&amp;'19_Расчет_аналитики'!S4607,WeightedMinAge04),MAX(CapacityAge04*'01_Вводные'!$B$218*'19_Расчет_аналитики'!S4607,MeanMinAge04))),0)</f>
        <v/>
      </c>
      <c r="T4515">
        <f>IF('01_Вводные'!$B$234="Да",IF(OR('19_Расчет_аналитики'!T4487=0,4&lt;='01_Вводные'!$B$297),0,'19_Расчет_аналитики'!T4487*IF('01_Вводные'!$B$239="Да",MeanMinAge04+'19_Расчет_аналитики'!T4607*SUMIF(ThresholdAge04,"&lt;"&amp;'19_Расчет_аналитики'!T4607,WeightedRevAge04)-SUMIF(ThresholdAge04,"&lt;"&amp;'19_Расчет_аналитики'!T4607,WeightedMinAge04),MAX(CapacityAge04*'01_Вводные'!$B$218*'19_Расчет_аналитики'!T4607,MeanMinAge04))),0)</f>
        <v/>
      </c>
      <c r="U4515">
        <f>IF('01_Вводные'!$B$234="Да",IF(OR('19_Расчет_аналитики'!U4487=0,4&lt;='01_Вводные'!$B$297),0,'19_Расчет_аналитики'!U4487*IF('01_Вводные'!$B$239="Да",MeanMinAge04+'19_Расчет_аналитики'!U4607*SUMIF(ThresholdAge04,"&lt;"&amp;'19_Расчет_аналитики'!U4607,WeightedRevAge04)-SUMIF(ThresholdAge04,"&lt;"&amp;'19_Расчет_аналитики'!U4607,WeightedMinAge04),MAX(CapacityAge04*'01_Вводные'!$B$218*'19_Расчет_аналитики'!U4607,MeanMinAge04))),0)</f>
        <v/>
      </c>
      <c r="V4515">
        <f>IF('01_Вводные'!$B$234="Да",IF(OR('19_Расчет_аналитики'!V4487=0,4&lt;='01_Вводные'!$B$297),0,'19_Расчет_аналитики'!V4487*IF('01_Вводные'!$B$239="Да",MeanMinAge04+'19_Расчет_аналитики'!V4607*SUMIF(ThresholdAge04,"&lt;"&amp;'19_Расчет_аналитики'!V4607,WeightedRevAge04)-SUMIF(ThresholdAge04,"&lt;"&amp;'19_Расчет_аналитики'!V4607,WeightedMinAge04),MAX(CapacityAge04*'01_Вводные'!$B$218*'19_Расчет_аналитики'!V4607,MeanMinAge04))),0)</f>
        <v/>
      </c>
      <c r="W4515">
        <f>IF('01_Вводные'!$B$234="Да",IF(OR('19_Расчет_аналитики'!W4487=0,4&lt;='01_Вводные'!$B$297),0,'19_Расчет_аналитики'!W4487*IF('01_Вводные'!$B$239="Да",MeanMinAge04+'19_Расчет_аналитики'!W4607*SUMIF(ThresholdAge04,"&lt;"&amp;'19_Расчет_аналитики'!W4607,WeightedRevAge04)-SUMIF(ThresholdAge04,"&lt;"&amp;'19_Расчет_аналитики'!W4607,WeightedMinAge04),MAX(CapacityAge04*'01_Вводные'!$B$218*'19_Расчет_аналитики'!W4607,MeanMinAge04))),0)</f>
        <v/>
      </c>
      <c r="X4515">
        <f>IF('01_Вводные'!$B$234="Да",IF(OR('19_Расчет_аналитики'!X4487=0,4&lt;='01_Вводные'!$B$297),0,'19_Расчет_аналитики'!X4487*IF('01_Вводные'!$B$239="Да",MeanMinAge04+'19_Расчет_аналитики'!X4607*SUMIF(ThresholdAge04,"&lt;"&amp;'19_Расчет_аналитики'!X4607,WeightedRevAge04)-SUMIF(ThresholdAge04,"&lt;"&amp;'19_Расчет_аналитики'!X4607,WeightedMinAge04),MAX(CapacityAge04*'01_Вводные'!$B$218*'19_Расчет_аналитики'!X4607,MeanMinAge04))),0)</f>
        <v/>
      </c>
      <c r="Y4515">
        <f>IF('01_Вводные'!$B$234="Да",IF(OR('19_Расчет_аналитики'!Y4487=0,4&lt;='01_Вводные'!$B$297),0,'19_Расчет_аналитики'!Y4487*IF('01_Вводные'!$B$239="Да",MeanMinAge04+'19_Расчет_аналитики'!Y4607*SUMIF(ThresholdAge04,"&lt;"&amp;'19_Расчет_аналитики'!Y4607,WeightedRevAge04)-SUMIF(ThresholdAge04,"&lt;"&amp;'19_Расчет_аналитики'!Y4607,WeightedMinAge04),MAX(CapacityAge04*'01_Вводные'!$B$218*'19_Расчет_аналитики'!Y4607,MeanMinAge04))),0)</f>
        <v/>
      </c>
      <c r="Z4515">
        <f>IF('01_Вводные'!$B$234="Да",IF(OR('19_Расчет_аналитики'!Z4487=0,4&lt;='01_Вводные'!$B$297),0,'19_Расчет_аналитики'!Z4487*IF('01_Вводные'!$B$239="Да",MeanMinAge04+'19_Расчет_аналитики'!Z4607*SUMIF(ThresholdAge04,"&lt;"&amp;'19_Расчет_аналитики'!Z4607,WeightedRevAge04)-SUMIF(ThresholdAge04,"&lt;"&amp;'19_Расчет_аналитики'!Z4607,WeightedMinAge04),MAX(CapacityAge04*'01_Вводные'!$B$218*'19_Расчет_аналитики'!Z4607,MeanMinAge04))),0)</f>
        <v/>
      </c>
      <c r="AA4515">
        <f>IF('01_Вводные'!$B$234="Да",IF(OR('19_Расчет_аналитики'!AA4487=0,4&lt;='01_Вводные'!$B$297),0,'19_Расчет_аналитики'!AA4487*IF('01_Вводные'!$B$239="Да",MeanMinAge04+'19_Расчет_аналитики'!AA4607*SUMIF(ThresholdAge04,"&lt;"&amp;'19_Расчет_аналитики'!AA4607,WeightedRevAge04)-SUMIF(ThresholdAge04,"&lt;"&amp;'19_Расчет_аналитики'!AA4607,WeightedMinAge04),MAX(CapacityAge04*'01_Вводные'!$B$218*'19_Расчет_аналитики'!AA4607,MeanMinAge04))),0)</f>
        <v/>
      </c>
      <c r="AB4515">
        <f>IF('01_Вводные'!$B$234="Да",IF(OR('19_Расчет_аналитики'!AB4487=0,4&lt;='01_Вводные'!$B$297),0,'19_Расчет_аналитики'!AB4487*IF('01_Вводные'!$B$239="Да",MeanMinAge04+'19_Расчет_аналитики'!AB4607*SUMIF(ThresholdAge04,"&lt;"&amp;'19_Расчет_аналитики'!AB4607,WeightedRevAge04)-SUMIF(ThresholdAge04,"&lt;"&amp;'19_Расчет_аналитики'!AB4607,WeightedMinAge04),MAX(CapacityAge04*'01_Вводные'!$B$218*'19_Расчет_аналитики'!AB4607,MeanMinAge04))),0)</f>
        <v/>
      </c>
      <c r="AC4515">
        <f>IF('01_Вводные'!$B$234="Да",IF(OR('19_Расчет_аналитики'!AC4487=0,4&lt;='01_Вводные'!$B$297),0,'19_Расчет_аналитики'!AC4487*IF('01_Вводные'!$B$239="Да",MeanMinAge04+'19_Расчет_аналитики'!AC4607*SUMIF(ThresholdAge04,"&lt;"&amp;'19_Расчет_аналитики'!AC4607,WeightedRevAge04)-SUMIF(ThresholdAge04,"&lt;"&amp;'19_Расчет_аналитики'!AC4607,WeightedMinAge04),MAX(CapacityAge04*'01_Вводные'!$B$218*'19_Расчет_аналитики'!AC4607,MeanMinAge04))),0)</f>
        <v/>
      </c>
      <c r="AD4515">
        <f>IF('01_Вводные'!$B$234="Да",IF(OR('19_Расчет_аналитики'!AD4487=0,4&lt;='01_Вводные'!$B$297),0,'19_Расчет_аналитики'!AD4487*IF('01_Вводные'!$B$239="Да",MeanMinAge04+'19_Расчет_аналитики'!AD4607*SUMIF(ThresholdAge04,"&lt;"&amp;'19_Расчет_аналитики'!AD4607,WeightedRevAge04)-SUMIF(ThresholdAge04,"&lt;"&amp;'19_Расчет_аналитики'!AD4607,WeightedMinAge04),MAX(CapacityAge04*'01_Вводные'!$B$218*'19_Расчет_аналитики'!AD4607,MeanMinAge04))),0)</f>
        <v/>
      </c>
      <c r="AE4515">
        <f>IF('01_Вводные'!$B$234="Да",IF(OR('19_Расчет_аналитики'!AE4487=0,4&lt;='01_Вводные'!$B$297),0,'19_Расчет_аналитики'!AE4487*IF('01_Вводные'!$B$239="Да",MeanMinAge04+'19_Расчет_аналитики'!AE4607*SUMIF(ThresholdAge04,"&lt;"&amp;'19_Расчет_аналитики'!AE4607,WeightedRevAge04)-SUMIF(ThresholdAge04,"&lt;"&amp;'19_Расчет_аналитики'!AE4607,WeightedMinAge04),MAX(CapacityAge04*'01_Вводные'!$B$218*'19_Расчет_аналитики'!AE4607,MeanMinAge04))),0)</f>
        <v/>
      </c>
      <c r="AF4515">
        <f>IF('01_Вводные'!$B$234="Да",IF(OR('19_Расчет_аналитики'!AF4487=0,4&lt;='01_Вводные'!$B$297),0,'19_Расчет_аналитики'!AF4487*IF('01_Вводные'!$B$239="Да",MeanMinAge04+'19_Расчет_аналитики'!AF4607*SUMIF(ThresholdAge04,"&lt;"&amp;'19_Расчет_аналитики'!AF4607,WeightedRevAge04)-SUMIF(ThresholdAge04,"&lt;"&amp;'19_Расчет_аналитики'!AF4607,WeightedMinAge04),MAX(CapacityAge04*'01_Вводные'!$B$218*'19_Расчет_аналитики'!AF4607,MeanMinAge04))),0)</f>
        <v/>
      </c>
      <c r="AG4515">
        <f>IF('01_Вводные'!$B$234="Да",IF(OR('19_Расчет_аналитики'!AG4487=0,4&lt;='01_Вводные'!$B$297),0,'19_Расчет_аналитики'!AG4487*IF('01_Вводные'!$B$239="Да",MeanMinAge04+'19_Расчет_аналитики'!AG4607*SUMIF(ThresholdAge04,"&lt;"&amp;'19_Расчет_аналитики'!AG4607,WeightedRevAge04)-SUMIF(ThresholdAge04,"&lt;"&amp;'19_Расчет_аналитики'!AG4607,WeightedMinAge04),MAX(CapacityAge04*'01_Вводные'!$B$218*'19_Расчет_аналитики'!AG4607,MeanMinAge04))),0)</f>
        <v/>
      </c>
      <c r="AH4515">
        <f>IF('01_Вводные'!$B$234="Да",IF(OR('19_Расчет_аналитики'!AH4487=0,4&lt;='01_Вводные'!$B$297),0,'19_Расчет_аналитики'!AH4487*IF('01_Вводные'!$B$239="Да",MeanMinAge04+'19_Расчет_аналитики'!AH4607*SUMIF(ThresholdAge04,"&lt;"&amp;'19_Расчет_аналитики'!AH4607,WeightedRevAge04)-SUMIF(ThresholdAge04,"&lt;"&amp;'19_Расчет_аналитики'!AH4607,WeightedMinAge04),MAX(CapacityAge04*'01_Вводные'!$B$218*'19_Расчет_аналитики'!AH4607,MeanMinAge04))),0)</f>
        <v/>
      </c>
      <c r="AI4515">
        <f>IF('01_Вводные'!$B$234="Да",IF(OR('19_Расчет_аналитики'!AI4487=0,4&lt;='01_Вводные'!$B$297),0,'19_Расчет_аналитики'!AI4487*IF('01_Вводные'!$B$239="Да",MeanMinAge04+'19_Расчет_аналитики'!AI4607*SUMIF(ThresholdAge04,"&lt;"&amp;'19_Расчет_аналитики'!AI4607,WeightedRevAge04)-SUMIF(ThresholdAge04,"&lt;"&amp;'19_Расчет_аналитики'!AI4607,WeightedMinAge04),MAX(CapacityAge04*'01_Вводные'!$B$218*'19_Расчет_аналитики'!AI4607,MeanMinAge04))),0)</f>
        <v/>
      </c>
      <c r="AJ4515">
        <f>IF('01_Вводные'!$B$234="Да",IF(OR('19_Расчет_аналитики'!AJ4487=0,4&lt;='01_Вводные'!$B$297),0,'19_Расчет_аналитики'!AJ4487*IF('01_Вводные'!$B$239="Да",MeanMinAge04+'19_Расчет_аналитики'!AJ4607*SUMIF(ThresholdAge04,"&lt;"&amp;'19_Расчет_аналитики'!AJ4607,WeightedRevAge04)-SUMIF(ThresholdAge04,"&lt;"&amp;'19_Расчет_аналитики'!AJ4607,WeightedMinAge04),MAX(CapacityAge04*'01_Вводные'!$B$218*'19_Расчет_аналитики'!AJ4607,MeanMinAge04))),0)</f>
        <v/>
      </c>
      <c r="AK4515">
        <f>IF('01_Вводные'!$B$234="Да",IF(OR('19_Расчет_аналитики'!AK4487=0,4&lt;='01_Вводные'!$B$297),0,'19_Расчет_аналитики'!AK4487*IF('01_Вводные'!$B$239="Да",MeanMinAge04+'19_Расчет_аналитики'!AK4607*SUMIF(ThresholdAge04,"&lt;"&amp;'19_Расчет_аналитики'!AK4607,WeightedRevAge04)-SUMIF(ThresholdAge04,"&lt;"&amp;'19_Расчет_аналитики'!AK4607,WeightedMinAge04),MAX(CapacityAge04*'01_Вводные'!$B$218*'19_Расчет_аналитики'!AK4607,MeanMinAge04))),0)</f>
        <v/>
      </c>
      <c r="AL4515">
        <f>IF('01_Вводные'!$B$234="Да",IF(OR('19_Расчет_аналитики'!AL4487=0,4&lt;='01_Вводные'!$B$297),0,'19_Расчет_аналитики'!AL4487*IF('01_Вводные'!$B$239="Да",MeanMinAge04+'19_Расчет_аналитики'!AL4607*SUMIF(ThresholdAge04,"&lt;"&amp;'19_Расчет_аналитики'!AL4607,WeightedRevAge04)-SUMIF(ThresholdAge04,"&lt;"&amp;'19_Расчет_аналитики'!AL4607,WeightedMinAge04),MAX(CapacityAge04*'01_Вводные'!$B$218*'19_Расчет_аналитики'!AL4607,MeanMinAge04))),0)</f>
        <v/>
      </c>
      <c r="AM4515">
        <f>IF('01_Вводные'!$B$234="Да",IF(OR('19_Расчет_аналитики'!AM4487=0,4&lt;='01_Вводные'!$B$297),0,'19_Расчет_аналитики'!AM4487*IF('01_Вводные'!$B$239="Да",MeanMinAge04+'19_Расчет_аналитики'!AM4607*SUMIF(ThresholdAge04,"&lt;"&amp;'19_Расчет_аналитики'!AM4607,WeightedRevAge04)-SUMIF(ThresholdAge04,"&lt;"&amp;'19_Расчет_аналитики'!AM4607,WeightedMinAge04),MAX(CapacityAge04*'01_Вводные'!$B$218*'19_Расчет_аналитики'!AM4607,MeanMinAge04))),0)</f>
        <v/>
      </c>
      <c r="AN4515">
        <f>IF('01_Вводные'!$B$234="Да",IF(OR('19_Расчет_аналитики'!AN4487=0,4&lt;='01_Вводные'!$B$297),0,'19_Расчет_аналитики'!AN4487*IF('01_Вводные'!$B$239="Да",MeanMinAge04+'19_Расчет_аналитики'!AN4607*SUMIF(ThresholdAge04,"&lt;"&amp;'19_Расчет_аналитики'!AN4607,WeightedRevAge04)-SUMIF(ThresholdAge04,"&lt;"&amp;'19_Расчет_аналитики'!AN4607,WeightedMinAge04),MAX(CapacityAge04*'01_Вводные'!$B$218*'19_Расчет_аналитики'!AN4607,MeanMinAge04))),0)</f>
        <v/>
      </c>
      <c r="AO4515">
        <f>IF('01_Вводные'!$B$234="Да",IF(OR('19_Расчет_аналитики'!AO4487=0,4&lt;='01_Вводные'!$B$297),0,'19_Расчет_аналитики'!AO4487*IF('01_Вводные'!$B$239="Да",MeanMinAge04+'19_Расчет_аналитики'!AO4607*SUMIF(ThresholdAge04,"&lt;"&amp;'19_Расчет_аналитики'!AO4607,WeightedRevAge04)-SUMIF(ThresholdAge04,"&lt;"&amp;'19_Расчет_аналитики'!AO4607,WeightedMinAge04),MAX(CapacityAge04*'01_Вводные'!$B$218*'19_Расчет_аналитики'!AO4607,MeanMinAge04))),0)</f>
        <v/>
      </c>
      <c r="AP4515">
        <f>IF('01_Вводные'!$B$234="Да",IF(OR('19_Расчет_аналитики'!AP4487=0,4&lt;='01_Вводные'!$B$297),0,'19_Расчет_аналитики'!AP4487*IF('01_Вводные'!$B$239="Да",MeanMinAge04+'19_Расчет_аналитики'!AP4607*SUMIF(ThresholdAge04,"&lt;"&amp;'19_Расчет_аналитики'!AP4607,WeightedRevAge04)-SUMIF(ThresholdAge04,"&lt;"&amp;'19_Расчет_аналитики'!AP4607,WeightedMinAge04),MAX(CapacityAge04*'01_Вводные'!$B$218*'19_Расчет_аналитики'!AP4607,MeanMinAge04))),0)</f>
        <v/>
      </c>
      <c r="AQ4515">
        <f>IF('01_Вводные'!$B$234="Да",IF(OR('19_Расчет_аналитики'!AQ4487=0,4&lt;='01_Вводные'!$B$297),0,'19_Расчет_аналитики'!AQ4487*IF('01_Вводные'!$B$239="Да",MeanMinAge04+'19_Расчет_аналитики'!AQ4607*SUMIF(ThresholdAge04,"&lt;"&amp;'19_Расчет_аналитики'!AQ4607,WeightedRevAge04)-SUMIF(ThresholdAge04,"&lt;"&amp;'19_Расчет_аналитики'!AQ4607,WeightedMinAge04),MAX(CapacityAge04*'01_Вводные'!$B$218*'19_Расчет_аналитики'!AQ4607,MeanMinAge04))),0)</f>
        <v/>
      </c>
      <c r="AR4515">
        <f>IF('01_Вводные'!$B$234="Да",IF(OR('19_Расчет_аналитики'!AR4487=0,4&lt;='01_Вводные'!$B$297),0,'19_Расчет_аналитики'!AR4487*IF('01_Вводные'!$B$239="Да",MeanMinAge04+'19_Расчет_аналитики'!AR4607*SUMIF(ThresholdAge04,"&lt;"&amp;'19_Расчет_аналитики'!AR4607,WeightedRevAge04)-SUMIF(ThresholdAge04,"&lt;"&amp;'19_Расчет_аналитики'!AR4607,WeightedMinAge04),MAX(CapacityAge04*'01_Вводные'!$B$218*'19_Расчет_аналитики'!AR4607,MeanMinAge04))),0)</f>
        <v/>
      </c>
      <c r="AS4515">
        <f>IF('01_Вводные'!$B$234="Да",IF(OR('19_Расчет_аналитики'!AS4487=0,4&lt;='01_Вводные'!$B$297),0,'19_Расчет_аналитики'!AS4487*IF('01_Вводные'!$B$239="Да",MeanMinAge04+'19_Расчет_аналитики'!AS4607*SUMIF(ThresholdAge04,"&lt;"&amp;'19_Расчет_аналитики'!AS4607,WeightedRevAge04)-SUMIF(ThresholdAge04,"&lt;"&amp;'19_Расчет_аналитики'!AS4607,WeightedMinAge04),MAX(CapacityAge04*'01_Вводные'!$B$218*'19_Расчет_аналитики'!AS4607,MeanMinAge04))),0)</f>
        <v/>
      </c>
      <c r="AT4515">
        <f>IF('01_Вводные'!$B$234="Да",IF(OR('19_Расчет_аналитики'!AT4487=0,4&lt;='01_Вводные'!$B$297),0,'19_Расчет_аналитики'!AT4487*IF('01_Вводные'!$B$239="Да",MeanMinAge04+'19_Расчет_аналитики'!AT4607*SUMIF(ThresholdAge04,"&lt;"&amp;'19_Расчет_аналитики'!AT4607,WeightedRevAge04)-SUMIF(ThresholdAge04,"&lt;"&amp;'19_Расчет_аналитики'!AT4607,WeightedMinAge04),MAX(CapacityAge04*'01_Вводные'!$B$218*'19_Расчет_аналитики'!AT4607,MeanMinAge04))),0)</f>
        <v/>
      </c>
      <c r="AU4515">
        <f>IF('01_Вводные'!$B$234="Да",IF(OR('19_Расчет_аналитики'!AU4487=0,4&lt;='01_Вводные'!$B$297),0,'19_Расчет_аналитики'!AU4487*IF('01_Вводные'!$B$239="Да",MeanMinAge04+'19_Расчет_аналитики'!AU4607*SUMIF(ThresholdAge04,"&lt;"&amp;'19_Расчет_аналитики'!AU4607,WeightedRevAge04)-SUMIF(ThresholdAge04,"&lt;"&amp;'19_Расчет_аналитики'!AU4607,WeightedMinAge04),MAX(CapacityAge04*'01_Вводные'!$B$218*'19_Расчет_аналитики'!AU4607,MeanMinAge04))),0)</f>
        <v/>
      </c>
      <c r="AV4515">
        <f>IF('01_Вводные'!$B$234="Да",IF(OR('19_Расчет_аналитики'!AV4487=0,4&lt;='01_Вводные'!$B$297),0,'19_Расчет_аналитики'!AV4487*IF('01_Вводные'!$B$239="Да",MeanMinAge04+'19_Расчет_аналитики'!AV4607*SUMIF(ThresholdAge04,"&lt;"&amp;'19_Расчет_аналитики'!AV4607,WeightedRevAge04)-SUMIF(ThresholdAge04,"&lt;"&amp;'19_Расчет_аналитики'!AV4607,WeightedMinAge04),MAX(CapacityAge04*'01_Вводные'!$B$218*'19_Расчет_аналитики'!AV4607,MeanMinAge04))),0)</f>
        <v/>
      </c>
      <c r="AW4515">
        <f>IF('01_Вводные'!$B$234="Да",IF(OR('19_Расчет_аналитики'!AW4487=0,4&lt;='01_Вводные'!$B$297),0,'19_Расчет_аналитики'!AW4487*IF('01_Вводные'!$B$239="Да",MeanMinAge04+'19_Расчет_аналитики'!AW4607*SUMIF(ThresholdAge04,"&lt;"&amp;'19_Расчет_аналитики'!AW4607,WeightedRevAge04)-SUMIF(ThresholdAge04,"&lt;"&amp;'19_Расчет_аналитики'!AW4607,WeightedMinAge04),MAX(CapacityAge04*'01_Вводные'!$B$218*'19_Расчет_аналитики'!AW4607,MeanMinAge04))),0)</f>
        <v/>
      </c>
      <c r="AX4515">
        <f>IF('01_Вводные'!$B$234="Да",IF(OR('19_Расчет_аналитики'!AX4487=0,4&lt;='01_Вводные'!$B$297),0,'19_Расчет_аналитики'!AX4487*IF('01_Вводные'!$B$239="Да",MeanMinAge04+'19_Расчет_аналитики'!AX4607*SUMIF(ThresholdAge04,"&lt;"&amp;'19_Расчет_аналитики'!AX4607,WeightedRevAge04)-SUMIF(ThresholdAge04,"&lt;"&amp;'19_Расчет_аналитики'!AX4607,WeightedMinAge04),MAX(CapacityAge04*'01_Вводные'!$B$218*'19_Расчет_аналитики'!AX4607,MeanMinAge04))),0)</f>
        <v/>
      </c>
      <c r="AY4515">
        <f>IF('01_Вводные'!$B$234="Да",IF(OR('19_Расчет_аналитики'!AY4487=0,4&lt;='01_Вводные'!$B$297),0,'19_Расчет_аналитики'!AY4487*IF('01_Вводные'!$B$239="Да",MeanMinAge04+'19_Расчет_аналитики'!AY4607*SUMIF(ThresholdAge04,"&lt;"&amp;'19_Расчет_аналитики'!AY4607,WeightedRevAge04)-SUMIF(ThresholdAge04,"&lt;"&amp;'19_Расчет_аналитики'!AY4607,WeightedMinAge04),MAX(CapacityAge04*'01_Вводные'!$B$218*'19_Расчет_аналитики'!AY4607,MeanMinAge04))),0)</f>
        <v/>
      </c>
      <c r="AZ4515">
        <f>IF('01_Вводные'!$B$234="Да",IF(OR('19_Расчет_аналитики'!AZ4487=0,4&lt;='01_Вводные'!$B$297),0,'19_Расчет_аналитики'!AZ4487*IF('01_Вводные'!$B$239="Да",MeanMinAge04+'19_Расчет_аналитики'!AZ4607*SUMIF(ThresholdAge04,"&lt;"&amp;'19_Расчет_аналитики'!AZ4607,WeightedRevAge04)-SUMIF(ThresholdAge04,"&lt;"&amp;'19_Расчет_аналитики'!AZ4607,WeightedMinAge04),MAX(CapacityAge04*'01_Вводные'!$B$218*'19_Расчет_аналитики'!AZ4607,MeanMinAge04))),0)</f>
        <v/>
      </c>
      <c r="BA4515">
        <f>IF('01_Вводные'!$B$234="Да",IF(OR('19_Расчет_аналитики'!BA4487=0,4&lt;='01_Вводные'!$B$297),0,'19_Расчет_аналитики'!BA4487*IF('01_Вводные'!$B$239="Да",MeanMinAge04+'19_Расчет_аналитики'!BA4607*SUMIF(ThresholdAge04,"&lt;"&amp;'19_Расчет_аналитики'!BA4607,WeightedRevAge04)-SUMIF(ThresholdAge04,"&lt;"&amp;'19_Расчет_аналитики'!BA4607,WeightedMinAge04),MAX(CapacityAge04*'01_Вводные'!$B$218*'19_Расчет_аналитики'!BA4607,MeanMinAge04))),0)</f>
        <v/>
      </c>
      <c r="BB4515">
        <f>IF('01_Вводные'!$B$234="Да",IF(OR('19_Расчет_аналитики'!BB4487=0,4&lt;='01_Вводные'!$B$297),0,'19_Расчет_аналитики'!BB4487*IF('01_Вводные'!$B$239="Да",MeanMinAge04+'19_Расчет_аналитики'!BB4607*SUMIF(ThresholdAge04,"&lt;"&amp;'19_Расчет_аналитики'!BB4607,WeightedRevAge04)-SUMIF(ThresholdAge04,"&lt;"&amp;'19_Расчет_аналитики'!BB4607,WeightedMinAge04),MAX(CapacityAge04*'01_Вводные'!$B$218*'19_Расчет_аналитики'!BB4607,MeanMinAge04))),0)</f>
        <v/>
      </c>
      <c r="BC4515">
        <f>IF('01_Вводные'!$B$234="Да",IF(OR('19_Расчет_аналитики'!BC4487=0,4&lt;='01_Вводные'!$B$297),0,'19_Расчет_аналитики'!BC4487*IF('01_Вводные'!$B$239="Да",MeanMinAge04+'19_Расчет_аналитики'!BC4607*SUMIF(ThresholdAge04,"&lt;"&amp;'19_Расчет_аналитики'!BC4607,WeightedRevAge04)-SUMIF(ThresholdAge04,"&lt;"&amp;'19_Расчет_аналитики'!BC4607,WeightedMinAge04),MAX(CapacityAge04*'01_Вводные'!$B$218*'19_Расчет_аналитики'!BC4607,MeanMinAge04))),0)</f>
        <v/>
      </c>
      <c r="BD4515">
        <f>IF('01_Вводные'!$B$234="Да",IF(OR('19_Расчет_аналитики'!BD4487=0,4&lt;='01_Вводные'!$B$297),0,'19_Расчет_аналитики'!BD4487*IF('01_Вводные'!$B$239="Да",MeanMinAge04+'19_Расчет_аналитики'!BD4607*SUMIF(ThresholdAge04,"&lt;"&amp;'19_Расчет_аналитики'!BD4607,WeightedRevAge04)-SUMIF(ThresholdAge04,"&lt;"&amp;'19_Расчет_аналитики'!BD4607,WeightedMinAge04),MAX(CapacityAge04*'01_Вводные'!$B$218*'19_Расчет_аналитики'!BD4607,MeanMinAge04))),0)</f>
        <v/>
      </c>
      <c r="BE4515">
        <f>IF('01_Вводные'!$B$234="Да",IF(OR('19_Расчет_аналитики'!BE4487=0,4&lt;='01_Вводные'!$B$297),0,'19_Расчет_аналитики'!BE4487*IF('01_Вводные'!$B$239="Да",MeanMinAge04+'19_Расчет_аналитики'!BE4607*SUMIF(ThresholdAge04,"&lt;"&amp;'19_Расчет_аналитики'!BE4607,WeightedRevAge04)-SUMIF(ThresholdAge04,"&lt;"&amp;'19_Расчет_аналитики'!BE4607,WeightedMinAge04),MAX(CapacityAge04*'01_Вводные'!$B$218*'19_Расчет_аналитики'!BE4607,MeanMinAge04))),0)</f>
        <v/>
      </c>
      <c r="BF4515">
        <f>IF('01_Вводные'!$B$234="Да",IF(OR('19_Расчет_аналитики'!BF4487=0,4&lt;='01_Вводные'!$B$297),0,'19_Расчет_аналитики'!BF4487*IF('01_Вводные'!$B$239="Да",MeanMinAge04+'19_Расчет_аналитики'!BF4607*SUMIF(ThresholdAge04,"&lt;"&amp;'19_Расчет_аналитики'!BF4607,WeightedRevAge04)-SUMIF(ThresholdAge04,"&lt;"&amp;'19_Расчет_аналитики'!BF4607,WeightedMinAge04),MAX(CapacityAge04*'01_Вводные'!$B$218*'19_Расчет_аналитики'!BF4607,MeanMinAge04))),0)</f>
        <v/>
      </c>
      <c r="BG4515">
        <f>IF('01_Вводные'!$B$234="Да",IF(OR('19_Расчет_аналитики'!BG4487=0,4&lt;='01_Вводные'!$B$297),0,'19_Расчет_аналитики'!BG4487*IF('01_Вводные'!$B$239="Да",MeanMinAge04+'19_Расчет_аналитики'!BG4607*SUMIF(ThresholdAge04,"&lt;"&amp;'19_Расчет_аналитики'!BG4607,WeightedRevAge04)-SUMIF(ThresholdAge04,"&lt;"&amp;'19_Расчет_аналитики'!BG4607,WeightedMinAge04),MAX(CapacityAge04*'01_Вводные'!$B$218*'19_Расчет_аналитики'!BG4607,MeanMinAge04))),0)</f>
        <v/>
      </c>
      <c r="BH4515">
        <f>IF('01_Вводные'!$B$234="Да",IF(OR('19_Расчет_аналитики'!BH4487=0,4&lt;='01_Вводные'!$B$297),0,'19_Расчет_аналитики'!BH4487*IF('01_Вводные'!$B$239="Да",MeanMinAge04+'19_Расчет_аналитики'!BH4607*SUMIF(ThresholdAge04,"&lt;"&amp;'19_Расчет_аналитики'!BH4607,WeightedRevAge04)-SUMIF(ThresholdAge04,"&lt;"&amp;'19_Расчет_аналитики'!BH4607,WeightedMinAge04),MAX(CapacityAge04*'01_Вводные'!$B$218*'19_Расчет_аналитики'!BH4607,MeanMinAge04))),0)</f>
        <v/>
      </c>
      <c r="BI4515">
        <f>IF('01_Вводные'!$B$234="Да",IF(OR('19_Расчет_аналитики'!BI4487=0,4&lt;='01_Вводные'!$B$297),0,'19_Расчет_аналитики'!BI4487*IF('01_Вводные'!$B$239="Да",MeanMinAge04+'19_Расчет_аналитики'!BI4607*SUMIF(ThresholdAge04,"&lt;"&amp;'19_Расчет_аналитики'!BI4607,WeightedRevAge04)-SUMIF(ThresholdAge04,"&lt;"&amp;'19_Расчет_аналитики'!BI4607,WeightedMinAge04),MAX(CapacityAge04*'01_Вводные'!$B$218*'19_Расчет_аналитики'!BI4607,MeanMinAge04))),0)</f>
        <v/>
      </c>
      <c r="BJ4515">
        <f>IF('01_Вводные'!$B$234="Да",IF(OR('19_Расчет_аналитики'!BJ4487=0,4&lt;='01_Вводные'!$B$297),0,'19_Расчет_аналитики'!BJ4487*IF('01_Вводные'!$B$239="Да",MeanMinAge04+'19_Расчет_аналитики'!BJ4607*SUMIF(ThresholdAge04,"&lt;"&amp;'19_Расчет_аналитики'!BJ4607,WeightedRevAge04)-SUMIF(ThresholdAge04,"&lt;"&amp;'19_Расчет_аналитики'!BJ4607,WeightedMinAge04),MAX(CapacityAge04*'01_Вводные'!$B$218*'19_Расчет_аналитики'!BJ4607,MeanMinAge04))),0)</f>
        <v/>
      </c>
      <c r="BK4515">
        <f>IF('01_Вводные'!$B$234="Да",IF(OR('19_Расчет_аналитики'!BK4487=0,4&lt;='01_Вводные'!$B$297),0,'19_Расчет_аналитики'!BK4487*IF('01_Вводные'!$B$239="Да",MeanMinAge04+'19_Расчет_аналитики'!BK4607*SUMIF(ThresholdAge04,"&lt;"&amp;'19_Расчет_аналитики'!BK4607,WeightedRevAge04)-SUMIF(ThresholdAge04,"&lt;"&amp;'19_Расчет_аналитики'!BK4607,WeightedMinAge04),MAX(CapacityAge04*'01_Вводные'!$B$218*'19_Расчет_аналитики'!BK4607,MeanMinAge04))),0)</f>
        <v/>
      </c>
      <c r="BL4515">
        <f>IF('01_Вводные'!$B$234="Да",IF(OR('19_Расчет_аналитики'!BL4487=0,4&lt;='01_Вводные'!$B$297),0,'19_Расчет_аналитики'!BL4487*IF('01_Вводные'!$B$239="Да",MeanMinAge04+'19_Расчет_аналитики'!BL4607*SUMIF(ThresholdAge04,"&lt;"&amp;'19_Расчет_аналитики'!BL4607,WeightedRevAge04)-SUMIF(ThresholdAge04,"&lt;"&amp;'19_Расчет_аналитики'!BL4607,WeightedMinAge04),MAX(CapacityAge04*'01_Вводные'!$B$218*'19_Расчет_аналитики'!BL4607,MeanMinAge04))),0)</f>
        <v/>
      </c>
      <c r="BM4515">
        <f>IF('01_Вводные'!$B$234="Да",IF(OR('19_Расчет_аналитики'!BM4487=0,4&lt;='01_Вводные'!$B$297),0,'19_Расчет_аналитики'!BM4487*IF('01_Вводные'!$B$239="Да",MeanMinAge04+'19_Расчет_аналитики'!BM4607*SUMIF(ThresholdAge04,"&lt;"&amp;'19_Расчет_аналитики'!BM4607,WeightedRevAge04)-SUMIF(ThresholdAge04,"&lt;"&amp;'19_Расчет_аналитики'!BM4607,WeightedMinAge04),MAX(CapacityAge04*'01_Вводные'!$B$218*'19_Расчет_аналитики'!BM4607,MeanMinAge04))),0)</f>
        <v/>
      </c>
      <c r="BN4515">
        <f>IF('01_Вводные'!$B$234="Да",IF(OR('19_Расчет_аналитики'!BN4487=0,4&lt;='01_Вводные'!$B$297),0,'19_Расчет_аналитики'!BN4487*IF('01_Вводные'!$B$239="Да",MeanMinAge04+'19_Расчет_аналитики'!BN4607*SUMIF(ThresholdAge04,"&lt;"&amp;'19_Расчет_аналитики'!BN4607,WeightedRevAge04)-SUMIF(ThresholdAge04,"&lt;"&amp;'19_Расчет_аналитики'!BN4607,WeightedMinAge04),MAX(CapacityAge04*'01_Вводные'!$B$218*'19_Расчет_аналитики'!BN4607,MeanMinAge04))),0)</f>
        <v/>
      </c>
      <c r="BO4515">
        <f>IF('01_Вводные'!$B$234="Да",IF(OR('19_Расчет_аналитики'!BO4487=0,4&lt;='01_Вводные'!$B$297),0,'19_Расчет_аналитики'!BO4487*IF('01_Вводные'!$B$239="Да",MeanMinAge04+'19_Расчет_аналитики'!BO4607*SUMIF(ThresholdAge04,"&lt;"&amp;'19_Расчет_аналитики'!BO4607,WeightedRevAge04)-SUMIF(ThresholdAge04,"&lt;"&amp;'19_Расчет_аналитики'!BO4607,WeightedMinAge04),MAX(CapacityAge04*'01_Вводные'!$B$218*'19_Расчет_аналитики'!BO4607,MeanMinAge04))),0)</f>
        <v/>
      </c>
    </row>
    <row r="4516">
      <c r="B4516">
        <f>IF('01_Вводные'!$B$234="Да",IF(OR('06_Сеть_и_дети'!B85=0,5&lt;='01_Вводные'!$B$297),0,'06_Сеть_и_дети'!B85*IF('01_Вводные'!$B$239="Да",MeanMinAge05+'19_Расчет_аналитики'!B4607*SUMIF(ThresholdAge05,"&lt;"&amp;'19_Расчет_аналитики'!B4607,WeightedRevAge05)-SUMIF(ThresholdAge05,"&lt;"&amp;'19_Расчет_аналитики'!B4607,WeightedMinAge05),MAX(CapacityAge05*'01_Вводные'!$B$218*'19_Расчет_аналитики'!B4607,MeanMinAge05))),0)</f>
        <v/>
      </c>
      <c r="C4516">
        <f>IF('01_Вводные'!$B$234="Да",IF(OR('06_Сеть_и_дети'!C85=0,5&lt;='01_Вводные'!$B$297),0,'06_Сеть_и_дети'!C85*IF('01_Вводные'!$B$239="Да",MeanMinAge05+'19_Расчет_аналитики'!C4607*SUMIF(ThresholdAge05,"&lt;"&amp;'19_Расчет_аналитики'!C4607,WeightedRevAge05)-SUMIF(ThresholdAge05,"&lt;"&amp;'19_Расчет_аналитики'!C4607,WeightedMinAge05),MAX(CapacityAge05*'01_Вводные'!$B$218*'19_Расчет_аналитики'!C4607,MeanMinAge05))),0)</f>
        <v/>
      </c>
      <c r="D4516">
        <f>IF('01_Вводные'!$B$234="Да",IF(OR('06_Сеть_и_дети'!D85=0,5&lt;='01_Вводные'!$B$297),0,'06_Сеть_и_дети'!D85*IF('01_Вводные'!$B$239="Да",MeanMinAge05+'19_Расчет_аналитики'!D4607*SUMIF(ThresholdAge05,"&lt;"&amp;'19_Расчет_аналитики'!D4607,WeightedRevAge05)-SUMIF(ThresholdAge05,"&lt;"&amp;'19_Расчет_аналитики'!D4607,WeightedMinAge05),MAX(CapacityAge05*'01_Вводные'!$B$218*'19_Расчет_аналитики'!D4607,MeanMinAge05))),0)</f>
        <v/>
      </c>
      <c r="E4516">
        <f>IF('01_Вводные'!$B$234="Да",IF(OR('06_Сеть_и_дети'!E85=0,5&lt;='01_Вводные'!$B$297),0,'06_Сеть_и_дети'!E85*IF('01_Вводные'!$B$239="Да",MeanMinAge05+'19_Расчет_аналитики'!E4607*SUMIF(ThresholdAge05,"&lt;"&amp;'19_Расчет_аналитики'!E4607,WeightedRevAge05)-SUMIF(ThresholdAge05,"&lt;"&amp;'19_Расчет_аналитики'!E4607,WeightedMinAge05),MAX(CapacityAge05*'01_Вводные'!$B$218*'19_Расчет_аналитики'!E4607,MeanMinAge05))),0)</f>
        <v/>
      </c>
      <c r="F4516">
        <f>IF('01_Вводные'!$B$234="Да",IF(OR('19_Расчет_аналитики'!F4488=0,5&lt;='01_Вводные'!$B$297),0,'19_Расчет_аналитики'!F4488*IF('01_Вводные'!$B$239="Да",MeanMinAge05+'19_Расчет_аналитики'!F4607*SUMIF(ThresholdAge05,"&lt;"&amp;'19_Расчет_аналитики'!F4607,WeightedRevAge05)-SUMIF(ThresholdAge05,"&lt;"&amp;'19_Расчет_аналитики'!F4607,WeightedMinAge05),MAX(CapacityAge05*'01_Вводные'!$B$218*'19_Расчет_аналитики'!F4607,MeanMinAge05))),0)</f>
        <v/>
      </c>
      <c r="G4516">
        <f>IF('01_Вводные'!$B$234="Да",IF(OR('19_Расчет_аналитики'!G4488=0,5&lt;='01_Вводные'!$B$297),0,'19_Расчет_аналитики'!G4488*IF('01_Вводные'!$B$239="Да",MeanMinAge05+'19_Расчет_аналитики'!G4607*SUMIF(ThresholdAge05,"&lt;"&amp;'19_Расчет_аналитики'!G4607,WeightedRevAge05)-SUMIF(ThresholdAge05,"&lt;"&amp;'19_Расчет_аналитики'!G4607,WeightedMinAge05),MAX(CapacityAge05*'01_Вводные'!$B$218*'19_Расчет_аналитики'!G4607,MeanMinAge05))),0)</f>
        <v/>
      </c>
      <c r="H4516">
        <f>IF('01_Вводные'!$B$234="Да",IF(OR('19_Расчет_аналитики'!H4488=0,5&lt;='01_Вводные'!$B$297),0,'19_Расчет_аналитики'!H4488*IF('01_Вводные'!$B$239="Да",MeanMinAge05+'19_Расчет_аналитики'!H4607*SUMIF(ThresholdAge05,"&lt;"&amp;'19_Расчет_аналитики'!H4607,WeightedRevAge05)-SUMIF(ThresholdAge05,"&lt;"&amp;'19_Расчет_аналитики'!H4607,WeightedMinAge05),MAX(CapacityAge05*'01_Вводные'!$B$218*'19_Расчет_аналитики'!H4607,MeanMinAge05))),0)</f>
        <v/>
      </c>
      <c r="I4516">
        <f>IF('01_Вводные'!$B$234="Да",IF(OR('19_Расчет_аналитики'!I4488=0,5&lt;='01_Вводные'!$B$297),0,'19_Расчет_аналитики'!I4488*IF('01_Вводные'!$B$239="Да",MeanMinAge05+'19_Расчет_аналитики'!I4607*SUMIF(ThresholdAge05,"&lt;"&amp;'19_Расчет_аналитики'!I4607,WeightedRevAge05)-SUMIF(ThresholdAge05,"&lt;"&amp;'19_Расчет_аналитики'!I4607,WeightedMinAge05),MAX(CapacityAge05*'01_Вводные'!$B$218*'19_Расчет_аналитики'!I4607,MeanMinAge05))),0)</f>
        <v/>
      </c>
      <c r="J4516">
        <f>IF('01_Вводные'!$B$234="Да",IF(OR('19_Расчет_аналитики'!J4488=0,5&lt;='01_Вводные'!$B$297),0,'19_Расчет_аналитики'!J4488*IF('01_Вводные'!$B$239="Да",MeanMinAge05+'19_Расчет_аналитики'!J4607*SUMIF(ThresholdAge05,"&lt;"&amp;'19_Расчет_аналитики'!J4607,WeightedRevAge05)-SUMIF(ThresholdAge05,"&lt;"&amp;'19_Расчет_аналитики'!J4607,WeightedMinAge05),MAX(CapacityAge05*'01_Вводные'!$B$218*'19_Расчет_аналитики'!J4607,MeanMinAge05))),0)</f>
        <v/>
      </c>
      <c r="K4516">
        <f>IF('01_Вводные'!$B$234="Да",IF(OR('19_Расчет_аналитики'!K4488=0,5&lt;='01_Вводные'!$B$297),0,'19_Расчет_аналитики'!K4488*IF('01_Вводные'!$B$239="Да",MeanMinAge05+'19_Расчет_аналитики'!K4607*SUMIF(ThresholdAge05,"&lt;"&amp;'19_Расчет_аналитики'!K4607,WeightedRevAge05)-SUMIF(ThresholdAge05,"&lt;"&amp;'19_Расчет_аналитики'!K4607,WeightedMinAge05),MAX(CapacityAge05*'01_Вводные'!$B$218*'19_Расчет_аналитики'!K4607,MeanMinAge05))),0)</f>
        <v/>
      </c>
      <c r="L4516">
        <f>IF('01_Вводные'!$B$234="Да",IF(OR('19_Расчет_аналитики'!L4488=0,5&lt;='01_Вводные'!$B$297),0,'19_Расчет_аналитики'!L4488*IF('01_Вводные'!$B$239="Да",MeanMinAge05+'19_Расчет_аналитики'!L4607*SUMIF(ThresholdAge05,"&lt;"&amp;'19_Расчет_аналитики'!L4607,WeightedRevAge05)-SUMIF(ThresholdAge05,"&lt;"&amp;'19_Расчет_аналитики'!L4607,WeightedMinAge05),MAX(CapacityAge05*'01_Вводные'!$B$218*'19_Расчет_аналитики'!L4607,MeanMinAge05))),0)</f>
        <v/>
      </c>
      <c r="M4516">
        <f>IF('01_Вводные'!$B$234="Да",IF(OR('19_Расчет_аналитики'!M4488=0,5&lt;='01_Вводные'!$B$297),0,'19_Расчет_аналитики'!M4488*IF('01_Вводные'!$B$239="Да",MeanMinAge05+'19_Расчет_аналитики'!M4607*SUMIF(ThresholdAge05,"&lt;"&amp;'19_Расчет_аналитики'!M4607,WeightedRevAge05)-SUMIF(ThresholdAge05,"&lt;"&amp;'19_Расчет_аналитики'!M4607,WeightedMinAge05),MAX(CapacityAge05*'01_Вводные'!$B$218*'19_Расчет_аналитики'!M4607,MeanMinAge05))),0)</f>
        <v/>
      </c>
      <c r="N4516">
        <f>IF('01_Вводные'!$B$234="Да",IF(OR('19_Расчет_аналитики'!N4488=0,5&lt;='01_Вводные'!$B$297),0,'19_Расчет_аналитики'!N4488*IF('01_Вводные'!$B$239="Да",MeanMinAge05+'19_Расчет_аналитики'!N4607*SUMIF(ThresholdAge05,"&lt;"&amp;'19_Расчет_аналитики'!N4607,WeightedRevAge05)-SUMIF(ThresholdAge05,"&lt;"&amp;'19_Расчет_аналитики'!N4607,WeightedMinAge05),MAX(CapacityAge05*'01_Вводные'!$B$218*'19_Расчет_аналитики'!N4607,MeanMinAge05))),0)</f>
        <v/>
      </c>
      <c r="O4516">
        <f>IF('01_Вводные'!$B$234="Да",IF(OR('19_Расчет_аналитики'!O4488=0,5&lt;='01_Вводные'!$B$297),0,'19_Расчет_аналитики'!O4488*IF('01_Вводные'!$B$239="Да",MeanMinAge05+'19_Расчет_аналитики'!O4607*SUMIF(ThresholdAge05,"&lt;"&amp;'19_Расчет_аналитики'!O4607,WeightedRevAge05)-SUMIF(ThresholdAge05,"&lt;"&amp;'19_Расчет_аналитики'!O4607,WeightedMinAge05),MAX(CapacityAge05*'01_Вводные'!$B$218*'19_Расчет_аналитики'!O4607,MeanMinAge05))),0)</f>
        <v/>
      </c>
      <c r="P4516">
        <f>IF('01_Вводные'!$B$234="Да",IF(OR('19_Расчет_аналитики'!P4488=0,5&lt;='01_Вводные'!$B$297),0,'19_Расчет_аналитики'!P4488*IF('01_Вводные'!$B$239="Да",MeanMinAge05+'19_Расчет_аналитики'!P4607*SUMIF(ThresholdAge05,"&lt;"&amp;'19_Расчет_аналитики'!P4607,WeightedRevAge05)-SUMIF(ThresholdAge05,"&lt;"&amp;'19_Расчет_аналитики'!P4607,WeightedMinAge05),MAX(CapacityAge05*'01_Вводные'!$B$218*'19_Расчет_аналитики'!P4607,MeanMinAge05))),0)</f>
        <v/>
      </c>
      <c r="Q4516">
        <f>IF('01_Вводные'!$B$234="Да",IF(OR('19_Расчет_аналитики'!Q4488=0,5&lt;='01_Вводные'!$B$297),0,'19_Расчет_аналитики'!Q4488*IF('01_Вводные'!$B$239="Да",MeanMinAge05+'19_Расчет_аналитики'!Q4607*SUMIF(ThresholdAge05,"&lt;"&amp;'19_Расчет_аналитики'!Q4607,WeightedRevAge05)-SUMIF(ThresholdAge05,"&lt;"&amp;'19_Расчет_аналитики'!Q4607,WeightedMinAge05),MAX(CapacityAge05*'01_Вводные'!$B$218*'19_Расчет_аналитики'!Q4607,MeanMinAge05))),0)</f>
        <v/>
      </c>
      <c r="R4516">
        <f>IF('01_Вводные'!$B$234="Да",IF(OR('19_Расчет_аналитики'!R4488=0,5&lt;='01_Вводные'!$B$297),0,'19_Расчет_аналитики'!R4488*IF('01_Вводные'!$B$239="Да",MeanMinAge05+'19_Расчет_аналитики'!R4607*SUMIF(ThresholdAge05,"&lt;"&amp;'19_Расчет_аналитики'!R4607,WeightedRevAge05)-SUMIF(ThresholdAge05,"&lt;"&amp;'19_Расчет_аналитики'!R4607,WeightedMinAge05),MAX(CapacityAge05*'01_Вводные'!$B$218*'19_Расчет_аналитики'!R4607,MeanMinAge05))),0)</f>
        <v/>
      </c>
      <c r="S4516">
        <f>IF('01_Вводные'!$B$234="Да",IF(OR('19_Расчет_аналитики'!S4488=0,5&lt;='01_Вводные'!$B$297),0,'19_Расчет_аналитики'!S4488*IF('01_Вводные'!$B$239="Да",MeanMinAge05+'19_Расчет_аналитики'!S4607*SUMIF(ThresholdAge05,"&lt;"&amp;'19_Расчет_аналитики'!S4607,WeightedRevAge05)-SUMIF(ThresholdAge05,"&lt;"&amp;'19_Расчет_аналитики'!S4607,WeightedMinAge05),MAX(CapacityAge05*'01_Вводные'!$B$218*'19_Расчет_аналитики'!S4607,MeanMinAge05))),0)</f>
        <v/>
      </c>
      <c r="T4516">
        <f>IF('01_Вводные'!$B$234="Да",IF(OR('19_Расчет_аналитики'!T4488=0,5&lt;='01_Вводные'!$B$297),0,'19_Расчет_аналитики'!T4488*IF('01_Вводные'!$B$239="Да",MeanMinAge05+'19_Расчет_аналитики'!T4607*SUMIF(ThresholdAge05,"&lt;"&amp;'19_Расчет_аналитики'!T4607,WeightedRevAge05)-SUMIF(ThresholdAge05,"&lt;"&amp;'19_Расчет_аналитики'!T4607,WeightedMinAge05),MAX(CapacityAge05*'01_Вводные'!$B$218*'19_Расчет_аналитики'!T4607,MeanMinAge05))),0)</f>
        <v/>
      </c>
      <c r="U4516">
        <f>IF('01_Вводные'!$B$234="Да",IF(OR('19_Расчет_аналитики'!U4488=0,5&lt;='01_Вводные'!$B$297),0,'19_Расчет_аналитики'!U4488*IF('01_Вводные'!$B$239="Да",MeanMinAge05+'19_Расчет_аналитики'!U4607*SUMIF(ThresholdAge05,"&lt;"&amp;'19_Расчет_аналитики'!U4607,WeightedRevAge05)-SUMIF(ThresholdAge05,"&lt;"&amp;'19_Расчет_аналитики'!U4607,WeightedMinAge05),MAX(CapacityAge05*'01_Вводные'!$B$218*'19_Расчет_аналитики'!U4607,MeanMinAge05))),0)</f>
        <v/>
      </c>
      <c r="V4516">
        <f>IF('01_Вводные'!$B$234="Да",IF(OR('19_Расчет_аналитики'!V4488=0,5&lt;='01_Вводные'!$B$297),0,'19_Расчет_аналитики'!V4488*IF('01_Вводные'!$B$239="Да",MeanMinAge05+'19_Расчет_аналитики'!V4607*SUMIF(ThresholdAge05,"&lt;"&amp;'19_Расчет_аналитики'!V4607,WeightedRevAge05)-SUMIF(ThresholdAge05,"&lt;"&amp;'19_Расчет_аналитики'!V4607,WeightedMinAge05),MAX(CapacityAge05*'01_Вводные'!$B$218*'19_Расчет_аналитики'!V4607,MeanMinAge05))),0)</f>
        <v/>
      </c>
      <c r="W4516">
        <f>IF('01_Вводные'!$B$234="Да",IF(OR('19_Расчет_аналитики'!W4488=0,5&lt;='01_Вводные'!$B$297),0,'19_Расчет_аналитики'!W4488*IF('01_Вводные'!$B$239="Да",MeanMinAge05+'19_Расчет_аналитики'!W4607*SUMIF(ThresholdAge05,"&lt;"&amp;'19_Расчет_аналитики'!W4607,WeightedRevAge05)-SUMIF(ThresholdAge05,"&lt;"&amp;'19_Расчет_аналитики'!W4607,WeightedMinAge05),MAX(CapacityAge05*'01_Вводные'!$B$218*'19_Расчет_аналитики'!W4607,MeanMinAge05))),0)</f>
        <v/>
      </c>
      <c r="X4516">
        <f>IF('01_Вводные'!$B$234="Да",IF(OR('19_Расчет_аналитики'!X4488=0,5&lt;='01_Вводные'!$B$297),0,'19_Расчет_аналитики'!X4488*IF('01_Вводные'!$B$239="Да",MeanMinAge05+'19_Расчет_аналитики'!X4607*SUMIF(ThresholdAge05,"&lt;"&amp;'19_Расчет_аналитики'!X4607,WeightedRevAge05)-SUMIF(ThresholdAge05,"&lt;"&amp;'19_Расчет_аналитики'!X4607,WeightedMinAge05),MAX(CapacityAge05*'01_Вводные'!$B$218*'19_Расчет_аналитики'!X4607,MeanMinAge05))),0)</f>
        <v/>
      </c>
      <c r="Y4516">
        <f>IF('01_Вводные'!$B$234="Да",IF(OR('19_Расчет_аналитики'!Y4488=0,5&lt;='01_Вводные'!$B$297),0,'19_Расчет_аналитики'!Y4488*IF('01_Вводные'!$B$239="Да",MeanMinAge05+'19_Расчет_аналитики'!Y4607*SUMIF(ThresholdAge05,"&lt;"&amp;'19_Расчет_аналитики'!Y4607,WeightedRevAge05)-SUMIF(ThresholdAge05,"&lt;"&amp;'19_Расчет_аналитики'!Y4607,WeightedMinAge05),MAX(CapacityAge05*'01_Вводные'!$B$218*'19_Расчет_аналитики'!Y4607,MeanMinAge05))),0)</f>
        <v/>
      </c>
      <c r="Z4516">
        <f>IF('01_Вводные'!$B$234="Да",IF(OR('19_Расчет_аналитики'!Z4488=0,5&lt;='01_Вводные'!$B$297),0,'19_Расчет_аналитики'!Z4488*IF('01_Вводные'!$B$239="Да",MeanMinAge05+'19_Расчет_аналитики'!Z4607*SUMIF(ThresholdAge05,"&lt;"&amp;'19_Расчет_аналитики'!Z4607,WeightedRevAge05)-SUMIF(ThresholdAge05,"&lt;"&amp;'19_Расчет_аналитики'!Z4607,WeightedMinAge05),MAX(CapacityAge05*'01_Вводные'!$B$218*'19_Расчет_аналитики'!Z4607,MeanMinAge05))),0)</f>
        <v/>
      </c>
      <c r="AA4516">
        <f>IF('01_Вводные'!$B$234="Да",IF(OR('19_Расчет_аналитики'!AA4488=0,5&lt;='01_Вводные'!$B$297),0,'19_Расчет_аналитики'!AA4488*IF('01_Вводные'!$B$239="Да",MeanMinAge05+'19_Расчет_аналитики'!AA4607*SUMIF(ThresholdAge05,"&lt;"&amp;'19_Расчет_аналитики'!AA4607,WeightedRevAge05)-SUMIF(ThresholdAge05,"&lt;"&amp;'19_Расчет_аналитики'!AA4607,WeightedMinAge05),MAX(CapacityAge05*'01_Вводные'!$B$218*'19_Расчет_аналитики'!AA4607,MeanMinAge05))),0)</f>
        <v/>
      </c>
      <c r="AB4516">
        <f>IF('01_Вводные'!$B$234="Да",IF(OR('19_Расчет_аналитики'!AB4488=0,5&lt;='01_Вводные'!$B$297),0,'19_Расчет_аналитики'!AB4488*IF('01_Вводные'!$B$239="Да",MeanMinAge05+'19_Расчет_аналитики'!AB4607*SUMIF(ThresholdAge05,"&lt;"&amp;'19_Расчет_аналитики'!AB4607,WeightedRevAge05)-SUMIF(ThresholdAge05,"&lt;"&amp;'19_Расчет_аналитики'!AB4607,WeightedMinAge05),MAX(CapacityAge05*'01_Вводные'!$B$218*'19_Расчет_аналитики'!AB4607,MeanMinAge05))),0)</f>
        <v/>
      </c>
      <c r="AC4516">
        <f>IF('01_Вводные'!$B$234="Да",IF(OR('19_Расчет_аналитики'!AC4488=0,5&lt;='01_Вводные'!$B$297),0,'19_Расчет_аналитики'!AC4488*IF('01_Вводные'!$B$239="Да",MeanMinAge05+'19_Расчет_аналитики'!AC4607*SUMIF(ThresholdAge05,"&lt;"&amp;'19_Расчет_аналитики'!AC4607,WeightedRevAge05)-SUMIF(ThresholdAge05,"&lt;"&amp;'19_Расчет_аналитики'!AC4607,WeightedMinAge05),MAX(CapacityAge05*'01_Вводные'!$B$218*'19_Расчет_аналитики'!AC4607,MeanMinAge05))),0)</f>
        <v/>
      </c>
      <c r="AD4516">
        <f>IF('01_Вводные'!$B$234="Да",IF(OR('19_Расчет_аналитики'!AD4488=0,5&lt;='01_Вводные'!$B$297),0,'19_Расчет_аналитики'!AD4488*IF('01_Вводные'!$B$239="Да",MeanMinAge05+'19_Расчет_аналитики'!AD4607*SUMIF(ThresholdAge05,"&lt;"&amp;'19_Расчет_аналитики'!AD4607,WeightedRevAge05)-SUMIF(ThresholdAge05,"&lt;"&amp;'19_Расчет_аналитики'!AD4607,WeightedMinAge05),MAX(CapacityAge05*'01_Вводные'!$B$218*'19_Расчет_аналитики'!AD4607,MeanMinAge05))),0)</f>
        <v/>
      </c>
      <c r="AE4516">
        <f>IF('01_Вводные'!$B$234="Да",IF(OR('19_Расчет_аналитики'!AE4488=0,5&lt;='01_Вводные'!$B$297),0,'19_Расчет_аналитики'!AE4488*IF('01_Вводные'!$B$239="Да",MeanMinAge05+'19_Расчет_аналитики'!AE4607*SUMIF(ThresholdAge05,"&lt;"&amp;'19_Расчет_аналитики'!AE4607,WeightedRevAge05)-SUMIF(ThresholdAge05,"&lt;"&amp;'19_Расчет_аналитики'!AE4607,WeightedMinAge05),MAX(CapacityAge05*'01_Вводные'!$B$218*'19_Расчет_аналитики'!AE4607,MeanMinAge05))),0)</f>
        <v/>
      </c>
      <c r="AF4516">
        <f>IF('01_Вводные'!$B$234="Да",IF(OR('19_Расчет_аналитики'!AF4488=0,5&lt;='01_Вводные'!$B$297),0,'19_Расчет_аналитики'!AF4488*IF('01_Вводные'!$B$239="Да",MeanMinAge05+'19_Расчет_аналитики'!AF4607*SUMIF(ThresholdAge05,"&lt;"&amp;'19_Расчет_аналитики'!AF4607,WeightedRevAge05)-SUMIF(ThresholdAge05,"&lt;"&amp;'19_Расчет_аналитики'!AF4607,WeightedMinAge05),MAX(CapacityAge05*'01_Вводные'!$B$218*'19_Расчет_аналитики'!AF4607,MeanMinAge05))),0)</f>
        <v/>
      </c>
      <c r="AG4516">
        <f>IF('01_Вводные'!$B$234="Да",IF(OR('19_Расчет_аналитики'!AG4488=0,5&lt;='01_Вводные'!$B$297),0,'19_Расчет_аналитики'!AG4488*IF('01_Вводные'!$B$239="Да",MeanMinAge05+'19_Расчет_аналитики'!AG4607*SUMIF(ThresholdAge05,"&lt;"&amp;'19_Расчет_аналитики'!AG4607,WeightedRevAge05)-SUMIF(ThresholdAge05,"&lt;"&amp;'19_Расчет_аналитики'!AG4607,WeightedMinAge05),MAX(CapacityAge05*'01_Вводные'!$B$218*'19_Расчет_аналитики'!AG4607,MeanMinAge05))),0)</f>
        <v/>
      </c>
      <c r="AH4516">
        <f>IF('01_Вводные'!$B$234="Да",IF(OR('19_Расчет_аналитики'!AH4488=0,5&lt;='01_Вводные'!$B$297),0,'19_Расчет_аналитики'!AH4488*IF('01_Вводные'!$B$239="Да",MeanMinAge05+'19_Расчет_аналитики'!AH4607*SUMIF(ThresholdAge05,"&lt;"&amp;'19_Расчет_аналитики'!AH4607,WeightedRevAge05)-SUMIF(ThresholdAge05,"&lt;"&amp;'19_Расчет_аналитики'!AH4607,WeightedMinAge05),MAX(CapacityAge05*'01_Вводные'!$B$218*'19_Расчет_аналитики'!AH4607,MeanMinAge05))),0)</f>
        <v/>
      </c>
      <c r="AI4516">
        <f>IF('01_Вводные'!$B$234="Да",IF(OR('19_Расчет_аналитики'!AI4488=0,5&lt;='01_Вводные'!$B$297),0,'19_Расчет_аналитики'!AI4488*IF('01_Вводные'!$B$239="Да",MeanMinAge05+'19_Расчет_аналитики'!AI4607*SUMIF(ThresholdAge05,"&lt;"&amp;'19_Расчет_аналитики'!AI4607,WeightedRevAge05)-SUMIF(ThresholdAge05,"&lt;"&amp;'19_Расчет_аналитики'!AI4607,WeightedMinAge05),MAX(CapacityAge05*'01_Вводные'!$B$218*'19_Расчет_аналитики'!AI4607,MeanMinAge05))),0)</f>
        <v/>
      </c>
      <c r="AJ4516">
        <f>IF('01_Вводные'!$B$234="Да",IF(OR('19_Расчет_аналитики'!AJ4488=0,5&lt;='01_Вводные'!$B$297),0,'19_Расчет_аналитики'!AJ4488*IF('01_Вводные'!$B$239="Да",MeanMinAge05+'19_Расчет_аналитики'!AJ4607*SUMIF(ThresholdAge05,"&lt;"&amp;'19_Расчет_аналитики'!AJ4607,WeightedRevAge05)-SUMIF(ThresholdAge05,"&lt;"&amp;'19_Расчет_аналитики'!AJ4607,WeightedMinAge05),MAX(CapacityAge05*'01_Вводные'!$B$218*'19_Расчет_аналитики'!AJ4607,MeanMinAge05))),0)</f>
        <v/>
      </c>
      <c r="AK4516">
        <f>IF('01_Вводные'!$B$234="Да",IF(OR('19_Расчет_аналитики'!AK4488=0,5&lt;='01_Вводные'!$B$297),0,'19_Расчет_аналитики'!AK4488*IF('01_Вводные'!$B$239="Да",MeanMinAge05+'19_Расчет_аналитики'!AK4607*SUMIF(ThresholdAge05,"&lt;"&amp;'19_Расчет_аналитики'!AK4607,WeightedRevAge05)-SUMIF(ThresholdAge05,"&lt;"&amp;'19_Расчет_аналитики'!AK4607,WeightedMinAge05),MAX(CapacityAge05*'01_Вводные'!$B$218*'19_Расчет_аналитики'!AK4607,MeanMinAge05))),0)</f>
        <v/>
      </c>
      <c r="AL4516">
        <f>IF('01_Вводные'!$B$234="Да",IF(OR('19_Расчет_аналитики'!AL4488=0,5&lt;='01_Вводные'!$B$297),0,'19_Расчет_аналитики'!AL4488*IF('01_Вводные'!$B$239="Да",MeanMinAge05+'19_Расчет_аналитики'!AL4607*SUMIF(ThresholdAge05,"&lt;"&amp;'19_Расчет_аналитики'!AL4607,WeightedRevAge05)-SUMIF(ThresholdAge05,"&lt;"&amp;'19_Расчет_аналитики'!AL4607,WeightedMinAge05),MAX(CapacityAge05*'01_Вводные'!$B$218*'19_Расчет_аналитики'!AL4607,MeanMinAge05))),0)</f>
        <v/>
      </c>
      <c r="AM4516">
        <f>IF('01_Вводные'!$B$234="Да",IF(OR('19_Расчет_аналитики'!AM4488=0,5&lt;='01_Вводные'!$B$297),0,'19_Расчет_аналитики'!AM4488*IF('01_Вводные'!$B$239="Да",MeanMinAge05+'19_Расчет_аналитики'!AM4607*SUMIF(ThresholdAge05,"&lt;"&amp;'19_Расчет_аналитики'!AM4607,WeightedRevAge05)-SUMIF(ThresholdAge05,"&lt;"&amp;'19_Расчет_аналитики'!AM4607,WeightedMinAge05),MAX(CapacityAge05*'01_Вводные'!$B$218*'19_Расчет_аналитики'!AM4607,MeanMinAge05))),0)</f>
        <v/>
      </c>
      <c r="AN4516">
        <f>IF('01_Вводные'!$B$234="Да",IF(OR('19_Расчет_аналитики'!AN4488=0,5&lt;='01_Вводные'!$B$297),0,'19_Расчет_аналитики'!AN4488*IF('01_Вводные'!$B$239="Да",MeanMinAge05+'19_Расчет_аналитики'!AN4607*SUMIF(ThresholdAge05,"&lt;"&amp;'19_Расчет_аналитики'!AN4607,WeightedRevAge05)-SUMIF(ThresholdAge05,"&lt;"&amp;'19_Расчет_аналитики'!AN4607,WeightedMinAge05),MAX(CapacityAge05*'01_Вводные'!$B$218*'19_Расчет_аналитики'!AN4607,MeanMinAge05))),0)</f>
        <v/>
      </c>
      <c r="AO4516">
        <f>IF('01_Вводные'!$B$234="Да",IF(OR('19_Расчет_аналитики'!AO4488=0,5&lt;='01_Вводные'!$B$297),0,'19_Расчет_аналитики'!AO4488*IF('01_Вводные'!$B$239="Да",MeanMinAge05+'19_Расчет_аналитики'!AO4607*SUMIF(ThresholdAge05,"&lt;"&amp;'19_Расчет_аналитики'!AO4607,WeightedRevAge05)-SUMIF(ThresholdAge05,"&lt;"&amp;'19_Расчет_аналитики'!AO4607,WeightedMinAge05),MAX(CapacityAge05*'01_Вводные'!$B$218*'19_Расчет_аналитики'!AO4607,MeanMinAge05))),0)</f>
        <v/>
      </c>
      <c r="AP4516">
        <f>IF('01_Вводные'!$B$234="Да",IF(OR('19_Расчет_аналитики'!AP4488=0,5&lt;='01_Вводные'!$B$297),0,'19_Расчет_аналитики'!AP4488*IF('01_Вводные'!$B$239="Да",MeanMinAge05+'19_Расчет_аналитики'!AP4607*SUMIF(ThresholdAge05,"&lt;"&amp;'19_Расчет_аналитики'!AP4607,WeightedRevAge05)-SUMIF(ThresholdAge05,"&lt;"&amp;'19_Расчет_аналитики'!AP4607,WeightedMinAge05),MAX(CapacityAge05*'01_Вводные'!$B$218*'19_Расчет_аналитики'!AP4607,MeanMinAge05))),0)</f>
        <v/>
      </c>
      <c r="AQ4516">
        <f>IF('01_Вводные'!$B$234="Да",IF(OR('19_Расчет_аналитики'!AQ4488=0,5&lt;='01_Вводные'!$B$297),0,'19_Расчет_аналитики'!AQ4488*IF('01_Вводные'!$B$239="Да",MeanMinAge05+'19_Расчет_аналитики'!AQ4607*SUMIF(ThresholdAge05,"&lt;"&amp;'19_Расчет_аналитики'!AQ4607,WeightedRevAge05)-SUMIF(ThresholdAge05,"&lt;"&amp;'19_Расчет_аналитики'!AQ4607,WeightedMinAge05),MAX(CapacityAge05*'01_Вводные'!$B$218*'19_Расчет_аналитики'!AQ4607,MeanMinAge05))),0)</f>
        <v/>
      </c>
      <c r="AR4516">
        <f>IF('01_Вводные'!$B$234="Да",IF(OR('19_Расчет_аналитики'!AR4488=0,5&lt;='01_Вводные'!$B$297),0,'19_Расчет_аналитики'!AR4488*IF('01_Вводные'!$B$239="Да",MeanMinAge05+'19_Расчет_аналитики'!AR4607*SUMIF(ThresholdAge05,"&lt;"&amp;'19_Расчет_аналитики'!AR4607,WeightedRevAge05)-SUMIF(ThresholdAge05,"&lt;"&amp;'19_Расчет_аналитики'!AR4607,WeightedMinAge05),MAX(CapacityAge05*'01_Вводные'!$B$218*'19_Расчет_аналитики'!AR4607,MeanMinAge05))),0)</f>
        <v/>
      </c>
      <c r="AS4516">
        <f>IF('01_Вводные'!$B$234="Да",IF(OR('19_Расчет_аналитики'!AS4488=0,5&lt;='01_Вводные'!$B$297),0,'19_Расчет_аналитики'!AS4488*IF('01_Вводные'!$B$239="Да",MeanMinAge05+'19_Расчет_аналитики'!AS4607*SUMIF(ThresholdAge05,"&lt;"&amp;'19_Расчет_аналитики'!AS4607,WeightedRevAge05)-SUMIF(ThresholdAge05,"&lt;"&amp;'19_Расчет_аналитики'!AS4607,WeightedMinAge05),MAX(CapacityAge05*'01_Вводные'!$B$218*'19_Расчет_аналитики'!AS4607,MeanMinAge05))),0)</f>
        <v/>
      </c>
      <c r="AT4516">
        <f>IF('01_Вводные'!$B$234="Да",IF(OR('19_Расчет_аналитики'!AT4488=0,5&lt;='01_Вводные'!$B$297),0,'19_Расчет_аналитики'!AT4488*IF('01_Вводные'!$B$239="Да",MeanMinAge05+'19_Расчет_аналитики'!AT4607*SUMIF(ThresholdAge05,"&lt;"&amp;'19_Расчет_аналитики'!AT4607,WeightedRevAge05)-SUMIF(ThresholdAge05,"&lt;"&amp;'19_Расчет_аналитики'!AT4607,WeightedMinAge05),MAX(CapacityAge05*'01_Вводные'!$B$218*'19_Расчет_аналитики'!AT4607,MeanMinAge05))),0)</f>
        <v/>
      </c>
      <c r="AU4516">
        <f>IF('01_Вводные'!$B$234="Да",IF(OR('19_Расчет_аналитики'!AU4488=0,5&lt;='01_Вводные'!$B$297),0,'19_Расчет_аналитики'!AU4488*IF('01_Вводные'!$B$239="Да",MeanMinAge05+'19_Расчет_аналитики'!AU4607*SUMIF(ThresholdAge05,"&lt;"&amp;'19_Расчет_аналитики'!AU4607,WeightedRevAge05)-SUMIF(ThresholdAge05,"&lt;"&amp;'19_Расчет_аналитики'!AU4607,WeightedMinAge05),MAX(CapacityAge05*'01_Вводные'!$B$218*'19_Расчет_аналитики'!AU4607,MeanMinAge05))),0)</f>
        <v/>
      </c>
      <c r="AV4516">
        <f>IF('01_Вводные'!$B$234="Да",IF(OR('19_Расчет_аналитики'!AV4488=0,5&lt;='01_Вводные'!$B$297),0,'19_Расчет_аналитики'!AV4488*IF('01_Вводные'!$B$239="Да",MeanMinAge05+'19_Расчет_аналитики'!AV4607*SUMIF(ThresholdAge05,"&lt;"&amp;'19_Расчет_аналитики'!AV4607,WeightedRevAge05)-SUMIF(ThresholdAge05,"&lt;"&amp;'19_Расчет_аналитики'!AV4607,WeightedMinAge05),MAX(CapacityAge05*'01_Вводные'!$B$218*'19_Расчет_аналитики'!AV4607,MeanMinAge05))),0)</f>
        <v/>
      </c>
      <c r="AW4516">
        <f>IF('01_Вводные'!$B$234="Да",IF(OR('19_Расчет_аналитики'!AW4488=0,5&lt;='01_Вводные'!$B$297),0,'19_Расчет_аналитики'!AW4488*IF('01_Вводные'!$B$239="Да",MeanMinAge05+'19_Расчет_аналитики'!AW4607*SUMIF(ThresholdAge05,"&lt;"&amp;'19_Расчет_аналитики'!AW4607,WeightedRevAge05)-SUMIF(ThresholdAge05,"&lt;"&amp;'19_Расчет_аналитики'!AW4607,WeightedMinAge05),MAX(CapacityAge05*'01_Вводные'!$B$218*'19_Расчет_аналитики'!AW4607,MeanMinAge05))),0)</f>
        <v/>
      </c>
      <c r="AX4516">
        <f>IF('01_Вводные'!$B$234="Да",IF(OR('19_Расчет_аналитики'!AX4488=0,5&lt;='01_Вводные'!$B$297),0,'19_Расчет_аналитики'!AX4488*IF('01_Вводные'!$B$239="Да",MeanMinAge05+'19_Расчет_аналитики'!AX4607*SUMIF(ThresholdAge05,"&lt;"&amp;'19_Расчет_аналитики'!AX4607,WeightedRevAge05)-SUMIF(ThresholdAge05,"&lt;"&amp;'19_Расчет_аналитики'!AX4607,WeightedMinAge05),MAX(CapacityAge05*'01_Вводные'!$B$218*'19_Расчет_аналитики'!AX4607,MeanMinAge05))),0)</f>
        <v/>
      </c>
      <c r="AY4516">
        <f>IF('01_Вводные'!$B$234="Да",IF(OR('19_Расчет_аналитики'!AY4488=0,5&lt;='01_Вводные'!$B$297),0,'19_Расчет_аналитики'!AY4488*IF('01_Вводные'!$B$239="Да",MeanMinAge05+'19_Расчет_аналитики'!AY4607*SUMIF(ThresholdAge05,"&lt;"&amp;'19_Расчет_аналитики'!AY4607,WeightedRevAge05)-SUMIF(ThresholdAge05,"&lt;"&amp;'19_Расчет_аналитики'!AY4607,WeightedMinAge05),MAX(CapacityAge05*'01_Вводные'!$B$218*'19_Расчет_аналитики'!AY4607,MeanMinAge05))),0)</f>
        <v/>
      </c>
      <c r="AZ4516">
        <f>IF('01_Вводные'!$B$234="Да",IF(OR('19_Расчет_аналитики'!AZ4488=0,5&lt;='01_Вводные'!$B$297),0,'19_Расчет_аналитики'!AZ4488*IF('01_Вводные'!$B$239="Да",MeanMinAge05+'19_Расчет_аналитики'!AZ4607*SUMIF(ThresholdAge05,"&lt;"&amp;'19_Расчет_аналитики'!AZ4607,WeightedRevAge05)-SUMIF(ThresholdAge05,"&lt;"&amp;'19_Расчет_аналитики'!AZ4607,WeightedMinAge05),MAX(CapacityAge05*'01_Вводные'!$B$218*'19_Расчет_аналитики'!AZ4607,MeanMinAge05))),0)</f>
        <v/>
      </c>
      <c r="BA4516">
        <f>IF('01_Вводные'!$B$234="Да",IF(OR('19_Расчет_аналитики'!BA4488=0,5&lt;='01_Вводные'!$B$297),0,'19_Расчет_аналитики'!BA4488*IF('01_Вводные'!$B$239="Да",MeanMinAge05+'19_Расчет_аналитики'!BA4607*SUMIF(ThresholdAge05,"&lt;"&amp;'19_Расчет_аналитики'!BA4607,WeightedRevAge05)-SUMIF(ThresholdAge05,"&lt;"&amp;'19_Расчет_аналитики'!BA4607,WeightedMinAge05),MAX(CapacityAge05*'01_Вводные'!$B$218*'19_Расчет_аналитики'!BA4607,MeanMinAge05))),0)</f>
        <v/>
      </c>
      <c r="BB4516">
        <f>IF('01_Вводные'!$B$234="Да",IF(OR('19_Расчет_аналитики'!BB4488=0,5&lt;='01_Вводные'!$B$297),0,'19_Расчет_аналитики'!BB4488*IF('01_Вводные'!$B$239="Да",MeanMinAge05+'19_Расчет_аналитики'!BB4607*SUMIF(ThresholdAge05,"&lt;"&amp;'19_Расчет_аналитики'!BB4607,WeightedRevAge05)-SUMIF(ThresholdAge05,"&lt;"&amp;'19_Расчет_аналитики'!BB4607,WeightedMinAge05),MAX(CapacityAge05*'01_Вводные'!$B$218*'19_Расчет_аналитики'!BB4607,MeanMinAge05))),0)</f>
        <v/>
      </c>
      <c r="BC4516">
        <f>IF('01_Вводные'!$B$234="Да",IF(OR('19_Расчет_аналитики'!BC4488=0,5&lt;='01_Вводные'!$B$297),0,'19_Расчет_аналитики'!BC4488*IF('01_Вводные'!$B$239="Да",MeanMinAge05+'19_Расчет_аналитики'!BC4607*SUMIF(ThresholdAge05,"&lt;"&amp;'19_Расчет_аналитики'!BC4607,WeightedRevAge05)-SUMIF(ThresholdAge05,"&lt;"&amp;'19_Расчет_аналитики'!BC4607,WeightedMinAge05),MAX(CapacityAge05*'01_Вводные'!$B$218*'19_Расчет_аналитики'!BC4607,MeanMinAge05))),0)</f>
        <v/>
      </c>
      <c r="BD4516">
        <f>IF('01_Вводные'!$B$234="Да",IF(OR('19_Расчет_аналитики'!BD4488=0,5&lt;='01_Вводные'!$B$297),0,'19_Расчет_аналитики'!BD4488*IF('01_Вводные'!$B$239="Да",MeanMinAge05+'19_Расчет_аналитики'!BD4607*SUMIF(ThresholdAge05,"&lt;"&amp;'19_Расчет_аналитики'!BD4607,WeightedRevAge05)-SUMIF(ThresholdAge05,"&lt;"&amp;'19_Расчет_аналитики'!BD4607,WeightedMinAge05),MAX(CapacityAge05*'01_Вводные'!$B$218*'19_Расчет_аналитики'!BD4607,MeanMinAge05))),0)</f>
        <v/>
      </c>
      <c r="BE4516">
        <f>IF('01_Вводные'!$B$234="Да",IF(OR('19_Расчет_аналитики'!BE4488=0,5&lt;='01_Вводные'!$B$297),0,'19_Расчет_аналитики'!BE4488*IF('01_Вводные'!$B$239="Да",MeanMinAge05+'19_Расчет_аналитики'!BE4607*SUMIF(ThresholdAge05,"&lt;"&amp;'19_Расчет_аналитики'!BE4607,WeightedRevAge05)-SUMIF(ThresholdAge05,"&lt;"&amp;'19_Расчет_аналитики'!BE4607,WeightedMinAge05),MAX(CapacityAge05*'01_Вводные'!$B$218*'19_Расчет_аналитики'!BE4607,MeanMinAge05))),0)</f>
        <v/>
      </c>
      <c r="BF4516">
        <f>IF('01_Вводные'!$B$234="Да",IF(OR('19_Расчет_аналитики'!BF4488=0,5&lt;='01_Вводные'!$B$297),0,'19_Расчет_аналитики'!BF4488*IF('01_Вводные'!$B$239="Да",MeanMinAge05+'19_Расчет_аналитики'!BF4607*SUMIF(ThresholdAge05,"&lt;"&amp;'19_Расчет_аналитики'!BF4607,WeightedRevAge05)-SUMIF(ThresholdAge05,"&lt;"&amp;'19_Расчет_аналитики'!BF4607,WeightedMinAge05),MAX(CapacityAge05*'01_Вводные'!$B$218*'19_Расчет_аналитики'!BF4607,MeanMinAge05))),0)</f>
        <v/>
      </c>
      <c r="BG4516">
        <f>IF('01_Вводные'!$B$234="Да",IF(OR('19_Расчет_аналитики'!BG4488=0,5&lt;='01_Вводные'!$B$297),0,'19_Расчет_аналитики'!BG4488*IF('01_Вводные'!$B$239="Да",MeanMinAge05+'19_Расчет_аналитики'!BG4607*SUMIF(ThresholdAge05,"&lt;"&amp;'19_Расчет_аналитики'!BG4607,WeightedRevAge05)-SUMIF(ThresholdAge05,"&lt;"&amp;'19_Расчет_аналитики'!BG4607,WeightedMinAge05),MAX(CapacityAge05*'01_Вводные'!$B$218*'19_Расчет_аналитики'!BG4607,MeanMinAge05))),0)</f>
        <v/>
      </c>
      <c r="BH4516">
        <f>IF('01_Вводные'!$B$234="Да",IF(OR('19_Расчет_аналитики'!BH4488=0,5&lt;='01_Вводные'!$B$297),0,'19_Расчет_аналитики'!BH4488*IF('01_Вводные'!$B$239="Да",MeanMinAge05+'19_Расчет_аналитики'!BH4607*SUMIF(ThresholdAge05,"&lt;"&amp;'19_Расчет_аналитики'!BH4607,WeightedRevAge05)-SUMIF(ThresholdAge05,"&lt;"&amp;'19_Расчет_аналитики'!BH4607,WeightedMinAge05),MAX(CapacityAge05*'01_Вводные'!$B$218*'19_Расчет_аналитики'!BH4607,MeanMinAge05))),0)</f>
        <v/>
      </c>
      <c r="BI4516">
        <f>IF('01_Вводные'!$B$234="Да",IF(OR('19_Расчет_аналитики'!BI4488=0,5&lt;='01_Вводные'!$B$297),0,'19_Расчет_аналитики'!BI4488*IF('01_Вводные'!$B$239="Да",MeanMinAge05+'19_Расчет_аналитики'!BI4607*SUMIF(ThresholdAge05,"&lt;"&amp;'19_Расчет_аналитики'!BI4607,WeightedRevAge05)-SUMIF(ThresholdAge05,"&lt;"&amp;'19_Расчет_аналитики'!BI4607,WeightedMinAge05),MAX(CapacityAge05*'01_Вводные'!$B$218*'19_Расчет_аналитики'!BI4607,MeanMinAge05))),0)</f>
        <v/>
      </c>
      <c r="BJ4516">
        <f>IF('01_Вводные'!$B$234="Да",IF(OR('19_Расчет_аналитики'!BJ4488=0,5&lt;='01_Вводные'!$B$297),0,'19_Расчет_аналитики'!BJ4488*IF('01_Вводные'!$B$239="Да",MeanMinAge05+'19_Расчет_аналитики'!BJ4607*SUMIF(ThresholdAge05,"&lt;"&amp;'19_Расчет_аналитики'!BJ4607,WeightedRevAge05)-SUMIF(ThresholdAge05,"&lt;"&amp;'19_Расчет_аналитики'!BJ4607,WeightedMinAge05),MAX(CapacityAge05*'01_Вводные'!$B$218*'19_Расчет_аналитики'!BJ4607,MeanMinAge05))),0)</f>
        <v/>
      </c>
      <c r="BK4516">
        <f>IF('01_Вводные'!$B$234="Да",IF(OR('19_Расчет_аналитики'!BK4488=0,5&lt;='01_Вводные'!$B$297),0,'19_Расчет_аналитики'!BK4488*IF('01_Вводные'!$B$239="Да",MeanMinAge05+'19_Расчет_аналитики'!BK4607*SUMIF(ThresholdAge05,"&lt;"&amp;'19_Расчет_аналитики'!BK4607,WeightedRevAge05)-SUMIF(ThresholdAge05,"&lt;"&amp;'19_Расчет_аналитики'!BK4607,WeightedMinAge05),MAX(CapacityAge05*'01_Вводные'!$B$218*'19_Расчет_аналитики'!BK4607,MeanMinAge05))),0)</f>
        <v/>
      </c>
      <c r="BL4516">
        <f>IF('01_Вводные'!$B$234="Да",IF(OR('19_Расчет_аналитики'!BL4488=0,5&lt;='01_Вводные'!$B$297),0,'19_Расчет_аналитики'!BL4488*IF('01_Вводные'!$B$239="Да",MeanMinAge05+'19_Расчет_аналитики'!BL4607*SUMIF(ThresholdAge05,"&lt;"&amp;'19_Расчет_аналитики'!BL4607,WeightedRevAge05)-SUMIF(ThresholdAge05,"&lt;"&amp;'19_Расчет_аналитики'!BL4607,WeightedMinAge05),MAX(CapacityAge05*'01_Вводные'!$B$218*'19_Расчет_аналитики'!BL4607,MeanMinAge05))),0)</f>
        <v/>
      </c>
      <c r="BM4516">
        <f>IF('01_Вводные'!$B$234="Да",IF(OR('19_Расчет_аналитики'!BM4488=0,5&lt;='01_Вводные'!$B$297),0,'19_Расчет_аналитики'!BM4488*IF('01_Вводные'!$B$239="Да",MeanMinAge05+'19_Расчет_аналитики'!BM4607*SUMIF(ThresholdAge05,"&lt;"&amp;'19_Расчет_аналитики'!BM4607,WeightedRevAge05)-SUMIF(ThresholdAge05,"&lt;"&amp;'19_Расчет_аналитики'!BM4607,WeightedMinAge05),MAX(CapacityAge05*'01_Вводные'!$B$218*'19_Расчет_аналитики'!BM4607,MeanMinAge05))),0)</f>
        <v/>
      </c>
      <c r="BN4516">
        <f>IF('01_Вводные'!$B$234="Да",IF(OR('19_Расчет_аналитики'!BN4488=0,5&lt;='01_Вводные'!$B$297),0,'19_Расчет_аналитики'!BN4488*IF('01_Вводные'!$B$239="Да",MeanMinAge05+'19_Расчет_аналитики'!BN4607*SUMIF(ThresholdAge05,"&lt;"&amp;'19_Расчет_аналитики'!BN4607,WeightedRevAge05)-SUMIF(ThresholdAge05,"&lt;"&amp;'19_Расчет_аналитики'!BN4607,WeightedMinAge05),MAX(CapacityAge05*'01_Вводные'!$B$218*'19_Расчет_аналитики'!BN4607,MeanMinAge05))),0)</f>
        <v/>
      </c>
      <c r="BO4516">
        <f>IF('01_Вводные'!$B$234="Да",IF(OR('19_Расчет_аналитики'!BO4488=0,5&lt;='01_Вводные'!$B$297),0,'19_Расчет_аналитики'!BO4488*IF('01_Вводные'!$B$239="Да",MeanMinAge05+'19_Расчет_аналитики'!BO4607*SUMIF(ThresholdAge05,"&lt;"&amp;'19_Расчет_аналитики'!BO4607,WeightedRevAge05)-SUMIF(ThresholdAge05,"&lt;"&amp;'19_Расчет_аналитики'!BO4607,WeightedMinAge05),MAX(CapacityAge05*'01_Вводные'!$B$218*'19_Расчет_аналитики'!BO4607,MeanMinAge05))),0)</f>
        <v/>
      </c>
    </row>
    <row r="4517">
      <c r="B4517">
        <f>IF('01_Вводные'!$B$234="Да",IF(OR('06_Сеть_и_дети'!B86=0,6&lt;='01_Вводные'!$B$297),0,'06_Сеть_и_дети'!B86*IF('01_Вводные'!$B$239="Да",MeanMinAge06+'19_Расчет_аналитики'!B4607*SUMIF(ThresholdAge06,"&lt;"&amp;'19_Расчет_аналитики'!B4607,WeightedRevAge06)-SUMIF(ThresholdAge06,"&lt;"&amp;'19_Расчет_аналитики'!B4607,WeightedMinAge06),MAX(CapacityAge06*'01_Вводные'!$B$218*'19_Расчет_аналитики'!B4607,MeanMinAge06))),0)</f>
        <v/>
      </c>
      <c r="C4517">
        <f>IF('01_Вводные'!$B$234="Да",IF(OR('06_Сеть_и_дети'!C86=0,6&lt;='01_Вводные'!$B$297),0,'06_Сеть_и_дети'!C86*IF('01_Вводные'!$B$239="Да",MeanMinAge06+'19_Расчет_аналитики'!C4607*SUMIF(ThresholdAge06,"&lt;"&amp;'19_Расчет_аналитики'!C4607,WeightedRevAge06)-SUMIF(ThresholdAge06,"&lt;"&amp;'19_Расчет_аналитики'!C4607,WeightedMinAge06),MAX(CapacityAge06*'01_Вводные'!$B$218*'19_Расчет_аналитики'!C4607,MeanMinAge06))),0)</f>
        <v/>
      </c>
      <c r="D4517">
        <f>IF('01_Вводные'!$B$234="Да",IF(OR('06_Сеть_и_дети'!D86=0,6&lt;='01_Вводные'!$B$297),0,'06_Сеть_и_дети'!D86*IF('01_Вводные'!$B$239="Да",MeanMinAge06+'19_Расчет_аналитики'!D4607*SUMIF(ThresholdAge06,"&lt;"&amp;'19_Расчет_аналитики'!D4607,WeightedRevAge06)-SUMIF(ThresholdAge06,"&lt;"&amp;'19_Расчет_аналитики'!D4607,WeightedMinAge06),MAX(CapacityAge06*'01_Вводные'!$B$218*'19_Расчет_аналитики'!D4607,MeanMinAge06))),0)</f>
        <v/>
      </c>
      <c r="E4517">
        <f>IF('01_Вводные'!$B$234="Да",IF(OR('06_Сеть_и_дети'!E86=0,6&lt;='01_Вводные'!$B$297),0,'06_Сеть_и_дети'!E86*IF('01_Вводные'!$B$239="Да",MeanMinAge06+'19_Расчет_аналитики'!E4607*SUMIF(ThresholdAge06,"&lt;"&amp;'19_Расчет_аналитики'!E4607,WeightedRevAge06)-SUMIF(ThresholdAge06,"&lt;"&amp;'19_Расчет_аналитики'!E4607,WeightedMinAge06),MAX(CapacityAge06*'01_Вводные'!$B$218*'19_Расчет_аналитики'!E4607,MeanMinAge06))),0)</f>
        <v/>
      </c>
      <c r="F4517">
        <f>IF('01_Вводные'!$B$234="Да",IF(OR('06_Сеть_и_дети'!F86=0,6&lt;='01_Вводные'!$B$297),0,'06_Сеть_и_дети'!F86*IF('01_Вводные'!$B$239="Да",MeanMinAge06+'19_Расчет_аналитики'!F4607*SUMIF(ThresholdAge06,"&lt;"&amp;'19_Расчет_аналитики'!F4607,WeightedRevAge06)-SUMIF(ThresholdAge06,"&lt;"&amp;'19_Расчет_аналитики'!F4607,WeightedMinAge06),MAX(CapacityAge06*'01_Вводные'!$B$218*'19_Расчет_аналитики'!F4607,MeanMinAge06))),0)</f>
        <v/>
      </c>
      <c r="G4517">
        <f>IF('01_Вводные'!$B$234="Да",IF(OR('19_Расчет_аналитики'!G4489=0,6&lt;='01_Вводные'!$B$297),0,'19_Расчет_аналитики'!G4489*IF('01_Вводные'!$B$239="Да",MeanMinAge06+'19_Расчет_аналитики'!G4607*SUMIF(ThresholdAge06,"&lt;"&amp;'19_Расчет_аналитики'!G4607,WeightedRevAge06)-SUMIF(ThresholdAge06,"&lt;"&amp;'19_Расчет_аналитики'!G4607,WeightedMinAge06),MAX(CapacityAge06*'01_Вводные'!$B$218*'19_Расчет_аналитики'!G4607,MeanMinAge06))),0)</f>
        <v/>
      </c>
      <c r="H4517">
        <f>IF('01_Вводные'!$B$234="Да",IF(OR('19_Расчет_аналитики'!H4489=0,6&lt;='01_Вводные'!$B$297),0,'19_Расчет_аналитики'!H4489*IF('01_Вводные'!$B$239="Да",MeanMinAge06+'19_Расчет_аналитики'!H4607*SUMIF(ThresholdAge06,"&lt;"&amp;'19_Расчет_аналитики'!H4607,WeightedRevAge06)-SUMIF(ThresholdAge06,"&lt;"&amp;'19_Расчет_аналитики'!H4607,WeightedMinAge06),MAX(CapacityAge06*'01_Вводные'!$B$218*'19_Расчет_аналитики'!H4607,MeanMinAge06))),0)</f>
        <v/>
      </c>
      <c r="I4517">
        <f>IF('01_Вводные'!$B$234="Да",IF(OR('19_Расчет_аналитики'!I4489=0,6&lt;='01_Вводные'!$B$297),0,'19_Расчет_аналитики'!I4489*IF('01_Вводные'!$B$239="Да",MeanMinAge06+'19_Расчет_аналитики'!I4607*SUMIF(ThresholdAge06,"&lt;"&amp;'19_Расчет_аналитики'!I4607,WeightedRevAge06)-SUMIF(ThresholdAge06,"&lt;"&amp;'19_Расчет_аналитики'!I4607,WeightedMinAge06),MAX(CapacityAge06*'01_Вводные'!$B$218*'19_Расчет_аналитики'!I4607,MeanMinAge06))),0)</f>
        <v/>
      </c>
      <c r="J4517">
        <f>IF('01_Вводные'!$B$234="Да",IF(OR('19_Расчет_аналитики'!J4489=0,6&lt;='01_Вводные'!$B$297),0,'19_Расчет_аналитики'!J4489*IF('01_Вводные'!$B$239="Да",MeanMinAge06+'19_Расчет_аналитики'!J4607*SUMIF(ThresholdAge06,"&lt;"&amp;'19_Расчет_аналитики'!J4607,WeightedRevAge06)-SUMIF(ThresholdAge06,"&lt;"&amp;'19_Расчет_аналитики'!J4607,WeightedMinAge06),MAX(CapacityAge06*'01_Вводные'!$B$218*'19_Расчет_аналитики'!J4607,MeanMinAge06))),0)</f>
        <v/>
      </c>
      <c r="K4517">
        <f>IF('01_Вводные'!$B$234="Да",IF(OR('19_Расчет_аналитики'!K4489=0,6&lt;='01_Вводные'!$B$297),0,'19_Расчет_аналитики'!K4489*IF('01_Вводные'!$B$239="Да",MeanMinAge06+'19_Расчет_аналитики'!K4607*SUMIF(ThresholdAge06,"&lt;"&amp;'19_Расчет_аналитики'!K4607,WeightedRevAge06)-SUMIF(ThresholdAge06,"&lt;"&amp;'19_Расчет_аналитики'!K4607,WeightedMinAge06),MAX(CapacityAge06*'01_Вводные'!$B$218*'19_Расчет_аналитики'!K4607,MeanMinAge06))),0)</f>
        <v/>
      </c>
      <c r="L4517">
        <f>IF('01_Вводные'!$B$234="Да",IF(OR('19_Расчет_аналитики'!L4489=0,6&lt;='01_Вводные'!$B$297),0,'19_Расчет_аналитики'!L4489*IF('01_Вводные'!$B$239="Да",MeanMinAge06+'19_Расчет_аналитики'!L4607*SUMIF(ThresholdAge06,"&lt;"&amp;'19_Расчет_аналитики'!L4607,WeightedRevAge06)-SUMIF(ThresholdAge06,"&lt;"&amp;'19_Расчет_аналитики'!L4607,WeightedMinAge06),MAX(CapacityAge06*'01_Вводные'!$B$218*'19_Расчет_аналитики'!L4607,MeanMinAge06))),0)</f>
        <v/>
      </c>
      <c r="M4517">
        <f>IF('01_Вводные'!$B$234="Да",IF(OR('19_Расчет_аналитики'!M4489=0,6&lt;='01_Вводные'!$B$297),0,'19_Расчет_аналитики'!M4489*IF('01_Вводные'!$B$239="Да",MeanMinAge06+'19_Расчет_аналитики'!M4607*SUMIF(ThresholdAge06,"&lt;"&amp;'19_Расчет_аналитики'!M4607,WeightedRevAge06)-SUMIF(ThresholdAge06,"&lt;"&amp;'19_Расчет_аналитики'!M4607,WeightedMinAge06),MAX(CapacityAge06*'01_Вводные'!$B$218*'19_Расчет_аналитики'!M4607,MeanMinAge06))),0)</f>
        <v/>
      </c>
      <c r="N4517">
        <f>IF('01_Вводные'!$B$234="Да",IF(OR('19_Расчет_аналитики'!N4489=0,6&lt;='01_Вводные'!$B$297),0,'19_Расчет_аналитики'!N4489*IF('01_Вводные'!$B$239="Да",MeanMinAge06+'19_Расчет_аналитики'!N4607*SUMIF(ThresholdAge06,"&lt;"&amp;'19_Расчет_аналитики'!N4607,WeightedRevAge06)-SUMIF(ThresholdAge06,"&lt;"&amp;'19_Расчет_аналитики'!N4607,WeightedMinAge06),MAX(CapacityAge06*'01_Вводные'!$B$218*'19_Расчет_аналитики'!N4607,MeanMinAge06))),0)</f>
        <v/>
      </c>
      <c r="O4517">
        <f>IF('01_Вводные'!$B$234="Да",IF(OR('19_Расчет_аналитики'!O4489=0,6&lt;='01_Вводные'!$B$297),0,'19_Расчет_аналитики'!O4489*IF('01_Вводные'!$B$239="Да",MeanMinAge06+'19_Расчет_аналитики'!O4607*SUMIF(ThresholdAge06,"&lt;"&amp;'19_Расчет_аналитики'!O4607,WeightedRevAge06)-SUMIF(ThresholdAge06,"&lt;"&amp;'19_Расчет_аналитики'!O4607,WeightedMinAge06),MAX(CapacityAge06*'01_Вводные'!$B$218*'19_Расчет_аналитики'!O4607,MeanMinAge06))),0)</f>
        <v/>
      </c>
      <c r="P4517">
        <f>IF('01_Вводные'!$B$234="Да",IF(OR('19_Расчет_аналитики'!P4489=0,6&lt;='01_Вводные'!$B$297),0,'19_Расчет_аналитики'!P4489*IF('01_Вводные'!$B$239="Да",MeanMinAge06+'19_Расчет_аналитики'!P4607*SUMIF(ThresholdAge06,"&lt;"&amp;'19_Расчет_аналитики'!P4607,WeightedRevAge06)-SUMIF(ThresholdAge06,"&lt;"&amp;'19_Расчет_аналитики'!P4607,WeightedMinAge06),MAX(CapacityAge06*'01_Вводные'!$B$218*'19_Расчет_аналитики'!P4607,MeanMinAge06))),0)</f>
        <v/>
      </c>
      <c r="Q4517">
        <f>IF('01_Вводные'!$B$234="Да",IF(OR('19_Расчет_аналитики'!Q4489=0,6&lt;='01_Вводные'!$B$297),0,'19_Расчет_аналитики'!Q4489*IF('01_Вводные'!$B$239="Да",MeanMinAge06+'19_Расчет_аналитики'!Q4607*SUMIF(ThresholdAge06,"&lt;"&amp;'19_Расчет_аналитики'!Q4607,WeightedRevAge06)-SUMIF(ThresholdAge06,"&lt;"&amp;'19_Расчет_аналитики'!Q4607,WeightedMinAge06),MAX(CapacityAge06*'01_Вводные'!$B$218*'19_Расчет_аналитики'!Q4607,MeanMinAge06))),0)</f>
        <v/>
      </c>
      <c r="R4517">
        <f>IF('01_Вводные'!$B$234="Да",IF(OR('19_Расчет_аналитики'!R4489=0,6&lt;='01_Вводные'!$B$297),0,'19_Расчет_аналитики'!R4489*IF('01_Вводные'!$B$239="Да",MeanMinAge06+'19_Расчет_аналитики'!R4607*SUMIF(ThresholdAge06,"&lt;"&amp;'19_Расчет_аналитики'!R4607,WeightedRevAge06)-SUMIF(ThresholdAge06,"&lt;"&amp;'19_Расчет_аналитики'!R4607,WeightedMinAge06),MAX(CapacityAge06*'01_Вводные'!$B$218*'19_Расчет_аналитики'!R4607,MeanMinAge06))),0)</f>
        <v/>
      </c>
      <c r="S4517">
        <f>IF('01_Вводные'!$B$234="Да",IF(OR('19_Расчет_аналитики'!S4489=0,6&lt;='01_Вводные'!$B$297),0,'19_Расчет_аналитики'!S4489*IF('01_Вводные'!$B$239="Да",MeanMinAge06+'19_Расчет_аналитики'!S4607*SUMIF(ThresholdAge06,"&lt;"&amp;'19_Расчет_аналитики'!S4607,WeightedRevAge06)-SUMIF(ThresholdAge06,"&lt;"&amp;'19_Расчет_аналитики'!S4607,WeightedMinAge06),MAX(CapacityAge06*'01_Вводные'!$B$218*'19_Расчет_аналитики'!S4607,MeanMinAge06))),0)</f>
        <v/>
      </c>
      <c r="T4517">
        <f>IF('01_Вводные'!$B$234="Да",IF(OR('19_Расчет_аналитики'!T4489=0,6&lt;='01_Вводные'!$B$297),0,'19_Расчет_аналитики'!T4489*IF('01_Вводные'!$B$239="Да",MeanMinAge06+'19_Расчет_аналитики'!T4607*SUMIF(ThresholdAge06,"&lt;"&amp;'19_Расчет_аналитики'!T4607,WeightedRevAge06)-SUMIF(ThresholdAge06,"&lt;"&amp;'19_Расчет_аналитики'!T4607,WeightedMinAge06),MAX(CapacityAge06*'01_Вводные'!$B$218*'19_Расчет_аналитики'!T4607,MeanMinAge06))),0)</f>
        <v/>
      </c>
      <c r="U4517">
        <f>IF('01_Вводные'!$B$234="Да",IF(OR('19_Расчет_аналитики'!U4489=0,6&lt;='01_Вводные'!$B$297),0,'19_Расчет_аналитики'!U4489*IF('01_Вводные'!$B$239="Да",MeanMinAge06+'19_Расчет_аналитики'!U4607*SUMIF(ThresholdAge06,"&lt;"&amp;'19_Расчет_аналитики'!U4607,WeightedRevAge06)-SUMIF(ThresholdAge06,"&lt;"&amp;'19_Расчет_аналитики'!U4607,WeightedMinAge06),MAX(CapacityAge06*'01_Вводные'!$B$218*'19_Расчет_аналитики'!U4607,MeanMinAge06))),0)</f>
        <v/>
      </c>
      <c r="V4517">
        <f>IF('01_Вводные'!$B$234="Да",IF(OR('19_Расчет_аналитики'!V4489=0,6&lt;='01_Вводные'!$B$297),0,'19_Расчет_аналитики'!V4489*IF('01_Вводные'!$B$239="Да",MeanMinAge06+'19_Расчет_аналитики'!V4607*SUMIF(ThresholdAge06,"&lt;"&amp;'19_Расчет_аналитики'!V4607,WeightedRevAge06)-SUMIF(ThresholdAge06,"&lt;"&amp;'19_Расчет_аналитики'!V4607,WeightedMinAge06),MAX(CapacityAge06*'01_Вводные'!$B$218*'19_Расчет_аналитики'!V4607,MeanMinAge06))),0)</f>
        <v/>
      </c>
      <c r="W4517">
        <f>IF('01_Вводные'!$B$234="Да",IF(OR('19_Расчет_аналитики'!W4489=0,6&lt;='01_Вводные'!$B$297),0,'19_Расчет_аналитики'!W4489*IF('01_Вводные'!$B$239="Да",MeanMinAge06+'19_Расчет_аналитики'!W4607*SUMIF(ThresholdAge06,"&lt;"&amp;'19_Расчет_аналитики'!W4607,WeightedRevAge06)-SUMIF(ThresholdAge06,"&lt;"&amp;'19_Расчет_аналитики'!W4607,WeightedMinAge06),MAX(CapacityAge06*'01_Вводные'!$B$218*'19_Расчет_аналитики'!W4607,MeanMinAge06))),0)</f>
        <v/>
      </c>
      <c r="X4517">
        <f>IF('01_Вводные'!$B$234="Да",IF(OR('19_Расчет_аналитики'!X4489=0,6&lt;='01_Вводные'!$B$297),0,'19_Расчет_аналитики'!X4489*IF('01_Вводные'!$B$239="Да",MeanMinAge06+'19_Расчет_аналитики'!X4607*SUMIF(ThresholdAge06,"&lt;"&amp;'19_Расчет_аналитики'!X4607,WeightedRevAge06)-SUMIF(ThresholdAge06,"&lt;"&amp;'19_Расчет_аналитики'!X4607,WeightedMinAge06),MAX(CapacityAge06*'01_Вводные'!$B$218*'19_Расчет_аналитики'!X4607,MeanMinAge06))),0)</f>
        <v/>
      </c>
      <c r="Y4517">
        <f>IF('01_Вводные'!$B$234="Да",IF(OR('19_Расчет_аналитики'!Y4489=0,6&lt;='01_Вводные'!$B$297),0,'19_Расчет_аналитики'!Y4489*IF('01_Вводные'!$B$239="Да",MeanMinAge06+'19_Расчет_аналитики'!Y4607*SUMIF(ThresholdAge06,"&lt;"&amp;'19_Расчет_аналитики'!Y4607,WeightedRevAge06)-SUMIF(ThresholdAge06,"&lt;"&amp;'19_Расчет_аналитики'!Y4607,WeightedMinAge06),MAX(CapacityAge06*'01_Вводные'!$B$218*'19_Расчет_аналитики'!Y4607,MeanMinAge06))),0)</f>
        <v/>
      </c>
      <c r="Z4517">
        <f>IF('01_Вводные'!$B$234="Да",IF(OR('19_Расчет_аналитики'!Z4489=0,6&lt;='01_Вводные'!$B$297),0,'19_Расчет_аналитики'!Z4489*IF('01_Вводные'!$B$239="Да",MeanMinAge06+'19_Расчет_аналитики'!Z4607*SUMIF(ThresholdAge06,"&lt;"&amp;'19_Расчет_аналитики'!Z4607,WeightedRevAge06)-SUMIF(ThresholdAge06,"&lt;"&amp;'19_Расчет_аналитики'!Z4607,WeightedMinAge06),MAX(CapacityAge06*'01_Вводные'!$B$218*'19_Расчет_аналитики'!Z4607,MeanMinAge06))),0)</f>
        <v/>
      </c>
      <c r="AA4517">
        <f>IF('01_Вводные'!$B$234="Да",IF(OR('19_Расчет_аналитики'!AA4489=0,6&lt;='01_Вводные'!$B$297),0,'19_Расчет_аналитики'!AA4489*IF('01_Вводные'!$B$239="Да",MeanMinAge06+'19_Расчет_аналитики'!AA4607*SUMIF(ThresholdAge06,"&lt;"&amp;'19_Расчет_аналитики'!AA4607,WeightedRevAge06)-SUMIF(ThresholdAge06,"&lt;"&amp;'19_Расчет_аналитики'!AA4607,WeightedMinAge06),MAX(CapacityAge06*'01_Вводные'!$B$218*'19_Расчет_аналитики'!AA4607,MeanMinAge06))),0)</f>
        <v/>
      </c>
      <c r="AB4517">
        <f>IF('01_Вводные'!$B$234="Да",IF(OR('19_Расчет_аналитики'!AB4489=0,6&lt;='01_Вводные'!$B$297),0,'19_Расчет_аналитики'!AB4489*IF('01_Вводные'!$B$239="Да",MeanMinAge06+'19_Расчет_аналитики'!AB4607*SUMIF(ThresholdAge06,"&lt;"&amp;'19_Расчет_аналитики'!AB4607,WeightedRevAge06)-SUMIF(ThresholdAge06,"&lt;"&amp;'19_Расчет_аналитики'!AB4607,WeightedMinAge06),MAX(CapacityAge06*'01_Вводные'!$B$218*'19_Расчет_аналитики'!AB4607,MeanMinAge06))),0)</f>
        <v/>
      </c>
      <c r="AC4517">
        <f>IF('01_Вводные'!$B$234="Да",IF(OR('19_Расчет_аналитики'!AC4489=0,6&lt;='01_Вводные'!$B$297),0,'19_Расчет_аналитики'!AC4489*IF('01_Вводные'!$B$239="Да",MeanMinAge06+'19_Расчет_аналитики'!AC4607*SUMIF(ThresholdAge06,"&lt;"&amp;'19_Расчет_аналитики'!AC4607,WeightedRevAge06)-SUMIF(ThresholdAge06,"&lt;"&amp;'19_Расчет_аналитики'!AC4607,WeightedMinAge06),MAX(CapacityAge06*'01_Вводные'!$B$218*'19_Расчет_аналитики'!AC4607,MeanMinAge06))),0)</f>
        <v/>
      </c>
      <c r="AD4517">
        <f>IF('01_Вводные'!$B$234="Да",IF(OR('19_Расчет_аналитики'!AD4489=0,6&lt;='01_Вводные'!$B$297),0,'19_Расчет_аналитики'!AD4489*IF('01_Вводные'!$B$239="Да",MeanMinAge06+'19_Расчет_аналитики'!AD4607*SUMIF(ThresholdAge06,"&lt;"&amp;'19_Расчет_аналитики'!AD4607,WeightedRevAge06)-SUMIF(ThresholdAge06,"&lt;"&amp;'19_Расчет_аналитики'!AD4607,WeightedMinAge06),MAX(CapacityAge06*'01_Вводные'!$B$218*'19_Расчет_аналитики'!AD4607,MeanMinAge06))),0)</f>
        <v/>
      </c>
      <c r="AE4517">
        <f>IF('01_Вводные'!$B$234="Да",IF(OR('19_Расчет_аналитики'!AE4489=0,6&lt;='01_Вводные'!$B$297),0,'19_Расчет_аналитики'!AE4489*IF('01_Вводные'!$B$239="Да",MeanMinAge06+'19_Расчет_аналитики'!AE4607*SUMIF(ThresholdAge06,"&lt;"&amp;'19_Расчет_аналитики'!AE4607,WeightedRevAge06)-SUMIF(ThresholdAge06,"&lt;"&amp;'19_Расчет_аналитики'!AE4607,WeightedMinAge06),MAX(CapacityAge06*'01_Вводные'!$B$218*'19_Расчет_аналитики'!AE4607,MeanMinAge06))),0)</f>
        <v/>
      </c>
      <c r="AF4517">
        <f>IF('01_Вводные'!$B$234="Да",IF(OR('19_Расчет_аналитики'!AF4489=0,6&lt;='01_Вводные'!$B$297),0,'19_Расчет_аналитики'!AF4489*IF('01_Вводные'!$B$239="Да",MeanMinAge06+'19_Расчет_аналитики'!AF4607*SUMIF(ThresholdAge06,"&lt;"&amp;'19_Расчет_аналитики'!AF4607,WeightedRevAge06)-SUMIF(ThresholdAge06,"&lt;"&amp;'19_Расчет_аналитики'!AF4607,WeightedMinAge06),MAX(CapacityAge06*'01_Вводные'!$B$218*'19_Расчет_аналитики'!AF4607,MeanMinAge06))),0)</f>
        <v/>
      </c>
      <c r="AG4517">
        <f>IF('01_Вводные'!$B$234="Да",IF(OR('19_Расчет_аналитики'!AG4489=0,6&lt;='01_Вводные'!$B$297),0,'19_Расчет_аналитики'!AG4489*IF('01_Вводные'!$B$239="Да",MeanMinAge06+'19_Расчет_аналитики'!AG4607*SUMIF(ThresholdAge06,"&lt;"&amp;'19_Расчет_аналитики'!AG4607,WeightedRevAge06)-SUMIF(ThresholdAge06,"&lt;"&amp;'19_Расчет_аналитики'!AG4607,WeightedMinAge06),MAX(CapacityAge06*'01_Вводные'!$B$218*'19_Расчет_аналитики'!AG4607,MeanMinAge06))),0)</f>
        <v/>
      </c>
      <c r="AH4517">
        <f>IF('01_Вводные'!$B$234="Да",IF(OR('19_Расчет_аналитики'!AH4489=0,6&lt;='01_Вводные'!$B$297),0,'19_Расчет_аналитики'!AH4489*IF('01_Вводные'!$B$239="Да",MeanMinAge06+'19_Расчет_аналитики'!AH4607*SUMIF(ThresholdAge06,"&lt;"&amp;'19_Расчет_аналитики'!AH4607,WeightedRevAge06)-SUMIF(ThresholdAge06,"&lt;"&amp;'19_Расчет_аналитики'!AH4607,WeightedMinAge06),MAX(CapacityAge06*'01_Вводные'!$B$218*'19_Расчет_аналитики'!AH4607,MeanMinAge06))),0)</f>
        <v/>
      </c>
      <c r="AI4517">
        <f>IF('01_Вводные'!$B$234="Да",IF(OR('19_Расчет_аналитики'!AI4489=0,6&lt;='01_Вводные'!$B$297),0,'19_Расчет_аналитики'!AI4489*IF('01_Вводные'!$B$239="Да",MeanMinAge06+'19_Расчет_аналитики'!AI4607*SUMIF(ThresholdAge06,"&lt;"&amp;'19_Расчет_аналитики'!AI4607,WeightedRevAge06)-SUMIF(ThresholdAge06,"&lt;"&amp;'19_Расчет_аналитики'!AI4607,WeightedMinAge06),MAX(CapacityAge06*'01_Вводные'!$B$218*'19_Расчет_аналитики'!AI4607,MeanMinAge06))),0)</f>
        <v/>
      </c>
      <c r="AJ4517">
        <f>IF('01_Вводные'!$B$234="Да",IF(OR('19_Расчет_аналитики'!AJ4489=0,6&lt;='01_Вводные'!$B$297),0,'19_Расчет_аналитики'!AJ4489*IF('01_Вводные'!$B$239="Да",MeanMinAge06+'19_Расчет_аналитики'!AJ4607*SUMIF(ThresholdAge06,"&lt;"&amp;'19_Расчет_аналитики'!AJ4607,WeightedRevAge06)-SUMIF(ThresholdAge06,"&lt;"&amp;'19_Расчет_аналитики'!AJ4607,WeightedMinAge06),MAX(CapacityAge06*'01_Вводные'!$B$218*'19_Расчет_аналитики'!AJ4607,MeanMinAge06))),0)</f>
        <v/>
      </c>
      <c r="AK4517">
        <f>IF('01_Вводные'!$B$234="Да",IF(OR('19_Расчет_аналитики'!AK4489=0,6&lt;='01_Вводные'!$B$297),0,'19_Расчет_аналитики'!AK4489*IF('01_Вводные'!$B$239="Да",MeanMinAge06+'19_Расчет_аналитики'!AK4607*SUMIF(ThresholdAge06,"&lt;"&amp;'19_Расчет_аналитики'!AK4607,WeightedRevAge06)-SUMIF(ThresholdAge06,"&lt;"&amp;'19_Расчет_аналитики'!AK4607,WeightedMinAge06),MAX(CapacityAge06*'01_Вводные'!$B$218*'19_Расчет_аналитики'!AK4607,MeanMinAge06))),0)</f>
        <v/>
      </c>
      <c r="AL4517">
        <f>IF('01_Вводные'!$B$234="Да",IF(OR('19_Расчет_аналитики'!AL4489=0,6&lt;='01_Вводные'!$B$297),0,'19_Расчет_аналитики'!AL4489*IF('01_Вводные'!$B$239="Да",MeanMinAge06+'19_Расчет_аналитики'!AL4607*SUMIF(ThresholdAge06,"&lt;"&amp;'19_Расчет_аналитики'!AL4607,WeightedRevAge06)-SUMIF(ThresholdAge06,"&lt;"&amp;'19_Расчет_аналитики'!AL4607,WeightedMinAge06),MAX(CapacityAge06*'01_Вводные'!$B$218*'19_Расчет_аналитики'!AL4607,MeanMinAge06))),0)</f>
        <v/>
      </c>
      <c r="AM4517">
        <f>IF('01_Вводные'!$B$234="Да",IF(OR('19_Расчет_аналитики'!AM4489=0,6&lt;='01_Вводные'!$B$297),0,'19_Расчет_аналитики'!AM4489*IF('01_Вводные'!$B$239="Да",MeanMinAge06+'19_Расчет_аналитики'!AM4607*SUMIF(ThresholdAge06,"&lt;"&amp;'19_Расчет_аналитики'!AM4607,WeightedRevAge06)-SUMIF(ThresholdAge06,"&lt;"&amp;'19_Расчет_аналитики'!AM4607,WeightedMinAge06),MAX(CapacityAge06*'01_Вводные'!$B$218*'19_Расчет_аналитики'!AM4607,MeanMinAge06))),0)</f>
        <v/>
      </c>
      <c r="AN4517">
        <f>IF('01_Вводные'!$B$234="Да",IF(OR('19_Расчет_аналитики'!AN4489=0,6&lt;='01_Вводные'!$B$297),0,'19_Расчет_аналитики'!AN4489*IF('01_Вводные'!$B$239="Да",MeanMinAge06+'19_Расчет_аналитики'!AN4607*SUMIF(ThresholdAge06,"&lt;"&amp;'19_Расчет_аналитики'!AN4607,WeightedRevAge06)-SUMIF(ThresholdAge06,"&lt;"&amp;'19_Расчет_аналитики'!AN4607,WeightedMinAge06),MAX(CapacityAge06*'01_Вводные'!$B$218*'19_Расчет_аналитики'!AN4607,MeanMinAge06))),0)</f>
        <v/>
      </c>
      <c r="AO4517">
        <f>IF('01_Вводные'!$B$234="Да",IF(OR('19_Расчет_аналитики'!AO4489=0,6&lt;='01_Вводные'!$B$297),0,'19_Расчет_аналитики'!AO4489*IF('01_Вводные'!$B$239="Да",MeanMinAge06+'19_Расчет_аналитики'!AO4607*SUMIF(ThresholdAge06,"&lt;"&amp;'19_Расчет_аналитики'!AO4607,WeightedRevAge06)-SUMIF(ThresholdAge06,"&lt;"&amp;'19_Расчет_аналитики'!AO4607,WeightedMinAge06),MAX(CapacityAge06*'01_Вводные'!$B$218*'19_Расчет_аналитики'!AO4607,MeanMinAge06))),0)</f>
        <v/>
      </c>
      <c r="AP4517">
        <f>IF('01_Вводные'!$B$234="Да",IF(OR('19_Расчет_аналитики'!AP4489=0,6&lt;='01_Вводные'!$B$297),0,'19_Расчет_аналитики'!AP4489*IF('01_Вводные'!$B$239="Да",MeanMinAge06+'19_Расчет_аналитики'!AP4607*SUMIF(ThresholdAge06,"&lt;"&amp;'19_Расчет_аналитики'!AP4607,WeightedRevAge06)-SUMIF(ThresholdAge06,"&lt;"&amp;'19_Расчет_аналитики'!AP4607,WeightedMinAge06),MAX(CapacityAge06*'01_Вводные'!$B$218*'19_Расчет_аналитики'!AP4607,MeanMinAge06))),0)</f>
        <v/>
      </c>
      <c r="AQ4517">
        <f>IF('01_Вводные'!$B$234="Да",IF(OR('19_Расчет_аналитики'!AQ4489=0,6&lt;='01_Вводные'!$B$297),0,'19_Расчет_аналитики'!AQ4489*IF('01_Вводные'!$B$239="Да",MeanMinAge06+'19_Расчет_аналитики'!AQ4607*SUMIF(ThresholdAge06,"&lt;"&amp;'19_Расчет_аналитики'!AQ4607,WeightedRevAge06)-SUMIF(ThresholdAge06,"&lt;"&amp;'19_Расчет_аналитики'!AQ4607,WeightedMinAge06),MAX(CapacityAge06*'01_Вводные'!$B$218*'19_Расчет_аналитики'!AQ4607,MeanMinAge06))),0)</f>
        <v/>
      </c>
      <c r="AR4517">
        <f>IF('01_Вводные'!$B$234="Да",IF(OR('19_Расчет_аналитики'!AR4489=0,6&lt;='01_Вводные'!$B$297),0,'19_Расчет_аналитики'!AR4489*IF('01_Вводные'!$B$239="Да",MeanMinAge06+'19_Расчет_аналитики'!AR4607*SUMIF(ThresholdAge06,"&lt;"&amp;'19_Расчет_аналитики'!AR4607,WeightedRevAge06)-SUMIF(ThresholdAge06,"&lt;"&amp;'19_Расчет_аналитики'!AR4607,WeightedMinAge06),MAX(CapacityAge06*'01_Вводные'!$B$218*'19_Расчет_аналитики'!AR4607,MeanMinAge06))),0)</f>
        <v/>
      </c>
      <c r="AS4517">
        <f>IF('01_Вводные'!$B$234="Да",IF(OR('19_Расчет_аналитики'!AS4489=0,6&lt;='01_Вводные'!$B$297),0,'19_Расчет_аналитики'!AS4489*IF('01_Вводные'!$B$239="Да",MeanMinAge06+'19_Расчет_аналитики'!AS4607*SUMIF(ThresholdAge06,"&lt;"&amp;'19_Расчет_аналитики'!AS4607,WeightedRevAge06)-SUMIF(ThresholdAge06,"&lt;"&amp;'19_Расчет_аналитики'!AS4607,WeightedMinAge06),MAX(CapacityAge06*'01_Вводные'!$B$218*'19_Расчет_аналитики'!AS4607,MeanMinAge06))),0)</f>
        <v/>
      </c>
      <c r="AT4517">
        <f>IF('01_Вводные'!$B$234="Да",IF(OR('19_Расчет_аналитики'!AT4489=0,6&lt;='01_Вводные'!$B$297),0,'19_Расчет_аналитики'!AT4489*IF('01_Вводные'!$B$239="Да",MeanMinAge06+'19_Расчет_аналитики'!AT4607*SUMIF(ThresholdAge06,"&lt;"&amp;'19_Расчет_аналитики'!AT4607,WeightedRevAge06)-SUMIF(ThresholdAge06,"&lt;"&amp;'19_Расчет_аналитики'!AT4607,WeightedMinAge06),MAX(CapacityAge06*'01_Вводные'!$B$218*'19_Расчет_аналитики'!AT4607,MeanMinAge06))),0)</f>
        <v/>
      </c>
      <c r="AU4517">
        <f>IF('01_Вводные'!$B$234="Да",IF(OR('19_Расчет_аналитики'!AU4489=0,6&lt;='01_Вводные'!$B$297),0,'19_Расчет_аналитики'!AU4489*IF('01_Вводные'!$B$239="Да",MeanMinAge06+'19_Расчет_аналитики'!AU4607*SUMIF(ThresholdAge06,"&lt;"&amp;'19_Расчет_аналитики'!AU4607,WeightedRevAge06)-SUMIF(ThresholdAge06,"&lt;"&amp;'19_Расчет_аналитики'!AU4607,WeightedMinAge06),MAX(CapacityAge06*'01_Вводные'!$B$218*'19_Расчет_аналитики'!AU4607,MeanMinAge06))),0)</f>
        <v/>
      </c>
      <c r="AV4517">
        <f>IF('01_Вводные'!$B$234="Да",IF(OR('19_Расчет_аналитики'!AV4489=0,6&lt;='01_Вводные'!$B$297),0,'19_Расчет_аналитики'!AV4489*IF('01_Вводные'!$B$239="Да",MeanMinAge06+'19_Расчет_аналитики'!AV4607*SUMIF(ThresholdAge06,"&lt;"&amp;'19_Расчет_аналитики'!AV4607,WeightedRevAge06)-SUMIF(ThresholdAge06,"&lt;"&amp;'19_Расчет_аналитики'!AV4607,WeightedMinAge06),MAX(CapacityAge06*'01_Вводные'!$B$218*'19_Расчет_аналитики'!AV4607,MeanMinAge06))),0)</f>
        <v/>
      </c>
      <c r="AW4517">
        <f>IF('01_Вводные'!$B$234="Да",IF(OR('19_Расчет_аналитики'!AW4489=0,6&lt;='01_Вводные'!$B$297),0,'19_Расчет_аналитики'!AW4489*IF('01_Вводные'!$B$239="Да",MeanMinAge06+'19_Расчет_аналитики'!AW4607*SUMIF(ThresholdAge06,"&lt;"&amp;'19_Расчет_аналитики'!AW4607,WeightedRevAge06)-SUMIF(ThresholdAge06,"&lt;"&amp;'19_Расчет_аналитики'!AW4607,WeightedMinAge06),MAX(CapacityAge06*'01_Вводные'!$B$218*'19_Расчет_аналитики'!AW4607,MeanMinAge06))),0)</f>
        <v/>
      </c>
      <c r="AX4517">
        <f>IF('01_Вводные'!$B$234="Да",IF(OR('19_Расчет_аналитики'!AX4489=0,6&lt;='01_Вводные'!$B$297),0,'19_Расчет_аналитики'!AX4489*IF('01_Вводные'!$B$239="Да",MeanMinAge06+'19_Расчет_аналитики'!AX4607*SUMIF(ThresholdAge06,"&lt;"&amp;'19_Расчет_аналитики'!AX4607,WeightedRevAge06)-SUMIF(ThresholdAge06,"&lt;"&amp;'19_Расчет_аналитики'!AX4607,WeightedMinAge06),MAX(CapacityAge06*'01_Вводные'!$B$218*'19_Расчет_аналитики'!AX4607,MeanMinAge06))),0)</f>
        <v/>
      </c>
      <c r="AY4517">
        <f>IF('01_Вводные'!$B$234="Да",IF(OR('19_Расчет_аналитики'!AY4489=0,6&lt;='01_Вводные'!$B$297),0,'19_Расчет_аналитики'!AY4489*IF('01_Вводные'!$B$239="Да",MeanMinAge06+'19_Расчет_аналитики'!AY4607*SUMIF(ThresholdAge06,"&lt;"&amp;'19_Расчет_аналитики'!AY4607,WeightedRevAge06)-SUMIF(ThresholdAge06,"&lt;"&amp;'19_Расчет_аналитики'!AY4607,WeightedMinAge06),MAX(CapacityAge06*'01_Вводные'!$B$218*'19_Расчет_аналитики'!AY4607,MeanMinAge06))),0)</f>
        <v/>
      </c>
      <c r="AZ4517">
        <f>IF('01_Вводные'!$B$234="Да",IF(OR('19_Расчет_аналитики'!AZ4489=0,6&lt;='01_Вводные'!$B$297),0,'19_Расчет_аналитики'!AZ4489*IF('01_Вводные'!$B$239="Да",MeanMinAge06+'19_Расчет_аналитики'!AZ4607*SUMIF(ThresholdAge06,"&lt;"&amp;'19_Расчет_аналитики'!AZ4607,WeightedRevAge06)-SUMIF(ThresholdAge06,"&lt;"&amp;'19_Расчет_аналитики'!AZ4607,WeightedMinAge06),MAX(CapacityAge06*'01_Вводные'!$B$218*'19_Расчет_аналитики'!AZ4607,MeanMinAge06))),0)</f>
        <v/>
      </c>
      <c r="BA4517">
        <f>IF('01_Вводные'!$B$234="Да",IF(OR('19_Расчет_аналитики'!BA4489=0,6&lt;='01_Вводные'!$B$297),0,'19_Расчет_аналитики'!BA4489*IF('01_Вводные'!$B$239="Да",MeanMinAge06+'19_Расчет_аналитики'!BA4607*SUMIF(ThresholdAge06,"&lt;"&amp;'19_Расчет_аналитики'!BA4607,WeightedRevAge06)-SUMIF(ThresholdAge06,"&lt;"&amp;'19_Расчет_аналитики'!BA4607,WeightedMinAge06),MAX(CapacityAge06*'01_Вводные'!$B$218*'19_Расчет_аналитики'!BA4607,MeanMinAge06))),0)</f>
        <v/>
      </c>
      <c r="BB4517">
        <f>IF('01_Вводные'!$B$234="Да",IF(OR('19_Расчет_аналитики'!BB4489=0,6&lt;='01_Вводные'!$B$297),0,'19_Расчет_аналитики'!BB4489*IF('01_Вводные'!$B$239="Да",MeanMinAge06+'19_Расчет_аналитики'!BB4607*SUMIF(ThresholdAge06,"&lt;"&amp;'19_Расчет_аналитики'!BB4607,WeightedRevAge06)-SUMIF(ThresholdAge06,"&lt;"&amp;'19_Расчет_аналитики'!BB4607,WeightedMinAge06),MAX(CapacityAge06*'01_Вводные'!$B$218*'19_Расчет_аналитики'!BB4607,MeanMinAge06))),0)</f>
        <v/>
      </c>
      <c r="BC4517">
        <f>IF('01_Вводные'!$B$234="Да",IF(OR('19_Расчет_аналитики'!BC4489=0,6&lt;='01_Вводные'!$B$297),0,'19_Расчет_аналитики'!BC4489*IF('01_Вводные'!$B$239="Да",MeanMinAge06+'19_Расчет_аналитики'!BC4607*SUMIF(ThresholdAge06,"&lt;"&amp;'19_Расчет_аналитики'!BC4607,WeightedRevAge06)-SUMIF(ThresholdAge06,"&lt;"&amp;'19_Расчет_аналитики'!BC4607,WeightedMinAge06),MAX(CapacityAge06*'01_Вводные'!$B$218*'19_Расчет_аналитики'!BC4607,MeanMinAge06))),0)</f>
        <v/>
      </c>
      <c r="BD4517">
        <f>IF('01_Вводные'!$B$234="Да",IF(OR('19_Расчет_аналитики'!BD4489=0,6&lt;='01_Вводные'!$B$297),0,'19_Расчет_аналитики'!BD4489*IF('01_Вводные'!$B$239="Да",MeanMinAge06+'19_Расчет_аналитики'!BD4607*SUMIF(ThresholdAge06,"&lt;"&amp;'19_Расчет_аналитики'!BD4607,WeightedRevAge06)-SUMIF(ThresholdAge06,"&lt;"&amp;'19_Расчет_аналитики'!BD4607,WeightedMinAge06),MAX(CapacityAge06*'01_Вводные'!$B$218*'19_Расчет_аналитики'!BD4607,MeanMinAge06))),0)</f>
        <v/>
      </c>
      <c r="BE4517">
        <f>IF('01_Вводные'!$B$234="Да",IF(OR('19_Расчет_аналитики'!BE4489=0,6&lt;='01_Вводные'!$B$297),0,'19_Расчет_аналитики'!BE4489*IF('01_Вводные'!$B$239="Да",MeanMinAge06+'19_Расчет_аналитики'!BE4607*SUMIF(ThresholdAge06,"&lt;"&amp;'19_Расчет_аналитики'!BE4607,WeightedRevAge06)-SUMIF(ThresholdAge06,"&lt;"&amp;'19_Расчет_аналитики'!BE4607,WeightedMinAge06),MAX(CapacityAge06*'01_Вводные'!$B$218*'19_Расчет_аналитики'!BE4607,MeanMinAge06))),0)</f>
        <v/>
      </c>
      <c r="BF4517">
        <f>IF('01_Вводные'!$B$234="Да",IF(OR('19_Расчет_аналитики'!BF4489=0,6&lt;='01_Вводные'!$B$297),0,'19_Расчет_аналитики'!BF4489*IF('01_Вводные'!$B$239="Да",MeanMinAge06+'19_Расчет_аналитики'!BF4607*SUMIF(ThresholdAge06,"&lt;"&amp;'19_Расчет_аналитики'!BF4607,WeightedRevAge06)-SUMIF(ThresholdAge06,"&lt;"&amp;'19_Расчет_аналитики'!BF4607,WeightedMinAge06),MAX(CapacityAge06*'01_Вводные'!$B$218*'19_Расчет_аналитики'!BF4607,MeanMinAge06))),0)</f>
        <v/>
      </c>
      <c r="BG4517">
        <f>IF('01_Вводные'!$B$234="Да",IF(OR('19_Расчет_аналитики'!BG4489=0,6&lt;='01_Вводные'!$B$297),0,'19_Расчет_аналитики'!BG4489*IF('01_Вводные'!$B$239="Да",MeanMinAge06+'19_Расчет_аналитики'!BG4607*SUMIF(ThresholdAge06,"&lt;"&amp;'19_Расчет_аналитики'!BG4607,WeightedRevAge06)-SUMIF(ThresholdAge06,"&lt;"&amp;'19_Расчет_аналитики'!BG4607,WeightedMinAge06),MAX(CapacityAge06*'01_Вводные'!$B$218*'19_Расчет_аналитики'!BG4607,MeanMinAge06))),0)</f>
        <v/>
      </c>
      <c r="BH4517">
        <f>IF('01_Вводные'!$B$234="Да",IF(OR('19_Расчет_аналитики'!BH4489=0,6&lt;='01_Вводные'!$B$297),0,'19_Расчет_аналитики'!BH4489*IF('01_Вводные'!$B$239="Да",MeanMinAge06+'19_Расчет_аналитики'!BH4607*SUMIF(ThresholdAge06,"&lt;"&amp;'19_Расчет_аналитики'!BH4607,WeightedRevAge06)-SUMIF(ThresholdAge06,"&lt;"&amp;'19_Расчет_аналитики'!BH4607,WeightedMinAge06),MAX(CapacityAge06*'01_Вводные'!$B$218*'19_Расчет_аналитики'!BH4607,MeanMinAge06))),0)</f>
        <v/>
      </c>
      <c r="BI4517">
        <f>IF('01_Вводные'!$B$234="Да",IF(OR('19_Расчет_аналитики'!BI4489=0,6&lt;='01_Вводные'!$B$297),0,'19_Расчет_аналитики'!BI4489*IF('01_Вводные'!$B$239="Да",MeanMinAge06+'19_Расчет_аналитики'!BI4607*SUMIF(ThresholdAge06,"&lt;"&amp;'19_Расчет_аналитики'!BI4607,WeightedRevAge06)-SUMIF(ThresholdAge06,"&lt;"&amp;'19_Расчет_аналитики'!BI4607,WeightedMinAge06),MAX(CapacityAge06*'01_Вводные'!$B$218*'19_Расчет_аналитики'!BI4607,MeanMinAge06))),0)</f>
        <v/>
      </c>
      <c r="BJ4517">
        <f>IF('01_Вводные'!$B$234="Да",IF(OR('19_Расчет_аналитики'!BJ4489=0,6&lt;='01_Вводные'!$B$297),0,'19_Расчет_аналитики'!BJ4489*IF('01_Вводные'!$B$239="Да",MeanMinAge06+'19_Расчет_аналитики'!BJ4607*SUMIF(ThresholdAge06,"&lt;"&amp;'19_Расчет_аналитики'!BJ4607,WeightedRevAge06)-SUMIF(ThresholdAge06,"&lt;"&amp;'19_Расчет_аналитики'!BJ4607,WeightedMinAge06),MAX(CapacityAge06*'01_Вводные'!$B$218*'19_Расчет_аналитики'!BJ4607,MeanMinAge06))),0)</f>
        <v/>
      </c>
      <c r="BK4517">
        <f>IF('01_Вводные'!$B$234="Да",IF(OR('19_Расчет_аналитики'!BK4489=0,6&lt;='01_Вводные'!$B$297),0,'19_Расчет_аналитики'!BK4489*IF('01_Вводные'!$B$239="Да",MeanMinAge06+'19_Расчет_аналитики'!BK4607*SUMIF(ThresholdAge06,"&lt;"&amp;'19_Расчет_аналитики'!BK4607,WeightedRevAge06)-SUMIF(ThresholdAge06,"&lt;"&amp;'19_Расчет_аналитики'!BK4607,WeightedMinAge06),MAX(CapacityAge06*'01_Вводные'!$B$218*'19_Расчет_аналитики'!BK4607,MeanMinAge06))),0)</f>
        <v/>
      </c>
      <c r="BL4517">
        <f>IF('01_Вводные'!$B$234="Да",IF(OR('19_Расчет_аналитики'!BL4489=0,6&lt;='01_Вводные'!$B$297),0,'19_Расчет_аналитики'!BL4489*IF('01_Вводные'!$B$239="Да",MeanMinAge06+'19_Расчет_аналитики'!BL4607*SUMIF(ThresholdAge06,"&lt;"&amp;'19_Расчет_аналитики'!BL4607,WeightedRevAge06)-SUMIF(ThresholdAge06,"&lt;"&amp;'19_Расчет_аналитики'!BL4607,WeightedMinAge06),MAX(CapacityAge06*'01_Вводные'!$B$218*'19_Расчет_аналитики'!BL4607,MeanMinAge06))),0)</f>
        <v/>
      </c>
      <c r="BM4517">
        <f>IF('01_Вводные'!$B$234="Да",IF(OR('19_Расчет_аналитики'!BM4489=0,6&lt;='01_Вводные'!$B$297),0,'19_Расчет_аналитики'!BM4489*IF('01_Вводные'!$B$239="Да",MeanMinAge06+'19_Расчет_аналитики'!BM4607*SUMIF(ThresholdAge06,"&lt;"&amp;'19_Расчет_аналитики'!BM4607,WeightedRevAge06)-SUMIF(ThresholdAge06,"&lt;"&amp;'19_Расчет_аналитики'!BM4607,WeightedMinAge06),MAX(CapacityAge06*'01_Вводные'!$B$218*'19_Расчет_аналитики'!BM4607,MeanMinAge06))),0)</f>
        <v/>
      </c>
      <c r="BN4517">
        <f>IF('01_Вводные'!$B$234="Да",IF(OR('19_Расчет_аналитики'!BN4489=0,6&lt;='01_Вводные'!$B$297),0,'19_Расчет_аналитики'!BN4489*IF('01_Вводные'!$B$239="Да",MeanMinAge06+'19_Расчет_аналитики'!BN4607*SUMIF(ThresholdAge06,"&lt;"&amp;'19_Расчет_аналитики'!BN4607,WeightedRevAge06)-SUMIF(ThresholdAge06,"&lt;"&amp;'19_Расчет_аналитики'!BN4607,WeightedMinAge06),MAX(CapacityAge06*'01_Вводные'!$B$218*'19_Расчет_аналитики'!BN4607,MeanMinAge06))),0)</f>
        <v/>
      </c>
      <c r="BO4517">
        <f>IF('01_Вводные'!$B$234="Да",IF(OR('19_Расчет_аналитики'!BO4489=0,6&lt;='01_Вводные'!$B$297),0,'19_Расчет_аналитики'!BO4489*IF('01_Вводные'!$B$239="Да",MeanMinAge06+'19_Расчет_аналитики'!BO4607*SUMIF(ThresholdAge06,"&lt;"&amp;'19_Расчет_аналитики'!BO4607,WeightedRevAge06)-SUMIF(ThresholdAge06,"&lt;"&amp;'19_Расчет_аналитики'!BO4607,WeightedMinAge06),MAX(CapacityAge06*'01_Вводные'!$B$218*'19_Расчет_аналитики'!BO4607,MeanMinAge06))),0)</f>
        <v/>
      </c>
    </row>
    <row r="4518">
      <c r="B4518">
        <f>IF('01_Вводные'!$B$234="Да",IF(OR('06_Сеть_и_дети'!B87=0,7&lt;='01_Вводные'!$B$297),0,'06_Сеть_и_дети'!B87*IF('01_Вводные'!$B$239="Да",MeanMinAge07+'19_Расчет_аналитики'!B4607*SUMIF(ThresholdAge07,"&lt;"&amp;'19_Расчет_аналитики'!B4607,WeightedRevAge07)-SUMIF(ThresholdAge07,"&lt;"&amp;'19_Расчет_аналитики'!B4607,WeightedMinAge07),MAX(CapacityAge07*'01_Вводные'!$B$218*'19_Расчет_аналитики'!B4607,MeanMinAge07))),0)</f>
        <v/>
      </c>
      <c r="C4518">
        <f>IF('01_Вводные'!$B$234="Да",IF(OR('06_Сеть_и_дети'!C87=0,7&lt;='01_Вводные'!$B$297),0,'06_Сеть_и_дети'!C87*IF('01_Вводные'!$B$239="Да",MeanMinAge07+'19_Расчет_аналитики'!C4607*SUMIF(ThresholdAge07,"&lt;"&amp;'19_Расчет_аналитики'!C4607,WeightedRevAge07)-SUMIF(ThresholdAge07,"&lt;"&amp;'19_Расчет_аналитики'!C4607,WeightedMinAge07),MAX(CapacityAge07*'01_Вводные'!$B$218*'19_Расчет_аналитики'!C4607,MeanMinAge07))),0)</f>
        <v/>
      </c>
      <c r="D4518">
        <f>IF('01_Вводные'!$B$234="Да",IF(OR('06_Сеть_и_дети'!D87=0,7&lt;='01_Вводные'!$B$297),0,'06_Сеть_и_дети'!D87*IF('01_Вводные'!$B$239="Да",MeanMinAge07+'19_Расчет_аналитики'!D4607*SUMIF(ThresholdAge07,"&lt;"&amp;'19_Расчет_аналитики'!D4607,WeightedRevAge07)-SUMIF(ThresholdAge07,"&lt;"&amp;'19_Расчет_аналитики'!D4607,WeightedMinAge07),MAX(CapacityAge07*'01_Вводные'!$B$218*'19_Расчет_аналитики'!D4607,MeanMinAge07))),0)</f>
        <v/>
      </c>
      <c r="E4518">
        <f>IF('01_Вводные'!$B$234="Да",IF(OR('06_Сеть_и_дети'!E87=0,7&lt;='01_Вводные'!$B$297),0,'06_Сеть_и_дети'!E87*IF('01_Вводные'!$B$239="Да",MeanMinAge07+'19_Расчет_аналитики'!E4607*SUMIF(ThresholdAge07,"&lt;"&amp;'19_Расчет_аналитики'!E4607,WeightedRevAge07)-SUMIF(ThresholdAge07,"&lt;"&amp;'19_Расчет_аналитики'!E4607,WeightedMinAge07),MAX(CapacityAge07*'01_Вводные'!$B$218*'19_Расчет_аналитики'!E4607,MeanMinAge07))),0)</f>
        <v/>
      </c>
      <c r="F4518">
        <f>IF('01_Вводные'!$B$234="Да",IF(OR('06_Сеть_и_дети'!F87=0,7&lt;='01_Вводные'!$B$297),0,'06_Сеть_и_дети'!F87*IF('01_Вводные'!$B$239="Да",MeanMinAge07+'19_Расчет_аналитики'!F4607*SUMIF(ThresholdAge07,"&lt;"&amp;'19_Расчет_аналитики'!F4607,WeightedRevAge07)-SUMIF(ThresholdAge07,"&lt;"&amp;'19_Расчет_аналитики'!F4607,WeightedMinAge07),MAX(CapacityAge07*'01_Вводные'!$B$218*'19_Расчет_аналитики'!F4607,MeanMinAge07))),0)</f>
        <v/>
      </c>
      <c r="G4518">
        <f>IF('01_Вводные'!$B$234="Да",IF(OR('06_Сеть_и_дети'!G87=0,7&lt;='01_Вводные'!$B$297),0,'06_Сеть_и_дети'!G87*IF('01_Вводные'!$B$239="Да",MeanMinAge07+'19_Расчет_аналитики'!G4607*SUMIF(ThresholdAge07,"&lt;"&amp;'19_Расчет_аналитики'!G4607,WeightedRevAge07)-SUMIF(ThresholdAge07,"&lt;"&amp;'19_Расчет_аналитики'!G4607,WeightedMinAge07),MAX(CapacityAge07*'01_Вводные'!$B$218*'19_Расчет_аналитики'!G4607,MeanMinAge07))),0)</f>
        <v/>
      </c>
      <c r="H4518">
        <f>IF('01_Вводные'!$B$234="Да",IF(OR('19_Расчет_аналитики'!H4490=0,7&lt;='01_Вводные'!$B$297),0,'19_Расчет_аналитики'!H4490*IF('01_Вводные'!$B$239="Да",MeanMinAge07+'19_Расчет_аналитики'!H4607*SUMIF(ThresholdAge07,"&lt;"&amp;'19_Расчет_аналитики'!H4607,WeightedRevAge07)-SUMIF(ThresholdAge07,"&lt;"&amp;'19_Расчет_аналитики'!H4607,WeightedMinAge07),MAX(CapacityAge07*'01_Вводные'!$B$218*'19_Расчет_аналитики'!H4607,MeanMinAge07))),0)</f>
        <v/>
      </c>
      <c r="I4518">
        <f>IF('01_Вводные'!$B$234="Да",IF(OR('19_Расчет_аналитики'!I4490=0,7&lt;='01_Вводные'!$B$297),0,'19_Расчет_аналитики'!I4490*IF('01_Вводные'!$B$239="Да",MeanMinAge07+'19_Расчет_аналитики'!I4607*SUMIF(ThresholdAge07,"&lt;"&amp;'19_Расчет_аналитики'!I4607,WeightedRevAge07)-SUMIF(ThresholdAge07,"&lt;"&amp;'19_Расчет_аналитики'!I4607,WeightedMinAge07),MAX(CapacityAge07*'01_Вводные'!$B$218*'19_Расчет_аналитики'!I4607,MeanMinAge07))),0)</f>
        <v/>
      </c>
      <c r="J4518">
        <f>IF('01_Вводные'!$B$234="Да",IF(OR('19_Расчет_аналитики'!J4490=0,7&lt;='01_Вводные'!$B$297),0,'19_Расчет_аналитики'!J4490*IF('01_Вводные'!$B$239="Да",MeanMinAge07+'19_Расчет_аналитики'!J4607*SUMIF(ThresholdAge07,"&lt;"&amp;'19_Расчет_аналитики'!J4607,WeightedRevAge07)-SUMIF(ThresholdAge07,"&lt;"&amp;'19_Расчет_аналитики'!J4607,WeightedMinAge07),MAX(CapacityAge07*'01_Вводные'!$B$218*'19_Расчет_аналитики'!J4607,MeanMinAge07))),0)</f>
        <v/>
      </c>
      <c r="K4518">
        <f>IF('01_Вводные'!$B$234="Да",IF(OR('19_Расчет_аналитики'!K4490=0,7&lt;='01_Вводные'!$B$297),0,'19_Расчет_аналитики'!K4490*IF('01_Вводные'!$B$239="Да",MeanMinAge07+'19_Расчет_аналитики'!K4607*SUMIF(ThresholdAge07,"&lt;"&amp;'19_Расчет_аналитики'!K4607,WeightedRevAge07)-SUMIF(ThresholdAge07,"&lt;"&amp;'19_Расчет_аналитики'!K4607,WeightedMinAge07),MAX(CapacityAge07*'01_Вводные'!$B$218*'19_Расчет_аналитики'!K4607,MeanMinAge07))),0)</f>
        <v/>
      </c>
      <c r="L4518">
        <f>IF('01_Вводные'!$B$234="Да",IF(OR('19_Расчет_аналитики'!L4490=0,7&lt;='01_Вводные'!$B$297),0,'19_Расчет_аналитики'!L4490*IF('01_Вводные'!$B$239="Да",MeanMinAge07+'19_Расчет_аналитики'!L4607*SUMIF(ThresholdAge07,"&lt;"&amp;'19_Расчет_аналитики'!L4607,WeightedRevAge07)-SUMIF(ThresholdAge07,"&lt;"&amp;'19_Расчет_аналитики'!L4607,WeightedMinAge07),MAX(CapacityAge07*'01_Вводные'!$B$218*'19_Расчет_аналитики'!L4607,MeanMinAge07))),0)</f>
        <v/>
      </c>
      <c r="M4518">
        <f>IF('01_Вводные'!$B$234="Да",IF(OR('19_Расчет_аналитики'!M4490=0,7&lt;='01_Вводные'!$B$297),0,'19_Расчет_аналитики'!M4490*IF('01_Вводные'!$B$239="Да",MeanMinAge07+'19_Расчет_аналитики'!M4607*SUMIF(ThresholdAge07,"&lt;"&amp;'19_Расчет_аналитики'!M4607,WeightedRevAge07)-SUMIF(ThresholdAge07,"&lt;"&amp;'19_Расчет_аналитики'!M4607,WeightedMinAge07),MAX(CapacityAge07*'01_Вводные'!$B$218*'19_Расчет_аналитики'!M4607,MeanMinAge07))),0)</f>
        <v/>
      </c>
      <c r="N4518">
        <f>IF('01_Вводные'!$B$234="Да",IF(OR('19_Расчет_аналитики'!N4490=0,7&lt;='01_Вводные'!$B$297),0,'19_Расчет_аналитики'!N4490*IF('01_Вводные'!$B$239="Да",MeanMinAge07+'19_Расчет_аналитики'!N4607*SUMIF(ThresholdAge07,"&lt;"&amp;'19_Расчет_аналитики'!N4607,WeightedRevAge07)-SUMIF(ThresholdAge07,"&lt;"&amp;'19_Расчет_аналитики'!N4607,WeightedMinAge07),MAX(CapacityAge07*'01_Вводные'!$B$218*'19_Расчет_аналитики'!N4607,MeanMinAge07))),0)</f>
        <v/>
      </c>
      <c r="O4518">
        <f>IF('01_Вводные'!$B$234="Да",IF(OR('19_Расчет_аналитики'!O4490=0,7&lt;='01_Вводные'!$B$297),0,'19_Расчет_аналитики'!O4490*IF('01_Вводные'!$B$239="Да",MeanMinAge07+'19_Расчет_аналитики'!O4607*SUMIF(ThresholdAge07,"&lt;"&amp;'19_Расчет_аналитики'!O4607,WeightedRevAge07)-SUMIF(ThresholdAge07,"&lt;"&amp;'19_Расчет_аналитики'!O4607,WeightedMinAge07),MAX(CapacityAge07*'01_Вводные'!$B$218*'19_Расчет_аналитики'!O4607,MeanMinAge07))),0)</f>
        <v/>
      </c>
      <c r="P4518">
        <f>IF('01_Вводные'!$B$234="Да",IF(OR('19_Расчет_аналитики'!P4490=0,7&lt;='01_Вводные'!$B$297),0,'19_Расчет_аналитики'!P4490*IF('01_Вводные'!$B$239="Да",MeanMinAge07+'19_Расчет_аналитики'!P4607*SUMIF(ThresholdAge07,"&lt;"&amp;'19_Расчет_аналитики'!P4607,WeightedRevAge07)-SUMIF(ThresholdAge07,"&lt;"&amp;'19_Расчет_аналитики'!P4607,WeightedMinAge07),MAX(CapacityAge07*'01_Вводные'!$B$218*'19_Расчет_аналитики'!P4607,MeanMinAge07))),0)</f>
        <v/>
      </c>
      <c r="Q4518">
        <f>IF('01_Вводные'!$B$234="Да",IF(OR('19_Расчет_аналитики'!Q4490=0,7&lt;='01_Вводные'!$B$297),0,'19_Расчет_аналитики'!Q4490*IF('01_Вводные'!$B$239="Да",MeanMinAge07+'19_Расчет_аналитики'!Q4607*SUMIF(ThresholdAge07,"&lt;"&amp;'19_Расчет_аналитики'!Q4607,WeightedRevAge07)-SUMIF(ThresholdAge07,"&lt;"&amp;'19_Расчет_аналитики'!Q4607,WeightedMinAge07),MAX(CapacityAge07*'01_Вводные'!$B$218*'19_Расчет_аналитики'!Q4607,MeanMinAge07))),0)</f>
        <v/>
      </c>
      <c r="R4518">
        <f>IF('01_Вводные'!$B$234="Да",IF(OR('19_Расчет_аналитики'!R4490=0,7&lt;='01_Вводные'!$B$297),0,'19_Расчет_аналитики'!R4490*IF('01_Вводные'!$B$239="Да",MeanMinAge07+'19_Расчет_аналитики'!R4607*SUMIF(ThresholdAge07,"&lt;"&amp;'19_Расчет_аналитики'!R4607,WeightedRevAge07)-SUMIF(ThresholdAge07,"&lt;"&amp;'19_Расчет_аналитики'!R4607,WeightedMinAge07),MAX(CapacityAge07*'01_Вводные'!$B$218*'19_Расчет_аналитики'!R4607,MeanMinAge07))),0)</f>
        <v/>
      </c>
      <c r="S4518">
        <f>IF('01_Вводные'!$B$234="Да",IF(OR('19_Расчет_аналитики'!S4490=0,7&lt;='01_Вводные'!$B$297),0,'19_Расчет_аналитики'!S4490*IF('01_Вводные'!$B$239="Да",MeanMinAge07+'19_Расчет_аналитики'!S4607*SUMIF(ThresholdAge07,"&lt;"&amp;'19_Расчет_аналитики'!S4607,WeightedRevAge07)-SUMIF(ThresholdAge07,"&lt;"&amp;'19_Расчет_аналитики'!S4607,WeightedMinAge07),MAX(CapacityAge07*'01_Вводные'!$B$218*'19_Расчет_аналитики'!S4607,MeanMinAge07))),0)</f>
        <v/>
      </c>
      <c r="T4518">
        <f>IF('01_Вводные'!$B$234="Да",IF(OR('19_Расчет_аналитики'!T4490=0,7&lt;='01_Вводные'!$B$297),0,'19_Расчет_аналитики'!T4490*IF('01_Вводные'!$B$239="Да",MeanMinAge07+'19_Расчет_аналитики'!T4607*SUMIF(ThresholdAge07,"&lt;"&amp;'19_Расчет_аналитики'!T4607,WeightedRevAge07)-SUMIF(ThresholdAge07,"&lt;"&amp;'19_Расчет_аналитики'!T4607,WeightedMinAge07),MAX(CapacityAge07*'01_Вводные'!$B$218*'19_Расчет_аналитики'!T4607,MeanMinAge07))),0)</f>
        <v/>
      </c>
      <c r="U4518">
        <f>IF('01_Вводные'!$B$234="Да",IF(OR('19_Расчет_аналитики'!U4490=0,7&lt;='01_Вводные'!$B$297),0,'19_Расчет_аналитики'!U4490*IF('01_Вводные'!$B$239="Да",MeanMinAge07+'19_Расчет_аналитики'!U4607*SUMIF(ThresholdAge07,"&lt;"&amp;'19_Расчет_аналитики'!U4607,WeightedRevAge07)-SUMIF(ThresholdAge07,"&lt;"&amp;'19_Расчет_аналитики'!U4607,WeightedMinAge07),MAX(CapacityAge07*'01_Вводные'!$B$218*'19_Расчет_аналитики'!U4607,MeanMinAge07))),0)</f>
        <v/>
      </c>
      <c r="V4518">
        <f>IF('01_Вводные'!$B$234="Да",IF(OR('19_Расчет_аналитики'!V4490=0,7&lt;='01_Вводные'!$B$297),0,'19_Расчет_аналитики'!V4490*IF('01_Вводные'!$B$239="Да",MeanMinAge07+'19_Расчет_аналитики'!V4607*SUMIF(ThresholdAge07,"&lt;"&amp;'19_Расчет_аналитики'!V4607,WeightedRevAge07)-SUMIF(ThresholdAge07,"&lt;"&amp;'19_Расчет_аналитики'!V4607,WeightedMinAge07),MAX(CapacityAge07*'01_Вводные'!$B$218*'19_Расчет_аналитики'!V4607,MeanMinAge07))),0)</f>
        <v/>
      </c>
      <c r="W4518">
        <f>IF('01_Вводные'!$B$234="Да",IF(OR('19_Расчет_аналитики'!W4490=0,7&lt;='01_Вводные'!$B$297),0,'19_Расчет_аналитики'!W4490*IF('01_Вводные'!$B$239="Да",MeanMinAge07+'19_Расчет_аналитики'!W4607*SUMIF(ThresholdAge07,"&lt;"&amp;'19_Расчет_аналитики'!W4607,WeightedRevAge07)-SUMIF(ThresholdAge07,"&lt;"&amp;'19_Расчет_аналитики'!W4607,WeightedMinAge07),MAX(CapacityAge07*'01_Вводные'!$B$218*'19_Расчет_аналитики'!W4607,MeanMinAge07))),0)</f>
        <v/>
      </c>
      <c r="X4518">
        <f>IF('01_Вводные'!$B$234="Да",IF(OR('19_Расчет_аналитики'!X4490=0,7&lt;='01_Вводные'!$B$297),0,'19_Расчет_аналитики'!X4490*IF('01_Вводные'!$B$239="Да",MeanMinAge07+'19_Расчет_аналитики'!X4607*SUMIF(ThresholdAge07,"&lt;"&amp;'19_Расчет_аналитики'!X4607,WeightedRevAge07)-SUMIF(ThresholdAge07,"&lt;"&amp;'19_Расчет_аналитики'!X4607,WeightedMinAge07),MAX(CapacityAge07*'01_Вводные'!$B$218*'19_Расчет_аналитики'!X4607,MeanMinAge07))),0)</f>
        <v/>
      </c>
      <c r="Y4518">
        <f>IF('01_Вводные'!$B$234="Да",IF(OR('19_Расчет_аналитики'!Y4490=0,7&lt;='01_Вводные'!$B$297),0,'19_Расчет_аналитики'!Y4490*IF('01_Вводные'!$B$239="Да",MeanMinAge07+'19_Расчет_аналитики'!Y4607*SUMIF(ThresholdAge07,"&lt;"&amp;'19_Расчет_аналитики'!Y4607,WeightedRevAge07)-SUMIF(ThresholdAge07,"&lt;"&amp;'19_Расчет_аналитики'!Y4607,WeightedMinAge07),MAX(CapacityAge07*'01_Вводные'!$B$218*'19_Расчет_аналитики'!Y4607,MeanMinAge07))),0)</f>
        <v/>
      </c>
      <c r="Z4518">
        <f>IF('01_Вводные'!$B$234="Да",IF(OR('19_Расчет_аналитики'!Z4490=0,7&lt;='01_Вводные'!$B$297),0,'19_Расчет_аналитики'!Z4490*IF('01_Вводные'!$B$239="Да",MeanMinAge07+'19_Расчет_аналитики'!Z4607*SUMIF(ThresholdAge07,"&lt;"&amp;'19_Расчет_аналитики'!Z4607,WeightedRevAge07)-SUMIF(ThresholdAge07,"&lt;"&amp;'19_Расчет_аналитики'!Z4607,WeightedMinAge07),MAX(CapacityAge07*'01_Вводные'!$B$218*'19_Расчет_аналитики'!Z4607,MeanMinAge07))),0)</f>
        <v/>
      </c>
      <c r="AA4518">
        <f>IF('01_Вводные'!$B$234="Да",IF(OR('19_Расчет_аналитики'!AA4490=0,7&lt;='01_Вводные'!$B$297),0,'19_Расчет_аналитики'!AA4490*IF('01_Вводные'!$B$239="Да",MeanMinAge07+'19_Расчет_аналитики'!AA4607*SUMIF(ThresholdAge07,"&lt;"&amp;'19_Расчет_аналитики'!AA4607,WeightedRevAge07)-SUMIF(ThresholdAge07,"&lt;"&amp;'19_Расчет_аналитики'!AA4607,WeightedMinAge07),MAX(CapacityAge07*'01_Вводные'!$B$218*'19_Расчет_аналитики'!AA4607,MeanMinAge07))),0)</f>
        <v/>
      </c>
      <c r="AB4518">
        <f>IF('01_Вводные'!$B$234="Да",IF(OR('19_Расчет_аналитики'!AB4490=0,7&lt;='01_Вводные'!$B$297),0,'19_Расчет_аналитики'!AB4490*IF('01_Вводные'!$B$239="Да",MeanMinAge07+'19_Расчет_аналитики'!AB4607*SUMIF(ThresholdAge07,"&lt;"&amp;'19_Расчет_аналитики'!AB4607,WeightedRevAge07)-SUMIF(ThresholdAge07,"&lt;"&amp;'19_Расчет_аналитики'!AB4607,WeightedMinAge07),MAX(CapacityAge07*'01_Вводные'!$B$218*'19_Расчет_аналитики'!AB4607,MeanMinAge07))),0)</f>
        <v/>
      </c>
      <c r="AC4518">
        <f>IF('01_Вводные'!$B$234="Да",IF(OR('19_Расчет_аналитики'!AC4490=0,7&lt;='01_Вводные'!$B$297),0,'19_Расчет_аналитики'!AC4490*IF('01_Вводные'!$B$239="Да",MeanMinAge07+'19_Расчет_аналитики'!AC4607*SUMIF(ThresholdAge07,"&lt;"&amp;'19_Расчет_аналитики'!AC4607,WeightedRevAge07)-SUMIF(ThresholdAge07,"&lt;"&amp;'19_Расчет_аналитики'!AC4607,WeightedMinAge07),MAX(CapacityAge07*'01_Вводные'!$B$218*'19_Расчет_аналитики'!AC4607,MeanMinAge07))),0)</f>
        <v/>
      </c>
      <c r="AD4518">
        <f>IF('01_Вводные'!$B$234="Да",IF(OR('19_Расчет_аналитики'!AD4490=0,7&lt;='01_Вводные'!$B$297),0,'19_Расчет_аналитики'!AD4490*IF('01_Вводные'!$B$239="Да",MeanMinAge07+'19_Расчет_аналитики'!AD4607*SUMIF(ThresholdAge07,"&lt;"&amp;'19_Расчет_аналитики'!AD4607,WeightedRevAge07)-SUMIF(ThresholdAge07,"&lt;"&amp;'19_Расчет_аналитики'!AD4607,WeightedMinAge07),MAX(CapacityAge07*'01_Вводные'!$B$218*'19_Расчет_аналитики'!AD4607,MeanMinAge07))),0)</f>
        <v/>
      </c>
      <c r="AE4518">
        <f>IF('01_Вводные'!$B$234="Да",IF(OR('19_Расчет_аналитики'!AE4490=0,7&lt;='01_Вводные'!$B$297),0,'19_Расчет_аналитики'!AE4490*IF('01_Вводные'!$B$239="Да",MeanMinAge07+'19_Расчет_аналитики'!AE4607*SUMIF(ThresholdAge07,"&lt;"&amp;'19_Расчет_аналитики'!AE4607,WeightedRevAge07)-SUMIF(ThresholdAge07,"&lt;"&amp;'19_Расчет_аналитики'!AE4607,WeightedMinAge07),MAX(CapacityAge07*'01_Вводные'!$B$218*'19_Расчет_аналитики'!AE4607,MeanMinAge07))),0)</f>
        <v/>
      </c>
      <c r="AF4518">
        <f>IF('01_Вводные'!$B$234="Да",IF(OR('19_Расчет_аналитики'!AF4490=0,7&lt;='01_Вводные'!$B$297),0,'19_Расчет_аналитики'!AF4490*IF('01_Вводные'!$B$239="Да",MeanMinAge07+'19_Расчет_аналитики'!AF4607*SUMIF(ThresholdAge07,"&lt;"&amp;'19_Расчет_аналитики'!AF4607,WeightedRevAge07)-SUMIF(ThresholdAge07,"&lt;"&amp;'19_Расчет_аналитики'!AF4607,WeightedMinAge07),MAX(CapacityAge07*'01_Вводные'!$B$218*'19_Расчет_аналитики'!AF4607,MeanMinAge07))),0)</f>
        <v/>
      </c>
      <c r="AG4518">
        <f>IF('01_Вводные'!$B$234="Да",IF(OR('19_Расчет_аналитики'!AG4490=0,7&lt;='01_Вводные'!$B$297),0,'19_Расчет_аналитики'!AG4490*IF('01_Вводные'!$B$239="Да",MeanMinAge07+'19_Расчет_аналитики'!AG4607*SUMIF(ThresholdAge07,"&lt;"&amp;'19_Расчет_аналитики'!AG4607,WeightedRevAge07)-SUMIF(ThresholdAge07,"&lt;"&amp;'19_Расчет_аналитики'!AG4607,WeightedMinAge07),MAX(CapacityAge07*'01_Вводные'!$B$218*'19_Расчет_аналитики'!AG4607,MeanMinAge07))),0)</f>
        <v/>
      </c>
      <c r="AH4518">
        <f>IF('01_Вводные'!$B$234="Да",IF(OR('19_Расчет_аналитики'!AH4490=0,7&lt;='01_Вводные'!$B$297),0,'19_Расчет_аналитики'!AH4490*IF('01_Вводные'!$B$239="Да",MeanMinAge07+'19_Расчет_аналитики'!AH4607*SUMIF(ThresholdAge07,"&lt;"&amp;'19_Расчет_аналитики'!AH4607,WeightedRevAge07)-SUMIF(ThresholdAge07,"&lt;"&amp;'19_Расчет_аналитики'!AH4607,WeightedMinAge07),MAX(CapacityAge07*'01_Вводные'!$B$218*'19_Расчет_аналитики'!AH4607,MeanMinAge07))),0)</f>
        <v/>
      </c>
      <c r="AI4518">
        <f>IF('01_Вводные'!$B$234="Да",IF(OR('19_Расчет_аналитики'!AI4490=0,7&lt;='01_Вводные'!$B$297),0,'19_Расчет_аналитики'!AI4490*IF('01_Вводные'!$B$239="Да",MeanMinAge07+'19_Расчет_аналитики'!AI4607*SUMIF(ThresholdAge07,"&lt;"&amp;'19_Расчет_аналитики'!AI4607,WeightedRevAge07)-SUMIF(ThresholdAge07,"&lt;"&amp;'19_Расчет_аналитики'!AI4607,WeightedMinAge07),MAX(CapacityAge07*'01_Вводные'!$B$218*'19_Расчет_аналитики'!AI4607,MeanMinAge07))),0)</f>
        <v/>
      </c>
      <c r="AJ4518">
        <f>IF('01_Вводные'!$B$234="Да",IF(OR('19_Расчет_аналитики'!AJ4490=0,7&lt;='01_Вводные'!$B$297),0,'19_Расчет_аналитики'!AJ4490*IF('01_Вводные'!$B$239="Да",MeanMinAge07+'19_Расчет_аналитики'!AJ4607*SUMIF(ThresholdAge07,"&lt;"&amp;'19_Расчет_аналитики'!AJ4607,WeightedRevAge07)-SUMIF(ThresholdAge07,"&lt;"&amp;'19_Расчет_аналитики'!AJ4607,WeightedMinAge07),MAX(CapacityAge07*'01_Вводные'!$B$218*'19_Расчет_аналитики'!AJ4607,MeanMinAge07))),0)</f>
        <v/>
      </c>
      <c r="AK4518">
        <f>IF('01_Вводные'!$B$234="Да",IF(OR('19_Расчет_аналитики'!AK4490=0,7&lt;='01_Вводные'!$B$297),0,'19_Расчет_аналитики'!AK4490*IF('01_Вводные'!$B$239="Да",MeanMinAge07+'19_Расчет_аналитики'!AK4607*SUMIF(ThresholdAge07,"&lt;"&amp;'19_Расчет_аналитики'!AK4607,WeightedRevAge07)-SUMIF(ThresholdAge07,"&lt;"&amp;'19_Расчет_аналитики'!AK4607,WeightedMinAge07),MAX(CapacityAge07*'01_Вводные'!$B$218*'19_Расчет_аналитики'!AK4607,MeanMinAge07))),0)</f>
        <v/>
      </c>
      <c r="AL4518">
        <f>IF('01_Вводные'!$B$234="Да",IF(OR('19_Расчет_аналитики'!AL4490=0,7&lt;='01_Вводные'!$B$297),0,'19_Расчет_аналитики'!AL4490*IF('01_Вводные'!$B$239="Да",MeanMinAge07+'19_Расчет_аналитики'!AL4607*SUMIF(ThresholdAge07,"&lt;"&amp;'19_Расчет_аналитики'!AL4607,WeightedRevAge07)-SUMIF(ThresholdAge07,"&lt;"&amp;'19_Расчет_аналитики'!AL4607,WeightedMinAge07),MAX(CapacityAge07*'01_Вводные'!$B$218*'19_Расчет_аналитики'!AL4607,MeanMinAge07))),0)</f>
        <v/>
      </c>
      <c r="AM4518">
        <f>IF('01_Вводные'!$B$234="Да",IF(OR('19_Расчет_аналитики'!AM4490=0,7&lt;='01_Вводные'!$B$297),0,'19_Расчет_аналитики'!AM4490*IF('01_Вводные'!$B$239="Да",MeanMinAge07+'19_Расчет_аналитики'!AM4607*SUMIF(ThresholdAge07,"&lt;"&amp;'19_Расчет_аналитики'!AM4607,WeightedRevAge07)-SUMIF(ThresholdAge07,"&lt;"&amp;'19_Расчет_аналитики'!AM4607,WeightedMinAge07),MAX(CapacityAge07*'01_Вводные'!$B$218*'19_Расчет_аналитики'!AM4607,MeanMinAge07))),0)</f>
        <v/>
      </c>
      <c r="AN4518">
        <f>IF('01_Вводные'!$B$234="Да",IF(OR('19_Расчет_аналитики'!AN4490=0,7&lt;='01_Вводные'!$B$297),0,'19_Расчет_аналитики'!AN4490*IF('01_Вводные'!$B$239="Да",MeanMinAge07+'19_Расчет_аналитики'!AN4607*SUMIF(ThresholdAge07,"&lt;"&amp;'19_Расчет_аналитики'!AN4607,WeightedRevAge07)-SUMIF(ThresholdAge07,"&lt;"&amp;'19_Расчет_аналитики'!AN4607,WeightedMinAge07),MAX(CapacityAge07*'01_Вводные'!$B$218*'19_Расчет_аналитики'!AN4607,MeanMinAge07))),0)</f>
        <v/>
      </c>
      <c r="AO4518">
        <f>IF('01_Вводные'!$B$234="Да",IF(OR('19_Расчет_аналитики'!AO4490=0,7&lt;='01_Вводные'!$B$297),0,'19_Расчет_аналитики'!AO4490*IF('01_Вводные'!$B$239="Да",MeanMinAge07+'19_Расчет_аналитики'!AO4607*SUMIF(ThresholdAge07,"&lt;"&amp;'19_Расчет_аналитики'!AO4607,WeightedRevAge07)-SUMIF(ThresholdAge07,"&lt;"&amp;'19_Расчет_аналитики'!AO4607,WeightedMinAge07),MAX(CapacityAge07*'01_Вводные'!$B$218*'19_Расчет_аналитики'!AO4607,MeanMinAge07))),0)</f>
        <v/>
      </c>
      <c r="AP4518">
        <f>IF('01_Вводные'!$B$234="Да",IF(OR('19_Расчет_аналитики'!AP4490=0,7&lt;='01_Вводные'!$B$297),0,'19_Расчет_аналитики'!AP4490*IF('01_Вводные'!$B$239="Да",MeanMinAge07+'19_Расчет_аналитики'!AP4607*SUMIF(ThresholdAge07,"&lt;"&amp;'19_Расчет_аналитики'!AP4607,WeightedRevAge07)-SUMIF(ThresholdAge07,"&lt;"&amp;'19_Расчет_аналитики'!AP4607,WeightedMinAge07),MAX(CapacityAge07*'01_Вводные'!$B$218*'19_Расчет_аналитики'!AP4607,MeanMinAge07))),0)</f>
        <v/>
      </c>
      <c r="AQ4518">
        <f>IF('01_Вводные'!$B$234="Да",IF(OR('19_Расчет_аналитики'!AQ4490=0,7&lt;='01_Вводные'!$B$297),0,'19_Расчет_аналитики'!AQ4490*IF('01_Вводные'!$B$239="Да",MeanMinAge07+'19_Расчет_аналитики'!AQ4607*SUMIF(ThresholdAge07,"&lt;"&amp;'19_Расчет_аналитики'!AQ4607,WeightedRevAge07)-SUMIF(ThresholdAge07,"&lt;"&amp;'19_Расчет_аналитики'!AQ4607,WeightedMinAge07),MAX(CapacityAge07*'01_Вводные'!$B$218*'19_Расчет_аналитики'!AQ4607,MeanMinAge07))),0)</f>
        <v/>
      </c>
      <c r="AR4518">
        <f>IF('01_Вводные'!$B$234="Да",IF(OR('19_Расчет_аналитики'!AR4490=0,7&lt;='01_Вводные'!$B$297),0,'19_Расчет_аналитики'!AR4490*IF('01_Вводные'!$B$239="Да",MeanMinAge07+'19_Расчет_аналитики'!AR4607*SUMIF(ThresholdAge07,"&lt;"&amp;'19_Расчет_аналитики'!AR4607,WeightedRevAge07)-SUMIF(ThresholdAge07,"&lt;"&amp;'19_Расчет_аналитики'!AR4607,WeightedMinAge07),MAX(CapacityAge07*'01_Вводные'!$B$218*'19_Расчет_аналитики'!AR4607,MeanMinAge07))),0)</f>
        <v/>
      </c>
      <c r="AS4518">
        <f>IF('01_Вводные'!$B$234="Да",IF(OR('19_Расчет_аналитики'!AS4490=0,7&lt;='01_Вводные'!$B$297),0,'19_Расчет_аналитики'!AS4490*IF('01_Вводные'!$B$239="Да",MeanMinAge07+'19_Расчет_аналитики'!AS4607*SUMIF(ThresholdAge07,"&lt;"&amp;'19_Расчет_аналитики'!AS4607,WeightedRevAge07)-SUMIF(ThresholdAge07,"&lt;"&amp;'19_Расчет_аналитики'!AS4607,WeightedMinAge07),MAX(CapacityAge07*'01_Вводные'!$B$218*'19_Расчет_аналитики'!AS4607,MeanMinAge07))),0)</f>
        <v/>
      </c>
      <c r="AT4518">
        <f>IF('01_Вводные'!$B$234="Да",IF(OR('19_Расчет_аналитики'!AT4490=0,7&lt;='01_Вводные'!$B$297),0,'19_Расчет_аналитики'!AT4490*IF('01_Вводные'!$B$239="Да",MeanMinAge07+'19_Расчет_аналитики'!AT4607*SUMIF(ThresholdAge07,"&lt;"&amp;'19_Расчет_аналитики'!AT4607,WeightedRevAge07)-SUMIF(ThresholdAge07,"&lt;"&amp;'19_Расчет_аналитики'!AT4607,WeightedMinAge07),MAX(CapacityAge07*'01_Вводные'!$B$218*'19_Расчет_аналитики'!AT4607,MeanMinAge07))),0)</f>
        <v/>
      </c>
      <c r="AU4518">
        <f>IF('01_Вводные'!$B$234="Да",IF(OR('19_Расчет_аналитики'!AU4490=0,7&lt;='01_Вводные'!$B$297),0,'19_Расчет_аналитики'!AU4490*IF('01_Вводные'!$B$239="Да",MeanMinAge07+'19_Расчет_аналитики'!AU4607*SUMIF(ThresholdAge07,"&lt;"&amp;'19_Расчет_аналитики'!AU4607,WeightedRevAge07)-SUMIF(ThresholdAge07,"&lt;"&amp;'19_Расчет_аналитики'!AU4607,WeightedMinAge07),MAX(CapacityAge07*'01_Вводные'!$B$218*'19_Расчет_аналитики'!AU4607,MeanMinAge07))),0)</f>
        <v/>
      </c>
      <c r="AV4518">
        <f>IF('01_Вводные'!$B$234="Да",IF(OR('19_Расчет_аналитики'!AV4490=0,7&lt;='01_Вводные'!$B$297),0,'19_Расчет_аналитики'!AV4490*IF('01_Вводные'!$B$239="Да",MeanMinAge07+'19_Расчет_аналитики'!AV4607*SUMIF(ThresholdAge07,"&lt;"&amp;'19_Расчет_аналитики'!AV4607,WeightedRevAge07)-SUMIF(ThresholdAge07,"&lt;"&amp;'19_Расчет_аналитики'!AV4607,WeightedMinAge07),MAX(CapacityAge07*'01_Вводные'!$B$218*'19_Расчет_аналитики'!AV4607,MeanMinAge07))),0)</f>
        <v/>
      </c>
      <c r="AW4518">
        <f>IF('01_Вводные'!$B$234="Да",IF(OR('19_Расчет_аналитики'!AW4490=0,7&lt;='01_Вводные'!$B$297),0,'19_Расчет_аналитики'!AW4490*IF('01_Вводные'!$B$239="Да",MeanMinAge07+'19_Расчет_аналитики'!AW4607*SUMIF(ThresholdAge07,"&lt;"&amp;'19_Расчет_аналитики'!AW4607,WeightedRevAge07)-SUMIF(ThresholdAge07,"&lt;"&amp;'19_Расчет_аналитики'!AW4607,WeightedMinAge07),MAX(CapacityAge07*'01_Вводные'!$B$218*'19_Расчет_аналитики'!AW4607,MeanMinAge07))),0)</f>
        <v/>
      </c>
      <c r="AX4518">
        <f>IF('01_Вводные'!$B$234="Да",IF(OR('19_Расчет_аналитики'!AX4490=0,7&lt;='01_Вводные'!$B$297),0,'19_Расчет_аналитики'!AX4490*IF('01_Вводные'!$B$239="Да",MeanMinAge07+'19_Расчет_аналитики'!AX4607*SUMIF(ThresholdAge07,"&lt;"&amp;'19_Расчет_аналитики'!AX4607,WeightedRevAge07)-SUMIF(ThresholdAge07,"&lt;"&amp;'19_Расчет_аналитики'!AX4607,WeightedMinAge07),MAX(CapacityAge07*'01_Вводные'!$B$218*'19_Расчет_аналитики'!AX4607,MeanMinAge07))),0)</f>
        <v/>
      </c>
      <c r="AY4518">
        <f>IF('01_Вводные'!$B$234="Да",IF(OR('19_Расчет_аналитики'!AY4490=0,7&lt;='01_Вводные'!$B$297),0,'19_Расчет_аналитики'!AY4490*IF('01_Вводные'!$B$239="Да",MeanMinAge07+'19_Расчет_аналитики'!AY4607*SUMIF(ThresholdAge07,"&lt;"&amp;'19_Расчет_аналитики'!AY4607,WeightedRevAge07)-SUMIF(ThresholdAge07,"&lt;"&amp;'19_Расчет_аналитики'!AY4607,WeightedMinAge07),MAX(CapacityAge07*'01_Вводные'!$B$218*'19_Расчет_аналитики'!AY4607,MeanMinAge07))),0)</f>
        <v/>
      </c>
      <c r="AZ4518">
        <f>IF('01_Вводные'!$B$234="Да",IF(OR('19_Расчет_аналитики'!AZ4490=0,7&lt;='01_Вводные'!$B$297),0,'19_Расчет_аналитики'!AZ4490*IF('01_Вводные'!$B$239="Да",MeanMinAge07+'19_Расчет_аналитики'!AZ4607*SUMIF(ThresholdAge07,"&lt;"&amp;'19_Расчет_аналитики'!AZ4607,WeightedRevAge07)-SUMIF(ThresholdAge07,"&lt;"&amp;'19_Расчет_аналитики'!AZ4607,WeightedMinAge07),MAX(CapacityAge07*'01_Вводные'!$B$218*'19_Расчет_аналитики'!AZ4607,MeanMinAge07))),0)</f>
        <v/>
      </c>
      <c r="BA4518">
        <f>IF('01_Вводные'!$B$234="Да",IF(OR('19_Расчет_аналитики'!BA4490=0,7&lt;='01_Вводные'!$B$297),0,'19_Расчет_аналитики'!BA4490*IF('01_Вводные'!$B$239="Да",MeanMinAge07+'19_Расчет_аналитики'!BA4607*SUMIF(ThresholdAge07,"&lt;"&amp;'19_Расчет_аналитики'!BA4607,WeightedRevAge07)-SUMIF(ThresholdAge07,"&lt;"&amp;'19_Расчет_аналитики'!BA4607,WeightedMinAge07),MAX(CapacityAge07*'01_Вводные'!$B$218*'19_Расчет_аналитики'!BA4607,MeanMinAge07))),0)</f>
        <v/>
      </c>
      <c r="BB4518">
        <f>IF('01_Вводные'!$B$234="Да",IF(OR('19_Расчет_аналитики'!BB4490=0,7&lt;='01_Вводные'!$B$297),0,'19_Расчет_аналитики'!BB4490*IF('01_Вводные'!$B$239="Да",MeanMinAge07+'19_Расчет_аналитики'!BB4607*SUMIF(ThresholdAge07,"&lt;"&amp;'19_Расчет_аналитики'!BB4607,WeightedRevAge07)-SUMIF(ThresholdAge07,"&lt;"&amp;'19_Расчет_аналитики'!BB4607,WeightedMinAge07),MAX(CapacityAge07*'01_Вводные'!$B$218*'19_Расчет_аналитики'!BB4607,MeanMinAge07))),0)</f>
        <v/>
      </c>
      <c r="BC4518">
        <f>IF('01_Вводные'!$B$234="Да",IF(OR('19_Расчет_аналитики'!BC4490=0,7&lt;='01_Вводные'!$B$297),0,'19_Расчет_аналитики'!BC4490*IF('01_Вводные'!$B$239="Да",MeanMinAge07+'19_Расчет_аналитики'!BC4607*SUMIF(ThresholdAge07,"&lt;"&amp;'19_Расчет_аналитики'!BC4607,WeightedRevAge07)-SUMIF(ThresholdAge07,"&lt;"&amp;'19_Расчет_аналитики'!BC4607,WeightedMinAge07),MAX(CapacityAge07*'01_Вводные'!$B$218*'19_Расчет_аналитики'!BC4607,MeanMinAge07))),0)</f>
        <v/>
      </c>
      <c r="BD4518">
        <f>IF('01_Вводные'!$B$234="Да",IF(OR('19_Расчет_аналитики'!BD4490=0,7&lt;='01_Вводные'!$B$297),0,'19_Расчет_аналитики'!BD4490*IF('01_Вводные'!$B$239="Да",MeanMinAge07+'19_Расчет_аналитики'!BD4607*SUMIF(ThresholdAge07,"&lt;"&amp;'19_Расчет_аналитики'!BD4607,WeightedRevAge07)-SUMIF(ThresholdAge07,"&lt;"&amp;'19_Расчет_аналитики'!BD4607,WeightedMinAge07),MAX(CapacityAge07*'01_Вводные'!$B$218*'19_Расчет_аналитики'!BD4607,MeanMinAge07))),0)</f>
        <v/>
      </c>
      <c r="BE4518">
        <f>IF('01_Вводные'!$B$234="Да",IF(OR('19_Расчет_аналитики'!BE4490=0,7&lt;='01_Вводные'!$B$297),0,'19_Расчет_аналитики'!BE4490*IF('01_Вводные'!$B$239="Да",MeanMinAge07+'19_Расчет_аналитики'!BE4607*SUMIF(ThresholdAge07,"&lt;"&amp;'19_Расчет_аналитики'!BE4607,WeightedRevAge07)-SUMIF(ThresholdAge07,"&lt;"&amp;'19_Расчет_аналитики'!BE4607,WeightedMinAge07),MAX(CapacityAge07*'01_Вводные'!$B$218*'19_Расчет_аналитики'!BE4607,MeanMinAge07))),0)</f>
        <v/>
      </c>
      <c r="BF4518">
        <f>IF('01_Вводные'!$B$234="Да",IF(OR('19_Расчет_аналитики'!BF4490=0,7&lt;='01_Вводные'!$B$297),0,'19_Расчет_аналитики'!BF4490*IF('01_Вводные'!$B$239="Да",MeanMinAge07+'19_Расчет_аналитики'!BF4607*SUMIF(ThresholdAge07,"&lt;"&amp;'19_Расчет_аналитики'!BF4607,WeightedRevAge07)-SUMIF(ThresholdAge07,"&lt;"&amp;'19_Расчет_аналитики'!BF4607,WeightedMinAge07),MAX(CapacityAge07*'01_Вводные'!$B$218*'19_Расчет_аналитики'!BF4607,MeanMinAge07))),0)</f>
        <v/>
      </c>
      <c r="BG4518">
        <f>IF('01_Вводные'!$B$234="Да",IF(OR('19_Расчет_аналитики'!BG4490=0,7&lt;='01_Вводные'!$B$297),0,'19_Расчет_аналитики'!BG4490*IF('01_Вводные'!$B$239="Да",MeanMinAge07+'19_Расчет_аналитики'!BG4607*SUMIF(ThresholdAge07,"&lt;"&amp;'19_Расчет_аналитики'!BG4607,WeightedRevAge07)-SUMIF(ThresholdAge07,"&lt;"&amp;'19_Расчет_аналитики'!BG4607,WeightedMinAge07),MAX(CapacityAge07*'01_Вводные'!$B$218*'19_Расчет_аналитики'!BG4607,MeanMinAge07))),0)</f>
        <v/>
      </c>
      <c r="BH4518">
        <f>IF('01_Вводные'!$B$234="Да",IF(OR('19_Расчет_аналитики'!BH4490=0,7&lt;='01_Вводные'!$B$297),0,'19_Расчет_аналитики'!BH4490*IF('01_Вводные'!$B$239="Да",MeanMinAge07+'19_Расчет_аналитики'!BH4607*SUMIF(ThresholdAge07,"&lt;"&amp;'19_Расчет_аналитики'!BH4607,WeightedRevAge07)-SUMIF(ThresholdAge07,"&lt;"&amp;'19_Расчет_аналитики'!BH4607,WeightedMinAge07),MAX(CapacityAge07*'01_Вводные'!$B$218*'19_Расчет_аналитики'!BH4607,MeanMinAge07))),0)</f>
        <v/>
      </c>
      <c r="BI4518">
        <f>IF('01_Вводные'!$B$234="Да",IF(OR('19_Расчет_аналитики'!BI4490=0,7&lt;='01_Вводные'!$B$297),0,'19_Расчет_аналитики'!BI4490*IF('01_Вводные'!$B$239="Да",MeanMinAge07+'19_Расчет_аналитики'!BI4607*SUMIF(ThresholdAge07,"&lt;"&amp;'19_Расчет_аналитики'!BI4607,WeightedRevAge07)-SUMIF(ThresholdAge07,"&lt;"&amp;'19_Расчет_аналитики'!BI4607,WeightedMinAge07),MAX(CapacityAge07*'01_Вводные'!$B$218*'19_Расчет_аналитики'!BI4607,MeanMinAge07))),0)</f>
        <v/>
      </c>
      <c r="BJ4518">
        <f>IF('01_Вводные'!$B$234="Да",IF(OR('19_Расчет_аналитики'!BJ4490=0,7&lt;='01_Вводные'!$B$297),0,'19_Расчет_аналитики'!BJ4490*IF('01_Вводные'!$B$239="Да",MeanMinAge07+'19_Расчет_аналитики'!BJ4607*SUMIF(ThresholdAge07,"&lt;"&amp;'19_Расчет_аналитики'!BJ4607,WeightedRevAge07)-SUMIF(ThresholdAge07,"&lt;"&amp;'19_Расчет_аналитики'!BJ4607,WeightedMinAge07),MAX(CapacityAge07*'01_Вводные'!$B$218*'19_Расчет_аналитики'!BJ4607,MeanMinAge07))),0)</f>
        <v/>
      </c>
      <c r="BK4518">
        <f>IF('01_Вводные'!$B$234="Да",IF(OR('19_Расчет_аналитики'!BK4490=0,7&lt;='01_Вводные'!$B$297),0,'19_Расчет_аналитики'!BK4490*IF('01_Вводные'!$B$239="Да",MeanMinAge07+'19_Расчет_аналитики'!BK4607*SUMIF(ThresholdAge07,"&lt;"&amp;'19_Расчет_аналитики'!BK4607,WeightedRevAge07)-SUMIF(ThresholdAge07,"&lt;"&amp;'19_Расчет_аналитики'!BK4607,WeightedMinAge07),MAX(CapacityAge07*'01_Вводные'!$B$218*'19_Расчет_аналитики'!BK4607,MeanMinAge07))),0)</f>
        <v/>
      </c>
      <c r="BL4518">
        <f>IF('01_Вводные'!$B$234="Да",IF(OR('19_Расчет_аналитики'!BL4490=0,7&lt;='01_Вводные'!$B$297),0,'19_Расчет_аналитики'!BL4490*IF('01_Вводные'!$B$239="Да",MeanMinAge07+'19_Расчет_аналитики'!BL4607*SUMIF(ThresholdAge07,"&lt;"&amp;'19_Расчет_аналитики'!BL4607,WeightedRevAge07)-SUMIF(ThresholdAge07,"&lt;"&amp;'19_Расчет_аналитики'!BL4607,WeightedMinAge07),MAX(CapacityAge07*'01_Вводные'!$B$218*'19_Расчет_аналитики'!BL4607,MeanMinAge07))),0)</f>
        <v/>
      </c>
      <c r="BM4518">
        <f>IF('01_Вводные'!$B$234="Да",IF(OR('19_Расчет_аналитики'!BM4490=0,7&lt;='01_Вводные'!$B$297),0,'19_Расчет_аналитики'!BM4490*IF('01_Вводные'!$B$239="Да",MeanMinAge07+'19_Расчет_аналитики'!BM4607*SUMIF(ThresholdAge07,"&lt;"&amp;'19_Расчет_аналитики'!BM4607,WeightedRevAge07)-SUMIF(ThresholdAge07,"&lt;"&amp;'19_Расчет_аналитики'!BM4607,WeightedMinAge07),MAX(CapacityAge07*'01_Вводные'!$B$218*'19_Расчет_аналитики'!BM4607,MeanMinAge07))),0)</f>
        <v/>
      </c>
      <c r="BN4518">
        <f>IF('01_Вводные'!$B$234="Да",IF(OR('19_Расчет_аналитики'!BN4490=0,7&lt;='01_Вводные'!$B$297),0,'19_Расчет_аналитики'!BN4490*IF('01_Вводные'!$B$239="Да",MeanMinAge07+'19_Расчет_аналитики'!BN4607*SUMIF(ThresholdAge07,"&lt;"&amp;'19_Расчет_аналитики'!BN4607,WeightedRevAge07)-SUMIF(ThresholdAge07,"&lt;"&amp;'19_Расчет_аналитики'!BN4607,WeightedMinAge07),MAX(CapacityAge07*'01_Вводные'!$B$218*'19_Расчет_аналитики'!BN4607,MeanMinAge07))),0)</f>
        <v/>
      </c>
      <c r="BO4518">
        <f>IF('01_Вводные'!$B$234="Да",IF(OR('19_Расчет_аналитики'!BO4490=0,7&lt;='01_Вводные'!$B$297),0,'19_Расчет_аналитики'!BO4490*IF('01_Вводные'!$B$239="Да",MeanMinAge07+'19_Расчет_аналитики'!BO4607*SUMIF(ThresholdAge07,"&lt;"&amp;'19_Расчет_аналитики'!BO4607,WeightedRevAge07)-SUMIF(ThresholdAge07,"&lt;"&amp;'19_Расчет_аналитики'!BO4607,WeightedMinAge07),MAX(CapacityAge07*'01_Вводные'!$B$218*'19_Расчет_аналитики'!BO4607,MeanMinAge07))),0)</f>
        <v/>
      </c>
    </row>
    <row r="4519">
      <c r="B4519">
        <f>IF('01_Вводные'!$B$234="Да",IF(OR('06_Сеть_и_дети'!B88=0,8&lt;='01_Вводные'!$B$297),0,'06_Сеть_и_дети'!B88*IF('01_Вводные'!$B$239="Да",MeanMinAge08+'19_Расчет_аналитики'!B4607*SUMIF(ThresholdAge08,"&lt;"&amp;'19_Расчет_аналитики'!B4607,WeightedRevAge08)-SUMIF(ThresholdAge08,"&lt;"&amp;'19_Расчет_аналитики'!B4607,WeightedMinAge08),MAX(CapacityAge08*'01_Вводные'!$B$218*'19_Расчет_аналитики'!B4607,MeanMinAge08))),0)</f>
        <v/>
      </c>
      <c r="C4519">
        <f>IF('01_Вводные'!$B$234="Да",IF(OR('06_Сеть_и_дети'!C88=0,8&lt;='01_Вводные'!$B$297),0,'06_Сеть_и_дети'!C88*IF('01_Вводные'!$B$239="Да",MeanMinAge08+'19_Расчет_аналитики'!C4607*SUMIF(ThresholdAge08,"&lt;"&amp;'19_Расчет_аналитики'!C4607,WeightedRevAge08)-SUMIF(ThresholdAge08,"&lt;"&amp;'19_Расчет_аналитики'!C4607,WeightedMinAge08),MAX(CapacityAge08*'01_Вводные'!$B$218*'19_Расчет_аналитики'!C4607,MeanMinAge08))),0)</f>
        <v/>
      </c>
      <c r="D4519">
        <f>IF('01_Вводные'!$B$234="Да",IF(OR('06_Сеть_и_дети'!D88=0,8&lt;='01_Вводные'!$B$297),0,'06_Сеть_и_дети'!D88*IF('01_Вводные'!$B$239="Да",MeanMinAge08+'19_Расчет_аналитики'!D4607*SUMIF(ThresholdAge08,"&lt;"&amp;'19_Расчет_аналитики'!D4607,WeightedRevAge08)-SUMIF(ThresholdAge08,"&lt;"&amp;'19_Расчет_аналитики'!D4607,WeightedMinAge08),MAX(CapacityAge08*'01_Вводные'!$B$218*'19_Расчет_аналитики'!D4607,MeanMinAge08))),0)</f>
        <v/>
      </c>
      <c r="E4519">
        <f>IF('01_Вводные'!$B$234="Да",IF(OR('06_Сеть_и_дети'!E88=0,8&lt;='01_Вводные'!$B$297),0,'06_Сеть_и_дети'!E88*IF('01_Вводные'!$B$239="Да",MeanMinAge08+'19_Расчет_аналитики'!E4607*SUMIF(ThresholdAge08,"&lt;"&amp;'19_Расчет_аналитики'!E4607,WeightedRevAge08)-SUMIF(ThresholdAge08,"&lt;"&amp;'19_Расчет_аналитики'!E4607,WeightedMinAge08),MAX(CapacityAge08*'01_Вводные'!$B$218*'19_Расчет_аналитики'!E4607,MeanMinAge08))),0)</f>
        <v/>
      </c>
      <c r="F4519">
        <f>IF('01_Вводные'!$B$234="Да",IF(OR('06_Сеть_и_дети'!F88=0,8&lt;='01_Вводные'!$B$297),0,'06_Сеть_и_дети'!F88*IF('01_Вводные'!$B$239="Да",MeanMinAge08+'19_Расчет_аналитики'!F4607*SUMIF(ThresholdAge08,"&lt;"&amp;'19_Расчет_аналитики'!F4607,WeightedRevAge08)-SUMIF(ThresholdAge08,"&lt;"&amp;'19_Расчет_аналитики'!F4607,WeightedMinAge08),MAX(CapacityAge08*'01_Вводные'!$B$218*'19_Расчет_аналитики'!F4607,MeanMinAge08))),0)</f>
        <v/>
      </c>
      <c r="G4519">
        <f>IF('01_Вводные'!$B$234="Да",IF(OR('06_Сеть_и_дети'!G88=0,8&lt;='01_Вводные'!$B$297),0,'06_Сеть_и_дети'!G88*IF('01_Вводные'!$B$239="Да",MeanMinAge08+'19_Расчет_аналитики'!G4607*SUMIF(ThresholdAge08,"&lt;"&amp;'19_Расчет_аналитики'!G4607,WeightedRevAge08)-SUMIF(ThresholdAge08,"&lt;"&amp;'19_Расчет_аналитики'!G4607,WeightedMinAge08),MAX(CapacityAge08*'01_Вводные'!$B$218*'19_Расчет_аналитики'!G4607,MeanMinAge08))),0)</f>
        <v/>
      </c>
      <c r="H4519">
        <f>IF('01_Вводные'!$B$234="Да",IF(OR('06_Сеть_и_дети'!H88=0,8&lt;='01_Вводные'!$B$297),0,'06_Сеть_и_дети'!H88*IF('01_Вводные'!$B$239="Да",MeanMinAge08+'19_Расчет_аналитики'!H4607*SUMIF(ThresholdAge08,"&lt;"&amp;'19_Расчет_аналитики'!H4607,WeightedRevAge08)-SUMIF(ThresholdAge08,"&lt;"&amp;'19_Расчет_аналитики'!H4607,WeightedMinAge08),MAX(CapacityAge08*'01_Вводные'!$B$218*'19_Расчет_аналитики'!H4607,MeanMinAge08))),0)</f>
        <v/>
      </c>
      <c r="I4519">
        <f>IF('01_Вводные'!$B$234="Да",IF(OR('19_Расчет_аналитики'!I4491=0,8&lt;='01_Вводные'!$B$297),0,'19_Расчет_аналитики'!I4491*IF('01_Вводные'!$B$239="Да",MeanMinAge08+'19_Расчет_аналитики'!I4607*SUMIF(ThresholdAge08,"&lt;"&amp;'19_Расчет_аналитики'!I4607,WeightedRevAge08)-SUMIF(ThresholdAge08,"&lt;"&amp;'19_Расчет_аналитики'!I4607,WeightedMinAge08),MAX(CapacityAge08*'01_Вводные'!$B$218*'19_Расчет_аналитики'!I4607,MeanMinAge08))),0)</f>
        <v/>
      </c>
      <c r="J4519">
        <f>IF('01_Вводные'!$B$234="Да",IF(OR('19_Расчет_аналитики'!J4491=0,8&lt;='01_Вводные'!$B$297),0,'19_Расчет_аналитики'!J4491*IF('01_Вводные'!$B$239="Да",MeanMinAge08+'19_Расчет_аналитики'!J4607*SUMIF(ThresholdAge08,"&lt;"&amp;'19_Расчет_аналитики'!J4607,WeightedRevAge08)-SUMIF(ThresholdAge08,"&lt;"&amp;'19_Расчет_аналитики'!J4607,WeightedMinAge08),MAX(CapacityAge08*'01_Вводные'!$B$218*'19_Расчет_аналитики'!J4607,MeanMinAge08))),0)</f>
        <v/>
      </c>
      <c r="K4519">
        <f>IF('01_Вводные'!$B$234="Да",IF(OR('19_Расчет_аналитики'!K4491=0,8&lt;='01_Вводные'!$B$297),0,'19_Расчет_аналитики'!K4491*IF('01_Вводные'!$B$239="Да",MeanMinAge08+'19_Расчет_аналитики'!K4607*SUMIF(ThresholdAge08,"&lt;"&amp;'19_Расчет_аналитики'!K4607,WeightedRevAge08)-SUMIF(ThresholdAge08,"&lt;"&amp;'19_Расчет_аналитики'!K4607,WeightedMinAge08),MAX(CapacityAge08*'01_Вводные'!$B$218*'19_Расчет_аналитики'!K4607,MeanMinAge08))),0)</f>
        <v/>
      </c>
      <c r="L4519">
        <f>IF('01_Вводные'!$B$234="Да",IF(OR('19_Расчет_аналитики'!L4491=0,8&lt;='01_Вводные'!$B$297),0,'19_Расчет_аналитики'!L4491*IF('01_Вводные'!$B$239="Да",MeanMinAge08+'19_Расчет_аналитики'!L4607*SUMIF(ThresholdAge08,"&lt;"&amp;'19_Расчет_аналитики'!L4607,WeightedRevAge08)-SUMIF(ThresholdAge08,"&lt;"&amp;'19_Расчет_аналитики'!L4607,WeightedMinAge08),MAX(CapacityAge08*'01_Вводные'!$B$218*'19_Расчет_аналитики'!L4607,MeanMinAge08))),0)</f>
        <v/>
      </c>
      <c r="M4519">
        <f>IF('01_Вводные'!$B$234="Да",IF(OR('19_Расчет_аналитики'!M4491=0,8&lt;='01_Вводные'!$B$297),0,'19_Расчет_аналитики'!M4491*IF('01_Вводные'!$B$239="Да",MeanMinAge08+'19_Расчет_аналитики'!M4607*SUMIF(ThresholdAge08,"&lt;"&amp;'19_Расчет_аналитики'!M4607,WeightedRevAge08)-SUMIF(ThresholdAge08,"&lt;"&amp;'19_Расчет_аналитики'!M4607,WeightedMinAge08),MAX(CapacityAge08*'01_Вводные'!$B$218*'19_Расчет_аналитики'!M4607,MeanMinAge08))),0)</f>
        <v/>
      </c>
      <c r="N4519">
        <f>IF('01_Вводные'!$B$234="Да",IF(OR('19_Расчет_аналитики'!N4491=0,8&lt;='01_Вводные'!$B$297),0,'19_Расчет_аналитики'!N4491*IF('01_Вводные'!$B$239="Да",MeanMinAge08+'19_Расчет_аналитики'!N4607*SUMIF(ThresholdAge08,"&lt;"&amp;'19_Расчет_аналитики'!N4607,WeightedRevAge08)-SUMIF(ThresholdAge08,"&lt;"&amp;'19_Расчет_аналитики'!N4607,WeightedMinAge08),MAX(CapacityAge08*'01_Вводные'!$B$218*'19_Расчет_аналитики'!N4607,MeanMinAge08))),0)</f>
        <v/>
      </c>
      <c r="O4519">
        <f>IF('01_Вводные'!$B$234="Да",IF(OR('19_Расчет_аналитики'!O4491=0,8&lt;='01_Вводные'!$B$297),0,'19_Расчет_аналитики'!O4491*IF('01_Вводные'!$B$239="Да",MeanMinAge08+'19_Расчет_аналитики'!O4607*SUMIF(ThresholdAge08,"&lt;"&amp;'19_Расчет_аналитики'!O4607,WeightedRevAge08)-SUMIF(ThresholdAge08,"&lt;"&amp;'19_Расчет_аналитики'!O4607,WeightedMinAge08),MAX(CapacityAge08*'01_Вводные'!$B$218*'19_Расчет_аналитики'!O4607,MeanMinAge08))),0)</f>
        <v/>
      </c>
      <c r="P4519">
        <f>IF('01_Вводные'!$B$234="Да",IF(OR('19_Расчет_аналитики'!P4491=0,8&lt;='01_Вводные'!$B$297),0,'19_Расчет_аналитики'!P4491*IF('01_Вводные'!$B$239="Да",MeanMinAge08+'19_Расчет_аналитики'!P4607*SUMIF(ThresholdAge08,"&lt;"&amp;'19_Расчет_аналитики'!P4607,WeightedRevAge08)-SUMIF(ThresholdAge08,"&lt;"&amp;'19_Расчет_аналитики'!P4607,WeightedMinAge08),MAX(CapacityAge08*'01_Вводные'!$B$218*'19_Расчет_аналитики'!P4607,MeanMinAge08))),0)</f>
        <v/>
      </c>
      <c r="Q4519">
        <f>IF('01_Вводные'!$B$234="Да",IF(OR('19_Расчет_аналитики'!Q4491=0,8&lt;='01_Вводные'!$B$297),0,'19_Расчет_аналитики'!Q4491*IF('01_Вводные'!$B$239="Да",MeanMinAge08+'19_Расчет_аналитики'!Q4607*SUMIF(ThresholdAge08,"&lt;"&amp;'19_Расчет_аналитики'!Q4607,WeightedRevAge08)-SUMIF(ThresholdAge08,"&lt;"&amp;'19_Расчет_аналитики'!Q4607,WeightedMinAge08),MAX(CapacityAge08*'01_Вводные'!$B$218*'19_Расчет_аналитики'!Q4607,MeanMinAge08))),0)</f>
        <v/>
      </c>
      <c r="R4519">
        <f>IF('01_Вводные'!$B$234="Да",IF(OR('19_Расчет_аналитики'!R4491=0,8&lt;='01_Вводные'!$B$297),0,'19_Расчет_аналитики'!R4491*IF('01_Вводные'!$B$239="Да",MeanMinAge08+'19_Расчет_аналитики'!R4607*SUMIF(ThresholdAge08,"&lt;"&amp;'19_Расчет_аналитики'!R4607,WeightedRevAge08)-SUMIF(ThresholdAge08,"&lt;"&amp;'19_Расчет_аналитики'!R4607,WeightedMinAge08),MAX(CapacityAge08*'01_Вводные'!$B$218*'19_Расчет_аналитики'!R4607,MeanMinAge08))),0)</f>
        <v/>
      </c>
      <c r="S4519">
        <f>IF('01_Вводные'!$B$234="Да",IF(OR('19_Расчет_аналитики'!S4491=0,8&lt;='01_Вводные'!$B$297),0,'19_Расчет_аналитики'!S4491*IF('01_Вводные'!$B$239="Да",MeanMinAge08+'19_Расчет_аналитики'!S4607*SUMIF(ThresholdAge08,"&lt;"&amp;'19_Расчет_аналитики'!S4607,WeightedRevAge08)-SUMIF(ThresholdAge08,"&lt;"&amp;'19_Расчет_аналитики'!S4607,WeightedMinAge08),MAX(CapacityAge08*'01_Вводные'!$B$218*'19_Расчет_аналитики'!S4607,MeanMinAge08))),0)</f>
        <v/>
      </c>
      <c r="T4519">
        <f>IF('01_Вводные'!$B$234="Да",IF(OR('19_Расчет_аналитики'!T4491=0,8&lt;='01_Вводные'!$B$297),0,'19_Расчет_аналитики'!T4491*IF('01_Вводные'!$B$239="Да",MeanMinAge08+'19_Расчет_аналитики'!T4607*SUMIF(ThresholdAge08,"&lt;"&amp;'19_Расчет_аналитики'!T4607,WeightedRevAge08)-SUMIF(ThresholdAge08,"&lt;"&amp;'19_Расчет_аналитики'!T4607,WeightedMinAge08),MAX(CapacityAge08*'01_Вводные'!$B$218*'19_Расчет_аналитики'!T4607,MeanMinAge08))),0)</f>
        <v/>
      </c>
      <c r="U4519">
        <f>IF('01_Вводные'!$B$234="Да",IF(OR('19_Расчет_аналитики'!U4491=0,8&lt;='01_Вводные'!$B$297),0,'19_Расчет_аналитики'!U4491*IF('01_Вводные'!$B$239="Да",MeanMinAge08+'19_Расчет_аналитики'!U4607*SUMIF(ThresholdAge08,"&lt;"&amp;'19_Расчет_аналитики'!U4607,WeightedRevAge08)-SUMIF(ThresholdAge08,"&lt;"&amp;'19_Расчет_аналитики'!U4607,WeightedMinAge08),MAX(CapacityAge08*'01_Вводные'!$B$218*'19_Расчет_аналитики'!U4607,MeanMinAge08))),0)</f>
        <v/>
      </c>
      <c r="V4519">
        <f>IF('01_Вводные'!$B$234="Да",IF(OR('19_Расчет_аналитики'!V4491=0,8&lt;='01_Вводные'!$B$297),0,'19_Расчет_аналитики'!V4491*IF('01_Вводные'!$B$239="Да",MeanMinAge08+'19_Расчет_аналитики'!V4607*SUMIF(ThresholdAge08,"&lt;"&amp;'19_Расчет_аналитики'!V4607,WeightedRevAge08)-SUMIF(ThresholdAge08,"&lt;"&amp;'19_Расчет_аналитики'!V4607,WeightedMinAge08),MAX(CapacityAge08*'01_Вводные'!$B$218*'19_Расчет_аналитики'!V4607,MeanMinAge08))),0)</f>
        <v/>
      </c>
      <c r="W4519">
        <f>IF('01_Вводные'!$B$234="Да",IF(OR('19_Расчет_аналитики'!W4491=0,8&lt;='01_Вводные'!$B$297),0,'19_Расчет_аналитики'!W4491*IF('01_Вводные'!$B$239="Да",MeanMinAge08+'19_Расчет_аналитики'!W4607*SUMIF(ThresholdAge08,"&lt;"&amp;'19_Расчет_аналитики'!W4607,WeightedRevAge08)-SUMIF(ThresholdAge08,"&lt;"&amp;'19_Расчет_аналитики'!W4607,WeightedMinAge08),MAX(CapacityAge08*'01_Вводные'!$B$218*'19_Расчет_аналитики'!W4607,MeanMinAge08))),0)</f>
        <v/>
      </c>
      <c r="X4519">
        <f>IF('01_Вводные'!$B$234="Да",IF(OR('19_Расчет_аналитики'!X4491=0,8&lt;='01_Вводные'!$B$297),0,'19_Расчет_аналитики'!X4491*IF('01_Вводные'!$B$239="Да",MeanMinAge08+'19_Расчет_аналитики'!X4607*SUMIF(ThresholdAge08,"&lt;"&amp;'19_Расчет_аналитики'!X4607,WeightedRevAge08)-SUMIF(ThresholdAge08,"&lt;"&amp;'19_Расчет_аналитики'!X4607,WeightedMinAge08),MAX(CapacityAge08*'01_Вводные'!$B$218*'19_Расчет_аналитики'!X4607,MeanMinAge08))),0)</f>
        <v/>
      </c>
      <c r="Y4519">
        <f>IF('01_Вводные'!$B$234="Да",IF(OR('19_Расчет_аналитики'!Y4491=0,8&lt;='01_Вводные'!$B$297),0,'19_Расчет_аналитики'!Y4491*IF('01_Вводные'!$B$239="Да",MeanMinAge08+'19_Расчет_аналитики'!Y4607*SUMIF(ThresholdAge08,"&lt;"&amp;'19_Расчет_аналитики'!Y4607,WeightedRevAge08)-SUMIF(ThresholdAge08,"&lt;"&amp;'19_Расчет_аналитики'!Y4607,WeightedMinAge08),MAX(CapacityAge08*'01_Вводные'!$B$218*'19_Расчет_аналитики'!Y4607,MeanMinAge08))),0)</f>
        <v/>
      </c>
      <c r="Z4519">
        <f>IF('01_Вводные'!$B$234="Да",IF(OR('19_Расчет_аналитики'!Z4491=0,8&lt;='01_Вводные'!$B$297),0,'19_Расчет_аналитики'!Z4491*IF('01_Вводные'!$B$239="Да",MeanMinAge08+'19_Расчет_аналитики'!Z4607*SUMIF(ThresholdAge08,"&lt;"&amp;'19_Расчет_аналитики'!Z4607,WeightedRevAge08)-SUMIF(ThresholdAge08,"&lt;"&amp;'19_Расчет_аналитики'!Z4607,WeightedMinAge08),MAX(CapacityAge08*'01_Вводные'!$B$218*'19_Расчет_аналитики'!Z4607,MeanMinAge08))),0)</f>
        <v/>
      </c>
      <c r="AA4519">
        <f>IF('01_Вводные'!$B$234="Да",IF(OR('19_Расчет_аналитики'!AA4491=0,8&lt;='01_Вводные'!$B$297),0,'19_Расчет_аналитики'!AA4491*IF('01_Вводные'!$B$239="Да",MeanMinAge08+'19_Расчет_аналитики'!AA4607*SUMIF(ThresholdAge08,"&lt;"&amp;'19_Расчет_аналитики'!AA4607,WeightedRevAge08)-SUMIF(ThresholdAge08,"&lt;"&amp;'19_Расчет_аналитики'!AA4607,WeightedMinAge08),MAX(CapacityAge08*'01_Вводные'!$B$218*'19_Расчет_аналитики'!AA4607,MeanMinAge08))),0)</f>
        <v/>
      </c>
      <c r="AB4519">
        <f>IF('01_Вводные'!$B$234="Да",IF(OR('19_Расчет_аналитики'!AB4491=0,8&lt;='01_Вводные'!$B$297),0,'19_Расчет_аналитики'!AB4491*IF('01_Вводные'!$B$239="Да",MeanMinAge08+'19_Расчет_аналитики'!AB4607*SUMIF(ThresholdAge08,"&lt;"&amp;'19_Расчет_аналитики'!AB4607,WeightedRevAge08)-SUMIF(ThresholdAge08,"&lt;"&amp;'19_Расчет_аналитики'!AB4607,WeightedMinAge08),MAX(CapacityAge08*'01_Вводные'!$B$218*'19_Расчет_аналитики'!AB4607,MeanMinAge08))),0)</f>
        <v/>
      </c>
      <c r="AC4519">
        <f>IF('01_Вводные'!$B$234="Да",IF(OR('19_Расчет_аналитики'!AC4491=0,8&lt;='01_Вводные'!$B$297),0,'19_Расчет_аналитики'!AC4491*IF('01_Вводные'!$B$239="Да",MeanMinAge08+'19_Расчет_аналитики'!AC4607*SUMIF(ThresholdAge08,"&lt;"&amp;'19_Расчет_аналитики'!AC4607,WeightedRevAge08)-SUMIF(ThresholdAge08,"&lt;"&amp;'19_Расчет_аналитики'!AC4607,WeightedMinAge08),MAX(CapacityAge08*'01_Вводные'!$B$218*'19_Расчет_аналитики'!AC4607,MeanMinAge08))),0)</f>
        <v/>
      </c>
      <c r="AD4519">
        <f>IF('01_Вводные'!$B$234="Да",IF(OR('19_Расчет_аналитики'!AD4491=0,8&lt;='01_Вводные'!$B$297),0,'19_Расчет_аналитики'!AD4491*IF('01_Вводные'!$B$239="Да",MeanMinAge08+'19_Расчет_аналитики'!AD4607*SUMIF(ThresholdAge08,"&lt;"&amp;'19_Расчет_аналитики'!AD4607,WeightedRevAge08)-SUMIF(ThresholdAge08,"&lt;"&amp;'19_Расчет_аналитики'!AD4607,WeightedMinAge08),MAX(CapacityAge08*'01_Вводные'!$B$218*'19_Расчет_аналитики'!AD4607,MeanMinAge08))),0)</f>
        <v/>
      </c>
      <c r="AE4519">
        <f>IF('01_Вводные'!$B$234="Да",IF(OR('19_Расчет_аналитики'!AE4491=0,8&lt;='01_Вводные'!$B$297),0,'19_Расчет_аналитики'!AE4491*IF('01_Вводные'!$B$239="Да",MeanMinAge08+'19_Расчет_аналитики'!AE4607*SUMIF(ThresholdAge08,"&lt;"&amp;'19_Расчет_аналитики'!AE4607,WeightedRevAge08)-SUMIF(ThresholdAge08,"&lt;"&amp;'19_Расчет_аналитики'!AE4607,WeightedMinAge08),MAX(CapacityAge08*'01_Вводные'!$B$218*'19_Расчет_аналитики'!AE4607,MeanMinAge08))),0)</f>
        <v/>
      </c>
      <c r="AF4519">
        <f>IF('01_Вводные'!$B$234="Да",IF(OR('19_Расчет_аналитики'!AF4491=0,8&lt;='01_Вводные'!$B$297),0,'19_Расчет_аналитики'!AF4491*IF('01_Вводные'!$B$239="Да",MeanMinAge08+'19_Расчет_аналитики'!AF4607*SUMIF(ThresholdAge08,"&lt;"&amp;'19_Расчет_аналитики'!AF4607,WeightedRevAge08)-SUMIF(ThresholdAge08,"&lt;"&amp;'19_Расчет_аналитики'!AF4607,WeightedMinAge08),MAX(CapacityAge08*'01_Вводные'!$B$218*'19_Расчет_аналитики'!AF4607,MeanMinAge08))),0)</f>
        <v/>
      </c>
      <c r="AG4519">
        <f>IF('01_Вводные'!$B$234="Да",IF(OR('19_Расчет_аналитики'!AG4491=0,8&lt;='01_Вводные'!$B$297),0,'19_Расчет_аналитики'!AG4491*IF('01_Вводные'!$B$239="Да",MeanMinAge08+'19_Расчет_аналитики'!AG4607*SUMIF(ThresholdAge08,"&lt;"&amp;'19_Расчет_аналитики'!AG4607,WeightedRevAge08)-SUMIF(ThresholdAge08,"&lt;"&amp;'19_Расчет_аналитики'!AG4607,WeightedMinAge08),MAX(CapacityAge08*'01_Вводные'!$B$218*'19_Расчет_аналитики'!AG4607,MeanMinAge08))),0)</f>
        <v/>
      </c>
      <c r="AH4519">
        <f>IF('01_Вводные'!$B$234="Да",IF(OR('19_Расчет_аналитики'!AH4491=0,8&lt;='01_Вводные'!$B$297),0,'19_Расчет_аналитики'!AH4491*IF('01_Вводные'!$B$239="Да",MeanMinAge08+'19_Расчет_аналитики'!AH4607*SUMIF(ThresholdAge08,"&lt;"&amp;'19_Расчет_аналитики'!AH4607,WeightedRevAge08)-SUMIF(ThresholdAge08,"&lt;"&amp;'19_Расчет_аналитики'!AH4607,WeightedMinAge08),MAX(CapacityAge08*'01_Вводные'!$B$218*'19_Расчет_аналитики'!AH4607,MeanMinAge08))),0)</f>
        <v/>
      </c>
      <c r="AI4519">
        <f>IF('01_Вводные'!$B$234="Да",IF(OR('19_Расчет_аналитики'!AI4491=0,8&lt;='01_Вводные'!$B$297),0,'19_Расчет_аналитики'!AI4491*IF('01_Вводные'!$B$239="Да",MeanMinAge08+'19_Расчет_аналитики'!AI4607*SUMIF(ThresholdAge08,"&lt;"&amp;'19_Расчет_аналитики'!AI4607,WeightedRevAge08)-SUMIF(ThresholdAge08,"&lt;"&amp;'19_Расчет_аналитики'!AI4607,WeightedMinAge08),MAX(CapacityAge08*'01_Вводные'!$B$218*'19_Расчет_аналитики'!AI4607,MeanMinAge08))),0)</f>
        <v/>
      </c>
      <c r="AJ4519">
        <f>IF('01_Вводные'!$B$234="Да",IF(OR('19_Расчет_аналитики'!AJ4491=0,8&lt;='01_Вводные'!$B$297),0,'19_Расчет_аналитики'!AJ4491*IF('01_Вводные'!$B$239="Да",MeanMinAge08+'19_Расчет_аналитики'!AJ4607*SUMIF(ThresholdAge08,"&lt;"&amp;'19_Расчет_аналитики'!AJ4607,WeightedRevAge08)-SUMIF(ThresholdAge08,"&lt;"&amp;'19_Расчет_аналитики'!AJ4607,WeightedMinAge08),MAX(CapacityAge08*'01_Вводные'!$B$218*'19_Расчет_аналитики'!AJ4607,MeanMinAge08))),0)</f>
        <v/>
      </c>
      <c r="AK4519">
        <f>IF('01_Вводные'!$B$234="Да",IF(OR('19_Расчет_аналитики'!AK4491=0,8&lt;='01_Вводные'!$B$297),0,'19_Расчет_аналитики'!AK4491*IF('01_Вводные'!$B$239="Да",MeanMinAge08+'19_Расчет_аналитики'!AK4607*SUMIF(ThresholdAge08,"&lt;"&amp;'19_Расчет_аналитики'!AK4607,WeightedRevAge08)-SUMIF(ThresholdAge08,"&lt;"&amp;'19_Расчет_аналитики'!AK4607,WeightedMinAge08),MAX(CapacityAge08*'01_Вводные'!$B$218*'19_Расчет_аналитики'!AK4607,MeanMinAge08))),0)</f>
        <v/>
      </c>
      <c r="AL4519">
        <f>IF('01_Вводные'!$B$234="Да",IF(OR('19_Расчет_аналитики'!AL4491=0,8&lt;='01_Вводные'!$B$297),0,'19_Расчет_аналитики'!AL4491*IF('01_Вводные'!$B$239="Да",MeanMinAge08+'19_Расчет_аналитики'!AL4607*SUMIF(ThresholdAge08,"&lt;"&amp;'19_Расчет_аналитики'!AL4607,WeightedRevAge08)-SUMIF(ThresholdAge08,"&lt;"&amp;'19_Расчет_аналитики'!AL4607,WeightedMinAge08),MAX(CapacityAge08*'01_Вводные'!$B$218*'19_Расчет_аналитики'!AL4607,MeanMinAge08))),0)</f>
        <v/>
      </c>
      <c r="AM4519">
        <f>IF('01_Вводные'!$B$234="Да",IF(OR('19_Расчет_аналитики'!AM4491=0,8&lt;='01_Вводные'!$B$297),0,'19_Расчет_аналитики'!AM4491*IF('01_Вводные'!$B$239="Да",MeanMinAge08+'19_Расчет_аналитики'!AM4607*SUMIF(ThresholdAge08,"&lt;"&amp;'19_Расчет_аналитики'!AM4607,WeightedRevAge08)-SUMIF(ThresholdAge08,"&lt;"&amp;'19_Расчет_аналитики'!AM4607,WeightedMinAge08),MAX(CapacityAge08*'01_Вводные'!$B$218*'19_Расчет_аналитики'!AM4607,MeanMinAge08))),0)</f>
        <v/>
      </c>
      <c r="AN4519">
        <f>IF('01_Вводные'!$B$234="Да",IF(OR('19_Расчет_аналитики'!AN4491=0,8&lt;='01_Вводные'!$B$297),0,'19_Расчет_аналитики'!AN4491*IF('01_Вводные'!$B$239="Да",MeanMinAge08+'19_Расчет_аналитики'!AN4607*SUMIF(ThresholdAge08,"&lt;"&amp;'19_Расчет_аналитики'!AN4607,WeightedRevAge08)-SUMIF(ThresholdAge08,"&lt;"&amp;'19_Расчет_аналитики'!AN4607,WeightedMinAge08),MAX(CapacityAge08*'01_Вводные'!$B$218*'19_Расчет_аналитики'!AN4607,MeanMinAge08))),0)</f>
        <v/>
      </c>
      <c r="AO4519">
        <f>IF('01_Вводные'!$B$234="Да",IF(OR('19_Расчет_аналитики'!AO4491=0,8&lt;='01_Вводные'!$B$297),0,'19_Расчет_аналитики'!AO4491*IF('01_Вводные'!$B$239="Да",MeanMinAge08+'19_Расчет_аналитики'!AO4607*SUMIF(ThresholdAge08,"&lt;"&amp;'19_Расчет_аналитики'!AO4607,WeightedRevAge08)-SUMIF(ThresholdAge08,"&lt;"&amp;'19_Расчет_аналитики'!AO4607,WeightedMinAge08),MAX(CapacityAge08*'01_Вводные'!$B$218*'19_Расчет_аналитики'!AO4607,MeanMinAge08))),0)</f>
        <v/>
      </c>
      <c r="AP4519">
        <f>IF('01_Вводные'!$B$234="Да",IF(OR('19_Расчет_аналитики'!AP4491=0,8&lt;='01_Вводные'!$B$297),0,'19_Расчет_аналитики'!AP4491*IF('01_Вводные'!$B$239="Да",MeanMinAge08+'19_Расчет_аналитики'!AP4607*SUMIF(ThresholdAge08,"&lt;"&amp;'19_Расчет_аналитики'!AP4607,WeightedRevAge08)-SUMIF(ThresholdAge08,"&lt;"&amp;'19_Расчет_аналитики'!AP4607,WeightedMinAge08),MAX(CapacityAge08*'01_Вводные'!$B$218*'19_Расчет_аналитики'!AP4607,MeanMinAge08))),0)</f>
        <v/>
      </c>
      <c r="AQ4519">
        <f>IF('01_Вводные'!$B$234="Да",IF(OR('19_Расчет_аналитики'!AQ4491=0,8&lt;='01_Вводные'!$B$297),0,'19_Расчет_аналитики'!AQ4491*IF('01_Вводные'!$B$239="Да",MeanMinAge08+'19_Расчет_аналитики'!AQ4607*SUMIF(ThresholdAge08,"&lt;"&amp;'19_Расчет_аналитики'!AQ4607,WeightedRevAge08)-SUMIF(ThresholdAge08,"&lt;"&amp;'19_Расчет_аналитики'!AQ4607,WeightedMinAge08),MAX(CapacityAge08*'01_Вводные'!$B$218*'19_Расчет_аналитики'!AQ4607,MeanMinAge08))),0)</f>
        <v/>
      </c>
      <c r="AR4519">
        <f>IF('01_Вводные'!$B$234="Да",IF(OR('19_Расчет_аналитики'!AR4491=0,8&lt;='01_Вводные'!$B$297),0,'19_Расчет_аналитики'!AR4491*IF('01_Вводные'!$B$239="Да",MeanMinAge08+'19_Расчет_аналитики'!AR4607*SUMIF(ThresholdAge08,"&lt;"&amp;'19_Расчет_аналитики'!AR4607,WeightedRevAge08)-SUMIF(ThresholdAge08,"&lt;"&amp;'19_Расчет_аналитики'!AR4607,WeightedMinAge08),MAX(CapacityAge08*'01_Вводные'!$B$218*'19_Расчет_аналитики'!AR4607,MeanMinAge08))),0)</f>
        <v/>
      </c>
      <c r="AS4519">
        <f>IF('01_Вводные'!$B$234="Да",IF(OR('19_Расчет_аналитики'!AS4491=0,8&lt;='01_Вводные'!$B$297),0,'19_Расчет_аналитики'!AS4491*IF('01_Вводные'!$B$239="Да",MeanMinAge08+'19_Расчет_аналитики'!AS4607*SUMIF(ThresholdAge08,"&lt;"&amp;'19_Расчет_аналитики'!AS4607,WeightedRevAge08)-SUMIF(ThresholdAge08,"&lt;"&amp;'19_Расчет_аналитики'!AS4607,WeightedMinAge08),MAX(CapacityAge08*'01_Вводные'!$B$218*'19_Расчет_аналитики'!AS4607,MeanMinAge08))),0)</f>
        <v/>
      </c>
      <c r="AT4519">
        <f>IF('01_Вводные'!$B$234="Да",IF(OR('19_Расчет_аналитики'!AT4491=0,8&lt;='01_Вводные'!$B$297),0,'19_Расчет_аналитики'!AT4491*IF('01_Вводные'!$B$239="Да",MeanMinAge08+'19_Расчет_аналитики'!AT4607*SUMIF(ThresholdAge08,"&lt;"&amp;'19_Расчет_аналитики'!AT4607,WeightedRevAge08)-SUMIF(ThresholdAge08,"&lt;"&amp;'19_Расчет_аналитики'!AT4607,WeightedMinAge08),MAX(CapacityAge08*'01_Вводные'!$B$218*'19_Расчет_аналитики'!AT4607,MeanMinAge08))),0)</f>
        <v/>
      </c>
      <c r="AU4519">
        <f>IF('01_Вводные'!$B$234="Да",IF(OR('19_Расчет_аналитики'!AU4491=0,8&lt;='01_Вводные'!$B$297),0,'19_Расчет_аналитики'!AU4491*IF('01_Вводные'!$B$239="Да",MeanMinAge08+'19_Расчет_аналитики'!AU4607*SUMIF(ThresholdAge08,"&lt;"&amp;'19_Расчет_аналитики'!AU4607,WeightedRevAge08)-SUMIF(ThresholdAge08,"&lt;"&amp;'19_Расчет_аналитики'!AU4607,WeightedMinAge08),MAX(CapacityAge08*'01_Вводные'!$B$218*'19_Расчет_аналитики'!AU4607,MeanMinAge08))),0)</f>
        <v/>
      </c>
      <c r="AV4519">
        <f>IF('01_Вводные'!$B$234="Да",IF(OR('19_Расчет_аналитики'!AV4491=0,8&lt;='01_Вводные'!$B$297),0,'19_Расчет_аналитики'!AV4491*IF('01_Вводные'!$B$239="Да",MeanMinAge08+'19_Расчет_аналитики'!AV4607*SUMIF(ThresholdAge08,"&lt;"&amp;'19_Расчет_аналитики'!AV4607,WeightedRevAge08)-SUMIF(ThresholdAge08,"&lt;"&amp;'19_Расчет_аналитики'!AV4607,WeightedMinAge08),MAX(CapacityAge08*'01_Вводные'!$B$218*'19_Расчет_аналитики'!AV4607,MeanMinAge08))),0)</f>
        <v/>
      </c>
      <c r="AW4519">
        <f>IF('01_Вводные'!$B$234="Да",IF(OR('19_Расчет_аналитики'!AW4491=0,8&lt;='01_Вводные'!$B$297),0,'19_Расчет_аналитики'!AW4491*IF('01_Вводные'!$B$239="Да",MeanMinAge08+'19_Расчет_аналитики'!AW4607*SUMIF(ThresholdAge08,"&lt;"&amp;'19_Расчет_аналитики'!AW4607,WeightedRevAge08)-SUMIF(ThresholdAge08,"&lt;"&amp;'19_Расчет_аналитики'!AW4607,WeightedMinAge08),MAX(CapacityAge08*'01_Вводные'!$B$218*'19_Расчет_аналитики'!AW4607,MeanMinAge08))),0)</f>
        <v/>
      </c>
      <c r="AX4519">
        <f>IF('01_Вводные'!$B$234="Да",IF(OR('19_Расчет_аналитики'!AX4491=0,8&lt;='01_Вводные'!$B$297),0,'19_Расчет_аналитики'!AX4491*IF('01_Вводные'!$B$239="Да",MeanMinAge08+'19_Расчет_аналитики'!AX4607*SUMIF(ThresholdAge08,"&lt;"&amp;'19_Расчет_аналитики'!AX4607,WeightedRevAge08)-SUMIF(ThresholdAge08,"&lt;"&amp;'19_Расчет_аналитики'!AX4607,WeightedMinAge08),MAX(CapacityAge08*'01_Вводные'!$B$218*'19_Расчет_аналитики'!AX4607,MeanMinAge08))),0)</f>
        <v/>
      </c>
      <c r="AY4519">
        <f>IF('01_Вводные'!$B$234="Да",IF(OR('19_Расчет_аналитики'!AY4491=0,8&lt;='01_Вводные'!$B$297),0,'19_Расчет_аналитики'!AY4491*IF('01_Вводные'!$B$239="Да",MeanMinAge08+'19_Расчет_аналитики'!AY4607*SUMIF(ThresholdAge08,"&lt;"&amp;'19_Расчет_аналитики'!AY4607,WeightedRevAge08)-SUMIF(ThresholdAge08,"&lt;"&amp;'19_Расчет_аналитики'!AY4607,WeightedMinAge08),MAX(CapacityAge08*'01_Вводные'!$B$218*'19_Расчет_аналитики'!AY4607,MeanMinAge08))),0)</f>
        <v/>
      </c>
      <c r="AZ4519">
        <f>IF('01_Вводные'!$B$234="Да",IF(OR('19_Расчет_аналитики'!AZ4491=0,8&lt;='01_Вводные'!$B$297),0,'19_Расчет_аналитики'!AZ4491*IF('01_Вводные'!$B$239="Да",MeanMinAge08+'19_Расчет_аналитики'!AZ4607*SUMIF(ThresholdAge08,"&lt;"&amp;'19_Расчет_аналитики'!AZ4607,WeightedRevAge08)-SUMIF(ThresholdAge08,"&lt;"&amp;'19_Расчет_аналитики'!AZ4607,WeightedMinAge08),MAX(CapacityAge08*'01_Вводные'!$B$218*'19_Расчет_аналитики'!AZ4607,MeanMinAge08))),0)</f>
        <v/>
      </c>
      <c r="BA4519">
        <f>IF('01_Вводные'!$B$234="Да",IF(OR('19_Расчет_аналитики'!BA4491=0,8&lt;='01_Вводные'!$B$297),0,'19_Расчет_аналитики'!BA4491*IF('01_Вводные'!$B$239="Да",MeanMinAge08+'19_Расчет_аналитики'!BA4607*SUMIF(ThresholdAge08,"&lt;"&amp;'19_Расчет_аналитики'!BA4607,WeightedRevAge08)-SUMIF(ThresholdAge08,"&lt;"&amp;'19_Расчет_аналитики'!BA4607,WeightedMinAge08),MAX(CapacityAge08*'01_Вводные'!$B$218*'19_Расчет_аналитики'!BA4607,MeanMinAge08))),0)</f>
        <v/>
      </c>
      <c r="BB4519">
        <f>IF('01_Вводные'!$B$234="Да",IF(OR('19_Расчет_аналитики'!BB4491=0,8&lt;='01_Вводные'!$B$297),0,'19_Расчет_аналитики'!BB4491*IF('01_Вводные'!$B$239="Да",MeanMinAge08+'19_Расчет_аналитики'!BB4607*SUMIF(ThresholdAge08,"&lt;"&amp;'19_Расчет_аналитики'!BB4607,WeightedRevAge08)-SUMIF(ThresholdAge08,"&lt;"&amp;'19_Расчет_аналитики'!BB4607,WeightedMinAge08),MAX(CapacityAge08*'01_Вводные'!$B$218*'19_Расчет_аналитики'!BB4607,MeanMinAge08))),0)</f>
        <v/>
      </c>
      <c r="BC4519">
        <f>IF('01_Вводные'!$B$234="Да",IF(OR('19_Расчет_аналитики'!BC4491=0,8&lt;='01_Вводные'!$B$297),0,'19_Расчет_аналитики'!BC4491*IF('01_Вводные'!$B$239="Да",MeanMinAge08+'19_Расчет_аналитики'!BC4607*SUMIF(ThresholdAge08,"&lt;"&amp;'19_Расчет_аналитики'!BC4607,WeightedRevAge08)-SUMIF(ThresholdAge08,"&lt;"&amp;'19_Расчет_аналитики'!BC4607,WeightedMinAge08),MAX(CapacityAge08*'01_Вводные'!$B$218*'19_Расчет_аналитики'!BC4607,MeanMinAge08))),0)</f>
        <v/>
      </c>
      <c r="BD4519">
        <f>IF('01_Вводные'!$B$234="Да",IF(OR('19_Расчет_аналитики'!BD4491=0,8&lt;='01_Вводные'!$B$297),0,'19_Расчет_аналитики'!BD4491*IF('01_Вводные'!$B$239="Да",MeanMinAge08+'19_Расчет_аналитики'!BD4607*SUMIF(ThresholdAge08,"&lt;"&amp;'19_Расчет_аналитики'!BD4607,WeightedRevAge08)-SUMIF(ThresholdAge08,"&lt;"&amp;'19_Расчет_аналитики'!BD4607,WeightedMinAge08),MAX(CapacityAge08*'01_Вводные'!$B$218*'19_Расчет_аналитики'!BD4607,MeanMinAge08))),0)</f>
        <v/>
      </c>
      <c r="BE4519">
        <f>IF('01_Вводные'!$B$234="Да",IF(OR('19_Расчет_аналитики'!BE4491=0,8&lt;='01_Вводные'!$B$297),0,'19_Расчет_аналитики'!BE4491*IF('01_Вводные'!$B$239="Да",MeanMinAge08+'19_Расчет_аналитики'!BE4607*SUMIF(ThresholdAge08,"&lt;"&amp;'19_Расчет_аналитики'!BE4607,WeightedRevAge08)-SUMIF(ThresholdAge08,"&lt;"&amp;'19_Расчет_аналитики'!BE4607,WeightedMinAge08),MAX(CapacityAge08*'01_Вводные'!$B$218*'19_Расчет_аналитики'!BE4607,MeanMinAge08))),0)</f>
        <v/>
      </c>
      <c r="BF4519">
        <f>IF('01_Вводные'!$B$234="Да",IF(OR('19_Расчет_аналитики'!BF4491=0,8&lt;='01_Вводные'!$B$297),0,'19_Расчет_аналитики'!BF4491*IF('01_Вводные'!$B$239="Да",MeanMinAge08+'19_Расчет_аналитики'!BF4607*SUMIF(ThresholdAge08,"&lt;"&amp;'19_Расчет_аналитики'!BF4607,WeightedRevAge08)-SUMIF(ThresholdAge08,"&lt;"&amp;'19_Расчет_аналитики'!BF4607,WeightedMinAge08),MAX(CapacityAge08*'01_Вводные'!$B$218*'19_Расчет_аналитики'!BF4607,MeanMinAge08))),0)</f>
        <v/>
      </c>
      <c r="BG4519">
        <f>IF('01_Вводные'!$B$234="Да",IF(OR('19_Расчет_аналитики'!BG4491=0,8&lt;='01_Вводные'!$B$297),0,'19_Расчет_аналитики'!BG4491*IF('01_Вводные'!$B$239="Да",MeanMinAge08+'19_Расчет_аналитики'!BG4607*SUMIF(ThresholdAge08,"&lt;"&amp;'19_Расчет_аналитики'!BG4607,WeightedRevAge08)-SUMIF(ThresholdAge08,"&lt;"&amp;'19_Расчет_аналитики'!BG4607,WeightedMinAge08),MAX(CapacityAge08*'01_Вводные'!$B$218*'19_Расчет_аналитики'!BG4607,MeanMinAge08))),0)</f>
        <v/>
      </c>
      <c r="BH4519">
        <f>IF('01_Вводные'!$B$234="Да",IF(OR('19_Расчет_аналитики'!BH4491=0,8&lt;='01_Вводные'!$B$297),0,'19_Расчет_аналитики'!BH4491*IF('01_Вводные'!$B$239="Да",MeanMinAge08+'19_Расчет_аналитики'!BH4607*SUMIF(ThresholdAge08,"&lt;"&amp;'19_Расчет_аналитики'!BH4607,WeightedRevAge08)-SUMIF(ThresholdAge08,"&lt;"&amp;'19_Расчет_аналитики'!BH4607,WeightedMinAge08),MAX(CapacityAge08*'01_Вводные'!$B$218*'19_Расчет_аналитики'!BH4607,MeanMinAge08))),0)</f>
        <v/>
      </c>
      <c r="BI4519">
        <f>IF('01_Вводные'!$B$234="Да",IF(OR('19_Расчет_аналитики'!BI4491=0,8&lt;='01_Вводные'!$B$297),0,'19_Расчет_аналитики'!BI4491*IF('01_Вводные'!$B$239="Да",MeanMinAge08+'19_Расчет_аналитики'!BI4607*SUMIF(ThresholdAge08,"&lt;"&amp;'19_Расчет_аналитики'!BI4607,WeightedRevAge08)-SUMIF(ThresholdAge08,"&lt;"&amp;'19_Расчет_аналитики'!BI4607,WeightedMinAge08),MAX(CapacityAge08*'01_Вводные'!$B$218*'19_Расчет_аналитики'!BI4607,MeanMinAge08))),0)</f>
        <v/>
      </c>
      <c r="BJ4519">
        <f>IF('01_Вводные'!$B$234="Да",IF(OR('19_Расчет_аналитики'!BJ4491=0,8&lt;='01_Вводные'!$B$297),0,'19_Расчет_аналитики'!BJ4491*IF('01_Вводные'!$B$239="Да",MeanMinAge08+'19_Расчет_аналитики'!BJ4607*SUMIF(ThresholdAge08,"&lt;"&amp;'19_Расчет_аналитики'!BJ4607,WeightedRevAge08)-SUMIF(ThresholdAge08,"&lt;"&amp;'19_Расчет_аналитики'!BJ4607,WeightedMinAge08),MAX(CapacityAge08*'01_Вводные'!$B$218*'19_Расчет_аналитики'!BJ4607,MeanMinAge08))),0)</f>
        <v/>
      </c>
      <c r="BK4519">
        <f>IF('01_Вводные'!$B$234="Да",IF(OR('19_Расчет_аналитики'!BK4491=0,8&lt;='01_Вводные'!$B$297),0,'19_Расчет_аналитики'!BK4491*IF('01_Вводные'!$B$239="Да",MeanMinAge08+'19_Расчет_аналитики'!BK4607*SUMIF(ThresholdAge08,"&lt;"&amp;'19_Расчет_аналитики'!BK4607,WeightedRevAge08)-SUMIF(ThresholdAge08,"&lt;"&amp;'19_Расчет_аналитики'!BK4607,WeightedMinAge08),MAX(CapacityAge08*'01_Вводные'!$B$218*'19_Расчет_аналитики'!BK4607,MeanMinAge08))),0)</f>
        <v/>
      </c>
      <c r="BL4519">
        <f>IF('01_Вводные'!$B$234="Да",IF(OR('19_Расчет_аналитики'!BL4491=0,8&lt;='01_Вводные'!$B$297),0,'19_Расчет_аналитики'!BL4491*IF('01_Вводные'!$B$239="Да",MeanMinAge08+'19_Расчет_аналитики'!BL4607*SUMIF(ThresholdAge08,"&lt;"&amp;'19_Расчет_аналитики'!BL4607,WeightedRevAge08)-SUMIF(ThresholdAge08,"&lt;"&amp;'19_Расчет_аналитики'!BL4607,WeightedMinAge08),MAX(CapacityAge08*'01_Вводные'!$B$218*'19_Расчет_аналитики'!BL4607,MeanMinAge08))),0)</f>
        <v/>
      </c>
      <c r="BM4519">
        <f>IF('01_Вводные'!$B$234="Да",IF(OR('19_Расчет_аналитики'!BM4491=0,8&lt;='01_Вводные'!$B$297),0,'19_Расчет_аналитики'!BM4491*IF('01_Вводные'!$B$239="Да",MeanMinAge08+'19_Расчет_аналитики'!BM4607*SUMIF(ThresholdAge08,"&lt;"&amp;'19_Расчет_аналитики'!BM4607,WeightedRevAge08)-SUMIF(ThresholdAge08,"&lt;"&amp;'19_Расчет_аналитики'!BM4607,WeightedMinAge08),MAX(CapacityAge08*'01_Вводные'!$B$218*'19_Расчет_аналитики'!BM4607,MeanMinAge08))),0)</f>
        <v/>
      </c>
      <c r="BN4519">
        <f>IF('01_Вводные'!$B$234="Да",IF(OR('19_Расчет_аналитики'!BN4491=0,8&lt;='01_Вводные'!$B$297),0,'19_Расчет_аналитики'!BN4491*IF('01_Вводные'!$B$239="Да",MeanMinAge08+'19_Расчет_аналитики'!BN4607*SUMIF(ThresholdAge08,"&lt;"&amp;'19_Расчет_аналитики'!BN4607,WeightedRevAge08)-SUMIF(ThresholdAge08,"&lt;"&amp;'19_Расчет_аналитики'!BN4607,WeightedMinAge08),MAX(CapacityAge08*'01_Вводные'!$B$218*'19_Расчет_аналитики'!BN4607,MeanMinAge08))),0)</f>
        <v/>
      </c>
      <c r="BO4519">
        <f>IF('01_Вводные'!$B$234="Да",IF(OR('19_Расчет_аналитики'!BO4491=0,8&lt;='01_Вводные'!$B$297),0,'19_Расчет_аналитики'!BO4491*IF('01_Вводные'!$B$239="Да",MeanMinAge08+'19_Расчет_аналитики'!BO4607*SUMIF(ThresholdAge08,"&lt;"&amp;'19_Расчет_аналитики'!BO4607,WeightedRevAge08)-SUMIF(ThresholdAge08,"&lt;"&amp;'19_Расчет_аналитики'!BO4607,WeightedMinAge08),MAX(CapacityAge08*'01_Вводные'!$B$218*'19_Расчет_аналитики'!BO4607,MeanMinAge08))),0)</f>
        <v/>
      </c>
    </row>
    <row r="4520">
      <c r="B4520">
        <f>IF('01_Вводные'!$B$234="Да",IF(OR('06_Сеть_и_дети'!B89=0,9&lt;='01_Вводные'!$B$297),0,'06_Сеть_и_дети'!B89*IF('01_Вводные'!$B$239="Да",MeanMinAge09+'19_Расчет_аналитики'!B4607*SUMIF(ThresholdAge09,"&lt;"&amp;'19_Расчет_аналитики'!B4607,WeightedRevAge09)-SUMIF(ThresholdAge09,"&lt;"&amp;'19_Расчет_аналитики'!B4607,WeightedMinAge09),MAX(CapacityAge09*'01_Вводные'!$B$218*'19_Расчет_аналитики'!B4607,MeanMinAge09))),0)</f>
        <v/>
      </c>
      <c r="C4520">
        <f>IF('01_Вводные'!$B$234="Да",IF(OR('06_Сеть_и_дети'!C89=0,9&lt;='01_Вводные'!$B$297),0,'06_Сеть_и_дети'!C89*IF('01_Вводные'!$B$239="Да",MeanMinAge09+'19_Расчет_аналитики'!C4607*SUMIF(ThresholdAge09,"&lt;"&amp;'19_Расчет_аналитики'!C4607,WeightedRevAge09)-SUMIF(ThresholdAge09,"&lt;"&amp;'19_Расчет_аналитики'!C4607,WeightedMinAge09),MAX(CapacityAge09*'01_Вводные'!$B$218*'19_Расчет_аналитики'!C4607,MeanMinAge09))),0)</f>
        <v/>
      </c>
      <c r="D4520">
        <f>IF('01_Вводные'!$B$234="Да",IF(OR('06_Сеть_и_дети'!D89=0,9&lt;='01_Вводные'!$B$297),0,'06_Сеть_и_дети'!D89*IF('01_Вводные'!$B$239="Да",MeanMinAge09+'19_Расчет_аналитики'!D4607*SUMIF(ThresholdAge09,"&lt;"&amp;'19_Расчет_аналитики'!D4607,WeightedRevAge09)-SUMIF(ThresholdAge09,"&lt;"&amp;'19_Расчет_аналитики'!D4607,WeightedMinAge09),MAX(CapacityAge09*'01_Вводные'!$B$218*'19_Расчет_аналитики'!D4607,MeanMinAge09))),0)</f>
        <v/>
      </c>
      <c r="E4520">
        <f>IF('01_Вводные'!$B$234="Да",IF(OR('06_Сеть_и_дети'!E89=0,9&lt;='01_Вводные'!$B$297),0,'06_Сеть_и_дети'!E89*IF('01_Вводные'!$B$239="Да",MeanMinAge09+'19_Расчет_аналитики'!E4607*SUMIF(ThresholdAge09,"&lt;"&amp;'19_Расчет_аналитики'!E4607,WeightedRevAge09)-SUMIF(ThresholdAge09,"&lt;"&amp;'19_Расчет_аналитики'!E4607,WeightedMinAge09),MAX(CapacityAge09*'01_Вводные'!$B$218*'19_Расчет_аналитики'!E4607,MeanMinAge09))),0)</f>
        <v/>
      </c>
      <c r="F4520">
        <f>IF('01_Вводные'!$B$234="Да",IF(OR('06_Сеть_и_дети'!F89=0,9&lt;='01_Вводные'!$B$297),0,'06_Сеть_и_дети'!F89*IF('01_Вводные'!$B$239="Да",MeanMinAge09+'19_Расчет_аналитики'!F4607*SUMIF(ThresholdAge09,"&lt;"&amp;'19_Расчет_аналитики'!F4607,WeightedRevAge09)-SUMIF(ThresholdAge09,"&lt;"&amp;'19_Расчет_аналитики'!F4607,WeightedMinAge09),MAX(CapacityAge09*'01_Вводные'!$B$218*'19_Расчет_аналитики'!F4607,MeanMinAge09))),0)</f>
        <v/>
      </c>
      <c r="G4520">
        <f>IF('01_Вводные'!$B$234="Да",IF(OR('06_Сеть_и_дети'!G89=0,9&lt;='01_Вводные'!$B$297),0,'06_Сеть_и_дети'!G89*IF('01_Вводные'!$B$239="Да",MeanMinAge09+'19_Расчет_аналитики'!G4607*SUMIF(ThresholdAge09,"&lt;"&amp;'19_Расчет_аналитики'!G4607,WeightedRevAge09)-SUMIF(ThresholdAge09,"&lt;"&amp;'19_Расчет_аналитики'!G4607,WeightedMinAge09),MAX(CapacityAge09*'01_Вводные'!$B$218*'19_Расчет_аналитики'!G4607,MeanMinAge09))),0)</f>
        <v/>
      </c>
      <c r="H4520">
        <f>IF('01_Вводные'!$B$234="Да",IF(OR('06_Сеть_и_дети'!H89=0,9&lt;='01_Вводные'!$B$297),0,'06_Сеть_и_дети'!H89*IF('01_Вводные'!$B$239="Да",MeanMinAge09+'19_Расчет_аналитики'!H4607*SUMIF(ThresholdAge09,"&lt;"&amp;'19_Расчет_аналитики'!H4607,WeightedRevAge09)-SUMIF(ThresholdAge09,"&lt;"&amp;'19_Расчет_аналитики'!H4607,WeightedMinAge09),MAX(CapacityAge09*'01_Вводные'!$B$218*'19_Расчет_аналитики'!H4607,MeanMinAge09))),0)</f>
        <v/>
      </c>
      <c r="I4520">
        <f>IF('01_Вводные'!$B$234="Да",IF(OR('06_Сеть_и_дети'!I89=0,9&lt;='01_Вводные'!$B$297),0,'06_Сеть_и_дети'!I89*IF('01_Вводные'!$B$239="Да",MeanMinAge09+'19_Расчет_аналитики'!I4607*SUMIF(ThresholdAge09,"&lt;"&amp;'19_Расчет_аналитики'!I4607,WeightedRevAge09)-SUMIF(ThresholdAge09,"&lt;"&amp;'19_Расчет_аналитики'!I4607,WeightedMinAge09),MAX(CapacityAge09*'01_Вводные'!$B$218*'19_Расчет_аналитики'!I4607,MeanMinAge09))),0)</f>
        <v/>
      </c>
      <c r="J4520">
        <f>IF('01_Вводные'!$B$234="Да",IF(OR('19_Расчет_аналитики'!J4492=0,9&lt;='01_Вводные'!$B$297),0,'19_Расчет_аналитики'!J4492*IF('01_Вводные'!$B$239="Да",MeanMinAge09+'19_Расчет_аналитики'!J4607*SUMIF(ThresholdAge09,"&lt;"&amp;'19_Расчет_аналитики'!J4607,WeightedRevAge09)-SUMIF(ThresholdAge09,"&lt;"&amp;'19_Расчет_аналитики'!J4607,WeightedMinAge09),MAX(CapacityAge09*'01_Вводные'!$B$218*'19_Расчет_аналитики'!J4607,MeanMinAge09))),0)</f>
        <v/>
      </c>
      <c r="K4520">
        <f>IF('01_Вводные'!$B$234="Да",IF(OR('19_Расчет_аналитики'!K4492=0,9&lt;='01_Вводные'!$B$297),0,'19_Расчет_аналитики'!K4492*IF('01_Вводные'!$B$239="Да",MeanMinAge09+'19_Расчет_аналитики'!K4607*SUMIF(ThresholdAge09,"&lt;"&amp;'19_Расчет_аналитики'!K4607,WeightedRevAge09)-SUMIF(ThresholdAge09,"&lt;"&amp;'19_Расчет_аналитики'!K4607,WeightedMinAge09),MAX(CapacityAge09*'01_Вводные'!$B$218*'19_Расчет_аналитики'!K4607,MeanMinAge09))),0)</f>
        <v/>
      </c>
      <c r="L4520">
        <f>IF('01_Вводные'!$B$234="Да",IF(OR('19_Расчет_аналитики'!L4492=0,9&lt;='01_Вводные'!$B$297),0,'19_Расчет_аналитики'!L4492*IF('01_Вводные'!$B$239="Да",MeanMinAge09+'19_Расчет_аналитики'!L4607*SUMIF(ThresholdAge09,"&lt;"&amp;'19_Расчет_аналитики'!L4607,WeightedRevAge09)-SUMIF(ThresholdAge09,"&lt;"&amp;'19_Расчет_аналитики'!L4607,WeightedMinAge09),MAX(CapacityAge09*'01_Вводные'!$B$218*'19_Расчет_аналитики'!L4607,MeanMinAge09))),0)</f>
        <v/>
      </c>
      <c r="M4520">
        <f>IF('01_Вводные'!$B$234="Да",IF(OR('19_Расчет_аналитики'!M4492=0,9&lt;='01_Вводные'!$B$297),0,'19_Расчет_аналитики'!M4492*IF('01_Вводные'!$B$239="Да",MeanMinAge09+'19_Расчет_аналитики'!M4607*SUMIF(ThresholdAge09,"&lt;"&amp;'19_Расчет_аналитики'!M4607,WeightedRevAge09)-SUMIF(ThresholdAge09,"&lt;"&amp;'19_Расчет_аналитики'!M4607,WeightedMinAge09),MAX(CapacityAge09*'01_Вводные'!$B$218*'19_Расчет_аналитики'!M4607,MeanMinAge09))),0)</f>
        <v/>
      </c>
      <c r="N4520">
        <f>IF('01_Вводные'!$B$234="Да",IF(OR('19_Расчет_аналитики'!N4492=0,9&lt;='01_Вводные'!$B$297),0,'19_Расчет_аналитики'!N4492*IF('01_Вводные'!$B$239="Да",MeanMinAge09+'19_Расчет_аналитики'!N4607*SUMIF(ThresholdAge09,"&lt;"&amp;'19_Расчет_аналитики'!N4607,WeightedRevAge09)-SUMIF(ThresholdAge09,"&lt;"&amp;'19_Расчет_аналитики'!N4607,WeightedMinAge09),MAX(CapacityAge09*'01_Вводные'!$B$218*'19_Расчет_аналитики'!N4607,MeanMinAge09))),0)</f>
        <v/>
      </c>
      <c r="O4520">
        <f>IF('01_Вводные'!$B$234="Да",IF(OR('19_Расчет_аналитики'!O4492=0,9&lt;='01_Вводные'!$B$297),0,'19_Расчет_аналитики'!O4492*IF('01_Вводные'!$B$239="Да",MeanMinAge09+'19_Расчет_аналитики'!O4607*SUMIF(ThresholdAge09,"&lt;"&amp;'19_Расчет_аналитики'!O4607,WeightedRevAge09)-SUMIF(ThresholdAge09,"&lt;"&amp;'19_Расчет_аналитики'!O4607,WeightedMinAge09),MAX(CapacityAge09*'01_Вводные'!$B$218*'19_Расчет_аналитики'!O4607,MeanMinAge09))),0)</f>
        <v/>
      </c>
      <c r="P4520">
        <f>IF('01_Вводные'!$B$234="Да",IF(OR('19_Расчет_аналитики'!P4492=0,9&lt;='01_Вводные'!$B$297),0,'19_Расчет_аналитики'!P4492*IF('01_Вводные'!$B$239="Да",MeanMinAge09+'19_Расчет_аналитики'!P4607*SUMIF(ThresholdAge09,"&lt;"&amp;'19_Расчет_аналитики'!P4607,WeightedRevAge09)-SUMIF(ThresholdAge09,"&lt;"&amp;'19_Расчет_аналитики'!P4607,WeightedMinAge09),MAX(CapacityAge09*'01_Вводные'!$B$218*'19_Расчет_аналитики'!P4607,MeanMinAge09))),0)</f>
        <v/>
      </c>
      <c r="Q4520">
        <f>IF('01_Вводные'!$B$234="Да",IF(OR('19_Расчет_аналитики'!Q4492=0,9&lt;='01_Вводные'!$B$297),0,'19_Расчет_аналитики'!Q4492*IF('01_Вводные'!$B$239="Да",MeanMinAge09+'19_Расчет_аналитики'!Q4607*SUMIF(ThresholdAge09,"&lt;"&amp;'19_Расчет_аналитики'!Q4607,WeightedRevAge09)-SUMIF(ThresholdAge09,"&lt;"&amp;'19_Расчет_аналитики'!Q4607,WeightedMinAge09),MAX(CapacityAge09*'01_Вводные'!$B$218*'19_Расчет_аналитики'!Q4607,MeanMinAge09))),0)</f>
        <v/>
      </c>
      <c r="R4520">
        <f>IF('01_Вводные'!$B$234="Да",IF(OR('19_Расчет_аналитики'!R4492=0,9&lt;='01_Вводные'!$B$297),0,'19_Расчет_аналитики'!R4492*IF('01_Вводные'!$B$239="Да",MeanMinAge09+'19_Расчет_аналитики'!R4607*SUMIF(ThresholdAge09,"&lt;"&amp;'19_Расчет_аналитики'!R4607,WeightedRevAge09)-SUMIF(ThresholdAge09,"&lt;"&amp;'19_Расчет_аналитики'!R4607,WeightedMinAge09),MAX(CapacityAge09*'01_Вводные'!$B$218*'19_Расчет_аналитики'!R4607,MeanMinAge09))),0)</f>
        <v/>
      </c>
      <c r="S4520">
        <f>IF('01_Вводные'!$B$234="Да",IF(OR('19_Расчет_аналитики'!S4492=0,9&lt;='01_Вводные'!$B$297),0,'19_Расчет_аналитики'!S4492*IF('01_Вводные'!$B$239="Да",MeanMinAge09+'19_Расчет_аналитики'!S4607*SUMIF(ThresholdAge09,"&lt;"&amp;'19_Расчет_аналитики'!S4607,WeightedRevAge09)-SUMIF(ThresholdAge09,"&lt;"&amp;'19_Расчет_аналитики'!S4607,WeightedMinAge09),MAX(CapacityAge09*'01_Вводные'!$B$218*'19_Расчет_аналитики'!S4607,MeanMinAge09))),0)</f>
        <v/>
      </c>
      <c r="T4520">
        <f>IF('01_Вводные'!$B$234="Да",IF(OR('19_Расчет_аналитики'!T4492=0,9&lt;='01_Вводные'!$B$297),0,'19_Расчет_аналитики'!T4492*IF('01_Вводные'!$B$239="Да",MeanMinAge09+'19_Расчет_аналитики'!T4607*SUMIF(ThresholdAge09,"&lt;"&amp;'19_Расчет_аналитики'!T4607,WeightedRevAge09)-SUMIF(ThresholdAge09,"&lt;"&amp;'19_Расчет_аналитики'!T4607,WeightedMinAge09),MAX(CapacityAge09*'01_Вводные'!$B$218*'19_Расчет_аналитики'!T4607,MeanMinAge09))),0)</f>
        <v/>
      </c>
      <c r="U4520">
        <f>IF('01_Вводные'!$B$234="Да",IF(OR('19_Расчет_аналитики'!U4492=0,9&lt;='01_Вводные'!$B$297),0,'19_Расчет_аналитики'!U4492*IF('01_Вводные'!$B$239="Да",MeanMinAge09+'19_Расчет_аналитики'!U4607*SUMIF(ThresholdAge09,"&lt;"&amp;'19_Расчет_аналитики'!U4607,WeightedRevAge09)-SUMIF(ThresholdAge09,"&lt;"&amp;'19_Расчет_аналитики'!U4607,WeightedMinAge09),MAX(CapacityAge09*'01_Вводные'!$B$218*'19_Расчет_аналитики'!U4607,MeanMinAge09))),0)</f>
        <v/>
      </c>
      <c r="V4520">
        <f>IF('01_Вводные'!$B$234="Да",IF(OR('19_Расчет_аналитики'!V4492=0,9&lt;='01_Вводные'!$B$297),0,'19_Расчет_аналитики'!V4492*IF('01_Вводные'!$B$239="Да",MeanMinAge09+'19_Расчет_аналитики'!V4607*SUMIF(ThresholdAge09,"&lt;"&amp;'19_Расчет_аналитики'!V4607,WeightedRevAge09)-SUMIF(ThresholdAge09,"&lt;"&amp;'19_Расчет_аналитики'!V4607,WeightedMinAge09),MAX(CapacityAge09*'01_Вводные'!$B$218*'19_Расчет_аналитики'!V4607,MeanMinAge09))),0)</f>
        <v/>
      </c>
      <c r="W4520">
        <f>IF('01_Вводные'!$B$234="Да",IF(OR('19_Расчет_аналитики'!W4492=0,9&lt;='01_Вводные'!$B$297),0,'19_Расчет_аналитики'!W4492*IF('01_Вводные'!$B$239="Да",MeanMinAge09+'19_Расчет_аналитики'!W4607*SUMIF(ThresholdAge09,"&lt;"&amp;'19_Расчет_аналитики'!W4607,WeightedRevAge09)-SUMIF(ThresholdAge09,"&lt;"&amp;'19_Расчет_аналитики'!W4607,WeightedMinAge09),MAX(CapacityAge09*'01_Вводные'!$B$218*'19_Расчет_аналитики'!W4607,MeanMinAge09))),0)</f>
        <v/>
      </c>
      <c r="X4520">
        <f>IF('01_Вводные'!$B$234="Да",IF(OR('19_Расчет_аналитики'!X4492=0,9&lt;='01_Вводные'!$B$297),0,'19_Расчет_аналитики'!X4492*IF('01_Вводные'!$B$239="Да",MeanMinAge09+'19_Расчет_аналитики'!X4607*SUMIF(ThresholdAge09,"&lt;"&amp;'19_Расчет_аналитики'!X4607,WeightedRevAge09)-SUMIF(ThresholdAge09,"&lt;"&amp;'19_Расчет_аналитики'!X4607,WeightedMinAge09),MAX(CapacityAge09*'01_Вводные'!$B$218*'19_Расчет_аналитики'!X4607,MeanMinAge09))),0)</f>
        <v/>
      </c>
      <c r="Y4520">
        <f>IF('01_Вводные'!$B$234="Да",IF(OR('19_Расчет_аналитики'!Y4492=0,9&lt;='01_Вводные'!$B$297),0,'19_Расчет_аналитики'!Y4492*IF('01_Вводные'!$B$239="Да",MeanMinAge09+'19_Расчет_аналитики'!Y4607*SUMIF(ThresholdAge09,"&lt;"&amp;'19_Расчет_аналитики'!Y4607,WeightedRevAge09)-SUMIF(ThresholdAge09,"&lt;"&amp;'19_Расчет_аналитики'!Y4607,WeightedMinAge09),MAX(CapacityAge09*'01_Вводные'!$B$218*'19_Расчет_аналитики'!Y4607,MeanMinAge09))),0)</f>
        <v/>
      </c>
      <c r="Z4520">
        <f>IF('01_Вводные'!$B$234="Да",IF(OR('19_Расчет_аналитики'!Z4492=0,9&lt;='01_Вводные'!$B$297),0,'19_Расчет_аналитики'!Z4492*IF('01_Вводные'!$B$239="Да",MeanMinAge09+'19_Расчет_аналитики'!Z4607*SUMIF(ThresholdAge09,"&lt;"&amp;'19_Расчет_аналитики'!Z4607,WeightedRevAge09)-SUMIF(ThresholdAge09,"&lt;"&amp;'19_Расчет_аналитики'!Z4607,WeightedMinAge09),MAX(CapacityAge09*'01_Вводные'!$B$218*'19_Расчет_аналитики'!Z4607,MeanMinAge09))),0)</f>
        <v/>
      </c>
      <c r="AA4520">
        <f>IF('01_Вводные'!$B$234="Да",IF(OR('19_Расчет_аналитики'!AA4492=0,9&lt;='01_Вводные'!$B$297),0,'19_Расчет_аналитики'!AA4492*IF('01_Вводные'!$B$239="Да",MeanMinAge09+'19_Расчет_аналитики'!AA4607*SUMIF(ThresholdAge09,"&lt;"&amp;'19_Расчет_аналитики'!AA4607,WeightedRevAge09)-SUMIF(ThresholdAge09,"&lt;"&amp;'19_Расчет_аналитики'!AA4607,WeightedMinAge09),MAX(CapacityAge09*'01_Вводные'!$B$218*'19_Расчет_аналитики'!AA4607,MeanMinAge09))),0)</f>
        <v/>
      </c>
      <c r="AB4520">
        <f>IF('01_Вводные'!$B$234="Да",IF(OR('19_Расчет_аналитики'!AB4492=0,9&lt;='01_Вводные'!$B$297),0,'19_Расчет_аналитики'!AB4492*IF('01_Вводные'!$B$239="Да",MeanMinAge09+'19_Расчет_аналитики'!AB4607*SUMIF(ThresholdAge09,"&lt;"&amp;'19_Расчет_аналитики'!AB4607,WeightedRevAge09)-SUMIF(ThresholdAge09,"&lt;"&amp;'19_Расчет_аналитики'!AB4607,WeightedMinAge09),MAX(CapacityAge09*'01_Вводные'!$B$218*'19_Расчет_аналитики'!AB4607,MeanMinAge09))),0)</f>
        <v/>
      </c>
      <c r="AC4520">
        <f>IF('01_Вводные'!$B$234="Да",IF(OR('19_Расчет_аналитики'!AC4492=0,9&lt;='01_Вводные'!$B$297),0,'19_Расчет_аналитики'!AC4492*IF('01_Вводные'!$B$239="Да",MeanMinAge09+'19_Расчет_аналитики'!AC4607*SUMIF(ThresholdAge09,"&lt;"&amp;'19_Расчет_аналитики'!AC4607,WeightedRevAge09)-SUMIF(ThresholdAge09,"&lt;"&amp;'19_Расчет_аналитики'!AC4607,WeightedMinAge09),MAX(CapacityAge09*'01_Вводные'!$B$218*'19_Расчет_аналитики'!AC4607,MeanMinAge09))),0)</f>
        <v/>
      </c>
      <c r="AD4520">
        <f>IF('01_Вводные'!$B$234="Да",IF(OR('19_Расчет_аналитики'!AD4492=0,9&lt;='01_Вводные'!$B$297),0,'19_Расчет_аналитики'!AD4492*IF('01_Вводные'!$B$239="Да",MeanMinAge09+'19_Расчет_аналитики'!AD4607*SUMIF(ThresholdAge09,"&lt;"&amp;'19_Расчет_аналитики'!AD4607,WeightedRevAge09)-SUMIF(ThresholdAge09,"&lt;"&amp;'19_Расчет_аналитики'!AD4607,WeightedMinAge09),MAX(CapacityAge09*'01_Вводные'!$B$218*'19_Расчет_аналитики'!AD4607,MeanMinAge09))),0)</f>
        <v/>
      </c>
      <c r="AE4520">
        <f>IF('01_Вводные'!$B$234="Да",IF(OR('19_Расчет_аналитики'!AE4492=0,9&lt;='01_Вводные'!$B$297),0,'19_Расчет_аналитики'!AE4492*IF('01_Вводные'!$B$239="Да",MeanMinAge09+'19_Расчет_аналитики'!AE4607*SUMIF(ThresholdAge09,"&lt;"&amp;'19_Расчет_аналитики'!AE4607,WeightedRevAge09)-SUMIF(ThresholdAge09,"&lt;"&amp;'19_Расчет_аналитики'!AE4607,WeightedMinAge09),MAX(CapacityAge09*'01_Вводные'!$B$218*'19_Расчет_аналитики'!AE4607,MeanMinAge09))),0)</f>
        <v/>
      </c>
      <c r="AF4520">
        <f>IF('01_Вводные'!$B$234="Да",IF(OR('19_Расчет_аналитики'!AF4492=0,9&lt;='01_Вводные'!$B$297),0,'19_Расчет_аналитики'!AF4492*IF('01_Вводные'!$B$239="Да",MeanMinAge09+'19_Расчет_аналитики'!AF4607*SUMIF(ThresholdAge09,"&lt;"&amp;'19_Расчет_аналитики'!AF4607,WeightedRevAge09)-SUMIF(ThresholdAge09,"&lt;"&amp;'19_Расчет_аналитики'!AF4607,WeightedMinAge09),MAX(CapacityAge09*'01_Вводные'!$B$218*'19_Расчет_аналитики'!AF4607,MeanMinAge09))),0)</f>
        <v/>
      </c>
      <c r="AG4520">
        <f>IF('01_Вводные'!$B$234="Да",IF(OR('19_Расчет_аналитики'!AG4492=0,9&lt;='01_Вводные'!$B$297),0,'19_Расчет_аналитики'!AG4492*IF('01_Вводные'!$B$239="Да",MeanMinAge09+'19_Расчет_аналитики'!AG4607*SUMIF(ThresholdAge09,"&lt;"&amp;'19_Расчет_аналитики'!AG4607,WeightedRevAge09)-SUMIF(ThresholdAge09,"&lt;"&amp;'19_Расчет_аналитики'!AG4607,WeightedMinAge09),MAX(CapacityAge09*'01_Вводные'!$B$218*'19_Расчет_аналитики'!AG4607,MeanMinAge09))),0)</f>
        <v/>
      </c>
      <c r="AH4520">
        <f>IF('01_Вводные'!$B$234="Да",IF(OR('19_Расчет_аналитики'!AH4492=0,9&lt;='01_Вводные'!$B$297),0,'19_Расчет_аналитики'!AH4492*IF('01_Вводные'!$B$239="Да",MeanMinAge09+'19_Расчет_аналитики'!AH4607*SUMIF(ThresholdAge09,"&lt;"&amp;'19_Расчет_аналитики'!AH4607,WeightedRevAge09)-SUMIF(ThresholdAge09,"&lt;"&amp;'19_Расчет_аналитики'!AH4607,WeightedMinAge09),MAX(CapacityAge09*'01_Вводные'!$B$218*'19_Расчет_аналитики'!AH4607,MeanMinAge09))),0)</f>
        <v/>
      </c>
      <c r="AI4520">
        <f>IF('01_Вводные'!$B$234="Да",IF(OR('19_Расчет_аналитики'!AI4492=0,9&lt;='01_Вводные'!$B$297),0,'19_Расчет_аналитики'!AI4492*IF('01_Вводные'!$B$239="Да",MeanMinAge09+'19_Расчет_аналитики'!AI4607*SUMIF(ThresholdAge09,"&lt;"&amp;'19_Расчет_аналитики'!AI4607,WeightedRevAge09)-SUMIF(ThresholdAge09,"&lt;"&amp;'19_Расчет_аналитики'!AI4607,WeightedMinAge09),MAX(CapacityAge09*'01_Вводные'!$B$218*'19_Расчет_аналитики'!AI4607,MeanMinAge09))),0)</f>
        <v/>
      </c>
      <c r="AJ4520">
        <f>IF('01_Вводные'!$B$234="Да",IF(OR('19_Расчет_аналитики'!AJ4492=0,9&lt;='01_Вводные'!$B$297),0,'19_Расчет_аналитики'!AJ4492*IF('01_Вводные'!$B$239="Да",MeanMinAge09+'19_Расчет_аналитики'!AJ4607*SUMIF(ThresholdAge09,"&lt;"&amp;'19_Расчет_аналитики'!AJ4607,WeightedRevAge09)-SUMIF(ThresholdAge09,"&lt;"&amp;'19_Расчет_аналитики'!AJ4607,WeightedMinAge09),MAX(CapacityAge09*'01_Вводные'!$B$218*'19_Расчет_аналитики'!AJ4607,MeanMinAge09))),0)</f>
        <v/>
      </c>
      <c r="AK4520">
        <f>IF('01_Вводные'!$B$234="Да",IF(OR('19_Расчет_аналитики'!AK4492=0,9&lt;='01_Вводные'!$B$297),0,'19_Расчет_аналитики'!AK4492*IF('01_Вводные'!$B$239="Да",MeanMinAge09+'19_Расчет_аналитики'!AK4607*SUMIF(ThresholdAge09,"&lt;"&amp;'19_Расчет_аналитики'!AK4607,WeightedRevAge09)-SUMIF(ThresholdAge09,"&lt;"&amp;'19_Расчет_аналитики'!AK4607,WeightedMinAge09),MAX(CapacityAge09*'01_Вводные'!$B$218*'19_Расчет_аналитики'!AK4607,MeanMinAge09))),0)</f>
        <v/>
      </c>
      <c r="AL4520">
        <f>IF('01_Вводные'!$B$234="Да",IF(OR('19_Расчет_аналитики'!AL4492=0,9&lt;='01_Вводные'!$B$297),0,'19_Расчет_аналитики'!AL4492*IF('01_Вводные'!$B$239="Да",MeanMinAge09+'19_Расчет_аналитики'!AL4607*SUMIF(ThresholdAge09,"&lt;"&amp;'19_Расчет_аналитики'!AL4607,WeightedRevAge09)-SUMIF(ThresholdAge09,"&lt;"&amp;'19_Расчет_аналитики'!AL4607,WeightedMinAge09),MAX(CapacityAge09*'01_Вводные'!$B$218*'19_Расчет_аналитики'!AL4607,MeanMinAge09))),0)</f>
        <v/>
      </c>
      <c r="AM4520">
        <f>IF('01_Вводные'!$B$234="Да",IF(OR('19_Расчет_аналитики'!AM4492=0,9&lt;='01_Вводные'!$B$297),0,'19_Расчет_аналитики'!AM4492*IF('01_Вводные'!$B$239="Да",MeanMinAge09+'19_Расчет_аналитики'!AM4607*SUMIF(ThresholdAge09,"&lt;"&amp;'19_Расчет_аналитики'!AM4607,WeightedRevAge09)-SUMIF(ThresholdAge09,"&lt;"&amp;'19_Расчет_аналитики'!AM4607,WeightedMinAge09),MAX(CapacityAge09*'01_Вводные'!$B$218*'19_Расчет_аналитики'!AM4607,MeanMinAge09))),0)</f>
        <v/>
      </c>
      <c r="AN4520">
        <f>IF('01_Вводные'!$B$234="Да",IF(OR('19_Расчет_аналитики'!AN4492=0,9&lt;='01_Вводные'!$B$297),0,'19_Расчет_аналитики'!AN4492*IF('01_Вводные'!$B$239="Да",MeanMinAge09+'19_Расчет_аналитики'!AN4607*SUMIF(ThresholdAge09,"&lt;"&amp;'19_Расчет_аналитики'!AN4607,WeightedRevAge09)-SUMIF(ThresholdAge09,"&lt;"&amp;'19_Расчет_аналитики'!AN4607,WeightedMinAge09),MAX(CapacityAge09*'01_Вводные'!$B$218*'19_Расчет_аналитики'!AN4607,MeanMinAge09))),0)</f>
        <v/>
      </c>
      <c r="AO4520">
        <f>IF('01_Вводные'!$B$234="Да",IF(OR('19_Расчет_аналитики'!AO4492=0,9&lt;='01_Вводные'!$B$297),0,'19_Расчет_аналитики'!AO4492*IF('01_Вводные'!$B$239="Да",MeanMinAge09+'19_Расчет_аналитики'!AO4607*SUMIF(ThresholdAge09,"&lt;"&amp;'19_Расчет_аналитики'!AO4607,WeightedRevAge09)-SUMIF(ThresholdAge09,"&lt;"&amp;'19_Расчет_аналитики'!AO4607,WeightedMinAge09),MAX(CapacityAge09*'01_Вводные'!$B$218*'19_Расчет_аналитики'!AO4607,MeanMinAge09))),0)</f>
        <v/>
      </c>
      <c r="AP4520">
        <f>IF('01_Вводные'!$B$234="Да",IF(OR('19_Расчет_аналитики'!AP4492=0,9&lt;='01_Вводные'!$B$297),0,'19_Расчет_аналитики'!AP4492*IF('01_Вводные'!$B$239="Да",MeanMinAge09+'19_Расчет_аналитики'!AP4607*SUMIF(ThresholdAge09,"&lt;"&amp;'19_Расчет_аналитики'!AP4607,WeightedRevAge09)-SUMIF(ThresholdAge09,"&lt;"&amp;'19_Расчет_аналитики'!AP4607,WeightedMinAge09),MAX(CapacityAge09*'01_Вводные'!$B$218*'19_Расчет_аналитики'!AP4607,MeanMinAge09))),0)</f>
        <v/>
      </c>
      <c r="AQ4520">
        <f>IF('01_Вводные'!$B$234="Да",IF(OR('19_Расчет_аналитики'!AQ4492=0,9&lt;='01_Вводные'!$B$297),0,'19_Расчет_аналитики'!AQ4492*IF('01_Вводные'!$B$239="Да",MeanMinAge09+'19_Расчет_аналитики'!AQ4607*SUMIF(ThresholdAge09,"&lt;"&amp;'19_Расчет_аналитики'!AQ4607,WeightedRevAge09)-SUMIF(ThresholdAge09,"&lt;"&amp;'19_Расчет_аналитики'!AQ4607,WeightedMinAge09),MAX(CapacityAge09*'01_Вводные'!$B$218*'19_Расчет_аналитики'!AQ4607,MeanMinAge09))),0)</f>
        <v/>
      </c>
      <c r="AR4520">
        <f>IF('01_Вводные'!$B$234="Да",IF(OR('19_Расчет_аналитики'!AR4492=0,9&lt;='01_Вводные'!$B$297),0,'19_Расчет_аналитики'!AR4492*IF('01_Вводные'!$B$239="Да",MeanMinAge09+'19_Расчет_аналитики'!AR4607*SUMIF(ThresholdAge09,"&lt;"&amp;'19_Расчет_аналитики'!AR4607,WeightedRevAge09)-SUMIF(ThresholdAge09,"&lt;"&amp;'19_Расчет_аналитики'!AR4607,WeightedMinAge09),MAX(CapacityAge09*'01_Вводные'!$B$218*'19_Расчет_аналитики'!AR4607,MeanMinAge09))),0)</f>
        <v/>
      </c>
      <c r="AS4520">
        <f>IF('01_Вводные'!$B$234="Да",IF(OR('19_Расчет_аналитики'!AS4492=0,9&lt;='01_Вводные'!$B$297),0,'19_Расчет_аналитики'!AS4492*IF('01_Вводные'!$B$239="Да",MeanMinAge09+'19_Расчет_аналитики'!AS4607*SUMIF(ThresholdAge09,"&lt;"&amp;'19_Расчет_аналитики'!AS4607,WeightedRevAge09)-SUMIF(ThresholdAge09,"&lt;"&amp;'19_Расчет_аналитики'!AS4607,WeightedMinAge09),MAX(CapacityAge09*'01_Вводные'!$B$218*'19_Расчет_аналитики'!AS4607,MeanMinAge09))),0)</f>
        <v/>
      </c>
      <c r="AT4520">
        <f>IF('01_Вводные'!$B$234="Да",IF(OR('19_Расчет_аналитики'!AT4492=0,9&lt;='01_Вводные'!$B$297),0,'19_Расчет_аналитики'!AT4492*IF('01_Вводные'!$B$239="Да",MeanMinAge09+'19_Расчет_аналитики'!AT4607*SUMIF(ThresholdAge09,"&lt;"&amp;'19_Расчет_аналитики'!AT4607,WeightedRevAge09)-SUMIF(ThresholdAge09,"&lt;"&amp;'19_Расчет_аналитики'!AT4607,WeightedMinAge09),MAX(CapacityAge09*'01_Вводные'!$B$218*'19_Расчет_аналитики'!AT4607,MeanMinAge09))),0)</f>
        <v/>
      </c>
      <c r="AU4520">
        <f>IF('01_Вводные'!$B$234="Да",IF(OR('19_Расчет_аналитики'!AU4492=0,9&lt;='01_Вводные'!$B$297),0,'19_Расчет_аналитики'!AU4492*IF('01_Вводные'!$B$239="Да",MeanMinAge09+'19_Расчет_аналитики'!AU4607*SUMIF(ThresholdAge09,"&lt;"&amp;'19_Расчет_аналитики'!AU4607,WeightedRevAge09)-SUMIF(ThresholdAge09,"&lt;"&amp;'19_Расчет_аналитики'!AU4607,WeightedMinAge09),MAX(CapacityAge09*'01_Вводные'!$B$218*'19_Расчет_аналитики'!AU4607,MeanMinAge09))),0)</f>
        <v/>
      </c>
      <c r="AV4520">
        <f>IF('01_Вводные'!$B$234="Да",IF(OR('19_Расчет_аналитики'!AV4492=0,9&lt;='01_Вводные'!$B$297),0,'19_Расчет_аналитики'!AV4492*IF('01_Вводные'!$B$239="Да",MeanMinAge09+'19_Расчет_аналитики'!AV4607*SUMIF(ThresholdAge09,"&lt;"&amp;'19_Расчет_аналитики'!AV4607,WeightedRevAge09)-SUMIF(ThresholdAge09,"&lt;"&amp;'19_Расчет_аналитики'!AV4607,WeightedMinAge09),MAX(CapacityAge09*'01_Вводные'!$B$218*'19_Расчет_аналитики'!AV4607,MeanMinAge09))),0)</f>
        <v/>
      </c>
      <c r="AW4520">
        <f>IF('01_Вводные'!$B$234="Да",IF(OR('19_Расчет_аналитики'!AW4492=0,9&lt;='01_Вводные'!$B$297),0,'19_Расчет_аналитики'!AW4492*IF('01_Вводные'!$B$239="Да",MeanMinAge09+'19_Расчет_аналитики'!AW4607*SUMIF(ThresholdAge09,"&lt;"&amp;'19_Расчет_аналитики'!AW4607,WeightedRevAge09)-SUMIF(ThresholdAge09,"&lt;"&amp;'19_Расчет_аналитики'!AW4607,WeightedMinAge09),MAX(CapacityAge09*'01_Вводные'!$B$218*'19_Расчет_аналитики'!AW4607,MeanMinAge09))),0)</f>
        <v/>
      </c>
      <c r="AX4520">
        <f>IF('01_Вводные'!$B$234="Да",IF(OR('19_Расчет_аналитики'!AX4492=0,9&lt;='01_Вводные'!$B$297),0,'19_Расчет_аналитики'!AX4492*IF('01_Вводные'!$B$239="Да",MeanMinAge09+'19_Расчет_аналитики'!AX4607*SUMIF(ThresholdAge09,"&lt;"&amp;'19_Расчет_аналитики'!AX4607,WeightedRevAge09)-SUMIF(ThresholdAge09,"&lt;"&amp;'19_Расчет_аналитики'!AX4607,WeightedMinAge09),MAX(CapacityAge09*'01_Вводные'!$B$218*'19_Расчет_аналитики'!AX4607,MeanMinAge09))),0)</f>
        <v/>
      </c>
      <c r="AY4520">
        <f>IF('01_Вводные'!$B$234="Да",IF(OR('19_Расчет_аналитики'!AY4492=0,9&lt;='01_Вводные'!$B$297),0,'19_Расчет_аналитики'!AY4492*IF('01_Вводные'!$B$239="Да",MeanMinAge09+'19_Расчет_аналитики'!AY4607*SUMIF(ThresholdAge09,"&lt;"&amp;'19_Расчет_аналитики'!AY4607,WeightedRevAge09)-SUMIF(ThresholdAge09,"&lt;"&amp;'19_Расчет_аналитики'!AY4607,WeightedMinAge09),MAX(CapacityAge09*'01_Вводные'!$B$218*'19_Расчет_аналитики'!AY4607,MeanMinAge09))),0)</f>
        <v/>
      </c>
      <c r="AZ4520">
        <f>IF('01_Вводные'!$B$234="Да",IF(OR('19_Расчет_аналитики'!AZ4492=0,9&lt;='01_Вводные'!$B$297),0,'19_Расчет_аналитики'!AZ4492*IF('01_Вводные'!$B$239="Да",MeanMinAge09+'19_Расчет_аналитики'!AZ4607*SUMIF(ThresholdAge09,"&lt;"&amp;'19_Расчет_аналитики'!AZ4607,WeightedRevAge09)-SUMIF(ThresholdAge09,"&lt;"&amp;'19_Расчет_аналитики'!AZ4607,WeightedMinAge09),MAX(CapacityAge09*'01_Вводные'!$B$218*'19_Расчет_аналитики'!AZ4607,MeanMinAge09))),0)</f>
        <v/>
      </c>
      <c r="BA4520">
        <f>IF('01_Вводные'!$B$234="Да",IF(OR('19_Расчет_аналитики'!BA4492=0,9&lt;='01_Вводные'!$B$297),0,'19_Расчет_аналитики'!BA4492*IF('01_Вводные'!$B$239="Да",MeanMinAge09+'19_Расчет_аналитики'!BA4607*SUMIF(ThresholdAge09,"&lt;"&amp;'19_Расчет_аналитики'!BA4607,WeightedRevAge09)-SUMIF(ThresholdAge09,"&lt;"&amp;'19_Расчет_аналитики'!BA4607,WeightedMinAge09),MAX(CapacityAge09*'01_Вводные'!$B$218*'19_Расчет_аналитики'!BA4607,MeanMinAge09))),0)</f>
        <v/>
      </c>
      <c r="BB4520">
        <f>IF('01_Вводные'!$B$234="Да",IF(OR('19_Расчет_аналитики'!BB4492=0,9&lt;='01_Вводные'!$B$297),0,'19_Расчет_аналитики'!BB4492*IF('01_Вводные'!$B$239="Да",MeanMinAge09+'19_Расчет_аналитики'!BB4607*SUMIF(ThresholdAge09,"&lt;"&amp;'19_Расчет_аналитики'!BB4607,WeightedRevAge09)-SUMIF(ThresholdAge09,"&lt;"&amp;'19_Расчет_аналитики'!BB4607,WeightedMinAge09),MAX(CapacityAge09*'01_Вводные'!$B$218*'19_Расчет_аналитики'!BB4607,MeanMinAge09))),0)</f>
        <v/>
      </c>
      <c r="BC4520">
        <f>IF('01_Вводные'!$B$234="Да",IF(OR('19_Расчет_аналитики'!BC4492=0,9&lt;='01_Вводные'!$B$297),0,'19_Расчет_аналитики'!BC4492*IF('01_Вводные'!$B$239="Да",MeanMinAge09+'19_Расчет_аналитики'!BC4607*SUMIF(ThresholdAge09,"&lt;"&amp;'19_Расчет_аналитики'!BC4607,WeightedRevAge09)-SUMIF(ThresholdAge09,"&lt;"&amp;'19_Расчет_аналитики'!BC4607,WeightedMinAge09),MAX(CapacityAge09*'01_Вводные'!$B$218*'19_Расчет_аналитики'!BC4607,MeanMinAge09))),0)</f>
        <v/>
      </c>
      <c r="BD4520">
        <f>IF('01_Вводные'!$B$234="Да",IF(OR('19_Расчет_аналитики'!BD4492=0,9&lt;='01_Вводные'!$B$297),0,'19_Расчет_аналитики'!BD4492*IF('01_Вводные'!$B$239="Да",MeanMinAge09+'19_Расчет_аналитики'!BD4607*SUMIF(ThresholdAge09,"&lt;"&amp;'19_Расчет_аналитики'!BD4607,WeightedRevAge09)-SUMIF(ThresholdAge09,"&lt;"&amp;'19_Расчет_аналитики'!BD4607,WeightedMinAge09),MAX(CapacityAge09*'01_Вводные'!$B$218*'19_Расчет_аналитики'!BD4607,MeanMinAge09))),0)</f>
        <v/>
      </c>
      <c r="BE4520">
        <f>IF('01_Вводные'!$B$234="Да",IF(OR('19_Расчет_аналитики'!BE4492=0,9&lt;='01_Вводные'!$B$297),0,'19_Расчет_аналитики'!BE4492*IF('01_Вводные'!$B$239="Да",MeanMinAge09+'19_Расчет_аналитики'!BE4607*SUMIF(ThresholdAge09,"&lt;"&amp;'19_Расчет_аналитики'!BE4607,WeightedRevAge09)-SUMIF(ThresholdAge09,"&lt;"&amp;'19_Расчет_аналитики'!BE4607,WeightedMinAge09),MAX(CapacityAge09*'01_Вводные'!$B$218*'19_Расчет_аналитики'!BE4607,MeanMinAge09))),0)</f>
        <v/>
      </c>
      <c r="BF4520">
        <f>IF('01_Вводные'!$B$234="Да",IF(OR('19_Расчет_аналитики'!BF4492=0,9&lt;='01_Вводные'!$B$297),0,'19_Расчет_аналитики'!BF4492*IF('01_Вводные'!$B$239="Да",MeanMinAge09+'19_Расчет_аналитики'!BF4607*SUMIF(ThresholdAge09,"&lt;"&amp;'19_Расчет_аналитики'!BF4607,WeightedRevAge09)-SUMIF(ThresholdAge09,"&lt;"&amp;'19_Расчет_аналитики'!BF4607,WeightedMinAge09),MAX(CapacityAge09*'01_Вводные'!$B$218*'19_Расчет_аналитики'!BF4607,MeanMinAge09))),0)</f>
        <v/>
      </c>
      <c r="BG4520">
        <f>IF('01_Вводные'!$B$234="Да",IF(OR('19_Расчет_аналитики'!BG4492=0,9&lt;='01_Вводные'!$B$297),0,'19_Расчет_аналитики'!BG4492*IF('01_Вводные'!$B$239="Да",MeanMinAge09+'19_Расчет_аналитики'!BG4607*SUMIF(ThresholdAge09,"&lt;"&amp;'19_Расчет_аналитики'!BG4607,WeightedRevAge09)-SUMIF(ThresholdAge09,"&lt;"&amp;'19_Расчет_аналитики'!BG4607,WeightedMinAge09),MAX(CapacityAge09*'01_Вводные'!$B$218*'19_Расчет_аналитики'!BG4607,MeanMinAge09))),0)</f>
        <v/>
      </c>
      <c r="BH4520">
        <f>IF('01_Вводные'!$B$234="Да",IF(OR('19_Расчет_аналитики'!BH4492=0,9&lt;='01_Вводные'!$B$297),0,'19_Расчет_аналитики'!BH4492*IF('01_Вводные'!$B$239="Да",MeanMinAge09+'19_Расчет_аналитики'!BH4607*SUMIF(ThresholdAge09,"&lt;"&amp;'19_Расчет_аналитики'!BH4607,WeightedRevAge09)-SUMIF(ThresholdAge09,"&lt;"&amp;'19_Расчет_аналитики'!BH4607,WeightedMinAge09),MAX(CapacityAge09*'01_Вводные'!$B$218*'19_Расчет_аналитики'!BH4607,MeanMinAge09))),0)</f>
        <v/>
      </c>
      <c r="BI4520">
        <f>IF('01_Вводные'!$B$234="Да",IF(OR('19_Расчет_аналитики'!BI4492=0,9&lt;='01_Вводные'!$B$297),0,'19_Расчет_аналитики'!BI4492*IF('01_Вводные'!$B$239="Да",MeanMinAge09+'19_Расчет_аналитики'!BI4607*SUMIF(ThresholdAge09,"&lt;"&amp;'19_Расчет_аналитики'!BI4607,WeightedRevAge09)-SUMIF(ThresholdAge09,"&lt;"&amp;'19_Расчет_аналитики'!BI4607,WeightedMinAge09),MAX(CapacityAge09*'01_Вводные'!$B$218*'19_Расчет_аналитики'!BI4607,MeanMinAge09))),0)</f>
        <v/>
      </c>
      <c r="BJ4520">
        <f>IF('01_Вводные'!$B$234="Да",IF(OR('19_Расчет_аналитики'!BJ4492=0,9&lt;='01_Вводные'!$B$297),0,'19_Расчет_аналитики'!BJ4492*IF('01_Вводные'!$B$239="Да",MeanMinAge09+'19_Расчет_аналитики'!BJ4607*SUMIF(ThresholdAge09,"&lt;"&amp;'19_Расчет_аналитики'!BJ4607,WeightedRevAge09)-SUMIF(ThresholdAge09,"&lt;"&amp;'19_Расчет_аналитики'!BJ4607,WeightedMinAge09),MAX(CapacityAge09*'01_Вводные'!$B$218*'19_Расчет_аналитики'!BJ4607,MeanMinAge09))),0)</f>
        <v/>
      </c>
      <c r="BK4520">
        <f>IF('01_Вводные'!$B$234="Да",IF(OR('19_Расчет_аналитики'!BK4492=0,9&lt;='01_Вводные'!$B$297),0,'19_Расчет_аналитики'!BK4492*IF('01_Вводные'!$B$239="Да",MeanMinAge09+'19_Расчет_аналитики'!BK4607*SUMIF(ThresholdAge09,"&lt;"&amp;'19_Расчет_аналитики'!BK4607,WeightedRevAge09)-SUMIF(ThresholdAge09,"&lt;"&amp;'19_Расчет_аналитики'!BK4607,WeightedMinAge09),MAX(CapacityAge09*'01_Вводные'!$B$218*'19_Расчет_аналитики'!BK4607,MeanMinAge09))),0)</f>
        <v/>
      </c>
      <c r="BL4520">
        <f>IF('01_Вводные'!$B$234="Да",IF(OR('19_Расчет_аналитики'!BL4492=0,9&lt;='01_Вводные'!$B$297),0,'19_Расчет_аналитики'!BL4492*IF('01_Вводные'!$B$239="Да",MeanMinAge09+'19_Расчет_аналитики'!BL4607*SUMIF(ThresholdAge09,"&lt;"&amp;'19_Расчет_аналитики'!BL4607,WeightedRevAge09)-SUMIF(ThresholdAge09,"&lt;"&amp;'19_Расчет_аналитики'!BL4607,WeightedMinAge09),MAX(CapacityAge09*'01_Вводные'!$B$218*'19_Расчет_аналитики'!BL4607,MeanMinAge09))),0)</f>
        <v/>
      </c>
      <c r="BM4520">
        <f>IF('01_Вводные'!$B$234="Да",IF(OR('19_Расчет_аналитики'!BM4492=0,9&lt;='01_Вводные'!$B$297),0,'19_Расчет_аналитики'!BM4492*IF('01_Вводные'!$B$239="Да",MeanMinAge09+'19_Расчет_аналитики'!BM4607*SUMIF(ThresholdAge09,"&lt;"&amp;'19_Расчет_аналитики'!BM4607,WeightedRevAge09)-SUMIF(ThresholdAge09,"&lt;"&amp;'19_Расчет_аналитики'!BM4607,WeightedMinAge09),MAX(CapacityAge09*'01_Вводные'!$B$218*'19_Расчет_аналитики'!BM4607,MeanMinAge09))),0)</f>
        <v/>
      </c>
      <c r="BN4520">
        <f>IF('01_Вводные'!$B$234="Да",IF(OR('19_Расчет_аналитики'!BN4492=0,9&lt;='01_Вводные'!$B$297),0,'19_Расчет_аналитики'!BN4492*IF('01_Вводные'!$B$239="Да",MeanMinAge09+'19_Расчет_аналитики'!BN4607*SUMIF(ThresholdAge09,"&lt;"&amp;'19_Расчет_аналитики'!BN4607,WeightedRevAge09)-SUMIF(ThresholdAge09,"&lt;"&amp;'19_Расчет_аналитики'!BN4607,WeightedMinAge09),MAX(CapacityAge09*'01_Вводные'!$B$218*'19_Расчет_аналитики'!BN4607,MeanMinAge09))),0)</f>
        <v/>
      </c>
      <c r="BO4520">
        <f>IF('01_Вводные'!$B$234="Да",IF(OR('19_Расчет_аналитики'!BO4492=0,9&lt;='01_Вводные'!$B$297),0,'19_Расчет_аналитики'!BO4492*IF('01_Вводные'!$B$239="Да",MeanMinAge09+'19_Расчет_аналитики'!BO4607*SUMIF(ThresholdAge09,"&lt;"&amp;'19_Расчет_аналитики'!BO4607,WeightedRevAge09)-SUMIF(ThresholdAge09,"&lt;"&amp;'19_Расчет_аналитики'!BO4607,WeightedMinAge09),MAX(CapacityAge09*'01_Вводные'!$B$218*'19_Расчет_аналитики'!BO4607,MeanMinAge09))),0)</f>
        <v/>
      </c>
    </row>
    <row r="4521">
      <c r="B4521">
        <f>IF('01_Вводные'!$B$234="Да",IF(OR('06_Сеть_и_дети'!B90=0,10&lt;='01_Вводные'!$B$297),0,'06_Сеть_и_дети'!B90*IF('01_Вводные'!$B$239="Да",MeanMinAge10+'19_Расчет_аналитики'!B4607*SUMIF(ThresholdAge10,"&lt;"&amp;'19_Расчет_аналитики'!B4607,WeightedRevAge10)-SUMIF(ThresholdAge10,"&lt;"&amp;'19_Расчет_аналитики'!B4607,WeightedMinAge10),MAX(CapacityAge10*'01_Вводные'!$B$218*'19_Расчет_аналитики'!B4607,MeanMinAge10))),0)</f>
        <v/>
      </c>
      <c r="C4521">
        <f>IF('01_Вводные'!$B$234="Да",IF(OR('06_Сеть_и_дети'!C90=0,10&lt;='01_Вводные'!$B$297),0,'06_Сеть_и_дети'!C90*IF('01_Вводные'!$B$239="Да",MeanMinAge10+'19_Расчет_аналитики'!C4607*SUMIF(ThresholdAge10,"&lt;"&amp;'19_Расчет_аналитики'!C4607,WeightedRevAge10)-SUMIF(ThresholdAge10,"&lt;"&amp;'19_Расчет_аналитики'!C4607,WeightedMinAge10),MAX(CapacityAge10*'01_Вводные'!$B$218*'19_Расчет_аналитики'!C4607,MeanMinAge10))),0)</f>
        <v/>
      </c>
      <c r="D4521">
        <f>IF('01_Вводные'!$B$234="Да",IF(OR('06_Сеть_и_дети'!D90=0,10&lt;='01_Вводные'!$B$297),0,'06_Сеть_и_дети'!D90*IF('01_Вводные'!$B$239="Да",MeanMinAge10+'19_Расчет_аналитики'!D4607*SUMIF(ThresholdAge10,"&lt;"&amp;'19_Расчет_аналитики'!D4607,WeightedRevAge10)-SUMIF(ThresholdAge10,"&lt;"&amp;'19_Расчет_аналитики'!D4607,WeightedMinAge10),MAX(CapacityAge10*'01_Вводные'!$B$218*'19_Расчет_аналитики'!D4607,MeanMinAge10))),0)</f>
        <v/>
      </c>
      <c r="E4521">
        <f>IF('01_Вводные'!$B$234="Да",IF(OR('06_Сеть_и_дети'!E90=0,10&lt;='01_Вводные'!$B$297),0,'06_Сеть_и_дети'!E90*IF('01_Вводные'!$B$239="Да",MeanMinAge10+'19_Расчет_аналитики'!E4607*SUMIF(ThresholdAge10,"&lt;"&amp;'19_Расчет_аналитики'!E4607,WeightedRevAge10)-SUMIF(ThresholdAge10,"&lt;"&amp;'19_Расчет_аналитики'!E4607,WeightedMinAge10),MAX(CapacityAge10*'01_Вводные'!$B$218*'19_Расчет_аналитики'!E4607,MeanMinAge10))),0)</f>
        <v/>
      </c>
      <c r="F4521">
        <f>IF('01_Вводные'!$B$234="Да",IF(OR('06_Сеть_и_дети'!F90=0,10&lt;='01_Вводные'!$B$297),0,'06_Сеть_и_дети'!F90*IF('01_Вводные'!$B$239="Да",MeanMinAge10+'19_Расчет_аналитики'!F4607*SUMIF(ThresholdAge10,"&lt;"&amp;'19_Расчет_аналитики'!F4607,WeightedRevAge10)-SUMIF(ThresholdAge10,"&lt;"&amp;'19_Расчет_аналитики'!F4607,WeightedMinAge10),MAX(CapacityAge10*'01_Вводные'!$B$218*'19_Расчет_аналитики'!F4607,MeanMinAge10))),0)</f>
        <v/>
      </c>
      <c r="G4521">
        <f>IF('01_Вводные'!$B$234="Да",IF(OR('06_Сеть_и_дети'!G90=0,10&lt;='01_Вводные'!$B$297),0,'06_Сеть_и_дети'!G90*IF('01_Вводные'!$B$239="Да",MeanMinAge10+'19_Расчет_аналитики'!G4607*SUMIF(ThresholdAge10,"&lt;"&amp;'19_Расчет_аналитики'!G4607,WeightedRevAge10)-SUMIF(ThresholdAge10,"&lt;"&amp;'19_Расчет_аналитики'!G4607,WeightedMinAge10),MAX(CapacityAge10*'01_Вводные'!$B$218*'19_Расчет_аналитики'!G4607,MeanMinAge10))),0)</f>
        <v/>
      </c>
      <c r="H4521">
        <f>IF('01_Вводные'!$B$234="Да",IF(OR('06_Сеть_и_дети'!H90=0,10&lt;='01_Вводные'!$B$297),0,'06_Сеть_и_дети'!H90*IF('01_Вводные'!$B$239="Да",MeanMinAge10+'19_Расчет_аналитики'!H4607*SUMIF(ThresholdAge10,"&lt;"&amp;'19_Расчет_аналитики'!H4607,WeightedRevAge10)-SUMIF(ThresholdAge10,"&lt;"&amp;'19_Расчет_аналитики'!H4607,WeightedMinAge10),MAX(CapacityAge10*'01_Вводные'!$B$218*'19_Расчет_аналитики'!H4607,MeanMinAge10))),0)</f>
        <v/>
      </c>
      <c r="I4521">
        <f>IF('01_Вводные'!$B$234="Да",IF(OR('06_Сеть_и_дети'!I90=0,10&lt;='01_Вводные'!$B$297),0,'06_Сеть_и_дети'!I90*IF('01_Вводные'!$B$239="Да",MeanMinAge10+'19_Расчет_аналитики'!I4607*SUMIF(ThresholdAge10,"&lt;"&amp;'19_Расчет_аналитики'!I4607,WeightedRevAge10)-SUMIF(ThresholdAge10,"&lt;"&amp;'19_Расчет_аналитики'!I4607,WeightedMinAge10),MAX(CapacityAge10*'01_Вводные'!$B$218*'19_Расчет_аналитики'!I4607,MeanMinAge10))),0)</f>
        <v/>
      </c>
      <c r="J4521">
        <f>IF('01_Вводные'!$B$234="Да",IF(OR('06_Сеть_и_дети'!J90=0,10&lt;='01_Вводные'!$B$297),0,'06_Сеть_и_дети'!J90*IF('01_Вводные'!$B$239="Да",MeanMinAge10+'19_Расчет_аналитики'!J4607*SUMIF(ThresholdAge10,"&lt;"&amp;'19_Расчет_аналитики'!J4607,WeightedRevAge10)-SUMIF(ThresholdAge10,"&lt;"&amp;'19_Расчет_аналитики'!J4607,WeightedMinAge10),MAX(CapacityAge10*'01_Вводные'!$B$218*'19_Расчет_аналитики'!J4607,MeanMinAge10))),0)</f>
        <v/>
      </c>
      <c r="K4521">
        <f>IF('01_Вводные'!$B$234="Да",IF(OR('19_Расчет_аналитики'!K4493=0,10&lt;='01_Вводные'!$B$297),0,'19_Расчет_аналитики'!K4493*IF('01_Вводные'!$B$239="Да",MeanMinAge10+'19_Расчет_аналитики'!K4607*SUMIF(ThresholdAge10,"&lt;"&amp;'19_Расчет_аналитики'!K4607,WeightedRevAge10)-SUMIF(ThresholdAge10,"&lt;"&amp;'19_Расчет_аналитики'!K4607,WeightedMinAge10),MAX(CapacityAge10*'01_Вводные'!$B$218*'19_Расчет_аналитики'!K4607,MeanMinAge10))),0)</f>
        <v/>
      </c>
      <c r="L4521">
        <f>IF('01_Вводные'!$B$234="Да",IF(OR('19_Расчет_аналитики'!L4493=0,10&lt;='01_Вводные'!$B$297),0,'19_Расчет_аналитики'!L4493*IF('01_Вводные'!$B$239="Да",MeanMinAge10+'19_Расчет_аналитики'!L4607*SUMIF(ThresholdAge10,"&lt;"&amp;'19_Расчет_аналитики'!L4607,WeightedRevAge10)-SUMIF(ThresholdAge10,"&lt;"&amp;'19_Расчет_аналитики'!L4607,WeightedMinAge10),MAX(CapacityAge10*'01_Вводные'!$B$218*'19_Расчет_аналитики'!L4607,MeanMinAge10))),0)</f>
        <v/>
      </c>
      <c r="M4521">
        <f>IF('01_Вводные'!$B$234="Да",IF(OR('19_Расчет_аналитики'!M4493=0,10&lt;='01_Вводные'!$B$297),0,'19_Расчет_аналитики'!M4493*IF('01_Вводные'!$B$239="Да",MeanMinAge10+'19_Расчет_аналитики'!M4607*SUMIF(ThresholdAge10,"&lt;"&amp;'19_Расчет_аналитики'!M4607,WeightedRevAge10)-SUMIF(ThresholdAge10,"&lt;"&amp;'19_Расчет_аналитики'!M4607,WeightedMinAge10),MAX(CapacityAge10*'01_Вводные'!$B$218*'19_Расчет_аналитики'!M4607,MeanMinAge10))),0)</f>
        <v/>
      </c>
      <c r="N4521">
        <f>IF('01_Вводные'!$B$234="Да",IF(OR('19_Расчет_аналитики'!N4493=0,10&lt;='01_Вводные'!$B$297),0,'19_Расчет_аналитики'!N4493*IF('01_Вводные'!$B$239="Да",MeanMinAge10+'19_Расчет_аналитики'!N4607*SUMIF(ThresholdAge10,"&lt;"&amp;'19_Расчет_аналитики'!N4607,WeightedRevAge10)-SUMIF(ThresholdAge10,"&lt;"&amp;'19_Расчет_аналитики'!N4607,WeightedMinAge10),MAX(CapacityAge10*'01_Вводные'!$B$218*'19_Расчет_аналитики'!N4607,MeanMinAge10))),0)</f>
        <v/>
      </c>
      <c r="O4521">
        <f>IF('01_Вводные'!$B$234="Да",IF(OR('19_Расчет_аналитики'!O4493=0,10&lt;='01_Вводные'!$B$297),0,'19_Расчет_аналитики'!O4493*IF('01_Вводные'!$B$239="Да",MeanMinAge10+'19_Расчет_аналитики'!O4607*SUMIF(ThresholdAge10,"&lt;"&amp;'19_Расчет_аналитики'!O4607,WeightedRevAge10)-SUMIF(ThresholdAge10,"&lt;"&amp;'19_Расчет_аналитики'!O4607,WeightedMinAge10),MAX(CapacityAge10*'01_Вводные'!$B$218*'19_Расчет_аналитики'!O4607,MeanMinAge10))),0)</f>
        <v/>
      </c>
      <c r="P4521">
        <f>IF('01_Вводные'!$B$234="Да",IF(OR('19_Расчет_аналитики'!P4493=0,10&lt;='01_Вводные'!$B$297),0,'19_Расчет_аналитики'!P4493*IF('01_Вводные'!$B$239="Да",MeanMinAge10+'19_Расчет_аналитики'!P4607*SUMIF(ThresholdAge10,"&lt;"&amp;'19_Расчет_аналитики'!P4607,WeightedRevAge10)-SUMIF(ThresholdAge10,"&lt;"&amp;'19_Расчет_аналитики'!P4607,WeightedMinAge10),MAX(CapacityAge10*'01_Вводные'!$B$218*'19_Расчет_аналитики'!P4607,MeanMinAge10))),0)</f>
        <v/>
      </c>
      <c r="Q4521">
        <f>IF('01_Вводные'!$B$234="Да",IF(OR('19_Расчет_аналитики'!Q4493=0,10&lt;='01_Вводные'!$B$297),0,'19_Расчет_аналитики'!Q4493*IF('01_Вводные'!$B$239="Да",MeanMinAge10+'19_Расчет_аналитики'!Q4607*SUMIF(ThresholdAge10,"&lt;"&amp;'19_Расчет_аналитики'!Q4607,WeightedRevAge10)-SUMIF(ThresholdAge10,"&lt;"&amp;'19_Расчет_аналитики'!Q4607,WeightedMinAge10),MAX(CapacityAge10*'01_Вводные'!$B$218*'19_Расчет_аналитики'!Q4607,MeanMinAge10))),0)</f>
        <v/>
      </c>
      <c r="R4521">
        <f>IF('01_Вводные'!$B$234="Да",IF(OR('19_Расчет_аналитики'!R4493=0,10&lt;='01_Вводные'!$B$297),0,'19_Расчет_аналитики'!R4493*IF('01_Вводные'!$B$239="Да",MeanMinAge10+'19_Расчет_аналитики'!R4607*SUMIF(ThresholdAge10,"&lt;"&amp;'19_Расчет_аналитики'!R4607,WeightedRevAge10)-SUMIF(ThresholdAge10,"&lt;"&amp;'19_Расчет_аналитики'!R4607,WeightedMinAge10),MAX(CapacityAge10*'01_Вводные'!$B$218*'19_Расчет_аналитики'!R4607,MeanMinAge10))),0)</f>
        <v/>
      </c>
      <c r="S4521">
        <f>IF('01_Вводные'!$B$234="Да",IF(OR('19_Расчет_аналитики'!S4493=0,10&lt;='01_Вводные'!$B$297),0,'19_Расчет_аналитики'!S4493*IF('01_Вводные'!$B$239="Да",MeanMinAge10+'19_Расчет_аналитики'!S4607*SUMIF(ThresholdAge10,"&lt;"&amp;'19_Расчет_аналитики'!S4607,WeightedRevAge10)-SUMIF(ThresholdAge10,"&lt;"&amp;'19_Расчет_аналитики'!S4607,WeightedMinAge10),MAX(CapacityAge10*'01_Вводные'!$B$218*'19_Расчет_аналитики'!S4607,MeanMinAge10))),0)</f>
        <v/>
      </c>
      <c r="T4521">
        <f>IF('01_Вводные'!$B$234="Да",IF(OR('19_Расчет_аналитики'!T4493=0,10&lt;='01_Вводные'!$B$297),0,'19_Расчет_аналитики'!T4493*IF('01_Вводные'!$B$239="Да",MeanMinAge10+'19_Расчет_аналитики'!T4607*SUMIF(ThresholdAge10,"&lt;"&amp;'19_Расчет_аналитики'!T4607,WeightedRevAge10)-SUMIF(ThresholdAge10,"&lt;"&amp;'19_Расчет_аналитики'!T4607,WeightedMinAge10),MAX(CapacityAge10*'01_Вводные'!$B$218*'19_Расчет_аналитики'!T4607,MeanMinAge10))),0)</f>
        <v/>
      </c>
      <c r="U4521">
        <f>IF('01_Вводные'!$B$234="Да",IF(OR('19_Расчет_аналитики'!U4493=0,10&lt;='01_Вводные'!$B$297),0,'19_Расчет_аналитики'!U4493*IF('01_Вводные'!$B$239="Да",MeanMinAge10+'19_Расчет_аналитики'!U4607*SUMIF(ThresholdAge10,"&lt;"&amp;'19_Расчет_аналитики'!U4607,WeightedRevAge10)-SUMIF(ThresholdAge10,"&lt;"&amp;'19_Расчет_аналитики'!U4607,WeightedMinAge10),MAX(CapacityAge10*'01_Вводные'!$B$218*'19_Расчет_аналитики'!U4607,MeanMinAge10))),0)</f>
        <v/>
      </c>
      <c r="V4521">
        <f>IF('01_Вводные'!$B$234="Да",IF(OR('19_Расчет_аналитики'!V4493=0,10&lt;='01_Вводные'!$B$297),0,'19_Расчет_аналитики'!V4493*IF('01_Вводные'!$B$239="Да",MeanMinAge10+'19_Расчет_аналитики'!V4607*SUMIF(ThresholdAge10,"&lt;"&amp;'19_Расчет_аналитики'!V4607,WeightedRevAge10)-SUMIF(ThresholdAge10,"&lt;"&amp;'19_Расчет_аналитики'!V4607,WeightedMinAge10),MAX(CapacityAge10*'01_Вводные'!$B$218*'19_Расчет_аналитики'!V4607,MeanMinAge10))),0)</f>
        <v/>
      </c>
      <c r="W4521">
        <f>IF('01_Вводные'!$B$234="Да",IF(OR('19_Расчет_аналитики'!W4493=0,10&lt;='01_Вводные'!$B$297),0,'19_Расчет_аналитики'!W4493*IF('01_Вводные'!$B$239="Да",MeanMinAge10+'19_Расчет_аналитики'!W4607*SUMIF(ThresholdAge10,"&lt;"&amp;'19_Расчет_аналитики'!W4607,WeightedRevAge10)-SUMIF(ThresholdAge10,"&lt;"&amp;'19_Расчет_аналитики'!W4607,WeightedMinAge10),MAX(CapacityAge10*'01_Вводные'!$B$218*'19_Расчет_аналитики'!W4607,MeanMinAge10))),0)</f>
        <v/>
      </c>
      <c r="X4521">
        <f>IF('01_Вводные'!$B$234="Да",IF(OR('19_Расчет_аналитики'!X4493=0,10&lt;='01_Вводные'!$B$297),0,'19_Расчет_аналитики'!X4493*IF('01_Вводные'!$B$239="Да",MeanMinAge10+'19_Расчет_аналитики'!X4607*SUMIF(ThresholdAge10,"&lt;"&amp;'19_Расчет_аналитики'!X4607,WeightedRevAge10)-SUMIF(ThresholdAge10,"&lt;"&amp;'19_Расчет_аналитики'!X4607,WeightedMinAge10),MAX(CapacityAge10*'01_Вводные'!$B$218*'19_Расчет_аналитики'!X4607,MeanMinAge10))),0)</f>
        <v/>
      </c>
      <c r="Y4521">
        <f>IF('01_Вводные'!$B$234="Да",IF(OR('19_Расчет_аналитики'!Y4493=0,10&lt;='01_Вводные'!$B$297),0,'19_Расчет_аналитики'!Y4493*IF('01_Вводные'!$B$239="Да",MeanMinAge10+'19_Расчет_аналитики'!Y4607*SUMIF(ThresholdAge10,"&lt;"&amp;'19_Расчет_аналитики'!Y4607,WeightedRevAge10)-SUMIF(ThresholdAge10,"&lt;"&amp;'19_Расчет_аналитики'!Y4607,WeightedMinAge10),MAX(CapacityAge10*'01_Вводные'!$B$218*'19_Расчет_аналитики'!Y4607,MeanMinAge10))),0)</f>
        <v/>
      </c>
      <c r="Z4521">
        <f>IF('01_Вводные'!$B$234="Да",IF(OR('19_Расчет_аналитики'!Z4493=0,10&lt;='01_Вводные'!$B$297),0,'19_Расчет_аналитики'!Z4493*IF('01_Вводные'!$B$239="Да",MeanMinAge10+'19_Расчет_аналитики'!Z4607*SUMIF(ThresholdAge10,"&lt;"&amp;'19_Расчет_аналитики'!Z4607,WeightedRevAge10)-SUMIF(ThresholdAge10,"&lt;"&amp;'19_Расчет_аналитики'!Z4607,WeightedMinAge10),MAX(CapacityAge10*'01_Вводные'!$B$218*'19_Расчет_аналитики'!Z4607,MeanMinAge10))),0)</f>
        <v/>
      </c>
      <c r="AA4521">
        <f>IF('01_Вводные'!$B$234="Да",IF(OR('19_Расчет_аналитики'!AA4493=0,10&lt;='01_Вводные'!$B$297),0,'19_Расчет_аналитики'!AA4493*IF('01_Вводные'!$B$239="Да",MeanMinAge10+'19_Расчет_аналитики'!AA4607*SUMIF(ThresholdAge10,"&lt;"&amp;'19_Расчет_аналитики'!AA4607,WeightedRevAge10)-SUMIF(ThresholdAge10,"&lt;"&amp;'19_Расчет_аналитики'!AA4607,WeightedMinAge10),MAX(CapacityAge10*'01_Вводные'!$B$218*'19_Расчет_аналитики'!AA4607,MeanMinAge10))),0)</f>
        <v/>
      </c>
      <c r="AB4521">
        <f>IF('01_Вводные'!$B$234="Да",IF(OR('19_Расчет_аналитики'!AB4493=0,10&lt;='01_Вводные'!$B$297),0,'19_Расчет_аналитики'!AB4493*IF('01_Вводные'!$B$239="Да",MeanMinAge10+'19_Расчет_аналитики'!AB4607*SUMIF(ThresholdAge10,"&lt;"&amp;'19_Расчет_аналитики'!AB4607,WeightedRevAge10)-SUMIF(ThresholdAge10,"&lt;"&amp;'19_Расчет_аналитики'!AB4607,WeightedMinAge10),MAX(CapacityAge10*'01_Вводные'!$B$218*'19_Расчет_аналитики'!AB4607,MeanMinAge10))),0)</f>
        <v/>
      </c>
      <c r="AC4521">
        <f>IF('01_Вводные'!$B$234="Да",IF(OR('19_Расчет_аналитики'!AC4493=0,10&lt;='01_Вводные'!$B$297),0,'19_Расчет_аналитики'!AC4493*IF('01_Вводные'!$B$239="Да",MeanMinAge10+'19_Расчет_аналитики'!AC4607*SUMIF(ThresholdAge10,"&lt;"&amp;'19_Расчет_аналитики'!AC4607,WeightedRevAge10)-SUMIF(ThresholdAge10,"&lt;"&amp;'19_Расчет_аналитики'!AC4607,WeightedMinAge10),MAX(CapacityAge10*'01_Вводные'!$B$218*'19_Расчет_аналитики'!AC4607,MeanMinAge10))),0)</f>
        <v/>
      </c>
      <c r="AD4521">
        <f>IF('01_Вводные'!$B$234="Да",IF(OR('19_Расчет_аналитики'!AD4493=0,10&lt;='01_Вводные'!$B$297),0,'19_Расчет_аналитики'!AD4493*IF('01_Вводные'!$B$239="Да",MeanMinAge10+'19_Расчет_аналитики'!AD4607*SUMIF(ThresholdAge10,"&lt;"&amp;'19_Расчет_аналитики'!AD4607,WeightedRevAge10)-SUMIF(ThresholdAge10,"&lt;"&amp;'19_Расчет_аналитики'!AD4607,WeightedMinAge10),MAX(CapacityAge10*'01_Вводные'!$B$218*'19_Расчет_аналитики'!AD4607,MeanMinAge10))),0)</f>
        <v/>
      </c>
      <c r="AE4521">
        <f>IF('01_Вводные'!$B$234="Да",IF(OR('19_Расчет_аналитики'!AE4493=0,10&lt;='01_Вводные'!$B$297),0,'19_Расчет_аналитики'!AE4493*IF('01_Вводные'!$B$239="Да",MeanMinAge10+'19_Расчет_аналитики'!AE4607*SUMIF(ThresholdAge10,"&lt;"&amp;'19_Расчет_аналитики'!AE4607,WeightedRevAge10)-SUMIF(ThresholdAge10,"&lt;"&amp;'19_Расчет_аналитики'!AE4607,WeightedMinAge10),MAX(CapacityAge10*'01_Вводные'!$B$218*'19_Расчет_аналитики'!AE4607,MeanMinAge10))),0)</f>
        <v/>
      </c>
      <c r="AF4521">
        <f>IF('01_Вводные'!$B$234="Да",IF(OR('19_Расчет_аналитики'!AF4493=0,10&lt;='01_Вводные'!$B$297),0,'19_Расчет_аналитики'!AF4493*IF('01_Вводные'!$B$239="Да",MeanMinAge10+'19_Расчет_аналитики'!AF4607*SUMIF(ThresholdAge10,"&lt;"&amp;'19_Расчет_аналитики'!AF4607,WeightedRevAge10)-SUMIF(ThresholdAge10,"&lt;"&amp;'19_Расчет_аналитики'!AF4607,WeightedMinAge10),MAX(CapacityAge10*'01_Вводные'!$B$218*'19_Расчет_аналитики'!AF4607,MeanMinAge10))),0)</f>
        <v/>
      </c>
      <c r="AG4521">
        <f>IF('01_Вводные'!$B$234="Да",IF(OR('19_Расчет_аналитики'!AG4493=0,10&lt;='01_Вводные'!$B$297),0,'19_Расчет_аналитики'!AG4493*IF('01_Вводные'!$B$239="Да",MeanMinAge10+'19_Расчет_аналитики'!AG4607*SUMIF(ThresholdAge10,"&lt;"&amp;'19_Расчет_аналитики'!AG4607,WeightedRevAge10)-SUMIF(ThresholdAge10,"&lt;"&amp;'19_Расчет_аналитики'!AG4607,WeightedMinAge10),MAX(CapacityAge10*'01_Вводные'!$B$218*'19_Расчет_аналитики'!AG4607,MeanMinAge10))),0)</f>
        <v/>
      </c>
      <c r="AH4521">
        <f>IF('01_Вводные'!$B$234="Да",IF(OR('19_Расчет_аналитики'!AH4493=0,10&lt;='01_Вводные'!$B$297),0,'19_Расчет_аналитики'!AH4493*IF('01_Вводные'!$B$239="Да",MeanMinAge10+'19_Расчет_аналитики'!AH4607*SUMIF(ThresholdAge10,"&lt;"&amp;'19_Расчет_аналитики'!AH4607,WeightedRevAge10)-SUMIF(ThresholdAge10,"&lt;"&amp;'19_Расчет_аналитики'!AH4607,WeightedMinAge10),MAX(CapacityAge10*'01_Вводные'!$B$218*'19_Расчет_аналитики'!AH4607,MeanMinAge10))),0)</f>
        <v/>
      </c>
      <c r="AI4521">
        <f>IF('01_Вводные'!$B$234="Да",IF(OR('19_Расчет_аналитики'!AI4493=0,10&lt;='01_Вводные'!$B$297),0,'19_Расчет_аналитики'!AI4493*IF('01_Вводные'!$B$239="Да",MeanMinAge10+'19_Расчет_аналитики'!AI4607*SUMIF(ThresholdAge10,"&lt;"&amp;'19_Расчет_аналитики'!AI4607,WeightedRevAge10)-SUMIF(ThresholdAge10,"&lt;"&amp;'19_Расчет_аналитики'!AI4607,WeightedMinAge10),MAX(CapacityAge10*'01_Вводные'!$B$218*'19_Расчет_аналитики'!AI4607,MeanMinAge10))),0)</f>
        <v/>
      </c>
      <c r="AJ4521">
        <f>IF('01_Вводные'!$B$234="Да",IF(OR('19_Расчет_аналитики'!AJ4493=0,10&lt;='01_Вводные'!$B$297),0,'19_Расчет_аналитики'!AJ4493*IF('01_Вводные'!$B$239="Да",MeanMinAge10+'19_Расчет_аналитики'!AJ4607*SUMIF(ThresholdAge10,"&lt;"&amp;'19_Расчет_аналитики'!AJ4607,WeightedRevAge10)-SUMIF(ThresholdAge10,"&lt;"&amp;'19_Расчет_аналитики'!AJ4607,WeightedMinAge10),MAX(CapacityAge10*'01_Вводные'!$B$218*'19_Расчет_аналитики'!AJ4607,MeanMinAge10))),0)</f>
        <v/>
      </c>
      <c r="AK4521">
        <f>IF('01_Вводные'!$B$234="Да",IF(OR('19_Расчет_аналитики'!AK4493=0,10&lt;='01_Вводные'!$B$297),0,'19_Расчет_аналитики'!AK4493*IF('01_Вводные'!$B$239="Да",MeanMinAge10+'19_Расчет_аналитики'!AK4607*SUMIF(ThresholdAge10,"&lt;"&amp;'19_Расчет_аналитики'!AK4607,WeightedRevAge10)-SUMIF(ThresholdAge10,"&lt;"&amp;'19_Расчет_аналитики'!AK4607,WeightedMinAge10),MAX(CapacityAge10*'01_Вводные'!$B$218*'19_Расчет_аналитики'!AK4607,MeanMinAge10))),0)</f>
        <v/>
      </c>
      <c r="AL4521">
        <f>IF('01_Вводные'!$B$234="Да",IF(OR('19_Расчет_аналитики'!AL4493=0,10&lt;='01_Вводные'!$B$297),0,'19_Расчет_аналитики'!AL4493*IF('01_Вводные'!$B$239="Да",MeanMinAge10+'19_Расчет_аналитики'!AL4607*SUMIF(ThresholdAge10,"&lt;"&amp;'19_Расчет_аналитики'!AL4607,WeightedRevAge10)-SUMIF(ThresholdAge10,"&lt;"&amp;'19_Расчет_аналитики'!AL4607,WeightedMinAge10),MAX(CapacityAge10*'01_Вводные'!$B$218*'19_Расчет_аналитики'!AL4607,MeanMinAge10))),0)</f>
        <v/>
      </c>
      <c r="AM4521">
        <f>IF('01_Вводные'!$B$234="Да",IF(OR('19_Расчет_аналитики'!AM4493=0,10&lt;='01_Вводные'!$B$297),0,'19_Расчет_аналитики'!AM4493*IF('01_Вводные'!$B$239="Да",MeanMinAge10+'19_Расчет_аналитики'!AM4607*SUMIF(ThresholdAge10,"&lt;"&amp;'19_Расчет_аналитики'!AM4607,WeightedRevAge10)-SUMIF(ThresholdAge10,"&lt;"&amp;'19_Расчет_аналитики'!AM4607,WeightedMinAge10),MAX(CapacityAge10*'01_Вводные'!$B$218*'19_Расчет_аналитики'!AM4607,MeanMinAge10))),0)</f>
        <v/>
      </c>
      <c r="AN4521">
        <f>IF('01_Вводные'!$B$234="Да",IF(OR('19_Расчет_аналитики'!AN4493=0,10&lt;='01_Вводные'!$B$297),0,'19_Расчет_аналитики'!AN4493*IF('01_Вводные'!$B$239="Да",MeanMinAge10+'19_Расчет_аналитики'!AN4607*SUMIF(ThresholdAge10,"&lt;"&amp;'19_Расчет_аналитики'!AN4607,WeightedRevAge10)-SUMIF(ThresholdAge10,"&lt;"&amp;'19_Расчет_аналитики'!AN4607,WeightedMinAge10),MAX(CapacityAge10*'01_Вводные'!$B$218*'19_Расчет_аналитики'!AN4607,MeanMinAge10))),0)</f>
        <v/>
      </c>
      <c r="AO4521">
        <f>IF('01_Вводные'!$B$234="Да",IF(OR('19_Расчет_аналитики'!AO4493=0,10&lt;='01_Вводные'!$B$297),0,'19_Расчет_аналитики'!AO4493*IF('01_Вводные'!$B$239="Да",MeanMinAge10+'19_Расчет_аналитики'!AO4607*SUMIF(ThresholdAge10,"&lt;"&amp;'19_Расчет_аналитики'!AO4607,WeightedRevAge10)-SUMIF(ThresholdAge10,"&lt;"&amp;'19_Расчет_аналитики'!AO4607,WeightedMinAge10),MAX(CapacityAge10*'01_Вводные'!$B$218*'19_Расчет_аналитики'!AO4607,MeanMinAge10))),0)</f>
        <v/>
      </c>
      <c r="AP4521">
        <f>IF('01_Вводные'!$B$234="Да",IF(OR('19_Расчет_аналитики'!AP4493=0,10&lt;='01_Вводные'!$B$297),0,'19_Расчет_аналитики'!AP4493*IF('01_Вводные'!$B$239="Да",MeanMinAge10+'19_Расчет_аналитики'!AP4607*SUMIF(ThresholdAge10,"&lt;"&amp;'19_Расчет_аналитики'!AP4607,WeightedRevAge10)-SUMIF(ThresholdAge10,"&lt;"&amp;'19_Расчет_аналитики'!AP4607,WeightedMinAge10),MAX(CapacityAge10*'01_Вводные'!$B$218*'19_Расчет_аналитики'!AP4607,MeanMinAge10))),0)</f>
        <v/>
      </c>
      <c r="AQ4521">
        <f>IF('01_Вводные'!$B$234="Да",IF(OR('19_Расчет_аналитики'!AQ4493=0,10&lt;='01_Вводные'!$B$297),0,'19_Расчет_аналитики'!AQ4493*IF('01_Вводные'!$B$239="Да",MeanMinAge10+'19_Расчет_аналитики'!AQ4607*SUMIF(ThresholdAge10,"&lt;"&amp;'19_Расчет_аналитики'!AQ4607,WeightedRevAge10)-SUMIF(ThresholdAge10,"&lt;"&amp;'19_Расчет_аналитики'!AQ4607,WeightedMinAge10),MAX(CapacityAge10*'01_Вводные'!$B$218*'19_Расчет_аналитики'!AQ4607,MeanMinAge10))),0)</f>
        <v/>
      </c>
      <c r="AR4521">
        <f>IF('01_Вводные'!$B$234="Да",IF(OR('19_Расчет_аналитики'!AR4493=0,10&lt;='01_Вводные'!$B$297),0,'19_Расчет_аналитики'!AR4493*IF('01_Вводные'!$B$239="Да",MeanMinAge10+'19_Расчет_аналитики'!AR4607*SUMIF(ThresholdAge10,"&lt;"&amp;'19_Расчет_аналитики'!AR4607,WeightedRevAge10)-SUMIF(ThresholdAge10,"&lt;"&amp;'19_Расчет_аналитики'!AR4607,WeightedMinAge10),MAX(CapacityAge10*'01_Вводные'!$B$218*'19_Расчет_аналитики'!AR4607,MeanMinAge10))),0)</f>
        <v/>
      </c>
      <c r="AS4521">
        <f>IF('01_Вводные'!$B$234="Да",IF(OR('19_Расчет_аналитики'!AS4493=0,10&lt;='01_Вводные'!$B$297),0,'19_Расчет_аналитики'!AS4493*IF('01_Вводные'!$B$239="Да",MeanMinAge10+'19_Расчет_аналитики'!AS4607*SUMIF(ThresholdAge10,"&lt;"&amp;'19_Расчет_аналитики'!AS4607,WeightedRevAge10)-SUMIF(ThresholdAge10,"&lt;"&amp;'19_Расчет_аналитики'!AS4607,WeightedMinAge10),MAX(CapacityAge10*'01_Вводные'!$B$218*'19_Расчет_аналитики'!AS4607,MeanMinAge10))),0)</f>
        <v/>
      </c>
      <c r="AT4521">
        <f>IF('01_Вводные'!$B$234="Да",IF(OR('19_Расчет_аналитики'!AT4493=0,10&lt;='01_Вводные'!$B$297),0,'19_Расчет_аналитики'!AT4493*IF('01_Вводные'!$B$239="Да",MeanMinAge10+'19_Расчет_аналитики'!AT4607*SUMIF(ThresholdAge10,"&lt;"&amp;'19_Расчет_аналитики'!AT4607,WeightedRevAge10)-SUMIF(ThresholdAge10,"&lt;"&amp;'19_Расчет_аналитики'!AT4607,WeightedMinAge10),MAX(CapacityAge10*'01_Вводные'!$B$218*'19_Расчет_аналитики'!AT4607,MeanMinAge10))),0)</f>
        <v/>
      </c>
      <c r="AU4521">
        <f>IF('01_Вводные'!$B$234="Да",IF(OR('19_Расчет_аналитики'!AU4493=0,10&lt;='01_Вводные'!$B$297),0,'19_Расчет_аналитики'!AU4493*IF('01_Вводные'!$B$239="Да",MeanMinAge10+'19_Расчет_аналитики'!AU4607*SUMIF(ThresholdAge10,"&lt;"&amp;'19_Расчет_аналитики'!AU4607,WeightedRevAge10)-SUMIF(ThresholdAge10,"&lt;"&amp;'19_Расчет_аналитики'!AU4607,WeightedMinAge10),MAX(CapacityAge10*'01_Вводные'!$B$218*'19_Расчет_аналитики'!AU4607,MeanMinAge10))),0)</f>
        <v/>
      </c>
      <c r="AV4521">
        <f>IF('01_Вводные'!$B$234="Да",IF(OR('19_Расчет_аналитики'!AV4493=0,10&lt;='01_Вводные'!$B$297),0,'19_Расчет_аналитики'!AV4493*IF('01_Вводные'!$B$239="Да",MeanMinAge10+'19_Расчет_аналитики'!AV4607*SUMIF(ThresholdAge10,"&lt;"&amp;'19_Расчет_аналитики'!AV4607,WeightedRevAge10)-SUMIF(ThresholdAge10,"&lt;"&amp;'19_Расчет_аналитики'!AV4607,WeightedMinAge10),MAX(CapacityAge10*'01_Вводные'!$B$218*'19_Расчет_аналитики'!AV4607,MeanMinAge10))),0)</f>
        <v/>
      </c>
      <c r="AW4521">
        <f>IF('01_Вводные'!$B$234="Да",IF(OR('19_Расчет_аналитики'!AW4493=0,10&lt;='01_Вводные'!$B$297),0,'19_Расчет_аналитики'!AW4493*IF('01_Вводные'!$B$239="Да",MeanMinAge10+'19_Расчет_аналитики'!AW4607*SUMIF(ThresholdAge10,"&lt;"&amp;'19_Расчет_аналитики'!AW4607,WeightedRevAge10)-SUMIF(ThresholdAge10,"&lt;"&amp;'19_Расчет_аналитики'!AW4607,WeightedMinAge10),MAX(CapacityAge10*'01_Вводные'!$B$218*'19_Расчет_аналитики'!AW4607,MeanMinAge10))),0)</f>
        <v/>
      </c>
      <c r="AX4521">
        <f>IF('01_Вводные'!$B$234="Да",IF(OR('19_Расчет_аналитики'!AX4493=0,10&lt;='01_Вводные'!$B$297),0,'19_Расчет_аналитики'!AX4493*IF('01_Вводные'!$B$239="Да",MeanMinAge10+'19_Расчет_аналитики'!AX4607*SUMIF(ThresholdAge10,"&lt;"&amp;'19_Расчет_аналитики'!AX4607,WeightedRevAge10)-SUMIF(ThresholdAge10,"&lt;"&amp;'19_Расчет_аналитики'!AX4607,WeightedMinAge10),MAX(CapacityAge10*'01_Вводные'!$B$218*'19_Расчет_аналитики'!AX4607,MeanMinAge10))),0)</f>
        <v/>
      </c>
      <c r="AY4521">
        <f>IF('01_Вводные'!$B$234="Да",IF(OR('19_Расчет_аналитики'!AY4493=0,10&lt;='01_Вводные'!$B$297),0,'19_Расчет_аналитики'!AY4493*IF('01_Вводные'!$B$239="Да",MeanMinAge10+'19_Расчет_аналитики'!AY4607*SUMIF(ThresholdAge10,"&lt;"&amp;'19_Расчет_аналитики'!AY4607,WeightedRevAge10)-SUMIF(ThresholdAge10,"&lt;"&amp;'19_Расчет_аналитики'!AY4607,WeightedMinAge10),MAX(CapacityAge10*'01_Вводные'!$B$218*'19_Расчет_аналитики'!AY4607,MeanMinAge10))),0)</f>
        <v/>
      </c>
      <c r="AZ4521">
        <f>IF('01_Вводные'!$B$234="Да",IF(OR('19_Расчет_аналитики'!AZ4493=0,10&lt;='01_Вводные'!$B$297),0,'19_Расчет_аналитики'!AZ4493*IF('01_Вводные'!$B$239="Да",MeanMinAge10+'19_Расчет_аналитики'!AZ4607*SUMIF(ThresholdAge10,"&lt;"&amp;'19_Расчет_аналитики'!AZ4607,WeightedRevAge10)-SUMIF(ThresholdAge10,"&lt;"&amp;'19_Расчет_аналитики'!AZ4607,WeightedMinAge10),MAX(CapacityAge10*'01_Вводные'!$B$218*'19_Расчет_аналитики'!AZ4607,MeanMinAge10))),0)</f>
        <v/>
      </c>
      <c r="BA4521">
        <f>IF('01_Вводные'!$B$234="Да",IF(OR('19_Расчет_аналитики'!BA4493=0,10&lt;='01_Вводные'!$B$297),0,'19_Расчет_аналитики'!BA4493*IF('01_Вводные'!$B$239="Да",MeanMinAge10+'19_Расчет_аналитики'!BA4607*SUMIF(ThresholdAge10,"&lt;"&amp;'19_Расчет_аналитики'!BA4607,WeightedRevAge10)-SUMIF(ThresholdAge10,"&lt;"&amp;'19_Расчет_аналитики'!BA4607,WeightedMinAge10),MAX(CapacityAge10*'01_Вводные'!$B$218*'19_Расчет_аналитики'!BA4607,MeanMinAge10))),0)</f>
        <v/>
      </c>
      <c r="BB4521">
        <f>IF('01_Вводные'!$B$234="Да",IF(OR('19_Расчет_аналитики'!BB4493=0,10&lt;='01_Вводные'!$B$297),0,'19_Расчет_аналитики'!BB4493*IF('01_Вводные'!$B$239="Да",MeanMinAge10+'19_Расчет_аналитики'!BB4607*SUMIF(ThresholdAge10,"&lt;"&amp;'19_Расчет_аналитики'!BB4607,WeightedRevAge10)-SUMIF(ThresholdAge10,"&lt;"&amp;'19_Расчет_аналитики'!BB4607,WeightedMinAge10),MAX(CapacityAge10*'01_Вводные'!$B$218*'19_Расчет_аналитики'!BB4607,MeanMinAge10))),0)</f>
        <v/>
      </c>
      <c r="BC4521">
        <f>IF('01_Вводные'!$B$234="Да",IF(OR('19_Расчет_аналитики'!BC4493=0,10&lt;='01_Вводные'!$B$297),0,'19_Расчет_аналитики'!BC4493*IF('01_Вводные'!$B$239="Да",MeanMinAge10+'19_Расчет_аналитики'!BC4607*SUMIF(ThresholdAge10,"&lt;"&amp;'19_Расчет_аналитики'!BC4607,WeightedRevAge10)-SUMIF(ThresholdAge10,"&lt;"&amp;'19_Расчет_аналитики'!BC4607,WeightedMinAge10),MAX(CapacityAge10*'01_Вводные'!$B$218*'19_Расчет_аналитики'!BC4607,MeanMinAge10))),0)</f>
        <v/>
      </c>
      <c r="BD4521">
        <f>IF('01_Вводные'!$B$234="Да",IF(OR('19_Расчет_аналитики'!BD4493=0,10&lt;='01_Вводные'!$B$297),0,'19_Расчет_аналитики'!BD4493*IF('01_Вводные'!$B$239="Да",MeanMinAge10+'19_Расчет_аналитики'!BD4607*SUMIF(ThresholdAge10,"&lt;"&amp;'19_Расчет_аналитики'!BD4607,WeightedRevAge10)-SUMIF(ThresholdAge10,"&lt;"&amp;'19_Расчет_аналитики'!BD4607,WeightedMinAge10),MAX(CapacityAge10*'01_Вводные'!$B$218*'19_Расчет_аналитики'!BD4607,MeanMinAge10))),0)</f>
        <v/>
      </c>
      <c r="BE4521">
        <f>IF('01_Вводные'!$B$234="Да",IF(OR('19_Расчет_аналитики'!BE4493=0,10&lt;='01_Вводные'!$B$297),0,'19_Расчет_аналитики'!BE4493*IF('01_Вводные'!$B$239="Да",MeanMinAge10+'19_Расчет_аналитики'!BE4607*SUMIF(ThresholdAge10,"&lt;"&amp;'19_Расчет_аналитики'!BE4607,WeightedRevAge10)-SUMIF(ThresholdAge10,"&lt;"&amp;'19_Расчет_аналитики'!BE4607,WeightedMinAge10),MAX(CapacityAge10*'01_Вводные'!$B$218*'19_Расчет_аналитики'!BE4607,MeanMinAge10))),0)</f>
        <v/>
      </c>
      <c r="BF4521">
        <f>IF('01_Вводные'!$B$234="Да",IF(OR('19_Расчет_аналитики'!BF4493=0,10&lt;='01_Вводные'!$B$297),0,'19_Расчет_аналитики'!BF4493*IF('01_Вводные'!$B$239="Да",MeanMinAge10+'19_Расчет_аналитики'!BF4607*SUMIF(ThresholdAge10,"&lt;"&amp;'19_Расчет_аналитики'!BF4607,WeightedRevAge10)-SUMIF(ThresholdAge10,"&lt;"&amp;'19_Расчет_аналитики'!BF4607,WeightedMinAge10),MAX(CapacityAge10*'01_Вводные'!$B$218*'19_Расчет_аналитики'!BF4607,MeanMinAge10))),0)</f>
        <v/>
      </c>
      <c r="BG4521">
        <f>IF('01_Вводные'!$B$234="Да",IF(OR('19_Расчет_аналитики'!BG4493=0,10&lt;='01_Вводные'!$B$297),0,'19_Расчет_аналитики'!BG4493*IF('01_Вводные'!$B$239="Да",MeanMinAge10+'19_Расчет_аналитики'!BG4607*SUMIF(ThresholdAge10,"&lt;"&amp;'19_Расчет_аналитики'!BG4607,WeightedRevAge10)-SUMIF(ThresholdAge10,"&lt;"&amp;'19_Расчет_аналитики'!BG4607,WeightedMinAge10),MAX(CapacityAge10*'01_Вводные'!$B$218*'19_Расчет_аналитики'!BG4607,MeanMinAge10))),0)</f>
        <v/>
      </c>
      <c r="BH4521">
        <f>IF('01_Вводные'!$B$234="Да",IF(OR('19_Расчет_аналитики'!BH4493=0,10&lt;='01_Вводные'!$B$297),0,'19_Расчет_аналитики'!BH4493*IF('01_Вводные'!$B$239="Да",MeanMinAge10+'19_Расчет_аналитики'!BH4607*SUMIF(ThresholdAge10,"&lt;"&amp;'19_Расчет_аналитики'!BH4607,WeightedRevAge10)-SUMIF(ThresholdAge10,"&lt;"&amp;'19_Расчет_аналитики'!BH4607,WeightedMinAge10),MAX(CapacityAge10*'01_Вводные'!$B$218*'19_Расчет_аналитики'!BH4607,MeanMinAge10))),0)</f>
        <v/>
      </c>
      <c r="BI4521">
        <f>IF('01_Вводные'!$B$234="Да",IF(OR('19_Расчет_аналитики'!BI4493=0,10&lt;='01_Вводные'!$B$297),0,'19_Расчет_аналитики'!BI4493*IF('01_Вводные'!$B$239="Да",MeanMinAge10+'19_Расчет_аналитики'!BI4607*SUMIF(ThresholdAge10,"&lt;"&amp;'19_Расчет_аналитики'!BI4607,WeightedRevAge10)-SUMIF(ThresholdAge10,"&lt;"&amp;'19_Расчет_аналитики'!BI4607,WeightedMinAge10),MAX(CapacityAge10*'01_Вводные'!$B$218*'19_Расчет_аналитики'!BI4607,MeanMinAge10))),0)</f>
        <v/>
      </c>
      <c r="BJ4521">
        <f>IF('01_Вводные'!$B$234="Да",IF(OR('19_Расчет_аналитики'!BJ4493=0,10&lt;='01_Вводные'!$B$297),0,'19_Расчет_аналитики'!BJ4493*IF('01_Вводные'!$B$239="Да",MeanMinAge10+'19_Расчет_аналитики'!BJ4607*SUMIF(ThresholdAge10,"&lt;"&amp;'19_Расчет_аналитики'!BJ4607,WeightedRevAge10)-SUMIF(ThresholdAge10,"&lt;"&amp;'19_Расчет_аналитики'!BJ4607,WeightedMinAge10),MAX(CapacityAge10*'01_Вводные'!$B$218*'19_Расчет_аналитики'!BJ4607,MeanMinAge10))),0)</f>
        <v/>
      </c>
      <c r="BK4521">
        <f>IF('01_Вводные'!$B$234="Да",IF(OR('19_Расчет_аналитики'!BK4493=0,10&lt;='01_Вводные'!$B$297),0,'19_Расчет_аналитики'!BK4493*IF('01_Вводные'!$B$239="Да",MeanMinAge10+'19_Расчет_аналитики'!BK4607*SUMIF(ThresholdAge10,"&lt;"&amp;'19_Расчет_аналитики'!BK4607,WeightedRevAge10)-SUMIF(ThresholdAge10,"&lt;"&amp;'19_Расчет_аналитики'!BK4607,WeightedMinAge10),MAX(CapacityAge10*'01_Вводные'!$B$218*'19_Расчет_аналитики'!BK4607,MeanMinAge10))),0)</f>
        <v/>
      </c>
      <c r="BL4521">
        <f>IF('01_Вводные'!$B$234="Да",IF(OR('19_Расчет_аналитики'!BL4493=0,10&lt;='01_Вводные'!$B$297),0,'19_Расчет_аналитики'!BL4493*IF('01_Вводные'!$B$239="Да",MeanMinAge10+'19_Расчет_аналитики'!BL4607*SUMIF(ThresholdAge10,"&lt;"&amp;'19_Расчет_аналитики'!BL4607,WeightedRevAge10)-SUMIF(ThresholdAge10,"&lt;"&amp;'19_Расчет_аналитики'!BL4607,WeightedMinAge10),MAX(CapacityAge10*'01_Вводные'!$B$218*'19_Расчет_аналитики'!BL4607,MeanMinAge10))),0)</f>
        <v/>
      </c>
      <c r="BM4521">
        <f>IF('01_Вводные'!$B$234="Да",IF(OR('19_Расчет_аналитики'!BM4493=0,10&lt;='01_Вводные'!$B$297),0,'19_Расчет_аналитики'!BM4493*IF('01_Вводные'!$B$239="Да",MeanMinAge10+'19_Расчет_аналитики'!BM4607*SUMIF(ThresholdAge10,"&lt;"&amp;'19_Расчет_аналитики'!BM4607,WeightedRevAge10)-SUMIF(ThresholdAge10,"&lt;"&amp;'19_Расчет_аналитики'!BM4607,WeightedMinAge10),MAX(CapacityAge10*'01_Вводные'!$B$218*'19_Расчет_аналитики'!BM4607,MeanMinAge10))),0)</f>
        <v/>
      </c>
      <c r="BN4521">
        <f>IF('01_Вводные'!$B$234="Да",IF(OR('19_Расчет_аналитики'!BN4493=0,10&lt;='01_Вводные'!$B$297),0,'19_Расчет_аналитики'!BN4493*IF('01_Вводные'!$B$239="Да",MeanMinAge10+'19_Расчет_аналитики'!BN4607*SUMIF(ThresholdAge10,"&lt;"&amp;'19_Расчет_аналитики'!BN4607,WeightedRevAge10)-SUMIF(ThresholdAge10,"&lt;"&amp;'19_Расчет_аналитики'!BN4607,WeightedMinAge10),MAX(CapacityAge10*'01_Вводные'!$B$218*'19_Расчет_аналитики'!BN4607,MeanMinAge10))),0)</f>
        <v/>
      </c>
      <c r="BO4521">
        <f>IF('01_Вводные'!$B$234="Да",IF(OR('19_Расчет_аналитики'!BO4493=0,10&lt;='01_Вводные'!$B$297),0,'19_Расчет_аналитики'!BO4493*IF('01_Вводные'!$B$239="Да",MeanMinAge10+'19_Расчет_аналитики'!BO4607*SUMIF(ThresholdAge10,"&lt;"&amp;'19_Расчет_аналитики'!BO4607,WeightedRevAge10)-SUMIF(ThresholdAge10,"&lt;"&amp;'19_Расчет_аналитики'!BO4607,WeightedMinAge10),MAX(CapacityAge10*'01_Вводные'!$B$218*'19_Расчет_аналитики'!BO4607,MeanMinAge10))),0)</f>
        <v/>
      </c>
    </row>
    <row r="4522">
      <c r="B4522">
        <f>IF('01_Вводные'!$B$234="Да",IF(OR('06_Сеть_и_дети'!B91=0,11&lt;='01_Вводные'!$B$297),0,'06_Сеть_и_дети'!B91*IF('01_Вводные'!$B$239="Да",MeanMinAge11+'19_Расчет_аналитики'!B4607*SUMIF(ThresholdAge11,"&lt;"&amp;'19_Расчет_аналитики'!B4607,WeightedRevAge11)-SUMIF(ThresholdAge11,"&lt;"&amp;'19_Расчет_аналитики'!B4607,WeightedMinAge11),MAX(CapacityAge11*'01_Вводные'!$B$218*'19_Расчет_аналитики'!B4607,MeanMinAge11))),0)</f>
        <v/>
      </c>
      <c r="C4522">
        <f>IF('01_Вводные'!$B$234="Да",IF(OR('06_Сеть_и_дети'!C91=0,11&lt;='01_Вводные'!$B$297),0,'06_Сеть_и_дети'!C91*IF('01_Вводные'!$B$239="Да",MeanMinAge11+'19_Расчет_аналитики'!C4607*SUMIF(ThresholdAge11,"&lt;"&amp;'19_Расчет_аналитики'!C4607,WeightedRevAge11)-SUMIF(ThresholdAge11,"&lt;"&amp;'19_Расчет_аналитики'!C4607,WeightedMinAge11),MAX(CapacityAge11*'01_Вводные'!$B$218*'19_Расчет_аналитики'!C4607,MeanMinAge11))),0)</f>
        <v/>
      </c>
      <c r="D4522">
        <f>IF('01_Вводные'!$B$234="Да",IF(OR('06_Сеть_и_дети'!D91=0,11&lt;='01_Вводные'!$B$297),0,'06_Сеть_и_дети'!D91*IF('01_Вводные'!$B$239="Да",MeanMinAge11+'19_Расчет_аналитики'!D4607*SUMIF(ThresholdAge11,"&lt;"&amp;'19_Расчет_аналитики'!D4607,WeightedRevAge11)-SUMIF(ThresholdAge11,"&lt;"&amp;'19_Расчет_аналитики'!D4607,WeightedMinAge11),MAX(CapacityAge11*'01_Вводные'!$B$218*'19_Расчет_аналитики'!D4607,MeanMinAge11))),0)</f>
        <v/>
      </c>
      <c r="E4522">
        <f>IF('01_Вводные'!$B$234="Да",IF(OR('06_Сеть_и_дети'!E91=0,11&lt;='01_Вводные'!$B$297),0,'06_Сеть_и_дети'!E91*IF('01_Вводные'!$B$239="Да",MeanMinAge11+'19_Расчет_аналитики'!E4607*SUMIF(ThresholdAge11,"&lt;"&amp;'19_Расчет_аналитики'!E4607,WeightedRevAge11)-SUMIF(ThresholdAge11,"&lt;"&amp;'19_Расчет_аналитики'!E4607,WeightedMinAge11),MAX(CapacityAge11*'01_Вводные'!$B$218*'19_Расчет_аналитики'!E4607,MeanMinAge11))),0)</f>
        <v/>
      </c>
      <c r="F4522">
        <f>IF('01_Вводные'!$B$234="Да",IF(OR('06_Сеть_и_дети'!F91=0,11&lt;='01_Вводные'!$B$297),0,'06_Сеть_и_дети'!F91*IF('01_Вводные'!$B$239="Да",MeanMinAge11+'19_Расчет_аналитики'!F4607*SUMIF(ThresholdAge11,"&lt;"&amp;'19_Расчет_аналитики'!F4607,WeightedRevAge11)-SUMIF(ThresholdAge11,"&lt;"&amp;'19_Расчет_аналитики'!F4607,WeightedMinAge11),MAX(CapacityAge11*'01_Вводные'!$B$218*'19_Расчет_аналитики'!F4607,MeanMinAge11))),0)</f>
        <v/>
      </c>
      <c r="G4522">
        <f>IF('01_Вводные'!$B$234="Да",IF(OR('06_Сеть_и_дети'!G91=0,11&lt;='01_Вводные'!$B$297),0,'06_Сеть_и_дети'!G91*IF('01_Вводные'!$B$239="Да",MeanMinAge11+'19_Расчет_аналитики'!G4607*SUMIF(ThresholdAge11,"&lt;"&amp;'19_Расчет_аналитики'!G4607,WeightedRevAge11)-SUMIF(ThresholdAge11,"&lt;"&amp;'19_Расчет_аналитики'!G4607,WeightedMinAge11),MAX(CapacityAge11*'01_Вводные'!$B$218*'19_Расчет_аналитики'!G4607,MeanMinAge11))),0)</f>
        <v/>
      </c>
      <c r="H4522">
        <f>IF('01_Вводные'!$B$234="Да",IF(OR('06_Сеть_и_дети'!H91=0,11&lt;='01_Вводные'!$B$297),0,'06_Сеть_и_дети'!H91*IF('01_Вводные'!$B$239="Да",MeanMinAge11+'19_Расчет_аналитики'!H4607*SUMIF(ThresholdAge11,"&lt;"&amp;'19_Расчет_аналитики'!H4607,WeightedRevAge11)-SUMIF(ThresholdAge11,"&lt;"&amp;'19_Расчет_аналитики'!H4607,WeightedMinAge11),MAX(CapacityAge11*'01_Вводные'!$B$218*'19_Расчет_аналитики'!H4607,MeanMinAge11))),0)</f>
        <v/>
      </c>
      <c r="I4522">
        <f>IF('01_Вводные'!$B$234="Да",IF(OR('06_Сеть_и_дети'!I91=0,11&lt;='01_Вводные'!$B$297),0,'06_Сеть_и_дети'!I91*IF('01_Вводные'!$B$239="Да",MeanMinAge11+'19_Расчет_аналитики'!I4607*SUMIF(ThresholdAge11,"&lt;"&amp;'19_Расчет_аналитики'!I4607,WeightedRevAge11)-SUMIF(ThresholdAge11,"&lt;"&amp;'19_Расчет_аналитики'!I4607,WeightedMinAge11),MAX(CapacityAge11*'01_Вводные'!$B$218*'19_Расчет_аналитики'!I4607,MeanMinAge11))),0)</f>
        <v/>
      </c>
      <c r="J4522">
        <f>IF('01_Вводные'!$B$234="Да",IF(OR('06_Сеть_и_дети'!J91=0,11&lt;='01_Вводные'!$B$297),0,'06_Сеть_и_дети'!J91*IF('01_Вводные'!$B$239="Да",MeanMinAge11+'19_Расчет_аналитики'!J4607*SUMIF(ThresholdAge11,"&lt;"&amp;'19_Расчет_аналитики'!J4607,WeightedRevAge11)-SUMIF(ThresholdAge11,"&lt;"&amp;'19_Расчет_аналитики'!J4607,WeightedMinAge11),MAX(CapacityAge11*'01_Вводные'!$B$218*'19_Расчет_аналитики'!J4607,MeanMinAge11))),0)</f>
        <v/>
      </c>
      <c r="K4522">
        <f>IF('01_Вводные'!$B$234="Да",IF(OR('06_Сеть_и_дети'!K91=0,11&lt;='01_Вводные'!$B$297),0,'06_Сеть_и_дети'!K91*IF('01_Вводные'!$B$239="Да",MeanMinAge11+'19_Расчет_аналитики'!K4607*SUMIF(ThresholdAge11,"&lt;"&amp;'19_Расчет_аналитики'!K4607,WeightedRevAge11)-SUMIF(ThresholdAge11,"&lt;"&amp;'19_Расчет_аналитики'!K4607,WeightedMinAge11),MAX(CapacityAge11*'01_Вводные'!$B$218*'19_Расчет_аналитики'!K4607,MeanMinAge11))),0)</f>
        <v/>
      </c>
      <c r="L4522">
        <f>IF('01_Вводные'!$B$234="Да",IF(OR('19_Расчет_аналитики'!L4494=0,11&lt;='01_Вводные'!$B$297),0,'19_Расчет_аналитики'!L4494*IF('01_Вводные'!$B$239="Да",MeanMinAge11+'19_Расчет_аналитики'!L4607*SUMIF(ThresholdAge11,"&lt;"&amp;'19_Расчет_аналитики'!L4607,WeightedRevAge11)-SUMIF(ThresholdAge11,"&lt;"&amp;'19_Расчет_аналитики'!L4607,WeightedMinAge11),MAX(CapacityAge11*'01_Вводные'!$B$218*'19_Расчет_аналитики'!L4607,MeanMinAge11))),0)</f>
        <v/>
      </c>
      <c r="M4522">
        <f>IF('01_Вводные'!$B$234="Да",IF(OR('19_Расчет_аналитики'!M4494=0,11&lt;='01_Вводные'!$B$297),0,'19_Расчет_аналитики'!M4494*IF('01_Вводные'!$B$239="Да",MeanMinAge11+'19_Расчет_аналитики'!M4607*SUMIF(ThresholdAge11,"&lt;"&amp;'19_Расчет_аналитики'!M4607,WeightedRevAge11)-SUMIF(ThresholdAge11,"&lt;"&amp;'19_Расчет_аналитики'!M4607,WeightedMinAge11),MAX(CapacityAge11*'01_Вводные'!$B$218*'19_Расчет_аналитики'!M4607,MeanMinAge11))),0)</f>
        <v/>
      </c>
      <c r="N4522">
        <f>IF('01_Вводные'!$B$234="Да",IF(OR('19_Расчет_аналитики'!N4494=0,11&lt;='01_Вводные'!$B$297),0,'19_Расчет_аналитики'!N4494*IF('01_Вводные'!$B$239="Да",MeanMinAge11+'19_Расчет_аналитики'!N4607*SUMIF(ThresholdAge11,"&lt;"&amp;'19_Расчет_аналитики'!N4607,WeightedRevAge11)-SUMIF(ThresholdAge11,"&lt;"&amp;'19_Расчет_аналитики'!N4607,WeightedMinAge11),MAX(CapacityAge11*'01_Вводные'!$B$218*'19_Расчет_аналитики'!N4607,MeanMinAge11))),0)</f>
        <v/>
      </c>
      <c r="O4522">
        <f>IF('01_Вводные'!$B$234="Да",IF(OR('19_Расчет_аналитики'!O4494=0,11&lt;='01_Вводные'!$B$297),0,'19_Расчет_аналитики'!O4494*IF('01_Вводные'!$B$239="Да",MeanMinAge11+'19_Расчет_аналитики'!O4607*SUMIF(ThresholdAge11,"&lt;"&amp;'19_Расчет_аналитики'!O4607,WeightedRevAge11)-SUMIF(ThresholdAge11,"&lt;"&amp;'19_Расчет_аналитики'!O4607,WeightedMinAge11),MAX(CapacityAge11*'01_Вводные'!$B$218*'19_Расчет_аналитики'!O4607,MeanMinAge11))),0)</f>
        <v/>
      </c>
      <c r="P4522">
        <f>IF('01_Вводные'!$B$234="Да",IF(OR('19_Расчет_аналитики'!P4494=0,11&lt;='01_Вводные'!$B$297),0,'19_Расчет_аналитики'!P4494*IF('01_Вводные'!$B$239="Да",MeanMinAge11+'19_Расчет_аналитики'!P4607*SUMIF(ThresholdAge11,"&lt;"&amp;'19_Расчет_аналитики'!P4607,WeightedRevAge11)-SUMIF(ThresholdAge11,"&lt;"&amp;'19_Расчет_аналитики'!P4607,WeightedMinAge11),MAX(CapacityAge11*'01_Вводные'!$B$218*'19_Расчет_аналитики'!P4607,MeanMinAge11))),0)</f>
        <v/>
      </c>
      <c r="Q4522">
        <f>IF('01_Вводные'!$B$234="Да",IF(OR('19_Расчет_аналитики'!Q4494=0,11&lt;='01_Вводные'!$B$297),0,'19_Расчет_аналитики'!Q4494*IF('01_Вводные'!$B$239="Да",MeanMinAge11+'19_Расчет_аналитики'!Q4607*SUMIF(ThresholdAge11,"&lt;"&amp;'19_Расчет_аналитики'!Q4607,WeightedRevAge11)-SUMIF(ThresholdAge11,"&lt;"&amp;'19_Расчет_аналитики'!Q4607,WeightedMinAge11),MAX(CapacityAge11*'01_Вводные'!$B$218*'19_Расчет_аналитики'!Q4607,MeanMinAge11))),0)</f>
        <v/>
      </c>
      <c r="R4522">
        <f>IF('01_Вводные'!$B$234="Да",IF(OR('19_Расчет_аналитики'!R4494=0,11&lt;='01_Вводные'!$B$297),0,'19_Расчет_аналитики'!R4494*IF('01_Вводные'!$B$239="Да",MeanMinAge11+'19_Расчет_аналитики'!R4607*SUMIF(ThresholdAge11,"&lt;"&amp;'19_Расчет_аналитики'!R4607,WeightedRevAge11)-SUMIF(ThresholdAge11,"&lt;"&amp;'19_Расчет_аналитики'!R4607,WeightedMinAge11),MAX(CapacityAge11*'01_Вводные'!$B$218*'19_Расчет_аналитики'!R4607,MeanMinAge11))),0)</f>
        <v/>
      </c>
      <c r="S4522">
        <f>IF('01_Вводные'!$B$234="Да",IF(OR('19_Расчет_аналитики'!S4494=0,11&lt;='01_Вводные'!$B$297),0,'19_Расчет_аналитики'!S4494*IF('01_Вводные'!$B$239="Да",MeanMinAge11+'19_Расчет_аналитики'!S4607*SUMIF(ThresholdAge11,"&lt;"&amp;'19_Расчет_аналитики'!S4607,WeightedRevAge11)-SUMIF(ThresholdAge11,"&lt;"&amp;'19_Расчет_аналитики'!S4607,WeightedMinAge11),MAX(CapacityAge11*'01_Вводные'!$B$218*'19_Расчет_аналитики'!S4607,MeanMinAge11))),0)</f>
        <v/>
      </c>
      <c r="T4522">
        <f>IF('01_Вводные'!$B$234="Да",IF(OR('19_Расчет_аналитики'!T4494=0,11&lt;='01_Вводные'!$B$297),0,'19_Расчет_аналитики'!T4494*IF('01_Вводные'!$B$239="Да",MeanMinAge11+'19_Расчет_аналитики'!T4607*SUMIF(ThresholdAge11,"&lt;"&amp;'19_Расчет_аналитики'!T4607,WeightedRevAge11)-SUMIF(ThresholdAge11,"&lt;"&amp;'19_Расчет_аналитики'!T4607,WeightedMinAge11),MAX(CapacityAge11*'01_Вводные'!$B$218*'19_Расчет_аналитики'!T4607,MeanMinAge11))),0)</f>
        <v/>
      </c>
      <c r="U4522">
        <f>IF('01_Вводные'!$B$234="Да",IF(OR('19_Расчет_аналитики'!U4494=0,11&lt;='01_Вводные'!$B$297),0,'19_Расчет_аналитики'!U4494*IF('01_Вводные'!$B$239="Да",MeanMinAge11+'19_Расчет_аналитики'!U4607*SUMIF(ThresholdAge11,"&lt;"&amp;'19_Расчет_аналитики'!U4607,WeightedRevAge11)-SUMIF(ThresholdAge11,"&lt;"&amp;'19_Расчет_аналитики'!U4607,WeightedMinAge11),MAX(CapacityAge11*'01_Вводные'!$B$218*'19_Расчет_аналитики'!U4607,MeanMinAge11))),0)</f>
        <v/>
      </c>
      <c r="V4522">
        <f>IF('01_Вводные'!$B$234="Да",IF(OR('19_Расчет_аналитики'!V4494=0,11&lt;='01_Вводные'!$B$297),0,'19_Расчет_аналитики'!V4494*IF('01_Вводные'!$B$239="Да",MeanMinAge11+'19_Расчет_аналитики'!V4607*SUMIF(ThresholdAge11,"&lt;"&amp;'19_Расчет_аналитики'!V4607,WeightedRevAge11)-SUMIF(ThresholdAge11,"&lt;"&amp;'19_Расчет_аналитики'!V4607,WeightedMinAge11),MAX(CapacityAge11*'01_Вводные'!$B$218*'19_Расчет_аналитики'!V4607,MeanMinAge11))),0)</f>
        <v/>
      </c>
      <c r="W4522">
        <f>IF('01_Вводные'!$B$234="Да",IF(OR('19_Расчет_аналитики'!W4494=0,11&lt;='01_Вводные'!$B$297),0,'19_Расчет_аналитики'!W4494*IF('01_Вводные'!$B$239="Да",MeanMinAge11+'19_Расчет_аналитики'!W4607*SUMIF(ThresholdAge11,"&lt;"&amp;'19_Расчет_аналитики'!W4607,WeightedRevAge11)-SUMIF(ThresholdAge11,"&lt;"&amp;'19_Расчет_аналитики'!W4607,WeightedMinAge11),MAX(CapacityAge11*'01_Вводные'!$B$218*'19_Расчет_аналитики'!W4607,MeanMinAge11))),0)</f>
        <v/>
      </c>
      <c r="X4522">
        <f>IF('01_Вводные'!$B$234="Да",IF(OR('19_Расчет_аналитики'!X4494=0,11&lt;='01_Вводные'!$B$297),0,'19_Расчет_аналитики'!X4494*IF('01_Вводные'!$B$239="Да",MeanMinAge11+'19_Расчет_аналитики'!X4607*SUMIF(ThresholdAge11,"&lt;"&amp;'19_Расчет_аналитики'!X4607,WeightedRevAge11)-SUMIF(ThresholdAge11,"&lt;"&amp;'19_Расчет_аналитики'!X4607,WeightedMinAge11),MAX(CapacityAge11*'01_Вводные'!$B$218*'19_Расчет_аналитики'!X4607,MeanMinAge11))),0)</f>
        <v/>
      </c>
      <c r="Y4522">
        <f>IF('01_Вводные'!$B$234="Да",IF(OR('19_Расчет_аналитики'!Y4494=0,11&lt;='01_Вводные'!$B$297),0,'19_Расчет_аналитики'!Y4494*IF('01_Вводные'!$B$239="Да",MeanMinAge11+'19_Расчет_аналитики'!Y4607*SUMIF(ThresholdAge11,"&lt;"&amp;'19_Расчет_аналитики'!Y4607,WeightedRevAge11)-SUMIF(ThresholdAge11,"&lt;"&amp;'19_Расчет_аналитики'!Y4607,WeightedMinAge11),MAX(CapacityAge11*'01_Вводные'!$B$218*'19_Расчет_аналитики'!Y4607,MeanMinAge11))),0)</f>
        <v/>
      </c>
      <c r="Z4522">
        <f>IF('01_Вводные'!$B$234="Да",IF(OR('19_Расчет_аналитики'!Z4494=0,11&lt;='01_Вводные'!$B$297),0,'19_Расчет_аналитики'!Z4494*IF('01_Вводные'!$B$239="Да",MeanMinAge11+'19_Расчет_аналитики'!Z4607*SUMIF(ThresholdAge11,"&lt;"&amp;'19_Расчет_аналитики'!Z4607,WeightedRevAge11)-SUMIF(ThresholdAge11,"&lt;"&amp;'19_Расчет_аналитики'!Z4607,WeightedMinAge11),MAX(CapacityAge11*'01_Вводные'!$B$218*'19_Расчет_аналитики'!Z4607,MeanMinAge11))),0)</f>
        <v/>
      </c>
      <c r="AA4522">
        <f>IF('01_Вводные'!$B$234="Да",IF(OR('19_Расчет_аналитики'!AA4494=0,11&lt;='01_Вводные'!$B$297),0,'19_Расчет_аналитики'!AA4494*IF('01_Вводные'!$B$239="Да",MeanMinAge11+'19_Расчет_аналитики'!AA4607*SUMIF(ThresholdAge11,"&lt;"&amp;'19_Расчет_аналитики'!AA4607,WeightedRevAge11)-SUMIF(ThresholdAge11,"&lt;"&amp;'19_Расчет_аналитики'!AA4607,WeightedMinAge11),MAX(CapacityAge11*'01_Вводные'!$B$218*'19_Расчет_аналитики'!AA4607,MeanMinAge11))),0)</f>
        <v/>
      </c>
      <c r="AB4522">
        <f>IF('01_Вводные'!$B$234="Да",IF(OR('19_Расчет_аналитики'!AB4494=0,11&lt;='01_Вводные'!$B$297),0,'19_Расчет_аналитики'!AB4494*IF('01_Вводные'!$B$239="Да",MeanMinAge11+'19_Расчет_аналитики'!AB4607*SUMIF(ThresholdAge11,"&lt;"&amp;'19_Расчет_аналитики'!AB4607,WeightedRevAge11)-SUMIF(ThresholdAge11,"&lt;"&amp;'19_Расчет_аналитики'!AB4607,WeightedMinAge11),MAX(CapacityAge11*'01_Вводные'!$B$218*'19_Расчет_аналитики'!AB4607,MeanMinAge11))),0)</f>
        <v/>
      </c>
      <c r="AC4522">
        <f>IF('01_Вводные'!$B$234="Да",IF(OR('19_Расчет_аналитики'!AC4494=0,11&lt;='01_Вводные'!$B$297),0,'19_Расчет_аналитики'!AC4494*IF('01_Вводные'!$B$239="Да",MeanMinAge11+'19_Расчет_аналитики'!AC4607*SUMIF(ThresholdAge11,"&lt;"&amp;'19_Расчет_аналитики'!AC4607,WeightedRevAge11)-SUMIF(ThresholdAge11,"&lt;"&amp;'19_Расчет_аналитики'!AC4607,WeightedMinAge11),MAX(CapacityAge11*'01_Вводные'!$B$218*'19_Расчет_аналитики'!AC4607,MeanMinAge11))),0)</f>
        <v/>
      </c>
      <c r="AD4522">
        <f>IF('01_Вводные'!$B$234="Да",IF(OR('19_Расчет_аналитики'!AD4494=0,11&lt;='01_Вводные'!$B$297),0,'19_Расчет_аналитики'!AD4494*IF('01_Вводные'!$B$239="Да",MeanMinAge11+'19_Расчет_аналитики'!AD4607*SUMIF(ThresholdAge11,"&lt;"&amp;'19_Расчет_аналитики'!AD4607,WeightedRevAge11)-SUMIF(ThresholdAge11,"&lt;"&amp;'19_Расчет_аналитики'!AD4607,WeightedMinAge11),MAX(CapacityAge11*'01_Вводные'!$B$218*'19_Расчет_аналитики'!AD4607,MeanMinAge11))),0)</f>
        <v/>
      </c>
      <c r="AE4522">
        <f>IF('01_Вводные'!$B$234="Да",IF(OR('19_Расчет_аналитики'!AE4494=0,11&lt;='01_Вводные'!$B$297),0,'19_Расчет_аналитики'!AE4494*IF('01_Вводные'!$B$239="Да",MeanMinAge11+'19_Расчет_аналитики'!AE4607*SUMIF(ThresholdAge11,"&lt;"&amp;'19_Расчет_аналитики'!AE4607,WeightedRevAge11)-SUMIF(ThresholdAge11,"&lt;"&amp;'19_Расчет_аналитики'!AE4607,WeightedMinAge11),MAX(CapacityAge11*'01_Вводные'!$B$218*'19_Расчет_аналитики'!AE4607,MeanMinAge11))),0)</f>
        <v/>
      </c>
      <c r="AF4522">
        <f>IF('01_Вводные'!$B$234="Да",IF(OR('19_Расчет_аналитики'!AF4494=0,11&lt;='01_Вводные'!$B$297),0,'19_Расчет_аналитики'!AF4494*IF('01_Вводные'!$B$239="Да",MeanMinAge11+'19_Расчет_аналитики'!AF4607*SUMIF(ThresholdAge11,"&lt;"&amp;'19_Расчет_аналитики'!AF4607,WeightedRevAge11)-SUMIF(ThresholdAge11,"&lt;"&amp;'19_Расчет_аналитики'!AF4607,WeightedMinAge11),MAX(CapacityAge11*'01_Вводные'!$B$218*'19_Расчет_аналитики'!AF4607,MeanMinAge11))),0)</f>
        <v/>
      </c>
      <c r="AG4522">
        <f>IF('01_Вводные'!$B$234="Да",IF(OR('19_Расчет_аналитики'!AG4494=0,11&lt;='01_Вводные'!$B$297),0,'19_Расчет_аналитики'!AG4494*IF('01_Вводные'!$B$239="Да",MeanMinAge11+'19_Расчет_аналитики'!AG4607*SUMIF(ThresholdAge11,"&lt;"&amp;'19_Расчет_аналитики'!AG4607,WeightedRevAge11)-SUMIF(ThresholdAge11,"&lt;"&amp;'19_Расчет_аналитики'!AG4607,WeightedMinAge11),MAX(CapacityAge11*'01_Вводные'!$B$218*'19_Расчет_аналитики'!AG4607,MeanMinAge11))),0)</f>
        <v/>
      </c>
      <c r="AH4522">
        <f>IF('01_Вводные'!$B$234="Да",IF(OR('19_Расчет_аналитики'!AH4494=0,11&lt;='01_Вводные'!$B$297),0,'19_Расчет_аналитики'!AH4494*IF('01_Вводные'!$B$239="Да",MeanMinAge11+'19_Расчет_аналитики'!AH4607*SUMIF(ThresholdAge11,"&lt;"&amp;'19_Расчет_аналитики'!AH4607,WeightedRevAge11)-SUMIF(ThresholdAge11,"&lt;"&amp;'19_Расчет_аналитики'!AH4607,WeightedMinAge11),MAX(CapacityAge11*'01_Вводные'!$B$218*'19_Расчет_аналитики'!AH4607,MeanMinAge11))),0)</f>
        <v/>
      </c>
      <c r="AI4522">
        <f>IF('01_Вводные'!$B$234="Да",IF(OR('19_Расчет_аналитики'!AI4494=0,11&lt;='01_Вводные'!$B$297),0,'19_Расчет_аналитики'!AI4494*IF('01_Вводные'!$B$239="Да",MeanMinAge11+'19_Расчет_аналитики'!AI4607*SUMIF(ThresholdAge11,"&lt;"&amp;'19_Расчет_аналитики'!AI4607,WeightedRevAge11)-SUMIF(ThresholdAge11,"&lt;"&amp;'19_Расчет_аналитики'!AI4607,WeightedMinAge11),MAX(CapacityAge11*'01_Вводные'!$B$218*'19_Расчет_аналитики'!AI4607,MeanMinAge11))),0)</f>
        <v/>
      </c>
      <c r="AJ4522">
        <f>IF('01_Вводные'!$B$234="Да",IF(OR('19_Расчет_аналитики'!AJ4494=0,11&lt;='01_Вводные'!$B$297),0,'19_Расчет_аналитики'!AJ4494*IF('01_Вводные'!$B$239="Да",MeanMinAge11+'19_Расчет_аналитики'!AJ4607*SUMIF(ThresholdAge11,"&lt;"&amp;'19_Расчет_аналитики'!AJ4607,WeightedRevAge11)-SUMIF(ThresholdAge11,"&lt;"&amp;'19_Расчет_аналитики'!AJ4607,WeightedMinAge11),MAX(CapacityAge11*'01_Вводные'!$B$218*'19_Расчет_аналитики'!AJ4607,MeanMinAge11))),0)</f>
        <v/>
      </c>
      <c r="AK4522">
        <f>IF('01_Вводные'!$B$234="Да",IF(OR('19_Расчет_аналитики'!AK4494=0,11&lt;='01_Вводные'!$B$297),0,'19_Расчет_аналитики'!AK4494*IF('01_Вводные'!$B$239="Да",MeanMinAge11+'19_Расчет_аналитики'!AK4607*SUMIF(ThresholdAge11,"&lt;"&amp;'19_Расчет_аналитики'!AK4607,WeightedRevAge11)-SUMIF(ThresholdAge11,"&lt;"&amp;'19_Расчет_аналитики'!AK4607,WeightedMinAge11),MAX(CapacityAge11*'01_Вводные'!$B$218*'19_Расчет_аналитики'!AK4607,MeanMinAge11))),0)</f>
        <v/>
      </c>
      <c r="AL4522">
        <f>IF('01_Вводные'!$B$234="Да",IF(OR('19_Расчет_аналитики'!AL4494=0,11&lt;='01_Вводные'!$B$297),0,'19_Расчет_аналитики'!AL4494*IF('01_Вводные'!$B$239="Да",MeanMinAge11+'19_Расчет_аналитики'!AL4607*SUMIF(ThresholdAge11,"&lt;"&amp;'19_Расчет_аналитики'!AL4607,WeightedRevAge11)-SUMIF(ThresholdAge11,"&lt;"&amp;'19_Расчет_аналитики'!AL4607,WeightedMinAge11),MAX(CapacityAge11*'01_Вводные'!$B$218*'19_Расчет_аналитики'!AL4607,MeanMinAge11))),0)</f>
        <v/>
      </c>
      <c r="AM4522">
        <f>IF('01_Вводные'!$B$234="Да",IF(OR('19_Расчет_аналитики'!AM4494=0,11&lt;='01_Вводные'!$B$297),0,'19_Расчет_аналитики'!AM4494*IF('01_Вводные'!$B$239="Да",MeanMinAge11+'19_Расчет_аналитики'!AM4607*SUMIF(ThresholdAge11,"&lt;"&amp;'19_Расчет_аналитики'!AM4607,WeightedRevAge11)-SUMIF(ThresholdAge11,"&lt;"&amp;'19_Расчет_аналитики'!AM4607,WeightedMinAge11),MAX(CapacityAge11*'01_Вводные'!$B$218*'19_Расчет_аналитики'!AM4607,MeanMinAge11))),0)</f>
        <v/>
      </c>
      <c r="AN4522">
        <f>IF('01_Вводные'!$B$234="Да",IF(OR('19_Расчет_аналитики'!AN4494=0,11&lt;='01_Вводные'!$B$297),0,'19_Расчет_аналитики'!AN4494*IF('01_Вводные'!$B$239="Да",MeanMinAge11+'19_Расчет_аналитики'!AN4607*SUMIF(ThresholdAge11,"&lt;"&amp;'19_Расчет_аналитики'!AN4607,WeightedRevAge11)-SUMIF(ThresholdAge11,"&lt;"&amp;'19_Расчет_аналитики'!AN4607,WeightedMinAge11),MAX(CapacityAge11*'01_Вводные'!$B$218*'19_Расчет_аналитики'!AN4607,MeanMinAge11))),0)</f>
        <v/>
      </c>
      <c r="AO4522">
        <f>IF('01_Вводные'!$B$234="Да",IF(OR('19_Расчет_аналитики'!AO4494=0,11&lt;='01_Вводные'!$B$297),0,'19_Расчет_аналитики'!AO4494*IF('01_Вводные'!$B$239="Да",MeanMinAge11+'19_Расчет_аналитики'!AO4607*SUMIF(ThresholdAge11,"&lt;"&amp;'19_Расчет_аналитики'!AO4607,WeightedRevAge11)-SUMIF(ThresholdAge11,"&lt;"&amp;'19_Расчет_аналитики'!AO4607,WeightedMinAge11),MAX(CapacityAge11*'01_Вводные'!$B$218*'19_Расчет_аналитики'!AO4607,MeanMinAge11))),0)</f>
        <v/>
      </c>
      <c r="AP4522">
        <f>IF('01_Вводные'!$B$234="Да",IF(OR('19_Расчет_аналитики'!AP4494=0,11&lt;='01_Вводные'!$B$297),0,'19_Расчет_аналитики'!AP4494*IF('01_Вводные'!$B$239="Да",MeanMinAge11+'19_Расчет_аналитики'!AP4607*SUMIF(ThresholdAge11,"&lt;"&amp;'19_Расчет_аналитики'!AP4607,WeightedRevAge11)-SUMIF(ThresholdAge11,"&lt;"&amp;'19_Расчет_аналитики'!AP4607,WeightedMinAge11),MAX(CapacityAge11*'01_Вводные'!$B$218*'19_Расчет_аналитики'!AP4607,MeanMinAge11))),0)</f>
        <v/>
      </c>
      <c r="AQ4522">
        <f>IF('01_Вводные'!$B$234="Да",IF(OR('19_Расчет_аналитики'!AQ4494=0,11&lt;='01_Вводные'!$B$297),0,'19_Расчет_аналитики'!AQ4494*IF('01_Вводные'!$B$239="Да",MeanMinAge11+'19_Расчет_аналитики'!AQ4607*SUMIF(ThresholdAge11,"&lt;"&amp;'19_Расчет_аналитики'!AQ4607,WeightedRevAge11)-SUMIF(ThresholdAge11,"&lt;"&amp;'19_Расчет_аналитики'!AQ4607,WeightedMinAge11),MAX(CapacityAge11*'01_Вводные'!$B$218*'19_Расчет_аналитики'!AQ4607,MeanMinAge11))),0)</f>
        <v/>
      </c>
      <c r="AR4522">
        <f>IF('01_Вводные'!$B$234="Да",IF(OR('19_Расчет_аналитики'!AR4494=0,11&lt;='01_Вводные'!$B$297),0,'19_Расчет_аналитики'!AR4494*IF('01_Вводные'!$B$239="Да",MeanMinAge11+'19_Расчет_аналитики'!AR4607*SUMIF(ThresholdAge11,"&lt;"&amp;'19_Расчет_аналитики'!AR4607,WeightedRevAge11)-SUMIF(ThresholdAge11,"&lt;"&amp;'19_Расчет_аналитики'!AR4607,WeightedMinAge11),MAX(CapacityAge11*'01_Вводные'!$B$218*'19_Расчет_аналитики'!AR4607,MeanMinAge11))),0)</f>
        <v/>
      </c>
      <c r="AS4522">
        <f>IF('01_Вводные'!$B$234="Да",IF(OR('19_Расчет_аналитики'!AS4494=0,11&lt;='01_Вводные'!$B$297),0,'19_Расчет_аналитики'!AS4494*IF('01_Вводные'!$B$239="Да",MeanMinAge11+'19_Расчет_аналитики'!AS4607*SUMIF(ThresholdAge11,"&lt;"&amp;'19_Расчет_аналитики'!AS4607,WeightedRevAge11)-SUMIF(ThresholdAge11,"&lt;"&amp;'19_Расчет_аналитики'!AS4607,WeightedMinAge11),MAX(CapacityAge11*'01_Вводные'!$B$218*'19_Расчет_аналитики'!AS4607,MeanMinAge11))),0)</f>
        <v/>
      </c>
      <c r="AT4522">
        <f>IF('01_Вводные'!$B$234="Да",IF(OR('19_Расчет_аналитики'!AT4494=0,11&lt;='01_Вводные'!$B$297),0,'19_Расчет_аналитики'!AT4494*IF('01_Вводные'!$B$239="Да",MeanMinAge11+'19_Расчет_аналитики'!AT4607*SUMIF(ThresholdAge11,"&lt;"&amp;'19_Расчет_аналитики'!AT4607,WeightedRevAge11)-SUMIF(ThresholdAge11,"&lt;"&amp;'19_Расчет_аналитики'!AT4607,WeightedMinAge11),MAX(CapacityAge11*'01_Вводные'!$B$218*'19_Расчет_аналитики'!AT4607,MeanMinAge11))),0)</f>
        <v/>
      </c>
      <c r="AU4522">
        <f>IF('01_Вводные'!$B$234="Да",IF(OR('19_Расчет_аналитики'!AU4494=0,11&lt;='01_Вводные'!$B$297),0,'19_Расчет_аналитики'!AU4494*IF('01_Вводные'!$B$239="Да",MeanMinAge11+'19_Расчет_аналитики'!AU4607*SUMIF(ThresholdAge11,"&lt;"&amp;'19_Расчет_аналитики'!AU4607,WeightedRevAge11)-SUMIF(ThresholdAge11,"&lt;"&amp;'19_Расчет_аналитики'!AU4607,WeightedMinAge11),MAX(CapacityAge11*'01_Вводные'!$B$218*'19_Расчет_аналитики'!AU4607,MeanMinAge11))),0)</f>
        <v/>
      </c>
      <c r="AV4522">
        <f>IF('01_Вводные'!$B$234="Да",IF(OR('19_Расчет_аналитики'!AV4494=0,11&lt;='01_Вводные'!$B$297),0,'19_Расчет_аналитики'!AV4494*IF('01_Вводные'!$B$239="Да",MeanMinAge11+'19_Расчет_аналитики'!AV4607*SUMIF(ThresholdAge11,"&lt;"&amp;'19_Расчет_аналитики'!AV4607,WeightedRevAge11)-SUMIF(ThresholdAge11,"&lt;"&amp;'19_Расчет_аналитики'!AV4607,WeightedMinAge11),MAX(CapacityAge11*'01_Вводные'!$B$218*'19_Расчет_аналитики'!AV4607,MeanMinAge11))),0)</f>
        <v/>
      </c>
      <c r="AW4522">
        <f>IF('01_Вводные'!$B$234="Да",IF(OR('19_Расчет_аналитики'!AW4494=0,11&lt;='01_Вводные'!$B$297),0,'19_Расчет_аналитики'!AW4494*IF('01_Вводные'!$B$239="Да",MeanMinAge11+'19_Расчет_аналитики'!AW4607*SUMIF(ThresholdAge11,"&lt;"&amp;'19_Расчет_аналитики'!AW4607,WeightedRevAge11)-SUMIF(ThresholdAge11,"&lt;"&amp;'19_Расчет_аналитики'!AW4607,WeightedMinAge11),MAX(CapacityAge11*'01_Вводные'!$B$218*'19_Расчет_аналитики'!AW4607,MeanMinAge11))),0)</f>
        <v/>
      </c>
      <c r="AX4522">
        <f>IF('01_Вводные'!$B$234="Да",IF(OR('19_Расчет_аналитики'!AX4494=0,11&lt;='01_Вводные'!$B$297),0,'19_Расчет_аналитики'!AX4494*IF('01_Вводные'!$B$239="Да",MeanMinAge11+'19_Расчет_аналитики'!AX4607*SUMIF(ThresholdAge11,"&lt;"&amp;'19_Расчет_аналитики'!AX4607,WeightedRevAge11)-SUMIF(ThresholdAge11,"&lt;"&amp;'19_Расчет_аналитики'!AX4607,WeightedMinAge11),MAX(CapacityAge11*'01_Вводные'!$B$218*'19_Расчет_аналитики'!AX4607,MeanMinAge11))),0)</f>
        <v/>
      </c>
      <c r="AY4522">
        <f>IF('01_Вводные'!$B$234="Да",IF(OR('19_Расчет_аналитики'!AY4494=0,11&lt;='01_Вводные'!$B$297),0,'19_Расчет_аналитики'!AY4494*IF('01_Вводные'!$B$239="Да",MeanMinAge11+'19_Расчет_аналитики'!AY4607*SUMIF(ThresholdAge11,"&lt;"&amp;'19_Расчет_аналитики'!AY4607,WeightedRevAge11)-SUMIF(ThresholdAge11,"&lt;"&amp;'19_Расчет_аналитики'!AY4607,WeightedMinAge11),MAX(CapacityAge11*'01_Вводные'!$B$218*'19_Расчет_аналитики'!AY4607,MeanMinAge11))),0)</f>
        <v/>
      </c>
      <c r="AZ4522">
        <f>IF('01_Вводные'!$B$234="Да",IF(OR('19_Расчет_аналитики'!AZ4494=0,11&lt;='01_Вводные'!$B$297),0,'19_Расчет_аналитики'!AZ4494*IF('01_Вводные'!$B$239="Да",MeanMinAge11+'19_Расчет_аналитики'!AZ4607*SUMIF(ThresholdAge11,"&lt;"&amp;'19_Расчет_аналитики'!AZ4607,WeightedRevAge11)-SUMIF(ThresholdAge11,"&lt;"&amp;'19_Расчет_аналитики'!AZ4607,WeightedMinAge11),MAX(CapacityAge11*'01_Вводные'!$B$218*'19_Расчет_аналитики'!AZ4607,MeanMinAge11))),0)</f>
        <v/>
      </c>
      <c r="BA4522">
        <f>IF('01_Вводные'!$B$234="Да",IF(OR('19_Расчет_аналитики'!BA4494=0,11&lt;='01_Вводные'!$B$297),0,'19_Расчет_аналитики'!BA4494*IF('01_Вводные'!$B$239="Да",MeanMinAge11+'19_Расчет_аналитики'!BA4607*SUMIF(ThresholdAge11,"&lt;"&amp;'19_Расчет_аналитики'!BA4607,WeightedRevAge11)-SUMIF(ThresholdAge11,"&lt;"&amp;'19_Расчет_аналитики'!BA4607,WeightedMinAge11),MAX(CapacityAge11*'01_Вводные'!$B$218*'19_Расчет_аналитики'!BA4607,MeanMinAge11))),0)</f>
        <v/>
      </c>
      <c r="BB4522">
        <f>IF('01_Вводные'!$B$234="Да",IF(OR('19_Расчет_аналитики'!BB4494=0,11&lt;='01_Вводные'!$B$297),0,'19_Расчет_аналитики'!BB4494*IF('01_Вводные'!$B$239="Да",MeanMinAge11+'19_Расчет_аналитики'!BB4607*SUMIF(ThresholdAge11,"&lt;"&amp;'19_Расчет_аналитики'!BB4607,WeightedRevAge11)-SUMIF(ThresholdAge11,"&lt;"&amp;'19_Расчет_аналитики'!BB4607,WeightedMinAge11),MAX(CapacityAge11*'01_Вводные'!$B$218*'19_Расчет_аналитики'!BB4607,MeanMinAge11))),0)</f>
        <v/>
      </c>
      <c r="BC4522">
        <f>IF('01_Вводные'!$B$234="Да",IF(OR('19_Расчет_аналитики'!BC4494=0,11&lt;='01_Вводные'!$B$297),0,'19_Расчет_аналитики'!BC4494*IF('01_Вводные'!$B$239="Да",MeanMinAge11+'19_Расчет_аналитики'!BC4607*SUMIF(ThresholdAge11,"&lt;"&amp;'19_Расчет_аналитики'!BC4607,WeightedRevAge11)-SUMIF(ThresholdAge11,"&lt;"&amp;'19_Расчет_аналитики'!BC4607,WeightedMinAge11),MAX(CapacityAge11*'01_Вводные'!$B$218*'19_Расчет_аналитики'!BC4607,MeanMinAge11))),0)</f>
        <v/>
      </c>
      <c r="BD4522">
        <f>IF('01_Вводные'!$B$234="Да",IF(OR('19_Расчет_аналитики'!BD4494=0,11&lt;='01_Вводные'!$B$297),0,'19_Расчет_аналитики'!BD4494*IF('01_Вводные'!$B$239="Да",MeanMinAge11+'19_Расчет_аналитики'!BD4607*SUMIF(ThresholdAge11,"&lt;"&amp;'19_Расчет_аналитики'!BD4607,WeightedRevAge11)-SUMIF(ThresholdAge11,"&lt;"&amp;'19_Расчет_аналитики'!BD4607,WeightedMinAge11),MAX(CapacityAge11*'01_Вводные'!$B$218*'19_Расчет_аналитики'!BD4607,MeanMinAge11))),0)</f>
        <v/>
      </c>
      <c r="BE4522">
        <f>IF('01_Вводные'!$B$234="Да",IF(OR('19_Расчет_аналитики'!BE4494=0,11&lt;='01_Вводные'!$B$297),0,'19_Расчет_аналитики'!BE4494*IF('01_Вводные'!$B$239="Да",MeanMinAge11+'19_Расчет_аналитики'!BE4607*SUMIF(ThresholdAge11,"&lt;"&amp;'19_Расчет_аналитики'!BE4607,WeightedRevAge11)-SUMIF(ThresholdAge11,"&lt;"&amp;'19_Расчет_аналитики'!BE4607,WeightedMinAge11),MAX(CapacityAge11*'01_Вводные'!$B$218*'19_Расчет_аналитики'!BE4607,MeanMinAge11))),0)</f>
        <v/>
      </c>
      <c r="BF4522">
        <f>IF('01_Вводные'!$B$234="Да",IF(OR('19_Расчет_аналитики'!BF4494=0,11&lt;='01_Вводные'!$B$297),0,'19_Расчет_аналитики'!BF4494*IF('01_Вводные'!$B$239="Да",MeanMinAge11+'19_Расчет_аналитики'!BF4607*SUMIF(ThresholdAge11,"&lt;"&amp;'19_Расчет_аналитики'!BF4607,WeightedRevAge11)-SUMIF(ThresholdAge11,"&lt;"&amp;'19_Расчет_аналитики'!BF4607,WeightedMinAge11),MAX(CapacityAge11*'01_Вводные'!$B$218*'19_Расчет_аналитики'!BF4607,MeanMinAge11))),0)</f>
        <v/>
      </c>
      <c r="BG4522">
        <f>IF('01_Вводные'!$B$234="Да",IF(OR('19_Расчет_аналитики'!BG4494=0,11&lt;='01_Вводные'!$B$297),0,'19_Расчет_аналитики'!BG4494*IF('01_Вводные'!$B$239="Да",MeanMinAge11+'19_Расчет_аналитики'!BG4607*SUMIF(ThresholdAge11,"&lt;"&amp;'19_Расчет_аналитики'!BG4607,WeightedRevAge11)-SUMIF(ThresholdAge11,"&lt;"&amp;'19_Расчет_аналитики'!BG4607,WeightedMinAge11),MAX(CapacityAge11*'01_Вводные'!$B$218*'19_Расчет_аналитики'!BG4607,MeanMinAge11))),0)</f>
        <v/>
      </c>
      <c r="BH4522">
        <f>IF('01_Вводные'!$B$234="Да",IF(OR('19_Расчет_аналитики'!BH4494=0,11&lt;='01_Вводные'!$B$297),0,'19_Расчет_аналитики'!BH4494*IF('01_Вводные'!$B$239="Да",MeanMinAge11+'19_Расчет_аналитики'!BH4607*SUMIF(ThresholdAge11,"&lt;"&amp;'19_Расчет_аналитики'!BH4607,WeightedRevAge11)-SUMIF(ThresholdAge11,"&lt;"&amp;'19_Расчет_аналитики'!BH4607,WeightedMinAge11),MAX(CapacityAge11*'01_Вводные'!$B$218*'19_Расчет_аналитики'!BH4607,MeanMinAge11))),0)</f>
        <v/>
      </c>
      <c r="BI4522">
        <f>IF('01_Вводные'!$B$234="Да",IF(OR('19_Расчет_аналитики'!BI4494=0,11&lt;='01_Вводные'!$B$297),0,'19_Расчет_аналитики'!BI4494*IF('01_Вводные'!$B$239="Да",MeanMinAge11+'19_Расчет_аналитики'!BI4607*SUMIF(ThresholdAge11,"&lt;"&amp;'19_Расчет_аналитики'!BI4607,WeightedRevAge11)-SUMIF(ThresholdAge11,"&lt;"&amp;'19_Расчет_аналитики'!BI4607,WeightedMinAge11),MAX(CapacityAge11*'01_Вводные'!$B$218*'19_Расчет_аналитики'!BI4607,MeanMinAge11))),0)</f>
        <v/>
      </c>
      <c r="BJ4522">
        <f>IF('01_Вводные'!$B$234="Да",IF(OR('19_Расчет_аналитики'!BJ4494=0,11&lt;='01_Вводные'!$B$297),0,'19_Расчет_аналитики'!BJ4494*IF('01_Вводные'!$B$239="Да",MeanMinAge11+'19_Расчет_аналитики'!BJ4607*SUMIF(ThresholdAge11,"&lt;"&amp;'19_Расчет_аналитики'!BJ4607,WeightedRevAge11)-SUMIF(ThresholdAge11,"&lt;"&amp;'19_Расчет_аналитики'!BJ4607,WeightedMinAge11),MAX(CapacityAge11*'01_Вводные'!$B$218*'19_Расчет_аналитики'!BJ4607,MeanMinAge11))),0)</f>
        <v/>
      </c>
      <c r="BK4522">
        <f>IF('01_Вводные'!$B$234="Да",IF(OR('19_Расчет_аналитики'!BK4494=0,11&lt;='01_Вводные'!$B$297),0,'19_Расчет_аналитики'!BK4494*IF('01_Вводные'!$B$239="Да",MeanMinAge11+'19_Расчет_аналитики'!BK4607*SUMIF(ThresholdAge11,"&lt;"&amp;'19_Расчет_аналитики'!BK4607,WeightedRevAge11)-SUMIF(ThresholdAge11,"&lt;"&amp;'19_Расчет_аналитики'!BK4607,WeightedMinAge11),MAX(CapacityAge11*'01_Вводные'!$B$218*'19_Расчет_аналитики'!BK4607,MeanMinAge11))),0)</f>
        <v/>
      </c>
      <c r="BL4522">
        <f>IF('01_Вводные'!$B$234="Да",IF(OR('19_Расчет_аналитики'!BL4494=0,11&lt;='01_Вводные'!$B$297),0,'19_Расчет_аналитики'!BL4494*IF('01_Вводные'!$B$239="Да",MeanMinAge11+'19_Расчет_аналитики'!BL4607*SUMIF(ThresholdAge11,"&lt;"&amp;'19_Расчет_аналитики'!BL4607,WeightedRevAge11)-SUMIF(ThresholdAge11,"&lt;"&amp;'19_Расчет_аналитики'!BL4607,WeightedMinAge11),MAX(CapacityAge11*'01_Вводные'!$B$218*'19_Расчет_аналитики'!BL4607,MeanMinAge11))),0)</f>
        <v/>
      </c>
      <c r="BM4522">
        <f>IF('01_Вводные'!$B$234="Да",IF(OR('19_Расчет_аналитики'!BM4494=0,11&lt;='01_Вводные'!$B$297),0,'19_Расчет_аналитики'!BM4494*IF('01_Вводные'!$B$239="Да",MeanMinAge11+'19_Расчет_аналитики'!BM4607*SUMIF(ThresholdAge11,"&lt;"&amp;'19_Расчет_аналитики'!BM4607,WeightedRevAge11)-SUMIF(ThresholdAge11,"&lt;"&amp;'19_Расчет_аналитики'!BM4607,WeightedMinAge11),MAX(CapacityAge11*'01_Вводные'!$B$218*'19_Расчет_аналитики'!BM4607,MeanMinAge11))),0)</f>
        <v/>
      </c>
      <c r="BN4522">
        <f>IF('01_Вводные'!$B$234="Да",IF(OR('19_Расчет_аналитики'!BN4494=0,11&lt;='01_Вводные'!$B$297),0,'19_Расчет_аналитики'!BN4494*IF('01_Вводные'!$B$239="Да",MeanMinAge11+'19_Расчет_аналитики'!BN4607*SUMIF(ThresholdAge11,"&lt;"&amp;'19_Расчет_аналитики'!BN4607,WeightedRevAge11)-SUMIF(ThresholdAge11,"&lt;"&amp;'19_Расчет_аналитики'!BN4607,WeightedMinAge11),MAX(CapacityAge11*'01_Вводные'!$B$218*'19_Расчет_аналитики'!BN4607,MeanMinAge11))),0)</f>
        <v/>
      </c>
      <c r="BO4522">
        <f>IF('01_Вводные'!$B$234="Да",IF(OR('19_Расчет_аналитики'!BO4494=0,11&lt;='01_Вводные'!$B$297),0,'19_Расчет_аналитики'!BO4494*IF('01_Вводные'!$B$239="Да",MeanMinAge11+'19_Расчет_аналитики'!BO4607*SUMIF(ThresholdAge11,"&lt;"&amp;'19_Расчет_аналитики'!BO4607,WeightedRevAge11)-SUMIF(ThresholdAge11,"&lt;"&amp;'19_Расчет_аналитики'!BO4607,WeightedMinAge11),MAX(CapacityAge11*'01_Вводные'!$B$218*'19_Расчет_аналитики'!BO4607,MeanMinAge11))),0)</f>
        <v/>
      </c>
    </row>
    <row r="4523">
      <c r="B4523">
        <f>IF('01_Вводные'!$B$234="Да",IF(OR('06_Сеть_и_дети'!B92=0,12&lt;='01_Вводные'!$B$297),0,'06_Сеть_и_дети'!B92*IF('01_Вводные'!$B$239="Да",MeanMinAge12+'19_Расчет_аналитики'!B4607*SUMIF(ThresholdAge12,"&lt;"&amp;'19_Расчет_аналитики'!B4607,WeightedRevAge12)-SUMIF(ThresholdAge12,"&lt;"&amp;'19_Расчет_аналитики'!B4607,WeightedMinAge12),MAX(CapacityAge12*'01_Вводные'!$B$218*'19_Расчет_аналитики'!B4607,MeanMinAge12))),0)</f>
        <v/>
      </c>
      <c r="C4523">
        <f>IF('01_Вводные'!$B$234="Да",IF(OR('06_Сеть_и_дети'!C92=0,12&lt;='01_Вводные'!$B$297),0,'06_Сеть_и_дети'!C92*IF('01_Вводные'!$B$239="Да",MeanMinAge12+'19_Расчет_аналитики'!C4607*SUMIF(ThresholdAge12,"&lt;"&amp;'19_Расчет_аналитики'!C4607,WeightedRevAge12)-SUMIF(ThresholdAge12,"&lt;"&amp;'19_Расчет_аналитики'!C4607,WeightedMinAge12),MAX(CapacityAge12*'01_Вводные'!$B$218*'19_Расчет_аналитики'!C4607,MeanMinAge12))),0)</f>
        <v/>
      </c>
      <c r="D4523">
        <f>IF('01_Вводные'!$B$234="Да",IF(OR('06_Сеть_и_дети'!D92=0,12&lt;='01_Вводные'!$B$297),0,'06_Сеть_и_дети'!D92*IF('01_Вводные'!$B$239="Да",MeanMinAge12+'19_Расчет_аналитики'!D4607*SUMIF(ThresholdAge12,"&lt;"&amp;'19_Расчет_аналитики'!D4607,WeightedRevAge12)-SUMIF(ThresholdAge12,"&lt;"&amp;'19_Расчет_аналитики'!D4607,WeightedMinAge12),MAX(CapacityAge12*'01_Вводные'!$B$218*'19_Расчет_аналитики'!D4607,MeanMinAge12))),0)</f>
        <v/>
      </c>
      <c r="E4523">
        <f>IF('01_Вводные'!$B$234="Да",IF(OR('06_Сеть_и_дети'!E92=0,12&lt;='01_Вводные'!$B$297),0,'06_Сеть_и_дети'!E92*IF('01_Вводные'!$B$239="Да",MeanMinAge12+'19_Расчет_аналитики'!E4607*SUMIF(ThresholdAge12,"&lt;"&amp;'19_Расчет_аналитики'!E4607,WeightedRevAge12)-SUMIF(ThresholdAge12,"&lt;"&amp;'19_Расчет_аналитики'!E4607,WeightedMinAge12),MAX(CapacityAge12*'01_Вводные'!$B$218*'19_Расчет_аналитики'!E4607,MeanMinAge12))),0)</f>
        <v/>
      </c>
      <c r="F4523">
        <f>IF('01_Вводные'!$B$234="Да",IF(OR('06_Сеть_и_дети'!F92=0,12&lt;='01_Вводные'!$B$297),0,'06_Сеть_и_дети'!F92*IF('01_Вводные'!$B$239="Да",MeanMinAge12+'19_Расчет_аналитики'!F4607*SUMIF(ThresholdAge12,"&lt;"&amp;'19_Расчет_аналитики'!F4607,WeightedRevAge12)-SUMIF(ThresholdAge12,"&lt;"&amp;'19_Расчет_аналитики'!F4607,WeightedMinAge12),MAX(CapacityAge12*'01_Вводные'!$B$218*'19_Расчет_аналитики'!F4607,MeanMinAge12))),0)</f>
        <v/>
      </c>
      <c r="G4523">
        <f>IF('01_Вводные'!$B$234="Да",IF(OR('06_Сеть_и_дети'!G92=0,12&lt;='01_Вводные'!$B$297),0,'06_Сеть_и_дети'!G92*IF('01_Вводные'!$B$239="Да",MeanMinAge12+'19_Расчет_аналитики'!G4607*SUMIF(ThresholdAge12,"&lt;"&amp;'19_Расчет_аналитики'!G4607,WeightedRevAge12)-SUMIF(ThresholdAge12,"&lt;"&amp;'19_Расчет_аналитики'!G4607,WeightedMinAge12),MAX(CapacityAge12*'01_Вводные'!$B$218*'19_Расчет_аналитики'!G4607,MeanMinAge12))),0)</f>
        <v/>
      </c>
      <c r="H4523">
        <f>IF('01_Вводные'!$B$234="Да",IF(OR('06_Сеть_и_дети'!H92=0,12&lt;='01_Вводные'!$B$297),0,'06_Сеть_и_дети'!H92*IF('01_Вводные'!$B$239="Да",MeanMinAge12+'19_Расчет_аналитики'!H4607*SUMIF(ThresholdAge12,"&lt;"&amp;'19_Расчет_аналитики'!H4607,WeightedRevAge12)-SUMIF(ThresholdAge12,"&lt;"&amp;'19_Расчет_аналитики'!H4607,WeightedMinAge12),MAX(CapacityAge12*'01_Вводные'!$B$218*'19_Расчет_аналитики'!H4607,MeanMinAge12))),0)</f>
        <v/>
      </c>
      <c r="I4523">
        <f>IF('01_Вводные'!$B$234="Да",IF(OR('06_Сеть_и_дети'!I92=0,12&lt;='01_Вводные'!$B$297),0,'06_Сеть_и_дети'!I92*IF('01_Вводные'!$B$239="Да",MeanMinAge12+'19_Расчет_аналитики'!I4607*SUMIF(ThresholdAge12,"&lt;"&amp;'19_Расчет_аналитики'!I4607,WeightedRevAge12)-SUMIF(ThresholdAge12,"&lt;"&amp;'19_Расчет_аналитики'!I4607,WeightedMinAge12),MAX(CapacityAge12*'01_Вводные'!$B$218*'19_Расчет_аналитики'!I4607,MeanMinAge12))),0)</f>
        <v/>
      </c>
      <c r="J4523">
        <f>IF('01_Вводные'!$B$234="Да",IF(OR('06_Сеть_и_дети'!J92=0,12&lt;='01_Вводные'!$B$297),0,'06_Сеть_и_дети'!J92*IF('01_Вводные'!$B$239="Да",MeanMinAge12+'19_Расчет_аналитики'!J4607*SUMIF(ThresholdAge12,"&lt;"&amp;'19_Расчет_аналитики'!J4607,WeightedRevAge12)-SUMIF(ThresholdAge12,"&lt;"&amp;'19_Расчет_аналитики'!J4607,WeightedMinAge12),MAX(CapacityAge12*'01_Вводные'!$B$218*'19_Расчет_аналитики'!J4607,MeanMinAge12))),0)</f>
        <v/>
      </c>
      <c r="K4523">
        <f>IF('01_Вводные'!$B$234="Да",IF(OR('06_Сеть_и_дети'!K92=0,12&lt;='01_Вводные'!$B$297),0,'06_Сеть_и_дети'!K92*IF('01_Вводные'!$B$239="Да",MeanMinAge12+'19_Расчет_аналитики'!K4607*SUMIF(ThresholdAge12,"&lt;"&amp;'19_Расчет_аналитики'!K4607,WeightedRevAge12)-SUMIF(ThresholdAge12,"&lt;"&amp;'19_Расчет_аналитики'!K4607,WeightedMinAge12),MAX(CapacityAge12*'01_Вводные'!$B$218*'19_Расчет_аналитики'!K4607,MeanMinAge12))),0)</f>
        <v/>
      </c>
      <c r="L4523">
        <f>IF('01_Вводные'!$B$234="Да",IF(OR('06_Сеть_и_дети'!L92=0,12&lt;='01_Вводные'!$B$297),0,'06_Сеть_и_дети'!L92*IF('01_Вводные'!$B$239="Да",MeanMinAge12+'19_Расчет_аналитики'!L4607*SUMIF(ThresholdAge12,"&lt;"&amp;'19_Расчет_аналитики'!L4607,WeightedRevAge12)-SUMIF(ThresholdAge12,"&lt;"&amp;'19_Расчет_аналитики'!L4607,WeightedMinAge12),MAX(CapacityAge12*'01_Вводные'!$B$218*'19_Расчет_аналитики'!L4607,MeanMinAge12))),0)</f>
        <v/>
      </c>
      <c r="M4523">
        <f>IF('01_Вводные'!$B$234="Да",IF(OR('19_Расчет_аналитики'!M4495=0,12&lt;='01_Вводные'!$B$297),0,'19_Расчет_аналитики'!M4495*IF('01_Вводные'!$B$239="Да",MeanMinAge12+'19_Расчет_аналитики'!M4607*SUMIF(ThresholdAge12,"&lt;"&amp;'19_Расчет_аналитики'!M4607,WeightedRevAge12)-SUMIF(ThresholdAge12,"&lt;"&amp;'19_Расчет_аналитики'!M4607,WeightedMinAge12),MAX(CapacityAge12*'01_Вводные'!$B$218*'19_Расчет_аналитики'!M4607,MeanMinAge12))),0)</f>
        <v/>
      </c>
      <c r="N4523">
        <f>IF('01_Вводные'!$B$234="Да",IF(OR('19_Расчет_аналитики'!N4495=0,12&lt;='01_Вводные'!$B$297),0,'19_Расчет_аналитики'!N4495*IF('01_Вводные'!$B$239="Да",MeanMinAge12+'19_Расчет_аналитики'!N4607*SUMIF(ThresholdAge12,"&lt;"&amp;'19_Расчет_аналитики'!N4607,WeightedRevAge12)-SUMIF(ThresholdAge12,"&lt;"&amp;'19_Расчет_аналитики'!N4607,WeightedMinAge12),MAX(CapacityAge12*'01_Вводные'!$B$218*'19_Расчет_аналитики'!N4607,MeanMinAge12))),0)</f>
        <v/>
      </c>
      <c r="O4523">
        <f>IF('01_Вводные'!$B$234="Да",IF(OR('19_Расчет_аналитики'!O4495=0,12&lt;='01_Вводные'!$B$297),0,'19_Расчет_аналитики'!O4495*IF('01_Вводные'!$B$239="Да",MeanMinAge12+'19_Расчет_аналитики'!O4607*SUMIF(ThresholdAge12,"&lt;"&amp;'19_Расчет_аналитики'!O4607,WeightedRevAge12)-SUMIF(ThresholdAge12,"&lt;"&amp;'19_Расчет_аналитики'!O4607,WeightedMinAge12),MAX(CapacityAge12*'01_Вводные'!$B$218*'19_Расчет_аналитики'!O4607,MeanMinAge12))),0)</f>
        <v/>
      </c>
      <c r="P4523">
        <f>IF('01_Вводные'!$B$234="Да",IF(OR('19_Расчет_аналитики'!P4495=0,12&lt;='01_Вводные'!$B$297),0,'19_Расчет_аналитики'!P4495*IF('01_Вводные'!$B$239="Да",MeanMinAge12+'19_Расчет_аналитики'!P4607*SUMIF(ThresholdAge12,"&lt;"&amp;'19_Расчет_аналитики'!P4607,WeightedRevAge12)-SUMIF(ThresholdAge12,"&lt;"&amp;'19_Расчет_аналитики'!P4607,WeightedMinAge12),MAX(CapacityAge12*'01_Вводные'!$B$218*'19_Расчет_аналитики'!P4607,MeanMinAge12))),0)</f>
        <v/>
      </c>
      <c r="Q4523">
        <f>IF('01_Вводные'!$B$234="Да",IF(OR('19_Расчет_аналитики'!Q4495=0,12&lt;='01_Вводные'!$B$297),0,'19_Расчет_аналитики'!Q4495*IF('01_Вводные'!$B$239="Да",MeanMinAge12+'19_Расчет_аналитики'!Q4607*SUMIF(ThresholdAge12,"&lt;"&amp;'19_Расчет_аналитики'!Q4607,WeightedRevAge12)-SUMIF(ThresholdAge12,"&lt;"&amp;'19_Расчет_аналитики'!Q4607,WeightedMinAge12),MAX(CapacityAge12*'01_Вводные'!$B$218*'19_Расчет_аналитики'!Q4607,MeanMinAge12))),0)</f>
        <v/>
      </c>
      <c r="R4523">
        <f>IF('01_Вводные'!$B$234="Да",IF(OR('19_Расчет_аналитики'!R4495=0,12&lt;='01_Вводные'!$B$297),0,'19_Расчет_аналитики'!R4495*IF('01_Вводные'!$B$239="Да",MeanMinAge12+'19_Расчет_аналитики'!R4607*SUMIF(ThresholdAge12,"&lt;"&amp;'19_Расчет_аналитики'!R4607,WeightedRevAge12)-SUMIF(ThresholdAge12,"&lt;"&amp;'19_Расчет_аналитики'!R4607,WeightedMinAge12),MAX(CapacityAge12*'01_Вводные'!$B$218*'19_Расчет_аналитики'!R4607,MeanMinAge12))),0)</f>
        <v/>
      </c>
      <c r="S4523">
        <f>IF('01_Вводные'!$B$234="Да",IF(OR('19_Расчет_аналитики'!S4495=0,12&lt;='01_Вводные'!$B$297),0,'19_Расчет_аналитики'!S4495*IF('01_Вводные'!$B$239="Да",MeanMinAge12+'19_Расчет_аналитики'!S4607*SUMIF(ThresholdAge12,"&lt;"&amp;'19_Расчет_аналитики'!S4607,WeightedRevAge12)-SUMIF(ThresholdAge12,"&lt;"&amp;'19_Расчет_аналитики'!S4607,WeightedMinAge12),MAX(CapacityAge12*'01_Вводные'!$B$218*'19_Расчет_аналитики'!S4607,MeanMinAge12))),0)</f>
        <v/>
      </c>
      <c r="T4523">
        <f>IF('01_Вводные'!$B$234="Да",IF(OR('19_Расчет_аналитики'!T4495=0,12&lt;='01_Вводные'!$B$297),0,'19_Расчет_аналитики'!T4495*IF('01_Вводные'!$B$239="Да",MeanMinAge12+'19_Расчет_аналитики'!T4607*SUMIF(ThresholdAge12,"&lt;"&amp;'19_Расчет_аналитики'!T4607,WeightedRevAge12)-SUMIF(ThresholdAge12,"&lt;"&amp;'19_Расчет_аналитики'!T4607,WeightedMinAge12),MAX(CapacityAge12*'01_Вводные'!$B$218*'19_Расчет_аналитики'!T4607,MeanMinAge12))),0)</f>
        <v/>
      </c>
      <c r="U4523">
        <f>IF('01_Вводные'!$B$234="Да",IF(OR('19_Расчет_аналитики'!U4495=0,12&lt;='01_Вводные'!$B$297),0,'19_Расчет_аналитики'!U4495*IF('01_Вводные'!$B$239="Да",MeanMinAge12+'19_Расчет_аналитики'!U4607*SUMIF(ThresholdAge12,"&lt;"&amp;'19_Расчет_аналитики'!U4607,WeightedRevAge12)-SUMIF(ThresholdAge12,"&lt;"&amp;'19_Расчет_аналитики'!U4607,WeightedMinAge12),MAX(CapacityAge12*'01_Вводные'!$B$218*'19_Расчет_аналитики'!U4607,MeanMinAge12))),0)</f>
        <v/>
      </c>
      <c r="V4523">
        <f>IF('01_Вводные'!$B$234="Да",IF(OR('19_Расчет_аналитики'!V4495=0,12&lt;='01_Вводные'!$B$297),0,'19_Расчет_аналитики'!V4495*IF('01_Вводные'!$B$239="Да",MeanMinAge12+'19_Расчет_аналитики'!V4607*SUMIF(ThresholdAge12,"&lt;"&amp;'19_Расчет_аналитики'!V4607,WeightedRevAge12)-SUMIF(ThresholdAge12,"&lt;"&amp;'19_Расчет_аналитики'!V4607,WeightedMinAge12),MAX(CapacityAge12*'01_Вводные'!$B$218*'19_Расчет_аналитики'!V4607,MeanMinAge12))),0)</f>
        <v/>
      </c>
      <c r="W4523">
        <f>IF('01_Вводные'!$B$234="Да",IF(OR('19_Расчет_аналитики'!W4495=0,12&lt;='01_Вводные'!$B$297),0,'19_Расчет_аналитики'!W4495*IF('01_Вводные'!$B$239="Да",MeanMinAge12+'19_Расчет_аналитики'!W4607*SUMIF(ThresholdAge12,"&lt;"&amp;'19_Расчет_аналитики'!W4607,WeightedRevAge12)-SUMIF(ThresholdAge12,"&lt;"&amp;'19_Расчет_аналитики'!W4607,WeightedMinAge12),MAX(CapacityAge12*'01_Вводные'!$B$218*'19_Расчет_аналитики'!W4607,MeanMinAge12))),0)</f>
        <v/>
      </c>
      <c r="X4523">
        <f>IF('01_Вводные'!$B$234="Да",IF(OR('19_Расчет_аналитики'!X4495=0,12&lt;='01_Вводные'!$B$297),0,'19_Расчет_аналитики'!X4495*IF('01_Вводные'!$B$239="Да",MeanMinAge12+'19_Расчет_аналитики'!X4607*SUMIF(ThresholdAge12,"&lt;"&amp;'19_Расчет_аналитики'!X4607,WeightedRevAge12)-SUMIF(ThresholdAge12,"&lt;"&amp;'19_Расчет_аналитики'!X4607,WeightedMinAge12),MAX(CapacityAge12*'01_Вводные'!$B$218*'19_Расчет_аналитики'!X4607,MeanMinAge12))),0)</f>
        <v/>
      </c>
      <c r="Y4523">
        <f>IF('01_Вводные'!$B$234="Да",IF(OR('19_Расчет_аналитики'!Y4495=0,12&lt;='01_Вводные'!$B$297),0,'19_Расчет_аналитики'!Y4495*IF('01_Вводные'!$B$239="Да",MeanMinAge12+'19_Расчет_аналитики'!Y4607*SUMIF(ThresholdAge12,"&lt;"&amp;'19_Расчет_аналитики'!Y4607,WeightedRevAge12)-SUMIF(ThresholdAge12,"&lt;"&amp;'19_Расчет_аналитики'!Y4607,WeightedMinAge12),MAX(CapacityAge12*'01_Вводные'!$B$218*'19_Расчет_аналитики'!Y4607,MeanMinAge12))),0)</f>
        <v/>
      </c>
      <c r="Z4523">
        <f>IF('01_Вводные'!$B$234="Да",IF(OR('19_Расчет_аналитики'!Z4495=0,12&lt;='01_Вводные'!$B$297),0,'19_Расчет_аналитики'!Z4495*IF('01_Вводные'!$B$239="Да",MeanMinAge12+'19_Расчет_аналитики'!Z4607*SUMIF(ThresholdAge12,"&lt;"&amp;'19_Расчет_аналитики'!Z4607,WeightedRevAge12)-SUMIF(ThresholdAge12,"&lt;"&amp;'19_Расчет_аналитики'!Z4607,WeightedMinAge12),MAX(CapacityAge12*'01_Вводные'!$B$218*'19_Расчет_аналитики'!Z4607,MeanMinAge12))),0)</f>
        <v/>
      </c>
      <c r="AA4523">
        <f>IF('01_Вводные'!$B$234="Да",IF(OR('19_Расчет_аналитики'!AA4495=0,12&lt;='01_Вводные'!$B$297),0,'19_Расчет_аналитики'!AA4495*IF('01_Вводные'!$B$239="Да",MeanMinAge12+'19_Расчет_аналитики'!AA4607*SUMIF(ThresholdAge12,"&lt;"&amp;'19_Расчет_аналитики'!AA4607,WeightedRevAge12)-SUMIF(ThresholdAge12,"&lt;"&amp;'19_Расчет_аналитики'!AA4607,WeightedMinAge12),MAX(CapacityAge12*'01_Вводные'!$B$218*'19_Расчет_аналитики'!AA4607,MeanMinAge12))),0)</f>
        <v/>
      </c>
      <c r="AB4523">
        <f>IF('01_Вводные'!$B$234="Да",IF(OR('19_Расчет_аналитики'!AB4495=0,12&lt;='01_Вводные'!$B$297),0,'19_Расчет_аналитики'!AB4495*IF('01_Вводные'!$B$239="Да",MeanMinAge12+'19_Расчет_аналитики'!AB4607*SUMIF(ThresholdAge12,"&lt;"&amp;'19_Расчет_аналитики'!AB4607,WeightedRevAge12)-SUMIF(ThresholdAge12,"&lt;"&amp;'19_Расчет_аналитики'!AB4607,WeightedMinAge12),MAX(CapacityAge12*'01_Вводные'!$B$218*'19_Расчет_аналитики'!AB4607,MeanMinAge12))),0)</f>
        <v/>
      </c>
      <c r="AC4523">
        <f>IF('01_Вводные'!$B$234="Да",IF(OR('19_Расчет_аналитики'!AC4495=0,12&lt;='01_Вводные'!$B$297),0,'19_Расчет_аналитики'!AC4495*IF('01_Вводные'!$B$239="Да",MeanMinAge12+'19_Расчет_аналитики'!AC4607*SUMIF(ThresholdAge12,"&lt;"&amp;'19_Расчет_аналитики'!AC4607,WeightedRevAge12)-SUMIF(ThresholdAge12,"&lt;"&amp;'19_Расчет_аналитики'!AC4607,WeightedMinAge12),MAX(CapacityAge12*'01_Вводные'!$B$218*'19_Расчет_аналитики'!AC4607,MeanMinAge12))),0)</f>
        <v/>
      </c>
      <c r="AD4523">
        <f>IF('01_Вводные'!$B$234="Да",IF(OR('19_Расчет_аналитики'!AD4495=0,12&lt;='01_Вводные'!$B$297),0,'19_Расчет_аналитики'!AD4495*IF('01_Вводные'!$B$239="Да",MeanMinAge12+'19_Расчет_аналитики'!AD4607*SUMIF(ThresholdAge12,"&lt;"&amp;'19_Расчет_аналитики'!AD4607,WeightedRevAge12)-SUMIF(ThresholdAge12,"&lt;"&amp;'19_Расчет_аналитики'!AD4607,WeightedMinAge12),MAX(CapacityAge12*'01_Вводные'!$B$218*'19_Расчет_аналитики'!AD4607,MeanMinAge12))),0)</f>
        <v/>
      </c>
      <c r="AE4523">
        <f>IF('01_Вводные'!$B$234="Да",IF(OR('19_Расчет_аналитики'!AE4495=0,12&lt;='01_Вводные'!$B$297),0,'19_Расчет_аналитики'!AE4495*IF('01_Вводные'!$B$239="Да",MeanMinAge12+'19_Расчет_аналитики'!AE4607*SUMIF(ThresholdAge12,"&lt;"&amp;'19_Расчет_аналитики'!AE4607,WeightedRevAge12)-SUMIF(ThresholdAge12,"&lt;"&amp;'19_Расчет_аналитики'!AE4607,WeightedMinAge12),MAX(CapacityAge12*'01_Вводные'!$B$218*'19_Расчет_аналитики'!AE4607,MeanMinAge12))),0)</f>
        <v/>
      </c>
      <c r="AF4523">
        <f>IF('01_Вводные'!$B$234="Да",IF(OR('19_Расчет_аналитики'!AF4495=0,12&lt;='01_Вводные'!$B$297),0,'19_Расчет_аналитики'!AF4495*IF('01_Вводные'!$B$239="Да",MeanMinAge12+'19_Расчет_аналитики'!AF4607*SUMIF(ThresholdAge12,"&lt;"&amp;'19_Расчет_аналитики'!AF4607,WeightedRevAge12)-SUMIF(ThresholdAge12,"&lt;"&amp;'19_Расчет_аналитики'!AF4607,WeightedMinAge12),MAX(CapacityAge12*'01_Вводные'!$B$218*'19_Расчет_аналитики'!AF4607,MeanMinAge12))),0)</f>
        <v/>
      </c>
      <c r="AG4523">
        <f>IF('01_Вводные'!$B$234="Да",IF(OR('19_Расчет_аналитики'!AG4495=0,12&lt;='01_Вводные'!$B$297),0,'19_Расчет_аналитики'!AG4495*IF('01_Вводные'!$B$239="Да",MeanMinAge12+'19_Расчет_аналитики'!AG4607*SUMIF(ThresholdAge12,"&lt;"&amp;'19_Расчет_аналитики'!AG4607,WeightedRevAge12)-SUMIF(ThresholdAge12,"&lt;"&amp;'19_Расчет_аналитики'!AG4607,WeightedMinAge12),MAX(CapacityAge12*'01_Вводные'!$B$218*'19_Расчет_аналитики'!AG4607,MeanMinAge12))),0)</f>
        <v/>
      </c>
      <c r="AH4523">
        <f>IF('01_Вводные'!$B$234="Да",IF(OR('19_Расчет_аналитики'!AH4495=0,12&lt;='01_Вводные'!$B$297),0,'19_Расчет_аналитики'!AH4495*IF('01_Вводные'!$B$239="Да",MeanMinAge12+'19_Расчет_аналитики'!AH4607*SUMIF(ThresholdAge12,"&lt;"&amp;'19_Расчет_аналитики'!AH4607,WeightedRevAge12)-SUMIF(ThresholdAge12,"&lt;"&amp;'19_Расчет_аналитики'!AH4607,WeightedMinAge12),MAX(CapacityAge12*'01_Вводные'!$B$218*'19_Расчет_аналитики'!AH4607,MeanMinAge12))),0)</f>
        <v/>
      </c>
      <c r="AI4523">
        <f>IF('01_Вводные'!$B$234="Да",IF(OR('19_Расчет_аналитики'!AI4495=0,12&lt;='01_Вводные'!$B$297),0,'19_Расчет_аналитики'!AI4495*IF('01_Вводные'!$B$239="Да",MeanMinAge12+'19_Расчет_аналитики'!AI4607*SUMIF(ThresholdAge12,"&lt;"&amp;'19_Расчет_аналитики'!AI4607,WeightedRevAge12)-SUMIF(ThresholdAge12,"&lt;"&amp;'19_Расчет_аналитики'!AI4607,WeightedMinAge12),MAX(CapacityAge12*'01_Вводные'!$B$218*'19_Расчет_аналитики'!AI4607,MeanMinAge12))),0)</f>
        <v/>
      </c>
      <c r="AJ4523">
        <f>IF('01_Вводные'!$B$234="Да",IF(OR('19_Расчет_аналитики'!AJ4495=0,12&lt;='01_Вводные'!$B$297),0,'19_Расчет_аналитики'!AJ4495*IF('01_Вводные'!$B$239="Да",MeanMinAge12+'19_Расчет_аналитики'!AJ4607*SUMIF(ThresholdAge12,"&lt;"&amp;'19_Расчет_аналитики'!AJ4607,WeightedRevAge12)-SUMIF(ThresholdAge12,"&lt;"&amp;'19_Расчет_аналитики'!AJ4607,WeightedMinAge12),MAX(CapacityAge12*'01_Вводные'!$B$218*'19_Расчет_аналитики'!AJ4607,MeanMinAge12))),0)</f>
        <v/>
      </c>
      <c r="AK4523">
        <f>IF('01_Вводные'!$B$234="Да",IF(OR('19_Расчет_аналитики'!AK4495=0,12&lt;='01_Вводные'!$B$297),0,'19_Расчет_аналитики'!AK4495*IF('01_Вводные'!$B$239="Да",MeanMinAge12+'19_Расчет_аналитики'!AK4607*SUMIF(ThresholdAge12,"&lt;"&amp;'19_Расчет_аналитики'!AK4607,WeightedRevAge12)-SUMIF(ThresholdAge12,"&lt;"&amp;'19_Расчет_аналитики'!AK4607,WeightedMinAge12),MAX(CapacityAge12*'01_Вводные'!$B$218*'19_Расчет_аналитики'!AK4607,MeanMinAge12))),0)</f>
        <v/>
      </c>
      <c r="AL4523">
        <f>IF('01_Вводные'!$B$234="Да",IF(OR('19_Расчет_аналитики'!AL4495=0,12&lt;='01_Вводные'!$B$297),0,'19_Расчет_аналитики'!AL4495*IF('01_Вводные'!$B$239="Да",MeanMinAge12+'19_Расчет_аналитики'!AL4607*SUMIF(ThresholdAge12,"&lt;"&amp;'19_Расчет_аналитики'!AL4607,WeightedRevAge12)-SUMIF(ThresholdAge12,"&lt;"&amp;'19_Расчет_аналитики'!AL4607,WeightedMinAge12),MAX(CapacityAge12*'01_Вводные'!$B$218*'19_Расчет_аналитики'!AL4607,MeanMinAge12))),0)</f>
        <v/>
      </c>
      <c r="AM4523">
        <f>IF('01_Вводные'!$B$234="Да",IF(OR('19_Расчет_аналитики'!AM4495=0,12&lt;='01_Вводные'!$B$297),0,'19_Расчет_аналитики'!AM4495*IF('01_Вводные'!$B$239="Да",MeanMinAge12+'19_Расчет_аналитики'!AM4607*SUMIF(ThresholdAge12,"&lt;"&amp;'19_Расчет_аналитики'!AM4607,WeightedRevAge12)-SUMIF(ThresholdAge12,"&lt;"&amp;'19_Расчет_аналитики'!AM4607,WeightedMinAge12),MAX(CapacityAge12*'01_Вводные'!$B$218*'19_Расчет_аналитики'!AM4607,MeanMinAge12))),0)</f>
        <v/>
      </c>
      <c r="AN4523">
        <f>IF('01_Вводные'!$B$234="Да",IF(OR('19_Расчет_аналитики'!AN4495=0,12&lt;='01_Вводные'!$B$297),0,'19_Расчет_аналитики'!AN4495*IF('01_Вводные'!$B$239="Да",MeanMinAge12+'19_Расчет_аналитики'!AN4607*SUMIF(ThresholdAge12,"&lt;"&amp;'19_Расчет_аналитики'!AN4607,WeightedRevAge12)-SUMIF(ThresholdAge12,"&lt;"&amp;'19_Расчет_аналитики'!AN4607,WeightedMinAge12),MAX(CapacityAge12*'01_Вводные'!$B$218*'19_Расчет_аналитики'!AN4607,MeanMinAge12))),0)</f>
        <v/>
      </c>
      <c r="AO4523">
        <f>IF('01_Вводные'!$B$234="Да",IF(OR('19_Расчет_аналитики'!AO4495=0,12&lt;='01_Вводные'!$B$297),0,'19_Расчет_аналитики'!AO4495*IF('01_Вводные'!$B$239="Да",MeanMinAge12+'19_Расчет_аналитики'!AO4607*SUMIF(ThresholdAge12,"&lt;"&amp;'19_Расчет_аналитики'!AO4607,WeightedRevAge12)-SUMIF(ThresholdAge12,"&lt;"&amp;'19_Расчет_аналитики'!AO4607,WeightedMinAge12),MAX(CapacityAge12*'01_Вводные'!$B$218*'19_Расчет_аналитики'!AO4607,MeanMinAge12))),0)</f>
        <v/>
      </c>
      <c r="AP4523">
        <f>IF('01_Вводные'!$B$234="Да",IF(OR('19_Расчет_аналитики'!AP4495=0,12&lt;='01_Вводные'!$B$297),0,'19_Расчет_аналитики'!AP4495*IF('01_Вводные'!$B$239="Да",MeanMinAge12+'19_Расчет_аналитики'!AP4607*SUMIF(ThresholdAge12,"&lt;"&amp;'19_Расчет_аналитики'!AP4607,WeightedRevAge12)-SUMIF(ThresholdAge12,"&lt;"&amp;'19_Расчет_аналитики'!AP4607,WeightedMinAge12),MAX(CapacityAge12*'01_Вводные'!$B$218*'19_Расчет_аналитики'!AP4607,MeanMinAge12))),0)</f>
        <v/>
      </c>
      <c r="AQ4523">
        <f>IF('01_Вводные'!$B$234="Да",IF(OR('19_Расчет_аналитики'!AQ4495=0,12&lt;='01_Вводные'!$B$297),0,'19_Расчет_аналитики'!AQ4495*IF('01_Вводные'!$B$239="Да",MeanMinAge12+'19_Расчет_аналитики'!AQ4607*SUMIF(ThresholdAge12,"&lt;"&amp;'19_Расчет_аналитики'!AQ4607,WeightedRevAge12)-SUMIF(ThresholdAge12,"&lt;"&amp;'19_Расчет_аналитики'!AQ4607,WeightedMinAge12),MAX(CapacityAge12*'01_Вводные'!$B$218*'19_Расчет_аналитики'!AQ4607,MeanMinAge12))),0)</f>
        <v/>
      </c>
      <c r="AR4523">
        <f>IF('01_Вводные'!$B$234="Да",IF(OR('19_Расчет_аналитики'!AR4495=0,12&lt;='01_Вводные'!$B$297),0,'19_Расчет_аналитики'!AR4495*IF('01_Вводные'!$B$239="Да",MeanMinAge12+'19_Расчет_аналитики'!AR4607*SUMIF(ThresholdAge12,"&lt;"&amp;'19_Расчет_аналитики'!AR4607,WeightedRevAge12)-SUMIF(ThresholdAge12,"&lt;"&amp;'19_Расчет_аналитики'!AR4607,WeightedMinAge12),MAX(CapacityAge12*'01_Вводные'!$B$218*'19_Расчет_аналитики'!AR4607,MeanMinAge12))),0)</f>
        <v/>
      </c>
      <c r="AS4523">
        <f>IF('01_Вводные'!$B$234="Да",IF(OR('19_Расчет_аналитики'!AS4495=0,12&lt;='01_Вводные'!$B$297),0,'19_Расчет_аналитики'!AS4495*IF('01_Вводные'!$B$239="Да",MeanMinAge12+'19_Расчет_аналитики'!AS4607*SUMIF(ThresholdAge12,"&lt;"&amp;'19_Расчет_аналитики'!AS4607,WeightedRevAge12)-SUMIF(ThresholdAge12,"&lt;"&amp;'19_Расчет_аналитики'!AS4607,WeightedMinAge12),MAX(CapacityAge12*'01_Вводные'!$B$218*'19_Расчет_аналитики'!AS4607,MeanMinAge12))),0)</f>
        <v/>
      </c>
      <c r="AT4523">
        <f>IF('01_Вводные'!$B$234="Да",IF(OR('19_Расчет_аналитики'!AT4495=0,12&lt;='01_Вводные'!$B$297),0,'19_Расчет_аналитики'!AT4495*IF('01_Вводные'!$B$239="Да",MeanMinAge12+'19_Расчет_аналитики'!AT4607*SUMIF(ThresholdAge12,"&lt;"&amp;'19_Расчет_аналитики'!AT4607,WeightedRevAge12)-SUMIF(ThresholdAge12,"&lt;"&amp;'19_Расчет_аналитики'!AT4607,WeightedMinAge12),MAX(CapacityAge12*'01_Вводные'!$B$218*'19_Расчет_аналитики'!AT4607,MeanMinAge12))),0)</f>
        <v/>
      </c>
      <c r="AU4523">
        <f>IF('01_Вводные'!$B$234="Да",IF(OR('19_Расчет_аналитики'!AU4495=0,12&lt;='01_Вводные'!$B$297),0,'19_Расчет_аналитики'!AU4495*IF('01_Вводные'!$B$239="Да",MeanMinAge12+'19_Расчет_аналитики'!AU4607*SUMIF(ThresholdAge12,"&lt;"&amp;'19_Расчет_аналитики'!AU4607,WeightedRevAge12)-SUMIF(ThresholdAge12,"&lt;"&amp;'19_Расчет_аналитики'!AU4607,WeightedMinAge12),MAX(CapacityAge12*'01_Вводные'!$B$218*'19_Расчет_аналитики'!AU4607,MeanMinAge12))),0)</f>
        <v/>
      </c>
      <c r="AV4523">
        <f>IF('01_Вводные'!$B$234="Да",IF(OR('19_Расчет_аналитики'!AV4495=0,12&lt;='01_Вводные'!$B$297),0,'19_Расчет_аналитики'!AV4495*IF('01_Вводные'!$B$239="Да",MeanMinAge12+'19_Расчет_аналитики'!AV4607*SUMIF(ThresholdAge12,"&lt;"&amp;'19_Расчет_аналитики'!AV4607,WeightedRevAge12)-SUMIF(ThresholdAge12,"&lt;"&amp;'19_Расчет_аналитики'!AV4607,WeightedMinAge12),MAX(CapacityAge12*'01_Вводные'!$B$218*'19_Расчет_аналитики'!AV4607,MeanMinAge12))),0)</f>
        <v/>
      </c>
      <c r="AW4523">
        <f>IF('01_Вводные'!$B$234="Да",IF(OR('19_Расчет_аналитики'!AW4495=0,12&lt;='01_Вводные'!$B$297),0,'19_Расчет_аналитики'!AW4495*IF('01_Вводные'!$B$239="Да",MeanMinAge12+'19_Расчет_аналитики'!AW4607*SUMIF(ThresholdAge12,"&lt;"&amp;'19_Расчет_аналитики'!AW4607,WeightedRevAge12)-SUMIF(ThresholdAge12,"&lt;"&amp;'19_Расчет_аналитики'!AW4607,WeightedMinAge12),MAX(CapacityAge12*'01_Вводные'!$B$218*'19_Расчет_аналитики'!AW4607,MeanMinAge12))),0)</f>
        <v/>
      </c>
      <c r="AX4523">
        <f>IF('01_Вводные'!$B$234="Да",IF(OR('19_Расчет_аналитики'!AX4495=0,12&lt;='01_Вводные'!$B$297),0,'19_Расчет_аналитики'!AX4495*IF('01_Вводные'!$B$239="Да",MeanMinAge12+'19_Расчет_аналитики'!AX4607*SUMIF(ThresholdAge12,"&lt;"&amp;'19_Расчет_аналитики'!AX4607,WeightedRevAge12)-SUMIF(ThresholdAge12,"&lt;"&amp;'19_Расчет_аналитики'!AX4607,WeightedMinAge12),MAX(CapacityAge12*'01_Вводные'!$B$218*'19_Расчет_аналитики'!AX4607,MeanMinAge12))),0)</f>
        <v/>
      </c>
      <c r="AY4523">
        <f>IF('01_Вводные'!$B$234="Да",IF(OR('19_Расчет_аналитики'!AY4495=0,12&lt;='01_Вводные'!$B$297),0,'19_Расчет_аналитики'!AY4495*IF('01_Вводные'!$B$239="Да",MeanMinAge12+'19_Расчет_аналитики'!AY4607*SUMIF(ThresholdAge12,"&lt;"&amp;'19_Расчет_аналитики'!AY4607,WeightedRevAge12)-SUMIF(ThresholdAge12,"&lt;"&amp;'19_Расчет_аналитики'!AY4607,WeightedMinAge12),MAX(CapacityAge12*'01_Вводные'!$B$218*'19_Расчет_аналитики'!AY4607,MeanMinAge12))),0)</f>
        <v/>
      </c>
      <c r="AZ4523">
        <f>IF('01_Вводные'!$B$234="Да",IF(OR('19_Расчет_аналитики'!AZ4495=0,12&lt;='01_Вводные'!$B$297),0,'19_Расчет_аналитики'!AZ4495*IF('01_Вводные'!$B$239="Да",MeanMinAge12+'19_Расчет_аналитики'!AZ4607*SUMIF(ThresholdAge12,"&lt;"&amp;'19_Расчет_аналитики'!AZ4607,WeightedRevAge12)-SUMIF(ThresholdAge12,"&lt;"&amp;'19_Расчет_аналитики'!AZ4607,WeightedMinAge12),MAX(CapacityAge12*'01_Вводные'!$B$218*'19_Расчет_аналитики'!AZ4607,MeanMinAge12))),0)</f>
        <v/>
      </c>
      <c r="BA4523">
        <f>IF('01_Вводные'!$B$234="Да",IF(OR('19_Расчет_аналитики'!BA4495=0,12&lt;='01_Вводные'!$B$297),0,'19_Расчет_аналитики'!BA4495*IF('01_Вводные'!$B$239="Да",MeanMinAge12+'19_Расчет_аналитики'!BA4607*SUMIF(ThresholdAge12,"&lt;"&amp;'19_Расчет_аналитики'!BA4607,WeightedRevAge12)-SUMIF(ThresholdAge12,"&lt;"&amp;'19_Расчет_аналитики'!BA4607,WeightedMinAge12),MAX(CapacityAge12*'01_Вводные'!$B$218*'19_Расчет_аналитики'!BA4607,MeanMinAge12))),0)</f>
        <v/>
      </c>
      <c r="BB4523">
        <f>IF('01_Вводные'!$B$234="Да",IF(OR('19_Расчет_аналитики'!BB4495=0,12&lt;='01_Вводные'!$B$297),0,'19_Расчет_аналитики'!BB4495*IF('01_Вводные'!$B$239="Да",MeanMinAge12+'19_Расчет_аналитики'!BB4607*SUMIF(ThresholdAge12,"&lt;"&amp;'19_Расчет_аналитики'!BB4607,WeightedRevAge12)-SUMIF(ThresholdAge12,"&lt;"&amp;'19_Расчет_аналитики'!BB4607,WeightedMinAge12),MAX(CapacityAge12*'01_Вводные'!$B$218*'19_Расчет_аналитики'!BB4607,MeanMinAge12))),0)</f>
        <v/>
      </c>
      <c r="BC4523">
        <f>IF('01_Вводные'!$B$234="Да",IF(OR('19_Расчет_аналитики'!BC4495=0,12&lt;='01_Вводные'!$B$297),0,'19_Расчет_аналитики'!BC4495*IF('01_Вводные'!$B$239="Да",MeanMinAge12+'19_Расчет_аналитики'!BC4607*SUMIF(ThresholdAge12,"&lt;"&amp;'19_Расчет_аналитики'!BC4607,WeightedRevAge12)-SUMIF(ThresholdAge12,"&lt;"&amp;'19_Расчет_аналитики'!BC4607,WeightedMinAge12),MAX(CapacityAge12*'01_Вводные'!$B$218*'19_Расчет_аналитики'!BC4607,MeanMinAge12))),0)</f>
        <v/>
      </c>
      <c r="BD4523">
        <f>IF('01_Вводные'!$B$234="Да",IF(OR('19_Расчет_аналитики'!BD4495=0,12&lt;='01_Вводные'!$B$297),0,'19_Расчет_аналитики'!BD4495*IF('01_Вводные'!$B$239="Да",MeanMinAge12+'19_Расчет_аналитики'!BD4607*SUMIF(ThresholdAge12,"&lt;"&amp;'19_Расчет_аналитики'!BD4607,WeightedRevAge12)-SUMIF(ThresholdAge12,"&lt;"&amp;'19_Расчет_аналитики'!BD4607,WeightedMinAge12),MAX(CapacityAge12*'01_Вводные'!$B$218*'19_Расчет_аналитики'!BD4607,MeanMinAge12))),0)</f>
        <v/>
      </c>
      <c r="BE4523">
        <f>IF('01_Вводные'!$B$234="Да",IF(OR('19_Расчет_аналитики'!BE4495=0,12&lt;='01_Вводные'!$B$297),0,'19_Расчет_аналитики'!BE4495*IF('01_Вводные'!$B$239="Да",MeanMinAge12+'19_Расчет_аналитики'!BE4607*SUMIF(ThresholdAge12,"&lt;"&amp;'19_Расчет_аналитики'!BE4607,WeightedRevAge12)-SUMIF(ThresholdAge12,"&lt;"&amp;'19_Расчет_аналитики'!BE4607,WeightedMinAge12),MAX(CapacityAge12*'01_Вводные'!$B$218*'19_Расчет_аналитики'!BE4607,MeanMinAge12))),0)</f>
        <v/>
      </c>
      <c r="BF4523">
        <f>IF('01_Вводные'!$B$234="Да",IF(OR('19_Расчет_аналитики'!BF4495=0,12&lt;='01_Вводные'!$B$297),0,'19_Расчет_аналитики'!BF4495*IF('01_Вводные'!$B$239="Да",MeanMinAge12+'19_Расчет_аналитики'!BF4607*SUMIF(ThresholdAge12,"&lt;"&amp;'19_Расчет_аналитики'!BF4607,WeightedRevAge12)-SUMIF(ThresholdAge12,"&lt;"&amp;'19_Расчет_аналитики'!BF4607,WeightedMinAge12),MAX(CapacityAge12*'01_Вводные'!$B$218*'19_Расчет_аналитики'!BF4607,MeanMinAge12))),0)</f>
        <v/>
      </c>
      <c r="BG4523">
        <f>IF('01_Вводные'!$B$234="Да",IF(OR('19_Расчет_аналитики'!BG4495=0,12&lt;='01_Вводные'!$B$297),0,'19_Расчет_аналитики'!BG4495*IF('01_Вводные'!$B$239="Да",MeanMinAge12+'19_Расчет_аналитики'!BG4607*SUMIF(ThresholdAge12,"&lt;"&amp;'19_Расчет_аналитики'!BG4607,WeightedRevAge12)-SUMIF(ThresholdAge12,"&lt;"&amp;'19_Расчет_аналитики'!BG4607,WeightedMinAge12),MAX(CapacityAge12*'01_Вводные'!$B$218*'19_Расчет_аналитики'!BG4607,MeanMinAge12))),0)</f>
        <v/>
      </c>
      <c r="BH4523">
        <f>IF('01_Вводные'!$B$234="Да",IF(OR('19_Расчет_аналитики'!BH4495=0,12&lt;='01_Вводные'!$B$297),0,'19_Расчет_аналитики'!BH4495*IF('01_Вводные'!$B$239="Да",MeanMinAge12+'19_Расчет_аналитики'!BH4607*SUMIF(ThresholdAge12,"&lt;"&amp;'19_Расчет_аналитики'!BH4607,WeightedRevAge12)-SUMIF(ThresholdAge12,"&lt;"&amp;'19_Расчет_аналитики'!BH4607,WeightedMinAge12),MAX(CapacityAge12*'01_Вводные'!$B$218*'19_Расчет_аналитики'!BH4607,MeanMinAge12))),0)</f>
        <v/>
      </c>
      <c r="BI4523">
        <f>IF('01_Вводные'!$B$234="Да",IF(OR('19_Расчет_аналитики'!BI4495=0,12&lt;='01_Вводные'!$B$297),0,'19_Расчет_аналитики'!BI4495*IF('01_Вводные'!$B$239="Да",MeanMinAge12+'19_Расчет_аналитики'!BI4607*SUMIF(ThresholdAge12,"&lt;"&amp;'19_Расчет_аналитики'!BI4607,WeightedRevAge12)-SUMIF(ThresholdAge12,"&lt;"&amp;'19_Расчет_аналитики'!BI4607,WeightedMinAge12),MAX(CapacityAge12*'01_Вводные'!$B$218*'19_Расчет_аналитики'!BI4607,MeanMinAge12))),0)</f>
        <v/>
      </c>
      <c r="BJ4523">
        <f>IF('01_Вводные'!$B$234="Да",IF(OR('19_Расчет_аналитики'!BJ4495=0,12&lt;='01_Вводные'!$B$297),0,'19_Расчет_аналитики'!BJ4495*IF('01_Вводные'!$B$239="Да",MeanMinAge12+'19_Расчет_аналитики'!BJ4607*SUMIF(ThresholdAge12,"&lt;"&amp;'19_Расчет_аналитики'!BJ4607,WeightedRevAge12)-SUMIF(ThresholdAge12,"&lt;"&amp;'19_Расчет_аналитики'!BJ4607,WeightedMinAge12),MAX(CapacityAge12*'01_Вводные'!$B$218*'19_Расчет_аналитики'!BJ4607,MeanMinAge12))),0)</f>
        <v/>
      </c>
      <c r="BK4523">
        <f>IF('01_Вводные'!$B$234="Да",IF(OR('19_Расчет_аналитики'!BK4495=0,12&lt;='01_Вводные'!$B$297),0,'19_Расчет_аналитики'!BK4495*IF('01_Вводные'!$B$239="Да",MeanMinAge12+'19_Расчет_аналитики'!BK4607*SUMIF(ThresholdAge12,"&lt;"&amp;'19_Расчет_аналитики'!BK4607,WeightedRevAge12)-SUMIF(ThresholdAge12,"&lt;"&amp;'19_Расчет_аналитики'!BK4607,WeightedMinAge12),MAX(CapacityAge12*'01_Вводные'!$B$218*'19_Расчет_аналитики'!BK4607,MeanMinAge12))),0)</f>
        <v/>
      </c>
      <c r="BL4523">
        <f>IF('01_Вводные'!$B$234="Да",IF(OR('19_Расчет_аналитики'!BL4495=0,12&lt;='01_Вводные'!$B$297),0,'19_Расчет_аналитики'!BL4495*IF('01_Вводные'!$B$239="Да",MeanMinAge12+'19_Расчет_аналитики'!BL4607*SUMIF(ThresholdAge12,"&lt;"&amp;'19_Расчет_аналитики'!BL4607,WeightedRevAge12)-SUMIF(ThresholdAge12,"&lt;"&amp;'19_Расчет_аналитики'!BL4607,WeightedMinAge12),MAX(CapacityAge12*'01_Вводные'!$B$218*'19_Расчет_аналитики'!BL4607,MeanMinAge12))),0)</f>
        <v/>
      </c>
      <c r="BM4523">
        <f>IF('01_Вводные'!$B$234="Да",IF(OR('19_Расчет_аналитики'!BM4495=0,12&lt;='01_Вводные'!$B$297),0,'19_Расчет_аналитики'!BM4495*IF('01_Вводные'!$B$239="Да",MeanMinAge12+'19_Расчет_аналитики'!BM4607*SUMIF(ThresholdAge12,"&lt;"&amp;'19_Расчет_аналитики'!BM4607,WeightedRevAge12)-SUMIF(ThresholdAge12,"&lt;"&amp;'19_Расчет_аналитики'!BM4607,WeightedMinAge12),MAX(CapacityAge12*'01_Вводные'!$B$218*'19_Расчет_аналитики'!BM4607,MeanMinAge12))),0)</f>
        <v/>
      </c>
      <c r="BN4523">
        <f>IF('01_Вводные'!$B$234="Да",IF(OR('19_Расчет_аналитики'!BN4495=0,12&lt;='01_Вводные'!$B$297),0,'19_Расчет_аналитики'!BN4495*IF('01_Вводные'!$B$239="Да",MeanMinAge12+'19_Расчет_аналитики'!BN4607*SUMIF(ThresholdAge12,"&lt;"&amp;'19_Расчет_аналитики'!BN4607,WeightedRevAge12)-SUMIF(ThresholdAge12,"&lt;"&amp;'19_Расчет_аналитики'!BN4607,WeightedMinAge12),MAX(CapacityAge12*'01_Вводные'!$B$218*'19_Расчет_аналитики'!BN4607,MeanMinAge12))),0)</f>
        <v/>
      </c>
      <c r="BO4523">
        <f>IF('01_Вводные'!$B$234="Да",IF(OR('19_Расчет_аналитики'!BO4495=0,12&lt;='01_Вводные'!$B$297),0,'19_Расчет_аналитики'!BO4495*IF('01_Вводные'!$B$239="Да",MeanMinAge12+'19_Расчет_аналитики'!BO4607*SUMIF(ThresholdAge12,"&lt;"&amp;'19_Расчет_аналитики'!BO4607,WeightedRevAge12)-SUMIF(ThresholdAge12,"&lt;"&amp;'19_Расчет_аналитики'!BO4607,WeightedMinAge12),MAX(CapacityAge12*'01_Вводные'!$B$218*'19_Расчет_аналитики'!BO4607,MeanMinAge12))),0)</f>
        <v/>
      </c>
    </row>
    <row r="4524">
      <c r="B4524">
        <f>IF('01_Вводные'!$B$234="Да",IF(OR('06_Сеть_и_дети'!B93=0,13&lt;='01_Вводные'!$B$297),0,'06_Сеть_и_дети'!B93*IF('01_Вводные'!$B$239="Да",MeanMinAge13+'19_Расчет_аналитики'!B4607*SUMIF(ThresholdAge13,"&lt;"&amp;'19_Расчет_аналитики'!B4607,WeightedRevAge13)-SUMIF(ThresholdAge13,"&lt;"&amp;'19_Расчет_аналитики'!B4607,WeightedMinAge13),MAX(CapacityAge13*'01_Вводные'!$B$218*'19_Расчет_аналитики'!B4607,MeanMinAge13))),0)</f>
        <v/>
      </c>
      <c r="C4524">
        <f>IF('01_Вводные'!$B$234="Да",IF(OR('06_Сеть_и_дети'!C93=0,13&lt;='01_Вводные'!$B$297),0,'06_Сеть_и_дети'!C93*IF('01_Вводные'!$B$239="Да",MeanMinAge13+'19_Расчет_аналитики'!C4607*SUMIF(ThresholdAge13,"&lt;"&amp;'19_Расчет_аналитики'!C4607,WeightedRevAge13)-SUMIF(ThresholdAge13,"&lt;"&amp;'19_Расчет_аналитики'!C4607,WeightedMinAge13),MAX(CapacityAge13*'01_Вводные'!$B$218*'19_Расчет_аналитики'!C4607,MeanMinAge13))),0)</f>
        <v/>
      </c>
      <c r="D4524">
        <f>IF('01_Вводные'!$B$234="Да",IF(OR('06_Сеть_и_дети'!D93=0,13&lt;='01_Вводные'!$B$297),0,'06_Сеть_и_дети'!D93*IF('01_Вводные'!$B$239="Да",MeanMinAge13+'19_Расчет_аналитики'!D4607*SUMIF(ThresholdAge13,"&lt;"&amp;'19_Расчет_аналитики'!D4607,WeightedRevAge13)-SUMIF(ThresholdAge13,"&lt;"&amp;'19_Расчет_аналитики'!D4607,WeightedMinAge13),MAX(CapacityAge13*'01_Вводные'!$B$218*'19_Расчет_аналитики'!D4607,MeanMinAge13))),0)</f>
        <v/>
      </c>
      <c r="E4524">
        <f>IF('01_Вводные'!$B$234="Да",IF(OR('06_Сеть_и_дети'!E93=0,13&lt;='01_Вводные'!$B$297),0,'06_Сеть_и_дети'!E93*IF('01_Вводные'!$B$239="Да",MeanMinAge13+'19_Расчет_аналитики'!E4607*SUMIF(ThresholdAge13,"&lt;"&amp;'19_Расчет_аналитики'!E4607,WeightedRevAge13)-SUMIF(ThresholdAge13,"&lt;"&amp;'19_Расчет_аналитики'!E4607,WeightedMinAge13),MAX(CapacityAge13*'01_Вводные'!$B$218*'19_Расчет_аналитики'!E4607,MeanMinAge13))),0)</f>
        <v/>
      </c>
      <c r="F4524">
        <f>IF('01_Вводные'!$B$234="Да",IF(OR('06_Сеть_и_дети'!F93=0,13&lt;='01_Вводные'!$B$297),0,'06_Сеть_и_дети'!F93*IF('01_Вводные'!$B$239="Да",MeanMinAge13+'19_Расчет_аналитики'!F4607*SUMIF(ThresholdAge13,"&lt;"&amp;'19_Расчет_аналитики'!F4607,WeightedRevAge13)-SUMIF(ThresholdAge13,"&lt;"&amp;'19_Расчет_аналитики'!F4607,WeightedMinAge13),MAX(CapacityAge13*'01_Вводные'!$B$218*'19_Расчет_аналитики'!F4607,MeanMinAge13))),0)</f>
        <v/>
      </c>
      <c r="G4524">
        <f>IF('01_Вводные'!$B$234="Да",IF(OR('06_Сеть_и_дети'!G93=0,13&lt;='01_Вводные'!$B$297),0,'06_Сеть_и_дети'!G93*IF('01_Вводные'!$B$239="Да",MeanMinAge13+'19_Расчет_аналитики'!G4607*SUMIF(ThresholdAge13,"&lt;"&amp;'19_Расчет_аналитики'!G4607,WeightedRevAge13)-SUMIF(ThresholdAge13,"&lt;"&amp;'19_Расчет_аналитики'!G4607,WeightedMinAge13),MAX(CapacityAge13*'01_Вводные'!$B$218*'19_Расчет_аналитики'!G4607,MeanMinAge13))),0)</f>
        <v/>
      </c>
      <c r="H4524">
        <f>IF('01_Вводные'!$B$234="Да",IF(OR('06_Сеть_и_дети'!H93=0,13&lt;='01_Вводные'!$B$297),0,'06_Сеть_и_дети'!H93*IF('01_Вводные'!$B$239="Да",MeanMinAge13+'19_Расчет_аналитики'!H4607*SUMIF(ThresholdAge13,"&lt;"&amp;'19_Расчет_аналитики'!H4607,WeightedRevAge13)-SUMIF(ThresholdAge13,"&lt;"&amp;'19_Расчет_аналитики'!H4607,WeightedMinAge13),MAX(CapacityAge13*'01_Вводные'!$B$218*'19_Расчет_аналитики'!H4607,MeanMinAge13))),0)</f>
        <v/>
      </c>
      <c r="I4524">
        <f>IF('01_Вводные'!$B$234="Да",IF(OR('06_Сеть_и_дети'!I93=0,13&lt;='01_Вводные'!$B$297),0,'06_Сеть_и_дети'!I93*IF('01_Вводные'!$B$239="Да",MeanMinAge13+'19_Расчет_аналитики'!I4607*SUMIF(ThresholdAge13,"&lt;"&amp;'19_Расчет_аналитики'!I4607,WeightedRevAge13)-SUMIF(ThresholdAge13,"&lt;"&amp;'19_Расчет_аналитики'!I4607,WeightedMinAge13),MAX(CapacityAge13*'01_Вводные'!$B$218*'19_Расчет_аналитики'!I4607,MeanMinAge13))),0)</f>
        <v/>
      </c>
      <c r="J4524">
        <f>IF('01_Вводные'!$B$234="Да",IF(OR('06_Сеть_и_дети'!J93=0,13&lt;='01_Вводные'!$B$297),0,'06_Сеть_и_дети'!J93*IF('01_Вводные'!$B$239="Да",MeanMinAge13+'19_Расчет_аналитики'!J4607*SUMIF(ThresholdAge13,"&lt;"&amp;'19_Расчет_аналитики'!J4607,WeightedRevAge13)-SUMIF(ThresholdAge13,"&lt;"&amp;'19_Расчет_аналитики'!J4607,WeightedMinAge13),MAX(CapacityAge13*'01_Вводные'!$B$218*'19_Расчет_аналитики'!J4607,MeanMinAge13))),0)</f>
        <v/>
      </c>
      <c r="K4524">
        <f>IF('01_Вводные'!$B$234="Да",IF(OR('06_Сеть_и_дети'!K93=0,13&lt;='01_Вводные'!$B$297),0,'06_Сеть_и_дети'!K93*IF('01_Вводные'!$B$239="Да",MeanMinAge13+'19_Расчет_аналитики'!K4607*SUMIF(ThresholdAge13,"&lt;"&amp;'19_Расчет_аналитики'!K4607,WeightedRevAge13)-SUMIF(ThresholdAge13,"&lt;"&amp;'19_Расчет_аналитики'!K4607,WeightedMinAge13),MAX(CapacityAge13*'01_Вводные'!$B$218*'19_Расчет_аналитики'!K4607,MeanMinAge13))),0)</f>
        <v/>
      </c>
      <c r="L4524">
        <f>IF('01_Вводные'!$B$234="Да",IF(OR('06_Сеть_и_дети'!L93=0,13&lt;='01_Вводные'!$B$297),0,'06_Сеть_и_дети'!L93*IF('01_Вводные'!$B$239="Да",MeanMinAge13+'19_Расчет_аналитики'!L4607*SUMIF(ThresholdAge13,"&lt;"&amp;'19_Расчет_аналитики'!L4607,WeightedRevAge13)-SUMIF(ThresholdAge13,"&lt;"&amp;'19_Расчет_аналитики'!L4607,WeightedMinAge13),MAX(CapacityAge13*'01_Вводные'!$B$218*'19_Расчет_аналитики'!L4607,MeanMinAge13))),0)</f>
        <v/>
      </c>
      <c r="M4524">
        <f>IF('01_Вводные'!$B$234="Да",IF(OR('06_Сеть_и_дети'!M93=0,13&lt;='01_Вводные'!$B$297),0,'06_Сеть_и_дети'!M93*IF('01_Вводные'!$B$239="Да",MeanMinAge13+'19_Расчет_аналитики'!M4607*SUMIF(ThresholdAge13,"&lt;"&amp;'19_Расчет_аналитики'!M4607,WeightedRevAge13)-SUMIF(ThresholdAge13,"&lt;"&amp;'19_Расчет_аналитики'!M4607,WeightedMinAge13),MAX(CapacityAge13*'01_Вводные'!$B$218*'19_Расчет_аналитики'!M4607,MeanMinAge13))),0)</f>
        <v/>
      </c>
      <c r="N4524">
        <f>IF('01_Вводные'!$B$234="Да",IF(OR('19_Расчет_аналитики'!N4496=0,13&lt;='01_Вводные'!$B$297),0,'19_Расчет_аналитики'!N4496*IF('01_Вводные'!$B$239="Да",MeanMinAge13+'19_Расчет_аналитики'!N4607*SUMIF(ThresholdAge13,"&lt;"&amp;'19_Расчет_аналитики'!N4607,WeightedRevAge13)-SUMIF(ThresholdAge13,"&lt;"&amp;'19_Расчет_аналитики'!N4607,WeightedMinAge13),MAX(CapacityAge13*'01_Вводные'!$B$218*'19_Расчет_аналитики'!N4607,MeanMinAge13))),0)</f>
        <v/>
      </c>
      <c r="O4524">
        <f>IF('01_Вводные'!$B$234="Да",IF(OR('19_Расчет_аналитики'!O4496=0,13&lt;='01_Вводные'!$B$297),0,'19_Расчет_аналитики'!O4496*IF('01_Вводные'!$B$239="Да",MeanMinAge13+'19_Расчет_аналитики'!O4607*SUMIF(ThresholdAge13,"&lt;"&amp;'19_Расчет_аналитики'!O4607,WeightedRevAge13)-SUMIF(ThresholdAge13,"&lt;"&amp;'19_Расчет_аналитики'!O4607,WeightedMinAge13),MAX(CapacityAge13*'01_Вводные'!$B$218*'19_Расчет_аналитики'!O4607,MeanMinAge13))),0)</f>
        <v/>
      </c>
      <c r="P4524">
        <f>IF('01_Вводные'!$B$234="Да",IF(OR('19_Расчет_аналитики'!P4496=0,13&lt;='01_Вводные'!$B$297),0,'19_Расчет_аналитики'!P4496*IF('01_Вводные'!$B$239="Да",MeanMinAge13+'19_Расчет_аналитики'!P4607*SUMIF(ThresholdAge13,"&lt;"&amp;'19_Расчет_аналитики'!P4607,WeightedRevAge13)-SUMIF(ThresholdAge13,"&lt;"&amp;'19_Расчет_аналитики'!P4607,WeightedMinAge13),MAX(CapacityAge13*'01_Вводные'!$B$218*'19_Расчет_аналитики'!P4607,MeanMinAge13))),0)</f>
        <v/>
      </c>
      <c r="Q4524">
        <f>IF('01_Вводные'!$B$234="Да",IF(OR('19_Расчет_аналитики'!Q4496=0,13&lt;='01_Вводные'!$B$297),0,'19_Расчет_аналитики'!Q4496*IF('01_Вводные'!$B$239="Да",MeanMinAge13+'19_Расчет_аналитики'!Q4607*SUMIF(ThresholdAge13,"&lt;"&amp;'19_Расчет_аналитики'!Q4607,WeightedRevAge13)-SUMIF(ThresholdAge13,"&lt;"&amp;'19_Расчет_аналитики'!Q4607,WeightedMinAge13),MAX(CapacityAge13*'01_Вводные'!$B$218*'19_Расчет_аналитики'!Q4607,MeanMinAge13))),0)</f>
        <v/>
      </c>
      <c r="R4524">
        <f>IF('01_Вводные'!$B$234="Да",IF(OR('19_Расчет_аналитики'!R4496=0,13&lt;='01_Вводные'!$B$297),0,'19_Расчет_аналитики'!R4496*IF('01_Вводные'!$B$239="Да",MeanMinAge13+'19_Расчет_аналитики'!R4607*SUMIF(ThresholdAge13,"&lt;"&amp;'19_Расчет_аналитики'!R4607,WeightedRevAge13)-SUMIF(ThresholdAge13,"&lt;"&amp;'19_Расчет_аналитики'!R4607,WeightedMinAge13),MAX(CapacityAge13*'01_Вводные'!$B$218*'19_Расчет_аналитики'!R4607,MeanMinAge13))),0)</f>
        <v/>
      </c>
      <c r="S4524">
        <f>IF('01_Вводные'!$B$234="Да",IF(OR('19_Расчет_аналитики'!S4496=0,13&lt;='01_Вводные'!$B$297),0,'19_Расчет_аналитики'!S4496*IF('01_Вводные'!$B$239="Да",MeanMinAge13+'19_Расчет_аналитики'!S4607*SUMIF(ThresholdAge13,"&lt;"&amp;'19_Расчет_аналитики'!S4607,WeightedRevAge13)-SUMIF(ThresholdAge13,"&lt;"&amp;'19_Расчет_аналитики'!S4607,WeightedMinAge13),MAX(CapacityAge13*'01_Вводные'!$B$218*'19_Расчет_аналитики'!S4607,MeanMinAge13))),0)</f>
        <v/>
      </c>
      <c r="T4524">
        <f>IF('01_Вводные'!$B$234="Да",IF(OR('19_Расчет_аналитики'!T4496=0,13&lt;='01_Вводные'!$B$297),0,'19_Расчет_аналитики'!T4496*IF('01_Вводные'!$B$239="Да",MeanMinAge13+'19_Расчет_аналитики'!T4607*SUMIF(ThresholdAge13,"&lt;"&amp;'19_Расчет_аналитики'!T4607,WeightedRevAge13)-SUMIF(ThresholdAge13,"&lt;"&amp;'19_Расчет_аналитики'!T4607,WeightedMinAge13),MAX(CapacityAge13*'01_Вводные'!$B$218*'19_Расчет_аналитики'!T4607,MeanMinAge13))),0)</f>
        <v/>
      </c>
      <c r="U4524">
        <f>IF('01_Вводные'!$B$234="Да",IF(OR('19_Расчет_аналитики'!U4496=0,13&lt;='01_Вводные'!$B$297),0,'19_Расчет_аналитики'!U4496*IF('01_Вводные'!$B$239="Да",MeanMinAge13+'19_Расчет_аналитики'!U4607*SUMIF(ThresholdAge13,"&lt;"&amp;'19_Расчет_аналитики'!U4607,WeightedRevAge13)-SUMIF(ThresholdAge13,"&lt;"&amp;'19_Расчет_аналитики'!U4607,WeightedMinAge13),MAX(CapacityAge13*'01_Вводные'!$B$218*'19_Расчет_аналитики'!U4607,MeanMinAge13))),0)</f>
        <v/>
      </c>
      <c r="V4524">
        <f>IF('01_Вводные'!$B$234="Да",IF(OR('19_Расчет_аналитики'!V4496=0,13&lt;='01_Вводные'!$B$297),0,'19_Расчет_аналитики'!V4496*IF('01_Вводные'!$B$239="Да",MeanMinAge13+'19_Расчет_аналитики'!V4607*SUMIF(ThresholdAge13,"&lt;"&amp;'19_Расчет_аналитики'!V4607,WeightedRevAge13)-SUMIF(ThresholdAge13,"&lt;"&amp;'19_Расчет_аналитики'!V4607,WeightedMinAge13),MAX(CapacityAge13*'01_Вводные'!$B$218*'19_Расчет_аналитики'!V4607,MeanMinAge13))),0)</f>
        <v/>
      </c>
      <c r="W4524">
        <f>IF('01_Вводные'!$B$234="Да",IF(OR('19_Расчет_аналитики'!W4496=0,13&lt;='01_Вводные'!$B$297),0,'19_Расчет_аналитики'!W4496*IF('01_Вводные'!$B$239="Да",MeanMinAge13+'19_Расчет_аналитики'!W4607*SUMIF(ThresholdAge13,"&lt;"&amp;'19_Расчет_аналитики'!W4607,WeightedRevAge13)-SUMIF(ThresholdAge13,"&lt;"&amp;'19_Расчет_аналитики'!W4607,WeightedMinAge13),MAX(CapacityAge13*'01_Вводные'!$B$218*'19_Расчет_аналитики'!W4607,MeanMinAge13))),0)</f>
        <v/>
      </c>
      <c r="X4524">
        <f>IF('01_Вводные'!$B$234="Да",IF(OR('19_Расчет_аналитики'!X4496=0,13&lt;='01_Вводные'!$B$297),0,'19_Расчет_аналитики'!X4496*IF('01_Вводные'!$B$239="Да",MeanMinAge13+'19_Расчет_аналитики'!X4607*SUMIF(ThresholdAge13,"&lt;"&amp;'19_Расчет_аналитики'!X4607,WeightedRevAge13)-SUMIF(ThresholdAge13,"&lt;"&amp;'19_Расчет_аналитики'!X4607,WeightedMinAge13),MAX(CapacityAge13*'01_Вводные'!$B$218*'19_Расчет_аналитики'!X4607,MeanMinAge13))),0)</f>
        <v/>
      </c>
      <c r="Y4524">
        <f>IF('01_Вводные'!$B$234="Да",IF(OR('19_Расчет_аналитики'!Y4496=0,13&lt;='01_Вводные'!$B$297),0,'19_Расчет_аналитики'!Y4496*IF('01_Вводные'!$B$239="Да",MeanMinAge13+'19_Расчет_аналитики'!Y4607*SUMIF(ThresholdAge13,"&lt;"&amp;'19_Расчет_аналитики'!Y4607,WeightedRevAge13)-SUMIF(ThresholdAge13,"&lt;"&amp;'19_Расчет_аналитики'!Y4607,WeightedMinAge13),MAX(CapacityAge13*'01_Вводные'!$B$218*'19_Расчет_аналитики'!Y4607,MeanMinAge13))),0)</f>
        <v/>
      </c>
      <c r="Z4524">
        <f>IF('01_Вводные'!$B$234="Да",IF(OR('19_Расчет_аналитики'!Z4496=0,13&lt;='01_Вводные'!$B$297),0,'19_Расчет_аналитики'!Z4496*IF('01_Вводные'!$B$239="Да",MeanMinAge13+'19_Расчет_аналитики'!Z4607*SUMIF(ThresholdAge13,"&lt;"&amp;'19_Расчет_аналитики'!Z4607,WeightedRevAge13)-SUMIF(ThresholdAge13,"&lt;"&amp;'19_Расчет_аналитики'!Z4607,WeightedMinAge13),MAX(CapacityAge13*'01_Вводные'!$B$218*'19_Расчет_аналитики'!Z4607,MeanMinAge13))),0)</f>
        <v/>
      </c>
      <c r="AA4524">
        <f>IF('01_Вводные'!$B$234="Да",IF(OR('19_Расчет_аналитики'!AA4496=0,13&lt;='01_Вводные'!$B$297),0,'19_Расчет_аналитики'!AA4496*IF('01_Вводные'!$B$239="Да",MeanMinAge13+'19_Расчет_аналитики'!AA4607*SUMIF(ThresholdAge13,"&lt;"&amp;'19_Расчет_аналитики'!AA4607,WeightedRevAge13)-SUMIF(ThresholdAge13,"&lt;"&amp;'19_Расчет_аналитики'!AA4607,WeightedMinAge13),MAX(CapacityAge13*'01_Вводные'!$B$218*'19_Расчет_аналитики'!AA4607,MeanMinAge13))),0)</f>
        <v/>
      </c>
      <c r="AB4524">
        <f>IF('01_Вводные'!$B$234="Да",IF(OR('19_Расчет_аналитики'!AB4496=0,13&lt;='01_Вводные'!$B$297),0,'19_Расчет_аналитики'!AB4496*IF('01_Вводные'!$B$239="Да",MeanMinAge13+'19_Расчет_аналитики'!AB4607*SUMIF(ThresholdAge13,"&lt;"&amp;'19_Расчет_аналитики'!AB4607,WeightedRevAge13)-SUMIF(ThresholdAge13,"&lt;"&amp;'19_Расчет_аналитики'!AB4607,WeightedMinAge13),MAX(CapacityAge13*'01_Вводные'!$B$218*'19_Расчет_аналитики'!AB4607,MeanMinAge13))),0)</f>
        <v/>
      </c>
      <c r="AC4524">
        <f>IF('01_Вводные'!$B$234="Да",IF(OR('19_Расчет_аналитики'!AC4496=0,13&lt;='01_Вводные'!$B$297),0,'19_Расчет_аналитики'!AC4496*IF('01_Вводные'!$B$239="Да",MeanMinAge13+'19_Расчет_аналитики'!AC4607*SUMIF(ThresholdAge13,"&lt;"&amp;'19_Расчет_аналитики'!AC4607,WeightedRevAge13)-SUMIF(ThresholdAge13,"&lt;"&amp;'19_Расчет_аналитики'!AC4607,WeightedMinAge13),MAX(CapacityAge13*'01_Вводные'!$B$218*'19_Расчет_аналитики'!AC4607,MeanMinAge13))),0)</f>
        <v/>
      </c>
      <c r="AD4524">
        <f>IF('01_Вводные'!$B$234="Да",IF(OR('19_Расчет_аналитики'!AD4496=0,13&lt;='01_Вводные'!$B$297),0,'19_Расчет_аналитики'!AD4496*IF('01_Вводные'!$B$239="Да",MeanMinAge13+'19_Расчет_аналитики'!AD4607*SUMIF(ThresholdAge13,"&lt;"&amp;'19_Расчет_аналитики'!AD4607,WeightedRevAge13)-SUMIF(ThresholdAge13,"&lt;"&amp;'19_Расчет_аналитики'!AD4607,WeightedMinAge13),MAX(CapacityAge13*'01_Вводные'!$B$218*'19_Расчет_аналитики'!AD4607,MeanMinAge13))),0)</f>
        <v/>
      </c>
      <c r="AE4524">
        <f>IF('01_Вводные'!$B$234="Да",IF(OR('19_Расчет_аналитики'!AE4496=0,13&lt;='01_Вводные'!$B$297),0,'19_Расчет_аналитики'!AE4496*IF('01_Вводные'!$B$239="Да",MeanMinAge13+'19_Расчет_аналитики'!AE4607*SUMIF(ThresholdAge13,"&lt;"&amp;'19_Расчет_аналитики'!AE4607,WeightedRevAge13)-SUMIF(ThresholdAge13,"&lt;"&amp;'19_Расчет_аналитики'!AE4607,WeightedMinAge13),MAX(CapacityAge13*'01_Вводные'!$B$218*'19_Расчет_аналитики'!AE4607,MeanMinAge13))),0)</f>
        <v/>
      </c>
      <c r="AF4524">
        <f>IF('01_Вводные'!$B$234="Да",IF(OR('19_Расчет_аналитики'!AF4496=0,13&lt;='01_Вводные'!$B$297),0,'19_Расчет_аналитики'!AF4496*IF('01_Вводные'!$B$239="Да",MeanMinAge13+'19_Расчет_аналитики'!AF4607*SUMIF(ThresholdAge13,"&lt;"&amp;'19_Расчет_аналитики'!AF4607,WeightedRevAge13)-SUMIF(ThresholdAge13,"&lt;"&amp;'19_Расчет_аналитики'!AF4607,WeightedMinAge13),MAX(CapacityAge13*'01_Вводные'!$B$218*'19_Расчет_аналитики'!AF4607,MeanMinAge13))),0)</f>
        <v/>
      </c>
      <c r="AG4524">
        <f>IF('01_Вводные'!$B$234="Да",IF(OR('19_Расчет_аналитики'!AG4496=0,13&lt;='01_Вводные'!$B$297),0,'19_Расчет_аналитики'!AG4496*IF('01_Вводные'!$B$239="Да",MeanMinAge13+'19_Расчет_аналитики'!AG4607*SUMIF(ThresholdAge13,"&lt;"&amp;'19_Расчет_аналитики'!AG4607,WeightedRevAge13)-SUMIF(ThresholdAge13,"&lt;"&amp;'19_Расчет_аналитики'!AG4607,WeightedMinAge13),MAX(CapacityAge13*'01_Вводные'!$B$218*'19_Расчет_аналитики'!AG4607,MeanMinAge13))),0)</f>
        <v/>
      </c>
      <c r="AH4524">
        <f>IF('01_Вводные'!$B$234="Да",IF(OR('19_Расчет_аналитики'!AH4496=0,13&lt;='01_Вводные'!$B$297),0,'19_Расчет_аналитики'!AH4496*IF('01_Вводные'!$B$239="Да",MeanMinAge13+'19_Расчет_аналитики'!AH4607*SUMIF(ThresholdAge13,"&lt;"&amp;'19_Расчет_аналитики'!AH4607,WeightedRevAge13)-SUMIF(ThresholdAge13,"&lt;"&amp;'19_Расчет_аналитики'!AH4607,WeightedMinAge13),MAX(CapacityAge13*'01_Вводные'!$B$218*'19_Расчет_аналитики'!AH4607,MeanMinAge13))),0)</f>
        <v/>
      </c>
      <c r="AI4524">
        <f>IF('01_Вводные'!$B$234="Да",IF(OR('19_Расчет_аналитики'!AI4496=0,13&lt;='01_Вводные'!$B$297),0,'19_Расчет_аналитики'!AI4496*IF('01_Вводные'!$B$239="Да",MeanMinAge13+'19_Расчет_аналитики'!AI4607*SUMIF(ThresholdAge13,"&lt;"&amp;'19_Расчет_аналитики'!AI4607,WeightedRevAge13)-SUMIF(ThresholdAge13,"&lt;"&amp;'19_Расчет_аналитики'!AI4607,WeightedMinAge13),MAX(CapacityAge13*'01_Вводные'!$B$218*'19_Расчет_аналитики'!AI4607,MeanMinAge13))),0)</f>
        <v/>
      </c>
      <c r="AJ4524">
        <f>IF('01_Вводные'!$B$234="Да",IF(OR('19_Расчет_аналитики'!AJ4496=0,13&lt;='01_Вводные'!$B$297),0,'19_Расчет_аналитики'!AJ4496*IF('01_Вводные'!$B$239="Да",MeanMinAge13+'19_Расчет_аналитики'!AJ4607*SUMIF(ThresholdAge13,"&lt;"&amp;'19_Расчет_аналитики'!AJ4607,WeightedRevAge13)-SUMIF(ThresholdAge13,"&lt;"&amp;'19_Расчет_аналитики'!AJ4607,WeightedMinAge13),MAX(CapacityAge13*'01_Вводные'!$B$218*'19_Расчет_аналитики'!AJ4607,MeanMinAge13))),0)</f>
        <v/>
      </c>
      <c r="AK4524">
        <f>IF('01_Вводные'!$B$234="Да",IF(OR('19_Расчет_аналитики'!AK4496=0,13&lt;='01_Вводные'!$B$297),0,'19_Расчет_аналитики'!AK4496*IF('01_Вводные'!$B$239="Да",MeanMinAge13+'19_Расчет_аналитики'!AK4607*SUMIF(ThresholdAge13,"&lt;"&amp;'19_Расчет_аналитики'!AK4607,WeightedRevAge13)-SUMIF(ThresholdAge13,"&lt;"&amp;'19_Расчет_аналитики'!AK4607,WeightedMinAge13),MAX(CapacityAge13*'01_Вводные'!$B$218*'19_Расчет_аналитики'!AK4607,MeanMinAge13))),0)</f>
        <v/>
      </c>
      <c r="AL4524">
        <f>IF('01_Вводные'!$B$234="Да",IF(OR('19_Расчет_аналитики'!AL4496=0,13&lt;='01_Вводные'!$B$297),0,'19_Расчет_аналитики'!AL4496*IF('01_Вводные'!$B$239="Да",MeanMinAge13+'19_Расчет_аналитики'!AL4607*SUMIF(ThresholdAge13,"&lt;"&amp;'19_Расчет_аналитики'!AL4607,WeightedRevAge13)-SUMIF(ThresholdAge13,"&lt;"&amp;'19_Расчет_аналитики'!AL4607,WeightedMinAge13),MAX(CapacityAge13*'01_Вводные'!$B$218*'19_Расчет_аналитики'!AL4607,MeanMinAge13))),0)</f>
        <v/>
      </c>
      <c r="AM4524">
        <f>IF('01_Вводные'!$B$234="Да",IF(OR('19_Расчет_аналитики'!AM4496=0,13&lt;='01_Вводные'!$B$297),0,'19_Расчет_аналитики'!AM4496*IF('01_Вводные'!$B$239="Да",MeanMinAge13+'19_Расчет_аналитики'!AM4607*SUMIF(ThresholdAge13,"&lt;"&amp;'19_Расчет_аналитики'!AM4607,WeightedRevAge13)-SUMIF(ThresholdAge13,"&lt;"&amp;'19_Расчет_аналитики'!AM4607,WeightedMinAge13),MAX(CapacityAge13*'01_Вводные'!$B$218*'19_Расчет_аналитики'!AM4607,MeanMinAge13))),0)</f>
        <v/>
      </c>
      <c r="AN4524">
        <f>IF('01_Вводные'!$B$234="Да",IF(OR('19_Расчет_аналитики'!AN4496=0,13&lt;='01_Вводные'!$B$297),0,'19_Расчет_аналитики'!AN4496*IF('01_Вводные'!$B$239="Да",MeanMinAge13+'19_Расчет_аналитики'!AN4607*SUMIF(ThresholdAge13,"&lt;"&amp;'19_Расчет_аналитики'!AN4607,WeightedRevAge13)-SUMIF(ThresholdAge13,"&lt;"&amp;'19_Расчет_аналитики'!AN4607,WeightedMinAge13),MAX(CapacityAge13*'01_Вводные'!$B$218*'19_Расчет_аналитики'!AN4607,MeanMinAge13))),0)</f>
        <v/>
      </c>
      <c r="AO4524">
        <f>IF('01_Вводные'!$B$234="Да",IF(OR('19_Расчет_аналитики'!AO4496=0,13&lt;='01_Вводные'!$B$297),0,'19_Расчет_аналитики'!AO4496*IF('01_Вводные'!$B$239="Да",MeanMinAge13+'19_Расчет_аналитики'!AO4607*SUMIF(ThresholdAge13,"&lt;"&amp;'19_Расчет_аналитики'!AO4607,WeightedRevAge13)-SUMIF(ThresholdAge13,"&lt;"&amp;'19_Расчет_аналитики'!AO4607,WeightedMinAge13),MAX(CapacityAge13*'01_Вводные'!$B$218*'19_Расчет_аналитики'!AO4607,MeanMinAge13))),0)</f>
        <v/>
      </c>
      <c r="AP4524">
        <f>IF('01_Вводные'!$B$234="Да",IF(OR('19_Расчет_аналитики'!AP4496=0,13&lt;='01_Вводные'!$B$297),0,'19_Расчет_аналитики'!AP4496*IF('01_Вводные'!$B$239="Да",MeanMinAge13+'19_Расчет_аналитики'!AP4607*SUMIF(ThresholdAge13,"&lt;"&amp;'19_Расчет_аналитики'!AP4607,WeightedRevAge13)-SUMIF(ThresholdAge13,"&lt;"&amp;'19_Расчет_аналитики'!AP4607,WeightedMinAge13),MAX(CapacityAge13*'01_Вводные'!$B$218*'19_Расчет_аналитики'!AP4607,MeanMinAge13))),0)</f>
        <v/>
      </c>
      <c r="AQ4524">
        <f>IF('01_Вводные'!$B$234="Да",IF(OR('19_Расчет_аналитики'!AQ4496=0,13&lt;='01_Вводные'!$B$297),0,'19_Расчет_аналитики'!AQ4496*IF('01_Вводные'!$B$239="Да",MeanMinAge13+'19_Расчет_аналитики'!AQ4607*SUMIF(ThresholdAge13,"&lt;"&amp;'19_Расчет_аналитики'!AQ4607,WeightedRevAge13)-SUMIF(ThresholdAge13,"&lt;"&amp;'19_Расчет_аналитики'!AQ4607,WeightedMinAge13),MAX(CapacityAge13*'01_Вводные'!$B$218*'19_Расчет_аналитики'!AQ4607,MeanMinAge13))),0)</f>
        <v/>
      </c>
      <c r="AR4524">
        <f>IF('01_Вводные'!$B$234="Да",IF(OR('19_Расчет_аналитики'!AR4496=0,13&lt;='01_Вводные'!$B$297),0,'19_Расчет_аналитики'!AR4496*IF('01_Вводные'!$B$239="Да",MeanMinAge13+'19_Расчет_аналитики'!AR4607*SUMIF(ThresholdAge13,"&lt;"&amp;'19_Расчет_аналитики'!AR4607,WeightedRevAge13)-SUMIF(ThresholdAge13,"&lt;"&amp;'19_Расчет_аналитики'!AR4607,WeightedMinAge13),MAX(CapacityAge13*'01_Вводные'!$B$218*'19_Расчет_аналитики'!AR4607,MeanMinAge13))),0)</f>
        <v/>
      </c>
      <c r="AS4524">
        <f>IF('01_Вводные'!$B$234="Да",IF(OR('19_Расчет_аналитики'!AS4496=0,13&lt;='01_Вводные'!$B$297),0,'19_Расчет_аналитики'!AS4496*IF('01_Вводные'!$B$239="Да",MeanMinAge13+'19_Расчет_аналитики'!AS4607*SUMIF(ThresholdAge13,"&lt;"&amp;'19_Расчет_аналитики'!AS4607,WeightedRevAge13)-SUMIF(ThresholdAge13,"&lt;"&amp;'19_Расчет_аналитики'!AS4607,WeightedMinAge13),MAX(CapacityAge13*'01_Вводные'!$B$218*'19_Расчет_аналитики'!AS4607,MeanMinAge13))),0)</f>
        <v/>
      </c>
      <c r="AT4524">
        <f>IF('01_Вводные'!$B$234="Да",IF(OR('19_Расчет_аналитики'!AT4496=0,13&lt;='01_Вводные'!$B$297),0,'19_Расчет_аналитики'!AT4496*IF('01_Вводные'!$B$239="Да",MeanMinAge13+'19_Расчет_аналитики'!AT4607*SUMIF(ThresholdAge13,"&lt;"&amp;'19_Расчет_аналитики'!AT4607,WeightedRevAge13)-SUMIF(ThresholdAge13,"&lt;"&amp;'19_Расчет_аналитики'!AT4607,WeightedMinAge13),MAX(CapacityAge13*'01_Вводные'!$B$218*'19_Расчет_аналитики'!AT4607,MeanMinAge13))),0)</f>
        <v/>
      </c>
      <c r="AU4524">
        <f>IF('01_Вводные'!$B$234="Да",IF(OR('19_Расчет_аналитики'!AU4496=0,13&lt;='01_Вводные'!$B$297),0,'19_Расчет_аналитики'!AU4496*IF('01_Вводные'!$B$239="Да",MeanMinAge13+'19_Расчет_аналитики'!AU4607*SUMIF(ThresholdAge13,"&lt;"&amp;'19_Расчет_аналитики'!AU4607,WeightedRevAge13)-SUMIF(ThresholdAge13,"&lt;"&amp;'19_Расчет_аналитики'!AU4607,WeightedMinAge13),MAX(CapacityAge13*'01_Вводные'!$B$218*'19_Расчет_аналитики'!AU4607,MeanMinAge13))),0)</f>
        <v/>
      </c>
      <c r="AV4524">
        <f>IF('01_Вводные'!$B$234="Да",IF(OR('19_Расчет_аналитики'!AV4496=0,13&lt;='01_Вводные'!$B$297),0,'19_Расчет_аналитики'!AV4496*IF('01_Вводные'!$B$239="Да",MeanMinAge13+'19_Расчет_аналитики'!AV4607*SUMIF(ThresholdAge13,"&lt;"&amp;'19_Расчет_аналитики'!AV4607,WeightedRevAge13)-SUMIF(ThresholdAge13,"&lt;"&amp;'19_Расчет_аналитики'!AV4607,WeightedMinAge13),MAX(CapacityAge13*'01_Вводные'!$B$218*'19_Расчет_аналитики'!AV4607,MeanMinAge13))),0)</f>
        <v/>
      </c>
      <c r="AW4524">
        <f>IF('01_Вводные'!$B$234="Да",IF(OR('19_Расчет_аналитики'!AW4496=0,13&lt;='01_Вводные'!$B$297),0,'19_Расчет_аналитики'!AW4496*IF('01_Вводные'!$B$239="Да",MeanMinAge13+'19_Расчет_аналитики'!AW4607*SUMIF(ThresholdAge13,"&lt;"&amp;'19_Расчет_аналитики'!AW4607,WeightedRevAge13)-SUMIF(ThresholdAge13,"&lt;"&amp;'19_Расчет_аналитики'!AW4607,WeightedMinAge13),MAX(CapacityAge13*'01_Вводные'!$B$218*'19_Расчет_аналитики'!AW4607,MeanMinAge13))),0)</f>
        <v/>
      </c>
      <c r="AX4524">
        <f>IF('01_Вводные'!$B$234="Да",IF(OR('19_Расчет_аналитики'!AX4496=0,13&lt;='01_Вводные'!$B$297),0,'19_Расчет_аналитики'!AX4496*IF('01_Вводные'!$B$239="Да",MeanMinAge13+'19_Расчет_аналитики'!AX4607*SUMIF(ThresholdAge13,"&lt;"&amp;'19_Расчет_аналитики'!AX4607,WeightedRevAge13)-SUMIF(ThresholdAge13,"&lt;"&amp;'19_Расчет_аналитики'!AX4607,WeightedMinAge13),MAX(CapacityAge13*'01_Вводные'!$B$218*'19_Расчет_аналитики'!AX4607,MeanMinAge13))),0)</f>
        <v/>
      </c>
      <c r="AY4524">
        <f>IF('01_Вводные'!$B$234="Да",IF(OR('19_Расчет_аналитики'!AY4496=0,13&lt;='01_Вводные'!$B$297),0,'19_Расчет_аналитики'!AY4496*IF('01_Вводные'!$B$239="Да",MeanMinAge13+'19_Расчет_аналитики'!AY4607*SUMIF(ThresholdAge13,"&lt;"&amp;'19_Расчет_аналитики'!AY4607,WeightedRevAge13)-SUMIF(ThresholdAge13,"&lt;"&amp;'19_Расчет_аналитики'!AY4607,WeightedMinAge13),MAX(CapacityAge13*'01_Вводные'!$B$218*'19_Расчет_аналитики'!AY4607,MeanMinAge13))),0)</f>
        <v/>
      </c>
      <c r="AZ4524">
        <f>IF('01_Вводные'!$B$234="Да",IF(OR('19_Расчет_аналитики'!AZ4496=0,13&lt;='01_Вводные'!$B$297),0,'19_Расчет_аналитики'!AZ4496*IF('01_Вводные'!$B$239="Да",MeanMinAge13+'19_Расчет_аналитики'!AZ4607*SUMIF(ThresholdAge13,"&lt;"&amp;'19_Расчет_аналитики'!AZ4607,WeightedRevAge13)-SUMIF(ThresholdAge13,"&lt;"&amp;'19_Расчет_аналитики'!AZ4607,WeightedMinAge13),MAX(CapacityAge13*'01_Вводные'!$B$218*'19_Расчет_аналитики'!AZ4607,MeanMinAge13))),0)</f>
        <v/>
      </c>
      <c r="BA4524">
        <f>IF('01_Вводные'!$B$234="Да",IF(OR('19_Расчет_аналитики'!BA4496=0,13&lt;='01_Вводные'!$B$297),0,'19_Расчет_аналитики'!BA4496*IF('01_Вводные'!$B$239="Да",MeanMinAge13+'19_Расчет_аналитики'!BA4607*SUMIF(ThresholdAge13,"&lt;"&amp;'19_Расчет_аналитики'!BA4607,WeightedRevAge13)-SUMIF(ThresholdAge13,"&lt;"&amp;'19_Расчет_аналитики'!BA4607,WeightedMinAge13),MAX(CapacityAge13*'01_Вводные'!$B$218*'19_Расчет_аналитики'!BA4607,MeanMinAge13))),0)</f>
        <v/>
      </c>
      <c r="BB4524">
        <f>IF('01_Вводные'!$B$234="Да",IF(OR('19_Расчет_аналитики'!BB4496=0,13&lt;='01_Вводные'!$B$297),0,'19_Расчет_аналитики'!BB4496*IF('01_Вводные'!$B$239="Да",MeanMinAge13+'19_Расчет_аналитики'!BB4607*SUMIF(ThresholdAge13,"&lt;"&amp;'19_Расчет_аналитики'!BB4607,WeightedRevAge13)-SUMIF(ThresholdAge13,"&lt;"&amp;'19_Расчет_аналитики'!BB4607,WeightedMinAge13),MAX(CapacityAge13*'01_Вводные'!$B$218*'19_Расчет_аналитики'!BB4607,MeanMinAge13))),0)</f>
        <v/>
      </c>
      <c r="BC4524">
        <f>IF('01_Вводные'!$B$234="Да",IF(OR('19_Расчет_аналитики'!BC4496=0,13&lt;='01_Вводные'!$B$297),0,'19_Расчет_аналитики'!BC4496*IF('01_Вводные'!$B$239="Да",MeanMinAge13+'19_Расчет_аналитики'!BC4607*SUMIF(ThresholdAge13,"&lt;"&amp;'19_Расчет_аналитики'!BC4607,WeightedRevAge13)-SUMIF(ThresholdAge13,"&lt;"&amp;'19_Расчет_аналитики'!BC4607,WeightedMinAge13),MAX(CapacityAge13*'01_Вводные'!$B$218*'19_Расчет_аналитики'!BC4607,MeanMinAge13))),0)</f>
        <v/>
      </c>
      <c r="BD4524">
        <f>IF('01_Вводные'!$B$234="Да",IF(OR('19_Расчет_аналитики'!BD4496=0,13&lt;='01_Вводные'!$B$297),0,'19_Расчет_аналитики'!BD4496*IF('01_Вводные'!$B$239="Да",MeanMinAge13+'19_Расчет_аналитики'!BD4607*SUMIF(ThresholdAge13,"&lt;"&amp;'19_Расчет_аналитики'!BD4607,WeightedRevAge13)-SUMIF(ThresholdAge13,"&lt;"&amp;'19_Расчет_аналитики'!BD4607,WeightedMinAge13),MAX(CapacityAge13*'01_Вводные'!$B$218*'19_Расчет_аналитики'!BD4607,MeanMinAge13))),0)</f>
        <v/>
      </c>
      <c r="BE4524">
        <f>IF('01_Вводные'!$B$234="Да",IF(OR('19_Расчет_аналитики'!BE4496=0,13&lt;='01_Вводные'!$B$297),0,'19_Расчет_аналитики'!BE4496*IF('01_Вводные'!$B$239="Да",MeanMinAge13+'19_Расчет_аналитики'!BE4607*SUMIF(ThresholdAge13,"&lt;"&amp;'19_Расчет_аналитики'!BE4607,WeightedRevAge13)-SUMIF(ThresholdAge13,"&lt;"&amp;'19_Расчет_аналитики'!BE4607,WeightedMinAge13),MAX(CapacityAge13*'01_Вводные'!$B$218*'19_Расчет_аналитики'!BE4607,MeanMinAge13))),0)</f>
        <v/>
      </c>
      <c r="BF4524">
        <f>IF('01_Вводные'!$B$234="Да",IF(OR('19_Расчет_аналитики'!BF4496=0,13&lt;='01_Вводные'!$B$297),0,'19_Расчет_аналитики'!BF4496*IF('01_Вводные'!$B$239="Да",MeanMinAge13+'19_Расчет_аналитики'!BF4607*SUMIF(ThresholdAge13,"&lt;"&amp;'19_Расчет_аналитики'!BF4607,WeightedRevAge13)-SUMIF(ThresholdAge13,"&lt;"&amp;'19_Расчет_аналитики'!BF4607,WeightedMinAge13),MAX(CapacityAge13*'01_Вводные'!$B$218*'19_Расчет_аналитики'!BF4607,MeanMinAge13))),0)</f>
        <v/>
      </c>
      <c r="BG4524">
        <f>IF('01_Вводные'!$B$234="Да",IF(OR('19_Расчет_аналитики'!BG4496=0,13&lt;='01_Вводные'!$B$297),0,'19_Расчет_аналитики'!BG4496*IF('01_Вводные'!$B$239="Да",MeanMinAge13+'19_Расчет_аналитики'!BG4607*SUMIF(ThresholdAge13,"&lt;"&amp;'19_Расчет_аналитики'!BG4607,WeightedRevAge13)-SUMIF(ThresholdAge13,"&lt;"&amp;'19_Расчет_аналитики'!BG4607,WeightedMinAge13),MAX(CapacityAge13*'01_Вводные'!$B$218*'19_Расчет_аналитики'!BG4607,MeanMinAge13))),0)</f>
        <v/>
      </c>
      <c r="BH4524">
        <f>IF('01_Вводные'!$B$234="Да",IF(OR('19_Расчет_аналитики'!BH4496=0,13&lt;='01_Вводные'!$B$297),0,'19_Расчет_аналитики'!BH4496*IF('01_Вводные'!$B$239="Да",MeanMinAge13+'19_Расчет_аналитики'!BH4607*SUMIF(ThresholdAge13,"&lt;"&amp;'19_Расчет_аналитики'!BH4607,WeightedRevAge13)-SUMIF(ThresholdAge13,"&lt;"&amp;'19_Расчет_аналитики'!BH4607,WeightedMinAge13),MAX(CapacityAge13*'01_Вводные'!$B$218*'19_Расчет_аналитики'!BH4607,MeanMinAge13))),0)</f>
        <v/>
      </c>
      <c r="BI4524">
        <f>IF('01_Вводные'!$B$234="Да",IF(OR('19_Расчет_аналитики'!BI4496=0,13&lt;='01_Вводные'!$B$297),0,'19_Расчет_аналитики'!BI4496*IF('01_Вводные'!$B$239="Да",MeanMinAge13+'19_Расчет_аналитики'!BI4607*SUMIF(ThresholdAge13,"&lt;"&amp;'19_Расчет_аналитики'!BI4607,WeightedRevAge13)-SUMIF(ThresholdAge13,"&lt;"&amp;'19_Расчет_аналитики'!BI4607,WeightedMinAge13),MAX(CapacityAge13*'01_Вводные'!$B$218*'19_Расчет_аналитики'!BI4607,MeanMinAge13))),0)</f>
        <v/>
      </c>
      <c r="BJ4524">
        <f>IF('01_Вводные'!$B$234="Да",IF(OR('19_Расчет_аналитики'!BJ4496=0,13&lt;='01_Вводные'!$B$297),0,'19_Расчет_аналитики'!BJ4496*IF('01_Вводные'!$B$239="Да",MeanMinAge13+'19_Расчет_аналитики'!BJ4607*SUMIF(ThresholdAge13,"&lt;"&amp;'19_Расчет_аналитики'!BJ4607,WeightedRevAge13)-SUMIF(ThresholdAge13,"&lt;"&amp;'19_Расчет_аналитики'!BJ4607,WeightedMinAge13),MAX(CapacityAge13*'01_Вводные'!$B$218*'19_Расчет_аналитики'!BJ4607,MeanMinAge13))),0)</f>
        <v/>
      </c>
      <c r="BK4524">
        <f>IF('01_Вводные'!$B$234="Да",IF(OR('19_Расчет_аналитики'!BK4496=0,13&lt;='01_Вводные'!$B$297),0,'19_Расчет_аналитики'!BK4496*IF('01_Вводные'!$B$239="Да",MeanMinAge13+'19_Расчет_аналитики'!BK4607*SUMIF(ThresholdAge13,"&lt;"&amp;'19_Расчет_аналитики'!BK4607,WeightedRevAge13)-SUMIF(ThresholdAge13,"&lt;"&amp;'19_Расчет_аналитики'!BK4607,WeightedMinAge13),MAX(CapacityAge13*'01_Вводные'!$B$218*'19_Расчет_аналитики'!BK4607,MeanMinAge13))),0)</f>
        <v/>
      </c>
      <c r="BL4524">
        <f>IF('01_Вводные'!$B$234="Да",IF(OR('19_Расчет_аналитики'!BL4496=0,13&lt;='01_Вводные'!$B$297),0,'19_Расчет_аналитики'!BL4496*IF('01_Вводные'!$B$239="Да",MeanMinAge13+'19_Расчет_аналитики'!BL4607*SUMIF(ThresholdAge13,"&lt;"&amp;'19_Расчет_аналитики'!BL4607,WeightedRevAge13)-SUMIF(ThresholdAge13,"&lt;"&amp;'19_Расчет_аналитики'!BL4607,WeightedMinAge13),MAX(CapacityAge13*'01_Вводные'!$B$218*'19_Расчет_аналитики'!BL4607,MeanMinAge13))),0)</f>
        <v/>
      </c>
      <c r="BM4524">
        <f>IF('01_Вводные'!$B$234="Да",IF(OR('19_Расчет_аналитики'!BM4496=0,13&lt;='01_Вводные'!$B$297),0,'19_Расчет_аналитики'!BM4496*IF('01_Вводные'!$B$239="Да",MeanMinAge13+'19_Расчет_аналитики'!BM4607*SUMIF(ThresholdAge13,"&lt;"&amp;'19_Расчет_аналитики'!BM4607,WeightedRevAge13)-SUMIF(ThresholdAge13,"&lt;"&amp;'19_Расчет_аналитики'!BM4607,WeightedMinAge13),MAX(CapacityAge13*'01_Вводные'!$B$218*'19_Расчет_аналитики'!BM4607,MeanMinAge13))),0)</f>
        <v/>
      </c>
      <c r="BN4524">
        <f>IF('01_Вводные'!$B$234="Да",IF(OR('19_Расчет_аналитики'!BN4496=0,13&lt;='01_Вводные'!$B$297),0,'19_Расчет_аналитики'!BN4496*IF('01_Вводные'!$B$239="Да",MeanMinAge13+'19_Расчет_аналитики'!BN4607*SUMIF(ThresholdAge13,"&lt;"&amp;'19_Расчет_аналитики'!BN4607,WeightedRevAge13)-SUMIF(ThresholdAge13,"&lt;"&amp;'19_Расчет_аналитики'!BN4607,WeightedMinAge13),MAX(CapacityAge13*'01_Вводные'!$B$218*'19_Расчет_аналитики'!BN4607,MeanMinAge13))),0)</f>
        <v/>
      </c>
      <c r="BO4524">
        <f>IF('01_Вводные'!$B$234="Да",IF(OR('19_Расчет_аналитики'!BO4496=0,13&lt;='01_Вводные'!$B$297),0,'19_Расчет_аналитики'!BO4496*IF('01_Вводные'!$B$239="Да",MeanMinAge13+'19_Расчет_аналитики'!BO4607*SUMIF(ThresholdAge13,"&lt;"&amp;'19_Расчет_аналитики'!BO4607,WeightedRevAge13)-SUMIF(ThresholdAge13,"&lt;"&amp;'19_Расчет_аналитики'!BO4607,WeightedMinAge13),MAX(CapacityAge13*'01_Вводные'!$B$218*'19_Расчет_аналитики'!BO4607,MeanMinAge13))),0)</f>
        <v/>
      </c>
    </row>
    <row r="4525">
      <c r="B4525">
        <f>IF('01_Вводные'!$B$234="Да",IF(OR('06_Сеть_и_дети'!B94=0,14&lt;='01_Вводные'!$B$297),0,'06_Сеть_и_дети'!B94*IF('01_Вводные'!$B$239="Да",MeanMinAge14+'19_Расчет_аналитики'!B4607*SUMIF(ThresholdAge14,"&lt;"&amp;'19_Расчет_аналитики'!B4607,WeightedRevAge14)-SUMIF(ThresholdAge14,"&lt;"&amp;'19_Расчет_аналитики'!B4607,WeightedMinAge14),MAX(CapacityAge14*'01_Вводные'!$B$218*'19_Расчет_аналитики'!B4607,MeanMinAge14))),0)</f>
        <v/>
      </c>
      <c r="C4525">
        <f>IF('01_Вводные'!$B$234="Да",IF(OR('06_Сеть_и_дети'!C94=0,14&lt;='01_Вводные'!$B$297),0,'06_Сеть_и_дети'!C94*IF('01_Вводные'!$B$239="Да",MeanMinAge14+'19_Расчет_аналитики'!C4607*SUMIF(ThresholdAge14,"&lt;"&amp;'19_Расчет_аналитики'!C4607,WeightedRevAge14)-SUMIF(ThresholdAge14,"&lt;"&amp;'19_Расчет_аналитики'!C4607,WeightedMinAge14),MAX(CapacityAge14*'01_Вводные'!$B$218*'19_Расчет_аналитики'!C4607,MeanMinAge14))),0)</f>
        <v/>
      </c>
      <c r="D4525">
        <f>IF('01_Вводные'!$B$234="Да",IF(OR('06_Сеть_и_дети'!D94=0,14&lt;='01_Вводные'!$B$297),0,'06_Сеть_и_дети'!D94*IF('01_Вводные'!$B$239="Да",MeanMinAge14+'19_Расчет_аналитики'!D4607*SUMIF(ThresholdAge14,"&lt;"&amp;'19_Расчет_аналитики'!D4607,WeightedRevAge14)-SUMIF(ThresholdAge14,"&lt;"&amp;'19_Расчет_аналитики'!D4607,WeightedMinAge14),MAX(CapacityAge14*'01_Вводные'!$B$218*'19_Расчет_аналитики'!D4607,MeanMinAge14))),0)</f>
        <v/>
      </c>
      <c r="E4525">
        <f>IF('01_Вводные'!$B$234="Да",IF(OR('06_Сеть_и_дети'!E94=0,14&lt;='01_Вводные'!$B$297),0,'06_Сеть_и_дети'!E94*IF('01_Вводные'!$B$239="Да",MeanMinAge14+'19_Расчет_аналитики'!E4607*SUMIF(ThresholdAge14,"&lt;"&amp;'19_Расчет_аналитики'!E4607,WeightedRevAge14)-SUMIF(ThresholdAge14,"&lt;"&amp;'19_Расчет_аналитики'!E4607,WeightedMinAge14),MAX(CapacityAge14*'01_Вводные'!$B$218*'19_Расчет_аналитики'!E4607,MeanMinAge14))),0)</f>
        <v/>
      </c>
      <c r="F4525">
        <f>IF('01_Вводные'!$B$234="Да",IF(OR('06_Сеть_и_дети'!F94=0,14&lt;='01_Вводные'!$B$297),0,'06_Сеть_и_дети'!F94*IF('01_Вводные'!$B$239="Да",MeanMinAge14+'19_Расчет_аналитики'!F4607*SUMIF(ThresholdAge14,"&lt;"&amp;'19_Расчет_аналитики'!F4607,WeightedRevAge14)-SUMIF(ThresholdAge14,"&lt;"&amp;'19_Расчет_аналитики'!F4607,WeightedMinAge14),MAX(CapacityAge14*'01_Вводные'!$B$218*'19_Расчет_аналитики'!F4607,MeanMinAge14))),0)</f>
        <v/>
      </c>
      <c r="G4525">
        <f>IF('01_Вводные'!$B$234="Да",IF(OR('06_Сеть_и_дети'!G94=0,14&lt;='01_Вводные'!$B$297),0,'06_Сеть_и_дети'!G94*IF('01_Вводные'!$B$239="Да",MeanMinAge14+'19_Расчет_аналитики'!G4607*SUMIF(ThresholdAge14,"&lt;"&amp;'19_Расчет_аналитики'!G4607,WeightedRevAge14)-SUMIF(ThresholdAge14,"&lt;"&amp;'19_Расчет_аналитики'!G4607,WeightedMinAge14),MAX(CapacityAge14*'01_Вводные'!$B$218*'19_Расчет_аналитики'!G4607,MeanMinAge14))),0)</f>
        <v/>
      </c>
      <c r="H4525">
        <f>IF('01_Вводные'!$B$234="Да",IF(OR('06_Сеть_и_дети'!H94=0,14&lt;='01_Вводные'!$B$297),0,'06_Сеть_и_дети'!H94*IF('01_Вводные'!$B$239="Да",MeanMinAge14+'19_Расчет_аналитики'!H4607*SUMIF(ThresholdAge14,"&lt;"&amp;'19_Расчет_аналитики'!H4607,WeightedRevAge14)-SUMIF(ThresholdAge14,"&lt;"&amp;'19_Расчет_аналитики'!H4607,WeightedMinAge14),MAX(CapacityAge14*'01_Вводные'!$B$218*'19_Расчет_аналитики'!H4607,MeanMinAge14))),0)</f>
        <v/>
      </c>
      <c r="I4525">
        <f>IF('01_Вводные'!$B$234="Да",IF(OR('06_Сеть_и_дети'!I94=0,14&lt;='01_Вводные'!$B$297),0,'06_Сеть_и_дети'!I94*IF('01_Вводные'!$B$239="Да",MeanMinAge14+'19_Расчет_аналитики'!I4607*SUMIF(ThresholdAge14,"&lt;"&amp;'19_Расчет_аналитики'!I4607,WeightedRevAge14)-SUMIF(ThresholdAge14,"&lt;"&amp;'19_Расчет_аналитики'!I4607,WeightedMinAge14),MAX(CapacityAge14*'01_Вводные'!$B$218*'19_Расчет_аналитики'!I4607,MeanMinAge14))),0)</f>
        <v/>
      </c>
      <c r="J4525">
        <f>IF('01_Вводные'!$B$234="Да",IF(OR('06_Сеть_и_дети'!J94=0,14&lt;='01_Вводные'!$B$297),0,'06_Сеть_и_дети'!J94*IF('01_Вводные'!$B$239="Да",MeanMinAge14+'19_Расчет_аналитики'!J4607*SUMIF(ThresholdAge14,"&lt;"&amp;'19_Расчет_аналитики'!J4607,WeightedRevAge14)-SUMIF(ThresholdAge14,"&lt;"&amp;'19_Расчет_аналитики'!J4607,WeightedMinAge14),MAX(CapacityAge14*'01_Вводные'!$B$218*'19_Расчет_аналитики'!J4607,MeanMinAge14))),0)</f>
        <v/>
      </c>
      <c r="K4525">
        <f>IF('01_Вводные'!$B$234="Да",IF(OR('06_Сеть_и_дети'!K94=0,14&lt;='01_Вводные'!$B$297),0,'06_Сеть_и_дети'!K94*IF('01_Вводные'!$B$239="Да",MeanMinAge14+'19_Расчет_аналитики'!K4607*SUMIF(ThresholdAge14,"&lt;"&amp;'19_Расчет_аналитики'!K4607,WeightedRevAge14)-SUMIF(ThresholdAge14,"&lt;"&amp;'19_Расчет_аналитики'!K4607,WeightedMinAge14),MAX(CapacityAge14*'01_Вводные'!$B$218*'19_Расчет_аналитики'!K4607,MeanMinAge14))),0)</f>
        <v/>
      </c>
      <c r="L4525">
        <f>IF('01_Вводные'!$B$234="Да",IF(OR('06_Сеть_и_дети'!L94=0,14&lt;='01_Вводные'!$B$297),0,'06_Сеть_и_дети'!L94*IF('01_Вводные'!$B$239="Да",MeanMinAge14+'19_Расчет_аналитики'!L4607*SUMIF(ThresholdAge14,"&lt;"&amp;'19_Расчет_аналитики'!L4607,WeightedRevAge14)-SUMIF(ThresholdAge14,"&lt;"&amp;'19_Расчет_аналитики'!L4607,WeightedMinAge14),MAX(CapacityAge14*'01_Вводные'!$B$218*'19_Расчет_аналитики'!L4607,MeanMinAge14))),0)</f>
        <v/>
      </c>
      <c r="M4525">
        <f>IF('01_Вводные'!$B$234="Да",IF(OR('06_Сеть_и_дети'!M94=0,14&lt;='01_Вводные'!$B$297),0,'06_Сеть_и_дети'!M94*IF('01_Вводные'!$B$239="Да",MeanMinAge14+'19_Расчет_аналитики'!M4607*SUMIF(ThresholdAge14,"&lt;"&amp;'19_Расчет_аналитики'!M4607,WeightedRevAge14)-SUMIF(ThresholdAge14,"&lt;"&amp;'19_Расчет_аналитики'!M4607,WeightedMinAge14),MAX(CapacityAge14*'01_Вводные'!$B$218*'19_Расчет_аналитики'!M4607,MeanMinAge14))),0)</f>
        <v/>
      </c>
      <c r="N4525">
        <f>IF('01_Вводные'!$B$234="Да",IF(OR('06_Сеть_и_дети'!N94=0,14&lt;='01_Вводные'!$B$297),0,'06_Сеть_и_дети'!N94*IF('01_Вводные'!$B$239="Да",MeanMinAge14+'19_Расчет_аналитики'!N4607*SUMIF(ThresholdAge14,"&lt;"&amp;'19_Расчет_аналитики'!N4607,WeightedRevAge14)-SUMIF(ThresholdAge14,"&lt;"&amp;'19_Расчет_аналитики'!N4607,WeightedMinAge14),MAX(CapacityAge14*'01_Вводные'!$B$218*'19_Расчет_аналитики'!N4607,MeanMinAge14))),0)</f>
        <v/>
      </c>
      <c r="O4525">
        <f>IF('01_Вводные'!$B$234="Да",IF(OR('19_Расчет_аналитики'!O4497=0,14&lt;='01_Вводные'!$B$297),0,'19_Расчет_аналитики'!O4497*IF('01_Вводные'!$B$239="Да",MeanMinAge14+'19_Расчет_аналитики'!O4607*SUMIF(ThresholdAge14,"&lt;"&amp;'19_Расчет_аналитики'!O4607,WeightedRevAge14)-SUMIF(ThresholdAge14,"&lt;"&amp;'19_Расчет_аналитики'!O4607,WeightedMinAge14),MAX(CapacityAge14*'01_Вводные'!$B$218*'19_Расчет_аналитики'!O4607,MeanMinAge14))),0)</f>
        <v/>
      </c>
      <c r="P4525">
        <f>IF('01_Вводные'!$B$234="Да",IF(OR('19_Расчет_аналитики'!P4497=0,14&lt;='01_Вводные'!$B$297),0,'19_Расчет_аналитики'!P4497*IF('01_Вводные'!$B$239="Да",MeanMinAge14+'19_Расчет_аналитики'!P4607*SUMIF(ThresholdAge14,"&lt;"&amp;'19_Расчет_аналитики'!P4607,WeightedRevAge14)-SUMIF(ThresholdAge14,"&lt;"&amp;'19_Расчет_аналитики'!P4607,WeightedMinAge14),MAX(CapacityAge14*'01_Вводные'!$B$218*'19_Расчет_аналитики'!P4607,MeanMinAge14))),0)</f>
        <v/>
      </c>
      <c r="Q4525">
        <f>IF('01_Вводные'!$B$234="Да",IF(OR('19_Расчет_аналитики'!Q4497=0,14&lt;='01_Вводные'!$B$297),0,'19_Расчет_аналитики'!Q4497*IF('01_Вводные'!$B$239="Да",MeanMinAge14+'19_Расчет_аналитики'!Q4607*SUMIF(ThresholdAge14,"&lt;"&amp;'19_Расчет_аналитики'!Q4607,WeightedRevAge14)-SUMIF(ThresholdAge14,"&lt;"&amp;'19_Расчет_аналитики'!Q4607,WeightedMinAge14),MAX(CapacityAge14*'01_Вводные'!$B$218*'19_Расчет_аналитики'!Q4607,MeanMinAge14))),0)</f>
        <v/>
      </c>
      <c r="R4525">
        <f>IF('01_Вводные'!$B$234="Да",IF(OR('19_Расчет_аналитики'!R4497=0,14&lt;='01_Вводные'!$B$297),0,'19_Расчет_аналитики'!R4497*IF('01_Вводные'!$B$239="Да",MeanMinAge14+'19_Расчет_аналитики'!R4607*SUMIF(ThresholdAge14,"&lt;"&amp;'19_Расчет_аналитики'!R4607,WeightedRevAge14)-SUMIF(ThresholdAge14,"&lt;"&amp;'19_Расчет_аналитики'!R4607,WeightedMinAge14),MAX(CapacityAge14*'01_Вводные'!$B$218*'19_Расчет_аналитики'!R4607,MeanMinAge14))),0)</f>
        <v/>
      </c>
      <c r="S4525">
        <f>IF('01_Вводные'!$B$234="Да",IF(OR('19_Расчет_аналитики'!S4497=0,14&lt;='01_Вводные'!$B$297),0,'19_Расчет_аналитики'!S4497*IF('01_Вводные'!$B$239="Да",MeanMinAge14+'19_Расчет_аналитики'!S4607*SUMIF(ThresholdAge14,"&lt;"&amp;'19_Расчет_аналитики'!S4607,WeightedRevAge14)-SUMIF(ThresholdAge14,"&lt;"&amp;'19_Расчет_аналитики'!S4607,WeightedMinAge14),MAX(CapacityAge14*'01_Вводные'!$B$218*'19_Расчет_аналитики'!S4607,MeanMinAge14))),0)</f>
        <v/>
      </c>
      <c r="T4525">
        <f>IF('01_Вводные'!$B$234="Да",IF(OR('19_Расчет_аналитики'!T4497=0,14&lt;='01_Вводные'!$B$297),0,'19_Расчет_аналитики'!T4497*IF('01_Вводные'!$B$239="Да",MeanMinAge14+'19_Расчет_аналитики'!T4607*SUMIF(ThresholdAge14,"&lt;"&amp;'19_Расчет_аналитики'!T4607,WeightedRevAge14)-SUMIF(ThresholdAge14,"&lt;"&amp;'19_Расчет_аналитики'!T4607,WeightedMinAge14),MAX(CapacityAge14*'01_Вводные'!$B$218*'19_Расчет_аналитики'!T4607,MeanMinAge14))),0)</f>
        <v/>
      </c>
      <c r="U4525">
        <f>IF('01_Вводные'!$B$234="Да",IF(OR('19_Расчет_аналитики'!U4497=0,14&lt;='01_Вводные'!$B$297),0,'19_Расчет_аналитики'!U4497*IF('01_Вводные'!$B$239="Да",MeanMinAge14+'19_Расчет_аналитики'!U4607*SUMIF(ThresholdAge14,"&lt;"&amp;'19_Расчет_аналитики'!U4607,WeightedRevAge14)-SUMIF(ThresholdAge14,"&lt;"&amp;'19_Расчет_аналитики'!U4607,WeightedMinAge14),MAX(CapacityAge14*'01_Вводные'!$B$218*'19_Расчет_аналитики'!U4607,MeanMinAge14))),0)</f>
        <v/>
      </c>
      <c r="V4525">
        <f>IF('01_Вводные'!$B$234="Да",IF(OR('19_Расчет_аналитики'!V4497=0,14&lt;='01_Вводные'!$B$297),0,'19_Расчет_аналитики'!V4497*IF('01_Вводные'!$B$239="Да",MeanMinAge14+'19_Расчет_аналитики'!V4607*SUMIF(ThresholdAge14,"&lt;"&amp;'19_Расчет_аналитики'!V4607,WeightedRevAge14)-SUMIF(ThresholdAge14,"&lt;"&amp;'19_Расчет_аналитики'!V4607,WeightedMinAge14),MAX(CapacityAge14*'01_Вводные'!$B$218*'19_Расчет_аналитики'!V4607,MeanMinAge14))),0)</f>
        <v/>
      </c>
      <c r="W4525">
        <f>IF('01_Вводные'!$B$234="Да",IF(OR('19_Расчет_аналитики'!W4497=0,14&lt;='01_Вводные'!$B$297),0,'19_Расчет_аналитики'!W4497*IF('01_Вводные'!$B$239="Да",MeanMinAge14+'19_Расчет_аналитики'!W4607*SUMIF(ThresholdAge14,"&lt;"&amp;'19_Расчет_аналитики'!W4607,WeightedRevAge14)-SUMIF(ThresholdAge14,"&lt;"&amp;'19_Расчет_аналитики'!W4607,WeightedMinAge14),MAX(CapacityAge14*'01_Вводные'!$B$218*'19_Расчет_аналитики'!W4607,MeanMinAge14))),0)</f>
        <v/>
      </c>
      <c r="X4525">
        <f>IF('01_Вводные'!$B$234="Да",IF(OR('19_Расчет_аналитики'!X4497=0,14&lt;='01_Вводные'!$B$297),0,'19_Расчет_аналитики'!X4497*IF('01_Вводные'!$B$239="Да",MeanMinAge14+'19_Расчет_аналитики'!X4607*SUMIF(ThresholdAge14,"&lt;"&amp;'19_Расчет_аналитики'!X4607,WeightedRevAge14)-SUMIF(ThresholdAge14,"&lt;"&amp;'19_Расчет_аналитики'!X4607,WeightedMinAge14),MAX(CapacityAge14*'01_Вводные'!$B$218*'19_Расчет_аналитики'!X4607,MeanMinAge14))),0)</f>
        <v/>
      </c>
      <c r="Y4525">
        <f>IF('01_Вводные'!$B$234="Да",IF(OR('19_Расчет_аналитики'!Y4497=0,14&lt;='01_Вводные'!$B$297),0,'19_Расчет_аналитики'!Y4497*IF('01_Вводные'!$B$239="Да",MeanMinAge14+'19_Расчет_аналитики'!Y4607*SUMIF(ThresholdAge14,"&lt;"&amp;'19_Расчет_аналитики'!Y4607,WeightedRevAge14)-SUMIF(ThresholdAge14,"&lt;"&amp;'19_Расчет_аналитики'!Y4607,WeightedMinAge14),MAX(CapacityAge14*'01_Вводные'!$B$218*'19_Расчет_аналитики'!Y4607,MeanMinAge14))),0)</f>
        <v/>
      </c>
      <c r="Z4525">
        <f>IF('01_Вводные'!$B$234="Да",IF(OR('19_Расчет_аналитики'!Z4497=0,14&lt;='01_Вводные'!$B$297),0,'19_Расчет_аналитики'!Z4497*IF('01_Вводные'!$B$239="Да",MeanMinAge14+'19_Расчет_аналитики'!Z4607*SUMIF(ThresholdAge14,"&lt;"&amp;'19_Расчет_аналитики'!Z4607,WeightedRevAge14)-SUMIF(ThresholdAge14,"&lt;"&amp;'19_Расчет_аналитики'!Z4607,WeightedMinAge14),MAX(CapacityAge14*'01_Вводные'!$B$218*'19_Расчет_аналитики'!Z4607,MeanMinAge14))),0)</f>
        <v/>
      </c>
      <c r="AA4525">
        <f>IF('01_Вводные'!$B$234="Да",IF(OR('19_Расчет_аналитики'!AA4497=0,14&lt;='01_Вводные'!$B$297),0,'19_Расчет_аналитики'!AA4497*IF('01_Вводные'!$B$239="Да",MeanMinAge14+'19_Расчет_аналитики'!AA4607*SUMIF(ThresholdAge14,"&lt;"&amp;'19_Расчет_аналитики'!AA4607,WeightedRevAge14)-SUMIF(ThresholdAge14,"&lt;"&amp;'19_Расчет_аналитики'!AA4607,WeightedMinAge14),MAX(CapacityAge14*'01_Вводные'!$B$218*'19_Расчет_аналитики'!AA4607,MeanMinAge14))),0)</f>
        <v/>
      </c>
      <c r="AB4525">
        <f>IF('01_Вводные'!$B$234="Да",IF(OR('19_Расчет_аналитики'!AB4497=0,14&lt;='01_Вводные'!$B$297),0,'19_Расчет_аналитики'!AB4497*IF('01_Вводные'!$B$239="Да",MeanMinAge14+'19_Расчет_аналитики'!AB4607*SUMIF(ThresholdAge14,"&lt;"&amp;'19_Расчет_аналитики'!AB4607,WeightedRevAge14)-SUMIF(ThresholdAge14,"&lt;"&amp;'19_Расчет_аналитики'!AB4607,WeightedMinAge14),MAX(CapacityAge14*'01_Вводные'!$B$218*'19_Расчет_аналитики'!AB4607,MeanMinAge14))),0)</f>
        <v/>
      </c>
      <c r="AC4525">
        <f>IF('01_Вводные'!$B$234="Да",IF(OR('19_Расчет_аналитики'!AC4497=0,14&lt;='01_Вводные'!$B$297),0,'19_Расчет_аналитики'!AC4497*IF('01_Вводные'!$B$239="Да",MeanMinAge14+'19_Расчет_аналитики'!AC4607*SUMIF(ThresholdAge14,"&lt;"&amp;'19_Расчет_аналитики'!AC4607,WeightedRevAge14)-SUMIF(ThresholdAge14,"&lt;"&amp;'19_Расчет_аналитики'!AC4607,WeightedMinAge14),MAX(CapacityAge14*'01_Вводные'!$B$218*'19_Расчет_аналитики'!AC4607,MeanMinAge14))),0)</f>
        <v/>
      </c>
      <c r="AD4525">
        <f>IF('01_Вводные'!$B$234="Да",IF(OR('19_Расчет_аналитики'!AD4497=0,14&lt;='01_Вводные'!$B$297),0,'19_Расчет_аналитики'!AD4497*IF('01_Вводные'!$B$239="Да",MeanMinAge14+'19_Расчет_аналитики'!AD4607*SUMIF(ThresholdAge14,"&lt;"&amp;'19_Расчет_аналитики'!AD4607,WeightedRevAge14)-SUMIF(ThresholdAge14,"&lt;"&amp;'19_Расчет_аналитики'!AD4607,WeightedMinAge14),MAX(CapacityAge14*'01_Вводные'!$B$218*'19_Расчет_аналитики'!AD4607,MeanMinAge14))),0)</f>
        <v/>
      </c>
      <c r="AE4525">
        <f>IF('01_Вводные'!$B$234="Да",IF(OR('19_Расчет_аналитики'!AE4497=0,14&lt;='01_Вводные'!$B$297),0,'19_Расчет_аналитики'!AE4497*IF('01_Вводные'!$B$239="Да",MeanMinAge14+'19_Расчет_аналитики'!AE4607*SUMIF(ThresholdAge14,"&lt;"&amp;'19_Расчет_аналитики'!AE4607,WeightedRevAge14)-SUMIF(ThresholdAge14,"&lt;"&amp;'19_Расчет_аналитики'!AE4607,WeightedMinAge14),MAX(CapacityAge14*'01_Вводные'!$B$218*'19_Расчет_аналитики'!AE4607,MeanMinAge14))),0)</f>
        <v/>
      </c>
      <c r="AF4525">
        <f>IF('01_Вводные'!$B$234="Да",IF(OR('19_Расчет_аналитики'!AF4497=0,14&lt;='01_Вводные'!$B$297),0,'19_Расчет_аналитики'!AF4497*IF('01_Вводные'!$B$239="Да",MeanMinAge14+'19_Расчет_аналитики'!AF4607*SUMIF(ThresholdAge14,"&lt;"&amp;'19_Расчет_аналитики'!AF4607,WeightedRevAge14)-SUMIF(ThresholdAge14,"&lt;"&amp;'19_Расчет_аналитики'!AF4607,WeightedMinAge14),MAX(CapacityAge14*'01_Вводные'!$B$218*'19_Расчет_аналитики'!AF4607,MeanMinAge14))),0)</f>
        <v/>
      </c>
      <c r="AG4525">
        <f>IF('01_Вводные'!$B$234="Да",IF(OR('19_Расчет_аналитики'!AG4497=0,14&lt;='01_Вводные'!$B$297),0,'19_Расчет_аналитики'!AG4497*IF('01_Вводные'!$B$239="Да",MeanMinAge14+'19_Расчет_аналитики'!AG4607*SUMIF(ThresholdAge14,"&lt;"&amp;'19_Расчет_аналитики'!AG4607,WeightedRevAge14)-SUMIF(ThresholdAge14,"&lt;"&amp;'19_Расчет_аналитики'!AG4607,WeightedMinAge14),MAX(CapacityAge14*'01_Вводные'!$B$218*'19_Расчет_аналитики'!AG4607,MeanMinAge14))),0)</f>
        <v/>
      </c>
      <c r="AH4525">
        <f>IF('01_Вводные'!$B$234="Да",IF(OR('19_Расчет_аналитики'!AH4497=0,14&lt;='01_Вводные'!$B$297),0,'19_Расчет_аналитики'!AH4497*IF('01_Вводные'!$B$239="Да",MeanMinAge14+'19_Расчет_аналитики'!AH4607*SUMIF(ThresholdAge14,"&lt;"&amp;'19_Расчет_аналитики'!AH4607,WeightedRevAge14)-SUMIF(ThresholdAge14,"&lt;"&amp;'19_Расчет_аналитики'!AH4607,WeightedMinAge14),MAX(CapacityAge14*'01_Вводные'!$B$218*'19_Расчет_аналитики'!AH4607,MeanMinAge14))),0)</f>
        <v/>
      </c>
      <c r="AI4525">
        <f>IF('01_Вводные'!$B$234="Да",IF(OR('19_Расчет_аналитики'!AI4497=0,14&lt;='01_Вводные'!$B$297),0,'19_Расчет_аналитики'!AI4497*IF('01_Вводные'!$B$239="Да",MeanMinAge14+'19_Расчет_аналитики'!AI4607*SUMIF(ThresholdAge14,"&lt;"&amp;'19_Расчет_аналитики'!AI4607,WeightedRevAge14)-SUMIF(ThresholdAge14,"&lt;"&amp;'19_Расчет_аналитики'!AI4607,WeightedMinAge14),MAX(CapacityAge14*'01_Вводные'!$B$218*'19_Расчет_аналитики'!AI4607,MeanMinAge14))),0)</f>
        <v/>
      </c>
      <c r="AJ4525">
        <f>IF('01_Вводные'!$B$234="Да",IF(OR('19_Расчет_аналитики'!AJ4497=0,14&lt;='01_Вводные'!$B$297),0,'19_Расчет_аналитики'!AJ4497*IF('01_Вводные'!$B$239="Да",MeanMinAge14+'19_Расчет_аналитики'!AJ4607*SUMIF(ThresholdAge14,"&lt;"&amp;'19_Расчет_аналитики'!AJ4607,WeightedRevAge14)-SUMIF(ThresholdAge14,"&lt;"&amp;'19_Расчет_аналитики'!AJ4607,WeightedMinAge14),MAX(CapacityAge14*'01_Вводные'!$B$218*'19_Расчет_аналитики'!AJ4607,MeanMinAge14))),0)</f>
        <v/>
      </c>
      <c r="AK4525">
        <f>IF('01_Вводные'!$B$234="Да",IF(OR('19_Расчет_аналитики'!AK4497=0,14&lt;='01_Вводные'!$B$297),0,'19_Расчет_аналитики'!AK4497*IF('01_Вводные'!$B$239="Да",MeanMinAge14+'19_Расчет_аналитики'!AK4607*SUMIF(ThresholdAge14,"&lt;"&amp;'19_Расчет_аналитики'!AK4607,WeightedRevAge14)-SUMIF(ThresholdAge14,"&lt;"&amp;'19_Расчет_аналитики'!AK4607,WeightedMinAge14),MAX(CapacityAge14*'01_Вводные'!$B$218*'19_Расчет_аналитики'!AK4607,MeanMinAge14))),0)</f>
        <v/>
      </c>
      <c r="AL4525">
        <f>IF('01_Вводные'!$B$234="Да",IF(OR('19_Расчет_аналитики'!AL4497=0,14&lt;='01_Вводные'!$B$297),0,'19_Расчет_аналитики'!AL4497*IF('01_Вводные'!$B$239="Да",MeanMinAge14+'19_Расчет_аналитики'!AL4607*SUMIF(ThresholdAge14,"&lt;"&amp;'19_Расчет_аналитики'!AL4607,WeightedRevAge14)-SUMIF(ThresholdAge14,"&lt;"&amp;'19_Расчет_аналитики'!AL4607,WeightedMinAge14),MAX(CapacityAge14*'01_Вводные'!$B$218*'19_Расчет_аналитики'!AL4607,MeanMinAge14))),0)</f>
        <v/>
      </c>
      <c r="AM4525">
        <f>IF('01_Вводные'!$B$234="Да",IF(OR('19_Расчет_аналитики'!AM4497=0,14&lt;='01_Вводные'!$B$297),0,'19_Расчет_аналитики'!AM4497*IF('01_Вводные'!$B$239="Да",MeanMinAge14+'19_Расчет_аналитики'!AM4607*SUMIF(ThresholdAge14,"&lt;"&amp;'19_Расчет_аналитики'!AM4607,WeightedRevAge14)-SUMIF(ThresholdAge14,"&lt;"&amp;'19_Расчет_аналитики'!AM4607,WeightedMinAge14),MAX(CapacityAge14*'01_Вводные'!$B$218*'19_Расчет_аналитики'!AM4607,MeanMinAge14))),0)</f>
        <v/>
      </c>
      <c r="AN4525">
        <f>IF('01_Вводные'!$B$234="Да",IF(OR('19_Расчет_аналитики'!AN4497=0,14&lt;='01_Вводные'!$B$297),0,'19_Расчет_аналитики'!AN4497*IF('01_Вводные'!$B$239="Да",MeanMinAge14+'19_Расчет_аналитики'!AN4607*SUMIF(ThresholdAge14,"&lt;"&amp;'19_Расчет_аналитики'!AN4607,WeightedRevAge14)-SUMIF(ThresholdAge14,"&lt;"&amp;'19_Расчет_аналитики'!AN4607,WeightedMinAge14),MAX(CapacityAge14*'01_Вводные'!$B$218*'19_Расчет_аналитики'!AN4607,MeanMinAge14))),0)</f>
        <v/>
      </c>
      <c r="AO4525">
        <f>IF('01_Вводные'!$B$234="Да",IF(OR('19_Расчет_аналитики'!AO4497=0,14&lt;='01_Вводные'!$B$297),0,'19_Расчет_аналитики'!AO4497*IF('01_Вводные'!$B$239="Да",MeanMinAge14+'19_Расчет_аналитики'!AO4607*SUMIF(ThresholdAge14,"&lt;"&amp;'19_Расчет_аналитики'!AO4607,WeightedRevAge14)-SUMIF(ThresholdAge14,"&lt;"&amp;'19_Расчет_аналитики'!AO4607,WeightedMinAge14),MAX(CapacityAge14*'01_Вводные'!$B$218*'19_Расчет_аналитики'!AO4607,MeanMinAge14))),0)</f>
        <v/>
      </c>
      <c r="AP4525">
        <f>IF('01_Вводные'!$B$234="Да",IF(OR('19_Расчет_аналитики'!AP4497=0,14&lt;='01_Вводные'!$B$297),0,'19_Расчет_аналитики'!AP4497*IF('01_Вводные'!$B$239="Да",MeanMinAge14+'19_Расчет_аналитики'!AP4607*SUMIF(ThresholdAge14,"&lt;"&amp;'19_Расчет_аналитики'!AP4607,WeightedRevAge14)-SUMIF(ThresholdAge14,"&lt;"&amp;'19_Расчет_аналитики'!AP4607,WeightedMinAge14),MAX(CapacityAge14*'01_Вводные'!$B$218*'19_Расчет_аналитики'!AP4607,MeanMinAge14))),0)</f>
        <v/>
      </c>
      <c r="AQ4525">
        <f>IF('01_Вводные'!$B$234="Да",IF(OR('19_Расчет_аналитики'!AQ4497=0,14&lt;='01_Вводные'!$B$297),0,'19_Расчет_аналитики'!AQ4497*IF('01_Вводные'!$B$239="Да",MeanMinAge14+'19_Расчет_аналитики'!AQ4607*SUMIF(ThresholdAge14,"&lt;"&amp;'19_Расчет_аналитики'!AQ4607,WeightedRevAge14)-SUMIF(ThresholdAge14,"&lt;"&amp;'19_Расчет_аналитики'!AQ4607,WeightedMinAge14),MAX(CapacityAge14*'01_Вводные'!$B$218*'19_Расчет_аналитики'!AQ4607,MeanMinAge14))),0)</f>
        <v/>
      </c>
      <c r="AR4525">
        <f>IF('01_Вводные'!$B$234="Да",IF(OR('19_Расчет_аналитики'!AR4497=0,14&lt;='01_Вводные'!$B$297),0,'19_Расчет_аналитики'!AR4497*IF('01_Вводные'!$B$239="Да",MeanMinAge14+'19_Расчет_аналитики'!AR4607*SUMIF(ThresholdAge14,"&lt;"&amp;'19_Расчет_аналитики'!AR4607,WeightedRevAge14)-SUMIF(ThresholdAge14,"&lt;"&amp;'19_Расчет_аналитики'!AR4607,WeightedMinAge14),MAX(CapacityAge14*'01_Вводные'!$B$218*'19_Расчет_аналитики'!AR4607,MeanMinAge14))),0)</f>
        <v/>
      </c>
      <c r="AS4525">
        <f>IF('01_Вводные'!$B$234="Да",IF(OR('19_Расчет_аналитики'!AS4497=0,14&lt;='01_Вводные'!$B$297),0,'19_Расчет_аналитики'!AS4497*IF('01_Вводные'!$B$239="Да",MeanMinAge14+'19_Расчет_аналитики'!AS4607*SUMIF(ThresholdAge14,"&lt;"&amp;'19_Расчет_аналитики'!AS4607,WeightedRevAge14)-SUMIF(ThresholdAge14,"&lt;"&amp;'19_Расчет_аналитики'!AS4607,WeightedMinAge14),MAX(CapacityAge14*'01_Вводные'!$B$218*'19_Расчет_аналитики'!AS4607,MeanMinAge14))),0)</f>
        <v/>
      </c>
      <c r="AT4525">
        <f>IF('01_Вводные'!$B$234="Да",IF(OR('19_Расчет_аналитики'!AT4497=0,14&lt;='01_Вводные'!$B$297),0,'19_Расчет_аналитики'!AT4497*IF('01_Вводные'!$B$239="Да",MeanMinAge14+'19_Расчет_аналитики'!AT4607*SUMIF(ThresholdAge14,"&lt;"&amp;'19_Расчет_аналитики'!AT4607,WeightedRevAge14)-SUMIF(ThresholdAge14,"&lt;"&amp;'19_Расчет_аналитики'!AT4607,WeightedMinAge14),MAX(CapacityAge14*'01_Вводные'!$B$218*'19_Расчет_аналитики'!AT4607,MeanMinAge14))),0)</f>
        <v/>
      </c>
      <c r="AU4525">
        <f>IF('01_Вводные'!$B$234="Да",IF(OR('19_Расчет_аналитики'!AU4497=0,14&lt;='01_Вводные'!$B$297),0,'19_Расчет_аналитики'!AU4497*IF('01_Вводные'!$B$239="Да",MeanMinAge14+'19_Расчет_аналитики'!AU4607*SUMIF(ThresholdAge14,"&lt;"&amp;'19_Расчет_аналитики'!AU4607,WeightedRevAge14)-SUMIF(ThresholdAge14,"&lt;"&amp;'19_Расчет_аналитики'!AU4607,WeightedMinAge14),MAX(CapacityAge14*'01_Вводные'!$B$218*'19_Расчет_аналитики'!AU4607,MeanMinAge14))),0)</f>
        <v/>
      </c>
      <c r="AV4525">
        <f>IF('01_Вводные'!$B$234="Да",IF(OR('19_Расчет_аналитики'!AV4497=0,14&lt;='01_Вводные'!$B$297),0,'19_Расчет_аналитики'!AV4497*IF('01_Вводные'!$B$239="Да",MeanMinAge14+'19_Расчет_аналитики'!AV4607*SUMIF(ThresholdAge14,"&lt;"&amp;'19_Расчет_аналитики'!AV4607,WeightedRevAge14)-SUMIF(ThresholdAge14,"&lt;"&amp;'19_Расчет_аналитики'!AV4607,WeightedMinAge14),MAX(CapacityAge14*'01_Вводные'!$B$218*'19_Расчет_аналитики'!AV4607,MeanMinAge14))),0)</f>
        <v/>
      </c>
      <c r="AW4525">
        <f>IF('01_Вводные'!$B$234="Да",IF(OR('19_Расчет_аналитики'!AW4497=0,14&lt;='01_Вводные'!$B$297),0,'19_Расчет_аналитики'!AW4497*IF('01_Вводные'!$B$239="Да",MeanMinAge14+'19_Расчет_аналитики'!AW4607*SUMIF(ThresholdAge14,"&lt;"&amp;'19_Расчет_аналитики'!AW4607,WeightedRevAge14)-SUMIF(ThresholdAge14,"&lt;"&amp;'19_Расчет_аналитики'!AW4607,WeightedMinAge14),MAX(CapacityAge14*'01_Вводные'!$B$218*'19_Расчет_аналитики'!AW4607,MeanMinAge14))),0)</f>
        <v/>
      </c>
      <c r="AX4525">
        <f>IF('01_Вводные'!$B$234="Да",IF(OR('19_Расчет_аналитики'!AX4497=0,14&lt;='01_Вводные'!$B$297),0,'19_Расчет_аналитики'!AX4497*IF('01_Вводные'!$B$239="Да",MeanMinAge14+'19_Расчет_аналитики'!AX4607*SUMIF(ThresholdAge14,"&lt;"&amp;'19_Расчет_аналитики'!AX4607,WeightedRevAge14)-SUMIF(ThresholdAge14,"&lt;"&amp;'19_Расчет_аналитики'!AX4607,WeightedMinAge14),MAX(CapacityAge14*'01_Вводные'!$B$218*'19_Расчет_аналитики'!AX4607,MeanMinAge14))),0)</f>
        <v/>
      </c>
      <c r="AY4525">
        <f>IF('01_Вводные'!$B$234="Да",IF(OR('19_Расчет_аналитики'!AY4497=0,14&lt;='01_Вводные'!$B$297),0,'19_Расчет_аналитики'!AY4497*IF('01_Вводные'!$B$239="Да",MeanMinAge14+'19_Расчет_аналитики'!AY4607*SUMIF(ThresholdAge14,"&lt;"&amp;'19_Расчет_аналитики'!AY4607,WeightedRevAge14)-SUMIF(ThresholdAge14,"&lt;"&amp;'19_Расчет_аналитики'!AY4607,WeightedMinAge14),MAX(CapacityAge14*'01_Вводные'!$B$218*'19_Расчет_аналитики'!AY4607,MeanMinAge14))),0)</f>
        <v/>
      </c>
      <c r="AZ4525">
        <f>IF('01_Вводные'!$B$234="Да",IF(OR('19_Расчет_аналитики'!AZ4497=0,14&lt;='01_Вводные'!$B$297),0,'19_Расчет_аналитики'!AZ4497*IF('01_Вводные'!$B$239="Да",MeanMinAge14+'19_Расчет_аналитики'!AZ4607*SUMIF(ThresholdAge14,"&lt;"&amp;'19_Расчет_аналитики'!AZ4607,WeightedRevAge14)-SUMIF(ThresholdAge14,"&lt;"&amp;'19_Расчет_аналитики'!AZ4607,WeightedMinAge14),MAX(CapacityAge14*'01_Вводные'!$B$218*'19_Расчет_аналитики'!AZ4607,MeanMinAge14))),0)</f>
        <v/>
      </c>
      <c r="BA4525">
        <f>IF('01_Вводные'!$B$234="Да",IF(OR('19_Расчет_аналитики'!BA4497=0,14&lt;='01_Вводные'!$B$297),0,'19_Расчет_аналитики'!BA4497*IF('01_Вводные'!$B$239="Да",MeanMinAge14+'19_Расчет_аналитики'!BA4607*SUMIF(ThresholdAge14,"&lt;"&amp;'19_Расчет_аналитики'!BA4607,WeightedRevAge14)-SUMIF(ThresholdAge14,"&lt;"&amp;'19_Расчет_аналитики'!BA4607,WeightedMinAge14),MAX(CapacityAge14*'01_Вводные'!$B$218*'19_Расчет_аналитики'!BA4607,MeanMinAge14))),0)</f>
        <v/>
      </c>
      <c r="BB4525">
        <f>IF('01_Вводные'!$B$234="Да",IF(OR('19_Расчет_аналитики'!BB4497=0,14&lt;='01_Вводные'!$B$297),0,'19_Расчет_аналитики'!BB4497*IF('01_Вводные'!$B$239="Да",MeanMinAge14+'19_Расчет_аналитики'!BB4607*SUMIF(ThresholdAge14,"&lt;"&amp;'19_Расчет_аналитики'!BB4607,WeightedRevAge14)-SUMIF(ThresholdAge14,"&lt;"&amp;'19_Расчет_аналитики'!BB4607,WeightedMinAge14),MAX(CapacityAge14*'01_Вводные'!$B$218*'19_Расчет_аналитики'!BB4607,MeanMinAge14))),0)</f>
        <v/>
      </c>
      <c r="BC4525">
        <f>IF('01_Вводные'!$B$234="Да",IF(OR('19_Расчет_аналитики'!BC4497=0,14&lt;='01_Вводные'!$B$297),0,'19_Расчет_аналитики'!BC4497*IF('01_Вводные'!$B$239="Да",MeanMinAge14+'19_Расчет_аналитики'!BC4607*SUMIF(ThresholdAge14,"&lt;"&amp;'19_Расчет_аналитики'!BC4607,WeightedRevAge14)-SUMIF(ThresholdAge14,"&lt;"&amp;'19_Расчет_аналитики'!BC4607,WeightedMinAge14),MAX(CapacityAge14*'01_Вводные'!$B$218*'19_Расчет_аналитики'!BC4607,MeanMinAge14))),0)</f>
        <v/>
      </c>
      <c r="BD4525">
        <f>IF('01_Вводные'!$B$234="Да",IF(OR('19_Расчет_аналитики'!BD4497=0,14&lt;='01_Вводные'!$B$297),0,'19_Расчет_аналитики'!BD4497*IF('01_Вводные'!$B$239="Да",MeanMinAge14+'19_Расчет_аналитики'!BD4607*SUMIF(ThresholdAge14,"&lt;"&amp;'19_Расчет_аналитики'!BD4607,WeightedRevAge14)-SUMIF(ThresholdAge14,"&lt;"&amp;'19_Расчет_аналитики'!BD4607,WeightedMinAge14),MAX(CapacityAge14*'01_Вводные'!$B$218*'19_Расчет_аналитики'!BD4607,MeanMinAge14))),0)</f>
        <v/>
      </c>
      <c r="BE4525">
        <f>IF('01_Вводные'!$B$234="Да",IF(OR('19_Расчет_аналитики'!BE4497=0,14&lt;='01_Вводные'!$B$297),0,'19_Расчет_аналитики'!BE4497*IF('01_Вводные'!$B$239="Да",MeanMinAge14+'19_Расчет_аналитики'!BE4607*SUMIF(ThresholdAge14,"&lt;"&amp;'19_Расчет_аналитики'!BE4607,WeightedRevAge14)-SUMIF(ThresholdAge14,"&lt;"&amp;'19_Расчет_аналитики'!BE4607,WeightedMinAge14),MAX(CapacityAge14*'01_Вводные'!$B$218*'19_Расчет_аналитики'!BE4607,MeanMinAge14))),0)</f>
        <v/>
      </c>
      <c r="BF4525">
        <f>IF('01_Вводные'!$B$234="Да",IF(OR('19_Расчет_аналитики'!BF4497=0,14&lt;='01_Вводные'!$B$297),0,'19_Расчет_аналитики'!BF4497*IF('01_Вводные'!$B$239="Да",MeanMinAge14+'19_Расчет_аналитики'!BF4607*SUMIF(ThresholdAge14,"&lt;"&amp;'19_Расчет_аналитики'!BF4607,WeightedRevAge14)-SUMIF(ThresholdAge14,"&lt;"&amp;'19_Расчет_аналитики'!BF4607,WeightedMinAge14),MAX(CapacityAge14*'01_Вводные'!$B$218*'19_Расчет_аналитики'!BF4607,MeanMinAge14))),0)</f>
        <v/>
      </c>
      <c r="BG4525">
        <f>IF('01_Вводные'!$B$234="Да",IF(OR('19_Расчет_аналитики'!BG4497=0,14&lt;='01_Вводные'!$B$297),0,'19_Расчет_аналитики'!BG4497*IF('01_Вводные'!$B$239="Да",MeanMinAge14+'19_Расчет_аналитики'!BG4607*SUMIF(ThresholdAge14,"&lt;"&amp;'19_Расчет_аналитики'!BG4607,WeightedRevAge14)-SUMIF(ThresholdAge14,"&lt;"&amp;'19_Расчет_аналитики'!BG4607,WeightedMinAge14),MAX(CapacityAge14*'01_Вводные'!$B$218*'19_Расчет_аналитики'!BG4607,MeanMinAge14))),0)</f>
        <v/>
      </c>
      <c r="BH4525">
        <f>IF('01_Вводные'!$B$234="Да",IF(OR('19_Расчет_аналитики'!BH4497=0,14&lt;='01_Вводные'!$B$297),0,'19_Расчет_аналитики'!BH4497*IF('01_Вводные'!$B$239="Да",MeanMinAge14+'19_Расчет_аналитики'!BH4607*SUMIF(ThresholdAge14,"&lt;"&amp;'19_Расчет_аналитики'!BH4607,WeightedRevAge14)-SUMIF(ThresholdAge14,"&lt;"&amp;'19_Расчет_аналитики'!BH4607,WeightedMinAge14),MAX(CapacityAge14*'01_Вводные'!$B$218*'19_Расчет_аналитики'!BH4607,MeanMinAge14))),0)</f>
        <v/>
      </c>
      <c r="BI4525">
        <f>IF('01_Вводные'!$B$234="Да",IF(OR('19_Расчет_аналитики'!BI4497=0,14&lt;='01_Вводные'!$B$297),0,'19_Расчет_аналитики'!BI4497*IF('01_Вводные'!$B$239="Да",MeanMinAge14+'19_Расчет_аналитики'!BI4607*SUMIF(ThresholdAge14,"&lt;"&amp;'19_Расчет_аналитики'!BI4607,WeightedRevAge14)-SUMIF(ThresholdAge14,"&lt;"&amp;'19_Расчет_аналитики'!BI4607,WeightedMinAge14),MAX(CapacityAge14*'01_Вводные'!$B$218*'19_Расчет_аналитики'!BI4607,MeanMinAge14))),0)</f>
        <v/>
      </c>
      <c r="BJ4525">
        <f>IF('01_Вводные'!$B$234="Да",IF(OR('19_Расчет_аналитики'!BJ4497=0,14&lt;='01_Вводные'!$B$297),0,'19_Расчет_аналитики'!BJ4497*IF('01_Вводные'!$B$239="Да",MeanMinAge14+'19_Расчет_аналитики'!BJ4607*SUMIF(ThresholdAge14,"&lt;"&amp;'19_Расчет_аналитики'!BJ4607,WeightedRevAge14)-SUMIF(ThresholdAge14,"&lt;"&amp;'19_Расчет_аналитики'!BJ4607,WeightedMinAge14),MAX(CapacityAge14*'01_Вводные'!$B$218*'19_Расчет_аналитики'!BJ4607,MeanMinAge14))),0)</f>
        <v/>
      </c>
      <c r="BK4525">
        <f>IF('01_Вводные'!$B$234="Да",IF(OR('19_Расчет_аналитики'!BK4497=0,14&lt;='01_Вводные'!$B$297),0,'19_Расчет_аналитики'!BK4497*IF('01_Вводные'!$B$239="Да",MeanMinAge14+'19_Расчет_аналитики'!BK4607*SUMIF(ThresholdAge14,"&lt;"&amp;'19_Расчет_аналитики'!BK4607,WeightedRevAge14)-SUMIF(ThresholdAge14,"&lt;"&amp;'19_Расчет_аналитики'!BK4607,WeightedMinAge14),MAX(CapacityAge14*'01_Вводные'!$B$218*'19_Расчет_аналитики'!BK4607,MeanMinAge14))),0)</f>
        <v/>
      </c>
      <c r="BL4525">
        <f>IF('01_Вводные'!$B$234="Да",IF(OR('19_Расчет_аналитики'!BL4497=0,14&lt;='01_Вводные'!$B$297),0,'19_Расчет_аналитики'!BL4497*IF('01_Вводные'!$B$239="Да",MeanMinAge14+'19_Расчет_аналитики'!BL4607*SUMIF(ThresholdAge14,"&lt;"&amp;'19_Расчет_аналитики'!BL4607,WeightedRevAge14)-SUMIF(ThresholdAge14,"&lt;"&amp;'19_Расчет_аналитики'!BL4607,WeightedMinAge14),MAX(CapacityAge14*'01_Вводные'!$B$218*'19_Расчет_аналитики'!BL4607,MeanMinAge14))),0)</f>
        <v/>
      </c>
      <c r="BM4525">
        <f>IF('01_Вводные'!$B$234="Да",IF(OR('19_Расчет_аналитики'!BM4497=0,14&lt;='01_Вводные'!$B$297),0,'19_Расчет_аналитики'!BM4497*IF('01_Вводные'!$B$239="Да",MeanMinAge14+'19_Расчет_аналитики'!BM4607*SUMIF(ThresholdAge14,"&lt;"&amp;'19_Расчет_аналитики'!BM4607,WeightedRevAge14)-SUMIF(ThresholdAge14,"&lt;"&amp;'19_Расчет_аналитики'!BM4607,WeightedMinAge14),MAX(CapacityAge14*'01_Вводные'!$B$218*'19_Расчет_аналитики'!BM4607,MeanMinAge14))),0)</f>
        <v/>
      </c>
      <c r="BN4525">
        <f>IF('01_Вводные'!$B$234="Да",IF(OR('19_Расчет_аналитики'!BN4497=0,14&lt;='01_Вводные'!$B$297),0,'19_Расчет_аналитики'!BN4497*IF('01_Вводные'!$B$239="Да",MeanMinAge14+'19_Расчет_аналитики'!BN4607*SUMIF(ThresholdAge14,"&lt;"&amp;'19_Расчет_аналитики'!BN4607,WeightedRevAge14)-SUMIF(ThresholdAge14,"&lt;"&amp;'19_Расчет_аналитики'!BN4607,WeightedMinAge14),MAX(CapacityAge14*'01_Вводные'!$B$218*'19_Расчет_аналитики'!BN4607,MeanMinAge14))),0)</f>
        <v/>
      </c>
      <c r="BO4525">
        <f>IF('01_Вводные'!$B$234="Да",IF(OR('19_Расчет_аналитики'!BO4497=0,14&lt;='01_Вводные'!$B$297),0,'19_Расчет_аналитики'!BO4497*IF('01_Вводные'!$B$239="Да",MeanMinAge14+'19_Расчет_аналитики'!BO4607*SUMIF(ThresholdAge14,"&lt;"&amp;'19_Расчет_аналитики'!BO4607,WeightedRevAge14)-SUMIF(ThresholdAge14,"&lt;"&amp;'19_Расчет_аналитики'!BO4607,WeightedMinAge14),MAX(CapacityAge14*'01_Вводные'!$B$218*'19_Расчет_аналитики'!BO4607,MeanMinAge14))),0)</f>
        <v/>
      </c>
    </row>
    <row r="4526">
      <c r="B4526">
        <f>IF('01_Вводные'!$B$234="Да",IF(OR('06_Сеть_и_дети'!B95=0,15&lt;='01_Вводные'!$B$297),0,'06_Сеть_и_дети'!B95*IF('01_Вводные'!$B$239="Да",MeanMinAge15+'19_Расчет_аналитики'!B4607*SUMIF(ThresholdAge15,"&lt;"&amp;'19_Расчет_аналитики'!B4607,WeightedRevAge15)-SUMIF(ThresholdAge15,"&lt;"&amp;'19_Расчет_аналитики'!B4607,WeightedMinAge15),MAX(CapacityAge15*'01_Вводные'!$B$218*'19_Расчет_аналитики'!B4607,MeanMinAge15))),0)</f>
        <v/>
      </c>
      <c r="C4526">
        <f>IF('01_Вводные'!$B$234="Да",IF(OR('06_Сеть_и_дети'!C95=0,15&lt;='01_Вводные'!$B$297),0,'06_Сеть_и_дети'!C95*IF('01_Вводные'!$B$239="Да",MeanMinAge15+'19_Расчет_аналитики'!C4607*SUMIF(ThresholdAge15,"&lt;"&amp;'19_Расчет_аналитики'!C4607,WeightedRevAge15)-SUMIF(ThresholdAge15,"&lt;"&amp;'19_Расчет_аналитики'!C4607,WeightedMinAge15),MAX(CapacityAge15*'01_Вводные'!$B$218*'19_Расчет_аналитики'!C4607,MeanMinAge15))),0)</f>
        <v/>
      </c>
      <c r="D4526">
        <f>IF('01_Вводные'!$B$234="Да",IF(OR('06_Сеть_и_дети'!D95=0,15&lt;='01_Вводные'!$B$297),0,'06_Сеть_и_дети'!D95*IF('01_Вводные'!$B$239="Да",MeanMinAge15+'19_Расчет_аналитики'!D4607*SUMIF(ThresholdAge15,"&lt;"&amp;'19_Расчет_аналитики'!D4607,WeightedRevAge15)-SUMIF(ThresholdAge15,"&lt;"&amp;'19_Расчет_аналитики'!D4607,WeightedMinAge15),MAX(CapacityAge15*'01_Вводные'!$B$218*'19_Расчет_аналитики'!D4607,MeanMinAge15))),0)</f>
        <v/>
      </c>
      <c r="E4526">
        <f>IF('01_Вводные'!$B$234="Да",IF(OR('06_Сеть_и_дети'!E95=0,15&lt;='01_Вводные'!$B$297),0,'06_Сеть_и_дети'!E95*IF('01_Вводные'!$B$239="Да",MeanMinAge15+'19_Расчет_аналитики'!E4607*SUMIF(ThresholdAge15,"&lt;"&amp;'19_Расчет_аналитики'!E4607,WeightedRevAge15)-SUMIF(ThresholdAge15,"&lt;"&amp;'19_Расчет_аналитики'!E4607,WeightedMinAge15),MAX(CapacityAge15*'01_Вводные'!$B$218*'19_Расчет_аналитики'!E4607,MeanMinAge15))),0)</f>
        <v/>
      </c>
      <c r="F4526">
        <f>IF('01_Вводные'!$B$234="Да",IF(OR('06_Сеть_и_дети'!F95=0,15&lt;='01_Вводные'!$B$297),0,'06_Сеть_и_дети'!F95*IF('01_Вводные'!$B$239="Да",MeanMinAge15+'19_Расчет_аналитики'!F4607*SUMIF(ThresholdAge15,"&lt;"&amp;'19_Расчет_аналитики'!F4607,WeightedRevAge15)-SUMIF(ThresholdAge15,"&lt;"&amp;'19_Расчет_аналитики'!F4607,WeightedMinAge15),MAX(CapacityAge15*'01_Вводные'!$B$218*'19_Расчет_аналитики'!F4607,MeanMinAge15))),0)</f>
        <v/>
      </c>
      <c r="G4526">
        <f>IF('01_Вводные'!$B$234="Да",IF(OR('06_Сеть_и_дети'!G95=0,15&lt;='01_Вводные'!$B$297),0,'06_Сеть_и_дети'!G95*IF('01_Вводные'!$B$239="Да",MeanMinAge15+'19_Расчет_аналитики'!G4607*SUMIF(ThresholdAge15,"&lt;"&amp;'19_Расчет_аналитики'!G4607,WeightedRevAge15)-SUMIF(ThresholdAge15,"&lt;"&amp;'19_Расчет_аналитики'!G4607,WeightedMinAge15),MAX(CapacityAge15*'01_Вводные'!$B$218*'19_Расчет_аналитики'!G4607,MeanMinAge15))),0)</f>
        <v/>
      </c>
      <c r="H4526">
        <f>IF('01_Вводные'!$B$234="Да",IF(OR('06_Сеть_и_дети'!H95=0,15&lt;='01_Вводные'!$B$297),0,'06_Сеть_и_дети'!H95*IF('01_Вводные'!$B$239="Да",MeanMinAge15+'19_Расчет_аналитики'!H4607*SUMIF(ThresholdAge15,"&lt;"&amp;'19_Расчет_аналитики'!H4607,WeightedRevAge15)-SUMIF(ThresholdAge15,"&lt;"&amp;'19_Расчет_аналитики'!H4607,WeightedMinAge15),MAX(CapacityAge15*'01_Вводные'!$B$218*'19_Расчет_аналитики'!H4607,MeanMinAge15))),0)</f>
        <v/>
      </c>
      <c r="I4526">
        <f>IF('01_Вводные'!$B$234="Да",IF(OR('06_Сеть_и_дети'!I95=0,15&lt;='01_Вводные'!$B$297),0,'06_Сеть_и_дети'!I95*IF('01_Вводные'!$B$239="Да",MeanMinAge15+'19_Расчет_аналитики'!I4607*SUMIF(ThresholdAge15,"&lt;"&amp;'19_Расчет_аналитики'!I4607,WeightedRevAge15)-SUMIF(ThresholdAge15,"&lt;"&amp;'19_Расчет_аналитики'!I4607,WeightedMinAge15),MAX(CapacityAge15*'01_Вводные'!$B$218*'19_Расчет_аналитики'!I4607,MeanMinAge15))),0)</f>
        <v/>
      </c>
      <c r="J4526">
        <f>IF('01_Вводные'!$B$234="Да",IF(OR('06_Сеть_и_дети'!J95=0,15&lt;='01_Вводные'!$B$297),0,'06_Сеть_и_дети'!J95*IF('01_Вводные'!$B$239="Да",MeanMinAge15+'19_Расчет_аналитики'!J4607*SUMIF(ThresholdAge15,"&lt;"&amp;'19_Расчет_аналитики'!J4607,WeightedRevAge15)-SUMIF(ThresholdAge15,"&lt;"&amp;'19_Расчет_аналитики'!J4607,WeightedMinAge15),MAX(CapacityAge15*'01_Вводные'!$B$218*'19_Расчет_аналитики'!J4607,MeanMinAge15))),0)</f>
        <v/>
      </c>
      <c r="K4526">
        <f>IF('01_Вводные'!$B$234="Да",IF(OR('06_Сеть_и_дети'!K95=0,15&lt;='01_Вводные'!$B$297),0,'06_Сеть_и_дети'!K95*IF('01_Вводные'!$B$239="Да",MeanMinAge15+'19_Расчет_аналитики'!K4607*SUMIF(ThresholdAge15,"&lt;"&amp;'19_Расчет_аналитики'!K4607,WeightedRevAge15)-SUMIF(ThresholdAge15,"&lt;"&amp;'19_Расчет_аналитики'!K4607,WeightedMinAge15),MAX(CapacityAge15*'01_Вводные'!$B$218*'19_Расчет_аналитики'!K4607,MeanMinAge15))),0)</f>
        <v/>
      </c>
      <c r="L4526">
        <f>IF('01_Вводные'!$B$234="Да",IF(OR('06_Сеть_и_дети'!L95=0,15&lt;='01_Вводные'!$B$297),0,'06_Сеть_и_дети'!L95*IF('01_Вводные'!$B$239="Да",MeanMinAge15+'19_Расчет_аналитики'!L4607*SUMIF(ThresholdAge15,"&lt;"&amp;'19_Расчет_аналитики'!L4607,WeightedRevAge15)-SUMIF(ThresholdAge15,"&lt;"&amp;'19_Расчет_аналитики'!L4607,WeightedMinAge15),MAX(CapacityAge15*'01_Вводные'!$B$218*'19_Расчет_аналитики'!L4607,MeanMinAge15))),0)</f>
        <v/>
      </c>
      <c r="M4526">
        <f>IF('01_Вводные'!$B$234="Да",IF(OR('06_Сеть_и_дети'!M95=0,15&lt;='01_Вводные'!$B$297),0,'06_Сеть_и_дети'!M95*IF('01_Вводные'!$B$239="Да",MeanMinAge15+'19_Расчет_аналитики'!M4607*SUMIF(ThresholdAge15,"&lt;"&amp;'19_Расчет_аналитики'!M4607,WeightedRevAge15)-SUMIF(ThresholdAge15,"&lt;"&amp;'19_Расчет_аналитики'!M4607,WeightedMinAge15),MAX(CapacityAge15*'01_Вводные'!$B$218*'19_Расчет_аналитики'!M4607,MeanMinAge15))),0)</f>
        <v/>
      </c>
      <c r="N4526">
        <f>IF('01_Вводные'!$B$234="Да",IF(OR('06_Сеть_и_дети'!N95=0,15&lt;='01_Вводные'!$B$297),0,'06_Сеть_и_дети'!N95*IF('01_Вводные'!$B$239="Да",MeanMinAge15+'19_Расчет_аналитики'!N4607*SUMIF(ThresholdAge15,"&lt;"&amp;'19_Расчет_аналитики'!N4607,WeightedRevAge15)-SUMIF(ThresholdAge15,"&lt;"&amp;'19_Расчет_аналитики'!N4607,WeightedMinAge15),MAX(CapacityAge15*'01_Вводные'!$B$218*'19_Расчет_аналитики'!N4607,MeanMinAge15))),0)</f>
        <v/>
      </c>
      <c r="O4526">
        <f>IF('01_Вводные'!$B$234="Да",IF(OR('06_Сеть_и_дети'!O95=0,15&lt;='01_Вводные'!$B$297),0,'06_Сеть_и_дети'!O95*IF('01_Вводные'!$B$239="Да",MeanMinAge15+'19_Расчет_аналитики'!O4607*SUMIF(ThresholdAge15,"&lt;"&amp;'19_Расчет_аналитики'!O4607,WeightedRevAge15)-SUMIF(ThresholdAge15,"&lt;"&amp;'19_Расчет_аналитики'!O4607,WeightedMinAge15),MAX(CapacityAge15*'01_Вводные'!$B$218*'19_Расчет_аналитики'!O4607,MeanMinAge15))),0)</f>
        <v/>
      </c>
      <c r="P4526">
        <f>IF('01_Вводные'!$B$234="Да",IF(OR('19_Расчет_аналитики'!P4498=0,15&lt;='01_Вводные'!$B$297),0,'19_Расчет_аналитики'!P4498*IF('01_Вводные'!$B$239="Да",MeanMinAge15+'19_Расчет_аналитики'!P4607*SUMIF(ThresholdAge15,"&lt;"&amp;'19_Расчет_аналитики'!P4607,WeightedRevAge15)-SUMIF(ThresholdAge15,"&lt;"&amp;'19_Расчет_аналитики'!P4607,WeightedMinAge15),MAX(CapacityAge15*'01_Вводные'!$B$218*'19_Расчет_аналитики'!P4607,MeanMinAge15))),0)</f>
        <v/>
      </c>
      <c r="Q4526">
        <f>IF('01_Вводные'!$B$234="Да",IF(OR('19_Расчет_аналитики'!Q4498=0,15&lt;='01_Вводные'!$B$297),0,'19_Расчет_аналитики'!Q4498*IF('01_Вводные'!$B$239="Да",MeanMinAge15+'19_Расчет_аналитики'!Q4607*SUMIF(ThresholdAge15,"&lt;"&amp;'19_Расчет_аналитики'!Q4607,WeightedRevAge15)-SUMIF(ThresholdAge15,"&lt;"&amp;'19_Расчет_аналитики'!Q4607,WeightedMinAge15),MAX(CapacityAge15*'01_Вводные'!$B$218*'19_Расчет_аналитики'!Q4607,MeanMinAge15))),0)</f>
        <v/>
      </c>
      <c r="R4526">
        <f>IF('01_Вводные'!$B$234="Да",IF(OR('19_Расчет_аналитики'!R4498=0,15&lt;='01_Вводные'!$B$297),0,'19_Расчет_аналитики'!R4498*IF('01_Вводные'!$B$239="Да",MeanMinAge15+'19_Расчет_аналитики'!R4607*SUMIF(ThresholdAge15,"&lt;"&amp;'19_Расчет_аналитики'!R4607,WeightedRevAge15)-SUMIF(ThresholdAge15,"&lt;"&amp;'19_Расчет_аналитики'!R4607,WeightedMinAge15),MAX(CapacityAge15*'01_Вводные'!$B$218*'19_Расчет_аналитики'!R4607,MeanMinAge15))),0)</f>
        <v/>
      </c>
      <c r="S4526">
        <f>IF('01_Вводные'!$B$234="Да",IF(OR('19_Расчет_аналитики'!S4498=0,15&lt;='01_Вводные'!$B$297),0,'19_Расчет_аналитики'!S4498*IF('01_Вводные'!$B$239="Да",MeanMinAge15+'19_Расчет_аналитики'!S4607*SUMIF(ThresholdAge15,"&lt;"&amp;'19_Расчет_аналитики'!S4607,WeightedRevAge15)-SUMIF(ThresholdAge15,"&lt;"&amp;'19_Расчет_аналитики'!S4607,WeightedMinAge15),MAX(CapacityAge15*'01_Вводные'!$B$218*'19_Расчет_аналитики'!S4607,MeanMinAge15))),0)</f>
        <v/>
      </c>
      <c r="T4526">
        <f>IF('01_Вводные'!$B$234="Да",IF(OR('19_Расчет_аналитики'!T4498=0,15&lt;='01_Вводные'!$B$297),0,'19_Расчет_аналитики'!T4498*IF('01_Вводные'!$B$239="Да",MeanMinAge15+'19_Расчет_аналитики'!T4607*SUMIF(ThresholdAge15,"&lt;"&amp;'19_Расчет_аналитики'!T4607,WeightedRevAge15)-SUMIF(ThresholdAge15,"&lt;"&amp;'19_Расчет_аналитики'!T4607,WeightedMinAge15),MAX(CapacityAge15*'01_Вводные'!$B$218*'19_Расчет_аналитики'!T4607,MeanMinAge15))),0)</f>
        <v/>
      </c>
      <c r="U4526">
        <f>IF('01_Вводные'!$B$234="Да",IF(OR('19_Расчет_аналитики'!U4498=0,15&lt;='01_Вводные'!$B$297),0,'19_Расчет_аналитики'!U4498*IF('01_Вводные'!$B$239="Да",MeanMinAge15+'19_Расчет_аналитики'!U4607*SUMIF(ThresholdAge15,"&lt;"&amp;'19_Расчет_аналитики'!U4607,WeightedRevAge15)-SUMIF(ThresholdAge15,"&lt;"&amp;'19_Расчет_аналитики'!U4607,WeightedMinAge15),MAX(CapacityAge15*'01_Вводные'!$B$218*'19_Расчет_аналитики'!U4607,MeanMinAge15))),0)</f>
        <v/>
      </c>
      <c r="V4526">
        <f>IF('01_Вводные'!$B$234="Да",IF(OR('19_Расчет_аналитики'!V4498=0,15&lt;='01_Вводные'!$B$297),0,'19_Расчет_аналитики'!V4498*IF('01_Вводные'!$B$239="Да",MeanMinAge15+'19_Расчет_аналитики'!V4607*SUMIF(ThresholdAge15,"&lt;"&amp;'19_Расчет_аналитики'!V4607,WeightedRevAge15)-SUMIF(ThresholdAge15,"&lt;"&amp;'19_Расчет_аналитики'!V4607,WeightedMinAge15),MAX(CapacityAge15*'01_Вводные'!$B$218*'19_Расчет_аналитики'!V4607,MeanMinAge15))),0)</f>
        <v/>
      </c>
      <c r="W4526">
        <f>IF('01_Вводные'!$B$234="Да",IF(OR('19_Расчет_аналитики'!W4498=0,15&lt;='01_Вводные'!$B$297),0,'19_Расчет_аналитики'!W4498*IF('01_Вводные'!$B$239="Да",MeanMinAge15+'19_Расчет_аналитики'!W4607*SUMIF(ThresholdAge15,"&lt;"&amp;'19_Расчет_аналитики'!W4607,WeightedRevAge15)-SUMIF(ThresholdAge15,"&lt;"&amp;'19_Расчет_аналитики'!W4607,WeightedMinAge15),MAX(CapacityAge15*'01_Вводные'!$B$218*'19_Расчет_аналитики'!W4607,MeanMinAge15))),0)</f>
        <v/>
      </c>
      <c r="X4526">
        <f>IF('01_Вводные'!$B$234="Да",IF(OR('19_Расчет_аналитики'!X4498=0,15&lt;='01_Вводные'!$B$297),0,'19_Расчет_аналитики'!X4498*IF('01_Вводные'!$B$239="Да",MeanMinAge15+'19_Расчет_аналитики'!X4607*SUMIF(ThresholdAge15,"&lt;"&amp;'19_Расчет_аналитики'!X4607,WeightedRevAge15)-SUMIF(ThresholdAge15,"&lt;"&amp;'19_Расчет_аналитики'!X4607,WeightedMinAge15),MAX(CapacityAge15*'01_Вводные'!$B$218*'19_Расчет_аналитики'!X4607,MeanMinAge15))),0)</f>
        <v/>
      </c>
      <c r="Y4526">
        <f>IF('01_Вводные'!$B$234="Да",IF(OR('19_Расчет_аналитики'!Y4498=0,15&lt;='01_Вводные'!$B$297),0,'19_Расчет_аналитики'!Y4498*IF('01_Вводные'!$B$239="Да",MeanMinAge15+'19_Расчет_аналитики'!Y4607*SUMIF(ThresholdAge15,"&lt;"&amp;'19_Расчет_аналитики'!Y4607,WeightedRevAge15)-SUMIF(ThresholdAge15,"&lt;"&amp;'19_Расчет_аналитики'!Y4607,WeightedMinAge15),MAX(CapacityAge15*'01_Вводные'!$B$218*'19_Расчет_аналитики'!Y4607,MeanMinAge15))),0)</f>
        <v/>
      </c>
      <c r="Z4526">
        <f>IF('01_Вводные'!$B$234="Да",IF(OR('19_Расчет_аналитики'!Z4498=0,15&lt;='01_Вводные'!$B$297),0,'19_Расчет_аналитики'!Z4498*IF('01_Вводные'!$B$239="Да",MeanMinAge15+'19_Расчет_аналитики'!Z4607*SUMIF(ThresholdAge15,"&lt;"&amp;'19_Расчет_аналитики'!Z4607,WeightedRevAge15)-SUMIF(ThresholdAge15,"&lt;"&amp;'19_Расчет_аналитики'!Z4607,WeightedMinAge15),MAX(CapacityAge15*'01_Вводные'!$B$218*'19_Расчет_аналитики'!Z4607,MeanMinAge15))),0)</f>
        <v/>
      </c>
      <c r="AA4526">
        <f>IF('01_Вводные'!$B$234="Да",IF(OR('19_Расчет_аналитики'!AA4498=0,15&lt;='01_Вводные'!$B$297),0,'19_Расчет_аналитики'!AA4498*IF('01_Вводные'!$B$239="Да",MeanMinAge15+'19_Расчет_аналитики'!AA4607*SUMIF(ThresholdAge15,"&lt;"&amp;'19_Расчет_аналитики'!AA4607,WeightedRevAge15)-SUMIF(ThresholdAge15,"&lt;"&amp;'19_Расчет_аналитики'!AA4607,WeightedMinAge15),MAX(CapacityAge15*'01_Вводные'!$B$218*'19_Расчет_аналитики'!AA4607,MeanMinAge15))),0)</f>
        <v/>
      </c>
      <c r="AB4526">
        <f>IF('01_Вводные'!$B$234="Да",IF(OR('19_Расчет_аналитики'!AB4498=0,15&lt;='01_Вводные'!$B$297),0,'19_Расчет_аналитики'!AB4498*IF('01_Вводные'!$B$239="Да",MeanMinAge15+'19_Расчет_аналитики'!AB4607*SUMIF(ThresholdAge15,"&lt;"&amp;'19_Расчет_аналитики'!AB4607,WeightedRevAge15)-SUMIF(ThresholdAge15,"&lt;"&amp;'19_Расчет_аналитики'!AB4607,WeightedMinAge15),MAX(CapacityAge15*'01_Вводные'!$B$218*'19_Расчет_аналитики'!AB4607,MeanMinAge15))),0)</f>
        <v/>
      </c>
      <c r="AC4526">
        <f>IF('01_Вводные'!$B$234="Да",IF(OR('19_Расчет_аналитики'!AC4498=0,15&lt;='01_Вводные'!$B$297),0,'19_Расчет_аналитики'!AC4498*IF('01_Вводные'!$B$239="Да",MeanMinAge15+'19_Расчет_аналитики'!AC4607*SUMIF(ThresholdAge15,"&lt;"&amp;'19_Расчет_аналитики'!AC4607,WeightedRevAge15)-SUMIF(ThresholdAge15,"&lt;"&amp;'19_Расчет_аналитики'!AC4607,WeightedMinAge15),MAX(CapacityAge15*'01_Вводные'!$B$218*'19_Расчет_аналитики'!AC4607,MeanMinAge15))),0)</f>
        <v/>
      </c>
      <c r="AD4526">
        <f>IF('01_Вводные'!$B$234="Да",IF(OR('19_Расчет_аналитики'!AD4498=0,15&lt;='01_Вводные'!$B$297),0,'19_Расчет_аналитики'!AD4498*IF('01_Вводные'!$B$239="Да",MeanMinAge15+'19_Расчет_аналитики'!AD4607*SUMIF(ThresholdAge15,"&lt;"&amp;'19_Расчет_аналитики'!AD4607,WeightedRevAge15)-SUMIF(ThresholdAge15,"&lt;"&amp;'19_Расчет_аналитики'!AD4607,WeightedMinAge15),MAX(CapacityAge15*'01_Вводные'!$B$218*'19_Расчет_аналитики'!AD4607,MeanMinAge15))),0)</f>
        <v/>
      </c>
      <c r="AE4526">
        <f>IF('01_Вводные'!$B$234="Да",IF(OR('19_Расчет_аналитики'!AE4498=0,15&lt;='01_Вводные'!$B$297),0,'19_Расчет_аналитики'!AE4498*IF('01_Вводные'!$B$239="Да",MeanMinAge15+'19_Расчет_аналитики'!AE4607*SUMIF(ThresholdAge15,"&lt;"&amp;'19_Расчет_аналитики'!AE4607,WeightedRevAge15)-SUMIF(ThresholdAge15,"&lt;"&amp;'19_Расчет_аналитики'!AE4607,WeightedMinAge15),MAX(CapacityAge15*'01_Вводные'!$B$218*'19_Расчет_аналитики'!AE4607,MeanMinAge15))),0)</f>
        <v/>
      </c>
      <c r="AF4526">
        <f>IF('01_Вводные'!$B$234="Да",IF(OR('19_Расчет_аналитики'!AF4498=0,15&lt;='01_Вводные'!$B$297),0,'19_Расчет_аналитики'!AF4498*IF('01_Вводные'!$B$239="Да",MeanMinAge15+'19_Расчет_аналитики'!AF4607*SUMIF(ThresholdAge15,"&lt;"&amp;'19_Расчет_аналитики'!AF4607,WeightedRevAge15)-SUMIF(ThresholdAge15,"&lt;"&amp;'19_Расчет_аналитики'!AF4607,WeightedMinAge15),MAX(CapacityAge15*'01_Вводные'!$B$218*'19_Расчет_аналитики'!AF4607,MeanMinAge15))),0)</f>
        <v/>
      </c>
      <c r="AG4526">
        <f>IF('01_Вводные'!$B$234="Да",IF(OR('19_Расчет_аналитики'!AG4498=0,15&lt;='01_Вводные'!$B$297),0,'19_Расчет_аналитики'!AG4498*IF('01_Вводные'!$B$239="Да",MeanMinAge15+'19_Расчет_аналитики'!AG4607*SUMIF(ThresholdAge15,"&lt;"&amp;'19_Расчет_аналитики'!AG4607,WeightedRevAge15)-SUMIF(ThresholdAge15,"&lt;"&amp;'19_Расчет_аналитики'!AG4607,WeightedMinAge15),MAX(CapacityAge15*'01_Вводные'!$B$218*'19_Расчет_аналитики'!AG4607,MeanMinAge15))),0)</f>
        <v/>
      </c>
      <c r="AH4526">
        <f>IF('01_Вводные'!$B$234="Да",IF(OR('19_Расчет_аналитики'!AH4498=0,15&lt;='01_Вводные'!$B$297),0,'19_Расчет_аналитики'!AH4498*IF('01_Вводные'!$B$239="Да",MeanMinAge15+'19_Расчет_аналитики'!AH4607*SUMIF(ThresholdAge15,"&lt;"&amp;'19_Расчет_аналитики'!AH4607,WeightedRevAge15)-SUMIF(ThresholdAge15,"&lt;"&amp;'19_Расчет_аналитики'!AH4607,WeightedMinAge15),MAX(CapacityAge15*'01_Вводные'!$B$218*'19_Расчет_аналитики'!AH4607,MeanMinAge15))),0)</f>
        <v/>
      </c>
      <c r="AI4526">
        <f>IF('01_Вводные'!$B$234="Да",IF(OR('19_Расчет_аналитики'!AI4498=0,15&lt;='01_Вводные'!$B$297),0,'19_Расчет_аналитики'!AI4498*IF('01_Вводные'!$B$239="Да",MeanMinAge15+'19_Расчет_аналитики'!AI4607*SUMIF(ThresholdAge15,"&lt;"&amp;'19_Расчет_аналитики'!AI4607,WeightedRevAge15)-SUMIF(ThresholdAge15,"&lt;"&amp;'19_Расчет_аналитики'!AI4607,WeightedMinAge15),MAX(CapacityAge15*'01_Вводные'!$B$218*'19_Расчет_аналитики'!AI4607,MeanMinAge15))),0)</f>
        <v/>
      </c>
      <c r="AJ4526">
        <f>IF('01_Вводные'!$B$234="Да",IF(OR('19_Расчет_аналитики'!AJ4498=0,15&lt;='01_Вводные'!$B$297),0,'19_Расчет_аналитики'!AJ4498*IF('01_Вводные'!$B$239="Да",MeanMinAge15+'19_Расчет_аналитики'!AJ4607*SUMIF(ThresholdAge15,"&lt;"&amp;'19_Расчет_аналитики'!AJ4607,WeightedRevAge15)-SUMIF(ThresholdAge15,"&lt;"&amp;'19_Расчет_аналитики'!AJ4607,WeightedMinAge15),MAX(CapacityAge15*'01_Вводные'!$B$218*'19_Расчет_аналитики'!AJ4607,MeanMinAge15))),0)</f>
        <v/>
      </c>
      <c r="AK4526">
        <f>IF('01_Вводные'!$B$234="Да",IF(OR('19_Расчет_аналитики'!AK4498=0,15&lt;='01_Вводные'!$B$297),0,'19_Расчет_аналитики'!AK4498*IF('01_Вводные'!$B$239="Да",MeanMinAge15+'19_Расчет_аналитики'!AK4607*SUMIF(ThresholdAge15,"&lt;"&amp;'19_Расчет_аналитики'!AK4607,WeightedRevAge15)-SUMIF(ThresholdAge15,"&lt;"&amp;'19_Расчет_аналитики'!AK4607,WeightedMinAge15),MAX(CapacityAge15*'01_Вводные'!$B$218*'19_Расчет_аналитики'!AK4607,MeanMinAge15))),0)</f>
        <v/>
      </c>
      <c r="AL4526">
        <f>IF('01_Вводные'!$B$234="Да",IF(OR('19_Расчет_аналитики'!AL4498=0,15&lt;='01_Вводные'!$B$297),0,'19_Расчет_аналитики'!AL4498*IF('01_Вводные'!$B$239="Да",MeanMinAge15+'19_Расчет_аналитики'!AL4607*SUMIF(ThresholdAge15,"&lt;"&amp;'19_Расчет_аналитики'!AL4607,WeightedRevAge15)-SUMIF(ThresholdAge15,"&lt;"&amp;'19_Расчет_аналитики'!AL4607,WeightedMinAge15),MAX(CapacityAge15*'01_Вводные'!$B$218*'19_Расчет_аналитики'!AL4607,MeanMinAge15))),0)</f>
        <v/>
      </c>
      <c r="AM4526">
        <f>IF('01_Вводные'!$B$234="Да",IF(OR('19_Расчет_аналитики'!AM4498=0,15&lt;='01_Вводные'!$B$297),0,'19_Расчет_аналитики'!AM4498*IF('01_Вводные'!$B$239="Да",MeanMinAge15+'19_Расчет_аналитики'!AM4607*SUMIF(ThresholdAge15,"&lt;"&amp;'19_Расчет_аналитики'!AM4607,WeightedRevAge15)-SUMIF(ThresholdAge15,"&lt;"&amp;'19_Расчет_аналитики'!AM4607,WeightedMinAge15),MAX(CapacityAge15*'01_Вводные'!$B$218*'19_Расчет_аналитики'!AM4607,MeanMinAge15))),0)</f>
        <v/>
      </c>
      <c r="AN4526">
        <f>IF('01_Вводные'!$B$234="Да",IF(OR('19_Расчет_аналитики'!AN4498=0,15&lt;='01_Вводные'!$B$297),0,'19_Расчет_аналитики'!AN4498*IF('01_Вводные'!$B$239="Да",MeanMinAge15+'19_Расчет_аналитики'!AN4607*SUMIF(ThresholdAge15,"&lt;"&amp;'19_Расчет_аналитики'!AN4607,WeightedRevAge15)-SUMIF(ThresholdAge15,"&lt;"&amp;'19_Расчет_аналитики'!AN4607,WeightedMinAge15),MAX(CapacityAge15*'01_Вводные'!$B$218*'19_Расчет_аналитики'!AN4607,MeanMinAge15))),0)</f>
        <v/>
      </c>
      <c r="AO4526">
        <f>IF('01_Вводные'!$B$234="Да",IF(OR('19_Расчет_аналитики'!AO4498=0,15&lt;='01_Вводные'!$B$297),0,'19_Расчет_аналитики'!AO4498*IF('01_Вводные'!$B$239="Да",MeanMinAge15+'19_Расчет_аналитики'!AO4607*SUMIF(ThresholdAge15,"&lt;"&amp;'19_Расчет_аналитики'!AO4607,WeightedRevAge15)-SUMIF(ThresholdAge15,"&lt;"&amp;'19_Расчет_аналитики'!AO4607,WeightedMinAge15),MAX(CapacityAge15*'01_Вводные'!$B$218*'19_Расчет_аналитики'!AO4607,MeanMinAge15))),0)</f>
        <v/>
      </c>
      <c r="AP4526">
        <f>IF('01_Вводные'!$B$234="Да",IF(OR('19_Расчет_аналитики'!AP4498=0,15&lt;='01_Вводные'!$B$297),0,'19_Расчет_аналитики'!AP4498*IF('01_Вводные'!$B$239="Да",MeanMinAge15+'19_Расчет_аналитики'!AP4607*SUMIF(ThresholdAge15,"&lt;"&amp;'19_Расчет_аналитики'!AP4607,WeightedRevAge15)-SUMIF(ThresholdAge15,"&lt;"&amp;'19_Расчет_аналитики'!AP4607,WeightedMinAge15),MAX(CapacityAge15*'01_Вводные'!$B$218*'19_Расчет_аналитики'!AP4607,MeanMinAge15))),0)</f>
        <v/>
      </c>
      <c r="AQ4526">
        <f>IF('01_Вводные'!$B$234="Да",IF(OR('19_Расчет_аналитики'!AQ4498=0,15&lt;='01_Вводные'!$B$297),0,'19_Расчет_аналитики'!AQ4498*IF('01_Вводные'!$B$239="Да",MeanMinAge15+'19_Расчет_аналитики'!AQ4607*SUMIF(ThresholdAge15,"&lt;"&amp;'19_Расчет_аналитики'!AQ4607,WeightedRevAge15)-SUMIF(ThresholdAge15,"&lt;"&amp;'19_Расчет_аналитики'!AQ4607,WeightedMinAge15),MAX(CapacityAge15*'01_Вводные'!$B$218*'19_Расчет_аналитики'!AQ4607,MeanMinAge15))),0)</f>
        <v/>
      </c>
      <c r="AR4526">
        <f>IF('01_Вводные'!$B$234="Да",IF(OR('19_Расчет_аналитики'!AR4498=0,15&lt;='01_Вводные'!$B$297),0,'19_Расчет_аналитики'!AR4498*IF('01_Вводные'!$B$239="Да",MeanMinAge15+'19_Расчет_аналитики'!AR4607*SUMIF(ThresholdAge15,"&lt;"&amp;'19_Расчет_аналитики'!AR4607,WeightedRevAge15)-SUMIF(ThresholdAge15,"&lt;"&amp;'19_Расчет_аналитики'!AR4607,WeightedMinAge15),MAX(CapacityAge15*'01_Вводные'!$B$218*'19_Расчет_аналитики'!AR4607,MeanMinAge15))),0)</f>
        <v/>
      </c>
      <c r="AS4526">
        <f>IF('01_Вводные'!$B$234="Да",IF(OR('19_Расчет_аналитики'!AS4498=0,15&lt;='01_Вводные'!$B$297),0,'19_Расчет_аналитики'!AS4498*IF('01_Вводные'!$B$239="Да",MeanMinAge15+'19_Расчет_аналитики'!AS4607*SUMIF(ThresholdAge15,"&lt;"&amp;'19_Расчет_аналитики'!AS4607,WeightedRevAge15)-SUMIF(ThresholdAge15,"&lt;"&amp;'19_Расчет_аналитики'!AS4607,WeightedMinAge15),MAX(CapacityAge15*'01_Вводные'!$B$218*'19_Расчет_аналитики'!AS4607,MeanMinAge15))),0)</f>
        <v/>
      </c>
      <c r="AT4526">
        <f>IF('01_Вводные'!$B$234="Да",IF(OR('19_Расчет_аналитики'!AT4498=0,15&lt;='01_Вводные'!$B$297),0,'19_Расчет_аналитики'!AT4498*IF('01_Вводные'!$B$239="Да",MeanMinAge15+'19_Расчет_аналитики'!AT4607*SUMIF(ThresholdAge15,"&lt;"&amp;'19_Расчет_аналитики'!AT4607,WeightedRevAge15)-SUMIF(ThresholdAge15,"&lt;"&amp;'19_Расчет_аналитики'!AT4607,WeightedMinAge15),MAX(CapacityAge15*'01_Вводные'!$B$218*'19_Расчет_аналитики'!AT4607,MeanMinAge15))),0)</f>
        <v/>
      </c>
      <c r="AU4526">
        <f>IF('01_Вводные'!$B$234="Да",IF(OR('19_Расчет_аналитики'!AU4498=0,15&lt;='01_Вводные'!$B$297),0,'19_Расчет_аналитики'!AU4498*IF('01_Вводные'!$B$239="Да",MeanMinAge15+'19_Расчет_аналитики'!AU4607*SUMIF(ThresholdAge15,"&lt;"&amp;'19_Расчет_аналитики'!AU4607,WeightedRevAge15)-SUMIF(ThresholdAge15,"&lt;"&amp;'19_Расчет_аналитики'!AU4607,WeightedMinAge15),MAX(CapacityAge15*'01_Вводные'!$B$218*'19_Расчет_аналитики'!AU4607,MeanMinAge15))),0)</f>
        <v/>
      </c>
      <c r="AV4526">
        <f>IF('01_Вводные'!$B$234="Да",IF(OR('19_Расчет_аналитики'!AV4498=0,15&lt;='01_Вводные'!$B$297),0,'19_Расчет_аналитики'!AV4498*IF('01_Вводные'!$B$239="Да",MeanMinAge15+'19_Расчет_аналитики'!AV4607*SUMIF(ThresholdAge15,"&lt;"&amp;'19_Расчет_аналитики'!AV4607,WeightedRevAge15)-SUMIF(ThresholdAge15,"&lt;"&amp;'19_Расчет_аналитики'!AV4607,WeightedMinAge15),MAX(CapacityAge15*'01_Вводные'!$B$218*'19_Расчет_аналитики'!AV4607,MeanMinAge15))),0)</f>
        <v/>
      </c>
      <c r="AW4526">
        <f>IF('01_Вводные'!$B$234="Да",IF(OR('19_Расчет_аналитики'!AW4498=0,15&lt;='01_Вводные'!$B$297),0,'19_Расчет_аналитики'!AW4498*IF('01_Вводные'!$B$239="Да",MeanMinAge15+'19_Расчет_аналитики'!AW4607*SUMIF(ThresholdAge15,"&lt;"&amp;'19_Расчет_аналитики'!AW4607,WeightedRevAge15)-SUMIF(ThresholdAge15,"&lt;"&amp;'19_Расчет_аналитики'!AW4607,WeightedMinAge15),MAX(CapacityAge15*'01_Вводные'!$B$218*'19_Расчет_аналитики'!AW4607,MeanMinAge15))),0)</f>
        <v/>
      </c>
      <c r="AX4526">
        <f>IF('01_Вводные'!$B$234="Да",IF(OR('19_Расчет_аналитики'!AX4498=0,15&lt;='01_Вводные'!$B$297),0,'19_Расчет_аналитики'!AX4498*IF('01_Вводные'!$B$239="Да",MeanMinAge15+'19_Расчет_аналитики'!AX4607*SUMIF(ThresholdAge15,"&lt;"&amp;'19_Расчет_аналитики'!AX4607,WeightedRevAge15)-SUMIF(ThresholdAge15,"&lt;"&amp;'19_Расчет_аналитики'!AX4607,WeightedMinAge15),MAX(CapacityAge15*'01_Вводные'!$B$218*'19_Расчет_аналитики'!AX4607,MeanMinAge15))),0)</f>
        <v/>
      </c>
      <c r="AY4526">
        <f>IF('01_Вводные'!$B$234="Да",IF(OR('19_Расчет_аналитики'!AY4498=0,15&lt;='01_Вводные'!$B$297),0,'19_Расчет_аналитики'!AY4498*IF('01_Вводные'!$B$239="Да",MeanMinAge15+'19_Расчет_аналитики'!AY4607*SUMIF(ThresholdAge15,"&lt;"&amp;'19_Расчет_аналитики'!AY4607,WeightedRevAge15)-SUMIF(ThresholdAge15,"&lt;"&amp;'19_Расчет_аналитики'!AY4607,WeightedMinAge15),MAX(CapacityAge15*'01_Вводные'!$B$218*'19_Расчет_аналитики'!AY4607,MeanMinAge15))),0)</f>
        <v/>
      </c>
      <c r="AZ4526">
        <f>IF('01_Вводные'!$B$234="Да",IF(OR('19_Расчет_аналитики'!AZ4498=0,15&lt;='01_Вводные'!$B$297),0,'19_Расчет_аналитики'!AZ4498*IF('01_Вводные'!$B$239="Да",MeanMinAge15+'19_Расчет_аналитики'!AZ4607*SUMIF(ThresholdAge15,"&lt;"&amp;'19_Расчет_аналитики'!AZ4607,WeightedRevAge15)-SUMIF(ThresholdAge15,"&lt;"&amp;'19_Расчет_аналитики'!AZ4607,WeightedMinAge15),MAX(CapacityAge15*'01_Вводные'!$B$218*'19_Расчет_аналитики'!AZ4607,MeanMinAge15))),0)</f>
        <v/>
      </c>
      <c r="BA4526">
        <f>IF('01_Вводные'!$B$234="Да",IF(OR('19_Расчет_аналитики'!BA4498=0,15&lt;='01_Вводные'!$B$297),0,'19_Расчет_аналитики'!BA4498*IF('01_Вводные'!$B$239="Да",MeanMinAge15+'19_Расчет_аналитики'!BA4607*SUMIF(ThresholdAge15,"&lt;"&amp;'19_Расчет_аналитики'!BA4607,WeightedRevAge15)-SUMIF(ThresholdAge15,"&lt;"&amp;'19_Расчет_аналитики'!BA4607,WeightedMinAge15),MAX(CapacityAge15*'01_Вводные'!$B$218*'19_Расчет_аналитики'!BA4607,MeanMinAge15))),0)</f>
        <v/>
      </c>
      <c r="BB4526">
        <f>IF('01_Вводные'!$B$234="Да",IF(OR('19_Расчет_аналитики'!BB4498=0,15&lt;='01_Вводные'!$B$297),0,'19_Расчет_аналитики'!BB4498*IF('01_Вводные'!$B$239="Да",MeanMinAge15+'19_Расчет_аналитики'!BB4607*SUMIF(ThresholdAge15,"&lt;"&amp;'19_Расчет_аналитики'!BB4607,WeightedRevAge15)-SUMIF(ThresholdAge15,"&lt;"&amp;'19_Расчет_аналитики'!BB4607,WeightedMinAge15),MAX(CapacityAge15*'01_Вводные'!$B$218*'19_Расчет_аналитики'!BB4607,MeanMinAge15))),0)</f>
        <v/>
      </c>
      <c r="BC4526">
        <f>IF('01_Вводные'!$B$234="Да",IF(OR('19_Расчет_аналитики'!BC4498=0,15&lt;='01_Вводные'!$B$297),0,'19_Расчет_аналитики'!BC4498*IF('01_Вводные'!$B$239="Да",MeanMinAge15+'19_Расчет_аналитики'!BC4607*SUMIF(ThresholdAge15,"&lt;"&amp;'19_Расчет_аналитики'!BC4607,WeightedRevAge15)-SUMIF(ThresholdAge15,"&lt;"&amp;'19_Расчет_аналитики'!BC4607,WeightedMinAge15),MAX(CapacityAge15*'01_Вводные'!$B$218*'19_Расчет_аналитики'!BC4607,MeanMinAge15))),0)</f>
        <v/>
      </c>
      <c r="BD4526">
        <f>IF('01_Вводные'!$B$234="Да",IF(OR('19_Расчет_аналитики'!BD4498=0,15&lt;='01_Вводные'!$B$297),0,'19_Расчет_аналитики'!BD4498*IF('01_Вводные'!$B$239="Да",MeanMinAge15+'19_Расчет_аналитики'!BD4607*SUMIF(ThresholdAge15,"&lt;"&amp;'19_Расчет_аналитики'!BD4607,WeightedRevAge15)-SUMIF(ThresholdAge15,"&lt;"&amp;'19_Расчет_аналитики'!BD4607,WeightedMinAge15),MAX(CapacityAge15*'01_Вводные'!$B$218*'19_Расчет_аналитики'!BD4607,MeanMinAge15))),0)</f>
        <v/>
      </c>
      <c r="BE4526">
        <f>IF('01_Вводные'!$B$234="Да",IF(OR('19_Расчет_аналитики'!BE4498=0,15&lt;='01_Вводные'!$B$297),0,'19_Расчет_аналитики'!BE4498*IF('01_Вводные'!$B$239="Да",MeanMinAge15+'19_Расчет_аналитики'!BE4607*SUMIF(ThresholdAge15,"&lt;"&amp;'19_Расчет_аналитики'!BE4607,WeightedRevAge15)-SUMIF(ThresholdAge15,"&lt;"&amp;'19_Расчет_аналитики'!BE4607,WeightedMinAge15),MAX(CapacityAge15*'01_Вводные'!$B$218*'19_Расчет_аналитики'!BE4607,MeanMinAge15))),0)</f>
        <v/>
      </c>
      <c r="BF4526">
        <f>IF('01_Вводные'!$B$234="Да",IF(OR('19_Расчет_аналитики'!BF4498=0,15&lt;='01_Вводные'!$B$297),0,'19_Расчет_аналитики'!BF4498*IF('01_Вводные'!$B$239="Да",MeanMinAge15+'19_Расчет_аналитики'!BF4607*SUMIF(ThresholdAge15,"&lt;"&amp;'19_Расчет_аналитики'!BF4607,WeightedRevAge15)-SUMIF(ThresholdAge15,"&lt;"&amp;'19_Расчет_аналитики'!BF4607,WeightedMinAge15),MAX(CapacityAge15*'01_Вводные'!$B$218*'19_Расчет_аналитики'!BF4607,MeanMinAge15))),0)</f>
        <v/>
      </c>
      <c r="BG4526">
        <f>IF('01_Вводные'!$B$234="Да",IF(OR('19_Расчет_аналитики'!BG4498=0,15&lt;='01_Вводные'!$B$297),0,'19_Расчет_аналитики'!BG4498*IF('01_Вводные'!$B$239="Да",MeanMinAge15+'19_Расчет_аналитики'!BG4607*SUMIF(ThresholdAge15,"&lt;"&amp;'19_Расчет_аналитики'!BG4607,WeightedRevAge15)-SUMIF(ThresholdAge15,"&lt;"&amp;'19_Расчет_аналитики'!BG4607,WeightedMinAge15),MAX(CapacityAge15*'01_Вводные'!$B$218*'19_Расчет_аналитики'!BG4607,MeanMinAge15))),0)</f>
        <v/>
      </c>
      <c r="BH4526">
        <f>IF('01_Вводные'!$B$234="Да",IF(OR('19_Расчет_аналитики'!BH4498=0,15&lt;='01_Вводные'!$B$297),0,'19_Расчет_аналитики'!BH4498*IF('01_Вводные'!$B$239="Да",MeanMinAge15+'19_Расчет_аналитики'!BH4607*SUMIF(ThresholdAge15,"&lt;"&amp;'19_Расчет_аналитики'!BH4607,WeightedRevAge15)-SUMIF(ThresholdAge15,"&lt;"&amp;'19_Расчет_аналитики'!BH4607,WeightedMinAge15),MAX(CapacityAge15*'01_Вводные'!$B$218*'19_Расчет_аналитики'!BH4607,MeanMinAge15))),0)</f>
        <v/>
      </c>
      <c r="BI4526">
        <f>IF('01_Вводные'!$B$234="Да",IF(OR('19_Расчет_аналитики'!BI4498=0,15&lt;='01_Вводные'!$B$297),0,'19_Расчет_аналитики'!BI4498*IF('01_Вводные'!$B$239="Да",MeanMinAge15+'19_Расчет_аналитики'!BI4607*SUMIF(ThresholdAge15,"&lt;"&amp;'19_Расчет_аналитики'!BI4607,WeightedRevAge15)-SUMIF(ThresholdAge15,"&lt;"&amp;'19_Расчет_аналитики'!BI4607,WeightedMinAge15),MAX(CapacityAge15*'01_Вводные'!$B$218*'19_Расчет_аналитики'!BI4607,MeanMinAge15))),0)</f>
        <v/>
      </c>
      <c r="BJ4526">
        <f>IF('01_Вводные'!$B$234="Да",IF(OR('19_Расчет_аналитики'!BJ4498=0,15&lt;='01_Вводные'!$B$297),0,'19_Расчет_аналитики'!BJ4498*IF('01_Вводные'!$B$239="Да",MeanMinAge15+'19_Расчет_аналитики'!BJ4607*SUMIF(ThresholdAge15,"&lt;"&amp;'19_Расчет_аналитики'!BJ4607,WeightedRevAge15)-SUMIF(ThresholdAge15,"&lt;"&amp;'19_Расчет_аналитики'!BJ4607,WeightedMinAge15),MAX(CapacityAge15*'01_Вводные'!$B$218*'19_Расчет_аналитики'!BJ4607,MeanMinAge15))),0)</f>
        <v/>
      </c>
      <c r="BK4526">
        <f>IF('01_Вводные'!$B$234="Да",IF(OR('19_Расчет_аналитики'!BK4498=0,15&lt;='01_Вводные'!$B$297),0,'19_Расчет_аналитики'!BK4498*IF('01_Вводные'!$B$239="Да",MeanMinAge15+'19_Расчет_аналитики'!BK4607*SUMIF(ThresholdAge15,"&lt;"&amp;'19_Расчет_аналитики'!BK4607,WeightedRevAge15)-SUMIF(ThresholdAge15,"&lt;"&amp;'19_Расчет_аналитики'!BK4607,WeightedMinAge15),MAX(CapacityAge15*'01_Вводные'!$B$218*'19_Расчет_аналитики'!BK4607,MeanMinAge15))),0)</f>
        <v/>
      </c>
      <c r="BL4526">
        <f>IF('01_Вводные'!$B$234="Да",IF(OR('19_Расчет_аналитики'!BL4498=0,15&lt;='01_Вводные'!$B$297),0,'19_Расчет_аналитики'!BL4498*IF('01_Вводные'!$B$239="Да",MeanMinAge15+'19_Расчет_аналитики'!BL4607*SUMIF(ThresholdAge15,"&lt;"&amp;'19_Расчет_аналитики'!BL4607,WeightedRevAge15)-SUMIF(ThresholdAge15,"&lt;"&amp;'19_Расчет_аналитики'!BL4607,WeightedMinAge15),MAX(CapacityAge15*'01_Вводные'!$B$218*'19_Расчет_аналитики'!BL4607,MeanMinAge15))),0)</f>
        <v/>
      </c>
      <c r="BM4526">
        <f>IF('01_Вводные'!$B$234="Да",IF(OR('19_Расчет_аналитики'!BM4498=0,15&lt;='01_Вводные'!$B$297),0,'19_Расчет_аналитики'!BM4498*IF('01_Вводные'!$B$239="Да",MeanMinAge15+'19_Расчет_аналитики'!BM4607*SUMIF(ThresholdAge15,"&lt;"&amp;'19_Расчет_аналитики'!BM4607,WeightedRevAge15)-SUMIF(ThresholdAge15,"&lt;"&amp;'19_Расчет_аналитики'!BM4607,WeightedMinAge15),MAX(CapacityAge15*'01_Вводные'!$B$218*'19_Расчет_аналитики'!BM4607,MeanMinAge15))),0)</f>
        <v/>
      </c>
      <c r="BN4526">
        <f>IF('01_Вводные'!$B$234="Да",IF(OR('19_Расчет_аналитики'!BN4498=0,15&lt;='01_Вводные'!$B$297),0,'19_Расчет_аналитики'!BN4498*IF('01_Вводные'!$B$239="Да",MeanMinAge15+'19_Расчет_аналитики'!BN4607*SUMIF(ThresholdAge15,"&lt;"&amp;'19_Расчет_аналитики'!BN4607,WeightedRevAge15)-SUMIF(ThresholdAge15,"&lt;"&amp;'19_Расчет_аналитики'!BN4607,WeightedMinAge15),MAX(CapacityAge15*'01_Вводные'!$B$218*'19_Расчет_аналитики'!BN4607,MeanMinAge15))),0)</f>
        <v/>
      </c>
      <c r="BO4526">
        <f>IF('01_Вводные'!$B$234="Да",IF(OR('19_Расчет_аналитики'!BO4498=0,15&lt;='01_Вводные'!$B$297),0,'19_Расчет_аналитики'!BO4498*IF('01_Вводные'!$B$239="Да",MeanMinAge15+'19_Расчет_аналитики'!BO4607*SUMIF(ThresholdAge15,"&lt;"&amp;'19_Расчет_аналитики'!BO4607,WeightedRevAge15)-SUMIF(ThresholdAge15,"&lt;"&amp;'19_Расчет_аналитики'!BO4607,WeightedMinAge15),MAX(CapacityAge15*'01_Вводные'!$B$218*'19_Расчет_аналитики'!BO4607,MeanMinAge15))),0)</f>
        <v/>
      </c>
    </row>
    <row r="4527">
      <c r="B4527">
        <f>IF('01_Вводные'!$B$234="Да",IF(OR('06_Сеть_и_дети'!B96=0,16&lt;='01_Вводные'!$B$297),0,'06_Сеть_и_дети'!B96*IF('01_Вводные'!$B$239="Да",MeanMinAge16+'19_Расчет_аналитики'!B4607*SUMIF(ThresholdAge16,"&lt;"&amp;'19_Расчет_аналитики'!B4607,WeightedRevAge16)-SUMIF(ThresholdAge16,"&lt;"&amp;'19_Расчет_аналитики'!B4607,WeightedMinAge16),MAX(CapacityAge16*'01_Вводные'!$B$218*'19_Расчет_аналитики'!B4607,MeanMinAge16))),0)</f>
        <v/>
      </c>
      <c r="C4527">
        <f>IF('01_Вводные'!$B$234="Да",IF(OR('06_Сеть_и_дети'!C96=0,16&lt;='01_Вводные'!$B$297),0,'06_Сеть_и_дети'!C96*IF('01_Вводные'!$B$239="Да",MeanMinAge16+'19_Расчет_аналитики'!C4607*SUMIF(ThresholdAge16,"&lt;"&amp;'19_Расчет_аналитики'!C4607,WeightedRevAge16)-SUMIF(ThresholdAge16,"&lt;"&amp;'19_Расчет_аналитики'!C4607,WeightedMinAge16),MAX(CapacityAge16*'01_Вводные'!$B$218*'19_Расчет_аналитики'!C4607,MeanMinAge16))),0)</f>
        <v/>
      </c>
      <c r="D4527">
        <f>IF('01_Вводные'!$B$234="Да",IF(OR('06_Сеть_и_дети'!D96=0,16&lt;='01_Вводные'!$B$297),0,'06_Сеть_и_дети'!D96*IF('01_Вводные'!$B$239="Да",MeanMinAge16+'19_Расчет_аналитики'!D4607*SUMIF(ThresholdAge16,"&lt;"&amp;'19_Расчет_аналитики'!D4607,WeightedRevAge16)-SUMIF(ThresholdAge16,"&lt;"&amp;'19_Расчет_аналитики'!D4607,WeightedMinAge16),MAX(CapacityAge16*'01_Вводные'!$B$218*'19_Расчет_аналитики'!D4607,MeanMinAge16))),0)</f>
        <v/>
      </c>
      <c r="E4527">
        <f>IF('01_Вводные'!$B$234="Да",IF(OR('06_Сеть_и_дети'!E96=0,16&lt;='01_Вводные'!$B$297),0,'06_Сеть_и_дети'!E96*IF('01_Вводные'!$B$239="Да",MeanMinAge16+'19_Расчет_аналитики'!E4607*SUMIF(ThresholdAge16,"&lt;"&amp;'19_Расчет_аналитики'!E4607,WeightedRevAge16)-SUMIF(ThresholdAge16,"&lt;"&amp;'19_Расчет_аналитики'!E4607,WeightedMinAge16),MAX(CapacityAge16*'01_Вводные'!$B$218*'19_Расчет_аналитики'!E4607,MeanMinAge16))),0)</f>
        <v/>
      </c>
      <c r="F4527">
        <f>IF('01_Вводные'!$B$234="Да",IF(OR('06_Сеть_и_дети'!F96=0,16&lt;='01_Вводные'!$B$297),0,'06_Сеть_и_дети'!F96*IF('01_Вводные'!$B$239="Да",MeanMinAge16+'19_Расчет_аналитики'!F4607*SUMIF(ThresholdAge16,"&lt;"&amp;'19_Расчет_аналитики'!F4607,WeightedRevAge16)-SUMIF(ThresholdAge16,"&lt;"&amp;'19_Расчет_аналитики'!F4607,WeightedMinAge16),MAX(CapacityAge16*'01_Вводные'!$B$218*'19_Расчет_аналитики'!F4607,MeanMinAge16))),0)</f>
        <v/>
      </c>
      <c r="G4527">
        <f>IF('01_Вводные'!$B$234="Да",IF(OR('06_Сеть_и_дети'!G96=0,16&lt;='01_Вводные'!$B$297),0,'06_Сеть_и_дети'!G96*IF('01_Вводные'!$B$239="Да",MeanMinAge16+'19_Расчет_аналитики'!G4607*SUMIF(ThresholdAge16,"&lt;"&amp;'19_Расчет_аналитики'!G4607,WeightedRevAge16)-SUMIF(ThresholdAge16,"&lt;"&amp;'19_Расчет_аналитики'!G4607,WeightedMinAge16),MAX(CapacityAge16*'01_Вводные'!$B$218*'19_Расчет_аналитики'!G4607,MeanMinAge16))),0)</f>
        <v/>
      </c>
      <c r="H4527">
        <f>IF('01_Вводные'!$B$234="Да",IF(OR('06_Сеть_и_дети'!H96=0,16&lt;='01_Вводные'!$B$297),0,'06_Сеть_и_дети'!H96*IF('01_Вводные'!$B$239="Да",MeanMinAge16+'19_Расчет_аналитики'!H4607*SUMIF(ThresholdAge16,"&lt;"&amp;'19_Расчет_аналитики'!H4607,WeightedRevAge16)-SUMIF(ThresholdAge16,"&lt;"&amp;'19_Расчет_аналитики'!H4607,WeightedMinAge16),MAX(CapacityAge16*'01_Вводные'!$B$218*'19_Расчет_аналитики'!H4607,MeanMinAge16))),0)</f>
        <v/>
      </c>
      <c r="I4527">
        <f>IF('01_Вводные'!$B$234="Да",IF(OR('06_Сеть_и_дети'!I96=0,16&lt;='01_Вводные'!$B$297),0,'06_Сеть_и_дети'!I96*IF('01_Вводные'!$B$239="Да",MeanMinAge16+'19_Расчет_аналитики'!I4607*SUMIF(ThresholdAge16,"&lt;"&amp;'19_Расчет_аналитики'!I4607,WeightedRevAge16)-SUMIF(ThresholdAge16,"&lt;"&amp;'19_Расчет_аналитики'!I4607,WeightedMinAge16),MAX(CapacityAge16*'01_Вводные'!$B$218*'19_Расчет_аналитики'!I4607,MeanMinAge16))),0)</f>
        <v/>
      </c>
      <c r="J4527">
        <f>IF('01_Вводные'!$B$234="Да",IF(OR('06_Сеть_и_дети'!J96=0,16&lt;='01_Вводные'!$B$297),0,'06_Сеть_и_дети'!J96*IF('01_Вводные'!$B$239="Да",MeanMinAge16+'19_Расчет_аналитики'!J4607*SUMIF(ThresholdAge16,"&lt;"&amp;'19_Расчет_аналитики'!J4607,WeightedRevAge16)-SUMIF(ThresholdAge16,"&lt;"&amp;'19_Расчет_аналитики'!J4607,WeightedMinAge16),MAX(CapacityAge16*'01_Вводные'!$B$218*'19_Расчет_аналитики'!J4607,MeanMinAge16))),0)</f>
        <v/>
      </c>
      <c r="K4527">
        <f>IF('01_Вводные'!$B$234="Да",IF(OR('06_Сеть_и_дети'!K96=0,16&lt;='01_Вводные'!$B$297),0,'06_Сеть_и_дети'!K96*IF('01_Вводные'!$B$239="Да",MeanMinAge16+'19_Расчет_аналитики'!K4607*SUMIF(ThresholdAge16,"&lt;"&amp;'19_Расчет_аналитики'!K4607,WeightedRevAge16)-SUMIF(ThresholdAge16,"&lt;"&amp;'19_Расчет_аналитики'!K4607,WeightedMinAge16),MAX(CapacityAge16*'01_Вводные'!$B$218*'19_Расчет_аналитики'!K4607,MeanMinAge16))),0)</f>
        <v/>
      </c>
      <c r="L4527">
        <f>IF('01_Вводные'!$B$234="Да",IF(OR('06_Сеть_и_дети'!L96=0,16&lt;='01_Вводные'!$B$297),0,'06_Сеть_и_дети'!L96*IF('01_Вводные'!$B$239="Да",MeanMinAge16+'19_Расчет_аналитики'!L4607*SUMIF(ThresholdAge16,"&lt;"&amp;'19_Расчет_аналитики'!L4607,WeightedRevAge16)-SUMIF(ThresholdAge16,"&lt;"&amp;'19_Расчет_аналитики'!L4607,WeightedMinAge16),MAX(CapacityAge16*'01_Вводные'!$B$218*'19_Расчет_аналитики'!L4607,MeanMinAge16))),0)</f>
        <v/>
      </c>
      <c r="M4527">
        <f>IF('01_Вводные'!$B$234="Да",IF(OR('06_Сеть_и_дети'!M96=0,16&lt;='01_Вводные'!$B$297),0,'06_Сеть_и_дети'!M96*IF('01_Вводные'!$B$239="Да",MeanMinAge16+'19_Расчет_аналитики'!M4607*SUMIF(ThresholdAge16,"&lt;"&amp;'19_Расчет_аналитики'!M4607,WeightedRevAge16)-SUMIF(ThresholdAge16,"&lt;"&amp;'19_Расчет_аналитики'!M4607,WeightedMinAge16),MAX(CapacityAge16*'01_Вводные'!$B$218*'19_Расчет_аналитики'!M4607,MeanMinAge16))),0)</f>
        <v/>
      </c>
      <c r="N4527">
        <f>IF('01_Вводные'!$B$234="Да",IF(OR('06_Сеть_и_дети'!N96=0,16&lt;='01_Вводные'!$B$297),0,'06_Сеть_и_дети'!N96*IF('01_Вводные'!$B$239="Да",MeanMinAge16+'19_Расчет_аналитики'!N4607*SUMIF(ThresholdAge16,"&lt;"&amp;'19_Расчет_аналитики'!N4607,WeightedRevAge16)-SUMIF(ThresholdAge16,"&lt;"&amp;'19_Расчет_аналитики'!N4607,WeightedMinAge16),MAX(CapacityAge16*'01_Вводные'!$B$218*'19_Расчет_аналитики'!N4607,MeanMinAge16))),0)</f>
        <v/>
      </c>
      <c r="O4527">
        <f>IF('01_Вводные'!$B$234="Да",IF(OR('06_Сеть_и_дети'!O96=0,16&lt;='01_Вводные'!$B$297),0,'06_Сеть_и_дети'!O96*IF('01_Вводные'!$B$239="Да",MeanMinAge16+'19_Расчет_аналитики'!O4607*SUMIF(ThresholdAge16,"&lt;"&amp;'19_Расчет_аналитики'!O4607,WeightedRevAge16)-SUMIF(ThresholdAge16,"&lt;"&amp;'19_Расчет_аналитики'!O4607,WeightedMinAge16),MAX(CapacityAge16*'01_Вводные'!$B$218*'19_Расчет_аналитики'!O4607,MeanMinAge16))),0)</f>
        <v/>
      </c>
      <c r="P4527">
        <f>IF('01_Вводные'!$B$234="Да",IF(OR('06_Сеть_и_дети'!P96=0,16&lt;='01_Вводные'!$B$297),0,'06_Сеть_и_дети'!P96*IF('01_Вводные'!$B$239="Да",MeanMinAge16+'19_Расчет_аналитики'!P4607*SUMIF(ThresholdAge16,"&lt;"&amp;'19_Расчет_аналитики'!P4607,WeightedRevAge16)-SUMIF(ThresholdAge16,"&lt;"&amp;'19_Расчет_аналитики'!P4607,WeightedMinAge16),MAX(CapacityAge16*'01_Вводные'!$B$218*'19_Расчет_аналитики'!P4607,MeanMinAge16))),0)</f>
        <v/>
      </c>
      <c r="Q4527">
        <f>IF('01_Вводные'!$B$234="Да",IF(OR('19_Расчет_аналитики'!Q4499=0,16&lt;='01_Вводные'!$B$297),0,'19_Расчет_аналитики'!Q4499*IF('01_Вводные'!$B$239="Да",MeanMinAge16+'19_Расчет_аналитики'!Q4607*SUMIF(ThresholdAge16,"&lt;"&amp;'19_Расчет_аналитики'!Q4607,WeightedRevAge16)-SUMIF(ThresholdAge16,"&lt;"&amp;'19_Расчет_аналитики'!Q4607,WeightedMinAge16),MAX(CapacityAge16*'01_Вводные'!$B$218*'19_Расчет_аналитики'!Q4607,MeanMinAge16))),0)</f>
        <v/>
      </c>
      <c r="R4527">
        <f>IF('01_Вводные'!$B$234="Да",IF(OR('19_Расчет_аналитики'!R4499=0,16&lt;='01_Вводные'!$B$297),0,'19_Расчет_аналитики'!R4499*IF('01_Вводные'!$B$239="Да",MeanMinAge16+'19_Расчет_аналитики'!R4607*SUMIF(ThresholdAge16,"&lt;"&amp;'19_Расчет_аналитики'!R4607,WeightedRevAge16)-SUMIF(ThresholdAge16,"&lt;"&amp;'19_Расчет_аналитики'!R4607,WeightedMinAge16),MAX(CapacityAge16*'01_Вводные'!$B$218*'19_Расчет_аналитики'!R4607,MeanMinAge16))),0)</f>
        <v/>
      </c>
      <c r="S4527">
        <f>IF('01_Вводные'!$B$234="Да",IF(OR('19_Расчет_аналитики'!S4499=0,16&lt;='01_Вводные'!$B$297),0,'19_Расчет_аналитики'!S4499*IF('01_Вводные'!$B$239="Да",MeanMinAge16+'19_Расчет_аналитики'!S4607*SUMIF(ThresholdAge16,"&lt;"&amp;'19_Расчет_аналитики'!S4607,WeightedRevAge16)-SUMIF(ThresholdAge16,"&lt;"&amp;'19_Расчет_аналитики'!S4607,WeightedMinAge16),MAX(CapacityAge16*'01_Вводные'!$B$218*'19_Расчет_аналитики'!S4607,MeanMinAge16))),0)</f>
        <v/>
      </c>
      <c r="T4527">
        <f>IF('01_Вводные'!$B$234="Да",IF(OR('19_Расчет_аналитики'!T4499=0,16&lt;='01_Вводные'!$B$297),0,'19_Расчет_аналитики'!T4499*IF('01_Вводные'!$B$239="Да",MeanMinAge16+'19_Расчет_аналитики'!T4607*SUMIF(ThresholdAge16,"&lt;"&amp;'19_Расчет_аналитики'!T4607,WeightedRevAge16)-SUMIF(ThresholdAge16,"&lt;"&amp;'19_Расчет_аналитики'!T4607,WeightedMinAge16),MAX(CapacityAge16*'01_Вводные'!$B$218*'19_Расчет_аналитики'!T4607,MeanMinAge16))),0)</f>
        <v/>
      </c>
      <c r="U4527">
        <f>IF('01_Вводные'!$B$234="Да",IF(OR('19_Расчет_аналитики'!U4499=0,16&lt;='01_Вводные'!$B$297),0,'19_Расчет_аналитики'!U4499*IF('01_Вводные'!$B$239="Да",MeanMinAge16+'19_Расчет_аналитики'!U4607*SUMIF(ThresholdAge16,"&lt;"&amp;'19_Расчет_аналитики'!U4607,WeightedRevAge16)-SUMIF(ThresholdAge16,"&lt;"&amp;'19_Расчет_аналитики'!U4607,WeightedMinAge16),MAX(CapacityAge16*'01_Вводные'!$B$218*'19_Расчет_аналитики'!U4607,MeanMinAge16))),0)</f>
        <v/>
      </c>
      <c r="V4527">
        <f>IF('01_Вводные'!$B$234="Да",IF(OR('19_Расчет_аналитики'!V4499=0,16&lt;='01_Вводные'!$B$297),0,'19_Расчет_аналитики'!V4499*IF('01_Вводные'!$B$239="Да",MeanMinAge16+'19_Расчет_аналитики'!V4607*SUMIF(ThresholdAge16,"&lt;"&amp;'19_Расчет_аналитики'!V4607,WeightedRevAge16)-SUMIF(ThresholdAge16,"&lt;"&amp;'19_Расчет_аналитики'!V4607,WeightedMinAge16),MAX(CapacityAge16*'01_Вводные'!$B$218*'19_Расчет_аналитики'!V4607,MeanMinAge16))),0)</f>
        <v/>
      </c>
      <c r="W4527">
        <f>IF('01_Вводные'!$B$234="Да",IF(OR('19_Расчет_аналитики'!W4499=0,16&lt;='01_Вводные'!$B$297),0,'19_Расчет_аналитики'!W4499*IF('01_Вводные'!$B$239="Да",MeanMinAge16+'19_Расчет_аналитики'!W4607*SUMIF(ThresholdAge16,"&lt;"&amp;'19_Расчет_аналитики'!W4607,WeightedRevAge16)-SUMIF(ThresholdAge16,"&lt;"&amp;'19_Расчет_аналитики'!W4607,WeightedMinAge16),MAX(CapacityAge16*'01_Вводные'!$B$218*'19_Расчет_аналитики'!W4607,MeanMinAge16))),0)</f>
        <v/>
      </c>
      <c r="X4527">
        <f>IF('01_Вводные'!$B$234="Да",IF(OR('19_Расчет_аналитики'!X4499=0,16&lt;='01_Вводные'!$B$297),0,'19_Расчет_аналитики'!X4499*IF('01_Вводные'!$B$239="Да",MeanMinAge16+'19_Расчет_аналитики'!X4607*SUMIF(ThresholdAge16,"&lt;"&amp;'19_Расчет_аналитики'!X4607,WeightedRevAge16)-SUMIF(ThresholdAge16,"&lt;"&amp;'19_Расчет_аналитики'!X4607,WeightedMinAge16),MAX(CapacityAge16*'01_Вводные'!$B$218*'19_Расчет_аналитики'!X4607,MeanMinAge16))),0)</f>
        <v/>
      </c>
      <c r="Y4527">
        <f>IF('01_Вводные'!$B$234="Да",IF(OR('19_Расчет_аналитики'!Y4499=0,16&lt;='01_Вводные'!$B$297),0,'19_Расчет_аналитики'!Y4499*IF('01_Вводные'!$B$239="Да",MeanMinAge16+'19_Расчет_аналитики'!Y4607*SUMIF(ThresholdAge16,"&lt;"&amp;'19_Расчет_аналитики'!Y4607,WeightedRevAge16)-SUMIF(ThresholdAge16,"&lt;"&amp;'19_Расчет_аналитики'!Y4607,WeightedMinAge16),MAX(CapacityAge16*'01_Вводные'!$B$218*'19_Расчет_аналитики'!Y4607,MeanMinAge16))),0)</f>
        <v/>
      </c>
      <c r="Z4527">
        <f>IF('01_Вводные'!$B$234="Да",IF(OR('19_Расчет_аналитики'!Z4499=0,16&lt;='01_Вводные'!$B$297),0,'19_Расчет_аналитики'!Z4499*IF('01_Вводные'!$B$239="Да",MeanMinAge16+'19_Расчет_аналитики'!Z4607*SUMIF(ThresholdAge16,"&lt;"&amp;'19_Расчет_аналитики'!Z4607,WeightedRevAge16)-SUMIF(ThresholdAge16,"&lt;"&amp;'19_Расчет_аналитики'!Z4607,WeightedMinAge16),MAX(CapacityAge16*'01_Вводные'!$B$218*'19_Расчет_аналитики'!Z4607,MeanMinAge16))),0)</f>
        <v/>
      </c>
      <c r="AA4527">
        <f>IF('01_Вводные'!$B$234="Да",IF(OR('19_Расчет_аналитики'!AA4499=0,16&lt;='01_Вводные'!$B$297),0,'19_Расчет_аналитики'!AA4499*IF('01_Вводные'!$B$239="Да",MeanMinAge16+'19_Расчет_аналитики'!AA4607*SUMIF(ThresholdAge16,"&lt;"&amp;'19_Расчет_аналитики'!AA4607,WeightedRevAge16)-SUMIF(ThresholdAge16,"&lt;"&amp;'19_Расчет_аналитики'!AA4607,WeightedMinAge16),MAX(CapacityAge16*'01_Вводные'!$B$218*'19_Расчет_аналитики'!AA4607,MeanMinAge16))),0)</f>
        <v/>
      </c>
      <c r="AB4527">
        <f>IF('01_Вводные'!$B$234="Да",IF(OR('19_Расчет_аналитики'!AB4499=0,16&lt;='01_Вводные'!$B$297),0,'19_Расчет_аналитики'!AB4499*IF('01_Вводные'!$B$239="Да",MeanMinAge16+'19_Расчет_аналитики'!AB4607*SUMIF(ThresholdAge16,"&lt;"&amp;'19_Расчет_аналитики'!AB4607,WeightedRevAge16)-SUMIF(ThresholdAge16,"&lt;"&amp;'19_Расчет_аналитики'!AB4607,WeightedMinAge16),MAX(CapacityAge16*'01_Вводные'!$B$218*'19_Расчет_аналитики'!AB4607,MeanMinAge16))),0)</f>
        <v/>
      </c>
      <c r="AC4527">
        <f>IF('01_Вводные'!$B$234="Да",IF(OR('19_Расчет_аналитики'!AC4499=0,16&lt;='01_Вводные'!$B$297),0,'19_Расчет_аналитики'!AC4499*IF('01_Вводные'!$B$239="Да",MeanMinAge16+'19_Расчет_аналитики'!AC4607*SUMIF(ThresholdAge16,"&lt;"&amp;'19_Расчет_аналитики'!AC4607,WeightedRevAge16)-SUMIF(ThresholdAge16,"&lt;"&amp;'19_Расчет_аналитики'!AC4607,WeightedMinAge16),MAX(CapacityAge16*'01_Вводные'!$B$218*'19_Расчет_аналитики'!AC4607,MeanMinAge16))),0)</f>
        <v/>
      </c>
      <c r="AD4527">
        <f>IF('01_Вводные'!$B$234="Да",IF(OR('19_Расчет_аналитики'!AD4499=0,16&lt;='01_Вводные'!$B$297),0,'19_Расчет_аналитики'!AD4499*IF('01_Вводные'!$B$239="Да",MeanMinAge16+'19_Расчет_аналитики'!AD4607*SUMIF(ThresholdAge16,"&lt;"&amp;'19_Расчет_аналитики'!AD4607,WeightedRevAge16)-SUMIF(ThresholdAge16,"&lt;"&amp;'19_Расчет_аналитики'!AD4607,WeightedMinAge16),MAX(CapacityAge16*'01_Вводные'!$B$218*'19_Расчет_аналитики'!AD4607,MeanMinAge16))),0)</f>
        <v/>
      </c>
      <c r="AE4527">
        <f>IF('01_Вводные'!$B$234="Да",IF(OR('19_Расчет_аналитики'!AE4499=0,16&lt;='01_Вводные'!$B$297),0,'19_Расчет_аналитики'!AE4499*IF('01_Вводные'!$B$239="Да",MeanMinAge16+'19_Расчет_аналитики'!AE4607*SUMIF(ThresholdAge16,"&lt;"&amp;'19_Расчет_аналитики'!AE4607,WeightedRevAge16)-SUMIF(ThresholdAge16,"&lt;"&amp;'19_Расчет_аналитики'!AE4607,WeightedMinAge16),MAX(CapacityAge16*'01_Вводные'!$B$218*'19_Расчет_аналитики'!AE4607,MeanMinAge16))),0)</f>
        <v/>
      </c>
      <c r="AF4527">
        <f>IF('01_Вводные'!$B$234="Да",IF(OR('19_Расчет_аналитики'!AF4499=0,16&lt;='01_Вводные'!$B$297),0,'19_Расчет_аналитики'!AF4499*IF('01_Вводные'!$B$239="Да",MeanMinAge16+'19_Расчет_аналитики'!AF4607*SUMIF(ThresholdAge16,"&lt;"&amp;'19_Расчет_аналитики'!AF4607,WeightedRevAge16)-SUMIF(ThresholdAge16,"&lt;"&amp;'19_Расчет_аналитики'!AF4607,WeightedMinAge16),MAX(CapacityAge16*'01_Вводные'!$B$218*'19_Расчет_аналитики'!AF4607,MeanMinAge16))),0)</f>
        <v/>
      </c>
      <c r="AG4527">
        <f>IF('01_Вводные'!$B$234="Да",IF(OR('19_Расчет_аналитики'!AG4499=0,16&lt;='01_Вводные'!$B$297),0,'19_Расчет_аналитики'!AG4499*IF('01_Вводные'!$B$239="Да",MeanMinAge16+'19_Расчет_аналитики'!AG4607*SUMIF(ThresholdAge16,"&lt;"&amp;'19_Расчет_аналитики'!AG4607,WeightedRevAge16)-SUMIF(ThresholdAge16,"&lt;"&amp;'19_Расчет_аналитики'!AG4607,WeightedMinAge16),MAX(CapacityAge16*'01_Вводные'!$B$218*'19_Расчет_аналитики'!AG4607,MeanMinAge16))),0)</f>
        <v/>
      </c>
      <c r="AH4527">
        <f>IF('01_Вводные'!$B$234="Да",IF(OR('19_Расчет_аналитики'!AH4499=0,16&lt;='01_Вводные'!$B$297),0,'19_Расчет_аналитики'!AH4499*IF('01_Вводные'!$B$239="Да",MeanMinAge16+'19_Расчет_аналитики'!AH4607*SUMIF(ThresholdAge16,"&lt;"&amp;'19_Расчет_аналитики'!AH4607,WeightedRevAge16)-SUMIF(ThresholdAge16,"&lt;"&amp;'19_Расчет_аналитики'!AH4607,WeightedMinAge16),MAX(CapacityAge16*'01_Вводные'!$B$218*'19_Расчет_аналитики'!AH4607,MeanMinAge16))),0)</f>
        <v/>
      </c>
      <c r="AI4527">
        <f>IF('01_Вводные'!$B$234="Да",IF(OR('19_Расчет_аналитики'!AI4499=0,16&lt;='01_Вводные'!$B$297),0,'19_Расчет_аналитики'!AI4499*IF('01_Вводные'!$B$239="Да",MeanMinAge16+'19_Расчет_аналитики'!AI4607*SUMIF(ThresholdAge16,"&lt;"&amp;'19_Расчет_аналитики'!AI4607,WeightedRevAge16)-SUMIF(ThresholdAge16,"&lt;"&amp;'19_Расчет_аналитики'!AI4607,WeightedMinAge16),MAX(CapacityAge16*'01_Вводные'!$B$218*'19_Расчет_аналитики'!AI4607,MeanMinAge16))),0)</f>
        <v/>
      </c>
      <c r="AJ4527">
        <f>IF('01_Вводные'!$B$234="Да",IF(OR('19_Расчет_аналитики'!AJ4499=0,16&lt;='01_Вводные'!$B$297),0,'19_Расчет_аналитики'!AJ4499*IF('01_Вводные'!$B$239="Да",MeanMinAge16+'19_Расчет_аналитики'!AJ4607*SUMIF(ThresholdAge16,"&lt;"&amp;'19_Расчет_аналитики'!AJ4607,WeightedRevAge16)-SUMIF(ThresholdAge16,"&lt;"&amp;'19_Расчет_аналитики'!AJ4607,WeightedMinAge16),MAX(CapacityAge16*'01_Вводные'!$B$218*'19_Расчет_аналитики'!AJ4607,MeanMinAge16))),0)</f>
        <v/>
      </c>
      <c r="AK4527">
        <f>IF('01_Вводные'!$B$234="Да",IF(OR('19_Расчет_аналитики'!AK4499=0,16&lt;='01_Вводные'!$B$297),0,'19_Расчет_аналитики'!AK4499*IF('01_Вводные'!$B$239="Да",MeanMinAge16+'19_Расчет_аналитики'!AK4607*SUMIF(ThresholdAge16,"&lt;"&amp;'19_Расчет_аналитики'!AK4607,WeightedRevAge16)-SUMIF(ThresholdAge16,"&lt;"&amp;'19_Расчет_аналитики'!AK4607,WeightedMinAge16),MAX(CapacityAge16*'01_Вводные'!$B$218*'19_Расчет_аналитики'!AK4607,MeanMinAge16))),0)</f>
        <v/>
      </c>
      <c r="AL4527">
        <f>IF('01_Вводные'!$B$234="Да",IF(OR('19_Расчет_аналитики'!AL4499=0,16&lt;='01_Вводные'!$B$297),0,'19_Расчет_аналитики'!AL4499*IF('01_Вводные'!$B$239="Да",MeanMinAge16+'19_Расчет_аналитики'!AL4607*SUMIF(ThresholdAge16,"&lt;"&amp;'19_Расчет_аналитики'!AL4607,WeightedRevAge16)-SUMIF(ThresholdAge16,"&lt;"&amp;'19_Расчет_аналитики'!AL4607,WeightedMinAge16),MAX(CapacityAge16*'01_Вводные'!$B$218*'19_Расчет_аналитики'!AL4607,MeanMinAge16))),0)</f>
        <v/>
      </c>
      <c r="AM4527">
        <f>IF('01_Вводные'!$B$234="Да",IF(OR('19_Расчет_аналитики'!AM4499=0,16&lt;='01_Вводные'!$B$297),0,'19_Расчет_аналитики'!AM4499*IF('01_Вводные'!$B$239="Да",MeanMinAge16+'19_Расчет_аналитики'!AM4607*SUMIF(ThresholdAge16,"&lt;"&amp;'19_Расчет_аналитики'!AM4607,WeightedRevAge16)-SUMIF(ThresholdAge16,"&lt;"&amp;'19_Расчет_аналитики'!AM4607,WeightedMinAge16),MAX(CapacityAge16*'01_Вводные'!$B$218*'19_Расчет_аналитики'!AM4607,MeanMinAge16))),0)</f>
        <v/>
      </c>
      <c r="AN4527">
        <f>IF('01_Вводные'!$B$234="Да",IF(OR('19_Расчет_аналитики'!AN4499=0,16&lt;='01_Вводные'!$B$297),0,'19_Расчет_аналитики'!AN4499*IF('01_Вводные'!$B$239="Да",MeanMinAge16+'19_Расчет_аналитики'!AN4607*SUMIF(ThresholdAge16,"&lt;"&amp;'19_Расчет_аналитики'!AN4607,WeightedRevAge16)-SUMIF(ThresholdAge16,"&lt;"&amp;'19_Расчет_аналитики'!AN4607,WeightedMinAge16),MAX(CapacityAge16*'01_Вводные'!$B$218*'19_Расчет_аналитики'!AN4607,MeanMinAge16))),0)</f>
        <v/>
      </c>
      <c r="AO4527">
        <f>IF('01_Вводные'!$B$234="Да",IF(OR('19_Расчет_аналитики'!AO4499=0,16&lt;='01_Вводные'!$B$297),0,'19_Расчет_аналитики'!AO4499*IF('01_Вводные'!$B$239="Да",MeanMinAge16+'19_Расчет_аналитики'!AO4607*SUMIF(ThresholdAge16,"&lt;"&amp;'19_Расчет_аналитики'!AO4607,WeightedRevAge16)-SUMIF(ThresholdAge16,"&lt;"&amp;'19_Расчет_аналитики'!AO4607,WeightedMinAge16),MAX(CapacityAge16*'01_Вводные'!$B$218*'19_Расчет_аналитики'!AO4607,MeanMinAge16))),0)</f>
        <v/>
      </c>
      <c r="AP4527">
        <f>IF('01_Вводные'!$B$234="Да",IF(OR('19_Расчет_аналитики'!AP4499=0,16&lt;='01_Вводные'!$B$297),0,'19_Расчет_аналитики'!AP4499*IF('01_Вводные'!$B$239="Да",MeanMinAge16+'19_Расчет_аналитики'!AP4607*SUMIF(ThresholdAge16,"&lt;"&amp;'19_Расчет_аналитики'!AP4607,WeightedRevAge16)-SUMIF(ThresholdAge16,"&lt;"&amp;'19_Расчет_аналитики'!AP4607,WeightedMinAge16),MAX(CapacityAge16*'01_Вводные'!$B$218*'19_Расчет_аналитики'!AP4607,MeanMinAge16))),0)</f>
        <v/>
      </c>
      <c r="AQ4527">
        <f>IF('01_Вводные'!$B$234="Да",IF(OR('19_Расчет_аналитики'!AQ4499=0,16&lt;='01_Вводные'!$B$297),0,'19_Расчет_аналитики'!AQ4499*IF('01_Вводные'!$B$239="Да",MeanMinAge16+'19_Расчет_аналитики'!AQ4607*SUMIF(ThresholdAge16,"&lt;"&amp;'19_Расчет_аналитики'!AQ4607,WeightedRevAge16)-SUMIF(ThresholdAge16,"&lt;"&amp;'19_Расчет_аналитики'!AQ4607,WeightedMinAge16),MAX(CapacityAge16*'01_Вводные'!$B$218*'19_Расчет_аналитики'!AQ4607,MeanMinAge16))),0)</f>
        <v/>
      </c>
      <c r="AR4527">
        <f>IF('01_Вводные'!$B$234="Да",IF(OR('19_Расчет_аналитики'!AR4499=0,16&lt;='01_Вводные'!$B$297),0,'19_Расчет_аналитики'!AR4499*IF('01_Вводные'!$B$239="Да",MeanMinAge16+'19_Расчет_аналитики'!AR4607*SUMIF(ThresholdAge16,"&lt;"&amp;'19_Расчет_аналитики'!AR4607,WeightedRevAge16)-SUMIF(ThresholdAge16,"&lt;"&amp;'19_Расчет_аналитики'!AR4607,WeightedMinAge16),MAX(CapacityAge16*'01_Вводные'!$B$218*'19_Расчет_аналитики'!AR4607,MeanMinAge16))),0)</f>
        <v/>
      </c>
      <c r="AS4527">
        <f>IF('01_Вводные'!$B$234="Да",IF(OR('19_Расчет_аналитики'!AS4499=0,16&lt;='01_Вводные'!$B$297),0,'19_Расчет_аналитики'!AS4499*IF('01_Вводные'!$B$239="Да",MeanMinAge16+'19_Расчет_аналитики'!AS4607*SUMIF(ThresholdAge16,"&lt;"&amp;'19_Расчет_аналитики'!AS4607,WeightedRevAge16)-SUMIF(ThresholdAge16,"&lt;"&amp;'19_Расчет_аналитики'!AS4607,WeightedMinAge16),MAX(CapacityAge16*'01_Вводные'!$B$218*'19_Расчет_аналитики'!AS4607,MeanMinAge16))),0)</f>
        <v/>
      </c>
      <c r="AT4527">
        <f>IF('01_Вводные'!$B$234="Да",IF(OR('19_Расчет_аналитики'!AT4499=0,16&lt;='01_Вводные'!$B$297),0,'19_Расчет_аналитики'!AT4499*IF('01_Вводные'!$B$239="Да",MeanMinAge16+'19_Расчет_аналитики'!AT4607*SUMIF(ThresholdAge16,"&lt;"&amp;'19_Расчет_аналитики'!AT4607,WeightedRevAge16)-SUMIF(ThresholdAge16,"&lt;"&amp;'19_Расчет_аналитики'!AT4607,WeightedMinAge16),MAX(CapacityAge16*'01_Вводные'!$B$218*'19_Расчет_аналитики'!AT4607,MeanMinAge16))),0)</f>
        <v/>
      </c>
      <c r="AU4527">
        <f>IF('01_Вводные'!$B$234="Да",IF(OR('19_Расчет_аналитики'!AU4499=0,16&lt;='01_Вводные'!$B$297),0,'19_Расчет_аналитики'!AU4499*IF('01_Вводные'!$B$239="Да",MeanMinAge16+'19_Расчет_аналитики'!AU4607*SUMIF(ThresholdAge16,"&lt;"&amp;'19_Расчет_аналитики'!AU4607,WeightedRevAge16)-SUMIF(ThresholdAge16,"&lt;"&amp;'19_Расчет_аналитики'!AU4607,WeightedMinAge16),MAX(CapacityAge16*'01_Вводные'!$B$218*'19_Расчет_аналитики'!AU4607,MeanMinAge16))),0)</f>
        <v/>
      </c>
      <c r="AV4527">
        <f>IF('01_Вводные'!$B$234="Да",IF(OR('19_Расчет_аналитики'!AV4499=0,16&lt;='01_Вводные'!$B$297),0,'19_Расчет_аналитики'!AV4499*IF('01_Вводные'!$B$239="Да",MeanMinAge16+'19_Расчет_аналитики'!AV4607*SUMIF(ThresholdAge16,"&lt;"&amp;'19_Расчет_аналитики'!AV4607,WeightedRevAge16)-SUMIF(ThresholdAge16,"&lt;"&amp;'19_Расчет_аналитики'!AV4607,WeightedMinAge16),MAX(CapacityAge16*'01_Вводные'!$B$218*'19_Расчет_аналитики'!AV4607,MeanMinAge16))),0)</f>
        <v/>
      </c>
      <c r="AW4527">
        <f>IF('01_Вводные'!$B$234="Да",IF(OR('19_Расчет_аналитики'!AW4499=0,16&lt;='01_Вводные'!$B$297),0,'19_Расчет_аналитики'!AW4499*IF('01_Вводные'!$B$239="Да",MeanMinAge16+'19_Расчет_аналитики'!AW4607*SUMIF(ThresholdAge16,"&lt;"&amp;'19_Расчет_аналитики'!AW4607,WeightedRevAge16)-SUMIF(ThresholdAge16,"&lt;"&amp;'19_Расчет_аналитики'!AW4607,WeightedMinAge16),MAX(CapacityAge16*'01_Вводные'!$B$218*'19_Расчет_аналитики'!AW4607,MeanMinAge16))),0)</f>
        <v/>
      </c>
      <c r="AX4527">
        <f>IF('01_Вводные'!$B$234="Да",IF(OR('19_Расчет_аналитики'!AX4499=0,16&lt;='01_Вводные'!$B$297),0,'19_Расчет_аналитики'!AX4499*IF('01_Вводные'!$B$239="Да",MeanMinAge16+'19_Расчет_аналитики'!AX4607*SUMIF(ThresholdAge16,"&lt;"&amp;'19_Расчет_аналитики'!AX4607,WeightedRevAge16)-SUMIF(ThresholdAge16,"&lt;"&amp;'19_Расчет_аналитики'!AX4607,WeightedMinAge16),MAX(CapacityAge16*'01_Вводные'!$B$218*'19_Расчет_аналитики'!AX4607,MeanMinAge16))),0)</f>
        <v/>
      </c>
      <c r="AY4527">
        <f>IF('01_Вводные'!$B$234="Да",IF(OR('19_Расчет_аналитики'!AY4499=0,16&lt;='01_Вводные'!$B$297),0,'19_Расчет_аналитики'!AY4499*IF('01_Вводные'!$B$239="Да",MeanMinAge16+'19_Расчет_аналитики'!AY4607*SUMIF(ThresholdAge16,"&lt;"&amp;'19_Расчет_аналитики'!AY4607,WeightedRevAge16)-SUMIF(ThresholdAge16,"&lt;"&amp;'19_Расчет_аналитики'!AY4607,WeightedMinAge16),MAX(CapacityAge16*'01_Вводные'!$B$218*'19_Расчет_аналитики'!AY4607,MeanMinAge16))),0)</f>
        <v/>
      </c>
      <c r="AZ4527">
        <f>IF('01_Вводные'!$B$234="Да",IF(OR('19_Расчет_аналитики'!AZ4499=0,16&lt;='01_Вводные'!$B$297),0,'19_Расчет_аналитики'!AZ4499*IF('01_Вводные'!$B$239="Да",MeanMinAge16+'19_Расчет_аналитики'!AZ4607*SUMIF(ThresholdAge16,"&lt;"&amp;'19_Расчет_аналитики'!AZ4607,WeightedRevAge16)-SUMIF(ThresholdAge16,"&lt;"&amp;'19_Расчет_аналитики'!AZ4607,WeightedMinAge16),MAX(CapacityAge16*'01_Вводные'!$B$218*'19_Расчет_аналитики'!AZ4607,MeanMinAge16))),0)</f>
        <v/>
      </c>
      <c r="BA4527">
        <f>IF('01_Вводные'!$B$234="Да",IF(OR('19_Расчет_аналитики'!BA4499=0,16&lt;='01_Вводные'!$B$297),0,'19_Расчет_аналитики'!BA4499*IF('01_Вводные'!$B$239="Да",MeanMinAge16+'19_Расчет_аналитики'!BA4607*SUMIF(ThresholdAge16,"&lt;"&amp;'19_Расчет_аналитики'!BA4607,WeightedRevAge16)-SUMIF(ThresholdAge16,"&lt;"&amp;'19_Расчет_аналитики'!BA4607,WeightedMinAge16),MAX(CapacityAge16*'01_Вводные'!$B$218*'19_Расчет_аналитики'!BA4607,MeanMinAge16))),0)</f>
        <v/>
      </c>
      <c r="BB4527">
        <f>IF('01_Вводные'!$B$234="Да",IF(OR('19_Расчет_аналитики'!BB4499=0,16&lt;='01_Вводные'!$B$297),0,'19_Расчет_аналитики'!BB4499*IF('01_Вводные'!$B$239="Да",MeanMinAge16+'19_Расчет_аналитики'!BB4607*SUMIF(ThresholdAge16,"&lt;"&amp;'19_Расчет_аналитики'!BB4607,WeightedRevAge16)-SUMIF(ThresholdAge16,"&lt;"&amp;'19_Расчет_аналитики'!BB4607,WeightedMinAge16),MAX(CapacityAge16*'01_Вводные'!$B$218*'19_Расчет_аналитики'!BB4607,MeanMinAge16))),0)</f>
        <v/>
      </c>
      <c r="BC4527">
        <f>IF('01_Вводные'!$B$234="Да",IF(OR('19_Расчет_аналитики'!BC4499=0,16&lt;='01_Вводные'!$B$297),0,'19_Расчет_аналитики'!BC4499*IF('01_Вводные'!$B$239="Да",MeanMinAge16+'19_Расчет_аналитики'!BC4607*SUMIF(ThresholdAge16,"&lt;"&amp;'19_Расчет_аналитики'!BC4607,WeightedRevAge16)-SUMIF(ThresholdAge16,"&lt;"&amp;'19_Расчет_аналитики'!BC4607,WeightedMinAge16),MAX(CapacityAge16*'01_Вводные'!$B$218*'19_Расчет_аналитики'!BC4607,MeanMinAge16))),0)</f>
        <v/>
      </c>
      <c r="BD4527">
        <f>IF('01_Вводные'!$B$234="Да",IF(OR('19_Расчет_аналитики'!BD4499=0,16&lt;='01_Вводные'!$B$297),0,'19_Расчет_аналитики'!BD4499*IF('01_Вводные'!$B$239="Да",MeanMinAge16+'19_Расчет_аналитики'!BD4607*SUMIF(ThresholdAge16,"&lt;"&amp;'19_Расчет_аналитики'!BD4607,WeightedRevAge16)-SUMIF(ThresholdAge16,"&lt;"&amp;'19_Расчет_аналитики'!BD4607,WeightedMinAge16),MAX(CapacityAge16*'01_Вводные'!$B$218*'19_Расчет_аналитики'!BD4607,MeanMinAge16))),0)</f>
        <v/>
      </c>
      <c r="BE4527">
        <f>IF('01_Вводные'!$B$234="Да",IF(OR('19_Расчет_аналитики'!BE4499=0,16&lt;='01_Вводные'!$B$297),0,'19_Расчет_аналитики'!BE4499*IF('01_Вводные'!$B$239="Да",MeanMinAge16+'19_Расчет_аналитики'!BE4607*SUMIF(ThresholdAge16,"&lt;"&amp;'19_Расчет_аналитики'!BE4607,WeightedRevAge16)-SUMIF(ThresholdAge16,"&lt;"&amp;'19_Расчет_аналитики'!BE4607,WeightedMinAge16),MAX(CapacityAge16*'01_Вводные'!$B$218*'19_Расчет_аналитики'!BE4607,MeanMinAge16))),0)</f>
        <v/>
      </c>
      <c r="BF4527">
        <f>IF('01_Вводные'!$B$234="Да",IF(OR('19_Расчет_аналитики'!BF4499=0,16&lt;='01_Вводные'!$B$297),0,'19_Расчет_аналитики'!BF4499*IF('01_Вводные'!$B$239="Да",MeanMinAge16+'19_Расчет_аналитики'!BF4607*SUMIF(ThresholdAge16,"&lt;"&amp;'19_Расчет_аналитики'!BF4607,WeightedRevAge16)-SUMIF(ThresholdAge16,"&lt;"&amp;'19_Расчет_аналитики'!BF4607,WeightedMinAge16),MAX(CapacityAge16*'01_Вводные'!$B$218*'19_Расчет_аналитики'!BF4607,MeanMinAge16))),0)</f>
        <v/>
      </c>
      <c r="BG4527">
        <f>IF('01_Вводные'!$B$234="Да",IF(OR('19_Расчет_аналитики'!BG4499=0,16&lt;='01_Вводные'!$B$297),0,'19_Расчет_аналитики'!BG4499*IF('01_Вводные'!$B$239="Да",MeanMinAge16+'19_Расчет_аналитики'!BG4607*SUMIF(ThresholdAge16,"&lt;"&amp;'19_Расчет_аналитики'!BG4607,WeightedRevAge16)-SUMIF(ThresholdAge16,"&lt;"&amp;'19_Расчет_аналитики'!BG4607,WeightedMinAge16),MAX(CapacityAge16*'01_Вводные'!$B$218*'19_Расчет_аналитики'!BG4607,MeanMinAge16))),0)</f>
        <v/>
      </c>
      <c r="BH4527">
        <f>IF('01_Вводные'!$B$234="Да",IF(OR('19_Расчет_аналитики'!BH4499=0,16&lt;='01_Вводные'!$B$297),0,'19_Расчет_аналитики'!BH4499*IF('01_Вводные'!$B$239="Да",MeanMinAge16+'19_Расчет_аналитики'!BH4607*SUMIF(ThresholdAge16,"&lt;"&amp;'19_Расчет_аналитики'!BH4607,WeightedRevAge16)-SUMIF(ThresholdAge16,"&lt;"&amp;'19_Расчет_аналитики'!BH4607,WeightedMinAge16),MAX(CapacityAge16*'01_Вводные'!$B$218*'19_Расчет_аналитики'!BH4607,MeanMinAge16))),0)</f>
        <v/>
      </c>
      <c r="BI4527">
        <f>IF('01_Вводные'!$B$234="Да",IF(OR('19_Расчет_аналитики'!BI4499=0,16&lt;='01_Вводные'!$B$297),0,'19_Расчет_аналитики'!BI4499*IF('01_Вводные'!$B$239="Да",MeanMinAge16+'19_Расчет_аналитики'!BI4607*SUMIF(ThresholdAge16,"&lt;"&amp;'19_Расчет_аналитики'!BI4607,WeightedRevAge16)-SUMIF(ThresholdAge16,"&lt;"&amp;'19_Расчет_аналитики'!BI4607,WeightedMinAge16),MAX(CapacityAge16*'01_Вводные'!$B$218*'19_Расчет_аналитики'!BI4607,MeanMinAge16))),0)</f>
        <v/>
      </c>
      <c r="BJ4527">
        <f>IF('01_Вводные'!$B$234="Да",IF(OR('19_Расчет_аналитики'!BJ4499=0,16&lt;='01_Вводные'!$B$297),0,'19_Расчет_аналитики'!BJ4499*IF('01_Вводные'!$B$239="Да",MeanMinAge16+'19_Расчет_аналитики'!BJ4607*SUMIF(ThresholdAge16,"&lt;"&amp;'19_Расчет_аналитики'!BJ4607,WeightedRevAge16)-SUMIF(ThresholdAge16,"&lt;"&amp;'19_Расчет_аналитики'!BJ4607,WeightedMinAge16),MAX(CapacityAge16*'01_Вводные'!$B$218*'19_Расчет_аналитики'!BJ4607,MeanMinAge16))),0)</f>
        <v/>
      </c>
      <c r="BK4527">
        <f>IF('01_Вводные'!$B$234="Да",IF(OR('19_Расчет_аналитики'!BK4499=0,16&lt;='01_Вводные'!$B$297),0,'19_Расчет_аналитики'!BK4499*IF('01_Вводные'!$B$239="Да",MeanMinAge16+'19_Расчет_аналитики'!BK4607*SUMIF(ThresholdAge16,"&lt;"&amp;'19_Расчет_аналитики'!BK4607,WeightedRevAge16)-SUMIF(ThresholdAge16,"&lt;"&amp;'19_Расчет_аналитики'!BK4607,WeightedMinAge16),MAX(CapacityAge16*'01_Вводные'!$B$218*'19_Расчет_аналитики'!BK4607,MeanMinAge16))),0)</f>
        <v/>
      </c>
      <c r="BL4527">
        <f>IF('01_Вводные'!$B$234="Да",IF(OR('19_Расчет_аналитики'!BL4499=0,16&lt;='01_Вводные'!$B$297),0,'19_Расчет_аналитики'!BL4499*IF('01_Вводные'!$B$239="Да",MeanMinAge16+'19_Расчет_аналитики'!BL4607*SUMIF(ThresholdAge16,"&lt;"&amp;'19_Расчет_аналитики'!BL4607,WeightedRevAge16)-SUMIF(ThresholdAge16,"&lt;"&amp;'19_Расчет_аналитики'!BL4607,WeightedMinAge16),MAX(CapacityAge16*'01_Вводные'!$B$218*'19_Расчет_аналитики'!BL4607,MeanMinAge16))),0)</f>
        <v/>
      </c>
      <c r="BM4527">
        <f>IF('01_Вводные'!$B$234="Да",IF(OR('19_Расчет_аналитики'!BM4499=0,16&lt;='01_Вводные'!$B$297),0,'19_Расчет_аналитики'!BM4499*IF('01_Вводные'!$B$239="Да",MeanMinAge16+'19_Расчет_аналитики'!BM4607*SUMIF(ThresholdAge16,"&lt;"&amp;'19_Расчет_аналитики'!BM4607,WeightedRevAge16)-SUMIF(ThresholdAge16,"&lt;"&amp;'19_Расчет_аналитики'!BM4607,WeightedMinAge16),MAX(CapacityAge16*'01_Вводные'!$B$218*'19_Расчет_аналитики'!BM4607,MeanMinAge16))),0)</f>
        <v/>
      </c>
      <c r="BN4527">
        <f>IF('01_Вводные'!$B$234="Да",IF(OR('19_Расчет_аналитики'!BN4499=0,16&lt;='01_Вводные'!$B$297),0,'19_Расчет_аналитики'!BN4499*IF('01_Вводные'!$B$239="Да",MeanMinAge16+'19_Расчет_аналитики'!BN4607*SUMIF(ThresholdAge16,"&lt;"&amp;'19_Расчет_аналитики'!BN4607,WeightedRevAge16)-SUMIF(ThresholdAge16,"&lt;"&amp;'19_Расчет_аналитики'!BN4607,WeightedMinAge16),MAX(CapacityAge16*'01_Вводные'!$B$218*'19_Расчет_аналитики'!BN4607,MeanMinAge16))),0)</f>
        <v/>
      </c>
      <c r="BO4527">
        <f>IF('01_Вводные'!$B$234="Да",IF(OR('19_Расчет_аналитики'!BO4499=0,16&lt;='01_Вводные'!$B$297),0,'19_Расчет_аналитики'!BO4499*IF('01_Вводные'!$B$239="Да",MeanMinAge16+'19_Расчет_аналитики'!BO4607*SUMIF(ThresholdAge16,"&lt;"&amp;'19_Расчет_аналитики'!BO4607,WeightedRevAge16)-SUMIF(ThresholdAge16,"&lt;"&amp;'19_Расчет_аналитики'!BO4607,WeightedMinAge16),MAX(CapacityAge16*'01_Вводные'!$B$218*'19_Расчет_аналитики'!BO4607,MeanMinAge16))),0)</f>
        <v/>
      </c>
    </row>
    <row r="4528">
      <c r="B4528">
        <f>IF('01_Вводные'!$B$234="Да",IF(OR('06_Сеть_и_дети'!B97=0,17&lt;='01_Вводные'!$B$297),0,'06_Сеть_и_дети'!B97*IF('01_Вводные'!$B$239="Да",MeanMinAge17+'19_Расчет_аналитики'!B4607*SUMIF(ThresholdAge17,"&lt;"&amp;'19_Расчет_аналитики'!B4607,WeightedRevAge17)-SUMIF(ThresholdAge17,"&lt;"&amp;'19_Расчет_аналитики'!B4607,WeightedMinAge17),MAX(CapacityAge17*'01_Вводные'!$B$218*'19_Расчет_аналитики'!B4607,MeanMinAge17))),0)</f>
        <v/>
      </c>
      <c r="C4528">
        <f>IF('01_Вводные'!$B$234="Да",IF(OR('06_Сеть_и_дети'!C97=0,17&lt;='01_Вводные'!$B$297),0,'06_Сеть_и_дети'!C97*IF('01_Вводные'!$B$239="Да",MeanMinAge17+'19_Расчет_аналитики'!C4607*SUMIF(ThresholdAge17,"&lt;"&amp;'19_Расчет_аналитики'!C4607,WeightedRevAge17)-SUMIF(ThresholdAge17,"&lt;"&amp;'19_Расчет_аналитики'!C4607,WeightedMinAge17),MAX(CapacityAge17*'01_Вводные'!$B$218*'19_Расчет_аналитики'!C4607,MeanMinAge17))),0)</f>
        <v/>
      </c>
      <c r="D4528">
        <f>IF('01_Вводные'!$B$234="Да",IF(OR('06_Сеть_и_дети'!D97=0,17&lt;='01_Вводные'!$B$297),0,'06_Сеть_и_дети'!D97*IF('01_Вводные'!$B$239="Да",MeanMinAge17+'19_Расчет_аналитики'!D4607*SUMIF(ThresholdAge17,"&lt;"&amp;'19_Расчет_аналитики'!D4607,WeightedRevAge17)-SUMIF(ThresholdAge17,"&lt;"&amp;'19_Расчет_аналитики'!D4607,WeightedMinAge17),MAX(CapacityAge17*'01_Вводные'!$B$218*'19_Расчет_аналитики'!D4607,MeanMinAge17))),0)</f>
        <v/>
      </c>
      <c r="E4528">
        <f>IF('01_Вводные'!$B$234="Да",IF(OR('06_Сеть_и_дети'!E97=0,17&lt;='01_Вводные'!$B$297),0,'06_Сеть_и_дети'!E97*IF('01_Вводные'!$B$239="Да",MeanMinAge17+'19_Расчет_аналитики'!E4607*SUMIF(ThresholdAge17,"&lt;"&amp;'19_Расчет_аналитики'!E4607,WeightedRevAge17)-SUMIF(ThresholdAge17,"&lt;"&amp;'19_Расчет_аналитики'!E4607,WeightedMinAge17),MAX(CapacityAge17*'01_Вводные'!$B$218*'19_Расчет_аналитики'!E4607,MeanMinAge17))),0)</f>
        <v/>
      </c>
      <c r="F4528">
        <f>IF('01_Вводные'!$B$234="Да",IF(OR('06_Сеть_и_дети'!F97=0,17&lt;='01_Вводные'!$B$297),0,'06_Сеть_и_дети'!F97*IF('01_Вводные'!$B$239="Да",MeanMinAge17+'19_Расчет_аналитики'!F4607*SUMIF(ThresholdAge17,"&lt;"&amp;'19_Расчет_аналитики'!F4607,WeightedRevAge17)-SUMIF(ThresholdAge17,"&lt;"&amp;'19_Расчет_аналитики'!F4607,WeightedMinAge17),MAX(CapacityAge17*'01_Вводные'!$B$218*'19_Расчет_аналитики'!F4607,MeanMinAge17))),0)</f>
        <v/>
      </c>
      <c r="G4528">
        <f>IF('01_Вводные'!$B$234="Да",IF(OR('06_Сеть_и_дети'!G97=0,17&lt;='01_Вводные'!$B$297),0,'06_Сеть_и_дети'!G97*IF('01_Вводные'!$B$239="Да",MeanMinAge17+'19_Расчет_аналитики'!G4607*SUMIF(ThresholdAge17,"&lt;"&amp;'19_Расчет_аналитики'!G4607,WeightedRevAge17)-SUMIF(ThresholdAge17,"&lt;"&amp;'19_Расчет_аналитики'!G4607,WeightedMinAge17),MAX(CapacityAge17*'01_Вводные'!$B$218*'19_Расчет_аналитики'!G4607,MeanMinAge17))),0)</f>
        <v/>
      </c>
      <c r="H4528">
        <f>IF('01_Вводные'!$B$234="Да",IF(OR('06_Сеть_и_дети'!H97=0,17&lt;='01_Вводные'!$B$297),0,'06_Сеть_и_дети'!H97*IF('01_Вводные'!$B$239="Да",MeanMinAge17+'19_Расчет_аналитики'!H4607*SUMIF(ThresholdAge17,"&lt;"&amp;'19_Расчет_аналитики'!H4607,WeightedRevAge17)-SUMIF(ThresholdAge17,"&lt;"&amp;'19_Расчет_аналитики'!H4607,WeightedMinAge17),MAX(CapacityAge17*'01_Вводные'!$B$218*'19_Расчет_аналитики'!H4607,MeanMinAge17))),0)</f>
        <v/>
      </c>
      <c r="I4528">
        <f>IF('01_Вводные'!$B$234="Да",IF(OR('06_Сеть_и_дети'!I97=0,17&lt;='01_Вводные'!$B$297),0,'06_Сеть_и_дети'!I97*IF('01_Вводные'!$B$239="Да",MeanMinAge17+'19_Расчет_аналитики'!I4607*SUMIF(ThresholdAge17,"&lt;"&amp;'19_Расчет_аналитики'!I4607,WeightedRevAge17)-SUMIF(ThresholdAge17,"&lt;"&amp;'19_Расчет_аналитики'!I4607,WeightedMinAge17),MAX(CapacityAge17*'01_Вводные'!$B$218*'19_Расчет_аналитики'!I4607,MeanMinAge17))),0)</f>
        <v/>
      </c>
      <c r="J4528">
        <f>IF('01_Вводные'!$B$234="Да",IF(OR('06_Сеть_и_дети'!J97=0,17&lt;='01_Вводные'!$B$297),0,'06_Сеть_и_дети'!J97*IF('01_Вводные'!$B$239="Да",MeanMinAge17+'19_Расчет_аналитики'!J4607*SUMIF(ThresholdAge17,"&lt;"&amp;'19_Расчет_аналитики'!J4607,WeightedRevAge17)-SUMIF(ThresholdAge17,"&lt;"&amp;'19_Расчет_аналитики'!J4607,WeightedMinAge17),MAX(CapacityAge17*'01_Вводные'!$B$218*'19_Расчет_аналитики'!J4607,MeanMinAge17))),0)</f>
        <v/>
      </c>
      <c r="K4528">
        <f>IF('01_Вводные'!$B$234="Да",IF(OR('06_Сеть_и_дети'!K97=0,17&lt;='01_Вводные'!$B$297),0,'06_Сеть_и_дети'!K97*IF('01_Вводные'!$B$239="Да",MeanMinAge17+'19_Расчет_аналитики'!K4607*SUMIF(ThresholdAge17,"&lt;"&amp;'19_Расчет_аналитики'!K4607,WeightedRevAge17)-SUMIF(ThresholdAge17,"&lt;"&amp;'19_Расчет_аналитики'!K4607,WeightedMinAge17),MAX(CapacityAge17*'01_Вводные'!$B$218*'19_Расчет_аналитики'!K4607,MeanMinAge17))),0)</f>
        <v/>
      </c>
      <c r="L4528">
        <f>IF('01_Вводные'!$B$234="Да",IF(OR('06_Сеть_и_дети'!L97=0,17&lt;='01_Вводные'!$B$297),0,'06_Сеть_и_дети'!L97*IF('01_Вводные'!$B$239="Да",MeanMinAge17+'19_Расчет_аналитики'!L4607*SUMIF(ThresholdAge17,"&lt;"&amp;'19_Расчет_аналитики'!L4607,WeightedRevAge17)-SUMIF(ThresholdAge17,"&lt;"&amp;'19_Расчет_аналитики'!L4607,WeightedMinAge17),MAX(CapacityAge17*'01_Вводные'!$B$218*'19_Расчет_аналитики'!L4607,MeanMinAge17))),0)</f>
        <v/>
      </c>
      <c r="M4528">
        <f>IF('01_Вводные'!$B$234="Да",IF(OR('06_Сеть_и_дети'!M97=0,17&lt;='01_Вводные'!$B$297),0,'06_Сеть_и_дети'!M97*IF('01_Вводные'!$B$239="Да",MeanMinAge17+'19_Расчет_аналитики'!M4607*SUMIF(ThresholdAge17,"&lt;"&amp;'19_Расчет_аналитики'!M4607,WeightedRevAge17)-SUMIF(ThresholdAge17,"&lt;"&amp;'19_Расчет_аналитики'!M4607,WeightedMinAge17),MAX(CapacityAge17*'01_Вводные'!$B$218*'19_Расчет_аналитики'!M4607,MeanMinAge17))),0)</f>
        <v/>
      </c>
      <c r="N4528">
        <f>IF('01_Вводные'!$B$234="Да",IF(OR('06_Сеть_и_дети'!N97=0,17&lt;='01_Вводные'!$B$297),0,'06_Сеть_и_дети'!N97*IF('01_Вводные'!$B$239="Да",MeanMinAge17+'19_Расчет_аналитики'!N4607*SUMIF(ThresholdAge17,"&lt;"&amp;'19_Расчет_аналитики'!N4607,WeightedRevAge17)-SUMIF(ThresholdAge17,"&lt;"&amp;'19_Расчет_аналитики'!N4607,WeightedMinAge17),MAX(CapacityAge17*'01_Вводные'!$B$218*'19_Расчет_аналитики'!N4607,MeanMinAge17))),0)</f>
        <v/>
      </c>
      <c r="O4528">
        <f>IF('01_Вводные'!$B$234="Да",IF(OR('06_Сеть_и_дети'!O97=0,17&lt;='01_Вводные'!$B$297),0,'06_Сеть_и_дети'!O97*IF('01_Вводные'!$B$239="Да",MeanMinAge17+'19_Расчет_аналитики'!O4607*SUMIF(ThresholdAge17,"&lt;"&amp;'19_Расчет_аналитики'!O4607,WeightedRevAge17)-SUMIF(ThresholdAge17,"&lt;"&amp;'19_Расчет_аналитики'!O4607,WeightedMinAge17),MAX(CapacityAge17*'01_Вводные'!$B$218*'19_Расчет_аналитики'!O4607,MeanMinAge17))),0)</f>
        <v/>
      </c>
      <c r="P4528">
        <f>IF('01_Вводные'!$B$234="Да",IF(OR('06_Сеть_и_дети'!P97=0,17&lt;='01_Вводные'!$B$297),0,'06_Сеть_и_дети'!P97*IF('01_Вводные'!$B$239="Да",MeanMinAge17+'19_Расчет_аналитики'!P4607*SUMIF(ThresholdAge17,"&lt;"&amp;'19_Расчет_аналитики'!P4607,WeightedRevAge17)-SUMIF(ThresholdAge17,"&lt;"&amp;'19_Расчет_аналитики'!P4607,WeightedMinAge17),MAX(CapacityAge17*'01_Вводные'!$B$218*'19_Расчет_аналитики'!P4607,MeanMinAge17))),0)</f>
        <v/>
      </c>
      <c r="Q4528">
        <f>IF('01_Вводные'!$B$234="Да",IF(OR('06_Сеть_и_дети'!Q97=0,17&lt;='01_Вводные'!$B$297),0,'06_Сеть_и_дети'!Q97*IF('01_Вводные'!$B$239="Да",MeanMinAge17+'19_Расчет_аналитики'!Q4607*SUMIF(ThresholdAge17,"&lt;"&amp;'19_Расчет_аналитики'!Q4607,WeightedRevAge17)-SUMIF(ThresholdAge17,"&lt;"&amp;'19_Расчет_аналитики'!Q4607,WeightedMinAge17),MAX(CapacityAge17*'01_Вводные'!$B$218*'19_Расчет_аналитики'!Q4607,MeanMinAge17))),0)</f>
        <v/>
      </c>
      <c r="R4528">
        <f>IF('01_Вводные'!$B$234="Да",IF(OR('19_Расчет_аналитики'!R4500=0,17&lt;='01_Вводные'!$B$297),0,'19_Расчет_аналитики'!R4500*IF('01_Вводные'!$B$239="Да",MeanMinAge17+'19_Расчет_аналитики'!R4607*SUMIF(ThresholdAge17,"&lt;"&amp;'19_Расчет_аналитики'!R4607,WeightedRevAge17)-SUMIF(ThresholdAge17,"&lt;"&amp;'19_Расчет_аналитики'!R4607,WeightedMinAge17),MAX(CapacityAge17*'01_Вводные'!$B$218*'19_Расчет_аналитики'!R4607,MeanMinAge17))),0)</f>
        <v/>
      </c>
      <c r="S4528">
        <f>IF('01_Вводные'!$B$234="Да",IF(OR('19_Расчет_аналитики'!S4500=0,17&lt;='01_Вводные'!$B$297),0,'19_Расчет_аналитики'!S4500*IF('01_Вводные'!$B$239="Да",MeanMinAge17+'19_Расчет_аналитики'!S4607*SUMIF(ThresholdAge17,"&lt;"&amp;'19_Расчет_аналитики'!S4607,WeightedRevAge17)-SUMIF(ThresholdAge17,"&lt;"&amp;'19_Расчет_аналитики'!S4607,WeightedMinAge17),MAX(CapacityAge17*'01_Вводные'!$B$218*'19_Расчет_аналитики'!S4607,MeanMinAge17))),0)</f>
        <v/>
      </c>
      <c r="T4528">
        <f>IF('01_Вводные'!$B$234="Да",IF(OR('19_Расчет_аналитики'!T4500=0,17&lt;='01_Вводные'!$B$297),0,'19_Расчет_аналитики'!T4500*IF('01_Вводные'!$B$239="Да",MeanMinAge17+'19_Расчет_аналитики'!T4607*SUMIF(ThresholdAge17,"&lt;"&amp;'19_Расчет_аналитики'!T4607,WeightedRevAge17)-SUMIF(ThresholdAge17,"&lt;"&amp;'19_Расчет_аналитики'!T4607,WeightedMinAge17),MAX(CapacityAge17*'01_Вводные'!$B$218*'19_Расчет_аналитики'!T4607,MeanMinAge17))),0)</f>
        <v/>
      </c>
      <c r="U4528">
        <f>IF('01_Вводные'!$B$234="Да",IF(OR('19_Расчет_аналитики'!U4500=0,17&lt;='01_Вводные'!$B$297),0,'19_Расчет_аналитики'!U4500*IF('01_Вводные'!$B$239="Да",MeanMinAge17+'19_Расчет_аналитики'!U4607*SUMIF(ThresholdAge17,"&lt;"&amp;'19_Расчет_аналитики'!U4607,WeightedRevAge17)-SUMIF(ThresholdAge17,"&lt;"&amp;'19_Расчет_аналитики'!U4607,WeightedMinAge17),MAX(CapacityAge17*'01_Вводные'!$B$218*'19_Расчет_аналитики'!U4607,MeanMinAge17))),0)</f>
        <v/>
      </c>
      <c r="V4528">
        <f>IF('01_Вводные'!$B$234="Да",IF(OR('19_Расчет_аналитики'!V4500=0,17&lt;='01_Вводные'!$B$297),0,'19_Расчет_аналитики'!V4500*IF('01_Вводные'!$B$239="Да",MeanMinAge17+'19_Расчет_аналитики'!V4607*SUMIF(ThresholdAge17,"&lt;"&amp;'19_Расчет_аналитики'!V4607,WeightedRevAge17)-SUMIF(ThresholdAge17,"&lt;"&amp;'19_Расчет_аналитики'!V4607,WeightedMinAge17),MAX(CapacityAge17*'01_Вводные'!$B$218*'19_Расчет_аналитики'!V4607,MeanMinAge17))),0)</f>
        <v/>
      </c>
      <c r="W4528">
        <f>IF('01_Вводные'!$B$234="Да",IF(OR('19_Расчет_аналитики'!W4500=0,17&lt;='01_Вводные'!$B$297),0,'19_Расчет_аналитики'!W4500*IF('01_Вводные'!$B$239="Да",MeanMinAge17+'19_Расчет_аналитики'!W4607*SUMIF(ThresholdAge17,"&lt;"&amp;'19_Расчет_аналитики'!W4607,WeightedRevAge17)-SUMIF(ThresholdAge17,"&lt;"&amp;'19_Расчет_аналитики'!W4607,WeightedMinAge17),MAX(CapacityAge17*'01_Вводные'!$B$218*'19_Расчет_аналитики'!W4607,MeanMinAge17))),0)</f>
        <v/>
      </c>
      <c r="X4528">
        <f>IF('01_Вводные'!$B$234="Да",IF(OR('19_Расчет_аналитики'!X4500=0,17&lt;='01_Вводные'!$B$297),0,'19_Расчет_аналитики'!X4500*IF('01_Вводные'!$B$239="Да",MeanMinAge17+'19_Расчет_аналитики'!X4607*SUMIF(ThresholdAge17,"&lt;"&amp;'19_Расчет_аналитики'!X4607,WeightedRevAge17)-SUMIF(ThresholdAge17,"&lt;"&amp;'19_Расчет_аналитики'!X4607,WeightedMinAge17),MAX(CapacityAge17*'01_Вводные'!$B$218*'19_Расчет_аналитики'!X4607,MeanMinAge17))),0)</f>
        <v/>
      </c>
      <c r="Y4528">
        <f>IF('01_Вводные'!$B$234="Да",IF(OR('19_Расчет_аналитики'!Y4500=0,17&lt;='01_Вводные'!$B$297),0,'19_Расчет_аналитики'!Y4500*IF('01_Вводные'!$B$239="Да",MeanMinAge17+'19_Расчет_аналитики'!Y4607*SUMIF(ThresholdAge17,"&lt;"&amp;'19_Расчет_аналитики'!Y4607,WeightedRevAge17)-SUMIF(ThresholdAge17,"&lt;"&amp;'19_Расчет_аналитики'!Y4607,WeightedMinAge17),MAX(CapacityAge17*'01_Вводные'!$B$218*'19_Расчет_аналитики'!Y4607,MeanMinAge17))),0)</f>
        <v/>
      </c>
      <c r="Z4528">
        <f>IF('01_Вводные'!$B$234="Да",IF(OR('19_Расчет_аналитики'!Z4500=0,17&lt;='01_Вводные'!$B$297),0,'19_Расчет_аналитики'!Z4500*IF('01_Вводные'!$B$239="Да",MeanMinAge17+'19_Расчет_аналитики'!Z4607*SUMIF(ThresholdAge17,"&lt;"&amp;'19_Расчет_аналитики'!Z4607,WeightedRevAge17)-SUMIF(ThresholdAge17,"&lt;"&amp;'19_Расчет_аналитики'!Z4607,WeightedMinAge17),MAX(CapacityAge17*'01_Вводные'!$B$218*'19_Расчет_аналитики'!Z4607,MeanMinAge17))),0)</f>
        <v/>
      </c>
      <c r="AA4528">
        <f>IF('01_Вводные'!$B$234="Да",IF(OR('19_Расчет_аналитики'!AA4500=0,17&lt;='01_Вводные'!$B$297),0,'19_Расчет_аналитики'!AA4500*IF('01_Вводные'!$B$239="Да",MeanMinAge17+'19_Расчет_аналитики'!AA4607*SUMIF(ThresholdAge17,"&lt;"&amp;'19_Расчет_аналитики'!AA4607,WeightedRevAge17)-SUMIF(ThresholdAge17,"&lt;"&amp;'19_Расчет_аналитики'!AA4607,WeightedMinAge17),MAX(CapacityAge17*'01_Вводные'!$B$218*'19_Расчет_аналитики'!AA4607,MeanMinAge17))),0)</f>
        <v/>
      </c>
      <c r="AB4528">
        <f>IF('01_Вводные'!$B$234="Да",IF(OR('19_Расчет_аналитики'!AB4500=0,17&lt;='01_Вводные'!$B$297),0,'19_Расчет_аналитики'!AB4500*IF('01_Вводные'!$B$239="Да",MeanMinAge17+'19_Расчет_аналитики'!AB4607*SUMIF(ThresholdAge17,"&lt;"&amp;'19_Расчет_аналитики'!AB4607,WeightedRevAge17)-SUMIF(ThresholdAge17,"&lt;"&amp;'19_Расчет_аналитики'!AB4607,WeightedMinAge17),MAX(CapacityAge17*'01_Вводные'!$B$218*'19_Расчет_аналитики'!AB4607,MeanMinAge17))),0)</f>
        <v/>
      </c>
      <c r="AC4528">
        <f>IF('01_Вводные'!$B$234="Да",IF(OR('19_Расчет_аналитики'!AC4500=0,17&lt;='01_Вводные'!$B$297),0,'19_Расчет_аналитики'!AC4500*IF('01_Вводные'!$B$239="Да",MeanMinAge17+'19_Расчет_аналитики'!AC4607*SUMIF(ThresholdAge17,"&lt;"&amp;'19_Расчет_аналитики'!AC4607,WeightedRevAge17)-SUMIF(ThresholdAge17,"&lt;"&amp;'19_Расчет_аналитики'!AC4607,WeightedMinAge17),MAX(CapacityAge17*'01_Вводные'!$B$218*'19_Расчет_аналитики'!AC4607,MeanMinAge17))),0)</f>
        <v/>
      </c>
      <c r="AD4528">
        <f>IF('01_Вводные'!$B$234="Да",IF(OR('19_Расчет_аналитики'!AD4500=0,17&lt;='01_Вводные'!$B$297),0,'19_Расчет_аналитики'!AD4500*IF('01_Вводные'!$B$239="Да",MeanMinAge17+'19_Расчет_аналитики'!AD4607*SUMIF(ThresholdAge17,"&lt;"&amp;'19_Расчет_аналитики'!AD4607,WeightedRevAge17)-SUMIF(ThresholdAge17,"&lt;"&amp;'19_Расчет_аналитики'!AD4607,WeightedMinAge17),MAX(CapacityAge17*'01_Вводные'!$B$218*'19_Расчет_аналитики'!AD4607,MeanMinAge17))),0)</f>
        <v/>
      </c>
      <c r="AE4528">
        <f>IF('01_Вводные'!$B$234="Да",IF(OR('19_Расчет_аналитики'!AE4500=0,17&lt;='01_Вводные'!$B$297),0,'19_Расчет_аналитики'!AE4500*IF('01_Вводные'!$B$239="Да",MeanMinAge17+'19_Расчет_аналитики'!AE4607*SUMIF(ThresholdAge17,"&lt;"&amp;'19_Расчет_аналитики'!AE4607,WeightedRevAge17)-SUMIF(ThresholdAge17,"&lt;"&amp;'19_Расчет_аналитики'!AE4607,WeightedMinAge17),MAX(CapacityAge17*'01_Вводные'!$B$218*'19_Расчет_аналитики'!AE4607,MeanMinAge17))),0)</f>
        <v/>
      </c>
      <c r="AF4528">
        <f>IF('01_Вводные'!$B$234="Да",IF(OR('19_Расчет_аналитики'!AF4500=0,17&lt;='01_Вводные'!$B$297),0,'19_Расчет_аналитики'!AF4500*IF('01_Вводные'!$B$239="Да",MeanMinAge17+'19_Расчет_аналитики'!AF4607*SUMIF(ThresholdAge17,"&lt;"&amp;'19_Расчет_аналитики'!AF4607,WeightedRevAge17)-SUMIF(ThresholdAge17,"&lt;"&amp;'19_Расчет_аналитики'!AF4607,WeightedMinAge17),MAX(CapacityAge17*'01_Вводные'!$B$218*'19_Расчет_аналитики'!AF4607,MeanMinAge17))),0)</f>
        <v/>
      </c>
      <c r="AG4528">
        <f>IF('01_Вводные'!$B$234="Да",IF(OR('19_Расчет_аналитики'!AG4500=0,17&lt;='01_Вводные'!$B$297),0,'19_Расчет_аналитики'!AG4500*IF('01_Вводные'!$B$239="Да",MeanMinAge17+'19_Расчет_аналитики'!AG4607*SUMIF(ThresholdAge17,"&lt;"&amp;'19_Расчет_аналитики'!AG4607,WeightedRevAge17)-SUMIF(ThresholdAge17,"&lt;"&amp;'19_Расчет_аналитики'!AG4607,WeightedMinAge17),MAX(CapacityAge17*'01_Вводные'!$B$218*'19_Расчет_аналитики'!AG4607,MeanMinAge17))),0)</f>
        <v/>
      </c>
      <c r="AH4528">
        <f>IF('01_Вводные'!$B$234="Да",IF(OR('19_Расчет_аналитики'!AH4500=0,17&lt;='01_Вводные'!$B$297),0,'19_Расчет_аналитики'!AH4500*IF('01_Вводные'!$B$239="Да",MeanMinAge17+'19_Расчет_аналитики'!AH4607*SUMIF(ThresholdAge17,"&lt;"&amp;'19_Расчет_аналитики'!AH4607,WeightedRevAge17)-SUMIF(ThresholdAge17,"&lt;"&amp;'19_Расчет_аналитики'!AH4607,WeightedMinAge17),MAX(CapacityAge17*'01_Вводные'!$B$218*'19_Расчет_аналитики'!AH4607,MeanMinAge17))),0)</f>
        <v/>
      </c>
      <c r="AI4528">
        <f>IF('01_Вводные'!$B$234="Да",IF(OR('19_Расчет_аналитики'!AI4500=0,17&lt;='01_Вводные'!$B$297),0,'19_Расчет_аналитики'!AI4500*IF('01_Вводные'!$B$239="Да",MeanMinAge17+'19_Расчет_аналитики'!AI4607*SUMIF(ThresholdAge17,"&lt;"&amp;'19_Расчет_аналитики'!AI4607,WeightedRevAge17)-SUMIF(ThresholdAge17,"&lt;"&amp;'19_Расчет_аналитики'!AI4607,WeightedMinAge17),MAX(CapacityAge17*'01_Вводные'!$B$218*'19_Расчет_аналитики'!AI4607,MeanMinAge17))),0)</f>
        <v/>
      </c>
      <c r="AJ4528">
        <f>IF('01_Вводные'!$B$234="Да",IF(OR('19_Расчет_аналитики'!AJ4500=0,17&lt;='01_Вводные'!$B$297),0,'19_Расчет_аналитики'!AJ4500*IF('01_Вводные'!$B$239="Да",MeanMinAge17+'19_Расчет_аналитики'!AJ4607*SUMIF(ThresholdAge17,"&lt;"&amp;'19_Расчет_аналитики'!AJ4607,WeightedRevAge17)-SUMIF(ThresholdAge17,"&lt;"&amp;'19_Расчет_аналитики'!AJ4607,WeightedMinAge17),MAX(CapacityAge17*'01_Вводные'!$B$218*'19_Расчет_аналитики'!AJ4607,MeanMinAge17))),0)</f>
        <v/>
      </c>
      <c r="AK4528">
        <f>IF('01_Вводные'!$B$234="Да",IF(OR('19_Расчет_аналитики'!AK4500=0,17&lt;='01_Вводные'!$B$297),0,'19_Расчет_аналитики'!AK4500*IF('01_Вводные'!$B$239="Да",MeanMinAge17+'19_Расчет_аналитики'!AK4607*SUMIF(ThresholdAge17,"&lt;"&amp;'19_Расчет_аналитики'!AK4607,WeightedRevAge17)-SUMIF(ThresholdAge17,"&lt;"&amp;'19_Расчет_аналитики'!AK4607,WeightedMinAge17),MAX(CapacityAge17*'01_Вводные'!$B$218*'19_Расчет_аналитики'!AK4607,MeanMinAge17))),0)</f>
        <v/>
      </c>
      <c r="AL4528">
        <f>IF('01_Вводные'!$B$234="Да",IF(OR('19_Расчет_аналитики'!AL4500=0,17&lt;='01_Вводные'!$B$297),0,'19_Расчет_аналитики'!AL4500*IF('01_Вводные'!$B$239="Да",MeanMinAge17+'19_Расчет_аналитики'!AL4607*SUMIF(ThresholdAge17,"&lt;"&amp;'19_Расчет_аналитики'!AL4607,WeightedRevAge17)-SUMIF(ThresholdAge17,"&lt;"&amp;'19_Расчет_аналитики'!AL4607,WeightedMinAge17),MAX(CapacityAge17*'01_Вводные'!$B$218*'19_Расчет_аналитики'!AL4607,MeanMinAge17))),0)</f>
        <v/>
      </c>
      <c r="AM4528">
        <f>IF('01_Вводные'!$B$234="Да",IF(OR('19_Расчет_аналитики'!AM4500=0,17&lt;='01_Вводные'!$B$297),0,'19_Расчет_аналитики'!AM4500*IF('01_Вводные'!$B$239="Да",MeanMinAge17+'19_Расчет_аналитики'!AM4607*SUMIF(ThresholdAge17,"&lt;"&amp;'19_Расчет_аналитики'!AM4607,WeightedRevAge17)-SUMIF(ThresholdAge17,"&lt;"&amp;'19_Расчет_аналитики'!AM4607,WeightedMinAge17),MAX(CapacityAge17*'01_Вводные'!$B$218*'19_Расчет_аналитики'!AM4607,MeanMinAge17))),0)</f>
        <v/>
      </c>
      <c r="AN4528">
        <f>IF('01_Вводные'!$B$234="Да",IF(OR('19_Расчет_аналитики'!AN4500=0,17&lt;='01_Вводные'!$B$297),0,'19_Расчет_аналитики'!AN4500*IF('01_Вводные'!$B$239="Да",MeanMinAge17+'19_Расчет_аналитики'!AN4607*SUMIF(ThresholdAge17,"&lt;"&amp;'19_Расчет_аналитики'!AN4607,WeightedRevAge17)-SUMIF(ThresholdAge17,"&lt;"&amp;'19_Расчет_аналитики'!AN4607,WeightedMinAge17),MAX(CapacityAge17*'01_Вводные'!$B$218*'19_Расчет_аналитики'!AN4607,MeanMinAge17))),0)</f>
        <v/>
      </c>
      <c r="AO4528">
        <f>IF('01_Вводные'!$B$234="Да",IF(OR('19_Расчет_аналитики'!AO4500=0,17&lt;='01_Вводные'!$B$297),0,'19_Расчет_аналитики'!AO4500*IF('01_Вводные'!$B$239="Да",MeanMinAge17+'19_Расчет_аналитики'!AO4607*SUMIF(ThresholdAge17,"&lt;"&amp;'19_Расчет_аналитики'!AO4607,WeightedRevAge17)-SUMIF(ThresholdAge17,"&lt;"&amp;'19_Расчет_аналитики'!AO4607,WeightedMinAge17),MAX(CapacityAge17*'01_Вводные'!$B$218*'19_Расчет_аналитики'!AO4607,MeanMinAge17))),0)</f>
        <v/>
      </c>
      <c r="AP4528">
        <f>IF('01_Вводные'!$B$234="Да",IF(OR('19_Расчет_аналитики'!AP4500=0,17&lt;='01_Вводные'!$B$297),0,'19_Расчет_аналитики'!AP4500*IF('01_Вводные'!$B$239="Да",MeanMinAge17+'19_Расчет_аналитики'!AP4607*SUMIF(ThresholdAge17,"&lt;"&amp;'19_Расчет_аналитики'!AP4607,WeightedRevAge17)-SUMIF(ThresholdAge17,"&lt;"&amp;'19_Расчет_аналитики'!AP4607,WeightedMinAge17),MAX(CapacityAge17*'01_Вводные'!$B$218*'19_Расчет_аналитики'!AP4607,MeanMinAge17))),0)</f>
        <v/>
      </c>
      <c r="AQ4528">
        <f>IF('01_Вводные'!$B$234="Да",IF(OR('19_Расчет_аналитики'!AQ4500=0,17&lt;='01_Вводные'!$B$297),0,'19_Расчет_аналитики'!AQ4500*IF('01_Вводные'!$B$239="Да",MeanMinAge17+'19_Расчет_аналитики'!AQ4607*SUMIF(ThresholdAge17,"&lt;"&amp;'19_Расчет_аналитики'!AQ4607,WeightedRevAge17)-SUMIF(ThresholdAge17,"&lt;"&amp;'19_Расчет_аналитики'!AQ4607,WeightedMinAge17),MAX(CapacityAge17*'01_Вводные'!$B$218*'19_Расчет_аналитики'!AQ4607,MeanMinAge17))),0)</f>
        <v/>
      </c>
      <c r="AR4528">
        <f>IF('01_Вводные'!$B$234="Да",IF(OR('19_Расчет_аналитики'!AR4500=0,17&lt;='01_Вводные'!$B$297),0,'19_Расчет_аналитики'!AR4500*IF('01_Вводные'!$B$239="Да",MeanMinAge17+'19_Расчет_аналитики'!AR4607*SUMIF(ThresholdAge17,"&lt;"&amp;'19_Расчет_аналитики'!AR4607,WeightedRevAge17)-SUMIF(ThresholdAge17,"&lt;"&amp;'19_Расчет_аналитики'!AR4607,WeightedMinAge17),MAX(CapacityAge17*'01_Вводные'!$B$218*'19_Расчет_аналитики'!AR4607,MeanMinAge17))),0)</f>
        <v/>
      </c>
      <c r="AS4528">
        <f>IF('01_Вводные'!$B$234="Да",IF(OR('19_Расчет_аналитики'!AS4500=0,17&lt;='01_Вводные'!$B$297),0,'19_Расчет_аналитики'!AS4500*IF('01_Вводные'!$B$239="Да",MeanMinAge17+'19_Расчет_аналитики'!AS4607*SUMIF(ThresholdAge17,"&lt;"&amp;'19_Расчет_аналитики'!AS4607,WeightedRevAge17)-SUMIF(ThresholdAge17,"&lt;"&amp;'19_Расчет_аналитики'!AS4607,WeightedMinAge17),MAX(CapacityAge17*'01_Вводные'!$B$218*'19_Расчет_аналитики'!AS4607,MeanMinAge17))),0)</f>
        <v/>
      </c>
      <c r="AT4528">
        <f>IF('01_Вводные'!$B$234="Да",IF(OR('19_Расчет_аналитики'!AT4500=0,17&lt;='01_Вводные'!$B$297),0,'19_Расчет_аналитики'!AT4500*IF('01_Вводные'!$B$239="Да",MeanMinAge17+'19_Расчет_аналитики'!AT4607*SUMIF(ThresholdAge17,"&lt;"&amp;'19_Расчет_аналитики'!AT4607,WeightedRevAge17)-SUMIF(ThresholdAge17,"&lt;"&amp;'19_Расчет_аналитики'!AT4607,WeightedMinAge17),MAX(CapacityAge17*'01_Вводные'!$B$218*'19_Расчет_аналитики'!AT4607,MeanMinAge17))),0)</f>
        <v/>
      </c>
      <c r="AU4528">
        <f>IF('01_Вводные'!$B$234="Да",IF(OR('19_Расчет_аналитики'!AU4500=0,17&lt;='01_Вводные'!$B$297),0,'19_Расчет_аналитики'!AU4500*IF('01_Вводные'!$B$239="Да",MeanMinAge17+'19_Расчет_аналитики'!AU4607*SUMIF(ThresholdAge17,"&lt;"&amp;'19_Расчет_аналитики'!AU4607,WeightedRevAge17)-SUMIF(ThresholdAge17,"&lt;"&amp;'19_Расчет_аналитики'!AU4607,WeightedMinAge17),MAX(CapacityAge17*'01_Вводные'!$B$218*'19_Расчет_аналитики'!AU4607,MeanMinAge17))),0)</f>
        <v/>
      </c>
      <c r="AV4528">
        <f>IF('01_Вводные'!$B$234="Да",IF(OR('19_Расчет_аналитики'!AV4500=0,17&lt;='01_Вводные'!$B$297),0,'19_Расчет_аналитики'!AV4500*IF('01_Вводные'!$B$239="Да",MeanMinAge17+'19_Расчет_аналитики'!AV4607*SUMIF(ThresholdAge17,"&lt;"&amp;'19_Расчет_аналитики'!AV4607,WeightedRevAge17)-SUMIF(ThresholdAge17,"&lt;"&amp;'19_Расчет_аналитики'!AV4607,WeightedMinAge17),MAX(CapacityAge17*'01_Вводные'!$B$218*'19_Расчет_аналитики'!AV4607,MeanMinAge17))),0)</f>
        <v/>
      </c>
      <c r="AW4528">
        <f>IF('01_Вводные'!$B$234="Да",IF(OR('19_Расчет_аналитики'!AW4500=0,17&lt;='01_Вводные'!$B$297),0,'19_Расчет_аналитики'!AW4500*IF('01_Вводные'!$B$239="Да",MeanMinAge17+'19_Расчет_аналитики'!AW4607*SUMIF(ThresholdAge17,"&lt;"&amp;'19_Расчет_аналитики'!AW4607,WeightedRevAge17)-SUMIF(ThresholdAge17,"&lt;"&amp;'19_Расчет_аналитики'!AW4607,WeightedMinAge17),MAX(CapacityAge17*'01_Вводные'!$B$218*'19_Расчет_аналитики'!AW4607,MeanMinAge17))),0)</f>
        <v/>
      </c>
      <c r="AX4528">
        <f>IF('01_Вводные'!$B$234="Да",IF(OR('19_Расчет_аналитики'!AX4500=0,17&lt;='01_Вводные'!$B$297),0,'19_Расчет_аналитики'!AX4500*IF('01_Вводные'!$B$239="Да",MeanMinAge17+'19_Расчет_аналитики'!AX4607*SUMIF(ThresholdAge17,"&lt;"&amp;'19_Расчет_аналитики'!AX4607,WeightedRevAge17)-SUMIF(ThresholdAge17,"&lt;"&amp;'19_Расчет_аналитики'!AX4607,WeightedMinAge17),MAX(CapacityAge17*'01_Вводные'!$B$218*'19_Расчет_аналитики'!AX4607,MeanMinAge17))),0)</f>
        <v/>
      </c>
      <c r="AY4528">
        <f>IF('01_Вводные'!$B$234="Да",IF(OR('19_Расчет_аналитики'!AY4500=0,17&lt;='01_Вводные'!$B$297),0,'19_Расчет_аналитики'!AY4500*IF('01_Вводные'!$B$239="Да",MeanMinAge17+'19_Расчет_аналитики'!AY4607*SUMIF(ThresholdAge17,"&lt;"&amp;'19_Расчет_аналитики'!AY4607,WeightedRevAge17)-SUMIF(ThresholdAge17,"&lt;"&amp;'19_Расчет_аналитики'!AY4607,WeightedMinAge17),MAX(CapacityAge17*'01_Вводные'!$B$218*'19_Расчет_аналитики'!AY4607,MeanMinAge17))),0)</f>
        <v/>
      </c>
      <c r="AZ4528">
        <f>IF('01_Вводные'!$B$234="Да",IF(OR('19_Расчет_аналитики'!AZ4500=0,17&lt;='01_Вводные'!$B$297),0,'19_Расчет_аналитики'!AZ4500*IF('01_Вводные'!$B$239="Да",MeanMinAge17+'19_Расчет_аналитики'!AZ4607*SUMIF(ThresholdAge17,"&lt;"&amp;'19_Расчет_аналитики'!AZ4607,WeightedRevAge17)-SUMIF(ThresholdAge17,"&lt;"&amp;'19_Расчет_аналитики'!AZ4607,WeightedMinAge17),MAX(CapacityAge17*'01_Вводные'!$B$218*'19_Расчет_аналитики'!AZ4607,MeanMinAge17))),0)</f>
        <v/>
      </c>
      <c r="BA4528">
        <f>IF('01_Вводные'!$B$234="Да",IF(OR('19_Расчет_аналитики'!BA4500=0,17&lt;='01_Вводные'!$B$297),0,'19_Расчет_аналитики'!BA4500*IF('01_Вводные'!$B$239="Да",MeanMinAge17+'19_Расчет_аналитики'!BA4607*SUMIF(ThresholdAge17,"&lt;"&amp;'19_Расчет_аналитики'!BA4607,WeightedRevAge17)-SUMIF(ThresholdAge17,"&lt;"&amp;'19_Расчет_аналитики'!BA4607,WeightedMinAge17),MAX(CapacityAge17*'01_Вводные'!$B$218*'19_Расчет_аналитики'!BA4607,MeanMinAge17))),0)</f>
        <v/>
      </c>
      <c r="BB4528">
        <f>IF('01_Вводные'!$B$234="Да",IF(OR('19_Расчет_аналитики'!BB4500=0,17&lt;='01_Вводные'!$B$297),0,'19_Расчет_аналитики'!BB4500*IF('01_Вводные'!$B$239="Да",MeanMinAge17+'19_Расчет_аналитики'!BB4607*SUMIF(ThresholdAge17,"&lt;"&amp;'19_Расчет_аналитики'!BB4607,WeightedRevAge17)-SUMIF(ThresholdAge17,"&lt;"&amp;'19_Расчет_аналитики'!BB4607,WeightedMinAge17),MAX(CapacityAge17*'01_Вводные'!$B$218*'19_Расчет_аналитики'!BB4607,MeanMinAge17))),0)</f>
        <v/>
      </c>
      <c r="BC4528">
        <f>IF('01_Вводные'!$B$234="Да",IF(OR('19_Расчет_аналитики'!BC4500=0,17&lt;='01_Вводные'!$B$297),0,'19_Расчет_аналитики'!BC4500*IF('01_Вводные'!$B$239="Да",MeanMinAge17+'19_Расчет_аналитики'!BC4607*SUMIF(ThresholdAge17,"&lt;"&amp;'19_Расчет_аналитики'!BC4607,WeightedRevAge17)-SUMIF(ThresholdAge17,"&lt;"&amp;'19_Расчет_аналитики'!BC4607,WeightedMinAge17),MAX(CapacityAge17*'01_Вводные'!$B$218*'19_Расчет_аналитики'!BC4607,MeanMinAge17))),0)</f>
        <v/>
      </c>
      <c r="BD4528">
        <f>IF('01_Вводные'!$B$234="Да",IF(OR('19_Расчет_аналитики'!BD4500=0,17&lt;='01_Вводные'!$B$297),0,'19_Расчет_аналитики'!BD4500*IF('01_Вводные'!$B$239="Да",MeanMinAge17+'19_Расчет_аналитики'!BD4607*SUMIF(ThresholdAge17,"&lt;"&amp;'19_Расчет_аналитики'!BD4607,WeightedRevAge17)-SUMIF(ThresholdAge17,"&lt;"&amp;'19_Расчет_аналитики'!BD4607,WeightedMinAge17),MAX(CapacityAge17*'01_Вводные'!$B$218*'19_Расчет_аналитики'!BD4607,MeanMinAge17))),0)</f>
        <v/>
      </c>
      <c r="BE4528">
        <f>IF('01_Вводные'!$B$234="Да",IF(OR('19_Расчет_аналитики'!BE4500=0,17&lt;='01_Вводные'!$B$297),0,'19_Расчет_аналитики'!BE4500*IF('01_Вводные'!$B$239="Да",MeanMinAge17+'19_Расчет_аналитики'!BE4607*SUMIF(ThresholdAge17,"&lt;"&amp;'19_Расчет_аналитики'!BE4607,WeightedRevAge17)-SUMIF(ThresholdAge17,"&lt;"&amp;'19_Расчет_аналитики'!BE4607,WeightedMinAge17),MAX(CapacityAge17*'01_Вводные'!$B$218*'19_Расчет_аналитики'!BE4607,MeanMinAge17))),0)</f>
        <v/>
      </c>
      <c r="BF4528">
        <f>IF('01_Вводные'!$B$234="Да",IF(OR('19_Расчет_аналитики'!BF4500=0,17&lt;='01_Вводные'!$B$297),0,'19_Расчет_аналитики'!BF4500*IF('01_Вводные'!$B$239="Да",MeanMinAge17+'19_Расчет_аналитики'!BF4607*SUMIF(ThresholdAge17,"&lt;"&amp;'19_Расчет_аналитики'!BF4607,WeightedRevAge17)-SUMIF(ThresholdAge17,"&lt;"&amp;'19_Расчет_аналитики'!BF4607,WeightedMinAge17),MAX(CapacityAge17*'01_Вводные'!$B$218*'19_Расчет_аналитики'!BF4607,MeanMinAge17))),0)</f>
        <v/>
      </c>
      <c r="BG4528">
        <f>IF('01_Вводные'!$B$234="Да",IF(OR('19_Расчет_аналитики'!BG4500=0,17&lt;='01_Вводные'!$B$297),0,'19_Расчет_аналитики'!BG4500*IF('01_Вводные'!$B$239="Да",MeanMinAge17+'19_Расчет_аналитики'!BG4607*SUMIF(ThresholdAge17,"&lt;"&amp;'19_Расчет_аналитики'!BG4607,WeightedRevAge17)-SUMIF(ThresholdAge17,"&lt;"&amp;'19_Расчет_аналитики'!BG4607,WeightedMinAge17),MAX(CapacityAge17*'01_Вводные'!$B$218*'19_Расчет_аналитики'!BG4607,MeanMinAge17))),0)</f>
        <v/>
      </c>
      <c r="BH4528">
        <f>IF('01_Вводные'!$B$234="Да",IF(OR('19_Расчет_аналитики'!BH4500=0,17&lt;='01_Вводные'!$B$297),0,'19_Расчет_аналитики'!BH4500*IF('01_Вводные'!$B$239="Да",MeanMinAge17+'19_Расчет_аналитики'!BH4607*SUMIF(ThresholdAge17,"&lt;"&amp;'19_Расчет_аналитики'!BH4607,WeightedRevAge17)-SUMIF(ThresholdAge17,"&lt;"&amp;'19_Расчет_аналитики'!BH4607,WeightedMinAge17),MAX(CapacityAge17*'01_Вводные'!$B$218*'19_Расчет_аналитики'!BH4607,MeanMinAge17))),0)</f>
        <v/>
      </c>
      <c r="BI4528">
        <f>IF('01_Вводные'!$B$234="Да",IF(OR('19_Расчет_аналитики'!BI4500=0,17&lt;='01_Вводные'!$B$297),0,'19_Расчет_аналитики'!BI4500*IF('01_Вводные'!$B$239="Да",MeanMinAge17+'19_Расчет_аналитики'!BI4607*SUMIF(ThresholdAge17,"&lt;"&amp;'19_Расчет_аналитики'!BI4607,WeightedRevAge17)-SUMIF(ThresholdAge17,"&lt;"&amp;'19_Расчет_аналитики'!BI4607,WeightedMinAge17),MAX(CapacityAge17*'01_Вводные'!$B$218*'19_Расчет_аналитики'!BI4607,MeanMinAge17))),0)</f>
        <v/>
      </c>
      <c r="BJ4528">
        <f>IF('01_Вводные'!$B$234="Да",IF(OR('19_Расчет_аналитики'!BJ4500=0,17&lt;='01_Вводные'!$B$297),0,'19_Расчет_аналитики'!BJ4500*IF('01_Вводные'!$B$239="Да",MeanMinAge17+'19_Расчет_аналитики'!BJ4607*SUMIF(ThresholdAge17,"&lt;"&amp;'19_Расчет_аналитики'!BJ4607,WeightedRevAge17)-SUMIF(ThresholdAge17,"&lt;"&amp;'19_Расчет_аналитики'!BJ4607,WeightedMinAge17),MAX(CapacityAge17*'01_Вводные'!$B$218*'19_Расчет_аналитики'!BJ4607,MeanMinAge17))),0)</f>
        <v/>
      </c>
      <c r="BK4528">
        <f>IF('01_Вводные'!$B$234="Да",IF(OR('19_Расчет_аналитики'!BK4500=0,17&lt;='01_Вводные'!$B$297),0,'19_Расчет_аналитики'!BK4500*IF('01_Вводные'!$B$239="Да",MeanMinAge17+'19_Расчет_аналитики'!BK4607*SUMIF(ThresholdAge17,"&lt;"&amp;'19_Расчет_аналитики'!BK4607,WeightedRevAge17)-SUMIF(ThresholdAge17,"&lt;"&amp;'19_Расчет_аналитики'!BK4607,WeightedMinAge17),MAX(CapacityAge17*'01_Вводные'!$B$218*'19_Расчет_аналитики'!BK4607,MeanMinAge17))),0)</f>
        <v/>
      </c>
      <c r="BL4528">
        <f>IF('01_Вводные'!$B$234="Да",IF(OR('19_Расчет_аналитики'!BL4500=0,17&lt;='01_Вводные'!$B$297),0,'19_Расчет_аналитики'!BL4500*IF('01_Вводные'!$B$239="Да",MeanMinAge17+'19_Расчет_аналитики'!BL4607*SUMIF(ThresholdAge17,"&lt;"&amp;'19_Расчет_аналитики'!BL4607,WeightedRevAge17)-SUMIF(ThresholdAge17,"&lt;"&amp;'19_Расчет_аналитики'!BL4607,WeightedMinAge17),MAX(CapacityAge17*'01_Вводные'!$B$218*'19_Расчет_аналитики'!BL4607,MeanMinAge17))),0)</f>
        <v/>
      </c>
      <c r="BM4528">
        <f>IF('01_Вводные'!$B$234="Да",IF(OR('19_Расчет_аналитики'!BM4500=0,17&lt;='01_Вводные'!$B$297),0,'19_Расчет_аналитики'!BM4500*IF('01_Вводные'!$B$239="Да",MeanMinAge17+'19_Расчет_аналитики'!BM4607*SUMIF(ThresholdAge17,"&lt;"&amp;'19_Расчет_аналитики'!BM4607,WeightedRevAge17)-SUMIF(ThresholdAge17,"&lt;"&amp;'19_Расчет_аналитики'!BM4607,WeightedMinAge17),MAX(CapacityAge17*'01_Вводные'!$B$218*'19_Расчет_аналитики'!BM4607,MeanMinAge17))),0)</f>
        <v/>
      </c>
      <c r="BN4528">
        <f>IF('01_Вводные'!$B$234="Да",IF(OR('19_Расчет_аналитики'!BN4500=0,17&lt;='01_Вводные'!$B$297),0,'19_Расчет_аналитики'!BN4500*IF('01_Вводные'!$B$239="Да",MeanMinAge17+'19_Расчет_аналитики'!BN4607*SUMIF(ThresholdAge17,"&lt;"&amp;'19_Расчет_аналитики'!BN4607,WeightedRevAge17)-SUMIF(ThresholdAge17,"&lt;"&amp;'19_Расчет_аналитики'!BN4607,WeightedMinAge17),MAX(CapacityAge17*'01_Вводные'!$B$218*'19_Расчет_аналитики'!BN4607,MeanMinAge17))),0)</f>
        <v/>
      </c>
      <c r="BO4528">
        <f>IF('01_Вводные'!$B$234="Да",IF(OR('19_Расчет_аналитики'!BO4500=0,17&lt;='01_Вводные'!$B$297),0,'19_Расчет_аналитики'!BO4500*IF('01_Вводные'!$B$239="Да",MeanMinAge17+'19_Расчет_аналитики'!BO4607*SUMIF(ThresholdAge17,"&lt;"&amp;'19_Расчет_аналитики'!BO4607,WeightedRevAge17)-SUMIF(ThresholdAge17,"&lt;"&amp;'19_Расчет_аналитики'!BO4607,WeightedMinAge17),MAX(CapacityAge17*'01_Вводные'!$B$218*'19_Расчет_аналитики'!BO4607,MeanMinAge17))),0)</f>
        <v/>
      </c>
    </row>
    <row r="4529">
      <c r="B4529">
        <f>IF('01_Вводные'!$B$234="Да",IF(OR('06_Сеть_и_дети'!B98=0,18&lt;='01_Вводные'!$B$297),0,'06_Сеть_и_дети'!B98*IF('01_Вводные'!$B$239="Да",MeanMinAge18+'19_Расчет_аналитики'!B4607*SUMIF(ThresholdAge18,"&lt;"&amp;'19_Расчет_аналитики'!B4607,WeightedRevAge18)-SUMIF(ThresholdAge18,"&lt;"&amp;'19_Расчет_аналитики'!B4607,WeightedMinAge18),MAX(CapacityAge18*'01_Вводные'!$B$218*'19_Расчет_аналитики'!B4607,MeanMinAge18))),0)</f>
        <v/>
      </c>
      <c r="C4529">
        <f>IF('01_Вводные'!$B$234="Да",IF(OR('06_Сеть_и_дети'!C98=0,18&lt;='01_Вводные'!$B$297),0,'06_Сеть_и_дети'!C98*IF('01_Вводные'!$B$239="Да",MeanMinAge18+'19_Расчет_аналитики'!C4607*SUMIF(ThresholdAge18,"&lt;"&amp;'19_Расчет_аналитики'!C4607,WeightedRevAge18)-SUMIF(ThresholdAge18,"&lt;"&amp;'19_Расчет_аналитики'!C4607,WeightedMinAge18),MAX(CapacityAge18*'01_Вводные'!$B$218*'19_Расчет_аналитики'!C4607,MeanMinAge18))),0)</f>
        <v/>
      </c>
      <c r="D4529">
        <f>IF('01_Вводные'!$B$234="Да",IF(OR('06_Сеть_и_дети'!D98=0,18&lt;='01_Вводные'!$B$297),0,'06_Сеть_и_дети'!D98*IF('01_Вводные'!$B$239="Да",MeanMinAge18+'19_Расчет_аналитики'!D4607*SUMIF(ThresholdAge18,"&lt;"&amp;'19_Расчет_аналитики'!D4607,WeightedRevAge18)-SUMIF(ThresholdAge18,"&lt;"&amp;'19_Расчет_аналитики'!D4607,WeightedMinAge18),MAX(CapacityAge18*'01_Вводные'!$B$218*'19_Расчет_аналитики'!D4607,MeanMinAge18))),0)</f>
        <v/>
      </c>
      <c r="E4529">
        <f>IF('01_Вводные'!$B$234="Да",IF(OR('06_Сеть_и_дети'!E98=0,18&lt;='01_Вводные'!$B$297),0,'06_Сеть_и_дети'!E98*IF('01_Вводные'!$B$239="Да",MeanMinAge18+'19_Расчет_аналитики'!E4607*SUMIF(ThresholdAge18,"&lt;"&amp;'19_Расчет_аналитики'!E4607,WeightedRevAge18)-SUMIF(ThresholdAge18,"&lt;"&amp;'19_Расчет_аналитики'!E4607,WeightedMinAge18),MAX(CapacityAge18*'01_Вводные'!$B$218*'19_Расчет_аналитики'!E4607,MeanMinAge18))),0)</f>
        <v/>
      </c>
      <c r="F4529">
        <f>IF('01_Вводные'!$B$234="Да",IF(OR('06_Сеть_и_дети'!F98=0,18&lt;='01_Вводные'!$B$297),0,'06_Сеть_и_дети'!F98*IF('01_Вводные'!$B$239="Да",MeanMinAge18+'19_Расчет_аналитики'!F4607*SUMIF(ThresholdAge18,"&lt;"&amp;'19_Расчет_аналитики'!F4607,WeightedRevAge18)-SUMIF(ThresholdAge18,"&lt;"&amp;'19_Расчет_аналитики'!F4607,WeightedMinAge18),MAX(CapacityAge18*'01_Вводные'!$B$218*'19_Расчет_аналитики'!F4607,MeanMinAge18))),0)</f>
        <v/>
      </c>
      <c r="G4529">
        <f>IF('01_Вводные'!$B$234="Да",IF(OR('06_Сеть_и_дети'!G98=0,18&lt;='01_Вводные'!$B$297),0,'06_Сеть_и_дети'!G98*IF('01_Вводные'!$B$239="Да",MeanMinAge18+'19_Расчет_аналитики'!G4607*SUMIF(ThresholdAge18,"&lt;"&amp;'19_Расчет_аналитики'!G4607,WeightedRevAge18)-SUMIF(ThresholdAge18,"&lt;"&amp;'19_Расчет_аналитики'!G4607,WeightedMinAge18),MAX(CapacityAge18*'01_Вводные'!$B$218*'19_Расчет_аналитики'!G4607,MeanMinAge18))),0)</f>
        <v/>
      </c>
      <c r="H4529">
        <f>IF('01_Вводные'!$B$234="Да",IF(OR('06_Сеть_и_дети'!H98=0,18&lt;='01_Вводные'!$B$297),0,'06_Сеть_и_дети'!H98*IF('01_Вводные'!$B$239="Да",MeanMinAge18+'19_Расчет_аналитики'!H4607*SUMIF(ThresholdAge18,"&lt;"&amp;'19_Расчет_аналитики'!H4607,WeightedRevAge18)-SUMIF(ThresholdAge18,"&lt;"&amp;'19_Расчет_аналитики'!H4607,WeightedMinAge18),MAX(CapacityAge18*'01_Вводные'!$B$218*'19_Расчет_аналитики'!H4607,MeanMinAge18))),0)</f>
        <v/>
      </c>
      <c r="I4529">
        <f>IF('01_Вводные'!$B$234="Да",IF(OR('06_Сеть_и_дети'!I98=0,18&lt;='01_Вводные'!$B$297),0,'06_Сеть_и_дети'!I98*IF('01_Вводные'!$B$239="Да",MeanMinAge18+'19_Расчет_аналитики'!I4607*SUMIF(ThresholdAge18,"&lt;"&amp;'19_Расчет_аналитики'!I4607,WeightedRevAge18)-SUMIF(ThresholdAge18,"&lt;"&amp;'19_Расчет_аналитики'!I4607,WeightedMinAge18),MAX(CapacityAge18*'01_Вводные'!$B$218*'19_Расчет_аналитики'!I4607,MeanMinAge18))),0)</f>
        <v/>
      </c>
      <c r="J4529">
        <f>IF('01_Вводные'!$B$234="Да",IF(OR('06_Сеть_и_дети'!J98=0,18&lt;='01_Вводные'!$B$297),0,'06_Сеть_и_дети'!J98*IF('01_Вводные'!$B$239="Да",MeanMinAge18+'19_Расчет_аналитики'!J4607*SUMIF(ThresholdAge18,"&lt;"&amp;'19_Расчет_аналитики'!J4607,WeightedRevAge18)-SUMIF(ThresholdAge18,"&lt;"&amp;'19_Расчет_аналитики'!J4607,WeightedMinAge18),MAX(CapacityAge18*'01_Вводные'!$B$218*'19_Расчет_аналитики'!J4607,MeanMinAge18))),0)</f>
        <v/>
      </c>
      <c r="K4529">
        <f>IF('01_Вводные'!$B$234="Да",IF(OR('06_Сеть_и_дети'!K98=0,18&lt;='01_Вводные'!$B$297),0,'06_Сеть_и_дети'!K98*IF('01_Вводные'!$B$239="Да",MeanMinAge18+'19_Расчет_аналитики'!K4607*SUMIF(ThresholdAge18,"&lt;"&amp;'19_Расчет_аналитики'!K4607,WeightedRevAge18)-SUMIF(ThresholdAge18,"&lt;"&amp;'19_Расчет_аналитики'!K4607,WeightedMinAge18),MAX(CapacityAge18*'01_Вводные'!$B$218*'19_Расчет_аналитики'!K4607,MeanMinAge18))),0)</f>
        <v/>
      </c>
      <c r="L4529">
        <f>IF('01_Вводные'!$B$234="Да",IF(OR('06_Сеть_и_дети'!L98=0,18&lt;='01_Вводные'!$B$297),0,'06_Сеть_и_дети'!L98*IF('01_Вводные'!$B$239="Да",MeanMinAge18+'19_Расчет_аналитики'!L4607*SUMIF(ThresholdAge18,"&lt;"&amp;'19_Расчет_аналитики'!L4607,WeightedRevAge18)-SUMIF(ThresholdAge18,"&lt;"&amp;'19_Расчет_аналитики'!L4607,WeightedMinAge18),MAX(CapacityAge18*'01_Вводные'!$B$218*'19_Расчет_аналитики'!L4607,MeanMinAge18))),0)</f>
        <v/>
      </c>
      <c r="M4529">
        <f>IF('01_Вводные'!$B$234="Да",IF(OR('06_Сеть_и_дети'!M98=0,18&lt;='01_Вводные'!$B$297),0,'06_Сеть_и_дети'!M98*IF('01_Вводные'!$B$239="Да",MeanMinAge18+'19_Расчет_аналитики'!M4607*SUMIF(ThresholdAge18,"&lt;"&amp;'19_Расчет_аналитики'!M4607,WeightedRevAge18)-SUMIF(ThresholdAge18,"&lt;"&amp;'19_Расчет_аналитики'!M4607,WeightedMinAge18),MAX(CapacityAge18*'01_Вводные'!$B$218*'19_Расчет_аналитики'!M4607,MeanMinAge18))),0)</f>
        <v/>
      </c>
      <c r="N4529">
        <f>IF('01_Вводные'!$B$234="Да",IF(OR('06_Сеть_и_дети'!N98=0,18&lt;='01_Вводные'!$B$297),0,'06_Сеть_и_дети'!N98*IF('01_Вводные'!$B$239="Да",MeanMinAge18+'19_Расчет_аналитики'!N4607*SUMIF(ThresholdAge18,"&lt;"&amp;'19_Расчет_аналитики'!N4607,WeightedRevAge18)-SUMIF(ThresholdAge18,"&lt;"&amp;'19_Расчет_аналитики'!N4607,WeightedMinAge18),MAX(CapacityAge18*'01_Вводные'!$B$218*'19_Расчет_аналитики'!N4607,MeanMinAge18))),0)</f>
        <v/>
      </c>
      <c r="O4529">
        <f>IF('01_Вводные'!$B$234="Да",IF(OR('06_Сеть_и_дети'!O98=0,18&lt;='01_Вводные'!$B$297),0,'06_Сеть_и_дети'!O98*IF('01_Вводные'!$B$239="Да",MeanMinAge18+'19_Расчет_аналитики'!O4607*SUMIF(ThresholdAge18,"&lt;"&amp;'19_Расчет_аналитики'!O4607,WeightedRevAge18)-SUMIF(ThresholdAge18,"&lt;"&amp;'19_Расчет_аналитики'!O4607,WeightedMinAge18),MAX(CapacityAge18*'01_Вводные'!$B$218*'19_Расчет_аналитики'!O4607,MeanMinAge18))),0)</f>
        <v/>
      </c>
      <c r="P4529">
        <f>IF('01_Вводные'!$B$234="Да",IF(OR('06_Сеть_и_дети'!P98=0,18&lt;='01_Вводные'!$B$297),0,'06_Сеть_и_дети'!P98*IF('01_Вводные'!$B$239="Да",MeanMinAge18+'19_Расчет_аналитики'!P4607*SUMIF(ThresholdAge18,"&lt;"&amp;'19_Расчет_аналитики'!P4607,WeightedRevAge18)-SUMIF(ThresholdAge18,"&lt;"&amp;'19_Расчет_аналитики'!P4607,WeightedMinAge18),MAX(CapacityAge18*'01_Вводные'!$B$218*'19_Расчет_аналитики'!P4607,MeanMinAge18))),0)</f>
        <v/>
      </c>
      <c r="Q4529">
        <f>IF('01_Вводные'!$B$234="Да",IF(OR('06_Сеть_и_дети'!Q98=0,18&lt;='01_Вводные'!$B$297),0,'06_Сеть_и_дети'!Q98*IF('01_Вводные'!$B$239="Да",MeanMinAge18+'19_Расчет_аналитики'!Q4607*SUMIF(ThresholdAge18,"&lt;"&amp;'19_Расчет_аналитики'!Q4607,WeightedRevAge18)-SUMIF(ThresholdAge18,"&lt;"&amp;'19_Расчет_аналитики'!Q4607,WeightedMinAge18),MAX(CapacityAge18*'01_Вводные'!$B$218*'19_Расчет_аналитики'!Q4607,MeanMinAge18))),0)</f>
        <v/>
      </c>
      <c r="R4529">
        <f>IF('01_Вводные'!$B$234="Да",IF(OR('06_Сеть_и_дети'!R98=0,18&lt;='01_Вводные'!$B$297),0,'06_Сеть_и_дети'!R98*IF('01_Вводные'!$B$239="Да",MeanMinAge18+'19_Расчет_аналитики'!R4607*SUMIF(ThresholdAge18,"&lt;"&amp;'19_Расчет_аналитики'!R4607,WeightedRevAge18)-SUMIF(ThresholdAge18,"&lt;"&amp;'19_Расчет_аналитики'!R4607,WeightedMinAge18),MAX(CapacityAge18*'01_Вводные'!$B$218*'19_Расчет_аналитики'!R4607,MeanMinAge18))),0)</f>
        <v/>
      </c>
      <c r="S4529">
        <f>IF('01_Вводные'!$B$234="Да",IF(OR('19_Расчет_аналитики'!S4501=0,18&lt;='01_Вводные'!$B$297),0,'19_Расчет_аналитики'!S4501*IF('01_Вводные'!$B$239="Да",MeanMinAge18+'19_Расчет_аналитики'!S4607*SUMIF(ThresholdAge18,"&lt;"&amp;'19_Расчет_аналитики'!S4607,WeightedRevAge18)-SUMIF(ThresholdAge18,"&lt;"&amp;'19_Расчет_аналитики'!S4607,WeightedMinAge18),MAX(CapacityAge18*'01_Вводные'!$B$218*'19_Расчет_аналитики'!S4607,MeanMinAge18))),0)</f>
        <v/>
      </c>
      <c r="T4529">
        <f>IF('01_Вводные'!$B$234="Да",IF(OR('19_Расчет_аналитики'!T4501=0,18&lt;='01_Вводные'!$B$297),0,'19_Расчет_аналитики'!T4501*IF('01_Вводные'!$B$239="Да",MeanMinAge18+'19_Расчет_аналитики'!T4607*SUMIF(ThresholdAge18,"&lt;"&amp;'19_Расчет_аналитики'!T4607,WeightedRevAge18)-SUMIF(ThresholdAge18,"&lt;"&amp;'19_Расчет_аналитики'!T4607,WeightedMinAge18),MAX(CapacityAge18*'01_Вводные'!$B$218*'19_Расчет_аналитики'!T4607,MeanMinAge18))),0)</f>
        <v/>
      </c>
      <c r="U4529">
        <f>IF('01_Вводные'!$B$234="Да",IF(OR('19_Расчет_аналитики'!U4501=0,18&lt;='01_Вводные'!$B$297),0,'19_Расчет_аналитики'!U4501*IF('01_Вводные'!$B$239="Да",MeanMinAge18+'19_Расчет_аналитики'!U4607*SUMIF(ThresholdAge18,"&lt;"&amp;'19_Расчет_аналитики'!U4607,WeightedRevAge18)-SUMIF(ThresholdAge18,"&lt;"&amp;'19_Расчет_аналитики'!U4607,WeightedMinAge18),MAX(CapacityAge18*'01_Вводные'!$B$218*'19_Расчет_аналитики'!U4607,MeanMinAge18))),0)</f>
        <v/>
      </c>
      <c r="V4529">
        <f>IF('01_Вводные'!$B$234="Да",IF(OR('19_Расчет_аналитики'!V4501=0,18&lt;='01_Вводные'!$B$297),0,'19_Расчет_аналитики'!V4501*IF('01_Вводные'!$B$239="Да",MeanMinAge18+'19_Расчет_аналитики'!V4607*SUMIF(ThresholdAge18,"&lt;"&amp;'19_Расчет_аналитики'!V4607,WeightedRevAge18)-SUMIF(ThresholdAge18,"&lt;"&amp;'19_Расчет_аналитики'!V4607,WeightedMinAge18),MAX(CapacityAge18*'01_Вводные'!$B$218*'19_Расчет_аналитики'!V4607,MeanMinAge18))),0)</f>
        <v/>
      </c>
      <c r="W4529">
        <f>IF('01_Вводные'!$B$234="Да",IF(OR('19_Расчет_аналитики'!W4501=0,18&lt;='01_Вводные'!$B$297),0,'19_Расчет_аналитики'!W4501*IF('01_Вводные'!$B$239="Да",MeanMinAge18+'19_Расчет_аналитики'!W4607*SUMIF(ThresholdAge18,"&lt;"&amp;'19_Расчет_аналитики'!W4607,WeightedRevAge18)-SUMIF(ThresholdAge18,"&lt;"&amp;'19_Расчет_аналитики'!W4607,WeightedMinAge18),MAX(CapacityAge18*'01_Вводные'!$B$218*'19_Расчет_аналитики'!W4607,MeanMinAge18))),0)</f>
        <v/>
      </c>
      <c r="X4529">
        <f>IF('01_Вводные'!$B$234="Да",IF(OR('19_Расчет_аналитики'!X4501=0,18&lt;='01_Вводные'!$B$297),0,'19_Расчет_аналитики'!X4501*IF('01_Вводные'!$B$239="Да",MeanMinAge18+'19_Расчет_аналитики'!X4607*SUMIF(ThresholdAge18,"&lt;"&amp;'19_Расчет_аналитики'!X4607,WeightedRevAge18)-SUMIF(ThresholdAge18,"&lt;"&amp;'19_Расчет_аналитики'!X4607,WeightedMinAge18),MAX(CapacityAge18*'01_Вводные'!$B$218*'19_Расчет_аналитики'!X4607,MeanMinAge18))),0)</f>
        <v/>
      </c>
      <c r="Y4529">
        <f>IF('01_Вводные'!$B$234="Да",IF(OR('19_Расчет_аналитики'!Y4501=0,18&lt;='01_Вводные'!$B$297),0,'19_Расчет_аналитики'!Y4501*IF('01_Вводные'!$B$239="Да",MeanMinAge18+'19_Расчет_аналитики'!Y4607*SUMIF(ThresholdAge18,"&lt;"&amp;'19_Расчет_аналитики'!Y4607,WeightedRevAge18)-SUMIF(ThresholdAge18,"&lt;"&amp;'19_Расчет_аналитики'!Y4607,WeightedMinAge18),MAX(CapacityAge18*'01_Вводные'!$B$218*'19_Расчет_аналитики'!Y4607,MeanMinAge18))),0)</f>
        <v/>
      </c>
      <c r="Z4529">
        <f>IF('01_Вводные'!$B$234="Да",IF(OR('19_Расчет_аналитики'!Z4501=0,18&lt;='01_Вводные'!$B$297),0,'19_Расчет_аналитики'!Z4501*IF('01_Вводные'!$B$239="Да",MeanMinAge18+'19_Расчет_аналитики'!Z4607*SUMIF(ThresholdAge18,"&lt;"&amp;'19_Расчет_аналитики'!Z4607,WeightedRevAge18)-SUMIF(ThresholdAge18,"&lt;"&amp;'19_Расчет_аналитики'!Z4607,WeightedMinAge18),MAX(CapacityAge18*'01_Вводные'!$B$218*'19_Расчет_аналитики'!Z4607,MeanMinAge18))),0)</f>
        <v/>
      </c>
      <c r="AA4529">
        <f>IF('01_Вводные'!$B$234="Да",IF(OR('19_Расчет_аналитики'!AA4501=0,18&lt;='01_Вводные'!$B$297),0,'19_Расчет_аналитики'!AA4501*IF('01_Вводные'!$B$239="Да",MeanMinAge18+'19_Расчет_аналитики'!AA4607*SUMIF(ThresholdAge18,"&lt;"&amp;'19_Расчет_аналитики'!AA4607,WeightedRevAge18)-SUMIF(ThresholdAge18,"&lt;"&amp;'19_Расчет_аналитики'!AA4607,WeightedMinAge18),MAX(CapacityAge18*'01_Вводные'!$B$218*'19_Расчет_аналитики'!AA4607,MeanMinAge18))),0)</f>
        <v/>
      </c>
      <c r="AB4529">
        <f>IF('01_Вводные'!$B$234="Да",IF(OR('19_Расчет_аналитики'!AB4501=0,18&lt;='01_Вводные'!$B$297),0,'19_Расчет_аналитики'!AB4501*IF('01_Вводные'!$B$239="Да",MeanMinAge18+'19_Расчет_аналитики'!AB4607*SUMIF(ThresholdAge18,"&lt;"&amp;'19_Расчет_аналитики'!AB4607,WeightedRevAge18)-SUMIF(ThresholdAge18,"&lt;"&amp;'19_Расчет_аналитики'!AB4607,WeightedMinAge18),MAX(CapacityAge18*'01_Вводные'!$B$218*'19_Расчет_аналитики'!AB4607,MeanMinAge18))),0)</f>
        <v/>
      </c>
      <c r="AC4529">
        <f>IF('01_Вводные'!$B$234="Да",IF(OR('19_Расчет_аналитики'!AC4501=0,18&lt;='01_Вводные'!$B$297),0,'19_Расчет_аналитики'!AC4501*IF('01_Вводные'!$B$239="Да",MeanMinAge18+'19_Расчет_аналитики'!AC4607*SUMIF(ThresholdAge18,"&lt;"&amp;'19_Расчет_аналитики'!AC4607,WeightedRevAge18)-SUMIF(ThresholdAge18,"&lt;"&amp;'19_Расчет_аналитики'!AC4607,WeightedMinAge18),MAX(CapacityAge18*'01_Вводные'!$B$218*'19_Расчет_аналитики'!AC4607,MeanMinAge18))),0)</f>
        <v/>
      </c>
      <c r="AD4529">
        <f>IF('01_Вводные'!$B$234="Да",IF(OR('19_Расчет_аналитики'!AD4501=0,18&lt;='01_Вводные'!$B$297),0,'19_Расчет_аналитики'!AD4501*IF('01_Вводные'!$B$239="Да",MeanMinAge18+'19_Расчет_аналитики'!AD4607*SUMIF(ThresholdAge18,"&lt;"&amp;'19_Расчет_аналитики'!AD4607,WeightedRevAge18)-SUMIF(ThresholdAge18,"&lt;"&amp;'19_Расчет_аналитики'!AD4607,WeightedMinAge18),MAX(CapacityAge18*'01_Вводные'!$B$218*'19_Расчет_аналитики'!AD4607,MeanMinAge18))),0)</f>
        <v/>
      </c>
      <c r="AE4529">
        <f>IF('01_Вводные'!$B$234="Да",IF(OR('19_Расчет_аналитики'!AE4501=0,18&lt;='01_Вводные'!$B$297),0,'19_Расчет_аналитики'!AE4501*IF('01_Вводные'!$B$239="Да",MeanMinAge18+'19_Расчет_аналитики'!AE4607*SUMIF(ThresholdAge18,"&lt;"&amp;'19_Расчет_аналитики'!AE4607,WeightedRevAge18)-SUMIF(ThresholdAge18,"&lt;"&amp;'19_Расчет_аналитики'!AE4607,WeightedMinAge18),MAX(CapacityAge18*'01_Вводные'!$B$218*'19_Расчет_аналитики'!AE4607,MeanMinAge18))),0)</f>
        <v/>
      </c>
      <c r="AF4529">
        <f>IF('01_Вводные'!$B$234="Да",IF(OR('19_Расчет_аналитики'!AF4501=0,18&lt;='01_Вводные'!$B$297),0,'19_Расчет_аналитики'!AF4501*IF('01_Вводные'!$B$239="Да",MeanMinAge18+'19_Расчет_аналитики'!AF4607*SUMIF(ThresholdAge18,"&lt;"&amp;'19_Расчет_аналитики'!AF4607,WeightedRevAge18)-SUMIF(ThresholdAge18,"&lt;"&amp;'19_Расчет_аналитики'!AF4607,WeightedMinAge18),MAX(CapacityAge18*'01_Вводные'!$B$218*'19_Расчет_аналитики'!AF4607,MeanMinAge18))),0)</f>
        <v/>
      </c>
      <c r="AG4529">
        <f>IF('01_Вводные'!$B$234="Да",IF(OR('19_Расчет_аналитики'!AG4501=0,18&lt;='01_Вводные'!$B$297),0,'19_Расчет_аналитики'!AG4501*IF('01_Вводные'!$B$239="Да",MeanMinAge18+'19_Расчет_аналитики'!AG4607*SUMIF(ThresholdAge18,"&lt;"&amp;'19_Расчет_аналитики'!AG4607,WeightedRevAge18)-SUMIF(ThresholdAge18,"&lt;"&amp;'19_Расчет_аналитики'!AG4607,WeightedMinAge18),MAX(CapacityAge18*'01_Вводные'!$B$218*'19_Расчет_аналитики'!AG4607,MeanMinAge18))),0)</f>
        <v/>
      </c>
      <c r="AH4529">
        <f>IF('01_Вводные'!$B$234="Да",IF(OR('19_Расчет_аналитики'!AH4501=0,18&lt;='01_Вводные'!$B$297),0,'19_Расчет_аналитики'!AH4501*IF('01_Вводные'!$B$239="Да",MeanMinAge18+'19_Расчет_аналитики'!AH4607*SUMIF(ThresholdAge18,"&lt;"&amp;'19_Расчет_аналитики'!AH4607,WeightedRevAge18)-SUMIF(ThresholdAge18,"&lt;"&amp;'19_Расчет_аналитики'!AH4607,WeightedMinAge18),MAX(CapacityAge18*'01_Вводные'!$B$218*'19_Расчет_аналитики'!AH4607,MeanMinAge18))),0)</f>
        <v/>
      </c>
      <c r="AI4529">
        <f>IF('01_Вводные'!$B$234="Да",IF(OR('19_Расчет_аналитики'!AI4501=0,18&lt;='01_Вводные'!$B$297),0,'19_Расчет_аналитики'!AI4501*IF('01_Вводные'!$B$239="Да",MeanMinAge18+'19_Расчет_аналитики'!AI4607*SUMIF(ThresholdAge18,"&lt;"&amp;'19_Расчет_аналитики'!AI4607,WeightedRevAge18)-SUMIF(ThresholdAge18,"&lt;"&amp;'19_Расчет_аналитики'!AI4607,WeightedMinAge18),MAX(CapacityAge18*'01_Вводные'!$B$218*'19_Расчет_аналитики'!AI4607,MeanMinAge18))),0)</f>
        <v/>
      </c>
      <c r="AJ4529">
        <f>IF('01_Вводные'!$B$234="Да",IF(OR('19_Расчет_аналитики'!AJ4501=0,18&lt;='01_Вводные'!$B$297),0,'19_Расчет_аналитики'!AJ4501*IF('01_Вводные'!$B$239="Да",MeanMinAge18+'19_Расчет_аналитики'!AJ4607*SUMIF(ThresholdAge18,"&lt;"&amp;'19_Расчет_аналитики'!AJ4607,WeightedRevAge18)-SUMIF(ThresholdAge18,"&lt;"&amp;'19_Расчет_аналитики'!AJ4607,WeightedMinAge18),MAX(CapacityAge18*'01_Вводные'!$B$218*'19_Расчет_аналитики'!AJ4607,MeanMinAge18))),0)</f>
        <v/>
      </c>
      <c r="AK4529">
        <f>IF('01_Вводные'!$B$234="Да",IF(OR('19_Расчет_аналитики'!AK4501=0,18&lt;='01_Вводные'!$B$297),0,'19_Расчет_аналитики'!AK4501*IF('01_Вводные'!$B$239="Да",MeanMinAge18+'19_Расчет_аналитики'!AK4607*SUMIF(ThresholdAge18,"&lt;"&amp;'19_Расчет_аналитики'!AK4607,WeightedRevAge18)-SUMIF(ThresholdAge18,"&lt;"&amp;'19_Расчет_аналитики'!AK4607,WeightedMinAge18),MAX(CapacityAge18*'01_Вводные'!$B$218*'19_Расчет_аналитики'!AK4607,MeanMinAge18))),0)</f>
        <v/>
      </c>
      <c r="AL4529">
        <f>IF('01_Вводные'!$B$234="Да",IF(OR('19_Расчет_аналитики'!AL4501=0,18&lt;='01_Вводные'!$B$297),0,'19_Расчет_аналитики'!AL4501*IF('01_Вводные'!$B$239="Да",MeanMinAge18+'19_Расчет_аналитики'!AL4607*SUMIF(ThresholdAge18,"&lt;"&amp;'19_Расчет_аналитики'!AL4607,WeightedRevAge18)-SUMIF(ThresholdAge18,"&lt;"&amp;'19_Расчет_аналитики'!AL4607,WeightedMinAge18),MAX(CapacityAge18*'01_Вводные'!$B$218*'19_Расчет_аналитики'!AL4607,MeanMinAge18))),0)</f>
        <v/>
      </c>
      <c r="AM4529">
        <f>IF('01_Вводные'!$B$234="Да",IF(OR('19_Расчет_аналитики'!AM4501=0,18&lt;='01_Вводные'!$B$297),0,'19_Расчет_аналитики'!AM4501*IF('01_Вводные'!$B$239="Да",MeanMinAge18+'19_Расчет_аналитики'!AM4607*SUMIF(ThresholdAge18,"&lt;"&amp;'19_Расчет_аналитики'!AM4607,WeightedRevAge18)-SUMIF(ThresholdAge18,"&lt;"&amp;'19_Расчет_аналитики'!AM4607,WeightedMinAge18),MAX(CapacityAge18*'01_Вводные'!$B$218*'19_Расчет_аналитики'!AM4607,MeanMinAge18))),0)</f>
        <v/>
      </c>
      <c r="AN4529">
        <f>IF('01_Вводные'!$B$234="Да",IF(OR('19_Расчет_аналитики'!AN4501=0,18&lt;='01_Вводные'!$B$297),0,'19_Расчет_аналитики'!AN4501*IF('01_Вводные'!$B$239="Да",MeanMinAge18+'19_Расчет_аналитики'!AN4607*SUMIF(ThresholdAge18,"&lt;"&amp;'19_Расчет_аналитики'!AN4607,WeightedRevAge18)-SUMIF(ThresholdAge18,"&lt;"&amp;'19_Расчет_аналитики'!AN4607,WeightedMinAge18),MAX(CapacityAge18*'01_Вводные'!$B$218*'19_Расчет_аналитики'!AN4607,MeanMinAge18))),0)</f>
        <v/>
      </c>
      <c r="AO4529">
        <f>IF('01_Вводные'!$B$234="Да",IF(OR('19_Расчет_аналитики'!AO4501=0,18&lt;='01_Вводные'!$B$297),0,'19_Расчет_аналитики'!AO4501*IF('01_Вводные'!$B$239="Да",MeanMinAge18+'19_Расчет_аналитики'!AO4607*SUMIF(ThresholdAge18,"&lt;"&amp;'19_Расчет_аналитики'!AO4607,WeightedRevAge18)-SUMIF(ThresholdAge18,"&lt;"&amp;'19_Расчет_аналитики'!AO4607,WeightedMinAge18),MAX(CapacityAge18*'01_Вводные'!$B$218*'19_Расчет_аналитики'!AO4607,MeanMinAge18))),0)</f>
        <v/>
      </c>
      <c r="AP4529">
        <f>IF('01_Вводные'!$B$234="Да",IF(OR('19_Расчет_аналитики'!AP4501=0,18&lt;='01_Вводные'!$B$297),0,'19_Расчет_аналитики'!AP4501*IF('01_Вводные'!$B$239="Да",MeanMinAge18+'19_Расчет_аналитики'!AP4607*SUMIF(ThresholdAge18,"&lt;"&amp;'19_Расчет_аналитики'!AP4607,WeightedRevAge18)-SUMIF(ThresholdAge18,"&lt;"&amp;'19_Расчет_аналитики'!AP4607,WeightedMinAge18),MAX(CapacityAge18*'01_Вводные'!$B$218*'19_Расчет_аналитики'!AP4607,MeanMinAge18))),0)</f>
        <v/>
      </c>
      <c r="AQ4529">
        <f>IF('01_Вводные'!$B$234="Да",IF(OR('19_Расчет_аналитики'!AQ4501=0,18&lt;='01_Вводные'!$B$297),0,'19_Расчет_аналитики'!AQ4501*IF('01_Вводные'!$B$239="Да",MeanMinAge18+'19_Расчет_аналитики'!AQ4607*SUMIF(ThresholdAge18,"&lt;"&amp;'19_Расчет_аналитики'!AQ4607,WeightedRevAge18)-SUMIF(ThresholdAge18,"&lt;"&amp;'19_Расчет_аналитики'!AQ4607,WeightedMinAge18),MAX(CapacityAge18*'01_Вводные'!$B$218*'19_Расчет_аналитики'!AQ4607,MeanMinAge18))),0)</f>
        <v/>
      </c>
      <c r="AR4529">
        <f>IF('01_Вводные'!$B$234="Да",IF(OR('19_Расчет_аналитики'!AR4501=0,18&lt;='01_Вводные'!$B$297),0,'19_Расчет_аналитики'!AR4501*IF('01_Вводные'!$B$239="Да",MeanMinAge18+'19_Расчет_аналитики'!AR4607*SUMIF(ThresholdAge18,"&lt;"&amp;'19_Расчет_аналитики'!AR4607,WeightedRevAge18)-SUMIF(ThresholdAge18,"&lt;"&amp;'19_Расчет_аналитики'!AR4607,WeightedMinAge18),MAX(CapacityAge18*'01_Вводные'!$B$218*'19_Расчет_аналитики'!AR4607,MeanMinAge18))),0)</f>
        <v/>
      </c>
      <c r="AS4529">
        <f>IF('01_Вводные'!$B$234="Да",IF(OR('19_Расчет_аналитики'!AS4501=0,18&lt;='01_Вводные'!$B$297),0,'19_Расчет_аналитики'!AS4501*IF('01_Вводные'!$B$239="Да",MeanMinAge18+'19_Расчет_аналитики'!AS4607*SUMIF(ThresholdAge18,"&lt;"&amp;'19_Расчет_аналитики'!AS4607,WeightedRevAge18)-SUMIF(ThresholdAge18,"&lt;"&amp;'19_Расчет_аналитики'!AS4607,WeightedMinAge18),MAX(CapacityAge18*'01_Вводные'!$B$218*'19_Расчет_аналитики'!AS4607,MeanMinAge18))),0)</f>
        <v/>
      </c>
      <c r="AT4529">
        <f>IF('01_Вводные'!$B$234="Да",IF(OR('19_Расчет_аналитики'!AT4501=0,18&lt;='01_Вводные'!$B$297),0,'19_Расчет_аналитики'!AT4501*IF('01_Вводные'!$B$239="Да",MeanMinAge18+'19_Расчет_аналитики'!AT4607*SUMIF(ThresholdAge18,"&lt;"&amp;'19_Расчет_аналитики'!AT4607,WeightedRevAge18)-SUMIF(ThresholdAge18,"&lt;"&amp;'19_Расчет_аналитики'!AT4607,WeightedMinAge18),MAX(CapacityAge18*'01_Вводные'!$B$218*'19_Расчет_аналитики'!AT4607,MeanMinAge18))),0)</f>
        <v/>
      </c>
      <c r="AU4529">
        <f>IF('01_Вводные'!$B$234="Да",IF(OR('19_Расчет_аналитики'!AU4501=0,18&lt;='01_Вводные'!$B$297),0,'19_Расчет_аналитики'!AU4501*IF('01_Вводные'!$B$239="Да",MeanMinAge18+'19_Расчет_аналитики'!AU4607*SUMIF(ThresholdAge18,"&lt;"&amp;'19_Расчет_аналитики'!AU4607,WeightedRevAge18)-SUMIF(ThresholdAge18,"&lt;"&amp;'19_Расчет_аналитики'!AU4607,WeightedMinAge18),MAX(CapacityAge18*'01_Вводные'!$B$218*'19_Расчет_аналитики'!AU4607,MeanMinAge18))),0)</f>
        <v/>
      </c>
      <c r="AV4529">
        <f>IF('01_Вводные'!$B$234="Да",IF(OR('19_Расчет_аналитики'!AV4501=0,18&lt;='01_Вводные'!$B$297),0,'19_Расчет_аналитики'!AV4501*IF('01_Вводные'!$B$239="Да",MeanMinAge18+'19_Расчет_аналитики'!AV4607*SUMIF(ThresholdAge18,"&lt;"&amp;'19_Расчет_аналитики'!AV4607,WeightedRevAge18)-SUMIF(ThresholdAge18,"&lt;"&amp;'19_Расчет_аналитики'!AV4607,WeightedMinAge18),MAX(CapacityAge18*'01_Вводные'!$B$218*'19_Расчет_аналитики'!AV4607,MeanMinAge18))),0)</f>
        <v/>
      </c>
      <c r="AW4529">
        <f>IF('01_Вводные'!$B$234="Да",IF(OR('19_Расчет_аналитики'!AW4501=0,18&lt;='01_Вводные'!$B$297),0,'19_Расчет_аналитики'!AW4501*IF('01_Вводные'!$B$239="Да",MeanMinAge18+'19_Расчет_аналитики'!AW4607*SUMIF(ThresholdAge18,"&lt;"&amp;'19_Расчет_аналитики'!AW4607,WeightedRevAge18)-SUMIF(ThresholdAge18,"&lt;"&amp;'19_Расчет_аналитики'!AW4607,WeightedMinAge18),MAX(CapacityAge18*'01_Вводные'!$B$218*'19_Расчет_аналитики'!AW4607,MeanMinAge18))),0)</f>
        <v/>
      </c>
      <c r="AX4529">
        <f>IF('01_Вводные'!$B$234="Да",IF(OR('19_Расчет_аналитики'!AX4501=0,18&lt;='01_Вводные'!$B$297),0,'19_Расчет_аналитики'!AX4501*IF('01_Вводные'!$B$239="Да",MeanMinAge18+'19_Расчет_аналитики'!AX4607*SUMIF(ThresholdAge18,"&lt;"&amp;'19_Расчет_аналитики'!AX4607,WeightedRevAge18)-SUMIF(ThresholdAge18,"&lt;"&amp;'19_Расчет_аналитики'!AX4607,WeightedMinAge18),MAX(CapacityAge18*'01_Вводные'!$B$218*'19_Расчет_аналитики'!AX4607,MeanMinAge18))),0)</f>
        <v/>
      </c>
      <c r="AY4529">
        <f>IF('01_Вводные'!$B$234="Да",IF(OR('19_Расчет_аналитики'!AY4501=0,18&lt;='01_Вводные'!$B$297),0,'19_Расчет_аналитики'!AY4501*IF('01_Вводные'!$B$239="Да",MeanMinAge18+'19_Расчет_аналитики'!AY4607*SUMIF(ThresholdAge18,"&lt;"&amp;'19_Расчет_аналитики'!AY4607,WeightedRevAge18)-SUMIF(ThresholdAge18,"&lt;"&amp;'19_Расчет_аналитики'!AY4607,WeightedMinAge18),MAX(CapacityAge18*'01_Вводные'!$B$218*'19_Расчет_аналитики'!AY4607,MeanMinAge18))),0)</f>
        <v/>
      </c>
      <c r="AZ4529">
        <f>IF('01_Вводные'!$B$234="Да",IF(OR('19_Расчет_аналитики'!AZ4501=0,18&lt;='01_Вводные'!$B$297),0,'19_Расчет_аналитики'!AZ4501*IF('01_Вводные'!$B$239="Да",MeanMinAge18+'19_Расчет_аналитики'!AZ4607*SUMIF(ThresholdAge18,"&lt;"&amp;'19_Расчет_аналитики'!AZ4607,WeightedRevAge18)-SUMIF(ThresholdAge18,"&lt;"&amp;'19_Расчет_аналитики'!AZ4607,WeightedMinAge18),MAX(CapacityAge18*'01_Вводные'!$B$218*'19_Расчет_аналитики'!AZ4607,MeanMinAge18))),0)</f>
        <v/>
      </c>
      <c r="BA4529">
        <f>IF('01_Вводные'!$B$234="Да",IF(OR('19_Расчет_аналитики'!BA4501=0,18&lt;='01_Вводные'!$B$297),0,'19_Расчет_аналитики'!BA4501*IF('01_Вводные'!$B$239="Да",MeanMinAge18+'19_Расчет_аналитики'!BA4607*SUMIF(ThresholdAge18,"&lt;"&amp;'19_Расчет_аналитики'!BA4607,WeightedRevAge18)-SUMIF(ThresholdAge18,"&lt;"&amp;'19_Расчет_аналитики'!BA4607,WeightedMinAge18),MAX(CapacityAge18*'01_Вводные'!$B$218*'19_Расчет_аналитики'!BA4607,MeanMinAge18))),0)</f>
        <v/>
      </c>
      <c r="BB4529">
        <f>IF('01_Вводные'!$B$234="Да",IF(OR('19_Расчет_аналитики'!BB4501=0,18&lt;='01_Вводные'!$B$297),0,'19_Расчет_аналитики'!BB4501*IF('01_Вводные'!$B$239="Да",MeanMinAge18+'19_Расчет_аналитики'!BB4607*SUMIF(ThresholdAge18,"&lt;"&amp;'19_Расчет_аналитики'!BB4607,WeightedRevAge18)-SUMIF(ThresholdAge18,"&lt;"&amp;'19_Расчет_аналитики'!BB4607,WeightedMinAge18),MAX(CapacityAge18*'01_Вводные'!$B$218*'19_Расчет_аналитики'!BB4607,MeanMinAge18))),0)</f>
        <v/>
      </c>
      <c r="BC4529">
        <f>IF('01_Вводные'!$B$234="Да",IF(OR('19_Расчет_аналитики'!BC4501=0,18&lt;='01_Вводные'!$B$297),0,'19_Расчет_аналитики'!BC4501*IF('01_Вводные'!$B$239="Да",MeanMinAge18+'19_Расчет_аналитики'!BC4607*SUMIF(ThresholdAge18,"&lt;"&amp;'19_Расчет_аналитики'!BC4607,WeightedRevAge18)-SUMIF(ThresholdAge18,"&lt;"&amp;'19_Расчет_аналитики'!BC4607,WeightedMinAge18),MAX(CapacityAge18*'01_Вводные'!$B$218*'19_Расчет_аналитики'!BC4607,MeanMinAge18))),0)</f>
        <v/>
      </c>
      <c r="BD4529">
        <f>IF('01_Вводные'!$B$234="Да",IF(OR('19_Расчет_аналитики'!BD4501=0,18&lt;='01_Вводные'!$B$297),0,'19_Расчет_аналитики'!BD4501*IF('01_Вводные'!$B$239="Да",MeanMinAge18+'19_Расчет_аналитики'!BD4607*SUMIF(ThresholdAge18,"&lt;"&amp;'19_Расчет_аналитики'!BD4607,WeightedRevAge18)-SUMIF(ThresholdAge18,"&lt;"&amp;'19_Расчет_аналитики'!BD4607,WeightedMinAge18),MAX(CapacityAge18*'01_Вводные'!$B$218*'19_Расчет_аналитики'!BD4607,MeanMinAge18))),0)</f>
        <v/>
      </c>
      <c r="BE4529">
        <f>IF('01_Вводные'!$B$234="Да",IF(OR('19_Расчет_аналитики'!BE4501=0,18&lt;='01_Вводные'!$B$297),0,'19_Расчет_аналитики'!BE4501*IF('01_Вводные'!$B$239="Да",MeanMinAge18+'19_Расчет_аналитики'!BE4607*SUMIF(ThresholdAge18,"&lt;"&amp;'19_Расчет_аналитики'!BE4607,WeightedRevAge18)-SUMIF(ThresholdAge18,"&lt;"&amp;'19_Расчет_аналитики'!BE4607,WeightedMinAge18),MAX(CapacityAge18*'01_Вводные'!$B$218*'19_Расчет_аналитики'!BE4607,MeanMinAge18))),0)</f>
        <v/>
      </c>
      <c r="BF4529">
        <f>IF('01_Вводные'!$B$234="Да",IF(OR('19_Расчет_аналитики'!BF4501=0,18&lt;='01_Вводные'!$B$297),0,'19_Расчет_аналитики'!BF4501*IF('01_Вводные'!$B$239="Да",MeanMinAge18+'19_Расчет_аналитики'!BF4607*SUMIF(ThresholdAge18,"&lt;"&amp;'19_Расчет_аналитики'!BF4607,WeightedRevAge18)-SUMIF(ThresholdAge18,"&lt;"&amp;'19_Расчет_аналитики'!BF4607,WeightedMinAge18),MAX(CapacityAge18*'01_Вводные'!$B$218*'19_Расчет_аналитики'!BF4607,MeanMinAge18))),0)</f>
        <v/>
      </c>
      <c r="BG4529">
        <f>IF('01_Вводные'!$B$234="Да",IF(OR('19_Расчет_аналитики'!BG4501=0,18&lt;='01_Вводные'!$B$297),0,'19_Расчет_аналитики'!BG4501*IF('01_Вводные'!$B$239="Да",MeanMinAge18+'19_Расчет_аналитики'!BG4607*SUMIF(ThresholdAge18,"&lt;"&amp;'19_Расчет_аналитики'!BG4607,WeightedRevAge18)-SUMIF(ThresholdAge18,"&lt;"&amp;'19_Расчет_аналитики'!BG4607,WeightedMinAge18),MAX(CapacityAge18*'01_Вводные'!$B$218*'19_Расчет_аналитики'!BG4607,MeanMinAge18))),0)</f>
        <v/>
      </c>
      <c r="BH4529">
        <f>IF('01_Вводные'!$B$234="Да",IF(OR('19_Расчет_аналитики'!BH4501=0,18&lt;='01_Вводные'!$B$297),0,'19_Расчет_аналитики'!BH4501*IF('01_Вводные'!$B$239="Да",MeanMinAge18+'19_Расчет_аналитики'!BH4607*SUMIF(ThresholdAge18,"&lt;"&amp;'19_Расчет_аналитики'!BH4607,WeightedRevAge18)-SUMIF(ThresholdAge18,"&lt;"&amp;'19_Расчет_аналитики'!BH4607,WeightedMinAge18),MAX(CapacityAge18*'01_Вводные'!$B$218*'19_Расчет_аналитики'!BH4607,MeanMinAge18))),0)</f>
        <v/>
      </c>
      <c r="BI4529">
        <f>IF('01_Вводные'!$B$234="Да",IF(OR('19_Расчет_аналитики'!BI4501=0,18&lt;='01_Вводные'!$B$297),0,'19_Расчет_аналитики'!BI4501*IF('01_Вводные'!$B$239="Да",MeanMinAge18+'19_Расчет_аналитики'!BI4607*SUMIF(ThresholdAge18,"&lt;"&amp;'19_Расчет_аналитики'!BI4607,WeightedRevAge18)-SUMIF(ThresholdAge18,"&lt;"&amp;'19_Расчет_аналитики'!BI4607,WeightedMinAge18),MAX(CapacityAge18*'01_Вводные'!$B$218*'19_Расчет_аналитики'!BI4607,MeanMinAge18))),0)</f>
        <v/>
      </c>
      <c r="BJ4529">
        <f>IF('01_Вводные'!$B$234="Да",IF(OR('19_Расчет_аналитики'!BJ4501=0,18&lt;='01_Вводные'!$B$297),0,'19_Расчет_аналитики'!BJ4501*IF('01_Вводные'!$B$239="Да",MeanMinAge18+'19_Расчет_аналитики'!BJ4607*SUMIF(ThresholdAge18,"&lt;"&amp;'19_Расчет_аналитики'!BJ4607,WeightedRevAge18)-SUMIF(ThresholdAge18,"&lt;"&amp;'19_Расчет_аналитики'!BJ4607,WeightedMinAge18),MAX(CapacityAge18*'01_Вводные'!$B$218*'19_Расчет_аналитики'!BJ4607,MeanMinAge18))),0)</f>
        <v/>
      </c>
      <c r="BK4529">
        <f>IF('01_Вводные'!$B$234="Да",IF(OR('19_Расчет_аналитики'!BK4501=0,18&lt;='01_Вводные'!$B$297),0,'19_Расчет_аналитики'!BK4501*IF('01_Вводные'!$B$239="Да",MeanMinAge18+'19_Расчет_аналитики'!BK4607*SUMIF(ThresholdAge18,"&lt;"&amp;'19_Расчет_аналитики'!BK4607,WeightedRevAge18)-SUMIF(ThresholdAge18,"&lt;"&amp;'19_Расчет_аналитики'!BK4607,WeightedMinAge18),MAX(CapacityAge18*'01_Вводные'!$B$218*'19_Расчет_аналитики'!BK4607,MeanMinAge18))),0)</f>
        <v/>
      </c>
      <c r="BL4529">
        <f>IF('01_Вводные'!$B$234="Да",IF(OR('19_Расчет_аналитики'!BL4501=0,18&lt;='01_Вводные'!$B$297),0,'19_Расчет_аналитики'!BL4501*IF('01_Вводные'!$B$239="Да",MeanMinAge18+'19_Расчет_аналитики'!BL4607*SUMIF(ThresholdAge18,"&lt;"&amp;'19_Расчет_аналитики'!BL4607,WeightedRevAge18)-SUMIF(ThresholdAge18,"&lt;"&amp;'19_Расчет_аналитики'!BL4607,WeightedMinAge18),MAX(CapacityAge18*'01_Вводные'!$B$218*'19_Расчет_аналитики'!BL4607,MeanMinAge18))),0)</f>
        <v/>
      </c>
      <c r="BM4529">
        <f>IF('01_Вводные'!$B$234="Да",IF(OR('19_Расчет_аналитики'!BM4501=0,18&lt;='01_Вводные'!$B$297),0,'19_Расчет_аналитики'!BM4501*IF('01_Вводные'!$B$239="Да",MeanMinAge18+'19_Расчет_аналитики'!BM4607*SUMIF(ThresholdAge18,"&lt;"&amp;'19_Расчет_аналитики'!BM4607,WeightedRevAge18)-SUMIF(ThresholdAge18,"&lt;"&amp;'19_Расчет_аналитики'!BM4607,WeightedMinAge18),MAX(CapacityAge18*'01_Вводные'!$B$218*'19_Расчет_аналитики'!BM4607,MeanMinAge18))),0)</f>
        <v/>
      </c>
      <c r="BN4529">
        <f>IF('01_Вводные'!$B$234="Да",IF(OR('19_Расчет_аналитики'!BN4501=0,18&lt;='01_Вводные'!$B$297),0,'19_Расчет_аналитики'!BN4501*IF('01_Вводные'!$B$239="Да",MeanMinAge18+'19_Расчет_аналитики'!BN4607*SUMIF(ThresholdAge18,"&lt;"&amp;'19_Расчет_аналитики'!BN4607,WeightedRevAge18)-SUMIF(ThresholdAge18,"&lt;"&amp;'19_Расчет_аналитики'!BN4607,WeightedMinAge18),MAX(CapacityAge18*'01_Вводные'!$B$218*'19_Расчет_аналитики'!BN4607,MeanMinAge18))),0)</f>
        <v/>
      </c>
      <c r="BO4529">
        <f>IF('01_Вводные'!$B$234="Да",IF(OR('19_Расчет_аналитики'!BO4501=0,18&lt;='01_Вводные'!$B$297),0,'19_Расчет_аналитики'!BO4501*IF('01_Вводные'!$B$239="Да",MeanMinAge18+'19_Расчет_аналитики'!BO4607*SUMIF(ThresholdAge18,"&lt;"&amp;'19_Расчет_аналитики'!BO4607,WeightedRevAge18)-SUMIF(ThresholdAge18,"&lt;"&amp;'19_Расчет_аналитики'!BO4607,WeightedMinAge18),MAX(CapacityAge18*'01_Вводные'!$B$218*'19_Расчет_аналитики'!BO4607,MeanMinAge18))),0)</f>
        <v/>
      </c>
    </row>
    <row r="4530">
      <c r="B4530">
        <f>IF('01_Вводные'!$B$234="Да",IF(OR('06_Сеть_и_дети'!B99=0,19&lt;='01_Вводные'!$B$297),0,'06_Сеть_и_дети'!B99*IF('01_Вводные'!$B$239="Да",MeanMinAge19+'19_Расчет_аналитики'!B4607*SUMIF(ThresholdAge19,"&lt;"&amp;'19_Расчет_аналитики'!B4607,WeightedRevAge19)-SUMIF(ThresholdAge19,"&lt;"&amp;'19_Расчет_аналитики'!B4607,WeightedMinAge19),MAX(CapacityAge19*'01_Вводные'!$B$218*'19_Расчет_аналитики'!B4607,MeanMinAge19))),0)</f>
        <v/>
      </c>
      <c r="C4530">
        <f>IF('01_Вводные'!$B$234="Да",IF(OR('06_Сеть_и_дети'!C99=0,19&lt;='01_Вводные'!$B$297),0,'06_Сеть_и_дети'!C99*IF('01_Вводные'!$B$239="Да",MeanMinAge19+'19_Расчет_аналитики'!C4607*SUMIF(ThresholdAge19,"&lt;"&amp;'19_Расчет_аналитики'!C4607,WeightedRevAge19)-SUMIF(ThresholdAge19,"&lt;"&amp;'19_Расчет_аналитики'!C4607,WeightedMinAge19),MAX(CapacityAge19*'01_Вводные'!$B$218*'19_Расчет_аналитики'!C4607,MeanMinAge19))),0)</f>
        <v/>
      </c>
      <c r="D4530">
        <f>IF('01_Вводные'!$B$234="Да",IF(OR('06_Сеть_и_дети'!D99=0,19&lt;='01_Вводные'!$B$297),0,'06_Сеть_и_дети'!D99*IF('01_Вводные'!$B$239="Да",MeanMinAge19+'19_Расчет_аналитики'!D4607*SUMIF(ThresholdAge19,"&lt;"&amp;'19_Расчет_аналитики'!D4607,WeightedRevAge19)-SUMIF(ThresholdAge19,"&lt;"&amp;'19_Расчет_аналитики'!D4607,WeightedMinAge19),MAX(CapacityAge19*'01_Вводные'!$B$218*'19_Расчет_аналитики'!D4607,MeanMinAge19))),0)</f>
        <v/>
      </c>
      <c r="E4530">
        <f>IF('01_Вводные'!$B$234="Да",IF(OR('06_Сеть_и_дети'!E99=0,19&lt;='01_Вводные'!$B$297),0,'06_Сеть_и_дети'!E99*IF('01_Вводные'!$B$239="Да",MeanMinAge19+'19_Расчет_аналитики'!E4607*SUMIF(ThresholdAge19,"&lt;"&amp;'19_Расчет_аналитики'!E4607,WeightedRevAge19)-SUMIF(ThresholdAge19,"&lt;"&amp;'19_Расчет_аналитики'!E4607,WeightedMinAge19),MAX(CapacityAge19*'01_Вводные'!$B$218*'19_Расчет_аналитики'!E4607,MeanMinAge19))),0)</f>
        <v/>
      </c>
      <c r="F4530">
        <f>IF('01_Вводные'!$B$234="Да",IF(OR('06_Сеть_и_дети'!F99=0,19&lt;='01_Вводные'!$B$297),0,'06_Сеть_и_дети'!F99*IF('01_Вводные'!$B$239="Да",MeanMinAge19+'19_Расчет_аналитики'!F4607*SUMIF(ThresholdAge19,"&lt;"&amp;'19_Расчет_аналитики'!F4607,WeightedRevAge19)-SUMIF(ThresholdAge19,"&lt;"&amp;'19_Расчет_аналитики'!F4607,WeightedMinAge19),MAX(CapacityAge19*'01_Вводные'!$B$218*'19_Расчет_аналитики'!F4607,MeanMinAge19))),0)</f>
        <v/>
      </c>
      <c r="G4530">
        <f>IF('01_Вводные'!$B$234="Да",IF(OR('06_Сеть_и_дети'!G99=0,19&lt;='01_Вводные'!$B$297),0,'06_Сеть_и_дети'!G99*IF('01_Вводные'!$B$239="Да",MeanMinAge19+'19_Расчет_аналитики'!G4607*SUMIF(ThresholdAge19,"&lt;"&amp;'19_Расчет_аналитики'!G4607,WeightedRevAge19)-SUMIF(ThresholdAge19,"&lt;"&amp;'19_Расчет_аналитики'!G4607,WeightedMinAge19),MAX(CapacityAge19*'01_Вводные'!$B$218*'19_Расчет_аналитики'!G4607,MeanMinAge19))),0)</f>
        <v/>
      </c>
      <c r="H4530">
        <f>IF('01_Вводные'!$B$234="Да",IF(OR('06_Сеть_и_дети'!H99=0,19&lt;='01_Вводные'!$B$297),0,'06_Сеть_и_дети'!H99*IF('01_Вводные'!$B$239="Да",MeanMinAge19+'19_Расчет_аналитики'!H4607*SUMIF(ThresholdAge19,"&lt;"&amp;'19_Расчет_аналитики'!H4607,WeightedRevAge19)-SUMIF(ThresholdAge19,"&lt;"&amp;'19_Расчет_аналитики'!H4607,WeightedMinAge19),MAX(CapacityAge19*'01_Вводные'!$B$218*'19_Расчет_аналитики'!H4607,MeanMinAge19))),0)</f>
        <v/>
      </c>
      <c r="I4530">
        <f>IF('01_Вводные'!$B$234="Да",IF(OR('06_Сеть_и_дети'!I99=0,19&lt;='01_Вводные'!$B$297),0,'06_Сеть_и_дети'!I99*IF('01_Вводные'!$B$239="Да",MeanMinAge19+'19_Расчет_аналитики'!I4607*SUMIF(ThresholdAge19,"&lt;"&amp;'19_Расчет_аналитики'!I4607,WeightedRevAge19)-SUMIF(ThresholdAge19,"&lt;"&amp;'19_Расчет_аналитики'!I4607,WeightedMinAge19),MAX(CapacityAge19*'01_Вводные'!$B$218*'19_Расчет_аналитики'!I4607,MeanMinAge19))),0)</f>
        <v/>
      </c>
      <c r="J4530">
        <f>IF('01_Вводные'!$B$234="Да",IF(OR('06_Сеть_и_дети'!J99=0,19&lt;='01_Вводные'!$B$297),0,'06_Сеть_и_дети'!J99*IF('01_Вводные'!$B$239="Да",MeanMinAge19+'19_Расчет_аналитики'!J4607*SUMIF(ThresholdAge19,"&lt;"&amp;'19_Расчет_аналитики'!J4607,WeightedRevAge19)-SUMIF(ThresholdAge19,"&lt;"&amp;'19_Расчет_аналитики'!J4607,WeightedMinAge19),MAX(CapacityAge19*'01_Вводные'!$B$218*'19_Расчет_аналитики'!J4607,MeanMinAge19))),0)</f>
        <v/>
      </c>
      <c r="K4530">
        <f>IF('01_Вводные'!$B$234="Да",IF(OR('06_Сеть_и_дети'!K99=0,19&lt;='01_Вводные'!$B$297),0,'06_Сеть_и_дети'!K99*IF('01_Вводные'!$B$239="Да",MeanMinAge19+'19_Расчет_аналитики'!K4607*SUMIF(ThresholdAge19,"&lt;"&amp;'19_Расчет_аналитики'!K4607,WeightedRevAge19)-SUMIF(ThresholdAge19,"&lt;"&amp;'19_Расчет_аналитики'!K4607,WeightedMinAge19),MAX(CapacityAge19*'01_Вводные'!$B$218*'19_Расчет_аналитики'!K4607,MeanMinAge19))),0)</f>
        <v/>
      </c>
      <c r="L4530">
        <f>IF('01_Вводные'!$B$234="Да",IF(OR('06_Сеть_и_дети'!L99=0,19&lt;='01_Вводные'!$B$297),0,'06_Сеть_и_дети'!L99*IF('01_Вводные'!$B$239="Да",MeanMinAge19+'19_Расчет_аналитики'!L4607*SUMIF(ThresholdAge19,"&lt;"&amp;'19_Расчет_аналитики'!L4607,WeightedRevAge19)-SUMIF(ThresholdAge19,"&lt;"&amp;'19_Расчет_аналитики'!L4607,WeightedMinAge19),MAX(CapacityAge19*'01_Вводные'!$B$218*'19_Расчет_аналитики'!L4607,MeanMinAge19))),0)</f>
        <v/>
      </c>
      <c r="M4530">
        <f>IF('01_Вводные'!$B$234="Да",IF(OR('06_Сеть_и_дети'!M99=0,19&lt;='01_Вводные'!$B$297),0,'06_Сеть_и_дети'!M99*IF('01_Вводные'!$B$239="Да",MeanMinAge19+'19_Расчет_аналитики'!M4607*SUMIF(ThresholdAge19,"&lt;"&amp;'19_Расчет_аналитики'!M4607,WeightedRevAge19)-SUMIF(ThresholdAge19,"&lt;"&amp;'19_Расчет_аналитики'!M4607,WeightedMinAge19),MAX(CapacityAge19*'01_Вводные'!$B$218*'19_Расчет_аналитики'!M4607,MeanMinAge19))),0)</f>
        <v/>
      </c>
      <c r="N4530">
        <f>IF('01_Вводные'!$B$234="Да",IF(OR('06_Сеть_и_дети'!N99=0,19&lt;='01_Вводные'!$B$297),0,'06_Сеть_и_дети'!N99*IF('01_Вводные'!$B$239="Да",MeanMinAge19+'19_Расчет_аналитики'!N4607*SUMIF(ThresholdAge19,"&lt;"&amp;'19_Расчет_аналитики'!N4607,WeightedRevAge19)-SUMIF(ThresholdAge19,"&lt;"&amp;'19_Расчет_аналитики'!N4607,WeightedMinAge19),MAX(CapacityAge19*'01_Вводные'!$B$218*'19_Расчет_аналитики'!N4607,MeanMinAge19))),0)</f>
        <v/>
      </c>
      <c r="O4530">
        <f>IF('01_Вводные'!$B$234="Да",IF(OR('06_Сеть_и_дети'!O99=0,19&lt;='01_Вводные'!$B$297),0,'06_Сеть_и_дети'!O99*IF('01_Вводные'!$B$239="Да",MeanMinAge19+'19_Расчет_аналитики'!O4607*SUMIF(ThresholdAge19,"&lt;"&amp;'19_Расчет_аналитики'!O4607,WeightedRevAge19)-SUMIF(ThresholdAge19,"&lt;"&amp;'19_Расчет_аналитики'!O4607,WeightedMinAge19),MAX(CapacityAge19*'01_Вводные'!$B$218*'19_Расчет_аналитики'!O4607,MeanMinAge19))),0)</f>
        <v/>
      </c>
      <c r="P4530">
        <f>IF('01_Вводные'!$B$234="Да",IF(OR('06_Сеть_и_дети'!P99=0,19&lt;='01_Вводные'!$B$297),0,'06_Сеть_и_дети'!P99*IF('01_Вводные'!$B$239="Да",MeanMinAge19+'19_Расчет_аналитики'!P4607*SUMIF(ThresholdAge19,"&lt;"&amp;'19_Расчет_аналитики'!P4607,WeightedRevAge19)-SUMIF(ThresholdAge19,"&lt;"&amp;'19_Расчет_аналитики'!P4607,WeightedMinAge19),MAX(CapacityAge19*'01_Вводные'!$B$218*'19_Расчет_аналитики'!P4607,MeanMinAge19))),0)</f>
        <v/>
      </c>
      <c r="Q4530">
        <f>IF('01_Вводные'!$B$234="Да",IF(OR('06_Сеть_и_дети'!Q99=0,19&lt;='01_Вводные'!$B$297),0,'06_Сеть_и_дети'!Q99*IF('01_Вводные'!$B$239="Да",MeanMinAge19+'19_Расчет_аналитики'!Q4607*SUMIF(ThresholdAge19,"&lt;"&amp;'19_Расчет_аналитики'!Q4607,WeightedRevAge19)-SUMIF(ThresholdAge19,"&lt;"&amp;'19_Расчет_аналитики'!Q4607,WeightedMinAge19),MAX(CapacityAge19*'01_Вводные'!$B$218*'19_Расчет_аналитики'!Q4607,MeanMinAge19))),0)</f>
        <v/>
      </c>
      <c r="R4530">
        <f>IF('01_Вводные'!$B$234="Да",IF(OR('06_Сеть_и_дети'!R99=0,19&lt;='01_Вводные'!$B$297),0,'06_Сеть_и_дети'!R99*IF('01_Вводные'!$B$239="Да",MeanMinAge19+'19_Расчет_аналитики'!R4607*SUMIF(ThresholdAge19,"&lt;"&amp;'19_Расчет_аналитики'!R4607,WeightedRevAge19)-SUMIF(ThresholdAge19,"&lt;"&amp;'19_Расчет_аналитики'!R4607,WeightedMinAge19),MAX(CapacityAge19*'01_Вводные'!$B$218*'19_Расчет_аналитики'!R4607,MeanMinAge19))),0)</f>
        <v/>
      </c>
      <c r="S4530">
        <f>IF('01_Вводные'!$B$234="Да",IF(OR('06_Сеть_и_дети'!S99=0,19&lt;='01_Вводные'!$B$297),0,'06_Сеть_и_дети'!S99*IF('01_Вводные'!$B$239="Да",MeanMinAge19+'19_Расчет_аналитики'!S4607*SUMIF(ThresholdAge19,"&lt;"&amp;'19_Расчет_аналитики'!S4607,WeightedRevAge19)-SUMIF(ThresholdAge19,"&lt;"&amp;'19_Расчет_аналитики'!S4607,WeightedMinAge19),MAX(CapacityAge19*'01_Вводные'!$B$218*'19_Расчет_аналитики'!S4607,MeanMinAge19))),0)</f>
        <v/>
      </c>
      <c r="T4530">
        <f>IF('01_Вводные'!$B$234="Да",IF(OR('19_Расчет_аналитики'!T4502=0,19&lt;='01_Вводные'!$B$297),0,'19_Расчет_аналитики'!T4502*IF('01_Вводные'!$B$239="Да",MeanMinAge19+'19_Расчет_аналитики'!T4607*SUMIF(ThresholdAge19,"&lt;"&amp;'19_Расчет_аналитики'!T4607,WeightedRevAge19)-SUMIF(ThresholdAge19,"&lt;"&amp;'19_Расчет_аналитики'!T4607,WeightedMinAge19),MAX(CapacityAge19*'01_Вводные'!$B$218*'19_Расчет_аналитики'!T4607,MeanMinAge19))),0)</f>
        <v/>
      </c>
      <c r="U4530">
        <f>IF('01_Вводные'!$B$234="Да",IF(OR('19_Расчет_аналитики'!U4502=0,19&lt;='01_Вводные'!$B$297),0,'19_Расчет_аналитики'!U4502*IF('01_Вводные'!$B$239="Да",MeanMinAge19+'19_Расчет_аналитики'!U4607*SUMIF(ThresholdAge19,"&lt;"&amp;'19_Расчет_аналитики'!U4607,WeightedRevAge19)-SUMIF(ThresholdAge19,"&lt;"&amp;'19_Расчет_аналитики'!U4607,WeightedMinAge19),MAX(CapacityAge19*'01_Вводные'!$B$218*'19_Расчет_аналитики'!U4607,MeanMinAge19))),0)</f>
        <v/>
      </c>
      <c r="V4530">
        <f>IF('01_Вводные'!$B$234="Да",IF(OR('19_Расчет_аналитики'!V4502=0,19&lt;='01_Вводные'!$B$297),0,'19_Расчет_аналитики'!V4502*IF('01_Вводные'!$B$239="Да",MeanMinAge19+'19_Расчет_аналитики'!V4607*SUMIF(ThresholdAge19,"&lt;"&amp;'19_Расчет_аналитики'!V4607,WeightedRevAge19)-SUMIF(ThresholdAge19,"&lt;"&amp;'19_Расчет_аналитики'!V4607,WeightedMinAge19),MAX(CapacityAge19*'01_Вводные'!$B$218*'19_Расчет_аналитики'!V4607,MeanMinAge19))),0)</f>
        <v/>
      </c>
      <c r="W4530">
        <f>IF('01_Вводные'!$B$234="Да",IF(OR('19_Расчет_аналитики'!W4502=0,19&lt;='01_Вводные'!$B$297),0,'19_Расчет_аналитики'!W4502*IF('01_Вводные'!$B$239="Да",MeanMinAge19+'19_Расчет_аналитики'!W4607*SUMIF(ThresholdAge19,"&lt;"&amp;'19_Расчет_аналитики'!W4607,WeightedRevAge19)-SUMIF(ThresholdAge19,"&lt;"&amp;'19_Расчет_аналитики'!W4607,WeightedMinAge19),MAX(CapacityAge19*'01_Вводные'!$B$218*'19_Расчет_аналитики'!W4607,MeanMinAge19))),0)</f>
        <v/>
      </c>
      <c r="X4530">
        <f>IF('01_Вводные'!$B$234="Да",IF(OR('19_Расчет_аналитики'!X4502=0,19&lt;='01_Вводные'!$B$297),0,'19_Расчет_аналитики'!X4502*IF('01_Вводные'!$B$239="Да",MeanMinAge19+'19_Расчет_аналитики'!X4607*SUMIF(ThresholdAge19,"&lt;"&amp;'19_Расчет_аналитики'!X4607,WeightedRevAge19)-SUMIF(ThresholdAge19,"&lt;"&amp;'19_Расчет_аналитики'!X4607,WeightedMinAge19),MAX(CapacityAge19*'01_Вводные'!$B$218*'19_Расчет_аналитики'!X4607,MeanMinAge19))),0)</f>
        <v/>
      </c>
      <c r="Y4530">
        <f>IF('01_Вводные'!$B$234="Да",IF(OR('19_Расчет_аналитики'!Y4502=0,19&lt;='01_Вводные'!$B$297),0,'19_Расчет_аналитики'!Y4502*IF('01_Вводные'!$B$239="Да",MeanMinAge19+'19_Расчет_аналитики'!Y4607*SUMIF(ThresholdAge19,"&lt;"&amp;'19_Расчет_аналитики'!Y4607,WeightedRevAge19)-SUMIF(ThresholdAge19,"&lt;"&amp;'19_Расчет_аналитики'!Y4607,WeightedMinAge19),MAX(CapacityAge19*'01_Вводные'!$B$218*'19_Расчет_аналитики'!Y4607,MeanMinAge19))),0)</f>
        <v/>
      </c>
      <c r="Z4530">
        <f>IF('01_Вводные'!$B$234="Да",IF(OR('19_Расчет_аналитики'!Z4502=0,19&lt;='01_Вводные'!$B$297),0,'19_Расчет_аналитики'!Z4502*IF('01_Вводные'!$B$239="Да",MeanMinAge19+'19_Расчет_аналитики'!Z4607*SUMIF(ThresholdAge19,"&lt;"&amp;'19_Расчет_аналитики'!Z4607,WeightedRevAge19)-SUMIF(ThresholdAge19,"&lt;"&amp;'19_Расчет_аналитики'!Z4607,WeightedMinAge19),MAX(CapacityAge19*'01_Вводные'!$B$218*'19_Расчет_аналитики'!Z4607,MeanMinAge19))),0)</f>
        <v/>
      </c>
      <c r="AA4530">
        <f>IF('01_Вводные'!$B$234="Да",IF(OR('19_Расчет_аналитики'!AA4502=0,19&lt;='01_Вводные'!$B$297),0,'19_Расчет_аналитики'!AA4502*IF('01_Вводные'!$B$239="Да",MeanMinAge19+'19_Расчет_аналитики'!AA4607*SUMIF(ThresholdAge19,"&lt;"&amp;'19_Расчет_аналитики'!AA4607,WeightedRevAge19)-SUMIF(ThresholdAge19,"&lt;"&amp;'19_Расчет_аналитики'!AA4607,WeightedMinAge19),MAX(CapacityAge19*'01_Вводные'!$B$218*'19_Расчет_аналитики'!AA4607,MeanMinAge19))),0)</f>
        <v/>
      </c>
      <c r="AB4530">
        <f>IF('01_Вводные'!$B$234="Да",IF(OR('19_Расчет_аналитики'!AB4502=0,19&lt;='01_Вводные'!$B$297),0,'19_Расчет_аналитики'!AB4502*IF('01_Вводные'!$B$239="Да",MeanMinAge19+'19_Расчет_аналитики'!AB4607*SUMIF(ThresholdAge19,"&lt;"&amp;'19_Расчет_аналитики'!AB4607,WeightedRevAge19)-SUMIF(ThresholdAge19,"&lt;"&amp;'19_Расчет_аналитики'!AB4607,WeightedMinAge19),MAX(CapacityAge19*'01_Вводные'!$B$218*'19_Расчет_аналитики'!AB4607,MeanMinAge19))),0)</f>
        <v/>
      </c>
      <c r="AC4530">
        <f>IF('01_Вводные'!$B$234="Да",IF(OR('19_Расчет_аналитики'!AC4502=0,19&lt;='01_Вводные'!$B$297),0,'19_Расчет_аналитики'!AC4502*IF('01_Вводные'!$B$239="Да",MeanMinAge19+'19_Расчет_аналитики'!AC4607*SUMIF(ThresholdAge19,"&lt;"&amp;'19_Расчет_аналитики'!AC4607,WeightedRevAge19)-SUMIF(ThresholdAge19,"&lt;"&amp;'19_Расчет_аналитики'!AC4607,WeightedMinAge19),MAX(CapacityAge19*'01_Вводные'!$B$218*'19_Расчет_аналитики'!AC4607,MeanMinAge19))),0)</f>
        <v/>
      </c>
      <c r="AD4530">
        <f>IF('01_Вводные'!$B$234="Да",IF(OR('19_Расчет_аналитики'!AD4502=0,19&lt;='01_Вводные'!$B$297),0,'19_Расчет_аналитики'!AD4502*IF('01_Вводные'!$B$239="Да",MeanMinAge19+'19_Расчет_аналитики'!AD4607*SUMIF(ThresholdAge19,"&lt;"&amp;'19_Расчет_аналитики'!AD4607,WeightedRevAge19)-SUMIF(ThresholdAge19,"&lt;"&amp;'19_Расчет_аналитики'!AD4607,WeightedMinAge19),MAX(CapacityAge19*'01_Вводные'!$B$218*'19_Расчет_аналитики'!AD4607,MeanMinAge19))),0)</f>
        <v/>
      </c>
      <c r="AE4530">
        <f>IF('01_Вводные'!$B$234="Да",IF(OR('19_Расчет_аналитики'!AE4502=0,19&lt;='01_Вводные'!$B$297),0,'19_Расчет_аналитики'!AE4502*IF('01_Вводные'!$B$239="Да",MeanMinAge19+'19_Расчет_аналитики'!AE4607*SUMIF(ThresholdAge19,"&lt;"&amp;'19_Расчет_аналитики'!AE4607,WeightedRevAge19)-SUMIF(ThresholdAge19,"&lt;"&amp;'19_Расчет_аналитики'!AE4607,WeightedMinAge19),MAX(CapacityAge19*'01_Вводные'!$B$218*'19_Расчет_аналитики'!AE4607,MeanMinAge19))),0)</f>
        <v/>
      </c>
      <c r="AF4530">
        <f>IF('01_Вводные'!$B$234="Да",IF(OR('19_Расчет_аналитики'!AF4502=0,19&lt;='01_Вводные'!$B$297),0,'19_Расчет_аналитики'!AF4502*IF('01_Вводные'!$B$239="Да",MeanMinAge19+'19_Расчет_аналитики'!AF4607*SUMIF(ThresholdAge19,"&lt;"&amp;'19_Расчет_аналитики'!AF4607,WeightedRevAge19)-SUMIF(ThresholdAge19,"&lt;"&amp;'19_Расчет_аналитики'!AF4607,WeightedMinAge19),MAX(CapacityAge19*'01_Вводные'!$B$218*'19_Расчет_аналитики'!AF4607,MeanMinAge19))),0)</f>
        <v/>
      </c>
      <c r="AG4530">
        <f>IF('01_Вводные'!$B$234="Да",IF(OR('19_Расчет_аналитики'!AG4502=0,19&lt;='01_Вводные'!$B$297),0,'19_Расчет_аналитики'!AG4502*IF('01_Вводные'!$B$239="Да",MeanMinAge19+'19_Расчет_аналитики'!AG4607*SUMIF(ThresholdAge19,"&lt;"&amp;'19_Расчет_аналитики'!AG4607,WeightedRevAge19)-SUMIF(ThresholdAge19,"&lt;"&amp;'19_Расчет_аналитики'!AG4607,WeightedMinAge19),MAX(CapacityAge19*'01_Вводные'!$B$218*'19_Расчет_аналитики'!AG4607,MeanMinAge19))),0)</f>
        <v/>
      </c>
      <c r="AH4530">
        <f>IF('01_Вводные'!$B$234="Да",IF(OR('19_Расчет_аналитики'!AH4502=0,19&lt;='01_Вводные'!$B$297),0,'19_Расчет_аналитики'!AH4502*IF('01_Вводные'!$B$239="Да",MeanMinAge19+'19_Расчет_аналитики'!AH4607*SUMIF(ThresholdAge19,"&lt;"&amp;'19_Расчет_аналитики'!AH4607,WeightedRevAge19)-SUMIF(ThresholdAge19,"&lt;"&amp;'19_Расчет_аналитики'!AH4607,WeightedMinAge19),MAX(CapacityAge19*'01_Вводные'!$B$218*'19_Расчет_аналитики'!AH4607,MeanMinAge19))),0)</f>
        <v/>
      </c>
      <c r="AI4530">
        <f>IF('01_Вводные'!$B$234="Да",IF(OR('19_Расчет_аналитики'!AI4502=0,19&lt;='01_Вводные'!$B$297),0,'19_Расчет_аналитики'!AI4502*IF('01_Вводные'!$B$239="Да",MeanMinAge19+'19_Расчет_аналитики'!AI4607*SUMIF(ThresholdAge19,"&lt;"&amp;'19_Расчет_аналитики'!AI4607,WeightedRevAge19)-SUMIF(ThresholdAge19,"&lt;"&amp;'19_Расчет_аналитики'!AI4607,WeightedMinAge19),MAX(CapacityAge19*'01_Вводные'!$B$218*'19_Расчет_аналитики'!AI4607,MeanMinAge19))),0)</f>
        <v/>
      </c>
      <c r="AJ4530">
        <f>IF('01_Вводные'!$B$234="Да",IF(OR('19_Расчет_аналитики'!AJ4502=0,19&lt;='01_Вводные'!$B$297),0,'19_Расчет_аналитики'!AJ4502*IF('01_Вводные'!$B$239="Да",MeanMinAge19+'19_Расчет_аналитики'!AJ4607*SUMIF(ThresholdAge19,"&lt;"&amp;'19_Расчет_аналитики'!AJ4607,WeightedRevAge19)-SUMIF(ThresholdAge19,"&lt;"&amp;'19_Расчет_аналитики'!AJ4607,WeightedMinAge19),MAX(CapacityAge19*'01_Вводные'!$B$218*'19_Расчет_аналитики'!AJ4607,MeanMinAge19))),0)</f>
        <v/>
      </c>
      <c r="AK4530">
        <f>IF('01_Вводные'!$B$234="Да",IF(OR('19_Расчет_аналитики'!AK4502=0,19&lt;='01_Вводные'!$B$297),0,'19_Расчет_аналитики'!AK4502*IF('01_Вводные'!$B$239="Да",MeanMinAge19+'19_Расчет_аналитики'!AK4607*SUMIF(ThresholdAge19,"&lt;"&amp;'19_Расчет_аналитики'!AK4607,WeightedRevAge19)-SUMIF(ThresholdAge19,"&lt;"&amp;'19_Расчет_аналитики'!AK4607,WeightedMinAge19),MAX(CapacityAge19*'01_Вводные'!$B$218*'19_Расчет_аналитики'!AK4607,MeanMinAge19))),0)</f>
        <v/>
      </c>
      <c r="AL4530">
        <f>IF('01_Вводные'!$B$234="Да",IF(OR('19_Расчет_аналитики'!AL4502=0,19&lt;='01_Вводные'!$B$297),0,'19_Расчет_аналитики'!AL4502*IF('01_Вводные'!$B$239="Да",MeanMinAge19+'19_Расчет_аналитики'!AL4607*SUMIF(ThresholdAge19,"&lt;"&amp;'19_Расчет_аналитики'!AL4607,WeightedRevAge19)-SUMIF(ThresholdAge19,"&lt;"&amp;'19_Расчет_аналитики'!AL4607,WeightedMinAge19),MAX(CapacityAge19*'01_Вводные'!$B$218*'19_Расчет_аналитики'!AL4607,MeanMinAge19))),0)</f>
        <v/>
      </c>
      <c r="AM4530">
        <f>IF('01_Вводные'!$B$234="Да",IF(OR('19_Расчет_аналитики'!AM4502=0,19&lt;='01_Вводные'!$B$297),0,'19_Расчет_аналитики'!AM4502*IF('01_Вводные'!$B$239="Да",MeanMinAge19+'19_Расчет_аналитики'!AM4607*SUMIF(ThresholdAge19,"&lt;"&amp;'19_Расчет_аналитики'!AM4607,WeightedRevAge19)-SUMIF(ThresholdAge19,"&lt;"&amp;'19_Расчет_аналитики'!AM4607,WeightedMinAge19),MAX(CapacityAge19*'01_Вводные'!$B$218*'19_Расчет_аналитики'!AM4607,MeanMinAge19))),0)</f>
        <v/>
      </c>
      <c r="AN4530">
        <f>IF('01_Вводные'!$B$234="Да",IF(OR('19_Расчет_аналитики'!AN4502=0,19&lt;='01_Вводные'!$B$297),0,'19_Расчет_аналитики'!AN4502*IF('01_Вводные'!$B$239="Да",MeanMinAge19+'19_Расчет_аналитики'!AN4607*SUMIF(ThresholdAge19,"&lt;"&amp;'19_Расчет_аналитики'!AN4607,WeightedRevAge19)-SUMIF(ThresholdAge19,"&lt;"&amp;'19_Расчет_аналитики'!AN4607,WeightedMinAge19),MAX(CapacityAge19*'01_Вводные'!$B$218*'19_Расчет_аналитики'!AN4607,MeanMinAge19))),0)</f>
        <v/>
      </c>
      <c r="AO4530">
        <f>IF('01_Вводные'!$B$234="Да",IF(OR('19_Расчет_аналитики'!AO4502=0,19&lt;='01_Вводные'!$B$297),0,'19_Расчет_аналитики'!AO4502*IF('01_Вводные'!$B$239="Да",MeanMinAge19+'19_Расчет_аналитики'!AO4607*SUMIF(ThresholdAge19,"&lt;"&amp;'19_Расчет_аналитики'!AO4607,WeightedRevAge19)-SUMIF(ThresholdAge19,"&lt;"&amp;'19_Расчет_аналитики'!AO4607,WeightedMinAge19),MAX(CapacityAge19*'01_Вводные'!$B$218*'19_Расчет_аналитики'!AO4607,MeanMinAge19))),0)</f>
        <v/>
      </c>
      <c r="AP4530">
        <f>IF('01_Вводные'!$B$234="Да",IF(OR('19_Расчет_аналитики'!AP4502=0,19&lt;='01_Вводные'!$B$297),0,'19_Расчет_аналитики'!AP4502*IF('01_Вводные'!$B$239="Да",MeanMinAge19+'19_Расчет_аналитики'!AP4607*SUMIF(ThresholdAge19,"&lt;"&amp;'19_Расчет_аналитики'!AP4607,WeightedRevAge19)-SUMIF(ThresholdAge19,"&lt;"&amp;'19_Расчет_аналитики'!AP4607,WeightedMinAge19),MAX(CapacityAge19*'01_Вводные'!$B$218*'19_Расчет_аналитики'!AP4607,MeanMinAge19))),0)</f>
        <v/>
      </c>
      <c r="AQ4530">
        <f>IF('01_Вводные'!$B$234="Да",IF(OR('19_Расчет_аналитики'!AQ4502=0,19&lt;='01_Вводные'!$B$297),0,'19_Расчет_аналитики'!AQ4502*IF('01_Вводные'!$B$239="Да",MeanMinAge19+'19_Расчет_аналитики'!AQ4607*SUMIF(ThresholdAge19,"&lt;"&amp;'19_Расчет_аналитики'!AQ4607,WeightedRevAge19)-SUMIF(ThresholdAge19,"&lt;"&amp;'19_Расчет_аналитики'!AQ4607,WeightedMinAge19),MAX(CapacityAge19*'01_Вводные'!$B$218*'19_Расчет_аналитики'!AQ4607,MeanMinAge19))),0)</f>
        <v/>
      </c>
      <c r="AR4530">
        <f>IF('01_Вводные'!$B$234="Да",IF(OR('19_Расчет_аналитики'!AR4502=0,19&lt;='01_Вводные'!$B$297),0,'19_Расчет_аналитики'!AR4502*IF('01_Вводные'!$B$239="Да",MeanMinAge19+'19_Расчет_аналитики'!AR4607*SUMIF(ThresholdAge19,"&lt;"&amp;'19_Расчет_аналитики'!AR4607,WeightedRevAge19)-SUMIF(ThresholdAge19,"&lt;"&amp;'19_Расчет_аналитики'!AR4607,WeightedMinAge19),MAX(CapacityAge19*'01_Вводные'!$B$218*'19_Расчет_аналитики'!AR4607,MeanMinAge19))),0)</f>
        <v/>
      </c>
      <c r="AS4530">
        <f>IF('01_Вводные'!$B$234="Да",IF(OR('19_Расчет_аналитики'!AS4502=0,19&lt;='01_Вводные'!$B$297),0,'19_Расчет_аналитики'!AS4502*IF('01_Вводные'!$B$239="Да",MeanMinAge19+'19_Расчет_аналитики'!AS4607*SUMIF(ThresholdAge19,"&lt;"&amp;'19_Расчет_аналитики'!AS4607,WeightedRevAge19)-SUMIF(ThresholdAge19,"&lt;"&amp;'19_Расчет_аналитики'!AS4607,WeightedMinAge19),MAX(CapacityAge19*'01_Вводные'!$B$218*'19_Расчет_аналитики'!AS4607,MeanMinAge19))),0)</f>
        <v/>
      </c>
      <c r="AT4530">
        <f>IF('01_Вводные'!$B$234="Да",IF(OR('19_Расчет_аналитики'!AT4502=0,19&lt;='01_Вводные'!$B$297),0,'19_Расчет_аналитики'!AT4502*IF('01_Вводные'!$B$239="Да",MeanMinAge19+'19_Расчет_аналитики'!AT4607*SUMIF(ThresholdAge19,"&lt;"&amp;'19_Расчет_аналитики'!AT4607,WeightedRevAge19)-SUMIF(ThresholdAge19,"&lt;"&amp;'19_Расчет_аналитики'!AT4607,WeightedMinAge19),MAX(CapacityAge19*'01_Вводные'!$B$218*'19_Расчет_аналитики'!AT4607,MeanMinAge19))),0)</f>
        <v/>
      </c>
      <c r="AU4530">
        <f>IF('01_Вводные'!$B$234="Да",IF(OR('19_Расчет_аналитики'!AU4502=0,19&lt;='01_Вводные'!$B$297),0,'19_Расчет_аналитики'!AU4502*IF('01_Вводные'!$B$239="Да",MeanMinAge19+'19_Расчет_аналитики'!AU4607*SUMIF(ThresholdAge19,"&lt;"&amp;'19_Расчет_аналитики'!AU4607,WeightedRevAge19)-SUMIF(ThresholdAge19,"&lt;"&amp;'19_Расчет_аналитики'!AU4607,WeightedMinAge19),MAX(CapacityAge19*'01_Вводные'!$B$218*'19_Расчет_аналитики'!AU4607,MeanMinAge19))),0)</f>
        <v/>
      </c>
      <c r="AV4530">
        <f>IF('01_Вводные'!$B$234="Да",IF(OR('19_Расчет_аналитики'!AV4502=0,19&lt;='01_Вводные'!$B$297),0,'19_Расчет_аналитики'!AV4502*IF('01_Вводные'!$B$239="Да",MeanMinAge19+'19_Расчет_аналитики'!AV4607*SUMIF(ThresholdAge19,"&lt;"&amp;'19_Расчет_аналитики'!AV4607,WeightedRevAge19)-SUMIF(ThresholdAge19,"&lt;"&amp;'19_Расчет_аналитики'!AV4607,WeightedMinAge19),MAX(CapacityAge19*'01_Вводные'!$B$218*'19_Расчет_аналитики'!AV4607,MeanMinAge19))),0)</f>
        <v/>
      </c>
      <c r="AW4530">
        <f>IF('01_Вводные'!$B$234="Да",IF(OR('19_Расчет_аналитики'!AW4502=0,19&lt;='01_Вводные'!$B$297),0,'19_Расчет_аналитики'!AW4502*IF('01_Вводные'!$B$239="Да",MeanMinAge19+'19_Расчет_аналитики'!AW4607*SUMIF(ThresholdAge19,"&lt;"&amp;'19_Расчет_аналитики'!AW4607,WeightedRevAge19)-SUMIF(ThresholdAge19,"&lt;"&amp;'19_Расчет_аналитики'!AW4607,WeightedMinAge19),MAX(CapacityAge19*'01_Вводные'!$B$218*'19_Расчет_аналитики'!AW4607,MeanMinAge19))),0)</f>
        <v/>
      </c>
      <c r="AX4530">
        <f>IF('01_Вводные'!$B$234="Да",IF(OR('19_Расчет_аналитики'!AX4502=0,19&lt;='01_Вводные'!$B$297),0,'19_Расчет_аналитики'!AX4502*IF('01_Вводные'!$B$239="Да",MeanMinAge19+'19_Расчет_аналитики'!AX4607*SUMIF(ThresholdAge19,"&lt;"&amp;'19_Расчет_аналитики'!AX4607,WeightedRevAge19)-SUMIF(ThresholdAge19,"&lt;"&amp;'19_Расчет_аналитики'!AX4607,WeightedMinAge19),MAX(CapacityAge19*'01_Вводные'!$B$218*'19_Расчет_аналитики'!AX4607,MeanMinAge19))),0)</f>
        <v/>
      </c>
      <c r="AY4530">
        <f>IF('01_Вводные'!$B$234="Да",IF(OR('19_Расчет_аналитики'!AY4502=0,19&lt;='01_Вводные'!$B$297),0,'19_Расчет_аналитики'!AY4502*IF('01_Вводные'!$B$239="Да",MeanMinAge19+'19_Расчет_аналитики'!AY4607*SUMIF(ThresholdAge19,"&lt;"&amp;'19_Расчет_аналитики'!AY4607,WeightedRevAge19)-SUMIF(ThresholdAge19,"&lt;"&amp;'19_Расчет_аналитики'!AY4607,WeightedMinAge19),MAX(CapacityAge19*'01_Вводные'!$B$218*'19_Расчет_аналитики'!AY4607,MeanMinAge19))),0)</f>
        <v/>
      </c>
      <c r="AZ4530">
        <f>IF('01_Вводные'!$B$234="Да",IF(OR('19_Расчет_аналитики'!AZ4502=0,19&lt;='01_Вводные'!$B$297),0,'19_Расчет_аналитики'!AZ4502*IF('01_Вводные'!$B$239="Да",MeanMinAge19+'19_Расчет_аналитики'!AZ4607*SUMIF(ThresholdAge19,"&lt;"&amp;'19_Расчет_аналитики'!AZ4607,WeightedRevAge19)-SUMIF(ThresholdAge19,"&lt;"&amp;'19_Расчет_аналитики'!AZ4607,WeightedMinAge19),MAX(CapacityAge19*'01_Вводные'!$B$218*'19_Расчет_аналитики'!AZ4607,MeanMinAge19))),0)</f>
        <v/>
      </c>
      <c r="BA4530">
        <f>IF('01_Вводные'!$B$234="Да",IF(OR('19_Расчет_аналитики'!BA4502=0,19&lt;='01_Вводные'!$B$297),0,'19_Расчет_аналитики'!BA4502*IF('01_Вводные'!$B$239="Да",MeanMinAge19+'19_Расчет_аналитики'!BA4607*SUMIF(ThresholdAge19,"&lt;"&amp;'19_Расчет_аналитики'!BA4607,WeightedRevAge19)-SUMIF(ThresholdAge19,"&lt;"&amp;'19_Расчет_аналитики'!BA4607,WeightedMinAge19),MAX(CapacityAge19*'01_Вводные'!$B$218*'19_Расчет_аналитики'!BA4607,MeanMinAge19))),0)</f>
        <v/>
      </c>
      <c r="BB4530">
        <f>IF('01_Вводные'!$B$234="Да",IF(OR('19_Расчет_аналитики'!BB4502=0,19&lt;='01_Вводные'!$B$297),0,'19_Расчет_аналитики'!BB4502*IF('01_Вводные'!$B$239="Да",MeanMinAge19+'19_Расчет_аналитики'!BB4607*SUMIF(ThresholdAge19,"&lt;"&amp;'19_Расчет_аналитики'!BB4607,WeightedRevAge19)-SUMIF(ThresholdAge19,"&lt;"&amp;'19_Расчет_аналитики'!BB4607,WeightedMinAge19),MAX(CapacityAge19*'01_Вводные'!$B$218*'19_Расчет_аналитики'!BB4607,MeanMinAge19))),0)</f>
        <v/>
      </c>
      <c r="BC4530">
        <f>IF('01_Вводные'!$B$234="Да",IF(OR('19_Расчет_аналитики'!BC4502=0,19&lt;='01_Вводные'!$B$297),0,'19_Расчет_аналитики'!BC4502*IF('01_Вводные'!$B$239="Да",MeanMinAge19+'19_Расчет_аналитики'!BC4607*SUMIF(ThresholdAge19,"&lt;"&amp;'19_Расчет_аналитики'!BC4607,WeightedRevAge19)-SUMIF(ThresholdAge19,"&lt;"&amp;'19_Расчет_аналитики'!BC4607,WeightedMinAge19),MAX(CapacityAge19*'01_Вводные'!$B$218*'19_Расчет_аналитики'!BC4607,MeanMinAge19))),0)</f>
        <v/>
      </c>
      <c r="BD4530">
        <f>IF('01_Вводные'!$B$234="Да",IF(OR('19_Расчет_аналитики'!BD4502=0,19&lt;='01_Вводные'!$B$297),0,'19_Расчет_аналитики'!BD4502*IF('01_Вводные'!$B$239="Да",MeanMinAge19+'19_Расчет_аналитики'!BD4607*SUMIF(ThresholdAge19,"&lt;"&amp;'19_Расчет_аналитики'!BD4607,WeightedRevAge19)-SUMIF(ThresholdAge19,"&lt;"&amp;'19_Расчет_аналитики'!BD4607,WeightedMinAge19),MAX(CapacityAge19*'01_Вводные'!$B$218*'19_Расчет_аналитики'!BD4607,MeanMinAge19))),0)</f>
        <v/>
      </c>
      <c r="BE4530">
        <f>IF('01_Вводные'!$B$234="Да",IF(OR('19_Расчет_аналитики'!BE4502=0,19&lt;='01_Вводные'!$B$297),0,'19_Расчет_аналитики'!BE4502*IF('01_Вводные'!$B$239="Да",MeanMinAge19+'19_Расчет_аналитики'!BE4607*SUMIF(ThresholdAge19,"&lt;"&amp;'19_Расчет_аналитики'!BE4607,WeightedRevAge19)-SUMIF(ThresholdAge19,"&lt;"&amp;'19_Расчет_аналитики'!BE4607,WeightedMinAge19),MAX(CapacityAge19*'01_Вводные'!$B$218*'19_Расчет_аналитики'!BE4607,MeanMinAge19))),0)</f>
        <v/>
      </c>
      <c r="BF4530">
        <f>IF('01_Вводные'!$B$234="Да",IF(OR('19_Расчет_аналитики'!BF4502=0,19&lt;='01_Вводные'!$B$297),0,'19_Расчет_аналитики'!BF4502*IF('01_Вводные'!$B$239="Да",MeanMinAge19+'19_Расчет_аналитики'!BF4607*SUMIF(ThresholdAge19,"&lt;"&amp;'19_Расчет_аналитики'!BF4607,WeightedRevAge19)-SUMIF(ThresholdAge19,"&lt;"&amp;'19_Расчет_аналитики'!BF4607,WeightedMinAge19),MAX(CapacityAge19*'01_Вводные'!$B$218*'19_Расчет_аналитики'!BF4607,MeanMinAge19))),0)</f>
        <v/>
      </c>
      <c r="BG4530">
        <f>IF('01_Вводные'!$B$234="Да",IF(OR('19_Расчет_аналитики'!BG4502=0,19&lt;='01_Вводные'!$B$297),0,'19_Расчет_аналитики'!BG4502*IF('01_Вводные'!$B$239="Да",MeanMinAge19+'19_Расчет_аналитики'!BG4607*SUMIF(ThresholdAge19,"&lt;"&amp;'19_Расчет_аналитики'!BG4607,WeightedRevAge19)-SUMIF(ThresholdAge19,"&lt;"&amp;'19_Расчет_аналитики'!BG4607,WeightedMinAge19),MAX(CapacityAge19*'01_Вводные'!$B$218*'19_Расчет_аналитики'!BG4607,MeanMinAge19))),0)</f>
        <v/>
      </c>
      <c r="BH4530">
        <f>IF('01_Вводные'!$B$234="Да",IF(OR('19_Расчет_аналитики'!BH4502=0,19&lt;='01_Вводные'!$B$297),0,'19_Расчет_аналитики'!BH4502*IF('01_Вводные'!$B$239="Да",MeanMinAge19+'19_Расчет_аналитики'!BH4607*SUMIF(ThresholdAge19,"&lt;"&amp;'19_Расчет_аналитики'!BH4607,WeightedRevAge19)-SUMIF(ThresholdAge19,"&lt;"&amp;'19_Расчет_аналитики'!BH4607,WeightedMinAge19),MAX(CapacityAge19*'01_Вводные'!$B$218*'19_Расчет_аналитики'!BH4607,MeanMinAge19))),0)</f>
        <v/>
      </c>
      <c r="BI4530">
        <f>IF('01_Вводные'!$B$234="Да",IF(OR('19_Расчет_аналитики'!BI4502=0,19&lt;='01_Вводные'!$B$297),0,'19_Расчет_аналитики'!BI4502*IF('01_Вводные'!$B$239="Да",MeanMinAge19+'19_Расчет_аналитики'!BI4607*SUMIF(ThresholdAge19,"&lt;"&amp;'19_Расчет_аналитики'!BI4607,WeightedRevAge19)-SUMIF(ThresholdAge19,"&lt;"&amp;'19_Расчет_аналитики'!BI4607,WeightedMinAge19),MAX(CapacityAge19*'01_Вводные'!$B$218*'19_Расчет_аналитики'!BI4607,MeanMinAge19))),0)</f>
        <v/>
      </c>
      <c r="BJ4530">
        <f>IF('01_Вводные'!$B$234="Да",IF(OR('19_Расчет_аналитики'!BJ4502=0,19&lt;='01_Вводные'!$B$297),0,'19_Расчет_аналитики'!BJ4502*IF('01_Вводные'!$B$239="Да",MeanMinAge19+'19_Расчет_аналитики'!BJ4607*SUMIF(ThresholdAge19,"&lt;"&amp;'19_Расчет_аналитики'!BJ4607,WeightedRevAge19)-SUMIF(ThresholdAge19,"&lt;"&amp;'19_Расчет_аналитики'!BJ4607,WeightedMinAge19),MAX(CapacityAge19*'01_Вводные'!$B$218*'19_Расчет_аналитики'!BJ4607,MeanMinAge19))),0)</f>
        <v/>
      </c>
      <c r="BK4530">
        <f>IF('01_Вводные'!$B$234="Да",IF(OR('19_Расчет_аналитики'!BK4502=0,19&lt;='01_Вводные'!$B$297),0,'19_Расчет_аналитики'!BK4502*IF('01_Вводные'!$B$239="Да",MeanMinAge19+'19_Расчет_аналитики'!BK4607*SUMIF(ThresholdAge19,"&lt;"&amp;'19_Расчет_аналитики'!BK4607,WeightedRevAge19)-SUMIF(ThresholdAge19,"&lt;"&amp;'19_Расчет_аналитики'!BK4607,WeightedMinAge19),MAX(CapacityAge19*'01_Вводные'!$B$218*'19_Расчет_аналитики'!BK4607,MeanMinAge19))),0)</f>
        <v/>
      </c>
      <c r="BL4530">
        <f>IF('01_Вводные'!$B$234="Да",IF(OR('19_Расчет_аналитики'!BL4502=0,19&lt;='01_Вводные'!$B$297),0,'19_Расчет_аналитики'!BL4502*IF('01_Вводные'!$B$239="Да",MeanMinAge19+'19_Расчет_аналитики'!BL4607*SUMIF(ThresholdAge19,"&lt;"&amp;'19_Расчет_аналитики'!BL4607,WeightedRevAge19)-SUMIF(ThresholdAge19,"&lt;"&amp;'19_Расчет_аналитики'!BL4607,WeightedMinAge19),MAX(CapacityAge19*'01_Вводные'!$B$218*'19_Расчет_аналитики'!BL4607,MeanMinAge19))),0)</f>
        <v/>
      </c>
      <c r="BM4530">
        <f>IF('01_Вводные'!$B$234="Да",IF(OR('19_Расчет_аналитики'!BM4502=0,19&lt;='01_Вводные'!$B$297),0,'19_Расчет_аналитики'!BM4502*IF('01_Вводные'!$B$239="Да",MeanMinAge19+'19_Расчет_аналитики'!BM4607*SUMIF(ThresholdAge19,"&lt;"&amp;'19_Расчет_аналитики'!BM4607,WeightedRevAge19)-SUMIF(ThresholdAge19,"&lt;"&amp;'19_Расчет_аналитики'!BM4607,WeightedMinAge19),MAX(CapacityAge19*'01_Вводные'!$B$218*'19_Расчет_аналитики'!BM4607,MeanMinAge19))),0)</f>
        <v/>
      </c>
      <c r="BN4530">
        <f>IF('01_Вводные'!$B$234="Да",IF(OR('19_Расчет_аналитики'!BN4502=0,19&lt;='01_Вводные'!$B$297),0,'19_Расчет_аналитики'!BN4502*IF('01_Вводные'!$B$239="Да",MeanMinAge19+'19_Расчет_аналитики'!BN4607*SUMIF(ThresholdAge19,"&lt;"&amp;'19_Расчет_аналитики'!BN4607,WeightedRevAge19)-SUMIF(ThresholdAge19,"&lt;"&amp;'19_Расчет_аналитики'!BN4607,WeightedMinAge19),MAX(CapacityAge19*'01_Вводные'!$B$218*'19_Расчет_аналитики'!BN4607,MeanMinAge19))),0)</f>
        <v/>
      </c>
      <c r="BO4530">
        <f>IF('01_Вводные'!$B$234="Да",IF(OR('19_Расчет_аналитики'!BO4502=0,19&lt;='01_Вводные'!$B$297),0,'19_Расчет_аналитики'!BO4502*IF('01_Вводные'!$B$239="Да",MeanMinAge19+'19_Расчет_аналитики'!BO4607*SUMIF(ThresholdAge19,"&lt;"&amp;'19_Расчет_аналитики'!BO4607,WeightedRevAge19)-SUMIF(ThresholdAge19,"&lt;"&amp;'19_Расчет_аналитики'!BO4607,WeightedMinAge19),MAX(CapacityAge19*'01_Вводные'!$B$218*'19_Расчет_аналитики'!BO4607,MeanMinAge19))),0)</f>
        <v/>
      </c>
    </row>
    <row r="4531">
      <c r="B4531">
        <f>IF('01_Вводные'!$B$234="Да",IF(OR('06_Сеть_и_дети'!B100=0,20&lt;='01_Вводные'!$B$297),0,'06_Сеть_и_дети'!B100*IF('01_Вводные'!$B$239="Да",MeanMinAge20+'19_Расчет_аналитики'!B4607*SUMIF(ThresholdAge20,"&lt;"&amp;'19_Расчет_аналитики'!B4607,WeightedRevAge20)-SUMIF(ThresholdAge20,"&lt;"&amp;'19_Расчет_аналитики'!B4607,WeightedMinAge20),MAX(CapacityAge20*'01_Вводные'!$B$218*'19_Расчет_аналитики'!B4607,MeanMinAge20))),0)</f>
        <v/>
      </c>
      <c r="C4531">
        <f>IF('01_Вводные'!$B$234="Да",IF(OR('06_Сеть_и_дети'!C100=0,20&lt;='01_Вводные'!$B$297),0,'06_Сеть_и_дети'!C100*IF('01_Вводные'!$B$239="Да",MeanMinAge20+'19_Расчет_аналитики'!C4607*SUMIF(ThresholdAge20,"&lt;"&amp;'19_Расчет_аналитики'!C4607,WeightedRevAge20)-SUMIF(ThresholdAge20,"&lt;"&amp;'19_Расчет_аналитики'!C4607,WeightedMinAge20),MAX(CapacityAge20*'01_Вводные'!$B$218*'19_Расчет_аналитики'!C4607,MeanMinAge20))),0)</f>
        <v/>
      </c>
      <c r="D4531">
        <f>IF('01_Вводные'!$B$234="Да",IF(OR('06_Сеть_и_дети'!D100=0,20&lt;='01_Вводные'!$B$297),0,'06_Сеть_и_дети'!D100*IF('01_Вводные'!$B$239="Да",MeanMinAge20+'19_Расчет_аналитики'!D4607*SUMIF(ThresholdAge20,"&lt;"&amp;'19_Расчет_аналитики'!D4607,WeightedRevAge20)-SUMIF(ThresholdAge20,"&lt;"&amp;'19_Расчет_аналитики'!D4607,WeightedMinAge20),MAX(CapacityAge20*'01_Вводные'!$B$218*'19_Расчет_аналитики'!D4607,MeanMinAge20))),0)</f>
        <v/>
      </c>
      <c r="E4531">
        <f>IF('01_Вводные'!$B$234="Да",IF(OR('06_Сеть_и_дети'!E100=0,20&lt;='01_Вводные'!$B$297),0,'06_Сеть_и_дети'!E100*IF('01_Вводные'!$B$239="Да",MeanMinAge20+'19_Расчет_аналитики'!E4607*SUMIF(ThresholdAge20,"&lt;"&amp;'19_Расчет_аналитики'!E4607,WeightedRevAge20)-SUMIF(ThresholdAge20,"&lt;"&amp;'19_Расчет_аналитики'!E4607,WeightedMinAge20),MAX(CapacityAge20*'01_Вводные'!$B$218*'19_Расчет_аналитики'!E4607,MeanMinAge20))),0)</f>
        <v/>
      </c>
      <c r="F4531">
        <f>IF('01_Вводные'!$B$234="Да",IF(OR('06_Сеть_и_дети'!F100=0,20&lt;='01_Вводные'!$B$297),0,'06_Сеть_и_дети'!F100*IF('01_Вводные'!$B$239="Да",MeanMinAge20+'19_Расчет_аналитики'!F4607*SUMIF(ThresholdAge20,"&lt;"&amp;'19_Расчет_аналитики'!F4607,WeightedRevAge20)-SUMIF(ThresholdAge20,"&lt;"&amp;'19_Расчет_аналитики'!F4607,WeightedMinAge20),MAX(CapacityAge20*'01_Вводные'!$B$218*'19_Расчет_аналитики'!F4607,MeanMinAge20))),0)</f>
        <v/>
      </c>
      <c r="G4531">
        <f>IF('01_Вводные'!$B$234="Да",IF(OR('06_Сеть_и_дети'!G100=0,20&lt;='01_Вводные'!$B$297),0,'06_Сеть_и_дети'!G100*IF('01_Вводные'!$B$239="Да",MeanMinAge20+'19_Расчет_аналитики'!G4607*SUMIF(ThresholdAge20,"&lt;"&amp;'19_Расчет_аналитики'!G4607,WeightedRevAge20)-SUMIF(ThresholdAge20,"&lt;"&amp;'19_Расчет_аналитики'!G4607,WeightedMinAge20),MAX(CapacityAge20*'01_Вводные'!$B$218*'19_Расчет_аналитики'!G4607,MeanMinAge20))),0)</f>
        <v/>
      </c>
      <c r="H4531">
        <f>IF('01_Вводные'!$B$234="Да",IF(OR('06_Сеть_и_дети'!H100=0,20&lt;='01_Вводные'!$B$297),0,'06_Сеть_и_дети'!H100*IF('01_Вводные'!$B$239="Да",MeanMinAge20+'19_Расчет_аналитики'!H4607*SUMIF(ThresholdAge20,"&lt;"&amp;'19_Расчет_аналитики'!H4607,WeightedRevAge20)-SUMIF(ThresholdAge20,"&lt;"&amp;'19_Расчет_аналитики'!H4607,WeightedMinAge20),MAX(CapacityAge20*'01_Вводные'!$B$218*'19_Расчет_аналитики'!H4607,MeanMinAge20))),0)</f>
        <v/>
      </c>
      <c r="I4531">
        <f>IF('01_Вводные'!$B$234="Да",IF(OR('06_Сеть_и_дети'!I100=0,20&lt;='01_Вводные'!$B$297),0,'06_Сеть_и_дети'!I100*IF('01_Вводные'!$B$239="Да",MeanMinAge20+'19_Расчет_аналитики'!I4607*SUMIF(ThresholdAge20,"&lt;"&amp;'19_Расчет_аналитики'!I4607,WeightedRevAge20)-SUMIF(ThresholdAge20,"&lt;"&amp;'19_Расчет_аналитики'!I4607,WeightedMinAge20),MAX(CapacityAge20*'01_Вводные'!$B$218*'19_Расчет_аналитики'!I4607,MeanMinAge20))),0)</f>
        <v/>
      </c>
      <c r="J4531">
        <f>IF('01_Вводные'!$B$234="Да",IF(OR('06_Сеть_и_дети'!J100=0,20&lt;='01_Вводные'!$B$297),0,'06_Сеть_и_дети'!J100*IF('01_Вводные'!$B$239="Да",MeanMinAge20+'19_Расчет_аналитики'!J4607*SUMIF(ThresholdAge20,"&lt;"&amp;'19_Расчет_аналитики'!J4607,WeightedRevAge20)-SUMIF(ThresholdAge20,"&lt;"&amp;'19_Расчет_аналитики'!J4607,WeightedMinAge20),MAX(CapacityAge20*'01_Вводные'!$B$218*'19_Расчет_аналитики'!J4607,MeanMinAge20))),0)</f>
        <v/>
      </c>
      <c r="K4531">
        <f>IF('01_Вводные'!$B$234="Да",IF(OR('06_Сеть_и_дети'!K100=0,20&lt;='01_Вводные'!$B$297),0,'06_Сеть_и_дети'!K100*IF('01_Вводные'!$B$239="Да",MeanMinAge20+'19_Расчет_аналитики'!K4607*SUMIF(ThresholdAge20,"&lt;"&amp;'19_Расчет_аналитики'!K4607,WeightedRevAge20)-SUMIF(ThresholdAge20,"&lt;"&amp;'19_Расчет_аналитики'!K4607,WeightedMinAge20),MAX(CapacityAge20*'01_Вводные'!$B$218*'19_Расчет_аналитики'!K4607,MeanMinAge20))),0)</f>
        <v/>
      </c>
      <c r="L4531">
        <f>IF('01_Вводные'!$B$234="Да",IF(OR('06_Сеть_и_дети'!L100=0,20&lt;='01_Вводные'!$B$297),0,'06_Сеть_и_дети'!L100*IF('01_Вводные'!$B$239="Да",MeanMinAge20+'19_Расчет_аналитики'!L4607*SUMIF(ThresholdAge20,"&lt;"&amp;'19_Расчет_аналитики'!L4607,WeightedRevAge20)-SUMIF(ThresholdAge20,"&lt;"&amp;'19_Расчет_аналитики'!L4607,WeightedMinAge20),MAX(CapacityAge20*'01_Вводные'!$B$218*'19_Расчет_аналитики'!L4607,MeanMinAge20))),0)</f>
        <v/>
      </c>
      <c r="M4531">
        <f>IF('01_Вводные'!$B$234="Да",IF(OR('06_Сеть_и_дети'!M100=0,20&lt;='01_Вводные'!$B$297),0,'06_Сеть_и_дети'!M100*IF('01_Вводные'!$B$239="Да",MeanMinAge20+'19_Расчет_аналитики'!M4607*SUMIF(ThresholdAge20,"&lt;"&amp;'19_Расчет_аналитики'!M4607,WeightedRevAge20)-SUMIF(ThresholdAge20,"&lt;"&amp;'19_Расчет_аналитики'!M4607,WeightedMinAge20),MAX(CapacityAge20*'01_Вводные'!$B$218*'19_Расчет_аналитики'!M4607,MeanMinAge20))),0)</f>
        <v/>
      </c>
      <c r="N4531">
        <f>IF('01_Вводные'!$B$234="Да",IF(OR('06_Сеть_и_дети'!N100=0,20&lt;='01_Вводные'!$B$297),0,'06_Сеть_и_дети'!N100*IF('01_Вводные'!$B$239="Да",MeanMinAge20+'19_Расчет_аналитики'!N4607*SUMIF(ThresholdAge20,"&lt;"&amp;'19_Расчет_аналитики'!N4607,WeightedRevAge20)-SUMIF(ThresholdAge20,"&lt;"&amp;'19_Расчет_аналитики'!N4607,WeightedMinAge20),MAX(CapacityAge20*'01_Вводные'!$B$218*'19_Расчет_аналитики'!N4607,MeanMinAge20))),0)</f>
        <v/>
      </c>
      <c r="O4531">
        <f>IF('01_Вводные'!$B$234="Да",IF(OR('06_Сеть_и_дети'!O100=0,20&lt;='01_Вводные'!$B$297),0,'06_Сеть_и_дети'!O100*IF('01_Вводные'!$B$239="Да",MeanMinAge20+'19_Расчет_аналитики'!O4607*SUMIF(ThresholdAge20,"&lt;"&amp;'19_Расчет_аналитики'!O4607,WeightedRevAge20)-SUMIF(ThresholdAge20,"&lt;"&amp;'19_Расчет_аналитики'!O4607,WeightedMinAge20),MAX(CapacityAge20*'01_Вводные'!$B$218*'19_Расчет_аналитики'!O4607,MeanMinAge20))),0)</f>
        <v/>
      </c>
      <c r="P4531">
        <f>IF('01_Вводные'!$B$234="Да",IF(OR('06_Сеть_и_дети'!P100=0,20&lt;='01_Вводные'!$B$297),0,'06_Сеть_и_дети'!P100*IF('01_Вводные'!$B$239="Да",MeanMinAge20+'19_Расчет_аналитики'!P4607*SUMIF(ThresholdAge20,"&lt;"&amp;'19_Расчет_аналитики'!P4607,WeightedRevAge20)-SUMIF(ThresholdAge20,"&lt;"&amp;'19_Расчет_аналитики'!P4607,WeightedMinAge20),MAX(CapacityAge20*'01_Вводные'!$B$218*'19_Расчет_аналитики'!P4607,MeanMinAge20))),0)</f>
        <v/>
      </c>
      <c r="Q4531">
        <f>IF('01_Вводные'!$B$234="Да",IF(OR('06_Сеть_и_дети'!Q100=0,20&lt;='01_Вводные'!$B$297),0,'06_Сеть_и_дети'!Q100*IF('01_Вводные'!$B$239="Да",MeanMinAge20+'19_Расчет_аналитики'!Q4607*SUMIF(ThresholdAge20,"&lt;"&amp;'19_Расчет_аналитики'!Q4607,WeightedRevAge20)-SUMIF(ThresholdAge20,"&lt;"&amp;'19_Расчет_аналитики'!Q4607,WeightedMinAge20),MAX(CapacityAge20*'01_Вводные'!$B$218*'19_Расчет_аналитики'!Q4607,MeanMinAge20))),0)</f>
        <v/>
      </c>
      <c r="R4531">
        <f>IF('01_Вводные'!$B$234="Да",IF(OR('06_Сеть_и_дети'!R100=0,20&lt;='01_Вводные'!$B$297),0,'06_Сеть_и_дети'!R100*IF('01_Вводные'!$B$239="Да",MeanMinAge20+'19_Расчет_аналитики'!R4607*SUMIF(ThresholdAge20,"&lt;"&amp;'19_Расчет_аналитики'!R4607,WeightedRevAge20)-SUMIF(ThresholdAge20,"&lt;"&amp;'19_Расчет_аналитики'!R4607,WeightedMinAge20),MAX(CapacityAge20*'01_Вводные'!$B$218*'19_Расчет_аналитики'!R4607,MeanMinAge20))),0)</f>
        <v/>
      </c>
      <c r="S4531">
        <f>IF('01_Вводные'!$B$234="Да",IF(OR('06_Сеть_и_дети'!S100=0,20&lt;='01_Вводные'!$B$297),0,'06_Сеть_и_дети'!S100*IF('01_Вводные'!$B$239="Да",MeanMinAge20+'19_Расчет_аналитики'!S4607*SUMIF(ThresholdAge20,"&lt;"&amp;'19_Расчет_аналитики'!S4607,WeightedRevAge20)-SUMIF(ThresholdAge20,"&lt;"&amp;'19_Расчет_аналитики'!S4607,WeightedMinAge20),MAX(CapacityAge20*'01_Вводные'!$B$218*'19_Расчет_аналитики'!S4607,MeanMinAge20))),0)</f>
        <v/>
      </c>
      <c r="T4531">
        <f>IF('01_Вводные'!$B$234="Да",IF(OR('06_Сеть_и_дети'!T100=0,20&lt;='01_Вводные'!$B$297),0,'06_Сеть_и_дети'!T100*IF('01_Вводные'!$B$239="Да",MeanMinAge20+'19_Расчет_аналитики'!T4607*SUMIF(ThresholdAge20,"&lt;"&amp;'19_Расчет_аналитики'!T4607,WeightedRevAge20)-SUMIF(ThresholdAge20,"&lt;"&amp;'19_Расчет_аналитики'!T4607,WeightedMinAge20),MAX(CapacityAge20*'01_Вводные'!$B$218*'19_Расчет_аналитики'!T4607,MeanMinAge20))),0)</f>
        <v/>
      </c>
      <c r="U4531">
        <f>IF('01_Вводные'!$B$234="Да",IF(OR('19_Расчет_аналитики'!U4503=0,20&lt;='01_Вводные'!$B$297),0,'19_Расчет_аналитики'!U4503*IF('01_Вводные'!$B$239="Да",MeanMinAge20+'19_Расчет_аналитики'!U4607*SUMIF(ThresholdAge20,"&lt;"&amp;'19_Расчет_аналитики'!U4607,WeightedRevAge20)-SUMIF(ThresholdAge20,"&lt;"&amp;'19_Расчет_аналитики'!U4607,WeightedMinAge20),MAX(CapacityAge20*'01_Вводные'!$B$218*'19_Расчет_аналитики'!U4607,MeanMinAge20))),0)</f>
        <v/>
      </c>
      <c r="V4531">
        <f>IF('01_Вводные'!$B$234="Да",IF(OR('19_Расчет_аналитики'!V4503=0,20&lt;='01_Вводные'!$B$297),0,'19_Расчет_аналитики'!V4503*IF('01_Вводные'!$B$239="Да",MeanMinAge20+'19_Расчет_аналитики'!V4607*SUMIF(ThresholdAge20,"&lt;"&amp;'19_Расчет_аналитики'!V4607,WeightedRevAge20)-SUMIF(ThresholdAge20,"&lt;"&amp;'19_Расчет_аналитики'!V4607,WeightedMinAge20),MAX(CapacityAge20*'01_Вводные'!$B$218*'19_Расчет_аналитики'!V4607,MeanMinAge20))),0)</f>
        <v/>
      </c>
      <c r="W4531">
        <f>IF('01_Вводные'!$B$234="Да",IF(OR('19_Расчет_аналитики'!W4503=0,20&lt;='01_Вводные'!$B$297),0,'19_Расчет_аналитики'!W4503*IF('01_Вводные'!$B$239="Да",MeanMinAge20+'19_Расчет_аналитики'!W4607*SUMIF(ThresholdAge20,"&lt;"&amp;'19_Расчет_аналитики'!W4607,WeightedRevAge20)-SUMIF(ThresholdAge20,"&lt;"&amp;'19_Расчет_аналитики'!W4607,WeightedMinAge20),MAX(CapacityAge20*'01_Вводные'!$B$218*'19_Расчет_аналитики'!W4607,MeanMinAge20))),0)</f>
        <v/>
      </c>
      <c r="X4531">
        <f>IF('01_Вводные'!$B$234="Да",IF(OR('19_Расчет_аналитики'!X4503=0,20&lt;='01_Вводные'!$B$297),0,'19_Расчет_аналитики'!X4503*IF('01_Вводные'!$B$239="Да",MeanMinAge20+'19_Расчет_аналитики'!X4607*SUMIF(ThresholdAge20,"&lt;"&amp;'19_Расчет_аналитики'!X4607,WeightedRevAge20)-SUMIF(ThresholdAge20,"&lt;"&amp;'19_Расчет_аналитики'!X4607,WeightedMinAge20),MAX(CapacityAge20*'01_Вводные'!$B$218*'19_Расчет_аналитики'!X4607,MeanMinAge20))),0)</f>
        <v/>
      </c>
      <c r="Y4531">
        <f>IF('01_Вводные'!$B$234="Да",IF(OR('19_Расчет_аналитики'!Y4503=0,20&lt;='01_Вводные'!$B$297),0,'19_Расчет_аналитики'!Y4503*IF('01_Вводные'!$B$239="Да",MeanMinAge20+'19_Расчет_аналитики'!Y4607*SUMIF(ThresholdAge20,"&lt;"&amp;'19_Расчет_аналитики'!Y4607,WeightedRevAge20)-SUMIF(ThresholdAge20,"&lt;"&amp;'19_Расчет_аналитики'!Y4607,WeightedMinAge20),MAX(CapacityAge20*'01_Вводные'!$B$218*'19_Расчет_аналитики'!Y4607,MeanMinAge20))),0)</f>
        <v/>
      </c>
      <c r="Z4531">
        <f>IF('01_Вводные'!$B$234="Да",IF(OR('19_Расчет_аналитики'!Z4503=0,20&lt;='01_Вводные'!$B$297),0,'19_Расчет_аналитики'!Z4503*IF('01_Вводные'!$B$239="Да",MeanMinAge20+'19_Расчет_аналитики'!Z4607*SUMIF(ThresholdAge20,"&lt;"&amp;'19_Расчет_аналитики'!Z4607,WeightedRevAge20)-SUMIF(ThresholdAge20,"&lt;"&amp;'19_Расчет_аналитики'!Z4607,WeightedMinAge20),MAX(CapacityAge20*'01_Вводные'!$B$218*'19_Расчет_аналитики'!Z4607,MeanMinAge20))),0)</f>
        <v/>
      </c>
      <c r="AA4531">
        <f>IF('01_Вводные'!$B$234="Да",IF(OR('19_Расчет_аналитики'!AA4503=0,20&lt;='01_Вводные'!$B$297),0,'19_Расчет_аналитики'!AA4503*IF('01_Вводные'!$B$239="Да",MeanMinAge20+'19_Расчет_аналитики'!AA4607*SUMIF(ThresholdAge20,"&lt;"&amp;'19_Расчет_аналитики'!AA4607,WeightedRevAge20)-SUMIF(ThresholdAge20,"&lt;"&amp;'19_Расчет_аналитики'!AA4607,WeightedMinAge20),MAX(CapacityAge20*'01_Вводные'!$B$218*'19_Расчет_аналитики'!AA4607,MeanMinAge20))),0)</f>
        <v/>
      </c>
      <c r="AB4531">
        <f>IF('01_Вводные'!$B$234="Да",IF(OR('19_Расчет_аналитики'!AB4503=0,20&lt;='01_Вводные'!$B$297),0,'19_Расчет_аналитики'!AB4503*IF('01_Вводные'!$B$239="Да",MeanMinAge20+'19_Расчет_аналитики'!AB4607*SUMIF(ThresholdAge20,"&lt;"&amp;'19_Расчет_аналитики'!AB4607,WeightedRevAge20)-SUMIF(ThresholdAge20,"&lt;"&amp;'19_Расчет_аналитики'!AB4607,WeightedMinAge20),MAX(CapacityAge20*'01_Вводные'!$B$218*'19_Расчет_аналитики'!AB4607,MeanMinAge20))),0)</f>
        <v/>
      </c>
      <c r="AC4531">
        <f>IF('01_Вводные'!$B$234="Да",IF(OR('19_Расчет_аналитики'!AC4503=0,20&lt;='01_Вводные'!$B$297),0,'19_Расчет_аналитики'!AC4503*IF('01_Вводные'!$B$239="Да",MeanMinAge20+'19_Расчет_аналитики'!AC4607*SUMIF(ThresholdAge20,"&lt;"&amp;'19_Расчет_аналитики'!AC4607,WeightedRevAge20)-SUMIF(ThresholdAge20,"&lt;"&amp;'19_Расчет_аналитики'!AC4607,WeightedMinAge20),MAX(CapacityAge20*'01_Вводные'!$B$218*'19_Расчет_аналитики'!AC4607,MeanMinAge20))),0)</f>
        <v/>
      </c>
      <c r="AD4531">
        <f>IF('01_Вводные'!$B$234="Да",IF(OR('19_Расчет_аналитики'!AD4503=0,20&lt;='01_Вводные'!$B$297),0,'19_Расчет_аналитики'!AD4503*IF('01_Вводные'!$B$239="Да",MeanMinAge20+'19_Расчет_аналитики'!AD4607*SUMIF(ThresholdAge20,"&lt;"&amp;'19_Расчет_аналитики'!AD4607,WeightedRevAge20)-SUMIF(ThresholdAge20,"&lt;"&amp;'19_Расчет_аналитики'!AD4607,WeightedMinAge20),MAX(CapacityAge20*'01_Вводные'!$B$218*'19_Расчет_аналитики'!AD4607,MeanMinAge20))),0)</f>
        <v/>
      </c>
      <c r="AE4531">
        <f>IF('01_Вводные'!$B$234="Да",IF(OR('19_Расчет_аналитики'!AE4503=0,20&lt;='01_Вводные'!$B$297),0,'19_Расчет_аналитики'!AE4503*IF('01_Вводные'!$B$239="Да",MeanMinAge20+'19_Расчет_аналитики'!AE4607*SUMIF(ThresholdAge20,"&lt;"&amp;'19_Расчет_аналитики'!AE4607,WeightedRevAge20)-SUMIF(ThresholdAge20,"&lt;"&amp;'19_Расчет_аналитики'!AE4607,WeightedMinAge20),MAX(CapacityAge20*'01_Вводные'!$B$218*'19_Расчет_аналитики'!AE4607,MeanMinAge20))),0)</f>
        <v/>
      </c>
      <c r="AF4531">
        <f>IF('01_Вводные'!$B$234="Да",IF(OR('19_Расчет_аналитики'!AF4503=0,20&lt;='01_Вводные'!$B$297),0,'19_Расчет_аналитики'!AF4503*IF('01_Вводные'!$B$239="Да",MeanMinAge20+'19_Расчет_аналитики'!AF4607*SUMIF(ThresholdAge20,"&lt;"&amp;'19_Расчет_аналитики'!AF4607,WeightedRevAge20)-SUMIF(ThresholdAge20,"&lt;"&amp;'19_Расчет_аналитики'!AF4607,WeightedMinAge20),MAX(CapacityAge20*'01_Вводные'!$B$218*'19_Расчет_аналитики'!AF4607,MeanMinAge20))),0)</f>
        <v/>
      </c>
      <c r="AG4531">
        <f>IF('01_Вводные'!$B$234="Да",IF(OR('19_Расчет_аналитики'!AG4503=0,20&lt;='01_Вводные'!$B$297),0,'19_Расчет_аналитики'!AG4503*IF('01_Вводные'!$B$239="Да",MeanMinAge20+'19_Расчет_аналитики'!AG4607*SUMIF(ThresholdAge20,"&lt;"&amp;'19_Расчет_аналитики'!AG4607,WeightedRevAge20)-SUMIF(ThresholdAge20,"&lt;"&amp;'19_Расчет_аналитики'!AG4607,WeightedMinAge20),MAX(CapacityAge20*'01_Вводные'!$B$218*'19_Расчет_аналитики'!AG4607,MeanMinAge20))),0)</f>
        <v/>
      </c>
      <c r="AH4531">
        <f>IF('01_Вводные'!$B$234="Да",IF(OR('19_Расчет_аналитики'!AH4503=0,20&lt;='01_Вводные'!$B$297),0,'19_Расчет_аналитики'!AH4503*IF('01_Вводные'!$B$239="Да",MeanMinAge20+'19_Расчет_аналитики'!AH4607*SUMIF(ThresholdAge20,"&lt;"&amp;'19_Расчет_аналитики'!AH4607,WeightedRevAge20)-SUMIF(ThresholdAge20,"&lt;"&amp;'19_Расчет_аналитики'!AH4607,WeightedMinAge20),MAX(CapacityAge20*'01_Вводные'!$B$218*'19_Расчет_аналитики'!AH4607,MeanMinAge20))),0)</f>
        <v/>
      </c>
      <c r="AI4531">
        <f>IF('01_Вводные'!$B$234="Да",IF(OR('19_Расчет_аналитики'!AI4503=0,20&lt;='01_Вводные'!$B$297),0,'19_Расчет_аналитики'!AI4503*IF('01_Вводные'!$B$239="Да",MeanMinAge20+'19_Расчет_аналитики'!AI4607*SUMIF(ThresholdAge20,"&lt;"&amp;'19_Расчет_аналитики'!AI4607,WeightedRevAge20)-SUMIF(ThresholdAge20,"&lt;"&amp;'19_Расчет_аналитики'!AI4607,WeightedMinAge20),MAX(CapacityAge20*'01_Вводные'!$B$218*'19_Расчет_аналитики'!AI4607,MeanMinAge20))),0)</f>
        <v/>
      </c>
      <c r="AJ4531">
        <f>IF('01_Вводные'!$B$234="Да",IF(OR('19_Расчет_аналитики'!AJ4503=0,20&lt;='01_Вводные'!$B$297),0,'19_Расчет_аналитики'!AJ4503*IF('01_Вводные'!$B$239="Да",MeanMinAge20+'19_Расчет_аналитики'!AJ4607*SUMIF(ThresholdAge20,"&lt;"&amp;'19_Расчет_аналитики'!AJ4607,WeightedRevAge20)-SUMIF(ThresholdAge20,"&lt;"&amp;'19_Расчет_аналитики'!AJ4607,WeightedMinAge20),MAX(CapacityAge20*'01_Вводные'!$B$218*'19_Расчет_аналитики'!AJ4607,MeanMinAge20))),0)</f>
        <v/>
      </c>
      <c r="AK4531">
        <f>IF('01_Вводные'!$B$234="Да",IF(OR('19_Расчет_аналитики'!AK4503=0,20&lt;='01_Вводные'!$B$297),0,'19_Расчет_аналитики'!AK4503*IF('01_Вводные'!$B$239="Да",MeanMinAge20+'19_Расчет_аналитики'!AK4607*SUMIF(ThresholdAge20,"&lt;"&amp;'19_Расчет_аналитики'!AK4607,WeightedRevAge20)-SUMIF(ThresholdAge20,"&lt;"&amp;'19_Расчет_аналитики'!AK4607,WeightedMinAge20),MAX(CapacityAge20*'01_Вводные'!$B$218*'19_Расчет_аналитики'!AK4607,MeanMinAge20))),0)</f>
        <v/>
      </c>
      <c r="AL4531">
        <f>IF('01_Вводные'!$B$234="Да",IF(OR('19_Расчет_аналитики'!AL4503=0,20&lt;='01_Вводные'!$B$297),0,'19_Расчет_аналитики'!AL4503*IF('01_Вводные'!$B$239="Да",MeanMinAge20+'19_Расчет_аналитики'!AL4607*SUMIF(ThresholdAge20,"&lt;"&amp;'19_Расчет_аналитики'!AL4607,WeightedRevAge20)-SUMIF(ThresholdAge20,"&lt;"&amp;'19_Расчет_аналитики'!AL4607,WeightedMinAge20),MAX(CapacityAge20*'01_Вводные'!$B$218*'19_Расчет_аналитики'!AL4607,MeanMinAge20))),0)</f>
        <v/>
      </c>
      <c r="AM4531">
        <f>IF('01_Вводные'!$B$234="Да",IF(OR('19_Расчет_аналитики'!AM4503=0,20&lt;='01_Вводные'!$B$297),0,'19_Расчет_аналитики'!AM4503*IF('01_Вводные'!$B$239="Да",MeanMinAge20+'19_Расчет_аналитики'!AM4607*SUMIF(ThresholdAge20,"&lt;"&amp;'19_Расчет_аналитики'!AM4607,WeightedRevAge20)-SUMIF(ThresholdAge20,"&lt;"&amp;'19_Расчет_аналитики'!AM4607,WeightedMinAge20),MAX(CapacityAge20*'01_Вводные'!$B$218*'19_Расчет_аналитики'!AM4607,MeanMinAge20))),0)</f>
        <v/>
      </c>
      <c r="AN4531">
        <f>IF('01_Вводные'!$B$234="Да",IF(OR('19_Расчет_аналитики'!AN4503=0,20&lt;='01_Вводные'!$B$297),0,'19_Расчет_аналитики'!AN4503*IF('01_Вводные'!$B$239="Да",MeanMinAge20+'19_Расчет_аналитики'!AN4607*SUMIF(ThresholdAge20,"&lt;"&amp;'19_Расчет_аналитики'!AN4607,WeightedRevAge20)-SUMIF(ThresholdAge20,"&lt;"&amp;'19_Расчет_аналитики'!AN4607,WeightedMinAge20),MAX(CapacityAge20*'01_Вводные'!$B$218*'19_Расчет_аналитики'!AN4607,MeanMinAge20))),0)</f>
        <v/>
      </c>
      <c r="AO4531">
        <f>IF('01_Вводные'!$B$234="Да",IF(OR('19_Расчет_аналитики'!AO4503=0,20&lt;='01_Вводные'!$B$297),0,'19_Расчет_аналитики'!AO4503*IF('01_Вводные'!$B$239="Да",MeanMinAge20+'19_Расчет_аналитики'!AO4607*SUMIF(ThresholdAge20,"&lt;"&amp;'19_Расчет_аналитики'!AO4607,WeightedRevAge20)-SUMIF(ThresholdAge20,"&lt;"&amp;'19_Расчет_аналитики'!AO4607,WeightedMinAge20),MAX(CapacityAge20*'01_Вводные'!$B$218*'19_Расчет_аналитики'!AO4607,MeanMinAge20))),0)</f>
        <v/>
      </c>
      <c r="AP4531">
        <f>IF('01_Вводные'!$B$234="Да",IF(OR('19_Расчет_аналитики'!AP4503=0,20&lt;='01_Вводные'!$B$297),0,'19_Расчет_аналитики'!AP4503*IF('01_Вводные'!$B$239="Да",MeanMinAge20+'19_Расчет_аналитики'!AP4607*SUMIF(ThresholdAge20,"&lt;"&amp;'19_Расчет_аналитики'!AP4607,WeightedRevAge20)-SUMIF(ThresholdAge20,"&lt;"&amp;'19_Расчет_аналитики'!AP4607,WeightedMinAge20),MAX(CapacityAge20*'01_Вводные'!$B$218*'19_Расчет_аналитики'!AP4607,MeanMinAge20))),0)</f>
        <v/>
      </c>
      <c r="AQ4531">
        <f>IF('01_Вводные'!$B$234="Да",IF(OR('19_Расчет_аналитики'!AQ4503=0,20&lt;='01_Вводные'!$B$297),0,'19_Расчет_аналитики'!AQ4503*IF('01_Вводные'!$B$239="Да",MeanMinAge20+'19_Расчет_аналитики'!AQ4607*SUMIF(ThresholdAge20,"&lt;"&amp;'19_Расчет_аналитики'!AQ4607,WeightedRevAge20)-SUMIF(ThresholdAge20,"&lt;"&amp;'19_Расчет_аналитики'!AQ4607,WeightedMinAge20),MAX(CapacityAge20*'01_Вводные'!$B$218*'19_Расчет_аналитики'!AQ4607,MeanMinAge20))),0)</f>
        <v/>
      </c>
      <c r="AR4531">
        <f>IF('01_Вводные'!$B$234="Да",IF(OR('19_Расчет_аналитики'!AR4503=0,20&lt;='01_Вводные'!$B$297),0,'19_Расчет_аналитики'!AR4503*IF('01_Вводные'!$B$239="Да",MeanMinAge20+'19_Расчет_аналитики'!AR4607*SUMIF(ThresholdAge20,"&lt;"&amp;'19_Расчет_аналитики'!AR4607,WeightedRevAge20)-SUMIF(ThresholdAge20,"&lt;"&amp;'19_Расчет_аналитики'!AR4607,WeightedMinAge20),MAX(CapacityAge20*'01_Вводные'!$B$218*'19_Расчет_аналитики'!AR4607,MeanMinAge20))),0)</f>
        <v/>
      </c>
      <c r="AS4531">
        <f>IF('01_Вводные'!$B$234="Да",IF(OR('19_Расчет_аналитики'!AS4503=0,20&lt;='01_Вводные'!$B$297),0,'19_Расчет_аналитики'!AS4503*IF('01_Вводные'!$B$239="Да",MeanMinAge20+'19_Расчет_аналитики'!AS4607*SUMIF(ThresholdAge20,"&lt;"&amp;'19_Расчет_аналитики'!AS4607,WeightedRevAge20)-SUMIF(ThresholdAge20,"&lt;"&amp;'19_Расчет_аналитики'!AS4607,WeightedMinAge20),MAX(CapacityAge20*'01_Вводные'!$B$218*'19_Расчет_аналитики'!AS4607,MeanMinAge20))),0)</f>
        <v/>
      </c>
      <c r="AT4531">
        <f>IF('01_Вводные'!$B$234="Да",IF(OR('19_Расчет_аналитики'!AT4503=0,20&lt;='01_Вводные'!$B$297),0,'19_Расчет_аналитики'!AT4503*IF('01_Вводные'!$B$239="Да",MeanMinAge20+'19_Расчет_аналитики'!AT4607*SUMIF(ThresholdAge20,"&lt;"&amp;'19_Расчет_аналитики'!AT4607,WeightedRevAge20)-SUMIF(ThresholdAge20,"&lt;"&amp;'19_Расчет_аналитики'!AT4607,WeightedMinAge20),MAX(CapacityAge20*'01_Вводные'!$B$218*'19_Расчет_аналитики'!AT4607,MeanMinAge20))),0)</f>
        <v/>
      </c>
      <c r="AU4531">
        <f>IF('01_Вводные'!$B$234="Да",IF(OR('19_Расчет_аналитики'!AU4503=0,20&lt;='01_Вводные'!$B$297),0,'19_Расчет_аналитики'!AU4503*IF('01_Вводные'!$B$239="Да",MeanMinAge20+'19_Расчет_аналитики'!AU4607*SUMIF(ThresholdAge20,"&lt;"&amp;'19_Расчет_аналитики'!AU4607,WeightedRevAge20)-SUMIF(ThresholdAge20,"&lt;"&amp;'19_Расчет_аналитики'!AU4607,WeightedMinAge20),MAX(CapacityAge20*'01_Вводные'!$B$218*'19_Расчет_аналитики'!AU4607,MeanMinAge20))),0)</f>
        <v/>
      </c>
      <c r="AV4531">
        <f>IF('01_Вводные'!$B$234="Да",IF(OR('19_Расчет_аналитики'!AV4503=0,20&lt;='01_Вводные'!$B$297),0,'19_Расчет_аналитики'!AV4503*IF('01_Вводные'!$B$239="Да",MeanMinAge20+'19_Расчет_аналитики'!AV4607*SUMIF(ThresholdAge20,"&lt;"&amp;'19_Расчет_аналитики'!AV4607,WeightedRevAge20)-SUMIF(ThresholdAge20,"&lt;"&amp;'19_Расчет_аналитики'!AV4607,WeightedMinAge20),MAX(CapacityAge20*'01_Вводные'!$B$218*'19_Расчет_аналитики'!AV4607,MeanMinAge20))),0)</f>
        <v/>
      </c>
      <c r="AW4531">
        <f>IF('01_Вводные'!$B$234="Да",IF(OR('19_Расчет_аналитики'!AW4503=0,20&lt;='01_Вводные'!$B$297),0,'19_Расчет_аналитики'!AW4503*IF('01_Вводные'!$B$239="Да",MeanMinAge20+'19_Расчет_аналитики'!AW4607*SUMIF(ThresholdAge20,"&lt;"&amp;'19_Расчет_аналитики'!AW4607,WeightedRevAge20)-SUMIF(ThresholdAge20,"&lt;"&amp;'19_Расчет_аналитики'!AW4607,WeightedMinAge20),MAX(CapacityAge20*'01_Вводные'!$B$218*'19_Расчет_аналитики'!AW4607,MeanMinAge20))),0)</f>
        <v/>
      </c>
      <c r="AX4531">
        <f>IF('01_Вводные'!$B$234="Да",IF(OR('19_Расчет_аналитики'!AX4503=0,20&lt;='01_Вводные'!$B$297),0,'19_Расчет_аналитики'!AX4503*IF('01_Вводные'!$B$239="Да",MeanMinAge20+'19_Расчет_аналитики'!AX4607*SUMIF(ThresholdAge20,"&lt;"&amp;'19_Расчет_аналитики'!AX4607,WeightedRevAge20)-SUMIF(ThresholdAge20,"&lt;"&amp;'19_Расчет_аналитики'!AX4607,WeightedMinAge20),MAX(CapacityAge20*'01_Вводные'!$B$218*'19_Расчет_аналитики'!AX4607,MeanMinAge20))),0)</f>
        <v/>
      </c>
      <c r="AY4531">
        <f>IF('01_Вводные'!$B$234="Да",IF(OR('19_Расчет_аналитики'!AY4503=0,20&lt;='01_Вводные'!$B$297),0,'19_Расчет_аналитики'!AY4503*IF('01_Вводные'!$B$239="Да",MeanMinAge20+'19_Расчет_аналитики'!AY4607*SUMIF(ThresholdAge20,"&lt;"&amp;'19_Расчет_аналитики'!AY4607,WeightedRevAge20)-SUMIF(ThresholdAge20,"&lt;"&amp;'19_Расчет_аналитики'!AY4607,WeightedMinAge20),MAX(CapacityAge20*'01_Вводные'!$B$218*'19_Расчет_аналитики'!AY4607,MeanMinAge20))),0)</f>
        <v/>
      </c>
      <c r="AZ4531">
        <f>IF('01_Вводные'!$B$234="Да",IF(OR('19_Расчет_аналитики'!AZ4503=0,20&lt;='01_Вводные'!$B$297),0,'19_Расчет_аналитики'!AZ4503*IF('01_Вводные'!$B$239="Да",MeanMinAge20+'19_Расчет_аналитики'!AZ4607*SUMIF(ThresholdAge20,"&lt;"&amp;'19_Расчет_аналитики'!AZ4607,WeightedRevAge20)-SUMIF(ThresholdAge20,"&lt;"&amp;'19_Расчет_аналитики'!AZ4607,WeightedMinAge20),MAX(CapacityAge20*'01_Вводные'!$B$218*'19_Расчет_аналитики'!AZ4607,MeanMinAge20))),0)</f>
        <v/>
      </c>
      <c r="BA4531">
        <f>IF('01_Вводные'!$B$234="Да",IF(OR('19_Расчет_аналитики'!BA4503=0,20&lt;='01_Вводные'!$B$297),0,'19_Расчет_аналитики'!BA4503*IF('01_Вводные'!$B$239="Да",MeanMinAge20+'19_Расчет_аналитики'!BA4607*SUMIF(ThresholdAge20,"&lt;"&amp;'19_Расчет_аналитики'!BA4607,WeightedRevAge20)-SUMIF(ThresholdAge20,"&lt;"&amp;'19_Расчет_аналитики'!BA4607,WeightedMinAge20),MAX(CapacityAge20*'01_Вводные'!$B$218*'19_Расчет_аналитики'!BA4607,MeanMinAge20))),0)</f>
        <v/>
      </c>
      <c r="BB4531">
        <f>IF('01_Вводные'!$B$234="Да",IF(OR('19_Расчет_аналитики'!BB4503=0,20&lt;='01_Вводные'!$B$297),0,'19_Расчет_аналитики'!BB4503*IF('01_Вводные'!$B$239="Да",MeanMinAge20+'19_Расчет_аналитики'!BB4607*SUMIF(ThresholdAge20,"&lt;"&amp;'19_Расчет_аналитики'!BB4607,WeightedRevAge20)-SUMIF(ThresholdAge20,"&lt;"&amp;'19_Расчет_аналитики'!BB4607,WeightedMinAge20),MAX(CapacityAge20*'01_Вводные'!$B$218*'19_Расчет_аналитики'!BB4607,MeanMinAge20))),0)</f>
        <v/>
      </c>
      <c r="BC4531">
        <f>IF('01_Вводные'!$B$234="Да",IF(OR('19_Расчет_аналитики'!BC4503=0,20&lt;='01_Вводные'!$B$297),0,'19_Расчет_аналитики'!BC4503*IF('01_Вводные'!$B$239="Да",MeanMinAge20+'19_Расчет_аналитики'!BC4607*SUMIF(ThresholdAge20,"&lt;"&amp;'19_Расчет_аналитики'!BC4607,WeightedRevAge20)-SUMIF(ThresholdAge20,"&lt;"&amp;'19_Расчет_аналитики'!BC4607,WeightedMinAge20),MAX(CapacityAge20*'01_Вводные'!$B$218*'19_Расчет_аналитики'!BC4607,MeanMinAge20))),0)</f>
        <v/>
      </c>
      <c r="BD4531">
        <f>IF('01_Вводные'!$B$234="Да",IF(OR('19_Расчет_аналитики'!BD4503=0,20&lt;='01_Вводные'!$B$297),0,'19_Расчет_аналитики'!BD4503*IF('01_Вводные'!$B$239="Да",MeanMinAge20+'19_Расчет_аналитики'!BD4607*SUMIF(ThresholdAge20,"&lt;"&amp;'19_Расчет_аналитики'!BD4607,WeightedRevAge20)-SUMIF(ThresholdAge20,"&lt;"&amp;'19_Расчет_аналитики'!BD4607,WeightedMinAge20),MAX(CapacityAge20*'01_Вводные'!$B$218*'19_Расчет_аналитики'!BD4607,MeanMinAge20))),0)</f>
        <v/>
      </c>
      <c r="BE4531">
        <f>IF('01_Вводные'!$B$234="Да",IF(OR('19_Расчет_аналитики'!BE4503=0,20&lt;='01_Вводные'!$B$297),0,'19_Расчет_аналитики'!BE4503*IF('01_Вводные'!$B$239="Да",MeanMinAge20+'19_Расчет_аналитики'!BE4607*SUMIF(ThresholdAge20,"&lt;"&amp;'19_Расчет_аналитики'!BE4607,WeightedRevAge20)-SUMIF(ThresholdAge20,"&lt;"&amp;'19_Расчет_аналитики'!BE4607,WeightedMinAge20),MAX(CapacityAge20*'01_Вводные'!$B$218*'19_Расчет_аналитики'!BE4607,MeanMinAge20))),0)</f>
        <v/>
      </c>
      <c r="BF4531">
        <f>IF('01_Вводные'!$B$234="Да",IF(OR('19_Расчет_аналитики'!BF4503=0,20&lt;='01_Вводные'!$B$297),0,'19_Расчет_аналитики'!BF4503*IF('01_Вводные'!$B$239="Да",MeanMinAge20+'19_Расчет_аналитики'!BF4607*SUMIF(ThresholdAge20,"&lt;"&amp;'19_Расчет_аналитики'!BF4607,WeightedRevAge20)-SUMIF(ThresholdAge20,"&lt;"&amp;'19_Расчет_аналитики'!BF4607,WeightedMinAge20),MAX(CapacityAge20*'01_Вводные'!$B$218*'19_Расчет_аналитики'!BF4607,MeanMinAge20))),0)</f>
        <v/>
      </c>
      <c r="BG4531">
        <f>IF('01_Вводные'!$B$234="Да",IF(OR('19_Расчет_аналитики'!BG4503=0,20&lt;='01_Вводные'!$B$297),0,'19_Расчет_аналитики'!BG4503*IF('01_Вводные'!$B$239="Да",MeanMinAge20+'19_Расчет_аналитики'!BG4607*SUMIF(ThresholdAge20,"&lt;"&amp;'19_Расчет_аналитики'!BG4607,WeightedRevAge20)-SUMIF(ThresholdAge20,"&lt;"&amp;'19_Расчет_аналитики'!BG4607,WeightedMinAge20),MAX(CapacityAge20*'01_Вводные'!$B$218*'19_Расчет_аналитики'!BG4607,MeanMinAge20))),0)</f>
        <v/>
      </c>
      <c r="BH4531">
        <f>IF('01_Вводные'!$B$234="Да",IF(OR('19_Расчет_аналитики'!BH4503=0,20&lt;='01_Вводные'!$B$297),0,'19_Расчет_аналитики'!BH4503*IF('01_Вводные'!$B$239="Да",MeanMinAge20+'19_Расчет_аналитики'!BH4607*SUMIF(ThresholdAge20,"&lt;"&amp;'19_Расчет_аналитики'!BH4607,WeightedRevAge20)-SUMIF(ThresholdAge20,"&lt;"&amp;'19_Расчет_аналитики'!BH4607,WeightedMinAge20),MAX(CapacityAge20*'01_Вводные'!$B$218*'19_Расчет_аналитики'!BH4607,MeanMinAge20))),0)</f>
        <v/>
      </c>
      <c r="BI4531">
        <f>IF('01_Вводные'!$B$234="Да",IF(OR('19_Расчет_аналитики'!BI4503=0,20&lt;='01_Вводные'!$B$297),0,'19_Расчет_аналитики'!BI4503*IF('01_Вводные'!$B$239="Да",MeanMinAge20+'19_Расчет_аналитики'!BI4607*SUMIF(ThresholdAge20,"&lt;"&amp;'19_Расчет_аналитики'!BI4607,WeightedRevAge20)-SUMIF(ThresholdAge20,"&lt;"&amp;'19_Расчет_аналитики'!BI4607,WeightedMinAge20),MAX(CapacityAge20*'01_Вводные'!$B$218*'19_Расчет_аналитики'!BI4607,MeanMinAge20))),0)</f>
        <v/>
      </c>
      <c r="BJ4531">
        <f>IF('01_Вводные'!$B$234="Да",IF(OR('19_Расчет_аналитики'!BJ4503=0,20&lt;='01_Вводные'!$B$297),0,'19_Расчет_аналитики'!BJ4503*IF('01_Вводные'!$B$239="Да",MeanMinAge20+'19_Расчет_аналитики'!BJ4607*SUMIF(ThresholdAge20,"&lt;"&amp;'19_Расчет_аналитики'!BJ4607,WeightedRevAge20)-SUMIF(ThresholdAge20,"&lt;"&amp;'19_Расчет_аналитики'!BJ4607,WeightedMinAge20),MAX(CapacityAge20*'01_Вводные'!$B$218*'19_Расчет_аналитики'!BJ4607,MeanMinAge20))),0)</f>
        <v/>
      </c>
      <c r="BK4531">
        <f>IF('01_Вводные'!$B$234="Да",IF(OR('19_Расчет_аналитики'!BK4503=0,20&lt;='01_Вводные'!$B$297),0,'19_Расчет_аналитики'!BK4503*IF('01_Вводные'!$B$239="Да",MeanMinAge20+'19_Расчет_аналитики'!BK4607*SUMIF(ThresholdAge20,"&lt;"&amp;'19_Расчет_аналитики'!BK4607,WeightedRevAge20)-SUMIF(ThresholdAge20,"&lt;"&amp;'19_Расчет_аналитики'!BK4607,WeightedMinAge20),MAX(CapacityAge20*'01_Вводные'!$B$218*'19_Расчет_аналитики'!BK4607,MeanMinAge20))),0)</f>
        <v/>
      </c>
      <c r="BL4531">
        <f>IF('01_Вводные'!$B$234="Да",IF(OR('19_Расчет_аналитики'!BL4503=0,20&lt;='01_Вводные'!$B$297),0,'19_Расчет_аналитики'!BL4503*IF('01_Вводные'!$B$239="Да",MeanMinAge20+'19_Расчет_аналитики'!BL4607*SUMIF(ThresholdAge20,"&lt;"&amp;'19_Расчет_аналитики'!BL4607,WeightedRevAge20)-SUMIF(ThresholdAge20,"&lt;"&amp;'19_Расчет_аналитики'!BL4607,WeightedMinAge20),MAX(CapacityAge20*'01_Вводные'!$B$218*'19_Расчет_аналитики'!BL4607,MeanMinAge20))),0)</f>
        <v/>
      </c>
      <c r="BM4531">
        <f>IF('01_Вводные'!$B$234="Да",IF(OR('19_Расчет_аналитики'!BM4503=0,20&lt;='01_Вводные'!$B$297),0,'19_Расчет_аналитики'!BM4503*IF('01_Вводные'!$B$239="Да",MeanMinAge20+'19_Расчет_аналитики'!BM4607*SUMIF(ThresholdAge20,"&lt;"&amp;'19_Расчет_аналитики'!BM4607,WeightedRevAge20)-SUMIF(ThresholdAge20,"&lt;"&amp;'19_Расчет_аналитики'!BM4607,WeightedMinAge20),MAX(CapacityAge20*'01_Вводные'!$B$218*'19_Расчет_аналитики'!BM4607,MeanMinAge20))),0)</f>
        <v/>
      </c>
      <c r="BN4531">
        <f>IF('01_Вводные'!$B$234="Да",IF(OR('19_Расчет_аналитики'!BN4503=0,20&lt;='01_Вводные'!$B$297),0,'19_Расчет_аналитики'!BN4503*IF('01_Вводные'!$B$239="Да",MeanMinAge20+'19_Расчет_аналитики'!BN4607*SUMIF(ThresholdAge20,"&lt;"&amp;'19_Расчет_аналитики'!BN4607,WeightedRevAge20)-SUMIF(ThresholdAge20,"&lt;"&amp;'19_Расчет_аналитики'!BN4607,WeightedMinAge20),MAX(CapacityAge20*'01_Вводные'!$B$218*'19_Расчет_аналитики'!BN4607,MeanMinAge20))),0)</f>
        <v/>
      </c>
      <c r="BO4531">
        <f>IF('01_Вводные'!$B$234="Да",IF(OR('19_Расчет_аналитики'!BO4503=0,20&lt;='01_Вводные'!$B$297),0,'19_Расчет_аналитики'!BO4503*IF('01_Вводные'!$B$239="Да",MeanMinAge20+'19_Расчет_аналитики'!BO4607*SUMIF(ThresholdAge20,"&lt;"&amp;'19_Расчет_аналитики'!BO4607,WeightedRevAge20)-SUMIF(ThresholdAge20,"&lt;"&amp;'19_Расчет_аналитики'!BO4607,WeightedMinAge20),MAX(CapacityAge20*'01_Вводные'!$B$218*'19_Расчет_аналитики'!BO4607,MeanMinAge20))),0)</f>
        <v/>
      </c>
    </row>
    <row r="4532">
      <c r="B4532">
        <f>IF('01_Вводные'!$B$234="Да",IF(OR('06_Сеть_и_дети'!B101=0,21&lt;='01_Вводные'!$B$297),0,'06_Сеть_и_дети'!B101*IF('01_Вводные'!$B$239="Да",MeanMinAge21+'19_Расчет_аналитики'!B4607*SUMIF(ThresholdAge21,"&lt;"&amp;'19_Расчет_аналитики'!B4607,WeightedRevAge21)-SUMIF(ThresholdAge21,"&lt;"&amp;'19_Расчет_аналитики'!B4607,WeightedMinAge21),MAX(CapacityAge21*'01_Вводные'!$B$218*'19_Расчет_аналитики'!B4607,MeanMinAge21))),0)</f>
        <v/>
      </c>
      <c r="C4532">
        <f>IF('01_Вводные'!$B$234="Да",IF(OR('06_Сеть_и_дети'!C101=0,21&lt;='01_Вводные'!$B$297),0,'06_Сеть_и_дети'!C101*IF('01_Вводные'!$B$239="Да",MeanMinAge21+'19_Расчет_аналитики'!C4607*SUMIF(ThresholdAge21,"&lt;"&amp;'19_Расчет_аналитики'!C4607,WeightedRevAge21)-SUMIF(ThresholdAge21,"&lt;"&amp;'19_Расчет_аналитики'!C4607,WeightedMinAge21),MAX(CapacityAge21*'01_Вводные'!$B$218*'19_Расчет_аналитики'!C4607,MeanMinAge21))),0)</f>
        <v/>
      </c>
      <c r="D4532">
        <f>IF('01_Вводные'!$B$234="Да",IF(OR('06_Сеть_и_дети'!D101=0,21&lt;='01_Вводные'!$B$297),0,'06_Сеть_и_дети'!D101*IF('01_Вводные'!$B$239="Да",MeanMinAge21+'19_Расчет_аналитики'!D4607*SUMIF(ThresholdAge21,"&lt;"&amp;'19_Расчет_аналитики'!D4607,WeightedRevAge21)-SUMIF(ThresholdAge21,"&lt;"&amp;'19_Расчет_аналитики'!D4607,WeightedMinAge21),MAX(CapacityAge21*'01_Вводные'!$B$218*'19_Расчет_аналитики'!D4607,MeanMinAge21))),0)</f>
        <v/>
      </c>
      <c r="E4532">
        <f>IF('01_Вводные'!$B$234="Да",IF(OR('06_Сеть_и_дети'!E101=0,21&lt;='01_Вводные'!$B$297),0,'06_Сеть_и_дети'!E101*IF('01_Вводные'!$B$239="Да",MeanMinAge21+'19_Расчет_аналитики'!E4607*SUMIF(ThresholdAge21,"&lt;"&amp;'19_Расчет_аналитики'!E4607,WeightedRevAge21)-SUMIF(ThresholdAge21,"&lt;"&amp;'19_Расчет_аналитики'!E4607,WeightedMinAge21),MAX(CapacityAge21*'01_Вводные'!$B$218*'19_Расчет_аналитики'!E4607,MeanMinAge21))),0)</f>
        <v/>
      </c>
      <c r="F4532">
        <f>IF('01_Вводные'!$B$234="Да",IF(OR('06_Сеть_и_дети'!F101=0,21&lt;='01_Вводные'!$B$297),0,'06_Сеть_и_дети'!F101*IF('01_Вводные'!$B$239="Да",MeanMinAge21+'19_Расчет_аналитики'!F4607*SUMIF(ThresholdAge21,"&lt;"&amp;'19_Расчет_аналитики'!F4607,WeightedRevAge21)-SUMIF(ThresholdAge21,"&lt;"&amp;'19_Расчет_аналитики'!F4607,WeightedMinAge21),MAX(CapacityAge21*'01_Вводные'!$B$218*'19_Расчет_аналитики'!F4607,MeanMinAge21))),0)</f>
        <v/>
      </c>
      <c r="G4532">
        <f>IF('01_Вводные'!$B$234="Да",IF(OR('06_Сеть_и_дети'!G101=0,21&lt;='01_Вводные'!$B$297),0,'06_Сеть_и_дети'!G101*IF('01_Вводные'!$B$239="Да",MeanMinAge21+'19_Расчет_аналитики'!G4607*SUMIF(ThresholdAge21,"&lt;"&amp;'19_Расчет_аналитики'!G4607,WeightedRevAge21)-SUMIF(ThresholdAge21,"&lt;"&amp;'19_Расчет_аналитики'!G4607,WeightedMinAge21),MAX(CapacityAge21*'01_Вводные'!$B$218*'19_Расчет_аналитики'!G4607,MeanMinAge21))),0)</f>
        <v/>
      </c>
      <c r="H4532">
        <f>IF('01_Вводные'!$B$234="Да",IF(OR('06_Сеть_и_дети'!H101=0,21&lt;='01_Вводные'!$B$297),0,'06_Сеть_и_дети'!H101*IF('01_Вводные'!$B$239="Да",MeanMinAge21+'19_Расчет_аналитики'!H4607*SUMIF(ThresholdAge21,"&lt;"&amp;'19_Расчет_аналитики'!H4607,WeightedRevAge21)-SUMIF(ThresholdAge21,"&lt;"&amp;'19_Расчет_аналитики'!H4607,WeightedMinAge21),MAX(CapacityAge21*'01_Вводные'!$B$218*'19_Расчет_аналитики'!H4607,MeanMinAge21))),0)</f>
        <v/>
      </c>
      <c r="I4532">
        <f>IF('01_Вводные'!$B$234="Да",IF(OR('06_Сеть_и_дети'!I101=0,21&lt;='01_Вводные'!$B$297),0,'06_Сеть_и_дети'!I101*IF('01_Вводные'!$B$239="Да",MeanMinAge21+'19_Расчет_аналитики'!I4607*SUMIF(ThresholdAge21,"&lt;"&amp;'19_Расчет_аналитики'!I4607,WeightedRevAge21)-SUMIF(ThresholdAge21,"&lt;"&amp;'19_Расчет_аналитики'!I4607,WeightedMinAge21),MAX(CapacityAge21*'01_Вводные'!$B$218*'19_Расчет_аналитики'!I4607,MeanMinAge21))),0)</f>
        <v/>
      </c>
      <c r="J4532">
        <f>IF('01_Вводные'!$B$234="Да",IF(OR('06_Сеть_и_дети'!J101=0,21&lt;='01_Вводные'!$B$297),0,'06_Сеть_и_дети'!J101*IF('01_Вводные'!$B$239="Да",MeanMinAge21+'19_Расчет_аналитики'!J4607*SUMIF(ThresholdAge21,"&lt;"&amp;'19_Расчет_аналитики'!J4607,WeightedRevAge21)-SUMIF(ThresholdAge21,"&lt;"&amp;'19_Расчет_аналитики'!J4607,WeightedMinAge21),MAX(CapacityAge21*'01_Вводные'!$B$218*'19_Расчет_аналитики'!J4607,MeanMinAge21))),0)</f>
        <v/>
      </c>
      <c r="K4532">
        <f>IF('01_Вводные'!$B$234="Да",IF(OR('06_Сеть_и_дети'!K101=0,21&lt;='01_Вводные'!$B$297),0,'06_Сеть_и_дети'!K101*IF('01_Вводные'!$B$239="Да",MeanMinAge21+'19_Расчет_аналитики'!K4607*SUMIF(ThresholdAge21,"&lt;"&amp;'19_Расчет_аналитики'!K4607,WeightedRevAge21)-SUMIF(ThresholdAge21,"&lt;"&amp;'19_Расчет_аналитики'!K4607,WeightedMinAge21),MAX(CapacityAge21*'01_Вводные'!$B$218*'19_Расчет_аналитики'!K4607,MeanMinAge21))),0)</f>
        <v/>
      </c>
      <c r="L4532">
        <f>IF('01_Вводные'!$B$234="Да",IF(OR('06_Сеть_и_дети'!L101=0,21&lt;='01_Вводные'!$B$297),0,'06_Сеть_и_дети'!L101*IF('01_Вводные'!$B$239="Да",MeanMinAge21+'19_Расчет_аналитики'!L4607*SUMIF(ThresholdAge21,"&lt;"&amp;'19_Расчет_аналитики'!L4607,WeightedRevAge21)-SUMIF(ThresholdAge21,"&lt;"&amp;'19_Расчет_аналитики'!L4607,WeightedMinAge21),MAX(CapacityAge21*'01_Вводные'!$B$218*'19_Расчет_аналитики'!L4607,MeanMinAge21))),0)</f>
        <v/>
      </c>
      <c r="M4532">
        <f>IF('01_Вводные'!$B$234="Да",IF(OR('06_Сеть_и_дети'!M101=0,21&lt;='01_Вводные'!$B$297),0,'06_Сеть_и_дети'!M101*IF('01_Вводные'!$B$239="Да",MeanMinAge21+'19_Расчет_аналитики'!M4607*SUMIF(ThresholdAge21,"&lt;"&amp;'19_Расчет_аналитики'!M4607,WeightedRevAge21)-SUMIF(ThresholdAge21,"&lt;"&amp;'19_Расчет_аналитики'!M4607,WeightedMinAge21),MAX(CapacityAge21*'01_Вводные'!$B$218*'19_Расчет_аналитики'!M4607,MeanMinAge21))),0)</f>
        <v/>
      </c>
      <c r="N4532">
        <f>IF('01_Вводные'!$B$234="Да",IF(OR('06_Сеть_и_дети'!N101=0,21&lt;='01_Вводные'!$B$297),0,'06_Сеть_и_дети'!N101*IF('01_Вводные'!$B$239="Да",MeanMinAge21+'19_Расчет_аналитики'!N4607*SUMIF(ThresholdAge21,"&lt;"&amp;'19_Расчет_аналитики'!N4607,WeightedRevAge21)-SUMIF(ThresholdAge21,"&lt;"&amp;'19_Расчет_аналитики'!N4607,WeightedMinAge21),MAX(CapacityAge21*'01_Вводные'!$B$218*'19_Расчет_аналитики'!N4607,MeanMinAge21))),0)</f>
        <v/>
      </c>
      <c r="O4532">
        <f>IF('01_Вводные'!$B$234="Да",IF(OR('06_Сеть_и_дети'!O101=0,21&lt;='01_Вводные'!$B$297),0,'06_Сеть_и_дети'!O101*IF('01_Вводные'!$B$239="Да",MeanMinAge21+'19_Расчет_аналитики'!O4607*SUMIF(ThresholdAge21,"&lt;"&amp;'19_Расчет_аналитики'!O4607,WeightedRevAge21)-SUMIF(ThresholdAge21,"&lt;"&amp;'19_Расчет_аналитики'!O4607,WeightedMinAge21),MAX(CapacityAge21*'01_Вводные'!$B$218*'19_Расчет_аналитики'!O4607,MeanMinAge21))),0)</f>
        <v/>
      </c>
      <c r="P4532">
        <f>IF('01_Вводные'!$B$234="Да",IF(OR('06_Сеть_и_дети'!P101=0,21&lt;='01_Вводные'!$B$297),0,'06_Сеть_и_дети'!P101*IF('01_Вводные'!$B$239="Да",MeanMinAge21+'19_Расчет_аналитики'!P4607*SUMIF(ThresholdAge21,"&lt;"&amp;'19_Расчет_аналитики'!P4607,WeightedRevAge21)-SUMIF(ThresholdAge21,"&lt;"&amp;'19_Расчет_аналитики'!P4607,WeightedMinAge21),MAX(CapacityAge21*'01_Вводные'!$B$218*'19_Расчет_аналитики'!P4607,MeanMinAge21))),0)</f>
        <v/>
      </c>
      <c r="Q4532">
        <f>IF('01_Вводные'!$B$234="Да",IF(OR('06_Сеть_и_дети'!Q101=0,21&lt;='01_Вводные'!$B$297),0,'06_Сеть_и_дети'!Q101*IF('01_Вводные'!$B$239="Да",MeanMinAge21+'19_Расчет_аналитики'!Q4607*SUMIF(ThresholdAge21,"&lt;"&amp;'19_Расчет_аналитики'!Q4607,WeightedRevAge21)-SUMIF(ThresholdAge21,"&lt;"&amp;'19_Расчет_аналитики'!Q4607,WeightedMinAge21),MAX(CapacityAge21*'01_Вводные'!$B$218*'19_Расчет_аналитики'!Q4607,MeanMinAge21))),0)</f>
        <v/>
      </c>
      <c r="R4532">
        <f>IF('01_Вводные'!$B$234="Да",IF(OR('06_Сеть_и_дети'!R101=0,21&lt;='01_Вводные'!$B$297),0,'06_Сеть_и_дети'!R101*IF('01_Вводные'!$B$239="Да",MeanMinAge21+'19_Расчет_аналитики'!R4607*SUMIF(ThresholdAge21,"&lt;"&amp;'19_Расчет_аналитики'!R4607,WeightedRevAge21)-SUMIF(ThresholdAge21,"&lt;"&amp;'19_Расчет_аналитики'!R4607,WeightedMinAge21),MAX(CapacityAge21*'01_Вводные'!$B$218*'19_Расчет_аналитики'!R4607,MeanMinAge21))),0)</f>
        <v/>
      </c>
      <c r="S4532">
        <f>IF('01_Вводные'!$B$234="Да",IF(OR('06_Сеть_и_дети'!S101=0,21&lt;='01_Вводные'!$B$297),0,'06_Сеть_и_дети'!S101*IF('01_Вводные'!$B$239="Да",MeanMinAge21+'19_Расчет_аналитики'!S4607*SUMIF(ThresholdAge21,"&lt;"&amp;'19_Расчет_аналитики'!S4607,WeightedRevAge21)-SUMIF(ThresholdAge21,"&lt;"&amp;'19_Расчет_аналитики'!S4607,WeightedMinAge21),MAX(CapacityAge21*'01_Вводные'!$B$218*'19_Расчет_аналитики'!S4607,MeanMinAge21))),0)</f>
        <v/>
      </c>
      <c r="T4532">
        <f>IF('01_Вводные'!$B$234="Да",IF(OR('06_Сеть_и_дети'!T101=0,21&lt;='01_Вводные'!$B$297),0,'06_Сеть_и_дети'!T101*IF('01_Вводные'!$B$239="Да",MeanMinAge21+'19_Расчет_аналитики'!T4607*SUMIF(ThresholdAge21,"&lt;"&amp;'19_Расчет_аналитики'!T4607,WeightedRevAge21)-SUMIF(ThresholdAge21,"&lt;"&amp;'19_Расчет_аналитики'!T4607,WeightedMinAge21),MAX(CapacityAge21*'01_Вводные'!$B$218*'19_Расчет_аналитики'!T4607,MeanMinAge21))),0)</f>
        <v/>
      </c>
      <c r="U4532">
        <f>IF('01_Вводные'!$B$234="Да",IF(OR('06_Сеть_и_дети'!U101=0,21&lt;='01_Вводные'!$B$297),0,'06_Сеть_и_дети'!U101*IF('01_Вводные'!$B$239="Да",MeanMinAge21+'19_Расчет_аналитики'!U4607*SUMIF(ThresholdAge21,"&lt;"&amp;'19_Расчет_аналитики'!U4607,WeightedRevAge21)-SUMIF(ThresholdAge21,"&lt;"&amp;'19_Расчет_аналитики'!U4607,WeightedMinAge21),MAX(CapacityAge21*'01_Вводные'!$B$218*'19_Расчет_аналитики'!U4607,MeanMinAge21))),0)</f>
        <v/>
      </c>
      <c r="V4532">
        <f>IF('01_Вводные'!$B$234="Да",IF(OR('19_Расчет_аналитики'!V4504=0,21&lt;='01_Вводные'!$B$297),0,'19_Расчет_аналитики'!V4504*IF('01_Вводные'!$B$239="Да",MeanMinAge21+'19_Расчет_аналитики'!V4607*SUMIF(ThresholdAge21,"&lt;"&amp;'19_Расчет_аналитики'!V4607,WeightedRevAge21)-SUMIF(ThresholdAge21,"&lt;"&amp;'19_Расчет_аналитики'!V4607,WeightedMinAge21),MAX(CapacityAge21*'01_Вводные'!$B$218*'19_Расчет_аналитики'!V4607,MeanMinAge21))),0)</f>
        <v/>
      </c>
      <c r="W4532">
        <f>IF('01_Вводные'!$B$234="Да",IF(OR('19_Расчет_аналитики'!W4504=0,21&lt;='01_Вводные'!$B$297),0,'19_Расчет_аналитики'!W4504*IF('01_Вводные'!$B$239="Да",MeanMinAge21+'19_Расчет_аналитики'!W4607*SUMIF(ThresholdAge21,"&lt;"&amp;'19_Расчет_аналитики'!W4607,WeightedRevAge21)-SUMIF(ThresholdAge21,"&lt;"&amp;'19_Расчет_аналитики'!W4607,WeightedMinAge21),MAX(CapacityAge21*'01_Вводные'!$B$218*'19_Расчет_аналитики'!W4607,MeanMinAge21))),0)</f>
        <v/>
      </c>
      <c r="X4532">
        <f>IF('01_Вводные'!$B$234="Да",IF(OR('19_Расчет_аналитики'!X4504=0,21&lt;='01_Вводные'!$B$297),0,'19_Расчет_аналитики'!X4504*IF('01_Вводные'!$B$239="Да",MeanMinAge21+'19_Расчет_аналитики'!X4607*SUMIF(ThresholdAge21,"&lt;"&amp;'19_Расчет_аналитики'!X4607,WeightedRevAge21)-SUMIF(ThresholdAge21,"&lt;"&amp;'19_Расчет_аналитики'!X4607,WeightedMinAge21),MAX(CapacityAge21*'01_Вводные'!$B$218*'19_Расчет_аналитики'!X4607,MeanMinAge21))),0)</f>
        <v/>
      </c>
      <c r="Y4532">
        <f>IF('01_Вводные'!$B$234="Да",IF(OR('19_Расчет_аналитики'!Y4504=0,21&lt;='01_Вводные'!$B$297),0,'19_Расчет_аналитики'!Y4504*IF('01_Вводные'!$B$239="Да",MeanMinAge21+'19_Расчет_аналитики'!Y4607*SUMIF(ThresholdAge21,"&lt;"&amp;'19_Расчет_аналитики'!Y4607,WeightedRevAge21)-SUMIF(ThresholdAge21,"&lt;"&amp;'19_Расчет_аналитики'!Y4607,WeightedMinAge21),MAX(CapacityAge21*'01_Вводные'!$B$218*'19_Расчет_аналитики'!Y4607,MeanMinAge21))),0)</f>
        <v/>
      </c>
      <c r="Z4532">
        <f>IF('01_Вводные'!$B$234="Да",IF(OR('19_Расчет_аналитики'!Z4504=0,21&lt;='01_Вводные'!$B$297),0,'19_Расчет_аналитики'!Z4504*IF('01_Вводные'!$B$239="Да",MeanMinAge21+'19_Расчет_аналитики'!Z4607*SUMIF(ThresholdAge21,"&lt;"&amp;'19_Расчет_аналитики'!Z4607,WeightedRevAge21)-SUMIF(ThresholdAge21,"&lt;"&amp;'19_Расчет_аналитики'!Z4607,WeightedMinAge21),MAX(CapacityAge21*'01_Вводные'!$B$218*'19_Расчет_аналитики'!Z4607,MeanMinAge21))),0)</f>
        <v/>
      </c>
      <c r="AA4532">
        <f>IF('01_Вводные'!$B$234="Да",IF(OR('19_Расчет_аналитики'!AA4504=0,21&lt;='01_Вводные'!$B$297),0,'19_Расчет_аналитики'!AA4504*IF('01_Вводные'!$B$239="Да",MeanMinAge21+'19_Расчет_аналитики'!AA4607*SUMIF(ThresholdAge21,"&lt;"&amp;'19_Расчет_аналитики'!AA4607,WeightedRevAge21)-SUMIF(ThresholdAge21,"&lt;"&amp;'19_Расчет_аналитики'!AA4607,WeightedMinAge21),MAX(CapacityAge21*'01_Вводные'!$B$218*'19_Расчет_аналитики'!AA4607,MeanMinAge21))),0)</f>
        <v/>
      </c>
      <c r="AB4532">
        <f>IF('01_Вводные'!$B$234="Да",IF(OR('19_Расчет_аналитики'!AB4504=0,21&lt;='01_Вводные'!$B$297),0,'19_Расчет_аналитики'!AB4504*IF('01_Вводные'!$B$239="Да",MeanMinAge21+'19_Расчет_аналитики'!AB4607*SUMIF(ThresholdAge21,"&lt;"&amp;'19_Расчет_аналитики'!AB4607,WeightedRevAge21)-SUMIF(ThresholdAge21,"&lt;"&amp;'19_Расчет_аналитики'!AB4607,WeightedMinAge21),MAX(CapacityAge21*'01_Вводные'!$B$218*'19_Расчет_аналитики'!AB4607,MeanMinAge21))),0)</f>
        <v/>
      </c>
      <c r="AC4532">
        <f>IF('01_Вводные'!$B$234="Да",IF(OR('19_Расчет_аналитики'!AC4504=0,21&lt;='01_Вводные'!$B$297),0,'19_Расчет_аналитики'!AC4504*IF('01_Вводные'!$B$239="Да",MeanMinAge21+'19_Расчет_аналитики'!AC4607*SUMIF(ThresholdAge21,"&lt;"&amp;'19_Расчет_аналитики'!AC4607,WeightedRevAge21)-SUMIF(ThresholdAge21,"&lt;"&amp;'19_Расчет_аналитики'!AC4607,WeightedMinAge21),MAX(CapacityAge21*'01_Вводные'!$B$218*'19_Расчет_аналитики'!AC4607,MeanMinAge21))),0)</f>
        <v/>
      </c>
      <c r="AD4532">
        <f>IF('01_Вводные'!$B$234="Да",IF(OR('19_Расчет_аналитики'!AD4504=0,21&lt;='01_Вводные'!$B$297),0,'19_Расчет_аналитики'!AD4504*IF('01_Вводные'!$B$239="Да",MeanMinAge21+'19_Расчет_аналитики'!AD4607*SUMIF(ThresholdAge21,"&lt;"&amp;'19_Расчет_аналитики'!AD4607,WeightedRevAge21)-SUMIF(ThresholdAge21,"&lt;"&amp;'19_Расчет_аналитики'!AD4607,WeightedMinAge21),MAX(CapacityAge21*'01_Вводные'!$B$218*'19_Расчет_аналитики'!AD4607,MeanMinAge21))),0)</f>
        <v/>
      </c>
      <c r="AE4532">
        <f>IF('01_Вводные'!$B$234="Да",IF(OR('19_Расчет_аналитики'!AE4504=0,21&lt;='01_Вводные'!$B$297),0,'19_Расчет_аналитики'!AE4504*IF('01_Вводные'!$B$239="Да",MeanMinAge21+'19_Расчет_аналитики'!AE4607*SUMIF(ThresholdAge21,"&lt;"&amp;'19_Расчет_аналитики'!AE4607,WeightedRevAge21)-SUMIF(ThresholdAge21,"&lt;"&amp;'19_Расчет_аналитики'!AE4607,WeightedMinAge21),MAX(CapacityAge21*'01_Вводные'!$B$218*'19_Расчет_аналитики'!AE4607,MeanMinAge21))),0)</f>
        <v/>
      </c>
      <c r="AF4532">
        <f>IF('01_Вводные'!$B$234="Да",IF(OR('19_Расчет_аналитики'!AF4504=0,21&lt;='01_Вводные'!$B$297),0,'19_Расчет_аналитики'!AF4504*IF('01_Вводные'!$B$239="Да",MeanMinAge21+'19_Расчет_аналитики'!AF4607*SUMIF(ThresholdAge21,"&lt;"&amp;'19_Расчет_аналитики'!AF4607,WeightedRevAge21)-SUMIF(ThresholdAge21,"&lt;"&amp;'19_Расчет_аналитики'!AF4607,WeightedMinAge21),MAX(CapacityAge21*'01_Вводные'!$B$218*'19_Расчет_аналитики'!AF4607,MeanMinAge21))),0)</f>
        <v/>
      </c>
      <c r="AG4532">
        <f>IF('01_Вводные'!$B$234="Да",IF(OR('19_Расчет_аналитики'!AG4504=0,21&lt;='01_Вводные'!$B$297),0,'19_Расчет_аналитики'!AG4504*IF('01_Вводные'!$B$239="Да",MeanMinAge21+'19_Расчет_аналитики'!AG4607*SUMIF(ThresholdAge21,"&lt;"&amp;'19_Расчет_аналитики'!AG4607,WeightedRevAge21)-SUMIF(ThresholdAge21,"&lt;"&amp;'19_Расчет_аналитики'!AG4607,WeightedMinAge21),MAX(CapacityAge21*'01_Вводные'!$B$218*'19_Расчет_аналитики'!AG4607,MeanMinAge21))),0)</f>
        <v/>
      </c>
      <c r="AH4532">
        <f>IF('01_Вводные'!$B$234="Да",IF(OR('19_Расчет_аналитики'!AH4504=0,21&lt;='01_Вводные'!$B$297),0,'19_Расчет_аналитики'!AH4504*IF('01_Вводные'!$B$239="Да",MeanMinAge21+'19_Расчет_аналитики'!AH4607*SUMIF(ThresholdAge21,"&lt;"&amp;'19_Расчет_аналитики'!AH4607,WeightedRevAge21)-SUMIF(ThresholdAge21,"&lt;"&amp;'19_Расчет_аналитики'!AH4607,WeightedMinAge21),MAX(CapacityAge21*'01_Вводные'!$B$218*'19_Расчет_аналитики'!AH4607,MeanMinAge21))),0)</f>
        <v/>
      </c>
      <c r="AI4532">
        <f>IF('01_Вводные'!$B$234="Да",IF(OR('19_Расчет_аналитики'!AI4504=0,21&lt;='01_Вводные'!$B$297),0,'19_Расчет_аналитики'!AI4504*IF('01_Вводные'!$B$239="Да",MeanMinAge21+'19_Расчет_аналитики'!AI4607*SUMIF(ThresholdAge21,"&lt;"&amp;'19_Расчет_аналитики'!AI4607,WeightedRevAge21)-SUMIF(ThresholdAge21,"&lt;"&amp;'19_Расчет_аналитики'!AI4607,WeightedMinAge21),MAX(CapacityAge21*'01_Вводные'!$B$218*'19_Расчет_аналитики'!AI4607,MeanMinAge21))),0)</f>
        <v/>
      </c>
      <c r="AJ4532">
        <f>IF('01_Вводные'!$B$234="Да",IF(OR('19_Расчет_аналитики'!AJ4504=0,21&lt;='01_Вводные'!$B$297),0,'19_Расчет_аналитики'!AJ4504*IF('01_Вводные'!$B$239="Да",MeanMinAge21+'19_Расчет_аналитики'!AJ4607*SUMIF(ThresholdAge21,"&lt;"&amp;'19_Расчет_аналитики'!AJ4607,WeightedRevAge21)-SUMIF(ThresholdAge21,"&lt;"&amp;'19_Расчет_аналитики'!AJ4607,WeightedMinAge21),MAX(CapacityAge21*'01_Вводные'!$B$218*'19_Расчет_аналитики'!AJ4607,MeanMinAge21))),0)</f>
        <v/>
      </c>
      <c r="AK4532">
        <f>IF('01_Вводные'!$B$234="Да",IF(OR('19_Расчет_аналитики'!AK4504=0,21&lt;='01_Вводные'!$B$297),0,'19_Расчет_аналитики'!AK4504*IF('01_Вводные'!$B$239="Да",MeanMinAge21+'19_Расчет_аналитики'!AK4607*SUMIF(ThresholdAge21,"&lt;"&amp;'19_Расчет_аналитики'!AK4607,WeightedRevAge21)-SUMIF(ThresholdAge21,"&lt;"&amp;'19_Расчет_аналитики'!AK4607,WeightedMinAge21),MAX(CapacityAge21*'01_Вводные'!$B$218*'19_Расчет_аналитики'!AK4607,MeanMinAge21))),0)</f>
        <v/>
      </c>
      <c r="AL4532">
        <f>IF('01_Вводные'!$B$234="Да",IF(OR('19_Расчет_аналитики'!AL4504=0,21&lt;='01_Вводные'!$B$297),0,'19_Расчет_аналитики'!AL4504*IF('01_Вводные'!$B$239="Да",MeanMinAge21+'19_Расчет_аналитики'!AL4607*SUMIF(ThresholdAge21,"&lt;"&amp;'19_Расчет_аналитики'!AL4607,WeightedRevAge21)-SUMIF(ThresholdAge21,"&lt;"&amp;'19_Расчет_аналитики'!AL4607,WeightedMinAge21),MAX(CapacityAge21*'01_Вводные'!$B$218*'19_Расчет_аналитики'!AL4607,MeanMinAge21))),0)</f>
        <v/>
      </c>
      <c r="AM4532">
        <f>IF('01_Вводные'!$B$234="Да",IF(OR('19_Расчет_аналитики'!AM4504=0,21&lt;='01_Вводные'!$B$297),0,'19_Расчет_аналитики'!AM4504*IF('01_Вводные'!$B$239="Да",MeanMinAge21+'19_Расчет_аналитики'!AM4607*SUMIF(ThresholdAge21,"&lt;"&amp;'19_Расчет_аналитики'!AM4607,WeightedRevAge21)-SUMIF(ThresholdAge21,"&lt;"&amp;'19_Расчет_аналитики'!AM4607,WeightedMinAge21),MAX(CapacityAge21*'01_Вводные'!$B$218*'19_Расчет_аналитики'!AM4607,MeanMinAge21))),0)</f>
        <v/>
      </c>
      <c r="AN4532">
        <f>IF('01_Вводные'!$B$234="Да",IF(OR('19_Расчет_аналитики'!AN4504=0,21&lt;='01_Вводные'!$B$297),0,'19_Расчет_аналитики'!AN4504*IF('01_Вводные'!$B$239="Да",MeanMinAge21+'19_Расчет_аналитики'!AN4607*SUMIF(ThresholdAge21,"&lt;"&amp;'19_Расчет_аналитики'!AN4607,WeightedRevAge21)-SUMIF(ThresholdAge21,"&lt;"&amp;'19_Расчет_аналитики'!AN4607,WeightedMinAge21),MAX(CapacityAge21*'01_Вводные'!$B$218*'19_Расчет_аналитики'!AN4607,MeanMinAge21))),0)</f>
        <v/>
      </c>
      <c r="AO4532">
        <f>IF('01_Вводные'!$B$234="Да",IF(OR('19_Расчет_аналитики'!AO4504=0,21&lt;='01_Вводные'!$B$297),0,'19_Расчет_аналитики'!AO4504*IF('01_Вводные'!$B$239="Да",MeanMinAge21+'19_Расчет_аналитики'!AO4607*SUMIF(ThresholdAge21,"&lt;"&amp;'19_Расчет_аналитики'!AO4607,WeightedRevAge21)-SUMIF(ThresholdAge21,"&lt;"&amp;'19_Расчет_аналитики'!AO4607,WeightedMinAge21),MAX(CapacityAge21*'01_Вводные'!$B$218*'19_Расчет_аналитики'!AO4607,MeanMinAge21))),0)</f>
        <v/>
      </c>
      <c r="AP4532">
        <f>IF('01_Вводные'!$B$234="Да",IF(OR('19_Расчет_аналитики'!AP4504=0,21&lt;='01_Вводные'!$B$297),0,'19_Расчет_аналитики'!AP4504*IF('01_Вводные'!$B$239="Да",MeanMinAge21+'19_Расчет_аналитики'!AP4607*SUMIF(ThresholdAge21,"&lt;"&amp;'19_Расчет_аналитики'!AP4607,WeightedRevAge21)-SUMIF(ThresholdAge21,"&lt;"&amp;'19_Расчет_аналитики'!AP4607,WeightedMinAge21),MAX(CapacityAge21*'01_Вводные'!$B$218*'19_Расчет_аналитики'!AP4607,MeanMinAge21))),0)</f>
        <v/>
      </c>
      <c r="AQ4532">
        <f>IF('01_Вводные'!$B$234="Да",IF(OR('19_Расчет_аналитики'!AQ4504=0,21&lt;='01_Вводные'!$B$297),0,'19_Расчет_аналитики'!AQ4504*IF('01_Вводные'!$B$239="Да",MeanMinAge21+'19_Расчет_аналитики'!AQ4607*SUMIF(ThresholdAge21,"&lt;"&amp;'19_Расчет_аналитики'!AQ4607,WeightedRevAge21)-SUMIF(ThresholdAge21,"&lt;"&amp;'19_Расчет_аналитики'!AQ4607,WeightedMinAge21),MAX(CapacityAge21*'01_Вводные'!$B$218*'19_Расчет_аналитики'!AQ4607,MeanMinAge21))),0)</f>
        <v/>
      </c>
      <c r="AR4532">
        <f>IF('01_Вводные'!$B$234="Да",IF(OR('19_Расчет_аналитики'!AR4504=0,21&lt;='01_Вводные'!$B$297),0,'19_Расчет_аналитики'!AR4504*IF('01_Вводные'!$B$239="Да",MeanMinAge21+'19_Расчет_аналитики'!AR4607*SUMIF(ThresholdAge21,"&lt;"&amp;'19_Расчет_аналитики'!AR4607,WeightedRevAge21)-SUMIF(ThresholdAge21,"&lt;"&amp;'19_Расчет_аналитики'!AR4607,WeightedMinAge21),MAX(CapacityAge21*'01_Вводные'!$B$218*'19_Расчет_аналитики'!AR4607,MeanMinAge21))),0)</f>
        <v/>
      </c>
      <c r="AS4532">
        <f>IF('01_Вводные'!$B$234="Да",IF(OR('19_Расчет_аналитики'!AS4504=0,21&lt;='01_Вводные'!$B$297),0,'19_Расчет_аналитики'!AS4504*IF('01_Вводные'!$B$239="Да",MeanMinAge21+'19_Расчет_аналитики'!AS4607*SUMIF(ThresholdAge21,"&lt;"&amp;'19_Расчет_аналитики'!AS4607,WeightedRevAge21)-SUMIF(ThresholdAge21,"&lt;"&amp;'19_Расчет_аналитики'!AS4607,WeightedMinAge21),MAX(CapacityAge21*'01_Вводные'!$B$218*'19_Расчет_аналитики'!AS4607,MeanMinAge21))),0)</f>
        <v/>
      </c>
      <c r="AT4532">
        <f>IF('01_Вводные'!$B$234="Да",IF(OR('19_Расчет_аналитики'!AT4504=0,21&lt;='01_Вводные'!$B$297),0,'19_Расчет_аналитики'!AT4504*IF('01_Вводные'!$B$239="Да",MeanMinAge21+'19_Расчет_аналитики'!AT4607*SUMIF(ThresholdAge21,"&lt;"&amp;'19_Расчет_аналитики'!AT4607,WeightedRevAge21)-SUMIF(ThresholdAge21,"&lt;"&amp;'19_Расчет_аналитики'!AT4607,WeightedMinAge21),MAX(CapacityAge21*'01_Вводные'!$B$218*'19_Расчет_аналитики'!AT4607,MeanMinAge21))),0)</f>
        <v/>
      </c>
      <c r="AU4532">
        <f>IF('01_Вводные'!$B$234="Да",IF(OR('19_Расчет_аналитики'!AU4504=0,21&lt;='01_Вводные'!$B$297),0,'19_Расчет_аналитики'!AU4504*IF('01_Вводные'!$B$239="Да",MeanMinAge21+'19_Расчет_аналитики'!AU4607*SUMIF(ThresholdAge21,"&lt;"&amp;'19_Расчет_аналитики'!AU4607,WeightedRevAge21)-SUMIF(ThresholdAge21,"&lt;"&amp;'19_Расчет_аналитики'!AU4607,WeightedMinAge21),MAX(CapacityAge21*'01_Вводные'!$B$218*'19_Расчет_аналитики'!AU4607,MeanMinAge21))),0)</f>
        <v/>
      </c>
      <c r="AV4532">
        <f>IF('01_Вводные'!$B$234="Да",IF(OR('19_Расчет_аналитики'!AV4504=0,21&lt;='01_Вводные'!$B$297),0,'19_Расчет_аналитики'!AV4504*IF('01_Вводные'!$B$239="Да",MeanMinAge21+'19_Расчет_аналитики'!AV4607*SUMIF(ThresholdAge21,"&lt;"&amp;'19_Расчет_аналитики'!AV4607,WeightedRevAge21)-SUMIF(ThresholdAge21,"&lt;"&amp;'19_Расчет_аналитики'!AV4607,WeightedMinAge21),MAX(CapacityAge21*'01_Вводные'!$B$218*'19_Расчет_аналитики'!AV4607,MeanMinAge21))),0)</f>
        <v/>
      </c>
      <c r="AW4532">
        <f>IF('01_Вводные'!$B$234="Да",IF(OR('19_Расчет_аналитики'!AW4504=0,21&lt;='01_Вводные'!$B$297),0,'19_Расчет_аналитики'!AW4504*IF('01_Вводные'!$B$239="Да",MeanMinAge21+'19_Расчет_аналитики'!AW4607*SUMIF(ThresholdAge21,"&lt;"&amp;'19_Расчет_аналитики'!AW4607,WeightedRevAge21)-SUMIF(ThresholdAge21,"&lt;"&amp;'19_Расчет_аналитики'!AW4607,WeightedMinAge21),MAX(CapacityAge21*'01_Вводные'!$B$218*'19_Расчет_аналитики'!AW4607,MeanMinAge21))),0)</f>
        <v/>
      </c>
      <c r="AX4532">
        <f>IF('01_Вводные'!$B$234="Да",IF(OR('19_Расчет_аналитики'!AX4504=0,21&lt;='01_Вводные'!$B$297),0,'19_Расчет_аналитики'!AX4504*IF('01_Вводные'!$B$239="Да",MeanMinAge21+'19_Расчет_аналитики'!AX4607*SUMIF(ThresholdAge21,"&lt;"&amp;'19_Расчет_аналитики'!AX4607,WeightedRevAge21)-SUMIF(ThresholdAge21,"&lt;"&amp;'19_Расчет_аналитики'!AX4607,WeightedMinAge21),MAX(CapacityAge21*'01_Вводные'!$B$218*'19_Расчет_аналитики'!AX4607,MeanMinAge21))),0)</f>
        <v/>
      </c>
      <c r="AY4532">
        <f>IF('01_Вводные'!$B$234="Да",IF(OR('19_Расчет_аналитики'!AY4504=0,21&lt;='01_Вводные'!$B$297),0,'19_Расчет_аналитики'!AY4504*IF('01_Вводные'!$B$239="Да",MeanMinAge21+'19_Расчет_аналитики'!AY4607*SUMIF(ThresholdAge21,"&lt;"&amp;'19_Расчет_аналитики'!AY4607,WeightedRevAge21)-SUMIF(ThresholdAge21,"&lt;"&amp;'19_Расчет_аналитики'!AY4607,WeightedMinAge21),MAX(CapacityAge21*'01_Вводные'!$B$218*'19_Расчет_аналитики'!AY4607,MeanMinAge21))),0)</f>
        <v/>
      </c>
      <c r="AZ4532">
        <f>IF('01_Вводные'!$B$234="Да",IF(OR('19_Расчет_аналитики'!AZ4504=0,21&lt;='01_Вводные'!$B$297),0,'19_Расчет_аналитики'!AZ4504*IF('01_Вводные'!$B$239="Да",MeanMinAge21+'19_Расчет_аналитики'!AZ4607*SUMIF(ThresholdAge21,"&lt;"&amp;'19_Расчет_аналитики'!AZ4607,WeightedRevAge21)-SUMIF(ThresholdAge21,"&lt;"&amp;'19_Расчет_аналитики'!AZ4607,WeightedMinAge21),MAX(CapacityAge21*'01_Вводные'!$B$218*'19_Расчет_аналитики'!AZ4607,MeanMinAge21))),0)</f>
        <v/>
      </c>
      <c r="BA4532">
        <f>IF('01_Вводные'!$B$234="Да",IF(OR('19_Расчет_аналитики'!BA4504=0,21&lt;='01_Вводные'!$B$297),0,'19_Расчет_аналитики'!BA4504*IF('01_Вводные'!$B$239="Да",MeanMinAge21+'19_Расчет_аналитики'!BA4607*SUMIF(ThresholdAge21,"&lt;"&amp;'19_Расчет_аналитики'!BA4607,WeightedRevAge21)-SUMIF(ThresholdAge21,"&lt;"&amp;'19_Расчет_аналитики'!BA4607,WeightedMinAge21),MAX(CapacityAge21*'01_Вводные'!$B$218*'19_Расчет_аналитики'!BA4607,MeanMinAge21))),0)</f>
        <v/>
      </c>
      <c r="BB4532">
        <f>IF('01_Вводные'!$B$234="Да",IF(OR('19_Расчет_аналитики'!BB4504=0,21&lt;='01_Вводные'!$B$297),0,'19_Расчет_аналитики'!BB4504*IF('01_Вводные'!$B$239="Да",MeanMinAge21+'19_Расчет_аналитики'!BB4607*SUMIF(ThresholdAge21,"&lt;"&amp;'19_Расчет_аналитики'!BB4607,WeightedRevAge21)-SUMIF(ThresholdAge21,"&lt;"&amp;'19_Расчет_аналитики'!BB4607,WeightedMinAge21),MAX(CapacityAge21*'01_Вводные'!$B$218*'19_Расчет_аналитики'!BB4607,MeanMinAge21))),0)</f>
        <v/>
      </c>
      <c r="BC4532">
        <f>IF('01_Вводные'!$B$234="Да",IF(OR('19_Расчет_аналитики'!BC4504=0,21&lt;='01_Вводные'!$B$297),0,'19_Расчет_аналитики'!BC4504*IF('01_Вводные'!$B$239="Да",MeanMinAge21+'19_Расчет_аналитики'!BC4607*SUMIF(ThresholdAge21,"&lt;"&amp;'19_Расчет_аналитики'!BC4607,WeightedRevAge21)-SUMIF(ThresholdAge21,"&lt;"&amp;'19_Расчет_аналитики'!BC4607,WeightedMinAge21),MAX(CapacityAge21*'01_Вводные'!$B$218*'19_Расчет_аналитики'!BC4607,MeanMinAge21))),0)</f>
        <v/>
      </c>
      <c r="BD4532">
        <f>IF('01_Вводные'!$B$234="Да",IF(OR('19_Расчет_аналитики'!BD4504=0,21&lt;='01_Вводные'!$B$297),0,'19_Расчет_аналитики'!BD4504*IF('01_Вводные'!$B$239="Да",MeanMinAge21+'19_Расчет_аналитики'!BD4607*SUMIF(ThresholdAge21,"&lt;"&amp;'19_Расчет_аналитики'!BD4607,WeightedRevAge21)-SUMIF(ThresholdAge21,"&lt;"&amp;'19_Расчет_аналитики'!BD4607,WeightedMinAge21),MAX(CapacityAge21*'01_Вводные'!$B$218*'19_Расчет_аналитики'!BD4607,MeanMinAge21))),0)</f>
        <v/>
      </c>
      <c r="BE4532">
        <f>IF('01_Вводные'!$B$234="Да",IF(OR('19_Расчет_аналитики'!BE4504=0,21&lt;='01_Вводные'!$B$297),0,'19_Расчет_аналитики'!BE4504*IF('01_Вводные'!$B$239="Да",MeanMinAge21+'19_Расчет_аналитики'!BE4607*SUMIF(ThresholdAge21,"&lt;"&amp;'19_Расчет_аналитики'!BE4607,WeightedRevAge21)-SUMIF(ThresholdAge21,"&lt;"&amp;'19_Расчет_аналитики'!BE4607,WeightedMinAge21),MAX(CapacityAge21*'01_Вводные'!$B$218*'19_Расчет_аналитики'!BE4607,MeanMinAge21))),0)</f>
        <v/>
      </c>
      <c r="BF4532">
        <f>IF('01_Вводные'!$B$234="Да",IF(OR('19_Расчет_аналитики'!BF4504=0,21&lt;='01_Вводные'!$B$297),0,'19_Расчет_аналитики'!BF4504*IF('01_Вводные'!$B$239="Да",MeanMinAge21+'19_Расчет_аналитики'!BF4607*SUMIF(ThresholdAge21,"&lt;"&amp;'19_Расчет_аналитики'!BF4607,WeightedRevAge21)-SUMIF(ThresholdAge21,"&lt;"&amp;'19_Расчет_аналитики'!BF4607,WeightedMinAge21),MAX(CapacityAge21*'01_Вводные'!$B$218*'19_Расчет_аналитики'!BF4607,MeanMinAge21))),0)</f>
        <v/>
      </c>
      <c r="BG4532">
        <f>IF('01_Вводные'!$B$234="Да",IF(OR('19_Расчет_аналитики'!BG4504=0,21&lt;='01_Вводные'!$B$297),0,'19_Расчет_аналитики'!BG4504*IF('01_Вводные'!$B$239="Да",MeanMinAge21+'19_Расчет_аналитики'!BG4607*SUMIF(ThresholdAge21,"&lt;"&amp;'19_Расчет_аналитики'!BG4607,WeightedRevAge21)-SUMIF(ThresholdAge21,"&lt;"&amp;'19_Расчет_аналитики'!BG4607,WeightedMinAge21),MAX(CapacityAge21*'01_Вводные'!$B$218*'19_Расчет_аналитики'!BG4607,MeanMinAge21))),0)</f>
        <v/>
      </c>
      <c r="BH4532">
        <f>IF('01_Вводные'!$B$234="Да",IF(OR('19_Расчет_аналитики'!BH4504=0,21&lt;='01_Вводные'!$B$297),0,'19_Расчет_аналитики'!BH4504*IF('01_Вводные'!$B$239="Да",MeanMinAge21+'19_Расчет_аналитики'!BH4607*SUMIF(ThresholdAge21,"&lt;"&amp;'19_Расчет_аналитики'!BH4607,WeightedRevAge21)-SUMIF(ThresholdAge21,"&lt;"&amp;'19_Расчет_аналитики'!BH4607,WeightedMinAge21),MAX(CapacityAge21*'01_Вводные'!$B$218*'19_Расчет_аналитики'!BH4607,MeanMinAge21))),0)</f>
        <v/>
      </c>
      <c r="BI4532">
        <f>IF('01_Вводные'!$B$234="Да",IF(OR('19_Расчет_аналитики'!BI4504=0,21&lt;='01_Вводные'!$B$297),0,'19_Расчет_аналитики'!BI4504*IF('01_Вводные'!$B$239="Да",MeanMinAge21+'19_Расчет_аналитики'!BI4607*SUMIF(ThresholdAge21,"&lt;"&amp;'19_Расчет_аналитики'!BI4607,WeightedRevAge21)-SUMIF(ThresholdAge21,"&lt;"&amp;'19_Расчет_аналитики'!BI4607,WeightedMinAge21),MAX(CapacityAge21*'01_Вводные'!$B$218*'19_Расчет_аналитики'!BI4607,MeanMinAge21))),0)</f>
        <v/>
      </c>
      <c r="BJ4532">
        <f>IF('01_Вводные'!$B$234="Да",IF(OR('19_Расчет_аналитики'!BJ4504=0,21&lt;='01_Вводные'!$B$297),0,'19_Расчет_аналитики'!BJ4504*IF('01_Вводные'!$B$239="Да",MeanMinAge21+'19_Расчет_аналитики'!BJ4607*SUMIF(ThresholdAge21,"&lt;"&amp;'19_Расчет_аналитики'!BJ4607,WeightedRevAge21)-SUMIF(ThresholdAge21,"&lt;"&amp;'19_Расчет_аналитики'!BJ4607,WeightedMinAge21),MAX(CapacityAge21*'01_Вводные'!$B$218*'19_Расчет_аналитики'!BJ4607,MeanMinAge21))),0)</f>
        <v/>
      </c>
      <c r="BK4532">
        <f>IF('01_Вводные'!$B$234="Да",IF(OR('19_Расчет_аналитики'!BK4504=0,21&lt;='01_Вводные'!$B$297),0,'19_Расчет_аналитики'!BK4504*IF('01_Вводные'!$B$239="Да",MeanMinAge21+'19_Расчет_аналитики'!BK4607*SUMIF(ThresholdAge21,"&lt;"&amp;'19_Расчет_аналитики'!BK4607,WeightedRevAge21)-SUMIF(ThresholdAge21,"&lt;"&amp;'19_Расчет_аналитики'!BK4607,WeightedMinAge21),MAX(CapacityAge21*'01_Вводные'!$B$218*'19_Расчет_аналитики'!BK4607,MeanMinAge21))),0)</f>
        <v/>
      </c>
      <c r="BL4532">
        <f>IF('01_Вводные'!$B$234="Да",IF(OR('19_Расчет_аналитики'!BL4504=0,21&lt;='01_Вводные'!$B$297),0,'19_Расчет_аналитики'!BL4504*IF('01_Вводные'!$B$239="Да",MeanMinAge21+'19_Расчет_аналитики'!BL4607*SUMIF(ThresholdAge21,"&lt;"&amp;'19_Расчет_аналитики'!BL4607,WeightedRevAge21)-SUMIF(ThresholdAge21,"&lt;"&amp;'19_Расчет_аналитики'!BL4607,WeightedMinAge21),MAX(CapacityAge21*'01_Вводные'!$B$218*'19_Расчет_аналитики'!BL4607,MeanMinAge21))),0)</f>
        <v/>
      </c>
      <c r="BM4532">
        <f>IF('01_Вводные'!$B$234="Да",IF(OR('19_Расчет_аналитики'!BM4504=0,21&lt;='01_Вводные'!$B$297),0,'19_Расчет_аналитики'!BM4504*IF('01_Вводные'!$B$239="Да",MeanMinAge21+'19_Расчет_аналитики'!BM4607*SUMIF(ThresholdAge21,"&lt;"&amp;'19_Расчет_аналитики'!BM4607,WeightedRevAge21)-SUMIF(ThresholdAge21,"&lt;"&amp;'19_Расчет_аналитики'!BM4607,WeightedMinAge21),MAX(CapacityAge21*'01_Вводные'!$B$218*'19_Расчет_аналитики'!BM4607,MeanMinAge21))),0)</f>
        <v/>
      </c>
      <c r="BN4532">
        <f>IF('01_Вводные'!$B$234="Да",IF(OR('19_Расчет_аналитики'!BN4504=0,21&lt;='01_Вводные'!$B$297),0,'19_Расчет_аналитики'!BN4504*IF('01_Вводные'!$B$239="Да",MeanMinAge21+'19_Расчет_аналитики'!BN4607*SUMIF(ThresholdAge21,"&lt;"&amp;'19_Расчет_аналитики'!BN4607,WeightedRevAge21)-SUMIF(ThresholdAge21,"&lt;"&amp;'19_Расчет_аналитики'!BN4607,WeightedMinAge21),MAX(CapacityAge21*'01_Вводные'!$B$218*'19_Расчет_аналитики'!BN4607,MeanMinAge21))),0)</f>
        <v/>
      </c>
      <c r="BO4532">
        <f>IF('01_Вводные'!$B$234="Да",IF(OR('19_Расчет_аналитики'!BO4504=0,21&lt;='01_Вводные'!$B$297),0,'19_Расчет_аналитики'!BO4504*IF('01_Вводные'!$B$239="Да",MeanMinAge21+'19_Расчет_аналитики'!BO4607*SUMIF(ThresholdAge21,"&lt;"&amp;'19_Расчет_аналитики'!BO4607,WeightedRevAge21)-SUMIF(ThresholdAge21,"&lt;"&amp;'19_Расчет_аналитики'!BO4607,WeightedMinAge21),MAX(CapacityAge21*'01_Вводные'!$B$218*'19_Расчет_аналитики'!BO4607,MeanMinAge21))),0)</f>
        <v/>
      </c>
    </row>
    <row r="4533">
      <c r="B4533">
        <f>IF('01_Вводные'!$B$234="Да",IF(OR('06_Сеть_и_дети'!B102=0,22&lt;='01_Вводные'!$B$297),0,'06_Сеть_и_дети'!B102*IF('01_Вводные'!$B$239="Да",MeanMinAge22+'19_Расчет_аналитики'!B4607*SUMIF(ThresholdAge22,"&lt;"&amp;'19_Расчет_аналитики'!B4607,WeightedRevAge22)-SUMIF(ThresholdAge22,"&lt;"&amp;'19_Расчет_аналитики'!B4607,WeightedMinAge22),MAX(CapacityAge22*'01_Вводные'!$B$218*'19_Расчет_аналитики'!B4607,MeanMinAge22))),0)</f>
        <v/>
      </c>
      <c r="C4533">
        <f>IF('01_Вводные'!$B$234="Да",IF(OR('06_Сеть_и_дети'!C102=0,22&lt;='01_Вводные'!$B$297),0,'06_Сеть_и_дети'!C102*IF('01_Вводные'!$B$239="Да",MeanMinAge22+'19_Расчет_аналитики'!C4607*SUMIF(ThresholdAge22,"&lt;"&amp;'19_Расчет_аналитики'!C4607,WeightedRevAge22)-SUMIF(ThresholdAge22,"&lt;"&amp;'19_Расчет_аналитики'!C4607,WeightedMinAge22),MAX(CapacityAge22*'01_Вводные'!$B$218*'19_Расчет_аналитики'!C4607,MeanMinAge22))),0)</f>
        <v/>
      </c>
      <c r="D4533">
        <f>IF('01_Вводные'!$B$234="Да",IF(OR('06_Сеть_и_дети'!D102=0,22&lt;='01_Вводные'!$B$297),0,'06_Сеть_и_дети'!D102*IF('01_Вводные'!$B$239="Да",MeanMinAge22+'19_Расчет_аналитики'!D4607*SUMIF(ThresholdAge22,"&lt;"&amp;'19_Расчет_аналитики'!D4607,WeightedRevAge22)-SUMIF(ThresholdAge22,"&lt;"&amp;'19_Расчет_аналитики'!D4607,WeightedMinAge22),MAX(CapacityAge22*'01_Вводные'!$B$218*'19_Расчет_аналитики'!D4607,MeanMinAge22))),0)</f>
        <v/>
      </c>
      <c r="E4533">
        <f>IF('01_Вводные'!$B$234="Да",IF(OR('06_Сеть_и_дети'!E102=0,22&lt;='01_Вводные'!$B$297),0,'06_Сеть_и_дети'!E102*IF('01_Вводные'!$B$239="Да",MeanMinAge22+'19_Расчет_аналитики'!E4607*SUMIF(ThresholdAge22,"&lt;"&amp;'19_Расчет_аналитики'!E4607,WeightedRevAge22)-SUMIF(ThresholdAge22,"&lt;"&amp;'19_Расчет_аналитики'!E4607,WeightedMinAge22),MAX(CapacityAge22*'01_Вводные'!$B$218*'19_Расчет_аналитики'!E4607,MeanMinAge22))),0)</f>
        <v/>
      </c>
      <c r="F4533">
        <f>IF('01_Вводные'!$B$234="Да",IF(OR('06_Сеть_и_дети'!F102=0,22&lt;='01_Вводные'!$B$297),0,'06_Сеть_и_дети'!F102*IF('01_Вводные'!$B$239="Да",MeanMinAge22+'19_Расчет_аналитики'!F4607*SUMIF(ThresholdAge22,"&lt;"&amp;'19_Расчет_аналитики'!F4607,WeightedRevAge22)-SUMIF(ThresholdAge22,"&lt;"&amp;'19_Расчет_аналитики'!F4607,WeightedMinAge22),MAX(CapacityAge22*'01_Вводные'!$B$218*'19_Расчет_аналитики'!F4607,MeanMinAge22))),0)</f>
        <v/>
      </c>
      <c r="G4533">
        <f>IF('01_Вводные'!$B$234="Да",IF(OR('06_Сеть_и_дети'!G102=0,22&lt;='01_Вводные'!$B$297),0,'06_Сеть_и_дети'!G102*IF('01_Вводные'!$B$239="Да",MeanMinAge22+'19_Расчет_аналитики'!G4607*SUMIF(ThresholdAge22,"&lt;"&amp;'19_Расчет_аналитики'!G4607,WeightedRevAge22)-SUMIF(ThresholdAge22,"&lt;"&amp;'19_Расчет_аналитики'!G4607,WeightedMinAge22),MAX(CapacityAge22*'01_Вводные'!$B$218*'19_Расчет_аналитики'!G4607,MeanMinAge22))),0)</f>
        <v/>
      </c>
      <c r="H4533">
        <f>IF('01_Вводные'!$B$234="Да",IF(OR('06_Сеть_и_дети'!H102=0,22&lt;='01_Вводные'!$B$297),0,'06_Сеть_и_дети'!H102*IF('01_Вводные'!$B$239="Да",MeanMinAge22+'19_Расчет_аналитики'!H4607*SUMIF(ThresholdAge22,"&lt;"&amp;'19_Расчет_аналитики'!H4607,WeightedRevAge22)-SUMIF(ThresholdAge22,"&lt;"&amp;'19_Расчет_аналитики'!H4607,WeightedMinAge22),MAX(CapacityAge22*'01_Вводные'!$B$218*'19_Расчет_аналитики'!H4607,MeanMinAge22))),0)</f>
        <v/>
      </c>
      <c r="I4533">
        <f>IF('01_Вводные'!$B$234="Да",IF(OR('06_Сеть_и_дети'!I102=0,22&lt;='01_Вводные'!$B$297),0,'06_Сеть_и_дети'!I102*IF('01_Вводные'!$B$239="Да",MeanMinAge22+'19_Расчет_аналитики'!I4607*SUMIF(ThresholdAge22,"&lt;"&amp;'19_Расчет_аналитики'!I4607,WeightedRevAge22)-SUMIF(ThresholdAge22,"&lt;"&amp;'19_Расчет_аналитики'!I4607,WeightedMinAge22),MAX(CapacityAge22*'01_Вводные'!$B$218*'19_Расчет_аналитики'!I4607,MeanMinAge22))),0)</f>
        <v/>
      </c>
      <c r="J4533">
        <f>IF('01_Вводные'!$B$234="Да",IF(OR('06_Сеть_и_дети'!J102=0,22&lt;='01_Вводные'!$B$297),0,'06_Сеть_и_дети'!J102*IF('01_Вводные'!$B$239="Да",MeanMinAge22+'19_Расчет_аналитики'!J4607*SUMIF(ThresholdAge22,"&lt;"&amp;'19_Расчет_аналитики'!J4607,WeightedRevAge22)-SUMIF(ThresholdAge22,"&lt;"&amp;'19_Расчет_аналитики'!J4607,WeightedMinAge22),MAX(CapacityAge22*'01_Вводные'!$B$218*'19_Расчет_аналитики'!J4607,MeanMinAge22))),0)</f>
        <v/>
      </c>
      <c r="K4533">
        <f>IF('01_Вводные'!$B$234="Да",IF(OR('06_Сеть_и_дети'!K102=0,22&lt;='01_Вводные'!$B$297),0,'06_Сеть_и_дети'!K102*IF('01_Вводные'!$B$239="Да",MeanMinAge22+'19_Расчет_аналитики'!K4607*SUMIF(ThresholdAge22,"&lt;"&amp;'19_Расчет_аналитики'!K4607,WeightedRevAge22)-SUMIF(ThresholdAge22,"&lt;"&amp;'19_Расчет_аналитики'!K4607,WeightedMinAge22),MAX(CapacityAge22*'01_Вводные'!$B$218*'19_Расчет_аналитики'!K4607,MeanMinAge22))),0)</f>
        <v/>
      </c>
      <c r="L4533">
        <f>IF('01_Вводные'!$B$234="Да",IF(OR('06_Сеть_и_дети'!L102=0,22&lt;='01_Вводные'!$B$297),0,'06_Сеть_и_дети'!L102*IF('01_Вводные'!$B$239="Да",MeanMinAge22+'19_Расчет_аналитики'!L4607*SUMIF(ThresholdAge22,"&lt;"&amp;'19_Расчет_аналитики'!L4607,WeightedRevAge22)-SUMIF(ThresholdAge22,"&lt;"&amp;'19_Расчет_аналитики'!L4607,WeightedMinAge22),MAX(CapacityAge22*'01_Вводные'!$B$218*'19_Расчет_аналитики'!L4607,MeanMinAge22))),0)</f>
        <v/>
      </c>
      <c r="M4533">
        <f>IF('01_Вводные'!$B$234="Да",IF(OR('06_Сеть_и_дети'!M102=0,22&lt;='01_Вводные'!$B$297),0,'06_Сеть_и_дети'!M102*IF('01_Вводные'!$B$239="Да",MeanMinAge22+'19_Расчет_аналитики'!M4607*SUMIF(ThresholdAge22,"&lt;"&amp;'19_Расчет_аналитики'!M4607,WeightedRevAge22)-SUMIF(ThresholdAge22,"&lt;"&amp;'19_Расчет_аналитики'!M4607,WeightedMinAge22),MAX(CapacityAge22*'01_Вводные'!$B$218*'19_Расчет_аналитики'!M4607,MeanMinAge22))),0)</f>
        <v/>
      </c>
      <c r="N4533">
        <f>IF('01_Вводные'!$B$234="Да",IF(OR('06_Сеть_и_дети'!N102=0,22&lt;='01_Вводные'!$B$297),0,'06_Сеть_и_дети'!N102*IF('01_Вводные'!$B$239="Да",MeanMinAge22+'19_Расчет_аналитики'!N4607*SUMIF(ThresholdAge22,"&lt;"&amp;'19_Расчет_аналитики'!N4607,WeightedRevAge22)-SUMIF(ThresholdAge22,"&lt;"&amp;'19_Расчет_аналитики'!N4607,WeightedMinAge22),MAX(CapacityAge22*'01_Вводные'!$B$218*'19_Расчет_аналитики'!N4607,MeanMinAge22))),0)</f>
        <v/>
      </c>
      <c r="O4533">
        <f>IF('01_Вводные'!$B$234="Да",IF(OR('06_Сеть_и_дети'!O102=0,22&lt;='01_Вводные'!$B$297),0,'06_Сеть_и_дети'!O102*IF('01_Вводные'!$B$239="Да",MeanMinAge22+'19_Расчет_аналитики'!O4607*SUMIF(ThresholdAge22,"&lt;"&amp;'19_Расчет_аналитики'!O4607,WeightedRevAge22)-SUMIF(ThresholdAge22,"&lt;"&amp;'19_Расчет_аналитики'!O4607,WeightedMinAge22),MAX(CapacityAge22*'01_Вводные'!$B$218*'19_Расчет_аналитики'!O4607,MeanMinAge22))),0)</f>
        <v/>
      </c>
      <c r="P4533">
        <f>IF('01_Вводные'!$B$234="Да",IF(OR('06_Сеть_и_дети'!P102=0,22&lt;='01_Вводные'!$B$297),0,'06_Сеть_и_дети'!P102*IF('01_Вводные'!$B$239="Да",MeanMinAge22+'19_Расчет_аналитики'!P4607*SUMIF(ThresholdAge22,"&lt;"&amp;'19_Расчет_аналитики'!P4607,WeightedRevAge22)-SUMIF(ThresholdAge22,"&lt;"&amp;'19_Расчет_аналитики'!P4607,WeightedMinAge22),MAX(CapacityAge22*'01_Вводные'!$B$218*'19_Расчет_аналитики'!P4607,MeanMinAge22))),0)</f>
        <v/>
      </c>
      <c r="Q4533">
        <f>IF('01_Вводные'!$B$234="Да",IF(OR('06_Сеть_и_дети'!Q102=0,22&lt;='01_Вводные'!$B$297),0,'06_Сеть_и_дети'!Q102*IF('01_Вводные'!$B$239="Да",MeanMinAge22+'19_Расчет_аналитики'!Q4607*SUMIF(ThresholdAge22,"&lt;"&amp;'19_Расчет_аналитики'!Q4607,WeightedRevAge22)-SUMIF(ThresholdAge22,"&lt;"&amp;'19_Расчет_аналитики'!Q4607,WeightedMinAge22),MAX(CapacityAge22*'01_Вводные'!$B$218*'19_Расчет_аналитики'!Q4607,MeanMinAge22))),0)</f>
        <v/>
      </c>
      <c r="R4533">
        <f>IF('01_Вводные'!$B$234="Да",IF(OR('06_Сеть_и_дети'!R102=0,22&lt;='01_Вводные'!$B$297),0,'06_Сеть_и_дети'!R102*IF('01_Вводные'!$B$239="Да",MeanMinAge22+'19_Расчет_аналитики'!R4607*SUMIF(ThresholdAge22,"&lt;"&amp;'19_Расчет_аналитики'!R4607,WeightedRevAge22)-SUMIF(ThresholdAge22,"&lt;"&amp;'19_Расчет_аналитики'!R4607,WeightedMinAge22),MAX(CapacityAge22*'01_Вводные'!$B$218*'19_Расчет_аналитики'!R4607,MeanMinAge22))),0)</f>
        <v/>
      </c>
      <c r="S4533">
        <f>IF('01_Вводные'!$B$234="Да",IF(OR('06_Сеть_и_дети'!S102=0,22&lt;='01_Вводные'!$B$297),0,'06_Сеть_и_дети'!S102*IF('01_Вводные'!$B$239="Да",MeanMinAge22+'19_Расчет_аналитики'!S4607*SUMIF(ThresholdAge22,"&lt;"&amp;'19_Расчет_аналитики'!S4607,WeightedRevAge22)-SUMIF(ThresholdAge22,"&lt;"&amp;'19_Расчет_аналитики'!S4607,WeightedMinAge22),MAX(CapacityAge22*'01_Вводные'!$B$218*'19_Расчет_аналитики'!S4607,MeanMinAge22))),0)</f>
        <v/>
      </c>
      <c r="T4533">
        <f>IF('01_Вводные'!$B$234="Да",IF(OR('06_Сеть_и_дети'!T102=0,22&lt;='01_Вводные'!$B$297),0,'06_Сеть_и_дети'!T102*IF('01_Вводные'!$B$239="Да",MeanMinAge22+'19_Расчет_аналитики'!T4607*SUMIF(ThresholdAge22,"&lt;"&amp;'19_Расчет_аналитики'!T4607,WeightedRevAge22)-SUMIF(ThresholdAge22,"&lt;"&amp;'19_Расчет_аналитики'!T4607,WeightedMinAge22),MAX(CapacityAge22*'01_Вводные'!$B$218*'19_Расчет_аналитики'!T4607,MeanMinAge22))),0)</f>
        <v/>
      </c>
      <c r="U4533">
        <f>IF('01_Вводные'!$B$234="Да",IF(OR('06_Сеть_и_дети'!U102=0,22&lt;='01_Вводные'!$B$297),0,'06_Сеть_и_дети'!U102*IF('01_Вводные'!$B$239="Да",MeanMinAge22+'19_Расчет_аналитики'!U4607*SUMIF(ThresholdAge22,"&lt;"&amp;'19_Расчет_аналитики'!U4607,WeightedRevAge22)-SUMIF(ThresholdAge22,"&lt;"&amp;'19_Расчет_аналитики'!U4607,WeightedMinAge22),MAX(CapacityAge22*'01_Вводные'!$B$218*'19_Расчет_аналитики'!U4607,MeanMinAge22))),0)</f>
        <v/>
      </c>
      <c r="V4533">
        <f>IF('01_Вводные'!$B$234="Да",IF(OR('06_Сеть_и_дети'!V102=0,22&lt;='01_Вводные'!$B$297),0,'06_Сеть_и_дети'!V102*IF('01_Вводные'!$B$239="Да",MeanMinAge22+'19_Расчет_аналитики'!V4607*SUMIF(ThresholdAge22,"&lt;"&amp;'19_Расчет_аналитики'!V4607,WeightedRevAge22)-SUMIF(ThresholdAge22,"&lt;"&amp;'19_Расчет_аналитики'!V4607,WeightedMinAge22),MAX(CapacityAge22*'01_Вводные'!$B$218*'19_Расчет_аналитики'!V4607,MeanMinAge22))),0)</f>
        <v/>
      </c>
      <c r="W4533">
        <f>IF('01_Вводные'!$B$234="Да",IF(OR('19_Расчет_аналитики'!W4505=0,22&lt;='01_Вводные'!$B$297),0,'19_Расчет_аналитики'!W4505*IF('01_Вводные'!$B$239="Да",MeanMinAge22+'19_Расчет_аналитики'!W4607*SUMIF(ThresholdAge22,"&lt;"&amp;'19_Расчет_аналитики'!W4607,WeightedRevAge22)-SUMIF(ThresholdAge22,"&lt;"&amp;'19_Расчет_аналитики'!W4607,WeightedMinAge22),MAX(CapacityAge22*'01_Вводные'!$B$218*'19_Расчет_аналитики'!W4607,MeanMinAge22))),0)</f>
        <v/>
      </c>
      <c r="X4533">
        <f>IF('01_Вводные'!$B$234="Да",IF(OR('19_Расчет_аналитики'!X4505=0,22&lt;='01_Вводные'!$B$297),0,'19_Расчет_аналитики'!X4505*IF('01_Вводные'!$B$239="Да",MeanMinAge22+'19_Расчет_аналитики'!X4607*SUMIF(ThresholdAge22,"&lt;"&amp;'19_Расчет_аналитики'!X4607,WeightedRevAge22)-SUMIF(ThresholdAge22,"&lt;"&amp;'19_Расчет_аналитики'!X4607,WeightedMinAge22),MAX(CapacityAge22*'01_Вводные'!$B$218*'19_Расчет_аналитики'!X4607,MeanMinAge22))),0)</f>
        <v/>
      </c>
      <c r="Y4533">
        <f>IF('01_Вводные'!$B$234="Да",IF(OR('19_Расчет_аналитики'!Y4505=0,22&lt;='01_Вводные'!$B$297),0,'19_Расчет_аналитики'!Y4505*IF('01_Вводные'!$B$239="Да",MeanMinAge22+'19_Расчет_аналитики'!Y4607*SUMIF(ThresholdAge22,"&lt;"&amp;'19_Расчет_аналитики'!Y4607,WeightedRevAge22)-SUMIF(ThresholdAge22,"&lt;"&amp;'19_Расчет_аналитики'!Y4607,WeightedMinAge22),MAX(CapacityAge22*'01_Вводные'!$B$218*'19_Расчет_аналитики'!Y4607,MeanMinAge22))),0)</f>
        <v/>
      </c>
      <c r="Z4533">
        <f>IF('01_Вводные'!$B$234="Да",IF(OR('19_Расчет_аналитики'!Z4505=0,22&lt;='01_Вводные'!$B$297),0,'19_Расчет_аналитики'!Z4505*IF('01_Вводные'!$B$239="Да",MeanMinAge22+'19_Расчет_аналитики'!Z4607*SUMIF(ThresholdAge22,"&lt;"&amp;'19_Расчет_аналитики'!Z4607,WeightedRevAge22)-SUMIF(ThresholdAge22,"&lt;"&amp;'19_Расчет_аналитики'!Z4607,WeightedMinAge22),MAX(CapacityAge22*'01_Вводные'!$B$218*'19_Расчет_аналитики'!Z4607,MeanMinAge22))),0)</f>
        <v/>
      </c>
      <c r="AA4533">
        <f>IF('01_Вводные'!$B$234="Да",IF(OR('19_Расчет_аналитики'!AA4505=0,22&lt;='01_Вводные'!$B$297),0,'19_Расчет_аналитики'!AA4505*IF('01_Вводные'!$B$239="Да",MeanMinAge22+'19_Расчет_аналитики'!AA4607*SUMIF(ThresholdAge22,"&lt;"&amp;'19_Расчет_аналитики'!AA4607,WeightedRevAge22)-SUMIF(ThresholdAge22,"&lt;"&amp;'19_Расчет_аналитики'!AA4607,WeightedMinAge22),MAX(CapacityAge22*'01_Вводные'!$B$218*'19_Расчет_аналитики'!AA4607,MeanMinAge22))),0)</f>
        <v/>
      </c>
      <c r="AB4533">
        <f>IF('01_Вводные'!$B$234="Да",IF(OR('19_Расчет_аналитики'!AB4505=0,22&lt;='01_Вводные'!$B$297),0,'19_Расчет_аналитики'!AB4505*IF('01_Вводные'!$B$239="Да",MeanMinAge22+'19_Расчет_аналитики'!AB4607*SUMIF(ThresholdAge22,"&lt;"&amp;'19_Расчет_аналитики'!AB4607,WeightedRevAge22)-SUMIF(ThresholdAge22,"&lt;"&amp;'19_Расчет_аналитики'!AB4607,WeightedMinAge22),MAX(CapacityAge22*'01_Вводные'!$B$218*'19_Расчет_аналитики'!AB4607,MeanMinAge22))),0)</f>
        <v/>
      </c>
      <c r="AC4533">
        <f>IF('01_Вводные'!$B$234="Да",IF(OR('19_Расчет_аналитики'!AC4505=0,22&lt;='01_Вводные'!$B$297),0,'19_Расчет_аналитики'!AC4505*IF('01_Вводные'!$B$239="Да",MeanMinAge22+'19_Расчет_аналитики'!AC4607*SUMIF(ThresholdAge22,"&lt;"&amp;'19_Расчет_аналитики'!AC4607,WeightedRevAge22)-SUMIF(ThresholdAge22,"&lt;"&amp;'19_Расчет_аналитики'!AC4607,WeightedMinAge22),MAX(CapacityAge22*'01_Вводные'!$B$218*'19_Расчет_аналитики'!AC4607,MeanMinAge22))),0)</f>
        <v/>
      </c>
      <c r="AD4533">
        <f>IF('01_Вводные'!$B$234="Да",IF(OR('19_Расчет_аналитики'!AD4505=0,22&lt;='01_Вводные'!$B$297),0,'19_Расчет_аналитики'!AD4505*IF('01_Вводные'!$B$239="Да",MeanMinAge22+'19_Расчет_аналитики'!AD4607*SUMIF(ThresholdAge22,"&lt;"&amp;'19_Расчет_аналитики'!AD4607,WeightedRevAge22)-SUMIF(ThresholdAge22,"&lt;"&amp;'19_Расчет_аналитики'!AD4607,WeightedMinAge22),MAX(CapacityAge22*'01_Вводные'!$B$218*'19_Расчет_аналитики'!AD4607,MeanMinAge22))),0)</f>
        <v/>
      </c>
      <c r="AE4533">
        <f>IF('01_Вводные'!$B$234="Да",IF(OR('19_Расчет_аналитики'!AE4505=0,22&lt;='01_Вводные'!$B$297),0,'19_Расчет_аналитики'!AE4505*IF('01_Вводные'!$B$239="Да",MeanMinAge22+'19_Расчет_аналитики'!AE4607*SUMIF(ThresholdAge22,"&lt;"&amp;'19_Расчет_аналитики'!AE4607,WeightedRevAge22)-SUMIF(ThresholdAge22,"&lt;"&amp;'19_Расчет_аналитики'!AE4607,WeightedMinAge22),MAX(CapacityAge22*'01_Вводные'!$B$218*'19_Расчет_аналитики'!AE4607,MeanMinAge22))),0)</f>
        <v/>
      </c>
      <c r="AF4533">
        <f>IF('01_Вводные'!$B$234="Да",IF(OR('19_Расчет_аналитики'!AF4505=0,22&lt;='01_Вводные'!$B$297),0,'19_Расчет_аналитики'!AF4505*IF('01_Вводные'!$B$239="Да",MeanMinAge22+'19_Расчет_аналитики'!AF4607*SUMIF(ThresholdAge22,"&lt;"&amp;'19_Расчет_аналитики'!AF4607,WeightedRevAge22)-SUMIF(ThresholdAge22,"&lt;"&amp;'19_Расчет_аналитики'!AF4607,WeightedMinAge22),MAX(CapacityAge22*'01_Вводные'!$B$218*'19_Расчет_аналитики'!AF4607,MeanMinAge22))),0)</f>
        <v/>
      </c>
      <c r="AG4533">
        <f>IF('01_Вводные'!$B$234="Да",IF(OR('19_Расчет_аналитики'!AG4505=0,22&lt;='01_Вводные'!$B$297),0,'19_Расчет_аналитики'!AG4505*IF('01_Вводные'!$B$239="Да",MeanMinAge22+'19_Расчет_аналитики'!AG4607*SUMIF(ThresholdAge22,"&lt;"&amp;'19_Расчет_аналитики'!AG4607,WeightedRevAge22)-SUMIF(ThresholdAge22,"&lt;"&amp;'19_Расчет_аналитики'!AG4607,WeightedMinAge22),MAX(CapacityAge22*'01_Вводные'!$B$218*'19_Расчет_аналитики'!AG4607,MeanMinAge22))),0)</f>
        <v/>
      </c>
      <c r="AH4533">
        <f>IF('01_Вводные'!$B$234="Да",IF(OR('19_Расчет_аналитики'!AH4505=0,22&lt;='01_Вводные'!$B$297),0,'19_Расчет_аналитики'!AH4505*IF('01_Вводные'!$B$239="Да",MeanMinAge22+'19_Расчет_аналитики'!AH4607*SUMIF(ThresholdAge22,"&lt;"&amp;'19_Расчет_аналитики'!AH4607,WeightedRevAge22)-SUMIF(ThresholdAge22,"&lt;"&amp;'19_Расчет_аналитики'!AH4607,WeightedMinAge22),MAX(CapacityAge22*'01_Вводные'!$B$218*'19_Расчет_аналитики'!AH4607,MeanMinAge22))),0)</f>
        <v/>
      </c>
      <c r="AI4533">
        <f>IF('01_Вводные'!$B$234="Да",IF(OR('19_Расчет_аналитики'!AI4505=0,22&lt;='01_Вводные'!$B$297),0,'19_Расчет_аналитики'!AI4505*IF('01_Вводные'!$B$239="Да",MeanMinAge22+'19_Расчет_аналитики'!AI4607*SUMIF(ThresholdAge22,"&lt;"&amp;'19_Расчет_аналитики'!AI4607,WeightedRevAge22)-SUMIF(ThresholdAge22,"&lt;"&amp;'19_Расчет_аналитики'!AI4607,WeightedMinAge22),MAX(CapacityAge22*'01_Вводные'!$B$218*'19_Расчет_аналитики'!AI4607,MeanMinAge22))),0)</f>
        <v/>
      </c>
      <c r="AJ4533">
        <f>IF('01_Вводные'!$B$234="Да",IF(OR('19_Расчет_аналитики'!AJ4505=0,22&lt;='01_Вводные'!$B$297),0,'19_Расчет_аналитики'!AJ4505*IF('01_Вводные'!$B$239="Да",MeanMinAge22+'19_Расчет_аналитики'!AJ4607*SUMIF(ThresholdAge22,"&lt;"&amp;'19_Расчет_аналитики'!AJ4607,WeightedRevAge22)-SUMIF(ThresholdAge22,"&lt;"&amp;'19_Расчет_аналитики'!AJ4607,WeightedMinAge22),MAX(CapacityAge22*'01_Вводные'!$B$218*'19_Расчет_аналитики'!AJ4607,MeanMinAge22))),0)</f>
        <v/>
      </c>
      <c r="AK4533">
        <f>IF('01_Вводные'!$B$234="Да",IF(OR('19_Расчет_аналитики'!AK4505=0,22&lt;='01_Вводные'!$B$297),0,'19_Расчет_аналитики'!AK4505*IF('01_Вводные'!$B$239="Да",MeanMinAge22+'19_Расчет_аналитики'!AK4607*SUMIF(ThresholdAge22,"&lt;"&amp;'19_Расчет_аналитики'!AK4607,WeightedRevAge22)-SUMIF(ThresholdAge22,"&lt;"&amp;'19_Расчет_аналитики'!AK4607,WeightedMinAge22),MAX(CapacityAge22*'01_Вводные'!$B$218*'19_Расчет_аналитики'!AK4607,MeanMinAge22))),0)</f>
        <v/>
      </c>
      <c r="AL4533">
        <f>IF('01_Вводные'!$B$234="Да",IF(OR('19_Расчет_аналитики'!AL4505=0,22&lt;='01_Вводные'!$B$297),0,'19_Расчет_аналитики'!AL4505*IF('01_Вводные'!$B$239="Да",MeanMinAge22+'19_Расчет_аналитики'!AL4607*SUMIF(ThresholdAge22,"&lt;"&amp;'19_Расчет_аналитики'!AL4607,WeightedRevAge22)-SUMIF(ThresholdAge22,"&lt;"&amp;'19_Расчет_аналитики'!AL4607,WeightedMinAge22),MAX(CapacityAge22*'01_Вводные'!$B$218*'19_Расчет_аналитики'!AL4607,MeanMinAge22))),0)</f>
        <v/>
      </c>
      <c r="AM4533">
        <f>IF('01_Вводные'!$B$234="Да",IF(OR('19_Расчет_аналитики'!AM4505=0,22&lt;='01_Вводные'!$B$297),0,'19_Расчет_аналитики'!AM4505*IF('01_Вводные'!$B$239="Да",MeanMinAge22+'19_Расчет_аналитики'!AM4607*SUMIF(ThresholdAge22,"&lt;"&amp;'19_Расчет_аналитики'!AM4607,WeightedRevAge22)-SUMIF(ThresholdAge22,"&lt;"&amp;'19_Расчет_аналитики'!AM4607,WeightedMinAge22),MAX(CapacityAge22*'01_Вводные'!$B$218*'19_Расчет_аналитики'!AM4607,MeanMinAge22))),0)</f>
        <v/>
      </c>
      <c r="AN4533">
        <f>IF('01_Вводные'!$B$234="Да",IF(OR('19_Расчет_аналитики'!AN4505=0,22&lt;='01_Вводные'!$B$297),0,'19_Расчет_аналитики'!AN4505*IF('01_Вводные'!$B$239="Да",MeanMinAge22+'19_Расчет_аналитики'!AN4607*SUMIF(ThresholdAge22,"&lt;"&amp;'19_Расчет_аналитики'!AN4607,WeightedRevAge22)-SUMIF(ThresholdAge22,"&lt;"&amp;'19_Расчет_аналитики'!AN4607,WeightedMinAge22),MAX(CapacityAge22*'01_Вводные'!$B$218*'19_Расчет_аналитики'!AN4607,MeanMinAge22))),0)</f>
        <v/>
      </c>
      <c r="AO4533">
        <f>IF('01_Вводные'!$B$234="Да",IF(OR('19_Расчет_аналитики'!AO4505=0,22&lt;='01_Вводные'!$B$297),0,'19_Расчет_аналитики'!AO4505*IF('01_Вводные'!$B$239="Да",MeanMinAge22+'19_Расчет_аналитики'!AO4607*SUMIF(ThresholdAge22,"&lt;"&amp;'19_Расчет_аналитики'!AO4607,WeightedRevAge22)-SUMIF(ThresholdAge22,"&lt;"&amp;'19_Расчет_аналитики'!AO4607,WeightedMinAge22),MAX(CapacityAge22*'01_Вводные'!$B$218*'19_Расчет_аналитики'!AO4607,MeanMinAge22))),0)</f>
        <v/>
      </c>
      <c r="AP4533">
        <f>IF('01_Вводные'!$B$234="Да",IF(OR('19_Расчет_аналитики'!AP4505=0,22&lt;='01_Вводные'!$B$297),0,'19_Расчет_аналитики'!AP4505*IF('01_Вводные'!$B$239="Да",MeanMinAge22+'19_Расчет_аналитики'!AP4607*SUMIF(ThresholdAge22,"&lt;"&amp;'19_Расчет_аналитики'!AP4607,WeightedRevAge22)-SUMIF(ThresholdAge22,"&lt;"&amp;'19_Расчет_аналитики'!AP4607,WeightedMinAge22),MAX(CapacityAge22*'01_Вводные'!$B$218*'19_Расчет_аналитики'!AP4607,MeanMinAge22))),0)</f>
        <v/>
      </c>
      <c r="AQ4533">
        <f>IF('01_Вводные'!$B$234="Да",IF(OR('19_Расчет_аналитики'!AQ4505=0,22&lt;='01_Вводные'!$B$297),0,'19_Расчет_аналитики'!AQ4505*IF('01_Вводные'!$B$239="Да",MeanMinAge22+'19_Расчет_аналитики'!AQ4607*SUMIF(ThresholdAge22,"&lt;"&amp;'19_Расчет_аналитики'!AQ4607,WeightedRevAge22)-SUMIF(ThresholdAge22,"&lt;"&amp;'19_Расчет_аналитики'!AQ4607,WeightedMinAge22),MAX(CapacityAge22*'01_Вводные'!$B$218*'19_Расчет_аналитики'!AQ4607,MeanMinAge22))),0)</f>
        <v/>
      </c>
      <c r="AR4533">
        <f>IF('01_Вводные'!$B$234="Да",IF(OR('19_Расчет_аналитики'!AR4505=0,22&lt;='01_Вводные'!$B$297),0,'19_Расчет_аналитики'!AR4505*IF('01_Вводные'!$B$239="Да",MeanMinAge22+'19_Расчет_аналитики'!AR4607*SUMIF(ThresholdAge22,"&lt;"&amp;'19_Расчет_аналитики'!AR4607,WeightedRevAge22)-SUMIF(ThresholdAge22,"&lt;"&amp;'19_Расчет_аналитики'!AR4607,WeightedMinAge22),MAX(CapacityAge22*'01_Вводные'!$B$218*'19_Расчет_аналитики'!AR4607,MeanMinAge22))),0)</f>
        <v/>
      </c>
      <c r="AS4533">
        <f>IF('01_Вводные'!$B$234="Да",IF(OR('19_Расчет_аналитики'!AS4505=0,22&lt;='01_Вводные'!$B$297),0,'19_Расчет_аналитики'!AS4505*IF('01_Вводные'!$B$239="Да",MeanMinAge22+'19_Расчет_аналитики'!AS4607*SUMIF(ThresholdAge22,"&lt;"&amp;'19_Расчет_аналитики'!AS4607,WeightedRevAge22)-SUMIF(ThresholdAge22,"&lt;"&amp;'19_Расчет_аналитики'!AS4607,WeightedMinAge22),MAX(CapacityAge22*'01_Вводные'!$B$218*'19_Расчет_аналитики'!AS4607,MeanMinAge22))),0)</f>
        <v/>
      </c>
      <c r="AT4533">
        <f>IF('01_Вводные'!$B$234="Да",IF(OR('19_Расчет_аналитики'!AT4505=0,22&lt;='01_Вводные'!$B$297),0,'19_Расчет_аналитики'!AT4505*IF('01_Вводные'!$B$239="Да",MeanMinAge22+'19_Расчет_аналитики'!AT4607*SUMIF(ThresholdAge22,"&lt;"&amp;'19_Расчет_аналитики'!AT4607,WeightedRevAge22)-SUMIF(ThresholdAge22,"&lt;"&amp;'19_Расчет_аналитики'!AT4607,WeightedMinAge22),MAX(CapacityAge22*'01_Вводные'!$B$218*'19_Расчет_аналитики'!AT4607,MeanMinAge22))),0)</f>
        <v/>
      </c>
      <c r="AU4533">
        <f>IF('01_Вводные'!$B$234="Да",IF(OR('19_Расчет_аналитики'!AU4505=0,22&lt;='01_Вводные'!$B$297),0,'19_Расчет_аналитики'!AU4505*IF('01_Вводные'!$B$239="Да",MeanMinAge22+'19_Расчет_аналитики'!AU4607*SUMIF(ThresholdAge22,"&lt;"&amp;'19_Расчет_аналитики'!AU4607,WeightedRevAge22)-SUMIF(ThresholdAge22,"&lt;"&amp;'19_Расчет_аналитики'!AU4607,WeightedMinAge22),MAX(CapacityAge22*'01_Вводные'!$B$218*'19_Расчет_аналитики'!AU4607,MeanMinAge22))),0)</f>
        <v/>
      </c>
      <c r="AV4533">
        <f>IF('01_Вводные'!$B$234="Да",IF(OR('19_Расчет_аналитики'!AV4505=0,22&lt;='01_Вводные'!$B$297),0,'19_Расчет_аналитики'!AV4505*IF('01_Вводные'!$B$239="Да",MeanMinAge22+'19_Расчет_аналитики'!AV4607*SUMIF(ThresholdAge22,"&lt;"&amp;'19_Расчет_аналитики'!AV4607,WeightedRevAge22)-SUMIF(ThresholdAge22,"&lt;"&amp;'19_Расчет_аналитики'!AV4607,WeightedMinAge22),MAX(CapacityAge22*'01_Вводные'!$B$218*'19_Расчет_аналитики'!AV4607,MeanMinAge22))),0)</f>
        <v/>
      </c>
      <c r="AW4533">
        <f>IF('01_Вводные'!$B$234="Да",IF(OR('19_Расчет_аналитики'!AW4505=0,22&lt;='01_Вводные'!$B$297),0,'19_Расчет_аналитики'!AW4505*IF('01_Вводные'!$B$239="Да",MeanMinAge22+'19_Расчет_аналитики'!AW4607*SUMIF(ThresholdAge22,"&lt;"&amp;'19_Расчет_аналитики'!AW4607,WeightedRevAge22)-SUMIF(ThresholdAge22,"&lt;"&amp;'19_Расчет_аналитики'!AW4607,WeightedMinAge22),MAX(CapacityAge22*'01_Вводные'!$B$218*'19_Расчет_аналитики'!AW4607,MeanMinAge22))),0)</f>
        <v/>
      </c>
      <c r="AX4533">
        <f>IF('01_Вводные'!$B$234="Да",IF(OR('19_Расчет_аналитики'!AX4505=0,22&lt;='01_Вводные'!$B$297),0,'19_Расчет_аналитики'!AX4505*IF('01_Вводные'!$B$239="Да",MeanMinAge22+'19_Расчет_аналитики'!AX4607*SUMIF(ThresholdAge22,"&lt;"&amp;'19_Расчет_аналитики'!AX4607,WeightedRevAge22)-SUMIF(ThresholdAge22,"&lt;"&amp;'19_Расчет_аналитики'!AX4607,WeightedMinAge22),MAX(CapacityAge22*'01_Вводные'!$B$218*'19_Расчет_аналитики'!AX4607,MeanMinAge22))),0)</f>
        <v/>
      </c>
      <c r="AY4533">
        <f>IF('01_Вводные'!$B$234="Да",IF(OR('19_Расчет_аналитики'!AY4505=0,22&lt;='01_Вводные'!$B$297),0,'19_Расчет_аналитики'!AY4505*IF('01_Вводные'!$B$239="Да",MeanMinAge22+'19_Расчет_аналитики'!AY4607*SUMIF(ThresholdAge22,"&lt;"&amp;'19_Расчет_аналитики'!AY4607,WeightedRevAge22)-SUMIF(ThresholdAge22,"&lt;"&amp;'19_Расчет_аналитики'!AY4607,WeightedMinAge22),MAX(CapacityAge22*'01_Вводные'!$B$218*'19_Расчет_аналитики'!AY4607,MeanMinAge22))),0)</f>
        <v/>
      </c>
      <c r="AZ4533">
        <f>IF('01_Вводные'!$B$234="Да",IF(OR('19_Расчет_аналитики'!AZ4505=0,22&lt;='01_Вводные'!$B$297),0,'19_Расчет_аналитики'!AZ4505*IF('01_Вводные'!$B$239="Да",MeanMinAge22+'19_Расчет_аналитики'!AZ4607*SUMIF(ThresholdAge22,"&lt;"&amp;'19_Расчет_аналитики'!AZ4607,WeightedRevAge22)-SUMIF(ThresholdAge22,"&lt;"&amp;'19_Расчет_аналитики'!AZ4607,WeightedMinAge22),MAX(CapacityAge22*'01_Вводные'!$B$218*'19_Расчет_аналитики'!AZ4607,MeanMinAge22))),0)</f>
        <v/>
      </c>
      <c r="BA4533">
        <f>IF('01_Вводные'!$B$234="Да",IF(OR('19_Расчет_аналитики'!BA4505=0,22&lt;='01_Вводные'!$B$297),0,'19_Расчет_аналитики'!BA4505*IF('01_Вводные'!$B$239="Да",MeanMinAge22+'19_Расчет_аналитики'!BA4607*SUMIF(ThresholdAge22,"&lt;"&amp;'19_Расчет_аналитики'!BA4607,WeightedRevAge22)-SUMIF(ThresholdAge22,"&lt;"&amp;'19_Расчет_аналитики'!BA4607,WeightedMinAge22),MAX(CapacityAge22*'01_Вводные'!$B$218*'19_Расчет_аналитики'!BA4607,MeanMinAge22))),0)</f>
        <v/>
      </c>
      <c r="BB4533">
        <f>IF('01_Вводные'!$B$234="Да",IF(OR('19_Расчет_аналитики'!BB4505=0,22&lt;='01_Вводные'!$B$297),0,'19_Расчет_аналитики'!BB4505*IF('01_Вводные'!$B$239="Да",MeanMinAge22+'19_Расчет_аналитики'!BB4607*SUMIF(ThresholdAge22,"&lt;"&amp;'19_Расчет_аналитики'!BB4607,WeightedRevAge22)-SUMIF(ThresholdAge22,"&lt;"&amp;'19_Расчет_аналитики'!BB4607,WeightedMinAge22),MAX(CapacityAge22*'01_Вводные'!$B$218*'19_Расчет_аналитики'!BB4607,MeanMinAge22))),0)</f>
        <v/>
      </c>
      <c r="BC4533">
        <f>IF('01_Вводные'!$B$234="Да",IF(OR('19_Расчет_аналитики'!BC4505=0,22&lt;='01_Вводные'!$B$297),0,'19_Расчет_аналитики'!BC4505*IF('01_Вводные'!$B$239="Да",MeanMinAge22+'19_Расчет_аналитики'!BC4607*SUMIF(ThresholdAge22,"&lt;"&amp;'19_Расчет_аналитики'!BC4607,WeightedRevAge22)-SUMIF(ThresholdAge22,"&lt;"&amp;'19_Расчет_аналитики'!BC4607,WeightedMinAge22),MAX(CapacityAge22*'01_Вводные'!$B$218*'19_Расчет_аналитики'!BC4607,MeanMinAge22))),0)</f>
        <v/>
      </c>
      <c r="BD4533">
        <f>IF('01_Вводные'!$B$234="Да",IF(OR('19_Расчет_аналитики'!BD4505=0,22&lt;='01_Вводные'!$B$297),0,'19_Расчет_аналитики'!BD4505*IF('01_Вводные'!$B$239="Да",MeanMinAge22+'19_Расчет_аналитики'!BD4607*SUMIF(ThresholdAge22,"&lt;"&amp;'19_Расчет_аналитики'!BD4607,WeightedRevAge22)-SUMIF(ThresholdAge22,"&lt;"&amp;'19_Расчет_аналитики'!BD4607,WeightedMinAge22),MAX(CapacityAge22*'01_Вводные'!$B$218*'19_Расчет_аналитики'!BD4607,MeanMinAge22))),0)</f>
        <v/>
      </c>
      <c r="BE4533">
        <f>IF('01_Вводные'!$B$234="Да",IF(OR('19_Расчет_аналитики'!BE4505=0,22&lt;='01_Вводные'!$B$297),0,'19_Расчет_аналитики'!BE4505*IF('01_Вводные'!$B$239="Да",MeanMinAge22+'19_Расчет_аналитики'!BE4607*SUMIF(ThresholdAge22,"&lt;"&amp;'19_Расчет_аналитики'!BE4607,WeightedRevAge22)-SUMIF(ThresholdAge22,"&lt;"&amp;'19_Расчет_аналитики'!BE4607,WeightedMinAge22),MAX(CapacityAge22*'01_Вводные'!$B$218*'19_Расчет_аналитики'!BE4607,MeanMinAge22))),0)</f>
        <v/>
      </c>
      <c r="BF4533">
        <f>IF('01_Вводные'!$B$234="Да",IF(OR('19_Расчет_аналитики'!BF4505=0,22&lt;='01_Вводные'!$B$297),0,'19_Расчет_аналитики'!BF4505*IF('01_Вводные'!$B$239="Да",MeanMinAge22+'19_Расчет_аналитики'!BF4607*SUMIF(ThresholdAge22,"&lt;"&amp;'19_Расчет_аналитики'!BF4607,WeightedRevAge22)-SUMIF(ThresholdAge22,"&lt;"&amp;'19_Расчет_аналитики'!BF4607,WeightedMinAge22),MAX(CapacityAge22*'01_Вводные'!$B$218*'19_Расчет_аналитики'!BF4607,MeanMinAge22))),0)</f>
        <v/>
      </c>
      <c r="BG4533">
        <f>IF('01_Вводные'!$B$234="Да",IF(OR('19_Расчет_аналитики'!BG4505=0,22&lt;='01_Вводные'!$B$297),0,'19_Расчет_аналитики'!BG4505*IF('01_Вводные'!$B$239="Да",MeanMinAge22+'19_Расчет_аналитики'!BG4607*SUMIF(ThresholdAge22,"&lt;"&amp;'19_Расчет_аналитики'!BG4607,WeightedRevAge22)-SUMIF(ThresholdAge22,"&lt;"&amp;'19_Расчет_аналитики'!BG4607,WeightedMinAge22),MAX(CapacityAge22*'01_Вводные'!$B$218*'19_Расчет_аналитики'!BG4607,MeanMinAge22))),0)</f>
        <v/>
      </c>
      <c r="BH4533">
        <f>IF('01_Вводные'!$B$234="Да",IF(OR('19_Расчет_аналитики'!BH4505=0,22&lt;='01_Вводные'!$B$297),0,'19_Расчет_аналитики'!BH4505*IF('01_Вводные'!$B$239="Да",MeanMinAge22+'19_Расчет_аналитики'!BH4607*SUMIF(ThresholdAge22,"&lt;"&amp;'19_Расчет_аналитики'!BH4607,WeightedRevAge22)-SUMIF(ThresholdAge22,"&lt;"&amp;'19_Расчет_аналитики'!BH4607,WeightedMinAge22),MAX(CapacityAge22*'01_Вводные'!$B$218*'19_Расчет_аналитики'!BH4607,MeanMinAge22))),0)</f>
        <v/>
      </c>
      <c r="BI4533">
        <f>IF('01_Вводные'!$B$234="Да",IF(OR('19_Расчет_аналитики'!BI4505=0,22&lt;='01_Вводные'!$B$297),0,'19_Расчет_аналитики'!BI4505*IF('01_Вводные'!$B$239="Да",MeanMinAge22+'19_Расчет_аналитики'!BI4607*SUMIF(ThresholdAge22,"&lt;"&amp;'19_Расчет_аналитики'!BI4607,WeightedRevAge22)-SUMIF(ThresholdAge22,"&lt;"&amp;'19_Расчет_аналитики'!BI4607,WeightedMinAge22),MAX(CapacityAge22*'01_Вводные'!$B$218*'19_Расчет_аналитики'!BI4607,MeanMinAge22))),0)</f>
        <v/>
      </c>
      <c r="BJ4533">
        <f>IF('01_Вводные'!$B$234="Да",IF(OR('19_Расчет_аналитики'!BJ4505=0,22&lt;='01_Вводные'!$B$297),0,'19_Расчет_аналитики'!BJ4505*IF('01_Вводные'!$B$239="Да",MeanMinAge22+'19_Расчет_аналитики'!BJ4607*SUMIF(ThresholdAge22,"&lt;"&amp;'19_Расчет_аналитики'!BJ4607,WeightedRevAge22)-SUMIF(ThresholdAge22,"&lt;"&amp;'19_Расчет_аналитики'!BJ4607,WeightedMinAge22),MAX(CapacityAge22*'01_Вводные'!$B$218*'19_Расчет_аналитики'!BJ4607,MeanMinAge22))),0)</f>
        <v/>
      </c>
      <c r="BK4533">
        <f>IF('01_Вводные'!$B$234="Да",IF(OR('19_Расчет_аналитики'!BK4505=0,22&lt;='01_Вводные'!$B$297),0,'19_Расчет_аналитики'!BK4505*IF('01_Вводные'!$B$239="Да",MeanMinAge22+'19_Расчет_аналитики'!BK4607*SUMIF(ThresholdAge22,"&lt;"&amp;'19_Расчет_аналитики'!BK4607,WeightedRevAge22)-SUMIF(ThresholdAge22,"&lt;"&amp;'19_Расчет_аналитики'!BK4607,WeightedMinAge22),MAX(CapacityAge22*'01_Вводные'!$B$218*'19_Расчет_аналитики'!BK4607,MeanMinAge22))),0)</f>
        <v/>
      </c>
      <c r="BL4533">
        <f>IF('01_Вводные'!$B$234="Да",IF(OR('19_Расчет_аналитики'!BL4505=0,22&lt;='01_Вводные'!$B$297),0,'19_Расчет_аналитики'!BL4505*IF('01_Вводные'!$B$239="Да",MeanMinAge22+'19_Расчет_аналитики'!BL4607*SUMIF(ThresholdAge22,"&lt;"&amp;'19_Расчет_аналитики'!BL4607,WeightedRevAge22)-SUMIF(ThresholdAge22,"&lt;"&amp;'19_Расчет_аналитики'!BL4607,WeightedMinAge22),MAX(CapacityAge22*'01_Вводные'!$B$218*'19_Расчет_аналитики'!BL4607,MeanMinAge22))),0)</f>
        <v/>
      </c>
      <c r="BM4533">
        <f>IF('01_Вводные'!$B$234="Да",IF(OR('19_Расчет_аналитики'!BM4505=0,22&lt;='01_Вводные'!$B$297),0,'19_Расчет_аналитики'!BM4505*IF('01_Вводные'!$B$239="Да",MeanMinAge22+'19_Расчет_аналитики'!BM4607*SUMIF(ThresholdAge22,"&lt;"&amp;'19_Расчет_аналитики'!BM4607,WeightedRevAge22)-SUMIF(ThresholdAge22,"&lt;"&amp;'19_Расчет_аналитики'!BM4607,WeightedMinAge22),MAX(CapacityAge22*'01_Вводные'!$B$218*'19_Расчет_аналитики'!BM4607,MeanMinAge22))),0)</f>
        <v/>
      </c>
      <c r="BN4533">
        <f>IF('01_Вводные'!$B$234="Да",IF(OR('19_Расчет_аналитики'!BN4505=0,22&lt;='01_Вводные'!$B$297),0,'19_Расчет_аналитики'!BN4505*IF('01_Вводные'!$B$239="Да",MeanMinAge22+'19_Расчет_аналитики'!BN4607*SUMIF(ThresholdAge22,"&lt;"&amp;'19_Расчет_аналитики'!BN4607,WeightedRevAge22)-SUMIF(ThresholdAge22,"&lt;"&amp;'19_Расчет_аналитики'!BN4607,WeightedMinAge22),MAX(CapacityAge22*'01_Вводные'!$B$218*'19_Расчет_аналитики'!BN4607,MeanMinAge22))),0)</f>
        <v/>
      </c>
      <c r="BO4533">
        <f>IF('01_Вводные'!$B$234="Да",IF(OR('19_Расчет_аналитики'!BO4505=0,22&lt;='01_Вводные'!$B$297),0,'19_Расчет_аналитики'!BO4505*IF('01_Вводные'!$B$239="Да",MeanMinAge22+'19_Расчет_аналитики'!BO4607*SUMIF(ThresholdAge22,"&lt;"&amp;'19_Расчет_аналитики'!BO4607,WeightedRevAge22)-SUMIF(ThresholdAge22,"&lt;"&amp;'19_Расчет_аналитики'!BO4607,WeightedMinAge22),MAX(CapacityAge22*'01_Вводные'!$B$218*'19_Расчет_аналитики'!BO4607,MeanMinAge22))),0)</f>
        <v/>
      </c>
    </row>
    <row r="4534">
      <c r="B4534">
        <f>IF('01_Вводные'!$B$234="Да",IF(OR('06_Сеть_и_дети'!B103=0,23&lt;='01_Вводные'!$B$297),0,'06_Сеть_и_дети'!B103*IF('01_Вводные'!$B$239="Да",MeanMinAge23+'19_Расчет_аналитики'!B4607*SUMIF(ThresholdAge23,"&lt;"&amp;'19_Расчет_аналитики'!B4607,WeightedRevAge23)-SUMIF(ThresholdAge23,"&lt;"&amp;'19_Расчет_аналитики'!B4607,WeightedMinAge23),MAX(CapacityAge23*'01_Вводные'!$B$218*'19_Расчет_аналитики'!B4607,MeanMinAge23))),0)</f>
        <v/>
      </c>
      <c r="C4534">
        <f>IF('01_Вводные'!$B$234="Да",IF(OR('06_Сеть_и_дети'!C103=0,23&lt;='01_Вводные'!$B$297),0,'06_Сеть_и_дети'!C103*IF('01_Вводные'!$B$239="Да",MeanMinAge23+'19_Расчет_аналитики'!C4607*SUMIF(ThresholdAge23,"&lt;"&amp;'19_Расчет_аналитики'!C4607,WeightedRevAge23)-SUMIF(ThresholdAge23,"&lt;"&amp;'19_Расчет_аналитики'!C4607,WeightedMinAge23),MAX(CapacityAge23*'01_Вводные'!$B$218*'19_Расчет_аналитики'!C4607,MeanMinAge23))),0)</f>
        <v/>
      </c>
      <c r="D4534">
        <f>IF('01_Вводные'!$B$234="Да",IF(OR('06_Сеть_и_дети'!D103=0,23&lt;='01_Вводные'!$B$297),0,'06_Сеть_и_дети'!D103*IF('01_Вводные'!$B$239="Да",MeanMinAge23+'19_Расчет_аналитики'!D4607*SUMIF(ThresholdAge23,"&lt;"&amp;'19_Расчет_аналитики'!D4607,WeightedRevAge23)-SUMIF(ThresholdAge23,"&lt;"&amp;'19_Расчет_аналитики'!D4607,WeightedMinAge23),MAX(CapacityAge23*'01_Вводные'!$B$218*'19_Расчет_аналитики'!D4607,MeanMinAge23))),0)</f>
        <v/>
      </c>
      <c r="E4534">
        <f>IF('01_Вводные'!$B$234="Да",IF(OR('06_Сеть_и_дети'!E103=0,23&lt;='01_Вводные'!$B$297),0,'06_Сеть_и_дети'!E103*IF('01_Вводные'!$B$239="Да",MeanMinAge23+'19_Расчет_аналитики'!E4607*SUMIF(ThresholdAge23,"&lt;"&amp;'19_Расчет_аналитики'!E4607,WeightedRevAge23)-SUMIF(ThresholdAge23,"&lt;"&amp;'19_Расчет_аналитики'!E4607,WeightedMinAge23),MAX(CapacityAge23*'01_Вводные'!$B$218*'19_Расчет_аналитики'!E4607,MeanMinAge23))),0)</f>
        <v/>
      </c>
      <c r="F4534">
        <f>IF('01_Вводные'!$B$234="Да",IF(OR('06_Сеть_и_дети'!F103=0,23&lt;='01_Вводные'!$B$297),0,'06_Сеть_и_дети'!F103*IF('01_Вводные'!$B$239="Да",MeanMinAge23+'19_Расчет_аналитики'!F4607*SUMIF(ThresholdAge23,"&lt;"&amp;'19_Расчет_аналитики'!F4607,WeightedRevAge23)-SUMIF(ThresholdAge23,"&lt;"&amp;'19_Расчет_аналитики'!F4607,WeightedMinAge23),MAX(CapacityAge23*'01_Вводные'!$B$218*'19_Расчет_аналитики'!F4607,MeanMinAge23))),0)</f>
        <v/>
      </c>
      <c r="G4534">
        <f>IF('01_Вводные'!$B$234="Да",IF(OR('06_Сеть_и_дети'!G103=0,23&lt;='01_Вводные'!$B$297),0,'06_Сеть_и_дети'!G103*IF('01_Вводные'!$B$239="Да",MeanMinAge23+'19_Расчет_аналитики'!G4607*SUMIF(ThresholdAge23,"&lt;"&amp;'19_Расчет_аналитики'!G4607,WeightedRevAge23)-SUMIF(ThresholdAge23,"&lt;"&amp;'19_Расчет_аналитики'!G4607,WeightedMinAge23),MAX(CapacityAge23*'01_Вводные'!$B$218*'19_Расчет_аналитики'!G4607,MeanMinAge23))),0)</f>
        <v/>
      </c>
      <c r="H4534">
        <f>IF('01_Вводные'!$B$234="Да",IF(OR('06_Сеть_и_дети'!H103=0,23&lt;='01_Вводные'!$B$297),0,'06_Сеть_и_дети'!H103*IF('01_Вводные'!$B$239="Да",MeanMinAge23+'19_Расчет_аналитики'!H4607*SUMIF(ThresholdAge23,"&lt;"&amp;'19_Расчет_аналитики'!H4607,WeightedRevAge23)-SUMIF(ThresholdAge23,"&lt;"&amp;'19_Расчет_аналитики'!H4607,WeightedMinAge23),MAX(CapacityAge23*'01_Вводные'!$B$218*'19_Расчет_аналитики'!H4607,MeanMinAge23))),0)</f>
        <v/>
      </c>
      <c r="I4534">
        <f>IF('01_Вводные'!$B$234="Да",IF(OR('06_Сеть_и_дети'!I103=0,23&lt;='01_Вводные'!$B$297),0,'06_Сеть_и_дети'!I103*IF('01_Вводные'!$B$239="Да",MeanMinAge23+'19_Расчет_аналитики'!I4607*SUMIF(ThresholdAge23,"&lt;"&amp;'19_Расчет_аналитики'!I4607,WeightedRevAge23)-SUMIF(ThresholdAge23,"&lt;"&amp;'19_Расчет_аналитики'!I4607,WeightedMinAge23),MAX(CapacityAge23*'01_Вводные'!$B$218*'19_Расчет_аналитики'!I4607,MeanMinAge23))),0)</f>
        <v/>
      </c>
      <c r="J4534">
        <f>IF('01_Вводные'!$B$234="Да",IF(OR('06_Сеть_и_дети'!J103=0,23&lt;='01_Вводные'!$B$297),0,'06_Сеть_и_дети'!J103*IF('01_Вводные'!$B$239="Да",MeanMinAge23+'19_Расчет_аналитики'!J4607*SUMIF(ThresholdAge23,"&lt;"&amp;'19_Расчет_аналитики'!J4607,WeightedRevAge23)-SUMIF(ThresholdAge23,"&lt;"&amp;'19_Расчет_аналитики'!J4607,WeightedMinAge23),MAX(CapacityAge23*'01_Вводные'!$B$218*'19_Расчет_аналитики'!J4607,MeanMinAge23))),0)</f>
        <v/>
      </c>
      <c r="K4534">
        <f>IF('01_Вводные'!$B$234="Да",IF(OR('06_Сеть_и_дети'!K103=0,23&lt;='01_Вводные'!$B$297),0,'06_Сеть_и_дети'!K103*IF('01_Вводные'!$B$239="Да",MeanMinAge23+'19_Расчет_аналитики'!K4607*SUMIF(ThresholdAge23,"&lt;"&amp;'19_Расчет_аналитики'!K4607,WeightedRevAge23)-SUMIF(ThresholdAge23,"&lt;"&amp;'19_Расчет_аналитики'!K4607,WeightedMinAge23),MAX(CapacityAge23*'01_Вводные'!$B$218*'19_Расчет_аналитики'!K4607,MeanMinAge23))),0)</f>
        <v/>
      </c>
      <c r="L4534">
        <f>IF('01_Вводные'!$B$234="Да",IF(OR('06_Сеть_и_дети'!L103=0,23&lt;='01_Вводные'!$B$297),0,'06_Сеть_и_дети'!L103*IF('01_Вводные'!$B$239="Да",MeanMinAge23+'19_Расчет_аналитики'!L4607*SUMIF(ThresholdAge23,"&lt;"&amp;'19_Расчет_аналитики'!L4607,WeightedRevAge23)-SUMIF(ThresholdAge23,"&lt;"&amp;'19_Расчет_аналитики'!L4607,WeightedMinAge23),MAX(CapacityAge23*'01_Вводные'!$B$218*'19_Расчет_аналитики'!L4607,MeanMinAge23))),0)</f>
        <v/>
      </c>
      <c r="M4534">
        <f>IF('01_Вводные'!$B$234="Да",IF(OR('06_Сеть_и_дети'!M103=0,23&lt;='01_Вводные'!$B$297),0,'06_Сеть_и_дети'!M103*IF('01_Вводные'!$B$239="Да",MeanMinAge23+'19_Расчет_аналитики'!M4607*SUMIF(ThresholdAge23,"&lt;"&amp;'19_Расчет_аналитики'!M4607,WeightedRevAge23)-SUMIF(ThresholdAge23,"&lt;"&amp;'19_Расчет_аналитики'!M4607,WeightedMinAge23),MAX(CapacityAge23*'01_Вводные'!$B$218*'19_Расчет_аналитики'!M4607,MeanMinAge23))),0)</f>
        <v/>
      </c>
      <c r="N4534">
        <f>IF('01_Вводные'!$B$234="Да",IF(OR('06_Сеть_и_дети'!N103=0,23&lt;='01_Вводные'!$B$297),0,'06_Сеть_и_дети'!N103*IF('01_Вводные'!$B$239="Да",MeanMinAge23+'19_Расчет_аналитики'!N4607*SUMIF(ThresholdAge23,"&lt;"&amp;'19_Расчет_аналитики'!N4607,WeightedRevAge23)-SUMIF(ThresholdAge23,"&lt;"&amp;'19_Расчет_аналитики'!N4607,WeightedMinAge23),MAX(CapacityAge23*'01_Вводные'!$B$218*'19_Расчет_аналитики'!N4607,MeanMinAge23))),0)</f>
        <v/>
      </c>
      <c r="O4534">
        <f>IF('01_Вводные'!$B$234="Да",IF(OR('06_Сеть_и_дети'!O103=0,23&lt;='01_Вводные'!$B$297),0,'06_Сеть_и_дети'!O103*IF('01_Вводные'!$B$239="Да",MeanMinAge23+'19_Расчет_аналитики'!O4607*SUMIF(ThresholdAge23,"&lt;"&amp;'19_Расчет_аналитики'!O4607,WeightedRevAge23)-SUMIF(ThresholdAge23,"&lt;"&amp;'19_Расчет_аналитики'!O4607,WeightedMinAge23),MAX(CapacityAge23*'01_Вводные'!$B$218*'19_Расчет_аналитики'!O4607,MeanMinAge23))),0)</f>
        <v/>
      </c>
      <c r="P4534">
        <f>IF('01_Вводные'!$B$234="Да",IF(OR('06_Сеть_и_дети'!P103=0,23&lt;='01_Вводные'!$B$297),0,'06_Сеть_и_дети'!P103*IF('01_Вводные'!$B$239="Да",MeanMinAge23+'19_Расчет_аналитики'!P4607*SUMIF(ThresholdAge23,"&lt;"&amp;'19_Расчет_аналитики'!P4607,WeightedRevAge23)-SUMIF(ThresholdAge23,"&lt;"&amp;'19_Расчет_аналитики'!P4607,WeightedMinAge23),MAX(CapacityAge23*'01_Вводные'!$B$218*'19_Расчет_аналитики'!P4607,MeanMinAge23))),0)</f>
        <v/>
      </c>
      <c r="Q4534">
        <f>IF('01_Вводные'!$B$234="Да",IF(OR('06_Сеть_и_дети'!Q103=0,23&lt;='01_Вводные'!$B$297),0,'06_Сеть_и_дети'!Q103*IF('01_Вводные'!$B$239="Да",MeanMinAge23+'19_Расчет_аналитики'!Q4607*SUMIF(ThresholdAge23,"&lt;"&amp;'19_Расчет_аналитики'!Q4607,WeightedRevAge23)-SUMIF(ThresholdAge23,"&lt;"&amp;'19_Расчет_аналитики'!Q4607,WeightedMinAge23),MAX(CapacityAge23*'01_Вводные'!$B$218*'19_Расчет_аналитики'!Q4607,MeanMinAge23))),0)</f>
        <v/>
      </c>
      <c r="R4534">
        <f>IF('01_Вводные'!$B$234="Да",IF(OR('06_Сеть_и_дети'!R103=0,23&lt;='01_Вводные'!$B$297),0,'06_Сеть_и_дети'!R103*IF('01_Вводные'!$B$239="Да",MeanMinAge23+'19_Расчет_аналитики'!R4607*SUMIF(ThresholdAge23,"&lt;"&amp;'19_Расчет_аналитики'!R4607,WeightedRevAge23)-SUMIF(ThresholdAge23,"&lt;"&amp;'19_Расчет_аналитики'!R4607,WeightedMinAge23),MAX(CapacityAge23*'01_Вводные'!$B$218*'19_Расчет_аналитики'!R4607,MeanMinAge23))),0)</f>
        <v/>
      </c>
      <c r="S4534">
        <f>IF('01_Вводные'!$B$234="Да",IF(OR('06_Сеть_и_дети'!S103=0,23&lt;='01_Вводные'!$B$297),0,'06_Сеть_и_дети'!S103*IF('01_Вводные'!$B$239="Да",MeanMinAge23+'19_Расчет_аналитики'!S4607*SUMIF(ThresholdAge23,"&lt;"&amp;'19_Расчет_аналитики'!S4607,WeightedRevAge23)-SUMIF(ThresholdAge23,"&lt;"&amp;'19_Расчет_аналитики'!S4607,WeightedMinAge23),MAX(CapacityAge23*'01_Вводные'!$B$218*'19_Расчет_аналитики'!S4607,MeanMinAge23))),0)</f>
        <v/>
      </c>
      <c r="T4534">
        <f>IF('01_Вводные'!$B$234="Да",IF(OR('06_Сеть_и_дети'!T103=0,23&lt;='01_Вводные'!$B$297),0,'06_Сеть_и_дети'!T103*IF('01_Вводные'!$B$239="Да",MeanMinAge23+'19_Расчет_аналитики'!T4607*SUMIF(ThresholdAge23,"&lt;"&amp;'19_Расчет_аналитики'!T4607,WeightedRevAge23)-SUMIF(ThresholdAge23,"&lt;"&amp;'19_Расчет_аналитики'!T4607,WeightedMinAge23),MAX(CapacityAge23*'01_Вводные'!$B$218*'19_Расчет_аналитики'!T4607,MeanMinAge23))),0)</f>
        <v/>
      </c>
      <c r="U4534">
        <f>IF('01_Вводные'!$B$234="Да",IF(OR('06_Сеть_и_дети'!U103=0,23&lt;='01_Вводные'!$B$297),0,'06_Сеть_и_дети'!U103*IF('01_Вводные'!$B$239="Да",MeanMinAge23+'19_Расчет_аналитики'!U4607*SUMIF(ThresholdAge23,"&lt;"&amp;'19_Расчет_аналитики'!U4607,WeightedRevAge23)-SUMIF(ThresholdAge23,"&lt;"&amp;'19_Расчет_аналитики'!U4607,WeightedMinAge23),MAX(CapacityAge23*'01_Вводные'!$B$218*'19_Расчет_аналитики'!U4607,MeanMinAge23))),0)</f>
        <v/>
      </c>
      <c r="V4534">
        <f>IF('01_Вводные'!$B$234="Да",IF(OR('06_Сеть_и_дети'!V103=0,23&lt;='01_Вводные'!$B$297),0,'06_Сеть_и_дети'!V103*IF('01_Вводные'!$B$239="Да",MeanMinAge23+'19_Расчет_аналитики'!V4607*SUMIF(ThresholdAge23,"&lt;"&amp;'19_Расчет_аналитики'!V4607,WeightedRevAge23)-SUMIF(ThresholdAge23,"&lt;"&amp;'19_Расчет_аналитики'!V4607,WeightedMinAge23),MAX(CapacityAge23*'01_Вводные'!$B$218*'19_Расчет_аналитики'!V4607,MeanMinAge23))),0)</f>
        <v/>
      </c>
      <c r="W4534">
        <f>IF('01_Вводные'!$B$234="Да",IF(OR('06_Сеть_и_дети'!W103=0,23&lt;='01_Вводные'!$B$297),0,'06_Сеть_и_дети'!W103*IF('01_Вводные'!$B$239="Да",MeanMinAge23+'19_Расчет_аналитики'!W4607*SUMIF(ThresholdAge23,"&lt;"&amp;'19_Расчет_аналитики'!W4607,WeightedRevAge23)-SUMIF(ThresholdAge23,"&lt;"&amp;'19_Расчет_аналитики'!W4607,WeightedMinAge23),MAX(CapacityAge23*'01_Вводные'!$B$218*'19_Расчет_аналитики'!W4607,MeanMinAge23))),0)</f>
        <v/>
      </c>
      <c r="X4534">
        <f>IF('01_Вводные'!$B$234="Да",IF(OR('19_Расчет_аналитики'!X4506=0,23&lt;='01_Вводные'!$B$297),0,'19_Расчет_аналитики'!X4506*IF('01_Вводные'!$B$239="Да",MeanMinAge23+'19_Расчет_аналитики'!X4607*SUMIF(ThresholdAge23,"&lt;"&amp;'19_Расчет_аналитики'!X4607,WeightedRevAge23)-SUMIF(ThresholdAge23,"&lt;"&amp;'19_Расчет_аналитики'!X4607,WeightedMinAge23),MAX(CapacityAge23*'01_Вводные'!$B$218*'19_Расчет_аналитики'!X4607,MeanMinAge23))),0)</f>
        <v/>
      </c>
      <c r="Y4534">
        <f>IF('01_Вводные'!$B$234="Да",IF(OR('19_Расчет_аналитики'!Y4506=0,23&lt;='01_Вводные'!$B$297),0,'19_Расчет_аналитики'!Y4506*IF('01_Вводные'!$B$239="Да",MeanMinAge23+'19_Расчет_аналитики'!Y4607*SUMIF(ThresholdAge23,"&lt;"&amp;'19_Расчет_аналитики'!Y4607,WeightedRevAge23)-SUMIF(ThresholdAge23,"&lt;"&amp;'19_Расчет_аналитики'!Y4607,WeightedMinAge23),MAX(CapacityAge23*'01_Вводные'!$B$218*'19_Расчет_аналитики'!Y4607,MeanMinAge23))),0)</f>
        <v/>
      </c>
      <c r="Z4534">
        <f>IF('01_Вводные'!$B$234="Да",IF(OR('19_Расчет_аналитики'!Z4506=0,23&lt;='01_Вводные'!$B$297),0,'19_Расчет_аналитики'!Z4506*IF('01_Вводные'!$B$239="Да",MeanMinAge23+'19_Расчет_аналитики'!Z4607*SUMIF(ThresholdAge23,"&lt;"&amp;'19_Расчет_аналитики'!Z4607,WeightedRevAge23)-SUMIF(ThresholdAge23,"&lt;"&amp;'19_Расчет_аналитики'!Z4607,WeightedMinAge23),MAX(CapacityAge23*'01_Вводные'!$B$218*'19_Расчет_аналитики'!Z4607,MeanMinAge23))),0)</f>
        <v/>
      </c>
      <c r="AA4534">
        <f>IF('01_Вводные'!$B$234="Да",IF(OR('19_Расчет_аналитики'!AA4506=0,23&lt;='01_Вводные'!$B$297),0,'19_Расчет_аналитики'!AA4506*IF('01_Вводные'!$B$239="Да",MeanMinAge23+'19_Расчет_аналитики'!AA4607*SUMIF(ThresholdAge23,"&lt;"&amp;'19_Расчет_аналитики'!AA4607,WeightedRevAge23)-SUMIF(ThresholdAge23,"&lt;"&amp;'19_Расчет_аналитики'!AA4607,WeightedMinAge23),MAX(CapacityAge23*'01_Вводные'!$B$218*'19_Расчет_аналитики'!AA4607,MeanMinAge23))),0)</f>
        <v/>
      </c>
      <c r="AB4534">
        <f>IF('01_Вводные'!$B$234="Да",IF(OR('19_Расчет_аналитики'!AB4506=0,23&lt;='01_Вводные'!$B$297),0,'19_Расчет_аналитики'!AB4506*IF('01_Вводные'!$B$239="Да",MeanMinAge23+'19_Расчет_аналитики'!AB4607*SUMIF(ThresholdAge23,"&lt;"&amp;'19_Расчет_аналитики'!AB4607,WeightedRevAge23)-SUMIF(ThresholdAge23,"&lt;"&amp;'19_Расчет_аналитики'!AB4607,WeightedMinAge23),MAX(CapacityAge23*'01_Вводные'!$B$218*'19_Расчет_аналитики'!AB4607,MeanMinAge23))),0)</f>
        <v/>
      </c>
      <c r="AC4534">
        <f>IF('01_Вводные'!$B$234="Да",IF(OR('19_Расчет_аналитики'!AC4506=0,23&lt;='01_Вводные'!$B$297),0,'19_Расчет_аналитики'!AC4506*IF('01_Вводные'!$B$239="Да",MeanMinAge23+'19_Расчет_аналитики'!AC4607*SUMIF(ThresholdAge23,"&lt;"&amp;'19_Расчет_аналитики'!AC4607,WeightedRevAge23)-SUMIF(ThresholdAge23,"&lt;"&amp;'19_Расчет_аналитики'!AC4607,WeightedMinAge23),MAX(CapacityAge23*'01_Вводные'!$B$218*'19_Расчет_аналитики'!AC4607,MeanMinAge23))),0)</f>
        <v/>
      </c>
      <c r="AD4534">
        <f>IF('01_Вводные'!$B$234="Да",IF(OR('19_Расчет_аналитики'!AD4506=0,23&lt;='01_Вводные'!$B$297),0,'19_Расчет_аналитики'!AD4506*IF('01_Вводные'!$B$239="Да",MeanMinAge23+'19_Расчет_аналитики'!AD4607*SUMIF(ThresholdAge23,"&lt;"&amp;'19_Расчет_аналитики'!AD4607,WeightedRevAge23)-SUMIF(ThresholdAge23,"&lt;"&amp;'19_Расчет_аналитики'!AD4607,WeightedMinAge23),MAX(CapacityAge23*'01_Вводные'!$B$218*'19_Расчет_аналитики'!AD4607,MeanMinAge23))),0)</f>
        <v/>
      </c>
      <c r="AE4534">
        <f>IF('01_Вводные'!$B$234="Да",IF(OR('19_Расчет_аналитики'!AE4506=0,23&lt;='01_Вводные'!$B$297),0,'19_Расчет_аналитики'!AE4506*IF('01_Вводные'!$B$239="Да",MeanMinAge23+'19_Расчет_аналитики'!AE4607*SUMIF(ThresholdAge23,"&lt;"&amp;'19_Расчет_аналитики'!AE4607,WeightedRevAge23)-SUMIF(ThresholdAge23,"&lt;"&amp;'19_Расчет_аналитики'!AE4607,WeightedMinAge23),MAX(CapacityAge23*'01_Вводные'!$B$218*'19_Расчет_аналитики'!AE4607,MeanMinAge23))),0)</f>
        <v/>
      </c>
      <c r="AF4534">
        <f>IF('01_Вводные'!$B$234="Да",IF(OR('19_Расчет_аналитики'!AF4506=0,23&lt;='01_Вводные'!$B$297),0,'19_Расчет_аналитики'!AF4506*IF('01_Вводные'!$B$239="Да",MeanMinAge23+'19_Расчет_аналитики'!AF4607*SUMIF(ThresholdAge23,"&lt;"&amp;'19_Расчет_аналитики'!AF4607,WeightedRevAge23)-SUMIF(ThresholdAge23,"&lt;"&amp;'19_Расчет_аналитики'!AF4607,WeightedMinAge23),MAX(CapacityAge23*'01_Вводные'!$B$218*'19_Расчет_аналитики'!AF4607,MeanMinAge23))),0)</f>
        <v/>
      </c>
      <c r="AG4534">
        <f>IF('01_Вводные'!$B$234="Да",IF(OR('19_Расчет_аналитики'!AG4506=0,23&lt;='01_Вводные'!$B$297),0,'19_Расчет_аналитики'!AG4506*IF('01_Вводные'!$B$239="Да",MeanMinAge23+'19_Расчет_аналитики'!AG4607*SUMIF(ThresholdAge23,"&lt;"&amp;'19_Расчет_аналитики'!AG4607,WeightedRevAge23)-SUMIF(ThresholdAge23,"&lt;"&amp;'19_Расчет_аналитики'!AG4607,WeightedMinAge23),MAX(CapacityAge23*'01_Вводные'!$B$218*'19_Расчет_аналитики'!AG4607,MeanMinAge23))),0)</f>
        <v/>
      </c>
      <c r="AH4534">
        <f>IF('01_Вводные'!$B$234="Да",IF(OR('19_Расчет_аналитики'!AH4506=0,23&lt;='01_Вводные'!$B$297),0,'19_Расчет_аналитики'!AH4506*IF('01_Вводные'!$B$239="Да",MeanMinAge23+'19_Расчет_аналитики'!AH4607*SUMIF(ThresholdAge23,"&lt;"&amp;'19_Расчет_аналитики'!AH4607,WeightedRevAge23)-SUMIF(ThresholdAge23,"&lt;"&amp;'19_Расчет_аналитики'!AH4607,WeightedMinAge23),MAX(CapacityAge23*'01_Вводные'!$B$218*'19_Расчет_аналитики'!AH4607,MeanMinAge23))),0)</f>
        <v/>
      </c>
      <c r="AI4534">
        <f>IF('01_Вводные'!$B$234="Да",IF(OR('19_Расчет_аналитики'!AI4506=0,23&lt;='01_Вводные'!$B$297),0,'19_Расчет_аналитики'!AI4506*IF('01_Вводные'!$B$239="Да",MeanMinAge23+'19_Расчет_аналитики'!AI4607*SUMIF(ThresholdAge23,"&lt;"&amp;'19_Расчет_аналитики'!AI4607,WeightedRevAge23)-SUMIF(ThresholdAge23,"&lt;"&amp;'19_Расчет_аналитики'!AI4607,WeightedMinAge23),MAX(CapacityAge23*'01_Вводные'!$B$218*'19_Расчет_аналитики'!AI4607,MeanMinAge23))),0)</f>
        <v/>
      </c>
      <c r="AJ4534">
        <f>IF('01_Вводные'!$B$234="Да",IF(OR('19_Расчет_аналитики'!AJ4506=0,23&lt;='01_Вводные'!$B$297),0,'19_Расчет_аналитики'!AJ4506*IF('01_Вводные'!$B$239="Да",MeanMinAge23+'19_Расчет_аналитики'!AJ4607*SUMIF(ThresholdAge23,"&lt;"&amp;'19_Расчет_аналитики'!AJ4607,WeightedRevAge23)-SUMIF(ThresholdAge23,"&lt;"&amp;'19_Расчет_аналитики'!AJ4607,WeightedMinAge23),MAX(CapacityAge23*'01_Вводные'!$B$218*'19_Расчет_аналитики'!AJ4607,MeanMinAge23))),0)</f>
        <v/>
      </c>
      <c r="AK4534">
        <f>IF('01_Вводные'!$B$234="Да",IF(OR('19_Расчет_аналитики'!AK4506=0,23&lt;='01_Вводные'!$B$297),0,'19_Расчет_аналитики'!AK4506*IF('01_Вводные'!$B$239="Да",MeanMinAge23+'19_Расчет_аналитики'!AK4607*SUMIF(ThresholdAge23,"&lt;"&amp;'19_Расчет_аналитики'!AK4607,WeightedRevAge23)-SUMIF(ThresholdAge23,"&lt;"&amp;'19_Расчет_аналитики'!AK4607,WeightedMinAge23),MAX(CapacityAge23*'01_Вводные'!$B$218*'19_Расчет_аналитики'!AK4607,MeanMinAge23))),0)</f>
        <v/>
      </c>
      <c r="AL4534">
        <f>IF('01_Вводные'!$B$234="Да",IF(OR('19_Расчет_аналитики'!AL4506=0,23&lt;='01_Вводные'!$B$297),0,'19_Расчет_аналитики'!AL4506*IF('01_Вводные'!$B$239="Да",MeanMinAge23+'19_Расчет_аналитики'!AL4607*SUMIF(ThresholdAge23,"&lt;"&amp;'19_Расчет_аналитики'!AL4607,WeightedRevAge23)-SUMIF(ThresholdAge23,"&lt;"&amp;'19_Расчет_аналитики'!AL4607,WeightedMinAge23),MAX(CapacityAge23*'01_Вводные'!$B$218*'19_Расчет_аналитики'!AL4607,MeanMinAge23))),0)</f>
        <v/>
      </c>
      <c r="AM4534">
        <f>IF('01_Вводные'!$B$234="Да",IF(OR('19_Расчет_аналитики'!AM4506=0,23&lt;='01_Вводные'!$B$297),0,'19_Расчет_аналитики'!AM4506*IF('01_Вводные'!$B$239="Да",MeanMinAge23+'19_Расчет_аналитики'!AM4607*SUMIF(ThresholdAge23,"&lt;"&amp;'19_Расчет_аналитики'!AM4607,WeightedRevAge23)-SUMIF(ThresholdAge23,"&lt;"&amp;'19_Расчет_аналитики'!AM4607,WeightedMinAge23),MAX(CapacityAge23*'01_Вводные'!$B$218*'19_Расчет_аналитики'!AM4607,MeanMinAge23))),0)</f>
        <v/>
      </c>
      <c r="AN4534">
        <f>IF('01_Вводные'!$B$234="Да",IF(OR('19_Расчет_аналитики'!AN4506=0,23&lt;='01_Вводные'!$B$297),0,'19_Расчет_аналитики'!AN4506*IF('01_Вводные'!$B$239="Да",MeanMinAge23+'19_Расчет_аналитики'!AN4607*SUMIF(ThresholdAge23,"&lt;"&amp;'19_Расчет_аналитики'!AN4607,WeightedRevAge23)-SUMIF(ThresholdAge23,"&lt;"&amp;'19_Расчет_аналитики'!AN4607,WeightedMinAge23),MAX(CapacityAge23*'01_Вводные'!$B$218*'19_Расчет_аналитики'!AN4607,MeanMinAge23))),0)</f>
        <v/>
      </c>
      <c r="AO4534">
        <f>IF('01_Вводные'!$B$234="Да",IF(OR('19_Расчет_аналитики'!AO4506=0,23&lt;='01_Вводные'!$B$297),0,'19_Расчет_аналитики'!AO4506*IF('01_Вводные'!$B$239="Да",MeanMinAge23+'19_Расчет_аналитики'!AO4607*SUMIF(ThresholdAge23,"&lt;"&amp;'19_Расчет_аналитики'!AO4607,WeightedRevAge23)-SUMIF(ThresholdAge23,"&lt;"&amp;'19_Расчет_аналитики'!AO4607,WeightedMinAge23),MAX(CapacityAge23*'01_Вводные'!$B$218*'19_Расчет_аналитики'!AO4607,MeanMinAge23))),0)</f>
        <v/>
      </c>
      <c r="AP4534">
        <f>IF('01_Вводные'!$B$234="Да",IF(OR('19_Расчет_аналитики'!AP4506=0,23&lt;='01_Вводные'!$B$297),0,'19_Расчет_аналитики'!AP4506*IF('01_Вводные'!$B$239="Да",MeanMinAge23+'19_Расчет_аналитики'!AP4607*SUMIF(ThresholdAge23,"&lt;"&amp;'19_Расчет_аналитики'!AP4607,WeightedRevAge23)-SUMIF(ThresholdAge23,"&lt;"&amp;'19_Расчет_аналитики'!AP4607,WeightedMinAge23),MAX(CapacityAge23*'01_Вводные'!$B$218*'19_Расчет_аналитики'!AP4607,MeanMinAge23))),0)</f>
        <v/>
      </c>
      <c r="AQ4534">
        <f>IF('01_Вводные'!$B$234="Да",IF(OR('19_Расчет_аналитики'!AQ4506=0,23&lt;='01_Вводные'!$B$297),0,'19_Расчет_аналитики'!AQ4506*IF('01_Вводные'!$B$239="Да",MeanMinAge23+'19_Расчет_аналитики'!AQ4607*SUMIF(ThresholdAge23,"&lt;"&amp;'19_Расчет_аналитики'!AQ4607,WeightedRevAge23)-SUMIF(ThresholdAge23,"&lt;"&amp;'19_Расчет_аналитики'!AQ4607,WeightedMinAge23),MAX(CapacityAge23*'01_Вводные'!$B$218*'19_Расчет_аналитики'!AQ4607,MeanMinAge23))),0)</f>
        <v/>
      </c>
      <c r="AR4534">
        <f>IF('01_Вводные'!$B$234="Да",IF(OR('19_Расчет_аналитики'!AR4506=0,23&lt;='01_Вводные'!$B$297),0,'19_Расчет_аналитики'!AR4506*IF('01_Вводные'!$B$239="Да",MeanMinAge23+'19_Расчет_аналитики'!AR4607*SUMIF(ThresholdAge23,"&lt;"&amp;'19_Расчет_аналитики'!AR4607,WeightedRevAge23)-SUMIF(ThresholdAge23,"&lt;"&amp;'19_Расчет_аналитики'!AR4607,WeightedMinAge23),MAX(CapacityAge23*'01_Вводные'!$B$218*'19_Расчет_аналитики'!AR4607,MeanMinAge23))),0)</f>
        <v/>
      </c>
      <c r="AS4534">
        <f>IF('01_Вводные'!$B$234="Да",IF(OR('19_Расчет_аналитики'!AS4506=0,23&lt;='01_Вводные'!$B$297),0,'19_Расчет_аналитики'!AS4506*IF('01_Вводные'!$B$239="Да",MeanMinAge23+'19_Расчет_аналитики'!AS4607*SUMIF(ThresholdAge23,"&lt;"&amp;'19_Расчет_аналитики'!AS4607,WeightedRevAge23)-SUMIF(ThresholdAge23,"&lt;"&amp;'19_Расчет_аналитики'!AS4607,WeightedMinAge23),MAX(CapacityAge23*'01_Вводные'!$B$218*'19_Расчет_аналитики'!AS4607,MeanMinAge23))),0)</f>
        <v/>
      </c>
      <c r="AT4534">
        <f>IF('01_Вводные'!$B$234="Да",IF(OR('19_Расчет_аналитики'!AT4506=0,23&lt;='01_Вводные'!$B$297),0,'19_Расчет_аналитики'!AT4506*IF('01_Вводные'!$B$239="Да",MeanMinAge23+'19_Расчет_аналитики'!AT4607*SUMIF(ThresholdAge23,"&lt;"&amp;'19_Расчет_аналитики'!AT4607,WeightedRevAge23)-SUMIF(ThresholdAge23,"&lt;"&amp;'19_Расчет_аналитики'!AT4607,WeightedMinAge23),MAX(CapacityAge23*'01_Вводные'!$B$218*'19_Расчет_аналитики'!AT4607,MeanMinAge23))),0)</f>
        <v/>
      </c>
      <c r="AU4534">
        <f>IF('01_Вводные'!$B$234="Да",IF(OR('19_Расчет_аналитики'!AU4506=0,23&lt;='01_Вводные'!$B$297),0,'19_Расчет_аналитики'!AU4506*IF('01_Вводные'!$B$239="Да",MeanMinAge23+'19_Расчет_аналитики'!AU4607*SUMIF(ThresholdAge23,"&lt;"&amp;'19_Расчет_аналитики'!AU4607,WeightedRevAge23)-SUMIF(ThresholdAge23,"&lt;"&amp;'19_Расчет_аналитики'!AU4607,WeightedMinAge23),MAX(CapacityAge23*'01_Вводные'!$B$218*'19_Расчет_аналитики'!AU4607,MeanMinAge23))),0)</f>
        <v/>
      </c>
      <c r="AV4534">
        <f>IF('01_Вводные'!$B$234="Да",IF(OR('19_Расчет_аналитики'!AV4506=0,23&lt;='01_Вводные'!$B$297),0,'19_Расчет_аналитики'!AV4506*IF('01_Вводные'!$B$239="Да",MeanMinAge23+'19_Расчет_аналитики'!AV4607*SUMIF(ThresholdAge23,"&lt;"&amp;'19_Расчет_аналитики'!AV4607,WeightedRevAge23)-SUMIF(ThresholdAge23,"&lt;"&amp;'19_Расчет_аналитики'!AV4607,WeightedMinAge23),MAX(CapacityAge23*'01_Вводные'!$B$218*'19_Расчет_аналитики'!AV4607,MeanMinAge23))),0)</f>
        <v/>
      </c>
      <c r="AW4534">
        <f>IF('01_Вводные'!$B$234="Да",IF(OR('19_Расчет_аналитики'!AW4506=0,23&lt;='01_Вводные'!$B$297),0,'19_Расчет_аналитики'!AW4506*IF('01_Вводные'!$B$239="Да",MeanMinAge23+'19_Расчет_аналитики'!AW4607*SUMIF(ThresholdAge23,"&lt;"&amp;'19_Расчет_аналитики'!AW4607,WeightedRevAge23)-SUMIF(ThresholdAge23,"&lt;"&amp;'19_Расчет_аналитики'!AW4607,WeightedMinAge23),MAX(CapacityAge23*'01_Вводные'!$B$218*'19_Расчет_аналитики'!AW4607,MeanMinAge23))),0)</f>
        <v/>
      </c>
      <c r="AX4534">
        <f>IF('01_Вводные'!$B$234="Да",IF(OR('19_Расчет_аналитики'!AX4506=0,23&lt;='01_Вводные'!$B$297),0,'19_Расчет_аналитики'!AX4506*IF('01_Вводные'!$B$239="Да",MeanMinAge23+'19_Расчет_аналитики'!AX4607*SUMIF(ThresholdAge23,"&lt;"&amp;'19_Расчет_аналитики'!AX4607,WeightedRevAge23)-SUMIF(ThresholdAge23,"&lt;"&amp;'19_Расчет_аналитики'!AX4607,WeightedMinAge23),MAX(CapacityAge23*'01_Вводные'!$B$218*'19_Расчет_аналитики'!AX4607,MeanMinAge23))),0)</f>
        <v/>
      </c>
      <c r="AY4534">
        <f>IF('01_Вводные'!$B$234="Да",IF(OR('19_Расчет_аналитики'!AY4506=0,23&lt;='01_Вводные'!$B$297),0,'19_Расчет_аналитики'!AY4506*IF('01_Вводные'!$B$239="Да",MeanMinAge23+'19_Расчет_аналитики'!AY4607*SUMIF(ThresholdAge23,"&lt;"&amp;'19_Расчет_аналитики'!AY4607,WeightedRevAge23)-SUMIF(ThresholdAge23,"&lt;"&amp;'19_Расчет_аналитики'!AY4607,WeightedMinAge23),MAX(CapacityAge23*'01_Вводные'!$B$218*'19_Расчет_аналитики'!AY4607,MeanMinAge23))),0)</f>
        <v/>
      </c>
      <c r="AZ4534">
        <f>IF('01_Вводные'!$B$234="Да",IF(OR('19_Расчет_аналитики'!AZ4506=0,23&lt;='01_Вводные'!$B$297),0,'19_Расчет_аналитики'!AZ4506*IF('01_Вводные'!$B$239="Да",MeanMinAge23+'19_Расчет_аналитики'!AZ4607*SUMIF(ThresholdAge23,"&lt;"&amp;'19_Расчет_аналитики'!AZ4607,WeightedRevAge23)-SUMIF(ThresholdAge23,"&lt;"&amp;'19_Расчет_аналитики'!AZ4607,WeightedMinAge23),MAX(CapacityAge23*'01_Вводные'!$B$218*'19_Расчет_аналитики'!AZ4607,MeanMinAge23))),0)</f>
        <v/>
      </c>
      <c r="BA4534">
        <f>IF('01_Вводные'!$B$234="Да",IF(OR('19_Расчет_аналитики'!BA4506=0,23&lt;='01_Вводные'!$B$297),0,'19_Расчет_аналитики'!BA4506*IF('01_Вводные'!$B$239="Да",MeanMinAge23+'19_Расчет_аналитики'!BA4607*SUMIF(ThresholdAge23,"&lt;"&amp;'19_Расчет_аналитики'!BA4607,WeightedRevAge23)-SUMIF(ThresholdAge23,"&lt;"&amp;'19_Расчет_аналитики'!BA4607,WeightedMinAge23),MAX(CapacityAge23*'01_Вводные'!$B$218*'19_Расчет_аналитики'!BA4607,MeanMinAge23))),0)</f>
        <v/>
      </c>
      <c r="BB4534">
        <f>IF('01_Вводные'!$B$234="Да",IF(OR('19_Расчет_аналитики'!BB4506=0,23&lt;='01_Вводные'!$B$297),0,'19_Расчет_аналитики'!BB4506*IF('01_Вводные'!$B$239="Да",MeanMinAge23+'19_Расчет_аналитики'!BB4607*SUMIF(ThresholdAge23,"&lt;"&amp;'19_Расчет_аналитики'!BB4607,WeightedRevAge23)-SUMIF(ThresholdAge23,"&lt;"&amp;'19_Расчет_аналитики'!BB4607,WeightedMinAge23),MAX(CapacityAge23*'01_Вводные'!$B$218*'19_Расчет_аналитики'!BB4607,MeanMinAge23))),0)</f>
        <v/>
      </c>
      <c r="BC4534">
        <f>IF('01_Вводные'!$B$234="Да",IF(OR('19_Расчет_аналитики'!BC4506=0,23&lt;='01_Вводные'!$B$297),0,'19_Расчет_аналитики'!BC4506*IF('01_Вводные'!$B$239="Да",MeanMinAge23+'19_Расчет_аналитики'!BC4607*SUMIF(ThresholdAge23,"&lt;"&amp;'19_Расчет_аналитики'!BC4607,WeightedRevAge23)-SUMIF(ThresholdAge23,"&lt;"&amp;'19_Расчет_аналитики'!BC4607,WeightedMinAge23),MAX(CapacityAge23*'01_Вводные'!$B$218*'19_Расчет_аналитики'!BC4607,MeanMinAge23))),0)</f>
        <v/>
      </c>
      <c r="BD4534">
        <f>IF('01_Вводные'!$B$234="Да",IF(OR('19_Расчет_аналитики'!BD4506=0,23&lt;='01_Вводные'!$B$297),0,'19_Расчет_аналитики'!BD4506*IF('01_Вводные'!$B$239="Да",MeanMinAge23+'19_Расчет_аналитики'!BD4607*SUMIF(ThresholdAge23,"&lt;"&amp;'19_Расчет_аналитики'!BD4607,WeightedRevAge23)-SUMIF(ThresholdAge23,"&lt;"&amp;'19_Расчет_аналитики'!BD4607,WeightedMinAge23),MAX(CapacityAge23*'01_Вводные'!$B$218*'19_Расчет_аналитики'!BD4607,MeanMinAge23))),0)</f>
        <v/>
      </c>
      <c r="BE4534">
        <f>IF('01_Вводные'!$B$234="Да",IF(OR('19_Расчет_аналитики'!BE4506=0,23&lt;='01_Вводные'!$B$297),0,'19_Расчет_аналитики'!BE4506*IF('01_Вводные'!$B$239="Да",MeanMinAge23+'19_Расчет_аналитики'!BE4607*SUMIF(ThresholdAge23,"&lt;"&amp;'19_Расчет_аналитики'!BE4607,WeightedRevAge23)-SUMIF(ThresholdAge23,"&lt;"&amp;'19_Расчет_аналитики'!BE4607,WeightedMinAge23),MAX(CapacityAge23*'01_Вводные'!$B$218*'19_Расчет_аналитики'!BE4607,MeanMinAge23))),0)</f>
        <v/>
      </c>
      <c r="BF4534">
        <f>IF('01_Вводные'!$B$234="Да",IF(OR('19_Расчет_аналитики'!BF4506=0,23&lt;='01_Вводные'!$B$297),0,'19_Расчет_аналитики'!BF4506*IF('01_Вводные'!$B$239="Да",MeanMinAge23+'19_Расчет_аналитики'!BF4607*SUMIF(ThresholdAge23,"&lt;"&amp;'19_Расчет_аналитики'!BF4607,WeightedRevAge23)-SUMIF(ThresholdAge23,"&lt;"&amp;'19_Расчет_аналитики'!BF4607,WeightedMinAge23),MAX(CapacityAge23*'01_Вводные'!$B$218*'19_Расчет_аналитики'!BF4607,MeanMinAge23))),0)</f>
        <v/>
      </c>
      <c r="BG4534">
        <f>IF('01_Вводные'!$B$234="Да",IF(OR('19_Расчет_аналитики'!BG4506=0,23&lt;='01_Вводные'!$B$297),0,'19_Расчет_аналитики'!BG4506*IF('01_Вводные'!$B$239="Да",MeanMinAge23+'19_Расчет_аналитики'!BG4607*SUMIF(ThresholdAge23,"&lt;"&amp;'19_Расчет_аналитики'!BG4607,WeightedRevAge23)-SUMIF(ThresholdAge23,"&lt;"&amp;'19_Расчет_аналитики'!BG4607,WeightedMinAge23),MAX(CapacityAge23*'01_Вводные'!$B$218*'19_Расчет_аналитики'!BG4607,MeanMinAge23))),0)</f>
        <v/>
      </c>
      <c r="BH4534">
        <f>IF('01_Вводные'!$B$234="Да",IF(OR('19_Расчет_аналитики'!BH4506=0,23&lt;='01_Вводные'!$B$297),0,'19_Расчет_аналитики'!BH4506*IF('01_Вводные'!$B$239="Да",MeanMinAge23+'19_Расчет_аналитики'!BH4607*SUMIF(ThresholdAge23,"&lt;"&amp;'19_Расчет_аналитики'!BH4607,WeightedRevAge23)-SUMIF(ThresholdAge23,"&lt;"&amp;'19_Расчет_аналитики'!BH4607,WeightedMinAge23),MAX(CapacityAge23*'01_Вводные'!$B$218*'19_Расчет_аналитики'!BH4607,MeanMinAge23))),0)</f>
        <v/>
      </c>
      <c r="BI4534">
        <f>IF('01_Вводные'!$B$234="Да",IF(OR('19_Расчет_аналитики'!BI4506=0,23&lt;='01_Вводные'!$B$297),0,'19_Расчет_аналитики'!BI4506*IF('01_Вводные'!$B$239="Да",MeanMinAge23+'19_Расчет_аналитики'!BI4607*SUMIF(ThresholdAge23,"&lt;"&amp;'19_Расчет_аналитики'!BI4607,WeightedRevAge23)-SUMIF(ThresholdAge23,"&lt;"&amp;'19_Расчет_аналитики'!BI4607,WeightedMinAge23),MAX(CapacityAge23*'01_Вводные'!$B$218*'19_Расчет_аналитики'!BI4607,MeanMinAge23))),0)</f>
        <v/>
      </c>
      <c r="BJ4534">
        <f>IF('01_Вводные'!$B$234="Да",IF(OR('19_Расчет_аналитики'!BJ4506=0,23&lt;='01_Вводные'!$B$297),0,'19_Расчет_аналитики'!BJ4506*IF('01_Вводные'!$B$239="Да",MeanMinAge23+'19_Расчет_аналитики'!BJ4607*SUMIF(ThresholdAge23,"&lt;"&amp;'19_Расчет_аналитики'!BJ4607,WeightedRevAge23)-SUMIF(ThresholdAge23,"&lt;"&amp;'19_Расчет_аналитики'!BJ4607,WeightedMinAge23),MAX(CapacityAge23*'01_Вводные'!$B$218*'19_Расчет_аналитики'!BJ4607,MeanMinAge23))),0)</f>
        <v/>
      </c>
      <c r="BK4534">
        <f>IF('01_Вводные'!$B$234="Да",IF(OR('19_Расчет_аналитики'!BK4506=0,23&lt;='01_Вводные'!$B$297),0,'19_Расчет_аналитики'!BK4506*IF('01_Вводные'!$B$239="Да",MeanMinAge23+'19_Расчет_аналитики'!BK4607*SUMIF(ThresholdAge23,"&lt;"&amp;'19_Расчет_аналитики'!BK4607,WeightedRevAge23)-SUMIF(ThresholdAge23,"&lt;"&amp;'19_Расчет_аналитики'!BK4607,WeightedMinAge23),MAX(CapacityAge23*'01_Вводные'!$B$218*'19_Расчет_аналитики'!BK4607,MeanMinAge23))),0)</f>
        <v/>
      </c>
      <c r="BL4534">
        <f>IF('01_Вводные'!$B$234="Да",IF(OR('19_Расчет_аналитики'!BL4506=0,23&lt;='01_Вводные'!$B$297),0,'19_Расчет_аналитики'!BL4506*IF('01_Вводные'!$B$239="Да",MeanMinAge23+'19_Расчет_аналитики'!BL4607*SUMIF(ThresholdAge23,"&lt;"&amp;'19_Расчет_аналитики'!BL4607,WeightedRevAge23)-SUMIF(ThresholdAge23,"&lt;"&amp;'19_Расчет_аналитики'!BL4607,WeightedMinAge23),MAX(CapacityAge23*'01_Вводные'!$B$218*'19_Расчет_аналитики'!BL4607,MeanMinAge23))),0)</f>
        <v/>
      </c>
      <c r="BM4534">
        <f>IF('01_Вводные'!$B$234="Да",IF(OR('19_Расчет_аналитики'!BM4506=0,23&lt;='01_Вводные'!$B$297),0,'19_Расчет_аналитики'!BM4506*IF('01_Вводные'!$B$239="Да",MeanMinAge23+'19_Расчет_аналитики'!BM4607*SUMIF(ThresholdAge23,"&lt;"&amp;'19_Расчет_аналитики'!BM4607,WeightedRevAge23)-SUMIF(ThresholdAge23,"&lt;"&amp;'19_Расчет_аналитики'!BM4607,WeightedMinAge23),MAX(CapacityAge23*'01_Вводные'!$B$218*'19_Расчет_аналитики'!BM4607,MeanMinAge23))),0)</f>
        <v/>
      </c>
      <c r="BN4534">
        <f>IF('01_Вводные'!$B$234="Да",IF(OR('19_Расчет_аналитики'!BN4506=0,23&lt;='01_Вводные'!$B$297),0,'19_Расчет_аналитики'!BN4506*IF('01_Вводные'!$B$239="Да",MeanMinAge23+'19_Расчет_аналитики'!BN4607*SUMIF(ThresholdAge23,"&lt;"&amp;'19_Расчет_аналитики'!BN4607,WeightedRevAge23)-SUMIF(ThresholdAge23,"&lt;"&amp;'19_Расчет_аналитики'!BN4607,WeightedMinAge23),MAX(CapacityAge23*'01_Вводные'!$B$218*'19_Расчет_аналитики'!BN4607,MeanMinAge23))),0)</f>
        <v/>
      </c>
      <c r="BO4534">
        <f>IF('01_Вводные'!$B$234="Да",IF(OR('19_Расчет_аналитики'!BO4506=0,23&lt;='01_Вводные'!$B$297),0,'19_Расчет_аналитики'!BO4506*IF('01_Вводные'!$B$239="Да",MeanMinAge23+'19_Расчет_аналитики'!BO4607*SUMIF(ThresholdAge23,"&lt;"&amp;'19_Расчет_аналитики'!BO4607,WeightedRevAge23)-SUMIF(ThresholdAge23,"&lt;"&amp;'19_Расчет_аналитики'!BO4607,WeightedMinAge23),MAX(CapacityAge23*'01_Вводные'!$B$218*'19_Расчет_аналитики'!BO4607,MeanMinAge23))),0)</f>
        <v/>
      </c>
    </row>
    <row r="4535">
      <c r="B4535">
        <f>IF('01_Вводные'!$B$234="Да",IF(OR('06_Сеть_и_дети'!B104=0,24&lt;='01_Вводные'!$B$297),0,'06_Сеть_и_дети'!B104*IF('01_Вводные'!$B$239="Да",MeanMinAge24+'19_Расчет_аналитики'!B4607*SUMIF(ThresholdAge24,"&lt;"&amp;'19_Расчет_аналитики'!B4607,WeightedRevAge24)-SUMIF(ThresholdAge24,"&lt;"&amp;'19_Расчет_аналитики'!B4607,WeightedMinAge24),MAX(CapacityAge24*'01_Вводные'!$B$218*'19_Расчет_аналитики'!B4607,MeanMinAge24))),0)</f>
        <v/>
      </c>
      <c r="C4535">
        <f>IF('01_Вводные'!$B$234="Да",IF(OR('06_Сеть_и_дети'!C104=0,24&lt;='01_Вводные'!$B$297),0,'06_Сеть_и_дети'!C104*IF('01_Вводные'!$B$239="Да",MeanMinAge24+'19_Расчет_аналитики'!C4607*SUMIF(ThresholdAge24,"&lt;"&amp;'19_Расчет_аналитики'!C4607,WeightedRevAge24)-SUMIF(ThresholdAge24,"&lt;"&amp;'19_Расчет_аналитики'!C4607,WeightedMinAge24),MAX(CapacityAge24*'01_Вводные'!$B$218*'19_Расчет_аналитики'!C4607,MeanMinAge24))),0)</f>
        <v/>
      </c>
      <c r="D4535">
        <f>IF('01_Вводные'!$B$234="Да",IF(OR('06_Сеть_и_дети'!D104=0,24&lt;='01_Вводные'!$B$297),0,'06_Сеть_и_дети'!D104*IF('01_Вводные'!$B$239="Да",MeanMinAge24+'19_Расчет_аналитики'!D4607*SUMIF(ThresholdAge24,"&lt;"&amp;'19_Расчет_аналитики'!D4607,WeightedRevAge24)-SUMIF(ThresholdAge24,"&lt;"&amp;'19_Расчет_аналитики'!D4607,WeightedMinAge24),MAX(CapacityAge24*'01_Вводные'!$B$218*'19_Расчет_аналитики'!D4607,MeanMinAge24))),0)</f>
        <v/>
      </c>
      <c r="E4535">
        <f>IF('01_Вводные'!$B$234="Да",IF(OR('06_Сеть_и_дети'!E104=0,24&lt;='01_Вводные'!$B$297),0,'06_Сеть_и_дети'!E104*IF('01_Вводные'!$B$239="Да",MeanMinAge24+'19_Расчет_аналитики'!E4607*SUMIF(ThresholdAge24,"&lt;"&amp;'19_Расчет_аналитики'!E4607,WeightedRevAge24)-SUMIF(ThresholdAge24,"&lt;"&amp;'19_Расчет_аналитики'!E4607,WeightedMinAge24),MAX(CapacityAge24*'01_Вводные'!$B$218*'19_Расчет_аналитики'!E4607,MeanMinAge24))),0)</f>
        <v/>
      </c>
      <c r="F4535">
        <f>IF('01_Вводные'!$B$234="Да",IF(OR('06_Сеть_и_дети'!F104=0,24&lt;='01_Вводные'!$B$297),0,'06_Сеть_и_дети'!F104*IF('01_Вводные'!$B$239="Да",MeanMinAge24+'19_Расчет_аналитики'!F4607*SUMIF(ThresholdAge24,"&lt;"&amp;'19_Расчет_аналитики'!F4607,WeightedRevAge24)-SUMIF(ThresholdAge24,"&lt;"&amp;'19_Расчет_аналитики'!F4607,WeightedMinAge24),MAX(CapacityAge24*'01_Вводные'!$B$218*'19_Расчет_аналитики'!F4607,MeanMinAge24))),0)</f>
        <v/>
      </c>
      <c r="G4535">
        <f>IF('01_Вводные'!$B$234="Да",IF(OR('06_Сеть_и_дети'!G104=0,24&lt;='01_Вводные'!$B$297),0,'06_Сеть_и_дети'!G104*IF('01_Вводные'!$B$239="Да",MeanMinAge24+'19_Расчет_аналитики'!G4607*SUMIF(ThresholdAge24,"&lt;"&amp;'19_Расчет_аналитики'!G4607,WeightedRevAge24)-SUMIF(ThresholdAge24,"&lt;"&amp;'19_Расчет_аналитики'!G4607,WeightedMinAge24),MAX(CapacityAge24*'01_Вводные'!$B$218*'19_Расчет_аналитики'!G4607,MeanMinAge24))),0)</f>
        <v/>
      </c>
      <c r="H4535">
        <f>IF('01_Вводные'!$B$234="Да",IF(OR('06_Сеть_и_дети'!H104=0,24&lt;='01_Вводные'!$B$297),0,'06_Сеть_и_дети'!H104*IF('01_Вводные'!$B$239="Да",MeanMinAge24+'19_Расчет_аналитики'!H4607*SUMIF(ThresholdAge24,"&lt;"&amp;'19_Расчет_аналитики'!H4607,WeightedRevAge24)-SUMIF(ThresholdAge24,"&lt;"&amp;'19_Расчет_аналитики'!H4607,WeightedMinAge24),MAX(CapacityAge24*'01_Вводные'!$B$218*'19_Расчет_аналитики'!H4607,MeanMinAge24))),0)</f>
        <v/>
      </c>
      <c r="I4535">
        <f>IF('01_Вводные'!$B$234="Да",IF(OR('06_Сеть_и_дети'!I104=0,24&lt;='01_Вводные'!$B$297),0,'06_Сеть_и_дети'!I104*IF('01_Вводные'!$B$239="Да",MeanMinAge24+'19_Расчет_аналитики'!I4607*SUMIF(ThresholdAge24,"&lt;"&amp;'19_Расчет_аналитики'!I4607,WeightedRevAge24)-SUMIF(ThresholdAge24,"&lt;"&amp;'19_Расчет_аналитики'!I4607,WeightedMinAge24),MAX(CapacityAge24*'01_Вводные'!$B$218*'19_Расчет_аналитики'!I4607,MeanMinAge24))),0)</f>
        <v/>
      </c>
      <c r="J4535">
        <f>IF('01_Вводные'!$B$234="Да",IF(OR('06_Сеть_и_дети'!J104=0,24&lt;='01_Вводные'!$B$297),0,'06_Сеть_и_дети'!J104*IF('01_Вводные'!$B$239="Да",MeanMinAge24+'19_Расчет_аналитики'!J4607*SUMIF(ThresholdAge24,"&lt;"&amp;'19_Расчет_аналитики'!J4607,WeightedRevAge24)-SUMIF(ThresholdAge24,"&lt;"&amp;'19_Расчет_аналитики'!J4607,WeightedMinAge24),MAX(CapacityAge24*'01_Вводные'!$B$218*'19_Расчет_аналитики'!J4607,MeanMinAge24))),0)</f>
        <v/>
      </c>
      <c r="K4535">
        <f>IF('01_Вводные'!$B$234="Да",IF(OR('06_Сеть_и_дети'!K104=0,24&lt;='01_Вводные'!$B$297),0,'06_Сеть_и_дети'!K104*IF('01_Вводные'!$B$239="Да",MeanMinAge24+'19_Расчет_аналитики'!K4607*SUMIF(ThresholdAge24,"&lt;"&amp;'19_Расчет_аналитики'!K4607,WeightedRevAge24)-SUMIF(ThresholdAge24,"&lt;"&amp;'19_Расчет_аналитики'!K4607,WeightedMinAge24),MAX(CapacityAge24*'01_Вводные'!$B$218*'19_Расчет_аналитики'!K4607,MeanMinAge24))),0)</f>
        <v/>
      </c>
      <c r="L4535">
        <f>IF('01_Вводные'!$B$234="Да",IF(OR('06_Сеть_и_дети'!L104=0,24&lt;='01_Вводные'!$B$297),0,'06_Сеть_и_дети'!L104*IF('01_Вводные'!$B$239="Да",MeanMinAge24+'19_Расчет_аналитики'!L4607*SUMIF(ThresholdAge24,"&lt;"&amp;'19_Расчет_аналитики'!L4607,WeightedRevAge24)-SUMIF(ThresholdAge24,"&lt;"&amp;'19_Расчет_аналитики'!L4607,WeightedMinAge24),MAX(CapacityAge24*'01_Вводные'!$B$218*'19_Расчет_аналитики'!L4607,MeanMinAge24))),0)</f>
        <v/>
      </c>
      <c r="M4535">
        <f>IF('01_Вводные'!$B$234="Да",IF(OR('06_Сеть_и_дети'!M104=0,24&lt;='01_Вводные'!$B$297),0,'06_Сеть_и_дети'!M104*IF('01_Вводные'!$B$239="Да",MeanMinAge24+'19_Расчет_аналитики'!M4607*SUMIF(ThresholdAge24,"&lt;"&amp;'19_Расчет_аналитики'!M4607,WeightedRevAge24)-SUMIF(ThresholdAge24,"&lt;"&amp;'19_Расчет_аналитики'!M4607,WeightedMinAge24),MAX(CapacityAge24*'01_Вводные'!$B$218*'19_Расчет_аналитики'!M4607,MeanMinAge24))),0)</f>
        <v/>
      </c>
      <c r="N4535">
        <f>IF('01_Вводные'!$B$234="Да",IF(OR('06_Сеть_и_дети'!N104=0,24&lt;='01_Вводные'!$B$297),0,'06_Сеть_и_дети'!N104*IF('01_Вводные'!$B$239="Да",MeanMinAge24+'19_Расчет_аналитики'!N4607*SUMIF(ThresholdAge24,"&lt;"&amp;'19_Расчет_аналитики'!N4607,WeightedRevAge24)-SUMIF(ThresholdAge24,"&lt;"&amp;'19_Расчет_аналитики'!N4607,WeightedMinAge24),MAX(CapacityAge24*'01_Вводные'!$B$218*'19_Расчет_аналитики'!N4607,MeanMinAge24))),0)</f>
        <v/>
      </c>
      <c r="O4535">
        <f>IF('01_Вводные'!$B$234="Да",IF(OR('06_Сеть_и_дети'!O104=0,24&lt;='01_Вводные'!$B$297),0,'06_Сеть_и_дети'!O104*IF('01_Вводные'!$B$239="Да",MeanMinAge24+'19_Расчет_аналитики'!O4607*SUMIF(ThresholdAge24,"&lt;"&amp;'19_Расчет_аналитики'!O4607,WeightedRevAge24)-SUMIF(ThresholdAge24,"&lt;"&amp;'19_Расчет_аналитики'!O4607,WeightedMinAge24),MAX(CapacityAge24*'01_Вводные'!$B$218*'19_Расчет_аналитики'!O4607,MeanMinAge24))),0)</f>
        <v/>
      </c>
      <c r="P4535">
        <f>IF('01_Вводные'!$B$234="Да",IF(OR('06_Сеть_и_дети'!P104=0,24&lt;='01_Вводные'!$B$297),0,'06_Сеть_и_дети'!P104*IF('01_Вводные'!$B$239="Да",MeanMinAge24+'19_Расчет_аналитики'!P4607*SUMIF(ThresholdAge24,"&lt;"&amp;'19_Расчет_аналитики'!P4607,WeightedRevAge24)-SUMIF(ThresholdAge24,"&lt;"&amp;'19_Расчет_аналитики'!P4607,WeightedMinAge24),MAX(CapacityAge24*'01_Вводные'!$B$218*'19_Расчет_аналитики'!P4607,MeanMinAge24))),0)</f>
        <v/>
      </c>
      <c r="Q4535">
        <f>IF('01_Вводные'!$B$234="Да",IF(OR('06_Сеть_и_дети'!Q104=0,24&lt;='01_Вводные'!$B$297),0,'06_Сеть_и_дети'!Q104*IF('01_Вводные'!$B$239="Да",MeanMinAge24+'19_Расчет_аналитики'!Q4607*SUMIF(ThresholdAge24,"&lt;"&amp;'19_Расчет_аналитики'!Q4607,WeightedRevAge24)-SUMIF(ThresholdAge24,"&lt;"&amp;'19_Расчет_аналитики'!Q4607,WeightedMinAge24),MAX(CapacityAge24*'01_Вводные'!$B$218*'19_Расчет_аналитики'!Q4607,MeanMinAge24))),0)</f>
        <v/>
      </c>
      <c r="R4535">
        <f>IF('01_Вводные'!$B$234="Да",IF(OR('06_Сеть_и_дети'!R104=0,24&lt;='01_Вводные'!$B$297),0,'06_Сеть_и_дети'!R104*IF('01_Вводные'!$B$239="Да",MeanMinAge24+'19_Расчет_аналитики'!R4607*SUMIF(ThresholdAge24,"&lt;"&amp;'19_Расчет_аналитики'!R4607,WeightedRevAge24)-SUMIF(ThresholdAge24,"&lt;"&amp;'19_Расчет_аналитики'!R4607,WeightedMinAge24),MAX(CapacityAge24*'01_Вводные'!$B$218*'19_Расчет_аналитики'!R4607,MeanMinAge24))),0)</f>
        <v/>
      </c>
      <c r="S4535">
        <f>IF('01_Вводные'!$B$234="Да",IF(OR('06_Сеть_и_дети'!S104=0,24&lt;='01_Вводные'!$B$297),0,'06_Сеть_и_дети'!S104*IF('01_Вводные'!$B$239="Да",MeanMinAge24+'19_Расчет_аналитики'!S4607*SUMIF(ThresholdAge24,"&lt;"&amp;'19_Расчет_аналитики'!S4607,WeightedRevAge24)-SUMIF(ThresholdAge24,"&lt;"&amp;'19_Расчет_аналитики'!S4607,WeightedMinAge24),MAX(CapacityAge24*'01_Вводные'!$B$218*'19_Расчет_аналитики'!S4607,MeanMinAge24))),0)</f>
        <v/>
      </c>
      <c r="T4535">
        <f>IF('01_Вводные'!$B$234="Да",IF(OR('06_Сеть_и_дети'!T104=0,24&lt;='01_Вводные'!$B$297),0,'06_Сеть_и_дети'!T104*IF('01_Вводные'!$B$239="Да",MeanMinAge24+'19_Расчет_аналитики'!T4607*SUMIF(ThresholdAge24,"&lt;"&amp;'19_Расчет_аналитики'!T4607,WeightedRevAge24)-SUMIF(ThresholdAge24,"&lt;"&amp;'19_Расчет_аналитики'!T4607,WeightedMinAge24),MAX(CapacityAge24*'01_Вводные'!$B$218*'19_Расчет_аналитики'!T4607,MeanMinAge24))),0)</f>
        <v/>
      </c>
      <c r="U4535">
        <f>IF('01_Вводные'!$B$234="Да",IF(OR('06_Сеть_и_дети'!U104=0,24&lt;='01_Вводные'!$B$297),0,'06_Сеть_и_дети'!U104*IF('01_Вводные'!$B$239="Да",MeanMinAge24+'19_Расчет_аналитики'!U4607*SUMIF(ThresholdAge24,"&lt;"&amp;'19_Расчет_аналитики'!U4607,WeightedRevAge24)-SUMIF(ThresholdAge24,"&lt;"&amp;'19_Расчет_аналитики'!U4607,WeightedMinAge24),MAX(CapacityAge24*'01_Вводные'!$B$218*'19_Расчет_аналитики'!U4607,MeanMinAge24))),0)</f>
        <v/>
      </c>
      <c r="V4535">
        <f>IF('01_Вводные'!$B$234="Да",IF(OR('06_Сеть_и_дети'!V104=0,24&lt;='01_Вводные'!$B$297),0,'06_Сеть_и_дети'!V104*IF('01_Вводные'!$B$239="Да",MeanMinAge24+'19_Расчет_аналитики'!V4607*SUMIF(ThresholdAge24,"&lt;"&amp;'19_Расчет_аналитики'!V4607,WeightedRevAge24)-SUMIF(ThresholdAge24,"&lt;"&amp;'19_Расчет_аналитики'!V4607,WeightedMinAge24),MAX(CapacityAge24*'01_Вводные'!$B$218*'19_Расчет_аналитики'!V4607,MeanMinAge24))),0)</f>
        <v/>
      </c>
      <c r="W4535">
        <f>IF('01_Вводные'!$B$234="Да",IF(OR('06_Сеть_и_дети'!W104=0,24&lt;='01_Вводные'!$B$297),0,'06_Сеть_и_дети'!W104*IF('01_Вводные'!$B$239="Да",MeanMinAge24+'19_Расчет_аналитики'!W4607*SUMIF(ThresholdAge24,"&lt;"&amp;'19_Расчет_аналитики'!W4607,WeightedRevAge24)-SUMIF(ThresholdAge24,"&lt;"&amp;'19_Расчет_аналитики'!W4607,WeightedMinAge24),MAX(CapacityAge24*'01_Вводные'!$B$218*'19_Расчет_аналитики'!W4607,MeanMinAge24))),0)</f>
        <v/>
      </c>
      <c r="X4535">
        <f>IF('01_Вводные'!$B$234="Да",IF(OR('06_Сеть_и_дети'!X104=0,24&lt;='01_Вводные'!$B$297),0,'06_Сеть_и_дети'!X104*IF('01_Вводные'!$B$239="Да",MeanMinAge24+'19_Расчет_аналитики'!X4607*SUMIF(ThresholdAge24,"&lt;"&amp;'19_Расчет_аналитики'!X4607,WeightedRevAge24)-SUMIF(ThresholdAge24,"&lt;"&amp;'19_Расчет_аналитики'!X4607,WeightedMinAge24),MAX(CapacityAge24*'01_Вводные'!$B$218*'19_Расчет_аналитики'!X4607,MeanMinAge24))),0)</f>
        <v/>
      </c>
      <c r="Y4535">
        <f>IF('01_Вводные'!$B$234="Да",IF(OR('19_Расчет_аналитики'!Y4507=0,24&lt;='01_Вводные'!$B$297),0,'19_Расчет_аналитики'!Y4507*IF('01_Вводные'!$B$239="Да",MeanMinAge24+'19_Расчет_аналитики'!Y4607*SUMIF(ThresholdAge24,"&lt;"&amp;'19_Расчет_аналитики'!Y4607,WeightedRevAge24)-SUMIF(ThresholdAge24,"&lt;"&amp;'19_Расчет_аналитики'!Y4607,WeightedMinAge24),MAX(CapacityAge24*'01_Вводные'!$B$218*'19_Расчет_аналитики'!Y4607,MeanMinAge24))),0)</f>
        <v/>
      </c>
      <c r="Z4535">
        <f>IF('01_Вводные'!$B$234="Да",IF(OR('19_Расчет_аналитики'!Z4507=0,24&lt;='01_Вводные'!$B$297),0,'19_Расчет_аналитики'!Z4507*IF('01_Вводные'!$B$239="Да",MeanMinAge24+'19_Расчет_аналитики'!Z4607*SUMIF(ThresholdAge24,"&lt;"&amp;'19_Расчет_аналитики'!Z4607,WeightedRevAge24)-SUMIF(ThresholdAge24,"&lt;"&amp;'19_Расчет_аналитики'!Z4607,WeightedMinAge24),MAX(CapacityAge24*'01_Вводные'!$B$218*'19_Расчет_аналитики'!Z4607,MeanMinAge24))),0)</f>
        <v/>
      </c>
      <c r="AA4535">
        <f>IF('01_Вводные'!$B$234="Да",IF(OR('19_Расчет_аналитики'!AA4507=0,24&lt;='01_Вводные'!$B$297),0,'19_Расчет_аналитики'!AA4507*IF('01_Вводные'!$B$239="Да",MeanMinAge24+'19_Расчет_аналитики'!AA4607*SUMIF(ThresholdAge24,"&lt;"&amp;'19_Расчет_аналитики'!AA4607,WeightedRevAge24)-SUMIF(ThresholdAge24,"&lt;"&amp;'19_Расчет_аналитики'!AA4607,WeightedMinAge24),MAX(CapacityAge24*'01_Вводные'!$B$218*'19_Расчет_аналитики'!AA4607,MeanMinAge24))),0)</f>
        <v/>
      </c>
      <c r="AB4535">
        <f>IF('01_Вводные'!$B$234="Да",IF(OR('19_Расчет_аналитики'!AB4507=0,24&lt;='01_Вводные'!$B$297),0,'19_Расчет_аналитики'!AB4507*IF('01_Вводные'!$B$239="Да",MeanMinAge24+'19_Расчет_аналитики'!AB4607*SUMIF(ThresholdAge24,"&lt;"&amp;'19_Расчет_аналитики'!AB4607,WeightedRevAge24)-SUMIF(ThresholdAge24,"&lt;"&amp;'19_Расчет_аналитики'!AB4607,WeightedMinAge24),MAX(CapacityAge24*'01_Вводные'!$B$218*'19_Расчет_аналитики'!AB4607,MeanMinAge24))),0)</f>
        <v/>
      </c>
      <c r="AC4535">
        <f>IF('01_Вводные'!$B$234="Да",IF(OR('19_Расчет_аналитики'!AC4507=0,24&lt;='01_Вводные'!$B$297),0,'19_Расчет_аналитики'!AC4507*IF('01_Вводные'!$B$239="Да",MeanMinAge24+'19_Расчет_аналитики'!AC4607*SUMIF(ThresholdAge24,"&lt;"&amp;'19_Расчет_аналитики'!AC4607,WeightedRevAge24)-SUMIF(ThresholdAge24,"&lt;"&amp;'19_Расчет_аналитики'!AC4607,WeightedMinAge24),MAX(CapacityAge24*'01_Вводные'!$B$218*'19_Расчет_аналитики'!AC4607,MeanMinAge24))),0)</f>
        <v/>
      </c>
      <c r="AD4535">
        <f>IF('01_Вводные'!$B$234="Да",IF(OR('19_Расчет_аналитики'!AD4507=0,24&lt;='01_Вводные'!$B$297),0,'19_Расчет_аналитики'!AD4507*IF('01_Вводные'!$B$239="Да",MeanMinAge24+'19_Расчет_аналитики'!AD4607*SUMIF(ThresholdAge24,"&lt;"&amp;'19_Расчет_аналитики'!AD4607,WeightedRevAge24)-SUMIF(ThresholdAge24,"&lt;"&amp;'19_Расчет_аналитики'!AD4607,WeightedMinAge24),MAX(CapacityAge24*'01_Вводные'!$B$218*'19_Расчет_аналитики'!AD4607,MeanMinAge24))),0)</f>
        <v/>
      </c>
      <c r="AE4535">
        <f>IF('01_Вводные'!$B$234="Да",IF(OR('19_Расчет_аналитики'!AE4507=0,24&lt;='01_Вводные'!$B$297),0,'19_Расчет_аналитики'!AE4507*IF('01_Вводные'!$B$239="Да",MeanMinAge24+'19_Расчет_аналитики'!AE4607*SUMIF(ThresholdAge24,"&lt;"&amp;'19_Расчет_аналитики'!AE4607,WeightedRevAge24)-SUMIF(ThresholdAge24,"&lt;"&amp;'19_Расчет_аналитики'!AE4607,WeightedMinAge24),MAX(CapacityAge24*'01_Вводные'!$B$218*'19_Расчет_аналитики'!AE4607,MeanMinAge24))),0)</f>
        <v/>
      </c>
      <c r="AF4535">
        <f>IF('01_Вводные'!$B$234="Да",IF(OR('19_Расчет_аналитики'!AF4507=0,24&lt;='01_Вводные'!$B$297),0,'19_Расчет_аналитики'!AF4507*IF('01_Вводные'!$B$239="Да",MeanMinAge24+'19_Расчет_аналитики'!AF4607*SUMIF(ThresholdAge24,"&lt;"&amp;'19_Расчет_аналитики'!AF4607,WeightedRevAge24)-SUMIF(ThresholdAge24,"&lt;"&amp;'19_Расчет_аналитики'!AF4607,WeightedMinAge24),MAX(CapacityAge24*'01_Вводные'!$B$218*'19_Расчет_аналитики'!AF4607,MeanMinAge24))),0)</f>
        <v/>
      </c>
      <c r="AG4535">
        <f>IF('01_Вводные'!$B$234="Да",IF(OR('19_Расчет_аналитики'!AG4507=0,24&lt;='01_Вводные'!$B$297),0,'19_Расчет_аналитики'!AG4507*IF('01_Вводные'!$B$239="Да",MeanMinAge24+'19_Расчет_аналитики'!AG4607*SUMIF(ThresholdAge24,"&lt;"&amp;'19_Расчет_аналитики'!AG4607,WeightedRevAge24)-SUMIF(ThresholdAge24,"&lt;"&amp;'19_Расчет_аналитики'!AG4607,WeightedMinAge24),MAX(CapacityAge24*'01_Вводные'!$B$218*'19_Расчет_аналитики'!AG4607,MeanMinAge24))),0)</f>
        <v/>
      </c>
      <c r="AH4535">
        <f>IF('01_Вводные'!$B$234="Да",IF(OR('19_Расчет_аналитики'!AH4507=0,24&lt;='01_Вводные'!$B$297),0,'19_Расчет_аналитики'!AH4507*IF('01_Вводные'!$B$239="Да",MeanMinAge24+'19_Расчет_аналитики'!AH4607*SUMIF(ThresholdAge24,"&lt;"&amp;'19_Расчет_аналитики'!AH4607,WeightedRevAge24)-SUMIF(ThresholdAge24,"&lt;"&amp;'19_Расчет_аналитики'!AH4607,WeightedMinAge24),MAX(CapacityAge24*'01_Вводные'!$B$218*'19_Расчет_аналитики'!AH4607,MeanMinAge24))),0)</f>
        <v/>
      </c>
      <c r="AI4535">
        <f>IF('01_Вводные'!$B$234="Да",IF(OR('19_Расчет_аналитики'!AI4507=0,24&lt;='01_Вводные'!$B$297),0,'19_Расчет_аналитики'!AI4507*IF('01_Вводные'!$B$239="Да",MeanMinAge24+'19_Расчет_аналитики'!AI4607*SUMIF(ThresholdAge24,"&lt;"&amp;'19_Расчет_аналитики'!AI4607,WeightedRevAge24)-SUMIF(ThresholdAge24,"&lt;"&amp;'19_Расчет_аналитики'!AI4607,WeightedMinAge24),MAX(CapacityAge24*'01_Вводные'!$B$218*'19_Расчет_аналитики'!AI4607,MeanMinAge24))),0)</f>
        <v/>
      </c>
      <c r="AJ4535">
        <f>IF('01_Вводные'!$B$234="Да",IF(OR('19_Расчет_аналитики'!AJ4507=0,24&lt;='01_Вводные'!$B$297),0,'19_Расчет_аналитики'!AJ4507*IF('01_Вводные'!$B$239="Да",MeanMinAge24+'19_Расчет_аналитики'!AJ4607*SUMIF(ThresholdAge24,"&lt;"&amp;'19_Расчет_аналитики'!AJ4607,WeightedRevAge24)-SUMIF(ThresholdAge24,"&lt;"&amp;'19_Расчет_аналитики'!AJ4607,WeightedMinAge24),MAX(CapacityAge24*'01_Вводные'!$B$218*'19_Расчет_аналитики'!AJ4607,MeanMinAge24))),0)</f>
        <v/>
      </c>
      <c r="AK4535">
        <f>IF('01_Вводные'!$B$234="Да",IF(OR('19_Расчет_аналитики'!AK4507=0,24&lt;='01_Вводные'!$B$297),0,'19_Расчет_аналитики'!AK4507*IF('01_Вводные'!$B$239="Да",MeanMinAge24+'19_Расчет_аналитики'!AK4607*SUMIF(ThresholdAge24,"&lt;"&amp;'19_Расчет_аналитики'!AK4607,WeightedRevAge24)-SUMIF(ThresholdAge24,"&lt;"&amp;'19_Расчет_аналитики'!AK4607,WeightedMinAge24),MAX(CapacityAge24*'01_Вводные'!$B$218*'19_Расчет_аналитики'!AK4607,MeanMinAge24))),0)</f>
        <v/>
      </c>
      <c r="AL4535">
        <f>IF('01_Вводные'!$B$234="Да",IF(OR('19_Расчет_аналитики'!AL4507=0,24&lt;='01_Вводные'!$B$297),0,'19_Расчет_аналитики'!AL4507*IF('01_Вводные'!$B$239="Да",MeanMinAge24+'19_Расчет_аналитики'!AL4607*SUMIF(ThresholdAge24,"&lt;"&amp;'19_Расчет_аналитики'!AL4607,WeightedRevAge24)-SUMIF(ThresholdAge24,"&lt;"&amp;'19_Расчет_аналитики'!AL4607,WeightedMinAge24),MAX(CapacityAge24*'01_Вводные'!$B$218*'19_Расчет_аналитики'!AL4607,MeanMinAge24))),0)</f>
        <v/>
      </c>
      <c r="AM4535">
        <f>IF('01_Вводные'!$B$234="Да",IF(OR('19_Расчет_аналитики'!AM4507=0,24&lt;='01_Вводные'!$B$297),0,'19_Расчет_аналитики'!AM4507*IF('01_Вводные'!$B$239="Да",MeanMinAge24+'19_Расчет_аналитики'!AM4607*SUMIF(ThresholdAge24,"&lt;"&amp;'19_Расчет_аналитики'!AM4607,WeightedRevAge24)-SUMIF(ThresholdAge24,"&lt;"&amp;'19_Расчет_аналитики'!AM4607,WeightedMinAge24),MAX(CapacityAge24*'01_Вводные'!$B$218*'19_Расчет_аналитики'!AM4607,MeanMinAge24))),0)</f>
        <v/>
      </c>
      <c r="AN4535">
        <f>IF('01_Вводные'!$B$234="Да",IF(OR('19_Расчет_аналитики'!AN4507=0,24&lt;='01_Вводные'!$B$297),0,'19_Расчет_аналитики'!AN4507*IF('01_Вводные'!$B$239="Да",MeanMinAge24+'19_Расчет_аналитики'!AN4607*SUMIF(ThresholdAge24,"&lt;"&amp;'19_Расчет_аналитики'!AN4607,WeightedRevAge24)-SUMIF(ThresholdAge24,"&lt;"&amp;'19_Расчет_аналитики'!AN4607,WeightedMinAge24),MAX(CapacityAge24*'01_Вводные'!$B$218*'19_Расчет_аналитики'!AN4607,MeanMinAge24))),0)</f>
        <v/>
      </c>
      <c r="AO4535">
        <f>IF('01_Вводные'!$B$234="Да",IF(OR('19_Расчет_аналитики'!AO4507=0,24&lt;='01_Вводные'!$B$297),0,'19_Расчет_аналитики'!AO4507*IF('01_Вводные'!$B$239="Да",MeanMinAge24+'19_Расчет_аналитики'!AO4607*SUMIF(ThresholdAge24,"&lt;"&amp;'19_Расчет_аналитики'!AO4607,WeightedRevAge24)-SUMIF(ThresholdAge24,"&lt;"&amp;'19_Расчет_аналитики'!AO4607,WeightedMinAge24),MAX(CapacityAge24*'01_Вводные'!$B$218*'19_Расчет_аналитики'!AO4607,MeanMinAge24))),0)</f>
        <v/>
      </c>
      <c r="AP4535">
        <f>IF('01_Вводные'!$B$234="Да",IF(OR('19_Расчет_аналитики'!AP4507=0,24&lt;='01_Вводные'!$B$297),0,'19_Расчет_аналитики'!AP4507*IF('01_Вводные'!$B$239="Да",MeanMinAge24+'19_Расчет_аналитики'!AP4607*SUMIF(ThresholdAge24,"&lt;"&amp;'19_Расчет_аналитики'!AP4607,WeightedRevAge24)-SUMIF(ThresholdAge24,"&lt;"&amp;'19_Расчет_аналитики'!AP4607,WeightedMinAge24),MAX(CapacityAge24*'01_Вводные'!$B$218*'19_Расчет_аналитики'!AP4607,MeanMinAge24))),0)</f>
        <v/>
      </c>
      <c r="AQ4535">
        <f>IF('01_Вводные'!$B$234="Да",IF(OR('19_Расчет_аналитики'!AQ4507=0,24&lt;='01_Вводные'!$B$297),0,'19_Расчет_аналитики'!AQ4507*IF('01_Вводные'!$B$239="Да",MeanMinAge24+'19_Расчет_аналитики'!AQ4607*SUMIF(ThresholdAge24,"&lt;"&amp;'19_Расчет_аналитики'!AQ4607,WeightedRevAge24)-SUMIF(ThresholdAge24,"&lt;"&amp;'19_Расчет_аналитики'!AQ4607,WeightedMinAge24),MAX(CapacityAge24*'01_Вводные'!$B$218*'19_Расчет_аналитики'!AQ4607,MeanMinAge24))),0)</f>
        <v/>
      </c>
      <c r="AR4535">
        <f>IF('01_Вводные'!$B$234="Да",IF(OR('19_Расчет_аналитики'!AR4507=0,24&lt;='01_Вводные'!$B$297),0,'19_Расчет_аналитики'!AR4507*IF('01_Вводные'!$B$239="Да",MeanMinAge24+'19_Расчет_аналитики'!AR4607*SUMIF(ThresholdAge24,"&lt;"&amp;'19_Расчет_аналитики'!AR4607,WeightedRevAge24)-SUMIF(ThresholdAge24,"&lt;"&amp;'19_Расчет_аналитики'!AR4607,WeightedMinAge24),MAX(CapacityAge24*'01_Вводные'!$B$218*'19_Расчет_аналитики'!AR4607,MeanMinAge24))),0)</f>
        <v/>
      </c>
      <c r="AS4535">
        <f>IF('01_Вводные'!$B$234="Да",IF(OR('19_Расчет_аналитики'!AS4507=0,24&lt;='01_Вводные'!$B$297),0,'19_Расчет_аналитики'!AS4507*IF('01_Вводные'!$B$239="Да",MeanMinAge24+'19_Расчет_аналитики'!AS4607*SUMIF(ThresholdAge24,"&lt;"&amp;'19_Расчет_аналитики'!AS4607,WeightedRevAge24)-SUMIF(ThresholdAge24,"&lt;"&amp;'19_Расчет_аналитики'!AS4607,WeightedMinAge24),MAX(CapacityAge24*'01_Вводные'!$B$218*'19_Расчет_аналитики'!AS4607,MeanMinAge24))),0)</f>
        <v/>
      </c>
      <c r="AT4535">
        <f>IF('01_Вводные'!$B$234="Да",IF(OR('19_Расчет_аналитики'!AT4507=0,24&lt;='01_Вводные'!$B$297),0,'19_Расчет_аналитики'!AT4507*IF('01_Вводные'!$B$239="Да",MeanMinAge24+'19_Расчет_аналитики'!AT4607*SUMIF(ThresholdAge24,"&lt;"&amp;'19_Расчет_аналитики'!AT4607,WeightedRevAge24)-SUMIF(ThresholdAge24,"&lt;"&amp;'19_Расчет_аналитики'!AT4607,WeightedMinAge24),MAX(CapacityAge24*'01_Вводные'!$B$218*'19_Расчет_аналитики'!AT4607,MeanMinAge24))),0)</f>
        <v/>
      </c>
      <c r="AU4535">
        <f>IF('01_Вводные'!$B$234="Да",IF(OR('19_Расчет_аналитики'!AU4507=0,24&lt;='01_Вводные'!$B$297),0,'19_Расчет_аналитики'!AU4507*IF('01_Вводные'!$B$239="Да",MeanMinAge24+'19_Расчет_аналитики'!AU4607*SUMIF(ThresholdAge24,"&lt;"&amp;'19_Расчет_аналитики'!AU4607,WeightedRevAge24)-SUMIF(ThresholdAge24,"&lt;"&amp;'19_Расчет_аналитики'!AU4607,WeightedMinAge24),MAX(CapacityAge24*'01_Вводные'!$B$218*'19_Расчет_аналитики'!AU4607,MeanMinAge24))),0)</f>
        <v/>
      </c>
      <c r="AV4535">
        <f>IF('01_Вводные'!$B$234="Да",IF(OR('19_Расчет_аналитики'!AV4507=0,24&lt;='01_Вводные'!$B$297),0,'19_Расчет_аналитики'!AV4507*IF('01_Вводные'!$B$239="Да",MeanMinAge24+'19_Расчет_аналитики'!AV4607*SUMIF(ThresholdAge24,"&lt;"&amp;'19_Расчет_аналитики'!AV4607,WeightedRevAge24)-SUMIF(ThresholdAge24,"&lt;"&amp;'19_Расчет_аналитики'!AV4607,WeightedMinAge24),MAX(CapacityAge24*'01_Вводные'!$B$218*'19_Расчет_аналитики'!AV4607,MeanMinAge24))),0)</f>
        <v/>
      </c>
      <c r="AW4535">
        <f>IF('01_Вводные'!$B$234="Да",IF(OR('19_Расчет_аналитики'!AW4507=0,24&lt;='01_Вводные'!$B$297),0,'19_Расчет_аналитики'!AW4507*IF('01_Вводные'!$B$239="Да",MeanMinAge24+'19_Расчет_аналитики'!AW4607*SUMIF(ThresholdAge24,"&lt;"&amp;'19_Расчет_аналитики'!AW4607,WeightedRevAge24)-SUMIF(ThresholdAge24,"&lt;"&amp;'19_Расчет_аналитики'!AW4607,WeightedMinAge24),MAX(CapacityAge24*'01_Вводные'!$B$218*'19_Расчет_аналитики'!AW4607,MeanMinAge24))),0)</f>
        <v/>
      </c>
      <c r="AX4535">
        <f>IF('01_Вводные'!$B$234="Да",IF(OR('19_Расчет_аналитики'!AX4507=0,24&lt;='01_Вводные'!$B$297),0,'19_Расчет_аналитики'!AX4507*IF('01_Вводные'!$B$239="Да",MeanMinAge24+'19_Расчет_аналитики'!AX4607*SUMIF(ThresholdAge24,"&lt;"&amp;'19_Расчет_аналитики'!AX4607,WeightedRevAge24)-SUMIF(ThresholdAge24,"&lt;"&amp;'19_Расчет_аналитики'!AX4607,WeightedMinAge24),MAX(CapacityAge24*'01_Вводные'!$B$218*'19_Расчет_аналитики'!AX4607,MeanMinAge24))),0)</f>
        <v/>
      </c>
      <c r="AY4535">
        <f>IF('01_Вводные'!$B$234="Да",IF(OR('19_Расчет_аналитики'!AY4507=0,24&lt;='01_Вводные'!$B$297),0,'19_Расчет_аналитики'!AY4507*IF('01_Вводные'!$B$239="Да",MeanMinAge24+'19_Расчет_аналитики'!AY4607*SUMIF(ThresholdAge24,"&lt;"&amp;'19_Расчет_аналитики'!AY4607,WeightedRevAge24)-SUMIF(ThresholdAge24,"&lt;"&amp;'19_Расчет_аналитики'!AY4607,WeightedMinAge24),MAX(CapacityAge24*'01_Вводные'!$B$218*'19_Расчет_аналитики'!AY4607,MeanMinAge24))),0)</f>
        <v/>
      </c>
      <c r="AZ4535">
        <f>IF('01_Вводные'!$B$234="Да",IF(OR('19_Расчет_аналитики'!AZ4507=0,24&lt;='01_Вводные'!$B$297),0,'19_Расчет_аналитики'!AZ4507*IF('01_Вводные'!$B$239="Да",MeanMinAge24+'19_Расчет_аналитики'!AZ4607*SUMIF(ThresholdAge24,"&lt;"&amp;'19_Расчет_аналитики'!AZ4607,WeightedRevAge24)-SUMIF(ThresholdAge24,"&lt;"&amp;'19_Расчет_аналитики'!AZ4607,WeightedMinAge24),MAX(CapacityAge24*'01_Вводные'!$B$218*'19_Расчет_аналитики'!AZ4607,MeanMinAge24))),0)</f>
        <v/>
      </c>
      <c r="BA4535">
        <f>IF('01_Вводные'!$B$234="Да",IF(OR('19_Расчет_аналитики'!BA4507=0,24&lt;='01_Вводные'!$B$297),0,'19_Расчет_аналитики'!BA4507*IF('01_Вводные'!$B$239="Да",MeanMinAge24+'19_Расчет_аналитики'!BA4607*SUMIF(ThresholdAge24,"&lt;"&amp;'19_Расчет_аналитики'!BA4607,WeightedRevAge24)-SUMIF(ThresholdAge24,"&lt;"&amp;'19_Расчет_аналитики'!BA4607,WeightedMinAge24),MAX(CapacityAge24*'01_Вводные'!$B$218*'19_Расчет_аналитики'!BA4607,MeanMinAge24))),0)</f>
        <v/>
      </c>
      <c r="BB4535">
        <f>IF('01_Вводные'!$B$234="Да",IF(OR('19_Расчет_аналитики'!BB4507=0,24&lt;='01_Вводные'!$B$297),0,'19_Расчет_аналитики'!BB4507*IF('01_Вводные'!$B$239="Да",MeanMinAge24+'19_Расчет_аналитики'!BB4607*SUMIF(ThresholdAge24,"&lt;"&amp;'19_Расчет_аналитики'!BB4607,WeightedRevAge24)-SUMIF(ThresholdAge24,"&lt;"&amp;'19_Расчет_аналитики'!BB4607,WeightedMinAge24),MAX(CapacityAge24*'01_Вводные'!$B$218*'19_Расчет_аналитики'!BB4607,MeanMinAge24))),0)</f>
        <v/>
      </c>
      <c r="BC4535">
        <f>IF('01_Вводные'!$B$234="Да",IF(OR('19_Расчет_аналитики'!BC4507=0,24&lt;='01_Вводные'!$B$297),0,'19_Расчет_аналитики'!BC4507*IF('01_Вводные'!$B$239="Да",MeanMinAge24+'19_Расчет_аналитики'!BC4607*SUMIF(ThresholdAge24,"&lt;"&amp;'19_Расчет_аналитики'!BC4607,WeightedRevAge24)-SUMIF(ThresholdAge24,"&lt;"&amp;'19_Расчет_аналитики'!BC4607,WeightedMinAge24),MAX(CapacityAge24*'01_Вводные'!$B$218*'19_Расчет_аналитики'!BC4607,MeanMinAge24))),0)</f>
        <v/>
      </c>
      <c r="BD4535">
        <f>IF('01_Вводные'!$B$234="Да",IF(OR('19_Расчет_аналитики'!BD4507=0,24&lt;='01_Вводные'!$B$297),0,'19_Расчет_аналитики'!BD4507*IF('01_Вводные'!$B$239="Да",MeanMinAge24+'19_Расчет_аналитики'!BD4607*SUMIF(ThresholdAge24,"&lt;"&amp;'19_Расчет_аналитики'!BD4607,WeightedRevAge24)-SUMIF(ThresholdAge24,"&lt;"&amp;'19_Расчет_аналитики'!BD4607,WeightedMinAge24),MAX(CapacityAge24*'01_Вводные'!$B$218*'19_Расчет_аналитики'!BD4607,MeanMinAge24))),0)</f>
        <v/>
      </c>
      <c r="BE4535">
        <f>IF('01_Вводные'!$B$234="Да",IF(OR('19_Расчет_аналитики'!BE4507=0,24&lt;='01_Вводные'!$B$297),0,'19_Расчет_аналитики'!BE4507*IF('01_Вводные'!$B$239="Да",MeanMinAge24+'19_Расчет_аналитики'!BE4607*SUMIF(ThresholdAge24,"&lt;"&amp;'19_Расчет_аналитики'!BE4607,WeightedRevAge24)-SUMIF(ThresholdAge24,"&lt;"&amp;'19_Расчет_аналитики'!BE4607,WeightedMinAge24),MAX(CapacityAge24*'01_Вводные'!$B$218*'19_Расчет_аналитики'!BE4607,MeanMinAge24))),0)</f>
        <v/>
      </c>
      <c r="BF4535">
        <f>IF('01_Вводные'!$B$234="Да",IF(OR('19_Расчет_аналитики'!BF4507=0,24&lt;='01_Вводные'!$B$297),0,'19_Расчет_аналитики'!BF4507*IF('01_Вводные'!$B$239="Да",MeanMinAge24+'19_Расчет_аналитики'!BF4607*SUMIF(ThresholdAge24,"&lt;"&amp;'19_Расчет_аналитики'!BF4607,WeightedRevAge24)-SUMIF(ThresholdAge24,"&lt;"&amp;'19_Расчет_аналитики'!BF4607,WeightedMinAge24),MAX(CapacityAge24*'01_Вводные'!$B$218*'19_Расчет_аналитики'!BF4607,MeanMinAge24))),0)</f>
        <v/>
      </c>
      <c r="BG4535">
        <f>IF('01_Вводные'!$B$234="Да",IF(OR('19_Расчет_аналитики'!BG4507=0,24&lt;='01_Вводные'!$B$297),0,'19_Расчет_аналитики'!BG4507*IF('01_Вводные'!$B$239="Да",MeanMinAge24+'19_Расчет_аналитики'!BG4607*SUMIF(ThresholdAge24,"&lt;"&amp;'19_Расчет_аналитики'!BG4607,WeightedRevAge24)-SUMIF(ThresholdAge24,"&lt;"&amp;'19_Расчет_аналитики'!BG4607,WeightedMinAge24),MAX(CapacityAge24*'01_Вводные'!$B$218*'19_Расчет_аналитики'!BG4607,MeanMinAge24))),0)</f>
        <v/>
      </c>
      <c r="BH4535">
        <f>IF('01_Вводные'!$B$234="Да",IF(OR('19_Расчет_аналитики'!BH4507=0,24&lt;='01_Вводные'!$B$297),0,'19_Расчет_аналитики'!BH4507*IF('01_Вводные'!$B$239="Да",MeanMinAge24+'19_Расчет_аналитики'!BH4607*SUMIF(ThresholdAge24,"&lt;"&amp;'19_Расчет_аналитики'!BH4607,WeightedRevAge24)-SUMIF(ThresholdAge24,"&lt;"&amp;'19_Расчет_аналитики'!BH4607,WeightedMinAge24),MAX(CapacityAge24*'01_Вводные'!$B$218*'19_Расчет_аналитики'!BH4607,MeanMinAge24))),0)</f>
        <v/>
      </c>
      <c r="BI4535">
        <f>IF('01_Вводные'!$B$234="Да",IF(OR('19_Расчет_аналитики'!BI4507=0,24&lt;='01_Вводные'!$B$297),0,'19_Расчет_аналитики'!BI4507*IF('01_Вводные'!$B$239="Да",MeanMinAge24+'19_Расчет_аналитики'!BI4607*SUMIF(ThresholdAge24,"&lt;"&amp;'19_Расчет_аналитики'!BI4607,WeightedRevAge24)-SUMIF(ThresholdAge24,"&lt;"&amp;'19_Расчет_аналитики'!BI4607,WeightedMinAge24),MAX(CapacityAge24*'01_Вводные'!$B$218*'19_Расчет_аналитики'!BI4607,MeanMinAge24))),0)</f>
        <v/>
      </c>
      <c r="BJ4535">
        <f>IF('01_Вводные'!$B$234="Да",IF(OR('19_Расчет_аналитики'!BJ4507=0,24&lt;='01_Вводные'!$B$297),0,'19_Расчет_аналитики'!BJ4507*IF('01_Вводные'!$B$239="Да",MeanMinAge24+'19_Расчет_аналитики'!BJ4607*SUMIF(ThresholdAge24,"&lt;"&amp;'19_Расчет_аналитики'!BJ4607,WeightedRevAge24)-SUMIF(ThresholdAge24,"&lt;"&amp;'19_Расчет_аналитики'!BJ4607,WeightedMinAge24),MAX(CapacityAge24*'01_Вводные'!$B$218*'19_Расчет_аналитики'!BJ4607,MeanMinAge24))),0)</f>
        <v/>
      </c>
      <c r="BK4535">
        <f>IF('01_Вводные'!$B$234="Да",IF(OR('19_Расчет_аналитики'!BK4507=0,24&lt;='01_Вводные'!$B$297),0,'19_Расчет_аналитики'!BK4507*IF('01_Вводные'!$B$239="Да",MeanMinAge24+'19_Расчет_аналитики'!BK4607*SUMIF(ThresholdAge24,"&lt;"&amp;'19_Расчет_аналитики'!BK4607,WeightedRevAge24)-SUMIF(ThresholdAge24,"&lt;"&amp;'19_Расчет_аналитики'!BK4607,WeightedMinAge24),MAX(CapacityAge24*'01_Вводные'!$B$218*'19_Расчет_аналитики'!BK4607,MeanMinAge24))),0)</f>
        <v/>
      </c>
      <c r="BL4535">
        <f>IF('01_Вводные'!$B$234="Да",IF(OR('19_Расчет_аналитики'!BL4507=0,24&lt;='01_Вводные'!$B$297),0,'19_Расчет_аналитики'!BL4507*IF('01_Вводные'!$B$239="Да",MeanMinAge24+'19_Расчет_аналитики'!BL4607*SUMIF(ThresholdAge24,"&lt;"&amp;'19_Расчет_аналитики'!BL4607,WeightedRevAge24)-SUMIF(ThresholdAge24,"&lt;"&amp;'19_Расчет_аналитики'!BL4607,WeightedMinAge24),MAX(CapacityAge24*'01_Вводные'!$B$218*'19_Расчет_аналитики'!BL4607,MeanMinAge24))),0)</f>
        <v/>
      </c>
      <c r="BM4535">
        <f>IF('01_Вводные'!$B$234="Да",IF(OR('19_Расчет_аналитики'!BM4507=0,24&lt;='01_Вводные'!$B$297),0,'19_Расчет_аналитики'!BM4507*IF('01_Вводные'!$B$239="Да",MeanMinAge24+'19_Расчет_аналитики'!BM4607*SUMIF(ThresholdAge24,"&lt;"&amp;'19_Расчет_аналитики'!BM4607,WeightedRevAge24)-SUMIF(ThresholdAge24,"&lt;"&amp;'19_Расчет_аналитики'!BM4607,WeightedMinAge24),MAX(CapacityAge24*'01_Вводные'!$B$218*'19_Расчет_аналитики'!BM4607,MeanMinAge24))),0)</f>
        <v/>
      </c>
      <c r="BN4535">
        <f>IF('01_Вводные'!$B$234="Да",IF(OR('19_Расчет_аналитики'!BN4507=0,24&lt;='01_Вводные'!$B$297),0,'19_Расчет_аналитики'!BN4507*IF('01_Вводные'!$B$239="Да",MeanMinAge24+'19_Расчет_аналитики'!BN4607*SUMIF(ThresholdAge24,"&lt;"&amp;'19_Расчет_аналитики'!BN4607,WeightedRevAge24)-SUMIF(ThresholdAge24,"&lt;"&amp;'19_Расчет_аналитики'!BN4607,WeightedMinAge24),MAX(CapacityAge24*'01_Вводные'!$B$218*'19_Расчет_аналитики'!BN4607,MeanMinAge24))),0)</f>
        <v/>
      </c>
      <c r="BO4535">
        <f>IF('01_Вводные'!$B$234="Да",IF(OR('19_Расчет_аналитики'!BO4507=0,24&lt;='01_Вводные'!$B$297),0,'19_Расчет_аналитики'!BO4507*IF('01_Вводные'!$B$239="Да",MeanMinAge24+'19_Расчет_аналитики'!BO4607*SUMIF(ThresholdAge24,"&lt;"&amp;'19_Расчет_аналитики'!BO4607,WeightedRevAge24)-SUMIF(ThresholdAge24,"&lt;"&amp;'19_Расчет_аналитики'!BO4607,WeightedMinAge24),MAX(CapacityAge24*'01_Вводные'!$B$218*'19_Расчет_аналитики'!BO4607,MeanMinAge24))),0)</f>
        <v/>
      </c>
    </row>
    <row r="4536">
      <c r="B4536">
        <f>IF('01_Вводные'!$B$234="Да",IF(OR('06_Сеть_и_дети'!B105=0,25&lt;='01_Вводные'!$B$297),0,'06_Сеть_и_дети'!B105*IF('01_Вводные'!$B$239="Да",MeanMinAge25+'19_Расчет_аналитики'!B4607*SUMIF(ThresholdAge25,"&lt;"&amp;'19_Расчет_аналитики'!B4607,WeightedRevAge25)-SUMIF(ThresholdAge25,"&lt;"&amp;'19_Расчет_аналитики'!B4607,WeightedMinAge25),MAX(CapacityAge25*'01_Вводные'!$B$218*'19_Расчет_аналитики'!B4607,MeanMinAge25))),0)</f>
        <v/>
      </c>
      <c r="C4536">
        <f>IF('01_Вводные'!$B$234="Да",IF(OR('06_Сеть_и_дети'!C105=0,25&lt;='01_Вводные'!$B$297),0,'06_Сеть_и_дети'!C105*IF('01_Вводные'!$B$239="Да",MeanMinAge25+'19_Расчет_аналитики'!C4607*SUMIF(ThresholdAge25,"&lt;"&amp;'19_Расчет_аналитики'!C4607,WeightedRevAge25)-SUMIF(ThresholdAge25,"&lt;"&amp;'19_Расчет_аналитики'!C4607,WeightedMinAge25),MAX(CapacityAge25*'01_Вводные'!$B$218*'19_Расчет_аналитики'!C4607,MeanMinAge25))),0)</f>
        <v/>
      </c>
      <c r="D4536">
        <f>IF('01_Вводные'!$B$234="Да",IF(OR('06_Сеть_и_дети'!D105=0,25&lt;='01_Вводные'!$B$297),0,'06_Сеть_и_дети'!D105*IF('01_Вводные'!$B$239="Да",MeanMinAge25+'19_Расчет_аналитики'!D4607*SUMIF(ThresholdAge25,"&lt;"&amp;'19_Расчет_аналитики'!D4607,WeightedRevAge25)-SUMIF(ThresholdAge25,"&lt;"&amp;'19_Расчет_аналитики'!D4607,WeightedMinAge25),MAX(CapacityAge25*'01_Вводные'!$B$218*'19_Расчет_аналитики'!D4607,MeanMinAge25))),0)</f>
        <v/>
      </c>
      <c r="E4536">
        <f>IF('01_Вводные'!$B$234="Да",IF(OR('06_Сеть_и_дети'!E105=0,25&lt;='01_Вводные'!$B$297),0,'06_Сеть_и_дети'!E105*IF('01_Вводные'!$B$239="Да",MeanMinAge25+'19_Расчет_аналитики'!E4607*SUMIF(ThresholdAge25,"&lt;"&amp;'19_Расчет_аналитики'!E4607,WeightedRevAge25)-SUMIF(ThresholdAge25,"&lt;"&amp;'19_Расчет_аналитики'!E4607,WeightedMinAge25),MAX(CapacityAge25*'01_Вводные'!$B$218*'19_Расчет_аналитики'!E4607,MeanMinAge25))),0)</f>
        <v/>
      </c>
      <c r="F4536">
        <f>IF('01_Вводные'!$B$234="Да",IF(OR('06_Сеть_и_дети'!F105=0,25&lt;='01_Вводные'!$B$297),0,'06_Сеть_и_дети'!F105*IF('01_Вводные'!$B$239="Да",MeanMinAge25+'19_Расчет_аналитики'!F4607*SUMIF(ThresholdAge25,"&lt;"&amp;'19_Расчет_аналитики'!F4607,WeightedRevAge25)-SUMIF(ThresholdAge25,"&lt;"&amp;'19_Расчет_аналитики'!F4607,WeightedMinAge25),MAX(CapacityAge25*'01_Вводные'!$B$218*'19_Расчет_аналитики'!F4607,MeanMinAge25))),0)</f>
        <v/>
      </c>
      <c r="G4536">
        <f>IF('01_Вводные'!$B$234="Да",IF(OR('06_Сеть_и_дети'!G105=0,25&lt;='01_Вводные'!$B$297),0,'06_Сеть_и_дети'!G105*IF('01_Вводные'!$B$239="Да",MeanMinAge25+'19_Расчет_аналитики'!G4607*SUMIF(ThresholdAge25,"&lt;"&amp;'19_Расчет_аналитики'!G4607,WeightedRevAge25)-SUMIF(ThresholdAge25,"&lt;"&amp;'19_Расчет_аналитики'!G4607,WeightedMinAge25),MAX(CapacityAge25*'01_Вводные'!$B$218*'19_Расчет_аналитики'!G4607,MeanMinAge25))),0)</f>
        <v/>
      </c>
      <c r="H4536">
        <f>IF('01_Вводные'!$B$234="Да",IF(OR('06_Сеть_и_дети'!H105=0,25&lt;='01_Вводные'!$B$297),0,'06_Сеть_и_дети'!H105*IF('01_Вводные'!$B$239="Да",MeanMinAge25+'19_Расчет_аналитики'!H4607*SUMIF(ThresholdAge25,"&lt;"&amp;'19_Расчет_аналитики'!H4607,WeightedRevAge25)-SUMIF(ThresholdAge25,"&lt;"&amp;'19_Расчет_аналитики'!H4607,WeightedMinAge25),MAX(CapacityAge25*'01_Вводные'!$B$218*'19_Расчет_аналитики'!H4607,MeanMinAge25))),0)</f>
        <v/>
      </c>
      <c r="I4536">
        <f>IF('01_Вводные'!$B$234="Да",IF(OR('06_Сеть_и_дети'!I105=0,25&lt;='01_Вводные'!$B$297),0,'06_Сеть_и_дети'!I105*IF('01_Вводные'!$B$239="Да",MeanMinAge25+'19_Расчет_аналитики'!I4607*SUMIF(ThresholdAge25,"&lt;"&amp;'19_Расчет_аналитики'!I4607,WeightedRevAge25)-SUMIF(ThresholdAge25,"&lt;"&amp;'19_Расчет_аналитики'!I4607,WeightedMinAge25),MAX(CapacityAge25*'01_Вводные'!$B$218*'19_Расчет_аналитики'!I4607,MeanMinAge25))),0)</f>
        <v/>
      </c>
      <c r="J4536">
        <f>IF('01_Вводные'!$B$234="Да",IF(OR('06_Сеть_и_дети'!J105=0,25&lt;='01_Вводные'!$B$297),0,'06_Сеть_и_дети'!J105*IF('01_Вводные'!$B$239="Да",MeanMinAge25+'19_Расчет_аналитики'!J4607*SUMIF(ThresholdAge25,"&lt;"&amp;'19_Расчет_аналитики'!J4607,WeightedRevAge25)-SUMIF(ThresholdAge25,"&lt;"&amp;'19_Расчет_аналитики'!J4607,WeightedMinAge25),MAX(CapacityAge25*'01_Вводные'!$B$218*'19_Расчет_аналитики'!J4607,MeanMinAge25))),0)</f>
        <v/>
      </c>
      <c r="K4536">
        <f>IF('01_Вводные'!$B$234="Да",IF(OR('06_Сеть_и_дети'!K105=0,25&lt;='01_Вводные'!$B$297),0,'06_Сеть_и_дети'!K105*IF('01_Вводные'!$B$239="Да",MeanMinAge25+'19_Расчет_аналитики'!K4607*SUMIF(ThresholdAge25,"&lt;"&amp;'19_Расчет_аналитики'!K4607,WeightedRevAge25)-SUMIF(ThresholdAge25,"&lt;"&amp;'19_Расчет_аналитики'!K4607,WeightedMinAge25),MAX(CapacityAge25*'01_Вводные'!$B$218*'19_Расчет_аналитики'!K4607,MeanMinAge25))),0)</f>
        <v/>
      </c>
      <c r="L4536">
        <f>IF('01_Вводные'!$B$234="Да",IF(OR('06_Сеть_и_дети'!L105=0,25&lt;='01_Вводные'!$B$297),0,'06_Сеть_и_дети'!L105*IF('01_Вводные'!$B$239="Да",MeanMinAge25+'19_Расчет_аналитики'!L4607*SUMIF(ThresholdAge25,"&lt;"&amp;'19_Расчет_аналитики'!L4607,WeightedRevAge25)-SUMIF(ThresholdAge25,"&lt;"&amp;'19_Расчет_аналитики'!L4607,WeightedMinAge25),MAX(CapacityAge25*'01_Вводные'!$B$218*'19_Расчет_аналитики'!L4607,MeanMinAge25))),0)</f>
        <v/>
      </c>
      <c r="M4536">
        <f>IF('01_Вводные'!$B$234="Да",IF(OR('06_Сеть_и_дети'!M105=0,25&lt;='01_Вводные'!$B$297),0,'06_Сеть_и_дети'!M105*IF('01_Вводные'!$B$239="Да",MeanMinAge25+'19_Расчет_аналитики'!M4607*SUMIF(ThresholdAge25,"&lt;"&amp;'19_Расчет_аналитики'!M4607,WeightedRevAge25)-SUMIF(ThresholdAge25,"&lt;"&amp;'19_Расчет_аналитики'!M4607,WeightedMinAge25),MAX(CapacityAge25*'01_Вводные'!$B$218*'19_Расчет_аналитики'!M4607,MeanMinAge25))),0)</f>
        <v/>
      </c>
      <c r="N4536">
        <f>IF('01_Вводные'!$B$234="Да",IF(OR('06_Сеть_и_дети'!N105=0,25&lt;='01_Вводные'!$B$297),0,'06_Сеть_и_дети'!N105*IF('01_Вводные'!$B$239="Да",MeanMinAge25+'19_Расчет_аналитики'!N4607*SUMIF(ThresholdAge25,"&lt;"&amp;'19_Расчет_аналитики'!N4607,WeightedRevAge25)-SUMIF(ThresholdAge25,"&lt;"&amp;'19_Расчет_аналитики'!N4607,WeightedMinAge25),MAX(CapacityAge25*'01_Вводные'!$B$218*'19_Расчет_аналитики'!N4607,MeanMinAge25))),0)</f>
        <v/>
      </c>
      <c r="O4536">
        <f>IF('01_Вводные'!$B$234="Да",IF(OR('06_Сеть_и_дети'!O105=0,25&lt;='01_Вводные'!$B$297),0,'06_Сеть_и_дети'!O105*IF('01_Вводные'!$B$239="Да",MeanMinAge25+'19_Расчет_аналитики'!O4607*SUMIF(ThresholdAge25,"&lt;"&amp;'19_Расчет_аналитики'!O4607,WeightedRevAge25)-SUMIF(ThresholdAge25,"&lt;"&amp;'19_Расчет_аналитики'!O4607,WeightedMinAge25),MAX(CapacityAge25*'01_Вводные'!$B$218*'19_Расчет_аналитики'!O4607,MeanMinAge25))),0)</f>
        <v/>
      </c>
      <c r="P4536">
        <f>IF('01_Вводные'!$B$234="Да",IF(OR('06_Сеть_и_дети'!P105=0,25&lt;='01_Вводные'!$B$297),0,'06_Сеть_и_дети'!P105*IF('01_Вводные'!$B$239="Да",MeanMinAge25+'19_Расчет_аналитики'!P4607*SUMIF(ThresholdAge25,"&lt;"&amp;'19_Расчет_аналитики'!P4607,WeightedRevAge25)-SUMIF(ThresholdAge25,"&lt;"&amp;'19_Расчет_аналитики'!P4607,WeightedMinAge25),MAX(CapacityAge25*'01_Вводные'!$B$218*'19_Расчет_аналитики'!P4607,MeanMinAge25))),0)</f>
        <v/>
      </c>
      <c r="Q4536">
        <f>IF('01_Вводные'!$B$234="Да",IF(OR('06_Сеть_и_дети'!Q105=0,25&lt;='01_Вводные'!$B$297),0,'06_Сеть_и_дети'!Q105*IF('01_Вводные'!$B$239="Да",MeanMinAge25+'19_Расчет_аналитики'!Q4607*SUMIF(ThresholdAge25,"&lt;"&amp;'19_Расчет_аналитики'!Q4607,WeightedRevAge25)-SUMIF(ThresholdAge25,"&lt;"&amp;'19_Расчет_аналитики'!Q4607,WeightedMinAge25),MAX(CapacityAge25*'01_Вводные'!$B$218*'19_Расчет_аналитики'!Q4607,MeanMinAge25))),0)</f>
        <v/>
      </c>
      <c r="R4536">
        <f>IF('01_Вводные'!$B$234="Да",IF(OR('06_Сеть_и_дети'!R105=0,25&lt;='01_Вводные'!$B$297),0,'06_Сеть_и_дети'!R105*IF('01_Вводные'!$B$239="Да",MeanMinAge25+'19_Расчет_аналитики'!R4607*SUMIF(ThresholdAge25,"&lt;"&amp;'19_Расчет_аналитики'!R4607,WeightedRevAge25)-SUMIF(ThresholdAge25,"&lt;"&amp;'19_Расчет_аналитики'!R4607,WeightedMinAge25),MAX(CapacityAge25*'01_Вводные'!$B$218*'19_Расчет_аналитики'!R4607,MeanMinAge25))),0)</f>
        <v/>
      </c>
      <c r="S4536">
        <f>IF('01_Вводные'!$B$234="Да",IF(OR('06_Сеть_и_дети'!S105=0,25&lt;='01_Вводные'!$B$297),0,'06_Сеть_и_дети'!S105*IF('01_Вводные'!$B$239="Да",MeanMinAge25+'19_Расчет_аналитики'!S4607*SUMIF(ThresholdAge25,"&lt;"&amp;'19_Расчет_аналитики'!S4607,WeightedRevAge25)-SUMIF(ThresholdAge25,"&lt;"&amp;'19_Расчет_аналитики'!S4607,WeightedMinAge25),MAX(CapacityAge25*'01_Вводные'!$B$218*'19_Расчет_аналитики'!S4607,MeanMinAge25))),0)</f>
        <v/>
      </c>
      <c r="T4536">
        <f>IF('01_Вводные'!$B$234="Да",IF(OR('06_Сеть_и_дети'!T105=0,25&lt;='01_Вводные'!$B$297),0,'06_Сеть_и_дети'!T105*IF('01_Вводные'!$B$239="Да",MeanMinAge25+'19_Расчет_аналитики'!T4607*SUMIF(ThresholdAge25,"&lt;"&amp;'19_Расчет_аналитики'!T4607,WeightedRevAge25)-SUMIF(ThresholdAge25,"&lt;"&amp;'19_Расчет_аналитики'!T4607,WeightedMinAge25),MAX(CapacityAge25*'01_Вводные'!$B$218*'19_Расчет_аналитики'!T4607,MeanMinAge25))),0)</f>
        <v/>
      </c>
      <c r="U4536">
        <f>IF('01_Вводные'!$B$234="Да",IF(OR('06_Сеть_и_дети'!U105=0,25&lt;='01_Вводные'!$B$297),0,'06_Сеть_и_дети'!U105*IF('01_Вводные'!$B$239="Да",MeanMinAge25+'19_Расчет_аналитики'!U4607*SUMIF(ThresholdAge25,"&lt;"&amp;'19_Расчет_аналитики'!U4607,WeightedRevAge25)-SUMIF(ThresholdAge25,"&lt;"&amp;'19_Расчет_аналитики'!U4607,WeightedMinAge25),MAX(CapacityAge25*'01_Вводные'!$B$218*'19_Расчет_аналитики'!U4607,MeanMinAge25))),0)</f>
        <v/>
      </c>
      <c r="V4536">
        <f>IF('01_Вводные'!$B$234="Да",IF(OR('06_Сеть_и_дети'!V105=0,25&lt;='01_Вводные'!$B$297),0,'06_Сеть_и_дети'!V105*IF('01_Вводные'!$B$239="Да",MeanMinAge25+'19_Расчет_аналитики'!V4607*SUMIF(ThresholdAge25,"&lt;"&amp;'19_Расчет_аналитики'!V4607,WeightedRevAge25)-SUMIF(ThresholdAge25,"&lt;"&amp;'19_Расчет_аналитики'!V4607,WeightedMinAge25),MAX(CapacityAge25*'01_Вводные'!$B$218*'19_Расчет_аналитики'!V4607,MeanMinAge25))),0)</f>
        <v/>
      </c>
      <c r="W4536">
        <f>IF('01_Вводные'!$B$234="Да",IF(OR('06_Сеть_и_дети'!W105=0,25&lt;='01_Вводные'!$B$297),0,'06_Сеть_и_дети'!W105*IF('01_Вводные'!$B$239="Да",MeanMinAge25+'19_Расчет_аналитики'!W4607*SUMIF(ThresholdAge25,"&lt;"&amp;'19_Расчет_аналитики'!W4607,WeightedRevAge25)-SUMIF(ThresholdAge25,"&lt;"&amp;'19_Расчет_аналитики'!W4607,WeightedMinAge25),MAX(CapacityAge25*'01_Вводные'!$B$218*'19_Расчет_аналитики'!W4607,MeanMinAge25))),0)</f>
        <v/>
      </c>
      <c r="X4536">
        <f>IF('01_Вводные'!$B$234="Да",IF(OR('06_Сеть_и_дети'!X105=0,25&lt;='01_Вводные'!$B$297),0,'06_Сеть_и_дети'!X105*IF('01_Вводные'!$B$239="Да",MeanMinAge25+'19_Расчет_аналитики'!X4607*SUMIF(ThresholdAge25,"&lt;"&amp;'19_Расчет_аналитики'!X4607,WeightedRevAge25)-SUMIF(ThresholdAge25,"&lt;"&amp;'19_Расчет_аналитики'!X4607,WeightedMinAge25),MAX(CapacityAge25*'01_Вводные'!$B$218*'19_Расчет_аналитики'!X4607,MeanMinAge25))),0)</f>
        <v/>
      </c>
      <c r="Y4536">
        <f>IF('01_Вводные'!$B$234="Да",IF(OR('06_Сеть_и_дети'!Y105=0,25&lt;='01_Вводные'!$B$297),0,'06_Сеть_и_дети'!Y105*IF('01_Вводные'!$B$239="Да",MeanMinAge25+'19_Расчет_аналитики'!Y4607*SUMIF(ThresholdAge25,"&lt;"&amp;'19_Расчет_аналитики'!Y4607,WeightedRevAge25)-SUMIF(ThresholdAge25,"&lt;"&amp;'19_Расчет_аналитики'!Y4607,WeightedMinAge25),MAX(CapacityAge25*'01_Вводные'!$B$218*'19_Расчет_аналитики'!Y4607,MeanMinAge25))),0)</f>
        <v/>
      </c>
      <c r="Z4536">
        <f>IF('01_Вводные'!$B$234="Да",IF(OR('19_Расчет_аналитики'!Z4508=0,25&lt;='01_Вводные'!$B$297),0,'19_Расчет_аналитики'!Z4508*IF('01_Вводные'!$B$239="Да",MeanMinAge25+'19_Расчет_аналитики'!Z4607*SUMIF(ThresholdAge25,"&lt;"&amp;'19_Расчет_аналитики'!Z4607,WeightedRevAge25)-SUMIF(ThresholdAge25,"&lt;"&amp;'19_Расчет_аналитики'!Z4607,WeightedMinAge25),MAX(CapacityAge25*'01_Вводные'!$B$218*'19_Расчет_аналитики'!Z4607,MeanMinAge25))),0)</f>
        <v/>
      </c>
      <c r="AA4536">
        <f>IF('01_Вводные'!$B$234="Да",IF(OR('19_Расчет_аналитики'!AA4508=0,25&lt;='01_Вводные'!$B$297),0,'19_Расчет_аналитики'!AA4508*IF('01_Вводные'!$B$239="Да",MeanMinAge25+'19_Расчет_аналитики'!AA4607*SUMIF(ThresholdAge25,"&lt;"&amp;'19_Расчет_аналитики'!AA4607,WeightedRevAge25)-SUMIF(ThresholdAge25,"&lt;"&amp;'19_Расчет_аналитики'!AA4607,WeightedMinAge25),MAX(CapacityAge25*'01_Вводные'!$B$218*'19_Расчет_аналитики'!AA4607,MeanMinAge25))),0)</f>
        <v/>
      </c>
      <c r="AB4536">
        <f>IF('01_Вводные'!$B$234="Да",IF(OR('19_Расчет_аналитики'!AB4508=0,25&lt;='01_Вводные'!$B$297),0,'19_Расчет_аналитики'!AB4508*IF('01_Вводные'!$B$239="Да",MeanMinAge25+'19_Расчет_аналитики'!AB4607*SUMIF(ThresholdAge25,"&lt;"&amp;'19_Расчет_аналитики'!AB4607,WeightedRevAge25)-SUMIF(ThresholdAge25,"&lt;"&amp;'19_Расчет_аналитики'!AB4607,WeightedMinAge25),MAX(CapacityAge25*'01_Вводные'!$B$218*'19_Расчет_аналитики'!AB4607,MeanMinAge25))),0)</f>
        <v/>
      </c>
      <c r="AC4536">
        <f>IF('01_Вводные'!$B$234="Да",IF(OR('19_Расчет_аналитики'!AC4508=0,25&lt;='01_Вводные'!$B$297),0,'19_Расчет_аналитики'!AC4508*IF('01_Вводные'!$B$239="Да",MeanMinAge25+'19_Расчет_аналитики'!AC4607*SUMIF(ThresholdAge25,"&lt;"&amp;'19_Расчет_аналитики'!AC4607,WeightedRevAge25)-SUMIF(ThresholdAge25,"&lt;"&amp;'19_Расчет_аналитики'!AC4607,WeightedMinAge25),MAX(CapacityAge25*'01_Вводные'!$B$218*'19_Расчет_аналитики'!AC4607,MeanMinAge25))),0)</f>
        <v/>
      </c>
      <c r="AD4536">
        <f>IF('01_Вводные'!$B$234="Да",IF(OR('19_Расчет_аналитики'!AD4508=0,25&lt;='01_Вводные'!$B$297),0,'19_Расчет_аналитики'!AD4508*IF('01_Вводные'!$B$239="Да",MeanMinAge25+'19_Расчет_аналитики'!AD4607*SUMIF(ThresholdAge25,"&lt;"&amp;'19_Расчет_аналитики'!AD4607,WeightedRevAge25)-SUMIF(ThresholdAge25,"&lt;"&amp;'19_Расчет_аналитики'!AD4607,WeightedMinAge25),MAX(CapacityAge25*'01_Вводные'!$B$218*'19_Расчет_аналитики'!AD4607,MeanMinAge25))),0)</f>
        <v/>
      </c>
      <c r="AE4536">
        <f>IF('01_Вводные'!$B$234="Да",IF(OR('19_Расчет_аналитики'!AE4508=0,25&lt;='01_Вводные'!$B$297),0,'19_Расчет_аналитики'!AE4508*IF('01_Вводные'!$B$239="Да",MeanMinAge25+'19_Расчет_аналитики'!AE4607*SUMIF(ThresholdAge25,"&lt;"&amp;'19_Расчет_аналитики'!AE4607,WeightedRevAge25)-SUMIF(ThresholdAge25,"&lt;"&amp;'19_Расчет_аналитики'!AE4607,WeightedMinAge25),MAX(CapacityAge25*'01_Вводные'!$B$218*'19_Расчет_аналитики'!AE4607,MeanMinAge25))),0)</f>
        <v/>
      </c>
      <c r="AF4536">
        <f>IF('01_Вводные'!$B$234="Да",IF(OR('19_Расчет_аналитики'!AF4508=0,25&lt;='01_Вводные'!$B$297),0,'19_Расчет_аналитики'!AF4508*IF('01_Вводные'!$B$239="Да",MeanMinAge25+'19_Расчет_аналитики'!AF4607*SUMIF(ThresholdAge25,"&lt;"&amp;'19_Расчет_аналитики'!AF4607,WeightedRevAge25)-SUMIF(ThresholdAge25,"&lt;"&amp;'19_Расчет_аналитики'!AF4607,WeightedMinAge25),MAX(CapacityAge25*'01_Вводные'!$B$218*'19_Расчет_аналитики'!AF4607,MeanMinAge25))),0)</f>
        <v/>
      </c>
      <c r="AG4536">
        <f>IF('01_Вводные'!$B$234="Да",IF(OR('19_Расчет_аналитики'!AG4508=0,25&lt;='01_Вводные'!$B$297),0,'19_Расчет_аналитики'!AG4508*IF('01_Вводные'!$B$239="Да",MeanMinAge25+'19_Расчет_аналитики'!AG4607*SUMIF(ThresholdAge25,"&lt;"&amp;'19_Расчет_аналитики'!AG4607,WeightedRevAge25)-SUMIF(ThresholdAge25,"&lt;"&amp;'19_Расчет_аналитики'!AG4607,WeightedMinAge25),MAX(CapacityAge25*'01_Вводные'!$B$218*'19_Расчет_аналитики'!AG4607,MeanMinAge25))),0)</f>
        <v/>
      </c>
      <c r="AH4536">
        <f>IF('01_Вводные'!$B$234="Да",IF(OR('19_Расчет_аналитики'!AH4508=0,25&lt;='01_Вводные'!$B$297),0,'19_Расчет_аналитики'!AH4508*IF('01_Вводные'!$B$239="Да",MeanMinAge25+'19_Расчет_аналитики'!AH4607*SUMIF(ThresholdAge25,"&lt;"&amp;'19_Расчет_аналитики'!AH4607,WeightedRevAge25)-SUMIF(ThresholdAge25,"&lt;"&amp;'19_Расчет_аналитики'!AH4607,WeightedMinAge25),MAX(CapacityAge25*'01_Вводные'!$B$218*'19_Расчет_аналитики'!AH4607,MeanMinAge25))),0)</f>
        <v/>
      </c>
      <c r="AI4536">
        <f>IF('01_Вводные'!$B$234="Да",IF(OR('19_Расчет_аналитики'!AI4508=0,25&lt;='01_Вводные'!$B$297),0,'19_Расчет_аналитики'!AI4508*IF('01_Вводные'!$B$239="Да",MeanMinAge25+'19_Расчет_аналитики'!AI4607*SUMIF(ThresholdAge25,"&lt;"&amp;'19_Расчет_аналитики'!AI4607,WeightedRevAge25)-SUMIF(ThresholdAge25,"&lt;"&amp;'19_Расчет_аналитики'!AI4607,WeightedMinAge25),MAX(CapacityAge25*'01_Вводные'!$B$218*'19_Расчет_аналитики'!AI4607,MeanMinAge25))),0)</f>
        <v/>
      </c>
      <c r="AJ4536">
        <f>IF('01_Вводные'!$B$234="Да",IF(OR('19_Расчет_аналитики'!AJ4508=0,25&lt;='01_Вводные'!$B$297),0,'19_Расчет_аналитики'!AJ4508*IF('01_Вводные'!$B$239="Да",MeanMinAge25+'19_Расчет_аналитики'!AJ4607*SUMIF(ThresholdAge25,"&lt;"&amp;'19_Расчет_аналитики'!AJ4607,WeightedRevAge25)-SUMIF(ThresholdAge25,"&lt;"&amp;'19_Расчет_аналитики'!AJ4607,WeightedMinAge25),MAX(CapacityAge25*'01_Вводные'!$B$218*'19_Расчет_аналитики'!AJ4607,MeanMinAge25))),0)</f>
        <v/>
      </c>
      <c r="AK4536">
        <f>IF('01_Вводные'!$B$234="Да",IF(OR('19_Расчет_аналитики'!AK4508=0,25&lt;='01_Вводные'!$B$297),0,'19_Расчет_аналитики'!AK4508*IF('01_Вводные'!$B$239="Да",MeanMinAge25+'19_Расчет_аналитики'!AK4607*SUMIF(ThresholdAge25,"&lt;"&amp;'19_Расчет_аналитики'!AK4607,WeightedRevAge25)-SUMIF(ThresholdAge25,"&lt;"&amp;'19_Расчет_аналитики'!AK4607,WeightedMinAge25),MAX(CapacityAge25*'01_Вводные'!$B$218*'19_Расчет_аналитики'!AK4607,MeanMinAge25))),0)</f>
        <v/>
      </c>
      <c r="AL4536">
        <f>IF('01_Вводные'!$B$234="Да",IF(OR('19_Расчет_аналитики'!AL4508=0,25&lt;='01_Вводные'!$B$297),0,'19_Расчет_аналитики'!AL4508*IF('01_Вводные'!$B$239="Да",MeanMinAge25+'19_Расчет_аналитики'!AL4607*SUMIF(ThresholdAge25,"&lt;"&amp;'19_Расчет_аналитики'!AL4607,WeightedRevAge25)-SUMIF(ThresholdAge25,"&lt;"&amp;'19_Расчет_аналитики'!AL4607,WeightedMinAge25),MAX(CapacityAge25*'01_Вводные'!$B$218*'19_Расчет_аналитики'!AL4607,MeanMinAge25))),0)</f>
        <v/>
      </c>
      <c r="AM4536">
        <f>IF('01_Вводные'!$B$234="Да",IF(OR('19_Расчет_аналитики'!AM4508=0,25&lt;='01_Вводные'!$B$297),0,'19_Расчет_аналитики'!AM4508*IF('01_Вводные'!$B$239="Да",MeanMinAge25+'19_Расчет_аналитики'!AM4607*SUMIF(ThresholdAge25,"&lt;"&amp;'19_Расчет_аналитики'!AM4607,WeightedRevAge25)-SUMIF(ThresholdAge25,"&lt;"&amp;'19_Расчет_аналитики'!AM4607,WeightedMinAge25),MAX(CapacityAge25*'01_Вводные'!$B$218*'19_Расчет_аналитики'!AM4607,MeanMinAge25))),0)</f>
        <v/>
      </c>
      <c r="AN4536">
        <f>IF('01_Вводные'!$B$234="Да",IF(OR('19_Расчет_аналитики'!AN4508=0,25&lt;='01_Вводные'!$B$297),0,'19_Расчет_аналитики'!AN4508*IF('01_Вводные'!$B$239="Да",MeanMinAge25+'19_Расчет_аналитики'!AN4607*SUMIF(ThresholdAge25,"&lt;"&amp;'19_Расчет_аналитики'!AN4607,WeightedRevAge25)-SUMIF(ThresholdAge25,"&lt;"&amp;'19_Расчет_аналитики'!AN4607,WeightedMinAge25),MAX(CapacityAge25*'01_Вводные'!$B$218*'19_Расчет_аналитики'!AN4607,MeanMinAge25))),0)</f>
        <v/>
      </c>
      <c r="AO4536">
        <f>IF('01_Вводные'!$B$234="Да",IF(OR('19_Расчет_аналитики'!AO4508=0,25&lt;='01_Вводные'!$B$297),0,'19_Расчет_аналитики'!AO4508*IF('01_Вводные'!$B$239="Да",MeanMinAge25+'19_Расчет_аналитики'!AO4607*SUMIF(ThresholdAge25,"&lt;"&amp;'19_Расчет_аналитики'!AO4607,WeightedRevAge25)-SUMIF(ThresholdAge25,"&lt;"&amp;'19_Расчет_аналитики'!AO4607,WeightedMinAge25),MAX(CapacityAge25*'01_Вводные'!$B$218*'19_Расчет_аналитики'!AO4607,MeanMinAge25))),0)</f>
        <v/>
      </c>
      <c r="AP4536">
        <f>IF('01_Вводные'!$B$234="Да",IF(OR('19_Расчет_аналитики'!AP4508=0,25&lt;='01_Вводные'!$B$297),0,'19_Расчет_аналитики'!AP4508*IF('01_Вводные'!$B$239="Да",MeanMinAge25+'19_Расчет_аналитики'!AP4607*SUMIF(ThresholdAge25,"&lt;"&amp;'19_Расчет_аналитики'!AP4607,WeightedRevAge25)-SUMIF(ThresholdAge25,"&lt;"&amp;'19_Расчет_аналитики'!AP4607,WeightedMinAge25),MAX(CapacityAge25*'01_Вводные'!$B$218*'19_Расчет_аналитики'!AP4607,MeanMinAge25))),0)</f>
        <v/>
      </c>
      <c r="AQ4536">
        <f>IF('01_Вводные'!$B$234="Да",IF(OR('19_Расчет_аналитики'!AQ4508=0,25&lt;='01_Вводные'!$B$297),0,'19_Расчет_аналитики'!AQ4508*IF('01_Вводные'!$B$239="Да",MeanMinAge25+'19_Расчет_аналитики'!AQ4607*SUMIF(ThresholdAge25,"&lt;"&amp;'19_Расчет_аналитики'!AQ4607,WeightedRevAge25)-SUMIF(ThresholdAge25,"&lt;"&amp;'19_Расчет_аналитики'!AQ4607,WeightedMinAge25),MAX(CapacityAge25*'01_Вводные'!$B$218*'19_Расчет_аналитики'!AQ4607,MeanMinAge25))),0)</f>
        <v/>
      </c>
      <c r="AR4536">
        <f>IF('01_Вводные'!$B$234="Да",IF(OR('19_Расчет_аналитики'!AR4508=0,25&lt;='01_Вводные'!$B$297),0,'19_Расчет_аналитики'!AR4508*IF('01_Вводные'!$B$239="Да",MeanMinAge25+'19_Расчет_аналитики'!AR4607*SUMIF(ThresholdAge25,"&lt;"&amp;'19_Расчет_аналитики'!AR4607,WeightedRevAge25)-SUMIF(ThresholdAge25,"&lt;"&amp;'19_Расчет_аналитики'!AR4607,WeightedMinAge25),MAX(CapacityAge25*'01_Вводные'!$B$218*'19_Расчет_аналитики'!AR4607,MeanMinAge25))),0)</f>
        <v/>
      </c>
      <c r="AS4536">
        <f>IF('01_Вводные'!$B$234="Да",IF(OR('19_Расчет_аналитики'!AS4508=0,25&lt;='01_Вводные'!$B$297),0,'19_Расчет_аналитики'!AS4508*IF('01_Вводные'!$B$239="Да",MeanMinAge25+'19_Расчет_аналитики'!AS4607*SUMIF(ThresholdAge25,"&lt;"&amp;'19_Расчет_аналитики'!AS4607,WeightedRevAge25)-SUMIF(ThresholdAge25,"&lt;"&amp;'19_Расчет_аналитики'!AS4607,WeightedMinAge25),MAX(CapacityAge25*'01_Вводные'!$B$218*'19_Расчет_аналитики'!AS4607,MeanMinAge25))),0)</f>
        <v/>
      </c>
      <c r="AT4536">
        <f>IF('01_Вводные'!$B$234="Да",IF(OR('19_Расчет_аналитики'!AT4508=0,25&lt;='01_Вводные'!$B$297),0,'19_Расчет_аналитики'!AT4508*IF('01_Вводные'!$B$239="Да",MeanMinAge25+'19_Расчет_аналитики'!AT4607*SUMIF(ThresholdAge25,"&lt;"&amp;'19_Расчет_аналитики'!AT4607,WeightedRevAge25)-SUMIF(ThresholdAge25,"&lt;"&amp;'19_Расчет_аналитики'!AT4607,WeightedMinAge25),MAX(CapacityAge25*'01_Вводные'!$B$218*'19_Расчет_аналитики'!AT4607,MeanMinAge25))),0)</f>
        <v/>
      </c>
      <c r="AU4536">
        <f>IF('01_Вводные'!$B$234="Да",IF(OR('19_Расчет_аналитики'!AU4508=0,25&lt;='01_Вводные'!$B$297),0,'19_Расчет_аналитики'!AU4508*IF('01_Вводные'!$B$239="Да",MeanMinAge25+'19_Расчет_аналитики'!AU4607*SUMIF(ThresholdAge25,"&lt;"&amp;'19_Расчет_аналитики'!AU4607,WeightedRevAge25)-SUMIF(ThresholdAge25,"&lt;"&amp;'19_Расчет_аналитики'!AU4607,WeightedMinAge25),MAX(CapacityAge25*'01_Вводные'!$B$218*'19_Расчет_аналитики'!AU4607,MeanMinAge25))),0)</f>
        <v/>
      </c>
      <c r="AV4536">
        <f>IF('01_Вводные'!$B$234="Да",IF(OR('19_Расчет_аналитики'!AV4508=0,25&lt;='01_Вводные'!$B$297),0,'19_Расчет_аналитики'!AV4508*IF('01_Вводные'!$B$239="Да",MeanMinAge25+'19_Расчет_аналитики'!AV4607*SUMIF(ThresholdAge25,"&lt;"&amp;'19_Расчет_аналитики'!AV4607,WeightedRevAge25)-SUMIF(ThresholdAge25,"&lt;"&amp;'19_Расчет_аналитики'!AV4607,WeightedMinAge25),MAX(CapacityAge25*'01_Вводные'!$B$218*'19_Расчет_аналитики'!AV4607,MeanMinAge25))),0)</f>
        <v/>
      </c>
      <c r="AW4536">
        <f>IF('01_Вводные'!$B$234="Да",IF(OR('19_Расчет_аналитики'!AW4508=0,25&lt;='01_Вводные'!$B$297),0,'19_Расчет_аналитики'!AW4508*IF('01_Вводные'!$B$239="Да",MeanMinAge25+'19_Расчет_аналитики'!AW4607*SUMIF(ThresholdAge25,"&lt;"&amp;'19_Расчет_аналитики'!AW4607,WeightedRevAge25)-SUMIF(ThresholdAge25,"&lt;"&amp;'19_Расчет_аналитики'!AW4607,WeightedMinAge25),MAX(CapacityAge25*'01_Вводные'!$B$218*'19_Расчет_аналитики'!AW4607,MeanMinAge25))),0)</f>
        <v/>
      </c>
      <c r="AX4536">
        <f>IF('01_Вводные'!$B$234="Да",IF(OR('19_Расчет_аналитики'!AX4508=0,25&lt;='01_Вводные'!$B$297),0,'19_Расчет_аналитики'!AX4508*IF('01_Вводные'!$B$239="Да",MeanMinAge25+'19_Расчет_аналитики'!AX4607*SUMIF(ThresholdAge25,"&lt;"&amp;'19_Расчет_аналитики'!AX4607,WeightedRevAge25)-SUMIF(ThresholdAge25,"&lt;"&amp;'19_Расчет_аналитики'!AX4607,WeightedMinAge25),MAX(CapacityAge25*'01_Вводные'!$B$218*'19_Расчет_аналитики'!AX4607,MeanMinAge25))),0)</f>
        <v/>
      </c>
      <c r="AY4536">
        <f>IF('01_Вводные'!$B$234="Да",IF(OR('19_Расчет_аналитики'!AY4508=0,25&lt;='01_Вводные'!$B$297),0,'19_Расчет_аналитики'!AY4508*IF('01_Вводные'!$B$239="Да",MeanMinAge25+'19_Расчет_аналитики'!AY4607*SUMIF(ThresholdAge25,"&lt;"&amp;'19_Расчет_аналитики'!AY4607,WeightedRevAge25)-SUMIF(ThresholdAge25,"&lt;"&amp;'19_Расчет_аналитики'!AY4607,WeightedMinAge25),MAX(CapacityAge25*'01_Вводные'!$B$218*'19_Расчет_аналитики'!AY4607,MeanMinAge25))),0)</f>
        <v/>
      </c>
      <c r="AZ4536">
        <f>IF('01_Вводные'!$B$234="Да",IF(OR('19_Расчет_аналитики'!AZ4508=0,25&lt;='01_Вводные'!$B$297),0,'19_Расчет_аналитики'!AZ4508*IF('01_Вводные'!$B$239="Да",MeanMinAge25+'19_Расчет_аналитики'!AZ4607*SUMIF(ThresholdAge25,"&lt;"&amp;'19_Расчет_аналитики'!AZ4607,WeightedRevAge25)-SUMIF(ThresholdAge25,"&lt;"&amp;'19_Расчет_аналитики'!AZ4607,WeightedMinAge25),MAX(CapacityAge25*'01_Вводные'!$B$218*'19_Расчет_аналитики'!AZ4607,MeanMinAge25))),0)</f>
        <v/>
      </c>
      <c r="BA4536">
        <f>IF('01_Вводные'!$B$234="Да",IF(OR('19_Расчет_аналитики'!BA4508=0,25&lt;='01_Вводные'!$B$297),0,'19_Расчет_аналитики'!BA4508*IF('01_Вводные'!$B$239="Да",MeanMinAge25+'19_Расчет_аналитики'!BA4607*SUMIF(ThresholdAge25,"&lt;"&amp;'19_Расчет_аналитики'!BA4607,WeightedRevAge25)-SUMIF(ThresholdAge25,"&lt;"&amp;'19_Расчет_аналитики'!BA4607,WeightedMinAge25),MAX(CapacityAge25*'01_Вводные'!$B$218*'19_Расчет_аналитики'!BA4607,MeanMinAge25))),0)</f>
        <v/>
      </c>
      <c r="BB4536">
        <f>IF('01_Вводные'!$B$234="Да",IF(OR('19_Расчет_аналитики'!BB4508=0,25&lt;='01_Вводные'!$B$297),0,'19_Расчет_аналитики'!BB4508*IF('01_Вводные'!$B$239="Да",MeanMinAge25+'19_Расчет_аналитики'!BB4607*SUMIF(ThresholdAge25,"&lt;"&amp;'19_Расчет_аналитики'!BB4607,WeightedRevAge25)-SUMIF(ThresholdAge25,"&lt;"&amp;'19_Расчет_аналитики'!BB4607,WeightedMinAge25),MAX(CapacityAge25*'01_Вводные'!$B$218*'19_Расчет_аналитики'!BB4607,MeanMinAge25))),0)</f>
        <v/>
      </c>
      <c r="BC4536">
        <f>IF('01_Вводные'!$B$234="Да",IF(OR('19_Расчет_аналитики'!BC4508=0,25&lt;='01_Вводные'!$B$297),0,'19_Расчет_аналитики'!BC4508*IF('01_Вводные'!$B$239="Да",MeanMinAge25+'19_Расчет_аналитики'!BC4607*SUMIF(ThresholdAge25,"&lt;"&amp;'19_Расчет_аналитики'!BC4607,WeightedRevAge25)-SUMIF(ThresholdAge25,"&lt;"&amp;'19_Расчет_аналитики'!BC4607,WeightedMinAge25),MAX(CapacityAge25*'01_Вводные'!$B$218*'19_Расчет_аналитики'!BC4607,MeanMinAge25))),0)</f>
        <v/>
      </c>
      <c r="BD4536">
        <f>IF('01_Вводные'!$B$234="Да",IF(OR('19_Расчет_аналитики'!BD4508=0,25&lt;='01_Вводные'!$B$297),0,'19_Расчет_аналитики'!BD4508*IF('01_Вводные'!$B$239="Да",MeanMinAge25+'19_Расчет_аналитики'!BD4607*SUMIF(ThresholdAge25,"&lt;"&amp;'19_Расчет_аналитики'!BD4607,WeightedRevAge25)-SUMIF(ThresholdAge25,"&lt;"&amp;'19_Расчет_аналитики'!BD4607,WeightedMinAge25),MAX(CapacityAge25*'01_Вводные'!$B$218*'19_Расчет_аналитики'!BD4607,MeanMinAge25))),0)</f>
        <v/>
      </c>
      <c r="BE4536">
        <f>IF('01_Вводные'!$B$234="Да",IF(OR('19_Расчет_аналитики'!BE4508=0,25&lt;='01_Вводные'!$B$297),0,'19_Расчет_аналитики'!BE4508*IF('01_Вводные'!$B$239="Да",MeanMinAge25+'19_Расчет_аналитики'!BE4607*SUMIF(ThresholdAge25,"&lt;"&amp;'19_Расчет_аналитики'!BE4607,WeightedRevAge25)-SUMIF(ThresholdAge25,"&lt;"&amp;'19_Расчет_аналитики'!BE4607,WeightedMinAge25),MAX(CapacityAge25*'01_Вводные'!$B$218*'19_Расчет_аналитики'!BE4607,MeanMinAge25))),0)</f>
        <v/>
      </c>
      <c r="BF4536">
        <f>IF('01_Вводные'!$B$234="Да",IF(OR('19_Расчет_аналитики'!BF4508=0,25&lt;='01_Вводные'!$B$297),0,'19_Расчет_аналитики'!BF4508*IF('01_Вводные'!$B$239="Да",MeanMinAge25+'19_Расчет_аналитики'!BF4607*SUMIF(ThresholdAge25,"&lt;"&amp;'19_Расчет_аналитики'!BF4607,WeightedRevAge25)-SUMIF(ThresholdAge25,"&lt;"&amp;'19_Расчет_аналитики'!BF4607,WeightedMinAge25),MAX(CapacityAge25*'01_Вводные'!$B$218*'19_Расчет_аналитики'!BF4607,MeanMinAge25))),0)</f>
        <v/>
      </c>
      <c r="BG4536">
        <f>IF('01_Вводные'!$B$234="Да",IF(OR('19_Расчет_аналитики'!BG4508=0,25&lt;='01_Вводные'!$B$297),0,'19_Расчет_аналитики'!BG4508*IF('01_Вводные'!$B$239="Да",MeanMinAge25+'19_Расчет_аналитики'!BG4607*SUMIF(ThresholdAge25,"&lt;"&amp;'19_Расчет_аналитики'!BG4607,WeightedRevAge25)-SUMIF(ThresholdAge25,"&lt;"&amp;'19_Расчет_аналитики'!BG4607,WeightedMinAge25),MAX(CapacityAge25*'01_Вводные'!$B$218*'19_Расчет_аналитики'!BG4607,MeanMinAge25))),0)</f>
        <v/>
      </c>
      <c r="BH4536">
        <f>IF('01_Вводные'!$B$234="Да",IF(OR('19_Расчет_аналитики'!BH4508=0,25&lt;='01_Вводные'!$B$297),0,'19_Расчет_аналитики'!BH4508*IF('01_Вводные'!$B$239="Да",MeanMinAge25+'19_Расчет_аналитики'!BH4607*SUMIF(ThresholdAge25,"&lt;"&amp;'19_Расчет_аналитики'!BH4607,WeightedRevAge25)-SUMIF(ThresholdAge25,"&lt;"&amp;'19_Расчет_аналитики'!BH4607,WeightedMinAge25),MAX(CapacityAge25*'01_Вводные'!$B$218*'19_Расчет_аналитики'!BH4607,MeanMinAge25))),0)</f>
        <v/>
      </c>
      <c r="BI4536">
        <f>IF('01_Вводные'!$B$234="Да",IF(OR('19_Расчет_аналитики'!BI4508=0,25&lt;='01_Вводные'!$B$297),0,'19_Расчет_аналитики'!BI4508*IF('01_Вводные'!$B$239="Да",MeanMinAge25+'19_Расчет_аналитики'!BI4607*SUMIF(ThresholdAge25,"&lt;"&amp;'19_Расчет_аналитики'!BI4607,WeightedRevAge25)-SUMIF(ThresholdAge25,"&lt;"&amp;'19_Расчет_аналитики'!BI4607,WeightedMinAge25),MAX(CapacityAge25*'01_Вводные'!$B$218*'19_Расчет_аналитики'!BI4607,MeanMinAge25))),0)</f>
        <v/>
      </c>
      <c r="BJ4536">
        <f>IF('01_Вводные'!$B$234="Да",IF(OR('19_Расчет_аналитики'!BJ4508=0,25&lt;='01_Вводные'!$B$297),0,'19_Расчет_аналитики'!BJ4508*IF('01_Вводные'!$B$239="Да",MeanMinAge25+'19_Расчет_аналитики'!BJ4607*SUMIF(ThresholdAge25,"&lt;"&amp;'19_Расчет_аналитики'!BJ4607,WeightedRevAge25)-SUMIF(ThresholdAge25,"&lt;"&amp;'19_Расчет_аналитики'!BJ4607,WeightedMinAge25),MAX(CapacityAge25*'01_Вводные'!$B$218*'19_Расчет_аналитики'!BJ4607,MeanMinAge25))),0)</f>
        <v/>
      </c>
      <c r="BK4536">
        <f>IF('01_Вводные'!$B$234="Да",IF(OR('19_Расчет_аналитики'!BK4508=0,25&lt;='01_Вводные'!$B$297),0,'19_Расчет_аналитики'!BK4508*IF('01_Вводные'!$B$239="Да",MeanMinAge25+'19_Расчет_аналитики'!BK4607*SUMIF(ThresholdAge25,"&lt;"&amp;'19_Расчет_аналитики'!BK4607,WeightedRevAge25)-SUMIF(ThresholdAge25,"&lt;"&amp;'19_Расчет_аналитики'!BK4607,WeightedMinAge25),MAX(CapacityAge25*'01_Вводные'!$B$218*'19_Расчет_аналитики'!BK4607,MeanMinAge25))),0)</f>
        <v/>
      </c>
      <c r="BL4536">
        <f>IF('01_Вводные'!$B$234="Да",IF(OR('19_Расчет_аналитики'!BL4508=0,25&lt;='01_Вводные'!$B$297),0,'19_Расчет_аналитики'!BL4508*IF('01_Вводные'!$B$239="Да",MeanMinAge25+'19_Расчет_аналитики'!BL4607*SUMIF(ThresholdAge25,"&lt;"&amp;'19_Расчет_аналитики'!BL4607,WeightedRevAge25)-SUMIF(ThresholdAge25,"&lt;"&amp;'19_Расчет_аналитики'!BL4607,WeightedMinAge25),MAX(CapacityAge25*'01_Вводные'!$B$218*'19_Расчет_аналитики'!BL4607,MeanMinAge25))),0)</f>
        <v/>
      </c>
      <c r="BM4536">
        <f>IF('01_Вводные'!$B$234="Да",IF(OR('19_Расчет_аналитики'!BM4508=0,25&lt;='01_Вводные'!$B$297),0,'19_Расчет_аналитики'!BM4508*IF('01_Вводные'!$B$239="Да",MeanMinAge25+'19_Расчет_аналитики'!BM4607*SUMIF(ThresholdAge25,"&lt;"&amp;'19_Расчет_аналитики'!BM4607,WeightedRevAge25)-SUMIF(ThresholdAge25,"&lt;"&amp;'19_Расчет_аналитики'!BM4607,WeightedMinAge25),MAX(CapacityAge25*'01_Вводные'!$B$218*'19_Расчет_аналитики'!BM4607,MeanMinAge25))),0)</f>
        <v/>
      </c>
      <c r="BN4536">
        <f>IF('01_Вводные'!$B$234="Да",IF(OR('19_Расчет_аналитики'!BN4508=0,25&lt;='01_Вводные'!$B$297),0,'19_Расчет_аналитики'!BN4508*IF('01_Вводные'!$B$239="Да",MeanMinAge25+'19_Расчет_аналитики'!BN4607*SUMIF(ThresholdAge25,"&lt;"&amp;'19_Расчет_аналитики'!BN4607,WeightedRevAge25)-SUMIF(ThresholdAge25,"&lt;"&amp;'19_Расчет_аналитики'!BN4607,WeightedMinAge25),MAX(CapacityAge25*'01_Вводные'!$B$218*'19_Расчет_аналитики'!BN4607,MeanMinAge25))),0)</f>
        <v/>
      </c>
      <c r="BO4536">
        <f>IF('01_Вводные'!$B$234="Да",IF(OR('19_Расчет_аналитики'!BO4508=0,25&lt;='01_Вводные'!$B$297),0,'19_Расчет_аналитики'!BO4508*IF('01_Вводные'!$B$239="Да",MeanMinAge25+'19_Расчет_аналитики'!BO4607*SUMIF(ThresholdAge25,"&lt;"&amp;'19_Расчет_аналитики'!BO4607,WeightedRevAge25)-SUMIF(ThresholdAge25,"&lt;"&amp;'19_Расчет_аналитики'!BO4607,WeightedMinAge25),MAX(CapacityAge25*'01_Вводные'!$B$218*'19_Расчет_аналитики'!BO4607,MeanMinAge25))),0)</f>
        <v/>
      </c>
    </row>
    <row r="4537"/>
    <row r="4538"/>
    <row r="4539"/>
    <row r="4540">
      <c r="B4540">
        <f>IF('01_Вводные'!$B$234="Да",IF(OR(('19_Расчет_аналитики'!B4456-'19_Расчет_аналитики'!B4484)=0,1&lt;='01_Вводные'!$B$297),0,('19_Расчет_аналитики'!B4456-'19_Расчет_аналитики'!B4484)*IF('01_Вводные'!$B$239="Да",MeanMinAge01+'19_Расчет_аналитики'!B4608*SUMIF(ThresholdAge01,"&lt;"&amp;'19_Расчет_аналитики'!B4608,WeightedRevAge01)-SUMIF(ThresholdAge01,"&lt;"&amp;'19_Расчет_аналитики'!B4608,WeightedMinAge01),MAX(CapacityAge01*'01_Вводные'!$B$218*'19_Расчет_аналитики'!B4608,MeanMinAge01))),0)</f>
        <v/>
      </c>
      <c r="C4540">
        <f>IF('01_Вводные'!$B$234="Да",IF(OR(('19_Расчет_аналитики'!C4456-'19_Расчет_аналитики'!C4484)=0,1&lt;='01_Вводные'!$B$297),0,('19_Расчет_аналитики'!C4456-'19_Расчет_аналитики'!C4484)*IF('01_Вводные'!$B$239="Да",MeanMinAge01+'19_Расчет_аналитики'!C4608*SUMIF(ThresholdAge01,"&lt;"&amp;'19_Расчет_аналитики'!C4608,WeightedRevAge01)-SUMIF(ThresholdAge01,"&lt;"&amp;'19_Расчет_аналитики'!C4608,WeightedMinAge01),MAX(CapacityAge01*'01_Вводные'!$B$218*'19_Расчет_аналитики'!C4608,MeanMinAge01))),0)</f>
        <v/>
      </c>
      <c r="D4540">
        <f>IF('01_Вводные'!$B$234="Да",IF(OR(('19_Расчет_аналитики'!D4456-'19_Расчет_аналитики'!D4484)=0,1&lt;='01_Вводные'!$B$297),0,('19_Расчет_аналитики'!D4456-'19_Расчет_аналитики'!D4484)*IF('01_Вводные'!$B$239="Да",MeanMinAge01+'19_Расчет_аналитики'!D4608*SUMIF(ThresholdAge01,"&lt;"&amp;'19_Расчет_аналитики'!D4608,WeightedRevAge01)-SUMIF(ThresholdAge01,"&lt;"&amp;'19_Расчет_аналитики'!D4608,WeightedMinAge01),MAX(CapacityAge01*'01_Вводные'!$B$218*'19_Расчет_аналитики'!D4608,MeanMinAge01))),0)</f>
        <v/>
      </c>
      <c r="E4540">
        <f>IF('01_Вводные'!$B$234="Да",IF(OR(('19_Расчет_аналитики'!E4456-'19_Расчет_аналитики'!E4484)=0,1&lt;='01_Вводные'!$B$297),0,('19_Расчет_аналитики'!E4456-'19_Расчет_аналитики'!E4484)*IF('01_Вводные'!$B$239="Да",MeanMinAge01+'19_Расчет_аналитики'!E4608*SUMIF(ThresholdAge01,"&lt;"&amp;'19_Расчет_аналитики'!E4608,WeightedRevAge01)-SUMIF(ThresholdAge01,"&lt;"&amp;'19_Расчет_аналитики'!E4608,WeightedMinAge01),MAX(CapacityAge01*'01_Вводные'!$B$218*'19_Расчет_аналитики'!E4608,MeanMinAge01))),0)</f>
        <v/>
      </c>
      <c r="F4540">
        <f>IF('01_Вводные'!$B$234="Да",IF(OR(('19_Расчет_аналитики'!F4456-'19_Расчет_аналитики'!F4484)=0,1&lt;='01_Вводные'!$B$297),0,('19_Расчет_аналитики'!F4456-'19_Расчет_аналитики'!F4484)*IF('01_Вводные'!$B$239="Да",MeanMinAge01+'19_Расчет_аналитики'!F4608*SUMIF(ThresholdAge01,"&lt;"&amp;'19_Расчет_аналитики'!F4608,WeightedRevAge01)-SUMIF(ThresholdAge01,"&lt;"&amp;'19_Расчет_аналитики'!F4608,WeightedMinAge01),MAX(CapacityAge01*'01_Вводные'!$B$218*'19_Расчет_аналитики'!F4608,MeanMinAge01))),0)</f>
        <v/>
      </c>
      <c r="G4540">
        <f>IF('01_Вводные'!$B$234="Да",IF(OR(('19_Расчет_аналитики'!G4456-'19_Расчет_аналитики'!G4484)=0,1&lt;='01_Вводные'!$B$297),0,('19_Расчет_аналитики'!G4456-'19_Расчет_аналитики'!G4484)*IF('01_Вводные'!$B$239="Да",MeanMinAge01+'19_Расчет_аналитики'!G4608*SUMIF(ThresholdAge01,"&lt;"&amp;'19_Расчет_аналитики'!G4608,WeightedRevAge01)-SUMIF(ThresholdAge01,"&lt;"&amp;'19_Расчет_аналитики'!G4608,WeightedMinAge01),MAX(CapacityAge01*'01_Вводные'!$B$218*'19_Расчет_аналитики'!G4608,MeanMinAge01))),0)</f>
        <v/>
      </c>
      <c r="H4540">
        <f>IF('01_Вводные'!$B$234="Да",IF(OR(('19_Расчет_аналитики'!H4456-'19_Расчет_аналитики'!H4484)=0,1&lt;='01_Вводные'!$B$297),0,('19_Расчет_аналитики'!H4456-'19_Расчет_аналитики'!H4484)*IF('01_Вводные'!$B$239="Да",MeanMinAge01+'19_Расчет_аналитики'!H4608*SUMIF(ThresholdAge01,"&lt;"&amp;'19_Расчет_аналитики'!H4608,WeightedRevAge01)-SUMIF(ThresholdAge01,"&lt;"&amp;'19_Расчет_аналитики'!H4608,WeightedMinAge01),MAX(CapacityAge01*'01_Вводные'!$B$218*'19_Расчет_аналитики'!H4608,MeanMinAge01))),0)</f>
        <v/>
      </c>
      <c r="I4540">
        <f>IF('01_Вводные'!$B$234="Да",IF(OR(('19_Расчет_аналитики'!I4456-'19_Расчет_аналитики'!I4484)=0,1&lt;='01_Вводные'!$B$297),0,('19_Расчет_аналитики'!I4456-'19_Расчет_аналитики'!I4484)*IF('01_Вводные'!$B$239="Да",MeanMinAge01+'19_Расчет_аналитики'!I4608*SUMIF(ThresholdAge01,"&lt;"&amp;'19_Расчет_аналитики'!I4608,WeightedRevAge01)-SUMIF(ThresholdAge01,"&lt;"&amp;'19_Расчет_аналитики'!I4608,WeightedMinAge01),MAX(CapacityAge01*'01_Вводные'!$B$218*'19_Расчет_аналитики'!I4608,MeanMinAge01))),0)</f>
        <v/>
      </c>
      <c r="J4540">
        <f>IF('01_Вводные'!$B$234="Да",IF(OR(('19_Расчет_аналитики'!J4456-'19_Расчет_аналитики'!J4484)=0,1&lt;='01_Вводные'!$B$297),0,('19_Расчет_аналитики'!J4456-'19_Расчет_аналитики'!J4484)*IF('01_Вводные'!$B$239="Да",MeanMinAge01+'19_Расчет_аналитики'!J4608*SUMIF(ThresholdAge01,"&lt;"&amp;'19_Расчет_аналитики'!J4608,WeightedRevAge01)-SUMIF(ThresholdAge01,"&lt;"&amp;'19_Расчет_аналитики'!J4608,WeightedMinAge01),MAX(CapacityAge01*'01_Вводные'!$B$218*'19_Расчет_аналитики'!J4608,MeanMinAge01))),0)</f>
        <v/>
      </c>
      <c r="K4540">
        <f>IF('01_Вводные'!$B$234="Да",IF(OR(('19_Расчет_аналитики'!K4456-'19_Расчет_аналитики'!K4484)=0,1&lt;='01_Вводные'!$B$297),0,('19_Расчет_аналитики'!K4456-'19_Расчет_аналитики'!K4484)*IF('01_Вводные'!$B$239="Да",MeanMinAge01+'19_Расчет_аналитики'!K4608*SUMIF(ThresholdAge01,"&lt;"&amp;'19_Расчет_аналитики'!K4608,WeightedRevAge01)-SUMIF(ThresholdAge01,"&lt;"&amp;'19_Расчет_аналитики'!K4608,WeightedMinAge01),MAX(CapacityAge01*'01_Вводные'!$B$218*'19_Расчет_аналитики'!K4608,MeanMinAge01))),0)</f>
        <v/>
      </c>
      <c r="L4540">
        <f>IF('01_Вводные'!$B$234="Да",IF(OR(('19_Расчет_аналитики'!L4456-'19_Расчет_аналитики'!L4484)=0,1&lt;='01_Вводные'!$B$297),0,('19_Расчет_аналитики'!L4456-'19_Расчет_аналитики'!L4484)*IF('01_Вводные'!$B$239="Да",MeanMinAge01+'19_Расчет_аналитики'!L4608*SUMIF(ThresholdAge01,"&lt;"&amp;'19_Расчет_аналитики'!L4608,WeightedRevAge01)-SUMIF(ThresholdAge01,"&lt;"&amp;'19_Расчет_аналитики'!L4608,WeightedMinAge01),MAX(CapacityAge01*'01_Вводные'!$B$218*'19_Расчет_аналитики'!L4608,MeanMinAge01))),0)</f>
        <v/>
      </c>
      <c r="M4540">
        <f>IF('01_Вводные'!$B$234="Да",IF(OR(('19_Расчет_аналитики'!M4456-'19_Расчет_аналитики'!M4484)=0,1&lt;='01_Вводные'!$B$297),0,('19_Расчет_аналитики'!M4456-'19_Расчет_аналитики'!M4484)*IF('01_Вводные'!$B$239="Да",MeanMinAge01+'19_Расчет_аналитики'!M4608*SUMIF(ThresholdAge01,"&lt;"&amp;'19_Расчет_аналитики'!M4608,WeightedRevAge01)-SUMIF(ThresholdAge01,"&lt;"&amp;'19_Расчет_аналитики'!M4608,WeightedMinAge01),MAX(CapacityAge01*'01_Вводные'!$B$218*'19_Расчет_аналитики'!M4608,MeanMinAge01))),0)</f>
        <v/>
      </c>
      <c r="N4540">
        <f>IF('01_Вводные'!$B$234="Да",IF(OR(('19_Расчет_аналитики'!N4456-'19_Расчет_аналитики'!N4484)=0,1&lt;='01_Вводные'!$B$297),0,('19_Расчет_аналитики'!N4456-'19_Расчет_аналитики'!N4484)*IF('01_Вводные'!$B$239="Да",MeanMinAge01+'19_Расчет_аналитики'!N4608*SUMIF(ThresholdAge01,"&lt;"&amp;'19_Расчет_аналитики'!N4608,WeightedRevAge01)-SUMIF(ThresholdAge01,"&lt;"&amp;'19_Расчет_аналитики'!N4608,WeightedMinAge01),MAX(CapacityAge01*'01_Вводные'!$B$218*'19_Расчет_аналитики'!N4608,MeanMinAge01))),0)</f>
        <v/>
      </c>
      <c r="O4540">
        <f>IF('01_Вводные'!$B$234="Да",IF(OR(('19_Расчет_аналитики'!O4456-'19_Расчет_аналитики'!O4484)=0,1&lt;='01_Вводные'!$B$297),0,('19_Расчет_аналитики'!O4456-'19_Расчет_аналитики'!O4484)*IF('01_Вводные'!$B$239="Да",MeanMinAge01+'19_Расчет_аналитики'!O4608*SUMIF(ThresholdAge01,"&lt;"&amp;'19_Расчет_аналитики'!O4608,WeightedRevAge01)-SUMIF(ThresholdAge01,"&lt;"&amp;'19_Расчет_аналитики'!O4608,WeightedMinAge01),MAX(CapacityAge01*'01_Вводные'!$B$218*'19_Расчет_аналитики'!O4608,MeanMinAge01))),0)</f>
        <v/>
      </c>
      <c r="P4540">
        <f>IF('01_Вводные'!$B$234="Да",IF(OR(('19_Расчет_аналитики'!P4456-'19_Расчет_аналитики'!P4484)=0,1&lt;='01_Вводные'!$B$297),0,('19_Расчет_аналитики'!P4456-'19_Расчет_аналитики'!P4484)*IF('01_Вводные'!$B$239="Да",MeanMinAge01+'19_Расчет_аналитики'!P4608*SUMIF(ThresholdAge01,"&lt;"&amp;'19_Расчет_аналитики'!P4608,WeightedRevAge01)-SUMIF(ThresholdAge01,"&lt;"&amp;'19_Расчет_аналитики'!P4608,WeightedMinAge01),MAX(CapacityAge01*'01_Вводные'!$B$218*'19_Расчет_аналитики'!P4608,MeanMinAge01))),0)</f>
        <v/>
      </c>
      <c r="Q4540">
        <f>IF('01_Вводные'!$B$234="Да",IF(OR(('19_Расчет_аналитики'!Q4456-'19_Расчет_аналитики'!Q4484)=0,1&lt;='01_Вводные'!$B$297),0,('19_Расчет_аналитики'!Q4456-'19_Расчет_аналитики'!Q4484)*IF('01_Вводные'!$B$239="Да",MeanMinAge01+'19_Расчет_аналитики'!Q4608*SUMIF(ThresholdAge01,"&lt;"&amp;'19_Расчет_аналитики'!Q4608,WeightedRevAge01)-SUMIF(ThresholdAge01,"&lt;"&amp;'19_Расчет_аналитики'!Q4608,WeightedMinAge01),MAX(CapacityAge01*'01_Вводные'!$B$218*'19_Расчет_аналитики'!Q4608,MeanMinAge01))),0)</f>
        <v/>
      </c>
      <c r="R4540">
        <f>IF('01_Вводные'!$B$234="Да",IF(OR(('19_Расчет_аналитики'!R4456-'19_Расчет_аналитики'!R4484)=0,1&lt;='01_Вводные'!$B$297),0,('19_Расчет_аналитики'!R4456-'19_Расчет_аналитики'!R4484)*IF('01_Вводные'!$B$239="Да",MeanMinAge01+'19_Расчет_аналитики'!R4608*SUMIF(ThresholdAge01,"&lt;"&amp;'19_Расчет_аналитики'!R4608,WeightedRevAge01)-SUMIF(ThresholdAge01,"&lt;"&amp;'19_Расчет_аналитики'!R4608,WeightedMinAge01),MAX(CapacityAge01*'01_Вводные'!$B$218*'19_Расчет_аналитики'!R4608,MeanMinAge01))),0)</f>
        <v/>
      </c>
      <c r="S4540">
        <f>IF('01_Вводные'!$B$234="Да",IF(OR(('19_Расчет_аналитики'!S4456-'19_Расчет_аналитики'!S4484)=0,1&lt;='01_Вводные'!$B$297),0,('19_Расчет_аналитики'!S4456-'19_Расчет_аналитики'!S4484)*IF('01_Вводные'!$B$239="Да",MeanMinAge01+'19_Расчет_аналитики'!S4608*SUMIF(ThresholdAge01,"&lt;"&amp;'19_Расчет_аналитики'!S4608,WeightedRevAge01)-SUMIF(ThresholdAge01,"&lt;"&amp;'19_Расчет_аналитики'!S4608,WeightedMinAge01),MAX(CapacityAge01*'01_Вводные'!$B$218*'19_Расчет_аналитики'!S4608,MeanMinAge01))),0)</f>
        <v/>
      </c>
      <c r="T4540">
        <f>IF('01_Вводные'!$B$234="Да",IF(OR(('19_Расчет_аналитики'!T4456-'19_Расчет_аналитики'!T4484)=0,1&lt;='01_Вводные'!$B$297),0,('19_Расчет_аналитики'!T4456-'19_Расчет_аналитики'!T4484)*IF('01_Вводные'!$B$239="Да",MeanMinAge01+'19_Расчет_аналитики'!T4608*SUMIF(ThresholdAge01,"&lt;"&amp;'19_Расчет_аналитики'!T4608,WeightedRevAge01)-SUMIF(ThresholdAge01,"&lt;"&amp;'19_Расчет_аналитики'!T4608,WeightedMinAge01),MAX(CapacityAge01*'01_Вводные'!$B$218*'19_Расчет_аналитики'!T4608,MeanMinAge01))),0)</f>
        <v/>
      </c>
      <c r="U4540">
        <f>IF('01_Вводные'!$B$234="Да",IF(OR(('19_Расчет_аналитики'!U4456-'19_Расчет_аналитики'!U4484)=0,1&lt;='01_Вводные'!$B$297),0,('19_Расчет_аналитики'!U4456-'19_Расчет_аналитики'!U4484)*IF('01_Вводные'!$B$239="Да",MeanMinAge01+'19_Расчет_аналитики'!U4608*SUMIF(ThresholdAge01,"&lt;"&amp;'19_Расчет_аналитики'!U4608,WeightedRevAge01)-SUMIF(ThresholdAge01,"&lt;"&amp;'19_Расчет_аналитики'!U4608,WeightedMinAge01),MAX(CapacityAge01*'01_Вводные'!$B$218*'19_Расчет_аналитики'!U4608,MeanMinAge01))),0)</f>
        <v/>
      </c>
      <c r="V4540">
        <f>IF('01_Вводные'!$B$234="Да",IF(OR(('19_Расчет_аналитики'!V4456-'19_Расчет_аналитики'!V4484)=0,1&lt;='01_Вводные'!$B$297),0,('19_Расчет_аналитики'!V4456-'19_Расчет_аналитики'!V4484)*IF('01_Вводные'!$B$239="Да",MeanMinAge01+'19_Расчет_аналитики'!V4608*SUMIF(ThresholdAge01,"&lt;"&amp;'19_Расчет_аналитики'!V4608,WeightedRevAge01)-SUMIF(ThresholdAge01,"&lt;"&amp;'19_Расчет_аналитики'!V4608,WeightedMinAge01),MAX(CapacityAge01*'01_Вводные'!$B$218*'19_Расчет_аналитики'!V4608,MeanMinAge01))),0)</f>
        <v/>
      </c>
      <c r="W4540">
        <f>IF('01_Вводные'!$B$234="Да",IF(OR(('19_Расчет_аналитики'!W4456-'19_Расчет_аналитики'!W4484)=0,1&lt;='01_Вводные'!$B$297),0,('19_Расчет_аналитики'!W4456-'19_Расчет_аналитики'!W4484)*IF('01_Вводные'!$B$239="Да",MeanMinAge01+'19_Расчет_аналитики'!W4608*SUMIF(ThresholdAge01,"&lt;"&amp;'19_Расчет_аналитики'!W4608,WeightedRevAge01)-SUMIF(ThresholdAge01,"&lt;"&amp;'19_Расчет_аналитики'!W4608,WeightedMinAge01),MAX(CapacityAge01*'01_Вводные'!$B$218*'19_Расчет_аналитики'!W4608,MeanMinAge01))),0)</f>
        <v/>
      </c>
      <c r="X4540">
        <f>IF('01_Вводные'!$B$234="Да",IF(OR(('19_Расчет_аналитики'!X4456-'19_Расчет_аналитики'!X4484)=0,1&lt;='01_Вводные'!$B$297),0,('19_Расчет_аналитики'!X4456-'19_Расчет_аналитики'!X4484)*IF('01_Вводные'!$B$239="Да",MeanMinAge01+'19_Расчет_аналитики'!X4608*SUMIF(ThresholdAge01,"&lt;"&amp;'19_Расчет_аналитики'!X4608,WeightedRevAge01)-SUMIF(ThresholdAge01,"&lt;"&amp;'19_Расчет_аналитики'!X4608,WeightedMinAge01),MAX(CapacityAge01*'01_Вводные'!$B$218*'19_Расчет_аналитики'!X4608,MeanMinAge01))),0)</f>
        <v/>
      </c>
      <c r="Y4540">
        <f>IF('01_Вводные'!$B$234="Да",IF(OR(('19_Расчет_аналитики'!Y4456-'19_Расчет_аналитики'!Y4484)=0,1&lt;='01_Вводные'!$B$297),0,('19_Расчет_аналитики'!Y4456-'19_Расчет_аналитики'!Y4484)*IF('01_Вводные'!$B$239="Да",MeanMinAge01+'19_Расчет_аналитики'!Y4608*SUMIF(ThresholdAge01,"&lt;"&amp;'19_Расчет_аналитики'!Y4608,WeightedRevAge01)-SUMIF(ThresholdAge01,"&lt;"&amp;'19_Расчет_аналитики'!Y4608,WeightedMinAge01),MAX(CapacityAge01*'01_Вводные'!$B$218*'19_Расчет_аналитики'!Y4608,MeanMinAge01))),0)</f>
        <v/>
      </c>
      <c r="Z4540">
        <f>IF('01_Вводные'!$B$234="Да",IF(OR(('19_Расчет_аналитики'!Z4456-'19_Расчет_аналитики'!Z4484)=0,1&lt;='01_Вводные'!$B$297),0,('19_Расчет_аналитики'!Z4456-'19_Расчет_аналитики'!Z4484)*IF('01_Вводные'!$B$239="Да",MeanMinAge01+'19_Расчет_аналитики'!Z4608*SUMIF(ThresholdAge01,"&lt;"&amp;'19_Расчет_аналитики'!Z4608,WeightedRevAge01)-SUMIF(ThresholdAge01,"&lt;"&amp;'19_Расчет_аналитики'!Z4608,WeightedMinAge01),MAX(CapacityAge01*'01_Вводные'!$B$218*'19_Расчет_аналитики'!Z4608,MeanMinAge01))),0)</f>
        <v/>
      </c>
      <c r="AA4540">
        <f>IF('01_Вводные'!$B$234="Да",IF(OR(('19_Расчет_аналитики'!AA4456-'19_Расчет_аналитики'!AA4484)=0,1&lt;='01_Вводные'!$B$297),0,('19_Расчет_аналитики'!AA4456-'19_Расчет_аналитики'!AA4484)*IF('01_Вводные'!$B$239="Да",MeanMinAge01+'19_Расчет_аналитики'!AA4608*SUMIF(ThresholdAge01,"&lt;"&amp;'19_Расчет_аналитики'!AA4608,WeightedRevAge01)-SUMIF(ThresholdAge01,"&lt;"&amp;'19_Расчет_аналитики'!AA4608,WeightedMinAge01),MAX(CapacityAge01*'01_Вводные'!$B$218*'19_Расчет_аналитики'!AA4608,MeanMinAge01))),0)</f>
        <v/>
      </c>
      <c r="AB4540">
        <f>IF('01_Вводные'!$B$234="Да",IF(OR(('19_Расчет_аналитики'!AB4456-'19_Расчет_аналитики'!AB4484)=0,1&lt;='01_Вводные'!$B$297),0,('19_Расчет_аналитики'!AB4456-'19_Расчет_аналитики'!AB4484)*IF('01_Вводные'!$B$239="Да",MeanMinAge01+'19_Расчет_аналитики'!AB4608*SUMIF(ThresholdAge01,"&lt;"&amp;'19_Расчет_аналитики'!AB4608,WeightedRevAge01)-SUMIF(ThresholdAge01,"&lt;"&amp;'19_Расчет_аналитики'!AB4608,WeightedMinAge01),MAX(CapacityAge01*'01_Вводные'!$B$218*'19_Расчет_аналитики'!AB4608,MeanMinAge01))),0)</f>
        <v/>
      </c>
      <c r="AC4540">
        <f>IF('01_Вводные'!$B$234="Да",IF(OR(('19_Расчет_аналитики'!AC4456-'19_Расчет_аналитики'!AC4484)=0,1&lt;='01_Вводные'!$B$297),0,('19_Расчет_аналитики'!AC4456-'19_Расчет_аналитики'!AC4484)*IF('01_Вводные'!$B$239="Да",MeanMinAge01+'19_Расчет_аналитики'!AC4608*SUMIF(ThresholdAge01,"&lt;"&amp;'19_Расчет_аналитики'!AC4608,WeightedRevAge01)-SUMIF(ThresholdAge01,"&lt;"&amp;'19_Расчет_аналитики'!AC4608,WeightedMinAge01),MAX(CapacityAge01*'01_Вводные'!$B$218*'19_Расчет_аналитики'!AC4608,MeanMinAge01))),0)</f>
        <v/>
      </c>
      <c r="AD4540">
        <f>IF('01_Вводные'!$B$234="Да",IF(OR(('19_Расчет_аналитики'!AD4456-'19_Расчет_аналитики'!AD4484)=0,1&lt;='01_Вводные'!$B$297),0,('19_Расчет_аналитики'!AD4456-'19_Расчет_аналитики'!AD4484)*IF('01_Вводные'!$B$239="Да",MeanMinAge01+'19_Расчет_аналитики'!AD4608*SUMIF(ThresholdAge01,"&lt;"&amp;'19_Расчет_аналитики'!AD4608,WeightedRevAge01)-SUMIF(ThresholdAge01,"&lt;"&amp;'19_Расчет_аналитики'!AD4608,WeightedMinAge01),MAX(CapacityAge01*'01_Вводные'!$B$218*'19_Расчет_аналитики'!AD4608,MeanMinAge01))),0)</f>
        <v/>
      </c>
      <c r="AE4540">
        <f>IF('01_Вводные'!$B$234="Да",IF(OR(('19_Расчет_аналитики'!AE4456-'19_Расчет_аналитики'!AE4484)=0,1&lt;='01_Вводные'!$B$297),0,('19_Расчет_аналитики'!AE4456-'19_Расчет_аналитики'!AE4484)*IF('01_Вводные'!$B$239="Да",MeanMinAge01+'19_Расчет_аналитики'!AE4608*SUMIF(ThresholdAge01,"&lt;"&amp;'19_Расчет_аналитики'!AE4608,WeightedRevAge01)-SUMIF(ThresholdAge01,"&lt;"&amp;'19_Расчет_аналитики'!AE4608,WeightedMinAge01),MAX(CapacityAge01*'01_Вводные'!$B$218*'19_Расчет_аналитики'!AE4608,MeanMinAge01))),0)</f>
        <v/>
      </c>
      <c r="AF4540">
        <f>IF('01_Вводные'!$B$234="Да",IF(OR(('19_Расчет_аналитики'!AF4456-'19_Расчет_аналитики'!AF4484)=0,1&lt;='01_Вводные'!$B$297),0,('19_Расчет_аналитики'!AF4456-'19_Расчет_аналитики'!AF4484)*IF('01_Вводные'!$B$239="Да",MeanMinAge01+'19_Расчет_аналитики'!AF4608*SUMIF(ThresholdAge01,"&lt;"&amp;'19_Расчет_аналитики'!AF4608,WeightedRevAge01)-SUMIF(ThresholdAge01,"&lt;"&amp;'19_Расчет_аналитики'!AF4608,WeightedMinAge01),MAX(CapacityAge01*'01_Вводные'!$B$218*'19_Расчет_аналитики'!AF4608,MeanMinAge01))),0)</f>
        <v/>
      </c>
      <c r="AG4540">
        <f>IF('01_Вводные'!$B$234="Да",IF(OR(('19_Расчет_аналитики'!AG4456-'19_Расчет_аналитики'!AG4484)=0,1&lt;='01_Вводные'!$B$297),0,('19_Расчет_аналитики'!AG4456-'19_Расчет_аналитики'!AG4484)*IF('01_Вводные'!$B$239="Да",MeanMinAge01+'19_Расчет_аналитики'!AG4608*SUMIF(ThresholdAge01,"&lt;"&amp;'19_Расчет_аналитики'!AG4608,WeightedRevAge01)-SUMIF(ThresholdAge01,"&lt;"&amp;'19_Расчет_аналитики'!AG4608,WeightedMinAge01),MAX(CapacityAge01*'01_Вводные'!$B$218*'19_Расчет_аналитики'!AG4608,MeanMinAge01))),0)</f>
        <v/>
      </c>
      <c r="AH4540">
        <f>IF('01_Вводные'!$B$234="Да",IF(OR(('19_Расчет_аналитики'!AH4456-'19_Расчет_аналитики'!AH4484)=0,1&lt;='01_Вводные'!$B$297),0,('19_Расчет_аналитики'!AH4456-'19_Расчет_аналитики'!AH4484)*IF('01_Вводные'!$B$239="Да",MeanMinAge01+'19_Расчет_аналитики'!AH4608*SUMIF(ThresholdAge01,"&lt;"&amp;'19_Расчет_аналитики'!AH4608,WeightedRevAge01)-SUMIF(ThresholdAge01,"&lt;"&amp;'19_Расчет_аналитики'!AH4608,WeightedMinAge01),MAX(CapacityAge01*'01_Вводные'!$B$218*'19_Расчет_аналитики'!AH4608,MeanMinAge01))),0)</f>
        <v/>
      </c>
      <c r="AI4540">
        <f>IF('01_Вводные'!$B$234="Да",IF(OR(('19_Расчет_аналитики'!AI4456-'19_Расчет_аналитики'!AI4484)=0,1&lt;='01_Вводные'!$B$297),0,('19_Расчет_аналитики'!AI4456-'19_Расчет_аналитики'!AI4484)*IF('01_Вводные'!$B$239="Да",MeanMinAge01+'19_Расчет_аналитики'!AI4608*SUMIF(ThresholdAge01,"&lt;"&amp;'19_Расчет_аналитики'!AI4608,WeightedRevAge01)-SUMIF(ThresholdAge01,"&lt;"&amp;'19_Расчет_аналитики'!AI4608,WeightedMinAge01),MAX(CapacityAge01*'01_Вводные'!$B$218*'19_Расчет_аналитики'!AI4608,MeanMinAge01))),0)</f>
        <v/>
      </c>
      <c r="AJ4540">
        <f>IF('01_Вводные'!$B$234="Да",IF(OR(('19_Расчет_аналитики'!AJ4456-'19_Расчет_аналитики'!AJ4484)=0,1&lt;='01_Вводные'!$B$297),0,('19_Расчет_аналитики'!AJ4456-'19_Расчет_аналитики'!AJ4484)*IF('01_Вводные'!$B$239="Да",MeanMinAge01+'19_Расчет_аналитики'!AJ4608*SUMIF(ThresholdAge01,"&lt;"&amp;'19_Расчет_аналитики'!AJ4608,WeightedRevAge01)-SUMIF(ThresholdAge01,"&lt;"&amp;'19_Расчет_аналитики'!AJ4608,WeightedMinAge01),MAX(CapacityAge01*'01_Вводные'!$B$218*'19_Расчет_аналитики'!AJ4608,MeanMinAge01))),0)</f>
        <v/>
      </c>
      <c r="AK4540">
        <f>IF('01_Вводные'!$B$234="Да",IF(OR(('19_Расчет_аналитики'!AK4456-'19_Расчет_аналитики'!AK4484)=0,1&lt;='01_Вводные'!$B$297),0,('19_Расчет_аналитики'!AK4456-'19_Расчет_аналитики'!AK4484)*IF('01_Вводные'!$B$239="Да",MeanMinAge01+'19_Расчет_аналитики'!AK4608*SUMIF(ThresholdAge01,"&lt;"&amp;'19_Расчет_аналитики'!AK4608,WeightedRevAge01)-SUMIF(ThresholdAge01,"&lt;"&amp;'19_Расчет_аналитики'!AK4608,WeightedMinAge01),MAX(CapacityAge01*'01_Вводные'!$B$218*'19_Расчет_аналитики'!AK4608,MeanMinAge01))),0)</f>
        <v/>
      </c>
      <c r="AL4540">
        <f>IF('01_Вводные'!$B$234="Да",IF(OR(('19_Расчет_аналитики'!AL4456-'19_Расчет_аналитики'!AL4484)=0,1&lt;='01_Вводные'!$B$297),0,('19_Расчет_аналитики'!AL4456-'19_Расчет_аналитики'!AL4484)*IF('01_Вводные'!$B$239="Да",MeanMinAge01+'19_Расчет_аналитики'!AL4608*SUMIF(ThresholdAge01,"&lt;"&amp;'19_Расчет_аналитики'!AL4608,WeightedRevAge01)-SUMIF(ThresholdAge01,"&lt;"&amp;'19_Расчет_аналитики'!AL4608,WeightedMinAge01),MAX(CapacityAge01*'01_Вводные'!$B$218*'19_Расчет_аналитики'!AL4608,MeanMinAge01))),0)</f>
        <v/>
      </c>
      <c r="AM4540">
        <f>IF('01_Вводные'!$B$234="Да",IF(OR(('19_Расчет_аналитики'!AM4456-'19_Расчет_аналитики'!AM4484)=0,1&lt;='01_Вводные'!$B$297),0,('19_Расчет_аналитики'!AM4456-'19_Расчет_аналитики'!AM4484)*IF('01_Вводные'!$B$239="Да",MeanMinAge01+'19_Расчет_аналитики'!AM4608*SUMIF(ThresholdAge01,"&lt;"&amp;'19_Расчет_аналитики'!AM4608,WeightedRevAge01)-SUMIF(ThresholdAge01,"&lt;"&amp;'19_Расчет_аналитики'!AM4608,WeightedMinAge01),MAX(CapacityAge01*'01_Вводные'!$B$218*'19_Расчет_аналитики'!AM4608,MeanMinAge01))),0)</f>
        <v/>
      </c>
      <c r="AN4540">
        <f>IF('01_Вводные'!$B$234="Да",IF(OR(('19_Расчет_аналитики'!AN4456-'19_Расчет_аналитики'!AN4484)=0,1&lt;='01_Вводные'!$B$297),0,('19_Расчет_аналитики'!AN4456-'19_Расчет_аналитики'!AN4484)*IF('01_Вводные'!$B$239="Да",MeanMinAge01+'19_Расчет_аналитики'!AN4608*SUMIF(ThresholdAge01,"&lt;"&amp;'19_Расчет_аналитики'!AN4608,WeightedRevAge01)-SUMIF(ThresholdAge01,"&lt;"&amp;'19_Расчет_аналитики'!AN4608,WeightedMinAge01),MAX(CapacityAge01*'01_Вводные'!$B$218*'19_Расчет_аналитики'!AN4608,MeanMinAge01))),0)</f>
        <v/>
      </c>
      <c r="AO4540">
        <f>IF('01_Вводные'!$B$234="Да",IF(OR(('19_Расчет_аналитики'!AO4456-'19_Расчет_аналитики'!AO4484)=0,1&lt;='01_Вводные'!$B$297),0,('19_Расчет_аналитики'!AO4456-'19_Расчет_аналитики'!AO4484)*IF('01_Вводные'!$B$239="Да",MeanMinAge01+'19_Расчет_аналитики'!AO4608*SUMIF(ThresholdAge01,"&lt;"&amp;'19_Расчет_аналитики'!AO4608,WeightedRevAge01)-SUMIF(ThresholdAge01,"&lt;"&amp;'19_Расчет_аналитики'!AO4608,WeightedMinAge01),MAX(CapacityAge01*'01_Вводные'!$B$218*'19_Расчет_аналитики'!AO4608,MeanMinAge01))),0)</f>
        <v/>
      </c>
      <c r="AP4540">
        <f>IF('01_Вводные'!$B$234="Да",IF(OR(('19_Расчет_аналитики'!AP4456-'19_Расчет_аналитики'!AP4484)=0,1&lt;='01_Вводные'!$B$297),0,('19_Расчет_аналитики'!AP4456-'19_Расчет_аналитики'!AP4484)*IF('01_Вводные'!$B$239="Да",MeanMinAge01+'19_Расчет_аналитики'!AP4608*SUMIF(ThresholdAge01,"&lt;"&amp;'19_Расчет_аналитики'!AP4608,WeightedRevAge01)-SUMIF(ThresholdAge01,"&lt;"&amp;'19_Расчет_аналитики'!AP4608,WeightedMinAge01),MAX(CapacityAge01*'01_Вводные'!$B$218*'19_Расчет_аналитики'!AP4608,MeanMinAge01))),0)</f>
        <v/>
      </c>
      <c r="AQ4540">
        <f>IF('01_Вводные'!$B$234="Да",IF(OR(('19_Расчет_аналитики'!AQ4456-'19_Расчет_аналитики'!AQ4484)=0,1&lt;='01_Вводные'!$B$297),0,('19_Расчет_аналитики'!AQ4456-'19_Расчет_аналитики'!AQ4484)*IF('01_Вводные'!$B$239="Да",MeanMinAge01+'19_Расчет_аналитики'!AQ4608*SUMIF(ThresholdAge01,"&lt;"&amp;'19_Расчет_аналитики'!AQ4608,WeightedRevAge01)-SUMIF(ThresholdAge01,"&lt;"&amp;'19_Расчет_аналитики'!AQ4608,WeightedMinAge01),MAX(CapacityAge01*'01_Вводные'!$B$218*'19_Расчет_аналитики'!AQ4608,MeanMinAge01))),0)</f>
        <v/>
      </c>
      <c r="AR4540">
        <f>IF('01_Вводные'!$B$234="Да",IF(OR(('19_Расчет_аналитики'!AR4456-'19_Расчет_аналитики'!AR4484)=0,1&lt;='01_Вводные'!$B$297),0,('19_Расчет_аналитики'!AR4456-'19_Расчет_аналитики'!AR4484)*IF('01_Вводные'!$B$239="Да",MeanMinAge01+'19_Расчет_аналитики'!AR4608*SUMIF(ThresholdAge01,"&lt;"&amp;'19_Расчет_аналитики'!AR4608,WeightedRevAge01)-SUMIF(ThresholdAge01,"&lt;"&amp;'19_Расчет_аналитики'!AR4608,WeightedMinAge01),MAX(CapacityAge01*'01_Вводные'!$B$218*'19_Расчет_аналитики'!AR4608,MeanMinAge01))),0)</f>
        <v/>
      </c>
      <c r="AS4540">
        <f>IF('01_Вводные'!$B$234="Да",IF(OR(('19_Расчет_аналитики'!AS4456-'19_Расчет_аналитики'!AS4484)=0,1&lt;='01_Вводные'!$B$297),0,('19_Расчет_аналитики'!AS4456-'19_Расчет_аналитики'!AS4484)*IF('01_Вводные'!$B$239="Да",MeanMinAge01+'19_Расчет_аналитики'!AS4608*SUMIF(ThresholdAge01,"&lt;"&amp;'19_Расчет_аналитики'!AS4608,WeightedRevAge01)-SUMIF(ThresholdAge01,"&lt;"&amp;'19_Расчет_аналитики'!AS4608,WeightedMinAge01),MAX(CapacityAge01*'01_Вводные'!$B$218*'19_Расчет_аналитики'!AS4608,MeanMinAge01))),0)</f>
        <v/>
      </c>
      <c r="AT4540">
        <f>IF('01_Вводные'!$B$234="Да",IF(OR(('19_Расчет_аналитики'!AT4456-'19_Расчет_аналитики'!AT4484)=0,1&lt;='01_Вводные'!$B$297),0,('19_Расчет_аналитики'!AT4456-'19_Расчет_аналитики'!AT4484)*IF('01_Вводные'!$B$239="Да",MeanMinAge01+'19_Расчет_аналитики'!AT4608*SUMIF(ThresholdAge01,"&lt;"&amp;'19_Расчет_аналитики'!AT4608,WeightedRevAge01)-SUMIF(ThresholdAge01,"&lt;"&amp;'19_Расчет_аналитики'!AT4608,WeightedMinAge01),MAX(CapacityAge01*'01_Вводные'!$B$218*'19_Расчет_аналитики'!AT4608,MeanMinAge01))),0)</f>
        <v/>
      </c>
      <c r="AU4540">
        <f>IF('01_Вводные'!$B$234="Да",IF(OR(('19_Расчет_аналитики'!AU4456-'19_Расчет_аналитики'!AU4484)=0,1&lt;='01_Вводные'!$B$297),0,('19_Расчет_аналитики'!AU4456-'19_Расчет_аналитики'!AU4484)*IF('01_Вводные'!$B$239="Да",MeanMinAge01+'19_Расчет_аналитики'!AU4608*SUMIF(ThresholdAge01,"&lt;"&amp;'19_Расчет_аналитики'!AU4608,WeightedRevAge01)-SUMIF(ThresholdAge01,"&lt;"&amp;'19_Расчет_аналитики'!AU4608,WeightedMinAge01),MAX(CapacityAge01*'01_Вводные'!$B$218*'19_Расчет_аналитики'!AU4608,MeanMinAge01))),0)</f>
        <v/>
      </c>
      <c r="AV4540">
        <f>IF('01_Вводные'!$B$234="Да",IF(OR(('19_Расчет_аналитики'!AV4456-'19_Расчет_аналитики'!AV4484)=0,1&lt;='01_Вводные'!$B$297),0,('19_Расчет_аналитики'!AV4456-'19_Расчет_аналитики'!AV4484)*IF('01_Вводные'!$B$239="Да",MeanMinAge01+'19_Расчет_аналитики'!AV4608*SUMIF(ThresholdAge01,"&lt;"&amp;'19_Расчет_аналитики'!AV4608,WeightedRevAge01)-SUMIF(ThresholdAge01,"&lt;"&amp;'19_Расчет_аналитики'!AV4608,WeightedMinAge01),MAX(CapacityAge01*'01_Вводные'!$B$218*'19_Расчет_аналитики'!AV4608,MeanMinAge01))),0)</f>
        <v/>
      </c>
      <c r="AW4540">
        <f>IF('01_Вводные'!$B$234="Да",IF(OR(('19_Расчет_аналитики'!AW4456-'19_Расчет_аналитики'!AW4484)=0,1&lt;='01_Вводные'!$B$297),0,('19_Расчет_аналитики'!AW4456-'19_Расчет_аналитики'!AW4484)*IF('01_Вводные'!$B$239="Да",MeanMinAge01+'19_Расчет_аналитики'!AW4608*SUMIF(ThresholdAge01,"&lt;"&amp;'19_Расчет_аналитики'!AW4608,WeightedRevAge01)-SUMIF(ThresholdAge01,"&lt;"&amp;'19_Расчет_аналитики'!AW4608,WeightedMinAge01),MAX(CapacityAge01*'01_Вводные'!$B$218*'19_Расчет_аналитики'!AW4608,MeanMinAge01))),0)</f>
        <v/>
      </c>
      <c r="AX4540">
        <f>IF('01_Вводные'!$B$234="Да",IF(OR(('19_Расчет_аналитики'!AX4456-'19_Расчет_аналитики'!AX4484)=0,1&lt;='01_Вводные'!$B$297),0,('19_Расчет_аналитики'!AX4456-'19_Расчет_аналитики'!AX4484)*IF('01_Вводные'!$B$239="Да",MeanMinAge01+'19_Расчет_аналитики'!AX4608*SUMIF(ThresholdAge01,"&lt;"&amp;'19_Расчет_аналитики'!AX4608,WeightedRevAge01)-SUMIF(ThresholdAge01,"&lt;"&amp;'19_Расчет_аналитики'!AX4608,WeightedMinAge01),MAX(CapacityAge01*'01_Вводные'!$B$218*'19_Расчет_аналитики'!AX4608,MeanMinAge01))),0)</f>
        <v/>
      </c>
      <c r="AY4540">
        <f>IF('01_Вводные'!$B$234="Да",IF(OR(('19_Расчет_аналитики'!AY4456-'19_Расчет_аналитики'!AY4484)=0,1&lt;='01_Вводные'!$B$297),0,('19_Расчет_аналитики'!AY4456-'19_Расчет_аналитики'!AY4484)*IF('01_Вводные'!$B$239="Да",MeanMinAge01+'19_Расчет_аналитики'!AY4608*SUMIF(ThresholdAge01,"&lt;"&amp;'19_Расчет_аналитики'!AY4608,WeightedRevAge01)-SUMIF(ThresholdAge01,"&lt;"&amp;'19_Расчет_аналитики'!AY4608,WeightedMinAge01),MAX(CapacityAge01*'01_Вводные'!$B$218*'19_Расчет_аналитики'!AY4608,MeanMinAge01))),0)</f>
        <v/>
      </c>
      <c r="AZ4540">
        <f>IF('01_Вводные'!$B$234="Да",IF(OR(('19_Расчет_аналитики'!AZ4456-'19_Расчет_аналитики'!AZ4484)=0,1&lt;='01_Вводные'!$B$297),0,('19_Расчет_аналитики'!AZ4456-'19_Расчет_аналитики'!AZ4484)*IF('01_Вводные'!$B$239="Да",MeanMinAge01+'19_Расчет_аналитики'!AZ4608*SUMIF(ThresholdAge01,"&lt;"&amp;'19_Расчет_аналитики'!AZ4608,WeightedRevAge01)-SUMIF(ThresholdAge01,"&lt;"&amp;'19_Расчет_аналитики'!AZ4608,WeightedMinAge01),MAX(CapacityAge01*'01_Вводные'!$B$218*'19_Расчет_аналитики'!AZ4608,MeanMinAge01))),0)</f>
        <v/>
      </c>
      <c r="BA4540">
        <f>IF('01_Вводные'!$B$234="Да",IF(OR(('19_Расчет_аналитики'!BA4456-'19_Расчет_аналитики'!BA4484)=0,1&lt;='01_Вводные'!$B$297),0,('19_Расчет_аналитики'!BA4456-'19_Расчет_аналитики'!BA4484)*IF('01_Вводные'!$B$239="Да",MeanMinAge01+'19_Расчет_аналитики'!BA4608*SUMIF(ThresholdAge01,"&lt;"&amp;'19_Расчет_аналитики'!BA4608,WeightedRevAge01)-SUMIF(ThresholdAge01,"&lt;"&amp;'19_Расчет_аналитики'!BA4608,WeightedMinAge01),MAX(CapacityAge01*'01_Вводные'!$B$218*'19_Расчет_аналитики'!BA4608,MeanMinAge01))),0)</f>
        <v/>
      </c>
      <c r="BB4540">
        <f>IF('01_Вводные'!$B$234="Да",IF(OR(('19_Расчет_аналитики'!BB4456-'19_Расчет_аналитики'!BB4484)=0,1&lt;='01_Вводные'!$B$297),0,('19_Расчет_аналитики'!BB4456-'19_Расчет_аналитики'!BB4484)*IF('01_Вводные'!$B$239="Да",MeanMinAge01+'19_Расчет_аналитики'!BB4608*SUMIF(ThresholdAge01,"&lt;"&amp;'19_Расчет_аналитики'!BB4608,WeightedRevAge01)-SUMIF(ThresholdAge01,"&lt;"&amp;'19_Расчет_аналитики'!BB4608,WeightedMinAge01),MAX(CapacityAge01*'01_Вводные'!$B$218*'19_Расчет_аналитики'!BB4608,MeanMinAge01))),0)</f>
        <v/>
      </c>
      <c r="BC4540">
        <f>IF('01_Вводные'!$B$234="Да",IF(OR(('19_Расчет_аналитики'!BC4456-'19_Расчет_аналитики'!BC4484)=0,1&lt;='01_Вводные'!$B$297),0,('19_Расчет_аналитики'!BC4456-'19_Расчет_аналитики'!BC4484)*IF('01_Вводные'!$B$239="Да",MeanMinAge01+'19_Расчет_аналитики'!BC4608*SUMIF(ThresholdAge01,"&lt;"&amp;'19_Расчет_аналитики'!BC4608,WeightedRevAge01)-SUMIF(ThresholdAge01,"&lt;"&amp;'19_Расчет_аналитики'!BC4608,WeightedMinAge01),MAX(CapacityAge01*'01_Вводные'!$B$218*'19_Расчет_аналитики'!BC4608,MeanMinAge01))),0)</f>
        <v/>
      </c>
      <c r="BD4540">
        <f>IF('01_Вводные'!$B$234="Да",IF(OR(('19_Расчет_аналитики'!BD4456-'19_Расчет_аналитики'!BD4484)=0,1&lt;='01_Вводные'!$B$297),0,('19_Расчет_аналитики'!BD4456-'19_Расчет_аналитики'!BD4484)*IF('01_Вводные'!$B$239="Да",MeanMinAge01+'19_Расчет_аналитики'!BD4608*SUMIF(ThresholdAge01,"&lt;"&amp;'19_Расчет_аналитики'!BD4608,WeightedRevAge01)-SUMIF(ThresholdAge01,"&lt;"&amp;'19_Расчет_аналитики'!BD4608,WeightedMinAge01),MAX(CapacityAge01*'01_Вводные'!$B$218*'19_Расчет_аналитики'!BD4608,MeanMinAge01))),0)</f>
        <v/>
      </c>
      <c r="BE4540">
        <f>IF('01_Вводные'!$B$234="Да",IF(OR(('19_Расчет_аналитики'!BE4456-'19_Расчет_аналитики'!BE4484)=0,1&lt;='01_Вводные'!$B$297),0,('19_Расчет_аналитики'!BE4456-'19_Расчет_аналитики'!BE4484)*IF('01_Вводные'!$B$239="Да",MeanMinAge01+'19_Расчет_аналитики'!BE4608*SUMIF(ThresholdAge01,"&lt;"&amp;'19_Расчет_аналитики'!BE4608,WeightedRevAge01)-SUMIF(ThresholdAge01,"&lt;"&amp;'19_Расчет_аналитики'!BE4608,WeightedMinAge01),MAX(CapacityAge01*'01_Вводные'!$B$218*'19_Расчет_аналитики'!BE4608,MeanMinAge01))),0)</f>
        <v/>
      </c>
      <c r="BF4540">
        <f>IF('01_Вводные'!$B$234="Да",IF(OR(('19_Расчет_аналитики'!BF4456-'19_Расчет_аналитики'!BF4484)=0,1&lt;='01_Вводные'!$B$297),0,('19_Расчет_аналитики'!BF4456-'19_Расчет_аналитики'!BF4484)*IF('01_Вводные'!$B$239="Да",MeanMinAge01+'19_Расчет_аналитики'!BF4608*SUMIF(ThresholdAge01,"&lt;"&amp;'19_Расчет_аналитики'!BF4608,WeightedRevAge01)-SUMIF(ThresholdAge01,"&lt;"&amp;'19_Расчет_аналитики'!BF4608,WeightedMinAge01),MAX(CapacityAge01*'01_Вводные'!$B$218*'19_Расчет_аналитики'!BF4608,MeanMinAge01))),0)</f>
        <v/>
      </c>
      <c r="BG4540">
        <f>IF('01_Вводные'!$B$234="Да",IF(OR(('19_Расчет_аналитики'!BG4456-'19_Расчет_аналитики'!BG4484)=0,1&lt;='01_Вводные'!$B$297),0,('19_Расчет_аналитики'!BG4456-'19_Расчет_аналитики'!BG4484)*IF('01_Вводные'!$B$239="Да",MeanMinAge01+'19_Расчет_аналитики'!BG4608*SUMIF(ThresholdAge01,"&lt;"&amp;'19_Расчет_аналитики'!BG4608,WeightedRevAge01)-SUMIF(ThresholdAge01,"&lt;"&amp;'19_Расчет_аналитики'!BG4608,WeightedMinAge01),MAX(CapacityAge01*'01_Вводные'!$B$218*'19_Расчет_аналитики'!BG4608,MeanMinAge01))),0)</f>
        <v/>
      </c>
      <c r="BH4540">
        <f>IF('01_Вводные'!$B$234="Да",IF(OR(('19_Расчет_аналитики'!BH4456-'19_Расчет_аналитики'!BH4484)=0,1&lt;='01_Вводные'!$B$297),0,('19_Расчет_аналитики'!BH4456-'19_Расчет_аналитики'!BH4484)*IF('01_Вводные'!$B$239="Да",MeanMinAge01+'19_Расчет_аналитики'!BH4608*SUMIF(ThresholdAge01,"&lt;"&amp;'19_Расчет_аналитики'!BH4608,WeightedRevAge01)-SUMIF(ThresholdAge01,"&lt;"&amp;'19_Расчет_аналитики'!BH4608,WeightedMinAge01),MAX(CapacityAge01*'01_Вводные'!$B$218*'19_Расчет_аналитики'!BH4608,MeanMinAge01))),0)</f>
        <v/>
      </c>
      <c r="BI4540">
        <f>IF('01_Вводные'!$B$234="Да",IF(OR(('19_Расчет_аналитики'!BI4456-'19_Расчет_аналитики'!BI4484)=0,1&lt;='01_Вводные'!$B$297),0,('19_Расчет_аналитики'!BI4456-'19_Расчет_аналитики'!BI4484)*IF('01_Вводные'!$B$239="Да",MeanMinAge01+'19_Расчет_аналитики'!BI4608*SUMIF(ThresholdAge01,"&lt;"&amp;'19_Расчет_аналитики'!BI4608,WeightedRevAge01)-SUMIF(ThresholdAge01,"&lt;"&amp;'19_Расчет_аналитики'!BI4608,WeightedMinAge01),MAX(CapacityAge01*'01_Вводные'!$B$218*'19_Расчет_аналитики'!BI4608,MeanMinAge01))),0)</f>
        <v/>
      </c>
      <c r="BJ4540">
        <f>IF('01_Вводные'!$B$234="Да",IF(OR(('19_Расчет_аналитики'!BJ4456-'19_Расчет_аналитики'!BJ4484)=0,1&lt;='01_Вводные'!$B$297),0,('19_Расчет_аналитики'!BJ4456-'19_Расчет_аналитики'!BJ4484)*IF('01_Вводные'!$B$239="Да",MeanMinAge01+'19_Расчет_аналитики'!BJ4608*SUMIF(ThresholdAge01,"&lt;"&amp;'19_Расчет_аналитики'!BJ4608,WeightedRevAge01)-SUMIF(ThresholdAge01,"&lt;"&amp;'19_Расчет_аналитики'!BJ4608,WeightedMinAge01),MAX(CapacityAge01*'01_Вводные'!$B$218*'19_Расчет_аналитики'!BJ4608,MeanMinAge01))),0)</f>
        <v/>
      </c>
      <c r="BK4540">
        <f>IF('01_Вводные'!$B$234="Да",IF(OR(('19_Расчет_аналитики'!BK4456-'19_Расчет_аналитики'!BK4484)=0,1&lt;='01_Вводные'!$B$297),0,('19_Расчет_аналитики'!BK4456-'19_Расчет_аналитики'!BK4484)*IF('01_Вводные'!$B$239="Да",MeanMinAge01+'19_Расчет_аналитики'!BK4608*SUMIF(ThresholdAge01,"&lt;"&amp;'19_Расчет_аналитики'!BK4608,WeightedRevAge01)-SUMIF(ThresholdAge01,"&lt;"&amp;'19_Расчет_аналитики'!BK4608,WeightedMinAge01),MAX(CapacityAge01*'01_Вводные'!$B$218*'19_Расчет_аналитики'!BK4608,MeanMinAge01))),0)</f>
        <v/>
      </c>
      <c r="BL4540">
        <f>IF('01_Вводные'!$B$234="Да",IF(OR(('19_Расчет_аналитики'!BL4456-'19_Расчет_аналитики'!BL4484)=0,1&lt;='01_Вводные'!$B$297),0,('19_Расчет_аналитики'!BL4456-'19_Расчет_аналитики'!BL4484)*IF('01_Вводные'!$B$239="Да",MeanMinAge01+'19_Расчет_аналитики'!BL4608*SUMIF(ThresholdAge01,"&lt;"&amp;'19_Расчет_аналитики'!BL4608,WeightedRevAge01)-SUMIF(ThresholdAge01,"&lt;"&amp;'19_Расчет_аналитики'!BL4608,WeightedMinAge01),MAX(CapacityAge01*'01_Вводные'!$B$218*'19_Расчет_аналитики'!BL4608,MeanMinAge01))),0)</f>
        <v/>
      </c>
      <c r="BM4540">
        <f>IF('01_Вводные'!$B$234="Да",IF(OR(('19_Расчет_аналитики'!BM4456-'19_Расчет_аналитики'!BM4484)=0,1&lt;='01_Вводные'!$B$297),0,('19_Расчет_аналитики'!BM4456-'19_Расчет_аналитики'!BM4484)*IF('01_Вводные'!$B$239="Да",MeanMinAge01+'19_Расчет_аналитики'!BM4608*SUMIF(ThresholdAge01,"&lt;"&amp;'19_Расчет_аналитики'!BM4608,WeightedRevAge01)-SUMIF(ThresholdAge01,"&lt;"&amp;'19_Расчет_аналитики'!BM4608,WeightedMinAge01),MAX(CapacityAge01*'01_Вводные'!$B$218*'19_Расчет_аналитики'!BM4608,MeanMinAge01))),0)</f>
        <v/>
      </c>
      <c r="BN4540">
        <f>IF('01_Вводные'!$B$234="Да",IF(OR(('19_Расчет_аналитики'!BN4456-'19_Расчет_аналитики'!BN4484)=0,1&lt;='01_Вводные'!$B$297),0,('19_Расчет_аналитики'!BN4456-'19_Расчет_аналитики'!BN4484)*IF('01_Вводные'!$B$239="Да",MeanMinAge01+'19_Расчет_аналитики'!BN4608*SUMIF(ThresholdAge01,"&lt;"&amp;'19_Расчет_аналитики'!BN4608,WeightedRevAge01)-SUMIF(ThresholdAge01,"&lt;"&amp;'19_Расчет_аналитики'!BN4608,WeightedMinAge01),MAX(CapacityAge01*'01_Вводные'!$B$218*'19_Расчет_аналитики'!BN4608,MeanMinAge01))),0)</f>
        <v/>
      </c>
      <c r="BO4540">
        <f>IF('01_Вводные'!$B$234="Да",IF(OR(('19_Расчет_аналитики'!BO4456-'19_Расчет_аналитики'!BO4484)=0,1&lt;='01_Вводные'!$B$297),0,('19_Расчет_аналитики'!BO4456-'19_Расчет_аналитики'!BO4484)*IF('01_Вводные'!$B$239="Да",MeanMinAge01+'19_Расчет_аналитики'!BO4608*SUMIF(ThresholdAge01,"&lt;"&amp;'19_Расчет_аналитики'!BO4608,WeightedRevAge01)-SUMIF(ThresholdAge01,"&lt;"&amp;'19_Расчет_аналитики'!BO4608,WeightedMinAge01),MAX(CapacityAge01*'01_Вводные'!$B$218*'19_Расчет_аналитики'!BO4608,MeanMinAge01))),0)</f>
        <v/>
      </c>
    </row>
    <row r="4541">
      <c r="B4541">
        <f>IF('01_Вводные'!$B$234="Да",IF(OR(('06_Сеть_и_дети'!B54-'06_Сеть_и_дети'!B82)=0,2&lt;='01_Вводные'!$B$297),0,('06_Сеть_и_дети'!B54-'06_Сеть_и_дети'!B82)*IF('01_Вводные'!$B$239="Да",MeanMinAge02+'19_Расчет_аналитики'!B4608*SUMIF(ThresholdAge02,"&lt;"&amp;'19_Расчет_аналитики'!B4608,WeightedRevAge02)-SUMIF(ThresholdAge02,"&lt;"&amp;'19_Расчет_аналитики'!B4608,WeightedMinAge02),MAX(CapacityAge02*'01_Вводные'!$B$218*'19_Расчет_аналитики'!B4608,MeanMinAge02))),0)</f>
        <v/>
      </c>
      <c r="C4541">
        <f>IF('01_Вводные'!$B$234="Да",IF(OR(('19_Расчет_аналитики'!C4457-'19_Расчет_аналитики'!C4485)=0,2&lt;='01_Вводные'!$B$297),0,('19_Расчет_аналитики'!C4457-'19_Расчет_аналитики'!C4485)*IF('01_Вводные'!$B$239="Да",MeanMinAge02+'19_Расчет_аналитики'!C4608*SUMIF(ThresholdAge02,"&lt;"&amp;'19_Расчет_аналитики'!C4608,WeightedRevAge02)-SUMIF(ThresholdAge02,"&lt;"&amp;'19_Расчет_аналитики'!C4608,WeightedMinAge02),MAX(CapacityAge02*'01_Вводные'!$B$218*'19_Расчет_аналитики'!C4608,MeanMinAge02))),0)</f>
        <v/>
      </c>
      <c r="D4541">
        <f>IF('01_Вводные'!$B$234="Да",IF(OR(('19_Расчет_аналитики'!D4457-'19_Расчет_аналитики'!D4485)=0,2&lt;='01_Вводные'!$B$297),0,('19_Расчет_аналитики'!D4457-'19_Расчет_аналитики'!D4485)*IF('01_Вводные'!$B$239="Да",MeanMinAge02+'19_Расчет_аналитики'!D4608*SUMIF(ThresholdAge02,"&lt;"&amp;'19_Расчет_аналитики'!D4608,WeightedRevAge02)-SUMIF(ThresholdAge02,"&lt;"&amp;'19_Расчет_аналитики'!D4608,WeightedMinAge02),MAX(CapacityAge02*'01_Вводные'!$B$218*'19_Расчет_аналитики'!D4608,MeanMinAge02))),0)</f>
        <v/>
      </c>
      <c r="E4541">
        <f>IF('01_Вводные'!$B$234="Да",IF(OR(('19_Расчет_аналитики'!E4457-'19_Расчет_аналитики'!E4485)=0,2&lt;='01_Вводные'!$B$297),0,('19_Расчет_аналитики'!E4457-'19_Расчет_аналитики'!E4485)*IF('01_Вводные'!$B$239="Да",MeanMinAge02+'19_Расчет_аналитики'!E4608*SUMIF(ThresholdAge02,"&lt;"&amp;'19_Расчет_аналитики'!E4608,WeightedRevAge02)-SUMIF(ThresholdAge02,"&lt;"&amp;'19_Расчет_аналитики'!E4608,WeightedMinAge02),MAX(CapacityAge02*'01_Вводные'!$B$218*'19_Расчет_аналитики'!E4608,MeanMinAge02))),0)</f>
        <v/>
      </c>
      <c r="F4541">
        <f>IF('01_Вводные'!$B$234="Да",IF(OR(('19_Расчет_аналитики'!F4457-'19_Расчет_аналитики'!F4485)=0,2&lt;='01_Вводные'!$B$297),0,('19_Расчет_аналитики'!F4457-'19_Расчет_аналитики'!F4485)*IF('01_Вводные'!$B$239="Да",MeanMinAge02+'19_Расчет_аналитики'!F4608*SUMIF(ThresholdAge02,"&lt;"&amp;'19_Расчет_аналитики'!F4608,WeightedRevAge02)-SUMIF(ThresholdAge02,"&lt;"&amp;'19_Расчет_аналитики'!F4608,WeightedMinAge02),MAX(CapacityAge02*'01_Вводные'!$B$218*'19_Расчет_аналитики'!F4608,MeanMinAge02))),0)</f>
        <v/>
      </c>
      <c r="G4541">
        <f>IF('01_Вводные'!$B$234="Да",IF(OR(('19_Расчет_аналитики'!G4457-'19_Расчет_аналитики'!G4485)=0,2&lt;='01_Вводные'!$B$297),0,('19_Расчет_аналитики'!G4457-'19_Расчет_аналитики'!G4485)*IF('01_Вводные'!$B$239="Да",MeanMinAge02+'19_Расчет_аналитики'!G4608*SUMIF(ThresholdAge02,"&lt;"&amp;'19_Расчет_аналитики'!G4608,WeightedRevAge02)-SUMIF(ThresholdAge02,"&lt;"&amp;'19_Расчет_аналитики'!G4608,WeightedMinAge02),MAX(CapacityAge02*'01_Вводные'!$B$218*'19_Расчет_аналитики'!G4608,MeanMinAge02))),0)</f>
        <v/>
      </c>
      <c r="H4541">
        <f>IF('01_Вводные'!$B$234="Да",IF(OR(('19_Расчет_аналитики'!H4457-'19_Расчет_аналитики'!H4485)=0,2&lt;='01_Вводные'!$B$297),0,('19_Расчет_аналитики'!H4457-'19_Расчет_аналитики'!H4485)*IF('01_Вводные'!$B$239="Да",MeanMinAge02+'19_Расчет_аналитики'!H4608*SUMIF(ThresholdAge02,"&lt;"&amp;'19_Расчет_аналитики'!H4608,WeightedRevAge02)-SUMIF(ThresholdAge02,"&lt;"&amp;'19_Расчет_аналитики'!H4608,WeightedMinAge02),MAX(CapacityAge02*'01_Вводные'!$B$218*'19_Расчет_аналитики'!H4608,MeanMinAge02))),0)</f>
        <v/>
      </c>
      <c r="I4541">
        <f>IF('01_Вводные'!$B$234="Да",IF(OR(('19_Расчет_аналитики'!I4457-'19_Расчет_аналитики'!I4485)=0,2&lt;='01_Вводные'!$B$297),0,('19_Расчет_аналитики'!I4457-'19_Расчет_аналитики'!I4485)*IF('01_Вводные'!$B$239="Да",MeanMinAge02+'19_Расчет_аналитики'!I4608*SUMIF(ThresholdAge02,"&lt;"&amp;'19_Расчет_аналитики'!I4608,WeightedRevAge02)-SUMIF(ThresholdAge02,"&lt;"&amp;'19_Расчет_аналитики'!I4608,WeightedMinAge02),MAX(CapacityAge02*'01_Вводные'!$B$218*'19_Расчет_аналитики'!I4608,MeanMinAge02))),0)</f>
        <v/>
      </c>
      <c r="J4541">
        <f>IF('01_Вводные'!$B$234="Да",IF(OR(('19_Расчет_аналитики'!J4457-'19_Расчет_аналитики'!J4485)=0,2&lt;='01_Вводные'!$B$297),0,('19_Расчет_аналитики'!J4457-'19_Расчет_аналитики'!J4485)*IF('01_Вводные'!$B$239="Да",MeanMinAge02+'19_Расчет_аналитики'!J4608*SUMIF(ThresholdAge02,"&lt;"&amp;'19_Расчет_аналитики'!J4608,WeightedRevAge02)-SUMIF(ThresholdAge02,"&lt;"&amp;'19_Расчет_аналитики'!J4608,WeightedMinAge02),MAX(CapacityAge02*'01_Вводные'!$B$218*'19_Расчет_аналитики'!J4608,MeanMinAge02))),0)</f>
        <v/>
      </c>
      <c r="K4541">
        <f>IF('01_Вводные'!$B$234="Да",IF(OR(('19_Расчет_аналитики'!K4457-'19_Расчет_аналитики'!K4485)=0,2&lt;='01_Вводные'!$B$297),0,('19_Расчет_аналитики'!K4457-'19_Расчет_аналитики'!K4485)*IF('01_Вводные'!$B$239="Да",MeanMinAge02+'19_Расчет_аналитики'!K4608*SUMIF(ThresholdAge02,"&lt;"&amp;'19_Расчет_аналитики'!K4608,WeightedRevAge02)-SUMIF(ThresholdAge02,"&lt;"&amp;'19_Расчет_аналитики'!K4608,WeightedMinAge02),MAX(CapacityAge02*'01_Вводные'!$B$218*'19_Расчет_аналитики'!K4608,MeanMinAge02))),0)</f>
        <v/>
      </c>
      <c r="L4541">
        <f>IF('01_Вводные'!$B$234="Да",IF(OR(('19_Расчет_аналитики'!L4457-'19_Расчет_аналитики'!L4485)=0,2&lt;='01_Вводные'!$B$297),0,('19_Расчет_аналитики'!L4457-'19_Расчет_аналитики'!L4485)*IF('01_Вводные'!$B$239="Да",MeanMinAge02+'19_Расчет_аналитики'!L4608*SUMIF(ThresholdAge02,"&lt;"&amp;'19_Расчет_аналитики'!L4608,WeightedRevAge02)-SUMIF(ThresholdAge02,"&lt;"&amp;'19_Расчет_аналитики'!L4608,WeightedMinAge02),MAX(CapacityAge02*'01_Вводные'!$B$218*'19_Расчет_аналитики'!L4608,MeanMinAge02))),0)</f>
        <v/>
      </c>
      <c r="M4541">
        <f>IF('01_Вводные'!$B$234="Да",IF(OR(('19_Расчет_аналитики'!M4457-'19_Расчет_аналитики'!M4485)=0,2&lt;='01_Вводные'!$B$297),0,('19_Расчет_аналитики'!M4457-'19_Расчет_аналитики'!M4485)*IF('01_Вводные'!$B$239="Да",MeanMinAge02+'19_Расчет_аналитики'!M4608*SUMIF(ThresholdAge02,"&lt;"&amp;'19_Расчет_аналитики'!M4608,WeightedRevAge02)-SUMIF(ThresholdAge02,"&lt;"&amp;'19_Расчет_аналитики'!M4608,WeightedMinAge02),MAX(CapacityAge02*'01_Вводные'!$B$218*'19_Расчет_аналитики'!M4608,MeanMinAge02))),0)</f>
        <v/>
      </c>
      <c r="N4541">
        <f>IF('01_Вводные'!$B$234="Да",IF(OR(('19_Расчет_аналитики'!N4457-'19_Расчет_аналитики'!N4485)=0,2&lt;='01_Вводные'!$B$297),0,('19_Расчет_аналитики'!N4457-'19_Расчет_аналитики'!N4485)*IF('01_Вводные'!$B$239="Да",MeanMinAge02+'19_Расчет_аналитики'!N4608*SUMIF(ThresholdAge02,"&lt;"&amp;'19_Расчет_аналитики'!N4608,WeightedRevAge02)-SUMIF(ThresholdAge02,"&lt;"&amp;'19_Расчет_аналитики'!N4608,WeightedMinAge02),MAX(CapacityAge02*'01_Вводные'!$B$218*'19_Расчет_аналитики'!N4608,MeanMinAge02))),0)</f>
        <v/>
      </c>
      <c r="O4541">
        <f>IF('01_Вводные'!$B$234="Да",IF(OR(('19_Расчет_аналитики'!O4457-'19_Расчет_аналитики'!O4485)=0,2&lt;='01_Вводные'!$B$297),0,('19_Расчет_аналитики'!O4457-'19_Расчет_аналитики'!O4485)*IF('01_Вводные'!$B$239="Да",MeanMinAge02+'19_Расчет_аналитики'!O4608*SUMIF(ThresholdAge02,"&lt;"&amp;'19_Расчет_аналитики'!O4608,WeightedRevAge02)-SUMIF(ThresholdAge02,"&lt;"&amp;'19_Расчет_аналитики'!O4608,WeightedMinAge02),MAX(CapacityAge02*'01_Вводные'!$B$218*'19_Расчет_аналитики'!O4608,MeanMinAge02))),0)</f>
        <v/>
      </c>
      <c r="P4541">
        <f>IF('01_Вводные'!$B$234="Да",IF(OR(('19_Расчет_аналитики'!P4457-'19_Расчет_аналитики'!P4485)=0,2&lt;='01_Вводные'!$B$297),0,('19_Расчет_аналитики'!P4457-'19_Расчет_аналитики'!P4485)*IF('01_Вводные'!$B$239="Да",MeanMinAge02+'19_Расчет_аналитики'!P4608*SUMIF(ThresholdAge02,"&lt;"&amp;'19_Расчет_аналитики'!P4608,WeightedRevAge02)-SUMIF(ThresholdAge02,"&lt;"&amp;'19_Расчет_аналитики'!P4608,WeightedMinAge02),MAX(CapacityAge02*'01_Вводные'!$B$218*'19_Расчет_аналитики'!P4608,MeanMinAge02))),0)</f>
        <v/>
      </c>
      <c r="Q4541">
        <f>IF('01_Вводные'!$B$234="Да",IF(OR(('19_Расчет_аналитики'!Q4457-'19_Расчет_аналитики'!Q4485)=0,2&lt;='01_Вводные'!$B$297),0,('19_Расчет_аналитики'!Q4457-'19_Расчет_аналитики'!Q4485)*IF('01_Вводные'!$B$239="Да",MeanMinAge02+'19_Расчет_аналитики'!Q4608*SUMIF(ThresholdAge02,"&lt;"&amp;'19_Расчет_аналитики'!Q4608,WeightedRevAge02)-SUMIF(ThresholdAge02,"&lt;"&amp;'19_Расчет_аналитики'!Q4608,WeightedMinAge02),MAX(CapacityAge02*'01_Вводные'!$B$218*'19_Расчет_аналитики'!Q4608,MeanMinAge02))),0)</f>
        <v/>
      </c>
      <c r="R4541">
        <f>IF('01_Вводные'!$B$234="Да",IF(OR(('19_Расчет_аналитики'!R4457-'19_Расчет_аналитики'!R4485)=0,2&lt;='01_Вводные'!$B$297),0,('19_Расчет_аналитики'!R4457-'19_Расчет_аналитики'!R4485)*IF('01_Вводные'!$B$239="Да",MeanMinAge02+'19_Расчет_аналитики'!R4608*SUMIF(ThresholdAge02,"&lt;"&amp;'19_Расчет_аналитики'!R4608,WeightedRevAge02)-SUMIF(ThresholdAge02,"&lt;"&amp;'19_Расчет_аналитики'!R4608,WeightedMinAge02),MAX(CapacityAge02*'01_Вводные'!$B$218*'19_Расчет_аналитики'!R4608,MeanMinAge02))),0)</f>
        <v/>
      </c>
      <c r="S4541">
        <f>IF('01_Вводные'!$B$234="Да",IF(OR(('19_Расчет_аналитики'!S4457-'19_Расчет_аналитики'!S4485)=0,2&lt;='01_Вводные'!$B$297),0,('19_Расчет_аналитики'!S4457-'19_Расчет_аналитики'!S4485)*IF('01_Вводные'!$B$239="Да",MeanMinAge02+'19_Расчет_аналитики'!S4608*SUMIF(ThresholdAge02,"&lt;"&amp;'19_Расчет_аналитики'!S4608,WeightedRevAge02)-SUMIF(ThresholdAge02,"&lt;"&amp;'19_Расчет_аналитики'!S4608,WeightedMinAge02),MAX(CapacityAge02*'01_Вводные'!$B$218*'19_Расчет_аналитики'!S4608,MeanMinAge02))),0)</f>
        <v/>
      </c>
      <c r="T4541">
        <f>IF('01_Вводные'!$B$234="Да",IF(OR(('19_Расчет_аналитики'!T4457-'19_Расчет_аналитики'!T4485)=0,2&lt;='01_Вводные'!$B$297),0,('19_Расчет_аналитики'!T4457-'19_Расчет_аналитики'!T4485)*IF('01_Вводные'!$B$239="Да",MeanMinAge02+'19_Расчет_аналитики'!T4608*SUMIF(ThresholdAge02,"&lt;"&amp;'19_Расчет_аналитики'!T4608,WeightedRevAge02)-SUMIF(ThresholdAge02,"&lt;"&amp;'19_Расчет_аналитики'!T4608,WeightedMinAge02),MAX(CapacityAge02*'01_Вводные'!$B$218*'19_Расчет_аналитики'!T4608,MeanMinAge02))),0)</f>
        <v/>
      </c>
      <c r="U4541">
        <f>IF('01_Вводные'!$B$234="Да",IF(OR(('19_Расчет_аналитики'!U4457-'19_Расчет_аналитики'!U4485)=0,2&lt;='01_Вводные'!$B$297),0,('19_Расчет_аналитики'!U4457-'19_Расчет_аналитики'!U4485)*IF('01_Вводные'!$B$239="Да",MeanMinAge02+'19_Расчет_аналитики'!U4608*SUMIF(ThresholdAge02,"&lt;"&amp;'19_Расчет_аналитики'!U4608,WeightedRevAge02)-SUMIF(ThresholdAge02,"&lt;"&amp;'19_Расчет_аналитики'!U4608,WeightedMinAge02),MAX(CapacityAge02*'01_Вводные'!$B$218*'19_Расчет_аналитики'!U4608,MeanMinAge02))),0)</f>
        <v/>
      </c>
      <c r="V4541">
        <f>IF('01_Вводные'!$B$234="Да",IF(OR(('19_Расчет_аналитики'!V4457-'19_Расчет_аналитики'!V4485)=0,2&lt;='01_Вводные'!$B$297),0,('19_Расчет_аналитики'!V4457-'19_Расчет_аналитики'!V4485)*IF('01_Вводные'!$B$239="Да",MeanMinAge02+'19_Расчет_аналитики'!V4608*SUMIF(ThresholdAge02,"&lt;"&amp;'19_Расчет_аналитики'!V4608,WeightedRevAge02)-SUMIF(ThresholdAge02,"&lt;"&amp;'19_Расчет_аналитики'!V4608,WeightedMinAge02),MAX(CapacityAge02*'01_Вводные'!$B$218*'19_Расчет_аналитики'!V4608,MeanMinAge02))),0)</f>
        <v/>
      </c>
      <c r="W4541">
        <f>IF('01_Вводные'!$B$234="Да",IF(OR(('19_Расчет_аналитики'!W4457-'19_Расчет_аналитики'!W4485)=0,2&lt;='01_Вводные'!$B$297),0,('19_Расчет_аналитики'!W4457-'19_Расчет_аналитики'!W4485)*IF('01_Вводные'!$B$239="Да",MeanMinAge02+'19_Расчет_аналитики'!W4608*SUMIF(ThresholdAge02,"&lt;"&amp;'19_Расчет_аналитики'!W4608,WeightedRevAge02)-SUMIF(ThresholdAge02,"&lt;"&amp;'19_Расчет_аналитики'!W4608,WeightedMinAge02),MAX(CapacityAge02*'01_Вводные'!$B$218*'19_Расчет_аналитики'!W4608,MeanMinAge02))),0)</f>
        <v/>
      </c>
      <c r="X4541">
        <f>IF('01_Вводные'!$B$234="Да",IF(OR(('19_Расчет_аналитики'!X4457-'19_Расчет_аналитики'!X4485)=0,2&lt;='01_Вводные'!$B$297),0,('19_Расчет_аналитики'!X4457-'19_Расчет_аналитики'!X4485)*IF('01_Вводные'!$B$239="Да",MeanMinAge02+'19_Расчет_аналитики'!X4608*SUMIF(ThresholdAge02,"&lt;"&amp;'19_Расчет_аналитики'!X4608,WeightedRevAge02)-SUMIF(ThresholdAge02,"&lt;"&amp;'19_Расчет_аналитики'!X4608,WeightedMinAge02),MAX(CapacityAge02*'01_Вводные'!$B$218*'19_Расчет_аналитики'!X4608,MeanMinAge02))),0)</f>
        <v/>
      </c>
      <c r="Y4541">
        <f>IF('01_Вводные'!$B$234="Да",IF(OR(('19_Расчет_аналитики'!Y4457-'19_Расчет_аналитики'!Y4485)=0,2&lt;='01_Вводные'!$B$297),0,('19_Расчет_аналитики'!Y4457-'19_Расчет_аналитики'!Y4485)*IF('01_Вводные'!$B$239="Да",MeanMinAge02+'19_Расчет_аналитики'!Y4608*SUMIF(ThresholdAge02,"&lt;"&amp;'19_Расчет_аналитики'!Y4608,WeightedRevAge02)-SUMIF(ThresholdAge02,"&lt;"&amp;'19_Расчет_аналитики'!Y4608,WeightedMinAge02),MAX(CapacityAge02*'01_Вводные'!$B$218*'19_Расчет_аналитики'!Y4608,MeanMinAge02))),0)</f>
        <v/>
      </c>
      <c r="Z4541">
        <f>IF('01_Вводные'!$B$234="Да",IF(OR(('19_Расчет_аналитики'!Z4457-'19_Расчет_аналитики'!Z4485)=0,2&lt;='01_Вводные'!$B$297),0,('19_Расчет_аналитики'!Z4457-'19_Расчет_аналитики'!Z4485)*IF('01_Вводные'!$B$239="Да",MeanMinAge02+'19_Расчет_аналитики'!Z4608*SUMIF(ThresholdAge02,"&lt;"&amp;'19_Расчет_аналитики'!Z4608,WeightedRevAge02)-SUMIF(ThresholdAge02,"&lt;"&amp;'19_Расчет_аналитики'!Z4608,WeightedMinAge02),MAX(CapacityAge02*'01_Вводные'!$B$218*'19_Расчет_аналитики'!Z4608,MeanMinAge02))),0)</f>
        <v/>
      </c>
      <c r="AA4541">
        <f>IF('01_Вводные'!$B$234="Да",IF(OR(('19_Расчет_аналитики'!AA4457-'19_Расчет_аналитики'!AA4485)=0,2&lt;='01_Вводные'!$B$297),0,('19_Расчет_аналитики'!AA4457-'19_Расчет_аналитики'!AA4485)*IF('01_Вводные'!$B$239="Да",MeanMinAge02+'19_Расчет_аналитики'!AA4608*SUMIF(ThresholdAge02,"&lt;"&amp;'19_Расчет_аналитики'!AA4608,WeightedRevAge02)-SUMIF(ThresholdAge02,"&lt;"&amp;'19_Расчет_аналитики'!AA4608,WeightedMinAge02),MAX(CapacityAge02*'01_Вводные'!$B$218*'19_Расчет_аналитики'!AA4608,MeanMinAge02))),0)</f>
        <v/>
      </c>
      <c r="AB4541">
        <f>IF('01_Вводные'!$B$234="Да",IF(OR(('19_Расчет_аналитики'!AB4457-'19_Расчет_аналитики'!AB4485)=0,2&lt;='01_Вводные'!$B$297),0,('19_Расчет_аналитики'!AB4457-'19_Расчет_аналитики'!AB4485)*IF('01_Вводные'!$B$239="Да",MeanMinAge02+'19_Расчет_аналитики'!AB4608*SUMIF(ThresholdAge02,"&lt;"&amp;'19_Расчет_аналитики'!AB4608,WeightedRevAge02)-SUMIF(ThresholdAge02,"&lt;"&amp;'19_Расчет_аналитики'!AB4608,WeightedMinAge02),MAX(CapacityAge02*'01_Вводные'!$B$218*'19_Расчет_аналитики'!AB4608,MeanMinAge02))),0)</f>
        <v/>
      </c>
      <c r="AC4541">
        <f>IF('01_Вводные'!$B$234="Да",IF(OR(('19_Расчет_аналитики'!AC4457-'19_Расчет_аналитики'!AC4485)=0,2&lt;='01_Вводные'!$B$297),0,('19_Расчет_аналитики'!AC4457-'19_Расчет_аналитики'!AC4485)*IF('01_Вводные'!$B$239="Да",MeanMinAge02+'19_Расчет_аналитики'!AC4608*SUMIF(ThresholdAge02,"&lt;"&amp;'19_Расчет_аналитики'!AC4608,WeightedRevAge02)-SUMIF(ThresholdAge02,"&lt;"&amp;'19_Расчет_аналитики'!AC4608,WeightedMinAge02),MAX(CapacityAge02*'01_Вводные'!$B$218*'19_Расчет_аналитики'!AC4608,MeanMinAge02))),0)</f>
        <v/>
      </c>
      <c r="AD4541">
        <f>IF('01_Вводные'!$B$234="Да",IF(OR(('19_Расчет_аналитики'!AD4457-'19_Расчет_аналитики'!AD4485)=0,2&lt;='01_Вводные'!$B$297),0,('19_Расчет_аналитики'!AD4457-'19_Расчет_аналитики'!AD4485)*IF('01_Вводные'!$B$239="Да",MeanMinAge02+'19_Расчет_аналитики'!AD4608*SUMIF(ThresholdAge02,"&lt;"&amp;'19_Расчет_аналитики'!AD4608,WeightedRevAge02)-SUMIF(ThresholdAge02,"&lt;"&amp;'19_Расчет_аналитики'!AD4608,WeightedMinAge02),MAX(CapacityAge02*'01_Вводные'!$B$218*'19_Расчет_аналитики'!AD4608,MeanMinAge02))),0)</f>
        <v/>
      </c>
      <c r="AE4541">
        <f>IF('01_Вводные'!$B$234="Да",IF(OR(('19_Расчет_аналитики'!AE4457-'19_Расчет_аналитики'!AE4485)=0,2&lt;='01_Вводные'!$B$297),0,('19_Расчет_аналитики'!AE4457-'19_Расчет_аналитики'!AE4485)*IF('01_Вводные'!$B$239="Да",MeanMinAge02+'19_Расчет_аналитики'!AE4608*SUMIF(ThresholdAge02,"&lt;"&amp;'19_Расчет_аналитики'!AE4608,WeightedRevAge02)-SUMIF(ThresholdAge02,"&lt;"&amp;'19_Расчет_аналитики'!AE4608,WeightedMinAge02),MAX(CapacityAge02*'01_Вводные'!$B$218*'19_Расчет_аналитики'!AE4608,MeanMinAge02))),0)</f>
        <v/>
      </c>
      <c r="AF4541">
        <f>IF('01_Вводные'!$B$234="Да",IF(OR(('19_Расчет_аналитики'!AF4457-'19_Расчет_аналитики'!AF4485)=0,2&lt;='01_Вводные'!$B$297),0,('19_Расчет_аналитики'!AF4457-'19_Расчет_аналитики'!AF4485)*IF('01_Вводные'!$B$239="Да",MeanMinAge02+'19_Расчет_аналитики'!AF4608*SUMIF(ThresholdAge02,"&lt;"&amp;'19_Расчет_аналитики'!AF4608,WeightedRevAge02)-SUMIF(ThresholdAge02,"&lt;"&amp;'19_Расчет_аналитики'!AF4608,WeightedMinAge02),MAX(CapacityAge02*'01_Вводные'!$B$218*'19_Расчет_аналитики'!AF4608,MeanMinAge02))),0)</f>
        <v/>
      </c>
      <c r="AG4541">
        <f>IF('01_Вводные'!$B$234="Да",IF(OR(('19_Расчет_аналитики'!AG4457-'19_Расчет_аналитики'!AG4485)=0,2&lt;='01_Вводные'!$B$297),0,('19_Расчет_аналитики'!AG4457-'19_Расчет_аналитики'!AG4485)*IF('01_Вводные'!$B$239="Да",MeanMinAge02+'19_Расчет_аналитики'!AG4608*SUMIF(ThresholdAge02,"&lt;"&amp;'19_Расчет_аналитики'!AG4608,WeightedRevAge02)-SUMIF(ThresholdAge02,"&lt;"&amp;'19_Расчет_аналитики'!AG4608,WeightedMinAge02),MAX(CapacityAge02*'01_Вводные'!$B$218*'19_Расчет_аналитики'!AG4608,MeanMinAge02))),0)</f>
        <v/>
      </c>
      <c r="AH4541">
        <f>IF('01_Вводные'!$B$234="Да",IF(OR(('19_Расчет_аналитики'!AH4457-'19_Расчет_аналитики'!AH4485)=0,2&lt;='01_Вводные'!$B$297),0,('19_Расчет_аналитики'!AH4457-'19_Расчет_аналитики'!AH4485)*IF('01_Вводные'!$B$239="Да",MeanMinAge02+'19_Расчет_аналитики'!AH4608*SUMIF(ThresholdAge02,"&lt;"&amp;'19_Расчет_аналитики'!AH4608,WeightedRevAge02)-SUMIF(ThresholdAge02,"&lt;"&amp;'19_Расчет_аналитики'!AH4608,WeightedMinAge02),MAX(CapacityAge02*'01_Вводные'!$B$218*'19_Расчет_аналитики'!AH4608,MeanMinAge02))),0)</f>
        <v/>
      </c>
      <c r="AI4541">
        <f>IF('01_Вводные'!$B$234="Да",IF(OR(('19_Расчет_аналитики'!AI4457-'19_Расчет_аналитики'!AI4485)=0,2&lt;='01_Вводные'!$B$297),0,('19_Расчет_аналитики'!AI4457-'19_Расчет_аналитики'!AI4485)*IF('01_Вводные'!$B$239="Да",MeanMinAge02+'19_Расчет_аналитики'!AI4608*SUMIF(ThresholdAge02,"&lt;"&amp;'19_Расчет_аналитики'!AI4608,WeightedRevAge02)-SUMIF(ThresholdAge02,"&lt;"&amp;'19_Расчет_аналитики'!AI4608,WeightedMinAge02),MAX(CapacityAge02*'01_Вводные'!$B$218*'19_Расчет_аналитики'!AI4608,MeanMinAge02))),0)</f>
        <v/>
      </c>
      <c r="AJ4541">
        <f>IF('01_Вводные'!$B$234="Да",IF(OR(('19_Расчет_аналитики'!AJ4457-'19_Расчет_аналитики'!AJ4485)=0,2&lt;='01_Вводные'!$B$297),0,('19_Расчет_аналитики'!AJ4457-'19_Расчет_аналитики'!AJ4485)*IF('01_Вводные'!$B$239="Да",MeanMinAge02+'19_Расчет_аналитики'!AJ4608*SUMIF(ThresholdAge02,"&lt;"&amp;'19_Расчет_аналитики'!AJ4608,WeightedRevAge02)-SUMIF(ThresholdAge02,"&lt;"&amp;'19_Расчет_аналитики'!AJ4608,WeightedMinAge02),MAX(CapacityAge02*'01_Вводные'!$B$218*'19_Расчет_аналитики'!AJ4608,MeanMinAge02))),0)</f>
        <v/>
      </c>
      <c r="AK4541">
        <f>IF('01_Вводные'!$B$234="Да",IF(OR(('19_Расчет_аналитики'!AK4457-'19_Расчет_аналитики'!AK4485)=0,2&lt;='01_Вводные'!$B$297),0,('19_Расчет_аналитики'!AK4457-'19_Расчет_аналитики'!AK4485)*IF('01_Вводные'!$B$239="Да",MeanMinAge02+'19_Расчет_аналитики'!AK4608*SUMIF(ThresholdAge02,"&lt;"&amp;'19_Расчет_аналитики'!AK4608,WeightedRevAge02)-SUMIF(ThresholdAge02,"&lt;"&amp;'19_Расчет_аналитики'!AK4608,WeightedMinAge02),MAX(CapacityAge02*'01_Вводные'!$B$218*'19_Расчет_аналитики'!AK4608,MeanMinAge02))),0)</f>
        <v/>
      </c>
      <c r="AL4541">
        <f>IF('01_Вводные'!$B$234="Да",IF(OR(('19_Расчет_аналитики'!AL4457-'19_Расчет_аналитики'!AL4485)=0,2&lt;='01_Вводные'!$B$297),0,('19_Расчет_аналитики'!AL4457-'19_Расчет_аналитики'!AL4485)*IF('01_Вводные'!$B$239="Да",MeanMinAge02+'19_Расчет_аналитики'!AL4608*SUMIF(ThresholdAge02,"&lt;"&amp;'19_Расчет_аналитики'!AL4608,WeightedRevAge02)-SUMIF(ThresholdAge02,"&lt;"&amp;'19_Расчет_аналитики'!AL4608,WeightedMinAge02),MAX(CapacityAge02*'01_Вводные'!$B$218*'19_Расчет_аналитики'!AL4608,MeanMinAge02))),0)</f>
        <v/>
      </c>
      <c r="AM4541">
        <f>IF('01_Вводные'!$B$234="Да",IF(OR(('19_Расчет_аналитики'!AM4457-'19_Расчет_аналитики'!AM4485)=0,2&lt;='01_Вводные'!$B$297),0,('19_Расчет_аналитики'!AM4457-'19_Расчет_аналитики'!AM4485)*IF('01_Вводные'!$B$239="Да",MeanMinAge02+'19_Расчет_аналитики'!AM4608*SUMIF(ThresholdAge02,"&lt;"&amp;'19_Расчет_аналитики'!AM4608,WeightedRevAge02)-SUMIF(ThresholdAge02,"&lt;"&amp;'19_Расчет_аналитики'!AM4608,WeightedMinAge02),MAX(CapacityAge02*'01_Вводные'!$B$218*'19_Расчет_аналитики'!AM4608,MeanMinAge02))),0)</f>
        <v/>
      </c>
      <c r="AN4541">
        <f>IF('01_Вводные'!$B$234="Да",IF(OR(('19_Расчет_аналитики'!AN4457-'19_Расчет_аналитики'!AN4485)=0,2&lt;='01_Вводные'!$B$297),0,('19_Расчет_аналитики'!AN4457-'19_Расчет_аналитики'!AN4485)*IF('01_Вводные'!$B$239="Да",MeanMinAge02+'19_Расчет_аналитики'!AN4608*SUMIF(ThresholdAge02,"&lt;"&amp;'19_Расчет_аналитики'!AN4608,WeightedRevAge02)-SUMIF(ThresholdAge02,"&lt;"&amp;'19_Расчет_аналитики'!AN4608,WeightedMinAge02),MAX(CapacityAge02*'01_Вводные'!$B$218*'19_Расчет_аналитики'!AN4608,MeanMinAge02))),0)</f>
        <v/>
      </c>
      <c r="AO4541">
        <f>IF('01_Вводные'!$B$234="Да",IF(OR(('19_Расчет_аналитики'!AO4457-'19_Расчет_аналитики'!AO4485)=0,2&lt;='01_Вводные'!$B$297),0,('19_Расчет_аналитики'!AO4457-'19_Расчет_аналитики'!AO4485)*IF('01_Вводные'!$B$239="Да",MeanMinAge02+'19_Расчет_аналитики'!AO4608*SUMIF(ThresholdAge02,"&lt;"&amp;'19_Расчет_аналитики'!AO4608,WeightedRevAge02)-SUMIF(ThresholdAge02,"&lt;"&amp;'19_Расчет_аналитики'!AO4608,WeightedMinAge02),MAX(CapacityAge02*'01_Вводные'!$B$218*'19_Расчет_аналитики'!AO4608,MeanMinAge02))),0)</f>
        <v/>
      </c>
      <c r="AP4541">
        <f>IF('01_Вводные'!$B$234="Да",IF(OR(('19_Расчет_аналитики'!AP4457-'19_Расчет_аналитики'!AP4485)=0,2&lt;='01_Вводные'!$B$297),0,('19_Расчет_аналитики'!AP4457-'19_Расчет_аналитики'!AP4485)*IF('01_Вводные'!$B$239="Да",MeanMinAge02+'19_Расчет_аналитики'!AP4608*SUMIF(ThresholdAge02,"&lt;"&amp;'19_Расчет_аналитики'!AP4608,WeightedRevAge02)-SUMIF(ThresholdAge02,"&lt;"&amp;'19_Расчет_аналитики'!AP4608,WeightedMinAge02),MAX(CapacityAge02*'01_Вводные'!$B$218*'19_Расчет_аналитики'!AP4608,MeanMinAge02))),0)</f>
        <v/>
      </c>
      <c r="AQ4541">
        <f>IF('01_Вводные'!$B$234="Да",IF(OR(('19_Расчет_аналитики'!AQ4457-'19_Расчет_аналитики'!AQ4485)=0,2&lt;='01_Вводные'!$B$297),0,('19_Расчет_аналитики'!AQ4457-'19_Расчет_аналитики'!AQ4485)*IF('01_Вводные'!$B$239="Да",MeanMinAge02+'19_Расчет_аналитики'!AQ4608*SUMIF(ThresholdAge02,"&lt;"&amp;'19_Расчет_аналитики'!AQ4608,WeightedRevAge02)-SUMIF(ThresholdAge02,"&lt;"&amp;'19_Расчет_аналитики'!AQ4608,WeightedMinAge02),MAX(CapacityAge02*'01_Вводные'!$B$218*'19_Расчет_аналитики'!AQ4608,MeanMinAge02))),0)</f>
        <v/>
      </c>
      <c r="AR4541">
        <f>IF('01_Вводные'!$B$234="Да",IF(OR(('19_Расчет_аналитики'!AR4457-'19_Расчет_аналитики'!AR4485)=0,2&lt;='01_Вводные'!$B$297),0,('19_Расчет_аналитики'!AR4457-'19_Расчет_аналитики'!AR4485)*IF('01_Вводные'!$B$239="Да",MeanMinAge02+'19_Расчет_аналитики'!AR4608*SUMIF(ThresholdAge02,"&lt;"&amp;'19_Расчет_аналитики'!AR4608,WeightedRevAge02)-SUMIF(ThresholdAge02,"&lt;"&amp;'19_Расчет_аналитики'!AR4608,WeightedMinAge02),MAX(CapacityAge02*'01_Вводные'!$B$218*'19_Расчет_аналитики'!AR4608,MeanMinAge02))),0)</f>
        <v/>
      </c>
      <c r="AS4541">
        <f>IF('01_Вводные'!$B$234="Да",IF(OR(('19_Расчет_аналитики'!AS4457-'19_Расчет_аналитики'!AS4485)=0,2&lt;='01_Вводные'!$B$297),0,('19_Расчет_аналитики'!AS4457-'19_Расчет_аналитики'!AS4485)*IF('01_Вводные'!$B$239="Да",MeanMinAge02+'19_Расчет_аналитики'!AS4608*SUMIF(ThresholdAge02,"&lt;"&amp;'19_Расчет_аналитики'!AS4608,WeightedRevAge02)-SUMIF(ThresholdAge02,"&lt;"&amp;'19_Расчет_аналитики'!AS4608,WeightedMinAge02),MAX(CapacityAge02*'01_Вводные'!$B$218*'19_Расчет_аналитики'!AS4608,MeanMinAge02))),0)</f>
        <v/>
      </c>
      <c r="AT4541">
        <f>IF('01_Вводные'!$B$234="Да",IF(OR(('19_Расчет_аналитики'!AT4457-'19_Расчет_аналитики'!AT4485)=0,2&lt;='01_Вводные'!$B$297),0,('19_Расчет_аналитики'!AT4457-'19_Расчет_аналитики'!AT4485)*IF('01_Вводные'!$B$239="Да",MeanMinAge02+'19_Расчет_аналитики'!AT4608*SUMIF(ThresholdAge02,"&lt;"&amp;'19_Расчет_аналитики'!AT4608,WeightedRevAge02)-SUMIF(ThresholdAge02,"&lt;"&amp;'19_Расчет_аналитики'!AT4608,WeightedMinAge02),MAX(CapacityAge02*'01_Вводные'!$B$218*'19_Расчет_аналитики'!AT4608,MeanMinAge02))),0)</f>
        <v/>
      </c>
      <c r="AU4541">
        <f>IF('01_Вводные'!$B$234="Да",IF(OR(('19_Расчет_аналитики'!AU4457-'19_Расчет_аналитики'!AU4485)=0,2&lt;='01_Вводные'!$B$297),0,('19_Расчет_аналитики'!AU4457-'19_Расчет_аналитики'!AU4485)*IF('01_Вводные'!$B$239="Да",MeanMinAge02+'19_Расчет_аналитики'!AU4608*SUMIF(ThresholdAge02,"&lt;"&amp;'19_Расчет_аналитики'!AU4608,WeightedRevAge02)-SUMIF(ThresholdAge02,"&lt;"&amp;'19_Расчет_аналитики'!AU4608,WeightedMinAge02),MAX(CapacityAge02*'01_Вводные'!$B$218*'19_Расчет_аналитики'!AU4608,MeanMinAge02))),0)</f>
        <v/>
      </c>
      <c r="AV4541">
        <f>IF('01_Вводные'!$B$234="Да",IF(OR(('19_Расчет_аналитики'!AV4457-'19_Расчет_аналитики'!AV4485)=0,2&lt;='01_Вводные'!$B$297),0,('19_Расчет_аналитики'!AV4457-'19_Расчет_аналитики'!AV4485)*IF('01_Вводные'!$B$239="Да",MeanMinAge02+'19_Расчет_аналитики'!AV4608*SUMIF(ThresholdAge02,"&lt;"&amp;'19_Расчет_аналитики'!AV4608,WeightedRevAge02)-SUMIF(ThresholdAge02,"&lt;"&amp;'19_Расчет_аналитики'!AV4608,WeightedMinAge02),MAX(CapacityAge02*'01_Вводные'!$B$218*'19_Расчет_аналитики'!AV4608,MeanMinAge02))),0)</f>
        <v/>
      </c>
      <c r="AW4541">
        <f>IF('01_Вводные'!$B$234="Да",IF(OR(('19_Расчет_аналитики'!AW4457-'19_Расчет_аналитики'!AW4485)=0,2&lt;='01_Вводные'!$B$297),0,('19_Расчет_аналитики'!AW4457-'19_Расчет_аналитики'!AW4485)*IF('01_Вводные'!$B$239="Да",MeanMinAge02+'19_Расчет_аналитики'!AW4608*SUMIF(ThresholdAge02,"&lt;"&amp;'19_Расчет_аналитики'!AW4608,WeightedRevAge02)-SUMIF(ThresholdAge02,"&lt;"&amp;'19_Расчет_аналитики'!AW4608,WeightedMinAge02),MAX(CapacityAge02*'01_Вводные'!$B$218*'19_Расчет_аналитики'!AW4608,MeanMinAge02))),0)</f>
        <v/>
      </c>
      <c r="AX4541">
        <f>IF('01_Вводные'!$B$234="Да",IF(OR(('19_Расчет_аналитики'!AX4457-'19_Расчет_аналитики'!AX4485)=0,2&lt;='01_Вводные'!$B$297),0,('19_Расчет_аналитики'!AX4457-'19_Расчет_аналитики'!AX4485)*IF('01_Вводные'!$B$239="Да",MeanMinAge02+'19_Расчет_аналитики'!AX4608*SUMIF(ThresholdAge02,"&lt;"&amp;'19_Расчет_аналитики'!AX4608,WeightedRevAge02)-SUMIF(ThresholdAge02,"&lt;"&amp;'19_Расчет_аналитики'!AX4608,WeightedMinAge02),MAX(CapacityAge02*'01_Вводные'!$B$218*'19_Расчет_аналитики'!AX4608,MeanMinAge02))),0)</f>
        <v/>
      </c>
      <c r="AY4541">
        <f>IF('01_Вводные'!$B$234="Да",IF(OR(('19_Расчет_аналитики'!AY4457-'19_Расчет_аналитики'!AY4485)=0,2&lt;='01_Вводные'!$B$297),0,('19_Расчет_аналитики'!AY4457-'19_Расчет_аналитики'!AY4485)*IF('01_Вводные'!$B$239="Да",MeanMinAge02+'19_Расчет_аналитики'!AY4608*SUMIF(ThresholdAge02,"&lt;"&amp;'19_Расчет_аналитики'!AY4608,WeightedRevAge02)-SUMIF(ThresholdAge02,"&lt;"&amp;'19_Расчет_аналитики'!AY4608,WeightedMinAge02),MAX(CapacityAge02*'01_Вводные'!$B$218*'19_Расчет_аналитики'!AY4608,MeanMinAge02))),0)</f>
        <v/>
      </c>
      <c r="AZ4541">
        <f>IF('01_Вводные'!$B$234="Да",IF(OR(('19_Расчет_аналитики'!AZ4457-'19_Расчет_аналитики'!AZ4485)=0,2&lt;='01_Вводные'!$B$297),0,('19_Расчет_аналитики'!AZ4457-'19_Расчет_аналитики'!AZ4485)*IF('01_Вводные'!$B$239="Да",MeanMinAge02+'19_Расчет_аналитики'!AZ4608*SUMIF(ThresholdAge02,"&lt;"&amp;'19_Расчет_аналитики'!AZ4608,WeightedRevAge02)-SUMIF(ThresholdAge02,"&lt;"&amp;'19_Расчет_аналитики'!AZ4608,WeightedMinAge02),MAX(CapacityAge02*'01_Вводные'!$B$218*'19_Расчет_аналитики'!AZ4608,MeanMinAge02))),0)</f>
        <v/>
      </c>
      <c r="BA4541">
        <f>IF('01_Вводные'!$B$234="Да",IF(OR(('19_Расчет_аналитики'!BA4457-'19_Расчет_аналитики'!BA4485)=0,2&lt;='01_Вводные'!$B$297),0,('19_Расчет_аналитики'!BA4457-'19_Расчет_аналитики'!BA4485)*IF('01_Вводные'!$B$239="Да",MeanMinAge02+'19_Расчет_аналитики'!BA4608*SUMIF(ThresholdAge02,"&lt;"&amp;'19_Расчет_аналитики'!BA4608,WeightedRevAge02)-SUMIF(ThresholdAge02,"&lt;"&amp;'19_Расчет_аналитики'!BA4608,WeightedMinAge02),MAX(CapacityAge02*'01_Вводные'!$B$218*'19_Расчет_аналитики'!BA4608,MeanMinAge02))),0)</f>
        <v/>
      </c>
      <c r="BB4541">
        <f>IF('01_Вводные'!$B$234="Да",IF(OR(('19_Расчет_аналитики'!BB4457-'19_Расчет_аналитики'!BB4485)=0,2&lt;='01_Вводные'!$B$297),0,('19_Расчет_аналитики'!BB4457-'19_Расчет_аналитики'!BB4485)*IF('01_Вводные'!$B$239="Да",MeanMinAge02+'19_Расчет_аналитики'!BB4608*SUMIF(ThresholdAge02,"&lt;"&amp;'19_Расчет_аналитики'!BB4608,WeightedRevAge02)-SUMIF(ThresholdAge02,"&lt;"&amp;'19_Расчет_аналитики'!BB4608,WeightedMinAge02),MAX(CapacityAge02*'01_Вводные'!$B$218*'19_Расчет_аналитики'!BB4608,MeanMinAge02))),0)</f>
        <v/>
      </c>
      <c r="BC4541">
        <f>IF('01_Вводные'!$B$234="Да",IF(OR(('19_Расчет_аналитики'!BC4457-'19_Расчет_аналитики'!BC4485)=0,2&lt;='01_Вводные'!$B$297),0,('19_Расчет_аналитики'!BC4457-'19_Расчет_аналитики'!BC4485)*IF('01_Вводные'!$B$239="Да",MeanMinAge02+'19_Расчет_аналитики'!BC4608*SUMIF(ThresholdAge02,"&lt;"&amp;'19_Расчет_аналитики'!BC4608,WeightedRevAge02)-SUMIF(ThresholdAge02,"&lt;"&amp;'19_Расчет_аналитики'!BC4608,WeightedMinAge02),MAX(CapacityAge02*'01_Вводные'!$B$218*'19_Расчет_аналитики'!BC4608,MeanMinAge02))),0)</f>
        <v/>
      </c>
      <c r="BD4541">
        <f>IF('01_Вводные'!$B$234="Да",IF(OR(('19_Расчет_аналитики'!BD4457-'19_Расчет_аналитики'!BD4485)=0,2&lt;='01_Вводные'!$B$297),0,('19_Расчет_аналитики'!BD4457-'19_Расчет_аналитики'!BD4485)*IF('01_Вводные'!$B$239="Да",MeanMinAge02+'19_Расчет_аналитики'!BD4608*SUMIF(ThresholdAge02,"&lt;"&amp;'19_Расчет_аналитики'!BD4608,WeightedRevAge02)-SUMIF(ThresholdAge02,"&lt;"&amp;'19_Расчет_аналитики'!BD4608,WeightedMinAge02),MAX(CapacityAge02*'01_Вводные'!$B$218*'19_Расчет_аналитики'!BD4608,MeanMinAge02))),0)</f>
        <v/>
      </c>
      <c r="BE4541">
        <f>IF('01_Вводные'!$B$234="Да",IF(OR(('19_Расчет_аналитики'!BE4457-'19_Расчет_аналитики'!BE4485)=0,2&lt;='01_Вводные'!$B$297),0,('19_Расчет_аналитики'!BE4457-'19_Расчет_аналитики'!BE4485)*IF('01_Вводные'!$B$239="Да",MeanMinAge02+'19_Расчет_аналитики'!BE4608*SUMIF(ThresholdAge02,"&lt;"&amp;'19_Расчет_аналитики'!BE4608,WeightedRevAge02)-SUMIF(ThresholdAge02,"&lt;"&amp;'19_Расчет_аналитики'!BE4608,WeightedMinAge02),MAX(CapacityAge02*'01_Вводные'!$B$218*'19_Расчет_аналитики'!BE4608,MeanMinAge02))),0)</f>
        <v/>
      </c>
      <c r="BF4541">
        <f>IF('01_Вводные'!$B$234="Да",IF(OR(('19_Расчет_аналитики'!BF4457-'19_Расчет_аналитики'!BF4485)=0,2&lt;='01_Вводные'!$B$297),0,('19_Расчет_аналитики'!BF4457-'19_Расчет_аналитики'!BF4485)*IF('01_Вводные'!$B$239="Да",MeanMinAge02+'19_Расчет_аналитики'!BF4608*SUMIF(ThresholdAge02,"&lt;"&amp;'19_Расчет_аналитики'!BF4608,WeightedRevAge02)-SUMIF(ThresholdAge02,"&lt;"&amp;'19_Расчет_аналитики'!BF4608,WeightedMinAge02),MAX(CapacityAge02*'01_Вводные'!$B$218*'19_Расчет_аналитики'!BF4608,MeanMinAge02))),0)</f>
        <v/>
      </c>
      <c r="BG4541">
        <f>IF('01_Вводные'!$B$234="Да",IF(OR(('19_Расчет_аналитики'!BG4457-'19_Расчет_аналитики'!BG4485)=0,2&lt;='01_Вводные'!$B$297),0,('19_Расчет_аналитики'!BG4457-'19_Расчет_аналитики'!BG4485)*IF('01_Вводные'!$B$239="Да",MeanMinAge02+'19_Расчет_аналитики'!BG4608*SUMIF(ThresholdAge02,"&lt;"&amp;'19_Расчет_аналитики'!BG4608,WeightedRevAge02)-SUMIF(ThresholdAge02,"&lt;"&amp;'19_Расчет_аналитики'!BG4608,WeightedMinAge02),MAX(CapacityAge02*'01_Вводные'!$B$218*'19_Расчет_аналитики'!BG4608,MeanMinAge02))),0)</f>
        <v/>
      </c>
      <c r="BH4541">
        <f>IF('01_Вводные'!$B$234="Да",IF(OR(('19_Расчет_аналитики'!BH4457-'19_Расчет_аналитики'!BH4485)=0,2&lt;='01_Вводные'!$B$297),0,('19_Расчет_аналитики'!BH4457-'19_Расчет_аналитики'!BH4485)*IF('01_Вводные'!$B$239="Да",MeanMinAge02+'19_Расчет_аналитики'!BH4608*SUMIF(ThresholdAge02,"&lt;"&amp;'19_Расчет_аналитики'!BH4608,WeightedRevAge02)-SUMIF(ThresholdAge02,"&lt;"&amp;'19_Расчет_аналитики'!BH4608,WeightedMinAge02),MAX(CapacityAge02*'01_Вводные'!$B$218*'19_Расчет_аналитики'!BH4608,MeanMinAge02))),0)</f>
        <v/>
      </c>
      <c r="BI4541">
        <f>IF('01_Вводные'!$B$234="Да",IF(OR(('19_Расчет_аналитики'!BI4457-'19_Расчет_аналитики'!BI4485)=0,2&lt;='01_Вводные'!$B$297),0,('19_Расчет_аналитики'!BI4457-'19_Расчет_аналитики'!BI4485)*IF('01_Вводные'!$B$239="Да",MeanMinAge02+'19_Расчет_аналитики'!BI4608*SUMIF(ThresholdAge02,"&lt;"&amp;'19_Расчет_аналитики'!BI4608,WeightedRevAge02)-SUMIF(ThresholdAge02,"&lt;"&amp;'19_Расчет_аналитики'!BI4608,WeightedMinAge02),MAX(CapacityAge02*'01_Вводные'!$B$218*'19_Расчет_аналитики'!BI4608,MeanMinAge02))),0)</f>
        <v/>
      </c>
      <c r="BJ4541">
        <f>IF('01_Вводные'!$B$234="Да",IF(OR(('19_Расчет_аналитики'!BJ4457-'19_Расчет_аналитики'!BJ4485)=0,2&lt;='01_Вводные'!$B$297),0,('19_Расчет_аналитики'!BJ4457-'19_Расчет_аналитики'!BJ4485)*IF('01_Вводные'!$B$239="Да",MeanMinAge02+'19_Расчет_аналитики'!BJ4608*SUMIF(ThresholdAge02,"&lt;"&amp;'19_Расчет_аналитики'!BJ4608,WeightedRevAge02)-SUMIF(ThresholdAge02,"&lt;"&amp;'19_Расчет_аналитики'!BJ4608,WeightedMinAge02),MAX(CapacityAge02*'01_Вводные'!$B$218*'19_Расчет_аналитики'!BJ4608,MeanMinAge02))),0)</f>
        <v/>
      </c>
      <c r="BK4541">
        <f>IF('01_Вводные'!$B$234="Да",IF(OR(('19_Расчет_аналитики'!BK4457-'19_Расчет_аналитики'!BK4485)=0,2&lt;='01_Вводные'!$B$297),0,('19_Расчет_аналитики'!BK4457-'19_Расчет_аналитики'!BK4485)*IF('01_Вводные'!$B$239="Да",MeanMinAge02+'19_Расчет_аналитики'!BK4608*SUMIF(ThresholdAge02,"&lt;"&amp;'19_Расчет_аналитики'!BK4608,WeightedRevAge02)-SUMIF(ThresholdAge02,"&lt;"&amp;'19_Расчет_аналитики'!BK4608,WeightedMinAge02),MAX(CapacityAge02*'01_Вводные'!$B$218*'19_Расчет_аналитики'!BK4608,MeanMinAge02))),0)</f>
        <v/>
      </c>
      <c r="BL4541">
        <f>IF('01_Вводные'!$B$234="Да",IF(OR(('19_Расчет_аналитики'!BL4457-'19_Расчет_аналитики'!BL4485)=0,2&lt;='01_Вводные'!$B$297),0,('19_Расчет_аналитики'!BL4457-'19_Расчет_аналитики'!BL4485)*IF('01_Вводные'!$B$239="Да",MeanMinAge02+'19_Расчет_аналитики'!BL4608*SUMIF(ThresholdAge02,"&lt;"&amp;'19_Расчет_аналитики'!BL4608,WeightedRevAge02)-SUMIF(ThresholdAge02,"&lt;"&amp;'19_Расчет_аналитики'!BL4608,WeightedMinAge02),MAX(CapacityAge02*'01_Вводные'!$B$218*'19_Расчет_аналитики'!BL4608,MeanMinAge02))),0)</f>
        <v/>
      </c>
      <c r="BM4541">
        <f>IF('01_Вводные'!$B$234="Да",IF(OR(('19_Расчет_аналитики'!BM4457-'19_Расчет_аналитики'!BM4485)=0,2&lt;='01_Вводные'!$B$297),0,('19_Расчет_аналитики'!BM4457-'19_Расчет_аналитики'!BM4485)*IF('01_Вводные'!$B$239="Да",MeanMinAge02+'19_Расчет_аналитики'!BM4608*SUMIF(ThresholdAge02,"&lt;"&amp;'19_Расчет_аналитики'!BM4608,WeightedRevAge02)-SUMIF(ThresholdAge02,"&lt;"&amp;'19_Расчет_аналитики'!BM4608,WeightedMinAge02),MAX(CapacityAge02*'01_Вводные'!$B$218*'19_Расчет_аналитики'!BM4608,MeanMinAge02))),0)</f>
        <v/>
      </c>
      <c r="BN4541">
        <f>IF('01_Вводные'!$B$234="Да",IF(OR(('19_Расчет_аналитики'!BN4457-'19_Расчет_аналитики'!BN4485)=0,2&lt;='01_Вводные'!$B$297),0,('19_Расчет_аналитики'!BN4457-'19_Расчет_аналитики'!BN4485)*IF('01_Вводные'!$B$239="Да",MeanMinAge02+'19_Расчет_аналитики'!BN4608*SUMIF(ThresholdAge02,"&lt;"&amp;'19_Расчет_аналитики'!BN4608,WeightedRevAge02)-SUMIF(ThresholdAge02,"&lt;"&amp;'19_Расчет_аналитики'!BN4608,WeightedMinAge02),MAX(CapacityAge02*'01_Вводные'!$B$218*'19_Расчет_аналитики'!BN4608,MeanMinAge02))),0)</f>
        <v/>
      </c>
      <c r="BO4541">
        <f>IF('01_Вводные'!$B$234="Да",IF(OR(('19_Расчет_аналитики'!BO4457-'19_Расчет_аналитики'!BO4485)=0,2&lt;='01_Вводные'!$B$297),0,('19_Расчет_аналитики'!BO4457-'19_Расчет_аналитики'!BO4485)*IF('01_Вводные'!$B$239="Да",MeanMinAge02+'19_Расчет_аналитики'!BO4608*SUMIF(ThresholdAge02,"&lt;"&amp;'19_Расчет_аналитики'!BO4608,WeightedRevAge02)-SUMIF(ThresholdAge02,"&lt;"&amp;'19_Расчет_аналитики'!BO4608,WeightedMinAge02),MAX(CapacityAge02*'01_Вводные'!$B$218*'19_Расчет_аналитики'!BO4608,MeanMinAge02))),0)</f>
        <v/>
      </c>
    </row>
    <row r="4542">
      <c r="B4542">
        <f>IF('01_Вводные'!$B$234="Да",IF(OR(('06_Сеть_и_дети'!B55-'06_Сеть_и_дети'!B83)=0,3&lt;='01_Вводные'!$B$297),0,('06_Сеть_и_дети'!B55-'06_Сеть_и_дети'!B83)*IF('01_Вводные'!$B$239="Да",MeanMinAge03+'19_Расчет_аналитики'!B4608*SUMIF(ThresholdAge03,"&lt;"&amp;'19_Расчет_аналитики'!B4608,WeightedRevAge03)-SUMIF(ThresholdAge03,"&lt;"&amp;'19_Расчет_аналитики'!B4608,WeightedMinAge03),MAX(CapacityAge03*'01_Вводные'!$B$218*'19_Расчет_аналитики'!B4608,MeanMinAge03))),0)</f>
        <v/>
      </c>
      <c r="C4542">
        <f>IF('01_Вводные'!$B$234="Да",IF(OR(('06_Сеть_и_дети'!C55-'06_Сеть_и_дети'!C83)=0,3&lt;='01_Вводные'!$B$297),0,('06_Сеть_и_дети'!C55-'06_Сеть_и_дети'!C83)*IF('01_Вводные'!$B$239="Да",MeanMinAge03+'19_Расчет_аналитики'!C4608*SUMIF(ThresholdAge03,"&lt;"&amp;'19_Расчет_аналитики'!C4608,WeightedRevAge03)-SUMIF(ThresholdAge03,"&lt;"&amp;'19_Расчет_аналитики'!C4608,WeightedMinAge03),MAX(CapacityAge03*'01_Вводные'!$B$218*'19_Расчет_аналитики'!C4608,MeanMinAge03))),0)</f>
        <v/>
      </c>
      <c r="D4542">
        <f>IF('01_Вводные'!$B$234="Да",IF(OR(('19_Расчет_аналитики'!D4458-'19_Расчет_аналитики'!D4486)=0,3&lt;='01_Вводные'!$B$297),0,('19_Расчет_аналитики'!D4458-'19_Расчет_аналитики'!D4486)*IF('01_Вводные'!$B$239="Да",MeanMinAge03+'19_Расчет_аналитики'!D4608*SUMIF(ThresholdAge03,"&lt;"&amp;'19_Расчет_аналитики'!D4608,WeightedRevAge03)-SUMIF(ThresholdAge03,"&lt;"&amp;'19_Расчет_аналитики'!D4608,WeightedMinAge03),MAX(CapacityAge03*'01_Вводные'!$B$218*'19_Расчет_аналитики'!D4608,MeanMinAge03))),0)</f>
        <v/>
      </c>
      <c r="E4542">
        <f>IF('01_Вводные'!$B$234="Да",IF(OR(('19_Расчет_аналитики'!E4458-'19_Расчет_аналитики'!E4486)=0,3&lt;='01_Вводные'!$B$297),0,('19_Расчет_аналитики'!E4458-'19_Расчет_аналитики'!E4486)*IF('01_Вводные'!$B$239="Да",MeanMinAge03+'19_Расчет_аналитики'!E4608*SUMIF(ThresholdAge03,"&lt;"&amp;'19_Расчет_аналитики'!E4608,WeightedRevAge03)-SUMIF(ThresholdAge03,"&lt;"&amp;'19_Расчет_аналитики'!E4608,WeightedMinAge03),MAX(CapacityAge03*'01_Вводные'!$B$218*'19_Расчет_аналитики'!E4608,MeanMinAge03))),0)</f>
        <v/>
      </c>
      <c r="F4542">
        <f>IF('01_Вводные'!$B$234="Да",IF(OR(('19_Расчет_аналитики'!F4458-'19_Расчет_аналитики'!F4486)=0,3&lt;='01_Вводные'!$B$297),0,('19_Расчет_аналитики'!F4458-'19_Расчет_аналитики'!F4486)*IF('01_Вводные'!$B$239="Да",MeanMinAge03+'19_Расчет_аналитики'!F4608*SUMIF(ThresholdAge03,"&lt;"&amp;'19_Расчет_аналитики'!F4608,WeightedRevAge03)-SUMIF(ThresholdAge03,"&lt;"&amp;'19_Расчет_аналитики'!F4608,WeightedMinAge03),MAX(CapacityAge03*'01_Вводные'!$B$218*'19_Расчет_аналитики'!F4608,MeanMinAge03))),0)</f>
        <v/>
      </c>
      <c r="G4542">
        <f>IF('01_Вводные'!$B$234="Да",IF(OR(('19_Расчет_аналитики'!G4458-'19_Расчет_аналитики'!G4486)=0,3&lt;='01_Вводные'!$B$297),0,('19_Расчет_аналитики'!G4458-'19_Расчет_аналитики'!G4486)*IF('01_Вводные'!$B$239="Да",MeanMinAge03+'19_Расчет_аналитики'!G4608*SUMIF(ThresholdAge03,"&lt;"&amp;'19_Расчет_аналитики'!G4608,WeightedRevAge03)-SUMIF(ThresholdAge03,"&lt;"&amp;'19_Расчет_аналитики'!G4608,WeightedMinAge03),MAX(CapacityAge03*'01_Вводные'!$B$218*'19_Расчет_аналитики'!G4608,MeanMinAge03))),0)</f>
        <v/>
      </c>
      <c r="H4542">
        <f>IF('01_Вводные'!$B$234="Да",IF(OR(('19_Расчет_аналитики'!H4458-'19_Расчет_аналитики'!H4486)=0,3&lt;='01_Вводные'!$B$297),0,('19_Расчет_аналитики'!H4458-'19_Расчет_аналитики'!H4486)*IF('01_Вводные'!$B$239="Да",MeanMinAge03+'19_Расчет_аналитики'!H4608*SUMIF(ThresholdAge03,"&lt;"&amp;'19_Расчет_аналитики'!H4608,WeightedRevAge03)-SUMIF(ThresholdAge03,"&lt;"&amp;'19_Расчет_аналитики'!H4608,WeightedMinAge03),MAX(CapacityAge03*'01_Вводные'!$B$218*'19_Расчет_аналитики'!H4608,MeanMinAge03))),0)</f>
        <v/>
      </c>
      <c r="I4542">
        <f>IF('01_Вводные'!$B$234="Да",IF(OR(('19_Расчет_аналитики'!I4458-'19_Расчет_аналитики'!I4486)=0,3&lt;='01_Вводные'!$B$297),0,('19_Расчет_аналитики'!I4458-'19_Расчет_аналитики'!I4486)*IF('01_Вводные'!$B$239="Да",MeanMinAge03+'19_Расчет_аналитики'!I4608*SUMIF(ThresholdAge03,"&lt;"&amp;'19_Расчет_аналитики'!I4608,WeightedRevAge03)-SUMIF(ThresholdAge03,"&lt;"&amp;'19_Расчет_аналитики'!I4608,WeightedMinAge03),MAX(CapacityAge03*'01_Вводные'!$B$218*'19_Расчет_аналитики'!I4608,MeanMinAge03))),0)</f>
        <v/>
      </c>
      <c r="J4542">
        <f>IF('01_Вводные'!$B$234="Да",IF(OR(('19_Расчет_аналитики'!J4458-'19_Расчет_аналитики'!J4486)=0,3&lt;='01_Вводные'!$B$297),0,('19_Расчет_аналитики'!J4458-'19_Расчет_аналитики'!J4486)*IF('01_Вводные'!$B$239="Да",MeanMinAge03+'19_Расчет_аналитики'!J4608*SUMIF(ThresholdAge03,"&lt;"&amp;'19_Расчет_аналитики'!J4608,WeightedRevAge03)-SUMIF(ThresholdAge03,"&lt;"&amp;'19_Расчет_аналитики'!J4608,WeightedMinAge03),MAX(CapacityAge03*'01_Вводные'!$B$218*'19_Расчет_аналитики'!J4608,MeanMinAge03))),0)</f>
        <v/>
      </c>
      <c r="K4542">
        <f>IF('01_Вводные'!$B$234="Да",IF(OR(('19_Расчет_аналитики'!K4458-'19_Расчет_аналитики'!K4486)=0,3&lt;='01_Вводные'!$B$297),0,('19_Расчет_аналитики'!K4458-'19_Расчет_аналитики'!K4486)*IF('01_Вводные'!$B$239="Да",MeanMinAge03+'19_Расчет_аналитики'!K4608*SUMIF(ThresholdAge03,"&lt;"&amp;'19_Расчет_аналитики'!K4608,WeightedRevAge03)-SUMIF(ThresholdAge03,"&lt;"&amp;'19_Расчет_аналитики'!K4608,WeightedMinAge03),MAX(CapacityAge03*'01_Вводные'!$B$218*'19_Расчет_аналитики'!K4608,MeanMinAge03))),0)</f>
        <v/>
      </c>
      <c r="L4542">
        <f>IF('01_Вводные'!$B$234="Да",IF(OR(('19_Расчет_аналитики'!L4458-'19_Расчет_аналитики'!L4486)=0,3&lt;='01_Вводные'!$B$297),0,('19_Расчет_аналитики'!L4458-'19_Расчет_аналитики'!L4486)*IF('01_Вводные'!$B$239="Да",MeanMinAge03+'19_Расчет_аналитики'!L4608*SUMIF(ThresholdAge03,"&lt;"&amp;'19_Расчет_аналитики'!L4608,WeightedRevAge03)-SUMIF(ThresholdAge03,"&lt;"&amp;'19_Расчет_аналитики'!L4608,WeightedMinAge03),MAX(CapacityAge03*'01_Вводные'!$B$218*'19_Расчет_аналитики'!L4608,MeanMinAge03))),0)</f>
        <v/>
      </c>
      <c r="M4542">
        <f>IF('01_Вводные'!$B$234="Да",IF(OR(('19_Расчет_аналитики'!M4458-'19_Расчет_аналитики'!M4486)=0,3&lt;='01_Вводные'!$B$297),0,('19_Расчет_аналитики'!M4458-'19_Расчет_аналитики'!M4486)*IF('01_Вводные'!$B$239="Да",MeanMinAge03+'19_Расчет_аналитики'!M4608*SUMIF(ThresholdAge03,"&lt;"&amp;'19_Расчет_аналитики'!M4608,WeightedRevAge03)-SUMIF(ThresholdAge03,"&lt;"&amp;'19_Расчет_аналитики'!M4608,WeightedMinAge03),MAX(CapacityAge03*'01_Вводные'!$B$218*'19_Расчет_аналитики'!M4608,MeanMinAge03))),0)</f>
        <v/>
      </c>
      <c r="N4542">
        <f>IF('01_Вводные'!$B$234="Да",IF(OR(('19_Расчет_аналитики'!N4458-'19_Расчет_аналитики'!N4486)=0,3&lt;='01_Вводные'!$B$297),0,('19_Расчет_аналитики'!N4458-'19_Расчет_аналитики'!N4486)*IF('01_Вводные'!$B$239="Да",MeanMinAge03+'19_Расчет_аналитики'!N4608*SUMIF(ThresholdAge03,"&lt;"&amp;'19_Расчет_аналитики'!N4608,WeightedRevAge03)-SUMIF(ThresholdAge03,"&lt;"&amp;'19_Расчет_аналитики'!N4608,WeightedMinAge03),MAX(CapacityAge03*'01_Вводные'!$B$218*'19_Расчет_аналитики'!N4608,MeanMinAge03))),0)</f>
        <v/>
      </c>
      <c r="O4542">
        <f>IF('01_Вводные'!$B$234="Да",IF(OR(('19_Расчет_аналитики'!O4458-'19_Расчет_аналитики'!O4486)=0,3&lt;='01_Вводные'!$B$297),0,('19_Расчет_аналитики'!O4458-'19_Расчет_аналитики'!O4486)*IF('01_Вводные'!$B$239="Да",MeanMinAge03+'19_Расчет_аналитики'!O4608*SUMIF(ThresholdAge03,"&lt;"&amp;'19_Расчет_аналитики'!O4608,WeightedRevAge03)-SUMIF(ThresholdAge03,"&lt;"&amp;'19_Расчет_аналитики'!O4608,WeightedMinAge03),MAX(CapacityAge03*'01_Вводные'!$B$218*'19_Расчет_аналитики'!O4608,MeanMinAge03))),0)</f>
        <v/>
      </c>
      <c r="P4542">
        <f>IF('01_Вводные'!$B$234="Да",IF(OR(('19_Расчет_аналитики'!P4458-'19_Расчет_аналитики'!P4486)=0,3&lt;='01_Вводные'!$B$297),0,('19_Расчет_аналитики'!P4458-'19_Расчет_аналитики'!P4486)*IF('01_Вводные'!$B$239="Да",MeanMinAge03+'19_Расчет_аналитики'!P4608*SUMIF(ThresholdAge03,"&lt;"&amp;'19_Расчет_аналитики'!P4608,WeightedRevAge03)-SUMIF(ThresholdAge03,"&lt;"&amp;'19_Расчет_аналитики'!P4608,WeightedMinAge03),MAX(CapacityAge03*'01_Вводные'!$B$218*'19_Расчет_аналитики'!P4608,MeanMinAge03))),0)</f>
        <v/>
      </c>
      <c r="Q4542">
        <f>IF('01_Вводные'!$B$234="Да",IF(OR(('19_Расчет_аналитики'!Q4458-'19_Расчет_аналитики'!Q4486)=0,3&lt;='01_Вводные'!$B$297),0,('19_Расчет_аналитики'!Q4458-'19_Расчет_аналитики'!Q4486)*IF('01_Вводные'!$B$239="Да",MeanMinAge03+'19_Расчет_аналитики'!Q4608*SUMIF(ThresholdAge03,"&lt;"&amp;'19_Расчет_аналитики'!Q4608,WeightedRevAge03)-SUMIF(ThresholdAge03,"&lt;"&amp;'19_Расчет_аналитики'!Q4608,WeightedMinAge03),MAX(CapacityAge03*'01_Вводные'!$B$218*'19_Расчет_аналитики'!Q4608,MeanMinAge03))),0)</f>
        <v/>
      </c>
      <c r="R4542">
        <f>IF('01_Вводные'!$B$234="Да",IF(OR(('19_Расчет_аналитики'!R4458-'19_Расчет_аналитики'!R4486)=0,3&lt;='01_Вводные'!$B$297),0,('19_Расчет_аналитики'!R4458-'19_Расчет_аналитики'!R4486)*IF('01_Вводные'!$B$239="Да",MeanMinAge03+'19_Расчет_аналитики'!R4608*SUMIF(ThresholdAge03,"&lt;"&amp;'19_Расчет_аналитики'!R4608,WeightedRevAge03)-SUMIF(ThresholdAge03,"&lt;"&amp;'19_Расчет_аналитики'!R4608,WeightedMinAge03),MAX(CapacityAge03*'01_Вводные'!$B$218*'19_Расчет_аналитики'!R4608,MeanMinAge03))),0)</f>
        <v/>
      </c>
      <c r="S4542">
        <f>IF('01_Вводные'!$B$234="Да",IF(OR(('19_Расчет_аналитики'!S4458-'19_Расчет_аналитики'!S4486)=0,3&lt;='01_Вводные'!$B$297),0,('19_Расчет_аналитики'!S4458-'19_Расчет_аналитики'!S4486)*IF('01_Вводные'!$B$239="Да",MeanMinAge03+'19_Расчет_аналитики'!S4608*SUMIF(ThresholdAge03,"&lt;"&amp;'19_Расчет_аналитики'!S4608,WeightedRevAge03)-SUMIF(ThresholdAge03,"&lt;"&amp;'19_Расчет_аналитики'!S4608,WeightedMinAge03),MAX(CapacityAge03*'01_Вводные'!$B$218*'19_Расчет_аналитики'!S4608,MeanMinAge03))),0)</f>
        <v/>
      </c>
      <c r="T4542">
        <f>IF('01_Вводные'!$B$234="Да",IF(OR(('19_Расчет_аналитики'!T4458-'19_Расчет_аналитики'!T4486)=0,3&lt;='01_Вводные'!$B$297),0,('19_Расчет_аналитики'!T4458-'19_Расчет_аналитики'!T4486)*IF('01_Вводные'!$B$239="Да",MeanMinAge03+'19_Расчет_аналитики'!T4608*SUMIF(ThresholdAge03,"&lt;"&amp;'19_Расчет_аналитики'!T4608,WeightedRevAge03)-SUMIF(ThresholdAge03,"&lt;"&amp;'19_Расчет_аналитики'!T4608,WeightedMinAge03),MAX(CapacityAge03*'01_Вводные'!$B$218*'19_Расчет_аналитики'!T4608,MeanMinAge03))),0)</f>
        <v/>
      </c>
      <c r="U4542">
        <f>IF('01_Вводные'!$B$234="Да",IF(OR(('19_Расчет_аналитики'!U4458-'19_Расчет_аналитики'!U4486)=0,3&lt;='01_Вводные'!$B$297),0,('19_Расчет_аналитики'!U4458-'19_Расчет_аналитики'!U4486)*IF('01_Вводные'!$B$239="Да",MeanMinAge03+'19_Расчет_аналитики'!U4608*SUMIF(ThresholdAge03,"&lt;"&amp;'19_Расчет_аналитики'!U4608,WeightedRevAge03)-SUMIF(ThresholdAge03,"&lt;"&amp;'19_Расчет_аналитики'!U4608,WeightedMinAge03),MAX(CapacityAge03*'01_Вводные'!$B$218*'19_Расчет_аналитики'!U4608,MeanMinAge03))),0)</f>
        <v/>
      </c>
      <c r="V4542">
        <f>IF('01_Вводные'!$B$234="Да",IF(OR(('19_Расчет_аналитики'!V4458-'19_Расчет_аналитики'!V4486)=0,3&lt;='01_Вводные'!$B$297),0,('19_Расчет_аналитики'!V4458-'19_Расчет_аналитики'!V4486)*IF('01_Вводные'!$B$239="Да",MeanMinAge03+'19_Расчет_аналитики'!V4608*SUMIF(ThresholdAge03,"&lt;"&amp;'19_Расчет_аналитики'!V4608,WeightedRevAge03)-SUMIF(ThresholdAge03,"&lt;"&amp;'19_Расчет_аналитики'!V4608,WeightedMinAge03),MAX(CapacityAge03*'01_Вводные'!$B$218*'19_Расчет_аналитики'!V4608,MeanMinAge03))),0)</f>
        <v/>
      </c>
      <c r="W4542">
        <f>IF('01_Вводные'!$B$234="Да",IF(OR(('19_Расчет_аналитики'!W4458-'19_Расчет_аналитики'!W4486)=0,3&lt;='01_Вводные'!$B$297),0,('19_Расчет_аналитики'!W4458-'19_Расчет_аналитики'!W4486)*IF('01_Вводные'!$B$239="Да",MeanMinAge03+'19_Расчет_аналитики'!W4608*SUMIF(ThresholdAge03,"&lt;"&amp;'19_Расчет_аналитики'!W4608,WeightedRevAge03)-SUMIF(ThresholdAge03,"&lt;"&amp;'19_Расчет_аналитики'!W4608,WeightedMinAge03),MAX(CapacityAge03*'01_Вводные'!$B$218*'19_Расчет_аналитики'!W4608,MeanMinAge03))),0)</f>
        <v/>
      </c>
      <c r="X4542">
        <f>IF('01_Вводные'!$B$234="Да",IF(OR(('19_Расчет_аналитики'!X4458-'19_Расчет_аналитики'!X4486)=0,3&lt;='01_Вводные'!$B$297),0,('19_Расчет_аналитики'!X4458-'19_Расчет_аналитики'!X4486)*IF('01_Вводные'!$B$239="Да",MeanMinAge03+'19_Расчет_аналитики'!X4608*SUMIF(ThresholdAge03,"&lt;"&amp;'19_Расчет_аналитики'!X4608,WeightedRevAge03)-SUMIF(ThresholdAge03,"&lt;"&amp;'19_Расчет_аналитики'!X4608,WeightedMinAge03),MAX(CapacityAge03*'01_Вводные'!$B$218*'19_Расчет_аналитики'!X4608,MeanMinAge03))),0)</f>
        <v/>
      </c>
      <c r="Y4542">
        <f>IF('01_Вводные'!$B$234="Да",IF(OR(('19_Расчет_аналитики'!Y4458-'19_Расчет_аналитики'!Y4486)=0,3&lt;='01_Вводные'!$B$297),0,('19_Расчет_аналитики'!Y4458-'19_Расчет_аналитики'!Y4486)*IF('01_Вводные'!$B$239="Да",MeanMinAge03+'19_Расчет_аналитики'!Y4608*SUMIF(ThresholdAge03,"&lt;"&amp;'19_Расчет_аналитики'!Y4608,WeightedRevAge03)-SUMIF(ThresholdAge03,"&lt;"&amp;'19_Расчет_аналитики'!Y4608,WeightedMinAge03),MAX(CapacityAge03*'01_Вводные'!$B$218*'19_Расчет_аналитики'!Y4608,MeanMinAge03))),0)</f>
        <v/>
      </c>
      <c r="Z4542">
        <f>IF('01_Вводные'!$B$234="Да",IF(OR(('19_Расчет_аналитики'!Z4458-'19_Расчет_аналитики'!Z4486)=0,3&lt;='01_Вводные'!$B$297),0,('19_Расчет_аналитики'!Z4458-'19_Расчет_аналитики'!Z4486)*IF('01_Вводные'!$B$239="Да",MeanMinAge03+'19_Расчет_аналитики'!Z4608*SUMIF(ThresholdAge03,"&lt;"&amp;'19_Расчет_аналитики'!Z4608,WeightedRevAge03)-SUMIF(ThresholdAge03,"&lt;"&amp;'19_Расчет_аналитики'!Z4608,WeightedMinAge03),MAX(CapacityAge03*'01_Вводные'!$B$218*'19_Расчет_аналитики'!Z4608,MeanMinAge03))),0)</f>
        <v/>
      </c>
      <c r="AA4542">
        <f>IF('01_Вводные'!$B$234="Да",IF(OR(('19_Расчет_аналитики'!AA4458-'19_Расчет_аналитики'!AA4486)=0,3&lt;='01_Вводные'!$B$297),0,('19_Расчет_аналитики'!AA4458-'19_Расчет_аналитики'!AA4486)*IF('01_Вводные'!$B$239="Да",MeanMinAge03+'19_Расчет_аналитики'!AA4608*SUMIF(ThresholdAge03,"&lt;"&amp;'19_Расчет_аналитики'!AA4608,WeightedRevAge03)-SUMIF(ThresholdAge03,"&lt;"&amp;'19_Расчет_аналитики'!AA4608,WeightedMinAge03),MAX(CapacityAge03*'01_Вводные'!$B$218*'19_Расчет_аналитики'!AA4608,MeanMinAge03))),0)</f>
        <v/>
      </c>
      <c r="AB4542">
        <f>IF('01_Вводные'!$B$234="Да",IF(OR(('19_Расчет_аналитики'!AB4458-'19_Расчет_аналитики'!AB4486)=0,3&lt;='01_Вводные'!$B$297),0,('19_Расчет_аналитики'!AB4458-'19_Расчет_аналитики'!AB4486)*IF('01_Вводные'!$B$239="Да",MeanMinAge03+'19_Расчет_аналитики'!AB4608*SUMIF(ThresholdAge03,"&lt;"&amp;'19_Расчет_аналитики'!AB4608,WeightedRevAge03)-SUMIF(ThresholdAge03,"&lt;"&amp;'19_Расчет_аналитики'!AB4608,WeightedMinAge03),MAX(CapacityAge03*'01_Вводные'!$B$218*'19_Расчет_аналитики'!AB4608,MeanMinAge03))),0)</f>
        <v/>
      </c>
      <c r="AC4542">
        <f>IF('01_Вводные'!$B$234="Да",IF(OR(('19_Расчет_аналитики'!AC4458-'19_Расчет_аналитики'!AC4486)=0,3&lt;='01_Вводные'!$B$297),0,('19_Расчет_аналитики'!AC4458-'19_Расчет_аналитики'!AC4486)*IF('01_Вводные'!$B$239="Да",MeanMinAge03+'19_Расчет_аналитики'!AC4608*SUMIF(ThresholdAge03,"&lt;"&amp;'19_Расчет_аналитики'!AC4608,WeightedRevAge03)-SUMIF(ThresholdAge03,"&lt;"&amp;'19_Расчет_аналитики'!AC4608,WeightedMinAge03),MAX(CapacityAge03*'01_Вводные'!$B$218*'19_Расчет_аналитики'!AC4608,MeanMinAge03))),0)</f>
        <v/>
      </c>
      <c r="AD4542">
        <f>IF('01_Вводные'!$B$234="Да",IF(OR(('19_Расчет_аналитики'!AD4458-'19_Расчет_аналитики'!AD4486)=0,3&lt;='01_Вводные'!$B$297),0,('19_Расчет_аналитики'!AD4458-'19_Расчет_аналитики'!AD4486)*IF('01_Вводные'!$B$239="Да",MeanMinAge03+'19_Расчет_аналитики'!AD4608*SUMIF(ThresholdAge03,"&lt;"&amp;'19_Расчет_аналитики'!AD4608,WeightedRevAge03)-SUMIF(ThresholdAge03,"&lt;"&amp;'19_Расчет_аналитики'!AD4608,WeightedMinAge03),MAX(CapacityAge03*'01_Вводные'!$B$218*'19_Расчет_аналитики'!AD4608,MeanMinAge03))),0)</f>
        <v/>
      </c>
      <c r="AE4542">
        <f>IF('01_Вводные'!$B$234="Да",IF(OR(('19_Расчет_аналитики'!AE4458-'19_Расчет_аналитики'!AE4486)=0,3&lt;='01_Вводные'!$B$297),0,('19_Расчет_аналитики'!AE4458-'19_Расчет_аналитики'!AE4486)*IF('01_Вводные'!$B$239="Да",MeanMinAge03+'19_Расчет_аналитики'!AE4608*SUMIF(ThresholdAge03,"&lt;"&amp;'19_Расчет_аналитики'!AE4608,WeightedRevAge03)-SUMIF(ThresholdAge03,"&lt;"&amp;'19_Расчет_аналитики'!AE4608,WeightedMinAge03),MAX(CapacityAge03*'01_Вводные'!$B$218*'19_Расчет_аналитики'!AE4608,MeanMinAge03))),0)</f>
        <v/>
      </c>
      <c r="AF4542">
        <f>IF('01_Вводные'!$B$234="Да",IF(OR(('19_Расчет_аналитики'!AF4458-'19_Расчет_аналитики'!AF4486)=0,3&lt;='01_Вводные'!$B$297),0,('19_Расчет_аналитики'!AF4458-'19_Расчет_аналитики'!AF4486)*IF('01_Вводные'!$B$239="Да",MeanMinAge03+'19_Расчет_аналитики'!AF4608*SUMIF(ThresholdAge03,"&lt;"&amp;'19_Расчет_аналитики'!AF4608,WeightedRevAge03)-SUMIF(ThresholdAge03,"&lt;"&amp;'19_Расчет_аналитики'!AF4608,WeightedMinAge03),MAX(CapacityAge03*'01_Вводные'!$B$218*'19_Расчет_аналитики'!AF4608,MeanMinAge03))),0)</f>
        <v/>
      </c>
      <c r="AG4542">
        <f>IF('01_Вводные'!$B$234="Да",IF(OR(('19_Расчет_аналитики'!AG4458-'19_Расчет_аналитики'!AG4486)=0,3&lt;='01_Вводные'!$B$297),0,('19_Расчет_аналитики'!AG4458-'19_Расчет_аналитики'!AG4486)*IF('01_Вводные'!$B$239="Да",MeanMinAge03+'19_Расчет_аналитики'!AG4608*SUMIF(ThresholdAge03,"&lt;"&amp;'19_Расчет_аналитики'!AG4608,WeightedRevAge03)-SUMIF(ThresholdAge03,"&lt;"&amp;'19_Расчет_аналитики'!AG4608,WeightedMinAge03),MAX(CapacityAge03*'01_Вводные'!$B$218*'19_Расчет_аналитики'!AG4608,MeanMinAge03))),0)</f>
        <v/>
      </c>
      <c r="AH4542">
        <f>IF('01_Вводные'!$B$234="Да",IF(OR(('19_Расчет_аналитики'!AH4458-'19_Расчет_аналитики'!AH4486)=0,3&lt;='01_Вводные'!$B$297),0,('19_Расчет_аналитики'!AH4458-'19_Расчет_аналитики'!AH4486)*IF('01_Вводные'!$B$239="Да",MeanMinAge03+'19_Расчет_аналитики'!AH4608*SUMIF(ThresholdAge03,"&lt;"&amp;'19_Расчет_аналитики'!AH4608,WeightedRevAge03)-SUMIF(ThresholdAge03,"&lt;"&amp;'19_Расчет_аналитики'!AH4608,WeightedMinAge03),MAX(CapacityAge03*'01_Вводные'!$B$218*'19_Расчет_аналитики'!AH4608,MeanMinAge03))),0)</f>
        <v/>
      </c>
      <c r="AI4542">
        <f>IF('01_Вводные'!$B$234="Да",IF(OR(('19_Расчет_аналитики'!AI4458-'19_Расчет_аналитики'!AI4486)=0,3&lt;='01_Вводные'!$B$297),0,('19_Расчет_аналитики'!AI4458-'19_Расчет_аналитики'!AI4486)*IF('01_Вводные'!$B$239="Да",MeanMinAge03+'19_Расчет_аналитики'!AI4608*SUMIF(ThresholdAge03,"&lt;"&amp;'19_Расчет_аналитики'!AI4608,WeightedRevAge03)-SUMIF(ThresholdAge03,"&lt;"&amp;'19_Расчет_аналитики'!AI4608,WeightedMinAge03),MAX(CapacityAge03*'01_Вводные'!$B$218*'19_Расчет_аналитики'!AI4608,MeanMinAge03))),0)</f>
        <v/>
      </c>
      <c r="AJ4542">
        <f>IF('01_Вводные'!$B$234="Да",IF(OR(('19_Расчет_аналитики'!AJ4458-'19_Расчет_аналитики'!AJ4486)=0,3&lt;='01_Вводные'!$B$297),0,('19_Расчет_аналитики'!AJ4458-'19_Расчет_аналитики'!AJ4486)*IF('01_Вводные'!$B$239="Да",MeanMinAge03+'19_Расчет_аналитики'!AJ4608*SUMIF(ThresholdAge03,"&lt;"&amp;'19_Расчет_аналитики'!AJ4608,WeightedRevAge03)-SUMIF(ThresholdAge03,"&lt;"&amp;'19_Расчет_аналитики'!AJ4608,WeightedMinAge03),MAX(CapacityAge03*'01_Вводные'!$B$218*'19_Расчет_аналитики'!AJ4608,MeanMinAge03))),0)</f>
        <v/>
      </c>
      <c r="AK4542">
        <f>IF('01_Вводные'!$B$234="Да",IF(OR(('19_Расчет_аналитики'!AK4458-'19_Расчет_аналитики'!AK4486)=0,3&lt;='01_Вводные'!$B$297),0,('19_Расчет_аналитики'!AK4458-'19_Расчет_аналитики'!AK4486)*IF('01_Вводные'!$B$239="Да",MeanMinAge03+'19_Расчет_аналитики'!AK4608*SUMIF(ThresholdAge03,"&lt;"&amp;'19_Расчет_аналитики'!AK4608,WeightedRevAge03)-SUMIF(ThresholdAge03,"&lt;"&amp;'19_Расчет_аналитики'!AK4608,WeightedMinAge03),MAX(CapacityAge03*'01_Вводные'!$B$218*'19_Расчет_аналитики'!AK4608,MeanMinAge03))),0)</f>
        <v/>
      </c>
      <c r="AL4542">
        <f>IF('01_Вводные'!$B$234="Да",IF(OR(('19_Расчет_аналитики'!AL4458-'19_Расчет_аналитики'!AL4486)=0,3&lt;='01_Вводные'!$B$297),0,('19_Расчет_аналитики'!AL4458-'19_Расчет_аналитики'!AL4486)*IF('01_Вводные'!$B$239="Да",MeanMinAge03+'19_Расчет_аналитики'!AL4608*SUMIF(ThresholdAge03,"&lt;"&amp;'19_Расчет_аналитики'!AL4608,WeightedRevAge03)-SUMIF(ThresholdAge03,"&lt;"&amp;'19_Расчет_аналитики'!AL4608,WeightedMinAge03),MAX(CapacityAge03*'01_Вводные'!$B$218*'19_Расчет_аналитики'!AL4608,MeanMinAge03))),0)</f>
        <v/>
      </c>
      <c r="AM4542">
        <f>IF('01_Вводные'!$B$234="Да",IF(OR(('19_Расчет_аналитики'!AM4458-'19_Расчет_аналитики'!AM4486)=0,3&lt;='01_Вводные'!$B$297),0,('19_Расчет_аналитики'!AM4458-'19_Расчет_аналитики'!AM4486)*IF('01_Вводные'!$B$239="Да",MeanMinAge03+'19_Расчет_аналитики'!AM4608*SUMIF(ThresholdAge03,"&lt;"&amp;'19_Расчет_аналитики'!AM4608,WeightedRevAge03)-SUMIF(ThresholdAge03,"&lt;"&amp;'19_Расчет_аналитики'!AM4608,WeightedMinAge03),MAX(CapacityAge03*'01_Вводные'!$B$218*'19_Расчет_аналитики'!AM4608,MeanMinAge03))),0)</f>
        <v/>
      </c>
      <c r="AN4542">
        <f>IF('01_Вводные'!$B$234="Да",IF(OR(('19_Расчет_аналитики'!AN4458-'19_Расчет_аналитики'!AN4486)=0,3&lt;='01_Вводные'!$B$297),0,('19_Расчет_аналитики'!AN4458-'19_Расчет_аналитики'!AN4486)*IF('01_Вводные'!$B$239="Да",MeanMinAge03+'19_Расчет_аналитики'!AN4608*SUMIF(ThresholdAge03,"&lt;"&amp;'19_Расчет_аналитики'!AN4608,WeightedRevAge03)-SUMIF(ThresholdAge03,"&lt;"&amp;'19_Расчет_аналитики'!AN4608,WeightedMinAge03),MAX(CapacityAge03*'01_Вводные'!$B$218*'19_Расчет_аналитики'!AN4608,MeanMinAge03))),0)</f>
        <v/>
      </c>
      <c r="AO4542">
        <f>IF('01_Вводные'!$B$234="Да",IF(OR(('19_Расчет_аналитики'!AO4458-'19_Расчет_аналитики'!AO4486)=0,3&lt;='01_Вводные'!$B$297),0,('19_Расчет_аналитики'!AO4458-'19_Расчет_аналитики'!AO4486)*IF('01_Вводные'!$B$239="Да",MeanMinAge03+'19_Расчет_аналитики'!AO4608*SUMIF(ThresholdAge03,"&lt;"&amp;'19_Расчет_аналитики'!AO4608,WeightedRevAge03)-SUMIF(ThresholdAge03,"&lt;"&amp;'19_Расчет_аналитики'!AO4608,WeightedMinAge03),MAX(CapacityAge03*'01_Вводные'!$B$218*'19_Расчет_аналитики'!AO4608,MeanMinAge03))),0)</f>
        <v/>
      </c>
      <c r="AP4542">
        <f>IF('01_Вводные'!$B$234="Да",IF(OR(('19_Расчет_аналитики'!AP4458-'19_Расчет_аналитики'!AP4486)=0,3&lt;='01_Вводные'!$B$297),0,('19_Расчет_аналитики'!AP4458-'19_Расчет_аналитики'!AP4486)*IF('01_Вводные'!$B$239="Да",MeanMinAge03+'19_Расчет_аналитики'!AP4608*SUMIF(ThresholdAge03,"&lt;"&amp;'19_Расчет_аналитики'!AP4608,WeightedRevAge03)-SUMIF(ThresholdAge03,"&lt;"&amp;'19_Расчет_аналитики'!AP4608,WeightedMinAge03),MAX(CapacityAge03*'01_Вводные'!$B$218*'19_Расчет_аналитики'!AP4608,MeanMinAge03))),0)</f>
        <v/>
      </c>
      <c r="AQ4542">
        <f>IF('01_Вводные'!$B$234="Да",IF(OR(('19_Расчет_аналитики'!AQ4458-'19_Расчет_аналитики'!AQ4486)=0,3&lt;='01_Вводные'!$B$297),0,('19_Расчет_аналитики'!AQ4458-'19_Расчет_аналитики'!AQ4486)*IF('01_Вводные'!$B$239="Да",MeanMinAge03+'19_Расчет_аналитики'!AQ4608*SUMIF(ThresholdAge03,"&lt;"&amp;'19_Расчет_аналитики'!AQ4608,WeightedRevAge03)-SUMIF(ThresholdAge03,"&lt;"&amp;'19_Расчет_аналитики'!AQ4608,WeightedMinAge03),MAX(CapacityAge03*'01_Вводные'!$B$218*'19_Расчет_аналитики'!AQ4608,MeanMinAge03))),0)</f>
        <v/>
      </c>
      <c r="AR4542">
        <f>IF('01_Вводные'!$B$234="Да",IF(OR(('19_Расчет_аналитики'!AR4458-'19_Расчет_аналитики'!AR4486)=0,3&lt;='01_Вводные'!$B$297),0,('19_Расчет_аналитики'!AR4458-'19_Расчет_аналитики'!AR4486)*IF('01_Вводные'!$B$239="Да",MeanMinAge03+'19_Расчет_аналитики'!AR4608*SUMIF(ThresholdAge03,"&lt;"&amp;'19_Расчет_аналитики'!AR4608,WeightedRevAge03)-SUMIF(ThresholdAge03,"&lt;"&amp;'19_Расчет_аналитики'!AR4608,WeightedMinAge03),MAX(CapacityAge03*'01_Вводные'!$B$218*'19_Расчет_аналитики'!AR4608,MeanMinAge03))),0)</f>
        <v/>
      </c>
      <c r="AS4542">
        <f>IF('01_Вводные'!$B$234="Да",IF(OR(('19_Расчет_аналитики'!AS4458-'19_Расчет_аналитики'!AS4486)=0,3&lt;='01_Вводные'!$B$297),0,('19_Расчет_аналитики'!AS4458-'19_Расчет_аналитики'!AS4486)*IF('01_Вводные'!$B$239="Да",MeanMinAge03+'19_Расчет_аналитики'!AS4608*SUMIF(ThresholdAge03,"&lt;"&amp;'19_Расчет_аналитики'!AS4608,WeightedRevAge03)-SUMIF(ThresholdAge03,"&lt;"&amp;'19_Расчет_аналитики'!AS4608,WeightedMinAge03),MAX(CapacityAge03*'01_Вводные'!$B$218*'19_Расчет_аналитики'!AS4608,MeanMinAge03))),0)</f>
        <v/>
      </c>
      <c r="AT4542">
        <f>IF('01_Вводные'!$B$234="Да",IF(OR(('19_Расчет_аналитики'!AT4458-'19_Расчет_аналитики'!AT4486)=0,3&lt;='01_Вводные'!$B$297),0,('19_Расчет_аналитики'!AT4458-'19_Расчет_аналитики'!AT4486)*IF('01_Вводные'!$B$239="Да",MeanMinAge03+'19_Расчет_аналитики'!AT4608*SUMIF(ThresholdAge03,"&lt;"&amp;'19_Расчет_аналитики'!AT4608,WeightedRevAge03)-SUMIF(ThresholdAge03,"&lt;"&amp;'19_Расчет_аналитики'!AT4608,WeightedMinAge03),MAX(CapacityAge03*'01_Вводные'!$B$218*'19_Расчет_аналитики'!AT4608,MeanMinAge03))),0)</f>
        <v/>
      </c>
      <c r="AU4542">
        <f>IF('01_Вводные'!$B$234="Да",IF(OR(('19_Расчет_аналитики'!AU4458-'19_Расчет_аналитики'!AU4486)=0,3&lt;='01_Вводные'!$B$297),0,('19_Расчет_аналитики'!AU4458-'19_Расчет_аналитики'!AU4486)*IF('01_Вводные'!$B$239="Да",MeanMinAge03+'19_Расчет_аналитики'!AU4608*SUMIF(ThresholdAge03,"&lt;"&amp;'19_Расчет_аналитики'!AU4608,WeightedRevAge03)-SUMIF(ThresholdAge03,"&lt;"&amp;'19_Расчет_аналитики'!AU4608,WeightedMinAge03),MAX(CapacityAge03*'01_Вводные'!$B$218*'19_Расчет_аналитики'!AU4608,MeanMinAge03))),0)</f>
        <v/>
      </c>
      <c r="AV4542">
        <f>IF('01_Вводные'!$B$234="Да",IF(OR(('19_Расчет_аналитики'!AV4458-'19_Расчет_аналитики'!AV4486)=0,3&lt;='01_Вводные'!$B$297),0,('19_Расчет_аналитики'!AV4458-'19_Расчет_аналитики'!AV4486)*IF('01_Вводные'!$B$239="Да",MeanMinAge03+'19_Расчет_аналитики'!AV4608*SUMIF(ThresholdAge03,"&lt;"&amp;'19_Расчет_аналитики'!AV4608,WeightedRevAge03)-SUMIF(ThresholdAge03,"&lt;"&amp;'19_Расчет_аналитики'!AV4608,WeightedMinAge03),MAX(CapacityAge03*'01_Вводные'!$B$218*'19_Расчет_аналитики'!AV4608,MeanMinAge03))),0)</f>
        <v/>
      </c>
      <c r="AW4542">
        <f>IF('01_Вводные'!$B$234="Да",IF(OR(('19_Расчет_аналитики'!AW4458-'19_Расчет_аналитики'!AW4486)=0,3&lt;='01_Вводные'!$B$297),0,('19_Расчет_аналитики'!AW4458-'19_Расчет_аналитики'!AW4486)*IF('01_Вводные'!$B$239="Да",MeanMinAge03+'19_Расчет_аналитики'!AW4608*SUMIF(ThresholdAge03,"&lt;"&amp;'19_Расчет_аналитики'!AW4608,WeightedRevAge03)-SUMIF(ThresholdAge03,"&lt;"&amp;'19_Расчет_аналитики'!AW4608,WeightedMinAge03),MAX(CapacityAge03*'01_Вводные'!$B$218*'19_Расчет_аналитики'!AW4608,MeanMinAge03))),0)</f>
        <v/>
      </c>
      <c r="AX4542">
        <f>IF('01_Вводные'!$B$234="Да",IF(OR(('19_Расчет_аналитики'!AX4458-'19_Расчет_аналитики'!AX4486)=0,3&lt;='01_Вводные'!$B$297),0,('19_Расчет_аналитики'!AX4458-'19_Расчет_аналитики'!AX4486)*IF('01_Вводные'!$B$239="Да",MeanMinAge03+'19_Расчет_аналитики'!AX4608*SUMIF(ThresholdAge03,"&lt;"&amp;'19_Расчет_аналитики'!AX4608,WeightedRevAge03)-SUMIF(ThresholdAge03,"&lt;"&amp;'19_Расчет_аналитики'!AX4608,WeightedMinAge03),MAX(CapacityAge03*'01_Вводные'!$B$218*'19_Расчет_аналитики'!AX4608,MeanMinAge03))),0)</f>
        <v/>
      </c>
      <c r="AY4542">
        <f>IF('01_Вводные'!$B$234="Да",IF(OR(('19_Расчет_аналитики'!AY4458-'19_Расчет_аналитики'!AY4486)=0,3&lt;='01_Вводные'!$B$297),0,('19_Расчет_аналитики'!AY4458-'19_Расчет_аналитики'!AY4486)*IF('01_Вводные'!$B$239="Да",MeanMinAge03+'19_Расчет_аналитики'!AY4608*SUMIF(ThresholdAge03,"&lt;"&amp;'19_Расчет_аналитики'!AY4608,WeightedRevAge03)-SUMIF(ThresholdAge03,"&lt;"&amp;'19_Расчет_аналитики'!AY4608,WeightedMinAge03),MAX(CapacityAge03*'01_Вводные'!$B$218*'19_Расчет_аналитики'!AY4608,MeanMinAge03))),0)</f>
        <v/>
      </c>
      <c r="AZ4542">
        <f>IF('01_Вводные'!$B$234="Да",IF(OR(('19_Расчет_аналитики'!AZ4458-'19_Расчет_аналитики'!AZ4486)=0,3&lt;='01_Вводные'!$B$297),0,('19_Расчет_аналитики'!AZ4458-'19_Расчет_аналитики'!AZ4486)*IF('01_Вводные'!$B$239="Да",MeanMinAge03+'19_Расчет_аналитики'!AZ4608*SUMIF(ThresholdAge03,"&lt;"&amp;'19_Расчет_аналитики'!AZ4608,WeightedRevAge03)-SUMIF(ThresholdAge03,"&lt;"&amp;'19_Расчет_аналитики'!AZ4608,WeightedMinAge03),MAX(CapacityAge03*'01_Вводные'!$B$218*'19_Расчет_аналитики'!AZ4608,MeanMinAge03))),0)</f>
        <v/>
      </c>
      <c r="BA4542">
        <f>IF('01_Вводные'!$B$234="Да",IF(OR(('19_Расчет_аналитики'!BA4458-'19_Расчет_аналитики'!BA4486)=0,3&lt;='01_Вводные'!$B$297),0,('19_Расчет_аналитики'!BA4458-'19_Расчет_аналитики'!BA4486)*IF('01_Вводные'!$B$239="Да",MeanMinAge03+'19_Расчет_аналитики'!BA4608*SUMIF(ThresholdAge03,"&lt;"&amp;'19_Расчет_аналитики'!BA4608,WeightedRevAge03)-SUMIF(ThresholdAge03,"&lt;"&amp;'19_Расчет_аналитики'!BA4608,WeightedMinAge03),MAX(CapacityAge03*'01_Вводные'!$B$218*'19_Расчет_аналитики'!BA4608,MeanMinAge03))),0)</f>
        <v/>
      </c>
      <c r="BB4542">
        <f>IF('01_Вводные'!$B$234="Да",IF(OR(('19_Расчет_аналитики'!BB4458-'19_Расчет_аналитики'!BB4486)=0,3&lt;='01_Вводные'!$B$297),0,('19_Расчет_аналитики'!BB4458-'19_Расчет_аналитики'!BB4486)*IF('01_Вводные'!$B$239="Да",MeanMinAge03+'19_Расчет_аналитики'!BB4608*SUMIF(ThresholdAge03,"&lt;"&amp;'19_Расчет_аналитики'!BB4608,WeightedRevAge03)-SUMIF(ThresholdAge03,"&lt;"&amp;'19_Расчет_аналитики'!BB4608,WeightedMinAge03),MAX(CapacityAge03*'01_Вводные'!$B$218*'19_Расчет_аналитики'!BB4608,MeanMinAge03))),0)</f>
        <v/>
      </c>
      <c r="BC4542">
        <f>IF('01_Вводные'!$B$234="Да",IF(OR(('19_Расчет_аналитики'!BC4458-'19_Расчет_аналитики'!BC4486)=0,3&lt;='01_Вводные'!$B$297),0,('19_Расчет_аналитики'!BC4458-'19_Расчет_аналитики'!BC4486)*IF('01_Вводные'!$B$239="Да",MeanMinAge03+'19_Расчет_аналитики'!BC4608*SUMIF(ThresholdAge03,"&lt;"&amp;'19_Расчет_аналитики'!BC4608,WeightedRevAge03)-SUMIF(ThresholdAge03,"&lt;"&amp;'19_Расчет_аналитики'!BC4608,WeightedMinAge03),MAX(CapacityAge03*'01_Вводные'!$B$218*'19_Расчет_аналитики'!BC4608,MeanMinAge03))),0)</f>
        <v/>
      </c>
      <c r="BD4542">
        <f>IF('01_Вводные'!$B$234="Да",IF(OR(('19_Расчет_аналитики'!BD4458-'19_Расчет_аналитики'!BD4486)=0,3&lt;='01_Вводные'!$B$297),0,('19_Расчет_аналитики'!BD4458-'19_Расчет_аналитики'!BD4486)*IF('01_Вводные'!$B$239="Да",MeanMinAge03+'19_Расчет_аналитики'!BD4608*SUMIF(ThresholdAge03,"&lt;"&amp;'19_Расчет_аналитики'!BD4608,WeightedRevAge03)-SUMIF(ThresholdAge03,"&lt;"&amp;'19_Расчет_аналитики'!BD4608,WeightedMinAge03),MAX(CapacityAge03*'01_Вводные'!$B$218*'19_Расчет_аналитики'!BD4608,MeanMinAge03))),0)</f>
        <v/>
      </c>
      <c r="BE4542">
        <f>IF('01_Вводные'!$B$234="Да",IF(OR(('19_Расчет_аналитики'!BE4458-'19_Расчет_аналитики'!BE4486)=0,3&lt;='01_Вводные'!$B$297),0,('19_Расчет_аналитики'!BE4458-'19_Расчет_аналитики'!BE4486)*IF('01_Вводные'!$B$239="Да",MeanMinAge03+'19_Расчет_аналитики'!BE4608*SUMIF(ThresholdAge03,"&lt;"&amp;'19_Расчет_аналитики'!BE4608,WeightedRevAge03)-SUMIF(ThresholdAge03,"&lt;"&amp;'19_Расчет_аналитики'!BE4608,WeightedMinAge03),MAX(CapacityAge03*'01_Вводные'!$B$218*'19_Расчет_аналитики'!BE4608,MeanMinAge03))),0)</f>
        <v/>
      </c>
      <c r="BF4542">
        <f>IF('01_Вводные'!$B$234="Да",IF(OR(('19_Расчет_аналитики'!BF4458-'19_Расчет_аналитики'!BF4486)=0,3&lt;='01_Вводные'!$B$297),0,('19_Расчет_аналитики'!BF4458-'19_Расчет_аналитики'!BF4486)*IF('01_Вводные'!$B$239="Да",MeanMinAge03+'19_Расчет_аналитики'!BF4608*SUMIF(ThresholdAge03,"&lt;"&amp;'19_Расчет_аналитики'!BF4608,WeightedRevAge03)-SUMIF(ThresholdAge03,"&lt;"&amp;'19_Расчет_аналитики'!BF4608,WeightedMinAge03),MAX(CapacityAge03*'01_Вводные'!$B$218*'19_Расчет_аналитики'!BF4608,MeanMinAge03))),0)</f>
        <v/>
      </c>
      <c r="BG4542">
        <f>IF('01_Вводные'!$B$234="Да",IF(OR(('19_Расчет_аналитики'!BG4458-'19_Расчет_аналитики'!BG4486)=0,3&lt;='01_Вводные'!$B$297),0,('19_Расчет_аналитики'!BG4458-'19_Расчет_аналитики'!BG4486)*IF('01_Вводные'!$B$239="Да",MeanMinAge03+'19_Расчет_аналитики'!BG4608*SUMIF(ThresholdAge03,"&lt;"&amp;'19_Расчет_аналитики'!BG4608,WeightedRevAge03)-SUMIF(ThresholdAge03,"&lt;"&amp;'19_Расчет_аналитики'!BG4608,WeightedMinAge03),MAX(CapacityAge03*'01_Вводные'!$B$218*'19_Расчет_аналитики'!BG4608,MeanMinAge03))),0)</f>
        <v/>
      </c>
      <c r="BH4542">
        <f>IF('01_Вводные'!$B$234="Да",IF(OR(('19_Расчет_аналитики'!BH4458-'19_Расчет_аналитики'!BH4486)=0,3&lt;='01_Вводные'!$B$297),0,('19_Расчет_аналитики'!BH4458-'19_Расчет_аналитики'!BH4486)*IF('01_Вводные'!$B$239="Да",MeanMinAge03+'19_Расчет_аналитики'!BH4608*SUMIF(ThresholdAge03,"&lt;"&amp;'19_Расчет_аналитики'!BH4608,WeightedRevAge03)-SUMIF(ThresholdAge03,"&lt;"&amp;'19_Расчет_аналитики'!BH4608,WeightedMinAge03),MAX(CapacityAge03*'01_Вводные'!$B$218*'19_Расчет_аналитики'!BH4608,MeanMinAge03))),0)</f>
        <v/>
      </c>
      <c r="BI4542">
        <f>IF('01_Вводные'!$B$234="Да",IF(OR(('19_Расчет_аналитики'!BI4458-'19_Расчет_аналитики'!BI4486)=0,3&lt;='01_Вводные'!$B$297),0,('19_Расчет_аналитики'!BI4458-'19_Расчет_аналитики'!BI4486)*IF('01_Вводные'!$B$239="Да",MeanMinAge03+'19_Расчет_аналитики'!BI4608*SUMIF(ThresholdAge03,"&lt;"&amp;'19_Расчет_аналитики'!BI4608,WeightedRevAge03)-SUMIF(ThresholdAge03,"&lt;"&amp;'19_Расчет_аналитики'!BI4608,WeightedMinAge03),MAX(CapacityAge03*'01_Вводные'!$B$218*'19_Расчет_аналитики'!BI4608,MeanMinAge03))),0)</f>
        <v/>
      </c>
      <c r="BJ4542">
        <f>IF('01_Вводные'!$B$234="Да",IF(OR(('19_Расчет_аналитики'!BJ4458-'19_Расчет_аналитики'!BJ4486)=0,3&lt;='01_Вводные'!$B$297),0,('19_Расчет_аналитики'!BJ4458-'19_Расчет_аналитики'!BJ4486)*IF('01_Вводные'!$B$239="Да",MeanMinAge03+'19_Расчет_аналитики'!BJ4608*SUMIF(ThresholdAge03,"&lt;"&amp;'19_Расчет_аналитики'!BJ4608,WeightedRevAge03)-SUMIF(ThresholdAge03,"&lt;"&amp;'19_Расчет_аналитики'!BJ4608,WeightedMinAge03),MAX(CapacityAge03*'01_Вводные'!$B$218*'19_Расчет_аналитики'!BJ4608,MeanMinAge03))),0)</f>
        <v/>
      </c>
      <c r="BK4542">
        <f>IF('01_Вводные'!$B$234="Да",IF(OR(('19_Расчет_аналитики'!BK4458-'19_Расчет_аналитики'!BK4486)=0,3&lt;='01_Вводные'!$B$297),0,('19_Расчет_аналитики'!BK4458-'19_Расчет_аналитики'!BK4486)*IF('01_Вводные'!$B$239="Да",MeanMinAge03+'19_Расчет_аналитики'!BK4608*SUMIF(ThresholdAge03,"&lt;"&amp;'19_Расчет_аналитики'!BK4608,WeightedRevAge03)-SUMIF(ThresholdAge03,"&lt;"&amp;'19_Расчет_аналитики'!BK4608,WeightedMinAge03),MAX(CapacityAge03*'01_Вводные'!$B$218*'19_Расчет_аналитики'!BK4608,MeanMinAge03))),0)</f>
        <v/>
      </c>
      <c r="BL4542">
        <f>IF('01_Вводные'!$B$234="Да",IF(OR(('19_Расчет_аналитики'!BL4458-'19_Расчет_аналитики'!BL4486)=0,3&lt;='01_Вводные'!$B$297),0,('19_Расчет_аналитики'!BL4458-'19_Расчет_аналитики'!BL4486)*IF('01_Вводные'!$B$239="Да",MeanMinAge03+'19_Расчет_аналитики'!BL4608*SUMIF(ThresholdAge03,"&lt;"&amp;'19_Расчет_аналитики'!BL4608,WeightedRevAge03)-SUMIF(ThresholdAge03,"&lt;"&amp;'19_Расчет_аналитики'!BL4608,WeightedMinAge03),MAX(CapacityAge03*'01_Вводные'!$B$218*'19_Расчет_аналитики'!BL4608,MeanMinAge03))),0)</f>
        <v/>
      </c>
      <c r="BM4542">
        <f>IF('01_Вводные'!$B$234="Да",IF(OR(('19_Расчет_аналитики'!BM4458-'19_Расчет_аналитики'!BM4486)=0,3&lt;='01_Вводные'!$B$297),0,('19_Расчет_аналитики'!BM4458-'19_Расчет_аналитики'!BM4486)*IF('01_Вводные'!$B$239="Да",MeanMinAge03+'19_Расчет_аналитики'!BM4608*SUMIF(ThresholdAge03,"&lt;"&amp;'19_Расчет_аналитики'!BM4608,WeightedRevAge03)-SUMIF(ThresholdAge03,"&lt;"&amp;'19_Расчет_аналитики'!BM4608,WeightedMinAge03),MAX(CapacityAge03*'01_Вводные'!$B$218*'19_Расчет_аналитики'!BM4608,MeanMinAge03))),0)</f>
        <v/>
      </c>
      <c r="BN4542">
        <f>IF('01_Вводные'!$B$234="Да",IF(OR(('19_Расчет_аналитики'!BN4458-'19_Расчет_аналитики'!BN4486)=0,3&lt;='01_Вводные'!$B$297),0,('19_Расчет_аналитики'!BN4458-'19_Расчет_аналитики'!BN4486)*IF('01_Вводные'!$B$239="Да",MeanMinAge03+'19_Расчет_аналитики'!BN4608*SUMIF(ThresholdAge03,"&lt;"&amp;'19_Расчет_аналитики'!BN4608,WeightedRevAge03)-SUMIF(ThresholdAge03,"&lt;"&amp;'19_Расчет_аналитики'!BN4608,WeightedMinAge03),MAX(CapacityAge03*'01_Вводные'!$B$218*'19_Расчет_аналитики'!BN4608,MeanMinAge03))),0)</f>
        <v/>
      </c>
      <c r="BO4542">
        <f>IF('01_Вводные'!$B$234="Да",IF(OR(('19_Расчет_аналитики'!BO4458-'19_Расчет_аналитики'!BO4486)=0,3&lt;='01_Вводные'!$B$297),0,('19_Расчет_аналитики'!BO4458-'19_Расчет_аналитики'!BO4486)*IF('01_Вводные'!$B$239="Да",MeanMinAge03+'19_Расчет_аналитики'!BO4608*SUMIF(ThresholdAge03,"&lt;"&amp;'19_Расчет_аналитики'!BO4608,WeightedRevAge03)-SUMIF(ThresholdAge03,"&lt;"&amp;'19_Расчет_аналитики'!BO4608,WeightedMinAge03),MAX(CapacityAge03*'01_Вводные'!$B$218*'19_Расчет_аналитики'!BO4608,MeanMinAge03))),0)</f>
        <v/>
      </c>
    </row>
    <row r="4543">
      <c r="B4543">
        <f>IF('01_Вводные'!$B$234="Да",IF(OR(('06_Сеть_и_дети'!B56-'06_Сеть_и_дети'!B84)=0,4&lt;='01_Вводные'!$B$297),0,('06_Сеть_и_дети'!B56-'06_Сеть_и_дети'!B84)*IF('01_Вводные'!$B$239="Да",MeanMinAge04+'19_Расчет_аналитики'!B4608*SUMIF(ThresholdAge04,"&lt;"&amp;'19_Расчет_аналитики'!B4608,WeightedRevAge04)-SUMIF(ThresholdAge04,"&lt;"&amp;'19_Расчет_аналитики'!B4608,WeightedMinAge04),MAX(CapacityAge04*'01_Вводные'!$B$218*'19_Расчет_аналитики'!B4608,MeanMinAge04))),0)</f>
        <v/>
      </c>
      <c r="C4543">
        <f>IF('01_Вводные'!$B$234="Да",IF(OR(('06_Сеть_и_дети'!C56-'06_Сеть_и_дети'!C84)=0,4&lt;='01_Вводные'!$B$297),0,('06_Сеть_и_дети'!C56-'06_Сеть_и_дети'!C84)*IF('01_Вводные'!$B$239="Да",MeanMinAge04+'19_Расчет_аналитики'!C4608*SUMIF(ThresholdAge04,"&lt;"&amp;'19_Расчет_аналитики'!C4608,WeightedRevAge04)-SUMIF(ThresholdAge04,"&lt;"&amp;'19_Расчет_аналитики'!C4608,WeightedMinAge04),MAX(CapacityAge04*'01_Вводные'!$B$218*'19_Расчет_аналитики'!C4608,MeanMinAge04))),0)</f>
        <v/>
      </c>
      <c r="D4543">
        <f>IF('01_Вводные'!$B$234="Да",IF(OR(('06_Сеть_и_дети'!D56-'06_Сеть_и_дети'!D84)=0,4&lt;='01_Вводные'!$B$297),0,('06_Сеть_и_дети'!D56-'06_Сеть_и_дети'!D84)*IF('01_Вводные'!$B$239="Да",MeanMinAge04+'19_Расчет_аналитики'!D4608*SUMIF(ThresholdAge04,"&lt;"&amp;'19_Расчет_аналитики'!D4608,WeightedRevAge04)-SUMIF(ThresholdAge04,"&lt;"&amp;'19_Расчет_аналитики'!D4608,WeightedMinAge04),MAX(CapacityAge04*'01_Вводные'!$B$218*'19_Расчет_аналитики'!D4608,MeanMinAge04))),0)</f>
        <v/>
      </c>
      <c r="E4543">
        <f>IF('01_Вводные'!$B$234="Да",IF(OR(('19_Расчет_аналитики'!E4459-'19_Расчет_аналитики'!E4487)=0,4&lt;='01_Вводные'!$B$297),0,('19_Расчет_аналитики'!E4459-'19_Расчет_аналитики'!E4487)*IF('01_Вводные'!$B$239="Да",MeanMinAge04+'19_Расчет_аналитики'!E4608*SUMIF(ThresholdAge04,"&lt;"&amp;'19_Расчет_аналитики'!E4608,WeightedRevAge04)-SUMIF(ThresholdAge04,"&lt;"&amp;'19_Расчет_аналитики'!E4608,WeightedMinAge04),MAX(CapacityAge04*'01_Вводные'!$B$218*'19_Расчет_аналитики'!E4608,MeanMinAge04))),0)</f>
        <v/>
      </c>
      <c r="F4543">
        <f>IF('01_Вводные'!$B$234="Да",IF(OR(('19_Расчет_аналитики'!F4459-'19_Расчет_аналитики'!F4487)=0,4&lt;='01_Вводные'!$B$297),0,('19_Расчет_аналитики'!F4459-'19_Расчет_аналитики'!F4487)*IF('01_Вводные'!$B$239="Да",MeanMinAge04+'19_Расчет_аналитики'!F4608*SUMIF(ThresholdAge04,"&lt;"&amp;'19_Расчет_аналитики'!F4608,WeightedRevAge04)-SUMIF(ThresholdAge04,"&lt;"&amp;'19_Расчет_аналитики'!F4608,WeightedMinAge04),MAX(CapacityAge04*'01_Вводные'!$B$218*'19_Расчет_аналитики'!F4608,MeanMinAge04))),0)</f>
        <v/>
      </c>
      <c r="G4543">
        <f>IF('01_Вводные'!$B$234="Да",IF(OR(('19_Расчет_аналитики'!G4459-'19_Расчет_аналитики'!G4487)=0,4&lt;='01_Вводные'!$B$297),0,('19_Расчет_аналитики'!G4459-'19_Расчет_аналитики'!G4487)*IF('01_Вводные'!$B$239="Да",MeanMinAge04+'19_Расчет_аналитики'!G4608*SUMIF(ThresholdAge04,"&lt;"&amp;'19_Расчет_аналитики'!G4608,WeightedRevAge04)-SUMIF(ThresholdAge04,"&lt;"&amp;'19_Расчет_аналитики'!G4608,WeightedMinAge04),MAX(CapacityAge04*'01_Вводные'!$B$218*'19_Расчет_аналитики'!G4608,MeanMinAge04))),0)</f>
        <v/>
      </c>
      <c r="H4543">
        <f>IF('01_Вводные'!$B$234="Да",IF(OR(('19_Расчет_аналитики'!H4459-'19_Расчет_аналитики'!H4487)=0,4&lt;='01_Вводные'!$B$297),0,('19_Расчет_аналитики'!H4459-'19_Расчет_аналитики'!H4487)*IF('01_Вводные'!$B$239="Да",MeanMinAge04+'19_Расчет_аналитики'!H4608*SUMIF(ThresholdAge04,"&lt;"&amp;'19_Расчет_аналитики'!H4608,WeightedRevAge04)-SUMIF(ThresholdAge04,"&lt;"&amp;'19_Расчет_аналитики'!H4608,WeightedMinAge04),MAX(CapacityAge04*'01_Вводные'!$B$218*'19_Расчет_аналитики'!H4608,MeanMinAge04))),0)</f>
        <v/>
      </c>
      <c r="I4543">
        <f>IF('01_Вводные'!$B$234="Да",IF(OR(('19_Расчет_аналитики'!I4459-'19_Расчет_аналитики'!I4487)=0,4&lt;='01_Вводные'!$B$297),0,('19_Расчет_аналитики'!I4459-'19_Расчет_аналитики'!I4487)*IF('01_Вводные'!$B$239="Да",MeanMinAge04+'19_Расчет_аналитики'!I4608*SUMIF(ThresholdAge04,"&lt;"&amp;'19_Расчет_аналитики'!I4608,WeightedRevAge04)-SUMIF(ThresholdAge04,"&lt;"&amp;'19_Расчет_аналитики'!I4608,WeightedMinAge04),MAX(CapacityAge04*'01_Вводные'!$B$218*'19_Расчет_аналитики'!I4608,MeanMinAge04))),0)</f>
        <v/>
      </c>
      <c r="J4543">
        <f>IF('01_Вводные'!$B$234="Да",IF(OR(('19_Расчет_аналитики'!J4459-'19_Расчет_аналитики'!J4487)=0,4&lt;='01_Вводные'!$B$297),0,('19_Расчет_аналитики'!J4459-'19_Расчет_аналитики'!J4487)*IF('01_Вводные'!$B$239="Да",MeanMinAge04+'19_Расчет_аналитики'!J4608*SUMIF(ThresholdAge04,"&lt;"&amp;'19_Расчет_аналитики'!J4608,WeightedRevAge04)-SUMIF(ThresholdAge04,"&lt;"&amp;'19_Расчет_аналитики'!J4608,WeightedMinAge04),MAX(CapacityAge04*'01_Вводные'!$B$218*'19_Расчет_аналитики'!J4608,MeanMinAge04))),0)</f>
        <v/>
      </c>
      <c r="K4543">
        <f>IF('01_Вводные'!$B$234="Да",IF(OR(('19_Расчет_аналитики'!K4459-'19_Расчет_аналитики'!K4487)=0,4&lt;='01_Вводные'!$B$297),0,('19_Расчет_аналитики'!K4459-'19_Расчет_аналитики'!K4487)*IF('01_Вводные'!$B$239="Да",MeanMinAge04+'19_Расчет_аналитики'!K4608*SUMIF(ThresholdAge04,"&lt;"&amp;'19_Расчет_аналитики'!K4608,WeightedRevAge04)-SUMIF(ThresholdAge04,"&lt;"&amp;'19_Расчет_аналитики'!K4608,WeightedMinAge04),MAX(CapacityAge04*'01_Вводные'!$B$218*'19_Расчет_аналитики'!K4608,MeanMinAge04))),0)</f>
        <v/>
      </c>
      <c r="L4543">
        <f>IF('01_Вводные'!$B$234="Да",IF(OR(('19_Расчет_аналитики'!L4459-'19_Расчет_аналитики'!L4487)=0,4&lt;='01_Вводные'!$B$297),0,('19_Расчет_аналитики'!L4459-'19_Расчет_аналитики'!L4487)*IF('01_Вводные'!$B$239="Да",MeanMinAge04+'19_Расчет_аналитики'!L4608*SUMIF(ThresholdAge04,"&lt;"&amp;'19_Расчет_аналитики'!L4608,WeightedRevAge04)-SUMIF(ThresholdAge04,"&lt;"&amp;'19_Расчет_аналитики'!L4608,WeightedMinAge04),MAX(CapacityAge04*'01_Вводные'!$B$218*'19_Расчет_аналитики'!L4608,MeanMinAge04))),0)</f>
        <v/>
      </c>
      <c r="M4543">
        <f>IF('01_Вводные'!$B$234="Да",IF(OR(('19_Расчет_аналитики'!M4459-'19_Расчет_аналитики'!M4487)=0,4&lt;='01_Вводные'!$B$297),0,('19_Расчет_аналитики'!M4459-'19_Расчет_аналитики'!M4487)*IF('01_Вводные'!$B$239="Да",MeanMinAge04+'19_Расчет_аналитики'!M4608*SUMIF(ThresholdAge04,"&lt;"&amp;'19_Расчет_аналитики'!M4608,WeightedRevAge04)-SUMIF(ThresholdAge04,"&lt;"&amp;'19_Расчет_аналитики'!M4608,WeightedMinAge04),MAX(CapacityAge04*'01_Вводные'!$B$218*'19_Расчет_аналитики'!M4608,MeanMinAge04))),0)</f>
        <v/>
      </c>
      <c r="N4543">
        <f>IF('01_Вводные'!$B$234="Да",IF(OR(('19_Расчет_аналитики'!N4459-'19_Расчет_аналитики'!N4487)=0,4&lt;='01_Вводные'!$B$297),0,('19_Расчет_аналитики'!N4459-'19_Расчет_аналитики'!N4487)*IF('01_Вводные'!$B$239="Да",MeanMinAge04+'19_Расчет_аналитики'!N4608*SUMIF(ThresholdAge04,"&lt;"&amp;'19_Расчет_аналитики'!N4608,WeightedRevAge04)-SUMIF(ThresholdAge04,"&lt;"&amp;'19_Расчет_аналитики'!N4608,WeightedMinAge04),MAX(CapacityAge04*'01_Вводные'!$B$218*'19_Расчет_аналитики'!N4608,MeanMinAge04))),0)</f>
        <v/>
      </c>
      <c r="O4543">
        <f>IF('01_Вводные'!$B$234="Да",IF(OR(('19_Расчет_аналитики'!O4459-'19_Расчет_аналитики'!O4487)=0,4&lt;='01_Вводные'!$B$297),0,('19_Расчет_аналитики'!O4459-'19_Расчет_аналитики'!O4487)*IF('01_Вводные'!$B$239="Да",MeanMinAge04+'19_Расчет_аналитики'!O4608*SUMIF(ThresholdAge04,"&lt;"&amp;'19_Расчет_аналитики'!O4608,WeightedRevAge04)-SUMIF(ThresholdAge04,"&lt;"&amp;'19_Расчет_аналитики'!O4608,WeightedMinAge04),MAX(CapacityAge04*'01_Вводные'!$B$218*'19_Расчет_аналитики'!O4608,MeanMinAge04))),0)</f>
        <v/>
      </c>
      <c r="P4543">
        <f>IF('01_Вводные'!$B$234="Да",IF(OR(('19_Расчет_аналитики'!P4459-'19_Расчет_аналитики'!P4487)=0,4&lt;='01_Вводные'!$B$297),0,('19_Расчет_аналитики'!P4459-'19_Расчет_аналитики'!P4487)*IF('01_Вводные'!$B$239="Да",MeanMinAge04+'19_Расчет_аналитики'!P4608*SUMIF(ThresholdAge04,"&lt;"&amp;'19_Расчет_аналитики'!P4608,WeightedRevAge04)-SUMIF(ThresholdAge04,"&lt;"&amp;'19_Расчет_аналитики'!P4608,WeightedMinAge04),MAX(CapacityAge04*'01_Вводные'!$B$218*'19_Расчет_аналитики'!P4608,MeanMinAge04))),0)</f>
        <v/>
      </c>
      <c r="Q4543">
        <f>IF('01_Вводные'!$B$234="Да",IF(OR(('19_Расчет_аналитики'!Q4459-'19_Расчет_аналитики'!Q4487)=0,4&lt;='01_Вводные'!$B$297),0,('19_Расчет_аналитики'!Q4459-'19_Расчет_аналитики'!Q4487)*IF('01_Вводные'!$B$239="Да",MeanMinAge04+'19_Расчет_аналитики'!Q4608*SUMIF(ThresholdAge04,"&lt;"&amp;'19_Расчет_аналитики'!Q4608,WeightedRevAge04)-SUMIF(ThresholdAge04,"&lt;"&amp;'19_Расчет_аналитики'!Q4608,WeightedMinAge04),MAX(CapacityAge04*'01_Вводные'!$B$218*'19_Расчет_аналитики'!Q4608,MeanMinAge04))),0)</f>
        <v/>
      </c>
      <c r="R4543">
        <f>IF('01_Вводные'!$B$234="Да",IF(OR(('19_Расчет_аналитики'!R4459-'19_Расчет_аналитики'!R4487)=0,4&lt;='01_Вводные'!$B$297),0,('19_Расчет_аналитики'!R4459-'19_Расчет_аналитики'!R4487)*IF('01_Вводные'!$B$239="Да",MeanMinAge04+'19_Расчет_аналитики'!R4608*SUMIF(ThresholdAge04,"&lt;"&amp;'19_Расчет_аналитики'!R4608,WeightedRevAge04)-SUMIF(ThresholdAge04,"&lt;"&amp;'19_Расчет_аналитики'!R4608,WeightedMinAge04),MAX(CapacityAge04*'01_Вводные'!$B$218*'19_Расчет_аналитики'!R4608,MeanMinAge04))),0)</f>
        <v/>
      </c>
      <c r="S4543">
        <f>IF('01_Вводные'!$B$234="Да",IF(OR(('19_Расчет_аналитики'!S4459-'19_Расчет_аналитики'!S4487)=0,4&lt;='01_Вводные'!$B$297),0,('19_Расчет_аналитики'!S4459-'19_Расчет_аналитики'!S4487)*IF('01_Вводные'!$B$239="Да",MeanMinAge04+'19_Расчет_аналитики'!S4608*SUMIF(ThresholdAge04,"&lt;"&amp;'19_Расчет_аналитики'!S4608,WeightedRevAge04)-SUMIF(ThresholdAge04,"&lt;"&amp;'19_Расчет_аналитики'!S4608,WeightedMinAge04),MAX(CapacityAge04*'01_Вводные'!$B$218*'19_Расчет_аналитики'!S4608,MeanMinAge04))),0)</f>
        <v/>
      </c>
      <c r="T4543">
        <f>IF('01_Вводные'!$B$234="Да",IF(OR(('19_Расчет_аналитики'!T4459-'19_Расчет_аналитики'!T4487)=0,4&lt;='01_Вводные'!$B$297),0,('19_Расчет_аналитики'!T4459-'19_Расчет_аналитики'!T4487)*IF('01_Вводные'!$B$239="Да",MeanMinAge04+'19_Расчет_аналитики'!T4608*SUMIF(ThresholdAge04,"&lt;"&amp;'19_Расчет_аналитики'!T4608,WeightedRevAge04)-SUMIF(ThresholdAge04,"&lt;"&amp;'19_Расчет_аналитики'!T4608,WeightedMinAge04),MAX(CapacityAge04*'01_Вводные'!$B$218*'19_Расчет_аналитики'!T4608,MeanMinAge04))),0)</f>
        <v/>
      </c>
      <c r="U4543">
        <f>IF('01_Вводные'!$B$234="Да",IF(OR(('19_Расчет_аналитики'!U4459-'19_Расчет_аналитики'!U4487)=0,4&lt;='01_Вводные'!$B$297),0,('19_Расчет_аналитики'!U4459-'19_Расчет_аналитики'!U4487)*IF('01_Вводные'!$B$239="Да",MeanMinAge04+'19_Расчет_аналитики'!U4608*SUMIF(ThresholdAge04,"&lt;"&amp;'19_Расчет_аналитики'!U4608,WeightedRevAge04)-SUMIF(ThresholdAge04,"&lt;"&amp;'19_Расчет_аналитики'!U4608,WeightedMinAge04),MAX(CapacityAge04*'01_Вводные'!$B$218*'19_Расчет_аналитики'!U4608,MeanMinAge04))),0)</f>
        <v/>
      </c>
      <c r="V4543">
        <f>IF('01_Вводные'!$B$234="Да",IF(OR(('19_Расчет_аналитики'!V4459-'19_Расчет_аналитики'!V4487)=0,4&lt;='01_Вводные'!$B$297),0,('19_Расчет_аналитики'!V4459-'19_Расчет_аналитики'!V4487)*IF('01_Вводные'!$B$239="Да",MeanMinAge04+'19_Расчет_аналитики'!V4608*SUMIF(ThresholdAge04,"&lt;"&amp;'19_Расчет_аналитики'!V4608,WeightedRevAge04)-SUMIF(ThresholdAge04,"&lt;"&amp;'19_Расчет_аналитики'!V4608,WeightedMinAge04),MAX(CapacityAge04*'01_Вводные'!$B$218*'19_Расчет_аналитики'!V4608,MeanMinAge04))),0)</f>
        <v/>
      </c>
      <c r="W4543">
        <f>IF('01_Вводные'!$B$234="Да",IF(OR(('19_Расчет_аналитики'!W4459-'19_Расчет_аналитики'!W4487)=0,4&lt;='01_Вводные'!$B$297),0,('19_Расчет_аналитики'!W4459-'19_Расчет_аналитики'!W4487)*IF('01_Вводные'!$B$239="Да",MeanMinAge04+'19_Расчет_аналитики'!W4608*SUMIF(ThresholdAge04,"&lt;"&amp;'19_Расчет_аналитики'!W4608,WeightedRevAge04)-SUMIF(ThresholdAge04,"&lt;"&amp;'19_Расчет_аналитики'!W4608,WeightedMinAge04),MAX(CapacityAge04*'01_Вводные'!$B$218*'19_Расчет_аналитики'!W4608,MeanMinAge04))),0)</f>
        <v/>
      </c>
      <c r="X4543">
        <f>IF('01_Вводные'!$B$234="Да",IF(OR(('19_Расчет_аналитики'!X4459-'19_Расчет_аналитики'!X4487)=0,4&lt;='01_Вводные'!$B$297),0,('19_Расчет_аналитики'!X4459-'19_Расчет_аналитики'!X4487)*IF('01_Вводные'!$B$239="Да",MeanMinAge04+'19_Расчет_аналитики'!X4608*SUMIF(ThresholdAge04,"&lt;"&amp;'19_Расчет_аналитики'!X4608,WeightedRevAge04)-SUMIF(ThresholdAge04,"&lt;"&amp;'19_Расчет_аналитики'!X4608,WeightedMinAge04),MAX(CapacityAge04*'01_Вводные'!$B$218*'19_Расчет_аналитики'!X4608,MeanMinAge04))),0)</f>
        <v/>
      </c>
      <c r="Y4543">
        <f>IF('01_Вводные'!$B$234="Да",IF(OR(('19_Расчет_аналитики'!Y4459-'19_Расчет_аналитики'!Y4487)=0,4&lt;='01_Вводные'!$B$297),0,('19_Расчет_аналитики'!Y4459-'19_Расчет_аналитики'!Y4487)*IF('01_Вводные'!$B$239="Да",MeanMinAge04+'19_Расчет_аналитики'!Y4608*SUMIF(ThresholdAge04,"&lt;"&amp;'19_Расчет_аналитики'!Y4608,WeightedRevAge04)-SUMIF(ThresholdAge04,"&lt;"&amp;'19_Расчет_аналитики'!Y4608,WeightedMinAge04),MAX(CapacityAge04*'01_Вводные'!$B$218*'19_Расчет_аналитики'!Y4608,MeanMinAge04))),0)</f>
        <v/>
      </c>
      <c r="Z4543">
        <f>IF('01_Вводные'!$B$234="Да",IF(OR(('19_Расчет_аналитики'!Z4459-'19_Расчет_аналитики'!Z4487)=0,4&lt;='01_Вводные'!$B$297),0,('19_Расчет_аналитики'!Z4459-'19_Расчет_аналитики'!Z4487)*IF('01_Вводные'!$B$239="Да",MeanMinAge04+'19_Расчет_аналитики'!Z4608*SUMIF(ThresholdAge04,"&lt;"&amp;'19_Расчет_аналитики'!Z4608,WeightedRevAge04)-SUMIF(ThresholdAge04,"&lt;"&amp;'19_Расчет_аналитики'!Z4608,WeightedMinAge04),MAX(CapacityAge04*'01_Вводные'!$B$218*'19_Расчет_аналитики'!Z4608,MeanMinAge04))),0)</f>
        <v/>
      </c>
      <c r="AA4543">
        <f>IF('01_Вводные'!$B$234="Да",IF(OR(('19_Расчет_аналитики'!AA4459-'19_Расчет_аналитики'!AA4487)=0,4&lt;='01_Вводные'!$B$297),0,('19_Расчет_аналитики'!AA4459-'19_Расчет_аналитики'!AA4487)*IF('01_Вводные'!$B$239="Да",MeanMinAge04+'19_Расчет_аналитики'!AA4608*SUMIF(ThresholdAge04,"&lt;"&amp;'19_Расчет_аналитики'!AA4608,WeightedRevAge04)-SUMIF(ThresholdAge04,"&lt;"&amp;'19_Расчет_аналитики'!AA4608,WeightedMinAge04),MAX(CapacityAge04*'01_Вводные'!$B$218*'19_Расчет_аналитики'!AA4608,MeanMinAge04))),0)</f>
        <v/>
      </c>
      <c r="AB4543">
        <f>IF('01_Вводные'!$B$234="Да",IF(OR(('19_Расчет_аналитики'!AB4459-'19_Расчет_аналитики'!AB4487)=0,4&lt;='01_Вводные'!$B$297),0,('19_Расчет_аналитики'!AB4459-'19_Расчет_аналитики'!AB4487)*IF('01_Вводные'!$B$239="Да",MeanMinAge04+'19_Расчет_аналитики'!AB4608*SUMIF(ThresholdAge04,"&lt;"&amp;'19_Расчет_аналитики'!AB4608,WeightedRevAge04)-SUMIF(ThresholdAge04,"&lt;"&amp;'19_Расчет_аналитики'!AB4608,WeightedMinAge04),MAX(CapacityAge04*'01_Вводные'!$B$218*'19_Расчет_аналитики'!AB4608,MeanMinAge04))),0)</f>
        <v/>
      </c>
      <c r="AC4543">
        <f>IF('01_Вводные'!$B$234="Да",IF(OR(('19_Расчет_аналитики'!AC4459-'19_Расчет_аналитики'!AC4487)=0,4&lt;='01_Вводные'!$B$297),0,('19_Расчет_аналитики'!AC4459-'19_Расчет_аналитики'!AC4487)*IF('01_Вводные'!$B$239="Да",MeanMinAge04+'19_Расчет_аналитики'!AC4608*SUMIF(ThresholdAge04,"&lt;"&amp;'19_Расчет_аналитики'!AC4608,WeightedRevAge04)-SUMIF(ThresholdAge04,"&lt;"&amp;'19_Расчет_аналитики'!AC4608,WeightedMinAge04),MAX(CapacityAge04*'01_Вводные'!$B$218*'19_Расчет_аналитики'!AC4608,MeanMinAge04))),0)</f>
        <v/>
      </c>
      <c r="AD4543">
        <f>IF('01_Вводные'!$B$234="Да",IF(OR(('19_Расчет_аналитики'!AD4459-'19_Расчет_аналитики'!AD4487)=0,4&lt;='01_Вводные'!$B$297),0,('19_Расчет_аналитики'!AD4459-'19_Расчет_аналитики'!AD4487)*IF('01_Вводные'!$B$239="Да",MeanMinAge04+'19_Расчет_аналитики'!AD4608*SUMIF(ThresholdAge04,"&lt;"&amp;'19_Расчет_аналитики'!AD4608,WeightedRevAge04)-SUMIF(ThresholdAge04,"&lt;"&amp;'19_Расчет_аналитики'!AD4608,WeightedMinAge04),MAX(CapacityAge04*'01_Вводные'!$B$218*'19_Расчет_аналитики'!AD4608,MeanMinAge04))),0)</f>
        <v/>
      </c>
      <c r="AE4543">
        <f>IF('01_Вводные'!$B$234="Да",IF(OR(('19_Расчет_аналитики'!AE4459-'19_Расчет_аналитики'!AE4487)=0,4&lt;='01_Вводные'!$B$297),0,('19_Расчет_аналитики'!AE4459-'19_Расчет_аналитики'!AE4487)*IF('01_Вводные'!$B$239="Да",MeanMinAge04+'19_Расчет_аналитики'!AE4608*SUMIF(ThresholdAge04,"&lt;"&amp;'19_Расчет_аналитики'!AE4608,WeightedRevAge04)-SUMIF(ThresholdAge04,"&lt;"&amp;'19_Расчет_аналитики'!AE4608,WeightedMinAge04),MAX(CapacityAge04*'01_Вводные'!$B$218*'19_Расчет_аналитики'!AE4608,MeanMinAge04))),0)</f>
        <v/>
      </c>
      <c r="AF4543">
        <f>IF('01_Вводные'!$B$234="Да",IF(OR(('19_Расчет_аналитики'!AF4459-'19_Расчет_аналитики'!AF4487)=0,4&lt;='01_Вводные'!$B$297),0,('19_Расчет_аналитики'!AF4459-'19_Расчет_аналитики'!AF4487)*IF('01_Вводные'!$B$239="Да",MeanMinAge04+'19_Расчет_аналитики'!AF4608*SUMIF(ThresholdAge04,"&lt;"&amp;'19_Расчет_аналитики'!AF4608,WeightedRevAge04)-SUMIF(ThresholdAge04,"&lt;"&amp;'19_Расчет_аналитики'!AF4608,WeightedMinAge04),MAX(CapacityAge04*'01_Вводные'!$B$218*'19_Расчет_аналитики'!AF4608,MeanMinAge04))),0)</f>
        <v/>
      </c>
      <c r="AG4543">
        <f>IF('01_Вводные'!$B$234="Да",IF(OR(('19_Расчет_аналитики'!AG4459-'19_Расчет_аналитики'!AG4487)=0,4&lt;='01_Вводные'!$B$297),0,('19_Расчет_аналитики'!AG4459-'19_Расчет_аналитики'!AG4487)*IF('01_Вводные'!$B$239="Да",MeanMinAge04+'19_Расчет_аналитики'!AG4608*SUMIF(ThresholdAge04,"&lt;"&amp;'19_Расчет_аналитики'!AG4608,WeightedRevAge04)-SUMIF(ThresholdAge04,"&lt;"&amp;'19_Расчет_аналитики'!AG4608,WeightedMinAge04),MAX(CapacityAge04*'01_Вводные'!$B$218*'19_Расчет_аналитики'!AG4608,MeanMinAge04))),0)</f>
        <v/>
      </c>
      <c r="AH4543">
        <f>IF('01_Вводные'!$B$234="Да",IF(OR(('19_Расчет_аналитики'!AH4459-'19_Расчет_аналитики'!AH4487)=0,4&lt;='01_Вводные'!$B$297),0,('19_Расчет_аналитики'!AH4459-'19_Расчет_аналитики'!AH4487)*IF('01_Вводные'!$B$239="Да",MeanMinAge04+'19_Расчет_аналитики'!AH4608*SUMIF(ThresholdAge04,"&lt;"&amp;'19_Расчет_аналитики'!AH4608,WeightedRevAge04)-SUMIF(ThresholdAge04,"&lt;"&amp;'19_Расчет_аналитики'!AH4608,WeightedMinAge04),MAX(CapacityAge04*'01_Вводные'!$B$218*'19_Расчет_аналитики'!AH4608,MeanMinAge04))),0)</f>
        <v/>
      </c>
      <c r="AI4543">
        <f>IF('01_Вводные'!$B$234="Да",IF(OR(('19_Расчет_аналитики'!AI4459-'19_Расчет_аналитики'!AI4487)=0,4&lt;='01_Вводные'!$B$297),0,('19_Расчет_аналитики'!AI4459-'19_Расчет_аналитики'!AI4487)*IF('01_Вводные'!$B$239="Да",MeanMinAge04+'19_Расчет_аналитики'!AI4608*SUMIF(ThresholdAge04,"&lt;"&amp;'19_Расчет_аналитики'!AI4608,WeightedRevAge04)-SUMIF(ThresholdAge04,"&lt;"&amp;'19_Расчет_аналитики'!AI4608,WeightedMinAge04),MAX(CapacityAge04*'01_Вводные'!$B$218*'19_Расчет_аналитики'!AI4608,MeanMinAge04))),0)</f>
        <v/>
      </c>
      <c r="AJ4543">
        <f>IF('01_Вводные'!$B$234="Да",IF(OR(('19_Расчет_аналитики'!AJ4459-'19_Расчет_аналитики'!AJ4487)=0,4&lt;='01_Вводные'!$B$297),0,('19_Расчет_аналитики'!AJ4459-'19_Расчет_аналитики'!AJ4487)*IF('01_Вводные'!$B$239="Да",MeanMinAge04+'19_Расчет_аналитики'!AJ4608*SUMIF(ThresholdAge04,"&lt;"&amp;'19_Расчет_аналитики'!AJ4608,WeightedRevAge04)-SUMIF(ThresholdAge04,"&lt;"&amp;'19_Расчет_аналитики'!AJ4608,WeightedMinAge04),MAX(CapacityAge04*'01_Вводные'!$B$218*'19_Расчет_аналитики'!AJ4608,MeanMinAge04))),0)</f>
        <v/>
      </c>
      <c r="AK4543">
        <f>IF('01_Вводные'!$B$234="Да",IF(OR(('19_Расчет_аналитики'!AK4459-'19_Расчет_аналитики'!AK4487)=0,4&lt;='01_Вводные'!$B$297),0,('19_Расчет_аналитики'!AK4459-'19_Расчет_аналитики'!AK4487)*IF('01_Вводные'!$B$239="Да",MeanMinAge04+'19_Расчет_аналитики'!AK4608*SUMIF(ThresholdAge04,"&lt;"&amp;'19_Расчет_аналитики'!AK4608,WeightedRevAge04)-SUMIF(ThresholdAge04,"&lt;"&amp;'19_Расчет_аналитики'!AK4608,WeightedMinAge04),MAX(CapacityAge04*'01_Вводные'!$B$218*'19_Расчет_аналитики'!AK4608,MeanMinAge04))),0)</f>
        <v/>
      </c>
      <c r="AL4543">
        <f>IF('01_Вводные'!$B$234="Да",IF(OR(('19_Расчет_аналитики'!AL4459-'19_Расчет_аналитики'!AL4487)=0,4&lt;='01_Вводные'!$B$297),0,('19_Расчет_аналитики'!AL4459-'19_Расчет_аналитики'!AL4487)*IF('01_Вводные'!$B$239="Да",MeanMinAge04+'19_Расчет_аналитики'!AL4608*SUMIF(ThresholdAge04,"&lt;"&amp;'19_Расчет_аналитики'!AL4608,WeightedRevAge04)-SUMIF(ThresholdAge04,"&lt;"&amp;'19_Расчет_аналитики'!AL4608,WeightedMinAge04),MAX(CapacityAge04*'01_Вводные'!$B$218*'19_Расчет_аналитики'!AL4608,MeanMinAge04))),0)</f>
        <v/>
      </c>
      <c r="AM4543">
        <f>IF('01_Вводные'!$B$234="Да",IF(OR(('19_Расчет_аналитики'!AM4459-'19_Расчет_аналитики'!AM4487)=0,4&lt;='01_Вводные'!$B$297),0,('19_Расчет_аналитики'!AM4459-'19_Расчет_аналитики'!AM4487)*IF('01_Вводные'!$B$239="Да",MeanMinAge04+'19_Расчет_аналитики'!AM4608*SUMIF(ThresholdAge04,"&lt;"&amp;'19_Расчет_аналитики'!AM4608,WeightedRevAge04)-SUMIF(ThresholdAge04,"&lt;"&amp;'19_Расчет_аналитики'!AM4608,WeightedMinAge04),MAX(CapacityAge04*'01_Вводные'!$B$218*'19_Расчет_аналитики'!AM4608,MeanMinAge04))),0)</f>
        <v/>
      </c>
      <c r="AN4543">
        <f>IF('01_Вводные'!$B$234="Да",IF(OR(('19_Расчет_аналитики'!AN4459-'19_Расчет_аналитики'!AN4487)=0,4&lt;='01_Вводные'!$B$297),0,('19_Расчет_аналитики'!AN4459-'19_Расчет_аналитики'!AN4487)*IF('01_Вводные'!$B$239="Да",MeanMinAge04+'19_Расчет_аналитики'!AN4608*SUMIF(ThresholdAge04,"&lt;"&amp;'19_Расчет_аналитики'!AN4608,WeightedRevAge04)-SUMIF(ThresholdAge04,"&lt;"&amp;'19_Расчет_аналитики'!AN4608,WeightedMinAge04),MAX(CapacityAge04*'01_Вводные'!$B$218*'19_Расчет_аналитики'!AN4608,MeanMinAge04))),0)</f>
        <v/>
      </c>
      <c r="AO4543">
        <f>IF('01_Вводные'!$B$234="Да",IF(OR(('19_Расчет_аналитики'!AO4459-'19_Расчет_аналитики'!AO4487)=0,4&lt;='01_Вводные'!$B$297),0,('19_Расчет_аналитики'!AO4459-'19_Расчет_аналитики'!AO4487)*IF('01_Вводные'!$B$239="Да",MeanMinAge04+'19_Расчет_аналитики'!AO4608*SUMIF(ThresholdAge04,"&lt;"&amp;'19_Расчет_аналитики'!AO4608,WeightedRevAge04)-SUMIF(ThresholdAge04,"&lt;"&amp;'19_Расчет_аналитики'!AO4608,WeightedMinAge04),MAX(CapacityAge04*'01_Вводные'!$B$218*'19_Расчет_аналитики'!AO4608,MeanMinAge04))),0)</f>
        <v/>
      </c>
      <c r="AP4543">
        <f>IF('01_Вводные'!$B$234="Да",IF(OR(('19_Расчет_аналитики'!AP4459-'19_Расчет_аналитики'!AP4487)=0,4&lt;='01_Вводные'!$B$297),0,('19_Расчет_аналитики'!AP4459-'19_Расчет_аналитики'!AP4487)*IF('01_Вводные'!$B$239="Да",MeanMinAge04+'19_Расчет_аналитики'!AP4608*SUMIF(ThresholdAge04,"&lt;"&amp;'19_Расчет_аналитики'!AP4608,WeightedRevAge04)-SUMIF(ThresholdAge04,"&lt;"&amp;'19_Расчет_аналитики'!AP4608,WeightedMinAge04),MAX(CapacityAge04*'01_Вводные'!$B$218*'19_Расчет_аналитики'!AP4608,MeanMinAge04))),0)</f>
        <v/>
      </c>
      <c r="AQ4543">
        <f>IF('01_Вводные'!$B$234="Да",IF(OR(('19_Расчет_аналитики'!AQ4459-'19_Расчет_аналитики'!AQ4487)=0,4&lt;='01_Вводные'!$B$297),0,('19_Расчет_аналитики'!AQ4459-'19_Расчет_аналитики'!AQ4487)*IF('01_Вводные'!$B$239="Да",MeanMinAge04+'19_Расчет_аналитики'!AQ4608*SUMIF(ThresholdAge04,"&lt;"&amp;'19_Расчет_аналитики'!AQ4608,WeightedRevAge04)-SUMIF(ThresholdAge04,"&lt;"&amp;'19_Расчет_аналитики'!AQ4608,WeightedMinAge04),MAX(CapacityAge04*'01_Вводные'!$B$218*'19_Расчет_аналитики'!AQ4608,MeanMinAge04))),0)</f>
        <v/>
      </c>
      <c r="AR4543">
        <f>IF('01_Вводные'!$B$234="Да",IF(OR(('19_Расчет_аналитики'!AR4459-'19_Расчет_аналитики'!AR4487)=0,4&lt;='01_Вводные'!$B$297),0,('19_Расчет_аналитики'!AR4459-'19_Расчет_аналитики'!AR4487)*IF('01_Вводные'!$B$239="Да",MeanMinAge04+'19_Расчет_аналитики'!AR4608*SUMIF(ThresholdAge04,"&lt;"&amp;'19_Расчет_аналитики'!AR4608,WeightedRevAge04)-SUMIF(ThresholdAge04,"&lt;"&amp;'19_Расчет_аналитики'!AR4608,WeightedMinAge04),MAX(CapacityAge04*'01_Вводные'!$B$218*'19_Расчет_аналитики'!AR4608,MeanMinAge04))),0)</f>
        <v/>
      </c>
      <c r="AS4543">
        <f>IF('01_Вводные'!$B$234="Да",IF(OR(('19_Расчет_аналитики'!AS4459-'19_Расчет_аналитики'!AS4487)=0,4&lt;='01_Вводные'!$B$297),0,('19_Расчет_аналитики'!AS4459-'19_Расчет_аналитики'!AS4487)*IF('01_Вводные'!$B$239="Да",MeanMinAge04+'19_Расчет_аналитики'!AS4608*SUMIF(ThresholdAge04,"&lt;"&amp;'19_Расчет_аналитики'!AS4608,WeightedRevAge04)-SUMIF(ThresholdAge04,"&lt;"&amp;'19_Расчет_аналитики'!AS4608,WeightedMinAge04),MAX(CapacityAge04*'01_Вводные'!$B$218*'19_Расчет_аналитики'!AS4608,MeanMinAge04))),0)</f>
        <v/>
      </c>
      <c r="AT4543">
        <f>IF('01_Вводные'!$B$234="Да",IF(OR(('19_Расчет_аналитики'!AT4459-'19_Расчет_аналитики'!AT4487)=0,4&lt;='01_Вводные'!$B$297),0,('19_Расчет_аналитики'!AT4459-'19_Расчет_аналитики'!AT4487)*IF('01_Вводные'!$B$239="Да",MeanMinAge04+'19_Расчет_аналитики'!AT4608*SUMIF(ThresholdAge04,"&lt;"&amp;'19_Расчет_аналитики'!AT4608,WeightedRevAge04)-SUMIF(ThresholdAge04,"&lt;"&amp;'19_Расчет_аналитики'!AT4608,WeightedMinAge04),MAX(CapacityAge04*'01_Вводные'!$B$218*'19_Расчет_аналитики'!AT4608,MeanMinAge04))),0)</f>
        <v/>
      </c>
      <c r="AU4543">
        <f>IF('01_Вводные'!$B$234="Да",IF(OR(('19_Расчет_аналитики'!AU4459-'19_Расчет_аналитики'!AU4487)=0,4&lt;='01_Вводные'!$B$297),0,('19_Расчет_аналитики'!AU4459-'19_Расчет_аналитики'!AU4487)*IF('01_Вводные'!$B$239="Да",MeanMinAge04+'19_Расчет_аналитики'!AU4608*SUMIF(ThresholdAge04,"&lt;"&amp;'19_Расчет_аналитики'!AU4608,WeightedRevAge04)-SUMIF(ThresholdAge04,"&lt;"&amp;'19_Расчет_аналитики'!AU4608,WeightedMinAge04),MAX(CapacityAge04*'01_Вводные'!$B$218*'19_Расчет_аналитики'!AU4608,MeanMinAge04))),0)</f>
        <v/>
      </c>
      <c r="AV4543">
        <f>IF('01_Вводные'!$B$234="Да",IF(OR(('19_Расчет_аналитики'!AV4459-'19_Расчет_аналитики'!AV4487)=0,4&lt;='01_Вводные'!$B$297),0,('19_Расчет_аналитики'!AV4459-'19_Расчет_аналитики'!AV4487)*IF('01_Вводные'!$B$239="Да",MeanMinAge04+'19_Расчет_аналитики'!AV4608*SUMIF(ThresholdAge04,"&lt;"&amp;'19_Расчет_аналитики'!AV4608,WeightedRevAge04)-SUMIF(ThresholdAge04,"&lt;"&amp;'19_Расчет_аналитики'!AV4608,WeightedMinAge04),MAX(CapacityAge04*'01_Вводные'!$B$218*'19_Расчет_аналитики'!AV4608,MeanMinAge04))),0)</f>
        <v/>
      </c>
      <c r="AW4543">
        <f>IF('01_Вводные'!$B$234="Да",IF(OR(('19_Расчет_аналитики'!AW4459-'19_Расчет_аналитики'!AW4487)=0,4&lt;='01_Вводные'!$B$297),0,('19_Расчет_аналитики'!AW4459-'19_Расчет_аналитики'!AW4487)*IF('01_Вводные'!$B$239="Да",MeanMinAge04+'19_Расчет_аналитики'!AW4608*SUMIF(ThresholdAge04,"&lt;"&amp;'19_Расчет_аналитики'!AW4608,WeightedRevAge04)-SUMIF(ThresholdAge04,"&lt;"&amp;'19_Расчет_аналитики'!AW4608,WeightedMinAge04),MAX(CapacityAge04*'01_Вводные'!$B$218*'19_Расчет_аналитики'!AW4608,MeanMinAge04))),0)</f>
        <v/>
      </c>
      <c r="AX4543">
        <f>IF('01_Вводные'!$B$234="Да",IF(OR(('19_Расчет_аналитики'!AX4459-'19_Расчет_аналитики'!AX4487)=0,4&lt;='01_Вводные'!$B$297),0,('19_Расчет_аналитики'!AX4459-'19_Расчет_аналитики'!AX4487)*IF('01_Вводные'!$B$239="Да",MeanMinAge04+'19_Расчет_аналитики'!AX4608*SUMIF(ThresholdAge04,"&lt;"&amp;'19_Расчет_аналитики'!AX4608,WeightedRevAge04)-SUMIF(ThresholdAge04,"&lt;"&amp;'19_Расчет_аналитики'!AX4608,WeightedMinAge04),MAX(CapacityAge04*'01_Вводные'!$B$218*'19_Расчет_аналитики'!AX4608,MeanMinAge04))),0)</f>
        <v/>
      </c>
      <c r="AY4543">
        <f>IF('01_Вводные'!$B$234="Да",IF(OR(('19_Расчет_аналитики'!AY4459-'19_Расчет_аналитики'!AY4487)=0,4&lt;='01_Вводные'!$B$297),0,('19_Расчет_аналитики'!AY4459-'19_Расчет_аналитики'!AY4487)*IF('01_Вводные'!$B$239="Да",MeanMinAge04+'19_Расчет_аналитики'!AY4608*SUMIF(ThresholdAge04,"&lt;"&amp;'19_Расчет_аналитики'!AY4608,WeightedRevAge04)-SUMIF(ThresholdAge04,"&lt;"&amp;'19_Расчет_аналитики'!AY4608,WeightedMinAge04),MAX(CapacityAge04*'01_Вводные'!$B$218*'19_Расчет_аналитики'!AY4608,MeanMinAge04))),0)</f>
        <v/>
      </c>
      <c r="AZ4543">
        <f>IF('01_Вводные'!$B$234="Да",IF(OR(('19_Расчет_аналитики'!AZ4459-'19_Расчет_аналитики'!AZ4487)=0,4&lt;='01_Вводные'!$B$297),0,('19_Расчет_аналитики'!AZ4459-'19_Расчет_аналитики'!AZ4487)*IF('01_Вводные'!$B$239="Да",MeanMinAge04+'19_Расчет_аналитики'!AZ4608*SUMIF(ThresholdAge04,"&lt;"&amp;'19_Расчет_аналитики'!AZ4608,WeightedRevAge04)-SUMIF(ThresholdAge04,"&lt;"&amp;'19_Расчет_аналитики'!AZ4608,WeightedMinAge04),MAX(CapacityAge04*'01_Вводные'!$B$218*'19_Расчет_аналитики'!AZ4608,MeanMinAge04))),0)</f>
        <v/>
      </c>
      <c r="BA4543">
        <f>IF('01_Вводные'!$B$234="Да",IF(OR(('19_Расчет_аналитики'!BA4459-'19_Расчет_аналитики'!BA4487)=0,4&lt;='01_Вводные'!$B$297),0,('19_Расчет_аналитики'!BA4459-'19_Расчет_аналитики'!BA4487)*IF('01_Вводные'!$B$239="Да",MeanMinAge04+'19_Расчет_аналитики'!BA4608*SUMIF(ThresholdAge04,"&lt;"&amp;'19_Расчет_аналитики'!BA4608,WeightedRevAge04)-SUMIF(ThresholdAge04,"&lt;"&amp;'19_Расчет_аналитики'!BA4608,WeightedMinAge04),MAX(CapacityAge04*'01_Вводные'!$B$218*'19_Расчет_аналитики'!BA4608,MeanMinAge04))),0)</f>
        <v/>
      </c>
      <c r="BB4543">
        <f>IF('01_Вводные'!$B$234="Да",IF(OR(('19_Расчет_аналитики'!BB4459-'19_Расчет_аналитики'!BB4487)=0,4&lt;='01_Вводные'!$B$297),0,('19_Расчет_аналитики'!BB4459-'19_Расчет_аналитики'!BB4487)*IF('01_Вводные'!$B$239="Да",MeanMinAge04+'19_Расчет_аналитики'!BB4608*SUMIF(ThresholdAge04,"&lt;"&amp;'19_Расчет_аналитики'!BB4608,WeightedRevAge04)-SUMIF(ThresholdAge04,"&lt;"&amp;'19_Расчет_аналитики'!BB4608,WeightedMinAge04),MAX(CapacityAge04*'01_Вводные'!$B$218*'19_Расчет_аналитики'!BB4608,MeanMinAge04))),0)</f>
        <v/>
      </c>
      <c r="BC4543">
        <f>IF('01_Вводные'!$B$234="Да",IF(OR(('19_Расчет_аналитики'!BC4459-'19_Расчет_аналитики'!BC4487)=0,4&lt;='01_Вводные'!$B$297),0,('19_Расчет_аналитики'!BC4459-'19_Расчет_аналитики'!BC4487)*IF('01_Вводные'!$B$239="Да",MeanMinAge04+'19_Расчет_аналитики'!BC4608*SUMIF(ThresholdAge04,"&lt;"&amp;'19_Расчет_аналитики'!BC4608,WeightedRevAge04)-SUMIF(ThresholdAge04,"&lt;"&amp;'19_Расчет_аналитики'!BC4608,WeightedMinAge04),MAX(CapacityAge04*'01_Вводные'!$B$218*'19_Расчет_аналитики'!BC4608,MeanMinAge04))),0)</f>
        <v/>
      </c>
      <c r="BD4543">
        <f>IF('01_Вводные'!$B$234="Да",IF(OR(('19_Расчет_аналитики'!BD4459-'19_Расчет_аналитики'!BD4487)=0,4&lt;='01_Вводные'!$B$297),0,('19_Расчет_аналитики'!BD4459-'19_Расчет_аналитики'!BD4487)*IF('01_Вводные'!$B$239="Да",MeanMinAge04+'19_Расчет_аналитики'!BD4608*SUMIF(ThresholdAge04,"&lt;"&amp;'19_Расчет_аналитики'!BD4608,WeightedRevAge04)-SUMIF(ThresholdAge04,"&lt;"&amp;'19_Расчет_аналитики'!BD4608,WeightedMinAge04),MAX(CapacityAge04*'01_Вводные'!$B$218*'19_Расчет_аналитики'!BD4608,MeanMinAge04))),0)</f>
        <v/>
      </c>
      <c r="BE4543">
        <f>IF('01_Вводные'!$B$234="Да",IF(OR(('19_Расчет_аналитики'!BE4459-'19_Расчет_аналитики'!BE4487)=0,4&lt;='01_Вводные'!$B$297),0,('19_Расчет_аналитики'!BE4459-'19_Расчет_аналитики'!BE4487)*IF('01_Вводные'!$B$239="Да",MeanMinAge04+'19_Расчет_аналитики'!BE4608*SUMIF(ThresholdAge04,"&lt;"&amp;'19_Расчет_аналитики'!BE4608,WeightedRevAge04)-SUMIF(ThresholdAge04,"&lt;"&amp;'19_Расчет_аналитики'!BE4608,WeightedMinAge04),MAX(CapacityAge04*'01_Вводные'!$B$218*'19_Расчет_аналитики'!BE4608,MeanMinAge04))),0)</f>
        <v/>
      </c>
      <c r="BF4543">
        <f>IF('01_Вводные'!$B$234="Да",IF(OR(('19_Расчет_аналитики'!BF4459-'19_Расчет_аналитики'!BF4487)=0,4&lt;='01_Вводные'!$B$297),0,('19_Расчет_аналитики'!BF4459-'19_Расчет_аналитики'!BF4487)*IF('01_Вводные'!$B$239="Да",MeanMinAge04+'19_Расчет_аналитики'!BF4608*SUMIF(ThresholdAge04,"&lt;"&amp;'19_Расчет_аналитики'!BF4608,WeightedRevAge04)-SUMIF(ThresholdAge04,"&lt;"&amp;'19_Расчет_аналитики'!BF4608,WeightedMinAge04),MAX(CapacityAge04*'01_Вводные'!$B$218*'19_Расчет_аналитики'!BF4608,MeanMinAge04))),0)</f>
        <v/>
      </c>
      <c r="BG4543">
        <f>IF('01_Вводные'!$B$234="Да",IF(OR(('19_Расчет_аналитики'!BG4459-'19_Расчет_аналитики'!BG4487)=0,4&lt;='01_Вводные'!$B$297),0,('19_Расчет_аналитики'!BG4459-'19_Расчет_аналитики'!BG4487)*IF('01_Вводные'!$B$239="Да",MeanMinAge04+'19_Расчет_аналитики'!BG4608*SUMIF(ThresholdAge04,"&lt;"&amp;'19_Расчет_аналитики'!BG4608,WeightedRevAge04)-SUMIF(ThresholdAge04,"&lt;"&amp;'19_Расчет_аналитики'!BG4608,WeightedMinAge04),MAX(CapacityAge04*'01_Вводные'!$B$218*'19_Расчет_аналитики'!BG4608,MeanMinAge04))),0)</f>
        <v/>
      </c>
      <c r="BH4543">
        <f>IF('01_Вводные'!$B$234="Да",IF(OR(('19_Расчет_аналитики'!BH4459-'19_Расчет_аналитики'!BH4487)=0,4&lt;='01_Вводные'!$B$297),0,('19_Расчет_аналитики'!BH4459-'19_Расчет_аналитики'!BH4487)*IF('01_Вводные'!$B$239="Да",MeanMinAge04+'19_Расчет_аналитики'!BH4608*SUMIF(ThresholdAge04,"&lt;"&amp;'19_Расчет_аналитики'!BH4608,WeightedRevAge04)-SUMIF(ThresholdAge04,"&lt;"&amp;'19_Расчет_аналитики'!BH4608,WeightedMinAge04),MAX(CapacityAge04*'01_Вводные'!$B$218*'19_Расчет_аналитики'!BH4608,MeanMinAge04))),0)</f>
        <v/>
      </c>
      <c r="BI4543">
        <f>IF('01_Вводные'!$B$234="Да",IF(OR(('19_Расчет_аналитики'!BI4459-'19_Расчет_аналитики'!BI4487)=0,4&lt;='01_Вводные'!$B$297),0,('19_Расчет_аналитики'!BI4459-'19_Расчет_аналитики'!BI4487)*IF('01_Вводные'!$B$239="Да",MeanMinAge04+'19_Расчет_аналитики'!BI4608*SUMIF(ThresholdAge04,"&lt;"&amp;'19_Расчет_аналитики'!BI4608,WeightedRevAge04)-SUMIF(ThresholdAge04,"&lt;"&amp;'19_Расчет_аналитики'!BI4608,WeightedMinAge04),MAX(CapacityAge04*'01_Вводные'!$B$218*'19_Расчет_аналитики'!BI4608,MeanMinAge04))),0)</f>
        <v/>
      </c>
      <c r="BJ4543">
        <f>IF('01_Вводные'!$B$234="Да",IF(OR(('19_Расчет_аналитики'!BJ4459-'19_Расчет_аналитики'!BJ4487)=0,4&lt;='01_Вводные'!$B$297),0,('19_Расчет_аналитики'!BJ4459-'19_Расчет_аналитики'!BJ4487)*IF('01_Вводные'!$B$239="Да",MeanMinAge04+'19_Расчет_аналитики'!BJ4608*SUMIF(ThresholdAge04,"&lt;"&amp;'19_Расчет_аналитики'!BJ4608,WeightedRevAge04)-SUMIF(ThresholdAge04,"&lt;"&amp;'19_Расчет_аналитики'!BJ4608,WeightedMinAge04),MAX(CapacityAge04*'01_Вводные'!$B$218*'19_Расчет_аналитики'!BJ4608,MeanMinAge04))),0)</f>
        <v/>
      </c>
      <c r="BK4543">
        <f>IF('01_Вводные'!$B$234="Да",IF(OR(('19_Расчет_аналитики'!BK4459-'19_Расчет_аналитики'!BK4487)=0,4&lt;='01_Вводные'!$B$297),0,('19_Расчет_аналитики'!BK4459-'19_Расчет_аналитики'!BK4487)*IF('01_Вводные'!$B$239="Да",MeanMinAge04+'19_Расчет_аналитики'!BK4608*SUMIF(ThresholdAge04,"&lt;"&amp;'19_Расчет_аналитики'!BK4608,WeightedRevAge04)-SUMIF(ThresholdAge04,"&lt;"&amp;'19_Расчет_аналитики'!BK4608,WeightedMinAge04),MAX(CapacityAge04*'01_Вводные'!$B$218*'19_Расчет_аналитики'!BK4608,MeanMinAge04))),0)</f>
        <v/>
      </c>
      <c r="BL4543">
        <f>IF('01_Вводные'!$B$234="Да",IF(OR(('19_Расчет_аналитики'!BL4459-'19_Расчет_аналитики'!BL4487)=0,4&lt;='01_Вводные'!$B$297),0,('19_Расчет_аналитики'!BL4459-'19_Расчет_аналитики'!BL4487)*IF('01_Вводные'!$B$239="Да",MeanMinAge04+'19_Расчет_аналитики'!BL4608*SUMIF(ThresholdAge04,"&lt;"&amp;'19_Расчет_аналитики'!BL4608,WeightedRevAge04)-SUMIF(ThresholdAge04,"&lt;"&amp;'19_Расчет_аналитики'!BL4608,WeightedMinAge04),MAX(CapacityAge04*'01_Вводные'!$B$218*'19_Расчет_аналитики'!BL4608,MeanMinAge04))),0)</f>
        <v/>
      </c>
      <c r="BM4543">
        <f>IF('01_Вводные'!$B$234="Да",IF(OR(('19_Расчет_аналитики'!BM4459-'19_Расчет_аналитики'!BM4487)=0,4&lt;='01_Вводные'!$B$297),0,('19_Расчет_аналитики'!BM4459-'19_Расчет_аналитики'!BM4487)*IF('01_Вводные'!$B$239="Да",MeanMinAge04+'19_Расчет_аналитики'!BM4608*SUMIF(ThresholdAge04,"&lt;"&amp;'19_Расчет_аналитики'!BM4608,WeightedRevAge04)-SUMIF(ThresholdAge04,"&lt;"&amp;'19_Расчет_аналитики'!BM4608,WeightedMinAge04),MAX(CapacityAge04*'01_Вводные'!$B$218*'19_Расчет_аналитики'!BM4608,MeanMinAge04))),0)</f>
        <v/>
      </c>
      <c r="BN4543">
        <f>IF('01_Вводные'!$B$234="Да",IF(OR(('19_Расчет_аналитики'!BN4459-'19_Расчет_аналитики'!BN4487)=0,4&lt;='01_Вводные'!$B$297),0,('19_Расчет_аналитики'!BN4459-'19_Расчет_аналитики'!BN4487)*IF('01_Вводные'!$B$239="Да",MeanMinAge04+'19_Расчет_аналитики'!BN4608*SUMIF(ThresholdAge04,"&lt;"&amp;'19_Расчет_аналитики'!BN4608,WeightedRevAge04)-SUMIF(ThresholdAge04,"&lt;"&amp;'19_Расчет_аналитики'!BN4608,WeightedMinAge04),MAX(CapacityAge04*'01_Вводные'!$B$218*'19_Расчет_аналитики'!BN4608,MeanMinAge04))),0)</f>
        <v/>
      </c>
      <c r="BO4543">
        <f>IF('01_Вводные'!$B$234="Да",IF(OR(('19_Расчет_аналитики'!BO4459-'19_Расчет_аналитики'!BO4487)=0,4&lt;='01_Вводные'!$B$297),0,('19_Расчет_аналитики'!BO4459-'19_Расчет_аналитики'!BO4487)*IF('01_Вводные'!$B$239="Да",MeanMinAge04+'19_Расчет_аналитики'!BO4608*SUMIF(ThresholdAge04,"&lt;"&amp;'19_Расчет_аналитики'!BO4608,WeightedRevAge04)-SUMIF(ThresholdAge04,"&lt;"&amp;'19_Расчет_аналитики'!BO4608,WeightedMinAge04),MAX(CapacityAge04*'01_Вводные'!$B$218*'19_Расчет_аналитики'!BO4608,MeanMinAge04))),0)</f>
        <v/>
      </c>
    </row>
    <row r="4544">
      <c r="B4544">
        <f>IF('01_Вводные'!$B$234="Да",IF(OR(('06_Сеть_и_дети'!B57-'06_Сеть_и_дети'!B85)=0,5&lt;='01_Вводные'!$B$297),0,('06_Сеть_и_дети'!B57-'06_Сеть_и_дети'!B85)*IF('01_Вводные'!$B$239="Да",MeanMinAge05+'19_Расчет_аналитики'!B4608*SUMIF(ThresholdAge05,"&lt;"&amp;'19_Расчет_аналитики'!B4608,WeightedRevAge05)-SUMIF(ThresholdAge05,"&lt;"&amp;'19_Расчет_аналитики'!B4608,WeightedMinAge05),MAX(CapacityAge05*'01_Вводные'!$B$218*'19_Расчет_аналитики'!B4608,MeanMinAge05))),0)</f>
        <v/>
      </c>
      <c r="C4544">
        <f>IF('01_Вводные'!$B$234="Да",IF(OR(('06_Сеть_и_дети'!C57-'06_Сеть_и_дети'!C85)=0,5&lt;='01_Вводные'!$B$297),0,('06_Сеть_и_дети'!C57-'06_Сеть_и_дети'!C85)*IF('01_Вводные'!$B$239="Да",MeanMinAge05+'19_Расчет_аналитики'!C4608*SUMIF(ThresholdAge05,"&lt;"&amp;'19_Расчет_аналитики'!C4608,WeightedRevAge05)-SUMIF(ThresholdAge05,"&lt;"&amp;'19_Расчет_аналитики'!C4608,WeightedMinAge05),MAX(CapacityAge05*'01_Вводные'!$B$218*'19_Расчет_аналитики'!C4608,MeanMinAge05))),0)</f>
        <v/>
      </c>
      <c r="D4544">
        <f>IF('01_Вводные'!$B$234="Да",IF(OR(('06_Сеть_и_дети'!D57-'06_Сеть_и_дети'!D85)=0,5&lt;='01_Вводные'!$B$297),0,('06_Сеть_и_дети'!D57-'06_Сеть_и_дети'!D85)*IF('01_Вводные'!$B$239="Да",MeanMinAge05+'19_Расчет_аналитики'!D4608*SUMIF(ThresholdAge05,"&lt;"&amp;'19_Расчет_аналитики'!D4608,WeightedRevAge05)-SUMIF(ThresholdAge05,"&lt;"&amp;'19_Расчет_аналитики'!D4608,WeightedMinAge05),MAX(CapacityAge05*'01_Вводные'!$B$218*'19_Расчет_аналитики'!D4608,MeanMinAge05))),0)</f>
        <v/>
      </c>
      <c r="E4544">
        <f>IF('01_Вводные'!$B$234="Да",IF(OR(('06_Сеть_и_дети'!E57-'06_Сеть_и_дети'!E85)=0,5&lt;='01_Вводные'!$B$297),0,('06_Сеть_и_дети'!E57-'06_Сеть_и_дети'!E85)*IF('01_Вводные'!$B$239="Да",MeanMinAge05+'19_Расчет_аналитики'!E4608*SUMIF(ThresholdAge05,"&lt;"&amp;'19_Расчет_аналитики'!E4608,WeightedRevAge05)-SUMIF(ThresholdAge05,"&lt;"&amp;'19_Расчет_аналитики'!E4608,WeightedMinAge05),MAX(CapacityAge05*'01_Вводные'!$B$218*'19_Расчет_аналитики'!E4608,MeanMinAge05))),0)</f>
        <v/>
      </c>
      <c r="F4544">
        <f>IF('01_Вводные'!$B$234="Да",IF(OR(('19_Расчет_аналитики'!F4460-'19_Расчет_аналитики'!F4488)=0,5&lt;='01_Вводные'!$B$297),0,('19_Расчет_аналитики'!F4460-'19_Расчет_аналитики'!F4488)*IF('01_Вводные'!$B$239="Да",MeanMinAge05+'19_Расчет_аналитики'!F4608*SUMIF(ThresholdAge05,"&lt;"&amp;'19_Расчет_аналитики'!F4608,WeightedRevAge05)-SUMIF(ThresholdAge05,"&lt;"&amp;'19_Расчет_аналитики'!F4608,WeightedMinAge05),MAX(CapacityAge05*'01_Вводные'!$B$218*'19_Расчет_аналитики'!F4608,MeanMinAge05))),0)</f>
        <v/>
      </c>
      <c r="G4544">
        <f>IF('01_Вводные'!$B$234="Да",IF(OR(('19_Расчет_аналитики'!G4460-'19_Расчет_аналитики'!G4488)=0,5&lt;='01_Вводные'!$B$297),0,('19_Расчет_аналитики'!G4460-'19_Расчет_аналитики'!G4488)*IF('01_Вводные'!$B$239="Да",MeanMinAge05+'19_Расчет_аналитики'!G4608*SUMIF(ThresholdAge05,"&lt;"&amp;'19_Расчет_аналитики'!G4608,WeightedRevAge05)-SUMIF(ThresholdAge05,"&lt;"&amp;'19_Расчет_аналитики'!G4608,WeightedMinAge05),MAX(CapacityAge05*'01_Вводные'!$B$218*'19_Расчет_аналитики'!G4608,MeanMinAge05))),0)</f>
        <v/>
      </c>
      <c r="H4544">
        <f>IF('01_Вводные'!$B$234="Да",IF(OR(('19_Расчет_аналитики'!H4460-'19_Расчет_аналитики'!H4488)=0,5&lt;='01_Вводные'!$B$297),0,('19_Расчет_аналитики'!H4460-'19_Расчет_аналитики'!H4488)*IF('01_Вводные'!$B$239="Да",MeanMinAge05+'19_Расчет_аналитики'!H4608*SUMIF(ThresholdAge05,"&lt;"&amp;'19_Расчет_аналитики'!H4608,WeightedRevAge05)-SUMIF(ThresholdAge05,"&lt;"&amp;'19_Расчет_аналитики'!H4608,WeightedMinAge05),MAX(CapacityAge05*'01_Вводные'!$B$218*'19_Расчет_аналитики'!H4608,MeanMinAge05))),0)</f>
        <v/>
      </c>
      <c r="I4544">
        <f>IF('01_Вводные'!$B$234="Да",IF(OR(('19_Расчет_аналитики'!I4460-'19_Расчет_аналитики'!I4488)=0,5&lt;='01_Вводные'!$B$297),0,('19_Расчет_аналитики'!I4460-'19_Расчет_аналитики'!I4488)*IF('01_Вводные'!$B$239="Да",MeanMinAge05+'19_Расчет_аналитики'!I4608*SUMIF(ThresholdAge05,"&lt;"&amp;'19_Расчет_аналитики'!I4608,WeightedRevAge05)-SUMIF(ThresholdAge05,"&lt;"&amp;'19_Расчет_аналитики'!I4608,WeightedMinAge05),MAX(CapacityAge05*'01_Вводные'!$B$218*'19_Расчет_аналитики'!I4608,MeanMinAge05))),0)</f>
        <v/>
      </c>
      <c r="J4544">
        <f>IF('01_Вводные'!$B$234="Да",IF(OR(('19_Расчет_аналитики'!J4460-'19_Расчет_аналитики'!J4488)=0,5&lt;='01_Вводные'!$B$297),0,('19_Расчет_аналитики'!J4460-'19_Расчет_аналитики'!J4488)*IF('01_Вводные'!$B$239="Да",MeanMinAge05+'19_Расчет_аналитики'!J4608*SUMIF(ThresholdAge05,"&lt;"&amp;'19_Расчет_аналитики'!J4608,WeightedRevAge05)-SUMIF(ThresholdAge05,"&lt;"&amp;'19_Расчет_аналитики'!J4608,WeightedMinAge05),MAX(CapacityAge05*'01_Вводные'!$B$218*'19_Расчет_аналитики'!J4608,MeanMinAge05))),0)</f>
        <v/>
      </c>
      <c r="K4544">
        <f>IF('01_Вводные'!$B$234="Да",IF(OR(('19_Расчет_аналитики'!K4460-'19_Расчет_аналитики'!K4488)=0,5&lt;='01_Вводные'!$B$297),0,('19_Расчет_аналитики'!K4460-'19_Расчет_аналитики'!K4488)*IF('01_Вводные'!$B$239="Да",MeanMinAge05+'19_Расчет_аналитики'!K4608*SUMIF(ThresholdAge05,"&lt;"&amp;'19_Расчет_аналитики'!K4608,WeightedRevAge05)-SUMIF(ThresholdAge05,"&lt;"&amp;'19_Расчет_аналитики'!K4608,WeightedMinAge05),MAX(CapacityAge05*'01_Вводные'!$B$218*'19_Расчет_аналитики'!K4608,MeanMinAge05))),0)</f>
        <v/>
      </c>
      <c r="L4544">
        <f>IF('01_Вводные'!$B$234="Да",IF(OR(('19_Расчет_аналитики'!L4460-'19_Расчет_аналитики'!L4488)=0,5&lt;='01_Вводные'!$B$297),0,('19_Расчет_аналитики'!L4460-'19_Расчет_аналитики'!L4488)*IF('01_Вводные'!$B$239="Да",MeanMinAge05+'19_Расчет_аналитики'!L4608*SUMIF(ThresholdAge05,"&lt;"&amp;'19_Расчет_аналитики'!L4608,WeightedRevAge05)-SUMIF(ThresholdAge05,"&lt;"&amp;'19_Расчет_аналитики'!L4608,WeightedMinAge05),MAX(CapacityAge05*'01_Вводные'!$B$218*'19_Расчет_аналитики'!L4608,MeanMinAge05))),0)</f>
        <v/>
      </c>
      <c r="M4544">
        <f>IF('01_Вводные'!$B$234="Да",IF(OR(('19_Расчет_аналитики'!M4460-'19_Расчет_аналитики'!M4488)=0,5&lt;='01_Вводные'!$B$297),0,('19_Расчет_аналитики'!M4460-'19_Расчет_аналитики'!M4488)*IF('01_Вводные'!$B$239="Да",MeanMinAge05+'19_Расчет_аналитики'!M4608*SUMIF(ThresholdAge05,"&lt;"&amp;'19_Расчет_аналитики'!M4608,WeightedRevAge05)-SUMIF(ThresholdAge05,"&lt;"&amp;'19_Расчет_аналитики'!M4608,WeightedMinAge05),MAX(CapacityAge05*'01_Вводные'!$B$218*'19_Расчет_аналитики'!M4608,MeanMinAge05))),0)</f>
        <v/>
      </c>
      <c r="N4544">
        <f>IF('01_Вводные'!$B$234="Да",IF(OR(('19_Расчет_аналитики'!N4460-'19_Расчет_аналитики'!N4488)=0,5&lt;='01_Вводные'!$B$297),0,('19_Расчет_аналитики'!N4460-'19_Расчет_аналитики'!N4488)*IF('01_Вводные'!$B$239="Да",MeanMinAge05+'19_Расчет_аналитики'!N4608*SUMIF(ThresholdAge05,"&lt;"&amp;'19_Расчет_аналитики'!N4608,WeightedRevAge05)-SUMIF(ThresholdAge05,"&lt;"&amp;'19_Расчет_аналитики'!N4608,WeightedMinAge05),MAX(CapacityAge05*'01_Вводные'!$B$218*'19_Расчет_аналитики'!N4608,MeanMinAge05))),0)</f>
        <v/>
      </c>
      <c r="O4544">
        <f>IF('01_Вводные'!$B$234="Да",IF(OR(('19_Расчет_аналитики'!O4460-'19_Расчет_аналитики'!O4488)=0,5&lt;='01_Вводные'!$B$297),0,('19_Расчет_аналитики'!O4460-'19_Расчет_аналитики'!O4488)*IF('01_Вводные'!$B$239="Да",MeanMinAge05+'19_Расчет_аналитики'!O4608*SUMIF(ThresholdAge05,"&lt;"&amp;'19_Расчет_аналитики'!O4608,WeightedRevAge05)-SUMIF(ThresholdAge05,"&lt;"&amp;'19_Расчет_аналитики'!O4608,WeightedMinAge05),MAX(CapacityAge05*'01_Вводные'!$B$218*'19_Расчет_аналитики'!O4608,MeanMinAge05))),0)</f>
        <v/>
      </c>
      <c r="P4544">
        <f>IF('01_Вводные'!$B$234="Да",IF(OR(('19_Расчет_аналитики'!P4460-'19_Расчет_аналитики'!P4488)=0,5&lt;='01_Вводные'!$B$297),0,('19_Расчет_аналитики'!P4460-'19_Расчет_аналитики'!P4488)*IF('01_Вводные'!$B$239="Да",MeanMinAge05+'19_Расчет_аналитики'!P4608*SUMIF(ThresholdAge05,"&lt;"&amp;'19_Расчет_аналитики'!P4608,WeightedRevAge05)-SUMIF(ThresholdAge05,"&lt;"&amp;'19_Расчет_аналитики'!P4608,WeightedMinAge05),MAX(CapacityAge05*'01_Вводные'!$B$218*'19_Расчет_аналитики'!P4608,MeanMinAge05))),0)</f>
        <v/>
      </c>
      <c r="Q4544">
        <f>IF('01_Вводные'!$B$234="Да",IF(OR(('19_Расчет_аналитики'!Q4460-'19_Расчет_аналитики'!Q4488)=0,5&lt;='01_Вводные'!$B$297),0,('19_Расчет_аналитики'!Q4460-'19_Расчет_аналитики'!Q4488)*IF('01_Вводные'!$B$239="Да",MeanMinAge05+'19_Расчет_аналитики'!Q4608*SUMIF(ThresholdAge05,"&lt;"&amp;'19_Расчет_аналитики'!Q4608,WeightedRevAge05)-SUMIF(ThresholdAge05,"&lt;"&amp;'19_Расчет_аналитики'!Q4608,WeightedMinAge05),MAX(CapacityAge05*'01_Вводные'!$B$218*'19_Расчет_аналитики'!Q4608,MeanMinAge05))),0)</f>
        <v/>
      </c>
      <c r="R4544">
        <f>IF('01_Вводные'!$B$234="Да",IF(OR(('19_Расчет_аналитики'!R4460-'19_Расчет_аналитики'!R4488)=0,5&lt;='01_Вводные'!$B$297),0,('19_Расчет_аналитики'!R4460-'19_Расчет_аналитики'!R4488)*IF('01_Вводные'!$B$239="Да",MeanMinAge05+'19_Расчет_аналитики'!R4608*SUMIF(ThresholdAge05,"&lt;"&amp;'19_Расчет_аналитики'!R4608,WeightedRevAge05)-SUMIF(ThresholdAge05,"&lt;"&amp;'19_Расчет_аналитики'!R4608,WeightedMinAge05),MAX(CapacityAge05*'01_Вводные'!$B$218*'19_Расчет_аналитики'!R4608,MeanMinAge05))),0)</f>
        <v/>
      </c>
      <c r="S4544">
        <f>IF('01_Вводные'!$B$234="Да",IF(OR(('19_Расчет_аналитики'!S4460-'19_Расчет_аналитики'!S4488)=0,5&lt;='01_Вводные'!$B$297),0,('19_Расчет_аналитики'!S4460-'19_Расчет_аналитики'!S4488)*IF('01_Вводные'!$B$239="Да",MeanMinAge05+'19_Расчет_аналитики'!S4608*SUMIF(ThresholdAge05,"&lt;"&amp;'19_Расчет_аналитики'!S4608,WeightedRevAge05)-SUMIF(ThresholdAge05,"&lt;"&amp;'19_Расчет_аналитики'!S4608,WeightedMinAge05),MAX(CapacityAge05*'01_Вводные'!$B$218*'19_Расчет_аналитики'!S4608,MeanMinAge05))),0)</f>
        <v/>
      </c>
      <c r="T4544">
        <f>IF('01_Вводные'!$B$234="Да",IF(OR(('19_Расчет_аналитики'!T4460-'19_Расчет_аналитики'!T4488)=0,5&lt;='01_Вводные'!$B$297),0,('19_Расчет_аналитики'!T4460-'19_Расчет_аналитики'!T4488)*IF('01_Вводные'!$B$239="Да",MeanMinAge05+'19_Расчет_аналитики'!T4608*SUMIF(ThresholdAge05,"&lt;"&amp;'19_Расчет_аналитики'!T4608,WeightedRevAge05)-SUMIF(ThresholdAge05,"&lt;"&amp;'19_Расчет_аналитики'!T4608,WeightedMinAge05),MAX(CapacityAge05*'01_Вводные'!$B$218*'19_Расчет_аналитики'!T4608,MeanMinAge05))),0)</f>
        <v/>
      </c>
      <c r="U4544">
        <f>IF('01_Вводные'!$B$234="Да",IF(OR(('19_Расчет_аналитики'!U4460-'19_Расчет_аналитики'!U4488)=0,5&lt;='01_Вводные'!$B$297),0,('19_Расчет_аналитики'!U4460-'19_Расчет_аналитики'!U4488)*IF('01_Вводные'!$B$239="Да",MeanMinAge05+'19_Расчет_аналитики'!U4608*SUMIF(ThresholdAge05,"&lt;"&amp;'19_Расчет_аналитики'!U4608,WeightedRevAge05)-SUMIF(ThresholdAge05,"&lt;"&amp;'19_Расчет_аналитики'!U4608,WeightedMinAge05),MAX(CapacityAge05*'01_Вводные'!$B$218*'19_Расчет_аналитики'!U4608,MeanMinAge05))),0)</f>
        <v/>
      </c>
      <c r="V4544">
        <f>IF('01_Вводные'!$B$234="Да",IF(OR(('19_Расчет_аналитики'!V4460-'19_Расчет_аналитики'!V4488)=0,5&lt;='01_Вводные'!$B$297),0,('19_Расчет_аналитики'!V4460-'19_Расчет_аналитики'!V4488)*IF('01_Вводные'!$B$239="Да",MeanMinAge05+'19_Расчет_аналитики'!V4608*SUMIF(ThresholdAge05,"&lt;"&amp;'19_Расчет_аналитики'!V4608,WeightedRevAge05)-SUMIF(ThresholdAge05,"&lt;"&amp;'19_Расчет_аналитики'!V4608,WeightedMinAge05),MAX(CapacityAge05*'01_Вводные'!$B$218*'19_Расчет_аналитики'!V4608,MeanMinAge05))),0)</f>
        <v/>
      </c>
      <c r="W4544">
        <f>IF('01_Вводные'!$B$234="Да",IF(OR(('19_Расчет_аналитики'!W4460-'19_Расчет_аналитики'!W4488)=0,5&lt;='01_Вводные'!$B$297),0,('19_Расчет_аналитики'!W4460-'19_Расчет_аналитики'!W4488)*IF('01_Вводные'!$B$239="Да",MeanMinAge05+'19_Расчет_аналитики'!W4608*SUMIF(ThresholdAge05,"&lt;"&amp;'19_Расчет_аналитики'!W4608,WeightedRevAge05)-SUMIF(ThresholdAge05,"&lt;"&amp;'19_Расчет_аналитики'!W4608,WeightedMinAge05),MAX(CapacityAge05*'01_Вводные'!$B$218*'19_Расчет_аналитики'!W4608,MeanMinAge05))),0)</f>
        <v/>
      </c>
      <c r="X4544">
        <f>IF('01_Вводные'!$B$234="Да",IF(OR(('19_Расчет_аналитики'!X4460-'19_Расчет_аналитики'!X4488)=0,5&lt;='01_Вводные'!$B$297),0,('19_Расчет_аналитики'!X4460-'19_Расчет_аналитики'!X4488)*IF('01_Вводные'!$B$239="Да",MeanMinAge05+'19_Расчет_аналитики'!X4608*SUMIF(ThresholdAge05,"&lt;"&amp;'19_Расчет_аналитики'!X4608,WeightedRevAge05)-SUMIF(ThresholdAge05,"&lt;"&amp;'19_Расчет_аналитики'!X4608,WeightedMinAge05),MAX(CapacityAge05*'01_Вводные'!$B$218*'19_Расчет_аналитики'!X4608,MeanMinAge05))),0)</f>
        <v/>
      </c>
      <c r="Y4544">
        <f>IF('01_Вводные'!$B$234="Да",IF(OR(('19_Расчет_аналитики'!Y4460-'19_Расчет_аналитики'!Y4488)=0,5&lt;='01_Вводные'!$B$297),0,('19_Расчет_аналитики'!Y4460-'19_Расчет_аналитики'!Y4488)*IF('01_Вводные'!$B$239="Да",MeanMinAge05+'19_Расчет_аналитики'!Y4608*SUMIF(ThresholdAge05,"&lt;"&amp;'19_Расчет_аналитики'!Y4608,WeightedRevAge05)-SUMIF(ThresholdAge05,"&lt;"&amp;'19_Расчет_аналитики'!Y4608,WeightedMinAge05),MAX(CapacityAge05*'01_Вводные'!$B$218*'19_Расчет_аналитики'!Y4608,MeanMinAge05))),0)</f>
        <v/>
      </c>
      <c r="Z4544">
        <f>IF('01_Вводные'!$B$234="Да",IF(OR(('19_Расчет_аналитики'!Z4460-'19_Расчет_аналитики'!Z4488)=0,5&lt;='01_Вводные'!$B$297),0,('19_Расчет_аналитики'!Z4460-'19_Расчет_аналитики'!Z4488)*IF('01_Вводные'!$B$239="Да",MeanMinAge05+'19_Расчет_аналитики'!Z4608*SUMIF(ThresholdAge05,"&lt;"&amp;'19_Расчет_аналитики'!Z4608,WeightedRevAge05)-SUMIF(ThresholdAge05,"&lt;"&amp;'19_Расчет_аналитики'!Z4608,WeightedMinAge05),MAX(CapacityAge05*'01_Вводные'!$B$218*'19_Расчет_аналитики'!Z4608,MeanMinAge05))),0)</f>
        <v/>
      </c>
      <c r="AA4544">
        <f>IF('01_Вводные'!$B$234="Да",IF(OR(('19_Расчет_аналитики'!AA4460-'19_Расчет_аналитики'!AA4488)=0,5&lt;='01_Вводные'!$B$297),0,('19_Расчет_аналитики'!AA4460-'19_Расчет_аналитики'!AA4488)*IF('01_Вводные'!$B$239="Да",MeanMinAge05+'19_Расчет_аналитики'!AA4608*SUMIF(ThresholdAge05,"&lt;"&amp;'19_Расчет_аналитики'!AA4608,WeightedRevAge05)-SUMIF(ThresholdAge05,"&lt;"&amp;'19_Расчет_аналитики'!AA4608,WeightedMinAge05),MAX(CapacityAge05*'01_Вводные'!$B$218*'19_Расчет_аналитики'!AA4608,MeanMinAge05))),0)</f>
        <v/>
      </c>
      <c r="AB4544">
        <f>IF('01_Вводные'!$B$234="Да",IF(OR(('19_Расчет_аналитики'!AB4460-'19_Расчет_аналитики'!AB4488)=0,5&lt;='01_Вводные'!$B$297),0,('19_Расчет_аналитики'!AB4460-'19_Расчет_аналитики'!AB4488)*IF('01_Вводные'!$B$239="Да",MeanMinAge05+'19_Расчет_аналитики'!AB4608*SUMIF(ThresholdAge05,"&lt;"&amp;'19_Расчет_аналитики'!AB4608,WeightedRevAge05)-SUMIF(ThresholdAge05,"&lt;"&amp;'19_Расчет_аналитики'!AB4608,WeightedMinAge05),MAX(CapacityAge05*'01_Вводные'!$B$218*'19_Расчет_аналитики'!AB4608,MeanMinAge05))),0)</f>
        <v/>
      </c>
      <c r="AC4544">
        <f>IF('01_Вводные'!$B$234="Да",IF(OR(('19_Расчет_аналитики'!AC4460-'19_Расчет_аналитики'!AC4488)=0,5&lt;='01_Вводные'!$B$297),0,('19_Расчет_аналитики'!AC4460-'19_Расчет_аналитики'!AC4488)*IF('01_Вводные'!$B$239="Да",MeanMinAge05+'19_Расчет_аналитики'!AC4608*SUMIF(ThresholdAge05,"&lt;"&amp;'19_Расчет_аналитики'!AC4608,WeightedRevAge05)-SUMIF(ThresholdAge05,"&lt;"&amp;'19_Расчет_аналитики'!AC4608,WeightedMinAge05),MAX(CapacityAge05*'01_Вводные'!$B$218*'19_Расчет_аналитики'!AC4608,MeanMinAge05))),0)</f>
        <v/>
      </c>
      <c r="AD4544">
        <f>IF('01_Вводные'!$B$234="Да",IF(OR(('19_Расчет_аналитики'!AD4460-'19_Расчет_аналитики'!AD4488)=0,5&lt;='01_Вводные'!$B$297),0,('19_Расчет_аналитики'!AD4460-'19_Расчет_аналитики'!AD4488)*IF('01_Вводные'!$B$239="Да",MeanMinAge05+'19_Расчет_аналитики'!AD4608*SUMIF(ThresholdAge05,"&lt;"&amp;'19_Расчет_аналитики'!AD4608,WeightedRevAge05)-SUMIF(ThresholdAge05,"&lt;"&amp;'19_Расчет_аналитики'!AD4608,WeightedMinAge05),MAX(CapacityAge05*'01_Вводные'!$B$218*'19_Расчет_аналитики'!AD4608,MeanMinAge05))),0)</f>
        <v/>
      </c>
      <c r="AE4544">
        <f>IF('01_Вводные'!$B$234="Да",IF(OR(('19_Расчет_аналитики'!AE4460-'19_Расчет_аналитики'!AE4488)=0,5&lt;='01_Вводные'!$B$297),0,('19_Расчет_аналитики'!AE4460-'19_Расчет_аналитики'!AE4488)*IF('01_Вводные'!$B$239="Да",MeanMinAge05+'19_Расчет_аналитики'!AE4608*SUMIF(ThresholdAge05,"&lt;"&amp;'19_Расчет_аналитики'!AE4608,WeightedRevAge05)-SUMIF(ThresholdAge05,"&lt;"&amp;'19_Расчет_аналитики'!AE4608,WeightedMinAge05),MAX(CapacityAge05*'01_Вводные'!$B$218*'19_Расчет_аналитики'!AE4608,MeanMinAge05))),0)</f>
        <v/>
      </c>
      <c r="AF4544">
        <f>IF('01_Вводные'!$B$234="Да",IF(OR(('19_Расчет_аналитики'!AF4460-'19_Расчет_аналитики'!AF4488)=0,5&lt;='01_Вводные'!$B$297),0,('19_Расчет_аналитики'!AF4460-'19_Расчет_аналитики'!AF4488)*IF('01_Вводные'!$B$239="Да",MeanMinAge05+'19_Расчет_аналитики'!AF4608*SUMIF(ThresholdAge05,"&lt;"&amp;'19_Расчет_аналитики'!AF4608,WeightedRevAge05)-SUMIF(ThresholdAge05,"&lt;"&amp;'19_Расчет_аналитики'!AF4608,WeightedMinAge05),MAX(CapacityAge05*'01_Вводные'!$B$218*'19_Расчет_аналитики'!AF4608,MeanMinAge05))),0)</f>
        <v/>
      </c>
      <c r="AG4544">
        <f>IF('01_Вводные'!$B$234="Да",IF(OR(('19_Расчет_аналитики'!AG4460-'19_Расчет_аналитики'!AG4488)=0,5&lt;='01_Вводные'!$B$297),0,('19_Расчет_аналитики'!AG4460-'19_Расчет_аналитики'!AG4488)*IF('01_Вводные'!$B$239="Да",MeanMinAge05+'19_Расчет_аналитики'!AG4608*SUMIF(ThresholdAge05,"&lt;"&amp;'19_Расчет_аналитики'!AG4608,WeightedRevAge05)-SUMIF(ThresholdAge05,"&lt;"&amp;'19_Расчет_аналитики'!AG4608,WeightedMinAge05),MAX(CapacityAge05*'01_Вводные'!$B$218*'19_Расчет_аналитики'!AG4608,MeanMinAge05))),0)</f>
        <v/>
      </c>
      <c r="AH4544">
        <f>IF('01_Вводные'!$B$234="Да",IF(OR(('19_Расчет_аналитики'!AH4460-'19_Расчет_аналитики'!AH4488)=0,5&lt;='01_Вводные'!$B$297),0,('19_Расчет_аналитики'!AH4460-'19_Расчет_аналитики'!AH4488)*IF('01_Вводные'!$B$239="Да",MeanMinAge05+'19_Расчет_аналитики'!AH4608*SUMIF(ThresholdAge05,"&lt;"&amp;'19_Расчет_аналитики'!AH4608,WeightedRevAge05)-SUMIF(ThresholdAge05,"&lt;"&amp;'19_Расчет_аналитики'!AH4608,WeightedMinAge05),MAX(CapacityAge05*'01_Вводные'!$B$218*'19_Расчет_аналитики'!AH4608,MeanMinAge05))),0)</f>
        <v/>
      </c>
      <c r="AI4544">
        <f>IF('01_Вводные'!$B$234="Да",IF(OR(('19_Расчет_аналитики'!AI4460-'19_Расчет_аналитики'!AI4488)=0,5&lt;='01_Вводные'!$B$297),0,('19_Расчет_аналитики'!AI4460-'19_Расчет_аналитики'!AI4488)*IF('01_Вводные'!$B$239="Да",MeanMinAge05+'19_Расчет_аналитики'!AI4608*SUMIF(ThresholdAge05,"&lt;"&amp;'19_Расчет_аналитики'!AI4608,WeightedRevAge05)-SUMIF(ThresholdAge05,"&lt;"&amp;'19_Расчет_аналитики'!AI4608,WeightedMinAge05),MAX(CapacityAge05*'01_Вводные'!$B$218*'19_Расчет_аналитики'!AI4608,MeanMinAge05))),0)</f>
        <v/>
      </c>
      <c r="AJ4544">
        <f>IF('01_Вводные'!$B$234="Да",IF(OR(('19_Расчет_аналитики'!AJ4460-'19_Расчет_аналитики'!AJ4488)=0,5&lt;='01_Вводные'!$B$297),0,('19_Расчет_аналитики'!AJ4460-'19_Расчет_аналитики'!AJ4488)*IF('01_Вводные'!$B$239="Да",MeanMinAge05+'19_Расчет_аналитики'!AJ4608*SUMIF(ThresholdAge05,"&lt;"&amp;'19_Расчет_аналитики'!AJ4608,WeightedRevAge05)-SUMIF(ThresholdAge05,"&lt;"&amp;'19_Расчет_аналитики'!AJ4608,WeightedMinAge05),MAX(CapacityAge05*'01_Вводные'!$B$218*'19_Расчет_аналитики'!AJ4608,MeanMinAge05))),0)</f>
        <v/>
      </c>
      <c r="AK4544">
        <f>IF('01_Вводные'!$B$234="Да",IF(OR(('19_Расчет_аналитики'!AK4460-'19_Расчет_аналитики'!AK4488)=0,5&lt;='01_Вводные'!$B$297),0,('19_Расчет_аналитики'!AK4460-'19_Расчет_аналитики'!AK4488)*IF('01_Вводные'!$B$239="Да",MeanMinAge05+'19_Расчет_аналитики'!AK4608*SUMIF(ThresholdAge05,"&lt;"&amp;'19_Расчет_аналитики'!AK4608,WeightedRevAge05)-SUMIF(ThresholdAge05,"&lt;"&amp;'19_Расчет_аналитики'!AK4608,WeightedMinAge05),MAX(CapacityAge05*'01_Вводные'!$B$218*'19_Расчет_аналитики'!AK4608,MeanMinAge05))),0)</f>
        <v/>
      </c>
      <c r="AL4544">
        <f>IF('01_Вводные'!$B$234="Да",IF(OR(('19_Расчет_аналитики'!AL4460-'19_Расчет_аналитики'!AL4488)=0,5&lt;='01_Вводные'!$B$297),0,('19_Расчет_аналитики'!AL4460-'19_Расчет_аналитики'!AL4488)*IF('01_Вводные'!$B$239="Да",MeanMinAge05+'19_Расчет_аналитики'!AL4608*SUMIF(ThresholdAge05,"&lt;"&amp;'19_Расчет_аналитики'!AL4608,WeightedRevAge05)-SUMIF(ThresholdAge05,"&lt;"&amp;'19_Расчет_аналитики'!AL4608,WeightedMinAge05),MAX(CapacityAge05*'01_Вводные'!$B$218*'19_Расчет_аналитики'!AL4608,MeanMinAge05))),0)</f>
        <v/>
      </c>
      <c r="AM4544">
        <f>IF('01_Вводные'!$B$234="Да",IF(OR(('19_Расчет_аналитики'!AM4460-'19_Расчет_аналитики'!AM4488)=0,5&lt;='01_Вводные'!$B$297),0,('19_Расчет_аналитики'!AM4460-'19_Расчет_аналитики'!AM4488)*IF('01_Вводные'!$B$239="Да",MeanMinAge05+'19_Расчет_аналитики'!AM4608*SUMIF(ThresholdAge05,"&lt;"&amp;'19_Расчет_аналитики'!AM4608,WeightedRevAge05)-SUMIF(ThresholdAge05,"&lt;"&amp;'19_Расчет_аналитики'!AM4608,WeightedMinAge05),MAX(CapacityAge05*'01_Вводные'!$B$218*'19_Расчет_аналитики'!AM4608,MeanMinAge05))),0)</f>
        <v/>
      </c>
      <c r="AN4544">
        <f>IF('01_Вводные'!$B$234="Да",IF(OR(('19_Расчет_аналитики'!AN4460-'19_Расчет_аналитики'!AN4488)=0,5&lt;='01_Вводные'!$B$297),0,('19_Расчет_аналитики'!AN4460-'19_Расчет_аналитики'!AN4488)*IF('01_Вводные'!$B$239="Да",MeanMinAge05+'19_Расчет_аналитики'!AN4608*SUMIF(ThresholdAge05,"&lt;"&amp;'19_Расчет_аналитики'!AN4608,WeightedRevAge05)-SUMIF(ThresholdAge05,"&lt;"&amp;'19_Расчет_аналитики'!AN4608,WeightedMinAge05),MAX(CapacityAge05*'01_Вводные'!$B$218*'19_Расчет_аналитики'!AN4608,MeanMinAge05))),0)</f>
        <v/>
      </c>
      <c r="AO4544">
        <f>IF('01_Вводные'!$B$234="Да",IF(OR(('19_Расчет_аналитики'!AO4460-'19_Расчет_аналитики'!AO4488)=0,5&lt;='01_Вводные'!$B$297),0,('19_Расчет_аналитики'!AO4460-'19_Расчет_аналитики'!AO4488)*IF('01_Вводные'!$B$239="Да",MeanMinAge05+'19_Расчет_аналитики'!AO4608*SUMIF(ThresholdAge05,"&lt;"&amp;'19_Расчет_аналитики'!AO4608,WeightedRevAge05)-SUMIF(ThresholdAge05,"&lt;"&amp;'19_Расчет_аналитики'!AO4608,WeightedMinAge05),MAX(CapacityAge05*'01_Вводные'!$B$218*'19_Расчет_аналитики'!AO4608,MeanMinAge05))),0)</f>
        <v/>
      </c>
      <c r="AP4544">
        <f>IF('01_Вводные'!$B$234="Да",IF(OR(('19_Расчет_аналитики'!AP4460-'19_Расчет_аналитики'!AP4488)=0,5&lt;='01_Вводные'!$B$297),0,('19_Расчет_аналитики'!AP4460-'19_Расчет_аналитики'!AP4488)*IF('01_Вводные'!$B$239="Да",MeanMinAge05+'19_Расчет_аналитики'!AP4608*SUMIF(ThresholdAge05,"&lt;"&amp;'19_Расчет_аналитики'!AP4608,WeightedRevAge05)-SUMIF(ThresholdAge05,"&lt;"&amp;'19_Расчет_аналитики'!AP4608,WeightedMinAge05),MAX(CapacityAge05*'01_Вводные'!$B$218*'19_Расчет_аналитики'!AP4608,MeanMinAge05))),0)</f>
        <v/>
      </c>
      <c r="AQ4544">
        <f>IF('01_Вводные'!$B$234="Да",IF(OR(('19_Расчет_аналитики'!AQ4460-'19_Расчет_аналитики'!AQ4488)=0,5&lt;='01_Вводные'!$B$297),0,('19_Расчет_аналитики'!AQ4460-'19_Расчет_аналитики'!AQ4488)*IF('01_Вводные'!$B$239="Да",MeanMinAge05+'19_Расчет_аналитики'!AQ4608*SUMIF(ThresholdAge05,"&lt;"&amp;'19_Расчет_аналитики'!AQ4608,WeightedRevAge05)-SUMIF(ThresholdAge05,"&lt;"&amp;'19_Расчет_аналитики'!AQ4608,WeightedMinAge05),MAX(CapacityAge05*'01_Вводные'!$B$218*'19_Расчет_аналитики'!AQ4608,MeanMinAge05))),0)</f>
        <v/>
      </c>
      <c r="AR4544">
        <f>IF('01_Вводные'!$B$234="Да",IF(OR(('19_Расчет_аналитики'!AR4460-'19_Расчет_аналитики'!AR4488)=0,5&lt;='01_Вводные'!$B$297),0,('19_Расчет_аналитики'!AR4460-'19_Расчет_аналитики'!AR4488)*IF('01_Вводные'!$B$239="Да",MeanMinAge05+'19_Расчет_аналитики'!AR4608*SUMIF(ThresholdAge05,"&lt;"&amp;'19_Расчет_аналитики'!AR4608,WeightedRevAge05)-SUMIF(ThresholdAge05,"&lt;"&amp;'19_Расчет_аналитики'!AR4608,WeightedMinAge05),MAX(CapacityAge05*'01_Вводные'!$B$218*'19_Расчет_аналитики'!AR4608,MeanMinAge05))),0)</f>
        <v/>
      </c>
      <c r="AS4544">
        <f>IF('01_Вводные'!$B$234="Да",IF(OR(('19_Расчет_аналитики'!AS4460-'19_Расчет_аналитики'!AS4488)=0,5&lt;='01_Вводные'!$B$297),0,('19_Расчет_аналитики'!AS4460-'19_Расчет_аналитики'!AS4488)*IF('01_Вводные'!$B$239="Да",MeanMinAge05+'19_Расчет_аналитики'!AS4608*SUMIF(ThresholdAge05,"&lt;"&amp;'19_Расчет_аналитики'!AS4608,WeightedRevAge05)-SUMIF(ThresholdAge05,"&lt;"&amp;'19_Расчет_аналитики'!AS4608,WeightedMinAge05),MAX(CapacityAge05*'01_Вводные'!$B$218*'19_Расчет_аналитики'!AS4608,MeanMinAge05))),0)</f>
        <v/>
      </c>
      <c r="AT4544">
        <f>IF('01_Вводные'!$B$234="Да",IF(OR(('19_Расчет_аналитики'!AT4460-'19_Расчет_аналитики'!AT4488)=0,5&lt;='01_Вводные'!$B$297),0,('19_Расчет_аналитики'!AT4460-'19_Расчет_аналитики'!AT4488)*IF('01_Вводные'!$B$239="Да",MeanMinAge05+'19_Расчет_аналитики'!AT4608*SUMIF(ThresholdAge05,"&lt;"&amp;'19_Расчет_аналитики'!AT4608,WeightedRevAge05)-SUMIF(ThresholdAge05,"&lt;"&amp;'19_Расчет_аналитики'!AT4608,WeightedMinAge05),MAX(CapacityAge05*'01_Вводные'!$B$218*'19_Расчет_аналитики'!AT4608,MeanMinAge05))),0)</f>
        <v/>
      </c>
      <c r="AU4544">
        <f>IF('01_Вводные'!$B$234="Да",IF(OR(('19_Расчет_аналитики'!AU4460-'19_Расчет_аналитики'!AU4488)=0,5&lt;='01_Вводные'!$B$297),0,('19_Расчет_аналитики'!AU4460-'19_Расчет_аналитики'!AU4488)*IF('01_Вводные'!$B$239="Да",MeanMinAge05+'19_Расчет_аналитики'!AU4608*SUMIF(ThresholdAge05,"&lt;"&amp;'19_Расчет_аналитики'!AU4608,WeightedRevAge05)-SUMIF(ThresholdAge05,"&lt;"&amp;'19_Расчет_аналитики'!AU4608,WeightedMinAge05),MAX(CapacityAge05*'01_Вводные'!$B$218*'19_Расчет_аналитики'!AU4608,MeanMinAge05))),0)</f>
        <v/>
      </c>
      <c r="AV4544">
        <f>IF('01_Вводные'!$B$234="Да",IF(OR(('19_Расчет_аналитики'!AV4460-'19_Расчет_аналитики'!AV4488)=0,5&lt;='01_Вводные'!$B$297),0,('19_Расчет_аналитики'!AV4460-'19_Расчет_аналитики'!AV4488)*IF('01_Вводные'!$B$239="Да",MeanMinAge05+'19_Расчет_аналитики'!AV4608*SUMIF(ThresholdAge05,"&lt;"&amp;'19_Расчет_аналитики'!AV4608,WeightedRevAge05)-SUMIF(ThresholdAge05,"&lt;"&amp;'19_Расчет_аналитики'!AV4608,WeightedMinAge05),MAX(CapacityAge05*'01_Вводные'!$B$218*'19_Расчет_аналитики'!AV4608,MeanMinAge05))),0)</f>
        <v/>
      </c>
      <c r="AW4544">
        <f>IF('01_Вводные'!$B$234="Да",IF(OR(('19_Расчет_аналитики'!AW4460-'19_Расчет_аналитики'!AW4488)=0,5&lt;='01_Вводные'!$B$297),0,('19_Расчет_аналитики'!AW4460-'19_Расчет_аналитики'!AW4488)*IF('01_Вводные'!$B$239="Да",MeanMinAge05+'19_Расчет_аналитики'!AW4608*SUMIF(ThresholdAge05,"&lt;"&amp;'19_Расчет_аналитики'!AW4608,WeightedRevAge05)-SUMIF(ThresholdAge05,"&lt;"&amp;'19_Расчет_аналитики'!AW4608,WeightedMinAge05),MAX(CapacityAge05*'01_Вводные'!$B$218*'19_Расчет_аналитики'!AW4608,MeanMinAge05))),0)</f>
        <v/>
      </c>
      <c r="AX4544">
        <f>IF('01_Вводные'!$B$234="Да",IF(OR(('19_Расчет_аналитики'!AX4460-'19_Расчет_аналитики'!AX4488)=0,5&lt;='01_Вводные'!$B$297),0,('19_Расчет_аналитики'!AX4460-'19_Расчет_аналитики'!AX4488)*IF('01_Вводные'!$B$239="Да",MeanMinAge05+'19_Расчет_аналитики'!AX4608*SUMIF(ThresholdAge05,"&lt;"&amp;'19_Расчет_аналитики'!AX4608,WeightedRevAge05)-SUMIF(ThresholdAge05,"&lt;"&amp;'19_Расчет_аналитики'!AX4608,WeightedMinAge05),MAX(CapacityAge05*'01_Вводные'!$B$218*'19_Расчет_аналитики'!AX4608,MeanMinAge05))),0)</f>
        <v/>
      </c>
      <c r="AY4544">
        <f>IF('01_Вводные'!$B$234="Да",IF(OR(('19_Расчет_аналитики'!AY4460-'19_Расчет_аналитики'!AY4488)=0,5&lt;='01_Вводные'!$B$297),0,('19_Расчет_аналитики'!AY4460-'19_Расчет_аналитики'!AY4488)*IF('01_Вводные'!$B$239="Да",MeanMinAge05+'19_Расчет_аналитики'!AY4608*SUMIF(ThresholdAge05,"&lt;"&amp;'19_Расчет_аналитики'!AY4608,WeightedRevAge05)-SUMIF(ThresholdAge05,"&lt;"&amp;'19_Расчет_аналитики'!AY4608,WeightedMinAge05),MAX(CapacityAge05*'01_Вводные'!$B$218*'19_Расчет_аналитики'!AY4608,MeanMinAge05))),0)</f>
        <v/>
      </c>
      <c r="AZ4544">
        <f>IF('01_Вводные'!$B$234="Да",IF(OR(('19_Расчет_аналитики'!AZ4460-'19_Расчет_аналитики'!AZ4488)=0,5&lt;='01_Вводные'!$B$297),0,('19_Расчет_аналитики'!AZ4460-'19_Расчет_аналитики'!AZ4488)*IF('01_Вводные'!$B$239="Да",MeanMinAge05+'19_Расчет_аналитики'!AZ4608*SUMIF(ThresholdAge05,"&lt;"&amp;'19_Расчет_аналитики'!AZ4608,WeightedRevAge05)-SUMIF(ThresholdAge05,"&lt;"&amp;'19_Расчет_аналитики'!AZ4608,WeightedMinAge05),MAX(CapacityAge05*'01_Вводные'!$B$218*'19_Расчет_аналитики'!AZ4608,MeanMinAge05))),0)</f>
        <v/>
      </c>
      <c r="BA4544">
        <f>IF('01_Вводные'!$B$234="Да",IF(OR(('19_Расчет_аналитики'!BA4460-'19_Расчет_аналитики'!BA4488)=0,5&lt;='01_Вводные'!$B$297),0,('19_Расчет_аналитики'!BA4460-'19_Расчет_аналитики'!BA4488)*IF('01_Вводные'!$B$239="Да",MeanMinAge05+'19_Расчет_аналитики'!BA4608*SUMIF(ThresholdAge05,"&lt;"&amp;'19_Расчет_аналитики'!BA4608,WeightedRevAge05)-SUMIF(ThresholdAge05,"&lt;"&amp;'19_Расчет_аналитики'!BA4608,WeightedMinAge05),MAX(CapacityAge05*'01_Вводные'!$B$218*'19_Расчет_аналитики'!BA4608,MeanMinAge05))),0)</f>
        <v/>
      </c>
      <c r="BB4544">
        <f>IF('01_Вводные'!$B$234="Да",IF(OR(('19_Расчет_аналитики'!BB4460-'19_Расчет_аналитики'!BB4488)=0,5&lt;='01_Вводные'!$B$297),0,('19_Расчет_аналитики'!BB4460-'19_Расчет_аналитики'!BB4488)*IF('01_Вводные'!$B$239="Да",MeanMinAge05+'19_Расчет_аналитики'!BB4608*SUMIF(ThresholdAge05,"&lt;"&amp;'19_Расчет_аналитики'!BB4608,WeightedRevAge05)-SUMIF(ThresholdAge05,"&lt;"&amp;'19_Расчет_аналитики'!BB4608,WeightedMinAge05),MAX(CapacityAge05*'01_Вводные'!$B$218*'19_Расчет_аналитики'!BB4608,MeanMinAge05))),0)</f>
        <v/>
      </c>
      <c r="BC4544">
        <f>IF('01_Вводные'!$B$234="Да",IF(OR(('19_Расчет_аналитики'!BC4460-'19_Расчет_аналитики'!BC4488)=0,5&lt;='01_Вводные'!$B$297),0,('19_Расчет_аналитики'!BC4460-'19_Расчет_аналитики'!BC4488)*IF('01_Вводные'!$B$239="Да",MeanMinAge05+'19_Расчет_аналитики'!BC4608*SUMIF(ThresholdAge05,"&lt;"&amp;'19_Расчет_аналитики'!BC4608,WeightedRevAge05)-SUMIF(ThresholdAge05,"&lt;"&amp;'19_Расчет_аналитики'!BC4608,WeightedMinAge05),MAX(CapacityAge05*'01_Вводные'!$B$218*'19_Расчет_аналитики'!BC4608,MeanMinAge05))),0)</f>
        <v/>
      </c>
      <c r="BD4544">
        <f>IF('01_Вводные'!$B$234="Да",IF(OR(('19_Расчет_аналитики'!BD4460-'19_Расчет_аналитики'!BD4488)=0,5&lt;='01_Вводные'!$B$297),0,('19_Расчет_аналитики'!BD4460-'19_Расчет_аналитики'!BD4488)*IF('01_Вводные'!$B$239="Да",MeanMinAge05+'19_Расчет_аналитики'!BD4608*SUMIF(ThresholdAge05,"&lt;"&amp;'19_Расчет_аналитики'!BD4608,WeightedRevAge05)-SUMIF(ThresholdAge05,"&lt;"&amp;'19_Расчет_аналитики'!BD4608,WeightedMinAge05),MAX(CapacityAge05*'01_Вводные'!$B$218*'19_Расчет_аналитики'!BD4608,MeanMinAge05))),0)</f>
        <v/>
      </c>
      <c r="BE4544">
        <f>IF('01_Вводные'!$B$234="Да",IF(OR(('19_Расчет_аналитики'!BE4460-'19_Расчет_аналитики'!BE4488)=0,5&lt;='01_Вводные'!$B$297),0,('19_Расчет_аналитики'!BE4460-'19_Расчет_аналитики'!BE4488)*IF('01_Вводные'!$B$239="Да",MeanMinAge05+'19_Расчет_аналитики'!BE4608*SUMIF(ThresholdAge05,"&lt;"&amp;'19_Расчет_аналитики'!BE4608,WeightedRevAge05)-SUMIF(ThresholdAge05,"&lt;"&amp;'19_Расчет_аналитики'!BE4608,WeightedMinAge05),MAX(CapacityAge05*'01_Вводные'!$B$218*'19_Расчет_аналитики'!BE4608,MeanMinAge05))),0)</f>
        <v/>
      </c>
      <c r="BF4544">
        <f>IF('01_Вводные'!$B$234="Да",IF(OR(('19_Расчет_аналитики'!BF4460-'19_Расчет_аналитики'!BF4488)=0,5&lt;='01_Вводные'!$B$297),0,('19_Расчет_аналитики'!BF4460-'19_Расчет_аналитики'!BF4488)*IF('01_Вводные'!$B$239="Да",MeanMinAge05+'19_Расчет_аналитики'!BF4608*SUMIF(ThresholdAge05,"&lt;"&amp;'19_Расчет_аналитики'!BF4608,WeightedRevAge05)-SUMIF(ThresholdAge05,"&lt;"&amp;'19_Расчет_аналитики'!BF4608,WeightedMinAge05),MAX(CapacityAge05*'01_Вводные'!$B$218*'19_Расчет_аналитики'!BF4608,MeanMinAge05))),0)</f>
        <v/>
      </c>
      <c r="BG4544">
        <f>IF('01_Вводные'!$B$234="Да",IF(OR(('19_Расчет_аналитики'!BG4460-'19_Расчет_аналитики'!BG4488)=0,5&lt;='01_Вводные'!$B$297),0,('19_Расчет_аналитики'!BG4460-'19_Расчет_аналитики'!BG4488)*IF('01_Вводные'!$B$239="Да",MeanMinAge05+'19_Расчет_аналитики'!BG4608*SUMIF(ThresholdAge05,"&lt;"&amp;'19_Расчет_аналитики'!BG4608,WeightedRevAge05)-SUMIF(ThresholdAge05,"&lt;"&amp;'19_Расчет_аналитики'!BG4608,WeightedMinAge05),MAX(CapacityAge05*'01_Вводные'!$B$218*'19_Расчет_аналитики'!BG4608,MeanMinAge05))),0)</f>
        <v/>
      </c>
      <c r="BH4544">
        <f>IF('01_Вводные'!$B$234="Да",IF(OR(('19_Расчет_аналитики'!BH4460-'19_Расчет_аналитики'!BH4488)=0,5&lt;='01_Вводные'!$B$297),0,('19_Расчет_аналитики'!BH4460-'19_Расчет_аналитики'!BH4488)*IF('01_Вводные'!$B$239="Да",MeanMinAge05+'19_Расчет_аналитики'!BH4608*SUMIF(ThresholdAge05,"&lt;"&amp;'19_Расчет_аналитики'!BH4608,WeightedRevAge05)-SUMIF(ThresholdAge05,"&lt;"&amp;'19_Расчет_аналитики'!BH4608,WeightedMinAge05),MAX(CapacityAge05*'01_Вводные'!$B$218*'19_Расчет_аналитики'!BH4608,MeanMinAge05))),0)</f>
        <v/>
      </c>
      <c r="BI4544">
        <f>IF('01_Вводные'!$B$234="Да",IF(OR(('19_Расчет_аналитики'!BI4460-'19_Расчет_аналитики'!BI4488)=0,5&lt;='01_Вводные'!$B$297),0,('19_Расчет_аналитики'!BI4460-'19_Расчет_аналитики'!BI4488)*IF('01_Вводные'!$B$239="Да",MeanMinAge05+'19_Расчет_аналитики'!BI4608*SUMIF(ThresholdAge05,"&lt;"&amp;'19_Расчет_аналитики'!BI4608,WeightedRevAge05)-SUMIF(ThresholdAge05,"&lt;"&amp;'19_Расчет_аналитики'!BI4608,WeightedMinAge05),MAX(CapacityAge05*'01_Вводные'!$B$218*'19_Расчет_аналитики'!BI4608,MeanMinAge05))),0)</f>
        <v/>
      </c>
      <c r="BJ4544">
        <f>IF('01_Вводные'!$B$234="Да",IF(OR(('19_Расчет_аналитики'!BJ4460-'19_Расчет_аналитики'!BJ4488)=0,5&lt;='01_Вводные'!$B$297),0,('19_Расчет_аналитики'!BJ4460-'19_Расчет_аналитики'!BJ4488)*IF('01_Вводные'!$B$239="Да",MeanMinAge05+'19_Расчет_аналитики'!BJ4608*SUMIF(ThresholdAge05,"&lt;"&amp;'19_Расчет_аналитики'!BJ4608,WeightedRevAge05)-SUMIF(ThresholdAge05,"&lt;"&amp;'19_Расчет_аналитики'!BJ4608,WeightedMinAge05),MAX(CapacityAge05*'01_Вводные'!$B$218*'19_Расчет_аналитики'!BJ4608,MeanMinAge05))),0)</f>
        <v/>
      </c>
      <c r="BK4544">
        <f>IF('01_Вводные'!$B$234="Да",IF(OR(('19_Расчет_аналитики'!BK4460-'19_Расчет_аналитики'!BK4488)=0,5&lt;='01_Вводные'!$B$297),0,('19_Расчет_аналитики'!BK4460-'19_Расчет_аналитики'!BK4488)*IF('01_Вводные'!$B$239="Да",MeanMinAge05+'19_Расчет_аналитики'!BK4608*SUMIF(ThresholdAge05,"&lt;"&amp;'19_Расчет_аналитики'!BK4608,WeightedRevAge05)-SUMIF(ThresholdAge05,"&lt;"&amp;'19_Расчет_аналитики'!BK4608,WeightedMinAge05),MAX(CapacityAge05*'01_Вводные'!$B$218*'19_Расчет_аналитики'!BK4608,MeanMinAge05))),0)</f>
        <v/>
      </c>
      <c r="BL4544">
        <f>IF('01_Вводные'!$B$234="Да",IF(OR(('19_Расчет_аналитики'!BL4460-'19_Расчет_аналитики'!BL4488)=0,5&lt;='01_Вводные'!$B$297),0,('19_Расчет_аналитики'!BL4460-'19_Расчет_аналитики'!BL4488)*IF('01_Вводные'!$B$239="Да",MeanMinAge05+'19_Расчет_аналитики'!BL4608*SUMIF(ThresholdAge05,"&lt;"&amp;'19_Расчет_аналитики'!BL4608,WeightedRevAge05)-SUMIF(ThresholdAge05,"&lt;"&amp;'19_Расчет_аналитики'!BL4608,WeightedMinAge05),MAX(CapacityAge05*'01_Вводные'!$B$218*'19_Расчет_аналитики'!BL4608,MeanMinAge05))),0)</f>
        <v/>
      </c>
      <c r="BM4544">
        <f>IF('01_Вводные'!$B$234="Да",IF(OR(('19_Расчет_аналитики'!BM4460-'19_Расчет_аналитики'!BM4488)=0,5&lt;='01_Вводные'!$B$297),0,('19_Расчет_аналитики'!BM4460-'19_Расчет_аналитики'!BM4488)*IF('01_Вводные'!$B$239="Да",MeanMinAge05+'19_Расчет_аналитики'!BM4608*SUMIF(ThresholdAge05,"&lt;"&amp;'19_Расчет_аналитики'!BM4608,WeightedRevAge05)-SUMIF(ThresholdAge05,"&lt;"&amp;'19_Расчет_аналитики'!BM4608,WeightedMinAge05),MAX(CapacityAge05*'01_Вводные'!$B$218*'19_Расчет_аналитики'!BM4608,MeanMinAge05))),0)</f>
        <v/>
      </c>
      <c r="BN4544">
        <f>IF('01_Вводные'!$B$234="Да",IF(OR(('19_Расчет_аналитики'!BN4460-'19_Расчет_аналитики'!BN4488)=0,5&lt;='01_Вводные'!$B$297),0,('19_Расчет_аналитики'!BN4460-'19_Расчет_аналитики'!BN4488)*IF('01_Вводные'!$B$239="Да",MeanMinAge05+'19_Расчет_аналитики'!BN4608*SUMIF(ThresholdAge05,"&lt;"&amp;'19_Расчет_аналитики'!BN4608,WeightedRevAge05)-SUMIF(ThresholdAge05,"&lt;"&amp;'19_Расчет_аналитики'!BN4608,WeightedMinAge05),MAX(CapacityAge05*'01_Вводные'!$B$218*'19_Расчет_аналитики'!BN4608,MeanMinAge05))),0)</f>
        <v/>
      </c>
      <c r="BO4544">
        <f>IF('01_Вводные'!$B$234="Да",IF(OR(('19_Расчет_аналитики'!BO4460-'19_Расчет_аналитики'!BO4488)=0,5&lt;='01_Вводные'!$B$297),0,('19_Расчет_аналитики'!BO4460-'19_Расчет_аналитики'!BO4488)*IF('01_Вводные'!$B$239="Да",MeanMinAge05+'19_Расчет_аналитики'!BO4608*SUMIF(ThresholdAge05,"&lt;"&amp;'19_Расчет_аналитики'!BO4608,WeightedRevAge05)-SUMIF(ThresholdAge05,"&lt;"&amp;'19_Расчет_аналитики'!BO4608,WeightedMinAge05),MAX(CapacityAge05*'01_Вводные'!$B$218*'19_Расчет_аналитики'!BO4608,MeanMinAge05))),0)</f>
        <v/>
      </c>
    </row>
    <row r="4545">
      <c r="B4545">
        <f>IF('01_Вводные'!$B$234="Да",IF(OR(('06_Сеть_и_дети'!B58-'06_Сеть_и_дети'!B86)=0,6&lt;='01_Вводные'!$B$297),0,('06_Сеть_и_дети'!B58-'06_Сеть_и_дети'!B86)*IF('01_Вводные'!$B$239="Да",MeanMinAge06+'19_Расчет_аналитики'!B4608*SUMIF(ThresholdAge06,"&lt;"&amp;'19_Расчет_аналитики'!B4608,WeightedRevAge06)-SUMIF(ThresholdAge06,"&lt;"&amp;'19_Расчет_аналитики'!B4608,WeightedMinAge06),MAX(CapacityAge06*'01_Вводные'!$B$218*'19_Расчет_аналитики'!B4608,MeanMinAge06))),0)</f>
        <v/>
      </c>
      <c r="C4545">
        <f>IF('01_Вводные'!$B$234="Да",IF(OR(('06_Сеть_и_дети'!C58-'06_Сеть_и_дети'!C86)=0,6&lt;='01_Вводные'!$B$297),0,('06_Сеть_и_дети'!C58-'06_Сеть_и_дети'!C86)*IF('01_Вводные'!$B$239="Да",MeanMinAge06+'19_Расчет_аналитики'!C4608*SUMIF(ThresholdAge06,"&lt;"&amp;'19_Расчет_аналитики'!C4608,WeightedRevAge06)-SUMIF(ThresholdAge06,"&lt;"&amp;'19_Расчет_аналитики'!C4608,WeightedMinAge06),MAX(CapacityAge06*'01_Вводные'!$B$218*'19_Расчет_аналитики'!C4608,MeanMinAge06))),0)</f>
        <v/>
      </c>
      <c r="D4545">
        <f>IF('01_Вводные'!$B$234="Да",IF(OR(('06_Сеть_и_дети'!D58-'06_Сеть_и_дети'!D86)=0,6&lt;='01_Вводные'!$B$297),0,('06_Сеть_и_дети'!D58-'06_Сеть_и_дети'!D86)*IF('01_Вводные'!$B$239="Да",MeanMinAge06+'19_Расчет_аналитики'!D4608*SUMIF(ThresholdAge06,"&lt;"&amp;'19_Расчет_аналитики'!D4608,WeightedRevAge06)-SUMIF(ThresholdAge06,"&lt;"&amp;'19_Расчет_аналитики'!D4608,WeightedMinAge06),MAX(CapacityAge06*'01_Вводные'!$B$218*'19_Расчет_аналитики'!D4608,MeanMinAge06))),0)</f>
        <v/>
      </c>
      <c r="E4545">
        <f>IF('01_Вводные'!$B$234="Да",IF(OR(('06_Сеть_и_дети'!E58-'06_Сеть_и_дети'!E86)=0,6&lt;='01_Вводные'!$B$297),0,('06_Сеть_и_дети'!E58-'06_Сеть_и_дети'!E86)*IF('01_Вводные'!$B$239="Да",MeanMinAge06+'19_Расчет_аналитики'!E4608*SUMIF(ThresholdAge06,"&lt;"&amp;'19_Расчет_аналитики'!E4608,WeightedRevAge06)-SUMIF(ThresholdAge06,"&lt;"&amp;'19_Расчет_аналитики'!E4608,WeightedMinAge06),MAX(CapacityAge06*'01_Вводные'!$B$218*'19_Расчет_аналитики'!E4608,MeanMinAge06))),0)</f>
        <v/>
      </c>
      <c r="F4545">
        <f>IF('01_Вводные'!$B$234="Да",IF(OR(('06_Сеть_и_дети'!F58-'06_Сеть_и_дети'!F86)=0,6&lt;='01_Вводные'!$B$297),0,('06_Сеть_и_дети'!F58-'06_Сеть_и_дети'!F86)*IF('01_Вводные'!$B$239="Да",MeanMinAge06+'19_Расчет_аналитики'!F4608*SUMIF(ThresholdAge06,"&lt;"&amp;'19_Расчет_аналитики'!F4608,WeightedRevAge06)-SUMIF(ThresholdAge06,"&lt;"&amp;'19_Расчет_аналитики'!F4608,WeightedMinAge06),MAX(CapacityAge06*'01_Вводные'!$B$218*'19_Расчет_аналитики'!F4608,MeanMinAge06))),0)</f>
        <v/>
      </c>
      <c r="G4545">
        <f>IF('01_Вводные'!$B$234="Да",IF(OR(('19_Расчет_аналитики'!G4461-'19_Расчет_аналитики'!G4489)=0,6&lt;='01_Вводные'!$B$297),0,('19_Расчет_аналитики'!G4461-'19_Расчет_аналитики'!G4489)*IF('01_Вводные'!$B$239="Да",MeanMinAge06+'19_Расчет_аналитики'!G4608*SUMIF(ThresholdAge06,"&lt;"&amp;'19_Расчет_аналитики'!G4608,WeightedRevAge06)-SUMIF(ThresholdAge06,"&lt;"&amp;'19_Расчет_аналитики'!G4608,WeightedMinAge06),MAX(CapacityAge06*'01_Вводные'!$B$218*'19_Расчет_аналитики'!G4608,MeanMinAge06))),0)</f>
        <v/>
      </c>
      <c r="H4545">
        <f>IF('01_Вводные'!$B$234="Да",IF(OR(('19_Расчет_аналитики'!H4461-'19_Расчет_аналитики'!H4489)=0,6&lt;='01_Вводные'!$B$297),0,('19_Расчет_аналитики'!H4461-'19_Расчет_аналитики'!H4489)*IF('01_Вводные'!$B$239="Да",MeanMinAge06+'19_Расчет_аналитики'!H4608*SUMIF(ThresholdAge06,"&lt;"&amp;'19_Расчет_аналитики'!H4608,WeightedRevAge06)-SUMIF(ThresholdAge06,"&lt;"&amp;'19_Расчет_аналитики'!H4608,WeightedMinAge06),MAX(CapacityAge06*'01_Вводные'!$B$218*'19_Расчет_аналитики'!H4608,MeanMinAge06))),0)</f>
        <v/>
      </c>
      <c r="I4545">
        <f>IF('01_Вводные'!$B$234="Да",IF(OR(('19_Расчет_аналитики'!I4461-'19_Расчет_аналитики'!I4489)=0,6&lt;='01_Вводные'!$B$297),0,('19_Расчет_аналитики'!I4461-'19_Расчет_аналитики'!I4489)*IF('01_Вводные'!$B$239="Да",MeanMinAge06+'19_Расчет_аналитики'!I4608*SUMIF(ThresholdAge06,"&lt;"&amp;'19_Расчет_аналитики'!I4608,WeightedRevAge06)-SUMIF(ThresholdAge06,"&lt;"&amp;'19_Расчет_аналитики'!I4608,WeightedMinAge06),MAX(CapacityAge06*'01_Вводные'!$B$218*'19_Расчет_аналитики'!I4608,MeanMinAge06))),0)</f>
        <v/>
      </c>
      <c r="J4545">
        <f>IF('01_Вводные'!$B$234="Да",IF(OR(('19_Расчет_аналитики'!J4461-'19_Расчет_аналитики'!J4489)=0,6&lt;='01_Вводные'!$B$297),0,('19_Расчет_аналитики'!J4461-'19_Расчет_аналитики'!J4489)*IF('01_Вводные'!$B$239="Да",MeanMinAge06+'19_Расчет_аналитики'!J4608*SUMIF(ThresholdAge06,"&lt;"&amp;'19_Расчет_аналитики'!J4608,WeightedRevAge06)-SUMIF(ThresholdAge06,"&lt;"&amp;'19_Расчет_аналитики'!J4608,WeightedMinAge06),MAX(CapacityAge06*'01_Вводные'!$B$218*'19_Расчет_аналитики'!J4608,MeanMinAge06))),0)</f>
        <v/>
      </c>
      <c r="K4545">
        <f>IF('01_Вводные'!$B$234="Да",IF(OR(('19_Расчет_аналитики'!K4461-'19_Расчет_аналитики'!K4489)=0,6&lt;='01_Вводные'!$B$297),0,('19_Расчет_аналитики'!K4461-'19_Расчет_аналитики'!K4489)*IF('01_Вводные'!$B$239="Да",MeanMinAge06+'19_Расчет_аналитики'!K4608*SUMIF(ThresholdAge06,"&lt;"&amp;'19_Расчет_аналитики'!K4608,WeightedRevAge06)-SUMIF(ThresholdAge06,"&lt;"&amp;'19_Расчет_аналитики'!K4608,WeightedMinAge06),MAX(CapacityAge06*'01_Вводные'!$B$218*'19_Расчет_аналитики'!K4608,MeanMinAge06))),0)</f>
        <v/>
      </c>
      <c r="L4545">
        <f>IF('01_Вводные'!$B$234="Да",IF(OR(('19_Расчет_аналитики'!L4461-'19_Расчет_аналитики'!L4489)=0,6&lt;='01_Вводные'!$B$297),0,('19_Расчет_аналитики'!L4461-'19_Расчет_аналитики'!L4489)*IF('01_Вводные'!$B$239="Да",MeanMinAge06+'19_Расчет_аналитики'!L4608*SUMIF(ThresholdAge06,"&lt;"&amp;'19_Расчет_аналитики'!L4608,WeightedRevAge06)-SUMIF(ThresholdAge06,"&lt;"&amp;'19_Расчет_аналитики'!L4608,WeightedMinAge06),MAX(CapacityAge06*'01_Вводные'!$B$218*'19_Расчет_аналитики'!L4608,MeanMinAge06))),0)</f>
        <v/>
      </c>
      <c r="M4545">
        <f>IF('01_Вводные'!$B$234="Да",IF(OR(('19_Расчет_аналитики'!M4461-'19_Расчет_аналитики'!M4489)=0,6&lt;='01_Вводные'!$B$297),0,('19_Расчет_аналитики'!M4461-'19_Расчет_аналитики'!M4489)*IF('01_Вводные'!$B$239="Да",MeanMinAge06+'19_Расчет_аналитики'!M4608*SUMIF(ThresholdAge06,"&lt;"&amp;'19_Расчет_аналитики'!M4608,WeightedRevAge06)-SUMIF(ThresholdAge06,"&lt;"&amp;'19_Расчет_аналитики'!M4608,WeightedMinAge06),MAX(CapacityAge06*'01_Вводные'!$B$218*'19_Расчет_аналитики'!M4608,MeanMinAge06))),0)</f>
        <v/>
      </c>
      <c r="N4545">
        <f>IF('01_Вводные'!$B$234="Да",IF(OR(('19_Расчет_аналитики'!N4461-'19_Расчет_аналитики'!N4489)=0,6&lt;='01_Вводные'!$B$297),0,('19_Расчет_аналитики'!N4461-'19_Расчет_аналитики'!N4489)*IF('01_Вводные'!$B$239="Да",MeanMinAge06+'19_Расчет_аналитики'!N4608*SUMIF(ThresholdAge06,"&lt;"&amp;'19_Расчет_аналитики'!N4608,WeightedRevAge06)-SUMIF(ThresholdAge06,"&lt;"&amp;'19_Расчет_аналитики'!N4608,WeightedMinAge06),MAX(CapacityAge06*'01_Вводные'!$B$218*'19_Расчет_аналитики'!N4608,MeanMinAge06))),0)</f>
        <v/>
      </c>
      <c r="O4545">
        <f>IF('01_Вводные'!$B$234="Да",IF(OR(('19_Расчет_аналитики'!O4461-'19_Расчет_аналитики'!O4489)=0,6&lt;='01_Вводные'!$B$297),0,('19_Расчет_аналитики'!O4461-'19_Расчет_аналитики'!O4489)*IF('01_Вводные'!$B$239="Да",MeanMinAge06+'19_Расчет_аналитики'!O4608*SUMIF(ThresholdAge06,"&lt;"&amp;'19_Расчет_аналитики'!O4608,WeightedRevAge06)-SUMIF(ThresholdAge06,"&lt;"&amp;'19_Расчет_аналитики'!O4608,WeightedMinAge06),MAX(CapacityAge06*'01_Вводные'!$B$218*'19_Расчет_аналитики'!O4608,MeanMinAge06))),0)</f>
        <v/>
      </c>
      <c r="P4545">
        <f>IF('01_Вводные'!$B$234="Да",IF(OR(('19_Расчет_аналитики'!P4461-'19_Расчет_аналитики'!P4489)=0,6&lt;='01_Вводные'!$B$297),0,('19_Расчет_аналитики'!P4461-'19_Расчет_аналитики'!P4489)*IF('01_Вводные'!$B$239="Да",MeanMinAge06+'19_Расчет_аналитики'!P4608*SUMIF(ThresholdAge06,"&lt;"&amp;'19_Расчет_аналитики'!P4608,WeightedRevAge06)-SUMIF(ThresholdAge06,"&lt;"&amp;'19_Расчет_аналитики'!P4608,WeightedMinAge06),MAX(CapacityAge06*'01_Вводные'!$B$218*'19_Расчет_аналитики'!P4608,MeanMinAge06))),0)</f>
        <v/>
      </c>
      <c r="Q4545">
        <f>IF('01_Вводные'!$B$234="Да",IF(OR(('19_Расчет_аналитики'!Q4461-'19_Расчет_аналитики'!Q4489)=0,6&lt;='01_Вводные'!$B$297),0,('19_Расчет_аналитики'!Q4461-'19_Расчет_аналитики'!Q4489)*IF('01_Вводные'!$B$239="Да",MeanMinAge06+'19_Расчет_аналитики'!Q4608*SUMIF(ThresholdAge06,"&lt;"&amp;'19_Расчет_аналитики'!Q4608,WeightedRevAge06)-SUMIF(ThresholdAge06,"&lt;"&amp;'19_Расчет_аналитики'!Q4608,WeightedMinAge06),MAX(CapacityAge06*'01_Вводные'!$B$218*'19_Расчет_аналитики'!Q4608,MeanMinAge06))),0)</f>
        <v/>
      </c>
      <c r="R4545">
        <f>IF('01_Вводные'!$B$234="Да",IF(OR(('19_Расчет_аналитики'!R4461-'19_Расчет_аналитики'!R4489)=0,6&lt;='01_Вводные'!$B$297),0,('19_Расчет_аналитики'!R4461-'19_Расчет_аналитики'!R4489)*IF('01_Вводные'!$B$239="Да",MeanMinAge06+'19_Расчет_аналитики'!R4608*SUMIF(ThresholdAge06,"&lt;"&amp;'19_Расчет_аналитики'!R4608,WeightedRevAge06)-SUMIF(ThresholdAge06,"&lt;"&amp;'19_Расчет_аналитики'!R4608,WeightedMinAge06),MAX(CapacityAge06*'01_Вводные'!$B$218*'19_Расчет_аналитики'!R4608,MeanMinAge06))),0)</f>
        <v/>
      </c>
      <c r="S4545">
        <f>IF('01_Вводные'!$B$234="Да",IF(OR(('19_Расчет_аналитики'!S4461-'19_Расчет_аналитики'!S4489)=0,6&lt;='01_Вводные'!$B$297),0,('19_Расчет_аналитики'!S4461-'19_Расчет_аналитики'!S4489)*IF('01_Вводные'!$B$239="Да",MeanMinAge06+'19_Расчет_аналитики'!S4608*SUMIF(ThresholdAge06,"&lt;"&amp;'19_Расчет_аналитики'!S4608,WeightedRevAge06)-SUMIF(ThresholdAge06,"&lt;"&amp;'19_Расчет_аналитики'!S4608,WeightedMinAge06),MAX(CapacityAge06*'01_Вводные'!$B$218*'19_Расчет_аналитики'!S4608,MeanMinAge06))),0)</f>
        <v/>
      </c>
      <c r="T4545">
        <f>IF('01_Вводные'!$B$234="Да",IF(OR(('19_Расчет_аналитики'!T4461-'19_Расчет_аналитики'!T4489)=0,6&lt;='01_Вводные'!$B$297),0,('19_Расчет_аналитики'!T4461-'19_Расчет_аналитики'!T4489)*IF('01_Вводные'!$B$239="Да",MeanMinAge06+'19_Расчет_аналитики'!T4608*SUMIF(ThresholdAge06,"&lt;"&amp;'19_Расчет_аналитики'!T4608,WeightedRevAge06)-SUMIF(ThresholdAge06,"&lt;"&amp;'19_Расчет_аналитики'!T4608,WeightedMinAge06),MAX(CapacityAge06*'01_Вводные'!$B$218*'19_Расчет_аналитики'!T4608,MeanMinAge06))),0)</f>
        <v/>
      </c>
      <c r="U4545">
        <f>IF('01_Вводные'!$B$234="Да",IF(OR(('19_Расчет_аналитики'!U4461-'19_Расчет_аналитики'!U4489)=0,6&lt;='01_Вводные'!$B$297),0,('19_Расчет_аналитики'!U4461-'19_Расчет_аналитики'!U4489)*IF('01_Вводные'!$B$239="Да",MeanMinAge06+'19_Расчет_аналитики'!U4608*SUMIF(ThresholdAge06,"&lt;"&amp;'19_Расчет_аналитики'!U4608,WeightedRevAge06)-SUMIF(ThresholdAge06,"&lt;"&amp;'19_Расчет_аналитики'!U4608,WeightedMinAge06),MAX(CapacityAge06*'01_Вводные'!$B$218*'19_Расчет_аналитики'!U4608,MeanMinAge06))),0)</f>
        <v/>
      </c>
      <c r="V4545">
        <f>IF('01_Вводные'!$B$234="Да",IF(OR(('19_Расчет_аналитики'!V4461-'19_Расчет_аналитики'!V4489)=0,6&lt;='01_Вводные'!$B$297),0,('19_Расчет_аналитики'!V4461-'19_Расчет_аналитики'!V4489)*IF('01_Вводные'!$B$239="Да",MeanMinAge06+'19_Расчет_аналитики'!V4608*SUMIF(ThresholdAge06,"&lt;"&amp;'19_Расчет_аналитики'!V4608,WeightedRevAge06)-SUMIF(ThresholdAge06,"&lt;"&amp;'19_Расчет_аналитики'!V4608,WeightedMinAge06),MAX(CapacityAge06*'01_Вводные'!$B$218*'19_Расчет_аналитики'!V4608,MeanMinAge06))),0)</f>
        <v/>
      </c>
      <c r="W4545">
        <f>IF('01_Вводные'!$B$234="Да",IF(OR(('19_Расчет_аналитики'!W4461-'19_Расчет_аналитики'!W4489)=0,6&lt;='01_Вводные'!$B$297),0,('19_Расчет_аналитики'!W4461-'19_Расчет_аналитики'!W4489)*IF('01_Вводные'!$B$239="Да",MeanMinAge06+'19_Расчет_аналитики'!W4608*SUMIF(ThresholdAge06,"&lt;"&amp;'19_Расчет_аналитики'!W4608,WeightedRevAge06)-SUMIF(ThresholdAge06,"&lt;"&amp;'19_Расчет_аналитики'!W4608,WeightedMinAge06),MAX(CapacityAge06*'01_Вводные'!$B$218*'19_Расчет_аналитики'!W4608,MeanMinAge06))),0)</f>
        <v/>
      </c>
      <c r="X4545">
        <f>IF('01_Вводные'!$B$234="Да",IF(OR(('19_Расчет_аналитики'!X4461-'19_Расчет_аналитики'!X4489)=0,6&lt;='01_Вводные'!$B$297),0,('19_Расчет_аналитики'!X4461-'19_Расчет_аналитики'!X4489)*IF('01_Вводные'!$B$239="Да",MeanMinAge06+'19_Расчет_аналитики'!X4608*SUMIF(ThresholdAge06,"&lt;"&amp;'19_Расчет_аналитики'!X4608,WeightedRevAge06)-SUMIF(ThresholdAge06,"&lt;"&amp;'19_Расчет_аналитики'!X4608,WeightedMinAge06),MAX(CapacityAge06*'01_Вводные'!$B$218*'19_Расчет_аналитики'!X4608,MeanMinAge06))),0)</f>
        <v/>
      </c>
      <c r="Y4545">
        <f>IF('01_Вводные'!$B$234="Да",IF(OR(('19_Расчет_аналитики'!Y4461-'19_Расчет_аналитики'!Y4489)=0,6&lt;='01_Вводные'!$B$297),0,('19_Расчет_аналитики'!Y4461-'19_Расчет_аналитики'!Y4489)*IF('01_Вводные'!$B$239="Да",MeanMinAge06+'19_Расчет_аналитики'!Y4608*SUMIF(ThresholdAge06,"&lt;"&amp;'19_Расчет_аналитики'!Y4608,WeightedRevAge06)-SUMIF(ThresholdAge06,"&lt;"&amp;'19_Расчет_аналитики'!Y4608,WeightedMinAge06),MAX(CapacityAge06*'01_Вводные'!$B$218*'19_Расчет_аналитики'!Y4608,MeanMinAge06))),0)</f>
        <v/>
      </c>
      <c r="Z4545">
        <f>IF('01_Вводные'!$B$234="Да",IF(OR(('19_Расчет_аналитики'!Z4461-'19_Расчет_аналитики'!Z4489)=0,6&lt;='01_Вводные'!$B$297),0,('19_Расчет_аналитики'!Z4461-'19_Расчет_аналитики'!Z4489)*IF('01_Вводные'!$B$239="Да",MeanMinAge06+'19_Расчет_аналитики'!Z4608*SUMIF(ThresholdAge06,"&lt;"&amp;'19_Расчет_аналитики'!Z4608,WeightedRevAge06)-SUMIF(ThresholdAge06,"&lt;"&amp;'19_Расчет_аналитики'!Z4608,WeightedMinAge06),MAX(CapacityAge06*'01_Вводные'!$B$218*'19_Расчет_аналитики'!Z4608,MeanMinAge06))),0)</f>
        <v/>
      </c>
      <c r="AA4545">
        <f>IF('01_Вводные'!$B$234="Да",IF(OR(('19_Расчет_аналитики'!AA4461-'19_Расчет_аналитики'!AA4489)=0,6&lt;='01_Вводные'!$B$297),0,('19_Расчет_аналитики'!AA4461-'19_Расчет_аналитики'!AA4489)*IF('01_Вводные'!$B$239="Да",MeanMinAge06+'19_Расчет_аналитики'!AA4608*SUMIF(ThresholdAge06,"&lt;"&amp;'19_Расчет_аналитики'!AA4608,WeightedRevAge06)-SUMIF(ThresholdAge06,"&lt;"&amp;'19_Расчет_аналитики'!AA4608,WeightedMinAge06),MAX(CapacityAge06*'01_Вводные'!$B$218*'19_Расчет_аналитики'!AA4608,MeanMinAge06))),0)</f>
        <v/>
      </c>
      <c r="AB4545">
        <f>IF('01_Вводные'!$B$234="Да",IF(OR(('19_Расчет_аналитики'!AB4461-'19_Расчет_аналитики'!AB4489)=0,6&lt;='01_Вводные'!$B$297),0,('19_Расчет_аналитики'!AB4461-'19_Расчет_аналитики'!AB4489)*IF('01_Вводные'!$B$239="Да",MeanMinAge06+'19_Расчет_аналитики'!AB4608*SUMIF(ThresholdAge06,"&lt;"&amp;'19_Расчет_аналитики'!AB4608,WeightedRevAge06)-SUMIF(ThresholdAge06,"&lt;"&amp;'19_Расчет_аналитики'!AB4608,WeightedMinAge06),MAX(CapacityAge06*'01_Вводные'!$B$218*'19_Расчет_аналитики'!AB4608,MeanMinAge06))),0)</f>
        <v/>
      </c>
      <c r="AC4545">
        <f>IF('01_Вводные'!$B$234="Да",IF(OR(('19_Расчет_аналитики'!AC4461-'19_Расчет_аналитики'!AC4489)=0,6&lt;='01_Вводные'!$B$297),0,('19_Расчет_аналитики'!AC4461-'19_Расчет_аналитики'!AC4489)*IF('01_Вводные'!$B$239="Да",MeanMinAge06+'19_Расчет_аналитики'!AC4608*SUMIF(ThresholdAge06,"&lt;"&amp;'19_Расчет_аналитики'!AC4608,WeightedRevAge06)-SUMIF(ThresholdAge06,"&lt;"&amp;'19_Расчет_аналитики'!AC4608,WeightedMinAge06),MAX(CapacityAge06*'01_Вводные'!$B$218*'19_Расчет_аналитики'!AC4608,MeanMinAge06))),0)</f>
        <v/>
      </c>
      <c r="AD4545">
        <f>IF('01_Вводные'!$B$234="Да",IF(OR(('19_Расчет_аналитики'!AD4461-'19_Расчет_аналитики'!AD4489)=0,6&lt;='01_Вводные'!$B$297),0,('19_Расчет_аналитики'!AD4461-'19_Расчет_аналитики'!AD4489)*IF('01_Вводные'!$B$239="Да",MeanMinAge06+'19_Расчет_аналитики'!AD4608*SUMIF(ThresholdAge06,"&lt;"&amp;'19_Расчет_аналитики'!AD4608,WeightedRevAge06)-SUMIF(ThresholdAge06,"&lt;"&amp;'19_Расчет_аналитики'!AD4608,WeightedMinAge06),MAX(CapacityAge06*'01_Вводные'!$B$218*'19_Расчет_аналитики'!AD4608,MeanMinAge06))),0)</f>
        <v/>
      </c>
      <c r="AE4545">
        <f>IF('01_Вводные'!$B$234="Да",IF(OR(('19_Расчет_аналитики'!AE4461-'19_Расчет_аналитики'!AE4489)=0,6&lt;='01_Вводные'!$B$297),0,('19_Расчет_аналитики'!AE4461-'19_Расчет_аналитики'!AE4489)*IF('01_Вводные'!$B$239="Да",MeanMinAge06+'19_Расчет_аналитики'!AE4608*SUMIF(ThresholdAge06,"&lt;"&amp;'19_Расчет_аналитики'!AE4608,WeightedRevAge06)-SUMIF(ThresholdAge06,"&lt;"&amp;'19_Расчет_аналитики'!AE4608,WeightedMinAge06),MAX(CapacityAge06*'01_Вводные'!$B$218*'19_Расчет_аналитики'!AE4608,MeanMinAge06))),0)</f>
        <v/>
      </c>
      <c r="AF4545">
        <f>IF('01_Вводные'!$B$234="Да",IF(OR(('19_Расчет_аналитики'!AF4461-'19_Расчет_аналитики'!AF4489)=0,6&lt;='01_Вводные'!$B$297),0,('19_Расчет_аналитики'!AF4461-'19_Расчет_аналитики'!AF4489)*IF('01_Вводные'!$B$239="Да",MeanMinAge06+'19_Расчет_аналитики'!AF4608*SUMIF(ThresholdAge06,"&lt;"&amp;'19_Расчет_аналитики'!AF4608,WeightedRevAge06)-SUMIF(ThresholdAge06,"&lt;"&amp;'19_Расчет_аналитики'!AF4608,WeightedMinAge06),MAX(CapacityAge06*'01_Вводные'!$B$218*'19_Расчет_аналитики'!AF4608,MeanMinAge06))),0)</f>
        <v/>
      </c>
      <c r="AG4545">
        <f>IF('01_Вводные'!$B$234="Да",IF(OR(('19_Расчет_аналитики'!AG4461-'19_Расчет_аналитики'!AG4489)=0,6&lt;='01_Вводные'!$B$297),0,('19_Расчет_аналитики'!AG4461-'19_Расчет_аналитики'!AG4489)*IF('01_Вводные'!$B$239="Да",MeanMinAge06+'19_Расчет_аналитики'!AG4608*SUMIF(ThresholdAge06,"&lt;"&amp;'19_Расчет_аналитики'!AG4608,WeightedRevAge06)-SUMIF(ThresholdAge06,"&lt;"&amp;'19_Расчет_аналитики'!AG4608,WeightedMinAge06),MAX(CapacityAge06*'01_Вводные'!$B$218*'19_Расчет_аналитики'!AG4608,MeanMinAge06))),0)</f>
        <v/>
      </c>
      <c r="AH4545">
        <f>IF('01_Вводные'!$B$234="Да",IF(OR(('19_Расчет_аналитики'!AH4461-'19_Расчет_аналитики'!AH4489)=0,6&lt;='01_Вводные'!$B$297),0,('19_Расчет_аналитики'!AH4461-'19_Расчет_аналитики'!AH4489)*IF('01_Вводные'!$B$239="Да",MeanMinAge06+'19_Расчет_аналитики'!AH4608*SUMIF(ThresholdAge06,"&lt;"&amp;'19_Расчет_аналитики'!AH4608,WeightedRevAge06)-SUMIF(ThresholdAge06,"&lt;"&amp;'19_Расчет_аналитики'!AH4608,WeightedMinAge06),MAX(CapacityAge06*'01_Вводные'!$B$218*'19_Расчет_аналитики'!AH4608,MeanMinAge06))),0)</f>
        <v/>
      </c>
      <c r="AI4545">
        <f>IF('01_Вводные'!$B$234="Да",IF(OR(('19_Расчет_аналитики'!AI4461-'19_Расчет_аналитики'!AI4489)=0,6&lt;='01_Вводные'!$B$297),0,('19_Расчет_аналитики'!AI4461-'19_Расчет_аналитики'!AI4489)*IF('01_Вводные'!$B$239="Да",MeanMinAge06+'19_Расчет_аналитики'!AI4608*SUMIF(ThresholdAge06,"&lt;"&amp;'19_Расчет_аналитики'!AI4608,WeightedRevAge06)-SUMIF(ThresholdAge06,"&lt;"&amp;'19_Расчет_аналитики'!AI4608,WeightedMinAge06),MAX(CapacityAge06*'01_Вводные'!$B$218*'19_Расчет_аналитики'!AI4608,MeanMinAge06))),0)</f>
        <v/>
      </c>
      <c r="AJ4545">
        <f>IF('01_Вводные'!$B$234="Да",IF(OR(('19_Расчет_аналитики'!AJ4461-'19_Расчет_аналитики'!AJ4489)=0,6&lt;='01_Вводные'!$B$297),0,('19_Расчет_аналитики'!AJ4461-'19_Расчет_аналитики'!AJ4489)*IF('01_Вводные'!$B$239="Да",MeanMinAge06+'19_Расчет_аналитики'!AJ4608*SUMIF(ThresholdAge06,"&lt;"&amp;'19_Расчет_аналитики'!AJ4608,WeightedRevAge06)-SUMIF(ThresholdAge06,"&lt;"&amp;'19_Расчет_аналитики'!AJ4608,WeightedMinAge06),MAX(CapacityAge06*'01_Вводные'!$B$218*'19_Расчет_аналитики'!AJ4608,MeanMinAge06))),0)</f>
        <v/>
      </c>
      <c r="AK4545">
        <f>IF('01_Вводные'!$B$234="Да",IF(OR(('19_Расчет_аналитики'!AK4461-'19_Расчет_аналитики'!AK4489)=0,6&lt;='01_Вводные'!$B$297),0,('19_Расчет_аналитики'!AK4461-'19_Расчет_аналитики'!AK4489)*IF('01_Вводные'!$B$239="Да",MeanMinAge06+'19_Расчет_аналитики'!AK4608*SUMIF(ThresholdAge06,"&lt;"&amp;'19_Расчет_аналитики'!AK4608,WeightedRevAge06)-SUMIF(ThresholdAge06,"&lt;"&amp;'19_Расчет_аналитики'!AK4608,WeightedMinAge06),MAX(CapacityAge06*'01_Вводные'!$B$218*'19_Расчет_аналитики'!AK4608,MeanMinAge06))),0)</f>
        <v/>
      </c>
      <c r="AL4545">
        <f>IF('01_Вводные'!$B$234="Да",IF(OR(('19_Расчет_аналитики'!AL4461-'19_Расчет_аналитики'!AL4489)=0,6&lt;='01_Вводные'!$B$297),0,('19_Расчет_аналитики'!AL4461-'19_Расчет_аналитики'!AL4489)*IF('01_Вводные'!$B$239="Да",MeanMinAge06+'19_Расчет_аналитики'!AL4608*SUMIF(ThresholdAge06,"&lt;"&amp;'19_Расчет_аналитики'!AL4608,WeightedRevAge06)-SUMIF(ThresholdAge06,"&lt;"&amp;'19_Расчет_аналитики'!AL4608,WeightedMinAge06),MAX(CapacityAge06*'01_Вводные'!$B$218*'19_Расчет_аналитики'!AL4608,MeanMinAge06))),0)</f>
        <v/>
      </c>
      <c r="AM4545">
        <f>IF('01_Вводные'!$B$234="Да",IF(OR(('19_Расчет_аналитики'!AM4461-'19_Расчет_аналитики'!AM4489)=0,6&lt;='01_Вводные'!$B$297),0,('19_Расчет_аналитики'!AM4461-'19_Расчет_аналитики'!AM4489)*IF('01_Вводные'!$B$239="Да",MeanMinAge06+'19_Расчет_аналитики'!AM4608*SUMIF(ThresholdAge06,"&lt;"&amp;'19_Расчет_аналитики'!AM4608,WeightedRevAge06)-SUMIF(ThresholdAge06,"&lt;"&amp;'19_Расчет_аналитики'!AM4608,WeightedMinAge06),MAX(CapacityAge06*'01_Вводные'!$B$218*'19_Расчет_аналитики'!AM4608,MeanMinAge06))),0)</f>
        <v/>
      </c>
      <c r="AN4545">
        <f>IF('01_Вводные'!$B$234="Да",IF(OR(('19_Расчет_аналитики'!AN4461-'19_Расчет_аналитики'!AN4489)=0,6&lt;='01_Вводные'!$B$297),0,('19_Расчет_аналитики'!AN4461-'19_Расчет_аналитики'!AN4489)*IF('01_Вводные'!$B$239="Да",MeanMinAge06+'19_Расчет_аналитики'!AN4608*SUMIF(ThresholdAge06,"&lt;"&amp;'19_Расчет_аналитики'!AN4608,WeightedRevAge06)-SUMIF(ThresholdAge06,"&lt;"&amp;'19_Расчет_аналитики'!AN4608,WeightedMinAge06),MAX(CapacityAge06*'01_Вводные'!$B$218*'19_Расчет_аналитики'!AN4608,MeanMinAge06))),0)</f>
        <v/>
      </c>
      <c r="AO4545">
        <f>IF('01_Вводные'!$B$234="Да",IF(OR(('19_Расчет_аналитики'!AO4461-'19_Расчет_аналитики'!AO4489)=0,6&lt;='01_Вводные'!$B$297),0,('19_Расчет_аналитики'!AO4461-'19_Расчет_аналитики'!AO4489)*IF('01_Вводные'!$B$239="Да",MeanMinAge06+'19_Расчет_аналитики'!AO4608*SUMIF(ThresholdAge06,"&lt;"&amp;'19_Расчет_аналитики'!AO4608,WeightedRevAge06)-SUMIF(ThresholdAge06,"&lt;"&amp;'19_Расчет_аналитики'!AO4608,WeightedMinAge06),MAX(CapacityAge06*'01_Вводные'!$B$218*'19_Расчет_аналитики'!AO4608,MeanMinAge06))),0)</f>
        <v/>
      </c>
      <c r="AP4545">
        <f>IF('01_Вводные'!$B$234="Да",IF(OR(('19_Расчет_аналитики'!AP4461-'19_Расчет_аналитики'!AP4489)=0,6&lt;='01_Вводные'!$B$297),0,('19_Расчет_аналитики'!AP4461-'19_Расчет_аналитики'!AP4489)*IF('01_Вводные'!$B$239="Да",MeanMinAge06+'19_Расчет_аналитики'!AP4608*SUMIF(ThresholdAge06,"&lt;"&amp;'19_Расчет_аналитики'!AP4608,WeightedRevAge06)-SUMIF(ThresholdAge06,"&lt;"&amp;'19_Расчет_аналитики'!AP4608,WeightedMinAge06),MAX(CapacityAge06*'01_Вводные'!$B$218*'19_Расчет_аналитики'!AP4608,MeanMinAge06))),0)</f>
        <v/>
      </c>
      <c r="AQ4545">
        <f>IF('01_Вводные'!$B$234="Да",IF(OR(('19_Расчет_аналитики'!AQ4461-'19_Расчет_аналитики'!AQ4489)=0,6&lt;='01_Вводные'!$B$297),0,('19_Расчет_аналитики'!AQ4461-'19_Расчет_аналитики'!AQ4489)*IF('01_Вводные'!$B$239="Да",MeanMinAge06+'19_Расчет_аналитики'!AQ4608*SUMIF(ThresholdAge06,"&lt;"&amp;'19_Расчет_аналитики'!AQ4608,WeightedRevAge06)-SUMIF(ThresholdAge06,"&lt;"&amp;'19_Расчет_аналитики'!AQ4608,WeightedMinAge06),MAX(CapacityAge06*'01_Вводные'!$B$218*'19_Расчет_аналитики'!AQ4608,MeanMinAge06))),0)</f>
        <v/>
      </c>
      <c r="AR4545">
        <f>IF('01_Вводные'!$B$234="Да",IF(OR(('19_Расчет_аналитики'!AR4461-'19_Расчет_аналитики'!AR4489)=0,6&lt;='01_Вводные'!$B$297),0,('19_Расчет_аналитики'!AR4461-'19_Расчет_аналитики'!AR4489)*IF('01_Вводные'!$B$239="Да",MeanMinAge06+'19_Расчет_аналитики'!AR4608*SUMIF(ThresholdAge06,"&lt;"&amp;'19_Расчет_аналитики'!AR4608,WeightedRevAge06)-SUMIF(ThresholdAge06,"&lt;"&amp;'19_Расчет_аналитики'!AR4608,WeightedMinAge06),MAX(CapacityAge06*'01_Вводные'!$B$218*'19_Расчет_аналитики'!AR4608,MeanMinAge06))),0)</f>
        <v/>
      </c>
      <c r="AS4545">
        <f>IF('01_Вводные'!$B$234="Да",IF(OR(('19_Расчет_аналитики'!AS4461-'19_Расчет_аналитики'!AS4489)=0,6&lt;='01_Вводные'!$B$297),0,('19_Расчет_аналитики'!AS4461-'19_Расчет_аналитики'!AS4489)*IF('01_Вводные'!$B$239="Да",MeanMinAge06+'19_Расчет_аналитики'!AS4608*SUMIF(ThresholdAge06,"&lt;"&amp;'19_Расчет_аналитики'!AS4608,WeightedRevAge06)-SUMIF(ThresholdAge06,"&lt;"&amp;'19_Расчет_аналитики'!AS4608,WeightedMinAge06),MAX(CapacityAge06*'01_Вводные'!$B$218*'19_Расчет_аналитики'!AS4608,MeanMinAge06))),0)</f>
        <v/>
      </c>
      <c r="AT4545">
        <f>IF('01_Вводные'!$B$234="Да",IF(OR(('19_Расчет_аналитики'!AT4461-'19_Расчет_аналитики'!AT4489)=0,6&lt;='01_Вводные'!$B$297),0,('19_Расчет_аналитики'!AT4461-'19_Расчет_аналитики'!AT4489)*IF('01_Вводные'!$B$239="Да",MeanMinAge06+'19_Расчет_аналитики'!AT4608*SUMIF(ThresholdAge06,"&lt;"&amp;'19_Расчет_аналитики'!AT4608,WeightedRevAge06)-SUMIF(ThresholdAge06,"&lt;"&amp;'19_Расчет_аналитики'!AT4608,WeightedMinAge06),MAX(CapacityAge06*'01_Вводные'!$B$218*'19_Расчет_аналитики'!AT4608,MeanMinAge06))),0)</f>
        <v/>
      </c>
      <c r="AU4545">
        <f>IF('01_Вводные'!$B$234="Да",IF(OR(('19_Расчет_аналитики'!AU4461-'19_Расчет_аналитики'!AU4489)=0,6&lt;='01_Вводные'!$B$297),0,('19_Расчет_аналитики'!AU4461-'19_Расчет_аналитики'!AU4489)*IF('01_Вводные'!$B$239="Да",MeanMinAge06+'19_Расчет_аналитики'!AU4608*SUMIF(ThresholdAge06,"&lt;"&amp;'19_Расчет_аналитики'!AU4608,WeightedRevAge06)-SUMIF(ThresholdAge06,"&lt;"&amp;'19_Расчет_аналитики'!AU4608,WeightedMinAge06),MAX(CapacityAge06*'01_Вводные'!$B$218*'19_Расчет_аналитики'!AU4608,MeanMinAge06))),0)</f>
        <v/>
      </c>
      <c r="AV4545">
        <f>IF('01_Вводные'!$B$234="Да",IF(OR(('19_Расчет_аналитики'!AV4461-'19_Расчет_аналитики'!AV4489)=0,6&lt;='01_Вводные'!$B$297),0,('19_Расчет_аналитики'!AV4461-'19_Расчет_аналитики'!AV4489)*IF('01_Вводные'!$B$239="Да",MeanMinAge06+'19_Расчет_аналитики'!AV4608*SUMIF(ThresholdAge06,"&lt;"&amp;'19_Расчет_аналитики'!AV4608,WeightedRevAge06)-SUMIF(ThresholdAge06,"&lt;"&amp;'19_Расчет_аналитики'!AV4608,WeightedMinAge06),MAX(CapacityAge06*'01_Вводные'!$B$218*'19_Расчет_аналитики'!AV4608,MeanMinAge06))),0)</f>
        <v/>
      </c>
      <c r="AW4545">
        <f>IF('01_Вводные'!$B$234="Да",IF(OR(('19_Расчет_аналитики'!AW4461-'19_Расчет_аналитики'!AW4489)=0,6&lt;='01_Вводные'!$B$297),0,('19_Расчет_аналитики'!AW4461-'19_Расчет_аналитики'!AW4489)*IF('01_Вводные'!$B$239="Да",MeanMinAge06+'19_Расчет_аналитики'!AW4608*SUMIF(ThresholdAge06,"&lt;"&amp;'19_Расчет_аналитики'!AW4608,WeightedRevAge06)-SUMIF(ThresholdAge06,"&lt;"&amp;'19_Расчет_аналитики'!AW4608,WeightedMinAge06),MAX(CapacityAge06*'01_Вводные'!$B$218*'19_Расчет_аналитики'!AW4608,MeanMinAge06))),0)</f>
        <v/>
      </c>
      <c r="AX4545">
        <f>IF('01_Вводные'!$B$234="Да",IF(OR(('19_Расчет_аналитики'!AX4461-'19_Расчет_аналитики'!AX4489)=0,6&lt;='01_Вводные'!$B$297),0,('19_Расчет_аналитики'!AX4461-'19_Расчет_аналитики'!AX4489)*IF('01_Вводные'!$B$239="Да",MeanMinAge06+'19_Расчет_аналитики'!AX4608*SUMIF(ThresholdAge06,"&lt;"&amp;'19_Расчет_аналитики'!AX4608,WeightedRevAge06)-SUMIF(ThresholdAge06,"&lt;"&amp;'19_Расчет_аналитики'!AX4608,WeightedMinAge06),MAX(CapacityAge06*'01_Вводные'!$B$218*'19_Расчет_аналитики'!AX4608,MeanMinAge06))),0)</f>
        <v/>
      </c>
      <c r="AY4545">
        <f>IF('01_Вводные'!$B$234="Да",IF(OR(('19_Расчет_аналитики'!AY4461-'19_Расчет_аналитики'!AY4489)=0,6&lt;='01_Вводные'!$B$297),0,('19_Расчет_аналитики'!AY4461-'19_Расчет_аналитики'!AY4489)*IF('01_Вводные'!$B$239="Да",MeanMinAge06+'19_Расчет_аналитики'!AY4608*SUMIF(ThresholdAge06,"&lt;"&amp;'19_Расчет_аналитики'!AY4608,WeightedRevAge06)-SUMIF(ThresholdAge06,"&lt;"&amp;'19_Расчет_аналитики'!AY4608,WeightedMinAge06),MAX(CapacityAge06*'01_Вводные'!$B$218*'19_Расчет_аналитики'!AY4608,MeanMinAge06))),0)</f>
        <v/>
      </c>
      <c r="AZ4545">
        <f>IF('01_Вводные'!$B$234="Да",IF(OR(('19_Расчет_аналитики'!AZ4461-'19_Расчет_аналитики'!AZ4489)=0,6&lt;='01_Вводные'!$B$297),0,('19_Расчет_аналитики'!AZ4461-'19_Расчет_аналитики'!AZ4489)*IF('01_Вводные'!$B$239="Да",MeanMinAge06+'19_Расчет_аналитики'!AZ4608*SUMIF(ThresholdAge06,"&lt;"&amp;'19_Расчет_аналитики'!AZ4608,WeightedRevAge06)-SUMIF(ThresholdAge06,"&lt;"&amp;'19_Расчет_аналитики'!AZ4608,WeightedMinAge06),MAX(CapacityAge06*'01_Вводные'!$B$218*'19_Расчет_аналитики'!AZ4608,MeanMinAge06))),0)</f>
        <v/>
      </c>
      <c r="BA4545">
        <f>IF('01_Вводные'!$B$234="Да",IF(OR(('19_Расчет_аналитики'!BA4461-'19_Расчет_аналитики'!BA4489)=0,6&lt;='01_Вводные'!$B$297),0,('19_Расчет_аналитики'!BA4461-'19_Расчет_аналитики'!BA4489)*IF('01_Вводные'!$B$239="Да",MeanMinAge06+'19_Расчет_аналитики'!BA4608*SUMIF(ThresholdAge06,"&lt;"&amp;'19_Расчет_аналитики'!BA4608,WeightedRevAge06)-SUMIF(ThresholdAge06,"&lt;"&amp;'19_Расчет_аналитики'!BA4608,WeightedMinAge06),MAX(CapacityAge06*'01_Вводные'!$B$218*'19_Расчет_аналитики'!BA4608,MeanMinAge06))),0)</f>
        <v/>
      </c>
      <c r="BB4545">
        <f>IF('01_Вводные'!$B$234="Да",IF(OR(('19_Расчет_аналитики'!BB4461-'19_Расчет_аналитики'!BB4489)=0,6&lt;='01_Вводные'!$B$297),0,('19_Расчет_аналитики'!BB4461-'19_Расчет_аналитики'!BB4489)*IF('01_Вводные'!$B$239="Да",MeanMinAge06+'19_Расчет_аналитики'!BB4608*SUMIF(ThresholdAge06,"&lt;"&amp;'19_Расчет_аналитики'!BB4608,WeightedRevAge06)-SUMIF(ThresholdAge06,"&lt;"&amp;'19_Расчет_аналитики'!BB4608,WeightedMinAge06),MAX(CapacityAge06*'01_Вводные'!$B$218*'19_Расчет_аналитики'!BB4608,MeanMinAge06))),0)</f>
        <v/>
      </c>
      <c r="BC4545">
        <f>IF('01_Вводные'!$B$234="Да",IF(OR(('19_Расчет_аналитики'!BC4461-'19_Расчет_аналитики'!BC4489)=0,6&lt;='01_Вводные'!$B$297),0,('19_Расчет_аналитики'!BC4461-'19_Расчет_аналитики'!BC4489)*IF('01_Вводные'!$B$239="Да",MeanMinAge06+'19_Расчет_аналитики'!BC4608*SUMIF(ThresholdAge06,"&lt;"&amp;'19_Расчет_аналитики'!BC4608,WeightedRevAge06)-SUMIF(ThresholdAge06,"&lt;"&amp;'19_Расчет_аналитики'!BC4608,WeightedMinAge06),MAX(CapacityAge06*'01_Вводные'!$B$218*'19_Расчет_аналитики'!BC4608,MeanMinAge06))),0)</f>
        <v/>
      </c>
      <c r="BD4545">
        <f>IF('01_Вводные'!$B$234="Да",IF(OR(('19_Расчет_аналитики'!BD4461-'19_Расчет_аналитики'!BD4489)=0,6&lt;='01_Вводные'!$B$297),0,('19_Расчет_аналитики'!BD4461-'19_Расчет_аналитики'!BD4489)*IF('01_Вводные'!$B$239="Да",MeanMinAge06+'19_Расчет_аналитики'!BD4608*SUMIF(ThresholdAge06,"&lt;"&amp;'19_Расчет_аналитики'!BD4608,WeightedRevAge06)-SUMIF(ThresholdAge06,"&lt;"&amp;'19_Расчет_аналитики'!BD4608,WeightedMinAge06),MAX(CapacityAge06*'01_Вводные'!$B$218*'19_Расчет_аналитики'!BD4608,MeanMinAge06))),0)</f>
        <v/>
      </c>
      <c r="BE4545">
        <f>IF('01_Вводные'!$B$234="Да",IF(OR(('19_Расчет_аналитики'!BE4461-'19_Расчет_аналитики'!BE4489)=0,6&lt;='01_Вводные'!$B$297),0,('19_Расчет_аналитики'!BE4461-'19_Расчет_аналитики'!BE4489)*IF('01_Вводные'!$B$239="Да",MeanMinAge06+'19_Расчет_аналитики'!BE4608*SUMIF(ThresholdAge06,"&lt;"&amp;'19_Расчет_аналитики'!BE4608,WeightedRevAge06)-SUMIF(ThresholdAge06,"&lt;"&amp;'19_Расчет_аналитики'!BE4608,WeightedMinAge06),MAX(CapacityAge06*'01_Вводные'!$B$218*'19_Расчет_аналитики'!BE4608,MeanMinAge06))),0)</f>
        <v/>
      </c>
      <c r="BF4545">
        <f>IF('01_Вводные'!$B$234="Да",IF(OR(('19_Расчет_аналитики'!BF4461-'19_Расчет_аналитики'!BF4489)=0,6&lt;='01_Вводные'!$B$297),0,('19_Расчет_аналитики'!BF4461-'19_Расчет_аналитики'!BF4489)*IF('01_Вводные'!$B$239="Да",MeanMinAge06+'19_Расчет_аналитики'!BF4608*SUMIF(ThresholdAge06,"&lt;"&amp;'19_Расчет_аналитики'!BF4608,WeightedRevAge06)-SUMIF(ThresholdAge06,"&lt;"&amp;'19_Расчет_аналитики'!BF4608,WeightedMinAge06),MAX(CapacityAge06*'01_Вводные'!$B$218*'19_Расчет_аналитики'!BF4608,MeanMinAge06))),0)</f>
        <v/>
      </c>
      <c r="BG4545">
        <f>IF('01_Вводные'!$B$234="Да",IF(OR(('19_Расчет_аналитики'!BG4461-'19_Расчет_аналитики'!BG4489)=0,6&lt;='01_Вводные'!$B$297),0,('19_Расчет_аналитики'!BG4461-'19_Расчет_аналитики'!BG4489)*IF('01_Вводные'!$B$239="Да",MeanMinAge06+'19_Расчет_аналитики'!BG4608*SUMIF(ThresholdAge06,"&lt;"&amp;'19_Расчет_аналитики'!BG4608,WeightedRevAge06)-SUMIF(ThresholdAge06,"&lt;"&amp;'19_Расчет_аналитики'!BG4608,WeightedMinAge06),MAX(CapacityAge06*'01_Вводные'!$B$218*'19_Расчет_аналитики'!BG4608,MeanMinAge06))),0)</f>
        <v/>
      </c>
      <c r="BH4545">
        <f>IF('01_Вводные'!$B$234="Да",IF(OR(('19_Расчет_аналитики'!BH4461-'19_Расчет_аналитики'!BH4489)=0,6&lt;='01_Вводные'!$B$297),0,('19_Расчет_аналитики'!BH4461-'19_Расчет_аналитики'!BH4489)*IF('01_Вводные'!$B$239="Да",MeanMinAge06+'19_Расчет_аналитики'!BH4608*SUMIF(ThresholdAge06,"&lt;"&amp;'19_Расчет_аналитики'!BH4608,WeightedRevAge06)-SUMIF(ThresholdAge06,"&lt;"&amp;'19_Расчет_аналитики'!BH4608,WeightedMinAge06),MAX(CapacityAge06*'01_Вводные'!$B$218*'19_Расчет_аналитики'!BH4608,MeanMinAge06))),0)</f>
        <v/>
      </c>
      <c r="BI4545">
        <f>IF('01_Вводные'!$B$234="Да",IF(OR(('19_Расчет_аналитики'!BI4461-'19_Расчет_аналитики'!BI4489)=0,6&lt;='01_Вводные'!$B$297),0,('19_Расчет_аналитики'!BI4461-'19_Расчет_аналитики'!BI4489)*IF('01_Вводные'!$B$239="Да",MeanMinAge06+'19_Расчет_аналитики'!BI4608*SUMIF(ThresholdAge06,"&lt;"&amp;'19_Расчет_аналитики'!BI4608,WeightedRevAge06)-SUMIF(ThresholdAge06,"&lt;"&amp;'19_Расчет_аналитики'!BI4608,WeightedMinAge06),MAX(CapacityAge06*'01_Вводные'!$B$218*'19_Расчет_аналитики'!BI4608,MeanMinAge06))),0)</f>
        <v/>
      </c>
      <c r="BJ4545">
        <f>IF('01_Вводные'!$B$234="Да",IF(OR(('19_Расчет_аналитики'!BJ4461-'19_Расчет_аналитики'!BJ4489)=0,6&lt;='01_Вводные'!$B$297),0,('19_Расчет_аналитики'!BJ4461-'19_Расчет_аналитики'!BJ4489)*IF('01_Вводные'!$B$239="Да",MeanMinAge06+'19_Расчет_аналитики'!BJ4608*SUMIF(ThresholdAge06,"&lt;"&amp;'19_Расчет_аналитики'!BJ4608,WeightedRevAge06)-SUMIF(ThresholdAge06,"&lt;"&amp;'19_Расчет_аналитики'!BJ4608,WeightedMinAge06),MAX(CapacityAge06*'01_Вводные'!$B$218*'19_Расчет_аналитики'!BJ4608,MeanMinAge06))),0)</f>
        <v/>
      </c>
      <c r="BK4545">
        <f>IF('01_Вводные'!$B$234="Да",IF(OR(('19_Расчет_аналитики'!BK4461-'19_Расчет_аналитики'!BK4489)=0,6&lt;='01_Вводные'!$B$297),0,('19_Расчет_аналитики'!BK4461-'19_Расчет_аналитики'!BK4489)*IF('01_Вводные'!$B$239="Да",MeanMinAge06+'19_Расчет_аналитики'!BK4608*SUMIF(ThresholdAge06,"&lt;"&amp;'19_Расчет_аналитики'!BK4608,WeightedRevAge06)-SUMIF(ThresholdAge06,"&lt;"&amp;'19_Расчет_аналитики'!BK4608,WeightedMinAge06),MAX(CapacityAge06*'01_Вводные'!$B$218*'19_Расчет_аналитики'!BK4608,MeanMinAge06))),0)</f>
        <v/>
      </c>
      <c r="BL4545">
        <f>IF('01_Вводные'!$B$234="Да",IF(OR(('19_Расчет_аналитики'!BL4461-'19_Расчет_аналитики'!BL4489)=0,6&lt;='01_Вводные'!$B$297),0,('19_Расчет_аналитики'!BL4461-'19_Расчет_аналитики'!BL4489)*IF('01_Вводные'!$B$239="Да",MeanMinAge06+'19_Расчет_аналитики'!BL4608*SUMIF(ThresholdAge06,"&lt;"&amp;'19_Расчет_аналитики'!BL4608,WeightedRevAge06)-SUMIF(ThresholdAge06,"&lt;"&amp;'19_Расчет_аналитики'!BL4608,WeightedMinAge06),MAX(CapacityAge06*'01_Вводные'!$B$218*'19_Расчет_аналитики'!BL4608,MeanMinAge06))),0)</f>
        <v/>
      </c>
      <c r="BM4545">
        <f>IF('01_Вводные'!$B$234="Да",IF(OR(('19_Расчет_аналитики'!BM4461-'19_Расчет_аналитики'!BM4489)=0,6&lt;='01_Вводные'!$B$297),0,('19_Расчет_аналитики'!BM4461-'19_Расчет_аналитики'!BM4489)*IF('01_Вводные'!$B$239="Да",MeanMinAge06+'19_Расчет_аналитики'!BM4608*SUMIF(ThresholdAge06,"&lt;"&amp;'19_Расчет_аналитики'!BM4608,WeightedRevAge06)-SUMIF(ThresholdAge06,"&lt;"&amp;'19_Расчет_аналитики'!BM4608,WeightedMinAge06),MAX(CapacityAge06*'01_Вводные'!$B$218*'19_Расчет_аналитики'!BM4608,MeanMinAge06))),0)</f>
        <v/>
      </c>
      <c r="BN4545">
        <f>IF('01_Вводные'!$B$234="Да",IF(OR(('19_Расчет_аналитики'!BN4461-'19_Расчет_аналитики'!BN4489)=0,6&lt;='01_Вводные'!$B$297),0,('19_Расчет_аналитики'!BN4461-'19_Расчет_аналитики'!BN4489)*IF('01_Вводные'!$B$239="Да",MeanMinAge06+'19_Расчет_аналитики'!BN4608*SUMIF(ThresholdAge06,"&lt;"&amp;'19_Расчет_аналитики'!BN4608,WeightedRevAge06)-SUMIF(ThresholdAge06,"&lt;"&amp;'19_Расчет_аналитики'!BN4608,WeightedMinAge06),MAX(CapacityAge06*'01_Вводные'!$B$218*'19_Расчет_аналитики'!BN4608,MeanMinAge06))),0)</f>
        <v/>
      </c>
      <c r="BO4545">
        <f>IF('01_Вводные'!$B$234="Да",IF(OR(('19_Расчет_аналитики'!BO4461-'19_Расчет_аналитики'!BO4489)=0,6&lt;='01_Вводные'!$B$297),0,('19_Расчет_аналитики'!BO4461-'19_Расчет_аналитики'!BO4489)*IF('01_Вводные'!$B$239="Да",MeanMinAge06+'19_Расчет_аналитики'!BO4608*SUMIF(ThresholdAge06,"&lt;"&amp;'19_Расчет_аналитики'!BO4608,WeightedRevAge06)-SUMIF(ThresholdAge06,"&lt;"&amp;'19_Расчет_аналитики'!BO4608,WeightedMinAge06),MAX(CapacityAge06*'01_Вводные'!$B$218*'19_Расчет_аналитики'!BO4608,MeanMinAge06))),0)</f>
        <v/>
      </c>
    </row>
    <row r="4546">
      <c r="B4546">
        <f>IF('01_Вводные'!$B$234="Да",IF(OR(('06_Сеть_и_дети'!B59-'06_Сеть_и_дети'!B87)=0,7&lt;='01_Вводные'!$B$297),0,('06_Сеть_и_дети'!B59-'06_Сеть_и_дети'!B87)*IF('01_Вводные'!$B$239="Да",MeanMinAge07+'19_Расчет_аналитики'!B4608*SUMIF(ThresholdAge07,"&lt;"&amp;'19_Расчет_аналитики'!B4608,WeightedRevAge07)-SUMIF(ThresholdAge07,"&lt;"&amp;'19_Расчет_аналитики'!B4608,WeightedMinAge07),MAX(CapacityAge07*'01_Вводные'!$B$218*'19_Расчет_аналитики'!B4608,MeanMinAge07))),0)</f>
        <v/>
      </c>
      <c r="C4546">
        <f>IF('01_Вводные'!$B$234="Да",IF(OR(('06_Сеть_и_дети'!C59-'06_Сеть_и_дети'!C87)=0,7&lt;='01_Вводные'!$B$297),0,('06_Сеть_и_дети'!C59-'06_Сеть_и_дети'!C87)*IF('01_Вводные'!$B$239="Да",MeanMinAge07+'19_Расчет_аналитики'!C4608*SUMIF(ThresholdAge07,"&lt;"&amp;'19_Расчет_аналитики'!C4608,WeightedRevAge07)-SUMIF(ThresholdAge07,"&lt;"&amp;'19_Расчет_аналитики'!C4608,WeightedMinAge07),MAX(CapacityAge07*'01_Вводные'!$B$218*'19_Расчет_аналитики'!C4608,MeanMinAge07))),0)</f>
        <v/>
      </c>
      <c r="D4546">
        <f>IF('01_Вводные'!$B$234="Да",IF(OR(('06_Сеть_и_дети'!D59-'06_Сеть_и_дети'!D87)=0,7&lt;='01_Вводные'!$B$297),0,('06_Сеть_и_дети'!D59-'06_Сеть_и_дети'!D87)*IF('01_Вводные'!$B$239="Да",MeanMinAge07+'19_Расчет_аналитики'!D4608*SUMIF(ThresholdAge07,"&lt;"&amp;'19_Расчет_аналитики'!D4608,WeightedRevAge07)-SUMIF(ThresholdAge07,"&lt;"&amp;'19_Расчет_аналитики'!D4608,WeightedMinAge07),MAX(CapacityAge07*'01_Вводные'!$B$218*'19_Расчет_аналитики'!D4608,MeanMinAge07))),0)</f>
        <v/>
      </c>
      <c r="E4546">
        <f>IF('01_Вводные'!$B$234="Да",IF(OR(('06_Сеть_и_дети'!E59-'06_Сеть_и_дети'!E87)=0,7&lt;='01_Вводные'!$B$297),0,('06_Сеть_и_дети'!E59-'06_Сеть_и_дети'!E87)*IF('01_Вводные'!$B$239="Да",MeanMinAge07+'19_Расчет_аналитики'!E4608*SUMIF(ThresholdAge07,"&lt;"&amp;'19_Расчет_аналитики'!E4608,WeightedRevAge07)-SUMIF(ThresholdAge07,"&lt;"&amp;'19_Расчет_аналитики'!E4608,WeightedMinAge07),MAX(CapacityAge07*'01_Вводные'!$B$218*'19_Расчет_аналитики'!E4608,MeanMinAge07))),0)</f>
        <v/>
      </c>
      <c r="F4546">
        <f>IF('01_Вводные'!$B$234="Да",IF(OR(('06_Сеть_и_дети'!F59-'06_Сеть_и_дети'!F87)=0,7&lt;='01_Вводные'!$B$297),0,('06_Сеть_и_дети'!F59-'06_Сеть_и_дети'!F87)*IF('01_Вводные'!$B$239="Да",MeanMinAge07+'19_Расчет_аналитики'!F4608*SUMIF(ThresholdAge07,"&lt;"&amp;'19_Расчет_аналитики'!F4608,WeightedRevAge07)-SUMIF(ThresholdAge07,"&lt;"&amp;'19_Расчет_аналитики'!F4608,WeightedMinAge07),MAX(CapacityAge07*'01_Вводные'!$B$218*'19_Расчет_аналитики'!F4608,MeanMinAge07))),0)</f>
        <v/>
      </c>
      <c r="G4546">
        <f>IF('01_Вводные'!$B$234="Да",IF(OR(('06_Сеть_и_дети'!G59-'06_Сеть_и_дети'!G87)=0,7&lt;='01_Вводные'!$B$297),0,('06_Сеть_и_дети'!G59-'06_Сеть_и_дети'!G87)*IF('01_Вводные'!$B$239="Да",MeanMinAge07+'19_Расчет_аналитики'!G4608*SUMIF(ThresholdAge07,"&lt;"&amp;'19_Расчет_аналитики'!G4608,WeightedRevAge07)-SUMIF(ThresholdAge07,"&lt;"&amp;'19_Расчет_аналитики'!G4608,WeightedMinAge07),MAX(CapacityAge07*'01_Вводные'!$B$218*'19_Расчет_аналитики'!G4608,MeanMinAge07))),0)</f>
        <v/>
      </c>
      <c r="H4546">
        <f>IF('01_Вводные'!$B$234="Да",IF(OR(('19_Расчет_аналитики'!H4462-'19_Расчет_аналитики'!H4490)=0,7&lt;='01_Вводные'!$B$297),0,('19_Расчет_аналитики'!H4462-'19_Расчет_аналитики'!H4490)*IF('01_Вводные'!$B$239="Да",MeanMinAge07+'19_Расчет_аналитики'!H4608*SUMIF(ThresholdAge07,"&lt;"&amp;'19_Расчет_аналитики'!H4608,WeightedRevAge07)-SUMIF(ThresholdAge07,"&lt;"&amp;'19_Расчет_аналитики'!H4608,WeightedMinAge07),MAX(CapacityAge07*'01_Вводные'!$B$218*'19_Расчет_аналитики'!H4608,MeanMinAge07))),0)</f>
        <v/>
      </c>
      <c r="I4546">
        <f>IF('01_Вводные'!$B$234="Да",IF(OR(('19_Расчет_аналитики'!I4462-'19_Расчет_аналитики'!I4490)=0,7&lt;='01_Вводные'!$B$297),0,('19_Расчет_аналитики'!I4462-'19_Расчет_аналитики'!I4490)*IF('01_Вводные'!$B$239="Да",MeanMinAge07+'19_Расчет_аналитики'!I4608*SUMIF(ThresholdAge07,"&lt;"&amp;'19_Расчет_аналитики'!I4608,WeightedRevAge07)-SUMIF(ThresholdAge07,"&lt;"&amp;'19_Расчет_аналитики'!I4608,WeightedMinAge07),MAX(CapacityAge07*'01_Вводные'!$B$218*'19_Расчет_аналитики'!I4608,MeanMinAge07))),0)</f>
        <v/>
      </c>
      <c r="J4546">
        <f>IF('01_Вводные'!$B$234="Да",IF(OR(('19_Расчет_аналитики'!J4462-'19_Расчет_аналитики'!J4490)=0,7&lt;='01_Вводные'!$B$297),0,('19_Расчет_аналитики'!J4462-'19_Расчет_аналитики'!J4490)*IF('01_Вводные'!$B$239="Да",MeanMinAge07+'19_Расчет_аналитики'!J4608*SUMIF(ThresholdAge07,"&lt;"&amp;'19_Расчет_аналитики'!J4608,WeightedRevAge07)-SUMIF(ThresholdAge07,"&lt;"&amp;'19_Расчет_аналитики'!J4608,WeightedMinAge07),MAX(CapacityAge07*'01_Вводные'!$B$218*'19_Расчет_аналитики'!J4608,MeanMinAge07))),0)</f>
        <v/>
      </c>
      <c r="K4546">
        <f>IF('01_Вводные'!$B$234="Да",IF(OR(('19_Расчет_аналитики'!K4462-'19_Расчет_аналитики'!K4490)=0,7&lt;='01_Вводные'!$B$297),0,('19_Расчет_аналитики'!K4462-'19_Расчет_аналитики'!K4490)*IF('01_Вводные'!$B$239="Да",MeanMinAge07+'19_Расчет_аналитики'!K4608*SUMIF(ThresholdAge07,"&lt;"&amp;'19_Расчет_аналитики'!K4608,WeightedRevAge07)-SUMIF(ThresholdAge07,"&lt;"&amp;'19_Расчет_аналитики'!K4608,WeightedMinAge07),MAX(CapacityAge07*'01_Вводные'!$B$218*'19_Расчет_аналитики'!K4608,MeanMinAge07))),0)</f>
        <v/>
      </c>
      <c r="L4546">
        <f>IF('01_Вводные'!$B$234="Да",IF(OR(('19_Расчет_аналитики'!L4462-'19_Расчет_аналитики'!L4490)=0,7&lt;='01_Вводные'!$B$297),0,('19_Расчет_аналитики'!L4462-'19_Расчет_аналитики'!L4490)*IF('01_Вводные'!$B$239="Да",MeanMinAge07+'19_Расчет_аналитики'!L4608*SUMIF(ThresholdAge07,"&lt;"&amp;'19_Расчет_аналитики'!L4608,WeightedRevAge07)-SUMIF(ThresholdAge07,"&lt;"&amp;'19_Расчет_аналитики'!L4608,WeightedMinAge07),MAX(CapacityAge07*'01_Вводные'!$B$218*'19_Расчет_аналитики'!L4608,MeanMinAge07))),0)</f>
        <v/>
      </c>
      <c r="M4546">
        <f>IF('01_Вводные'!$B$234="Да",IF(OR(('19_Расчет_аналитики'!M4462-'19_Расчет_аналитики'!M4490)=0,7&lt;='01_Вводные'!$B$297),0,('19_Расчет_аналитики'!M4462-'19_Расчет_аналитики'!M4490)*IF('01_Вводные'!$B$239="Да",MeanMinAge07+'19_Расчет_аналитики'!M4608*SUMIF(ThresholdAge07,"&lt;"&amp;'19_Расчет_аналитики'!M4608,WeightedRevAge07)-SUMIF(ThresholdAge07,"&lt;"&amp;'19_Расчет_аналитики'!M4608,WeightedMinAge07),MAX(CapacityAge07*'01_Вводные'!$B$218*'19_Расчет_аналитики'!M4608,MeanMinAge07))),0)</f>
        <v/>
      </c>
      <c r="N4546">
        <f>IF('01_Вводные'!$B$234="Да",IF(OR(('19_Расчет_аналитики'!N4462-'19_Расчет_аналитики'!N4490)=0,7&lt;='01_Вводные'!$B$297),0,('19_Расчет_аналитики'!N4462-'19_Расчет_аналитики'!N4490)*IF('01_Вводные'!$B$239="Да",MeanMinAge07+'19_Расчет_аналитики'!N4608*SUMIF(ThresholdAge07,"&lt;"&amp;'19_Расчет_аналитики'!N4608,WeightedRevAge07)-SUMIF(ThresholdAge07,"&lt;"&amp;'19_Расчет_аналитики'!N4608,WeightedMinAge07),MAX(CapacityAge07*'01_Вводные'!$B$218*'19_Расчет_аналитики'!N4608,MeanMinAge07))),0)</f>
        <v/>
      </c>
      <c r="O4546">
        <f>IF('01_Вводные'!$B$234="Да",IF(OR(('19_Расчет_аналитики'!O4462-'19_Расчет_аналитики'!O4490)=0,7&lt;='01_Вводные'!$B$297),0,('19_Расчет_аналитики'!O4462-'19_Расчет_аналитики'!O4490)*IF('01_Вводные'!$B$239="Да",MeanMinAge07+'19_Расчет_аналитики'!O4608*SUMIF(ThresholdAge07,"&lt;"&amp;'19_Расчет_аналитики'!O4608,WeightedRevAge07)-SUMIF(ThresholdAge07,"&lt;"&amp;'19_Расчет_аналитики'!O4608,WeightedMinAge07),MAX(CapacityAge07*'01_Вводные'!$B$218*'19_Расчет_аналитики'!O4608,MeanMinAge07))),0)</f>
        <v/>
      </c>
      <c r="P4546">
        <f>IF('01_Вводные'!$B$234="Да",IF(OR(('19_Расчет_аналитики'!P4462-'19_Расчет_аналитики'!P4490)=0,7&lt;='01_Вводные'!$B$297),0,('19_Расчет_аналитики'!P4462-'19_Расчет_аналитики'!P4490)*IF('01_Вводные'!$B$239="Да",MeanMinAge07+'19_Расчет_аналитики'!P4608*SUMIF(ThresholdAge07,"&lt;"&amp;'19_Расчет_аналитики'!P4608,WeightedRevAge07)-SUMIF(ThresholdAge07,"&lt;"&amp;'19_Расчет_аналитики'!P4608,WeightedMinAge07),MAX(CapacityAge07*'01_Вводные'!$B$218*'19_Расчет_аналитики'!P4608,MeanMinAge07))),0)</f>
        <v/>
      </c>
      <c r="Q4546">
        <f>IF('01_Вводные'!$B$234="Да",IF(OR(('19_Расчет_аналитики'!Q4462-'19_Расчет_аналитики'!Q4490)=0,7&lt;='01_Вводные'!$B$297),0,('19_Расчет_аналитики'!Q4462-'19_Расчет_аналитики'!Q4490)*IF('01_Вводные'!$B$239="Да",MeanMinAge07+'19_Расчет_аналитики'!Q4608*SUMIF(ThresholdAge07,"&lt;"&amp;'19_Расчет_аналитики'!Q4608,WeightedRevAge07)-SUMIF(ThresholdAge07,"&lt;"&amp;'19_Расчет_аналитики'!Q4608,WeightedMinAge07),MAX(CapacityAge07*'01_Вводные'!$B$218*'19_Расчет_аналитики'!Q4608,MeanMinAge07))),0)</f>
        <v/>
      </c>
      <c r="R4546">
        <f>IF('01_Вводные'!$B$234="Да",IF(OR(('19_Расчет_аналитики'!R4462-'19_Расчет_аналитики'!R4490)=0,7&lt;='01_Вводные'!$B$297),0,('19_Расчет_аналитики'!R4462-'19_Расчет_аналитики'!R4490)*IF('01_Вводные'!$B$239="Да",MeanMinAge07+'19_Расчет_аналитики'!R4608*SUMIF(ThresholdAge07,"&lt;"&amp;'19_Расчет_аналитики'!R4608,WeightedRevAge07)-SUMIF(ThresholdAge07,"&lt;"&amp;'19_Расчет_аналитики'!R4608,WeightedMinAge07),MAX(CapacityAge07*'01_Вводные'!$B$218*'19_Расчет_аналитики'!R4608,MeanMinAge07))),0)</f>
        <v/>
      </c>
      <c r="S4546">
        <f>IF('01_Вводные'!$B$234="Да",IF(OR(('19_Расчет_аналитики'!S4462-'19_Расчет_аналитики'!S4490)=0,7&lt;='01_Вводные'!$B$297),0,('19_Расчет_аналитики'!S4462-'19_Расчет_аналитики'!S4490)*IF('01_Вводные'!$B$239="Да",MeanMinAge07+'19_Расчет_аналитики'!S4608*SUMIF(ThresholdAge07,"&lt;"&amp;'19_Расчет_аналитики'!S4608,WeightedRevAge07)-SUMIF(ThresholdAge07,"&lt;"&amp;'19_Расчет_аналитики'!S4608,WeightedMinAge07),MAX(CapacityAge07*'01_Вводные'!$B$218*'19_Расчет_аналитики'!S4608,MeanMinAge07))),0)</f>
        <v/>
      </c>
      <c r="T4546">
        <f>IF('01_Вводные'!$B$234="Да",IF(OR(('19_Расчет_аналитики'!T4462-'19_Расчет_аналитики'!T4490)=0,7&lt;='01_Вводные'!$B$297),0,('19_Расчет_аналитики'!T4462-'19_Расчет_аналитики'!T4490)*IF('01_Вводные'!$B$239="Да",MeanMinAge07+'19_Расчет_аналитики'!T4608*SUMIF(ThresholdAge07,"&lt;"&amp;'19_Расчет_аналитики'!T4608,WeightedRevAge07)-SUMIF(ThresholdAge07,"&lt;"&amp;'19_Расчет_аналитики'!T4608,WeightedMinAge07),MAX(CapacityAge07*'01_Вводные'!$B$218*'19_Расчет_аналитики'!T4608,MeanMinAge07))),0)</f>
        <v/>
      </c>
      <c r="U4546">
        <f>IF('01_Вводные'!$B$234="Да",IF(OR(('19_Расчет_аналитики'!U4462-'19_Расчет_аналитики'!U4490)=0,7&lt;='01_Вводные'!$B$297),0,('19_Расчет_аналитики'!U4462-'19_Расчет_аналитики'!U4490)*IF('01_Вводные'!$B$239="Да",MeanMinAge07+'19_Расчет_аналитики'!U4608*SUMIF(ThresholdAge07,"&lt;"&amp;'19_Расчет_аналитики'!U4608,WeightedRevAge07)-SUMIF(ThresholdAge07,"&lt;"&amp;'19_Расчет_аналитики'!U4608,WeightedMinAge07),MAX(CapacityAge07*'01_Вводные'!$B$218*'19_Расчет_аналитики'!U4608,MeanMinAge07))),0)</f>
        <v/>
      </c>
      <c r="V4546">
        <f>IF('01_Вводные'!$B$234="Да",IF(OR(('19_Расчет_аналитики'!V4462-'19_Расчет_аналитики'!V4490)=0,7&lt;='01_Вводные'!$B$297),0,('19_Расчет_аналитики'!V4462-'19_Расчет_аналитики'!V4490)*IF('01_Вводные'!$B$239="Да",MeanMinAge07+'19_Расчет_аналитики'!V4608*SUMIF(ThresholdAge07,"&lt;"&amp;'19_Расчет_аналитики'!V4608,WeightedRevAge07)-SUMIF(ThresholdAge07,"&lt;"&amp;'19_Расчет_аналитики'!V4608,WeightedMinAge07),MAX(CapacityAge07*'01_Вводные'!$B$218*'19_Расчет_аналитики'!V4608,MeanMinAge07))),0)</f>
        <v/>
      </c>
      <c r="W4546">
        <f>IF('01_Вводные'!$B$234="Да",IF(OR(('19_Расчет_аналитики'!W4462-'19_Расчет_аналитики'!W4490)=0,7&lt;='01_Вводные'!$B$297),0,('19_Расчет_аналитики'!W4462-'19_Расчет_аналитики'!W4490)*IF('01_Вводные'!$B$239="Да",MeanMinAge07+'19_Расчет_аналитики'!W4608*SUMIF(ThresholdAge07,"&lt;"&amp;'19_Расчет_аналитики'!W4608,WeightedRevAge07)-SUMIF(ThresholdAge07,"&lt;"&amp;'19_Расчет_аналитики'!W4608,WeightedMinAge07),MAX(CapacityAge07*'01_Вводные'!$B$218*'19_Расчет_аналитики'!W4608,MeanMinAge07))),0)</f>
        <v/>
      </c>
      <c r="X4546">
        <f>IF('01_Вводные'!$B$234="Да",IF(OR(('19_Расчет_аналитики'!X4462-'19_Расчет_аналитики'!X4490)=0,7&lt;='01_Вводные'!$B$297),0,('19_Расчет_аналитики'!X4462-'19_Расчет_аналитики'!X4490)*IF('01_Вводные'!$B$239="Да",MeanMinAge07+'19_Расчет_аналитики'!X4608*SUMIF(ThresholdAge07,"&lt;"&amp;'19_Расчет_аналитики'!X4608,WeightedRevAge07)-SUMIF(ThresholdAge07,"&lt;"&amp;'19_Расчет_аналитики'!X4608,WeightedMinAge07),MAX(CapacityAge07*'01_Вводные'!$B$218*'19_Расчет_аналитики'!X4608,MeanMinAge07))),0)</f>
        <v/>
      </c>
      <c r="Y4546">
        <f>IF('01_Вводные'!$B$234="Да",IF(OR(('19_Расчет_аналитики'!Y4462-'19_Расчет_аналитики'!Y4490)=0,7&lt;='01_Вводные'!$B$297),0,('19_Расчет_аналитики'!Y4462-'19_Расчет_аналитики'!Y4490)*IF('01_Вводные'!$B$239="Да",MeanMinAge07+'19_Расчет_аналитики'!Y4608*SUMIF(ThresholdAge07,"&lt;"&amp;'19_Расчет_аналитики'!Y4608,WeightedRevAge07)-SUMIF(ThresholdAge07,"&lt;"&amp;'19_Расчет_аналитики'!Y4608,WeightedMinAge07),MAX(CapacityAge07*'01_Вводные'!$B$218*'19_Расчет_аналитики'!Y4608,MeanMinAge07))),0)</f>
        <v/>
      </c>
      <c r="Z4546">
        <f>IF('01_Вводные'!$B$234="Да",IF(OR(('19_Расчет_аналитики'!Z4462-'19_Расчет_аналитики'!Z4490)=0,7&lt;='01_Вводные'!$B$297),0,('19_Расчет_аналитики'!Z4462-'19_Расчет_аналитики'!Z4490)*IF('01_Вводные'!$B$239="Да",MeanMinAge07+'19_Расчет_аналитики'!Z4608*SUMIF(ThresholdAge07,"&lt;"&amp;'19_Расчет_аналитики'!Z4608,WeightedRevAge07)-SUMIF(ThresholdAge07,"&lt;"&amp;'19_Расчет_аналитики'!Z4608,WeightedMinAge07),MAX(CapacityAge07*'01_Вводные'!$B$218*'19_Расчет_аналитики'!Z4608,MeanMinAge07))),0)</f>
        <v/>
      </c>
      <c r="AA4546">
        <f>IF('01_Вводные'!$B$234="Да",IF(OR(('19_Расчет_аналитики'!AA4462-'19_Расчет_аналитики'!AA4490)=0,7&lt;='01_Вводные'!$B$297),0,('19_Расчет_аналитики'!AA4462-'19_Расчет_аналитики'!AA4490)*IF('01_Вводные'!$B$239="Да",MeanMinAge07+'19_Расчет_аналитики'!AA4608*SUMIF(ThresholdAge07,"&lt;"&amp;'19_Расчет_аналитики'!AA4608,WeightedRevAge07)-SUMIF(ThresholdAge07,"&lt;"&amp;'19_Расчет_аналитики'!AA4608,WeightedMinAge07),MAX(CapacityAge07*'01_Вводные'!$B$218*'19_Расчет_аналитики'!AA4608,MeanMinAge07))),0)</f>
        <v/>
      </c>
      <c r="AB4546">
        <f>IF('01_Вводные'!$B$234="Да",IF(OR(('19_Расчет_аналитики'!AB4462-'19_Расчет_аналитики'!AB4490)=0,7&lt;='01_Вводные'!$B$297),0,('19_Расчет_аналитики'!AB4462-'19_Расчет_аналитики'!AB4490)*IF('01_Вводные'!$B$239="Да",MeanMinAge07+'19_Расчет_аналитики'!AB4608*SUMIF(ThresholdAge07,"&lt;"&amp;'19_Расчет_аналитики'!AB4608,WeightedRevAge07)-SUMIF(ThresholdAge07,"&lt;"&amp;'19_Расчет_аналитики'!AB4608,WeightedMinAge07),MAX(CapacityAge07*'01_Вводные'!$B$218*'19_Расчет_аналитики'!AB4608,MeanMinAge07))),0)</f>
        <v/>
      </c>
      <c r="AC4546">
        <f>IF('01_Вводные'!$B$234="Да",IF(OR(('19_Расчет_аналитики'!AC4462-'19_Расчет_аналитики'!AC4490)=0,7&lt;='01_Вводные'!$B$297),0,('19_Расчет_аналитики'!AC4462-'19_Расчет_аналитики'!AC4490)*IF('01_Вводные'!$B$239="Да",MeanMinAge07+'19_Расчет_аналитики'!AC4608*SUMIF(ThresholdAge07,"&lt;"&amp;'19_Расчет_аналитики'!AC4608,WeightedRevAge07)-SUMIF(ThresholdAge07,"&lt;"&amp;'19_Расчет_аналитики'!AC4608,WeightedMinAge07),MAX(CapacityAge07*'01_Вводные'!$B$218*'19_Расчет_аналитики'!AC4608,MeanMinAge07))),0)</f>
        <v/>
      </c>
      <c r="AD4546">
        <f>IF('01_Вводные'!$B$234="Да",IF(OR(('19_Расчет_аналитики'!AD4462-'19_Расчет_аналитики'!AD4490)=0,7&lt;='01_Вводные'!$B$297),0,('19_Расчет_аналитики'!AD4462-'19_Расчет_аналитики'!AD4490)*IF('01_Вводные'!$B$239="Да",MeanMinAge07+'19_Расчет_аналитики'!AD4608*SUMIF(ThresholdAge07,"&lt;"&amp;'19_Расчет_аналитики'!AD4608,WeightedRevAge07)-SUMIF(ThresholdAge07,"&lt;"&amp;'19_Расчет_аналитики'!AD4608,WeightedMinAge07),MAX(CapacityAge07*'01_Вводные'!$B$218*'19_Расчет_аналитики'!AD4608,MeanMinAge07))),0)</f>
        <v/>
      </c>
      <c r="AE4546">
        <f>IF('01_Вводные'!$B$234="Да",IF(OR(('19_Расчет_аналитики'!AE4462-'19_Расчет_аналитики'!AE4490)=0,7&lt;='01_Вводные'!$B$297),0,('19_Расчет_аналитики'!AE4462-'19_Расчет_аналитики'!AE4490)*IF('01_Вводные'!$B$239="Да",MeanMinAge07+'19_Расчет_аналитики'!AE4608*SUMIF(ThresholdAge07,"&lt;"&amp;'19_Расчет_аналитики'!AE4608,WeightedRevAge07)-SUMIF(ThresholdAge07,"&lt;"&amp;'19_Расчет_аналитики'!AE4608,WeightedMinAge07),MAX(CapacityAge07*'01_Вводные'!$B$218*'19_Расчет_аналитики'!AE4608,MeanMinAge07))),0)</f>
        <v/>
      </c>
      <c r="AF4546">
        <f>IF('01_Вводные'!$B$234="Да",IF(OR(('19_Расчет_аналитики'!AF4462-'19_Расчет_аналитики'!AF4490)=0,7&lt;='01_Вводные'!$B$297),0,('19_Расчет_аналитики'!AF4462-'19_Расчет_аналитики'!AF4490)*IF('01_Вводные'!$B$239="Да",MeanMinAge07+'19_Расчет_аналитики'!AF4608*SUMIF(ThresholdAge07,"&lt;"&amp;'19_Расчет_аналитики'!AF4608,WeightedRevAge07)-SUMIF(ThresholdAge07,"&lt;"&amp;'19_Расчет_аналитики'!AF4608,WeightedMinAge07),MAX(CapacityAge07*'01_Вводные'!$B$218*'19_Расчет_аналитики'!AF4608,MeanMinAge07))),0)</f>
        <v/>
      </c>
      <c r="AG4546">
        <f>IF('01_Вводные'!$B$234="Да",IF(OR(('19_Расчет_аналитики'!AG4462-'19_Расчет_аналитики'!AG4490)=0,7&lt;='01_Вводные'!$B$297),0,('19_Расчет_аналитики'!AG4462-'19_Расчет_аналитики'!AG4490)*IF('01_Вводные'!$B$239="Да",MeanMinAge07+'19_Расчет_аналитики'!AG4608*SUMIF(ThresholdAge07,"&lt;"&amp;'19_Расчет_аналитики'!AG4608,WeightedRevAge07)-SUMIF(ThresholdAge07,"&lt;"&amp;'19_Расчет_аналитики'!AG4608,WeightedMinAge07),MAX(CapacityAge07*'01_Вводные'!$B$218*'19_Расчет_аналитики'!AG4608,MeanMinAge07))),0)</f>
        <v/>
      </c>
      <c r="AH4546">
        <f>IF('01_Вводные'!$B$234="Да",IF(OR(('19_Расчет_аналитики'!AH4462-'19_Расчет_аналитики'!AH4490)=0,7&lt;='01_Вводные'!$B$297),0,('19_Расчет_аналитики'!AH4462-'19_Расчет_аналитики'!AH4490)*IF('01_Вводные'!$B$239="Да",MeanMinAge07+'19_Расчет_аналитики'!AH4608*SUMIF(ThresholdAge07,"&lt;"&amp;'19_Расчет_аналитики'!AH4608,WeightedRevAge07)-SUMIF(ThresholdAge07,"&lt;"&amp;'19_Расчет_аналитики'!AH4608,WeightedMinAge07),MAX(CapacityAge07*'01_Вводные'!$B$218*'19_Расчет_аналитики'!AH4608,MeanMinAge07))),0)</f>
        <v/>
      </c>
      <c r="AI4546">
        <f>IF('01_Вводные'!$B$234="Да",IF(OR(('19_Расчет_аналитики'!AI4462-'19_Расчет_аналитики'!AI4490)=0,7&lt;='01_Вводные'!$B$297),0,('19_Расчет_аналитики'!AI4462-'19_Расчет_аналитики'!AI4490)*IF('01_Вводные'!$B$239="Да",MeanMinAge07+'19_Расчет_аналитики'!AI4608*SUMIF(ThresholdAge07,"&lt;"&amp;'19_Расчет_аналитики'!AI4608,WeightedRevAge07)-SUMIF(ThresholdAge07,"&lt;"&amp;'19_Расчет_аналитики'!AI4608,WeightedMinAge07),MAX(CapacityAge07*'01_Вводные'!$B$218*'19_Расчет_аналитики'!AI4608,MeanMinAge07))),0)</f>
        <v/>
      </c>
      <c r="AJ4546">
        <f>IF('01_Вводные'!$B$234="Да",IF(OR(('19_Расчет_аналитики'!AJ4462-'19_Расчет_аналитики'!AJ4490)=0,7&lt;='01_Вводные'!$B$297),0,('19_Расчет_аналитики'!AJ4462-'19_Расчет_аналитики'!AJ4490)*IF('01_Вводные'!$B$239="Да",MeanMinAge07+'19_Расчет_аналитики'!AJ4608*SUMIF(ThresholdAge07,"&lt;"&amp;'19_Расчет_аналитики'!AJ4608,WeightedRevAge07)-SUMIF(ThresholdAge07,"&lt;"&amp;'19_Расчет_аналитики'!AJ4608,WeightedMinAge07),MAX(CapacityAge07*'01_Вводные'!$B$218*'19_Расчет_аналитики'!AJ4608,MeanMinAge07))),0)</f>
        <v/>
      </c>
      <c r="AK4546">
        <f>IF('01_Вводные'!$B$234="Да",IF(OR(('19_Расчет_аналитики'!AK4462-'19_Расчет_аналитики'!AK4490)=0,7&lt;='01_Вводные'!$B$297),0,('19_Расчет_аналитики'!AK4462-'19_Расчет_аналитики'!AK4490)*IF('01_Вводные'!$B$239="Да",MeanMinAge07+'19_Расчет_аналитики'!AK4608*SUMIF(ThresholdAge07,"&lt;"&amp;'19_Расчет_аналитики'!AK4608,WeightedRevAge07)-SUMIF(ThresholdAge07,"&lt;"&amp;'19_Расчет_аналитики'!AK4608,WeightedMinAge07),MAX(CapacityAge07*'01_Вводные'!$B$218*'19_Расчет_аналитики'!AK4608,MeanMinAge07))),0)</f>
        <v/>
      </c>
      <c r="AL4546">
        <f>IF('01_Вводные'!$B$234="Да",IF(OR(('19_Расчет_аналитики'!AL4462-'19_Расчет_аналитики'!AL4490)=0,7&lt;='01_Вводные'!$B$297),0,('19_Расчет_аналитики'!AL4462-'19_Расчет_аналитики'!AL4490)*IF('01_Вводные'!$B$239="Да",MeanMinAge07+'19_Расчет_аналитики'!AL4608*SUMIF(ThresholdAge07,"&lt;"&amp;'19_Расчет_аналитики'!AL4608,WeightedRevAge07)-SUMIF(ThresholdAge07,"&lt;"&amp;'19_Расчет_аналитики'!AL4608,WeightedMinAge07),MAX(CapacityAge07*'01_Вводные'!$B$218*'19_Расчет_аналитики'!AL4608,MeanMinAge07))),0)</f>
        <v/>
      </c>
      <c r="AM4546">
        <f>IF('01_Вводные'!$B$234="Да",IF(OR(('19_Расчет_аналитики'!AM4462-'19_Расчет_аналитики'!AM4490)=0,7&lt;='01_Вводные'!$B$297),0,('19_Расчет_аналитики'!AM4462-'19_Расчет_аналитики'!AM4490)*IF('01_Вводные'!$B$239="Да",MeanMinAge07+'19_Расчет_аналитики'!AM4608*SUMIF(ThresholdAge07,"&lt;"&amp;'19_Расчет_аналитики'!AM4608,WeightedRevAge07)-SUMIF(ThresholdAge07,"&lt;"&amp;'19_Расчет_аналитики'!AM4608,WeightedMinAge07),MAX(CapacityAge07*'01_Вводные'!$B$218*'19_Расчет_аналитики'!AM4608,MeanMinAge07))),0)</f>
        <v/>
      </c>
      <c r="AN4546">
        <f>IF('01_Вводные'!$B$234="Да",IF(OR(('19_Расчет_аналитики'!AN4462-'19_Расчет_аналитики'!AN4490)=0,7&lt;='01_Вводные'!$B$297),0,('19_Расчет_аналитики'!AN4462-'19_Расчет_аналитики'!AN4490)*IF('01_Вводные'!$B$239="Да",MeanMinAge07+'19_Расчет_аналитики'!AN4608*SUMIF(ThresholdAge07,"&lt;"&amp;'19_Расчет_аналитики'!AN4608,WeightedRevAge07)-SUMIF(ThresholdAge07,"&lt;"&amp;'19_Расчет_аналитики'!AN4608,WeightedMinAge07),MAX(CapacityAge07*'01_Вводные'!$B$218*'19_Расчет_аналитики'!AN4608,MeanMinAge07))),0)</f>
        <v/>
      </c>
      <c r="AO4546">
        <f>IF('01_Вводные'!$B$234="Да",IF(OR(('19_Расчет_аналитики'!AO4462-'19_Расчет_аналитики'!AO4490)=0,7&lt;='01_Вводные'!$B$297),0,('19_Расчет_аналитики'!AO4462-'19_Расчет_аналитики'!AO4490)*IF('01_Вводные'!$B$239="Да",MeanMinAge07+'19_Расчет_аналитики'!AO4608*SUMIF(ThresholdAge07,"&lt;"&amp;'19_Расчет_аналитики'!AO4608,WeightedRevAge07)-SUMIF(ThresholdAge07,"&lt;"&amp;'19_Расчет_аналитики'!AO4608,WeightedMinAge07),MAX(CapacityAge07*'01_Вводные'!$B$218*'19_Расчет_аналитики'!AO4608,MeanMinAge07))),0)</f>
        <v/>
      </c>
      <c r="AP4546">
        <f>IF('01_Вводные'!$B$234="Да",IF(OR(('19_Расчет_аналитики'!AP4462-'19_Расчет_аналитики'!AP4490)=0,7&lt;='01_Вводные'!$B$297),0,('19_Расчет_аналитики'!AP4462-'19_Расчет_аналитики'!AP4490)*IF('01_Вводные'!$B$239="Да",MeanMinAge07+'19_Расчет_аналитики'!AP4608*SUMIF(ThresholdAge07,"&lt;"&amp;'19_Расчет_аналитики'!AP4608,WeightedRevAge07)-SUMIF(ThresholdAge07,"&lt;"&amp;'19_Расчет_аналитики'!AP4608,WeightedMinAge07),MAX(CapacityAge07*'01_Вводные'!$B$218*'19_Расчет_аналитики'!AP4608,MeanMinAge07))),0)</f>
        <v/>
      </c>
      <c r="AQ4546">
        <f>IF('01_Вводные'!$B$234="Да",IF(OR(('19_Расчет_аналитики'!AQ4462-'19_Расчет_аналитики'!AQ4490)=0,7&lt;='01_Вводные'!$B$297),0,('19_Расчет_аналитики'!AQ4462-'19_Расчет_аналитики'!AQ4490)*IF('01_Вводные'!$B$239="Да",MeanMinAge07+'19_Расчет_аналитики'!AQ4608*SUMIF(ThresholdAge07,"&lt;"&amp;'19_Расчет_аналитики'!AQ4608,WeightedRevAge07)-SUMIF(ThresholdAge07,"&lt;"&amp;'19_Расчет_аналитики'!AQ4608,WeightedMinAge07),MAX(CapacityAge07*'01_Вводные'!$B$218*'19_Расчет_аналитики'!AQ4608,MeanMinAge07))),0)</f>
        <v/>
      </c>
      <c r="AR4546">
        <f>IF('01_Вводные'!$B$234="Да",IF(OR(('19_Расчет_аналитики'!AR4462-'19_Расчет_аналитики'!AR4490)=0,7&lt;='01_Вводные'!$B$297),0,('19_Расчет_аналитики'!AR4462-'19_Расчет_аналитики'!AR4490)*IF('01_Вводные'!$B$239="Да",MeanMinAge07+'19_Расчет_аналитики'!AR4608*SUMIF(ThresholdAge07,"&lt;"&amp;'19_Расчет_аналитики'!AR4608,WeightedRevAge07)-SUMIF(ThresholdAge07,"&lt;"&amp;'19_Расчет_аналитики'!AR4608,WeightedMinAge07),MAX(CapacityAge07*'01_Вводные'!$B$218*'19_Расчет_аналитики'!AR4608,MeanMinAge07))),0)</f>
        <v/>
      </c>
      <c r="AS4546">
        <f>IF('01_Вводные'!$B$234="Да",IF(OR(('19_Расчет_аналитики'!AS4462-'19_Расчет_аналитики'!AS4490)=0,7&lt;='01_Вводные'!$B$297),0,('19_Расчет_аналитики'!AS4462-'19_Расчет_аналитики'!AS4490)*IF('01_Вводные'!$B$239="Да",MeanMinAge07+'19_Расчет_аналитики'!AS4608*SUMIF(ThresholdAge07,"&lt;"&amp;'19_Расчет_аналитики'!AS4608,WeightedRevAge07)-SUMIF(ThresholdAge07,"&lt;"&amp;'19_Расчет_аналитики'!AS4608,WeightedMinAge07),MAX(CapacityAge07*'01_Вводные'!$B$218*'19_Расчет_аналитики'!AS4608,MeanMinAge07))),0)</f>
        <v/>
      </c>
      <c r="AT4546">
        <f>IF('01_Вводные'!$B$234="Да",IF(OR(('19_Расчет_аналитики'!AT4462-'19_Расчет_аналитики'!AT4490)=0,7&lt;='01_Вводные'!$B$297),0,('19_Расчет_аналитики'!AT4462-'19_Расчет_аналитики'!AT4490)*IF('01_Вводные'!$B$239="Да",MeanMinAge07+'19_Расчет_аналитики'!AT4608*SUMIF(ThresholdAge07,"&lt;"&amp;'19_Расчет_аналитики'!AT4608,WeightedRevAge07)-SUMIF(ThresholdAge07,"&lt;"&amp;'19_Расчет_аналитики'!AT4608,WeightedMinAge07),MAX(CapacityAge07*'01_Вводные'!$B$218*'19_Расчет_аналитики'!AT4608,MeanMinAge07))),0)</f>
        <v/>
      </c>
      <c r="AU4546">
        <f>IF('01_Вводные'!$B$234="Да",IF(OR(('19_Расчет_аналитики'!AU4462-'19_Расчет_аналитики'!AU4490)=0,7&lt;='01_Вводные'!$B$297),0,('19_Расчет_аналитики'!AU4462-'19_Расчет_аналитики'!AU4490)*IF('01_Вводные'!$B$239="Да",MeanMinAge07+'19_Расчет_аналитики'!AU4608*SUMIF(ThresholdAge07,"&lt;"&amp;'19_Расчет_аналитики'!AU4608,WeightedRevAge07)-SUMIF(ThresholdAge07,"&lt;"&amp;'19_Расчет_аналитики'!AU4608,WeightedMinAge07),MAX(CapacityAge07*'01_Вводные'!$B$218*'19_Расчет_аналитики'!AU4608,MeanMinAge07))),0)</f>
        <v/>
      </c>
      <c r="AV4546">
        <f>IF('01_Вводные'!$B$234="Да",IF(OR(('19_Расчет_аналитики'!AV4462-'19_Расчет_аналитики'!AV4490)=0,7&lt;='01_Вводные'!$B$297),0,('19_Расчет_аналитики'!AV4462-'19_Расчет_аналитики'!AV4490)*IF('01_Вводные'!$B$239="Да",MeanMinAge07+'19_Расчет_аналитики'!AV4608*SUMIF(ThresholdAge07,"&lt;"&amp;'19_Расчет_аналитики'!AV4608,WeightedRevAge07)-SUMIF(ThresholdAge07,"&lt;"&amp;'19_Расчет_аналитики'!AV4608,WeightedMinAge07),MAX(CapacityAge07*'01_Вводные'!$B$218*'19_Расчет_аналитики'!AV4608,MeanMinAge07))),0)</f>
        <v/>
      </c>
      <c r="AW4546">
        <f>IF('01_Вводные'!$B$234="Да",IF(OR(('19_Расчет_аналитики'!AW4462-'19_Расчет_аналитики'!AW4490)=0,7&lt;='01_Вводные'!$B$297),0,('19_Расчет_аналитики'!AW4462-'19_Расчет_аналитики'!AW4490)*IF('01_Вводные'!$B$239="Да",MeanMinAge07+'19_Расчет_аналитики'!AW4608*SUMIF(ThresholdAge07,"&lt;"&amp;'19_Расчет_аналитики'!AW4608,WeightedRevAge07)-SUMIF(ThresholdAge07,"&lt;"&amp;'19_Расчет_аналитики'!AW4608,WeightedMinAge07),MAX(CapacityAge07*'01_Вводные'!$B$218*'19_Расчет_аналитики'!AW4608,MeanMinAge07))),0)</f>
        <v/>
      </c>
      <c r="AX4546">
        <f>IF('01_Вводные'!$B$234="Да",IF(OR(('19_Расчет_аналитики'!AX4462-'19_Расчет_аналитики'!AX4490)=0,7&lt;='01_Вводные'!$B$297),0,('19_Расчет_аналитики'!AX4462-'19_Расчет_аналитики'!AX4490)*IF('01_Вводные'!$B$239="Да",MeanMinAge07+'19_Расчет_аналитики'!AX4608*SUMIF(ThresholdAge07,"&lt;"&amp;'19_Расчет_аналитики'!AX4608,WeightedRevAge07)-SUMIF(ThresholdAge07,"&lt;"&amp;'19_Расчет_аналитики'!AX4608,WeightedMinAge07),MAX(CapacityAge07*'01_Вводные'!$B$218*'19_Расчет_аналитики'!AX4608,MeanMinAge07))),0)</f>
        <v/>
      </c>
      <c r="AY4546">
        <f>IF('01_Вводные'!$B$234="Да",IF(OR(('19_Расчет_аналитики'!AY4462-'19_Расчет_аналитики'!AY4490)=0,7&lt;='01_Вводные'!$B$297),0,('19_Расчет_аналитики'!AY4462-'19_Расчет_аналитики'!AY4490)*IF('01_Вводные'!$B$239="Да",MeanMinAge07+'19_Расчет_аналитики'!AY4608*SUMIF(ThresholdAge07,"&lt;"&amp;'19_Расчет_аналитики'!AY4608,WeightedRevAge07)-SUMIF(ThresholdAge07,"&lt;"&amp;'19_Расчет_аналитики'!AY4608,WeightedMinAge07),MAX(CapacityAge07*'01_Вводные'!$B$218*'19_Расчет_аналитики'!AY4608,MeanMinAge07))),0)</f>
        <v/>
      </c>
      <c r="AZ4546">
        <f>IF('01_Вводные'!$B$234="Да",IF(OR(('19_Расчет_аналитики'!AZ4462-'19_Расчет_аналитики'!AZ4490)=0,7&lt;='01_Вводные'!$B$297),0,('19_Расчет_аналитики'!AZ4462-'19_Расчет_аналитики'!AZ4490)*IF('01_Вводные'!$B$239="Да",MeanMinAge07+'19_Расчет_аналитики'!AZ4608*SUMIF(ThresholdAge07,"&lt;"&amp;'19_Расчет_аналитики'!AZ4608,WeightedRevAge07)-SUMIF(ThresholdAge07,"&lt;"&amp;'19_Расчет_аналитики'!AZ4608,WeightedMinAge07),MAX(CapacityAge07*'01_Вводные'!$B$218*'19_Расчет_аналитики'!AZ4608,MeanMinAge07))),0)</f>
        <v/>
      </c>
      <c r="BA4546">
        <f>IF('01_Вводные'!$B$234="Да",IF(OR(('19_Расчет_аналитики'!BA4462-'19_Расчет_аналитики'!BA4490)=0,7&lt;='01_Вводные'!$B$297),0,('19_Расчет_аналитики'!BA4462-'19_Расчет_аналитики'!BA4490)*IF('01_Вводные'!$B$239="Да",MeanMinAge07+'19_Расчет_аналитики'!BA4608*SUMIF(ThresholdAge07,"&lt;"&amp;'19_Расчет_аналитики'!BA4608,WeightedRevAge07)-SUMIF(ThresholdAge07,"&lt;"&amp;'19_Расчет_аналитики'!BA4608,WeightedMinAge07),MAX(CapacityAge07*'01_Вводные'!$B$218*'19_Расчет_аналитики'!BA4608,MeanMinAge07))),0)</f>
        <v/>
      </c>
      <c r="BB4546">
        <f>IF('01_Вводные'!$B$234="Да",IF(OR(('19_Расчет_аналитики'!BB4462-'19_Расчет_аналитики'!BB4490)=0,7&lt;='01_Вводные'!$B$297),0,('19_Расчет_аналитики'!BB4462-'19_Расчет_аналитики'!BB4490)*IF('01_Вводные'!$B$239="Да",MeanMinAge07+'19_Расчет_аналитики'!BB4608*SUMIF(ThresholdAge07,"&lt;"&amp;'19_Расчет_аналитики'!BB4608,WeightedRevAge07)-SUMIF(ThresholdAge07,"&lt;"&amp;'19_Расчет_аналитики'!BB4608,WeightedMinAge07),MAX(CapacityAge07*'01_Вводные'!$B$218*'19_Расчет_аналитики'!BB4608,MeanMinAge07))),0)</f>
        <v/>
      </c>
      <c r="BC4546">
        <f>IF('01_Вводные'!$B$234="Да",IF(OR(('19_Расчет_аналитики'!BC4462-'19_Расчет_аналитики'!BC4490)=0,7&lt;='01_Вводные'!$B$297),0,('19_Расчет_аналитики'!BC4462-'19_Расчет_аналитики'!BC4490)*IF('01_Вводные'!$B$239="Да",MeanMinAge07+'19_Расчет_аналитики'!BC4608*SUMIF(ThresholdAge07,"&lt;"&amp;'19_Расчет_аналитики'!BC4608,WeightedRevAge07)-SUMIF(ThresholdAge07,"&lt;"&amp;'19_Расчет_аналитики'!BC4608,WeightedMinAge07),MAX(CapacityAge07*'01_Вводные'!$B$218*'19_Расчет_аналитики'!BC4608,MeanMinAge07))),0)</f>
        <v/>
      </c>
      <c r="BD4546">
        <f>IF('01_Вводные'!$B$234="Да",IF(OR(('19_Расчет_аналитики'!BD4462-'19_Расчет_аналитики'!BD4490)=0,7&lt;='01_Вводные'!$B$297),0,('19_Расчет_аналитики'!BD4462-'19_Расчет_аналитики'!BD4490)*IF('01_Вводные'!$B$239="Да",MeanMinAge07+'19_Расчет_аналитики'!BD4608*SUMIF(ThresholdAge07,"&lt;"&amp;'19_Расчет_аналитики'!BD4608,WeightedRevAge07)-SUMIF(ThresholdAge07,"&lt;"&amp;'19_Расчет_аналитики'!BD4608,WeightedMinAge07),MAX(CapacityAge07*'01_Вводные'!$B$218*'19_Расчет_аналитики'!BD4608,MeanMinAge07))),0)</f>
        <v/>
      </c>
      <c r="BE4546">
        <f>IF('01_Вводные'!$B$234="Да",IF(OR(('19_Расчет_аналитики'!BE4462-'19_Расчет_аналитики'!BE4490)=0,7&lt;='01_Вводные'!$B$297),0,('19_Расчет_аналитики'!BE4462-'19_Расчет_аналитики'!BE4490)*IF('01_Вводные'!$B$239="Да",MeanMinAge07+'19_Расчет_аналитики'!BE4608*SUMIF(ThresholdAge07,"&lt;"&amp;'19_Расчет_аналитики'!BE4608,WeightedRevAge07)-SUMIF(ThresholdAge07,"&lt;"&amp;'19_Расчет_аналитики'!BE4608,WeightedMinAge07),MAX(CapacityAge07*'01_Вводные'!$B$218*'19_Расчет_аналитики'!BE4608,MeanMinAge07))),0)</f>
        <v/>
      </c>
      <c r="BF4546">
        <f>IF('01_Вводные'!$B$234="Да",IF(OR(('19_Расчет_аналитики'!BF4462-'19_Расчет_аналитики'!BF4490)=0,7&lt;='01_Вводные'!$B$297),0,('19_Расчет_аналитики'!BF4462-'19_Расчет_аналитики'!BF4490)*IF('01_Вводные'!$B$239="Да",MeanMinAge07+'19_Расчет_аналитики'!BF4608*SUMIF(ThresholdAge07,"&lt;"&amp;'19_Расчет_аналитики'!BF4608,WeightedRevAge07)-SUMIF(ThresholdAge07,"&lt;"&amp;'19_Расчет_аналитики'!BF4608,WeightedMinAge07),MAX(CapacityAge07*'01_Вводные'!$B$218*'19_Расчет_аналитики'!BF4608,MeanMinAge07))),0)</f>
        <v/>
      </c>
      <c r="BG4546">
        <f>IF('01_Вводные'!$B$234="Да",IF(OR(('19_Расчет_аналитики'!BG4462-'19_Расчет_аналитики'!BG4490)=0,7&lt;='01_Вводные'!$B$297),0,('19_Расчет_аналитики'!BG4462-'19_Расчет_аналитики'!BG4490)*IF('01_Вводные'!$B$239="Да",MeanMinAge07+'19_Расчет_аналитики'!BG4608*SUMIF(ThresholdAge07,"&lt;"&amp;'19_Расчет_аналитики'!BG4608,WeightedRevAge07)-SUMIF(ThresholdAge07,"&lt;"&amp;'19_Расчет_аналитики'!BG4608,WeightedMinAge07),MAX(CapacityAge07*'01_Вводные'!$B$218*'19_Расчет_аналитики'!BG4608,MeanMinAge07))),0)</f>
        <v/>
      </c>
      <c r="BH4546">
        <f>IF('01_Вводные'!$B$234="Да",IF(OR(('19_Расчет_аналитики'!BH4462-'19_Расчет_аналитики'!BH4490)=0,7&lt;='01_Вводные'!$B$297),0,('19_Расчет_аналитики'!BH4462-'19_Расчет_аналитики'!BH4490)*IF('01_Вводные'!$B$239="Да",MeanMinAge07+'19_Расчет_аналитики'!BH4608*SUMIF(ThresholdAge07,"&lt;"&amp;'19_Расчет_аналитики'!BH4608,WeightedRevAge07)-SUMIF(ThresholdAge07,"&lt;"&amp;'19_Расчет_аналитики'!BH4608,WeightedMinAge07),MAX(CapacityAge07*'01_Вводные'!$B$218*'19_Расчет_аналитики'!BH4608,MeanMinAge07))),0)</f>
        <v/>
      </c>
      <c r="BI4546">
        <f>IF('01_Вводные'!$B$234="Да",IF(OR(('19_Расчет_аналитики'!BI4462-'19_Расчет_аналитики'!BI4490)=0,7&lt;='01_Вводные'!$B$297),0,('19_Расчет_аналитики'!BI4462-'19_Расчет_аналитики'!BI4490)*IF('01_Вводные'!$B$239="Да",MeanMinAge07+'19_Расчет_аналитики'!BI4608*SUMIF(ThresholdAge07,"&lt;"&amp;'19_Расчет_аналитики'!BI4608,WeightedRevAge07)-SUMIF(ThresholdAge07,"&lt;"&amp;'19_Расчет_аналитики'!BI4608,WeightedMinAge07),MAX(CapacityAge07*'01_Вводные'!$B$218*'19_Расчет_аналитики'!BI4608,MeanMinAge07))),0)</f>
        <v/>
      </c>
      <c r="BJ4546">
        <f>IF('01_Вводные'!$B$234="Да",IF(OR(('19_Расчет_аналитики'!BJ4462-'19_Расчет_аналитики'!BJ4490)=0,7&lt;='01_Вводные'!$B$297),0,('19_Расчет_аналитики'!BJ4462-'19_Расчет_аналитики'!BJ4490)*IF('01_Вводные'!$B$239="Да",MeanMinAge07+'19_Расчет_аналитики'!BJ4608*SUMIF(ThresholdAge07,"&lt;"&amp;'19_Расчет_аналитики'!BJ4608,WeightedRevAge07)-SUMIF(ThresholdAge07,"&lt;"&amp;'19_Расчет_аналитики'!BJ4608,WeightedMinAge07),MAX(CapacityAge07*'01_Вводные'!$B$218*'19_Расчет_аналитики'!BJ4608,MeanMinAge07))),0)</f>
        <v/>
      </c>
      <c r="BK4546">
        <f>IF('01_Вводные'!$B$234="Да",IF(OR(('19_Расчет_аналитики'!BK4462-'19_Расчет_аналитики'!BK4490)=0,7&lt;='01_Вводные'!$B$297),0,('19_Расчет_аналитики'!BK4462-'19_Расчет_аналитики'!BK4490)*IF('01_Вводные'!$B$239="Да",MeanMinAge07+'19_Расчет_аналитики'!BK4608*SUMIF(ThresholdAge07,"&lt;"&amp;'19_Расчет_аналитики'!BK4608,WeightedRevAge07)-SUMIF(ThresholdAge07,"&lt;"&amp;'19_Расчет_аналитики'!BK4608,WeightedMinAge07),MAX(CapacityAge07*'01_Вводные'!$B$218*'19_Расчет_аналитики'!BK4608,MeanMinAge07))),0)</f>
        <v/>
      </c>
      <c r="BL4546">
        <f>IF('01_Вводные'!$B$234="Да",IF(OR(('19_Расчет_аналитики'!BL4462-'19_Расчет_аналитики'!BL4490)=0,7&lt;='01_Вводные'!$B$297),0,('19_Расчет_аналитики'!BL4462-'19_Расчет_аналитики'!BL4490)*IF('01_Вводные'!$B$239="Да",MeanMinAge07+'19_Расчет_аналитики'!BL4608*SUMIF(ThresholdAge07,"&lt;"&amp;'19_Расчет_аналитики'!BL4608,WeightedRevAge07)-SUMIF(ThresholdAge07,"&lt;"&amp;'19_Расчет_аналитики'!BL4608,WeightedMinAge07),MAX(CapacityAge07*'01_Вводные'!$B$218*'19_Расчет_аналитики'!BL4608,MeanMinAge07))),0)</f>
        <v/>
      </c>
      <c r="BM4546">
        <f>IF('01_Вводные'!$B$234="Да",IF(OR(('19_Расчет_аналитики'!BM4462-'19_Расчет_аналитики'!BM4490)=0,7&lt;='01_Вводные'!$B$297),0,('19_Расчет_аналитики'!BM4462-'19_Расчет_аналитики'!BM4490)*IF('01_Вводные'!$B$239="Да",MeanMinAge07+'19_Расчет_аналитики'!BM4608*SUMIF(ThresholdAge07,"&lt;"&amp;'19_Расчет_аналитики'!BM4608,WeightedRevAge07)-SUMIF(ThresholdAge07,"&lt;"&amp;'19_Расчет_аналитики'!BM4608,WeightedMinAge07),MAX(CapacityAge07*'01_Вводные'!$B$218*'19_Расчет_аналитики'!BM4608,MeanMinAge07))),0)</f>
        <v/>
      </c>
      <c r="BN4546">
        <f>IF('01_Вводные'!$B$234="Да",IF(OR(('19_Расчет_аналитики'!BN4462-'19_Расчет_аналитики'!BN4490)=0,7&lt;='01_Вводные'!$B$297),0,('19_Расчет_аналитики'!BN4462-'19_Расчет_аналитики'!BN4490)*IF('01_Вводные'!$B$239="Да",MeanMinAge07+'19_Расчет_аналитики'!BN4608*SUMIF(ThresholdAge07,"&lt;"&amp;'19_Расчет_аналитики'!BN4608,WeightedRevAge07)-SUMIF(ThresholdAge07,"&lt;"&amp;'19_Расчет_аналитики'!BN4608,WeightedMinAge07),MAX(CapacityAge07*'01_Вводные'!$B$218*'19_Расчет_аналитики'!BN4608,MeanMinAge07))),0)</f>
        <v/>
      </c>
      <c r="BO4546">
        <f>IF('01_Вводные'!$B$234="Да",IF(OR(('19_Расчет_аналитики'!BO4462-'19_Расчет_аналитики'!BO4490)=0,7&lt;='01_Вводные'!$B$297),0,('19_Расчет_аналитики'!BO4462-'19_Расчет_аналитики'!BO4490)*IF('01_Вводные'!$B$239="Да",MeanMinAge07+'19_Расчет_аналитики'!BO4608*SUMIF(ThresholdAge07,"&lt;"&amp;'19_Расчет_аналитики'!BO4608,WeightedRevAge07)-SUMIF(ThresholdAge07,"&lt;"&amp;'19_Расчет_аналитики'!BO4608,WeightedMinAge07),MAX(CapacityAge07*'01_Вводные'!$B$218*'19_Расчет_аналитики'!BO4608,MeanMinAge07))),0)</f>
        <v/>
      </c>
    </row>
    <row r="4547">
      <c r="B4547">
        <f>IF('01_Вводные'!$B$234="Да",IF(OR(('06_Сеть_и_дети'!B60-'06_Сеть_и_дети'!B88)=0,8&lt;='01_Вводные'!$B$297),0,('06_Сеть_и_дети'!B60-'06_Сеть_и_дети'!B88)*IF('01_Вводные'!$B$239="Да",MeanMinAge08+'19_Расчет_аналитики'!B4608*SUMIF(ThresholdAge08,"&lt;"&amp;'19_Расчет_аналитики'!B4608,WeightedRevAge08)-SUMIF(ThresholdAge08,"&lt;"&amp;'19_Расчет_аналитики'!B4608,WeightedMinAge08),MAX(CapacityAge08*'01_Вводные'!$B$218*'19_Расчет_аналитики'!B4608,MeanMinAge08))),0)</f>
        <v/>
      </c>
      <c r="C4547">
        <f>IF('01_Вводные'!$B$234="Да",IF(OR(('06_Сеть_и_дети'!C60-'06_Сеть_и_дети'!C88)=0,8&lt;='01_Вводные'!$B$297),0,('06_Сеть_и_дети'!C60-'06_Сеть_и_дети'!C88)*IF('01_Вводные'!$B$239="Да",MeanMinAge08+'19_Расчет_аналитики'!C4608*SUMIF(ThresholdAge08,"&lt;"&amp;'19_Расчет_аналитики'!C4608,WeightedRevAge08)-SUMIF(ThresholdAge08,"&lt;"&amp;'19_Расчет_аналитики'!C4608,WeightedMinAge08),MAX(CapacityAge08*'01_Вводные'!$B$218*'19_Расчет_аналитики'!C4608,MeanMinAge08))),0)</f>
        <v/>
      </c>
      <c r="D4547">
        <f>IF('01_Вводные'!$B$234="Да",IF(OR(('06_Сеть_и_дети'!D60-'06_Сеть_и_дети'!D88)=0,8&lt;='01_Вводные'!$B$297),0,('06_Сеть_и_дети'!D60-'06_Сеть_и_дети'!D88)*IF('01_Вводные'!$B$239="Да",MeanMinAge08+'19_Расчет_аналитики'!D4608*SUMIF(ThresholdAge08,"&lt;"&amp;'19_Расчет_аналитики'!D4608,WeightedRevAge08)-SUMIF(ThresholdAge08,"&lt;"&amp;'19_Расчет_аналитики'!D4608,WeightedMinAge08),MAX(CapacityAge08*'01_Вводные'!$B$218*'19_Расчет_аналитики'!D4608,MeanMinAge08))),0)</f>
        <v/>
      </c>
      <c r="E4547">
        <f>IF('01_Вводные'!$B$234="Да",IF(OR(('06_Сеть_и_дети'!E60-'06_Сеть_и_дети'!E88)=0,8&lt;='01_Вводные'!$B$297),0,('06_Сеть_и_дети'!E60-'06_Сеть_и_дети'!E88)*IF('01_Вводные'!$B$239="Да",MeanMinAge08+'19_Расчет_аналитики'!E4608*SUMIF(ThresholdAge08,"&lt;"&amp;'19_Расчет_аналитики'!E4608,WeightedRevAge08)-SUMIF(ThresholdAge08,"&lt;"&amp;'19_Расчет_аналитики'!E4608,WeightedMinAge08),MAX(CapacityAge08*'01_Вводные'!$B$218*'19_Расчет_аналитики'!E4608,MeanMinAge08))),0)</f>
        <v/>
      </c>
      <c r="F4547">
        <f>IF('01_Вводные'!$B$234="Да",IF(OR(('06_Сеть_и_дети'!F60-'06_Сеть_и_дети'!F88)=0,8&lt;='01_Вводные'!$B$297),0,('06_Сеть_и_дети'!F60-'06_Сеть_и_дети'!F88)*IF('01_Вводные'!$B$239="Да",MeanMinAge08+'19_Расчет_аналитики'!F4608*SUMIF(ThresholdAge08,"&lt;"&amp;'19_Расчет_аналитики'!F4608,WeightedRevAge08)-SUMIF(ThresholdAge08,"&lt;"&amp;'19_Расчет_аналитики'!F4608,WeightedMinAge08),MAX(CapacityAge08*'01_Вводные'!$B$218*'19_Расчет_аналитики'!F4608,MeanMinAge08))),0)</f>
        <v/>
      </c>
      <c r="G4547">
        <f>IF('01_Вводные'!$B$234="Да",IF(OR(('06_Сеть_и_дети'!G60-'06_Сеть_и_дети'!G88)=0,8&lt;='01_Вводные'!$B$297),0,('06_Сеть_и_дети'!G60-'06_Сеть_и_дети'!G88)*IF('01_Вводные'!$B$239="Да",MeanMinAge08+'19_Расчет_аналитики'!G4608*SUMIF(ThresholdAge08,"&lt;"&amp;'19_Расчет_аналитики'!G4608,WeightedRevAge08)-SUMIF(ThresholdAge08,"&lt;"&amp;'19_Расчет_аналитики'!G4608,WeightedMinAge08),MAX(CapacityAge08*'01_Вводные'!$B$218*'19_Расчет_аналитики'!G4608,MeanMinAge08))),0)</f>
        <v/>
      </c>
      <c r="H4547">
        <f>IF('01_Вводные'!$B$234="Да",IF(OR(('06_Сеть_и_дети'!H60-'06_Сеть_и_дети'!H88)=0,8&lt;='01_Вводные'!$B$297),0,('06_Сеть_и_дети'!H60-'06_Сеть_и_дети'!H88)*IF('01_Вводные'!$B$239="Да",MeanMinAge08+'19_Расчет_аналитики'!H4608*SUMIF(ThresholdAge08,"&lt;"&amp;'19_Расчет_аналитики'!H4608,WeightedRevAge08)-SUMIF(ThresholdAge08,"&lt;"&amp;'19_Расчет_аналитики'!H4608,WeightedMinAge08),MAX(CapacityAge08*'01_Вводные'!$B$218*'19_Расчет_аналитики'!H4608,MeanMinAge08))),0)</f>
        <v/>
      </c>
      <c r="I4547">
        <f>IF('01_Вводные'!$B$234="Да",IF(OR(('19_Расчет_аналитики'!I4463-'19_Расчет_аналитики'!I4491)=0,8&lt;='01_Вводные'!$B$297),0,('19_Расчет_аналитики'!I4463-'19_Расчет_аналитики'!I4491)*IF('01_Вводные'!$B$239="Да",MeanMinAge08+'19_Расчет_аналитики'!I4608*SUMIF(ThresholdAge08,"&lt;"&amp;'19_Расчет_аналитики'!I4608,WeightedRevAge08)-SUMIF(ThresholdAge08,"&lt;"&amp;'19_Расчет_аналитики'!I4608,WeightedMinAge08),MAX(CapacityAge08*'01_Вводные'!$B$218*'19_Расчет_аналитики'!I4608,MeanMinAge08))),0)</f>
        <v/>
      </c>
      <c r="J4547">
        <f>IF('01_Вводные'!$B$234="Да",IF(OR(('19_Расчет_аналитики'!J4463-'19_Расчет_аналитики'!J4491)=0,8&lt;='01_Вводные'!$B$297),0,('19_Расчет_аналитики'!J4463-'19_Расчет_аналитики'!J4491)*IF('01_Вводные'!$B$239="Да",MeanMinAge08+'19_Расчет_аналитики'!J4608*SUMIF(ThresholdAge08,"&lt;"&amp;'19_Расчет_аналитики'!J4608,WeightedRevAge08)-SUMIF(ThresholdAge08,"&lt;"&amp;'19_Расчет_аналитики'!J4608,WeightedMinAge08),MAX(CapacityAge08*'01_Вводные'!$B$218*'19_Расчет_аналитики'!J4608,MeanMinAge08))),0)</f>
        <v/>
      </c>
      <c r="K4547">
        <f>IF('01_Вводные'!$B$234="Да",IF(OR(('19_Расчет_аналитики'!K4463-'19_Расчет_аналитики'!K4491)=0,8&lt;='01_Вводные'!$B$297),0,('19_Расчет_аналитики'!K4463-'19_Расчет_аналитики'!K4491)*IF('01_Вводные'!$B$239="Да",MeanMinAge08+'19_Расчет_аналитики'!K4608*SUMIF(ThresholdAge08,"&lt;"&amp;'19_Расчет_аналитики'!K4608,WeightedRevAge08)-SUMIF(ThresholdAge08,"&lt;"&amp;'19_Расчет_аналитики'!K4608,WeightedMinAge08),MAX(CapacityAge08*'01_Вводные'!$B$218*'19_Расчет_аналитики'!K4608,MeanMinAge08))),0)</f>
        <v/>
      </c>
      <c r="L4547">
        <f>IF('01_Вводные'!$B$234="Да",IF(OR(('19_Расчет_аналитики'!L4463-'19_Расчет_аналитики'!L4491)=0,8&lt;='01_Вводные'!$B$297),0,('19_Расчет_аналитики'!L4463-'19_Расчет_аналитики'!L4491)*IF('01_Вводные'!$B$239="Да",MeanMinAge08+'19_Расчет_аналитики'!L4608*SUMIF(ThresholdAge08,"&lt;"&amp;'19_Расчет_аналитики'!L4608,WeightedRevAge08)-SUMIF(ThresholdAge08,"&lt;"&amp;'19_Расчет_аналитики'!L4608,WeightedMinAge08),MAX(CapacityAge08*'01_Вводные'!$B$218*'19_Расчет_аналитики'!L4608,MeanMinAge08))),0)</f>
        <v/>
      </c>
      <c r="M4547">
        <f>IF('01_Вводные'!$B$234="Да",IF(OR(('19_Расчет_аналитики'!M4463-'19_Расчет_аналитики'!M4491)=0,8&lt;='01_Вводные'!$B$297),0,('19_Расчет_аналитики'!M4463-'19_Расчет_аналитики'!M4491)*IF('01_Вводные'!$B$239="Да",MeanMinAge08+'19_Расчет_аналитики'!M4608*SUMIF(ThresholdAge08,"&lt;"&amp;'19_Расчет_аналитики'!M4608,WeightedRevAge08)-SUMIF(ThresholdAge08,"&lt;"&amp;'19_Расчет_аналитики'!M4608,WeightedMinAge08),MAX(CapacityAge08*'01_Вводные'!$B$218*'19_Расчет_аналитики'!M4608,MeanMinAge08))),0)</f>
        <v/>
      </c>
      <c r="N4547">
        <f>IF('01_Вводные'!$B$234="Да",IF(OR(('19_Расчет_аналитики'!N4463-'19_Расчет_аналитики'!N4491)=0,8&lt;='01_Вводные'!$B$297),0,('19_Расчет_аналитики'!N4463-'19_Расчет_аналитики'!N4491)*IF('01_Вводные'!$B$239="Да",MeanMinAge08+'19_Расчет_аналитики'!N4608*SUMIF(ThresholdAge08,"&lt;"&amp;'19_Расчет_аналитики'!N4608,WeightedRevAge08)-SUMIF(ThresholdAge08,"&lt;"&amp;'19_Расчет_аналитики'!N4608,WeightedMinAge08),MAX(CapacityAge08*'01_Вводные'!$B$218*'19_Расчет_аналитики'!N4608,MeanMinAge08))),0)</f>
        <v/>
      </c>
      <c r="O4547">
        <f>IF('01_Вводные'!$B$234="Да",IF(OR(('19_Расчет_аналитики'!O4463-'19_Расчет_аналитики'!O4491)=0,8&lt;='01_Вводные'!$B$297),0,('19_Расчет_аналитики'!O4463-'19_Расчет_аналитики'!O4491)*IF('01_Вводные'!$B$239="Да",MeanMinAge08+'19_Расчет_аналитики'!O4608*SUMIF(ThresholdAge08,"&lt;"&amp;'19_Расчет_аналитики'!O4608,WeightedRevAge08)-SUMIF(ThresholdAge08,"&lt;"&amp;'19_Расчет_аналитики'!O4608,WeightedMinAge08),MAX(CapacityAge08*'01_Вводные'!$B$218*'19_Расчет_аналитики'!O4608,MeanMinAge08))),0)</f>
        <v/>
      </c>
      <c r="P4547">
        <f>IF('01_Вводные'!$B$234="Да",IF(OR(('19_Расчет_аналитики'!P4463-'19_Расчет_аналитики'!P4491)=0,8&lt;='01_Вводные'!$B$297),0,('19_Расчет_аналитики'!P4463-'19_Расчет_аналитики'!P4491)*IF('01_Вводные'!$B$239="Да",MeanMinAge08+'19_Расчет_аналитики'!P4608*SUMIF(ThresholdAge08,"&lt;"&amp;'19_Расчет_аналитики'!P4608,WeightedRevAge08)-SUMIF(ThresholdAge08,"&lt;"&amp;'19_Расчет_аналитики'!P4608,WeightedMinAge08),MAX(CapacityAge08*'01_Вводные'!$B$218*'19_Расчет_аналитики'!P4608,MeanMinAge08))),0)</f>
        <v/>
      </c>
      <c r="Q4547">
        <f>IF('01_Вводные'!$B$234="Да",IF(OR(('19_Расчет_аналитики'!Q4463-'19_Расчет_аналитики'!Q4491)=0,8&lt;='01_Вводные'!$B$297),0,('19_Расчет_аналитики'!Q4463-'19_Расчет_аналитики'!Q4491)*IF('01_Вводные'!$B$239="Да",MeanMinAge08+'19_Расчет_аналитики'!Q4608*SUMIF(ThresholdAge08,"&lt;"&amp;'19_Расчет_аналитики'!Q4608,WeightedRevAge08)-SUMIF(ThresholdAge08,"&lt;"&amp;'19_Расчет_аналитики'!Q4608,WeightedMinAge08),MAX(CapacityAge08*'01_Вводные'!$B$218*'19_Расчет_аналитики'!Q4608,MeanMinAge08))),0)</f>
        <v/>
      </c>
      <c r="R4547">
        <f>IF('01_Вводные'!$B$234="Да",IF(OR(('19_Расчет_аналитики'!R4463-'19_Расчет_аналитики'!R4491)=0,8&lt;='01_Вводные'!$B$297),0,('19_Расчет_аналитики'!R4463-'19_Расчет_аналитики'!R4491)*IF('01_Вводные'!$B$239="Да",MeanMinAge08+'19_Расчет_аналитики'!R4608*SUMIF(ThresholdAge08,"&lt;"&amp;'19_Расчет_аналитики'!R4608,WeightedRevAge08)-SUMIF(ThresholdAge08,"&lt;"&amp;'19_Расчет_аналитики'!R4608,WeightedMinAge08),MAX(CapacityAge08*'01_Вводные'!$B$218*'19_Расчет_аналитики'!R4608,MeanMinAge08))),0)</f>
        <v/>
      </c>
      <c r="S4547">
        <f>IF('01_Вводные'!$B$234="Да",IF(OR(('19_Расчет_аналитики'!S4463-'19_Расчет_аналитики'!S4491)=0,8&lt;='01_Вводные'!$B$297),0,('19_Расчет_аналитики'!S4463-'19_Расчет_аналитики'!S4491)*IF('01_Вводные'!$B$239="Да",MeanMinAge08+'19_Расчет_аналитики'!S4608*SUMIF(ThresholdAge08,"&lt;"&amp;'19_Расчет_аналитики'!S4608,WeightedRevAge08)-SUMIF(ThresholdAge08,"&lt;"&amp;'19_Расчет_аналитики'!S4608,WeightedMinAge08),MAX(CapacityAge08*'01_Вводные'!$B$218*'19_Расчет_аналитики'!S4608,MeanMinAge08))),0)</f>
        <v/>
      </c>
      <c r="T4547">
        <f>IF('01_Вводные'!$B$234="Да",IF(OR(('19_Расчет_аналитики'!T4463-'19_Расчет_аналитики'!T4491)=0,8&lt;='01_Вводные'!$B$297),0,('19_Расчет_аналитики'!T4463-'19_Расчет_аналитики'!T4491)*IF('01_Вводные'!$B$239="Да",MeanMinAge08+'19_Расчет_аналитики'!T4608*SUMIF(ThresholdAge08,"&lt;"&amp;'19_Расчет_аналитики'!T4608,WeightedRevAge08)-SUMIF(ThresholdAge08,"&lt;"&amp;'19_Расчет_аналитики'!T4608,WeightedMinAge08),MAX(CapacityAge08*'01_Вводные'!$B$218*'19_Расчет_аналитики'!T4608,MeanMinAge08))),0)</f>
        <v/>
      </c>
      <c r="U4547">
        <f>IF('01_Вводные'!$B$234="Да",IF(OR(('19_Расчет_аналитики'!U4463-'19_Расчет_аналитики'!U4491)=0,8&lt;='01_Вводные'!$B$297),0,('19_Расчет_аналитики'!U4463-'19_Расчет_аналитики'!U4491)*IF('01_Вводные'!$B$239="Да",MeanMinAge08+'19_Расчет_аналитики'!U4608*SUMIF(ThresholdAge08,"&lt;"&amp;'19_Расчет_аналитики'!U4608,WeightedRevAge08)-SUMIF(ThresholdAge08,"&lt;"&amp;'19_Расчет_аналитики'!U4608,WeightedMinAge08),MAX(CapacityAge08*'01_Вводные'!$B$218*'19_Расчет_аналитики'!U4608,MeanMinAge08))),0)</f>
        <v/>
      </c>
      <c r="V4547">
        <f>IF('01_Вводные'!$B$234="Да",IF(OR(('19_Расчет_аналитики'!V4463-'19_Расчет_аналитики'!V4491)=0,8&lt;='01_Вводные'!$B$297),0,('19_Расчет_аналитики'!V4463-'19_Расчет_аналитики'!V4491)*IF('01_Вводные'!$B$239="Да",MeanMinAge08+'19_Расчет_аналитики'!V4608*SUMIF(ThresholdAge08,"&lt;"&amp;'19_Расчет_аналитики'!V4608,WeightedRevAge08)-SUMIF(ThresholdAge08,"&lt;"&amp;'19_Расчет_аналитики'!V4608,WeightedMinAge08),MAX(CapacityAge08*'01_Вводные'!$B$218*'19_Расчет_аналитики'!V4608,MeanMinAge08))),0)</f>
        <v/>
      </c>
      <c r="W4547">
        <f>IF('01_Вводные'!$B$234="Да",IF(OR(('19_Расчет_аналитики'!W4463-'19_Расчет_аналитики'!W4491)=0,8&lt;='01_Вводные'!$B$297),0,('19_Расчет_аналитики'!W4463-'19_Расчет_аналитики'!W4491)*IF('01_Вводные'!$B$239="Да",MeanMinAge08+'19_Расчет_аналитики'!W4608*SUMIF(ThresholdAge08,"&lt;"&amp;'19_Расчет_аналитики'!W4608,WeightedRevAge08)-SUMIF(ThresholdAge08,"&lt;"&amp;'19_Расчет_аналитики'!W4608,WeightedMinAge08),MAX(CapacityAge08*'01_Вводные'!$B$218*'19_Расчет_аналитики'!W4608,MeanMinAge08))),0)</f>
        <v/>
      </c>
      <c r="X4547">
        <f>IF('01_Вводные'!$B$234="Да",IF(OR(('19_Расчет_аналитики'!X4463-'19_Расчет_аналитики'!X4491)=0,8&lt;='01_Вводные'!$B$297),0,('19_Расчет_аналитики'!X4463-'19_Расчет_аналитики'!X4491)*IF('01_Вводные'!$B$239="Да",MeanMinAge08+'19_Расчет_аналитики'!X4608*SUMIF(ThresholdAge08,"&lt;"&amp;'19_Расчет_аналитики'!X4608,WeightedRevAge08)-SUMIF(ThresholdAge08,"&lt;"&amp;'19_Расчет_аналитики'!X4608,WeightedMinAge08),MAX(CapacityAge08*'01_Вводные'!$B$218*'19_Расчет_аналитики'!X4608,MeanMinAge08))),0)</f>
        <v/>
      </c>
      <c r="Y4547">
        <f>IF('01_Вводные'!$B$234="Да",IF(OR(('19_Расчет_аналитики'!Y4463-'19_Расчет_аналитики'!Y4491)=0,8&lt;='01_Вводные'!$B$297),0,('19_Расчет_аналитики'!Y4463-'19_Расчет_аналитики'!Y4491)*IF('01_Вводные'!$B$239="Да",MeanMinAge08+'19_Расчет_аналитики'!Y4608*SUMIF(ThresholdAge08,"&lt;"&amp;'19_Расчет_аналитики'!Y4608,WeightedRevAge08)-SUMIF(ThresholdAge08,"&lt;"&amp;'19_Расчет_аналитики'!Y4608,WeightedMinAge08),MAX(CapacityAge08*'01_Вводные'!$B$218*'19_Расчет_аналитики'!Y4608,MeanMinAge08))),0)</f>
        <v/>
      </c>
      <c r="Z4547">
        <f>IF('01_Вводные'!$B$234="Да",IF(OR(('19_Расчет_аналитики'!Z4463-'19_Расчет_аналитики'!Z4491)=0,8&lt;='01_Вводные'!$B$297),0,('19_Расчет_аналитики'!Z4463-'19_Расчет_аналитики'!Z4491)*IF('01_Вводные'!$B$239="Да",MeanMinAge08+'19_Расчет_аналитики'!Z4608*SUMIF(ThresholdAge08,"&lt;"&amp;'19_Расчет_аналитики'!Z4608,WeightedRevAge08)-SUMIF(ThresholdAge08,"&lt;"&amp;'19_Расчет_аналитики'!Z4608,WeightedMinAge08),MAX(CapacityAge08*'01_Вводные'!$B$218*'19_Расчет_аналитики'!Z4608,MeanMinAge08))),0)</f>
        <v/>
      </c>
      <c r="AA4547">
        <f>IF('01_Вводные'!$B$234="Да",IF(OR(('19_Расчет_аналитики'!AA4463-'19_Расчет_аналитики'!AA4491)=0,8&lt;='01_Вводные'!$B$297),0,('19_Расчет_аналитики'!AA4463-'19_Расчет_аналитики'!AA4491)*IF('01_Вводные'!$B$239="Да",MeanMinAge08+'19_Расчет_аналитики'!AA4608*SUMIF(ThresholdAge08,"&lt;"&amp;'19_Расчет_аналитики'!AA4608,WeightedRevAge08)-SUMIF(ThresholdAge08,"&lt;"&amp;'19_Расчет_аналитики'!AA4608,WeightedMinAge08),MAX(CapacityAge08*'01_Вводные'!$B$218*'19_Расчет_аналитики'!AA4608,MeanMinAge08))),0)</f>
        <v/>
      </c>
      <c r="AB4547">
        <f>IF('01_Вводные'!$B$234="Да",IF(OR(('19_Расчет_аналитики'!AB4463-'19_Расчет_аналитики'!AB4491)=0,8&lt;='01_Вводные'!$B$297),0,('19_Расчет_аналитики'!AB4463-'19_Расчет_аналитики'!AB4491)*IF('01_Вводные'!$B$239="Да",MeanMinAge08+'19_Расчет_аналитики'!AB4608*SUMIF(ThresholdAge08,"&lt;"&amp;'19_Расчет_аналитики'!AB4608,WeightedRevAge08)-SUMIF(ThresholdAge08,"&lt;"&amp;'19_Расчет_аналитики'!AB4608,WeightedMinAge08),MAX(CapacityAge08*'01_Вводные'!$B$218*'19_Расчет_аналитики'!AB4608,MeanMinAge08))),0)</f>
        <v/>
      </c>
      <c r="AC4547">
        <f>IF('01_Вводные'!$B$234="Да",IF(OR(('19_Расчет_аналитики'!AC4463-'19_Расчет_аналитики'!AC4491)=0,8&lt;='01_Вводные'!$B$297),0,('19_Расчет_аналитики'!AC4463-'19_Расчет_аналитики'!AC4491)*IF('01_Вводные'!$B$239="Да",MeanMinAge08+'19_Расчет_аналитики'!AC4608*SUMIF(ThresholdAge08,"&lt;"&amp;'19_Расчет_аналитики'!AC4608,WeightedRevAge08)-SUMIF(ThresholdAge08,"&lt;"&amp;'19_Расчет_аналитики'!AC4608,WeightedMinAge08),MAX(CapacityAge08*'01_Вводные'!$B$218*'19_Расчет_аналитики'!AC4608,MeanMinAge08))),0)</f>
        <v/>
      </c>
      <c r="AD4547">
        <f>IF('01_Вводные'!$B$234="Да",IF(OR(('19_Расчет_аналитики'!AD4463-'19_Расчет_аналитики'!AD4491)=0,8&lt;='01_Вводные'!$B$297),0,('19_Расчет_аналитики'!AD4463-'19_Расчет_аналитики'!AD4491)*IF('01_Вводные'!$B$239="Да",MeanMinAge08+'19_Расчет_аналитики'!AD4608*SUMIF(ThresholdAge08,"&lt;"&amp;'19_Расчет_аналитики'!AD4608,WeightedRevAge08)-SUMIF(ThresholdAge08,"&lt;"&amp;'19_Расчет_аналитики'!AD4608,WeightedMinAge08),MAX(CapacityAge08*'01_Вводные'!$B$218*'19_Расчет_аналитики'!AD4608,MeanMinAge08))),0)</f>
        <v/>
      </c>
      <c r="AE4547">
        <f>IF('01_Вводные'!$B$234="Да",IF(OR(('19_Расчет_аналитики'!AE4463-'19_Расчет_аналитики'!AE4491)=0,8&lt;='01_Вводные'!$B$297),0,('19_Расчет_аналитики'!AE4463-'19_Расчет_аналитики'!AE4491)*IF('01_Вводные'!$B$239="Да",MeanMinAge08+'19_Расчет_аналитики'!AE4608*SUMIF(ThresholdAge08,"&lt;"&amp;'19_Расчет_аналитики'!AE4608,WeightedRevAge08)-SUMIF(ThresholdAge08,"&lt;"&amp;'19_Расчет_аналитики'!AE4608,WeightedMinAge08),MAX(CapacityAge08*'01_Вводные'!$B$218*'19_Расчет_аналитики'!AE4608,MeanMinAge08))),0)</f>
        <v/>
      </c>
      <c r="AF4547">
        <f>IF('01_Вводные'!$B$234="Да",IF(OR(('19_Расчет_аналитики'!AF4463-'19_Расчет_аналитики'!AF4491)=0,8&lt;='01_Вводные'!$B$297),0,('19_Расчет_аналитики'!AF4463-'19_Расчет_аналитики'!AF4491)*IF('01_Вводные'!$B$239="Да",MeanMinAge08+'19_Расчет_аналитики'!AF4608*SUMIF(ThresholdAge08,"&lt;"&amp;'19_Расчет_аналитики'!AF4608,WeightedRevAge08)-SUMIF(ThresholdAge08,"&lt;"&amp;'19_Расчет_аналитики'!AF4608,WeightedMinAge08),MAX(CapacityAge08*'01_Вводные'!$B$218*'19_Расчет_аналитики'!AF4608,MeanMinAge08))),0)</f>
        <v/>
      </c>
      <c r="AG4547">
        <f>IF('01_Вводные'!$B$234="Да",IF(OR(('19_Расчет_аналитики'!AG4463-'19_Расчет_аналитики'!AG4491)=0,8&lt;='01_Вводные'!$B$297),0,('19_Расчет_аналитики'!AG4463-'19_Расчет_аналитики'!AG4491)*IF('01_Вводные'!$B$239="Да",MeanMinAge08+'19_Расчет_аналитики'!AG4608*SUMIF(ThresholdAge08,"&lt;"&amp;'19_Расчет_аналитики'!AG4608,WeightedRevAge08)-SUMIF(ThresholdAge08,"&lt;"&amp;'19_Расчет_аналитики'!AG4608,WeightedMinAge08),MAX(CapacityAge08*'01_Вводные'!$B$218*'19_Расчет_аналитики'!AG4608,MeanMinAge08))),0)</f>
        <v/>
      </c>
      <c r="AH4547">
        <f>IF('01_Вводные'!$B$234="Да",IF(OR(('19_Расчет_аналитики'!AH4463-'19_Расчет_аналитики'!AH4491)=0,8&lt;='01_Вводные'!$B$297),0,('19_Расчет_аналитики'!AH4463-'19_Расчет_аналитики'!AH4491)*IF('01_Вводные'!$B$239="Да",MeanMinAge08+'19_Расчет_аналитики'!AH4608*SUMIF(ThresholdAge08,"&lt;"&amp;'19_Расчет_аналитики'!AH4608,WeightedRevAge08)-SUMIF(ThresholdAge08,"&lt;"&amp;'19_Расчет_аналитики'!AH4608,WeightedMinAge08),MAX(CapacityAge08*'01_Вводные'!$B$218*'19_Расчет_аналитики'!AH4608,MeanMinAge08))),0)</f>
        <v/>
      </c>
      <c r="AI4547">
        <f>IF('01_Вводные'!$B$234="Да",IF(OR(('19_Расчет_аналитики'!AI4463-'19_Расчет_аналитики'!AI4491)=0,8&lt;='01_Вводные'!$B$297),0,('19_Расчет_аналитики'!AI4463-'19_Расчет_аналитики'!AI4491)*IF('01_Вводные'!$B$239="Да",MeanMinAge08+'19_Расчет_аналитики'!AI4608*SUMIF(ThresholdAge08,"&lt;"&amp;'19_Расчет_аналитики'!AI4608,WeightedRevAge08)-SUMIF(ThresholdAge08,"&lt;"&amp;'19_Расчет_аналитики'!AI4608,WeightedMinAge08),MAX(CapacityAge08*'01_Вводные'!$B$218*'19_Расчет_аналитики'!AI4608,MeanMinAge08))),0)</f>
        <v/>
      </c>
      <c r="AJ4547">
        <f>IF('01_Вводные'!$B$234="Да",IF(OR(('19_Расчет_аналитики'!AJ4463-'19_Расчет_аналитики'!AJ4491)=0,8&lt;='01_Вводные'!$B$297),0,('19_Расчет_аналитики'!AJ4463-'19_Расчет_аналитики'!AJ4491)*IF('01_Вводные'!$B$239="Да",MeanMinAge08+'19_Расчет_аналитики'!AJ4608*SUMIF(ThresholdAge08,"&lt;"&amp;'19_Расчет_аналитики'!AJ4608,WeightedRevAge08)-SUMIF(ThresholdAge08,"&lt;"&amp;'19_Расчет_аналитики'!AJ4608,WeightedMinAge08),MAX(CapacityAge08*'01_Вводные'!$B$218*'19_Расчет_аналитики'!AJ4608,MeanMinAge08))),0)</f>
        <v/>
      </c>
      <c r="AK4547">
        <f>IF('01_Вводные'!$B$234="Да",IF(OR(('19_Расчет_аналитики'!AK4463-'19_Расчет_аналитики'!AK4491)=0,8&lt;='01_Вводные'!$B$297),0,('19_Расчет_аналитики'!AK4463-'19_Расчет_аналитики'!AK4491)*IF('01_Вводные'!$B$239="Да",MeanMinAge08+'19_Расчет_аналитики'!AK4608*SUMIF(ThresholdAge08,"&lt;"&amp;'19_Расчет_аналитики'!AK4608,WeightedRevAge08)-SUMIF(ThresholdAge08,"&lt;"&amp;'19_Расчет_аналитики'!AK4608,WeightedMinAge08),MAX(CapacityAge08*'01_Вводные'!$B$218*'19_Расчет_аналитики'!AK4608,MeanMinAge08))),0)</f>
        <v/>
      </c>
      <c r="AL4547">
        <f>IF('01_Вводные'!$B$234="Да",IF(OR(('19_Расчет_аналитики'!AL4463-'19_Расчет_аналитики'!AL4491)=0,8&lt;='01_Вводные'!$B$297),0,('19_Расчет_аналитики'!AL4463-'19_Расчет_аналитики'!AL4491)*IF('01_Вводные'!$B$239="Да",MeanMinAge08+'19_Расчет_аналитики'!AL4608*SUMIF(ThresholdAge08,"&lt;"&amp;'19_Расчет_аналитики'!AL4608,WeightedRevAge08)-SUMIF(ThresholdAge08,"&lt;"&amp;'19_Расчет_аналитики'!AL4608,WeightedMinAge08),MAX(CapacityAge08*'01_Вводные'!$B$218*'19_Расчет_аналитики'!AL4608,MeanMinAge08))),0)</f>
        <v/>
      </c>
      <c r="AM4547">
        <f>IF('01_Вводные'!$B$234="Да",IF(OR(('19_Расчет_аналитики'!AM4463-'19_Расчет_аналитики'!AM4491)=0,8&lt;='01_Вводные'!$B$297),0,('19_Расчет_аналитики'!AM4463-'19_Расчет_аналитики'!AM4491)*IF('01_Вводные'!$B$239="Да",MeanMinAge08+'19_Расчет_аналитики'!AM4608*SUMIF(ThresholdAge08,"&lt;"&amp;'19_Расчет_аналитики'!AM4608,WeightedRevAge08)-SUMIF(ThresholdAge08,"&lt;"&amp;'19_Расчет_аналитики'!AM4608,WeightedMinAge08),MAX(CapacityAge08*'01_Вводные'!$B$218*'19_Расчет_аналитики'!AM4608,MeanMinAge08))),0)</f>
        <v/>
      </c>
      <c r="AN4547">
        <f>IF('01_Вводные'!$B$234="Да",IF(OR(('19_Расчет_аналитики'!AN4463-'19_Расчет_аналитики'!AN4491)=0,8&lt;='01_Вводные'!$B$297),0,('19_Расчет_аналитики'!AN4463-'19_Расчет_аналитики'!AN4491)*IF('01_Вводные'!$B$239="Да",MeanMinAge08+'19_Расчет_аналитики'!AN4608*SUMIF(ThresholdAge08,"&lt;"&amp;'19_Расчет_аналитики'!AN4608,WeightedRevAge08)-SUMIF(ThresholdAge08,"&lt;"&amp;'19_Расчет_аналитики'!AN4608,WeightedMinAge08),MAX(CapacityAge08*'01_Вводные'!$B$218*'19_Расчет_аналитики'!AN4608,MeanMinAge08))),0)</f>
        <v/>
      </c>
      <c r="AO4547">
        <f>IF('01_Вводные'!$B$234="Да",IF(OR(('19_Расчет_аналитики'!AO4463-'19_Расчет_аналитики'!AO4491)=0,8&lt;='01_Вводные'!$B$297),0,('19_Расчет_аналитики'!AO4463-'19_Расчет_аналитики'!AO4491)*IF('01_Вводные'!$B$239="Да",MeanMinAge08+'19_Расчет_аналитики'!AO4608*SUMIF(ThresholdAge08,"&lt;"&amp;'19_Расчет_аналитики'!AO4608,WeightedRevAge08)-SUMIF(ThresholdAge08,"&lt;"&amp;'19_Расчет_аналитики'!AO4608,WeightedMinAge08),MAX(CapacityAge08*'01_Вводные'!$B$218*'19_Расчет_аналитики'!AO4608,MeanMinAge08))),0)</f>
        <v/>
      </c>
      <c r="AP4547">
        <f>IF('01_Вводные'!$B$234="Да",IF(OR(('19_Расчет_аналитики'!AP4463-'19_Расчет_аналитики'!AP4491)=0,8&lt;='01_Вводные'!$B$297),0,('19_Расчет_аналитики'!AP4463-'19_Расчет_аналитики'!AP4491)*IF('01_Вводные'!$B$239="Да",MeanMinAge08+'19_Расчет_аналитики'!AP4608*SUMIF(ThresholdAge08,"&lt;"&amp;'19_Расчет_аналитики'!AP4608,WeightedRevAge08)-SUMIF(ThresholdAge08,"&lt;"&amp;'19_Расчет_аналитики'!AP4608,WeightedMinAge08),MAX(CapacityAge08*'01_Вводные'!$B$218*'19_Расчет_аналитики'!AP4608,MeanMinAge08))),0)</f>
        <v/>
      </c>
      <c r="AQ4547">
        <f>IF('01_Вводные'!$B$234="Да",IF(OR(('19_Расчет_аналитики'!AQ4463-'19_Расчет_аналитики'!AQ4491)=0,8&lt;='01_Вводные'!$B$297),0,('19_Расчет_аналитики'!AQ4463-'19_Расчет_аналитики'!AQ4491)*IF('01_Вводные'!$B$239="Да",MeanMinAge08+'19_Расчет_аналитики'!AQ4608*SUMIF(ThresholdAge08,"&lt;"&amp;'19_Расчет_аналитики'!AQ4608,WeightedRevAge08)-SUMIF(ThresholdAge08,"&lt;"&amp;'19_Расчет_аналитики'!AQ4608,WeightedMinAge08),MAX(CapacityAge08*'01_Вводные'!$B$218*'19_Расчет_аналитики'!AQ4608,MeanMinAge08))),0)</f>
        <v/>
      </c>
      <c r="AR4547">
        <f>IF('01_Вводные'!$B$234="Да",IF(OR(('19_Расчет_аналитики'!AR4463-'19_Расчет_аналитики'!AR4491)=0,8&lt;='01_Вводные'!$B$297),0,('19_Расчет_аналитики'!AR4463-'19_Расчет_аналитики'!AR4491)*IF('01_Вводные'!$B$239="Да",MeanMinAge08+'19_Расчет_аналитики'!AR4608*SUMIF(ThresholdAge08,"&lt;"&amp;'19_Расчет_аналитики'!AR4608,WeightedRevAge08)-SUMIF(ThresholdAge08,"&lt;"&amp;'19_Расчет_аналитики'!AR4608,WeightedMinAge08),MAX(CapacityAge08*'01_Вводные'!$B$218*'19_Расчет_аналитики'!AR4608,MeanMinAge08))),0)</f>
        <v/>
      </c>
      <c r="AS4547">
        <f>IF('01_Вводные'!$B$234="Да",IF(OR(('19_Расчет_аналитики'!AS4463-'19_Расчет_аналитики'!AS4491)=0,8&lt;='01_Вводные'!$B$297),0,('19_Расчет_аналитики'!AS4463-'19_Расчет_аналитики'!AS4491)*IF('01_Вводные'!$B$239="Да",MeanMinAge08+'19_Расчет_аналитики'!AS4608*SUMIF(ThresholdAge08,"&lt;"&amp;'19_Расчет_аналитики'!AS4608,WeightedRevAge08)-SUMIF(ThresholdAge08,"&lt;"&amp;'19_Расчет_аналитики'!AS4608,WeightedMinAge08),MAX(CapacityAge08*'01_Вводные'!$B$218*'19_Расчет_аналитики'!AS4608,MeanMinAge08))),0)</f>
        <v/>
      </c>
      <c r="AT4547">
        <f>IF('01_Вводные'!$B$234="Да",IF(OR(('19_Расчет_аналитики'!AT4463-'19_Расчет_аналитики'!AT4491)=0,8&lt;='01_Вводные'!$B$297),0,('19_Расчет_аналитики'!AT4463-'19_Расчет_аналитики'!AT4491)*IF('01_Вводные'!$B$239="Да",MeanMinAge08+'19_Расчет_аналитики'!AT4608*SUMIF(ThresholdAge08,"&lt;"&amp;'19_Расчет_аналитики'!AT4608,WeightedRevAge08)-SUMIF(ThresholdAge08,"&lt;"&amp;'19_Расчет_аналитики'!AT4608,WeightedMinAge08),MAX(CapacityAge08*'01_Вводные'!$B$218*'19_Расчет_аналитики'!AT4608,MeanMinAge08))),0)</f>
        <v/>
      </c>
      <c r="AU4547">
        <f>IF('01_Вводные'!$B$234="Да",IF(OR(('19_Расчет_аналитики'!AU4463-'19_Расчет_аналитики'!AU4491)=0,8&lt;='01_Вводные'!$B$297),0,('19_Расчет_аналитики'!AU4463-'19_Расчет_аналитики'!AU4491)*IF('01_Вводные'!$B$239="Да",MeanMinAge08+'19_Расчет_аналитики'!AU4608*SUMIF(ThresholdAge08,"&lt;"&amp;'19_Расчет_аналитики'!AU4608,WeightedRevAge08)-SUMIF(ThresholdAge08,"&lt;"&amp;'19_Расчет_аналитики'!AU4608,WeightedMinAge08),MAX(CapacityAge08*'01_Вводные'!$B$218*'19_Расчет_аналитики'!AU4608,MeanMinAge08))),0)</f>
        <v/>
      </c>
      <c r="AV4547">
        <f>IF('01_Вводные'!$B$234="Да",IF(OR(('19_Расчет_аналитики'!AV4463-'19_Расчет_аналитики'!AV4491)=0,8&lt;='01_Вводные'!$B$297),0,('19_Расчет_аналитики'!AV4463-'19_Расчет_аналитики'!AV4491)*IF('01_Вводные'!$B$239="Да",MeanMinAge08+'19_Расчет_аналитики'!AV4608*SUMIF(ThresholdAge08,"&lt;"&amp;'19_Расчет_аналитики'!AV4608,WeightedRevAge08)-SUMIF(ThresholdAge08,"&lt;"&amp;'19_Расчет_аналитики'!AV4608,WeightedMinAge08),MAX(CapacityAge08*'01_Вводные'!$B$218*'19_Расчет_аналитики'!AV4608,MeanMinAge08))),0)</f>
        <v/>
      </c>
      <c r="AW4547">
        <f>IF('01_Вводные'!$B$234="Да",IF(OR(('19_Расчет_аналитики'!AW4463-'19_Расчет_аналитики'!AW4491)=0,8&lt;='01_Вводные'!$B$297),0,('19_Расчет_аналитики'!AW4463-'19_Расчет_аналитики'!AW4491)*IF('01_Вводные'!$B$239="Да",MeanMinAge08+'19_Расчет_аналитики'!AW4608*SUMIF(ThresholdAge08,"&lt;"&amp;'19_Расчет_аналитики'!AW4608,WeightedRevAge08)-SUMIF(ThresholdAge08,"&lt;"&amp;'19_Расчет_аналитики'!AW4608,WeightedMinAge08),MAX(CapacityAge08*'01_Вводные'!$B$218*'19_Расчет_аналитики'!AW4608,MeanMinAge08))),0)</f>
        <v/>
      </c>
      <c r="AX4547">
        <f>IF('01_Вводные'!$B$234="Да",IF(OR(('19_Расчет_аналитики'!AX4463-'19_Расчет_аналитики'!AX4491)=0,8&lt;='01_Вводные'!$B$297),0,('19_Расчет_аналитики'!AX4463-'19_Расчет_аналитики'!AX4491)*IF('01_Вводные'!$B$239="Да",MeanMinAge08+'19_Расчет_аналитики'!AX4608*SUMIF(ThresholdAge08,"&lt;"&amp;'19_Расчет_аналитики'!AX4608,WeightedRevAge08)-SUMIF(ThresholdAge08,"&lt;"&amp;'19_Расчет_аналитики'!AX4608,WeightedMinAge08),MAX(CapacityAge08*'01_Вводные'!$B$218*'19_Расчет_аналитики'!AX4608,MeanMinAge08))),0)</f>
        <v/>
      </c>
      <c r="AY4547">
        <f>IF('01_Вводные'!$B$234="Да",IF(OR(('19_Расчет_аналитики'!AY4463-'19_Расчет_аналитики'!AY4491)=0,8&lt;='01_Вводные'!$B$297),0,('19_Расчет_аналитики'!AY4463-'19_Расчет_аналитики'!AY4491)*IF('01_Вводные'!$B$239="Да",MeanMinAge08+'19_Расчет_аналитики'!AY4608*SUMIF(ThresholdAge08,"&lt;"&amp;'19_Расчет_аналитики'!AY4608,WeightedRevAge08)-SUMIF(ThresholdAge08,"&lt;"&amp;'19_Расчет_аналитики'!AY4608,WeightedMinAge08),MAX(CapacityAge08*'01_Вводные'!$B$218*'19_Расчет_аналитики'!AY4608,MeanMinAge08))),0)</f>
        <v/>
      </c>
      <c r="AZ4547">
        <f>IF('01_Вводные'!$B$234="Да",IF(OR(('19_Расчет_аналитики'!AZ4463-'19_Расчет_аналитики'!AZ4491)=0,8&lt;='01_Вводные'!$B$297),0,('19_Расчет_аналитики'!AZ4463-'19_Расчет_аналитики'!AZ4491)*IF('01_Вводные'!$B$239="Да",MeanMinAge08+'19_Расчет_аналитики'!AZ4608*SUMIF(ThresholdAge08,"&lt;"&amp;'19_Расчет_аналитики'!AZ4608,WeightedRevAge08)-SUMIF(ThresholdAge08,"&lt;"&amp;'19_Расчет_аналитики'!AZ4608,WeightedMinAge08),MAX(CapacityAge08*'01_Вводные'!$B$218*'19_Расчет_аналитики'!AZ4608,MeanMinAge08))),0)</f>
        <v/>
      </c>
      <c r="BA4547">
        <f>IF('01_Вводные'!$B$234="Да",IF(OR(('19_Расчет_аналитики'!BA4463-'19_Расчет_аналитики'!BA4491)=0,8&lt;='01_Вводные'!$B$297),0,('19_Расчет_аналитики'!BA4463-'19_Расчет_аналитики'!BA4491)*IF('01_Вводные'!$B$239="Да",MeanMinAge08+'19_Расчет_аналитики'!BA4608*SUMIF(ThresholdAge08,"&lt;"&amp;'19_Расчет_аналитики'!BA4608,WeightedRevAge08)-SUMIF(ThresholdAge08,"&lt;"&amp;'19_Расчет_аналитики'!BA4608,WeightedMinAge08),MAX(CapacityAge08*'01_Вводные'!$B$218*'19_Расчет_аналитики'!BA4608,MeanMinAge08))),0)</f>
        <v/>
      </c>
      <c r="BB4547">
        <f>IF('01_Вводные'!$B$234="Да",IF(OR(('19_Расчет_аналитики'!BB4463-'19_Расчет_аналитики'!BB4491)=0,8&lt;='01_Вводные'!$B$297),0,('19_Расчет_аналитики'!BB4463-'19_Расчет_аналитики'!BB4491)*IF('01_Вводные'!$B$239="Да",MeanMinAge08+'19_Расчет_аналитики'!BB4608*SUMIF(ThresholdAge08,"&lt;"&amp;'19_Расчет_аналитики'!BB4608,WeightedRevAge08)-SUMIF(ThresholdAge08,"&lt;"&amp;'19_Расчет_аналитики'!BB4608,WeightedMinAge08),MAX(CapacityAge08*'01_Вводные'!$B$218*'19_Расчет_аналитики'!BB4608,MeanMinAge08))),0)</f>
        <v/>
      </c>
      <c r="BC4547">
        <f>IF('01_Вводные'!$B$234="Да",IF(OR(('19_Расчет_аналитики'!BC4463-'19_Расчет_аналитики'!BC4491)=0,8&lt;='01_Вводные'!$B$297),0,('19_Расчет_аналитики'!BC4463-'19_Расчет_аналитики'!BC4491)*IF('01_Вводные'!$B$239="Да",MeanMinAge08+'19_Расчет_аналитики'!BC4608*SUMIF(ThresholdAge08,"&lt;"&amp;'19_Расчет_аналитики'!BC4608,WeightedRevAge08)-SUMIF(ThresholdAge08,"&lt;"&amp;'19_Расчет_аналитики'!BC4608,WeightedMinAge08),MAX(CapacityAge08*'01_Вводные'!$B$218*'19_Расчет_аналитики'!BC4608,MeanMinAge08))),0)</f>
        <v/>
      </c>
      <c r="BD4547">
        <f>IF('01_Вводные'!$B$234="Да",IF(OR(('19_Расчет_аналитики'!BD4463-'19_Расчет_аналитики'!BD4491)=0,8&lt;='01_Вводные'!$B$297),0,('19_Расчет_аналитики'!BD4463-'19_Расчет_аналитики'!BD4491)*IF('01_Вводные'!$B$239="Да",MeanMinAge08+'19_Расчет_аналитики'!BD4608*SUMIF(ThresholdAge08,"&lt;"&amp;'19_Расчет_аналитики'!BD4608,WeightedRevAge08)-SUMIF(ThresholdAge08,"&lt;"&amp;'19_Расчет_аналитики'!BD4608,WeightedMinAge08),MAX(CapacityAge08*'01_Вводные'!$B$218*'19_Расчет_аналитики'!BD4608,MeanMinAge08))),0)</f>
        <v/>
      </c>
      <c r="BE4547">
        <f>IF('01_Вводные'!$B$234="Да",IF(OR(('19_Расчет_аналитики'!BE4463-'19_Расчет_аналитики'!BE4491)=0,8&lt;='01_Вводные'!$B$297),0,('19_Расчет_аналитики'!BE4463-'19_Расчет_аналитики'!BE4491)*IF('01_Вводные'!$B$239="Да",MeanMinAge08+'19_Расчет_аналитики'!BE4608*SUMIF(ThresholdAge08,"&lt;"&amp;'19_Расчет_аналитики'!BE4608,WeightedRevAge08)-SUMIF(ThresholdAge08,"&lt;"&amp;'19_Расчет_аналитики'!BE4608,WeightedMinAge08),MAX(CapacityAge08*'01_Вводные'!$B$218*'19_Расчет_аналитики'!BE4608,MeanMinAge08))),0)</f>
        <v/>
      </c>
      <c r="BF4547">
        <f>IF('01_Вводные'!$B$234="Да",IF(OR(('19_Расчет_аналитики'!BF4463-'19_Расчет_аналитики'!BF4491)=0,8&lt;='01_Вводные'!$B$297),0,('19_Расчет_аналитики'!BF4463-'19_Расчет_аналитики'!BF4491)*IF('01_Вводные'!$B$239="Да",MeanMinAge08+'19_Расчет_аналитики'!BF4608*SUMIF(ThresholdAge08,"&lt;"&amp;'19_Расчет_аналитики'!BF4608,WeightedRevAge08)-SUMIF(ThresholdAge08,"&lt;"&amp;'19_Расчет_аналитики'!BF4608,WeightedMinAge08),MAX(CapacityAge08*'01_Вводные'!$B$218*'19_Расчет_аналитики'!BF4608,MeanMinAge08))),0)</f>
        <v/>
      </c>
      <c r="BG4547">
        <f>IF('01_Вводные'!$B$234="Да",IF(OR(('19_Расчет_аналитики'!BG4463-'19_Расчет_аналитики'!BG4491)=0,8&lt;='01_Вводные'!$B$297),0,('19_Расчет_аналитики'!BG4463-'19_Расчет_аналитики'!BG4491)*IF('01_Вводные'!$B$239="Да",MeanMinAge08+'19_Расчет_аналитики'!BG4608*SUMIF(ThresholdAge08,"&lt;"&amp;'19_Расчет_аналитики'!BG4608,WeightedRevAge08)-SUMIF(ThresholdAge08,"&lt;"&amp;'19_Расчет_аналитики'!BG4608,WeightedMinAge08),MAX(CapacityAge08*'01_Вводные'!$B$218*'19_Расчет_аналитики'!BG4608,MeanMinAge08))),0)</f>
        <v/>
      </c>
      <c r="BH4547">
        <f>IF('01_Вводные'!$B$234="Да",IF(OR(('19_Расчет_аналитики'!BH4463-'19_Расчет_аналитики'!BH4491)=0,8&lt;='01_Вводные'!$B$297),0,('19_Расчет_аналитики'!BH4463-'19_Расчет_аналитики'!BH4491)*IF('01_Вводные'!$B$239="Да",MeanMinAge08+'19_Расчет_аналитики'!BH4608*SUMIF(ThresholdAge08,"&lt;"&amp;'19_Расчет_аналитики'!BH4608,WeightedRevAge08)-SUMIF(ThresholdAge08,"&lt;"&amp;'19_Расчет_аналитики'!BH4608,WeightedMinAge08),MAX(CapacityAge08*'01_Вводные'!$B$218*'19_Расчет_аналитики'!BH4608,MeanMinAge08))),0)</f>
        <v/>
      </c>
      <c r="BI4547">
        <f>IF('01_Вводные'!$B$234="Да",IF(OR(('19_Расчет_аналитики'!BI4463-'19_Расчет_аналитики'!BI4491)=0,8&lt;='01_Вводные'!$B$297),0,('19_Расчет_аналитики'!BI4463-'19_Расчет_аналитики'!BI4491)*IF('01_Вводные'!$B$239="Да",MeanMinAge08+'19_Расчет_аналитики'!BI4608*SUMIF(ThresholdAge08,"&lt;"&amp;'19_Расчет_аналитики'!BI4608,WeightedRevAge08)-SUMIF(ThresholdAge08,"&lt;"&amp;'19_Расчет_аналитики'!BI4608,WeightedMinAge08),MAX(CapacityAge08*'01_Вводные'!$B$218*'19_Расчет_аналитики'!BI4608,MeanMinAge08))),0)</f>
        <v/>
      </c>
      <c r="BJ4547">
        <f>IF('01_Вводные'!$B$234="Да",IF(OR(('19_Расчет_аналитики'!BJ4463-'19_Расчет_аналитики'!BJ4491)=0,8&lt;='01_Вводные'!$B$297),0,('19_Расчет_аналитики'!BJ4463-'19_Расчет_аналитики'!BJ4491)*IF('01_Вводные'!$B$239="Да",MeanMinAge08+'19_Расчет_аналитики'!BJ4608*SUMIF(ThresholdAge08,"&lt;"&amp;'19_Расчет_аналитики'!BJ4608,WeightedRevAge08)-SUMIF(ThresholdAge08,"&lt;"&amp;'19_Расчет_аналитики'!BJ4608,WeightedMinAge08),MAX(CapacityAge08*'01_Вводные'!$B$218*'19_Расчет_аналитики'!BJ4608,MeanMinAge08))),0)</f>
        <v/>
      </c>
      <c r="BK4547">
        <f>IF('01_Вводные'!$B$234="Да",IF(OR(('19_Расчет_аналитики'!BK4463-'19_Расчет_аналитики'!BK4491)=0,8&lt;='01_Вводные'!$B$297),0,('19_Расчет_аналитики'!BK4463-'19_Расчет_аналитики'!BK4491)*IF('01_Вводные'!$B$239="Да",MeanMinAge08+'19_Расчет_аналитики'!BK4608*SUMIF(ThresholdAge08,"&lt;"&amp;'19_Расчет_аналитики'!BK4608,WeightedRevAge08)-SUMIF(ThresholdAge08,"&lt;"&amp;'19_Расчет_аналитики'!BK4608,WeightedMinAge08),MAX(CapacityAge08*'01_Вводные'!$B$218*'19_Расчет_аналитики'!BK4608,MeanMinAge08))),0)</f>
        <v/>
      </c>
      <c r="BL4547">
        <f>IF('01_Вводные'!$B$234="Да",IF(OR(('19_Расчет_аналитики'!BL4463-'19_Расчет_аналитики'!BL4491)=0,8&lt;='01_Вводные'!$B$297),0,('19_Расчет_аналитики'!BL4463-'19_Расчет_аналитики'!BL4491)*IF('01_Вводные'!$B$239="Да",MeanMinAge08+'19_Расчет_аналитики'!BL4608*SUMIF(ThresholdAge08,"&lt;"&amp;'19_Расчет_аналитики'!BL4608,WeightedRevAge08)-SUMIF(ThresholdAge08,"&lt;"&amp;'19_Расчет_аналитики'!BL4608,WeightedMinAge08),MAX(CapacityAge08*'01_Вводные'!$B$218*'19_Расчет_аналитики'!BL4608,MeanMinAge08))),0)</f>
        <v/>
      </c>
      <c r="BM4547">
        <f>IF('01_Вводные'!$B$234="Да",IF(OR(('19_Расчет_аналитики'!BM4463-'19_Расчет_аналитики'!BM4491)=0,8&lt;='01_Вводные'!$B$297),0,('19_Расчет_аналитики'!BM4463-'19_Расчет_аналитики'!BM4491)*IF('01_Вводные'!$B$239="Да",MeanMinAge08+'19_Расчет_аналитики'!BM4608*SUMIF(ThresholdAge08,"&lt;"&amp;'19_Расчет_аналитики'!BM4608,WeightedRevAge08)-SUMIF(ThresholdAge08,"&lt;"&amp;'19_Расчет_аналитики'!BM4608,WeightedMinAge08),MAX(CapacityAge08*'01_Вводные'!$B$218*'19_Расчет_аналитики'!BM4608,MeanMinAge08))),0)</f>
        <v/>
      </c>
      <c r="BN4547">
        <f>IF('01_Вводные'!$B$234="Да",IF(OR(('19_Расчет_аналитики'!BN4463-'19_Расчет_аналитики'!BN4491)=0,8&lt;='01_Вводные'!$B$297),0,('19_Расчет_аналитики'!BN4463-'19_Расчет_аналитики'!BN4491)*IF('01_Вводные'!$B$239="Да",MeanMinAge08+'19_Расчет_аналитики'!BN4608*SUMIF(ThresholdAge08,"&lt;"&amp;'19_Расчет_аналитики'!BN4608,WeightedRevAge08)-SUMIF(ThresholdAge08,"&lt;"&amp;'19_Расчет_аналитики'!BN4608,WeightedMinAge08),MAX(CapacityAge08*'01_Вводные'!$B$218*'19_Расчет_аналитики'!BN4608,MeanMinAge08))),0)</f>
        <v/>
      </c>
      <c r="BO4547">
        <f>IF('01_Вводные'!$B$234="Да",IF(OR(('19_Расчет_аналитики'!BO4463-'19_Расчет_аналитики'!BO4491)=0,8&lt;='01_Вводные'!$B$297),0,('19_Расчет_аналитики'!BO4463-'19_Расчет_аналитики'!BO4491)*IF('01_Вводные'!$B$239="Да",MeanMinAge08+'19_Расчет_аналитики'!BO4608*SUMIF(ThresholdAge08,"&lt;"&amp;'19_Расчет_аналитики'!BO4608,WeightedRevAge08)-SUMIF(ThresholdAge08,"&lt;"&amp;'19_Расчет_аналитики'!BO4608,WeightedMinAge08),MAX(CapacityAge08*'01_Вводные'!$B$218*'19_Расчет_аналитики'!BO4608,MeanMinAge08))),0)</f>
        <v/>
      </c>
    </row>
    <row r="4548">
      <c r="B4548">
        <f>IF('01_Вводные'!$B$234="Да",IF(OR(('06_Сеть_и_дети'!B61-'06_Сеть_и_дети'!B89)=0,9&lt;='01_Вводные'!$B$297),0,('06_Сеть_и_дети'!B61-'06_Сеть_и_дети'!B89)*IF('01_Вводные'!$B$239="Да",MeanMinAge09+'19_Расчет_аналитики'!B4608*SUMIF(ThresholdAge09,"&lt;"&amp;'19_Расчет_аналитики'!B4608,WeightedRevAge09)-SUMIF(ThresholdAge09,"&lt;"&amp;'19_Расчет_аналитики'!B4608,WeightedMinAge09),MAX(CapacityAge09*'01_Вводные'!$B$218*'19_Расчет_аналитики'!B4608,MeanMinAge09))),0)</f>
        <v/>
      </c>
      <c r="C4548">
        <f>IF('01_Вводные'!$B$234="Да",IF(OR(('06_Сеть_и_дети'!C61-'06_Сеть_и_дети'!C89)=0,9&lt;='01_Вводные'!$B$297),0,('06_Сеть_и_дети'!C61-'06_Сеть_и_дети'!C89)*IF('01_Вводные'!$B$239="Да",MeanMinAge09+'19_Расчет_аналитики'!C4608*SUMIF(ThresholdAge09,"&lt;"&amp;'19_Расчет_аналитики'!C4608,WeightedRevAge09)-SUMIF(ThresholdAge09,"&lt;"&amp;'19_Расчет_аналитики'!C4608,WeightedMinAge09),MAX(CapacityAge09*'01_Вводные'!$B$218*'19_Расчет_аналитики'!C4608,MeanMinAge09))),0)</f>
        <v/>
      </c>
      <c r="D4548">
        <f>IF('01_Вводные'!$B$234="Да",IF(OR(('06_Сеть_и_дети'!D61-'06_Сеть_и_дети'!D89)=0,9&lt;='01_Вводные'!$B$297),0,('06_Сеть_и_дети'!D61-'06_Сеть_и_дети'!D89)*IF('01_Вводные'!$B$239="Да",MeanMinAge09+'19_Расчет_аналитики'!D4608*SUMIF(ThresholdAge09,"&lt;"&amp;'19_Расчет_аналитики'!D4608,WeightedRevAge09)-SUMIF(ThresholdAge09,"&lt;"&amp;'19_Расчет_аналитики'!D4608,WeightedMinAge09),MAX(CapacityAge09*'01_Вводные'!$B$218*'19_Расчет_аналитики'!D4608,MeanMinAge09))),0)</f>
        <v/>
      </c>
      <c r="E4548">
        <f>IF('01_Вводные'!$B$234="Да",IF(OR(('06_Сеть_и_дети'!E61-'06_Сеть_и_дети'!E89)=0,9&lt;='01_Вводные'!$B$297),0,('06_Сеть_и_дети'!E61-'06_Сеть_и_дети'!E89)*IF('01_Вводные'!$B$239="Да",MeanMinAge09+'19_Расчет_аналитики'!E4608*SUMIF(ThresholdAge09,"&lt;"&amp;'19_Расчет_аналитики'!E4608,WeightedRevAge09)-SUMIF(ThresholdAge09,"&lt;"&amp;'19_Расчет_аналитики'!E4608,WeightedMinAge09),MAX(CapacityAge09*'01_Вводные'!$B$218*'19_Расчет_аналитики'!E4608,MeanMinAge09))),0)</f>
        <v/>
      </c>
      <c r="F4548">
        <f>IF('01_Вводные'!$B$234="Да",IF(OR(('06_Сеть_и_дети'!F61-'06_Сеть_и_дети'!F89)=0,9&lt;='01_Вводные'!$B$297),0,('06_Сеть_и_дети'!F61-'06_Сеть_и_дети'!F89)*IF('01_Вводные'!$B$239="Да",MeanMinAge09+'19_Расчет_аналитики'!F4608*SUMIF(ThresholdAge09,"&lt;"&amp;'19_Расчет_аналитики'!F4608,WeightedRevAge09)-SUMIF(ThresholdAge09,"&lt;"&amp;'19_Расчет_аналитики'!F4608,WeightedMinAge09),MAX(CapacityAge09*'01_Вводные'!$B$218*'19_Расчет_аналитики'!F4608,MeanMinAge09))),0)</f>
        <v/>
      </c>
      <c r="G4548">
        <f>IF('01_Вводные'!$B$234="Да",IF(OR(('06_Сеть_и_дети'!G61-'06_Сеть_и_дети'!G89)=0,9&lt;='01_Вводные'!$B$297),0,('06_Сеть_и_дети'!G61-'06_Сеть_и_дети'!G89)*IF('01_Вводные'!$B$239="Да",MeanMinAge09+'19_Расчет_аналитики'!G4608*SUMIF(ThresholdAge09,"&lt;"&amp;'19_Расчет_аналитики'!G4608,WeightedRevAge09)-SUMIF(ThresholdAge09,"&lt;"&amp;'19_Расчет_аналитики'!G4608,WeightedMinAge09),MAX(CapacityAge09*'01_Вводные'!$B$218*'19_Расчет_аналитики'!G4608,MeanMinAge09))),0)</f>
        <v/>
      </c>
      <c r="H4548">
        <f>IF('01_Вводные'!$B$234="Да",IF(OR(('06_Сеть_и_дети'!H61-'06_Сеть_и_дети'!H89)=0,9&lt;='01_Вводные'!$B$297),0,('06_Сеть_и_дети'!H61-'06_Сеть_и_дети'!H89)*IF('01_Вводные'!$B$239="Да",MeanMinAge09+'19_Расчет_аналитики'!H4608*SUMIF(ThresholdAge09,"&lt;"&amp;'19_Расчет_аналитики'!H4608,WeightedRevAge09)-SUMIF(ThresholdAge09,"&lt;"&amp;'19_Расчет_аналитики'!H4608,WeightedMinAge09),MAX(CapacityAge09*'01_Вводные'!$B$218*'19_Расчет_аналитики'!H4608,MeanMinAge09))),0)</f>
        <v/>
      </c>
      <c r="I4548">
        <f>IF('01_Вводные'!$B$234="Да",IF(OR(('06_Сеть_и_дети'!I61-'06_Сеть_и_дети'!I89)=0,9&lt;='01_Вводные'!$B$297),0,('06_Сеть_и_дети'!I61-'06_Сеть_и_дети'!I89)*IF('01_Вводные'!$B$239="Да",MeanMinAge09+'19_Расчет_аналитики'!I4608*SUMIF(ThresholdAge09,"&lt;"&amp;'19_Расчет_аналитики'!I4608,WeightedRevAge09)-SUMIF(ThresholdAge09,"&lt;"&amp;'19_Расчет_аналитики'!I4608,WeightedMinAge09),MAX(CapacityAge09*'01_Вводные'!$B$218*'19_Расчет_аналитики'!I4608,MeanMinAge09))),0)</f>
        <v/>
      </c>
      <c r="J4548">
        <f>IF('01_Вводные'!$B$234="Да",IF(OR(('19_Расчет_аналитики'!J4464-'19_Расчет_аналитики'!J4492)=0,9&lt;='01_Вводные'!$B$297),0,('19_Расчет_аналитики'!J4464-'19_Расчет_аналитики'!J4492)*IF('01_Вводные'!$B$239="Да",MeanMinAge09+'19_Расчет_аналитики'!J4608*SUMIF(ThresholdAge09,"&lt;"&amp;'19_Расчет_аналитики'!J4608,WeightedRevAge09)-SUMIF(ThresholdAge09,"&lt;"&amp;'19_Расчет_аналитики'!J4608,WeightedMinAge09),MAX(CapacityAge09*'01_Вводные'!$B$218*'19_Расчет_аналитики'!J4608,MeanMinAge09))),0)</f>
        <v/>
      </c>
      <c r="K4548">
        <f>IF('01_Вводные'!$B$234="Да",IF(OR(('19_Расчет_аналитики'!K4464-'19_Расчет_аналитики'!K4492)=0,9&lt;='01_Вводные'!$B$297),0,('19_Расчет_аналитики'!K4464-'19_Расчет_аналитики'!K4492)*IF('01_Вводные'!$B$239="Да",MeanMinAge09+'19_Расчет_аналитики'!K4608*SUMIF(ThresholdAge09,"&lt;"&amp;'19_Расчет_аналитики'!K4608,WeightedRevAge09)-SUMIF(ThresholdAge09,"&lt;"&amp;'19_Расчет_аналитики'!K4608,WeightedMinAge09),MAX(CapacityAge09*'01_Вводные'!$B$218*'19_Расчет_аналитики'!K4608,MeanMinAge09))),0)</f>
        <v/>
      </c>
      <c r="L4548">
        <f>IF('01_Вводные'!$B$234="Да",IF(OR(('19_Расчет_аналитики'!L4464-'19_Расчет_аналитики'!L4492)=0,9&lt;='01_Вводные'!$B$297),0,('19_Расчет_аналитики'!L4464-'19_Расчет_аналитики'!L4492)*IF('01_Вводные'!$B$239="Да",MeanMinAge09+'19_Расчет_аналитики'!L4608*SUMIF(ThresholdAge09,"&lt;"&amp;'19_Расчет_аналитики'!L4608,WeightedRevAge09)-SUMIF(ThresholdAge09,"&lt;"&amp;'19_Расчет_аналитики'!L4608,WeightedMinAge09),MAX(CapacityAge09*'01_Вводные'!$B$218*'19_Расчет_аналитики'!L4608,MeanMinAge09))),0)</f>
        <v/>
      </c>
      <c r="M4548">
        <f>IF('01_Вводные'!$B$234="Да",IF(OR(('19_Расчет_аналитики'!M4464-'19_Расчет_аналитики'!M4492)=0,9&lt;='01_Вводные'!$B$297),0,('19_Расчет_аналитики'!M4464-'19_Расчет_аналитики'!M4492)*IF('01_Вводные'!$B$239="Да",MeanMinAge09+'19_Расчет_аналитики'!M4608*SUMIF(ThresholdAge09,"&lt;"&amp;'19_Расчет_аналитики'!M4608,WeightedRevAge09)-SUMIF(ThresholdAge09,"&lt;"&amp;'19_Расчет_аналитики'!M4608,WeightedMinAge09),MAX(CapacityAge09*'01_Вводные'!$B$218*'19_Расчет_аналитики'!M4608,MeanMinAge09))),0)</f>
        <v/>
      </c>
      <c r="N4548">
        <f>IF('01_Вводные'!$B$234="Да",IF(OR(('19_Расчет_аналитики'!N4464-'19_Расчет_аналитики'!N4492)=0,9&lt;='01_Вводные'!$B$297),0,('19_Расчет_аналитики'!N4464-'19_Расчет_аналитики'!N4492)*IF('01_Вводные'!$B$239="Да",MeanMinAge09+'19_Расчет_аналитики'!N4608*SUMIF(ThresholdAge09,"&lt;"&amp;'19_Расчет_аналитики'!N4608,WeightedRevAge09)-SUMIF(ThresholdAge09,"&lt;"&amp;'19_Расчет_аналитики'!N4608,WeightedMinAge09),MAX(CapacityAge09*'01_Вводные'!$B$218*'19_Расчет_аналитики'!N4608,MeanMinAge09))),0)</f>
        <v/>
      </c>
      <c r="O4548">
        <f>IF('01_Вводные'!$B$234="Да",IF(OR(('19_Расчет_аналитики'!O4464-'19_Расчет_аналитики'!O4492)=0,9&lt;='01_Вводные'!$B$297),0,('19_Расчет_аналитики'!O4464-'19_Расчет_аналитики'!O4492)*IF('01_Вводные'!$B$239="Да",MeanMinAge09+'19_Расчет_аналитики'!O4608*SUMIF(ThresholdAge09,"&lt;"&amp;'19_Расчет_аналитики'!O4608,WeightedRevAge09)-SUMIF(ThresholdAge09,"&lt;"&amp;'19_Расчет_аналитики'!O4608,WeightedMinAge09),MAX(CapacityAge09*'01_Вводные'!$B$218*'19_Расчет_аналитики'!O4608,MeanMinAge09))),0)</f>
        <v/>
      </c>
      <c r="P4548">
        <f>IF('01_Вводные'!$B$234="Да",IF(OR(('19_Расчет_аналитики'!P4464-'19_Расчет_аналитики'!P4492)=0,9&lt;='01_Вводные'!$B$297),0,('19_Расчет_аналитики'!P4464-'19_Расчет_аналитики'!P4492)*IF('01_Вводные'!$B$239="Да",MeanMinAge09+'19_Расчет_аналитики'!P4608*SUMIF(ThresholdAge09,"&lt;"&amp;'19_Расчет_аналитики'!P4608,WeightedRevAge09)-SUMIF(ThresholdAge09,"&lt;"&amp;'19_Расчет_аналитики'!P4608,WeightedMinAge09),MAX(CapacityAge09*'01_Вводные'!$B$218*'19_Расчет_аналитики'!P4608,MeanMinAge09))),0)</f>
        <v/>
      </c>
      <c r="Q4548">
        <f>IF('01_Вводные'!$B$234="Да",IF(OR(('19_Расчет_аналитики'!Q4464-'19_Расчет_аналитики'!Q4492)=0,9&lt;='01_Вводные'!$B$297),0,('19_Расчет_аналитики'!Q4464-'19_Расчет_аналитики'!Q4492)*IF('01_Вводные'!$B$239="Да",MeanMinAge09+'19_Расчет_аналитики'!Q4608*SUMIF(ThresholdAge09,"&lt;"&amp;'19_Расчет_аналитики'!Q4608,WeightedRevAge09)-SUMIF(ThresholdAge09,"&lt;"&amp;'19_Расчет_аналитики'!Q4608,WeightedMinAge09),MAX(CapacityAge09*'01_Вводные'!$B$218*'19_Расчет_аналитики'!Q4608,MeanMinAge09))),0)</f>
        <v/>
      </c>
      <c r="R4548">
        <f>IF('01_Вводные'!$B$234="Да",IF(OR(('19_Расчет_аналитики'!R4464-'19_Расчет_аналитики'!R4492)=0,9&lt;='01_Вводные'!$B$297),0,('19_Расчет_аналитики'!R4464-'19_Расчет_аналитики'!R4492)*IF('01_Вводные'!$B$239="Да",MeanMinAge09+'19_Расчет_аналитики'!R4608*SUMIF(ThresholdAge09,"&lt;"&amp;'19_Расчет_аналитики'!R4608,WeightedRevAge09)-SUMIF(ThresholdAge09,"&lt;"&amp;'19_Расчет_аналитики'!R4608,WeightedMinAge09),MAX(CapacityAge09*'01_Вводные'!$B$218*'19_Расчет_аналитики'!R4608,MeanMinAge09))),0)</f>
        <v/>
      </c>
      <c r="S4548">
        <f>IF('01_Вводные'!$B$234="Да",IF(OR(('19_Расчет_аналитики'!S4464-'19_Расчет_аналитики'!S4492)=0,9&lt;='01_Вводные'!$B$297),0,('19_Расчет_аналитики'!S4464-'19_Расчет_аналитики'!S4492)*IF('01_Вводные'!$B$239="Да",MeanMinAge09+'19_Расчет_аналитики'!S4608*SUMIF(ThresholdAge09,"&lt;"&amp;'19_Расчет_аналитики'!S4608,WeightedRevAge09)-SUMIF(ThresholdAge09,"&lt;"&amp;'19_Расчет_аналитики'!S4608,WeightedMinAge09),MAX(CapacityAge09*'01_Вводные'!$B$218*'19_Расчет_аналитики'!S4608,MeanMinAge09))),0)</f>
        <v/>
      </c>
      <c r="T4548">
        <f>IF('01_Вводные'!$B$234="Да",IF(OR(('19_Расчет_аналитики'!T4464-'19_Расчет_аналитики'!T4492)=0,9&lt;='01_Вводные'!$B$297),0,('19_Расчет_аналитики'!T4464-'19_Расчет_аналитики'!T4492)*IF('01_Вводные'!$B$239="Да",MeanMinAge09+'19_Расчет_аналитики'!T4608*SUMIF(ThresholdAge09,"&lt;"&amp;'19_Расчет_аналитики'!T4608,WeightedRevAge09)-SUMIF(ThresholdAge09,"&lt;"&amp;'19_Расчет_аналитики'!T4608,WeightedMinAge09),MAX(CapacityAge09*'01_Вводные'!$B$218*'19_Расчет_аналитики'!T4608,MeanMinAge09))),0)</f>
        <v/>
      </c>
      <c r="U4548">
        <f>IF('01_Вводные'!$B$234="Да",IF(OR(('19_Расчет_аналитики'!U4464-'19_Расчет_аналитики'!U4492)=0,9&lt;='01_Вводные'!$B$297),0,('19_Расчет_аналитики'!U4464-'19_Расчет_аналитики'!U4492)*IF('01_Вводные'!$B$239="Да",MeanMinAge09+'19_Расчет_аналитики'!U4608*SUMIF(ThresholdAge09,"&lt;"&amp;'19_Расчет_аналитики'!U4608,WeightedRevAge09)-SUMIF(ThresholdAge09,"&lt;"&amp;'19_Расчет_аналитики'!U4608,WeightedMinAge09),MAX(CapacityAge09*'01_Вводные'!$B$218*'19_Расчет_аналитики'!U4608,MeanMinAge09))),0)</f>
        <v/>
      </c>
      <c r="V4548">
        <f>IF('01_Вводные'!$B$234="Да",IF(OR(('19_Расчет_аналитики'!V4464-'19_Расчет_аналитики'!V4492)=0,9&lt;='01_Вводные'!$B$297),0,('19_Расчет_аналитики'!V4464-'19_Расчет_аналитики'!V4492)*IF('01_Вводные'!$B$239="Да",MeanMinAge09+'19_Расчет_аналитики'!V4608*SUMIF(ThresholdAge09,"&lt;"&amp;'19_Расчет_аналитики'!V4608,WeightedRevAge09)-SUMIF(ThresholdAge09,"&lt;"&amp;'19_Расчет_аналитики'!V4608,WeightedMinAge09),MAX(CapacityAge09*'01_Вводные'!$B$218*'19_Расчет_аналитики'!V4608,MeanMinAge09))),0)</f>
        <v/>
      </c>
      <c r="W4548">
        <f>IF('01_Вводные'!$B$234="Да",IF(OR(('19_Расчет_аналитики'!W4464-'19_Расчет_аналитики'!W4492)=0,9&lt;='01_Вводные'!$B$297),0,('19_Расчет_аналитики'!W4464-'19_Расчет_аналитики'!W4492)*IF('01_Вводные'!$B$239="Да",MeanMinAge09+'19_Расчет_аналитики'!W4608*SUMIF(ThresholdAge09,"&lt;"&amp;'19_Расчет_аналитики'!W4608,WeightedRevAge09)-SUMIF(ThresholdAge09,"&lt;"&amp;'19_Расчет_аналитики'!W4608,WeightedMinAge09),MAX(CapacityAge09*'01_Вводные'!$B$218*'19_Расчет_аналитики'!W4608,MeanMinAge09))),0)</f>
        <v/>
      </c>
      <c r="X4548">
        <f>IF('01_Вводные'!$B$234="Да",IF(OR(('19_Расчет_аналитики'!X4464-'19_Расчет_аналитики'!X4492)=0,9&lt;='01_Вводные'!$B$297),0,('19_Расчет_аналитики'!X4464-'19_Расчет_аналитики'!X4492)*IF('01_Вводные'!$B$239="Да",MeanMinAge09+'19_Расчет_аналитики'!X4608*SUMIF(ThresholdAge09,"&lt;"&amp;'19_Расчет_аналитики'!X4608,WeightedRevAge09)-SUMIF(ThresholdAge09,"&lt;"&amp;'19_Расчет_аналитики'!X4608,WeightedMinAge09),MAX(CapacityAge09*'01_Вводные'!$B$218*'19_Расчет_аналитики'!X4608,MeanMinAge09))),0)</f>
        <v/>
      </c>
      <c r="Y4548">
        <f>IF('01_Вводные'!$B$234="Да",IF(OR(('19_Расчет_аналитики'!Y4464-'19_Расчет_аналитики'!Y4492)=0,9&lt;='01_Вводные'!$B$297),0,('19_Расчет_аналитики'!Y4464-'19_Расчет_аналитики'!Y4492)*IF('01_Вводные'!$B$239="Да",MeanMinAge09+'19_Расчет_аналитики'!Y4608*SUMIF(ThresholdAge09,"&lt;"&amp;'19_Расчет_аналитики'!Y4608,WeightedRevAge09)-SUMIF(ThresholdAge09,"&lt;"&amp;'19_Расчет_аналитики'!Y4608,WeightedMinAge09),MAX(CapacityAge09*'01_Вводные'!$B$218*'19_Расчет_аналитики'!Y4608,MeanMinAge09))),0)</f>
        <v/>
      </c>
      <c r="Z4548">
        <f>IF('01_Вводные'!$B$234="Да",IF(OR(('19_Расчет_аналитики'!Z4464-'19_Расчет_аналитики'!Z4492)=0,9&lt;='01_Вводные'!$B$297),0,('19_Расчет_аналитики'!Z4464-'19_Расчет_аналитики'!Z4492)*IF('01_Вводные'!$B$239="Да",MeanMinAge09+'19_Расчет_аналитики'!Z4608*SUMIF(ThresholdAge09,"&lt;"&amp;'19_Расчет_аналитики'!Z4608,WeightedRevAge09)-SUMIF(ThresholdAge09,"&lt;"&amp;'19_Расчет_аналитики'!Z4608,WeightedMinAge09),MAX(CapacityAge09*'01_Вводные'!$B$218*'19_Расчет_аналитики'!Z4608,MeanMinAge09))),0)</f>
        <v/>
      </c>
      <c r="AA4548">
        <f>IF('01_Вводные'!$B$234="Да",IF(OR(('19_Расчет_аналитики'!AA4464-'19_Расчет_аналитики'!AA4492)=0,9&lt;='01_Вводные'!$B$297),0,('19_Расчет_аналитики'!AA4464-'19_Расчет_аналитики'!AA4492)*IF('01_Вводные'!$B$239="Да",MeanMinAge09+'19_Расчет_аналитики'!AA4608*SUMIF(ThresholdAge09,"&lt;"&amp;'19_Расчет_аналитики'!AA4608,WeightedRevAge09)-SUMIF(ThresholdAge09,"&lt;"&amp;'19_Расчет_аналитики'!AA4608,WeightedMinAge09),MAX(CapacityAge09*'01_Вводные'!$B$218*'19_Расчет_аналитики'!AA4608,MeanMinAge09))),0)</f>
        <v/>
      </c>
      <c r="AB4548">
        <f>IF('01_Вводные'!$B$234="Да",IF(OR(('19_Расчет_аналитики'!AB4464-'19_Расчет_аналитики'!AB4492)=0,9&lt;='01_Вводные'!$B$297),0,('19_Расчет_аналитики'!AB4464-'19_Расчет_аналитики'!AB4492)*IF('01_Вводные'!$B$239="Да",MeanMinAge09+'19_Расчет_аналитики'!AB4608*SUMIF(ThresholdAge09,"&lt;"&amp;'19_Расчет_аналитики'!AB4608,WeightedRevAge09)-SUMIF(ThresholdAge09,"&lt;"&amp;'19_Расчет_аналитики'!AB4608,WeightedMinAge09),MAX(CapacityAge09*'01_Вводные'!$B$218*'19_Расчет_аналитики'!AB4608,MeanMinAge09))),0)</f>
        <v/>
      </c>
      <c r="AC4548">
        <f>IF('01_Вводные'!$B$234="Да",IF(OR(('19_Расчет_аналитики'!AC4464-'19_Расчет_аналитики'!AC4492)=0,9&lt;='01_Вводные'!$B$297),0,('19_Расчет_аналитики'!AC4464-'19_Расчет_аналитики'!AC4492)*IF('01_Вводные'!$B$239="Да",MeanMinAge09+'19_Расчет_аналитики'!AC4608*SUMIF(ThresholdAge09,"&lt;"&amp;'19_Расчет_аналитики'!AC4608,WeightedRevAge09)-SUMIF(ThresholdAge09,"&lt;"&amp;'19_Расчет_аналитики'!AC4608,WeightedMinAge09),MAX(CapacityAge09*'01_Вводные'!$B$218*'19_Расчет_аналитики'!AC4608,MeanMinAge09))),0)</f>
        <v/>
      </c>
      <c r="AD4548">
        <f>IF('01_Вводные'!$B$234="Да",IF(OR(('19_Расчет_аналитики'!AD4464-'19_Расчет_аналитики'!AD4492)=0,9&lt;='01_Вводные'!$B$297),0,('19_Расчет_аналитики'!AD4464-'19_Расчет_аналитики'!AD4492)*IF('01_Вводные'!$B$239="Да",MeanMinAge09+'19_Расчет_аналитики'!AD4608*SUMIF(ThresholdAge09,"&lt;"&amp;'19_Расчет_аналитики'!AD4608,WeightedRevAge09)-SUMIF(ThresholdAge09,"&lt;"&amp;'19_Расчет_аналитики'!AD4608,WeightedMinAge09),MAX(CapacityAge09*'01_Вводные'!$B$218*'19_Расчет_аналитики'!AD4608,MeanMinAge09))),0)</f>
        <v/>
      </c>
      <c r="AE4548">
        <f>IF('01_Вводные'!$B$234="Да",IF(OR(('19_Расчет_аналитики'!AE4464-'19_Расчет_аналитики'!AE4492)=0,9&lt;='01_Вводные'!$B$297),0,('19_Расчет_аналитики'!AE4464-'19_Расчет_аналитики'!AE4492)*IF('01_Вводные'!$B$239="Да",MeanMinAge09+'19_Расчет_аналитики'!AE4608*SUMIF(ThresholdAge09,"&lt;"&amp;'19_Расчет_аналитики'!AE4608,WeightedRevAge09)-SUMIF(ThresholdAge09,"&lt;"&amp;'19_Расчет_аналитики'!AE4608,WeightedMinAge09),MAX(CapacityAge09*'01_Вводные'!$B$218*'19_Расчет_аналитики'!AE4608,MeanMinAge09))),0)</f>
        <v/>
      </c>
      <c r="AF4548">
        <f>IF('01_Вводные'!$B$234="Да",IF(OR(('19_Расчет_аналитики'!AF4464-'19_Расчет_аналитики'!AF4492)=0,9&lt;='01_Вводные'!$B$297),0,('19_Расчет_аналитики'!AF4464-'19_Расчет_аналитики'!AF4492)*IF('01_Вводные'!$B$239="Да",MeanMinAge09+'19_Расчет_аналитики'!AF4608*SUMIF(ThresholdAge09,"&lt;"&amp;'19_Расчет_аналитики'!AF4608,WeightedRevAge09)-SUMIF(ThresholdAge09,"&lt;"&amp;'19_Расчет_аналитики'!AF4608,WeightedMinAge09),MAX(CapacityAge09*'01_Вводные'!$B$218*'19_Расчет_аналитики'!AF4608,MeanMinAge09))),0)</f>
        <v/>
      </c>
      <c r="AG4548">
        <f>IF('01_Вводные'!$B$234="Да",IF(OR(('19_Расчет_аналитики'!AG4464-'19_Расчет_аналитики'!AG4492)=0,9&lt;='01_Вводные'!$B$297),0,('19_Расчет_аналитики'!AG4464-'19_Расчет_аналитики'!AG4492)*IF('01_Вводные'!$B$239="Да",MeanMinAge09+'19_Расчет_аналитики'!AG4608*SUMIF(ThresholdAge09,"&lt;"&amp;'19_Расчет_аналитики'!AG4608,WeightedRevAge09)-SUMIF(ThresholdAge09,"&lt;"&amp;'19_Расчет_аналитики'!AG4608,WeightedMinAge09),MAX(CapacityAge09*'01_Вводные'!$B$218*'19_Расчет_аналитики'!AG4608,MeanMinAge09))),0)</f>
        <v/>
      </c>
      <c r="AH4548">
        <f>IF('01_Вводные'!$B$234="Да",IF(OR(('19_Расчет_аналитики'!AH4464-'19_Расчет_аналитики'!AH4492)=0,9&lt;='01_Вводные'!$B$297),0,('19_Расчет_аналитики'!AH4464-'19_Расчет_аналитики'!AH4492)*IF('01_Вводные'!$B$239="Да",MeanMinAge09+'19_Расчет_аналитики'!AH4608*SUMIF(ThresholdAge09,"&lt;"&amp;'19_Расчет_аналитики'!AH4608,WeightedRevAge09)-SUMIF(ThresholdAge09,"&lt;"&amp;'19_Расчет_аналитики'!AH4608,WeightedMinAge09),MAX(CapacityAge09*'01_Вводные'!$B$218*'19_Расчет_аналитики'!AH4608,MeanMinAge09))),0)</f>
        <v/>
      </c>
      <c r="AI4548">
        <f>IF('01_Вводные'!$B$234="Да",IF(OR(('19_Расчет_аналитики'!AI4464-'19_Расчет_аналитики'!AI4492)=0,9&lt;='01_Вводные'!$B$297),0,('19_Расчет_аналитики'!AI4464-'19_Расчет_аналитики'!AI4492)*IF('01_Вводные'!$B$239="Да",MeanMinAge09+'19_Расчет_аналитики'!AI4608*SUMIF(ThresholdAge09,"&lt;"&amp;'19_Расчет_аналитики'!AI4608,WeightedRevAge09)-SUMIF(ThresholdAge09,"&lt;"&amp;'19_Расчет_аналитики'!AI4608,WeightedMinAge09),MAX(CapacityAge09*'01_Вводные'!$B$218*'19_Расчет_аналитики'!AI4608,MeanMinAge09))),0)</f>
        <v/>
      </c>
      <c r="AJ4548">
        <f>IF('01_Вводные'!$B$234="Да",IF(OR(('19_Расчет_аналитики'!AJ4464-'19_Расчет_аналитики'!AJ4492)=0,9&lt;='01_Вводные'!$B$297),0,('19_Расчет_аналитики'!AJ4464-'19_Расчет_аналитики'!AJ4492)*IF('01_Вводные'!$B$239="Да",MeanMinAge09+'19_Расчет_аналитики'!AJ4608*SUMIF(ThresholdAge09,"&lt;"&amp;'19_Расчет_аналитики'!AJ4608,WeightedRevAge09)-SUMIF(ThresholdAge09,"&lt;"&amp;'19_Расчет_аналитики'!AJ4608,WeightedMinAge09),MAX(CapacityAge09*'01_Вводные'!$B$218*'19_Расчет_аналитики'!AJ4608,MeanMinAge09))),0)</f>
        <v/>
      </c>
      <c r="AK4548">
        <f>IF('01_Вводные'!$B$234="Да",IF(OR(('19_Расчет_аналитики'!AK4464-'19_Расчет_аналитики'!AK4492)=0,9&lt;='01_Вводные'!$B$297),0,('19_Расчет_аналитики'!AK4464-'19_Расчет_аналитики'!AK4492)*IF('01_Вводные'!$B$239="Да",MeanMinAge09+'19_Расчет_аналитики'!AK4608*SUMIF(ThresholdAge09,"&lt;"&amp;'19_Расчет_аналитики'!AK4608,WeightedRevAge09)-SUMIF(ThresholdAge09,"&lt;"&amp;'19_Расчет_аналитики'!AK4608,WeightedMinAge09),MAX(CapacityAge09*'01_Вводные'!$B$218*'19_Расчет_аналитики'!AK4608,MeanMinAge09))),0)</f>
        <v/>
      </c>
      <c r="AL4548">
        <f>IF('01_Вводные'!$B$234="Да",IF(OR(('19_Расчет_аналитики'!AL4464-'19_Расчет_аналитики'!AL4492)=0,9&lt;='01_Вводные'!$B$297),0,('19_Расчет_аналитики'!AL4464-'19_Расчет_аналитики'!AL4492)*IF('01_Вводные'!$B$239="Да",MeanMinAge09+'19_Расчет_аналитики'!AL4608*SUMIF(ThresholdAge09,"&lt;"&amp;'19_Расчет_аналитики'!AL4608,WeightedRevAge09)-SUMIF(ThresholdAge09,"&lt;"&amp;'19_Расчет_аналитики'!AL4608,WeightedMinAge09),MAX(CapacityAge09*'01_Вводные'!$B$218*'19_Расчет_аналитики'!AL4608,MeanMinAge09))),0)</f>
        <v/>
      </c>
      <c r="AM4548">
        <f>IF('01_Вводные'!$B$234="Да",IF(OR(('19_Расчет_аналитики'!AM4464-'19_Расчет_аналитики'!AM4492)=0,9&lt;='01_Вводные'!$B$297),0,('19_Расчет_аналитики'!AM4464-'19_Расчет_аналитики'!AM4492)*IF('01_Вводные'!$B$239="Да",MeanMinAge09+'19_Расчет_аналитики'!AM4608*SUMIF(ThresholdAge09,"&lt;"&amp;'19_Расчет_аналитики'!AM4608,WeightedRevAge09)-SUMIF(ThresholdAge09,"&lt;"&amp;'19_Расчет_аналитики'!AM4608,WeightedMinAge09),MAX(CapacityAge09*'01_Вводные'!$B$218*'19_Расчет_аналитики'!AM4608,MeanMinAge09))),0)</f>
        <v/>
      </c>
      <c r="AN4548">
        <f>IF('01_Вводные'!$B$234="Да",IF(OR(('19_Расчет_аналитики'!AN4464-'19_Расчет_аналитики'!AN4492)=0,9&lt;='01_Вводные'!$B$297),0,('19_Расчет_аналитики'!AN4464-'19_Расчет_аналитики'!AN4492)*IF('01_Вводные'!$B$239="Да",MeanMinAge09+'19_Расчет_аналитики'!AN4608*SUMIF(ThresholdAge09,"&lt;"&amp;'19_Расчет_аналитики'!AN4608,WeightedRevAge09)-SUMIF(ThresholdAge09,"&lt;"&amp;'19_Расчет_аналитики'!AN4608,WeightedMinAge09),MAX(CapacityAge09*'01_Вводные'!$B$218*'19_Расчет_аналитики'!AN4608,MeanMinAge09))),0)</f>
        <v/>
      </c>
      <c r="AO4548">
        <f>IF('01_Вводные'!$B$234="Да",IF(OR(('19_Расчет_аналитики'!AO4464-'19_Расчет_аналитики'!AO4492)=0,9&lt;='01_Вводные'!$B$297),0,('19_Расчет_аналитики'!AO4464-'19_Расчет_аналитики'!AO4492)*IF('01_Вводные'!$B$239="Да",MeanMinAge09+'19_Расчет_аналитики'!AO4608*SUMIF(ThresholdAge09,"&lt;"&amp;'19_Расчет_аналитики'!AO4608,WeightedRevAge09)-SUMIF(ThresholdAge09,"&lt;"&amp;'19_Расчет_аналитики'!AO4608,WeightedMinAge09),MAX(CapacityAge09*'01_Вводные'!$B$218*'19_Расчет_аналитики'!AO4608,MeanMinAge09))),0)</f>
        <v/>
      </c>
      <c r="AP4548">
        <f>IF('01_Вводные'!$B$234="Да",IF(OR(('19_Расчет_аналитики'!AP4464-'19_Расчет_аналитики'!AP4492)=0,9&lt;='01_Вводные'!$B$297),0,('19_Расчет_аналитики'!AP4464-'19_Расчет_аналитики'!AP4492)*IF('01_Вводные'!$B$239="Да",MeanMinAge09+'19_Расчет_аналитики'!AP4608*SUMIF(ThresholdAge09,"&lt;"&amp;'19_Расчет_аналитики'!AP4608,WeightedRevAge09)-SUMIF(ThresholdAge09,"&lt;"&amp;'19_Расчет_аналитики'!AP4608,WeightedMinAge09),MAX(CapacityAge09*'01_Вводные'!$B$218*'19_Расчет_аналитики'!AP4608,MeanMinAge09))),0)</f>
        <v/>
      </c>
      <c r="AQ4548">
        <f>IF('01_Вводные'!$B$234="Да",IF(OR(('19_Расчет_аналитики'!AQ4464-'19_Расчет_аналитики'!AQ4492)=0,9&lt;='01_Вводные'!$B$297),0,('19_Расчет_аналитики'!AQ4464-'19_Расчет_аналитики'!AQ4492)*IF('01_Вводные'!$B$239="Да",MeanMinAge09+'19_Расчет_аналитики'!AQ4608*SUMIF(ThresholdAge09,"&lt;"&amp;'19_Расчет_аналитики'!AQ4608,WeightedRevAge09)-SUMIF(ThresholdAge09,"&lt;"&amp;'19_Расчет_аналитики'!AQ4608,WeightedMinAge09),MAX(CapacityAge09*'01_Вводные'!$B$218*'19_Расчет_аналитики'!AQ4608,MeanMinAge09))),0)</f>
        <v/>
      </c>
      <c r="AR4548">
        <f>IF('01_Вводные'!$B$234="Да",IF(OR(('19_Расчет_аналитики'!AR4464-'19_Расчет_аналитики'!AR4492)=0,9&lt;='01_Вводные'!$B$297),0,('19_Расчет_аналитики'!AR4464-'19_Расчет_аналитики'!AR4492)*IF('01_Вводные'!$B$239="Да",MeanMinAge09+'19_Расчет_аналитики'!AR4608*SUMIF(ThresholdAge09,"&lt;"&amp;'19_Расчет_аналитики'!AR4608,WeightedRevAge09)-SUMIF(ThresholdAge09,"&lt;"&amp;'19_Расчет_аналитики'!AR4608,WeightedMinAge09),MAX(CapacityAge09*'01_Вводные'!$B$218*'19_Расчет_аналитики'!AR4608,MeanMinAge09))),0)</f>
        <v/>
      </c>
      <c r="AS4548">
        <f>IF('01_Вводные'!$B$234="Да",IF(OR(('19_Расчет_аналитики'!AS4464-'19_Расчет_аналитики'!AS4492)=0,9&lt;='01_Вводные'!$B$297),0,('19_Расчет_аналитики'!AS4464-'19_Расчет_аналитики'!AS4492)*IF('01_Вводные'!$B$239="Да",MeanMinAge09+'19_Расчет_аналитики'!AS4608*SUMIF(ThresholdAge09,"&lt;"&amp;'19_Расчет_аналитики'!AS4608,WeightedRevAge09)-SUMIF(ThresholdAge09,"&lt;"&amp;'19_Расчет_аналитики'!AS4608,WeightedMinAge09),MAX(CapacityAge09*'01_Вводные'!$B$218*'19_Расчет_аналитики'!AS4608,MeanMinAge09))),0)</f>
        <v/>
      </c>
      <c r="AT4548">
        <f>IF('01_Вводные'!$B$234="Да",IF(OR(('19_Расчет_аналитики'!AT4464-'19_Расчет_аналитики'!AT4492)=0,9&lt;='01_Вводные'!$B$297),0,('19_Расчет_аналитики'!AT4464-'19_Расчет_аналитики'!AT4492)*IF('01_Вводные'!$B$239="Да",MeanMinAge09+'19_Расчет_аналитики'!AT4608*SUMIF(ThresholdAge09,"&lt;"&amp;'19_Расчет_аналитики'!AT4608,WeightedRevAge09)-SUMIF(ThresholdAge09,"&lt;"&amp;'19_Расчет_аналитики'!AT4608,WeightedMinAge09),MAX(CapacityAge09*'01_Вводные'!$B$218*'19_Расчет_аналитики'!AT4608,MeanMinAge09))),0)</f>
        <v/>
      </c>
      <c r="AU4548">
        <f>IF('01_Вводные'!$B$234="Да",IF(OR(('19_Расчет_аналитики'!AU4464-'19_Расчет_аналитики'!AU4492)=0,9&lt;='01_Вводные'!$B$297),0,('19_Расчет_аналитики'!AU4464-'19_Расчет_аналитики'!AU4492)*IF('01_Вводные'!$B$239="Да",MeanMinAge09+'19_Расчет_аналитики'!AU4608*SUMIF(ThresholdAge09,"&lt;"&amp;'19_Расчет_аналитики'!AU4608,WeightedRevAge09)-SUMIF(ThresholdAge09,"&lt;"&amp;'19_Расчет_аналитики'!AU4608,WeightedMinAge09),MAX(CapacityAge09*'01_Вводные'!$B$218*'19_Расчет_аналитики'!AU4608,MeanMinAge09))),0)</f>
        <v/>
      </c>
      <c r="AV4548">
        <f>IF('01_Вводные'!$B$234="Да",IF(OR(('19_Расчет_аналитики'!AV4464-'19_Расчет_аналитики'!AV4492)=0,9&lt;='01_Вводные'!$B$297),0,('19_Расчет_аналитики'!AV4464-'19_Расчет_аналитики'!AV4492)*IF('01_Вводные'!$B$239="Да",MeanMinAge09+'19_Расчет_аналитики'!AV4608*SUMIF(ThresholdAge09,"&lt;"&amp;'19_Расчет_аналитики'!AV4608,WeightedRevAge09)-SUMIF(ThresholdAge09,"&lt;"&amp;'19_Расчет_аналитики'!AV4608,WeightedMinAge09),MAX(CapacityAge09*'01_Вводные'!$B$218*'19_Расчет_аналитики'!AV4608,MeanMinAge09))),0)</f>
        <v/>
      </c>
      <c r="AW4548">
        <f>IF('01_Вводные'!$B$234="Да",IF(OR(('19_Расчет_аналитики'!AW4464-'19_Расчет_аналитики'!AW4492)=0,9&lt;='01_Вводные'!$B$297),0,('19_Расчет_аналитики'!AW4464-'19_Расчет_аналитики'!AW4492)*IF('01_Вводные'!$B$239="Да",MeanMinAge09+'19_Расчет_аналитики'!AW4608*SUMIF(ThresholdAge09,"&lt;"&amp;'19_Расчет_аналитики'!AW4608,WeightedRevAge09)-SUMIF(ThresholdAge09,"&lt;"&amp;'19_Расчет_аналитики'!AW4608,WeightedMinAge09),MAX(CapacityAge09*'01_Вводные'!$B$218*'19_Расчет_аналитики'!AW4608,MeanMinAge09))),0)</f>
        <v/>
      </c>
      <c r="AX4548">
        <f>IF('01_Вводные'!$B$234="Да",IF(OR(('19_Расчет_аналитики'!AX4464-'19_Расчет_аналитики'!AX4492)=0,9&lt;='01_Вводные'!$B$297),0,('19_Расчет_аналитики'!AX4464-'19_Расчет_аналитики'!AX4492)*IF('01_Вводные'!$B$239="Да",MeanMinAge09+'19_Расчет_аналитики'!AX4608*SUMIF(ThresholdAge09,"&lt;"&amp;'19_Расчет_аналитики'!AX4608,WeightedRevAge09)-SUMIF(ThresholdAge09,"&lt;"&amp;'19_Расчет_аналитики'!AX4608,WeightedMinAge09),MAX(CapacityAge09*'01_Вводные'!$B$218*'19_Расчет_аналитики'!AX4608,MeanMinAge09))),0)</f>
        <v/>
      </c>
      <c r="AY4548">
        <f>IF('01_Вводные'!$B$234="Да",IF(OR(('19_Расчет_аналитики'!AY4464-'19_Расчет_аналитики'!AY4492)=0,9&lt;='01_Вводные'!$B$297),0,('19_Расчет_аналитики'!AY4464-'19_Расчет_аналитики'!AY4492)*IF('01_Вводные'!$B$239="Да",MeanMinAge09+'19_Расчет_аналитики'!AY4608*SUMIF(ThresholdAge09,"&lt;"&amp;'19_Расчет_аналитики'!AY4608,WeightedRevAge09)-SUMIF(ThresholdAge09,"&lt;"&amp;'19_Расчет_аналитики'!AY4608,WeightedMinAge09),MAX(CapacityAge09*'01_Вводные'!$B$218*'19_Расчет_аналитики'!AY4608,MeanMinAge09))),0)</f>
        <v/>
      </c>
      <c r="AZ4548">
        <f>IF('01_Вводные'!$B$234="Да",IF(OR(('19_Расчет_аналитики'!AZ4464-'19_Расчет_аналитики'!AZ4492)=0,9&lt;='01_Вводные'!$B$297),0,('19_Расчет_аналитики'!AZ4464-'19_Расчет_аналитики'!AZ4492)*IF('01_Вводные'!$B$239="Да",MeanMinAge09+'19_Расчет_аналитики'!AZ4608*SUMIF(ThresholdAge09,"&lt;"&amp;'19_Расчет_аналитики'!AZ4608,WeightedRevAge09)-SUMIF(ThresholdAge09,"&lt;"&amp;'19_Расчет_аналитики'!AZ4608,WeightedMinAge09),MAX(CapacityAge09*'01_Вводные'!$B$218*'19_Расчет_аналитики'!AZ4608,MeanMinAge09))),0)</f>
        <v/>
      </c>
      <c r="BA4548">
        <f>IF('01_Вводные'!$B$234="Да",IF(OR(('19_Расчет_аналитики'!BA4464-'19_Расчет_аналитики'!BA4492)=0,9&lt;='01_Вводные'!$B$297),0,('19_Расчет_аналитики'!BA4464-'19_Расчет_аналитики'!BA4492)*IF('01_Вводные'!$B$239="Да",MeanMinAge09+'19_Расчет_аналитики'!BA4608*SUMIF(ThresholdAge09,"&lt;"&amp;'19_Расчет_аналитики'!BA4608,WeightedRevAge09)-SUMIF(ThresholdAge09,"&lt;"&amp;'19_Расчет_аналитики'!BA4608,WeightedMinAge09),MAX(CapacityAge09*'01_Вводные'!$B$218*'19_Расчет_аналитики'!BA4608,MeanMinAge09))),0)</f>
        <v/>
      </c>
      <c r="BB4548">
        <f>IF('01_Вводные'!$B$234="Да",IF(OR(('19_Расчет_аналитики'!BB4464-'19_Расчет_аналитики'!BB4492)=0,9&lt;='01_Вводные'!$B$297),0,('19_Расчет_аналитики'!BB4464-'19_Расчет_аналитики'!BB4492)*IF('01_Вводные'!$B$239="Да",MeanMinAge09+'19_Расчет_аналитики'!BB4608*SUMIF(ThresholdAge09,"&lt;"&amp;'19_Расчет_аналитики'!BB4608,WeightedRevAge09)-SUMIF(ThresholdAge09,"&lt;"&amp;'19_Расчет_аналитики'!BB4608,WeightedMinAge09),MAX(CapacityAge09*'01_Вводные'!$B$218*'19_Расчет_аналитики'!BB4608,MeanMinAge09))),0)</f>
        <v/>
      </c>
      <c r="BC4548">
        <f>IF('01_Вводные'!$B$234="Да",IF(OR(('19_Расчет_аналитики'!BC4464-'19_Расчет_аналитики'!BC4492)=0,9&lt;='01_Вводные'!$B$297),0,('19_Расчет_аналитики'!BC4464-'19_Расчет_аналитики'!BC4492)*IF('01_Вводные'!$B$239="Да",MeanMinAge09+'19_Расчет_аналитики'!BC4608*SUMIF(ThresholdAge09,"&lt;"&amp;'19_Расчет_аналитики'!BC4608,WeightedRevAge09)-SUMIF(ThresholdAge09,"&lt;"&amp;'19_Расчет_аналитики'!BC4608,WeightedMinAge09),MAX(CapacityAge09*'01_Вводные'!$B$218*'19_Расчет_аналитики'!BC4608,MeanMinAge09))),0)</f>
        <v/>
      </c>
      <c r="BD4548">
        <f>IF('01_Вводные'!$B$234="Да",IF(OR(('19_Расчет_аналитики'!BD4464-'19_Расчет_аналитики'!BD4492)=0,9&lt;='01_Вводные'!$B$297),0,('19_Расчет_аналитики'!BD4464-'19_Расчет_аналитики'!BD4492)*IF('01_Вводные'!$B$239="Да",MeanMinAge09+'19_Расчет_аналитики'!BD4608*SUMIF(ThresholdAge09,"&lt;"&amp;'19_Расчет_аналитики'!BD4608,WeightedRevAge09)-SUMIF(ThresholdAge09,"&lt;"&amp;'19_Расчет_аналитики'!BD4608,WeightedMinAge09),MAX(CapacityAge09*'01_Вводные'!$B$218*'19_Расчет_аналитики'!BD4608,MeanMinAge09))),0)</f>
        <v/>
      </c>
      <c r="BE4548">
        <f>IF('01_Вводные'!$B$234="Да",IF(OR(('19_Расчет_аналитики'!BE4464-'19_Расчет_аналитики'!BE4492)=0,9&lt;='01_Вводные'!$B$297),0,('19_Расчет_аналитики'!BE4464-'19_Расчет_аналитики'!BE4492)*IF('01_Вводные'!$B$239="Да",MeanMinAge09+'19_Расчет_аналитики'!BE4608*SUMIF(ThresholdAge09,"&lt;"&amp;'19_Расчет_аналитики'!BE4608,WeightedRevAge09)-SUMIF(ThresholdAge09,"&lt;"&amp;'19_Расчет_аналитики'!BE4608,WeightedMinAge09),MAX(CapacityAge09*'01_Вводные'!$B$218*'19_Расчет_аналитики'!BE4608,MeanMinAge09))),0)</f>
        <v/>
      </c>
      <c r="BF4548">
        <f>IF('01_Вводные'!$B$234="Да",IF(OR(('19_Расчет_аналитики'!BF4464-'19_Расчет_аналитики'!BF4492)=0,9&lt;='01_Вводные'!$B$297),0,('19_Расчет_аналитики'!BF4464-'19_Расчет_аналитики'!BF4492)*IF('01_Вводные'!$B$239="Да",MeanMinAge09+'19_Расчет_аналитики'!BF4608*SUMIF(ThresholdAge09,"&lt;"&amp;'19_Расчет_аналитики'!BF4608,WeightedRevAge09)-SUMIF(ThresholdAge09,"&lt;"&amp;'19_Расчет_аналитики'!BF4608,WeightedMinAge09),MAX(CapacityAge09*'01_Вводные'!$B$218*'19_Расчет_аналитики'!BF4608,MeanMinAge09))),0)</f>
        <v/>
      </c>
      <c r="BG4548">
        <f>IF('01_Вводные'!$B$234="Да",IF(OR(('19_Расчет_аналитики'!BG4464-'19_Расчет_аналитики'!BG4492)=0,9&lt;='01_Вводные'!$B$297),0,('19_Расчет_аналитики'!BG4464-'19_Расчет_аналитики'!BG4492)*IF('01_Вводные'!$B$239="Да",MeanMinAge09+'19_Расчет_аналитики'!BG4608*SUMIF(ThresholdAge09,"&lt;"&amp;'19_Расчет_аналитики'!BG4608,WeightedRevAge09)-SUMIF(ThresholdAge09,"&lt;"&amp;'19_Расчет_аналитики'!BG4608,WeightedMinAge09),MAX(CapacityAge09*'01_Вводные'!$B$218*'19_Расчет_аналитики'!BG4608,MeanMinAge09))),0)</f>
        <v/>
      </c>
      <c r="BH4548">
        <f>IF('01_Вводные'!$B$234="Да",IF(OR(('19_Расчет_аналитики'!BH4464-'19_Расчет_аналитики'!BH4492)=0,9&lt;='01_Вводные'!$B$297),0,('19_Расчет_аналитики'!BH4464-'19_Расчет_аналитики'!BH4492)*IF('01_Вводные'!$B$239="Да",MeanMinAge09+'19_Расчет_аналитики'!BH4608*SUMIF(ThresholdAge09,"&lt;"&amp;'19_Расчет_аналитики'!BH4608,WeightedRevAge09)-SUMIF(ThresholdAge09,"&lt;"&amp;'19_Расчет_аналитики'!BH4608,WeightedMinAge09),MAX(CapacityAge09*'01_Вводные'!$B$218*'19_Расчет_аналитики'!BH4608,MeanMinAge09))),0)</f>
        <v/>
      </c>
      <c r="BI4548">
        <f>IF('01_Вводные'!$B$234="Да",IF(OR(('19_Расчет_аналитики'!BI4464-'19_Расчет_аналитики'!BI4492)=0,9&lt;='01_Вводные'!$B$297),0,('19_Расчет_аналитики'!BI4464-'19_Расчет_аналитики'!BI4492)*IF('01_Вводные'!$B$239="Да",MeanMinAge09+'19_Расчет_аналитики'!BI4608*SUMIF(ThresholdAge09,"&lt;"&amp;'19_Расчет_аналитики'!BI4608,WeightedRevAge09)-SUMIF(ThresholdAge09,"&lt;"&amp;'19_Расчет_аналитики'!BI4608,WeightedMinAge09),MAX(CapacityAge09*'01_Вводные'!$B$218*'19_Расчет_аналитики'!BI4608,MeanMinAge09))),0)</f>
        <v/>
      </c>
      <c r="BJ4548">
        <f>IF('01_Вводные'!$B$234="Да",IF(OR(('19_Расчет_аналитики'!BJ4464-'19_Расчет_аналитики'!BJ4492)=0,9&lt;='01_Вводные'!$B$297),0,('19_Расчет_аналитики'!BJ4464-'19_Расчет_аналитики'!BJ4492)*IF('01_Вводные'!$B$239="Да",MeanMinAge09+'19_Расчет_аналитики'!BJ4608*SUMIF(ThresholdAge09,"&lt;"&amp;'19_Расчет_аналитики'!BJ4608,WeightedRevAge09)-SUMIF(ThresholdAge09,"&lt;"&amp;'19_Расчет_аналитики'!BJ4608,WeightedMinAge09),MAX(CapacityAge09*'01_Вводные'!$B$218*'19_Расчет_аналитики'!BJ4608,MeanMinAge09))),0)</f>
        <v/>
      </c>
      <c r="BK4548">
        <f>IF('01_Вводные'!$B$234="Да",IF(OR(('19_Расчет_аналитики'!BK4464-'19_Расчет_аналитики'!BK4492)=0,9&lt;='01_Вводные'!$B$297),0,('19_Расчет_аналитики'!BK4464-'19_Расчет_аналитики'!BK4492)*IF('01_Вводные'!$B$239="Да",MeanMinAge09+'19_Расчет_аналитики'!BK4608*SUMIF(ThresholdAge09,"&lt;"&amp;'19_Расчет_аналитики'!BK4608,WeightedRevAge09)-SUMIF(ThresholdAge09,"&lt;"&amp;'19_Расчет_аналитики'!BK4608,WeightedMinAge09),MAX(CapacityAge09*'01_Вводные'!$B$218*'19_Расчет_аналитики'!BK4608,MeanMinAge09))),0)</f>
        <v/>
      </c>
      <c r="BL4548">
        <f>IF('01_Вводные'!$B$234="Да",IF(OR(('19_Расчет_аналитики'!BL4464-'19_Расчет_аналитики'!BL4492)=0,9&lt;='01_Вводные'!$B$297),0,('19_Расчет_аналитики'!BL4464-'19_Расчет_аналитики'!BL4492)*IF('01_Вводные'!$B$239="Да",MeanMinAge09+'19_Расчет_аналитики'!BL4608*SUMIF(ThresholdAge09,"&lt;"&amp;'19_Расчет_аналитики'!BL4608,WeightedRevAge09)-SUMIF(ThresholdAge09,"&lt;"&amp;'19_Расчет_аналитики'!BL4608,WeightedMinAge09),MAX(CapacityAge09*'01_Вводные'!$B$218*'19_Расчет_аналитики'!BL4608,MeanMinAge09))),0)</f>
        <v/>
      </c>
      <c r="BM4548">
        <f>IF('01_Вводные'!$B$234="Да",IF(OR(('19_Расчет_аналитики'!BM4464-'19_Расчет_аналитики'!BM4492)=0,9&lt;='01_Вводные'!$B$297),0,('19_Расчет_аналитики'!BM4464-'19_Расчет_аналитики'!BM4492)*IF('01_Вводные'!$B$239="Да",MeanMinAge09+'19_Расчет_аналитики'!BM4608*SUMIF(ThresholdAge09,"&lt;"&amp;'19_Расчет_аналитики'!BM4608,WeightedRevAge09)-SUMIF(ThresholdAge09,"&lt;"&amp;'19_Расчет_аналитики'!BM4608,WeightedMinAge09),MAX(CapacityAge09*'01_Вводные'!$B$218*'19_Расчет_аналитики'!BM4608,MeanMinAge09))),0)</f>
        <v/>
      </c>
      <c r="BN4548">
        <f>IF('01_Вводные'!$B$234="Да",IF(OR(('19_Расчет_аналитики'!BN4464-'19_Расчет_аналитики'!BN4492)=0,9&lt;='01_Вводные'!$B$297),0,('19_Расчет_аналитики'!BN4464-'19_Расчет_аналитики'!BN4492)*IF('01_Вводные'!$B$239="Да",MeanMinAge09+'19_Расчет_аналитики'!BN4608*SUMIF(ThresholdAge09,"&lt;"&amp;'19_Расчет_аналитики'!BN4608,WeightedRevAge09)-SUMIF(ThresholdAge09,"&lt;"&amp;'19_Расчет_аналитики'!BN4608,WeightedMinAge09),MAX(CapacityAge09*'01_Вводные'!$B$218*'19_Расчет_аналитики'!BN4608,MeanMinAge09))),0)</f>
        <v/>
      </c>
      <c r="BO4548">
        <f>IF('01_Вводные'!$B$234="Да",IF(OR(('19_Расчет_аналитики'!BO4464-'19_Расчет_аналитики'!BO4492)=0,9&lt;='01_Вводные'!$B$297),0,('19_Расчет_аналитики'!BO4464-'19_Расчет_аналитики'!BO4492)*IF('01_Вводные'!$B$239="Да",MeanMinAge09+'19_Расчет_аналитики'!BO4608*SUMIF(ThresholdAge09,"&lt;"&amp;'19_Расчет_аналитики'!BO4608,WeightedRevAge09)-SUMIF(ThresholdAge09,"&lt;"&amp;'19_Расчет_аналитики'!BO4608,WeightedMinAge09),MAX(CapacityAge09*'01_Вводные'!$B$218*'19_Расчет_аналитики'!BO4608,MeanMinAge09))),0)</f>
        <v/>
      </c>
    </row>
    <row r="4549">
      <c r="B4549">
        <f>IF('01_Вводные'!$B$234="Да",IF(OR(('06_Сеть_и_дети'!B62-'06_Сеть_и_дети'!B90)=0,10&lt;='01_Вводные'!$B$297),0,('06_Сеть_и_дети'!B62-'06_Сеть_и_дети'!B90)*IF('01_Вводные'!$B$239="Да",MeanMinAge10+'19_Расчет_аналитики'!B4608*SUMIF(ThresholdAge10,"&lt;"&amp;'19_Расчет_аналитики'!B4608,WeightedRevAge10)-SUMIF(ThresholdAge10,"&lt;"&amp;'19_Расчет_аналитики'!B4608,WeightedMinAge10),MAX(CapacityAge10*'01_Вводные'!$B$218*'19_Расчет_аналитики'!B4608,MeanMinAge10))),0)</f>
        <v/>
      </c>
      <c r="C4549">
        <f>IF('01_Вводные'!$B$234="Да",IF(OR(('06_Сеть_и_дети'!C62-'06_Сеть_и_дети'!C90)=0,10&lt;='01_Вводные'!$B$297),0,('06_Сеть_и_дети'!C62-'06_Сеть_и_дети'!C90)*IF('01_Вводные'!$B$239="Да",MeanMinAge10+'19_Расчет_аналитики'!C4608*SUMIF(ThresholdAge10,"&lt;"&amp;'19_Расчет_аналитики'!C4608,WeightedRevAge10)-SUMIF(ThresholdAge10,"&lt;"&amp;'19_Расчет_аналитики'!C4608,WeightedMinAge10),MAX(CapacityAge10*'01_Вводные'!$B$218*'19_Расчет_аналитики'!C4608,MeanMinAge10))),0)</f>
        <v/>
      </c>
      <c r="D4549">
        <f>IF('01_Вводные'!$B$234="Да",IF(OR(('06_Сеть_и_дети'!D62-'06_Сеть_и_дети'!D90)=0,10&lt;='01_Вводные'!$B$297),0,('06_Сеть_и_дети'!D62-'06_Сеть_и_дети'!D90)*IF('01_Вводные'!$B$239="Да",MeanMinAge10+'19_Расчет_аналитики'!D4608*SUMIF(ThresholdAge10,"&lt;"&amp;'19_Расчет_аналитики'!D4608,WeightedRevAge10)-SUMIF(ThresholdAge10,"&lt;"&amp;'19_Расчет_аналитики'!D4608,WeightedMinAge10),MAX(CapacityAge10*'01_Вводные'!$B$218*'19_Расчет_аналитики'!D4608,MeanMinAge10))),0)</f>
        <v/>
      </c>
      <c r="E4549">
        <f>IF('01_Вводные'!$B$234="Да",IF(OR(('06_Сеть_и_дети'!E62-'06_Сеть_и_дети'!E90)=0,10&lt;='01_Вводные'!$B$297),0,('06_Сеть_и_дети'!E62-'06_Сеть_и_дети'!E90)*IF('01_Вводные'!$B$239="Да",MeanMinAge10+'19_Расчет_аналитики'!E4608*SUMIF(ThresholdAge10,"&lt;"&amp;'19_Расчет_аналитики'!E4608,WeightedRevAge10)-SUMIF(ThresholdAge10,"&lt;"&amp;'19_Расчет_аналитики'!E4608,WeightedMinAge10),MAX(CapacityAge10*'01_Вводные'!$B$218*'19_Расчет_аналитики'!E4608,MeanMinAge10))),0)</f>
        <v/>
      </c>
      <c r="F4549">
        <f>IF('01_Вводные'!$B$234="Да",IF(OR(('06_Сеть_и_дети'!F62-'06_Сеть_и_дети'!F90)=0,10&lt;='01_Вводные'!$B$297),0,('06_Сеть_и_дети'!F62-'06_Сеть_и_дети'!F90)*IF('01_Вводные'!$B$239="Да",MeanMinAge10+'19_Расчет_аналитики'!F4608*SUMIF(ThresholdAge10,"&lt;"&amp;'19_Расчет_аналитики'!F4608,WeightedRevAge10)-SUMIF(ThresholdAge10,"&lt;"&amp;'19_Расчет_аналитики'!F4608,WeightedMinAge10),MAX(CapacityAge10*'01_Вводные'!$B$218*'19_Расчет_аналитики'!F4608,MeanMinAge10))),0)</f>
        <v/>
      </c>
      <c r="G4549">
        <f>IF('01_Вводные'!$B$234="Да",IF(OR(('06_Сеть_и_дети'!G62-'06_Сеть_и_дети'!G90)=0,10&lt;='01_Вводные'!$B$297),0,('06_Сеть_и_дети'!G62-'06_Сеть_и_дети'!G90)*IF('01_Вводные'!$B$239="Да",MeanMinAge10+'19_Расчет_аналитики'!G4608*SUMIF(ThresholdAge10,"&lt;"&amp;'19_Расчет_аналитики'!G4608,WeightedRevAge10)-SUMIF(ThresholdAge10,"&lt;"&amp;'19_Расчет_аналитики'!G4608,WeightedMinAge10),MAX(CapacityAge10*'01_Вводные'!$B$218*'19_Расчет_аналитики'!G4608,MeanMinAge10))),0)</f>
        <v/>
      </c>
      <c r="H4549">
        <f>IF('01_Вводные'!$B$234="Да",IF(OR(('06_Сеть_и_дети'!H62-'06_Сеть_и_дети'!H90)=0,10&lt;='01_Вводные'!$B$297),0,('06_Сеть_и_дети'!H62-'06_Сеть_и_дети'!H90)*IF('01_Вводные'!$B$239="Да",MeanMinAge10+'19_Расчет_аналитики'!H4608*SUMIF(ThresholdAge10,"&lt;"&amp;'19_Расчет_аналитики'!H4608,WeightedRevAge10)-SUMIF(ThresholdAge10,"&lt;"&amp;'19_Расчет_аналитики'!H4608,WeightedMinAge10),MAX(CapacityAge10*'01_Вводные'!$B$218*'19_Расчет_аналитики'!H4608,MeanMinAge10))),0)</f>
        <v/>
      </c>
      <c r="I4549">
        <f>IF('01_Вводные'!$B$234="Да",IF(OR(('06_Сеть_и_дети'!I62-'06_Сеть_и_дети'!I90)=0,10&lt;='01_Вводные'!$B$297),0,('06_Сеть_и_дети'!I62-'06_Сеть_и_дети'!I90)*IF('01_Вводные'!$B$239="Да",MeanMinAge10+'19_Расчет_аналитики'!I4608*SUMIF(ThresholdAge10,"&lt;"&amp;'19_Расчет_аналитики'!I4608,WeightedRevAge10)-SUMIF(ThresholdAge10,"&lt;"&amp;'19_Расчет_аналитики'!I4608,WeightedMinAge10),MAX(CapacityAge10*'01_Вводные'!$B$218*'19_Расчет_аналитики'!I4608,MeanMinAge10))),0)</f>
        <v/>
      </c>
      <c r="J4549">
        <f>IF('01_Вводные'!$B$234="Да",IF(OR(('06_Сеть_и_дети'!J62-'06_Сеть_и_дети'!J90)=0,10&lt;='01_Вводные'!$B$297),0,('06_Сеть_и_дети'!J62-'06_Сеть_и_дети'!J90)*IF('01_Вводные'!$B$239="Да",MeanMinAge10+'19_Расчет_аналитики'!J4608*SUMIF(ThresholdAge10,"&lt;"&amp;'19_Расчет_аналитики'!J4608,WeightedRevAge10)-SUMIF(ThresholdAge10,"&lt;"&amp;'19_Расчет_аналитики'!J4608,WeightedMinAge10),MAX(CapacityAge10*'01_Вводные'!$B$218*'19_Расчет_аналитики'!J4608,MeanMinAge10))),0)</f>
        <v/>
      </c>
      <c r="K4549">
        <f>IF('01_Вводные'!$B$234="Да",IF(OR(('19_Расчет_аналитики'!K4465-'19_Расчет_аналитики'!K4493)=0,10&lt;='01_Вводные'!$B$297),0,('19_Расчет_аналитики'!K4465-'19_Расчет_аналитики'!K4493)*IF('01_Вводные'!$B$239="Да",MeanMinAge10+'19_Расчет_аналитики'!K4608*SUMIF(ThresholdAge10,"&lt;"&amp;'19_Расчет_аналитики'!K4608,WeightedRevAge10)-SUMIF(ThresholdAge10,"&lt;"&amp;'19_Расчет_аналитики'!K4608,WeightedMinAge10),MAX(CapacityAge10*'01_Вводные'!$B$218*'19_Расчет_аналитики'!K4608,MeanMinAge10))),0)</f>
        <v/>
      </c>
      <c r="L4549">
        <f>IF('01_Вводные'!$B$234="Да",IF(OR(('19_Расчет_аналитики'!L4465-'19_Расчет_аналитики'!L4493)=0,10&lt;='01_Вводные'!$B$297),0,('19_Расчет_аналитики'!L4465-'19_Расчет_аналитики'!L4493)*IF('01_Вводные'!$B$239="Да",MeanMinAge10+'19_Расчет_аналитики'!L4608*SUMIF(ThresholdAge10,"&lt;"&amp;'19_Расчет_аналитики'!L4608,WeightedRevAge10)-SUMIF(ThresholdAge10,"&lt;"&amp;'19_Расчет_аналитики'!L4608,WeightedMinAge10),MAX(CapacityAge10*'01_Вводные'!$B$218*'19_Расчет_аналитики'!L4608,MeanMinAge10))),0)</f>
        <v/>
      </c>
      <c r="M4549">
        <f>IF('01_Вводные'!$B$234="Да",IF(OR(('19_Расчет_аналитики'!M4465-'19_Расчет_аналитики'!M4493)=0,10&lt;='01_Вводные'!$B$297),0,('19_Расчет_аналитики'!M4465-'19_Расчет_аналитики'!M4493)*IF('01_Вводные'!$B$239="Да",MeanMinAge10+'19_Расчет_аналитики'!M4608*SUMIF(ThresholdAge10,"&lt;"&amp;'19_Расчет_аналитики'!M4608,WeightedRevAge10)-SUMIF(ThresholdAge10,"&lt;"&amp;'19_Расчет_аналитики'!M4608,WeightedMinAge10),MAX(CapacityAge10*'01_Вводные'!$B$218*'19_Расчет_аналитики'!M4608,MeanMinAge10))),0)</f>
        <v/>
      </c>
      <c r="N4549">
        <f>IF('01_Вводные'!$B$234="Да",IF(OR(('19_Расчет_аналитики'!N4465-'19_Расчет_аналитики'!N4493)=0,10&lt;='01_Вводные'!$B$297),0,('19_Расчет_аналитики'!N4465-'19_Расчет_аналитики'!N4493)*IF('01_Вводные'!$B$239="Да",MeanMinAge10+'19_Расчет_аналитики'!N4608*SUMIF(ThresholdAge10,"&lt;"&amp;'19_Расчет_аналитики'!N4608,WeightedRevAge10)-SUMIF(ThresholdAge10,"&lt;"&amp;'19_Расчет_аналитики'!N4608,WeightedMinAge10),MAX(CapacityAge10*'01_Вводные'!$B$218*'19_Расчет_аналитики'!N4608,MeanMinAge10))),0)</f>
        <v/>
      </c>
      <c r="O4549">
        <f>IF('01_Вводные'!$B$234="Да",IF(OR(('19_Расчет_аналитики'!O4465-'19_Расчет_аналитики'!O4493)=0,10&lt;='01_Вводные'!$B$297),0,('19_Расчет_аналитики'!O4465-'19_Расчет_аналитики'!O4493)*IF('01_Вводные'!$B$239="Да",MeanMinAge10+'19_Расчет_аналитики'!O4608*SUMIF(ThresholdAge10,"&lt;"&amp;'19_Расчет_аналитики'!O4608,WeightedRevAge10)-SUMIF(ThresholdAge10,"&lt;"&amp;'19_Расчет_аналитики'!O4608,WeightedMinAge10),MAX(CapacityAge10*'01_Вводные'!$B$218*'19_Расчет_аналитики'!O4608,MeanMinAge10))),0)</f>
        <v/>
      </c>
      <c r="P4549">
        <f>IF('01_Вводные'!$B$234="Да",IF(OR(('19_Расчет_аналитики'!P4465-'19_Расчет_аналитики'!P4493)=0,10&lt;='01_Вводные'!$B$297),0,('19_Расчет_аналитики'!P4465-'19_Расчет_аналитики'!P4493)*IF('01_Вводные'!$B$239="Да",MeanMinAge10+'19_Расчет_аналитики'!P4608*SUMIF(ThresholdAge10,"&lt;"&amp;'19_Расчет_аналитики'!P4608,WeightedRevAge10)-SUMIF(ThresholdAge10,"&lt;"&amp;'19_Расчет_аналитики'!P4608,WeightedMinAge10),MAX(CapacityAge10*'01_Вводные'!$B$218*'19_Расчет_аналитики'!P4608,MeanMinAge10))),0)</f>
        <v/>
      </c>
      <c r="Q4549">
        <f>IF('01_Вводные'!$B$234="Да",IF(OR(('19_Расчет_аналитики'!Q4465-'19_Расчет_аналитики'!Q4493)=0,10&lt;='01_Вводные'!$B$297),0,('19_Расчет_аналитики'!Q4465-'19_Расчет_аналитики'!Q4493)*IF('01_Вводные'!$B$239="Да",MeanMinAge10+'19_Расчет_аналитики'!Q4608*SUMIF(ThresholdAge10,"&lt;"&amp;'19_Расчет_аналитики'!Q4608,WeightedRevAge10)-SUMIF(ThresholdAge10,"&lt;"&amp;'19_Расчет_аналитики'!Q4608,WeightedMinAge10),MAX(CapacityAge10*'01_Вводные'!$B$218*'19_Расчет_аналитики'!Q4608,MeanMinAge10))),0)</f>
        <v/>
      </c>
      <c r="R4549">
        <f>IF('01_Вводные'!$B$234="Да",IF(OR(('19_Расчет_аналитики'!R4465-'19_Расчет_аналитики'!R4493)=0,10&lt;='01_Вводные'!$B$297),0,('19_Расчет_аналитики'!R4465-'19_Расчет_аналитики'!R4493)*IF('01_Вводные'!$B$239="Да",MeanMinAge10+'19_Расчет_аналитики'!R4608*SUMIF(ThresholdAge10,"&lt;"&amp;'19_Расчет_аналитики'!R4608,WeightedRevAge10)-SUMIF(ThresholdAge10,"&lt;"&amp;'19_Расчет_аналитики'!R4608,WeightedMinAge10),MAX(CapacityAge10*'01_Вводные'!$B$218*'19_Расчет_аналитики'!R4608,MeanMinAge10))),0)</f>
        <v/>
      </c>
      <c r="S4549">
        <f>IF('01_Вводные'!$B$234="Да",IF(OR(('19_Расчет_аналитики'!S4465-'19_Расчет_аналитики'!S4493)=0,10&lt;='01_Вводные'!$B$297),0,('19_Расчет_аналитики'!S4465-'19_Расчет_аналитики'!S4493)*IF('01_Вводные'!$B$239="Да",MeanMinAge10+'19_Расчет_аналитики'!S4608*SUMIF(ThresholdAge10,"&lt;"&amp;'19_Расчет_аналитики'!S4608,WeightedRevAge10)-SUMIF(ThresholdAge10,"&lt;"&amp;'19_Расчет_аналитики'!S4608,WeightedMinAge10),MAX(CapacityAge10*'01_Вводные'!$B$218*'19_Расчет_аналитики'!S4608,MeanMinAge10))),0)</f>
        <v/>
      </c>
      <c r="T4549">
        <f>IF('01_Вводные'!$B$234="Да",IF(OR(('19_Расчет_аналитики'!T4465-'19_Расчет_аналитики'!T4493)=0,10&lt;='01_Вводные'!$B$297),0,('19_Расчет_аналитики'!T4465-'19_Расчет_аналитики'!T4493)*IF('01_Вводные'!$B$239="Да",MeanMinAge10+'19_Расчет_аналитики'!T4608*SUMIF(ThresholdAge10,"&lt;"&amp;'19_Расчет_аналитики'!T4608,WeightedRevAge10)-SUMIF(ThresholdAge10,"&lt;"&amp;'19_Расчет_аналитики'!T4608,WeightedMinAge10),MAX(CapacityAge10*'01_Вводные'!$B$218*'19_Расчет_аналитики'!T4608,MeanMinAge10))),0)</f>
        <v/>
      </c>
      <c r="U4549">
        <f>IF('01_Вводные'!$B$234="Да",IF(OR(('19_Расчет_аналитики'!U4465-'19_Расчет_аналитики'!U4493)=0,10&lt;='01_Вводные'!$B$297),0,('19_Расчет_аналитики'!U4465-'19_Расчет_аналитики'!U4493)*IF('01_Вводные'!$B$239="Да",MeanMinAge10+'19_Расчет_аналитики'!U4608*SUMIF(ThresholdAge10,"&lt;"&amp;'19_Расчет_аналитики'!U4608,WeightedRevAge10)-SUMIF(ThresholdAge10,"&lt;"&amp;'19_Расчет_аналитики'!U4608,WeightedMinAge10),MAX(CapacityAge10*'01_Вводные'!$B$218*'19_Расчет_аналитики'!U4608,MeanMinAge10))),0)</f>
        <v/>
      </c>
      <c r="V4549">
        <f>IF('01_Вводные'!$B$234="Да",IF(OR(('19_Расчет_аналитики'!V4465-'19_Расчет_аналитики'!V4493)=0,10&lt;='01_Вводные'!$B$297),0,('19_Расчет_аналитики'!V4465-'19_Расчет_аналитики'!V4493)*IF('01_Вводные'!$B$239="Да",MeanMinAge10+'19_Расчет_аналитики'!V4608*SUMIF(ThresholdAge10,"&lt;"&amp;'19_Расчет_аналитики'!V4608,WeightedRevAge10)-SUMIF(ThresholdAge10,"&lt;"&amp;'19_Расчет_аналитики'!V4608,WeightedMinAge10),MAX(CapacityAge10*'01_Вводные'!$B$218*'19_Расчет_аналитики'!V4608,MeanMinAge10))),0)</f>
        <v/>
      </c>
      <c r="W4549">
        <f>IF('01_Вводные'!$B$234="Да",IF(OR(('19_Расчет_аналитики'!W4465-'19_Расчет_аналитики'!W4493)=0,10&lt;='01_Вводные'!$B$297),0,('19_Расчет_аналитики'!W4465-'19_Расчет_аналитики'!W4493)*IF('01_Вводные'!$B$239="Да",MeanMinAge10+'19_Расчет_аналитики'!W4608*SUMIF(ThresholdAge10,"&lt;"&amp;'19_Расчет_аналитики'!W4608,WeightedRevAge10)-SUMIF(ThresholdAge10,"&lt;"&amp;'19_Расчет_аналитики'!W4608,WeightedMinAge10),MAX(CapacityAge10*'01_Вводные'!$B$218*'19_Расчет_аналитики'!W4608,MeanMinAge10))),0)</f>
        <v/>
      </c>
      <c r="X4549">
        <f>IF('01_Вводные'!$B$234="Да",IF(OR(('19_Расчет_аналитики'!X4465-'19_Расчет_аналитики'!X4493)=0,10&lt;='01_Вводные'!$B$297),0,('19_Расчет_аналитики'!X4465-'19_Расчет_аналитики'!X4493)*IF('01_Вводные'!$B$239="Да",MeanMinAge10+'19_Расчет_аналитики'!X4608*SUMIF(ThresholdAge10,"&lt;"&amp;'19_Расчет_аналитики'!X4608,WeightedRevAge10)-SUMIF(ThresholdAge10,"&lt;"&amp;'19_Расчет_аналитики'!X4608,WeightedMinAge10),MAX(CapacityAge10*'01_Вводные'!$B$218*'19_Расчет_аналитики'!X4608,MeanMinAge10))),0)</f>
        <v/>
      </c>
      <c r="Y4549">
        <f>IF('01_Вводные'!$B$234="Да",IF(OR(('19_Расчет_аналитики'!Y4465-'19_Расчет_аналитики'!Y4493)=0,10&lt;='01_Вводные'!$B$297),0,('19_Расчет_аналитики'!Y4465-'19_Расчет_аналитики'!Y4493)*IF('01_Вводные'!$B$239="Да",MeanMinAge10+'19_Расчет_аналитики'!Y4608*SUMIF(ThresholdAge10,"&lt;"&amp;'19_Расчет_аналитики'!Y4608,WeightedRevAge10)-SUMIF(ThresholdAge10,"&lt;"&amp;'19_Расчет_аналитики'!Y4608,WeightedMinAge10),MAX(CapacityAge10*'01_Вводные'!$B$218*'19_Расчет_аналитики'!Y4608,MeanMinAge10))),0)</f>
        <v/>
      </c>
      <c r="Z4549">
        <f>IF('01_Вводные'!$B$234="Да",IF(OR(('19_Расчет_аналитики'!Z4465-'19_Расчет_аналитики'!Z4493)=0,10&lt;='01_Вводные'!$B$297),0,('19_Расчет_аналитики'!Z4465-'19_Расчет_аналитики'!Z4493)*IF('01_Вводные'!$B$239="Да",MeanMinAge10+'19_Расчет_аналитики'!Z4608*SUMIF(ThresholdAge10,"&lt;"&amp;'19_Расчет_аналитики'!Z4608,WeightedRevAge10)-SUMIF(ThresholdAge10,"&lt;"&amp;'19_Расчет_аналитики'!Z4608,WeightedMinAge10),MAX(CapacityAge10*'01_Вводные'!$B$218*'19_Расчет_аналитики'!Z4608,MeanMinAge10))),0)</f>
        <v/>
      </c>
      <c r="AA4549">
        <f>IF('01_Вводные'!$B$234="Да",IF(OR(('19_Расчет_аналитики'!AA4465-'19_Расчет_аналитики'!AA4493)=0,10&lt;='01_Вводные'!$B$297),0,('19_Расчет_аналитики'!AA4465-'19_Расчет_аналитики'!AA4493)*IF('01_Вводные'!$B$239="Да",MeanMinAge10+'19_Расчет_аналитики'!AA4608*SUMIF(ThresholdAge10,"&lt;"&amp;'19_Расчет_аналитики'!AA4608,WeightedRevAge10)-SUMIF(ThresholdAge10,"&lt;"&amp;'19_Расчет_аналитики'!AA4608,WeightedMinAge10),MAX(CapacityAge10*'01_Вводные'!$B$218*'19_Расчет_аналитики'!AA4608,MeanMinAge10))),0)</f>
        <v/>
      </c>
      <c r="AB4549">
        <f>IF('01_Вводные'!$B$234="Да",IF(OR(('19_Расчет_аналитики'!AB4465-'19_Расчет_аналитики'!AB4493)=0,10&lt;='01_Вводные'!$B$297),0,('19_Расчет_аналитики'!AB4465-'19_Расчет_аналитики'!AB4493)*IF('01_Вводные'!$B$239="Да",MeanMinAge10+'19_Расчет_аналитики'!AB4608*SUMIF(ThresholdAge10,"&lt;"&amp;'19_Расчет_аналитики'!AB4608,WeightedRevAge10)-SUMIF(ThresholdAge10,"&lt;"&amp;'19_Расчет_аналитики'!AB4608,WeightedMinAge10),MAX(CapacityAge10*'01_Вводные'!$B$218*'19_Расчет_аналитики'!AB4608,MeanMinAge10))),0)</f>
        <v/>
      </c>
      <c r="AC4549">
        <f>IF('01_Вводные'!$B$234="Да",IF(OR(('19_Расчет_аналитики'!AC4465-'19_Расчет_аналитики'!AC4493)=0,10&lt;='01_Вводные'!$B$297),0,('19_Расчет_аналитики'!AC4465-'19_Расчет_аналитики'!AC4493)*IF('01_Вводные'!$B$239="Да",MeanMinAge10+'19_Расчет_аналитики'!AC4608*SUMIF(ThresholdAge10,"&lt;"&amp;'19_Расчет_аналитики'!AC4608,WeightedRevAge10)-SUMIF(ThresholdAge10,"&lt;"&amp;'19_Расчет_аналитики'!AC4608,WeightedMinAge10),MAX(CapacityAge10*'01_Вводные'!$B$218*'19_Расчет_аналитики'!AC4608,MeanMinAge10))),0)</f>
        <v/>
      </c>
      <c r="AD4549">
        <f>IF('01_Вводные'!$B$234="Да",IF(OR(('19_Расчет_аналитики'!AD4465-'19_Расчет_аналитики'!AD4493)=0,10&lt;='01_Вводные'!$B$297),0,('19_Расчет_аналитики'!AD4465-'19_Расчет_аналитики'!AD4493)*IF('01_Вводные'!$B$239="Да",MeanMinAge10+'19_Расчет_аналитики'!AD4608*SUMIF(ThresholdAge10,"&lt;"&amp;'19_Расчет_аналитики'!AD4608,WeightedRevAge10)-SUMIF(ThresholdAge10,"&lt;"&amp;'19_Расчет_аналитики'!AD4608,WeightedMinAge10),MAX(CapacityAge10*'01_Вводные'!$B$218*'19_Расчет_аналитики'!AD4608,MeanMinAge10))),0)</f>
        <v/>
      </c>
      <c r="AE4549">
        <f>IF('01_Вводные'!$B$234="Да",IF(OR(('19_Расчет_аналитики'!AE4465-'19_Расчет_аналитики'!AE4493)=0,10&lt;='01_Вводные'!$B$297),0,('19_Расчет_аналитики'!AE4465-'19_Расчет_аналитики'!AE4493)*IF('01_Вводные'!$B$239="Да",MeanMinAge10+'19_Расчет_аналитики'!AE4608*SUMIF(ThresholdAge10,"&lt;"&amp;'19_Расчет_аналитики'!AE4608,WeightedRevAge10)-SUMIF(ThresholdAge10,"&lt;"&amp;'19_Расчет_аналитики'!AE4608,WeightedMinAge10),MAX(CapacityAge10*'01_Вводные'!$B$218*'19_Расчет_аналитики'!AE4608,MeanMinAge10))),0)</f>
        <v/>
      </c>
      <c r="AF4549">
        <f>IF('01_Вводные'!$B$234="Да",IF(OR(('19_Расчет_аналитики'!AF4465-'19_Расчет_аналитики'!AF4493)=0,10&lt;='01_Вводные'!$B$297),0,('19_Расчет_аналитики'!AF4465-'19_Расчет_аналитики'!AF4493)*IF('01_Вводные'!$B$239="Да",MeanMinAge10+'19_Расчет_аналитики'!AF4608*SUMIF(ThresholdAge10,"&lt;"&amp;'19_Расчет_аналитики'!AF4608,WeightedRevAge10)-SUMIF(ThresholdAge10,"&lt;"&amp;'19_Расчет_аналитики'!AF4608,WeightedMinAge10),MAX(CapacityAge10*'01_Вводные'!$B$218*'19_Расчет_аналитики'!AF4608,MeanMinAge10))),0)</f>
        <v/>
      </c>
      <c r="AG4549">
        <f>IF('01_Вводные'!$B$234="Да",IF(OR(('19_Расчет_аналитики'!AG4465-'19_Расчет_аналитики'!AG4493)=0,10&lt;='01_Вводные'!$B$297),0,('19_Расчет_аналитики'!AG4465-'19_Расчет_аналитики'!AG4493)*IF('01_Вводные'!$B$239="Да",MeanMinAge10+'19_Расчет_аналитики'!AG4608*SUMIF(ThresholdAge10,"&lt;"&amp;'19_Расчет_аналитики'!AG4608,WeightedRevAge10)-SUMIF(ThresholdAge10,"&lt;"&amp;'19_Расчет_аналитики'!AG4608,WeightedMinAge10),MAX(CapacityAge10*'01_Вводные'!$B$218*'19_Расчет_аналитики'!AG4608,MeanMinAge10))),0)</f>
        <v/>
      </c>
      <c r="AH4549">
        <f>IF('01_Вводные'!$B$234="Да",IF(OR(('19_Расчет_аналитики'!AH4465-'19_Расчет_аналитики'!AH4493)=0,10&lt;='01_Вводные'!$B$297),0,('19_Расчет_аналитики'!AH4465-'19_Расчет_аналитики'!AH4493)*IF('01_Вводные'!$B$239="Да",MeanMinAge10+'19_Расчет_аналитики'!AH4608*SUMIF(ThresholdAge10,"&lt;"&amp;'19_Расчет_аналитики'!AH4608,WeightedRevAge10)-SUMIF(ThresholdAge10,"&lt;"&amp;'19_Расчет_аналитики'!AH4608,WeightedMinAge10),MAX(CapacityAge10*'01_Вводные'!$B$218*'19_Расчет_аналитики'!AH4608,MeanMinAge10))),0)</f>
        <v/>
      </c>
      <c r="AI4549">
        <f>IF('01_Вводные'!$B$234="Да",IF(OR(('19_Расчет_аналитики'!AI4465-'19_Расчет_аналитики'!AI4493)=0,10&lt;='01_Вводные'!$B$297),0,('19_Расчет_аналитики'!AI4465-'19_Расчет_аналитики'!AI4493)*IF('01_Вводные'!$B$239="Да",MeanMinAge10+'19_Расчет_аналитики'!AI4608*SUMIF(ThresholdAge10,"&lt;"&amp;'19_Расчет_аналитики'!AI4608,WeightedRevAge10)-SUMIF(ThresholdAge10,"&lt;"&amp;'19_Расчет_аналитики'!AI4608,WeightedMinAge10),MAX(CapacityAge10*'01_Вводные'!$B$218*'19_Расчет_аналитики'!AI4608,MeanMinAge10))),0)</f>
        <v/>
      </c>
      <c r="AJ4549">
        <f>IF('01_Вводные'!$B$234="Да",IF(OR(('19_Расчет_аналитики'!AJ4465-'19_Расчет_аналитики'!AJ4493)=0,10&lt;='01_Вводные'!$B$297),0,('19_Расчет_аналитики'!AJ4465-'19_Расчет_аналитики'!AJ4493)*IF('01_Вводные'!$B$239="Да",MeanMinAge10+'19_Расчет_аналитики'!AJ4608*SUMIF(ThresholdAge10,"&lt;"&amp;'19_Расчет_аналитики'!AJ4608,WeightedRevAge10)-SUMIF(ThresholdAge10,"&lt;"&amp;'19_Расчет_аналитики'!AJ4608,WeightedMinAge10),MAX(CapacityAge10*'01_Вводные'!$B$218*'19_Расчет_аналитики'!AJ4608,MeanMinAge10))),0)</f>
        <v/>
      </c>
      <c r="AK4549">
        <f>IF('01_Вводные'!$B$234="Да",IF(OR(('19_Расчет_аналитики'!AK4465-'19_Расчет_аналитики'!AK4493)=0,10&lt;='01_Вводные'!$B$297),0,('19_Расчет_аналитики'!AK4465-'19_Расчет_аналитики'!AK4493)*IF('01_Вводные'!$B$239="Да",MeanMinAge10+'19_Расчет_аналитики'!AK4608*SUMIF(ThresholdAge10,"&lt;"&amp;'19_Расчет_аналитики'!AK4608,WeightedRevAge10)-SUMIF(ThresholdAge10,"&lt;"&amp;'19_Расчет_аналитики'!AK4608,WeightedMinAge10),MAX(CapacityAge10*'01_Вводные'!$B$218*'19_Расчет_аналитики'!AK4608,MeanMinAge10))),0)</f>
        <v/>
      </c>
      <c r="AL4549">
        <f>IF('01_Вводные'!$B$234="Да",IF(OR(('19_Расчет_аналитики'!AL4465-'19_Расчет_аналитики'!AL4493)=0,10&lt;='01_Вводные'!$B$297),0,('19_Расчет_аналитики'!AL4465-'19_Расчет_аналитики'!AL4493)*IF('01_Вводные'!$B$239="Да",MeanMinAge10+'19_Расчет_аналитики'!AL4608*SUMIF(ThresholdAge10,"&lt;"&amp;'19_Расчет_аналитики'!AL4608,WeightedRevAge10)-SUMIF(ThresholdAge10,"&lt;"&amp;'19_Расчет_аналитики'!AL4608,WeightedMinAge10),MAX(CapacityAge10*'01_Вводные'!$B$218*'19_Расчет_аналитики'!AL4608,MeanMinAge10))),0)</f>
        <v/>
      </c>
      <c r="AM4549">
        <f>IF('01_Вводные'!$B$234="Да",IF(OR(('19_Расчет_аналитики'!AM4465-'19_Расчет_аналитики'!AM4493)=0,10&lt;='01_Вводные'!$B$297),0,('19_Расчет_аналитики'!AM4465-'19_Расчет_аналитики'!AM4493)*IF('01_Вводные'!$B$239="Да",MeanMinAge10+'19_Расчет_аналитики'!AM4608*SUMIF(ThresholdAge10,"&lt;"&amp;'19_Расчет_аналитики'!AM4608,WeightedRevAge10)-SUMIF(ThresholdAge10,"&lt;"&amp;'19_Расчет_аналитики'!AM4608,WeightedMinAge10),MAX(CapacityAge10*'01_Вводные'!$B$218*'19_Расчет_аналитики'!AM4608,MeanMinAge10))),0)</f>
        <v/>
      </c>
      <c r="AN4549">
        <f>IF('01_Вводные'!$B$234="Да",IF(OR(('19_Расчет_аналитики'!AN4465-'19_Расчет_аналитики'!AN4493)=0,10&lt;='01_Вводные'!$B$297),0,('19_Расчет_аналитики'!AN4465-'19_Расчет_аналитики'!AN4493)*IF('01_Вводные'!$B$239="Да",MeanMinAge10+'19_Расчет_аналитики'!AN4608*SUMIF(ThresholdAge10,"&lt;"&amp;'19_Расчет_аналитики'!AN4608,WeightedRevAge10)-SUMIF(ThresholdAge10,"&lt;"&amp;'19_Расчет_аналитики'!AN4608,WeightedMinAge10),MAX(CapacityAge10*'01_Вводные'!$B$218*'19_Расчет_аналитики'!AN4608,MeanMinAge10))),0)</f>
        <v/>
      </c>
      <c r="AO4549">
        <f>IF('01_Вводные'!$B$234="Да",IF(OR(('19_Расчет_аналитики'!AO4465-'19_Расчет_аналитики'!AO4493)=0,10&lt;='01_Вводные'!$B$297),0,('19_Расчет_аналитики'!AO4465-'19_Расчет_аналитики'!AO4493)*IF('01_Вводные'!$B$239="Да",MeanMinAge10+'19_Расчет_аналитики'!AO4608*SUMIF(ThresholdAge10,"&lt;"&amp;'19_Расчет_аналитики'!AO4608,WeightedRevAge10)-SUMIF(ThresholdAge10,"&lt;"&amp;'19_Расчет_аналитики'!AO4608,WeightedMinAge10),MAX(CapacityAge10*'01_Вводные'!$B$218*'19_Расчет_аналитики'!AO4608,MeanMinAge10))),0)</f>
        <v/>
      </c>
      <c r="AP4549">
        <f>IF('01_Вводные'!$B$234="Да",IF(OR(('19_Расчет_аналитики'!AP4465-'19_Расчет_аналитики'!AP4493)=0,10&lt;='01_Вводные'!$B$297),0,('19_Расчет_аналитики'!AP4465-'19_Расчет_аналитики'!AP4493)*IF('01_Вводные'!$B$239="Да",MeanMinAge10+'19_Расчет_аналитики'!AP4608*SUMIF(ThresholdAge10,"&lt;"&amp;'19_Расчет_аналитики'!AP4608,WeightedRevAge10)-SUMIF(ThresholdAge10,"&lt;"&amp;'19_Расчет_аналитики'!AP4608,WeightedMinAge10),MAX(CapacityAge10*'01_Вводные'!$B$218*'19_Расчет_аналитики'!AP4608,MeanMinAge10))),0)</f>
        <v/>
      </c>
      <c r="AQ4549">
        <f>IF('01_Вводные'!$B$234="Да",IF(OR(('19_Расчет_аналитики'!AQ4465-'19_Расчет_аналитики'!AQ4493)=0,10&lt;='01_Вводные'!$B$297),0,('19_Расчет_аналитики'!AQ4465-'19_Расчет_аналитики'!AQ4493)*IF('01_Вводные'!$B$239="Да",MeanMinAge10+'19_Расчет_аналитики'!AQ4608*SUMIF(ThresholdAge10,"&lt;"&amp;'19_Расчет_аналитики'!AQ4608,WeightedRevAge10)-SUMIF(ThresholdAge10,"&lt;"&amp;'19_Расчет_аналитики'!AQ4608,WeightedMinAge10),MAX(CapacityAge10*'01_Вводные'!$B$218*'19_Расчет_аналитики'!AQ4608,MeanMinAge10))),0)</f>
        <v/>
      </c>
      <c r="AR4549">
        <f>IF('01_Вводные'!$B$234="Да",IF(OR(('19_Расчет_аналитики'!AR4465-'19_Расчет_аналитики'!AR4493)=0,10&lt;='01_Вводные'!$B$297),0,('19_Расчет_аналитики'!AR4465-'19_Расчет_аналитики'!AR4493)*IF('01_Вводные'!$B$239="Да",MeanMinAge10+'19_Расчет_аналитики'!AR4608*SUMIF(ThresholdAge10,"&lt;"&amp;'19_Расчет_аналитики'!AR4608,WeightedRevAge10)-SUMIF(ThresholdAge10,"&lt;"&amp;'19_Расчет_аналитики'!AR4608,WeightedMinAge10),MAX(CapacityAge10*'01_Вводные'!$B$218*'19_Расчет_аналитики'!AR4608,MeanMinAge10))),0)</f>
        <v/>
      </c>
      <c r="AS4549">
        <f>IF('01_Вводные'!$B$234="Да",IF(OR(('19_Расчет_аналитики'!AS4465-'19_Расчет_аналитики'!AS4493)=0,10&lt;='01_Вводные'!$B$297),0,('19_Расчет_аналитики'!AS4465-'19_Расчет_аналитики'!AS4493)*IF('01_Вводные'!$B$239="Да",MeanMinAge10+'19_Расчет_аналитики'!AS4608*SUMIF(ThresholdAge10,"&lt;"&amp;'19_Расчет_аналитики'!AS4608,WeightedRevAge10)-SUMIF(ThresholdAge10,"&lt;"&amp;'19_Расчет_аналитики'!AS4608,WeightedMinAge10),MAX(CapacityAge10*'01_Вводные'!$B$218*'19_Расчет_аналитики'!AS4608,MeanMinAge10))),0)</f>
        <v/>
      </c>
      <c r="AT4549">
        <f>IF('01_Вводные'!$B$234="Да",IF(OR(('19_Расчет_аналитики'!AT4465-'19_Расчет_аналитики'!AT4493)=0,10&lt;='01_Вводные'!$B$297),0,('19_Расчет_аналитики'!AT4465-'19_Расчет_аналитики'!AT4493)*IF('01_Вводные'!$B$239="Да",MeanMinAge10+'19_Расчет_аналитики'!AT4608*SUMIF(ThresholdAge10,"&lt;"&amp;'19_Расчет_аналитики'!AT4608,WeightedRevAge10)-SUMIF(ThresholdAge10,"&lt;"&amp;'19_Расчет_аналитики'!AT4608,WeightedMinAge10),MAX(CapacityAge10*'01_Вводные'!$B$218*'19_Расчет_аналитики'!AT4608,MeanMinAge10))),0)</f>
        <v/>
      </c>
      <c r="AU4549">
        <f>IF('01_Вводные'!$B$234="Да",IF(OR(('19_Расчет_аналитики'!AU4465-'19_Расчет_аналитики'!AU4493)=0,10&lt;='01_Вводные'!$B$297),0,('19_Расчет_аналитики'!AU4465-'19_Расчет_аналитики'!AU4493)*IF('01_Вводные'!$B$239="Да",MeanMinAge10+'19_Расчет_аналитики'!AU4608*SUMIF(ThresholdAge10,"&lt;"&amp;'19_Расчет_аналитики'!AU4608,WeightedRevAge10)-SUMIF(ThresholdAge10,"&lt;"&amp;'19_Расчет_аналитики'!AU4608,WeightedMinAge10),MAX(CapacityAge10*'01_Вводные'!$B$218*'19_Расчет_аналитики'!AU4608,MeanMinAge10))),0)</f>
        <v/>
      </c>
      <c r="AV4549">
        <f>IF('01_Вводные'!$B$234="Да",IF(OR(('19_Расчет_аналитики'!AV4465-'19_Расчет_аналитики'!AV4493)=0,10&lt;='01_Вводные'!$B$297),0,('19_Расчет_аналитики'!AV4465-'19_Расчет_аналитики'!AV4493)*IF('01_Вводные'!$B$239="Да",MeanMinAge10+'19_Расчет_аналитики'!AV4608*SUMIF(ThresholdAge10,"&lt;"&amp;'19_Расчет_аналитики'!AV4608,WeightedRevAge10)-SUMIF(ThresholdAge10,"&lt;"&amp;'19_Расчет_аналитики'!AV4608,WeightedMinAge10),MAX(CapacityAge10*'01_Вводные'!$B$218*'19_Расчет_аналитики'!AV4608,MeanMinAge10))),0)</f>
        <v/>
      </c>
      <c r="AW4549">
        <f>IF('01_Вводные'!$B$234="Да",IF(OR(('19_Расчет_аналитики'!AW4465-'19_Расчет_аналитики'!AW4493)=0,10&lt;='01_Вводные'!$B$297),0,('19_Расчет_аналитики'!AW4465-'19_Расчет_аналитики'!AW4493)*IF('01_Вводные'!$B$239="Да",MeanMinAge10+'19_Расчет_аналитики'!AW4608*SUMIF(ThresholdAge10,"&lt;"&amp;'19_Расчет_аналитики'!AW4608,WeightedRevAge10)-SUMIF(ThresholdAge10,"&lt;"&amp;'19_Расчет_аналитики'!AW4608,WeightedMinAge10),MAX(CapacityAge10*'01_Вводные'!$B$218*'19_Расчет_аналитики'!AW4608,MeanMinAge10))),0)</f>
        <v/>
      </c>
      <c r="AX4549">
        <f>IF('01_Вводные'!$B$234="Да",IF(OR(('19_Расчет_аналитики'!AX4465-'19_Расчет_аналитики'!AX4493)=0,10&lt;='01_Вводные'!$B$297),0,('19_Расчет_аналитики'!AX4465-'19_Расчет_аналитики'!AX4493)*IF('01_Вводные'!$B$239="Да",MeanMinAge10+'19_Расчет_аналитики'!AX4608*SUMIF(ThresholdAge10,"&lt;"&amp;'19_Расчет_аналитики'!AX4608,WeightedRevAge10)-SUMIF(ThresholdAge10,"&lt;"&amp;'19_Расчет_аналитики'!AX4608,WeightedMinAge10),MAX(CapacityAge10*'01_Вводные'!$B$218*'19_Расчет_аналитики'!AX4608,MeanMinAge10))),0)</f>
        <v/>
      </c>
      <c r="AY4549">
        <f>IF('01_Вводные'!$B$234="Да",IF(OR(('19_Расчет_аналитики'!AY4465-'19_Расчет_аналитики'!AY4493)=0,10&lt;='01_Вводные'!$B$297),0,('19_Расчет_аналитики'!AY4465-'19_Расчет_аналитики'!AY4493)*IF('01_Вводные'!$B$239="Да",MeanMinAge10+'19_Расчет_аналитики'!AY4608*SUMIF(ThresholdAge10,"&lt;"&amp;'19_Расчет_аналитики'!AY4608,WeightedRevAge10)-SUMIF(ThresholdAge10,"&lt;"&amp;'19_Расчет_аналитики'!AY4608,WeightedMinAge10),MAX(CapacityAge10*'01_Вводные'!$B$218*'19_Расчет_аналитики'!AY4608,MeanMinAge10))),0)</f>
        <v/>
      </c>
      <c r="AZ4549">
        <f>IF('01_Вводные'!$B$234="Да",IF(OR(('19_Расчет_аналитики'!AZ4465-'19_Расчет_аналитики'!AZ4493)=0,10&lt;='01_Вводные'!$B$297),0,('19_Расчет_аналитики'!AZ4465-'19_Расчет_аналитики'!AZ4493)*IF('01_Вводные'!$B$239="Да",MeanMinAge10+'19_Расчет_аналитики'!AZ4608*SUMIF(ThresholdAge10,"&lt;"&amp;'19_Расчет_аналитики'!AZ4608,WeightedRevAge10)-SUMIF(ThresholdAge10,"&lt;"&amp;'19_Расчет_аналитики'!AZ4608,WeightedMinAge10),MAX(CapacityAge10*'01_Вводные'!$B$218*'19_Расчет_аналитики'!AZ4608,MeanMinAge10))),0)</f>
        <v/>
      </c>
      <c r="BA4549">
        <f>IF('01_Вводные'!$B$234="Да",IF(OR(('19_Расчет_аналитики'!BA4465-'19_Расчет_аналитики'!BA4493)=0,10&lt;='01_Вводные'!$B$297),0,('19_Расчет_аналитики'!BA4465-'19_Расчет_аналитики'!BA4493)*IF('01_Вводные'!$B$239="Да",MeanMinAge10+'19_Расчет_аналитики'!BA4608*SUMIF(ThresholdAge10,"&lt;"&amp;'19_Расчет_аналитики'!BA4608,WeightedRevAge10)-SUMIF(ThresholdAge10,"&lt;"&amp;'19_Расчет_аналитики'!BA4608,WeightedMinAge10),MAX(CapacityAge10*'01_Вводные'!$B$218*'19_Расчет_аналитики'!BA4608,MeanMinAge10))),0)</f>
        <v/>
      </c>
      <c r="BB4549">
        <f>IF('01_Вводные'!$B$234="Да",IF(OR(('19_Расчет_аналитики'!BB4465-'19_Расчет_аналитики'!BB4493)=0,10&lt;='01_Вводные'!$B$297),0,('19_Расчет_аналитики'!BB4465-'19_Расчет_аналитики'!BB4493)*IF('01_Вводные'!$B$239="Да",MeanMinAge10+'19_Расчет_аналитики'!BB4608*SUMIF(ThresholdAge10,"&lt;"&amp;'19_Расчет_аналитики'!BB4608,WeightedRevAge10)-SUMIF(ThresholdAge10,"&lt;"&amp;'19_Расчет_аналитики'!BB4608,WeightedMinAge10),MAX(CapacityAge10*'01_Вводные'!$B$218*'19_Расчет_аналитики'!BB4608,MeanMinAge10))),0)</f>
        <v/>
      </c>
      <c r="BC4549">
        <f>IF('01_Вводные'!$B$234="Да",IF(OR(('19_Расчет_аналитики'!BC4465-'19_Расчет_аналитики'!BC4493)=0,10&lt;='01_Вводные'!$B$297),0,('19_Расчет_аналитики'!BC4465-'19_Расчет_аналитики'!BC4493)*IF('01_Вводные'!$B$239="Да",MeanMinAge10+'19_Расчет_аналитики'!BC4608*SUMIF(ThresholdAge10,"&lt;"&amp;'19_Расчет_аналитики'!BC4608,WeightedRevAge10)-SUMIF(ThresholdAge10,"&lt;"&amp;'19_Расчет_аналитики'!BC4608,WeightedMinAge10),MAX(CapacityAge10*'01_Вводные'!$B$218*'19_Расчет_аналитики'!BC4608,MeanMinAge10))),0)</f>
        <v/>
      </c>
      <c r="BD4549">
        <f>IF('01_Вводные'!$B$234="Да",IF(OR(('19_Расчет_аналитики'!BD4465-'19_Расчет_аналитики'!BD4493)=0,10&lt;='01_Вводные'!$B$297),0,('19_Расчет_аналитики'!BD4465-'19_Расчет_аналитики'!BD4493)*IF('01_Вводные'!$B$239="Да",MeanMinAge10+'19_Расчет_аналитики'!BD4608*SUMIF(ThresholdAge10,"&lt;"&amp;'19_Расчет_аналитики'!BD4608,WeightedRevAge10)-SUMIF(ThresholdAge10,"&lt;"&amp;'19_Расчет_аналитики'!BD4608,WeightedMinAge10),MAX(CapacityAge10*'01_Вводные'!$B$218*'19_Расчет_аналитики'!BD4608,MeanMinAge10))),0)</f>
        <v/>
      </c>
      <c r="BE4549">
        <f>IF('01_Вводные'!$B$234="Да",IF(OR(('19_Расчет_аналитики'!BE4465-'19_Расчет_аналитики'!BE4493)=0,10&lt;='01_Вводные'!$B$297),0,('19_Расчет_аналитики'!BE4465-'19_Расчет_аналитики'!BE4493)*IF('01_Вводные'!$B$239="Да",MeanMinAge10+'19_Расчет_аналитики'!BE4608*SUMIF(ThresholdAge10,"&lt;"&amp;'19_Расчет_аналитики'!BE4608,WeightedRevAge10)-SUMIF(ThresholdAge10,"&lt;"&amp;'19_Расчет_аналитики'!BE4608,WeightedMinAge10),MAX(CapacityAge10*'01_Вводные'!$B$218*'19_Расчет_аналитики'!BE4608,MeanMinAge10))),0)</f>
        <v/>
      </c>
      <c r="BF4549">
        <f>IF('01_Вводные'!$B$234="Да",IF(OR(('19_Расчет_аналитики'!BF4465-'19_Расчет_аналитики'!BF4493)=0,10&lt;='01_Вводные'!$B$297),0,('19_Расчет_аналитики'!BF4465-'19_Расчет_аналитики'!BF4493)*IF('01_Вводные'!$B$239="Да",MeanMinAge10+'19_Расчет_аналитики'!BF4608*SUMIF(ThresholdAge10,"&lt;"&amp;'19_Расчет_аналитики'!BF4608,WeightedRevAge10)-SUMIF(ThresholdAge10,"&lt;"&amp;'19_Расчет_аналитики'!BF4608,WeightedMinAge10),MAX(CapacityAge10*'01_Вводные'!$B$218*'19_Расчет_аналитики'!BF4608,MeanMinAge10))),0)</f>
        <v/>
      </c>
      <c r="BG4549">
        <f>IF('01_Вводные'!$B$234="Да",IF(OR(('19_Расчет_аналитики'!BG4465-'19_Расчет_аналитики'!BG4493)=0,10&lt;='01_Вводные'!$B$297),0,('19_Расчет_аналитики'!BG4465-'19_Расчет_аналитики'!BG4493)*IF('01_Вводные'!$B$239="Да",MeanMinAge10+'19_Расчет_аналитики'!BG4608*SUMIF(ThresholdAge10,"&lt;"&amp;'19_Расчет_аналитики'!BG4608,WeightedRevAge10)-SUMIF(ThresholdAge10,"&lt;"&amp;'19_Расчет_аналитики'!BG4608,WeightedMinAge10),MAX(CapacityAge10*'01_Вводные'!$B$218*'19_Расчет_аналитики'!BG4608,MeanMinAge10))),0)</f>
        <v/>
      </c>
      <c r="BH4549">
        <f>IF('01_Вводные'!$B$234="Да",IF(OR(('19_Расчет_аналитики'!BH4465-'19_Расчет_аналитики'!BH4493)=0,10&lt;='01_Вводные'!$B$297),0,('19_Расчет_аналитики'!BH4465-'19_Расчет_аналитики'!BH4493)*IF('01_Вводные'!$B$239="Да",MeanMinAge10+'19_Расчет_аналитики'!BH4608*SUMIF(ThresholdAge10,"&lt;"&amp;'19_Расчет_аналитики'!BH4608,WeightedRevAge10)-SUMIF(ThresholdAge10,"&lt;"&amp;'19_Расчет_аналитики'!BH4608,WeightedMinAge10),MAX(CapacityAge10*'01_Вводные'!$B$218*'19_Расчет_аналитики'!BH4608,MeanMinAge10))),0)</f>
        <v/>
      </c>
      <c r="BI4549">
        <f>IF('01_Вводные'!$B$234="Да",IF(OR(('19_Расчет_аналитики'!BI4465-'19_Расчет_аналитики'!BI4493)=0,10&lt;='01_Вводные'!$B$297),0,('19_Расчет_аналитики'!BI4465-'19_Расчет_аналитики'!BI4493)*IF('01_Вводные'!$B$239="Да",MeanMinAge10+'19_Расчет_аналитики'!BI4608*SUMIF(ThresholdAge10,"&lt;"&amp;'19_Расчет_аналитики'!BI4608,WeightedRevAge10)-SUMIF(ThresholdAge10,"&lt;"&amp;'19_Расчет_аналитики'!BI4608,WeightedMinAge10),MAX(CapacityAge10*'01_Вводные'!$B$218*'19_Расчет_аналитики'!BI4608,MeanMinAge10))),0)</f>
        <v/>
      </c>
      <c r="BJ4549">
        <f>IF('01_Вводные'!$B$234="Да",IF(OR(('19_Расчет_аналитики'!BJ4465-'19_Расчет_аналитики'!BJ4493)=0,10&lt;='01_Вводные'!$B$297),0,('19_Расчет_аналитики'!BJ4465-'19_Расчет_аналитики'!BJ4493)*IF('01_Вводные'!$B$239="Да",MeanMinAge10+'19_Расчет_аналитики'!BJ4608*SUMIF(ThresholdAge10,"&lt;"&amp;'19_Расчет_аналитики'!BJ4608,WeightedRevAge10)-SUMIF(ThresholdAge10,"&lt;"&amp;'19_Расчет_аналитики'!BJ4608,WeightedMinAge10),MAX(CapacityAge10*'01_Вводные'!$B$218*'19_Расчет_аналитики'!BJ4608,MeanMinAge10))),0)</f>
        <v/>
      </c>
      <c r="BK4549">
        <f>IF('01_Вводные'!$B$234="Да",IF(OR(('19_Расчет_аналитики'!BK4465-'19_Расчет_аналитики'!BK4493)=0,10&lt;='01_Вводные'!$B$297),0,('19_Расчет_аналитики'!BK4465-'19_Расчет_аналитики'!BK4493)*IF('01_Вводные'!$B$239="Да",MeanMinAge10+'19_Расчет_аналитики'!BK4608*SUMIF(ThresholdAge10,"&lt;"&amp;'19_Расчет_аналитики'!BK4608,WeightedRevAge10)-SUMIF(ThresholdAge10,"&lt;"&amp;'19_Расчет_аналитики'!BK4608,WeightedMinAge10),MAX(CapacityAge10*'01_Вводные'!$B$218*'19_Расчет_аналитики'!BK4608,MeanMinAge10))),0)</f>
        <v/>
      </c>
      <c r="BL4549">
        <f>IF('01_Вводные'!$B$234="Да",IF(OR(('19_Расчет_аналитики'!BL4465-'19_Расчет_аналитики'!BL4493)=0,10&lt;='01_Вводные'!$B$297),0,('19_Расчет_аналитики'!BL4465-'19_Расчет_аналитики'!BL4493)*IF('01_Вводные'!$B$239="Да",MeanMinAge10+'19_Расчет_аналитики'!BL4608*SUMIF(ThresholdAge10,"&lt;"&amp;'19_Расчет_аналитики'!BL4608,WeightedRevAge10)-SUMIF(ThresholdAge10,"&lt;"&amp;'19_Расчет_аналитики'!BL4608,WeightedMinAge10),MAX(CapacityAge10*'01_Вводные'!$B$218*'19_Расчет_аналитики'!BL4608,MeanMinAge10))),0)</f>
        <v/>
      </c>
      <c r="BM4549">
        <f>IF('01_Вводные'!$B$234="Да",IF(OR(('19_Расчет_аналитики'!BM4465-'19_Расчет_аналитики'!BM4493)=0,10&lt;='01_Вводные'!$B$297),0,('19_Расчет_аналитики'!BM4465-'19_Расчет_аналитики'!BM4493)*IF('01_Вводные'!$B$239="Да",MeanMinAge10+'19_Расчет_аналитики'!BM4608*SUMIF(ThresholdAge10,"&lt;"&amp;'19_Расчет_аналитики'!BM4608,WeightedRevAge10)-SUMIF(ThresholdAge10,"&lt;"&amp;'19_Расчет_аналитики'!BM4608,WeightedMinAge10),MAX(CapacityAge10*'01_Вводные'!$B$218*'19_Расчет_аналитики'!BM4608,MeanMinAge10))),0)</f>
        <v/>
      </c>
      <c r="BN4549">
        <f>IF('01_Вводные'!$B$234="Да",IF(OR(('19_Расчет_аналитики'!BN4465-'19_Расчет_аналитики'!BN4493)=0,10&lt;='01_Вводные'!$B$297),0,('19_Расчет_аналитики'!BN4465-'19_Расчет_аналитики'!BN4493)*IF('01_Вводные'!$B$239="Да",MeanMinAge10+'19_Расчет_аналитики'!BN4608*SUMIF(ThresholdAge10,"&lt;"&amp;'19_Расчет_аналитики'!BN4608,WeightedRevAge10)-SUMIF(ThresholdAge10,"&lt;"&amp;'19_Расчет_аналитики'!BN4608,WeightedMinAge10),MAX(CapacityAge10*'01_Вводные'!$B$218*'19_Расчет_аналитики'!BN4608,MeanMinAge10))),0)</f>
        <v/>
      </c>
      <c r="BO4549">
        <f>IF('01_Вводные'!$B$234="Да",IF(OR(('19_Расчет_аналитики'!BO4465-'19_Расчет_аналитики'!BO4493)=0,10&lt;='01_Вводные'!$B$297),0,('19_Расчет_аналитики'!BO4465-'19_Расчет_аналитики'!BO4493)*IF('01_Вводные'!$B$239="Да",MeanMinAge10+'19_Расчет_аналитики'!BO4608*SUMIF(ThresholdAge10,"&lt;"&amp;'19_Расчет_аналитики'!BO4608,WeightedRevAge10)-SUMIF(ThresholdAge10,"&lt;"&amp;'19_Расчет_аналитики'!BO4608,WeightedMinAge10),MAX(CapacityAge10*'01_Вводные'!$B$218*'19_Расчет_аналитики'!BO4608,MeanMinAge10))),0)</f>
        <v/>
      </c>
    </row>
    <row r="4550">
      <c r="B4550">
        <f>IF('01_Вводные'!$B$234="Да",IF(OR(('06_Сеть_и_дети'!B63-'06_Сеть_и_дети'!B91)=0,11&lt;='01_Вводные'!$B$297),0,('06_Сеть_и_дети'!B63-'06_Сеть_и_дети'!B91)*IF('01_Вводные'!$B$239="Да",MeanMinAge11+'19_Расчет_аналитики'!B4608*SUMIF(ThresholdAge11,"&lt;"&amp;'19_Расчет_аналитики'!B4608,WeightedRevAge11)-SUMIF(ThresholdAge11,"&lt;"&amp;'19_Расчет_аналитики'!B4608,WeightedMinAge11),MAX(CapacityAge11*'01_Вводные'!$B$218*'19_Расчет_аналитики'!B4608,MeanMinAge11))),0)</f>
        <v/>
      </c>
      <c r="C4550">
        <f>IF('01_Вводные'!$B$234="Да",IF(OR(('06_Сеть_и_дети'!C63-'06_Сеть_и_дети'!C91)=0,11&lt;='01_Вводные'!$B$297),0,('06_Сеть_и_дети'!C63-'06_Сеть_и_дети'!C91)*IF('01_Вводные'!$B$239="Да",MeanMinAge11+'19_Расчет_аналитики'!C4608*SUMIF(ThresholdAge11,"&lt;"&amp;'19_Расчет_аналитики'!C4608,WeightedRevAge11)-SUMIF(ThresholdAge11,"&lt;"&amp;'19_Расчет_аналитики'!C4608,WeightedMinAge11),MAX(CapacityAge11*'01_Вводные'!$B$218*'19_Расчет_аналитики'!C4608,MeanMinAge11))),0)</f>
        <v/>
      </c>
      <c r="D4550">
        <f>IF('01_Вводные'!$B$234="Да",IF(OR(('06_Сеть_и_дети'!D63-'06_Сеть_и_дети'!D91)=0,11&lt;='01_Вводные'!$B$297),0,('06_Сеть_и_дети'!D63-'06_Сеть_и_дети'!D91)*IF('01_Вводные'!$B$239="Да",MeanMinAge11+'19_Расчет_аналитики'!D4608*SUMIF(ThresholdAge11,"&lt;"&amp;'19_Расчет_аналитики'!D4608,WeightedRevAge11)-SUMIF(ThresholdAge11,"&lt;"&amp;'19_Расчет_аналитики'!D4608,WeightedMinAge11),MAX(CapacityAge11*'01_Вводные'!$B$218*'19_Расчет_аналитики'!D4608,MeanMinAge11))),0)</f>
        <v/>
      </c>
      <c r="E4550">
        <f>IF('01_Вводные'!$B$234="Да",IF(OR(('06_Сеть_и_дети'!E63-'06_Сеть_и_дети'!E91)=0,11&lt;='01_Вводные'!$B$297),0,('06_Сеть_и_дети'!E63-'06_Сеть_и_дети'!E91)*IF('01_Вводные'!$B$239="Да",MeanMinAge11+'19_Расчет_аналитики'!E4608*SUMIF(ThresholdAge11,"&lt;"&amp;'19_Расчет_аналитики'!E4608,WeightedRevAge11)-SUMIF(ThresholdAge11,"&lt;"&amp;'19_Расчет_аналитики'!E4608,WeightedMinAge11),MAX(CapacityAge11*'01_Вводные'!$B$218*'19_Расчет_аналитики'!E4608,MeanMinAge11))),0)</f>
        <v/>
      </c>
      <c r="F4550">
        <f>IF('01_Вводные'!$B$234="Да",IF(OR(('06_Сеть_и_дети'!F63-'06_Сеть_и_дети'!F91)=0,11&lt;='01_Вводные'!$B$297),0,('06_Сеть_и_дети'!F63-'06_Сеть_и_дети'!F91)*IF('01_Вводные'!$B$239="Да",MeanMinAge11+'19_Расчет_аналитики'!F4608*SUMIF(ThresholdAge11,"&lt;"&amp;'19_Расчет_аналитики'!F4608,WeightedRevAge11)-SUMIF(ThresholdAge11,"&lt;"&amp;'19_Расчет_аналитики'!F4608,WeightedMinAge11),MAX(CapacityAge11*'01_Вводные'!$B$218*'19_Расчет_аналитики'!F4608,MeanMinAge11))),0)</f>
        <v/>
      </c>
      <c r="G4550">
        <f>IF('01_Вводные'!$B$234="Да",IF(OR(('06_Сеть_и_дети'!G63-'06_Сеть_и_дети'!G91)=0,11&lt;='01_Вводные'!$B$297),0,('06_Сеть_и_дети'!G63-'06_Сеть_и_дети'!G91)*IF('01_Вводные'!$B$239="Да",MeanMinAge11+'19_Расчет_аналитики'!G4608*SUMIF(ThresholdAge11,"&lt;"&amp;'19_Расчет_аналитики'!G4608,WeightedRevAge11)-SUMIF(ThresholdAge11,"&lt;"&amp;'19_Расчет_аналитики'!G4608,WeightedMinAge11),MAX(CapacityAge11*'01_Вводные'!$B$218*'19_Расчет_аналитики'!G4608,MeanMinAge11))),0)</f>
        <v/>
      </c>
      <c r="H4550">
        <f>IF('01_Вводные'!$B$234="Да",IF(OR(('06_Сеть_и_дети'!H63-'06_Сеть_и_дети'!H91)=0,11&lt;='01_Вводные'!$B$297),0,('06_Сеть_и_дети'!H63-'06_Сеть_и_дети'!H91)*IF('01_Вводные'!$B$239="Да",MeanMinAge11+'19_Расчет_аналитики'!H4608*SUMIF(ThresholdAge11,"&lt;"&amp;'19_Расчет_аналитики'!H4608,WeightedRevAge11)-SUMIF(ThresholdAge11,"&lt;"&amp;'19_Расчет_аналитики'!H4608,WeightedMinAge11),MAX(CapacityAge11*'01_Вводные'!$B$218*'19_Расчет_аналитики'!H4608,MeanMinAge11))),0)</f>
        <v/>
      </c>
      <c r="I4550">
        <f>IF('01_Вводные'!$B$234="Да",IF(OR(('06_Сеть_и_дети'!I63-'06_Сеть_и_дети'!I91)=0,11&lt;='01_Вводные'!$B$297),0,('06_Сеть_и_дети'!I63-'06_Сеть_и_дети'!I91)*IF('01_Вводные'!$B$239="Да",MeanMinAge11+'19_Расчет_аналитики'!I4608*SUMIF(ThresholdAge11,"&lt;"&amp;'19_Расчет_аналитики'!I4608,WeightedRevAge11)-SUMIF(ThresholdAge11,"&lt;"&amp;'19_Расчет_аналитики'!I4608,WeightedMinAge11),MAX(CapacityAge11*'01_Вводные'!$B$218*'19_Расчет_аналитики'!I4608,MeanMinAge11))),0)</f>
        <v/>
      </c>
      <c r="J4550">
        <f>IF('01_Вводные'!$B$234="Да",IF(OR(('06_Сеть_и_дети'!J63-'06_Сеть_и_дети'!J91)=0,11&lt;='01_Вводные'!$B$297),0,('06_Сеть_и_дети'!J63-'06_Сеть_и_дети'!J91)*IF('01_Вводные'!$B$239="Да",MeanMinAge11+'19_Расчет_аналитики'!J4608*SUMIF(ThresholdAge11,"&lt;"&amp;'19_Расчет_аналитики'!J4608,WeightedRevAge11)-SUMIF(ThresholdAge11,"&lt;"&amp;'19_Расчет_аналитики'!J4608,WeightedMinAge11),MAX(CapacityAge11*'01_Вводные'!$B$218*'19_Расчет_аналитики'!J4608,MeanMinAge11))),0)</f>
        <v/>
      </c>
      <c r="K4550">
        <f>IF('01_Вводные'!$B$234="Да",IF(OR(('06_Сеть_и_дети'!K63-'06_Сеть_и_дети'!K91)=0,11&lt;='01_Вводные'!$B$297),0,('06_Сеть_и_дети'!K63-'06_Сеть_и_дети'!K91)*IF('01_Вводные'!$B$239="Да",MeanMinAge11+'19_Расчет_аналитики'!K4608*SUMIF(ThresholdAge11,"&lt;"&amp;'19_Расчет_аналитики'!K4608,WeightedRevAge11)-SUMIF(ThresholdAge11,"&lt;"&amp;'19_Расчет_аналитики'!K4608,WeightedMinAge11),MAX(CapacityAge11*'01_Вводные'!$B$218*'19_Расчет_аналитики'!K4608,MeanMinAge11))),0)</f>
        <v/>
      </c>
      <c r="L4550">
        <f>IF('01_Вводные'!$B$234="Да",IF(OR(('19_Расчет_аналитики'!L4466-'19_Расчет_аналитики'!L4494)=0,11&lt;='01_Вводные'!$B$297),0,('19_Расчет_аналитики'!L4466-'19_Расчет_аналитики'!L4494)*IF('01_Вводные'!$B$239="Да",MeanMinAge11+'19_Расчет_аналитики'!L4608*SUMIF(ThresholdAge11,"&lt;"&amp;'19_Расчет_аналитики'!L4608,WeightedRevAge11)-SUMIF(ThresholdAge11,"&lt;"&amp;'19_Расчет_аналитики'!L4608,WeightedMinAge11),MAX(CapacityAge11*'01_Вводные'!$B$218*'19_Расчет_аналитики'!L4608,MeanMinAge11))),0)</f>
        <v/>
      </c>
      <c r="M4550">
        <f>IF('01_Вводные'!$B$234="Да",IF(OR(('19_Расчет_аналитики'!M4466-'19_Расчет_аналитики'!M4494)=0,11&lt;='01_Вводные'!$B$297),0,('19_Расчет_аналитики'!M4466-'19_Расчет_аналитики'!M4494)*IF('01_Вводные'!$B$239="Да",MeanMinAge11+'19_Расчет_аналитики'!M4608*SUMIF(ThresholdAge11,"&lt;"&amp;'19_Расчет_аналитики'!M4608,WeightedRevAge11)-SUMIF(ThresholdAge11,"&lt;"&amp;'19_Расчет_аналитики'!M4608,WeightedMinAge11),MAX(CapacityAge11*'01_Вводные'!$B$218*'19_Расчет_аналитики'!M4608,MeanMinAge11))),0)</f>
        <v/>
      </c>
      <c r="N4550">
        <f>IF('01_Вводные'!$B$234="Да",IF(OR(('19_Расчет_аналитики'!N4466-'19_Расчет_аналитики'!N4494)=0,11&lt;='01_Вводные'!$B$297),0,('19_Расчет_аналитики'!N4466-'19_Расчет_аналитики'!N4494)*IF('01_Вводные'!$B$239="Да",MeanMinAge11+'19_Расчет_аналитики'!N4608*SUMIF(ThresholdAge11,"&lt;"&amp;'19_Расчет_аналитики'!N4608,WeightedRevAge11)-SUMIF(ThresholdAge11,"&lt;"&amp;'19_Расчет_аналитики'!N4608,WeightedMinAge11),MAX(CapacityAge11*'01_Вводные'!$B$218*'19_Расчет_аналитики'!N4608,MeanMinAge11))),0)</f>
        <v/>
      </c>
      <c r="O4550">
        <f>IF('01_Вводные'!$B$234="Да",IF(OR(('19_Расчет_аналитики'!O4466-'19_Расчет_аналитики'!O4494)=0,11&lt;='01_Вводные'!$B$297),0,('19_Расчет_аналитики'!O4466-'19_Расчет_аналитики'!O4494)*IF('01_Вводные'!$B$239="Да",MeanMinAge11+'19_Расчет_аналитики'!O4608*SUMIF(ThresholdAge11,"&lt;"&amp;'19_Расчет_аналитики'!O4608,WeightedRevAge11)-SUMIF(ThresholdAge11,"&lt;"&amp;'19_Расчет_аналитики'!O4608,WeightedMinAge11),MAX(CapacityAge11*'01_Вводные'!$B$218*'19_Расчет_аналитики'!O4608,MeanMinAge11))),0)</f>
        <v/>
      </c>
      <c r="P4550">
        <f>IF('01_Вводные'!$B$234="Да",IF(OR(('19_Расчет_аналитики'!P4466-'19_Расчет_аналитики'!P4494)=0,11&lt;='01_Вводные'!$B$297),0,('19_Расчет_аналитики'!P4466-'19_Расчет_аналитики'!P4494)*IF('01_Вводные'!$B$239="Да",MeanMinAge11+'19_Расчет_аналитики'!P4608*SUMIF(ThresholdAge11,"&lt;"&amp;'19_Расчет_аналитики'!P4608,WeightedRevAge11)-SUMIF(ThresholdAge11,"&lt;"&amp;'19_Расчет_аналитики'!P4608,WeightedMinAge11),MAX(CapacityAge11*'01_Вводные'!$B$218*'19_Расчет_аналитики'!P4608,MeanMinAge11))),0)</f>
        <v/>
      </c>
      <c r="Q4550">
        <f>IF('01_Вводные'!$B$234="Да",IF(OR(('19_Расчет_аналитики'!Q4466-'19_Расчет_аналитики'!Q4494)=0,11&lt;='01_Вводные'!$B$297),0,('19_Расчет_аналитики'!Q4466-'19_Расчет_аналитики'!Q4494)*IF('01_Вводные'!$B$239="Да",MeanMinAge11+'19_Расчет_аналитики'!Q4608*SUMIF(ThresholdAge11,"&lt;"&amp;'19_Расчет_аналитики'!Q4608,WeightedRevAge11)-SUMIF(ThresholdAge11,"&lt;"&amp;'19_Расчет_аналитики'!Q4608,WeightedMinAge11),MAX(CapacityAge11*'01_Вводные'!$B$218*'19_Расчет_аналитики'!Q4608,MeanMinAge11))),0)</f>
        <v/>
      </c>
      <c r="R4550">
        <f>IF('01_Вводные'!$B$234="Да",IF(OR(('19_Расчет_аналитики'!R4466-'19_Расчет_аналитики'!R4494)=0,11&lt;='01_Вводные'!$B$297),0,('19_Расчет_аналитики'!R4466-'19_Расчет_аналитики'!R4494)*IF('01_Вводные'!$B$239="Да",MeanMinAge11+'19_Расчет_аналитики'!R4608*SUMIF(ThresholdAge11,"&lt;"&amp;'19_Расчет_аналитики'!R4608,WeightedRevAge11)-SUMIF(ThresholdAge11,"&lt;"&amp;'19_Расчет_аналитики'!R4608,WeightedMinAge11),MAX(CapacityAge11*'01_Вводные'!$B$218*'19_Расчет_аналитики'!R4608,MeanMinAge11))),0)</f>
        <v/>
      </c>
      <c r="S4550">
        <f>IF('01_Вводные'!$B$234="Да",IF(OR(('19_Расчет_аналитики'!S4466-'19_Расчет_аналитики'!S4494)=0,11&lt;='01_Вводные'!$B$297),0,('19_Расчет_аналитики'!S4466-'19_Расчет_аналитики'!S4494)*IF('01_Вводные'!$B$239="Да",MeanMinAge11+'19_Расчет_аналитики'!S4608*SUMIF(ThresholdAge11,"&lt;"&amp;'19_Расчет_аналитики'!S4608,WeightedRevAge11)-SUMIF(ThresholdAge11,"&lt;"&amp;'19_Расчет_аналитики'!S4608,WeightedMinAge11),MAX(CapacityAge11*'01_Вводные'!$B$218*'19_Расчет_аналитики'!S4608,MeanMinAge11))),0)</f>
        <v/>
      </c>
      <c r="T4550">
        <f>IF('01_Вводные'!$B$234="Да",IF(OR(('19_Расчет_аналитики'!T4466-'19_Расчет_аналитики'!T4494)=0,11&lt;='01_Вводные'!$B$297),0,('19_Расчет_аналитики'!T4466-'19_Расчет_аналитики'!T4494)*IF('01_Вводные'!$B$239="Да",MeanMinAge11+'19_Расчет_аналитики'!T4608*SUMIF(ThresholdAge11,"&lt;"&amp;'19_Расчет_аналитики'!T4608,WeightedRevAge11)-SUMIF(ThresholdAge11,"&lt;"&amp;'19_Расчет_аналитики'!T4608,WeightedMinAge11),MAX(CapacityAge11*'01_Вводные'!$B$218*'19_Расчет_аналитики'!T4608,MeanMinAge11))),0)</f>
        <v/>
      </c>
      <c r="U4550">
        <f>IF('01_Вводные'!$B$234="Да",IF(OR(('19_Расчет_аналитики'!U4466-'19_Расчет_аналитики'!U4494)=0,11&lt;='01_Вводные'!$B$297),0,('19_Расчет_аналитики'!U4466-'19_Расчет_аналитики'!U4494)*IF('01_Вводные'!$B$239="Да",MeanMinAge11+'19_Расчет_аналитики'!U4608*SUMIF(ThresholdAge11,"&lt;"&amp;'19_Расчет_аналитики'!U4608,WeightedRevAge11)-SUMIF(ThresholdAge11,"&lt;"&amp;'19_Расчет_аналитики'!U4608,WeightedMinAge11),MAX(CapacityAge11*'01_Вводные'!$B$218*'19_Расчет_аналитики'!U4608,MeanMinAge11))),0)</f>
        <v/>
      </c>
      <c r="V4550">
        <f>IF('01_Вводные'!$B$234="Да",IF(OR(('19_Расчет_аналитики'!V4466-'19_Расчет_аналитики'!V4494)=0,11&lt;='01_Вводные'!$B$297),0,('19_Расчет_аналитики'!V4466-'19_Расчет_аналитики'!V4494)*IF('01_Вводные'!$B$239="Да",MeanMinAge11+'19_Расчет_аналитики'!V4608*SUMIF(ThresholdAge11,"&lt;"&amp;'19_Расчет_аналитики'!V4608,WeightedRevAge11)-SUMIF(ThresholdAge11,"&lt;"&amp;'19_Расчет_аналитики'!V4608,WeightedMinAge11),MAX(CapacityAge11*'01_Вводные'!$B$218*'19_Расчет_аналитики'!V4608,MeanMinAge11))),0)</f>
        <v/>
      </c>
      <c r="W4550">
        <f>IF('01_Вводные'!$B$234="Да",IF(OR(('19_Расчет_аналитики'!W4466-'19_Расчет_аналитики'!W4494)=0,11&lt;='01_Вводные'!$B$297),0,('19_Расчет_аналитики'!W4466-'19_Расчет_аналитики'!W4494)*IF('01_Вводные'!$B$239="Да",MeanMinAge11+'19_Расчет_аналитики'!W4608*SUMIF(ThresholdAge11,"&lt;"&amp;'19_Расчет_аналитики'!W4608,WeightedRevAge11)-SUMIF(ThresholdAge11,"&lt;"&amp;'19_Расчет_аналитики'!W4608,WeightedMinAge11),MAX(CapacityAge11*'01_Вводные'!$B$218*'19_Расчет_аналитики'!W4608,MeanMinAge11))),0)</f>
        <v/>
      </c>
      <c r="X4550">
        <f>IF('01_Вводные'!$B$234="Да",IF(OR(('19_Расчет_аналитики'!X4466-'19_Расчет_аналитики'!X4494)=0,11&lt;='01_Вводные'!$B$297),0,('19_Расчет_аналитики'!X4466-'19_Расчет_аналитики'!X4494)*IF('01_Вводные'!$B$239="Да",MeanMinAge11+'19_Расчет_аналитики'!X4608*SUMIF(ThresholdAge11,"&lt;"&amp;'19_Расчет_аналитики'!X4608,WeightedRevAge11)-SUMIF(ThresholdAge11,"&lt;"&amp;'19_Расчет_аналитики'!X4608,WeightedMinAge11),MAX(CapacityAge11*'01_Вводные'!$B$218*'19_Расчет_аналитики'!X4608,MeanMinAge11))),0)</f>
        <v/>
      </c>
      <c r="Y4550">
        <f>IF('01_Вводные'!$B$234="Да",IF(OR(('19_Расчет_аналитики'!Y4466-'19_Расчет_аналитики'!Y4494)=0,11&lt;='01_Вводные'!$B$297),0,('19_Расчет_аналитики'!Y4466-'19_Расчет_аналитики'!Y4494)*IF('01_Вводные'!$B$239="Да",MeanMinAge11+'19_Расчет_аналитики'!Y4608*SUMIF(ThresholdAge11,"&lt;"&amp;'19_Расчет_аналитики'!Y4608,WeightedRevAge11)-SUMIF(ThresholdAge11,"&lt;"&amp;'19_Расчет_аналитики'!Y4608,WeightedMinAge11),MAX(CapacityAge11*'01_Вводные'!$B$218*'19_Расчет_аналитики'!Y4608,MeanMinAge11))),0)</f>
        <v/>
      </c>
      <c r="Z4550">
        <f>IF('01_Вводные'!$B$234="Да",IF(OR(('19_Расчет_аналитики'!Z4466-'19_Расчет_аналитики'!Z4494)=0,11&lt;='01_Вводные'!$B$297),0,('19_Расчет_аналитики'!Z4466-'19_Расчет_аналитики'!Z4494)*IF('01_Вводные'!$B$239="Да",MeanMinAge11+'19_Расчет_аналитики'!Z4608*SUMIF(ThresholdAge11,"&lt;"&amp;'19_Расчет_аналитики'!Z4608,WeightedRevAge11)-SUMIF(ThresholdAge11,"&lt;"&amp;'19_Расчет_аналитики'!Z4608,WeightedMinAge11),MAX(CapacityAge11*'01_Вводные'!$B$218*'19_Расчет_аналитики'!Z4608,MeanMinAge11))),0)</f>
        <v/>
      </c>
      <c r="AA4550">
        <f>IF('01_Вводные'!$B$234="Да",IF(OR(('19_Расчет_аналитики'!AA4466-'19_Расчет_аналитики'!AA4494)=0,11&lt;='01_Вводные'!$B$297),0,('19_Расчет_аналитики'!AA4466-'19_Расчет_аналитики'!AA4494)*IF('01_Вводные'!$B$239="Да",MeanMinAge11+'19_Расчет_аналитики'!AA4608*SUMIF(ThresholdAge11,"&lt;"&amp;'19_Расчет_аналитики'!AA4608,WeightedRevAge11)-SUMIF(ThresholdAge11,"&lt;"&amp;'19_Расчет_аналитики'!AA4608,WeightedMinAge11),MAX(CapacityAge11*'01_Вводные'!$B$218*'19_Расчет_аналитики'!AA4608,MeanMinAge11))),0)</f>
        <v/>
      </c>
      <c r="AB4550">
        <f>IF('01_Вводные'!$B$234="Да",IF(OR(('19_Расчет_аналитики'!AB4466-'19_Расчет_аналитики'!AB4494)=0,11&lt;='01_Вводные'!$B$297),0,('19_Расчет_аналитики'!AB4466-'19_Расчет_аналитики'!AB4494)*IF('01_Вводные'!$B$239="Да",MeanMinAge11+'19_Расчет_аналитики'!AB4608*SUMIF(ThresholdAge11,"&lt;"&amp;'19_Расчет_аналитики'!AB4608,WeightedRevAge11)-SUMIF(ThresholdAge11,"&lt;"&amp;'19_Расчет_аналитики'!AB4608,WeightedMinAge11),MAX(CapacityAge11*'01_Вводные'!$B$218*'19_Расчет_аналитики'!AB4608,MeanMinAge11))),0)</f>
        <v/>
      </c>
      <c r="AC4550">
        <f>IF('01_Вводные'!$B$234="Да",IF(OR(('19_Расчет_аналитики'!AC4466-'19_Расчет_аналитики'!AC4494)=0,11&lt;='01_Вводные'!$B$297),0,('19_Расчет_аналитики'!AC4466-'19_Расчет_аналитики'!AC4494)*IF('01_Вводные'!$B$239="Да",MeanMinAge11+'19_Расчет_аналитики'!AC4608*SUMIF(ThresholdAge11,"&lt;"&amp;'19_Расчет_аналитики'!AC4608,WeightedRevAge11)-SUMIF(ThresholdAge11,"&lt;"&amp;'19_Расчет_аналитики'!AC4608,WeightedMinAge11),MAX(CapacityAge11*'01_Вводные'!$B$218*'19_Расчет_аналитики'!AC4608,MeanMinAge11))),0)</f>
        <v/>
      </c>
      <c r="AD4550">
        <f>IF('01_Вводные'!$B$234="Да",IF(OR(('19_Расчет_аналитики'!AD4466-'19_Расчет_аналитики'!AD4494)=0,11&lt;='01_Вводные'!$B$297),0,('19_Расчет_аналитики'!AD4466-'19_Расчет_аналитики'!AD4494)*IF('01_Вводные'!$B$239="Да",MeanMinAge11+'19_Расчет_аналитики'!AD4608*SUMIF(ThresholdAge11,"&lt;"&amp;'19_Расчет_аналитики'!AD4608,WeightedRevAge11)-SUMIF(ThresholdAge11,"&lt;"&amp;'19_Расчет_аналитики'!AD4608,WeightedMinAge11),MAX(CapacityAge11*'01_Вводные'!$B$218*'19_Расчет_аналитики'!AD4608,MeanMinAge11))),0)</f>
        <v/>
      </c>
      <c r="AE4550">
        <f>IF('01_Вводные'!$B$234="Да",IF(OR(('19_Расчет_аналитики'!AE4466-'19_Расчет_аналитики'!AE4494)=0,11&lt;='01_Вводные'!$B$297),0,('19_Расчет_аналитики'!AE4466-'19_Расчет_аналитики'!AE4494)*IF('01_Вводные'!$B$239="Да",MeanMinAge11+'19_Расчет_аналитики'!AE4608*SUMIF(ThresholdAge11,"&lt;"&amp;'19_Расчет_аналитики'!AE4608,WeightedRevAge11)-SUMIF(ThresholdAge11,"&lt;"&amp;'19_Расчет_аналитики'!AE4608,WeightedMinAge11),MAX(CapacityAge11*'01_Вводные'!$B$218*'19_Расчет_аналитики'!AE4608,MeanMinAge11))),0)</f>
        <v/>
      </c>
      <c r="AF4550">
        <f>IF('01_Вводные'!$B$234="Да",IF(OR(('19_Расчет_аналитики'!AF4466-'19_Расчет_аналитики'!AF4494)=0,11&lt;='01_Вводные'!$B$297),0,('19_Расчет_аналитики'!AF4466-'19_Расчет_аналитики'!AF4494)*IF('01_Вводные'!$B$239="Да",MeanMinAge11+'19_Расчет_аналитики'!AF4608*SUMIF(ThresholdAge11,"&lt;"&amp;'19_Расчет_аналитики'!AF4608,WeightedRevAge11)-SUMIF(ThresholdAge11,"&lt;"&amp;'19_Расчет_аналитики'!AF4608,WeightedMinAge11),MAX(CapacityAge11*'01_Вводные'!$B$218*'19_Расчет_аналитики'!AF4608,MeanMinAge11))),0)</f>
        <v/>
      </c>
      <c r="AG4550">
        <f>IF('01_Вводные'!$B$234="Да",IF(OR(('19_Расчет_аналитики'!AG4466-'19_Расчет_аналитики'!AG4494)=0,11&lt;='01_Вводные'!$B$297),0,('19_Расчет_аналитики'!AG4466-'19_Расчет_аналитики'!AG4494)*IF('01_Вводные'!$B$239="Да",MeanMinAge11+'19_Расчет_аналитики'!AG4608*SUMIF(ThresholdAge11,"&lt;"&amp;'19_Расчет_аналитики'!AG4608,WeightedRevAge11)-SUMIF(ThresholdAge11,"&lt;"&amp;'19_Расчет_аналитики'!AG4608,WeightedMinAge11),MAX(CapacityAge11*'01_Вводные'!$B$218*'19_Расчет_аналитики'!AG4608,MeanMinAge11))),0)</f>
        <v/>
      </c>
      <c r="AH4550">
        <f>IF('01_Вводные'!$B$234="Да",IF(OR(('19_Расчет_аналитики'!AH4466-'19_Расчет_аналитики'!AH4494)=0,11&lt;='01_Вводные'!$B$297),0,('19_Расчет_аналитики'!AH4466-'19_Расчет_аналитики'!AH4494)*IF('01_Вводные'!$B$239="Да",MeanMinAge11+'19_Расчет_аналитики'!AH4608*SUMIF(ThresholdAge11,"&lt;"&amp;'19_Расчет_аналитики'!AH4608,WeightedRevAge11)-SUMIF(ThresholdAge11,"&lt;"&amp;'19_Расчет_аналитики'!AH4608,WeightedMinAge11),MAX(CapacityAge11*'01_Вводные'!$B$218*'19_Расчет_аналитики'!AH4608,MeanMinAge11))),0)</f>
        <v/>
      </c>
      <c r="AI4550">
        <f>IF('01_Вводные'!$B$234="Да",IF(OR(('19_Расчет_аналитики'!AI4466-'19_Расчет_аналитики'!AI4494)=0,11&lt;='01_Вводные'!$B$297),0,('19_Расчет_аналитики'!AI4466-'19_Расчет_аналитики'!AI4494)*IF('01_Вводные'!$B$239="Да",MeanMinAge11+'19_Расчет_аналитики'!AI4608*SUMIF(ThresholdAge11,"&lt;"&amp;'19_Расчет_аналитики'!AI4608,WeightedRevAge11)-SUMIF(ThresholdAge11,"&lt;"&amp;'19_Расчет_аналитики'!AI4608,WeightedMinAge11),MAX(CapacityAge11*'01_Вводные'!$B$218*'19_Расчет_аналитики'!AI4608,MeanMinAge11))),0)</f>
        <v/>
      </c>
      <c r="AJ4550">
        <f>IF('01_Вводные'!$B$234="Да",IF(OR(('19_Расчет_аналитики'!AJ4466-'19_Расчет_аналитики'!AJ4494)=0,11&lt;='01_Вводные'!$B$297),0,('19_Расчет_аналитики'!AJ4466-'19_Расчет_аналитики'!AJ4494)*IF('01_Вводные'!$B$239="Да",MeanMinAge11+'19_Расчет_аналитики'!AJ4608*SUMIF(ThresholdAge11,"&lt;"&amp;'19_Расчет_аналитики'!AJ4608,WeightedRevAge11)-SUMIF(ThresholdAge11,"&lt;"&amp;'19_Расчет_аналитики'!AJ4608,WeightedMinAge11),MAX(CapacityAge11*'01_Вводные'!$B$218*'19_Расчет_аналитики'!AJ4608,MeanMinAge11))),0)</f>
        <v/>
      </c>
      <c r="AK4550">
        <f>IF('01_Вводные'!$B$234="Да",IF(OR(('19_Расчет_аналитики'!AK4466-'19_Расчет_аналитики'!AK4494)=0,11&lt;='01_Вводные'!$B$297),0,('19_Расчет_аналитики'!AK4466-'19_Расчет_аналитики'!AK4494)*IF('01_Вводные'!$B$239="Да",MeanMinAge11+'19_Расчет_аналитики'!AK4608*SUMIF(ThresholdAge11,"&lt;"&amp;'19_Расчет_аналитики'!AK4608,WeightedRevAge11)-SUMIF(ThresholdAge11,"&lt;"&amp;'19_Расчет_аналитики'!AK4608,WeightedMinAge11),MAX(CapacityAge11*'01_Вводные'!$B$218*'19_Расчет_аналитики'!AK4608,MeanMinAge11))),0)</f>
        <v/>
      </c>
      <c r="AL4550">
        <f>IF('01_Вводные'!$B$234="Да",IF(OR(('19_Расчет_аналитики'!AL4466-'19_Расчет_аналитики'!AL4494)=0,11&lt;='01_Вводные'!$B$297),0,('19_Расчет_аналитики'!AL4466-'19_Расчет_аналитики'!AL4494)*IF('01_Вводные'!$B$239="Да",MeanMinAge11+'19_Расчет_аналитики'!AL4608*SUMIF(ThresholdAge11,"&lt;"&amp;'19_Расчет_аналитики'!AL4608,WeightedRevAge11)-SUMIF(ThresholdAge11,"&lt;"&amp;'19_Расчет_аналитики'!AL4608,WeightedMinAge11),MAX(CapacityAge11*'01_Вводные'!$B$218*'19_Расчет_аналитики'!AL4608,MeanMinAge11))),0)</f>
        <v/>
      </c>
      <c r="AM4550">
        <f>IF('01_Вводные'!$B$234="Да",IF(OR(('19_Расчет_аналитики'!AM4466-'19_Расчет_аналитики'!AM4494)=0,11&lt;='01_Вводные'!$B$297),0,('19_Расчет_аналитики'!AM4466-'19_Расчет_аналитики'!AM4494)*IF('01_Вводные'!$B$239="Да",MeanMinAge11+'19_Расчет_аналитики'!AM4608*SUMIF(ThresholdAge11,"&lt;"&amp;'19_Расчет_аналитики'!AM4608,WeightedRevAge11)-SUMIF(ThresholdAge11,"&lt;"&amp;'19_Расчет_аналитики'!AM4608,WeightedMinAge11),MAX(CapacityAge11*'01_Вводные'!$B$218*'19_Расчет_аналитики'!AM4608,MeanMinAge11))),0)</f>
        <v/>
      </c>
      <c r="AN4550">
        <f>IF('01_Вводные'!$B$234="Да",IF(OR(('19_Расчет_аналитики'!AN4466-'19_Расчет_аналитики'!AN4494)=0,11&lt;='01_Вводные'!$B$297),0,('19_Расчет_аналитики'!AN4466-'19_Расчет_аналитики'!AN4494)*IF('01_Вводные'!$B$239="Да",MeanMinAge11+'19_Расчет_аналитики'!AN4608*SUMIF(ThresholdAge11,"&lt;"&amp;'19_Расчет_аналитики'!AN4608,WeightedRevAge11)-SUMIF(ThresholdAge11,"&lt;"&amp;'19_Расчет_аналитики'!AN4608,WeightedMinAge11),MAX(CapacityAge11*'01_Вводные'!$B$218*'19_Расчет_аналитики'!AN4608,MeanMinAge11))),0)</f>
        <v/>
      </c>
      <c r="AO4550">
        <f>IF('01_Вводные'!$B$234="Да",IF(OR(('19_Расчет_аналитики'!AO4466-'19_Расчет_аналитики'!AO4494)=0,11&lt;='01_Вводные'!$B$297),0,('19_Расчет_аналитики'!AO4466-'19_Расчет_аналитики'!AO4494)*IF('01_Вводные'!$B$239="Да",MeanMinAge11+'19_Расчет_аналитики'!AO4608*SUMIF(ThresholdAge11,"&lt;"&amp;'19_Расчет_аналитики'!AO4608,WeightedRevAge11)-SUMIF(ThresholdAge11,"&lt;"&amp;'19_Расчет_аналитики'!AO4608,WeightedMinAge11),MAX(CapacityAge11*'01_Вводные'!$B$218*'19_Расчет_аналитики'!AO4608,MeanMinAge11))),0)</f>
        <v/>
      </c>
      <c r="AP4550">
        <f>IF('01_Вводные'!$B$234="Да",IF(OR(('19_Расчет_аналитики'!AP4466-'19_Расчет_аналитики'!AP4494)=0,11&lt;='01_Вводные'!$B$297),0,('19_Расчет_аналитики'!AP4466-'19_Расчет_аналитики'!AP4494)*IF('01_Вводные'!$B$239="Да",MeanMinAge11+'19_Расчет_аналитики'!AP4608*SUMIF(ThresholdAge11,"&lt;"&amp;'19_Расчет_аналитики'!AP4608,WeightedRevAge11)-SUMIF(ThresholdAge11,"&lt;"&amp;'19_Расчет_аналитики'!AP4608,WeightedMinAge11),MAX(CapacityAge11*'01_Вводные'!$B$218*'19_Расчет_аналитики'!AP4608,MeanMinAge11))),0)</f>
        <v/>
      </c>
      <c r="AQ4550">
        <f>IF('01_Вводные'!$B$234="Да",IF(OR(('19_Расчет_аналитики'!AQ4466-'19_Расчет_аналитики'!AQ4494)=0,11&lt;='01_Вводные'!$B$297),0,('19_Расчет_аналитики'!AQ4466-'19_Расчет_аналитики'!AQ4494)*IF('01_Вводные'!$B$239="Да",MeanMinAge11+'19_Расчет_аналитики'!AQ4608*SUMIF(ThresholdAge11,"&lt;"&amp;'19_Расчет_аналитики'!AQ4608,WeightedRevAge11)-SUMIF(ThresholdAge11,"&lt;"&amp;'19_Расчет_аналитики'!AQ4608,WeightedMinAge11),MAX(CapacityAge11*'01_Вводные'!$B$218*'19_Расчет_аналитики'!AQ4608,MeanMinAge11))),0)</f>
        <v/>
      </c>
      <c r="AR4550">
        <f>IF('01_Вводные'!$B$234="Да",IF(OR(('19_Расчет_аналитики'!AR4466-'19_Расчет_аналитики'!AR4494)=0,11&lt;='01_Вводные'!$B$297),0,('19_Расчет_аналитики'!AR4466-'19_Расчет_аналитики'!AR4494)*IF('01_Вводные'!$B$239="Да",MeanMinAge11+'19_Расчет_аналитики'!AR4608*SUMIF(ThresholdAge11,"&lt;"&amp;'19_Расчет_аналитики'!AR4608,WeightedRevAge11)-SUMIF(ThresholdAge11,"&lt;"&amp;'19_Расчет_аналитики'!AR4608,WeightedMinAge11),MAX(CapacityAge11*'01_Вводные'!$B$218*'19_Расчет_аналитики'!AR4608,MeanMinAge11))),0)</f>
        <v/>
      </c>
      <c r="AS4550">
        <f>IF('01_Вводные'!$B$234="Да",IF(OR(('19_Расчет_аналитики'!AS4466-'19_Расчет_аналитики'!AS4494)=0,11&lt;='01_Вводные'!$B$297),0,('19_Расчет_аналитики'!AS4466-'19_Расчет_аналитики'!AS4494)*IF('01_Вводные'!$B$239="Да",MeanMinAge11+'19_Расчет_аналитики'!AS4608*SUMIF(ThresholdAge11,"&lt;"&amp;'19_Расчет_аналитики'!AS4608,WeightedRevAge11)-SUMIF(ThresholdAge11,"&lt;"&amp;'19_Расчет_аналитики'!AS4608,WeightedMinAge11),MAX(CapacityAge11*'01_Вводные'!$B$218*'19_Расчет_аналитики'!AS4608,MeanMinAge11))),0)</f>
        <v/>
      </c>
      <c r="AT4550">
        <f>IF('01_Вводные'!$B$234="Да",IF(OR(('19_Расчет_аналитики'!AT4466-'19_Расчет_аналитики'!AT4494)=0,11&lt;='01_Вводные'!$B$297),0,('19_Расчет_аналитики'!AT4466-'19_Расчет_аналитики'!AT4494)*IF('01_Вводные'!$B$239="Да",MeanMinAge11+'19_Расчет_аналитики'!AT4608*SUMIF(ThresholdAge11,"&lt;"&amp;'19_Расчет_аналитики'!AT4608,WeightedRevAge11)-SUMIF(ThresholdAge11,"&lt;"&amp;'19_Расчет_аналитики'!AT4608,WeightedMinAge11),MAX(CapacityAge11*'01_Вводные'!$B$218*'19_Расчет_аналитики'!AT4608,MeanMinAge11))),0)</f>
        <v/>
      </c>
      <c r="AU4550">
        <f>IF('01_Вводные'!$B$234="Да",IF(OR(('19_Расчет_аналитики'!AU4466-'19_Расчет_аналитики'!AU4494)=0,11&lt;='01_Вводные'!$B$297),0,('19_Расчет_аналитики'!AU4466-'19_Расчет_аналитики'!AU4494)*IF('01_Вводные'!$B$239="Да",MeanMinAge11+'19_Расчет_аналитики'!AU4608*SUMIF(ThresholdAge11,"&lt;"&amp;'19_Расчет_аналитики'!AU4608,WeightedRevAge11)-SUMIF(ThresholdAge11,"&lt;"&amp;'19_Расчет_аналитики'!AU4608,WeightedMinAge11),MAX(CapacityAge11*'01_Вводные'!$B$218*'19_Расчет_аналитики'!AU4608,MeanMinAge11))),0)</f>
        <v/>
      </c>
      <c r="AV4550">
        <f>IF('01_Вводные'!$B$234="Да",IF(OR(('19_Расчет_аналитики'!AV4466-'19_Расчет_аналитики'!AV4494)=0,11&lt;='01_Вводные'!$B$297),0,('19_Расчет_аналитики'!AV4466-'19_Расчет_аналитики'!AV4494)*IF('01_Вводные'!$B$239="Да",MeanMinAge11+'19_Расчет_аналитики'!AV4608*SUMIF(ThresholdAge11,"&lt;"&amp;'19_Расчет_аналитики'!AV4608,WeightedRevAge11)-SUMIF(ThresholdAge11,"&lt;"&amp;'19_Расчет_аналитики'!AV4608,WeightedMinAge11),MAX(CapacityAge11*'01_Вводные'!$B$218*'19_Расчет_аналитики'!AV4608,MeanMinAge11))),0)</f>
        <v/>
      </c>
      <c r="AW4550">
        <f>IF('01_Вводные'!$B$234="Да",IF(OR(('19_Расчет_аналитики'!AW4466-'19_Расчет_аналитики'!AW4494)=0,11&lt;='01_Вводные'!$B$297),0,('19_Расчет_аналитики'!AW4466-'19_Расчет_аналитики'!AW4494)*IF('01_Вводные'!$B$239="Да",MeanMinAge11+'19_Расчет_аналитики'!AW4608*SUMIF(ThresholdAge11,"&lt;"&amp;'19_Расчет_аналитики'!AW4608,WeightedRevAge11)-SUMIF(ThresholdAge11,"&lt;"&amp;'19_Расчет_аналитики'!AW4608,WeightedMinAge11),MAX(CapacityAge11*'01_Вводные'!$B$218*'19_Расчет_аналитики'!AW4608,MeanMinAge11))),0)</f>
        <v/>
      </c>
      <c r="AX4550">
        <f>IF('01_Вводные'!$B$234="Да",IF(OR(('19_Расчет_аналитики'!AX4466-'19_Расчет_аналитики'!AX4494)=0,11&lt;='01_Вводные'!$B$297),0,('19_Расчет_аналитики'!AX4466-'19_Расчет_аналитики'!AX4494)*IF('01_Вводные'!$B$239="Да",MeanMinAge11+'19_Расчет_аналитики'!AX4608*SUMIF(ThresholdAge11,"&lt;"&amp;'19_Расчет_аналитики'!AX4608,WeightedRevAge11)-SUMIF(ThresholdAge11,"&lt;"&amp;'19_Расчет_аналитики'!AX4608,WeightedMinAge11),MAX(CapacityAge11*'01_Вводные'!$B$218*'19_Расчет_аналитики'!AX4608,MeanMinAge11))),0)</f>
        <v/>
      </c>
      <c r="AY4550">
        <f>IF('01_Вводные'!$B$234="Да",IF(OR(('19_Расчет_аналитики'!AY4466-'19_Расчет_аналитики'!AY4494)=0,11&lt;='01_Вводные'!$B$297),0,('19_Расчет_аналитики'!AY4466-'19_Расчет_аналитики'!AY4494)*IF('01_Вводные'!$B$239="Да",MeanMinAge11+'19_Расчет_аналитики'!AY4608*SUMIF(ThresholdAge11,"&lt;"&amp;'19_Расчет_аналитики'!AY4608,WeightedRevAge11)-SUMIF(ThresholdAge11,"&lt;"&amp;'19_Расчет_аналитики'!AY4608,WeightedMinAge11),MAX(CapacityAge11*'01_Вводные'!$B$218*'19_Расчет_аналитики'!AY4608,MeanMinAge11))),0)</f>
        <v/>
      </c>
      <c r="AZ4550">
        <f>IF('01_Вводные'!$B$234="Да",IF(OR(('19_Расчет_аналитики'!AZ4466-'19_Расчет_аналитики'!AZ4494)=0,11&lt;='01_Вводные'!$B$297),0,('19_Расчет_аналитики'!AZ4466-'19_Расчет_аналитики'!AZ4494)*IF('01_Вводные'!$B$239="Да",MeanMinAge11+'19_Расчет_аналитики'!AZ4608*SUMIF(ThresholdAge11,"&lt;"&amp;'19_Расчет_аналитики'!AZ4608,WeightedRevAge11)-SUMIF(ThresholdAge11,"&lt;"&amp;'19_Расчет_аналитики'!AZ4608,WeightedMinAge11),MAX(CapacityAge11*'01_Вводные'!$B$218*'19_Расчет_аналитики'!AZ4608,MeanMinAge11))),0)</f>
        <v/>
      </c>
      <c r="BA4550">
        <f>IF('01_Вводные'!$B$234="Да",IF(OR(('19_Расчет_аналитики'!BA4466-'19_Расчет_аналитики'!BA4494)=0,11&lt;='01_Вводные'!$B$297),0,('19_Расчет_аналитики'!BA4466-'19_Расчет_аналитики'!BA4494)*IF('01_Вводные'!$B$239="Да",MeanMinAge11+'19_Расчет_аналитики'!BA4608*SUMIF(ThresholdAge11,"&lt;"&amp;'19_Расчет_аналитики'!BA4608,WeightedRevAge11)-SUMIF(ThresholdAge11,"&lt;"&amp;'19_Расчет_аналитики'!BA4608,WeightedMinAge11),MAX(CapacityAge11*'01_Вводные'!$B$218*'19_Расчет_аналитики'!BA4608,MeanMinAge11))),0)</f>
        <v/>
      </c>
      <c r="BB4550">
        <f>IF('01_Вводные'!$B$234="Да",IF(OR(('19_Расчет_аналитики'!BB4466-'19_Расчет_аналитики'!BB4494)=0,11&lt;='01_Вводные'!$B$297),0,('19_Расчет_аналитики'!BB4466-'19_Расчет_аналитики'!BB4494)*IF('01_Вводные'!$B$239="Да",MeanMinAge11+'19_Расчет_аналитики'!BB4608*SUMIF(ThresholdAge11,"&lt;"&amp;'19_Расчет_аналитики'!BB4608,WeightedRevAge11)-SUMIF(ThresholdAge11,"&lt;"&amp;'19_Расчет_аналитики'!BB4608,WeightedMinAge11),MAX(CapacityAge11*'01_Вводные'!$B$218*'19_Расчет_аналитики'!BB4608,MeanMinAge11))),0)</f>
        <v/>
      </c>
      <c r="BC4550">
        <f>IF('01_Вводные'!$B$234="Да",IF(OR(('19_Расчет_аналитики'!BC4466-'19_Расчет_аналитики'!BC4494)=0,11&lt;='01_Вводные'!$B$297),0,('19_Расчет_аналитики'!BC4466-'19_Расчет_аналитики'!BC4494)*IF('01_Вводные'!$B$239="Да",MeanMinAge11+'19_Расчет_аналитики'!BC4608*SUMIF(ThresholdAge11,"&lt;"&amp;'19_Расчет_аналитики'!BC4608,WeightedRevAge11)-SUMIF(ThresholdAge11,"&lt;"&amp;'19_Расчет_аналитики'!BC4608,WeightedMinAge11),MAX(CapacityAge11*'01_Вводные'!$B$218*'19_Расчет_аналитики'!BC4608,MeanMinAge11))),0)</f>
        <v/>
      </c>
      <c r="BD4550">
        <f>IF('01_Вводные'!$B$234="Да",IF(OR(('19_Расчет_аналитики'!BD4466-'19_Расчет_аналитики'!BD4494)=0,11&lt;='01_Вводные'!$B$297),0,('19_Расчет_аналитики'!BD4466-'19_Расчет_аналитики'!BD4494)*IF('01_Вводные'!$B$239="Да",MeanMinAge11+'19_Расчет_аналитики'!BD4608*SUMIF(ThresholdAge11,"&lt;"&amp;'19_Расчет_аналитики'!BD4608,WeightedRevAge11)-SUMIF(ThresholdAge11,"&lt;"&amp;'19_Расчет_аналитики'!BD4608,WeightedMinAge11),MAX(CapacityAge11*'01_Вводные'!$B$218*'19_Расчет_аналитики'!BD4608,MeanMinAge11))),0)</f>
        <v/>
      </c>
      <c r="BE4550">
        <f>IF('01_Вводные'!$B$234="Да",IF(OR(('19_Расчет_аналитики'!BE4466-'19_Расчет_аналитики'!BE4494)=0,11&lt;='01_Вводные'!$B$297),0,('19_Расчет_аналитики'!BE4466-'19_Расчет_аналитики'!BE4494)*IF('01_Вводные'!$B$239="Да",MeanMinAge11+'19_Расчет_аналитики'!BE4608*SUMIF(ThresholdAge11,"&lt;"&amp;'19_Расчет_аналитики'!BE4608,WeightedRevAge11)-SUMIF(ThresholdAge11,"&lt;"&amp;'19_Расчет_аналитики'!BE4608,WeightedMinAge11),MAX(CapacityAge11*'01_Вводные'!$B$218*'19_Расчет_аналитики'!BE4608,MeanMinAge11))),0)</f>
        <v/>
      </c>
      <c r="BF4550">
        <f>IF('01_Вводные'!$B$234="Да",IF(OR(('19_Расчет_аналитики'!BF4466-'19_Расчет_аналитики'!BF4494)=0,11&lt;='01_Вводные'!$B$297),0,('19_Расчет_аналитики'!BF4466-'19_Расчет_аналитики'!BF4494)*IF('01_Вводные'!$B$239="Да",MeanMinAge11+'19_Расчет_аналитики'!BF4608*SUMIF(ThresholdAge11,"&lt;"&amp;'19_Расчет_аналитики'!BF4608,WeightedRevAge11)-SUMIF(ThresholdAge11,"&lt;"&amp;'19_Расчет_аналитики'!BF4608,WeightedMinAge11),MAX(CapacityAge11*'01_Вводные'!$B$218*'19_Расчет_аналитики'!BF4608,MeanMinAge11))),0)</f>
        <v/>
      </c>
      <c r="BG4550">
        <f>IF('01_Вводные'!$B$234="Да",IF(OR(('19_Расчет_аналитики'!BG4466-'19_Расчет_аналитики'!BG4494)=0,11&lt;='01_Вводные'!$B$297),0,('19_Расчет_аналитики'!BG4466-'19_Расчет_аналитики'!BG4494)*IF('01_Вводные'!$B$239="Да",MeanMinAge11+'19_Расчет_аналитики'!BG4608*SUMIF(ThresholdAge11,"&lt;"&amp;'19_Расчет_аналитики'!BG4608,WeightedRevAge11)-SUMIF(ThresholdAge11,"&lt;"&amp;'19_Расчет_аналитики'!BG4608,WeightedMinAge11),MAX(CapacityAge11*'01_Вводные'!$B$218*'19_Расчет_аналитики'!BG4608,MeanMinAge11))),0)</f>
        <v/>
      </c>
      <c r="BH4550">
        <f>IF('01_Вводные'!$B$234="Да",IF(OR(('19_Расчет_аналитики'!BH4466-'19_Расчет_аналитики'!BH4494)=0,11&lt;='01_Вводные'!$B$297),0,('19_Расчет_аналитики'!BH4466-'19_Расчет_аналитики'!BH4494)*IF('01_Вводные'!$B$239="Да",MeanMinAge11+'19_Расчет_аналитики'!BH4608*SUMIF(ThresholdAge11,"&lt;"&amp;'19_Расчет_аналитики'!BH4608,WeightedRevAge11)-SUMIF(ThresholdAge11,"&lt;"&amp;'19_Расчет_аналитики'!BH4608,WeightedMinAge11),MAX(CapacityAge11*'01_Вводные'!$B$218*'19_Расчет_аналитики'!BH4608,MeanMinAge11))),0)</f>
        <v/>
      </c>
      <c r="BI4550">
        <f>IF('01_Вводные'!$B$234="Да",IF(OR(('19_Расчет_аналитики'!BI4466-'19_Расчет_аналитики'!BI4494)=0,11&lt;='01_Вводные'!$B$297),0,('19_Расчет_аналитики'!BI4466-'19_Расчет_аналитики'!BI4494)*IF('01_Вводные'!$B$239="Да",MeanMinAge11+'19_Расчет_аналитики'!BI4608*SUMIF(ThresholdAge11,"&lt;"&amp;'19_Расчет_аналитики'!BI4608,WeightedRevAge11)-SUMIF(ThresholdAge11,"&lt;"&amp;'19_Расчет_аналитики'!BI4608,WeightedMinAge11),MAX(CapacityAge11*'01_Вводные'!$B$218*'19_Расчет_аналитики'!BI4608,MeanMinAge11))),0)</f>
        <v/>
      </c>
      <c r="BJ4550">
        <f>IF('01_Вводные'!$B$234="Да",IF(OR(('19_Расчет_аналитики'!BJ4466-'19_Расчет_аналитики'!BJ4494)=0,11&lt;='01_Вводные'!$B$297),0,('19_Расчет_аналитики'!BJ4466-'19_Расчет_аналитики'!BJ4494)*IF('01_Вводные'!$B$239="Да",MeanMinAge11+'19_Расчет_аналитики'!BJ4608*SUMIF(ThresholdAge11,"&lt;"&amp;'19_Расчет_аналитики'!BJ4608,WeightedRevAge11)-SUMIF(ThresholdAge11,"&lt;"&amp;'19_Расчет_аналитики'!BJ4608,WeightedMinAge11),MAX(CapacityAge11*'01_Вводные'!$B$218*'19_Расчет_аналитики'!BJ4608,MeanMinAge11))),0)</f>
        <v/>
      </c>
      <c r="BK4550">
        <f>IF('01_Вводные'!$B$234="Да",IF(OR(('19_Расчет_аналитики'!BK4466-'19_Расчет_аналитики'!BK4494)=0,11&lt;='01_Вводные'!$B$297),0,('19_Расчет_аналитики'!BK4466-'19_Расчет_аналитики'!BK4494)*IF('01_Вводные'!$B$239="Да",MeanMinAge11+'19_Расчет_аналитики'!BK4608*SUMIF(ThresholdAge11,"&lt;"&amp;'19_Расчет_аналитики'!BK4608,WeightedRevAge11)-SUMIF(ThresholdAge11,"&lt;"&amp;'19_Расчет_аналитики'!BK4608,WeightedMinAge11),MAX(CapacityAge11*'01_Вводные'!$B$218*'19_Расчет_аналитики'!BK4608,MeanMinAge11))),0)</f>
        <v/>
      </c>
      <c r="BL4550">
        <f>IF('01_Вводные'!$B$234="Да",IF(OR(('19_Расчет_аналитики'!BL4466-'19_Расчет_аналитики'!BL4494)=0,11&lt;='01_Вводные'!$B$297),0,('19_Расчет_аналитики'!BL4466-'19_Расчет_аналитики'!BL4494)*IF('01_Вводные'!$B$239="Да",MeanMinAge11+'19_Расчет_аналитики'!BL4608*SUMIF(ThresholdAge11,"&lt;"&amp;'19_Расчет_аналитики'!BL4608,WeightedRevAge11)-SUMIF(ThresholdAge11,"&lt;"&amp;'19_Расчет_аналитики'!BL4608,WeightedMinAge11),MAX(CapacityAge11*'01_Вводные'!$B$218*'19_Расчет_аналитики'!BL4608,MeanMinAge11))),0)</f>
        <v/>
      </c>
      <c r="BM4550">
        <f>IF('01_Вводные'!$B$234="Да",IF(OR(('19_Расчет_аналитики'!BM4466-'19_Расчет_аналитики'!BM4494)=0,11&lt;='01_Вводные'!$B$297),0,('19_Расчет_аналитики'!BM4466-'19_Расчет_аналитики'!BM4494)*IF('01_Вводные'!$B$239="Да",MeanMinAge11+'19_Расчет_аналитики'!BM4608*SUMIF(ThresholdAge11,"&lt;"&amp;'19_Расчет_аналитики'!BM4608,WeightedRevAge11)-SUMIF(ThresholdAge11,"&lt;"&amp;'19_Расчет_аналитики'!BM4608,WeightedMinAge11),MAX(CapacityAge11*'01_Вводные'!$B$218*'19_Расчет_аналитики'!BM4608,MeanMinAge11))),0)</f>
        <v/>
      </c>
      <c r="BN4550">
        <f>IF('01_Вводные'!$B$234="Да",IF(OR(('19_Расчет_аналитики'!BN4466-'19_Расчет_аналитики'!BN4494)=0,11&lt;='01_Вводные'!$B$297),0,('19_Расчет_аналитики'!BN4466-'19_Расчет_аналитики'!BN4494)*IF('01_Вводные'!$B$239="Да",MeanMinAge11+'19_Расчет_аналитики'!BN4608*SUMIF(ThresholdAge11,"&lt;"&amp;'19_Расчет_аналитики'!BN4608,WeightedRevAge11)-SUMIF(ThresholdAge11,"&lt;"&amp;'19_Расчет_аналитики'!BN4608,WeightedMinAge11),MAX(CapacityAge11*'01_Вводные'!$B$218*'19_Расчет_аналитики'!BN4608,MeanMinAge11))),0)</f>
        <v/>
      </c>
      <c r="BO4550">
        <f>IF('01_Вводные'!$B$234="Да",IF(OR(('19_Расчет_аналитики'!BO4466-'19_Расчет_аналитики'!BO4494)=0,11&lt;='01_Вводные'!$B$297),0,('19_Расчет_аналитики'!BO4466-'19_Расчет_аналитики'!BO4494)*IF('01_Вводные'!$B$239="Да",MeanMinAge11+'19_Расчет_аналитики'!BO4608*SUMIF(ThresholdAge11,"&lt;"&amp;'19_Расчет_аналитики'!BO4608,WeightedRevAge11)-SUMIF(ThresholdAge11,"&lt;"&amp;'19_Расчет_аналитики'!BO4608,WeightedMinAge11),MAX(CapacityAge11*'01_Вводные'!$B$218*'19_Расчет_аналитики'!BO4608,MeanMinAge11))),0)</f>
        <v/>
      </c>
    </row>
    <row r="4551">
      <c r="B4551">
        <f>IF('01_Вводные'!$B$234="Да",IF(OR(('06_Сеть_и_дети'!B64-'06_Сеть_и_дети'!B92)=0,12&lt;='01_Вводные'!$B$297),0,('06_Сеть_и_дети'!B64-'06_Сеть_и_дети'!B92)*IF('01_Вводные'!$B$239="Да",MeanMinAge12+'19_Расчет_аналитики'!B4608*SUMIF(ThresholdAge12,"&lt;"&amp;'19_Расчет_аналитики'!B4608,WeightedRevAge12)-SUMIF(ThresholdAge12,"&lt;"&amp;'19_Расчет_аналитики'!B4608,WeightedMinAge12),MAX(CapacityAge12*'01_Вводные'!$B$218*'19_Расчет_аналитики'!B4608,MeanMinAge12))),0)</f>
        <v/>
      </c>
      <c r="C4551">
        <f>IF('01_Вводные'!$B$234="Да",IF(OR(('06_Сеть_и_дети'!C64-'06_Сеть_и_дети'!C92)=0,12&lt;='01_Вводные'!$B$297),0,('06_Сеть_и_дети'!C64-'06_Сеть_и_дети'!C92)*IF('01_Вводные'!$B$239="Да",MeanMinAge12+'19_Расчет_аналитики'!C4608*SUMIF(ThresholdAge12,"&lt;"&amp;'19_Расчет_аналитики'!C4608,WeightedRevAge12)-SUMIF(ThresholdAge12,"&lt;"&amp;'19_Расчет_аналитики'!C4608,WeightedMinAge12),MAX(CapacityAge12*'01_Вводные'!$B$218*'19_Расчет_аналитики'!C4608,MeanMinAge12))),0)</f>
        <v/>
      </c>
      <c r="D4551">
        <f>IF('01_Вводные'!$B$234="Да",IF(OR(('06_Сеть_и_дети'!D64-'06_Сеть_и_дети'!D92)=0,12&lt;='01_Вводные'!$B$297),0,('06_Сеть_и_дети'!D64-'06_Сеть_и_дети'!D92)*IF('01_Вводные'!$B$239="Да",MeanMinAge12+'19_Расчет_аналитики'!D4608*SUMIF(ThresholdAge12,"&lt;"&amp;'19_Расчет_аналитики'!D4608,WeightedRevAge12)-SUMIF(ThresholdAge12,"&lt;"&amp;'19_Расчет_аналитики'!D4608,WeightedMinAge12),MAX(CapacityAge12*'01_Вводные'!$B$218*'19_Расчет_аналитики'!D4608,MeanMinAge12))),0)</f>
        <v/>
      </c>
      <c r="E4551">
        <f>IF('01_Вводные'!$B$234="Да",IF(OR(('06_Сеть_и_дети'!E64-'06_Сеть_и_дети'!E92)=0,12&lt;='01_Вводные'!$B$297),0,('06_Сеть_и_дети'!E64-'06_Сеть_и_дети'!E92)*IF('01_Вводные'!$B$239="Да",MeanMinAge12+'19_Расчет_аналитики'!E4608*SUMIF(ThresholdAge12,"&lt;"&amp;'19_Расчет_аналитики'!E4608,WeightedRevAge12)-SUMIF(ThresholdAge12,"&lt;"&amp;'19_Расчет_аналитики'!E4608,WeightedMinAge12),MAX(CapacityAge12*'01_Вводные'!$B$218*'19_Расчет_аналитики'!E4608,MeanMinAge12))),0)</f>
        <v/>
      </c>
      <c r="F4551">
        <f>IF('01_Вводные'!$B$234="Да",IF(OR(('06_Сеть_и_дети'!F64-'06_Сеть_и_дети'!F92)=0,12&lt;='01_Вводные'!$B$297),0,('06_Сеть_и_дети'!F64-'06_Сеть_и_дети'!F92)*IF('01_Вводные'!$B$239="Да",MeanMinAge12+'19_Расчет_аналитики'!F4608*SUMIF(ThresholdAge12,"&lt;"&amp;'19_Расчет_аналитики'!F4608,WeightedRevAge12)-SUMIF(ThresholdAge12,"&lt;"&amp;'19_Расчет_аналитики'!F4608,WeightedMinAge12),MAX(CapacityAge12*'01_Вводные'!$B$218*'19_Расчет_аналитики'!F4608,MeanMinAge12))),0)</f>
        <v/>
      </c>
      <c r="G4551">
        <f>IF('01_Вводные'!$B$234="Да",IF(OR(('06_Сеть_и_дети'!G64-'06_Сеть_и_дети'!G92)=0,12&lt;='01_Вводные'!$B$297),0,('06_Сеть_и_дети'!G64-'06_Сеть_и_дети'!G92)*IF('01_Вводные'!$B$239="Да",MeanMinAge12+'19_Расчет_аналитики'!G4608*SUMIF(ThresholdAge12,"&lt;"&amp;'19_Расчет_аналитики'!G4608,WeightedRevAge12)-SUMIF(ThresholdAge12,"&lt;"&amp;'19_Расчет_аналитики'!G4608,WeightedMinAge12),MAX(CapacityAge12*'01_Вводные'!$B$218*'19_Расчет_аналитики'!G4608,MeanMinAge12))),0)</f>
        <v/>
      </c>
      <c r="H4551">
        <f>IF('01_Вводные'!$B$234="Да",IF(OR(('06_Сеть_и_дети'!H64-'06_Сеть_и_дети'!H92)=0,12&lt;='01_Вводные'!$B$297),0,('06_Сеть_и_дети'!H64-'06_Сеть_и_дети'!H92)*IF('01_Вводные'!$B$239="Да",MeanMinAge12+'19_Расчет_аналитики'!H4608*SUMIF(ThresholdAge12,"&lt;"&amp;'19_Расчет_аналитики'!H4608,WeightedRevAge12)-SUMIF(ThresholdAge12,"&lt;"&amp;'19_Расчет_аналитики'!H4608,WeightedMinAge12),MAX(CapacityAge12*'01_Вводные'!$B$218*'19_Расчет_аналитики'!H4608,MeanMinAge12))),0)</f>
        <v/>
      </c>
      <c r="I4551">
        <f>IF('01_Вводные'!$B$234="Да",IF(OR(('06_Сеть_и_дети'!I64-'06_Сеть_и_дети'!I92)=0,12&lt;='01_Вводные'!$B$297),0,('06_Сеть_и_дети'!I64-'06_Сеть_и_дети'!I92)*IF('01_Вводные'!$B$239="Да",MeanMinAge12+'19_Расчет_аналитики'!I4608*SUMIF(ThresholdAge12,"&lt;"&amp;'19_Расчет_аналитики'!I4608,WeightedRevAge12)-SUMIF(ThresholdAge12,"&lt;"&amp;'19_Расчет_аналитики'!I4608,WeightedMinAge12),MAX(CapacityAge12*'01_Вводные'!$B$218*'19_Расчет_аналитики'!I4608,MeanMinAge12))),0)</f>
        <v/>
      </c>
      <c r="J4551">
        <f>IF('01_Вводные'!$B$234="Да",IF(OR(('06_Сеть_и_дети'!J64-'06_Сеть_и_дети'!J92)=0,12&lt;='01_Вводные'!$B$297),0,('06_Сеть_и_дети'!J64-'06_Сеть_и_дети'!J92)*IF('01_Вводные'!$B$239="Да",MeanMinAge12+'19_Расчет_аналитики'!J4608*SUMIF(ThresholdAge12,"&lt;"&amp;'19_Расчет_аналитики'!J4608,WeightedRevAge12)-SUMIF(ThresholdAge12,"&lt;"&amp;'19_Расчет_аналитики'!J4608,WeightedMinAge12),MAX(CapacityAge12*'01_Вводные'!$B$218*'19_Расчет_аналитики'!J4608,MeanMinAge12))),0)</f>
        <v/>
      </c>
      <c r="K4551">
        <f>IF('01_Вводные'!$B$234="Да",IF(OR(('06_Сеть_и_дети'!K64-'06_Сеть_и_дети'!K92)=0,12&lt;='01_Вводные'!$B$297),0,('06_Сеть_и_дети'!K64-'06_Сеть_и_дети'!K92)*IF('01_Вводные'!$B$239="Да",MeanMinAge12+'19_Расчет_аналитики'!K4608*SUMIF(ThresholdAge12,"&lt;"&amp;'19_Расчет_аналитики'!K4608,WeightedRevAge12)-SUMIF(ThresholdAge12,"&lt;"&amp;'19_Расчет_аналитики'!K4608,WeightedMinAge12),MAX(CapacityAge12*'01_Вводные'!$B$218*'19_Расчет_аналитики'!K4608,MeanMinAge12))),0)</f>
        <v/>
      </c>
      <c r="L4551">
        <f>IF('01_Вводные'!$B$234="Да",IF(OR(('06_Сеть_и_дети'!L64-'06_Сеть_и_дети'!L92)=0,12&lt;='01_Вводные'!$B$297),0,('06_Сеть_и_дети'!L64-'06_Сеть_и_дети'!L92)*IF('01_Вводные'!$B$239="Да",MeanMinAge12+'19_Расчет_аналитики'!L4608*SUMIF(ThresholdAge12,"&lt;"&amp;'19_Расчет_аналитики'!L4608,WeightedRevAge12)-SUMIF(ThresholdAge12,"&lt;"&amp;'19_Расчет_аналитики'!L4608,WeightedMinAge12),MAX(CapacityAge12*'01_Вводные'!$B$218*'19_Расчет_аналитики'!L4608,MeanMinAge12))),0)</f>
        <v/>
      </c>
      <c r="M4551">
        <f>IF('01_Вводные'!$B$234="Да",IF(OR(('19_Расчет_аналитики'!M4467-'19_Расчет_аналитики'!M4495)=0,12&lt;='01_Вводные'!$B$297),0,('19_Расчет_аналитики'!M4467-'19_Расчет_аналитики'!M4495)*IF('01_Вводные'!$B$239="Да",MeanMinAge12+'19_Расчет_аналитики'!M4608*SUMIF(ThresholdAge12,"&lt;"&amp;'19_Расчет_аналитики'!M4608,WeightedRevAge12)-SUMIF(ThresholdAge12,"&lt;"&amp;'19_Расчет_аналитики'!M4608,WeightedMinAge12),MAX(CapacityAge12*'01_Вводные'!$B$218*'19_Расчет_аналитики'!M4608,MeanMinAge12))),0)</f>
        <v/>
      </c>
      <c r="N4551">
        <f>IF('01_Вводные'!$B$234="Да",IF(OR(('19_Расчет_аналитики'!N4467-'19_Расчет_аналитики'!N4495)=0,12&lt;='01_Вводные'!$B$297),0,('19_Расчет_аналитики'!N4467-'19_Расчет_аналитики'!N4495)*IF('01_Вводные'!$B$239="Да",MeanMinAge12+'19_Расчет_аналитики'!N4608*SUMIF(ThresholdAge12,"&lt;"&amp;'19_Расчет_аналитики'!N4608,WeightedRevAge12)-SUMIF(ThresholdAge12,"&lt;"&amp;'19_Расчет_аналитики'!N4608,WeightedMinAge12),MAX(CapacityAge12*'01_Вводные'!$B$218*'19_Расчет_аналитики'!N4608,MeanMinAge12))),0)</f>
        <v/>
      </c>
      <c r="O4551">
        <f>IF('01_Вводные'!$B$234="Да",IF(OR(('19_Расчет_аналитики'!O4467-'19_Расчет_аналитики'!O4495)=0,12&lt;='01_Вводные'!$B$297),0,('19_Расчет_аналитики'!O4467-'19_Расчет_аналитики'!O4495)*IF('01_Вводные'!$B$239="Да",MeanMinAge12+'19_Расчет_аналитики'!O4608*SUMIF(ThresholdAge12,"&lt;"&amp;'19_Расчет_аналитики'!O4608,WeightedRevAge12)-SUMIF(ThresholdAge12,"&lt;"&amp;'19_Расчет_аналитики'!O4608,WeightedMinAge12),MAX(CapacityAge12*'01_Вводные'!$B$218*'19_Расчет_аналитики'!O4608,MeanMinAge12))),0)</f>
        <v/>
      </c>
      <c r="P4551">
        <f>IF('01_Вводные'!$B$234="Да",IF(OR(('19_Расчет_аналитики'!P4467-'19_Расчет_аналитики'!P4495)=0,12&lt;='01_Вводные'!$B$297),0,('19_Расчет_аналитики'!P4467-'19_Расчет_аналитики'!P4495)*IF('01_Вводные'!$B$239="Да",MeanMinAge12+'19_Расчет_аналитики'!P4608*SUMIF(ThresholdAge12,"&lt;"&amp;'19_Расчет_аналитики'!P4608,WeightedRevAge12)-SUMIF(ThresholdAge12,"&lt;"&amp;'19_Расчет_аналитики'!P4608,WeightedMinAge12),MAX(CapacityAge12*'01_Вводные'!$B$218*'19_Расчет_аналитики'!P4608,MeanMinAge12))),0)</f>
        <v/>
      </c>
      <c r="Q4551">
        <f>IF('01_Вводные'!$B$234="Да",IF(OR(('19_Расчет_аналитики'!Q4467-'19_Расчет_аналитики'!Q4495)=0,12&lt;='01_Вводные'!$B$297),0,('19_Расчет_аналитики'!Q4467-'19_Расчет_аналитики'!Q4495)*IF('01_Вводные'!$B$239="Да",MeanMinAge12+'19_Расчет_аналитики'!Q4608*SUMIF(ThresholdAge12,"&lt;"&amp;'19_Расчет_аналитики'!Q4608,WeightedRevAge12)-SUMIF(ThresholdAge12,"&lt;"&amp;'19_Расчет_аналитики'!Q4608,WeightedMinAge12),MAX(CapacityAge12*'01_Вводные'!$B$218*'19_Расчет_аналитики'!Q4608,MeanMinAge12))),0)</f>
        <v/>
      </c>
      <c r="R4551">
        <f>IF('01_Вводные'!$B$234="Да",IF(OR(('19_Расчет_аналитики'!R4467-'19_Расчет_аналитики'!R4495)=0,12&lt;='01_Вводные'!$B$297),0,('19_Расчет_аналитики'!R4467-'19_Расчет_аналитики'!R4495)*IF('01_Вводные'!$B$239="Да",MeanMinAge12+'19_Расчет_аналитики'!R4608*SUMIF(ThresholdAge12,"&lt;"&amp;'19_Расчет_аналитики'!R4608,WeightedRevAge12)-SUMIF(ThresholdAge12,"&lt;"&amp;'19_Расчет_аналитики'!R4608,WeightedMinAge12),MAX(CapacityAge12*'01_Вводные'!$B$218*'19_Расчет_аналитики'!R4608,MeanMinAge12))),0)</f>
        <v/>
      </c>
      <c r="S4551">
        <f>IF('01_Вводные'!$B$234="Да",IF(OR(('19_Расчет_аналитики'!S4467-'19_Расчет_аналитики'!S4495)=0,12&lt;='01_Вводные'!$B$297),0,('19_Расчет_аналитики'!S4467-'19_Расчет_аналитики'!S4495)*IF('01_Вводные'!$B$239="Да",MeanMinAge12+'19_Расчет_аналитики'!S4608*SUMIF(ThresholdAge12,"&lt;"&amp;'19_Расчет_аналитики'!S4608,WeightedRevAge12)-SUMIF(ThresholdAge12,"&lt;"&amp;'19_Расчет_аналитики'!S4608,WeightedMinAge12),MAX(CapacityAge12*'01_Вводные'!$B$218*'19_Расчет_аналитики'!S4608,MeanMinAge12))),0)</f>
        <v/>
      </c>
      <c r="T4551">
        <f>IF('01_Вводные'!$B$234="Да",IF(OR(('19_Расчет_аналитики'!T4467-'19_Расчет_аналитики'!T4495)=0,12&lt;='01_Вводные'!$B$297),0,('19_Расчет_аналитики'!T4467-'19_Расчет_аналитики'!T4495)*IF('01_Вводные'!$B$239="Да",MeanMinAge12+'19_Расчет_аналитики'!T4608*SUMIF(ThresholdAge12,"&lt;"&amp;'19_Расчет_аналитики'!T4608,WeightedRevAge12)-SUMIF(ThresholdAge12,"&lt;"&amp;'19_Расчет_аналитики'!T4608,WeightedMinAge12),MAX(CapacityAge12*'01_Вводные'!$B$218*'19_Расчет_аналитики'!T4608,MeanMinAge12))),0)</f>
        <v/>
      </c>
      <c r="U4551">
        <f>IF('01_Вводные'!$B$234="Да",IF(OR(('19_Расчет_аналитики'!U4467-'19_Расчет_аналитики'!U4495)=0,12&lt;='01_Вводные'!$B$297),0,('19_Расчет_аналитики'!U4467-'19_Расчет_аналитики'!U4495)*IF('01_Вводные'!$B$239="Да",MeanMinAge12+'19_Расчет_аналитики'!U4608*SUMIF(ThresholdAge12,"&lt;"&amp;'19_Расчет_аналитики'!U4608,WeightedRevAge12)-SUMIF(ThresholdAge12,"&lt;"&amp;'19_Расчет_аналитики'!U4608,WeightedMinAge12),MAX(CapacityAge12*'01_Вводные'!$B$218*'19_Расчет_аналитики'!U4608,MeanMinAge12))),0)</f>
        <v/>
      </c>
      <c r="V4551">
        <f>IF('01_Вводные'!$B$234="Да",IF(OR(('19_Расчет_аналитики'!V4467-'19_Расчет_аналитики'!V4495)=0,12&lt;='01_Вводные'!$B$297),0,('19_Расчет_аналитики'!V4467-'19_Расчет_аналитики'!V4495)*IF('01_Вводные'!$B$239="Да",MeanMinAge12+'19_Расчет_аналитики'!V4608*SUMIF(ThresholdAge12,"&lt;"&amp;'19_Расчет_аналитики'!V4608,WeightedRevAge12)-SUMIF(ThresholdAge12,"&lt;"&amp;'19_Расчет_аналитики'!V4608,WeightedMinAge12),MAX(CapacityAge12*'01_Вводные'!$B$218*'19_Расчет_аналитики'!V4608,MeanMinAge12))),0)</f>
        <v/>
      </c>
      <c r="W4551">
        <f>IF('01_Вводные'!$B$234="Да",IF(OR(('19_Расчет_аналитики'!W4467-'19_Расчет_аналитики'!W4495)=0,12&lt;='01_Вводные'!$B$297),0,('19_Расчет_аналитики'!W4467-'19_Расчет_аналитики'!W4495)*IF('01_Вводные'!$B$239="Да",MeanMinAge12+'19_Расчет_аналитики'!W4608*SUMIF(ThresholdAge12,"&lt;"&amp;'19_Расчет_аналитики'!W4608,WeightedRevAge12)-SUMIF(ThresholdAge12,"&lt;"&amp;'19_Расчет_аналитики'!W4608,WeightedMinAge12),MAX(CapacityAge12*'01_Вводные'!$B$218*'19_Расчет_аналитики'!W4608,MeanMinAge12))),0)</f>
        <v/>
      </c>
      <c r="X4551">
        <f>IF('01_Вводные'!$B$234="Да",IF(OR(('19_Расчет_аналитики'!X4467-'19_Расчет_аналитики'!X4495)=0,12&lt;='01_Вводные'!$B$297),0,('19_Расчет_аналитики'!X4467-'19_Расчет_аналитики'!X4495)*IF('01_Вводные'!$B$239="Да",MeanMinAge12+'19_Расчет_аналитики'!X4608*SUMIF(ThresholdAge12,"&lt;"&amp;'19_Расчет_аналитики'!X4608,WeightedRevAge12)-SUMIF(ThresholdAge12,"&lt;"&amp;'19_Расчет_аналитики'!X4608,WeightedMinAge12),MAX(CapacityAge12*'01_Вводные'!$B$218*'19_Расчет_аналитики'!X4608,MeanMinAge12))),0)</f>
        <v/>
      </c>
      <c r="Y4551">
        <f>IF('01_Вводные'!$B$234="Да",IF(OR(('19_Расчет_аналитики'!Y4467-'19_Расчет_аналитики'!Y4495)=0,12&lt;='01_Вводные'!$B$297),0,('19_Расчет_аналитики'!Y4467-'19_Расчет_аналитики'!Y4495)*IF('01_Вводные'!$B$239="Да",MeanMinAge12+'19_Расчет_аналитики'!Y4608*SUMIF(ThresholdAge12,"&lt;"&amp;'19_Расчет_аналитики'!Y4608,WeightedRevAge12)-SUMIF(ThresholdAge12,"&lt;"&amp;'19_Расчет_аналитики'!Y4608,WeightedMinAge12),MAX(CapacityAge12*'01_Вводные'!$B$218*'19_Расчет_аналитики'!Y4608,MeanMinAge12))),0)</f>
        <v/>
      </c>
      <c r="Z4551">
        <f>IF('01_Вводные'!$B$234="Да",IF(OR(('19_Расчет_аналитики'!Z4467-'19_Расчет_аналитики'!Z4495)=0,12&lt;='01_Вводные'!$B$297),0,('19_Расчет_аналитики'!Z4467-'19_Расчет_аналитики'!Z4495)*IF('01_Вводные'!$B$239="Да",MeanMinAge12+'19_Расчет_аналитики'!Z4608*SUMIF(ThresholdAge12,"&lt;"&amp;'19_Расчет_аналитики'!Z4608,WeightedRevAge12)-SUMIF(ThresholdAge12,"&lt;"&amp;'19_Расчет_аналитики'!Z4608,WeightedMinAge12),MAX(CapacityAge12*'01_Вводные'!$B$218*'19_Расчет_аналитики'!Z4608,MeanMinAge12))),0)</f>
        <v/>
      </c>
      <c r="AA4551">
        <f>IF('01_Вводные'!$B$234="Да",IF(OR(('19_Расчет_аналитики'!AA4467-'19_Расчет_аналитики'!AA4495)=0,12&lt;='01_Вводные'!$B$297),0,('19_Расчет_аналитики'!AA4467-'19_Расчет_аналитики'!AA4495)*IF('01_Вводные'!$B$239="Да",MeanMinAge12+'19_Расчет_аналитики'!AA4608*SUMIF(ThresholdAge12,"&lt;"&amp;'19_Расчет_аналитики'!AA4608,WeightedRevAge12)-SUMIF(ThresholdAge12,"&lt;"&amp;'19_Расчет_аналитики'!AA4608,WeightedMinAge12),MAX(CapacityAge12*'01_Вводные'!$B$218*'19_Расчет_аналитики'!AA4608,MeanMinAge12))),0)</f>
        <v/>
      </c>
      <c r="AB4551">
        <f>IF('01_Вводные'!$B$234="Да",IF(OR(('19_Расчет_аналитики'!AB4467-'19_Расчет_аналитики'!AB4495)=0,12&lt;='01_Вводные'!$B$297),0,('19_Расчет_аналитики'!AB4467-'19_Расчет_аналитики'!AB4495)*IF('01_Вводные'!$B$239="Да",MeanMinAge12+'19_Расчет_аналитики'!AB4608*SUMIF(ThresholdAge12,"&lt;"&amp;'19_Расчет_аналитики'!AB4608,WeightedRevAge12)-SUMIF(ThresholdAge12,"&lt;"&amp;'19_Расчет_аналитики'!AB4608,WeightedMinAge12),MAX(CapacityAge12*'01_Вводные'!$B$218*'19_Расчет_аналитики'!AB4608,MeanMinAge12))),0)</f>
        <v/>
      </c>
      <c r="AC4551">
        <f>IF('01_Вводные'!$B$234="Да",IF(OR(('19_Расчет_аналитики'!AC4467-'19_Расчет_аналитики'!AC4495)=0,12&lt;='01_Вводные'!$B$297),0,('19_Расчет_аналитики'!AC4467-'19_Расчет_аналитики'!AC4495)*IF('01_Вводные'!$B$239="Да",MeanMinAge12+'19_Расчет_аналитики'!AC4608*SUMIF(ThresholdAge12,"&lt;"&amp;'19_Расчет_аналитики'!AC4608,WeightedRevAge12)-SUMIF(ThresholdAge12,"&lt;"&amp;'19_Расчет_аналитики'!AC4608,WeightedMinAge12),MAX(CapacityAge12*'01_Вводные'!$B$218*'19_Расчет_аналитики'!AC4608,MeanMinAge12))),0)</f>
        <v/>
      </c>
      <c r="AD4551">
        <f>IF('01_Вводные'!$B$234="Да",IF(OR(('19_Расчет_аналитики'!AD4467-'19_Расчет_аналитики'!AD4495)=0,12&lt;='01_Вводные'!$B$297),0,('19_Расчет_аналитики'!AD4467-'19_Расчет_аналитики'!AD4495)*IF('01_Вводные'!$B$239="Да",MeanMinAge12+'19_Расчет_аналитики'!AD4608*SUMIF(ThresholdAge12,"&lt;"&amp;'19_Расчет_аналитики'!AD4608,WeightedRevAge12)-SUMIF(ThresholdAge12,"&lt;"&amp;'19_Расчет_аналитики'!AD4608,WeightedMinAge12),MAX(CapacityAge12*'01_Вводные'!$B$218*'19_Расчет_аналитики'!AD4608,MeanMinAge12))),0)</f>
        <v/>
      </c>
      <c r="AE4551">
        <f>IF('01_Вводные'!$B$234="Да",IF(OR(('19_Расчет_аналитики'!AE4467-'19_Расчет_аналитики'!AE4495)=0,12&lt;='01_Вводные'!$B$297),0,('19_Расчет_аналитики'!AE4467-'19_Расчет_аналитики'!AE4495)*IF('01_Вводные'!$B$239="Да",MeanMinAge12+'19_Расчет_аналитики'!AE4608*SUMIF(ThresholdAge12,"&lt;"&amp;'19_Расчет_аналитики'!AE4608,WeightedRevAge12)-SUMIF(ThresholdAge12,"&lt;"&amp;'19_Расчет_аналитики'!AE4608,WeightedMinAge12),MAX(CapacityAge12*'01_Вводные'!$B$218*'19_Расчет_аналитики'!AE4608,MeanMinAge12))),0)</f>
        <v/>
      </c>
      <c r="AF4551">
        <f>IF('01_Вводные'!$B$234="Да",IF(OR(('19_Расчет_аналитики'!AF4467-'19_Расчет_аналитики'!AF4495)=0,12&lt;='01_Вводные'!$B$297),0,('19_Расчет_аналитики'!AF4467-'19_Расчет_аналитики'!AF4495)*IF('01_Вводные'!$B$239="Да",MeanMinAge12+'19_Расчет_аналитики'!AF4608*SUMIF(ThresholdAge12,"&lt;"&amp;'19_Расчет_аналитики'!AF4608,WeightedRevAge12)-SUMIF(ThresholdAge12,"&lt;"&amp;'19_Расчет_аналитики'!AF4608,WeightedMinAge12),MAX(CapacityAge12*'01_Вводные'!$B$218*'19_Расчет_аналитики'!AF4608,MeanMinAge12))),0)</f>
        <v/>
      </c>
      <c r="AG4551">
        <f>IF('01_Вводные'!$B$234="Да",IF(OR(('19_Расчет_аналитики'!AG4467-'19_Расчет_аналитики'!AG4495)=0,12&lt;='01_Вводные'!$B$297),0,('19_Расчет_аналитики'!AG4467-'19_Расчет_аналитики'!AG4495)*IF('01_Вводные'!$B$239="Да",MeanMinAge12+'19_Расчет_аналитики'!AG4608*SUMIF(ThresholdAge12,"&lt;"&amp;'19_Расчет_аналитики'!AG4608,WeightedRevAge12)-SUMIF(ThresholdAge12,"&lt;"&amp;'19_Расчет_аналитики'!AG4608,WeightedMinAge12),MAX(CapacityAge12*'01_Вводные'!$B$218*'19_Расчет_аналитики'!AG4608,MeanMinAge12))),0)</f>
        <v/>
      </c>
      <c r="AH4551">
        <f>IF('01_Вводные'!$B$234="Да",IF(OR(('19_Расчет_аналитики'!AH4467-'19_Расчет_аналитики'!AH4495)=0,12&lt;='01_Вводные'!$B$297),0,('19_Расчет_аналитики'!AH4467-'19_Расчет_аналитики'!AH4495)*IF('01_Вводные'!$B$239="Да",MeanMinAge12+'19_Расчет_аналитики'!AH4608*SUMIF(ThresholdAge12,"&lt;"&amp;'19_Расчет_аналитики'!AH4608,WeightedRevAge12)-SUMIF(ThresholdAge12,"&lt;"&amp;'19_Расчет_аналитики'!AH4608,WeightedMinAge12),MAX(CapacityAge12*'01_Вводные'!$B$218*'19_Расчет_аналитики'!AH4608,MeanMinAge12))),0)</f>
        <v/>
      </c>
      <c r="AI4551">
        <f>IF('01_Вводные'!$B$234="Да",IF(OR(('19_Расчет_аналитики'!AI4467-'19_Расчет_аналитики'!AI4495)=0,12&lt;='01_Вводные'!$B$297),0,('19_Расчет_аналитики'!AI4467-'19_Расчет_аналитики'!AI4495)*IF('01_Вводные'!$B$239="Да",MeanMinAge12+'19_Расчет_аналитики'!AI4608*SUMIF(ThresholdAge12,"&lt;"&amp;'19_Расчет_аналитики'!AI4608,WeightedRevAge12)-SUMIF(ThresholdAge12,"&lt;"&amp;'19_Расчет_аналитики'!AI4608,WeightedMinAge12),MAX(CapacityAge12*'01_Вводные'!$B$218*'19_Расчет_аналитики'!AI4608,MeanMinAge12))),0)</f>
        <v/>
      </c>
      <c r="AJ4551">
        <f>IF('01_Вводные'!$B$234="Да",IF(OR(('19_Расчет_аналитики'!AJ4467-'19_Расчет_аналитики'!AJ4495)=0,12&lt;='01_Вводные'!$B$297),0,('19_Расчет_аналитики'!AJ4467-'19_Расчет_аналитики'!AJ4495)*IF('01_Вводные'!$B$239="Да",MeanMinAge12+'19_Расчет_аналитики'!AJ4608*SUMIF(ThresholdAge12,"&lt;"&amp;'19_Расчет_аналитики'!AJ4608,WeightedRevAge12)-SUMIF(ThresholdAge12,"&lt;"&amp;'19_Расчет_аналитики'!AJ4608,WeightedMinAge12),MAX(CapacityAge12*'01_Вводные'!$B$218*'19_Расчет_аналитики'!AJ4608,MeanMinAge12))),0)</f>
        <v/>
      </c>
      <c r="AK4551">
        <f>IF('01_Вводные'!$B$234="Да",IF(OR(('19_Расчет_аналитики'!AK4467-'19_Расчет_аналитики'!AK4495)=0,12&lt;='01_Вводные'!$B$297),0,('19_Расчет_аналитики'!AK4467-'19_Расчет_аналитики'!AK4495)*IF('01_Вводные'!$B$239="Да",MeanMinAge12+'19_Расчет_аналитики'!AK4608*SUMIF(ThresholdAge12,"&lt;"&amp;'19_Расчет_аналитики'!AK4608,WeightedRevAge12)-SUMIF(ThresholdAge12,"&lt;"&amp;'19_Расчет_аналитики'!AK4608,WeightedMinAge12),MAX(CapacityAge12*'01_Вводные'!$B$218*'19_Расчет_аналитики'!AK4608,MeanMinAge12))),0)</f>
        <v/>
      </c>
      <c r="AL4551">
        <f>IF('01_Вводные'!$B$234="Да",IF(OR(('19_Расчет_аналитики'!AL4467-'19_Расчет_аналитики'!AL4495)=0,12&lt;='01_Вводные'!$B$297),0,('19_Расчет_аналитики'!AL4467-'19_Расчет_аналитики'!AL4495)*IF('01_Вводные'!$B$239="Да",MeanMinAge12+'19_Расчет_аналитики'!AL4608*SUMIF(ThresholdAge12,"&lt;"&amp;'19_Расчет_аналитики'!AL4608,WeightedRevAge12)-SUMIF(ThresholdAge12,"&lt;"&amp;'19_Расчет_аналитики'!AL4608,WeightedMinAge12),MAX(CapacityAge12*'01_Вводные'!$B$218*'19_Расчет_аналитики'!AL4608,MeanMinAge12))),0)</f>
        <v/>
      </c>
      <c r="AM4551">
        <f>IF('01_Вводные'!$B$234="Да",IF(OR(('19_Расчет_аналитики'!AM4467-'19_Расчет_аналитики'!AM4495)=0,12&lt;='01_Вводные'!$B$297),0,('19_Расчет_аналитики'!AM4467-'19_Расчет_аналитики'!AM4495)*IF('01_Вводные'!$B$239="Да",MeanMinAge12+'19_Расчет_аналитики'!AM4608*SUMIF(ThresholdAge12,"&lt;"&amp;'19_Расчет_аналитики'!AM4608,WeightedRevAge12)-SUMIF(ThresholdAge12,"&lt;"&amp;'19_Расчет_аналитики'!AM4608,WeightedMinAge12),MAX(CapacityAge12*'01_Вводные'!$B$218*'19_Расчет_аналитики'!AM4608,MeanMinAge12))),0)</f>
        <v/>
      </c>
      <c r="AN4551">
        <f>IF('01_Вводные'!$B$234="Да",IF(OR(('19_Расчет_аналитики'!AN4467-'19_Расчет_аналитики'!AN4495)=0,12&lt;='01_Вводные'!$B$297),0,('19_Расчет_аналитики'!AN4467-'19_Расчет_аналитики'!AN4495)*IF('01_Вводные'!$B$239="Да",MeanMinAge12+'19_Расчет_аналитики'!AN4608*SUMIF(ThresholdAge12,"&lt;"&amp;'19_Расчет_аналитики'!AN4608,WeightedRevAge12)-SUMIF(ThresholdAge12,"&lt;"&amp;'19_Расчет_аналитики'!AN4608,WeightedMinAge12),MAX(CapacityAge12*'01_Вводные'!$B$218*'19_Расчет_аналитики'!AN4608,MeanMinAge12))),0)</f>
        <v/>
      </c>
      <c r="AO4551">
        <f>IF('01_Вводные'!$B$234="Да",IF(OR(('19_Расчет_аналитики'!AO4467-'19_Расчет_аналитики'!AO4495)=0,12&lt;='01_Вводные'!$B$297),0,('19_Расчет_аналитики'!AO4467-'19_Расчет_аналитики'!AO4495)*IF('01_Вводные'!$B$239="Да",MeanMinAge12+'19_Расчет_аналитики'!AO4608*SUMIF(ThresholdAge12,"&lt;"&amp;'19_Расчет_аналитики'!AO4608,WeightedRevAge12)-SUMIF(ThresholdAge12,"&lt;"&amp;'19_Расчет_аналитики'!AO4608,WeightedMinAge12),MAX(CapacityAge12*'01_Вводные'!$B$218*'19_Расчет_аналитики'!AO4608,MeanMinAge12))),0)</f>
        <v/>
      </c>
      <c r="AP4551">
        <f>IF('01_Вводные'!$B$234="Да",IF(OR(('19_Расчет_аналитики'!AP4467-'19_Расчет_аналитики'!AP4495)=0,12&lt;='01_Вводные'!$B$297),0,('19_Расчет_аналитики'!AP4467-'19_Расчет_аналитики'!AP4495)*IF('01_Вводные'!$B$239="Да",MeanMinAge12+'19_Расчет_аналитики'!AP4608*SUMIF(ThresholdAge12,"&lt;"&amp;'19_Расчет_аналитики'!AP4608,WeightedRevAge12)-SUMIF(ThresholdAge12,"&lt;"&amp;'19_Расчет_аналитики'!AP4608,WeightedMinAge12),MAX(CapacityAge12*'01_Вводные'!$B$218*'19_Расчет_аналитики'!AP4608,MeanMinAge12))),0)</f>
        <v/>
      </c>
      <c r="AQ4551">
        <f>IF('01_Вводные'!$B$234="Да",IF(OR(('19_Расчет_аналитики'!AQ4467-'19_Расчет_аналитики'!AQ4495)=0,12&lt;='01_Вводные'!$B$297),0,('19_Расчет_аналитики'!AQ4467-'19_Расчет_аналитики'!AQ4495)*IF('01_Вводные'!$B$239="Да",MeanMinAge12+'19_Расчет_аналитики'!AQ4608*SUMIF(ThresholdAge12,"&lt;"&amp;'19_Расчет_аналитики'!AQ4608,WeightedRevAge12)-SUMIF(ThresholdAge12,"&lt;"&amp;'19_Расчет_аналитики'!AQ4608,WeightedMinAge12),MAX(CapacityAge12*'01_Вводные'!$B$218*'19_Расчет_аналитики'!AQ4608,MeanMinAge12))),0)</f>
        <v/>
      </c>
      <c r="AR4551">
        <f>IF('01_Вводные'!$B$234="Да",IF(OR(('19_Расчет_аналитики'!AR4467-'19_Расчет_аналитики'!AR4495)=0,12&lt;='01_Вводные'!$B$297),0,('19_Расчет_аналитики'!AR4467-'19_Расчет_аналитики'!AR4495)*IF('01_Вводные'!$B$239="Да",MeanMinAge12+'19_Расчет_аналитики'!AR4608*SUMIF(ThresholdAge12,"&lt;"&amp;'19_Расчет_аналитики'!AR4608,WeightedRevAge12)-SUMIF(ThresholdAge12,"&lt;"&amp;'19_Расчет_аналитики'!AR4608,WeightedMinAge12),MAX(CapacityAge12*'01_Вводные'!$B$218*'19_Расчет_аналитики'!AR4608,MeanMinAge12))),0)</f>
        <v/>
      </c>
      <c r="AS4551">
        <f>IF('01_Вводные'!$B$234="Да",IF(OR(('19_Расчет_аналитики'!AS4467-'19_Расчет_аналитики'!AS4495)=0,12&lt;='01_Вводные'!$B$297),0,('19_Расчет_аналитики'!AS4467-'19_Расчет_аналитики'!AS4495)*IF('01_Вводные'!$B$239="Да",MeanMinAge12+'19_Расчет_аналитики'!AS4608*SUMIF(ThresholdAge12,"&lt;"&amp;'19_Расчет_аналитики'!AS4608,WeightedRevAge12)-SUMIF(ThresholdAge12,"&lt;"&amp;'19_Расчет_аналитики'!AS4608,WeightedMinAge12),MAX(CapacityAge12*'01_Вводные'!$B$218*'19_Расчет_аналитики'!AS4608,MeanMinAge12))),0)</f>
        <v/>
      </c>
      <c r="AT4551">
        <f>IF('01_Вводные'!$B$234="Да",IF(OR(('19_Расчет_аналитики'!AT4467-'19_Расчет_аналитики'!AT4495)=0,12&lt;='01_Вводные'!$B$297),0,('19_Расчет_аналитики'!AT4467-'19_Расчет_аналитики'!AT4495)*IF('01_Вводные'!$B$239="Да",MeanMinAge12+'19_Расчет_аналитики'!AT4608*SUMIF(ThresholdAge12,"&lt;"&amp;'19_Расчет_аналитики'!AT4608,WeightedRevAge12)-SUMIF(ThresholdAge12,"&lt;"&amp;'19_Расчет_аналитики'!AT4608,WeightedMinAge12),MAX(CapacityAge12*'01_Вводные'!$B$218*'19_Расчет_аналитики'!AT4608,MeanMinAge12))),0)</f>
        <v/>
      </c>
      <c r="AU4551">
        <f>IF('01_Вводные'!$B$234="Да",IF(OR(('19_Расчет_аналитики'!AU4467-'19_Расчет_аналитики'!AU4495)=0,12&lt;='01_Вводные'!$B$297),0,('19_Расчет_аналитики'!AU4467-'19_Расчет_аналитики'!AU4495)*IF('01_Вводные'!$B$239="Да",MeanMinAge12+'19_Расчет_аналитики'!AU4608*SUMIF(ThresholdAge12,"&lt;"&amp;'19_Расчет_аналитики'!AU4608,WeightedRevAge12)-SUMIF(ThresholdAge12,"&lt;"&amp;'19_Расчет_аналитики'!AU4608,WeightedMinAge12),MAX(CapacityAge12*'01_Вводные'!$B$218*'19_Расчет_аналитики'!AU4608,MeanMinAge12))),0)</f>
        <v/>
      </c>
      <c r="AV4551">
        <f>IF('01_Вводные'!$B$234="Да",IF(OR(('19_Расчет_аналитики'!AV4467-'19_Расчет_аналитики'!AV4495)=0,12&lt;='01_Вводные'!$B$297),0,('19_Расчет_аналитики'!AV4467-'19_Расчет_аналитики'!AV4495)*IF('01_Вводные'!$B$239="Да",MeanMinAge12+'19_Расчет_аналитики'!AV4608*SUMIF(ThresholdAge12,"&lt;"&amp;'19_Расчет_аналитики'!AV4608,WeightedRevAge12)-SUMIF(ThresholdAge12,"&lt;"&amp;'19_Расчет_аналитики'!AV4608,WeightedMinAge12),MAX(CapacityAge12*'01_Вводные'!$B$218*'19_Расчет_аналитики'!AV4608,MeanMinAge12))),0)</f>
        <v/>
      </c>
      <c r="AW4551">
        <f>IF('01_Вводные'!$B$234="Да",IF(OR(('19_Расчет_аналитики'!AW4467-'19_Расчет_аналитики'!AW4495)=0,12&lt;='01_Вводные'!$B$297),0,('19_Расчет_аналитики'!AW4467-'19_Расчет_аналитики'!AW4495)*IF('01_Вводные'!$B$239="Да",MeanMinAge12+'19_Расчет_аналитики'!AW4608*SUMIF(ThresholdAge12,"&lt;"&amp;'19_Расчет_аналитики'!AW4608,WeightedRevAge12)-SUMIF(ThresholdAge12,"&lt;"&amp;'19_Расчет_аналитики'!AW4608,WeightedMinAge12),MAX(CapacityAge12*'01_Вводные'!$B$218*'19_Расчет_аналитики'!AW4608,MeanMinAge12))),0)</f>
        <v/>
      </c>
      <c r="AX4551">
        <f>IF('01_Вводные'!$B$234="Да",IF(OR(('19_Расчет_аналитики'!AX4467-'19_Расчет_аналитики'!AX4495)=0,12&lt;='01_Вводные'!$B$297),0,('19_Расчет_аналитики'!AX4467-'19_Расчет_аналитики'!AX4495)*IF('01_Вводные'!$B$239="Да",MeanMinAge12+'19_Расчет_аналитики'!AX4608*SUMIF(ThresholdAge12,"&lt;"&amp;'19_Расчет_аналитики'!AX4608,WeightedRevAge12)-SUMIF(ThresholdAge12,"&lt;"&amp;'19_Расчет_аналитики'!AX4608,WeightedMinAge12),MAX(CapacityAge12*'01_Вводные'!$B$218*'19_Расчет_аналитики'!AX4608,MeanMinAge12))),0)</f>
        <v/>
      </c>
      <c r="AY4551">
        <f>IF('01_Вводные'!$B$234="Да",IF(OR(('19_Расчет_аналитики'!AY4467-'19_Расчет_аналитики'!AY4495)=0,12&lt;='01_Вводные'!$B$297),0,('19_Расчет_аналитики'!AY4467-'19_Расчет_аналитики'!AY4495)*IF('01_Вводные'!$B$239="Да",MeanMinAge12+'19_Расчет_аналитики'!AY4608*SUMIF(ThresholdAge12,"&lt;"&amp;'19_Расчет_аналитики'!AY4608,WeightedRevAge12)-SUMIF(ThresholdAge12,"&lt;"&amp;'19_Расчет_аналитики'!AY4608,WeightedMinAge12),MAX(CapacityAge12*'01_Вводные'!$B$218*'19_Расчет_аналитики'!AY4608,MeanMinAge12))),0)</f>
        <v/>
      </c>
      <c r="AZ4551">
        <f>IF('01_Вводные'!$B$234="Да",IF(OR(('19_Расчет_аналитики'!AZ4467-'19_Расчет_аналитики'!AZ4495)=0,12&lt;='01_Вводные'!$B$297),0,('19_Расчет_аналитики'!AZ4467-'19_Расчет_аналитики'!AZ4495)*IF('01_Вводные'!$B$239="Да",MeanMinAge12+'19_Расчет_аналитики'!AZ4608*SUMIF(ThresholdAge12,"&lt;"&amp;'19_Расчет_аналитики'!AZ4608,WeightedRevAge12)-SUMIF(ThresholdAge12,"&lt;"&amp;'19_Расчет_аналитики'!AZ4608,WeightedMinAge12),MAX(CapacityAge12*'01_Вводные'!$B$218*'19_Расчет_аналитики'!AZ4608,MeanMinAge12))),0)</f>
        <v/>
      </c>
      <c r="BA4551">
        <f>IF('01_Вводные'!$B$234="Да",IF(OR(('19_Расчет_аналитики'!BA4467-'19_Расчет_аналитики'!BA4495)=0,12&lt;='01_Вводные'!$B$297),0,('19_Расчет_аналитики'!BA4467-'19_Расчет_аналитики'!BA4495)*IF('01_Вводные'!$B$239="Да",MeanMinAge12+'19_Расчет_аналитики'!BA4608*SUMIF(ThresholdAge12,"&lt;"&amp;'19_Расчет_аналитики'!BA4608,WeightedRevAge12)-SUMIF(ThresholdAge12,"&lt;"&amp;'19_Расчет_аналитики'!BA4608,WeightedMinAge12),MAX(CapacityAge12*'01_Вводные'!$B$218*'19_Расчет_аналитики'!BA4608,MeanMinAge12))),0)</f>
        <v/>
      </c>
      <c r="BB4551">
        <f>IF('01_Вводные'!$B$234="Да",IF(OR(('19_Расчет_аналитики'!BB4467-'19_Расчет_аналитики'!BB4495)=0,12&lt;='01_Вводные'!$B$297),0,('19_Расчет_аналитики'!BB4467-'19_Расчет_аналитики'!BB4495)*IF('01_Вводные'!$B$239="Да",MeanMinAge12+'19_Расчет_аналитики'!BB4608*SUMIF(ThresholdAge12,"&lt;"&amp;'19_Расчет_аналитики'!BB4608,WeightedRevAge12)-SUMIF(ThresholdAge12,"&lt;"&amp;'19_Расчет_аналитики'!BB4608,WeightedMinAge12),MAX(CapacityAge12*'01_Вводные'!$B$218*'19_Расчет_аналитики'!BB4608,MeanMinAge12))),0)</f>
        <v/>
      </c>
      <c r="BC4551">
        <f>IF('01_Вводные'!$B$234="Да",IF(OR(('19_Расчет_аналитики'!BC4467-'19_Расчет_аналитики'!BC4495)=0,12&lt;='01_Вводные'!$B$297),0,('19_Расчет_аналитики'!BC4467-'19_Расчет_аналитики'!BC4495)*IF('01_Вводные'!$B$239="Да",MeanMinAge12+'19_Расчет_аналитики'!BC4608*SUMIF(ThresholdAge12,"&lt;"&amp;'19_Расчет_аналитики'!BC4608,WeightedRevAge12)-SUMIF(ThresholdAge12,"&lt;"&amp;'19_Расчет_аналитики'!BC4608,WeightedMinAge12),MAX(CapacityAge12*'01_Вводные'!$B$218*'19_Расчет_аналитики'!BC4608,MeanMinAge12))),0)</f>
        <v/>
      </c>
      <c r="BD4551">
        <f>IF('01_Вводные'!$B$234="Да",IF(OR(('19_Расчет_аналитики'!BD4467-'19_Расчет_аналитики'!BD4495)=0,12&lt;='01_Вводные'!$B$297),0,('19_Расчет_аналитики'!BD4467-'19_Расчет_аналитики'!BD4495)*IF('01_Вводные'!$B$239="Да",MeanMinAge12+'19_Расчет_аналитики'!BD4608*SUMIF(ThresholdAge12,"&lt;"&amp;'19_Расчет_аналитики'!BD4608,WeightedRevAge12)-SUMIF(ThresholdAge12,"&lt;"&amp;'19_Расчет_аналитики'!BD4608,WeightedMinAge12),MAX(CapacityAge12*'01_Вводные'!$B$218*'19_Расчет_аналитики'!BD4608,MeanMinAge12))),0)</f>
        <v/>
      </c>
      <c r="BE4551">
        <f>IF('01_Вводные'!$B$234="Да",IF(OR(('19_Расчет_аналитики'!BE4467-'19_Расчет_аналитики'!BE4495)=0,12&lt;='01_Вводные'!$B$297),0,('19_Расчет_аналитики'!BE4467-'19_Расчет_аналитики'!BE4495)*IF('01_Вводные'!$B$239="Да",MeanMinAge12+'19_Расчет_аналитики'!BE4608*SUMIF(ThresholdAge12,"&lt;"&amp;'19_Расчет_аналитики'!BE4608,WeightedRevAge12)-SUMIF(ThresholdAge12,"&lt;"&amp;'19_Расчет_аналитики'!BE4608,WeightedMinAge12),MAX(CapacityAge12*'01_Вводные'!$B$218*'19_Расчет_аналитики'!BE4608,MeanMinAge12))),0)</f>
        <v/>
      </c>
      <c r="BF4551">
        <f>IF('01_Вводные'!$B$234="Да",IF(OR(('19_Расчет_аналитики'!BF4467-'19_Расчет_аналитики'!BF4495)=0,12&lt;='01_Вводные'!$B$297),0,('19_Расчет_аналитики'!BF4467-'19_Расчет_аналитики'!BF4495)*IF('01_Вводные'!$B$239="Да",MeanMinAge12+'19_Расчет_аналитики'!BF4608*SUMIF(ThresholdAge12,"&lt;"&amp;'19_Расчет_аналитики'!BF4608,WeightedRevAge12)-SUMIF(ThresholdAge12,"&lt;"&amp;'19_Расчет_аналитики'!BF4608,WeightedMinAge12),MAX(CapacityAge12*'01_Вводные'!$B$218*'19_Расчет_аналитики'!BF4608,MeanMinAge12))),0)</f>
        <v/>
      </c>
      <c r="BG4551">
        <f>IF('01_Вводные'!$B$234="Да",IF(OR(('19_Расчет_аналитики'!BG4467-'19_Расчет_аналитики'!BG4495)=0,12&lt;='01_Вводные'!$B$297),0,('19_Расчет_аналитики'!BG4467-'19_Расчет_аналитики'!BG4495)*IF('01_Вводные'!$B$239="Да",MeanMinAge12+'19_Расчет_аналитики'!BG4608*SUMIF(ThresholdAge12,"&lt;"&amp;'19_Расчет_аналитики'!BG4608,WeightedRevAge12)-SUMIF(ThresholdAge12,"&lt;"&amp;'19_Расчет_аналитики'!BG4608,WeightedMinAge12),MAX(CapacityAge12*'01_Вводные'!$B$218*'19_Расчет_аналитики'!BG4608,MeanMinAge12))),0)</f>
        <v/>
      </c>
      <c r="BH4551">
        <f>IF('01_Вводные'!$B$234="Да",IF(OR(('19_Расчет_аналитики'!BH4467-'19_Расчет_аналитики'!BH4495)=0,12&lt;='01_Вводные'!$B$297),0,('19_Расчет_аналитики'!BH4467-'19_Расчет_аналитики'!BH4495)*IF('01_Вводные'!$B$239="Да",MeanMinAge12+'19_Расчет_аналитики'!BH4608*SUMIF(ThresholdAge12,"&lt;"&amp;'19_Расчет_аналитики'!BH4608,WeightedRevAge12)-SUMIF(ThresholdAge12,"&lt;"&amp;'19_Расчет_аналитики'!BH4608,WeightedMinAge12),MAX(CapacityAge12*'01_Вводные'!$B$218*'19_Расчет_аналитики'!BH4608,MeanMinAge12))),0)</f>
        <v/>
      </c>
      <c r="BI4551">
        <f>IF('01_Вводные'!$B$234="Да",IF(OR(('19_Расчет_аналитики'!BI4467-'19_Расчет_аналитики'!BI4495)=0,12&lt;='01_Вводные'!$B$297),0,('19_Расчет_аналитики'!BI4467-'19_Расчет_аналитики'!BI4495)*IF('01_Вводные'!$B$239="Да",MeanMinAge12+'19_Расчет_аналитики'!BI4608*SUMIF(ThresholdAge12,"&lt;"&amp;'19_Расчет_аналитики'!BI4608,WeightedRevAge12)-SUMIF(ThresholdAge12,"&lt;"&amp;'19_Расчет_аналитики'!BI4608,WeightedMinAge12),MAX(CapacityAge12*'01_Вводные'!$B$218*'19_Расчет_аналитики'!BI4608,MeanMinAge12))),0)</f>
        <v/>
      </c>
      <c r="BJ4551">
        <f>IF('01_Вводные'!$B$234="Да",IF(OR(('19_Расчет_аналитики'!BJ4467-'19_Расчет_аналитики'!BJ4495)=0,12&lt;='01_Вводные'!$B$297),0,('19_Расчет_аналитики'!BJ4467-'19_Расчет_аналитики'!BJ4495)*IF('01_Вводные'!$B$239="Да",MeanMinAge12+'19_Расчет_аналитики'!BJ4608*SUMIF(ThresholdAge12,"&lt;"&amp;'19_Расчет_аналитики'!BJ4608,WeightedRevAge12)-SUMIF(ThresholdAge12,"&lt;"&amp;'19_Расчет_аналитики'!BJ4608,WeightedMinAge12),MAX(CapacityAge12*'01_Вводные'!$B$218*'19_Расчет_аналитики'!BJ4608,MeanMinAge12))),0)</f>
        <v/>
      </c>
      <c r="BK4551">
        <f>IF('01_Вводные'!$B$234="Да",IF(OR(('19_Расчет_аналитики'!BK4467-'19_Расчет_аналитики'!BK4495)=0,12&lt;='01_Вводные'!$B$297),0,('19_Расчет_аналитики'!BK4467-'19_Расчет_аналитики'!BK4495)*IF('01_Вводные'!$B$239="Да",MeanMinAge12+'19_Расчет_аналитики'!BK4608*SUMIF(ThresholdAge12,"&lt;"&amp;'19_Расчет_аналитики'!BK4608,WeightedRevAge12)-SUMIF(ThresholdAge12,"&lt;"&amp;'19_Расчет_аналитики'!BK4608,WeightedMinAge12),MAX(CapacityAge12*'01_Вводные'!$B$218*'19_Расчет_аналитики'!BK4608,MeanMinAge12))),0)</f>
        <v/>
      </c>
      <c r="BL4551">
        <f>IF('01_Вводные'!$B$234="Да",IF(OR(('19_Расчет_аналитики'!BL4467-'19_Расчет_аналитики'!BL4495)=0,12&lt;='01_Вводные'!$B$297),0,('19_Расчет_аналитики'!BL4467-'19_Расчет_аналитики'!BL4495)*IF('01_Вводные'!$B$239="Да",MeanMinAge12+'19_Расчет_аналитики'!BL4608*SUMIF(ThresholdAge12,"&lt;"&amp;'19_Расчет_аналитики'!BL4608,WeightedRevAge12)-SUMIF(ThresholdAge12,"&lt;"&amp;'19_Расчет_аналитики'!BL4608,WeightedMinAge12),MAX(CapacityAge12*'01_Вводные'!$B$218*'19_Расчет_аналитики'!BL4608,MeanMinAge12))),0)</f>
        <v/>
      </c>
      <c r="BM4551">
        <f>IF('01_Вводные'!$B$234="Да",IF(OR(('19_Расчет_аналитики'!BM4467-'19_Расчет_аналитики'!BM4495)=0,12&lt;='01_Вводные'!$B$297),0,('19_Расчет_аналитики'!BM4467-'19_Расчет_аналитики'!BM4495)*IF('01_Вводные'!$B$239="Да",MeanMinAge12+'19_Расчет_аналитики'!BM4608*SUMIF(ThresholdAge12,"&lt;"&amp;'19_Расчет_аналитики'!BM4608,WeightedRevAge12)-SUMIF(ThresholdAge12,"&lt;"&amp;'19_Расчет_аналитики'!BM4608,WeightedMinAge12),MAX(CapacityAge12*'01_Вводные'!$B$218*'19_Расчет_аналитики'!BM4608,MeanMinAge12))),0)</f>
        <v/>
      </c>
      <c r="BN4551">
        <f>IF('01_Вводные'!$B$234="Да",IF(OR(('19_Расчет_аналитики'!BN4467-'19_Расчет_аналитики'!BN4495)=0,12&lt;='01_Вводные'!$B$297),0,('19_Расчет_аналитики'!BN4467-'19_Расчет_аналитики'!BN4495)*IF('01_Вводные'!$B$239="Да",MeanMinAge12+'19_Расчет_аналитики'!BN4608*SUMIF(ThresholdAge12,"&lt;"&amp;'19_Расчет_аналитики'!BN4608,WeightedRevAge12)-SUMIF(ThresholdAge12,"&lt;"&amp;'19_Расчет_аналитики'!BN4608,WeightedMinAge12),MAX(CapacityAge12*'01_Вводные'!$B$218*'19_Расчет_аналитики'!BN4608,MeanMinAge12))),0)</f>
        <v/>
      </c>
      <c r="BO4551">
        <f>IF('01_Вводные'!$B$234="Да",IF(OR(('19_Расчет_аналитики'!BO4467-'19_Расчет_аналитики'!BO4495)=0,12&lt;='01_Вводные'!$B$297),0,('19_Расчет_аналитики'!BO4467-'19_Расчет_аналитики'!BO4495)*IF('01_Вводные'!$B$239="Да",MeanMinAge12+'19_Расчет_аналитики'!BO4608*SUMIF(ThresholdAge12,"&lt;"&amp;'19_Расчет_аналитики'!BO4608,WeightedRevAge12)-SUMIF(ThresholdAge12,"&lt;"&amp;'19_Расчет_аналитики'!BO4608,WeightedMinAge12),MAX(CapacityAge12*'01_Вводные'!$B$218*'19_Расчет_аналитики'!BO4608,MeanMinAge12))),0)</f>
        <v/>
      </c>
    </row>
    <row r="4552">
      <c r="B4552">
        <f>IF('01_Вводные'!$B$234="Да",IF(OR(('06_Сеть_и_дети'!B65-'06_Сеть_и_дети'!B93)=0,13&lt;='01_Вводные'!$B$297),0,('06_Сеть_и_дети'!B65-'06_Сеть_и_дети'!B93)*IF('01_Вводные'!$B$239="Да",MeanMinAge13+'19_Расчет_аналитики'!B4608*SUMIF(ThresholdAge13,"&lt;"&amp;'19_Расчет_аналитики'!B4608,WeightedRevAge13)-SUMIF(ThresholdAge13,"&lt;"&amp;'19_Расчет_аналитики'!B4608,WeightedMinAge13),MAX(CapacityAge13*'01_Вводные'!$B$218*'19_Расчет_аналитики'!B4608,MeanMinAge13))),0)</f>
        <v/>
      </c>
      <c r="C4552">
        <f>IF('01_Вводные'!$B$234="Да",IF(OR(('06_Сеть_и_дети'!C65-'06_Сеть_и_дети'!C93)=0,13&lt;='01_Вводные'!$B$297),0,('06_Сеть_и_дети'!C65-'06_Сеть_и_дети'!C93)*IF('01_Вводные'!$B$239="Да",MeanMinAge13+'19_Расчет_аналитики'!C4608*SUMIF(ThresholdAge13,"&lt;"&amp;'19_Расчет_аналитики'!C4608,WeightedRevAge13)-SUMIF(ThresholdAge13,"&lt;"&amp;'19_Расчет_аналитики'!C4608,WeightedMinAge13),MAX(CapacityAge13*'01_Вводные'!$B$218*'19_Расчет_аналитики'!C4608,MeanMinAge13))),0)</f>
        <v/>
      </c>
      <c r="D4552">
        <f>IF('01_Вводные'!$B$234="Да",IF(OR(('06_Сеть_и_дети'!D65-'06_Сеть_и_дети'!D93)=0,13&lt;='01_Вводные'!$B$297),0,('06_Сеть_и_дети'!D65-'06_Сеть_и_дети'!D93)*IF('01_Вводные'!$B$239="Да",MeanMinAge13+'19_Расчет_аналитики'!D4608*SUMIF(ThresholdAge13,"&lt;"&amp;'19_Расчет_аналитики'!D4608,WeightedRevAge13)-SUMIF(ThresholdAge13,"&lt;"&amp;'19_Расчет_аналитики'!D4608,WeightedMinAge13),MAX(CapacityAge13*'01_Вводные'!$B$218*'19_Расчет_аналитики'!D4608,MeanMinAge13))),0)</f>
        <v/>
      </c>
      <c r="E4552">
        <f>IF('01_Вводные'!$B$234="Да",IF(OR(('06_Сеть_и_дети'!E65-'06_Сеть_и_дети'!E93)=0,13&lt;='01_Вводные'!$B$297),0,('06_Сеть_и_дети'!E65-'06_Сеть_и_дети'!E93)*IF('01_Вводные'!$B$239="Да",MeanMinAge13+'19_Расчет_аналитики'!E4608*SUMIF(ThresholdAge13,"&lt;"&amp;'19_Расчет_аналитики'!E4608,WeightedRevAge13)-SUMIF(ThresholdAge13,"&lt;"&amp;'19_Расчет_аналитики'!E4608,WeightedMinAge13),MAX(CapacityAge13*'01_Вводные'!$B$218*'19_Расчет_аналитики'!E4608,MeanMinAge13))),0)</f>
        <v/>
      </c>
      <c r="F4552">
        <f>IF('01_Вводные'!$B$234="Да",IF(OR(('06_Сеть_и_дети'!F65-'06_Сеть_и_дети'!F93)=0,13&lt;='01_Вводные'!$B$297),0,('06_Сеть_и_дети'!F65-'06_Сеть_и_дети'!F93)*IF('01_Вводные'!$B$239="Да",MeanMinAge13+'19_Расчет_аналитики'!F4608*SUMIF(ThresholdAge13,"&lt;"&amp;'19_Расчет_аналитики'!F4608,WeightedRevAge13)-SUMIF(ThresholdAge13,"&lt;"&amp;'19_Расчет_аналитики'!F4608,WeightedMinAge13),MAX(CapacityAge13*'01_Вводные'!$B$218*'19_Расчет_аналитики'!F4608,MeanMinAge13))),0)</f>
        <v/>
      </c>
      <c r="G4552">
        <f>IF('01_Вводные'!$B$234="Да",IF(OR(('06_Сеть_и_дети'!G65-'06_Сеть_и_дети'!G93)=0,13&lt;='01_Вводные'!$B$297),0,('06_Сеть_и_дети'!G65-'06_Сеть_и_дети'!G93)*IF('01_Вводные'!$B$239="Да",MeanMinAge13+'19_Расчет_аналитики'!G4608*SUMIF(ThresholdAge13,"&lt;"&amp;'19_Расчет_аналитики'!G4608,WeightedRevAge13)-SUMIF(ThresholdAge13,"&lt;"&amp;'19_Расчет_аналитики'!G4608,WeightedMinAge13),MAX(CapacityAge13*'01_Вводные'!$B$218*'19_Расчет_аналитики'!G4608,MeanMinAge13))),0)</f>
        <v/>
      </c>
      <c r="H4552">
        <f>IF('01_Вводные'!$B$234="Да",IF(OR(('06_Сеть_и_дети'!H65-'06_Сеть_и_дети'!H93)=0,13&lt;='01_Вводные'!$B$297),0,('06_Сеть_и_дети'!H65-'06_Сеть_и_дети'!H93)*IF('01_Вводные'!$B$239="Да",MeanMinAge13+'19_Расчет_аналитики'!H4608*SUMIF(ThresholdAge13,"&lt;"&amp;'19_Расчет_аналитики'!H4608,WeightedRevAge13)-SUMIF(ThresholdAge13,"&lt;"&amp;'19_Расчет_аналитики'!H4608,WeightedMinAge13),MAX(CapacityAge13*'01_Вводные'!$B$218*'19_Расчет_аналитики'!H4608,MeanMinAge13))),0)</f>
        <v/>
      </c>
      <c r="I4552">
        <f>IF('01_Вводные'!$B$234="Да",IF(OR(('06_Сеть_и_дети'!I65-'06_Сеть_и_дети'!I93)=0,13&lt;='01_Вводные'!$B$297),0,('06_Сеть_и_дети'!I65-'06_Сеть_и_дети'!I93)*IF('01_Вводные'!$B$239="Да",MeanMinAge13+'19_Расчет_аналитики'!I4608*SUMIF(ThresholdAge13,"&lt;"&amp;'19_Расчет_аналитики'!I4608,WeightedRevAge13)-SUMIF(ThresholdAge13,"&lt;"&amp;'19_Расчет_аналитики'!I4608,WeightedMinAge13),MAX(CapacityAge13*'01_Вводные'!$B$218*'19_Расчет_аналитики'!I4608,MeanMinAge13))),0)</f>
        <v/>
      </c>
      <c r="J4552">
        <f>IF('01_Вводные'!$B$234="Да",IF(OR(('06_Сеть_и_дети'!J65-'06_Сеть_и_дети'!J93)=0,13&lt;='01_Вводные'!$B$297),0,('06_Сеть_и_дети'!J65-'06_Сеть_и_дети'!J93)*IF('01_Вводные'!$B$239="Да",MeanMinAge13+'19_Расчет_аналитики'!J4608*SUMIF(ThresholdAge13,"&lt;"&amp;'19_Расчет_аналитики'!J4608,WeightedRevAge13)-SUMIF(ThresholdAge13,"&lt;"&amp;'19_Расчет_аналитики'!J4608,WeightedMinAge13),MAX(CapacityAge13*'01_Вводные'!$B$218*'19_Расчет_аналитики'!J4608,MeanMinAge13))),0)</f>
        <v/>
      </c>
      <c r="K4552">
        <f>IF('01_Вводные'!$B$234="Да",IF(OR(('06_Сеть_и_дети'!K65-'06_Сеть_и_дети'!K93)=0,13&lt;='01_Вводные'!$B$297),0,('06_Сеть_и_дети'!K65-'06_Сеть_и_дети'!K93)*IF('01_Вводные'!$B$239="Да",MeanMinAge13+'19_Расчет_аналитики'!K4608*SUMIF(ThresholdAge13,"&lt;"&amp;'19_Расчет_аналитики'!K4608,WeightedRevAge13)-SUMIF(ThresholdAge13,"&lt;"&amp;'19_Расчет_аналитики'!K4608,WeightedMinAge13),MAX(CapacityAge13*'01_Вводные'!$B$218*'19_Расчет_аналитики'!K4608,MeanMinAge13))),0)</f>
        <v/>
      </c>
      <c r="L4552">
        <f>IF('01_Вводные'!$B$234="Да",IF(OR(('06_Сеть_и_дети'!L65-'06_Сеть_и_дети'!L93)=0,13&lt;='01_Вводные'!$B$297),0,('06_Сеть_и_дети'!L65-'06_Сеть_и_дети'!L93)*IF('01_Вводные'!$B$239="Да",MeanMinAge13+'19_Расчет_аналитики'!L4608*SUMIF(ThresholdAge13,"&lt;"&amp;'19_Расчет_аналитики'!L4608,WeightedRevAge13)-SUMIF(ThresholdAge13,"&lt;"&amp;'19_Расчет_аналитики'!L4608,WeightedMinAge13),MAX(CapacityAge13*'01_Вводные'!$B$218*'19_Расчет_аналитики'!L4608,MeanMinAge13))),0)</f>
        <v/>
      </c>
      <c r="M4552">
        <f>IF('01_Вводные'!$B$234="Да",IF(OR(('06_Сеть_и_дети'!M65-'06_Сеть_и_дети'!M93)=0,13&lt;='01_Вводные'!$B$297),0,('06_Сеть_и_дети'!M65-'06_Сеть_и_дети'!M93)*IF('01_Вводные'!$B$239="Да",MeanMinAge13+'19_Расчет_аналитики'!M4608*SUMIF(ThresholdAge13,"&lt;"&amp;'19_Расчет_аналитики'!M4608,WeightedRevAge13)-SUMIF(ThresholdAge13,"&lt;"&amp;'19_Расчет_аналитики'!M4608,WeightedMinAge13),MAX(CapacityAge13*'01_Вводные'!$B$218*'19_Расчет_аналитики'!M4608,MeanMinAge13))),0)</f>
        <v/>
      </c>
      <c r="N4552">
        <f>IF('01_Вводные'!$B$234="Да",IF(OR(('19_Расчет_аналитики'!N4468-'19_Расчет_аналитики'!N4496)=0,13&lt;='01_Вводные'!$B$297),0,('19_Расчет_аналитики'!N4468-'19_Расчет_аналитики'!N4496)*IF('01_Вводные'!$B$239="Да",MeanMinAge13+'19_Расчет_аналитики'!N4608*SUMIF(ThresholdAge13,"&lt;"&amp;'19_Расчет_аналитики'!N4608,WeightedRevAge13)-SUMIF(ThresholdAge13,"&lt;"&amp;'19_Расчет_аналитики'!N4608,WeightedMinAge13),MAX(CapacityAge13*'01_Вводные'!$B$218*'19_Расчет_аналитики'!N4608,MeanMinAge13))),0)</f>
        <v/>
      </c>
      <c r="O4552">
        <f>IF('01_Вводные'!$B$234="Да",IF(OR(('19_Расчет_аналитики'!O4468-'19_Расчет_аналитики'!O4496)=0,13&lt;='01_Вводные'!$B$297),0,('19_Расчет_аналитики'!O4468-'19_Расчет_аналитики'!O4496)*IF('01_Вводные'!$B$239="Да",MeanMinAge13+'19_Расчет_аналитики'!O4608*SUMIF(ThresholdAge13,"&lt;"&amp;'19_Расчет_аналитики'!O4608,WeightedRevAge13)-SUMIF(ThresholdAge13,"&lt;"&amp;'19_Расчет_аналитики'!O4608,WeightedMinAge13),MAX(CapacityAge13*'01_Вводные'!$B$218*'19_Расчет_аналитики'!O4608,MeanMinAge13))),0)</f>
        <v/>
      </c>
      <c r="P4552">
        <f>IF('01_Вводные'!$B$234="Да",IF(OR(('19_Расчет_аналитики'!P4468-'19_Расчет_аналитики'!P4496)=0,13&lt;='01_Вводные'!$B$297),0,('19_Расчет_аналитики'!P4468-'19_Расчет_аналитики'!P4496)*IF('01_Вводные'!$B$239="Да",MeanMinAge13+'19_Расчет_аналитики'!P4608*SUMIF(ThresholdAge13,"&lt;"&amp;'19_Расчет_аналитики'!P4608,WeightedRevAge13)-SUMIF(ThresholdAge13,"&lt;"&amp;'19_Расчет_аналитики'!P4608,WeightedMinAge13),MAX(CapacityAge13*'01_Вводные'!$B$218*'19_Расчет_аналитики'!P4608,MeanMinAge13))),0)</f>
        <v/>
      </c>
      <c r="Q4552">
        <f>IF('01_Вводные'!$B$234="Да",IF(OR(('19_Расчет_аналитики'!Q4468-'19_Расчет_аналитики'!Q4496)=0,13&lt;='01_Вводные'!$B$297),0,('19_Расчет_аналитики'!Q4468-'19_Расчет_аналитики'!Q4496)*IF('01_Вводные'!$B$239="Да",MeanMinAge13+'19_Расчет_аналитики'!Q4608*SUMIF(ThresholdAge13,"&lt;"&amp;'19_Расчет_аналитики'!Q4608,WeightedRevAge13)-SUMIF(ThresholdAge13,"&lt;"&amp;'19_Расчет_аналитики'!Q4608,WeightedMinAge13),MAX(CapacityAge13*'01_Вводные'!$B$218*'19_Расчет_аналитики'!Q4608,MeanMinAge13))),0)</f>
        <v/>
      </c>
      <c r="R4552">
        <f>IF('01_Вводные'!$B$234="Да",IF(OR(('19_Расчет_аналитики'!R4468-'19_Расчет_аналитики'!R4496)=0,13&lt;='01_Вводные'!$B$297),0,('19_Расчет_аналитики'!R4468-'19_Расчет_аналитики'!R4496)*IF('01_Вводные'!$B$239="Да",MeanMinAge13+'19_Расчет_аналитики'!R4608*SUMIF(ThresholdAge13,"&lt;"&amp;'19_Расчет_аналитики'!R4608,WeightedRevAge13)-SUMIF(ThresholdAge13,"&lt;"&amp;'19_Расчет_аналитики'!R4608,WeightedMinAge13),MAX(CapacityAge13*'01_Вводные'!$B$218*'19_Расчет_аналитики'!R4608,MeanMinAge13))),0)</f>
        <v/>
      </c>
      <c r="S4552">
        <f>IF('01_Вводные'!$B$234="Да",IF(OR(('19_Расчет_аналитики'!S4468-'19_Расчет_аналитики'!S4496)=0,13&lt;='01_Вводные'!$B$297),0,('19_Расчет_аналитики'!S4468-'19_Расчет_аналитики'!S4496)*IF('01_Вводные'!$B$239="Да",MeanMinAge13+'19_Расчет_аналитики'!S4608*SUMIF(ThresholdAge13,"&lt;"&amp;'19_Расчет_аналитики'!S4608,WeightedRevAge13)-SUMIF(ThresholdAge13,"&lt;"&amp;'19_Расчет_аналитики'!S4608,WeightedMinAge13),MAX(CapacityAge13*'01_Вводные'!$B$218*'19_Расчет_аналитики'!S4608,MeanMinAge13))),0)</f>
        <v/>
      </c>
      <c r="T4552">
        <f>IF('01_Вводные'!$B$234="Да",IF(OR(('19_Расчет_аналитики'!T4468-'19_Расчет_аналитики'!T4496)=0,13&lt;='01_Вводные'!$B$297),0,('19_Расчет_аналитики'!T4468-'19_Расчет_аналитики'!T4496)*IF('01_Вводные'!$B$239="Да",MeanMinAge13+'19_Расчет_аналитики'!T4608*SUMIF(ThresholdAge13,"&lt;"&amp;'19_Расчет_аналитики'!T4608,WeightedRevAge13)-SUMIF(ThresholdAge13,"&lt;"&amp;'19_Расчет_аналитики'!T4608,WeightedMinAge13),MAX(CapacityAge13*'01_Вводные'!$B$218*'19_Расчет_аналитики'!T4608,MeanMinAge13))),0)</f>
        <v/>
      </c>
      <c r="U4552">
        <f>IF('01_Вводные'!$B$234="Да",IF(OR(('19_Расчет_аналитики'!U4468-'19_Расчет_аналитики'!U4496)=0,13&lt;='01_Вводные'!$B$297),0,('19_Расчет_аналитики'!U4468-'19_Расчет_аналитики'!U4496)*IF('01_Вводные'!$B$239="Да",MeanMinAge13+'19_Расчет_аналитики'!U4608*SUMIF(ThresholdAge13,"&lt;"&amp;'19_Расчет_аналитики'!U4608,WeightedRevAge13)-SUMIF(ThresholdAge13,"&lt;"&amp;'19_Расчет_аналитики'!U4608,WeightedMinAge13),MAX(CapacityAge13*'01_Вводные'!$B$218*'19_Расчет_аналитики'!U4608,MeanMinAge13))),0)</f>
        <v/>
      </c>
      <c r="V4552">
        <f>IF('01_Вводные'!$B$234="Да",IF(OR(('19_Расчет_аналитики'!V4468-'19_Расчет_аналитики'!V4496)=0,13&lt;='01_Вводные'!$B$297),0,('19_Расчет_аналитики'!V4468-'19_Расчет_аналитики'!V4496)*IF('01_Вводные'!$B$239="Да",MeanMinAge13+'19_Расчет_аналитики'!V4608*SUMIF(ThresholdAge13,"&lt;"&amp;'19_Расчет_аналитики'!V4608,WeightedRevAge13)-SUMIF(ThresholdAge13,"&lt;"&amp;'19_Расчет_аналитики'!V4608,WeightedMinAge13),MAX(CapacityAge13*'01_Вводные'!$B$218*'19_Расчет_аналитики'!V4608,MeanMinAge13))),0)</f>
        <v/>
      </c>
      <c r="W4552">
        <f>IF('01_Вводные'!$B$234="Да",IF(OR(('19_Расчет_аналитики'!W4468-'19_Расчет_аналитики'!W4496)=0,13&lt;='01_Вводные'!$B$297),0,('19_Расчет_аналитики'!W4468-'19_Расчет_аналитики'!W4496)*IF('01_Вводные'!$B$239="Да",MeanMinAge13+'19_Расчет_аналитики'!W4608*SUMIF(ThresholdAge13,"&lt;"&amp;'19_Расчет_аналитики'!W4608,WeightedRevAge13)-SUMIF(ThresholdAge13,"&lt;"&amp;'19_Расчет_аналитики'!W4608,WeightedMinAge13),MAX(CapacityAge13*'01_Вводные'!$B$218*'19_Расчет_аналитики'!W4608,MeanMinAge13))),0)</f>
        <v/>
      </c>
      <c r="X4552">
        <f>IF('01_Вводные'!$B$234="Да",IF(OR(('19_Расчет_аналитики'!X4468-'19_Расчет_аналитики'!X4496)=0,13&lt;='01_Вводные'!$B$297),0,('19_Расчет_аналитики'!X4468-'19_Расчет_аналитики'!X4496)*IF('01_Вводные'!$B$239="Да",MeanMinAge13+'19_Расчет_аналитики'!X4608*SUMIF(ThresholdAge13,"&lt;"&amp;'19_Расчет_аналитики'!X4608,WeightedRevAge13)-SUMIF(ThresholdAge13,"&lt;"&amp;'19_Расчет_аналитики'!X4608,WeightedMinAge13),MAX(CapacityAge13*'01_Вводные'!$B$218*'19_Расчет_аналитики'!X4608,MeanMinAge13))),0)</f>
        <v/>
      </c>
      <c r="Y4552">
        <f>IF('01_Вводные'!$B$234="Да",IF(OR(('19_Расчет_аналитики'!Y4468-'19_Расчет_аналитики'!Y4496)=0,13&lt;='01_Вводные'!$B$297),0,('19_Расчет_аналитики'!Y4468-'19_Расчет_аналитики'!Y4496)*IF('01_Вводные'!$B$239="Да",MeanMinAge13+'19_Расчет_аналитики'!Y4608*SUMIF(ThresholdAge13,"&lt;"&amp;'19_Расчет_аналитики'!Y4608,WeightedRevAge13)-SUMIF(ThresholdAge13,"&lt;"&amp;'19_Расчет_аналитики'!Y4608,WeightedMinAge13),MAX(CapacityAge13*'01_Вводные'!$B$218*'19_Расчет_аналитики'!Y4608,MeanMinAge13))),0)</f>
        <v/>
      </c>
      <c r="Z4552">
        <f>IF('01_Вводные'!$B$234="Да",IF(OR(('19_Расчет_аналитики'!Z4468-'19_Расчет_аналитики'!Z4496)=0,13&lt;='01_Вводные'!$B$297),0,('19_Расчет_аналитики'!Z4468-'19_Расчет_аналитики'!Z4496)*IF('01_Вводные'!$B$239="Да",MeanMinAge13+'19_Расчет_аналитики'!Z4608*SUMIF(ThresholdAge13,"&lt;"&amp;'19_Расчет_аналитики'!Z4608,WeightedRevAge13)-SUMIF(ThresholdAge13,"&lt;"&amp;'19_Расчет_аналитики'!Z4608,WeightedMinAge13),MAX(CapacityAge13*'01_Вводные'!$B$218*'19_Расчет_аналитики'!Z4608,MeanMinAge13))),0)</f>
        <v/>
      </c>
      <c r="AA4552">
        <f>IF('01_Вводные'!$B$234="Да",IF(OR(('19_Расчет_аналитики'!AA4468-'19_Расчет_аналитики'!AA4496)=0,13&lt;='01_Вводные'!$B$297),0,('19_Расчет_аналитики'!AA4468-'19_Расчет_аналитики'!AA4496)*IF('01_Вводные'!$B$239="Да",MeanMinAge13+'19_Расчет_аналитики'!AA4608*SUMIF(ThresholdAge13,"&lt;"&amp;'19_Расчет_аналитики'!AA4608,WeightedRevAge13)-SUMIF(ThresholdAge13,"&lt;"&amp;'19_Расчет_аналитики'!AA4608,WeightedMinAge13),MAX(CapacityAge13*'01_Вводные'!$B$218*'19_Расчет_аналитики'!AA4608,MeanMinAge13))),0)</f>
        <v/>
      </c>
      <c r="AB4552">
        <f>IF('01_Вводные'!$B$234="Да",IF(OR(('19_Расчет_аналитики'!AB4468-'19_Расчет_аналитики'!AB4496)=0,13&lt;='01_Вводные'!$B$297),0,('19_Расчет_аналитики'!AB4468-'19_Расчет_аналитики'!AB4496)*IF('01_Вводные'!$B$239="Да",MeanMinAge13+'19_Расчет_аналитики'!AB4608*SUMIF(ThresholdAge13,"&lt;"&amp;'19_Расчет_аналитики'!AB4608,WeightedRevAge13)-SUMIF(ThresholdAge13,"&lt;"&amp;'19_Расчет_аналитики'!AB4608,WeightedMinAge13),MAX(CapacityAge13*'01_Вводные'!$B$218*'19_Расчет_аналитики'!AB4608,MeanMinAge13))),0)</f>
        <v/>
      </c>
      <c r="AC4552">
        <f>IF('01_Вводные'!$B$234="Да",IF(OR(('19_Расчет_аналитики'!AC4468-'19_Расчет_аналитики'!AC4496)=0,13&lt;='01_Вводные'!$B$297),0,('19_Расчет_аналитики'!AC4468-'19_Расчет_аналитики'!AC4496)*IF('01_Вводные'!$B$239="Да",MeanMinAge13+'19_Расчет_аналитики'!AC4608*SUMIF(ThresholdAge13,"&lt;"&amp;'19_Расчет_аналитики'!AC4608,WeightedRevAge13)-SUMIF(ThresholdAge13,"&lt;"&amp;'19_Расчет_аналитики'!AC4608,WeightedMinAge13),MAX(CapacityAge13*'01_Вводные'!$B$218*'19_Расчет_аналитики'!AC4608,MeanMinAge13))),0)</f>
        <v/>
      </c>
      <c r="AD4552">
        <f>IF('01_Вводные'!$B$234="Да",IF(OR(('19_Расчет_аналитики'!AD4468-'19_Расчет_аналитики'!AD4496)=0,13&lt;='01_Вводные'!$B$297),0,('19_Расчет_аналитики'!AD4468-'19_Расчет_аналитики'!AD4496)*IF('01_Вводные'!$B$239="Да",MeanMinAge13+'19_Расчет_аналитики'!AD4608*SUMIF(ThresholdAge13,"&lt;"&amp;'19_Расчет_аналитики'!AD4608,WeightedRevAge13)-SUMIF(ThresholdAge13,"&lt;"&amp;'19_Расчет_аналитики'!AD4608,WeightedMinAge13),MAX(CapacityAge13*'01_Вводные'!$B$218*'19_Расчет_аналитики'!AD4608,MeanMinAge13))),0)</f>
        <v/>
      </c>
      <c r="AE4552">
        <f>IF('01_Вводные'!$B$234="Да",IF(OR(('19_Расчет_аналитики'!AE4468-'19_Расчет_аналитики'!AE4496)=0,13&lt;='01_Вводные'!$B$297),0,('19_Расчет_аналитики'!AE4468-'19_Расчет_аналитики'!AE4496)*IF('01_Вводные'!$B$239="Да",MeanMinAge13+'19_Расчет_аналитики'!AE4608*SUMIF(ThresholdAge13,"&lt;"&amp;'19_Расчет_аналитики'!AE4608,WeightedRevAge13)-SUMIF(ThresholdAge13,"&lt;"&amp;'19_Расчет_аналитики'!AE4608,WeightedMinAge13),MAX(CapacityAge13*'01_Вводные'!$B$218*'19_Расчет_аналитики'!AE4608,MeanMinAge13))),0)</f>
        <v/>
      </c>
      <c r="AF4552">
        <f>IF('01_Вводные'!$B$234="Да",IF(OR(('19_Расчет_аналитики'!AF4468-'19_Расчет_аналитики'!AF4496)=0,13&lt;='01_Вводные'!$B$297),0,('19_Расчет_аналитики'!AF4468-'19_Расчет_аналитики'!AF4496)*IF('01_Вводные'!$B$239="Да",MeanMinAge13+'19_Расчет_аналитики'!AF4608*SUMIF(ThresholdAge13,"&lt;"&amp;'19_Расчет_аналитики'!AF4608,WeightedRevAge13)-SUMIF(ThresholdAge13,"&lt;"&amp;'19_Расчет_аналитики'!AF4608,WeightedMinAge13),MAX(CapacityAge13*'01_Вводные'!$B$218*'19_Расчет_аналитики'!AF4608,MeanMinAge13))),0)</f>
        <v/>
      </c>
      <c r="AG4552">
        <f>IF('01_Вводные'!$B$234="Да",IF(OR(('19_Расчет_аналитики'!AG4468-'19_Расчет_аналитики'!AG4496)=0,13&lt;='01_Вводные'!$B$297),0,('19_Расчет_аналитики'!AG4468-'19_Расчет_аналитики'!AG4496)*IF('01_Вводные'!$B$239="Да",MeanMinAge13+'19_Расчет_аналитики'!AG4608*SUMIF(ThresholdAge13,"&lt;"&amp;'19_Расчет_аналитики'!AG4608,WeightedRevAge13)-SUMIF(ThresholdAge13,"&lt;"&amp;'19_Расчет_аналитики'!AG4608,WeightedMinAge13),MAX(CapacityAge13*'01_Вводные'!$B$218*'19_Расчет_аналитики'!AG4608,MeanMinAge13))),0)</f>
        <v/>
      </c>
      <c r="AH4552">
        <f>IF('01_Вводные'!$B$234="Да",IF(OR(('19_Расчет_аналитики'!AH4468-'19_Расчет_аналитики'!AH4496)=0,13&lt;='01_Вводные'!$B$297),0,('19_Расчет_аналитики'!AH4468-'19_Расчет_аналитики'!AH4496)*IF('01_Вводные'!$B$239="Да",MeanMinAge13+'19_Расчет_аналитики'!AH4608*SUMIF(ThresholdAge13,"&lt;"&amp;'19_Расчет_аналитики'!AH4608,WeightedRevAge13)-SUMIF(ThresholdAge13,"&lt;"&amp;'19_Расчет_аналитики'!AH4608,WeightedMinAge13),MAX(CapacityAge13*'01_Вводные'!$B$218*'19_Расчет_аналитики'!AH4608,MeanMinAge13))),0)</f>
        <v/>
      </c>
      <c r="AI4552">
        <f>IF('01_Вводные'!$B$234="Да",IF(OR(('19_Расчет_аналитики'!AI4468-'19_Расчет_аналитики'!AI4496)=0,13&lt;='01_Вводные'!$B$297),0,('19_Расчет_аналитики'!AI4468-'19_Расчет_аналитики'!AI4496)*IF('01_Вводные'!$B$239="Да",MeanMinAge13+'19_Расчет_аналитики'!AI4608*SUMIF(ThresholdAge13,"&lt;"&amp;'19_Расчет_аналитики'!AI4608,WeightedRevAge13)-SUMIF(ThresholdAge13,"&lt;"&amp;'19_Расчет_аналитики'!AI4608,WeightedMinAge13),MAX(CapacityAge13*'01_Вводные'!$B$218*'19_Расчет_аналитики'!AI4608,MeanMinAge13))),0)</f>
        <v/>
      </c>
      <c r="AJ4552">
        <f>IF('01_Вводные'!$B$234="Да",IF(OR(('19_Расчет_аналитики'!AJ4468-'19_Расчет_аналитики'!AJ4496)=0,13&lt;='01_Вводные'!$B$297),0,('19_Расчет_аналитики'!AJ4468-'19_Расчет_аналитики'!AJ4496)*IF('01_Вводные'!$B$239="Да",MeanMinAge13+'19_Расчет_аналитики'!AJ4608*SUMIF(ThresholdAge13,"&lt;"&amp;'19_Расчет_аналитики'!AJ4608,WeightedRevAge13)-SUMIF(ThresholdAge13,"&lt;"&amp;'19_Расчет_аналитики'!AJ4608,WeightedMinAge13),MAX(CapacityAge13*'01_Вводные'!$B$218*'19_Расчет_аналитики'!AJ4608,MeanMinAge13))),0)</f>
        <v/>
      </c>
      <c r="AK4552">
        <f>IF('01_Вводные'!$B$234="Да",IF(OR(('19_Расчет_аналитики'!AK4468-'19_Расчет_аналитики'!AK4496)=0,13&lt;='01_Вводные'!$B$297),0,('19_Расчет_аналитики'!AK4468-'19_Расчет_аналитики'!AK4496)*IF('01_Вводные'!$B$239="Да",MeanMinAge13+'19_Расчет_аналитики'!AK4608*SUMIF(ThresholdAge13,"&lt;"&amp;'19_Расчет_аналитики'!AK4608,WeightedRevAge13)-SUMIF(ThresholdAge13,"&lt;"&amp;'19_Расчет_аналитики'!AK4608,WeightedMinAge13),MAX(CapacityAge13*'01_Вводные'!$B$218*'19_Расчет_аналитики'!AK4608,MeanMinAge13))),0)</f>
        <v/>
      </c>
      <c r="AL4552">
        <f>IF('01_Вводные'!$B$234="Да",IF(OR(('19_Расчет_аналитики'!AL4468-'19_Расчет_аналитики'!AL4496)=0,13&lt;='01_Вводные'!$B$297),0,('19_Расчет_аналитики'!AL4468-'19_Расчет_аналитики'!AL4496)*IF('01_Вводные'!$B$239="Да",MeanMinAge13+'19_Расчет_аналитики'!AL4608*SUMIF(ThresholdAge13,"&lt;"&amp;'19_Расчет_аналитики'!AL4608,WeightedRevAge13)-SUMIF(ThresholdAge13,"&lt;"&amp;'19_Расчет_аналитики'!AL4608,WeightedMinAge13),MAX(CapacityAge13*'01_Вводные'!$B$218*'19_Расчет_аналитики'!AL4608,MeanMinAge13))),0)</f>
        <v/>
      </c>
      <c r="AM4552">
        <f>IF('01_Вводные'!$B$234="Да",IF(OR(('19_Расчет_аналитики'!AM4468-'19_Расчет_аналитики'!AM4496)=0,13&lt;='01_Вводные'!$B$297),0,('19_Расчет_аналитики'!AM4468-'19_Расчет_аналитики'!AM4496)*IF('01_Вводные'!$B$239="Да",MeanMinAge13+'19_Расчет_аналитики'!AM4608*SUMIF(ThresholdAge13,"&lt;"&amp;'19_Расчет_аналитики'!AM4608,WeightedRevAge13)-SUMIF(ThresholdAge13,"&lt;"&amp;'19_Расчет_аналитики'!AM4608,WeightedMinAge13),MAX(CapacityAge13*'01_Вводные'!$B$218*'19_Расчет_аналитики'!AM4608,MeanMinAge13))),0)</f>
        <v/>
      </c>
      <c r="AN4552">
        <f>IF('01_Вводные'!$B$234="Да",IF(OR(('19_Расчет_аналитики'!AN4468-'19_Расчет_аналитики'!AN4496)=0,13&lt;='01_Вводные'!$B$297),0,('19_Расчет_аналитики'!AN4468-'19_Расчет_аналитики'!AN4496)*IF('01_Вводные'!$B$239="Да",MeanMinAge13+'19_Расчет_аналитики'!AN4608*SUMIF(ThresholdAge13,"&lt;"&amp;'19_Расчет_аналитики'!AN4608,WeightedRevAge13)-SUMIF(ThresholdAge13,"&lt;"&amp;'19_Расчет_аналитики'!AN4608,WeightedMinAge13),MAX(CapacityAge13*'01_Вводные'!$B$218*'19_Расчет_аналитики'!AN4608,MeanMinAge13))),0)</f>
        <v/>
      </c>
      <c r="AO4552">
        <f>IF('01_Вводные'!$B$234="Да",IF(OR(('19_Расчет_аналитики'!AO4468-'19_Расчет_аналитики'!AO4496)=0,13&lt;='01_Вводные'!$B$297),0,('19_Расчет_аналитики'!AO4468-'19_Расчет_аналитики'!AO4496)*IF('01_Вводные'!$B$239="Да",MeanMinAge13+'19_Расчет_аналитики'!AO4608*SUMIF(ThresholdAge13,"&lt;"&amp;'19_Расчет_аналитики'!AO4608,WeightedRevAge13)-SUMIF(ThresholdAge13,"&lt;"&amp;'19_Расчет_аналитики'!AO4608,WeightedMinAge13),MAX(CapacityAge13*'01_Вводные'!$B$218*'19_Расчет_аналитики'!AO4608,MeanMinAge13))),0)</f>
        <v/>
      </c>
      <c r="AP4552">
        <f>IF('01_Вводные'!$B$234="Да",IF(OR(('19_Расчет_аналитики'!AP4468-'19_Расчет_аналитики'!AP4496)=0,13&lt;='01_Вводные'!$B$297),0,('19_Расчет_аналитики'!AP4468-'19_Расчет_аналитики'!AP4496)*IF('01_Вводные'!$B$239="Да",MeanMinAge13+'19_Расчет_аналитики'!AP4608*SUMIF(ThresholdAge13,"&lt;"&amp;'19_Расчет_аналитики'!AP4608,WeightedRevAge13)-SUMIF(ThresholdAge13,"&lt;"&amp;'19_Расчет_аналитики'!AP4608,WeightedMinAge13),MAX(CapacityAge13*'01_Вводные'!$B$218*'19_Расчет_аналитики'!AP4608,MeanMinAge13))),0)</f>
        <v/>
      </c>
      <c r="AQ4552">
        <f>IF('01_Вводные'!$B$234="Да",IF(OR(('19_Расчет_аналитики'!AQ4468-'19_Расчет_аналитики'!AQ4496)=0,13&lt;='01_Вводные'!$B$297),0,('19_Расчет_аналитики'!AQ4468-'19_Расчет_аналитики'!AQ4496)*IF('01_Вводные'!$B$239="Да",MeanMinAge13+'19_Расчет_аналитики'!AQ4608*SUMIF(ThresholdAge13,"&lt;"&amp;'19_Расчет_аналитики'!AQ4608,WeightedRevAge13)-SUMIF(ThresholdAge13,"&lt;"&amp;'19_Расчет_аналитики'!AQ4608,WeightedMinAge13),MAX(CapacityAge13*'01_Вводные'!$B$218*'19_Расчет_аналитики'!AQ4608,MeanMinAge13))),0)</f>
        <v/>
      </c>
      <c r="AR4552">
        <f>IF('01_Вводные'!$B$234="Да",IF(OR(('19_Расчет_аналитики'!AR4468-'19_Расчет_аналитики'!AR4496)=0,13&lt;='01_Вводные'!$B$297),0,('19_Расчет_аналитики'!AR4468-'19_Расчет_аналитики'!AR4496)*IF('01_Вводные'!$B$239="Да",MeanMinAge13+'19_Расчет_аналитики'!AR4608*SUMIF(ThresholdAge13,"&lt;"&amp;'19_Расчет_аналитики'!AR4608,WeightedRevAge13)-SUMIF(ThresholdAge13,"&lt;"&amp;'19_Расчет_аналитики'!AR4608,WeightedMinAge13),MAX(CapacityAge13*'01_Вводные'!$B$218*'19_Расчет_аналитики'!AR4608,MeanMinAge13))),0)</f>
        <v/>
      </c>
      <c r="AS4552">
        <f>IF('01_Вводные'!$B$234="Да",IF(OR(('19_Расчет_аналитики'!AS4468-'19_Расчет_аналитики'!AS4496)=0,13&lt;='01_Вводные'!$B$297),0,('19_Расчет_аналитики'!AS4468-'19_Расчет_аналитики'!AS4496)*IF('01_Вводные'!$B$239="Да",MeanMinAge13+'19_Расчет_аналитики'!AS4608*SUMIF(ThresholdAge13,"&lt;"&amp;'19_Расчет_аналитики'!AS4608,WeightedRevAge13)-SUMIF(ThresholdAge13,"&lt;"&amp;'19_Расчет_аналитики'!AS4608,WeightedMinAge13),MAX(CapacityAge13*'01_Вводные'!$B$218*'19_Расчет_аналитики'!AS4608,MeanMinAge13))),0)</f>
        <v/>
      </c>
      <c r="AT4552">
        <f>IF('01_Вводные'!$B$234="Да",IF(OR(('19_Расчет_аналитики'!AT4468-'19_Расчет_аналитики'!AT4496)=0,13&lt;='01_Вводные'!$B$297),0,('19_Расчет_аналитики'!AT4468-'19_Расчет_аналитики'!AT4496)*IF('01_Вводные'!$B$239="Да",MeanMinAge13+'19_Расчет_аналитики'!AT4608*SUMIF(ThresholdAge13,"&lt;"&amp;'19_Расчет_аналитики'!AT4608,WeightedRevAge13)-SUMIF(ThresholdAge13,"&lt;"&amp;'19_Расчет_аналитики'!AT4608,WeightedMinAge13),MAX(CapacityAge13*'01_Вводные'!$B$218*'19_Расчет_аналитики'!AT4608,MeanMinAge13))),0)</f>
        <v/>
      </c>
      <c r="AU4552">
        <f>IF('01_Вводные'!$B$234="Да",IF(OR(('19_Расчет_аналитики'!AU4468-'19_Расчет_аналитики'!AU4496)=0,13&lt;='01_Вводные'!$B$297),0,('19_Расчет_аналитики'!AU4468-'19_Расчет_аналитики'!AU4496)*IF('01_Вводные'!$B$239="Да",MeanMinAge13+'19_Расчет_аналитики'!AU4608*SUMIF(ThresholdAge13,"&lt;"&amp;'19_Расчет_аналитики'!AU4608,WeightedRevAge13)-SUMIF(ThresholdAge13,"&lt;"&amp;'19_Расчет_аналитики'!AU4608,WeightedMinAge13),MAX(CapacityAge13*'01_Вводные'!$B$218*'19_Расчет_аналитики'!AU4608,MeanMinAge13))),0)</f>
        <v/>
      </c>
      <c r="AV4552">
        <f>IF('01_Вводные'!$B$234="Да",IF(OR(('19_Расчет_аналитики'!AV4468-'19_Расчет_аналитики'!AV4496)=0,13&lt;='01_Вводные'!$B$297),0,('19_Расчет_аналитики'!AV4468-'19_Расчет_аналитики'!AV4496)*IF('01_Вводные'!$B$239="Да",MeanMinAge13+'19_Расчет_аналитики'!AV4608*SUMIF(ThresholdAge13,"&lt;"&amp;'19_Расчет_аналитики'!AV4608,WeightedRevAge13)-SUMIF(ThresholdAge13,"&lt;"&amp;'19_Расчет_аналитики'!AV4608,WeightedMinAge13),MAX(CapacityAge13*'01_Вводные'!$B$218*'19_Расчет_аналитики'!AV4608,MeanMinAge13))),0)</f>
        <v/>
      </c>
      <c r="AW4552">
        <f>IF('01_Вводные'!$B$234="Да",IF(OR(('19_Расчет_аналитики'!AW4468-'19_Расчет_аналитики'!AW4496)=0,13&lt;='01_Вводные'!$B$297),0,('19_Расчет_аналитики'!AW4468-'19_Расчет_аналитики'!AW4496)*IF('01_Вводные'!$B$239="Да",MeanMinAge13+'19_Расчет_аналитики'!AW4608*SUMIF(ThresholdAge13,"&lt;"&amp;'19_Расчет_аналитики'!AW4608,WeightedRevAge13)-SUMIF(ThresholdAge13,"&lt;"&amp;'19_Расчет_аналитики'!AW4608,WeightedMinAge13),MAX(CapacityAge13*'01_Вводные'!$B$218*'19_Расчет_аналитики'!AW4608,MeanMinAge13))),0)</f>
        <v/>
      </c>
      <c r="AX4552">
        <f>IF('01_Вводные'!$B$234="Да",IF(OR(('19_Расчет_аналитики'!AX4468-'19_Расчет_аналитики'!AX4496)=0,13&lt;='01_Вводные'!$B$297),0,('19_Расчет_аналитики'!AX4468-'19_Расчет_аналитики'!AX4496)*IF('01_Вводные'!$B$239="Да",MeanMinAge13+'19_Расчет_аналитики'!AX4608*SUMIF(ThresholdAge13,"&lt;"&amp;'19_Расчет_аналитики'!AX4608,WeightedRevAge13)-SUMIF(ThresholdAge13,"&lt;"&amp;'19_Расчет_аналитики'!AX4608,WeightedMinAge13),MAX(CapacityAge13*'01_Вводные'!$B$218*'19_Расчет_аналитики'!AX4608,MeanMinAge13))),0)</f>
        <v/>
      </c>
      <c r="AY4552">
        <f>IF('01_Вводные'!$B$234="Да",IF(OR(('19_Расчет_аналитики'!AY4468-'19_Расчет_аналитики'!AY4496)=0,13&lt;='01_Вводные'!$B$297),0,('19_Расчет_аналитики'!AY4468-'19_Расчет_аналитики'!AY4496)*IF('01_Вводные'!$B$239="Да",MeanMinAge13+'19_Расчет_аналитики'!AY4608*SUMIF(ThresholdAge13,"&lt;"&amp;'19_Расчет_аналитики'!AY4608,WeightedRevAge13)-SUMIF(ThresholdAge13,"&lt;"&amp;'19_Расчет_аналитики'!AY4608,WeightedMinAge13),MAX(CapacityAge13*'01_Вводные'!$B$218*'19_Расчет_аналитики'!AY4608,MeanMinAge13))),0)</f>
        <v/>
      </c>
      <c r="AZ4552">
        <f>IF('01_Вводные'!$B$234="Да",IF(OR(('19_Расчет_аналитики'!AZ4468-'19_Расчет_аналитики'!AZ4496)=0,13&lt;='01_Вводные'!$B$297),0,('19_Расчет_аналитики'!AZ4468-'19_Расчет_аналитики'!AZ4496)*IF('01_Вводные'!$B$239="Да",MeanMinAge13+'19_Расчет_аналитики'!AZ4608*SUMIF(ThresholdAge13,"&lt;"&amp;'19_Расчет_аналитики'!AZ4608,WeightedRevAge13)-SUMIF(ThresholdAge13,"&lt;"&amp;'19_Расчет_аналитики'!AZ4608,WeightedMinAge13),MAX(CapacityAge13*'01_Вводные'!$B$218*'19_Расчет_аналитики'!AZ4608,MeanMinAge13))),0)</f>
        <v/>
      </c>
      <c r="BA4552">
        <f>IF('01_Вводные'!$B$234="Да",IF(OR(('19_Расчет_аналитики'!BA4468-'19_Расчет_аналитики'!BA4496)=0,13&lt;='01_Вводные'!$B$297),0,('19_Расчет_аналитики'!BA4468-'19_Расчет_аналитики'!BA4496)*IF('01_Вводные'!$B$239="Да",MeanMinAge13+'19_Расчет_аналитики'!BA4608*SUMIF(ThresholdAge13,"&lt;"&amp;'19_Расчет_аналитики'!BA4608,WeightedRevAge13)-SUMIF(ThresholdAge13,"&lt;"&amp;'19_Расчет_аналитики'!BA4608,WeightedMinAge13),MAX(CapacityAge13*'01_Вводные'!$B$218*'19_Расчет_аналитики'!BA4608,MeanMinAge13))),0)</f>
        <v/>
      </c>
      <c r="BB4552">
        <f>IF('01_Вводные'!$B$234="Да",IF(OR(('19_Расчет_аналитики'!BB4468-'19_Расчет_аналитики'!BB4496)=0,13&lt;='01_Вводные'!$B$297),0,('19_Расчет_аналитики'!BB4468-'19_Расчет_аналитики'!BB4496)*IF('01_Вводные'!$B$239="Да",MeanMinAge13+'19_Расчет_аналитики'!BB4608*SUMIF(ThresholdAge13,"&lt;"&amp;'19_Расчет_аналитики'!BB4608,WeightedRevAge13)-SUMIF(ThresholdAge13,"&lt;"&amp;'19_Расчет_аналитики'!BB4608,WeightedMinAge13),MAX(CapacityAge13*'01_Вводные'!$B$218*'19_Расчет_аналитики'!BB4608,MeanMinAge13))),0)</f>
        <v/>
      </c>
      <c r="BC4552">
        <f>IF('01_Вводные'!$B$234="Да",IF(OR(('19_Расчет_аналитики'!BC4468-'19_Расчет_аналитики'!BC4496)=0,13&lt;='01_Вводные'!$B$297),0,('19_Расчет_аналитики'!BC4468-'19_Расчет_аналитики'!BC4496)*IF('01_Вводные'!$B$239="Да",MeanMinAge13+'19_Расчет_аналитики'!BC4608*SUMIF(ThresholdAge13,"&lt;"&amp;'19_Расчет_аналитики'!BC4608,WeightedRevAge13)-SUMIF(ThresholdAge13,"&lt;"&amp;'19_Расчет_аналитики'!BC4608,WeightedMinAge13),MAX(CapacityAge13*'01_Вводные'!$B$218*'19_Расчет_аналитики'!BC4608,MeanMinAge13))),0)</f>
        <v/>
      </c>
      <c r="BD4552">
        <f>IF('01_Вводные'!$B$234="Да",IF(OR(('19_Расчет_аналитики'!BD4468-'19_Расчет_аналитики'!BD4496)=0,13&lt;='01_Вводные'!$B$297),0,('19_Расчет_аналитики'!BD4468-'19_Расчет_аналитики'!BD4496)*IF('01_Вводные'!$B$239="Да",MeanMinAge13+'19_Расчет_аналитики'!BD4608*SUMIF(ThresholdAge13,"&lt;"&amp;'19_Расчет_аналитики'!BD4608,WeightedRevAge13)-SUMIF(ThresholdAge13,"&lt;"&amp;'19_Расчет_аналитики'!BD4608,WeightedMinAge13),MAX(CapacityAge13*'01_Вводные'!$B$218*'19_Расчет_аналитики'!BD4608,MeanMinAge13))),0)</f>
        <v/>
      </c>
      <c r="BE4552">
        <f>IF('01_Вводные'!$B$234="Да",IF(OR(('19_Расчет_аналитики'!BE4468-'19_Расчет_аналитики'!BE4496)=0,13&lt;='01_Вводные'!$B$297),0,('19_Расчет_аналитики'!BE4468-'19_Расчет_аналитики'!BE4496)*IF('01_Вводные'!$B$239="Да",MeanMinAge13+'19_Расчет_аналитики'!BE4608*SUMIF(ThresholdAge13,"&lt;"&amp;'19_Расчет_аналитики'!BE4608,WeightedRevAge13)-SUMIF(ThresholdAge13,"&lt;"&amp;'19_Расчет_аналитики'!BE4608,WeightedMinAge13),MAX(CapacityAge13*'01_Вводные'!$B$218*'19_Расчет_аналитики'!BE4608,MeanMinAge13))),0)</f>
        <v/>
      </c>
      <c r="BF4552">
        <f>IF('01_Вводные'!$B$234="Да",IF(OR(('19_Расчет_аналитики'!BF4468-'19_Расчет_аналитики'!BF4496)=0,13&lt;='01_Вводные'!$B$297),0,('19_Расчет_аналитики'!BF4468-'19_Расчет_аналитики'!BF4496)*IF('01_Вводные'!$B$239="Да",MeanMinAge13+'19_Расчет_аналитики'!BF4608*SUMIF(ThresholdAge13,"&lt;"&amp;'19_Расчет_аналитики'!BF4608,WeightedRevAge13)-SUMIF(ThresholdAge13,"&lt;"&amp;'19_Расчет_аналитики'!BF4608,WeightedMinAge13),MAX(CapacityAge13*'01_Вводные'!$B$218*'19_Расчет_аналитики'!BF4608,MeanMinAge13))),0)</f>
        <v/>
      </c>
      <c r="BG4552">
        <f>IF('01_Вводные'!$B$234="Да",IF(OR(('19_Расчет_аналитики'!BG4468-'19_Расчет_аналитики'!BG4496)=0,13&lt;='01_Вводные'!$B$297),0,('19_Расчет_аналитики'!BG4468-'19_Расчет_аналитики'!BG4496)*IF('01_Вводные'!$B$239="Да",MeanMinAge13+'19_Расчет_аналитики'!BG4608*SUMIF(ThresholdAge13,"&lt;"&amp;'19_Расчет_аналитики'!BG4608,WeightedRevAge13)-SUMIF(ThresholdAge13,"&lt;"&amp;'19_Расчет_аналитики'!BG4608,WeightedMinAge13),MAX(CapacityAge13*'01_Вводные'!$B$218*'19_Расчет_аналитики'!BG4608,MeanMinAge13))),0)</f>
        <v/>
      </c>
      <c r="BH4552">
        <f>IF('01_Вводные'!$B$234="Да",IF(OR(('19_Расчет_аналитики'!BH4468-'19_Расчет_аналитики'!BH4496)=0,13&lt;='01_Вводные'!$B$297),0,('19_Расчет_аналитики'!BH4468-'19_Расчет_аналитики'!BH4496)*IF('01_Вводные'!$B$239="Да",MeanMinAge13+'19_Расчет_аналитики'!BH4608*SUMIF(ThresholdAge13,"&lt;"&amp;'19_Расчет_аналитики'!BH4608,WeightedRevAge13)-SUMIF(ThresholdAge13,"&lt;"&amp;'19_Расчет_аналитики'!BH4608,WeightedMinAge13),MAX(CapacityAge13*'01_Вводные'!$B$218*'19_Расчет_аналитики'!BH4608,MeanMinAge13))),0)</f>
        <v/>
      </c>
      <c r="BI4552">
        <f>IF('01_Вводные'!$B$234="Да",IF(OR(('19_Расчет_аналитики'!BI4468-'19_Расчет_аналитики'!BI4496)=0,13&lt;='01_Вводные'!$B$297),0,('19_Расчет_аналитики'!BI4468-'19_Расчет_аналитики'!BI4496)*IF('01_Вводные'!$B$239="Да",MeanMinAge13+'19_Расчет_аналитики'!BI4608*SUMIF(ThresholdAge13,"&lt;"&amp;'19_Расчет_аналитики'!BI4608,WeightedRevAge13)-SUMIF(ThresholdAge13,"&lt;"&amp;'19_Расчет_аналитики'!BI4608,WeightedMinAge13),MAX(CapacityAge13*'01_Вводные'!$B$218*'19_Расчет_аналитики'!BI4608,MeanMinAge13))),0)</f>
        <v/>
      </c>
      <c r="BJ4552">
        <f>IF('01_Вводные'!$B$234="Да",IF(OR(('19_Расчет_аналитики'!BJ4468-'19_Расчет_аналитики'!BJ4496)=0,13&lt;='01_Вводные'!$B$297),0,('19_Расчет_аналитики'!BJ4468-'19_Расчет_аналитики'!BJ4496)*IF('01_Вводные'!$B$239="Да",MeanMinAge13+'19_Расчет_аналитики'!BJ4608*SUMIF(ThresholdAge13,"&lt;"&amp;'19_Расчет_аналитики'!BJ4608,WeightedRevAge13)-SUMIF(ThresholdAge13,"&lt;"&amp;'19_Расчет_аналитики'!BJ4608,WeightedMinAge13),MAX(CapacityAge13*'01_Вводные'!$B$218*'19_Расчет_аналитики'!BJ4608,MeanMinAge13))),0)</f>
        <v/>
      </c>
      <c r="BK4552">
        <f>IF('01_Вводные'!$B$234="Да",IF(OR(('19_Расчет_аналитики'!BK4468-'19_Расчет_аналитики'!BK4496)=0,13&lt;='01_Вводные'!$B$297),0,('19_Расчет_аналитики'!BK4468-'19_Расчет_аналитики'!BK4496)*IF('01_Вводные'!$B$239="Да",MeanMinAge13+'19_Расчет_аналитики'!BK4608*SUMIF(ThresholdAge13,"&lt;"&amp;'19_Расчет_аналитики'!BK4608,WeightedRevAge13)-SUMIF(ThresholdAge13,"&lt;"&amp;'19_Расчет_аналитики'!BK4608,WeightedMinAge13),MAX(CapacityAge13*'01_Вводные'!$B$218*'19_Расчет_аналитики'!BK4608,MeanMinAge13))),0)</f>
        <v/>
      </c>
      <c r="BL4552">
        <f>IF('01_Вводные'!$B$234="Да",IF(OR(('19_Расчет_аналитики'!BL4468-'19_Расчет_аналитики'!BL4496)=0,13&lt;='01_Вводные'!$B$297),0,('19_Расчет_аналитики'!BL4468-'19_Расчет_аналитики'!BL4496)*IF('01_Вводные'!$B$239="Да",MeanMinAge13+'19_Расчет_аналитики'!BL4608*SUMIF(ThresholdAge13,"&lt;"&amp;'19_Расчет_аналитики'!BL4608,WeightedRevAge13)-SUMIF(ThresholdAge13,"&lt;"&amp;'19_Расчет_аналитики'!BL4608,WeightedMinAge13),MAX(CapacityAge13*'01_Вводные'!$B$218*'19_Расчет_аналитики'!BL4608,MeanMinAge13))),0)</f>
        <v/>
      </c>
      <c r="BM4552">
        <f>IF('01_Вводные'!$B$234="Да",IF(OR(('19_Расчет_аналитики'!BM4468-'19_Расчет_аналитики'!BM4496)=0,13&lt;='01_Вводные'!$B$297),0,('19_Расчет_аналитики'!BM4468-'19_Расчет_аналитики'!BM4496)*IF('01_Вводные'!$B$239="Да",MeanMinAge13+'19_Расчет_аналитики'!BM4608*SUMIF(ThresholdAge13,"&lt;"&amp;'19_Расчет_аналитики'!BM4608,WeightedRevAge13)-SUMIF(ThresholdAge13,"&lt;"&amp;'19_Расчет_аналитики'!BM4608,WeightedMinAge13),MAX(CapacityAge13*'01_Вводные'!$B$218*'19_Расчет_аналитики'!BM4608,MeanMinAge13))),0)</f>
        <v/>
      </c>
      <c r="BN4552">
        <f>IF('01_Вводные'!$B$234="Да",IF(OR(('19_Расчет_аналитики'!BN4468-'19_Расчет_аналитики'!BN4496)=0,13&lt;='01_Вводные'!$B$297),0,('19_Расчет_аналитики'!BN4468-'19_Расчет_аналитики'!BN4496)*IF('01_Вводные'!$B$239="Да",MeanMinAge13+'19_Расчет_аналитики'!BN4608*SUMIF(ThresholdAge13,"&lt;"&amp;'19_Расчет_аналитики'!BN4608,WeightedRevAge13)-SUMIF(ThresholdAge13,"&lt;"&amp;'19_Расчет_аналитики'!BN4608,WeightedMinAge13),MAX(CapacityAge13*'01_Вводные'!$B$218*'19_Расчет_аналитики'!BN4608,MeanMinAge13))),0)</f>
        <v/>
      </c>
      <c r="BO4552">
        <f>IF('01_Вводные'!$B$234="Да",IF(OR(('19_Расчет_аналитики'!BO4468-'19_Расчет_аналитики'!BO4496)=0,13&lt;='01_Вводные'!$B$297),0,('19_Расчет_аналитики'!BO4468-'19_Расчет_аналитики'!BO4496)*IF('01_Вводные'!$B$239="Да",MeanMinAge13+'19_Расчет_аналитики'!BO4608*SUMIF(ThresholdAge13,"&lt;"&amp;'19_Расчет_аналитики'!BO4608,WeightedRevAge13)-SUMIF(ThresholdAge13,"&lt;"&amp;'19_Расчет_аналитики'!BO4608,WeightedMinAge13),MAX(CapacityAge13*'01_Вводные'!$B$218*'19_Расчет_аналитики'!BO4608,MeanMinAge13))),0)</f>
        <v/>
      </c>
    </row>
    <row r="4553">
      <c r="B4553">
        <f>IF('01_Вводные'!$B$234="Да",IF(OR(('06_Сеть_и_дети'!B66-'06_Сеть_и_дети'!B94)=0,14&lt;='01_Вводные'!$B$297),0,('06_Сеть_и_дети'!B66-'06_Сеть_и_дети'!B94)*IF('01_Вводные'!$B$239="Да",MeanMinAge14+'19_Расчет_аналитики'!B4608*SUMIF(ThresholdAge14,"&lt;"&amp;'19_Расчет_аналитики'!B4608,WeightedRevAge14)-SUMIF(ThresholdAge14,"&lt;"&amp;'19_Расчет_аналитики'!B4608,WeightedMinAge14),MAX(CapacityAge14*'01_Вводные'!$B$218*'19_Расчет_аналитики'!B4608,MeanMinAge14))),0)</f>
        <v/>
      </c>
      <c r="C4553">
        <f>IF('01_Вводные'!$B$234="Да",IF(OR(('06_Сеть_и_дети'!C66-'06_Сеть_и_дети'!C94)=0,14&lt;='01_Вводные'!$B$297),0,('06_Сеть_и_дети'!C66-'06_Сеть_и_дети'!C94)*IF('01_Вводные'!$B$239="Да",MeanMinAge14+'19_Расчет_аналитики'!C4608*SUMIF(ThresholdAge14,"&lt;"&amp;'19_Расчет_аналитики'!C4608,WeightedRevAge14)-SUMIF(ThresholdAge14,"&lt;"&amp;'19_Расчет_аналитики'!C4608,WeightedMinAge14),MAX(CapacityAge14*'01_Вводные'!$B$218*'19_Расчет_аналитики'!C4608,MeanMinAge14))),0)</f>
        <v/>
      </c>
      <c r="D4553">
        <f>IF('01_Вводные'!$B$234="Да",IF(OR(('06_Сеть_и_дети'!D66-'06_Сеть_и_дети'!D94)=0,14&lt;='01_Вводные'!$B$297),0,('06_Сеть_и_дети'!D66-'06_Сеть_и_дети'!D94)*IF('01_Вводные'!$B$239="Да",MeanMinAge14+'19_Расчет_аналитики'!D4608*SUMIF(ThresholdAge14,"&lt;"&amp;'19_Расчет_аналитики'!D4608,WeightedRevAge14)-SUMIF(ThresholdAge14,"&lt;"&amp;'19_Расчет_аналитики'!D4608,WeightedMinAge14),MAX(CapacityAge14*'01_Вводные'!$B$218*'19_Расчет_аналитики'!D4608,MeanMinAge14))),0)</f>
        <v/>
      </c>
      <c r="E4553">
        <f>IF('01_Вводные'!$B$234="Да",IF(OR(('06_Сеть_и_дети'!E66-'06_Сеть_и_дети'!E94)=0,14&lt;='01_Вводные'!$B$297),0,('06_Сеть_и_дети'!E66-'06_Сеть_и_дети'!E94)*IF('01_Вводные'!$B$239="Да",MeanMinAge14+'19_Расчет_аналитики'!E4608*SUMIF(ThresholdAge14,"&lt;"&amp;'19_Расчет_аналитики'!E4608,WeightedRevAge14)-SUMIF(ThresholdAge14,"&lt;"&amp;'19_Расчет_аналитики'!E4608,WeightedMinAge14),MAX(CapacityAge14*'01_Вводные'!$B$218*'19_Расчет_аналитики'!E4608,MeanMinAge14))),0)</f>
        <v/>
      </c>
      <c r="F4553">
        <f>IF('01_Вводные'!$B$234="Да",IF(OR(('06_Сеть_и_дети'!F66-'06_Сеть_и_дети'!F94)=0,14&lt;='01_Вводные'!$B$297),0,('06_Сеть_и_дети'!F66-'06_Сеть_и_дети'!F94)*IF('01_Вводные'!$B$239="Да",MeanMinAge14+'19_Расчет_аналитики'!F4608*SUMIF(ThresholdAge14,"&lt;"&amp;'19_Расчет_аналитики'!F4608,WeightedRevAge14)-SUMIF(ThresholdAge14,"&lt;"&amp;'19_Расчет_аналитики'!F4608,WeightedMinAge14),MAX(CapacityAge14*'01_Вводные'!$B$218*'19_Расчет_аналитики'!F4608,MeanMinAge14))),0)</f>
        <v/>
      </c>
      <c r="G4553">
        <f>IF('01_Вводные'!$B$234="Да",IF(OR(('06_Сеть_и_дети'!G66-'06_Сеть_и_дети'!G94)=0,14&lt;='01_Вводные'!$B$297),0,('06_Сеть_и_дети'!G66-'06_Сеть_и_дети'!G94)*IF('01_Вводные'!$B$239="Да",MeanMinAge14+'19_Расчет_аналитики'!G4608*SUMIF(ThresholdAge14,"&lt;"&amp;'19_Расчет_аналитики'!G4608,WeightedRevAge14)-SUMIF(ThresholdAge14,"&lt;"&amp;'19_Расчет_аналитики'!G4608,WeightedMinAge14),MAX(CapacityAge14*'01_Вводные'!$B$218*'19_Расчет_аналитики'!G4608,MeanMinAge14))),0)</f>
        <v/>
      </c>
      <c r="H4553">
        <f>IF('01_Вводные'!$B$234="Да",IF(OR(('06_Сеть_и_дети'!H66-'06_Сеть_и_дети'!H94)=0,14&lt;='01_Вводные'!$B$297),0,('06_Сеть_и_дети'!H66-'06_Сеть_и_дети'!H94)*IF('01_Вводные'!$B$239="Да",MeanMinAge14+'19_Расчет_аналитики'!H4608*SUMIF(ThresholdAge14,"&lt;"&amp;'19_Расчет_аналитики'!H4608,WeightedRevAge14)-SUMIF(ThresholdAge14,"&lt;"&amp;'19_Расчет_аналитики'!H4608,WeightedMinAge14),MAX(CapacityAge14*'01_Вводные'!$B$218*'19_Расчет_аналитики'!H4608,MeanMinAge14))),0)</f>
        <v/>
      </c>
      <c r="I4553">
        <f>IF('01_Вводные'!$B$234="Да",IF(OR(('06_Сеть_и_дети'!I66-'06_Сеть_и_дети'!I94)=0,14&lt;='01_Вводные'!$B$297),0,('06_Сеть_и_дети'!I66-'06_Сеть_и_дети'!I94)*IF('01_Вводные'!$B$239="Да",MeanMinAge14+'19_Расчет_аналитики'!I4608*SUMIF(ThresholdAge14,"&lt;"&amp;'19_Расчет_аналитики'!I4608,WeightedRevAge14)-SUMIF(ThresholdAge14,"&lt;"&amp;'19_Расчет_аналитики'!I4608,WeightedMinAge14),MAX(CapacityAge14*'01_Вводные'!$B$218*'19_Расчет_аналитики'!I4608,MeanMinAge14))),0)</f>
        <v/>
      </c>
      <c r="J4553">
        <f>IF('01_Вводные'!$B$234="Да",IF(OR(('06_Сеть_и_дети'!J66-'06_Сеть_и_дети'!J94)=0,14&lt;='01_Вводные'!$B$297),0,('06_Сеть_и_дети'!J66-'06_Сеть_и_дети'!J94)*IF('01_Вводные'!$B$239="Да",MeanMinAge14+'19_Расчет_аналитики'!J4608*SUMIF(ThresholdAge14,"&lt;"&amp;'19_Расчет_аналитики'!J4608,WeightedRevAge14)-SUMIF(ThresholdAge14,"&lt;"&amp;'19_Расчет_аналитики'!J4608,WeightedMinAge14),MAX(CapacityAge14*'01_Вводные'!$B$218*'19_Расчет_аналитики'!J4608,MeanMinAge14))),0)</f>
        <v/>
      </c>
      <c r="K4553">
        <f>IF('01_Вводные'!$B$234="Да",IF(OR(('06_Сеть_и_дети'!K66-'06_Сеть_и_дети'!K94)=0,14&lt;='01_Вводные'!$B$297),0,('06_Сеть_и_дети'!K66-'06_Сеть_и_дети'!K94)*IF('01_Вводные'!$B$239="Да",MeanMinAge14+'19_Расчет_аналитики'!K4608*SUMIF(ThresholdAge14,"&lt;"&amp;'19_Расчет_аналитики'!K4608,WeightedRevAge14)-SUMIF(ThresholdAge14,"&lt;"&amp;'19_Расчет_аналитики'!K4608,WeightedMinAge14),MAX(CapacityAge14*'01_Вводные'!$B$218*'19_Расчет_аналитики'!K4608,MeanMinAge14))),0)</f>
        <v/>
      </c>
      <c r="L4553">
        <f>IF('01_Вводные'!$B$234="Да",IF(OR(('06_Сеть_и_дети'!L66-'06_Сеть_и_дети'!L94)=0,14&lt;='01_Вводные'!$B$297),0,('06_Сеть_и_дети'!L66-'06_Сеть_и_дети'!L94)*IF('01_Вводные'!$B$239="Да",MeanMinAge14+'19_Расчет_аналитики'!L4608*SUMIF(ThresholdAge14,"&lt;"&amp;'19_Расчет_аналитики'!L4608,WeightedRevAge14)-SUMIF(ThresholdAge14,"&lt;"&amp;'19_Расчет_аналитики'!L4608,WeightedMinAge14),MAX(CapacityAge14*'01_Вводные'!$B$218*'19_Расчет_аналитики'!L4608,MeanMinAge14))),0)</f>
        <v/>
      </c>
      <c r="M4553">
        <f>IF('01_Вводные'!$B$234="Да",IF(OR(('06_Сеть_и_дети'!M66-'06_Сеть_и_дети'!M94)=0,14&lt;='01_Вводные'!$B$297),0,('06_Сеть_и_дети'!M66-'06_Сеть_и_дети'!M94)*IF('01_Вводные'!$B$239="Да",MeanMinAge14+'19_Расчет_аналитики'!M4608*SUMIF(ThresholdAge14,"&lt;"&amp;'19_Расчет_аналитики'!M4608,WeightedRevAge14)-SUMIF(ThresholdAge14,"&lt;"&amp;'19_Расчет_аналитики'!M4608,WeightedMinAge14),MAX(CapacityAge14*'01_Вводные'!$B$218*'19_Расчет_аналитики'!M4608,MeanMinAge14))),0)</f>
        <v/>
      </c>
      <c r="N4553">
        <f>IF('01_Вводные'!$B$234="Да",IF(OR(('06_Сеть_и_дети'!N66-'06_Сеть_и_дети'!N94)=0,14&lt;='01_Вводные'!$B$297),0,('06_Сеть_и_дети'!N66-'06_Сеть_и_дети'!N94)*IF('01_Вводные'!$B$239="Да",MeanMinAge14+'19_Расчет_аналитики'!N4608*SUMIF(ThresholdAge14,"&lt;"&amp;'19_Расчет_аналитики'!N4608,WeightedRevAge14)-SUMIF(ThresholdAge14,"&lt;"&amp;'19_Расчет_аналитики'!N4608,WeightedMinAge14),MAX(CapacityAge14*'01_Вводные'!$B$218*'19_Расчет_аналитики'!N4608,MeanMinAge14))),0)</f>
        <v/>
      </c>
      <c r="O4553">
        <f>IF('01_Вводные'!$B$234="Да",IF(OR(('19_Расчет_аналитики'!O4469-'19_Расчет_аналитики'!O4497)=0,14&lt;='01_Вводные'!$B$297),0,('19_Расчет_аналитики'!O4469-'19_Расчет_аналитики'!O4497)*IF('01_Вводные'!$B$239="Да",MeanMinAge14+'19_Расчет_аналитики'!O4608*SUMIF(ThresholdAge14,"&lt;"&amp;'19_Расчет_аналитики'!O4608,WeightedRevAge14)-SUMIF(ThresholdAge14,"&lt;"&amp;'19_Расчет_аналитики'!O4608,WeightedMinAge14),MAX(CapacityAge14*'01_Вводные'!$B$218*'19_Расчет_аналитики'!O4608,MeanMinAge14))),0)</f>
        <v/>
      </c>
      <c r="P4553">
        <f>IF('01_Вводные'!$B$234="Да",IF(OR(('19_Расчет_аналитики'!P4469-'19_Расчет_аналитики'!P4497)=0,14&lt;='01_Вводные'!$B$297),0,('19_Расчет_аналитики'!P4469-'19_Расчет_аналитики'!P4497)*IF('01_Вводные'!$B$239="Да",MeanMinAge14+'19_Расчет_аналитики'!P4608*SUMIF(ThresholdAge14,"&lt;"&amp;'19_Расчет_аналитики'!P4608,WeightedRevAge14)-SUMIF(ThresholdAge14,"&lt;"&amp;'19_Расчет_аналитики'!P4608,WeightedMinAge14),MAX(CapacityAge14*'01_Вводные'!$B$218*'19_Расчет_аналитики'!P4608,MeanMinAge14))),0)</f>
        <v/>
      </c>
      <c r="Q4553">
        <f>IF('01_Вводные'!$B$234="Да",IF(OR(('19_Расчет_аналитики'!Q4469-'19_Расчет_аналитики'!Q4497)=0,14&lt;='01_Вводные'!$B$297),0,('19_Расчет_аналитики'!Q4469-'19_Расчет_аналитики'!Q4497)*IF('01_Вводные'!$B$239="Да",MeanMinAge14+'19_Расчет_аналитики'!Q4608*SUMIF(ThresholdAge14,"&lt;"&amp;'19_Расчет_аналитики'!Q4608,WeightedRevAge14)-SUMIF(ThresholdAge14,"&lt;"&amp;'19_Расчет_аналитики'!Q4608,WeightedMinAge14),MAX(CapacityAge14*'01_Вводные'!$B$218*'19_Расчет_аналитики'!Q4608,MeanMinAge14))),0)</f>
        <v/>
      </c>
      <c r="R4553">
        <f>IF('01_Вводные'!$B$234="Да",IF(OR(('19_Расчет_аналитики'!R4469-'19_Расчет_аналитики'!R4497)=0,14&lt;='01_Вводные'!$B$297),0,('19_Расчет_аналитики'!R4469-'19_Расчет_аналитики'!R4497)*IF('01_Вводные'!$B$239="Да",MeanMinAge14+'19_Расчет_аналитики'!R4608*SUMIF(ThresholdAge14,"&lt;"&amp;'19_Расчет_аналитики'!R4608,WeightedRevAge14)-SUMIF(ThresholdAge14,"&lt;"&amp;'19_Расчет_аналитики'!R4608,WeightedMinAge14),MAX(CapacityAge14*'01_Вводные'!$B$218*'19_Расчет_аналитики'!R4608,MeanMinAge14))),0)</f>
        <v/>
      </c>
      <c r="S4553">
        <f>IF('01_Вводные'!$B$234="Да",IF(OR(('19_Расчет_аналитики'!S4469-'19_Расчет_аналитики'!S4497)=0,14&lt;='01_Вводные'!$B$297),0,('19_Расчет_аналитики'!S4469-'19_Расчет_аналитики'!S4497)*IF('01_Вводные'!$B$239="Да",MeanMinAge14+'19_Расчет_аналитики'!S4608*SUMIF(ThresholdAge14,"&lt;"&amp;'19_Расчет_аналитики'!S4608,WeightedRevAge14)-SUMIF(ThresholdAge14,"&lt;"&amp;'19_Расчет_аналитики'!S4608,WeightedMinAge14),MAX(CapacityAge14*'01_Вводные'!$B$218*'19_Расчет_аналитики'!S4608,MeanMinAge14))),0)</f>
        <v/>
      </c>
      <c r="T4553">
        <f>IF('01_Вводные'!$B$234="Да",IF(OR(('19_Расчет_аналитики'!T4469-'19_Расчет_аналитики'!T4497)=0,14&lt;='01_Вводные'!$B$297),0,('19_Расчет_аналитики'!T4469-'19_Расчет_аналитики'!T4497)*IF('01_Вводные'!$B$239="Да",MeanMinAge14+'19_Расчет_аналитики'!T4608*SUMIF(ThresholdAge14,"&lt;"&amp;'19_Расчет_аналитики'!T4608,WeightedRevAge14)-SUMIF(ThresholdAge14,"&lt;"&amp;'19_Расчет_аналитики'!T4608,WeightedMinAge14),MAX(CapacityAge14*'01_Вводные'!$B$218*'19_Расчет_аналитики'!T4608,MeanMinAge14))),0)</f>
        <v/>
      </c>
      <c r="U4553">
        <f>IF('01_Вводные'!$B$234="Да",IF(OR(('19_Расчет_аналитики'!U4469-'19_Расчет_аналитики'!U4497)=0,14&lt;='01_Вводные'!$B$297),0,('19_Расчет_аналитики'!U4469-'19_Расчет_аналитики'!U4497)*IF('01_Вводные'!$B$239="Да",MeanMinAge14+'19_Расчет_аналитики'!U4608*SUMIF(ThresholdAge14,"&lt;"&amp;'19_Расчет_аналитики'!U4608,WeightedRevAge14)-SUMIF(ThresholdAge14,"&lt;"&amp;'19_Расчет_аналитики'!U4608,WeightedMinAge14),MAX(CapacityAge14*'01_Вводные'!$B$218*'19_Расчет_аналитики'!U4608,MeanMinAge14))),0)</f>
        <v/>
      </c>
      <c r="V4553">
        <f>IF('01_Вводные'!$B$234="Да",IF(OR(('19_Расчет_аналитики'!V4469-'19_Расчет_аналитики'!V4497)=0,14&lt;='01_Вводные'!$B$297),0,('19_Расчет_аналитики'!V4469-'19_Расчет_аналитики'!V4497)*IF('01_Вводные'!$B$239="Да",MeanMinAge14+'19_Расчет_аналитики'!V4608*SUMIF(ThresholdAge14,"&lt;"&amp;'19_Расчет_аналитики'!V4608,WeightedRevAge14)-SUMIF(ThresholdAge14,"&lt;"&amp;'19_Расчет_аналитики'!V4608,WeightedMinAge14),MAX(CapacityAge14*'01_Вводные'!$B$218*'19_Расчет_аналитики'!V4608,MeanMinAge14))),0)</f>
        <v/>
      </c>
      <c r="W4553">
        <f>IF('01_Вводные'!$B$234="Да",IF(OR(('19_Расчет_аналитики'!W4469-'19_Расчет_аналитики'!W4497)=0,14&lt;='01_Вводные'!$B$297),0,('19_Расчет_аналитики'!W4469-'19_Расчет_аналитики'!W4497)*IF('01_Вводные'!$B$239="Да",MeanMinAge14+'19_Расчет_аналитики'!W4608*SUMIF(ThresholdAge14,"&lt;"&amp;'19_Расчет_аналитики'!W4608,WeightedRevAge14)-SUMIF(ThresholdAge14,"&lt;"&amp;'19_Расчет_аналитики'!W4608,WeightedMinAge14),MAX(CapacityAge14*'01_Вводные'!$B$218*'19_Расчет_аналитики'!W4608,MeanMinAge14))),0)</f>
        <v/>
      </c>
      <c r="X4553">
        <f>IF('01_Вводные'!$B$234="Да",IF(OR(('19_Расчет_аналитики'!X4469-'19_Расчет_аналитики'!X4497)=0,14&lt;='01_Вводные'!$B$297),0,('19_Расчет_аналитики'!X4469-'19_Расчет_аналитики'!X4497)*IF('01_Вводные'!$B$239="Да",MeanMinAge14+'19_Расчет_аналитики'!X4608*SUMIF(ThresholdAge14,"&lt;"&amp;'19_Расчет_аналитики'!X4608,WeightedRevAge14)-SUMIF(ThresholdAge14,"&lt;"&amp;'19_Расчет_аналитики'!X4608,WeightedMinAge14),MAX(CapacityAge14*'01_Вводные'!$B$218*'19_Расчет_аналитики'!X4608,MeanMinAge14))),0)</f>
        <v/>
      </c>
      <c r="Y4553">
        <f>IF('01_Вводные'!$B$234="Да",IF(OR(('19_Расчет_аналитики'!Y4469-'19_Расчет_аналитики'!Y4497)=0,14&lt;='01_Вводные'!$B$297),0,('19_Расчет_аналитики'!Y4469-'19_Расчет_аналитики'!Y4497)*IF('01_Вводные'!$B$239="Да",MeanMinAge14+'19_Расчет_аналитики'!Y4608*SUMIF(ThresholdAge14,"&lt;"&amp;'19_Расчет_аналитики'!Y4608,WeightedRevAge14)-SUMIF(ThresholdAge14,"&lt;"&amp;'19_Расчет_аналитики'!Y4608,WeightedMinAge14),MAX(CapacityAge14*'01_Вводные'!$B$218*'19_Расчет_аналитики'!Y4608,MeanMinAge14))),0)</f>
        <v/>
      </c>
      <c r="Z4553">
        <f>IF('01_Вводные'!$B$234="Да",IF(OR(('19_Расчет_аналитики'!Z4469-'19_Расчет_аналитики'!Z4497)=0,14&lt;='01_Вводные'!$B$297),0,('19_Расчет_аналитики'!Z4469-'19_Расчет_аналитики'!Z4497)*IF('01_Вводные'!$B$239="Да",MeanMinAge14+'19_Расчет_аналитики'!Z4608*SUMIF(ThresholdAge14,"&lt;"&amp;'19_Расчет_аналитики'!Z4608,WeightedRevAge14)-SUMIF(ThresholdAge14,"&lt;"&amp;'19_Расчет_аналитики'!Z4608,WeightedMinAge14),MAX(CapacityAge14*'01_Вводные'!$B$218*'19_Расчет_аналитики'!Z4608,MeanMinAge14))),0)</f>
        <v/>
      </c>
      <c r="AA4553">
        <f>IF('01_Вводные'!$B$234="Да",IF(OR(('19_Расчет_аналитики'!AA4469-'19_Расчет_аналитики'!AA4497)=0,14&lt;='01_Вводные'!$B$297),0,('19_Расчет_аналитики'!AA4469-'19_Расчет_аналитики'!AA4497)*IF('01_Вводные'!$B$239="Да",MeanMinAge14+'19_Расчет_аналитики'!AA4608*SUMIF(ThresholdAge14,"&lt;"&amp;'19_Расчет_аналитики'!AA4608,WeightedRevAge14)-SUMIF(ThresholdAge14,"&lt;"&amp;'19_Расчет_аналитики'!AA4608,WeightedMinAge14),MAX(CapacityAge14*'01_Вводные'!$B$218*'19_Расчет_аналитики'!AA4608,MeanMinAge14))),0)</f>
        <v/>
      </c>
      <c r="AB4553">
        <f>IF('01_Вводные'!$B$234="Да",IF(OR(('19_Расчет_аналитики'!AB4469-'19_Расчет_аналитики'!AB4497)=0,14&lt;='01_Вводные'!$B$297),0,('19_Расчет_аналитики'!AB4469-'19_Расчет_аналитики'!AB4497)*IF('01_Вводные'!$B$239="Да",MeanMinAge14+'19_Расчет_аналитики'!AB4608*SUMIF(ThresholdAge14,"&lt;"&amp;'19_Расчет_аналитики'!AB4608,WeightedRevAge14)-SUMIF(ThresholdAge14,"&lt;"&amp;'19_Расчет_аналитики'!AB4608,WeightedMinAge14),MAX(CapacityAge14*'01_Вводные'!$B$218*'19_Расчет_аналитики'!AB4608,MeanMinAge14))),0)</f>
        <v/>
      </c>
      <c r="AC4553">
        <f>IF('01_Вводные'!$B$234="Да",IF(OR(('19_Расчет_аналитики'!AC4469-'19_Расчет_аналитики'!AC4497)=0,14&lt;='01_Вводные'!$B$297),0,('19_Расчет_аналитики'!AC4469-'19_Расчет_аналитики'!AC4497)*IF('01_Вводные'!$B$239="Да",MeanMinAge14+'19_Расчет_аналитики'!AC4608*SUMIF(ThresholdAge14,"&lt;"&amp;'19_Расчет_аналитики'!AC4608,WeightedRevAge14)-SUMIF(ThresholdAge14,"&lt;"&amp;'19_Расчет_аналитики'!AC4608,WeightedMinAge14),MAX(CapacityAge14*'01_Вводные'!$B$218*'19_Расчет_аналитики'!AC4608,MeanMinAge14))),0)</f>
        <v/>
      </c>
      <c r="AD4553">
        <f>IF('01_Вводные'!$B$234="Да",IF(OR(('19_Расчет_аналитики'!AD4469-'19_Расчет_аналитики'!AD4497)=0,14&lt;='01_Вводные'!$B$297),0,('19_Расчет_аналитики'!AD4469-'19_Расчет_аналитики'!AD4497)*IF('01_Вводные'!$B$239="Да",MeanMinAge14+'19_Расчет_аналитики'!AD4608*SUMIF(ThresholdAge14,"&lt;"&amp;'19_Расчет_аналитики'!AD4608,WeightedRevAge14)-SUMIF(ThresholdAge14,"&lt;"&amp;'19_Расчет_аналитики'!AD4608,WeightedMinAge14),MAX(CapacityAge14*'01_Вводные'!$B$218*'19_Расчет_аналитики'!AD4608,MeanMinAge14))),0)</f>
        <v/>
      </c>
      <c r="AE4553">
        <f>IF('01_Вводные'!$B$234="Да",IF(OR(('19_Расчет_аналитики'!AE4469-'19_Расчет_аналитики'!AE4497)=0,14&lt;='01_Вводные'!$B$297),0,('19_Расчет_аналитики'!AE4469-'19_Расчет_аналитики'!AE4497)*IF('01_Вводные'!$B$239="Да",MeanMinAge14+'19_Расчет_аналитики'!AE4608*SUMIF(ThresholdAge14,"&lt;"&amp;'19_Расчет_аналитики'!AE4608,WeightedRevAge14)-SUMIF(ThresholdAge14,"&lt;"&amp;'19_Расчет_аналитики'!AE4608,WeightedMinAge14),MAX(CapacityAge14*'01_Вводные'!$B$218*'19_Расчет_аналитики'!AE4608,MeanMinAge14))),0)</f>
        <v/>
      </c>
      <c r="AF4553">
        <f>IF('01_Вводные'!$B$234="Да",IF(OR(('19_Расчет_аналитики'!AF4469-'19_Расчет_аналитики'!AF4497)=0,14&lt;='01_Вводные'!$B$297),0,('19_Расчет_аналитики'!AF4469-'19_Расчет_аналитики'!AF4497)*IF('01_Вводные'!$B$239="Да",MeanMinAge14+'19_Расчет_аналитики'!AF4608*SUMIF(ThresholdAge14,"&lt;"&amp;'19_Расчет_аналитики'!AF4608,WeightedRevAge14)-SUMIF(ThresholdAge14,"&lt;"&amp;'19_Расчет_аналитики'!AF4608,WeightedMinAge14),MAX(CapacityAge14*'01_Вводные'!$B$218*'19_Расчет_аналитики'!AF4608,MeanMinAge14))),0)</f>
        <v/>
      </c>
      <c r="AG4553">
        <f>IF('01_Вводные'!$B$234="Да",IF(OR(('19_Расчет_аналитики'!AG4469-'19_Расчет_аналитики'!AG4497)=0,14&lt;='01_Вводные'!$B$297),0,('19_Расчет_аналитики'!AG4469-'19_Расчет_аналитики'!AG4497)*IF('01_Вводные'!$B$239="Да",MeanMinAge14+'19_Расчет_аналитики'!AG4608*SUMIF(ThresholdAge14,"&lt;"&amp;'19_Расчет_аналитики'!AG4608,WeightedRevAge14)-SUMIF(ThresholdAge14,"&lt;"&amp;'19_Расчет_аналитики'!AG4608,WeightedMinAge14),MAX(CapacityAge14*'01_Вводные'!$B$218*'19_Расчет_аналитики'!AG4608,MeanMinAge14))),0)</f>
        <v/>
      </c>
      <c r="AH4553">
        <f>IF('01_Вводные'!$B$234="Да",IF(OR(('19_Расчет_аналитики'!AH4469-'19_Расчет_аналитики'!AH4497)=0,14&lt;='01_Вводные'!$B$297),0,('19_Расчет_аналитики'!AH4469-'19_Расчет_аналитики'!AH4497)*IF('01_Вводные'!$B$239="Да",MeanMinAge14+'19_Расчет_аналитики'!AH4608*SUMIF(ThresholdAge14,"&lt;"&amp;'19_Расчет_аналитики'!AH4608,WeightedRevAge14)-SUMIF(ThresholdAge14,"&lt;"&amp;'19_Расчет_аналитики'!AH4608,WeightedMinAge14),MAX(CapacityAge14*'01_Вводные'!$B$218*'19_Расчет_аналитики'!AH4608,MeanMinAge14))),0)</f>
        <v/>
      </c>
      <c r="AI4553">
        <f>IF('01_Вводные'!$B$234="Да",IF(OR(('19_Расчет_аналитики'!AI4469-'19_Расчет_аналитики'!AI4497)=0,14&lt;='01_Вводные'!$B$297),0,('19_Расчет_аналитики'!AI4469-'19_Расчет_аналитики'!AI4497)*IF('01_Вводные'!$B$239="Да",MeanMinAge14+'19_Расчет_аналитики'!AI4608*SUMIF(ThresholdAge14,"&lt;"&amp;'19_Расчет_аналитики'!AI4608,WeightedRevAge14)-SUMIF(ThresholdAge14,"&lt;"&amp;'19_Расчет_аналитики'!AI4608,WeightedMinAge14),MAX(CapacityAge14*'01_Вводные'!$B$218*'19_Расчет_аналитики'!AI4608,MeanMinAge14))),0)</f>
        <v/>
      </c>
      <c r="AJ4553">
        <f>IF('01_Вводные'!$B$234="Да",IF(OR(('19_Расчет_аналитики'!AJ4469-'19_Расчет_аналитики'!AJ4497)=0,14&lt;='01_Вводные'!$B$297),0,('19_Расчет_аналитики'!AJ4469-'19_Расчет_аналитики'!AJ4497)*IF('01_Вводные'!$B$239="Да",MeanMinAge14+'19_Расчет_аналитики'!AJ4608*SUMIF(ThresholdAge14,"&lt;"&amp;'19_Расчет_аналитики'!AJ4608,WeightedRevAge14)-SUMIF(ThresholdAge14,"&lt;"&amp;'19_Расчет_аналитики'!AJ4608,WeightedMinAge14),MAX(CapacityAge14*'01_Вводные'!$B$218*'19_Расчет_аналитики'!AJ4608,MeanMinAge14))),0)</f>
        <v/>
      </c>
      <c r="AK4553">
        <f>IF('01_Вводные'!$B$234="Да",IF(OR(('19_Расчет_аналитики'!AK4469-'19_Расчет_аналитики'!AK4497)=0,14&lt;='01_Вводные'!$B$297),0,('19_Расчет_аналитики'!AK4469-'19_Расчет_аналитики'!AK4497)*IF('01_Вводные'!$B$239="Да",MeanMinAge14+'19_Расчет_аналитики'!AK4608*SUMIF(ThresholdAge14,"&lt;"&amp;'19_Расчет_аналитики'!AK4608,WeightedRevAge14)-SUMIF(ThresholdAge14,"&lt;"&amp;'19_Расчет_аналитики'!AK4608,WeightedMinAge14),MAX(CapacityAge14*'01_Вводные'!$B$218*'19_Расчет_аналитики'!AK4608,MeanMinAge14))),0)</f>
        <v/>
      </c>
      <c r="AL4553">
        <f>IF('01_Вводные'!$B$234="Да",IF(OR(('19_Расчет_аналитики'!AL4469-'19_Расчет_аналитики'!AL4497)=0,14&lt;='01_Вводные'!$B$297),0,('19_Расчет_аналитики'!AL4469-'19_Расчет_аналитики'!AL4497)*IF('01_Вводные'!$B$239="Да",MeanMinAge14+'19_Расчет_аналитики'!AL4608*SUMIF(ThresholdAge14,"&lt;"&amp;'19_Расчет_аналитики'!AL4608,WeightedRevAge14)-SUMIF(ThresholdAge14,"&lt;"&amp;'19_Расчет_аналитики'!AL4608,WeightedMinAge14),MAX(CapacityAge14*'01_Вводные'!$B$218*'19_Расчет_аналитики'!AL4608,MeanMinAge14))),0)</f>
        <v/>
      </c>
      <c r="AM4553">
        <f>IF('01_Вводные'!$B$234="Да",IF(OR(('19_Расчет_аналитики'!AM4469-'19_Расчет_аналитики'!AM4497)=0,14&lt;='01_Вводные'!$B$297),0,('19_Расчет_аналитики'!AM4469-'19_Расчет_аналитики'!AM4497)*IF('01_Вводные'!$B$239="Да",MeanMinAge14+'19_Расчет_аналитики'!AM4608*SUMIF(ThresholdAge14,"&lt;"&amp;'19_Расчет_аналитики'!AM4608,WeightedRevAge14)-SUMIF(ThresholdAge14,"&lt;"&amp;'19_Расчет_аналитики'!AM4608,WeightedMinAge14),MAX(CapacityAge14*'01_Вводные'!$B$218*'19_Расчет_аналитики'!AM4608,MeanMinAge14))),0)</f>
        <v/>
      </c>
      <c r="AN4553">
        <f>IF('01_Вводные'!$B$234="Да",IF(OR(('19_Расчет_аналитики'!AN4469-'19_Расчет_аналитики'!AN4497)=0,14&lt;='01_Вводные'!$B$297),0,('19_Расчет_аналитики'!AN4469-'19_Расчет_аналитики'!AN4497)*IF('01_Вводные'!$B$239="Да",MeanMinAge14+'19_Расчет_аналитики'!AN4608*SUMIF(ThresholdAge14,"&lt;"&amp;'19_Расчет_аналитики'!AN4608,WeightedRevAge14)-SUMIF(ThresholdAge14,"&lt;"&amp;'19_Расчет_аналитики'!AN4608,WeightedMinAge14),MAX(CapacityAge14*'01_Вводные'!$B$218*'19_Расчет_аналитики'!AN4608,MeanMinAge14))),0)</f>
        <v/>
      </c>
      <c r="AO4553">
        <f>IF('01_Вводные'!$B$234="Да",IF(OR(('19_Расчет_аналитики'!AO4469-'19_Расчет_аналитики'!AO4497)=0,14&lt;='01_Вводные'!$B$297),0,('19_Расчет_аналитики'!AO4469-'19_Расчет_аналитики'!AO4497)*IF('01_Вводные'!$B$239="Да",MeanMinAge14+'19_Расчет_аналитики'!AO4608*SUMIF(ThresholdAge14,"&lt;"&amp;'19_Расчет_аналитики'!AO4608,WeightedRevAge14)-SUMIF(ThresholdAge14,"&lt;"&amp;'19_Расчет_аналитики'!AO4608,WeightedMinAge14),MAX(CapacityAge14*'01_Вводные'!$B$218*'19_Расчет_аналитики'!AO4608,MeanMinAge14))),0)</f>
        <v/>
      </c>
      <c r="AP4553">
        <f>IF('01_Вводные'!$B$234="Да",IF(OR(('19_Расчет_аналитики'!AP4469-'19_Расчет_аналитики'!AP4497)=0,14&lt;='01_Вводные'!$B$297),0,('19_Расчет_аналитики'!AP4469-'19_Расчет_аналитики'!AP4497)*IF('01_Вводные'!$B$239="Да",MeanMinAge14+'19_Расчет_аналитики'!AP4608*SUMIF(ThresholdAge14,"&lt;"&amp;'19_Расчет_аналитики'!AP4608,WeightedRevAge14)-SUMIF(ThresholdAge14,"&lt;"&amp;'19_Расчет_аналитики'!AP4608,WeightedMinAge14),MAX(CapacityAge14*'01_Вводные'!$B$218*'19_Расчет_аналитики'!AP4608,MeanMinAge14))),0)</f>
        <v/>
      </c>
      <c r="AQ4553">
        <f>IF('01_Вводные'!$B$234="Да",IF(OR(('19_Расчет_аналитики'!AQ4469-'19_Расчет_аналитики'!AQ4497)=0,14&lt;='01_Вводные'!$B$297),0,('19_Расчет_аналитики'!AQ4469-'19_Расчет_аналитики'!AQ4497)*IF('01_Вводные'!$B$239="Да",MeanMinAge14+'19_Расчет_аналитики'!AQ4608*SUMIF(ThresholdAge14,"&lt;"&amp;'19_Расчет_аналитики'!AQ4608,WeightedRevAge14)-SUMIF(ThresholdAge14,"&lt;"&amp;'19_Расчет_аналитики'!AQ4608,WeightedMinAge14),MAX(CapacityAge14*'01_Вводные'!$B$218*'19_Расчет_аналитики'!AQ4608,MeanMinAge14))),0)</f>
        <v/>
      </c>
      <c r="AR4553">
        <f>IF('01_Вводные'!$B$234="Да",IF(OR(('19_Расчет_аналитики'!AR4469-'19_Расчет_аналитики'!AR4497)=0,14&lt;='01_Вводные'!$B$297),0,('19_Расчет_аналитики'!AR4469-'19_Расчет_аналитики'!AR4497)*IF('01_Вводные'!$B$239="Да",MeanMinAge14+'19_Расчет_аналитики'!AR4608*SUMIF(ThresholdAge14,"&lt;"&amp;'19_Расчет_аналитики'!AR4608,WeightedRevAge14)-SUMIF(ThresholdAge14,"&lt;"&amp;'19_Расчет_аналитики'!AR4608,WeightedMinAge14),MAX(CapacityAge14*'01_Вводные'!$B$218*'19_Расчет_аналитики'!AR4608,MeanMinAge14))),0)</f>
        <v/>
      </c>
      <c r="AS4553">
        <f>IF('01_Вводные'!$B$234="Да",IF(OR(('19_Расчет_аналитики'!AS4469-'19_Расчет_аналитики'!AS4497)=0,14&lt;='01_Вводные'!$B$297),0,('19_Расчет_аналитики'!AS4469-'19_Расчет_аналитики'!AS4497)*IF('01_Вводные'!$B$239="Да",MeanMinAge14+'19_Расчет_аналитики'!AS4608*SUMIF(ThresholdAge14,"&lt;"&amp;'19_Расчет_аналитики'!AS4608,WeightedRevAge14)-SUMIF(ThresholdAge14,"&lt;"&amp;'19_Расчет_аналитики'!AS4608,WeightedMinAge14),MAX(CapacityAge14*'01_Вводные'!$B$218*'19_Расчет_аналитики'!AS4608,MeanMinAge14))),0)</f>
        <v/>
      </c>
      <c r="AT4553">
        <f>IF('01_Вводные'!$B$234="Да",IF(OR(('19_Расчет_аналитики'!AT4469-'19_Расчет_аналитики'!AT4497)=0,14&lt;='01_Вводные'!$B$297),0,('19_Расчет_аналитики'!AT4469-'19_Расчет_аналитики'!AT4497)*IF('01_Вводные'!$B$239="Да",MeanMinAge14+'19_Расчет_аналитики'!AT4608*SUMIF(ThresholdAge14,"&lt;"&amp;'19_Расчет_аналитики'!AT4608,WeightedRevAge14)-SUMIF(ThresholdAge14,"&lt;"&amp;'19_Расчет_аналитики'!AT4608,WeightedMinAge14),MAX(CapacityAge14*'01_Вводные'!$B$218*'19_Расчет_аналитики'!AT4608,MeanMinAge14))),0)</f>
        <v/>
      </c>
      <c r="AU4553">
        <f>IF('01_Вводные'!$B$234="Да",IF(OR(('19_Расчет_аналитики'!AU4469-'19_Расчет_аналитики'!AU4497)=0,14&lt;='01_Вводные'!$B$297),0,('19_Расчет_аналитики'!AU4469-'19_Расчет_аналитики'!AU4497)*IF('01_Вводные'!$B$239="Да",MeanMinAge14+'19_Расчет_аналитики'!AU4608*SUMIF(ThresholdAge14,"&lt;"&amp;'19_Расчет_аналитики'!AU4608,WeightedRevAge14)-SUMIF(ThresholdAge14,"&lt;"&amp;'19_Расчет_аналитики'!AU4608,WeightedMinAge14),MAX(CapacityAge14*'01_Вводные'!$B$218*'19_Расчет_аналитики'!AU4608,MeanMinAge14))),0)</f>
        <v/>
      </c>
      <c r="AV4553">
        <f>IF('01_Вводные'!$B$234="Да",IF(OR(('19_Расчет_аналитики'!AV4469-'19_Расчет_аналитики'!AV4497)=0,14&lt;='01_Вводные'!$B$297),0,('19_Расчет_аналитики'!AV4469-'19_Расчет_аналитики'!AV4497)*IF('01_Вводные'!$B$239="Да",MeanMinAge14+'19_Расчет_аналитики'!AV4608*SUMIF(ThresholdAge14,"&lt;"&amp;'19_Расчет_аналитики'!AV4608,WeightedRevAge14)-SUMIF(ThresholdAge14,"&lt;"&amp;'19_Расчет_аналитики'!AV4608,WeightedMinAge14),MAX(CapacityAge14*'01_Вводные'!$B$218*'19_Расчет_аналитики'!AV4608,MeanMinAge14))),0)</f>
        <v/>
      </c>
      <c r="AW4553">
        <f>IF('01_Вводные'!$B$234="Да",IF(OR(('19_Расчет_аналитики'!AW4469-'19_Расчет_аналитики'!AW4497)=0,14&lt;='01_Вводные'!$B$297),0,('19_Расчет_аналитики'!AW4469-'19_Расчет_аналитики'!AW4497)*IF('01_Вводные'!$B$239="Да",MeanMinAge14+'19_Расчет_аналитики'!AW4608*SUMIF(ThresholdAge14,"&lt;"&amp;'19_Расчет_аналитики'!AW4608,WeightedRevAge14)-SUMIF(ThresholdAge14,"&lt;"&amp;'19_Расчет_аналитики'!AW4608,WeightedMinAge14),MAX(CapacityAge14*'01_Вводные'!$B$218*'19_Расчет_аналитики'!AW4608,MeanMinAge14))),0)</f>
        <v/>
      </c>
      <c r="AX4553">
        <f>IF('01_Вводные'!$B$234="Да",IF(OR(('19_Расчет_аналитики'!AX4469-'19_Расчет_аналитики'!AX4497)=0,14&lt;='01_Вводные'!$B$297),0,('19_Расчет_аналитики'!AX4469-'19_Расчет_аналитики'!AX4497)*IF('01_Вводные'!$B$239="Да",MeanMinAge14+'19_Расчет_аналитики'!AX4608*SUMIF(ThresholdAge14,"&lt;"&amp;'19_Расчет_аналитики'!AX4608,WeightedRevAge14)-SUMIF(ThresholdAge14,"&lt;"&amp;'19_Расчет_аналитики'!AX4608,WeightedMinAge14),MAX(CapacityAge14*'01_Вводные'!$B$218*'19_Расчет_аналитики'!AX4608,MeanMinAge14))),0)</f>
        <v/>
      </c>
      <c r="AY4553">
        <f>IF('01_Вводные'!$B$234="Да",IF(OR(('19_Расчет_аналитики'!AY4469-'19_Расчет_аналитики'!AY4497)=0,14&lt;='01_Вводные'!$B$297),0,('19_Расчет_аналитики'!AY4469-'19_Расчет_аналитики'!AY4497)*IF('01_Вводные'!$B$239="Да",MeanMinAge14+'19_Расчет_аналитики'!AY4608*SUMIF(ThresholdAge14,"&lt;"&amp;'19_Расчет_аналитики'!AY4608,WeightedRevAge14)-SUMIF(ThresholdAge14,"&lt;"&amp;'19_Расчет_аналитики'!AY4608,WeightedMinAge14),MAX(CapacityAge14*'01_Вводные'!$B$218*'19_Расчет_аналитики'!AY4608,MeanMinAge14))),0)</f>
        <v/>
      </c>
      <c r="AZ4553">
        <f>IF('01_Вводные'!$B$234="Да",IF(OR(('19_Расчет_аналитики'!AZ4469-'19_Расчет_аналитики'!AZ4497)=0,14&lt;='01_Вводные'!$B$297),0,('19_Расчет_аналитики'!AZ4469-'19_Расчет_аналитики'!AZ4497)*IF('01_Вводные'!$B$239="Да",MeanMinAge14+'19_Расчет_аналитики'!AZ4608*SUMIF(ThresholdAge14,"&lt;"&amp;'19_Расчет_аналитики'!AZ4608,WeightedRevAge14)-SUMIF(ThresholdAge14,"&lt;"&amp;'19_Расчет_аналитики'!AZ4608,WeightedMinAge14),MAX(CapacityAge14*'01_Вводные'!$B$218*'19_Расчет_аналитики'!AZ4608,MeanMinAge14))),0)</f>
        <v/>
      </c>
      <c r="BA4553">
        <f>IF('01_Вводные'!$B$234="Да",IF(OR(('19_Расчет_аналитики'!BA4469-'19_Расчет_аналитики'!BA4497)=0,14&lt;='01_Вводные'!$B$297),0,('19_Расчет_аналитики'!BA4469-'19_Расчет_аналитики'!BA4497)*IF('01_Вводные'!$B$239="Да",MeanMinAge14+'19_Расчет_аналитики'!BA4608*SUMIF(ThresholdAge14,"&lt;"&amp;'19_Расчет_аналитики'!BA4608,WeightedRevAge14)-SUMIF(ThresholdAge14,"&lt;"&amp;'19_Расчет_аналитики'!BA4608,WeightedMinAge14),MAX(CapacityAge14*'01_Вводные'!$B$218*'19_Расчет_аналитики'!BA4608,MeanMinAge14))),0)</f>
        <v/>
      </c>
      <c r="BB4553">
        <f>IF('01_Вводные'!$B$234="Да",IF(OR(('19_Расчет_аналитики'!BB4469-'19_Расчет_аналитики'!BB4497)=0,14&lt;='01_Вводные'!$B$297),0,('19_Расчет_аналитики'!BB4469-'19_Расчет_аналитики'!BB4497)*IF('01_Вводные'!$B$239="Да",MeanMinAge14+'19_Расчет_аналитики'!BB4608*SUMIF(ThresholdAge14,"&lt;"&amp;'19_Расчет_аналитики'!BB4608,WeightedRevAge14)-SUMIF(ThresholdAge14,"&lt;"&amp;'19_Расчет_аналитики'!BB4608,WeightedMinAge14),MAX(CapacityAge14*'01_Вводные'!$B$218*'19_Расчет_аналитики'!BB4608,MeanMinAge14))),0)</f>
        <v/>
      </c>
      <c r="BC4553">
        <f>IF('01_Вводные'!$B$234="Да",IF(OR(('19_Расчет_аналитики'!BC4469-'19_Расчет_аналитики'!BC4497)=0,14&lt;='01_Вводные'!$B$297),0,('19_Расчет_аналитики'!BC4469-'19_Расчет_аналитики'!BC4497)*IF('01_Вводные'!$B$239="Да",MeanMinAge14+'19_Расчет_аналитики'!BC4608*SUMIF(ThresholdAge14,"&lt;"&amp;'19_Расчет_аналитики'!BC4608,WeightedRevAge14)-SUMIF(ThresholdAge14,"&lt;"&amp;'19_Расчет_аналитики'!BC4608,WeightedMinAge14),MAX(CapacityAge14*'01_Вводные'!$B$218*'19_Расчет_аналитики'!BC4608,MeanMinAge14))),0)</f>
        <v/>
      </c>
      <c r="BD4553">
        <f>IF('01_Вводные'!$B$234="Да",IF(OR(('19_Расчет_аналитики'!BD4469-'19_Расчет_аналитики'!BD4497)=0,14&lt;='01_Вводные'!$B$297),0,('19_Расчет_аналитики'!BD4469-'19_Расчет_аналитики'!BD4497)*IF('01_Вводные'!$B$239="Да",MeanMinAge14+'19_Расчет_аналитики'!BD4608*SUMIF(ThresholdAge14,"&lt;"&amp;'19_Расчет_аналитики'!BD4608,WeightedRevAge14)-SUMIF(ThresholdAge14,"&lt;"&amp;'19_Расчет_аналитики'!BD4608,WeightedMinAge14),MAX(CapacityAge14*'01_Вводные'!$B$218*'19_Расчет_аналитики'!BD4608,MeanMinAge14))),0)</f>
        <v/>
      </c>
      <c r="BE4553">
        <f>IF('01_Вводные'!$B$234="Да",IF(OR(('19_Расчет_аналитики'!BE4469-'19_Расчет_аналитики'!BE4497)=0,14&lt;='01_Вводные'!$B$297),0,('19_Расчет_аналитики'!BE4469-'19_Расчет_аналитики'!BE4497)*IF('01_Вводные'!$B$239="Да",MeanMinAge14+'19_Расчет_аналитики'!BE4608*SUMIF(ThresholdAge14,"&lt;"&amp;'19_Расчет_аналитики'!BE4608,WeightedRevAge14)-SUMIF(ThresholdAge14,"&lt;"&amp;'19_Расчет_аналитики'!BE4608,WeightedMinAge14),MAX(CapacityAge14*'01_Вводные'!$B$218*'19_Расчет_аналитики'!BE4608,MeanMinAge14))),0)</f>
        <v/>
      </c>
      <c r="BF4553">
        <f>IF('01_Вводные'!$B$234="Да",IF(OR(('19_Расчет_аналитики'!BF4469-'19_Расчет_аналитики'!BF4497)=0,14&lt;='01_Вводные'!$B$297),0,('19_Расчет_аналитики'!BF4469-'19_Расчет_аналитики'!BF4497)*IF('01_Вводные'!$B$239="Да",MeanMinAge14+'19_Расчет_аналитики'!BF4608*SUMIF(ThresholdAge14,"&lt;"&amp;'19_Расчет_аналитики'!BF4608,WeightedRevAge14)-SUMIF(ThresholdAge14,"&lt;"&amp;'19_Расчет_аналитики'!BF4608,WeightedMinAge14),MAX(CapacityAge14*'01_Вводные'!$B$218*'19_Расчет_аналитики'!BF4608,MeanMinAge14))),0)</f>
        <v/>
      </c>
      <c r="BG4553">
        <f>IF('01_Вводные'!$B$234="Да",IF(OR(('19_Расчет_аналитики'!BG4469-'19_Расчет_аналитики'!BG4497)=0,14&lt;='01_Вводные'!$B$297),0,('19_Расчет_аналитики'!BG4469-'19_Расчет_аналитики'!BG4497)*IF('01_Вводные'!$B$239="Да",MeanMinAge14+'19_Расчет_аналитики'!BG4608*SUMIF(ThresholdAge14,"&lt;"&amp;'19_Расчет_аналитики'!BG4608,WeightedRevAge14)-SUMIF(ThresholdAge14,"&lt;"&amp;'19_Расчет_аналитики'!BG4608,WeightedMinAge14),MAX(CapacityAge14*'01_Вводные'!$B$218*'19_Расчет_аналитики'!BG4608,MeanMinAge14))),0)</f>
        <v/>
      </c>
      <c r="BH4553">
        <f>IF('01_Вводные'!$B$234="Да",IF(OR(('19_Расчет_аналитики'!BH4469-'19_Расчет_аналитики'!BH4497)=0,14&lt;='01_Вводные'!$B$297),0,('19_Расчет_аналитики'!BH4469-'19_Расчет_аналитики'!BH4497)*IF('01_Вводные'!$B$239="Да",MeanMinAge14+'19_Расчет_аналитики'!BH4608*SUMIF(ThresholdAge14,"&lt;"&amp;'19_Расчет_аналитики'!BH4608,WeightedRevAge14)-SUMIF(ThresholdAge14,"&lt;"&amp;'19_Расчет_аналитики'!BH4608,WeightedMinAge14),MAX(CapacityAge14*'01_Вводные'!$B$218*'19_Расчет_аналитики'!BH4608,MeanMinAge14))),0)</f>
        <v/>
      </c>
      <c r="BI4553">
        <f>IF('01_Вводные'!$B$234="Да",IF(OR(('19_Расчет_аналитики'!BI4469-'19_Расчет_аналитики'!BI4497)=0,14&lt;='01_Вводные'!$B$297),0,('19_Расчет_аналитики'!BI4469-'19_Расчет_аналитики'!BI4497)*IF('01_Вводные'!$B$239="Да",MeanMinAge14+'19_Расчет_аналитики'!BI4608*SUMIF(ThresholdAge14,"&lt;"&amp;'19_Расчет_аналитики'!BI4608,WeightedRevAge14)-SUMIF(ThresholdAge14,"&lt;"&amp;'19_Расчет_аналитики'!BI4608,WeightedMinAge14),MAX(CapacityAge14*'01_Вводные'!$B$218*'19_Расчет_аналитики'!BI4608,MeanMinAge14))),0)</f>
        <v/>
      </c>
      <c r="BJ4553">
        <f>IF('01_Вводные'!$B$234="Да",IF(OR(('19_Расчет_аналитики'!BJ4469-'19_Расчет_аналитики'!BJ4497)=0,14&lt;='01_Вводные'!$B$297),0,('19_Расчет_аналитики'!BJ4469-'19_Расчет_аналитики'!BJ4497)*IF('01_Вводные'!$B$239="Да",MeanMinAge14+'19_Расчет_аналитики'!BJ4608*SUMIF(ThresholdAge14,"&lt;"&amp;'19_Расчет_аналитики'!BJ4608,WeightedRevAge14)-SUMIF(ThresholdAge14,"&lt;"&amp;'19_Расчет_аналитики'!BJ4608,WeightedMinAge14),MAX(CapacityAge14*'01_Вводные'!$B$218*'19_Расчет_аналитики'!BJ4608,MeanMinAge14))),0)</f>
        <v/>
      </c>
      <c r="BK4553">
        <f>IF('01_Вводные'!$B$234="Да",IF(OR(('19_Расчет_аналитики'!BK4469-'19_Расчет_аналитики'!BK4497)=0,14&lt;='01_Вводные'!$B$297),0,('19_Расчет_аналитики'!BK4469-'19_Расчет_аналитики'!BK4497)*IF('01_Вводные'!$B$239="Да",MeanMinAge14+'19_Расчет_аналитики'!BK4608*SUMIF(ThresholdAge14,"&lt;"&amp;'19_Расчет_аналитики'!BK4608,WeightedRevAge14)-SUMIF(ThresholdAge14,"&lt;"&amp;'19_Расчет_аналитики'!BK4608,WeightedMinAge14),MAX(CapacityAge14*'01_Вводные'!$B$218*'19_Расчет_аналитики'!BK4608,MeanMinAge14))),0)</f>
        <v/>
      </c>
      <c r="BL4553">
        <f>IF('01_Вводные'!$B$234="Да",IF(OR(('19_Расчет_аналитики'!BL4469-'19_Расчет_аналитики'!BL4497)=0,14&lt;='01_Вводные'!$B$297),0,('19_Расчет_аналитики'!BL4469-'19_Расчет_аналитики'!BL4497)*IF('01_Вводные'!$B$239="Да",MeanMinAge14+'19_Расчет_аналитики'!BL4608*SUMIF(ThresholdAge14,"&lt;"&amp;'19_Расчет_аналитики'!BL4608,WeightedRevAge14)-SUMIF(ThresholdAge14,"&lt;"&amp;'19_Расчет_аналитики'!BL4608,WeightedMinAge14),MAX(CapacityAge14*'01_Вводные'!$B$218*'19_Расчет_аналитики'!BL4608,MeanMinAge14))),0)</f>
        <v/>
      </c>
      <c r="BM4553">
        <f>IF('01_Вводные'!$B$234="Да",IF(OR(('19_Расчет_аналитики'!BM4469-'19_Расчет_аналитики'!BM4497)=0,14&lt;='01_Вводные'!$B$297),0,('19_Расчет_аналитики'!BM4469-'19_Расчет_аналитики'!BM4497)*IF('01_Вводные'!$B$239="Да",MeanMinAge14+'19_Расчет_аналитики'!BM4608*SUMIF(ThresholdAge14,"&lt;"&amp;'19_Расчет_аналитики'!BM4608,WeightedRevAge14)-SUMIF(ThresholdAge14,"&lt;"&amp;'19_Расчет_аналитики'!BM4608,WeightedMinAge14),MAX(CapacityAge14*'01_Вводные'!$B$218*'19_Расчет_аналитики'!BM4608,MeanMinAge14))),0)</f>
        <v/>
      </c>
      <c r="BN4553">
        <f>IF('01_Вводные'!$B$234="Да",IF(OR(('19_Расчет_аналитики'!BN4469-'19_Расчет_аналитики'!BN4497)=0,14&lt;='01_Вводные'!$B$297),0,('19_Расчет_аналитики'!BN4469-'19_Расчет_аналитики'!BN4497)*IF('01_Вводные'!$B$239="Да",MeanMinAge14+'19_Расчет_аналитики'!BN4608*SUMIF(ThresholdAge14,"&lt;"&amp;'19_Расчет_аналитики'!BN4608,WeightedRevAge14)-SUMIF(ThresholdAge14,"&lt;"&amp;'19_Расчет_аналитики'!BN4608,WeightedMinAge14),MAX(CapacityAge14*'01_Вводные'!$B$218*'19_Расчет_аналитики'!BN4608,MeanMinAge14))),0)</f>
        <v/>
      </c>
      <c r="BO4553">
        <f>IF('01_Вводные'!$B$234="Да",IF(OR(('19_Расчет_аналитики'!BO4469-'19_Расчет_аналитики'!BO4497)=0,14&lt;='01_Вводные'!$B$297),0,('19_Расчет_аналитики'!BO4469-'19_Расчет_аналитики'!BO4497)*IF('01_Вводные'!$B$239="Да",MeanMinAge14+'19_Расчет_аналитики'!BO4608*SUMIF(ThresholdAge14,"&lt;"&amp;'19_Расчет_аналитики'!BO4608,WeightedRevAge14)-SUMIF(ThresholdAge14,"&lt;"&amp;'19_Расчет_аналитики'!BO4608,WeightedMinAge14),MAX(CapacityAge14*'01_Вводные'!$B$218*'19_Расчет_аналитики'!BO4608,MeanMinAge14))),0)</f>
        <v/>
      </c>
    </row>
    <row r="4554">
      <c r="B4554">
        <f>IF('01_Вводные'!$B$234="Да",IF(OR(('06_Сеть_и_дети'!B67-'06_Сеть_и_дети'!B95)=0,15&lt;='01_Вводные'!$B$297),0,('06_Сеть_и_дети'!B67-'06_Сеть_и_дети'!B95)*IF('01_Вводные'!$B$239="Да",MeanMinAge15+'19_Расчет_аналитики'!B4608*SUMIF(ThresholdAge15,"&lt;"&amp;'19_Расчет_аналитики'!B4608,WeightedRevAge15)-SUMIF(ThresholdAge15,"&lt;"&amp;'19_Расчет_аналитики'!B4608,WeightedMinAge15),MAX(CapacityAge15*'01_Вводные'!$B$218*'19_Расчет_аналитики'!B4608,MeanMinAge15))),0)</f>
        <v/>
      </c>
      <c r="C4554">
        <f>IF('01_Вводные'!$B$234="Да",IF(OR(('06_Сеть_и_дети'!C67-'06_Сеть_и_дети'!C95)=0,15&lt;='01_Вводные'!$B$297),0,('06_Сеть_и_дети'!C67-'06_Сеть_и_дети'!C95)*IF('01_Вводные'!$B$239="Да",MeanMinAge15+'19_Расчет_аналитики'!C4608*SUMIF(ThresholdAge15,"&lt;"&amp;'19_Расчет_аналитики'!C4608,WeightedRevAge15)-SUMIF(ThresholdAge15,"&lt;"&amp;'19_Расчет_аналитики'!C4608,WeightedMinAge15),MAX(CapacityAge15*'01_Вводные'!$B$218*'19_Расчет_аналитики'!C4608,MeanMinAge15))),0)</f>
        <v/>
      </c>
      <c r="D4554">
        <f>IF('01_Вводные'!$B$234="Да",IF(OR(('06_Сеть_и_дети'!D67-'06_Сеть_и_дети'!D95)=0,15&lt;='01_Вводные'!$B$297),0,('06_Сеть_и_дети'!D67-'06_Сеть_и_дети'!D95)*IF('01_Вводные'!$B$239="Да",MeanMinAge15+'19_Расчет_аналитики'!D4608*SUMIF(ThresholdAge15,"&lt;"&amp;'19_Расчет_аналитики'!D4608,WeightedRevAge15)-SUMIF(ThresholdAge15,"&lt;"&amp;'19_Расчет_аналитики'!D4608,WeightedMinAge15),MAX(CapacityAge15*'01_Вводные'!$B$218*'19_Расчет_аналитики'!D4608,MeanMinAge15))),0)</f>
        <v/>
      </c>
      <c r="E4554">
        <f>IF('01_Вводные'!$B$234="Да",IF(OR(('06_Сеть_и_дети'!E67-'06_Сеть_и_дети'!E95)=0,15&lt;='01_Вводные'!$B$297),0,('06_Сеть_и_дети'!E67-'06_Сеть_и_дети'!E95)*IF('01_Вводные'!$B$239="Да",MeanMinAge15+'19_Расчет_аналитики'!E4608*SUMIF(ThresholdAge15,"&lt;"&amp;'19_Расчет_аналитики'!E4608,WeightedRevAge15)-SUMIF(ThresholdAge15,"&lt;"&amp;'19_Расчет_аналитики'!E4608,WeightedMinAge15),MAX(CapacityAge15*'01_Вводные'!$B$218*'19_Расчет_аналитики'!E4608,MeanMinAge15))),0)</f>
        <v/>
      </c>
      <c r="F4554">
        <f>IF('01_Вводные'!$B$234="Да",IF(OR(('06_Сеть_и_дети'!F67-'06_Сеть_и_дети'!F95)=0,15&lt;='01_Вводные'!$B$297),0,('06_Сеть_и_дети'!F67-'06_Сеть_и_дети'!F95)*IF('01_Вводные'!$B$239="Да",MeanMinAge15+'19_Расчет_аналитики'!F4608*SUMIF(ThresholdAge15,"&lt;"&amp;'19_Расчет_аналитики'!F4608,WeightedRevAge15)-SUMIF(ThresholdAge15,"&lt;"&amp;'19_Расчет_аналитики'!F4608,WeightedMinAge15),MAX(CapacityAge15*'01_Вводные'!$B$218*'19_Расчет_аналитики'!F4608,MeanMinAge15))),0)</f>
        <v/>
      </c>
      <c r="G4554">
        <f>IF('01_Вводные'!$B$234="Да",IF(OR(('06_Сеть_и_дети'!G67-'06_Сеть_и_дети'!G95)=0,15&lt;='01_Вводные'!$B$297),0,('06_Сеть_и_дети'!G67-'06_Сеть_и_дети'!G95)*IF('01_Вводные'!$B$239="Да",MeanMinAge15+'19_Расчет_аналитики'!G4608*SUMIF(ThresholdAge15,"&lt;"&amp;'19_Расчет_аналитики'!G4608,WeightedRevAge15)-SUMIF(ThresholdAge15,"&lt;"&amp;'19_Расчет_аналитики'!G4608,WeightedMinAge15),MAX(CapacityAge15*'01_Вводные'!$B$218*'19_Расчет_аналитики'!G4608,MeanMinAge15))),0)</f>
        <v/>
      </c>
      <c r="H4554">
        <f>IF('01_Вводные'!$B$234="Да",IF(OR(('06_Сеть_и_дети'!H67-'06_Сеть_и_дети'!H95)=0,15&lt;='01_Вводные'!$B$297),0,('06_Сеть_и_дети'!H67-'06_Сеть_и_дети'!H95)*IF('01_Вводные'!$B$239="Да",MeanMinAge15+'19_Расчет_аналитики'!H4608*SUMIF(ThresholdAge15,"&lt;"&amp;'19_Расчет_аналитики'!H4608,WeightedRevAge15)-SUMIF(ThresholdAge15,"&lt;"&amp;'19_Расчет_аналитики'!H4608,WeightedMinAge15),MAX(CapacityAge15*'01_Вводные'!$B$218*'19_Расчет_аналитики'!H4608,MeanMinAge15))),0)</f>
        <v/>
      </c>
      <c r="I4554">
        <f>IF('01_Вводные'!$B$234="Да",IF(OR(('06_Сеть_и_дети'!I67-'06_Сеть_и_дети'!I95)=0,15&lt;='01_Вводные'!$B$297),0,('06_Сеть_и_дети'!I67-'06_Сеть_и_дети'!I95)*IF('01_Вводные'!$B$239="Да",MeanMinAge15+'19_Расчет_аналитики'!I4608*SUMIF(ThresholdAge15,"&lt;"&amp;'19_Расчет_аналитики'!I4608,WeightedRevAge15)-SUMIF(ThresholdAge15,"&lt;"&amp;'19_Расчет_аналитики'!I4608,WeightedMinAge15),MAX(CapacityAge15*'01_Вводные'!$B$218*'19_Расчет_аналитики'!I4608,MeanMinAge15))),0)</f>
        <v/>
      </c>
      <c r="J4554">
        <f>IF('01_Вводные'!$B$234="Да",IF(OR(('06_Сеть_и_дети'!J67-'06_Сеть_и_дети'!J95)=0,15&lt;='01_Вводные'!$B$297),0,('06_Сеть_и_дети'!J67-'06_Сеть_и_дети'!J95)*IF('01_Вводные'!$B$239="Да",MeanMinAge15+'19_Расчет_аналитики'!J4608*SUMIF(ThresholdAge15,"&lt;"&amp;'19_Расчет_аналитики'!J4608,WeightedRevAge15)-SUMIF(ThresholdAge15,"&lt;"&amp;'19_Расчет_аналитики'!J4608,WeightedMinAge15),MAX(CapacityAge15*'01_Вводные'!$B$218*'19_Расчет_аналитики'!J4608,MeanMinAge15))),0)</f>
        <v/>
      </c>
      <c r="K4554">
        <f>IF('01_Вводные'!$B$234="Да",IF(OR(('06_Сеть_и_дети'!K67-'06_Сеть_и_дети'!K95)=0,15&lt;='01_Вводные'!$B$297),0,('06_Сеть_и_дети'!K67-'06_Сеть_и_дети'!K95)*IF('01_Вводные'!$B$239="Да",MeanMinAge15+'19_Расчет_аналитики'!K4608*SUMIF(ThresholdAge15,"&lt;"&amp;'19_Расчет_аналитики'!K4608,WeightedRevAge15)-SUMIF(ThresholdAge15,"&lt;"&amp;'19_Расчет_аналитики'!K4608,WeightedMinAge15),MAX(CapacityAge15*'01_Вводные'!$B$218*'19_Расчет_аналитики'!K4608,MeanMinAge15))),0)</f>
        <v/>
      </c>
      <c r="L4554">
        <f>IF('01_Вводные'!$B$234="Да",IF(OR(('06_Сеть_и_дети'!L67-'06_Сеть_и_дети'!L95)=0,15&lt;='01_Вводные'!$B$297),0,('06_Сеть_и_дети'!L67-'06_Сеть_и_дети'!L95)*IF('01_Вводные'!$B$239="Да",MeanMinAge15+'19_Расчет_аналитики'!L4608*SUMIF(ThresholdAge15,"&lt;"&amp;'19_Расчет_аналитики'!L4608,WeightedRevAge15)-SUMIF(ThresholdAge15,"&lt;"&amp;'19_Расчет_аналитики'!L4608,WeightedMinAge15),MAX(CapacityAge15*'01_Вводные'!$B$218*'19_Расчет_аналитики'!L4608,MeanMinAge15))),0)</f>
        <v/>
      </c>
      <c r="M4554">
        <f>IF('01_Вводные'!$B$234="Да",IF(OR(('06_Сеть_и_дети'!M67-'06_Сеть_и_дети'!M95)=0,15&lt;='01_Вводные'!$B$297),0,('06_Сеть_и_дети'!M67-'06_Сеть_и_дети'!M95)*IF('01_Вводные'!$B$239="Да",MeanMinAge15+'19_Расчет_аналитики'!M4608*SUMIF(ThresholdAge15,"&lt;"&amp;'19_Расчет_аналитики'!M4608,WeightedRevAge15)-SUMIF(ThresholdAge15,"&lt;"&amp;'19_Расчет_аналитики'!M4608,WeightedMinAge15),MAX(CapacityAge15*'01_Вводные'!$B$218*'19_Расчет_аналитики'!M4608,MeanMinAge15))),0)</f>
        <v/>
      </c>
      <c r="N4554">
        <f>IF('01_Вводные'!$B$234="Да",IF(OR(('06_Сеть_и_дети'!N67-'06_Сеть_и_дети'!N95)=0,15&lt;='01_Вводные'!$B$297),0,('06_Сеть_и_дети'!N67-'06_Сеть_и_дети'!N95)*IF('01_Вводные'!$B$239="Да",MeanMinAge15+'19_Расчет_аналитики'!N4608*SUMIF(ThresholdAge15,"&lt;"&amp;'19_Расчет_аналитики'!N4608,WeightedRevAge15)-SUMIF(ThresholdAge15,"&lt;"&amp;'19_Расчет_аналитики'!N4608,WeightedMinAge15),MAX(CapacityAge15*'01_Вводные'!$B$218*'19_Расчет_аналитики'!N4608,MeanMinAge15))),0)</f>
        <v/>
      </c>
      <c r="O4554">
        <f>IF('01_Вводные'!$B$234="Да",IF(OR(('06_Сеть_и_дети'!O67-'06_Сеть_и_дети'!O95)=0,15&lt;='01_Вводные'!$B$297),0,('06_Сеть_и_дети'!O67-'06_Сеть_и_дети'!O95)*IF('01_Вводные'!$B$239="Да",MeanMinAge15+'19_Расчет_аналитики'!O4608*SUMIF(ThresholdAge15,"&lt;"&amp;'19_Расчет_аналитики'!O4608,WeightedRevAge15)-SUMIF(ThresholdAge15,"&lt;"&amp;'19_Расчет_аналитики'!O4608,WeightedMinAge15),MAX(CapacityAge15*'01_Вводные'!$B$218*'19_Расчет_аналитики'!O4608,MeanMinAge15))),0)</f>
        <v/>
      </c>
      <c r="P4554">
        <f>IF('01_Вводные'!$B$234="Да",IF(OR(('19_Расчет_аналитики'!P4470-'19_Расчет_аналитики'!P4498)=0,15&lt;='01_Вводные'!$B$297),0,('19_Расчет_аналитики'!P4470-'19_Расчет_аналитики'!P4498)*IF('01_Вводные'!$B$239="Да",MeanMinAge15+'19_Расчет_аналитики'!P4608*SUMIF(ThresholdAge15,"&lt;"&amp;'19_Расчет_аналитики'!P4608,WeightedRevAge15)-SUMIF(ThresholdAge15,"&lt;"&amp;'19_Расчет_аналитики'!P4608,WeightedMinAge15),MAX(CapacityAge15*'01_Вводные'!$B$218*'19_Расчет_аналитики'!P4608,MeanMinAge15))),0)</f>
        <v/>
      </c>
      <c r="Q4554">
        <f>IF('01_Вводные'!$B$234="Да",IF(OR(('19_Расчет_аналитики'!Q4470-'19_Расчет_аналитики'!Q4498)=0,15&lt;='01_Вводные'!$B$297),0,('19_Расчет_аналитики'!Q4470-'19_Расчет_аналитики'!Q4498)*IF('01_Вводные'!$B$239="Да",MeanMinAge15+'19_Расчет_аналитики'!Q4608*SUMIF(ThresholdAge15,"&lt;"&amp;'19_Расчет_аналитики'!Q4608,WeightedRevAge15)-SUMIF(ThresholdAge15,"&lt;"&amp;'19_Расчет_аналитики'!Q4608,WeightedMinAge15),MAX(CapacityAge15*'01_Вводные'!$B$218*'19_Расчет_аналитики'!Q4608,MeanMinAge15))),0)</f>
        <v/>
      </c>
      <c r="R4554">
        <f>IF('01_Вводные'!$B$234="Да",IF(OR(('19_Расчет_аналитики'!R4470-'19_Расчет_аналитики'!R4498)=0,15&lt;='01_Вводные'!$B$297),0,('19_Расчет_аналитики'!R4470-'19_Расчет_аналитики'!R4498)*IF('01_Вводные'!$B$239="Да",MeanMinAge15+'19_Расчет_аналитики'!R4608*SUMIF(ThresholdAge15,"&lt;"&amp;'19_Расчет_аналитики'!R4608,WeightedRevAge15)-SUMIF(ThresholdAge15,"&lt;"&amp;'19_Расчет_аналитики'!R4608,WeightedMinAge15),MAX(CapacityAge15*'01_Вводные'!$B$218*'19_Расчет_аналитики'!R4608,MeanMinAge15))),0)</f>
        <v/>
      </c>
      <c r="S4554">
        <f>IF('01_Вводные'!$B$234="Да",IF(OR(('19_Расчет_аналитики'!S4470-'19_Расчет_аналитики'!S4498)=0,15&lt;='01_Вводные'!$B$297),0,('19_Расчет_аналитики'!S4470-'19_Расчет_аналитики'!S4498)*IF('01_Вводные'!$B$239="Да",MeanMinAge15+'19_Расчет_аналитики'!S4608*SUMIF(ThresholdAge15,"&lt;"&amp;'19_Расчет_аналитики'!S4608,WeightedRevAge15)-SUMIF(ThresholdAge15,"&lt;"&amp;'19_Расчет_аналитики'!S4608,WeightedMinAge15),MAX(CapacityAge15*'01_Вводные'!$B$218*'19_Расчет_аналитики'!S4608,MeanMinAge15))),0)</f>
        <v/>
      </c>
      <c r="T4554">
        <f>IF('01_Вводные'!$B$234="Да",IF(OR(('19_Расчет_аналитики'!T4470-'19_Расчет_аналитики'!T4498)=0,15&lt;='01_Вводные'!$B$297),0,('19_Расчет_аналитики'!T4470-'19_Расчет_аналитики'!T4498)*IF('01_Вводные'!$B$239="Да",MeanMinAge15+'19_Расчет_аналитики'!T4608*SUMIF(ThresholdAge15,"&lt;"&amp;'19_Расчет_аналитики'!T4608,WeightedRevAge15)-SUMIF(ThresholdAge15,"&lt;"&amp;'19_Расчет_аналитики'!T4608,WeightedMinAge15),MAX(CapacityAge15*'01_Вводные'!$B$218*'19_Расчет_аналитики'!T4608,MeanMinAge15))),0)</f>
        <v/>
      </c>
      <c r="U4554">
        <f>IF('01_Вводные'!$B$234="Да",IF(OR(('19_Расчет_аналитики'!U4470-'19_Расчет_аналитики'!U4498)=0,15&lt;='01_Вводные'!$B$297),0,('19_Расчет_аналитики'!U4470-'19_Расчет_аналитики'!U4498)*IF('01_Вводные'!$B$239="Да",MeanMinAge15+'19_Расчет_аналитики'!U4608*SUMIF(ThresholdAge15,"&lt;"&amp;'19_Расчет_аналитики'!U4608,WeightedRevAge15)-SUMIF(ThresholdAge15,"&lt;"&amp;'19_Расчет_аналитики'!U4608,WeightedMinAge15),MAX(CapacityAge15*'01_Вводные'!$B$218*'19_Расчет_аналитики'!U4608,MeanMinAge15))),0)</f>
        <v/>
      </c>
      <c r="V4554">
        <f>IF('01_Вводные'!$B$234="Да",IF(OR(('19_Расчет_аналитики'!V4470-'19_Расчет_аналитики'!V4498)=0,15&lt;='01_Вводные'!$B$297),0,('19_Расчет_аналитики'!V4470-'19_Расчет_аналитики'!V4498)*IF('01_Вводные'!$B$239="Да",MeanMinAge15+'19_Расчет_аналитики'!V4608*SUMIF(ThresholdAge15,"&lt;"&amp;'19_Расчет_аналитики'!V4608,WeightedRevAge15)-SUMIF(ThresholdAge15,"&lt;"&amp;'19_Расчет_аналитики'!V4608,WeightedMinAge15),MAX(CapacityAge15*'01_Вводные'!$B$218*'19_Расчет_аналитики'!V4608,MeanMinAge15))),0)</f>
        <v/>
      </c>
      <c r="W4554">
        <f>IF('01_Вводные'!$B$234="Да",IF(OR(('19_Расчет_аналитики'!W4470-'19_Расчет_аналитики'!W4498)=0,15&lt;='01_Вводные'!$B$297),0,('19_Расчет_аналитики'!W4470-'19_Расчет_аналитики'!W4498)*IF('01_Вводные'!$B$239="Да",MeanMinAge15+'19_Расчет_аналитики'!W4608*SUMIF(ThresholdAge15,"&lt;"&amp;'19_Расчет_аналитики'!W4608,WeightedRevAge15)-SUMIF(ThresholdAge15,"&lt;"&amp;'19_Расчет_аналитики'!W4608,WeightedMinAge15),MAX(CapacityAge15*'01_Вводные'!$B$218*'19_Расчет_аналитики'!W4608,MeanMinAge15))),0)</f>
        <v/>
      </c>
      <c r="X4554">
        <f>IF('01_Вводные'!$B$234="Да",IF(OR(('19_Расчет_аналитики'!X4470-'19_Расчет_аналитики'!X4498)=0,15&lt;='01_Вводные'!$B$297),0,('19_Расчет_аналитики'!X4470-'19_Расчет_аналитики'!X4498)*IF('01_Вводные'!$B$239="Да",MeanMinAge15+'19_Расчет_аналитики'!X4608*SUMIF(ThresholdAge15,"&lt;"&amp;'19_Расчет_аналитики'!X4608,WeightedRevAge15)-SUMIF(ThresholdAge15,"&lt;"&amp;'19_Расчет_аналитики'!X4608,WeightedMinAge15),MAX(CapacityAge15*'01_Вводные'!$B$218*'19_Расчет_аналитики'!X4608,MeanMinAge15))),0)</f>
        <v/>
      </c>
      <c r="Y4554">
        <f>IF('01_Вводные'!$B$234="Да",IF(OR(('19_Расчет_аналитики'!Y4470-'19_Расчет_аналитики'!Y4498)=0,15&lt;='01_Вводные'!$B$297),0,('19_Расчет_аналитики'!Y4470-'19_Расчет_аналитики'!Y4498)*IF('01_Вводные'!$B$239="Да",MeanMinAge15+'19_Расчет_аналитики'!Y4608*SUMIF(ThresholdAge15,"&lt;"&amp;'19_Расчет_аналитики'!Y4608,WeightedRevAge15)-SUMIF(ThresholdAge15,"&lt;"&amp;'19_Расчет_аналитики'!Y4608,WeightedMinAge15),MAX(CapacityAge15*'01_Вводные'!$B$218*'19_Расчет_аналитики'!Y4608,MeanMinAge15))),0)</f>
        <v/>
      </c>
      <c r="Z4554">
        <f>IF('01_Вводные'!$B$234="Да",IF(OR(('19_Расчет_аналитики'!Z4470-'19_Расчет_аналитики'!Z4498)=0,15&lt;='01_Вводные'!$B$297),0,('19_Расчет_аналитики'!Z4470-'19_Расчет_аналитики'!Z4498)*IF('01_Вводные'!$B$239="Да",MeanMinAge15+'19_Расчет_аналитики'!Z4608*SUMIF(ThresholdAge15,"&lt;"&amp;'19_Расчет_аналитики'!Z4608,WeightedRevAge15)-SUMIF(ThresholdAge15,"&lt;"&amp;'19_Расчет_аналитики'!Z4608,WeightedMinAge15),MAX(CapacityAge15*'01_Вводные'!$B$218*'19_Расчет_аналитики'!Z4608,MeanMinAge15))),0)</f>
        <v/>
      </c>
      <c r="AA4554">
        <f>IF('01_Вводные'!$B$234="Да",IF(OR(('19_Расчет_аналитики'!AA4470-'19_Расчет_аналитики'!AA4498)=0,15&lt;='01_Вводные'!$B$297),0,('19_Расчет_аналитики'!AA4470-'19_Расчет_аналитики'!AA4498)*IF('01_Вводные'!$B$239="Да",MeanMinAge15+'19_Расчет_аналитики'!AA4608*SUMIF(ThresholdAge15,"&lt;"&amp;'19_Расчет_аналитики'!AA4608,WeightedRevAge15)-SUMIF(ThresholdAge15,"&lt;"&amp;'19_Расчет_аналитики'!AA4608,WeightedMinAge15),MAX(CapacityAge15*'01_Вводные'!$B$218*'19_Расчет_аналитики'!AA4608,MeanMinAge15))),0)</f>
        <v/>
      </c>
      <c r="AB4554">
        <f>IF('01_Вводные'!$B$234="Да",IF(OR(('19_Расчет_аналитики'!AB4470-'19_Расчет_аналитики'!AB4498)=0,15&lt;='01_Вводные'!$B$297),0,('19_Расчет_аналитики'!AB4470-'19_Расчет_аналитики'!AB4498)*IF('01_Вводные'!$B$239="Да",MeanMinAge15+'19_Расчет_аналитики'!AB4608*SUMIF(ThresholdAge15,"&lt;"&amp;'19_Расчет_аналитики'!AB4608,WeightedRevAge15)-SUMIF(ThresholdAge15,"&lt;"&amp;'19_Расчет_аналитики'!AB4608,WeightedMinAge15),MAX(CapacityAge15*'01_Вводные'!$B$218*'19_Расчет_аналитики'!AB4608,MeanMinAge15))),0)</f>
        <v/>
      </c>
      <c r="AC4554">
        <f>IF('01_Вводные'!$B$234="Да",IF(OR(('19_Расчет_аналитики'!AC4470-'19_Расчет_аналитики'!AC4498)=0,15&lt;='01_Вводные'!$B$297),0,('19_Расчет_аналитики'!AC4470-'19_Расчет_аналитики'!AC4498)*IF('01_Вводные'!$B$239="Да",MeanMinAge15+'19_Расчет_аналитики'!AC4608*SUMIF(ThresholdAge15,"&lt;"&amp;'19_Расчет_аналитики'!AC4608,WeightedRevAge15)-SUMIF(ThresholdAge15,"&lt;"&amp;'19_Расчет_аналитики'!AC4608,WeightedMinAge15),MAX(CapacityAge15*'01_Вводные'!$B$218*'19_Расчет_аналитики'!AC4608,MeanMinAge15))),0)</f>
        <v/>
      </c>
      <c r="AD4554">
        <f>IF('01_Вводные'!$B$234="Да",IF(OR(('19_Расчет_аналитики'!AD4470-'19_Расчет_аналитики'!AD4498)=0,15&lt;='01_Вводные'!$B$297),0,('19_Расчет_аналитики'!AD4470-'19_Расчет_аналитики'!AD4498)*IF('01_Вводные'!$B$239="Да",MeanMinAge15+'19_Расчет_аналитики'!AD4608*SUMIF(ThresholdAge15,"&lt;"&amp;'19_Расчет_аналитики'!AD4608,WeightedRevAge15)-SUMIF(ThresholdAge15,"&lt;"&amp;'19_Расчет_аналитики'!AD4608,WeightedMinAge15),MAX(CapacityAge15*'01_Вводные'!$B$218*'19_Расчет_аналитики'!AD4608,MeanMinAge15))),0)</f>
        <v/>
      </c>
      <c r="AE4554">
        <f>IF('01_Вводные'!$B$234="Да",IF(OR(('19_Расчет_аналитики'!AE4470-'19_Расчет_аналитики'!AE4498)=0,15&lt;='01_Вводные'!$B$297),0,('19_Расчет_аналитики'!AE4470-'19_Расчет_аналитики'!AE4498)*IF('01_Вводные'!$B$239="Да",MeanMinAge15+'19_Расчет_аналитики'!AE4608*SUMIF(ThresholdAge15,"&lt;"&amp;'19_Расчет_аналитики'!AE4608,WeightedRevAge15)-SUMIF(ThresholdAge15,"&lt;"&amp;'19_Расчет_аналитики'!AE4608,WeightedMinAge15),MAX(CapacityAge15*'01_Вводные'!$B$218*'19_Расчет_аналитики'!AE4608,MeanMinAge15))),0)</f>
        <v/>
      </c>
      <c r="AF4554">
        <f>IF('01_Вводные'!$B$234="Да",IF(OR(('19_Расчет_аналитики'!AF4470-'19_Расчет_аналитики'!AF4498)=0,15&lt;='01_Вводные'!$B$297),0,('19_Расчет_аналитики'!AF4470-'19_Расчет_аналитики'!AF4498)*IF('01_Вводные'!$B$239="Да",MeanMinAge15+'19_Расчет_аналитики'!AF4608*SUMIF(ThresholdAge15,"&lt;"&amp;'19_Расчет_аналитики'!AF4608,WeightedRevAge15)-SUMIF(ThresholdAge15,"&lt;"&amp;'19_Расчет_аналитики'!AF4608,WeightedMinAge15),MAX(CapacityAge15*'01_Вводные'!$B$218*'19_Расчет_аналитики'!AF4608,MeanMinAge15))),0)</f>
        <v/>
      </c>
      <c r="AG4554">
        <f>IF('01_Вводные'!$B$234="Да",IF(OR(('19_Расчет_аналитики'!AG4470-'19_Расчет_аналитики'!AG4498)=0,15&lt;='01_Вводные'!$B$297),0,('19_Расчет_аналитики'!AG4470-'19_Расчет_аналитики'!AG4498)*IF('01_Вводные'!$B$239="Да",MeanMinAge15+'19_Расчет_аналитики'!AG4608*SUMIF(ThresholdAge15,"&lt;"&amp;'19_Расчет_аналитики'!AG4608,WeightedRevAge15)-SUMIF(ThresholdAge15,"&lt;"&amp;'19_Расчет_аналитики'!AG4608,WeightedMinAge15),MAX(CapacityAge15*'01_Вводные'!$B$218*'19_Расчет_аналитики'!AG4608,MeanMinAge15))),0)</f>
        <v/>
      </c>
      <c r="AH4554">
        <f>IF('01_Вводные'!$B$234="Да",IF(OR(('19_Расчет_аналитики'!AH4470-'19_Расчет_аналитики'!AH4498)=0,15&lt;='01_Вводные'!$B$297),0,('19_Расчет_аналитики'!AH4470-'19_Расчет_аналитики'!AH4498)*IF('01_Вводные'!$B$239="Да",MeanMinAge15+'19_Расчет_аналитики'!AH4608*SUMIF(ThresholdAge15,"&lt;"&amp;'19_Расчет_аналитики'!AH4608,WeightedRevAge15)-SUMIF(ThresholdAge15,"&lt;"&amp;'19_Расчет_аналитики'!AH4608,WeightedMinAge15),MAX(CapacityAge15*'01_Вводные'!$B$218*'19_Расчет_аналитики'!AH4608,MeanMinAge15))),0)</f>
        <v/>
      </c>
      <c r="AI4554">
        <f>IF('01_Вводные'!$B$234="Да",IF(OR(('19_Расчет_аналитики'!AI4470-'19_Расчет_аналитики'!AI4498)=0,15&lt;='01_Вводные'!$B$297),0,('19_Расчет_аналитики'!AI4470-'19_Расчет_аналитики'!AI4498)*IF('01_Вводные'!$B$239="Да",MeanMinAge15+'19_Расчет_аналитики'!AI4608*SUMIF(ThresholdAge15,"&lt;"&amp;'19_Расчет_аналитики'!AI4608,WeightedRevAge15)-SUMIF(ThresholdAge15,"&lt;"&amp;'19_Расчет_аналитики'!AI4608,WeightedMinAge15),MAX(CapacityAge15*'01_Вводные'!$B$218*'19_Расчет_аналитики'!AI4608,MeanMinAge15))),0)</f>
        <v/>
      </c>
      <c r="AJ4554">
        <f>IF('01_Вводные'!$B$234="Да",IF(OR(('19_Расчет_аналитики'!AJ4470-'19_Расчет_аналитики'!AJ4498)=0,15&lt;='01_Вводные'!$B$297),0,('19_Расчет_аналитики'!AJ4470-'19_Расчет_аналитики'!AJ4498)*IF('01_Вводные'!$B$239="Да",MeanMinAge15+'19_Расчет_аналитики'!AJ4608*SUMIF(ThresholdAge15,"&lt;"&amp;'19_Расчет_аналитики'!AJ4608,WeightedRevAge15)-SUMIF(ThresholdAge15,"&lt;"&amp;'19_Расчет_аналитики'!AJ4608,WeightedMinAge15),MAX(CapacityAge15*'01_Вводные'!$B$218*'19_Расчет_аналитики'!AJ4608,MeanMinAge15))),0)</f>
        <v/>
      </c>
      <c r="AK4554">
        <f>IF('01_Вводные'!$B$234="Да",IF(OR(('19_Расчет_аналитики'!AK4470-'19_Расчет_аналитики'!AK4498)=0,15&lt;='01_Вводные'!$B$297),0,('19_Расчет_аналитики'!AK4470-'19_Расчет_аналитики'!AK4498)*IF('01_Вводные'!$B$239="Да",MeanMinAge15+'19_Расчет_аналитики'!AK4608*SUMIF(ThresholdAge15,"&lt;"&amp;'19_Расчет_аналитики'!AK4608,WeightedRevAge15)-SUMIF(ThresholdAge15,"&lt;"&amp;'19_Расчет_аналитики'!AK4608,WeightedMinAge15),MAX(CapacityAge15*'01_Вводные'!$B$218*'19_Расчет_аналитики'!AK4608,MeanMinAge15))),0)</f>
        <v/>
      </c>
      <c r="AL4554">
        <f>IF('01_Вводные'!$B$234="Да",IF(OR(('19_Расчет_аналитики'!AL4470-'19_Расчет_аналитики'!AL4498)=0,15&lt;='01_Вводные'!$B$297),0,('19_Расчет_аналитики'!AL4470-'19_Расчет_аналитики'!AL4498)*IF('01_Вводные'!$B$239="Да",MeanMinAge15+'19_Расчет_аналитики'!AL4608*SUMIF(ThresholdAge15,"&lt;"&amp;'19_Расчет_аналитики'!AL4608,WeightedRevAge15)-SUMIF(ThresholdAge15,"&lt;"&amp;'19_Расчет_аналитики'!AL4608,WeightedMinAge15),MAX(CapacityAge15*'01_Вводные'!$B$218*'19_Расчет_аналитики'!AL4608,MeanMinAge15))),0)</f>
        <v/>
      </c>
      <c r="AM4554">
        <f>IF('01_Вводные'!$B$234="Да",IF(OR(('19_Расчет_аналитики'!AM4470-'19_Расчет_аналитики'!AM4498)=0,15&lt;='01_Вводные'!$B$297),0,('19_Расчет_аналитики'!AM4470-'19_Расчет_аналитики'!AM4498)*IF('01_Вводные'!$B$239="Да",MeanMinAge15+'19_Расчет_аналитики'!AM4608*SUMIF(ThresholdAge15,"&lt;"&amp;'19_Расчет_аналитики'!AM4608,WeightedRevAge15)-SUMIF(ThresholdAge15,"&lt;"&amp;'19_Расчет_аналитики'!AM4608,WeightedMinAge15),MAX(CapacityAge15*'01_Вводные'!$B$218*'19_Расчет_аналитики'!AM4608,MeanMinAge15))),0)</f>
        <v/>
      </c>
      <c r="AN4554">
        <f>IF('01_Вводные'!$B$234="Да",IF(OR(('19_Расчет_аналитики'!AN4470-'19_Расчет_аналитики'!AN4498)=0,15&lt;='01_Вводные'!$B$297),0,('19_Расчет_аналитики'!AN4470-'19_Расчет_аналитики'!AN4498)*IF('01_Вводные'!$B$239="Да",MeanMinAge15+'19_Расчет_аналитики'!AN4608*SUMIF(ThresholdAge15,"&lt;"&amp;'19_Расчет_аналитики'!AN4608,WeightedRevAge15)-SUMIF(ThresholdAge15,"&lt;"&amp;'19_Расчет_аналитики'!AN4608,WeightedMinAge15),MAX(CapacityAge15*'01_Вводные'!$B$218*'19_Расчет_аналитики'!AN4608,MeanMinAge15))),0)</f>
        <v/>
      </c>
      <c r="AO4554">
        <f>IF('01_Вводные'!$B$234="Да",IF(OR(('19_Расчет_аналитики'!AO4470-'19_Расчет_аналитики'!AO4498)=0,15&lt;='01_Вводные'!$B$297),0,('19_Расчет_аналитики'!AO4470-'19_Расчет_аналитики'!AO4498)*IF('01_Вводные'!$B$239="Да",MeanMinAge15+'19_Расчет_аналитики'!AO4608*SUMIF(ThresholdAge15,"&lt;"&amp;'19_Расчет_аналитики'!AO4608,WeightedRevAge15)-SUMIF(ThresholdAge15,"&lt;"&amp;'19_Расчет_аналитики'!AO4608,WeightedMinAge15),MAX(CapacityAge15*'01_Вводные'!$B$218*'19_Расчет_аналитики'!AO4608,MeanMinAge15))),0)</f>
        <v/>
      </c>
      <c r="AP4554">
        <f>IF('01_Вводные'!$B$234="Да",IF(OR(('19_Расчет_аналитики'!AP4470-'19_Расчет_аналитики'!AP4498)=0,15&lt;='01_Вводные'!$B$297),0,('19_Расчет_аналитики'!AP4470-'19_Расчет_аналитики'!AP4498)*IF('01_Вводные'!$B$239="Да",MeanMinAge15+'19_Расчет_аналитики'!AP4608*SUMIF(ThresholdAge15,"&lt;"&amp;'19_Расчет_аналитики'!AP4608,WeightedRevAge15)-SUMIF(ThresholdAge15,"&lt;"&amp;'19_Расчет_аналитики'!AP4608,WeightedMinAge15),MAX(CapacityAge15*'01_Вводные'!$B$218*'19_Расчет_аналитики'!AP4608,MeanMinAge15))),0)</f>
        <v/>
      </c>
      <c r="AQ4554">
        <f>IF('01_Вводные'!$B$234="Да",IF(OR(('19_Расчет_аналитики'!AQ4470-'19_Расчет_аналитики'!AQ4498)=0,15&lt;='01_Вводные'!$B$297),0,('19_Расчет_аналитики'!AQ4470-'19_Расчет_аналитики'!AQ4498)*IF('01_Вводные'!$B$239="Да",MeanMinAge15+'19_Расчет_аналитики'!AQ4608*SUMIF(ThresholdAge15,"&lt;"&amp;'19_Расчет_аналитики'!AQ4608,WeightedRevAge15)-SUMIF(ThresholdAge15,"&lt;"&amp;'19_Расчет_аналитики'!AQ4608,WeightedMinAge15),MAX(CapacityAge15*'01_Вводные'!$B$218*'19_Расчет_аналитики'!AQ4608,MeanMinAge15))),0)</f>
        <v/>
      </c>
      <c r="AR4554">
        <f>IF('01_Вводные'!$B$234="Да",IF(OR(('19_Расчет_аналитики'!AR4470-'19_Расчет_аналитики'!AR4498)=0,15&lt;='01_Вводные'!$B$297),0,('19_Расчет_аналитики'!AR4470-'19_Расчет_аналитики'!AR4498)*IF('01_Вводные'!$B$239="Да",MeanMinAge15+'19_Расчет_аналитики'!AR4608*SUMIF(ThresholdAge15,"&lt;"&amp;'19_Расчет_аналитики'!AR4608,WeightedRevAge15)-SUMIF(ThresholdAge15,"&lt;"&amp;'19_Расчет_аналитики'!AR4608,WeightedMinAge15),MAX(CapacityAge15*'01_Вводные'!$B$218*'19_Расчет_аналитики'!AR4608,MeanMinAge15))),0)</f>
        <v/>
      </c>
      <c r="AS4554">
        <f>IF('01_Вводные'!$B$234="Да",IF(OR(('19_Расчет_аналитики'!AS4470-'19_Расчет_аналитики'!AS4498)=0,15&lt;='01_Вводные'!$B$297),0,('19_Расчет_аналитики'!AS4470-'19_Расчет_аналитики'!AS4498)*IF('01_Вводные'!$B$239="Да",MeanMinAge15+'19_Расчет_аналитики'!AS4608*SUMIF(ThresholdAge15,"&lt;"&amp;'19_Расчет_аналитики'!AS4608,WeightedRevAge15)-SUMIF(ThresholdAge15,"&lt;"&amp;'19_Расчет_аналитики'!AS4608,WeightedMinAge15),MAX(CapacityAge15*'01_Вводные'!$B$218*'19_Расчет_аналитики'!AS4608,MeanMinAge15))),0)</f>
        <v/>
      </c>
      <c r="AT4554">
        <f>IF('01_Вводные'!$B$234="Да",IF(OR(('19_Расчет_аналитики'!AT4470-'19_Расчет_аналитики'!AT4498)=0,15&lt;='01_Вводные'!$B$297),0,('19_Расчет_аналитики'!AT4470-'19_Расчет_аналитики'!AT4498)*IF('01_Вводные'!$B$239="Да",MeanMinAge15+'19_Расчет_аналитики'!AT4608*SUMIF(ThresholdAge15,"&lt;"&amp;'19_Расчет_аналитики'!AT4608,WeightedRevAge15)-SUMIF(ThresholdAge15,"&lt;"&amp;'19_Расчет_аналитики'!AT4608,WeightedMinAge15),MAX(CapacityAge15*'01_Вводные'!$B$218*'19_Расчет_аналитики'!AT4608,MeanMinAge15))),0)</f>
        <v/>
      </c>
      <c r="AU4554">
        <f>IF('01_Вводные'!$B$234="Да",IF(OR(('19_Расчет_аналитики'!AU4470-'19_Расчет_аналитики'!AU4498)=0,15&lt;='01_Вводные'!$B$297),0,('19_Расчет_аналитики'!AU4470-'19_Расчет_аналитики'!AU4498)*IF('01_Вводные'!$B$239="Да",MeanMinAge15+'19_Расчет_аналитики'!AU4608*SUMIF(ThresholdAge15,"&lt;"&amp;'19_Расчет_аналитики'!AU4608,WeightedRevAge15)-SUMIF(ThresholdAge15,"&lt;"&amp;'19_Расчет_аналитики'!AU4608,WeightedMinAge15),MAX(CapacityAge15*'01_Вводные'!$B$218*'19_Расчет_аналитики'!AU4608,MeanMinAge15))),0)</f>
        <v/>
      </c>
      <c r="AV4554">
        <f>IF('01_Вводные'!$B$234="Да",IF(OR(('19_Расчет_аналитики'!AV4470-'19_Расчет_аналитики'!AV4498)=0,15&lt;='01_Вводные'!$B$297),0,('19_Расчет_аналитики'!AV4470-'19_Расчет_аналитики'!AV4498)*IF('01_Вводные'!$B$239="Да",MeanMinAge15+'19_Расчет_аналитики'!AV4608*SUMIF(ThresholdAge15,"&lt;"&amp;'19_Расчет_аналитики'!AV4608,WeightedRevAge15)-SUMIF(ThresholdAge15,"&lt;"&amp;'19_Расчет_аналитики'!AV4608,WeightedMinAge15),MAX(CapacityAge15*'01_Вводные'!$B$218*'19_Расчет_аналитики'!AV4608,MeanMinAge15))),0)</f>
        <v/>
      </c>
      <c r="AW4554">
        <f>IF('01_Вводные'!$B$234="Да",IF(OR(('19_Расчет_аналитики'!AW4470-'19_Расчет_аналитики'!AW4498)=0,15&lt;='01_Вводные'!$B$297),0,('19_Расчет_аналитики'!AW4470-'19_Расчет_аналитики'!AW4498)*IF('01_Вводные'!$B$239="Да",MeanMinAge15+'19_Расчет_аналитики'!AW4608*SUMIF(ThresholdAge15,"&lt;"&amp;'19_Расчет_аналитики'!AW4608,WeightedRevAge15)-SUMIF(ThresholdAge15,"&lt;"&amp;'19_Расчет_аналитики'!AW4608,WeightedMinAge15),MAX(CapacityAge15*'01_Вводные'!$B$218*'19_Расчет_аналитики'!AW4608,MeanMinAge15))),0)</f>
        <v/>
      </c>
      <c r="AX4554">
        <f>IF('01_Вводные'!$B$234="Да",IF(OR(('19_Расчет_аналитики'!AX4470-'19_Расчет_аналитики'!AX4498)=0,15&lt;='01_Вводные'!$B$297),0,('19_Расчет_аналитики'!AX4470-'19_Расчет_аналитики'!AX4498)*IF('01_Вводные'!$B$239="Да",MeanMinAge15+'19_Расчет_аналитики'!AX4608*SUMIF(ThresholdAge15,"&lt;"&amp;'19_Расчет_аналитики'!AX4608,WeightedRevAge15)-SUMIF(ThresholdAge15,"&lt;"&amp;'19_Расчет_аналитики'!AX4608,WeightedMinAge15),MAX(CapacityAge15*'01_Вводные'!$B$218*'19_Расчет_аналитики'!AX4608,MeanMinAge15))),0)</f>
        <v/>
      </c>
      <c r="AY4554">
        <f>IF('01_Вводные'!$B$234="Да",IF(OR(('19_Расчет_аналитики'!AY4470-'19_Расчет_аналитики'!AY4498)=0,15&lt;='01_Вводные'!$B$297),0,('19_Расчет_аналитики'!AY4470-'19_Расчет_аналитики'!AY4498)*IF('01_Вводные'!$B$239="Да",MeanMinAge15+'19_Расчет_аналитики'!AY4608*SUMIF(ThresholdAge15,"&lt;"&amp;'19_Расчет_аналитики'!AY4608,WeightedRevAge15)-SUMIF(ThresholdAge15,"&lt;"&amp;'19_Расчет_аналитики'!AY4608,WeightedMinAge15),MAX(CapacityAge15*'01_Вводные'!$B$218*'19_Расчет_аналитики'!AY4608,MeanMinAge15))),0)</f>
        <v/>
      </c>
      <c r="AZ4554">
        <f>IF('01_Вводные'!$B$234="Да",IF(OR(('19_Расчет_аналитики'!AZ4470-'19_Расчет_аналитики'!AZ4498)=0,15&lt;='01_Вводные'!$B$297),0,('19_Расчет_аналитики'!AZ4470-'19_Расчет_аналитики'!AZ4498)*IF('01_Вводные'!$B$239="Да",MeanMinAge15+'19_Расчет_аналитики'!AZ4608*SUMIF(ThresholdAge15,"&lt;"&amp;'19_Расчет_аналитики'!AZ4608,WeightedRevAge15)-SUMIF(ThresholdAge15,"&lt;"&amp;'19_Расчет_аналитики'!AZ4608,WeightedMinAge15),MAX(CapacityAge15*'01_Вводные'!$B$218*'19_Расчет_аналитики'!AZ4608,MeanMinAge15))),0)</f>
        <v/>
      </c>
      <c r="BA4554">
        <f>IF('01_Вводные'!$B$234="Да",IF(OR(('19_Расчет_аналитики'!BA4470-'19_Расчет_аналитики'!BA4498)=0,15&lt;='01_Вводные'!$B$297),0,('19_Расчет_аналитики'!BA4470-'19_Расчет_аналитики'!BA4498)*IF('01_Вводные'!$B$239="Да",MeanMinAge15+'19_Расчет_аналитики'!BA4608*SUMIF(ThresholdAge15,"&lt;"&amp;'19_Расчет_аналитики'!BA4608,WeightedRevAge15)-SUMIF(ThresholdAge15,"&lt;"&amp;'19_Расчет_аналитики'!BA4608,WeightedMinAge15),MAX(CapacityAge15*'01_Вводные'!$B$218*'19_Расчет_аналитики'!BA4608,MeanMinAge15))),0)</f>
        <v/>
      </c>
      <c r="BB4554">
        <f>IF('01_Вводные'!$B$234="Да",IF(OR(('19_Расчет_аналитики'!BB4470-'19_Расчет_аналитики'!BB4498)=0,15&lt;='01_Вводные'!$B$297),0,('19_Расчет_аналитики'!BB4470-'19_Расчет_аналитики'!BB4498)*IF('01_Вводные'!$B$239="Да",MeanMinAge15+'19_Расчет_аналитики'!BB4608*SUMIF(ThresholdAge15,"&lt;"&amp;'19_Расчет_аналитики'!BB4608,WeightedRevAge15)-SUMIF(ThresholdAge15,"&lt;"&amp;'19_Расчет_аналитики'!BB4608,WeightedMinAge15),MAX(CapacityAge15*'01_Вводные'!$B$218*'19_Расчет_аналитики'!BB4608,MeanMinAge15))),0)</f>
        <v/>
      </c>
      <c r="BC4554">
        <f>IF('01_Вводные'!$B$234="Да",IF(OR(('19_Расчет_аналитики'!BC4470-'19_Расчет_аналитики'!BC4498)=0,15&lt;='01_Вводные'!$B$297),0,('19_Расчет_аналитики'!BC4470-'19_Расчет_аналитики'!BC4498)*IF('01_Вводные'!$B$239="Да",MeanMinAge15+'19_Расчет_аналитики'!BC4608*SUMIF(ThresholdAge15,"&lt;"&amp;'19_Расчет_аналитики'!BC4608,WeightedRevAge15)-SUMIF(ThresholdAge15,"&lt;"&amp;'19_Расчет_аналитики'!BC4608,WeightedMinAge15),MAX(CapacityAge15*'01_Вводные'!$B$218*'19_Расчет_аналитики'!BC4608,MeanMinAge15))),0)</f>
        <v/>
      </c>
      <c r="BD4554">
        <f>IF('01_Вводные'!$B$234="Да",IF(OR(('19_Расчет_аналитики'!BD4470-'19_Расчет_аналитики'!BD4498)=0,15&lt;='01_Вводные'!$B$297),0,('19_Расчет_аналитики'!BD4470-'19_Расчет_аналитики'!BD4498)*IF('01_Вводные'!$B$239="Да",MeanMinAge15+'19_Расчет_аналитики'!BD4608*SUMIF(ThresholdAge15,"&lt;"&amp;'19_Расчет_аналитики'!BD4608,WeightedRevAge15)-SUMIF(ThresholdAge15,"&lt;"&amp;'19_Расчет_аналитики'!BD4608,WeightedMinAge15),MAX(CapacityAge15*'01_Вводные'!$B$218*'19_Расчет_аналитики'!BD4608,MeanMinAge15))),0)</f>
        <v/>
      </c>
      <c r="BE4554">
        <f>IF('01_Вводные'!$B$234="Да",IF(OR(('19_Расчет_аналитики'!BE4470-'19_Расчет_аналитики'!BE4498)=0,15&lt;='01_Вводные'!$B$297),0,('19_Расчет_аналитики'!BE4470-'19_Расчет_аналитики'!BE4498)*IF('01_Вводные'!$B$239="Да",MeanMinAge15+'19_Расчет_аналитики'!BE4608*SUMIF(ThresholdAge15,"&lt;"&amp;'19_Расчет_аналитики'!BE4608,WeightedRevAge15)-SUMIF(ThresholdAge15,"&lt;"&amp;'19_Расчет_аналитики'!BE4608,WeightedMinAge15),MAX(CapacityAge15*'01_Вводные'!$B$218*'19_Расчет_аналитики'!BE4608,MeanMinAge15))),0)</f>
        <v/>
      </c>
      <c r="BF4554">
        <f>IF('01_Вводные'!$B$234="Да",IF(OR(('19_Расчет_аналитики'!BF4470-'19_Расчет_аналитики'!BF4498)=0,15&lt;='01_Вводные'!$B$297),0,('19_Расчет_аналитики'!BF4470-'19_Расчет_аналитики'!BF4498)*IF('01_Вводные'!$B$239="Да",MeanMinAge15+'19_Расчет_аналитики'!BF4608*SUMIF(ThresholdAge15,"&lt;"&amp;'19_Расчет_аналитики'!BF4608,WeightedRevAge15)-SUMIF(ThresholdAge15,"&lt;"&amp;'19_Расчет_аналитики'!BF4608,WeightedMinAge15),MAX(CapacityAge15*'01_Вводные'!$B$218*'19_Расчет_аналитики'!BF4608,MeanMinAge15))),0)</f>
        <v/>
      </c>
      <c r="BG4554">
        <f>IF('01_Вводные'!$B$234="Да",IF(OR(('19_Расчет_аналитики'!BG4470-'19_Расчет_аналитики'!BG4498)=0,15&lt;='01_Вводные'!$B$297),0,('19_Расчет_аналитики'!BG4470-'19_Расчет_аналитики'!BG4498)*IF('01_Вводные'!$B$239="Да",MeanMinAge15+'19_Расчет_аналитики'!BG4608*SUMIF(ThresholdAge15,"&lt;"&amp;'19_Расчет_аналитики'!BG4608,WeightedRevAge15)-SUMIF(ThresholdAge15,"&lt;"&amp;'19_Расчет_аналитики'!BG4608,WeightedMinAge15),MAX(CapacityAge15*'01_Вводные'!$B$218*'19_Расчет_аналитики'!BG4608,MeanMinAge15))),0)</f>
        <v/>
      </c>
      <c r="BH4554">
        <f>IF('01_Вводные'!$B$234="Да",IF(OR(('19_Расчет_аналитики'!BH4470-'19_Расчет_аналитики'!BH4498)=0,15&lt;='01_Вводные'!$B$297),0,('19_Расчет_аналитики'!BH4470-'19_Расчет_аналитики'!BH4498)*IF('01_Вводные'!$B$239="Да",MeanMinAge15+'19_Расчет_аналитики'!BH4608*SUMIF(ThresholdAge15,"&lt;"&amp;'19_Расчет_аналитики'!BH4608,WeightedRevAge15)-SUMIF(ThresholdAge15,"&lt;"&amp;'19_Расчет_аналитики'!BH4608,WeightedMinAge15),MAX(CapacityAge15*'01_Вводные'!$B$218*'19_Расчет_аналитики'!BH4608,MeanMinAge15))),0)</f>
        <v/>
      </c>
      <c r="BI4554">
        <f>IF('01_Вводные'!$B$234="Да",IF(OR(('19_Расчет_аналитики'!BI4470-'19_Расчет_аналитики'!BI4498)=0,15&lt;='01_Вводные'!$B$297),0,('19_Расчет_аналитики'!BI4470-'19_Расчет_аналитики'!BI4498)*IF('01_Вводные'!$B$239="Да",MeanMinAge15+'19_Расчет_аналитики'!BI4608*SUMIF(ThresholdAge15,"&lt;"&amp;'19_Расчет_аналитики'!BI4608,WeightedRevAge15)-SUMIF(ThresholdAge15,"&lt;"&amp;'19_Расчет_аналитики'!BI4608,WeightedMinAge15),MAX(CapacityAge15*'01_Вводные'!$B$218*'19_Расчет_аналитики'!BI4608,MeanMinAge15))),0)</f>
        <v/>
      </c>
      <c r="BJ4554">
        <f>IF('01_Вводные'!$B$234="Да",IF(OR(('19_Расчет_аналитики'!BJ4470-'19_Расчет_аналитики'!BJ4498)=0,15&lt;='01_Вводные'!$B$297),0,('19_Расчет_аналитики'!BJ4470-'19_Расчет_аналитики'!BJ4498)*IF('01_Вводные'!$B$239="Да",MeanMinAge15+'19_Расчет_аналитики'!BJ4608*SUMIF(ThresholdAge15,"&lt;"&amp;'19_Расчет_аналитики'!BJ4608,WeightedRevAge15)-SUMIF(ThresholdAge15,"&lt;"&amp;'19_Расчет_аналитики'!BJ4608,WeightedMinAge15),MAX(CapacityAge15*'01_Вводные'!$B$218*'19_Расчет_аналитики'!BJ4608,MeanMinAge15))),0)</f>
        <v/>
      </c>
      <c r="BK4554">
        <f>IF('01_Вводные'!$B$234="Да",IF(OR(('19_Расчет_аналитики'!BK4470-'19_Расчет_аналитики'!BK4498)=0,15&lt;='01_Вводные'!$B$297),0,('19_Расчет_аналитики'!BK4470-'19_Расчет_аналитики'!BK4498)*IF('01_Вводные'!$B$239="Да",MeanMinAge15+'19_Расчет_аналитики'!BK4608*SUMIF(ThresholdAge15,"&lt;"&amp;'19_Расчет_аналитики'!BK4608,WeightedRevAge15)-SUMIF(ThresholdAge15,"&lt;"&amp;'19_Расчет_аналитики'!BK4608,WeightedMinAge15),MAX(CapacityAge15*'01_Вводные'!$B$218*'19_Расчет_аналитики'!BK4608,MeanMinAge15))),0)</f>
        <v/>
      </c>
      <c r="BL4554">
        <f>IF('01_Вводные'!$B$234="Да",IF(OR(('19_Расчет_аналитики'!BL4470-'19_Расчет_аналитики'!BL4498)=0,15&lt;='01_Вводные'!$B$297),0,('19_Расчет_аналитики'!BL4470-'19_Расчет_аналитики'!BL4498)*IF('01_Вводные'!$B$239="Да",MeanMinAge15+'19_Расчет_аналитики'!BL4608*SUMIF(ThresholdAge15,"&lt;"&amp;'19_Расчет_аналитики'!BL4608,WeightedRevAge15)-SUMIF(ThresholdAge15,"&lt;"&amp;'19_Расчет_аналитики'!BL4608,WeightedMinAge15),MAX(CapacityAge15*'01_Вводные'!$B$218*'19_Расчет_аналитики'!BL4608,MeanMinAge15))),0)</f>
        <v/>
      </c>
      <c r="BM4554">
        <f>IF('01_Вводные'!$B$234="Да",IF(OR(('19_Расчет_аналитики'!BM4470-'19_Расчет_аналитики'!BM4498)=0,15&lt;='01_Вводные'!$B$297),0,('19_Расчет_аналитики'!BM4470-'19_Расчет_аналитики'!BM4498)*IF('01_Вводные'!$B$239="Да",MeanMinAge15+'19_Расчет_аналитики'!BM4608*SUMIF(ThresholdAge15,"&lt;"&amp;'19_Расчет_аналитики'!BM4608,WeightedRevAge15)-SUMIF(ThresholdAge15,"&lt;"&amp;'19_Расчет_аналитики'!BM4608,WeightedMinAge15),MAX(CapacityAge15*'01_Вводные'!$B$218*'19_Расчет_аналитики'!BM4608,MeanMinAge15))),0)</f>
        <v/>
      </c>
      <c r="BN4554">
        <f>IF('01_Вводные'!$B$234="Да",IF(OR(('19_Расчет_аналитики'!BN4470-'19_Расчет_аналитики'!BN4498)=0,15&lt;='01_Вводные'!$B$297),0,('19_Расчет_аналитики'!BN4470-'19_Расчет_аналитики'!BN4498)*IF('01_Вводные'!$B$239="Да",MeanMinAge15+'19_Расчет_аналитики'!BN4608*SUMIF(ThresholdAge15,"&lt;"&amp;'19_Расчет_аналитики'!BN4608,WeightedRevAge15)-SUMIF(ThresholdAge15,"&lt;"&amp;'19_Расчет_аналитики'!BN4608,WeightedMinAge15),MAX(CapacityAge15*'01_Вводные'!$B$218*'19_Расчет_аналитики'!BN4608,MeanMinAge15))),0)</f>
        <v/>
      </c>
      <c r="BO4554">
        <f>IF('01_Вводные'!$B$234="Да",IF(OR(('19_Расчет_аналитики'!BO4470-'19_Расчет_аналитики'!BO4498)=0,15&lt;='01_Вводные'!$B$297),0,('19_Расчет_аналитики'!BO4470-'19_Расчет_аналитики'!BO4498)*IF('01_Вводные'!$B$239="Да",MeanMinAge15+'19_Расчет_аналитики'!BO4608*SUMIF(ThresholdAge15,"&lt;"&amp;'19_Расчет_аналитики'!BO4608,WeightedRevAge15)-SUMIF(ThresholdAge15,"&lt;"&amp;'19_Расчет_аналитики'!BO4608,WeightedMinAge15),MAX(CapacityAge15*'01_Вводные'!$B$218*'19_Расчет_аналитики'!BO4608,MeanMinAge15))),0)</f>
        <v/>
      </c>
    </row>
    <row r="4555">
      <c r="B4555">
        <f>IF('01_Вводные'!$B$234="Да",IF(OR(('06_Сеть_и_дети'!B68-'06_Сеть_и_дети'!B96)=0,16&lt;='01_Вводные'!$B$297),0,('06_Сеть_и_дети'!B68-'06_Сеть_и_дети'!B96)*IF('01_Вводные'!$B$239="Да",MeanMinAge16+'19_Расчет_аналитики'!B4608*SUMIF(ThresholdAge16,"&lt;"&amp;'19_Расчет_аналитики'!B4608,WeightedRevAge16)-SUMIF(ThresholdAge16,"&lt;"&amp;'19_Расчет_аналитики'!B4608,WeightedMinAge16),MAX(CapacityAge16*'01_Вводные'!$B$218*'19_Расчет_аналитики'!B4608,MeanMinAge16))),0)</f>
        <v/>
      </c>
      <c r="C4555">
        <f>IF('01_Вводные'!$B$234="Да",IF(OR(('06_Сеть_и_дети'!C68-'06_Сеть_и_дети'!C96)=0,16&lt;='01_Вводные'!$B$297),0,('06_Сеть_и_дети'!C68-'06_Сеть_и_дети'!C96)*IF('01_Вводные'!$B$239="Да",MeanMinAge16+'19_Расчет_аналитики'!C4608*SUMIF(ThresholdAge16,"&lt;"&amp;'19_Расчет_аналитики'!C4608,WeightedRevAge16)-SUMIF(ThresholdAge16,"&lt;"&amp;'19_Расчет_аналитики'!C4608,WeightedMinAge16),MAX(CapacityAge16*'01_Вводные'!$B$218*'19_Расчет_аналитики'!C4608,MeanMinAge16))),0)</f>
        <v/>
      </c>
      <c r="D4555">
        <f>IF('01_Вводные'!$B$234="Да",IF(OR(('06_Сеть_и_дети'!D68-'06_Сеть_и_дети'!D96)=0,16&lt;='01_Вводные'!$B$297),0,('06_Сеть_и_дети'!D68-'06_Сеть_и_дети'!D96)*IF('01_Вводные'!$B$239="Да",MeanMinAge16+'19_Расчет_аналитики'!D4608*SUMIF(ThresholdAge16,"&lt;"&amp;'19_Расчет_аналитики'!D4608,WeightedRevAge16)-SUMIF(ThresholdAge16,"&lt;"&amp;'19_Расчет_аналитики'!D4608,WeightedMinAge16),MAX(CapacityAge16*'01_Вводные'!$B$218*'19_Расчет_аналитики'!D4608,MeanMinAge16))),0)</f>
        <v/>
      </c>
      <c r="E4555">
        <f>IF('01_Вводные'!$B$234="Да",IF(OR(('06_Сеть_и_дети'!E68-'06_Сеть_и_дети'!E96)=0,16&lt;='01_Вводные'!$B$297),0,('06_Сеть_и_дети'!E68-'06_Сеть_и_дети'!E96)*IF('01_Вводные'!$B$239="Да",MeanMinAge16+'19_Расчет_аналитики'!E4608*SUMIF(ThresholdAge16,"&lt;"&amp;'19_Расчет_аналитики'!E4608,WeightedRevAge16)-SUMIF(ThresholdAge16,"&lt;"&amp;'19_Расчет_аналитики'!E4608,WeightedMinAge16),MAX(CapacityAge16*'01_Вводные'!$B$218*'19_Расчет_аналитики'!E4608,MeanMinAge16))),0)</f>
        <v/>
      </c>
      <c r="F4555">
        <f>IF('01_Вводные'!$B$234="Да",IF(OR(('06_Сеть_и_дети'!F68-'06_Сеть_и_дети'!F96)=0,16&lt;='01_Вводные'!$B$297),0,('06_Сеть_и_дети'!F68-'06_Сеть_и_дети'!F96)*IF('01_Вводные'!$B$239="Да",MeanMinAge16+'19_Расчет_аналитики'!F4608*SUMIF(ThresholdAge16,"&lt;"&amp;'19_Расчет_аналитики'!F4608,WeightedRevAge16)-SUMIF(ThresholdAge16,"&lt;"&amp;'19_Расчет_аналитики'!F4608,WeightedMinAge16),MAX(CapacityAge16*'01_Вводные'!$B$218*'19_Расчет_аналитики'!F4608,MeanMinAge16))),0)</f>
        <v/>
      </c>
      <c r="G4555">
        <f>IF('01_Вводные'!$B$234="Да",IF(OR(('06_Сеть_и_дети'!G68-'06_Сеть_и_дети'!G96)=0,16&lt;='01_Вводные'!$B$297),0,('06_Сеть_и_дети'!G68-'06_Сеть_и_дети'!G96)*IF('01_Вводные'!$B$239="Да",MeanMinAge16+'19_Расчет_аналитики'!G4608*SUMIF(ThresholdAge16,"&lt;"&amp;'19_Расчет_аналитики'!G4608,WeightedRevAge16)-SUMIF(ThresholdAge16,"&lt;"&amp;'19_Расчет_аналитики'!G4608,WeightedMinAge16),MAX(CapacityAge16*'01_Вводные'!$B$218*'19_Расчет_аналитики'!G4608,MeanMinAge16))),0)</f>
        <v/>
      </c>
      <c r="H4555">
        <f>IF('01_Вводные'!$B$234="Да",IF(OR(('06_Сеть_и_дети'!H68-'06_Сеть_и_дети'!H96)=0,16&lt;='01_Вводные'!$B$297),0,('06_Сеть_и_дети'!H68-'06_Сеть_и_дети'!H96)*IF('01_Вводные'!$B$239="Да",MeanMinAge16+'19_Расчет_аналитики'!H4608*SUMIF(ThresholdAge16,"&lt;"&amp;'19_Расчет_аналитики'!H4608,WeightedRevAge16)-SUMIF(ThresholdAge16,"&lt;"&amp;'19_Расчет_аналитики'!H4608,WeightedMinAge16),MAX(CapacityAge16*'01_Вводные'!$B$218*'19_Расчет_аналитики'!H4608,MeanMinAge16))),0)</f>
        <v/>
      </c>
      <c r="I4555">
        <f>IF('01_Вводные'!$B$234="Да",IF(OR(('06_Сеть_и_дети'!I68-'06_Сеть_и_дети'!I96)=0,16&lt;='01_Вводные'!$B$297),0,('06_Сеть_и_дети'!I68-'06_Сеть_и_дети'!I96)*IF('01_Вводные'!$B$239="Да",MeanMinAge16+'19_Расчет_аналитики'!I4608*SUMIF(ThresholdAge16,"&lt;"&amp;'19_Расчет_аналитики'!I4608,WeightedRevAge16)-SUMIF(ThresholdAge16,"&lt;"&amp;'19_Расчет_аналитики'!I4608,WeightedMinAge16),MAX(CapacityAge16*'01_Вводные'!$B$218*'19_Расчет_аналитики'!I4608,MeanMinAge16))),0)</f>
        <v/>
      </c>
      <c r="J4555">
        <f>IF('01_Вводные'!$B$234="Да",IF(OR(('06_Сеть_и_дети'!J68-'06_Сеть_и_дети'!J96)=0,16&lt;='01_Вводные'!$B$297),0,('06_Сеть_и_дети'!J68-'06_Сеть_и_дети'!J96)*IF('01_Вводные'!$B$239="Да",MeanMinAge16+'19_Расчет_аналитики'!J4608*SUMIF(ThresholdAge16,"&lt;"&amp;'19_Расчет_аналитики'!J4608,WeightedRevAge16)-SUMIF(ThresholdAge16,"&lt;"&amp;'19_Расчет_аналитики'!J4608,WeightedMinAge16),MAX(CapacityAge16*'01_Вводные'!$B$218*'19_Расчет_аналитики'!J4608,MeanMinAge16))),0)</f>
        <v/>
      </c>
      <c r="K4555">
        <f>IF('01_Вводные'!$B$234="Да",IF(OR(('06_Сеть_и_дети'!K68-'06_Сеть_и_дети'!K96)=0,16&lt;='01_Вводные'!$B$297),0,('06_Сеть_и_дети'!K68-'06_Сеть_и_дети'!K96)*IF('01_Вводные'!$B$239="Да",MeanMinAge16+'19_Расчет_аналитики'!K4608*SUMIF(ThresholdAge16,"&lt;"&amp;'19_Расчет_аналитики'!K4608,WeightedRevAge16)-SUMIF(ThresholdAge16,"&lt;"&amp;'19_Расчет_аналитики'!K4608,WeightedMinAge16),MAX(CapacityAge16*'01_Вводные'!$B$218*'19_Расчет_аналитики'!K4608,MeanMinAge16))),0)</f>
        <v/>
      </c>
      <c r="L4555">
        <f>IF('01_Вводные'!$B$234="Да",IF(OR(('06_Сеть_и_дети'!L68-'06_Сеть_и_дети'!L96)=0,16&lt;='01_Вводные'!$B$297),0,('06_Сеть_и_дети'!L68-'06_Сеть_и_дети'!L96)*IF('01_Вводные'!$B$239="Да",MeanMinAge16+'19_Расчет_аналитики'!L4608*SUMIF(ThresholdAge16,"&lt;"&amp;'19_Расчет_аналитики'!L4608,WeightedRevAge16)-SUMIF(ThresholdAge16,"&lt;"&amp;'19_Расчет_аналитики'!L4608,WeightedMinAge16),MAX(CapacityAge16*'01_Вводные'!$B$218*'19_Расчет_аналитики'!L4608,MeanMinAge16))),0)</f>
        <v/>
      </c>
      <c r="M4555">
        <f>IF('01_Вводные'!$B$234="Да",IF(OR(('06_Сеть_и_дети'!M68-'06_Сеть_и_дети'!M96)=0,16&lt;='01_Вводные'!$B$297),0,('06_Сеть_и_дети'!M68-'06_Сеть_и_дети'!M96)*IF('01_Вводные'!$B$239="Да",MeanMinAge16+'19_Расчет_аналитики'!M4608*SUMIF(ThresholdAge16,"&lt;"&amp;'19_Расчет_аналитики'!M4608,WeightedRevAge16)-SUMIF(ThresholdAge16,"&lt;"&amp;'19_Расчет_аналитики'!M4608,WeightedMinAge16),MAX(CapacityAge16*'01_Вводные'!$B$218*'19_Расчет_аналитики'!M4608,MeanMinAge16))),0)</f>
        <v/>
      </c>
      <c r="N4555">
        <f>IF('01_Вводные'!$B$234="Да",IF(OR(('06_Сеть_и_дети'!N68-'06_Сеть_и_дети'!N96)=0,16&lt;='01_Вводные'!$B$297),0,('06_Сеть_и_дети'!N68-'06_Сеть_и_дети'!N96)*IF('01_Вводные'!$B$239="Да",MeanMinAge16+'19_Расчет_аналитики'!N4608*SUMIF(ThresholdAge16,"&lt;"&amp;'19_Расчет_аналитики'!N4608,WeightedRevAge16)-SUMIF(ThresholdAge16,"&lt;"&amp;'19_Расчет_аналитики'!N4608,WeightedMinAge16),MAX(CapacityAge16*'01_Вводные'!$B$218*'19_Расчет_аналитики'!N4608,MeanMinAge16))),0)</f>
        <v/>
      </c>
      <c r="O4555">
        <f>IF('01_Вводные'!$B$234="Да",IF(OR(('06_Сеть_и_дети'!O68-'06_Сеть_и_дети'!O96)=0,16&lt;='01_Вводные'!$B$297),0,('06_Сеть_и_дети'!O68-'06_Сеть_и_дети'!O96)*IF('01_Вводные'!$B$239="Да",MeanMinAge16+'19_Расчет_аналитики'!O4608*SUMIF(ThresholdAge16,"&lt;"&amp;'19_Расчет_аналитики'!O4608,WeightedRevAge16)-SUMIF(ThresholdAge16,"&lt;"&amp;'19_Расчет_аналитики'!O4608,WeightedMinAge16),MAX(CapacityAge16*'01_Вводные'!$B$218*'19_Расчет_аналитики'!O4608,MeanMinAge16))),0)</f>
        <v/>
      </c>
      <c r="P4555">
        <f>IF('01_Вводные'!$B$234="Да",IF(OR(('06_Сеть_и_дети'!P68-'06_Сеть_и_дети'!P96)=0,16&lt;='01_Вводные'!$B$297),0,('06_Сеть_и_дети'!P68-'06_Сеть_и_дети'!P96)*IF('01_Вводные'!$B$239="Да",MeanMinAge16+'19_Расчет_аналитики'!P4608*SUMIF(ThresholdAge16,"&lt;"&amp;'19_Расчет_аналитики'!P4608,WeightedRevAge16)-SUMIF(ThresholdAge16,"&lt;"&amp;'19_Расчет_аналитики'!P4608,WeightedMinAge16),MAX(CapacityAge16*'01_Вводные'!$B$218*'19_Расчет_аналитики'!P4608,MeanMinAge16))),0)</f>
        <v/>
      </c>
      <c r="Q4555">
        <f>IF('01_Вводные'!$B$234="Да",IF(OR(('19_Расчет_аналитики'!Q4471-'19_Расчет_аналитики'!Q4499)=0,16&lt;='01_Вводные'!$B$297),0,('19_Расчет_аналитики'!Q4471-'19_Расчет_аналитики'!Q4499)*IF('01_Вводные'!$B$239="Да",MeanMinAge16+'19_Расчет_аналитики'!Q4608*SUMIF(ThresholdAge16,"&lt;"&amp;'19_Расчет_аналитики'!Q4608,WeightedRevAge16)-SUMIF(ThresholdAge16,"&lt;"&amp;'19_Расчет_аналитики'!Q4608,WeightedMinAge16),MAX(CapacityAge16*'01_Вводные'!$B$218*'19_Расчет_аналитики'!Q4608,MeanMinAge16))),0)</f>
        <v/>
      </c>
      <c r="R4555">
        <f>IF('01_Вводные'!$B$234="Да",IF(OR(('19_Расчет_аналитики'!R4471-'19_Расчет_аналитики'!R4499)=0,16&lt;='01_Вводные'!$B$297),0,('19_Расчет_аналитики'!R4471-'19_Расчет_аналитики'!R4499)*IF('01_Вводные'!$B$239="Да",MeanMinAge16+'19_Расчет_аналитики'!R4608*SUMIF(ThresholdAge16,"&lt;"&amp;'19_Расчет_аналитики'!R4608,WeightedRevAge16)-SUMIF(ThresholdAge16,"&lt;"&amp;'19_Расчет_аналитики'!R4608,WeightedMinAge16),MAX(CapacityAge16*'01_Вводные'!$B$218*'19_Расчет_аналитики'!R4608,MeanMinAge16))),0)</f>
        <v/>
      </c>
      <c r="S4555">
        <f>IF('01_Вводные'!$B$234="Да",IF(OR(('19_Расчет_аналитики'!S4471-'19_Расчет_аналитики'!S4499)=0,16&lt;='01_Вводные'!$B$297),0,('19_Расчет_аналитики'!S4471-'19_Расчет_аналитики'!S4499)*IF('01_Вводные'!$B$239="Да",MeanMinAge16+'19_Расчет_аналитики'!S4608*SUMIF(ThresholdAge16,"&lt;"&amp;'19_Расчет_аналитики'!S4608,WeightedRevAge16)-SUMIF(ThresholdAge16,"&lt;"&amp;'19_Расчет_аналитики'!S4608,WeightedMinAge16),MAX(CapacityAge16*'01_Вводные'!$B$218*'19_Расчет_аналитики'!S4608,MeanMinAge16))),0)</f>
        <v/>
      </c>
      <c r="T4555">
        <f>IF('01_Вводные'!$B$234="Да",IF(OR(('19_Расчет_аналитики'!T4471-'19_Расчет_аналитики'!T4499)=0,16&lt;='01_Вводные'!$B$297),0,('19_Расчет_аналитики'!T4471-'19_Расчет_аналитики'!T4499)*IF('01_Вводные'!$B$239="Да",MeanMinAge16+'19_Расчет_аналитики'!T4608*SUMIF(ThresholdAge16,"&lt;"&amp;'19_Расчет_аналитики'!T4608,WeightedRevAge16)-SUMIF(ThresholdAge16,"&lt;"&amp;'19_Расчет_аналитики'!T4608,WeightedMinAge16),MAX(CapacityAge16*'01_Вводные'!$B$218*'19_Расчет_аналитики'!T4608,MeanMinAge16))),0)</f>
        <v/>
      </c>
      <c r="U4555">
        <f>IF('01_Вводные'!$B$234="Да",IF(OR(('19_Расчет_аналитики'!U4471-'19_Расчет_аналитики'!U4499)=0,16&lt;='01_Вводные'!$B$297),0,('19_Расчет_аналитики'!U4471-'19_Расчет_аналитики'!U4499)*IF('01_Вводные'!$B$239="Да",MeanMinAge16+'19_Расчет_аналитики'!U4608*SUMIF(ThresholdAge16,"&lt;"&amp;'19_Расчет_аналитики'!U4608,WeightedRevAge16)-SUMIF(ThresholdAge16,"&lt;"&amp;'19_Расчет_аналитики'!U4608,WeightedMinAge16),MAX(CapacityAge16*'01_Вводные'!$B$218*'19_Расчет_аналитики'!U4608,MeanMinAge16))),0)</f>
        <v/>
      </c>
      <c r="V4555">
        <f>IF('01_Вводные'!$B$234="Да",IF(OR(('19_Расчет_аналитики'!V4471-'19_Расчет_аналитики'!V4499)=0,16&lt;='01_Вводные'!$B$297),0,('19_Расчет_аналитики'!V4471-'19_Расчет_аналитики'!V4499)*IF('01_Вводные'!$B$239="Да",MeanMinAge16+'19_Расчет_аналитики'!V4608*SUMIF(ThresholdAge16,"&lt;"&amp;'19_Расчет_аналитики'!V4608,WeightedRevAge16)-SUMIF(ThresholdAge16,"&lt;"&amp;'19_Расчет_аналитики'!V4608,WeightedMinAge16),MAX(CapacityAge16*'01_Вводные'!$B$218*'19_Расчет_аналитики'!V4608,MeanMinAge16))),0)</f>
        <v/>
      </c>
      <c r="W4555">
        <f>IF('01_Вводные'!$B$234="Да",IF(OR(('19_Расчет_аналитики'!W4471-'19_Расчет_аналитики'!W4499)=0,16&lt;='01_Вводные'!$B$297),0,('19_Расчет_аналитики'!W4471-'19_Расчет_аналитики'!W4499)*IF('01_Вводные'!$B$239="Да",MeanMinAge16+'19_Расчет_аналитики'!W4608*SUMIF(ThresholdAge16,"&lt;"&amp;'19_Расчет_аналитики'!W4608,WeightedRevAge16)-SUMIF(ThresholdAge16,"&lt;"&amp;'19_Расчет_аналитики'!W4608,WeightedMinAge16),MAX(CapacityAge16*'01_Вводные'!$B$218*'19_Расчет_аналитики'!W4608,MeanMinAge16))),0)</f>
        <v/>
      </c>
      <c r="X4555">
        <f>IF('01_Вводные'!$B$234="Да",IF(OR(('19_Расчет_аналитики'!X4471-'19_Расчет_аналитики'!X4499)=0,16&lt;='01_Вводные'!$B$297),0,('19_Расчет_аналитики'!X4471-'19_Расчет_аналитики'!X4499)*IF('01_Вводные'!$B$239="Да",MeanMinAge16+'19_Расчет_аналитики'!X4608*SUMIF(ThresholdAge16,"&lt;"&amp;'19_Расчет_аналитики'!X4608,WeightedRevAge16)-SUMIF(ThresholdAge16,"&lt;"&amp;'19_Расчет_аналитики'!X4608,WeightedMinAge16),MAX(CapacityAge16*'01_Вводные'!$B$218*'19_Расчет_аналитики'!X4608,MeanMinAge16))),0)</f>
        <v/>
      </c>
      <c r="Y4555">
        <f>IF('01_Вводные'!$B$234="Да",IF(OR(('19_Расчет_аналитики'!Y4471-'19_Расчет_аналитики'!Y4499)=0,16&lt;='01_Вводные'!$B$297),0,('19_Расчет_аналитики'!Y4471-'19_Расчет_аналитики'!Y4499)*IF('01_Вводные'!$B$239="Да",MeanMinAge16+'19_Расчет_аналитики'!Y4608*SUMIF(ThresholdAge16,"&lt;"&amp;'19_Расчет_аналитики'!Y4608,WeightedRevAge16)-SUMIF(ThresholdAge16,"&lt;"&amp;'19_Расчет_аналитики'!Y4608,WeightedMinAge16),MAX(CapacityAge16*'01_Вводные'!$B$218*'19_Расчет_аналитики'!Y4608,MeanMinAge16))),0)</f>
        <v/>
      </c>
      <c r="Z4555">
        <f>IF('01_Вводные'!$B$234="Да",IF(OR(('19_Расчет_аналитики'!Z4471-'19_Расчет_аналитики'!Z4499)=0,16&lt;='01_Вводные'!$B$297),0,('19_Расчет_аналитики'!Z4471-'19_Расчет_аналитики'!Z4499)*IF('01_Вводные'!$B$239="Да",MeanMinAge16+'19_Расчет_аналитики'!Z4608*SUMIF(ThresholdAge16,"&lt;"&amp;'19_Расчет_аналитики'!Z4608,WeightedRevAge16)-SUMIF(ThresholdAge16,"&lt;"&amp;'19_Расчет_аналитики'!Z4608,WeightedMinAge16),MAX(CapacityAge16*'01_Вводные'!$B$218*'19_Расчет_аналитики'!Z4608,MeanMinAge16))),0)</f>
        <v/>
      </c>
      <c r="AA4555">
        <f>IF('01_Вводные'!$B$234="Да",IF(OR(('19_Расчет_аналитики'!AA4471-'19_Расчет_аналитики'!AA4499)=0,16&lt;='01_Вводные'!$B$297),0,('19_Расчет_аналитики'!AA4471-'19_Расчет_аналитики'!AA4499)*IF('01_Вводные'!$B$239="Да",MeanMinAge16+'19_Расчет_аналитики'!AA4608*SUMIF(ThresholdAge16,"&lt;"&amp;'19_Расчет_аналитики'!AA4608,WeightedRevAge16)-SUMIF(ThresholdAge16,"&lt;"&amp;'19_Расчет_аналитики'!AA4608,WeightedMinAge16),MAX(CapacityAge16*'01_Вводные'!$B$218*'19_Расчет_аналитики'!AA4608,MeanMinAge16))),0)</f>
        <v/>
      </c>
      <c r="AB4555">
        <f>IF('01_Вводные'!$B$234="Да",IF(OR(('19_Расчет_аналитики'!AB4471-'19_Расчет_аналитики'!AB4499)=0,16&lt;='01_Вводные'!$B$297),0,('19_Расчет_аналитики'!AB4471-'19_Расчет_аналитики'!AB4499)*IF('01_Вводные'!$B$239="Да",MeanMinAge16+'19_Расчет_аналитики'!AB4608*SUMIF(ThresholdAge16,"&lt;"&amp;'19_Расчет_аналитики'!AB4608,WeightedRevAge16)-SUMIF(ThresholdAge16,"&lt;"&amp;'19_Расчет_аналитики'!AB4608,WeightedMinAge16),MAX(CapacityAge16*'01_Вводные'!$B$218*'19_Расчет_аналитики'!AB4608,MeanMinAge16))),0)</f>
        <v/>
      </c>
      <c r="AC4555">
        <f>IF('01_Вводные'!$B$234="Да",IF(OR(('19_Расчет_аналитики'!AC4471-'19_Расчет_аналитики'!AC4499)=0,16&lt;='01_Вводные'!$B$297),0,('19_Расчет_аналитики'!AC4471-'19_Расчет_аналитики'!AC4499)*IF('01_Вводные'!$B$239="Да",MeanMinAge16+'19_Расчет_аналитики'!AC4608*SUMIF(ThresholdAge16,"&lt;"&amp;'19_Расчет_аналитики'!AC4608,WeightedRevAge16)-SUMIF(ThresholdAge16,"&lt;"&amp;'19_Расчет_аналитики'!AC4608,WeightedMinAge16),MAX(CapacityAge16*'01_Вводные'!$B$218*'19_Расчет_аналитики'!AC4608,MeanMinAge16))),0)</f>
        <v/>
      </c>
      <c r="AD4555">
        <f>IF('01_Вводные'!$B$234="Да",IF(OR(('19_Расчет_аналитики'!AD4471-'19_Расчет_аналитики'!AD4499)=0,16&lt;='01_Вводные'!$B$297),0,('19_Расчет_аналитики'!AD4471-'19_Расчет_аналитики'!AD4499)*IF('01_Вводные'!$B$239="Да",MeanMinAge16+'19_Расчет_аналитики'!AD4608*SUMIF(ThresholdAge16,"&lt;"&amp;'19_Расчет_аналитики'!AD4608,WeightedRevAge16)-SUMIF(ThresholdAge16,"&lt;"&amp;'19_Расчет_аналитики'!AD4608,WeightedMinAge16),MAX(CapacityAge16*'01_Вводные'!$B$218*'19_Расчет_аналитики'!AD4608,MeanMinAge16))),0)</f>
        <v/>
      </c>
      <c r="AE4555">
        <f>IF('01_Вводные'!$B$234="Да",IF(OR(('19_Расчет_аналитики'!AE4471-'19_Расчет_аналитики'!AE4499)=0,16&lt;='01_Вводные'!$B$297),0,('19_Расчет_аналитики'!AE4471-'19_Расчет_аналитики'!AE4499)*IF('01_Вводные'!$B$239="Да",MeanMinAge16+'19_Расчет_аналитики'!AE4608*SUMIF(ThresholdAge16,"&lt;"&amp;'19_Расчет_аналитики'!AE4608,WeightedRevAge16)-SUMIF(ThresholdAge16,"&lt;"&amp;'19_Расчет_аналитики'!AE4608,WeightedMinAge16),MAX(CapacityAge16*'01_Вводные'!$B$218*'19_Расчет_аналитики'!AE4608,MeanMinAge16))),0)</f>
        <v/>
      </c>
      <c r="AF4555">
        <f>IF('01_Вводные'!$B$234="Да",IF(OR(('19_Расчет_аналитики'!AF4471-'19_Расчет_аналитики'!AF4499)=0,16&lt;='01_Вводные'!$B$297),0,('19_Расчет_аналитики'!AF4471-'19_Расчет_аналитики'!AF4499)*IF('01_Вводные'!$B$239="Да",MeanMinAge16+'19_Расчет_аналитики'!AF4608*SUMIF(ThresholdAge16,"&lt;"&amp;'19_Расчет_аналитики'!AF4608,WeightedRevAge16)-SUMIF(ThresholdAge16,"&lt;"&amp;'19_Расчет_аналитики'!AF4608,WeightedMinAge16),MAX(CapacityAge16*'01_Вводные'!$B$218*'19_Расчет_аналитики'!AF4608,MeanMinAge16))),0)</f>
        <v/>
      </c>
      <c r="AG4555">
        <f>IF('01_Вводные'!$B$234="Да",IF(OR(('19_Расчет_аналитики'!AG4471-'19_Расчет_аналитики'!AG4499)=0,16&lt;='01_Вводные'!$B$297),0,('19_Расчет_аналитики'!AG4471-'19_Расчет_аналитики'!AG4499)*IF('01_Вводные'!$B$239="Да",MeanMinAge16+'19_Расчет_аналитики'!AG4608*SUMIF(ThresholdAge16,"&lt;"&amp;'19_Расчет_аналитики'!AG4608,WeightedRevAge16)-SUMIF(ThresholdAge16,"&lt;"&amp;'19_Расчет_аналитики'!AG4608,WeightedMinAge16),MAX(CapacityAge16*'01_Вводные'!$B$218*'19_Расчет_аналитики'!AG4608,MeanMinAge16))),0)</f>
        <v/>
      </c>
      <c r="AH4555">
        <f>IF('01_Вводные'!$B$234="Да",IF(OR(('19_Расчет_аналитики'!AH4471-'19_Расчет_аналитики'!AH4499)=0,16&lt;='01_Вводные'!$B$297),0,('19_Расчет_аналитики'!AH4471-'19_Расчет_аналитики'!AH4499)*IF('01_Вводные'!$B$239="Да",MeanMinAge16+'19_Расчет_аналитики'!AH4608*SUMIF(ThresholdAge16,"&lt;"&amp;'19_Расчет_аналитики'!AH4608,WeightedRevAge16)-SUMIF(ThresholdAge16,"&lt;"&amp;'19_Расчет_аналитики'!AH4608,WeightedMinAge16),MAX(CapacityAge16*'01_Вводные'!$B$218*'19_Расчет_аналитики'!AH4608,MeanMinAge16))),0)</f>
        <v/>
      </c>
      <c r="AI4555">
        <f>IF('01_Вводные'!$B$234="Да",IF(OR(('19_Расчет_аналитики'!AI4471-'19_Расчет_аналитики'!AI4499)=0,16&lt;='01_Вводные'!$B$297),0,('19_Расчет_аналитики'!AI4471-'19_Расчет_аналитики'!AI4499)*IF('01_Вводные'!$B$239="Да",MeanMinAge16+'19_Расчет_аналитики'!AI4608*SUMIF(ThresholdAge16,"&lt;"&amp;'19_Расчет_аналитики'!AI4608,WeightedRevAge16)-SUMIF(ThresholdAge16,"&lt;"&amp;'19_Расчет_аналитики'!AI4608,WeightedMinAge16),MAX(CapacityAge16*'01_Вводные'!$B$218*'19_Расчет_аналитики'!AI4608,MeanMinAge16))),0)</f>
        <v/>
      </c>
      <c r="AJ4555">
        <f>IF('01_Вводные'!$B$234="Да",IF(OR(('19_Расчет_аналитики'!AJ4471-'19_Расчет_аналитики'!AJ4499)=0,16&lt;='01_Вводные'!$B$297),0,('19_Расчет_аналитики'!AJ4471-'19_Расчет_аналитики'!AJ4499)*IF('01_Вводные'!$B$239="Да",MeanMinAge16+'19_Расчет_аналитики'!AJ4608*SUMIF(ThresholdAge16,"&lt;"&amp;'19_Расчет_аналитики'!AJ4608,WeightedRevAge16)-SUMIF(ThresholdAge16,"&lt;"&amp;'19_Расчет_аналитики'!AJ4608,WeightedMinAge16),MAX(CapacityAge16*'01_Вводные'!$B$218*'19_Расчет_аналитики'!AJ4608,MeanMinAge16))),0)</f>
        <v/>
      </c>
      <c r="AK4555">
        <f>IF('01_Вводные'!$B$234="Да",IF(OR(('19_Расчет_аналитики'!AK4471-'19_Расчет_аналитики'!AK4499)=0,16&lt;='01_Вводные'!$B$297),0,('19_Расчет_аналитики'!AK4471-'19_Расчет_аналитики'!AK4499)*IF('01_Вводные'!$B$239="Да",MeanMinAge16+'19_Расчет_аналитики'!AK4608*SUMIF(ThresholdAge16,"&lt;"&amp;'19_Расчет_аналитики'!AK4608,WeightedRevAge16)-SUMIF(ThresholdAge16,"&lt;"&amp;'19_Расчет_аналитики'!AK4608,WeightedMinAge16),MAX(CapacityAge16*'01_Вводные'!$B$218*'19_Расчет_аналитики'!AK4608,MeanMinAge16))),0)</f>
        <v/>
      </c>
      <c r="AL4555">
        <f>IF('01_Вводные'!$B$234="Да",IF(OR(('19_Расчет_аналитики'!AL4471-'19_Расчет_аналитики'!AL4499)=0,16&lt;='01_Вводные'!$B$297),0,('19_Расчет_аналитики'!AL4471-'19_Расчет_аналитики'!AL4499)*IF('01_Вводные'!$B$239="Да",MeanMinAge16+'19_Расчет_аналитики'!AL4608*SUMIF(ThresholdAge16,"&lt;"&amp;'19_Расчет_аналитики'!AL4608,WeightedRevAge16)-SUMIF(ThresholdAge16,"&lt;"&amp;'19_Расчет_аналитики'!AL4608,WeightedMinAge16),MAX(CapacityAge16*'01_Вводные'!$B$218*'19_Расчет_аналитики'!AL4608,MeanMinAge16))),0)</f>
        <v/>
      </c>
      <c r="AM4555">
        <f>IF('01_Вводные'!$B$234="Да",IF(OR(('19_Расчет_аналитики'!AM4471-'19_Расчет_аналитики'!AM4499)=0,16&lt;='01_Вводные'!$B$297),0,('19_Расчет_аналитики'!AM4471-'19_Расчет_аналитики'!AM4499)*IF('01_Вводные'!$B$239="Да",MeanMinAge16+'19_Расчет_аналитики'!AM4608*SUMIF(ThresholdAge16,"&lt;"&amp;'19_Расчет_аналитики'!AM4608,WeightedRevAge16)-SUMIF(ThresholdAge16,"&lt;"&amp;'19_Расчет_аналитики'!AM4608,WeightedMinAge16),MAX(CapacityAge16*'01_Вводные'!$B$218*'19_Расчет_аналитики'!AM4608,MeanMinAge16))),0)</f>
        <v/>
      </c>
      <c r="AN4555">
        <f>IF('01_Вводные'!$B$234="Да",IF(OR(('19_Расчет_аналитики'!AN4471-'19_Расчет_аналитики'!AN4499)=0,16&lt;='01_Вводные'!$B$297),0,('19_Расчет_аналитики'!AN4471-'19_Расчет_аналитики'!AN4499)*IF('01_Вводные'!$B$239="Да",MeanMinAge16+'19_Расчет_аналитики'!AN4608*SUMIF(ThresholdAge16,"&lt;"&amp;'19_Расчет_аналитики'!AN4608,WeightedRevAge16)-SUMIF(ThresholdAge16,"&lt;"&amp;'19_Расчет_аналитики'!AN4608,WeightedMinAge16),MAX(CapacityAge16*'01_Вводные'!$B$218*'19_Расчет_аналитики'!AN4608,MeanMinAge16))),0)</f>
        <v/>
      </c>
      <c r="AO4555">
        <f>IF('01_Вводные'!$B$234="Да",IF(OR(('19_Расчет_аналитики'!AO4471-'19_Расчет_аналитики'!AO4499)=0,16&lt;='01_Вводные'!$B$297),0,('19_Расчет_аналитики'!AO4471-'19_Расчет_аналитики'!AO4499)*IF('01_Вводные'!$B$239="Да",MeanMinAge16+'19_Расчет_аналитики'!AO4608*SUMIF(ThresholdAge16,"&lt;"&amp;'19_Расчет_аналитики'!AO4608,WeightedRevAge16)-SUMIF(ThresholdAge16,"&lt;"&amp;'19_Расчет_аналитики'!AO4608,WeightedMinAge16),MAX(CapacityAge16*'01_Вводные'!$B$218*'19_Расчет_аналитики'!AO4608,MeanMinAge16))),0)</f>
        <v/>
      </c>
      <c r="AP4555">
        <f>IF('01_Вводные'!$B$234="Да",IF(OR(('19_Расчет_аналитики'!AP4471-'19_Расчет_аналитики'!AP4499)=0,16&lt;='01_Вводные'!$B$297),0,('19_Расчет_аналитики'!AP4471-'19_Расчет_аналитики'!AP4499)*IF('01_Вводные'!$B$239="Да",MeanMinAge16+'19_Расчет_аналитики'!AP4608*SUMIF(ThresholdAge16,"&lt;"&amp;'19_Расчет_аналитики'!AP4608,WeightedRevAge16)-SUMIF(ThresholdAge16,"&lt;"&amp;'19_Расчет_аналитики'!AP4608,WeightedMinAge16),MAX(CapacityAge16*'01_Вводные'!$B$218*'19_Расчет_аналитики'!AP4608,MeanMinAge16))),0)</f>
        <v/>
      </c>
      <c r="AQ4555">
        <f>IF('01_Вводные'!$B$234="Да",IF(OR(('19_Расчет_аналитики'!AQ4471-'19_Расчет_аналитики'!AQ4499)=0,16&lt;='01_Вводные'!$B$297),0,('19_Расчет_аналитики'!AQ4471-'19_Расчет_аналитики'!AQ4499)*IF('01_Вводные'!$B$239="Да",MeanMinAge16+'19_Расчет_аналитики'!AQ4608*SUMIF(ThresholdAge16,"&lt;"&amp;'19_Расчет_аналитики'!AQ4608,WeightedRevAge16)-SUMIF(ThresholdAge16,"&lt;"&amp;'19_Расчет_аналитики'!AQ4608,WeightedMinAge16),MAX(CapacityAge16*'01_Вводные'!$B$218*'19_Расчет_аналитики'!AQ4608,MeanMinAge16))),0)</f>
        <v/>
      </c>
      <c r="AR4555">
        <f>IF('01_Вводные'!$B$234="Да",IF(OR(('19_Расчет_аналитики'!AR4471-'19_Расчет_аналитики'!AR4499)=0,16&lt;='01_Вводные'!$B$297),0,('19_Расчет_аналитики'!AR4471-'19_Расчет_аналитики'!AR4499)*IF('01_Вводные'!$B$239="Да",MeanMinAge16+'19_Расчет_аналитики'!AR4608*SUMIF(ThresholdAge16,"&lt;"&amp;'19_Расчет_аналитики'!AR4608,WeightedRevAge16)-SUMIF(ThresholdAge16,"&lt;"&amp;'19_Расчет_аналитики'!AR4608,WeightedMinAge16),MAX(CapacityAge16*'01_Вводные'!$B$218*'19_Расчет_аналитики'!AR4608,MeanMinAge16))),0)</f>
        <v/>
      </c>
      <c r="AS4555">
        <f>IF('01_Вводные'!$B$234="Да",IF(OR(('19_Расчет_аналитики'!AS4471-'19_Расчет_аналитики'!AS4499)=0,16&lt;='01_Вводные'!$B$297),0,('19_Расчет_аналитики'!AS4471-'19_Расчет_аналитики'!AS4499)*IF('01_Вводные'!$B$239="Да",MeanMinAge16+'19_Расчет_аналитики'!AS4608*SUMIF(ThresholdAge16,"&lt;"&amp;'19_Расчет_аналитики'!AS4608,WeightedRevAge16)-SUMIF(ThresholdAge16,"&lt;"&amp;'19_Расчет_аналитики'!AS4608,WeightedMinAge16),MAX(CapacityAge16*'01_Вводные'!$B$218*'19_Расчет_аналитики'!AS4608,MeanMinAge16))),0)</f>
        <v/>
      </c>
      <c r="AT4555">
        <f>IF('01_Вводные'!$B$234="Да",IF(OR(('19_Расчет_аналитики'!AT4471-'19_Расчет_аналитики'!AT4499)=0,16&lt;='01_Вводные'!$B$297),0,('19_Расчет_аналитики'!AT4471-'19_Расчет_аналитики'!AT4499)*IF('01_Вводные'!$B$239="Да",MeanMinAge16+'19_Расчет_аналитики'!AT4608*SUMIF(ThresholdAge16,"&lt;"&amp;'19_Расчет_аналитики'!AT4608,WeightedRevAge16)-SUMIF(ThresholdAge16,"&lt;"&amp;'19_Расчет_аналитики'!AT4608,WeightedMinAge16),MAX(CapacityAge16*'01_Вводные'!$B$218*'19_Расчет_аналитики'!AT4608,MeanMinAge16))),0)</f>
        <v/>
      </c>
      <c r="AU4555">
        <f>IF('01_Вводные'!$B$234="Да",IF(OR(('19_Расчет_аналитики'!AU4471-'19_Расчет_аналитики'!AU4499)=0,16&lt;='01_Вводные'!$B$297),0,('19_Расчет_аналитики'!AU4471-'19_Расчет_аналитики'!AU4499)*IF('01_Вводные'!$B$239="Да",MeanMinAge16+'19_Расчет_аналитики'!AU4608*SUMIF(ThresholdAge16,"&lt;"&amp;'19_Расчет_аналитики'!AU4608,WeightedRevAge16)-SUMIF(ThresholdAge16,"&lt;"&amp;'19_Расчет_аналитики'!AU4608,WeightedMinAge16),MAX(CapacityAge16*'01_Вводные'!$B$218*'19_Расчет_аналитики'!AU4608,MeanMinAge16))),0)</f>
        <v/>
      </c>
      <c r="AV4555">
        <f>IF('01_Вводные'!$B$234="Да",IF(OR(('19_Расчет_аналитики'!AV4471-'19_Расчет_аналитики'!AV4499)=0,16&lt;='01_Вводные'!$B$297),0,('19_Расчет_аналитики'!AV4471-'19_Расчет_аналитики'!AV4499)*IF('01_Вводные'!$B$239="Да",MeanMinAge16+'19_Расчет_аналитики'!AV4608*SUMIF(ThresholdAge16,"&lt;"&amp;'19_Расчет_аналитики'!AV4608,WeightedRevAge16)-SUMIF(ThresholdAge16,"&lt;"&amp;'19_Расчет_аналитики'!AV4608,WeightedMinAge16),MAX(CapacityAge16*'01_Вводные'!$B$218*'19_Расчет_аналитики'!AV4608,MeanMinAge16))),0)</f>
        <v/>
      </c>
      <c r="AW4555">
        <f>IF('01_Вводные'!$B$234="Да",IF(OR(('19_Расчет_аналитики'!AW4471-'19_Расчет_аналитики'!AW4499)=0,16&lt;='01_Вводные'!$B$297),0,('19_Расчет_аналитики'!AW4471-'19_Расчет_аналитики'!AW4499)*IF('01_Вводные'!$B$239="Да",MeanMinAge16+'19_Расчет_аналитики'!AW4608*SUMIF(ThresholdAge16,"&lt;"&amp;'19_Расчет_аналитики'!AW4608,WeightedRevAge16)-SUMIF(ThresholdAge16,"&lt;"&amp;'19_Расчет_аналитики'!AW4608,WeightedMinAge16),MAX(CapacityAge16*'01_Вводные'!$B$218*'19_Расчет_аналитики'!AW4608,MeanMinAge16))),0)</f>
        <v/>
      </c>
      <c r="AX4555">
        <f>IF('01_Вводные'!$B$234="Да",IF(OR(('19_Расчет_аналитики'!AX4471-'19_Расчет_аналитики'!AX4499)=0,16&lt;='01_Вводные'!$B$297),0,('19_Расчет_аналитики'!AX4471-'19_Расчет_аналитики'!AX4499)*IF('01_Вводные'!$B$239="Да",MeanMinAge16+'19_Расчет_аналитики'!AX4608*SUMIF(ThresholdAge16,"&lt;"&amp;'19_Расчет_аналитики'!AX4608,WeightedRevAge16)-SUMIF(ThresholdAge16,"&lt;"&amp;'19_Расчет_аналитики'!AX4608,WeightedMinAge16),MAX(CapacityAge16*'01_Вводные'!$B$218*'19_Расчет_аналитики'!AX4608,MeanMinAge16))),0)</f>
        <v/>
      </c>
      <c r="AY4555">
        <f>IF('01_Вводные'!$B$234="Да",IF(OR(('19_Расчет_аналитики'!AY4471-'19_Расчет_аналитики'!AY4499)=0,16&lt;='01_Вводные'!$B$297),0,('19_Расчет_аналитики'!AY4471-'19_Расчет_аналитики'!AY4499)*IF('01_Вводные'!$B$239="Да",MeanMinAge16+'19_Расчет_аналитики'!AY4608*SUMIF(ThresholdAge16,"&lt;"&amp;'19_Расчет_аналитики'!AY4608,WeightedRevAge16)-SUMIF(ThresholdAge16,"&lt;"&amp;'19_Расчет_аналитики'!AY4608,WeightedMinAge16),MAX(CapacityAge16*'01_Вводные'!$B$218*'19_Расчет_аналитики'!AY4608,MeanMinAge16))),0)</f>
        <v/>
      </c>
      <c r="AZ4555">
        <f>IF('01_Вводные'!$B$234="Да",IF(OR(('19_Расчет_аналитики'!AZ4471-'19_Расчет_аналитики'!AZ4499)=0,16&lt;='01_Вводные'!$B$297),0,('19_Расчет_аналитики'!AZ4471-'19_Расчет_аналитики'!AZ4499)*IF('01_Вводные'!$B$239="Да",MeanMinAge16+'19_Расчет_аналитики'!AZ4608*SUMIF(ThresholdAge16,"&lt;"&amp;'19_Расчет_аналитики'!AZ4608,WeightedRevAge16)-SUMIF(ThresholdAge16,"&lt;"&amp;'19_Расчет_аналитики'!AZ4608,WeightedMinAge16),MAX(CapacityAge16*'01_Вводные'!$B$218*'19_Расчет_аналитики'!AZ4608,MeanMinAge16))),0)</f>
        <v/>
      </c>
      <c r="BA4555">
        <f>IF('01_Вводные'!$B$234="Да",IF(OR(('19_Расчет_аналитики'!BA4471-'19_Расчет_аналитики'!BA4499)=0,16&lt;='01_Вводные'!$B$297),0,('19_Расчет_аналитики'!BA4471-'19_Расчет_аналитики'!BA4499)*IF('01_Вводные'!$B$239="Да",MeanMinAge16+'19_Расчет_аналитики'!BA4608*SUMIF(ThresholdAge16,"&lt;"&amp;'19_Расчет_аналитики'!BA4608,WeightedRevAge16)-SUMIF(ThresholdAge16,"&lt;"&amp;'19_Расчет_аналитики'!BA4608,WeightedMinAge16),MAX(CapacityAge16*'01_Вводные'!$B$218*'19_Расчет_аналитики'!BA4608,MeanMinAge16))),0)</f>
        <v/>
      </c>
      <c r="BB4555">
        <f>IF('01_Вводные'!$B$234="Да",IF(OR(('19_Расчет_аналитики'!BB4471-'19_Расчет_аналитики'!BB4499)=0,16&lt;='01_Вводные'!$B$297),0,('19_Расчет_аналитики'!BB4471-'19_Расчет_аналитики'!BB4499)*IF('01_Вводные'!$B$239="Да",MeanMinAge16+'19_Расчет_аналитики'!BB4608*SUMIF(ThresholdAge16,"&lt;"&amp;'19_Расчет_аналитики'!BB4608,WeightedRevAge16)-SUMIF(ThresholdAge16,"&lt;"&amp;'19_Расчет_аналитики'!BB4608,WeightedMinAge16),MAX(CapacityAge16*'01_Вводные'!$B$218*'19_Расчет_аналитики'!BB4608,MeanMinAge16))),0)</f>
        <v/>
      </c>
      <c r="BC4555">
        <f>IF('01_Вводные'!$B$234="Да",IF(OR(('19_Расчет_аналитики'!BC4471-'19_Расчет_аналитики'!BC4499)=0,16&lt;='01_Вводные'!$B$297),0,('19_Расчет_аналитики'!BC4471-'19_Расчет_аналитики'!BC4499)*IF('01_Вводные'!$B$239="Да",MeanMinAge16+'19_Расчет_аналитики'!BC4608*SUMIF(ThresholdAge16,"&lt;"&amp;'19_Расчет_аналитики'!BC4608,WeightedRevAge16)-SUMIF(ThresholdAge16,"&lt;"&amp;'19_Расчет_аналитики'!BC4608,WeightedMinAge16),MAX(CapacityAge16*'01_Вводные'!$B$218*'19_Расчет_аналитики'!BC4608,MeanMinAge16))),0)</f>
        <v/>
      </c>
      <c r="BD4555">
        <f>IF('01_Вводные'!$B$234="Да",IF(OR(('19_Расчет_аналитики'!BD4471-'19_Расчет_аналитики'!BD4499)=0,16&lt;='01_Вводные'!$B$297),0,('19_Расчет_аналитики'!BD4471-'19_Расчет_аналитики'!BD4499)*IF('01_Вводные'!$B$239="Да",MeanMinAge16+'19_Расчет_аналитики'!BD4608*SUMIF(ThresholdAge16,"&lt;"&amp;'19_Расчет_аналитики'!BD4608,WeightedRevAge16)-SUMIF(ThresholdAge16,"&lt;"&amp;'19_Расчет_аналитики'!BD4608,WeightedMinAge16),MAX(CapacityAge16*'01_Вводные'!$B$218*'19_Расчет_аналитики'!BD4608,MeanMinAge16))),0)</f>
        <v/>
      </c>
      <c r="BE4555">
        <f>IF('01_Вводные'!$B$234="Да",IF(OR(('19_Расчет_аналитики'!BE4471-'19_Расчет_аналитики'!BE4499)=0,16&lt;='01_Вводные'!$B$297),0,('19_Расчет_аналитики'!BE4471-'19_Расчет_аналитики'!BE4499)*IF('01_Вводные'!$B$239="Да",MeanMinAge16+'19_Расчет_аналитики'!BE4608*SUMIF(ThresholdAge16,"&lt;"&amp;'19_Расчет_аналитики'!BE4608,WeightedRevAge16)-SUMIF(ThresholdAge16,"&lt;"&amp;'19_Расчет_аналитики'!BE4608,WeightedMinAge16),MAX(CapacityAge16*'01_Вводные'!$B$218*'19_Расчет_аналитики'!BE4608,MeanMinAge16))),0)</f>
        <v/>
      </c>
      <c r="BF4555">
        <f>IF('01_Вводные'!$B$234="Да",IF(OR(('19_Расчет_аналитики'!BF4471-'19_Расчет_аналитики'!BF4499)=0,16&lt;='01_Вводные'!$B$297),0,('19_Расчет_аналитики'!BF4471-'19_Расчет_аналитики'!BF4499)*IF('01_Вводные'!$B$239="Да",MeanMinAge16+'19_Расчет_аналитики'!BF4608*SUMIF(ThresholdAge16,"&lt;"&amp;'19_Расчет_аналитики'!BF4608,WeightedRevAge16)-SUMIF(ThresholdAge16,"&lt;"&amp;'19_Расчет_аналитики'!BF4608,WeightedMinAge16),MAX(CapacityAge16*'01_Вводные'!$B$218*'19_Расчет_аналитики'!BF4608,MeanMinAge16))),0)</f>
        <v/>
      </c>
      <c r="BG4555">
        <f>IF('01_Вводные'!$B$234="Да",IF(OR(('19_Расчет_аналитики'!BG4471-'19_Расчет_аналитики'!BG4499)=0,16&lt;='01_Вводные'!$B$297),0,('19_Расчет_аналитики'!BG4471-'19_Расчет_аналитики'!BG4499)*IF('01_Вводные'!$B$239="Да",MeanMinAge16+'19_Расчет_аналитики'!BG4608*SUMIF(ThresholdAge16,"&lt;"&amp;'19_Расчет_аналитики'!BG4608,WeightedRevAge16)-SUMIF(ThresholdAge16,"&lt;"&amp;'19_Расчет_аналитики'!BG4608,WeightedMinAge16),MAX(CapacityAge16*'01_Вводные'!$B$218*'19_Расчет_аналитики'!BG4608,MeanMinAge16))),0)</f>
        <v/>
      </c>
      <c r="BH4555">
        <f>IF('01_Вводные'!$B$234="Да",IF(OR(('19_Расчет_аналитики'!BH4471-'19_Расчет_аналитики'!BH4499)=0,16&lt;='01_Вводные'!$B$297),0,('19_Расчет_аналитики'!BH4471-'19_Расчет_аналитики'!BH4499)*IF('01_Вводные'!$B$239="Да",MeanMinAge16+'19_Расчет_аналитики'!BH4608*SUMIF(ThresholdAge16,"&lt;"&amp;'19_Расчет_аналитики'!BH4608,WeightedRevAge16)-SUMIF(ThresholdAge16,"&lt;"&amp;'19_Расчет_аналитики'!BH4608,WeightedMinAge16),MAX(CapacityAge16*'01_Вводные'!$B$218*'19_Расчет_аналитики'!BH4608,MeanMinAge16))),0)</f>
        <v/>
      </c>
      <c r="BI4555">
        <f>IF('01_Вводные'!$B$234="Да",IF(OR(('19_Расчет_аналитики'!BI4471-'19_Расчет_аналитики'!BI4499)=0,16&lt;='01_Вводные'!$B$297),0,('19_Расчет_аналитики'!BI4471-'19_Расчет_аналитики'!BI4499)*IF('01_Вводные'!$B$239="Да",MeanMinAge16+'19_Расчет_аналитики'!BI4608*SUMIF(ThresholdAge16,"&lt;"&amp;'19_Расчет_аналитики'!BI4608,WeightedRevAge16)-SUMIF(ThresholdAge16,"&lt;"&amp;'19_Расчет_аналитики'!BI4608,WeightedMinAge16),MAX(CapacityAge16*'01_Вводные'!$B$218*'19_Расчет_аналитики'!BI4608,MeanMinAge16))),0)</f>
        <v/>
      </c>
      <c r="BJ4555">
        <f>IF('01_Вводные'!$B$234="Да",IF(OR(('19_Расчет_аналитики'!BJ4471-'19_Расчет_аналитики'!BJ4499)=0,16&lt;='01_Вводные'!$B$297),0,('19_Расчет_аналитики'!BJ4471-'19_Расчет_аналитики'!BJ4499)*IF('01_Вводные'!$B$239="Да",MeanMinAge16+'19_Расчет_аналитики'!BJ4608*SUMIF(ThresholdAge16,"&lt;"&amp;'19_Расчет_аналитики'!BJ4608,WeightedRevAge16)-SUMIF(ThresholdAge16,"&lt;"&amp;'19_Расчет_аналитики'!BJ4608,WeightedMinAge16),MAX(CapacityAge16*'01_Вводные'!$B$218*'19_Расчет_аналитики'!BJ4608,MeanMinAge16))),0)</f>
        <v/>
      </c>
      <c r="BK4555">
        <f>IF('01_Вводные'!$B$234="Да",IF(OR(('19_Расчет_аналитики'!BK4471-'19_Расчет_аналитики'!BK4499)=0,16&lt;='01_Вводные'!$B$297),0,('19_Расчет_аналитики'!BK4471-'19_Расчет_аналитики'!BK4499)*IF('01_Вводные'!$B$239="Да",MeanMinAge16+'19_Расчет_аналитики'!BK4608*SUMIF(ThresholdAge16,"&lt;"&amp;'19_Расчет_аналитики'!BK4608,WeightedRevAge16)-SUMIF(ThresholdAge16,"&lt;"&amp;'19_Расчет_аналитики'!BK4608,WeightedMinAge16),MAX(CapacityAge16*'01_Вводные'!$B$218*'19_Расчет_аналитики'!BK4608,MeanMinAge16))),0)</f>
        <v/>
      </c>
      <c r="BL4555">
        <f>IF('01_Вводные'!$B$234="Да",IF(OR(('19_Расчет_аналитики'!BL4471-'19_Расчет_аналитики'!BL4499)=0,16&lt;='01_Вводные'!$B$297),0,('19_Расчет_аналитики'!BL4471-'19_Расчет_аналитики'!BL4499)*IF('01_Вводные'!$B$239="Да",MeanMinAge16+'19_Расчет_аналитики'!BL4608*SUMIF(ThresholdAge16,"&lt;"&amp;'19_Расчет_аналитики'!BL4608,WeightedRevAge16)-SUMIF(ThresholdAge16,"&lt;"&amp;'19_Расчет_аналитики'!BL4608,WeightedMinAge16),MAX(CapacityAge16*'01_Вводные'!$B$218*'19_Расчет_аналитики'!BL4608,MeanMinAge16))),0)</f>
        <v/>
      </c>
      <c r="BM4555">
        <f>IF('01_Вводные'!$B$234="Да",IF(OR(('19_Расчет_аналитики'!BM4471-'19_Расчет_аналитики'!BM4499)=0,16&lt;='01_Вводные'!$B$297),0,('19_Расчет_аналитики'!BM4471-'19_Расчет_аналитики'!BM4499)*IF('01_Вводные'!$B$239="Да",MeanMinAge16+'19_Расчет_аналитики'!BM4608*SUMIF(ThresholdAge16,"&lt;"&amp;'19_Расчет_аналитики'!BM4608,WeightedRevAge16)-SUMIF(ThresholdAge16,"&lt;"&amp;'19_Расчет_аналитики'!BM4608,WeightedMinAge16),MAX(CapacityAge16*'01_Вводные'!$B$218*'19_Расчет_аналитики'!BM4608,MeanMinAge16))),0)</f>
        <v/>
      </c>
      <c r="BN4555">
        <f>IF('01_Вводные'!$B$234="Да",IF(OR(('19_Расчет_аналитики'!BN4471-'19_Расчет_аналитики'!BN4499)=0,16&lt;='01_Вводные'!$B$297),0,('19_Расчет_аналитики'!BN4471-'19_Расчет_аналитики'!BN4499)*IF('01_Вводные'!$B$239="Да",MeanMinAge16+'19_Расчет_аналитики'!BN4608*SUMIF(ThresholdAge16,"&lt;"&amp;'19_Расчет_аналитики'!BN4608,WeightedRevAge16)-SUMIF(ThresholdAge16,"&lt;"&amp;'19_Расчет_аналитики'!BN4608,WeightedMinAge16),MAX(CapacityAge16*'01_Вводные'!$B$218*'19_Расчет_аналитики'!BN4608,MeanMinAge16))),0)</f>
        <v/>
      </c>
      <c r="BO4555">
        <f>IF('01_Вводные'!$B$234="Да",IF(OR(('19_Расчет_аналитики'!BO4471-'19_Расчет_аналитики'!BO4499)=0,16&lt;='01_Вводные'!$B$297),0,('19_Расчет_аналитики'!BO4471-'19_Расчет_аналитики'!BO4499)*IF('01_Вводные'!$B$239="Да",MeanMinAge16+'19_Расчет_аналитики'!BO4608*SUMIF(ThresholdAge16,"&lt;"&amp;'19_Расчет_аналитики'!BO4608,WeightedRevAge16)-SUMIF(ThresholdAge16,"&lt;"&amp;'19_Расчет_аналитики'!BO4608,WeightedMinAge16),MAX(CapacityAge16*'01_Вводные'!$B$218*'19_Расчет_аналитики'!BO4608,MeanMinAge16))),0)</f>
        <v/>
      </c>
    </row>
    <row r="4556">
      <c r="B4556">
        <f>IF('01_Вводные'!$B$234="Да",IF(OR(('06_Сеть_и_дети'!B69-'06_Сеть_и_дети'!B97)=0,17&lt;='01_Вводные'!$B$297),0,('06_Сеть_и_дети'!B69-'06_Сеть_и_дети'!B97)*IF('01_Вводные'!$B$239="Да",MeanMinAge17+'19_Расчет_аналитики'!B4608*SUMIF(ThresholdAge17,"&lt;"&amp;'19_Расчет_аналитики'!B4608,WeightedRevAge17)-SUMIF(ThresholdAge17,"&lt;"&amp;'19_Расчет_аналитики'!B4608,WeightedMinAge17),MAX(CapacityAge17*'01_Вводные'!$B$218*'19_Расчет_аналитики'!B4608,MeanMinAge17))),0)</f>
        <v/>
      </c>
      <c r="C4556">
        <f>IF('01_Вводные'!$B$234="Да",IF(OR(('06_Сеть_и_дети'!C69-'06_Сеть_и_дети'!C97)=0,17&lt;='01_Вводные'!$B$297),0,('06_Сеть_и_дети'!C69-'06_Сеть_и_дети'!C97)*IF('01_Вводные'!$B$239="Да",MeanMinAge17+'19_Расчет_аналитики'!C4608*SUMIF(ThresholdAge17,"&lt;"&amp;'19_Расчет_аналитики'!C4608,WeightedRevAge17)-SUMIF(ThresholdAge17,"&lt;"&amp;'19_Расчет_аналитики'!C4608,WeightedMinAge17),MAX(CapacityAge17*'01_Вводные'!$B$218*'19_Расчет_аналитики'!C4608,MeanMinAge17))),0)</f>
        <v/>
      </c>
      <c r="D4556">
        <f>IF('01_Вводные'!$B$234="Да",IF(OR(('06_Сеть_и_дети'!D69-'06_Сеть_и_дети'!D97)=0,17&lt;='01_Вводные'!$B$297),0,('06_Сеть_и_дети'!D69-'06_Сеть_и_дети'!D97)*IF('01_Вводные'!$B$239="Да",MeanMinAge17+'19_Расчет_аналитики'!D4608*SUMIF(ThresholdAge17,"&lt;"&amp;'19_Расчет_аналитики'!D4608,WeightedRevAge17)-SUMIF(ThresholdAge17,"&lt;"&amp;'19_Расчет_аналитики'!D4608,WeightedMinAge17),MAX(CapacityAge17*'01_Вводные'!$B$218*'19_Расчет_аналитики'!D4608,MeanMinAge17))),0)</f>
        <v/>
      </c>
      <c r="E4556">
        <f>IF('01_Вводные'!$B$234="Да",IF(OR(('06_Сеть_и_дети'!E69-'06_Сеть_и_дети'!E97)=0,17&lt;='01_Вводные'!$B$297),0,('06_Сеть_и_дети'!E69-'06_Сеть_и_дети'!E97)*IF('01_Вводные'!$B$239="Да",MeanMinAge17+'19_Расчет_аналитики'!E4608*SUMIF(ThresholdAge17,"&lt;"&amp;'19_Расчет_аналитики'!E4608,WeightedRevAge17)-SUMIF(ThresholdAge17,"&lt;"&amp;'19_Расчет_аналитики'!E4608,WeightedMinAge17),MAX(CapacityAge17*'01_Вводные'!$B$218*'19_Расчет_аналитики'!E4608,MeanMinAge17))),0)</f>
        <v/>
      </c>
      <c r="F4556">
        <f>IF('01_Вводные'!$B$234="Да",IF(OR(('06_Сеть_и_дети'!F69-'06_Сеть_и_дети'!F97)=0,17&lt;='01_Вводные'!$B$297),0,('06_Сеть_и_дети'!F69-'06_Сеть_и_дети'!F97)*IF('01_Вводные'!$B$239="Да",MeanMinAge17+'19_Расчет_аналитики'!F4608*SUMIF(ThresholdAge17,"&lt;"&amp;'19_Расчет_аналитики'!F4608,WeightedRevAge17)-SUMIF(ThresholdAge17,"&lt;"&amp;'19_Расчет_аналитики'!F4608,WeightedMinAge17),MAX(CapacityAge17*'01_Вводные'!$B$218*'19_Расчет_аналитики'!F4608,MeanMinAge17))),0)</f>
        <v/>
      </c>
      <c r="G4556">
        <f>IF('01_Вводные'!$B$234="Да",IF(OR(('06_Сеть_и_дети'!G69-'06_Сеть_и_дети'!G97)=0,17&lt;='01_Вводные'!$B$297),0,('06_Сеть_и_дети'!G69-'06_Сеть_и_дети'!G97)*IF('01_Вводные'!$B$239="Да",MeanMinAge17+'19_Расчет_аналитики'!G4608*SUMIF(ThresholdAge17,"&lt;"&amp;'19_Расчет_аналитики'!G4608,WeightedRevAge17)-SUMIF(ThresholdAge17,"&lt;"&amp;'19_Расчет_аналитики'!G4608,WeightedMinAge17),MAX(CapacityAge17*'01_Вводные'!$B$218*'19_Расчет_аналитики'!G4608,MeanMinAge17))),0)</f>
        <v/>
      </c>
      <c r="H4556">
        <f>IF('01_Вводные'!$B$234="Да",IF(OR(('06_Сеть_и_дети'!H69-'06_Сеть_и_дети'!H97)=0,17&lt;='01_Вводные'!$B$297),0,('06_Сеть_и_дети'!H69-'06_Сеть_и_дети'!H97)*IF('01_Вводные'!$B$239="Да",MeanMinAge17+'19_Расчет_аналитики'!H4608*SUMIF(ThresholdAge17,"&lt;"&amp;'19_Расчет_аналитики'!H4608,WeightedRevAge17)-SUMIF(ThresholdAge17,"&lt;"&amp;'19_Расчет_аналитики'!H4608,WeightedMinAge17),MAX(CapacityAge17*'01_Вводные'!$B$218*'19_Расчет_аналитики'!H4608,MeanMinAge17))),0)</f>
        <v/>
      </c>
      <c r="I4556">
        <f>IF('01_Вводные'!$B$234="Да",IF(OR(('06_Сеть_и_дети'!I69-'06_Сеть_и_дети'!I97)=0,17&lt;='01_Вводные'!$B$297),0,('06_Сеть_и_дети'!I69-'06_Сеть_и_дети'!I97)*IF('01_Вводные'!$B$239="Да",MeanMinAge17+'19_Расчет_аналитики'!I4608*SUMIF(ThresholdAge17,"&lt;"&amp;'19_Расчет_аналитики'!I4608,WeightedRevAge17)-SUMIF(ThresholdAge17,"&lt;"&amp;'19_Расчет_аналитики'!I4608,WeightedMinAge17),MAX(CapacityAge17*'01_Вводные'!$B$218*'19_Расчет_аналитики'!I4608,MeanMinAge17))),0)</f>
        <v/>
      </c>
      <c r="J4556">
        <f>IF('01_Вводные'!$B$234="Да",IF(OR(('06_Сеть_и_дети'!J69-'06_Сеть_и_дети'!J97)=0,17&lt;='01_Вводные'!$B$297),0,('06_Сеть_и_дети'!J69-'06_Сеть_и_дети'!J97)*IF('01_Вводные'!$B$239="Да",MeanMinAge17+'19_Расчет_аналитики'!J4608*SUMIF(ThresholdAge17,"&lt;"&amp;'19_Расчет_аналитики'!J4608,WeightedRevAge17)-SUMIF(ThresholdAge17,"&lt;"&amp;'19_Расчет_аналитики'!J4608,WeightedMinAge17),MAX(CapacityAge17*'01_Вводные'!$B$218*'19_Расчет_аналитики'!J4608,MeanMinAge17))),0)</f>
        <v/>
      </c>
      <c r="K4556">
        <f>IF('01_Вводные'!$B$234="Да",IF(OR(('06_Сеть_и_дети'!K69-'06_Сеть_и_дети'!K97)=0,17&lt;='01_Вводные'!$B$297),0,('06_Сеть_и_дети'!K69-'06_Сеть_и_дети'!K97)*IF('01_Вводные'!$B$239="Да",MeanMinAge17+'19_Расчет_аналитики'!K4608*SUMIF(ThresholdAge17,"&lt;"&amp;'19_Расчет_аналитики'!K4608,WeightedRevAge17)-SUMIF(ThresholdAge17,"&lt;"&amp;'19_Расчет_аналитики'!K4608,WeightedMinAge17),MAX(CapacityAge17*'01_Вводные'!$B$218*'19_Расчет_аналитики'!K4608,MeanMinAge17))),0)</f>
        <v/>
      </c>
      <c r="L4556">
        <f>IF('01_Вводные'!$B$234="Да",IF(OR(('06_Сеть_и_дети'!L69-'06_Сеть_и_дети'!L97)=0,17&lt;='01_Вводные'!$B$297),0,('06_Сеть_и_дети'!L69-'06_Сеть_и_дети'!L97)*IF('01_Вводные'!$B$239="Да",MeanMinAge17+'19_Расчет_аналитики'!L4608*SUMIF(ThresholdAge17,"&lt;"&amp;'19_Расчет_аналитики'!L4608,WeightedRevAge17)-SUMIF(ThresholdAge17,"&lt;"&amp;'19_Расчет_аналитики'!L4608,WeightedMinAge17),MAX(CapacityAge17*'01_Вводные'!$B$218*'19_Расчет_аналитики'!L4608,MeanMinAge17))),0)</f>
        <v/>
      </c>
      <c r="M4556">
        <f>IF('01_Вводные'!$B$234="Да",IF(OR(('06_Сеть_и_дети'!M69-'06_Сеть_и_дети'!M97)=0,17&lt;='01_Вводные'!$B$297),0,('06_Сеть_и_дети'!M69-'06_Сеть_и_дети'!M97)*IF('01_Вводные'!$B$239="Да",MeanMinAge17+'19_Расчет_аналитики'!M4608*SUMIF(ThresholdAge17,"&lt;"&amp;'19_Расчет_аналитики'!M4608,WeightedRevAge17)-SUMIF(ThresholdAge17,"&lt;"&amp;'19_Расчет_аналитики'!M4608,WeightedMinAge17),MAX(CapacityAge17*'01_Вводные'!$B$218*'19_Расчет_аналитики'!M4608,MeanMinAge17))),0)</f>
        <v/>
      </c>
      <c r="N4556">
        <f>IF('01_Вводные'!$B$234="Да",IF(OR(('06_Сеть_и_дети'!N69-'06_Сеть_и_дети'!N97)=0,17&lt;='01_Вводные'!$B$297),0,('06_Сеть_и_дети'!N69-'06_Сеть_и_дети'!N97)*IF('01_Вводные'!$B$239="Да",MeanMinAge17+'19_Расчет_аналитики'!N4608*SUMIF(ThresholdAge17,"&lt;"&amp;'19_Расчет_аналитики'!N4608,WeightedRevAge17)-SUMIF(ThresholdAge17,"&lt;"&amp;'19_Расчет_аналитики'!N4608,WeightedMinAge17),MAX(CapacityAge17*'01_Вводные'!$B$218*'19_Расчет_аналитики'!N4608,MeanMinAge17))),0)</f>
        <v/>
      </c>
      <c r="O4556">
        <f>IF('01_Вводные'!$B$234="Да",IF(OR(('06_Сеть_и_дети'!O69-'06_Сеть_и_дети'!O97)=0,17&lt;='01_Вводные'!$B$297),0,('06_Сеть_и_дети'!O69-'06_Сеть_и_дети'!O97)*IF('01_Вводные'!$B$239="Да",MeanMinAge17+'19_Расчет_аналитики'!O4608*SUMIF(ThresholdAge17,"&lt;"&amp;'19_Расчет_аналитики'!O4608,WeightedRevAge17)-SUMIF(ThresholdAge17,"&lt;"&amp;'19_Расчет_аналитики'!O4608,WeightedMinAge17),MAX(CapacityAge17*'01_Вводные'!$B$218*'19_Расчет_аналитики'!O4608,MeanMinAge17))),0)</f>
        <v/>
      </c>
      <c r="P4556">
        <f>IF('01_Вводные'!$B$234="Да",IF(OR(('06_Сеть_и_дети'!P69-'06_Сеть_и_дети'!P97)=0,17&lt;='01_Вводные'!$B$297),0,('06_Сеть_и_дети'!P69-'06_Сеть_и_дети'!P97)*IF('01_Вводные'!$B$239="Да",MeanMinAge17+'19_Расчет_аналитики'!P4608*SUMIF(ThresholdAge17,"&lt;"&amp;'19_Расчет_аналитики'!P4608,WeightedRevAge17)-SUMIF(ThresholdAge17,"&lt;"&amp;'19_Расчет_аналитики'!P4608,WeightedMinAge17),MAX(CapacityAge17*'01_Вводные'!$B$218*'19_Расчет_аналитики'!P4608,MeanMinAge17))),0)</f>
        <v/>
      </c>
      <c r="Q4556">
        <f>IF('01_Вводные'!$B$234="Да",IF(OR(('06_Сеть_и_дети'!Q69-'06_Сеть_и_дети'!Q97)=0,17&lt;='01_Вводные'!$B$297),0,('06_Сеть_и_дети'!Q69-'06_Сеть_и_дети'!Q97)*IF('01_Вводные'!$B$239="Да",MeanMinAge17+'19_Расчет_аналитики'!Q4608*SUMIF(ThresholdAge17,"&lt;"&amp;'19_Расчет_аналитики'!Q4608,WeightedRevAge17)-SUMIF(ThresholdAge17,"&lt;"&amp;'19_Расчет_аналитики'!Q4608,WeightedMinAge17),MAX(CapacityAge17*'01_Вводные'!$B$218*'19_Расчет_аналитики'!Q4608,MeanMinAge17))),0)</f>
        <v/>
      </c>
      <c r="R4556">
        <f>IF('01_Вводные'!$B$234="Да",IF(OR(('19_Расчет_аналитики'!R4472-'19_Расчет_аналитики'!R4500)=0,17&lt;='01_Вводные'!$B$297),0,('19_Расчет_аналитики'!R4472-'19_Расчет_аналитики'!R4500)*IF('01_Вводные'!$B$239="Да",MeanMinAge17+'19_Расчет_аналитики'!R4608*SUMIF(ThresholdAge17,"&lt;"&amp;'19_Расчет_аналитики'!R4608,WeightedRevAge17)-SUMIF(ThresholdAge17,"&lt;"&amp;'19_Расчет_аналитики'!R4608,WeightedMinAge17),MAX(CapacityAge17*'01_Вводные'!$B$218*'19_Расчет_аналитики'!R4608,MeanMinAge17))),0)</f>
        <v/>
      </c>
      <c r="S4556">
        <f>IF('01_Вводные'!$B$234="Да",IF(OR(('19_Расчет_аналитики'!S4472-'19_Расчет_аналитики'!S4500)=0,17&lt;='01_Вводные'!$B$297),0,('19_Расчет_аналитики'!S4472-'19_Расчет_аналитики'!S4500)*IF('01_Вводные'!$B$239="Да",MeanMinAge17+'19_Расчет_аналитики'!S4608*SUMIF(ThresholdAge17,"&lt;"&amp;'19_Расчет_аналитики'!S4608,WeightedRevAge17)-SUMIF(ThresholdAge17,"&lt;"&amp;'19_Расчет_аналитики'!S4608,WeightedMinAge17),MAX(CapacityAge17*'01_Вводные'!$B$218*'19_Расчет_аналитики'!S4608,MeanMinAge17))),0)</f>
        <v/>
      </c>
      <c r="T4556">
        <f>IF('01_Вводные'!$B$234="Да",IF(OR(('19_Расчет_аналитики'!T4472-'19_Расчет_аналитики'!T4500)=0,17&lt;='01_Вводные'!$B$297),0,('19_Расчет_аналитики'!T4472-'19_Расчет_аналитики'!T4500)*IF('01_Вводные'!$B$239="Да",MeanMinAge17+'19_Расчет_аналитики'!T4608*SUMIF(ThresholdAge17,"&lt;"&amp;'19_Расчет_аналитики'!T4608,WeightedRevAge17)-SUMIF(ThresholdAge17,"&lt;"&amp;'19_Расчет_аналитики'!T4608,WeightedMinAge17),MAX(CapacityAge17*'01_Вводные'!$B$218*'19_Расчет_аналитики'!T4608,MeanMinAge17))),0)</f>
        <v/>
      </c>
      <c r="U4556">
        <f>IF('01_Вводные'!$B$234="Да",IF(OR(('19_Расчет_аналитики'!U4472-'19_Расчет_аналитики'!U4500)=0,17&lt;='01_Вводные'!$B$297),0,('19_Расчет_аналитики'!U4472-'19_Расчет_аналитики'!U4500)*IF('01_Вводные'!$B$239="Да",MeanMinAge17+'19_Расчет_аналитики'!U4608*SUMIF(ThresholdAge17,"&lt;"&amp;'19_Расчет_аналитики'!U4608,WeightedRevAge17)-SUMIF(ThresholdAge17,"&lt;"&amp;'19_Расчет_аналитики'!U4608,WeightedMinAge17),MAX(CapacityAge17*'01_Вводные'!$B$218*'19_Расчет_аналитики'!U4608,MeanMinAge17))),0)</f>
        <v/>
      </c>
      <c r="V4556">
        <f>IF('01_Вводные'!$B$234="Да",IF(OR(('19_Расчет_аналитики'!V4472-'19_Расчет_аналитики'!V4500)=0,17&lt;='01_Вводные'!$B$297),0,('19_Расчет_аналитики'!V4472-'19_Расчет_аналитики'!V4500)*IF('01_Вводные'!$B$239="Да",MeanMinAge17+'19_Расчет_аналитики'!V4608*SUMIF(ThresholdAge17,"&lt;"&amp;'19_Расчет_аналитики'!V4608,WeightedRevAge17)-SUMIF(ThresholdAge17,"&lt;"&amp;'19_Расчет_аналитики'!V4608,WeightedMinAge17),MAX(CapacityAge17*'01_Вводные'!$B$218*'19_Расчет_аналитики'!V4608,MeanMinAge17))),0)</f>
        <v/>
      </c>
      <c r="W4556">
        <f>IF('01_Вводные'!$B$234="Да",IF(OR(('19_Расчет_аналитики'!W4472-'19_Расчет_аналитики'!W4500)=0,17&lt;='01_Вводные'!$B$297),0,('19_Расчет_аналитики'!W4472-'19_Расчет_аналитики'!W4500)*IF('01_Вводные'!$B$239="Да",MeanMinAge17+'19_Расчет_аналитики'!W4608*SUMIF(ThresholdAge17,"&lt;"&amp;'19_Расчет_аналитики'!W4608,WeightedRevAge17)-SUMIF(ThresholdAge17,"&lt;"&amp;'19_Расчет_аналитики'!W4608,WeightedMinAge17),MAX(CapacityAge17*'01_Вводные'!$B$218*'19_Расчет_аналитики'!W4608,MeanMinAge17))),0)</f>
        <v/>
      </c>
      <c r="X4556">
        <f>IF('01_Вводные'!$B$234="Да",IF(OR(('19_Расчет_аналитики'!X4472-'19_Расчет_аналитики'!X4500)=0,17&lt;='01_Вводные'!$B$297),0,('19_Расчет_аналитики'!X4472-'19_Расчет_аналитики'!X4500)*IF('01_Вводные'!$B$239="Да",MeanMinAge17+'19_Расчет_аналитики'!X4608*SUMIF(ThresholdAge17,"&lt;"&amp;'19_Расчет_аналитики'!X4608,WeightedRevAge17)-SUMIF(ThresholdAge17,"&lt;"&amp;'19_Расчет_аналитики'!X4608,WeightedMinAge17),MAX(CapacityAge17*'01_Вводные'!$B$218*'19_Расчет_аналитики'!X4608,MeanMinAge17))),0)</f>
        <v/>
      </c>
      <c r="Y4556">
        <f>IF('01_Вводные'!$B$234="Да",IF(OR(('19_Расчет_аналитики'!Y4472-'19_Расчет_аналитики'!Y4500)=0,17&lt;='01_Вводные'!$B$297),0,('19_Расчет_аналитики'!Y4472-'19_Расчет_аналитики'!Y4500)*IF('01_Вводные'!$B$239="Да",MeanMinAge17+'19_Расчет_аналитики'!Y4608*SUMIF(ThresholdAge17,"&lt;"&amp;'19_Расчет_аналитики'!Y4608,WeightedRevAge17)-SUMIF(ThresholdAge17,"&lt;"&amp;'19_Расчет_аналитики'!Y4608,WeightedMinAge17),MAX(CapacityAge17*'01_Вводные'!$B$218*'19_Расчет_аналитики'!Y4608,MeanMinAge17))),0)</f>
        <v/>
      </c>
      <c r="Z4556">
        <f>IF('01_Вводные'!$B$234="Да",IF(OR(('19_Расчет_аналитики'!Z4472-'19_Расчет_аналитики'!Z4500)=0,17&lt;='01_Вводные'!$B$297),0,('19_Расчет_аналитики'!Z4472-'19_Расчет_аналитики'!Z4500)*IF('01_Вводные'!$B$239="Да",MeanMinAge17+'19_Расчет_аналитики'!Z4608*SUMIF(ThresholdAge17,"&lt;"&amp;'19_Расчет_аналитики'!Z4608,WeightedRevAge17)-SUMIF(ThresholdAge17,"&lt;"&amp;'19_Расчет_аналитики'!Z4608,WeightedMinAge17),MAX(CapacityAge17*'01_Вводные'!$B$218*'19_Расчет_аналитики'!Z4608,MeanMinAge17))),0)</f>
        <v/>
      </c>
      <c r="AA4556">
        <f>IF('01_Вводные'!$B$234="Да",IF(OR(('19_Расчет_аналитики'!AA4472-'19_Расчет_аналитики'!AA4500)=0,17&lt;='01_Вводные'!$B$297),0,('19_Расчет_аналитики'!AA4472-'19_Расчет_аналитики'!AA4500)*IF('01_Вводные'!$B$239="Да",MeanMinAge17+'19_Расчет_аналитики'!AA4608*SUMIF(ThresholdAge17,"&lt;"&amp;'19_Расчет_аналитики'!AA4608,WeightedRevAge17)-SUMIF(ThresholdAge17,"&lt;"&amp;'19_Расчет_аналитики'!AA4608,WeightedMinAge17),MAX(CapacityAge17*'01_Вводные'!$B$218*'19_Расчет_аналитики'!AA4608,MeanMinAge17))),0)</f>
        <v/>
      </c>
      <c r="AB4556">
        <f>IF('01_Вводные'!$B$234="Да",IF(OR(('19_Расчет_аналитики'!AB4472-'19_Расчет_аналитики'!AB4500)=0,17&lt;='01_Вводные'!$B$297),0,('19_Расчет_аналитики'!AB4472-'19_Расчет_аналитики'!AB4500)*IF('01_Вводные'!$B$239="Да",MeanMinAge17+'19_Расчет_аналитики'!AB4608*SUMIF(ThresholdAge17,"&lt;"&amp;'19_Расчет_аналитики'!AB4608,WeightedRevAge17)-SUMIF(ThresholdAge17,"&lt;"&amp;'19_Расчет_аналитики'!AB4608,WeightedMinAge17),MAX(CapacityAge17*'01_Вводные'!$B$218*'19_Расчет_аналитики'!AB4608,MeanMinAge17))),0)</f>
        <v/>
      </c>
      <c r="AC4556">
        <f>IF('01_Вводные'!$B$234="Да",IF(OR(('19_Расчет_аналитики'!AC4472-'19_Расчет_аналитики'!AC4500)=0,17&lt;='01_Вводные'!$B$297),0,('19_Расчет_аналитики'!AC4472-'19_Расчет_аналитики'!AC4500)*IF('01_Вводные'!$B$239="Да",MeanMinAge17+'19_Расчет_аналитики'!AC4608*SUMIF(ThresholdAge17,"&lt;"&amp;'19_Расчет_аналитики'!AC4608,WeightedRevAge17)-SUMIF(ThresholdAge17,"&lt;"&amp;'19_Расчет_аналитики'!AC4608,WeightedMinAge17),MAX(CapacityAge17*'01_Вводные'!$B$218*'19_Расчет_аналитики'!AC4608,MeanMinAge17))),0)</f>
        <v/>
      </c>
      <c r="AD4556">
        <f>IF('01_Вводные'!$B$234="Да",IF(OR(('19_Расчет_аналитики'!AD4472-'19_Расчет_аналитики'!AD4500)=0,17&lt;='01_Вводные'!$B$297),0,('19_Расчет_аналитики'!AD4472-'19_Расчет_аналитики'!AD4500)*IF('01_Вводные'!$B$239="Да",MeanMinAge17+'19_Расчет_аналитики'!AD4608*SUMIF(ThresholdAge17,"&lt;"&amp;'19_Расчет_аналитики'!AD4608,WeightedRevAge17)-SUMIF(ThresholdAge17,"&lt;"&amp;'19_Расчет_аналитики'!AD4608,WeightedMinAge17),MAX(CapacityAge17*'01_Вводные'!$B$218*'19_Расчет_аналитики'!AD4608,MeanMinAge17))),0)</f>
        <v/>
      </c>
      <c r="AE4556">
        <f>IF('01_Вводные'!$B$234="Да",IF(OR(('19_Расчет_аналитики'!AE4472-'19_Расчет_аналитики'!AE4500)=0,17&lt;='01_Вводные'!$B$297),0,('19_Расчет_аналитики'!AE4472-'19_Расчет_аналитики'!AE4500)*IF('01_Вводные'!$B$239="Да",MeanMinAge17+'19_Расчет_аналитики'!AE4608*SUMIF(ThresholdAge17,"&lt;"&amp;'19_Расчет_аналитики'!AE4608,WeightedRevAge17)-SUMIF(ThresholdAge17,"&lt;"&amp;'19_Расчет_аналитики'!AE4608,WeightedMinAge17),MAX(CapacityAge17*'01_Вводные'!$B$218*'19_Расчет_аналитики'!AE4608,MeanMinAge17))),0)</f>
        <v/>
      </c>
      <c r="AF4556">
        <f>IF('01_Вводные'!$B$234="Да",IF(OR(('19_Расчет_аналитики'!AF4472-'19_Расчет_аналитики'!AF4500)=0,17&lt;='01_Вводные'!$B$297),0,('19_Расчет_аналитики'!AF4472-'19_Расчет_аналитики'!AF4500)*IF('01_Вводные'!$B$239="Да",MeanMinAge17+'19_Расчет_аналитики'!AF4608*SUMIF(ThresholdAge17,"&lt;"&amp;'19_Расчет_аналитики'!AF4608,WeightedRevAge17)-SUMIF(ThresholdAge17,"&lt;"&amp;'19_Расчет_аналитики'!AF4608,WeightedMinAge17),MAX(CapacityAge17*'01_Вводные'!$B$218*'19_Расчет_аналитики'!AF4608,MeanMinAge17))),0)</f>
        <v/>
      </c>
      <c r="AG4556">
        <f>IF('01_Вводные'!$B$234="Да",IF(OR(('19_Расчет_аналитики'!AG4472-'19_Расчет_аналитики'!AG4500)=0,17&lt;='01_Вводные'!$B$297),0,('19_Расчет_аналитики'!AG4472-'19_Расчет_аналитики'!AG4500)*IF('01_Вводные'!$B$239="Да",MeanMinAge17+'19_Расчет_аналитики'!AG4608*SUMIF(ThresholdAge17,"&lt;"&amp;'19_Расчет_аналитики'!AG4608,WeightedRevAge17)-SUMIF(ThresholdAge17,"&lt;"&amp;'19_Расчет_аналитики'!AG4608,WeightedMinAge17),MAX(CapacityAge17*'01_Вводные'!$B$218*'19_Расчет_аналитики'!AG4608,MeanMinAge17))),0)</f>
        <v/>
      </c>
      <c r="AH4556">
        <f>IF('01_Вводные'!$B$234="Да",IF(OR(('19_Расчет_аналитики'!AH4472-'19_Расчет_аналитики'!AH4500)=0,17&lt;='01_Вводные'!$B$297),0,('19_Расчет_аналитики'!AH4472-'19_Расчет_аналитики'!AH4500)*IF('01_Вводные'!$B$239="Да",MeanMinAge17+'19_Расчет_аналитики'!AH4608*SUMIF(ThresholdAge17,"&lt;"&amp;'19_Расчет_аналитики'!AH4608,WeightedRevAge17)-SUMIF(ThresholdAge17,"&lt;"&amp;'19_Расчет_аналитики'!AH4608,WeightedMinAge17),MAX(CapacityAge17*'01_Вводные'!$B$218*'19_Расчет_аналитики'!AH4608,MeanMinAge17))),0)</f>
        <v/>
      </c>
      <c r="AI4556">
        <f>IF('01_Вводные'!$B$234="Да",IF(OR(('19_Расчет_аналитики'!AI4472-'19_Расчет_аналитики'!AI4500)=0,17&lt;='01_Вводные'!$B$297),0,('19_Расчет_аналитики'!AI4472-'19_Расчет_аналитики'!AI4500)*IF('01_Вводные'!$B$239="Да",MeanMinAge17+'19_Расчет_аналитики'!AI4608*SUMIF(ThresholdAge17,"&lt;"&amp;'19_Расчет_аналитики'!AI4608,WeightedRevAge17)-SUMIF(ThresholdAge17,"&lt;"&amp;'19_Расчет_аналитики'!AI4608,WeightedMinAge17),MAX(CapacityAge17*'01_Вводные'!$B$218*'19_Расчет_аналитики'!AI4608,MeanMinAge17))),0)</f>
        <v/>
      </c>
      <c r="AJ4556">
        <f>IF('01_Вводные'!$B$234="Да",IF(OR(('19_Расчет_аналитики'!AJ4472-'19_Расчет_аналитики'!AJ4500)=0,17&lt;='01_Вводные'!$B$297),0,('19_Расчет_аналитики'!AJ4472-'19_Расчет_аналитики'!AJ4500)*IF('01_Вводные'!$B$239="Да",MeanMinAge17+'19_Расчет_аналитики'!AJ4608*SUMIF(ThresholdAge17,"&lt;"&amp;'19_Расчет_аналитики'!AJ4608,WeightedRevAge17)-SUMIF(ThresholdAge17,"&lt;"&amp;'19_Расчет_аналитики'!AJ4608,WeightedMinAge17),MAX(CapacityAge17*'01_Вводные'!$B$218*'19_Расчет_аналитики'!AJ4608,MeanMinAge17))),0)</f>
        <v/>
      </c>
      <c r="AK4556">
        <f>IF('01_Вводные'!$B$234="Да",IF(OR(('19_Расчет_аналитики'!AK4472-'19_Расчет_аналитики'!AK4500)=0,17&lt;='01_Вводные'!$B$297),0,('19_Расчет_аналитики'!AK4472-'19_Расчет_аналитики'!AK4500)*IF('01_Вводные'!$B$239="Да",MeanMinAge17+'19_Расчет_аналитики'!AK4608*SUMIF(ThresholdAge17,"&lt;"&amp;'19_Расчет_аналитики'!AK4608,WeightedRevAge17)-SUMIF(ThresholdAge17,"&lt;"&amp;'19_Расчет_аналитики'!AK4608,WeightedMinAge17),MAX(CapacityAge17*'01_Вводные'!$B$218*'19_Расчет_аналитики'!AK4608,MeanMinAge17))),0)</f>
        <v/>
      </c>
      <c r="AL4556">
        <f>IF('01_Вводные'!$B$234="Да",IF(OR(('19_Расчет_аналитики'!AL4472-'19_Расчет_аналитики'!AL4500)=0,17&lt;='01_Вводные'!$B$297),0,('19_Расчет_аналитики'!AL4472-'19_Расчет_аналитики'!AL4500)*IF('01_Вводные'!$B$239="Да",MeanMinAge17+'19_Расчет_аналитики'!AL4608*SUMIF(ThresholdAge17,"&lt;"&amp;'19_Расчет_аналитики'!AL4608,WeightedRevAge17)-SUMIF(ThresholdAge17,"&lt;"&amp;'19_Расчет_аналитики'!AL4608,WeightedMinAge17),MAX(CapacityAge17*'01_Вводные'!$B$218*'19_Расчет_аналитики'!AL4608,MeanMinAge17))),0)</f>
        <v/>
      </c>
      <c r="AM4556">
        <f>IF('01_Вводные'!$B$234="Да",IF(OR(('19_Расчет_аналитики'!AM4472-'19_Расчет_аналитики'!AM4500)=0,17&lt;='01_Вводные'!$B$297),0,('19_Расчет_аналитики'!AM4472-'19_Расчет_аналитики'!AM4500)*IF('01_Вводные'!$B$239="Да",MeanMinAge17+'19_Расчет_аналитики'!AM4608*SUMIF(ThresholdAge17,"&lt;"&amp;'19_Расчет_аналитики'!AM4608,WeightedRevAge17)-SUMIF(ThresholdAge17,"&lt;"&amp;'19_Расчет_аналитики'!AM4608,WeightedMinAge17),MAX(CapacityAge17*'01_Вводные'!$B$218*'19_Расчет_аналитики'!AM4608,MeanMinAge17))),0)</f>
        <v/>
      </c>
      <c r="AN4556">
        <f>IF('01_Вводные'!$B$234="Да",IF(OR(('19_Расчет_аналитики'!AN4472-'19_Расчет_аналитики'!AN4500)=0,17&lt;='01_Вводные'!$B$297),0,('19_Расчет_аналитики'!AN4472-'19_Расчет_аналитики'!AN4500)*IF('01_Вводные'!$B$239="Да",MeanMinAge17+'19_Расчет_аналитики'!AN4608*SUMIF(ThresholdAge17,"&lt;"&amp;'19_Расчет_аналитики'!AN4608,WeightedRevAge17)-SUMIF(ThresholdAge17,"&lt;"&amp;'19_Расчет_аналитики'!AN4608,WeightedMinAge17),MAX(CapacityAge17*'01_Вводные'!$B$218*'19_Расчет_аналитики'!AN4608,MeanMinAge17))),0)</f>
        <v/>
      </c>
      <c r="AO4556">
        <f>IF('01_Вводные'!$B$234="Да",IF(OR(('19_Расчет_аналитики'!AO4472-'19_Расчет_аналитики'!AO4500)=0,17&lt;='01_Вводные'!$B$297),0,('19_Расчет_аналитики'!AO4472-'19_Расчет_аналитики'!AO4500)*IF('01_Вводные'!$B$239="Да",MeanMinAge17+'19_Расчет_аналитики'!AO4608*SUMIF(ThresholdAge17,"&lt;"&amp;'19_Расчет_аналитики'!AO4608,WeightedRevAge17)-SUMIF(ThresholdAge17,"&lt;"&amp;'19_Расчет_аналитики'!AO4608,WeightedMinAge17),MAX(CapacityAge17*'01_Вводные'!$B$218*'19_Расчет_аналитики'!AO4608,MeanMinAge17))),0)</f>
        <v/>
      </c>
      <c r="AP4556">
        <f>IF('01_Вводные'!$B$234="Да",IF(OR(('19_Расчет_аналитики'!AP4472-'19_Расчет_аналитики'!AP4500)=0,17&lt;='01_Вводные'!$B$297),0,('19_Расчет_аналитики'!AP4472-'19_Расчет_аналитики'!AP4500)*IF('01_Вводные'!$B$239="Да",MeanMinAge17+'19_Расчет_аналитики'!AP4608*SUMIF(ThresholdAge17,"&lt;"&amp;'19_Расчет_аналитики'!AP4608,WeightedRevAge17)-SUMIF(ThresholdAge17,"&lt;"&amp;'19_Расчет_аналитики'!AP4608,WeightedMinAge17),MAX(CapacityAge17*'01_Вводные'!$B$218*'19_Расчет_аналитики'!AP4608,MeanMinAge17))),0)</f>
        <v/>
      </c>
      <c r="AQ4556">
        <f>IF('01_Вводные'!$B$234="Да",IF(OR(('19_Расчет_аналитики'!AQ4472-'19_Расчет_аналитики'!AQ4500)=0,17&lt;='01_Вводные'!$B$297),0,('19_Расчет_аналитики'!AQ4472-'19_Расчет_аналитики'!AQ4500)*IF('01_Вводные'!$B$239="Да",MeanMinAge17+'19_Расчет_аналитики'!AQ4608*SUMIF(ThresholdAge17,"&lt;"&amp;'19_Расчет_аналитики'!AQ4608,WeightedRevAge17)-SUMIF(ThresholdAge17,"&lt;"&amp;'19_Расчет_аналитики'!AQ4608,WeightedMinAge17),MAX(CapacityAge17*'01_Вводные'!$B$218*'19_Расчет_аналитики'!AQ4608,MeanMinAge17))),0)</f>
        <v/>
      </c>
      <c r="AR4556">
        <f>IF('01_Вводные'!$B$234="Да",IF(OR(('19_Расчет_аналитики'!AR4472-'19_Расчет_аналитики'!AR4500)=0,17&lt;='01_Вводные'!$B$297),0,('19_Расчет_аналитики'!AR4472-'19_Расчет_аналитики'!AR4500)*IF('01_Вводные'!$B$239="Да",MeanMinAge17+'19_Расчет_аналитики'!AR4608*SUMIF(ThresholdAge17,"&lt;"&amp;'19_Расчет_аналитики'!AR4608,WeightedRevAge17)-SUMIF(ThresholdAge17,"&lt;"&amp;'19_Расчет_аналитики'!AR4608,WeightedMinAge17),MAX(CapacityAge17*'01_Вводные'!$B$218*'19_Расчет_аналитики'!AR4608,MeanMinAge17))),0)</f>
        <v/>
      </c>
      <c r="AS4556">
        <f>IF('01_Вводные'!$B$234="Да",IF(OR(('19_Расчет_аналитики'!AS4472-'19_Расчет_аналитики'!AS4500)=0,17&lt;='01_Вводные'!$B$297),0,('19_Расчет_аналитики'!AS4472-'19_Расчет_аналитики'!AS4500)*IF('01_Вводные'!$B$239="Да",MeanMinAge17+'19_Расчет_аналитики'!AS4608*SUMIF(ThresholdAge17,"&lt;"&amp;'19_Расчет_аналитики'!AS4608,WeightedRevAge17)-SUMIF(ThresholdAge17,"&lt;"&amp;'19_Расчет_аналитики'!AS4608,WeightedMinAge17),MAX(CapacityAge17*'01_Вводные'!$B$218*'19_Расчет_аналитики'!AS4608,MeanMinAge17))),0)</f>
        <v/>
      </c>
      <c r="AT4556">
        <f>IF('01_Вводные'!$B$234="Да",IF(OR(('19_Расчет_аналитики'!AT4472-'19_Расчет_аналитики'!AT4500)=0,17&lt;='01_Вводные'!$B$297),0,('19_Расчет_аналитики'!AT4472-'19_Расчет_аналитики'!AT4500)*IF('01_Вводные'!$B$239="Да",MeanMinAge17+'19_Расчет_аналитики'!AT4608*SUMIF(ThresholdAge17,"&lt;"&amp;'19_Расчет_аналитики'!AT4608,WeightedRevAge17)-SUMIF(ThresholdAge17,"&lt;"&amp;'19_Расчет_аналитики'!AT4608,WeightedMinAge17),MAX(CapacityAge17*'01_Вводные'!$B$218*'19_Расчет_аналитики'!AT4608,MeanMinAge17))),0)</f>
        <v/>
      </c>
      <c r="AU4556">
        <f>IF('01_Вводные'!$B$234="Да",IF(OR(('19_Расчет_аналитики'!AU4472-'19_Расчет_аналитики'!AU4500)=0,17&lt;='01_Вводные'!$B$297),0,('19_Расчет_аналитики'!AU4472-'19_Расчет_аналитики'!AU4500)*IF('01_Вводные'!$B$239="Да",MeanMinAge17+'19_Расчет_аналитики'!AU4608*SUMIF(ThresholdAge17,"&lt;"&amp;'19_Расчет_аналитики'!AU4608,WeightedRevAge17)-SUMIF(ThresholdAge17,"&lt;"&amp;'19_Расчет_аналитики'!AU4608,WeightedMinAge17),MAX(CapacityAge17*'01_Вводные'!$B$218*'19_Расчет_аналитики'!AU4608,MeanMinAge17))),0)</f>
        <v/>
      </c>
      <c r="AV4556">
        <f>IF('01_Вводные'!$B$234="Да",IF(OR(('19_Расчет_аналитики'!AV4472-'19_Расчет_аналитики'!AV4500)=0,17&lt;='01_Вводные'!$B$297),0,('19_Расчет_аналитики'!AV4472-'19_Расчет_аналитики'!AV4500)*IF('01_Вводные'!$B$239="Да",MeanMinAge17+'19_Расчет_аналитики'!AV4608*SUMIF(ThresholdAge17,"&lt;"&amp;'19_Расчет_аналитики'!AV4608,WeightedRevAge17)-SUMIF(ThresholdAge17,"&lt;"&amp;'19_Расчет_аналитики'!AV4608,WeightedMinAge17),MAX(CapacityAge17*'01_Вводные'!$B$218*'19_Расчет_аналитики'!AV4608,MeanMinAge17))),0)</f>
        <v/>
      </c>
      <c r="AW4556">
        <f>IF('01_Вводные'!$B$234="Да",IF(OR(('19_Расчет_аналитики'!AW4472-'19_Расчет_аналитики'!AW4500)=0,17&lt;='01_Вводные'!$B$297),0,('19_Расчет_аналитики'!AW4472-'19_Расчет_аналитики'!AW4500)*IF('01_Вводные'!$B$239="Да",MeanMinAge17+'19_Расчет_аналитики'!AW4608*SUMIF(ThresholdAge17,"&lt;"&amp;'19_Расчет_аналитики'!AW4608,WeightedRevAge17)-SUMIF(ThresholdAge17,"&lt;"&amp;'19_Расчет_аналитики'!AW4608,WeightedMinAge17),MAX(CapacityAge17*'01_Вводные'!$B$218*'19_Расчет_аналитики'!AW4608,MeanMinAge17))),0)</f>
        <v/>
      </c>
      <c r="AX4556">
        <f>IF('01_Вводные'!$B$234="Да",IF(OR(('19_Расчет_аналитики'!AX4472-'19_Расчет_аналитики'!AX4500)=0,17&lt;='01_Вводные'!$B$297),0,('19_Расчет_аналитики'!AX4472-'19_Расчет_аналитики'!AX4500)*IF('01_Вводные'!$B$239="Да",MeanMinAge17+'19_Расчет_аналитики'!AX4608*SUMIF(ThresholdAge17,"&lt;"&amp;'19_Расчет_аналитики'!AX4608,WeightedRevAge17)-SUMIF(ThresholdAge17,"&lt;"&amp;'19_Расчет_аналитики'!AX4608,WeightedMinAge17),MAX(CapacityAge17*'01_Вводные'!$B$218*'19_Расчет_аналитики'!AX4608,MeanMinAge17))),0)</f>
        <v/>
      </c>
      <c r="AY4556">
        <f>IF('01_Вводные'!$B$234="Да",IF(OR(('19_Расчет_аналитики'!AY4472-'19_Расчет_аналитики'!AY4500)=0,17&lt;='01_Вводные'!$B$297),0,('19_Расчет_аналитики'!AY4472-'19_Расчет_аналитики'!AY4500)*IF('01_Вводные'!$B$239="Да",MeanMinAge17+'19_Расчет_аналитики'!AY4608*SUMIF(ThresholdAge17,"&lt;"&amp;'19_Расчет_аналитики'!AY4608,WeightedRevAge17)-SUMIF(ThresholdAge17,"&lt;"&amp;'19_Расчет_аналитики'!AY4608,WeightedMinAge17),MAX(CapacityAge17*'01_Вводные'!$B$218*'19_Расчет_аналитики'!AY4608,MeanMinAge17))),0)</f>
        <v/>
      </c>
      <c r="AZ4556">
        <f>IF('01_Вводные'!$B$234="Да",IF(OR(('19_Расчет_аналитики'!AZ4472-'19_Расчет_аналитики'!AZ4500)=0,17&lt;='01_Вводные'!$B$297),0,('19_Расчет_аналитики'!AZ4472-'19_Расчет_аналитики'!AZ4500)*IF('01_Вводные'!$B$239="Да",MeanMinAge17+'19_Расчет_аналитики'!AZ4608*SUMIF(ThresholdAge17,"&lt;"&amp;'19_Расчет_аналитики'!AZ4608,WeightedRevAge17)-SUMIF(ThresholdAge17,"&lt;"&amp;'19_Расчет_аналитики'!AZ4608,WeightedMinAge17),MAX(CapacityAge17*'01_Вводные'!$B$218*'19_Расчет_аналитики'!AZ4608,MeanMinAge17))),0)</f>
        <v/>
      </c>
      <c r="BA4556">
        <f>IF('01_Вводные'!$B$234="Да",IF(OR(('19_Расчет_аналитики'!BA4472-'19_Расчет_аналитики'!BA4500)=0,17&lt;='01_Вводные'!$B$297),0,('19_Расчет_аналитики'!BA4472-'19_Расчет_аналитики'!BA4500)*IF('01_Вводные'!$B$239="Да",MeanMinAge17+'19_Расчет_аналитики'!BA4608*SUMIF(ThresholdAge17,"&lt;"&amp;'19_Расчет_аналитики'!BA4608,WeightedRevAge17)-SUMIF(ThresholdAge17,"&lt;"&amp;'19_Расчет_аналитики'!BA4608,WeightedMinAge17),MAX(CapacityAge17*'01_Вводные'!$B$218*'19_Расчет_аналитики'!BA4608,MeanMinAge17))),0)</f>
        <v/>
      </c>
      <c r="BB4556">
        <f>IF('01_Вводные'!$B$234="Да",IF(OR(('19_Расчет_аналитики'!BB4472-'19_Расчет_аналитики'!BB4500)=0,17&lt;='01_Вводные'!$B$297),0,('19_Расчет_аналитики'!BB4472-'19_Расчет_аналитики'!BB4500)*IF('01_Вводные'!$B$239="Да",MeanMinAge17+'19_Расчет_аналитики'!BB4608*SUMIF(ThresholdAge17,"&lt;"&amp;'19_Расчет_аналитики'!BB4608,WeightedRevAge17)-SUMIF(ThresholdAge17,"&lt;"&amp;'19_Расчет_аналитики'!BB4608,WeightedMinAge17),MAX(CapacityAge17*'01_Вводные'!$B$218*'19_Расчет_аналитики'!BB4608,MeanMinAge17))),0)</f>
        <v/>
      </c>
      <c r="BC4556">
        <f>IF('01_Вводные'!$B$234="Да",IF(OR(('19_Расчет_аналитики'!BC4472-'19_Расчет_аналитики'!BC4500)=0,17&lt;='01_Вводные'!$B$297),0,('19_Расчет_аналитики'!BC4472-'19_Расчет_аналитики'!BC4500)*IF('01_Вводные'!$B$239="Да",MeanMinAge17+'19_Расчет_аналитики'!BC4608*SUMIF(ThresholdAge17,"&lt;"&amp;'19_Расчет_аналитики'!BC4608,WeightedRevAge17)-SUMIF(ThresholdAge17,"&lt;"&amp;'19_Расчет_аналитики'!BC4608,WeightedMinAge17),MAX(CapacityAge17*'01_Вводные'!$B$218*'19_Расчет_аналитики'!BC4608,MeanMinAge17))),0)</f>
        <v/>
      </c>
      <c r="BD4556">
        <f>IF('01_Вводные'!$B$234="Да",IF(OR(('19_Расчет_аналитики'!BD4472-'19_Расчет_аналитики'!BD4500)=0,17&lt;='01_Вводные'!$B$297),0,('19_Расчет_аналитики'!BD4472-'19_Расчет_аналитики'!BD4500)*IF('01_Вводные'!$B$239="Да",MeanMinAge17+'19_Расчет_аналитики'!BD4608*SUMIF(ThresholdAge17,"&lt;"&amp;'19_Расчет_аналитики'!BD4608,WeightedRevAge17)-SUMIF(ThresholdAge17,"&lt;"&amp;'19_Расчет_аналитики'!BD4608,WeightedMinAge17),MAX(CapacityAge17*'01_Вводные'!$B$218*'19_Расчет_аналитики'!BD4608,MeanMinAge17))),0)</f>
        <v/>
      </c>
      <c r="BE4556">
        <f>IF('01_Вводные'!$B$234="Да",IF(OR(('19_Расчет_аналитики'!BE4472-'19_Расчет_аналитики'!BE4500)=0,17&lt;='01_Вводные'!$B$297),0,('19_Расчет_аналитики'!BE4472-'19_Расчет_аналитики'!BE4500)*IF('01_Вводные'!$B$239="Да",MeanMinAge17+'19_Расчет_аналитики'!BE4608*SUMIF(ThresholdAge17,"&lt;"&amp;'19_Расчет_аналитики'!BE4608,WeightedRevAge17)-SUMIF(ThresholdAge17,"&lt;"&amp;'19_Расчет_аналитики'!BE4608,WeightedMinAge17),MAX(CapacityAge17*'01_Вводные'!$B$218*'19_Расчет_аналитики'!BE4608,MeanMinAge17))),0)</f>
        <v/>
      </c>
      <c r="BF4556">
        <f>IF('01_Вводные'!$B$234="Да",IF(OR(('19_Расчет_аналитики'!BF4472-'19_Расчет_аналитики'!BF4500)=0,17&lt;='01_Вводные'!$B$297),0,('19_Расчет_аналитики'!BF4472-'19_Расчет_аналитики'!BF4500)*IF('01_Вводные'!$B$239="Да",MeanMinAge17+'19_Расчет_аналитики'!BF4608*SUMIF(ThresholdAge17,"&lt;"&amp;'19_Расчет_аналитики'!BF4608,WeightedRevAge17)-SUMIF(ThresholdAge17,"&lt;"&amp;'19_Расчет_аналитики'!BF4608,WeightedMinAge17),MAX(CapacityAge17*'01_Вводные'!$B$218*'19_Расчет_аналитики'!BF4608,MeanMinAge17))),0)</f>
        <v/>
      </c>
      <c r="BG4556">
        <f>IF('01_Вводные'!$B$234="Да",IF(OR(('19_Расчет_аналитики'!BG4472-'19_Расчет_аналитики'!BG4500)=0,17&lt;='01_Вводные'!$B$297),0,('19_Расчет_аналитики'!BG4472-'19_Расчет_аналитики'!BG4500)*IF('01_Вводные'!$B$239="Да",MeanMinAge17+'19_Расчет_аналитики'!BG4608*SUMIF(ThresholdAge17,"&lt;"&amp;'19_Расчет_аналитики'!BG4608,WeightedRevAge17)-SUMIF(ThresholdAge17,"&lt;"&amp;'19_Расчет_аналитики'!BG4608,WeightedMinAge17),MAX(CapacityAge17*'01_Вводные'!$B$218*'19_Расчет_аналитики'!BG4608,MeanMinAge17))),0)</f>
        <v/>
      </c>
      <c r="BH4556">
        <f>IF('01_Вводные'!$B$234="Да",IF(OR(('19_Расчет_аналитики'!BH4472-'19_Расчет_аналитики'!BH4500)=0,17&lt;='01_Вводные'!$B$297),0,('19_Расчет_аналитики'!BH4472-'19_Расчет_аналитики'!BH4500)*IF('01_Вводные'!$B$239="Да",MeanMinAge17+'19_Расчет_аналитики'!BH4608*SUMIF(ThresholdAge17,"&lt;"&amp;'19_Расчет_аналитики'!BH4608,WeightedRevAge17)-SUMIF(ThresholdAge17,"&lt;"&amp;'19_Расчет_аналитики'!BH4608,WeightedMinAge17),MAX(CapacityAge17*'01_Вводные'!$B$218*'19_Расчет_аналитики'!BH4608,MeanMinAge17))),0)</f>
        <v/>
      </c>
      <c r="BI4556">
        <f>IF('01_Вводные'!$B$234="Да",IF(OR(('19_Расчет_аналитики'!BI4472-'19_Расчет_аналитики'!BI4500)=0,17&lt;='01_Вводные'!$B$297),0,('19_Расчет_аналитики'!BI4472-'19_Расчет_аналитики'!BI4500)*IF('01_Вводные'!$B$239="Да",MeanMinAge17+'19_Расчет_аналитики'!BI4608*SUMIF(ThresholdAge17,"&lt;"&amp;'19_Расчет_аналитики'!BI4608,WeightedRevAge17)-SUMIF(ThresholdAge17,"&lt;"&amp;'19_Расчет_аналитики'!BI4608,WeightedMinAge17),MAX(CapacityAge17*'01_Вводные'!$B$218*'19_Расчет_аналитики'!BI4608,MeanMinAge17))),0)</f>
        <v/>
      </c>
      <c r="BJ4556">
        <f>IF('01_Вводные'!$B$234="Да",IF(OR(('19_Расчет_аналитики'!BJ4472-'19_Расчет_аналитики'!BJ4500)=0,17&lt;='01_Вводные'!$B$297),0,('19_Расчет_аналитики'!BJ4472-'19_Расчет_аналитики'!BJ4500)*IF('01_Вводные'!$B$239="Да",MeanMinAge17+'19_Расчет_аналитики'!BJ4608*SUMIF(ThresholdAge17,"&lt;"&amp;'19_Расчет_аналитики'!BJ4608,WeightedRevAge17)-SUMIF(ThresholdAge17,"&lt;"&amp;'19_Расчет_аналитики'!BJ4608,WeightedMinAge17),MAX(CapacityAge17*'01_Вводные'!$B$218*'19_Расчет_аналитики'!BJ4608,MeanMinAge17))),0)</f>
        <v/>
      </c>
      <c r="BK4556">
        <f>IF('01_Вводные'!$B$234="Да",IF(OR(('19_Расчет_аналитики'!BK4472-'19_Расчет_аналитики'!BK4500)=0,17&lt;='01_Вводные'!$B$297),0,('19_Расчет_аналитики'!BK4472-'19_Расчет_аналитики'!BK4500)*IF('01_Вводные'!$B$239="Да",MeanMinAge17+'19_Расчет_аналитики'!BK4608*SUMIF(ThresholdAge17,"&lt;"&amp;'19_Расчет_аналитики'!BK4608,WeightedRevAge17)-SUMIF(ThresholdAge17,"&lt;"&amp;'19_Расчет_аналитики'!BK4608,WeightedMinAge17),MAX(CapacityAge17*'01_Вводные'!$B$218*'19_Расчет_аналитики'!BK4608,MeanMinAge17))),0)</f>
        <v/>
      </c>
      <c r="BL4556">
        <f>IF('01_Вводные'!$B$234="Да",IF(OR(('19_Расчет_аналитики'!BL4472-'19_Расчет_аналитики'!BL4500)=0,17&lt;='01_Вводные'!$B$297),0,('19_Расчет_аналитики'!BL4472-'19_Расчет_аналитики'!BL4500)*IF('01_Вводные'!$B$239="Да",MeanMinAge17+'19_Расчет_аналитики'!BL4608*SUMIF(ThresholdAge17,"&lt;"&amp;'19_Расчет_аналитики'!BL4608,WeightedRevAge17)-SUMIF(ThresholdAge17,"&lt;"&amp;'19_Расчет_аналитики'!BL4608,WeightedMinAge17),MAX(CapacityAge17*'01_Вводные'!$B$218*'19_Расчет_аналитики'!BL4608,MeanMinAge17))),0)</f>
        <v/>
      </c>
      <c r="BM4556">
        <f>IF('01_Вводные'!$B$234="Да",IF(OR(('19_Расчет_аналитики'!BM4472-'19_Расчет_аналитики'!BM4500)=0,17&lt;='01_Вводные'!$B$297),0,('19_Расчет_аналитики'!BM4472-'19_Расчет_аналитики'!BM4500)*IF('01_Вводные'!$B$239="Да",MeanMinAge17+'19_Расчет_аналитики'!BM4608*SUMIF(ThresholdAge17,"&lt;"&amp;'19_Расчет_аналитики'!BM4608,WeightedRevAge17)-SUMIF(ThresholdAge17,"&lt;"&amp;'19_Расчет_аналитики'!BM4608,WeightedMinAge17),MAX(CapacityAge17*'01_Вводные'!$B$218*'19_Расчет_аналитики'!BM4608,MeanMinAge17))),0)</f>
        <v/>
      </c>
      <c r="BN4556">
        <f>IF('01_Вводные'!$B$234="Да",IF(OR(('19_Расчет_аналитики'!BN4472-'19_Расчет_аналитики'!BN4500)=0,17&lt;='01_Вводные'!$B$297),0,('19_Расчет_аналитики'!BN4472-'19_Расчет_аналитики'!BN4500)*IF('01_Вводные'!$B$239="Да",MeanMinAge17+'19_Расчет_аналитики'!BN4608*SUMIF(ThresholdAge17,"&lt;"&amp;'19_Расчет_аналитики'!BN4608,WeightedRevAge17)-SUMIF(ThresholdAge17,"&lt;"&amp;'19_Расчет_аналитики'!BN4608,WeightedMinAge17),MAX(CapacityAge17*'01_Вводные'!$B$218*'19_Расчет_аналитики'!BN4608,MeanMinAge17))),0)</f>
        <v/>
      </c>
      <c r="BO4556">
        <f>IF('01_Вводные'!$B$234="Да",IF(OR(('19_Расчет_аналитики'!BO4472-'19_Расчет_аналитики'!BO4500)=0,17&lt;='01_Вводные'!$B$297),0,('19_Расчет_аналитики'!BO4472-'19_Расчет_аналитики'!BO4500)*IF('01_Вводные'!$B$239="Да",MeanMinAge17+'19_Расчет_аналитики'!BO4608*SUMIF(ThresholdAge17,"&lt;"&amp;'19_Расчет_аналитики'!BO4608,WeightedRevAge17)-SUMIF(ThresholdAge17,"&lt;"&amp;'19_Расчет_аналитики'!BO4608,WeightedMinAge17),MAX(CapacityAge17*'01_Вводные'!$B$218*'19_Расчет_аналитики'!BO4608,MeanMinAge17))),0)</f>
        <v/>
      </c>
    </row>
    <row r="4557">
      <c r="B4557">
        <f>IF('01_Вводные'!$B$234="Да",IF(OR(('06_Сеть_и_дети'!B70-'06_Сеть_и_дети'!B98)=0,18&lt;='01_Вводные'!$B$297),0,('06_Сеть_и_дети'!B70-'06_Сеть_и_дети'!B98)*IF('01_Вводные'!$B$239="Да",MeanMinAge18+'19_Расчет_аналитики'!B4608*SUMIF(ThresholdAge18,"&lt;"&amp;'19_Расчет_аналитики'!B4608,WeightedRevAge18)-SUMIF(ThresholdAge18,"&lt;"&amp;'19_Расчет_аналитики'!B4608,WeightedMinAge18),MAX(CapacityAge18*'01_Вводные'!$B$218*'19_Расчет_аналитики'!B4608,MeanMinAge18))),0)</f>
        <v/>
      </c>
      <c r="C4557">
        <f>IF('01_Вводные'!$B$234="Да",IF(OR(('06_Сеть_и_дети'!C70-'06_Сеть_и_дети'!C98)=0,18&lt;='01_Вводные'!$B$297),0,('06_Сеть_и_дети'!C70-'06_Сеть_и_дети'!C98)*IF('01_Вводные'!$B$239="Да",MeanMinAge18+'19_Расчет_аналитики'!C4608*SUMIF(ThresholdAge18,"&lt;"&amp;'19_Расчет_аналитики'!C4608,WeightedRevAge18)-SUMIF(ThresholdAge18,"&lt;"&amp;'19_Расчет_аналитики'!C4608,WeightedMinAge18),MAX(CapacityAge18*'01_Вводные'!$B$218*'19_Расчет_аналитики'!C4608,MeanMinAge18))),0)</f>
        <v/>
      </c>
      <c r="D4557">
        <f>IF('01_Вводные'!$B$234="Да",IF(OR(('06_Сеть_и_дети'!D70-'06_Сеть_и_дети'!D98)=0,18&lt;='01_Вводные'!$B$297),0,('06_Сеть_и_дети'!D70-'06_Сеть_и_дети'!D98)*IF('01_Вводные'!$B$239="Да",MeanMinAge18+'19_Расчет_аналитики'!D4608*SUMIF(ThresholdAge18,"&lt;"&amp;'19_Расчет_аналитики'!D4608,WeightedRevAge18)-SUMIF(ThresholdAge18,"&lt;"&amp;'19_Расчет_аналитики'!D4608,WeightedMinAge18),MAX(CapacityAge18*'01_Вводные'!$B$218*'19_Расчет_аналитики'!D4608,MeanMinAge18))),0)</f>
        <v/>
      </c>
      <c r="E4557">
        <f>IF('01_Вводные'!$B$234="Да",IF(OR(('06_Сеть_и_дети'!E70-'06_Сеть_и_дети'!E98)=0,18&lt;='01_Вводные'!$B$297),0,('06_Сеть_и_дети'!E70-'06_Сеть_и_дети'!E98)*IF('01_Вводные'!$B$239="Да",MeanMinAge18+'19_Расчет_аналитики'!E4608*SUMIF(ThresholdAge18,"&lt;"&amp;'19_Расчет_аналитики'!E4608,WeightedRevAge18)-SUMIF(ThresholdAge18,"&lt;"&amp;'19_Расчет_аналитики'!E4608,WeightedMinAge18),MAX(CapacityAge18*'01_Вводные'!$B$218*'19_Расчет_аналитики'!E4608,MeanMinAge18))),0)</f>
        <v/>
      </c>
      <c r="F4557">
        <f>IF('01_Вводные'!$B$234="Да",IF(OR(('06_Сеть_и_дети'!F70-'06_Сеть_и_дети'!F98)=0,18&lt;='01_Вводные'!$B$297),0,('06_Сеть_и_дети'!F70-'06_Сеть_и_дети'!F98)*IF('01_Вводные'!$B$239="Да",MeanMinAge18+'19_Расчет_аналитики'!F4608*SUMIF(ThresholdAge18,"&lt;"&amp;'19_Расчет_аналитики'!F4608,WeightedRevAge18)-SUMIF(ThresholdAge18,"&lt;"&amp;'19_Расчет_аналитики'!F4608,WeightedMinAge18),MAX(CapacityAge18*'01_Вводные'!$B$218*'19_Расчет_аналитики'!F4608,MeanMinAge18))),0)</f>
        <v/>
      </c>
      <c r="G4557">
        <f>IF('01_Вводные'!$B$234="Да",IF(OR(('06_Сеть_и_дети'!G70-'06_Сеть_и_дети'!G98)=0,18&lt;='01_Вводные'!$B$297),0,('06_Сеть_и_дети'!G70-'06_Сеть_и_дети'!G98)*IF('01_Вводные'!$B$239="Да",MeanMinAge18+'19_Расчет_аналитики'!G4608*SUMIF(ThresholdAge18,"&lt;"&amp;'19_Расчет_аналитики'!G4608,WeightedRevAge18)-SUMIF(ThresholdAge18,"&lt;"&amp;'19_Расчет_аналитики'!G4608,WeightedMinAge18),MAX(CapacityAge18*'01_Вводные'!$B$218*'19_Расчет_аналитики'!G4608,MeanMinAge18))),0)</f>
        <v/>
      </c>
      <c r="H4557">
        <f>IF('01_Вводные'!$B$234="Да",IF(OR(('06_Сеть_и_дети'!H70-'06_Сеть_и_дети'!H98)=0,18&lt;='01_Вводные'!$B$297),0,('06_Сеть_и_дети'!H70-'06_Сеть_и_дети'!H98)*IF('01_Вводные'!$B$239="Да",MeanMinAge18+'19_Расчет_аналитики'!H4608*SUMIF(ThresholdAge18,"&lt;"&amp;'19_Расчет_аналитики'!H4608,WeightedRevAge18)-SUMIF(ThresholdAge18,"&lt;"&amp;'19_Расчет_аналитики'!H4608,WeightedMinAge18),MAX(CapacityAge18*'01_Вводные'!$B$218*'19_Расчет_аналитики'!H4608,MeanMinAge18))),0)</f>
        <v/>
      </c>
      <c r="I4557">
        <f>IF('01_Вводные'!$B$234="Да",IF(OR(('06_Сеть_и_дети'!I70-'06_Сеть_и_дети'!I98)=0,18&lt;='01_Вводные'!$B$297),0,('06_Сеть_и_дети'!I70-'06_Сеть_и_дети'!I98)*IF('01_Вводные'!$B$239="Да",MeanMinAge18+'19_Расчет_аналитики'!I4608*SUMIF(ThresholdAge18,"&lt;"&amp;'19_Расчет_аналитики'!I4608,WeightedRevAge18)-SUMIF(ThresholdAge18,"&lt;"&amp;'19_Расчет_аналитики'!I4608,WeightedMinAge18),MAX(CapacityAge18*'01_Вводные'!$B$218*'19_Расчет_аналитики'!I4608,MeanMinAge18))),0)</f>
        <v/>
      </c>
      <c r="J4557">
        <f>IF('01_Вводные'!$B$234="Да",IF(OR(('06_Сеть_и_дети'!J70-'06_Сеть_и_дети'!J98)=0,18&lt;='01_Вводные'!$B$297),0,('06_Сеть_и_дети'!J70-'06_Сеть_и_дети'!J98)*IF('01_Вводные'!$B$239="Да",MeanMinAge18+'19_Расчет_аналитики'!J4608*SUMIF(ThresholdAge18,"&lt;"&amp;'19_Расчет_аналитики'!J4608,WeightedRevAge18)-SUMIF(ThresholdAge18,"&lt;"&amp;'19_Расчет_аналитики'!J4608,WeightedMinAge18),MAX(CapacityAge18*'01_Вводные'!$B$218*'19_Расчет_аналитики'!J4608,MeanMinAge18))),0)</f>
        <v/>
      </c>
      <c r="K4557">
        <f>IF('01_Вводные'!$B$234="Да",IF(OR(('06_Сеть_и_дети'!K70-'06_Сеть_и_дети'!K98)=0,18&lt;='01_Вводные'!$B$297),0,('06_Сеть_и_дети'!K70-'06_Сеть_и_дети'!K98)*IF('01_Вводные'!$B$239="Да",MeanMinAge18+'19_Расчет_аналитики'!K4608*SUMIF(ThresholdAge18,"&lt;"&amp;'19_Расчет_аналитики'!K4608,WeightedRevAge18)-SUMIF(ThresholdAge18,"&lt;"&amp;'19_Расчет_аналитики'!K4608,WeightedMinAge18),MAX(CapacityAge18*'01_Вводные'!$B$218*'19_Расчет_аналитики'!K4608,MeanMinAge18))),0)</f>
        <v/>
      </c>
      <c r="L4557">
        <f>IF('01_Вводные'!$B$234="Да",IF(OR(('06_Сеть_и_дети'!L70-'06_Сеть_и_дети'!L98)=0,18&lt;='01_Вводные'!$B$297),0,('06_Сеть_и_дети'!L70-'06_Сеть_и_дети'!L98)*IF('01_Вводные'!$B$239="Да",MeanMinAge18+'19_Расчет_аналитики'!L4608*SUMIF(ThresholdAge18,"&lt;"&amp;'19_Расчет_аналитики'!L4608,WeightedRevAge18)-SUMIF(ThresholdAge18,"&lt;"&amp;'19_Расчет_аналитики'!L4608,WeightedMinAge18),MAX(CapacityAge18*'01_Вводные'!$B$218*'19_Расчет_аналитики'!L4608,MeanMinAge18))),0)</f>
        <v/>
      </c>
      <c r="M4557">
        <f>IF('01_Вводные'!$B$234="Да",IF(OR(('06_Сеть_и_дети'!M70-'06_Сеть_и_дети'!M98)=0,18&lt;='01_Вводные'!$B$297),0,('06_Сеть_и_дети'!M70-'06_Сеть_и_дети'!M98)*IF('01_Вводные'!$B$239="Да",MeanMinAge18+'19_Расчет_аналитики'!M4608*SUMIF(ThresholdAge18,"&lt;"&amp;'19_Расчет_аналитики'!M4608,WeightedRevAge18)-SUMIF(ThresholdAge18,"&lt;"&amp;'19_Расчет_аналитики'!M4608,WeightedMinAge18),MAX(CapacityAge18*'01_Вводные'!$B$218*'19_Расчет_аналитики'!M4608,MeanMinAge18))),0)</f>
        <v/>
      </c>
      <c r="N4557">
        <f>IF('01_Вводные'!$B$234="Да",IF(OR(('06_Сеть_и_дети'!N70-'06_Сеть_и_дети'!N98)=0,18&lt;='01_Вводные'!$B$297),0,('06_Сеть_и_дети'!N70-'06_Сеть_и_дети'!N98)*IF('01_Вводные'!$B$239="Да",MeanMinAge18+'19_Расчет_аналитики'!N4608*SUMIF(ThresholdAge18,"&lt;"&amp;'19_Расчет_аналитики'!N4608,WeightedRevAge18)-SUMIF(ThresholdAge18,"&lt;"&amp;'19_Расчет_аналитики'!N4608,WeightedMinAge18),MAX(CapacityAge18*'01_Вводные'!$B$218*'19_Расчет_аналитики'!N4608,MeanMinAge18))),0)</f>
        <v/>
      </c>
      <c r="O4557">
        <f>IF('01_Вводные'!$B$234="Да",IF(OR(('06_Сеть_и_дети'!O70-'06_Сеть_и_дети'!O98)=0,18&lt;='01_Вводные'!$B$297),0,('06_Сеть_и_дети'!O70-'06_Сеть_и_дети'!O98)*IF('01_Вводные'!$B$239="Да",MeanMinAge18+'19_Расчет_аналитики'!O4608*SUMIF(ThresholdAge18,"&lt;"&amp;'19_Расчет_аналитики'!O4608,WeightedRevAge18)-SUMIF(ThresholdAge18,"&lt;"&amp;'19_Расчет_аналитики'!O4608,WeightedMinAge18),MAX(CapacityAge18*'01_Вводные'!$B$218*'19_Расчет_аналитики'!O4608,MeanMinAge18))),0)</f>
        <v/>
      </c>
      <c r="P4557">
        <f>IF('01_Вводные'!$B$234="Да",IF(OR(('06_Сеть_и_дети'!P70-'06_Сеть_и_дети'!P98)=0,18&lt;='01_Вводные'!$B$297),0,('06_Сеть_и_дети'!P70-'06_Сеть_и_дети'!P98)*IF('01_Вводные'!$B$239="Да",MeanMinAge18+'19_Расчет_аналитики'!P4608*SUMIF(ThresholdAge18,"&lt;"&amp;'19_Расчет_аналитики'!P4608,WeightedRevAge18)-SUMIF(ThresholdAge18,"&lt;"&amp;'19_Расчет_аналитики'!P4608,WeightedMinAge18),MAX(CapacityAge18*'01_Вводные'!$B$218*'19_Расчет_аналитики'!P4608,MeanMinAge18))),0)</f>
        <v/>
      </c>
      <c r="Q4557">
        <f>IF('01_Вводные'!$B$234="Да",IF(OR(('06_Сеть_и_дети'!Q70-'06_Сеть_и_дети'!Q98)=0,18&lt;='01_Вводные'!$B$297),0,('06_Сеть_и_дети'!Q70-'06_Сеть_и_дети'!Q98)*IF('01_Вводные'!$B$239="Да",MeanMinAge18+'19_Расчет_аналитики'!Q4608*SUMIF(ThresholdAge18,"&lt;"&amp;'19_Расчет_аналитики'!Q4608,WeightedRevAge18)-SUMIF(ThresholdAge18,"&lt;"&amp;'19_Расчет_аналитики'!Q4608,WeightedMinAge18),MAX(CapacityAge18*'01_Вводные'!$B$218*'19_Расчет_аналитики'!Q4608,MeanMinAge18))),0)</f>
        <v/>
      </c>
      <c r="R4557">
        <f>IF('01_Вводные'!$B$234="Да",IF(OR(('06_Сеть_и_дети'!R70-'06_Сеть_и_дети'!R98)=0,18&lt;='01_Вводные'!$B$297),0,('06_Сеть_и_дети'!R70-'06_Сеть_и_дети'!R98)*IF('01_Вводные'!$B$239="Да",MeanMinAge18+'19_Расчет_аналитики'!R4608*SUMIF(ThresholdAge18,"&lt;"&amp;'19_Расчет_аналитики'!R4608,WeightedRevAge18)-SUMIF(ThresholdAge18,"&lt;"&amp;'19_Расчет_аналитики'!R4608,WeightedMinAge18),MAX(CapacityAge18*'01_Вводные'!$B$218*'19_Расчет_аналитики'!R4608,MeanMinAge18))),0)</f>
        <v/>
      </c>
      <c r="S4557">
        <f>IF('01_Вводные'!$B$234="Да",IF(OR(('19_Расчет_аналитики'!S4473-'19_Расчет_аналитики'!S4501)=0,18&lt;='01_Вводные'!$B$297),0,('19_Расчет_аналитики'!S4473-'19_Расчет_аналитики'!S4501)*IF('01_Вводные'!$B$239="Да",MeanMinAge18+'19_Расчет_аналитики'!S4608*SUMIF(ThresholdAge18,"&lt;"&amp;'19_Расчет_аналитики'!S4608,WeightedRevAge18)-SUMIF(ThresholdAge18,"&lt;"&amp;'19_Расчет_аналитики'!S4608,WeightedMinAge18),MAX(CapacityAge18*'01_Вводные'!$B$218*'19_Расчет_аналитики'!S4608,MeanMinAge18))),0)</f>
        <v/>
      </c>
      <c r="T4557">
        <f>IF('01_Вводные'!$B$234="Да",IF(OR(('19_Расчет_аналитики'!T4473-'19_Расчет_аналитики'!T4501)=0,18&lt;='01_Вводные'!$B$297),0,('19_Расчет_аналитики'!T4473-'19_Расчет_аналитики'!T4501)*IF('01_Вводные'!$B$239="Да",MeanMinAge18+'19_Расчет_аналитики'!T4608*SUMIF(ThresholdAge18,"&lt;"&amp;'19_Расчет_аналитики'!T4608,WeightedRevAge18)-SUMIF(ThresholdAge18,"&lt;"&amp;'19_Расчет_аналитики'!T4608,WeightedMinAge18),MAX(CapacityAge18*'01_Вводные'!$B$218*'19_Расчет_аналитики'!T4608,MeanMinAge18))),0)</f>
        <v/>
      </c>
      <c r="U4557">
        <f>IF('01_Вводные'!$B$234="Да",IF(OR(('19_Расчет_аналитики'!U4473-'19_Расчет_аналитики'!U4501)=0,18&lt;='01_Вводные'!$B$297),0,('19_Расчет_аналитики'!U4473-'19_Расчет_аналитики'!U4501)*IF('01_Вводные'!$B$239="Да",MeanMinAge18+'19_Расчет_аналитики'!U4608*SUMIF(ThresholdAge18,"&lt;"&amp;'19_Расчет_аналитики'!U4608,WeightedRevAge18)-SUMIF(ThresholdAge18,"&lt;"&amp;'19_Расчет_аналитики'!U4608,WeightedMinAge18),MAX(CapacityAge18*'01_Вводные'!$B$218*'19_Расчет_аналитики'!U4608,MeanMinAge18))),0)</f>
        <v/>
      </c>
      <c r="V4557">
        <f>IF('01_Вводные'!$B$234="Да",IF(OR(('19_Расчет_аналитики'!V4473-'19_Расчет_аналитики'!V4501)=0,18&lt;='01_Вводные'!$B$297),0,('19_Расчет_аналитики'!V4473-'19_Расчет_аналитики'!V4501)*IF('01_Вводные'!$B$239="Да",MeanMinAge18+'19_Расчет_аналитики'!V4608*SUMIF(ThresholdAge18,"&lt;"&amp;'19_Расчет_аналитики'!V4608,WeightedRevAge18)-SUMIF(ThresholdAge18,"&lt;"&amp;'19_Расчет_аналитики'!V4608,WeightedMinAge18),MAX(CapacityAge18*'01_Вводные'!$B$218*'19_Расчет_аналитики'!V4608,MeanMinAge18))),0)</f>
        <v/>
      </c>
      <c r="W4557">
        <f>IF('01_Вводные'!$B$234="Да",IF(OR(('19_Расчет_аналитики'!W4473-'19_Расчет_аналитики'!W4501)=0,18&lt;='01_Вводные'!$B$297),0,('19_Расчет_аналитики'!W4473-'19_Расчет_аналитики'!W4501)*IF('01_Вводные'!$B$239="Да",MeanMinAge18+'19_Расчет_аналитики'!W4608*SUMIF(ThresholdAge18,"&lt;"&amp;'19_Расчет_аналитики'!W4608,WeightedRevAge18)-SUMIF(ThresholdAge18,"&lt;"&amp;'19_Расчет_аналитики'!W4608,WeightedMinAge18),MAX(CapacityAge18*'01_Вводные'!$B$218*'19_Расчет_аналитики'!W4608,MeanMinAge18))),0)</f>
        <v/>
      </c>
      <c r="X4557">
        <f>IF('01_Вводные'!$B$234="Да",IF(OR(('19_Расчет_аналитики'!X4473-'19_Расчет_аналитики'!X4501)=0,18&lt;='01_Вводные'!$B$297),0,('19_Расчет_аналитики'!X4473-'19_Расчет_аналитики'!X4501)*IF('01_Вводные'!$B$239="Да",MeanMinAge18+'19_Расчет_аналитики'!X4608*SUMIF(ThresholdAge18,"&lt;"&amp;'19_Расчет_аналитики'!X4608,WeightedRevAge18)-SUMIF(ThresholdAge18,"&lt;"&amp;'19_Расчет_аналитики'!X4608,WeightedMinAge18),MAX(CapacityAge18*'01_Вводные'!$B$218*'19_Расчет_аналитики'!X4608,MeanMinAge18))),0)</f>
        <v/>
      </c>
      <c r="Y4557">
        <f>IF('01_Вводные'!$B$234="Да",IF(OR(('19_Расчет_аналитики'!Y4473-'19_Расчет_аналитики'!Y4501)=0,18&lt;='01_Вводные'!$B$297),0,('19_Расчет_аналитики'!Y4473-'19_Расчет_аналитики'!Y4501)*IF('01_Вводные'!$B$239="Да",MeanMinAge18+'19_Расчет_аналитики'!Y4608*SUMIF(ThresholdAge18,"&lt;"&amp;'19_Расчет_аналитики'!Y4608,WeightedRevAge18)-SUMIF(ThresholdAge18,"&lt;"&amp;'19_Расчет_аналитики'!Y4608,WeightedMinAge18),MAX(CapacityAge18*'01_Вводные'!$B$218*'19_Расчет_аналитики'!Y4608,MeanMinAge18))),0)</f>
        <v/>
      </c>
      <c r="Z4557">
        <f>IF('01_Вводные'!$B$234="Да",IF(OR(('19_Расчет_аналитики'!Z4473-'19_Расчет_аналитики'!Z4501)=0,18&lt;='01_Вводные'!$B$297),0,('19_Расчет_аналитики'!Z4473-'19_Расчет_аналитики'!Z4501)*IF('01_Вводные'!$B$239="Да",MeanMinAge18+'19_Расчет_аналитики'!Z4608*SUMIF(ThresholdAge18,"&lt;"&amp;'19_Расчет_аналитики'!Z4608,WeightedRevAge18)-SUMIF(ThresholdAge18,"&lt;"&amp;'19_Расчет_аналитики'!Z4608,WeightedMinAge18),MAX(CapacityAge18*'01_Вводные'!$B$218*'19_Расчет_аналитики'!Z4608,MeanMinAge18))),0)</f>
        <v/>
      </c>
      <c r="AA4557">
        <f>IF('01_Вводные'!$B$234="Да",IF(OR(('19_Расчет_аналитики'!AA4473-'19_Расчет_аналитики'!AA4501)=0,18&lt;='01_Вводные'!$B$297),0,('19_Расчет_аналитики'!AA4473-'19_Расчет_аналитики'!AA4501)*IF('01_Вводные'!$B$239="Да",MeanMinAge18+'19_Расчет_аналитики'!AA4608*SUMIF(ThresholdAge18,"&lt;"&amp;'19_Расчет_аналитики'!AA4608,WeightedRevAge18)-SUMIF(ThresholdAge18,"&lt;"&amp;'19_Расчет_аналитики'!AA4608,WeightedMinAge18),MAX(CapacityAge18*'01_Вводные'!$B$218*'19_Расчет_аналитики'!AA4608,MeanMinAge18))),0)</f>
        <v/>
      </c>
      <c r="AB4557">
        <f>IF('01_Вводные'!$B$234="Да",IF(OR(('19_Расчет_аналитики'!AB4473-'19_Расчет_аналитики'!AB4501)=0,18&lt;='01_Вводные'!$B$297),0,('19_Расчет_аналитики'!AB4473-'19_Расчет_аналитики'!AB4501)*IF('01_Вводные'!$B$239="Да",MeanMinAge18+'19_Расчет_аналитики'!AB4608*SUMIF(ThresholdAge18,"&lt;"&amp;'19_Расчет_аналитики'!AB4608,WeightedRevAge18)-SUMIF(ThresholdAge18,"&lt;"&amp;'19_Расчет_аналитики'!AB4608,WeightedMinAge18),MAX(CapacityAge18*'01_Вводные'!$B$218*'19_Расчет_аналитики'!AB4608,MeanMinAge18))),0)</f>
        <v/>
      </c>
      <c r="AC4557">
        <f>IF('01_Вводные'!$B$234="Да",IF(OR(('19_Расчет_аналитики'!AC4473-'19_Расчет_аналитики'!AC4501)=0,18&lt;='01_Вводные'!$B$297),0,('19_Расчет_аналитики'!AC4473-'19_Расчет_аналитики'!AC4501)*IF('01_Вводные'!$B$239="Да",MeanMinAge18+'19_Расчет_аналитики'!AC4608*SUMIF(ThresholdAge18,"&lt;"&amp;'19_Расчет_аналитики'!AC4608,WeightedRevAge18)-SUMIF(ThresholdAge18,"&lt;"&amp;'19_Расчет_аналитики'!AC4608,WeightedMinAge18),MAX(CapacityAge18*'01_Вводные'!$B$218*'19_Расчет_аналитики'!AC4608,MeanMinAge18))),0)</f>
        <v/>
      </c>
      <c r="AD4557">
        <f>IF('01_Вводные'!$B$234="Да",IF(OR(('19_Расчет_аналитики'!AD4473-'19_Расчет_аналитики'!AD4501)=0,18&lt;='01_Вводные'!$B$297),0,('19_Расчет_аналитики'!AD4473-'19_Расчет_аналитики'!AD4501)*IF('01_Вводные'!$B$239="Да",MeanMinAge18+'19_Расчет_аналитики'!AD4608*SUMIF(ThresholdAge18,"&lt;"&amp;'19_Расчет_аналитики'!AD4608,WeightedRevAge18)-SUMIF(ThresholdAge18,"&lt;"&amp;'19_Расчет_аналитики'!AD4608,WeightedMinAge18),MAX(CapacityAge18*'01_Вводные'!$B$218*'19_Расчет_аналитики'!AD4608,MeanMinAge18))),0)</f>
        <v/>
      </c>
      <c r="AE4557">
        <f>IF('01_Вводные'!$B$234="Да",IF(OR(('19_Расчет_аналитики'!AE4473-'19_Расчет_аналитики'!AE4501)=0,18&lt;='01_Вводные'!$B$297),0,('19_Расчет_аналитики'!AE4473-'19_Расчет_аналитики'!AE4501)*IF('01_Вводные'!$B$239="Да",MeanMinAge18+'19_Расчет_аналитики'!AE4608*SUMIF(ThresholdAge18,"&lt;"&amp;'19_Расчет_аналитики'!AE4608,WeightedRevAge18)-SUMIF(ThresholdAge18,"&lt;"&amp;'19_Расчет_аналитики'!AE4608,WeightedMinAge18),MAX(CapacityAge18*'01_Вводные'!$B$218*'19_Расчет_аналитики'!AE4608,MeanMinAge18))),0)</f>
        <v/>
      </c>
      <c r="AF4557">
        <f>IF('01_Вводные'!$B$234="Да",IF(OR(('19_Расчет_аналитики'!AF4473-'19_Расчет_аналитики'!AF4501)=0,18&lt;='01_Вводные'!$B$297),0,('19_Расчет_аналитики'!AF4473-'19_Расчет_аналитики'!AF4501)*IF('01_Вводные'!$B$239="Да",MeanMinAge18+'19_Расчет_аналитики'!AF4608*SUMIF(ThresholdAge18,"&lt;"&amp;'19_Расчет_аналитики'!AF4608,WeightedRevAge18)-SUMIF(ThresholdAge18,"&lt;"&amp;'19_Расчет_аналитики'!AF4608,WeightedMinAge18),MAX(CapacityAge18*'01_Вводные'!$B$218*'19_Расчет_аналитики'!AF4608,MeanMinAge18))),0)</f>
        <v/>
      </c>
      <c r="AG4557">
        <f>IF('01_Вводные'!$B$234="Да",IF(OR(('19_Расчет_аналитики'!AG4473-'19_Расчет_аналитики'!AG4501)=0,18&lt;='01_Вводные'!$B$297),0,('19_Расчет_аналитики'!AG4473-'19_Расчет_аналитики'!AG4501)*IF('01_Вводные'!$B$239="Да",MeanMinAge18+'19_Расчет_аналитики'!AG4608*SUMIF(ThresholdAge18,"&lt;"&amp;'19_Расчет_аналитики'!AG4608,WeightedRevAge18)-SUMIF(ThresholdAge18,"&lt;"&amp;'19_Расчет_аналитики'!AG4608,WeightedMinAge18),MAX(CapacityAge18*'01_Вводные'!$B$218*'19_Расчет_аналитики'!AG4608,MeanMinAge18))),0)</f>
        <v/>
      </c>
      <c r="AH4557">
        <f>IF('01_Вводные'!$B$234="Да",IF(OR(('19_Расчет_аналитики'!AH4473-'19_Расчет_аналитики'!AH4501)=0,18&lt;='01_Вводные'!$B$297),0,('19_Расчет_аналитики'!AH4473-'19_Расчет_аналитики'!AH4501)*IF('01_Вводные'!$B$239="Да",MeanMinAge18+'19_Расчет_аналитики'!AH4608*SUMIF(ThresholdAge18,"&lt;"&amp;'19_Расчет_аналитики'!AH4608,WeightedRevAge18)-SUMIF(ThresholdAge18,"&lt;"&amp;'19_Расчет_аналитики'!AH4608,WeightedMinAge18),MAX(CapacityAge18*'01_Вводные'!$B$218*'19_Расчет_аналитики'!AH4608,MeanMinAge18))),0)</f>
        <v/>
      </c>
      <c r="AI4557">
        <f>IF('01_Вводные'!$B$234="Да",IF(OR(('19_Расчет_аналитики'!AI4473-'19_Расчет_аналитики'!AI4501)=0,18&lt;='01_Вводные'!$B$297),0,('19_Расчет_аналитики'!AI4473-'19_Расчет_аналитики'!AI4501)*IF('01_Вводные'!$B$239="Да",MeanMinAge18+'19_Расчет_аналитики'!AI4608*SUMIF(ThresholdAge18,"&lt;"&amp;'19_Расчет_аналитики'!AI4608,WeightedRevAge18)-SUMIF(ThresholdAge18,"&lt;"&amp;'19_Расчет_аналитики'!AI4608,WeightedMinAge18),MAX(CapacityAge18*'01_Вводные'!$B$218*'19_Расчет_аналитики'!AI4608,MeanMinAge18))),0)</f>
        <v/>
      </c>
      <c r="AJ4557">
        <f>IF('01_Вводные'!$B$234="Да",IF(OR(('19_Расчет_аналитики'!AJ4473-'19_Расчет_аналитики'!AJ4501)=0,18&lt;='01_Вводные'!$B$297),0,('19_Расчет_аналитики'!AJ4473-'19_Расчет_аналитики'!AJ4501)*IF('01_Вводные'!$B$239="Да",MeanMinAge18+'19_Расчет_аналитики'!AJ4608*SUMIF(ThresholdAge18,"&lt;"&amp;'19_Расчет_аналитики'!AJ4608,WeightedRevAge18)-SUMIF(ThresholdAge18,"&lt;"&amp;'19_Расчет_аналитики'!AJ4608,WeightedMinAge18),MAX(CapacityAge18*'01_Вводные'!$B$218*'19_Расчет_аналитики'!AJ4608,MeanMinAge18))),0)</f>
        <v/>
      </c>
      <c r="AK4557">
        <f>IF('01_Вводные'!$B$234="Да",IF(OR(('19_Расчет_аналитики'!AK4473-'19_Расчет_аналитики'!AK4501)=0,18&lt;='01_Вводные'!$B$297),0,('19_Расчет_аналитики'!AK4473-'19_Расчет_аналитики'!AK4501)*IF('01_Вводные'!$B$239="Да",MeanMinAge18+'19_Расчет_аналитики'!AK4608*SUMIF(ThresholdAge18,"&lt;"&amp;'19_Расчет_аналитики'!AK4608,WeightedRevAge18)-SUMIF(ThresholdAge18,"&lt;"&amp;'19_Расчет_аналитики'!AK4608,WeightedMinAge18),MAX(CapacityAge18*'01_Вводные'!$B$218*'19_Расчет_аналитики'!AK4608,MeanMinAge18))),0)</f>
        <v/>
      </c>
      <c r="AL4557">
        <f>IF('01_Вводные'!$B$234="Да",IF(OR(('19_Расчет_аналитики'!AL4473-'19_Расчет_аналитики'!AL4501)=0,18&lt;='01_Вводные'!$B$297),0,('19_Расчет_аналитики'!AL4473-'19_Расчет_аналитики'!AL4501)*IF('01_Вводные'!$B$239="Да",MeanMinAge18+'19_Расчет_аналитики'!AL4608*SUMIF(ThresholdAge18,"&lt;"&amp;'19_Расчет_аналитики'!AL4608,WeightedRevAge18)-SUMIF(ThresholdAge18,"&lt;"&amp;'19_Расчет_аналитики'!AL4608,WeightedMinAge18),MAX(CapacityAge18*'01_Вводные'!$B$218*'19_Расчет_аналитики'!AL4608,MeanMinAge18))),0)</f>
        <v/>
      </c>
      <c r="AM4557">
        <f>IF('01_Вводные'!$B$234="Да",IF(OR(('19_Расчет_аналитики'!AM4473-'19_Расчет_аналитики'!AM4501)=0,18&lt;='01_Вводные'!$B$297),0,('19_Расчет_аналитики'!AM4473-'19_Расчет_аналитики'!AM4501)*IF('01_Вводные'!$B$239="Да",MeanMinAge18+'19_Расчет_аналитики'!AM4608*SUMIF(ThresholdAge18,"&lt;"&amp;'19_Расчет_аналитики'!AM4608,WeightedRevAge18)-SUMIF(ThresholdAge18,"&lt;"&amp;'19_Расчет_аналитики'!AM4608,WeightedMinAge18),MAX(CapacityAge18*'01_Вводные'!$B$218*'19_Расчет_аналитики'!AM4608,MeanMinAge18))),0)</f>
        <v/>
      </c>
      <c r="AN4557">
        <f>IF('01_Вводные'!$B$234="Да",IF(OR(('19_Расчет_аналитики'!AN4473-'19_Расчет_аналитики'!AN4501)=0,18&lt;='01_Вводные'!$B$297),0,('19_Расчет_аналитики'!AN4473-'19_Расчет_аналитики'!AN4501)*IF('01_Вводные'!$B$239="Да",MeanMinAge18+'19_Расчет_аналитики'!AN4608*SUMIF(ThresholdAge18,"&lt;"&amp;'19_Расчет_аналитики'!AN4608,WeightedRevAge18)-SUMIF(ThresholdAge18,"&lt;"&amp;'19_Расчет_аналитики'!AN4608,WeightedMinAge18),MAX(CapacityAge18*'01_Вводные'!$B$218*'19_Расчет_аналитики'!AN4608,MeanMinAge18))),0)</f>
        <v/>
      </c>
      <c r="AO4557">
        <f>IF('01_Вводные'!$B$234="Да",IF(OR(('19_Расчет_аналитики'!AO4473-'19_Расчет_аналитики'!AO4501)=0,18&lt;='01_Вводные'!$B$297),0,('19_Расчет_аналитики'!AO4473-'19_Расчет_аналитики'!AO4501)*IF('01_Вводные'!$B$239="Да",MeanMinAge18+'19_Расчет_аналитики'!AO4608*SUMIF(ThresholdAge18,"&lt;"&amp;'19_Расчет_аналитики'!AO4608,WeightedRevAge18)-SUMIF(ThresholdAge18,"&lt;"&amp;'19_Расчет_аналитики'!AO4608,WeightedMinAge18),MAX(CapacityAge18*'01_Вводные'!$B$218*'19_Расчет_аналитики'!AO4608,MeanMinAge18))),0)</f>
        <v/>
      </c>
      <c r="AP4557">
        <f>IF('01_Вводные'!$B$234="Да",IF(OR(('19_Расчет_аналитики'!AP4473-'19_Расчет_аналитики'!AP4501)=0,18&lt;='01_Вводные'!$B$297),0,('19_Расчет_аналитики'!AP4473-'19_Расчет_аналитики'!AP4501)*IF('01_Вводные'!$B$239="Да",MeanMinAge18+'19_Расчет_аналитики'!AP4608*SUMIF(ThresholdAge18,"&lt;"&amp;'19_Расчет_аналитики'!AP4608,WeightedRevAge18)-SUMIF(ThresholdAge18,"&lt;"&amp;'19_Расчет_аналитики'!AP4608,WeightedMinAge18),MAX(CapacityAge18*'01_Вводные'!$B$218*'19_Расчет_аналитики'!AP4608,MeanMinAge18))),0)</f>
        <v/>
      </c>
      <c r="AQ4557">
        <f>IF('01_Вводные'!$B$234="Да",IF(OR(('19_Расчет_аналитики'!AQ4473-'19_Расчет_аналитики'!AQ4501)=0,18&lt;='01_Вводные'!$B$297),0,('19_Расчет_аналитики'!AQ4473-'19_Расчет_аналитики'!AQ4501)*IF('01_Вводные'!$B$239="Да",MeanMinAge18+'19_Расчет_аналитики'!AQ4608*SUMIF(ThresholdAge18,"&lt;"&amp;'19_Расчет_аналитики'!AQ4608,WeightedRevAge18)-SUMIF(ThresholdAge18,"&lt;"&amp;'19_Расчет_аналитики'!AQ4608,WeightedMinAge18),MAX(CapacityAge18*'01_Вводные'!$B$218*'19_Расчет_аналитики'!AQ4608,MeanMinAge18))),0)</f>
        <v/>
      </c>
      <c r="AR4557">
        <f>IF('01_Вводные'!$B$234="Да",IF(OR(('19_Расчет_аналитики'!AR4473-'19_Расчет_аналитики'!AR4501)=0,18&lt;='01_Вводные'!$B$297),0,('19_Расчет_аналитики'!AR4473-'19_Расчет_аналитики'!AR4501)*IF('01_Вводные'!$B$239="Да",MeanMinAge18+'19_Расчет_аналитики'!AR4608*SUMIF(ThresholdAge18,"&lt;"&amp;'19_Расчет_аналитики'!AR4608,WeightedRevAge18)-SUMIF(ThresholdAge18,"&lt;"&amp;'19_Расчет_аналитики'!AR4608,WeightedMinAge18),MAX(CapacityAge18*'01_Вводные'!$B$218*'19_Расчет_аналитики'!AR4608,MeanMinAge18))),0)</f>
        <v/>
      </c>
      <c r="AS4557">
        <f>IF('01_Вводные'!$B$234="Да",IF(OR(('19_Расчет_аналитики'!AS4473-'19_Расчет_аналитики'!AS4501)=0,18&lt;='01_Вводные'!$B$297),0,('19_Расчет_аналитики'!AS4473-'19_Расчет_аналитики'!AS4501)*IF('01_Вводные'!$B$239="Да",MeanMinAge18+'19_Расчет_аналитики'!AS4608*SUMIF(ThresholdAge18,"&lt;"&amp;'19_Расчет_аналитики'!AS4608,WeightedRevAge18)-SUMIF(ThresholdAge18,"&lt;"&amp;'19_Расчет_аналитики'!AS4608,WeightedMinAge18),MAX(CapacityAge18*'01_Вводные'!$B$218*'19_Расчет_аналитики'!AS4608,MeanMinAge18))),0)</f>
        <v/>
      </c>
      <c r="AT4557">
        <f>IF('01_Вводные'!$B$234="Да",IF(OR(('19_Расчет_аналитики'!AT4473-'19_Расчет_аналитики'!AT4501)=0,18&lt;='01_Вводные'!$B$297),0,('19_Расчет_аналитики'!AT4473-'19_Расчет_аналитики'!AT4501)*IF('01_Вводные'!$B$239="Да",MeanMinAge18+'19_Расчет_аналитики'!AT4608*SUMIF(ThresholdAge18,"&lt;"&amp;'19_Расчет_аналитики'!AT4608,WeightedRevAge18)-SUMIF(ThresholdAge18,"&lt;"&amp;'19_Расчет_аналитики'!AT4608,WeightedMinAge18),MAX(CapacityAge18*'01_Вводные'!$B$218*'19_Расчет_аналитики'!AT4608,MeanMinAge18))),0)</f>
        <v/>
      </c>
      <c r="AU4557">
        <f>IF('01_Вводные'!$B$234="Да",IF(OR(('19_Расчет_аналитики'!AU4473-'19_Расчет_аналитики'!AU4501)=0,18&lt;='01_Вводные'!$B$297),0,('19_Расчет_аналитики'!AU4473-'19_Расчет_аналитики'!AU4501)*IF('01_Вводные'!$B$239="Да",MeanMinAge18+'19_Расчет_аналитики'!AU4608*SUMIF(ThresholdAge18,"&lt;"&amp;'19_Расчет_аналитики'!AU4608,WeightedRevAge18)-SUMIF(ThresholdAge18,"&lt;"&amp;'19_Расчет_аналитики'!AU4608,WeightedMinAge18),MAX(CapacityAge18*'01_Вводные'!$B$218*'19_Расчет_аналитики'!AU4608,MeanMinAge18))),0)</f>
        <v/>
      </c>
      <c r="AV4557">
        <f>IF('01_Вводные'!$B$234="Да",IF(OR(('19_Расчет_аналитики'!AV4473-'19_Расчет_аналитики'!AV4501)=0,18&lt;='01_Вводные'!$B$297),0,('19_Расчет_аналитики'!AV4473-'19_Расчет_аналитики'!AV4501)*IF('01_Вводные'!$B$239="Да",MeanMinAge18+'19_Расчет_аналитики'!AV4608*SUMIF(ThresholdAge18,"&lt;"&amp;'19_Расчет_аналитики'!AV4608,WeightedRevAge18)-SUMIF(ThresholdAge18,"&lt;"&amp;'19_Расчет_аналитики'!AV4608,WeightedMinAge18),MAX(CapacityAge18*'01_Вводные'!$B$218*'19_Расчет_аналитики'!AV4608,MeanMinAge18))),0)</f>
        <v/>
      </c>
      <c r="AW4557">
        <f>IF('01_Вводные'!$B$234="Да",IF(OR(('19_Расчет_аналитики'!AW4473-'19_Расчет_аналитики'!AW4501)=0,18&lt;='01_Вводные'!$B$297),0,('19_Расчет_аналитики'!AW4473-'19_Расчет_аналитики'!AW4501)*IF('01_Вводные'!$B$239="Да",MeanMinAge18+'19_Расчет_аналитики'!AW4608*SUMIF(ThresholdAge18,"&lt;"&amp;'19_Расчет_аналитики'!AW4608,WeightedRevAge18)-SUMIF(ThresholdAge18,"&lt;"&amp;'19_Расчет_аналитики'!AW4608,WeightedMinAge18),MAX(CapacityAge18*'01_Вводные'!$B$218*'19_Расчет_аналитики'!AW4608,MeanMinAge18))),0)</f>
        <v/>
      </c>
      <c r="AX4557">
        <f>IF('01_Вводные'!$B$234="Да",IF(OR(('19_Расчет_аналитики'!AX4473-'19_Расчет_аналитики'!AX4501)=0,18&lt;='01_Вводные'!$B$297),0,('19_Расчет_аналитики'!AX4473-'19_Расчет_аналитики'!AX4501)*IF('01_Вводные'!$B$239="Да",MeanMinAge18+'19_Расчет_аналитики'!AX4608*SUMIF(ThresholdAge18,"&lt;"&amp;'19_Расчет_аналитики'!AX4608,WeightedRevAge18)-SUMIF(ThresholdAge18,"&lt;"&amp;'19_Расчет_аналитики'!AX4608,WeightedMinAge18),MAX(CapacityAge18*'01_Вводные'!$B$218*'19_Расчет_аналитики'!AX4608,MeanMinAge18))),0)</f>
        <v/>
      </c>
      <c r="AY4557">
        <f>IF('01_Вводные'!$B$234="Да",IF(OR(('19_Расчет_аналитики'!AY4473-'19_Расчет_аналитики'!AY4501)=0,18&lt;='01_Вводные'!$B$297),0,('19_Расчет_аналитики'!AY4473-'19_Расчет_аналитики'!AY4501)*IF('01_Вводные'!$B$239="Да",MeanMinAge18+'19_Расчет_аналитики'!AY4608*SUMIF(ThresholdAge18,"&lt;"&amp;'19_Расчет_аналитики'!AY4608,WeightedRevAge18)-SUMIF(ThresholdAge18,"&lt;"&amp;'19_Расчет_аналитики'!AY4608,WeightedMinAge18),MAX(CapacityAge18*'01_Вводные'!$B$218*'19_Расчет_аналитики'!AY4608,MeanMinAge18))),0)</f>
        <v/>
      </c>
      <c r="AZ4557">
        <f>IF('01_Вводные'!$B$234="Да",IF(OR(('19_Расчет_аналитики'!AZ4473-'19_Расчет_аналитики'!AZ4501)=0,18&lt;='01_Вводные'!$B$297),0,('19_Расчет_аналитики'!AZ4473-'19_Расчет_аналитики'!AZ4501)*IF('01_Вводные'!$B$239="Да",MeanMinAge18+'19_Расчет_аналитики'!AZ4608*SUMIF(ThresholdAge18,"&lt;"&amp;'19_Расчет_аналитики'!AZ4608,WeightedRevAge18)-SUMIF(ThresholdAge18,"&lt;"&amp;'19_Расчет_аналитики'!AZ4608,WeightedMinAge18),MAX(CapacityAge18*'01_Вводные'!$B$218*'19_Расчет_аналитики'!AZ4608,MeanMinAge18))),0)</f>
        <v/>
      </c>
      <c r="BA4557">
        <f>IF('01_Вводные'!$B$234="Да",IF(OR(('19_Расчет_аналитики'!BA4473-'19_Расчет_аналитики'!BA4501)=0,18&lt;='01_Вводные'!$B$297),0,('19_Расчет_аналитики'!BA4473-'19_Расчет_аналитики'!BA4501)*IF('01_Вводные'!$B$239="Да",MeanMinAge18+'19_Расчет_аналитики'!BA4608*SUMIF(ThresholdAge18,"&lt;"&amp;'19_Расчет_аналитики'!BA4608,WeightedRevAge18)-SUMIF(ThresholdAge18,"&lt;"&amp;'19_Расчет_аналитики'!BA4608,WeightedMinAge18),MAX(CapacityAge18*'01_Вводные'!$B$218*'19_Расчет_аналитики'!BA4608,MeanMinAge18))),0)</f>
        <v/>
      </c>
      <c r="BB4557">
        <f>IF('01_Вводные'!$B$234="Да",IF(OR(('19_Расчет_аналитики'!BB4473-'19_Расчет_аналитики'!BB4501)=0,18&lt;='01_Вводные'!$B$297),0,('19_Расчет_аналитики'!BB4473-'19_Расчет_аналитики'!BB4501)*IF('01_Вводные'!$B$239="Да",MeanMinAge18+'19_Расчет_аналитики'!BB4608*SUMIF(ThresholdAge18,"&lt;"&amp;'19_Расчет_аналитики'!BB4608,WeightedRevAge18)-SUMIF(ThresholdAge18,"&lt;"&amp;'19_Расчет_аналитики'!BB4608,WeightedMinAge18),MAX(CapacityAge18*'01_Вводные'!$B$218*'19_Расчет_аналитики'!BB4608,MeanMinAge18))),0)</f>
        <v/>
      </c>
      <c r="BC4557">
        <f>IF('01_Вводные'!$B$234="Да",IF(OR(('19_Расчет_аналитики'!BC4473-'19_Расчет_аналитики'!BC4501)=0,18&lt;='01_Вводные'!$B$297),0,('19_Расчет_аналитики'!BC4473-'19_Расчет_аналитики'!BC4501)*IF('01_Вводные'!$B$239="Да",MeanMinAge18+'19_Расчет_аналитики'!BC4608*SUMIF(ThresholdAge18,"&lt;"&amp;'19_Расчет_аналитики'!BC4608,WeightedRevAge18)-SUMIF(ThresholdAge18,"&lt;"&amp;'19_Расчет_аналитики'!BC4608,WeightedMinAge18),MAX(CapacityAge18*'01_Вводные'!$B$218*'19_Расчет_аналитики'!BC4608,MeanMinAge18))),0)</f>
        <v/>
      </c>
      <c r="BD4557">
        <f>IF('01_Вводные'!$B$234="Да",IF(OR(('19_Расчет_аналитики'!BD4473-'19_Расчет_аналитики'!BD4501)=0,18&lt;='01_Вводные'!$B$297),0,('19_Расчет_аналитики'!BD4473-'19_Расчет_аналитики'!BD4501)*IF('01_Вводные'!$B$239="Да",MeanMinAge18+'19_Расчет_аналитики'!BD4608*SUMIF(ThresholdAge18,"&lt;"&amp;'19_Расчет_аналитики'!BD4608,WeightedRevAge18)-SUMIF(ThresholdAge18,"&lt;"&amp;'19_Расчет_аналитики'!BD4608,WeightedMinAge18),MAX(CapacityAge18*'01_Вводные'!$B$218*'19_Расчет_аналитики'!BD4608,MeanMinAge18))),0)</f>
        <v/>
      </c>
      <c r="BE4557">
        <f>IF('01_Вводные'!$B$234="Да",IF(OR(('19_Расчет_аналитики'!BE4473-'19_Расчет_аналитики'!BE4501)=0,18&lt;='01_Вводные'!$B$297),0,('19_Расчет_аналитики'!BE4473-'19_Расчет_аналитики'!BE4501)*IF('01_Вводные'!$B$239="Да",MeanMinAge18+'19_Расчет_аналитики'!BE4608*SUMIF(ThresholdAge18,"&lt;"&amp;'19_Расчет_аналитики'!BE4608,WeightedRevAge18)-SUMIF(ThresholdAge18,"&lt;"&amp;'19_Расчет_аналитики'!BE4608,WeightedMinAge18),MAX(CapacityAge18*'01_Вводные'!$B$218*'19_Расчет_аналитики'!BE4608,MeanMinAge18))),0)</f>
        <v/>
      </c>
      <c r="BF4557">
        <f>IF('01_Вводные'!$B$234="Да",IF(OR(('19_Расчет_аналитики'!BF4473-'19_Расчет_аналитики'!BF4501)=0,18&lt;='01_Вводные'!$B$297),0,('19_Расчет_аналитики'!BF4473-'19_Расчет_аналитики'!BF4501)*IF('01_Вводные'!$B$239="Да",MeanMinAge18+'19_Расчет_аналитики'!BF4608*SUMIF(ThresholdAge18,"&lt;"&amp;'19_Расчет_аналитики'!BF4608,WeightedRevAge18)-SUMIF(ThresholdAge18,"&lt;"&amp;'19_Расчет_аналитики'!BF4608,WeightedMinAge18),MAX(CapacityAge18*'01_Вводные'!$B$218*'19_Расчет_аналитики'!BF4608,MeanMinAge18))),0)</f>
        <v/>
      </c>
      <c r="BG4557">
        <f>IF('01_Вводные'!$B$234="Да",IF(OR(('19_Расчет_аналитики'!BG4473-'19_Расчет_аналитики'!BG4501)=0,18&lt;='01_Вводные'!$B$297),0,('19_Расчет_аналитики'!BG4473-'19_Расчет_аналитики'!BG4501)*IF('01_Вводные'!$B$239="Да",MeanMinAge18+'19_Расчет_аналитики'!BG4608*SUMIF(ThresholdAge18,"&lt;"&amp;'19_Расчет_аналитики'!BG4608,WeightedRevAge18)-SUMIF(ThresholdAge18,"&lt;"&amp;'19_Расчет_аналитики'!BG4608,WeightedMinAge18),MAX(CapacityAge18*'01_Вводные'!$B$218*'19_Расчет_аналитики'!BG4608,MeanMinAge18))),0)</f>
        <v/>
      </c>
      <c r="BH4557">
        <f>IF('01_Вводные'!$B$234="Да",IF(OR(('19_Расчет_аналитики'!BH4473-'19_Расчет_аналитики'!BH4501)=0,18&lt;='01_Вводные'!$B$297),0,('19_Расчет_аналитики'!BH4473-'19_Расчет_аналитики'!BH4501)*IF('01_Вводные'!$B$239="Да",MeanMinAge18+'19_Расчет_аналитики'!BH4608*SUMIF(ThresholdAge18,"&lt;"&amp;'19_Расчет_аналитики'!BH4608,WeightedRevAge18)-SUMIF(ThresholdAge18,"&lt;"&amp;'19_Расчет_аналитики'!BH4608,WeightedMinAge18),MAX(CapacityAge18*'01_Вводные'!$B$218*'19_Расчет_аналитики'!BH4608,MeanMinAge18))),0)</f>
        <v/>
      </c>
      <c r="BI4557">
        <f>IF('01_Вводные'!$B$234="Да",IF(OR(('19_Расчет_аналитики'!BI4473-'19_Расчет_аналитики'!BI4501)=0,18&lt;='01_Вводные'!$B$297),0,('19_Расчет_аналитики'!BI4473-'19_Расчет_аналитики'!BI4501)*IF('01_Вводные'!$B$239="Да",MeanMinAge18+'19_Расчет_аналитики'!BI4608*SUMIF(ThresholdAge18,"&lt;"&amp;'19_Расчет_аналитики'!BI4608,WeightedRevAge18)-SUMIF(ThresholdAge18,"&lt;"&amp;'19_Расчет_аналитики'!BI4608,WeightedMinAge18),MAX(CapacityAge18*'01_Вводные'!$B$218*'19_Расчет_аналитики'!BI4608,MeanMinAge18))),0)</f>
        <v/>
      </c>
      <c r="BJ4557">
        <f>IF('01_Вводные'!$B$234="Да",IF(OR(('19_Расчет_аналитики'!BJ4473-'19_Расчет_аналитики'!BJ4501)=0,18&lt;='01_Вводные'!$B$297),0,('19_Расчет_аналитики'!BJ4473-'19_Расчет_аналитики'!BJ4501)*IF('01_Вводные'!$B$239="Да",MeanMinAge18+'19_Расчет_аналитики'!BJ4608*SUMIF(ThresholdAge18,"&lt;"&amp;'19_Расчет_аналитики'!BJ4608,WeightedRevAge18)-SUMIF(ThresholdAge18,"&lt;"&amp;'19_Расчет_аналитики'!BJ4608,WeightedMinAge18),MAX(CapacityAge18*'01_Вводные'!$B$218*'19_Расчет_аналитики'!BJ4608,MeanMinAge18))),0)</f>
        <v/>
      </c>
      <c r="BK4557">
        <f>IF('01_Вводные'!$B$234="Да",IF(OR(('19_Расчет_аналитики'!BK4473-'19_Расчет_аналитики'!BK4501)=0,18&lt;='01_Вводные'!$B$297),0,('19_Расчет_аналитики'!BK4473-'19_Расчет_аналитики'!BK4501)*IF('01_Вводные'!$B$239="Да",MeanMinAge18+'19_Расчет_аналитики'!BK4608*SUMIF(ThresholdAge18,"&lt;"&amp;'19_Расчет_аналитики'!BK4608,WeightedRevAge18)-SUMIF(ThresholdAge18,"&lt;"&amp;'19_Расчет_аналитики'!BK4608,WeightedMinAge18),MAX(CapacityAge18*'01_Вводные'!$B$218*'19_Расчет_аналитики'!BK4608,MeanMinAge18))),0)</f>
        <v/>
      </c>
      <c r="BL4557">
        <f>IF('01_Вводные'!$B$234="Да",IF(OR(('19_Расчет_аналитики'!BL4473-'19_Расчет_аналитики'!BL4501)=0,18&lt;='01_Вводные'!$B$297),0,('19_Расчет_аналитики'!BL4473-'19_Расчет_аналитики'!BL4501)*IF('01_Вводные'!$B$239="Да",MeanMinAge18+'19_Расчет_аналитики'!BL4608*SUMIF(ThresholdAge18,"&lt;"&amp;'19_Расчет_аналитики'!BL4608,WeightedRevAge18)-SUMIF(ThresholdAge18,"&lt;"&amp;'19_Расчет_аналитики'!BL4608,WeightedMinAge18),MAX(CapacityAge18*'01_Вводные'!$B$218*'19_Расчет_аналитики'!BL4608,MeanMinAge18))),0)</f>
        <v/>
      </c>
      <c r="BM4557">
        <f>IF('01_Вводные'!$B$234="Да",IF(OR(('19_Расчет_аналитики'!BM4473-'19_Расчет_аналитики'!BM4501)=0,18&lt;='01_Вводные'!$B$297),0,('19_Расчет_аналитики'!BM4473-'19_Расчет_аналитики'!BM4501)*IF('01_Вводные'!$B$239="Да",MeanMinAge18+'19_Расчет_аналитики'!BM4608*SUMIF(ThresholdAge18,"&lt;"&amp;'19_Расчет_аналитики'!BM4608,WeightedRevAge18)-SUMIF(ThresholdAge18,"&lt;"&amp;'19_Расчет_аналитики'!BM4608,WeightedMinAge18),MAX(CapacityAge18*'01_Вводные'!$B$218*'19_Расчет_аналитики'!BM4608,MeanMinAge18))),0)</f>
        <v/>
      </c>
      <c r="BN4557">
        <f>IF('01_Вводные'!$B$234="Да",IF(OR(('19_Расчет_аналитики'!BN4473-'19_Расчет_аналитики'!BN4501)=0,18&lt;='01_Вводные'!$B$297),0,('19_Расчет_аналитики'!BN4473-'19_Расчет_аналитики'!BN4501)*IF('01_Вводные'!$B$239="Да",MeanMinAge18+'19_Расчет_аналитики'!BN4608*SUMIF(ThresholdAge18,"&lt;"&amp;'19_Расчет_аналитики'!BN4608,WeightedRevAge18)-SUMIF(ThresholdAge18,"&lt;"&amp;'19_Расчет_аналитики'!BN4608,WeightedMinAge18),MAX(CapacityAge18*'01_Вводные'!$B$218*'19_Расчет_аналитики'!BN4608,MeanMinAge18))),0)</f>
        <v/>
      </c>
      <c r="BO4557">
        <f>IF('01_Вводные'!$B$234="Да",IF(OR(('19_Расчет_аналитики'!BO4473-'19_Расчет_аналитики'!BO4501)=0,18&lt;='01_Вводные'!$B$297),0,('19_Расчет_аналитики'!BO4473-'19_Расчет_аналитики'!BO4501)*IF('01_Вводные'!$B$239="Да",MeanMinAge18+'19_Расчет_аналитики'!BO4608*SUMIF(ThresholdAge18,"&lt;"&amp;'19_Расчет_аналитики'!BO4608,WeightedRevAge18)-SUMIF(ThresholdAge18,"&lt;"&amp;'19_Расчет_аналитики'!BO4608,WeightedMinAge18),MAX(CapacityAge18*'01_Вводные'!$B$218*'19_Расчет_аналитики'!BO4608,MeanMinAge18))),0)</f>
        <v/>
      </c>
    </row>
    <row r="4558">
      <c r="B4558">
        <f>IF('01_Вводные'!$B$234="Да",IF(OR(('06_Сеть_и_дети'!B71-'06_Сеть_и_дети'!B99)=0,19&lt;='01_Вводные'!$B$297),0,('06_Сеть_и_дети'!B71-'06_Сеть_и_дети'!B99)*IF('01_Вводные'!$B$239="Да",MeanMinAge19+'19_Расчет_аналитики'!B4608*SUMIF(ThresholdAge19,"&lt;"&amp;'19_Расчет_аналитики'!B4608,WeightedRevAge19)-SUMIF(ThresholdAge19,"&lt;"&amp;'19_Расчет_аналитики'!B4608,WeightedMinAge19),MAX(CapacityAge19*'01_Вводные'!$B$218*'19_Расчет_аналитики'!B4608,MeanMinAge19))),0)</f>
        <v/>
      </c>
      <c r="C4558">
        <f>IF('01_Вводные'!$B$234="Да",IF(OR(('06_Сеть_и_дети'!C71-'06_Сеть_и_дети'!C99)=0,19&lt;='01_Вводные'!$B$297),0,('06_Сеть_и_дети'!C71-'06_Сеть_и_дети'!C99)*IF('01_Вводные'!$B$239="Да",MeanMinAge19+'19_Расчет_аналитики'!C4608*SUMIF(ThresholdAge19,"&lt;"&amp;'19_Расчет_аналитики'!C4608,WeightedRevAge19)-SUMIF(ThresholdAge19,"&lt;"&amp;'19_Расчет_аналитики'!C4608,WeightedMinAge19),MAX(CapacityAge19*'01_Вводные'!$B$218*'19_Расчет_аналитики'!C4608,MeanMinAge19))),0)</f>
        <v/>
      </c>
      <c r="D4558">
        <f>IF('01_Вводные'!$B$234="Да",IF(OR(('06_Сеть_и_дети'!D71-'06_Сеть_и_дети'!D99)=0,19&lt;='01_Вводные'!$B$297),0,('06_Сеть_и_дети'!D71-'06_Сеть_и_дети'!D99)*IF('01_Вводные'!$B$239="Да",MeanMinAge19+'19_Расчет_аналитики'!D4608*SUMIF(ThresholdAge19,"&lt;"&amp;'19_Расчет_аналитики'!D4608,WeightedRevAge19)-SUMIF(ThresholdAge19,"&lt;"&amp;'19_Расчет_аналитики'!D4608,WeightedMinAge19),MAX(CapacityAge19*'01_Вводные'!$B$218*'19_Расчет_аналитики'!D4608,MeanMinAge19))),0)</f>
        <v/>
      </c>
      <c r="E4558">
        <f>IF('01_Вводные'!$B$234="Да",IF(OR(('06_Сеть_и_дети'!E71-'06_Сеть_и_дети'!E99)=0,19&lt;='01_Вводные'!$B$297),0,('06_Сеть_и_дети'!E71-'06_Сеть_и_дети'!E99)*IF('01_Вводные'!$B$239="Да",MeanMinAge19+'19_Расчет_аналитики'!E4608*SUMIF(ThresholdAge19,"&lt;"&amp;'19_Расчет_аналитики'!E4608,WeightedRevAge19)-SUMIF(ThresholdAge19,"&lt;"&amp;'19_Расчет_аналитики'!E4608,WeightedMinAge19),MAX(CapacityAge19*'01_Вводные'!$B$218*'19_Расчет_аналитики'!E4608,MeanMinAge19))),0)</f>
        <v/>
      </c>
      <c r="F4558">
        <f>IF('01_Вводные'!$B$234="Да",IF(OR(('06_Сеть_и_дети'!F71-'06_Сеть_и_дети'!F99)=0,19&lt;='01_Вводные'!$B$297),0,('06_Сеть_и_дети'!F71-'06_Сеть_и_дети'!F99)*IF('01_Вводные'!$B$239="Да",MeanMinAge19+'19_Расчет_аналитики'!F4608*SUMIF(ThresholdAge19,"&lt;"&amp;'19_Расчет_аналитики'!F4608,WeightedRevAge19)-SUMIF(ThresholdAge19,"&lt;"&amp;'19_Расчет_аналитики'!F4608,WeightedMinAge19),MAX(CapacityAge19*'01_Вводные'!$B$218*'19_Расчет_аналитики'!F4608,MeanMinAge19))),0)</f>
        <v/>
      </c>
      <c r="G4558">
        <f>IF('01_Вводные'!$B$234="Да",IF(OR(('06_Сеть_и_дети'!G71-'06_Сеть_и_дети'!G99)=0,19&lt;='01_Вводные'!$B$297),0,('06_Сеть_и_дети'!G71-'06_Сеть_и_дети'!G99)*IF('01_Вводные'!$B$239="Да",MeanMinAge19+'19_Расчет_аналитики'!G4608*SUMIF(ThresholdAge19,"&lt;"&amp;'19_Расчет_аналитики'!G4608,WeightedRevAge19)-SUMIF(ThresholdAge19,"&lt;"&amp;'19_Расчет_аналитики'!G4608,WeightedMinAge19),MAX(CapacityAge19*'01_Вводные'!$B$218*'19_Расчет_аналитики'!G4608,MeanMinAge19))),0)</f>
        <v/>
      </c>
      <c r="H4558">
        <f>IF('01_Вводные'!$B$234="Да",IF(OR(('06_Сеть_и_дети'!H71-'06_Сеть_и_дети'!H99)=0,19&lt;='01_Вводные'!$B$297),0,('06_Сеть_и_дети'!H71-'06_Сеть_и_дети'!H99)*IF('01_Вводные'!$B$239="Да",MeanMinAge19+'19_Расчет_аналитики'!H4608*SUMIF(ThresholdAge19,"&lt;"&amp;'19_Расчет_аналитики'!H4608,WeightedRevAge19)-SUMIF(ThresholdAge19,"&lt;"&amp;'19_Расчет_аналитики'!H4608,WeightedMinAge19),MAX(CapacityAge19*'01_Вводные'!$B$218*'19_Расчет_аналитики'!H4608,MeanMinAge19))),0)</f>
        <v/>
      </c>
      <c r="I4558">
        <f>IF('01_Вводные'!$B$234="Да",IF(OR(('06_Сеть_и_дети'!I71-'06_Сеть_и_дети'!I99)=0,19&lt;='01_Вводные'!$B$297),0,('06_Сеть_и_дети'!I71-'06_Сеть_и_дети'!I99)*IF('01_Вводные'!$B$239="Да",MeanMinAge19+'19_Расчет_аналитики'!I4608*SUMIF(ThresholdAge19,"&lt;"&amp;'19_Расчет_аналитики'!I4608,WeightedRevAge19)-SUMIF(ThresholdAge19,"&lt;"&amp;'19_Расчет_аналитики'!I4608,WeightedMinAge19),MAX(CapacityAge19*'01_Вводные'!$B$218*'19_Расчет_аналитики'!I4608,MeanMinAge19))),0)</f>
        <v/>
      </c>
      <c r="J4558">
        <f>IF('01_Вводные'!$B$234="Да",IF(OR(('06_Сеть_и_дети'!J71-'06_Сеть_и_дети'!J99)=0,19&lt;='01_Вводные'!$B$297),0,('06_Сеть_и_дети'!J71-'06_Сеть_и_дети'!J99)*IF('01_Вводные'!$B$239="Да",MeanMinAge19+'19_Расчет_аналитики'!J4608*SUMIF(ThresholdAge19,"&lt;"&amp;'19_Расчет_аналитики'!J4608,WeightedRevAge19)-SUMIF(ThresholdAge19,"&lt;"&amp;'19_Расчет_аналитики'!J4608,WeightedMinAge19),MAX(CapacityAge19*'01_Вводные'!$B$218*'19_Расчет_аналитики'!J4608,MeanMinAge19))),0)</f>
        <v/>
      </c>
      <c r="K4558">
        <f>IF('01_Вводные'!$B$234="Да",IF(OR(('06_Сеть_и_дети'!K71-'06_Сеть_и_дети'!K99)=0,19&lt;='01_Вводные'!$B$297),0,('06_Сеть_и_дети'!K71-'06_Сеть_и_дети'!K99)*IF('01_Вводные'!$B$239="Да",MeanMinAge19+'19_Расчет_аналитики'!K4608*SUMIF(ThresholdAge19,"&lt;"&amp;'19_Расчет_аналитики'!K4608,WeightedRevAge19)-SUMIF(ThresholdAge19,"&lt;"&amp;'19_Расчет_аналитики'!K4608,WeightedMinAge19),MAX(CapacityAge19*'01_Вводные'!$B$218*'19_Расчет_аналитики'!K4608,MeanMinAge19))),0)</f>
        <v/>
      </c>
      <c r="L4558">
        <f>IF('01_Вводные'!$B$234="Да",IF(OR(('06_Сеть_и_дети'!L71-'06_Сеть_и_дети'!L99)=0,19&lt;='01_Вводные'!$B$297),0,('06_Сеть_и_дети'!L71-'06_Сеть_и_дети'!L99)*IF('01_Вводные'!$B$239="Да",MeanMinAge19+'19_Расчет_аналитики'!L4608*SUMIF(ThresholdAge19,"&lt;"&amp;'19_Расчет_аналитики'!L4608,WeightedRevAge19)-SUMIF(ThresholdAge19,"&lt;"&amp;'19_Расчет_аналитики'!L4608,WeightedMinAge19),MAX(CapacityAge19*'01_Вводные'!$B$218*'19_Расчет_аналитики'!L4608,MeanMinAge19))),0)</f>
        <v/>
      </c>
      <c r="M4558">
        <f>IF('01_Вводные'!$B$234="Да",IF(OR(('06_Сеть_и_дети'!M71-'06_Сеть_и_дети'!M99)=0,19&lt;='01_Вводные'!$B$297),0,('06_Сеть_и_дети'!M71-'06_Сеть_и_дети'!M99)*IF('01_Вводные'!$B$239="Да",MeanMinAge19+'19_Расчет_аналитики'!M4608*SUMIF(ThresholdAge19,"&lt;"&amp;'19_Расчет_аналитики'!M4608,WeightedRevAge19)-SUMIF(ThresholdAge19,"&lt;"&amp;'19_Расчет_аналитики'!M4608,WeightedMinAge19),MAX(CapacityAge19*'01_Вводные'!$B$218*'19_Расчет_аналитики'!M4608,MeanMinAge19))),0)</f>
        <v/>
      </c>
      <c r="N4558">
        <f>IF('01_Вводные'!$B$234="Да",IF(OR(('06_Сеть_и_дети'!N71-'06_Сеть_и_дети'!N99)=0,19&lt;='01_Вводные'!$B$297),0,('06_Сеть_и_дети'!N71-'06_Сеть_и_дети'!N99)*IF('01_Вводные'!$B$239="Да",MeanMinAge19+'19_Расчет_аналитики'!N4608*SUMIF(ThresholdAge19,"&lt;"&amp;'19_Расчет_аналитики'!N4608,WeightedRevAge19)-SUMIF(ThresholdAge19,"&lt;"&amp;'19_Расчет_аналитики'!N4608,WeightedMinAge19),MAX(CapacityAge19*'01_Вводные'!$B$218*'19_Расчет_аналитики'!N4608,MeanMinAge19))),0)</f>
        <v/>
      </c>
      <c r="O4558">
        <f>IF('01_Вводные'!$B$234="Да",IF(OR(('06_Сеть_и_дети'!O71-'06_Сеть_и_дети'!O99)=0,19&lt;='01_Вводные'!$B$297),0,('06_Сеть_и_дети'!O71-'06_Сеть_и_дети'!O99)*IF('01_Вводные'!$B$239="Да",MeanMinAge19+'19_Расчет_аналитики'!O4608*SUMIF(ThresholdAge19,"&lt;"&amp;'19_Расчет_аналитики'!O4608,WeightedRevAge19)-SUMIF(ThresholdAge19,"&lt;"&amp;'19_Расчет_аналитики'!O4608,WeightedMinAge19),MAX(CapacityAge19*'01_Вводные'!$B$218*'19_Расчет_аналитики'!O4608,MeanMinAge19))),0)</f>
        <v/>
      </c>
      <c r="P4558">
        <f>IF('01_Вводные'!$B$234="Да",IF(OR(('06_Сеть_и_дети'!P71-'06_Сеть_и_дети'!P99)=0,19&lt;='01_Вводные'!$B$297),0,('06_Сеть_и_дети'!P71-'06_Сеть_и_дети'!P99)*IF('01_Вводные'!$B$239="Да",MeanMinAge19+'19_Расчет_аналитики'!P4608*SUMIF(ThresholdAge19,"&lt;"&amp;'19_Расчет_аналитики'!P4608,WeightedRevAge19)-SUMIF(ThresholdAge19,"&lt;"&amp;'19_Расчет_аналитики'!P4608,WeightedMinAge19),MAX(CapacityAge19*'01_Вводные'!$B$218*'19_Расчет_аналитики'!P4608,MeanMinAge19))),0)</f>
        <v/>
      </c>
      <c r="Q4558">
        <f>IF('01_Вводные'!$B$234="Да",IF(OR(('06_Сеть_и_дети'!Q71-'06_Сеть_и_дети'!Q99)=0,19&lt;='01_Вводные'!$B$297),0,('06_Сеть_и_дети'!Q71-'06_Сеть_и_дети'!Q99)*IF('01_Вводные'!$B$239="Да",MeanMinAge19+'19_Расчет_аналитики'!Q4608*SUMIF(ThresholdAge19,"&lt;"&amp;'19_Расчет_аналитики'!Q4608,WeightedRevAge19)-SUMIF(ThresholdAge19,"&lt;"&amp;'19_Расчет_аналитики'!Q4608,WeightedMinAge19),MAX(CapacityAge19*'01_Вводные'!$B$218*'19_Расчет_аналитики'!Q4608,MeanMinAge19))),0)</f>
        <v/>
      </c>
      <c r="R4558">
        <f>IF('01_Вводные'!$B$234="Да",IF(OR(('06_Сеть_и_дети'!R71-'06_Сеть_и_дети'!R99)=0,19&lt;='01_Вводные'!$B$297),0,('06_Сеть_и_дети'!R71-'06_Сеть_и_дети'!R99)*IF('01_Вводные'!$B$239="Да",MeanMinAge19+'19_Расчет_аналитики'!R4608*SUMIF(ThresholdAge19,"&lt;"&amp;'19_Расчет_аналитики'!R4608,WeightedRevAge19)-SUMIF(ThresholdAge19,"&lt;"&amp;'19_Расчет_аналитики'!R4608,WeightedMinAge19),MAX(CapacityAge19*'01_Вводные'!$B$218*'19_Расчет_аналитики'!R4608,MeanMinAge19))),0)</f>
        <v/>
      </c>
      <c r="S4558">
        <f>IF('01_Вводные'!$B$234="Да",IF(OR(('06_Сеть_и_дети'!S71-'06_Сеть_и_дети'!S99)=0,19&lt;='01_Вводные'!$B$297),0,('06_Сеть_и_дети'!S71-'06_Сеть_и_дети'!S99)*IF('01_Вводные'!$B$239="Да",MeanMinAge19+'19_Расчет_аналитики'!S4608*SUMIF(ThresholdAge19,"&lt;"&amp;'19_Расчет_аналитики'!S4608,WeightedRevAge19)-SUMIF(ThresholdAge19,"&lt;"&amp;'19_Расчет_аналитики'!S4608,WeightedMinAge19),MAX(CapacityAge19*'01_Вводные'!$B$218*'19_Расчет_аналитики'!S4608,MeanMinAge19))),0)</f>
        <v/>
      </c>
      <c r="T4558">
        <f>IF('01_Вводные'!$B$234="Да",IF(OR(('19_Расчет_аналитики'!T4474-'19_Расчет_аналитики'!T4502)=0,19&lt;='01_Вводные'!$B$297),0,('19_Расчет_аналитики'!T4474-'19_Расчет_аналитики'!T4502)*IF('01_Вводные'!$B$239="Да",MeanMinAge19+'19_Расчет_аналитики'!T4608*SUMIF(ThresholdAge19,"&lt;"&amp;'19_Расчет_аналитики'!T4608,WeightedRevAge19)-SUMIF(ThresholdAge19,"&lt;"&amp;'19_Расчет_аналитики'!T4608,WeightedMinAge19),MAX(CapacityAge19*'01_Вводные'!$B$218*'19_Расчет_аналитики'!T4608,MeanMinAge19))),0)</f>
        <v/>
      </c>
      <c r="U4558">
        <f>IF('01_Вводные'!$B$234="Да",IF(OR(('19_Расчет_аналитики'!U4474-'19_Расчет_аналитики'!U4502)=0,19&lt;='01_Вводные'!$B$297),0,('19_Расчет_аналитики'!U4474-'19_Расчет_аналитики'!U4502)*IF('01_Вводные'!$B$239="Да",MeanMinAge19+'19_Расчет_аналитики'!U4608*SUMIF(ThresholdAge19,"&lt;"&amp;'19_Расчет_аналитики'!U4608,WeightedRevAge19)-SUMIF(ThresholdAge19,"&lt;"&amp;'19_Расчет_аналитики'!U4608,WeightedMinAge19),MAX(CapacityAge19*'01_Вводные'!$B$218*'19_Расчет_аналитики'!U4608,MeanMinAge19))),0)</f>
        <v/>
      </c>
      <c r="V4558">
        <f>IF('01_Вводные'!$B$234="Да",IF(OR(('19_Расчет_аналитики'!V4474-'19_Расчет_аналитики'!V4502)=0,19&lt;='01_Вводные'!$B$297),0,('19_Расчет_аналитики'!V4474-'19_Расчет_аналитики'!V4502)*IF('01_Вводные'!$B$239="Да",MeanMinAge19+'19_Расчет_аналитики'!V4608*SUMIF(ThresholdAge19,"&lt;"&amp;'19_Расчет_аналитики'!V4608,WeightedRevAge19)-SUMIF(ThresholdAge19,"&lt;"&amp;'19_Расчет_аналитики'!V4608,WeightedMinAge19),MAX(CapacityAge19*'01_Вводные'!$B$218*'19_Расчет_аналитики'!V4608,MeanMinAge19))),0)</f>
        <v/>
      </c>
      <c r="W4558">
        <f>IF('01_Вводные'!$B$234="Да",IF(OR(('19_Расчет_аналитики'!W4474-'19_Расчет_аналитики'!W4502)=0,19&lt;='01_Вводные'!$B$297),0,('19_Расчет_аналитики'!W4474-'19_Расчет_аналитики'!W4502)*IF('01_Вводные'!$B$239="Да",MeanMinAge19+'19_Расчет_аналитики'!W4608*SUMIF(ThresholdAge19,"&lt;"&amp;'19_Расчет_аналитики'!W4608,WeightedRevAge19)-SUMIF(ThresholdAge19,"&lt;"&amp;'19_Расчет_аналитики'!W4608,WeightedMinAge19),MAX(CapacityAge19*'01_Вводные'!$B$218*'19_Расчет_аналитики'!W4608,MeanMinAge19))),0)</f>
        <v/>
      </c>
      <c r="X4558">
        <f>IF('01_Вводные'!$B$234="Да",IF(OR(('19_Расчет_аналитики'!X4474-'19_Расчет_аналитики'!X4502)=0,19&lt;='01_Вводные'!$B$297),0,('19_Расчет_аналитики'!X4474-'19_Расчет_аналитики'!X4502)*IF('01_Вводные'!$B$239="Да",MeanMinAge19+'19_Расчет_аналитики'!X4608*SUMIF(ThresholdAge19,"&lt;"&amp;'19_Расчет_аналитики'!X4608,WeightedRevAge19)-SUMIF(ThresholdAge19,"&lt;"&amp;'19_Расчет_аналитики'!X4608,WeightedMinAge19),MAX(CapacityAge19*'01_Вводные'!$B$218*'19_Расчет_аналитики'!X4608,MeanMinAge19))),0)</f>
        <v/>
      </c>
      <c r="Y4558">
        <f>IF('01_Вводные'!$B$234="Да",IF(OR(('19_Расчет_аналитики'!Y4474-'19_Расчет_аналитики'!Y4502)=0,19&lt;='01_Вводные'!$B$297),0,('19_Расчет_аналитики'!Y4474-'19_Расчет_аналитики'!Y4502)*IF('01_Вводные'!$B$239="Да",MeanMinAge19+'19_Расчет_аналитики'!Y4608*SUMIF(ThresholdAge19,"&lt;"&amp;'19_Расчет_аналитики'!Y4608,WeightedRevAge19)-SUMIF(ThresholdAge19,"&lt;"&amp;'19_Расчет_аналитики'!Y4608,WeightedMinAge19),MAX(CapacityAge19*'01_Вводные'!$B$218*'19_Расчет_аналитики'!Y4608,MeanMinAge19))),0)</f>
        <v/>
      </c>
      <c r="Z4558">
        <f>IF('01_Вводные'!$B$234="Да",IF(OR(('19_Расчет_аналитики'!Z4474-'19_Расчет_аналитики'!Z4502)=0,19&lt;='01_Вводные'!$B$297),0,('19_Расчет_аналитики'!Z4474-'19_Расчет_аналитики'!Z4502)*IF('01_Вводные'!$B$239="Да",MeanMinAge19+'19_Расчет_аналитики'!Z4608*SUMIF(ThresholdAge19,"&lt;"&amp;'19_Расчет_аналитики'!Z4608,WeightedRevAge19)-SUMIF(ThresholdAge19,"&lt;"&amp;'19_Расчет_аналитики'!Z4608,WeightedMinAge19),MAX(CapacityAge19*'01_Вводные'!$B$218*'19_Расчет_аналитики'!Z4608,MeanMinAge19))),0)</f>
        <v/>
      </c>
      <c r="AA4558">
        <f>IF('01_Вводные'!$B$234="Да",IF(OR(('19_Расчет_аналитики'!AA4474-'19_Расчет_аналитики'!AA4502)=0,19&lt;='01_Вводные'!$B$297),0,('19_Расчет_аналитики'!AA4474-'19_Расчет_аналитики'!AA4502)*IF('01_Вводные'!$B$239="Да",MeanMinAge19+'19_Расчет_аналитики'!AA4608*SUMIF(ThresholdAge19,"&lt;"&amp;'19_Расчет_аналитики'!AA4608,WeightedRevAge19)-SUMIF(ThresholdAge19,"&lt;"&amp;'19_Расчет_аналитики'!AA4608,WeightedMinAge19),MAX(CapacityAge19*'01_Вводные'!$B$218*'19_Расчет_аналитики'!AA4608,MeanMinAge19))),0)</f>
        <v/>
      </c>
      <c r="AB4558">
        <f>IF('01_Вводные'!$B$234="Да",IF(OR(('19_Расчет_аналитики'!AB4474-'19_Расчет_аналитики'!AB4502)=0,19&lt;='01_Вводные'!$B$297),0,('19_Расчет_аналитики'!AB4474-'19_Расчет_аналитики'!AB4502)*IF('01_Вводные'!$B$239="Да",MeanMinAge19+'19_Расчет_аналитики'!AB4608*SUMIF(ThresholdAge19,"&lt;"&amp;'19_Расчет_аналитики'!AB4608,WeightedRevAge19)-SUMIF(ThresholdAge19,"&lt;"&amp;'19_Расчет_аналитики'!AB4608,WeightedMinAge19),MAX(CapacityAge19*'01_Вводные'!$B$218*'19_Расчет_аналитики'!AB4608,MeanMinAge19))),0)</f>
        <v/>
      </c>
      <c r="AC4558">
        <f>IF('01_Вводные'!$B$234="Да",IF(OR(('19_Расчет_аналитики'!AC4474-'19_Расчет_аналитики'!AC4502)=0,19&lt;='01_Вводные'!$B$297),0,('19_Расчет_аналитики'!AC4474-'19_Расчет_аналитики'!AC4502)*IF('01_Вводные'!$B$239="Да",MeanMinAge19+'19_Расчет_аналитики'!AC4608*SUMIF(ThresholdAge19,"&lt;"&amp;'19_Расчет_аналитики'!AC4608,WeightedRevAge19)-SUMIF(ThresholdAge19,"&lt;"&amp;'19_Расчет_аналитики'!AC4608,WeightedMinAge19),MAX(CapacityAge19*'01_Вводные'!$B$218*'19_Расчет_аналитики'!AC4608,MeanMinAge19))),0)</f>
        <v/>
      </c>
      <c r="AD4558">
        <f>IF('01_Вводные'!$B$234="Да",IF(OR(('19_Расчет_аналитики'!AD4474-'19_Расчет_аналитики'!AD4502)=0,19&lt;='01_Вводные'!$B$297),0,('19_Расчет_аналитики'!AD4474-'19_Расчет_аналитики'!AD4502)*IF('01_Вводные'!$B$239="Да",MeanMinAge19+'19_Расчет_аналитики'!AD4608*SUMIF(ThresholdAge19,"&lt;"&amp;'19_Расчет_аналитики'!AD4608,WeightedRevAge19)-SUMIF(ThresholdAge19,"&lt;"&amp;'19_Расчет_аналитики'!AD4608,WeightedMinAge19),MAX(CapacityAge19*'01_Вводные'!$B$218*'19_Расчет_аналитики'!AD4608,MeanMinAge19))),0)</f>
        <v/>
      </c>
      <c r="AE4558">
        <f>IF('01_Вводные'!$B$234="Да",IF(OR(('19_Расчет_аналитики'!AE4474-'19_Расчет_аналитики'!AE4502)=0,19&lt;='01_Вводные'!$B$297),0,('19_Расчет_аналитики'!AE4474-'19_Расчет_аналитики'!AE4502)*IF('01_Вводные'!$B$239="Да",MeanMinAge19+'19_Расчет_аналитики'!AE4608*SUMIF(ThresholdAge19,"&lt;"&amp;'19_Расчет_аналитики'!AE4608,WeightedRevAge19)-SUMIF(ThresholdAge19,"&lt;"&amp;'19_Расчет_аналитики'!AE4608,WeightedMinAge19),MAX(CapacityAge19*'01_Вводные'!$B$218*'19_Расчет_аналитики'!AE4608,MeanMinAge19))),0)</f>
        <v/>
      </c>
      <c r="AF4558">
        <f>IF('01_Вводные'!$B$234="Да",IF(OR(('19_Расчет_аналитики'!AF4474-'19_Расчет_аналитики'!AF4502)=0,19&lt;='01_Вводные'!$B$297),0,('19_Расчет_аналитики'!AF4474-'19_Расчет_аналитики'!AF4502)*IF('01_Вводные'!$B$239="Да",MeanMinAge19+'19_Расчет_аналитики'!AF4608*SUMIF(ThresholdAge19,"&lt;"&amp;'19_Расчет_аналитики'!AF4608,WeightedRevAge19)-SUMIF(ThresholdAge19,"&lt;"&amp;'19_Расчет_аналитики'!AF4608,WeightedMinAge19),MAX(CapacityAge19*'01_Вводные'!$B$218*'19_Расчет_аналитики'!AF4608,MeanMinAge19))),0)</f>
        <v/>
      </c>
      <c r="AG4558">
        <f>IF('01_Вводные'!$B$234="Да",IF(OR(('19_Расчет_аналитики'!AG4474-'19_Расчет_аналитики'!AG4502)=0,19&lt;='01_Вводные'!$B$297),0,('19_Расчет_аналитики'!AG4474-'19_Расчет_аналитики'!AG4502)*IF('01_Вводные'!$B$239="Да",MeanMinAge19+'19_Расчет_аналитики'!AG4608*SUMIF(ThresholdAge19,"&lt;"&amp;'19_Расчет_аналитики'!AG4608,WeightedRevAge19)-SUMIF(ThresholdAge19,"&lt;"&amp;'19_Расчет_аналитики'!AG4608,WeightedMinAge19),MAX(CapacityAge19*'01_Вводные'!$B$218*'19_Расчет_аналитики'!AG4608,MeanMinAge19))),0)</f>
        <v/>
      </c>
      <c r="AH4558">
        <f>IF('01_Вводные'!$B$234="Да",IF(OR(('19_Расчет_аналитики'!AH4474-'19_Расчет_аналитики'!AH4502)=0,19&lt;='01_Вводные'!$B$297),0,('19_Расчет_аналитики'!AH4474-'19_Расчет_аналитики'!AH4502)*IF('01_Вводные'!$B$239="Да",MeanMinAge19+'19_Расчет_аналитики'!AH4608*SUMIF(ThresholdAge19,"&lt;"&amp;'19_Расчет_аналитики'!AH4608,WeightedRevAge19)-SUMIF(ThresholdAge19,"&lt;"&amp;'19_Расчет_аналитики'!AH4608,WeightedMinAge19),MAX(CapacityAge19*'01_Вводные'!$B$218*'19_Расчет_аналитики'!AH4608,MeanMinAge19))),0)</f>
        <v/>
      </c>
      <c r="AI4558">
        <f>IF('01_Вводные'!$B$234="Да",IF(OR(('19_Расчет_аналитики'!AI4474-'19_Расчет_аналитики'!AI4502)=0,19&lt;='01_Вводные'!$B$297),0,('19_Расчет_аналитики'!AI4474-'19_Расчет_аналитики'!AI4502)*IF('01_Вводные'!$B$239="Да",MeanMinAge19+'19_Расчет_аналитики'!AI4608*SUMIF(ThresholdAge19,"&lt;"&amp;'19_Расчет_аналитики'!AI4608,WeightedRevAge19)-SUMIF(ThresholdAge19,"&lt;"&amp;'19_Расчет_аналитики'!AI4608,WeightedMinAge19),MAX(CapacityAge19*'01_Вводные'!$B$218*'19_Расчет_аналитики'!AI4608,MeanMinAge19))),0)</f>
        <v/>
      </c>
      <c r="AJ4558">
        <f>IF('01_Вводные'!$B$234="Да",IF(OR(('19_Расчет_аналитики'!AJ4474-'19_Расчет_аналитики'!AJ4502)=0,19&lt;='01_Вводные'!$B$297),0,('19_Расчет_аналитики'!AJ4474-'19_Расчет_аналитики'!AJ4502)*IF('01_Вводные'!$B$239="Да",MeanMinAge19+'19_Расчет_аналитики'!AJ4608*SUMIF(ThresholdAge19,"&lt;"&amp;'19_Расчет_аналитики'!AJ4608,WeightedRevAge19)-SUMIF(ThresholdAge19,"&lt;"&amp;'19_Расчет_аналитики'!AJ4608,WeightedMinAge19),MAX(CapacityAge19*'01_Вводные'!$B$218*'19_Расчет_аналитики'!AJ4608,MeanMinAge19))),0)</f>
        <v/>
      </c>
      <c r="AK4558">
        <f>IF('01_Вводные'!$B$234="Да",IF(OR(('19_Расчет_аналитики'!AK4474-'19_Расчет_аналитики'!AK4502)=0,19&lt;='01_Вводные'!$B$297),0,('19_Расчет_аналитики'!AK4474-'19_Расчет_аналитики'!AK4502)*IF('01_Вводные'!$B$239="Да",MeanMinAge19+'19_Расчет_аналитики'!AK4608*SUMIF(ThresholdAge19,"&lt;"&amp;'19_Расчет_аналитики'!AK4608,WeightedRevAge19)-SUMIF(ThresholdAge19,"&lt;"&amp;'19_Расчет_аналитики'!AK4608,WeightedMinAge19),MAX(CapacityAge19*'01_Вводные'!$B$218*'19_Расчет_аналитики'!AK4608,MeanMinAge19))),0)</f>
        <v/>
      </c>
      <c r="AL4558">
        <f>IF('01_Вводные'!$B$234="Да",IF(OR(('19_Расчет_аналитики'!AL4474-'19_Расчет_аналитики'!AL4502)=0,19&lt;='01_Вводные'!$B$297),0,('19_Расчет_аналитики'!AL4474-'19_Расчет_аналитики'!AL4502)*IF('01_Вводные'!$B$239="Да",MeanMinAge19+'19_Расчет_аналитики'!AL4608*SUMIF(ThresholdAge19,"&lt;"&amp;'19_Расчет_аналитики'!AL4608,WeightedRevAge19)-SUMIF(ThresholdAge19,"&lt;"&amp;'19_Расчет_аналитики'!AL4608,WeightedMinAge19),MAX(CapacityAge19*'01_Вводные'!$B$218*'19_Расчет_аналитики'!AL4608,MeanMinAge19))),0)</f>
        <v/>
      </c>
      <c r="AM4558">
        <f>IF('01_Вводные'!$B$234="Да",IF(OR(('19_Расчет_аналитики'!AM4474-'19_Расчет_аналитики'!AM4502)=0,19&lt;='01_Вводные'!$B$297),0,('19_Расчет_аналитики'!AM4474-'19_Расчет_аналитики'!AM4502)*IF('01_Вводные'!$B$239="Да",MeanMinAge19+'19_Расчет_аналитики'!AM4608*SUMIF(ThresholdAge19,"&lt;"&amp;'19_Расчет_аналитики'!AM4608,WeightedRevAge19)-SUMIF(ThresholdAge19,"&lt;"&amp;'19_Расчет_аналитики'!AM4608,WeightedMinAge19),MAX(CapacityAge19*'01_Вводные'!$B$218*'19_Расчет_аналитики'!AM4608,MeanMinAge19))),0)</f>
        <v/>
      </c>
      <c r="AN4558">
        <f>IF('01_Вводные'!$B$234="Да",IF(OR(('19_Расчет_аналитики'!AN4474-'19_Расчет_аналитики'!AN4502)=0,19&lt;='01_Вводные'!$B$297),0,('19_Расчет_аналитики'!AN4474-'19_Расчет_аналитики'!AN4502)*IF('01_Вводные'!$B$239="Да",MeanMinAge19+'19_Расчет_аналитики'!AN4608*SUMIF(ThresholdAge19,"&lt;"&amp;'19_Расчет_аналитики'!AN4608,WeightedRevAge19)-SUMIF(ThresholdAge19,"&lt;"&amp;'19_Расчет_аналитики'!AN4608,WeightedMinAge19),MAX(CapacityAge19*'01_Вводные'!$B$218*'19_Расчет_аналитики'!AN4608,MeanMinAge19))),0)</f>
        <v/>
      </c>
      <c r="AO4558">
        <f>IF('01_Вводные'!$B$234="Да",IF(OR(('19_Расчет_аналитики'!AO4474-'19_Расчет_аналитики'!AO4502)=0,19&lt;='01_Вводные'!$B$297),0,('19_Расчет_аналитики'!AO4474-'19_Расчет_аналитики'!AO4502)*IF('01_Вводные'!$B$239="Да",MeanMinAge19+'19_Расчет_аналитики'!AO4608*SUMIF(ThresholdAge19,"&lt;"&amp;'19_Расчет_аналитики'!AO4608,WeightedRevAge19)-SUMIF(ThresholdAge19,"&lt;"&amp;'19_Расчет_аналитики'!AO4608,WeightedMinAge19),MAX(CapacityAge19*'01_Вводные'!$B$218*'19_Расчет_аналитики'!AO4608,MeanMinAge19))),0)</f>
        <v/>
      </c>
      <c r="AP4558">
        <f>IF('01_Вводные'!$B$234="Да",IF(OR(('19_Расчет_аналитики'!AP4474-'19_Расчет_аналитики'!AP4502)=0,19&lt;='01_Вводные'!$B$297),0,('19_Расчет_аналитики'!AP4474-'19_Расчет_аналитики'!AP4502)*IF('01_Вводные'!$B$239="Да",MeanMinAge19+'19_Расчет_аналитики'!AP4608*SUMIF(ThresholdAge19,"&lt;"&amp;'19_Расчет_аналитики'!AP4608,WeightedRevAge19)-SUMIF(ThresholdAge19,"&lt;"&amp;'19_Расчет_аналитики'!AP4608,WeightedMinAge19),MAX(CapacityAge19*'01_Вводные'!$B$218*'19_Расчет_аналитики'!AP4608,MeanMinAge19))),0)</f>
        <v/>
      </c>
      <c r="AQ4558">
        <f>IF('01_Вводные'!$B$234="Да",IF(OR(('19_Расчет_аналитики'!AQ4474-'19_Расчет_аналитики'!AQ4502)=0,19&lt;='01_Вводные'!$B$297),0,('19_Расчет_аналитики'!AQ4474-'19_Расчет_аналитики'!AQ4502)*IF('01_Вводные'!$B$239="Да",MeanMinAge19+'19_Расчет_аналитики'!AQ4608*SUMIF(ThresholdAge19,"&lt;"&amp;'19_Расчет_аналитики'!AQ4608,WeightedRevAge19)-SUMIF(ThresholdAge19,"&lt;"&amp;'19_Расчет_аналитики'!AQ4608,WeightedMinAge19),MAX(CapacityAge19*'01_Вводные'!$B$218*'19_Расчет_аналитики'!AQ4608,MeanMinAge19))),0)</f>
        <v/>
      </c>
      <c r="AR4558">
        <f>IF('01_Вводные'!$B$234="Да",IF(OR(('19_Расчет_аналитики'!AR4474-'19_Расчет_аналитики'!AR4502)=0,19&lt;='01_Вводные'!$B$297),0,('19_Расчет_аналитики'!AR4474-'19_Расчет_аналитики'!AR4502)*IF('01_Вводные'!$B$239="Да",MeanMinAge19+'19_Расчет_аналитики'!AR4608*SUMIF(ThresholdAge19,"&lt;"&amp;'19_Расчет_аналитики'!AR4608,WeightedRevAge19)-SUMIF(ThresholdAge19,"&lt;"&amp;'19_Расчет_аналитики'!AR4608,WeightedMinAge19),MAX(CapacityAge19*'01_Вводные'!$B$218*'19_Расчет_аналитики'!AR4608,MeanMinAge19))),0)</f>
        <v/>
      </c>
      <c r="AS4558">
        <f>IF('01_Вводные'!$B$234="Да",IF(OR(('19_Расчет_аналитики'!AS4474-'19_Расчет_аналитики'!AS4502)=0,19&lt;='01_Вводные'!$B$297),0,('19_Расчет_аналитики'!AS4474-'19_Расчет_аналитики'!AS4502)*IF('01_Вводные'!$B$239="Да",MeanMinAge19+'19_Расчет_аналитики'!AS4608*SUMIF(ThresholdAge19,"&lt;"&amp;'19_Расчет_аналитики'!AS4608,WeightedRevAge19)-SUMIF(ThresholdAge19,"&lt;"&amp;'19_Расчет_аналитики'!AS4608,WeightedMinAge19),MAX(CapacityAge19*'01_Вводные'!$B$218*'19_Расчет_аналитики'!AS4608,MeanMinAge19))),0)</f>
        <v/>
      </c>
      <c r="AT4558">
        <f>IF('01_Вводные'!$B$234="Да",IF(OR(('19_Расчет_аналитики'!AT4474-'19_Расчет_аналитики'!AT4502)=0,19&lt;='01_Вводные'!$B$297),0,('19_Расчет_аналитики'!AT4474-'19_Расчет_аналитики'!AT4502)*IF('01_Вводные'!$B$239="Да",MeanMinAge19+'19_Расчет_аналитики'!AT4608*SUMIF(ThresholdAge19,"&lt;"&amp;'19_Расчет_аналитики'!AT4608,WeightedRevAge19)-SUMIF(ThresholdAge19,"&lt;"&amp;'19_Расчет_аналитики'!AT4608,WeightedMinAge19),MAX(CapacityAge19*'01_Вводные'!$B$218*'19_Расчет_аналитики'!AT4608,MeanMinAge19))),0)</f>
        <v/>
      </c>
      <c r="AU4558">
        <f>IF('01_Вводные'!$B$234="Да",IF(OR(('19_Расчет_аналитики'!AU4474-'19_Расчет_аналитики'!AU4502)=0,19&lt;='01_Вводные'!$B$297),0,('19_Расчет_аналитики'!AU4474-'19_Расчет_аналитики'!AU4502)*IF('01_Вводные'!$B$239="Да",MeanMinAge19+'19_Расчет_аналитики'!AU4608*SUMIF(ThresholdAge19,"&lt;"&amp;'19_Расчет_аналитики'!AU4608,WeightedRevAge19)-SUMIF(ThresholdAge19,"&lt;"&amp;'19_Расчет_аналитики'!AU4608,WeightedMinAge19),MAX(CapacityAge19*'01_Вводные'!$B$218*'19_Расчет_аналитики'!AU4608,MeanMinAge19))),0)</f>
        <v/>
      </c>
      <c r="AV4558">
        <f>IF('01_Вводные'!$B$234="Да",IF(OR(('19_Расчет_аналитики'!AV4474-'19_Расчет_аналитики'!AV4502)=0,19&lt;='01_Вводные'!$B$297),0,('19_Расчет_аналитики'!AV4474-'19_Расчет_аналитики'!AV4502)*IF('01_Вводные'!$B$239="Да",MeanMinAge19+'19_Расчет_аналитики'!AV4608*SUMIF(ThresholdAge19,"&lt;"&amp;'19_Расчет_аналитики'!AV4608,WeightedRevAge19)-SUMIF(ThresholdAge19,"&lt;"&amp;'19_Расчет_аналитики'!AV4608,WeightedMinAge19),MAX(CapacityAge19*'01_Вводные'!$B$218*'19_Расчет_аналитики'!AV4608,MeanMinAge19))),0)</f>
        <v/>
      </c>
      <c r="AW4558">
        <f>IF('01_Вводные'!$B$234="Да",IF(OR(('19_Расчет_аналитики'!AW4474-'19_Расчет_аналитики'!AW4502)=0,19&lt;='01_Вводные'!$B$297),0,('19_Расчет_аналитики'!AW4474-'19_Расчет_аналитики'!AW4502)*IF('01_Вводные'!$B$239="Да",MeanMinAge19+'19_Расчет_аналитики'!AW4608*SUMIF(ThresholdAge19,"&lt;"&amp;'19_Расчет_аналитики'!AW4608,WeightedRevAge19)-SUMIF(ThresholdAge19,"&lt;"&amp;'19_Расчет_аналитики'!AW4608,WeightedMinAge19),MAX(CapacityAge19*'01_Вводные'!$B$218*'19_Расчет_аналитики'!AW4608,MeanMinAge19))),0)</f>
        <v/>
      </c>
      <c r="AX4558">
        <f>IF('01_Вводные'!$B$234="Да",IF(OR(('19_Расчет_аналитики'!AX4474-'19_Расчет_аналитики'!AX4502)=0,19&lt;='01_Вводные'!$B$297),0,('19_Расчет_аналитики'!AX4474-'19_Расчет_аналитики'!AX4502)*IF('01_Вводные'!$B$239="Да",MeanMinAge19+'19_Расчет_аналитики'!AX4608*SUMIF(ThresholdAge19,"&lt;"&amp;'19_Расчет_аналитики'!AX4608,WeightedRevAge19)-SUMIF(ThresholdAge19,"&lt;"&amp;'19_Расчет_аналитики'!AX4608,WeightedMinAge19),MAX(CapacityAge19*'01_Вводные'!$B$218*'19_Расчет_аналитики'!AX4608,MeanMinAge19))),0)</f>
        <v/>
      </c>
      <c r="AY4558">
        <f>IF('01_Вводные'!$B$234="Да",IF(OR(('19_Расчет_аналитики'!AY4474-'19_Расчет_аналитики'!AY4502)=0,19&lt;='01_Вводные'!$B$297),0,('19_Расчет_аналитики'!AY4474-'19_Расчет_аналитики'!AY4502)*IF('01_Вводные'!$B$239="Да",MeanMinAge19+'19_Расчет_аналитики'!AY4608*SUMIF(ThresholdAge19,"&lt;"&amp;'19_Расчет_аналитики'!AY4608,WeightedRevAge19)-SUMIF(ThresholdAge19,"&lt;"&amp;'19_Расчет_аналитики'!AY4608,WeightedMinAge19),MAX(CapacityAge19*'01_Вводные'!$B$218*'19_Расчет_аналитики'!AY4608,MeanMinAge19))),0)</f>
        <v/>
      </c>
      <c r="AZ4558">
        <f>IF('01_Вводные'!$B$234="Да",IF(OR(('19_Расчет_аналитики'!AZ4474-'19_Расчет_аналитики'!AZ4502)=0,19&lt;='01_Вводные'!$B$297),0,('19_Расчет_аналитики'!AZ4474-'19_Расчет_аналитики'!AZ4502)*IF('01_Вводные'!$B$239="Да",MeanMinAge19+'19_Расчет_аналитики'!AZ4608*SUMIF(ThresholdAge19,"&lt;"&amp;'19_Расчет_аналитики'!AZ4608,WeightedRevAge19)-SUMIF(ThresholdAge19,"&lt;"&amp;'19_Расчет_аналитики'!AZ4608,WeightedMinAge19),MAX(CapacityAge19*'01_Вводные'!$B$218*'19_Расчет_аналитики'!AZ4608,MeanMinAge19))),0)</f>
        <v/>
      </c>
      <c r="BA4558">
        <f>IF('01_Вводные'!$B$234="Да",IF(OR(('19_Расчет_аналитики'!BA4474-'19_Расчет_аналитики'!BA4502)=0,19&lt;='01_Вводные'!$B$297),0,('19_Расчет_аналитики'!BA4474-'19_Расчет_аналитики'!BA4502)*IF('01_Вводные'!$B$239="Да",MeanMinAge19+'19_Расчет_аналитики'!BA4608*SUMIF(ThresholdAge19,"&lt;"&amp;'19_Расчет_аналитики'!BA4608,WeightedRevAge19)-SUMIF(ThresholdAge19,"&lt;"&amp;'19_Расчет_аналитики'!BA4608,WeightedMinAge19),MAX(CapacityAge19*'01_Вводные'!$B$218*'19_Расчет_аналитики'!BA4608,MeanMinAge19))),0)</f>
        <v/>
      </c>
      <c r="BB4558">
        <f>IF('01_Вводные'!$B$234="Да",IF(OR(('19_Расчет_аналитики'!BB4474-'19_Расчет_аналитики'!BB4502)=0,19&lt;='01_Вводные'!$B$297),0,('19_Расчет_аналитики'!BB4474-'19_Расчет_аналитики'!BB4502)*IF('01_Вводные'!$B$239="Да",MeanMinAge19+'19_Расчет_аналитики'!BB4608*SUMIF(ThresholdAge19,"&lt;"&amp;'19_Расчет_аналитики'!BB4608,WeightedRevAge19)-SUMIF(ThresholdAge19,"&lt;"&amp;'19_Расчет_аналитики'!BB4608,WeightedMinAge19),MAX(CapacityAge19*'01_Вводные'!$B$218*'19_Расчет_аналитики'!BB4608,MeanMinAge19))),0)</f>
        <v/>
      </c>
      <c r="BC4558">
        <f>IF('01_Вводные'!$B$234="Да",IF(OR(('19_Расчет_аналитики'!BC4474-'19_Расчет_аналитики'!BC4502)=0,19&lt;='01_Вводные'!$B$297),0,('19_Расчет_аналитики'!BC4474-'19_Расчет_аналитики'!BC4502)*IF('01_Вводные'!$B$239="Да",MeanMinAge19+'19_Расчет_аналитики'!BC4608*SUMIF(ThresholdAge19,"&lt;"&amp;'19_Расчет_аналитики'!BC4608,WeightedRevAge19)-SUMIF(ThresholdAge19,"&lt;"&amp;'19_Расчет_аналитики'!BC4608,WeightedMinAge19),MAX(CapacityAge19*'01_Вводные'!$B$218*'19_Расчет_аналитики'!BC4608,MeanMinAge19))),0)</f>
        <v/>
      </c>
      <c r="BD4558">
        <f>IF('01_Вводные'!$B$234="Да",IF(OR(('19_Расчет_аналитики'!BD4474-'19_Расчет_аналитики'!BD4502)=0,19&lt;='01_Вводные'!$B$297),0,('19_Расчет_аналитики'!BD4474-'19_Расчет_аналитики'!BD4502)*IF('01_Вводные'!$B$239="Да",MeanMinAge19+'19_Расчет_аналитики'!BD4608*SUMIF(ThresholdAge19,"&lt;"&amp;'19_Расчет_аналитики'!BD4608,WeightedRevAge19)-SUMIF(ThresholdAge19,"&lt;"&amp;'19_Расчет_аналитики'!BD4608,WeightedMinAge19),MAX(CapacityAge19*'01_Вводные'!$B$218*'19_Расчет_аналитики'!BD4608,MeanMinAge19))),0)</f>
        <v/>
      </c>
      <c r="BE4558">
        <f>IF('01_Вводные'!$B$234="Да",IF(OR(('19_Расчет_аналитики'!BE4474-'19_Расчет_аналитики'!BE4502)=0,19&lt;='01_Вводные'!$B$297),0,('19_Расчет_аналитики'!BE4474-'19_Расчет_аналитики'!BE4502)*IF('01_Вводные'!$B$239="Да",MeanMinAge19+'19_Расчет_аналитики'!BE4608*SUMIF(ThresholdAge19,"&lt;"&amp;'19_Расчет_аналитики'!BE4608,WeightedRevAge19)-SUMIF(ThresholdAge19,"&lt;"&amp;'19_Расчет_аналитики'!BE4608,WeightedMinAge19),MAX(CapacityAge19*'01_Вводные'!$B$218*'19_Расчет_аналитики'!BE4608,MeanMinAge19))),0)</f>
        <v/>
      </c>
      <c r="BF4558">
        <f>IF('01_Вводные'!$B$234="Да",IF(OR(('19_Расчет_аналитики'!BF4474-'19_Расчет_аналитики'!BF4502)=0,19&lt;='01_Вводные'!$B$297),0,('19_Расчет_аналитики'!BF4474-'19_Расчет_аналитики'!BF4502)*IF('01_Вводные'!$B$239="Да",MeanMinAge19+'19_Расчет_аналитики'!BF4608*SUMIF(ThresholdAge19,"&lt;"&amp;'19_Расчет_аналитики'!BF4608,WeightedRevAge19)-SUMIF(ThresholdAge19,"&lt;"&amp;'19_Расчет_аналитики'!BF4608,WeightedMinAge19),MAX(CapacityAge19*'01_Вводные'!$B$218*'19_Расчет_аналитики'!BF4608,MeanMinAge19))),0)</f>
        <v/>
      </c>
      <c r="BG4558">
        <f>IF('01_Вводные'!$B$234="Да",IF(OR(('19_Расчет_аналитики'!BG4474-'19_Расчет_аналитики'!BG4502)=0,19&lt;='01_Вводные'!$B$297),0,('19_Расчет_аналитики'!BG4474-'19_Расчет_аналитики'!BG4502)*IF('01_Вводные'!$B$239="Да",MeanMinAge19+'19_Расчет_аналитики'!BG4608*SUMIF(ThresholdAge19,"&lt;"&amp;'19_Расчет_аналитики'!BG4608,WeightedRevAge19)-SUMIF(ThresholdAge19,"&lt;"&amp;'19_Расчет_аналитики'!BG4608,WeightedMinAge19),MAX(CapacityAge19*'01_Вводные'!$B$218*'19_Расчет_аналитики'!BG4608,MeanMinAge19))),0)</f>
        <v/>
      </c>
      <c r="BH4558">
        <f>IF('01_Вводные'!$B$234="Да",IF(OR(('19_Расчет_аналитики'!BH4474-'19_Расчет_аналитики'!BH4502)=0,19&lt;='01_Вводные'!$B$297),0,('19_Расчет_аналитики'!BH4474-'19_Расчет_аналитики'!BH4502)*IF('01_Вводные'!$B$239="Да",MeanMinAge19+'19_Расчет_аналитики'!BH4608*SUMIF(ThresholdAge19,"&lt;"&amp;'19_Расчет_аналитики'!BH4608,WeightedRevAge19)-SUMIF(ThresholdAge19,"&lt;"&amp;'19_Расчет_аналитики'!BH4608,WeightedMinAge19),MAX(CapacityAge19*'01_Вводные'!$B$218*'19_Расчет_аналитики'!BH4608,MeanMinAge19))),0)</f>
        <v/>
      </c>
      <c r="BI4558">
        <f>IF('01_Вводные'!$B$234="Да",IF(OR(('19_Расчет_аналитики'!BI4474-'19_Расчет_аналитики'!BI4502)=0,19&lt;='01_Вводные'!$B$297),0,('19_Расчет_аналитики'!BI4474-'19_Расчет_аналитики'!BI4502)*IF('01_Вводные'!$B$239="Да",MeanMinAge19+'19_Расчет_аналитики'!BI4608*SUMIF(ThresholdAge19,"&lt;"&amp;'19_Расчет_аналитики'!BI4608,WeightedRevAge19)-SUMIF(ThresholdAge19,"&lt;"&amp;'19_Расчет_аналитики'!BI4608,WeightedMinAge19),MAX(CapacityAge19*'01_Вводные'!$B$218*'19_Расчет_аналитики'!BI4608,MeanMinAge19))),0)</f>
        <v/>
      </c>
      <c r="BJ4558">
        <f>IF('01_Вводные'!$B$234="Да",IF(OR(('19_Расчет_аналитики'!BJ4474-'19_Расчет_аналитики'!BJ4502)=0,19&lt;='01_Вводные'!$B$297),0,('19_Расчет_аналитики'!BJ4474-'19_Расчет_аналитики'!BJ4502)*IF('01_Вводные'!$B$239="Да",MeanMinAge19+'19_Расчет_аналитики'!BJ4608*SUMIF(ThresholdAge19,"&lt;"&amp;'19_Расчет_аналитики'!BJ4608,WeightedRevAge19)-SUMIF(ThresholdAge19,"&lt;"&amp;'19_Расчет_аналитики'!BJ4608,WeightedMinAge19),MAX(CapacityAge19*'01_Вводные'!$B$218*'19_Расчет_аналитики'!BJ4608,MeanMinAge19))),0)</f>
        <v/>
      </c>
      <c r="BK4558">
        <f>IF('01_Вводные'!$B$234="Да",IF(OR(('19_Расчет_аналитики'!BK4474-'19_Расчет_аналитики'!BK4502)=0,19&lt;='01_Вводные'!$B$297),0,('19_Расчет_аналитики'!BK4474-'19_Расчет_аналитики'!BK4502)*IF('01_Вводные'!$B$239="Да",MeanMinAge19+'19_Расчет_аналитики'!BK4608*SUMIF(ThresholdAge19,"&lt;"&amp;'19_Расчет_аналитики'!BK4608,WeightedRevAge19)-SUMIF(ThresholdAge19,"&lt;"&amp;'19_Расчет_аналитики'!BK4608,WeightedMinAge19),MAX(CapacityAge19*'01_Вводные'!$B$218*'19_Расчет_аналитики'!BK4608,MeanMinAge19))),0)</f>
        <v/>
      </c>
      <c r="BL4558">
        <f>IF('01_Вводные'!$B$234="Да",IF(OR(('19_Расчет_аналитики'!BL4474-'19_Расчет_аналитики'!BL4502)=0,19&lt;='01_Вводные'!$B$297),0,('19_Расчет_аналитики'!BL4474-'19_Расчет_аналитики'!BL4502)*IF('01_Вводные'!$B$239="Да",MeanMinAge19+'19_Расчет_аналитики'!BL4608*SUMIF(ThresholdAge19,"&lt;"&amp;'19_Расчет_аналитики'!BL4608,WeightedRevAge19)-SUMIF(ThresholdAge19,"&lt;"&amp;'19_Расчет_аналитики'!BL4608,WeightedMinAge19),MAX(CapacityAge19*'01_Вводные'!$B$218*'19_Расчет_аналитики'!BL4608,MeanMinAge19))),0)</f>
        <v/>
      </c>
      <c r="BM4558">
        <f>IF('01_Вводные'!$B$234="Да",IF(OR(('19_Расчет_аналитики'!BM4474-'19_Расчет_аналитики'!BM4502)=0,19&lt;='01_Вводные'!$B$297),0,('19_Расчет_аналитики'!BM4474-'19_Расчет_аналитики'!BM4502)*IF('01_Вводные'!$B$239="Да",MeanMinAge19+'19_Расчет_аналитики'!BM4608*SUMIF(ThresholdAge19,"&lt;"&amp;'19_Расчет_аналитики'!BM4608,WeightedRevAge19)-SUMIF(ThresholdAge19,"&lt;"&amp;'19_Расчет_аналитики'!BM4608,WeightedMinAge19),MAX(CapacityAge19*'01_Вводные'!$B$218*'19_Расчет_аналитики'!BM4608,MeanMinAge19))),0)</f>
        <v/>
      </c>
      <c r="BN4558">
        <f>IF('01_Вводные'!$B$234="Да",IF(OR(('19_Расчет_аналитики'!BN4474-'19_Расчет_аналитики'!BN4502)=0,19&lt;='01_Вводные'!$B$297),0,('19_Расчет_аналитики'!BN4474-'19_Расчет_аналитики'!BN4502)*IF('01_Вводные'!$B$239="Да",MeanMinAge19+'19_Расчет_аналитики'!BN4608*SUMIF(ThresholdAge19,"&lt;"&amp;'19_Расчет_аналитики'!BN4608,WeightedRevAge19)-SUMIF(ThresholdAge19,"&lt;"&amp;'19_Расчет_аналитики'!BN4608,WeightedMinAge19),MAX(CapacityAge19*'01_Вводные'!$B$218*'19_Расчет_аналитики'!BN4608,MeanMinAge19))),0)</f>
        <v/>
      </c>
      <c r="BO4558">
        <f>IF('01_Вводные'!$B$234="Да",IF(OR(('19_Расчет_аналитики'!BO4474-'19_Расчет_аналитики'!BO4502)=0,19&lt;='01_Вводные'!$B$297),0,('19_Расчет_аналитики'!BO4474-'19_Расчет_аналитики'!BO4502)*IF('01_Вводные'!$B$239="Да",MeanMinAge19+'19_Расчет_аналитики'!BO4608*SUMIF(ThresholdAge19,"&lt;"&amp;'19_Расчет_аналитики'!BO4608,WeightedRevAge19)-SUMIF(ThresholdAge19,"&lt;"&amp;'19_Расчет_аналитики'!BO4608,WeightedMinAge19),MAX(CapacityAge19*'01_Вводные'!$B$218*'19_Расчет_аналитики'!BO4608,MeanMinAge19))),0)</f>
        <v/>
      </c>
    </row>
    <row r="4559">
      <c r="B4559">
        <f>IF('01_Вводные'!$B$234="Да",IF(OR(('06_Сеть_и_дети'!B72-'06_Сеть_и_дети'!B100)=0,20&lt;='01_Вводные'!$B$297),0,('06_Сеть_и_дети'!B72-'06_Сеть_и_дети'!B100)*IF('01_Вводные'!$B$239="Да",MeanMinAge20+'19_Расчет_аналитики'!B4608*SUMIF(ThresholdAge20,"&lt;"&amp;'19_Расчет_аналитики'!B4608,WeightedRevAge20)-SUMIF(ThresholdAge20,"&lt;"&amp;'19_Расчет_аналитики'!B4608,WeightedMinAge20),MAX(CapacityAge20*'01_Вводные'!$B$218*'19_Расчет_аналитики'!B4608,MeanMinAge20))),0)</f>
        <v/>
      </c>
      <c r="C4559">
        <f>IF('01_Вводные'!$B$234="Да",IF(OR(('06_Сеть_и_дети'!C72-'06_Сеть_и_дети'!C100)=0,20&lt;='01_Вводные'!$B$297),0,('06_Сеть_и_дети'!C72-'06_Сеть_и_дети'!C100)*IF('01_Вводные'!$B$239="Да",MeanMinAge20+'19_Расчет_аналитики'!C4608*SUMIF(ThresholdAge20,"&lt;"&amp;'19_Расчет_аналитики'!C4608,WeightedRevAge20)-SUMIF(ThresholdAge20,"&lt;"&amp;'19_Расчет_аналитики'!C4608,WeightedMinAge20),MAX(CapacityAge20*'01_Вводные'!$B$218*'19_Расчет_аналитики'!C4608,MeanMinAge20))),0)</f>
        <v/>
      </c>
      <c r="D4559">
        <f>IF('01_Вводные'!$B$234="Да",IF(OR(('06_Сеть_и_дети'!D72-'06_Сеть_и_дети'!D100)=0,20&lt;='01_Вводные'!$B$297),0,('06_Сеть_и_дети'!D72-'06_Сеть_и_дети'!D100)*IF('01_Вводные'!$B$239="Да",MeanMinAge20+'19_Расчет_аналитики'!D4608*SUMIF(ThresholdAge20,"&lt;"&amp;'19_Расчет_аналитики'!D4608,WeightedRevAge20)-SUMIF(ThresholdAge20,"&lt;"&amp;'19_Расчет_аналитики'!D4608,WeightedMinAge20),MAX(CapacityAge20*'01_Вводные'!$B$218*'19_Расчет_аналитики'!D4608,MeanMinAge20))),0)</f>
        <v/>
      </c>
      <c r="E4559">
        <f>IF('01_Вводные'!$B$234="Да",IF(OR(('06_Сеть_и_дети'!E72-'06_Сеть_и_дети'!E100)=0,20&lt;='01_Вводные'!$B$297),0,('06_Сеть_и_дети'!E72-'06_Сеть_и_дети'!E100)*IF('01_Вводные'!$B$239="Да",MeanMinAge20+'19_Расчет_аналитики'!E4608*SUMIF(ThresholdAge20,"&lt;"&amp;'19_Расчет_аналитики'!E4608,WeightedRevAge20)-SUMIF(ThresholdAge20,"&lt;"&amp;'19_Расчет_аналитики'!E4608,WeightedMinAge20),MAX(CapacityAge20*'01_Вводные'!$B$218*'19_Расчет_аналитики'!E4608,MeanMinAge20))),0)</f>
        <v/>
      </c>
      <c r="F4559">
        <f>IF('01_Вводные'!$B$234="Да",IF(OR(('06_Сеть_и_дети'!F72-'06_Сеть_и_дети'!F100)=0,20&lt;='01_Вводные'!$B$297),0,('06_Сеть_и_дети'!F72-'06_Сеть_и_дети'!F100)*IF('01_Вводные'!$B$239="Да",MeanMinAge20+'19_Расчет_аналитики'!F4608*SUMIF(ThresholdAge20,"&lt;"&amp;'19_Расчет_аналитики'!F4608,WeightedRevAge20)-SUMIF(ThresholdAge20,"&lt;"&amp;'19_Расчет_аналитики'!F4608,WeightedMinAge20),MAX(CapacityAge20*'01_Вводные'!$B$218*'19_Расчет_аналитики'!F4608,MeanMinAge20))),0)</f>
        <v/>
      </c>
      <c r="G4559">
        <f>IF('01_Вводные'!$B$234="Да",IF(OR(('06_Сеть_и_дети'!G72-'06_Сеть_и_дети'!G100)=0,20&lt;='01_Вводные'!$B$297),0,('06_Сеть_и_дети'!G72-'06_Сеть_и_дети'!G100)*IF('01_Вводные'!$B$239="Да",MeanMinAge20+'19_Расчет_аналитики'!G4608*SUMIF(ThresholdAge20,"&lt;"&amp;'19_Расчет_аналитики'!G4608,WeightedRevAge20)-SUMIF(ThresholdAge20,"&lt;"&amp;'19_Расчет_аналитики'!G4608,WeightedMinAge20),MAX(CapacityAge20*'01_Вводные'!$B$218*'19_Расчет_аналитики'!G4608,MeanMinAge20))),0)</f>
        <v/>
      </c>
      <c r="H4559">
        <f>IF('01_Вводные'!$B$234="Да",IF(OR(('06_Сеть_и_дети'!H72-'06_Сеть_и_дети'!H100)=0,20&lt;='01_Вводные'!$B$297),0,('06_Сеть_и_дети'!H72-'06_Сеть_и_дети'!H100)*IF('01_Вводные'!$B$239="Да",MeanMinAge20+'19_Расчет_аналитики'!H4608*SUMIF(ThresholdAge20,"&lt;"&amp;'19_Расчет_аналитики'!H4608,WeightedRevAge20)-SUMIF(ThresholdAge20,"&lt;"&amp;'19_Расчет_аналитики'!H4608,WeightedMinAge20),MAX(CapacityAge20*'01_Вводные'!$B$218*'19_Расчет_аналитики'!H4608,MeanMinAge20))),0)</f>
        <v/>
      </c>
      <c r="I4559">
        <f>IF('01_Вводные'!$B$234="Да",IF(OR(('06_Сеть_и_дети'!I72-'06_Сеть_и_дети'!I100)=0,20&lt;='01_Вводные'!$B$297),0,('06_Сеть_и_дети'!I72-'06_Сеть_и_дети'!I100)*IF('01_Вводные'!$B$239="Да",MeanMinAge20+'19_Расчет_аналитики'!I4608*SUMIF(ThresholdAge20,"&lt;"&amp;'19_Расчет_аналитики'!I4608,WeightedRevAge20)-SUMIF(ThresholdAge20,"&lt;"&amp;'19_Расчет_аналитики'!I4608,WeightedMinAge20),MAX(CapacityAge20*'01_Вводные'!$B$218*'19_Расчет_аналитики'!I4608,MeanMinAge20))),0)</f>
        <v/>
      </c>
      <c r="J4559">
        <f>IF('01_Вводные'!$B$234="Да",IF(OR(('06_Сеть_и_дети'!J72-'06_Сеть_и_дети'!J100)=0,20&lt;='01_Вводные'!$B$297),0,('06_Сеть_и_дети'!J72-'06_Сеть_и_дети'!J100)*IF('01_Вводные'!$B$239="Да",MeanMinAge20+'19_Расчет_аналитики'!J4608*SUMIF(ThresholdAge20,"&lt;"&amp;'19_Расчет_аналитики'!J4608,WeightedRevAge20)-SUMIF(ThresholdAge20,"&lt;"&amp;'19_Расчет_аналитики'!J4608,WeightedMinAge20),MAX(CapacityAge20*'01_Вводные'!$B$218*'19_Расчет_аналитики'!J4608,MeanMinAge20))),0)</f>
        <v/>
      </c>
      <c r="K4559">
        <f>IF('01_Вводные'!$B$234="Да",IF(OR(('06_Сеть_и_дети'!K72-'06_Сеть_и_дети'!K100)=0,20&lt;='01_Вводные'!$B$297),0,('06_Сеть_и_дети'!K72-'06_Сеть_и_дети'!K100)*IF('01_Вводные'!$B$239="Да",MeanMinAge20+'19_Расчет_аналитики'!K4608*SUMIF(ThresholdAge20,"&lt;"&amp;'19_Расчет_аналитики'!K4608,WeightedRevAge20)-SUMIF(ThresholdAge20,"&lt;"&amp;'19_Расчет_аналитики'!K4608,WeightedMinAge20),MAX(CapacityAge20*'01_Вводные'!$B$218*'19_Расчет_аналитики'!K4608,MeanMinAge20))),0)</f>
        <v/>
      </c>
      <c r="L4559">
        <f>IF('01_Вводные'!$B$234="Да",IF(OR(('06_Сеть_и_дети'!L72-'06_Сеть_и_дети'!L100)=0,20&lt;='01_Вводные'!$B$297),0,('06_Сеть_и_дети'!L72-'06_Сеть_и_дети'!L100)*IF('01_Вводные'!$B$239="Да",MeanMinAge20+'19_Расчет_аналитики'!L4608*SUMIF(ThresholdAge20,"&lt;"&amp;'19_Расчет_аналитики'!L4608,WeightedRevAge20)-SUMIF(ThresholdAge20,"&lt;"&amp;'19_Расчет_аналитики'!L4608,WeightedMinAge20),MAX(CapacityAge20*'01_Вводные'!$B$218*'19_Расчет_аналитики'!L4608,MeanMinAge20))),0)</f>
        <v/>
      </c>
      <c r="M4559">
        <f>IF('01_Вводные'!$B$234="Да",IF(OR(('06_Сеть_и_дети'!M72-'06_Сеть_и_дети'!M100)=0,20&lt;='01_Вводные'!$B$297),0,('06_Сеть_и_дети'!M72-'06_Сеть_и_дети'!M100)*IF('01_Вводные'!$B$239="Да",MeanMinAge20+'19_Расчет_аналитики'!M4608*SUMIF(ThresholdAge20,"&lt;"&amp;'19_Расчет_аналитики'!M4608,WeightedRevAge20)-SUMIF(ThresholdAge20,"&lt;"&amp;'19_Расчет_аналитики'!M4608,WeightedMinAge20),MAX(CapacityAge20*'01_Вводные'!$B$218*'19_Расчет_аналитики'!M4608,MeanMinAge20))),0)</f>
        <v/>
      </c>
      <c r="N4559">
        <f>IF('01_Вводные'!$B$234="Да",IF(OR(('06_Сеть_и_дети'!N72-'06_Сеть_и_дети'!N100)=0,20&lt;='01_Вводные'!$B$297),0,('06_Сеть_и_дети'!N72-'06_Сеть_и_дети'!N100)*IF('01_Вводные'!$B$239="Да",MeanMinAge20+'19_Расчет_аналитики'!N4608*SUMIF(ThresholdAge20,"&lt;"&amp;'19_Расчет_аналитики'!N4608,WeightedRevAge20)-SUMIF(ThresholdAge20,"&lt;"&amp;'19_Расчет_аналитики'!N4608,WeightedMinAge20),MAX(CapacityAge20*'01_Вводные'!$B$218*'19_Расчет_аналитики'!N4608,MeanMinAge20))),0)</f>
        <v/>
      </c>
      <c r="O4559">
        <f>IF('01_Вводные'!$B$234="Да",IF(OR(('06_Сеть_и_дети'!O72-'06_Сеть_и_дети'!O100)=0,20&lt;='01_Вводные'!$B$297),0,('06_Сеть_и_дети'!O72-'06_Сеть_и_дети'!O100)*IF('01_Вводные'!$B$239="Да",MeanMinAge20+'19_Расчет_аналитики'!O4608*SUMIF(ThresholdAge20,"&lt;"&amp;'19_Расчет_аналитики'!O4608,WeightedRevAge20)-SUMIF(ThresholdAge20,"&lt;"&amp;'19_Расчет_аналитики'!O4608,WeightedMinAge20),MAX(CapacityAge20*'01_Вводные'!$B$218*'19_Расчет_аналитики'!O4608,MeanMinAge20))),0)</f>
        <v/>
      </c>
      <c r="P4559">
        <f>IF('01_Вводные'!$B$234="Да",IF(OR(('06_Сеть_и_дети'!P72-'06_Сеть_и_дети'!P100)=0,20&lt;='01_Вводные'!$B$297),0,('06_Сеть_и_дети'!P72-'06_Сеть_и_дети'!P100)*IF('01_Вводные'!$B$239="Да",MeanMinAge20+'19_Расчет_аналитики'!P4608*SUMIF(ThresholdAge20,"&lt;"&amp;'19_Расчет_аналитики'!P4608,WeightedRevAge20)-SUMIF(ThresholdAge20,"&lt;"&amp;'19_Расчет_аналитики'!P4608,WeightedMinAge20),MAX(CapacityAge20*'01_Вводные'!$B$218*'19_Расчет_аналитики'!P4608,MeanMinAge20))),0)</f>
        <v/>
      </c>
      <c r="Q4559">
        <f>IF('01_Вводные'!$B$234="Да",IF(OR(('06_Сеть_и_дети'!Q72-'06_Сеть_и_дети'!Q100)=0,20&lt;='01_Вводные'!$B$297),0,('06_Сеть_и_дети'!Q72-'06_Сеть_и_дети'!Q100)*IF('01_Вводные'!$B$239="Да",MeanMinAge20+'19_Расчет_аналитики'!Q4608*SUMIF(ThresholdAge20,"&lt;"&amp;'19_Расчет_аналитики'!Q4608,WeightedRevAge20)-SUMIF(ThresholdAge20,"&lt;"&amp;'19_Расчет_аналитики'!Q4608,WeightedMinAge20),MAX(CapacityAge20*'01_Вводные'!$B$218*'19_Расчет_аналитики'!Q4608,MeanMinAge20))),0)</f>
        <v/>
      </c>
      <c r="R4559">
        <f>IF('01_Вводные'!$B$234="Да",IF(OR(('06_Сеть_и_дети'!R72-'06_Сеть_и_дети'!R100)=0,20&lt;='01_Вводные'!$B$297),0,('06_Сеть_и_дети'!R72-'06_Сеть_и_дети'!R100)*IF('01_Вводные'!$B$239="Да",MeanMinAge20+'19_Расчет_аналитики'!R4608*SUMIF(ThresholdAge20,"&lt;"&amp;'19_Расчет_аналитики'!R4608,WeightedRevAge20)-SUMIF(ThresholdAge20,"&lt;"&amp;'19_Расчет_аналитики'!R4608,WeightedMinAge20),MAX(CapacityAge20*'01_Вводные'!$B$218*'19_Расчет_аналитики'!R4608,MeanMinAge20))),0)</f>
        <v/>
      </c>
      <c r="S4559">
        <f>IF('01_Вводные'!$B$234="Да",IF(OR(('06_Сеть_и_дети'!S72-'06_Сеть_и_дети'!S100)=0,20&lt;='01_Вводные'!$B$297),0,('06_Сеть_и_дети'!S72-'06_Сеть_и_дети'!S100)*IF('01_Вводные'!$B$239="Да",MeanMinAge20+'19_Расчет_аналитики'!S4608*SUMIF(ThresholdAge20,"&lt;"&amp;'19_Расчет_аналитики'!S4608,WeightedRevAge20)-SUMIF(ThresholdAge20,"&lt;"&amp;'19_Расчет_аналитики'!S4608,WeightedMinAge20),MAX(CapacityAge20*'01_Вводные'!$B$218*'19_Расчет_аналитики'!S4608,MeanMinAge20))),0)</f>
        <v/>
      </c>
      <c r="T4559">
        <f>IF('01_Вводные'!$B$234="Да",IF(OR(('06_Сеть_и_дети'!T72-'06_Сеть_и_дети'!T100)=0,20&lt;='01_Вводные'!$B$297),0,('06_Сеть_и_дети'!T72-'06_Сеть_и_дети'!T100)*IF('01_Вводные'!$B$239="Да",MeanMinAge20+'19_Расчет_аналитики'!T4608*SUMIF(ThresholdAge20,"&lt;"&amp;'19_Расчет_аналитики'!T4608,WeightedRevAge20)-SUMIF(ThresholdAge20,"&lt;"&amp;'19_Расчет_аналитики'!T4608,WeightedMinAge20),MAX(CapacityAge20*'01_Вводные'!$B$218*'19_Расчет_аналитики'!T4608,MeanMinAge20))),0)</f>
        <v/>
      </c>
      <c r="U4559">
        <f>IF('01_Вводные'!$B$234="Да",IF(OR(('19_Расчет_аналитики'!U4475-'19_Расчет_аналитики'!U4503)=0,20&lt;='01_Вводные'!$B$297),0,('19_Расчет_аналитики'!U4475-'19_Расчет_аналитики'!U4503)*IF('01_Вводные'!$B$239="Да",MeanMinAge20+'19_Расчет_аналитики'!U4608*SUMIF(ThresholdAge20,"&lt;"&amp;'19_Расчет_аналитики'!U4608,WeightedRevAge20)-SUMIF(ThresholdAge20,"&lt;"&amp;'19_Расчет_аналитики'!U4608,WeightedMinAge20),MAX(CapacityAge20*'01_Вводные'!$B$218*'19_Расчет_аналитики'!U4608,MeanMinAge20))),0)</f>
        <v/>
      </c>
      <c r="V4559">
        <f>IF('01_Вводные'!$B$234="Да",IF(OR(('19_Расчет_аналитики'!V4475-'19_Расчет_аналитики'!V4503)=0,20&lt;='01_Вводные'!$B$297),0,('19_Расчет_аналитики'!V4475-'19_Расчет_аналитики'!V4503)*IF('01_Вводные'!$B$239="Да",MeanMinAge20+'19_Расчет_аналитики'!V4608*SUMIF(ThresholdAge20,"&lt;"&amp;'19_Расчет_аналитики'!V4608,WeightedRevAge20)-SUMIF(ThresholdAge20,"&lt;"&amp;'19_Расчет_аналитики'!V4608,WeightedMinAge20),MAX(CapacityAge20*'01_Вводные'!$B$218*'19_Расчет_аналитики'!V4608,MeanMinAge20))),0)</f>
        <v/>
      </c>
      <c r="W4559">
        <f>IF('01_Вводные'!$B$234="Да",IF(OR(('19_Расчет_аналитики'!W4475-'19_Расчет_аналитики'!W4503)=0,20&lt;='01_Вводные'!$B$297),0,('19_Расчет_аналитики'!W4475-'19_Расчет_аналитики'!W4503)*IF('01_Вводные'!$B$239="Да",MeanMinAge20+'19_Расчет_аналитики'!W4608*SUMIF(ThresholdAge20,"&lt;"&amp;'19_Расчет_аналитики'!W4608,WeightedRevAge20)-SUMIF(ThresholdAge20,"&lt;"&amp;'19_Расчет_аналитики'!W4608,WeightedMinAge20),MAX(CapacityAge20*'01_Вводные'!$B$218*'19_Расчет_аналитики'!W4608,MeanMinAge20))),0)</f>
        <v/>
      </c>
      <c r="X4559">
        <f>IF('01_Вводные'!$B$234="Да",IF(OR(('19_Расчет_аналитики'!X4475-'19_Расчет_аналитики'!X4503)=0,20&lt;='01_Вводные'!$B$297),0,('19_Расчет_аналитики'!X4475-'19_Расчет_аналитики'!X4503)*IF('01_Вводные'!$B$239="Да",MeanMinAge20+'19_Расчет_аналитики'!X4608*SUMIF(ThresholdAge20,"&lt;"&amp;'19_Расчет_аналитики'!X4608,WeightedRevAge20)-SUMIF(ThresholdAge20,"&lt;"&amp;'19_Расчет_аналитики'!X4608,WeightedMinAge20),MAX(CapacityAge20*'01_Вводные'!$B$218*'19_Расчет_аналитики'!X4608,MeanMinAge20))),0)</f>
        <v/>
      </c>
      <c r="Y4559">
        <f>IF('01_Вводные'!$B$234="Да",IF(OR(('19_Расчет_аналитики'!Y4475-'19_Расчет_аналитики'!Y4503)=0,20&lt;='01_Вводные'!$B$297),0,('19_Расчет_аналитики'!Y4475-'19_Расчет_аналитики'!Y4503)*IF('01_Вводные'!$B$239="Да",MeanMinAge20+'19_Расчет_аналитики'!Y4608*SUMIF(ThresholdAge20,"&lt;"&amp;'19_Расчет_аналитики'!Y4608,WeightedRevAge20)-SUMIF(ThresholdAge20,"&lt;"&amp;'19_Расчет_аналитики'!Y4608,WeightedMinAge20),MAX(CapacityAge20*'01_Вводные'!$B$218*'19_Расчет_аналитики'!Y4608,MeanMinAge20))),0)</f>
        <v/>
      </c>
      <c r="Z4559">
        <f>IF('01_Вводные'!$B$234="Да",IF(OR(('19_Расчет_аналитики'!Z4475-'19_Расчет_аналитики'!Z4503)=0,20&lt;='01_Вводные'!$B$297),0,('19_Расчет_аналитики'!Z4475-'19_Расчет_аналитики'!Z4503)*IF('01_Вводные'!$B$239="Да",MeanMinAge20+'19_Расчет_аналитики'!Z4608*SUMIF(ThresholdAge20,"&lt;"&amp;'19_Расчет_аналитики'!Z4608,WeightedRevAge20)-SUMIF(ThresholdAge20,"&lt;"&amp;'19_Расчет_аналитики'!Z4608,WeightedMinAge20),MAX(CapacityAge20*'01_Вводные'!$B$218*'19_Расчет_аналитики'!Z4608,MeanMinAge20))),0)</f>
        <v/>
      </c>
      <c r="AA4559">
        <f>IF('01_Вводные'!$B$234="Да",IF(OR(('19_Расчет_аналитики'!AA4475-'19_Расчет_аналитики'!AA4503)=0,20&lt;='01_Вводные'!$B$297),0,('19_Расчет_аналитики'!AA4475-'19_Расчет_аналитики'!AA4503)*IF('01_Вводные'!$B$239="Да",MeanMinAge20+'19_Расчет_аналитики'!AA4608*SUMIF(ThresholdAge20,"&lt;"&amp;'19_Расчет_аналитики'!AA4608,WeightedRevAge20)-SUMIF(ThresholdAge20,"&lt;"&amp;'19_Расчет_аналитики'!AA4608,WeightedMinAge20),MAX(CapacityAge20*'01_Вводные'!$B$218*'19_Расчет_аналитики'!AA4608,MeanMinAge20))),0)</f>
        <v/>
      </c>
      <c r="AB4559">
        <f>IF('01_Вводные'!$B$234="Да",IF(OR(('19_Расчет_аналитики'!AB4475-'19_Расчет_аналитики'!AB4503)=0,20&lt;='01_Вводные'!$B$297),0,('19_Расчет_аналитики'!AB4475-'19_Расчет_аналитики'!AB4503)*IF('01_Вводные'!$B$239="Да",MeanMinAge20+'19_Расчет_аналитики'!AB4608*SUMIF(ThresholdAge20,"&lt;"&amp;'19_Расчет_аналитики'!AB4608,WeightedRevAge20)-SUMIF(ThresholdAge20,"&lt;"&amp;'19_Расчет_аналитики'!AB4608,WeightedMinAge20),MAX(CapacityAge20*'01_Вводные'!$B$218*'19_Расчет_аналитики'!AB4608,MeanMinAge20))),0)</f>
        <v/>
      </c>
      <c r="AC4559">
        <f>IF('01_Вводные'!$B$234="Да",IF(OR(('19_Расчет_аналитики'!AC4475-'19_Расчет_аналитики'!AC4503)=0,20&lt;='01_Вводные'!$B$297),0,('19_Расчет_аналитики'!AC4475-'19_Расчет_аналитики'!AC4503)*IF('01_Вводные'!$B$239="Да",MeanMinAge20+'19_Расчет_аналитики'!AC4608*SUMIF(ThresholdAge20,"&lt;"&amp;'19_Расчет_аналитики'!AC4608,WeightedRevAge20)-SUMIF(ThresholdAge20,"&lt;"&amp;'19_Расчет_аналитики'!AC4608,WeightedMinAge20),MAX(CapacityAge20*'01_Вводные'!$B$218*'19_Расчет_аналитики'!AC4608,MeanMinAge20))),0)</f>
        <v/>
      </c>
      <c r="AD4559">
        <f>IF('01_Вводные'!$B$234="Да",IF(OR(('19_Расчет_аналитики'!AD4475-'19_Расчет_аналитики'!AD4503)=0,20&lt;='01_Вводные'!$B$297),0,('19_Расчет_аналитики'!AD4475-'19_Расчет_аналитики'!AD4503)*IF('01_Вводные'!$B$239="Да",MeanMinAge20+'19_Расчет_аналитики'!AD4608*SUMIF(ThresholdAge20,"&lt;"&amp;'19_Расчет_аналитики'!AD4608,WeightedRevAge20)-SUMIF(ThresholdAge20,"&lt;"&amp;'19_Расчет_аналитики'!AD4608,WeightedMinAge20),MAX(CapacityAge20*'01_Вводные'!$B$218*'19_Расчет_аналитики'!AD4608,MeanMinAge20))),0)</f>
        <v/>
      </c>
      <c r="AE4559">
        <f>IF('01_Вводные'!$B$234="Да",IF(OR(('19_Расчет_аналитики'!AE4475-'19_Расчет_аналитики'!AE4503)=0,20&lt;='01_Вводные'!$B$297),0,('19_Расчет_аналитики'!AE4475-'19_Расчет_аналитики'!AE4503)*IF('01_Вводные'!$B$239="Да",MeanMinAge20+'19_Расчет_аналитики'!AE4608*SUMIF(ThresholdAge20,"&lt;"&amp;'19_Расчет_аналитики'!AE4608,WeightedRevAge20)-SUMIF(ThresholdAge20,"&lt;"&amp;'19_Расчет_аналитики'!AE4608,WeightedMinAge20),MAX(CapacityAge20*'01_Вводные'!$B$218*'19_Расчет_аналитики'!AE4608,MeanMinAge20))),0)</f>
        <v/>
      </c>
      <c r="AF4559">
        <f>IF('01_Вводные'!$B$234="Да",IF(OR(('19_Расчет_аналитики'!AF4475-'19_Расчет_аналитики'!AF4503)=0,20&lt;='01_Вводные'!$B$297),0,('19_Расчет_аналитики'!AF4475-'19_Расчет_аналитики'!AF4503)*IF('01_Вводные'!$B$239="Да",MeanMinAge20+'19_Расчет_аналитики'!AF4608*SUMIF(ThresholdAge20,"&lt;"&amp;'19_Расчет_аналитики'!AF4608,WeightedRevAge20)-SUMIF(ThresholdAge20,"&lt;"&amp;'19_Расчет_аналитики'!AF4608,WeightedMinAge20),MAX(CapacityAge20*'01_Вводные'!$B$218*'19_Расчет_аналитики'!AF4608,MeanMinAge20))),0)</f>
        <v/>
      </c>
      <c r="AG4559">
        <f>IF('01_Вводные'!$B$234="Да",IF(OR(('19_Расчет_аналитики'!AG4475-'19_Расчет_аналитики'!AG4503)=0,20&lt;='01_Вводные'!$B$297),0,('19_Расчет_аналитики'!AG4475-'19_Расчет_аналитики'!AG4503)*IF('01_Вводные'!$B$239="Да",MeanMinAge20+'19_Расчет_аналитики'!AG4608*SUMIF(ThresholdAge20,"&lt;"&amp;'19_Расчет_аналитики'!AG4608,WeightedRevAge20)-SUMIF(ThresholdAge20,"&lt;"&amp;'19_Расчет_аналитики'!AG4608,WeightedMinAge20),MAX(CapacityAge20*'01_Вводные'!$B$218*'19_Расчет_аналитики'!AG4608,MeanMinAge20))),0)</f>
        <v/>
      </c>
      <c r="AH4559">
        <f>IF('01_Вводные'!$B$234="Да",IF(OR(('19_Расчет_аналитики'!AH4475-'19_Расчет_аналитики'!AH4503)=0,20&lt;='01_Вводные'!$B$297),0,('19_Расчет_аналитики'!AH4475-'19_Расчет_аналитики'!AH4503)*IF('01_Вводные'!$B$239="Да",MeanMinAge20+'19_Расчет_аналитики'!AH4608*SUMIF(ThresholdAge20,"&lt;"&amp;'19_Расчет_аналитики'!AH4608,WeightedRevAge20)-SUMIF(ThresholdAge20,"&lt;"&amp;'19_Расчет_аналитики'!AH4608,WeightedMinAge20),MAX(CapacityAge20*'01_Вводные'!$B$218*'19_Расчет_аналитики'!AH4608,MeanMinAge20))),0)</f>
        <v/>
      </c>
      <c r="AI4559">
        <f>IF('01_Вводные'!$B$234="Да",IF(OR(('19_Расчет_аналитики'!AI4475-'19_Расчет_аналитики'!AI4503)=0,20&lt;='01_Вводные'!$B$297),0,('19_Расчет_аналитики'!AI4475-'19_Расчет_аналитики'!AI4503)*IF('01_Вводные'!$B$239="Да",MeanMinAge20+'19_Расчет_аналитики'!AI4608*SUMIF(ThresholdAge20,"&lt;"&amp;'19_Расчет_аналитики'!AI4608,WeightedRevAge20)-SUMIF(ThresholdAge20,"&lt;"&amp;'19_Расчет_аналитики'!AI4608,WeightedMinAge20),MAX(CapacityAge20*'01_Вводные'!$B$218*'19_Расчет_аналитики'!AI4608,MeanMinAge20))),0)</f>
        <v/>
      </c>
      <c r="AJ4559">
        <f>IF('01_Вводные'!$B$234="Да",IF(OR(('19_Расчет_аналитики'!AJ4475-'19_Расчет_аналитики'!AJ4503)=0,20&lt;='01_Вводные'!$B$297),0,('19_Расчет_аналитики'!AJ4475-'19_Расчет_аналитики'!AJ4503)*IF('01_Вводные'!$B$239="Да",MeanMinAge20+'19_Расчет_аналитики'!AJ4608*SUMIF(ThresholdAge20,"&lt;"&amp;'19_Расчет_аналитики'!AJ4608,WeightedRevAge20)-SUMIF(ThresholdAge20,"&lt;"&amp;'19_Расчет_аналитики'!AJ4608,WeightedMinAge20),MAX(CapacityAge20*'01_Вводные'!$B$218*'19_Расчет_аналитики'!AJ4608,MeanMinAge20))),0)</f>
        <v/>
      </c>
      <c r="AK4559">
        <f>IF('01_Вводные'!$B$234="Да",IF(OR(('19_Расчет_аналитики'!AK4475-'19_Расчет_аналитики'!AK4503)=0,20&lt;='01_Вводные'!$B$297),0,('19_Расчет_аналитики'!AK4475-'19_Расчет_аналитики'!AK4503)*IF('01_Вводные'!$B$239="Да",MeanMinAge20+'19_Расчет_аналитики'!AK4608*SUMIF(ThresholdAge20,"&lt;"&amp;'19_Расчет_аналитики'!AK4608,WeightedRevAge20)-SUMIF(ThresholdAge20,"&lt;"&amp;'19_Расчет_аналитики'!AK4608,WeightedMinAge20),MAX(CapacityAge20*'01_Вводные'!$B$218*'19_Расчет_аналитики'!AK4608,MeanMinAge20))),0)</f>
        <v/>
      </c>
      <c r="AL4559">
        <f>IF('01_Вводные'!$B$234="Да",IF(OR(('19_Расчет_аналитики'!AL4475-'19_Расчет_аналитики'!AL4503)=0,20&lt;='01_Вводные'!$B$297),0,('19_Расчет_аналитики'!AL4475-'19_Расчет_аналитики'!AL4503)*IF('01_Вводные'!$B$239="Да",MeanMinAge20+'19_Расчет_аналитики'!AL4608*SUMIF(ThresholdAge20,"&lt;"&amp;'19_Расчет_аналитики'!AL4608,WeightedRevAge20)-SUMIF(ThresholdAge20,"&lt;"&amp;'19_Расчет_аналитики'!AL4608,WeightedMinAge20),MAX(CapacityAge20*'01_Вводные'!$B$218*'19_Расчет_аналитики'!AL4608,MeanMinAge20))),0)</f>
        <v/>
      </c>
      <c r="AM4559">
        <f>IF('01_Вводные'!$B$234="Да",IF(OR(('19_Расчет_аналитики'!AM4475-'19_Расчет_аналитики'!AM4503)=0,20&lt;='01_Вводные'!$B$297),0,('19_Расчет_аналитики'!AM4475-'19_Расчет_аналитики'!AM4503)*IF('01_Вводные'!$B$239="Да",MeanMinAge20+'19_Расчет_аналитики'!AM4608*SUMIF(ThresholdAge20,"&lt;"&amp;'19_Расчет_аналитики'!AM4608,WeightedRevAge20)-SUMIF(ThresholdAge20,"&lt;"&amp;'19_Расчет_аналитики'!AM4608,WeightedMinAge20),MAX(CapacityAge20*'01_Вводные'!$B$218*'19_Расчет_аналитики'!AM4608,MeanMinAge20))),0)</f>
        <v/>
      </c>
      <c r="AN4559">
        <f>IF('01_Вводные'!$B$234="Да",IF(OR(('19_Расчет_аналитики'!AN4475-'19_Расчет_аналитики'!AN4503)=0,20&lt;='01_Вводные'!$B$297),0,('19_Расчет_аналитики'!AN4475-'19_Расчет_аналитики'!AN4503)*IF('01_Вводные'!$B$239="Да",MeanMinAge20+'19_Расчет_аналитики'!AN4608*SUMIF(ThresholdAge20,"&lt;"&amp;'19_Расчет_аналитики'!AN4608,WeightedRevAge20)-SUMIF(ThresholdAge20,"&lt;"&amp;'19_Расчет_аналитики'!AN4608,WeightedMinAge20),MAX(CapacityAge20*'01_Вводные'!$B$218*'19_Расчет_аналитики'!AN4608,MeanMinAge20))),0)</f>
        <v/>
      </c>
      <c r="AO4559">
        <f>IF('01_Вводные'!$B$234="Да",IF(OR(('19_Расчет_аналитики'!AO4475-'19_Расчет_аналитики'!AO4503)=0,20&lt;='01_Вводные'!$B$297),0,('19_Расчет_аналитики'!AO4475-'19_Расчет_аналитики'!AO4503)*IF('01_Вводные'!$B$239="Да",MeanMinAge20+'19_Расчет_аналитики'!AO4608*SUMIF(ThresholdAge20,"&lt;"&amp;'19_Расчет_аналитики'!AO4608,WeightedRevAge20)-SUMIF(ThresholdAge20,"&lt;"&amp;'19_Расчет_аналитики'!AO4608,WeightedMinAge20),MAX(CapacityAge20*'01_Вводные'!$B$218*'19_Расчет_аналитики'!AO4608,MeanMinAge20))),0)</f>
        <v/>
      </c>
      <c r="AP4559">
        <f>IF('01_Вводные'!$B$234="Да",IF(OR(('19_Расчет_аналитики'!AP4475-'19_Расчет_аналитики'!AP4503)=0,20&lt;='01_Вводные'!$B$297),0,('19_Расчет_аналитики'!AP4475-'19_Расчет_аналитики'!AP4503)*IF('01_Вводные'!$B$239="Да",MeanMinAge20+'19_Расчет_аналитики'!AP4608*SUMIF(ThresholdAge20,"&lt;"&amp;'19_Расчет_аналитики'!AP4608,WeightedRevAge20)-SUMIF(ThresholdAge20,"&lt;"&amp;'19_Расчет_аналитики'!AP4608,WeightedMinAge20),MAX(CapacityAge20*'01_Вводные'!$B$218*'19_Расчет_аналитики'!AP4608,MeanMinAge20))),0)</f>
        <v/>
      </c>
      <c r="AQ4559">
        <f>IF('01_Вводные'!$B$234="Да",IF(OR(('19_Расчет_аналитики'!AQ4475-'19_Расчет_аналитики'!AQ4503)=0,20&lt;='01_Вводные'!$B$297),0,('19_Расчет_аналитики'!AQ4475-'19_Расчет_аналитики'!AQ4503)*IF('01_Вводные'!$B$239="Да",MeanMinAge20+'19_Расчет_аналитики'!AQ4608*SUMIF(ThresholdAge20,"&lt;"&amp;'19_Расчет_аналитики'!AQ4608,WeightedRevAge20)-SUMIF(ThresholdAge20,"&lt;"&amp;'19_Расчет_аналитики'!AQ4608,WeightedMinAge20),MAX(CapacityAge20*'01_Вводные'!$B$218*'19_Расчет_аналитики'!AQ4608,MeanMinAge20))),0)</f>
        <v/>
      </c>
      <c r="AR4559">
        <f>IF('01_Вводные'!$B$234="Да",IF(OR(('19_Расчет_аналитики'!AR4475-'19_Расчет_аналитики'!AR4503)=0,20&lt;='01_Вводные'!$B$297),0,('19_Расчет_аналитики'!AR4475-'19_Расчет_аналитики'!AR4503)*IF('01_Вводные'!$B$239="Да",MeanMinAge20+'19_Расчет_аналитики'!AR4608*SUMIF(ThresholdAge20,"&lt;"&amp;'19_Расчет_аналитики'!AR4608,WeightedRevAge20)-SUMIF(ThresholdAge20,"&lt;"&amp;'19_Расчет_аналитики'!AR4608,WeightedMinAge20),MAX(CapacityAge20*'01_Вводные'!$B$218*'19_Расчет_аналитики'!AR4608,MeanMinAge20))),0)</f>
        <v/>
      </c>
      <c r="AS4559">
        <f>IF('01_Вводные'!$B$234="Да",IF(OR(('19_Расчет_аналитики'!AS4475-'19_Расчет_аналитики'!AS4503)=0,20&lt;='01_Вводные'!$B$297),0,('19_Расчет_аналитики'!AS4475-'19_Расчет_аналитики'!AS4503)*IF('01_Вводные'!$B$239="Да",MeanMinAge20+'19_Расчет_аналитики'!AS4608*SUMIF(ThresholdAge20,"&lt;"&amp;'19_Расчет_аналитики'!AS4608,WeightedRevAge20)-SUMIF(ThresholdAge20,"&lt;"&amp;'19_Расчет_аналитики'!AS4608,WeightedMinAge20),MAX(CapacityAge20*'01_Вводные'!$B$218*'19_Расчет_аналитики'!AS4608,MeanMinAge20))),0)</f>
        <v/>
      </c>
      <c r="AT4559">
        <f>IF('01_Вводные'!$B$234="Да",IF(OR(('19_Расчет_аналитики'!AT4475-'19_Расчет_аналитики'!AT4503)=0,20&lt;='01_Вводные'!$B$297),0,('19_Расчет_аналитики'!AT4475-'19_Расчет_аналитики'!AT4503)*IF('01_Вводные'!$B$239="Да",MeanMinAge20+'19_Расчет_аналитики'!AT4608*SUMIF(ThresholdAge20,"&lt;"&amp;'19_Расчет_аналитики'!AT4608,WeightedRevAge20)-SUMIF(ThresholdAge20,"&lt;"&amp;'19_Расчет_аналитики'!AT4608,WeightedMinAge20),MAX(CapacityAge20*'01_Вводные'!$B$218*'19_Расчет_аналитики'!AT4608,MeanMinAge20))),0)</f>
        <v/>
      </c>
      <c r="AU4559">
        <f>IF('01_Вводные'!$B$234="Да",IF(OR(('19_Расчет_аналитики'!AU4475-'19_Расчет_аналитики'!AU4503)=0,20&lt;='01_Вводные'!$B$297),0,('19_Расчет_аналитики'!AU4475-'19_Расчет_аналитики'!AU4503)*IF('01_Вводные'!$B$239="Да",MeanMinAge20+'19_Расчет_аналитики'!AU4608*SUMIF(ThresholdAge20,"&lt;"&amp;'19_Расчет_аналитики'!AU4608,WeightedRevAge20)-SUMIF(ThresholdAge20,"&lt;"&amp;'19_Расчет_аналитики'!AU4608,WeightedMinAge20),MAX(CapacityAge20*'01_Вводные'!$B$218*'19_Расчет_аналитики'!AU4608,MeanMinAge20))),0)</f>
        <v/>
      </c>
      <c r="AV4559">
        <f>IF('01_Вводные'!$B$234="Да",IF(OR(('19_Расчет_аналитики'!AV4475-'19_Расчет_аналитики'!AV4503)=0,20&lt;='01_Вводные'!$B$297),0,('19_Расчет_аналитики'!AV4475-'19_Расчет_аналитики'!AV4503)*IF('01_Вводные'!$B$239="Да",MeanMinAge20+'19_Расчет_аналитики'!AV4608*SUMIF(ThresholdAge20,"&lt;"&amp;'19_Расчет_аналитики'!AV4608,WeightedRevAge20)-SUMIF(ThresholdAge20,"&lt;"&amp;'19_Расчет_аналитики'!AV4608,WeightedMinAge20),MAX(CapacityAge20*'01_Вводные'!$B$218*'19_Расчет_аналитики'!AV4608,MeanMinAge20))),0)</f>
        <v/>
      </c>
      <c r="AW4559">
        <f>IF('01_Вводные'!$B$234="Да",IF(OR(('19_Расчет_аналитики'!AW4475-'19_Расчет_аналитики'!AW4503)=0,20&lt;='01_Вводные'!$B$297),0,('19_Расчет_аналитики'!AW4475-'19_Расчет_аналитики'!AW4503)*IF('01_Вводные'!$B$239="Да",MeanMinAge20+'19_Расчет_аналитики'!AW4608*SUMIF(ThresholdAge20,"&lt;"&amp;'19_Расчет_аналитики'!AW4608,WeightedRevAge20)-SUMIF(ThresholdAge20,"&lt;"&amp;'19_Расчет_аналитики'!AW4608,WeightedMinAge20),MAX(CapacityAge20*'01_Вводные'!$B$218*'19_Расчет_аналитики'!AW4608,MeanMinAge20))),0)</f>
        <v/>
      </c>
      <c r="AX4559">
        <f>IF('01_Вводные'!$B$234="Да",IF(OR(('19_Расчет_аналитики'!AX4475-'19_Расчет_аналитики'!AX4503)=0,20&lt;='01_Вводные'!$B$297),0,('19_Расчет_аналитики'!AX4475-'19_Расчет_аналитики'!AX4503)*IF('01_Вводные'!$B$239="Да",MeanMinAge20+'19_Расчет_аналитики'!AX4608*SUMIF(ThresholdAge20,"&lt;"&amp;'19_Расчет_аналитики'!AX4608,WeightedRevAge20)-SUMIF(ThresholdAge20,"&lt;"&amp;'19_Расчет_аналитики'!AX4608,WeightedMinAge20),MAX(CapacityAge20*'01_Вводные'!$B$218*'19_Расчет_аналитики'!AX4608,MeanMinAge20))),0)</f>
        <v/>
      </c>
      <c r="AY4559">
        <f>IF('01_Вводные'!$B$234="Да",IF(OR(('19_Расчет_аналитики'!AY4475-'19_Расчет_аналитики'!AY4503)=0,20&lt;='01_Вводные'!$B$297),0,('19_Расчет_аналитики'!AY4475-'19_Расчет_аналитики'!AY4503)*IF('01_Вводные'!$B$239="Да",MeanMinAge20+'19_Расчет_аналитики'!AY4608*SUMIF(ThresholdAge20,"&lt;"&amp;'19_Расчет_аналитики'!AY4608,WeightedRevAge20)-SUMIF(ThresholdAge20,"&lt;"&amp;'19_Расчет_аналитики'!AY4608,WeightedMinAge20),MAX(CapacityAge20*'01_Вводные'!$B$218*'19_Расчет_аналитики'!AY4608,MeanMinAge20))),0)</f>
        <v/>
      </c>
      <c r="AZ4559">
        <f>IF('01_Вводные'!$B$234="Да",IF(OR(('19_Расчет_аналитики'!AZ4475-'19_Расчет_аналитики'!AZ4503)=0,20&lt;='01_Вводные'!$B$297),0,('19_Расчет_аналитики'!AZ4475-'19_Расчет_аналитики'!AZ4503)*IF('01_Вводные'!$B$239="Да",MeanMinAge20+'19_Расчет_аналитики'!AZ4608*SUMIF(ThresholdAge20,"&lt;"&amp;'19_Расчет_аналитики'!AZ4608,WeightedRevAge20)-SUMIF(ThresholdAge20,"&lt;"&amp;'19_Расчет_аналитики'!AZ4608,WeightedMinAge20),MAX(CapacityAge20*'01_Вводные'!$B$218*'19_Расчет_аналитики'!AZ4608,MeanMinAge20))),0)</f>
        <v/>
      </c>
      <c r="BA4559">
        <f>IF('01_Вводные'!$B$234="Да",IF(OR(('19_Расчет_аналитики'!BA4475-'19_Расчет_аналитики'!BA4503)=0,20&lt;='01_Вводные'!$B$297),0,('19_Расчет_аналитики'!BA4475-'19_Расчет_аналитики'!BA4503)*IF('01_Вводные'!$B$239="Да",MeanMinAge20+'19_Расчет_аналитики'!BA4608*SUMIF(ThresholdAge20,"&lt;"&amp;'19_Расчет_аналитики'!BA4608,WeightedRevAge20)-SUMIF(ThresholdAge20,"&lt;"&amp;'19_Расчет_аналитики'!BA4608,WeightedMinAge20),MAX(CapacityAge20*'01_Вводные'!$B$218*'19_Расчет_аналитики'!BA4608,MeanMinAge20))),0)</f>
        <v/>
      </c>
      <c r="BB4559">
        <f>IF('01_Вводные'!$B$234="Да",IF(OR(('19_Расчет_аналитики'!BB4475-'19_Расчет_аналитики'!BB4503)=0,20&lt;='01_Вводные'!$B$297),0,('19_Расчет_аналитики'!BB4475-'19_Расчет_аналитики'!BB4503)*IF('01_Вводные'!$B$239="Да",MeanMinAge20+'19_Расчет_аналитики'!BB4608*SUMIF(ThresholdAge20,"&lt;"&amp;'19_Расчет_аналитики'!BB4608,WeightedRevAge20)-SUMIF(ThresholdAge20,"&lt;"&amp;'19_Расчет_аналитики'!BB4608,WeightedMinAge20),MAX(CapacityAge20*'01_Вводные'!$B$218*'19_Расчет_аналитики'!BB4608,MeanMinAge20))),0)</f>
        <v/>
      </c>
      <c r="BC4559">
        <f>IF('01_Вводные'!$B$234="Да",IF(OR(('19_Расчет_аналитики'!BC4475-'19_Расчет_аналитики'!BC4503)=0,20&lt;='01_Вводные'!$B$297),0,('19_Расчет_аналитики'!BC4475-'19_Расчет_аналитики'!BC4503)*IF('01_Вводные'!$B$239="Да",MeanMinAge20+'19_Расчет_аналитики'!BC4608*SUMIF(ThresholdAge20,"&lt;"&amp;'19_Расчет_аналитики'!BC4608,WeightedRevAge20)-SUMIF(ThresholdAge20,"&lt;"&amp;'19_Расчет_аналитики'!BC4608,WeightedMinAge20),MAX(CapacityAge20*'01_Вводные'!$B$218*'19_Расчет_аналитики'!BC4608,MeanMinAge20))),0)</f>
        <v/>
      </c>
      <c r="BD4559">
        <f>IF('01_Вводные'!$B$234="Да",IF(OR(('19_Расчет_аналитики'!BD4475-'19_Расчет_аналитики'!BD4503)=0,20&lt;='01_Вводные'!$B$297),0,('19_Расчет_аналитики'!BD4475-'19_Расчет_аналитики'!BD4503)*IF('01_Вводные'!$B$239="Да",MeanMinAge20+'19_Расчет_аналитики'!BD4608*SUMIF(ThresholdAge20,"&lt;"&amp;'19_Расчет_аналитики'!BD4608,WeightedRevAge20)-SUMIF(ThresholdAge20,"&lt;"&amp;'19_Расчет_аналитики'!BD4608,WeightedMinAge20),MAX(CapacityAge20*'01_Вводные'!$B$218*'19_Расчет_аналитики'!BD4608,MeanMinAge20))),0)</f>
        <v/>
      </c>
      <c r="BE4559">
        <f>IF('01_Вводные'!$B$234="Да",IF(OR(('19_Расчет_аналитики'!BE4475-'19_Расчет_аналитики'!BE4503)=0,20&lt;='01_Вводные'!$B$297),0,('19_Расчет_аналитики'!BE4475-'19_Расчет_аналитики'!BE4503)*IF('01_Вводные'!$B$239="Да",MeanMinAge20+'19_Расчет_аналитики'!BE4608*SUMIF(ThresholdAge20,"&lt;"&amp;'19_Расчет_аналитики'!BE4608,WeightedRevAge20)-SUMIF(ThresholdAge20,"&lt;"&amp;'19_Расчет_аналитики'!BE4608,WeightedMinAge20),MAX(CapacityAge20*'01_Вводные'!$B$218*'19_Расчет_аналитики'!BE4608,MeanMinAge20))),0)</f>
        <v/>
      </c>
      <c r="BF4559">
        <f>IF('01_Вводные'!$B$234="Да",IF(OR(('19_Расчет_аналитики'!BF4475-'19_Расчет_аналитики'!BF4503)=0,20&lt;='01_Вводные'!$B$297),0,('19_Расчет_аналитики'!BF4475-'19_Расчет_аналитики'!BF4503)*IF('01_Вводные'!$B$239="Да",MeanMinAge20+'19_Расчет_аналитики'!BF4608*SUMIF(ThresholdAge20,"&lt;"&amp;'19_Расчет_аналитики'!BF4608,WeightedRevAge20)-SUMIF(ThresholdAge20,"&lt;"&amp;'19_Расчет_аналитики'!BF4608,WeightedMinAge20),MAX(CapacityAge20*'01_Вводные'!$B$218*'19_Расчет_аналитики'!BF4608,MeanMinAge20))),0)</f>
        <v/>
      </c>
      <c r="BG4559">
        <f>IF('01_Вводные'!$B$234="Да",IF(OR(('19_Расчет_аналитики'!BG4475-'19_Расчет_аналитики'!BG4503)=0,20&lt;='01_Вводные'!$B$297),0,('19_Расчет_аналитики'!BG4475-'19_Расчет_аналитики'!BG4503)*IF('01_Вводные'!$B$239="Да",MeanMinAge20+'19_Расчет_аналитики'!BG4608*SUMIF(ThresholdAge20,"&lt;"&amp;'19_Расчет_аналитики'!BG4608,WeightedRevAge20)-SUMIF(ThresholdAge20,"&lt;"&amp;'19_Расчет_аналитики'!BG4608,WeightedMinAge20),MAX(CapacityAge20*'01_Вводные'!$B$218*'19_Расчет_аналитики'!BG4608,MeanMinAge20))),0)</f>
        <v/>
      </c>
      <c r="BH4559">
        <f>IF('01_Вводные'!$B$234="Да",IF(OR(('19_Расчет_аналитики'!BH4475-'19_Расчет_аналитики'!BH4503)=0,20&lt;='01_Вводные'!$B$297),0,('19_Расчет_аналитики'!BH4475-'19_Расчет_аналитики'!BH4503)*IF('01_Вводные'!$B$239="Да",MeanMinAge20+'19_Расчет_аналитики'!BH4608*SUMIF(ThresholdAge20,"&lt;"&amp;'19_Расчет_аналитики'!BH4608,WeightedRevAge20)-SUMIF(ThresholdAge20,"&lt;"&amp;'19_Расчет_аналитики'!BH4608,WeightedMinAge20),MAX(CapacityAge20*'01_Вводные'!$B$218*'19_Расчет_аналитики'!BH4608,MeanMinAge20))),0)</f>
        <v/>
      </c>
      <c r="BI4559">
        <f>IF('01_Вводные'!$B$234="Да",IF(OR(('19_Расчет_аналитики'!BI4475-'19_Расчет_аналитики'!BI4503)=0,20&lt;='01_Вводные'!$B$297),0,('19_Расчет_аналитики'!BI4475-'19_Расчет_аналитики'!BI4503)*IF('01_Вводные'!$B$239="Да",MeanMinAge20+'19_Расчет_аналитики'!BI4608*SUMIF(ThresholdAge20,"&lt;"&amp;'19_Расчет_аналитики'!BI4608,WeightedRevAge20)-SUMIF(ThresholdAge20,"&lt;"&amp;'19_Расчет_аналитики'!BI4608,WeightedMinAge20),MAX(CapacityAge20*'01_Вводные'!$B$218*'19_Расчет_аналитики'!BI4608,MeanMinAge20))),0)</f>
        <v/>
      </c>
      <c r="BJ4559">
        <f>IF('01_Вводные'!$B$234="Да",IF(OR(('19_Расчет_аналитики'!BJ4475-'19_Расчет_аналитики'!BJ4503)=0,20&lt;='01_Вводные'!$B$297),0,('19_Расчет_аналитики'!BJ4475-'19_Расчет_аналитики'!BJ4503)*IF('01_Вводные'!$B$239="Да",MeanMinAge20+'19_Расчет_аналитики'!BJ4608*SUMIF(ThresholdAge20,"&lt;"&amp;'19_Расчет_аналитики'!BJ4608,WeightedRevAge20)-SUMIF(ThresholdAge20,"&lt;"&amp;'19_Расчет_аналитики'!BJ4608,WeightedMinAge20),MAX(CapacityAge20*'01_Вводные'!$B$218*'19_Расчет_аналитики'!BJ4608,MeanMinAge20))),0)</f>
        <v/>
      </c>
      <c r="BK4559">
        <f>IF('01_Вводные'!$B$234="Да",IF(OR(('19_Расчет_аналитики'!BK4475-'19_Расчет_аналитики'!BK4503)=0,20&lt;='01_Вводные'!$B$297),0,('19_Расчет_аналитики'!BK4475-'19_Расчет_аналитики'!BK4503)*IF('01_Вводные'!$B$239="Да",MeanMinAge20+'19_Расчет_аналитики'!BK4608*SUMIF(ThresholdAge20,"&lt;"&amp;'19_Расчет_аналитики'!BK4608,WeightedRevAge20)-SUMIF(ThresholdAge20,"&lt;"&amp;'19_Расчет_аналитики'!BK4608,WeightedMinAge20),MAX(CapacityAge20*'01_Вводные'!$B$218*'19_Расчет_аналитики'!BK4608,MeanMinAge20))),0)</f>
        <v/>
      </c>
      <c r="BL4559">
        <f>IF('01_Вводные'!$B$234="Да",IF(OR(('19_Расчет_аналитики'!BL4475-'19_Расчет_аналитики'!BL4503)=0,20&lt;='01_Вводные'!$B$297),0,('19_Расчет_аналитики'!BL4475-'19_Расчет_аналитики'!BL4503)*IF('01_Вводные'!$B$239="Да",MeanMinAge20+'19_Расчет_аналитики'!BL4608*SUMIF(ThresholdAge20,"&lt;"&amp;'19_Расчет_аналитики'!BL4608,WeightedRevAge20)-SUMIF(ThresholdAge20,"&lt;"&amp;'19_Расчет_аналитики'!BL4608,WeightedMinAge20),MAX(CapacityAge20*'01_Вводные'!$B$218*'19_Расчет_аналитики'!BL4608,MeanMinAge20))),0)</f>
        <v/>
      </c>
      <c r="BM4559">
        <f>IF('01_Вводные'!$B$234="Да",IF(OR(('19_Расчет_аналитики'!BM4475-'19_Расчет_аналитики'!BM4503)=0,20&lt;='01_Вводные'!$B$297),0,('19_Расчет_аналитики'!BM4475-'19_Расчет_аналитики'!BM4503)*IF('01_Вводные'!$B$239="Да",MeanMinAge20+'19_Расчет_аналитики'!BM4608*SUMIF(ThresholdAge20,"&lt;"&amp;'19_Расчет_аналитики'!BM4608,WeightedRevAge20)-SUMIF(ThresholdAge20,"&lt;"&amp;'19_Расчет_аналитики'!BM4608,WeightedMinAge20),MAX(CapacityAge20*'01_Вводные'!$B$218*'19_Расчет_аналитики'!BM4608,MeanMinAge20))),0)</f>
        <v/>
      </c>
      <c r="BN4559">
        <f>IF('01_Вводные'!$B$234="Да",IF(OR(('19_Расчет_аналитики'!BN4475-'19_Расчет_аналитики'!BN4503)=0,20&lt;='01_Вводные'!$B$297),0,('19_Расчет_аналитики'!BN4475-'19_Расчет_аналитики'!BN4503)*IF('01_Вводные'!$B$239="Да",MeanMinAge20+'19_Расчет_аналитики'!BN4608*SUMIF(ThresholdAge20,"&lt;"&amp;'19_Расчет_аналитики'!BN4608,WeightedRevAge20)-SUMIF(ThresholdAge20,"&lt;"&amp;'19_Расчет_аналитики'!BN4608,WeightedMinAge20),MAX(CapacityAge20*'01_Вводные'!$B$218*'19_Расчет_аналитики'!BN4608,MeanMinAge20))),0)</f>
        <v/>
      </c>
      <c r="BO4559">
        <f>IF('01_Вводные'!$B$234="Да",IF(OR(('19_Расчет_аналитики'!BO4475-'19_Расчет_аналитики'!BO4503)=0,20&lt;='01_Вводные'!$B$297),0,('19_Расчет_аналитики'!BO4475-'19_Расчет_аналитики'!BO4503)*IF('01_Вводные'!$B$239="Да",MeanMinAge20+'19_Расчет_аналитики'!BO4608*SUMIF(ThresholdAge20,"&lt;"&amp;'19_Расчет_аналитики'!BO4608,WeightedRevAge20)-SUMIF(ThresholdAge20,"&lt;"&amp;'19_Расчет_аналитики'!BO4608,WeightedMinAge20),MAX(CapacityAge20*'01_Вводные'!$B$218*'19_Расчет_аналитики'!BO4608,MeanMinAge20))),0)</f>
        <v/>
      </c>
    </row>
    <row r="4560">
      <c r="B4560">
        <f>IF('01_Вводные'!$B$234="Да",IF(OR(('06_Сеть_и_дети'!B73-'06_Сеть_и_дети'!B101)=0,21&lt;='01_Вводные'!$B$297),0,('06_Сеть_и_дети'!B73-'06_Сеть_и_дети'!B101)*IF('01_Вводные'!$B$239="Да",MeanMinAge21+'19_Расчет_аналитики'!B4608*SUMIF(ThresholdAge21,"&lt;"&amp;'19_Расчет_аналитики'!B4608,WeightedRevAge21)-SUMIF(ThresholdAge21,"&lt;"&amp;'19_Расчет_аналитики'!B4608,WeightedMinAge21),MAX(CapacityAge21*'01_Вводные'!$B$218*'19_Расчет_аналитики'!B4608,MeanMinAge21))),0)</f>
        <v/>
      </c>
      <c r="C4560">
        <f>IF('01_Вводные'!$B$234="Да",IF(OR(('06_Сеть_и_дети'!C73-'06_Сеть_и_дети'!C101)=0,21&lt;='01_Вводные'!$B$297),0,('06_Сеть_и_дети'!C73-'06_Сеть_и_дети'!C101)*IF('01_Вводные'!$B$239="Да",MeanMinAge21+'19_Расчет_аналитики'!C4608*SUMIF(ThresholdAge21,"&lt;"&amp;'19_Расчет_аналитики'!C4608,WeightedRevAge21)-SUMIF(ThresholdAge21,"&lt;"&amp;'19_Расчет_аналитики'!C4608,WeightedMinAge21),MAX(CapacityAge21*'01_Вводные'!$B$218*'19_Расчет_аналитики'!C4608,MeanMinAge21))),0)</f>
        <v/>
      </c>
      <c r="D4560">
        <f>IF('01_Вводные'!$B$234="Да",IF(OR(('06_Сеть_и_дети'!D73-'06_Сеть_и_дети'!D101)=0,21&lt;='01_Вводные'!$B$297),0,('06_Сеть_и_дети'!D73-'06_Сеть_и_дети'!D101)*IF('01_Вводные'!$B$239="Да",MeanMinAge21+'19_Расчет_аналитики'!D4608*SUMIF(ThresholdAge21,"&lt;"&amp;'19_Расчет_аналитики'!D4608,WeightedRevAge21)-SUMIF(ThresholdAge21,"&lt;"&amp;'19_Расчет_аналитики'!D4608,WeightedMinAge21),MAX(CapacityAge21*'01_Вводные'!$B$218*'19_Расчет_аналитики'!D4608,MeanMinAge21))),0)</f>
        <v/>
      </c>
      <c r="E4560">
        <f>IF('01_Вводные'!$B$234="Да",IF(OR(('06_Сеть_и_дети'!E73-'06_Сеть_и_дети'!E101)=0,21&lt;='01_Вводные'!$B$297),0,('06_Сеть_и_дети'!E73-'06_Сеть_и_дети'!E101)*IF('01_Вводные'!$B$239="Да",MeanMinAge21+'19_Расчет_аналитики'!E4608*SUMIF(ThresholdAge21,"&lt;"&amp;'19_Расчет_аналитики'!E4608,WeightedRevAge21)-SUMIF(ThresholdAge21,"&lt;"&amp;'19_Расчет_аналитики'!E4608,WeightedMinAge21),MAX(CapacityAge21*'01_Вводные'!$B$218*'19_Расчет_аналитики'!E4608,MeanMinAge21))),0)</f>
        <v/>
      </c>
      <c r="F4560">
        <f>IF('01_Вводные'!$B$234="Да",IF(OR(('06_Сеть_и_дети'!F73-'06_Сеть_и_дети'!F101)=0,21&lt;='01_Вводные'!$B$297),0,('06_Сеть_и_дети'!F73-'06_Сеть_и_дети'!F101)*IF('01_Вводные'!$B$239="Да",MeanMinAge21+'19_Расчет_аналитики'!F4608*SUMIF(ThresholdAge21,"&lt;"&amp;'19_Расчет_аналитики'!F4608,WeightedRevAge21)-SUMIF(ThresholdAge21,"&lt;"&amp;'19_Расчет_аналитики'!F4608,WeightedMinAge21),MAX(CapacityAge21*'01_Вводные'!$B$218*'19_Расчет_аналитики'!F4608,MeanMinAge21))),0)</f>
        <v/>
      </c>
      <c r="G4560">
        <f>IF('01_Вводные'!$B$234="Да",IF(OR(('06_Сеть_и_дети'!G73-'06_Сеть_и_дети'!G101)=0,21&lt;='01_Вводные'!$B$297),0,('06_Сеть_и_дети'!G73-'06_Сеть_и_дети'!G101)*IF('01_Вводные'!$B$239="Да",MeanMinAge21+'19_Расчет_аналитики'!G4608*SUMIF(ThresholdAge21,"&lt;"&amp;'19_Расчет_аналитики'!G4608,WeightedRevAge21)-SUMIF(ThresholdAge21,"&lt;"&amp;'19_Расчет_аналитики'!G4608,WeightedMinAge21),MAX(CapacityAge21*'01_Вводные'!$B$218*'19_Расчет_аналитики'!G4608,MeanMinAge21))),0)</f>
        <v/>
      </c>
      <c r="H4560">
        <f>IF('01_Вводные'!$B$234="Да",IF(OR(('06_Сеть_и_дети'!H73-'06_Сеть_и_дети'!H101)=0,21&lt;='01_Вводные'!$B$297),0,('06_Сеть_и_дети'!H73-'06_Сеть_и_дети'!H101)*IF('01_Вводные'!$B$239="Да",MeanMinAge21+'19_Расчет_аналитики'!H4608*SUMIF(ThresholdAge21,"&lt;"&amp;'19_Расчет_аналитики'!H4608,WeightedRevAge21)-SUMIF(ThresholdAge21,"&lt;"&amp;'19_Расчет_аналитики'!H4608,WeightedMinAge21),MAX(CapacityAge21*'01_Вводные'!$B$218*'19_Расчет_аналитики'!H4608,MeanMinAge21))),0)</f>
        <v/>
      </c>
      <c r="I4560">
        <f>IF('01_Вводные'!$B$234="Да",IF(OR(('06_Сеть_и_дети'!I73-'06_Сеть_и_дети'!I101)=0,21&lt;='01_Вводные'!$B$297),0,('06_Сеть_и_дети'!I73-'06_Сеть_и_дети'!I101)*IF('01_Вводные'!$B$239="Да",MeanMinAge21+'19_Расчет_аналитики'!I4608*SUMIF(ThresholdAge21,"&lt;"&amp;'19_Расчет_аналитики'!I4608,WeightedRevAge21)-SUMIF(ThresholdAge21,"&lt;"&amp;'19_Расчет_аналитики'!I4608,WeightedMinAge21),MAX(CapacityAge21*'01_Вводные'!$B$218*'19_Расчет_аналитики'!I4608,MeanMinAge21))),0)</f>
        <v/>
      </c>
      <c r="J4560">
        <f>IF('01_Вводные'!$B$234="Да",IF(OR(('06_Сеть_и_дети'!J73-'06_Сеть_и_дети'!J101)=0,21&lt;='01_Вводные'!$B$297),0,('06_Сеть_и_дети'!J73-'06_Сеть_и_дети'!J101)*IF('01_Вводные'!$B$239="Да",MeanMinAge21+'19_Расчет_аналитики'!J4608*SUMIF(ThresholdAge21,"&lt;"&amp;'19_Расчет_аналитики'!J4608,WeightedRevAge21)-SUMIF(ThresholdAge21,"&lt;"&amp;'19_Расчет_аналитики'!J4608,WeightedMinAge21),MAX(CapacityAge21*'01_Вводные'!$B$218*'19_Расчет_аналитики'!J4608,MeanMinAge21))),0)</f>
        <v/>
      </c>
      <c r="K4560">
        <f>IF('01_Вводные'!$B$234="Да",IF(OR(('06_Сеть_и_дети'!K73-'06_Сеть_и_дети'!K101)=0,21&lt;='01_Вводные'!$B$297),0,('06_Сеть_и_дети'!K73-'06_Сеть_и_дети'!K101)*IF('01_Вводные'!$B$239="Да",MeanMinAge21+'19_Расчет_аналитики'!K4608*SUMIF(ThresholdAge21,"&lt;"&amp;'19_Расчет_аналитики'!K4608,WeightedRevAge21)-SUMIF(ThresholdAge21,"&lt;"&amp;'19_Расчет_аналитики'!K4608,WeightedMinAge21),MAX(CapacityAge21*'01_Вводные'!$B$218*'19_Расчет_аналитики'!K4608,MeanMinAge21))),0)</f>
        <v/>
      </c>
      <c r="L4560">
        <f>IF('01_Вводные'!$B$234="Да",IF(OR(('06_Сеть_и_дети'!L73-'06_Сеть_и_дети'!L101)=0,21&lt;='01_Вводные'!$B$297),0,('06_Сеть_и_дети'!L73-'06_Сеть_и_дети'!L101)*IF('01_Вводные'!$B$239="Да",MeanMinAge21+'19_Расчет_аналитики'!L4608*SUMIF(ThresholdAge21,"&lt;"&amp;'19_Расчет_аналитики'!L4608,WeightedRevAge21)-SUMIF(ThresholdAge21,"&lt;"&amp;'19_Расчет_аналитики'!L4608,WeightedMinAge21),MAX(CapacityAge21*'01_Вводные'!$B$218*'19_Расчет_аналитики'!L4608,MeanMinAge21))),0)</f>
        <v/>
      </c>
      <c r="M4560">
        <f>IF('01_Вводные'!$B$234="Да",IF(OR(('06_Сеть_и_дети'!M73-'06_Сеть_и_дети'!M101)=0,21&lt;='01_Вводные'!$B$297),0,('06_Сеть_и_дети'!M73-'06_Сеть_и_дети'!M101)*IF('01_Вводные'!$B$239="Да",MeanMinAge21+'19_Расчет_аналитики'!M4608*SUMIF(ThresholdAge21,"&lt;"&amp;'19_Расчет_аналитики'!M4608,WeightedRevAge21)-SUMIF(ThresholdAge21,"&lt;"&amp;'19_Расчет_аналитики'!M4608,WeightedMinAge21),MAX(CapacityAge21*'01_Вводные'!$B$218*'19_Расчет_аналитики'!M4608,MeanMinAge21))),0)</f>
        <v/>
      </c>
      <c r="N4560">
        <f>IF('01_Вводные'!$B$234="Да",IF(OR(('06_Сеть_и_дети'!N73-'06_Сеть_и_дети'!N101)=0,21&lt;='01_Вводные'!$B$297),0,('06_Сеть_и_дети'!N73-'06_Сеть_и_дети'!N101)*IF('01_Вводные'!$B$239="Да",MeanMinAge21+'19_Расчет_аналитики'!N4608*SUMIF(ThresholdAge21,"&lt;"&amp;'19_Расчет_аналитики'!N4608,WeightedRevAge21)-SUMIF(ThresholdAge21,"&lt;"&amp;'19_Расчет_аналитики'!N4608,WeightedMinAge21),MAX(CapacityAge21*'01_Вводные'!$B$218*'19_Расчет_аналитики'!N4608,MeanMinAge21))),0)</f>
        <v/>
      </c>
      <c r="O4560">
        <f>IF('01_Вводные'!$B$234="Да",IF(OR(('06_Сеть_и_дети'!O73-'06_Сеть_и_дети'!O101)=0,21&lt;='01_Вводные'!$B$297),0,('06_Сеть_и_дети'!O73-'06_Сеть_и_дети'!O101)*IF('01_Вводные'!$B$239="Да",MeanMinAge21+'19_Расчет_аналитики'!O4608*SUMIF(ThresholdAge21,"&lt;"&amp;'19_Расчет_аналитики'!O4608,WeightedRevAge21)-SUMIF(ThresholdAge21,"&lt;"&amp;'19_Расчет_аналитики'!O4608,WeightedMinAge21),MAX(CapacityAge21*'01_Вводные'!$B$218*'19_Расчет_аналитики'!O4608,MeanMinAge21))),0)</f>
        <v/>
      </c>
      <c r="P4560">
        <f>IF('01_Вводные'!$B$234="Да",IF(OR(('06_Сеть_и_дети'!P73-'06_Сеть_и_дети'!P101)=0,21&lt;='01_Вводные'!$B$297),0,('06_Сеть_и_дети'!P73-'06_Сеть_и_дети'!P101)*IF('01_Вводные'!$B$239="Да",MeanMinAge21+'19_Расчет_аналитики'!P4608*SUMIF(ThresholdAge21,"&lt;"&amp;'19_Расчет_аналитики'!P4608,WeightedRevAge21)-SUMIF(ThresholdAge21,"&lt;"&amp;'19_Расчет_аналитики'!P4608,WeightedMinAge21),MAX(CapacityAge21*'01_Вводные'!$B$218*'19_Расчет_аналитики'!P4608,MeanMinAge21))),0)</f>
        <v/>
      </c>
      <c r="Q4560">
        <f>IF('01_Вводные'!$B$234="Да",IF(OR(('06_Сеть_и_дети'!Q73-'06_Сеть_и_дети'!Q101)=0,21&lt;='01_Вводные'!$B$297),0,('06_Сеть_и_дети'!Q73-'06_Сеть_и_дети'!Q101)*IF('01_Вводные'!$B$239="Да",MeanMinAge21+'19_Расчет_аналитики'!Q4608*SUMIF(ThresholdAge21,"&lt;"&amp;'19_Расчет_аналитики'!Q4608,WeightedRevAge21)-SUMIF(ThresholdAge21,"&lt;"&amp;'19_Расчет_аналитики'!Q4608,WeightedMinAge21),MAX(CapacityAge21*'01_Вводные'!$B$218*'19_Расчет_аналитики'!Q4608,MeanMinAge21))),0)</f>
        <v/>
      </c>
      <c r="R4560">
        <f>IF('01_Вводные'!$B$234="Да",IF(OR(('06_Сеть_и_дети'!R73-'06_Сеть_и_дети'!R101)=0,21&lt;='01_Вводные'!$B$297),0,('06_Сеть_и_дети'!R73-'06_Сеть_и_дети'!R101)*IF('01_Вводные'!$B$239="Да",MeanMinAge21+'19_Расчет_аналитики'!R4608*SUMIF(ThresholdAge21,"&lt;"&amp;'19_Расчет_аналитики'!R4608,WeightedRevAge21)-SUMIF(ThresholdAge21,"&lt;"&amp;'19_Расчет_аналитики'!R4608,WeightedMinAge21),MAX(CapacityAge21*'01_Вводные'!$B$218*'19_Расчет_аналитики'!R4608,MeanMinAge21))),0)</f>
        <v/>
      </c>
      <c r="S4560">
        <f>IF('01_Вводные'!$B$234="Да",IF(OR(('06_Сеть_и_дети'!S73-'06_Сеть_и_дети'!S101)=0,21&lt;='01_Вводные'!$B$297),0,('06_Сеть_и_дети'!S73-'06_Сеть_и_дети'!S101)*IF('01_Вводные'!$B$239="Да",MeanMinAge21+'19_Расчет_аналитики'!S4608*SUMIF(ThresholdAge21,"&lt;"&amp;'19_Расчет_аналитики'!S4608,WeightedRevAge21)-SUMIF(ThresholdAge21,"&lt;"&amp;'19_Расчет_аналитики'!S4608,WeightedMinAge21),MAX(CapacityAge21*'01_Вводные'!$B$218*'19_Расчет_аналитики'!S4608,MeanMinAge21))),0)</f>
        <v/>
      </c>
      <c r="T4560">
        <f>IF('01_Вводные'!$B$234="Да",IF(OR(('06_Сеть_и_дети'!T73-'06_Сеть_и_дети'!T101)=0,21&lt;='01_Вводные'!$B$297),0,('06_Сеть_и_дети'!T73-'06_Сеть_и_дети'!T101)*IF('01_Вводные'!$B$239="Да",MeanMinAge21+'19_Расчет_аналитики'!T4608*SUMIF(ThresholdAge21,"&lt;"&amp;'19_Расчет_аналитики'!T4608,WeightedRevAge21)-SUMIF(ThresholdAge21,"&lt;"&amp;'19_Расчет_аналитики'!T4608,WeightedMinAge21),MAX(CapacityAge21*'01_Вводные'!$B$218*'19_Расчет_аналитики'!T4608,MeanMinAge21))),0)</f>
        <v/>
      </c>
      <c r="U4560">
        <f>IF('01_Вводные'!$B$234="Да",IF(OR(('06_Сеть_и_дети'!U73-'06_Сеть_и_дети'!U101)=0,21&lt;='01_Вводные'!$B$297),0,('06_Сеть_и_дети'!U73-'06_Сеть_и_дети'!U101)*IF('01_Вводные'!$B$239="Да",MeanMinAge21+'19_Расчет_аналитики'!U4608*SUMIF(ThresholdAge21,"&lt;"&amp;'19_Расчет_аналитики'!U4608,WeightedRevAge21)-SUMIF(ThresholdAge21,"&lt;"&amp;'19_Расчет_аналитики'!U4608,WeightedMinAge21),MAX(CapacityAge21*'01_Вводные'!$B$218*'19_Расчет_аналитики'!U4608,MeanMinAge21))),0)</f>
        <v/>
      </c>
      <c r="V4560">
        <f>IF('01_Вводные'!$B$234="Да",IF(OR(('19_Расчет_аналитики'!V4476-'19_Расчет_аналитики'!V4504)=0,21&lt;='01_Вводные'!$B$297),0,('19_Расчет_аналитики'!V4476-'19_Расчет_аналитики'!V4504)*IF('01_Вводные'!$B$239="Да",MeanMinAge21+'19_Расчет_аналитики'!V4608*SUMIF(ThresholdAge21,"&lt;"&amp;'19_Расчет_аналитики'!V4608,WeightedRevAge21)-SUMIF(ThresholdAge21,"&lt;"&amp;'19_Расчет_аналитики'!V4608,WeightedMinAge21),MAX(CapacityAge21*'01_Вводные'!$B$218*'19_Расчет_аналитики'!V4608,MeanMinAge21))),0)</f>
        <v/>
      </c>
      <c r="W4560">
        <f>IF('01_Вводные'!$B$234="Да",IF(OR(('19_Расчет_аналитики'!W4476-'19_Расчет_аналитики'!W4504)=0,21&lt;='01_Вводные'!$B$297),0,('19_Расчет_аналитики'!W4476-'19_Расчет_аналитики'!W4504)*IF('01_Вводные'!$B$239="Да",MeanMinAge21+'19_Расчет_аналитики'!W4608*SUMIF(ThresholdAge21,"&lt;"&amp;'19_Расчет_аналитики'!W4608,WeightedRevAge21)-SUMIF(ThresholdAge21,"&lt;"&amp;'19_Расчет_аналитики'!W4608,WeightedMinAge21),MAX(CapacityAge21*'01_Вводные'!$B$218*'19_Расчет_аналитики'!W4608,MeanMinAge21))),0)</f>
        <v/>
      </c>
      <c r="X4560">
        <f>IF('01_Вводные'!$B$234="Да",IF(OR(('19_Расчет_аналитики'!X4476-'19_Расчет_аналитики'!X4504)=0,21&lt;='01_Вводные'!$B$297),0,('19_Расчет_аналитики'!X4476-'19_Расчет_аналитики'!X4504)*IF('01_Вводные'!$B$239="Да",MeanMinAge21+'19_Расчет_аналитики'!X4608*SUMIF(ThresholdAge21,"&lt;"&amp;'19_Расчет_аналитики'!X4608,WeightedRevAge21)-SUMIF(ThresholdAge21,"&lt;"&amp;'19_Расчет_аналитики'!X4608,WeightedMinAge21),MAX(CapacityAge21*'01_Вводные'!$B$218*'19_Расчет_аналитики'!X4608,MeanMinAge21))),0)</f>
        <v/>
      </c>
      <c r="Y4560">
        <f>IF('01_Вводные'!$B$234="Да",IF(OR(('19_Расчет_аналитики'!Y4476-'19_Расчет_аналитики'!Y4504)=0,21&lt;='01_Вводные'!$B$297),0,('19_Расчет_аналитики'!Y4476-'19_Расчет_аналитики'!Y4504)*IF('01_Вводные'!$B$239="Да",MeanMinAge21+'19_Расчет_аналитики'!Y4608*SUMIF(ThresholdAge21,"&lt;"&amp;'19_Расчет_аналитики'!Y4608,WeightedRevAge21)-SUMIF(ThresholdAge21,"&lt;"&amp;'19_Расчет_аналитики'!Y4608,WeightedMinAge21),MAX(CapacityAge21*'01_Вводные'!$B$218*'19_Расчет_аналитики'!Y4608,MeanMinAge21))),0)</f>
        <v/>
      </c>
      <c r="Z4560">
        <f>IF('01_Вводные'!$B$234="Да",IF(OR(('19_Расчет_аналитики'!Z4476-'19_Расчет_аналитики'!Z4504)=0,21&lt;='01_Вводные'!$B$297),0,('19_Расчет_аналитики'!Z4476-'19_Расчет_аналитики'!Z4504)*IF('01_Вводные'!$B$239="Да",MeanMinAge21+'19_Расчет_аналитики'!Z4608*SUMIF(ThresholdAge21,"&lt;"&amp;'19_Расчет_аналитики'!Z4608,WeightedRevAge21)-SUMIF(ThresholdAge21,"&lt;"&amp;'19_Расчет_аналитики'!Z4608,WeightedMinAge21),MAX(CapacityAge21*'01_Вводные'!$B$218*'19_Расчет_аналитики'!Z4608,MeanMinAge21))),0)</f>
        <v/>
      </c>
      <c r="AA4560">
        <f>IF('01_Вводные'!$B$234="Да",IF(OR(('19_Расчет_аналитики'!AA4476-'19_Расчет_аналитики'!AA4504)=0,21&lt;='01_Вводные'!$B$297),0,('19_Расчет_аналитики'!AA4476-'19_Расчет_аналитики'!AA4504)*IF('01_Вводные'!$B$239="Да",MeanMinAge21+'19_Расчет_аналитики'!AA4608*SUMIF(ThresholdAge21,"&lt;"&amp;'19_Расчет_аналитики'!AA4608,WeightedRevAge21)-SUMIF(ThresholdAge21,"&lt;"&amp;'19_Расчет_аналитики'!AA4608,WeightedMinAge21),MAX(CapacityAge21*'01_Вводные'!$B$218*'19_Расчет_аналитики'!AA4608,MeanMinAge21))),0)</f>
        <v/>
      </c>
      <c r="AB4560">
        <f>IF('01_Вводные'!$B$234="Да",IF(OR(('19_Расчет_аналитики'!AB4476-'19_Расчет_аналитики'!AB4504)=0,21&lt;='01_Вводные'!$B$297),0,('19_Расчет_аналитики'!AB4476-'19_Расчет_аналитики'!AB4504)*IF('01_Вводные'!$B$239="Да",MeanMinAge21+'19_Расчет_аналитики'!AB4608*SUMIF(ThresholdAge21,"&lt;"&amp;'19_Расчет_аналитики'!AB4608,WeightedRevAge21)-SUMIF(ThresholdAge21,"&lt;"&amp;'19_Расчет_аналитики'!AB4608,WeightedMinAge21),MAX(CapacityAge21*'01_Вводные'!$B$218*'19_Расчет_аналитики'!AB4608,MeanMinAge21))),0)</f>
        <v/>
      </c>
      <c r="AC4560">
        <f>IF('01_Вводные'!$B$234="Да",IF(OR(('19_Расчет_аналитики'!AC4476-'19_Расчет_аналитики'!AC4504)=0,21&lt;='01_Вводные'!$B$297),0,('19_Расчет_аналитики'!AC4476-'19_Расчет_аналитики'!AC4504)*IF('01_Вводные'!$B$239="Да",MeanMinAge21+'19_Расчет_аналитики'!AC4608*SUMIF(ThresholdAge21,"&lt;"&amp;'19_Расчет_аналитики'!AC4608,WeightedRevAge21)-SUMIF(ThresholdAge21,"&lt;"&amp;'19_Расчет_аналитики'!AC4608,WeightedMinAge21),MAX(CapacityAge21*'01_Вводные'!$B$218*'19_Расчет_аналитики'!AC4608,MeanMinAge21))),0)</f>
        <v/>
      </c>
      <c r="AD4560">
        <f>IF('01_Вводные'!$B$234="Да",IF(OR(('19_Расчет_аналитики'!AD4476-'19_Расчет_аналитики'!AD4504)=0,21&lt;='01_Вводные'!$B$297),0,('19_Расчет_аналитики'!AD4476-'19_Расчет_аналитики'!AD4504)*IF('01_Вводные'!$B$239="Да",MeanMinAge21+'19_Расчет_аналитики'!AD4608*SUMIF(ThresholdAge21,"&lt;"&amp;'19_Расчет_аналитики'!AD4608,WeightedRevAge21)-SUMIF(ThresholdAge21,"&lt;"&amp;'19_Расчет_аналитики'!AD4608,WeightedMinAge21),MAX(CapacityAge21*'01_Вводные'!$B$218*'19_Расчет_аналитики'!AD4608,MeanMinAge21))),0)</f>
        <v/>
      </c>
      <c r="AE4560">
        <f>IF('01_Вводные'!$B$234="Да",IF(OR(('19_Расчет_аналитики'!AE4476-'19_Расчет_аналитики'!AE4504)=0,21&lt;='01_Вводные'!$B$297),0,('19_Расчет_аналитики'!AE4476-'19_Расчет_аналитики'!AE4504)*IF('01_Вводные'!$B$239="Да",MeanMinAge21+'19_Расчет_аналитики'!AE4608*SUMIF(ThresholdAge21,"&lt;"&amp;'19_Расчет_аналитики'!AE4608,WeightedRevAge21)-SUMIF(ThresholdAge21,"&lt;"&amp;'19_Расчет_аналитики'!AE4608,WeightedMinAge21),MAX(CapacityAge21*'01_Вводные'!$B$218*'19_Расчет_аналитики'!AE4608,MeanMinAge21))),0)</f>
        <v/>
      </c>
      <c r="AF4560">
        <f>IF('01_Вводные'!$B$234="Да",IF(OR(('19_Расчет_аналитики'!AF4476-'19_Расчет_аналитики'!AF4504)=0,21&lt;='01_Вводные'!$B$297),0,('19_Расчет_аналитики'!AF4476-'19_Расчет_аналитики'!AF4504)*IF('01_Вводные'!$B$239="Да",MeanMinAge21+'19_Расчет_аналитики'!AF4608*SUMIF(ThresholdAge21,"&lt;"&amp;'19_Расчет_аналитики'!AF4608,WeightedRevAge21)-SUMIF(ThresholdAge21,"&lt;"&amp;'19_Расчет_аналитики'!AF4608,WeightedMinAge21),MAX(CapacityAge21*'01_Вводные'!$B$218*'19_Расчет_аналитики'!AF4608,MeanMinAge21))),0)</f>
        <v/>
      </c>
      <c r="AG4560">
        <f>IF('01_Вводные'!$B$234="Да",IF(OR(('19_Расчет_аналитики'!AG4476-'19_Расчет_аналитики'!AG4504)=0,21&lt;='01_Вводные'!$B$297),0,('19_Расчет_аналитики'!AG4476-'19_Расчет_аналитики'!AG4504)*IF('01_Вводные'!$B$239="Да",MeanMinAge21+'19_Расчет_аналитики'!AG4608*SUMIF(ThresholdAge21,"&lt;"&amp;'19_Расчет_аналитики'!AG4608,WeightedRevAge21)-SUMIF(ThresholdAge21,"&lt;"&amp;'19_Расчет_аналитики'!AG4608,WeightedMinAge21),MAX(CapacityAge21*'01_Вводные'!$B$218*'19_Расчет_аналитики'!AG4608,MeanMinAge21))),0)</f>
        <v/>
      </c>
      <c r="AH4560">
        <f>IF('01_Вводные'!$B$234="Да",IF(OR(('19_Расчет_аналитики'!AH4476-'19_Расчет_аналитики'!AH4504)=0,21&lt;='01_Вводные'!$B$297),0,('19_Расчет_аналитики'!AH4476-'19_Расчет_аналитики'!AH4504)*IF('01_Вводные'!$B$239="Да",MeanMinAge21+'19_Расчет_аналитики'!AH4608*SUMIF(ThresholdAge21,"&lt;"&amp;'19_Расчет_аналитики'!AH4608,WeightedRevAge21)-SUMIF(ThresholdAge21,"&lt;"&amp;'19_Расчет_аналитики'!AH4608,WeightedMinAge21),MAX(CapacityAge21*'01_Вводные'!$B$218*'19_Расчет_аналитики'!AH4608,MeanMinAge21))),0)</f>
        <v/>
      </c>
      <c r="AI4560">
        <f>IF('01_Вводные'!$B$234="Да",IF(OR(('19_Расчет_аналитики'!AI4476-'19_Расчет_аналитики'!AI4504)=0,21&lt;='01_Вводные'!$B$297),0,('19_Расчет_аналитики'!AI4476-'19_Расчет_аналитики'!AI4504)*IF('01_Вводные'!$B$239="Да",MeanMinAge21+'19_Расчет_аналитики'!AI4608*SUMIF(ThresholdAge21,"&lt;"&amp;'19_Расчет_аналитики'!AI4608,WeightedRevAge21)-SUMIF(ThresholdAge21,"&lt;"&amp;'19_Расчет_аналитики'!AI4608,WeightedMinAge21),MAX(CapacityAge21*'01_Вводные'!$B$218*'19_Расчет_аналитики'!AI4608,MeanMinAge21))),0)</f>
        <v/>
      </c>
      <c r="AJ4560">
        <f>IF('01_Вводные'!$B$234="Да",IF(OR(('19_Расчет_аналитики'!AJ4476-'19_Расчет_аналитики'!AJ4504)=0,21&lt;='01_Вводные'!$B$297),0,('19_Расчет_аналитики'!AJ4476-'19_Расчет_аналитики'!AJ4504)*IF('01_Вводные'!$B$239="Да",MeanMinAge21+'19_Расчет_аналитики'!AJ4608*SUMIF(ThresholdAge21,"&lt;"&amp;'19_Расчет_аналитики'!AJ4608,WeightedRevAge21)-SUMIF(ThresholdAge21,"&lt;"&amp;'19_Расчет_аналитики'!AJ4608,WeightedMinAge21),MAX(CapacityAge21*'01_Вводные'!$B$218*'19_Расчет_аналитики'!AJ4608,MeanMinAge21))),0)</f>
        <v/>
      </c>
      <c r="AK4560">
        <f>IF('01_Вводные'!$B$234="Да",IF(OR(('19_Расчет_аналитики'!AK4476-'19_Расчет_аналитики'!AK4504)=0,21&lt;='01_Вводные'!$B$297),0,('19_Расчет_аналитики'!AK4476-'19_Расчет_аналитики'!AK4504)*IF('01_Вводные'!$B$239="Да",MeanMinAge21+'19_Расчет_аналитики'!AK4608*SUMIF(ThresholdAge21,"&lt;"&amp;'19_Расчет_аналитики'!AK4608,WeightedRevAge21)-SUMIF(ThresholdAge21,"&lt;"&amp;'19_Расчет_аналитики'!AK4608,WeightedMinAge21),MAX(CapacityAge21*'01_Вводные'!$B$218*'19_Расчет_аналитики'!AK4608,MeanMinAge21))),0)</f>
        <v/>
      </c>
      <c r="AL4560">
        <f>IF('01_Вводные'!$B$234="Да",IF(OR(('19_Расчет_аналитики'!AL4476-'19_Расчет_аналитики'!AL4504)=0,21&lt;='01_Вводные'!$B$297),0,('19_Расчет_аналитики'!AL4476-'19_Расчет_аналитики'!AL4504)*IF('01_Вводные'!$B$239="Да",MeanMinAge21+'19_Расчет_аналитики'!AL4608*SUMIF(ThresholdAge21,"&lt;"&amp;'19_Расчет_аналитики'!AL4608,WeightedRevAge21)-SUMIF(ThresholdAge21,"&lt;"&amp;'19_Расчет_аналитики'!AL4608,WeightedMinAge21),MAX(CapacityAge21*'01_Вводные'!$B$218*'19_Расчет_аналитики'!AL4608,MeanMinAge21))),0)</f>
        <v/>
      </c>
      <c r="AM4560">
        <f>IF('01_Вводные'!$B$234="Да",IF(OR(('19_Расчет_аналитики'!AM4476-'19_Расчет_аналитики'!AM4504)=0,21&lt;='01_Вводные'!$B$297),0,('19_Расчет_аналитики'!AM4476-'19_Расчет_аналитики'!AM4504)*IF('01_Вводные'!$B$239="Да",MeanMinAge21+'19_Расчет_аналитики'!AM4608*SUMIF(ThresholdAge21,"&lt;"&amp;'19_Расчет_аналитики'!AM4608,WeightedRevAge21)-SUMIF(ThresholdAge21,"&lt;"&amp;'19_Расчет_аналитики'!AM4608,WeightedMinAge21),MAX(CapacityAge21*'01_Вводные'!$B$218*'19_Расчет_аналитики'!AM4608,MeanMinAge21))),0)</f>
        <v/>
      </c>
      <c r="AN4560">
        <f>IF('01_Вводные'!$B$234="Да",IF(OR(('19_Расчет_аналитики'!AN4476-'19_Расчет_аналитики'!AN4504)=0,21&lt;='01_Вводные'!$B$297),0,('19_Расчет_аналитики'!AN4476-'19_Расчет_аналитики'!AN4504)*IF('01_Вводные'!$B$239="Да",MeanMinAge21+'19_Расчет_аналитики'!AN4608*SUMIF(ThresholdAge21,"&lt;"&amp;'19_Расчет_аналитики'!AN4608,WeightedRevAge21)-SUMIF(ThresholdAge21,"&lt;"&amp;'19_Расчет_аналитики'!AN4608,WeightedMinAge21),MAX(CapacityAge21*'01_Вводные'!$B$218*'19_Расчет_аналитики'!AN4608,MeanMinAge21))),0)</f>
        <v/>
      </c>
      <c r="AO4560">
        <f>IF('01_Вводные'!$B$234="Да",IF(OR(('19_Расчет_аналитики'!AO4476-'19_Расчет_аналитики'!AO4504)=0,21&lt;='01_Вводные'!$B$297),0,('19_Расчет_аналитики'!AO4476-'19_Расчет_аналитики'!AO4504)*IF('01_Вводные'!$B$239="Да",MeanMinAge21+'19_Расчет_аналитики'!AO4608*SUMIF(ThresholdAge21,"&lt;"&amp;'19_Расчет_аналитики'!AO4608,WeightedRevAge21)-SUMIF(ThresholdAge21,"&lt;"&amp;'19_Расчет_аналитики'!AO4608,WeightedMinAge21),MAX(CapacityAge21*'01_Вводные'!$B$218*'19_Расчет_аналитики'!AO4608,MeanMinAge21))),0)</f>
        <v/>
      </c>
      <c r="AP4560">
        <f>IF('01_Вводные'!$B$234="Да",IF(OR(('19_Расчет_аналитики'!AP4476-'19_Расчет_аналитики'!AP4504)=0,21&lt;='01_Вводные'!$B$297),0,('19_Расчет_аналитики'!AP4476-'19_Расчет_аналитики'!AP4504)*IF('01_Вводные'!$B$239="Да",MeanMinAge21+'19_Расчет_аналитики'!AP4608*SUMIF(ThresholdAge21,"&lt;"&amp;'19_Расчет_аналитики'!AP4608,WeightedRevAge21)-SUMIF(ThresholdAge21,"&lt;"&amp;'19_Расчет_аналитики'!AP4608,WeightedMinAge21),MAX(CapacityAge21*'01_Вводные'!$B$218*'19_Расчет_аналитики'!AP4608,MeanMinAge21))),0)</f>
        <v/>
      </c>
      <c r="AQ4560">
        <f>IF('01_Вводные'!$B$234="Да",IF(OR(('19_Расчет_аналитики'!AQ4476-'19_Расчет_аналитики'!AQ4504)=0,21&lt;='01_Вводные'!$B$297),0,('19_Расчет_аналитики'!AQ4476-'19_Расчет_аналитики'!AQ4504)*IF('01_Вводные'!$B$239="Да",MeanMinAge21+'19_Расчет_аналитики'!AQ4608*SUMIF(ThresholdAge21,"&lt;"&amp;'19_Расчет_аналитики'!AQ4608,WeightedRevAge21)-SUMIF(ThresholdAge21,"&lt;"&amp;'19_Расчет_аналитики'!AQ4608,WeightedMinAge21),MAX(CapacityAge21*'01_Вводные'!$B$218*'19_Расчет_аналитики'!AQ4608,MeanMinAge21))),0)</f>
        <v/>
      </c>
      <c r="AR4560">
        <f>IF('01_Вводные'!$B$234="Да",IF(OR(('19_Расчет_аналитики'!AR4476-'19_Расчет_аналитики'!AR4504)=0,21&lt;='01_Вводные'!$B$297),0,('19_Расчет_аналитики'!AR4476-'19_Расчет_аналитики'!AR4504)*IF('01_Вводные'!$B$239="Да",MeanMinAge21+'19_Расчет_аналитики'!AR4608*SUMIF(ThresholdAge21,"&lt;"&amp;'19_Расчет_аналитики'!AR4608,WeightedRevAge21)-SUMIF(ThresholdAge21,"&lt;"&amp;'19_Расчет_аналитики'!AR4608,WeightedMinAge21),MAX(CapacityAge21*'01_Вводные'!$B$218*'19_Расчет_аналитики'!AR4608,MeanMinAge21))),0)</f>
        <v/>
      </c>
      <c r="AS4560">
        <f>IF('01_Вводные'!$B$234="Да",IF(OR(('19_Расчет_аналитики'!AS4476-'19_Расчет_аналитики'!AS4504)=0,21&lt;='01_Вводные'!$B$297),0,('19_Расчет_аналитики'!AS4476-'19_Расчет_аналитики'!AS4504)*IF('01_Вводные'!$B$239="Да",MeanMinAge21+'19_Расчет_аналитики'!AS4608*SUMIF(ThresholdAge21,"&lt;"&amp;'19_Расчет_аналитики'!AS4608,WeightedRevAge21)-SUMIF(ThresholdAge21,"&lt;"&amp;'19_Расчет_аналитики'!AS4608,WeightedMinAge21),MAX(CapacityAge21*'01_Вводные'!$B$218*'19_Расчет_аналитики'!AS4608,MeanMinAge21))),0)</f>
        <v/>
      </c>
      <c r="AT4560">
        <f>IF('01_Вводные'!$B$234="Да",IF(OR(('19_Расчет_аналитики'!AT4476-'19_Расчет_аналитики'!AT4504)=0,21&lt;='01_Вводные'!$B$297),0,('19_Расчет_аналитики'!AT4476-'19_Расчет_аналитики'!AT4504)*IF('01_Вводные'!$B$239="Да",MeanMinAge21+'19_Расчет_аналитики'!AT4608*SUMIF(ThresholdAge21,"&lt;"&amp;'19_Расчет_аналитики'!AT4608,WeightedRevAge21)-SUMIF(ThresholdAge21,"&lt;"&amp;'19_Расчет_аналитики'!AT4608,WeightedMinAge21),MAX(CapacityAge21*'01_Вводные'!$B$218*'19_Расчет_аналитики'!AT4608,MeanMinAge21))),0)</f>
        <v/>
      </c>
      <c r="AU4560">
        <f>IF('01_Вводные'!$B$234="Да",IF(OR(('19_Расчет_аналитики'!AU4476-'19_Расчет_аналитики'!AU4504)=0,21&lt;='01_Вводные'!$B$297),0,('19_Расчет_аналитики'!AU4476-'19_Расчет_аналитики'!AU4504)*IF('01_Вводные'!$B$239="Да",MeanMinAge21+'19_Расчет_аналитики'!AU4608*SUMIF(ThresholdAge21,"&lt;"&amp;'19_Расчет_аналитики'!AU4608,WeightedRevAge21)-SUMIF(ThresholdAge21,"&lt;"&amp;'19_Расчет_аналитики'!AU4608,WeightedMinAge21),MAX(CapacityAge21*'01_Вводные'!$B$218*'19_Расчет_аналитики'!AU4608,MeanMinAge21))),0)</f>
        <v/>
      </c>
      <c r="AV4560">
        <f>IF('01_Вводные'!$B$234="Да",IF(OR(('19_Расчет_аналитики'!AV4476-'19_Расчет_аналитики'!AV4504)=0,21&lt;='01_Вводные'!$B$297),0,('19_Расчет_аналитики'!AV4476-'19_Расчет_аналитики'!AV4504)*IF('01_Вводные'!$B$239="Да",MeanMinAge21+'19_Расчет_аналитики'!AV4608*SUMIF(ThresholdAge21,"&lt;"&amp;'19_Расчет_аналитики'!AV4608,WeightedRevAge21)-SUMIF(ThresholdAge21,"&lt;"&amp;'19_Расчет_аналитики'!AV4608,WeightedMinAge21),MAX(CapacityAge21*'01_Вводные'!$B$218*'19_Расчет_аналитики'!AV4608,MeanMinAge21))),0)</f>
        <v/>
      </c>
      <c r="AW4560">
        <f>IF('01_Вводные'!$B$234="Да",IF(OR(('19_Расчет_аналитики'!AW4476-'19_Расчет_аналитики'!AW4504)=0,21&lt;='01_Вводные'!$B$297),0,('19_Расчет_аналитики'!AW4476-'19_Расчет_аналитики'!AW4504)*IF('01_Вводные'!$B$239="Да",MeanMinAge21+'19_Расчет_аналитики'!AW4608*SUMIF(ThresholdAge21,"&lt;"&amp;'19_Расчет_аналитики'!AW4608,WeightedRevAge21)-SUMIF(ThresholdAge21,"&lt;"&amp;'19_Расчет_аналитики'!AW4608,WeightedMinAge21),MAX(CapacityAge21*'01_Вводные'!$B$218*'19_Расчет_аналитики'!AW4608,MeanMinAge21))),0)</f>
        <v/>
      </c>
      <c r="AX4560">
        <f>IF('01_Вводные'!$B$234="Да",IF(OR(('19_Расчет_аналитики'!AX4476-'19_Расчет_аналитики'!AX4504)=0,21&lt;='01_Вводные'!$B$297),0,('19_Расчет_аналитики'!AX4476-'19_Расчет_аналитики'!AX4504)*IF('01_Вводные'!$B$239="Да",MeanMinAge21+'19_Расчет_аналитики'!AX4608*SUMIF(ThresholdAge21,"&lt;"&amp;'19_Расчет_аналитики'!AX4608,WeightedRevAge21)-SUMIF(ThresholdAge21,"&lt;"&amp;'19_Расчет_аналитики'!AX4608,WeightedMinAge21),MAX(CapacityAge21*'01_Вводные'!$B$218*'19_Расчет_аналитики'!AX4608,MeanMinAge21))),0)</f>
        <v/>
      </c>
      <c r="AY4560">
        <f>IF('01_Вводные'!$B$234="Да",IF(OR(('19_Расчет_аналитики'!AY4476-'19_Расчет_аналитики'!AY4504)=0,21&lt;='01_Вводные'!$B$297),0,('19_Расчет_аналитики'!AY4476-'19_Расчет_аналитики'!AY4504)*IF('01_Вводные'!$B$239="Да",MeanMinAge21+'19_Расчет_аналитики'!AY4608*SUMIF(ThresholdAge21,"&lt;"&amp;'19_Расчет_аналитики'!AY4608,WeightedRevAge21)-SUMIF(ThresholdAge21,"&lt;"&amp;'19_Расчет_аналитики'!AY4608,WeightedMinAge21),MAX(CapacityAge21*'01_Вводные'!$B$218*'19_Расчет_аналитики'!AY4608,MeanMinAge21))),0)</f>
        <v/>
      </c>
      <c r="AZ4560">
        <f>IF('01_Вводные'!$B$234="Да",IF(OR(('19_Расчет_аналитики'!AZ4476-'19_Расчет_аналитики'!AZ4504)=0,21&lt;='01_Вводные'!$B$297),0,('19_Расчет_аналитики'!AZ4476-'19_Расчет_аналитики'!AZ4504)*IF('01_Вводные'!$B$239="Да",MeanMinAge21+'19_Расчет_аналитики'!AZ4608*SUMIF(ThresholdAge21,"&lt;"&amp;'19_Расчет_аналитики'!AZ4608,WeightedRevAge21)-SUMIF(ThresholdAge21,"&lt;"&amp;'19_Расчет_аналитики'!AZ4608,WeightedMinAge21),MAX(CapacityAge21*'01_Вводные'!$B$218*'19_Расчет_аналитики'!AZ4608,MeanMinAge21))),0)</f>
        <v/>
      </c>
      <c r="BA4560">
        <f>IF('01_Вводные'!$B$234="Да",IF(OR(('19_Расчет_аналитики'!BA4476-'19_Расчет_аналитики'!BA4504)=0,21&lt;='01_Вводные'!$B$297),0,('19_Расчет_аналитики'!BA4476-'19_Расчет_аналитики'!BA4504)*IF('01_Вводные'!$B$239="Да",MeanMinAge21+'19_Расчет_аналитики'!BA4608*SUMIF(ThresholdAge21,"&lt;"&amp;'19_Расчет_аналитики'!BA4608,WeightedRevAge21)-SUMIF(ThresholdAge21,"&lt;"&amp;'19_Расчет_аналитики'!BA4608,WeightedMinAge21),MAX(CapacityAge21*'01_Вводные'!$B$218*'19_Расчет_аналитики'!BA4608,MeanMinAge21))),0)</f>
        <v/>
      </c>
      <c r="BB4560">
        <f>IF('01_Вводные'!$B$234="Да",IF(OR(('19_Расчет_аналитики'!BB4476-'19_Расчет_аналитики'!BB4504)=0,21&lt;='01_Вводные'!$B$297),0,('19_Расчет_аналитики'!BB4476-'19_Расчет_аналитики'!BB4504)*IF('01_Вводные'!$B$239="Да",MeanMinAge21+'19_Расчет_аналитики'!BB4608*SUMIF(ThresholdAge21,"&lt;"&amp;'19_Расчет_аналитики'!BB4608,WeightedRevAge21)-SUMIF(ThresholdAge21,"&lt;"&amp;'19_Расчет_аналитики'!BB4608,WeightedMinAge21),MAX(CapacityAge21*'01_Вводные'!$B$218*'19_Расчет_аналитики'!BB4608,MeanMinAge21))),0)</f>
        <v/>
      </c>
      <c r="BC4560">
        <f>IF('01_Вводные'!$B$234="Да",IF(OR(('19_Расчет_аналитики'!BC4476-'19_Расчет_аналитики'!BC4504)=0,21&lt;='01_Вводные'!$B$297),0,('19_Расчет_аналитики'!BC4476-'19_Расчет_аналитики'!BC4504)*IF('01_Вводные'!$B$239="Да",MeanMinAge21+'19_Расчет_аналитики'!BC4608*SUMIF(ThresholdAge21,"&lt;"&amp;'19_Расчет_аналитики'!BC4608,WeightedRevAge21)-SUMIF(ThresholdAge21,"&lt;"&amp;'19_Расчет_аналитики'!BC4608,WeightedMinAge21),MAX(CapacityAge21*'01_Вводные'!$B$218*'19_Расчет_аналитики'!BC4608,MeanMinAge21))),0)</f>
        <v/>
      </c>
      <c r="BD4560">
        <f>IF('01_Вводные'!$B$234="Да",IF(OR(('19_Расчет_аналитики'!BD4476-'19_Расчет_аналитики'!BD4504)=0,21&lt;='01_Вводные'!$B$297),0,('19_Расчет_аналитики'!BD4476-'19_Расчет_аналитики'!BD4504)*IF('01_Вводные'!$B$239="Да",MeanMinAge21+'19_Расчет_аналитики'!BD4608*SUMIF(ThresholdAge21,"&lt;"&amp;'19_Расчет_аналитики'!BD4608,WeightedRevAge21)-SUMIF(ThresholdAge21,"&lt;"&amp;'19_Расчет_аналитики'!BD4608,WeightedMinAge21),MAX(CapacityAge21*'01_Вводные'!$B$218*'19_Расчет_аналитики'!BD4608,MeanMinAge21))),0)</f>
        <v/>
      </c>
      <c r="BE4560">
        <f>IF('01_Вводные'!$B$234="Да",IF(OR(('19_Расчет_аналитики'!BE4476-'19_Расчет_аналитики'!BE4504)=0,21&lt;='01_Вводные'!$B$297),0,('19_Расчет_аналитики'!BE4476-'19_Расчет_аналитики'!BE4504)*IF('01_Вводные'!$B$239="Да",MeanMinAge21+'19_Расчет_аналитики'!BE4608*SUMIF(ThresholdAge21,"&lt;"&amp;'19_Расчет_аналитики'!BE4608,WeightedRevAge21)-SUMIF(ThresholdAge21,"&lt;"&amp;'19_Расчет_аналитики'!BE4608,WeightedMinAge21),MAX(CapacityAge21*'01_Вводные'!$B$218*'19_Расчет_аналитики'!BE4608,MeanMinAge21))),0)</f>
        <v/>
      </c>
      <c r="BF4560">
        <f>IF('01_Вводные'!$B$234="Да",IF(OR(('19_Расчет_аналитики'!BF4476-'19_Расчет_аналитики'!BF4504)=0,21&lt;='01_Вводные'!$B$297),0,('19_Расчет_аналитики'!BF4476-'19_Расчет_аналитики'!BF4504)*IF('01_Вводные'!$B$239="Да",MeanMinAge21+'19_Расчет_аналитики'!BF4608*SUMIF(ThresholdAge21,"&lt;"&amp;'19_Расчет_аналитики'!BF4608,WeightedRevAge21)-SUMIF(ThresholdAge21,"&lt;"&amp;'19_Расчет_аналитики'!BF4608,WeightedMinAge21),MAX(CapacityAge21*'01_Вводные'!$B$218*'19_Расчет_аналитики'!BF4608,MeanMinAge21))),0)</f>
        <v/>
      </c>
      <c r="BG4560">
        <f>IF('01_Вводные'!$B$234="Да",IF(OR(('19_Расчет_аналитики'!BG4476-'19_Расчет_аналитики'!BG4504)=0,21&lt;='01_Вводные'!$B$297),0,('19_Расчет_аналитики'!BG4476-'19_Расчет_аналитики'!BG4504)*IF('01_Вводные'!$B$239="Да",MeanMinAge21+'19_Расчет_аналитики'!BG4608*SUMIF(ThresholdAge21,"&lt;"&amp;'19_Расчет_аналитики'!BG4608,WeightedRevAge21)-SUMIF(ThresholdAge21,"&lt;"&amp;'19_Расчет_аналитики'!BG4608,WeightedMinAge21),MAX(CapacityAge21*'01_Вводные'!$B$218*'19_Расчет_аналитики'!BG4608,MeanMinAge21))),0)</f>
        <v/>
      </c>
      <c r="BH4560">
        <f>IF('01_Вводные'!$B$234="Да",IF(OR(('19_Расчет_аналитики'!BH4476-'19_Расчет_аналитики'!BH4504)=0,21&lt;='01_Вводные'!$B$297),0,('19_Расчет_аналитики'!BH4476-'19_Расчет_аналитики'!BH4504)*IF('01_Вводные'!$B$239="Да",MeanMinAge21+'19_Расчет_аналитики'!BH4608*SUMIF(ThresholdAge21,"&lt;"&amp;'19_Расчет_аналитики'!BH4608,WeightedRevAge21)-SUMIF(ThresholdAge21,"&lt;"&amp;'19_Расчет_аналитики'!BH4608,WeightedMinAge21),MAX(CapacityAge21*'01_Вводные'!$B$218*'19_Расчет_аналитики'!BH4608,MeanMinAge21))),0)</f>
        <v/>
      </c>
      <c r="BI4560">
        <f>IF('01_Вводные'!$B$234="Да",IF(OR(('19_Расчет_аналитики'!BI4476-'19_Расчет_аналитики'!BI4504)=0,21&lt;='01_Вводные'!$B$297),0,('19_Расчет_аналитики'!BI4476-'19_Расчет_аналитики'!BI4504)*IF('01_Вводные'!$B$239="Да",MeanMinAge21+'19_Расчет_аналитики'!BI4608*SUMIF(ThresholdAge21,"&lt;"&amp;'19_Расчет_аналитики'!BI4608,WeightedRevAge21)-SUMIF(ThresholdAge21,"&lt;"&amp;'19_Расчет_аналитики'!BI4608,WeightedMinAge21),MAX(CapacityAge21*'01_Вводные'!$B$218*'19_Расчет_аналитики'!BI4608,MeanMinAge21))),0)</f>
        <v/>
      </c>
      <c r="BJ4560">
        <f>IF('01_Вводные'!$B$234="Да",IF(OR(('19_Расчет_аналитики'!BJ4476-'19_Расчет_аналитики'!BJ4504)=0,21&lt;='01_Вводные'!$B$297),0,('19_Расчет_аналитики'!BJ4476-'19_Расчет_аналитики'!BJ4504)*IF('01_Вводные'!$B$239="Да",MeanMinAge21+'19_Расчет_аналитики'!BJ4608*SUMIF(ThresholdAge21,"&lt;"&amp;'19_Расчет_аналитики'!BJ4608,WeightedRevAge21)-SUMIF(ThresholdAge21,"&lt;"&amp;'19_Расчет_аналитики'!BJ4608,WeightedMinAge21),MAX(CapacityAge21*'01_Вводные'!$B$218*'19_Расчет_аналитики'!BJ4608,MeanMinAge21))),0)</f>
        <v/>
      </c>
      <c r="BK4560">
        <f>IF('01_Вводные'!$B$234="Да",IF(OR(('19_Расчет_аналитики'!BK4476-'19_Расчет_аналитики'!BK4504)=0,21&lt;='01_Вводные'!$B$297),0,('19_Расчет_аналитики'!BK4476-'19_Расчет_аналитики'!BK4504)*IF('01_Вводные'!$B$239="Да",MeanMinAge21+'19_Расчет_аналитики'!BK4608*SUMIF(ThresholdAge21,"&lt;"&amp;'19_Расчет_аналитики'!BK4608,WeightedRevAge21)-SUMIF(ThresholdAge21,"&lt;"&amp;'19_Расчет_аналитики'!BK4608,WeightedMinAge21),MAX(CapacityAge21*'01_Вводные'!$B$218*'19_Расчет_аналитики'!BK4608,MeanMinAge21))),0)</f>
        <v/>
      </c>
      <c r="BL4560">
        <f>IF('01_Вводные'!$B$234="Да",IF(OR(('19_Расчет_аналитики'!BL4476-'19_Расчет_аналитики'!BL4504)=0,21&lt;='01_Вводные'!$B$297),0,('19_Расчет_аналитики'!BL4476-'19_Расчет_аналитики'!BL4504)*IF('01_Вводные'!$B$239="Да",MeanMinAge21+'19_Расчет_аналитики'!BL4608*SUMIF(ThresholdAge21,"&lt;"&amp;'19_Расчет_аналитики'!BL4608,WeightedRevAge21)-SUMIF(ThresholdAge21,"&lt;"&amp;'19_Расчет_аналитики'!BL4608,WeightedMinAge21),MAX(CapacityAge21*'01_Вводные'!$B$218*'19_Расчет_аналитики'!BL4608,MeanMinAge21))),0)</f>
        <v/>
      </c>
      <c r="BM4560">
        <f>IF('01_Вводные'!$B$234="Да",IF(OR(('19_Расчет_аналитики'!BM4476-'19_Расчет_аналитики'!BM4504)=0,21&lt;='01_Вводные'!$B$297),0,('19_Расчет_аналитики'!BM4476-'19_Расчет_аналитики'!BM4504)*IF('01_Вводные'!$B$239="Да",MeanMinAge21+'19_Расчет_аналитики'!BM4608*SUMIF(ThresholdAge21,"&lt;"&amp;'19_Расчет_аналитики'!BM4608,WeightedRevAge21)-SUMIF(ThresholdAge21,"&lt;"&amp;'19_Расчет_аналитики'!BM4608,WeightedMinAge21),MAX(CapacityAge21*'01_Вводные'!$B$218*'19_Расчет_аналитики'!BM4608,MeanMinAge21))),0)</f>
        <v/>
      </c>
      <c r="BN4560">
        <f>IF('01_Вводные'!$B$234="Да",IF(OR(('19_Расчет_аналитики'!BN4476-'19_Расчет_аналитики'!BN4504)=0,21&lt;='01_Вводные'!$B$297),0,('19_Расчет_аналитики'!BN4476-'19_Расчет_аналитики'!BN4504)*IF('01_Вводные'!$B$239="Да",MeanMinAge21+'19_Расчет_аналитики'!BN4608*SUMIF(ThresholdAge21,"&lt;"&amp;'19_Расчет_аналитики'!BN4608,WeightedRevAge21)-SUMIF(ThresholdAge21,"&lt;"&amp;'19_Расчет_аналитики'!BN4608,WeightedMinAge21),MAX(CapacityAge21*'01_Вводные'!$B$218*'19_Расчет_аналитики'!BN4608,MeanMinAge21))),0)</f>
        <v/>
      </c>
      <c r="BO4560">
        <f>IF('01_Вводные'!$B$234="Да",IF(OR(('19_Расчет_аналитики'!BO4476-'19_Расчет_аналитики'!BO4504)=0,21&lt;='01_Вводные'!$B$297),0,('19_Расчет_аналитики'!BO4476-'19_Расчет_аналитики'!BO4504)*IF('01_Вводные'!$B$239="Да",MeanMinAge21+'19_Расчет_аналитики'!BO4608*SUMIF(ThresholdAge21,"&lt;"&amp;'19_Расчет_аналитики'!BO4608,WeightedRevAge21)-SUMIF(ThresholdAge21,"&lt;"&amp;'19_Расчет_аналитики'!BO4608,WeightedMinAge21),MAX(CapacityAge21*'01_Вводные'!$B$218*'19_Расчет_аналитики'!BO4608,MeanMinAge21))),0)</f>
        <v/>
      </c>
    </row>
    <row r="4561">
      <c r="B4561">
        <f>IF('01_Вводные'!$B$234="Да",IF(OR(('06_Сеть_и_дети'!B74-'06_Сеть_и_дети'!B102)=0,22&lt;='01_Вводные'!$B$297),0,('06_Сеть_и_дети'!B74-'06_Сеть_и_дети'!B102)*IF('01_Вводные'!$B$239="Да",MeanMinAge22+'19_Расчет_аналитики'!B4608*SUMIF(ThresholdAge22,"&lt;"&amp;'19_Расчет_аналитики'!B4608,WeightedRevAge22)-SUMIF(ThresholdAge22,"&lt;"&amp;'19_Расчет_аналитики'!B4608,WeightedMinAge22),MAX(CapacityAge22*'01_Вводные'!$B$218*'19_Расчет_аналитики'!B4608,MeanMinAge22))),0)</f>
        <v/>
      </c>
      <c r="C4561">
        <f>IF('01_Вводные'!$B$234="Да",IF(OR(('06_Сеть_и_дети'!C74-'06_Сеть_и_дети'!C102)=0,22&lt;='01_Вводные'!$B$297),0,('06_Сеть_и_дети'!C74-'06_Сеть_и_дети'!C102)*IF('01_Вводные'!$B$239="Да",MeanMinAge22+'19_Расчет_аналитики'!C4608*SUMIF(ThresholdAge22,"&lt;"&amp;'19_Расчет_аналитики'!C4608,WeightedRevAge22)-SUMIF(ThresholdAge22,"&lt;"&amp;'19_Расчет_аналитики'!C4608,WeightedMinAge22),MAX(CapacityAge22*'01_Вводные'!$B$218*'19_Расчет_аналитики'!C4608,MeanMinAge22))),0)</f>
        <v/>
      </c>
      <c r="D4561">
        <f>IF('01_Вводные'!$B$234="Да",IF(OR(('06_Сеть_и_дети'!D74-'06_Сеть_и_дети'!D102)=0,22&lt;='01_Вводные'!$B$297),0,('06_Сеть_и_дети'!D74-'06_Сеть_и_дети'!D102)*IF('01_Вводные'!$B$239="Да",MeanMinAge22+'19_Расчет_аналитики'!D4608*SUMIF(ThresholdAge22,"&lt;"&amp;'19_Расчет_аналитики'!D4608,WeightedRevAge22)-SUMIF(ThresholdAge22,"&lt;"&amp;'19_Расчет_аналитики'!D4608,WeightedMinAge22),MAX(CapacityAge22*'01_Вводные'!$B$218*'19_Расчет_аналитики'!D4608,MeanMinAge22))),0)</f>
        <v/>
      </c>
      <c r="E4561">
        <f>IF('01_Вводные'!$B$234="Да",IF(OR(('06_Сеть_и_дети'!E74-'06_Сеть_и_дети'!E102)=0,22&lt;='01_Вводные'!$B$297),0,('06_Сеть_и_дети'!E74-'06_Сеть_и_дети'!E102)*IF('01_Вводные'!$B$239="Да",MeanMinAge22+'19_Расчет_аналитики'!E4608*SUMIF(ThresholdAge22,"&lt;"&amp;'19_Расчет_аналитики'!E4608,WeightedRevAge22)-SUMIF(ThresholdAge22,"&lt;"&amp;'19_Расчет_аналитики'!E4608,WeightedMinAge22),MAX(CapacityAge22*'01_Вводные'!$B$218*'19_Расчет_аналитики'!E4608,MeanMinAge22))),0)</f>
        <v/>
      </c>
      <c r="F4561">
        <f>IF('01_Вводные'!$B$234="Да",IF(OR(('06_Сеть_и_дети'!F74-'06_Сеть_и_дети'!F102)=0,22&lt;='01_Вводные'!$B$297),0,('06_Сеть_и_дети'!F74-'06_Сеть_и_дети'!F102)*IF('01_Вводные'!$B$239="Да",MeanMinAge22+'19_Расчет_аналитики'!F4608*SUMIF(ThresholdAge22,"&lt;"&amp;'19_Расчет_аналитики'!F4608,WeightedRevAge22)-SUMIF(ThresholdAge22,"&lt;"&amp;'19_Расчет_аналитики'!F4608,WeightedMinAge22),MAX(CapacityAge22*'01_Вводные'!$B$218*'19_Расчет_аналитики'!F4608,MeanMinAge22))),0)</f>
        <v/>
      </c>
      <c r="G4561">
        <f>IF('01_Вводные'!$B$234="Да",IF(OR(('06_Сеть_и_дети'!G74-'06_Сеть_и_дети'!G102)=0,22&lt;='01_Вводные'!$B$297),0,('06_Сеть_и_дети'!G74-'06_Сеть_и_дети'!G102)*IF('01_Вводные'!$B$239="Да",MeanMinAge22+'19_Расчет_аналитики'!G4608*SUMIF(ThresholdAge22,"&lt;"&amp;'19_Расчет_аналитики'!G4608,WeightedRevAge22)-SUMIF(ThresholdAge22,"&lt;"&amp;'19_Расчет_аналитики'!G4608,WeightedMinAge22),MAX(CapacityAge22*'01_Вводные'!$B$218*'19_Расчет_аналитики'!G4608,MeanMinAge22))),0)</f>
        <v/>
      </c>
      <c r="H4561">
        <f>IF('01_Вводные'!$B$234="Да",IF(OR(('06_Сеть_и_дети'!H74-'06_Сеть_и_дети'!H102)=0,22&lt;='01_Вводные'!$B$297),0,('06_Сеть_и_дети'!H74-'06_Сеть_и_дети'!H102)*IF('01_Вводные'!$B$239="Да",MeanMinAge22+'19_Расчет_аналитики'!H4608*SUMIF(ThresholdAge22,"&lt;"&amp;'19_Расчет_аналитики'!H4608,WeightedRevAge22)-SUMIF(ThresholdAge22,"&lt;"&amp;'19_Расчет_аналитики'!H4608,WeightedMinAge22),MAX(CapacityAge22*'01_Вводные'!$B$218*'19_Расчет_аналитики'!H4608,MeanMinAge22))),0)</f>
        <v/>
      </c>
      <c r="I4561">
        <f>IF('01_Вводные'!$B$234="Да",IF(OR(('06_Сеть_и_дети'!I74-'06_Сеть_и_дети'!I102)=0,22&lt;='01_Вводные'!$B$297),0,('06_Сеть_и_дети'!I74-'06_Сеть_и_дети'!I102)*IF('01_Вводные'!$B$239="Да",MeanMinAge22+'19_Расчет_аналитики'!I4608*SUMIF(ThresholdAge22,"&lt;"&amp;'19_Расчет_аналитики'!I4608,WeightedRevAge22)-SUMIF(ThresholdAge22,"&lt;"&amp;'19_Расчет_аналитики'!I4608,WeightedMinAge22),MAX(CapacityAge22*'01_Вводные'!$B$218*'19_Расчет_аналитики'!I4608,MeanMinAge22))),0)</f>
        <v/>
      </c>
      <c r="J4561">
        <f>IF('01_Вводные'!$B$234="Да",IF(OR(('06_Сеть_и_дети'!J74-'06_Сеть_и_дети'!J102)=0,22&lt;='01_Вводные'!$B$297),0,('06_Сеть_и_дети'!J74-'06_Сеть_и_дети'!J102)*IF('01_Вводные'!$B$239="Да",MeanMinAge22+'19_Расчет_аналитики'!J4608*SUMIF(ThresholdAge22,"&lt;"&amp;'19_Расчет_аналитики'!J4608,WeightedRevAge22)-SUMIF(ThresholdAge22,"&lt;"&amp;'19_Расчет_аналитики'!J4608,WeightedMinAge22),MAX(CapacityAge22*'01_Вводные'!$B$218*'19_Расчет_аналитики'!J4608,MeanMinAge22))),0)</f>
        <v/>
      </c>
      <c r="K4561">
        <f>IF('01_Вводные'!$B$234="Да",IF(OR(('06_Сеть_и_дети'!K74-'06_Сеть_и_дети'!K102)=0,22&lt;='01_Вводные'!$B$297),0,('06_Сеть_и_дети'!K74-'06_Сеть_и_дети'!K102)*IF('01_Вводные'!$B$239="Да",MeanMinAge22+'19_Расчет_аналитики'!K4608*SUMIF(ThresholdAge22,"&lt;"&amp;'19_Расчет_аналитики'!K4608,WeightedRevAge22)-SUMIF(ThresholdAge22,"&lt;"&amp;'19_Расчет_аналитики'!K4608,WeightedMinAge22),MAX(CapacityAge22*'01_Вводные'!$B$218*'19_Расчет_аналитики'!K4608,MeanMinAge22))),0)</f>
        <v/>
      </c>
      <c r="L4561">
        <f>IF('01_Вводные'!$B$234="Да",IF(OR(('06_Сеть_и_дети'!L74-'06_Сеть_и_дети'!L102)=0,22&lt;='01_Вводные'!$B$297),0,('06_Сеть_и_дети'!L74-'06_Сеть_и_дети'!L102)*IF('01_Вводные'!$B$239="Да",MeanMinAge22+'19_Расчет_аналитики'!L4608*SUMIF(ThresholdAge22,"&lt;"&amp;'19_Расчет_аналитики'!L4608,WeightedRevAge22)-SUMIF(ThresholdAge22,"&lt;"&amp;'19_Расчет_аналитики'!L4608,WeightedMinAge22),MAX(CapacityAge22*'01_Вводные'!$B$218*'19_Расчет_аналитики'!L4608,MeanMinAge22))),0)</f>
        <v/>
      </c>
      <c r="M4561">
        <f>IF('01_Вводные'!$B$234="Да",IF(OR(('06_Сеть_и_дети'!M74-'06_Сеть_и_дети'!M102)=0,22&lt;='01_Вводные'!$B$297),0,('06_Сеть_и_дети'!M74-'06_Сеть_и_дети'!M102)*IF('01_Вводные'!$B$239="Да",MeanMinAge22+'19_Расчет_аналитики'!M4608*SUMIF(ThresholdAge22,"&lt;"&amp;'19_Расчет_аналитики'!M4608,WeightedRevAge22)-SUMIF(ThresholdAge22,"&lt;"&amp;'19_Расчет_аналитики'!M4608,WeightedMinAge22),MAX(CapacityAge22*'01_Вводные'!$B$218*'19_Расчет_аналитики'!M4608,MeanMinAge22))),0)</f>
        <v/>
      </c>
      <c r="N4561">
        <f>IF('01_Вводные'!$B$234="Да",IF(OR(('06_Сеть_и_дети'!N74-'06_Сеть_и_дети'!N102)=0,22&lt;='01_Вводные'!$B$297),0,('06_Сеть_и_дети'!N74-'06_Сеть_и_дети'!N102)*IF('01_Вводные'!$B$239="Да",MeanMinAge22+'19_Расчет_аналитики'!N4608*SUMIF(ThresholdAge22,"&lt;"&amp;'19_Расчет_аналитики'!N4608,WeightedRevAge22)-SUMIF(ThresholdAge22,"&lt;"&amp;'19_Расчет_аналитики'!N4608,WeightedMinAge22),MAX(CapacityAge22*'01_Вводные'!$B$218*'19_Расчет_аналитики'!N4608,MeanMinAge22))),0)</f>
        <v/>
      </c>
      <c r="O4561">
        <f>IF('01_Вводные'!$B$234="Да",IF(OR(('06_Сеть_и_дети'!O74-'06_Сеть_и_дети'!O102)=0,22&lt;='01_Вводные'!$B$297),0,('06_Сеть_и_дети'!O74-'06_Сеть_и_дети'!O102)*IF('01_Вводные'!$B$239="Да",MeanMinAge22+'19_Расчет_аналитики'!O4608*SUMIF(ThresholdAge22,"&lt;"&amp;'19_Расчет_аналитики'!O4608,WeightedRevAge22)-SUMIF(ThresholdAge22,"&lt;"&amp;'19_Расчет_аналитики'!O4608,WeightedMinAge22),MAX(CapacityAge22*'01_Вводные'!$B$218*'19_Расчет_аналитики'!O4608,MeanMinAge22))),0)</f>
        <v/>
      </c>
      <c r="P4561">
        <f>IF('01_Вводные'!$B$234="Да",IF(OR(('06_Сеть_и_дети'!P74-'06_Сеть_и_дети'!P102)=0,22&lt;='01_Вводные'!$B$297),0,('06_Сеть_и_дети'!P74-'06_Сеть_и_дети'!P102)*IF('01_Вводные'!$B$239="Да",MeanMinAge22+'19_Расчет_аналитики'!P4608*SUMIF(ThresholdAge22,"&lt;"&amp;'19_Расчет_аналитики'!P4608,WeightedRevAge22)-SUMIF(ThresholdAge22,"&lt;"&amp;'19_Расчет_аналитики'!P4608,WeightedMinAge22),MAX(CapacityAge22*'01_Вводные'!$B$218*'19_Расчет_аналитики'!P4608,MeanMinAge22))),0)</f>
        <v/>
      </c>
      <c r="Q4561">
        <f>IF('01_Вводные'!$B$234="Да",IF(OR(('06_Сеть_и_дети'!Q74-'06_Сеть_и_дети'!Q102)=0,22&lt;='01_Вводные'!$B$297),0,('06_Сеть_и_дети'!Q74-'06_Сеть_и_дети'!Q102)*IF('01_Вводные'!$B$239="Да",MeanMinAge22+'19_Расчет_аналитики'!Q4608*SUMIF(ThresholdAge22,"&lt;"&amp;'19_Расчет_аналитики'!Q4608,WeightedRevAge22)-SUMIF(ThresholdAge22,"&lt;"&amp;'19_Расчет_аналитики'!Q4608,WeightedMinAge22),MAX(CapacityAge22*'01_Вводные'!$B$218*'19_Расчет_аналитики'!Q4608,MeanMinAge22))),0)</f>
        <v/>
      </c>
      <c r="R4561">
        <f>IF('01_Вводные'!$B$234="Да",IF(OR(('06_Сеть_и_дети'!R74-'06_Сеть_и_дети'!R102)=0,22&lt;='01_Вводные'!$B$297),0,('06_Сеть_и_дети'!R74-'06_Сеть_и_дети'!R102)*IF('01_Вводные'!$B$239="Да",MeanMinAge22+'19_Расчет_аналитики'!R4608*SUMIF(ThresholdAge22,"&lt;"&amp;'19_Расчет_аналитики'!R4608,WeightedRevAge22)-SUMIF(ThresholdAge22,"&lt;"&amp;'19_Расчет_аналитики'!R4608,WeightedMinAge22),MAX(CapacityAge22*'01_Вводные'!$B$218*'19_Расчет_аналитики'!R4608,MeanMinAge22))),0)</f>
        <v/>
      </c>
      <c r="S4561">
        <f>IF('01_Вводные'!$B$234="Да",IF(OR(('06_Сеть_и_дети'!S74-'06_Сеть_и_дети'!S102)=0,22&lt;='01_Вводные'!$B$297),0,('06_Сеть_и_дети'!S74-'06_Сеть_и_дети'!S102)*IF('01_Вводные'!$B$239="Да",MeanMinAge22+'19_Расчет_аналитики'!S4608*SUMIF(ThresholdAge22,"&lt;"&amp;'19_Расчет_аналитики'!S4608,WeightedRevAge22)-SUMIF(ThresholdAge22,"&lt;"&amp;'19_Расчет_аналитики'!S4608,WeightedMinAge22),MAX(CapacityAge22*'01_Вводные'!$B$218*'19_Расчет_аналитики'!S4608,MeanMinAge22))),0)</f>
        <v/>
      </c>
      <c r="T4561">
        <f>IF('01_Вводные'!$B$234="Да",IF(OR(('06_Сеть_и_дети'!T74-'06_Сеть_и_дети'!T102)=0,22&lt;='01_Вводные'!$B$297),0,('06_Сеть_и_дети'!T74-'06_Сеть_и_дети'!T102)*IF('01_Вводные'!$B$239="Да",MeanMinAge22+'19_Расчет_аналитики'!T4608*SUMIF(ThresholdAge22,"&lt;"&amp;'19_Расчет_аналитики'!T4608,WeightedRevAge22)-SUMIF(ThresholdAge22,"&lt;"&amp;'19_Расчет_аналитики'!T4608,WeightedMinAge22),MAX(CapacityAge22*'01_Вводные'!$B$218*'19_Расчет_аналитики'!T4608,MeanMinAge22))),0)</f>
        <v/>
      </c>
      <c r="U4561">
        <f>IF('01_Вводные'!$B$234="Да",IF(OR(('06_Сеть_и_дети'!U74-'06_Сеть_и_дети'!U102)=0,22&lt;='01_Вводные'!$B$297),0,('06_Сеть_и_дети'!U74-'06_Сеть_и_дети'!U102)*IF('01_Вводные'!$B$239="Да",MeanMinAge22+'19_Расчет_аналитики'!U4608*SUMIF(ThresholdAge22,"&lt;"&amp;'19_Расчет_аналитики'!U4608,WeightedRevAge22)-SUMIF(ThresholdAge22,"&lt;"&amp;'19_Расчет_аналитики'!U4608,WeightedMinAge22),MAX(CapacityAge22*'01_Вводные'!$B$218*'19_Расчет_аналитики'!U4608,MeanMinAge22))),0)</f>
        <v/>
      </c>
      <c r="V4561">
        <f>IF('01_Вводные'!$B$234="Да",IF(OR(('06_Сеть_и_дети'!V74-'06_Сеть_и_дети'!V102)=0,22&lt;='01_Вводные'!$B$297),0,('06_Сеть_и_дети'!V74-'06_Сеть_и_дети'!V102)*IF('01_Вводные'!$B$239="Да",MeanMinAge22+'19_Расчет_аналитики'!V4608*SUMIF(ThresholdAge22,"&lt;"&amp;'19_Расчет_аналитики'!V4608,WeightedRevAge22)-SUMIF(ThresholdAge22,"&lt;"&amp;'19_Расчет_аналитики'!V4608,WeightedMinAge22),MAX(CapacityAge22*'01_Вводные'!$B$218*'19_Расчет_аналитики'!V4608,MeanMinAge22))),0)</f>
        <v/>
      </c>
      <c r="W4561">
        <f>IF('01_Вводные'!$B$234="Да",IF(OR(('19_Расчет_аналитики'!W4477-'19_Расчет_аналитики'!W4505)=0,22&lt;='01_Вводные'!$B$297),0,('19_Расчет_аналитики'!W4477-'19_Расчет_аналитики'!W4505)*IF('01_Вводные'!$B$239="Да",MeanMinAge22+'19_Расчет_аналитики'!W4608*SUMIF(ThresholdAge22,"&lt;"&amp;'19_Расчет_аналитики'!W4608,WeightedRevAge22)-SUMIF(ThresholdAge22,"&lt;"&amp;'19_Расчет_аналитики'!W4608,WeightedMinAge22),MAX(CapacityAge22*'01_Вводные'!$B$218*'19_Расчет_аналитики'!W4608,MeanMinAge22))),0)</f>
        <v/>
      </c>
      <c r="X4561">
        <f>IF('01_Вводные'!$B$234="Да",IF(OR(('19_Расчет_аналитики'!X4477-'19_Расчет_аналитики'!X4505)=0,22&lt;='01_Вводные'!$B$297),0,('19_Расчет_аналитики'!X4477-'19_Расчет_аналитики'!X4505)*IF('01_Вводные'!$B$239="Да",MeanMinAge22+'19_Расчет_аналитики'!X4608*SUMIF(ThresholdAge22,"&lt;"&amp;'19_Расчет_аналитики'!X4608,WeightedRevAge22)-SUMIF(ThresholdAge22,"&lt;"&amp;'19_Расчет_аналитики'!X4608,WeightedMinAge22),MAX(CapacityAge22*'01_Вводные'!$B$218*'19_Расчет_аналитики'!X4608,MeanMinAge22))),0)</f>
        <v/>
      </c>
      <c r="Y4561">
        <f>IF('01_Вводные'!$B$234="Да",IF(OR(('19_Расчет_аналитики'!Y4477-'19_Расчет_аналитики'!Y4505)=0,22&lt;='01_Вводные'!$B$297),0,('19_Расчет_аналитики'!Y4477-'19_Расчет_аналитики'!Y4505)*IF('01_Вводные'!$B$239="Да",MeanMinAge22+'19_Расчет_аналитики'!Y4608*SUMIF(ThresholdAge22,"&lt;"&amp;'19_Расчет_аналитики'!Y4608,WeightedRevAge22)-SUMIF(ThresholdAge22,"&lt;"&amp;'19_Расчет_аналитики'!Y4608,WeightedMinAge22),MAX(CapacityAge22*'01_Вводные'!$B$218*'19_Расчет_аналитики'!Y4608,MeanMinAge22))),0)</f>
        <v/>
      </c>
      <c r="Z4561">
        <f>IF('01_Вводные'!$B$234="Да",IF(OR(('19_Расчет_аналитики'!Z4477-'19_Расчет_аналитики'!Z4505)=0,22&lt;='01_Вводные'!$B$297),0,('19_Расчет_аналитики'!Z4477-'19_Расчет_аналитики'!Z4505)*IF('01_Вводные'!$B$239="Да",MeanMinAge22+'19_Расчет_аналитики'!Z4608*SUMIF(ThresholdAge22,"&lt;"&amp;'19_Расчет_аналитики'!Z4608,WeightedRevAge22)-SUMIF(ThresholdAge22,"&lt;"&amp;'19_Расчет_аналитики'!Z4608,WeightedMinAge22),MAX(CapacityAge22*'01_Вводные'!$B$218*'19_Расчет_аналитики'!Z4608,MeanMinAge22))),0)</f>
        <v/>
      </c>
      <c r="AA4561">
        <f>IF('01_Вводные'!$B$234="Да",IF(OR(('19_Расчет_аналитики'!AA4477-'19_Расчет_аналитики'!AA4505)=0,22&lt;='01_Вводные'!$B$297),0,('19_Расчет_аналитики'!AA4477-'19_Расчет_аналитики'!AA4505)*IF('01_Вводные'!$B$239="Да",MeanMinAge22+'19_Расчет_аналитики'!AA4608*SUMIF(ThresholdAge22,"&lt;"&amp;'19_Расчет_аналитики'!AA4608,WeightedRevAge22)-SUMIF(ThresholdAge22,"&lt;"&amp;'19_Расчет_аналитики'!AA4608,WeightedMinAge22),MAX(CapacityAge22*'01_Вводные'!$B$218*'19_Расчет_аналитики'!AA4608,MeanMinAge22))),0)</f>
        <v/>
      </c>
      <c r="AB4561">
        <f>IF('01_Вводные'!$B$234="Да",IF(OR(('19_Расчет_аналитики'!AB4477-'19_Расчет_аналитики'!AB4505)=0,22&lt;='01_Вводные'!$B$297),0,('19_Расчет_аналитики'!AB4477-'19_Расчет_аналитики'!AB4505)*IF('01_Вводные'!$B$239="Да",MeanMinAge22+'19_Расчет_аналитики'!AB4608*SUMIF(ThresholdAge22,"&lt;"&amp;'19_Расчет_аналитики'!AB4608,WeightedRevAge22)-SUMIF(ThresholdAge22,"&lt;"&amp;'19_Расчет_аналитики'!AB4608,WeightedMinAge22),MAX(CapacityAge22*'01_Вводные'!$B$218*'19_Расчет_аналитики'!AB4608,MeanMinAge22))),0)</f>
        <v/>
      </c>
      <c r="AC4561">
        <f>IF('01_Вводные'!$B$234="Да",IF(OR(('19_Расчет_аналитики'!AC4477-'19_Расчет_аналитики'!AC4505)=0,22&lt;='01_Вводные'!$B$297),0,('19_Расчет_аналитики'!AC4477-'19_Расчет_аналитики'!AC4505)*IF('01_Вводные'!$B$239="Да",MeanMinAge22+'19_Расчет_аналитики'!AC4608*SUMIF(ThresholdAge22,"&lt;"&amp;'19_Расчет_аналитики'!AC4608,WeightedRevAge22)-SUMIF(ThresholdAge22,"&lt;"&amp;'19_Расчет_аналитики'!AC4608,WeightedMinAge22),MAX(CapacityAge22*'01_Вводные'!$B$218*'19_Расчет_аналитики'!AC4608,MeanMinAge22))),0)</f>
        <v/>
      </c>
      <c r="AD4561">
        <f>IF('01_Вводные'!$B$234="Да",IF(OR(('19_Расчет_аналитики'!AD4477-'19_Расчет_аналитики'!AD4505)=0,22&lt;='01_Вводные'!$B$297),0,('19_Расчет_аналитики'!AD4477-'19_Расчет_аналитики'!AD4505)*IF('01_Вводные'!$B$239="Да",MeanMinAge22+'19_Расчет_аналитики'!AD4608*SUMIF(ThresholdAge22,"&lt;"&amp;'19_Расчет_аналитики'!AD4608,WeightedRevAge22)-SUMIF(ThresholdAge22,"&lt;"&amp;'19_Расчет_аналитики'!AD4608,WeightedMinAge22),MAX(CapacityAge22*'01_Вводные'!$B$218*'19_Расчет_аналитики'!AD4608,MeanMinAge22))),0)</f>
        <v/>
      </c>
      <c r="AE4561">
        <f>IF('01_Вводные'!$B$234="Да",IF(OR(('19_Расчет_аналитики'!AE4477-'19_Расчет_аналитики'!AE4505)=0,22&lt;='01_Вводные'!$B$297),0,('19_Расчет_аналитики'!AE4477-'19_Расчет_аналитики'!AE4505)*IF('01_Вводные'!$B$239="Да",MeanMinAge22+'19_Расчет_аналитики'!AE4608*SUMIF(ThresholdAge22,"&lt;"&amp;'19_Расчет_аналитики'!AE4608,WeightedRevAge22)-SUMIF(ThresholdAge22,"&lt;"&amp;'19_Расчет_аналитики'!AE4608,WeightedMinAge22),MAX(CapacityAge22*'01_Вводные'!$B$218*'19_Расчет_аналитики'!AE4608,MeanMinAge22))),0)</f>
        <v/>
      </c>
      <c r="AF4561">
        <f>IF('01_Вводные'!$B$234="Да",IF(OR(('19_Расчет_аналитики'!AF4477-'19_Расчет_аналитики'!AF4505)=0,22&lt;='01_Вводные'!$B$297),0,('19_Расчет_аналитики'!AF4477-'19_Расчет_аналитики'!AF4505)*IF('01_Вводные'!$B$239="Да",MeanMinAge22+'19_Расчет_аналитики'!AF4608*SUMIF(ThresholdAge22,"&lt;"&amp;'19_Расчет_аналитики'!AF4608,WeightedRevAge22)-SUMIF(ThresholdAge22,"&lt;"&amp;'19_Расчет_аналитики'!AF4608,WeightedMinAge22),MAX(CapacityAge22*'01_Вводные'!$B$218*'19_Расчет_аналитики'!AF4608,MeanMinAge22))),0)</f>
        <v/>
      </c>
      <c r="AG4561">
        <f>IF('01_Вводные'!$B$234="Да",IF(OR(('19_Расчет_аналитики'!AG4477-'19_Расчет_аналитики'!AG4505)=0,22&lt;='01_Вводные'!$B$297),0,('19_Расчет_аналитики'!AG4477-'19_Расчет_аналитики'!AG4505)*IF('01_Вводные'!$B$239="Да",MeanMinAge22+'19_Расчет_аналитики'!AG4608*SUMIF(ThresholdAge22,"&lt;"&amp;'19_Расчет_аналитики'!AG4608,WeightedRevAge22)-SUMIF(ThresholdAge22,"&lt;"&amp;'19_Расчет_аналитики'!AG4608,WeightedMinAge22),MAX(CapacityAge22*'01_Вводные'!$B$218*'19_Расчет_аналитики'!AG4608,MeanMinAge22))),0)</f>
        <v/>
      </c>
      <c r="AH4561">
        <f>IF('01_Вводные'!$B$234="Да",IF(OR(('19_Расчет_аналитики'!AH4477-'19_Расчет_аналитики'!AH4505)=0,22&lt;='01_Вводные'!$B$297),0,('19_Расчет_аналитики'!AH4477-'19_Расчет_аналитики'!AH4505)*IF('01_Вводные'!$B$239="Да",MeanMinAge22+'19_Расчет_аналитики'!AH4608*SUMIF(ThresholdAge22,"&lt;"&amp;'19_Расчет_аналитики'!AH4608,WeightedRevAge22)-SUMIF(ThresholdAge22,"&lt;"&amp;'19_Расчет_аналитики'!AH4608,WeightedMinAge22),MAX(CapacityAge22*'01_Вводные'!$B$218*'19_Расчет_аналитики'!AH4608,MeanMinAge22))),0)</f>
        <v/>
      </c>
      <c r="AI4561">
        <f>IF('01_Вводные'!$B$234="Да",IF(OR(('19_Расчет_аналитики'!AI4477-'19_Расчет_аналитики'!AI4505)=0,22&lt;='01_Вводные'!$B$297),0,('19_Расчет_аналитики'!AI4477-'19_Расчет_аналитики'!AI4505)*IF('01_Вводные'!$B$239="Да",MeanMinAge22+'19_Расчет_аналитики'!AI4608*SUMIF(ThresholdAge22,"&lt;"&amp;'19_Расчет_аналитики'!AI4608,WeightedRevAge22)-SUMIF(ThresholdAge22,"&lt;"&amp;'19_Расчет_аналитики'!AI4608,WeightedMinAge22),MAX(CapacityAge22*'01_Вводные'!$B$218*'19_Расчет_аналитики'!AI4608,MeanMinAge22))),0)</f>
        <v/>
      </c>
      <c r="AJ4561">
        <f>IF('01_Вводные'!$B$234="Да",IF(OR(('19_Расчет_аналитики'!AJ4477-'19_Расчет_аналитики'!AJ4505)=0,22&lt;='01_Вводные'!$B$297),0,('19_Расчет_аналитики'!AJ4477-'19_Расчет_аналитики'!AJ4505)*IF('01_Вводные'!$B$239="Да",MeanMinAge22+'19_Расчет_аналитики'!AJ4608*SUMIF(ThresholdAge22,"&lt;"&amp;'19_Расчет_аналитики'!AJ4608,WeightedRevAge22)-SUMIF(ThresholdAge22,"&lt;"&amp;'19_Расчет_аналитики'!AJ4608,WeightedMinAge22),MAX(CapacityAge22*'01_Вводные'!$B$218*'19_Расчет_аналитики'!AJ4608,MeanMinAge22))),0)</f>
        <v/>
      </c>
      <c r="AK4561">
        <f>IF('01_Вводные'!$B$234="Да",IF(OR(('19_Расчет_аналитики'!AK4477-'19_Расчет_аналитики'!AK4505)=0,22&lt;='01_Вводные'!$B$297),0,('19_Расчет_аналитики'!AK4477-'19_Расчет_аналитики'!AK4505)*IF('01_Вводные'!$B$239="Да",MeanMinAge22+'19_Расчет_аналитики'!AK4608*SUMIF(ThresholdAge22,"&lt;"&amp;'19_Расчет_аналитики'!AK4608,WeightedRevAge22)-SUMIF(ThresholdAge22,"&lt;"&amp;'19_Расчет_аналитики'!AK4608,WeightedMinAge22),MAX(CapacityAge22*'01_Вводные'!$B$218*'19_Расчет_аналитики'!AK4608,MeanMinAge22))),0)</f>
        <v/>
      </c>
      <c r="AL4561">
        <f>IF('01_Вводные'!$B$234="Да",IF(OR(('19_Расчет_аналитики'!AL4477-'19_Расчет_аналитики'!AL4505)=0,22&lt;='01_Вводные'!$B$297),0,('19_Расчет_аналитики'!AL4477-'19_Расчет_аналитики'!AL4505)*IF('01_Вводные'!$B$239="Да",MeanMinAge22+'19_Расчет_аналитики'!AL4608*SUMIF(ThresholdAge22,"&lt;"&amp;'19_Расчет_аналитики'!AL4608,WeightedRevAge22)-SUMIF(ThresholdAge22,"&lt;"&amp;'19_Расчет_аналитики'!AL4608,WeightedMinAge22),MAX(CapacityAge22*'01_Вводные'!$B$218*'19_Расчет_аналитики'!AL4608,MeanMinAge22))),0)</f>
        <v/>
      </c>
      <c r="AM4561">
        <f>IF('01_Вводные'!$B$234="Да",IF(OR(('19_Расчет_аналитики'!AM4477-'19_Расчет_аналитики'!AM4505)=0,22&lt;='01_Вводные'!$B$297),0,('19_Расчет_аналитики'!AM4477-'19_Расчет_аналитики'!AM4505)*IF('01_Вводные'!$B$239="Да",MeanMinAge22+'19_Расчет_аналитики'!AM4608*SUMIF(ThresholdAge22,"&lt;"&amp;'19_Расчет_аналитики'!AM4608,WeightedRevAge22)-SUMIF(ThresholdAge22,"&lt;"&amp;'19_Расчет_аналитики'!AM4608,WeightedMinAge22),MAX(CapacityAge22*'01_Вводные'!$B$218*'19_Расчет_аналитики'!AM4608,MeanMinAge22))),0)</f>
        <v/>
      </c>
      <c r="AN4561">
        <f>IF('01_Вводные'!$B$234="Да",IF(OR(('19_Расчет_аналитики'!AN4477-'19_Расчет_аналитики'!AN4505)=0,22&lt;='01_Вводные'!$B$297),0,('19_Расчет_аналитики'!AN4477-'19_Расчет_аналитики'!AN4505)*IF('01_Вводные'!$B$239="Да",MeanMinAge22+'19_Расчет_аналитики'!AN4608*SUMIF(ThresholdAge22,"&lt;"&amp;'19_Расчет_аналитики'!AN4608,WeightedRevAge22)-SUMIF(ThresholdAge22,"&lt;"&amp;'19_Расчет_аналитики'!AN4608,WeightedMinAge22),MAX(CapacityAge22*'01_Вводные'!$B$218*'19_Расчет_аналитики'!AN4608,MeanMinAge22))),0)</f>
        <v/>
      </c>
      <c r="AO4561">
        <f>IF('01_Вводные'!$B$234="Да",IF(OR(('19_Расчет_аналитики'!AO4477-'19_Расчет_аналитики'!AO4505)=0,22&lt;='01_Вводные'!$B$297),0,('19_Расчет_аналитики'!AO4477-'19_Расчет_аналитики'!AO4505)*IF('01_Вводные'!$B$239="Да",MeanMinAge22+'19_Расчет_аналитики'!AO4608*SUMIF(ThresholdAge22,"&lt;"&amp;'19_Расчет_аналитики'!AO4608,WeightedRevAge22)-SUMIF(ThresholdAge22,"&lt;"&amp;'19_Расчет_аналитики'!AO4608,WeightedMinAge22),MAX(CapacityAge22*'01_Вводные'!$B$218*'19_Расчет_аналитики'!AO4608,MeanMinAge22))),0)</f>
        <v/>
      </c>
      <c r="AP4561">
        <f>IF('01_Вводные'!$B$234="Да",IF(OR(('19_Расчет_аналитики'!AP4477-'19_Расчет_аналитики'!AP4505)=0,22&lt;='01_Вводные'!$B$297),0,('19_Расчет_аналитики'!AP4477-'19_Расчет_аналитики'!AP4505)*IF('01_Вводные'!$B$239="Да",MeanMinAge22+'19_Расчет_аналитики'!AP4608*SUMIF(ThresholdAge22,"&lt;"&amp;'19_Расчет_аналитики'!AP4608,WeightedRevAge22)-SUMIF(ThresholdAge22,"&lt;"&amp;'19_Расчет_аналитики'!AP4608,WeightedMinAge22),MAX(CapacityAge22*'01_Вводные'!$B$218*'19_Расчет_аналитики'!AP4608,MeanMinAge22))),0)</f>
        <v/>
      </c>
      <c r="AQ4561">
        <f>IF('01_Вводные'!$B$234="Да",IF(OR(('19_Расчет_аналитики'!AQ4477-'19_Расчет_аналитики'!AQ4505)=0,22&lt;='01_Вводные'!$B$297),0,('19_Расчет_аналитики'!AQ4477-'19_Расчет_аналитики'!AQ4505)*IF('01_Вводные'!$B$239="Да",MeanMinAge22+'19_Расчет_аналитики'!AQ4608*SUMIF(ThresholdAge22,"&lt;"&amp;'19_Расчет_аналитики'!AQ4608,WeightedRevAge22)-SUMIF(ThresholdAge22,"&lt;"&amp;'19_Расчет_аналитики'!AQ4608,WeightedMinAge22),MAX(CapacityAge22*'01_Вводные'!$B$218*'19_Расчет_аналитики'!AQ4608,MeanMinAge22))),0)</f>
        <v/>
      </c>
      <c r="AR4561">
        <f>IF('01_Вводные'!$B$234="Да",IF(OR(('19_Расчет_аналитики'!AR4477-'19_Расчет_аналитики'!AR4505)=0,22&lt;='01_Вводные'!$B$297),0,('19_Расчет_аналитики'!AR4477-'19_Расчет_аналитики'!AR4505)*IF('01_Вводные'!$B$239="Да",MeanMinAge22+'19_Расчет_аналитики'!AR4608*SUMIF(ThresholdAge22,"&lt;"&amp;'19_Расчет_аналитики'!AR4608,WeightedRevAge22)-SUMIF(ThresholdAge22,"&lt;"&amp;'19_Расчет_аналитики'!AR4608,WeightedMinAge22),MAX(CapacityAge22*'01_Вводные'!$B$218*'19_Расчет_аналитики'!AR4608,MeanMinAge22))),0)</f>
        <v/>
      </c>
      <c r="AS4561">
        <f>IF('01_Вводные'!$B$234="Да",IF(OR(('19_Расчет_аналитики'!AS4477-'19_Расчет_аналитики'!AS4505)=0,22&lt;='01_Вводные'!$B$297),0,('19_Расчет_аналитики'!AS4477-'19_Расчет_аналитики'!AS4505)*IF('01_Вводные'!$B$239="Да",MeanMinAge22+'19_Расчет_аналитики'!AS4608*SUMIF(ThresholdAge22,"&lt;"&amp;'19_Расчет_аналитики'!AS4608,WeightedRevAge22)-SUMIF(ThresholdAge22,"&lt;"&amp;'19_Расчет_аналитики'!AS4608,WeightedMinAge22),MAX(CapacityAge22*'01_Вводные'!$B$218*'19_Расчет_аналитики'!AS4608,MeanMinAge22))),0)</f>
        <v/>
      </c>
      <c r="AT4561">
        <f>IF('01_Вводные'!$B$234="Да",IF(OR(('19_Расчет_аналитики'!AT4477-'19_Расчет_аналитики'!AT4505)=0,22&lt;='01_Вводные'!$B$297),0,('19_Расчет_аналитики'!AT4477-'19_Расчет_аналитики'!AT4505)*IF('01_Вводные'!$B$239="Да",MeanMinAge22+'19_Расчет_аналитики'!AT4608*SUMIF(ThresholdAge22,"&lt;"&amp;'19_Расчет_аналитики'!AT4608,WeightedRevAge22)-SUMIF(ThresholdAge22,"&lt;"&amp;'19_Расчет_аналитики'!AT4608,WeightedMinAge22),MAX(CapacityAge22*'01_Вводные'!$B$218*'19_Расчет_аналитики'!AT4608,MeanMinAge22))),0)</f>
        <v/>
      </c>
      <c r="AU4561">
        <f>IF('01_Вводные'!$B$234="Да",IF(OR(('19_Расчет_аналитики'!AU4477-'19_Расчет_аналитики'!AU4505)=0,22&lt;='01_Вводные'!$B$297),0,('19_Расчет_аналитики'!AU4477-'19_Расчет_аналитики'!AU4505)*IF('01_Вводные'!$B$239="Да",MeanMinAge22+'19_Расчет_аналитики'!AU4608*SUMIF(ThresholdAge22,"&lt;"&amp;'19_Расчет_аналитики'!AU4608,WeightedRevAge22)-SUMIF(ThresholdAge22,"&lt;"&amp;'19_Расчет_аналитики'!AU4608,WeightedMinAge22),MAX(CapacityAge22*'01_Вводные'!$B$218*'19_Расчет_аналитики'!AU4608,MeanMinAge22))),0)</f>
        <v/>
      </c>
      <c r="AV4561">
        <f>IF('01_Вводные'!$B$234="Да",IF(OR(('19_Расчет_аналитики'!AV4477-'19_Расчет_аналитики'!AV4505)=0,22&lt;='01_Вводные'!$B$297),0,('19_Расчет_аналитики'!AV4477-'19_Расчет_аналитики'!AV4505)*IF('01_Вводные'!$B$239="Да",MeanMinAge22+'19_Расчет_аналитики'!AV4608*SUMIF(ThresholdAge22,"&lt;"&amp;'19_Расчет_аналитики'!AV4608,WeightedRevAge22)-SUMIF(ThresholdAge22,"&lt;"&amp;'19_Расчет_аналитики'!AV4608,WeightedMinAge22),MAX(CapacityAge22*'01_Вводные'!$B$218*'19_Расчет_аналитики'!AV4608,MeanMinAge22))),0)</f>
        <v/>
      </c>
      <c r="AW4561">
        <f>IF('01_Вводные'!$B$234="Да",IF(OR(('19_Расчет_аналитики'!AW4477-'19_Расчет_аналитики'!AW4505)=0,22&lt;='01_Вводные'!$B$297),0,('19_Расчет_аналитики'!AW4477-'19_Расчет_аналитики'!AW4505)*IF('01_Вводные'!$B$239="Да",MeanMinAge22+'19_Расчет_аналитики'!AW4608*SUMIF(ThresholdAge22,"&lt;"&amp;'19_Расчет_аналитики'!AW4608,WeightedRevAge22)-SUMIF(ThresholdAge22,"&lt;"&amp;'19_Расчет_аналитики'!AW4608,WeightedMinAge22),MAX(CapacityAge22*'01_Вводные'!$B$218*'19_Расчет_аналитики'!AW4608,MeanMinAge22))),0)</f>
        <v/>
      </c>
      <c r="AX4561">
        <f>IF('01_Вводные'!$B$234="Да",IF(OR(('19_Расчет_аналитики'!AX4477-'19_Расчет_аналитики'!AX4505)=0,22&lt;='01_Вводные'!$B$297),0,('19_Расчет_аналитики'!AX4477-'19_Расчет_аналитики'!AX4505)*IF('01_Вводные'!$B$239="Да",MeanMinAge22+'19_Расчет_аналитики'!AX4608*SUMIF(ThresholdAge22,"&lt;"&amp;'19_Расчет_аналитики'!AX4608,WeightedRevAge22)-SUMIF(ThresholdAge22,"&lt;"&amp;'19_Расчет_аналитики'!AX4608,WeightedMinAge22),MAX(CapacityAge22*'01_Вводные'!$B$218*'19_Расчет_аналитики'!AX4608,MeanMinAge22))),0)</f>
        <v/>
      </c>
      <c r="AY4561">
        <f>IF('01_Вводные'!$B$234="Да",IF(OR(('19_Расчет_аналитики'!AY4477-'19_Расчет_аналитики'!AY4505)=0,22&lt;='01_Вводные'!$B$297),0,('19_Расчет_аналитики'!AY4477-'19_Расчет_аналитики'!AY4505)*IF('01_Вводные'!$B$239="Да",MeanMinAge22+'19_Расчет_аналитики'!AY4608*SUMIF(ThresholdAge22,"&lt;"&amp;'19_Расчет_аналитики'!AY4608,WeightedRevAge22)-SUMIF(ThresholdAge22,"&lt;"&amp;'19_Расчет_аналитики'!AY4608,WeightedMinAge22),MAX(CapacityAge22*'01_Вводные'!$B$218*'19_Расчет_аналитики'!AY4608,MeanMinAge22))),0)</f>
        <v/>
      </c>
      <c r="AZ4561">
        <f>IF('01_Вводные'!$B$234="Да",IF(OR(('19_Расчет_аналитики'!AZ4477-'19_Расчет_аналитики'!AZ4505)=0,22&lt;='01_Вводные'!$B$297),0,('19_Расчет_аналитики'!AZ4477-'19_Расчет_аналитики'!AZ4505)*IF('01_Вводные'!$B$239="Да",MeanMinAge22+'19_Расчет_аналитики'!AZ4608*SUMIF(ThresholdAge22,"&lt;"&amp;'19_Расчет_аналитики'!AZ4608,WeightedRevAge22)-SUMIF(ThresholdAge22,"&lt;"&amp;'19_Расчет_аналитики'!AZ4608,WeightedMinAge22),MAX(CapacityAge22*'01_Вводные'!$B$218*'19_Расчет_аналитики'!AZ4608,MeanMinAge22))),0)</f>
        <v/>
      </c>
      <c r="BA4561">
        <f>IF('01_Вводные'!$B$234="Да",IF(OR(('19_Расчет_аналитики'!BA4477-'19_Расчет_аналитики'!BA4505)=0,22&lt;='01_Вводные'!$B$297),0,('19_Расчет_аналитики'!BA4477-'19_Расчет_аналитики'!BA4505)*IF('01_Вводные'!$B$239="Да",MeanMinAge22+'19_Расчет_аналитики'!BA4608*SUMIF(ThresholdAge22,"&lt;"&amp;'19_Расчет_аналитики'!BA4608,WeightedRevAge22)-SUMIF(ThresholdAge22,"&lt;"&amp;'19_Расчет_аналитики'!BA4608,WeightedMinAge22),MAX(CapacityAge22*'01_Вводные'!$B$218*'19_Расчет_аналитики'!BA4608,MeanMinAge22))),0)</f>
        <v/>
      </c>
      <c r="BB4561">
        <f>IF('01_Вводные'!$B$234="Да",IF(OR(('19_Расчет_аналитики'!BB4477-'19_Расчет_аналитики'!BB4505)=0,22&lt;='01_Вводные'!$B$297),0,('19_Расчет_аналитики'!BB4477-'19_Расчет_аналитики'!BB4505)*IF('01_Вводные'!$B$239="Да",MeanMinAge22+'19_Расчет_аналитики'!BB4608*SUMIF(ThresholdAge22,"&lt;"&amp;'19_Расчет_аналитики'!BB4608,WeightedRevAge22)-SUMIF(ThresholdAge22,"&lt;"&amp;'19_Расчет_аналитики'!BB4608,WeightedMinAge22),MAX(CapacityAge22*'01_Вводные'!$B$218*'19_Расчет_аналитики'!BB4608,MeanMinAge22))),0)</f>
        <v/>
      </c>
      <c r="BC4561">
        <f>IF('01_Вводные'!$B$234="Да",IF(OR(('19_Расчет_аналитики'!BC4477-'19_Расчет_аналитики'!BC4505)=0,22&lt;='01_Вводные'!$B$297),0,('19_Расчет_аналитики'!BC4477-'19_Расчет_аналитики'!BC4505)*IF('01_Вводные'!$B$239="Да",MeanMinAge22+'19_Расчет_аналитики'!BC4608*SUMIF(ThresholdAge22,"&lt;"&amp;'19_Расчет_аналитики'!BC4608,WeightedRevAge22)-SUMIF(ThresholdAge22,"&lt;"&amp;'19_Расчет_аналитики'!BC4608,WeightedMinAge22),MAX(CapacityAge22*'01_Вводные'!$B$218*'19_Расчет_аналитики'!BC4608,MeanMinAge22))),0)</f>
        <v/>
      </c>
      <c r="BD4561">
        <f>IF('01_Вводные'!$B$234="Да",IF(OR(('19_Расчет_аналитики'!BD4477-'19_Расчет_аналитики'!BD4505)=0,22&lt;='01_Вводные'!$B$297),0,('19_Расчет_аналитики'!BD4477-'19_Расчет_аналитики'!BD4505)*IF('01_Вводные'!$B$239="Да",MeanMinAge22+'19_Расчет_аналитики'!BD4608*SUMIF(ThresholdAge22,"&lt;"&amp;'19_Расчет_аналитики'!BD4608,WeightedRevAge22)-SUMIF(ThresholdAge22,"&lt;"&amp;'19_Расчет_аналитики'!BD4608,WeightedMinAge22),MAX(CapacityAge22*'01_Вводные'!$B$218*'19_Расчет_аналитики'!BD4608,MeanMinAge22))),0)</f>
        <v/>
      </c>
      <c r="BE4561">
        <f>IF('01_Вводные'!$B$234="Да",IF(OR(('19_Расчет_аналитики'!BE4477-'19_Расчет_аналитики'!BE4505)=0,22&lt;='01_Вводные'!$B$297),0,('19_Расчет_аналитики'!BE4477-'19_Расчет_аналитики'!BE4505)*IF('01_Вводные'!$B$239="Да",MeanMinAge22+'19_Расчет_аналитики'!BE4608*SUMIF(ThresholdAge22,"&lt;"&amp;'19_Расчет_аналитики'!BE4608,WeightedRevAge22)-SUMIF(ThresholdAge22,"&lt;"&amp;'19_Расчет_аналитики'!BE4608,WeightedMinAge22),MAX(CapacityAge22*'01_Вводные'!$B$218*'19_Расчет_аналитики'!BE4608,MeanMinAge22))),0)</f>
        <v/>
      </c>
      <c r="BF4561">
        <f>IF('01_Вводные'!$B$234="Да",IF(OR(('19_Расчет_аналитики'!BF4477-'19_Расчет_аналитики'!BF4505)=0,22&lt;='01_Вводные'!$B$297),0,('19_Расчет_аналитики'!BF4477-'19_Расчет_аналитики'!BF4505)*IF('01_Вводные'!$B$239="Да",MeanMinAge22+'19_Расчет_аналитики'!BF4608*SUMIF(ThresholdAge22,"&lt;"&amp;'19_Расчет_аналитики'!BF4608,WeightedRevAge22)-SUMIF(ThresholdAge22,"&lt;"&amp;'19_Расчет_аналитики'!BF4608,WeightedMinAge22),MAX(CapacityAge22*'01_Вводные'!$B$218*'19_Расчет_аналитики'!BF4608,MeanMinAge22))),0)</f>
        <v/>
      </c>
      <c r="BG4561">
        <f>IF('01_Вводные'!$B$234="Да",IF(OR(('19_Расчет_аналитики'!BG4477-'19_Расчет_аналитики'!BG4505)=0,22&lt;='01_Вводные'!$B$297),0,('19_Расчет_аналитики'!BG4477-'19_Расчет_аналитики'!BG4505)*IF('01_Вводные'!$B$239="Да",MeanMinAge22+'19_Расчет_аналитики'!BG4608*SUMIF(ThresholdAge22,"&lt;"&amp;'19_Расчет_аналитики'!BG4608,WeightedRevAge22)-SUMIF(ThresholdAge22,"&lt;"&amp;'19_Расчет_аналитики'!BG4608,WeightedMinAge22),MAX(CapacityAge22*'01_Вводные'!$B$218*'19_Расчет_аналитики'!BG4608,MeanMinAge22))),0)</f>
        <v/>
      </c>
      <c r="BH4561">
        <f>IF('01_Вводные'!$B$234="Да",IF(OR(('19_Расчет_аналитики'!BH4477-'19_Расчет_аналитики'!BH4505)=0,22&lt;='01_Вводные'!$B$297),0,('19_Расчет_аналитики'!BH4477-'19_Расчет_аналитики'!BH4505)*IF('01_Вводные'!$B$239="Да",MeanMinAge22+'19_Расчет_аналитики'!BH4608*SUMIF(ThresholdAge22,"&lt;"&amp;'19_Расчет_аналитики'!BH4608,WeightedRevAge22)-SUMIF(ThresholdAge22,"&lt;"&amp;'19_Расчет_аналитики'!BH4608,WeightedMinAge22),MAX(CapacityAge22*'01_Вводные'!$B$218*'19_Расчет_аналитики'!BH4608,MeanMinAge22))),0)</f>
        <v/>
      </c>
      <c r="BI4561">
        <f>IF('01_Вводные'!$B$234="Да",IF(OR(('19_Расчет_аналитики'!BI4477-'19_Расчет_аналитики'!BI4505)=0,22&lt;='01_Вводные'!$B$297),0,('19_Расчет_аналитики'!BI4477-'19_Расчет_аналитики'!BI4505)*IF('01_Вводные'!$B$239="Да",MeanMinAge22+'19_Расчет_аналитики'!BI4608*SUMIF(ThresholdAge22,"&lt;"&amp;'19_Расчет_аналитики'!BI4608,WeightedRevAge22)-SUMIF(ThresholdAge22,"&lt;"&amp;'19_Расчет_аналитики'!BI4608,WeightedMinAge22),MAX(CapacityAge22*'01_Вводные'!$B$218*'19_Расчет_аналитики'!BI4608,MeanMinAge22))),0)</f>
        <v/>
      </c>
      <c r="BJ4561">
        <f>IF('01_Вводные'!$B$234="Да",IF(OR(('19_Расчет_аналитики'!BJ4477-'19_Расчет_аналитики'!BJ4505)=0,22&lt;='01_Вводные'!$B$297),0,('19_Расчет_аналитики'!BJ4477-'19_Расчет_аналитики'!BJ4505)*IF('01_Вводные'!$B$239="Да",MeanMinAge22+'19_Расчет_аналитики'!BJ4608*SUMIF(ThresholdAge22,"&lt;"&amp;'19_Расчет_аналитики'!BJ4608,WeightedRevAge22)-SUMIF(ThresholdAge22,"&lt;"&amp;'19_Расчет_аналитики'!BJ4608,WeightedMinAge22),MAX(CapacityAge22*'01_Вводные'!$B$218*'19_Расчет_аналитики'!BJ4608,MeanMinAge22))),0)</f>
        <v/>
      </c>
      <c r="BK4561">
        <f>IF('01_Вводные'!$B$234="Да",IF(OR(('19_Расчет_аналитики'!BK4477-'19_Расчет_аналитики'!BK4505)=0,22&lt;='01_Вводные'!$B$297),0,('19_Расчет_аналитики'!BK4477-'19_Расчет_аналитики'!BK4505)*IF('01_Вводные'!$B$239="Да",MeanMinAge22+'19_Расчет_аналитики'!BK4608*SUMIF(ThresholdAge22,"&lt;"&amp;'19_Расчет_аналитики'!BK4608,WeightedRevAge22)-SUMIF(ThresholdAge22,"&lt;"&amp;'19_Расчет_аналитики'!BK4608,WeightedMinAge22),MAX(CapacityAge22*'01_Вводные'!$B$218*'19_Расчет_аналитики'!BK4608,MeanMinAge22))),0)</f>
        <v/>
      </c>
      <c r="BL4561">
        <f>IF('01_Вводные'!$B$234="Да",IF(OR(('19_Расчет_аналитики'!BL4477-'19_Расчет_аналитики'!BL4505)=0,22&lt;='01_Вводные'!$B$297),0,('19_Расчет_аналитики'!BL4477-'19_Расчет_аналитики'!BL4505)*IF('01_Вводные'!$B$239="Да",MeanMinAge22+'19_Расчет_аналитики'!BL4608*SUMIF(ThresholdAge22,"&lt;"&amp;'19_Расчет_аналитики'!BL4608,WeightedRevAge22)-SUMIF(ThresholdAge22,"&lt;"&amp;'19_Расчет_аналитики'!BL4608,WeightedMinAge22),MAX(CapacityAge22*'01_Вводные'!$B$218*'19_Расчет_аналитики'!BL4608,MeanMinAge22))),0)</f>
        <v/>
      </c>
      <c r="BM4561">
        <f>IF('01_Вводные'!$B$234="Да",IF(OR(('19_Расчет_аналитики'!BM4477-'19_Расчет_аналитики'!BM4505)=0,22&lt;='01_Вводные'!$B$297),0,('19_Расчет_аналитики'!BM4477-'19_Расчет_аналитики'!BM4505)*IF('01_Вводные'!$B$239="Да",MeanMinAge22+'19_Расчет_аналитики'!BM4608*SUMIF(ThresholdAge22,"&lt;"&amp;'19_Расчет_аналитики'!BM4608,WeightedRevAge22)-SUMIF(ThresholdAge22,"&lt;"&amp;'19_Расчет_аналитики'!BM4608,WeightedMinAge22),MAX(CapacityAge22*'01_Вводные'!$B$218*'19_Расчет_аналитики'!BM4608,MeanMinAge22))),0)</f>
        <v/>
      </c>
      <c r="BN4561">
        <f>IF('01_Вводные'!$B$234="Да",IF(OR(('19_Расчет_аналитики'!BN4477-'19_Расчет_аналитики'!BN4505)=0,22&lt;='01_Вводные'!$B$297),0,('19_Расчет_аналитики'!BN4477-'19_Расчет_аналитики'!BN4505)*IF('01_Вводные'!$B$239="Да",MeanMinAge22+'19_Расчет_аналитики'!BN4608*SUMIF(ThresholdAge22,"&lt;"&amp;'19_Расчет_аналитики'!BN4608,WeightedRevAge22)-SUMIF(ThresholdAge22,"&lt;"&amp;'19_Расчет_аналитики'!BN4608,WeightedMinAge22),MAX(CapacityAge22*'01_Вводные'!$B$218*'19_Расчет_аналитики'!BN4608,MeanMinAge22))),0)</f>
        <v/>
      </c>
      <c r="BO4561">
        <f>IF('01_Вводные'!$B$234="Да",IF(OR(('19_Расчет_аналитики'!BO4477-'19_Расчет_аналитики'!BO4505)=0,22&lt;='01_Вводные'!$B$297),0,('19_Расчет_аналитики'!BO4477-'19_Расчет_аналитики'!BO4505)*IF('01_Вводные'!$B$239="Да",MeanMinAge22+'19_Расчет_аналитики'!BO4608*SUMIF(ThresholdAge22,"&lt;"&amp;'19_Расчет_аналитики'!BO4608,WeightedRevAge22)-SUMIF(ThresholdAge22,"&lt;"&amp;'19_Расчет_аналитики'!BO4608,WeightedMinAge22),MAX(CapacityAge22*'01_Вводные'!$B$218*'19_Расчет_аналитики'!BO4608,MeanMinAge22))),0)</f>
        <v/>
      </c>
    </row>
    <row r="4562">
      <c r="B4562">
        <f>IF('01_Вводные'!$B$234="Да",IF(OR(('06_Сеть_и_дети'!B75-'06_Сеть_и_дети'!B103)=0,23&lt;='01_Вводные'!$B$297),0,('06_Сеть_и_дети'!B75-'06_Сеть_и_дети'!B103)*IF('01_Вводные'!$B$239="Да",MeanMinAge23+'19_Расчет_аналитики'!B4608*SUMIF(ThresholdAge23,"&lt;"&amp;'19_Расчет_аналитики'!B4608,WeightedRevAge23)-SUMIF(ThresholdAge23,"&lt;"&amp;'19_Расчет_аналитики'!B4608,WeightedMinAge23),MAX(CapacityAge23*'01_Вводные'!$B$218*'19_Расчет_аналитики'!B4608,MeanMinAge23))),0)</f>
        <v/>
      </c>
      <c r="C4562">
        <f>IF('01_Вводные'!$B$234="Да",IF(OR(('06_Сеть_и_дети'!C75-'06_Сеть_и_дети'!C103)=0,23&lt;='01_Вводные'!$B$297),0,('06_Сеть_и_дети'!C75-'06_Сеть_и_дети'!C103)*IF('01_Вводные'!$B$239="Да",MeanMinAge23+'19_Расчет_аналитики'!C4608*SUMIF(ThresholdAge23,"&lt;"&amp;'19_Расчет_аналитики'!C4608,WeightedRevAge23)-SUMIF(ThresholdAge23,"&lt;"&amp;'19_Расчет_аналитики'!C4608,WeightedMinAge23),MAX(CapacityAge23*'01_Вводные'!$B$218*'19_Расчет_аналитики'!C4608,MeanMinAge23))),0)</f>
        <v/>
      </c>
      <c r="D4562">
        <f>IF('01_Вводные'!$B$234="Да",IF(OR(('06_Сеть_и_дети'!D75-'06_Сеть_и_дети'!D103)=0,23&lt;='01_Вводные'!$B$297),0,('06_Сеть_и_дети'!D75-'06_Сеть_и_дети'!D103)*IF('01_Вводные'!$B$239="Да",MeanMinAge23+'19_Расчет_аналитики'!D4608*SUMIF(ThresholdAge23,"&lt;"&amp;'19_Расчет_аналитики'!D4608,WeightedRevAge23)-SUMIF(ThresholdAge23,"&lt;"&amp;'19_Расчет_аналитики'!D4608,WeightedMinAge23),MAX(CapacityAge23*'01_Вводные'!$B$218*'19_Расчет_аналитики'!D4608,MeanMinAge23))),0)</f>
        <v/>
      </c>
      <c r="E4562">
        <f>IF('01_Вводные'!$B$234="Да",IF(OR(('06_Сеть_и_дети'!E75-'06_Сеть_и_дети'!E103)=0,23&lt;='01_Вводные'!$B$297),0,('06_Сеть_и_дети'!E75-'06_Сеть_и_дети'!E103)*IF('01_Вводные'!$B$239="Да",MeanMinAge23+'19_Расчет_аналитики'!E4608*SUMIF(ThresholdAge23,"&lt;"&amp;'19_Расчет_аналитики'!E4608,WeightedRevAge23)-SUMIF(ThresholdAge23,"&lt;"&amp;'19_Расчет_аналитики'!E4608,WeightedMinAge23),MAX(CapacityAge23*'01_Вводные'!$B$218*'19_Расчет_аналитики'!E4608,MeanMinAge23))),0)</f>
        <v/>
      </c>
      <c r="F4562">
        <f>IF('01_Вводные'!$B$234="Да",IF(OR(('06_Сеть_и_дети'!F75-'06_Сеть_и_дети'!F103)=0,23&lt;='01_Вводные'!$B$297),0,('06_Сеть_и_дети'!F75-'06_Сеть_и_дети'!F103)*IF('01_Вводные'!$B$239="Да",MeanMinAge23+'19_Расчет_аналитики'!F4608*SUMIF(ThresholdAge23,"&lt;"&amp;'19_Расчет_аналитики'!F4608,WeightedRevAge23)-SUMIF(ThresholdAge23,"&lt;"&amp;'19_Расчет_аналитики'!F4608,WeightedMinAge23),MAX(CapacityAge23*'01_Вводные'!$B$218*'19_Расчет_аналитики'!F4608,MeanMinAge23))),0)</f>
        <v/>
      </c>
      <c r="G4562">
        <f>IF('01_Вводные'!$B$234="Да",IF(OR(('06_Сеть_и_дети'!G75-'06_Сеть_и_дети'!G103)=0,23&lt;='01_Вводные'!$B$297),0,('06_Сеть_и_дети'!G75-'06_Сеть_и_дети'!G103)*IF('01_Вводные'!$B$239="Да",MeanMinAge23+'19_Расчет_аналитики'!G4608*SUMIF(ThresholdAge23,"&lt;"&amp;'19_Расчет_аналитики'!G4608,WeightedRevAge23)-SUMIF(ThresholdAge23,"&lt;"&amp;'19_Расчет_аналитики'!G4608,WeightedMinAge23),MAX(CapacityAge23*'01_Вводные'!$B$218*'19_Расчет_аналитики'!G4608,MeanMinAge23))),0)</f>
        <v/>
      </c>
      <c r="H4562">
        <f>IF('01_Вводные'!$B$234="Да",IF(OR(('06_Сеть_и_дети'!H75-'06_Сеть_и_дети'!H103)=0,23&lt;='01_Вводные'!$B$297),0,('06_Сеть_и_дети'!H75-'06_Сеть_и_дети'!H103)*IF('01_Вводные'!$B$239="Да",MeanMinAge23+'19_Расчет_аналитики'!H4608*SUMIF(ThresholdAge23,"&lt;"&amp;'19_Расчет_аналитики'!H4608,WeightedRevAge23)-SUMIF(ThresholdAge23,"&lt;"&amp;'19_Расчет_аналитики'!H4608,WeightedMinAge23),MAX(CapacityAge23*'01_Вводные'!$B$218*'19_Расчет_аналитики'!H4608,MeanMinAge23))),0)</f>
        <v/>
      </c>
      <c r="I4562">
        <f>IF('01_Вводные'!$B$234="Да",IF(OR(('06_Сеть_и_дети'!I75-'06_Сеть_и_дети'!I103)=0,23&lt;='01_Вводные'!$B$297),0,('06_Сеть_и_дети'!I75-'06_Сеть_и_дети'!I103)*IF('01_Вводные'!$B$239="Да",MeanMinAge23+'19_Расчет_аналитики'!I4608*SUMIF(ThresholdAge23,"&lt;"&amp;'19_Расчет_аналитики'!I4608,WeightedRevAge23)-SUMIF(ThresholdAge23,"&lt;"&amp;'19_Расчет_аналитики'!I4608,WeightedMinAge23),MAX(CapacityAge23*'01_Вводные'!$B$218*'19_Расчет_аналитики'!I4608,MeanMinAge23))),0)</f>
        <v/>
      </c>
      <c r="J4562">
        <f>IF('01_Вводные'!$B$234="Да",IF(OR(('06_Сеть_и_дети'!J75-'06_Сеть_и_дети'!J103)=0,23&lt;='01_Вводные'!$B$297),0,('06_Сеть_и_дети'!J75-'06_Сеть_и_дети'!J103)*IF('01_Вводные'!$B$239="Да",MeanMinAge23+'19_Расчет_аналитики'!J4608*SUMIF(ThresholdAge23,"&lt;"&amp;'19_Расчет_аналитики'!J4608,WeightedRevAge23)-SUMIF(ThresholdAge23,"&lt;"&amp;'19_Расчет_аналитики'!J4608,WeightedMinAge23),MAX(CapacityAge23*'01_Вводные'!$B$218*'19_Расчет_аналитики'!J4608,MeanMinAge23))),0)</f>
        <v/>
      </c>
      <c r="K4562">
        <f>IF('01_Вводные'!$B$234="Да",IF(OR(('06_Сеть_и_дети'!K75-'06_Сеть_и_дети'!K103)=0,23&lt;='01_Вводные'!$B$297),0,('06_Сеть_и_дети'!K75-'06_Сеть_и_дети'!K103)*IF('01_Вводные'!$B$239="Да",MeanMinAge23+'19_Расчет_аналитики'!K4608*SUMIF(ThresholdAge23,"&lt;"&amp;'19_Расчет_аналитики'!K4608,WeightedRevAge23)-SUMIF(ThresholdAge23,"&lt;"&amp;'19_Расчет_аналитики'!K4608,WeightedMinAge23),MAX(CapacityAge23*'01_Вводные'!$B$218*'19_Расчет_аналитики'!K4608,MeanMinAge23))),0)</f>
        <v/>
      </c>
      <c r="L4562">
        <f>IF('01_Вводные'!$B$234="Да",IF(OR(('06_Сеть_и_дети'!L75-'06_Сеть_и_дети'!L103)=0,23&lt;='01_Вводные'!$B$297),0,('06_Сеть_и_дети'!L75-'06_Сеть_и_дети'!L103)*IF('01_Вводные'!$B$239="Да",MeanMinAge23+'19_Расчет_аналитики'!L4608*SUMIF(ThresholdAge23,"&lt;"&amp;'19_Расчет_аналитики'!L4608,WeightedRevAge23)-SUMIF(ThresholdAge23,"&lt;"&amp;'19_Расчет_аналитики'!L4608,WeightedMinAge23),MAX(CapacityAge23*'01_Вводные'!$B$218*'19_Расчет_аналитики'!L4608,MeanMinAge23))),0)</f>
        <v/>
      </c>
      <c r="M4562">
        <f>IF('01_Вводные'!$B$234="Да",IF(OR(('06_Сеть_и_дети'!M75-'06_Сеть_и_дети'!M103)=0,23&lt;='01_Вводные'!$B$297),0,('06_Сеть_и_дети'!M75-'06_Сеть_и_дети'!M103)*IF('01_Вводные'!$B$239="Да",MeanMinAge23+'19_Расчет_аналитики'!M4608*SUMIF(ThresholdAge23,"&lt;"&amp;'19_Расчет_аналитики'!M4608,WeightedRevAge23)-SUMIF(ThresholdAge23,"&lt;"&amp;'19_Расчет_аналитики'!M4608,WeightedMinAge23),MAX(CapacityAge23*'01_Вводные'!$B$218*'19_Расчет_аналитики'!M4608,MeanMinAge23))),0)</f>
        <v/>
      </c>
      <c r="N4562">
        <f>IF('01_Вводные'!$B$234="Да",IF(OR(('06_Сеть_и_дети'!N75-'06_Сеть_и_дети'!N103)=0,23&lt;='01_Вводные'!$B$297),0,('06_Сеть_и_дети'!N75-'06_Сеть_и_дети'!N103)*IF('01_Вводные'!$B$239="Да",MeanMinAge23+'19_Расчет_аналитики'!N4608*SUMIF(ThresholdAge23,"&lt;"&amp;'19_Расчет_аналитики'!N4608,WeightedRevAge23)-SUMIF(ThresholdAge23,"&lt;"&amp;'19_Расчет_аналитики'!N4608,WeightedMinAge23),MAX(CapacityAge23*'01_Вводные'!$B$218*'19_Расчет_аналитики'!N4608,MeanMinAge23))),0)</f>
        <v/>
      </c>
      <c r="O4562">
        <f>IF('01_Вводные'!$B$234="Да",IF(OR(('06_Сеть_и_дети'!O75-'06_Сеть_и_дети'!O103)=0,23&lt;='01_Вводные'!$B$297),0,('06_Сеть_и_дети'!O75-'06_Сеть_и_дети'!O103)*IF('01_Вводные'!$B$239="Да",MeanMinAge23+'19_Расчет_аналитики'!O4608*SUMIF(ThresholdAge23,"&lt;"&amp;'19_Расчет_аналитики'!O4608,WeightedRevAge23)-SUMIF(ThresholdAge23,"&lt;"&amp;'19_Расчет_аналитики'!O4608,WeightedMinAge23),MAX(CapacityAge23*'01_Вводные'!$B$218*'19_Расчет_аналитики'!O4608,MeanMinAge23))),0)</f>
        <v/>
      </c>
      <c r="P4562">
        <f>IF('01_Вводные'!$B$234="Да",IF(OR(('06_Сеть_и_дети'!P75-'06_Сеть_и_дети'!P103)=0,23&lt;='01_Вводные'!$B$297),0,('06_Сеть_и_дети'!P75-'06_Сеть_и_дети'!P103)*IF('01_Вводные'!$B$239="Да",MeanMinAge23+'19_Расчет_аналитики'!P4608*SUMIF(ThresholdAge23,"&lt;"&amp;'19_Расчет_аналитики'!P4608,WeightedRevAge23)-SUMIF(ThresholdAge23,"&lt;"&amp;'19_Расчет_аналитики'!P4608,WeightedMinAge23),MAX(CapacityAge23*'01_Вводные'!$B$218*'19_Расчет_аналитики'!P4608,MeanMinAge23))),0)</f>
        <v/>
      </c>
      <c r="Q4562">
        <f>IF('01_Вводные'!$B$234="Да",IF(OR(('06_Сеть_и_дети'!Q75-'06_Сеть_и_дети'!Q103)=0,23&lt;='01_Вводные'!$B$297),0,('06_Сеть_и_дети'!Q75-'06_Сеть_и_дети'!Q103)*IF('01_Вводные'!$B$239="Да",MeanMinAge23+'19_Расчет_аналитики'!Q4608*SUMIF(ThresholdAge23,"&lt;"&amp;'19_Расчет_аналитики'!Q4608,WeightedRevAge23)-SUMIF(ThresholdAge23,"&lt;"&amp;'19_Расчет_аналитики'!Q4608,WeightedMinAge23),MAX(CapacityAge23*'01_Вводные'!$B$218*'19_Расчет_аналитики'!Q4608,MeanMinAge23))),0)</f>
        <v/>
      </c>
      <c r="R4562">
        <f>IF('01_Вводные'!$B$234="Да",IF(OR(('06_Сеть_и_дети'!R75-'06_Сеть_и_дети'!R103)=0,23&lt;='01_Вводные'!$B$297),0,('06_Сеть_и_дети'!R75-'06_Сеть_и_дети'!R103)*IF('01_Вводные'!$B$239="Да",MeanMinAge23+'19_Расчет_аналитики'!R4608*SUMIF(ThresholdAge23,"&lt;"&amp;'19_Расчет_аналитики'!R4608,WeightedRevAge23)-SUMIF(ThresholdAge23,"&lt;"&amp;'19_Расчет_аналитики'!R4608,WeightedMinAge23),MAX(CapacityAge23*'01_Вводные'!$B$218*'19_Расчет_аналитики'!R4608,MeanMinAge23))),0)</f>
        <v/>
      </c>
      <c r="S4562">
        <f>IF('01_Вводные'!$B$234="Да",IF(OR(('06_Сеть_и_дети'!S75-'06_Сеть_и_дети'!S103)=0,23&lt;='01_Вводные'!$B$297),0,('06_Сеть_и_дети'!S75-'06_Сеть_и_дети'!S103)*IF('01_Вводные'!$B$239="Да",MeanMinAge23+'19_Расчет_аналитики'!S4608*SUMIF(ThresholdAge23,"&lt;"&amp;'19_Расчет_аналитики'!S4608,WeightedRevAge23)-SUMIF(ThresholdAge23,"&lt;"&amp;'19_Расчет_аналитики'!S4608,WeightedMinAge23),MAX(CapacityAge23*'01_Вводные'!$B$218*'19_Расчет_аналитики'!S4608,MeanMinAge23))),0)</f>
        <v/>
      </c>
      <c r="T4562">
        <f>IF('01_Вводные'!$B$234="Да",IF(OR(('06_Сеть_и_дети'!T75-'06_Сеть_и_дети'!T103)=0,23&lt;='01_Вводные'!$B$297),0,('06_Сеть_и_дети'!T75-'06_Сеть_и_дети'!T103)*IF('01_Вводные'!$B$239="Да",MeanMinAge23+'19_Расчет_аналитики'!T4608*SUMIF(ThresholdAge23,"&lt;"&amp;'19_Расчет_аналитики'!T4608,WeightedRevAge23)-SUMIF(ThresholdAge23,"&lt;"&amp;'19_Расчет_аналитики'!T4608,WeightedMinAge23),MAX(CapacityAge23*'01_Вводные'!$B$218*'19_Расчет_аналитики'!T4608,MeanMinAge23))),0)</f>
        <v/>
      </c>
      <c r="U4562">
        <f>IF('01_Вводные'!$B$234="Да",IF(OR(('06_Сеть_и_дети'!U75-'06_Сеть_и_дети'!U103)=0,23&lt;='01_Вводные'!$B$297),0,('06_Сеть_и_дети'!U75-'06_Сеть_и_дети'!U103)*IF('01_Вводные'!$B$239="Да",MeanMinAge23+'19_Расчет_аналитики'!U4608*SUMIF(ThresholdAge23,"&lt;"&amp;'19_Расчет_аналитики'!U4608,WeightedRevAge23)-SUMIF(ThresholdAge23,"&lt;"&amp;'19_Расчет_аналитики'!U4608,WeightedMinAge23),MAX(CapacityAge23*'01_Вводные'!$B$218*'19_Расчет_аналитики'!U4608,MeanMinAge23))),0)</f>
        <v/>
      </c>
      <c r="V4562">
        <f>IF('01_Вводные'!$B$234="Да",IF(OR(('06_Сеть_и_дети'!V75-'06_Сеть_и_дети'!V103)=0,23&lt;='01_Вводные'!$B$297),0,('06_Сеть_и_дети'!V75-'06_Сеть_и_дети'!V103)*IF('01_Вводные'!$B$239="Да",MeanMinAge23+'19_Расчет_аналитики'!V4608*SUMIF(ThresholdAge23,"&lt;"&amp;'19_Расчет_аналитики'!V4608,WeightedRevAge23)-SUMIF(ThresholdAge23,"&lt;"&amp;'19_Расчет_аналитики'!V4608,WeightedMinAge23),MAX(CapacityAge23*'01_Вводные'!$B$218*'19_Расчет_аналитики'!V4608,MeanMinAge23))),0)</f>
        <v/>
      </c>
      <c r="W4562">
        <f>IF('01_Вводные'!$B$234="Да",IF(OR(('06_Сеть_и_дети'!W75-'06_Сеть_и_дети'!W103)=0,23&lt;='01_Вводные'!$B$297),0,('06_Сеть_и_дети'!W75-'06_Сеть_и_дети'!W103)*IF('01_Вводные'!$B$239="Да",MeanMinAge23+'19_Расчет_аналитики'!W4608*SUMIF(ThresholdAge23,"&lt;"&amp;'19_Расчет_аналитики'!W4608,WeightedRevAge23)-SUMIF(ThresholdAge23,"&lt;"&amp;'19_Расчет_аналитики'!W4608,WeightedMinAge23),MAX(CapacityAge23*'01_Вводные'!$B$218*'19_Расчет_аналитики'!W4608,MeanMinAge23))),0)</f>
        <v/>
      </c>
      <c r="X4562">
        <f>IF('01_Вводные'!$B$234="Да",IF(OR(('19_Расчет_аналитики'!X4478-'19_Расчет_аналитики'!X4506)=0,23&lt;='01_Вводные'!$B$297),0,('19_Расчет_аналитики'!X4478-'19_Расчет_аналитики'!X4506)*IF('01_Вводные'!$B$239="Да",MeanMinAge23+'19_Расчет_аналитики'!X4608*SUMIF(ThresholdAge23,"&lt;"&amp;'19_Расчет_аналитики'!X4608,WeightedRevAge23)-SUMIF(ThresholdAge23,"&lt;"&amp;'19_Расчет_аналитики'!X4608,WeightedMinAge23),MAX(CapacityAge23*'01_Вводные'!$B$218*'19_Расчет_аналитики'!X4608,MeanMinAge23))),0)</f>
        <v/>
      </c>
      <c r="Y4562">
        <f>IF('01_Вводные'!$B$234="Да",IF(OR(('19_Расчет_аналитики'!Y4478-'19_Расчет_аналитики'!Y4506)=0,23&lt;='01_Вводные'!$B$297),0,('19_Расчет_аналитики'!Y4478-'19_Расчет_аналитики'!Y4506)*IF('01_Вводные'!$B$239="Да",MeanMinAge23+'19_Расчет_аналитики'!Y4608*SUMIF(ThresholdAge23,"&lt;"&amp;'19_Расчет_аналитики'!Y4608,WeightedRevAge23)-SUMIF(ThresholdAge23,"&lt;"&amp;'19_Расчет_аналитики'!Y4608,WeightedMinAge23),MAX(CapacityAge23*'01_Вводные'!$B$218*'19_Расчет_аналитики'!Y4608,MeanMinAge23))),0)</f>
        <v/>
      </c>
      <c r="Z4562">
        <f>IF('01_Вводные'!$B$234="Да",IF(OR(('19_Расчет_аналитики'!Z4478-'19_Расчет_аналитики'!Z4506)=0,23&lt;='01_Вводные'!$B$297),0,('19_Расчет_аналитики'!Z4478-'19_Расчет_аналитики'!Z4506)*IF('01_Вводные'!$B$239="Да",MeanMinAge23+'19_Расчет_аналитики'!Z4608*SUMIF(ThresholdAge23,"&lt;"&amp;'19_Расчет_аналитики'!Z4608,WeightedRevAge23)-SUMIF(ThresholdAge23,"&lt;"&amp;'19_Расчет_аналитики'!Z4608,WeightedMinAge23),MAX(CapacityAge23*'01_Вводные'!$B$218*'19_Расчет_аналитики'!Z4608,MeanMinAge23))),0)</f>
        <v/>
      </c>
      <c r="AA4562">
        <f>IF('01_Вводные'!$B$234="Да",IF(OR(('19_Расчет_аналитики'!AA4478-'19_Расчет_аналитики'!AA4506)=0,23&lt;='01_Вводные'!$B$297),0,('19_Расчет_аналитики'!AA4478-'19_Расчет_аналитики'!AA4506)*IF('01_Вводные'!$B$239="Да",MeanMinAge23+'19_Расчет_аналитики'!AA4608*SUMIF(ThresholdAge23,"&lt;"&amp;'19_Расчет_аналитики'!AA4608,WeightedRevAge23)-SUMIF(ThresholdAge23,"&lt;"&amp;'19_Расчет_аналитики'!AA4608,WeightedMinAge23),MAX(CapacityAge23*'01_Вводные'!$B$218*'19_Расчет_аналитики'!AA4608,MeanMinAge23))),0)</f>
        <v/>
      </c>
      <c r="AB4562">
        <f>IF('01_Вводные'!$B$234="Да",IF(OR(('19_Расчет_аналитики'!AB4478-'19_Расчет_аналитики'!AB4506)=0,23&lt;='01_Вводные'!$B$297),0,('19_Расчет_аналитики'!AB4478-'19_Расчет_аналитики'!AB4506)*IF('01_Вводные'!$B$239="Да",MeanMinAge23+'19_Расчет_аналитики'!AB4608*SUMIF(ThresholdAge23,"&lt;"&amp;'19_Расчет_аналитики'!AB4608,WeightedRevAge23)-SUMIF(ThresholdAge23,"&lt;"&amp;'19_Расчет_аналитики'!AB4608,WeightedMinAge23),MAX(CapacityAge23*'01_Вводные'!$B$218*'19_Расчет_аналитики'!AB4608,MeanMinAge23))),0)</f>
        <v/>
      </c>
      <c r="AC4562">
        <f>IF('01_Вводные'!$B$234="Да",IF(OR(('19_Расчет_аналитики'!AC4478-'19_Расчет_аналитики'!AC4506)=0,23&lt;='01_Вводные'!$B$297),0,('19_Расчет_аналитики'!AC4478-'19_Расчет_аналитики'!AC4506)*IF('01_Вводные'!$B$239="Да",MeanMinAge23+'19_Расчет_аналитики'!AC4608*SUMIF(ThresholdAge23,"&lt;"&amp;'19_Расчет_аналитики'!AC4608,WeightedRevAge23)-SUMIF(ThresholdAge23,"&lt;"&amp;'19_Расчет_аналитики'!AC4608,WeightedMinAge23),MAX(CapacityAge23*'01_Вводные'!$B$218*'19_Расчет_аналитики'!AC4608,MeanMinAge23))),0)</f>
        <v/>
      </c>
      <c r="AD4562">
        <f>IF('01_Вводные'!$B$234="Да",IF(OR(('19_Расчет_аналитики'!AD4478-'19_Расчет_аналитики'!AD4506)=0,23&lt;='01_Вводные'!$B$297),0,('19_Расчет_аналитики'!AD4478-'19_Расчет_аналитики'!AD4506)*IF('01_Вводные'!$B$239="Да",MeanMinAge23+'19_Расчет_аналитики'!AD4608*SUMIF(ThresholdAge23,"&lt;"&amp;'19_Расчет_аналитики'!AD4608,WeightedRevAge23)-SUMIF(ThresholdAge23,"&lt;"&amp;'19_Расчет_аналитики'!AD4608,WeightedMinAge23),MAX(CapacityAge23*'01_Вводные'!$B$218*'19_Расчет_аналитики'!AD4608,MeanMinAge23))),0)</f>
        <v/>
      </c>
      <c r="AE4562">
        <f>IF('01_Вводные'!$B$234="Да",IF(OR(('19_Расчет_аналитики'!AE4478-'19_Расчет_аналитики'!AE4506)=0,23&lt;='01_Вводные'!$B$297),0,('19_Расчет_аналитики'!AE4478-'19_Расчет_аналитики'!AE4506)*IF('01_Вводные'!$B$239="Да",MeanMinAge23+'19_Расчет_аналитики'!AE4608*SUMIF(ThresholdAge23,"&lt;"&amp;'19_Расчет_аналитики'!AE4608,WeightedRevAge23)-SUMIF(ThresholdAge23,"&lt;"&amp;'19_Расчет_аналитики'!AE4608,WeightedMinAge23),MAX(CapacityAge23*'01_Вводные'!$B$218*'19_Расчет_аналитики'!AE4608,MeanMinAge23))),0)</f>
        <v/>
      </c>
      <c r="AF4562">
        <f>IF('01_Вводные'!$B$234="Да",IF(OR(('19_Расчет_аналитики'!AF4478-'19_Расчет_аналитики'!AF4506)=0,23&lt;='01_Вводные'!$B$297),0,('19_Расчет_аналитики'!AF4478-'19_Расчет_аналитики'!AF4506)*IF('01_Вводные'!$B$239="Да",MeanMinAge23+'19_Расчет_аналитики'!AF4608*SUMIF(ThresholdAge23,"&lt;"&amp;'19_Расчет_аналитики'!AF4608,WeightedRevAge23)-SUMIF(ThresholdAge23,"&lt;"&amp;'19_Расчет_аналитики'!AF4608,WeightedMinAge23),MAX(CapacityAge23*'01_Вводные'!$B$218*'19_Расчет_аналитики'!AF4608,MeanMinAge23))),0)</f>
        <v/>
      </c>
      <c r="AG4562">
        <f>IF('01_Вводные'!$B$234="Да",IF(OR(('19_Расчет_аналитики'!AG4478-'19_Расчет_аналитики'!AG4506)=0,23&lt;='01_Вводные'!$B$297),0,('19_Расчет_аналитики'!AG4478-'19_Расчет_аналитики'!AG4506)*IF('01_Вводные'!$B$239="Да",MeanMinAge23+'19_Расчет_аналитики'!AG4608*SUMIF(ThresholdAge23,"&lt;"&amp;'19_Расчет_аналитики'!AG4608,WeightedRevAge23)-SUMIF(ThresholdAge23,"&lt;"&amp;'19_Расчет_аналитики'!AG4608,WeightedMinAge23),MAX(CapacityAge23*'01_Вводные'!$B$218*'19_Расчет_аналитики'!AG4608,MeanMinAge23))),0)</f>
        <v/>
      </c>
      <c r="AH4562">
        <f>IF('01_Вводные'!$B$234="Да",IF(OR(('19_Расчет_аналитики'!AH4478-'19_Расчет_аналитики'!AH4506)=0,23&lt;='01_Вводные'!$B$297),0,('19_Расчет_аналитики'!AH4478-'19_Расчет_аналитики'!AH4506)*IF('01_Вводные'!$B$239="Да",MeanMinAge23+'19_Расчет_аналитики'!AH4608*SUMIF(ThresholdAge23,"&lt;"&amp;'19_Расчет_аналитики'!AH4608,WeightedRevAge23)-SUMIF(ThresholdAge23,"&lt;"&amp;'19_Расчет_аналитики'!AH4608,WeightedMinAge23),MAX(CapacityAge23*'01_Вводные'!$B$218*'19_Расчет_аналитики'!AH4608,MeanMinAge23))),0)</f>
        <v/>
      </c>
      <c r="AI4562">
        <f>IF('01_Вводные'!$B$234="Да",IF(OR(('19_Расчет_аналитики'!AI4478-'19_Расчет_аналитики'!AI4506)=0,23&lt;='01_Вводные'!$B$297),0,('19_Расчет_аналитики'!AI4478-'19_Расчет_аналитики'!AI4506)*IF('01_Вводные'!$B$239="Да",MeanMinAge23+'19_Расчет_аналитики'!AI4608*SUMIF(ThresholdAge23,"&lt;"&amp;'19_Расчет_аналитики'!AI4608,WeightedRevAge23)-SUMIF(ThresholdAge23,"&lt;"&amp;'19_Расчет_аналитики'!AI4608,WeightedMinAge23),MAX(CapacityAge23*'01_Вводные'!$B$218*'19_Расчет_аналитики'!AI4608,MeanMinAge23))),0)</f>
        <v/>
      </c>
      <c r="AJ4562">
        <f>IF('01_Вводные'!$B$234="Да",IF(OR(('19_Расчет_аналитики'!AJ4478-'19_Расчет_аналитики'!AJ4506)=0,23&lt;='01_Вводные'!$B$297),0,('19_Расчет_аналитики'!AJ4478-'19_Расчет_аналитики'!AJ4506)*IF('01_Вводные'!$B$239="Да",MeanMinAge23+'19_Расчет_аналитики'!AJ4608*SUMIF(ThresholdAge23,"&lt;"&amp;'19_Расчет_аналитики'!AJ4608,WeightedRevAge23)-SUMIF(ThresholdAge23,"&lt;"&amp;'19_Расчет_аналитики'!AJ4608,WeightedMinAge23),MAX(CapacityAge23*'01_Вводные'!$B$218*'19_Расчет_аналитики'!AJ4608,MeanMinAge23))),0)</f>
        <v/>
      </c>
      <c r="AK4562">
        <f>IF('01_Вводные'!$B$234="Да",IF(OR(('19_Расчет_аналитики'!AK4478-'19_Расчет_аналитики'!AK4506)=0,23&lt;='01_Вводные'!$B$297),0,('19_Расчет_аналитики'!AK4478-'19_Расчет_аналитики'!AK4506)*IF('01_Вводные'!$B$239="Да",MeanMinAge23+'19_Расчет_аналитики'!AK4608*SUMIF(ThresholdAge23,"&lt;"&amp;'19_Расчет_аналитики'!AK4608,WeightedRevAge23)-SUMIF(ThresholdAge23,"&lt;"&amp;'19_Расчет_аналитики'!AK4608,WeightedMinAge23),MAX(CapacityAge23*'01_Вводные'!$B$218*'19_Расчет_аналитики'!AK4608,MeanMinAge23))),0)</f>
        <v/>
      </c>
      <c r="AL4562">
        <f>IF('01_Вводные'!$B$234="Да",IF(OR(('19_Расчет_аналитики'!AL4478-'19_Расчет_аналитики'!AL4506)=0,23&lt;='01_Вводные'!$B$297),0,('19_Расчет_аналитики'!AL4478-'19_Расчет_аналитики'!AL4506)*IF('01_Вводные'!$B$239="Да",MeanMinAge23+'19_Расчет_аналитики'!AL4608*SUMIF(ThresholdAge23,"&lt;"&amp;'19_Расчет_аналитики'!AL4608,WeightedRevAge23)-SUMIF(ThresholdAge23,"&lt;"&amp;'19_Расчет_аналитики'!AL4608,WeightedMinAge23),MAX(CapacityAge23*'01_Вводные'!$B$218*'19_Расчет_аналитики'!AL4608,MeanMinAge23))),0)</f>
        <v/>
      </c>
      <c r="AM4562">
        <f>IF('01_Вводные'!$B$234="Да",IF(OR(('19_Расчет_аналитики'!AM4478-'19_Расчет_аналитики'!AM4506)=0,23&lt;='01_Вводные'!$B$297),0,('19_Расчет_аналитики'!AM4478-'19_Расчет_аналитики'!AM4506)*IF('01_Вводные'!$B$239="Да",MeanMinAge23+'19_Расчет_аналитики'!AM4608*SUMIF(ThresholdAge23,"&lt;"&amp;'19_Расчет_аналитики'!AM4608,WeightedRevAge23)-SUMIF(ThresholdAge23,"&lt;"&amp;'19_Расчет_аналитики'!AM4608,WeightedMinAge23),MAX(CapacityAge23*'01_Вводные'!$B$218*'19_Расчет_аналитики'!AM4608,MeanMinAge23))),0)</f>
        <v/>
      </c>
      <c r="AN4562">
        <f>IF('01_Вводные'!$B$234="Да",IF(OR(('19_Расчет_аналитики'!AN4478-'19_Расчет_аналитики'!AN4506)=0,23&lt;='01_Вводные'!$B$297),0,('19_Расчет_аналитики'!AN4478-'19_Расчет_аналитики'!AN4506)*IF('01_Вводные'!$B$239="Да",MeanMinAge23+'19_Расчет_аналитики'!AN4608*SUMIF(ThresholdAge23,"&lt;"&amp;'19_Расчет_аналитики'!AN4608,WeightedRevAge23)-SUMIF(ThresholdAge23,"&lt;"&amp;'19_Расчет_аналитики'!AN4608,WeightedMinAge23),MAX(CapacityAge23*'01_Вводные'!$B$218*'19_Расчет_аналитики'!AN4608,MeanMinAge23))),0)</f>
        <v/>
      </c>
      <c r="AO4562">
        <f>IF('01_Вводные'!$B$234="Да",IF(OR(('19_Расчет_аналитики'!AO4478-'19_Расчет_аналитики'!AO4506)=0,23&lt;='01_Вводные'!$B$297),0,('19_Расчет_аналитики'!AO4478-'19_Расчет_аналитики'!AO4506)*IF('01_Вводные'!$B$239="Да",MeanMinAge23+'19_Расчет_аналитики'!AO4608*SUMIF(ThresholdAge23,"&lt;"&amp;'19_Расчет_аналитики'!AO4608,WeightedRevAge23)-SUMIF(ThresholdAge23,"&lt;"&amp;'19_Расчет_аналитики'!AO4608,WeightedMinAge23),MAX(CapacityAge23*'01_Вводные'!$B$218*'19_Расчет_аналитики'!AO4608,MeanMinAge23))),0)</f>
        <v/>
      </c>
      <c r="AP4562">
        <f>IF('01_Вводные'!$B$234="Да",IF(OR(('19_Расчет_аналитики'!AP4478-'19_Расчет_аналитики'!AP4506)=0,23&lt;='01_Вводные'!$B$297),0,('19_Расчет_аналитики'!AP4478-'19_Расчет_аналитики'!AP4506)*IF('01_Вводные'!$B$239="Да",MeanMinAge23+'19_Расчет_аналитики'!AP4608*SUMIF(ThresholdAge23,"&lt;"&amp;'19_Расчет_аналитики'!AP4608,WeightedRevAge23)-SUMIF(ThresholdAge23,"&lt;"&amp;'19_Расчет_аналитики'!AP4608,WeightedMinAge23),MAX(CapacityAge23*'01_Вводные'!$B$218*'19_Расчет_аналитики'!AP4608,MeanMinAge23))),0)</f>
        <v/>
      </c>
      <c r="AQ4562">
        <f>IF('01_Вводные'!$B$234="Да",IF(OR(('19_Расчет_аналитики'!AQ4478-'19_Расчет_аналитики'!AQ4506)=0,23&lt;='01_Вводные'!$B$297),0,('19_Расчет_аналитики'!AQ4478-'19_Расчет_аналитики'!AQ4506)*IF('01_Вводные'!$B$239="Да",MeanMinAge23+'19_Расчет_аналитики'!AQ4608*SUMIF(ThresholdAge23,"&lt;"&amp;'19_Расчет_аналитики'!AQ4608,WeightedRevAge23)-SUMIF(ThresholdAge23,"&lt;"&amp;'19_Расчет_аналитики'!AQ4608,WeightedMinAge23),MAX(CapacityAge23*'01_Вводные'!$B$218*'19_Расчет_аналитики'!AQ4608,MeanMinAge23))),0)</f>
        <v/>
      </c>
      <c r="AR4562">
        <f>IF('01_Вводные'!$B$234="Да",IF(OR(('19_Расчет_аналитики'!AR4478-'19_Расчет_аналитики'!AR4506)=0,23&lt;='01_Вводные'!$B$297),0,('19_Расчет_аналитики'!AR4478-'19_Расчет_аналитики'!AR4506)*IF('01_Вводные'!$B$239="Да",MeanMinAge23+'19_Расчет_аналитики'!AR4608*SUMIF(ThresholdAge23,"&lt;"&amp;'19_Расчет_аналитики'!AR4608,WeightedRevAge23)-SUMIF(ThresholdAge23,"&lt;"&amp;'19_Расчет_аналитики'!AR4608,WeightedMinAge23),MAX(CapacityAge23*'01_Вводные'!$B$218*'19_Расчет_аналитики'!AR4608,MeanMinAge23))),0)</f>
        <v/>
      </c>
      <c r="AS4562">
        <f>IF('01_Вводные'!$B$234="Да",IF(OR(('19_Расчет_аналитики'!AS4478-'19_Расчет_аналитики'!AS4506)=0,23&lt;='01_Вводные'!$B$297),0,('19_Расчет_аналитики'!AS4478-'19_Расчет_аналитики'!AS4506)*IF('01_Вводные'!$B$239="Да",MeanMinAge23+'19_Расчет_аналитики'!AS4608*SUMIF(ThresholdAge23,"&lt;"&amp;'19_Расчет_аналитики'!AS4608,WeightedRevAge23)-SUMIF(ThresholdAge23,"&lt;"&amp;'19_Расчет_аналитики'!AS4608,WeightedMinAge23),MAX(CapacityAge23*'01_Вводные'!$B$218*'19_Расчет_аналитики'!AS4608,MeanMinAge23))),0)</f>
        <v/>
      </c>
      <c r="AT4562">
        <f>IF('01_Вводные'!$B$234="Да",IF(OR(('19_Расчет_аналитики'!AT4478-'19_Расчет_аналитики'!AT4506)=0,23&lt;='01_Вводные'!$B$297),0,('19_Расчет_аналитики'!AT4478-'19_Расчет_аналитики'!AT4506)*IF('01_Вводные'!$B$239="Да",MeanMinAge23+'19_Расчет_аналитики'!AT4608*SUMIF(ThresholdAge23,"&lt;"&amp;'19_Расчет_аналитики'!AT4608,WeightedRevAge23)-SUMIF(ThresholdAge23,"&lt;"&amp;'19_Расчет_аналитики'!AT4608,WeightedMinAge23),MAX(CapacityAge23*'01_Вводные'!$B$218*'19_Расчет_аналитики'!AT4608,MeanMinAge23))),0)</f>
        <v/>
      </c>
      <c r="AU4562">
        <f>IF('01_Вводные'!$B$234="Да",IF(OR(('19_Расчет_аналитики'!AU4478-'19_Расчет_аналитики'!AU4506)=0,23&lt;='01_Вводные'!$B$297),0,('19_Расчет_аналитики'!AU4478-'19_Расчет_аналитики'!AU4506)*IF('01_Вводные'!$B$239="Да",MeanMinAge23+'19_Расчет_аналитики'!AU4608*SUMIF(ThresholdAge23,"&lt;"&amp;'19_Расчет_аналитики'!AU4608,WeightedRevAge23)-SUMIF(ThresholdAge23,"&lt;"&amp;'19_Расчет_аналитики'!AU4608,WeightedMinAge23),MAX(CapacityAge23*'01_Вводные'!$B$218*'19_Расчет_аналитики'!AU4608,MeanMinAge23))),0)</f>
        <v/>
      </c>
      <c r="AV4562">
        <f>IF('01_Вводные'!$B$234="Да",IF(OR(('19_Расчет_аналитики'!AV4478-'19_Расчет_аналитики'!AV4506)=0,23&lt;='01_Вводные'!$B$297),0,('19_Расчет_аналитики'!AV4478-'19_Расчет_аналитики'!AV4506)*IF('01_Вводные'!$B$239="Да",MeanMinAge23+'19_Расчет_аналитики'!AV4608*SUMIF(ThresholdAge23,"&lt;"&amp;'19_Расчет_аналитики'!AV4608,WeightedRevAge23)-SUMIF(ThresholdAge23,"&lt;"&amp;'19_Расчет_аналитики'!AV4608,WeightedMinAge23),MAX(CapacityAge23*'01_Вводные'!$B$218*'19_Расчет_аналитики'!AV4608,MeanMinAge23))),0)</f>
        <v/>
      </c>
      <c r="AW4562">
        <f>IF('01_Вводные'!$B$234="Да",IF(OR(('19_Расчет_аналитики'!AW4478-'19_Расчет_аналитики'!AW4506)=0,23&lt;='01_Вводные'!$B$297),0,('19_Расчет_аналитики'!AW4478-'19_Расчет_аналитики'!AW4506)*IF('01_Вводные'!$B$239="Да",MeanMinAge23+'19_Расчет_аналитики'!AW4608*SUMIF(ThresholdAge23,"&lt;"&amp;'19_Расчет_аналитики'!AW4608,WeightedRevAge23)-SUMIF(ThresholdAge23,"&lt;"&amp;'19_Расчет_аналитики'!AW4608,WeightedMinAge23),MAX(CapacityAge23*'01_Вводные'!$B$218*'19_Расчет_аналитики'!AW4608,MeanMinAge23))),0)</f>
        <v/>
      </c>
      <c r="AX4562">
        <f>IF('01_Вводные'!$B$234="Да",IF(OR(('19_Расчет_аналитики'!AX4478-'19_Расчет_аналитики'!AX4506)=0,23&lt;='01_Вводные'!$B$297),0,('19_Расчет_аналитики'!AX4478-'19_Расчет_аналитики'!AX4506)*IF('01_Вводные'!$B$239="Да",MeanMinAge23+'19_Расчет_аналитики'!AX4608*SUMIF(ThresholdAge23,"&lt;"&amp;'19_Расчет_аналитики'!AX4608,WeightedRevAge23)-SUMIF(ThresholdAge23,"&lt;"&amp;'19_Расчет_аналитики'!AX4608,WeightedMinAge23),MAX(CapacityAge23*'01_Вводные'!$B$218*'19_Расчет_аналитики'!AX4608,MeanMinAge23))),0)</f>
        <v/>
      </c>
      <c r="AY4562">
        <f>IF('01_Вводные'!$B$234="Да",IF(OR(('19_Расчет_аналитики'!AY4478-'19_Расчет_аналитики'!AY4506)=0,23&lt;='01_Вводные'!$B$297),0,('19_Расчет_аналитики'!AY4478-'19_Расчет_аналитики'!AY4506)*IF('01_Вводные'!$B$239="Да",MeanMinAge23+'19_Расчет_аналитики'!AY4608*SUMIF(ThresholdAge23,"&lt;"&amp;'19_Расчет_аналитики'!AY4608,WeightedRevAge23)-SUMIF(ThresholdAge23,"&lt;"&amp;'19_Расчет_аналитики'!AY4608,WeightedMinAge23),MAX(CapacityAge23*'01_Вводные'!$B$218*'19_Расчет_аналитики'!AY4608,MeanMinAge23))),0)</f>
        <v/>
      </c>
      <c r="AZ4562">
        <f>IF('01_Вводные'!$B$234="Да",IF(OR(('19_Расчет_аналитики'!AZ4478-'19_Расчет_аналитики'!AZ4506)=0,23&lt;='01_Вводные'!$B$297),0,('19_Расчет_аналитики'!AZ4478-'19_Расчет_аналитики'!AZ4506)*IF('01_Вводные'!$B$239="Да",MeanMinAge23+'19_Расчет_аналитики'!AZ4608*SUMIF(ThresholdAge23,"&lt;"&amp;'19_Расчет_аналитики'!AZ4608,WeightedRevAge23)-SUMIF(ThresholdAge23,"&lt;"&amp;'19_Расчет_аналитики'!AZ4608,WeightedMinAge23),MAX(CapacityAge23*'01_Вводные'!$B$218*'19_Расчет_аналитики'!AZ4608,MeanMinAge23))),0)</f>
        <v/>
      </c>
      <c r="BA4562">
        <f>IF('01_Вводные'!$B$234="Да",IF(OR(('19_Расчет_аналитики'!BA4478-'19_Расчет_аналитики'!BA4506)=0,23&lt;='01_Вводные'!$B$297),0,('19_Расчет_аналитики'!BA4478-'19_Расчет_аналитики'!BA4506)*IF('01_Вводные'!$B$239="Да",MeanMinAge23+'19_Расчет_аналитики'!BA4608*SUMIF(ThresholdAge23,"&lt;"&amp;'19_Расчет_аналитики'!BA4608,WeightedRevAge23)-SUMIF(ThresholdAge23,"&lt;"&amp;'19_Расчет_аналитики'!BA4608,WeightedMinAge23),MAX(CapacityAge23*'01_Вводные'!$B$218*'19_Расчет_аналитики'!BA4608,MeanMinAge23))),0)</f>
        <v/>
      </c>
      <c r="BB4562">
        <f>IF('01_Вводные'!$B$234="Да",IF(OR(('19_Расчет_аналитики'!BB4478-'19_Расчет_аналитики'!BB4506)=0,23&lt;='01_Вводные'!$B$297),0,('19_Расчет_аналитики'!BB4478-'19_Расчет_аналитики'!BB4506)*IF('01_Вводные'!$B$239="Да",MeanMinAge23+'19_Расчет_аналитики'!BB4608*SUMIF(ThresholdAge23,"&lt;"&amp;'19_Расчет_аналитики'!BB4608,WeightedRevAge23)-SUMIF(ThresholdAge23,"&lt;"&amp;'19_Расчет_аналитики'!BB4608,WeightedMinAge23),MAX(CapacityAge23*'01_Вводные'!$B$218*'19_Расчет_аналитики'!BB4608,MeanMinAge23))),0)</f>
        <v/>
      </c>
      <c r="BC4562">
        <f>IF('01_Вводные'!$B$234="Да",IF(OR(('19_Расчет_аналитики'!BC4478-'19_Расчет_аналитики'!BC4506)=0,23&lt;='01_Вводные'!$B$297),0,('19_Расчет_аналитики'!BC4478-'19_Расчет_аналитики'!BC4506)*IF('01_Вводные'!$B$239="Да",MeanMinAge23+'19_Расчет_аналитики'!BC4608*SUMIF(ThresholdAge23,"&lt;"&amp;'19_Расчет_аналитики'!BC4608,WeightedRevAge23)-SUMIF(ThresholdAge23,"&lt;"&amp;'19_Расчет_аналитики'!BC4608,WeightedMinAge23),MAX(CapacityAge23*'01_Вводные'!$B$218*'19_Расчет_аналитики'!BC4608,MeanMinAge23))),0)</f>
        <v/>
      </c>
      <c r="BD4562">
        <f>IF('01_Вводные'!$B$234="Да",IF(OR(('19_Расчет_аналитики'!BD4478-'19_Расчет_аналитики'!BD4506)=0,23&lt;='01_Вводные'!$B$297),0,('19_Расчет_аналитики'!BD4478-'19_Расчет_аналитики'!BD4506)*IF('01_Вводные'!$B$239="Да",MeanMinAge23+'19_Расчет_аналитики'!BD4608*SUMIF(ThresholdAge23,"&lt;"&amp;'19_Расчет_аналитики'!BD4608,WeightedRevAge23)-SUMIF(ThresholdAge23,"&lt;"&amp;'19_Расчет_аналитики'!BD4608,WeightedMinAge23),MAX(CapacityAge23*'01_Вводные'!$B$218*'19_Расчет_аналитики'!BD4608,MeanMinAge23))),0)</f>
        <v/>
      </c>
      <c r="BE4562">
        <f>IF('01_Вводные'!$B$234="Да",IF(OR(('19_Расчет_аналитики'!BE4478-'19_Расчет_аналитики'!BE4506)=0,23&lt;='01_Вводные'!$B$297),0,('19_Расчет_аналитики'!BE4478-'19_Расчет_аналитики'!BE4506)*IF('01_Вводные'!$B$239="Да",MeanMinAge23+'19_Расчет_аналитики'!BE4608*SUMIF(ThresholdAge23,"&lt;"&amp;'19_Расчет_аналитики'!BE4608,WeightedRevAge23)-SUMIF(ThresholdAge23,"&lt;"&amp;'19_Расчет_аналитики'!BE4608,WeightedMinAge23),MAX(CapacityAge23*'01_Вводные'!$B$218*'19_Расчет_аналитики'!BE4608,MeanMinAge23))),0)</f>
        <v/>
      </c>
      <c r="BF4562">
        <f>IF('01_Вводные'!$B$234="Да",IF(OR(('19_Расчет_аналитики'!BF4478-'19_Расчет_аналитики'!BF4506)=0,23&lt;='01_Вводные'!$B$297),0,('19_Расчет_аналитики'!BF4478-'19_Расчет_аналитики'!BF4506)*IF('01_Вводные'!$B$239="Да",MeanMinAge23+'19_Расчет_аналитики'!BF4608*SUMIF(ThresholdAge23,"&lt;"&amp;'19_Расчет_аналитики'!BF4608,WeightedRevAge23)-SUMIF(ThresholdAge23,"&lt;"&amp;'19_Расчет_аналитики'!BF4608,WeightedMinAge23),MAX(CapacityAge23*'01_Вводные'!$B$218*'19_Расчет_аналитики'!BF4608,MeanMinAge23))),0)</f>
        <v/>
      </c>
      <c r="BG4562">
        <f>IF('01_Вводные'!$B$234="Да",IF(OR(('19_Расчет_аналитики'!BG4478-'19_Расчет_аналитики'!BG4506)=0,23&lt;='01_Вводные'!$B$297),0,('19_Расчет_аналитики'!BG4478-'19_Расчет_аналитики'!BG4506)*IF('01_Вводные'!$B$239="Да",MeanMinAge23+'19_Расчет_аналитики'!BG4608*SUMIF(ThresholdAge23,"&lt;"&amp;'19_Расчет_аналитики'!BG4608,WeightedRevAge23)-SUMIF(ThresholdAge23,"&lt;"&amp;'19_Расчет_аналитики'!BG4608,WeightedMinAge23),MAX(CapacityAge23*'01_Вводные'!$B$218*'19_Расчет_аналитики'!BG4608,MeanMinAge23))),0)</f>
        <v/>
      </c>
      <c r="BH4562">
        <f>IF('01_Вводные'!$B$234="Да",IF(OR(('19_Расчет_аналитики'!BH4478-'19_Расчет_аналитики'!BH4506)=0,23&lt;='01_Вводные'!$B$297),0,('19_Расчет_аналитики'!BH4478-'19_Расчет_аналитики'!BH4506)*IF('01_Вводные'!$B$239="Да",MeanMinAge23+'19_Расчет_аналитики'!BH4608*SUMIF(ThresholdAge23,"&lt;"&amp;'19_Расчет_аналитики'!BH4608,WeightedRevAge23)-SUMIF(ThresholdAge23,"&lt;"&amp;'19_Расчет_аналитики'!BH4608,WeightedMinAge23),MAX(CapacityAge23*'01_Вводные'!$B$218*'19_Расчет_аналитики'!BH4608,MeanMinAge23))),0)</f>
        <v/>
      </c>
      <c r="BI4562">
        <f>IF('01_Вводные'!$B$234="Да",IF(OR(('19_Расчет_аналитики'!BI4478-'19_Расчет_аналитики'!BI4506)=0,23&lt;='01_Вводные'!$B$297),0,('19_Расчет_аналитики'!BI4478-'19_Расчет_аналитики'!BI4506)*IF('01_Вводные'!$B$239="Да",MeanMinAge23+'19_Расчет_аналитики'!BI4608*SUMIF(ThresholdAge23,"&lt;"&amp;'19_Расчет_аналитики'!BI4608,WeightedRevAge23)-SUMIF(ThresholdAge23,"&lt;"&amp;'19_Расчет_аналитики'!BI4608,WeightedMinAge23),MAX(CapacityAge23*'01_Вводные'!$B$218*'19_Расчет_аналитики'!BI4608,MeanMinAge23))),0)</f>
        <v/>
      </c>
      <c r="BJ4562">
        <f>IF('01_Вводные'!$B$234="Да",IF(OR(('19_Расчет_аналитики'!BJ4478-'19_Расчет_аналитики'!BJ4506)=0,23&lt;='01_Вводные'!$B$297),0,('19_Расчет_аналитики'!BJ4478-'19_Расчет_аналитики'!BJ4506)*IF('01_Вводные'!$B$239="Да",MeanMinAge23+'19_Расчет_аналитики'!BJ4608*SUMIF(ThresholdAge23,"&lt;"&amp;'19_Расчет_аналитики'!BJ4608,WeightedRevAge23)-SUMIF(ThresholdAge23,"&lt;"&amp;'19_Расчет_аналитики'!BJ4608,WeightedMinAge23),MAX(CapacityAge23*'01_Вводные'!$B$218*'19_Расчет_аналитики'!BJ4608,MeanMinAge23))),0)</f>
        <v/>
      </c>
      <c r="BK4562">
        <f>IF('01_Вводные'!$B$234="Да",IF(OR(('19_Расчет_аналитики'!BK4478-'19_Расчет_аналитики'!BK4506)=0,23&lt;='01_Вводные'!$B$297),0,('19_Расчет_аналитики'!BK4478-'19_Расчет_аналитики'!BK4506)*IF('01_Вводные'!$B$239="Да",MeanMinAge23+'19_Расчет_аналитики'!BK4608*SUMIF(ThresholdAge23,"&lt;"&amp;'19_Расчет_аналитики'!BK4608,WeightedRevAge23)-SUMIF(ThresholdAge23,"&lt;"&amp;'19_Расчет_аналитики'!BK4608,WeightedMinAge23),MAX(CapacityAge23*'01_Вводные'!$B$218*'19_Расчет_аналитики'!BK4608,MeanMinAge23))),0)</f>
        <v/>
      </c>
      <c r="BL4562">
        <f>IF('01_Вводные'!$B$234="Да",IF(OR(('19_Расчет_аналитики'!BL4478-'19_Расчет_аналитики'!BL4506)=0,23&lt;='01_Вводные'!$B$297),0,('19_Расчет_аналитики'!BL4478-'19_Расчет_аналитики'!BL4506)*IF('01_Вводные'!$B$239="Да",MeanMinAge23+'19_Расчет_аналитики'!BL4608*SUMIF(ThresholdAge23,"&lt;"&amp;'19_Расчет_аналитики'!BL4608,WeightedRevAge23)-SUMIF(ThresholdAge23,"&lt;"&amp;'19_Расчет_аналитики'!BL4608,WeightedMinAge23),MAX(CapacityAge23*'01_Вводные'!$B$218*'19_Расчет_аналитики'!BL4608,MeanMinAge23))),0)</f>
        <v/>
      </c>
      <c r="BM4562">
        <f>IF('01_Вводные'!$B$234="Да",IF(OR(('19_Расчет_аналитики'!BM4478-'19_Расчет_аналитики'!BM4506)=0,23&lt;='01_Вводные'!$B$297),0,('19_Расчет_аналитики'!BM4478-'19_Расчет_аналитики'!BM4506)*IF('01_Вводные'!$B$239="Да",MeanMinAge23+'19_Расчет_аналитики'!BM4608*SUMIF(ThresholdAge23,"&lt;"&amp;'19_Расчет_аналитики'!BM4608,WeightedRevAge23)-SUMIF(ThresholdAge23,"&lt;"&amp;'19_Расчет_аналитики'!BM4608,WeightedMinAge23),MAX(CapacityAge23*'01_Вводные'!$B$218*'19_Расчет_аналитики'!BM4608,MeanMinAge23))),0)</f>
        <v/>
      </c>
      <c r="BN4562">
        <f>IF('01_Вводные'!$B$234="Да",IF(OR(('19_Расчет_аналитики'!BN4478-'19_Расчет_аналитики'!BN4506)=0,23&lt;='01_Вводные'!$B$297),0,('19_Расчет_аналитики'!BN4478-'19_Расчет_аналитики'!BN4506)*IF('01_Вводные'!$B$239="Да",MeanMinAge23+'19_Расчет_аналитики'!BN4608*SUMIF(ThresholdAge23,"&lt;"&amp;'19_Расчет_аналитики'!BN4608,WeightedRevAge23)-SUMIF(ThresholdAge23,"&lt;"&amp;'19_Расчет_аналитики'!BN4608,WeightedMinAge23),MAX(CapacityAge23*'01_Вводные'!$B$218*'19_Расчет_аналитики'!BN4608,MeanMinAge23))),0)</f>
        <v/>
      </c>
      <c r="BO4562">
        <f>IF('01_Вводные'!$B$234="Да",IF(OR(('19_Расчет_аналитики'!BO4478-'19_Расчет_аналитики'!BO4506)=0,23&lt;='01_Вводные'!$B$297),0,('19_Расчет_аналитики'!BO4478-'19_Расчет_аналитики'!BO4506)*IF('01_Вводные'!$B$239="Да",MeanMinAge23+'19_Расчет_аналитики'!BO4608*SUMIF(ThresholdAge23,"&lt;"&amp;'19_Расчет_аналитики'!BO4608,WeightedRevAge23)-SUMIF(ThresholdAge23,"&lt;"&amp;'19_Расчет_аналитики'!BO4608,WeightedMinAge23),MAX(CapacityAge23*'01_Вводные'!$B$218*'19_Расчет_аналитики'!BO4608,MeanMinAge23))),0)</f>
        <v/>
      </c>
    </row>
    <row r="4563">
      <c r="B4563">
        <f>IF('01_Вводные'!$B$234="Да",IF(OR(('06_Сеть_и_дети'!B76-'06_Сеть_и_дети'!B104)=0,24&lt;='01_Вводные'!$B$297),0,('06_Сеть_и_дети'!B76-'06_Сеть_и_дети'!B104)*IF('01_Вводные'!$B$239="Да",MeanMinAge24+'19_Расчет_аналитики'!B4608*SUMIF(ThresholdAge24,"&lt;"&amp;'19_Расчет_аналитики'!B4608,WeightedRevAge24)-SUMIF(ThresholdAge24,"&lt;"&amp;'19_Расчет_аналитики'!B4608,WeightedMinAge24),MAX(CapacityAge24*'01_Вводные'!$B$218*'19_Расчет_аналитики'!B4608,MeanMinAge24))),0)</f>
        <v/>
      </c>
      <c r="C4563">
        <f>IF('01_Вводные'!$B$234="Да",IF(OR(('06_Сеть_и_дети'!C76-'06_Сеть_и_дети'!C104)=0,24&lt;='01_Вводные'!$B$297),0,('06_Сеть_и_дети'!C76-'06_Сеть_и_дети'!C104)*IF('01_Вводные'!$B$239="Да",MeanMinAge24+'19_Расчет_аналитики'!C4608*SUMIF(ThresholdAge24,"&lt;"&amp;'19_Расчет_аналитики'!C4608,WeightedRevAge24)-SUMIF(ThresholdAge24,"&lt;"&amp;'19_Расчет_аналитики'!C4608,WeightedMinAge24),MAX(CapacityAge24*'01_Вводные'!$B$218*'19_Расчет_аналитики'!C4608,MeanMinAge24))),0)</f>
        <v/>
      </c>
      <c r="D4563">
        <f>IF('01_Вводные'!$B$234="Да",IF(OR(('06_Сеть_и_дети'!D76-'06_Сеть_и_дети'!D104)=0,24&lt;='01_Вводные'!$B$297),0,('06_Сеть_и_дети'!D76-'06_Сеть_и_дети'!D104)*IF('01_Вводные'!$B$239="Да",MeanMinAge24+'19_Расчет_аналитики'!D4608*SUMIF(ThresholdAge24,"&lt;"&amp;'19_Расчет_аналитики'!D4608,WeightedRevAge24)-SUMIF(ThresholdAge24,"&lt;"&amp;'19_Расчет_аналитики'!D4608,WeightedMinAge24),MAX(CapacityAge24*'01_Вводные'!$B$218*'19_Расчет_аналитики'!D4608,MeanMinAge24))),0)</f>
        <v/>
      </c>
      <c r="E4563">
        <f>IF('01_Вводные'!$B$234="Да",IF(OR(('06_Сеть_и_дети'!E76-'06_Сеть_и_дети'!E104)=0,24&lt;='01_Вводные'!$B$297),0,('06_Сеть_и_дети'!E76-'06_Сеть_и_дети'!E104)*IF('01_Вводные'!$B$239="Да",MeanMinAge24+'19_Расчет_аналитики'!E4608*SUMIF(ThresholdAge24,"&lt;"&amp;'19_Расчет_аналитики'!E4608,WeightedRevAge24)-SUMIF(ThresholdAge24,"&lt;"&amp;'19_Расчет_аналитики'!E4608,WeightedMinAge24),MAX(CapacityAge24*'01_Вводные'!$B$218*'19_Расчет_аналитики'!E4608,MeanMinAge24))),0)</f>
        <v/>
      </c>
      <c r="F4563">
        <f>IF('01_Вводные'!$B$234="Да",IF(OR(('06_Сеть_и_дети'!F76-'06_Сеть_и_дети'!F104)=0,24&lt;='01_Вводные'!$B$297),0,('06_Сеть_и_дети'!F76-'06_Сеть_и_дети'!F104)*IF('01_Вводные'!$B$239="Да",MeanMinAge24+'19_Расчет_аналитики'!F4608*SUMIF(ThresholdAge24,"&lt;"&amp;'19_Расчет_аналитики'!F4608,WeightedRevAge24)-SUMIF(ThresholdAge24,"&lt;"&amp;'19_Расчет_аналитики'!F4608,WeightedMinAge24),MAX(CapacityAge24*'01_Вводные'!$B$218*'19_Расчет_аналитики'!F4608,MeanMinAge24))),0)</f>
        <v/>
      </c>
      <c r="G4563">
        <f>IF('01_Вводные'!$B$234="Да",IF(OR(('06_Сеть_и_дети'!G76-'06_Сеть_и_дети'!G104)=0,24&lt;='01_Вводные'!$B$297),0,('06_Сеть_и_дети'!G76-'06_Сеть_и_дети'!G104)*IF('01_Вводные'!$B$239="Да",MeanMinAge24+'19_Расчет_аналитики'!G4608*SUMIF(ThresholdAge24,"&lt;"&amp;'19_Расчет_аналитики'!G4608,WeightedRevAge24)-SUMIF(ThresholdAge24,"&lt;"&amp;'19_Расчет_аналитики'!G4608,WeightedMinAge24),MAX(CapacityAge24*'01_Вводные'!$B$218*'19_Расчет_аналитики'!G4608,MeanMinAge24))),0)</f>
        <v/>
      </c>
      <c r="H4563">
        <f>IF('01_Вводные'!$B$234="Да",IF(OR(('06_Сеть_и_дети'!H76-'06_Сеть_и_дети'!H104)=0,24&lt;='01_Вводные'!$B$297),0,('06_Сеть_и_дети'!H76-'06_Сеть_и_дети'!H104)*IF('01_Вводные'!$B$239="Да",MeanMinAge24+'19_Расчет_аналитики'!H4608*SUMIF(ThresholdAge24,"&lt;"&amp;'19_Расчет_аналитики'!H4608,WeightedRevAge24)-SUMIF(ThresholdAge24,"&lt;"&amp;'19_Расчет_аналитики'!H4608,WeightedMinAge24),MAX(CapacityAge24*'01_Вводные'!$B$218*'19_Расчет_аналитики'!H4608,MeanMinAge24))),0)</f>
        <v/>
      </c>
      <c r="I4563">
        <f>IF('01_Вводные'!$B$234="Да",IF(OR(('06_Сеть_и_дети'!I76-'06_Сеть_и_дети'!I104)=0,24&lt;='01_Вводные'!$B$297),0,('06_Сеть_и_дети'!I76-'06_Сеть_и_дети'!I104)*IF('01_Вводные'!$B$239="Да",MeanMinAge24+'19_Расчет_аналитики'!I4608*SUMIF(ThresholdAge24,"&lt;"&amp;'19_Расчет_аналитики'!I4608,WeightedRevAge24)-SUMIF(ThresholdAge24,"&lt;"&amp;'19_Расчет_аналитики'!I4608,WeightedMinAge24),MAX(CapacityAge24*'01_Вводные'!$B$218*'19_Расчет_аналитики'!I4608,MeanMinAge24))),0)</f>
        <v/>
      </c>
      <c r="J4563">
        <f>IF('01_Вводные'!$B$234="Да",IF(OR(('06_Сеть_и_дети'!J76-'06_Сеть_и_дети'!J104)=0,24&lt;='01_Вводные'!$B$297),0,('06_Сеть_и_дети'!J76-'06_Сеть_и_дети'!J104)*IF('01_Вводные'!$B$239="Да",MeanMinAge24+'19_Расчет_аналитики'!J4608*SUMIF(ThresholdAge24,"&lt;"&amp;'19_Расчет_аналитики'!J4608,WeightedRevAge24)-SUMIF(ThresholdAge24,"&lt;"&amp;'19_Расчет_аналитики'!J4608,WeightedMinAge24),MAX(CapacityAge24*'01_Вводные'!$B$218*'19_Расчет_аналитики'!J4608,MeanMinAge24))),0)</f>
        <v/>
      </c>
      <c r="K4563">
        <f>IF('01_Вводные'!$B$234="Да",IF(OR(('06_Сеть_и_дети'!K76-'06_Сеть_и_дети'!K104)=0,24&lt;='01_Вводные'!$B$297),0,('06_Сеть_и_дети'!K76-'06_Сеть_и_дети'!K104)*IF('01_Вводные'!$B$239="Да",MeanMinAge24+'19_Расчет_аналитики'!K4608*SUMIF(ThresholdAge24,"&lt;"&amp;'19_Расчет_аналитики'!K4608,WeightedRevAge24)-SUMIF(ThresholdAge24,"&lt;"&amp;'19_Расчет_аналитики'!K4608,WeightedMinAge24),MAX(CapacityAge24*'01_Вводные'!$B$218*'19_Расчет_аналитики'!K4608,MeanMinAge24))),0)</f>
        <v/>
      </c>
      <c r="L4563">
        <f>IF('01_Вводные'!$B$234="Да",IF(OR(('06_Сеть_и_дети'!L76-'06_Сеть_и_дети'!L104)=0,24&lt;='01_Вводные'!$B$297),0,('06_Сеть_и_дети'!L76-'06_Сеть_и_дети'!L104)*IF('01_Вводные'!$B$239="Да",MeanMinAge24+'19_Расчет_аналитики'!L4608*SUMIF(ThresholdAge24,"&lt;"&amp;'19_Расчет_аналитики'!L4608,WeightedRevAge24)-SUMIF(ThresholdAge24,"&lt;"&amp;'19_Расчет_аналитики'!L4608,WeightedMinAge24),MAX(CapacityAge24*'01_Вводные'!$B$218*'19_Расчет_аналитики'!L4608,MeanMinAge24))),0)</f>
        <v/>
      </c>
      <c r="M4563">
        <f>IF('01_Вводные'!$B$234="Да",IF(OR(('06_Сеть_и_дети'!M76-'06_Сеть_и_дети'!M104)=0,24&lt;='01_Вводные'!$B$297),0,('06_Сеть_и_дети'!M76-'06_Сеть_и_дети'!M104)*IF('01_Вводные'!$B$239="Да",MeanMinAge24+'19_Расчет_аналитики'!M4608*SUMIF(ThresholdAge24,"&lt;"&amp;'19_Расчет_аналитики'!M4608,WeightedRevAge24)-SUMIF(ThresholdAge24,"&lt;"&amp;'19_Расчет_аналитики'!M4608,WeightedMinAge24),MAX(CapacityAge24*'01_Вводные'!$B$218*'19_Расчет_аналитики'!M4608,MeanMinAge24))),0)</f>
        <v/>
      </c>
      <c r="N4563">
        <f>IF('01_Вводные'!$B$234="Да",IF(OR(('06_Сеть_и_дети'!N76-'06_Сеть_и_дети'!N104)=0,24&lt;='01_Вводные'!$B$297),0,('06_Сеть_и_дети'!N76-'06_Сеть_и_дети'!N104)*IF('01_Вводные'!$B$239="Да",MeanMinAge24+'19_Расчет_аналитики'!N4608*SUMIF(ThresholdAge24,"&lt;"&amp;'19_Расчет_аналитики'!N4608,WeightedRevAge24)-SUMIF(ThresholdAge24,"&lt;"&amp;'19_Расчет_аналитики'!N4608,WeightedMinAge24),MAX(CapacityAge24*'01_Вводные'!$B$218*'19_Расчет_аналитики'!N4608,MeanMinAge24))),0)</f>
        <v/>
      </c>
      <c r="O4563">
        <f>IF('01_Вводные'!$B$234="Да",IF(OR(('06_Сеть_и_дети'!O76-'06_Сеть_и_дети'!O104)=0,24&lt;='01_Вводные'!$B$297),0,('06_Сеть_и_дети'!O76-'06_Сеть_и_дети'!O104)*IF('01_Вводные'!$B$239="Да",MeanMinAge24+'19_Расчет_аналитики'!O4608*SUMIF(ThresholdAge24,"&lt;"&amp;'19_Расчет_аналитики'!O4608,WeightedRevAge24)-SUMIF(ThresholdAge24,"&lt;"&amp;'19_Расчет_аналитики'!O4608,WeightedMinAge24),MAX(CapacityAge24*'01_Вводные'!$B$218*'19_Расчет_аналитики'!O4608,MeanMinAge24))),0)</f>
        <v/>
      </c>
      <c r="P4563">
        <f>IF('01_Вводные'!$B$234="Да",IF(OR(('06_Сеть_и_дети'!P76-'06_Сеть_и_дети'!P104)=0,24&lt;='01_Вводные'!$B$297),0,('06_Сеть_и_дети'!P76-'06_Сеть_и_дети'!P104)*IF('01_Вводные'!$B$239="Да",MeanMinAge24+'19_Расчет_аналитики'!P4608*SUMIF(ThresholdAge24,"&lt;"&amp;'19_Расчет_аналитики'!P4608,WeightedRevAge24)-SUMIF(ThresholdAge24,"&lt;"&amp;'19_Расчет_аналитики'!P4608,WeightedMinAge24),MAX(CapacityAge24*'01_Вводные'!$B$218*'19_Расчет_аналитики'!P4608,MeanMinAge24))),0)</f>
        <v/>
      </c>
      <c r="Q4563">
        <f>IF('01_Вводные'!$B$234="Да",IF(OR(('06_Сеть_и_дети'!Q76-'06_Сеть_и_дети'!Q104)=0,24&lt;='01_Вводные'!$B$297),0,('06_Сеть_и_дети'!Q76-'06_Сеть_и_дети'!Q104)*IF('01_Вводные'!$B$239="Да",MeanMinAge24+'19_Расчет_аналитики'!Q4608*SUMIF(ThresholdAge24,"&lt;"&amp;'19_Расчет_аналитики'!Q4608,WeightedRevAge24)-SUMIF(ThresholdAge24,"&lt;"&amp;'19_Расчет_аналитики'!Q4608,WeightedMinAge24),MAX(CapacityAge24*'01_Вводные'!$B$218*'19_Расчет_аналитики'!Q4608,MeanMinAge24))),0)</f>
        <v/>
      </c>
      <c r="R4563">
        <f>IF('01_Вводные'!$B$234="Да",IF(OR(('06_Сеть_и_дети'!R76-'06_Сеть_и_дети'!R104)=0,24&lt;='01_Вводные'!$B$297),0,('06_Сеть_и_дети'!R76-'06_Сеть_и_дети'!R104)*IF('01_Вводные'!$B$239="Да",MeanMinAge24+'19_Расчет_аналитики'!R4608*SUMIF(ThresholdAge24,"&lt;"&amp;'19_Расчет_аналитики'!R4608,WeightedRevAge24)-SUMIF(ThresholdAge24,"&lt;"&amp;'19_Расчет_аналитики'!R4608,WeightedMinAge24),MAX(CapacityAge24*'01_Вводные'!$B$218*'19_Расчет_аналитики'!R4608,MeanMinAge24))),0)</f>
        <v/>
      </c>
      <c r="S4563">
        <f>IF('01_Вводные'!$B$234="Да",IF(OR(('06_Сеть_и_дети'!S76-'06_Сеть_и_дети'!S104)=0,24&lt;='01_Вводные'!$B$297),0,('06_Сеть_и_дети'!S76-'06_Сеть_и_дети'!S104)*IF('01_Вводные'!$B$239="Да",MeanMinAge24+'19_Расчет_аналитики'!S4608*SUMIF(ThresholdAge24,"&lt;"&amp;'19_Расчет_аналитики'!S4608,WeightedRevAge24)-SUMIF(ThresholdAge24,"&lt;"&amp;'19_Расчет_аналитики'!S4608,WeightedMinAge24),MAX(CapacityAge24*'01_Вводные'!$B$218*'19_Расчет_аналитики'!S4608,MeanMinAge24))),0)</f>
        <v/>
      </c>
      <c r="T4563">
        <f>IF('01_Вводные'!$B$234="Да",IF(OR(('06_Сеть_и_дети'!T76-'06_Сеть_и_дети'!T104)=0,24&lt;='01_Вводные'!$B$297),0,('06_Сеть_и_дети'!T76-'06_Сеть_и_дети'!T104)*IF('01_Вводные'!$B$239="Да",MeanMinAge24+'19_Расчет_аналитики'!T4608*SUMIF(ThresholdAge24,"&lt;"&amp;'19_Расчет_аналитики'!T4608,WeightedRevAge24)-SUMIF(ThresholdAge24,"&lt;"&amp;'19_Расчет_аналитики'!T4608,WeightedMinAge24),MAX(CapacityAge24*'01_Вводные'!$B$218*'19_Расчет_аналитики'!T4608,MeanMinAge24))),0)</f>
        <v/>
      </c>
      <c r="U4563">
        <f>IF('01_Вводные'!$B$234="Да",IF(OR(('06_Сеть_и_дети'!U76-'06_Сеть_и_дети'!U104)=0,24&lt;='01_Вводные'!$B$297),0,('06_Сеть_и_дети'!U76-'06_Сеть_и_дети'!U104)*IF('01_Вводные'!$B$239="Да",MeanMinAge24+'19_Расчет_аналитики'!U4608*SUMIF(ThresholdAge24,"&lt;"&amp;'19_Расчет_аналитики'!U4608,WeightedRevAge24)-SUMIF(ThresholdAge24,"&lt;"&amp;'19_Расчет_аналитики'!U4608,WeightedMinAge24),MAX(CapacityAge24*'01_Вводные'!$B$218*'19_Расчет_аналитики'!U4608,MeanMinAge24))),0)</f>
        <v/>
      </c>
      <c r="V4563">
        <f>IF('01_Вводные'!$B$234="Да",IF(OR(('06_Сеть_и_дети'!V76-'06_Сеть_и_дети'!V104)=0,24&lt;='01_Вводные'!$B$297),0,('06_Сеть_и_дети'!V76-'06_Сеть_и_дети'!V104)*IF('01_Вводные'!$B$239="Да",MeanMinAge24+'19_Расчет_аналитики'!V4608*SUMIF(ThresholdAge24,"&lt;"&amp;'19_Расчет_аналитики'!V4608,WeightedRevAge24)-SUMIF(ThresholdAge24,"&lt;"&amp;'19_Расчет_аналитики'!V4608,WeightedMinAge24),MAX(CapacityAge24*'01_Вводные'!$B$218*'19_Расчет_аналитики'!V4608,MeanMinAge24))),0)</f>
        <v/>
      </c>
      <c r="W4563">
        <f>IF('01_Вводные'!$B$234="Да",IF(OR(('06_Сеть_и_дети'!W76-'06_Сеть_и_дети'!W104)=0,24&lt;='01_Вводные'!$B$297),0,('06_Сеть_и_дети'!W76-'06_Сеть_и_дети'!W104)*IF('01_Вводные'!$B$239="Да",MeanMinAge24+'19_Расчет_аналитики'!W4608*SUMIF(ThresholdAge24,"&lt;"&amp;'19_Расчет_аналитики'!W4608,WeightedRevAge24)-SUMIF(ThresholdAge24,"&lt;"&amp;'19_Расчет_аналитики'!W4608,WeightedMinAge24),MAX(CapacityAge24*'01_Вводные'!$B$218*'19_Расчет_аналитики'!W4608,MeanMinAge24))),0)</f>
        <v/>
      </c>
      <c r="X4563">
        <f>IF('01_Вводные'!$B$234="Да",IF(OR(('06_Сеть_и_дети'!X76-'06_Сеть_и_дети'!X104)=0,24&lt;='01_Вводные'!$B$297),0,('06_Сеть_и_дети'!X76-'06_Сеть_и_дети'!X104)*IF('01_Вводные'!$B$239="Да",MeanMinAge24+'19_Расчет_аналитики'!X4608*SUMIF(ThresholdAge24,"&lt;"&amp;'19_Расчет_аналитики'!X4608,WeightedRevAge24)-SUMIF(ThresholdAge24,"&lt;"&amp;'19_Расчет_аналитики'!X4608,WeightedMinAge24),MAX(CapacityAge24*'01_Вводные'!$B$218*'19_Расчет_аналитики'!X4608,MeanMinAge24))),0)</f>
        <v/>
      </c>
      <c r="Y4563">
        <f>IF('01_Вводные'!$B$234="Да",IF(OR(('19_Расчет_аналитики'!Y4479-'19_Расчет_аналитики'!Y4507)=0,24&lt;='01_Вводные'!$B$297),0,('19_Расчет_аналитики'!Y4479-'19_Расчет_аналитики'!Y4507)*IF('01_Вводные'!$B$239="Да",MeanMinAge24+'19_Расчет_аналитики'!Y4608*SUMIF(ThresholdAge24,"&lt;"&amp;'19_Расчет_аналитики'!Y4608,WeightedRevAge24)-SUMIF(ThresholdAge24,"&lt;"&amp;'19_Расчет_аналитики'!Y4608,WeightedMinAge24),MAX(CapacityAge24*'01_Вводные'!$B$218*'19_Расчет_аналитики'!Y4608,MeanMinAge24))),0)</f>
        <v/>
      </c>
      <c r="Z4563">
        <f>IF('01_Вводные'!$B$234="Да",IF(OR(('19_Расчет_аналитики'!Z4479-'19_Расчет_аналитики'!Z4507)=0,24&lt;='01_Вводные'!$B$297),0,('19_Расчет_аналитики'!Z4479-'19_Расчет_аналитики'!Z4507)*IF('01_Вводные'!$B$239="Да",MeanMinAge24+'19_Расчет_аналитики'!Z4608*SUMIF(ThresholdAge24,"&lt;"&amp;'19_Расчет_аналитики'!Z4608,WeightedRevAge24)-SUMIF(ThresholdAge24,"&lt;"&amp;'19_Расчет_аналитики'!Z4608,WeightedMinAge24),MAX(CapacityAge24*'01_Вводные'!$B$218*'19_Расчет_аналитики'!Z4608,MeanMinAge24))),0)</f>
        <v/>
      </c>
      <c r="AA4563">
        <f>IF('01_Вводные'!$B$234="Да",IF(OR(('19_Расчет_аналитики'!AA4479-'19_Расчет_аналитики'!AA4507)=0,24&lt;='01_Вводные'!$B$297),0,('19_Расчет_аналитики'!AA4479-'19_Расчет_аналитики'!AA4507)*IF('01_Вводные'!$B$239="Да",MeanMinAge24+'19_Расчет_аналитики'!AA4608*SUMIF(ThresholdAge24,"&lt;"&amp;'19_Расчет_аналитики'!AA4608,WeightedRevAge24)-SUMIF(ThresholdAge24,"&lt;"&amp;'19_Расчет_аналитики'!AA4608,WeightedMinAge24),MAX(CapacityAge24*'01_Вводные'!$B$218*'19_Расчет_аналитики'!AA4608,MeanMinAge24))),0)</f>
        <v/>
      </c>
      <c r="AB4563">
        <f>IF('01_Вводные'!$B$234="Да",IF(OR(('19_Расчет_аналитики'!AB4479-'19_Расчет_аналитики'!AB4507)=0,24&lt;='01_Вводные'!$B$297),0,('19_Расчет_аналитики'!AB4479-'19_Расчет_аналитики'!AB4507)*IF('01_Вводные'!$B$239="Да",MeanMinAge24+'19_Расчет_аналитики'!AB4608*SUMIF(ThresholdAge24,"&lt;"&amp;'19_Расчет_аналитики'!AB4608,WeightedRevAge24)-SUMIF(ThresholdAge24,"&lt;"&amp;'19_Расчет_аналитики'!AB4608,WeightedMinAge24),MAX(CapacityAge24*'01_Вводные'!$B$218*'19_Расчет_аналитики'!AB4608,MeanMinAge24))),0)</f>
        <v/>
      </c>
      <c r="AC4563">
        <f>IF('01_Вводные'!$B$234="Да",IF(OR(('19_Расчет_аналитики'!AC4479-'19_Расчет_аналитики'!AC4507)=0,24&lt;='01_Вводные'!$B$297),0,('19_Расчет_аналитики'!AC4479-'19_Расчет_аналитики'!AC4507)*IF('01_Вводные'!$B$239="Да",MeanMinAge24+'19_Расчет_аналитики'!AC4608*SUMIF(ThresholdAge24,"&lt;"&amp;'19_Расчет_аналитики'!AC4608,WeightedRevAge24)-SUMIF(ThresholdAge24,"&lt;"&amp;'19_Расчет_аналитики'!AC4608,WeightedMinAge24),MAX(CapacityAge24*'01_Вводные'!$B$218*'19_Расчет_аналитики'!AC4608,MeanMinAge24))),0)</f>
        <v/>
      </c>
      <c r="AD4563">
        <f>IF('01_Вводные'!$B$234="Да",IF(OR(('19_Расчет_аналитики'!AD4479-'19_Расчет_аналитики'!AD4507)=0,24&lt;='01_Вводные'!$B$297),0,('19_Расчет_аналитики'!AD4479-'19_Расчет_аналитики'!AD4507)*IF('01_Вводные'!$B$239="Да",MeanMinAge24+'19_Расчет_аналитики'!AD4608*SUMIF(ThresholdAge24,"&lt;"&amp;'19_Расчет_аналитики'!AD4608,WeightedRevAge24)-SUMIF(ThresholdAge24,"&lt;"&amp;'19_Расчет_аналитики'!AD4608,WeightedMinAge24),MAX(CapacityAge24*'01_Вводные'!$B$218*'19_Расчет_аналитики'!AD4608,MeanMinAge24))),0)</f>
        <v/>
      </c>
      <c r="AE4563">
        <f>IF('01_Вводные'!$B$234="Да",IF(OR(('19_Расчет_аналитики'!AE4479-'19_Расчет_аналитики'!AE4507)=0,24&lt;='01_Вводные'!$B$297),0,('19_Расчет_аналитики'!AE4479-'19_Расчет_аналитики'!AE4507)*IF('01_Вводные'!$B$239="Да",MeanMinAge24+'19_Расчет_аналитики'!AE4608*SUMIF(ThresholdAge24,"&lt;"&amp;'19_Расчет_аналитики'!AE4608,WeightedRevAge24)-SUMIF(ThresholdAge24,"&lt;"&amp;'19_Расчет_аналитики'!AE4608,WeightedMinAge24),MAX(CapacityAge24*'01_Вводные'!$B$218*'19_Расчет_аналитики'!AE4608,MeanMinAge24))),0)</f>
        <v/>
      </c>
      <c r="AF4563">
        <f>IF('01_Вводные'!$B$234="Да",IF(OR(('19_Расчет_аналитики'!AF4479-'19_Расчет_аналитики'!AF4507)=0,24&lt;='01_Вводные'!$B$297),0,('19_Расчет_аналитики'!AF4479-'19_Расчет_аналитики'!AF4507)*IF('01_Вводные'!$B$239="Да",MeanMinAge24+'19_Расчет_аналитики'!AF4608*SUMIF(ThresholdAge24,"&lt;"&amp;'19_Расчет_аналитики'!AF4608,WeightedRevAge24)-SUMIF(ThresholdAge24,"&lt;"&amp;'19_Расчет_аналитики'!AF4608,WeightedMinAge24),MAX(CapacityAge24*'01_Вводные'!$B$218*'19_Расчет_аналитики'!AF4608,MeanMinAge24))),0)</f>
        <v/>
      </c>
      <c r="AG4563">
        <f>IF('01_Вводные'!$B$234="Да",IF(OR(('19_Расчет_аналитики'!AG4479-'19_Расчет_аналитики'!AG4507)=0,24&lt;='01_Вводные'!$B$297),0,('19_Расчет_аналитики'!AG4479-'19_Расчет_аналитики'!AG4507)*IF('01_Вводные'!$B$239="Да",MeanMinAge24+'19_Расчет_аналитики'!AG4608*SUMIF(ThresholdAge24,"&lt;"&amp;'19_Расчет_аналитики'!AG4608,WeightedRevAge24)-SUMIF(ThresholdAge24,"&lt;"&amp;'19_Расчет_аналитики'!AG4608,WeightedMinAge24),MAX(CapacityAge24*'01_Вводные'!$B$218*'19_Расчет_аналитики'!AG4608,MeanMinAge24))),0)</f>
        <v/>
      </c>
      <c r="AH4563">
        <f>IF('01_Вводные'!$B$234="Да",IF(OR(('19_Расчет_аналитики'!AH4479-'19_Расчет_аналитики'!AH4507)=0,24&lt;='01_Вводные'!$B$297),0,('19_Расчет_аналитики'!AH4479-'19_Расчет_аналитики'!AH4507)*IF('01_Вводные'!$B$239="Да",MeanMinAge24+'19_Расчет_аналитики'!AH4608*SUMIF(ThresholdAge24,"&lt;"&amp;'19_Расчет_аналитики'!AH4608,WeightedRevAge24)-SUMIF(ThresholdAge24,"&lt;"&amp;'19_Расчет_аналитики'!AH4608,WeightedMinAge24),MAX(CapacityAge24*'01_Вводные'!$B$218*'19_Расчет_аналитики'!AH4608,MeanMinAge24))),0)</f>
        <v/>
      </c>
      <c r="AI4563">
        <f>IF('01_Вводные'!$B$234="Да",IF(OR(('19_Расчет_аналитики'!AI4479-'19_Расчет_аналитики'!AI4507)=0,24&lt;='01_Вводные'!$B$297),0,('19_Расчет_аналитики'!AI4479-'19_Расчет_аналитики'!AI4507)*IF('01_Вводные'!$B$239="Да",MeanMinAge24+'19_Расчет_аналитики'!AI4608*SUMIF(ThresholdAge24,"&lt;"&amp;'19_Расчет_аналитики'!AI4608,WeightedRevAge24)-SUMIF(ThresholdAge24,"&lt;"&amp;'19_Расчет_аналитики'!AI4608,WeightedMinAge24),MAX(CapacityAge24*'01_Вводные'!$B$218*'19_Расчет_аналитики'!AI4608,MeanMinAge24))),0)</f>
        <v/>
      </c>
      <c r="AJ4563">
        <f>IF('01_Вводные'!$B$234="Да",IF(OR(('19_Расчет_аналитики'!AJ4479-'19_Расчет_аналитики'!AJ4507)=0,24&lt;='01_Вводные'!$B$297),0,('19_Расчет_аналитики'!AJ4479-'19_Расчет_аналитики'!AJ4507)*IF('01_Вводные'!$B$239="Да",MeanMinAge24+'19_Расчет_аналитики'!AJ4608*SUMIF(ThresholdAge24,"&lt;"&amp;'19_Расчет_аналитики'!AJ4608,WeightedRevAge24)-SUMIF(ThresholdAge24,"&lt;"&amp;'19_Расчет_аналитики'!AJ4608,WeightedMinAge24),MAX(CapacityAge24*'01_Вводные'!$B$218*'19_Расчет_аналитики'!AJ4608,MeanMinAge24))),0)</f>
        <v/>
      </c>
      <c r="AK4563">
        <f>IF('01_Вводные'!$B$234="Да",IF(OR(('19_Расчет_аналитики'!AK4479-'19_Расчет_аналитики'!AK4507)=0,24&lt;='01_Вводные'!$B$297),0,('19_Расчет_аналитики'!AK4479-'19_Расчет_аналитики'!AK4507)*IF('01_Вводные'!$B$239="Да",MeanMinAge24+'19_Расчет_аналитики'!AK4608*SUMIF(ThresholdAge24,"&lt;"&amp;'19_Расчет_аналитики'!AK4608,WeightedRevAge24)-SUMIF(ThresholdAge24,"&lt;"&amp;'19_Расчет_аналитики'!AK4608,WeightedMinAge24),MAX(CapacityAge24*'01_Вводные'!$B$218*'19_Расчет_аналитики'!AK4608,MeanMinAge24))),0)</f>
        <v/>
      </c>
      <c r="AL4563">
        <f>IF('01_Вводные'!$B$234="Да",IF(OR(('19_Расчет_аналитики'!AL4479-'19_Расчет_аналитики'!AL4507)=0,24&lt;='01_Вводные'!$B$297),0,('19_Расчет_аналитики'!AL4479-'19_Расчет_аналитики'!AL4507)*IF('01_Вводные'!$B$239="Да",MeanMinAge24+'19_Расчет_аналитики'!AL4608*SUMIF(ThresholdAge24,"&lt;"&amp;'19_Расчет_аналитики'!AL4608,WeightedRevAge24)-SUMIF(ThresholdAge24,"&lt;"&amp;'19_Расчет_аналитики'!AL4608,WeightedMinAge24),MAX(CapacityAge24*'01_Вводные'!$B$218*'19_Расчет_аналитики'!AL4608,MeanMinAge24))),0)</f>
        <v/>
      </c>
      <c r="AM4563">
        <f>IF('01_Вводные'!$B$234="Да",IF(OR(('19_Расчет_аналитики'!AM4479-'19_Расчет_аналитики'!AM4507)=0,24&lt;='01_Вводные'!$B$297),0,('19_Расчет_аналитики'!AM4479-'19_Расчет_аналитики'!AM4507)*IF('01_Вводные'!$B$239="Да",MeanMinAge24+'19_Расчет_аналитики'!AM4608*SUMIF(ThresholdAge24,"&lt;"&amp;'19_Расчет_аналитики'!AM4608,WeightedRevAge24)-SUMIF(ThresholdAge24,"&lt;"&amp;'19_Расчет_аналитики'!AM4608,WeightedMinAge24),MAX(CapacityAge24*'01_Вводные'!$B$218*'19_Расчет_аналитики'!AM4608,MeanMinAge24))),0)</f>
        <v/>
      </c>
      <c r="AN4563">
        <f>IF('01_Вводные'!$B$234="Да",IF(OR(('19_Расчет_аналитики'!AN4479-'19_Расчет_аналитики'!AN4507)=0,24&lt;='01_Вводные'!$B$297),0,('19_Расчет_аналитики'!AN4479-'19_Расчет_аналитики'!AN4507)*IF('01_Вводные'!$B$239="Да",MeanMinAge24+'19_Расчет_аналитики'!AN4608*SUMIF(ThresholdAge24,"&lt;"&amp;'19_Расчет_аналитики'!AN4608,WeightedRevAge24)-SUMIF(ThresholdAge24,"&lt;"&amp;'19_Расчет_аналитики'!AN4608,WeightedMinAge24),MAX(CapacityAge24*'01_Вводные'!$B$218*'19_Расчет_аналитики'!AN4608,MeanMinAge24))),0)</f>
        <v/>
      </c>
      <c r="AO4563">
        <f>IF('01_Вводные'!$B$234="Да",IF(OR(('19_Расчет_аналитики'!AO4479-'19_Расчет_аналитики'!AO4507)=0,24&lt;='01_Вводные'!$B$297),0,('19_Расчет_аналитики'!AO4479-'19_Расчет_аналитики'!AO4507)*IF('01_Вводные'!$B$239="Да",MeanMinAge24+'19_Расчет_аналитики'!AO4608*SUMIF(ThresholdAge24,"&lt;"&amp;'19_Расчет_аналитики'!AO4608,WeightedRevAge24)-SUMIF(ThresholdAge24,"&lt;"&amp;'19_Расчет_аналитики'!AO4608,WeightedMinAge24),MAX(CapacityAge24*'01_Вводные'!$B$218*'19_Расчет_аналитики'!AO4608,MeanMinAge24))),0)</f>
        <v/>
      </c>
      <c r="AP4563">
        <f>IF('01_Вводные'!$B$234="Да",IF(OR(('19_Расчет_аналитики'!AP4479-'19_Расчет_аналитики'!AP4507)=0,24&lt;='01_Вводные'!$B$297),0,('19_Расчет_аналитики'!AP4479-'19_Расчет_аналитики'!AP4507)*IF('01_Вводные'!$B$239="Да",MeanMinAge24+'19_Расчет_аналитики'!AP4608*SUMIF(ThresholdAge24,"&lt;"&amp;'19_Расчет_аналитики'!AP4608,WeightedRevAge24)-SUMIF(ThresholdAge24,"&lt;"&amp;'19_Расчет_аналитики'!AP4608,WeightedMinAge24),MAX(CapacityAge24*'01_Вводные'!$B$218*'19_Расчет_аналитики'!AP4608,MeanMinAge24))),0)</f>
        <v/>
      </c>
      <c r="AQ4563">
        <f>IF('01_Вводные'!$B$234="Да",IF(OR(('19_Расчет_аналитики'!AQ4479-'19_Расчет_аналитики'!AQ4507)=0,24&lt;='01_Вводные'!$B$297),0,('19_Расчет_аналитики'!AQ4479-'19_Расчет_аналитики'!AQ4507)*IF('01_Вводные'!$B$239="Да",MeanMinAge24+'19_Расчет_аналитики'!AQ4608*SUMIF(ThresholdAge24,"&lt;"&amp;'19_Расчет_аналитики'!AQ4608,WeightedRevAge24)-SUMIF(ThresholdAge24,"&lt;"&amp;'19_Расчет_аналитики'!AQ4608,WeightedMinAge24),MAX(CapacityAge24*'01_Вводные'!$B$218*'19_Расчет_аналитики'!AQ4608,MeanMinAge24))),0)</f>
        <v/>
      </c>
      <c r="AR4563">
        <f>IF('01_Вводные'!$B$234="Да",IF(OR(('19_Расчет_аналитики'!AR4479-'19_Расчет_аналитики'!AR4507)=0,24&lt;='01_Вводные'!$B$297),0,('19_Расчет_аналитики'!AR4479-'19_Расчет_аналитики'!AR4507)*IF('01_Вводные'!$B$239="Да",MeanMinAge24+'19_Расчет_аналитики'!AR4608*SUMIF(ThresholdAge24,"&lt;"&amp;'19_Расчет_аналитики'!AR4608,WeightedRevAge24)-SUMIF(ThresholdAge24,"&lt;"&amp;'19_Расчет_аналитики'!AR4608,WeightedMinAge24),MAX(CapacityAge24*'01_Вводные'!$B$218*'19_Расчет_аналитики'!AR4608,MeanMinAge24))),0)</f>
        <v/>
      </c>
      <c r="AS4563">
        <f>IF('01_Вводные'!$B$234="Да",IF(OR(('19_Расчет_аналитики'!AS4479-'19_Расчет_аналитики'!AS4507)=0,24&lt;='01_Вводные'!$B$297),0,('19_Расчет_аналитики'!AS4479-'19_Расчет_аналитики'!AS4507)*IF('01_Вводные'!$B$239="Да",MeanMinAge24+'19_Расчет_аналитики'!AS4608*SUMIF(ThresholdAge24,"&lt;"&amp;'19_Расчет_аналитики'!AS4608,WeightedRevAge24)-SUMIF(ThresholdAge24,"&lt;"&amp;'19_Расчет_аналитики'!AS4608,WeightedMinAge24),MAX(CapacityAge24*'01_Вводные'!$B$218*'19_Расчет_аналитики'!AS4608,MeanMinAge24))),0)</f>
        <v/>
      </c>
      <c r="AT4563">
        <f>IF('01_Вводные'!$B$234="Да",IF(OR(('19_Расчет_аналитики'!AT4479-'19_Расчет_аналитики'!AT4507)=0,24&lt;='01_Вводные'!$B$297),0,('19_Расчет_аналитики'!AT4479-'19_Расчет_аналитики'!AT4507)*IF('01_Вводные'!$B$239="Да",MeanMinAge24+'19_Расчет_аналитики'!AT4608*SUMIF(ThresholdAge24,"&lt;"&amp;'19_Расчет_аналитики'!AT4608,WeightedRevAge24)-SUMIF(ThresholdAge24,"&lt;"&amp;'19_Расчет_аналитики'!AT4608,WeightedMinAge24),MAX(CapacityAge24*'01_Вводные'!$B$218*'19_Расчет_аналитики'!AT4608,MeanMinAge24))),0)</f>
        <v/>
      </c>
      <c r="AU4563">
        <f>IF('01_Вводные'!$B$234="Да",IF(OR(('19_Расчет_аналитики'!AU4479-'19_Расчет_аналитики'!AU4507)=0,24&lt;='01_Вводные'!$B$297),0,('19_Расчет_аналитики'!AU4479-'19_Расчет_аналитики'!AU4507)*IF('01_Вводные'!$B$239="Да",MeanMinAge24+'19_Расчет_аналитики'!AU4608*SUMIF(ThresholdAge24,"&lt;"&amp;'19_Расчет_аналитики'!AU4608,WeightedRevAge24)-SUMIF(ThresholdAge24,"&lt;"&amp;'19_Расчет_аналитики'!AU4608,WeightedMinAge24),MAX(CapacityAge24*'01_Вводные'!$B$218*'19_Расчет_аналитики'!AU4608,MeanMinAge24))),0)</f>
        <v/>
      </c>
      <c r="AV4563">
        <f>IF('01_Вводные'!$B$234="Да",IF(OR(('19_Расчет_аналитики'!AV4479-'19_Расчет_аналитики'!AV4507)=0,24&lt;='01_Вводные'!$B$297),0,('19_Расчет_аналитики'!AV4479-'19_Расчет_аналитики'!AV4507)*IF('01_Вводные'!$B$239="Да",MeanMinAge24+'19_Расчет_аналитики'!AV4608*SUMIF(ThresholdAge24,"&lt;"&amp;'19_Расчет_аналитики'!AV4608,WeightedRevAge24)-SUMIF(ThresholdAge24,"&lt;"&amp;'19_Расчет_аналитики'!AV4608,WeightedMinAge24),MAX(CapacityAge24*'01_Вводные'!$B$218*'19_Расчет_аналитики'!AV4608,MeanMinAge24))),0)</f>
        <v/>
      </c>
      <c r="AW4563">
        <f>IF('01_Вводные'!$B$234="Да",IF(OR(('19_Расчет_аналитики'!AW4479-'19_Расчет_аналитики'!AW4507)=0,24&lt;='01_Вводные'!$B$297),0,('19_Расчет_аналитики'!AW4479-'19_Расчет_аналитики'!AW4507)*IF('01_Вводные'!$B$239="Да",MeanMinAge24+'19_Расчет_аналитики'!AW4608*SUMIF(ThresholdAge24,"&lt;"&amp;'19_Расчет_аналитики'!AW4608,WeightedRevAge24)-SUMIF(ThresholdAge24,"&lt;"&amp;'19_Расчет_аналитики'!AW4608,WeightedMinAge24),MAX(CapacityAge24*'01_Вводные'!$B$218*'19_Расчет_аналитики'!AW4608,MeanMinAge24))),0)</f>
        <v/>
      </c>
      <c r="AX4563">
        <f>IF('01_Вводные'!$B$234="Да",IF(OR(('19_Расчет_аналитики'!AX4479-'19_Расчет_аналитики'!AX4507)=0,24&lt;='01_Вводные'!$B$297),0,('19_Расчет_аналитики'!AX4479-'19_Расчет_аналитики'!AX4507)*IF('01_Вводные'!$B$239="Да",MeanMinAge24+'19_Расчет_аналитики'!AX4608*SUMIF(ThresholdAge24,"&lt;"&amp;'19_Расчет_аналитики'!AX4608,WeightedRevAge24)-SUMIF(ThresholdAge24,"&lt;"&amp;'19_Расчет_аналитики'!AX4608,WeightedMinAge24),MAX(CapacityAge24*'01_Вводные'!$B$218*'19_Расчет_аналитики'!AX4608,MeanMinAge24))),0)</f>
        <v/>
      </c>
      <c r="AY4563">
        <f>IF('01_Вводные'!$B$234="Да",IF(OR(('19_Расчет_аналитики'!AY4479-'19_Расчет_аналитики'!AY4507)=0,24&lt;='01_Вводные'!$B$297),0,('19_Расчет_аналитики'!AY4479-'19_Расчет_аналитики'!AY4507)*IF('01_Вводные'!$B$239="Да",MeanMinAge24+'19_Расчет_аналитики'!AY4608*SUMIF(ThresholdAge24,"&lt;"&amp;'19_Расчет_аналитики'!AY4608,WeightedRevAge24)-SUMIF(ThresholdAge24,"&lt;"&amp;'19_Расчет_аналитики'!AY4608,WeightedMinAge24),MAX(CapacityAge24*'01_Вводные'!$B$218*'19_Расчет_аналитики'!AY4608,MeanMinAge24))),0)</f>
        <v/>
      </c>
      <c r="AZ4563">
        <f>IF('01_Вводные'!$B$234="Да",IF(OR(('19_Расчет_аналитики'!AZ4479-'19_Расчет_аналитики'!AZ4507)=0,24&lt;='01_Вводные'!$B$297),0,('19_Расчет_аналитики'!AZ4479-'19_Расчет_аналитики'!AZ4507)*IF('01_Вводные'!$B$239="Да",MeanMinAge24+'19_Расчет_аналитики'!AZ4608*SUMIF(ThresholdAge24,"&lt;"&amp;'19_Расчет_аналитики'!AZ4608,WeightedRevAge24)-SUMIF(ThresholdAge24,"&lt;"&amp;'19_Расчет_аналитики'!AZ4608,WeightedMinAge24),MAX(CapacityAge24*'01_Вводные'!$B$218*'19_Расчет_аналитики'!AZ4608,MeanMinAge24))),0)</f>
        <v/>
      </c>
      <c r="BA4563">
        <f>IF('01_Вводные'!$B$234="Да",IF(OR(('19_Расчет_аналитики'!BA4479-'19_Расчет_аналитики'!BA4507)=0,24&lt;='01_Вводные'!$B$297),0,('19_Расчет_аналитики'!BA4479-'19_Расчет_аналитики'!BA4507)*IF('01_Вводные'!$B$239="Да",MeanMinAge24+'19_Расчет_аналитики'!BA4608*SUMIF(ThresholdAge24,"&lt;"&amp;'19_Расчет_аналитики'!BA4608,WeightedRevAge24)-SUMIF(ThresholdAge24,"&lt;"&amp;'19_Расчет_аналитики'!BA4608,WeightedMinAge24),MAX(CapacityAge24*'01_Вводные'!$B$218*'19_Расчет_аналитики'!BA4608,MeanMinAge24))),0)</f>
        <v/>
      </c>
      <c r="BB4563">
        <f>IF('01_Вводные'!$B$234="Да",IF(OR(('19_Расчет_аналитики'!BB4479-'19_Расчет_аналитики'!BB4507)=0,24&lt;='01_Вводные'!$B$297),0,('19_Расчет_аналитики'!BB4479-'19_Расчет_аналитики'!BB4507)*IF('01_Вводные'!$B$239="Да",MeanMinAge24+'19_Расчет_аналитики'!BB4608*SUMIF(ThresholdAge24,"&lt;"&amp;'19_Расчет_аналитики'!BB4608,WeightedRevAge24)-SUMIF(ThresholdAge24,"&lt;"&amp;'19_Расчет_аналитики'!BB4608,WeightedMinAge24),MAX(CapacityAge24*'01_Вводные'!$B$218*'19_Расчет_аналитики'!BB4608,MeanMinAge24))),0)</f>
        <v/>
      </c>
      <c r="BC4563">
        <f>IF('01_Вводные'!$B$234="Да",IF(OR(('19_Расчет_аналитики'!BC4479-'19_Расчет_аналитики'!BC4507)=0,24&lt;='01_Вводные'!$B$297),0,('19_Расчет_аналитики'!BC4479-'19_Расчет_аналитики'!BC4507)*IF('01_Вводные'!$B$239="Да",MeanMinAge24+'19_Расчет_аналитики'!BC4608*SUMIF(ThresholdAge24,"&lt;"&amp;'19_Расчет_аналитики'!BC4608,WeightedRevAge24)-SUMIF(ThresholdAge24,"&lt;"&amp;'19_Расчет_аналитики'!BC4608,WeightedMinAge24),MAX(CapacityAge24*'01_Вводные'!$B$218*'19_Расчет_аналитики'!BC4608,MeanMinAge24))),0)</f>
        <v/>
      </c>
      <c r="BD4563">
        <f>IF('01_Вводные'!$B$234="Да",IF(OR(('19_Расчет_аналитики'!BD4479-'19_Расчет_аналитики'!BD4507)=0,24&lt;='01_Вводные'!$B$297),0,('19_Расчет_аналитики'!BD4479-'19_Расчет_аналитики'!BD4507)*IF('01_Вводные'!$B$239="Да",MeanMinAge24+'19_Расчет_аналитики'!BD4608*SUMIF(ThresholdAge24,"&lt;"&amp;'19_Расчет_аналитики'!BD4608,WeightedRevAge24)-SUMIF(ThresholdAge24,"&lt;"&amp;'19_Расчет_аналитики'!BD4608,WeightedMinAge24),MAX(CapacityAge24*'01_Вводные'!$B$218*'19_Расчет_аналитики'!BD4608,MeanMinAge24))),0)</f>
        <v/>
      </c>
      <c r="BE4563">
        <f>IF('01_Вводные'!$B$234="Да",IF(OR(('19_Расчет_аналитики'!BE4479-'19_Расчет_аналитики'!BE4507)=0,24&lt;='01_Вводные'!$B$297),0,('19_Расчет_аналитики'!BE4479-'19_Расчет_аналитики'!BE4507)*IF('01_Вводные'!$B$239="Да",MeanMinAge24+'19_Расчет_аналитики'!BE4608*SUMIF(ThresholdAge24,"&lt;"&amp;'19_Расчет_аналитики'!BE4608,WeightedRevAge24)-SUMIF(ThresholdAge24,"&lt;"&amp;'19_Расчет_аналитики'!BE4608,WeightedMinAge24),MAX(CapacityAge24*'01_Вводные'!$B$218*'19_Расчет_аналитики'!BE4608,MeanMinAge24))),0)</f>
        <v/>
      </c>
      <c r="BF4563">
        <f>IF('01_Вводные'!$B$234="Да",IF(OR(('19_Расчет_аналитики'!BF4479-'19_Расчет_аналитики'!BF4507)=0,24&lt;='01_Вводные'!$B$297),0,('19_Расчет_аналитики'!BF4479-'19_Расчет_аналитики'!BF4507)*IF('01_Вводные'!$B$239="Да",MeanMinAge24+'19_Расчет_аналитики'!BF4608*SUMIF(ThresholdAge24,"&lt;"&amp;'19_Расчет_аналитики'!BF4608,WeightedRevAge24)-SUMIF(ThresholdAge24,"&lt;"&amp;'19_Расчет_аналитики'!BF4608,WeightedMinAge24),MAX(CapacityAge24*'01_Вводные'!$B$218*'19_Расчет_аналитики'!BF4608,MeanMinAge24))),0)</f>
        <v/>
      </c>
      <c r="BG4563">
        <f>IF('01_Вводные'!$B$234="Да",IF(OR(('19_Расчет_аналитики'!BG4479-'19_Расчет_аналитики'!BG4507)=0,24&lt;='01_Вводные'!$B$297),0,('19_Расчет_аналитики'!BG4479-'19_Расчет_аналитики'!BG4507)*IF('01_Вводные'!$B$239="Да",MeanMinAge24+'19_Расчет_аналитики'!BG4608*SUMIF(ThresholdAge24,"&lt;"&amp;'19_Расчет_аналитики'!BG4608,WeightedRevAge24)-SUMIF(ThresholdAge24,"&lt;"&amp;'19_Расчет_аналитики'!BG4608,WeightedMinAge24),MAX(CapacityAge24*'01_Вводные'!$B$218*'19_Расчет_аналитики'!BG4608,MeanMinAge24))),0)</f>
        <v/>
      </c>
      <c r="BH4563">
        <f>IF('01_Вводные'!$B$234="Да",IF(OR(('19_Расчет_аналитики'!BH4479-'19_Расчет_аналитики'!BH4507)=0,24&lt;='01_Вводные'!$B$297),0,('19_Расчет_аналитики'!BH4479-'19_Расчет_аналитики'!BH4507)*IF('01_Вводные'!$B$239="Да",MeanMinAge24+'19_Расчет_аналитики'!BH4608*SUMIF(ThresholdAge24,"&lt;"&amp;'19_Расчет_аналитики'!BH4608,WeightedRevAge24)-SUMIF(ThresholdAge24,"&lt;"&amp;'19_Расчет_аналитики'!BH4608,WeightedMinAge24),MAX(CapacityAge24*'01_Вводные'!$B$218*'19_Расчет_аналитики'!BH4608,MeanMinAge24))),0)</f>
        <v/>
      </c>
      <c r="BI4563">
        <f>IF('01_Вводные'!$B$234="Да",IF(OR(('19_Расчет_аналитики'!BI4479-'19_Расчет_аналитики'!BI4507)=0,24&lt;='01_Вводные'!$B$297),0,('19_Расчет_аналитики'!BI4479-'19_Расчет_аналитики'!BI4507)*IF('01_Вводные'!$B$239="Да",MeanMinAge24+'19_Расчет_аналитики'!BI4608*SUMIF(ThresholdAge24,"&lt;"&amp;'19_Расчет_аналитики'!BI4608,WeightedRevAge24)-SUMIF(ThresholdAge24,"&lt;"&amp;'19_Расчет_аналитики'!BI4608,WeightedMinAge24),MAX(CapacityAge24*'01_Вводные'!$B$218*'19_Расчет_аналитики'!BI4608,MeanMinAge24))),0)</f>
        <v/>
      </c>
      <c r="BJ4563">
        <f>IF('01_Вводные'!$B$234="Да",IF(OR(('19_Расчет_аналитики'!BJ4479-'19_Расчет_аналитики'!BJ4507)=0,24&lt;='01_Вводные'!$B$297),0,('19_Расчет_аналитики'!BJ4479-'19_Расчет_аналитики'!BJ4507)*IF('01_Вводные'!$B$239="Да",MeanMinAge24+'19_Расчет_аналитики'!BJ4608*SUMIF(ThresholdAge24,"&lt;"&amp;'19_Расчет_аналитики'!BJ4608,WeightedRevAge24)-SUMIF(ThresholdAge24,"&lt;"&amp;'19_Расчет_аналитики'!BJ4608,WeightedMinAge24),MAX(CapacityAge24*'01_Вводные'!$B$218*'19_Расчет_аналитики'!BJ4608,MeanMinAge24))),0)</f>
        <v/>
      </c>
      <c r="BK4563">
        <f>IF('01_Вводные'!$B$234="Да",IF(OR(('19_Расчет_аналитики'!BK4479-'19_Расчет_аналитики'!BK4507)=0,24&lt;='01_Вводные'!$B$297),0,('19_Расчет_аналитики'!BK4479-'19_Расчет_аналитики'!BK4507)*IF('01_Вводные'!$B$239="Да",MeanMinAge24+'19_Расчет_аналитики'!BK4608*SUMIF(ThresholdAge24,"&lt;"&amp;'19_Расчет_аналитики'!BK4608,WeightedRevAge24)-SUMIF(ThresholdAge24,"&lt;"&amp;'19_Расчет_аналитики'!BK4608,WeightedMinAge24),MAX(CapacityAge24*'01_Вводные'!$B$218*'19_Расчет_аналитики'!BK4608,MeanMinAge24))),0)</f>
        <v/>
      </c>
      <c r="BL4563">
        <f>IF('01_Вводные'!$B$234="Да",IF(OR(('19_Расчет_аналитики'!BL4479-'19_Расчет_аналитики'!BL4507)=0,24&lt;='01_Вводные'!$B$297),0,('19_Расчет_аналитики'!BL4479-'19_Расчет_аналитики'!BL4507)*IF('01_Вводные'!$B$239="Да",MeanMinAge24+'19_Расчет_аналитики'!BL4608*SUMIF(ThresholdAge24,"&lt;"&amp;'19_Расчет_аналитики'!BL4608,WeightedRevAge24)-SUMIF(ThresholdAge24,"&lt;"&amp;'19_Расчет_аналитики'!BL4608,WeightedMinAge24),MAX(CapacityAge24*'01_Вводные'!$B$218*'19_Расчет_аналитики'!BL4608,MeanMinAge24))),0)</f>
        <v/>
      </c>
      <c r="BM4563">
        <f>IF('01_Вводные'!$B$234="Да",IF(OR(('19_Расчет_аналитики'!BM4479-'19_Расчет_аналитики'!BM4507)=0,24&lt;='01_Вводные'!$B$297),0,('19_Расчет_аналитики'!BM4479-'19_Расчет_аналитики'!BM4507)*IF('01_Вводные'!$B$239="Да",MeanMinAge24+'19_Расчет_аналитики'!BM4608*SUMIF(ThresholdAge24,"&lt;"&amp;'19_Расчет_аналитики'!BM4608,WeightedRevAge24)-SUMIF(ThresholdAge24,"&lt;"&amp;'19_Расчет_аналитики'!BM4608,WeightedMinAge24),MAX(CapacityAge24*'01_Вводные'!$B$218*'19_Расчет_аналитики'!BM4608,MeanMinAge24))),0)</f>
        <v/>
      </c>
      <c r="BN4563">
        <f>IF('01_Вводные'!$B$234="Да",IF(OR(('19_Расчет_аналитики'!BN4479-'19_Расчет_аналитики'!BN4507)=0,24&lt;='01_Вводные'!$B$297),0,('19_Расчет_аналитики'!BN4479-'19_Расчет_аналитики'!BN4507)*IF('01_Вводные'!$B$239="Да",MeanMinAge24+'19_Расчет_аналитики'!BN4608*SUMIF(ThresholdAge24,"&lt;"&amp;'19_Расчет_аналитики'!BN4608,WeightedRevAge24)-SUMIF(ThresholdAge24,"&lt;"&amp;'19_Расчет_аналитики'!BN4608,WeightedMinAge24),MAX(CapacityAge24*'01_Вводные'!$B$218*'19_Расчет_аналитики'!BN4608,MeanMinAge24))),0)</f>
        <v/>
      </c>
      <c r="BO4563">
        <f>IF('01_Вводные'!$B$234="Да",IF(OR(('19_Расчет_аналитики'!BO4479-'19_Расчет_аналитики'!BO4507)=0,24&lt;='01_Вводные'!$B$297),0,('19_Расчет_аналитики'!BO4479-'19_Расчет_аналитики'!BO4507)*IF('01_Вводные'!$B$239="Да",MeanMinAge24+'19_Расчет_аналитики'!BO4608*SUMIF(ThresholdAge24,"&lt;"&amp;'19_Расчет_аналитики'!BO4608,WeightedRevAge24)-SUMIF(ThresholdAge24,"&lt;"&amp;'19_Расчет_аналитики'!BO4608,WeightedMinAge24),MAX(CapacityAge24*'01_Вводные'!$B$218*'19_Расчет_аналитики'!BO4608,MeanMinAge24))),0)</f>
        <v/>
      </c>
    </row>
    <row r="4564">
      <c r="B4564">
        <f>IF('01_Вводные'!$B$234="Да",IF(OR(('06_Сеть_и_дети'!B77-'06_Сеть_и_дети'!B105)=0,25&lt;='01_Вводные'!$B$297),0,('06_Сеть_и_дети'!B77-'06_Сеть_и_дети'!B105)*IF('01_Вводные'!$B$239="Да",MeanMinAge25+'19_Расчет_аналитики'!B4608*SUMIF(ThresholdAge25,"&lt;"&amp;'19_Расчет_аналитики'!B4608,WeightedRevAge25)-SUMIF(ThresholdAge25,"&lt;"&amp;'19_Расчет_аналитики'!B4608,WeightedMinAge25),MAX(CapacityAge25*'01_Вводные'!$B$218*'19_Расчет_аналитики'!B4608,MeanMinAge25))),0)</f>
        <v/>
      </c>
      <c r="C4564">
        <f>IF('01_Вводные'!$B$234="Да",IF(OR(('06_Сеть_и_дети'!C77-'06_Сеть_и_дети'!C105)=0,25&lt;='01_Вводные'!$B$297),0,('06_Сеть_и_дети'!C77-'06_Сеть_и_дети'!C105)*IF('01_Вводные'!$B$239="Да",MeanMinAge25+'19_Расчет_аналитики'!C4608*SUMIF(ThresholdAge25,"&lt;"&amp;'19_Расчет_аналитики'!C4608,WeightedRevAge25)-SUMIF(ThresholdAge25,"&lt;"&amp;'19_Расчет_аналитики'!C4608,WeightedMinAge25),MAX(CapacityAge25*'01_Вводные'!$B$218*'19_Расчет_аналитики'!C4608,MeanMinAge25))),0)</f>
        <v/>
      </c>
      <c r="D4564">
        <f>IF('01_Вводные'!$B$234="Да",IF(OR(('06_Сеть_и_дети'!D77-'06_Сеть_и_дети'!D105)=0,25&lt;='01_Вводные'!$B$297),0,('06_Сеть_и_дети'!D77-'06_Сеть_и_дети'!D105)*IF('01_Вводные'!$B$239="Да",MeanMinAge25+'19_Расчет_аналитики'!D4608*SUMIF(ThresholdAge25,"&lt;"&amp;'19_Расчет_аналитики'!D4608,WeightedRevAge25)-SUMIF(ThresholdAge25,"&lt;"&amp;'19_Расчет_аналитики'!D4608,WeightedMinAge25),MAX(CapacityAge25*'01_Вводные'!$B$218*'19_Расчет_аналитики'!D4608,MeanMinAge25))),0)</f>
        <v/>
      </c>
      <c r="E4564">
        <f>IF('01_Вводные'!$B$234="Да",IF(OR(('06_Сеть_и_дети'!E77-'06_Сеть_и_дети'!E105)=0,25&lt;='01_Вводные'!$B$297),0,('06_Сеть_и_дети'!E77-'06_Сеть_и_дети'!E105)*IF('01_Вводные'!$B$239="Да",MeanMinAge25+'19_Расчет_аналитики'!E4608*SUMIF(ThresholdAge25,"&lt;"&amp;'19_Расчет_аналитики'!E4608,WeightedRevAge25)-SUMIF(ThresholdAge25,"&lt;"&amp;'19_Расчет_аналитики'!E4608,WeightedMinAge25),MAX(CapacityAge25*'01_Вводные'!$B$218*'19_Расчет_аналитики'!E4608,MeanMinAge25))),0)</f>
        <v/>
      </c>
      <c r="F4564">
        <f>IF('01_Вводные'!$B$234="Да",IF(OR(('06_Сеть_и_дети'!F77-'06_Сеть_и_дети'!F105)=0,25&lt;='01_Вводные'!$B$297),0,('06_Сеть_и_дети'!F77-'06_Сеть_и_дети'!F105)*IF('01_Вводные'!$B$239="Да",MeanMinAge25+'19_Расчет_аналитики'!F4608*SUMIF(ThresholdAge25,"&lt;"&amp;'19_Расчет_аналитики'!F4608,WeightedRevAge25)-SUMIF(ThresholdAge25,"&lt;"&amp;'19_Расчет_аналитики'!F4608,WeightedMinAge25),MAX(CapacityAge25*'01_Вводные'!$B$218*'19_Расчет_аналитики'!F4608,MeanMinAge25))),0)</f>
        <v/>
      </c>
      <c r="G4564">
        <f>IF('01_Вводные'!$B$234="Да",IF(OR(('06_Сеть_и_дети'!G77-'06_Сеть_и_дети'!G105)=0,25&lt;='01_Вводные'!$B$297),0,('06_Сеть_и_дети'!G77-'06_Сеть_и_дети'!G105)*IF('01_Вводные'!$B$239="Да",MeanMinAge25+'19_Расчет_аналитики'!G4608*SUMIF(ThresholdAge25,"&lt;"&amp;'19_Расчет_аналитики'!G4608,WeightedRevAge25)-SUMIF(ThresholdAge25,"&lt;"&amp;'19_Расчет_аналитики'!G4608,WeightedMinAge25),MAX(CapacityAge25*'01_Вводные'!$B$218*'19_Расчет_аналитики'!G4608,MeanMinAge25))),0)</f>
        <v/>
      </c>
      <c r="H4564">
        <f>IF('01_Вводные'!$B$234="Да",IF(OR(('06_Сеть_и_дети'!H77-'06_Сеть_и_дети'!H105)=0,25&lt;='01_Вводные'!$B$297),0,('06_Сеть_и_дети'!H77-'06_Сеть_и_дети'!H105)*IF('01_Вводные'!$B$239="Да",MeanMinAge25+'19_Расчет_аналитики'!H4608*SUMIF(ThresholdAge25,"&lt;"&amp;'19_Расчет_аналитики'!H4608,WeightedRevAge25)-SUMIF(ThresholdAge25,"&lt;"&amp;'19_Расчет_аналитики'!H4608,WeightedMinAge25),MAX(CapacityAge25*'01_Вводные'!$B$218*'19_Расчет_аналитики'!H4608,MeanMinAge25))),0)</f>
        <v/>
      </c>
      <c r="I4564">
        <f>IF('01_Вводные'!$B$234="Да",IF(OR(('06_Сеть_и_дети'!I77-'06_Сеть_и_дети'!I105)=0,25&lt;='01_Вводные'!$B$297),0,('06_Сеть_и_дети'!I77-'06_Сеть_и_дети'!I105)*IF('01_Вводные'!$B$239="Да",MeanMinAge25+'19_Расчет_аналитики'!I4608*SUMIF(ThresholdAge25,"&lt;"&amp;'19_Расчет_аналитики'!I4608,WeightedRevAge25)-SUMIF(ThresholdAge25,"&lt;"&amp;'19_Расчет_аналитики'!I4608,WeightedMinAge25),MAX(CapacityAge25*'01_Вводные'!$B$218*'19_Расчет_аналитики'!I4608,MeanMinAge25))),0)</f>
        <v/>
      </c>
      <c r="J4564">
        <f>IF('01_Вводные'!$B$234="Да",IF(OR(('06_Сеть_и_дети'!J77-'06_Сеть_и_дети'!J105)=0,25&lt;='01_Вводные'!$B$297),0,('06_Сеть_и_дети'!J77-'06_Сеть_и_дети'!J105)*IF('01_Вводные'!$B$239="Да",MeanMinAge25+'19_Расчет_аналитики'!J4608*SUMIF(ThresholdAge25,"&lt;"&amp;'19_Расчет_аналитики'!J4608,WeightedRevAge25)-SUMIF(ThresholdAge25,"&lt;"&amp;'19_Расчет_аналитики'!J4608,WeightedMinAge25),MAX(CapacityAge25*'01_Вводные'!$B$218*'19_Расчет_аналитики'!J4608,MeanMinAge25))),0)</f>
        <v/>
      </c>
      <c r="K4564">
        <f>IF('01_Вводные'!$B$234="Да",IF(OR(('06_Сеть_и_дети'!K77-'06_Сеть_и_дети'!K105)=0,25&lt;='01_Вводные'!$B$297),0,('06_Сеть_и_дети'!K77-'06_Сеть_и_дети'!K105)*IF('01_Вводные'!$B$239="Да",MeanMinAge25+'19_Расчет_аналитики'!K4608*SUMIF(ThresholdAge25,"&lt;"&amp;'19_Расчет_аналитики'!K4608,WeightedRevAge25)-SUMIF(ThresholdAge25,"&lt;"&amp;'19_Расчет_аналитики'!K4608,WeightedMinAge25),MAX(CapacityAge25*'01_Вводные'!$B$218*'19_Расчет_аналитики'!K4608,MeanMinAge25))),0)</f>
        <v/>
      </c>
      <c r="L4564">
        <f>IF('01_Вводные'!$B$234="Да",IF(OR(('06_Сеть_и_дети'!L77-'06_Сеть_и_дети'!L105)=0,25&lt;='01_Вводные'!$B$297),0,('06_Сеть_и_дети'!L77-'06_Сеть_и_дети'!L105)*IF('01_Вводные'!$B$239="Да",MeanMinAge25+'19_Расчет_аналитики'!L4608*SUMIF(ThresholdAge25,"&lt;"&amp;'19_Расчет_аналитики'!L4608,WeightedRevAge25)-SUMIF(ThresholdAge25,"&lt;"&amp;'19_Расчет_аналитики'!L4608,WeightedMinAge25),MAX(CapacityAge25*'01_Вводные'!$B$218*'19_Расчет_аналитики'!L4608,MeanMinAge25))),0)</f>
        <v/>
      </c>
      <c r="M4564">
        <f>IF('01_Вводные'!$B$234="Да",IF(OR(('06_Сеть_и_дети'!M77-'06_Сеть_и_дети'!M105)=0,25&lt;='01_Вводные'!$B$297),0,('06_Сеть_и_дети'!M77-'06_Сеть_и_дети'!M105)*IF('01_Вводные'!$B$239="Да",MeanMinAge25+'19_Расчет_аналитики'!M4608*SUMIF(ThresholdAge25,"&lt;"&amp;'19_Расчет_аналитики'!M4608,WeightedRevAge25)-SUMIF(ThresholdAge25,"&lt;"&amp;'19_Расчет_аналитики'!M4608,WeightedMinAge25),MAX(CapacityAge25*'01_Вводные'!$B$218*'19_Расчет_аналитики'!M4608,MeanMinAge25))),0)</f>
        <v/>
      </c>
      <c r="N4564">
        <f>IF('01_Вводные'!$B$234="Да",IF(OR(('06_Сеть_и_дети'!N77-'06_Сеть_и_дети'!N105)=0,25&lt;='01_Вводные'!$B$297),0,('06_Сеть_и_дети'!N77-'06_Сеть_и_дети'!N105)*IF('01_Вводные'!$B$239="Да",MeanMinAge25+'19_Расчет_аналитики'!N4608*SUMIF(ThresholdAge25,"&lt;"&amp;'19_Расчет_аналитики'!N4608,WeightedRevAge25)-SUMIF(ThresholdAge25,"&lt;"&amp;'19_Расчет_аналитики'!N4608,WeightedMinAge25),MAX(CapacityAge25*'01_Вводные'!$B$218*'19_Расчет_аналитики'!N4608,MeanMinAge25))),0)</f>
        <v/>
      </c>
      <c r="O4564">
        <f>IF('01_Вводные'!$B$234="Да",IF(OR(('06_Сеть_и_дети'!O77-'06_Сеть_и_дети'!O105)=0,25&lt;='01_Вводные'!$B$297),0,('06_Сеть_и_дети'!O77-'06_Сеть_и_дети'!O105)*IF('01_Вводные'!$B$239="Да",MeanMinAge25+'19_Расчет_аналитики'!O4608*SUMIF(ThresholdAge25,"&lt;"&amp;'19_Расчет_аналитики'!O4608,WeightedRevAge25)-SUMIF(ThresholdAge25,"&lt;"&amp;'19_Расчет_аналитики'!O4608,WeightedMinAge25),MAX(CapacityAge25*'01_Вводные'!$B$218*'19_Расчет_аналитики'!O4608,MeanMinAge25))),0)</f>
        <v/>
      </c>
      <c r="P4564">
        <f>IF('01_Вводные'!$B$234="Да",IF(OR(('06_Сеть_и_дети'!P77-'06_Сеть_и_дети'!P105)=0,25&lt;='01_Вводные'!$B$297),0,('06_Сеть_и_дети'!P77-'06_Сеть_и_дети'!P105)*IF('01_Вводные'!$B$239="Да",MeanMinAge25+'19_Расчет_аналитики'!P4608*SUMIF(ThresholdAge25,"&lt;"&amp;'19_Расчет_аналитики'!P4608,WeightedRevAge25)-SUMIF(ThresholdAge25,"&lt;"&amp;'19_Расчет_аналитики'!P4608,WeightedMinAge25),MAX(CapacityAge25*'01_Вводные'!$B$218*'19_Расчет_аналитики'!P4608,MeanMinAge25))),0)</f>
        <v/>
      </c>
      <c r="Q4564">
        <f>IF('01_Вводные'!$B$234="Да",IF(OR(('06_Сеть_и_дети'!Q77-'06_Сеть_и_дети'!Q105)=0,25&lt;='01_Вводные'!$B$297),0,('06_Сеть_и_дети'!Q77-'06_Сеть_и_дети'!Q105)*IF('01_Вводные'!$B$239="Да",MeanMinAge25+'19_Расчет_аналитики'!Q4608*SUMIF(ThresholdAge25,"&lt;"&amp;'19_Расчет_аналитики'!Q4608,WeightedRevAge25)-SUMIF(ThresholdAge25,"&lt;"&amp;'19_Расчет_аналитики'!Q4608,WeightedMinAge25),MAX(CapacityAge25*'01_Вводные'!$B$218*'19_Расчет_аналитики'!Q4608,MeanMinAge25))),0)</f>
        <v/>
      </c>
      <c r="R4564">
        <f>IF('01_Вводные'!$B$234="Да",IF(OR(('06_Сеть_и_дети'!R77-'06_Сеть_и_дети'!R105)=0,25&lt;='01_Вводные'!$B$297),0,('06_Сеть_и_дети'!R77-'06_Сеть_и_дети'!R105)*IF('01_Вводные'!$B$239="Да",MeanMinAge25+'19_Расчет_аналитики'!R4608*SUMIF(ThresholdAge25,"&lt;"&amp;'19_Расчет_аналитики'!R4608,WeightedRevAge25)-SUMIF(ThresholdAge25,"&lt;"&amp;'19_Расчет_аналитики'!R4608,WeightedMinAge25),MAX(CapacityAge25*'01_Вводные'!$B$218*'19_Расчет_аналитики'!R4608,MeanMinAge25))),0)</f>
        <v/>
      </c>
      <c r="S4564">
        <f>IF('01_Вводные'!$B$234="Да",IF(OR(('06_Сеть_и_дети'!S77-'06_Сеть_и_дети'!S105)=0,25&lt;='01_Вводные'!$B$297),0,('06_Сеть_и_дети'!S77-'06_Сеть_и_дети'!S105)*IF('01_Вводные'!$B$239="Да",MeanMinAge25+'19_Расчет_аналитики'!S4608*SUMIF(ThresholdAge25,"&lt;"&amp;'19_Расчет_аналитики'!S4608,WeightedRevAge25)-SUMIF(ThresholdAge25,"&lt;"&amp;'19_Расчет_аналитики'!S4608,WeightedMinAge25),MAX(CapacityAge25*'01_Вводные'!$B$218*'19_Расчет_аналитики'!S4608,MeanMinAge25))),0)</f>
        <v/>
      </c>
      <c r="T4564">
        <f>IF('01_Вводные'!$B$234="Да",IF(OR(('06_Сеть_и_дети'!T77-'06_Сеть_и_дети'!T105)=0,25&lt;='01_Вводные'!$B$297),0,('06_Сеть_и_дети'!T77-'06_Сеть_и_дети'!T105)*IF('01_Вводные'!$B$239="Да",MeanMinAge25+'19_Расчет_аналитики'!T4608*SUMIF(ThresholdAge25,"&lt;"&amp;'19_Расчет_аналитики'!T4608,WeightedRevAge25)-SUMIF(ThresholdAge25,"&lt;"&amp;'19_Расчет_аналитики'!T4608,WeightedMinAge25),MAX(CapacityAge25*'01_Вводные'!$B$218*'19_Расчет_аналитики'!T4608,MeanMinAge25))),0)</f>
        <v/>
      </c>
      <c r="U4564">
        <f>IF('01_Вводные'!$B$234="Да",IF(OR(('06_Сеть_и_дети'!U77-'06_Сеть_и_дети'!U105)=0,25&lt;='01_Вводные'!$B$297),0,('06_Сеть_и_дети'!U77-'06_Сеть_и_дети'!U105)*IF('01_Вводные'!$B$239="Да",MeanMinAge25+'19_Расчет_аналитики'!U4608*SUMIF(ThresholdAge25,"&lt;"&amp;'19_Расчет_аналитики'!U4608,WeightedRevAge25)-SUMIF(ThresholdAge25,"&lt;"&amp;'19_Расчет_аналитики'!U4608,WeightedMinAge25),MAX(CapacityAge25*'01_Вводные'!$B$218*'19_Расчет_аналитики'!U4608,MeanMinAge25))),0)</f>
        <v/>
      </c>
      <c r="V4564">
        <f>IF('01_Вводные'!$B$234="Да",IF(OR(('06_Сеть_и_дети'!V77-'06_Сеть_и_дети'!V105)=0,25&lt;='01_Вводные'!$B$297),0,('06_Сеть_и_дети'!V77-'06_Сеть_и_дети'!V105)*IF('01_Вводные'!$B$239="Да",MeanMinAge25+'19_Расчет_аналитики'!V4608*SUMIF(ThresholdAge25,"&lt;"&amp;'19_Расчет_аналитики'!V4608,WeightedRevAge25)-SUMIF(ThresholdAge25,"&lt;"&amp;'19_Расчет_аналитики'!V4608,WeightedMinAge25),MAX(CapacityAge25*'01_Вводные'!$B$218*'19_Расчет_аналитики'!V4608,MeanMinAge25))),0)</f>
        <v/>
      </c>
      <c r="W4564">
        <f>IF('01_Вводные'!$B$234="Да",IF(OR(('06_Сеть_и_дети'!W77-'06_Сеть_и_дети'!W105)=0,25&lt;='01_Вводные'!$B$297),0,('06_Сеть_и_дети'!W77-'06_Сеть_и_дети'!W105)*IF('01_Вводные'!$B$239="Да",MeanMinAge25+'19_Расчет_аналитики'!W4608*SUMIF(ThresholdAge25,"&lt;"&amp;'19_Расчет_аналитики'!W4608,WeightedRevAge25)-SUMIF(ThresholdAge25,"&lt;"&amp;'19_Расчет_аналитики'!W4608,WeightedMinAge25),MAX(CapacityAge25*'01_Вводные'!$B$218*'19_Расчет_аналитики'!W4608,MeanMinAge25))),0)</f>
        <v/>
      </c>
      <c r="X4564">
        <f>IF('01_Вводные'!$B$234="Да",IF(OR(('06_Сеть_и_дети'!X77-'06_Сеть_и_дети'!X105)=0,25&lt;='01_Вводные'!$B$297),0,('06_Сеть_и_дети'!X77-'06_Сеть_и_дети'!X105)*IF('01_Вводные'!$B$239="Да",MeanMinAge25+'19_Расчет_аналитики'!X4608*SUMIF(ThresholdAge25,"&lt;"&amp;'19_Расчет_аналитики'!X4608,WeightedRevAge25)-SUMIF(ThresholdAge25,"&lt;"&amp;'19_Расчет_аналитики'!X4608,WeightedMinAge25),MAX(CapacityAge25*'01_Вводные'!$B$218*'19_Расчет_аналитики'!X4608,MeanMinAge25))),0)</f>
        <v/>
      </c>
      <c r="Y4564">
        <f>IF('01_Вводные'!$B$234="Да",IF(OR(('06_Сеть_и_дети'!Y77-'06_Сеть_и_дети'!Y105)=0,25&lt;='01_Вводные'!$B$297),0,('06_Сеть_и_дети'!Y77-'06_Сеть_и_дети'!Y105)*IF('01_Вводные'!$B$239="Да",MeanMinAge25+'19_Расчет_аналитики'!Y4608*SUMIF(ThresholdAge25,"&lt;"&amp;'19_Расчет_аналитики'!Y4608,WeightedRevAge25)-SUMIF(ThresholdAge25,"&lt;"&amp;'19_Расчет_аналитики'!Y4608,WeightedMinAge25),MAX(CapacityAge25*'01_Вводные'!$B$218*'19_Расчет_аналитики'!Y4608,MeanMinAge25))),0)</f>
        <v/>
      </c>
      <c r="Z4564">
        <f>IF('01_Вводные'!$B$234="Да",IF(OR(('19_Расчет_аналитики'!Z4480-'19_Расчет_аналитики'!Z4508)=0,25&lt;='01_Вводные'!$B$297),0,('19_Расчет_аналитики'!Z4480-'19_Расчет_аналитики'!Z4508)*IF('01_Вводные'!$B$239="Да",MeanMinAge25+'19_Расчет_аналитики'!Z4608*SUMIF(ThresholdAge25,"&lt;"&amp;'19_Расчет_аналитики'!Z4608,WeightedRevAge25)-SUMIF(ThresholdAge25,"&lt;"&amp;'19_Расчет_аналитики'!Z4608,WeightedMinAge25),MAX(CapacityAge25*'01_Вводные'!$B$218*'19_Расчет_аналитики'!Z4608,MeanMinAge25))),0)</f>
        <v/>
      </c>
      <c r="AA4564">
        <f>IF('01_Вводные'!$B$234="Да",IF(OR(('19_Расчет_аналитики'!AA4480-'19_Расчет_аналитики'!AA4508)=0,25&lt;='01_Вводные'!$B$297),0,('19_Расчет_аналитики'!AA4480-'19_Расчет_аналитики'!AA4508)*IF('01_Вводные'!$B$239="Да",MeanMinAge25+'19_Расчет_аналитики'!AA4608*SUMIF(ThresholdAge25,"&lt;"&amp;'19_Расчет_аналитики'!AA4608,WeightedRevAge25)-SUMIF(ThresholdAge25,"&lt;"&amp;'19_Расчет_аналитики'!AA4608,WeightedMinAge25),MAX(CapacityAge25*'01_Вводные'!$B$218*'19_Расчет_аналитики'!AA4608,MeanMinAge25))),0)</f>
        <v/>
      </c>
      <c r="AB4564">
        <f>IF('01_Вводные'!$B$234="Да",IF(OR(('19_Расчет_аналитики'!AB4480-'19_Расчет_аналитики'!AB4508)=0,25&lt;='01_Вводные'!$B$297),0,('19_Расчет_аналитики'!AB4480-'19_Расчет_аналитики'!AB4508)*IF('01_Вводные'!$B$239="Да",MeanMinAge25+'19_Расчет_аналитики'!AB4608*SUMIF(ThresholdAge25,"&lt;"&amp;'19_Расчет_аналитики'!AB4608,WeightedRevAge25)-SUMIF(ThresholdAge25,"&lt;"&amp;'19_Расчет_аналитики'!AB4608,WeightedMinAge25),MAX(CapacityAge25*'01_Вводные'!$B$218*'19_Расчет_аналитики'!AB4608,MeanMinAge25))),0)</f>
        <v/>
      </c>
      <c r="AC4564">
        <f>IF('01_Вводные'!$B$234="Да",IF(OR(('19_Расчет_аналитики'!AC4480-'19_Расчет_аналитики'!AC4508)=0,25&lt;='01_Вводные'!$B$297),0,('19_Расчет_аналитики'!AC4480-'19_Расчет_аналитики'!AC4508)*IF('01_Вводные'!$B$239="Да",MeanMinAge25+'19_Расчет_аналитики'!AC4608*SUMIF(ThresholdAge25,"&lt;"&amp;'19_Расчет_аналитики'!AC4608,WeightedRevAge25)-SUMIF(ThresholdAge25,"&lt;"&amp;'19_Расчет_аналитики'!AC4608,WeightedMinAge25),MAX(CapacityAge25*'01_Вводные'!$B$218*'19_Расчет_аналитики'!AC4608,MeanMinAge25))),0)</f>
        <v/>
      </c>
      <c r="AD4564">
        <f>IF('01_Вводные'!$B$234="Да",IF(OR(('19_Расчет_аналитики'!AD4480-'19_Расчет_аналитики'!AD4508)=0,25&lt;='01_Вводные'!$B$297),0,('19_Расчет_аналитики'!AD4480-'19_Расчет_аналитики'!AD4508)*IF('01_Вводные'!$B$239="Да",MeanMinAge25+'19_Расчет_аналитики'!AD4608*SUMIF(ThresholdAge25,"&lt;"&amp;'19_Расчет_аналитики'!AD4608,WeightedRevAge25)-SUMIF(ThresholdAge25,"&lt;"&amp;'19_Расчет_аналитики'!AD4608,WeightedMinAge25),MAX(CapacityAge25*'01_Вводные'!$B$218*'19_Расчет_аналитики'!AD4608,MeanMinAge25))),0)</f>
        <v/>
      </c>
      <c r="AE4564">
        <f>IF('01_Вводные'!$B$234="Да",IF(OR(('19_Расчет_аналитики'!AE4480-'19_Расчет_аналитики'!AE4508)=0,25&lt;='01_Вводные'!$B$297),0,('19_Расчет_аналитики'!AE4480-'19_Расчет_аналитики'!AE4508)*IF('01_Вводные'!$B$239="Да",MeanMinAge25+'19_Расчет_аналитики'!AE4608*SUMIF(ThresholdAge25,"&lt;"&amp;'19_Расчет_аналитики'!AE4608,WeightedRevAge25)-SUMIF(ThresholdAge25,"&lt;"&amp;'19_Расчет_аналитики'!AE4608,WeightedMinAge25),MAX(CapacityAge25*'01_Вводные'!$B$218*'19_Расчет_аналитики'!AE4608,MeanMinAge25))),0)</f>
        <v/>
      </c>
      <c r="AF4564">
        <f>IF('01_Вводные'!$B$234="Да",IF(OR(('19_Расчет_аналитики'!AF4480-'19_Расчет_аналитики'!AF4508)=0,25&lt;='01_Вводные'!$B$297),0,('19_Расчет_аналитики'!AF4480-'19_Расчет_аналитики'!AF4508)*IF('01_Вводные'!$B$239="Да",MeanMinAge25+'19_Расчет_аналитики'!AF4608*SUMIF(ThresholdAge25,"&lt;"&amp;'19_Расчет_аналитики'!AF4608,WeightedRevAge25)-SUMIF(ThresholdAge25,"&lt;"&amp;'19_Расчет_аналитики'!AF4608,WeightedMinAge25),MAX(CapacityAge25*'01_Вводные'!$B$218*'19_Расчет_аналитики'!AF4608,MeanMinAge25))),0)</f>
        <v/>
      </c>
      <c r="AG4564">
        <f>IF('01_Вводные'!$B$234="Да",IF(OR(('19_Расчет_аналитики'!AG4480-'19_Расчет_аналитики'!AG4508)=0,25&lt;='01_Вводные'!$B$297),0,('19_Расчет_аналитики'!AG4480-'19_Расчет_аналитики'!AG4508)*IF('01_Вводные'!$B$239="Да",MeanMinAge25+'19_Расчет_аналитики'!AG4608*SUMIF(ThresholdAge25,"&lt;"&amp;'19_Расчет_аналитики'!AG4608,WeightedRevAge25)-SUMIF(ThresholdAge25,"&lt;"&amp;'19_Расчет_аналитики'!AG4608,WeightedMinAge25),MAX(CapacityAge25*'01_Вводные'!$B$218*'19_Расчет_аналитики'!AG4608,MeanMinAge25))),0)</f>
        <v/>
      </c>
      <c r="AH4564">
        <f>IF('01_Вводные'!$B$234="Да",IF(OR(('19_Расчет_аналитики'!AH4480-'19_Расчет_аналитики'!AH4508)=0,25&lt;='01_Вводные'!$B$297),0,('19_Расчет_аналитики'!AH4480-'19_Расчет_аналитики'!AH4508)*IF('01_Вводные'!$B$239="Да",MeanMinAge25+'19_Расчет_аналитики'!AH4608*SUMIF(ThresholdAge25,"&lt;"&amp;'19_Расчет_аналитики'!AH4608,WeightedRevAge25)-SUMIF(ThresholdAge25,"&lt;"&amp;'19_Расчет_аналитики'!AH4608,WeightedMinAge25),MAX(CapacityAge25*'01_Вводные'!$B$218*'19_Расчет_аналитики'!AH4608,MeanMinAge25))),0)</f>
        <v/>
      </c>
      <c r="AI4564">
        <f>IF('01_Вводные'!$B$234="Да",IF(OR(('19_Расчет_аналитики'!AI4480-'19_Расчет_аналитики'!AI4508)=0,25&lt;='01_Вводные'!$B$297),0,('19_Расчет_аналитики'!AI4480-'19_Расчет_аналитики'!AI4508)*IF('01_Вводные'!$B$239="Да",MeanMinAge25+'19_Расчет_аналитики'!AI4608*SUMIF(ThresholdAge25,"&lt;"&amp;'19_Расчет_аналитики'!AI4608,WeightedRevAge25)-SUMIF(ThresholdAge25,"&lt;"&amp;'19_Расчет_аналитики'!AI4608,WeightedMinAge25),MAX(CapacityAge25*'01_Вводные'!$B$218*'19_Расчет_аналитики'!AI4608,MeanMinAge25))),0)</f>
        <v/>
      </c>
      <c r="AJ4564">
        <f>IF('01_Вводные'!$B$234="Да",IF(OR(('19_Расчет_аналитики'!AJ4480-'19_Расчет_аналитики'!AJ4508)=0,25&lt;='01_Вводные'!$B$297),0,('19_Расчет_аналитики'!AJ4480-'19_Расчет_аналитики'!AJ4508)*IF('01_Вводные'!$B$239="Да",MeanMinAge25+'19_Расчет_аналитики'!AJ4608*SUMIF(ThresholdAge25,"&lt;"&amp;'19_Расчет_аналитики'!AJ4608,WeightedRevAge25)-SUMIF(ThresholdAge25,"&lt;"&amp;'19_Расчет_аналитики'!AJ4608,WeightedMinAge25),MAX(CapacityAge25*'01_Вводные'!$B$218*'19_Расчет_аналитики'!AJ4608,MeanMinAge25))),0)</f>
        <v/>
      </c>
      <c r="AK4564">
        <f>IF('01_Вводные'!$B$234="Да",IF(OR(('19_Расчет_аналитики'!AK4480-'19_Расчет_аналитики'!AK4508)=0,25&lt;='01_Вводные'!$B$297),0,('19_Расчет_аналитики'!AK4480-'19_Расчет_аналитики'!AK4508)*IF('01_Вводные'!$B$239="Да",MeanMinAge25+'19_Расчет_аналитики'!AK4608*SUMIF(ThresholdAge25,"&lt;"&amp;'19_Расчет_аналитики'!AK4608,WeightedRevAge25)-SUMIF(ThresholdAge25,"&lt;"&amp;'19_Расчет_аналитики'!AK4608,WeightedMinAge25),MAX(CapacityAge25*'01_Вводные'!$B$218*'19_Расчет_аналитики'!AK4608,MeanMinAge25))),0)</f>
        <v/>
      </c>
      <c r="AL4564">
        <f>IF('01_Вводные'!$B$234="Да",IF(OR(('19_Расчет_аналитики'!AL4480-'19_Расчет_аналитики'!AL4508)=0,25&lt;='01_Вводные'!$B$297),0,('19_Расчет_аналитики'!AL4480-'19_Расчет_аналитики'!AL4508)*IF('01_Вводные'!$B$239="Да",MeanMinAge25+'19_Расчет_аналитики'!AL4608*SUMIF(ThresholdAge25,"&lt;"&amp;'19_Расчет_аналитики'!AL4608,WeightedRevAge25)-SUMIF(ThresholdAge25,"&lt;"&amp;'19_Расчет_аналитики'!AL4608,WeightedMinAge25),MAX(CapacityAge25*'01_Вводные'!$B$218*'19_Расчет_аналитики'!AL4608,MeanMinAge25))),0)</f>
        <v/>
      </c>
      <c r="AM4564">
        <f>IF('01_Вводные'!$B$234="Да",IF(OR(('19_Расчет_аналитики'!AM4480-'19_Расчет_аналитики'!AM4508)=0,25&lt;='01_Вводные'!$B$297),0,('19_Расчет_аналитики'!AM4480-'19_Расчет_аналитики'!AM4508)*IF('01_Вводные'!$B$239="Да",MeanMinAge25+'19_Расчет_аналитики'!AM4608*SUMIF(ThresholdAge25,"&lt;"&amp;'19_Расчет_аналитики'!AM4608,WeightedRevAge25)-SUMIF(ThresholdAge25,"&lt;"&amp;'19_Расчет_аналитики'!AM4608,WeightedMinAge25),MAX(CapacityAge25*'01_Вводные'!$B$218*'19_Расчет_аналитики'!AM4608,MeanMinAge25))),0)</f>
        <v/>
      </c>
      <c r="AN4564">
        <f>IF('01_Вводные'!$B$234="Да",IF(OR(('19_Расчет_аналитики'!AN4480-'19_Расчет_аналитики'!AN4508)=0,25&lt;='01_Вводные'!$B$297),0,('19_Расчет_аналитики'!AN4480-'19_Расчет_аналитики'!AN4508)*IF('01_Вводные'!$B$239="Да",MeanMinAge25+'19_Расчет_аналитики'!AN4608*SUMIF(ThresholdAge25,"&lt;"&amp;'19_Расчет_аналитики'!AN4608,WeightedRevAge25)-SUMIF(ThresholdAge25,"&lt;"&amp;'19_Расчет_аналитики'!AN4608,WeightedMinAge25),MAX(CapacityAge25*'01_Вводные'!$B$218*'19_Расчет_аналитики'!AN4608,MeanMinAge25))),0)</f>
        <v/>
      </c>
      <c r="AO4564">
        <f>IF('01_Вводные'!$B$234="Да",IF(OR(('19_Расчет_аналитики'!AO4480-'19_Расчет_аналитики'!AO4508)=0,25&lt;='01_Вводные'!$B$297),0,('19_Расчет_аналитики'!AO4480-'19_Расчет_аналитики'!AO4508)*IF('01_Вводные'!$B$239="Да",MeanMinAge25+'19_Расчет_аналитики'!AO4608*SUMIF(ThresholdAge25,"&lt;"&amp;'19_Расчет_аналитики'!AO4608,WeightedRevAge25)-SUMIF(ThresholdAge25,"&lt;"&amp;'19_Расчет_аналитики'!AO4608,WeightedMinAge25),MAX(CapacityAge25*'01_Вводные'!$B$218*'19_Расчет_аналитики'!AO4608,MeanMinAge25))),0)</f>
        <v/>
      </c>
      <c r="AP4564">
        <f>IF('01_Вводные'!$B$234="Да",IF(OR(('19_Расчет_аналитики'!AP4480-'19_Расчет_аналитики'!AP4508)=0,25&lt;='01_Вводные'!$B$297),0,('19_Расчет_аналитики'!AP4480-'19_Расчет_аналитики'!AP4508)*IF('01_Вводные'!$B$239="Да",MeanMinAge25+'19_Расчет_аналитики'!AP4608*SUMIF(ThresholdAge25,"&lt;"&amp;'19_Расчет_аналитики'!AP4608,WeightedRevAge25)-SUMIF(ThresholdAge25,"&lt;"&amp;'19_Расчет_аналитики'!AP4608,WeightedMinAge25),MAX(CapacityAge25*'01_Вводные'!$B$218*'19_Расчет_аналитики'!AP4608,MeanMinAge25))),0)</f>
        <v/>
      </c>
      <c r="AQ4564">
        <f>IF('01_Вводные'!$B$234="Да",IF(OR(('19_Расчет_аналитики'!AQ4480-'19_Расчет_аналитики'!AQ4508)=0,25&lt;='01_Вводные'!$B$297),0,('19_Расчет_аналитики'!AQ4480-'19_Расчет_аналитики'!AQ4508)*IF('01_Вводные'!$B$239="Да",MeanMinAge25+'19_Расчет_аналитики'!AQ4608*SUMIF(ThresholdAge25,"&lt;"&amp;'19_Расчет_аналитики'!AQ4608,WeightedRevAge25)-SUMIF(ThresholdAge25,"&lt;"&amp;'19_Расчет_аналитики'!AQ4608,WeightedMinAge25),MAX(CapacityAge25*'01_Вводные'!$B$218*'19_Расчет_аналитики'!AQ4608,MeanMinAge25))),0)</f>
        <v/>
      </c>
      <c r="AR4564">
        <f>IF('01_Вводные'!$B$234="Да",IF(OR(('19_Расчет_аналитики'!AR4480-'19_Расчет_аналитики'!AR4508)=0,25&lt;='01_Вводные'!$B$297),0,('19_Расчет_аналитики'!AR4480-'19_Расчет_аналитики'!AR4508)*IF('01_Вводные'!$B$239="Да",MeanMinAge25+'19_Расчет_аналитики'!AR4608*SUMIF(ThresholdAge25,"&lt;"&amp;'19_Расчет_аналитики'!AR4608,WeightedRevAge25)-SUMIF(ThresholdAge25,"&lt;"&amp;'19_Расчет_аналитики'!AR4608,WeightedMinAge25),MAX(CapacityAge25*'01_Вводные'!$B$218*'19_Расчет_аналитики'!AR4608,MeanMinAge25))),0)</f>
        <v/>
      </c>
      <c r="AS4564">
        <f>IF('01_Вводные'!$B$234="Да",IF(OR(('19_Расчет_аналитики'!AS4480-'19_Расчет_аналитики'!AS4508)=0,25&lt;='01_Вводные'!$B$297),0,('19_Расчет_аналитики'!AS4480-'19_Расчет_аналитики'!AS4508)*IF('01_Вводные'!$B$239="Да",MeanMinAge25+'19_Расчет_аналитики'!AS4608*SUMIF(ThresholdAge25,"&lt;"&amp;'19_Расчет_аналитики'!AS4608,WeightedRevAge25)-SUMIF(ThresholdAge25,"&lt;"&amp;'19_Расчет_аналитики'!AS4608,WeightedMinAge25),MAX(CapacityAge25*'01_Вводные'!$B$218*'19_Расчет_аналитики'!AS4608,MeanMinAge25))),0)</f>
        <v/>
      </c>
      <c r="AT4564">
        <f>IF('01_Вводные'!$B$234="Да",IF(OR(('19_Расчет_аналитики'!AT4480-'19_Расчет_аналитики'!AT4508)=0,25&lt;='01_Вводные'!$B$297),0,('19_Расчет_аналитики'!AT4480-'19_Расчет_аналитики'!AT4508)*IF('01_Вводные'!$B$239="Да",MeanMinAge25+'19_Расчет_аналитики'!AT4608*SUMIF(ThresholdAge25,"&lt;"&amp;'19_Расчет_аналитики'!AT4608,WeightedRevAge25)-SUMIF(ThresholdAge25,"&lt;"&amp;'19_Расчет_аналитики'!AT4608,WeightedMinAge25),MAX(CapacityAge25*'01_Вводные'!$B$218*'19_Расчет_аналитики'!AT4608,MeanMinAge25))),0)</f>
        <v/>
      </c>
      <c r="AU4564">
        <f>IF('01_Вводные'!$B$234="Да",IF(OR(('19_Расчет_аналитики'!AU4480-'19_Расчет_аналитики'!AU4508)=0,25&lt;='01_Вводные'!$B$297),0,('19_Расчет_аналитики'!AU4480-'19_Расчет_аналитики'!AU4508)*IF('01_Вводные'!$B$239="Да",MeanMinAge25+'19_Расчет_аналитики'!AU4608*SUMIF(ThresholdAge25,"&lt;"&amp;'19_Расчет_аналитики'!AU4608,WeightedRevAge25)-SUMIF(ThresholdAge25,"&lt;"&amp;'19_Расчет_аналитики'!AU4608,WeightedMinAge25),MAX(CapacityAge25*'01_Вводные'!$B$218*'19_Расчет_аналитики'!AU4608,MeanMinAge25))),0)</f>
        <v/>
      </c>
      <c r="AV4564">
        <f>IF('01_Вводные'!$B$234="Да",IF(OR(('19_Расчет_аналитики'!AV4480-'19_Расчет_аналитики'!AV4508)=0,25&lt;='01_Вводные'!$B$297),0,('19_Расчет_аналитики'!AV4480-'19_Расчет_аналитики'!AV4508)*IF('01_Вводные'!$B$239="Да",MeanMinAge25+'19_Расчет_аналитики'!AV4608*SUMIF(ThresholdAge25,"&lt;"&amp;'19_Расчет_аналитики'!AV4608,WeightedRevAge25)-SUMIF(ThresholdAge25,"&lt;"&amp;'19_Расчет_аналитики'!AV4608,WeightedMinAge25),MAX(CapacityAge25*'01_Вводные'!$B$218*'19_Расчет_аналитики'!AV4608,MeanMinAge25))),0)</f>
        <v/>
      </c>
      <c r="AW4564">
        <f>IF('01_Вводные'!$B$234="Да",IF(OR(('19_Расчет_аналитики'!AW4480-'19_Расчет_аналитики'!AW4508)=0,25&lt;='01_Вводные'!$B$297),0,('19_Расчет_аналитики'!AW4480-'19_Расчет_аналитики'!AW4508)*IF('01_Вводные'!$B$239="Да",MeanMinAge25+'19_Расчет_аналитики'!AW4608*SUMIF(ThresholdAge25,"&lt;"&amp;'19_Расчет_аналитики'!AW4608,WeightedRevAge25)-SUMIF(ThresholdAge25,"&lt;"&amp;'19_Расчет_аналитики'!AW4608,WeightedMinAge25),MAX(CapacityAge25*'01_Вводные'!$B$218*'19_Расчет_аналитики'!AW4608,MeanMinAge25))),0)</f>
        <v/>
      </c>
      <c r="AX4564">
        <f>IF('01_Вводные'!$B$234="Да",IF(OR(('19_Расчет_аналитики'!AX4480-'19_Расчет_аналитики'!AX4508)=0,25&lt;='01_Вводные'!$B$297),0,('19_Расчет_аналитики'!AX4480-'19_Расчет_аналитики'!AX4508)*IF('01_Вводные'!$B$239="Да",MeanMinAge25+'19_Расчет_аналитики'!AX4608*SUMIF(ThresholdAge25,"&lt;"&amp;'19_Расчет_аналитики'!AX4608,WeightedRevAge25)-SUMIF(ThresholdAge25,"&lt;"&amp;'19_Расчет_аналитики'!AX4608,WeightedMinAge25),MAX(CapacityAge25*'01_Вводные'!$B$218*'19_Расчет_аналитики'!AX4608,MeanMinAge25))),0)</f>
        <v/>
      </c>
      <c r="AY4564">
        <f>IF('01_Вводные'!$B$234="Да",IF(OR(('19_Расчет_аналитики'!AY4480-'19_Расчет_аналитики'!AY4508)=0,25&lt;='01_Вводные'!$B$297),0,('19_Расчет_аналитики'!AY4480-'19_Расчет_аналитики'!AY4508)*IF('01_Вводные'!$B$239="Да",MeanMinAge25+'19_Расчет_аналитики'!AY4608*SUMIF(ThresholdAge25,"&lt;"&amp;'19_Расчет_аналитики'!AY4608,WeightedRevAge25)-SUMIF(ThresholdAge25,"&lt;"&amp;'19_Расчет_аналитики'!AY4608,WeightedMinAge25),MAX(CapacityAge25*'01_Вводные'!$B$218*'19_Расчет_аналитики'!AY4608,MeanMinAge25))),0)</f>
        <v/>
      </c>
      <c r="AZ4564">
        <f>IF('01_Вводные'!$B$234="Да",IF(OR(('19_Расчет_аналитики'!AZ4480-'19_Расчет_аналитики'!AZ4508)=0,25&lt;='01_Вводные'!$B$297),0,('19_Расчет_аналитики'!AZ4480-'19_Расчет_аналитики'!AZ4508)*IF('01_Вводные'!$B$239="Да",MeanMinAge25+'19_Расчет_аналитики'!AZ4608*SUMIF(ThresholdAge25,"&lt;"&amp;'19_Расчет_аналитики'!AZ4608,WeightedRevAge25)-SUMIF(ThresholdAge25,"&lt;"&amp;'19_Расчет_аналитики'!AZ4608,WeightedMinAge25),MAX(CapacityAge25*'01_Вводные'!$B$218*'19_Расчет_аналитики'!AZ4608,MeanMinAge25))),0)</f>
        <v/>
      </c>
      <c r="BA4564">
        <f>IF('01_Вводные'!$B$234="Да",IF(OR(('19_Расчет_аналитики'!BA4480-'19_Расчет_аналитики'!BA4508)=0,25&lt;='01_Вводные'!$B$297),0,('19_Расчет_аналитики'!BA4480-'19_Расчет_аналитики'!BA4508)*IF('01_Вводные'!$B$239="Да",MeanMinAge25+'19_Расчет_аналитики'!BA4608*SUMIF(ThresholdAge25,"&lt;"&amp;'19_Расчет_аналитики'!BA4608,WeightedRevAge25)-SUMIF(ThresholdAge25,"&lt;"&amp;'19_Расчет_аналитики'!BA4608,WeightedMinAge25),MAX(CapacityAge25*'01_Вводные'!$B$218*'19_Расчет_аналитики'!BA4608,MeanMinAge25))),0)</f>
        <v/>
      </c>
      <c r="BB4564">
        <f>IF('01_Вводные'!$B$234="Да",IF(OR(('19_Расчет_аналитики'!BB4480-'19_Расчет_аналитики'!BB4508)=0,25&lt;='01_Вводные'!$B$297),0,('19_Расчет_аналитики'!BB4480-'19_Расчет_аналитики'!BB4508)*IF('01_Вводные'!$B$239="Да",MeanMinAge25+'19_Расчет_аналитики'!BB4608*SUMIF(ThresholdAge25,"&lt;"&amp;'19_Расчет_аналитики'!BB4608,WeightedRevAge25)-SUMIF(ThresholdAge25,"&lt;"&amp;'19_Расчет_аналитики'!BB4608,WeightedMinAge25),MAX(CapacityAge25*'01_Вводные'!$B$218*'19_Расчет_аналитики'!BB4608,MeanMinAge25))),0)</f>
        <v/>
      </c>
      <c r="BC4564">
        <f>IF('01_Вводные'!$B$234="Да",IF(OR(('19_Расчет_аналитики'!BC4480-'19_Расчет_аналитики'!BC4508)=0,25&lt;='01_Вводные'!$B$297),0,('19_Расчет_аналитики'!BC4480-'19_Расчет_аналитики'!BC4508)*IF('01_Вводные'!$B$239="Да",MeanMinAge25+'19_Расчет_аналитики'!BC4608*SUMIF(ThresholdAge25,"&lt;"&amp;'19_Расчет_аналитики'!BC4608,WeightedRevAge25)-SUMIF(ThresholdAge25,"&lt;"&amp;'19_Расчет_аналитики'!BC4608,WeightedMinAge25),MAX(CapacityAge25*'01_Вводные'!$B$218*'19_Расчет_аналитики'!BC4608,MeanMinAge25))),0)</f>
        <v/>
      </c>
      <c r="BD4564">
        <f>IF('01_Вводные'!$B$234="Да",IF(OR(('19_Расчет_аналитики'!BD4480-'19_Расчет_аналитики'!BD4508)=0,25&lt;='01_Вводные'!$B$297),0,('19_Расчет_аналитики'!BD4480-'19_Расчет_аналитики'!BD4508)*IF('01_Вводные'!$B$239="Да",MeanMinAge25+'19_Расчет_аналитики'!BD4608*SUMIF(ThresholdAge25,"&lt;"&amp;'19_Расчет_аналитики'!BD4608,WeightedRevAge25)-SUMIF(ThresholdAge25,"&lt;"&amp;'19_Расчет_аналитики'!BD4608,WeightedMinAge25),MAX(CapacityAge25*'01_Вводные'!$B$218*'19_Расчет_аналитики'!BD4608,MeanMinAge25))),0)</f>
        <v/>
      </c>
      <c r="BE4564">
        <f>IF('01_Вводные'!$B$234="Да",IF(OR(('19_Расчет_аналитики'!BE4480-'19_Расчет_аналитики'!BE4508)=0,25&lt;='01_Вводные'!$B$297),0,('19_Расчет_аналитики'!BE4480-'19_Расчет_аналитики'!BE4508)*IF('01_Вводные'!$B$239="Да",MeanMinAge25+'19_Расчет_аналитики'!BE4608*SUMIF(ThresholdAge25,"&lt;"&amp;'19_Расчет_аналитики'!BE4608,WeightedRevAge25)-SUMIF(ThresholdAge25,"&lt;"&amp;'19_Расчет_аналитики'!BE4608,WeightedMinAge25),MAX(CapacityAge25*'01_Вводные'!$B$218*'19_Расчет_аналитики'!BE4608,MeanMinAge25))),0)</f>
        <v/>
      </c>
      <c r="BF4564">
        <f>IF('01_Вводные'!$B$234="Да",IF(OR(('19_Расчет_аналитики'!BF4480-'19_Расчет_аналитики'!BF4508)=0,25&lt;='01_Вводные'!$B$297),0,('19_Расчет_аналитики'!BF4480-'19_Расчет_аналитики'!BF4508)*IF('01_Вводные'!$B$239="Да",MeanMinAge25+'19_Расчет_аналитики'!BF4608*SUMIF(ThresholdAge25,"&lt;"&amp;'19_Расчет_аналитики'!BF4608,WeightedRevAge25)-SUMIF(ThresholdAge25,"&lt;"&amp;'19_Расчет_аналитики'!BF4608,WeightedMinAge25),MAX(CapacityAge25*'01_Вводные'!$B$218*'19_Расчет_аналитики'!BF4608,MeanMinAge25))),0)</f>
        <v/>
      </c>
      <c r="BG4564">
        <f>IF('01_Вводные'!$B$234="Да",IF(OR(('19_Расчет_аналитики'!BG4480-'19_Расчет_аналитики'!BG4508)=0,25&lt;='01_Вводные'!$B$297),0,('19_Расчет_аналитики'!BG4480-'19_Расчет_аналитики'!BG4508)*IF('01_Вводные'!$B$239="Да",MeanMinAge25+'19_Расчет_аналитики'!BG4608*SUMIF(ThresholdAge25,"&lt;"&amp;'19_Расчет_аналитики'!BG4608,WeightedRevAge25)-SUMIF(ThresholdAge25,"&lt;"&amp;'19_Расчет_аналитики'!BG4608,WeightedMinAge25),MAX(CapacityAge25*'01_Вводные'!$B$218*'19_Расчет_аналитики'!BG4608,MeanMinAge25))),0)</f>
        <v/>
      </c>
      <c r="BH4564">
        <f>IF('01_Вводные'!$B$234="Да",IF(OR(('19_Расчет_аналитики'!BH4480-'19_Расчет_аналитики'!BH4508)=0,25&lt;='01_Вводные'!$B$297),0,('19_Расчет_аналитики'!BH4480-'19_Расчет_аналитики'!BH4508)*IF('01_Вводные'!$B$239="Да",MeanMinAge25+'19_Расчет_аналитики'!BH4608*SUMIF(ThresholdAge25,"&lt;"&amp;'19_Расчет_аналитики'!BH4608,WeightedRevAge25)-SUMIF(ThresholdAge25,"&lt;"&amp;'19_Расчет_аналитики'!BH4608,WeightedMinAge25),MAX(CapacityAge25*'01_Вводные'!$B$218*'19_Расчет_аналитики'!BH4608,MeanMinAge25))),0)</f>
        <v/>
      </c>
      <c r="BI4564">
        <f>IF('01_Вводные'!$B$234="Да",IF(OR(('19_Расчет_аналитики'!BI4480-'19_Расчет_аналитики'!BI4508)=0,25&lt;='01_Вводные'!$B$297),0,('19_Расчет_аналитики'!BI4480-'19_Расчет_аналитики'!BI4508)*IF('01_Вводные'!$B$239="Да",MeanMinAge25+'19_Расчет_аналитики'!BI4608*SUMIF(ThresholdAge25,"&lt;"&amp;'19_Расчет_аналитики'!BI4608,WeightedRevAge25)-SUMIF(ThresholdAge25,"&lt;"&amp;'19_Расчет_аналитики'!BI4608,WeightedMinAge25),MAX(CapacityAge25*'01_Вводные'!$B$218*'19_Расчет_аналитики'!BI4608,MeanMinAge25))),0)</f>
        <v/>
      </c>
      <c r="BJ4564">
        <f>IF('01_Вводные'!$B$234="Да",IF(OR(('19_Расчет_аналитики'!BJ4480-'19_Расчет_аналитики'!BJ4508)=0,25&lt;='01_Вводные'!$B$297),0,('19_Расчет_аналитики'!BJ4480-'19_Расчет_аналитики'!BJ4508)*IF('01_Вводные'!$B$239="Да",MeanMinAge25+'19_Расчет_аналитики'!BJ4608*SUMIF(ThresholdAge25,"&lt;"&amp;'19_Расчет_аналитики'!BJ4608,WeightedRevAge25)-SUMIF(ThresholdAge25,"&lt;"&amp;'19_Расчет_аналитики'!BJ4608,WeightedMinAge25),MAX(CapacityAge25*'01_Вводные'!$B$218*'19_Расчет_аналитики'!BJ4608,MeanMinAge25))),0)</f>
        <v/>
      </c>
      <c r="BK4564">
        <f>IF('01_Вводные'!$B$234="Да",IF(OR(('19_Расчет_аналитики'!BK4480-'19_Расчет_аналитики'!BK4508)=0,25&lt;='01_Вводные'!$B$297),0,('19_Расчет_аналитики'!BK4480-'19_Расчет_аналитики'!BK4508)*IF('01_Вводные'!$B$239="Да",MeanMinAge25+'19_Расчет_аналитики'!BK4608*SUMIF(ThresholdAge25,"&lt;"&amp;'19_Расчет_аналитики'!BK4608,WeightedRevAge25)-SUMIF(ThresholdAge25,"&lt;"&amp;'19_Расчет_аналитики'!BK4608,WeightedMinAge25),MAX(CapacityAge25*'01_Вводные'!$B$218*'19_Расчет_аналитики'!BK4608,MeanMinAge25))),0)</f>
        <v/>
      </c>
      <c r="BL4564">
        <f>IF('01_Вводные'!$B$234="Да",IF(OR(('19_Расчет_аналитики'!BL4480-'19_Расчет_аналитики'!BL4508)=0,25&lt;='01_Вводные'!$B$297),0,('19_Расчет_аналитики'!BL4480-'19_Расчет_аналитики'!BL4508)*IF('01_Вводные'!$B$239="Да",MeanMinAge25+'19_Расчет_аналитики'!BL4608*SUMIF(ThresholdAge25,"&lt;"&amp;'19_Расчет_аналитики'!BL4608,WeightedRevAge25)-SUMIF(ThresholdAge25,"&lt;"&amp;'19_Расчет_аналитики'!BL4608,WeightedMinAge25),MAX(CapacityAge25*'01_Вводные'!$B$218*'19_Расчет_аналитики'!BL4608,MeanMinAge25))),0)</f>
        <v/>
      </c>
      <c r="BM4564">
        <f>IF('01_Вводные'!$B$234="Да",IF(OR(('19_Расчет_аналитики'!BM4480-'19_Расчет_аналитики'!BM4508)=0,25&lt;='01_Вводные'!$B$297),0,('19_Расчет_аналитики'!BM4480-'19_Расчет_аналитики'!BM4508)*IF('01_Вводные'!$B$239="Да",MeanMinAge25+'19_Расчет_аналитики'!BM4608*SUMIF(ThresholdAge25,"&lt;"&amp;'19_Расчет_аналитики'!BM4608,WeightedRevAge25)-SUMIF(ThresholdAge25,"&lt;"&amp;'19_Расчет_аналитики'!BM4608,WeightedMinAge25),MAX(CapacityAge25*'01_Вводные'!$B$218*'19_Расчет_аналитики'!BM4608,MeanMinAge25))),0)</f>
        <v/>
      </c>
      <c r="BN4564">
        <f>IF('01_Вводные'!$B$234="Да",IF(OR(('19_Расчет_аналитики'!BN4480-'19_Расчет_аналитики'!BN4508)=0,25&lt;='01_Вводные'!$B$297),0,('19_Расчет_аналитики'!BN4480-'19_Расчет_аналитики'!BN4508)*IF('01_Вводные'!$B$239="Да",MeanMinAge25+'19_Расчет_аналитики'!BN4608*SUMIF(ThresholdAge25,"&lt;"&amp;'19_Расчет_аналитики'!BN4608,WeightedRevAge25)-SUMIF(ThresholdAge25,"&lt;"&amp;'19_Расчет_аналитики'!BN4608,WeightedMinAge25),MAX(CapacityAge25*'01_Вводные'!$B$218*'19_Расчет_аналитики'!BN4608,MeanMinAge25))),0)</f>
        <v/>
      </c>
      <c r="BO4564">
        <f>IF('01_Вводные'!$B$234="Да",IF(OR(('19_Расчет_аналитики'!BO4480-'19_Расчет_аналитики'!BO4508)=0,25&lt;='01_Вводные'!$B$297),0,('19_Расчет_аналитики'!BO4480-'19_Расчет_аналитики'!BO4508)*IF('01_Вводные'!$B$239="Да",MeanMinAge25+'19_Расчет_аналитики'!BO4608*SUMIF(ThresholdAge25,"&lt;"&amp;'19_Расчет_аналитики'!BO4608,WeightedRevAge25)-SUMIF(ThresholdAge25,"&lt;"&amp;'19_Расчет_аналитики'!BO4608,WeightedMinAge25),MAX(CapacityAge25*'01_Вводные'!$B$218*'19_Расчет_аналитики'!BO4608,MeanMinAge25))),0)</f>
        <v/>
      </c>
    </row>
    <row r="4565"/>
    <row r="4566"/>
    <row r="4567"/>
    <row r="4568">
      <c r="B4568">
        <f>IF('01_Вводные'!$B$234="Да",IF(IF('01_Вводные'!$B$296="Новый сезон",FALSE,FALSE),'19_Расчет_аналитики'!B4456*CapacityAge01*'19_Расчет_аналитики'!$F$4259,0),0)</f>
        <v/>
      </c>
      <c r="C4568">
        <f>IF('01_Вводные'!$B$234="Да",IF(IF('01_Вводные'!$B$296="Новый сезон",FALSE,FALSE),'19_Расчет_аналитики'!C4456*CapacityAge01*'19_Расчет_аналитики'!$F$4259,0),0)</f>
        <v/>
      </c>
      <c r="D4568">
        <f>IF('01_Вводные'!$B$234="Да",IF(IF('01_Вводные'!$B$296="Новый сезон",FALSE,FALSE),'19_Расчет_аналитики'!D4456*CapacityAge01*'19_Расчет_аналитики'!$F$4259,0),0)</f>
        <v/>
      </c>
      <c r="E4568">
        <f>IF('01_Вводные'!$B$234="Да",IF(IF('01_Вводные'!$B$296="Новый сезон",FALSE,FALSE),'19_Расчет_аналитики'!E4456*CapacityAge01*'19_Расчет_аналитики'!$F$4259,0),0)</f>
        <v/>
      </c>
      <c r="F4568">
        <f>IF('01_Вводные'!$B$234="Да",IF(IF('01_Вводные'!$B$296="Новый сезон",FALSE,FALSE),'19_Расчет_аналитики'!F4456*CapacityAge01*'19_Расчет_аналитики'!$F$4259,0),0)</f>
        <v/>
      </c>
      <c r="G4568">
        <f>IF('01_Вводные'!$B$234="Да",IF(IF('01_Вводные'!$B$296="Новый сезон",FALSE,FALSE),'19_Расчет_аналитики'!G4456*CapacityAge01*'19_Расчет_аналитики'!$F$4259,0),0)</f>
        <v/>
      </c>
      <c r="H4568">
        <f>IF('01_Вводные'!$B$234="Да",IF(IF('01_Вводные'!$B$296="Новый сезон",FALSE,FALSE),'19_Расчет_аналитики'!H4456*CapacityAge01*'19_Расчет_аналитики'!$F$4259,0),0)</f>
        <v/>
      </c>
      <c r="I4568">
        <f>IF('01_Вводные'!$B$234="Да",IF(IF('01_Вводные'!$B$296="Новый сезон",FALSE,FALSE),'19_Расчет_аналитики'!I4456*CapacityAge01*'19_Расчет_аналитики'!$F$4259,0),0)</f>
        <v/>
      </c>
      <c r="J4568">
        <f>IF('01_Вводные'!$B$234="Да",IF(IF('01_Вводные'!$B$296="Новый сезон",FALSE,FALSE),'19_Расчет_аналитики'!J4456*CapacityAge01*'19_Расчет_аналитики'!$F$4259,0),0)</f>
        <v/>
      </c>
      <c r="K4568">
        <f>IF('01_Вводные'!$B$234="Да",IF(IF('01_Вводные'!$B$296="Новый сезон",FALSE,FALSE),'19_Расчет_аналитики'!K4456*CapacityAge01*'19_Расчет_аналитики'!$F$4259,0),0)</f>
        <v/>
      </c>
      <c r="L4568">
        <f>IF('01_Вводные'!$B$234="Да",IF(IF('01_Вводные'!$B$296="Новый сезон",FALSE,FALSE),'19_Расчет_аналитики'!L4456*CapacityAge01*'19_Расчет_аналитики'!$F$4259,0),0)</f>
        <v/>
      </c>
      <c r="M4568">
        <f>IF('01_Вводные'!$B$234="Да",IF(IF('01_Вводные'!$B$296="Новый сезон",FALSE,FALSE),'19_Расчет_аналитики'!M4456*CapacityAge01*'19_Расчет_аналитики'!$F$4259,0),0)</f>
        <v/>
      </c>
      <c r="N4568">
        <f>IF('01_Вводные'!$B$234="Да",IF(IF('01_Вводные'!$B$296="Новый сезон",FALSE,FALSE),'19_Расчет_аналитики'!N4456*CapacityAge01*'19_Расчет_аналитики'!$F$4259,0),0)</f>
        <v/>
      </c>
      <c r="O4568">
        <f>IF('01_Вводные'!$B$234="Да",IF(IF('01_Вводные'!$B$296="Новый сезон",FALSE,FALSE),'19_Расчет_аналитики'!O4456*CapacityAge01*'19_Расчет_аналитики'!$F$4259,0),0)</f>
        <v/>
      </c>
      <c r="P4568">
        <f>IF('01_Вводные'!$B$234="Да",IF(IF('01_Вводные'!$B$296="Новый сезон",FALSE,FALSE),'19_Расчет_аналитики'!P4456*CapacityAge01*'19_Расчет_аналитики'!$F$4259,0),0)</f>
        <v/>
      </c>
      <c r="Q4568">
        <f>IF('01_Вводные'!$B$234="Да",IF(IF('01_Вводные'!$B$296="Новый сезон",FALSE,FALSE),'19_Расчет_аналитики'!Q4456*CapacityAge01*'19_Расчет_аналитики'!$F$4259,0),0)</f>
        <v/>
      </c>
      <c r="R4568">
        <f>IF('01_Вводные'!$B$234="Да",IF(IF('01_Вводные'!$B$296="Новый сезон",FALSE,FALSE),'19_Расчет_аналитики'!R4456*CapacityAge01*'19_Расчет_аналитики'!$F$4259,0),0)</f>
        <v/>
      </c>
      <c r="S4568">
        <f>IF('01_Вводные'!$B$234="Да",IF(IF('01_Вводные'!$B$296="Новый сезон",FALSE,FALSE),'19_Расчет_аналитики'!S4456*CapacityAge01*'19_Расчет_аналитики'!$F$4259,0),0)</f>
        <v/>
      </c>
      <c r="T4568">
        <f>IF('01_Вводные'!$B$234="Да",IF(IF('01_Вводные'!$B$296="Новый сезон",FALSE,FALSE),'19_Расчет_аналитики'!T4456*CapacityAge01*'19_Расчет_аналитики'!$F$4259,0),0)</f>
        <v/>
      </c>
      <c r="U4568">
        <f>IF('01_Вводные'!$B$234="Да",IF(IF('01_Вводные'!$B$296="Новый сезон",FALSE,FALSE),'19_Расчет_аналитики'!U4456*CapacityAge01*'19_Расчет_аналитики'!$F$4259,0),0)</f>
        <v/>
      </c>
      <c r="V4568">
        <f>IF('01_Вводные'!$B$234="Да",IF(IF('01_Вводные'!$B$296="Новый сезон",FALSE,FALSE),'19_Расчет_аналитики'!V4456*CapacityAge01*'19_Расчет_аналитики'!$F$4259,0),0)</f>
        <v/>
      </c>
      <c r="W4568">
        <f>IF('01_Вводные'!$B$234="Да",IF(IF('01_Вводные'!$B$296="Новый сезон",FALSE,FALSE),'19_Расчет_аналитики'!W4456*CapacityAge01*'19_Расчет_аналитики'!$F$4259,0),0)</f>
        <v/>
      </c>
      <c r="X4568">
        <f>IF('01_Вводные'!$B$234="Да",IF(IF('01_Вводные'!$B$296="Новый сезон",FALSE,FALSE),'19_Расчет_аналитики'!X4456*CapacityAge01*'19_Расчет_аналитики'!$F$4259,0),0)</f>
        <v/>
      </c>
      <c r="Y4568">
        <f>IF('01_Вводные'!$B$234="Да",IF(IF('01_Вводные'!$B$296="Новый сезон",FALSE,FALSE),'19_Расчет_аналитики'!Y4456*CapacityAge01*'19_Расчет_аналитики'!$F$4259,0),0)</f>
        <v/>
      </c>
      <c r="Z4568">
        <f>IF('01_Вводные'!$B$234="Да",IF(IF('01_Вводные'!$B$296="Новый сезон",FALSE,FALSE),'19_Расчет_аналитики'!Z4456*CapacityAge01*'19_Расчет_аналитики'!$F$4259,0),0)</f>
        <v/>
      </c>
      <c r="AA4568">
        <f>IF('01_Вводные'!$B$234="Да",IF(IF('01_Вводные'!$B$296="Новый сезон",FALSE,FALSE),'19_Расчет_аналитики'!AA4456*CapacityAge01*'19_Расчет_аналитики'!$F$4259,0),0)</f>
        <v/>
      </c>
      <c r="AB4568">
        <f>IF('01_Вводные'!$B$234="Да",IF(IF('01_Вводные'!$B$296="Новый сезон",FALSE,FALSE),'19_Расчет_аналитики'!AB4456*CapacityAge01*'19_Расчет_аналитики'!$F$4259,0),0)</f>
        <v/>
      </c>
      <c r="AC4568">
        <f>IF('01_Вводные'!$B$234="Да",IF(IF('01_Вводные'!$B$296="Новый сезон",FALSE,FALSE),'19_Расчет_аналитики'!AC4456*CapacityAge01*'19_Расчет_аналитики'!$F$4259,0),0)</f>
        <v/>
      </c>
      <c r="AD4568">
        <f>IF('01_Вводные'!$B$234="Да",IF(IF('01_Вводные'!$B$296="Новый сезон",FALSE,FALSE),'19_Расчет_аналитики'!AD4456*CapacityAge01*'19_Расчет_аналитики'!$F$4259,0),0)</f>
        <v/>
      </c>
      <c r="AE4568">
        <f>IF('01_Вводные'!$B$234="Да",IF(IF('01_Вводные'!$B$296="Новый сезон",FALSE,FALSE),'19_Расчет_аналитики'!AE4456*CapacityAge01*'19_Расчет_аналитики'!$F$4259,0),0)</f>
        <v/>
      </c>
      <c r="AF4568">
        <f>IF('01_Вводные'!$B$234="Да",IF(IF('01_Вводные'!$B$296="Новый сезон",FALSE,FALSE),'19_Расчет_аналитики'!AF4456*CapacityAge01*'19_Расчет_аналитики'!$F$4259,0),0)</f>
        <v/>
      </c>
      <c r="AG4568">
        <f>IF('01_Вводные'!$B$234="Да",IF(IF('01_Вводные'!$B$296="Новый сезон",FALSE,FALSE),'19_Расчет_аналитики'!AG4456*CapacityAge01*'19_Расчет_аналитики'!$F$4259,0),0)</f>
        <v/>
      </c>
      <c r="AH4568">
        <f>IF('01_Вводные'!$B$234="Да",IF(IF('01_Вводные'!$B$296="Новый сезон",FALSE,FALSE),'19_Расчет_аналитики'!AH4456*CapacityAge01*'19_Расчет_аналитики'!$F$4259,0),0)</f>
        <v/>
      </c>
      <c r="AI4568">
        <f>IF('01_Вводные'!$B$234="Да",IF(IF('01_Вводные'!$B$296="Новый сезон",FALSE,FALSE),'19_Расчет_аналитики'!AI4456*CapacityAge01*'19_Расчет_аналитики'!$F$4259,0),0)</f>
        <v/>
      </c>
      <c r="AJ4568">
        <f>IF('01_Вводные'!$B$234="Да",IF(IF('01_Вводные'!$B$296="Новый сезон",FALSE,FALSE),'19_Расчет_аналитики'!AJ4456*CapacityAge01*'19_Расчет_аналитики'!$F$4259,0),0)</f>
        <v/>
      </c>
      <c r="AK4568">
        <f>IF('01_Вводные'!$B$234="Да",IF(IF('01_Вводные'!$B$296="Новый сезон",FALSE,FALSE),'19_Расчет_аналитики'!AK4456*CapacityAge01*'19_Расчет_аналитики'!$F$4259,0),0)</f>
        <v/>
      </c>
      <c r="AL4568">
        <f>IF('01_Вводные'!$B$234="Да",IF(IF('01_Вводные'!$B$296="Новый сезон",FALSE,FALSE),'19_Расчет_аналитики'!AL4456*CapacityAge01*'19_Расчет_аналитики'!$F$4259,0),0)</f>
        <v/>
      </c>
      <c r="AM4568">
        <f>IF('01_Вводные'!$B$234="Да",IF(IF('01_Вводные'!$B$296="Новый сезон",FALSE,FALSE),'19_Расчет_аналитики'!AM4456*CapacityAge01*'19_Расчет_аналитики'!$F$4259,0),0)</f>
        <v/>
      </c>
      <c r="AN4568">
        <f>IF('01_Вводные'!$B$234="Да",IF(IF('01_Вводные'!$B$296="Новый сезон",FALSE,FALSE),'19_Расчет_аналитики'!AN4456*CapacityAge01*'19_Расчет_аналитики'!$F$4259,0),0)</f>
        <v/>
      </c>
      <c r="AO4568">
        <f>IF('01_Вводные'!$B$234="Да",IF(IF('01_Вводные'!$B$296="Новый сезон",FALSE,FALSE),'19_Расчет_аналитики'!AO4456*CapacityAge01*'19_Расчет_аналитики'!$F$4259,0),0)</f>
        <v/>
      </c>
      <c r="AP4568">
        <f>IF('01_Вводные'!$B$234="Да",IF(IF('01_Вводные'!$B$296="Новый сезон",FALSE,FALSE),'19_Расчет_аналитики'!AP4456*CapacityAge01*'19_Расчет_аналитики'!$F$4259,0),0)</f>
        <v/>
      </c>
      <c r="AQ4568">
        <f>IF('01_Вводные'!$B$234="Да",IF(IF('01_Вводные'!$B$296="Новый сезон",FALSE,FALSE),'19_Расчет_аналитики'!AQ4456*CapacityAge01*'19_Расчет_аналитики'!$F$4259,0),0)</f>
        <v/>
      </c>
      <c r="AR4568">
        <f>IF('01_Вводные'!$B$234="Да",IF(IF('01_Вводные'!$B$296="Новый сезон",FALSE,FALSE),'19_Расчет_аналитики'!AR4456*CapacityAge01*'19_Расчет_аналитики'!$F$4259,0),0)</f>
        <v/>
      </c>
      <c r="AS4568">
        <f>IF('01_Вводные'!$B$234="Да",IF(IF('01_Вводные'!$B$296="Новый сезон",FALSE,FALSE),'19_Расчет_аналитики'!AS4456*CapacityAge01*'19_Расчет_аналитики'!$F$4259,0),0)</f>
        <v/>
      </c>
      <c r="AT4568">
        <f>IF('01_Вводные'!$B$234="Да",IF(IF('01_Вводные'!$B$296="Новый сезон",FALSE,FALSE),'19_Расчет_аналитики'!AT4456*CapacityAge01*'19_Расчет_аналитики'!$F$4259,0),0)</f>
        <v/>
      </c>
      <c r="AU4568">
        <f>IF('01_Вводные'!$B$234="Да",IF(IF('01_Вводные'!$B$296="Новый сезон",FALSE,FALSE),'19_Расчет_аналитики'!AU4456*CapacityAge01*'19_Расчет_аналитики'!$F$4259,0),0)</f>
        <v/>
      </c>
      <c r="AV4568">
        <f>IF('01_Вводные'!$B$234="Да",IF(IF('01_Вводные'!$B$296="Новый сезон",FALSE,FALSE),'19_Расчет_аналитики'!AV4456*CapacityAge01*'19_Расчет_аналитики'!$F$4259,0),0)</f>
        <v/>
      </c>
      <c r="AW4568">
        <f>IF('01_Вводные'!$B$234="Да",IF(IF('01_Вводные'!$B$296="Новый сезон",FALSE,FALSE),'19_Расчет_аналитики'!AW4456*CapacityAge01*'19_Расчет_аналитики'!$F$4259,0),0)</f>
        <v/>
      </c>
      <c r="AX4568">
        <f>IF('01_Вводные'!$B$234="Да",IF(IF('01_Вводные'!$B$296="Новый сезон",FALSE,FALSE),'19_Расчет_аналитики'!AX4456*CapacityAge01*'19_Расчет_аналитики'!$F$4259,0),0)</f>
        <v/>
      </c>
      <c r="AY4568">
        <f>IF('01_Вводные'!$B$234="Да",IF(IF('01_Вводные'!$B$296="Новый сезон",FALSE,FALSE),'19_Расчет_аналитики'!AY4456*CapacityAge01*'19_Расчет_аналитики'!$F$4259,0),0)</f>
        <v/>
      </c>
      <c r="AZ4568">
        <f>IF('01_Вводные'!$B$234="Да",IF(IF('01_Вводные'!$B$296="Новый сезон",FALSE,FALSE),'19_Расчет_аналитики'!AZ4456*CapacityAge01*'19_Расчет_аналитики'!$F$4259,0),0)</f>
        <v/>
      </c>
      <c r="BA4568">
        <f>IF('01_Вводные'!$B$234="Да",IF(IF('01_Вводные'!$B$296="Новый сезон",FALSE,FALSE),'19_Расчет_аналитики'!BA4456*CapacityAge01*'19_Расчет_аналитики'!$F$4259,0),0)</f>
        <v/>
      </c>
      <c r="BB4568">
        <f>IF('01_Вводные'!$B$234="Да",IF(IF('01_Вводные'!$B$296="Новый сезон",FALSE,FALSE),'19_Расчет_аналитики'!BB4456*CapacityAge01*'19_Расчет_аналитики'!$F$4259,0),0)</f>
        <v/>
      </c>
      <c r="BC4568">
        <f>IF('01_Вводные'!$B$234="Да",IF(IF('01_Вводные'!$B$296="Новый сезон",FALSE,FALSE),'19_Расчет_аналитики'!BC4456*CapacityAge01*'19_Расчет_аналитики'!$F$4259,0),0)</f>
        <v/>
      </c>
      <c r="BD4568">
        <f>IF('01_Вводные'!$B$234="Да",IF(IF('01_Вводные'!$B$296="Новый сезон",FALSE,FALSE),'19_Расчет_аналитики'!BD4456*CapacityAge01*'19_Расчет_аналитики'!$F$4259,0),0)</f>
        <v/>
      </c>
      <c r="BE4568">
        <f>IF('01_Вводные'!$B$234="Да",IF(IF('01_Вводные'!$B$296="Новый сезон",FALSE,FALSE),'19_Расчет_аналитики'!BE4456*CapacityAge01*'19_Расчет_аналитики'!$F$4259,0),0)</f>
        <v/>
      </c>
      <c r="BF4568">
        <f>IF('01_Вводные'!$B$234="Да",IF(IF('01_Вводные'!$B$296="Новый сезон",FALSE,FALSE),'19_Расчет_аналитики'!BF4456*CapacityAge01*'19_Расчет_аналитики'!$F$4259,0),0)</f>
        <v/>
      </c>
      <c r="BG4568">
        <f>IF('01_Вводные'!$B$234="Да",IF(IF('01_Вводные'!$B$296="Новый сезон",FALSE,FALSE),'19_Расчет_аналитики'!BG4456*CapacityAge01*'19_Расчет_аналитики'!$F$4259,0),0)</f>
        <v/>
      </c>
      <c r="BH4568">
        <f>IF('01_Вводные'!$B$234="Да",IF(IF('01_Вводные'!$B$296="Новый сезон",FALSE,FALSE),'19_Расчет_аналитики'!BH4456*CapacityAge01*'19_Расчет_аналитики'!$F$4259,0),0)</f>
        <v/>
      </c>
      <c r="BI4568">
        <f>IF('01_Вводные'!$B$234="Да",IF(IF('01_Вводные'!$B$296="Новый сезон",FALSE,FALSE),'19_Расчет_аналитики'!BI4456*CapacityAge01*'19_Расчет_аналитики'!$F$4259,0),0)</f>
        <v/>
      </c>
      <c r="BJ4568">
        <f>IF('01_Вводные'!$B$234="Да",IF(IF('01_Вводные'!$B$296="Новый сезон",FALSE,FALSE),'19_Расчет_аналитики'!BJ4456*CapacityAge01*'19_Расчет_аналитики'!$F$4259,0),0)</f>
        <v/>
      </c>
      <c r="BK4568">
        <f>IF('01_Вводные'!$B$234="Да",IF(IF('01_Вводные'!$B$296="Новый сезон",FALSE,FALSE),'19_Расчет_аналитики'!BK4456*CapacityAge01*'19_Расчет_аналитики'!$F$4259,0),0)</f>
        <v/>
      </c>
      <c r="BL4568">
        <f>IF('01_Вводные'!$B$234="Да",IF(IF('01_Вводные'!$B$296="Новый сезон",FALSE,FALSE),'19_Расчет_аналитики'!BL4456*CapacityAge01*'19_Расчет_аналитики'!$F$4259,0),0)</f>
        <v/>
      </c>
      <c r="BM4568">
        <f>IF('01_Вводные'!$B$234="Да",IF(IF('01_Вводные'!$B$296="Новый сезон",FALSE,FALSE),'19_Расчет_аналитики'!BM4456*CapacityAge01*'19_Расчет_аналитики'!$F$4259,0),0)</f>
        <v/>
      </c>
      <c r="BN4568">
        <f>IF('01_Вводные'!$B$234="Да",IF(IF('01_Вводные'!$B$296="Новый сезон",FALSE,FALSE),'19_Расчет_аналитики'!BN4456*CapacityAge01*'19_Расчет_аналитики'!$F$4259,0),0)</f>
        <v/>
      </c>
      <c r="BO4568">
        <f>IF('01_Вводные'!$B$234="Да",IF(IF('01_Вводные'!$B$296="Новый сезон",FALSE,FALSE),'19_Расчет_аналитики'!BO4456*CapacityAge01*'19_Расчет_аналитики'!$F$4259,0),0)</f>
        <v/>
      </c>
    </row>
    <row r="4569">
      <c r="B4569">
        <f>IF('01_Вводные'!$B$234="Да",IF(IF('01_Вводные'!$B$296="Новый сезон",FALSE,FALSE),'06_Сеть_и_дети'!B54*CapacityAge02*'19_Расчет_аналитики'!$F$4259,0),0)</f>
        <v/>
      </c>
      <c r="C4569">
        <f>IF('01_Вводные'!$B$234="Да",IF(IF('01_Вводные'!$B$296="Новый сезон",FALSE,FALSE),'19_Расчет_аналитики'!C4457*CapacityAge02*'19_Расчет_аналитики'!$F$4259,0),0)</f>
        <v/>
      </c>
      <c r="D4569">
        <f>IF('01_Вводные'!$B$234="Да",IF(IF('01_Вводные'!$B$296="Новый сезон",FALSE,FALSE),'19_Расчет_аналитики'!D4457*CapacityAge02*'19_Расчет_аналитики'!$F$4259,0),0)</f>
        <v/>
      </c>
      <c r="E4569">
        <f>IF('01_Вводные'!$B$234="Да",IF(IF('01_Вводные'!$B$296="Новый сезон",FALSE,FALSE),'19_Расчет_аналитики'!E4457*CapacityAge02*'19_Расчет_аналитики'!$F$4259,0),0)</f>
        <v/>
      </c>
      <c r="F4569">
        <f>IF('01_Вводные'!$B$234="Да",IF(IF('01_Вводные'!$B$296="Новый сезон",FALSE,FALSE),'19_Расчет_аналитики'!F4457*CapacityAge02*'19_Расчет_аналитики'!$F$4259,0),0)</f>
        <v/>
      </c>
      <c r="G4569">
        <f>IF('01_Вводные'!$B$234="Да",IF(IF('01_Вводные'!$B$296="Новый сезон",FALSE,FALSE),'19_Расчет_аналитики'!G4457*CapacityAge02*'19_Расчет_аналитики'!$F$4259,0),0)</f>
        <v/>
      </c>
      <c r="H4569">
        <f>IF('01_Вводные'!$B$234="Да",IF(IF('01_Вводные'!$B$296="Новый сезон",FALSE,FALSE),'19_Расчет_аналитики'!H4457*CapacityAge02*'19_Расчет_аналитики'!$F$4259,0),0)</f>
        <v/>
      </c>
      <c r="I4569">
        <f>IF('01_Вводные'!$B$234="Да",IF(IF('01_Вводные'!$B$296="Новый сезон",FALSE,FALSE),'19_Расчет_аналитики'!I4457*CapacityAge02*'19_Расчет_аналитики'!$F$4259,0),0)</f>
        <v/>
      </c>
      <c r="J4569">
        <f>IF('01_Вводные'!$B$234="Да",IF(IF('01_Вводные'!$B$296="Новый сезон",FALSE,FALSE),'19_Расчет_аналитики'!J4457*CapacityAge02*'19_Расчет_аналитики'!$F$4259,0),0)</f>
        <v/>
      </c>
      <c r="K4569">
        <f>IF('01_Вводные'!$B$234="Да",IF(IF('01_Вводные'!$B$296="Новый сезон",FALSE,FALSE),'19_Расчет_аналитики'!K4457*CapacityAge02*'19_Расчет_аналитики'!$F$4259,0),0)</f>
        <v/>
      </c>
      <c r="L4569">
        <f>IF('01_Вводные'!$B$234="Да",IF(IF('01_Вводные'!$B$296="Новый сезон",FALSE,FALSE),'19_Расчет_аналитики'!L4457*CapacityAge02*'19_Расчет_аналитики'!$F$4259,0),0)</f>
        <v/>
      </c>
      <c r="M4569">
        <f>IF('01_Вводные'!$B$234="Да",IF(IF('01_Вводные'!$B$296="Новый сезон",FALSE,FALSE),'19_Расчет_аналитики'!M4457*CapacityAge02*'19_Расчет_аналитики'!$F$4259,0),0)</f>
        <v/>
      </c>
      <c r="N4569">
        <f>IF('01_Вводные'!$B$234="Да",IF(IF('01_Вводные'!$B$296="Новый сезон",FALSE,FALSE),'19_Расчет_аналитики'!N4457*CapacityAge02*'19_Расчет_аналитики'!$F$4259,0),0)</f>
        <v/>
      </c>
      <c r="O4569">
        <f>IF('01_Вводные'!$B$234="Да",IF(IF('01_Вводные'!$B$296="Новый сезон",FALSE,FALSE),'19_Расчет_аналитики'!O4457*CapacityAge02*'19_Расчет_аналитики'!$F$4259,0),0)</f>
        <v/>
      </c>
      <c r="P4569">
        <f>IF('01_Вводные'!$B$234="Да",IF(IF('01_Вводные'!$B$296="Новый сезон",FALSE,FALSE),'19_Расчет_аналитики'!P4457*CapacityAge02*'19_Расчет_аналитики'!$F$4259,0),0)</f>
        <v/>
      </c>
      <c r="Q4569">
        <f>IF('01_Вводные'!$B$234="Да",IF(IF('01_Вводные'!$B$296="Новый сезон",FALSE,FALSE),'19_Расчет_аналитики'!Q4457*CapacityAge02*'19_Расчет_аналитики'!$F$4259,0),0)</f>
        <v/>
      </c>
      <c r="R4569">
        <f>IF('01_Вводные'!$B$234="Да",IF(IF('01_Вводные'!$B$296="Новый сезон",FALSE,FALSE),'19_Расчет_аналитики'!R4457*CapacityAge02*'19_Расчет_аналитики'!$F$4259,0),0)</f>
        <v/>
      </c>
      <c r="S4569">
        <f>IF('01_Вводные'!$B$234="Да",IF(IF('01_Вводные'!$B$296="Новый сезон",FALSE,FALSE),'19_Расчет_аналитики'!S4457*CapacityAge02*'19_Расчет_аналитики'!$F$4259,0),0)</f>
        <v/>
      </c>
      <c r="T4569">
        <f>IF('01_Вводные'!$B$234="Да",IF(IF('01_Вводные'!$B$296="Новый сезон",FALSE,FALSE),'19_Расчет_аналитики'!T4457*CapacityAge02*'19_Расчет_аналитики'!$F$4259,0),0)</f>
        <v/>
      </c>
      <c r="U4569">
        <f>IF('01_Вводные'!$B$234="Да",IF(IF('01_Вводные'!$B$296="Новый сезон",FALSE,FALSE),'19_Расчет_аналитики'!U4457*CapacityAge02*'19_Расчет_аналитики'!$F$4259,0),0)</f>
        <v/>
      </c>
      <c r="V4569">
        <f>IF('01_Вводные'!$B$234="Да",IF(IF('01_Вводные'!$B$296="Новый сезон",FALSE,FALSE),'19_Расчет_аналитики'!V4457*CapacityAge02*'19_Расчет_аналитики'!$F$4259,0),0)</f>
        <v/>
      </c>
      <c r="W4569">
        <f>IF('01_Вводные'!$B$234="Да",IF(IF('01_Вводные'!$B$296="Новый сезон",FALSE,FALSE),'19_Расчет_аналитики'!W4457*CapacityAge02*'19_Расчет_аналитики'!$F$4259,0),0)</f>
        <v/>
      </c>
      <c r="X4569">
        <f>IF('01_Вводные'!$B$234="Да",IF(IF('01_Вводные'!$B$296="Новый сезон",FALSE,FALSE),'19_Расчет_аналитики'!X4457*CapacityAge02*'19_Расчет_аналитики'!$F$4259,0),0)</f>
        <v/>
      </c>
      <c r="Y4569">
        <f>IF('01_Вводные'!$B$234="Да",IF(IF('01_Вводные'!$B$296="Новый сезон",FALSE,FALSE),'19_Расчет_аналитики'!Y4457*CapacityAge02*'19_Расчет_аналитики'!$F$4259,0),0)</f>
        <v/>
      </c>
      <c r="Z4569">
        <f>IF('01_Вводные'!$B$234="Да",IF(IF('01_Вводные'!$B$296="Новый сезон",FALSE,FALSE),'19_Расчет_аналитики'!Z4457*CapacityAge02*'19_Расчет_аналитики'!$F$4259,0),0)</f>
        <v/>
      </c>
      <c r="AA4569">
        <f>IF('01_Вводные'!$B$234="Да",IF(IF('01_Вводные'!$B$296="Новый сезон",FALSE,FALSE),'19_Расчет_аналитики'!AA4457*CapacityAge02*'19_Расчет_аналитики'!$F$4259,0),0)</f>
        <v/>
      </c>
      <c r="AB4569">
        <f>IF('01_Вводные'!$B$234="Да",IF(IF('01_Вводные'!$B$296="Новый сезон",FALSE,FALSE),'19_Расчет_аналитики'!AB4457*CapacityAge02*'19_Расчет_аналитики'!$F$4259,0),0)</f>
        <v/>
      </c>
      <c r="AC4569">
        <f>IF('01_Вводные'!$B$234="Да",IF(IF('01_Вводные'!$B$296="Новый сезон",FALSE,FALSE),'19_Расчет_аналитики'!AC4457*CapacityAge02*'19_Расчет_аналитики'!$F$4259,0),0)</f>
        <v/>
      </c>
      <c r="AD4569">
        <f>IF('01_Вводные'!$B$234="Да",IF(IF('01_Вводные'!$B$296="Новый сезон",FALSE,FALSE),'19_Расчет_аналитики'!AD4457*CapacityAge02*'19_Расчет_аналитики'!$F$4259,0),0)</f>
        <v/>
      </c>
      <c r="AE4569">
        <f>IF('01_Вводные'!$B$234="Да",IF(IF('01_Вводные'!$B$296="Новый сезон",FALSE,FALSE),'19_Расчет_аналитики'!AE4457*CapacityAge02*'19_Расчет_аналитики'!$F$4259,0),0)</f>
        <v/>
      </c>
      <c r="AF4569">
        <f>IF('01_Вводные'!$B$234="Да",IF(IF('01_Вводные'!$B$296="Новый сезон",FALSE,FALSE),'19_Расчет_аналитики'!AF4457*CapacityAge02*'19_Расчет_аналитики'!$F$4259,0),0)</f>
        <v/>
      </c>
      <c r="AG4569">
        <f>IF('01_Вводные'!$B$234="Да",IF(IF('01_Вводные'!$B$296="Новый сезон",FALSE,FALSE),'19_Расчет_аналитики'!AG4457*CapacityAge02*'19_Расчет_аналитики'!$F$4259,0),0)</f>
        <v/>
      </c>
      <c r="AH4569">
        <f>IF('01_Вводные'!$B$234="Да",IF(IF('01_Вводные'!$B$296="Новый сезон",FALSE,FALSE),'19_Расчет_аналитики'!AH4457*CapacityAge02*'19_Расчет_аналитики'!$F$4259,0),0)</f>
        <v/>
      </c>
      <c r="AI4569">
        <f>IF('01_Вводные'!$B$234="Да",IF(IF('01_Вводные'!$B$296="Новый сезон",FALSE,FALSE),'19_Расчет_аналитики'!AI4457*CapacityAge02*'19_Расчет_аналитики'!$F$4259,0),0)</f>
        <v/>
      </c>
      <c r="AJ4569">
        <f>IF('01_Вводные'!$B$234="Да",IF(IF('01_Вводные'!$B$296="Новый сезон",FALSE,FALSE),'19_Расчет_аналитики'!AJ4457*CapacityAge02*'19_Расчет_аналитики'!$F$4259,0),0)</f>
        <v/>
      </c>
      <c r="AK4569">
        <f>IF('01_Вводные'!$B$234="Да",IF(IF('01_Вводные'!$B$296="Новый сезон",FALSE,FALSE),'19_Расчет_аналитики'!AK4457*CapacityAge02*'19_Расчет_аналитики'!$F$4259,0),0)</f>
        <v/>
      </c>
      <c r="AL4569">
        <f>IF('01_Вводные'!$B$234="Да",IF(IF('01_Вводные'!$B$296="Новый сезон",FALSE,FALSE),'19_Расчет_аналитики'!AL4457*CapacityAge02*'19_Расчет_аналитики'!$F$4259,0),0)</f>
        <v/>
      </c>
      <c r="AM4569">
        <f>IF('01_Вводные'!$B$234="Да",IF(IF('01_Вводные'!$B$296="Новый сезон",FALSE,FALSE),'19_Расчет_аналитики'!AM4457*CapacityAge02*'19_Расчет_аналитики'!$F$4259,0),0)</f>
        <v/>
      </c>
      <c r="AN4569">
        <f>IF('01_Вводные'!$B$234="Да",IF(IF('01_Вводные'!$B$296="Новый сезон",FALSE,FALSE),'19_Расчет_аналитики'!AN4457*CapacityAge02*'19_Расчет_аналитики'!$F$4259,0),0)</f>
        <v/>
      </c>
      <c r="AO4569">
        <f>IF('01_Вводные'!$B$234="Да",IF(IF('01_Вводные'!$B$296="Новый сезон",FALSE,FALSE),'19_Расчет_аналитики'!AO4457*CapacityAge02*'19_Расчет_аналитики'!$F$4259,0),0)</f>
        <v/>
      </c>
      <c r="AP4569">
        <f>IF('01_Вводные'!$B$234="Да",IF(IF('01_Вводные'!$B$296="Новый сезон",FALSE,FALSE),'19_Расчет_аналитики'!AP4457*CapacityAge02*'19_Расчет_аналитики'!$F$4259,0),0)</f>
        <v/>
      </c>
      <c r="AQ4569">
        <f>IF('01_Вводные'!$B$234="Да",IF(IF('01_Вводные'!$B$296="Новый сезон",FALSE,FALSE),'19_Расчет_аналитики'!AQ4457*CapacityAge02*'19_Расчет_аналитики'!$F$4259,0),0)</f>
        <v/>
      </c>
      <c r="AR4569">
        <f>IF('01_Вводные'!$B$234="Да",IF(IF('01_Вводные'!$B$296="Новый сезон",FALSE,FALSE),'19_Расчет_аналитики'!AR4457*CapacityAge02*'19_Расчет_аналитики'!$F$4259,0),0)</f>
        <v/>
      </c>
      <c r="AS4569">
        <f>IF('01_Вводные'!$B$234="Да",IF(IF('01_Вводные'!$B$296="Новый сезон",FALSE,FALSE),'19_Расчет_аналитики'!AS4457*CapacityAge02*'19_Расчет_аналитики'!$F$4259,0),0)</f>
        <v/>
      </c>
      <c r="AT4569">
        <f>IF('01_Вводные'!$B$234="Да",IF(IF('01_Вводные'!$B$296="Новый сезон",FALSE,FALSE),'19_Расчет_аналитики'!AT4457*CapacityAge02*'19_Расчет_аналитики'!$F$4259,0),0)</f>
        <v/>
      </c>
      <c r="AU4569">
        <f>IF('01_Вводные'!$B$234="Да",IF(IF('01_Вводные'!$B$296="Новый сезон",FALSE,FALSE),'19_Расчет_аналитики'!AU4457*CapacityAge02*'19_Расчет_аналитики'!$F$4259,0),0)</f>
        <v/>
      </c>
      <c r="AV4569">
        <f>IF('01_Вводные'!$B$234="Да",IF(IF('01_Вводные'!$B$296="Новый сезон",FALSE,FALSE),'19_Расчет_аналитики'!AV4457*CapacityAge02*'19_Расчет_аналитики'!$F$4259,0),0)</f>
        <v/>
      </c>
      <c r="AW4569">
        <f>IF('01_Вводные'!$B$234="Да",IF(IF('01_Вводные'!$B$296="Новый сезон",FALSE,FALSE),'19_Расчет_аналитики'!AW4457*CapacityAge02*'19_Расчет_аналитики'!$F$4259,0),0)</f>
        <v/>
      </c>
      <c r="AX4569">
        <f>IF('01_Вводные'!$B$234="Да",IF(IF('01_Вводные'!$B$296="Новый сезон",FALSE,FALSE),'19_Расчет_аналитики'!AX4457*CapacityAge02*'19_Расчет_аналитики'!$F$4259,0),0)</f>
        <v/>
      </c>
      <c r="AY4569">
        <f>IF('01_Вводные'!$B$234="Да",IF(IF('01_Вводные'!$B$296="Новый сезон",FALSE,FALSE),'19_Расчет_аналитики'!AY4457*CapacityAge02*'19_Расчет_аналитики'!$F$4259,0),0)</f>
        <v/>
      </c>
      <c r="AZ4569">
        <f>IF('01_Вводные'!$B$234="Да",IF(IF('01_Вводные'!$B$296="Новый сезон",FALSE,FALSE),'19_Расчет_аналитики'!AZ4457*CapacityAge02*'19_Расчет_аналитики'!$F$4259,0),0)</f>
        <v/>
      </c>
      <c r="BA4569">
        <f>IF('01_Вводные'!$B$234="Да",IF(IF('01_Вводные'!$B$296="Новый сезон",FALSE,FALSE),'19_Расчет_аналитики'!BA4457*CapacityAge02*'19_Расчет_аналитики'!$F$4259,0),0)</f>
        <v/>
      </c>
      <c r="BB4569">
        <f>IF('01_Вводные'!$B$234="Да",IF(IF('01_Вводные'!$B$296="Новый сезон",FALSE,FALSE),'19_Расчет_аналитики'!BB4457*CapacityAge02*'19_Расчет_аналитики'!$F$4259,0),0)</f>
        <v/>
      </c>
      <c r="BC4569">
        <f>IF('01_Вводные'!$B$234="Да",IF(IF('01_Вводные'!$B$296="Новый сезон",FALSE,FALSE),'19_Расчет_аналитики'!BC4457*CapacityAge02*'19_Расчет_аналитики'!$F$4259,0),0)</f>
        <v/>
      </c>
      <c r="BD4569">
        <f>IF('01_Вводные'!$B$234="Да",IF(IF('01_Вводные'!$B$296="Новый сезон",FALSE,FALSE),'19_Расчет_аналитики'!BD4457*CapacityAge02*'19_Расчет_аналитики'!$F$4259,0),0)</f>
        <v/>
      </c>
      <c r="BE4569">
        <f>IF('01_Вводные'!$B$234="Да",IF(IF('01_Вводные'!$B$296="Новый сезон",FALSE,FALSE),'19_Расчет_аналитики'!BE4457*CapacityAge02*'19_Расчет_аналитики'!$F$4259,0),0)</f>
        <v/>
      </c>
      <c r="BF4569">
        <f>IF('01_Вводные'!$B$234="Да",IF(IF('01_Вводные'!$B$296="Новый сезон",FALSE,FALSE),'19_Расчет_аналитики'!BF4457*CapacityAge02*'19_Расчет_аналитики'!$F$4259,0),0)</f>
        <v/>
      </c>
      <c r="BG4569">
        <f>IF('01_Вводные'!$B$234="Да",IF(IF('01_Вводные'!$B$296="Новый сезон",FALSE,FALSE),'19_Расчет_аналитики'!BG4457*CapacityAge02*'19_Расчет_аналитики'!$F$4259,0),0)</f>
        <v/>
      </c>
      <c r="BH4569">
        <f>IF('01_Вводные'!$B$234="Да",IF(IF('01_Вводные'!$B$296="Новый сезон",FALSE,FALSE),'19_Расчет_аналитики'!BH4457*CapacityAge02*'19_Расчет_аналитики'!$F$4259,0),0)</f>
        <v/>
      </c>
      <c r="BI4569">
        <f>IF('01_Вводные'!$B$234="Да",IF(IF('01_Вводные'!$B$296="Новый сезон",FALSE,FALSE),'19_Расчет_аналитики'!BI4457*CapacityAge02*'19_Расчет_аналитики'!$F$4259,0),0)</f>
        <v/>
      </c>
      <c r="BJ4569">
        <f>IF('01_Вводные'!$B$234="Да",IF(IF('01_Вводные'!$B$296="Новый сезон",FALSE,FALSE),'19_Расчет_аналитики'!BJ4457*CapacityAge02*'19_Расчет_аналитики'!$F$4259,0),0)</f>
        <v/>
      </c>
      <c r="BK4569">
        <f>IF('01_Вводные'!$B$234="Да",IF(IF('01_Вводные'!$B$296="Новый сезон",FALSE,FALSE),'19_Расчет_аналитики'!BK4457*CapacityAge02*'19_Расчет_аналитики'!$F$4259,0),0)</f>
        <v/>
      </c>
      <c r="BL4569">
        <f>IF('01_Вводные'!$B$234="Да",IF(IF('01_Вводные'!$B$296="Новый сезон",FALSE,FALSE),'19_Расчет_аналитики'!BL4457*CapacityAge02*'19_Расчет_аналитики'!$F$4259,0),0)</f>
        <v/>
      </c>
      <c r="BM4569">
        <f>IF('01_Вводные'!$B$234="Да",IF(IF('01_Вводные'!$B$296="Новый сезон",FALSE,FALSE),'19_Расчет_аналитики'!BM4457*CapacityAge02*'19_Расчет_аналитики'!$F$4259,0),0)</f>
        <v/>
      </c>
      <c r="BN4569">
        <f>IF('01_Вводные'!$B$234="Да",IF(IF('01_Вводные'!$B$296="Новый сезон",FALSE,FALSE),'19_Расчет_аналитики'!BN4457*CapacityAge02*'19_Расчет_аналитики'!$F$4259,0),0)</f>
        <v/>
      </c>
      <c r="BO4569">
        <f>IF('01_Вводные'!$B$234="Да",IF(IF('01_Вводные'!$B$296="Новый сезон",FALSE,FALSE),'19_Расчет_аналитики'!BO4457*CapacityAge02*'19_Расчет_аналитики'!$F$4259,0),0)</f>
        <v/>
      </c>
    </row>
    <row r="4570">
      <c r="B4570">
        <f>IF('01_Вводные'!$B$234="Да",IF(IF('01_Вводные'!$B$296="Новый сезон",FALSE,FALSE),'06_Сеть_и_дети'!B55*CapacityAge03*'19_Расчет_аналитики'!$F$4259,0),0)</f>
        <v/>
      </c>
      <c r="C4570">
        <f>IF('01_Вводные'!$B$234="Да",IF(IF('01_Вводные'!$B$296="Новый сезон",FALSE,FALSE),'06_Сеть_и_дети'!C55*CapacityAge03*'19_Расчет_аналитики'!$F$4259,0),0)</f>
        <v/>
      </c>
      <c r="D4570">
        <f>IF('01_Вводные'!$B$234="Да",IF(IF('01_Вводные'!$B$296="Новый сезон",FALSE,FALSE),'19_Расчет_аналитики'!D4458*CapacityAge03*'19_Расчет_аналитики'!$F$4259,0),0)</f>
        <v/>
      </c>
      <c r="E4570">
        <f>IF('01_Вводные'!$B$234="Да",IF(IF('01_Вводные'!$B$296="Новый сезон",FALSE,FALSE),'19_Расчет_аналитики'!E4458*CapacityAge03*'19_Расчет_аналитики'!$F$4259,0),0)</f>
        <v/>
      </c>
      <c r="F4570">
        <f>IF('01_Вводные'!$B$234="Да",IF(IF('01_Вводные'!$B$296="Новый сезон",FALSE,FALSE),'19_Расчет_аналитики'!F4458*CapacityAge03*'19_Расчет_аналитики'!$F$4259,0),0)</f>
        <v/>
      </c>
      <c r="G4570">
        <f>IF('01_Вводные'!$B$234="Да",IF(IF('01_Вводные'!$B$296="Новый сезон",FALSE,FALSE),'19_Расчет_аналитики'!G4458*CapacityAge03*'19_Расчет_аналитики'!$F$4259,0),0)</f>
        <v/>
      </c>
      <c r="H4570">
        <f>IF('01_Вводные'!$B$234="Да",IF(IF('01_Вводные'!$B$296="Новый сезон",FALSE,FALSE),'19_Расчет_аналитики'!H4458*CapacityAge03*'19_Расчет_аналитики'!$F$4259,0),0)</f>
        <v/>
      </c>
      <c r="I4570">
        <f>IF('01_Вводные'!$B$234="Да",IF(IF('01_Вводные'!$B$296="Новый сезон",FALSE,FALSE),'19_Расчет_аналитики'!I4458*CapacityAge03*'19_Расчет_аналитики'!$F$4259,0),0)</f>
        <v/>
      </c>
      <c r="J4570">
        <f>IF('01_Вводные'!$B$234="Да",IF(IF('01_Вводные'!$B$296="Новый сезон",FALSE,FALSE),'19_Расчет_аналитики'!J4458*CapacityAge03*'19_Расчет_аналитики'!$F$4259,0),0)</f>
        <v/>
      </c>
      <c r="K4570">
        <f>IF('01_Вводные'!$B$234="Да",IF(IF('01_Вводные'!$B$296="Новый сезон",FALSE,FALSE),'19_Расчет_аналитики'!K4458*CapacityAge03*'19_Расчет_аналитики'!$F$4259,0),0)</f>
        <v/>
      </c>
      <c r="L4570">
        <f>IF('01_Вводные'!$B$234="Да",IF(IF('01_Вводные'!$B$296="Новый сезон",FALSE,FALSE),'19_Расчет_аналитики'!L4458*CapacityAge03*'19_Расчет_аналитики'!$F$4259,0),0)</f>
        <v/>
      </c>
      <c r="M4570">
        <f>IF('01_Вводные'!$B$234="Да",IF(IF('01_Вводные'!$B$296="Новый сезон",FALSE,FALSE),'19_Расчет_аналитики'!M4458*CapacityAge03*'19_Расчет_аналитики'!$F$4259,0),0)</f>
        <v/>
      </c>
      <c r="N4570">
        <f>IF('01_Вводные'!$B$234="Да",IF(IF('01_Вводные'!$B$296="Новый сезон",FALSE,FALSE),'19_Расчет_аналитики'!N4458*CapacityAge03*'19_Расчет_аналитики'!$F$4259,0),0)</f>
        <v/>
      </c>
      <c r="O4570">
        <f>IF('01_Вводные'!$B$234="Да",IF(IF('01_Вводные'!$B$296="Новый сезон",FALSE,FALSE),'19_Расчет_аналитики'!O4458*CapacityAge03*'19_Расчет_аналитики'!$F$4259,0),0)</f>
        <v/>
      </c>
      <c r="P4570">
        <f>IF('01_Вводные'!$B$234="Да",IF(IF('01_Вводные'!$B$296="Новый сезон",FALSE,FALSE),'19_Расчет_аналитики'!P4458*CapacityAge03*'19_Расчет_аналитики'!$F$4259,0),0)</f>
        <v/>
      </c>
      <c r="Q4570">
        <f>IF('01_Вводные'!$B$234="Да",IF(IF('01_Вводные'!$B$296="Новый сезон",FALSE,FALSE),'19_Расчет_аналитики'!Q4458*CapacityAge03*'19_Расчет_аналитики'!$F$4259,0),0)</f>
        <v/>
      </c>
      <c r="R4570">
        <f>IF('01_Вводные'!$B$234="Да",IF(IF('01_Вводные'!$B$296="Новый сезон",FALSE,FALSE),'19_Расчет_аналитики'!R4458*CapacityAge03*'19_Расчет_аналитики'!$F$4259,0),0)</f>
        <v/>
      </c>
      <c r="S4570">
        <f>IF('01_Вводные'!$B$234="Да",IF(IF('01_Вводные'!$B$296="Новый сезон",FALSE,FALSE),'19_Расчет_аналитики'!S4458*CapacityAge03*'19_Расчет_аналитики'!$F$4259,0),0)</f>
        <v/>
      </c>
      <c r="T4570">
        <f>IF('01_Вводные'!$B$234="Да",IF(IF('01_Вводные'!$B$296="Новый сезон",FALSE,FALSE),'19_Расчет_аналитики'!T4458*CapacityAge03*'19_Расчет_аналитики'!$F$4259,0),0)</f>
        <v/>
      </c>
      <c r="U4570">
        <f>IF('01_Вводные'!$B$234="Да",IF(IF('01_Вводные'!$B$296="Новый сезон",FALSE,FALSE),'19_Расчет_аналитики'!U4458*CapacityAge03*'19_Расчет_аналитики'!$F$4259,0),0)</f>
        <v/>
      </c>
      <c r="V4570">
        <f>IF('01_Вводные'!$B$234="Да",IF(IF('01_Вводные'!$B$296="Новый сезон",FALSE,FALSE),'19_Расчет_аналитики'!V4458*CapacityAge03*'19_Расчет_аналитики'!$F$4259,0),0)</f>
        <v/>
      </c>
      <c r="W4570">
        <f>IF('01_Вводные'!$B$234="Да",IF(IF('01_Вводные'!$B$296="Новый сезон",FALSE,FALSE),'19_Расчет_аналитики'!W4458*CapacityAge03*'19_Расчет_аналитики'!$F$4259,0),0)</f>
        <v/>
      </c>
      <c r="X4570">
        <f>IF('01_Вводные'!$B$234="Да",IF(IF('01_Вводные'!$B$296="Новый сезон",FALSE,FALSE),'19_Расчет_аналитики'!X4458*CapacityAge03*'19_Расчет_аналитики'!$F$4259,0),0)</f>
        <v/>
      </c>
      <c r="Y4570">
        <f>IF('01_Вводные'!$B$234="Да",IF(IF('01_Вводные'!$B$296="Новый сезон",FALSE,FALSE),'19_Расчет_аналитики'!Y4458*CapacityAge03*'19_Расчет_аналитики'!$F$4259,0),0)</f>
        <v/>
      </c>
      <c r="Z4570">
        <f>IF('01_Вводные'!$B$234="Да",IF(IF('01_Вводные'!$B$296="Новый сезон",FALSE,FALSE),'19_Расчет_аналитики'!Z4458*CapacityAge03*'19_Расчет_аналитики'!$F$4259,0),0)</f>
        <v/>
      </c>
      <c r="AA4570">
        <f>IF('01_Вводные'!$B$234="Да",IF(IF('01_Вводные'!$B$296="Новый сезон",FALSE,FALSE),'19_Расчет_аналитики'!AA4458*CapacityAge03*'19_Расчет_аналитики'!$F$4259,0),0)</f>
        <v/>
      </c>
      <c r="AB4570">
        <f>IF('01_Вводные'!$B$234="Да",IF(IF('01_Вводные'!$B$296="Новый сезон",FALSE,FALSE),'19_Расчет_аналитики'!AB4458*CapacityAge03*'19_Расчет_аналитики'!$F$4259,0),0)</f>
        <v/>
      </c>
      <c r="AC4570">
        <f>IF('01_Вводные'!$B$234="Да",IF(IF('01_Вводные'!$B$296="Новый сезон",FALSE,FALSE),'19_Расчет_аналитики'!AC4458*CapacityAge03*'19_Расчет_аналитики'!$F$4259,0),0)</f>
        <v/>
      </c>
      <c r="AD4570">
        <f>IF('01_Вводные'!$B$234="Да",IF(IF('01_Вводные'!$B$296="Новый сезон",FALSE,FALSE),'19_Расчет_аналитики'!AD4458*CapacityAge03*'19_Расчет_аналитики'!$F$4259,0),0)</f>
        <v/>
      </c>
      <c r="AE4570">
        <f>IF('01_Вводные'!$B$234="Да",IF(IF('01_Вводные'!$B$296="Новый сезон",FALSE,FALSE),'19_Расчет_аналитики'!AE4458*CapacityAge03*'19_Расчет_аналитики'!$F$4259,0),0)</f>
        <v/>
      </c>
      <c r="AF4570">
        <f>IF('01_Вводные'!$B$234="Да",IF(IF('01_Вводные'!$B$296="Новый сезон",FALSE,FALSE),'19_Расчет_аналитики'!AF4458*CapacityAge03*'19_Расчет_аналитики'!$F$4259,0),0)</f>
        <v/>
      </c>
      <c r="AG4570">
        <f>IF('01_Вводные'!$B$234="Да",IF(IF('01_Вводные'!$B$296="Новый сезон",FALSE,FALSE),'19_Расчет_аналитики'!AG4458*CapacityAge03*'19_Расчет_аналитики'!$F$4259,0),0)</f>
        <v/>
      </c>
      <c r="AH4570">
        <f>IF('01_Вводные'!$B$234="Да",IF(IF('01_Вводные'!$B$296="Новый сезон",FALSE,FALSE),'19_Расчет_аналитики'!AH4458*CapacityAge03*'19_Расчет_аналитики'!$F$4259,0),0)</f>
        <v/>
      </c>
      <c r="AI4570">
        <f>IF('01_Вводные'!$B$234="Да",IF(IF('01_Вводные'!$B$296="Новый сезон",FALSE,FALSE),'19_Расчет_аналитики'!AI4458*CapacityAge03*'19_Расчет_аналитики'!$F$4259,0),0)</f>
        <v/>
      </c>
      <c r="AJ4570">
        <f>IF('01_Вводные'!$B$234="Да",IF(IF('01_Вводные'!$B$296="Новый сезон",FALSE,FALSE),'19_Расчет_аналитики'!AJ4458*CapacityAge03*'19_Расчет_аналитики'!$F$4259,0),0)</f>
        <v/>
      </c>
      <c r="AK4570">
        <f>IF('01_Вводные'!$B$234="Да",IF(IF('01_Вводные'!$B$296="Новый сезон",FALSE,FALSE),'19_Расчет_аналитики'!AK4458*CapacityAge03*'19_Расчет_аналитики'!$F$4259,0),0)</f>
        <v/>
      </c>
      <c r="AL4570">
        <f>IF('01_Вводные'!$B$234="Да",IF(IF('01_Вводные'!$B$296="Новый сезон",FALSE,FALSE),'19_Расчет_аналитики'!AL4458*CapacityAge03*'19_Расчет_аналитики'!$F$4259,0),0)</f>
        <v/>
      </c>
      <c r="AM4570">
        <f>IF('01_Вводные'!$B$234="Да",IF(IF('01_Вводные'!$B$296="Новый сезон",FALSE,FALSE),'19_Расчет_аналитики'!AM4458*CapacityAge03*'19_Расчет_аналитики'!$F$4259,0),0)</f>
        <v/>
      </c>
      <c r="AN4570">
        <f>IF('01_Вводные'!$B$234="Да",IF(IF('01_Вводные'!$B$296="Новый сезон",FALSE,FALSE),'19_Расчет_аналитики'!AN4458*CapacityAge03*'19_Расчет_аналитики'!$F$4259,0),0)</f>
        <v/>
      </c>
      <c r="AO4570">
        <f>IF('01_Вводные'!$B$234="Да",IF(IF('01_Вводные'!$B$296="Новый сезон",FALSE,FALSE),'19_Расчет_аналитики'!AO4458*CapacityAge03*'19_Расчет_аналитики'!$F$4259,0),0)</f>
        <v/>
      </c>
      <c r="AP4570">
        <f>IF('01_Вводные'!$B$234="Да",IF(IF('01_Вводные'!$B$296="Новый сезон",FALSE,FALSE),'19_Расчет_аналитики'!AP4458*CapacityAge03*'19_Расчет_аналитики'!$F$4259,0),0)</f>
        <v/>
      </c>
      <c r="AQ4570">
        <f>IF('01_Вводные'!$B$234="Да",IF(IF('01_Вводные'!$B$296="Новый сезон",FALSE,FALSE),'19_Расчет_аналитики'!AQ4458*CapacityAge03*'19_Расчет_аналитики'!$F$4259,0),0)</f>
        <v/>
      </c>
      <c r="AR4570">
        <f>IF('01_Вводные'!$B$234="Да",IF(IF('01_Вводные'!$B$296="Новый сезон",FALSE,FALSE),'19_Расчет_аналитики'!AR4458*CapacityAge03*'19_Расчет_аналитики'!$F$4259,0),0)</f>
        <v/>
      </c>
      <c r="AS4570">
        <f>IF('01_Вводные'!$B$234="Да",IF(IF('01_Вводные'!$B$296="Новый сезон",FALSE,FALSE),'19_Расчет_аналитики'!AS4458*CapacityAge03*'19_Расчет_аналитики'!$F$4259,0),0)</f>
        <v/>
      </c>
      <c r="AT4570">
        <f>IF('01_Вводные'!$B$234="Да",IF(IF('01_Вводные'!$B$296="Новый сезон",FALSE,FALSE),'19_Расчет_аналитики'!AT4458*CapacityAge03*'19_Расчет_аналитики'!$F$4259,0),0)</f>
        <v/>
      </c>
      <c r="AU4570">
        <f>IF('01_Вводные'!$B$234="Да",IF(IF('01_Вводные'!$B$296="Новый сезон",FALSE,FALSE),'19_Расчет_аналитики'!AU4458*CapacityAge03*'19_Расчет_аналитики'!$F$4259,0),0)</f>
        <v/>
      </c>
      <c r="AV4570">
        <f>IF('01_Вводные'!$B$234="Да",IF(IF('01_Вводные'!$B$296="Новый сезон",FALSE,FALSE),'19_Расчет_аналитики'!AV4458*CapacityAge03*'19_Расчет_аналитики'!$F$4259,0),0)</f>
        <v/>
      </c>
      <c r="AW4570">
        <f>IF('01_Вводные'!$B$234="Да",IF(IF('01_Вводные'!$B$296="Новый сезон",FALSE,FALSE),'19_Расчет_аналитики'!AW4458*CapacityAge03*'19_Расчет_аналитики'!$F$4259,0),0)</f>
        <v/>
      </c>
      <c r="AX4570">
        <f>IF('01_Вводные'!$B$234="Да",IF(IF('01_Вводные'!$B$296="Новый сезон",FALSE,FALSE),'19_Расчет_аналитики'!AX4458*CapacityAge03*'19_Расчет_аналитики'!$F$4259,0),0)</f>
        <v/>
      </c>
      <c r="AY4570">
        <f>IF('01_Вводные'!$B$234="Да",IF(IF('01_Вводные'!$B$296="Новый сезон",FALSE,FALSE),'19_Расчет_аналитики'!AY4458*CapacityAge03*'19_Расчет_аналитики'!$F$4259,0),0)</f>
        <v/>
      </c>
      <c r="AZ4570">
        <f>IF('01_Вводные'!$B$234="Да",IF(IF('01_Вводные'!$B$296="Новый сезон",FALSE,FALSE),'19_Расчет_аналитики'!AZ4458*CapacityAge03*'19_Расчет_аналитики'!$F$4259,0),0)</f>
        <v/>
      </c>
      <c r="BA4570">
        <f>IF('01_Вводные'!$B$234="Да",IF(IF('01_Вводные'!$B$296="Новый сезон",FALSE,FALSE),'19_Расчет_аналитики'!BA4458*CapacityAge03*'19_Расчет_аналитики'!$F$4259,0),0)</f>
        <v/>
      </c>
      <c r="BB4570">
        <f>IF('01_Вводные'!$B$234="Да",IF(IF('01_Вводные'!$B$296="Новый сезон",FALSE,FALSE),'19_Расчет_аналитики'!BB4458*CapacityAge03*'19_Расчет_аналитики'!$F$4259,0),0)</f>
        <v/>
      </c>
      <c r="BC4570">
        <f>IF('01_Вводные'!$B$234="Да",IF(IF('01_Вводные'!$B$296="Новый сезон",FALSE,FALSE),'19_Расчет_аналитики'!BC4458*CapacityAge03*'19_Расчет_аналитики'!$F$4259,0),0)</f>
        <v/>
      </c>
      <c r="BD4570">
        <f>IF('01_Вводные'!$B$234="Да",IF(IF('01_Вводные'!$B$296="Новый сезон",FALSE,FALSE),'19_Расчет_аналитики'!BD4458*CapacityAge03*'19_Расчет_аналитики'!$F$4259,0),0)</f>
        <v/>
      </c>
      <c r="BE4570">
        <f>IF('01_Вводные'!$B$234="Да",IF(IF('01_Вводные'!$B$296="Новый сезон",FALSE,FALSE),'19_Расчет_аналитики'!BE4458*CapacityAge03*'19_Расчет_аналитики'!$F$4259,0),0)</f>
        <v/>
      </c>
      <c r="BF4570">
        <f>IF('01_Вводные'!$B$234="Да",IF(IF('01_Вводные'!$B$296="Новый сезон",FALSE,FALSE),'19_Расчет_аналитики'!BF4458*CapacityAge03*'19_Расчет_аналитики'!$F$4259,0),0)</f>
        <v/>
      </c>
      <c r="BG4570">
        <f>IF('01_Вводные'!$B$234="Да",IF(IF('01_Вводные'!$B$296="Новый сезон",FALSE,FALSE),'19_Расчет_аналитики'!BG4458*CapacityAge03*'19_Расчет_аналитики'!$F$4259,0),0)</f>
        <v/>
      </c>
      <c r="BH4570">
        <f>IF('01_Вводные'!$B$234="Да",IF(IF('01_Вводные'!$B$296="Новый сезон",FALSE,FALSE),'19_Расчет_аналитики'!BH4458*CapacityAge03*'19_Расчет_аналитики'!$F$4259,0),0)</f>
        <v/>
      </c>
      <c r="BI4570">
        <f>IF('01_Вводные'!$B$234="Да",IF(IF('01_Вводные'!$B$296="Новый сезон",FALSE,FALSE),'19_Расчет_аналитики'!BI4458*CapacityAge03*'19_Расчет_аналитики'!$F$4259,0),0)</f>
        <v/>
      </c>
      <c r="BJ4570">
        <f>IF('01_Вводные'!$B$234="Да",IF(IF('01_Вводные'!$B$296="Новый сезон",FALSE,FALSE),'19_Расчет_аналитики'!BJ4458*CapacityAge03*'19_Расчет_аналитики'!$F$4259,0),0)</f>
        <v/>
      </c>
      <c r="BK4570">
        <f>IF('01_Вводные'!$B$234="Да",IF(IF('01_Вводные'!$B$296="Новый сезон",FALSE,FALSE),'19_Расчет_аналитики'!BK4458*CapacityAge03*'19_Расчет_аналитики'!$F$4259,0),0)</f>
        <v/>
      </c>
      <c r="BL4570">
        <f>IF('01_Вводные'!$B$234="Да",IF(IF('01_Вводные'!$B$296="Новый сезон",FALSE,FALSE),'19_Расчет_аналитики'!BL4458*CapacityAge03*'19_Расчет_аналитики'!$F$4259,0),0)</f>
        <v/>
      </c>
      <c r="BM4570">
        <f>IF('01_Вводные'!$B$234="Да",IF(IF('01_Вводные'!$B$296="Новый сезон",FALSE,FALSE),'19_Расчет_аналитики'!BM4458*CapacityAge03*'19_Расчет_аналитики'!$F$4259,0),0)</f>
        <v/>
      </c>
      <c r="BN4570">
        <f>IF('01_Вводные'!$B$234="Да",IF(IF('01_Вводные'!$B$296="Новый сезон",FALSE,FALSE),'19_Расчет_аналитики'!BN4458*CapacityAge03*'19_Расчет_аналитики'!$F$4259,0),0)</f>
        <v/>
      </c>
      <c r="BO4570">
        <f>IF('01_Вводные'!$B$234="Да",IF(IF('01_Вводные'!$B$296="Новый сезон",FALSE,FALSE),'19_Расчет_аналитики'!BO4458*CapacityAge03*'19_Расчет_аналитики'!$F$4259,0),0)</f>
        <v/>
      </c>
    </row>
    <row r="4571">
      <c r="B4571">
        <f>IF('01_Вводные'!$B$234="Да",IF(IF('01_Вводные'!$B$296="Новый сезон",FALSE,FALSE),'06_Сеть_и_дети'!B56*CapacityAge04*'19_Расчет_аналитики'!$F$4259,0),0)</f>
        <v/>
      </c>
      <c r="C4571">
        <f>IF('01_Вводные'!$B$234="Да",IF(IF('01_Вводные'!$B$296="Новый сезон",FALSE,FALSE),'06_Сеть_и_дети'!C56*CapacityAge04*'19_Расчет_аналитики'!$F$4259,0),0)</f>
        <v/>
      </c>
      <c r="D4571">
        <f>IF('01_Вводные'!$B$234="Да",IF(IF('01_Вводные'!$B$296="Новый сезон",FALSE,FALSE),'06_Сеть_и_дети'!D56*CapacityAge04*'19_Расчет_аналитики'!$F$4259,0),0)</f>
        <v/>
      </c>
      <c r="E4571">
        <f>IF('01_Вводные'!$B$234="Да",IF(IF('01_Вводные'!$B$296="Новый сезон",FALSE,FALSE),'19_Расчет_аналитики'!E4459*CapacityAge04*'19_Расчет_аналитики'!$F$4259,0),0)</f>
        <v/>
      </c>
      <c r="F4571">
        <f>IF('01_Вводные'!$B$234="Да",IF(IF('01_Вводные'!$B$296="Новый сезон",FALSE,FALSE),'19_Расчет_аналитики'!F4459*CapacityAge04*'19_Расчет_аналитики'!$F$4259,0),0)</f>
        <v/>
      </c>
      <c r="G4571">
        <f>IF('01_Вводные'!$B$234="Да",IF(IF('01_Вводные'!$B$296="Новый сезон",FALSE,FALSE),'19_Расчет_аналитики'!G4459*CapacityAge04*'19_Расчет_аналитики'!$F$4259,0),0)</f>
        <v/>
      </c>
      <c r="H4571">
        <f>IF('01_Вводные'!$B$234="Да",IF(IF('01_Вводные'!$B$296="Новый сезон",FALSE,FALSE),'19_Расчет_аналитики'!H4459*CapacityAge04*'19_Расчет_аналитики'!$F$4259,0),0)</f>
        <v/>
      </c>
      <c r="I4571">
        <f>IF('01_Вводные'!$B$234="Да",IF(IF('01_Вводные'!$B$296="Новый сезон",FALSE,FALSE),'19_Расчет_аналитики'!I4459*CapacityAge04*'19_Расчет_аналитики'!$F$4259,0),0)</f>
        <v/>
      </c>
      <c r="J4571">
        <f>IF('01_Вводные'!$B$234="Да",IF(IF('01_Вводные'!$B$296="Новый сезон",FALSE,FALSE),'19_Расчет_аналитики'!J4459*CapacityAge04*'19_Расчет_аналитики'!$F$4259,0),0)</f>
        <v/>
      </c>
      <c r="K4571">
        <f>IF('01_Вводные'!$B$234="Да",IF(IF('01_Вводные'!$B$296="Новый сезон",FALSE,FALSE),'19_Расчет_аналитики'!K4459*CapacityAge04*'19_Расчет_аналитики'!$F$4259,0),0)</f>
        <v/>
      </c>
      <c r="L4571">
        <f>IF('01_Вводные'!$B$234="Да",IF(IF('01_Вводные'!$B$296="Новый сезон",FALSE,FALSE),'19_Расчет_аналитики'!L4459*CapacityAge04*'19_Расчет_аналитики'!$F$4259,0),0)</f>
        <v/>
      </c>
      <c r="M4571">
        <f>IF('01_Вводные'!$B$234="Да",IF(IF('01_Вводные'!$B$296="Новый сезон",FALSE,FALSE),'19_Расчет_аналитики'!M4459*CapacityAge04*'19_Расчет_аналитики'!$F$4259,0),0)</f>
        <v/>
      </c>
      <c r="N4571">
        <f>IF('01_Вводные'!$B$234="Да",IF(IF('01_Вводные'!$B$296="Новый сезон",FALSE,FALSE),'19_Расчет_аналитики'!N4459*CapacityAge04*'19_Расчет_аналитики'!$F$4259,0),0)</f>
        <v/>
      </c>
      <c r="O4571">
        <f>IF('01_Вводные'!$B$234="Да",IF(IF('01_Вводные'!$B$296="Новый сезон",FALSE,FALSE),'19_Расчет_аналитики'!O4459*CapacityAge04*'19_Расчет_аналитики'!$F$4259,0),0)</f>
        <v/>
      </c>
      <c r="P4571">
        <f>IF('01_Вводные'!$B$234="Да",IF(IF('01_Вводные'!$B$296="Новый сезон",FALSE,FALSE),'19_Расчет_аналитики'!P4459*CapacityAge04*'19_Расчет_аналитики'!$F$4259,0),0)</f>
        <v/>
      </c>
      <c r="Q4571">
        <f>IF('01_Вводные'!$B$234="Да",IF(IF('01_Вводные'!$B$296="Новый сезон",FALSE,FALSE),'19_Расчет_аналитики'!Q4459*CapacityAge04*'19_Расчет_аналитики'!$F$4259,0),0)</f>
        <v/>
      </c>
      <c r="R4571">
        <f>IF('01_Вводные'!$B$234="Да",IF(IF('01_Вводные'!$B$296="Новый сезон",FALSE,FALSE),'19_Расчет_аналитики'!R4459*CapacityAge04*'19_Расчет_аналитики'!$F$4259,0),0)</f>
        <v/>
      </c>
      <c r="S4571">
        <f>IF('01_Вводные'!$B$234="Да",IF(IF('01_Вводные'!$B$296="Новый сезон",FALSE,FALSE),'19_Расчет_аналитики'!S4459*CapacityAge04*'19_Расчет_аналитики'!$F$4259,0),0)</f>
        <v/>
      </c>
      <c r="T4571">
        <f>IF('01_Вводные'!$B$234="Да",IF(IF('01_Вводные'!$B$296="Новый сезон",FALSE,FALSE),'19_Расчет_аналитики'!T4459*CapacityAge04*'19_Расчет_аналитики'!$F$4259,0),0)</f>
        <v/>
      </c>
      <c r="U4571">
        <f>IF('01_Вводные'!$B$234="Да",IF(IF('01_Вводные'!$B$296="Новый сезон",FALSE,FALSE),'19_Расчет_аналитики'!U4459*CapacityAge04*'19_Расчет_аналитики'!$F$4259,0),0)</f>
        <v/>
      </c>
      <c r="V4571">
        <f>IF('01_Вводные'!$B$234="Да",IF(IF('01_Вводные'!$B$296="Новый сезон",FALSE,FALSE),'19_Расчет_аналитики'!V4459*CapacityAge04*'19_Расчет_аналитики'!$F$4259,0),0)</f>
        <v/>
      </c>
      <c r="W4571">
        <f>IF('01_Вводные'!$B$234="Да",IF(IF('01_Вводные'!$B$296="Новый сезон",FALSE,FALSE),'19_Расчет_аналитики'!W4459*CapacityAge04*'19_Расчет_аналитики'!$F$4259,0),0)</f>
        <v/>
      </c>
      <c r="X4571">
        <f>IF('01_Вводные'!$B$234="Да",IF(IF('01_Вводные'!$B$296="Новый сезон",FALSE,FALSE),'19_Расчет_аналитики'!X4459*CapacityAge04*'19_Расчет_аналитики'!$F$4259,0),0)</f>
        <v/>
      </c>
      <c r="Y4571">
        <f>IF('01_Вводные'!$B$234="Да",IF(IF('01_Вводные'!$B$296="Новый сезон",FALSE,FALSE),'19_Расчет_аналитики'!Y4459*CapacityAge04*'19_Расчет_аналитики'!$F$4259,0),0)</f>
        <v/>
      </c>
      <c r="Z4571">
        <f>IF('01_Вводные'!$B$234="Да",IF(IF('01_Вводные'!$B$296="Новый сезон",FALSE,FALSE),'19_Расчет_аналитики'!Z4459*CapacityAge04*'19_Расчет_аналитики'!$F$4259,0),0)</f>
        <v/>
      </c>
      <c r="AA4571">
        <f>IF('01_Вводные'!$B$234="Да",IF(IF('01_Вводные'!$B$296="Новый сезон",FALSE,FALSE),'19_Расчет_аналитики'!AA4459*CapacityAge04*'19_Расчет_аналитики'!$F$4259,0),0)</f>
        <v/>
      </c>
      <c r="AB4571">
        <f>IF('01_Вводные'!$B$234="Да",IF(IF('01_Вводные'!$B$296="Новый сезон",FALSE,FALSE),'19_Расчет_аналитики'!AB4459*CapacityAge04*'19_Расчет_аналитики'!$F$4259,0),0)</f>
        <v/>
      </c>
      <c r="AC4571">
        <f>IF('01_Вводные'!$B$234="Да",IF(IF('01_Вводные'!$B$296="Новый сезон",FALSE,FALSE),'19_Расчет_аналитики'!AC4459*CapacityAge04*'19_Расчет_аналитики'!$F$4259,0),0)</f>
        <v/>
      </c>
      <c r="AD4571">
        <f>IF('01_Вводные'!$B$234="Да",IF(IF('01_Вводные'!$B$296="Новый сезон",FALSE,FALSE),'19_Расчет_аналитики'!AD4459*CapacityAge04*'19_Расчет_аналитики'!$F$4259,0),0)</f>
        <v/>
      </c>
      <c r="AE4571">
        <f>IF('01_Вводные'!$B$234="Да",IF(IF('01_Вводные'!$B$296="Новый сезон",FALSE,FALSE),'19_Расчет_аналитики'!AE4459*CapacityAge04*'19_Расчет_аналитики'!$F$4259,0),0)</f>
        <v/>
      </c>
      <c r="AF4571">
        <f>IF('01_Вводные'!$B$234="Да",IF(IF('01_Вводные'!$B$296="Новый сезон",FALSE,FALSE),'19_Расчет_аналитики'!AF4459*CapacityAge04*'19_Расчет_аналитики'!$F$4259,0),0)</f>
        <v/>
      </c>
      <c r="AG4571">
        <f>IF('01_Вводные'!$B$234="Да",IF(IF('01_Вводные'!$B$296="Новый сезон",FALSE,FALSE),'19_Расчет_аналитики'!AG4459*CapacityAge04*'19_Расчет_аналитики'!$F$4259,0),0)</f>
        <v/>
      </c>
      <c r="AH4571">
        <f>IF('01_Вводные'!$B$234="Да",IF(IF('01_Вводные'!$B$296="Новый сезон",FALSE,FALSE),'19_Расчет_аналитики'!AH4459*CapacityAge04*'19_Расчет_аналитики'!$F$4259,0),0)</f>
        <v/>
      </c>
      <c r="AI4571">
        <f>IF('01_Вводные'!$B$234="Да",IF(IF('01_Вводные'!$B$296="Новый сезон",FALSE,FALSE),'19_Расчет_аналитики'!AI4459*CapacityAge04*'19_Расчет_аналитики'!$F$4259,0),0)</f>
        <v/>
      </c>
      <c r="AJ4571">
        <f>IF('01_Вводные'!$B$234="Да",IF(IF('01_Вводные'!$B$296="Новый сезон",FALSE,FALSE),'19_Расчет_аналитики'!AJ4459*CapacityAge04*'19_Расчет_аналитики'!$F$4259,0),0)</f>
        <v/>
      </c>
      <c r="AK4571">
        <f>IF('01_Вводные'!$B$234="Да",IF(IF('01_Вводные'!$B$296="Новый сезон",FALSE,FALSE),'19_Расчет_аналитики'!AK4459*CapacityAge04*'19_Расчет_аналитики'!$F$4259,0),0)</f>
        <v/>
      </c>
      <c r="AL4571">
        <f>IF('01_Вводные'!$B$234="Да",IF(IF('01_Вводные'!$B$296="Новый сезон",FALSE,FALSE),'19_Расчет_аналитики'!AL4459*CapacityAge04*'19_Расчет_аналитики'!$F$4259,0),0)</f>
        <v/>
      </c>
      <c r="AM4571">
        <f>IF('01_Вводные'!$B$234="Да",IF(IF('01_Вводные'!$B$296="Новый сезон",FALSE,FALSE),'19_Расчет_аналитики'!AM4459*CapacityAge04*'19_Расчет_аналитики'!$F$4259,0),0)</f>
        <v/>
      </c>
      <c r="AN4571">
        <f>IF('01_Вводные'!$B$234="Да",IF(IF('01_Вводные'!$B$296="Новый сезон",FALSE,FALSE),'19_Расчет_аналитики'!AN4459*CapacityAge04*'19_Расчет_аналитики'!$F$4259,0),0)</f>
        <v/>
      </c>
      <c r="AO4571">
        <f>IF('01_Вводные'!$B$234="Да",IF(IF('01_Вводные'!$B$296="Новый сезон",FALSE,FALSE),'19_Расчет_аналитики'!AO4459*CapacityAge04*'19_Расчет_аналитики'!$F$4259,0),0)</f>
        <v/>
      </c>
      <c r="AP4571">
        <f>IF('01_Вводные'!$B$234="Да",IF(IF('01_Вводные'!$B$296="Новый сезон",FALSE,FALSE),'19_Расчет_аналитики'!AP4459*CapacityAge04*'19_Расчет_аналитики'!$F$4259,0),0)</f>
        <v/>
      </c>
      <c r="AQ4571">
        <f>IF('01_Вводные'!$B$234="Да",IF(IF('01_Вводные'!$B$296="Новый сезон",FALSE,FALSE),'19_Расчет_аналитики'!AQ4459*CapacityAge04*'19_Расчет_аналитики'!$F$4259,0),0)</f>
        <v/>
      </c>
      <c r="AR4571">
        <f>IF('01_Вводные'!$B$234="Да",IF(IF('01_Вводные'!$B$296="Новый сезон",FALSE,FALSE),'19_Расчет_аналитики'!AR4459*CapacityAge04*'19_Расчет_аналитики'!$F$4259,0),0)</f>
        <v/>
      </c>
      <c r="AS4571">
        <f>IF('01_Вводные'!$B$234="Да",IF(IF('01_Вводные'!$B$296="Новый сезон",FALSE,FALSE),'19_Расчет_аналитики'!AS4459*CapacityAge04*'19_Расчет_аналитики'!$F$4259,0),0)</f>
        <v/>
      </c>
      <c r="AT4571">
        <f>IF('01_Вводные'!$B$234="Да",IF(IF('01_Вводные'!$B$296="Новый сезон",FALSE,FALSE),'19_Расчет_аналитики'!AT4459*CapacityAge04*'19_Расчет_аналитики'!$F$4259,0),0)</f>
        <v/>
      </c>
      <c r="AU4571">
        <f>IF('01_Вводные'!$B$234="Да",IF(IF('01_Вводные'!$B$296="Новый сезон",FALSE,FALSE),'19_Расчет_аналитики'!AU4459*CapacityAge04*'19_Расчет_аналитики'!$F$4259,0),0)</f>
        <v/>
      </c>
      <c r="AV4571">
        <f>IF('01_Вводные'!$B$234="Да",IF(IF('01_Вводные'!$B$296="Новый сезон",FALSE,FALSE),'19_Расчет_аналитики'!AV4459*CapacityAge04*'19_Расчет_аналитики'!$F$4259,0),0)</f>
        <v/>
      </c>
      <c r="AW4571">
        <f>IF('01_Вводные'!$B$234="Да",IF(IF('01_Вводные'!$B$296="Новый сезон",FALSE,FALSE),'19_Расчет_аналитики'!AW4459*CapacityAge04*'19_Расчет_аналитики'!$F$4259,0),0)</f>
        <v/>
      </c>
      <c r="AX4571">
        <f>IF('01_Вводные'!$B$234="Да",IF(IF('01_Вводные'!$B$296="Новый сезон",FALSE,FALSE),'19_Расчет_аналитики'!AX4459*CapacityAge04*'19_Расчет_аналитики'!$F$4259,0),0)</f>
        <v/>
      </c>
      <c r="AY4571">
        <f>IF('01_Вводные'!$B$234="Да",IF(IF('01_Вводные'!$B$296="Новый сезон",FALSE,FALSE),'19_Расчет_аналитики'!AY4459*CapacityAge04*'19_Расчет_аналитики'!$F$4259,0),0)</f>
        <v/>
      </c>
      <c r="AZ4571">
        <f>IF('01_Вводные'!$B$234="Да",IF(IF('01_Вводные'!$B$296="Новый сезон",FALSE,FALSE),'19_Расчет_аналитики'!AZ4459*CapacityAge04*'19_Расчет_аналитики'!$F$4259,0),0)</f>
        <v/>
      </c>
      <c r="BA4571">
        <f>IF('01_Вводные'!$B$234="Да",IF(IF('01_Вводные'!$B$296="Новый сезон",FALSE,FALSE),'19_Расчет_аналитики'!BA4459*CapacityAge04*'19_Расчет_аналитики'!$F$4259,0),0)</f>
        <v/>
      </c>
      <c r="BB4571">
        <f>IF('01_Вводные'!$B$234="Да",IF(IF('01_Вводные'!$B$296="Новый сезон",FALSE,FALSE),'19_Расчет_аналитики'!BB4459*CapacityAge04*'19_Расчет_аналитики'!$F$4259,0),0)</f>
        <v/>
      </c>
      <c r="BC4571">
        <f>IF('01_Вводные'!$B$234="Да",IF(IF('01_Вводные'!$B$296="Новый сезон",FALSE,FALSE),'19_Расчет_аналитики'!BC4459*CapacityAge04*'19_Расчет_аналитики'!$F$4259,0),0)</f>
        <v/>
      </c>
      <c r="BD4571">
        <f>IF('01_Вводные'!$B$234="Да",IF(IF('01_Вводные'!$B$296="Новый сезон",FALSE,FALSE),'19_Расчет_аналитики'!BD4459*CapacityAge04*'19_Расчет_аналитики'!$F$4259,0),0)</f>
        <v/>
      </c>
      <c r="BE4571">
        <f>IF('01_Вводные'!$B$234="Да",IF(IF('01_Вводные'!$B$296="Новый сезон",FALSE,FALSE),'19_Расчет_аналитики'!BE4459*CapacityAge04*'19_Расчет_аналитики'!$F$4259,0),0)</f>
        <v/>
      </c>
      <c r="BF4571">
        <f>IF('01_Вводные'!$B$234="Да",IF(IF('01_Вводные'!$B$296="Новый сезон",FALSE,FALSE),'19_Расчет_аналитики'!BF4459*CapacityAge04*'19_Расчет_аналитики'!$F$4259,0),0)</f>
        <v/>
      </c>
      <c r="BG4571">
        <f>IF('01_Вводные'!$B$234="Да",IF(IF('01_Вводные'!$B$296="Новый сезон",FALSE,FALSE),'19_Расчет_аналитики'!BG4459*CapacityAge04*'19_Расчет_аналитики'!$F$4259,0),0)</f>
        <v/>
      </c>
      <c r="BH4571">
        <f>IF('01_Вводные'!$B$234="Да",IF(IF('01_Вводные'!$B$296="Новый сезон",FALSE,FALSE),'19_Расчет_аналитики'!BH4459*CapacityAge04*'19_Расчет_аналитики'!$F$4259,0),0)</f>
        <v/>
      </c>
      <c r="BI4571">
        <f>IF('01_Вводные'!$B$234="Да",IF(IF('01_Вводные'!$B$296="Новый сезон",FALSE,FALSE),'19_Расчет_аналитики'!BI4459*CapacityAge04*'19_Расчет_аналитики'!$F$4259,0),0)</f>
        <v/>
      </c>
      <c r="BJ4571">
        <f>IF('01_Вводные'!$B$234="Да",IF(IF('01_Вводные'!$B$296="Новый сезон",FALSE,FALSE),'19_Расчет_аналитики'!BJ4459*CapacityAge04*'19_Расчет_аналитики'!$F$4259,0),0)</f>
        <v/>
      </c>
      <c r="BK4571">
        <f>IF('01_Вводные'!$B$234="Да",IF(IF('01_Вводные'!$B$296="Новый сезон",FALSE,FALSE),'19_Расчет_аналитики'!BK4459*CapacityAge04*'19_Расчет_аналитики'!$F$4259,0),0)</f>
        <v/>
      </c>
      <c r="BL4571">
        <f>IF('01_Вводные'!$B$234="Да",IF(IF('01_Вводные'!$B$296="Новый сезон",FALSE,FALSE),'19_Расчет_аналитики'!BL4459*CapacityAge04*'19_Расчет_аналитики'!$F$4259,0),0)</f>
        <v/>
      </c>
      <c r="BM4571">
        <f>IF('01_Вводные'!$B$234="Да",IF(IF('01_Вводные'!$B$296="Новый сезон",FALSE,FALSE),'19_Расчет_аналитики'!BM4459*CapacityAge04*'19_Расчет_аналитики'!$F$4259,0),0)</f>
        <v/>
      </c>
      <c r="BN4571">
        <f>IF('01_Вводные'!$B$234="Да",IF(IF('01_Вводные'!$B$296="Новый сезон",FALSE,FALSE),'19_Расчет_аналитики'!BN4459*CapacityAge04*'19_Расчет_аналитики'!$F$4259,0),0)</f>
        <v/>
      </c>
      <c r="BO4571">
        <f>IF('01_Вводные'!$B$234="Да",IF(IF('01_Вводные'!$B$296="Новый сезон",FALSE,FALSE),'19_Расчет_аналитики'!BO4459*CapacityAge04*'19_Расчет_аналитики'!$F$4259,0),0)</f>
        <v/>
      </c>
    </row>
    <row r="4572">
      <c r="B4572">
        <f>IF('01_Вводные'!$B$234="Да",IF(IF('01_Вводные'!$B$296="Новый сезон",5-1&gt;MOD(MONTH('06_Сеть_и_дети'!B$3)-9,12),FALSE),'06_Сеть_и_дети'!B57*CapacityAge05*'19_Расчет_аналитики'!$F$4259,0),0)</f>
        <v/>
      </c>
      <c r="C4572">
        <f>IF('01_Вводные'!$B$234="Да",IF(IF('01_Вводные'!$B$296="Новый сезон",5-1&gt;MOD(MONTH('06_Сеть_и_дети'!C$3)-9,12),FALSE),'06_Сеть_и_дети'!C57*CapacityAge05*'19_Расчет_аналитики'!$F$4259,0),0)</f>
        <v/>
      </c>
      <c r="D4572">
        <f>IF('01_Вводные'!$B$234="Да",IF(IF('01_Вводные'!$B$296="Новый сезон",5-1&gt;MOD(MONTH('06_Сеть_и_дети'!D$3)-9,12),FALSE),'06_Сеть_и_дети'!D57*CapacityAge05*'19_Расчет_аналитики'!$F$4259,0),0)</f>
        <v/>
      </c>
      <c r="E4572">
        <f>IF('01_Вводные'!$B$234="Да",IF(IF('01_Вводные'!$B$296="Новый сезон",5-1&gt;MOD(MONTH('06_Сеть_и_дети'!E$3)-9,12),FALSE),'06_Сеть_и_дети'!E57*CapacityAge05*'19_Расчет_аналитики'!$F$4259,0),0)</f>
        <v/>
      </c>
      <c r="F4572">
        <f>IF('01_Вводные'!$B$234="Да",IF(IF('01_Вводные'!$B$296="Новый сезон",5-1&gt;MOD(MONTH('06_Сеть_и_дети'!F$3)-9,12),FALSE),'19_Расчет_аналитики'!F4460*CapacityAge05*'19_Расчет_аналитики'!$F$4259,0),0)</f>
        <v/>
      </c>
      <c r="G4572">
        <f>IF('01_Вводные'!$B$234="Да",IF(IF('01_Вводные'!$B$296="Новый сезон",5-1&gt;MOD(MONTH('06_Сеть_и_дети'!G$3)-9,12),FALSE),'19_Расчет_аналитики'!G4460*CapacityAge05*'19_Расчет_аналитики'!$F$4259,0),0)</f>
        <v/>
      </c>
      <c r="H4572">
        <f>IF('01_Вводные'!$B$234="Да",IF(IF('01_Вводные'!$B$296="Новый сезон",5-1&gt;MOD(MONTH('06_Сеть_и_дети'!H$3)-9,12),FALSE),'19_Расчет_аналитики'!H4460*CapacityAge05*'19_Расчет_аналитики'!$F$4259,0),0)</f>
        <v/>
      </c>
      <c r="I4572">
        <f>IF('01_Вводные'!$B$234="Да",IF(IF('01_Вводные'!$B$296="Новый сезон",5-1&gt;MOD(MONTH('06_Сеть_и_дети'!I$3)-9,12),FALSE),'19_Расчет_аналитики'!I4460*CapacityAge05*'19_Расчет_аналитики'!$F$4259,0),0)</f>
        <v/>
      </c>
      <c r="J4572">
        <f>IF('01_Вводные'!$B$234="Да",IF(IF('01_Вводные'!$B$296="Новый сезон",5-1&gt;MOD(MONTH('06_Сеть_и_дети'!J$3)-9,12),FALSE),'19_Расчет_аналитики'!J4460*CapacityAge05*'19_Расчет_аналитики'!$F$4259,0),0)</f>
        <v/>
      </c>
      <c r="K4572">
        <f>IF('01_Вводные'!$B$234="Да",IF(IF('01_Вводные'!$B$296="Новый сезон",5-1&gt;MOD(MONTH('06_Сеть_и_дети'!K$3)-9,12),FALSE),'19_Расчет_аналитики'!K4460*CapacityAge05*'19_Расчет_аналитики'!$F$4259,0),0)</f>
        <v/>
      </c>
      <c r="L4572">
        <f>IF('01_Вводные'!$B$234="Да",IF(IF('01_Вводные'!$B$296="Новый сезон",5-1&gt;MOD(MONTH('06_Сеть_и_дети'!L$3)-9,12),FALSE),'19_Расчет_аналитики'!L4460*CapacityAge05*'19_Расчет_аналитики'!$F$4259,0),0)</f>
        <v/>
      </c>
      <c r="M4572">
        <f>IF('01_Вводные'!$B$234="Да",IF(IF('01_Вводные'!$B$296="Новый сезон",5-1&gt;MOD(MONTH('06_Сеть_и_дети'!M$3)-9,12),FALSE),'19_Расчет_аналитики'!M4460*CapacityAge05*'19_Расчет_аналитики'!$F$4259,0),0)</f>
        <v/>
      </c>
      <c r="N4572">
        <f>IF('01_Вводные'!$B$234="Да",IF(IF('01_Вводные'!$B$296="Новый сезон",5-1&gt;MOD(MONTH('06_Сеть_и_дети'!N$3)-9,12),FALSE),'19_Расчет_аналитики'!N4460*CapacityAge05*'19_Расчет_аналитики'!$F$4259,0),0)</f>
        <v/>
      </c>
      <c r="O4572">
        <f>IF('01_Вводные'!$B$234="Да",IF(IF('01_Вводные'!$B$296="Новый сезон",5-1&gt;MOD(MONTH('06_Сеть_и_дети'!O$3)-9,12),FALSE),'19_Расчет_аналитики'!O4460*CapacityAge05*'19_Расчет_аналитики'!$F$4259,0),0)</f>
        <v/>
      </c>
      <c r="P4572">
        <f>IF('01_Вводные'!$B$234="Да",IF(IF('01_Вводные'!$B$296="Новый сезон",5-1&gt;MOD(MONTH('06_Сеть_и_дети'!P$3)-9,12),FALSE),'19_Расчет_аналитики'!P4460*CapacityAge05*'19_Расчет_аналитики'!$F$4259,0),0)</f>
        <v/>
      </c>
      <c r="Q4572">
        <f>IF('01_Вводные'!$B$234="Да",IF(IF('01_Вводные'!$B$296="Новый сезон",5-1&gt;MOD(MONTH('06_Сеть_и_дети'!Q$3)-9,12),FALSE),'19_Расчет_аналитики'!Q4460*CapacityAge05*'19_Расчет_аналитики'!$F$4259,0),0)</f>
        <v/>
      </c>
      <c r="R4572">
        <f>IF('01_Вводные'!$B$234="Да",IF(IF('01_Вводные'!$B$296="Новый сезон",5-1&gt;MOD(MONTH('06_Сеть_и_дети'!R$3)-9,12),FALSE),'19_Расчет_аналитики'!R4460*CapacityAge05*'19_Расчет_аналитики'!$F$4259,0),0)</f>
        <v/>
      </c>
      <c r="S4572">
        <f>IF('01_Вводные'!$B$234="Да",IF(IF('01_Вводные'!$B$296="Новый сезон",5-1&gt;MOD(MONTH('06_Сеть_и_дети'!S$3)-9,12),FALSE),'19_Расчет_аналитики'!S4460*CapacityAge05*'19_Расчет_аналитики'!$F$4259,0),0)</f>
        <v/>
      </c>
      <c r="T4572">
        <f>IF('01_Вводные'!$B$234="Да",IF(IF('01_Вводные'!$B$296="Новый сезон",5-1&gt;MOD(MONTH('06_Сеть_и_дети'!T$3)-9,12),FALSE),'19_Расчет_аналитики'!T4460*CapacityAge05*'19_Расчет_аналитики'!$F$4259,0),0)</f>
        <v/>
      </c>
      <c r="U4572">
        <f>IF('01_Вводные'!$B$234="Да",IF(IF('01_Вводные'!$B$296="Новый сезон",5-1&gt;MOD(MONTH('06_Сеть_и_дети'!U$3)-9,12),FALSE),'19_Расчет_аналитики'!U4460*CapacityAge05*'19_Расчет_аналитики'!$F$4259,0),0)</f>
        <v/>
      </c>
      <c r="V4572">
        <f>IF('01_Вводные'!$B$234="Да",IF(IF('01_Вводные'!$B$296="Новый сезон",5-1&gt;MOD(MONTH('06_Сеть_и_дети'!V$3)-9,12),FALSE),'19_Расчет_аналитики'!V4460*CapacityAge05*'19_Расчет_аналитики'!$F$4259,0),0)</f>
        <v/>
      </c>
      <c r="W4572">
        <f>IF('01_Вводные'!$B$234="Да",IF(IF('01_Вводные'!$B$296="Новый сезон",5-1&gt;MOD(MONTH('06_Сеть_и_дети'!W$3)-9,12),FALSE),'19_Расчет_аналитики'!W4460*CapacityAge05*'19_Расчет_аналитики'!$F$4259,0),0)</f>
        <v/>
      </c>
      <c r="X4572">
        <f>IF('01_Вводные'!$B$234="Да",IF(IF('01_Вводные'!$B$296="Новый сезон",5-1&gt;MOD(MONTH('06_Сеть_и_дети'!X$3)-9,12),FALSE),'19_Расчет_аналитики'!X4460*CapacityAge05*'19_Расчет_аналитики'!$F$4259,0),0)</f>
        <v/>
      </c>
      <c r="Y4572">
        <f>IF('01_Вводные'!$B$234="Да",IF(IF('01_Вводные'!$B$296="Новый сезон",5-1&gt;MOD(MONTH('06_Сеть_и_дети'!Y$3)-9,12),FALSE),'19_Расчет_аналитики'!Y4460*CapacityAge05*'19_Расчет_аналитики'!$F$4259,0),0)</f>
        <v/>
      </c>
      <c r="Z4572">
        <f>IF('01_Вводные'!$B$234="Да",IF(IF('01_Вводные'!$B$296="Новый сезон",5-1&gt;MOD(MONTH('06_Сеть_и_дети'!Z$3)-9,12),FALSE),'19_Расчет_аналитики'!Z4460*CapacityAge05*'19_Расчет_аналитики'!$F$4259,0),0)</f>
        <v/>
      </c>
      <c r="AA4572">
        <f>IF('01_Вводные'!$B$234="Да",IF(IF('01_Вводные'!$B$296="Новый сезон",5-1&gt;MOD(MONTH('06_Сеть_и_дети'!AA$3)-9,12),FALSE),'19_Расчет_аналитики'!AA4460*CapacityAge05*'19_Расчет_аналитики'!$F$4259,0),0)</f>
        <v/>
      </c>
      <c r="AB4572">
        <f>IF('01_Вводные'!$B$234="Да",IF(IF('01_Вводные'!$B$296="Новый сезон",5-1&gt;MOD(MONTH('06_Сеть_и_дети'!AB$3)-9,12),FALSE),'19_Расчет_аналитики'!AB4460*CapacityAge05*'19_Расчет_аналитики'!$F$4259,0),0)</f>
        <v/>
      </c>
      <c r="AC4572">
        <f>IF('01_Вводные'!$B$234="Да",IF(IF('01_Вводные'!$B$296="Новый сезон",5-1&gt;MOD(MONTH('06_Сеть_и_дети'!AC$3)-9,12),FALSE),'19_Расчет_аналитики'!AC4460*CapacityAge05*'19_Расчет_аналитики'!$F$4259,0),0)</f>
        <v/>
      </c>
      <c r="AD4572">
        <f>IF('01_Вводные'!$B$234="Да",IF(IF('01_Вводные'!$B$296="Новый сезон",5-1&gt;MOD(MONTH('06_Сеть_и_дети'!AD$3)-9,12),FALSE),'19_Расчет_аналитики'!AD4460*CapacityAge05*'19_Расчет_аналитики'!$F$4259,0),0)</f>
        <v/>
      </c>
      <c r="AE4572">
        <f>IF('01_Вводные'!$B$234="Да",IF(IF('01_Вводные'!$B$296="Новый сезон",5-1&gt;MOD(MONTH('06_Сеть_и_дети'!AE$3)-9,12),FALSE),'19_Расчет_аналитики'!AE4460*CapacityAge05*'19_Расчет_аналитики'!$F$4259,0),0)</f>
        <v/>
      </c>
      <c r="AF4572">
        <f>IF('01_Вводные'!$B$234="Да",IF(IF('01_Вводные'!$B$296="Новый сезон",5-1&gt;MOD(MONTH('06_Сеть_и_дети'!AF$3)-9,12),FALSE),'19_Расчет_аналитики'!AF4460*CapacityAge05*'19_Расчет_аналитики'!$F$4259,0),0)</f>
        <v/>
      </c>
      <c r="AG4572">
        <f>IF('01_Вводные'!$B$234="Да",IF(IF('01_Вводные'!$B$296="Новый сезон",5-1&gt;MOD(MONTH('06_Сеть_и_дети'!AG$3)-9,12),FALSE),'19_Расчет_аналитики'!AG4460*CapacityAge05*'19_Расчет_аналитики'!$F$4259,0),0)</f>
        <v/>
      </c>
      <c r="AH4572">
        <f>IF('01_Вводные'!$B$234="Да",IF(IF('01_Вводные'!$B$296="Новый сезон",5-1&gt;MOD(MONTH('06_Сеть_и_дети'!AH$3)-9,12),FALSE),'19_Расчет_аналитики'!AH4460*CapacityAge05*'19_Расчет_аналитики'!$F$4259,0),0)</f>
        <v/>
      </c>
      <c r="AI4572">
        <f>IF('01_Вводные'!$B$234="Да",IF(IF('01_Вводные'!$B$296="Новый сезон",5-1&gt;MOD(MONTH('06_Сеть_и_дети'!AI$3)-9,12),FALSE),'19_Расчет_аналитики'!AI4460*CapacityAge05*'19_Расчет_аналитики'!$F$4259,0),0)</f>
        <v/>
      </c>
      <c r="AJ4572">
        <f>IF('01_Вводные'!$B$234="Да",IF(IF('01_Вводные'!$B$296="Новый сезон",5-1&gt;MOD(MONTH('06_Сеть_и_дети'!AJ$3)-9,12),FALSE),'19_Расчет_аналитики'!AJ4460*CapacityAge05*'19_Расчет_аналитики'!$F$4259,0),0)</f>
        <v/>
      </c>
      <c r="AK4572">
        <f>IF('01_Вводные'!$B$234="Да",IF(IF('01_Вводные'!$B$296="Новый сезон",5-1&gt;MOD(MONTH('06_Сеть_и_дети'!AK$3)-9,12),FALSE),'19_Расчет_аналитики'!AK4460*CapacityAge05*'19_Расчет_аналитики'!$F$4259,0),0)</f>
        <v/>
      </c>
      <c r="AL4572">
        <f>IF('01_Вводные'!$B$234="Да",IF(IF('01_Вводные'!$B$296="Новый сезон",5-1&gt;MOD(MONTH('06_Сеть_и_дети'!AL$3)-9,12),FALSE),'19_Расчет_аналитики'!AL4460*CapacityAge05*'19_Расчет_аналитики'!$F$4259,0),0)</f>
        <v/>
      </c>
      <c r="AM4572">
        <f>IF('01_Вводные'!$B$234="Да",IF(IF('01_Вводные'!$B$296="Новый сезон",5-1&gt;MOD(MONTH('06_Сеть_и_дети'!AM$3)-9,12),FALSE),'19_Расчет_аналитики'!AM4460*CapacityAge05*'19_Расчет_аналитики'!$F$4259,0),0)</f>
        <v/>
      </c>
      <c r="AN4572">
        <f>IF('01_Вводные'!$B$234="Да",IF(IF('01_Вводные'!$B$296="Новый сезон",5-1&gt;MOD(MONTH('06_Сеть_и_дети'!AN$3)-9,12),FALSE),'19_Расчет_аналитики'!AN4460*CapacityAge05*'19_Расчет_аналитики'!$F$4259,0),0)</f>
        <v/>
      </c>
      <c r="AO4572">
        <f>IF('01_Вводные'!$B$234="Да",IF(IF('01_Вводные'!$B$296="Новый сезон",5-1&gt;MOD(MONTH('06_Сеть_и_дети'!AO$3)-9,12),FALSE),'19_Расчет_аналитики'!AO4460*CapacityAge05*'19_Расчет_аналитики'!$F$4259,0),0)</f>
        <v/>
      </c>
      <c r="AP4572">
        <f>IF('01_Вводные'!$B$234="Да",IF(IF('01_Вводные'!$B$296="Новый сезон",5-1&gt;MOD(MONTH('06_Сеть_и_дети'!AP$3)-9,12),FALSE),'19_Расчет_аналитики'!AP4460*CapacityAge05*'19_Расчет_аналитики'!$F$4259,0),0)</f>
        <v/>
      </c>
      <c r="AQ4572">
        <f>IF('01_Вводные'!$B$234="Да",IF(IF('01_Вводные'!$B$296="Новый сезон",5-1&gt;MOD(MONTH('06_Сеть_и_дети'!AQ$3)-9,12),FALSE),'19_Расчет_аналитики'!AQ4460*CapacityAge05*'19_Расчет_аналитики'!$F$4259,0),0)</f>
        <v/>
      </c>
      <c r="AR4572">
        <f>IF('01_Вводные'!$B$234="Да",IF(IF('01_Вводные'!$B$296="Новый сезон",5-1&gt;MOD(MONTH('06_Сеть_и_дети'!AR$3)-9,12),FALSE),'19_Расчет_аналитики'!AR4460*CapacityAge05*'19_Расчет_аналитики'!$F$4259,0),0)</f>
        <v/>
      </c>
      <c r="AS4572">
        <f>IF('01_Вводные'!$B$234="Да",IF(IF('01_Вводные'!$B$296="Новый сезон",5-1&gt;MOD(MONTH('06_Сеть_и_дети'!AS$3)-9,12),FALSE),'19_Расчет_аналитики'!AS4460*CapacityAge05*'19_Расчет_аналитики'!$F$4259,0),0)</f>
        <v/>
      </c>
      <c r="AT4572">
        <f>IF('01_Вводные'!$B$234="Да",IF(IF('01_Вводные'!$B$296="Новый сезон",5-1&gt;MOD(MONTH('06_Сеть_и_дети'!AT$3)-9,12),FALSE),'19_Расчет_аналитики'!AT4460*CapacityAge05*'19_Расчет_аналитики'!$F$4259,0),0)</f>
        <v/>
      </c>
      <c r="AU4572">
        <f>IF('01_Вводные'!$B$234="Да",IF(IF('01_Вводные'!$B$296="Новый сезон",5-1&gt;MOD(MONTH('06_Сеть_и_дети'!AU$3)-9,12),FALSE),'19_Расчет_аналитики'!AU4460*CapacityAge05*'19_Расчет_аналитики'!$F$4259,0),0)</f>
        <v/>
      </c>
      <c r="AV4572">
        <f>IF('01_Вводные'!$B$234="Да",IF(IF('01_Вводные'!$B$296="Новый сезон",5-1&gt;MOD(MONTH('06_Сеть_и_дети'!AV$3)-9,12),FALSE),'19_Расчет_аналитики'!AV4460*CapacityAge05*'19_Расчет_аналитики'!$F$4259,0),0)</f>
        <v/>
      </c>
      <c r="AW4572">
        <f>IF('01_Вводные'!$B$234="Да",IF(IF('01_Вводные'!$B$296="Новый сезон",5-1&gt;MOD(MONTH('06_Сеть_и_дети'!AW$3)-9,12),FALSE),'19_Расчет_аналитики'!AW4460*CapacityAge05*'19_Расчет_аналитики'!$F$4259,0),0)</f>
        <v/>
      </c>
      <c r="AX4572">
        <f>IF('01_Вводные'!$B$234="Да",IF(IF('01_Вводные'!$B$296="Новый сезон",5-1&gt;MOD(MONTH('06_Сеть_и_дети'!AX$3)-9,12),FALSE),'19_Расчет_аналитики'!AX4460*CapacityAge05*'19_Расчет_аналитики'!$F$4259,0),0)</f>
        <v/>
      </c>
      <c r="AY4572">
        <f>IF('01_Вводные'!$B$234="Да",IF(IF('01_Вводные'!$B$296="Новый сезон",5-1&gt;MOD(MONTH('06_Сеть_и_дети'!AY$3)-9,12),FALSE),'19_Расчет_аналитики'!AY4460*CapacityAge05*'19_Расчет_аналитики'!$F$4259,0),0)</f>
        <v/>
      </c>
      <c r="AZ4572">
        <f>IF('01_Вводные'!$B$234="Да",IF(IF('01_Вводные'!$B$296="Новый сезон",5-1&gt;MOD(MONTH('06_Сеть_и_дети'!AZ$3)-9,12),FALSE),'19_Расчет_аналитики'!AZ4460*CapacityAge05*'19_Расчет_аналитики'!$F$4259,0),0)</f>
        <v/>
      </c>
      <c r="BA4572">
        <f>IF('01_Вводные'!$B$234="Да",IF(IF('01_Вводные'!$B$296="Новый сезон",5-1&gt;MOD(MONTH('06_Сеть_и_дети'!BA$3)-9,12),FALSE),'19_Расчет_аналитики'!BA4460*CapacityAge05*'19_Расчет_аналитики'!$F$4259,0),0)</f>
        <v/>
      </c>
      <c r="BB4572">
        <f>IF('01_Вводные'!$B$234="Да",IF(IF('01_Вводные'!$B$296="Новый сезон",5-1&gt;MOD(MONTH('06_Сеть_и_дети'!BB$3)-9,12),FALSE),'19_Расчет_аналитики'!BB4460*CapacityAge05*'19_Расчет_аналитики'!$F$4259,0),0)</f>
        <v/>
      </c>
      <c r="BC4572">
        <f>IF('01_Вводные'!$B$234="Да",IF(IF('01_Вводные'!$B$296="Новый сезон",5-1&gt;MOD(MONTH('06_Сеть_и_дети'!BC$3)-9,12),FALSE),'19_Расчет_аналитики'!BC4460*CapacityAge05*'19_Расчет_аналитики'!$F$4259,0),0)</f>
        <v/>
      </c>
      <c r="BD4572">
        <f>IF('01_Вводные'!$B$234="Да",IF(IF('01_Вводные'!$B$296="Новый сезон",5-1&gt;MOD(MONTH('06_Сеть_и_дети'!BD$3)-9,12),FALSE),'19_Расчет_аналитики'!BD4460*CapacityAge05*'19_Расчет_аналитики'!$F$4259,0),0)</f>
        <v/>
      </c>
      <c r="BE4572">
        <f>IF('01_Вводные'!$B$234="Да",IF(IF('01_Вводные'!$B$296="Новый сезон",5-1&gt;MOD(MONTH('06_Сеть_и_дети'!BE$3)-9,12),FALSE),'19_Расчет_аналитики'!BE4460*CapacityAge05*'19_Расчет_аналитики'!$F$4259,0),0)</f>
        <v/>
      </c>
      <c r="BF4572">
        <f>IF('01_Вводные'!$B$234="Да",IF(IF('01_Вводные'!$B$296="Новый сезон",5-1&gt;MOD(MONTH('06_Сеть_и_дети'!BF$3)-9,12),FALSE),'19_Расчет_аналитики'!BF4460*CapacityAge05*'19_Расчет_аналитики'!$F$4259,0),0)</f>
        <v/>
      </c>
      <c r="BG4572">
        <f>IF('01_Вводные'!$B$234="Да",IF(IF('01_Вводные'!$B$296="Новый сезон",5-1&gt;MOD(MONTH('06_Сеть_и_дети'!BG$3)-9,12),FALSE),'19_Расчет_аналитики'!BG4460*CapacityAge05*'19_Расчет_аналитики'!$F$4259,0),0)</f>
        <v/>
      </c>
      <c r="BH4572">
        <f>IF('01_Вводные'!$B$234="Да",IF(IF('01_Вводные'!$B$296="Новый сезон",5-1&gt;MOD(MONTH('06_Сеть_и_дети'!BH$3)-9,12),FALSE),'19_Расчет_аналитики'!BH4460*CapacityAge05*'19_Расчет_аналитики'!$F$4259,0),0)</f>
        <v/>
      </c>
      <c r="BI4572">
        <f>IF('01_Вводные'!$B$234="Да",IF(IF('01_Вводные'!$B$296="Новый сезон",5-1&gt;MOD(MONTH('06_Сеть_и_дети'!BI$3)-9,12),FALSE),'19_Расчет_аналитики'!BI4460*CapacityAge05*'19_Расчет_аналитики'!$F$4259,0),0)</f>
        <v/>
      </c>
      <c r="BJ4572">
        <f>IF('01_Вводные'!$B$234="Да",IF(IF('01_Вводные'!$B$296="Новый сезон",5-1&gt;MOD(MONTH('06_Сеть_и_дети'!BJ$3)-9,12),FALSE),'19_Расчет_аналитики'!BJ4460*CapacityAge05*'19_Расчет_аналитики'!$F$4259,0),0)</f>
        <v/>
      </c>
      <c r="BK4572">
        <f>IF('01_Вводные'!$B$234="Да",IF(IF('01_Вводные'!$B$296="Новый сезон",5-1&gt;MOD(MONTH('06_Сеть_и_дети'!BK$3)-9,12),FALSE),'19_Расчет_аналитики'!BK4460*CapacityAge05*'19_Расчет_аналитики'!$F$4259,0),0)</f>
        <v/>
      </c>
      <c r="BL4572">
        <f>IF('01_Вводные'!$B$234="Да",IF(IF('01_Вводные'!$B$296="Новый сезон",5-1&gt;MOD(MONTH('06_Сеть_и_дети'!BL$3)-9,12),FALSE),'19_Расчет_аналитики'!BL4460*CapacityAge05*'19_Расчет_аналитики'!$F$4259,0),0)</f>
        <v/>
      </c>
      <c r="BM4572">
        <f>IF('01_Вводные'!$B$234="Да",IF(IF('01_Вводные'!$B$296="Новый сезон",5-1&gt;MOD(MONTH('06_Сеть_и_дети'!BM$3)-9,12),FALSE),'19_Расчет_аналитики'!BM4460*CapacityAge05*'19_Расчет_аналитики'!$F$4259,0),0)</f>
        <v/>
      </c>
      <c r="BN4572">
        <f>IF('01_Вводные'!$B$234="Да",IF(IF('01_Вводные'!$B$296="Новый сезон",5-1&gt;MOD(MONTH('06_Сеть_и_дети'!BN$3)-9,12),FALSE),'19_Расчет_аналитики'!BN4460*CapacityAge05*'19_Расчет_аналитики'!$F$4259,0),0)</f>
        <v/>
      </c>
      <c r="BO4572">
        <f>IF('01_Вводные'!$B$234="Да",IF(IF('01_Вводные'!$B$296="Новый сезон",5-1&gt;MOD(MONTH('06_Сеть_и_дети'!BO$3)-9,12),FALSE),'19_Расчет_аналитики'!BO4460*CapacityAge05*'19_Расчет_аналитики'!$F$4259,0),0)</f>
        <v/>
      </c>
    </row>
    <row r="4573">
      <c r="B4573">
        <f>IF('01_Вводные'!$B$234="Да",IF(IF('01_Вводные'!$B$296="Новый сезон",6-1&gt;MOD(MONTH('06_Сеть_и_дети'!B$3)-9,12),FALSE),'06_Сеть_и_дети'!B58*CapacityAge06*'19_Расчет_аналитики'!$F$4259,0),0)</f>
        <v/>
      </c>
      <c r="C4573">
        <f>IF('01_Вводные'!$B$234="Да",IF(IF('01_Вводные'!$B$296="Новый сезон",6-1&gt;MOD(MONTH('06_Сеть_и_дети'!C$3)-9,12),FALSE),'06_Сеть_и_дети'!C58*CapacityAge06*'19_Расчет_аналитики'!$F$4259,0),0)</f>
        <v/>
      </c>
      <c r="D4573">
        <f>IF('01_Вводные'!$B$234="Да",IF(IF('01_Вводные'!$B$296="Новый сезон",6-1&gt;MOD(MONTH('06_Сеть_и_дети'!D$3)-9,12),FALSE),'06_Сеть_и_дети'!D58*CapacityAge06*'19_Расчет_аналитики'!$F$4259,0),0)</f>
        <v/>
      </c>
      <c r="E4573">
        <f>IF('01_Вводные'!$B$234="Да",IF(IF('01_Вводные'!$B$296="Новый сезон",6-1&gt;MOD(MONTH('06_Сеть_и_дети'!E$3)-9,12),FALSE),'06_Сеть_и_дети'!E58*CapacityAge06*'19_Расчет_аналитики'!$F$4259,0),0)</f>
        <v/>
      </c>
      <c r="F4573">
        <f>IF('01_Вводные'!$B$234="Да",IF(IF('01_Вводные'!$B$296="Новый сезон",6-1&gt;MOD(MONTH('06_Сеть_и_дети'!F$3)-9,12),FALSE),'06_Сеть_и_дети'!F58*CapacityAge06*'19_Расчет_аналитики'!$F$4259,0),0)</f>
        <v/>
      </c>
      <c r="G4573">
        <f>IF('01_Вводные'!$B$234="Да",IF(IF('01_Вводные'!$B$296="Новый сезон",6-1&gt;MOD(MONTH('06_Сеть_и_дети'!G$3)-9,12),FALSE),'19_Расчет_аналитики'!G4461*CapacityAge06*'19_Расчет_аналитики'!$F$4259,0),0)</f>
        <v/>
      </c>
      <c r="H4573">
        <f>IF('01_Вводные'!$B$234="Да",IF(IF('01_Вводные'!$B$296="Новый сезон",6-1&gt;MOD(MONTH('06_Сеть_и_дети'!H$3)-9,12),FALSE),'19_Расчет_аналитики'!H4461*CapacityAge06*'19_Расчет_аналитики'!$F$4259,0),0)</f>
        <v/>
      </c>
      <c r="I4573">
        <f>IF('01_Вводные'!$B$234="Да",IF(IF('01_Вводные'!$B$296="Новый сезон",6-1&gt;MOD(MONTH('06_Сеть_и_дети'!I$3)-9,12),FALSE),'19_Расчет_аналитики'!I4461*CapacityAge06*'19_Расчет_аналитики'!$F$4259,0),0)</f>
        <v/>
      </c>
      <c r="J4573">
        <f>IF('01_Вводные'!$B$234="Да",IF(IF('01_Вводные'!$B$296="Новый сезон",6-1&gt;MOD(MONTH('06_Сеть_и_дети'!J$3)-9,12),FALSE),'19_Расчет_аналитики'!J4461*CapacityAge06*'19_Расчет_аналитики'!$F$4259,0),0)</f>
        <v/>
      </c>
      <c r="K4573">
        <f>IF('01_Вводные'!$B$234="Да",IF(IF('01_Вводные'!$B$296="Новый сезон",6-1&gt;MOD(MONTH('06_Сеть_и_дети'!K$3)-9,12),FALSE),'19_Расчет_аналитики'!K4461*CapacityAge06*'19_Расчет_аналитики'!$F$4259,0),0)</f>
        <v/>
      </c>
      <c r="L4573">
        <f>IF('01_Вводные'!$B$234="Да",IF(IF('01_Вводные'!$B$296="Новый сезон",6-1&gt;MOD(MONTH('06_Сеть_и_дети'!L$3)-9,12),FALSE),'19_Расчет_аналитики'!L4461*CapacityAge06*'19_Расчет_аналитики'!$F$4259,0),0)</f>
        <v/>
      </c>
      <c r="M4573">
        <f>IF('01_Вводные'!$B$234="Да",IF(IF('01_Вводные'!$B$296="Новый сезон",6-1&gt;MOD(MONTH('06_Сеть_и_дети'!M$3)-9,12),FALSE),'19_Расчет_аналитики'!M4461*CapacityAge06*'19_Расчет_аналитики'!$F$4259,0),0)</f>
        <v/>
      </c>
      <c r="N4573">
        <f>IF('01_Вводные'!$B$234="Да",IF(IF('01_Вводные'!$B$296="Новый сезон",6-1&gt;MOD(MONTH('06_Сеть_и_дети'!N$3)-9,12),FALSE),'19_Расчет_аналитики'!N4461*CapacityAge06*'19_Расчет_аналитики'!$F$4259,0),0)</f>
        <v/>
      </c>
      <c r="O4573">
        <f>IF('01_Вводные'!$B$234="Да",IF(IF('01_Вводные'!$B$296="Новый сезон",6-1&gt;MOD(MONTH('06_Сеть_и_дети'!O$3)-9,12),FALSE),'19_Расчет_аналитики'!O4461*CapacityAge06*'19_Расчет_аналитики'!$F$4259,0),0)</f>
        <v/>
      </c>
      <c r="P4573">
        <f>IF('01_Вводные'!$B$234="Да",IF(IF('01_Вводные'!$B$296="Новый сезон",6-1&gt;MOD(MONTH('06_Сеть_и_дети'!P$3)-9,12),FALSE),'19_Расчет_аналитики'!P4461*CapacityAge06*'19_Расчет_аналитики'!$F$4259,0),0)</f>
        <v/>
      </c>
      <c r="Q4573">
        <f>IF('01_Вводные'!$B$234="Да",IF(IF('01_Вводные'!$B$296="Новый сезон",6-1&gt;MOD(MONTH('06_Сеть_и_дети'!Q$3)-9,12),FALSE),'19_Расчет_аналитики'!Q4461*CapacityAge06*'19_Расчет_аналитики'!$F$4259,0),0)</f>
        <v/>
      </c>
      <c r="R4573">
        <f>IF('01_Вводные'!$B$234="Да",IF(IF('01_Вводные'!$B$296="Новый сезон",6-1&gt;MOD(MONTH('06_Сеть_и_дети'!R$3)-9,12),FALSE),'19_Расчет_аналитики'!R4461*CapacityAge06*'19_Расчет_аналитики'!$F$4259,0),0)</f>
        <v/>
      </c>
      <c r="S4573">
        <f>IF('01_Вводные'!$B$234="Да",IF(IF('01_Вводные'!$B$296="Новый сезон",6-1&gt;MOD(MONTH('06_Сеть_и_дети'!S$3)-9,12),FALSE),'19_Расчет_аналитики'!S4461*CapacityAge06*'19_Расчет_аналитики'!$F$4259,0),0)</f>
        <v/>
      </c>
      <c r="T4573">
        <f>IF('01_Вводные'!$B$234="Да",IF(IF('01_Вводные'!$B$296="Новый сезон",6-1&gt;MOD(MONTH('06_Сеть_и_дети'!T$3)-9,12),FALSE),'19_Расчет_аналитики'!T4461*CapacityAge06*'19_Расчет_аналитики'!$F$4259,0),0)</f>
        <v/>
      </c>
      <c r="U4573">
        <f>IF('01_Вводные'!$B$234="Да",IF(IF('01_Вводные'!$B$296="Новый сезон",6-1&gt;MOD(MONTH('06_Сеть_и_дети'!U$3)-9,12),FALSE),'19_Расчет_аналитики'!U4461*CapacityAge06*'19_Расчет_аналитики'!$F$4259,0),0)</f>
        <v/>
      </c>
      <c r="V4573">
        <f>IF('01_Вводные'!$B$234="Да",IF(IF('01_Вводные'!$B$296="Новый сезон",6-1&gt;MOD(MONTH('06_Сеть_и_дети'!V$3)-9,12),FALSE),'19_Расчет_аналитики'!V4461*CapacityAge06*'19_Расчет_аналитики'!$F$4259,0),0)</f>
        <v/>
      </c>
      <c r="W4573">
        <f>IF('01_Вводные'!$B$234="Да",IF(IF('01_Вводные'!$B$296="Новый сезон",6-1&gt;MOD(MONTH('06_Сеть_и_дети'!W$3)-9,12),FALSE),'19_Расчет_аналитики'!W4461*CapacityAge06*'19_Расчет_аналитики'!$F$4259,0),0)</f>
        <v/>
      </c>
      <c r="X4573">
        <f>IF('01_Вводные'!$B$234="Да",IF(IF('01_Вводные'!$B$296="Новый сезон",6-1&gt;MOD(MONTH('06_Сеть_и_дети'!X$3)-9,12),FALSE),'19_Расчет_аналитики'!X4461*CapacityAge06*'19_Расчет_аналитики'!$F$4259,0),0)</f>
        <v/>
      </c>
      <c r="Y4573">
        <f>IF('01_Вводные'!$B$234="Да",IF(IF('01_Вводные'!$B$296="Новый сезон",6-1&gt;MOD(MONTH('06_Сеть_и_дети'!Y$3)-9,12),FALSE),'19_Расчет_аналитики'!Y4461*CapacityAge06*'19_Расчет_аналитики'!$F$4259,0),0)</f>
        <v/>
      </c>
      <c r="Z4573">
        <f>IF('01_Вводные'!$B$234="Да",IF(IF('01_Вводные'!$B$296="Новый сезон",6-1&gt;MOD(MONTH('06_Сеть_и_дети'!Z$3)-9,12),FALSE),'19_Расчет_аналитики'!Z4461*CapacityAge06*'19_Расчет_аналитики'!$F$4259,0),0)</f>
        <v/>
      </c>
      <c r="AA4573">
        <f>IF('01_Вводные'!$B$234="Да",IF(IF('01_Вводные'!$B$296="Новый сезон",6-1&gt;MOD(MONTH('06_Сеть_и_дети'!AA$3)-9,12),FALSE),'19_Расчет_аналитики'!AA4461*CapacityAge06*'19_Расчет_аналитики'!$F$4259,0),0)</f>
        <v/>
      </c>
      <c r="AB4573">
        <f>IF('01_Вводные'!$B$234="Да",IF(IF('01_Вводные'!$B$296="Новый сезон",6-1&gt;MOD(MONTH('06_Сеть_и_дети'!AB$3)-9,12),FALSE),'19_Расчет_аналитики'!AB4461*CapacityAge06*'19_Расчет_аналитики'!$F$4259,0),0)</f>
        <v/>
      </c>
      <c r="AC4573">
        <f>IF('01_Вводные'!$B$234="Да",IF(IF('01_Вводные'!$B$296="Новый сезон",6-1&gt;MOD(MONTH('06_Сеть_и_дети'!AC$3)-9,12),FALSE),'19_Расчет_аналитики'!AC4461*CapacityAge06*'19_Расчет_аналитики'!$F$4259,0),0)</f>
        <v/>
      </c>
      <c r="AD4573">
        <f>IF('01_Вводные'!$B$234="Да",IF(IF('01_Вводные'!$B$296="Новый сезон",6-1&gt;MOD(MONTH('06_Сеть_и_дети'!AD$3)-9,12),FALSE),'19_Расчет_аналитики'!AD4461*CapacityAge06*'19_Расчет_аналитики'!$F$4259,0),0)</f>
        <v/>
      </c>
      <c r="AE4573">
        <f>IF('01_Вводные'!$B$234="Да",IF(IF('01_Вводные'!$B$296="Новый сезон",6-1&gt;MOD(MONTH('06_Сеть_и_дети'!AE$3)-9,12),FALSE),'19_Расчет_аналитики'!AE4461*CapacityAge06*'19_Расчет_аналитики'!$F$4259,0),0)</f>
        <v/>
      </c>
      <c r="AF4573">
        <f>IF('01_Вводные'!$B$234="Да",IF(IF('01_Вводные'!$B$296="Новый сезон",6-1&gt;MOD(MONTH('06_Сеть_и_дети'!AF$3)-9,12),FALSE),'19_Расчет_аналитики'!AF4461*CapacityAge06*'19_Расчет_аналитики'!$F$4259,0),0)</f>
        <v/>
      </c>
      <c r="AG4573">
        <f>IF('01_Вводные'!$B$234="Да",IF(IF('01_Вводные'!$B$296="Новый сезон",6-1&gt;MOD(MONTH('06_Сеть_и_дети'!AG$3)-9,12),FALSE),'19_Расчет_аналитики'!AG4461*CapacityAge06*'19_Расчет_аналитики'!$F$4259,0),0)</f>
        <v/>
      </c>
      <c r="AH4573">
        <f>IF('01_Вводные'!$B$234="Да",IF(IF('01_Вводные'!$B$296="Новый сезон",6-1&gt;MOD(MONTH('06_Сеть_и_дети'!AH$3)-9,12),FALSE),'19_Расчет_аналитики'!AH4461*CapacityAge06*'19_Расчет_аналитики'!$F$4259,0),0)</f>
        <v/>
      </c>
      <c r="AI4573">
        <f>IF('01_Вводные'!$B$234="Да",IF(IF('01_Вводные'!$B$296="Новый сезон",6-1&gt;MOD(MONTH('06_Сеть_и_дети'!AI$3)-9,12),FALSE),'19_Расчет_аналитики'!AI4461*CapacityAge06*'19_Расчет_аналитики'!$F$4259,0),0)</f>
        <v/>
      </c>
      <c r="AJ4573">
        <f>IF('01_Вводные'!$B$234="Да",IF(IF('01_Вводные'!$B$296="Новый сезон",6-1&gt;MOD(MONTH('06_Сеть_и_дети'!AJ$3)-9,12),FALSE),'19_Расчет_аналитики'!AJ4461*CapacityAge06*'19_Расчет_аналитики'!$F$4259,0),0)</f>
        <v/>
      </c>
      <c r="AK4573">
        <f>IF('01_Вводные'!$B$234="Да",IF(IF('01_Вводные'!$B$296="Новый сезон",6-1&gt;MOD(MONTH('06_Сеть_и_дети'!AK$3)-9,12),FALSE),'19_Расчет_аналитики'!AK4461*CapacityAge06*'19_Расчет_аналитики'!$F$4259,0),0)</f>
        <v/>
      </c>
      <c r="AL4573">
        <f>IF('01_Вводные'!$B$234="Да",IF(IF('01_Вводные'!$B$296="Новый сезон",6-1&gt;MOD(MONTH('06_Сеть_и_дети'!AL$3)-9,12),FALSE),'19_Расчет_аналитики'!AL4461*CapacityAge06*'19_Расчет_аналитики'!$F$4259,0),0)</f>
        <v/>
      </c>
      <c r="AM4573">
        <f>IF('01_Вводные'!$B$234="Да",IF(IF('01_Вводные'!$B$296="Новый сезон",6-1&gt;MOD(MONTH('06_Сеть_и_дети'!AM$3)-9,12),FALSE),'19_Расчет_аналитики'!AM4461*CapacityAge06*'19_Расчет_аналитики'!$F$4259,0),0)</f>
        <v/>
      </c>
      <c r="AN4573">
        <f>IF('01_Вводные'!$B$234="Да",IF(IF('01_Вводные'!$B$296="Новый сезон",6-1&gt;MOD(MONTH('06_Сеть_и_дети'!AN$3)-9,12),FALSE),'19_Расчет_аналитики'!AN4461*CapacityAge06*'19_Расчет_аналитики'!$F$4259,0),0)</f>
        <v/>
      </c>
      <c r="AO4573">
        <f>IF('01_Вводные'!$B$234="Да",IF(IF('01_Вводные'!$B$296="Новый сезон",6-1&gt;MOD(MONTH('06_Сеть_и_дети'!AO$3)-9,12),FALSE),'19_Расчет_аналитики'!AO4461*CapacityAge06*'19_Расчет_аналитики'!$F$4259,0),0)</f>
        <v/>
      </c>
      <c r="AP4573">
        <f>IF('01_Вводные'!$B$234="Да",IF(IF('01_Вводные'!$B$296="Новый сезон",6-1&gt;MOD(MONTH('06_Сеть_и_дети'!AP$3)-9,12),FALSE),'19_Расчет_аналитики'!AP4461*CapacityAge06*'19_Расчет_аналитики'!$F$4259,0),0)</f>
        <v/>
      </c>
      <c r="AQ4573">
        <f>IF('01_Вводные'!$B$234="Да",IF(IF('01_Вводные'!$B$296="Новый сезон",6-1&gt;MOD(MONTH('06_Сеть_и_дети'!AQ$3)-9,12),FALSE),'19_Расчет_аналитики'!AQ4461*CapacityAge06*'19_Расчет_аналитики'!$F$4259,0),0)</f>
        <v/>
      </c>
      <c r="AR4573">
        <f>IF('01_Вводные'!$B$234="Да",IF(IF('01_Вводные'!$B$296="Новый сезон",6-1&gt;MOD(MONTH('06_Сеть_и_дети'!AR$3)-9,12),FALSE),'19_Расчет_аналитики'!AR4461*CapacityAge06*'19_Расчет_аналитики'!$F$4259,0),0)</f>
        <v/>
      </c>
      <c r="AS4573">
        <f>IF('01_Вводные'!$B$234="Да",IF(IF('01_Вводные'!$B$296="Новый сезон",6-1&gt;MOD(MONTH('06_Сеть_и_дети'!AS$3)-9,12),FALSE),'19_Расчет_аналитики'!AS4461*CapacityAge06*'19_Расчет_аналитики'!$F$4259,0),0)</f>
        <v/>
      </c>
      <c r="AT4573">
        <f>IF('01_Вводные'!$B$234="Да",IF(IF('01_Вводные'!$B$296="Новый сезон",6-1&gt;MOD(MONTH('06_Сеть_и_дети'!AT$3)-9,12),FALSE),'19_Расчет_аналитики'!AT4461*CapacityAge06*'19_Расчет_аналитики'!$F$4259,0),0)</f>
        <v/>
      </c>
      <c r="AU4573">
        <f>IF('01_Вводные'!$B$234="Да",IF(IF('01_Вводные'!$B$296="Новый сезон",6-1&gt;MOD(MONTH('06_Сеть_и_дети'!AU$3)-9,12),FALSE),'19_Расчет_аналитики'!AU4461*CapacityAge06*'19_Расчет_аналитики'!$F$4259,0),0)</f>
        <v/>
      </c>
      <c r="AV4573">
        <f>IF('01_Вводные'!$B$234="Да",IF(IF('01_Вводные'!$B$296="Новый сезон",6-1&gt;MOD(MONTH('06_Сеть_и_дети'!AV$3)-9,12),FALSE),'19_Расчет_аналитики'!AV4461*CapacityAge06*'19_Расчет_аналитики'!$F$4259,0),0)</f>
        <v/>
      </c>
      <c r="AW4573">
        <f>IF('01_Вводные'!$B$234="Да",IF(IF('01_Вводные'!$B$296="Новый сезон",6-1&gt;MOD(MONTH('06_Сеть_и_дети'!AW$3)-9,12),FALSE),'19_Расчет_аналитики'!AW4461*CapacityAge06*'19_Расчет_аналитики'!$F$4259,0),0)</f>
        <v/>
      </c>
      <c r="AX4573">
        <f>IF('01_Вводные'!$B$234="Да",IF(IF('01_Вводные'!$B$296="Новый сезон",6-1&gt;MOD(MONTH('06_Сеть_и_дети'!AX$3)-9,12),FALSE),'19_Расчет_аналитики'!AX4461*CapacityAge06*'19_Расчет_аналитики'!$F$4259,0),0)</f>
        <v/>
      </c>
      <c r="AY4573">
        <f>IF('01_Вводные'!$B$234="Да",IF(IF('01_Вводные'!$B$296="Новый сезон",6-1&gt;MOD(MONTH('06_Сеть_и_дети'!AY$3)-9,12),FALSE),'19_Расчет_аналитики'!AY4461*CapacityAge06*'19_Расчет_аналитики'!$F$4259,0),0)</f>
        <v/>
      </c>
      <c r="AZ4573">
        <f>IF('01_Вводные'!$B$234="Да",IF(IF('01_Вводные'!$B$296="Новый сезон",6-1&gt;MOD(MONTH('06_Сеть_и_дети'!AZ$3)-9,12),FALSE),'19_Расчет_аналитики'!AZ4461*CapacityAge06*'19_Расчет_аналитики'!$F$4259,0),0)</f>
        <v/>
      </c>
      <c r="BA4573">
        <f>IF('01_Вводные'!$B$234="Да",IF(IF('01_Вводные'!$B$296="Новый сезон",6-1&gt;MOD(MONTH('06_Сеть_и_дети'!BA$3)-9,12),FALSE),'19_Расчет_аналитики'!BA4461*CapacityAge06*'19_Расчет_аналитики'!$F$4259,0),0)</f>
        <v/>
      </c>
      <c r="BB4573">
        <f>IF('01_Вводные'!$B$234="Да",IF(IF('01_Вводные'!$B$296="Новый сезон",6-1&gt;MOD(MONTH('06_Сеть_и_дети'!BB$3)-9,12),FALSE),'19_Расчет_аналитики'!BB4461*CapacityAge06*'19_Расчет_аналитики'!$F$4259,0),0)</f>
        <v/>
      </c>
      <c r="BC4573">
        <f>IF('01_Вводные'!$B$234="Да",IF(IF('01_Вводные'!$B$296="Новый сезон",6-1&gt;MOD(MONTH('06_Сеть_и_дети'!BC$3)-9,12),FALSE),'19_Расчет_аналитики'!BC4461*CapacityAge06*'19_Расчет_аналитики'!$F$4259,0),0)</f>
        <v/>
      </c>
      <c r="BD4573">
        <f>IF('01_Вводные'!$B$234="Да",IF(IF('01_Вводные'!$B$296="Новый сезон",6-1&gt;MOD(MONTH('06_Сеть_и_дети'!BD$3)-9,12),FALSE),'19_Расчет_аналитики'!BD4461*CapacityAge06*'19_Расчет_аналитики'!$F$4259,0),0)</f>
        <v/>
      </c>
      <c r="BE4573">
        <f>IF('01_Вводные'!$B$234="Да",IF(IF('01_Вводные'!$B$296="Новый сезон",6-1&gt;MOD(MONTH('06_Сеть_и_дети'!BE$3)-9,12),FALSE),'19_Расчет_аналитики'!BE4461*CapacityAge06*'19_Расчет_аналитики'!$F$4259,0),0)</f>
        <v/>
      </c>
      <c r="BF4573">
        <f>IF('01_Вводные'!$B$234="Да",IF(IF('01_Вводные'!$B$296="Новый сезон",6-1&gt;MOD(MONTH('06_Сеть_и_дети'!BF$3)-9,12),FALSE),'19_Расчет_аналитики'!BF4461*CapacityAge06*'19_Расчет_аналитики'!$F$4259,0),0)</f>
        <v/>
      </c>
      <c r="BG4573">
        <f>IF('01_Вводные'!$B$234="Да",IF(IF('01_Вводные'!$B$296="Новый сезон",6-1&gt;MOD(MONTH('06_Сеть_и_дети'!BG$3)-9,12),FALSE),'19_Расчет_аналитики'!BG4461*CapacityAge06*'19_Расчет_аналитики'!$F$4259,0),0)</f>
        <v/>
      </c>
      <c r="BH4573">
        <f>IF('01_Вводные'!$B$234="Да",IF(IF('01_Вводные'!$B$296="Новый сезон",6-1&gt;MOD(MONTH('06_Сеть_и_дети'!BH$3)-9,12),FALSE),'19_Расчет_аналитики'!BH4461*CapacityAge06*'19_Расчет_аналитики'!$F$4259,0),0)</f>
        <v/>
      </c>
      <c r="BI4573">
        <f>IF('01_Вводные'!$B$234="Да",IF(IF('01_Вводные'!$B$296="Новый сезон",6-1&gt;MOD(MONTH('06_Сеть_и_дети'!BI$3)-9,12),FALSE),'19_Расчет_аналитики'!BI4461*CapacityAge06*'19_Расчет_аналитики'!$F$4259,0),0)</f>
        <v/>
      </c>
      <c r="BJ4573">
        <f>IF('01_Вводные'!$B$234="Да",IF(IF('01_Вводные'!$B$296="Новый сезон",6-1&gt;MOD(MONTH('06_Сеть_и_дети'!BJ$3)-9,12),FALSE),'19_Расчет_аналитики'!BJ4461*CapacityAge06*'19_Расчет_аналитики'!$F$4259,0),0)</f>
        <v/>
      </c>
      <c r="BK4573">
        <f>IF('01_Вводные'!$B$234="Да",IF(IF('01_Вводные'!$B$296="Новый сезон",6-1&gt;MOD(MONTH('06_Сеть_и_дети'!BK$3)-9,12),FALSE),'19_Расчет_аналитики'!BK4461*CapacityAge06*'19_Расчет_аналитики'!$F$4259,0),0)</f>
        <v/>
      </c>
      <c r="BL4573">
        <f>IF('01_Вводные'!$B$234="Да",IF(IF('01_Вводные'!$B$296="Новый сезон",6-1&gt;MOD(MONTH('06_Сеть_и_дети'!BL$3)-9,12),FALSE),'19_Расчет_аналитики'!BL4461*CapacityAge06*'19_Расчет_аналитики'!$F$4259,0),0)</f>
        <v/>
      </c>
      <c r="BM4573">
        <f>IF('01_Вводные'!$B$234="Да",IF(IF('01_Вводные'!$B$296="Новый сезон",6-1&gt;MOD(MONTH('06_Сеть_и_дети'!BM$3)-9,12),FALSE),'19_Расчет_аналитики'!BM4461*CapacityAge06*'19_Расчет_аналитики'!$F$4259,0),0)</f>
        <v/>
      </c>
      <c r="BN4573">
        <f>IF('01_Вводные'!$B$234="Да",IF(IF('01_Вводные'!$B$296="Новый сезон",6-1&gt;MOD(MONTH('06_Сеть_и_дети'!BN$3)-9,12),FALSE),'19_Расчет_аналитики'!BN4461*CapacityAge06*'19_Расчет_аналитики'!$F$4259,0),0)</f>
        <v/>
      </c>
      <c r="BO4573">
        <f>IF('01_Вводные'!$B$234="Да",IF(IF('01_Вводные'!$B$296="Новый сезон",6-1&gt;MOD(MONTH('06_Сеть_и_дети'!BO$3)-9,12),FALSE),'19_Расчет_аналитики'!BO4461*CapacityAge06*'19_Расчет_аналитики'!$F$4259,0),0)</f>
        <v/>
      </c>
    </row>
    <row r="4574">
      <c r="B4574">
        <f>IF('01_Вводные'!$B$234="Да",IF(IF('01_Вводные'!$B$296="Новый сезон",7-1&gt;MOD(MONTH('06_Сеть_и_дети'!B$3)-9,12),FALSE),'06_Сеть_и_дети'!B59*CapacityAge07*'19_Расчет_аналитики'!$F$4259,0),0)</f>
        <v/>
      </c>
      <c r="C4574">
        <f>IF('01_Вводные'!$B$234="Да",IF(IF('01_Вводные'!$B$296="Новый сезон",7-1&gt;MOD(MONTH('06_Сеть_и_дети'!C$3)-9,12),FALSE),'06_Сеть_и_дети'!C59*CapacityAge07*'19_Расчет_аналитики'!$F$4259,0),0)</f>
        <v/>
      </c>
      <c r="D4574">
        <f>IF('01_Вводные'!$B$234="Да",IF(IF('01_Вводные'!$B$296="Новый сезон",7-1&gt;MOD(MONTH('06_Сеть_и_дети'!D$3)-9,12),FALSE),'06_Сеть_и_дети'!D59*CapacityAge07*'19_Расчет_аналитики'!$F$4259,0),0)</f>
        <v/>
      </c>
      <c r="E4574">
        <f>IF('01_Вводные'!$B$234="Да",IF(IF('01_Вводные'!$B$296="Новый сезон",7-1&gt;MOD(MONTH('06_Сеть_и_дети'!E$3)-9,12),FALSE),'06_Сеть_и_дети'!E59*CapacityAge07*'19_Расчет_аналитики'!$F$4259,0),0)</f>
        <v/>
      </c>
      <c r="F4574">
        <f>IF('01_Вводные'!$B$234="Да",IF(IF('01_Вводные'!$B$296="Новый сезон",7-1&gt;MOD(MONTH('06_Сеть_и_дети'!F$3)-9,12),FALSE),'06_Сеть_и_дети'!F59*CapacityAge07*'19_Расчет_аналитики'!$F$4259,0),0)</f>
        <v/>
      </c>
      <c r="G4574">
        <f>IF('01_Вводные'!$B$234="Да",IF(IF('01_Вводные'!$B$296="Новый сезон",7-1&gt;MOD(MONTH('06_Сеть_и_дети'!G$3)-9,12),FALSE),'06_Сеть_и_дети'!G59*CapacityAge07*'19_Расчет_аналитики'!$F$4259,0),0)</f>
        <v/>
      </c>
      <c r="H4574">
        <f>IF('01_Вводные'!$B$234="Да",IF(IF('01_Вводные'!$B$296="Новый сезон",7-1&gt;MOD(MONTH('06_Сеть_и_дети'!H$3)-9,12),FALSE),'19_Расчет_аналитики'!H4462*CapacityAge07*'19_Расчет_аналитики'!$F$4259,0),0)</f>
        <v/>
      </c>
      <c r="I4574">
        <f>IF('01_Вводные'!$B$234="Да",IF(IF('01_Вводные'!$B$296="Новый сезон",7-1&gt;MOD(MONTH('06_Сеть_и_дети'!I$3)-9,12),FALSE),'19_Расчет_аналитики'!I4462*CapacityAge07*'19_Расчет_аналитики'!$F$4259,0),0)</f>
        <v/>
      </c>
      <c r="J4574">
        <f>IF('01_Вводные'!$B$234="Да",IF(IF('01_Вводные'!$B$296="Новый сезон",7-1&gt;MOD(MONTH('06_Сеть_и_дети'!J$3)-9,12),FALSE),'19_Расчет_аналитики'!J4462*CapacityAge07*'19_Расчет_аналитики'!$F$4259,0),0)</f>
        <v/>
      </c>
      <c r="K4574">
        <f>IF('01_Вводные'!$B$234="Да",IF(IF('01_Вводные'!$B$296="Новый сезон",7-1&gt;MOD(MONTH('06_Сеть_и_дети'!K$3)-9,12),FALSE),'19_Расчет_аналитики'!K4462*CapacityAge07*'19_Расчет_аналитики'!$F$4259,0),0)</f>
        <v/>
      </c>
      <c r="L4574">
        <f>IF('01_Вводные'!$B$234="Да",IF(IF('01_Вводные'!$B$296="Новый сезон",7-1&gt;MOD(MONTH('06_Сеть_и_дети'!L$3)-9,12),FALSE),'19_Расчет_аналитики'!L4462*CapacityAge07*'19_Расчет_аналитики'!$F$4259,0),0)</f>
        <v/>
      </c>
      <c r="M4574">
        <f>IF('01_Вводные'!$B$234="Да",IF(IF('01_Вводные'!$B$296="Новый сезон",7-1&gt;MOD(MONTH('06_Сеть_и_дети'!M$3)-9,12),FALSE),'19_Расчет_аналитики'!M4462*CapacityAge07*'19_Расчет_аналитики'!$F$4259,0),0)</f>
        <v/>
      </c>
      <c r="N4574">
        <f>IF('01_Вводные'!$B$234="Да",IF(IF('01_Вводные'!$B$296="Новый сезон",7-1&gt;MOD(MONTH('06_Сеть_и_дети'!N$3)-9,12),FALSE),'19_Расчет_аналитики'!N4462*CapacityAge07*'19_Расчет_аналитики'!$F$4259,0),0)</f>
        <v/>
      </c>
      <c r="O4574">
        <f>IF('01_Вводные'!$B$234="Да",IF(IF('01_Вводные'!$B$296="Новый сезон",7-1&gt;MOD(MONTH('06_Сеть_и_дети'!O$3)-9,12),FALSE),'19_Расчет_аналитики'!O4462*CapacityAge07*'19_Расчет_аналитики'!$F$4259,0),0)</f>
        <v/>
      </c>
      <c r="P4574">
        <f>IF('01_Вводные'!$B$234="Да",IF(IF('01_Вводные'!$B$296="Новый сезон",7-1&gt;MOD(MONTH('06_Сеть_и_дети'!P$3)-9,12),FALSE),'19_Расчет_аналитики'!P4462*CapacityAge07*'19_Расчет_аналитики'!$F$4259,0),0)</f>
        <v/>
      </c>
      <c r="Q4574">
        <f>IF('01_Вводные'!$B$234="Да",IF(IF('01_Вводные'!$B$296="Новый сезон",7-1&gt;MOD(MONTH('06_Сеть_и_дети'!Q$3)-9,12),FALSE),'19_Расчет_аналитики'!Q4462*CapacityAge07*'19_Расчет_аналитики'!$F$4259,0),0)</f>
        <v/>
      </c>
      <c r="R4574">
        <f>IF('01_Вводные'!$B$234="Да",IF(IF('01_Вводные'!$B$296="Новый сезон",7-1&gt;MOD(MONTH('06_Сеть_и_дети'!R$3)-9,12),FALSE),'19_Расчет_аналитики'!R4462*CapacityAge07*'19_Расчет_аналитики'!$F$4259,0),0)</f>
        <v/>
      </c>
      <c r="S4574">
        <f>IF('01_Вводные'!$B$234="Да",IF(IF('01_Вводные'!$B$296="Новый сезон",7-1&gt;MOD(MONTH('06_Сеть_и_дети'!S$3)-9,12),FALSE),'19_Расчет_аналитики'!S4462*CapacityAge07*'19_Расчет_аналитики'!$F$4259,0),0)</f>
        <v/>
      </c>
      <c r="T4574">
        <f>IF('01_Вводные'!$B$234="Да",IF(IF('01_Вводные'!$B$296="Новый сезон",7-1&gt;MOD(MONTH('06_Сеть_и_дети'!T$3)-9,12),FALSE),'19_Расчет_аналитики'!T4462*CapacityAge07*'19_Расчет_аналитики'!$F$4259,0),0)</f>
        <v/>
      </c>
      <c r="U4574">
        <f>IF('01_Вводные'!$B$234="Да",IF(IF('01_Вводные'!$B$296="Новый сезон",7-1&gt;MOD(MONTH('06_Сеть_и_дети'!U$3)-9,12),FALSE),'19_Расчет_аналитики'!U4462*CapacityAge07*'19_Расчет_аналитики'!$F$4259,0),0)</f>
        <v/>
      </c>
      <c r="V4574">
        <f>IF('01_Вводные'!$B$234="Да",IF(IF('01_Вводные'!$B$296="Новый сезон",7-1&gt;MOD(MONTH('06_Сеть_и_дети'!V$3)-9,12),FALSE),'19_Расчет_аналитики'!V4462*CapacityAge07*'19_Расчет_аналитики'!$F$4259,0),0)</f>
        <v/>
      </c>
      <c r="W4574">
        <f>IF('01_Вводные'!$B$234="Да",IF(IF('01_Вводные'!$B$296="Новый сезон",7-1&gt;MOD(MONTH('06_Сеть_и_дети'!W$3)-9,12),FALSE),'19_Расчет_аналитики'!W4462*CapacityAge07*'19_Расчет_аналитики'!$F$4259,0),0)</f>
        <v/>
      </c>
      <c r="X4574">
        <f>IF('01_Вводные'!$B$234="Да",IF(IF('01_Вводные'!$B$296="Новый сезон",7-1&gt;MOD(MONTH('06_Сеть_и_дети'!X$3)-9,12),FALSE),'19_Расчет_аналитики'!X4462*CapacityAge07*'19_Расчет_аналитики'!$F$4259,0),0)</f>
        <v/>
      </c>
      <c r="Y4574">
        <f>IF('01_Вводные'!$B$234="Да",IF(IF('01_Вводные'!$B$296="Новый сезон",7-1&gt;MOD(MONTH('06_Сеть_и_дети'!Y$3)-9,12),FALSE),'19_Расчет_аналитики'!Y4462*CapacityAge07*'19_Расчет_аналитики'!$F$4259,0),0)</f>
        <v/>
      </c>
      <c r="Z4574">
        <f>IF('01_Вводные'!$B$234="Да",IF(IF('01_Вводные'!$B$296="Новый сезон",7-1&gt;MOD(MONTH('06_Сеть_и_дети'!Z$3)-9,12),FALSE),'19_Расчет_аналитики'!Z4462*CapacityAge07*'19_Расчет_аналитики'!$F$4259,0),0)</f>
        <v/>
      </c>
      <c r="AA4574">
        <f>IF('01_Вводные'!$B$234="Да",IF(IF('01_Вводные'!$B$296="Новый сезон",7-1&gt;MOD(MONTH('06_Сеть_и_дети'!AA$3)-9,12),FALSE),'19_Расчет_аналитики'!AA4462*CapacityAge07*'19_Расчет_аналитики'!$F$4259,0),0)</f>
        <v/>
      </c>
      <c r="AB4574">
        <f>IF('01_Вводные'!$B$234="Да",IF(IF('01_Вводные'!$B$296="Новый сезон",7-1&gt;MOD(MONTH('06_Сеть_и_дети'!AB$3)-9,12),FALSE),'19_Расчет_аналитики'!AB4462*CapacityAge07*'19_Расчет_аналитики'!$F$4259,0),0)</f>
        <v/>
      </c>
      <c r="AC4574">
        <f>IF('01_Вводные'!$B$234="Да",IF(IF('01_Вводные'!$B$296="Новый сезон",7-1&gt;MOD(MONTH('06_Сеть_и_дети'!AC$3)-9,12),FALSE),'19_Расчет_аналитики'!AC4462*CapacityAge07*'19_Расчет_аналитики'!$F$4259,0),0)</f>
        <v/>
      </c>
      <c r="AD4574">
        <f>IF('01_Вводные'!$B$234="Да",IF(IF('01_Вводные'!$B$296="Новый сезон",7-1&gt;MOD(MONTH('06_Сеть_и_дети'!AD$3)-9,12),FALSE),'19_Расчет_аналитики'!AD4462*CapacityAge07*'19_Расчет_аналитики'!$F$4259,0),0)</f>
        <v/>
      </c>
      <c r="AE4574">
        <f>IF('01_Вводные'!$B$234="Да",IF(IF('01_Вводные'!$B$296="Новый сезон",7-1&gt;MOD(MONTH('06_Сеть_и_дети'!AE$3)-9,12),FALSE),'19_Расчет_аналитики'!AE4462*CapacityAge07*'19_Расчет_аналитики'!$F$4259,0),0)</f>
        <v/>
      </c>
      <c r="AF4574">
        <f>IF('01_Вводные'!$B$234="Да",IF(IF('01_Вводные'!$B$296="Новый сезон",7-1&gt;MOD(MONTH('06_Сеть_и_дети'!AF$3)-9,12),FALSE),'19_Расчет_аналитики'!AF4462*CapacityAge07*'19_Расчет_аналитики'!$F$4259,0),0)</f>
        <v/>
      </c>
      <c r="AG4574">
        <f>IF('01_Вводные'!$B$234="Да",IF(IF('01_Вводные'!$B$296="Новый сезон",7-1&gt;MOD(MONTH('06_Сеть_и_дети'!AG$3)-9,12),FALSE),'19_Расчет_аналитики'!AG4462*CapacityAge07*'19_Расчет_аналитики'!$F$4259,0),0)</f>
        <v/>
      </c>
      <c r="AH4574">
        <f>IF('01_Вводные'!$B$234="Да",IF(IF('01_Вводные'!$B$296="Новый сезон",7-1&gt;MOD(MONTH('06_Сеть_и_дети'!AH$3)-9,12),FALSE),'19_Расчет_аналитики'!AH4462*CapacityAge07*'19_Расчет_аналитики'!$F$4259,0),0)</f>
        <v/>
      </c>
      <c r="AI4574">
        <f>IF('01_Вводные'!$B$234="Да",IF(IF('01_Вводные'!$B$296="Новый сезон",7-1&gt;MOD(MONTH('06_Сеть_и_дети'!AI$3)-9,12),FALSE),'19_Расчет_аналитики'!AI4462*CapacityAge07*'19_Расчет_аналитики'!$F$4259,0),0)</f>
        <v/>
      </c>
      <c r="AJ4574">
        <f>IF('01_Вводные'!$B$234="Да",IF(IF('01_Вводные'!$B$296="Новый сезон",7-1&gt;MOD(MONTH('06_Сеть_и_дети'!AJ$3)-9,12),FALSE),'19_Расчет_аналитики'!AJ4462*CapacityAge07*'19_Расчет_аналитики'!$F$4259,0),0)</f>
        <v/>
      </c>
      <c r="AK4574">
        <f>IF('01_Вводные'!$B$234="Да",IF(IF('01_Вводные'!$B$296="Новый сезон",7-1&gt;MOD(MONTH('06_Сеть_и_дети'!AK$3)-9,12),FALSE),'19_Расчет_аналитики'!AK4462*CapacityAge07*'19_Расчет_аналитики'!$F$4259,0),0)</f>
        <v/>
      </c>
      <c r="AL4574">
        <f>IF('01_Вводные'!$B$234="Да",IF(IF('01_Вводные'!$B$296="Новый сезон",7-1&gt;MOD(MONTH('06_Сеть_и_дети'!AL$3)-9,12),FALSE),'19_Расчет_аналитики'!AL4462*CapacityAge07*'19_Расчет_аналитики'!$F$4259,0),0)</f>
        <v/>
      </c>
      <c r="AM4574">
        <f>IF('01_Вводные'!$B$234="Да",IF(IF('01_Вводные'!$B$296="Новый сезон",7-1&gt;MOD(MONTH('06_Сеть_и_дети'!AM$3)-9,12),FALSE),'19_Расчет_аналитики'!AM4462*CapacityAge07*'19_Расчет_аналитики'!$F$4259,0),0)</f>
        <v/>
      </c>
      <c r="AN4574">
        <f>IF('01_Вводные'!$B$234="Да",IF(IF('01_Вводные'!$B$296="Новый сезон",7-1&gt;MOD(MONTH('06_Сеть_и_дети'!AN$3)-9,12),FALSE),'19_Расчет_аналитики'!AN4462*CapacityAge07*'19_Расчет_аналитики'!$F$4259,0),0)</f>
        <v/>
      </c>
      <c r="AO4574">
        <f>IF('01_Вводные'!$B$234="Да",IF(IF('01_Вводные'!$B$296="Новый сезон",7-1&gt;MOD(MONTH('06_Сеть_и_дети'!AO$3)-9,12),FALSE),'19_Расчет_аналитики'!AO4462*CapacityAge07*'19_Расчет_аналитики'!$F$4259,0),0)</f>
        <v/>
      </c>
      <c r="AP4574">
        <f>IF('01_Вводные'!$B$234="Да",IF(IF('01_Вводные'!$B$296="Новый сезон",7-1&gt;MOD(MONTH('06_Сеть_и_дети'!AP$3)-9,12),FALSE),'19_Расчет_аналитики'!AP4462*CapacityAge07*'19_Расчет_аналитики'!$F$4259,0),0)</f>
        <v/>
      </c>
      <c r="AQ4574">
        <f>IF('01_Вводные'!$B$234="Да",IF(IF('01_Вводные'!$B$296="Новый сезон",7-1&gt;MOD(MONTH('06_Сеть_и_дети'!AQ$3)-9,12),FALSE),'19_Расчет_аналитики'!AQ4462*CapacityAge07*'19_Расчет_аналитики'!$F$4259,0),0)</f>
        <v/>
      </c>
      <c r="AR4574">
        <f>IF('01_Вводные'!$B$234="Да",IF(IF('01_Вводные'!$B$296="Новый сезон",7-1&gt;MOD(MONTH('06_Сеть_и_дети'!AR$3)-9,12),FALSE),'19_Расчет_аналитики'!AR4462*CapacityAge07*'19_Расчет_аналитики'!$F$4259,0),0)</f>
        <v/>
      </c>
      <c r="AS4574">
        <f>IF('01_Вводные'!$B$234="Да",IF(IF('01_Вводные'!$B$296="Новый сезон",7-1&gt;MOD(MONTH('06_Сеть_и_дети'!AS$3)-9,12),FALSE),'19_Расчет_аналитики'!AS4462*CapacityAge07*'19_Расчет_аналитики'!$F$4259,0),0)</f>
        <v/>
      </c>
      <c r="AT4574">
        <f>IF('01_Вводные'!$B$234="Да",IF(IF('01_Вводные'!$B$296="Новый сезон",7-1&gt;MOD(MONTH('06_Сеть_и_дети'!AT$3)-9,12),FALSE),'19_Расчет_аналитики'!AT4462*CapacityAge07*'19_Расчет_аналитики'!$F$4259,0),0)</f>
        <v/>
      </c>
      <c r="AU4574">
        <f>IF('01_Вводные'!$B$234="Да",IF(IF('01_Вводные'!$B$296="Новый сезон",7-1&gt;MOD(MONTH('06_Сеть_и_дети'!AU$3)-9,12),FALSE),'19_Расчет_аналитики'!AU4462*CapacityAge07*'19_Расчет_аналитики'!$F$4259,0),0)</f>
        <v/>
      </c>
      <c r="AV4574">
        <f>IF('01_Вводные'!$B$234="Да",IF(IF('01_Вводные'!$B$296="Новый сезон",7-1&gt;MOD(MONTH('06_Сеть_и_дети'!AV$3)-9,12),FALSE),'19_Расчет_аналитики'!AV4462*CapacityAge07*'19_Расчет_аналитики'!$F$4259,0),0)</f>
        <v/>
      </c>
      <c r="AW4574">
        <f>IF('01_Вводные'!$B$234="Да",IF(IF('01_Вводные'!$B$296="Новый сезон",7-1&gt;MOD(MONTH('06_Сеть_и_дети'!AW$3)-9,12),FALSE),'19_Расчет_аналитики'!AW4462*CapacityAge07*'19_Расчет_аналитики'!$F$4259,0),0)</f>
        <v/>
      </c>
      <c r="AX4574">
        <f>IF('01_Вводные'!$B$234="Да",IF(IF('01_Вводные'!$B$296="Новый сезон",7-1&gt;MOD(MONTH('06_Сеть_и_дети'!AX$3)-9,12),FALSE),'19_Расчет_аналитики'!AX4462*CapacityAge07*'19_Расчет_аналитики'!$F$4259,0),0)</f>
        <v/>
      </c>
      <c r="AY4574">
        <f>IF('01_Вводные'!$B$234="Да",IF(IF('01_Вводные'!$B$296="Новый сезон",7-1&gt;MOD(MONTH('06_Сеть_и_дети'!AY$3)-9,12),FALSE),'19_Расчет_аналитики'!AY4462*CapacityAge07*'19_Расчет_аналитики'!$F$4259,0),0)</f>
        <v/>
      </c>
      <c r="AZ4574">
        <f>IF('01_Вводные'!$B$234="Да",IF(IF('01_Вводные'!$B$296="Новый сезон",7-1&gt;MOD(MONTH('06_Сеть_и_дети'!AZ$3)-9,12),FALSE),'19_Расчет_аналитики'!AZ4462*CapacityAge07*'19_Расчет_аналитики'!$F$4259,0),0)</f>
        <v/>
      </c>
      <c r="BA4574">
        <f>IF('01_Вводные'!$B$234="Да",IF(IF('01_Вводные'!$B$296="Новый сезон",7-1&gt;MOD(MONTH('06_Сеть_и_дети'!BA$3)-9,12),FALSE),'19_Расчет_аналитики'!BA4462*CapacityAge07*'19_Расчет_аналитики'!$F$4259,0),0)</f>
        <v/>
      </c>
      <c r="BB4574">
        <f>IF('01_Вводные'!$B$234="Да",IF(IF('01_Вводные'!$B$296="Новый сезон",7-1&gt;MOD(MONTH('06_Сеть_и_дети'!BB$3)-9,12),FALSE),'19_Расчет_аналитики'!BB4462*CapacityAge07*'19_Расчет_аналитики'!$F$4259,0),0)</f>
        <v/>
      </c>
      <c r="BC4574">
        <f>IF('01_Вводные'!$B$234="Да",IF(IF('01_Вводные'!$B$296="Новый сезон",7-1&gt;MOD(MONTH('06_Сеть_и_дети'!BC$3)-9,12),FALSE),'19_Расчет_аналитики'!BC4462*CapacityAge07*'19_Расчет_аналитики'!$F$4259,0),0)</f>
        <v/>
      </c>
      <c r="BD4574">
        <f>IF('01_Вводные'!$B$234="Да",IF(IF('01_Вводные'!$B$296="Новый сезон",7-1&gt;MOD(MONTH('06_Сеть_и_дети'!BD$3)-9,12),FALSE),'19_Расчет_аналитики'!BD4462*CapacityAge07*'19_Расчет_аналитики'!$F$4259,0),0)</f>
        <v/>
      </c>
      <c r="BE4574">
        <f>IF('01_Вводные'!$B$234="Да",IF(IF('01_Вводные'!$B$296="Новый сезон",7-1&gt;MOD(MONTH('06_Сеть_и_дети'!BE$3)-9,12),FALSE),'19_Расчет_аналитики'!BE4462*CapacityAge07*'19_Расчет_аналитики'!$F$4259,0),0)</f>
        <v/>
      </c>
      <c r="BF4574">
        <f>IF('01_Вводные'!$B$234="Да",IF(IF('01_Вводные'!$B$296="Новый сезон",7-1&gt;MOD(MONTH('06_Сеть_и_дети'!BF$3)-9,12),FALSE),'19_Расчет_аналитики'!BF4462*CapacityAge07*'19_Расчет_аналитики'!$F$4259,0),0)</f>
        <v/>
      </c>
      <c r="BG4574">
        <f>IF('01_Вводные'!$B$234="Да",IF(IF('01_Вводные'!$B$296="Новый сезон",7-1&gt;MOD(MONTH('06_Сеть_и_дети'!BG$3)-9,12),FALSE),'19_Расчет_аналитики'!BG4462*CapacityAge07*'19_Расчет_аналитики'!$F$4259,0),0)</f>
        <v/>
      </c>
      <c r="BH4574">
        <f>IF('01_Вводные'!$B$234="Да",IF(IF('01_Вводные'!$B$296="Новый сезон",7-1&gt;MOD(MONTH('06_Сеть_и_дети'!BH$3)-9,12),FALSE),'19_Расчет_аналитики'!BH4462*CapacityAge07*'19_Расчет_аналитики'!$F$4259,0),0)</f>
        <v/>
      </c>
      <c r="BI4574">
        <f>IF('01_Вводные'!$B$234="Да",IF(IF('01_Вводные'!$B$296="Новый сезон",7-1&gt;MOD(MONTH('06_Сеть_и_дети'!BI$3)-9,12),FALSE),'19_Расчет_аналитики'!BI4462*CapacityAge07*'19_Расчет_аналитики'!$F$4259,0),0)</f>
        <v/>
      </c>
      <c r="BJ4574">
        <f>IF('01_Вводные'!$B$234="Да",IF(IF('01_Вводные'!$B$296="Новый сезон",7-1&gt;MOD(MONTH('06_Сеть_и_дети'!BJ$3)-9,12),FALSE),'19_Расчет_аналитики'!BJ4462*CapacityAge07*'19_Расчет_аналитики'!$F$4259,0),0)</f>
        <v/>
      </c>
      <c r="BK4574">
        <f>IF('01_Вводные'!$B$234="Да",IF(IF('01_Вводные'!$B$296="Новый сезон",7-1&gt;MOD(MONTH('06_Сеть_и_дети'!BK$3)-9,12),FALSE),'19_Расчет_аналитики'!BK4462*CapacityAge07*'19_Расчет_аналитики'!$F$4259,0),0)</f>
        <v/>
      </c>
      <c r="BL4574">
        <f>IF('01_Вводные'!$B$234="Да",IF(IF('01_Вводные'!$B$296="Новый сезон",7-1&gt;MOD(MONTH('06_Сеть_и_дети'!BL$3)-9,12),FALSE),'19_Расчет_аналитики'!BL4462*CapacityAge07*'19_Расчет_аналитики'!$F$4259,0),0)</f>
        <v/>
      </c>
      <c r="BM4574">
        <f>IF('01_Вводные'!$B$234="Да",IF(IF('01_Вводные'!$B$296="Новый сезон",7-1&gt;MOD(MONTH('06_Сеть_и_дети'!BM$3)-9,12),FALSE),'19_Расчет_аналитики'!BM4462*CapacityAge07*'19_Расчет_аналитики'!$F$4259,0),0)</f>
        <v/>
      </c>
      <c r="BN4574">
        <f>IF('01_Вводные'!$B$234="Да",IF(IF('01_Вводные'!$B$296="Новый сезон",7-1&gt;MOD(MONTH('06_Сеть_и_дети'!BN$3)-9,12),FALSE),'19_Расчет_аналитики'!BN4462*CapacityAge07*'19_Расчет_аналитики'!$F$4259,0),0)</f>
        <v/>
      </c>
      <c r="BO4574">
        <f>IF('01_Вводные'!$B$234="Да",IF(IF('01_Вводные'!$B$296="Новый сезон",7-1&gt;MOD(MONTH('06_Сеть_и_дети'!BO$3)-9,12),FALSE),'19_Расчет_аналитики'!BO4462*CapacityAge07*'19_Расчет_аналитики'!$F$4259,0),0)</f>
        <v/>
      </c>
    </row>
    <row r="4575">
      <c r="B4575">
        <f>IF('01_Вводные'!$B$234="Да",IF(IF('01_Вводные'!$B$296="Новый сезон",8-1&gt;MOD(MONTH('06_Сеть_и_дети'!B$3)-9,12),FALSE),'06_Сеть_и_дети'!B60*CapacityAge08*'19_Расчет_аналитики'!$F$4259,0),0)</f>
        <v/>
      </c>
      <c r="C4575">
        <f>IF('01_Вводные'!$B$234="Да",IF(IF('01_Вводные'!$B$296="Новый сезон",8-1&gt;MOD(MONTH('06_Сеть_и_дети'!C$3)-9,12),FALSE),'06_Сеть_и_дети'!C60*CapacityAge08*'19_Расчет_аналитики'!$F$4259,0),0)</f>
        <v/>
      </c>
      <c r="D4575">
        <f>IF('01_Вводные'!$B$234="Да",IF(IF('01_Вводные'!$B$296="Новый сезон",8-1&gt;MOD(MONTH('06_Сеть_и_дети'!D$3)-9,12),FALSE),'06_Сеть_и_дети'!D60*CapacityAge08*'19_Расчет_аналитики'!$F$4259,0),0)</f>
        <v/>
      </c>
      <c r="E4575">
        <f>IF('01_Вводные'!$B$234="Да",IF(IF('01_Вводные'!$B$296="Новый сезон",8-1&gt;MOD(MONTH('06_Сеть_и_дети'!E$3)-9,12),FALSE),'06_Сеть_и_дети'!E60*CapacityAge08*'19_Расчет_аналитики'!$F$4259,0),0)</f>
        <v/>
      </c>
      <c r="F4575">
        <f>IF('01_Вводные'!$B$234="Да",IF(IF('01_Вводные'!$B$296="Новый сезон",8-1&gt;MOD(MONTH('06_Сеть_и_дети'!F$3)-9,12),FALSE),'06_Сеть_и_дети'!F60*CapacityAge08*'19_Расчет_аналитики'!$F$4259,0),0)</f>
        <v/>
      </c>
      <c r="G4575">
        <f>IF('01_Вводные'!$B$234="Да",IF(IF('01_Вводные'!$B$296="Новый сезон",8-1&gt;MOD(MONTH('06_Сеть_и_дети'!G$3)-9,12),FALSE),'06_Сеть_и_дети'!G60*CapacityAge08*'19_Расчет_аналитики'!$F$4259,0),0)</f>
        <v/>
      </c>
      <c r="H4575">
        <f>IF('01_Вводные'!$B$234="Да",IF(IF('01_Вводные'!$B$296="Новый сезон",8-1&gt;MOD(MONTH('06_Сеть_и_дети'!H$3)-9,12),FALSE),'06_Сеть_и_дети'!H60*CapacityAge08*'19_Расчет_аналитики'!$F$4259,0),0)</f>
        <v/>
      </c>
      <c r="I4575">
        <f>IF('01_Вводные'!$B$234="Да",IF(IF('01_Вводные'!$B$296="Новый сезон",8-1&gt;MOD(MONTH('06_Сеть_и_дети'!I$3)-9,12),FALSE),'19_Расчет_аналитики'!I4463*CapacityAge08*'19_Расчет_аналитики'!$F$4259,0),0)</f>
        <v/>
      </c>
      <c r="J4575">
        <f>IF('01_Вводные'!$B$234="Да",IF(IF('01_Вводные'!$B$296="Новый сезон",8-1&gt;MOD(MONTH('06_Сеть_и_дети'!J$3)-9,12),FALSE),'19_Расчет_аналитики'!J4463*CapacityAge08*'19_Расчет_аналитики'!$F$4259,0),0)</f>
        <v/>
      </c>
      <c r="K4575">
        <f>IF('01_Вводные'!$B$234="Да",IF(IF('01_Вводные'!$B$296="Новый сезон",8-1&gt;MOD(MONTH('06_Сеть_и_дети'!K$3)-9,12),FALSE),'19_Расчет_аналитики'!K4463*CapacityAge08*'19_Расчет_аналитики'!$F$4259,0),0)</f>
        <v/>
      </c>
      <c r="L4575">
        <f>IF('01_Вводные'!$B$234="Да",IF(IF('01_Вводные'!$B$296="Новый сезон",8-1&gt;MOD(MONTH('06_Сеть_и_дети'!L$3)-9,12),FALSE),'19_Расчет_аналитики'!L4463*CapacityAge08*'19_Расчет_аналитики'!$F$4259,0),0)</f>
        <v/>
      </c>
      <c r="M4575">
        <f>IF('01_Вводные'!$B$234="Да",IF(IF('01_Вводные'!$B$296="Новый сезон",8-1&gt;MOD(MONTH('06_Сеть_и_дети'!M$3)-9,12),FALSE),'19_Расчет_аналитики'!M4463*CapacityAge08*'19_Расчет_аналитики'!$F$4259,0),0)</f>
        <v/>
      </c>
      <c r="N4575">
        <f>IF('01_Вводные'!$B$234="Да",IF(IF('01_Вводные'!$B$296="Новый сезон",8-1&gt;MOD(MONTH('06_Сеть_и_дети'!N$3)-9,12),FALSE),'19_Расчет_аналитики'!N4463*CapacityAge08*'19_Расчет_аналитики'!$F$4259,0),0)</f>
        <v/>
      </c>
      <c r="O4575">
        <f>IF('01_Вводные'!$B$234="Да",IF(IF('01_Вводные'!$B$296="Новый сезон",8-1&gt;MOD(MONTH('06_Сеть_и_дети'!O$3)-9,12),FALSE),'19_Расчет_аналитики'!O4463*CapacityAge08*'19_Расчет_аналитики'!$F$4259,0),0)</f>
        <v/>
      </c>
      <c r="P4575">
        <f>IF('01_Вводные'!$B$234="Да",IF(IF('01_Вводные'!$B$296="Новый сезон",8-1&gt;MOD(MONTH('06_Сеть_и_дети'!P$3)-9,12),FALSE),'19_Расчет_аналитики'!P4463*CapacityAge08*'19_Расчет_аналитики'!$F$4259,0),0)</f>
        <v/>
      </c>
      <c r="Q4575">
        <f>IF('01_Вводные'!$B$234="Да",IF(IF('01_Вводные'!$B$296="Новый сезон",8-1&gt;MOD(MONTH('06_Сеть_и_дети'!Q$3)-9,12),FALSE),'19_Расчет_аналитики'!Q4463*CapacityAge08*'19_Расчет_аналитики'!$F$4259,0),0)</f>
        <v/>
      </c>
      <c r="R4575">
        <f>IF('01_Вводные'!$B$234="Да",IF(IF('01_Вводные'!$B$296="Новый сезон",8-1&gt;MOD(MONTH('06_Сеть_и_дети'!R$3)-9,12),FALSE),'19_Расчет_аналитики'!R4463*CapacityAge08*'19_Расчет_аналитики'!$F$4259,0),0)</f>
        <v/>
      </c>
      <c r="S4575">
        <f>IF('01_Вводные'!$B$234="Да",IF(IF('01_Вводные'!$B$296="Новый сезон",8-1&gt;MOD(MONTH('06_Сеть_и_дети'!S$3)-9,12),FALSE),'19_Расчет_аналитики'!S4463*CapacityAge08*'19_Расчет_аналитики'!$F$4259,0),0)</f>
        <v/>
      </c>
      <c r="T4575">
        <f>IF('01_Вводные'!$B$234="Да",IF(IF('01_Вводные'!$B$296="Новый сезон",8-1&gt;MOD(MONTH('06_Сеть_и_дети'!T$3)-9,12),FALSE),'19_Расчет_аналитики'!T4463*CapacityAge08*'19_Расчет_аналитики'!$F$4259,0),0)</f>
        <v/>
      </c>
      <c r="U4575">
        <f>IF('01_Вводные'!$B$234="Да",IF(IF('01_Вводные'!$B$296="Новый сезон",8-1&gt;MOD(MONTH('06_Сеть_и_дети'!U$3)-9,12),FALSE),'19_Расчет_аналитики'!U4463*CapacityAge08*'19_Расчет_аналитики'!$F$4259,0),0)</f>
        <v/>
      </c>
      <c r="V4575">
        <f>IF('01_Вводные'!$B$234="Да",IF(IF('01_Вводные'!$B$296="Новый сезон",8-1&gt;MOD(MONTH('06_Сеть_и_дети'!V$3)-9,12),FALSE),'19_Расчет_аналитики'!V4463*CapacityAge08*'19_Расчет_аналитики'!$F$4259,0),0)</f>
        <v/>
      </c>
      <c r="W4575">
        <f>IF('01_Вводные'!$B$234="Да",IF(IF('01_Вводные'!$B$296="Новый сезон",8-1&gt;MOD(MONTH('06_Сеть_и_дети'!W$3)-9,12),FALSE),'19_Расчет_аналитики'!W4463*CapacityAge08*'19_Расчет_аналитики'!$F$4259,0),0)</f>
        <v/>
      </c>
      <c r="X4575">
        <f>IF('01_Вводные'!$B$234="Да",IF(IF('01_Вводные'!$B$296="Новый сезон",8-1&gt;MOD(MONTH('06_Сеть_и_дети'!X$3)-9,12),FALSE),'19_Расчет_аналитики'!X4463*CapacityAge08*'19_Расчет_аналитики'!$F$4259,0),0)</f>
        <v/>
      </c>
      <c r="Y4575">
        <f>IF('01_Вводные'!$B$234="Да",IF(IF('01_Вводные'!$B$296="Новый сезон",8-1&gt;MOD(MONTH('06_Сеть_и_дети'!Y$3)-9,12),FALSE),'19_Расчет_аналитики'!Y4463*CapacityAge08*'19_Расчет_аналитики'!$F$4259,0),0)</f>
        <v/>
      </c>
      <c r="Z4575">
        <f>IF('01_Вводные'!$B$234="Да",IF(IF('01_Вводные'!$B$296="Новый сезон",8-1&gt;MOD(MONTH('06_Сеть_и_дети'!Z$3)-9,12),FALSE),'19_Расчет_аналитики'!Z4463*CapacityAge08*'19_Расчет_аналитики'!$F$4259,0),0)</f>
        <v/>
      </c>
      <c r="AA4575">
        <f>IF('01_Вводные'!$B$234="Да",IF(IF('01_Вводные'!$B$296="Новый сезон",8-1&gt;MOD(MONTH('06_Сеть_и_дети'!AA$3)-9,12),FALSE),'19_Расчет_аналитики'!AA4463*CapacityAge08*'19_Расчет_аналитики'!$F$4259,0),0)</f>
        <v/>
      </c>
      <c r="AB4575">
        <f>IF('01_Вводные'!$B$234="Да",IF(IF('01_Вводные'!$B$296="Новый сезон",8-1&gt;MOD(MONTH('06_Сеть_и_дети'!AB$3)-9,12),FALSE),'19_Расчет_аналитики'!AB4463*CapacityAge08*'19_Расчет_аналитики'!$F$4259,0),0)</f>
        <v/>
      </c>
      <c r="AC4575">
        <f>IF('01_Вводные'!$B$234="Да",IF(IF('01_Вводные'!$B$296="Новый сезон",8-1&gt;MOD(MONTH('06_Сеть_и_дети'!AC$3)-9,12),FALSE),'19_Расчет_аналитики'!AC4463*CapacityAge08*'19_Расчет_аналитики'!$F$4259,0),0)</f>
        <v/>
      </c>
      <c r="AD4575">
        <f>IF('01_Вводные'!$B$234="Да",IF(IF('01_Вводные'!$B$296="Новый сезон",8-1&gt;MOD(MONTH('06_Сеть_и_дети'!AD$3)-9,12),FALSE),'19_Расчет_аналитики'!AD4463*CapacityAge08*'19_Расчет_аналитики'!$F$4259,0),0)</f>
        <v/>
      </c>
      <c r="AE4575">
        <f>IF('01_Вводные'!$B$234="Да",IF(IF('01_Вводные'!$B$296="Новый сезон",8-1&gt;MOD(MONTH('06_Сеть_и_дети'!AE$3)-9,12),FALSE),'19_Расчет_аналитики'!AE4463*CapacityAge08*'19_Расчет_аналитики'!$F$4259,0),0)</f>
        <v/>
      </c>
      <c r="AF4575">
        <f>IF('01_Вводные'!$B$234="Да",IF(IF('01_Вводные'!$B$296="Новый сезон",8-1&gt;MOD(MONTH('06_Сеть_и_дети'!AF$3)-9,12),FALSE),'19_Расчет_аналитики'!AF4463*CapacityAge08*'19_Расчет_аналитики'!$F$4259,0),0)</f>
        <v/>
      </c>
      <c r="AG4575">
        <f>IF('01_Вводные'!$B$234="Да",IF(IF('01_Вводные'!$B$296="Новый сезон",8-1&gt;MOD(MONTH('06_Сеть_и_дети'!AG$3)-9,12),FALSE),'19_Расчет_аналитики'!AG4463*CapacityAge08*'19_Расчет_аналитики'!$F$4259,0),0)</f>
        <v/>
      </c>
      <c r="AH4575">
        <f>IF('01_Вводные'!$B$234="Да",IF(IF('01_Вводные'!$B$296="Новый сезон",8-1&gt;MOD(MONTH('06_Сеть_и_дети'!AH$3)-9,12),FALSE),'19_Расчет_аналитики'!AH4463*CapacityAge08*'19_Расчет_аналитики'!$F$4259,0),0)</f>
        <v/>
      </c>
      <c r="AI4575">
        <f>IF('01_Вводные'!$B$234="Да",IF(IF('01_Вводные'!$B$296="Новый сезон",8-1&gt;MOD(MONTH('06_Сеть_и_дети'!AI$3)-9,12),FALSE),'19_Расчет_аналитики'!AI4463*CapacityAge08*'19_Расчет_аналитики'!$F$4259,0),0)</f>
        <v/>
      </c>
      <c r="AJ4575">
        <f>IF('01_Вводные'!$B$234="Да",IF(IF('01_Вводные'!$B$296="Новый сезон",8-1&gt;MOD(MONTH('06_Сеть_и_дети'!AJ$3)-9,12),FALSE),'19_Расчет_аналитики'!AJ4463*CapacityAge08*'19_Расчет_аналитики'!$F$4259,0),0)</f>
        <v/>
      </c>
      <c r="AK4575">
        <f>IF('01_Вводные'!$B$234="Да",IF(IF('01_Вводные'!$B$296="Новый сезон",8-1&gt;MOD(MONTH('06_Сеть_и_дети'!AK$3)-9,12),FALSE),'19_Расчет_аналитики'!AK4463*CapacityAge08*'19_Расчет_аналитики'!$F$4259,0),0)</f>
        <v/>
      </c>
      <c r="AL4575">
        <f>IF('01_Вводные'!$B$234="Да",IF(IF('01_Вводные'!$B$296="Новый сезон",8-1&gt;MOD(MONTH('06_Сеть_и_дети'!AL$3)-9,12),FALSE),'19_Расчет_аналитики'!AL4463*CapacityAge08*'19_Расчет_аналитики'!$F$4259,0),0)</f>
        <v/>
      </c>
      <c r="AM4575">
        <f>IF('01_Вводные'!$B$234="Да",IF(IF('01_Вводные'!$B$296="Новый сезон",8-1&gt;MOD(MONTH('06_Сеть_и_дети'!AM$3)-9,12),FALSE),'19_Расчет_аналитики'!AM4463*CapacityAge08*'19_Расчет_аналитики'!$F$4259,0),0)</f>
        <v/>
      </c>
      <c r="AN4575">
        <f>IF('01_Вводные'!$B$234="Да",IF(IF('01_Вводные'!$B$296="Новый сезон",8-1&gt;MOD(MONTH('06_Сеть_и_дети'!AN$3)-9,12),FALSE),'19_Расчет_аналитики'!AN4463*CapacityAge08*'19_Расчет_аналитики'!$F$4259,0),0)</f>
        <v/>
      </c>
      <c r="AO4575">
        <f>IF('01_Вводные'!$B$234="Да",IF(IF('01_Вводные'!$B$296="Новый сезон",8-1&gt;MOD(MONTH('06_Сеть_и_дети'!AO$3)-9,12),FALSE),'19_Расчет_аналитики'!AO4463*CapacityAge08*'19_Расчет_аналитики'!$F$4259,0),0)</f>
        <v/>
      </c>
      <c r="AP4575">
        <f>IF('01_Вводные'!$B$234="Да",IF(IF('01_Вводные'!$B$296="Новый сезон",8-1&gt;MOD(MONTH('06_Сеть_и_дети'!AP$3)-9,12),FALSE),'19_Расчет_аналитики'!AP4463*CapacityAge08*'19_Расчет_аналитики'!$F$4259,0),0)</f>
        <v/>
      </c>
      <c r="AQ4575">
        <f>IF('01_Вводные'!$B$234="Да",IF(IF('01_Вводные'!$B$296="Новый сезон",8-1&gt;MOD(MONTH('06_Сеть_и_дети'!AQ$3)-9,12),FALSE),'19_Расчет_аналитики'!AQ4463*CapacityAge08*'19_Расчет_аналитики'!$F$4259,0),0)</f>
        <v/>
      </c>
      <c r="AR4575">
        <f>IF('01_Вводные'!$B$234="Да",IF(IF('01_Вводные'!$B$296="Новый сезон",8-1&gt;MOD(MONTH('06_Сеть_и_дети'!AR$3)-9,12),FALSE),'19_Расчет_аналитики'!AR4463*CapacityAge08*'19_Расчет_аналитики'!$F$4259,0),0)</f>
        <v/>
      </c>
      <c r="AS4575">
        <f>IF('01_Вводные'!$B$234="Да",IF(IF('01_Вводные'!$B$296="Новый сезон",8-1&gt;MOD(MONTH('06_Сеть_и_дети'!AS$3)-9,12),FALSE),'19_Расчет_аналитики'!AS4463*CapacityAge08*'19_Расчет_аналитики'!$F$4259,0),0)</f>
        <v/>
      </c>
      <c r="AT4575">
        <f>IF('01_Вводные'!$B$234="Да",IF(IF('01_Вводные'!$B$296="Новый сезон",8-1&gt;MOD(MONTH('06_Сеть_и_дети'!AT$3)-9,12),FALSE),'19_Расчет_аналитики'!AT4463*CapacityAge08*'19_Расчет_аналитики'!$F$4259,0),0)</f>
        <v/>
      </c>
      <c r="AU4575">
        <f>IF('01_Вводные'!$B$234="Да",IF(IF('01_Вводные'!$B$296="Новый сезон",8-1&gt;MOD(MONTH('06_Сеть_и_дети'!AU$3)-9,12),FALSE),'19_Расчет_аналитики'!AU4463*CapacityAge08*'19_Расчет_аналитики'!$F$4259,0),0)</f>
        <v/>
      </c>
      <c r="AV4575">
        <f>IF('01_Вводные'!$B$234="Да",IF(IF('01_Вводные'!$B$296="Новый сезон",8-1&gt;MOD(MONTH('06_Сеть_и_дети'!AV$3)-9,12),FALSE),'19_Расчет_аналитики'!AV4463*CapacityAge08*'19_Расчет_аналитики'!$F$4259,0),0)</f>
        <v/>
      </c>
      <c r="AW4575">
        <f>IF('01_Вводные'!$B$234="Да",IF(IF('01_Вводные'!$B$296="Новый сезон",8-1&gt;MOD(MONTH('06_Сеть_и_дети'!AW$3)-9,12),FALSE),'19_Расчет_аналитики'!AW4463*CapacityAge08*'19_Расчет_аналитики'!$F$4259,0),0)</f>
        <v/>
      </c>
      <c r="AX4575">
        <f>IF('01_Вводные'!$B$234="Да",IF(IF('01_Вводные'!$B$296="Новый сезон",8-1&gt;MOD(MONTH('06_Сеть_и_дети'!AX$3)-9,12),FALSE),'19_Расчет_аналитики'!AX4463*CapacityAge08*'19_Расчет_аналитики'!$F$4259,0),0)</f>
        <v/>
      </c>
      <c r="AY4575">
        <f>IF('01_Вводные'!$B$234="Да",IF(IF('01_Вводные'!$B$296="Новый сезон",8-1&gt;MOD(MONTH('06_Сеть_и_дети'!AY$3)-9,12),FALSE),'19_Расчет_аналитики'!AY4463*CapacityAge08*'19_Расчет_аналитики'!$F$4259,0),0)</f>
        <v/>
      </c>
      <c r="AZ4575">
        <f>IF('01_Вводные'!$B$234="Да",IF(IF('01_Вводные'!$B$296="Новый сезон",8-1&gt;MOD(MONTH('06_Сеть_и_дети'!AZ$3)-9,12),FALSE),'19_Расчет_аналитики'!AZ4463*CapacityAge08*'19_Расчет_аналитики'!$F$4259,0),0)</f>
        <v/>
      </c>
      <c r="BA4575">
        <f>IF('01_Вводные'!$B$234="Да",IF(IF('01_Вводные'!$B$296="Новый сезон",8-1&gt;MOD(MONTH('06_Сеть_и_дети'!BA$3)-9,12),FALSE),'19_Расчет_аналитики'!BA4463*CapacityAge08*'19_Расчет_аналитики'!$F$4259,0),0)</f>
        <v/>
      </c>
      <c r="BB4575">
        <f>IF('01_Вводные'!$B$234="Да",IF(IF('01_Вводные'!$B$296="Новый сезон",8-1&gt;MOD(MONTH('06_Сеть_и_дети'!BB$3)-9,12),FALSE),'19_Расчет_аналитики'!BB4463*CapacityAge08*'19_Расчет_аналитики'!$F$4259,0),0)</f>
        <v/>
      </c>
      <c r="BC4575">
        <f>IF('01_Вводные'!$B$234="Да",IF(IF('01_Вводные'!$B$296="Новый сезон",8-1&gt;MOD(MONTH('06_Сеть_и_дети'!BC$3)-9,12),FALSE),'19_Расчет_аналитики'!BC4463*CapacityAge08*'19_Расчет_аналитики'!$F$4259,0),0)</f>
        <v/>
      </c>
      <c r="BD4575">
        <f>IF('01_Вводные'!$B$234="Да",IF(IF('01_Вводные'!$B$296="Новый сезон",8-1&gt;MOD(MONTH('06_Сеть_и_дети'!BD$3)-9,12),FALSE),'19_Расчет_аналитики'!BD4463*CapacityAge08*'19_Расчет_аналитики'!$F$4259,0),0)</f>
        <v/>
      </c>
      <c r="BE4575">
        <f>IF('01_Вводные'!$B$234="Да",IF(IF('01_Вводные'!$B$296="Новый сезон",8-1&gt;MOD(MONTH('06_Сеть_и_дети'!BE$3)-9,12),FALSE),'19_Расчет_аналитики'!BE4463*CapacityAge08*'19_Расчет_аналитики'!$F$4259,0),0)</f>
        <v/>
      </c>
      <c r="BF4575">
        <f>IF('01_Вводные'!$B$234="Да",IF(IF('01_Вводные'!$B$296="Новый сезон",8-1&gt;MOD(MONTH('06_Сеть_и_дети'!BF$3)-9,12),FALSE),'19_Расчет_аналитики'!BF4463*CapacityAge08*'19_Расчет_аналитики'!$F$4259,0),0)</f>
        <v/>
      </c>
      <c r="BG4575">
        <f>IF('01_Вводные'!$B$234="Да",IF(IF('01_Вводные'!$B$296="Новый сезон",8-1&gt;MOD(MONTH('06_Сеть_и_дети'!BG$3)-9,12),FALSE),'19_Расчет_аналитики'!BG4463*CapacityAge08*'19_Расчет_аналитики'!$F$4259,0),0)</f>
        <v/>
      </c>
      <c r="BH4575">
        <f>IF('01_Вводные'!$B$234="Да",IF(IF('01_Вводные'!$B$296="Новый сезон",8-1&gt;MOD(MONTH('06_Сеть_и_дети'!BH$3)-9,12),FALSE),'19_Расчет_аналитики'!BH4463*CapacityAge08*'19_Расчет_аналитики'!$F$4259,0),0)</f>
        <v/>
      </c>
      <c r="BI4575">
        <f>IF('01_Вводные'!$B$234="Да",IF(IF('01_Вводные'!$B$296="Новый сезон",8-1&gt;MOD(MONTH('06_Сеть_и_дети'!BI$3)-9,12),FALSE),'19_Расчет_аналитики'!BI4463*CapacityAge08*'19_Расчет_аналитики'!$F$4259,0),0)</f>
        <v/>
      </c>
      <c r="BJ4575">
        <f>IF('01_Вводные'!$B$234="Да",IF(IF('01_Вводные'!$B$296="Новый сезон",8-1&gt;MOD(MONTH('06_Сеть_и_дети'!BJ$3)-9,12),FALSE),'19_Расчет_аналитики'!BJ4463*CapacityAge08*'19_Расчет_аналитики'!$F$4259,0),0)</f>
        <v/>
      </c>
      <c r="BK4575">
        <f>IF('01_Вводные'!$B$234="Да",IF(IF('01_Вводные'!$B$296="Новый сезон",8-1&gt;MOD(MONTH('06_Сеть_и_дети'!BK$3)-9,12),FALSE),'19_Расчет_аналитики'!BK4463*CapacityAge08*'19_Расчет_аналитики'!$F$4259,0),0)</f>
        <v/>
      </c>
      <c r="BL4575">
        <f>IF('01_Вводные'!$B$234="Да",IF(IF('01_Вводные'!$B$296="Новый сезон",8-1&gt;MOD(MONTH('06_Сеть_и_дети'!BL$3)-9,12),FALSE),'19_Расчет_аналитики'!BL4463*CapacityAge08*'19_Расчет_аналитики'!$F$4259,0),0)</f>
        <v/>
      </c>
      <c r="BM4575">
        <f>IF('01_Вводные'!$B$234="Да",IF(IF('01_Вводные'!$B$296="Новый сезон",8-1&gt;MOD(MONTH('06_Сеть_и_дети'!BM$3)-9,12),FALSE),'19_Расчет_аналитики'!BM4463*CapacityAge08*'19_Расчет_аналитики'!$F$4259,0),0)</f>
        <v/>
      </c>
      <c r="BN4575">
        <f>IF('01_Вводные'!$B$234="Да",IF(IF('01_Вводные'!$B$296="Новый сезон",8-1&gt;MOD(MONTH('06_Сеть_и_дети'!BN$3)-9,12),FALSE),'19_Расчет_аналитики'!BN4463*CapacityAge08*'19_Расчет_аналитики'!$F$4259,0),0)</f>
        <v/>
      </c>
      <c r="BO4575">
        <f>IF('01_Вводные'!$B$234="Да",IF(IF('01_Вводные'!$B$296="Новый сезон",8-1&gt;MOD(MONTH('06_Сеть_и_дети'!BO$3)-9,12),FALSE),'19_Расчет_аналитики'!BO4463*CapacityAge08*'19_Расчет_аналитики'!$F$4259,0),0)</f>
        <v/>
      </c>
    </row>
    <row r="4576">
      <c r="B4576">
        <f>IF('01_Вводные'!$B$234="Да",IF(IF('01_Вводные'!$B$296="Новый сезон",9-1&gt;MOD(MONTH('06_Сеть_и_дети'!B$3)-9,12),FALSE),'06_Сеть_и_дети'!B61*CapacityAge09*'19_Расчет_аналитики'!$F$4259,0),0)</f>
        <v/>
      </c>
      <c r="C4576">
        <f>IF('01_Вводные'!$B$234="Да",IF(IF('01_Вводные'!$B$296="Новый сезон",9-1&gt;MOD(MONTH('06_Сеть_и_дети'!C$3)-9,12),FALSE),'06_Сеть_и_дети'!C61*CapacityAge09*'19_Расчет_аналитики'!$F$4259,0),0)</f>
        <v/>
      </c>
      <c r="D4576">
        <f>IF('01_Вводные'!$B$234="Да",IF(IF('01_Вводные'!$B$296="Новый сезон",9-1&gt;MOD(MONTH('06_Сеть_и_дети'!D$3)-9,12),FALSE),'06_Сеть_и_дети'!D61*CapacityAge09*'19_Расчет_аналитики'!$F$4259,0),0)</f>
        <v/>
      </c>
      <c r="E4576">
        <f>IF('01_Вводные'!$B$234="Да",IF(IF('01_Вводные'!$B$296="Новый сезон",9-1&gt;MOD(MONTH('06_Сеть_и_дети'!E$3)-9,12),FALSE),'06_Сеть_и_дети'!E61*CapacityAge09*'19_Расчет_аналитики'!$F$4259,0),0)</f>
        <v/>
      </c>
      <c r="F4576">
        <f>IF('01_Вводные'!$B$234="Да",IF(IF('01_Вводные'!$B$296="Новый сезон",9-1&gt;MOD(MONTH('06_Сеть_и_дети'!F$3)-9,12),FALSE),'06_Сеть_и_дети'!F61*CapacityAge09*'19_Расчет_аналитики'!$F$4259,0),0)</f>
        <v/>
      </c>
      <c r="G4576">
        <f>IF('01_Вводные'!$B$234="Да",IF(IF('01_Вводные'!$B$296="Новый сезон",9-1&gt;MOD(MONTH('06_Сеть_и_дети'!G$3)-9,12),FALSE),'06_Сеть_и_дети'!G61*CapacityAge09*'19_Расчет_аналитики'!$F$4259,0),0)</f>
        <v/>
      </c>
      <c r="H4576">
        <f>IF('01_Вводные'!$B$234="Да",IF(IF('01_Вводные'!$B$296="Новый сезон",9-1&gt;MOD(MONTH('06_Сеть_и_дети'!H$3)-9,12),FALSE),'06_Сеть_и_дети'!H61*CapacityAge09*'19_Расчет_аналитики'!$F$4259,0),0)</f>
        <v/>
      </c>
      <c r="I4576">
        <f>IF('01_Вводные'!$B$234="Да",IF(IF('01_Вводные'!$B$296="Новый сезон",9-1&gt;MOD(MONTH('06_Сеть_и_дети'!I$3)-9,12),FALSE),'06_Сеть_и_дети'!I61*CapacityAge09*'19_Расчет_аналитики'!$F$4259,0),0)</f>
        <v/>
      </c>
      <c r="J4576">
        <f>IF('01_Вводные'!$B$234="Да",IF(IF('01_Вводные'!$B$296="Новый сезон",9-1&gt;MOD(MONTH('06_Сеть_и_дети'!J$3)-9,12),FALSE),'19_Расчет_аналитики'!J4464*CapacityAge09*'19_Расчет_аналитики'!$F$4259,0),0)</f>
        <v/>
      </c>
      <c r="K4576">
        <f>IF('01_Вводные'!$B$234="Да",IF(IF('01_Вводные'!$B$296="Новый сезон",9-1&gt;MOD(MONTH('06_Сеть_и_дети'!K$3)-9,12),FALSE),'19_Расчет_аналитики'!K4464*CapacityAge09*'19_Расчет_аналитики'!$F$4259,0),0)</f>
        <v/>
      </c>
      <c r="L4576">
        <f>IF('01_Вводные'!$B$234="Да",IF(IF('01_Вводные'!$B$296="Новый сезон",9-1&gt;MOD(MONTH('06_Сеть_и_дети'!L$3)-9,12),FALSE),'19_Расчет_аналитики'!L4464*CapacityAge09*'19_Расчет_аналитики'!$F$4259,0),0)</f>
        <v/>
      </c>
      <c r="M4576">
        <f>IF('01_Вводные'!$B$234="Да",IF(IF('01_Вводные'!$B$296="Новый сезон",9-1&gt;MOD(MONTH('06_Сеть_и_дети'!M$3)-9,12),FALSE),'19_Расчет_аналитики'!M4464*CapacityAge09*'19_Расчет_аналитики'!$F$4259,0),0)</f>
        <v/>
      </c>
      <c r="N4576">
        <f>IF('01_Вводные'!$B$234="Да",IF(IF('01_Вводные'!$B$296="Новый сезон",9-1&gt;MOD(MONTH('06_Сеть_и_дети'!N$3)-9,12),FALSE),'19_Расчет_аналитики'!N4464*CapacityAge09*'19_Расчет_аналитики'!$F$4259,0),0)</f>
        <v/>
      </c>
      <c r="O4576">
        <f>IF('01_Вводные'!$B$234="Да",IF(IF('01_Вводные'!$B$296="Новый сезон",9-1&gt;MOD(MONTH('06_Сеть_и_дети'!O$3)-9,12),FALSE),'19_Расчет_аналитики'!O4464*CapacityAge09*'19_Расчет_аналитики'!$F$4259,0),0)</f>
        <v/>
      </c>
      <c r="P4576">
        <f>IF('01_Вводные'!$B$234="Да",IF(IF('01_Вводные'!$B$296="Новый сезон",9-1&gt;MOD(MONTH('06_Сеть_и_дети'!P$3)-9,12),FALSE),'19_Расчет_аналитики'!P4464*CapacityAge09*'19_Расчет_аналитики'!$F$4259,0),0)</f>
        <v/>
      </c>
      <c r="Q4576">
        <f>IF('01_Вводные'!$B$234="Да",IF(IF('01_Вводные'!$B$296="Новый сезон",9-1&gt;MOD(MONTH('06_Сеть_и_дети'!Q$3)-9,12),FALSE),'19_Расчет_аналитики'!Q4464*CapacityAge09*'19_Расчет_аналитики'!$F$4259,0),0)</f>
        <v/>
      </c>
      <c r="R4576">
        <f>IF('01_Вводные'!$B$234="Да",IF(IF('01_Вводные'!$B$296="Новый сезон",9-1&gt;MOD(MONTH('06_Сеть_и_дети'!R$3)-9,12),FALSE),'19_Расчет_аналитики'!R4464*CapacityAge09*'19_Расчет_аналитики'!$F$4259,0),0)</f>
        <v/>
      </c>
      <c r="S4576">
        <f>IF('01_Вводные'!$B$234="Да",IF(IF('01_Вводные'!$B$296="Новый сезон",9-1&gt;MOD(MONTH('06_Сеть_и_дети'!S$3)-9,12),FALSE),'19_Расчет_аналитики'!S4464*CapacityAge09*'19_Расчет_аналитики'!$F$4259,0),0)</f>
        <v/>
      </c>
      <c r="T4576">
        <f>IF('01_Вводные'!$B$234="Да",IF(IF('01_Вводные'!$B$296="Новый сезон",9-1&gt;MOD(MONTH('06_Сеть_и_дети'!T$3)-9,12),FALSE),'19_Расчет_аналитики'!T4464*CapacityAge09*'19_Расчет_аналитики'!$F$4259,0),0)</f>
        <v/>
      </c>
      <c r="U4576">
        <f>IF('01_Вводные'!$B$234="Да",IF(IF('01_Вводные'!$B$296="Новый сезон",9-1&gt;MOD(MONTH('06_Сеть_и_дети'!U$3)-9,12),FALSE),'19_Расчет_аналитики'!U4464*CapacityAge09*'19_Расчет_аналитики'!$F$4259,0),0)</f>
        <v/>
      </c>
      <c r="V4576">
        <f>IF('01_Вводные'!$B$234="Да",IF(IF('01_Вводные'!$B$296="Новый сезон",9-1&gt;MOD(MONTH('06_Сеть_и_дети'!V$3)-9,12),FALSE),'19_Расчет_аналитики'!V4464*CapacityAge09*'19_Расчет_аналитики'!$F$4259,0),0)</f>
        <v/>
      </c>
      <c r="W4576">
        <f>IF('01_Вводные'!$B$234="Да",IF(IF('01_Вводные'!$B$296="Новый сезон",9-1&gt;MOD(MONTH('06_Сеть_и_дети'!W$3)-9,12),FALSE),'19_Расчет_аналитики'!W4464*CapacityAge09*'19_Расчет_аналитики'!$F$4259,0),0)</f>
        <v/>
      </c>
      <c r="X4576">
        <f>IF('01_Вводные'!$B$234="Да",IF(IF('01_Вводные'!$B$296="Новый сезон",9-1&gt;MOD(MONTH('06_Сеть_и_дети'!X$3)-9,12),FALSE),'19_Расчет_аналитики'!X4464*CapacityAge09*'19_Расчет_аналитики'!$F$4259,0),0)</f>
        <v/>
      </c>
      <c r="Y4576">
        <f>IF('01_Вводные'!$B$234="Да",IF(IF('01_Вводные'!$B$296="Новый сезон",9-1&gt;MOD(MONTH('06_Сеть_и_дети'!Y$3)-9,12),FALSE),'19_Расчет_аналитики'!Y4464*CapacityAge09*'19_Расчет_аналитики'!$F$4259,0),0)</f>
        <v/>
      </c>
      <c r="Z4576">
        <f>IF('01_Вводные'!$B$234="Да",IF(IF('01_Вводные'!$B$296="Новый сезон",9-1&gt;MOD(MONTH('06_Сеть_и_дети'!Z$3)-9,12),FALSE),'19_Расчет_аналитики'!Z4464*CapacityAge09*'19_Расчет_аналитики'!$F$4259,0),0)</f>
        <v/>
      </c>
      <c r="AA4576">
        <f>IF('01_Вводные'!$B$234="Да",IF(IF('01_Вводные'!$B$296="Новый сезон",9-1&gt;MOD(MONTH('06_Сеть_и_дети'!AA$3)-9,12),FALSE),'19_Расчет_аналитики'!AA4464*CapacityAge09*'19_Расчет_аналитики'!$F$4259,0),0)</f>
        <v/>
      </c>
      <c r="AB4576">
        <f>IF('01_Вводные'!$B$234="Да",IF(IF('01_Вводные'!$B$296="Новый сезон",9-1&gt;MOD(MONTH('06_Сеть_и_дети'!AB$3)-9,12),FALSE),'19_Расчет_аналитики'!AB4464*CapacityAge09*'19_Расчет_аналитики'!$F$4259,0),0)</f>
        <v/>
      </c>
      <c r="AC4576">
        <f>IF('01_Вводные'!$B$234="Да",IF(IF('01_Вводные'!$B$296="Новый сезон",9-1&gt;MOD(MONTH('06_Сеть_и_дети'!AC$3)-9,12),FALSE),'19_Расчет_аналитики'!AC4464*CapacityAge09*'19_Расчет_аналитики'!$F$4259,0),0)</f>
        <v/>
      </c>
      <c r="AD4576">
        <f>IF('01_Вводные'!$B$234="Да",IF(IF('01_Вводные'!$B$296="Новый сезон",9-1&gt;MOD(MONTH('06_Сеть_и_дети'!AD$3)-9,12),FALSE),'19_Расчет_аналитики'!AD4464*CapacityAge09*'19_Расчет_аналитики'!$F$4259,0),0)</f>
        <v/>
      </c>
      <c r="AE4576">
        <f>IF('01_Вводные'!$B$234="Да",IF(IF('01_Вводные'!$B$296="Новый сезон",9-1&gt;MOD(MONTH('06_Сеть_и_дети'!AE$3)-9,12),FALSE),'19_Расчет_аналитики'!AE4464*CapacityAge09*'19_Расчет_аналитики'!$F$4259,0),0)</f>
        <v/>
      </c>
      <c r="AF4576">
        <f>IF('01_Вводные'!$B$234="Да",IF(IF('01_Вводные'!$B$296="Новый сезон",9-1&gt;MOD(MONTH('06_Сеть_и_дети'!AF$3)-9,12),FALSE),'19_Расчет_аналитики'!AF4464*CapacityAge09*'19_Расчет_аналитики'!$F$4259,0),0)</f>
        <v/>
      </c>
      <c r="AG4576">
        <f>IF('01_Вводные'!$B$234="Да",IF(IF('01_Вводные'!$B$296="Новый сезон",9-1&gt;MOD(MONTH('06_Сеть_и_дети'!AG$3)-9,12),FALSE),'19_Расчет_аналитики'!AG4464*CapacityAge09*'19_Расчет_аналитики'!$F$4259,0),0)</f>
        <v/>
      </c>
      <c r="AH4576">
        <f>IF('01_Вводные'!$B$234="Да",IF(IF('01_Вводные'!$B$296="Новый сезон",9-1&gt;MOD(MONTH('06_Сеть_и_дети'!AH$3)-9,12),FALSE),'19_Расчет_аналитики'!AH4464*CapacityAge09*'19_Расчет_аналитики'!$F$4259,0),0)</f>
        <v/>
      </c>
      <c r="AI4576">
        <f>IF('01_Вводные'!$B$234="Да",IF(IF('01_Вводные'!$B$296="Новый сезон",9-1&gt;MOD(MONTH('06_Сеть_и_дети'!AI$3)-9,12),FALSE),'19_Расчет_аналитики'!AI4464*CapacityAge09*'19_Расчет_аналитики'!$F$4259,0),0)</f>
        <v/>
      </c>
      <c r="AJ4576">
        <f>IF('01_Вводные'!$B$234="Да",IF(IF('01_Вводные'!$B$296="Новый сезон",9-1&gt;MOD(MONTH('06_Сеть_и_дети'!AJ$3)-9,12),FALSE),'19_Расчет_аналитики'!AJ4464*CapacityAge09*'19_Расчет_аналитики'!$F$4259,0),0)</f>
        <v/>
      </c>
      <c r="AK4576">
        <f>IF('01_Вводные'!$B$234="Да",IF(IF('01_Вводные'!$B$296="Новый сезон",9-1&gt;MOD(MONTH('06_Сеть_и_дети'!AK$3)-9,12),FALSE),'19_Расчет_аналитики'!AK4464*CapacityAge09*'19_Расчет_аналитики'!$F$4259,0),0)</f>
        <v/>
      </c>
      <c r="AL4576">
        <f>IF('01_Вводные'!$B$234="Да",IF(IF('01_Вводные'!$B$296="Новый сезон",9-1&gt;MOD(MONTH('06_Сеть_и_дети'!AL$3)-9,12),FALSE),'19_Расчет_аналитики'!AL4464*CapacityAge09*'19_Расчет_аналитики'!$F$4259,0),0)</f>
        <v/>
      </c>
      <c r="AM4576">
        <f>IF('01_Вводные'!$B$234="Да",IF(IF('01_Вводные'!$B$296="Новый сезон",9-1&gt;MOD(MONTH('06_Сеть_и_дети'!AM$3)-9,12),FALSE),'19_Расчет_аналитики'!AM4464*CapacityAge09*'19_Расчет_аналитики'!$F$4259,0),0)</f>
        <v/>
      </c>
      <c r="AN4576">
        <f>IF('01_Вводные'!$B$234="Да",IF(IF('01_Вводные'!$B$296="Новый сезон",9-1&gt;MOD(MONTH('06_Сеть_и_дети'!AN$3)-9,12),FALSE),'19_Расчет_аналитики'!AN4464*CapacityAge09*'19_Расчет_аналитики'!$F$4259,0),0)</f>
        <v/>
      </c>
      <c r="AO4576">
        <f>IF('01_Вводные'!$B$234="Да",IF(IF('01_Вводные'!$B$296="Новый сезон",9-1&gt;MOD(MONTH('06_Сеть_и_дети'!AO$3)-9,12),FALSE),'19_Расчет_аналитики'!AO4464*CapacityAge09*'19_Расчет_аналитики'!$F$4259,0),0)</f>
        <v/>
      </c>
      <c r="AP4576">
        <f>IF('01_Вводные'!$B$234="Да",IF(IF('01_Вводные'!$B$296="Новый сезон",9-1&gt;MOD(MONTH('06_Сеть_и_дети'!AP$3)-9,12),FALSE),'19_Расчет_аналитики'!AP4464*CapacityAge09*'19_Расчет_аналитики'!$F$4259,0),0)</f>
        <v/>
      </c>
      <c r="AQ4576">
        <f>IF('01_Вводные'!$B$234="Да",IF(IF('01_Вводные'!$B$296="Новый сезон",9-1&gt;MOD(MONTH('06_Сеть_и_дети'!AQ$3)-9,12),FALSE),'19_Расчет_аналитики'!AQ4464*CapacityAge09*'19_Расчет_аналитики'!$F$4259,0),0)</f>
        <v/>
      </c>
      <c r="AR4576">
        <f>IF('01_Вводные'!$B$234="Да",IF(IF('01_Вводные'!$B$296="Новый сезон",9-1&gt;MOD(MONTH('06_Сеть_и_дети'!AR$3)-9,12),FALSE),'19_Расчет_аналитики'!AR4464*CapacityAge09*'19_Расчет_аналитики'!$F$4259,0),0)</f>
        <v/>
      </c>
      <c r="AS4576">
        <f>IF('01_Вводные'!$B$234="Да",IF(IF('01_Вводные'!$B$296="Новый сезон",9-1&gt;MOD(MONTH('06_Сеть_и_дети'!AS$3)-9,12),FALSE),'19_Расчет_аналитики'!AS4464*CapacityAge09*'19_Расчет_аналитики'!$F$4259,0),0)</f>
        <v/>
      </c>
      <c r="AT4576">
        <f>IF('01_Вводные'!$B$234="Да",IF(IF('01_Вводные'!$B$296="Новый сезон",9-1&gt;MOD(MONTH('06_Сеть_и_дети'!AT$3)-9,12),FALSE),'19_Расчет_аналитики'!AT4464*CapacityAge09*'19_Расчет_аналитики'!$F$4259,0),0)</f>
        <v/>
      </c>
      <c r="AU4576">
        <f>IF('01_Вводные'!$B$234="Да",IF(IF('01_Вводные'!$B$296="Новый сезон",9-1&gt;MOD(MONTH('06_Сеть_и_дети'!AU$3)-9,12),FALSE),'19_Расчет_аналитики'!AU4464*CapacityAge09*'19_Расчет_аналитики'!$F$4259,0),0)</f>
        <v/>
      </c>
      <c r="AV4576">
        <f>IF('01_Вводные'!$B$234="Да",IF(IF('01_Вводные'!$B$296="Новый сезон",9-1&gt;MOD(MONTH('06_Сеть_и_дети'!AV$3)-9,12),FALSE),'19_Расчет_аналитики'!AV4464*CapacityAge09*'19_Расчет_аналитики'!$F$4259,0),0)</f>
        <v/>
      </c>
      <c r="AW4576">
        <f>IF('01_Вводные'!$B$234="Да",IF(IF('01_Вводные'!$B$296="Новый сезон",9-1&gt;MOD(MONTH('06_Сеть_и_дети'!AW$3)-9,12),FALSE),'19_Расчет_аналитики'!AW4464*CapacityAge09*'19_Расчет_аналитики'!$F$4259,0),0)</f>
        <v/>
      </c>
      <c r="AX4576">
        <f>IF('01_Вводные'!$B$234="Да",IF(IF('01_Вводные'!$B$296="Новый сезон",9-1&gt;MOD(MONTH('06_Сеть_и_дети'!AX$3)-9,12),FALSE),'19_Расчет_аналитики'!AX4464*CapacityAge09*'19_Расчет_аналитики'!$F$4259,0),0)</f>
        <v/>
      </c>
      <c r="AY4576">
        <f>IF('01_Вводные'!$B$234="Да",IF(IF('01_Вводные'!$B$296="Новый сезон",9-1&gt;MOD(MONTH('06_Сеть_и_дети'!AY$3)-9,12),FALSE),'19_Расчет_аналитики'!AY4464*CapacityAge09*'19_Расчет_аналитики'!$F$4259,0),0)</f>
        <v/>
      </c>
      <c r="AZ4576">
        <f>IF('01_Вводные'!$B$234="Да",IF(IF('01_Вводные'!$B$296="Новый сезон",9-1&gt;MOD(MONTH('06_Сеть_и_дети'!AZ$3)-9,12),FALSE),'19_Расчет_аналитики'!AZ4464*CapacityAge09*'19_Расчет_аналитики'!$F$4259,0),0)</f>
        <v/>
      </c>
      <c r="BA4576">
        <f>IF('01_Вводные'!$B$234="Да",IF(IF('01_Вводные'!$B$296="Новый сезон",9-1&gt;MOD(MONTH('06_Сеть_и_дети'!BA$3)-9,12),FALSE),'19_Расчет_аналитики'!BA4464*CapacityAge09*'19_Расчет_аналитики'!$F$4259,0),0)</f>
        <v/>
      </c>
      <c r="BB4576">
        <f>IF('01_Вводные'!$B$234="Да",IF(IF('01_Вводные'!$B$296="Новый сезон",9-1&gt;MOD(MONTH('06_Сеть_и_дети'!BB$3)-9,12),FALSE),'19_Расчет_аналитики'!BB4464*CapacityAge09*'19_Расчет_аналитики'!$F$4259,0),0)</f>
        <v/>
      </c>
      <c r="BC4576">
        <f>IF('01_Вводные'!$B$234="Да",IF(IF('01_Вводные'!$B$296="Новый сезон",9-1&gt;MOD(MONTH('06_Сеть_и_дети'!BC$3)-9,12),FALSE),'19_Расчет_аналитики'!BC4464*CapacityAge09*'19_Расчет_аналитики'!$F$4259,0),0)</f>
        <v/>
      </c>
      <c r="BD4576">
        <f>IF('01_Вводные'!$B$234="Да",IF(IF('01_Вводные'!$B$296="Новый сезон",9-1&gt;MOD(MONTH('06_Сеть_и_дети'!BD$3)-9,12),FALSE),'19_Расчет_аналитики'!BD4464*CapacityAge09*'19_Расчет_аналитики'!$F$4259,0),0)</f>
        <v/>
      </c>
      <c r="BE4576">
        <f>IF('01_Вводные'!$B$234="Да",IF(IF('01_Вводные'!$B$296="Новый сезон",9-1&gt;MOD(MONTH('06_Сеть_и_дети'!BE$3)-9,12),FALSE),'19_Расчет_аналитики'!BE4464*CapacityAge09*'19_Расчет_аналитики'!$F$4259,0),0)</f>
        <v/>
      </c>
      <c r="BF4576">
        <f>IF('01_Вводные'!$B$234="Да",IF(IF('01_Вводные'!$B$296="Новый сезон",9-1&gt;MOD(MONTH('06_Сеть_и_дети'!BF$3)-9,12),FALSE),'19_Расчет_аналитики'!BF4464*CapacityAge09*'19_Расчет_аналитики'!$F$4259,0),0)</f>
        <v/>
      </c>
      <c r="BG4576">
        <f>IF('01_Вводные'!$B$234="Да",IF(IF('01_Вводные'!$B$296="Новый сезон",9-1&gt;MOD(MONTH('06_Сеть_и_дети'!BG$3)-9,12),FALSE),'19_Расчет_аналитики'!BG4464*CapacityAge09*'19_Расчет_аналитики'!$F$4259,0),0)</f>
        <v/>
      </c>
      <c r="BH4576">
        <f>IF('01_Вводные'!$B$234="Да",IF(IF('01_Вводные'!$B$296="Новый сезон",9-1&gt;MOD(MONTH('06_Сеть_и_дети'!BH$3)-9,12),FALSE),'19_Расчет_аналитики'!BH4464*CapacityAge09*'19_Расчет_аналитики'!$F$4259,0),0)</f>
        <v/>
      </c>
      <c r="BI4576">
        <f>IF('01_Вводные'!$B$234="Да",IF(IF('01_Вводные'!$B$296="Новый сезон",9-1&gt;MOD(MONTH('06_Сеть_и_дети'!BI$3)-9,12),FALSE),'19_Расчет_аналитики'!BI4464*CapacityAge09*'19_Расчет_аналитики'!$F$4259,0),0)</f>
        <v/>
      </c>
      <c r="BJ4576">
        <f>IF('01_Вводные'!$B$234="Да",IF(IF('01_Вводные'!$B$296="Новый сезон",9-1&gt;MOD(MONTH('06_Сеть_и_дети'!BJ$3)-9,12),FALSE),'19_Расчет_аналитики'!BJ4464*CapacityAge09*'19_Расчет_аналитики'!$F$4259,0),0)</f>
        <v/>
      </c>
      <c r="BK4576">
        <f>IF('01_Вводные'!$B$234="Да",IF(IF('01_Вводные'!$B$296="Новый сезон",9-1&gt;MOD(MONTH('06_Сеть_и_дети'!BK$3)-9,12),FALSE),'19_Расчет_аналитики'!BK4464*CapacityAge09*'19_Расчет_аналитики'!$F$4259,0),0)</f>
        <v/>
      </c>
      <c r="BL4576">
        <f>IF('01_Вводные'!$B$234="Да",IF(IF('01_Вводные'!$B$296="Новый сезон",9-1&gt;MOD(MONTH('06_Сеть_и_дети'!BL$3)-9,12),FALSE),'19_Расчет_аналитики'!BL4464*CapacityAge09*'19_Расчет_аналитики'!$F$4259,0),0)</f>
        <v/>
      </c>
      <c r="BM4576">
        <f>IF('01_Вводные'!$B$234="Да",IF(IF('01_Вводные'!$B$296="Новый сезон",9-1&gt;MOD(MONTH('06_Сеть_и_дети'!BM$3)-9,12),FALSE),'19_Расчет_аналитики'!BM4464*CapacityAge09*'19_Расчет_аналитики'!$F$4259,0),0)</f>
        <v/>
      </c>
      <c r="BN4576">
        <f>IF('01_Вводные'!$B$234="Да",IF(IF('01_Вводные'!$B$296="Новый сезон",9-1&gt;MOD(MONTH('06_Сеть_и_дети'!BN$3)-9,12),FALSE),'19_Расчет_аналитики'!BN4464*CapacityAge09*'19_Расчет_аналитики'!$F$4259,0),0)</f>
        <v/>
      </c>
      <c r="BO4576">
        <f>IF('01_Вводные'!$B$234="Да",IF(IF('01_Вводные'!$B$296="Новый сезон",9-1&gt;MOD(MONTH('06_Сеть_и_дети'!BO$3)-9,12),FALSE),'19_Расчет_аналитики'!BO4464*CapacityAge09*'19_Расчет_аналитики'!$F$4259,0),0)</f>
        <v/>
      </c>
    </row>
    <row r="4577">
      <c r="B4577">
        <f>IF('01_Вводные'!$B$234="Да",IF(IF('01_Вводные'!$B$296="Новый сезон",10-1&gt;MOD(MONTH('06_Сеть_и_дети'!B$3)-9,12),FALSE),'06_Сеть_и_дети'!B62*CapacityAge10*'19_Расчет_аналитики'!$F$4259,0),0)</f>
        <v/>
      </c>
      <c r="C4577">
        <f>IF('01_Вводные'!$B$234="Да",IF(IF('01_Вводные'!$B$296="Новый сезон",10-1&gt;MOD(MONTH('06_Сеть_и_дети'!C$3)-9,12),FALSE),'06_Сеть_и_дети'!C62*CapacityAge10*'19_Расчет_аналитики'!$F$4259,0),0)</f>
        <v/>
      </c>
      <c r="D4577">
        <f>IF('01_Вводные'!$B$234="Да",IF(IF('01_Вводные'!$B$296="Новый сезон",10-1&gt;MOD(MONTH('06_Сеть_и_дети'!D$3)-9,12),FALSE),'06_Сеть_и_дети'!D62*CapacityAge10*'19_Расчет_аналитики'!$F$4259,0),0)</f>
        <v/>
      </c>
      <c r="E4577">
        <f>IF('01_Вводные'!$B$234="Да",IF(IF('01_Вводные'!$B$296="Новый сезон",10-1&gt;MOD(MONTH('06_Сеть_и_дети'!E$3)-9,12),FALSE),'06_Сеть_и_дети'!E62*CapacityAge10*'19_Расчет_аналитики'!$F$4259,0),0)</f>
        <v/>
      </c>
      <c r="F4577">
        <f>IF('01_Вводные'!$B$234="Да",IF(IF('01_Вводные'!$B$296="Новый сезон",10-1&gt;MOD(MONTH('06_Сеть_и_дети'!F$3)-9,12),FALSE),'06_Сеть_и_дети'!F62*CapacityAge10*'19_Расчет_аналитики'!$F$4259,0),0)</f>
        <v/>
      </c>
      <c r="G4577">
        <f>IF('01_Вводные'!$B$234="Да",IF(IF('01_Вводные'!$B$296="Новый сезон",10-1&gt;MOD(MONTH('06_Сеть_и_дети'!G$3)-9,12),FALSE),'06_Сеть_и_дети'!G62*CapacityAge10*'19_Расчет_аналитики'!$F$4259,0),0)</f>
        <v/>
      </c>
      <c r="H4577">
        <f>IF('01_Вводные'!$B$234="Да",IF(IF('01_Вводные'!$B$296="Новый сезон",10-1&gt;MOD(MONTH('06_Сеть_и_дети'!H$3)-9,12),FALSE),'06_Сеть_и_дети'!H62*CapacityAge10*'19_Расчет_аналитики'!$F$4259,0),0)</f>
        <v/>
      </c>
      <c r="I4577">
        <f>IF('01_Вводные'!$B$234="Да",IF(IF('01_Вводные'!$B$296="Новый сезон",10-1&gt;MOD(MONTH('06_Сеть_и_дети'!I$3)-9,12),FALSE),'06_Сеть_и_дети'!I62*CapacityAge10*'19_Расчет_аналитики'!$F$4259,0),0)</f>
        <v/>
      </c>
      <c r="J4577">
        <f>IF('01_Вводные'!$B$234="Да",IF(IF('01_Вводные'!$B$296="Новый сезон",10-1&gt;MOD(MONTH('06_Сеть_и_дети'!J$3)-9,12),FALSE),'06_Сеть_и_дети'!J62*CapacityAge10*'19_Расчет_аналитики'!$F$4259,0),0)</f>
        <v/>
      </c>
      <c r="K4577">
        <f>IF('01_Вводные'!$B$234="Да",IF(IF('01_Вводные'!$B$296="Новый сезон",10-1&gt;MOD(MONTH('06_Сеть_и_дети'!K$3)-9,12),FALSE),'19_Расчет_аналитики'!K4465*CapacityAge10*'19_Расчет_аналитики'!$F$4259,0),0)</f>
        <v/>
      </c>
      <c r="L4577">
        <f>IF('01_Вводные'!$B$234="Да",IF(IF('01_Вводные'!$B$296="Новый сезон",10-1&gt;MOD(MONTH('06_Сеть_и_дети'!L$3)-9,12),FALSE),'19_Расчет_аналитики'!L4465*CapacityAge10*'19_Расчет_аналитики'!$F$4259,0),0)</f>
        <v/>
      </c>
      <c r="M4577">
        <f>IF('01_Вводные'!$B$234="Да",IF(IF('01_Вводные'!$B$296="Новый сезон",10-1&gt;MOD(MONTH('06_Сеть_и_дети'!M$3)-9,12),FALSE),'19_Расчет_аналитики'!M4465*CapacityAge10*'19_Расчет_аналитики'!$F$4259,0),0)</f>
        <v/>
      </c>
      <c r="N4577">
        <f>IF('01_Вводные'!$B$234="Да",IF(IF('01_Вводные'!$B$296="Новый сезон",10-1&gt;MOD(MONTH('06_Сеть_и_дети'!N$3)-9,12),FALSE),'19_Расчет_аналитики'!N4465*CapacityAge10*'19_Расчет_аналитики'!$F$4259,0),0)</f>
        <v/>
      </c>
      <c r="O4577">
        <f>IF('01_Вводные'!$B$234="Да",IF(IF('01_Вводные'!$B$296="Новый сезон",10-1&gt;MOD(MONTH('06_Сеть_и_дети'!O$3)-9,12),FALSE),'19_Расчет_аналитики'!O4465*CapacityAge10*'19_Расчет_аналитики'!$F$4259,0),0)</f>
        <v/>
      </c>
      <c r="P4577">
        <f>IF('01_Вводные'!$B$234="Да",IF(IF('01_Вводные'!$B$296="Новый сезон",10-1&gt;MOD(MONTH('06_Сеть_и_дети'!P$3)-9,12),FALSE),'19_Расчет_аналитики'!P4465*CapacityAge10*'19_Расчет_аналитики'!$F$4259,0),0)</f>
        <v/>
      </c>
      <c r="Q4577">
        <f>IF('01_Вводные'!$B$234="Да",IF(IF('01_Вводные'!$B$296="Новый сезон",10-1&gt;MOD(MONTH('06_Сеть_и_дети'!Q$3)-9,12),FALSE),'19_Расчет_аналитики'!Q4465*CapacityAge10*'19_Расчет_аналитики'!$F$4259,0),0)</f>
        <v/>
      </c>
      <c r="R4577">
        <f>IF('01_Вводные'!$B$234="Да",IF(IF('01_Вводные'!$B$296="Новый сезон",10-1&gt;MOD(MONTH('06_Сеть_и_дети'!R$3)-9,12),FALSE),'19_Расчет_аналитики'!R4465*CapacityAge10*'19_Расчет_аналитики'!$F$4259,0),0)</f>
        <v/>
      </c>
      <c r="S4577">
        <f>IF('01_Вводные'!$B$234="Да",IF(IF('01_Вводные'!$B$296="Новый сезон",10-1&gt;MOD(MONTH('06_Сеть_и_дети'!S$3)-9,12),FALSE),'19_Расчет_аналитики'!S4465*CapacityAge10*'19_Расчет_аналитики'!$F$4259,0),0)</f>
        <v/>
      </c>
      <c r="T4577">
        <f>IF('01_Вводные'!$B$234="Да",IF(IF('01_Вводные'!$B$296="Новый сезон",10-1&gt;MOD(MONTH('06_Сеть_и_дети'!T$3)-9,12),FALSE),'19_Расчет_аналитики'!T4465*CapacityAge10*'19_Расчет_аналитики'!$F$4259,0),0)</f>
        <v/>
      </c>
      <c r="U4577">
        <f>IF('01_Вводные'!$B$234="Да",IF(IF('01_Вводные'!$B$296="Новый сезон",10-1&gt;MOD(MONTH('06_Сеть_и_дети'!U$3)-9,12),FALSE),'19_Расчет_аналитики'!U4465*CapacityAge10*'19_Расчет_аналитики'!$F$4259,0),0)</f>
        <v/>
      </c>
      <c r="V4577">
        <f>IF('01_Вводные'!$B$234="Да",IF(IF('01_Вводные'!$B$296="Новый сезон",10-1&gt;MOD(MONTH('06_Сеть_и_дети'!V$3)-9,12),FALSE),'19_Расчет_аналитики'!V4465*CapacityAge10*'19_Расчет_аналитики'!$F$4259,0),0)</f>
        <v/>
      </c>
      <c r="W4577">
        <f>IF('01_Вводные'!$B$234="Да",IF(IF('01_Вводные'!$B$296="Новый сезон",10-1&gt;MOD(MONTH('06_Сеть_и_дети'!W$3)-9,12),FALSE),'19_Расчет_аналитики'!W4465*CapacityAge10*'19_Расчет_аналитики'!$F$4259,0),0)</f>
        <v/>
      </c>
      <c r="X4577">
        <f>IF('01_Вводные'!$B$234="Да",IF(IF('01_Вводные'!$B$296="Новый сезон",10-1&gt;MOD(MONTH('06_Сеть_и_дети'!X$3)-9,12),FALSE),'19_Расчет_аналитики'!X4465*CapacityAge10*'19_Расчет_аналитики'!$F$4259,0),0)</f>
        <v/>
      </c>
      <c r="Y4577">
        <f>IF('01_Вводные'!$B$234="Да",IF(IF('01_Вводные'!$B$296="Новый сезон",10-1&gt;MOD(MONTH('06_Сеть_и_дети'!Y$3)-9,12),FALSE),'19_Расчет_аналитики'!Y4465*CapacityAge10*'19_Расчет_аналитики'!$F$4259,0),0)</f>
        <v/>
      </c>
      <c r="Z4577">
        <f>IF('01_Вводные'!$B$234="Да",IF(IF('01_Вводные'!$B$296="Новый сезон",10-1&gt;MOD(MONTH('06_Сеть_и_дети'!Z$3)-9,12),FALSE),'19_Расчет_аналитики'!Z4465*CapacityAge10*'19_Расчет_аналитики'!$F$4259,0),0)</f>
        <v/>
      </c>
      <c r="AA4577">
        <f>IF('01_Вводные'!$B$234="Да",IF(IF('01_Вводные'!$B$296="Новый сезон",10-1&gt;MOD(MONTH('06_Сеть_и_дети'!AA$3)-9,12),FALSE),'19_Расчет_аналитики'!AA4465*CapacityAge10*'19_Расчет_аналитики'!$F$4259,0),0)</f>
        <v/>
      </c>
      <c r="AB4577">
        <f>IF('01_Вводные'!$B$234="Да",IF(IF('01_Вводные'!$B$296="Новый сезон",10-1&gt;MOD(MONTH('06_Сеть_и_дети'!AB$3)-9,12),FALSE),'19_Расчет_аналитики'!AB4465*CapacityAge10*'19_Расчет_аналитики'!$F$4259,0),0)</f>
        <v/>
      </c>
      <c r="AC4577">
        <f>IF('01_Вводные'!$B$234="Да",IF(IF('01_Вводные'!$B$296="Новый сезон",10-1&gt;MOD(MONTH('06_Сеть_и_дети'!AC$3)-9,12),FALSE),'19_Расчет_аналитики'!AC4465*CapacityAge10*'19_Расчет_аналитики'!$F$4259,0),0)</f>
        <v/>
      </c>
      <c r="AD4577">
        <f>IF('01_Вводные'!$B$234="Да",IF(IF('01_Вводные'!$B$296="Новый сезон",10-1&gt;MOD(MONTH('06_Сеть_и_дети'!AD$3)-9,12),FALSE),'19_Расчет_аналитики'!AD4465*CapacityAge10*'19_Расчет_аналитики'!$F$4259,0),0)</f>
        <v/>
      </c>
      <c r="AE4577">
        <f>IF('01_Вводные'!$B$234="Да",IF(IF('01_Вводные'!$B$296="Новый сезон",10-1&gt;MOD(MONTH('06_Сеть_и_дети'!AE$3)-9,12),FALSE),'19_Расчет_аналитики'!AE4465*CapacityAge10*'19_Расчет_аналитики'!$F$4259,0),0)</f>
        <v/>
      </c>
      <c r="AF4577">
        <f>IF('01_Вводные'!$B$234="Да",IF(IF('01_Вводные'!$B$296="Новый сезон",10-1&gt;MOD(MONTH('06_Сеть_и_дети'!AF$3)-9,12),FALSE),'19_Расчет_аналитики'!AF4465*CapacityAge10*'19_Расчет_аналитики'!$F$4259,0),0)</f>
        <v/>
      </c>
      <c r="AG4577">
        <f>IF('01_Вводные'!$B$234="Да",IF(IF('01_Вводные'!$B$296="Новый сезон",10-1&gt;MOD(MONTH('06_Сеть_и_дети'!AG$3)-9,12),FALSE),'19_Расчет_аналитики'!AG4465*CapacityAge10*'19_Расчет_аналитики'!$F$4259,0),0)</f>
        <v/>
      </c>
      <c r="AH4577">
        <f>IF('01_Вводные'!$B$234="Да",IF(IF('01_Вводные'!$B$296="Новый сезон",10-1&gt;MOD(MONTH('06_Сеть_и_дети'!AH$3)-9,12),FALSE),'19_Расчет_аналитики'!AH4465*CapacityAge10*'19_Расчет_аналитики'!$F$4259,0),0)</f>
        <v/>
      </c>
      <c r="AI4577">
        <f>IF('01_Вводные'!$B$234="Да",IF(IF('01_Вводные'!$B$296="Новый сезон",10-1&gt;MOD(MONTH('06_Сеть_и_дети'!AI$3)-9,12),FALSE),'19_Расчет_аналитики'!AI4465*CapacityAge10*'19_Расчет_аналитики'!$F$4259,0),0)</f>
        <v/>
      </c>
      <c r="AJ4577">
        <f>IF('01_Вводные'!$B$234="Да",IF(IF('01_Вводные'!$B$296="Новый сезон",10-1&gt;MOD(MONTH('06_Сеть_и_дети'!AJ$3)-9,12),FALSE),'19_Расчет_аналитики'!AJ4465*CapacityAge10*'19_Расчет_аналитики'!$F$4259,0),0)</f>
        <v/>
      </c>
      <c r="AK4577">
        <f>IF('01_Вводные'!$B$234="Да",IF(IF('01_Вводные'!$B$296="Новый сезон",10-1&gt;MOD(MONTH('06_Сеть_и_дети'!AK$3)-9,12),FALSE),'19_Расчет_аналитики'!AK4465*CapacityAge10*'19_Расчет_аналитики'!$F$4259,0),0)</f>
        <v/>
      </c>
      <c r="AL4577">
        <f>IF('01_Вводные'!$B$234="Да",IF(IF('01_Вводные'!$B$296="Новый сезон",10-1&gt;MOD(MONTH('06_Сеть_и_дети'!AL$3)-9,12),FALSE),'19_Расчет_аналитики'!AL4465*CapacityAge10*'19_Расчет_аналитики'!$F$4259,0),0)</f>
        <v/>
      </c>
      <c r="AM4577">
        <f>IF('01_Вводные'!$B$234="Да",IF(IF('01_Вводные'!$B$296="Новый сезон",10-1&gt;MOD(MONTH('06_Сеть_и_дети'!AM$3)-9,12),FALSE),'19_Расчет_аналитики'!AM4465*CapacityAge10*'19_Расчет_аналитики'!$F$4259,0),0)</f>
        <v/>
      </c>
      <c r="AN4577">
        <f>IF('01_Вводные'!$B$234="Да",IF(IF('01_Вводные'!$B$296="Новый сезон",10-1&gt;MOD(MONTH('06_Сеть_и_дети'!AN$3)-9,12),FALSE),'19_Расчет_аналитики'!AN4465*CapacityAge10*'19_Расчет_аналитики'!$F$4259,0),0)</f>
        <v/>
      </c>
      <c r="AO4577">
        <f>IF('01_Вводные'!$B$234="Да",IF(IF('01_Вводные'!$B$296="Новый сезон",10-1&gt;MOD(MONTH('06_Сеть_и_дети'!AO$3)-9,12),FALSE),'19_Расчет_аналитики'!AO4465*CapacityAge10*'19_Расчет_аналитики'!$F$4259,0),0)</f>
        <v/>
      </c>
      <c r="AP4577">
        <f>IF('01_Вводные'!$B$234="Да",IF(IF('01_Вводные'!$B$296="Новый сезон",10-1&gt;MOD(MONTH('06_Сеть_и_дети'!AP$3)-9,12),FALSE),'19_Расчет_аналитики'!AP4465*CapacityAge10*'19_Расчет_аналитики'!$F$4259,0),0)</f>
        <v/>
      </c>
      <c r="AQ4577">
        <f>IF('01_Вводные'!$B$234="Да",IF(IF('01_Вводные'!$B$296="Новый сезон",10-1&gt;MOD(MONTH('06_Сеть_и_дети'!AQ$3)-9,12),FALSE),'19_Расчет_аналитики'!AQ4465*CapacityAge10*'19_Расчет_аналитики'!$F$4259,0),0)</f>
        <v/>
      </c>
      <c r="AR4577">
        <f>IF('01_Вводные'!$B$234="Да",IF(IF('01_Вводные'!$B$296="Новый сезон",10-1&gt;MOD(MONTH('06_Сеть_и_дети'!AR$3)-9,12),FALSE),'19_Расчет_аналитики'!AR4465*CapacityAge10*'19_Расчет_аналитики'!$F$4259,0),0)</f>
        <v/>
      </c>
      <c r="AS4577">
        <f>IF('01_Вводные'!$B$234="Да",IF(IF('01_Вводные'!$B$296="Новый сезон",10-1&gt;MOD(MONTH('06_Сеть_и_дети'!AS$3)-9,12),FALSE),'19_Расчет_аналитики'!AS4465*CapacityAge10*'19_Расчет_аналитики'!$F$4259,0),0)</f>
        <v/>
      </c>
      <c r="AT4577">
        <f>IF('01_Вводные'!$B$234="Да",IF(IF('01_Вводные'!$B$296="Новый сезон",10-1&gt;MOD(MONTH('06_Сеть_и_дети'!AT$3)-9,12),FALSE),'19_Расчет_аналитики'!AT4465*CapacityAge10*'19_Расчет_аналитики'!$F$4259,0),0)</f>
        <v/>
      </c>
      <c r="AU4577">
        <f>IF('01_Вводные'!$B$234="Да",IF(IF('01_Вводные'!$B$296="Новый сезон",10-1&gt;MOD(MONTH('06_Сеть_и_дети'!AU$3)-9,12),FALSE),'19_Расчет_аналитики'!AU4465*CapacityAge10*'19_Расчет_аналитики'!$F$4259,0),0)</f>
        <v/>
      </c>
      <c r="AV4577">
        <f>IF('01_Вводные'!$B$234="Да",IF(IF('01_Вводные'!$B$296="Новый сезон",10-1&gt;MOD(MONTH('06_Сеть_и_дети'!AV$3)-9,12),FALSE),'19_Расчет_аналитики'!AV4465*CapacityAge10*'19_Расчет_аналитики'!$F$4259,0),0)</f>
        <v/>
      </c>
      <c r="AW4577">
        <f>IF('01_Вводные'!$B$234="Да",IF(IF('01_Вводные'!$B$296="Новый сезон",10-1&gt;MOD(MONTH('06_Сеть_и_дети'!AW$3)-9,12),FALSE),'19_Расчет_аналитики'!AW4465*CapacityAge10*'19_Расчет_аналитики'!$F$4259,0),0)</f>
        <v/>
      </c>
      <c r="AX4577">
        <f>IF('01_Вводные'!$B$234="Да",IF(IF('01_Вводные'!$B$296="Новый сезон",10-1&gt;MOD(MONTH('06_Сеть_и_дети'!AX$3)-9,12),FALSE),'19_Расчет_аналитики'!AX4465*CapacityAge10*'19_Расчет_аналитики'!$F$4259,0),0)</f>
        <v/>
      </c>
      <c r="AY4577">
        <f>IF('01_Вводные'!$B$234="Да",IF(IF('01_Вводные'!$B$296="Новый сезон",10-1&gt;MOD(MONTH('06_Сеть_и_дети'!AY$3)-9,12),FALSE),'19_Расчет_аналитики'!AY4465*CapacityAge10*'19_Расчет_аналитики'!$F$4259,0),0)</f>
        <v/>
      </c>
      <c r="AZ4577">
        <f>IF('01_Вводные'!$B$234="Да",IF(IF('01_Вводные'!$B$296="Новый сезон",10-1&gt;MOD(MONTH('06_Сеть_и_дети'!AZ$3)-9,12),FALSE),'19_Расчет_аналитики'!AZ4465*CapacityAge10*'19_Расчет_аналитики'!$F$4259,0),0)</f>
        <v/>
      </c>
      <c r="BA4577">
        <f>IF('01_Вводные'!$B$234="Да",IF(IF('01_Вводные'!$B$296="Новый сезон",10-1&gt;MOD(MONTH('06_Сеть_и_дети'!BA$3)-9,12),FALSE),'19_Расчет_аналитики'!BA4465*CapacityAge10*'19_Расчет_аналитики'!$F$4259,0),0)</f>
        <v/>
      </c>
      <c r="BB4577">
        <f>IF('01_Вводные'!$B$234="Да",IF(IF('01_Вводные'!$B$296="Новый сезон",10-1&gt;MOD(MONTH('06_Сеть_и_дети'!BB$3)-9,12),FALSE),'19_Расчет_аналитики'!BB4465*CapacityAge10*'19_Расчет_аналитики'!$F$4259,0),0)</f>
        <v/>
      </c>
      <c r="BC4577">
        <f>IF('01_Вводные'!$B$234="Да",IF(IF('01_Вводные'!$B$296="Новый сезон",10-1&gt;MOD(MONTH('06_Сеть_и_дети'!BC$3)-9,12),FALSE),'19_Расчет_аналитики'!BC4465*CapacityAge10*'19_Расчет_аналитики'!$F$4259,0),0)</f>
        <v/>
      </c>
      <c r="BD4577">
        <f>IF('01_Вводные'!$B$234="Да",IF(IF('01_Вводные'!$B$296="Новый сезон",10-1&gt;MOD(MONTH('06_Сеть_и_дети'!BD$3)-9,12),FALSE),'19_Расчет_аналитики'!BD4465*CapacityAge10*'19_Расчет_аналитики'!$F$4259,0),0)</f>
        <v/>
      </c>
      <c r="BE4577">
        <f>IF('01_Вводные'!$B$234="Да",IF(IF('01_Вводные'!$B$296="Новый сезон",10-1&gt;MOD(MONTH('06_Сеть_и_дети'!BE$3)-9,12),FALSE),'19_Расчет_аналитики'!BE4465*CapacityAge10*'19_Расчет_аналитики'!$F$4259,0),0)</f>
        <v/>
      </c>
      <c r="BF4577">
        <f>IF('01_Вводные'!$B$234="Да",IF(IF('01_Вводные'!$B$296="Новый сезон",10-1&gt;MOD(MONTH('06_Сеть_и_дети'!BF$3)-9,12),FALSE),'19_Расчет_аналитики'!BF4465*CapacityAge10*'19_Расчет_аналитики'!$F$4259,0),0)</f>
        <v/>
      </c>
      <c r="BG4577">
        <f>IF('01_Вводные'!$B$234="Да",IF(IF('01_Вводные'!$B$296="Новый сезон",10-1&gt;MOD(MONTH('06_Сеть_и_дети'!BG$3)-9,12),FALSE),'19_Расчет_аналитики'!BG4465*CapacityAge10*'19_Расчет_аналитики'!$F$4259,0),0)</f>
        <v/>
      </c>
      <c r="BH4577">
        <f>IF('01_Вводные'!$B$234="Да",IF(IF('01_Вводные'!$B$296="Новый сезон",10-1&gt;MOD(MONTH('06_Сеть_и_дети'!BH$3)-9,12),FALSE),'19_Расчет_аналитики'!BH4465*CapacityAge10*'19_Расчет_аналитики'!$F$4259,0),0)</f>
        <v/>
      </c>
      <c r="BI4577">
        <f>IF('01_Вводные'!$B$234="Да",IF(IF('01_Вводные'!$B$296="Новый сезон",10-1&gt;MOD(MONTH('06_Сеть_и_дети'!BI$3)-9,12),FALSE),'19_Расчет_аналитики'!BI4465*CapacityAge10*'19_Расчет_аналитики'!$F$4259,0),0)</f>
        <v/>
      </c>
      <c r="BJ4577">
        <f>IF('01_Вводные'!$B$234="Да",IF(IF('01_Вводные'!$B$296="Новый сезон",10-1&gt;MOD(MONTH('06_Сеть_и_дети'!BJ$3)-9,12),FALSE),'19_Расчет_аналитики'!BJ4465*CapacityAge10*'19_Расчет_аналитики'!$F$4259,0),0)</f>
        <v/>
      </c>
      <c r="BK4577">
        <f>IF('01_Вводные'!$B$234="Да",IF(IF('01_Вводные'!$B$296="Новый сезон",10-1&gt;MOD(MONTH('06_Сеть_и_дети'!BK$3)-9,12),FALSE),'19_Расчет_аналитики'!BK4465*CapacityAge10*'19_Расчет_аналитики'!$F$4259,0),0)</f>
        <v/>
      </c>
      <c r="BL4577">
        <f>IF('01_Вводные'!$B$234="Да",IF(IF('01_Вводные'!$B$296="Новый сезон",10-1&gt;MOD(MONTH('06_Сеть_и_дети'!BL$3)-9,12),FALSE),'19_Расчет_аналитики'!BL4465*CapacityAge10*'19_Расчет_аналитики'!$F$4259,0),0)</f>
        <v/>
      </c>
      <c r="BM4577">
        <f>IF('01_Вводные'!$B$234="Да",IF(IF('01_Вводные'!$B$296="Новый сезон",10-1&gt;MOD(MONTH('06_Сеть_и_дети'!BM$3)-9,12),FALSE),'19_Расчет_аналитики'!BM4465*CapacityAge10*'19_Расчет_аналитики'!$F$4259,0),0)</f>
        <v/>
      </c>
      <c r="BN4577">
        <f>IF('01_Вводные'!$B$234="Да",IF(IF('01_Вводные'!$B$296="Новый сезон",10-1&gt;MOD(MONTH('06_Сеть_и_дети'!BN$3)-9,12),FALSE),'19_Расчет_аналитики'!BN4465*CapacityAge10*'19_Расчет_аналитики'!$F$4259,0),0)</f>
        <v/>
      </c>
      <c r="BO4577">
        <f>IF('01_Вводные'!$B$234="Да",IF(IF('01_Вводные'!$B$296="Новый сезон",10-1&gt;MOD(MONTH('06_Сеть_и_дети'!BO$3)-9,12),FALSE),'19_Расчет_аналитики'!BO4465*CapacityAge10*'19_Расчет_аналитики'!$F$4259,0),0)</f>
        <v/>
      </c>
    </row>
    <row r="4578">
      <c r="B4578">
        <f>IF('01_Вводные'!$B$234="Да",IF(IF('01_Вводные'!$B$296="Новый сезон",11-1&gt;MOD(MONTH('06_Сеть_и_дети'!B$3)-9,12),FALSE),'06_Сеть_и_дети'!B63*CapacityAge11*'19_Расчет_аналитики'!$F$4259,0),0)</f>
        <v/>
      </c>
      <c r="C4578">
        <f>IF('01_Вводные'!$B$234="Да",IF(IF('01_Вводные'!$B$296="Новый сезон",11-1&gt;MOD(MONTH('06_Сеть_и_дети'!C$3)-9,12),FALSE),'06_Сеть_и_дети'!C63*CapacityAge11*'19_Расчет_аналитики'!$F$4259,0),0)</f>
        <v/>
      </c>
      <c r="D4578">
        <f>IF('01_Вводные'!$B$234="Да",IF(IF('01_Вводные'!$B$296="Новый сезон",11-1&gt;MOD(MONTH('06_Сеть_и_дети'!D$3)-9,12),FALSE),'06_Сеть_и_дети'!D63*CapacityAge11*'19_Расчет_аналитики'!$F$4259,0),0)</f>
        <v/>
      </c>
      <c r="E4578">
        <f>IF('01_Вводные'!$B$234="Да",IF(IF('01_Вводные'!$B$296="Новый сезон",11-1&gt;MOD(MONTH('06_Сеть_и_дети'!E$3)-9,12),FALSE),'06_Сеть_и_дети'!E63*CapacityAge11*'19_Расчет_аналитики'!$F$4259,0),0)</f>
        <v/>
      </c>
      <c r="F4578">
        <f>IF('01_Вводные'!$B$234="Да",IF(IF('01_Вводные'!$B$296="Новый сезон",11-1&gt;MOD(MONTH('06_Сеть_и_дети'!F$3)-9,12),FALSE),'06_Сеть_и_дети'!F63*CapacityAge11*'19_Расчет_аналитики'!$F$4259,0),0)</f>
        <v/>
      </c>
      <c r="G4578">
        <f>IF('01_Вводные'!$B$234="Да",IF(IF('01_Вводные'!$B$296="Новый сезон",11-1&gt;MOD(MONTH('06_Сеть_и_дети'!G$3)-9,12),FALSE),'06_Сеть_и_дети'!G63*CapacityAge11*'19_Расчет_аналитики'!$F$4259,0),0)</f>
        <v/>
      </c>
      <c r="H4578">
        <f>IF('01_Вводные'!$B$234="Да",IF(IF('01_Вводные'!$B$296="Новый сезон",11-1&gt;MOD(MONTH('06_Сеть_и_дети'!H$3)-9,12),FALSE),'06_Сеть_и_дети'!H63*CapacityAge11*'19_Расчет_аналитики'!$F$4259,0),0)</f>
        <v/>
      </c>
      <c r="I4578">
        <f>IF('01_Вводные'!$B$234="Да",IF(IF('01_Вводные'!$B$296="Новый сезон",11-1&gt;MOD(MONTH('06_Сеть_и_дети'!I$3)-9,12),FALSE),'06_Сеть_и_дети'!I63*CapacityAge11*'19_Расчет_аналитики'!$F$4259,0),0)</f>
        <v/>
      </c>
      <c r="J4578">
        <f>IF('01_Вводные'!$B$234="Да",IF(IF('01_Вводные'!$B$296="Новый сезон",11-1&gt;MOD(MONTH('06_Сеть_и_дети'!J$3)-9,12),FALSE),'06_Сеть_и_дети'!J63*CapacityAge11*'19_Расчет_аналитики'!$F$4259,0),0)</f>
        <v/>
      </c>
      <c r="K4578">
        <f>IF('01_Вводные'!$B$234="Да",IF(IF('01_Вводные'!$B$296="Новый сезон",11-1&gt;MOD(MONTH('06_Сеть_и_дети'!K$3)-9,12),FALSE),'06_Сеть_и_дети'!K63*CapacityAge11*'19_Расчет_аналитики'!$F$4259,0),0)</f>
        <v/>
      </c>
      <c r="L4578">
        <f>IF('01_Вводные'!$B$234="Да",IF(IF('01_Вводные'!$B$296="Новый сезон",11-1&gt;MOD(MONTH('06_Сеть_и_дети'!L$3)-9,12),FALSE),'19_Расчет_аналитики'!L4466*CapacityAge11*'19_Расчет_аналитики'!$F$4259,0),0)</f>
        <v/>
      </c>
      <c r="M4578">
        <f>IF('01_Вводные'!$B$234="Да",IF(IF('01_Вводные'!$B$296="Новый сезон",11-1&gt;MOD(MONTH('06_Сеть_и_дети'!M$3)-9,12),FALSE),'19_Расчет_аналитики'!M4466*CapacityAge11*'19_Расчет_аналитики'!$F$4259,0),0)</f>
        <v/>
      </c>
      <c r="N4578">
        <f>IF('01_Вводные'!$B$234="Да",IF(IF('01_Вводные'!$B$296="Новый сезон",11-1&gt;MOD(MONTH('06_Сеть_и_дети'!N$3)-9,12),FALSE),'19_Расчет_аналитики'!N4466*CapacityAge11*'19_Расчет_аналитики'!$F$4259,0),0)</f>
        <v/>
      </c>
      <c r="O4578">
        <f>IF('01_Вводные'!$B$234="Да",IF(IF('01_Вводные'!$B$296="Новый сезон",11-1&gt;MOD(MONTH('06_Сеть_и_дети'!O$3)-9,12),FALSE),'19_Расчет_аналитики'!O4466*CapacityAge11*'19_Расчет_аналитики'!$F$4259,0),0)</f>
        <v/>
      </c>
      <c r="P4578">
        <f>IF('01_Вводные'!$B$234="Да",IF(IF('01_Вводные'!$B$296="Новый сезон",11-1&gt;MOD(MONTH('06_Сеть_и_дети'!P$3)-9,12),FALSE),'19_Расчет_аналитики'!P4466*CapacityAge11*'19_Расчет_аналитики'!$F$4259,0),0)</f>
        <v/>
      </c>
      <c r="Q4578">
        <f>IF('01_Вводные'!$B$234="Да",IF(IF('01_Вводные'!$B$296="Новый сезон",11-1&gt;MOD(MONTH('06_Сеть_и_дети'!Q$3)-9,12),FALSE),'19_Расчет_аналитики'!Q4466*CapacityAge11*'19_Расчет_аналитики'!$F$4259,0),0)</f>
        <v/>
      </c>
      <c r="R4578">
        <f>IF('01_Вводные'!$B$234="Да",IF(IF('01_Вводные'!$B$296="Новый сезон",11-1&gt;MOD(MONTH('06_Сеть_и_дети'!R$3)-9,12),FALSE),'19_Расчет_аналитики'!R4466*CapacityAge11*'19_Расчет_аналитики'!$F$4259,0),0)</f>
        <v/>
      </c>
      <c r="S4578">
        <f>IF('01_Вводные'!$B$234="Да",IF(IF('01_Вводные'!$B$296="Новый сезон",11-1&gt;MOD(MONTH('06_Сеть_и_дети'!S$3)-9,12),FALSE),'19_Расчет_аналитики'!S4466*CapacityAge11*'19_Расчет_аналитики'!$F$4259,0),0)</f>
        <v/>
      </c>
      <c r="T4578">
        <f>IF('01_Вводные'!$B$234="Да",IF(IF('01_Вводные'!$B$296="Новый сезон",11-1&gt;MOD(MONTH('06_Сеть_и_дети'!T$3)-9,12),FALSE),'19_Расчет_аналитики'!T4466*CapacityAge11*'19_Расчет_аналитики'!$F$4259,0),0)</f>
        <v/>
      </c>
      <c r="U4578">
        <f>IF('01_Вводные'!$B$234="Да",IF(IF('01_Вводные'!$B$296="Новый сезон",11-1&gt;MOD(MONTH('06_Сеть_и_дети'!U$3)-9,12),FALSE),'19_Расчет_аналитики'!U4466*CapacityAge11*'19_Расчет_аналитики'!$F$4259,0),0)</f>
        <v/>
      </c>
      <c r="V4578">
        <f>IF('01_Вводные'!$B$234="Да",IF(IF('01_Вводные'!$B$296="Новый сезон",11-1&gt;MOD(MONTH('06_Сеть_и_дети'!V$3)-9,12),FALSE),'19_Расчет_аналитики'!V4466*CapacityAge11*'19_Расчет_аналитики'!$F$4259,0),0)</f>
        <v/>
      </c>
      <c r="W4578">
        <f>IF('01_Вводные'!$B$234="Да",IF(IF('01_Вводные'!$B$296="Новый сезон",11-1&gt;MOD(MONTH('06_Сеть_и_дети'!W$3)-9,12),FALSE),'19_Расчет_аналитики'!W4466*CapacityAge11*'19_Расчет_аналитики'!$F$4259,0),0)</f>
        <v/>
      </c>
      <c r="X4578">
        <f>IF('01_Вводные'!$B$234="Да",IF(IF('01_Вводные'!$B$296="Новый сезон",11-1&gt;MOD(MONTH('06_Сеть_и_дети'!X$3)-9,12),FALSE),'19_Расчет_аналитики'!X4466*CapacityAge11*'19_Расчет_аналитики'!$F$4259,0),0)</f>
        <v/>
      </c>
      <c r="Y4578">
        <f>IF('01_Вводные'!$B$234="Да",IF(IF('01_Вводные'!$B$296="Новый сезон",11-1&gt;MOD(MONTH('06_Сеть_и_дети'!Y$3)-9,12),FALSE),'19_Расчет_аналитики'!Y4466*CapacityAge11*'19_Расчет_аналитики'!$F$4259,0),0)</f>
        <v/>
      </c>
      <c r="Z4578">
        <f>IF('01_Вводные'!$B$234="Да",IF(IF('01_Вводные'!$B$296="Новый сезон",11-1&gt;MOD(MONTH('06_Сеть_и_дети'!Z$3)-9,12),FALSE),'19_Расчет_аналитики'!Z4466*CapacityAge11*'19_Расчет_аналитики'!$F$4259,0),0)</f>
        <v/>
      </c>
      <c r="AA4578">
        <f>IF('01_Вводные'!$B$234="Да",IF(IF('01_Вводные'!$B$296="Новый сезон",11-1&gt;MOD(MONTH('06_Сеть_и_дети'!AA$3)-9,12),FALSE),'19_Расчет_аналитики'!AA4466*CapacityAge11*'19_Расчет_аналитики'!$F$4259,0),0)</f>
        <v/>
      </c>
      <c r="AB4578">
        <f>IF('01_Вводные'!$B$234="Да",IF(IF('01_Вводные'!$B$296="Новый сезон",11-1&gt;MOD(MONTH('06_Сеть_и_дети'!AB$3)-9,12),FALSE),'19_Расчет_аналитики'!AB4466*CapacityAge11*'19_Расчет_аналитики'!$F$4259,0),0)</f>
        <v/>
      </c>
      <c r="AC4578">
        <f>IF('01_Вводные'!$B$234="Да",IF(IF('01_Вводные'!$B$296="Новый сезон",11-1&gt;MOD(MONTH('06_Сеть_и_дети'!AC$3)-9,12),FALSE),'19_Расчет_аналитики'!AC4466*CapacityAge11*'19_Расчет_аналитики'!$F$4259,0),0)</f>
        <v/>
      </c>
      <c r="AD4578">
        <f>IF('01_Вводные'!$B$234="Да",IF(IF('01_Вводные'!$B$296="Новый сезон",11-1&gt;MOD(MONTH('06_Сеть_и_дети'!AD$3)-9,12),FALSE),'19_Расчет_аналитики'!AD4466*CapacityAge11*'19_Расчет_аналитики'!$F$4259,0),0)</f>
        <v/>
      </c>
      <c r="AE4578">
        <f>IF('01_Вводные'!$B$234="Да",IF(IF('01_Вводные'!$B$296="Новый сезон",11-1&gt;MOD(MONTH('06_Сеть_и_дети'!AE$3)-9,12),FALSE),'19_Расчет_аналитики'!AE4466*CapacityAge11*'19_Расчет_аналитики'!$F$4259,0),0)</f>
        <v/>
      </c>
      <c r="AF4578">
        <f>IF('01_Вводные'!$B$234="Да",IF(IF('01_Вводные'!$B$296="Новый сезон",11-1&gt;MOD(MONTH('06_Сеть_и_дети'!AF$3)-9,12),FALSE),'19_Расчет_аналитики'!AF4466*CapacityAge11*'19_Расчет_аналитики'!$F$4259,0),0)</f>
        <v/>
      </c>
      <c r="AG4578">
        <f>IF('01_Вводные'!$B$234="Да",IF(IF('01_Вводные'!$B$296="Новый сезон",11-1&gt;MOD(MONTH('06_Сеть_и_дети'!AG$3)-9,12),FALSE),'19_Расчет_аналитики'!AG4466*CapacityAge11*'19_Расчет_аналитики'!$F$4259,0),0)</f>
        <v/>
      </c>
      <c r="AH4578">
        <f>IF('01_Вводные'!$B$234="Да",IF(IF('01_Вводные'!$B$296="Новый сезон",11-1&gt;MOD(MONTH('06_Сеть_и_дети'!AH$3)-9,12),FALSE),'19_Расчет_аналитики'!AH4466*CapacityAge11*'19_Расчет_аналитики'!$F$4259,0),0)</f>
        <v/>
      </c>
      <c r="AI4578">
        <f>IF('01_Вводные'!$B$234="Да",IF(IF('01_Вводные'!$B$296="Новый сезон",11-1&gt;MOD(MONTH('06_Сеть_и_дети'!AI$3)-9,12),FALSE),'19_Расчет_аналитики'!AI4466*CapacityAge11*'19_Расчет_аналитики'!$F$4259,0),0)</f>
        <v/>
      </c>
      <c r="AJ4578">
        <f>IF('01_Вводные'!$B$234="Да",IF(IF('01_Вводные'!$B$296="Новый сезон",11-1&gt;MOD(MONTH('06_Сеть_и_дети'!AJ$3)-9,12),FALSE),'19_Расчет_аналитики'!AJ4466*CapacityAge11*'19_Расчет_аналитики'!$F$4259,0),0)</f>
        <v/>
      </c>
      <c r="AK4578">
        <f>IF('01_Вводные'!$B$234="Да",IF(IF('01_Вводные'!$B$296="Новый сезон",11-1&gt;MOD(MONTH('06_Сеть_и_дети'!AK$3)-9,12),FALSE),'19_Расчет_аналитики'!AK4466*CapacityAge11*'19_Расчет_аналитики'!$F$4259,0),0)</f>
        <v/>
      </c>
      <c r="AL4578">
        <f>IF('01_Вводные'!$B$234="Да",IF(IF('01_Вводные'!$B$296="Новый сезон",11-1&gt;MOD(MONTH('06_Сеть_и_дети'!AL$3)-9,12),FALSE),'19_Расчет_аналитики'!AL4466*CapacityAge11*'19_Расчет_аналитики'!$F$4259,0),0)</f>
        <v/>
      </c>
      <c r="AM4578">
        <f>IF('01_Вводные'!$B$234="Да",IF(IF('01_Вводные'!$B$296="Новый сезон",11-1&gt;MOD(MONTH('06_Сеть_и_дети'!AM$3)-9,12),FALSE),'19_Расчет_аналитики'!AM4466*CapacityAge11*'19_Расчет_аналитики'!$F$4259,0),0)</f>
        <v/>
      </c>
      <c r="AN4578">
        <f>IF('01_Вводные'!$B$234="Да",IF(IF('01_Вводные'!$B$296="Новый сезон",11-1&gt;MOD(MONTH('06_Сеть_и_дети'!AN$3)-9,12),FALSE),'19_Расчет_аналитики'!AN4466*CapacityAge11*'19_Расчет_аналитики'!$F$4259,0),0)</f>
        <v/>
      </c>
      <c r="AO4578">
        <f>IF('01_Вводные'!$B$234="Да",IF(IF('01_Вводные'!$B$296="Новый сезон",11-1&gt;MOD(MONTH('06_Сеть_и_дети'!AO$3)-9,12),FALSE),'19_Расчет_аналитики'!AO4466*CapacityAge11*'19_Расчет_аналитики'!$F$4259,0),0)</f>
        <v/>
      </c>
      <c r="AP4578">
        <f>IF('01_Вводные'!$B$234="Да",IF(IF('01_Вводные'!$B$296="Новый сезон",11-1&gt;MOD(MONTH('06_Сеть_и_дети'!AP$3)-9,12),FALSE),'19_Расчет_аналитики'!AP4466*CapacityAge11*'19_Расчет_аналитики'!$F$4259,0),0)</f>
        <v/>
      </c>
      <c r="AQ4578">
        <f>IF('01_Вводные'!$B$234="Да",IF(IF('01_Вводные'!$B$296="Новый сезон",11-1&gt;MOD(MONTH('06_Сеть_и_дети'!AQ$3)-9,12),FALSE),'19_Расчет_аналитики'!AQ4466*CapacityAge11*'19_Расчет_аналитики'!$F$4259,0),0)</f>
        <v/>
      </c>
      <c r="AR4578">
        <f>IF('01_Вводные'!$B$234="Да",IF(IF('01_Вводные'!$B$296="Новый сезон",11-1&gt;MOD(MONTH('06_Сеть_и_дети'!AR$3)-9,12),FALSE),'19_Расчет_аналитики'!AR4466*CapacityAge11*'19_Расчет_аналитики'!$F$4259,0),0)</f>
        <v/>
      </c>
      <c r="AS4578">
        <f>IF('01_Вводные'!$B$234="Да",IF(IF('01_Вводные'!$B$296="Новый сезон",11-1&gt;MOD(MONTH('06_Сеть_и_дети'!AS$3)-9,12),FALSE),'19_Расчет_аналитики'!AS4466*CapacityAge11*'19_Расчет_аналитики'!$F$4259,0),0)</f>
        <v/>
      </c>
      <c r="AT4578">
        <f>IF('01_Вводные'!$B$234="Да",IF(IF('01_Вводные'!$B$296="Новый сезон",11-1&gt;MOD(MONTH('06_Сеть_и_дети'!AT$3)-9,12),FALSE),'19_Расчет_аналитики'!AT4466*CapacityAge11*'19_Расчет_аналитики'!$F$4259,0),0)</f>
        <v/>
      </c>
      <c r="AU4578">
        <f>IF('01_Вводные'!$B$234="Да",IF(IF('01_Вводные'!$B$296="Новый сезон",11-1&gt;MOD(MONTH('06_Сеть_и_дети'!AU$3)-9,12),FALSE),'19_Расчет_аналитики'!AU4466*CapacityAge11*'19_Расчет_аналитики'!$F$4259,0),0)</f>
        <v/>
      </c>
      <c r="AV4578">
        <f>IF('01_Вводные'!$B$234="Да",IF(IF('01_Вводные'!$B$296="Новый сезон",11-1&gt;MOD(MONTH('06_Сеть_и_дети'!AV$3)-9,12),FALSE),'19_Расчет_аналитики'!AV4466*CapacityAge11*'19_Расчет_аналитики'!$F$4259,0),0)</f>
        <v/>
      </c>
      <c r="AW4578">
        <f>IF('01_Вводные'!$B$234="Да",IF(IF('01_Вводные'!$B$296="Новый сезон",11-1&gt;MOD(MONTH('06_Сеть_и_дети'!AW$3)-9,12),FALSE),'19_Расчет_аналитики'!AW4466*CapacityAge11*'19_Расчет_аналитики'!$F$4259,0),0)</f>
        <v/>
      </c>
      <c r="AX4578">
        <f>IF('01_Вводные'!$B$234="Да",IF(IF('01_Вводные'!$B$296="Новый сезон",11-1&gt;MOD(MONTH('06_Сеть_и_дети'!AX$3)-9,12),FALSE),'19_Расчет_аналитики'!AX4466*CapacityAge11*'19_Расчет_аналитики'!$F$4259,0),0)</f>
        <v/>
      </c>
      <c r="AY4578">
        <f>IF('01_Вводные'!$B$234="Да",IF(IF('01_Вводные'!$B$296="Новый сезон",11-1&gt;MOD(MONTH('06_Сеть_и_дети'!AY$3)-9,12),FALSE),'19_Расчет_аналитики'!AY4466*CapacityAge11*'19_Расчет_аналитики'!$F$4259,0),0)</f>
        <v/>
      </c>
      <c r="AZ4578">
        <f>IF('01_Вводные'!$B$234="Да",IF(IF('01_Вводные'!$B$296="Новый сезон",11-1&gt;MOD(MONTH('06_Сеть_и_дети'!AZ$3)-9,12),FALSE),'19_Расчет_аналитики'!AZ4466*CapacityAge11*'19_Расчет_аналитики'!$F$4259,0),0)</f>
        <v/>
      </c>
      <c r="BA4578">
        <f>IF('01_Вводные'!$B$234="Да",IF(IF('01_Вводные'!$B$296="Новый сезон",11-1&gt;MOD(MONTH('06_Сеть_и_дети'!BA$3)-9,12),FALSE),'19_Расчет_аналитики'!BA4466*CapacityAge11*'19_Расчет_аналитики'!$F$4259,0),0)</f>
        <v/>
      </c>
      <c r="BB4578">
        <f>IF('01_Вводные'!$B$234="Да",IF(IF('01_Вводные'!$B$296="Новый сезон",11-1&gt;MOD(MONTH('06_Сеть_и_дети'!BB$3)-9,12),FALSE),'19_Расчет_аналитики'!BB4466*CapacityAge11*'19_Расчет_аналитики'!$F$4259,0),0)</f>
        <v/>
      </c>
      <c r="BC4578">
        <f>IF('01_Вводные'!$B$234="Да",IF(IF('01_Вводные'!$B$296="Новый сезон",11-1&gt;MOD(MONTH('06_Сеть_и_дети'!BC$3)-9,12),FALSE),'19_Расчет_аналитики'!BC4466*CapacityAge11*'19_Расчет_аналитики'!$F$4259,0),0)</f>
        <v/>
      </c>
      <c r="BD4578">
        <f>IF('01_Вводные'!$B$234="Да",IF(IF('01_Вводные'!$B$296="Новый сезон",11-1&gt;MOD(MONTH('06_Сеть_и_дети'!BD$3)-9,12),FALSE),'19_Расчет_аналитики'!BD4466*CapacityAge11*'19_Расчет_аналитики'!$F$4259,0),0)</f>
        <v/>
      </c>
      <c r="BE4578">
        <f>IF('01_Вводные'!$B$234="Да",IF(IF('01_Вводные'!$B$296="Новый сезон",11-1&gt;MOD(MONTH('06_Сеть_и_дети'!BE$3)-9,12),FALSE),'19_Расчет_аналитики'!BE4466*CapacityAge11*'19_Расчет_аналитики'!$F$4259,0),0)</f>
        <v/>
      </c>
      <c r="BF4578">
        <f>IF('01_Вводные'!$B$234="Да",IF(IF('01_Вводные'!$B$296="Новый сезон",11-1&gt;MOD(MONTH('06_Сеть_и_дети'!BF$3)-9,12),FALSE),'19_Расчет_аналитики'!BF4466*CapacityAge11*'19_Расчет_аналитики'!$F$4259,0),0)</f>
        <v/>
      </c>
      <c r="BG4578">
        <f>IF('01_Вводные'!$B$234="Да",IF(IF('01_Вводные'!$B$296="Новый сезон",11-1&gt;MOD(MONTH('06_Сеть_и_дети'!BG$3)-9,12),FALSE),'19_Расчет_аналитики'!BG4466*CapacityAge11*'19_Расчет_аналитики'!$F$4259,0),0)</f>
        <v/>
      </c>
      <c r="BH4578">
        <f>IF('01_Вводные'!$B$234="Да",IF(IF('01_Вводные'!$B$296="Новый сезон",11-1&gt;MOD(MONTH('06_Сеть_и_дети'!BH$3)-9,12),FALSE),'19_Расчет_аналитики'!BH4466*CapacityAge11*'19_Расчет_аналитики'!$F$4259,0),0)</f>
        <v/>
      </c>
      <c r="BI4578">
        <f>IF('01_Вводные'!$B$234="Да",IF(IF('01_Вводные'!$B$296="Новый сезон",11-1&gt;MOD(MONTH('06_Сеть_и_дети'!BI$3)-9,12),FALSE),'19_Расчет_аналитики'!BI4466*CapacityAge11*'19_Расчет_аналитики'!$F$4259,0),0)</f>
        <v/>
      </c>
      <c r="BJ4578">
        <f>IF('01_Вводные'!$B$234="Да",IF(IF('01_Вводные'!$B$296="Новый сезон",11-1&gt;MOD(MONTH('06_Сеть_и_дети'!BJ$3)-9,12),FALSE),'19_Расчет_аналитики'!BJ4466*CapacityAge11*'19_Расчет_аналитики'!$F$4259,0),0)</f>
        <v/>
      </c>
      <c r="BK4578">
        <f>IF('01_Вводные'!$B$234="Да",IF(IF('01_Вводные'!$B$296="Новый сезон",11-1&gt;MOD(MONTH('06_Сеть_и_дети'!BK$3)-9,12),FALSE),'19_Расчет_аналитики'!BK4466*CapacityAge11*'19_Расчет_аналитики'!$F$4259,0),0)</f>
        <v/>
      </c>
      <c r="BL4578">
        <f>IF('01_Вводные'!$B$234="Да",IF(IF('01_Вводные'!$B$296="Новый сезон",11-1&gt;MOD(MONTH('06_Сеть_и_дети'!BL$3)-9,12),FALSE),'19_Расчет_аналитики'!BL4466*CapacityAge11*'19_Расчет_аналитики'!$F$4259,0),0)</f>
        <v/>
      </c>
      <c r="BM4578">
        <f>IF('01_Вводные'!$B$234="Да",IF(IF('01_Вводные'!$B$296="Новый сезон",11-1&gt;MOD(MONTH('06_Сеть_и_дети'!BM$3)-9,12),FALSE),'19_Расчет_аналитики'!BM4466*CapacityAge11*'19_Расчет_аналитики'!$F$4259,0),0)</f>
        <v/>
      </c>
      <c r="BN4578">
        <f>IF('01_Вводные'!$B$234="Да",IF(IF('01_Вводные'!$B$296="Новый сезон",11-1&gt;MOD(MONTH('06_Сеть_и_дети'!BN$3)-9,12),FALSE),'19_Расчет_аналитики'!BN4466*CapacityAge11*'19_Расчет_аналитики'!$F$4259,0),0)</f>
        <v/>
      </c>
      <c r="BO4578">
        <f>IF('01_Вводные'!$B$234="Да",IF(IF('01_Вводные'!$B$296="Новый сезон",11-1&gt;MOD(MONTH('06_Сеть_и_дети'!BO$3)-9,12),FALSE),'19_Расчет_аналитики'!BO4466*CapacityAge11*'19_Расчет_аналитики'!$F$4259,0),0)</f>
        <v/>
      </c>
    </row>
    <row r="4579">
      <c r="B4579">
        <f>IF('01_Вводные'!$B$234="Да",IF(IF('01_Вводные'!$B$296="Новый сезон",12-1&gt;MOD(MONTH('06_Сеть_и_дети'!B$3)-9,12),FALSE),'06_Сеть_и_дети'!B64*CapacityAge12*'19_Расчет_аналитики'!$F$4259,0),0)</f>
        <v/>
      </c>
      <c r="C4579">
        <f>IF('01_Вводные'!$B$234="Да",IF(IF('01_Вводные'!$B$296="Новый сезон",12-1&gt;MOD(MONTH('06_Сеть_и_дети'!C$3)-9,12),FALSE),'06_Сеть_и_дети'!C64*CapacityAge12*'19_Расчет_аналитики'!$F$4259,0),0)</f>
        <v/>
      </c>
      <c r="D4579">
        <f>IF('01_Вводные'!$B$234="Да",IF(IF('01_Вводные'!$B$296="Новый сезон",12-1&gt;MOD(MONTH('06_Сеть_и_дети'!D$3)-9,12),FALSE),'06_Сеть_и_дети'!D64*CapacityAge12*'19_Расчет_аналитики'!$F$4259,0),0)</f>
        <v/>
      </c>
      <c r="E4579">
        <f>IF('01_Вводные'!$B$234="Да",IF(IF('01_Вводные'!$B$296="Новый сезон",12-1&gt;MOD(MONTH('06_Сеть_и_дети'!E$3)-9,12),FALSE),'06_Сеть_и_дети'!E64*CapacityAge12*'19_Расчет_аналитики'!$F$4259,0),0)</f>
        <v/>
      </c>
      <c r="F4579">
        <f>IF('01_Вводные'!$B$234="Да",IF(IF('01_Вводные'!$B$296="Новый сезон",12-1&gt;MOD(MONTH('06_Сеть_и_дети'!F$3)-9,12),FALSE),'06_Сеть_и_дети'!F64*CapacityAge12*'19_Расчет_аналитики'!$F$4259,0),0)</f>
        <v/>
      </c>
      <c r="G4579">
        <f>IF('01_Вводные'!$B$234="Да",IF(IF('01_Вводные'!$B$296="Новый сезон",12-1&gt;MOD(MONTH('06_Сеть_и_дети'!G$3)-9,12),FALSE),'06_Сеть_и_дети'!G64*CapacityAge12*'19_Расчет_аналитики'!$F$4259,0),0)</f>
        <v/>
      </c>
      <c r="H4579">
        <f>IF('01_Вводные'!$B$234="Да",IF(IF('01_Вводные'!$B$296="Новый сезон",12-1&gt;MOD(MONTH('06_Сеть_и_дети'!H$3)-9,12),FALSE),'06_Сеть_и_дети'!H64*CapacityAge12*'19_Расчет_аналитики'!$F$4259,0),0)</f>
        <v/>
      </c>
      <c r="I4579">
        <f>IF('01_Вводные'!$B$234="Да",IF(IF('01_Вводные'!$B$296="Новый сезон",12-1&gt;MOD(MONTH('06_Сеть_и_дети'!I$3)-9,12),FALSE),'06_Сеть_и_дети'!I64*CapacityAge12*'19_Расчет_аналитики'!$F$4259,0),0)</f>
        <v/>
      </c>
      <c r="J4579">
        <f>IF('01_Вводные'!$B$234="Да",IF(IF('01_Вводные'!$B$296="Новый сезон",12-1&gt;MOD(MONTH('06_Сеть_и_дети'!J$3)-9,12),FALSE),'06_Сеть_и_дети'!J64*CapacityAge12*'19_Расчет_аналитики'!$F$4259,0),0)</f>
        <v/>
      </c>
      <c r="K4579">
        <f>IF('01_Вводные'!$B$234="Да",IF(IF('01_Вводные'!$B$296="Новый сезон",12-1&gt;MOD(MONTH('06_Сеть_и_дети'!K$3)-9,12),FALSE),'06_Сеть_и_дети'!K64*CapacityAge12*'19_Расчет_аналитики'!$F$4259,0),0)</f>
        <v/>
      </c>
      <c r="L4579">
        <f>IF('01_Вводные'!$B$234="Да",IF(IF('01_Вводные'!$B$296="Новый сезон",12-1&gt;MOD(MONTH('06_Сеть_и_дети'!L$3)-9,12),FALSE),'06_Сеть_и_дети'!L64*CapacityAge12*'19_Расчет_аналитики'!$F$4259,0),0)</f>
        <v/>
      </c>
      <c r="M4579">
        <f>IF('01_Вводные'!$B$234="Да",IF(IF('01_Вводные'!$B$296="Новый сезон",12-1&gt;MOD(MONTH('06_Сеть_и_дети'!M$3)-9,12),FALSE),'19_Расчет_аналитики'!M4467*CapacityAge12*'19_Расчет_аналитики'!$F$4259,0),0)</f>
        <v/>
      </c>
      <c r="N4579">
        <f>IF('01_Вводные'!$B$234="Да",IF(IF('01_Вводные'!$B$296="Новый сезон",12-1&gt;MOD(MONTH('06_Сеть_и_дети'!N$3)-9,12),FALSE),'19_Расчет_аналитики'!N4467*CapacityAge12*'19_Расчет_аналитики'!$F$4259,0),0)</f>
        <v/>
      </c>
      <c r="O4579">
        <f>IF('01_Вводные'!$B$234="Да",IF(IF('01_Вводные'!$B$296="Новый сезон",12-1&gt;MOD(MONTH('06_Сеть_и_дети'!O$3)-9,12),FALSE),'19_Расчет_аналитики'!O4467*CapacityAge12*'19_Расчет_аналитики'!$F$4259,0),0)</f>
        <v/>
      </c>
      <c r="P4579">
        <f>IF('01_Вводные'!$B$234="Да",IF(IF('01_Вводные'!$B$296="Новый сезон",12-1&gt;MOD(MONTH('06_Сеть_и_дети'!P$3)-9,12),FALSE),'19_Расчет_аналитики'!P4467*CapacityAge12*'19_Расчет_аналитики'!$F$4259,0),0)</f>
        <v/>
      </c>
      <c r="Q4579">
        <f>IF('01_Вводные'!$B$234="Да",IF(IF('01_Вводные'!$B$296="Новый сезон",12-1&gt;MOD(MONTH('06_Сеть_и_дети'!Q$3)-9,12),FALSE),'19_Расчет_аналитики'!Q4467*CapacityAge12*'19_Расчет_аналитики'!$F$4259,0),0)</f>
        <v/>
      </c>
      <c r="R4579">
        <f>IF('01_Вводные'!$B$234="Да",IF(IF('01_Вводные'!$B$296="Новый сезон",12-1&gt;MOD(MONTH('06_Сеть_и_дети'!R$3)-9,12),FALSE),'19_Расчет_аналитики'!R4467*CapacityAge12*'19_Расчет_аналитики'!$F$4259,0),0)</f>
        <v/>
      </c>
      <c r="S4579">
        <f>IF('01_Вводные'!$B$234="Да",IF(IF('01_Вводные'!$B$296="Новый сезон",12-1&gt;MOD(MONTH('06_Сеть_и_дети'!S$3)-9,12),FALSE),'19_Расчет_аналитики'!S4467*CapacityAge12*'19_Расчет_аналитики'!$F$4259,0),0)</f>
        <v/>
      </c>
      <c r="T4579">
        <f>IF('01_Вводные'!$B$234="Да",IF(IF('01_Вводные'!$B$296="Новый сезон",12-1&gt;MOD(MONTH('06_Сеть_и_дети'!T$3)-9,12),FALSE),'19_Расчет_аналитики'!T4467*CapacityAge12*'19_Расчет_аналитики'!$F$4259,0),0)</f>
        <v/>
      </c>
      <c r="U4579">
        <f>IF('01_Вводные'!$B$234="Да",IF(IF('01_Вводные'!$B$296="Новый сезон",12-1&gt;MOD(MONTH('06_Сеть_и_дети'!U$3)-9,12),FALSE),'19_Расчет_аналитики'!U4467*CapacityAge12*'19_Расчет_аналитики'!$F$4259,0),0)</f>
        <v/>
      </c>
      <c r="V4579">
        <f>IF('01_Вводные'!$B$234="Да",IF(IF('01_Вводные'!$B$296="Новый сезон",12-1&gt;MOD(MONTH('06_Сеть_и_дети'!V$3)-9,12),FALSE),'19_Расчет_аналитики'!V4467*CapacityAge12*'19_Расчет_аналитики'!$F$4259,0),0)</f>
        <v/>
      </c>
      <c r="W4579">
        <f>IF('01_Вводные'!$B$234="Да",IF(IF('01_Вводные'!$B$296="Новый сезон",12-1&gt;MOD(MONTH('06_Сеть_и_дети'!W$3)-9,12),FALSE),'19_Расчет_аналитики'!W4467*CapacityAge12*'19_Расчет_аналитики'!$F$4259,0),0)</f>
        <v/>
      </c>
      <c r="X4579">
        <f>IF('01_Вводные'!$B$234="Да",IF(IF('01_Вводные'!$B$296="Новый сезон",12-1&gt;MOD(MONTH('06_Сеть_и_дети'!X$3)-9,12),FALSE),'19_Расчет_аналитики'!X4467*CapacityAge12*'19_Расчет_аналитики'!$F$4259,0),0)</f>
        <v/>
      </c>
      <c r="Y4579">
        <f>IF('01_Вводные'!$B$234="Да",IF(IF('01_Вводные'!$B$296="Новый сезон",12-1&gt;MOD(MONTH('06_Сеть_и_дети'!Y$3)-9,12),FALSE),'19_Расчет_аналитики'!Y4467*CapacityAge12*'19_Расчет_аналитики'!$F$4259,0),0)</f>
        <v/>
      </c>
      <c r="Z4579">
        <f>IF('01_Вводные'!$B$234="Да",IF(IF('01_Вводные'!$B$296="Новый сезон",12-1&gt;MOD(MONTH('06_Сеть_и_дети'!Z$3)-9,12),FALSE),'19_Расчет_аналитики'!Z4467*CapacityAge12*'19_Расчет_аналитики'!$F$4259,0),0)</f>
        <v/>
      </c>
      <c r="AA4579">
        <f>IF('01_Вводные'!$B$234="Да",IF(IF('01_Вводные'!$B$296="Новый сезон",12-1&gt;MOD(MONTH('06_Сеть_и_дети'!AA$3)-9,12),FALSE),'19_Расчет_аналитики'!AA4467*CapacityAge12*'19_Расчет_аналитики'!$F$4259,0),0)</f>
        <v/>
      </c>
      <c r="AB4579">
        <f>IF('01_Вводные'!$B$234="Да",IF(IF('01_Вводные'!$B$296="Новый сезон",12-1&gt;MOD(MONTH('06_Сеть_и_дети'!AB$3)-9,12),FALSE),'19_Расчет_аналитики'!AB4467*CapacityAge12*'19_Расчет_аналитики'!$F$4259,0),0)</f>
        <v/>
      </c>
      <c r="AC4579">
        <f>IF('01_Вводные'!$B$234="Да",IF(IF('01_Вводные'!$B$296="Новый сезон",12-1&gt;MOD(MONTH('06_Сеть_и_дети'!AC$3)-9,12),FALSE),'19_Расчет_аналитики'!AC4467*CapacityAge12*'19_Расчет_аналитики'!$F$4259,0),0)</f>
        <v/>
      </c>
      <c r="AD4579">
        <f>IF('01_Вводные'!$B$234="Да",IF(IF('01_Вводные'!$B$296="Новый сезон",12-1&gt;MOD(MONTH('06_Сеть_и_дети'!AD$3)-9,12),FALSE),'19_Расчет_аналитики'!AD4467*CapacityAge12*'19_Расчет_аналитики'!$F$4259,0),0)</f>
        <v/>
      </c>
      <c r="AE4579">
        <f>IF('01_Вводные'!$B$234="Да",IF(IF('01_Вводные'!$B$296="Новый сезон",12-1&gt;MOD(MONTH('06_Сеть_и_дети'!AE$3)-9,12),FALSE),'19_Расчет_аналитики'!AE4467*CapacityAge12*'19_Расчет_аналитики'!$F$4259,0),0)</f>
        <v/>
      </c>
      <c r="AF4579">
        <f>IF('01_Вводные'!$B$234="Да",IF(IF('01_Вводные'!$B$296="Новый сезон",12-1&gt;MOD(MONTH('06_Сеть_и_дети'!AF$3)-9,12),FALSE),'19_Расчет_аналитики'!AF4467*CapacityAge12*'19_Расчет_аналитики'!$F$4259,0),0)</f>
        <v/>
      </c>
      <c r="AG4579">
        <f>IF('01_Вводные'!$B$234="Да",IF(IF('01_Вводные'!$B$296="Новый сезон",12-1&gt;MOD(MONTH('06_Сеть_и_дети'!AG$3)-9,12),FALSE),'19_Расчет_аналитики'!AG4467*CapacityAge12*'19_Расчет_аналитики'!$F$4259,0),0)</f>
        <v/>
      </c>
      <c r="AH4579">
        <f>IF('01_Вводные'!$B$234="Да",IF(IF('01_Вводные'!$B$296="Новый сезон",12-1&gt;MOD(MONTH('06_Сеть_и_дети'!AH$3)-9,12),FALSE),'19_Расчет_аналитики'!AH4467*CapacityAge12*'19_Расчет_аналитики'!$F$4259,0),0)</f>
        <v/>
      </c>
      <c r="AI4579">
        <f>IF('01_Вводные'!$B$234="Да",IF(IF('01_Вводные'!$B$296="Новый сезон",12-1&gt;MOD(MONTH('06_Сеть_и_дети'!AI$3)-9,12),FALSE),'19_Расчет_аналитики'!AI4467*CapacityAge12*'19_Расчет_аналитики'!$F$4259,0),0)</f>
        <v/>
      </c>
      <c r="AJ4579">
        <f>IF('01_Вводные'!$B$234="Да",IF(IF('01_Вводные'!$B$296="Новый сезон",12-1&gt;MOD(MONTH('06_Сеть_и_дети'!AJ$3)-9,12),FALSE),'19_Расчет_аналитики'!AJ4467*CapacityAge12*'19_Расчет_аналитики'!$F$4259,0),0)</f>
        <v/>
      </c>
      <c r="AK4579">
        <f>IF('01_Вводные'!$B$234="Да",IF(IF('01_Вводные'!$B$296="Новый сезон",12-1&gt;MOD(MONTH('06_Сеть_и_дети'!AK$3)-9,12),FALSE),'19_Расчет_аналитики'!AK4467*CapacityAge12*'19_Расчет_аналитики'!$F$4259,0),0)</f>
        <v/>
      </c>
      <c r="AL4579">
        <f>IF('01_Вводные'!$B$234="Да",IF(IF('01_Вводные'!$B$296="Новый сезон",12-1&gt;MOD(MONTH('06_Сеть_и_дети'!AL$3)-9,12),FALSE),'19_Расчет_аналитики'!AL4467*CapacityAge12*'19_Расчет_аналитики'!$F$4259,0),0)</f>
        <v/>
      </c>
      <c r="AM4579">
        <f>IF('01_Вводные'!$B$234="Да",IF(IF('01_Вводные'!$B$296="Новый сезон",12-1&gt;MOD(MONTH('06_Сеть_и_дети'!AM$3)-9,12),FALSE),'19_Расчет_аналитики'!AM4467*CapacityAge12*'19_Расчет_аналитики'!$F$4259,0),0)</f>
        <v/>
      </c>
      <c r="AN4579">
        <f>IF('01_Вводные'!$B$234="Да",IF(IF('01_Вводные'!$B$296="Новый сезон",12-1&gt;MOD(MONTH('06_Сеть_и_дети'!AN$3)-9,12),FALSE),'19_Расчет_аналитики'!AN4467*CapacityAge12*'19_Расчет_аналитики'!$F$4259,0),0)</f>
        <v/>
      </c>
      <c r="AO4579">
        <f>IF('01_Вводные'!$B$234="Да",IF(IF('01_Вводные'!$B$296="Новый сезон",12-1&gt;MOD(MONTH('06_Сеть_и_дети'!AO$3)-9,12),FALSE),'19_Расчет_аналитики'!AO4467*CapacityAge12*'19_Расчет_аналитики'!$F$4259,0),0)</f>
        <v/>
      </c>
      <c r="AP4579">
        <f>IF('01_Вводные'!$B$234="Да",IF(IF('01_Вводные'!$B$296="Новый сезон",12-1&gt;MOD(MONTH('06_Сеть_и_дети'!AP$3)-9,12),FALSE),'19_Расчет_аналитики'!AP4467*CapacityAge12*'19_Расчет_аналитики'!$F$4259,0),0)</f>
        <v/>
      </c>
      <c r="AQ4579">
        <f>IF('01_Вводные'!$B$234="Да",IF(IF('01_Вводные'!$B$296="Новый сезон",12-1&gt;MOD(MONTH('06_Сеть_и_дети'!AQ$3)-9,12),FALSE),'19_Расчет_аналитики'!AQ4467*CapacityAge12*'19_Расчет_аналитики'!$F$4259,0),0)</f>
        <v/>
      </c>
      <c r="AR4579">
        <f>IF('01_Вводные'!$B$234="Да",IF(IF('01_Вводные'!$B$296="Новый сезон",12-1&gt;MOD(MONTH('06_Сеть_и_дети'!AR$3)-9,12),FALSE),'19_Расчет_аналитики'!AR4467*CapacityAge12*'19_Расчет_аналитики'!$F$4259,0),0)</f>
        <v/>
      </c>
      <c r="AS4579">
        <f>IF('01_Вводные'!$B$234="Да",IF(IF('01_Вводные'!$B$296="Новый сезон",12-1&gt;MOD(MONTH('06_Сеть_и_дети'!AS$3)-9,12),FALSE),'19_Расчет_аналитики'!AS4467*CapacityAge12*'19_Расчет_аналитики'!$F$4259,0),0)</f>
        <v/>
      </c>
      <c r="AT4579">
        <f>IF('01_Вводные'!$B$234="Да",IF(IF('01_Вводные'!$B$296="Новый сезон",12-1&gt;MOD(MONTH('06_Сеть_и_дети'!AT$3)-9,12),FALSE),'19_Расчет_аналитики'!AT4467*CapacityAge12*'19_Расчет_аналитики'!$F$4259,0),0)</f>
        <v/>
      </c>
      <c r="AU4579">
        <f>IF('01_Вводные'!$B$234="Да",IF(IF('01_Вводные'!$B$296="Новый сезон",12-1&gt;MOD(MONTH('06_Сеть_и_дети'!AU$3)-9,12),FALSE),'19_Расчет_аналитики'!AU4467*CapacityAge12*'19_Расчет_аналитики'!$F$4259,0),0)</f>
        <v/>
      </c>
      <c r="AV4579">
        <f>IF('01_Вводные'!$B$234="Да",IF(IF('01_Вводные'!$B$296="Новый сезон",12-1&gt;MOD(MONTH('06_Сеть_и_дети'!AV$3)-9,12),FALSE),'19_Расчет_аналитики'!AV4467*CapacityAge12*'19_Расчет_аналитики'!$F$4259,0),0)</f>
        <v/>
      </c>
      <c r="AW4579">
        <f>IF('01_Вводные'!$B$234="Да",IF(IF('01_Вводные'!$B$296="Новый сезон",12-1&gt;MOD(MONTH('06_Сеть_и_дети'!AW$3)-9,12),FALSE),'19_Расчет_аналитики'!AW4467*CapacityAge12*'19_Расчет_аналитики'!$F$4259,0),0)</f>
        <v/>
      </c>
      <c r="AX4579">
        <f>IF('01_Вводные'!$B$234="Да",IF(IF('01_Вводные'!$B$296="Новый сезон",12-1&gt;MOD(MONTH('06_Сеть_и_дети'!AX$3)-9,12),FALSE),'19_Расчет_аналитики'!AX4467*CapacityAge12*'19_Расчет_аналитики'!$F$4259,0),0)</f>
        <v/>
      </c>
      <c r="AY4579">
        <f>IF('01_Вводные'!$B$234="Да",IF(IF('01_Вводные'!$B$296="Новый сезон",12-1&gt;MOD(MONTH('06_Сеть_и_дети'!AY$3)-9,12),FALSE),'19_Расчет_аналитики'!AY4467*CapacityAge12*'19_Расчет_аналитики'!$F$4259,0),0)</f>
        <v/>
      </c>
      <c r="AZ4579">
        <f>IF('01_Вводные'!$B$234="Да",IF(IF('01_Вводные'!$B$296="Новый сезон",12-1&gt;MOD(MONTH('06_Сеть_и_дети'!AZ$3)-9,12),FALSE),'19_Расчет_аналитики'!AZ4467*CapacityAge12*'19_Расчет_аналитики'!$F$4259,0),0)</f>
        <v/>
      </c>
      <c r="BA4579">
        <f>IF('01_Вводные'!$B$234="Да",IF(IF('01_Вводные'!$B$296="Новый сезон",12-1&gt;MOD(MONTH('06_Сеть_и_дети'!BA$3)-9,12),FALSE),'19_Расчет_аналитики'!BA4467*CapacityAge12*'19_Расчет_аналитики'!$F$4259,0),0)</f>
        <v/>
      </c>
      <c r="BB4579">
        <f>IF('01_Вводные'!$B$234="Да",IF(IF('01_Вводные'!$B$296="Новый сезон",12-1&gt;MOD(MONTH('06_Сеть_и_дети'!BB$3)-9,12),FALSE),'19_Расчет_аналитики'!BB4467*CapacityAge12*'19_Расчет_аналитики'!$F$4259,0),0)</f>
        <v/>
      </c>
      <c r="BC4579">
        <f>IF('01_Вводные'!$B$234="Да",IF(IF('01_Вводные'!$B$296="Новый сезон",12-1&gt;MOD(MONTH('06_Сеть_и_дети'!BC$3)-9,12),FALSE),'19_Расчет_аналитики'!BC4467*CapacityAge12*'19_Расчет_аналитики'!$F$4259,0),0)</f>
        <v/>
      </c>
      <c r="BD4579">
        <f>IF('01_Вводные'!$B$234="Да",IF(IF('01_Вводные'!$B$296="Новый сезон",12-1&gt;MOD(MONTH('06_Сеть_и_дети'!BD$3)-9,12),FALSE),'19_Расчет_аналитики'!BD4467*CapacityAge12*'19_Расчет_аналитики'!$F$4259,0),0)</f>
        <v/>
      </c>
      <c r="BE4579">
        <f>IF('01_Вводные'!$B$234="Да",IF(IF('01_Вводные'!$B$296="Новый сезон",12-1&gt;MOD(MONTH('06_Сеть_и_дети'!BE$3)-9,12),FALSE),'19_Расчет_аналитики'!BE4467*CapacityAge12*'19_Расчет_аналитики'!$F$4259,0),0)</f>
        <v/>
      </c>
      <c r="BF4579">
        <f>IF('01_Вводные'!$B$234="Да",IF(IF('01_Вводные'!$B$296="Новый сезон",12-1&gt;MOD(MONTH('06_Сеть_и_дети'!BF$3)-9,12),FALSE),'19_Расчет_аналитики'!BF4467*CapacityAge12*'19_Расчет_аналитики'!$F$4259,0),0)</f>
        <v/>
      </c>
      <c r="BG4579">
        <f>IF('01_Вводные'!$B$234="Да",IF(IF('01_Вводные'!$B$296="Новый сезон",12-1&gt;MOD(MONTH('06_Сеть_и_дети'!BG$3)-9,12),FALSE),'19_Расчет_аналитики'!BG4467*CapacityAge12*'19_Расчет_аналитики'!$F$4259,0),0)</f>
        <v/>
      </c>
      <c r="BH4579">
        <f>IF('01_Вводные'!$B$234="Да",IF(IF('01_Вводные'!$B$296="Новый сезон",12-1&gt;MOD(MONTH('06_Сеть_и_дети'!BH$3)-9,12),FALSE),'19_Расчет_аналитики'!BH4467*CapacityAge12*'19_Расчет_аналитики'!$F$4259,0),0)</f>
        <v/>
      </c>
      <c r="BI4579">
        <f>IF('01_Вводные'!$B$234="Да",IF(IF('01_Вводные'!$B$296="Новый сезон",12-1&gt;MOD(MONTH('06_Сеть_и_дети'!BI$3)-9,12),FALSE),'19_Расчет_аналитики'!BI4467*CapacityAge12*'19_Расчет_аналитики'!$F$4259,0),0)</f>
        <v/>
      </c>
      <c r="BJ4579">
        <f>IF('01_Вводные'!$B$234="Да",IF(IF('01_Вводные'!$B$296="Новый сезон",12-1&gt;MOD(MONTH('06_Сеть_и_дети'!BJ$3)-9,12),FALSE),'19_Расчет_аналитики'!BJ4467*CapacityAge12*'19_Расчет_аналитики'!$F$4259,0),0)</f>
        <v/>
      </c>
      <c r="BK4579">
        <f>IF('01_Вводные'!$B$234="Да",IF(IF('01_Вводные'!$B$296="Новый сезон",12-1&gt;MOD(MONTH('06_Сеть_и_дети'!BK$3)-9,12),FALSE),'19_Расчет_аналитики'!BK4467*CapacityAge12*'19_Расчет_аналитики'!$F$4259,0),0)</f>
        <v/>
      </c>
      <c r="BL4579">
        <f>IF('01_Вводные'!$B$234="Да",IF(IF('01_Вводные'!$B$296="Новый сезон",12-1&gt;MOD(MONTH('06_Сеть_и_дети'!BL$3)-9,12),FALSE),'19_Расчет_аналитики'!BL4467*CapacityAge12*'19_Расчет_аналитики'!$F$4259,0),0)</f>
        <v/>
      </c>
      <c r="BM4579">
        <f>IF('01_Вводные'!$B$234="Да",IF(IF('01_Вводные'!$B$296="Новый сезон",12-1&gt;MOD(MONTH('06_Сеть_и_дети'!BM$3)-9,12),FALSE),'19_Расчет_аналитики'!BM4467*CapacityAge12*'19_Расчет_аналитики'!$F$4259,0),0)</f>
        <v/>
      </c>
      <c r="BN4579">
        <f>IF('01_Вводные'!$B$234="Да",IF(IF('01_Вводные'!$B$296="Новый сезон",12-1&gt;MOD(MONTH('06_Сеть_и_дети'!BN$3)-9,12),FALSE),'19_Расчет_аналитики'!BN4467*CapacityAge12*'19_Расчет_аналитики'!$F$4259,0),0)</f>
        <v/>
      </c>
      <c r="BO4579">
        <f>IF('01_Вводные'!$B$234="Да",IF(IF('01_Вводные'!$B$296="Новый сезон",12-1&gt;MOD(MONTH('06_Сеть_и_дети'!BO$3)-9,12),FALSE),'19_Расчет_аналитики'!BO4467*CapacityAge12*'19_Расчет_аналитики'!$F$4259,0),0)</f>
        <v/>
      </c>
    </row>
    <row r="4580">
      <c r="B4580">
        <f>IF('01_Вводные'!$B$234="Да",IF(IF('01_Вводные'!$B$296="Новый сезон",TRUE,TRUE),'06_Сеть_и_дети'!B65*CapacityAge13*'19_Расчет_аналитики'!$F$4259,0),0)</f>
        <v/>
      </c>
      <c r="C4580">
        <f>IF('01_Вводные'!$B$234="Да",IF(IF('01_Вводные'!$B$296="Новый сезон",TRUE,TRUE),'06_Сеть_и_дети'!C65*CapacityAge13*'19_Расчет_аналитики'!$F$4259,0),0)</f>
        <v/>
      </c>
      <c r="D4580">
        <f>IF('01_Вводные'!$B$234="Да",IF(IF('01_Вводные'!$B$296="Новый сезон",TRUE,TRUE),'06_Сеть_и_дети'!D65*CapacityAge13*'19_Расчет_аналитики'!$F$4259,0),0)</f>
        <v/>
      </c>
      <c r="E4580">
        <f>IF('01_Вводные'!$B$234="Да",IF(IF('01_Вводные'!$B$296="Новый сезон",TRUE,TRUE),'06_Сеть_и_дети'!E65*CapacityAge13*'19_Расчет_аналитики'!$F$4259,0),0)</f>
        <v/>
      </c>
      <c r="F4580">
        <f>IF('01_Вводные'!$B$234="Да",IF(IF('01_Вводные'!$B$296="Новый сезон",TRUE,TRUE),'06_Сеть_и_дети'!F65*CapacityAge13*'19_Расчет_аналитики'!$F$4259,0),0)</f>
        <v/>
      </c>
      <c r="G4580">
        <f>IF('01_Вводные'!$B$234="Да",IF(IF('01_Вводные'!$B$296="Новый сезон",TRUE,TRUE),'06_Сеть_и_дети'!G65*CapacityAge13*'19_Расчет_аналитики'!$F$4259,0),0)</f>
        <v/>
      </c>
      <c r="H4580">
        <f>IF('01_Вводные'!$B$234="Да",IF(IF('01_Вводные'!$B$296="Новый сезон",TRUE,TRUE),'06_Сеть_и_дети'!H65*CapacityAge13*'19_Расчет_аналитики'!$F$4259,0),0)</f>
        <v/>
      </c>
      <c r="I4580">
        <f>IF('01_Вводные'!$B$234="Да",IF(IF('01_Вводные'!$B$296="Новый сезон",TRUE,TRUE),'06_Сеть_и_дети'!I65*CapacityAge13*'19_Расчет_аналитики'!$F$4259,0),0)</f>
        <v/>
      </c>
      <c r="J4580">
        <f>IF('01_Вводные'!$B$234="Да",IF(IF('01_Вводные'!$B$296="Новый сезон",TRUE,TRUE),'06_Сеть_и_дети'!J65*CapacityAge13*'19_Расчет_аналитики'!$F$4259,0),0)</f>
        <v/>
      </c>
      <c r="K4580">
        <f>IF('01_Вводные'!$B$234="Да",IF(IF('01_Вводные'!$B$296="Новый сезон",TRUE,TRUE),'06_Сеть_и_дети'!K65*CapacityAge13*'19_Расчет_аналитики'!$F$4259,0),0)</f>
        <v/>
      </c>
      <c r="L4580">
        <f>IF('01_Вводные'!$B$234="Да",IF(IF('01_Вводные'!$B$296="Новый сезон",TRUE,TRUE),'06_Сеть_и_дети'!L65*CapacityAge13*'19_Расчет_аналитики'!$F$4259,0),0)</f>
        <v/>
      </c>
      <c r="M4580">
        <f>IF('01_Вводные'!$B$234="Да",IF(IF('01_Вводные'!$B$296="Новый сезон",TRUE,TRUE),'06_Сеть_и_дети'!M65*CapacityAge13*'19_Расчет_аналитики'!$F$4259,0),0)</f>
        <v/>
      </c>
      <c r="N4580">
        <f>IF('01_Вводные'!$B$234="Да",IF(IF('01_Вводные'!$B$296="Новый сезон",TRUE,TRUE),'19_Расчет_аналитики'!N4468*CapacityAge13*'19_Расчет_аналитики'!$F$4259,0),0)</f>
        <v/>
      </c>
      <c r="O4580">
        <f>IF('01_Вводные'!$B$234="Да",IF(IF('01_Вводные'!$B$296="Новый сезон",TRUE,TRUE),'19_Расчет_аналитики'!O4468*CapacityAge13*'19_Расчет_аналитики'!$F$4259,0),0)</f>
        <v/>
      </c>
      <c r="P4580">
        <f>IF('01_Вводные'!$B$234="Да",IF(IF('01_Вводные'!$B$296="Новый сезон",TRUE,TRUE),'19_Расчет_аналитики'!P4468*CapacityAge13*'19_Расчет_аналитики'!$F$4259,0),0)</f>
        <v/>
      </c>
      <c r="Q4580">
        <f>IF('01_Вводные'!$B$234="Да",IF(IF('01_Вводные'!$B$296="Новый сезон",TRUE,TRUE),'19_Расчет_аналитики'!Q4468*CapacityAge13*'19_Расчет_аналитики'!$F$4259,0),0)</f>
        <v/>
      </c>
      <c r="R4580">
        <f>IF('01_Вводные'!$B$234="Да",IF(IF('01_Вводные'!$B$296="Новый сезон",TRUE,TRUE),'19_Расчет_аналитики'!R4468*CapacityAge13*'19_Расчет_аналитики'!$F$4259,0),0)</f>
        <v/>
      </c>
      <c r="S4580">
        <f>IF('01_Вводные'!$B$234="Да",IF(IF('01_Вводные'!$B$296="Новый сезон",TRUE,TRUE),'19_Расчет_аналитики'!S4468*CapacityAge13*'19_Расчет_аналитики'!$F$4259,0),0)</f>
        <v/>
      </c>
      <c r="T4580">
        <f>IF('01_Вводные'!$B$234="Да",IF(IF('01_Вводные'!$B$296="Новый сезон",TRUE,TRUE),'19_Расчет_аналитики'!T4468*CapacityAge13*'19_Расчет_аналитики'!$F$4259,0),0)</f>
        <v/>
      </c>
      <c r="U4580">
        <f>IF('01_Вводные'!$B$234="Да",IF(IF('01_Вводные'!$B$296="Новый сезон",TRUE,TRUE),'19_Расчет_аналитики'!U4468*CapacityAge13*'19_Расчет_аналитики'!$F$4259,0),0)</f>
        <v/>
      </c>
      <c r="V4580">
        <f>IF('01_Вводные'!$B$234="Да",IF(IF('01_Вводные'!$B$296="Новый сезон",TRUE,TRUE),'19_Расчет_аналитики'!V4468*CapacityAge13*'19_Расчет_аналитики'!$F$4259,0),0)</f>
        <v/>
      </c>
      <c r="W4580">
        <f>IF('01_Вводные'!$B$234="Да",IF(IF('01_Вводные'!$B$296="Новый сезон",TRUE,TRUE),'19_Расчет_аналитики'!W4468*CapacityAge13*'19_Расчет_аналитики'!$F$4259,0),0)</f>
        <v/>
      </c>
      <c r="X4580">
        <f>IF('01_Вводные'!$B$234="Да",IF(IF('01_Вводные'!$B$296="Новый сезон",TRUE,TRUE),'19_Расчет_аналитики'!X4468*CapacityAge13*'19_Расчет_аналитики'!$F$4259,0),0)</f>
        <v/>
      </c>
      <c r="Y4580">
        <f>IF('01_Вводные'!$B$234="Да",IF(IF('01_Вводные'!$B$296="Новый сезон",TRUE,TRUE),'19_Расчет_аналитики'!Y4468*CapacityAge13*'19_Расчет_аналитики'!$F$4259,0),0)</f>
        <v/>
      </c>
      <c r="Z4580">
        <f>IF('01_Вводные'!$B$234="Да",IF(IF('01_Вводные'!$B$296="Новый сезон",TRUE,TRUE),'19_Расчет_аналитики'!Z4468*CapacityAge13*'19_Расчет_аналитики'!$F$4259,0),0)</f>
        <v/>
      </c>
      <c r="AA4580">
        <f>IF('01_Вводные'!$B$234="Да",IF(IF('01_Вводные'!$B$296="Новый сезон",TRUE,TRUE),'19_Расчет_аналитики'!AA4468*CapacityAge13*'19_Расчет_аналитики'!$F$4259,0),0)</f>
        <v/>
      </c>
      <c r="AB4580">
        <f>IF('01_Вводные'!$B$234="Да",IF(IF('01_Вводные'!$B$296="Новый сезон",TRUE,TRUE),'19_Расчет_аналитики'!AB4468*CapacityAge13*'19_Расчет_аналитики'!$F$4259,0),0)</f>
        <v/>
      </c>
      <c r="AC4580">
        <f>IF('01_Вводные'!$B$234="Да",IF(IF('01_Вводные'!$B$296="Новый сезон",TRUE,TRUE),'19_Расчет_аналитики'!AC4468*CapacityAge13*'19_Расчет_аналитики'!$F$4259,0),0)</f>
        <v/>
      </c>
      <c r="AD4580">
        <f>IF('01_Вводные'!$B$234="Да",IF(IF('01_Вводные'!$B$296="Новый сезон",TRUE,TRUE),'19_Расчет_аналитики'!AD4468*CapacityAge13*'19_Расчет_аналитики'!$F$4259,0),0)</f>
        <v/>
      </c>
      <c r="AE4580">
        <f>IF('01_Вводные'!$B$234="Да",IF(IF('01_Вводные'!$B$296="Новый сезон",TRUE,TRUE),'19_Расчет_аналитики'!AE4468*CapacityAge13*'19_Расчет_аналитики'!$F$4259,0),0)</f>
        <v/>
      </c>
      <c r="AF4580">
        <f>IF('01_Вводные'!$B$234="Да",IF(IF('01_Вводные'!$B$296="Новый сезон",TRUE,TRUE),'19_Расчет_аналитики'!AF4468*CapacityAge13*'19_Расчет_аналитики'!$F$4259,0),0)</f>
        <v/>
      </c>
      <c r="AG4580">
        <f>IF('01_Вводные'!$B$234="Да",IF(IF('01_Вводные'!$B$296="Новый сезон",TRUE,TRUE),'19_Расчет_аналитики'!AG4468*CapacityAge13*'19_Расчет_аналитики'!$F$4259,0),0)</f>
        <v/>
      </c>
      <c r="AH4580">
        <f>IF('01_Вводные'!$B$234="Да",IF(IF('01_Вводные'!$B$296="Новый сезон",TRUE,TRUE),'19_Расчет_аналитики'!AH4468*CapacityAge13*'19_Расчет_аналитики'!$F$4259,0),0)</f>
        <v/>
      </c>
      <c r="AI4580">
        <f>IF('01_Вводные'!$B$234="Да",IF(IF('01_Вводные'!$B$296="Новый сезон",TRUE,TRUE),'19_Расчет_аналитики'!AI4468*CapacityAge13*'19_Расчет_аналитики'!$F$4259,0),0)</f>
        <v/>
      </c>
      <c r="AJ4580">
        <f>IF('01_Вводные'!$B$234="Да",IF(IF('01_Вводные'!$B$296="Новый сезон",TRUE,TRUE),'19_Расчет_аналитики'!AJ4468*CapacityAge13*'19_Расчет_аналитики'!$F$4259,0),0)</f>
        <v/>
      </c>
      <c r="AK4580">
        <f>IF('01_Вводные'!$B$234="Да",IF(IF('01_Вводные'!$B$296="Новый сезон",TRUE,TRUE),'19_Расчет_аналитики'!AK4468*CapacityAge13*'19_Расчет_аналитики'!$F$4259,0),0)</f>
        <v/>
      </c>
      <c r="AL4580">
        <f>IF('01_Вводные'!$B$234="Да",IF(IF('01_Вводные'!$B$296="Новый сезон",TRUE,TRUE),'19_Расчет_аналитики'!AL4468*CapacityAge13*'19_Расчет_аналитики'!$F$4259,0),0)</f>
        <v/>
      </c>
      <c r="AM4580">
        <f>IF('01_Вводные'!$B$234="Да",IF(IF('01_Вводные'!$B$296="Новый сезон",TRUE,TRUE),'19_Расчет_аналитики'!AM4468*CapacityAge13*'19_Расчет_аналитики'!$F$4259,0),0)</f>
        <v/>
      </c>
      <c r="AN4580">
        <f>IF('01_Вводные'!$B$234="Да",IF(IF('01_Вводные'!$B$296="Новый сезон",TRUE,TRUE),'19_Расчет_аналитики'!AN4468*CapacityAge13*'19_Расчет_аналитики'!$F$4259,0),0)</f>
        <v/>
      </c>
      <c r="AO4580">
        <f>IF('01_Вводные'!$B$234="Да",IF(IF('01_Вводные'!$B$296="Новый сезон",TRUE,TRUE),'19_Расчет_аналитики'!AO4468*CapacityAge13*'19_Расчет_аналитики'!$F$4259,0),0)</f>
        <v/>
      </c>
      <c r="AP4580">
        <f>IF('01_Вводные'!$B$234="Да",IF(IF('01_Вводные'!$B$296="Новый сезон",TRUE,TRUE),'19_Расчет_аналитики'!AP4468*CapacityAge13*'19_Расчет_аналитики'!$F$4259,0),0)</f>
        <v/>
      </c>
      <c r="AQ4580">
        <f>IF('01_Вводные'!$B$234="Да",IF(IF('01_Вводные'!$B$296="Новый сезон",TRUE,TRUE),'19_Расчет_аналитики'!AQ4468*CapacityAge13*'19_Расчет_аналитики'!$F$4259,0),0)</f>
        <v/>
      </c>
      <c r="AR4580">
        <f>IF('01_Вводные'!$B$234="Да",IF(IF('01_Вводные'!$B$296="Новый сезон",TRUE,TRUE),'19_Расчет_аналитики'!AR4468*CapacityAge13*'19_Расчет_аналитики'!$F$4259,0),0)</f>
        <v/>
      </c>
      <c r="AS4580">
        <f>IF('01_Вводные'!$B$234="Да",IF(IF('01_Вводные'!$B$296="Новый сезон",TRUE,TRUE),'19_Расчет_аналитики'!AS4468*CapacityAge13*'19_Расчет_аналитики'!$F$4259,0),0)</f>
        <v/>
      </c>
      <c r="AT4580">
        <f>IF('01_Вводные'!$B$234="Да",IF(IF('01_Вводные'!$B$296="Новый сезон",TRUE,TRUE),'19_Расчет_аналитики'!AT4468*CapacityAge13*'19_Расчет_аналитики'!$F$4259,0),0)</f>
        <v/>
      </c>
      <c r="AU4580">
        <f>IF('01_Вводные'!$B$234="Да",IF(IF('01_Вводные'!$B$296="Новый сезон",TRUE,TRUE),'19_Расчет_аналитики'!AU4468*CapacityAge13*'19_Расчет_аналитики'!$F$4259,0),0)</f>
        <v/>
      </c>
      <c r="AV4580">
        <f>IF('01_Вводные'!$B$234="Да",IF(IF('01_Вводные'!$B$296="Новый сезон",TRUE,TRUE),'19_Расчет_аналитики'!AV4468*CapacityAge13*'19_Расчет_аналитики'!$F$4259,0),0)</f>
        <v/>
      </c>
      <c r="AW4580">
        <f>IF('01_Вводные'!$B$234="Да",IF(IF('01_Вводные'!$B$296="Новый сезон",TRUE,TRUE),'19_Расчет_аналитики'!AW4468*CapacityAge13*'19_Расчет_аналитики'!$F$4259,0),0)</f>
        <v/>
      </c>
      <c r="AX4580">
        <f>IF('01_Вводные'!$B$234="Да",IF(IF('01_Вводные'!$B$296="Новый сезон",TRUE,TRUE),'19_Расчет_аналитики'!AX4468*CapacityAge13*'19_Расчет_аналитики'!$F$4259,0),0)</f>
        <v/>
      </c>
      <c r="AY4580">
        <f>IF('01_Вводные'!$B$234="Да",IF(IF('01_Вводные'!$B$296="Новый сезон",TRUE,TRUE),'19_Расчет_аналитики'!AY4468*CapacityAge13*'19_Расчет_аналитики'!$F$4259,0),0)</f>
        <v/>
      </c>
      <c r="AZ4580">
        <f>IF('01_Вводные'!$B$234="Да",IF(IF('01_Вводные'!$B$296="Новый сезон",TRUE,TRUE),'19_Расчет_аналитики'!AZ4468*CapacityAge13*'19_Расчет_аналитики'!$F$4259,0),0)</f>
        <v/>
      </c>
      <c r="BA4580">
        <f>IF('01_Вводные'!$B$234="Да",IF(IF('01_Вводные'!$B$296="Новый сезон",TRUE,TRUE),'19_Расчет_аналитики'!BA4468*CapacityAge13*'19_Расчет_аналитики'!$F$4259,0),0)</f>
        <v/>
      </c>
      <c r="BB4580">
        <f>IF('01_Вводные'!$B$234="Да",IF(IF('01_Вводные'!$B$296="Новый сезон",TRUE,TRUE),'19_Расчет_аналитики'!BB4468*CapacityAge13*'19_Расчет_аналитики'!$F$4259,0),0)</f>
        <v/>
      </c>
      <c r="BC4580">
        <f>IF('01_Вводные'!$B$234="Да",IF(IF('01_Вводные'!$B$296="Новый сезон",TRUE,TRUE),'19_Расчет_аналитики'!BC4468*CapacityAge13*'19_Расчет_аналитики'!$F$4259,0),0)</f>
        <v/>
      </c>
      <c r="BD4580">
        <f>IF('01_Вводные'!$B$234="Да",IF(IF('01_Вводные'!$B$296="Новый сезон",TRUE,TRUE),'19_Расчет_аналитики'!BD4468*CapacityAge13*'19_Расчет_аналитики'!$F$4259,0),0)</f>
        <v/>
      </c>
      <c r="BE4580">
        <f>IF('01_Вводные'!$B$234="Да",IF(IF('01_Вводные'!$B$296="Новый сезон",TRUE,TRUE),'19_Расчет_аналитики'!BE4468*CapacityAge13*'19_Расчет_аналитики'!$F$4259,0),0)</f>
        <v/>
      </c>
      <c r="BF4580">
        <f>IF('01_Вводные'!$B$234="Да",IF(IF('01_Вводные'!$B$296="Новый сезон",TRUE,TRUE),'19_Расчет_аналитики'!BF4468*CapacityAge13*'19_Расчет_аналитики'!$F$4259,0),0)</f>
        <v/>
      </c>
      <c r="BG4580">
        <f>IF('01_Вводные'!$B$234="Да",IF(IF('01_Вводные'!$B$296="Новый сезон",TRUE,TRUE),'19_Расчет_аналитики'!BG4468*CapacityAge13*'19_Расчет_аналитики'!$F$4259,0),0)</f>
        <v/>
      </c>
      <c r="BH4580">
        <f>IF('01_Вводные'!$B$234="Да",IF(IF('01_Вводные'!$B$296="Новый сезон",TRUE,TRUE),'19_Расчет_аналитики'!BH4468*CapacityAge13*'19_Расчет_аналитики'!$F$4259,0),0)</f>
        <v/>
      </c>
      <c r="BI4580">
        <f>IF('01_Вводные'!$B$234="Да",IF(IF('01_Вводные'!$B$296="Новый сезон",TRUE,TRUE),'19_Расчет_аналитики'!BI4468*CapacityAge13*'19_Расчет_аналитики'!$F$4259,0),0)</f>
        <v/>
      </c>
      <c r="BJ4580">
        <f>IF('01_Вводные'!$B$234="Да",IF(IF('01_Вводные'!$B$296="Новый сезон",TRUE,TRUE),'19_Расчет_аналитики'!BJ4468*CapacityAge13*'19_Расчет_аналитики'!$F$4259,0),0)</f>
        <v/>
      </c>
      <c r="BK4580">
        <f>IF('01_Вводные'!$B$234="Да",IF(IF('01_Вводные'!$B$296="Новый сезон",TRUE,TRUE),'19_Расчет_аналитики'!BK4468*CapacityAge13*'19_Расчет_аналитики'!$F$4259,0),0)</f>
        <v/>
      </c>
      <c r="BL4580">
        <f>IF('01_Вводные'!$B$234="Да",IF(IF('01_Вводные'!$B$296="Новый сезон",TRUE,TRUE),'19_Расчет_аналитики'!BL4468*CapacityAge13*'19_Расчет_аналитики'!$F$4259,0),0)</f>
        <v/>
      </c>
      <c r="BM4580">
        <f>IF('01_Вводные'!$B$234="Да",IF(IF('01_Вводные'!$B$296="Новый сезон",TRUE,TRUE),'19_Расчет_аналитики'!BM4468*CapacityAge13*'19_Расчет_аналитики'!$F$4259,0),0)</f>
        <v/>
      </c>
      <c r="BN4580">
        <f>IF('01_Вводные'!$B$234="Да",IF(IF('01_Вводные'!$B$296="Новый сезон",TRUE,TRUE),'19_Расчет_аналитики'!BN4468*CapacityAge13*'19_Расчет_аналитики'!$F$4259,0),0)</f>
        <v/>
      </c>
      <c r="BO4580">
        <f>IF('01_Вводные'!$B$234="Да",IF(IF('01_Вводные'!$B$296="Новый сезон",TRUE,TRUE),'19_Расчет_аналитики'!BO4468*CapacityAge13*'19_Расчет_аналитики'!$F$4259,0),0)</f>
        <v/>
      </c>
    </row>
    <row r="4581">
      <c r="B4581">
        <f>IF('01_Вводные'!$B$234="Да",IF(IF('01_Вводные'!$B$296="Новый сезон",TRUE,TRUE),'06_Сеть_и_дети'!B66*CapacityAge14*'19_Расчет_аналитики'!$F$4259,0),0)</f>
        <v/>
      </c>
      <c r="C4581">
        <f>IF('01_Вводные'!$B$234="Да",IF(IF('01_Вводные'!$B$296="Новый сезон",TRUE,TRUE),'06_Сеть_и_дети'!C66*CapacityAge14*'19_Расчет_аналитики'!$F$4259,0),0)</f>
        <v/>
      </c>
      <c r="D4581">
        <f>IF('01_Вводные'!$B$234="Да",IF(IF('01_Вводные'!$B$296="Новый сезон",TRUE,TRUE),'06_Сеть_и_дети'!D66*CapacityAge14*'19_Расчет_аналитики'!$F$4259,0),0)</f>
        <v/>
      </c>
      <c r="E4581">
        <f>IF('01_Вводные'!$B$234="Да",IF(IF('01_Вводные'!$B$296="Новый сезон",TRUE,TRUE),'06_Сеть_и_дети'!E66*CapacityAge14*'19_Расчет_аналитики'!$F$4259,0),0)</f>
        <v/>
      </c>
      <c r="F4581">
        <f>IF('01_Вводные'!$B$234="Да",IF(IF('01_Вводные'!$B$296="Новый сезон",TRUE,TRUE),'06_Сеть_и_дети'!F66*CapacityAge14*'19_Расчет_аналитики'!$F$4259,0),0)</f>
        <v/>
      </c>
      <c r="G4581">
        <f>IF('01_Вводные'!$B$234="Да",IF(IF('01_Вводные'!$B$296="Новый сезон",TRUE,TRUE),'06_Сеть_и_дети'!G66*CapacityAge14*'19_Расчет_аналитики'!$F$4259,0),0)</f>
        <v/>
      </c>
      <c r="H4581">
        <f>IF('01_Вводные'!$B$234="Да",IF(IF('01_Вводные'!$B$296="Новый сезон",TRUE,TRUE),'06_Сеть_и_дети'!H66*CapacityAge14*'19_Расчет_аналитики'!$F$4259,0),0)</f>
        <v/>
      </c>
      <c r="I4581">
        <f>IF('01_Вводные'!$B$234="Да",IF(IF('01_Вводные'!$B$296="Новый сезон",TRUE,TRUE),'06_Сеть_и_дети'!I66*CapacityAge14*'19_Расчет_аналитики'!$F$4259,0),0)</f>
        <v/>
      </c>
      <c r="J4581">
        <f>IF('01_Вводные'!$B$234="Да",IF(IF('01_Вводные'!$B$296="Новый сезон",TRUE,TRUE),'06_Сеть_и_дети'!J66*CapacityAge14*'19_Расчет_аналитики'!$F$4259,0),0)</f>
        <v/>
      </c>
      <c r="K4581">
        <f>IF('01_Вводные'!$B$234="Да",IF(IF('01_Вводные'!$B$296="Новый сезон",TRUE,TRUE),'06_Сеть_и_дети'!K66*CapacityAge14*'19_Расчет_аналитики'!$F$4259,0),0)</f>
        <v/>
      </c>
      <c r="L4581">
        <f>IF('01_Вводные'!$B$234="Да",IF(IF('01_Вводные'!$B$296="Новый сезон",TRUE,TRUE),'06_Сеть_и_дети'!L66*CapacityAge14*'19_Расчет_аналитики'!$F$4259,0),0)</f>
        <v/>
      </c>
      <c r="M4581">
        <f>IF('01_Вводные'!$B$234="Да",IF(IF('01_Вводные'!$B$296="Новый сезон",TRUE,TRUE),'06_Сеть_и_дети'!M66*CapacityAge14*'19_Расчет_аналитики'!$F$4259,0),0)</f>
        <v/>
      </c>
      <c r="N4581">
        <f>IF('01_Вводные'!$B$234="Да",IF(IF('01_Вводные'!$B$296="Новый сезон",TRUE,TRUE),'06_Сеть_и_дети'!N66*CapacityAge14*'19_Расчет_аналитики'!$F$4259,0),0)</f>
        <v/>
      </c>
      <c r="O4581">
        <f>IF('01_Вводные'!$B$234="Да",IF(IF('01_Вводные'!$B$296="Новый сезон",TRUE,TRUE),'19_Расчет_аналитики'!O4469*CapacityAge14*'19_Расчет_аналитики'!$F$4259,0),0)</f>
        <v/>
      </c>
      <c r="P4581">
        <f>IF('01_Вводные'!$B$234="Да",IF(IF('01_Вводные'!$B$296="Новый сезон",TRUE,TRUE),'19_Расчет_аналитики'!P4469*CapacityAge14*'19_Расчет_аналитики'!$F$4259,0),0)</f>
        <v/>
      </c>
      <c r="Q4581">
        <f>IF('01_Вводные'!$B$234="Да",IF(IF('01_Вводные'!$B$296="Новый сезон",TRUE,TRUE),'19_Расчет_аналитики'!Q4469*CapacityAge14*'19_Расчет_аналитики'!$F$4259,0),0)</f>
        <v/>
      </c>
      <c r="R4581">
        <f>IF('01_Вводные'!$B$234="Да",IF(IF('01_Вводные'!$B$296="Новый сезон",TRUE,TRUE),'19_Расчет_аналитики'!R4469*CapacityAge14*'19_Расчет_аналитики'!$F$4259,0),0)</f>
        <v/>
      </c>
      <c r="S4581">
        <f>IF('01_Вводные'!$B$234="Да",IF(IF('01_Вводные'!$B$296="Новый сезон",TRUE,TRUE),'19_Расчет_аналитики'!S4469*CapacityAge14*'19_Расчет_аналитики'!$F$4259,0),0)</f>
        <v/>
      </c>
      <c r="T4581">
        <f>IF('01_Вводные'!$B$234="Да",IF(IF('01_Вводные'!$B$296="Новый сезон",TRUE,TRUE),'19_Расчет_аналитики'!T4469*CapacityAge14*'19_Расчет_аналитики'!$F$4259,0),0)</f>
        <v/>
      </c>
      <c r="U4581">
        <f>IF('01_Вводные'!$B$234="Да",IF(IF('01_Вводные'!$B$296="Новый сезон",TRUE,TRUE),'19_Расчет_аналитики'!U4469*CapacityAge14*'19_Расчет_аналитики'!$F$4259,0),0)</f>
        <v/>
      </c>
      <c r="V4581">
        <f>IF('01_Вводные'!$B$234="Да",IF(IF('01_Вводные'!$B$296="Новый сезон",TRUE,TRUE),'19_Расчет_аналитики'!V4469*CapacityAge14*'19_Расчет_аналитики'!$F$4259,0),0)</f>
        <v/>
      </c>
      <c r="W4581">
        <f>IF('01_Вводные'!$B$234="Да",IF(IF('01_Вводные'!$B$296="Новый сезон",TRUE,TRUE),'19_Расчет_аналитики'!W4469*CapacityAge14*'19_Расчет_аналитики'!$F$4259,0),0)</f>
        <v/>
      </c>
      <c r="X4581">
        <f>IF('01_Вводные'!$B$234="Да",IF(IF('01_Вводные'!$B$296="Новый сезон",TRUE,TRUE),'19_Расчет_аналитики'!X4469*CapacityAge14*'19_Расчет_аналитики'!$F$4259,0),0)</f>
        <v/>
      </c>
      <c r="Y4581">
        <f>IF('01_Вводные'!$B$234="Да",IF(IF('01_Вводные'!$B$296="Новый сезон",TRUE,TRUE),'19_Расчет_аналитики'!Y4469*CapacityAge14*'19_Расчет_аналитики'!$F$4259,0),0)</f>
        <v/>
      </c>
      <c r="Z4581">
        <f>IF('01_Вводные'!$B$234="Да",IF(IF('01_Вводные'!$B$296="Новый сезон",TRUE,TRUE),'19_Расчет_аналитики'!Z4469*CapacityAge14*'19_Расчет_аналитики'!$F$4259,0),0)</f>
        <v/>
      </c>
      <c r="AA4581">
        <f>IF('01_Вводные'!$B$234="Да",IF(IF('01_Вводные'!$B$296="Новый сезон",TRUE,TRUE),'19_Расчет_аналитики'!AA4469*CapacityAge14*'19_Расчет_аналитики'!$F$4259,0),0)</f>
        <v/>
      </c>
      <c r="AB4581">
        <f>IF('01_Вводные'!$B$234="Да",IF(IF('01_Вводные'!$B$296="Новый сезон",TRUE,TRUE),'19_Расчет_аналитики'!AB4469*CapacityAge14*'19_Расчет_аналитики'!$F$4259,0),0)</f>
        <v/>
      </c>
      <c r="AC4581">
        <f>IF('01_Вводные'!$B$234="Да",IF(IF('01_Вводные'!$B$296="Новый сезон",TRUE,TRUE),'19_Расчет_аналитики'!AC4469*CapacityAge14*'19_Расчет_аналитики'!$F$4259,0),0)</f>
        <v/>
      </c>
      <c r="AD4581">
        <f>IF('01_Вводные'!$B$234="Да",IF(IF('01_Вводные'!$B$296="Новый сезон",TRUE,TRUE),'19_Расчет_аналитики'!AD4469*CapacityAge14*'19_Расчет_аналитики'!$F$4259,0),0)</f>
        <v/>
      </c>
      <c r="AE4581">
        <f>IF('01_Вводные'!$B$234="Да",IF(IF('01_Вводные'!$B$296="Новый сезон",TRUE,TRUE),'19_Расчет_аналитики'!AE4469*CapacityAge14*'19_Расчет_аналитики'!$F$4259,0),0)</f>
        <v/>
      </c>
      <c r="AF4581">
        <f>IF('01_Вводные'!$B$234="Да",IF(IF('01_Вводные'!$B$296="Новый сезон",TRUE,TRUE),'19_Расчет_аналитики'!AF4469*CapacityAge14*'19_Расчет_аналитики'!$F$4259,0),0)</f>
        <v/>
      </c>
      <c r="AG4581">
        <f>IF('01_Вводные'!$B$234="Да",IF(IF('01_Вводные'!$B$296="Новый сезон",TRUE,TRUE),'19_Расчет_аналитики'!AG4469*CapacityAge14*'19_Расчет_аналитики'!$F$4259,0),0)</f>
        <v/>
      </c>
      <c r="AH4581">
        <f>IF('01_Вводные'!$B$234="Да",IF(IF('01_Вводные'!$B$296="Новый сезон",TRUE,TRUE),'19_Расчет_аналитики'!AH4469*CapacityAge14*'19_Расчет_аналитики'!$F$4259,0),0)</f>
        <v/>
      </c>
      <c r="AI4581">
        <f>IF('01_Вводные'!$B$234="Да",IF(IF('01_Вводные'!$B$296="Новый сезон",TRUE,TRUE),'19_Расчет_аналитики'!AI4469*CapacityAge14*'19_Расчет_аналитики'!$F$4259,0),0)</f>
        <v/>
      </c>
      <c r="AJ4581">
        <f>IF('01_Вводные'!$B$234="Да",IF(IF('01_Вводные'!$B$296="Новый сезон",TRUE,TRUE),'19_Расчет_аналитики'!AJ4469*CapacityAge14*'19_Расчет_аналитики'!$F$4259,0),0)</f>
        <v/>
      </c>
      <c r="AK4581">
        <f>IF('01_Вводные'!$B$234="Да",IF(IF('01_Вводные'!$B$296="Новый сезон",TRUE,TRUE),'19_Расчет_аналитики'!AK4469*CapacityAge14*'19_Расчет_аналитики'!$F$4259,0),0)</f>
        <v/>
      </c>
      <c r="AL4581">
        <f>IF('01_Вводные'!$B$234="Да",IF(IF('01_Вводные'!$B$296="Новый сезон",TRUE,TRUE),'19_Расчет_аналитики'!AL4469*CapacityAge14*'19_Расчет_аналитики'!$F$4259,0),0)</f>
        <v/>
      </c>
      <c r="AM4581">
        <f>IF('01_Вводные'!$B$234="Да",IF(IF('01_Вводные'!$B$296="Новый сезон",TRUE,TRUE),'19_Расчет_аналитики'!AM4469*CapacityAge14*'19_Расчет_аналитики'!$F$4259,0),0)</f>
        <v/>
      </c>
      <c r="AN4581">
        <f>IF('01_Вводные'!$B$234="Да",IF(IF('01_Вводные'!$B$296="Новый сезон",TRUE,TRUE),'19_Расчет_аналитики'!AN4469*CapacityAge14*'19_Расчет_аналитики'!$F$4259,0),0)</f>
        <v/>
      </c>
      <c r="AO4581">
        <f>IF('01_Вводные'!$B$234="Да",IF(IF('01_Вводные'!$B$296="Новый сезон",TRUE,TRUE),'19_Расчет_аналитики'!AO4469*CapacityAge14*'19_Расчет_аналитики'!$F$4259,0),0)</f>
        <v/>
      </c>
      <c r="AP4581">
        <f>IF('01_Вводные'!$B$234="Да",IF(IF('01_Вводные'!$B$296="Новый сезон",TRUE,TRUE),'19_Расчет_аналитики'!AP4469*CapacityAge14*'19_Расчет_аналитики'!$F$4259,0),0)</f>
        <v/>
      </c>
      <c r="AQ4581">
        <f>IF('01_Вводные'!$B$234="Да",IF(IF('01_Вводные'!$B$296="Новый сезон",TRUE,TRUE),'19_Расчет_аналитики'!AQ4469*CapacityAge14*'19_Расчет_аналитики'!$F$4259,0),0)</f>
        <v/>
      </c>
      <c r="AR4581">
        <f>IF('01_Вводные'!$B$234="Да",IF(IF('01_Вводные'!$B$296="Новый сезон",TRUE,TRUE),'19_Расчет_аналитики'!AR4469*CapacityAge14*'19_Расчет_аналитики'!$F$4259,0),0)</f>
        <v/>
      </c>
      <c r="AS4581">
        <f>IF('01_Вводные'!$B$234="Да",IF(IF('01_Вводные'!$B$296="Новый сезон",TRUE,TRUE),'19_Расчет_аналитики'!AS4469*CapacityAge14*'19_Расчет_аналитики'!$F$4259,0),0)</f>
        <v/>
      </c>
      <c r="AT4581">
        <f>IF('01_Вводные'!$B$234="Да",IF(IF('01_Вводные'!$B$296="Новый сезон",TRUE,TRUE),'19_Расчет_аналитики'!AT4469*CapacityAge14*'19_Расчет_аналитики'!$F$4259,0),0)</f>
        <v/>
      </c>
      <c r="AU4581">
        <f>IF('01_Вводные'!$B$234="Да",IF(IF('01_Вводные'!$B$296="Новый сезон",TRUE,TRUE),'19_Расчет_аналитики'!AU4469*CapacityAge14*'19_Расчет_аналитики'!$F$4259,0),0)</f>
        <v/>
      </c>
      <c r="AV4581">
        <f>IF('01_Вводные'!$B$234="Да",IF(IF('01_Вводные'!$B$296="Новый сезон",TRUE,TRUE),'19_Расчет_аналитики'!AV4469*CapacityAge14*'19_Расчет_аналитики'!$F$4259,0),0)</f>
        <v/>
      </c>
      <c r="AW4581">
        <f>IF('01_Вводные'!$B$234="Да",IF(IF('01_Вводные'!$B$296="Новый сезон",TRUE,TRUE),'19_Расчет_аналитики'!AW4469*CapacityAge14*'19_Расчет_аналитики'!$F$4259,0),0)</f>
        <v/>
      </c>
      <c r="AX4581">
        <f>IF('01_Вводные'!$B$234="Да",IF(IF('01_Вводные'!$B$296="Новый сезон",TRUE,TRUE),'19_Расчет_аналитики'!AX4469*CapacityAge14*'19_Расчет_аналитики'!$F$4259,0),0)</f>
        <v/>
      </c>
      <c r="AY4581">
        <f>IF('01_Вводные'!$B$234="Да",IF(IF('01_Вводные'!$B$296="Новый сезон",TRUE,TRUE),'19_Расчет_аналитики'!AY4469*CapacityAge14*'19_Расчет_аналитики'!$F$4259,0),0)</f>
        <v/>
      </c>
      <c r="AZ4581">
        <f>IF('01_Вводные'!$B$234="Да",IF(IF('01_Вводные'!$B$296="Новый сезон",TRUE,TRUE),'19_Расчет_аналитики'!AZ4469*CapacityAge14*'19_Расчет_аналитики'!$F$4259,0),0)</f>
        <v/>
      </c>
      <c r="BA4581">
        <f>IF('01_Вводные'!$B$234="Да",IF(IF('01_Вводные'!$B$296="Новый сезон",TRUE,TRUE),'19_Расчет_аналитики'!BA4469*CapacityAge14*'19_Расчет_аналитики'!$F$4259,0),0)</f>
        <v/>
      </c>
      <c r="BB4581">
        <f>IF('01_Вводные'!$B$234="Да",IF(IF('01_Вводные'!$B$296="Новый сезон",TRUE,TRUE),'19_Расчет_аналитики'!BB4469*CapacityAge14*'19_Расчет_аналитики'!$F$4259,0),0)</f>
        <v/>
      </c>
      <c r="BC4581">
        <f>IF('01_Вводные'!$B$234="Да",IF(IF('01_Вводные'!$B$296="Новый сезон",TRUE,TRUE),'19_Расчет_аналитики'!BC4469*CapacityAge14*'19_Расчет_аналитики'!$F$4259,0),0)</f>
        <v/>
      </c>
      <c r="BD4581">
        <f>IF('01_Вводные'!$B$234="Да",IF(IF('01_Вводные'!$B$296="Новый сезон",TRUE,TRUE),'19_Расчет_аналитики'!BD4469*CapacityAge14*'19_Расчет_аналитики'!$F$4259,0),0)</f>
        <v/>
      </c>
      <c r="BE4581">
        <f>IF('01_Вводные'!$B$234="Да",IF(IF('01_Вводные'!$B$296="Новый сезон",TRUE,TRUE),'19_Расчет_аналитики'!BE4469*CapacityAge14*'19_Расчет_аналитики'!$F$4259,0),0)</f>
        <v/>
      </c>
      <c r="BF4581">
        <f>IF('01_Вводные'!$B$234="Да",IF(IF('01_Вводные'!$B$296="Новый сезон",TRUE,TRUE),'19_Расчет_аналитики'!BF4469*CapacityAge14*'19_Расчет_аналитики'!$F$4259,0),0)</f>
        <v/>
      </c>
      <c r="BG4581">
        <f>IF('01_Вводные'!$B$234="Да",IF(IF('01_Вводные'!$B$296="Новый сезон",TRUE,TRUE),'19_Расчет_аналитики'!BG4469*CapacityAge14*'19_Расчет_аналитики'!$F$4259,0),0)</f>
        <v/>
      </c>
      <c r="BH4581">
        <f>IF('01_Вводные'!$B$234="Да",IF(IF('01_Вводные'!$B$296="Новый сезон",TRUE,TRUE),'19_Расчет_аналитики'!BH4469*CapacityAge14*'19_Расчет_аналитики'!$F$4259,0),0)</f>
        <v/>
      </c>
      <c r="BI4581">
        <f>IF('01_Вводные'!$B$234="Да",IF(IF('01_Вводные'!$B$296="Новый сезон",TRUE,TRUE),'19_Расчет_аналитики'!BI4469*CapacityAge14*'19_Расчет_аналитики'!$F$4259,0),0)</f>
        <v/>
      </c>
      <c r="BJ4581">
        <f>IF('01_Вводные'!$B$234="Да",IF(IF('01_Вводные'!$B$296="Новый сезон",TRUE,TRUE),'19_Расчет_аналитики'!BJ4469*CapacityAge14*'19_Расчет_аналитики'!$F$4259,0),0)</f>
        <v/>
      </c>
      <c r="BK4581">
        <f>IF('01_Вводные'!$B$234="Да",IF(IF('01_Вводные'!$B$296="Новый сезон",TRUE,TRUE),'19_Расчет_аналитики'!BK4469*CapacityAge14*'19_Расчет_аналитики'!$F$4259,0),0)</f>
        <v/>
      </c>
      <c r="BL4581">
        <f>IF('01_Вводные'!$B$234="Да",IF(IF('01_Вводные'!$B$296="Новый сезон",TRUE,TRUE),'19_Расчет_аналитики'!BL4469*CapacityAge14*'19_Расчет_аналитики'!$F$4259,0),0)</f>
        <v/>
      </c>
      <c r="BM4581">
        <f>IF('01_Вводные'!$B$234="Да",IF(IF('01_Вводные'!$B$296="Новый сезон",TRUE,TRUE),'19_Расчет_аналитики'!BM4469*CapacityAge14*'19_Расчет_аналитики'!$F$4259,0),0)</f>
        <v/>
      </c>
      <c r="BN4581">
        <f>IF('01_Вводные'!$B$234="Да",IF(IF('01_Вводные'!$B$296="Новый сезон",TRUE,TRUE),'19_Расчет_аналитики'!BN4469*CapacityAge14*'19_Расчет_аналитики'!$F$4259,0),0)</f>
        <v/>
      </c>
      <c r="BO4581">
        <f>IF('01_Вводные'!$B$234="Да",IF(IF('01_Вводные'!$B$296="Новый сезон",TRUE,TRUE),'19_Расчет_аналитики'!BO4469*CapacityAge14*'19_Расчет_аналитики'!$F$4259,0),0)</f>
        <v/>
      </c>
    </row>
    <row r="4582">
      <c r="B4582">
        <f>IF('01_Вводные'!$B$234="Да",IF(IF('01_Вводные'!$B$296="Новый сезон",TRUE,TRUE),'06_Сеть_и_дети'!B67*CapacityAge15*'19_Расчет_аналитики'!$F$4259,0),0)</f>
        <v/>
      </c>
      <c r="C4582">
        <f>IF('01_Вводные'!$B$234="Да",IF(IF('01_Вводные'!$B$296="Новый сезон",TRUE,TRUE),'06_Сеть_и_дети'!C67*CapacityAge15*'19_Расчет_аналитики'!$F$4259,0),0)</f>
        <v/>
      </c>
      <c r="D4582">
        <f>IF('01_Вводные'!$B$234="Да",IF(IF('01_Вводные'!$B$296="Новый сезон",TRUE,TRUE),'06_Сеть_и_дети'!D67*CapacityAge15*'19_Расчет_аналитики'!$F$4259,0),0)</f>
        <v/>
      </c>
      <c r="E4582">
        <f>IF('01_Вводные'!$B$234="Да",IF(IF('01_Вводные'!$B$296="Новый сезон",TRUE,TRUE),'06_Сеть_и_дети'!E67*CapacityAge15*'19_Расчет_аналитики'!$F$4259,0),0)</f>
        <v/>
      </c>
      <c r="F4582">
        <f>IF('01_Вводные'!$B$234="Да",IF(IF('01_Вводные'!$B$296="Новый сезон",TRUE,TRUE),'06_Сеть_и_дети'!F67*CapacityAge15*'19_Расчет_аналитики'!$F$4259,0),0)</f>
        <v/>
      </c>
      <c r="G4582">
        <f>IF('01_Вводные'!$B$234="Да",IF(IF('01_Вводные'!$B$296="Новый сезон",TRUE,TRUE),'06_Сеть_и_дети'!G67*CapacityAge15*'19_Расчет_аналитики'!$F$4259,0),0)</f>
        <v/>
      </c>
      <c r="H4582">
        <f>IF('01_Вводные'!$B$234="Да",IF(IF('01_Вводные'!$B$296="Новый сезон",TRUE,TRUE),'06_Сеть_и_дети'!H67*CapacityAge15*'19_Расчет_аналитики'!$F$4259,0),0)</f>
        <v/>
      </c>
      <c r="I4582">
        <f>IF('01_Вводные'!$B$234="Да",IF(IF('01_Вводные'!$B$296="Новый сезон",TRUE,TRUE),'06_Сеть_и_дети'!I67*CapacityAge15*'19_Расчет_аналитики'!$F$4259,0),0)</f>
        <v/>
      </c>
      <c r="J4582">
        <f>IF('01_Вводные'!$B$234="Да",IF(IF('01_Вводные'!$B$296="Новый сезон",TRUE,TRUE),'06_Сеть_и_дети'!J67*CapacityAge15*'19_Расчет_аналитики'!$F$4259,0),0)</f>
        <v/>
      </c>
      <c r="K4582">
        <f>IF('01_Вводные'!$B$234="Да",IF(IF('01_Вводные'!$B$296="Новый сезон",TRUE,TRUE),'06_Сеть_и_дети'!K67*CapacityAge15*'19_Расчет_аналитики'!$F$4259,0),0)</f>
        <v/>
      </c>
      <c r="L4582">
        <f>IF('01_Вводные'!$B$234="Да",IF(IF('01_Вводные'!$B$296="Новый сезон",TRUE,TRUE),'06_Сеть_и_дети'!L67*CapacityAge15*'19_Расчет_аналитики'!$F$4259,0),0)</f>
        <v/>
      </c>
      <c r="M4582">
        <f>IF('01_Вводные'!$B$234="Да",IF(IF('01_Вводные'!$B$296="Новый сезон",TRUE,TRUE),'06_Сеть_и_дети'!M67*CapacityAge15*'19_Расчет_аналитики'!$F$4259,0),0)</f>
        <v/>
      </c>
      <c r="N4582">
        <f>IF('01_Вводные'!$B$234="Да",IF(IF('01_Вводные'!$B$296="Новый сезон",TRUE,TRUE),'06_Сеть_и_дети'!N67*CapacityAge15*'19_Расчет_аналитики'!$F$4259,0),0)</f>
        <v/>
      </c>
      <c r="O4582">
        <f>IF('01_Вводные'!$B$234="Да",IF(IF('01_Вводные'!$B$296="Новый сезон",TRUE,TRUE),'06_Сеть_и_дети'!O67*CapacityAge15*'19_Расчет_аналитики'!$F$4259,0),0)</f>
        <v/>
      </c>
      <c r="P4582">
        <f>IF('01_Вводные'!$B$234="Да",IF(IF('01_Вводные'!$B$296="Новый сезон",TRUE,TRUE),'19_Расчет_аналитики'!P4470*CapacityAge15*'19_Расчет_аналитики'!$F$4259,0),0)</f>
        <v/>
      </c>
      <c r="Q4582">
        <f>IF('01_Вводные'!$B$234="Да",IF(IF('01_Вводные'!$B$296="Новый сезон",TRUE,TRUE),'19_Расчет_аналитики'!Q4470*CapacityAge15*'19_Расчет_аналитики'!$F$4259,0),0)</f>
        <v/>
      </c>
      <c r="R4582">
        <f>IF('01_Вводные'!$B$234="Да",IF(IF('01_Вводные'!$B$296="Новый сезон",TRUE,TRUE),'19_Расчет_аналитики'!R4470*CapacityAge15*'19_Расчет_аналитики'!$F$4259,0),0)</f>
        <v/>
      </c>
      <c r="S4582">
        <f>IF('01_Вводные'!$B$234="Да",IF(IF('01_Вводные'!$B$296="Новый сезон",TRUE,TRUE),'19_Расчет_аналитики'!S4470*CapacityAge15*'19_Расчет_аналитики'!$F$4259,0),0)</f>
        <v/>
      </c>
      <c r="T4582">
        <f>IF('01_Вводные'!$B$234="Да",IF(IF('01_Вводные'!$B$296="Новый сезон",TRUE,TRUE),'19_Расчет_аналитики'!T4470*CapacityAge15*'19_Расчет_аналитики'!$F$4259,0),0)</f>
        <v/>
      </c>
      <c r="U4582">
        <f>IF('01_Вводные'!$B$234="Да",IF(IF('01_Вводные'!$B$296="Новый сезон",TRUE,TRUE),'19_Расчет_аналитики'!U4470*CapacityAge15*'19_Расчет_аналитики'!$F$4259,0),0)</f>
        <v/>
      </c>
      <c r="V4582">
        <f>IF('01_Вводные'!$B$234="Да",IF(IF('01_Вводные'!$B$296="Новый сезон",TRUE,TRUE),'19_Расчет_аналитики'!V4470*CapacityAge15*'19_Расчет_аналитики'!$F$4259,0),0)</f>
        <v/>
      </c>
      <c r="W4582">
        <f>IF('01_Вводные'!$B$234="Да",IF(IF('01_Вводные'!$B$296="Новый сезон",TRUE,TRUE),'19_Расчет_аналитики'!W4470*CapacityAge15*'19_Расчет_аналитики'!$F$4259,0),0)</f>
        <v/>
      </c>
      <c r="X4582">
        <f>IF('01_Вводные'!$B$234="Да",IF(IF('01_Вводные'!$B$296="Новый сезон",TRUE,TRUE),'19_Расчет_аналитики'!X4470*CapacityAge15*'19_Расчет_аналитики'!$F$4259,0),0)</f>
        <v/>
      </c>
      <c r="Y4582">
        <f>IF('01_Вводные'!$B$234="Да",IF(IF('01_Вводные'!$B$296="Новый сезон",TRUE,TRUE),'19_Расчет_аналитики'!Y4470*CapacityAge15*'19_Расчет_аналитики'!$F$4259,0),0)</f>
        <v/>
      </c>
      <c r="Z4582">
        <f>IF('01_Вводные'!$B$234="Да",IF(IF('01_Вводные'!$B$296="Новый сезон",TRUE,TRUE),'19_Расчет_аналитики'!Z4470*CapacityAge15*'19_Расчет_аналитики'!$F$4259,0),0)</f>
        <v/>
      </c>
      <c r="AA4582">
        <f>IF('01_Вводные'!$B$234="Да",IF(IF('01_Вводные'!$B$296="Новый сезон",TRUE,TRUE),'19_Расчет_аналитики'!AA4470*CapacityAge15*'19_Расчет_аналитики'!$F$4259,0),0)</f>
        <v/>
      </c>
      <c r="AB4582">
        <f>IF('01_Вводные'!$B$234="Да",IF(IF('01_Вводные'!$B$296="Новый сезон",TRUE,TRUE),'19_Расчет_аналитики'!AB4470*CapacityAge15*'19_Расчет_аналитики'!$F$4259,0),0)</f>
        <v/>
      </c>
      <c r="AC4582">
        <f>IF('01_Вводные'!$B$234="Да",IF(IF('01_Вводные'!$B$296="Новый сезон",TRUE,TRUE),'19_Расчет_аналитики'!AC4470*CapacityAge15*'19_Расчет_аналитики'!$F$4259,0),0)</f>
        <v/>
      </c>
      <c r="AD4582">
        <f>IF('01_Вводные'!$B$234="Да",IF(IF('01_Вводные'!$B$296="Новый сезон",TRUE,TRUE),'19_Расчет_аналитики'!AD4470*CapacityAge15*'19_Расчет_аналитики'!$F$4259,0),0)</f>
        <v/>
      </c>
      <c r="AE4582">
        <f>IF('01_Вводные'!$B$234="Да",IF(IF('01_Вводные'!$B$296="Новый сезон",TRUE,TRUE),'19_Расчет_аналитики'!AE4470*CapacityAge15*'19_Расчет_аналитики'!$F$4259,0),0)</f>
        <v/>
      </c>
      <c r="AF4582">
        <f>IF('01_Вводные'!$B$234="Да",IF(IF('01_Вводные'!$B$296="Новый сезон",TRUE,TRUE),'19_Расчет_аналитики'!AF4470*CapacityAge15*'19_Расчет_аналитики'!$F$4259,0),0)</f>
        <v/>
      </c>
      <c r="AG4582">
        <f>IF('01_Вводные'!$B$234="Да",IF(IF('01_Вводные'!$B$296="Новый сезон",TRUE,TRUE),'19_Расчет_аналитики'!AG4470*CapacityAge15*'19_Расчет_аналитики'!$F$4259,0),0)</f>
        <v/>
      </c>
      <c r="AH4582">
        <f>IF('01_Вводные'!$B$234="Да",IF(IF('01_Вводные'!$B$296="Новый сезон",TRUE,TRUE),'19_Расчет_аналитики'!AH4470*CapacityAge15*'19_Расчет_аналитики'!$F$4259,0),0)</f>
        <v/>
      </c>
      <c r="AI4582">
        <f>IF('01_Вводные'!$B$234="Да",IF(IF('01_Вводные'!$B$296="Новый сезон",TRUE,TRUE),'19_Расчет_аналитики'!AI4470*CapacityAge15*'19_Расчет_аналитики'!$F$4259,0),0)</f>
        <v/>
      </c>
      <c r="AJ4582">
        <f>IF('01_Вводные'!$B$234="Да",IF(IF('01_Вводные'!$B$296="Новый сезон",TRUE,TRUE),'19_Расчет_аналитики'!AJ4470*CapacityAge15*'19_Расчет_аналитики'!$F$4259,0),0)</f>
        <v/>
      </c>
      <c r="AK4582">
        <f>IF('01_Вводные'!$B$234="Да",IF(IF('01_Вводные'!$B$296="Новый сезон",TRUE,TRUE),'19_Расчет_аналитики'!AK4470*CapacityAge15*'19_Расчет_аналитики'!$F$4259,0),0)</f>
        <v/>
      </c>
      <c r="AL4582">
        <f>IF('01_Вводные'!$B$234="Да",IF(IF('01_Вводные'!$B$296="Новый сезон",TRUE,TRUE),'19_Расчет_аналитики'!AL4470*CapacityAge15*'19_Расчет_аналитики'!$F$4259,0),0)</f>
        <v/>
      </c>
      <c r="AM4582">
        <f>IF('01_Вводные'!$B$234="Да",IF(IF('01_Вводные'!$B$296="Новый сезон",TRUE,TRUE),'19_Расчет_аналитики'!AM4470*CapacityAge15*'19_Расчет_аналитики'!$F$4259,0),0)</f>
        <v/>
      </c>
      <c r="AN4582">
        <f>IF('01_Вводные'!$B$234="Да",IF(IF('01_Вводные'!$B$296="Новый сезон",TRUE,TRUE),'19_Расчет_аналитики'!AN4470*CapacityAge15*'19_Расчет_аналитики'!$F$4259,0),0)</f>
        <v/>
      </c>
      <c r="AO4582">
        <f>IF('01_Вводные'!$B$234="Да",IF(IF('01_Вводные'!$B$296="Новый сезон",TRUE,TRUE),'19_Расчет_аналитики'!AO4470*CapacityAge15*'19_Расчет_аналитики'!$F$4259,0),0)</f>
        <v/>
      </c>
      <c r="AP4582">
        <f>IF('01_Вводные'!$B$234="Да",IF(IF('01_Вводные'!$B$296="Новый сезон",TRUE,TRUE),'19_Расчет_аналитики'!AP4470*CapacityAge15*'19_Расчет_аналитики'!$F$4259,0),0)</f>
        <v/>
      </c>
      <c r="AQ4582">
        <f>IF('01_Вводные'!$B$234="Да",IF(IF('01_Вводные'!$B$296="Новый сезон",TRUE,TRUE),'19_Расчет_аналитики'!AQ4470*CapacityAge15*'19_Расчет_аналитики'!$F$4259,0),0)</f>
        <v/>
      </c>
      <c r="AR4582">
        <f>IF('01_Вводные'!$B$234="Да",IF(IF('01_Вводные'!$B$296="Новый сезон",TRUE,TRUE),'19_Расчет_аналитики'!AR4470*CapacityAge15*'19_Расчет_аналитики'!$F$4259,0),0)</f>
        <v/>
      </c>
      <c r="AS4582">
        <f>IF('01_Вводные'!$B$234="Да",IF(IF('01_Вводные'!$B$296="Новый сезон",TRUE,TRUE),'19_Расчет_аналитики'!AS4470*CapacityAge15*'19_Расчет_аналитики'!$F$4259,0),0)</f>
        <v/>
      </c>
      <c r="AT4582">
        <f>IF('01_Вводные'!$B$234="Да",IF(IF('01_Вводные'!$B$296="Новый сезон",TRUE,TRUE),'19_Расчет_аналитики'!AT4470*CapacityAge15*'19_Расчет_аналитики'!$F$4259,0),0)</f>
        <v/>
      </c>
      <c r="AU4582">
        <f>IF('01_Вводные'!$B$234="Да",IF(IF('01_Вводные'!$B$296="Новый сезон",TRUE,TRUE),'19_Расчет_аналитики'!AU4470*CapacityAge15*'19_Расчет_аналитики'!$F$4259,0),0)</f>
        <v/>
      </c>
      <c r="AV4582">
        <f>IF('01_Вводные'!$B$234="Да",IF(IF('01_Вводные'!$B$296="Новый сезон",TRUE,TRUE),'19_Расчет_аналитики'!AV4470*CapacityAge15*'19_Расчет_аналитики'!$F$4259,0),0)</f>
        <v/>
      </c>
      <c r="AW4582">
        <f>IF('01_Вводные'!$B$234="Да",IF(IF('01_Вводные'!$B$296="Новый сезон",TRUE,TRUE),'19_Расчет_аналитики'!AW4470*CapacityAge15*'19_Расчет_аналитики'!$F$4259,0),0)</f>
        <v/>
      </c>
      <c r="AX4582">
        <f>IF('01_Вводные'!$B$234="Да",IF(IF('01_Вводные'!$B$296="Новый сезон",TRUE,TRUE),'19_Расчет_аналитики'!AX4470*CapacityAge15*'19_Расчет_аналитики'!$F$4259,0),0)</f>
        <v/>
      </c>
      <c r="AY4582">
        <f>IF('01_Вводные'!$B$234="Да",IF(IF('01_Вводные'!$B$296="Новый сезон",TRUE,TRUE),'19_Расчет_аналитики'!AY4470*CapacityAge15*'19_Расчет_аналитики'!$F$4259,0),0)</f>
        <v/>
      </c>
      <c r="AZ4582">
        <f>IF('01_Вводные'!$B$234="Да",IF(IF('01_Вводные'!$B$296="Новый сезон",TRUE,TRUE),'19_Расчет_аналитики'!AZ4470*CapacityAge15*'19_Расчет_аналитики'!$F$4259,0),0)</f>
        <v/>
      </c>
      <c r="BA4582">
        <f>IF('01_Вводные'!$B$234="Да",IF(IF('01_Вводные'!$B$296="Новый сезон",TRUE,TRUE),'19_Расчет_аналитики'!BA4470*CapacityAge15*'19_Расчет_аналитики'!$F$4259,0),0)</f>
        <v/>
      </c>
      <c r="BB4582">
        <f>IF('01_Вводные'!$B$234="Да",IF(IF('01_Вводные'!$B$296="Новый сезон",TRUE,TRUE),'19_Расчет_аналитики'!BB4470*CapacityAge15*'19_Расчет_аналитики'!$F$4259,0),0)</f>
        <v/>
      </c>
      <c r="BC4582">
        <f>IF('01_Вводные'!$B$234="Да",IF(IF('01_Вводные'!$B$296="Новый сезон",TRUE,TRUE),'19_Расчет_аналитики'!BC4470*CapacityAge15*'19_Расчет_аналитики'!$F$4259,0),0)</f>
        <v/>
      </c>
      <c r="BD4582">
        <f>IF('01_Вводные'!$B$234="Да",IF(IF('01_Вводные'!$B$296="Новый сезон",TRUE,TRUE),'19_Расчет_аналитики'!BD4470*CapacityAge15*'19_Расчет_аналитики'!$F$4259,0),0)</f>
        <v/>
      </c>
      <c r="BE4582">
        <f>IF('01_Вводные'!$B$234="Да",IF(IF('01_Вводные'!$B$296="Новый сезон",TRUE,TRUE),'19_Расчет_аналитики'!BE4470*CapacityAge15*'19_Расчет_аналитики'!$F$4259,0),0)</f>
        <v/>
      </c>
      <c r="BF4582">
        <f>IF('01_Вводные'!$B$234="Да",IF(IF('01_Вводные'!$B$296="Новый сезон",TRUE,TRUE),'19_Расчет_аналитики'!BF4470*CapacityAge15*'19_Расчет_аналитики'!$F$4259,0),0)</f>
        <v/>
      </c>
      <c r="BG4582">
        <f>IF('01_Вводные'!$B$234="Да",IF(IF('01_Вводные'!$B$296="Новый сезон",TRUE,TRUE),'19_Расчет_аналитики'!BG4470*CapacityAge15*'19_Расчет_аналитики'!$F$4259,0),0)</f>
        <v/>
      </c>
      <c r="BH4582">
        <f>IF('01_Вводные'!$B$234="Да",IF(IF('01_Вводные'!$B$296="Новый сезон",TRUE,TRUE),'19_Расчет_аналитики'!BH4470*CapacityAge15*'19_Расчет_аналитики'!$F$4259,0),0)</f>
        <v/>
      </c>
      <c r="BI4582">
        <f>IF('01_Вводные'!$B$234="Да",IF(IF('01_Вводные'!$B$296="Новый сезон",TRUE,TRUE),'19_Расчет_аналитики'!BI4470*CapacityAge15*'19_Расчет_аналитики'!$F$4259,0),0)</f>
        <v/>
      </c>
      <c r="BJ4582">
        <f>IF('01_Вводные'!$B$234="Да",IF(IF('01_Вводные'!$B$296="Новый сезон",TRUE,TRUE),'19_Расчет_аналитики'!BJ4470*CapacityAge15*'19_Расчет_аналитики'!$F$4259,0),0)</f>
        <v/>
      </c>
      <c r="BK4582">
        <f>IF('01_Вводные'!$B$234="Да",IF(IF('01_Вводные'!$B$296="Новый сезон",TRUE,TRUE),'19_Расчет_аналитики'!BK4470*CapacityAge15*'19_Расчет_аналитики'!$F$4259,0),0)</f>
        <v/>
      </c>
      <c r="BL4582">
        <f>IF('01_Вводные'!$B$234="Да",IF(IF('01_Вводные'!$B$296="Новый сезон",TRUE,TRUE),'19_Расчет_аналитики'!BL4470*CapacityAge15*'19_Расчет_аналитики'!$F$4259,0),0)</f>
        <v/>
      </c>
      <c r="BM4582">
        <f>IF('01_Вводные'!$B$234="Да",IF(IF('01_Вводные'!$B$296="Новый сезон",TRUE,TRUE),'19_Расчет_аналитики'!BM4470*CapacityAge15*'19_Расчет_аналитики'!$F$4259,0),0)</f>
        <v/>
      </c>
      <c r="BN4582">
        <f>IF('01_Вводные'!$B$234="Да",IF(IF('01_Вводные'!$B$296="Новый сезон",TRUE,TRUE),'19_Расчет_аналитики'!BN4470*CapacityAge15*'19_Расчет_аналитики'!$F$4259,0),0)</f>
        <v/>
      </c>
      <c r="BO4582">
        <f>IF('01_Вводные'!$B$234="Да",IF(IF('01_Вводные'!$B$296="Новый сезон",TRUE,TRUE),'19_Расчет_аналитики'!BO4470*CapacityAge15*'19_Расчет_аналитики'!$F$4259,0),0)</f>
        <v/>
      </c>
    </row>
    <row r="4583">
      <c r="B4583">
        <f>IF('01_Вводные'!$B$234="Да",IF(IF('01_Вводные'!$B$296="Новый сезон",TRUE,TRUE),'06_Сеть_и_дети'!B68*CapacityAge16*'19_Расчет_аналитики'!$F$4259,0),0)</f>
        <v/>
      </c>
      <c r="C4583">
        <f>IF('01_Вводные'!$B$234="Да",IF(IF('01_Вводные'!$B$296="Новый сезон",TRUE,TRUE),'06_Сеть_и_дети'!C68*CapacityAge16*'19_Расчет_аналитики'!$F$4259,0),0)</f>
        <v/>
      </c>
      <c r="D4583">
        <f>IF('01_Вводные'!$B$234="Да",IF(IF('01_Вводные'!$B$296="Новый сезон",TRUE,TRUE),'06_Сеть_и_дети'!D68*CapacityAge16*'19_Расчет_аналитики'!$F$4259,0),0)</f>
        <v/>
      </c>
      <c r="E4583">
        <f>IF('01_Вводные'!$B$234="Да",IF(IF('01_Вводные'!$B$296="Новый сезон",TRUE,TRUE),'06_Сеть_и_дети'!E68*CapacityAge16*'19_Расчет_аналитики'!$F$4259,0),0)</f>
        <v/>
      </c>
      <c r="F4583">
        <f>IF('01_Вводные'!$B$234="Да",IF(IF('01_Вводные'!$B$296="Новый сезон",TRUE,TRUE),'06_Сеть_и_дети'!F68*CapacityAge16*'19_Расчет_аналитики'!$F$4259,0),0)</f>
        <v/>
      </c>
      <c r="G4583">
        <f>IF('01_Вводные'!$B$234="Да",IF(IF('01_Вводные'!$B$296="Новый сезон",TRUE,TRUE),'06_Сеть_и_дети'!G68*CapacityAge16*'19_Расчет_аналитики'!$F$4259,0),0)</f>
        <v/>
      </c>
      <c r="H4583">
        <f>IF('01_Вводные'!$B$234="Да",IF(IF('01_Вводные'!$B$296="Новый сезон",TRUE,TRUE),'06_Сеть_и_дети'!H68*CapacityAge16*'19_Расчет_аналитики'!$F$4259,0),0)</f>
        <v/>
      </c>
      <c r="I4583">
        <f>IF('01_Вводные'!$B$234="Да",IF(IF('01_Вводные'!$B$296="Новый сезон",TRUE,TRUE),'06_Сеть_и_дети'!I68*CapacityAge16*'19_Расчет_аналитики'!$F$4259,0),0)</f>
        <v/>
      </c>
      <c r="J4583">
        <f>IF('01_Вводные'!$B$234="Да",IF(IF('01_Вводные'!$B$296="Новый сезон",TRUE,TRUE),'06_Сеть_и_дети'!J68*CapacityAge16*'19_Расчет_аналитики'!$F$4259,0),0)</f>
        <v/>
      </c>
      <c r="K4583">
        <f>IF('01_Вводные'!$B$234="Да",IF(IF('01_Вводные'!$B$296="Новый сезон",TRUE,TRUE),'06_Сеть_и_дети'!K68*CapacityAge16*'19_Расчет_аналитики'!$F$4259,0),0)</f>
        <v/>
      </c>
      <c r="L4583">
        <f>IF('01_Вводные'!$B$234="Да",IF(IF('01_Вводные'!$B$296="Новый сезон",TRUE,TRUE),'06_Сеть_и_дети'!L68*CapacityAge16*'19_Расчет_аналитики'!$F$4259,0),0)</f>
        <v/>
      </c>
      <c r="M4583">
        <f>IF('01_Вводные'!$B$234="Да",IF(IF('01_Вводные'!$B$296="Новый сезон",TRUE,TRUE),'06_Сеть_и_дети'!M68*CapacityAge16*'19_Расчет_аналитики'!$F$4259,0),0)</f>
        <v/>
      </c>
      <c r="N4583">
        <f>IF('01_Вводные'!$B$234="Да",IF(IF('01_Вводные'!$B$296="Новый сезон",TRUE,TRUE),'06_Сеть_и_дети'!N68*CapacityAge16*'19_Расчет_аналитики'!$F$4259,0),0)</f>
        <v/>
      </c>
      <c r="O4583">
        <f>IF('01_Вводные'!$B$234="Да",IF(IF('01_Вводные'!$B$296="Новый сезон",TRUE,TRUE),'06_Сеть_и_дети'!O68*CapacityAge16*'19_Расчет_аналитики'!$F$4259,0),0)</f>
        <v/>
      </c>
      <c r="P4583">
        <f>IF('01_Вводные'!$B$234="Да",IF(IF('01_Вводные'!$B$296="Новый сезон",TRUE,TRUE),'06_Сеть_и_дети'!P68*CapacityAge16*'19_Расчет_аналитики'!$F$4259,0),0)</f>
        <v/>
      </c>
      <c r="Q4583">
        <f>IF('01_Вводные'!$B$234="Да",IF(IF('01_Вводные'!$B$296="Новый сезон",TRUE,TRUE),'19_Расчет_аналитики'!Q4471*CapacityAge16*'19_Расчет_аналитики'!$F$4259,0),0)</f>
        <v/>
      </c>
      <c r="R4583">
        <f>IF('01_Вводные'!$B$234="Да",IF(IF('01_Вводные'!$B$296="Новый сезон",TRUE,TRUE),'19_Расчет_аналитики'!R4471*CapacityAge16*'19_Расчет_аналитики'!$F$4259,0),0)</f>
        <v/>
      </c>
      <c r="S4583">
        <f>IF('01_Вводные'!$B$234="Да",IF(IF('01_Вводные'!$B$296="Новый сезон",TRUE,TRUE),'19_Расчет_аналитики'!S4471*CapacityAge16*'19_Расчет_аналитики'!$F$4259,0),0)</f>
        <v/>
      </c>
      <c r="T4583">
        <f>IF('01_Вводные'!$B$234="Да",IF(IF('01_Вводные'!$B$296="Новый сезон",TRUE,TRUE),'19_Расчет_аналитики'!T4471*CapacityAge16*'19_Расчет_аналитики'!$F$4259,0),0)</f>
        <v/>
      </c>
      <c r="U4583">
        <f>IF('01_Вводные'!$B$234="Да",IF(IF('01_Вводные'!$B$296="Новый сезон",TRUE,TRUE),'19_Расчет_аналитики'!U4471*CapacityAge16*'19_Расчет_аналитики'!$F$4259,0),0)</f>
        <v/>
      </c>
      <c r="V4583">
        <f>IF('01_Вводные'!$B$234="Да",IF(IF('01_Вводные'!$B$296="Новый сезон",TRUE,TRUE),'19_Расчет_аналитики'!V4471*CapacityAge16*'19_Расчет_аналитики'!$F$4259,0),0)</f>
        <v/>
      </c>
      <c r="W4583">
        <f>IF('01_Вводные'!$B$234="Да",IF(IF('01_Вводные'!$B$296="Новый сезон",TRUE,TRUE),'19_Расчет_аналитики'!W4471*CapacityAge16*'19_Расчет_аналитики'!$F$4259,0),0)</f>
        <v/>
      </c>
      <c r="X4583">
        <f>IF('01_Вводные'!$B$234="Да",IF(IF('01_Вводные'!$B$296="Новый сезон",TRUE,TRUE),'19_Расчет_аналитики'!X4471*CapacityAge16*'19_Расчет_аналитики'!$F$4259,0),0)</f>
        <v/>
      </c>
      <c r="Y4583">
        <f>IF('01_Вводные'!$B$234="Да",IF(IF('01_Вводные'!$B$296="Новый сезон",TRUE,TRUE),'19_Расчет_аналитики'!Y4471*CapacityAge16*'19_Расчет_аналитики'!$F$4259,0),0)</f>
        <v/>
      </c>
      <c r="Z4583">
        <f>IF('01_Вводные'!$B$234="Да",IF(IF('01_Вводные'!$B$296="Новый сезон",TRUE,TRUE),'19_Расчет_аналитики'!Z4471*CapacityAge16*'19_Расчет_аналитики'!$F$4259,0),0)</f>
        <v/>
      </c>
      <c r="AA4583">
        <f>IF('01_Вводные'!$B$234="Да",IF(IF('01_Вводные'!$B$296="Новый сезон",TRUE,TRUE),'19_Расчет_аналитики'!AA4471*CapacityAge16*'19_Расчет_аналитики'!$F$4259,0),0)</f>
        <v/>
      </c>
      <c r="AB4583">
        <f>IF('01_Вводные'!$B$234="Да",IF(IF('01_Вводные'!$B$296="Новый сезон",TRUE,TRUE),'19_Расчет_аналитики'!AB4471*CapacityAge16*'19_Расчет_аналитики'!$F$4259,0),0)</f>
        <v/>
      </c>
      <c r="AC4583">
        <f>IF('01_Вводные'!$B$234="Да",IF(IF('01_Вводные'!$B$296="Новый сезон",TRUE,TRUE),'19_Расчет_аналитики'!AC4471*CapacityAge16*'19_Расчет_аналитики'!$F$4259,0),0)</f>
        <v/>
      </c>
      <c r="AD4583">
        <f>IF('01_Вводные'!$B$234="Да",IF(IF('01_Вводные'!$B$296="Новый сезон",TRUE,TRUE),'19_Расчет_аналитики'!AD4471*CapacityAge16*'19_Расчет_аналитики'!$F$4259,0),0)</f>
        <v/>
      </c>
      <c r="AE4583">
        <f>IF('01_Вводные'!$B$234="Да",IF(IF('01_Вводные'!$B$296="Новый сезон",TRUE,TRUE),'19_Расчет_аналитики'!AE4471*CapacityAge16*'19_Расчет_аналитики'!$F$4259,0),0)</f>
        <v/>
      </c>
      <c r="AF4583">
        <f>IF('01_Вводные'!$B$234="Да",IF(IF('01_Вводные'!$B$296="Новый сезон",TRUE,TRUE),'19_Расчет_аналитики'!AF4471*CapacityAge16*'19_Расчет_аналитики'!$F$4259,0),0)</f>
        <v/>
      </c>
      <c r="AG4583">
        <f>IF('01_Вводные'!$B$234="Да",IF(IF('01_Вводные'!$B$296="Новый сезон",TRUE,TRUE),'19_Расчет_аналитики'!AG4471*CapacityAge16*'19_Расчет_аналитики'!$F$4259,0),0)</f>
        <v/>
      </c>
      <c r="AH4583">
        <f>IF('01_Вводные'!$B$234="Да",IF(IF('01_Вводные'!$B$296="Новый сезон",TRUE,TRUE),'19_Расчет_аналитики'!AH4471*CapacityAge16*'19_Расчет_аналитики'!$F$4259,0),0)</f>
        <v/>
      </c>
      <c r="AI4583">
        <f>IF('01_Вводные'!$B$234="Да",IF(IF('01_Вводные'!$B$296="Новый сезон",TRUE,TRUE),'19_Расчет_аналитики'!AI4471*CapacityAge16*'19_Расчет_аналитики'!$F$4259,0),0)</f>
        <v/>
      </c>
      <c r="AJ4583">
        <f>IF('01_Вводные'!$B$234="Да",IF(IF('01_Вводные'!$B$296="Новый сезон",TRUE,TRUE),'19_Расчет_аналитики'!AJ4471*CapacityAge16*'19_Расчет_аналитики'!$F$4259,0),0)</f>
        <v/>
      </c>
      <c r="AK4583">
        <f>IF('01_Вводные'!$B$234="Да",IF(IF('01_Вводные'!$B$296="Новый сезон",TRUE,TRUE),'19_Расчет_аналитики'!AK4471*CapacityAge16*'19_Расчет_аналитики'!$F$4259,0),0)</f>
        <v/>
      </c>
      <c r="AL4583">
        <f>IF('01_Вводные'!$B$234="Да",IF(IF('01_Вводные'!$B$296="Новый сезон",TRUE,TRUE),'19_Расчет_аналитики'!AL4471*CapacityAge16*'19_Расчет_аналитики'!$F$4259,0),0)</f>
        <v/>
      </c>
      <c r="AM4583">
        <f>IF('01_Вводные'!$B$234="Да",IF(IF('01_Вводные'!$B$296="Новый сезон",TRUE,TRUE),'19_Расчет_аналитики'!AM4471*CapacityAge16*'19_Расчет_аналитики'!$F$4259,0),0)</f>
        <v/>
      </c>
      <c r="AN4583">
        <f>IF('01_Вводные'!$B$234="Да",IF(IF('01_Вводные'!$B$296="Новый сезон",TRUE,TRUE),'19_Расчет_аналитики'!AN4471*CapacityAge16*'19_Расчет_аналитики'!$F$4259,0),0)</f>
        <v/>
      </c>
      <c r="AO4583">
        <f>IF('01_Вводные'!$B$234="Да",IF(IF('01_Вводные'!$B$296="Новый сезон",TRUE,TRUE),'19_Расчет_аналитики'!AO4471*CapacityAge16*'19_Расчет_аналитики'!$F$4259,0),0)</f>
        <v/>
      </c>
      <c r="AP4583">
        <f>IF('01_Вводные'!$B$234="Да",IF(IF('01_Вводные'!$B$296="Новый сезон",TRUE,TRUE),'19_Расчет_аналитики'!AP4471*CapacityAge16*'19_Расчет_аналитики'!$F$4259,0),0)</f>
        <v/>
      </c>
      <c r="AQ4583">
        <f>IF('01_Вводные'!$B$234="Да",IF(IF('01_Вводные'!$B$296="Новый сезон",TRUE,TRUE),'19_Расчет_аналитики'!AQ4471*CapacityAge16*'19_Расчет_аналитики'!$F$4259,0),0)</f>
        <v/>
      </c>
      <c r="AR4583">
        <f>IF('01_Вводные'!$B$234="Да",IF(IF('01_Вводные'!$B$296="Новый сезон",TRUE,TRUE),'19_Расчет_аналитики'!AR4471*CapacityAge16*'19_Расчет_аналитики'!$F$4259,0),0)</f>
        <v/>
      </c>
      <c r="AS4583">
        <f>IF('01_Вводные'!$B$234="Да",IF(IF('01_Вводные'!$B$296="Новый сезон",TRUE,TRUE),'19_Расчет_аналитики'!AS4471*CapacityAge16*'19_Расчет_аналитики'!$F$4259,0),0)</f>
        <v/>
      </c>
      <c r="AT4583">
        <f>IF('01_Вводные'!$B$234="Да",IF(IF('01_Вводные'!$B$296="Новый сезон",TRUE,TRUE),'19_Расчет_аналитики'!AT4471*CapacityAge16*'19_Расчет_аналитики'!$F$4259,0),0)</f>
        <v/>
      </c>
      <c r="AU4583">
        <f>IF('01_Вводные'!$B$234="Да",IF(IF('01_Вводные'!$B$296="Новый сезон",TRUE,TRUE),'19_Расчет_аналитики'!AU4471*CapacityAge16*'19_Расчет_аналитики'!$F$4259,0),0)</f>
        <v/>
      </c>
      <c r="AV4583">
        <f>IF('01_Вводные'!$B$234="Да",IF(IF('01_Вводные'!$B$296="Новый сезон",TRUE,TRUE),'19_Расчет_аналитики'!AV4471*CapacityAge16*'19_Расчет_аналитики'!$F$4259,0),0)</f>
        <v/>
      </c>
      <c r="AW4583">
        <f>IF('01_Вводные'!$B$234="Да",IF(IF('01_Вводные'!$B$296="Новый сезон",TRUE,TRUE),'19_Расчет_аналитики'!AW4471*CapacityAge16*'19_Расчет_аналитики'!$F$4259,0),0)</f>
        <v/>
      </c>
      <c r="AX4583">
        <f>IF('01_Вводные'!$B$234="Да",IF(IF('01_Вводные'!$B$296="Новый сезон",TRUE,TRUE),'19_Расчет_аналитики'!AX4471*CapacityAge16*'19_Расчет_аналитики'!$F$4259,0),0)</f>
        <v/>
      </c>
      <c r="AY4583">
        <f>IF('01_Вводные'!$B$234="Да",IF(IF('01_Вводные'!$B$296="Новый сезон",TRUE,TRUE),'19_Расчет_аналитики'!AY4471*CapacityAge16*'19_Расчет_аналитики'!$F$4259,0),0)</f>
        <v/>
      </c>
      <c r="AZ4583">
        <f>IF('01_Вводные'!$B$234="Да",IF(IF('01_Вводные'!$B$296="Новый сезон",TRUE,TRUE),'19_Расчет_аналитики'!AZ4471*CapacityAge16*'19_Расчет_аналитики'!$F$4259,0),0)</f>
        <v/>
      </c>
      <c r="BA4583">
        <f>IF('01_Вводные'!$B$234="Да",IF(IF('01_Вводные'!$B$296="Новый сезон",TRUE,TRUE),'19_Расчет_аналитики'!BA4471*CapacityAge16*'19_Расчет_аналитики'!$F$4259,0),0)</f>
        <v/>
      </c>
      <c r="BB4583">
        <f>IF('01_Вводные'!$B$234="Да",IF(IF('01_Вводные'!$B$296="Новый сезон",TRUE,TRUE),'19_Расчет_аналитики'!BB4471*CapacityAge16*'19_Расчет_аналитики'!$F$4259,0),0)</f>
        <v/>
      </c>
      <c r="BC4583">
        <f>IF('01_Вводные'!$B$234="Да",IF(IF('01_Вводные'!$B$296="Новый сезон",TRUE,TRUE),'19_Расчет_аналитики'!BC4471*CapacityAge16*'19_Расчет_аналитики'!$F$4259,0),0)</f>
        <v/>
      </c>
      <c r="BD4583">
        <f>IF('01_Вводные'!$B$234="Да",IF(IF('01_Вводные'!$B$296="Новый сезон",TRUE,TRUE),'19_Расчет_аналитики'!BD4471*CapacityAge16*'19_Расчет_аналитики'!$F$4259,0),0)</f>
        <v/>
      </c>
      <c r="BE4583">
        <f>IF('01_Вводные'!$B$234="Да",IF(IF('01_Вводные'!$B$296="Новый сезон",TRUE,TRUE),'19_Расчет_аналитики'!BE4471*CapacityAge16*'19_Расчет_аналитики'!$F$4259,0),0)</f>
        <v/>
      </c>
      <c r="BF4583">
        <f>IF('01_Вводные'!$B$234="Да",IF(IF('01_Вводные'!$B$296="Новый сезон",TRUE,TRUE),'19_Расчет_аналитики'!BF4471*CapacityAge16*'19_Расчет_аналитики'!$F$4259,0),0)</f>
        <v/>
      </c>
      <c r="BG4583">
        <f>IF('01_Вводные'!$B$234="Да",IF(IF('01_Вводные'!$B$296="Новый сезон",TRUE,TRUE),'19_Расчет_аналитики'!BG4471*CapacityAge16*'19_Расчет_аналитики'!$F$4259,0),0)</f>
        <v/>
      </c>
      <c r="BH4583">
        <f>IF('01_Вводные'!$B$234="Да",IF(IF('01_Вводные'!$B$296="Новый сезон",TRUE,TRUE),'19_Расчет_аналитики'!BH4471*CapacityAge16*'19_Расчет_аналитики'!$F$4259,0),0)</f>
        <v/>
      </c>
      <c r="BI4583">
        <f>IF('01_Вводные'!$B$234="Да",IF(IF('01_Вводные'!$B$296="Новый сезон",TRUE,TRUE),'19_Расчет_аналитики'!BI4471*CapacityAge16*'19_Расчет_аналитики'!$F$4259,0),0)</f>
        <v/>
      </c>
      <c r="BJ4583">
        <f>IF('01_Вводные'!$B$234="Да",IF(IF('01_Вводные'!$B$296="Новый сезон",TRUE,TRUE),'19_Расчет_аналитики'!BJ4471*CapacityAge16*'19_Расчет_аналитики'!$F$4259,0),0)</f>
        <v/>
      </c>
      <c r="BK4583">
        <f>IF('01_Вводные'!$B$234="Да",IF(IF('01_Вводные'!$B$296="Новый сезон",TRUE,TRUE),'19_Расчет_аналитики'!BK4471*CapacityAge16*'19_Расчет_аналитики'!$F$4259,0),0)</f>
        <v/>
      </c>
      <c r="BL4583">
        <f>IF('01_Вводные'!$B$234="Да",IF(IF('01_Вводные'!$B$296="Новый сезон",TRUE,TRUE),'19_Расчет_аналитики'!BL4471*CapacityAge16*'19_Расчет_аналитики'!$F$4259,0),0)</f>
        <v/>
      </c>
      <c r="BM4583">
        <f>IF('01_Вводные'!$B$234="Да",IF(IF('01_Вводные'!$B$296="Новый сезон",TRUE,TRUE),'19_Расчет_аналитики'!BM4471*CapacityAge16*'19_Расчет_аналитики'!$F$4259,0),0)</f>
        <v/>
      </c>
      <c r="BN4583">
        <f>IF('01_Вводные'!$B$234="Да",IF(IF('01_Вводные'!$B$296="Новый сезон",TRUE,TRUE),'19_Расчет_аналитики'!BN4471*CapacityAge16*'19_Расчет_аналитики'!$F$4259,0),0)</f>
        <v/>
      </c>
      <c r="BO4583">
        <f>IF('01_Вводные'!$B$234="Да",IF(IF('01_Вводные'!$B$296="Новый сезон",TRUE,TRUE),'19_Расчет_аналитики'!BO4471*CapacityAge16*'19_Расчет_аналитики'!$F$4259,0),0)</f>
        <v/>
      </c>
    </row>
    <row r="4584">
      <c r="B4584">
        <f>IF('01_Вводные'!$B$234="Да",IF(IF('01_Вводные'!$B$296="Новый сезон",TRUE,TRUE),'06_Сеть_и_дети'!B69*CapacityAge17*'19_Расчет_аналитики'!$F$4259,0),0)</f>
        <v/>
      </c>
      <c r="C4584">
        <f>IF('01_Вводные'!$B$234="Да",IF(IF('01_Вводные'!$B$296="Новый сезон",TRUE,TRUE),'06_Сеть_и_дети'!C69*CapacityAge17*'19_Расчет_аналитики'!$F$4259,0),0)</f>
        <v/>
      </c>
      <c r="D4584">
        <f>IF('01_Вводные'!$B$234="Да",IF(IF('01_Вводные'!$B$296="Новый сезон",TRUE,TRUE),'06_Сеть_и_дети'!D69*CapacityAge17*'19_Расчет_аналитики'!$F$4259,0),0)</f>
        <v/>
      </c>
      <c r="E4584">
        <f>IF('01_Вводные'!$B$234="Да",IF(IF('01_Вводные'!$B$296="Новый сезон",TRUE,TRUE),'06_Сеть_и_дети'!E69*CapacityAge17*'19_Расчет_аналитики'!$F$4259,0),0)</f>
        <v/>
      </c>
      <c r="F4584">
        <f>IF('01_Вводные'!$B$234="Да",IF(IF('01_Вводные'!$B$296="Новый сезон",TRUE,TRUE),'06_Сеть_и_дети'!F69*CapacityAge17*'19_Расчет_аналитики'!$F$4259,0),0)</f>
        <v/>
      </c>
      <c r="G4584">
        <f>IF('01_Вводные'!$B$234="Да",IF(IF('01_Вводные'!$B$296="Новый сезон",TRUE,TRUE),'06_Сеть_и_дети'!G69*CapacityAge17*'19_Расчет_аналитики'!$F$4259,0),0)</f>
        <v/>
      </c>
      <c r="H4584">
        <f>IF('01_Вводные'!$B$234="Да",IF(IF('01_Вводные'!$B$296="Новый сезон",TRUE,TRUE),'06_Сеть_и_дети'!H69*CapacityAge17*'19_Расчет_аналитики'!$F$4259,0),0)</f>
        <v/>
      </c>
      <c r="I4584">
        <f>IF('01_Вводные'!$B$234="Да",IF(IF('01_Вводные'!$B$296="Новый сезон",TRUE,TRUE),'06_Сеть_и_дети'!I69*CapacityAge17*'19_Расчет_аналитики'!$F$4259,0),0)</f>
        <v/>
      </c>
      <c r="J4584">
        <f>IF('01_Вводные'!$B$234="Да",IF(IF('01_Вводные'!$B$296="Новый сезон",TRUE,TRUE),'06_Сеть_и_дети'!J69*CapacityAge17*'19_Расчет_аналитики'!$F$4259,0),0)</f>
        <v/>
      </c>
      <c r="K4584">
        <f>IF('01_Вводные'!$B$234="Да",IF(IF('01_Вводные'!$B$296="Новый сезон",TRUE,TRUE),'06_Сеть_и_дети'!K69*CapacityAge17*'19_Расчет_аналитики'!$F$4259,0),0)</f>
        <v/>
      </c>
      <c r="L4584">
        <f>IF('01_Вводные'!$B$234="Да",IF(IF('01_Вводные'!$B$296="Новый сезон",TRUE,TRUE),'06_Сеть_и_дети'!L69*CapacityAge17*'19_Расчет_аналитики'!$F$4259,0),0)</f>
        <v/>
      </c>
      <c r="M4584">
        <f>IF('01_Вводные'!$B$234="Да",IF(IF('01_Вводные'!$B$296="Новый сезон",TRUE,TRUE),'06_Сеть_и_дети'!M69*CapacityAge17*'19_Расчет_аналитики'!$F$4259,0),0)</f>
        <v/>
      </c>
      <c r="N4584">
        <f>IF('01_Вводные'!$B$234="Да",IF(IF('01_Вводные'!$B$296="Новый сезон",TRUE,TRUE),'06_Сеть_и_дети'!N69*CapacityAge17*'19_Расчет_аналитики'!$F$4259,0),0)</f>
        <v/>
      </c>
      <c r="O4584">
        <f>IF('01_Вводные'!$B$234="Да",IF(IF('01_Вводные'!$B$296="Новый сезон",TRUE,TRUE),'06_Сеть_и_дети'!O69*CapacityAge17*'19_Расчет_аналитики'!$F$4259,0),0)</f>
        <v/>
      </c>
      <c r="P4584">
        <f>IF('01_Вводные'!$B$234="Да",IF(IF('01_Вводные'!$B$296="Новый сезон",TRUE,TRUE),'06_Сеть_и_дети'!P69*CapacityAge17*'19_Расчет_аналитики'!$F$4259,0),0)</f>
        <v/>
      </c>
      <c r="Q4584">
        <f>IF('01_Вводные'!$B$234="Да",IF(IF('01_Вводные'!$B$296="Новый сезон",TRUE,TRUE),'06_Сеть_и_дети'!Q69*CapacityAge17*'19_Расчет_аналитики'!$F$4259,0),0)</f>
        <v/>
      </c>
      <c r="R4584">
        <f>IF('01_Вводные'!$B$234="Да",IF(IF('01_Вводные'!$B$296="Новый сезон",TRUE,TRUE),'19_Расчет_аналитики'!R4472*CapacityAge17*'19_Расчет_аналитики'!$F$4259,0),0)</f>
        <v/>
      </c>
      <c r="S4584">
        <f>IF('01_Вводные'!$B$234="Да",IF(IF('01_Вводные'!$B$296="Новый сезон",TRUE,TRUE),'19_Расчет_аналитики'!S4472*CapacityAge17*'19_Расчет_аналитики'!$F$4259,0),0)</f>
        <v/>
      </c>
      <c r="T4584">
        <f>IF('01_Вводные'!$B$234="Да",IF(IF('01_Вводные'!$B$296="Новый сезон",TRUE,TRUE),'19_Расчет_аналитики'!T4472*CapacityAge17*'19_Расчет_аналитики'!$F$4259,0),0)</f>
        <v/>
      </c>
      <c r="U4584">
        <f>IF('01_Вводные'!$B$234="Да",IF(IF('01_Вводные'!$B$296="Новый сезон",TRUE,TRUE),'19_Расчет_аналитики'!U4472*CapacityAge17*'19_Расчет_аналитики'!$F$4259,0),0)</f>
        <v/>
      </c>
      <c r="V4584">
        <f>IF('01_Вводные'!$B$234="Да",IF(IF('01_Вводные'!$B$296="Новый сезон",TRUE,TRUE),'19_Расчет_аналитики'!V4472*CapacityAge17*'19_Расчет_аналитики'!$F$4259,0),0)</f>
        <v/>
      </c>
      <c r="W4584">
        <f>IF('01_Вводные'!$B$234="Да",IF(IF('01_Вводные'!$B$296="Новый сезон",TRUE,TRUE),'19_Расчет_аналитики'!W4472*CapacityAge17*'19_Расчет_аналитики'!$F$4259,0),0)</f>
        <v/>
      </c>
      <c r="X4584">
        <f>IF('01_Вводные'!$B$234="Да",IF(IF('01_Вводные'!$B$296="Новый сезон",TRUE,TRUE),'19_Расчет_аналитики'!X4472*CapacityAge17*'19_Расчет_аналитики'!$F$4259,0),0)</f>
        <v/>
      </c>
      <c r="Y4584">
        <f>IF('01_Вводные'!$B$234="Да",IF(IF('01_Вводные'!$B$296="Новый сезон",TRUE,TRUE),'19_Расчет_аналитики'!Y4472*CapacityAge17*'19_Расчет_аналитики'!$F$4259,0),0)</f>
        <v/>
      </c>
      <c r="Z4584">
        <f>IF('01_Вводные'!$B$234="Да",IF(IF('01_Вводные'!$B$296="Новый сезон",TRUE,TRUE),'19_Расчет_аналитики'!Z4472*CapacityAge17*'19_Расчет_аналитики'!$F$4259,0),0)</f>
        <v/>
      </c>
      <c r="AA4584">
        <f>IF('01_Вводные'!$B$234="Да",IF(IF('01_Вводные'!$B$296="Новый сезон",TRUE,TRUE),'19_Расчет_аналитики'!AA4472*CapacityAge17*'19_Расчет_аналитики'!$F$4259,0),0)</f>
        <v/>
      </c>
      <c r="AB4584">
        <f>IF('01_Вводные'!$B$234="Да",IF(IF('01_Вводные'!$B$296="Новый сезон",TRUE,TRUE),'19_Расчет_аналитики'!AB4472*CapacityAge17*'19_Расчет_аналитики'!$F$4259,0),0)</f>
        <v/>
      </c>
      <c r="AC4584">
        <f>IF('01_Вводные'!$B$234="Да",IF(IF('01_Вводные'!$B$296="Новый сезон",TRUE,TRUE),'19_Расчет_аналитики'!AC4472*CapacityAge17*'19_Расчет_аналитики'!$F$4259,0),0)</f>
        <v/>
      </c>
      <c r="AD4584">
        <f>IF('01_Вводные'!$B$234="Да",IF(IF('01_Вводные'!$B$296="Новый сезон",TRUE,TRUE),'19_Расчет_аналитики'!AD4472*CapacityAge17*'19_Расчет_аналитики'!$F$4259,0),0)</f>
        <v/>
      </c>
      <c r="AE4584">
        <f>IF('01_Вводные'!$B$234="Да",IF(IF('01_Вводные'!$B$296="Новый сезон",TRUE,TRUE),'19_Расчет_аналитики'!AE4472*CapacityAge17*'19_Расчет_аналитики'!$F$4259,0),0)</f>
        <v/>
      </c>
      <c r="AF4584">
        <f>IF('01_Вводные'!$B$234="Да",IF(IF('01_Вводные'!$B$296="Новый сезон",TRUE,TRUE),'19_Расчет_аналитики'!AF4472*CapacityAge17*'19_Расчет_аналитики'!$F$4259,0),0)</f>
        <v/>
      </c>
      <c r="AG4584">
        <f>IF('01_Вводные'!$B$234="Да",IF(IF('01_Вводные'!$B$296="Новый сезон",TRUE,TRUE),'19_Расчет_аналитики'!AG4472*CapacityAge17*'19_Расчет_аналитики'!$F$4259,0),0)</f>
        <v/>
      </c>
      <c r="AH4584">
        <f>IF('01_Вводные'!$B$234="Да",IF(IF('01_Вводные'!$B$296="Новый сезон",TRUE,TRUE),'19_Расчет_аналитики'!AH4472*CapacityAge17*'19_Расчет_аналитики'!$F$4259,0),0)</f>
        <v/>
      </c>
      <c r="AI4584">
        <f>IF('01_Вводные'!$B$234="Да",IF(IF('01_Вводные'!$B$296="Новый сезон",TRUE,TRUE),'19_Расчет_аналитики'!AI4472*CapacityAge17*'19_Расчет_аналитики'!$F$4259,0),0)</f>
        <v/>
      </c>
      <c r="AJ4584">
        <f>IF('01_Вводные'!$B$234="Да",IF(IF('01_Вводные'!$B$296="Новый сезон",TRUE,TRUE),'19_Расчет_аналитики'!AJ4472*CapacityAge17*'19_Расчет_аналитики'!$F$4259,0),0)</f>
        <v/>
      </c>
      <c r="AK4584">
        <f>IF('01_Вводные'!$B$234="Да",IF(IF('01_Вводные'!$B$296="Новый сезон",TRUE,TRUE),'19_Расчет_аналитики'!AK4472*CapacityAge17*'19_Расчет_аналитики'!$F$4259,0),0)</f>
        <v/>
      </c>
      <c r="AL4584">
        <f>IF('01_Вводные'!$B$234="Да",IF(IF('01_Вводные'!$B$296="Новый сезон",TRUE,TRUE),'19_Расчет_аналитики'!AL4472*CapacityAge17*'19_Расчет_аналитики'!$F$4259,0),0)</f>
        <v/>
      </c>
      <c r="AM4584">
        <f>IF('01_Вводные'!$B$234="Да",IF(IF('01_Вводные'!$B$296="Новый сезон",TRUE,TRUE),'19_Расчет_аналитики'!AM4472*CapacityAge17*'19_Расчет_аналитики'!$F$4259,0),0)</f>
        <v/>
      </c>
      <c r="AN4584">
        <f>IF('01_Вводные'!$B$234="Да",IF(IF('01_Вводные'!$B$296="Новый сезон",TRUE,TRUE),'19_Расчет_аналитики'!AN4472*CapacityAge17*'19_Расчет_аналитики'!$F$4259,0),0)</f>
        <v/>
      </c>
      <c r="AO4584">
        <f>IF('01_Вводные'!$B$234="Да",IF(IF('01_Вводные'!$B$296="Новый сезон",TRUE,TRUE),'19_Расчет_аналитики'!AO4472*CapacityAge17*'19_Расчет_аналитики'!$F$4259,0),0)</f>
        <v/>
      </c>
      <c r="AP4584">
        <f>IF('01_Вводные'!$B$234="Да",IF(IF('01_Вводные'!$B$296="Новый сезон",TRUE,TRUE),'19_Расчет_аналитики'!AP4472*CapacityAge17*'19_Расчет_аналитики'!$F$4259,0),0)</f>
        <v/>
      </c>
      <c r="AQ4584">
        <f>IF('01_Вводные'!$B$234="Да",IF(IF('01_Вводные'!$B$296="Новый сезон",TRUE,TRUE),'19_Расчет_аналитики'!AQ4472*CapacityAge17*'19_Расчет_аналитики'!$F$4259,0),0)</f>
        <v/>
      </c>
      <c r="AR4584">
        <f>IF('01_Вводные'!$B$234="Да",IF(IF('01_Вводные'!$B$296="Новый сезон",TRUE,TRUE),'19_Расчет_аналитики'!AR4472*CapacityAge17*'19_Расчет_аналитики'!$F$4259,0),0)</f>
        <v/>
      </c>
      <c r="AS4584">
        <f>IF('01_Вводные'!$B$234="Да",IF(IF('01_Вводные'!$B$296="Новый сезон",TRUE,TRUE),'19_Расчет_аналитики'!AS4472*CapacityAge17*'19_Расчет_аналитики'!$F$4259,0),0)</f>
        <v/>
      </c>
      <c r="AT4584">
        <f>IF('01_Вводные'!$B$234="Да",IF(IF('01_Вводные'!$B$296="Новый сезон",TRUE,TRUE),'19_Расчет_аналитики'!AT4472*CapacityAge17*'19_Расчет_аналитики'!$F$4259,0),0)</f>
        <v/>
      </c>
      <c r="AU4584">
        <f>IF('01_Вводные'!$B$234="Да",IF(IF('01_Вводные'!$B$296="Новый сезон",TRUE,TRUE),'19_Расчет_аналитики'!AU4472*CapacityAge17*'19_Расчет_аналитики'!$F$4259,0),0)</f>
        <v/>
      </c>
      <c r="AV4584">
        <f>IF('01_Вводные'!$B$234="Да",IF(IF('01_Вводные'!$B$296="Новый сезон",TRUE,TRUE),'19_Расчет_аналитики'!AV4472*CapacityAge17*'19_Расчет_аналитики'!$F$4259,0),0)</f>
        <v/>
      </c>
      <c r="AW4584">
        <f>IF('01_Вводные'!$B$234="Да",IF(IF('01_Вводные'!$B$296="Новый сезон",TRUE,TRUE),'19_Расчет_аналитики'!AW4472*CapacityAge17*'19_Расчет_аналитики'!$F$4259,0),0)</f>
        <v/>
      </c>
      <c r="AX4584">
        <f>IF('01_Вводные'!$B$234="Да",IF(IF('01_Вводные'!$B$296="Новый сезон",TRUE,TRUE),'19_Расчет_аналитики'!AX4472*CapacityAge17*'19_Расчет_аналитики'!$F$4259,0),0)</f>
        <v/>
      </c>
      <c r="AY4584">
        <f>IF('01_Вводные'!$B$234="Да",IF(IF('01_Вводные'!$B$296="Новый сезон",TRUE,TRUE),'19_Расчет_аналитики'!AY4472*CapacityAge17*'19_Расчет_аналитики'!$F$4259,0),0)</f>
        <v/>
      </c>
      <c r="AZ4584">
        <f>IF('01_Вводные'!$B$234="Да",IF(IF('01_Вводные'!$B$296="Новый сезон",TRUE,TRUE),'19_Расчет_аналитики'!AZ4472*CapacityAge17*'19_Расчет_аналитики'!$F$4259,0),0)</f>
        <v/>
      </c>
      <c r="BA4584">
        <f>IF('01_Вводные'!$B$234="Да",IF(IF('01_Вводные'!$B$296="Новый сезон",TRUE,TRUE),'19_Расчет_аналитики'!BA4472*CapacityAge17*'19_Расчет_аналитики'!$F$4259,0),0)</f>
        <v/>
      </c>
      <c r="BB4584">
        <f>IF('01_Вводные'!$B$234="Да",IF(IF('01_Вводные'!$B$296="Новый сезон",TRUE,TRUE),'19_Расчет_аналитики'!BB4472*CapacityAge17*'19_Расчет_аналитики'!$F$4259,0),0)</f>
        <v/>
      </c>
      <c r="BC4584">
        <f>IF('01_Вводные'!$B$234="Да",IF(IF('01_Вводные'!$B$296="Новый сезон",TRUE,TRUE),'19_Расчет_аналитики'!BC4472*CapacityAge17*'19_Расчет_аналитики'!$F$4259,0),0)</f>
        <v/>
      </c>
      <c r="BD4584">
        <f>IF('01_Вводные'!$B$234="Да",IF(IF('01_Вводные'!$B$296="Новый сезон",TRUE,TRUE),'19_Расчет_аналитики'!BD4472*CapacityAge17*'19_Расчет_аналитики'!$F$4259,0),0)</f>
        <v/>
      </c>
      <c r="BE4584">
        <f>IF('01_Вводные'!$B$234="Да",IF(IF('01_Вводные'!$B$296="Новый сезон",TRUE,TRUE),'19_Расчет_аналитики'!BE4472*CapacityAge17*'19_Расчет_аналитики'!$F$4259,0),0)</f>
        <v/>
      </c>
      <c r="BF4584">
        <f>IF('01_Вводные'!$B$234="Да",IF(IF('01_Вводные'!$B$296="Новый сезон",TRUE,TRUE),'19_Расчет_аналитики'!BF4472*CapacityAge17*'19_Расчет_аналитики'!$F$4259,0),0)</f>
        <v/>
      </c>
      <c r="BG4584">
        <f>IF('01_Вводные'!$B$234="Да",IF(IF('01_Вводные'!$B$296="Новый сезон",TRUE,TRUE),'19_Расчет_аналитики'!BG4472*CapacityAge17*'19_Расчет_аналитики'!$F$4259,0),0)</f>
        <v/>
      </c>
      <c r="BH4584">
        <f>IF('01_Вводные'!$B$234="Да",IF(IF('01_Вводные'!$B$296="Новый сезон",TRUE,TRUE),'19_Расчет_аналитики'!BH4472*CapacityAge17*'19_Расчет_аналитики'!$F$4259,0),0)</f>
        <v/>
      </c>
      <c r="BI4584">
        <f>IF('01_Вводные'!$B$234="Да",IF(IF('01_Вводные'!$B$296="Новый сезон",TRUE,TRUE),'19_Расчет_аналитики'!BI4472*CapacityAge17*'19_Расчет_аналитики'!$F$4259,0),0)</f>
        <v/>
      </c>
      <c r="BJ4584">
        <f>IF('01_Вводные'!$B$234="Да",IF(IF('01_Вводные'!$B$296="Новый сезон",TRUE,TRUE),'19_Расчет_аналитики'!BJ4472*CapacityAge17*'19_Расчет_аналитики'!$F$4259,0),0)</f>
        <v/>
      </c>
      <c r="BK4584">
        <f>IF('01_Вводные'!$B$234="Да",IF(IF('01_Вводные'!$B$296="Новый сезон",TRUE,TRUE),'19_Расчет_аналитики'!BK4472*CapacityAge17*'19_Расчет_аналитики'!$F$4259,0),0)</f>
        <v/>
      </c>
      <c r="BL4584">
        <f>IF('01_Вводные'!$B$234="Да",IF(IF('01_Вводные'!$B$296="Новый сезон",TRUE,TRUE),'19_Расчет_аналитики'!BL4472*CapacityAge17*'19_Расчет_аналитики'!$F$4259,0),0)</f>
        <v/>
      </c>
      <c r="BM4584">
        <f>IF('01_Вводные'!$B$234="Да",IF(IF('01_Вводные'!$B$296="Новый сезон",TRUE,TRUE),'19_Расчет_аналитики'!BM4472*CapacityAge17*'19_Расчет_аналитики'!$F$4259,0),0)</f>
        <v/>
      </c>
      <c r="BN4584">
        <f>IF('01_Вводные'!$B$234="Да",IF(IF('01_Вводные'!$B$296="Новый сезон",TRUE,TRUE),'19_Расчет_аналитики'!BN4472*CapacityAge17*'19_Расчет_аналитики'!$F$4259,0),0)</f>
        <v/>
      </c>
      <c r="BO4584">
        <f>IF('01_Вводные'!$B$234="Да",IF(IF('01_Вводные'!$B$296="Новый сезон",TRUE,TRUE),'19_Расчет_аналитики'!BO4472*CapacityAge17*'19_Расчет_аналитики'!$F$4259,0),0)</f>
        <v/>
      </c>
    </row>
    <row r="4585">
      <c r="B4585">
        <f>IF('01_Вводные'!$B$234="Да",IF(IF('01_Вводные'!$B$296="Новый сезон",TRUE,TRUE),'06_Сеть_и_дети'!B70*CapacityAge18*'19_Расчет_аналитики'!$F$4259,0),0)</f>
        <v/>
      </c>
      <c r="C4585">
        <f>IF('01_Вводные'!$B$234="Да",IF(IF('01_Вводные'!$B$296="Новый сезон",TRUE,TRUE),'06_Сеть_и_дети'!C70*CapacityAge18*'19_Расчет_аналитики'!$F$4259,0),0)</f>
        <v/>
      </c>
      <c r="D4585">
        <f>IF('01_Вводные'!$B$234="Да",IF(IF('01_Вводные'!$B$296="Новый сезон",TRUE,TRUE),'06_Сеть_и_дети'!D70*CapacityAge18*'19_Расчет_аналитики'!$F$4259,0),0)</f>
        <v/>
      </c>
      <c r="E4585">
        <f>IF('01_Вводные'!$B$234="Да",IF(IF('01_Вводные'!$B$296="Новый сезон",TRUE,TRUE),'06_Сеть_и_дети'!E70*CapacityAge18*'19_Расчет_аналитики'!$F$4259,0),0)</f>
        <v/>
      </c>
      <c r="F4585">
        <f>IF('01_Вводные'!$B$234="Да",IF(IF('01_Вводные'!$B$296="Новый сезон",TRUE,TRUE),'06_Сеть_и_дети'!F70*CapacityAge18*'19_Расчет_аналитики'!$F$4259,0),0)</f>
        <v/>
      </c>
      <c r="G4585">
        <f>IF('01_Вводные'!$B$234="Да",IF(IF('01_Вводные'!$B$296="Новый сезон",TRUE,TRUE),'06_Сеть_и_дети'!G70*CapacityAge18*'19_Расчет_аналитики'!$F$4259,0),0)</f>
        <v/>
      </c>
      <c r="H4585">
        <f>IF('01_Вводные'!$B$234="Да",IF(IF('01_Вводные'!$B$296="Новый сезон",TRUE,TRUE),'06_Сеть_и_дети'!H70*CapacityAge18*'19_Расчет_аналитики'!$F$4259,0),0)</f>
        <v/>
      </c>
      <c r="I4585">
        <f>IF('01_Вводные'!$B$234="Да",IF(IF('01_Вводные'!$B$296="Новый сезон",TRUE,TRUE),'06_Сеть_и_дети'!I70*CapacityAge18*'19_Расчет_аналитики'!$F$4259,0),0)</f>
        <v/>
      </c>
      <c r="J4585">
        <f>IF('01_Вводные'!$B$234="Да",IF(IF('01_Вводные'!$B$296="Новый сезон",TRUE,TRUE),'06_Сеть_и_дети'!J70*CapacityAge18*'19_Расчет_аналитики'!$F$4259,0),0)</f>
        <v/>
      </c>
      <c r="K4585">
        <f>IF('01_Вводные'!$B$234="Да",IF(IF('01_Вводные'!$B$296="Новый сезон",TRUE,TRUE),'06_Сеть_и_дети'!K70*CapacityAge18*'19_Расчет_аналитики'!$F$4259,0),0)</f>
        <v/>
      </c>
      <c r="L4585">
        <f>IF('01_Вводные'!$B$234="Да",IF(IF('01_Вводные'!$B$296="Новый сезон",TRUE,TRUE),'06_Сеть_и_дети'!L70*CapacityAge18*'19_Расчет_аналитики'!$F$4259,0),0)</f>
        <v/>
      </c>
      <c r="M4585">
        <f>IF('01_Вводные'!$B$234="Да",IF(IF('01_Вводные'!$B$296="Новый сезон",TRUE,TRUE),'06_Сеть_и_дети'!M70*CapacityAge18*'19_Расчет_аналитики'!$F$4259,0),0)</f>
        <v/>
      </c>
      <c r="N4585">
        <f>IF('01_Вводные'!$B$234="Да",IF(IF('01_Вводные'!$B$296="Новый сезон",TRUE,TRUE),'06_Сеть_и_дети'!N70*CapacityAge18*'19_Расчет_аналитики'!$F$4259,0),0)</f>
        <v/>
      </c>
      <c r="O4585">
        <f>IF('01_Вводные'!$B$234="Да",IF(IF('01_Вводные'!$B$296="Новый сезон",TRUE,TRUE),'06_Сеть_и_дети'!O70*CapacityAge18*'19_Расчет_аналитики'!$F$4259,0),0)</f>
        <v/>
      </c>
      <c r="P4585">
        <f>IF('01_Вводные'!$B$234="Да",IF(IF('01_Вводные'!$B$296="Новый сезон",TRUE,TRUE),'06_Сеть_и_дети'!P70*CapacityAge18*'19_Расчет_аналитики'!$F$4259,0),0)</f>
        <v/>
      </c>
      <c r="Q4585">
        <f>IF('01_Вводные'!$B$234="Да",IF(IF('01_Вводные'!$B$296="Новый сезон",TRUE,TRUE),'06_Сеть_и_дети'!Q70*CapacityAge18*'19_Расчет_аналитики'!$F$4259,0),0)</f>
        <v/>
      </c>
      <c r="R4585">
        <f>IF('01_Вводные'!$B$234="Да",IF(IF('01_Вводные'!$B$296="Новый сезон",TRUE,TRUE),'06_Сеть_и_дети'!R70*CapacityAge18*'19_Расчет_аналитики'!$F$4259,0),0)</f>
        <v/>
      </c>
      <c r="S4585">
        <f>IF('01_Вводные'!$B$234="Да",IF(IF('01_Вводные'!$B$296="Новый сезон",TRUE,TRUE),'19_Расчет_аналитики'!S4473*CapacityAge18*'19_Расчет_аналитики'!$F$4259,0),0)</f>
        <v/>
      </c>
      <c r="T4585">
        <f>IF('01_Вводные'!$B$234="Да",IF(IF('01_Вводные'!$B$296="Новый сезон",TRUE,TRUE),'19_Расчет_аналитики'!T4473*CapacityAge18*'19_Расчет_аналитики'!$F$4259,0),0)</f>
        <v/>
      </c>
      <c r="U4585">
        <f>IF('01_Вводные'!$B$234="Да",IF(IF('01_Вводные'!$B$296="Новый сезон",TRUE,TRUE),'19_Расчет_аналитики'!U4473*CapacityAge18*'19_Расчет_аналитики'!$F$4259,0),0)</f>
        <v/>
      </c>
      <c r="V4585">
        <f>IF('01_Вводные'!$B$234="Да",IF(IF('01_Вводные'!$B$296="Новый сезон",TRUE,TRUE),'19_Расчет_аналитики'!V4473*CapacityAge18*'19_Расчет_аналитики'!$F$4259,0),0)</f>
        <v/>
      </c>
      <c r="W4585">
        <f>IF('01_Вводные'!$B$234="Да",IF(IF('01_Вводные'!$B$296="Новый сезон",TRUE,TRUE),'19_Расчет_аналитики'!W4473*CapacityAge18*'19_Расчет_аналитики'!$F$4259,0),0)</f>
        <v/>
      </c>
      <c r="X4585">
        <f>IF('01_Вводные'!$B$234="Да",IF(IF('01_Вводные'!$B$296="Новый сезон",TRUE,TRUE),'19_Расчет_аналитики'!X4473*CapacityAge18*'19_Расчет_аналитики'!$F$4259,0),0)</f>
        <v/>
      </c>
      <c r="Y4585">
        <f>IF('01_Вводные'!$B$234="Да",IF(IF('01_Вводные'!$B$296="Новый сезон",TRUE,TRUE),'19_Расчет_аналитики'!Y4473*CapacityAge18*'19_Расчет_аналитики'!$F$4259,0),0)</f>
        <v/>
      </c>
      <c r="Z4585">
        <f>IF('01_Вводные'!$B$234="Да",IF(IF('01_Вводные'!$B$296="Новый сезон",TRUE,TRUE),'19_Расчет_аналитики'!Z4473*CapacityAge18*'19_Расчет_аналитики'!$F$4259,0),0)</f>
        <v/>
      </c>
      <c r="AA4585">
        <f>IF('01_Вводные'!$B$234="Да",IF(IF('01_Вводные'!$B$296="Новый сезон",TRUE,TRUE),'19_Расчет_аналитики'!AA4473*CapacityAge18*'19_Расчет_аналитики'!$F$4259,0),0)</f>
        <v/>
      </c>
      <c r="AB4585">
        <f>IF('01_Вводные'!$B$234="Да",IF(IF('01_Вводные'!$B$296="Новый сезон",TRUE,TRUE),'19_Расчет_аналитики'!AB4473*CapacityAge18*'19_Расчет_аналитики'!$F$4259,0),0)</f>
        <v/>
      </c>
      <c r="AC4585">
        <f>IF('01_Вводные'!$B$234="Да",IF(IF('01_Вводные'!$B$296="Новый сезон",TRUE,TRUE),'19_Расчет_аналитики'!AC4473*CapacityAge18*'19_Расчет_аналитики'!$F$4259,0),0)</f>
        <v/>
      </c>
      <c r="AD4585">
        <f>IF('01_Вводные'!$B$234="Да",IF(IF('01_Вводные'!$B$296="Новый сезон",TRUE,TRUE),'19_Расчет_аналитики'!AD4473*CapacityAge18*'19_Расчет_аналитики'!$F$4259,0),0)</f>
        <v/>
      </c>
      <c r="AE4585">
        <f>IF('01_Вводные'!$B$234="Да",IF(IF('01_Вводные'!$B$296="Новый сезон",TRUE,TRUE),'19_Расчет_аналитики'!AE4473*CapacityAge18*'19_Расчет_аналитики'!$F$4259,0),0)</f>
        <v/>
      </c>
      <c r="AF4585">
        <f>IF('01_Вводные'!$B$234="Да",IF(IF('01_Вводные'!$B$296="Новый сезон",TRUE,TRUE),'19_Расчет_аналитики'!AF4473*CapacityAge18*'19_Расчет_аналитики'!$F$4259,0),0)</f>
        <v/>
      </c>
      <c r="AG4585">
        <f>IF('01_Вводные'!$B$234="Да",IF(IF('01_Вводные'!$B$296="Новый сезон",TRUE,TRUE),'19_Расчет_аналитики'!AG4473*CapacityAge18*'19_Расчет_аналитики'!$F$4259,0),0)</f>
        <v/>
      </c>
      <c r="AH4585">
        <f>IF('01_Вводные'!$B$234="Да",IF(IF('01_Вводные'!$B$296="Новый сезон",TRUE,TRUE),'19_Расчет_аналитики'!AH4473*CapacityAge18*'19_Расчет_аналитики'!$F$4259,0),0)</f>
        <v/>
      </c>
      <c r="AI4585">
        <f>IF('01_Вводные'!$B$234="Да",IF(IF('01_Вводные'!$B$296="Новый сезон",TRUE,TRUE),'19_Расчет_аналитики'!AI4473*CapacityAge18*'19_Расчет_аналитики'!$F$4259,0),0)</f>
        <v/>
      </c>
      <c r="AJ4585">
        <f>IF('01_Вводные'!$B$234="Да",IF(IF('01_Вводные'!$B$296="Новый сезон",TRUE,TRUE),'19_Расчет_аналитики'!AJ4473*CapacityAge18*'19_Расчет_аналитики'!$F$4259,0),0)</f>
        <v/>
      </c>
      <c r="AK4585">
        <f>IF('01_Вводные'!$B$234="Да",IF(IF('01_Вводные'!$B$296="Новый сезон",TRUE,TRUE),'19_Расчет_аналитики'!AK4473*CapacityAge18*'19_Расчет_аналитики'!$F$4259,0),0)</f>
        <v/>
      </c>
      <c r="AL4585">
        <f>IF('01_Вводные'!$B$234="Да",IF(IF('01_Вводные'!$B$296="Новый сезон",TRUE,TRUE),'19_Расчет_аналитики'!AL4473*CapacityAge18*'19_Расчет_аналитики'!$F$4259,0),0)</f>
        <v/>
      </c>
      <c r="AM4585">
        <f>IF('01_Вводные'!$B$234="Да",IF(IF('01_Вводные'!$B$296="Новый сезон",TRUE,TRUE),'19_Расчет_аналитики'!AM4473*CapacityAge18*'19_Расчет_аналитики'!$F$4259,0),0)</f>
        <v/>
      </c>
      <c r="AN4585">
        <f>IF('01_Вводные'!$B$234="Да",IF(IF('01_Вводные'!$B$296="Новый сезон",TRUE,TRUE),'19_Расчет_аналитики'!AN4473*CapacityAge18*'19_Расчет_аналитики'!$F$4259,0),0)</f>
        <v/>
      </c>
      <c r="AO4585">
        <f>IF('01_Вводные'!$B$234="Да",IF(IF('01_Вводные'!$B$296="Новый сезон",TRUE,TRUE),'19_Расчет_аналитики'!AO4473*CapacityAge18*'19_Расчет_аналитики'!$F$4259,0),0)</f>
        <v/>
      </c>
      <c r="AP4585">
        <f>IF('01_Вводные'!$B$234="Да",IF(IF('01_Вводные'!$B$296="Новый сезон",TRUE,TRUE),'19_Расчет_аналитики'!AP4473*CapacityAge18*'19_Расчет_аналитики'!$F$4259,0),0)</f>
        <v/>
      </c>
      <c r="AQ4585">
        <f>IF('01_Вводные'!$B$234="Да",IF(IF('01_Вводные'!$B$296="Новый сезон",TRUE,TRUE),'19_Расчет_аналитики'!AQ4473*CapacityAge18*'19_Расчет_аналитики'!$F$4259,0),0)</f>
        <v/>
      </c>
      <c r="AR4585">
        <f>IF('01_Вводные'!$B$234="Да",IF(IF('01_Вводные'!$B$296="Новый сезон",TRUE,TRUE),'19_Расчет_аналитики'!AR4473*CapacityAge18*'19_Расчет_аналитики'!$F$4259,0),0)</f>
        <v/>
      </c>
      <c r="AS4585">
        <f>IF('01_Вводные'!$B$234="Да",IF(IF('01_Вводные'!$B$296="Новый сезон",TRUE,TRUE),'19_Расчет_аналитики'!AS4473*CapacityAge18*'19_Расчет_аналитики'!$F$4259,0),0)</f>
        <v/>
      </c>
      <c r="AT4585">
        <f>IF('01_Вводные'!$B$234="Да",IF(IF('01_Вводные'!$B$296="Новый сезон",TRUE,TRUE),'19_Расчет_аналитики'!AT4473*CapacityAge18*'19_Расчет_аналитики'!$F$4259,0),0)</f>
        <v/>
      </c>
      <c r="AU4585">
        <f>IF('01_Вводные'!$B$234="Да",IF(IF('01_Вводные'!$B$296="Новый сезон",TRUE,TRUE),'19_Расчет_аналитики'!AU4473*CapacityAge18*'19_Расчет_аналитики'!$F$4259,0),0)</f>
        <v/>
      </c>
      <c r="AV4585">
        <f>IF('01_Вводные'!$B$234="Да",IF(IF('01_Вводные'!$B$296="Новый сезон",TRUE,TRUE),'19_Расчет_аналитики'!AV4473*CapacityAge18*'19_Расчет_аналитики'!$F$4259,0),0)</f>
        <v/>
      </c>
      <c r="AW4585">
        <f>IF('01_Вводные'!$B$234="Да",IF(IF('01_Вводные'!$B$296="Новый сезон",TRUE,TRUE),'19_Расчет_аналитики'!AW4473*CapacityAge18*'19_Расчет_аналитики'!$F$4259,0),0)</f>
        <v/>
      </c>
      <c r="AX4585">
        <f>IF('01_Вводные'!$B$234="Да",IF(IF('01_Вводные'!$B$296="Новый сезон",TRUE,TRUE),'19_Расчет_аналитики'!AX4473*CapacityAge18*'19_Расчет_аналитики'!$F$4259,0),0)</f>
        <v/>
      </c>
      <c r="AY4585">
        <f>IF('01_Вводные'!$B$234="Да",IF(IF('01_Вводные'!$B$296="Новый сезон",TRUE,TRUE),'19_Расчет_аналитики'!AY4473*CapacityAge18*'19_Расчет_аналитики'!$F$4259,0),0)</f>
        <v/>
      </c>
      <c r="AZ4585">
        <f>IF('01_Вводные'!$B$234="Да",IF(IF('01_Вводные'!$B$296="Новый сезон",TRUE,TRUE),'19_Расчет_аналитики'!AZ4473*CapacityAge18*'19_Расчет_аналитики'!$F$4259,0),0)</f>
        <v/>
      </c>
      <c r="BA4585">
        <f>IF('01_Вводные'!$B$234="Да",IF(IF('01_Вводные'!$B$296="Новый сезон",TRUE,TRUE),'19_Расчет_аналитики'!BA4473*CapacityAge18*'19_Расчет_аналитики'!$F$4259,0),0)</f>
        <v/>
      </c>
      <c r="BB4585">
        <f>IF('01_Вводные'!$B$234="Да",IF(IF('01_Вводные'!$B$296="Новый сезон",TRUE,TRUE),'19_Расчет_аналитики'!BB4473*CapacityAge18*'19_Расчет_аналитики'!$F$4259,0),0)</f>
        <v/>
      </c>
      <c r="BC4585">
        <f>IF('01_Вводные'!$B$234="Да",IF(IF('01_Вводные'!$B$296="Новый сезон",TRUE,TRUE),'19_Расчет_аналитики'!BC4473*CapacityAge18*'19_Расчет_аналитики'!$F$4259,0),0)</f>
        <v/>
      </c>
      <c r="BD4585">
        <f>IF('01_Вводные'!$B$234="Да",IF(IF('01_Вводные'!$B$296="Новый сезон",TRUE,TRUE),'19_Расчет_аналитики'!BD4473*CapacityAge18*'19_Расчет_аналитики'!$F$4259,0),0)</f>
        <v/>
      </c>
      <c r="BE4585">
        <f>IF('01_Вводные'!$B$234="Да",IF(IF('01_Вводные'!$B$296="Новый сезон",TRUE,TRUE),'19_Расчет_аналитики'!BE4473*CapacityAge18*'19_Расчет_аналитики'!$F$4259,0),0)</f>
        <v/>
      </c>
      <c r="BF4585">
        <f>IF('01_Вводные'!$B$234="Да",IF(IF('01_Вводные'!$B$296="Новый сезон",TRUE,TRUE),'19_Расчет_аналитики'!BF4473*CapacityAge18*'19_Расчет_аналитики'!$F$4259,0),0)</f>
        <v/>
      </c>
      <c r="BG4585">
        <f>IF('01_Вводные'!$B$234="Да",IF(IF('01_Вводные'!$B$296="Новый сезон",TRUE,TRUE),'19_Расчет_аналитики'!BG4473*CapacityAge18*'19_Расчет_аналитики'!$F$4259,0),0)</f>
        <v/>
      </c>
      <c r="BH4585">
        <f>IF('01_Вводные'!$B$234="Да",IF(IF('01_Вводные'!$B$296="Новый сезон",TRUE,TRUE),'19_Расчет_аналитики'!BH4473*CapacityAge18*'19_Расчет_аналитики'!$F$4259,0),0)</f>
        <v/>
      </c>
      <c r="BI4585">
        <f>IF('01_Вводные'!$B$234="Да",IF(IF('01_Вводные'!$B$296="Новый сезон",TRUE,TRUE),'19_Расчет_аналитики'!BI4473*CapacityAge18*'19_Расчет_аналитики'!$F$4259,0),0)</f>
        <v/>
      </c>
      <c r="BJ4585">
        <f>IF('01_Вводные'!$B$234="Да",IF(IF('01_Вводные'!$B$296="Новый сезон",TRUE,TRUE),'19_Расчет_аналитики'!BJ4473*CapacityAge18*'19_Расчет_аналитики'!$F$4259,0),0)</f>
        <v/>
      </c>
      <c r="BK4585">
        <f>IF('01_Вводные'!$B$234="Да",IF(IF('01_Вводные'!$B$296="Новый сезон",TRUE,TRUE),'19_Расчет_аналитики'!BK4473*CapacityAge18*'19_Расчет_аналитики'!$F$4259,0),0)</f>
        <v/>
      </c>
      <c r="BL4585">
        <f>IF('01_Вводные'!$B$234="Да",IF(IF('01_Вводные'!$B$296="Новый сезон",TRUE,TRUE),'19_Расчет_аналитики'!BL4473*CapacityAge18*'19_Расчет_аналитики'!$F$4259,0),0)</f>
        <v/>
      </c>
      <c r="BM4585">
        <f>IF('01_Вводные'!$B$234="Да",IF(IF('01_Вводные'!$B$296="Новый сезон",TRUE,TRUE),'19_Расчет_аналитики'!BM4473*CapacityAge18*'19_Расчет_аналитики'!$F$4259,0),0)</f>
        <v/>
      </c>
      <c r="BN4585">
        <f>IF('01_Вводные'!$B$234="Да",IF(IF('01_Вводные'!$B$296="Новый сезон",TRUE,TRUE),'19_Расчет_аналитики'!BN4473*CapacityAge18*'19_Расчет_аналитики'!$F$4259,0),0)</f>
        <v/>
      </c>
      <c r="BO4585">
        <f>IF('01_Вводные'!$B$234="Да",IF(IF('01_Вводные'!$B$296="Новый сезон",TRUE,TRUE),'19_Расчет_аналитики'!BO4473*CapacityAge18*'19_Расчет_аналитики'!$F$4259,0),0)</f>
        <v/>
      </c>
    </row>
    <row r="4586">
      <c r="B4586">
        <f>IF('01_Вводные'!$B$234="Да",IF(IF('01_Вводные'!$B$296="Новый сезон",TRUE,TRUE),'06_Сеть_и_дети'!B71*CapacityAge19*'19_Расчет_аналитики'!$F$4259,0),0)</f>
        <v/>
      </c>
      <c r="C4586">
        <f>IF('01_Вводные'!$B$234="Да",IF(IF('01_Вводные'!$B$296="Новый сезон",TRUE,TRUE),'06_Сеть_и_дети'!C71*CapacityAge19*'19_Расчет_аналитики'!$F$4259,0),0)</f>
        <v/>
      </c>
      <c r="D4586">
        <f>IF('01_Вводные'!$B$234="Да",IF(IF('01_Вводные'!$B$296="Новый сезон",TRUE,TRUE),'06_Сеть_и_дети'!D71*CapacityAge19*'19_Расчет_аналитики'!$F$4259,0),0)</f>
        <v/>
      </c>
      <c r="E4586">
        <f>IF('01_Вводные'!$B$234="Да",IF(IF('01_Вводные'!$B$296="Новый сезон",TRUE,TRUE),'06_Сеть_и_дети'!E71*CapacityAge19*'19_Расчет_аналитики'!$F$4259,0),0)</f>
        <v/>
      </c>
      <c r="F4586">
        <f>IF('01_Вводные'!$B$234="Да",IF(IF('01_Вводные'!$B$296="Новый сезон",TRUE,TRUE),'06_Сеть_и_дети'!F71*CapacityAge19*'19_Расчет_аналитики'!$F$4259,0),0)</f>
        <v/>
      </c>
      <c r="G4586">
        <f>IF('01_Вводные'!$B$234="Да",IF(IF('01_Вводные'!$B$296="Новый сезон",TRUE,TRUE),'06_Сеть_и_дети'!G71*CapacityAge19*'19_Расчет_аналитики'!$F$4259,0),0)</f>
        <v/>
      </c>
      <c r="H4586">
        <f>IF('01_Вводные'!$B$234="Да",IF(IF('01_Вводные'!$B$296="Новый сезон",TRUE,TRUE),'06_Сеть_и_дети'!H71*CapacityAge19*'19_Расчет_аналитики'!$F$4259,0),0)</f>
        <v/>
      </c>
      <c r="I4586">
        <f>IF('01_Вводные'!$B$234="Да",IF(IF('01_Вводные'!$B$296="Новый сезон",TRUE,TRUE),'06_Сеть_и_дети'!I71*CapacityAge19*'19_Расчет_аналитики'!$F$4259,0),0)</f>
        <v/>
      </c>
      <c r="J4586">
        <f>IF('01_Вводные'!$B$234="Да",IF(IF('01_Вводные'!$B$296="Новый сезон",TRUE,TRUE),'06_Сеть_и_дети'!J71*CapacityAge19*'19_Расчет_аналитики'!$F$4259,0),0)</f>
        <v/>
      </c>
      <c r="K4586">
        <f>IF('01_Вводные'!$B$234="Да",IF(IF('01_Вводные'!$B$296="Новый сезон",TRUE,TRUE),'06_Сеть_и_дети'!K71*CapacityAge19*'19_Расчет_аналитики'!$F$4259,0),0)</f>
        <v/>
      </c>
      <c r="L4586">
        <f>IF('01_Вводные'!$B$234="Да",IF(IF('01_Вводные'!$B$296="Новый сезон",TRUE,TRUE),'06_Сеть_и_дети'!L71*CapacityAge19*'19_Расчет_аналитики'!$F$4259,0),0)</f>
        <v/>
      </c>
      <c r="M4586">
        <f>IF('01_Вводные'!$B$234="Да",IF(IF('01_Вводные'!$B$296="Новый сезон",TRUE,TRUE),'06_Сеть_и_дети'!M71*CapacityAge19*'19_Расчет_аналитики'!$F$4259,0),0)</f>
        <v/>
      </c>
      <c r="N4586">
        <f>IF('01_Вводные'!$B$234="Да",IF(IF('01_Вводные'!$B$296="Новый сезон",TRUE,TRUE),'06_Сеть_и_дети'!N71*CapacityAge19*'19_Расчет_аналитики'!$F$4259,0),0)</f>
        <v/>
      </c>
      <c r="O4586">
        <f>IF('01_Вводные'!$B$234="Да",IF(IF('01_Вводные'!$B$296="Новый сезон",TRUE,TRUE),'06_Сеть_и_дети'!O71*CapacityAge19*'19_Расчет_аналитики'!$F$4259,0),0)</f>
        <v/>
      </c>
      <c r="P4586">
        <f>IF('01_Вводные'!$B$234="Да",IF(IF('01_Вводные'!$B$296="Новый сезон",TRUE,TRUE),'06_Сеть_и_дети'!P71*CapacityAge19*'19_Расчет_аналитики'!$F$4259,0),0)</f>
        <v/>
      </c>
      <c r="Q4586">
        <f>IF('01_Вводные'!$B$234="Да",IF(IF('01_Вводные'!$B$296="Новый сезон",TRUE,TRUE),'06_Сеть_и_дети'!Q71*CapacityAge19*'19_Расчет_аналитики'!$F$4259,0),0)</f>
        <v/>
      </c>
      <c r="R4586">
        <f>IF('01_Вводные'!$B$234="Да",IF(IF('01_Вводные'!$B$296="Новый сезон",TRUE,TRUE),'06_Сеть_и_дети'!R71*CapacityAge19*'19_Расчет_аналитики'!$F$4259,0),0)</f>
        <v/>
      </c>
      <c r="S4586">
        <f>IF('01_Вводные'!$B$234="Да",IF(IF('01_Вводные'!$B$296="Новый сезон",TRUE,TRUE),'06_Сеть_и_дети'!S71*CapacityAge19*'19_Расчет_аналитики'!$F$4259,0),0)</f>
        <v/>
      </c>
      <c r="T4586">
        <f>IF('01_Вводные'!$B$234="Да",IF(IF('01_Вводные'!$B$296="Новый сезон",TRUE,TRUE),'19_Расчет_аналитики'!T4474*CapacityAge19*'19_Расчет_аналитики'!$F$4259,0),0)</f>
        <v/>
      </c>
      <c r="U4586">
        <f>IF('01_Вводные'!$B$234="Да",IF(IF('01_Вводные'!$B$296="Новый сезон",TRUE,TRUE),'19_Расчет_аналитики'!U4474*CapacityAge19*'19_Расчет_аналитики'!$F$4259,0),0)</f>
        <v/>
      </c>
      <c r="V4586">
        <f>IF('01_Вводные'!$B$234="Да",IF(IF('01_Вводные'!$B$296="Новый сезон",TRUE,TRUE),'19_Расчет_аналитики'!V4474*CapacityAge19*'19_Расчет_аналитики'!$F$4259,0),0)</f>
        <v/>
      </c>
      <c r="W4586">
        <f>IF('01_Вводные'!$B$234="Да",IF(IF('01_Вводные'!$B$296="Новый сезон",TRUE,TRUE),'19_Расчет_аналитики'!W4474*CapacityAge19*'19_Расчет_аналитики'!$F$4259,0),0)</f>
        <v/>
      </c>
      <c r="X4586">
        <f>IF('01_Вводные'!$B$234="Да",IF(IF('01_Вводные'!$B$296="Новый сезон",TRUE,TRUE),'19_Расчет_аналитики'!X4474*CapacityAge19*'19_Расчет_аналитики'!$F$4259,0),0)</f>
        <v/>
      </c>
      <c r="Y4586">
        <f>IF('01_Вводные'!$B$234="Да",IF(IF('01_Вводные'!$B$296="Новый сезон",TRUE,TRUE),'19_Расчет_аналитики'!Y4474*CapacityAge19*'19_Расчет_аналитики'!$F$4259,0),0)</f>
        <v/>
      </c>
      <c r="Z4586">
        <f>IF('01_Вводные'!$B$234="Да",IF(IF('01_Вводные'!$B$296="Новый сезон",TRUE,TRUE),'19_Расчет_аналитики'!Z4474*CapacityAge19*'19_Расчет_аналитики'!$F$4259,0),0)</f>
        <v/>
      </c>
      <c r="AA4586">
        <f>IF('01_Вводные'!$B$234="Да",IF(IF('01_Вводные'!$B$296="Новый сезон",TRUE,TRUE),'19_Расчет_аналитики'!AA4474*CapacityAge19*'19_Расчет_аналитики'!$F$4259,0),0)</f>
        <v/>
      </c>
      <c r="AB4586">
        <f>IF('01_Вводные'!$B$234="Да",IF(IF('01_Вводные'!$B$296="Новый сезон",TRUE,TRUE),'19_Расчет_аналитики'!AB4474*CapacityAge19*'19_Расчет_аналитики'!$F$4259,0),0)</f>
        <v/>
      </c>
      <c r="AC4586">
        <f>IF('01_Вводные'!$B$234="Да",IF(IF('01_Вводные'!$B$296="Новый сезон",TRUE,TRUE),'19_Расчет_аналитики'!AC4474*CapacityAge19*'19_Расчет_аналитики'!$F$4259,0),0)</f>
        <v/>
      </c>
      <c r="AD4586">
        <f>IF('01_Вводные'!$B$234="Да",IF(IF('01_Вводные'!$B$296="Новый сезон",TRUE,TRUE),'19_Расчет_аналитики'!AD4474*CapacityAge19*'19_Расчет_аналитики'!$F$4259,0),0)</f>
        <v/>
      </c>
      <c r="AE4586">
        <f>IF('01_Вводные'!$B$234="Да",IF(IF('01_Вводные'!$B$296="Новый сезон",TRUE,TRUE),'19_Расчет_аналитики'!AE4474*CapacityAge19*'19_Расчет_аналитики'!$F$4259,0),0)</f>
        <v/>
      </c>
      <c r="AF4586">
        <f>IF('01_Вводные'!$B$234="Да",IF(IF('01_Вводные'!$B$296="Новый сезон",TRUE,TRUE),'19_Расчет_аналитики'!AF4474*CapacityAge19*'19_Расчет_аналитики'!$F$4259,0),0)</f>
        <v/>
      </c>
      <c r="AG4586">
        <f>IF('01_Вводные'!$B$234="Да",IF(IF('01_Вводные'!$B$296="Новый сезон",TRUE,TRUE),'19_Расчет_аналитики'!AG4474*CapacityAge19*'19_Расчет_аналитики'!$F$4259,0),0)</f>
        <v/>
      </c>
      <c r="AH4586">
        <f>IF('01_Вводные'!$B$234="Да",IF(IF('01_Вводные'!$B$296="Новый сезон",TRUE,TRUE),'19_Расчет_аналитики'!AH4474*CapacityAge19*'19_Расчет_аналитики'!$F$4259,0),0)</f>
        <v/>
      </c>
      <c r="AI4586">
        <f>IF('01_Вводные'!$B$234="Да",IF(IF('01_Вводные'!$B$296="Новый сезон",TRUE,TRUE),'19_Расчет_аналитики'!AI4474*CapacityAge19*'19_Расчет_аналитики'!$F$4259,0),0)</f>
        <v/>
      </c>
      <c r="AJ4586">
        <f>IF('01_Вводные'!$B$234="Да",IF(IF('01_Вводные'!$B$296="Новый сезон",TRUE,TRUE),'19_Расчет_аналитики'!AJ4474*CapacityAge19*'19_Расчет_аналитики'!$F$4259,0),0)</f>
        <v/>
      </c>
      <c r="AK4586">
        <f>IF('01_Вводные'!$B$234="Да",IF(IF('01_Вводные'!$B$296="Новый сезон",TRUE,TRUE),'19_Расчет_аналитики'!AK4474*CapacityAge19*'19_Расчет_аналитики'!$F$4259,0),0)</f>
        <v/>
      </c>
      <c r="AL4586">
        <f>IF('01_Вводные'!$B$234="Да",IF(IF('01_Вводные'!$B$296="Новый сезон",TRUE,TRUE),'19_Расчет_аналитики'!AL4474*CapacityAge19*'19_Расчет_аналитики'!$F$4259,0),0)</f>
        <v/>
      </c>
      <c r="AM4586">
        <f>IF('01_Вводные'!$B$234="Да",IF(IF('01_Вводные'!$B$296="Новый сезон",TRUE,TRUE),'19_Расчет_аналитики'!AM4474*CapacityAge19*'19_Расчет_аналитики'!$F$4259,0),0)</f>
        <v/>
      </c>
      <c r="AN4586">
        <f>IF('01_Вводные'!$B$234="Да",IF(IF('01_Вводные'!$B$296="Новый сезон",TRUE,TRUE),'19_Расчет_аналитики'!AN4474*CapacityAge19*'19_Расчет_аналитики'!$F$4259,0),0)</f>
        <v/>
      </c>
      <c r="AO4586">
        <f>IF('01_Вводные'!$B$234="Да",IF(IF('01_Вводные'!$B$296="Новый сезон",TRUE,TRUE),'19_Расчет_аналитики'!AO4474*CapacityAge19*'19_Расчет_аналитики'!$F$4259,0),0)</f>
        <v/>
      </c>
      <c r="AP4586">
        <f>IF('01_Вводные'!$B$234="Да",IF(IF('01_Вводные'!$B$296="Новый сезон",TRUE,TRUE),'19_Расчет_аналитики'!AP4474*CapacityAge19*'19_Расчет_аналитики'!$F$4259,0),0)</f>
        <v/>
      </c>
      <c r="AQ4586">
        <f>IF('01_Вводные'!$B$234="Да",IF(IF('01_Вводные'!$B$296="Новый сезон",TRUE,TRUE),'19_Расчет_аналитики'!AQ4474*CapacityAge19*'19_Расчет_аналитики'!$F$4259,0),0)</f>
        <v/>
      </c>
      <c r="AR4586">
        <f>IF('01_Вводные'!$B$234="Да",IF(IF('01_Вводные'!$B$296="Новый сезон",TRUE,TRUE),'19_Расчет_аналитики'!AR4474*CapacityAge19*'19_Расчет_аналитики'!$F$4259,0),0)</f>
        <v/>
      </c>
      <c r="AS4586">
        <f>IF('01_Вводные'!$B$234="Да",IF(IF('01_Вводные'!$B$296="Новый сезон",TRUE,TRUE),'19_Расчет_аналитики'!AS4474*CapacityAge19*'19_Расчет_аналитики'!$F$4259,0),0)</f>
        <v/>
      </c>
      <c r="AT4586">
        <f>IF('01_Вводные'!$B$234="Да",IF(IF('01_Вводные'!$B$296="Новый сезон",TRUE,TRUE),'19_Расчет_аналитики'!AT4474*CapacityAge19*'19_Расчет_аналитики'!$F$4259,0),0)</f>
        <v/>
      </c>
      <c r="AU4586">
        <f>IF('01_Вводные'!$B$234="Да",IF(IF('01_Вводные'!$B$296="Новый сезон",TRUE,TRUE),'19_Расчет_аналитики'!AU4474*CapacityAge19*'19_Расчет_аналитики'!$F$4259,0),0)</f>
        <v/>
      </c>
      <c r="AV4586">
        <f>IF('01_Вводные'!$B$234="Да",IF(IF('01_Вводные'!$B$296="Новый сезон",TRUE,TRUE),'19_Расчет_аналитики'!AV4474*CapacityAge19*'19_Расчет_аналитики'!$F$4259,0),0)</f>
        <v/>
      </c>
      <c r="AW4586">
        <f>IF('01_Вводные'!$B$234="Да",IF(IF('01_Вводные'!$B$296="Новый сезон",TRUE,TRUE),'19_Расчет_аналитики'!AW4474*CapacityAge19*'19_Расчет_аналитики'!$F$4259,0),0)</f>
        <v/>
      </c>
      <c r="AX4586">
        <f>IF('01_Вводные'!$B$234="Да",IF(IF('01_Вводные'!$B$296="Новый сезон",TRUE,TRUE),'19_Расчет_аналитики'!AX4474*CapacityAge19*'19_Расчет_аналитики'!$F$4259,0),0)</f>
        <v/>
      </c>
      <c r="AY4586">
        <f>IF('01_Вводные'!$B$234="Да",IF(IF('01_Вводные'!$B$296="Новый сезон",TRUE,TRUE),'19_Расчет_аналитики'!AY4474*CapacityAge19*'19_Расчет_аналитики'!$F$4259,0),0)</f>
        <v/>
      </c>
      <c r="AZ4586">
        <f>IF('01_Вводные'!$B$234="Да",IF(IF('01_Вводные'!$B$296="Новый сезон",TRUE,TRUE),'19_Расчет_аналитики'!AZ4474*CapacityAge19*'19_Расчет_аналитики'!$F$4259,0),0)</f>
        <v/>
      </c>
      <c r="BA4586">
        <f>IF('01_Вводные'!$B$234="Да",IF(IF('01_Вводные'!$B$296="Новый сезон",TRUE,TRUE),'19_Расчет_аналитики'!BA4474*CapacityAge19*'19_Расчет_аналитики'!$F$4259,0),0)</f>
        <v/>
      </c>
      <c r="BB4586">
        <f>IF('01_Вводные'!$B$234="Да",IF(IF('01_Вводные'!$B$296="Новый сезон",TRUE,TRUE),'19_Расчет_аналитики'!BB4474*CapacityAge19*'19_Расчет_аналитики'!$F$4259,0),0)</f>
        <v/>
      </c>
      <c r="BC4586">
        <f>IF('01_Вводные'!$B$234="Да",IF(IF('01_Вводные'!$B$296="Новый сезон",TRUE,TRUE),'19_Расчет_аналитики'!BC4474*CapacityAge19*'19_Расчет_аналитики'!$F$4259,0),0)</f>
        <v/>
      </c>
      <c r="BD4586">
        <f>IF('01_Вводные'!$B$234="Да",IF(IF('01_Вводные'!$B$296="Новый сезон",TRUE,TRUE),'19_Расчет_аналитики'!BD4474*CapacityAge19*'19_Расчет_аналитики'!$F$4259,0),0)</f>
        <v/>
      </c>
      <c r="BE4586">
        <f>IF('01_Вводные'!$B$234="Да",IF(IF('01_Вводные'!$B$296="Новый сезон",TRUE,TRUE),'19_Расчет_аналитики'!BE4474*CapacityAge19*'19_Расчет_аналитики'!$F$4259,0),0)</f>
        <v/>
      </c>
      <c r="BF4586">
        <f>IF('01_Вводные'!$B$234="Да",IF(IF('01_Вводные'!$B$296="Новый сезон",TRUE,TRUE),'19_Расчет_аналитики'!BF4474*CapacityAge19*'19_Расчет_аналитики'!$F$4259,0),0)</f>
        <v/>
      </c>
      <c r="BG4586">
        <f>IF('01_Вводные'!$B$234="Да",IF(IF('01_Вводные'!$B$296="Новый сезон",TRUE,TRUE),'19_Расчет_аналитики'!BG4474*CapacityAge19*'19_Расчет_аналитики'!$F$4259,0),0)</f>
        <v/>
      </c>
      <c r="BH4586">
        <f>IF('01_Вводные'!$B$234="Да",IF(IF('01_Вводные'!$B$296="Новый сезон",TRUE,TRUE),'19_Расчет_аналитики'!BH4474*CapacityAge19*'19_Расчет_аналитики'!$F$4259,0),0)</f>
        <v/>
      </c>
      <c r="BI4586">
        <f>IF('01_Вводные'!$B$234="Да",IF(IF('01_Вводные'!$B$296="Новый сезон",TRUE,TRUE),'19_Расчет_аналитики'!BI4474*CapacityAge19*'19_Расчет_аналитики'!$F$4259,0),0)</f>
        <v/>
      </c>
      <c r="BJ4586">
        <f>IF('01_Вводные'!$B$234="Да",IF(IF('01_Вводные'!$B$296="Новый сезон",TRUE,TRUE),'19_Расчет_аналитики'!BJ4474*CapacityAge19*'19_Расчет_аналитики'!$F$4259,0),0)</f>
        <v/>
      </c>
      <c r="BK4586">
        <f>IF('01_Вводные'!$B$234="Да",IF(IF('01_Вводные'!$B$296="Новый сезон",TRUE,TRUE),'19_Расчет_аналитики'!BK4474*CapacityAge19*'19_Расчет_аналитики'!$F$4259,0),0)</f>
        <v/>
      </c>
      <c r="BL4586">
        <f>IF('01_Вводные'!$B$234="Да",IF(IF('01_Вводные'!$B$296="Новый сезон",TRUE,TRUE),'19_Расчет_аналитики'!BL4474*CapacityAge19*'19_Расчет_аналитики'!$F$4259,0),0)</f>
        <v/>
      </c>
      <c r="BM4586">
        <f>IF('01_Вводные'!$B$234="Да",IF(IF('01_Вводные'!$B$296="Новый сезон",TRUE,TRUE),'19_Расчет_аналитики'!BM4474*CapacityAge19*'19_Расчет_аналитики'!$F$4259,0),0)</f>
        <v/>
      </c>
      <c r="BN4586">
        <f>IF('01_Вводные'!$B$234="Да",IF(IF('01_Вводные'!$B$296="Новый сезон",TRUE,TRUE),'19_Расчет_аналитики'!BN4474*CapacityAge19*'19_Расчет_аналитики'!$F$4259,0),0)</f>
        <v/>
      </c>
      <c r="BO4586">
        <f>IF('01_Вводные'!$B$234="Да",IF(IF('01_Вводные'!$B$296="Новый сезон",TRUE,TRUE),'19_Расчет_аналитики'!BO4474*CapacityAge19*'19_Расчет_аналитики'!$F$4259,0),0)</f>
        <v/>
      </c>
    </row>
    <row r="4587">
      <c r="B4587">
        <f>IF('01_Вводные'!$B$234="Да",IF(IF('01_Вводные'!$B$296="Новый сезон",TRUE,TRUE),'06_Сеть_и_дети'!B72*CapacityAge20*'19_Расчет_аналитики'!$F$4259,0),0)</f>
        <v/>
      </c>
      <c r="C4587">
        <f>IF('01_Вводные'!$B$234="Да",IF(IF('01_Вводные'!$B$296="Новый сезон",TRUE,TRUE),'06_Сеть_и_дети'!C72*CapacityAge20*'19_Расчет_аналитики'!$F$4259,0),0)</f>
        <v/>
      </c>
      <c r="D4587">
        <f>IF('01_Вводные'!$B$234="Да",IF(IF('01_Вводные'!$B$296="Новый сезон",TRUE,TRUE),'06_Сеть_и_дети'!D72*CapacityAge20*'19_Расчет_аналитики'!$F$4259,0),0)</f>
        <v/>
      </c>
      <c r="E4587">
        <f>IF('01_Вводные'!$B$234="Да",IF(IF('01_Вводные'!$B$296="Новый сезон",TRUE,TRUE),'06_Сеть_и_дети'!E72*CapacityAge20*'19_Расчет_аналитики'!$F$4259,0),0)</f>
        <v/>
      </c>
      <c r="F4587">
        <f>IF('01_Вводные'!$B$234="Да",IF(IF('01_Вводные'!$B$296="Новый сезон",TRUE,TRUE),'06_Сеть_и_дети'!F72*CapacityAge20*'19_Расчет_аналитики'!$F$4259,0),0)</f>
        <v/>
      </c>
      <c r="G4587">
        <f>IF('01_Вводные'!$B$234="Да",IF(IF('01_Вводные'!$B$296="Новый сезон",TRUE,TRUE),'06_Сеть_и_дети'!G72*CapacityAge20*'19_Расчет_аналитики'!$F$4259,0),0)</f>
        <v/>
      </c>
      <c r="H4587">
        <f>IF('01_Вводные'!$B$234="Да",IF(IF('01_Вводные'!$B$296="Новый сезон",TRUE,TRUE),'06_Сеть_и_дети'!H72*CapacityAge20*'19_Расчет_аналитики'!$F$4259,0),0)</f>
        <v/>
      </c>
      <c r="I4587">
        <f>IF('01_Вводные'!$B$234="Да",IF(IF('01_Вводные'!$B$296="Новый сезон",TRUE,TRUE),'06_Сеть_и_дети'!I72*CapacityAge20*'19_Расчет_аналитики'!$F$4259,0),0)</f>
        <v/>
      </c>
      <c r="J4587">
        <f>IF('01_Вводные'!$B$234="Да",IF(IF('01_Вводные'!$B$296="Новый сезон",TRUE,TRUE),'06_Сеть_и_дети'!J72*CapacityAge20*'19_Расчет_аналитики'!$F$4259,0),0)</f>
        <v/>
      </c>
      <c r="K4587">
        <f>IF('01_Вводные'!$B$234="Да",IF(IF('01_Вводные'!$B$296="Новый сезон",TRUE,TRUE),'06_Сеть_и_дети'!K72*CapacityAge20*'19_Расчет_аналитики'!$F$4259,0),0)</f>
        <v/>
      </c>
      <c r="L4587">
        <f>IF('01_Вводные'!$B$234="Да",IF(IF('01_Вводные'!$B$296="Новый сезон",TRUE,TRUE),'06_Сеть_и_дети'!L72*CapacityAge20*'19_Расчет_аналитики'!$F$4259,0),0)</f>
        <v/>
      </c>
      <c r="M4587">
        <f>IF('01_Вводные'!$B$234="Да",IF(IF('01_Вводные'!$B$296="Новый сезон",TRUE,TRUE),'06_Сеть_и_дети'!M72*CapacityAge20*'19_Расчет_аналитики'!$F$4259,0),0)</f>
        <v/>
      </c>
      <c r="N4587">
        <f>IF('01_Вводные'!$B$234="Да",IF(IF('01_Вводные'!$B$296="Новый сезон",TRUE,TRUE),'06_Сеть_и_дети'!N72*CapacityAge20*'19_Расчет_аналитики'!$F$4259,0),0)</f>
        <v/>
      </c>
      <c r="O4587">
        <f>IF('01_Вводные'!$B$234="Да",IF(IF('01_Вводные'!$B$296="Новый сезон",TRUE,TRUE),'06_Сеть_и_дети'!O72*CapacityAge20*'19_Расчет_аналитики'!$F$4259,0),0)</f>
        <v/>
      </c>
      <c r="P4587">
        <f>IF('01_Вводные'!$B$234="Да",IF(IF('01_Вводные'!$B$296="Новый сезон",TRUE,TRUE),'06_Сеть_и_дети'!P72*CapacityAge20*'19_Расчет_аналитики'!$F$4259,0),0)</f>
        <v/>
      </c>
      <c r="Q4587">
        <f>IF('01_Вводные'!$B$234="Да",IF(IF('01_Вводные'!$B$296="Новый сезон",TRUE,TRUE),'06_Сеть_и_дети'!Q72*CapacityAge20*'19_Расчет_аналитики'!$F$4259,0),0)</f>
        <v/>
      </c>
      <c r="R4587">
        <f>IF('01_Вводные'!$B$234="Да",IF(IF('01_Вводные'!$B$296="Новый сезон",TRUE,TRUE),'06_Сеть_и_дети'!R72*CapacityAge20*'19_Расчет_аналитики'!$F$4259,0),0)</f>
        <v/>
      </c>
      <c r="S4587">
        <f>IF('01_Вводные'!$B$234="Да",IF(IF('01_Вводные'!$B$296="Новый сезон",TRUE,TRUE),'06_Сеть_и_дети'!S72*CapacityAge20*'19_Расчет_аналитики'!$F$4259,0),0)</f>
        <v/>
      </c>
      <c r="T4587">
        <f>IF('01_Вводные'!$B$234="Да",IF(IF('01_Вводные'!$B$296="Новый сезон",TRUE,TRUE),'06_Сеть_и_дети'!T72*CapacityAge20*'19_Расчет_аналитики'!$F$4259,0),0)</f>
        <v/>
      </c>
      <c r="U4587">
        <f>IF('01_Вводные'!$B$234="Да",IF(IF('01_Вводные'!$B$296="Новый сезон",TRUE,TRUE),'19_Расчет_аналитики'!U4475*CapacityAge20*'19_Расчет_аналитики'!$F$4259,0),0)</f>
        <v/>
      </c>
      <c r="V4587">
        <f>IF('01_Вводные'!$B$234="Да",IF(IF('01_Вводные'!$B$296="Новый сезон",TRUE,TRUE),'19_Расчет_аналитики'!V4475*CapacityAge20*'19_Расчет_аналитики'!$F$4259,0),0)</f>
        <v/>
      </c>
      <c r="W4587">
        <f>IF('01_Вводные'!$B$234="Да",IF(IF('01_Вводные'!$B$296="Новый сезон",TRUE,TRUE),'19_Расчет_аналитики'!W4475*CapacityAge20*'19_Расчет_аналитики'!$F$4259,0),0)</f>
        <v/>
      </c>
      <c r="X4587">
        <f>IF('01_Вводные'!$B$234="Да",IF(IF('01_Вводные'!$B$296="Новый сезон",TRUE,TRUE),'19_Расчет_аналитики'!X4475*CapacityAge20*'19_Расчет_аналитики'!$F$4259,0),0)</f>
        <v/>
      </c>
      <c r="Y4587">
        <f>IF('01_Вводные'!$B$234="Да",IF(IF('01_Вводные'!$B$296="Новый сезон",TRUE,TRUE),'19_Расчет_аналитики'!Y4475*CapacityAge20*'19_Расчет_аналитики'!$F$4259,0),0)</f>
        <v/>
      </c>
      <c r="Z4587">
        <f>IF('01_Вводные'!$B$234="Да",IF(IF('01_Вводные'!$B$296="Новый сезон",TRUE,TRUE),'19_Расчет_аналитики'!Z4475*CapacityAge20*'19_Расчет_аналитики'!$F$4259,0),0)</f>
        <v/>
      </c>
      <c r="AA4587">
        <f>IF('01_Вводные'!$B$234="Да",IF(IF('01_Вводные'!$B$296="Новый сезон",TRUE,TRUE),'19_Расчет_аналитики'!AA4475*CapacityAge20*'19_Расчет_аналитики'!$F$4259,0),0)</f>
        <v/>
      </c>
      <c r="AB4587">
        <f>IF('01_Вводные'!$B$234="Да",IF(IF('01_Вводные'!$B$296="Новый сезон",TRUE,TRUE),'19_Расчет_аналитики'!AB4475*CapacityAge20*'19_Расчет_аналитики'!$F$4259,0),0)</f>
        <v/>
      </c>
      <c r="AC4587">
        <f>IF('01_Вводные'!$B$234="Да",IF(IF('01_Вводные'!$B$296="Новый сезон",TRUE,TRUE),'19_Расчет_аналитики'!AC4475*CapacityAge20*'19_Расчет_аналитики'!$F$4259,0),0)</f>
        <v/>
      </c>
      <c r="AD4587">
        <f>IF('01_Вводные'!$B$234="Да",IF(IF('01_Вводные'!$B$296="Новый сезон",TRUE,TRUE),'19_Расчет_аналитики'!AD4475*CapacityAge20*'19_Расчет_аналитики'!$F$4259,0),0)</f>
        <v/>
      </c>
      <c r="AE4587">
        <f>IF('01_Вводные'!$B$234="Да",IF(IF('01_Вводные'!$B$296="Новый сезон",TRUE,TRUE),'19_Расчет_аналитики'!AE4475*CapacityAge20*'19_Расчет_аналитики'!$F$4259,0),0)</f>
        <v/>
      </c>
      <c r="AF4587">
        <f>IF('01_Вводные'!$B$234="Да",IF(IF('01_Вводные'!$B$296="Новый сезон",TRUE,TRUE),'19_Расчет_аналитики'!AF4475*CapacityAge20*'19_Расчет_аналитики'!$F$4259,0),0)</f>
        <v/>
      </c>
      <c r="AG4587">
        <f>IF('01_Вводные'!$B$234="Да",IF(IF('01_Вводные'!$B$296="Новый сезон",TRUE,TRUE),'19_Расчет_аналитики'!AG4475*CapacityAge20*'19_Расчет_аналитики'!$F$4259,0),0)</f>
        <v/>
      </c>
      <c r="AH4587">
        <f>IF('01_Вводные'!$B$234="Да",IF(IF('01_Вводные'!$B$296="Новый сезон",TRUE,TRUE),'19_Расчет_аналитики'!AH4475*CapacityAge20*'19_Расчет_аналитики'!$F$4259,0),0)</f>
        <v/>
      </c>
      <c r="AI4587">
        <f>IF('01_Вводные'!$B$234="Да",IF(IF('01_Вводные'!$B$296="Новый сезон",TRUE,TRUE),'19_Расчет_аналитики'!AI4475*CapacityAge20*'19_Расчет_аналитики'!$F$4259,0),0)</f>
        <v/>
      </c>
      <c r="AJ4587">
        <f>IF('01_Вводные'!$B$234="Да",IF(IF('01_Вводные'!$B$296="Новый сезон",TRUE,TRUE),'19_Расчет_аналитики'!AJ4475*CapacityAge20*'19_Расчет_аналитики'!$F$4259,0),0)</f>
        <v/>
      </c>
      <c r="AK4587">
        <f>IF('01_Вводные'!$B$234="Да",IF(IF('01_Вводные'!$B$296="Новый сезон",TRUE,TRUE),'19_Расчет_аналитики'!AK4475*CapacityAge20*'19_Расчет_аналитики'!$F$4259,0),0)</f>
        <v/>
      </c>
      <c r="AL4587">
        <f>IF('01_Вводные'!$B$234="Да",IF(IF('01_Вводные'!$B$296="Новый сезон",TRUE,TRUE),'19_Расчет_аналитики'!AL4475*CapacityAge20*'19_Расчет_аналитики'!$F$4259,0),0)</f>
        <v/>
      </c>
      <c r="AM4587">
        <f>IF('01_Вводные'!$B$234="Да",IF(IF('01_Вводные'!$B$296="Новый сезон",TRUE,TRUE),'19_Расчет_аналитики'!AM4475*CapacityAge20*'19_Расчет_аналитики'!$F$4259,0),0)</f>
        <v/>
      </c>
      <c r="AN4587">
        <f>IF('01_Вводные'!$B$234="Да",IF(IF('01_Вводные'!$B$296="Новый сезон",TRUE,TRUE),'19_Расчет_аналитики'!AN4475*CapacityAge20*'19_Расчет_аналитики'!$F$4259,0),0)</f>
        <v/>
      </c>
      <c r="AO4587">
        <f>IF('01_Вводные'!$B$234="Да",IF(IF('01_Вводные'!$B$296="Новый сезон",TRUE,TRUE),'19_Расчет_аналитики'!AO4475*CapacityAge20*'19_Расчет_аналитики'!$F$4259,0),0)</f>
        <v/>
      </c>
      <c r="AP4587">
        <f>IF('01_Вводные'!$B$234="Да",IF(IF('01_Вводные'!$B$296="Новый сезон",TRUE,TRUE),'19_Расчет_аналитики'!AP4475*CapacityAge20*'19_Расчет_аналитики'!$F$4259,0),0)</f>
        <v/>
      </c>
      <c r="AQ4587">
        <f>IF('01_Вводные'!$B$234="Да",IF(IF('01_Вводные'!$B$296="Новый сезон",TRUE,TRUE),'19_Расчет_аналитики'!AQ4475*CapacityAge20*'19_Расчет_аналитики'!$F$4259,0),0)</f>
        <v/>
      </c>
      <c r="AR4587">
        <f>IF('01_Вводные'!$B$234="Да",IF(IF('01_Вводные'!$B$296="Новый сезон",TRUE,TRUE),'19_Расчет_аналитики'!AR4475*CapacityAge20*'19_Расчет_аналитики'!$F$4259,0),0)</f>
        <v/>
      </c>
      <c r="AS4587">
        <f>IF('01_Вводные'!$B$234="Да",IF(IF('01_Вводные'!$B$296="Новый сезон",TRUE,TRUE),'19_Расчет_аналитики'!AS4475*CapacityAge20*'19_Расчет_аналитики'!$F$4259,0),0)</f>
        <v/>
      </c>
      <c r="AT4587">
        <f>IF('01_Вводные'!$B$234="Да",IF(IF('01_Вводные'!$B$296="Новый сезон",TRUE,TRUE),'19_Расчет_аналитики'!AT4475*CapacityAge20*'19_Расчет_аналитики'!$F$4259,0),0)</f>
        <v/>
      </c>
      <c r="AU4587">
        <f>IF('01_Вводные'!$B$234="Да",IF(IF('01_Вводные'!$B$296="Новый сезон",TRUE,TRUE),'19_Расчет_аналитики'!AU4475*CapacityAge20*'19_Расчет_аналитики'!$F$4259,0),0)</f>
        <v/>
      </c>
      <c r="AV4587">
        <f>IF('01_Вводные'!$B$234="Да",IF(IF('01_Вводные'!$B$296="Новый сезон",TRUE,TRUE),'19_Расчет_аналитики'!AV4475*CapacityAge20*'19_Расчет_аналитики'!$F$4259,0),0)</f>
        <v/>
      </c>
      <c r="AW4587">
        <f>IF('01_Вводные'!$B$234="Да",IF(IF('01_Вводные'!$B$296="Новый сезон",TRUE,TRUE),'19_Расчет_аналитики'!AW4475*CapacityAge20*'19_Расчет_аналитики'!$F$4259,0),0)</f>
        <v/>
      </c>
      <c r="AX4587">
        <f>IF('01_Вводные'!$B$234="Да",IF(IF('01_Вводные'!$B$296="Новый сезон",TRUE,TRUE),'19_Расчет_аналитики'!AX4475*CapacityAge20*'19_Расчет_аналитики'!$F$4259,0),0)</f>
        <v/>
      </c>
      <c r="AY4587">
        <f>IF('01_Вводные'!$B$234="Да",IF(IF('01_Вводные'!$B$296="Новый сезон",TRUE,TRUE),'19_Расчет_аналитики'!AY4475*CapacityAge20*'19_Расчет_аналитики'!$F$4259,0),0)</f>
        <v/>
      </c>
      <c r="AZ4587">
        <f>IF('01_Вводные'!$B$234="Да",IF(IF('01_Вводные'!$B$296="Новый сезон",TRUE,TRUE),'19_Расчет_аналитики'!AZ4475*CapacityAge20*'19_Расчет_аналитики'!$F$4259,0),0)</f>
        <v/>
      </c>
      <c r="BA4587">
        <f>IF('01_Вводные'!$B$234="Да",IF(IF('01_Вводные'!$B$296="Новый сезон",TRUE,TRUE),'19_Расчет_аналитики'!BA4475*CapacityAge20*'19_Расчет_аналитики'!$F$4259,0),0)</f>
        <v/>
      </c>
      <c r="BB4587">
        <f>IF('01_Вводные'!$B$234="Да",IF(IF('01_Вводные'!$B$296="Новый сезон",TRUE,TRUE),'19_Расчет_аналитики'!BB4475*CapacityAge20*'19_Расчет_аналитики'!$F$4259,0),0)</f>
        <v/>
      </c>
      <c r="BC4587">
        <f>IF('01_Вводные'!$B$234="Да",IF(IF('01_Вводные'!$B$296="Новый сезон",TRUE,TRUE),'19_Расчет_аналитики'!BC4475*CapacityAge20*'19_Расчет_аналитики'!$F$4259,0),0)</f>
        <v/>
      </c>
      <c r="BD4587">
        <f>IF('01_Вводные'!$B$234="Да",IF(IF('01_Вводные'!$B$296="Новый сезон",TRUE,TRUE),'19_Расчет_аналитики'!BD4475*CapacityAge20*'19_Расчет_аналитики'!$F$4259,0),0)</f>
        <v/>
      </c>
      <c r="BE4587">
        <f>IF('01_Вводные'!$B$234="Да",IF(IF('01_Вводные'!$B$296="Новый сезон",TRUE,TRUE),'19_Расчет_аналитики'!BE4475*CapacityAge20*'19_Расчет_аналитики'!$F$4259,0),0)</f>
        <v/>
      </c>
      <c r="BF4587">
        <f>IF('01_Вводные'!$B$234="Да",IF(IF('01_Вводные'!$B$296="Новый сезон",TRUE,TRUE),'19_Расчет_аналитики'!BF4475*CapacityAge20*'19_Расчет_аналитики'!$F$4259,0),0)</f>
        <v/>
      </c>
      <c r="BG4587">
        <f>IF('01_Вводные'!$B$234="Да",IF(IF('01_Вводные'!$B$296="Новый сезон",TRUE,TRUE),'19_Расчет_аналитики'!BG4475*CapacityAge20*'19_Расчет_аналитики'!$F$4259,0),0)</f>
        <v/>
      </c>
      <c r="BH4587">
        <f>IF('01_Вводные'!$B$234="Да",IF(IF('01_Вводные'!$B$296="Новый сезон",TRUE,TRUE),'19_Расчет_аналитики'!BH4475*CapacityAge20*'19_Расчет_аналитики'!$F$4259,0),0)</f>
        <v/>
      </c>
      <c r="BI4587">
        <f>IF('01_Вводные'!$B$234="Да",IF(IF('01_Вводные'!$B$296="Новый сезон",TRUE,TRUE),'19_Расчет_аналитики'!BI4475*CapacityAge20*'19_Расчет_аналитики'!$F$4259,0),0)</f>
        <v/>
      </c>
      <c r="BJ4587">
        <f>IF('01_Вводные'!$B$234="Да",IF(IF('01_Вводные'!$B$296="Новый сезон",TRUE,TRUE),'19_Расчет_аналитики'!BJ4475*CapacityAge20*'19_Расчет_аналитики'!$F$4259,0),0)</f>
        <v/>
      </c>
      <c r="BK4587">
        <f>IF('01_Вводные'!$B$234="Да",IF(IF('01_Вводные'!$B$296="Новый сезон",TRUE,TRUE),'19_Расчет_аналитики'!BK4475*CapacityAge20*'19_Расчет_аналитики'!$F$4259,0),0)</f>
        <v/>
      </c>
      <c r="BL4587">
        <f>IF('01_Вводные'!$B$234="Да",IF(IF('01_Вводные'!$B$296="Новый сезон",TRUE,TRUE),'19_Расчет_аналитики'!BL4475*CapacityAge20*'19_Расчет_аналитики'!$F$4259,0),0)</f>
        <v/>
      </c>
      <c r="BM4587">
        <f>IF('01_Вводные'!$B$234="Да",IF(IF('01_Вводные'!$B$296="Новый сезон",TRUE,TRUE),'19_Расчет_аналитики'!BM4475*CapacityAge20*'19_Расчет_аналитики'!$F$4259,0),0)</f>
        <v/>
      </c>
      <c r="BN4587">
        <f>IF('01_Вводные'!$B$234="Да",IF(IF('01_Вводные'!$B$296="Новый сезон",TRUE,TRUE),'19_Расчет_аналитики'!BN4475*CapacityAge20*'19_Расчет_аналитики'!$F$4259,0),0)</f>
        <v/>
      </c>
      <c r="BO4587">
        <f>IF('01_Вводные'!$B$234="Да",IF(IF('01_Вводные'!$B$296="Новый сезон",TRUE,TRUE),'19_Расчет_аналитики'!BO4475*CapacityAge20*'19_Расчет_аналитики'!$F$4259,0),0)</f>
        <v/>
      </c>
    </row>
    <row r="4588">
      <c r="B4588">
        <f>IF('01_Вводные'!$B$234="Да",IF(IF('01_Вводные'!$B$296="Новый сезон",TRUE,TRUE),'06_Сеть_и_дети'!B73*CapacityAge21*'19_Расчет_аналитики'!$F$4259,0),0)</f>
        <v/>
      </c>
      <c r="C4588">
        <f>IF('01_Вводные'!$B$234="Да",IF(IF('01_Вводные'!$B$296="Новый сезон",TRUE,TRUE),'06_Сеть_и_дети'!C73*CapacityAge21*'19_Расчет_аналитики'!$F$4259,0),0)</f>
        <v/>
      </c>
      <c r="D4588">
        <f>IF('01_Вводные'!$B$234="Да",IF(IF('01_Вводные'!$B$296="Новый сезон",TRUE,TRUE),'06_Сеть_и_дети'!D73*CapacityAge21*'19_Расчет_аналитики'!$F$4259,0),0)</f>
        <v/>
      </c>
      <c r="E4588">
        <f>IF('01_Вводные'!$B$234="Да",IF(IF('01_Вводные'!$B$296="Новый сезон",TRUE,TRUE),'06_Сеть_и_дети'!E73*CapacityAge21*'19_Расчет_аналитики'!$F$4259,0),0)</f>
        <v/>
      </c>
      <c r="F4588">
        <f>IF('01_Вводные'!$B$234="Да",IF(IF('01_Вводные'!$B$296="Новый сезон",TRUE,TRUE),'06_Сеть_и_дети'!F73*CapacityAge21*'19_Расчет_аналитики'!$F$4259,0),0)</f>
        <v/>
      </c>
      <c r="G4588">
        <f>IF('01_Вводные'!$B$234="Да",IF(IF('01_Вводные'!$B$296="Новый сезон",TRUE,TRUE),'06_Сеть_и_дети'!G73*CapacityAge21*'19_Расчет_аналитики'!$F$4259,0),0)</f>
        <v/>
      </c>
      <c r="H4588">
        <f>IF('01_Вводные'!$B$234="Да",IF(IF('01_Вводные'!$B$296="Новый сезон",TRUE,TRUE),'06_Сеть_и_дети'!H73*CapacityAge21*'19_Расчет_аналитики'!$F$4259,0),0)</f>
        <v/>
      </c>
      <c r="I4588">
        <f>IF('01_Вводные'!$B$234="Да",IF(IF('01_Вводные'!$B$296="Новый сезон",TRUE,TRUE),'06_Сеть_и_дети'!I73*CapacityAge21*'19_Расчет_аналитики'!$F$4259,0),0)</f>
        <v/>
      </c>
      <c r="J4588">
        <f>IF('01_Вводные'!$B$234="Да",IF(IF('01_Вводные'!$B$296="Новый сезон",TRUE,TRUE),'06_Сеть_и_дети'!J73*CapacityAge21*'19_Расчет_аналитики'!$F$4259,0),0)</f>
        <v/>
      </c>
      <c r="K4588">
        <f>IF('01_Вводные'!$B$234="Да",IF(IF('01_Вводные'!$B$296="Новый сезон",TRUE,TRUE),'06_Сеть_и_дети'!K73*CapacityAge21*'19_Расчет_аналитики'!$F$4259,0),0)</f>
        <v/>
      </c>
      <c r="L4588">
        <f>IF('01_Вводные'!$B$234="Да",IF(IF('01_Вводные'!$B$296="Новый сезон",TRUE,TRUE),'06_Сеть_и_дети'!L73*CapacityAge21*'19_Расчет_аналитики'!$F$4259,0),0)</f>
        <v/>
      </c>
      <c r="M4588">
        <f>IF('01_Вводные'!$B$234="Да",IF(IF('01_Вводные'!$B$296="Новый сезон",TRUE,TRUE),'06_Сеть_и_дети'!M73*CapacityAge21*'19_Расчет_аналитики'!$F$4259,0),0)</f>
        <v/>
      </c>
      <c r="N4588">
        <f>IF('01_Вводные'!$B$234="Да",IF(IF('01_Вводные'!$B$296="Новый сезон",TRUE,TRUE),'06_Сеть_и_дети'!N73*CapacityAge21*'19_Расчет_аналитики'!$F$4259,0),0)</f>
        <v/>
      </c>
      <c r="O4588">
        <f>IF('01_Вводные'!$B$234="Да",IF(IF('01_Вводные'!$B$296="Новый сезон",TRUE,TRUE),'06_Сеть_и_дети'!O73*CapacityAge21*'19_Расчет_аналитики'!$F$4259,0),0)</f>
        <v/>
      </c>
      <c r="P4588">
        <f>IF('01_Вводные'!$B$234="Да",IF(IF('01_Вводные'!$B$296="Новый сезон",TRUE,TRUE),'06_Сеть_и_дети'!P73*CapacityAge21*'19_Расчет_аналитики'!$F$4259,0),0)</f>
        <v/>
      </c>
      <c r="Q4588">
        <f>IF('01_Вводные'!$B$234="Да",IF(IF('01_Вводные'!$B$296="Новый сезон",TRUE,TRUE),'06_Сеть_и_дети'!Q73*CapacityAge21*'19_Расчет_аналитики'!$F$4259,0),0)</f>
        <v/>
      </c>
      <c r="R4588">
        <f>IF('01_Вводные'!$B$234="Да",IF(IF('01_Вводные'!$B$296="Новый сезон",TRUE,TRUE),'06_Сеть_и_дети'!R73*CapacityAge21*'19_Расчет_аналитики'!$F$4259,0),0)</f>
        <v/>
      </c>
      <c r="S4588">
        <f>IF('01_Вводные'!$B$234="Да",IF(IF('01_Вводные'!$B$296="Новый сезон",TRUE,TRUE),'06_Сеть_и_дети'!S73*CapacityAge21*'19_Расчет_аналитики'!$F$4259,0),0)</f>
        <v/>
      </c>
      <c r="T4588">
        <f>IF('01_Вводные'!$B$234="Да",IF(IF('01_Вводные'!$B$296="Новый сезон",TRUE,TRUE),'06_Сеть_и_дети'!T73*CapacityAge21*'19_Расчет_аналитики'!$F$4259,0),0)</f>
        <v/>
      </c>
      <c r="U4588">
        <f>IF('01_Вводные'!$B$234="Да",IF(IF('01_Вводные'!$B$296="Новый сезон",TRUE,TRUE),'06_Сеть_и_дети'!U73*CapacityAge21*'19_Расчет_аналитики'!$F$4259,0),0)</f>
        <v/>
      </c>
      <c r="V4588">
        <f>IF('01_Вводные'!$B$234="Да",IF(IF('01_Вводные'!$B$296="Новый сезон",TRUE,TRUE),'19_Расчет_аналитики'!V4476*CapacityAge21*'19_Расчет_аналитики'!$F$4259,0),0)</f>
        <v/>
      </c>
      <c r="W4588">
        <f>IF('01_Вводные'!$B$234="Да",IF(IF('01_Вводные'!$B$296="Новый сезон",TRUE,TRUE),'19_Расчет_аналитики'!W4476*CapacityAge21*'19_Расчет_аналитики'!$F$4259,0),0)</f>
        <v/>
      </c>
      <c r="X4588">
        <f>IF('01_Вводные'!$B$234="Да",IF(IF('01_Вводные'!$B$296="Новый сезон",TRUE,TRUE),'19_Расчет_аналитики'!X4476*CapacityAge21*'19_Расчет_аналитики'!$F$4259,0),0)</f>
        <v/>
      </c>
      <c r="Y4588">
        <f>IF('01_Вводные'!$B$234="Да",IF(IF('01_Вводные'!$B$296="Новый сезон",TRUE,TRUE),'19_Расчет_аналитики'!Y4476*CapacityAge21*'19_Расчет_аналитики'!$F$4259,0),0)</f>
        <v/>
      </c>
      <c r="Z4588">
        <f>IF('01_Вводные'!$B$234="Да",IF(IF('01_Вводные'!$B$296="Новый сезон",TRUE,TRUE),'19_Расчет_аналитики'!Z4476*CapacityAge21*'19_Расчет_аналитики'!$F$4259,0),0)</f>
        <v/>
      </c>
      <c r="AA4588">
        <f>IF('01_Вводные'!$B$234="Да",IF(IF('01_Вводные'!$B$296="Новый сезон",TRUE,TRUE),'19_Расчет_аналитики'!AA4476*CapacityAge21*'19_Расчет_аналитики'!$F$4259,0),0)</f>
        <v/>
      </c>
      <c r="AB4588">
        <f>IF('01_Вводные'!$B$234="Да",IF(IF('01_Вводные'!$B$296="Новый сезон",TRUE,TRUE),'19_Расчет_аналитики'!AB4476*CapacityAge21*'19_Расчет_аналитики'!$F$4259,0),0)</f>
        <v/>
      </c>
      <c r="AC4588">
        <f>IF('01_Вводные'!$B$234="Да",IF(IF('01_Вводные'!$B$296="Новый сезон",TRUE,TRUE),'19_Расчет_аналитики'!AC4476*CapacityAge21*'19_Расчет_аналитики'!$F$4259,0),0)</f>
        <v/>
      </c>
      <c r="AD4588">
        <f>IF('01_Вводные'!$B$234="Да",IF(IF('01_Вводные'!$B$296="Новый сезон",TRUE,TRUE),'19_Расчет_аналитики'!AD4476*CapacityAge21*'19_Расчет_аналитики'!$F$4259,0),0)</f>
        <v/>
      </c>
      <c r="AE4588">
        <f>IF('01_Вводные'!$B$234="Да",IF(IF('01_Вводные'!$B$296="Новый сезон",TRUE,TRUE),'19_Расчет_аналитики'!AE4476*CapacityAge21*'19_Расчет_аналитики'!$F$4259,0),0)</f>
        <v/>
      </c>
      <c r="AF4588">
        <f>IF('01_Вводные'!$B$234="Да",IF(IF('01_Вводные'!$B$296="Новый сезон",TRUE,TRUE),'19_Расчет_аналитики'!AF4476*CapacityAge21*'19_Расчет_аналитики'!$F$4259,0),0)</f>
        <v/>
      </c>
      <c r="AG4588">
        <f>IF('01_Вводные'!$B$234="Да",IF(IF('01_Вводные'!$B$296="Новый сезон",TRUE,TRUE),'19_Расчет_аналитики'!AG4476*CapacityAge21*'19_Расчет_аналитики'!$F$4259,0),0)</f>
        <v/>
      </c>
      <c r="AH4588">
        <f>IF('01_Вводные'!$B$234="Да",IF(IF('01_Вводные'!$B$296="Новый сезон",TRUE,TRUE),'19_Расчет_аналитики'!AH4476*CapacityAge21*'19_Расчет_аналитики'!$F$4259,0),0)</f>
        <v/>
      </c>
      <c r="AI4588">
        <f>IF('01_Вводные'!$B$234="Да",IF(IF('01_Вводные'!$B$296="Новый сезон",TRUE,TRUE),'19_Расчет_аналитики'!AI4476*CapacityAge21*'19_Расчет_аналитики'!$F$4259,0),0)</f>
        <v/>
      </c>
      <c r="AJ4588">
        <f>IF('01_Вводные'!$B$234="Да",IF(IF('01_Вводные'!$B$296="Новый сезон",TRUE,TRUE),'19_Расчет_аналитики'!AJ4476*CapacityAge21*'19_Расчет_аналитики'!$F$4259,0),0)</f>
        <v/>
      </c>
      <c r="AK4588">
        <f>IF('01_Вводные'!$B$234="Да",IF(IF('01_Вводные'!$B$296="Новый сезон",TRUE,TRUE),'19_Расчет_аналитики'!AK4476*CapacityAge21*'19_Расчет_аналитики'!$F$4259,0),0)</f>
        <v/>
      </c>
      <c r="AL4588">
        <f>IF('01_Вводные'!$B$234="Да",IF(IF('01_Вводные'!$B$296="Новый сезон",TRUE,TRUE),'19_Расчет_аналитики'!AL4476*CapacityAge21*'19_Расчет_аналитики'!$F$4259,0),0)</f>
        <v/>
      </c>
      <c r="AM4588">
        <f>IF('01_Вводные'!$B$234="Да",IF(IF('01_Вводные'!$B$296="Новый сезон",TRUE,TRUE),'19_Расчет_аналитики'!AM4476*CapacityAge21*'19_Расчет_аналитики'!$F$4259,0),0)</f>
        <v/>
      </c>
      <c r="AN4588">
        <f>IF('01_Вводные'!$B$234="Да",IF(IF('01_Вводные'!$B$296="Новый сезон",TRUE,TRUE),'19_Расчет_аналитики'!AN4476*CapacityAge21*'19_Расчет_аналитики'!$F$4259,0),0)</f>
        <v/>
      </c>
      <c r="AO4588">
        <f>IF('01_Вводные'!$B$234="Да",IF(IF('01_Вводные'!$B$296="Новый сезон",TRUE,TRUE),'19_Расчет_аналитики'!AO4476*CapacityAge21*'19_Расчет_аналитики'!$F$4259,0),0)</f>
        <v/>
      </c>
      <c r="AP4588">
        <f>IF('01_Вводные'!$B$234="Да",IF(IF('01_Вводные'!$B$296="Новый сезон",TRUE,TRUE),'19_Расчет_аналитики'!AP4476*CapacityAge21*'19_Расчет_аналитики'!$F$4259,0),0)</f>
        <v/>
      </c>
      <c r="AQ4588">
        <f>IF('01_Вводные'!$B$234="Да",IF(IF('01_Вводные'!$B$296="Новый сезон",TRUE,TRUE),'19_Расчет_аналитики'!AQ4476*CapacityAge21*'19_Расчет_аналитики'!$F$4259,0),0)</f>
        <v/>
      </c>
      <c r="AR4588">
        <f>IF('01_Вводные'!$B$234="Да",IF(IF('01_Вводные'!$B$296="Новый сезон",TRUE,TRUE),'19_Расчет_аналитики'!AR4476*CapacityAge21*'19_Расчет_аналитики'!$F$4259,0),0)</f>
        <v/>
      </c>
      <c r="AS4588">
        <f>IF('01_Вводные'!$B$234="Да",IF(IF('01_Вводные'!$B$296="Новый сезон",TRUE,TRUE),'19_Расчет_аналитики'!AS4476*CapacityAge21*'19_Расчет_аналитики'!$F$4259,0),0)</f>
        <v/>
      </c>
      <c r="AT4588">
        <f>IF('01_Вводные'!$B$234="Да",IF(IF('01_Вводные'!$B$296="Новый сезон",TRUE,TRUE),'19_Расчет_аналитики'!AT4476*CapacityAge21*'19_Расчет_аналитики'!$F$4259,0),0)</f>
        <v/>
      </c>
      <c r="AU4588">
        <f>IF('01_Вводные'!$B$234="Да",IF(IF('01_Вводные'!$B$296="Новый сезон",TRUE,TRUE),'19_Расчет_аналитики'!AU4476*CapacityAge21*'19_Расчет_аналитики'!$F$4259,0),0)</f>
        <v/>
      </c>
      <c r="AV4588">
        <f>IF('01_Вводные'!$B$234="Да",IF(IF('01_Вводные'!$B$296="Новый сезон",TRUE,TRUE),'19_Расчет_аналитики'!AV4476*CapacityAge21*'19_Расчет_аналитики'!$F$4259,0),0)</f>
        <v/>
      </c>
      <c r="AW4588">
        <f>IF('01_Вводные'!$B$234="Да",IF(IF('01_Вводные'!$B$296="Новый сезон",TRUE,TRUE),'19_Расчет_аналитики'!AW4476*CapacityAge21*'19_Расчет_аналитики'!$F$4259,0),0)</f>
        <v/>
      </c>
      <c r="AX4588">
        <f>IF('01_Вводные'!$B$234="Да",IF(IF('01_Вводные'!$B$296="Новый сезон",TRUE,TRUE),'19_Расчет_аналитики'!AX4476*CapacityAge21*'19_Расчет_аналитики'!$F$4259,0),0)</f>
        <v/>
      </c>
      <c r="AY4588">
        <f>IF('01_Вводные'!$B$234="Да",IF(IF('01_Вводные'!$B$296="Новый сезон",TRUE,TRUE),'19_Расчет_аналитики'!AY4476*CapacityAge21*'19_Расчет_аналитики'!$F$4259,0),0)</f>
        <v/>
      </c>
      <c r="AZ4588">
        <f>IF('01_Вводные'!$B$234="Да",IF(IF('01_Вводные'!$B$296="Новый сезон",TRUE,TRUE),'19_Расчет_аналитики'!AZ4476*CapacityAge21*'19_Расчет_аналитики'!$F$4259,0),0)</f>
        <v/>
      </c>
      <c r="BA4588">
        <f>IF('01_Вводные'!$B$234="Да",IF(IF('01_Вводные'!$B$296="Новый сезон",TRUE,TRUE),'19_Расчет_аналитики'!BA4476*CapacityAge21*'19_Расчет_аналитики'!$F$4259,0),0)</f>
        <v/>
      </c>
      <c r="BB4588">
        <f>IF('01_Вводные'!$B$234="Да",IF(IF('01_Вводные'!$B$296="Новый сезон",TRUE,TRUE),'19_Расчет_аналитики'!BB4476*CapacityAge21*'19_Расчет_аналитики'!$F$4259,0),0)</f>
        <v/>
      </c>
      <c r="BC4588">
        <f>IF('01_Вводные'!$B$234="Да",IF(IF('01_Вводные'!$B$296="Новый сезон",TRUE,TRUE),'19_Расчет_аналитики'!BC4476*CapacityAge21*'19_Расчет_аналитики'!$F$4259,0),0)</f>
        <v/>
      </c>
      <c r="BD4588">
        <f>IF('01_Вводные'!$B$234="Да",IF(IF('01_Вводные'!$B$296="Новый сезон",TRUE,TRUE),'19_Расчет_аналитики'!BD4476*CapacityAge21*'19_Расчет_аналитики'!$F$4259,0),0)</f>
        <v/>
      </c>
      <c r="BE4588">
        <f>IF('01_Вводные'!$B$234="Да",IF(IF('01_Вводные'!$B$296="Новый сезон",TRUE,TRUE),'19_Расчет_аналитики'!BE4476*CapacityAge21*'19_Расчет_аналитики'!$F$4259,0),0)</f>
        <v/>
      </c>
      <c r="BF4588">
        <f>IF('01_Вводные'!$B$234="Да",IF(IF('01_Вводные'!$B$296="Новый сезон",TRUE,TRUE),'19_Расчет_аналитики'!BF4476*CapacityAge21*'19_Расчет_аналитики'!$F$4259,0),0)</f>
        <v/>
      </c>
      <c r="BG4588">
        <f>IF('01_Вводные'!$B$234="Да",IF(IF('01_Вводные'!$B$296="Новый сезон",TRUE,TRUE),'19_Расчет_аналитики'!BG4476*CapacityAge21*'19_Расчет_аналитики'!$F$4259,0),0)</f>
        <v/>
      </c>
      <c r="BH4588">
        <f>IF('01_Вводные'!$B$234="Да",IF(IF('01_Вводные'!$B$296="Новый сезон",TRUE,TRUE),'19_Расчет_аналитики'!BH4476*CapacityAge21*'19_Расчет_аналитики'!$F$4259,0),0)</f>
        <v/>
      </c>
      <c r="BI4588">
        <f>IF('01_Вводные'!$B$234="Да",IF(IF('01_Вводные'!$B$296="Новый сезон",TRUE,TRUE),'19_Расчет_аналитики'!BI4476*CapacityAge21*'19_Расчет_аналитики'!$F$4259,0),0)</f>
        <v/>
      </c>
      <c r="BJ4588">
        <f>IF('01_Вводные'!$B$234="Да",IF(IF('01_Вводные'!$B$296="Новый сезон",TRUE,TRUE),'19_Расчет_аналитики'!BJ4476*CapacityAge21*'19_Расчет_аналитики'!$F$4259,0),0)</f>
        <v/>
      </c>
      <c r="BK4588">
        <f>IF('01_Вводные'!$B$234="Да",IF(IF('01_Вводные'!$B$296="Новый сезон",TRUE,TRUE),'19_Расчет_аналитики'!BK4476*CapacityAge21*'19_Расчет_аналитики'!$F$4259,0),0)</f>
        <v/>
      </c>
      <c r="BL4588">
        <f>IF('01_Вводные'!$B$234="Да",IF(IF('01_Вводные'!$B$296="Новый сезон",TRUE,TRUE),'19_Расчет_аналитики'!BL4476*CapacityAge21*'19_Расчет_аналитики'!$F$4259,0),0)</f>
        <v/>
      </c>
      <c r="BM4588">
        <f>IF('01_Вводные'!$B$234="Да",IF(IF('01_Вводные'!$B$296="Новый сезон",TRUE,TRUE),'19_Расчет_аналитики'!BM4476*CapacityAge21*'19_Расчет_аналитики'!$F$4259,0),0)</f>
        <v/>
      </c>
      <c r="BN4588">
        <f>IF('01_Вводные'!$B$234="Да",IF(IF('01_Вводные'!$B$296="Новый сезон",TRUE,TRUE),'19_Расчет_аналитики'!BN4476*CapacityAge21*'19_Расчет_аналитики'!$F$4259,0),0)</f>
        <v/>
      </c>
      <c r="BO4588">
        <f>IF('01_Вводные'!$B$234="Да",IF(IF('01_Вводные'!$B$296="Новый сезон",TRUE,TRUE),'19_Расчет_аналитики'!BO4476*CapacityAge21*'19_Расчет_аналитики'!$F$4259,0),0)</f>
        <v/>
      </c>
    </row>
    <row r="4589">
      <c r="B4589">
        <f>IF('01_Вводные'!$B$234="Да",IF(IF('01_Вводные'!$B$296="Новый сезон",TRUE,TRUE),'06_Сеть_и_дети'!B74*CapacityAge22*'19_Расчет_аналитики'!$F$4259,0),0)</f>
        <v/>
      </c>
      <c r="C4589">
        <f>IF('01_Вводные'!$B$234="Да",IF(IF('01_Вводные'!$B$296="Новый сезон",TRUE,TRUE),'06_Сеть_и_дети'!C74*CapacityAge22*'19_Расчет_аналитики'!$F$4259,0),0)</f>
        <v/>
      </c>
      <c r="D4589">
        <f>IF('01_Вводные'!$B$234="Да",IF(IF('01_Вводные'!$B$296="Новый сезон",TRUE,TRUE),'06_Сеть_и_дети'!D74*CapacityAge22*'19_Расчет_аналитики'!$F$4259,0),0)</f>
        <v/>
      </c>
      <c r="E4589">
        <f>IF('01_Вводные'!$B$234="Да",IF(IF('01_Вводные'!$B$296="Новый сезон",TRUE,TRUE),'06_Сеть_и_дети'!E74*CapacityAge22*'19_Расчет_аналитики'!$F$4259,0),0)</f>
        <v/>
      </c>
      <c r="F4589">
        <f>IF('01_Вводные'!$B$234="Да",IF(IF('01_Вводные'!$B$296="Новый сезон",TRUE,TRUE),'06_Сеть_и_дети'!F74*CapacityAge22*'19_Расчет_аналитики'!$F$4259,0),0)</f>
        <v/>
      </c>
      <c r="G4589">
        <f>IF('01_Вводные'!$B$234="Да",IF(IF('01_Вводные'!$B$296="Новый сезон",TRUE,TRUE),'06_Сеть_и_дети'!G74*CapacityAge22*'19_Расчет_аналитики'!$F$4259,0),0)</f>
        <v/>
      </c>
      <c r="H4589">
        <f>IF('01_Вводные'!$B$234="Да",IF(IF('01_Вводные'!$B$296="Новый сезон",TRUE,TRUE),'06_Сеть_и_дети'!H74*CapacityAge22*'19_Расчет_аналитики'!$F$4259,0),0)</f>
        <v/>
      </c>
      <c r="I4589">
        <f>IF('01_Вводные'!$B$234="Да",IF(IF('01_Вводные'!$B$296="Новый сезон",TRUE,TRUE),'06_Сеть_и_дети'!I74*CapacityAge22*'19_Расчет_аналитики'!$F$4259,0),0)</f>
        <v/>
      </c>
      <c r="J4589">
        <f>IF('01_Вводные'!$B$234="Да",IF(IF('01_Вводные'!$B$296="Новый сезон",TRUE,TRUE),'06_Сеть_и_дети'!J74*CapacityAge22*'19_Расчет_аналитики'!$F$4259,0),0)</f>
        <v/>
      </c>
      <c r="K4589">
        <f>IF('01_Вводные'!$B$234="Да",IF(IF('01_Вводные'!$B$296="Новый сезон",TRUE,TRUE),'06_Сеть_и_дети'!K74*CapacityAge22*'19_Расчет_аналитики'!$F$4259,0),0)</f>
        <v/>
      </c>
      <c r="L4589">
        <f>IF('01_Вводные'!$B$234="Да",IF(IF('01_Вводные'!$B$296="Новый сезон",TRUE,TRUE),'06_Сеть_и_дети'!L74*CapacityAge22*'19_Расчет_аналитики'!$F$4259,0),0)</f>
        <v/>
      </c>
      <c r="M4589">
        <f>IF('01_Вводные'!$B$234="Да",IF(IF('01_Вводные'!$B$296="Новый сезон",TRUE,TRUE),'06_Сеть_и_дети'!M74*CapacityAge22*'19_Расчет_аналитики'!$F$4259,0),0)</f>
        <v/>
      </c>
      <c r="N4589">
        <f>IF('01_Вводные'!$B$234="Да",IF(IF('01_Вводные'!$B$296="Новый сезон",TRUE,TRUE),'06_Сеть_и_дети'!N74*CapacityAge22*'19_Расчет_аналитики'!$F$4259,0),0)</f>
        <v/>
      </c>
      <c r="O4589">
        <f>IF('01_Вводные'!$B$234="Да",IF(IF('01_Вводные'!$B$296="Новый сезон",TRUE,TRUE),'06_Сеть_и_дети'!O74*CapacityAge22*'19_Расчет_аналитики'!$F$4259,0),0)</f>
        <v/>
      </c>
      <c r="P4589">
        <f>IF('01_Вводные'!$B$234="Да",IF(IF('01_Вводные'!$B$296="Новый сезон",TRUE,TRUE),'06_Сеть_и_дети'!P74*CapacityAge22*'19_Расчет_аналитики'!$F$4259,0),0)</f>
        <v/>
      </c>
      <c r="Q4589">
        <f>IF('01_Вводные'!$B$234="Да",IF(IF('01_Вводные'!$B$296="Новый сезон",TRUE,TRUE),'06_Сеть_и_дети'!Q74*CapacityAge22*'19_Расчет_аналитики'!$F$4259,0),0)</f>
        <v/>
      </c>
      <c r="R4589">
        <f>IF('01_Вводные'!$B$234="Да",IF(IF('01_Вводные'!$B$296="Новый сезон",TRUE,TRUE),'06_Сеть_и_дети'!R74*CapacityAge22*'19_Расчет_аналитики'!$F$4259,0),0)</f>
        <v/>
      </c>
      <c r="S4589">
        <f>IF('01_Вводные'!$B$234="Да",IF(IF('01_Вводные'!$B$296="Новый сезон",TRUE,TRUE),'06_Сеть_и_дети'!S74*CapacityAge22*'19_Расчет_аналитики'!$F$4259,0),0)</f>
        <v/>
      </c>
      <c r="T4589">
        <f>IF('01_Вводные'!$B$234="Да",IF(IF('01_Вводные'!$B$296="Новый сезон",TRUE,TRUE),'06_Сеть_и_дети'!T74*CapacityAge22*'19_Расчет_аналитики'!$F$4259,0),0)</f>
        <v/>
      </c>
      <c r="U4589">
        <f>IF('01_Вводные'!$B$234="Да",IF(IF('01_Вводные'!$B$296="Новый сезон",TRUE,TRUE),'06_Сеть_и_дети'!U74*CapacityAge22*'19_Расчет_аналитики'!$F$4259,0),0)</f>
        <v/>
      </c>
      <c r="V4589">
        <f>IF('01_Вводные'!$B$234="Да",IF(IF('01_Вводные'!$B$296="Новый сезон",TRUE,TRUE),'06_Сеть_и_дети'!V74*CapacityAge22*'19_Расчет_аналитики'!$F$4259,0),0)</f>
        <v/>
      </c>
      <c r="W4589">
        <f>IF('01_Вводные'!$B$234="Да",IF(IF('01_Вводные'!$B$296="Новый сезон",TRUE,TRUE),'19_Расчет_аналитики'!W4477*CapacityAge22*'19_Расчет_аналитики'!$F$4259,0),0)</f>
        <v/>
      </c>
      <c r="X4589">
        <f>IF('01_Вводные'!$B$234="Да",IF(IF('01_Вводные'!$B$296="Новый сезон",TRUE,TRUE),'19_Расчет_аналитики'!X4477*CapacityAge22*'19_Расчет_аналитики'!$F$4259,0),0)</f>
        <v/>
      </c>
      <c r="Y4589">
        <f>IF('01_Вводные'!$B$234="Да",IF(IF('01_Вводные'!$B$296="Новый сезон",TRUE,TRUE),'19_Расчет_аналитики'!Y4477*CapacityAge22*'19_Расчет_аналитики'!$F$4259,0),0)</f>
        <v/>
      </c>
      <c r="Z4589">
        <f>IF('01_Вводные'!$B$234="Да",IF(IF('01_Вводные'!$B$296="Новый сезон",TRUE,TRUE),'19_Расчет_аналитики'!Z4477*CapacityAge22*'19_Расчет_аналитики'!$F$4259,0),0)</f>
        <v/>
      </c>
      <c r="AA4589">
        <f>IF('01_Вводные'!$B$234="Да",IF(IF('01_Вводные'!$B$296="Новый сезон",TRUE,TRUE),'19_Расчет_аналитики'!AA4477*CapacityAge22*'19_Расчет_аналитики'!$F$4259,0),0)</f>
        <v/>
      </c>
      <c r="AB4589">
        <f>IF('01_Вводные'!$B$234="Да",IF(IF('01_Вводные'!$B$296="Новый сезон",TRUE,TRUE),'19_Расчет_аналитики'!AB4477*CapacityAge22*'19_Расчет_аналитики'!$F$4259,0),0)</f>
        <v/>
      </c>
      <c r="AC4589">
        <f>IF('01_Вводные'!$B$234="Да",IF(IF('01_Вводные'!$B$296="Новый сезон",TRUE,TRUE),'19_Расчет_аналитики'!AC4477*CapacityAge22*'19_Расчет_аналитики'!$F$4259,0),0)</f>
        <v/>
      </c>
      <c r="AD4589">
        <f>IF('01_Вводные'!$B$234="Да",IF(IF('01_Вводные'!$B$296="Новый сезон",TRUE,TRUE),'19_Расчет_аналитики'!AD4477*CapacityAge22*'19_Расчет_аналитики'!$F$4259,0),0)</f>
        <v/>
      </c>
      <c r="AE4589">
        <f>IF('01_Вводные'!$B$234="Да",IF(IF('01_Вводные'!$B$296="Новый сезон",TRUE,TRUE),'19_Расчет_аналитики'!AE4477*CapacityAge22*'19_Расчет_аналитики'!$F$4259,0),0)</f>
        <v/>
      </c>
      <c r="AF4589">
        <f>IF('01_Вводные'!$B$234="Да",IF(IF('01_Вводные'!$B$296="Новый сезон",TRUE,TRUE),'19_Расчет_аналитики'!AF4477*CapacityAge22*'19_Расчет_аналитики'!$F$4259,0),0)</f>
        <v/>
      </c>
      <c r="AG4589">
        <f>IF('01_Вводные'!$B$234="Да",IF(IF('01_Вводные'!$B$296="Новый сезон",TRUE,TRUE),'19_Расчет_аналитики'!AG4477*CapacityAge22*'19_Расчет_аналитики'!$F$4259,0),0)</f>
        <v/>
      </c>
      <c r="AH4589">
        <f>IF('01_Вводные'!$B$234="Да",IF(IF('01_Вводные'!$B$296="Новый сезон",TRUE,TRUE),'19_Расчет_аналитики'!AH4477*CapacityAge22*'19_Расчет_аналитики'!$F$4259,0),0)</f>
        <v/>
      </c>
      <c r="AI4589">
        <f>IF('01_Вводные'!$B$234="Да",IF(IF('01_Вводные'!$B$296="Новый сезон",TRUE,TRUE),'19_Расчет_аналитики'!AI4477*CapacityAge22*'19_Расчет_аналитики'!$F$4259,0),0)</f>
        <v/>
      </c>
      <c r="AJ4589">
        <f>IF('01_Вводные'!$B$234="Да",IF(IF('01_Вводные'!$B$296="Новый сезон",TRUE,TRUE),'19_Расчет_аналитики'!AJ4477*CapacityAge22*'19_Расчет_аналитики'!$F$4259,0),0)</f>
        <v/>
      </c>
      <c r="AK4589">
        <f>IF('01_Вводные'!$B$234="Да",IF(IF('01_Вводные'!$B$296="Новый сезон",TRUE,TRUE),'19_Расчет_аналитики'!AK4477*CapacityAge22*'19_Расчет_аналитики'!$F$4259,0),0)</f>
        <v/>
      </c>
      <c r="AL4589">
        <f>IF('01_Вводные'!$B$234="Да",IF(IF('01_Вводные'!$B$296="Новый сезон",TRUE,TRUE),'19_Расчет_аналитики'!AL4477*CapacityAge22*'19_Расчет_аналитики'!$F$4259,0),0)</f>
        <v/>
      </c>
      <c r="AM4589">
        <f>IF('01_Вводные'!$B$234="Да",IF(IF('01_Вводные'!$B$296="Новый сезон",TRUE,TRUE),'19_Расчет_аналитики'!AM4477*CapacityAge22*'19_Расчет_аналитики'!$F$4259,0),0)</f>
        <v/>
      </c>
      <c r="AN4589">
        <f>IF('01_Вводные'!$B$234="Да",IF(IF('01_Вводные'!$B$296="Новый сезон",TRUE,TRUE),'19_Расчет_аналитики'!AN4477*CapacityAge22*'19_Расчет_аналитики'!$F$4259,0),0)</f>
        <v/>
      </c>
      <c r="AO4589">
        <f>IF('01_Вводные'!$B$234="Да",IF(IF('01_Вводные'!$B$296="Новый сезон",TRUE,TRUE),'19_Расчет_аналитики'!AO4477*CapacityAge22*'19_Расчет_аналитики'!$F$4259,0),0)</f>
        <v/>
      </c>
      <c r="AP4589">
        <f>IF('01_Вводные'!$B$234="Да",IF(IF('01_Вводные'!$B$296="Новый сезон",TRUE,TRUE),'19_Расчет_аналитики'!AP4477*CapacityAge22*'19_Расчет_аналитики'!$F$4259,0),0)</f>
        <v/>
      </c>
      <c r="AQ4589">
        <f>IF('01_Вводные'!$B$234="Да",IF(IF('01_Вводные'!$B$296="Новый сезон",TRUE,TRUE),'19_Расчет_аналитики'!AQ4477*CapacityAge22*'19_Расчет_аналитики'!$F$4259,0),0)</f>
        <v/>
      </c>
      <c r="AR4589">
        <f>IF('01_Вводные'!$B$234="Да",IF(IF('01_Вводные'!$B$296="Новый сезон",TRUE,TRUE),'19_Расчет_аналитики'!AR4477*CapacityAge22*'19_Расчет_аналитики'!$F$4259,0),0)</f>
        <v/>
      </c>
      <c r="AS4589">
        <f>IF('01_Вводные'!$B$234="Да",IF(IF('01_Вводные'!$B$296="Новый сезон",TRUE,TRUE),'19_Расчет_аналитики'!AS4477*CapacityAge22*'19_Расчет_аналитики'!$F$4259,0),0)</f>
        <v/>
      </c>
      <c r="AT4589">
        <f>IF('01_Вводные'!$B$234="Да",IF(IF('01_Вводные'!$B$296="Новый сезон",TRUE,TRUE),'19_Расчет_аналитики'!AT4477*CapacityAge22*'19_Расчет_аналитики'!$F$4259,0),0)</f>
        <v/>
      </c>
      <c r="AU4589">
        <f>IF('01_Вводные'!$B$234="Да",IF(IF('01_Вводные'!$B$296="Новый сезон",TRUE,TRUE),'19_Расчет_аналитики'!AU4477*CapacityAge22*'19_Расчет_аналитики'!$F$4259,0),0)</f>
        <v/>
      </c>
      <c r="AV4589">
        <f>IF('01_Вводные'!$B$234="Да",IF(IF('01_Вводные'!$B$296="Новый сезон",TRUE,TRUE),'19_Расчет_аналитики'!AV4477*CapacityAge22*'19_Расчет_аналитики'!$F$4259,0),0)</f>
        <v/>
      </c>
      <c r="AW4589">
        <f>IF('01_Вводные'!$B$234="Да",IF(IF('01_Вводные'!$B$296="Новый сезон",TRUE,TRUE),'19_Расчет_аналитики'!AW4477*CapacityAge22*'19_Расчет_аналитики'!$F$4259,0),0)</f>
        <v/>
      </c>
      <c r="AX4589">
        <f>IF('01_Вводные'!$B$234="Да",IF(IF('01_Вводные'!$B$296="Новый сезон",TRUE,TRUE),'19_Расчет_аналитики'!AX4477*CapacityAge22*'19_Расчет_аналитики'!$F$4259,0),0)</f>
        <v/>
      </c>
      <c r="AY4589">
        <f>IF('01_Вводные'!$B$234="Да",IF(IF('01_Вводные'!$B$296="Новый сезон",TRUE,TRUE),'19_Расчет_аналитики'!AY4477*CapacityAge22*'19_Расчет_аналитики'!$F$4259,0),0)</f>
        <v/>
      </c>
      <c r="AZ4589">
        <f>IF('01_Вводные'!$B$234="Да",IF(IF('01_Вводные'!$B$296="Новый сезон",TRUE,TRUE),'19_Расчет_аналитики'!AZ4477*CapacityAge22*'19_Расчет_аналитики'!$F$4259,0),0)</f>
        <v/>
      </c>
      <c r="BA4589">
        <f>IF('01_Вводные'!$B$234="Да",IF(IF('01_Вводные'!$B$296="Новый сезон",TRUE,TRUE),'19_Расчет_аналитики'!BA4477*CapacityAge22*'19_Расчет_аналитики'!$F$4259,0),0)</f>
        <v/>
      </c>
      <c r="BB4589">
        <f>IF('01_Вводные'!$B$234="Да",IF(IF('01_Вводные'!$B$296="Новый сезон",TRUE,TRUE),'19_Расчет_аналитики'!BB4477*CapacityAge22*'19_Расчет_аналитики'!$F$4259,0),0)</f>
        <v/>
      </c>
      <c r="BC4589">
        <f>IF('01_Вводные'!$B$234="Да",IF(IF('01_Вводные'!$B$296="Новый сезон",TRUE,TRUE),'19_Расчет_аналитики'!BC4477*CapacityAge22*'19_Расчет_аналитики'!$F$4259,0),0)</f>
        <v/>
      </c>
      <c r="BD4589">
        <f>IF('01_Вводные'!$B$234="Да",IF(IF('01_Вводные'!$B$296="Новый сезон",TRUE,TRUE),'19_Расчет_аналитики'!BD4477*CapacityAge22*'19_Расчет_аналитики'!$F$4259,0),0)</f>
        <v/>
      </c>
      <c r="BE4589">
        <f>IF('01_Вводные'!$B$234="Да",IF(IF('01_Вводные'!$B$296="Новый сезон",TRUE,TRUE),'19_Расчет_аналитики'!BE4477*CapacityAge22*'19_Расчет_аналитики'!$F$4259,0),0)</f>
        <v/>
      </c>
      <c r="BF4589">
        <f>IF('01_Вводные'!$B$234="Да",IF(IF('01_Вводные'!$B$296="Новый сезон",TRUE,TRUE),'19_Расчет_аналитики'!BF4477*CapacityAge22*'19_Расчет_аналитики'!$F$4259,0),0)</f>
        <v/>
      </c>
      <c r="BG4589">
        <f>IF('01_Вводные'!$B$234="Да",IF(IF('01_Вводные'!$B$296="Новый сезон",TRUE,TRUE),'19_Расчет_аналитики'!BG4477*CapacityAge22*'19_Расчет_аналитики'!$F$4259,0),0)</f>
        <v/>
      </c>
      <c r="BH4589">
        <f>IF('01_Вводные'!$B$234="Да",IF(IF('01_Вводные'!$B$296="Новый сезон",TRUE,TRUE),'19_Расчет_аналитики'!BH4477*CapacityAge22*'19_Расчет_аналитики'!$F$4259,0),0)</f>
        <v/>
      </c>
      <c r="BI4589">
        <f>IF('01_Вводные'!$B$234="Да",IF(IF('01_Вводные'!$B$296="Новый сезон",TRUE,TRUE),'19_Расчет_аналитики'!BI4477*CapacityAge22*'19_Расчет_аналитики'!$F$4259,0),0)</f>
        <v/>
      </c>
      <c r="BJ4589">
        <f>IF('01_Вводные'!$B$234="Да",IF(IF('01_Вводные'!$B$296="Новый сезон",TRUE,TRUE),'19_Расчет_аналитики'!BJ4477*CapacityAge22*'19_Расчет_аналитики'!$F$4259,0),0)</f>
        <v/>
      </c>
      <c r="BK4589">
        <f>IF('01_Вводные'!$B$234="Да",IF(IF('01_Вводные'!$B$296="Новый сезон",TRUE,TRUE),'19_Расчет_аналитики'!BK4477*CapacityAge22*'19_Расчет_аналитики'!$F$4259,0),0)</f>
        <v/>
      </c>
      <c r="BL4589">
        <f>IF('01_Вводные'!$B$234="Да",IF(IF('01_Вводные'!$B$296="Новый сезон",TRUE,TRUE),'19_Расчет_аналитики'!BL4477*CapacityAge22*'19_Расчет_аналитики'!$F$4259,0),0)</f>
        <v/>
      </c>
      <c r="BM4589">
        <f>IF('01_Вводные'!$B$234="Да",IF(IF('01_Вводные'!$B$296="Новый сезон",TRUE,TRUE),'19_Расчет_аналитики'!BM4477*CapacityAge22*'19_Расчет_аналитики'!$F$4259,0),0)</f>
        <v/>
      </c>
      <c r="BN4589">
        <f>IF('01_Вводные'!$B$234="Да",IF(IF('01_Вводные'!$B$296="Новый сезон",TRUE,TRUE),'19_Расчет_аналитики'!BN4477*CapacityAge22*'19_Расчет_аналитики'!$F$4259,0),0)</f>
        <v/>
      </c>
      <c r="BO4589">
        <f>IF('01_Вводные'!$B$234="Да",IF(IF('01_Вводные'!$B$296="Новый сезон",TRUE,TRUE),'19_Расчет_аналитики'!BO4477*CapacityAge22*'19_Расчет_аналитики'!$F$4259,0),0)</f>
        <v/>
      </c>
    </row>
    <row r="4590">
      <c r="B4590">
        <f>IF('01_Вводные'!$B$234="Да",IF(IF('01_Вводные'!$B$296="Новый сезон",TRUE,TRUE),'06_Сеть_и_дети'!B75*CapacityAge23*'19_Расчет_аналитики'!$F$4259,0),0)</f>
        <v/>
      </c>
      <c r="C4590">
        <f>IF('01_Вводные'!$B$234="Да",IF(IF('01_Вводные'!$B$296="Новый сезон",TRUE,TRUE),'06_Сеть_и_дети'!C75*CapacityAge23*'19_Расчет_аналитики'!$F$4259,0),0)</f>
        <v/>
      </c>
      <c r="D4590">
        <f>IF('01_Вводные'!$B$234="Да",IF(IF('01_Вводные'!$B$296="Новый сезон",TRUE,TRUE),'06_Сеть_и_дети'!D75*CapacityAge23*'19_Расчет_аналитики'!$F$4259,0),0)</f>
        <v/>
      </c>
      <c r="E4590">
        <f>IF('01_Вводные'!$B$234="Да",IF(IF('01_Вводные'!$B$296="Новый сезон",TRUE,TRUE),'06_Сеть_и_дети'!E75*CapacityAge23*'19_Расчет_аналитики'!$F$4259,0),0)</f>
        <v/>
      </c>
      <c r="F4590">
        <f>IF('01_Вводные'!$B$234="Да",IF(IF('01_Вводные'!$B$296="Новый сезон",TRUE,TRUE),'06_Сеть_и_дети'!F75*CapacityAge23*'19_Расчет_аналитики'!$F$4259,0),0)</f>
        <v/>
      </c>
      <c r="G4590">
        <f>IF('01_Вводные'!$B$234="Да",IF(IF('01_Вводные'!$B$296="Новый сезон",TRUE,TRUE),'06_Сеть_и_дети'!G75*CapacityAge23*'19_Расчет_аналитики'!$F$4259,0),0)</f>
        <v/>
      </c>
      <c r="H4590">
        <f>IF('01_Вводные'!$B$234="Да",IF(IF('01_Вводные'!$B$296="Новый сезон",TRUE,TRUE),'06_Сеть_и_дети'!H75*CapacityAge23*'19_Расчет_аналитики'!$F$4259,0),0)</f>
        <v/>
      </c>
      <c r="I4590">
        <f>IF('01_Вводные'!$B$234="Да",IF(IF('01_Вводные'!$B$296="Новый сезон",TRUE,TRUE),'06_Сеть_и_дети'!I75*CapacityAge23*'19_Расчет_аналитики'!$F$4259,0),0)</f>
        <v/>
      </c>
      <c r="J4590">
        <f>IF('01_Вводные'!$B$234="Да",IF(IF('01_Вводные'!$B$296="Новый сезон",TRUE,TRUE),'06_Сеть_и_дети'!J75*CapacityAge23*'19_Расчет_аналитики'!$F$4259,0),0)</f>
        <v/>
      </c>
      <c r="K4590">
        <f>IF('01_Вводные'!$B$234="Да",IF(IF('01_Вводные'!$B$296="Новый сезон",TRUE,TRUE),'06_Сеть_и_дети'!K75*CapacityAge23*'19_Расчет_аналитики'!$F$4259,0),0)</f>
        <v/>
      </c>
      <c r="L4590">
        <f>IF('01_Вводные'!$B$234="Да",IF(IF('01_Вводные'!$B$296="Новый сезон",TRUE,TRUE),'06_Сеть_и_дети'!L75*CapacityAge23*'19_Расчет_аналитики'!$F$4259,0),0)</f>
        <v/>
      </c>
      <c r="M4590">
        <f>IF('01_Вводные'!$B$234="Да",IF(IF('01_Вводные'!$B$296="Новый сезон",TRUE,TRUE),'06_Сеть_и_дети'!M75*CapacityAge23*'19_Расчет_аналитики'!$F$4259,0),0)</f>
        <v/>
      </c>
      <c r="N4590">
        <f>IF('01_Вводные'!$B$234="Да",IF(IF('01_Вводные'!$B$296="Новый сезон",TRUE,TRUE),'06_Сеть_и_дети'!N75*CapacityAge23*'19_Расчет_аналитики'!$F$4259,0),0)</f>
        <v/>
      </c>
      <c r="O4590">
        <f>IF('01_Вводные'!$B$234="Да",IF(IF('01_Вводные'!$B$296="Новый сезон",TRUE,TRUE),'06_Сеть_и_дети'!O75*CapacityAge23*'19_Расчет_аналитики'!$F$4259,0),0)</f>
        <v/>
      </c>
      <c r="P4590">
        <f>IF('01_Вводные'!$B$234="Да",IF(IF('01_Вводные'!$B$296="Новый сезон",TRUE,TRUE),'06_Сеть_и_дети'!P75*CapacityAge23*'19_Расчет_аналитики'!$F$4259,0),0)</f>
        <v/>
      </c>
      <c r="Q4590">
        <f>IF('01_Вводные'!$B$234="Да",IF(IF('01_Вводные'!$B$296="Новый сезон",TRUE,TRUE),'06_Сеть_и_дети'!Q75*CapacityAge23*'19_Расчет_аналитики'!$F$4259,0),0)</f>
        <v/>
      </c>
      <c r="R4590">
        <f>IF('01_Вводные'!$B$234="Да",IF(IF('01_Вводные'!$B$296="Новый сезон",TRUE,TRUE),'06_Сеть_и_дети'!R75*CapacityAge23*'19_Расчет_аналитики'!$F$4259,0),0)</f>
        <v/>
      </c>
      <c r="S4590">
        <f>IF('01_Вводные'!$B$234="Да",IF(IF('01_Вводные'!$B$296="Новый сезон",TRUE,TRUE),'06_Сеть_и_дети'!S75*CapacityAge23*'19_Расчет_аналитики'!$F$4259,0),0)</f>
        <v/>
      </c>
      <c r="T4590">
        <f>IF('01_Вводные'!$B$234="Да",IF(IF('01_Вводные'!$B$296="Новый сезон",TRUE,TRUE),'06_Сеть_и_дети'!T75*CapacityAge23*'19_Расчет_аналитики'!$F$4259,0),0)</f>
        <v/>
      </c>
      <c r="U4590">
        <f>IF('01_Вводные'!$B$234="Да",IF(IF('01_Вводные'!$B$296="Новый сезон",TRUE,TRUE),'06_Сеть_и_дети'!U75*CapacityAge23*'19_Расчет_аналитики'!$F$4259,0),0)</f>
        <v/>
      </c>
      <c r="V4590">
        <f>IF('01_Вводные'!$B$234="Да",IF(IF('01_Вводные'!$B$296="Новый сезон",TRUE,TRUE),'06_Сеть_и_дети'!V75*CapacityAge23*'19_Расчет_аналитики'!$F$4259,0),0)</f>
        <v/>
      </c>
      <c r="W4590">
        <f>IF('01_Вводные'!$B$234="Да",IF(IF('01_Вводные'!$B$296="Новый сезон",TRUE,TRUE),'06_Сеть_и_дети'!W75*CapacityAge23*'19_Расчет_аналитики'!$F$4259,0),0)</f>
        <v/>
      </c>
      <c r="X4590">
        <f>IF('01_Вводные'!$B$234="Да",IF(IF('01_Вводные'!$B$296="Новый сезон",TRUE,TRUE),'19_Расчет_аналитики'!X4478*CapacityAge23*'19_Расчет_аналитики'!$F$4259,0),0)</f>
        <v/>
      </c>
      <c r="Y4590">
        <f>IF('01_Вводные'!$B$234="Да",IF(IF('01_Вводные'!$B$296="Новый сезон",TRUE,TRUE),'19_Расчет_аналитики'!Y4478*CapacityAge23*'19_Расчет_аналитики'!$F$4259,0),0)</f>
        <v/>
      </c>
      <c r="Z4590">
        <f>IF('01_Вводные'!$B$234="Да",IF(IF('01_Вводные'!$B$296="Новый сезон",TRUE,TRUE),'19_Расчет_аналитики'!Z4478*CapacityAge23*'19_Расчет_аналитики'!$F$4259,0),0)</f>
        <v/>
      </c>
      <c r="AA4590">
        <f>IF('01_Вводные'!$B$234="Да",IF(IF('01_Вводные'!$B$296="Новый сезон",TRUE,TRUE),'19_Расчет_аналитики'!AA4478*CapacityAge23*'19_Расчет_аналитики'!$F$4259,0),0)</f>
        <v/>
      </c>
      <c r="AB4590">
        <f>IF('01_Вводные'!$B$234="Да",IF(IF('01_Вводные'!$B$296="Новый сезон",TRUE,TRUE),'19_Расчет_аналитики'!AB4478*CapacityAge23*'19_Расчет_аналитики'!$F$4259,0),0)</f>
        <v/>
      </c>
      <c r="AC4590">
        <f>IF('01_Вводные'!$B$234="Да",IF(IF('01_Вводные'!$B$296="Новый сезон",TRUE,TRUE),'19_Расчет_аналитики'!AC4478*CapacityAge23*'19_Расчет_аналитики'!$F$4259,0),0)</f>
        <v/>
      </c>
      <c r="AD4590">
        <f>IF('01_Вводные'!$B$234="Да",IF(IF('01_Вводные'!$B$296="Новый сезон",TRUE,TRUE),'19_Расчет_аналитики'!AD4478*CapacityAge23*'19_Расчет_аналитики'!$F$4259,0),0)</f>
        <v/>
      </c>
      <c r="AE4590">
        <f>IF('01_Вводные'!$B$234="Да",IF(IF('01_Вводные'!$B$296="Новый сезон",TRUE,TRUE),'19_Расчет_аналитики'!AE4478*CapacityAge23*'19_Расчет_аналитики'!$F$4259,0),0)</f>
        <v/>
      </c>
      <c r="AF4590">
        <f>IF('01_Вводные'!$B$234="Да",IF(IF('01_Вводные'!$B$296="Новый сезон",TRUE,TRUE),'19_Расчет_аналитики'!AF4478*CapacityAge23*'19_Расчет_аналитики'!$F$4259,0),0)</f>
        <v/>
      </c>
      <c r="AG4590">
        <f>IF('01_Вводные'!$B$234="Да",IF(IF('01_Вводные'!$B$296="Новый сезон",TRUE,TRUE),'19_Расчет_аналитики'!AG4478*CapacityAge23*'19_Расчет_аналитики'!$F$4259,0),0)</f>
        <v/>
      </c>
      <c r="AH4590">
        <f>IF('01_Вводные'!$B$234="Да",IF(IF('01_Вводные'!$B$296="Новый сезон",TRUE,TRUE),'19_Расчет_аналитики'!AH4478*CapacityAge23*'19_Расчет_аналитики'!$F$4259,0),0)</f>
        <v/>
      </c>
      <c r="AI4590">
        <f>IF('01_Вводные'!$B$234="Да",IF(IF('01_Вводные'!$B$296="Новый сезон",TRUE,TRUE),'19_Расчет_аналитики'!AI4478*CapacityAge23*'19_Расчет_аналитики'!$F$4259,0),0)</f>
        <v/>
      </c>
      <c r="AJ4590">
        <f>IF('01_Вводные'!$B$234="Да",IF(IF('01_Вводные'!$B$296="Новый сезон",TRUE,TRUE),'19_Расчет_аналитики'!AJ4478*CapacityAge23*'19_Расчет_аналитики'!$F$4259,0),0)</f>
        <v/>
      </c>
      <c r="AK4590">
        <f>IF('01_Вводные'!$B$234="Да",IF(IF('01_Вводные'!$B$296="Новый сезон",TRUE,TRUE),'19_Расчет_аналитики'!AK4478*CapacityAge23*'19_Расчет_аналитики'!$F$4259,0),0)</f>
        <v/>
      </c>
      <c r="AL4590">
        <f>IF('01_Вводные'!$B$234="Да",IF(IF('01_Вводные'!$B$296="Новый сезон",TRUE,TRUE),'19_Расчет_аналитики'!AL4478*CapacityAge23*'19_Расчет_аналитики'!$F$4259,0),0)</f>
        <v/>
      </c>
      <c r="AM4590">
        <f>IF('01_Вводные'!$B$234="Да",IF(IF('01_Вводные'!$B$296="Новый сезон",TRUE,TRUE),'19_Расчет_аналитики'!AM4478*CapacityAge23*'19_Расчет_аналитики'!$F$4259,0),0)</f>
        <v/>
      </c>
      <c r="AN4590">
        <f>IF('01_Вводные'!$B$234="Да",IF(IF('01_Вводные'!$B$296="Новый сезон",TRUE,TRUE),'19_Расчет_аналитики'!AN4478*CapacityAge23*'19_Расчет_аналитики'!$F$4259,0),0)</f>
        <v/>
      </c>
      <c r="AO4590">
        <f>IF('01_Вводные'!$B$234="Да",IF(IF('01_Вводные'!$B$296="Новый сезон",TRUE,TRUE),'19_Расчет_аналитики'!AO4478*CapacityAge23*'19_Расчет_аналитики'!$F$4259,0),0)</f>
        <v/>
      </c>
      <c r="AP4590">
        <f>IF('01_Вводные'!$B$234="Да",IF(IF('01_Вводные'!$B$296="Новый сезон",TRUE,TRUE),'19_Расчет_аналитики'!AP4478*CapacityAge23*'19_Расчет_аналитики'!$F$4259,0),0)</f>
        <v/>
      </c>
      <c r="AQ4590">
        <f>IF('01_Вводные'!$B$234="Да",IF(IF('01_Вводные'!$B$296="Новый сезон",TRUE,TRUE),'19_Расчет_аналитики'!AQ4478*CapacityAge23*'19_Расчет_аналитики'!$F$4259,0),0)</f>
        <v/>
      </c>
      <c r="AR4590">
        <f>IF('01_Вводные'!$B$234="Да",IF(IF('01_Вводные'!$B$296="Новый сезон",TRUE,TRUE),'19_Расчет_аналитики'!AR4478*CapacityAge23*'19_Расчет_аналитики'!$F$4259,0),0)</f>
        <v/>
      </c>
      <c r="AS4590">
        <f>IF('01_Вводные'!$B$234="Да",IF(IF('01_Вводные'!$B$296="Новый сезон",TRUE,TRUE),'19_Расчет_аналитики'!AS4478*CapacityAge23*'19_Расчет_аналитики'!$F$4259,0),0)</f>
        <v/>
      </c>
      <c r="AT4590">
        <f>IF('01_Вводные'!$B$234="Да",IF(IF('01_Вводные'!$B$296="Новый сезон",TRUE,TRUE),'19_Расчет_аналитики'!AT4478*CapacityAge23*'19_Расчет_аналитики'!$F$4259,0),0)</f>
        <v/>
      </c>
      <c r="AU4590">
        <f>IF('01_Вводные'!$B$234="Да",IF(IF('01_Вводные'!$B$296="Новый сезон",TRUE,TRUE),'19_Расчет_аналитики'!AU4478*CapacityAge23*'19_Расчет_аналитики'!$F$4259,0),0)</f>
        <v/>
      </c>
      <c r="AV4590">
        <f>IF('01_Вводные'!$B$234="Да",IF(IF('01_Вводные'!$B$296="Новый сезон",TRUE,TRUE),'19_Расчет_аналитики'!AV4478*CapacityAge23*'19_Расчет_аналитики'!$F$4259,0),0)</f>
        <v/>
      </c>
      <c r="AW4590">
        <f>IF('01_Вводные'!$B$234="Да",IF(IF('01_Вводные'!$B$296="Новый сезон",TRUE,TRUE),'19_Расчет_аналитики'!AW4478*CapacityAge23*'19_Расчет_аналитики'!$F$4259,0),0)</f>
        <v/>
      </c>
      <c r="AX4590">
        <f>IF('01_Вводные'!$B$234="Да",IF(IF('01_Вводные'!$B$296="Новый сезон",TRUE,TRUE),'19_Расчет_аналитики'!AX4478*CapacityAge23*'19_Расчет_аналитики'!$F$4259,0),0)</f>
        <v/>
      </c>
      <c r="AY4590">
        <f>IF('01_Вводные'!$B$234="Да",IF(IF('01_Вводные'!$B$296="Новый сезон",TRUE,TRUE),'19_Расчет_аналитики'!AY4478*CapacityAge23*'19_Расчет_аналитики'!$F$4259,0),0)</f>
        <v/>
      </c>
      <c r="AZ4590">
        <f>IF('01_Вводные'!$B$234="Да",IF(IF('01_Вводные'!$B$296="Новый сезон",TRUE,TRUE),'19_Расчет_аналитики'!AZ4478*CapacityAge23*'19_Расчет_аналитики'!$F$4259,0),0)</f>
        <v/>
      </c>
      <c r="BA4590">
        <f>IF('01_Вводные'!$B$234="Да",IF(IF('01_Вводные'!$B$296="Новый сезон",TRUE,TRUE),'19_Расчет_аналитики'!BA4478*CapacityAge23*'19_Расчет_аналитики'!$F$4259,0),0)</f>
        <v/>
      </c>
      <c r="BB4590">
        <f>IF('01_Вводные'!$B$234="Да",IF(IF('01_Вводные'!$B$296="Новый сезон",TRUE,TRUE),'19_Расчет_аналитики'!BB4478*CapacityAge23*'19_Расчет_аналитики'!$F$4259,0),0)</f>
        <v/>
      </c>
      <c r="BC4590">
        <f>IF('01_Вводные'!$B$234="Да",IF(IF('01_Вводные'!$B$296="Новый сезон",TRUE,TRUE),'19_Расчет_аналитики'!BC4478*CapacityAge23*'19_Расчет_аналитики'!$F$4259,0),0)</f>
        <v/>
      </c>
      <c r="BD4590">
        <f>IF('01_Вводные'!$B$234="Да",IF(IF('01_Вводные'!$B$296="Новый сезон",TRUE,TRUE),'19_Расчет_аналитики'!BD4478*CapacityAge23*'19_Расчет_аналитики'!$F$4259,0),0)</f>
        <v/>
      </c>
      <c r="BE4590">
        <f>IF('01_Вводные'!$B$234="Да",IF(IF('01_Вводные'!$B$296="Новый сезон",TRUE,TRUE),'19_Расчет_аналитики'!BE4478*CapacityAge23*'19_Расчет_аналитики'!$F$4259,0),0)</f>
        <v/>
      </c>
      <c r="BF4590">
        <f>IF('01_Вводные'!$B$234="Да",IF(IF('01_Вводные'!$B$296="Новый сезон",TRUE,TRUE),'19_Расчет_аналитики'!BF4478*CapacityAge23*'19_Расчет_аналитики'!$F$4259,0),0)</f>
        <v/>
      </c>
      <c r="BG4590">
        <f>IF('01_Вводные'!$B$234="Да",IF(IF('01_Вводные'!$B$296="Новый сезон",TRUE,TRUE),'19_Расчет_аналитики'!BG4478*CapacityAge23*'19_Расчет_аналитики'!$F$4259,0),0)</f>
        <v/>
      </c>
      <c r="BH4590">
        <f>IF('01_Вводные'!$B$234="Да",IF(IF('01_Вводные'!$B$296="Новый сезон",TRUE,TRUE),'19_Расчет_аналитики'!BH4478*CapacityAge23*'19_Расчет_аналитики'!$F$4259,0),0)</f>
        <v/>
      </c>
      <c r="BI4590">
        <f>IF('01_Вводные'!$B$234="Да",IF(IF('01_Вводные'!$B$296="Новый сезон",TRUE,TRUE),'19_Расчет_аналитики'!BI4478*CapacityAge23*'19_Расчет_аналитики'!$F$4259,0),0)</f>
        <v/>
      </c>
      <c r="BJ4590">
        <f>IF('01_Вводные'!$B$234="Да",IF(IF('01_Вводные'!$B$296="Новый сезон",TRUE,TRUE),'19_Расчет_аналитики'!BJ4478*CapacityAge23*'19_Расчет_аналитики'!$F$4259,0),0)</f>
        <v/>
      </c>
      <c r="BK4590">
        <f>IF('01_Вводные'!$B$234="Да",IF(IF('01_Вводные'!$B$296="Новый сезон",TRUE,TRUE),'19_Расчет_аналитики'!BK4478*CapacityAge23*'19_Расчет_аналитики'!$F$4259,0),0)</f>
        <v/>
      </c>
      <c r="BL4590">
        <f>IF('01_Вводные'!$B$234="Да",IF(IF('01_Вводные'!$B$296="Новый сезон",TRUE,TRUE),'19_Расчет_аналитики'!BL4478*CapacityAge23*'19_Расчет_аналитики'!$F$4259,0),0)</f>
        <v/>
      </c>
      <c r="BM4590">
        <f>IF('01_Вводные'!$B$234="Да",IF(IF('01_Вводные'!$B$296="Новый сезон",TRUE,TRUE),'19_Расчет_аналитики'!BM4478*CapacityAge23*'19_Расчет_аналитики'!$F$4259,0),0)</f>
        <v/>
      </c>
      <c r="BN4590">
        <f>IF('01_Вводные'!$B$234="Да",IF(IF('01_Вводные'!$B$296="Новый сезон",TRUE,TRUE),'19_Расчет_аналитики'!BN4478*CapacityAge23*'19_Расчет_аналитики'!$F$4259,0),0)</f>
        <v/>
      </c>
      <c r="BO4590">
        <f>IF('01_Вводные'!$B$234="Да",IF(IF('01_Вводные'!$B$296="Новый сезон",TRUE,TRUE),'19_Расчет_аналитики'!BO4478*CapacityAge23*'19_Расчет_аналитики'!$F$4259,0),0)</f>
        <v/>
      </c>
    </row>
    <row r="4591">
      <c r="B4591">
        <f>IF('01_Вводные'!$B$234="Да",IF(IF('01_Вводные'!$B$296="Новый сезон",TRUE,TRUE),'06_Сеть_и_дети'!B76*CapacityAge24*'19_Расчет_аналитики'!$F$4259,0),0)</f>
        <v/>
      </c>
      <c r="C4591">
        <f>IF('01_Вводные'!$B$234="Да",IF(IF('01_Вводные'!$B$296="Новый сезон",TRUE,TRUE),'06_Сеть_и_дети'!C76*CapacityAge24*'19_Расчет_аналитики'!$F$4259,0),0)</f>
        <v/>
      </c>
      <c r="D4591">
        <f>IF('01_Вводные'!$B$234="Да",IF(IF('01_Вводные'!$B$296="Новый сезон",TRUE,TRUE),'06_Сеть_и_дети'!D76*CapacityAge24*'19_Расчет_аналитики'!$F$4259,0),0)</f>
        <v/>
      </c>
      <c r="E4591">
        <f>IF('01_Вводные'!$B$234="Да",IF(IF('01_Вводные'!$B$296="Новый сезон",TRUE,TRUE),'06_Сеть_и_дети'!E76*CapacityAge24*'19_Расчет_аналитики'!$F$4259,0),0)</f>
        <v/>
      </c>
      <c r="F4591">
        <f>IF('01_Вводные'!$B$234="Да",IF(IF('01_Вводные'!$B$296="Новый сезон",TRUE,TRUE),'06_Сеть_и_дети'!F76*CapacityAge24*'19_Расчет_аналитики'!$F$4259,0),0)</f>
        <v/>
      </c>
      <c r="G4591">
        <f>IF('01_Вводные'!$B$234="Да",IF(IF('01_Вводные'!$B$296="Новый сезон",TRUE,TRUE),'06_Сеть_и_дети'!G76*CapacityAge24*'19_Расчет_аналитики'!$F$4259,0),0)</f>
        <v/>
      </c>
      <c r="H4591">
        <f>IF('01_Вводные'!$B$234="Да",IF(IF('01_Вводные'!$B$296="Новый сезон",TRUE,TRUE),'06_Сеть_и_дети'!H76*CapacityAge24*'19_Расчет_аналитики'!$F$4259,0),0)</f>
        <v/>
      </c>
      <c r="I4591">
        <f>IF('01_Вводные'!$B$234="Да",IF(IF('01_Вводные'!$B$296="Новый сезон",TRUE,TRUE),'06_Сеть_и_дети'!I76*CapacityAge24*'19_Расчет_аналитики'!$F$4259,0),0)</f>
        <v/>
      </c>
      <c r="J4591">
        <f>IF('01_Вводные'!$B$234="Да",IF(IF('01_Вводные'!$B$296="Новый сезон",TRUE,TRUE),'06_Сеть_и_дети'!J76*CapacityAge24*'19_Расчет_аналитики'!$F$4259,0),0)</f>
        <v/>
      </c>
      <c r="K4591">
        <f>IF('01_Вводные'!$B$234="Да",IF(IF('01_Вводные'!$B$296="Новый сезон",TRUE,TRUE),'06_Сеть_и_дети'!K76*CapacityAge24*'19_Расчет_аналитики'!$F$4259,0),0)</f>
        <v/>
      </c>
      <c r="L4591">
        <f>IF('01_Вводные'!$B$234="Да",IF(IF('01_Вводные'!$B$296="Новый сезон",TRUE,TRUE),'06_Сеть_и_дети'!L76*CapacityAge24*'19_Расчет_аналитики'!$F$4259,0),0)</f>
        <v/>
      </c>
      <c r="M4591">
        <f>IF('01_Вводные'!$B$234="Да",IF(IF('01_Вводные'!$B$296="Новый сезон",TRUE,TRUE),'06_Сеть_и_дети'!M76*CapacityAge24*'19_Расчет_аналитики'!$F$4259,0),0)</f>
        <v/>
      </c>
      <c r="N4591">
        <f>IF('01_Вводные'!$B$234="Да",IF(IF('01_Вводные'!$B$296="Новый сезон",TRUE,TRUE),'06_Сеть_и_дети'!N76*CapacityAge24*'19_Расчет_аналитики'!$F$4259,0),0)</f>
        <v/>
      </c>
      <c r="O4591">
        <f>IF('01_Вводные'!$B$234="Да",IF(IF('01_Вводные'!$B$296="Новый сезон",TRUE,TRUE),'06_Сеть_и_дети'!O76*CapacityAge24*'19_Расчет_аналитики'!$F$4259,0),0)</f>
        <v/>
      </c>
      <c r="P4591">
        <f>IF('01_Вводные'!$B$234="Да",IF(IF('01_Вводные'!$B$296="Новый сезон",TRUE,TRUE),'06_Сеть_и_дети'!P76*CapacityAge24*'19_Расчет_аналитики'!$F$4259,0),0)</f>
        <v/>
      </c>
      <c r="Q4591">
        <f>IF('01_Вводные'!$B$234="Да",IF(IF('01_Вводные'!$B$296="Новый сезон",TRUE,TRUE),'06_Сеть_и_дети'!Q76*CapacityAge24*'19_Расчет_аналитики'!$F$4259,0),0)</f>
        <v/>
      </c>
      <c r="R4591">
        <f>IF('01_Вводные'!$B$234="Да",IF(IF('01_Вводные'!$B$296="Новый сезон",TRUE,TRUE),'06_Сеть_и_дети'!R76*CapacityAge24*'19_Расчет_аналитики'!$F$4259,0),0)</f>
        <v/>
      </c>
      <c r="S4591">
        <f>IF('01_Вводные'!$B$234="Да",IF(IF('01_Вводные'!$B$296="Новый сезон",TRUE,TRUE),'06_Сеть_и_дети'!S76*CapacityAge24*'19_Расчет_аналитики'!$F$4259,0),0)</f>
        <v/>
      </c>
      <c r="T4591">
        <f>IF('01_Вводные'!$B$234="Да",IF(IF('01_Вводные'!$B$296="Новый сезон",TRUE,TRUE),'06_Сеть_и_дети'!T76*CapacityAge24*'19_Расчет_аналитики'!$F$4259,0),0)</f>
        <v/>
      </c>
      <c r="U4591">
        <f>IF('01_Вводные'!$B$234="Да",IF(IF('01_Вводные'!$B$296="Новый сезон",TRUE,TRUE),'06_Сеть_и_дети'!U76*CapacityAge24*'19_Расчет_аналитики'!$F$4259,0),0)</f>
        <v/>
      </c>
      <c r="V4591">
        <f>IF('01_Вводные'!$B$234="Да",IF(IF('01_Вводные'!$B$296="Новый сезон",TRUE,TRUE),'06_Сеть_и_дети'!V76*CapacityAge24*'19_Расчет_аналитики'!$F$4259,0),0)</f>
        <v/>
      </c>
      <c r="W4591">
        <f>IF('01_Вводные'!$B$234="Да",IF(IF('01_Вводные'!$B$296="Новый сезон",TRUE,TRUE),'06_Сеть_и_дети'!W76*CapacityAge24*'19_Расчет_аналитики'!$F$4259,0),0)</f>
        <v/>
      </c>
      <c r="X4591">
        <f>IF('01_Вводные'!$B$234="Да",IF(IF('01_Вводные'!$B$296="Новый сезон",TRUE,TRUE),'06_Сеть_и_дети'!X76*CapacityAge24*'19_Расчет_аналитики'!$F$4259,0),0)</f>
        <v/>
      </c>
      <c r="Y4591">
        <f>IF('01_Вводные'!$B$234="Да",IF(IF('01_Вводные'!$B$296="Новый сезон",TRUE,TRUE),'19_Расчет_аналитики'!Y4479*CapacityAge24*'19_Расчет_аналитики'!$F$4259,0),0)</f>
        <v/>
      </c>
      <c r="Z4591">
        <f>IF('01_Вводные'!$B$234="Да",IF(IF('01_Вводные'!$B$296="Новый сезон",TRUE,TRUE),'19_Расчет_аналитики'!Z4479*CapacityAge24*'19_Расчет_аналитики'!$F$4259,0),0)</f>
        <v/>
      </c>
      <c r="AA4591">
        <f>IF('01_Вводные'!$B$234="Да",IF(IF('01_Вводные'!$B$296="Новый сезон",TRUE,TRUE),'19_Расчет_аналитики'!AA4479*CapacityAge24*'19_Расчет_аналитики'!$F$4259,0),0)</f>
        <v/>
      </c>
      <c r="AB4591">
        <f>IF('01_Вводные'!$B$234="Да",IF(IF('01_Вводные'!$B$296="Новый сезон",TRUE,TRUE),'19_Расчет_аналитики'!AB4479*CapacityAge24*'19_Расчет_аналитики'!$F$4259,0),0)</f>
        <v/>
      </c>
      <c r="AC4591">
        <f>IF('01_Вводные'!$B$234="Да",IF(IF('01_Вводные'!$B$296="Новый сезон",TRUE,TRUE),'19_Расчет_аналитики'!AC4479*CapacityAge24*'19_Расчет_аналитики'!$F$4259,0),0)</f>
        <v/>
      </c>
      <c r="AD4591">
        <f>IF('01_Вводные'!$B$234="Да",IF(IF('01_Вводные'!$B$296="Новый сезон",TRUE,TRUE),'19_Расчет_аналитики'!AD4479*CapacityAge24*'19_Расчет_аналитики'!$F$4259,0),0)</f>
        <v/>
      </c>
      <c r="AE4591">
        <f>IF('01_Вводные'!$B$234="Да",IF(IF('01_Вводные'!$B$296="Новый сезон",TRUE,TRUE),'19_Расчет_аналитики'!AE4479*CapacityAge24*'19_Расчет_аналитики'!$F$4259,0),0)</f>
        <v/>
      </c>
      <c r="AF4591">
        <f>IF('01_Вводные'!$B$234="Да",IF(IF('01_Вводные'!$B$296="Новый сезон",TRUE,TRUE),'19_Расчет_аналитики'!AF4479*CapacityAge24*'19_Расчет_аналитики'!$F$4259,0),0)</f>
        <v/>
      </c>
      <c r="AG4591">
        <f>IF('01_Вводные'!$B$234="Да",IF(IF('01_Вводные'!$B$296="Новый сезон",TRUE,TRUE),'19_Расчет_аналитики'!AG4479*CapacityAge24*'19_Расчет_аналитики'!$F$4259,0),0)</f>
        <v/>
      </c>
      <c r="AH4591">
        <f>IF('01_Вводные'!$B$234="Да",IF(IF('01_Вводные'!$B$296="Новый сезон",TRUE,TRUE),'19_Расчет_аналитики'!AH4479*CapacityAge24*'19_Расчет_аналитики'!$F$4259,0),0)</f>
        <v/>
      </c>
      <c r="AI4591">
        <f>IF('01_Вводные'!$B$234="Да",IF(IF('01_Вводные'!$B$296="Новый сезон",TRUE,TRUE),'19_Расчет_аналитики'!AI4479*CapacityAge24*'19_Расчет_аналитики'!$F$4259,0),0)</f>
        <v/>
      </c>
      <c r="AJ4591">
        <f>IF('01_Вводные'!$B$234="Да",IF(IF('01_Вводные'!$B$296="Новый сезон",TRUE,TRUE),'19_Расчет_аналитики'!AJ4479*CapacityAge24*'19_Расчет_аналитики'!$F$4259,0),0)</f>
        <v/>
      </c>
      <c r="AK4591">
        <f>IF('01_Вводные'!$B$234="Да",IF(IF('01_Вводные'!$B$296="Новый сезон",TRUE,TRUE),'19_Расчет_аналитики'!AK4479*CapacityAge24*'19_Расчет_аналитики'!$F$4259,0),0)</f>
        <v/>
      </c>
      <c r="AL4591">
        <f>IF('01_Вводные'!$B$234="Да",IF(IF('01_Вводные'!$B$296="Новый сезон",TRUE,TRUE),'19_Расчет_аналитики'!AL4479*CapacityAge24*'19_Расчет_аналитики'!$F$4259,0),0)</f>
        <v/>
      </c>
      <c r="AM4591">
        <f>IF('01_Вводные'!$B$234="Да",IF(IF('01_Вводные'!$B$296="Новый сезон",TRUE,TRUE),'19_Расчет_аналитики'!AM4479*CapacityAge24*'19_Расчет_аналитики'!$F$4259,0),0)</f>
        <v/>
      </c>
      <c r="AN4591">
        <f>IF('01_Вводные'!$B$234="Да",IF(IF('01_Вводные'!$B$296="Новый сезон",TRUE,TRUE),'19_Расчет_аналитики'!AN4479*CapacityAge24*'19_Расчет_аналитики'!$F$4259,0),0)</f>
        <v/>
      </c>
      <c r="AO4591">
        <f>IF('01_Вводные'!$B$234="Да",IF(IF('01_Вводные'!$B$296="Новый сезон",TRUE,TRUE),'19_Расчет_аналитики'!AO4479*CapacityAge24*'19_Расчет_аналитики'!$F$4259,0),0)</f>
        <v/>
      </c>
      <c r="AP4591">
        <f>IF('01_Вводные'!$B$234="Да",IF(IF('01_Вводные'!$B$296="Новый сезон",TRUE,TRUE),'19_Расчет_аналитики'!AP4479*CapacityAge24*'19_Расчет_аналитики'!$F$4259,0),0)</f>
        <v/>
      </c>
      <c r="AQ4591">
        <f>IF('01_Вводные'!$B$234="Да",IF(IF('01_Вводные'!$B$296="Новый сезон",TRUE,TRUE),'19_Расчет_аналитики'!AQ4479*CapacityAge24*'19_Расчет_аналитики'!$F$4259,0),0)</f>
        <v/>
      </c>
      <c r="AR4591">
        <f>IF('01_Вводные'!$B$234="Да",IF(IF('01_Вводные'!$B$296="Новый сезон",TRUE,TRUE),'19_Расчет_аналитики'!AR4479*CapacityAge24*'19_Расчет_аналитики'!$F$4259,0),0)</f>
        <v/>
      </c>
      <c r="AS4591">
        <f>IF('01_Вводные'!$B$234="Да",IF(IF('01_Вводные'!$B$296="Новый сезон",TRUE,TRUE),'19_Расчет_аналитики'!AS4479*CapacityAge24*'19_Расчет_аналитики'!$F$4259,0),0)</f>
        <v/>
      </c>
      <c r="AT4591">
        <f>IF('01_Вводные'!$B$234="Да",IF(IF('01_Вводные'!$B$296="Новый сезон",TRUE,TRUE),'19_Расчет_аналитики'!AT4479*CapacityAge24*'19_Расчет_аналитики'!$F$4259,0),0)</f>
        <v/>
      </c>
      <c r="AU4591">
        <f>IF('01_Вводные'!$B$234="Да",IF(IF('01_Вводные'!$B$296="Новый сезон",TRUE,TRUE),'19_Расчет_аналитики'!AU4479*CapacityAge24*'19_Расчет_аналитики'!$F$4259,0),0)</f>
        <v/>
      </c>
      <c r="AV4591">
        <f>IF('01_Вводные'!$B$234="Да",IF(IF('01_Вводные'!$B$296="Новый сезон",TRUE,TRUE),'19_Расчет_аналитики'!AV4479*CapacityAge24*'19_Расчет_аналитики'!$F$4259,0),0)</f>
        <v/>
      </c>
      <c r="AW4591">
        <f>IF('01_Вводные'!$B$234="Да",IF(IF('01_Вводные'!$B$296="Новый сезон",TRUE,TRUE),'19_Расчет_аналитики'!AW4479*CapacityAge24*'19_Расчет_аналитики'!$F$4259,0),0)</f>
        <v/>
      </c>
      <c r="AX4591">
        <f>IF('01_Вводные'!$B$234="Да",IF(IF('01_Вводные'!$B$296="Новый сезон",TRUE,TRUE),'19_Расчет_аналитики'!AX4479*CapacityAge24*'19_Расчет_аналитики'!$F$4259,0),0)</f>
        <v/>
      </c>
      <c r="AY4591">
        <f>IF('01_Вводные'!$B$234="Да",IF(IF('01_Вводные'!$B$296="Новый сезон",TRUE,TRUE),'19_Расчет_аналитики'!AY4479*CapacityAge24*'19_Расчет_аналитики'!$F$4259,0),0)</f>
        <v/>
      </c>
      <c r="AZ4591">
        <f>IF('01_Вводные'!$B$234="Да",IF(IF('01_Вводные'!$B$296="Новый сезон",TRUE,TRUE),'19_Расчет_аналитики'!AZ4479*CapacityAge24*'19_Расчет_аналитики'!$F$4259,0),0)</f>
        <v/>
      </c>
      <c r="BA4591">
        <f>IF('01_Вводные'!$B$234="Да",IF(IF('01_Вводные'!$B$296="Новый сезон",TRUE,TRUE),'19_Расчет_аналитики'!BA4479*CapacityAge24*'19_Расчет_аналитики'!$F$4259,0),0)</f>
        <v/>
      </c>
      <c r="BB4591">
        <f>IF('01_Вводные'!$B$234="Да",IF(IF('01_Вводные'!$B$296="Новый сезон",TRUE,TRUE),'19_Расчет_аналитики'!BB4479*CapacityAge24*'19_Расчет_аналитики'!$F$4259,0),0)</f>
        <v/>
      </c>
      <c r="BC4591">
        <f>IF('01_Вводные'!$B$234="Да",IF(IF('01_Вводные'!$B$296="Новый сезон",TRUE,TRUE),'19_Расчет_аналитики'!BC4479*CapacityAge24*'19_Расчет_аналитики'!$F$4259,0),0)</f>
        <v/>
      </c>
      <c r="BD4591">
        <f>IF('01_Вводные'!$B$234="Да",IF(IF('01_Вводные'!$B$296="Новый сезон",TRUE,TRUE),'19_Расчет_аналитики'!BD4479*CapacityAge24*'19_Расчет_аналитики'!$F$4259,0),0)</f>
        <v/>
      </c>
      <c r="BE4591">
        <f>IF('01_Вводные'!$B$234="Да",IF(IF('01_Вводные'!$B$296="Новый сезон",TRUE,TRUE),'19_Расчет_аналитики'!BE4479*CapacityAge24*'19_Расчет_аналитики'!$F$4259,0),0)</f>
        <v/>
      </c>
      <c r="BF4591">
        <f>IF('01_Вводные'!$B$234="Да",IF(IF('01_Вводные'!$B$296="Новый сезон",TRUE,TRUE),'19_Расчет_аналитики'!BF4479*CapacityAge24*'19_Расчет_аналитики'!$F$4259,0),0)</f>
        <v/>
      </c>
      <c r="BG4591">
        <f>IF('01_Вводные'!$B$234="Да",IF(IF('01_Вводные'!$B$296="Новый сезон",TRUE,TRUE),'19_Расчет_аналитики'!BG4479*CapacityAge24*'19_Расчет_аналитики'!$F$4259,0),0)</f>
        <v/>
      </c>
      <c r="BH4591">
        <f>IF('01_Вводные'!$B$234="Да",IF(IF('01_Вводные'!$B$296="Новый сезон",TRUE,TRUE),'19_Расчет_аналитики'!BH4479*CapacityAge24*'19_Расчет_аналитики'!$F$4259,0),0)</f>
        <v/>
      </c>
      <c r="BI4591">
        <f>IF('01_Вводные'!$B$234="Да",IF(IF('01_Вводные'!$B$296="Новый сезон",TRUE,TRUE),'19_Расчет_аналитики'!BI4479*CapacityAge24*'19_Расчет_аналитики'!$F$4259,0),0)</f>
        <v/>
      </c>
      <c r="BJ4591">
        <f>IF('01_Вводные'!$B$234="Да",IF(IF('01_Вводные'!$B$296="Новый сезон",TRUE,TRUE),'19_Расчет_аналитики'!BJ4479*CapacityAge24*'19_Расчет_аналитики'!$F$4259,0),0)</f>
        <v/>
      </c>
      <c r="BK4591">
        <f>IF('01_Вводные'!$B$234="Да",IF(IF('01_Вводные'!$B$296="Новый сезон",TRUE,TRUE),'19_Расчет_аналитики'!BK4479*CapacityAge24*'19_Расчет_аналитики'!$F$4259,0),0)</f>
        <v/>
      </c>
      <c r="BL4591">
        <f>IF('01_Вводные'!$B$234="Да",IF(IF('01_Вводные'!$B$296="Новый сезон",TRUE,TRUE),'19_Расчет_аналитики'!BL4479*CapacityAge24*'19_Расчет_аналитики'!$F$4259,0),0)</f>
        <v/>
      </c>
      <c r="BM4591">
        <f>IF('01_Вводные'!$B$234="Да",IF(IF('01_Вводные'!$B$296="Новый сезон",TRUE,TRUE),'19_Расчет_аналитики'!BM4479*CapacityAge24*'19_Расчет_аналитики'!$F$4259,0),0)</f>
        <v/>
      </c>
      <c r="BN4591">
        <f>IF('01_Вводные'!$B$234="Да",IF(IF('01_Вводные'!$B$296="Новый сезон",TRUE,TRUE),'19_Расчет_аналитики'!BN4479*CapacityAge24*'19_Расчет_аналитики'!$F$4259,0),0)</f>
        <v/>
      </c>
      <c r="BO4591">
        <f>IF('01_Вводные'!$B$234="Да",IF(IF('01_Вводные'!$B$296="Новый сезон",TRUE,TRUE),'19_Расчет_аналитики'!BO4479*CapacityAge24*'19_Расчет_аналитики'!$F$4259,0),0)</f>
        <v/>
      </c>
    </row>
    <row r="4592">
      <c r="B4592">
        <f>IF('01_Вводные'!$B$234="Да",IF(IF('01_Вводные'!$B$296="Новый сезон",TRUE,TRUE),'06_Сеть_и_дети'!B77*CapacityAge25*'19_Расчет_аналитики'!$F$4259,0),0)</f>
        <v/>
      </c>
      <c r="C4592">
        <f>IF('01_Вводные'!$B$234="Да",IF(IF('01_Вводные'!$B$296="Новый сезон",TRUE,TRUE),'06_Сеть_и_дети'!C77*CapacityAge25*'19_Расчет_аналитики'!$F$4259,0),0)</f>
        <v/>
      </c>
      <c r="D4592">
        <f>IF('01_Вводные'!$B$234="Да",IF(IF('01_Вводные'!$B$296="Новый сезон",TRUE,TRUE),'06_Сеть_и_дети'!D77*CapacityAge25*'19_Расчет_аналитики'!$F$4259,0),0)</f>
        <v/>
      </c>
      <c r="E4592">
        <f>IF('01_Вводные'!$B$234="Да",IF(IF('01_Вводные'!$B$296="Новый сезон",TRUE,TRUE),'06_Сеть_и_дети'!E77*CapacityAge25*'19_Расчет_аналитики'!$F$4259,0),0)</f>
        <v/>
      </c>
      <c r="F4592">
        <f>IF('01_Вводные'!$B$234="Да",IF(IF('01_Вводные'!$B$296="Новый сезон",TRUE,TRUE),'06_Сеть_и_дети'!F77*CapacityAge25*'19_Расчет_аналитики'!$F$4259,0),0)</f>
        <v/>
      </c>
      <c r="G4592">
        <f>IF('01_Вводные'!$B$234="Да",IF(IF('01_Вводные'!$B$296="Новый сезон",TRUE,TRUE),'06_Сеть_и_дети'!G77*CapacityAge25*'19_Расчет_аналитики'!$F$4259,0),0)</f>
        <v/>
      </c>
      <c r="H4592">
        <f>IF('01_Вводные'!$B$234="Да",IF(IF('01_Вводные'!$B$296="Новый сезон",TRUE,TRUE),'06_Сеть_и_дети'!H77*CapacityAge25*'19_Расчет_аналитики'!$F$4259,0),0)</f>
        <v/>
      </c>
      <c r="I4592">
        <f>IF('01_Вводные'!$B$234="Да",IF(IF('01_Вводные'!$B$296="Новый сезон",TRUE,TRUE),'06_Сеть_и_дети'!I77*CapacityAge25*'19_Расчет_аналитики'!$F$4259,0),0)</f>
        <v/>
      </c>
      <c r="J4592">
        <f>IF('01_Вводные'!$B$234="Да",IF(IF('01_Вводные'!$B$296="Новый сезон",TRUE,TRUE),'06_Сеть_и_дети'!J77*CapacityAge25*'19_Расчет_аналитики'!$F$4259,0),0)</f>
        <v/>
      </c>
      <c r="K4592">
        <f>IF('01_Вводные'!$B$234="Да",IF(IF('01_Вводные'!$B$296="Новый сезон",TRUE,TRUE),'06_Сеть_и_дети'!K77*CapacityAge25*'19_Расчет_аналитики'!$F$4259,0),0)</f>
        <v/>
      </c>
      <c r="L4592">
        <f>IF('01_Вводные'!$B$234="Да",IF(IF('01_Вводные'!$B$296="Новый сезон",TRUE,TRUE),'06_Сеть_и_дети'!L77*CapacityAge25*'19_Расчет_аналитики'!$F$4259,0),0)</f>
        <v/>
      </c>
      <c r="M4592">
        <f>IF('01_Вводные'!$B$234="Да",IF(IF('01_Вводные'!$B$296="Новый сезон",TRUE,TRUE),'06_Сеть_и_дети'!M77*CapacityAge25*'19_Расчет_аналитики'!$F$4259,0),0)</f>
        <v/>
      </c>
      <c r="N4592">
        <f>IF('01_Вводные'!$B$234="Да",IF(IF('01_Вводные'!$B$296="Новый сезон",TRUE,TRUE),'06_Сеть_и_дети'!N77*CapacityAge25*'19_Расчет_аналитики'!$F$4259,0),0)</f>
        <v/>
      </c>
      <c r="O4592">
        <f>IF('01_Вводные'!$B$234="Да",IF(IF('01_Вводные'!$B$296="Новый сезон",TRUE,TRUE),'06_Сеть_и_дети'!O77*CapacityAge25*'19_Расчет_аналитики'!$F$4259,0),0)</f>
        <v/>
      </c>
      <c r="P4592">
        <f>IF('01_Вводные'!$B$234="Да",IF(IF('01_Вводные'!$B$296="Новый сезон",TRUE,TRUE),'06_Сеть_и_дети'!P77*CapacityAge25*'19_Расчет_аналитики'!$F$4259,0),0)</f>
        <v/>
      </c>
      <c r="Q4592">
        <f>IF('01_Вводные'!$B$234="Да",IF(IF('01_Вводные'!$B$296="Новый сезон",TRUE,TRUE),'06_Сеть_и_дети'!Q77*CapacityAge25*'19_Расчет_аналитики'!$F$4259,0),0)</f>
        <v/>
      </c>
      <c r="R4592">
        <f>IF('01_Вводные'!$B$234="Да",IF(IF('01_Вводные'!$B$296="Новый сезон",TRUE,TRUE),'06_Сеть_и_дети'!R77*CapacityAge25*'19_Расчет_аналитики'!$F$4259,0),0)</f>
        <v/>
      </c>
      <c r="S4592">
        <f>IF('01_Вводные'!$B$234="Да",IF(IF('01_Вводные'!$B$296="Новый сезон",TRUE,TRUE),'06_Сеть_и_дети'!S77*CapacityAge25*'19_Расчет_аналитики'!$F$4259,0),0)</f>
        <v/>
      </c>
      <c r="T4592">
        <f>IF('01_Вводные'!$B$234="Да",IF(IF('01_Вводные'!$B$296="Новый сезон",TRUE,TRUE),'06_Сеть_и_дети'!T77*CapacityAge25*'19_Расчет_аналитики'!$F$4259,0),0)</f>
        <v/>
      </c>
      <c r="U4592">
        <f>IF('01_Вводные'!$B$234="Да",IF(IF('01_Вводные'!$B$296="Новый сезон",TRUE,TRUE),'06_Сеть_и_дети'!U77*CapacityAge25*'19_Расчет_аналитики'!$F$4259,0),0)</f>
        <v/>
      </c>
      <c r="V4592">
        <f>IF('01_Вводные'!$B$234="Да",IF(IF('01_Вводные'!$B$296="Новый сезон",TRUE,TRUE),'06_Сеть_и_дети'!V77*CapacityAge25*'19_Расчет_аналитики'!$F$4259,0),0)</f>
        <v/>
      </c>
      <c r="W4592">
        <f>IF('01_Вводные'!$B$234="Да",IF(IF('01_Вводные'!$B$296="Новый сезон",TRUE,TRUE),'06_Сеть_и_дети'!W77*CapacityAge25*'19_Расчет_аналитики'!$F$4259,0),0)</f>
        <v/>
      </c>
      <c r="X4592">
        <f>IF('01_Вводные'!$B$234="Да",IF(IF('01_Вводные'!$B$296="Новый сезон",TRUE,TRUE),'06_Сеть_и_дети'!X77*CapacityAge25*'19_Расчет_аналитики'!$F$4259,0),0)</f>
        <v/>
      </c>
      <c r="Y4592">
        <f>IF('01_Вводные'!$B$234="Да",IF(IF('01_Вводные'!$B$296="Новый сезон",TRUE,TRUE),'06_Сеть_и_дети'!Y77*CapacityAge25*'19_Расчет_аналитики'!$F$4259,0),0)</f>
        <v/>
      </c>
      <c r="Z4592">
        <f>IF('01_Вводные'!$B$234="Да",IF(IF('01_Вводные'!$B$296="Новый сезон",TRUE,TRUE),'19_Расчет_аналитики'!Z4480*CapacityAge25*'19_Расчет_аналитики'!$F$4259,0),0)</f>
        <v/>
      </c>
      <c r="AA4592">
        <f>IF('01_Вводные'!$B$234="Да",IF(IF('01_Вводные'!$B$296="Новый сезон",TRUE,TRUE),'19_Расчет_аналитики'!AA4480*CapacityAge25*'19_Расчет_аналитики'!$F$4259,0),0)</f>
        <v/>
      </c>
      <c r="AB4592">
        <f>IF('01_Вводные'!$B$234="Да",IF(IF('01_Вводные'!$B$296="Новый сезон",TRUE,TRUE),'19_Расчет_аналитики'!AB4480*CapacityAge25*'19_Расчет_аналитики'!$F$4259,0),0)</f>
        <v/>
      </c>
      <c r="AC4592">
        <f>IF('01_Вводные'!$B$234="Да",IF(IF('01_Вводные'!$B$296="Новый сезон",TRUE,TRUE),'19_Расчет_аналитики'!AC4480*CapacityAge25*'19_Расчет_аналитики'!$F$4259,0),0)</f>
        <v/>
      </c>
      <c r="AD4592">
        <f>IF('01_Вводные'!$B$234="Да",IF(IF('01_Вводные'!$B$296="Новый сезон",TRUE,TRUE),'19_Расчет_аналитики'!AD4480*CapacityAge25*'19_Расчет_аналитики'!$F$4259,0),0)</f>
        <v/>
      </c>
      <c r="AE4592">
        <f>IF('01_Вводные'!$B$234="Да",IF(IF('01_Вводные'!$B$296="Новый сезон",TRUE,TRUE),'19_Расчет_аналитики'!AE4480*CapacityAge25*'19_Расчет_аналитики'!$F$4259,0),0)</f>
        <v/>
      </c>
      <c r="AF4592">
        <f>IF('01_Вводные'!$B$234="Да",IF(IF('01_Вводные'!$B$296="Новый сезон",TRUE,TRUE),'19_Расчет_аналитики'!AF4480*CapacityAge25*'19_Расчет_аналитики'!$F$4259,0),0)</f>
        <v/>
      </c>
      <c r="AG4592">
        <f>IF('01_Вводные'!$B$234="Да",IF(IF('01_Вводные'!$B$296="Новый сезон",TRUE,TRUE),'19_Расчет_аналитики'!AG4480*CapacityAge25*'19_Расчет_аналитики'!$F$4259,0),0)</f>
        <v/>
      </c>
      <c r="AH4592">
        <f>IF('01_Вводные'!$B$234="Да",IF(IF('01_Вводные'!$B$296="Новый сезон",TRUE,TRUE),'19_Расчет_аналитики'!AH4480*CapacityAge25*'19_Расчет_аналитики'!$F$4259,0),0)</f>
        <v/>
      </c>
      <c r="AI4592">
        <f>IF('01_Вводные'!$B$234="Да",IF(IF('01_Вводные'!$B$296="Новый сезон",TRUE,TRUE),'19_Расчет_аналитики'!AI4480*CapacityAge25*'19_Расчет_аналитики'!$F$4259,0),0)</f>
        <v/>
      </c>
      <c r="AJ4592">
        <f>IF('01_Вводные'!$B$234="Да",IF(IF('01_Вводные'!$B$296="Новый сезон",TRUE,TRUE),'19_Расчет_аналитики'!AJ4480*CapacityAge25*'19_Расчет_аналитики'!$F$4259,0),0)</f>
        <v/>
      </c>
      <c r="AK4592">
        <f>IF('01_Вводные'!$B$234="Да",IF(IF('01_Вводные'!$B$296="Новый сезон",TRUE,TRUE),'19_Расчет_аналитики'!AK4480*CapacityAge25*'19_Расчет_аналитики'!$F$4259,0),0)</f>
        <v/>
      </c>
      <c r="AL4592">
        <f>IF('01_Вводные'!$B$234="Да",IF(IF('01_Вводные'!$B$296="Новый сезон",TRUE,TRUE),'19_Расчет_аналитики'!AL4480*CapacityAge25*'19_Расчет_аналитики'!$F$4259,0),0)</f>
        <v/>
      </c>
      <c r="AM4592">
        <f>IF('01_Вводные'!$B$234="Да",IF(IF('01_Вводные'!$B$296="Новый сезон",TRUE,TRUE),'19_Расчет_аналитики'!AM4480*CapacityAge25*'19_Расчет_аналитики'!$F$4259,0),0)</f>
        <v/>
      </c>
      <c r="AN4592">
        <f>IF('01_Вводные'!$B$234="Да",IF(IF('01_Вводные'!$B$296="Новый сезон",TRUE,TRUE),'19_Расчет_аналитики'!AN4480*CapacityAge25*'19_Расчет_аналитики'!$F$4259,0),0)</f>
        <v/>
      </c>
      <c r="AO4592">
        <f>IF('01_Вводные'!$B$234="Да",IF(IF('01_Вводные'!$B$296="Новый сезон",TRUE,TRUE),'19_Расчет_аналитики'!AO4480*CapacityAge25*'19_Расчет_аналитики'!$F$4259,0),0)</f>
        <v/>
      </c>
      <c r="AP4592">
        <f>IF('01_Вводные'!$B$234="Да",IF(IF('01_Вводные'!$B$296="Новый сезон",TRUE,TRUE),'19_Расчет_аналитики'!AP4480*CapacityAge25*'19_Расчет_аналитики'!$F$4259,0),0)</f>
        <v/>
      </c>
      <c r="AQ4592">
        <f>IF('01_Вводные'!$B$234="Да",IF(IF('01_Вводные'!$B$296="Новый сезон",TRUE,TRUE),'19_Расчет_аналитики'!AQ4480*CapacityAge25*'19_Расчет_аналитики'!$F$4259,0),0)</f>
        <v/>
      </c>
      <c r="AR4592">
        <f>IF('01_Вводные'!$B$234="Да",IF(IF('01_Вводные'!$B$296="Новый сезон",TRUE,TRUE),'19_Расчет_аналитики'!AR4480*CapacityAge25*'19_Расчет_аналитики'!$F$4259,0),0)</f>
        <v/>
      </c>
      <c r="AS4592">
        <f>IF('01_Вводные'!$B$234="Да",IF(IF('01_Вводные'!$B$296="Новый сезон",TRUE,TRUE),'19_Расчет_аналитики'!AS4480*CapacityAge25*'19_Расчет_аналитики'!$F$4259,0),0)</f>
        <v/>
      </c>
      <c r="AT4592">
        <f>IF('01_Вводные'!$B$234="Да",IF(IF('01_Вводные'!$B$296="Новый сезон",TRUE,TRUE),'19_Расчет_аналитики'!AT4480*CapacityAge25*'19_Расчет_аналитики'!$F$4259,0),0)</f>
        <v/>
      </c>
      <c r="AU4592">
        <f>IF('01_Вводные'!$B$234="Да",IF(IF('01_Вводные'!$B$296="Новый сезон",TRUE,TRUE),'19_Расчет_аналитики'!AU4480*CapacityAge25*'19_Расчет_аналитики'!$F$4259,0),0)</f>
        <v/>
      </c>
      <c r="AV4592">
        <f>IF('01_Вводные'!$B$234="Да",IF(IF('01_Вводные'!$B$296="Новый сезон",TRUE,TRUE),'19_Расчет_аналитики'!AV4480*CapacityAge25*'19_Расчет_аналитики'!$F$4259,0),0)</f>
        <v/>
      </c>
      <c r="AW4592">
        <f>IF('01_Вводные'!$B$234="Да",IF(IF('01_Вводные'!$B$296="Новый сезон",TRUE,TRUE),'19_Расчет_аналитики'!AW4480*CapacityAge25*'19_Расчет_аналитики'!$F$4259,0),0)</f>
        <v/>
      </c>
      <c r="AX4592">
        <f>IF('01_Вводные'!$B$234="Да",IF(IF('01_Вводные'!$B$296="Новый сезон",TRUE,TRUE),'19_Расчет_аналитики'!AX4480*CapacityAge25*'19_Расчет_аналитики'!$F$4259,0),0)</f>
        <v/>
      </c>
      <c r="AY4592">
        <f>IF('01_Вводные'!$B$234="Да",IF(IF('01_Вводные'!$B$296="Новый сезон",TRUE,TRUE),'19_Расчет_аналитики'!AY4480*CapacityAge25*'19_Расчет_аналитики'!$F$4259,0),0)</f>
        <v/>
      </c>
      <c r="AZ4592">
        <f>IF('01_Вводные'!$B$234="Да",IF(IF('01_Вводные'!$B$296="Новый сезон",TRUE,TRUE),'19_Расчет_аналитики'!AZ4480*CapacityAge25*'19_Расчет_аналитики'!$F$4259,0),0)</f>
        <v/>
      </c>
      <c r="BA4592">
        <f>IF('01_Вводные'!$B$234="Да",IF(IF('01_Вводные'!$B$296="Новый сезон",TRUE,TRUE),'19_Расчет_аналитики'!BA4480*CapacityAge25*'19_Расчет_аналитики'!$F$4259,0),0)</f>
        <v/>
      </c>
      <c r="BB4592">
        <f>IF('01_Вводные'!$B$234="Да",IF(IF('01_Вводные'!$B$296="Новый сезон",TRUE,TRUE),'19_Расчет_аналитики'!BB4480*CapacityAge25*'19_Расчет_аналитики'!$F$4259,0),0)</f>
        <v/>
      </c>
      <c r="BC4592">
        <f>IF('01_Вводные'!$B$234="Да",IF(IF('01_Вводные'!$B$296="Новый сезон",TRUE,TRUE),'19_Расчет_аналитики'!BC4480*CapacityAge25*'19_Расчет_аналитики'!$F$4259,0),0)</f>
        <v/>
      </c>
      <c r="BD4592">
        <f>IF('01_Вводные'!$B$234="Да",IF(IF('01_Вводные'!$B$296="Новый сезон",TRUE,TRUE),'19_Расчет_аналитики'!BD4480*CapacityAge25*'19_Расчет_аналитики'!$F$4259,0),0)</f>
        <v/>
      </c>
      <c r="BE4592">
        <f>IF('01_Вводные'!$B$234="Да",IF(IF('01_Вводные'!$B$296="Новый сезон",TRUE,TRUE),'19_Расчет_аналитики'!BE4480*CapacityAge25*'19_Расчет_аналитики'!$F$4259,0),0)</f>
        <v/>
      </c>
      <c r="BF4592">
        <f>IF('01_Вводные'!$B$234="Да",IF(IF('01_Вводные'!$B$296="Новый сезон",TRUE,TRUE),'19_Расчет_аналитики'!BF4480*CapacityAge25*'19_Расчет_аналитики'!$F$4259,0),0)</f>
        <v/>
      </c>
      <c r="BG4592">
        <f>IF('01_Вводные'!$B$234="Да",IF(IF('01_Вводные'!$B$296="Новый сезон",TRUE,TRUE),'19_Расчет_аналитики'!BG4480*CapacityAge25*'19_Расчет_аналитики'!$F$4259,0),0)</f>
        <v/>
      </c>
      <c r="BH4592">
        <f>IF('01_Вводные'!$B$234="Да",IF(IF('01_Вводные'!$B$296="Новый сезон",TRUE,TRUE),'19_Расчет_аналитики'!BH4480*CapacityAge25*'19_Расчет_аналитики'!$F$4259,0),0)</f>
        <v/>
      </c>
      <c r="BI4592">
        <f>IF('01_Вводные'!$B$234="Да",IF(IF('01_Вводные'!$B$296="Новый сезон",TRUE,TRUE),'19_Расчет_аналитики'!BI4480*CapacityAge25*'19_Расчет_аналитики'!$F$4259,0),0)</f>
        <v/>
      </c>
      <c r="BJ4592">
        <f>IF('01_Вводные'!$B$234="Да",IF(IF('01_Вводные'!$B$296="Новый сезон",TRUE,TRUE),'19_Расчет_аналитики'!BJ4480*CapacityAge25*'19_Расчет_аналитики'!$F$4259,0),0)</f>
        <v/>
      </c>
      <c r="BK4592">
        <f>IF('01_Вводные'!$B$234="Да",IF(IF('01_Вводные'!$B$296="Новый сезон",TRUE,TRUE),'19_Расчет_аналитики'!BK4480*CapacityAge25*'19_Расчет_аналитики'!$F$4259,0),0)</f>
        <v/>
      </c>
      <c r="BL4592">
        <f>IF('01_Вводные'!$B$234="Да",IF(IF('01_Вводные'!$B$296="Новый сезон",TRUE,TRUE),'19_Расчет_аналитики'!BL4480*CapacityAge25*'19_Расчет_аналитики'!$F$4259,0),0)</f>
        <v/>
      </c>
      <c r="BM4592">
        <f>IF('01_Вводные'!$B$234="Да",IF(IF('01_Вводные'!$B$296="Новый сезон",TRUE,TRUE),'19_Расчет_аналитики'!BM4480*CapacityAge25*'19_Расчет_аналитики'!$F$4259,0),0)</f>
        <v/>
      </c>
      <c r="BN4592">
        <f>IF('01_Вводные'!$B$234="Да",IF(IF('01_Вводные'!$B$296="Новый сезон",TRUE,TRUE),'19_Расчет_аналитики'!BN4480*CapacityAge25*'19_Расчет_аналитики'!$F$4259,0),0)</f>
        <v/>
      </c>
      <c r="BO4592">
        <f>IF('01_Вводные'!$B$234="Да",IF(IF('01_Вводные'!$B$296="Новый сезон",TRUE,TRUE),'19_Расчет_аналитики'!BO4480*CapacityAge25*'19_Расчет_аналитики'!$F$4259,0),0)</f>
        <v/>
      </c>
    </row>
    <row r="4593"/>
    <row r="4594">
      <c r="B4594">
        <f>IF('01_Вводные'!$B$234="Да",SUM('19_Расчет_аналитики'!B4568:B4592),0)</f>
        <v/>
      </c>
      <c r="C4594">
        <f>IF('01_Вводные'!$B$234="Да",SUM('19_Расчет_аналитики'!C4568:C4592),0)</f>
        <v/>
      </c>
      <c r="D4594">
        <f>IF('01_Вводные'!$B$234="Да",SUM('19_Расчет_аналитики'!D4568:D4592),0)</f>
        <v/>
      </c>
      <c r="E4594">
        <f>IF('01_Вводные'!$B$234="Да",SUM('19_Расчет_аналитики'!E4568:E4592),0)</f>
        <v/>
      </c>
      <c r="F4594">
        <f>IF('01_Вводные'!$B$234="Да",SUM('19_Расчет_аналитики'!F4568:F4592),0)</f>
        <v/>
      </c>
      <c r="G4594">
        <f>IF('01_Вводные'!$B$234="Да",SUM('19_Расчет_аналитики'!G4568:G4592),0)</f>
        <v/>
      </c>
      <c r="H4594">
        <f>IF('01_Вводные'!$B$234="Да",SUM('19_Расчет_аналитики'!H4568:H4592),0)</f>
        <v/>
      </c>
      <c r="I4594">
        <f>IF('01_Вводные'!$B$234="Да",SUM('19_Расчет_аналитики'!I4568:I4592),0)</f>
        <v/>
      </c>
      <c r="J4594">
        <f>IF('01_Вводные'!$B$234="Да",SUM('19_Расчет_аналитики'!J4568:J4592),0)</f>
        <v/>
      </c>
      <c r="K4594">
        <f>IF('01_Вводные'!$B$234="Да",SUM('19_Расчет_аналитики'!K4568:K4592),0)</f>
        <v/>
      </c>
      <c r="L4594">
        <f>IF('01_Вводные'!$B$234="Да",SUM('19_Расчет_аналитики'!L4568:L4592),0)</f>
        <v/>
      </c>
      <c r="M4594">
        <f>IF('01_Вводные'!$B$234="Да",SUM('19_Расчет_аналитики'!M4568:M4592),0)</f>
        <v/>
      </c>
      <c r="N4594">
        <f>IF('01_Вводные'!$B$234="Да",SUM('19_Расчет_аналитики'!N4568:N4592),0)</f>
        <v/>
      </c>
      <c r="O4594">
        <f>IF('01_Вводные'!$B$234="Да",SUM('19_Расчет_аналитики'!O4568:O4592),0)</f>
        <v/>
      </c>
      <c r="P4594">
        <f>IF('01_Вводные'!$B$234="Да",SUM('19_Расчет_аналитики'!P4568:P4592),0)</f>
        <v/>
      </c>
      <c r="Q4594">
        <f>IF('01_Вводные'!$B$234="Да",SUM('19_Расчет_аналитики'!Q4568:Q4592),0)</f>
        <v/>
      </c>
      <c r="R4594">
        <f>IF('01_Вводные'!$B$234="Да",SUM('19_Расчет_аналитики'!R4568:R4592),0)</f>
        <v/>
      </c>
      <c r="S4594">
        <f>IF('01_Вводные'!$B$234="Да",SUM('19_Расчет_аналитики'!S4568:S4592),0)</f>
        <v/>
      </c>
      <c r="T4594">
        <f>IF('01_Вводные'!$B$234="Да",SUM('19_Расчет_аналитики'!T4568:T4592),0)</f>
        <v/>
      </c>
      <c r="U4594">
        <f>IF('01_Вводные'!$B$234="Да",SUM('19_Расчет_аналитики'!U4568:U4592),0)</f>
        <v/>
      </c>
      <c r="V4594">
        <f>IF('01_Вводные'!$B$234="Да",SUM('19_Расчет_аналитики'!V4568:V4592),0)</f>
        <v/>
      </c>
      <c r="W4594">
        <f>IF('01_Вводные'!$B$234="Да",SUM('19_Расчет_аналитики'!W4568:W4592),0)</f>
        <v/>
      </c>
      <c r="X4594">
        <f>IF('01_Вводные'!$B$234="Да",SUM('19_Расчет_аналитики'!X4568:X4592),0)</f>
        <v/>
      </c>
      <c r="Y4594">
        <f>IF('01_Вводные'!$B$234="Да",SUM('19_Расчет_аналитики'!Y4568:Y4592),0)</f>
        <v/>
      </c>
      <c r="Z4594">
        <f>IF('01_Вводные'!$B$234="Да",SUM('19_Расчет_аналитики'!Z4568:Z4592),0)</f>
        <v/>
      </c>
      <c r="AA4594">
        <f>IF('01_Вводные'!$B$234="Да",SUM('19_Расчет_аналитики'!AA4568:AA4592),0)</f>
        <v/>
      </c>
      <c r="AB4594">
        <f>IF('01_Вводные'!$B$234="Да",SUM('19_Расчет_аналитики'!AB4568:AB4592),0)</f>
        <v/>
      </c>
      <c r="AC4594">
        <f>IF('01_Вводные'!$B$234="Да",SUM('19_Расчет_аналитики'!AC4568:AC4592),0)</f>
        <v/>
      </c>
      <c r="AD4594">
        <f>IF('01_Вводные'!$B$234="Да",SUM('19_Расчет_аналитики'!AD4568:AD4592),0)</f>
        <v/>
      </c>
      <c r="AE4594">
        <f>IF('01_Вводные'!$B$234="Да",SUM('19_Расчет_аналитики'!AE4568:AE4592),0)</f>
        <v/>
      </c>
      <c r="AF4594">
        <f>IF('01_Вводные'!$B$234="Да",SUM('19_Расчет_аналитики'!AF4568:AF4592),0)</f>
        <v/>
      </c>
      <c r="AG4594">
        <f>IF('01_Вводные'!$B$234="Да",SUM('19_Расчет_аналитики'!AG4568:AG4592),0)</f>
        <v/>
      </c>
      <c r="AH4594">
        <f>IF('01_Вводные'!$B$234="Да",SUM('19_Расчет_аналитики'!AH4568:AH4592),0)</f>
        <v/>
      </c>
      <c r="AI4594">
        <f>IF('01_Вводные'!$B$234="Да",SUM('19_Расчет_аналитики'!AI4568:AI4592),0)</f>
        <v/>
      </c>
      <c r="AJ4594">
        <f>IF('01_Вводные'!$B$234="Да",SUM('19_Расчет_аналитики'!AJ4568:AJ4592),0)</f>
        <v/>
      </c>
      <c r="AK4594">
        <f>IF('01_Вводные'!$B$234="Да",SUM('19_Расчет_аналитики'!AK4568:AK4592),0)</f>
        <v/>
      </c>
      <c r="AL4594">
        <f>IF('01_Вводные'!$B$234="Да",SUM('19_Расчет_аналитики'!AL4568:AL4592),0)</f>
        <v/>
      </c>
      <c r="AM4594">
        <f>IF('01_Вводные'!$B$234="Да",SUM('19_Расчет_аналитики'!AM4568:AM4592),0)</f>
        <v/>
      </c>
      <c r="AN4594">
        <f>IF('01_Вводные'!$B$234="Да",SUM('19_Расчет_аналитики'!AN4568:AN4592),0)</f>
        <v/>
      </c>
      <c r="AO4594">
        <f>IF('01_Вводные'!$B$234="Да",SUM('19_Расчет_аналитики'!AO4568:AO4592),0)</f>
        <v/>
      </c>
      <c r="AP4594">
        <f>IF('01_Вводные'!$B$234="Да",SUM('19_Расчет_аналитики'!AP4568:AP4592),0)</f>
        <v/>
      </c>
      <c r="AQ4594">
        <f>IF('01_Вводные'!$B$234="Да",SUM('19_Расчет_аналитики'!AQ4568:AQ4592),0)</f>
        <v/>
      </c>
      <c r="AR4594">
        <f>IF('01_Вводные'!$B$234="Да",SUM('19_Расчет_аналитики'!AR4568:AR4592),0)</f>
        <v/>
      </c>
      <c r="AS4594">
        <f>IF('01_Вводные'!$B$234="Да",SUM('19_Расчет_аналитики'!AS4568:AS4592),0)</f>
        <v/>
      </c>
      <c r="AT4594">
        <f>IF('01_Вводные'!$B$234="Да",SUM('19_Расчет_аналитики'!AT4568:AT4592),0)</f>
        <v/>
      </c>
      <c r="AU4594">
        <f>IF('01_Вводные'!$B$234="Да",SUM('19_Расчет_аналитики'!AU4568:AU4592),0)</f>
        <v/>
      </c>
      <c r="AV4594">
        <f>IF('01_Вводные'!$B$234="Да",SUM('19_Расчет_аналитики'!AV4568:AV4592),0)</f>
        <v/>
      </c>
      <c r="AW4594">
        <f>IF('01_Вводные'!$B$234="Да",SUM('19_Расчет_аналитики'!AW4568:AW4592),0)</f>
        <v/>
      </c>
      <c r="AX4594">
        <f>IF('01_Вводные'!$B$234="Да",SUM('19_Расчет_аналитики'!AX4568:AX4592),0)</f>
        <v/>
      </c>
      <c r="AY4594">
        <f>IF('01_Вводные'!$B$234="Да",SUM('19_Расчет_аналитики'!AY4568:AY4592),0)</f>
        <v/>
      </c>
      <c r="AZ4594">
        <f>IF('01_Вводные'!$B$234="Да",SUM('19_Расчет_аналитики'!AZ4568:AZ4592),0)</f>
        <v/>
      </c>
      <c r="BA4594">
        <f>IF('01_Вводные'!$B$234="Да",SUM('19_Расчет_аналитики'!BA4568:BA4592),0)</f>
        <v/>
      </c>
      <c r="BB4594">
        <f>IF('01_Вводные'!$B$234="Да",SUM('19_Расчет_аналитики'!BB4568:BB4592),0)</f>
        <v/>
      </c>
      <c r="BC4594">
        <f>IF('01_Вводные'!$B$234="Да",SUM('19_Расчет_аналитики'!BC4568:BC4592),0)</f>
        <v/>
      </c>
      <c r="BD4594">
        <f>IF('01_Вводные'!$B$234="Да",SUM('19_Расчет_аналитики'!BD4568:BD4592),0)</f>
        <v/>
      </c>
      <c r="BE4594">
        <f>IF('01_Вводные'!$B$234="Да",SUM('19_Расчет_аналитики'!BE4568:BE4592),0)</f>
        <v/>
      </c>
      <c r="BF4594">
        <f>IF('01_Вводные'!$B$234="Да",SUM('19_Расчет_аналитики'!BF4568:BF4592),0)</f>
        <v/>
      </c>
      <c r="BG4594">
        <f>IF('01_Вводные'!$B$234="Да",SUM('19_Расчет_аналитики'!BG4568:BG4592),0)</f>
        <v/>
      </c>
      <c r="BH4594">
        <f>IF('01_Вводные'!$B$234="Да",SUM('19_Расчет_аналитики'!BH4568:BH4592),0)</f>
        <v/>
      </c>
      <c r="BI4594">
        <f>IF('01_Вводные'!$B$234="Да",SUM('19_Расчет_аналитики'!BI4568:BI4592),0)</f>
        <v/>
      </c>
      <c r="BJ4594">
        <f>IF('01_Вводные'!$B$234="Да",SUM('19_Расчет_аналитики'!BJ4568:BJ4592),0)</f>
        <v/>
      </c>
      <c r="BK4594">
        <f>IF('01_Вводные'!$B$234="Да",SUM('19_Расчет_аналитики'!BK4568:BK4592),0)</f>
        <v/>
      </c>
      <c r="BL4594">
        <f>IF('01_Вводные'!$B$234="Да",SUM('19_Расчет_аналитики'!BL4568:BL4592),0)</f>
        <v/>
      </c>
      <c r="BM4594">
        <f>IF('01_Вводные'!$B$234="Да",SUM('19_Расчет_аналитики'!BM4568:BM4592),0)</f>
        <v/>
      </c>
      <c r="BN4594">
        <f>IF('01_Вводные'!$B$234="Да",SUM('19_Расчет_аналитики'!BN4568:BN4592),0)</f>
        <v/>
      </c>
      <c r="BO4594">
        <f>IF('01_Вводные'!$B$234="Да",SUM('19_Расчет_аналитики'!BO4568:BO4592),0)</f>
        <v/>
      </c>
    </row>
    <row r="4595"/>
    <row r="4596"/>
    <row r="4597"/>
    <row r="4598"/>
    <row r="4599"/>
    <row r="4600"/>
    <row r="4601"/>
    <row r="4602"/>
    <row r="4603"/>
    <row r="4604"/>
    <row r="4605">
      <c r="B4605">
        <f>IF('01_Вводные'!$B$234="Да",'06_Сеть_и_дети'!B5*'19_Расчет_аналитики'!$F$4259*'19_Расчет_аналитики'!$F$4260*'18_Календарь_тарифы'!B4,0)</f>
        <v/>
      </c>
      <c r="C4605">
        <f>IF('01_Вводные'!$B$234="Да",'06_Сеть_и_дети'!C5*'19_Расчет_аналитики'!$F$4259*'19_Расчет_аналитики'!$F$4260*'18_Календарь_тарифы'!C4,0)</f>
        <v/>
      </c>
      <c r="D4605">
        <f>IF('01_Вводные'!$B$234="Да",'06_Сеть_и_дети'!D5*'19_Расчет_аналитики'!$F$4259*'19_Расчет_аналитики'!$F$4260*'18_Календарь_тарифы'!D4,0)</f>
        <v/>
      </c>
      <c r="E4605">
        <f>IF('01_Вводные'!$B$234="Да",'06_Сеть_и_дети'!E5*'19_Расчет_аналитики'!$F$4259*'19_Расчет_аналитики'!$F$4260*'18_Календарь_тарифы'!E4,0)</f>
        <v/>
      </c>
      <c r="F4605">
        <f>IF('01_Вводные'!$B$234="Да",'06_Сеть_и_дети'!F5*'19_Расчет_аналитики'!$F$4259*'19_Расчет_аналитики'!$F$4260*'18_Календарь_тарифы'!F4,0)</f>
        <v/>
      </c>
      <c r="G4605">
        <f>IF('01_Вводные'!$B$234="Да",'06_Сеть_и_дети'!G5*'19_Расчет_аналитики'!$F$4259*'19_Расчет_аналитики'!$F$4260*'18_Календарь_тарифы'!G4,0)</f>
        <v/>
      </c>
      <c r="H4605">
        <f>IF('01_Вводные'!$B$234="Да",'06_Сеть_и_дети'!H5*'19_Расчет_аналитики'!$F$4259*'19_Расчет_аналитики'!$F$4260*'18_Календарь_тарифы'!H4,0)</f>
        <v/>
      </c>
      <c r="I4605">
        <f>IF('01_Вводные'!$B$234="Да",'06_Сеть_и_дети'!I5*'19_Расчет_аналитики'!$F$4259*'19_Расчет_аналитики'!$F$4260*'18_Календарь_тарифы'!I4,0)</f>
        <v/>
      </c>
      <c r="J4605">
        <f>IF('01_Вводные'!$B$234="Да",'06_Сеть_и_дети'!J5*'19_Расчет_аналитики'!$F$4259*'19_Расчет_аналитики'!$F$4260*'18_Календарь_тарифы'!J4,0)</f>
        <v/>
      </c>
      <c r="K4605">
        <f>IF('01_Вводные'!$B$234="Да",'06_Сеть_и_дети'!K5*'19_Расчет_аналитики'!$F$4259*'19_Расчет_аналитики'!$F$4260*'18_Календарь_тарифы'!K4,0)</f>
        <v/>
      </c>
      <c r="L4605">
        <f>IF('01_Вводные'!$B$234="Да",'06_Сеть_и_дети'!L5*'19_Расчет_аналитики'!$F$4259*'19_Расчет_аналитики'!$F$4260*'18_Календарь_тарифы'!L4,0)</f>
        <v/>
      </c>
      <c r="M4605">
        <f>IF('01_Вводные'!$B$234="Да",'06_Сеть_и_дети'!M5*'19_Расчет_аналитики'!$F$4259*'19_Расчет_аналитики'!$F$4260*'18_Календарь_тарифы'!M4,0)</f>
        <v/>
      </c>
      <c r="N4605">
        <f>IF('01_Вводные'!$B$234="Да",'06_Сеть_и_дети'!N5*'19_Расчет_аналитики'!$F$4259*'19_Расчет_аналитики'!$F$4260*'18_Календарь_тарифы'!N4,0)</f>
        <v/>
      </c>
      <c r="O4605">
        <f>IF('01_Вводные'!$B$234="Да",'06_Сеть_и_дети'!O5*'19_Расчет_аналитики'!$F$4259*'19_Расчет_аналитики'!$F$4260*'18_Календарь_тарифы'!O4,0)</f>
        <v/>
      </c>
      <c r="P4605">
        <f>IF('01_Вводные'!$B$234="Да",'06_Сеть_и_дети'!P5*'19_Расчет_аналитики'!$F$4259*'19_Расчет_аналитики'!$F$4260*'18_Календарь_тарифы'!P4,0)</f>
        <v/>
      </c>
      <c r="Q4605">
        <f>IF('01_Вводные'!$B$234="Да",'06_Сеть_и_дети'!Q5*'19_Расчет_аналитики'!$F$4259*'19_Расчет_аналитики'!$F$4260*'18_Календарь_тарифы'!Q4,0)</f>
        <v/>
      </c>
      <c r="R4605">
        <f>IF('01_Вводные'!$B$234="Да",'06_Сеть_и_дети'!R5*'19_Расчет_аналитики'!$F$4259*'19_Расчет_аналитики'!$F$4260*'18_Календарь_тарифы'!R4,0)</f>
        <v/>
      </c>
      <c r="S4605">
        <f>IF('01_Вводные'!$B$234="Да",'06_Сеть_и_дети'!S5*'19_Расчет_аналитики'!$F$4259*'19_Расчет_аналитики'!$F$4260*'18_Календарь_тарифы'!S4,0)</f>
        <v/>
      </c>
      <c r="T4605">
        <f>IF('01_Вводные'!$B$234="Да",'06_Сеть_и_дети'!T5*'19_Расчет_аналитики'!$F$4259*'19_Расчет_аналитики'!$F$4260*'18_Календарь_тарифы'!T4,0)</f>
        <v/>
      </c>
      <c r="U4605">
        <f>IF('01_Вводные'!$B$234="Да",'06_Сеть_и_дети'!U5*'19_Расчет_аналитики'!$F$4259*'19_Расчет_аналитики'!$F$4260*'18_Календарь_тарифы'!U4,0)</f>
        <v/>
      </c>
      <c r="V4605">
        <f>IF('01_Вводные'!$B$234="Да",'06_Сеть_и_дети'!V5*'19_Расчет_аналитики'!$F$4259*'19_Расчет_аналитики'!$F$4260*'18_Календарь_тарифы'!V4,0)</f>
        <v/>
      </c>
      <c r="W4605">
        <f>IF('01_Вводные'!$B$234="Да",'06_Сеть_и_дети'!W5*'19_Расчет_аналитики'!$F$4259*'19_Расчет_аналитики'!$F$4260*'18_Календарь_тарифы'!W4,0)</f>
        <v/>
      </c>
      <c r="X4605">
        <f>IF('01_Вводные'!$B$234="Да",'06_Сеть_и_дети'!X5*'19_Расчет_аналитики'!$F$4259*'19_Расчет_аналитики'!$F$4260*'18_Календарь_тарифы'!X4,0)</f>
        <v/>
      </c>
      <c r="Y4605">
        <f>IF('01_Вводные'!$B$234="Да",'06_Сеть_и_дети'!Y5*'19_Расчет_аналитики'!$F$4259*'19_Расчет_аналитики'!$F$4260*'18_Календарь_тарифы'!Y4,0)</f>
        <v/>
      </c>
      <c r="Z4605">
        <f>IF('01_Вводные'!$B$234="Да",'06_Сеть_и_дети'!Z5*'19_Расчет_аналитики'!$F$4259*'19_Расчет_аналитики'!$F$4260*'18_Календарь_тарифы'!Z4,0)</f>
        <v/>
      </c>
      <c r="AA4605">
        <f>IF('01_Вводные'!$B$234="Да",'06_Сеть_и_дети'!AA5*'19_Расчет_аналитики'!$F$4259*'19_Расчет_аналитики'!$F$4260*'18_Календарь_тарифы'!AA4,0)</f>
        <v/>
      </c>
      <c r="AB4605">
        <f>IF('01_Вводные'!$B$234="Да",'06_Сеть_и_дети'!AB5*'19_Расчет_аналитики'!$F$4259*'19_Расчет_аналитики'!$F$4260*'18_Календарь_тарифы'!AB4,0)</f>
        <v/>
      </c>
      <c r="AC4605">
        <f>IF('01_Вводные'!$B$234="Да",'06_Сеть_и_дети'!AC5*'19_Расчет_аналитики'!$F$4259*'19_Расчет_аналитики'!$F$4260*'18_Календарь_тарифы'!AC4,0)</f>
        <v/>
      </c>
      <c r="AD4605">
        <f>IF('01_Вводные'!$B$234="Да",'06_Сеть_и_дети'!AD5*'19_Расчет_аналитики'!$F$4259*'19_Расчет_аналитики'!$F$4260*'18_Календарь_тарифы'!AD4,0)</f>
        <v/>
      </c>
      <c r="AE4605">
        <f>IF('01_Вводные'!$B$234="Да",'06_Сеть_и_дети'!AE5*'19_Расчет_аналитики'!$F$4259*'19_Расчет_аналитики'!$F$4260*'18_Календарь_тарифы'!AE4,0)</f>
        <v/>
      </c>
      <c r="AF4605">
        <f>IF('01_Вводные'!$B$234="Да",'06_Сеть_и_дети'!AF5*'19_Расчет_аналитики'!$F$4259*'19_Расчет_аналитики'!$F$4260*'18_Календарь_тарифы'!AF4,0)</f>
        <v/>
      </c>
      <c r="AG4605">
        <f>IF('01_Вводные'!$B$234="Да",'06_Сеть_и_дети'!AG5*'19_Расчет_аналитики'!$F$4259*'19_Расчет_аналитики'!$F$4260*'18_Календарь_тарифы'!AG4,0)</f>
        <v/>
      </c>
      <c r="AH4605">
        <f>IF('01_Вводные'!$B$234="Да",'06_Сеть_и_дети'!AH5*'19_Расчет_аналитики'!$F$4259*'19_Расчет_аналитики'!$F$4260*'18_Календарь_тарифы'!AH4,0)</f>
        <v/>
      </c>
      <c r="AI4605">
        <f>IF('01_Вводные'!$B$234="Да",'06_Сеть_и_дети'!AI5*'19_Расчет_аналитики'!$F$4259*'19_Расчет_аналитики'!$F$4260*'18_Календарь_тарифы'!AI4,0)</f>
        <v/>
      </c>
      <c r="AJ4605">
        <f>IF('01_Вводные'!$B$234="Да",'06_Сеть_и_дети'!AJ5*'19_Расчет_аналитики'!$F$4259*'19_Расчет_аналитики'!$F$4260*'18_Календарь_тарифы'!AJ4,0)</f>
        <v/>
      </c>
      <c r="AK4605">
        <f>IF('01_Вводные'!$B$234="Да",'06_Сеть_и_дети'!AK5*'19_Расчет_аналитики'!$F$4259*'19_Расчет_аналитики'!$F$4260*'18_Календарь_тарифы'!AK4,0)</f>
        <v/>
      </c>
      <c r="AL4605">
        <f>IF('01_Вводные'!$B$234="Да",'06_Сеть_и_дети'!AL5*'19_Расчет_аналитики'!$F$4259*'19_Расчет_аналитики'!$F$4260*'18_Календарь_тарифы'!AL4,0)</f>
        <v/>
      </c>
      <c r="AM4605">
        <f>IF('01_Вводные'!$B$234="Да",'06_Сеть_и_дети'!AM5*'19_Расчет_аналитики'!$F$4259*'19_Расчет_аналитики'!$F$4260*'18_Календарь_тарифы'!AM4,0)</f>
        <v/>
      </c>
      <c r="AN4605">
        <f>IF('01_Вводные'!$B$234="Да",'06_Сеть_и_дети'!AN5*'19_Расчет_аналитики'!$F$4259*'19_Расчет_аналитики'!$F$4260*'18_Календарь_тарифы'!AN4,0)</f>
        <v/>
      </c>
      <c r="AO4605">
        <f>IF('01_Вводные'!$B$234="Да",'06_Сеть_и_дети'!AO5*'19_Расчет_аналитики'!$F$4259*'19_Расчет_аналитики'!$F$4260*'18_Календарь_тарифы'!AO4,0)</f>
        <v/>
      </c>
      <c r="AP4605">
        <f>IF('01_Вводные'!$B$234="Да",'06_Сеть_и_дети'!AP5*'19_Расчет_аналитики'!$F$4259*'19_Расчет_аналитики'!$F$4260*'18_Календарь_тарифы'!AP4,0)</f>
        <v/>
      </c>
      <c r="AQ4605">
        <f>IF('01_Вводные'!$B$234="Да",'06_Сеть_и_дети'!AQ5*'19_Расчет_аналитики'!$F$4259*'19_Расчет_аналитики'!$F$4260*'18_Календарь_тарифы'!AQ4,0)</f>
        <v/>
      </c>
      <c r="AR4605">
        <f>IF('01_Вводные'!$B$234="Да",'06_Сеть_и_дети'!AR5*'19_Расчет_аналитики'!$F$4259*'19_Расчет_аналитики'!$F$4260*'18_Календарь_тарифы'!AR4,0)</f>
        <v/>
      </c>
      <c r="AS4605">
        <f>IF('01_Вводные'!$B$234="Да",'06_Сеть_и_дети'!AS5*'19_Расчет_аналитики'!$F$4259*'19_Расчет_аналитики'!$F$4260*'18_Календарь_тарифы'!AS4,0)</f>
        <v/>
      </c>
      <c r="AT4605">
        <f>IF('01_Вводные'!$B$234="Да",'06_Сеть_и_дети'!AT5*'19_Расчет_аналитики'!$F$4259*'19_Расчет_аналитики'!$F$4260*'18_Календарь_тарифы'!AT4,0)</f>
        <v/>
      </c>
      <c r="AU4605">
        <f>IF('01_Вводные'!$B$234="Да",'06_Сеть_и_дети'!AU5*'19_Расчет_аналитики'!$F$4259*'19_Расчет_аналитики'!$F$4260*'18_Календарь_тарифы'!AU4,0)</f>
        <v/>
      </c>
      <c r="AV4605">
        <f>IF('01_Вводные'!$B$234="Да",'06_Сеть_и_дети'!AV5*'19_Расчет_аналитики'!$F$4259*'19_Расчет_аналитики'!$F$4260*'18_Календарь_тарифы'!AV4,0)</f>
        <v/>
      </c>
      <c r="AW4605">
        <f>IF('01_Вводные'!$B$234="Да",'06_Сеть_и_дети'!AW5*'19_Расчет_аналитики'!$F$4259*'19_Расчет_аналитики'!$F$4260*'18_Календарь_тарифы'!AW4,0)</f>
        <v/>
      </c>
      <c r="AX4605">
        <f>IF('01_Вводные'!$B$234="Да",'06_Сеть_и_дети'!AX5*'19_Расчет_аналитики'!$F$4259*'19_Расчет_аналитики'!$F$4260*'18_Календарь_тарифы'!AX4,0)</f>
        <v/>
      </c>
      <c r="AY4605">
        <f>IF('01_Вводные'!$B$234="Да",'06_Сеть_и_дети'!AY5*'19_Расчет_аналитики'!$F$4259*'19_Расчет_аналитики'!$F$4260*'18_Календарь_тарифы'!AY4,0)</f>
        <v/>
      </c>
      <c r="AZ4605">
        <f>IF('01_Вводные'!$B$234="Да",'06_Сеть_и_дети'!AZ5*'19_Расчет_аналитики'!$F$4259*'19_Расчет_аналитики'!$F$4260*'18_Календарь_тарифы'!AZ4,0)</f>
        <v/>
      </c>
      <c r="BA4605">
        <f>IF('01_Вводные'!$B$234="Да",'06_Сеть_и_дети'!BA5*'19_Расчет_аналитики'!$F$4259*'19_Расчет_аналитики'!$F$4260*'18_Календарь_тарифы'!BA4,0)</f>
        <v/>
      </c>
      <c r="BB4605">
        <f>IF('01_Вводные'!$B$234="Да",'06_Сеть_и_дети'!BB5*'19_Расчет_аналитики'!$F$4259*'19_Расчет_аналитики'!$F$4260*'18_Календарь_тарифы'!BB4,0)</f>
        <v/>
      </c>
      <c r="BC4605">
        <f>IF('01_Вводные'!$B$234="Да",'06_Сеть_и_дети'!BC5*'19_Расчет_аналитики'!$F$4259*'19_Расчет_аналитики'!$F$4260*'18_Календарь_тарифы'!BC4,0)</f>
        <v/>
      </c>
      <c r="BD4605">
        <f>IF('01_Вводные'!$B$234="Да",'06_Сеть_и_дети'!BD5*'19_Расчет_аналитики'!$F$4259*'19_Расчет_аналитики'!$F$4260*'18_Календарь_тарифы'!BD4,0)</f>
        <v/>
      </c>
      <c r="BE4605">
        <f>IF('01_Вводные'!$B$234="Да",'06_Сеть_и_дети'!BE5*'19_Расчет_аналитики'!$F$4259*'19_Расчет_аналитики'!$F$4260*'18_Календарь_тарифы'!BE4,0)</f>
        <v/>
      </c>
      <c r="BF4605">
        <f>IF('01_Вводные'!$B$234="Да",'06_Сеть_и_дети'!BF5*'19_Расчет_аналитики'!$F$4259*'19_Расчет_аналитики'!$F$4260*'18_Календарь_тарифы'!BF4,0)</f>
        <v/>
      </c>
      <c r="BG4605">
        <f>IF('01_Вводные'!$B$234="Да",'06_Сеть_и_дети'!BG5*'19_Расчет_аналитики'!$F$4259*'19_Расчет_аналитики'!$F$4260*'18_Календарь_тарифы'!BG4,0)</f>
        <v/>
      </c>
      <c r="BH4605">
        <f>IF('01_Вводные'!$B$234="Да",'06_Сеть_и_дети'!BH5*'19_Расчет_аналитики'!$F$4259*'19_Расчет_аналитики'!$F$4260*'18_Календарь_тарифы'!BH4,0)</f>
        <v/>
      </c>
      <c r="BI4605">
        <f>IF('01_Вводные'!$B$234="Да",'06_Сеть_и_дети'!BI5*'19_Расчет_аналитики'!$F$4259*'19_Расчет_аналитики'!$F$4260*'18_Календарь_тарифы'!BI4,0)</f>
        <v/>
      </c>
      <c r="BJ4605">
        <f>IF('01_Вводные'!$B$234="Да",'06_Сеть_и_дети'!BJ5*'19_Расчет_аналитики'!$F$4259*'19_Расчет_аналитики'!$F$4260*'18_Календарь_тарифы'!BJ4,0)</f>
        <v/>
      </c>
      <c r="BK4605">
        <f>IF('01_Вводные'!$B$234="Да",'06_Сеть_и_дети'!BK5*'19_Расчет_аналитики'!$F$4259*'19_Расчет_аналитики'!$F$4260*'18_Календарь_тарифы'!BK4,0)</f>
        <v/>
      </c>
      <c r="BL4605">
        <f>IF('01_Вводные'!$B$234="Да",'06_Сеть_и_дети'!BL5*'19_Расчет_аналитики'!$F$4259*'19_Расчет_аналитики'!$F$4260*'18_Календарь_тарифы'!BL4,0)</f>
        <v/>
      </c>
      <c r="BM4605">
        <f>IF('01_Вводные'!$B$234="Да",'06_Сеть_и_дети'!BM5*'19_Расчет_аналитики'!$F$4259*'19_Расчет_аналитики'!$F$4260*'18_Календарь_тарифы'!BM4,0)</f>
        <v/>
      </c>
      <c r="BN4605">
        <f>IF('01_Вводные'!$B$234="Да",'06_Сеть_и_дети'!BN5*'19_Расчет_аналитики'!$F$4259*'19_Расчет_аналитики'!$F$4260*'18_Календарь_тарифы'!BN4,0)</f>
        <v/>
      </c>
      <c r="BO4605">
        <f>IF('01_Вводные'!$B$234="Да",'06_Сеть_и_дети'!BO5*'19_Расчет_аналитики'!$F$4259*'19_Расчет_аналитики'!$F$4260*'18_Календарь_тарифы'!BO4,0)</f>
        <v/>
      </c>
    </row>
    <row r="4606"/>
    <row r="4607">
      <c r="B4607">
        <f>IF('01_Вводные'!$B$234="Да",'19_Расчет_аналитики'!B4605*IF('06_Сеть_и_дети'!B$3&gt;='01_Вводные'!$B$245,'01_Вводные'!$B$57,'01_Вводные'!$B$55),0)</f>
        <v/>
      </c>
      <c r="C4607">
        <f>IF('01_Вводные'!$B$234="Да",'19_Расчет_аналитики'!C4605*IF('06_Сеть_и_дети'!C$3&gt;='01_Вводные'!$B$245,'01_Вводные'!$B$57,'01_Вводные'!$B$55),0)</f>
        <v/>
      </c>
      <c r="D4607">
        <f>IF('01_Вводные'!$B$234="Да",'19_Расчет_аналитики'!D4605*IF('06_Сеть_и_дети'!D$3&gt;='01_Вводные'!$B$245,'01_Вводные'!$B$57,'01_Вводные'!$B$55),0)</f>
        <v/>
      </c>
      <c r="E4607">
        <f>IF('01_Вводные'!$B$234="Да",'19_Расчет_аналитики'!E4605*IF('06_Сеть_и_дети'!E$3&gt;='01_Вводные'!$B$245,'01_Вводные'!$B$57,'01_Вводные'!$B$55),0)</f>
        <v/>
      </c>
      <c r="F4607">
        <f>IF('01_Вводные'!$B$234="Да",'19_Расчет_аналитики'!F4605*IF('06_Сеть_и_дети'!F$3&gt;='01_Вводные'!$B$245,'01_Вводные'!$B$57,'01_Вводные'!$B$55),0)</f>
        <v/>
      </c>
      <c r="G4607">
        <f>IF('01_Вводные'!$B$234="Да",'19_Расчет_аналитики'!G4605*IF('06_Сеть_и_дети'!G$3&gt;='01_Вводные'!$B$245,'01_Вводные'!$B$57,'01_Вводные'!$B$55),0)</f>
        <v/>
      </c>
      <c r="H4607">
        <f>IF('01_Вводные'!$B$234="Да",'19_Расчет_аналитики'!H4605*IF('06_Сеть_и_дети'!H$3&gt;='01_Вводные'!$B$245,'01_Вводные'!$B$57,'01_Вводные'!$B$55),0)</f>
        <v/>
      </c>
      <c r="I4607">
        <f>IF('01_Вводные'!$B$234="Да",'19_Расчет_аналитики'!I4605*IF('06_Сеть_и_дети'!I$3&gt;='01_Вводные'!$B$245,'01_Вводные'!$B$57,'01_Вводные'!$B$55),0)</f>
        <v/>
      </c>
      <c r="J4607">
        <f>IF('01_Вводные'!$B$234="Да",'19_Расчет_аналитики'!J4605*IF('06_Сеть_и_дети'!J$3&gt;='01_Вводные'!$B$245,'01_Вводные'!$B$57,'01_Вводные'!$B$55),0)</f>
        <v/>
      </c>
      <c r="K4607">
        <f>IF('01_Вводные'!$B$234="Да",'19_Расчет_аналитики'!K4605*IF('06_Сеть_и_дети'!K$3&gt;='01_Вводные'!$B$245,'01_Вводные'!$B$57,'01_Вводные'!$B$55),0)</f>
        <v/>
      </c>
      <c r="L4607">
        <f>IF('01_Вводные'!$B$234="Да",'19_Расчет_аналитики'!L4605*IF('06_Сеть_и_дети'!L$3&gt;='01_Вводные'!$B$245,'01_Вводные'!$B$57,'01_Вводные'!$B$55),0)</f>
        <v/>
      </c>
      <c r="M4607">
        <f>IF('01_Вводные'!$B$234="Да",'19_Расчет_аналитики'!M4605*IF('06_Сеть_и_дети'!M$3&gt;='01_Вводные'!$B$245,'01_Вводные'!$B$57,'01_Вводные'!$B$55),0)</f>
        <v/>
      </c>
      <c r="N4607">
        <f>IF('01_Вводные'!$B$234="Да",'19_Расчет_аналитики'!N4605*IF('06_Сеть_и_дети'!N$3&gt;='01_Вводные'!$B$245,'01_Вводные'!$B$57,'01_Вводные'!$B$55),0)</f>
        <v/>
      </c>
      <c r="O4607">
        <f>IF('01_Вводные'!$B$234="Да",'19_Расчет_аналитики'!O4605*IF('06_Сеть_и_дети'!O$3&gt;='01_Вводные'!$B$245,'01_Вводные'!$B$57,'01_Вводные'!$B$55),0)</f>
        <v/>
      </c>
      <c r="P4607">
        <f>IF('01_Вводные'!$B$234="Да",'19_Расчет_аналитики'!P4605*IF('06_Сеть_и_дети'!P$3&gt;='01_Вводные'!$B$245,'01_Вводные'!$B$57,'01_Вводные'!$B$55),0)</f>
        <v/>
      </c>
      <c r="Q4607">
        <f>IF('01_Вводные'!$B$234="Да",'19_Расчет_аналитики'!Q4605*IF('06_Сеть_и_дети'!Q$3&gt;='01_Вводные'!$B$245,'01_Вводные'!$B$57,'01_Вводные'!$B$55),0)</f>
        <v/>
      </c>
      <c r="R4607">
        <f>IF('01_Вводные'!$B$234="Да",'19_Расчет_аналитики'!R4605*IF('06_Сеть_и_дети'!R$3&gt;='01_Вводные'!$B$245,'01_Вводные'!$B$57,'01_Вводные'!$B$55),0)</f>
        <v/>
      </c>
      <c r="S4607">
        <f>IF('01_Вводные'!$B$234="Да",'19_Расчет_аналитики'!S4605*IF('06_Сеть_и_дети'!S$3&gt;='01_Вводные'!$B$245,'01_Вводные'!$B$57,'01_Вводные'!$B$55),0)</f>
        <v/>
      </c>
      <c r="T4607">
        <f>IF('01_Вводные'!$B$234="Да",'19_Расчет_аналитики'!T4605*IF('06_Сеть_и_дети'!T$3&gt;='01_Вводные'!$B$245,'01_Вводные'!$B$57,'01_Вводные'!$B$55),0)</f>
        <v/>
      </c>
      <c r="U4607">
        <f>IF('01_Вводные'!$B$234="Да",'19_Расчет_аналитики'!U4605*IF('06_Сеть_и_дети'!U$3&gt;='01_Вводные'!$B$245,'01_Вводные'!$B$57,'01_Вводные'!$B$55),0)</f>
        <v/>
      </c>
      <c r="V4607">
        <f>IF('01_Вводные'!$B$234="Да",'19_Расчет_аналитики'!V4605*IF('06_Сеть_и_дети'!V$3&gt;='01_Вводные'!$B$245,'01_Вводные'!$B$57,'01_Вводные'!$B$55),0)</f>
        <v/>
      </c>
      <c r="W4607">
        <f>IF('01_Вводные'!$B$234="Да",'19_Расчет_аналитики'!W4605*IF('06_Сеть_и_дети'!W$3&gt;='01_Вводные'!$B$245,'01_Вводные'!$B$57,'01_Вводные'!$B$55),0)</f>
        <v/>
      </c>
      <c r="X4607">
        <f>IF('01_Вводные'!$B$234="Да",'19_Расчет_аналитики'!X4605*IF('06_Сеть_и_дети'!X$3&gt;='01_Вводные'!$B$245,'01_Вводные'!$B$57,'01_Вводные'!$B$55),0)</f>
        <v/>
      </c>
      <c r="Y4607">
        <f>IF('01_Вводные'!$B$234="Да",'19_Расчет_аналитики'!Y4605*IF('06_Сеть_и_дети'!Y$3&gt;='01_Вводные'!$B$245,'01_Вводные'!$B$57,'01_Вводные'!$B$55),0)</f>
        <v/>
      </c>
      <c r="Z4607">
        <f>IF('01_Вводные'!$B$234="Да",'19_Расчет_аналитики'!Z4605*IF('06_Сеть_и_дети'!Z$3&gt;='01_Вводные'!$B$245,'01_Вводные'!$B$57,'01_Вводные'!$B$55),0)</f>
        <v/>
      </c>
      <c r="AA4607">
        <f>IF('01_Вводные'!$B$234="Да",'19_Расчет_аналитики'!AA4605*IF('06_Сеть_и_дети'!AA$3&gt;='01_Вводные'!$B$245,'01_Вводные'!$B$57,'01_Вводные'!$B$55),0)</f>
        <v/>
      </c>
      <c r="AB4607">
        <f>IF('01_Вводные'!$B$234="Да",'19_Расчет_аналитики'!AB4605*IF('06_Сеть_и_дети'!AB$3&gt;='01_Вводные'!$B$245,'01_Вводные'!$B$57,'01_Вводные'!$B$55),0)</f>
        <v/>
      </c>
      <c r="AC4607">
        <f>IF('01_Вводные'!$B$234="Да",'19_Расчет_аналитики'!AC4605*IF('06_Сеть_и_дети'!AC$3&gt;='01_Вводные'!$B$245,'01_Вводные'!$B$57,'01_Вводные'!$B$55),0)</f>
        <v/>
      </c>
      <c r="AD4607">
        <f>IF('01_Вводные'!$B$234="Да",'19_Расчет_аналитики'!AD4605*IF('06_Сеть_и_дети'!AD$3&gt;='01_Вводные'!$B$245,'01_Вводные'!$B$57,'01_Вводные'!$B$55),0)</f>
        <v/>
      </c>
      <c r="AE4607">
        <f>IF('01_Вводные'!$B$234="Да",'19_Расчет_аналитики'!AE4605*IF('06_Сеть_и_дети'!AE$3&gt;='01_Вводные'!$B$245,'01_Вводные'!$B$57,'01_Вводные'!$B$55),0)</f>
        <v/>
      </c>
      <c r="AF4607">
        <f>IF('01_Вводные'!$B$234="Да",'19_Расчет_аналитики'!AF4605*IF('06_Сеть_и_дети'!AF$3&gt;='01_Вводные'!$B$245,'01_Вводные'!$B$57,'01_Вводные'!$B$55),0)</f>
        <v/>
      </c>
      <c r="AG4607">
        <f>IF('01_Вводные'!$B$234="Да",'19_Расчет_аналитики'!AG4605*IF('06_Сеть_и_дети'!AG$3&gt;='01_Вводные'!$B$245,'01_Вводные'!$B$57,'01_Вводные'!$B$55),0)</f>
        <v/>
      </c>
      <c r="AH4607">
        <f>IF('01_Вводные'!$B$234="Да",'19_Расчет_аналитики'!AH4605*IF('06_Сеть_и_дети'!AH$3&gt;='01_Вводные'!$B$245,'01_Вводные'!$B$57,'01_Вводные'!$B$55),0)</f>
        <v/>
      </c>
      <c r="AI4607">
        <f>IF('01_Вводные'!$B$234="Да",'19_Расчет_аналитики'!AI4605*IF('06_Сеть_и_дети'!AI$3&gt;='01_Вводные'!$B$245,'01_Вводные'!$B$57,'01_Вводные'!$B$55),0)</f>
        <v/>
      </c>
      <c r="AJ4607">
        <f>IF('01_Вводные'!$B$234="Да",'19_Расчет_аналитики'!AJ4605*IF('06_Сеть_и_дети'!AJ$3&gt;='01_Вводные'!$B$245,'01_Вводные'!$B$57,'01_Вводные'!$B$55),0)</f>
        <v/>
      </c>
      <c r="AK4607">
        <f>IF('01_Вводные'!$B$234="Да",'19_Расчет_аналитики'!AK4605*IF('06_Сеть_и_дети'!AK$3&gt;='01_Вводные'!$B$245,'01_Вводные'!$B$57,'01_Вводные'!$B$55),0)</f>
        <v/>
      </c>
      <c r="AL4607">
        <f>IF('01_Вводные'!$B$234="Да",'19_Расчет_аналитики'!AL4605*IF('06_Сеть_и_дети'!AL$3&gt;='01_Вводные'!$B$245,'01_Вводные'!$B$57,'01_Вводные'!$B$55),0)</f>
        <v/>
      </c>
      <c r="AM4607">
        <f>IF('01_Вводные'!$B$234="Да",'19_Расчет_аналитики'!AM4605*IF('06_Сеть_и_дети'!AM$3&gt;='01_Вводные'!$B$245,'01_Вводные'!$B$57,'01_Вводные'!$B$55),0)</f>
        <v/>
      </c>
      <c r="AN4607">
        <f>IF('01_Вводные'!$B$234="Да",'19_Расчет_аналитики'!AN4605*IF('06_Сеть_и_дети'!AN$3&gt;='01_Вводные'!$B$245,'01_Вводные'!$B$57,'01_Вводные'!$B$55),0)</f>
        <v/>
      </c>
      <c r="AO4607">
        <f>IF('01_Вводные'!$B$234="Да",'19_Расчет_аналитики'!AO4605*IF('06_Сеть_и_дети'!AO$3&gt;='01_Вводные'!$B$245,'01_Вводные'!$B$57,'01_Вводные'!$B$55),0)</f>
        <v/>
      </c>
      <c r="AP4607">
        <f>IF('01_Вводные'!$B$234="Да",'19_Расчет_аналитики'!AP4605*IF('06_Сеть_и_дети'!AP$3&gt;='01_Вводные'!$B$245,'01_Вводные'!$B$57,'01_Вводные'!$B$55),0)</f>
        <v/>
      </c>
      <c r="AQ4607">
        <f>IF('01_Вводные'!$B$234="Да",'19_Расчет_аналитики'!AQ4605*IF('06_Сеть_и_дети'!AQ$3&gt;='01_Вводные'!$B$245,'01_Вводные'!$B$57,'01_Вводные'!$B$55),0)</f>
        <v/>
      </c>
      <c r="AR4607">
        <f>IF('01_Вводные'!$B$234="Да",'19_Расчет_аналитики'!AR4605*IF('06_Сеть_и_дети'!AR$3&gt;='01_Вводные'!$B$245,'01_Вводные'!$B$57,'01_Вводные'!$B$55),0)</f>
        <v/>
      </c>
      <c r="AS4607">
        <f>IF('01_Вводные'!$B$234="Да",'19_Расчет_аналитики'!AS4605*IF('06_Сеть_и_дети'!AS$3&gt;='01_Вводные'!$B$245,'01_Вводные'!$B$57,'01_Вводные'!$B$55),0)</f>
        <v/>
      </c>
      <c r="AT4607">
        <f>IF('01_Вводные'!$B$234="Да",'19_Расчет_аналитики'!AT4605*IF('06_Сеть_и_дети'!AT$3&gt;='01_Вводные'!$B$245,'01_Вводные'!$B$57,'01_Вводные'!$B$55),0)</f>
        <v/>
      </c>
      <c r="AU4607">
        <f>IF('01_Вводные'!$B$234="Да",'19_Расчет_аналитики'!AU4605*IF('06_Сеть_и_дети'!AU$3&gt;='01_Вводные'!$B$245,'01_Вводные'!$B$57,'01_Вводные'!$B$55),0)</f>
        <v/>
      </c>
      <c r="AV4607">
        <f>IF('01_Вводные'!$B$234="Да",'19_Расчет_аналитики'!AV4605*IF('06_Сеть_и_дети'!AV$3&gt;='01_Вводные'!$B$245,'01_Вводные'!$B$57,'01_Вводные'!$B$55),0)</f>
        <v/>
      </c>
      <c r="AW4607">
        <f>IF('01_Вводные'!$B$234="Да",'19_Расчет_аналитики'!AW4605*IF('06_Сеть_и_дети'!AW$3&gt;='01_Вводные'!$B$245,'01_Вводные'!$B$57,'01_Вводные'!$B$55),0)</f>
        <v/>
      </c>
      <c r="AX4607">
        <f>IF('01_Вводные'!$B$234="Да",'19_Расчет_аналитики'!AX4605*IF('06_Сеть_и_дети'!AX$3&gt;='01_Вводные'!$B$245,'01_Вводные'!$B$57,'01_Вводные'!$B$55),0)</f>
        <v/>
      </c>
      <c r="AY4607">
        <f>IF('01_Вводные'!$B$234="Да",'19_Расчет_аналитики'!AY4605*IF('06_Сеть_и_дети'!AY$3&gt;='01_Вводные'!$B$245,'01_Вводные'!$B$57,'01_Вводные'!$B$55),0)</f>
        <v/>
      </c>
      <c r="AZ4607">
        <f>IF('01_Вводные'!$B$234="Да",'19_Расчет_аналитики'!AZ4605*IF('06_Сеть_и_дети'!AZ$3&gt;='01_Вводные'!$B$245,'01_Вводные'!$B$57,'01_Вводные'!$B$55),0)</f>
        <v/>
      </c>
      <c r="BA4607">
        <f>IF('01_Вводные'!$B$234="Да",'19_Расчет_аналитики'!BA4605*IF('06_Сеть_и_дети'!BA$3&gt;='01_Вводные'!$B$245,'01_Вводные'!$B$57,'01_Вводные'!$B$55),0)</f>
        <v/>
      </c>
      <c r="BB4607">
        <f>IF('01_Вводные'!$B$234="Да",'19_Расчет_аналитики'!BB4605*IF('06_Сеть_и_дети'!BB$3&gt;='01_Вводные'!$B$245,'01_Вводные'!$B$57,'01_Вводные'!$B$55),0)</f>
        <v/>
      </c>
      <c r="BC4607">
        <f>IF('01_Вводные'!$B$234="Да",'19_Расчет_аналитики'!BC4605*IF('06_Сеть_и_дети'!BC$3&gt;='01_Вводные'!$B$245,'01_Вводные'!$B$57,'01_Вводные'!$B$55),0)</f>
        <v/>
      </c>
      <c r="BD4607">
        <f>IF('01_Вводные'!$B$234="Да",'19_Расчет_аналитики'!BD4605*IF('06_Сеть_и_дети'!BD$3&gt;='01_Вводные'!$B$245,'01_Вводные'!$B$57,'01_Вводные'!$B$55),0)</f>
        <v/>
      </c>
      <c r="BE4607">
        <f>IF('01_Вводные'!$B$234="Да",'19_Расчет_аналитики'!BE4605*IF('06_Сеть_и_дети'!BE$3&gt;='01_Вводные'!$B$245,'01_Вводные'!$B$57,'01_Вводные'!$B$55),0)</f>
        <v/>
      </c>
      <c r="BF4607">
        <f>IF('01_Вводные'!$B$234="Да",'19_Расчет_аналитики'!BF4605*IF('06_Сеть_и_дети'!BF$3&gt;='01_Вводные'!$B$245,'01_Вводные'!$B$57,'01_Вводные'!$B$55),0)</f>
        <v/>
      </c>
      <c r="BG4607">
        <f>IF('01_Вводные'!$B$234="Да",'19_Расчет_аналитики'!BG4605*IF('06_Сеть_и_дети'!BG$3&gt;='01_Вводные'!$B$245,'01_Вводные'!$B$57,'01_Вводные'!$B$55),0)</f>
        <v/>
      </c>
      <c r="BH4607">
        <f>IF('01_Вводные'!$B$234="Да",'19_Расчет_аналитики'!BH4605*IF('06_Сеть_и_дети'!BH$3&gt;='01_Вводные'!$B$245,'01_Вводные'!$B$57,'01_Вводные'!$B$55),0)</f>
        <v/>
      </c>
      <c r="BI4607">
        <f>IF('01_Вводные'!$B$234="Да",'19_Расчет_аналитики'!BI4605*IF('06_Сеть_и_дети'!BI$3&gt;='01_Вводные'!$B$245,'01_Вводные'!$B$57,'01_Вводные'!$B$55),0)</f>
        <v/>
      </c>
      <c r="BJ4607">
        <f>IF('01_Вводные'!$B$234="Да",'19_Расчет_аналитики'!BJ4605*IF('06_Сеть_и_дети'!BJ$3&gt;='01_Вводные'!$B$245,'01_Вводные'!$B$57,'01_Вводные'!$B$55),0)</f>
        <v/>
      </c>
      <c r="BK4607">
        <f>IF('01_Вводные'!$B$234="Да",'19_Расчет_аналитики'!BK4605*IF('06_Сеть_и_дети'!BK$3&gt;='01_Вводные'!$B$245,'01_Вводные'!$B$57,'01_Вводные'!$B$55),0)</f>
        <v/>
      </c>
      <c r="BL4607">
        <f>IF('01_Вводные'!$B$234="Да",'19_Расчет_аналитики'!BL4605*IF('06_Сеть_и_дети'!BL$3&gt;='01_Вводные'!$B$245,'01_Вводные'!$B$57,'01_Вводные'!$B$55),0)</f>
        <v/>
      </c>
      <c r="BM4607">
        <f>IF('01_Вводные'!$B$234="Да",'19_Расчет_аналитики'!BM4605*IF('06_Сеть_и_дети'!BM$3&gt;='01_Вводные'!$B$245,'01_Вводные'!$B$57,'01_Вводные'!$B$55),0)</f>
        <v/>
      </c>
      <c r="BN4607">
        <f>IF('01_Вводные'!$B$234="Да",'19_Расчет_аналитики'!BN4605*IF('06_Сеть_и_дети'!BN$3&gt;='01_Вводные'!$B$245,'01_Вводные'!$B$57,'01_Вводные'!$B$55),0)</f>
        <v/>
      </c>
      <c r="BO4607">
        <f>IF('01_Вводные'!$B$234="Да",'19_Расчет_аналитики'!BO4605*IF('06_Сеть_и_дети'!BO$3&gt;='01_Вводные'!$B$245,'01_Вводные'!$B$57,'01_Вводные'!$B$55),0)</f>
        <v/>
      </c>
    </row>
    <row r="4608">
      <c r="B4608">
        <f>IF('01_Вводные'!$B$234="Да",'19_Расчет_аналитики'!B4605*IF('06_Сеть_и_дети'!B$3&gt;='01_Вводные'!$B$245,'01_Вводные'!$B$57,'01_Вводные'!$B$56),0)</f>
        <v/>
      </c>
      <c r="C4608">
        <f>IF('01_Вводные'!$B$234="Да",'19_Расчет_аналитики'!C4605*IF('06_Сеть_и_дети'!C$3&gt;='01_Вводные'!$B$245,'01_Вводные'!$B$57,'01_Вводные'!$B$56),0)</f>
        <v/>
      </c>
      <c r="D4608">
        <f>IF('01_Вводные'!$B$234="Да",'19_Расчет_аналитики'!D4605*IF('06_Сеть_и_дети'!D$3&gt;='01_Вводные'!$B$245,'01_Вводные'!$B$57,'01_Вводные'!$B$56),0)</f>
        <v/>
      </c>
      <c r="E4608">
        <f>IF('01_Вводные'!$B$234="Да",'19_Расчет_аналитики'!E4605*IF('06_Сеть_и_дети'!E$3&gt;='01_Вводные'!$B$245,'01_Вводные'!$B$57,'01_Вводные'!$B$56),0)</f>
        <v/>
      </c>
      <c r="F4608">
        <f>IF('01_Вводные'!$B$234="Да",'19_Расчет_аналитики'!F4605*IF('06_Сеть_и_дети'!F$3&gt;='01_Вводные'!$B$245,'01_Вводные'!$B$57,'01_Вводные'!$B$56),0)</f>
        <v/>
      </c>
      <c r="G4608">
        <f>IF('01_Вводные'!$B$234="Да",'19_Расчет_аналитики'!G4605*IF('06_Сеть_и_дети'!G$3&gt;='01_Вводные'!$B$245,'01_Вводные'!$B$57,'01_Вводные'!$B$56),0)</f>
        <v/>
      </c>
      <c r="H4608">
        <f>IF('01_Вводные'!$B$234="Да",'19_Расчет_аналитики'!H4605*IF('06_Сеть_и_дети'!H$3&gt;='01_Вводные'!$B$245,'01_Вводные'!$B$57,'01_Вводные'!$B$56),0)</f>
        <v/>
      </c>
      <c r="I4608">
        <f>IF('01_Вводные'!$B$234="Да",'19_Расчет_аналитики'!I4605*IF('06_Сеть_и_дети'!I$3&gt;='01_Вводные'!$B$245,'01_Вводные'!$B$57,'01_Вводные'!$B$56),0)</f>
        <v/>
      </c>
      <c r="J4608">
        <f>IF('01_Вводные'!$B$234="Да",'19_Расчет_аналитики'!J4605*IF('06_Сеть_и_дети'!J$3&gt;='01_Вводные'!$B$245,'01_Вводные'!$B$57,'01_Вводные'!$B$56),0)</f>
        <v/>
      </c>
      <c r="K4608">
        <f>IF('01_Вводные'!$B$234="Да",'19_Расчет_аналитики'!K4605*IF('06_Сеть_и_дети'!K$3&gt;='01_Вводные'!$B$245,'01_Вводные'!$B$57,'01_Вводные'!$B$56),0)</f>
        <v/>
      </c>
      <c r="L4608">
        <f>IF('01_Вводные'!$B$234="Да",'19_Расчет_аналитики'!L4605*IF('06_Сеть_и_дети'!L$3&gt;='01_Вводные'!$B$245,'01_Вводные'!$B$57,'01_Вводные'!$B$56),0)</f>
        <v/>
      </c>
      <c r="M4608">
        <f>IF('01_Вводные'!$B$234="Да",'19_Расчет_аналитики'!M4605*IF('06_Сеть_и_дети'!M$3&gt;='01_Вводные'!$B$245,'01_Вводные'!$B$57,'01_Вводные'!$B$56),0)</f>
        <v/>
      </c>
      <c r="N4608">
        <f>IF('01_Вводные'!$B$234="Да",'19_Расчет_аналитики'!N4605*IF('06_Сеть_и_дети'!N$3&gt;='01_Вводные'!$B$245,'01_Вводные'!$B$57,'01_Вводные'!$B$56),0)</f>
        <v/>
      </c>
      <c r="O4608">
        <f>IF('01_Вводные'!$B$234="Да",'19_Расчет_аналитики'!O4605*IF('06_Сеть_и_дети'!O$3&gt;='01_Вводные'!$B$245,'01_Вводные'!$B$57,'01_Вводные'!$B$56),0)</f>
        <v/>
      </c>
      <c r="P4608">
        <f>IF('01_Вводные'!$B$234="Да",'19_Расчет_аналитики'!P4605*IF('06_Сеть_и_дети'!P$3&gt;='01_Вводные'!$B$245,'01_Вводные'!$B$57,'01_Вводные'!$B$56),0)</f>
        <v/>
      </c>
      <c r="Q4608">
        <f>IF('01_Вводные'!$B$234="Да",'19_Расчет_аналитики'!Q4605*IF('06_Сеть_и_дети'!Q$3&gt;='01_Вводные'!$B$245,'01_Вводные'!$B$57,'01_Вводные'!$B$56),0)</f>
        <v/>
      </c>
      <c r="R4608">
        <f>IF('01_Вводные'!$B$234="Да",'19_Расчет_аналитики'!R4605*IF('06_Сеть_и_дети'!R$3&gt;='01_Вводные'!$B$245,'01_Вводные'!$B$57,'01_Вводные'!$B$56),0)</f>
        <v/>
      </c>
      <c r="S4608">
        <f>IF('01_Вводные'!$B$234="Да",'19_Расчет_аналитики'!S4605*IF('06_Сеть_и_дети'!S$3&gt;='01_Вводные'!$B$245,'01_Вводные'!$B$57,'01_Вводные'!$B$56),0)</f>
        <v/>
      </c>
      <c r="T4608">
        <f>IF('01_Вводные'!$B$234="Да",'19_Расчет_аналитики'!T4605*IF('06_Сеть_и_дети'!T$3&gt;='01_Вводные'!$B$245,'01_Вводные'!$B$57,'01_Вводные'!$B$56),0)</f>
        <v/>
      </c>
      <c r="U4608">
        <f>IF('01_Вводные'!$B$234="Да",'19_Расчет_аналитики'!U4605*IF('06_Сеть_и_дети'!U$3&gt;='01_Вводные'!$B$245,'01_Вводные'!$B$57,'01_Вводные'!$B$56),0)</f>
        <v/>
      </c>
      <c r="V4608">
        <f>IF('01_Вводные'!$B$234="Да",'19_Расчет_аналитики'!V4605*IF('06_Сеть_и_дети'!V$3&gt;='01_Вводные'!$B$245,'01_Вводные'!$B$57,'01_Вводные'!$B$56),0)</f>
        <v/>
      </c>
      <c r="W4608">
        <f>IF('01_Вводные'!$B$234="Да",'19_Расчет_аналитики'!W4605*IF('06_Сеть_и_дети'!W$3&gt;='01_Вводные'!$B$245,'01_Вводные'!$B$57,'01_Вводные'!$B$56),0)</f>
        <v/>
      </c>
      <c r="X4608">
        <f>IF('01_Вводные'!$B$234="Да",'19_Расчет_аналитики'!X4605*IF('06_Сеть_и_дети'!X$3&gt;='01_Вводные'!$B$245,'01_Вводные'!$B$57,'01_Вводные'!$B$56),0)</f>
        <v/>
      </c>
      <c r="Y4608">
        <f>IF('01_Вводные'!$B$234="Да",'19_Расчет_аналитики'!Y4605*IF('06_Сеть_и_дети'!Y$3&gt;='01_Вводные'!$B$245,'01_Вводные'!$B$57,'01_Вводные'!$B$56),0)</f>
        <v/>
      </c>
      <c r="Z4608">
        <f>IF('01_Вводные'!$B$234="Да",'19_Расчет_аналитики'!Z4605*IF('06_Сеть_и_дети'!Z$3&gt;='01_Вводные'!$B$245,'01_Вводные'!$B$57,'01_Вводные'!$B$56),0)</f>
        <v/>
      </c>
      <c r="AA4608">
        <f>IF('01_Вводные'!$B$234="Да",'19_Расчет_аналитики'!AA4605*IF('06_Сеть_и_дети'!AA$3&gt;='01_Вводные'!$B$245,'01_Вводные'!$B$57,'01_Вводные'!$B$56),0)</f>
        <v/>
      </c>
      <c r="AB4608">
        <f>IF('01_Вводные'!$B$234="Да",'19_Расчет_аналитики'!AB4605*IF('06_Сеть_и_дети'!AB$3&gt;='01_Вводные'!$B$245,'01_Вводные'!$B$57,'01_Вводные'!$B$56),0)</f>
        <v/>
      </c>
      <c r="AC4608">
        <f>IF('01_Вводные'!$B$234="Да",'19_Расчет_аналитики'!AC4605*IF('06_Сеть_и_дети'!AC$3&gt;='01_Вводные'!$B$245,'01_Вводные'!$B$57,'01_Вводные'!$B$56),0)</f>
        <v/>
      </c>
      <c r="AD4608">
        <f>IF('01_Вводные'!$B$234="Да",'19_Расчет_аналитики'!AD4605*IF('06_Сеть_и_дети'!AD$3&gt;='01_Вводные'!$B$245,'01_Вводные'!$B$57,'01_Вводные'!$B$56),0)</f>
        <v/>
      </c>
      <c r="AE4608">
        <f>IF('01_Вводные'!$B$234="Да",'19_Расчет_аналитики'!AE4605*IF('06_Сеть_и_дети'!AE$3&gt;='01_Вводные'!$B$245,'01_Вводные'!$B$57,'01_Вводные'!$B$56),0)</f>
        <v/>
      </c>
      <c r="AF4608">
        <f>IF('01_Вводные'!$B$234="Да",'19_Расчет_аналитики'!AF4605*IF('06_Сеть_и_дети'!AF$3&gt;='01_Вводные'!$B$245,'01_Вводные'!$B$57,'01_Вводные'!$B$56),0)</f>
        <v/>
      </c>
      <c r="AG4608">
        <f>IF('01_Вводные'!$B$234="Да",'19_Расчет_аналитики'!AG4605*IF('06_Сеть_и_дети'!AG$3&gt;='01_Вводные'!$B$245,'01_Вводные'!$B$57,'01_Вводные'!$B$56),0)</f>
        <v/>
      </c>
      <c r="AH4608">
        <f>IF('01_Вводные'!$B$234="Да",'19_Расчет_аналитики'!AH4605*IF('06_Сеть_и_дети'!AH$3&gt;='01_Вводные'!$B$245,'01_Вводные'!$B$57,'01_Вводные'!$B$56),0)</f>
        <v/>
      </c>
      <c r="AI4608">
        <f>IF('01_Вводные'!$B$234="Да",'19_Расчет_аналитики'!AI4605*IF('06_Сеть_и_дети'!AI$3&gt;='01_Вводные'!$B$245,'01_Вводные'!$B$57,'01_Вводные'!$B$56),0)</f>
        <v/>
      </c>
      <c r="AJ4608">
        <f>IF('01_Вводные'!$B$234="Да",'19_Расчет_аналитики'!AJ4605*IF('06_Сеть_и_дети'!AJ$3&gt;='01_Вводные'!$B$245,'01_Вводные'!$B$57,'01_Вводные'!$B$56),0)</f>
        <v/>
      </c>
      <c r="AK4608">
        <f>IF('01_Вводные'!$B$234="Да",'19_Расчет_аналитики'!AK4605*IF('06_Сеть_и_дети'!AK$3&gt;='01_Вводные'!$B$245,'01_Вводные'!$B$57,'01_Вводные'!$B$56),0)</f>
        <v/>
      </c>
      <c r="AL4608">
        <f>IF('01_Вводные'!$B$234="Да",'19_Расчет_аналитики'!AL4605*IF('06_Сеть_и_дети'!AL$3&gt;='01_Вводные'!$B$245,'01_Вводные'!$B$57,'01_Вводные'!$B$56),0)</f>
        <v/>
      </c>
      <c r="AM4608">
        <f>IF('01_Вводные'!$B$234="Да",'19_Расчет_аналитики'!AM4605*IF('06_Сеть_и_дети'!AM$3&gt;='01_Вводные'!$B$245,'01_Вводные'!$B$57,'01_Вводные'!$B$56),0)</f>
        <v/>
      </c>
      <c r="AN4608">
        <f>IF('01_Вводные'!$B$234="Да",'19_Расчет_аналитики'!AN4605*IF('06_Сеть_и_дети'!AN$3&gt;='01_Вводные'!$B$245,'01_Вводные'!$B$57,'01_Вводные'!$B$56),0)</f>
        <v/>
      </c>
      <c r="AO4608">
        <f>IF('01_Вводные'!$B$234="Да",'19_Расчет_аналитики'!AO4605*IF('06_Сеть_и_дети'!AO$3&gt;='01_Вводные'!$B$245,'01_Вводные'!$B$57,'01_Вводные'!$B$56),0)</f>
        <v/>
      </c>
      <c r="AP4608">
        <f>IF('01_Вводные'!$B$234="Да",'19_Расчет_аналитики'!AP4605*IF('06_Сеть_и_дети'!AP$3&gt;='01_Вводные'!$B$245,'01_Вводные'!$B$57,'01_Вводные'!$B$56),0)</f>
        <v/>
      </c>
      <c r="AQ4608">
        <f>IF('01_Вводные'!$B$234="Да",'19_Расчет_аналитики'!AQ4605*IF('06_Сеть_и_дети'!AQ$3&gt;='01_Вводные'!$B$245,'01_Вводные'!$B$57,'01_Вводные'!$B$56),0)</f>
        <v/>
      </c>
      <c r="AR4608">
        <f>IF('01_Вводные'!$B$234="Да",'19_Расчет_аналитики'!AR4605*IF('06_Сеть_и_дети'!AR$3&gt;='01_Вводные'!$B$245,'01_Вводные'!$B$57,'01_Вводные'!$B$56),0)</f>
        <v/>
      </c>
      <c r="AS4608">
        <f>IF('01_Вводные'!$B$234="Да",'19_Расчет_аналитики'!AS4605*IF('06_Сеть_и_дети'!AS$3&gt;='01_Вводные'!$B$245,'01_Вводные'!$B$57,'01_Вводные'!$B$56),0)</f>
        <v/>
      </c>
      <c r="AT4608">
        <f>IF('01_Вводные'!$B$234="Да",'19_Расчет_аналитики'!AT4605*IF('06_Сеть_и_дети'!AT$3&gt;='01_Вводные'!$B$245,'01_Вводные'!$B$57,'01_Вводные'!$B$56),0)</f>
        <v/>
      </c>
      <c r="AU4608">
        <f>IF('01_Вводные'!$B$234="Да",'19_Расчет_аналитики'!AU4605*IF('06_Сеть_и_дети'!AU$3&gt;='01_Вводные'!$B$245,'01_Вводные'!$B$57,'01_Вводные'!$B$56),0)</f>
        <v/>
      </c>
      <c r="AV4608">
        <f>IF('01_Вводные'!$B$234="Да",'19_Расчет_аналитики'!AV4605*IF('06_Сеть_и_дети'!AV$3&gt;='01_Вводные'!$B$245,'01_Вводные'!$B$57,'01_Вводные'!$B$56),0)</f>
        <v/>
      </c>
      <c r="AW4608">
        <f>IF('01_Вводные'!$B$234="Да",'19_Расчет_аналитики'!AW4605*IF('06_Сеть_и_дети'!AW$3&gt;='01_Вводные'!$B$245,'01_Вводные'!$B$57,'01_Вводные'!$B$56),0)</f>
        <v/>
      </c>
      <c r="AX4608">
        <f>IF('01_Вводные'!$B$234="Да",'19_Расчет_аналитики'!AX4605*IF('06_Сеть_и_дети'!AX$3&gt;='01_Вводные'!$B$245,'01_Вводные'!$B$57,'01_Вводные'!$B$56),0)</f>
        <v/>
      </c>
      <c r="AY4608">
        <f>IF('01_Вводные'!$B$234="Да",'19_Расчет_аналитики'!AY4605*IF('06_Сеть_и_дети'!AY$3&gt;='01_Вводные'!$B$245,'01_Вводные'!$B$57,'01_Вводные'!$B$56),0)</f>
        <v/>
      </c>
      <c r="AZ4608">
        <f>IF('01_Вводные'!$B$234="Да",'19_Расчет_аналитики'!AZ4605*IF('06_Сеть_и_дети'!AZ$3&gt;='01_Вводные'!$B$245,'01_Вводные'!$B$57,'01_Вводные'!$B$56),0)</f>
        <v/>
      </c>
      <c r="BA4608">
        <f>IF('01_Вводные'!$B$234="Да",'19_Расчет_аналитики'!BA4605*IF('06_Сеть_и_дети'!BA$3&gt;='01_Вводные'!$B$245,'01_Вводные'!$B$57,'01_Вводные'!$B$56),0)</f>
        <v/>
      </c>
      <c r="BB4608">
        <f>IF('01_Вводные'!$B$234="Да",'19_Расчет_аналитики'!BB4605*IF('06_Сеть_и_дети'!BB$3&gt;='01_Вводные'!$B$245,'01_Вводные'!$B$57,'01_Вводные'!$B$56),0)</f>
        <v/>
      </c>
      <c r="BC4608">
        <f>IF('01_Вводные'!$B$234="Да",'19_Расчет_аналитики'!BC4605*IF('06_Сеть_и_дети'!BC$3&gt;='01_Вводные'!$B$245,'01_Вводные'!$B$57,'01_Вводные'!$B$56),0)</f>
        <v/>
      </c>
      <c r="BD4608">
        <f>IF('01_Вводные'!$B$234="Да",'19_Расчет_аналитики'!BD4605*IF('06_Сеть_и_дети'!BD$3&gt;='01_Вводные'!$B$245,'01_Вводные'!$B$57,'01_Вводные'!$B$56),0)</f>
        <v/>
      </c>
      <c r="BE4608">
        <f>IF('01_Вводные'!$B$234="Да",'19_Расчет_аналитики'!BE4605*IF('06_Сеть_и_дети'!BE$3&gt;='01_Вводные'!$B$245,'01_Вводные'!$B$57,'01_Вводные'!$B$56),0)</f>
        <v/>
      </c>
      <c r="BF4608">
        <f>IF('01_Вводные'!$B$234="Да",'19_Расчет_аналитики'!BF4605*IF('06_Сеть_и_дети'!BF$3&gt;='01_Вводные'!$B$245,'01_Вводные'!$B$57,'01_Вводные'!$B$56),0)</f>
        <v/>
      </c>
      <c r="BG4608">
        <f>IF('01_Вводные'!$B$234="Да",'19_Расчет_аналитики'!BG4605*IF('06_Сеть_и_дети'!BG$3&gt;='01_Вводные'!$B$245,'01_Вводные'!$B$57,'01_Вводные'!$B$56),0)</f>
        <v/>
      </c>
      <c r="BH4608">
        <f>IF('01_Вводные'!$B$234="Да",'19_Расчет_аналитики'!BH4605*IF('06_Сеть_и_дети'!BH$3&gt;='01_Вводные'!$B$245,'01_Вводные'!$B$57,'01_Вводные'!$B$56),0)</f>
        <v/>
      </c>
      <c r="BI4608">
        <f>IF('01_Вводные'!$B$234="Да",'19_Расчет_аналитики'!BI4605*IF('06_Сеть_и_дети'!BI$3&gt;='01_Вводные'!$B$245,'01_Вводные'!$B$57,'01_Вводные'!$B$56),0)</f>
        <v/>
      </c>
      <c r="BJ4608">
        <f>IF('01_Вводные'!$B$234="Да",'19_Расчет_аналитики'!BJ4605*IF('06_Сеть_и_дети'!BJ$3&gt;='01_Вводные'!$B$245,'01_Вводные'!$B$57,'01_Вводные'!$B$56),0)</f>
        <v/>
      </c>
      <c r="BK4608">
        <f>IF('01_Вводные'!$B$234="Да",'19_Расчет_аналитики'!BK4605*IF('06_Сеть_и_дети'!BK$3&gt;='01_Вводные'!$B$245,'01_Вводные'!$B$57,'01_Вводные'!$B$56),0)</f>
        <v/>
      </c>
      <c r="BL4608">
        <f>IF('01_Вводные'!$B$234="Да",'19_Расчет_аналитики'!BL4605*IF('06_Сеть_и_дети'!BL$3&gt;='01_Вводные'!$B$245,'01_Вводные'!$B$57,'01_Вводные'!$B$56),0)</f>
        <v/>
      </c>
      <c r="BM4608">
        <f>IF('01_Вводные'!$B$234="Да",'19_Расчет_аналитики'!BM4605*IF('06_Сеть_и_дети'!BM$3&gt;='01_Вводные'!$B$245,'01_Вводные'!$B$57,'01_Вводные'!$B$56),0)</f>
        <v/>
      </c>
      <c r="BN4608">
        <f>IF('01_Вводные'!$B$234="Да",'19_Расчет_аналитики'!BN4605*IF('06_Сеть_и_дети'!BN$3&gt;='01_Вводные'!$B$245,'01_Вводные'!$B$57,'01_Вводные'!$B$56),0)</f>
        <v/>
      </c>
      <c r="BO4608">
        <f>IF('01_Вводные'!$B$234="Да",'19_Расчет_аналитики'!BO4605*IF('06_Сеть_и_дети'!BO$3&gt;='01_Вводные'!$B$245,'01_Вводные'!$B$57,'01_Вводные'!$B$56),0)</f>
        <v/>
      </c>
    </row>
    <row r="4609">
      <c r="B4609">
        <f>IF('01_Вводные'!$B$234="Да",SUM('19_Расчет_аналитики'!B4456:B4480)-'19_Расчет_аналитики'!B4419,0)</f>
        <v/>
      </c>
      <c r="C4609">
        <f>IF('01_Вводные'!$B$234="Да",SUM('19_Расчет_аналитики'!C4456:C4480)-'19_Расчет_аналитики'!C4419,0)</f>
        <v/>
      </c>
      <c r="D4609">
        <f>IF('01_Вводные'!$B$234="Да",SUM('19_Расчет_аналитики'!D4456:D4480)-'19_Расчет_аналитики'!D4419,0)</f>
        <v/>
      </c>
      <c r="E4609">
        <f>IF('01_Вводные'!$B$234="Да",SUM('19_Расчет_аналитики'!E4456:E4480)-'19_Расчет_аналитики'!E4419,0)</f>
        <v/>
      </c>
      <c r="F4609">
        <f>IF('01_Вводные'!$B$234="Да",SUM('19_Расчет_аналитики'!F4456:F4480)-'19_Расчет_аналитики'!F4419,0)</f>
        <v/>
      </c>
      <c r="G4609">
        <f>IF('01_Вводные'!$B$234="Да",SUM('19_Расчет_аналитики'!G4456:G4480)-'19_Расчет_аналитики'!G4419,0)</f>
        <v/>
      </c>
      <c r="H4609">
        <f>IF('01_Вводные'!$B$234="Да",SUM('19_Расчет_аналитики'!H4456:H4480)-'19_Расчет_аналитики'!H4419,0)</f>
        <v/>
      </c>
      <c r="I4609">
        <f>IF('01_Вводные'!$B$234="Да",SUM('19_Расчет_аналитики'!I4456:I4480)-'19_Расчет_аналитики'!I4419,0)</f>
        <v/>
      </c>
      <c r="J4609">
        <f>IF('01_Вводные'!$B$234="Да",SUM('19_Расчет_аналитики'!J4456:J4480)-'19_Расчет_аналитики'!J4419,0)</f>
        <v/>
      </c>
      <c r="K4609">
        <f>IF('01_Вводные'!$B$234="Да",SUM('19_Расчет_аналитики'!K4456:K4480)-'19_Расчет_аналитики'!K4419,0)</f>
        <v/>
      </c>
      <c r="L4609">
        <f>IF('01_Вводные'!$B$234="Да",SUM('19_Расчет_аналитики'!L4456:L4480)-'19_Расчет_аналитики'!L4419,0)</f>
        <v/>
      </c>
      <c r="M4609">
        <f>IF('01_Вводные'!$B$234="Да",SUM('19_Расчет_аналитики'!M4456:M4480)-'19_Расчет_аналитики'!M4419,0)</f>
        <v/>
      </c>
      <c r="N4609">
        <f>IF('01_Вводные'!$B$234="Да",SUM('19_Расчет_аналитики'!N4456:N4480)-'19_Расчет_аналитики'!N4419,0)</f>
        <v/>
      </c>
      <c r="O4609">
        <f>IF('01_Вводные'!$B$234="Да",SUM('19_Расчет_аналитики'!O4456:O4480)-'19_Расчет_аналитики'!O4419,0)</f>
        <v/>
      </c>
      <c r="P4609">
        <f>IF('01_Вводные'!$B$234="Да",SUM('19_Расчет_аналитики'!P4456:P4480)-'19_Расчет_аналитики'!P4419,0)</f>
        <v/>
      </c>
      <c r="Q4609">
        <f>IF('01_Вводные'!$B$234="Да",SUM('19_Расчет_аналитики'!Q4456:Q4480)-'19_Расчет_аналитики'!Q4419,0)</f>
        <v/>
      </c>
      <c r="R4609">
        <f>IF('01_Вводные'!$B$234="Да",SUM('19_Расчет_аналитики'!R4456:R4480)-'19_Расчет_аналитики'!R4419,0)</f>
        <v/>
      </c>
      <c r="S4609">
        <f>IF('01_Вводные'!$B$234="Да",SUM('19_Расчет_аналитики'!S4456:S4480)-'19_Расчет_аналитики'!S4419,0)</f>
        <v/>
      </c>
      <c r="T4609">
        <f>IF('01_Вводные'!$B$234="Да",SUM('19_Расчет_аналитики'!T4456:T4480)-'19_Расчет_аналитики'!T4419,0)</f>
        <v/>
      </c>
      <c r="U4609">
        <f>IF('01_Вводные'!$B$234="Да",SUM('19_Расчет_аналитики'!U4456:U4480)-'19_Расчет_аналитики'!U4419,0)</f>
        <v/>
      </c>
      <c r="V4609">
        <f>IF('01_Вводные'!$B$234="Да",SUM('19_Расчет_аналитики'!V4456:V4480)-'19_Расчет_аналитики'!V4419,0)</f>
        <v/>
      </c>
      <c r="W4609">
        <f>IF('01_Вводные'!$B$234="Да",SUM('19_Расчет_аналитики'!W4456:W4480)-'19_Расчет_аналитики'!W4419,0)</f>
        <v/>
      </c>
      <c r="X4609">
        <f>IF('01_Вводные'!$B$234="Да",SUM('19_Расчет_аналитики'!X4456:X4480)-'19_Расчет_аналитики'!X4419,0)</f>
        <v/>
      </c>
      <c r="Y4609">
        <f>IF('01_Вводные'!$B$234="Да",SUM('19_Расчет_аналитики'!Y4456:Y4480)-'19_Расчет_аналитики'!Y4419,0)</f>
        <v/>
      </c>
      <c r="Z4609">
        <f>IF('01_Вводные'!$B$234="Да",SUM('19_Расчет_аналитики'!Z4456:Z4480)-'19_Расчет_аналитики'!Z4419,0)</f>
        <v/>
      </c>
      <c r="AA4609">
        <f>IF('01_Вводные'!$B$234="Да",SUM('19_Расчет_аналитики'!AA4456:AA4480)-'19_Расчет_аналитики'!AA4419,0)</f>
        <v/>
      </c>
      <c r="AB4609">
        <f>IF('01_Вводные'!$B$234="Да",SUM('19_Расчет_аналитики'!AB4456:AB4480)-'19_Расчет_аналитики'!AB4419,0)</f>
        <v/>
      </c>
      <c r="AC4609">
        <f>IF('01_Вводные'!$B$234="Да",SUM('19_Расчет_аналитики'!AC4456:AC4480)-'19_Расчет_аналитики'!AC4419,0)</f>
        <v/>
      </c>
      <c r="AD4609">
        <f>IF('01_Вводные'!$B$234="Да",SUM('19_Расчет_аналитики'!AD4456:AD4480)-'19_Расчет_аналитики'!AD4419,0)</f>
        <v/>
      </c>
      <c r="AE4609">
        <f>IF('01_Вводные'!$B$234="Да",SUM('19_Расчет_аналитики'!AE4456:AE4480)-'19_Расчет_аналитики'!AE4419,0)</f>
        <v/>
      </c>
      <c r="AF4609">
        <f>IF('01_Вводные'!$B$234="Да",SUM('19_Расчет_аналитики'!AF4456:AF4480)-'19_Расчет_аналитики'!AF4419,0)</f>
        <v/>
      </c>
      <c r="AG4609">
        <f>IF('01_Вводные'!$B$234="Да",SUM('19_Расчет_аналитики'!AG4456:AG4480)-'19_Расчет_аналитики'!AG4419,0)</f>
        <v/>
      </c>
      <c r="AH4609">
        <f>IF('01_Вводные'!$B$234="Да",SUM('19_Расчет_аналитики'!AH4456:AH4480)-'19_Расчет_аналитики'!AH4419,0)</f>
        <v/>
      </c>
      <c r="AI4609">
        <f>IF('01_Вводные'!$B$234="Да",SUM('19_Расчет_аналитики'!AI4456:AI4480)-'19_Расчет_аналитики'!AI4419,0)</f>
        <v/>
      </c>
      <c r="AJ4609">
        <f>IF('01_Вводные'!$B$234="Да",SUM('19_Расчет_аналитики'!AJ4456:AJ4480)-'19_Расчет_аналитики'!AJ4419,0)</f>
        <v/>
      </c>
      <c r="AK4609">
        <f>IF('01_Вводные'!$B$234="Да",SUM('19_Расчет_аналитики'!AK4456:AK4480)-'19_Расчет_аналитики'!AK4419,0)</f>
        <v/>
      </c>
      <c r="AL4609">
        <f>IF('01_Вводные'!$B$234="Да",SUM('19_Расчет_аналитики'!AL4456:AL4480)-'19_Расчет_аналитики'!AL4419,0)</f>
        <v/>
      </c>
      <c r="AM4609">
        <f>IF('01_Вводные'!$B$234="Да",SUM('19_Расчет_аналитики'!AM4456:AM4480)-'19_Расчет_аналитики'!AM4419,0)</f>
        <v/>
      </c>
      <c r="AN4609">
        <f>IF('01_Вводные'!$B$234="Да",SUM('19_Расчет_аналитики'!AN4456:AN4480)-'19_Расчет_аналитики'!AN4419,0)</f>
        <v/>
      </c>
      <c r="AO4609">
        <f>IF('01_Вводные'!$B$234="Да",SUM('19_Расчет_аналитики'!AO4456:AO4480)-'19_Расчет_аналитики'!AO4419,0)</f>
        <v/>
      </c>
      <c r="AP4609">
        <f>IF('01_Вводные'!$B$234="Да",SUM('19_Расчет_аналитики'!AP4456:AP4480)-'19_Расчет_аналитики'!AP4419,0)</f>
        <v/>
      </c>
      <c r="AQ4609">
        <f>IF('01_Вводные'!$B$234="Да",SUM('19_Расчет_аналитики'!AQ4456:AQ4480)-'19_Расчет_аналитики'!AQ4419,0)</f>
        <v/>
      </c>
      <c r="AR4609">
        <f>IF('01_Вводные'!$B$234="Да",SUM('19_Расчет_аналитики'!AR4456:AR4480)-'19_Расчет_аналитики'!AR4419,0)</f>
        <v/>
      </c>
      <c r="AS4609">
        <f>IF('01_Вводные'!$B$234="Да",SUM('19_Расчет_аналитики'!AS4456:AS4480)-'19_Расчет_аналитики'!AS4419,0)</f>
        <v/>
      </c>
      <c r="AT4609">
        <f>IF('01_Вводные'!$B$234="Да",SUM('19_Расчет_аналитики'!AT4456:AT4480)-'19_Расчет_аналитики'!AT4419,0)</f>
        <v/>
      </c>
      <c r="AU4609">
        <f>IF('01_Вводные'!$B$234="Да",SUM('19_Расчет_аналитики'!AU4456:AU4480)-'19_Расчет_аналитики'!AU4419,0)</f>
        <v/>
      </c>
      <c r="AV4609">
        <f>IF('01_Вводные'!$B$234="Да",SUM('19_Расчет_аналитики'!AV4456:AV4480)-'19_Расчет_аналитики'!AV4419,0)</f>
        <v/>
      </c>
      <c r="AW4609">
        <f>IF('01_Вводные'!$B$234="Да",SUM('19_Расчет_аналитики'!AW4456:AW4480)-'19_Расчет_аналитики'!AW4419,0)</f>
        <v/>
      </c>
      <c r="AX4609">
        <f>IF('01_Вводные'!$B$234="Да",SUM('19_Расчет_аналитики'!AX4456:AX4480)-'19_Расчет_аналитики'!AX4419,0)</f>
        <v/>
      </c>
      <c r="AY4609">
        <f>IF('01_Вводные'!$B$234="Да",SUM('19_Расчет_аналитики'!AY4456:AY4480)-'19_Расчет_аналитики'!AY4419,0)</f>
        <v/>
      </c>
      <c r="AZ4609">
        <f>IF('01_Вводные'!$B$234="Да",SUM('19_Расчет_аналитики'!AZ4456:AZ4480)-'19_Расчет_аналитики'!AZ4419,0)</f>
        <v/>
      </c>
      <c r="BA4609">
        <f>IF('01_Вводные'!$B$234="Да",SUM('19_Расчет_аналитики'!BA4456:BA4480)-'19_Расчет_аналитики'!BA4419,0)</f>
        <v/>
      </c>
      <c r="BB4609">
        <f>IF('01_Вводные'!$B$234="Да",SUM('19_Расчет_аналитики'!BB4456:BB4480)-'19_Расчет_аналитики'!BB4419,0)</f>
        <v/>
      </c>
      <c r="BC4609">
        <f>IF('01_Вводные'!$B$234="Да",SUM('19_Расчет_аналитики'!BC4456:BC4480)-'19_Расчет_аналитики'!BC4419,0)</f>
        <v/>
      </c>
      <c r="BD4609">
        <f>IF('01_Вводные'!$B$234="Да",SUM('19_Расчет_аналитики'!BD4456:BD4480)-'19_Расчет_аналитики'!BD4419,0)</f>
        <v/>
      </c>
      <c r="BE4609">
        <f>IF('01_Вводные'!$B$234="Да",SUM('19_Расчет_аналитики'!BE4456:BE4480)-'19_Расчет_аналитики'!BE4419,0)</f>
        <v/>
      </c>
      <c r="BF4609">
        <f>IF('01_Вводные'!$B$234="Да",SUM('19_Расчет_аналитики'!BF4456:BF4480)-'19_Расчет_аналитики'!BF4419,0)</f>
        <v/>
      </c>
      <c r="BG4609">
        <f>IF('01_Вводные'!$B$234="Да",SUM('19_Расчет_аналитики'!BG4456:BG4480)-'19_Расчет_аналитики'!BG4419,0)</f>
        <v/>
      </c>
      <c r="BH4609">
        <f>IF('01_Вводные'!$B$234="Да",SUM('19_Расчет_аналитики'!BH4456:BH4480)-'19_Расчет_аналитики'!BH4419,0)</f>
        <v/>
      </c>
      <c r="BI4609">
        <f>IF('01_Вводные'!$B$234="Да",SUM('19_Расчет_аналитики'!BI4456:BI4480)-'19_Расчет_аналитики'!BI4419,0)</f>
        <v/>
      </c>
      <c r="BJ4609">
        <f>IF('01_Вводные'!$B$234="Да",SUM('19_Расчет_аналитики'!BJ4456:BJ4480)-'19_Расчет_аналитики'!BJ4419,0)</f>
        <v/>
      </c>
      <c r="BK4609">
        <f>IF('01_Вводные'!$B$234="Да",SUM('19_Расчет_аналитики'!BK4456:BK4480)-'19_Расчет_аналитики'!BK4419,0)</f>
        <v/>
      </c>
      <c r="BL4609">
        <f>IF('01_Вводные'!$B$234="Да",SUM('19_Расчет_аналитики'!BL4456:BL4480)-'19_Расчет_аналитики'!BL4419,0)</f>
        <v/>
      </c>
      <c r="BM4609">
        <f>IF('01_Вводные'!$B$234="Да",SUM('19_Расчет_аналитики'!BM4456:BM4480)-'19_Расчет_аналитики'!BM4419,0)</f>
        <v/>
      </c>
      <c r="BN4609">
        <f>IF('01_Вводные'!$B$234="Да",SUM('19_Расчет_аналитики'!BN4456:BN4480)-'19_Расчет_аналитики'!BN4419,0)</f>
        <v/>
      </c>
      <c r="BO4609">
        <f>IF('01_Вводные'!$B$234="Да",SUM('19_Расчет_аналитики'!BO4456:BO4480)-'19_Расчет_аналитики'!BO4419,0)</f>
        <v/>
      </c>
    </row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>
      <c r="F4654">
        <f>IF('01_Вводные'!$B$234="Да",'06_Сеть_и_дети'!F19*'19_Расчет_аналитики'!$B$4134*'07_Мерч'!F4,0)</f>
        <v/>
      </c>
      <c r="G4654">
        <f>IF('01_Вводные'!$B$234="Да",'06_Сеть_и_дети'!G19*'19_Расчет_аналитики'!$B$4134*'07_Мерч'!G4,0)</f>
        <v/>
      </c>
      <c r="H4654">
        <f>IF('01_Вводные'!$B$234="Да",'06_Сеть_и_дети'!H19*'19_Расчет_аналитики'!$B$4134*'07_Мерч'!H4,0)</f>
        <v/>
      </c>
      <c r="I4654">
        <f>IF('01_Вводные'!$B$234="Да",'06_Сеть_и_дети'!I19*'19_Расчет_аналитики'!$B$4134*'07_Мерч'!I4,0)</f>
        <v/>
      </c>
      <c r="J4654">
        <f>IF('01_Вводные'!$B$234="Да",'06_Сеть_и_дети'!J19*'19_Расчет_аналитики'!$B$4134*'07_Мерч'!J4,0)</f>
        <v/>
      </c>
      <c r="K4654">
        <f>IF('01_Вводные'!$B$234="Да",'06_Сеть_и_дети'!K19*'19_Расчет_аналитики'!$B$4134*'07_Мерч'!K4,0)</f>
        <v/>
      </c>
      <c r="L4654">
        <f>IF('01_Вводные'!$B$234="Да",'06_Сеть_и_дети'!L19*'19_Расчет_аналитики'!$B$4134*'07_Мерч'!L4,0)</f>
        <v/>
      </c>
      <c r="M4654">
        <f>IF('01_Вводные'!$B$234="Да",'06_Сеть_и_дети'!M19*'19_Расчет_аналитики'!$B$4134*'07_Мерч'!M4,0)</f>
        <v/>
      </c>
      <c r="N4654">
        <f>IF('01_Вводные'!$B$234="Да",'06_Сеть_и_дети'!N19*'19_Расчет_аналитики'!$B$4134*'07_Мерч'!N4,0)</f>
        <v/>
      </c>
      <c r="O4654">
        <f>IF('01_Вводные'!$B$234="Да",'06_Сеть_и_дети'!O19*'19_Расчет_аналитики'!$B$4134*'07_Мерч'!O4,0)</f>
        <v/>
      </c>
      <c r="P4654">
        <f>IF('01_Вводные'!$B$234="Да",'06_Сеть_и_дети'!P19*'19_Расчет_аналитики'!$B$4134*'07_Мерч'!P4,0)</f>
        <v/>
      </c>
      <c r="Q4654">
        <f>IF('01_Вводные'!$B$234="Да",'06_Сеть_и_дети'!Q19*'19_Расчет_аналитики'!$B$4134*'07_Мерч'!Q4,0)</f>
        <v/>
      </c>
      <c r="R4654">
        <f>IF('01_Вводные'!$B$234="Да",'06_Сеть_и_дети'!R19*'19_Расчет_аналитики'!$B$4134*'07_Мерч'!R4,0)</f>
        <v/>
      </c>
      <c r="S4654">
        <f>IF('01_Вводные'!$B$234="Да",'06_Сеть_и_дети'!S19*'19_Расчет_аналитики'!$B$4134*'07_Мерч'!S4,0)</f>
        <v/>
      </c>
      <c r="T4654">
        <f>IF('01_Вводные'!$B$234="Да",'06_Сеть_и_дети'!T19*'19_Расчет_аналитики'!$B$4134*'07_Мерч'!T4,0)</f>
        <v/>
      </c>
      <c r="U4654">
        <f>IF('01_Вводные'!$B$234="Да",'06_Сеть_и_дети'!U19*'19_Расчет_аналитики'!$B$4134*'07_Мерч'!U4,0)</f>
        <v/>
      </c>
      <c r="V4654">
        <f>IF('01_Вводные'!$B$234="Да",'06_Сеть_и_дети'!V19*'19_Расчет_аналитики'!$B$4134*'07_Мерч'!V4,0)</f>
        <v/>
      </c>
      <c r="W4654">
        <f>IF('01_Вводные'!$B$234="Да",'06_Сеть_и_дети'!W19*'19_Расчет_аналитики'!$B$4134*'07_Мерч'!W4,0)</f>
        <v/>
      </c>
      <c r="X4654">
        <f>IF('01_Вводные'!$B$234="Да",'06_Сеть_и_дети'!X19*'19_Расчет_аналитики'!$B$4134*'07_Мерч'!X4,0)</f>
        <v/>
      </c>
      <c r="Y4654">
        <f>IF('01_Вводные'!$B$234="Да",'06_Сеть_и_дети'!Y19*'19_Расчет_аналитики'!$B$4134*'07_Мерч'!Y4,0)</f>
        <v/>
      </c>
      <c r="Z4654">
        <f>IF('01_Вводные'!$B$234="Да",'06_Сеть_и_дети'!Z19*'19_Расчет_аналитики'!$B$4134*'07_Мерч'!Z4,0)</f>
        <v/>
      </c>
      <c r="AA4654">
        <f>IF('01_Вводные'!$B$234="Да",'06_Сеть_и_дети'!AA19*'19_Расчет_аналитики'!$B$4134*'07_Мерч'!AA4,0)</f>
        <v/>
      </c>
      <c r="AB4654">
        <f>IF('01_Вводные'!$B$234="Да",'06_Сеть_и_дети'!AB19*'19_Расчет_аналитики'!$B$4134*'07_Мерч'!AB4,0)</f>
        <v/>
      </c>
      <c r="AC4654">
        <f>IF('01_Вводные'!$B$234="Да",'06_Сеть_и_дети'!AC19*'19_Расчет_аналитики'!$B$4134*'07_Мерч'!AC4,0)</f>
        <v/>
      </c>
      <c r="AD4654">
        <f>IF('01_Вводные'!$B$234="Да",'06_Сеть_и_дети'!AD19*'19_Расчет_аналитики'!$B$4134*'07_Мерч'!AD4,0)</f>
        <v/>
      </c>
      <c r="AE4654">
        <f>IF('01_Вводные'!$B$234="Да",'06_Сеть_и_дети'!AE19*'19_Расчет_аналитики'!$B$4134*'07_Мерч'!AE4,0)</f>
        <v/>
      </c>
      <c r="AF4654">
        <f>IF('01_Вводные'!$B$234="Да",'06_Сеть_и_дети'!AF19*'19_Расчет_аналитики'!$B$4134*'07_Мерч'!AF4,0)</f>
        <v/>
      </c>
      <c r="AG4654">
        <f>IF('01_Вводные'!$B$234="Да",'06_Сеть_и_дети'!AG19*'19_Расчет_аналитики'!$B$4134*'07_Мерч'!AG4,0)</f>
        <v/>
      </c>
      <c r="AH4654">
        <f>IF('01_Вводные'!$B$234="Да",'06_Сеть_и_дети'!AH19*'19_Расчет_аналитики'!$B$4134*'07_Мерч'!AH4,0)</f>
        <v/>
      </c>
      <c r="AI4654">
        <f>IF('01_Вводные'!$B$234="Да",'06_Сеть_и_дети'!AI19*'19_Расчет_аналитики'!$B$4134*'07_Мерч'!AI4,0)</f>
        <v/>
      </c>
      <c r="AJ4654">
        <f>IF('01_Вводные'!$B$234="Да",'06_Сеть_и_дети'!AJ19*'19_Расчет_аналитики'!$B$4134*'07_Мерч'!AJ4,0)</f>
        <v/>
      </c>
      <c r="AK4654">
        <f>IF('01_Вводные'!$B$234="Да",'06_Сеть_и_дети'!AK19*'19_Расчет_аналитики'!$B$4134*'07_Мерч'!AK4,0)</f>
        <v/>
      </c>
      <c r="AL4654">
        <f>IF('01_Вводные'!$B$234="Да",'06_Сеть_и_дети'!AL19*'19_Расчет_аналитики'!$B$4134*'07_Мерч'!AL4,0)</f>
        <v/>
      </c>
      <c r="AM4654">
        <f>IF('01_Вводные'!$B$234="Да",'06_Сеть_и_дети'!AM19*'19_Расчет_аналитики'!$B$4134*'07_Мерч'!AM4,0)</f>
        <v/>
      </c>
      <c r="AN4654">
        <f>IF('01_Вводные'!$B$234="Да",'06_Сеть_и_дети'!AN19*'19_Расчет_аналитики'!$B$4134*'07_Мерч'!AN4,0)</f>
        <v/>
      </c>
      <c r="AO4654">
        <f>IF('01_Вводные'!$B$234="Да",'06_Сеть_и_дети'!AO19*'19_Расчет_аналитики'!$B$4134*'07_Мерч'!AO4,0)</f>
        <v/>
      </c>
      <c r="AP4654">
        <f>IF('01_Вводные'!$B$234="Да",'06_Сеть_и_дети'!AP19*'19_Расчет_аналитики'!$B$4134*'07_Мерч'!AP4,0)</f>
        <v/>
      </c>
      <c r="AQ4654">
        <f>IF('01_Вводные'!$B$234="Да",'06_Сеть_и_дети'!AQ19*'19_Расчет_аналитики'!$B$4134*'07_Мерч'!AQ4,0)</f>
        <v/>
      </c>
      <c r="AR4654">
        <f>IF('01_Вводные'!$B$234="Да",'06_Сеть_и_дети'!AR19*'19_Расчет_аналитики'!$B$4134*'07_Мерч'!AR4,0)</f>
        <v/>
      </c>
      <c r="AS4654">
        <f>IF('01_Вводные'!$B$234="Да",'06_Сеть_и_дети'!AS19*'19_Расчет_аналитики'!$B$4134*'07_Мерч'!AS4,0)</f>
        <v/>
      </c>
      <c r="AT4654">
        <f>IF('01_Вводные'!$B$234="Да",'06_Сеть_и_дети'!AT19*'19_Расчет_аналитики'!$B$4134*'07_Мерч'!AT4,0)</f>
        <v/>
      </c>
      <c r="AU4654">
        <f>IF('01_Вводные'!$B$234="Да",'06_Сеть_и_дети'!AU19*'19_Расчет_аналитики'!$B$4134*'07_Мерч'!AU4,0)</f>
        <v/>
      </c>
      <c r="AV4654">
        <f>IF('01_Вводные'!$B$234="Да",'06_Сеть_и_дети'!AV19*'19_Расчет_аналитики'!$B$4134*'07_Мерч'!AV4,0)</f>
        <v/>
      </c>
      <c r="AW4654">
        <f>IF('01_Вводные'!$B$234="Да",'06_Сеть_и_дети'!AW19*'19_Расчет_аналитики'!$B$4134*'07_Мерч'!AW4,0)</f>
        <v/>
      </c>
      <c r="AX4654">
        <f>IF('01_Вводные'!$B$234="Да",'06_Сеть_и_дети'!AX19*'19_Расчет_аналитики'!$B$4134*'07_Мерч'!AX4,0)</f>
        <v/>
      </c>
      <c r="AY4654">
        <f>IF('01_Вводные'!$B$234="Да",'06_Сеть_и_дети'!AY19*'19_Расчет_аналитики'!$B$4134*'07_Мерч'!AY4,0)</f>
        <v/>
      </c>
      <c r="AZ4654">
        <f>IF('01_Вводные'!$B$234="Да",'06_Сеть_и_дети'!AZ19*'19_Расчет_аналитики'!$B$4134*'07_Мерч'!AZ4,0)</f>
        <v/>
      </c>
      <c r="BA4654">
        <f>IF('01_Вводные'!$B$234="Да",'06_Сеть_и_дети'!BA19*'19_Расчет_аналитики'!$B$4134*'07_Мерч'!BA4,0)</f>
        <v/>
      </c>
      <c r="BB4654">
        <f>IF('01_Вводные'!$B$234="Да",'06_Сеть_и_дети'!BB19*'19_Расчет_аналитики'!$B$4134*'07_Мерч'!BB4,0)</f>
        <v/>
      </c>
      <c r="BC4654">
        <f>IF('01_Вводные'!$B$234="Да",'06_Сеть_и_дети'!BC19*'19_Расчет_аналитики'!$B$4134*'07_Мерч'!BC4,0)</f>
        <v/>
      </c>
      <c r="BD4654">
        <f>IF('01_Вводные'!$B$234="Да",'06_Сеть_и_дети'!BD19*'19_Расчет_аналитики'!$B$4134*'07_Мерч'!BD4,0)</f>
        <v/>
      </c>
      <c r="BE4654">
        <f>IF('01_Вводные'!$B$234="Да",'06_Сеть_и_дети'!BE19*'19_Расчет_аналитики'!$B$4134*'07_Мерч'!BE4,0)</f>
        <v/>
      </c>
      <c r="BF4654">
        <f>IF('01_Вводные'!$B$234="Да",'06_Сеть_и_дети'!BF19*'19_Расчет_аналитики'!$B$4134*'07_Мерч'!BF4,0)</f>
        <v/>
      </c>
      <c r="BG4654">
        <f>IF('01_Вводные'!$B$234="Да",'06_Сеть_и_дети'!BG19*'19_Расчет_аналитики'!$B$4134*'07_Мерч'!BG4,0)</f>
        <v/>
      </c>
      <c r="BH4654">
        <f>IF('01_Вводные'!$B$234="Да",'06_Сеть_и_дети'!BH19*'19_Расчет_аналитики'!$B$4134*'07_Мерч'!BH4,0)</f>
        <v/>
      </c>
      <c r="BI4654">
        <f>IF('01_Вводные'!$B$234="Да",'06_Сеть_и_дети'!BI19*'19_Расчет_аналитики'!$B$4134*'07_Мерч'!BI4,0)</f>
        <v/>
      </c>
      <c r="BJ4654">
        <f>IF('01_Вводные'!$B$234="Да",'06_Сеть_и_дети'!BJ19*'19_Расчет_аналитики'!$B$4134*'07_Мерч'!BJ4,0)</f>
        <v/>
      </c>
      <c r="BK4654">
        <f>IF('01_Вводные'!$B$234="Да",'06_Сеть_и_дети'!BK19*'19_Расчет_аналитики'!$B$4134*'07_Мерч'!BK4,0)</f>
        <v/>
      </c>
      <c r="BL4654">
        <f>IF('01_Вводные'!$B$234="Да",'06_Сеть_и_дети'!BL19*'19_Расчет_аналитики'!$B$4134*'07_Мерч'!BL4,0)</f>
        <v/>
      </c>
      <c r="BM4654">
        <f>IF('01_Вводные'!$B$234="Да",'06_Сеть_и_дети'!BM19*'19_Расчет_аналитики'!$B$4134*'07_Мерч'!BM4,0)</f>
        <v/>
      </c>
      <c r="BN4654">
        <f>IF('01_Вводные'!$B$234="Да",'06_Сеть_и_дети'!BN19*'19_Расчет_аналитики'!$B$4134*'07_Мерч'!BN4,0)</f>
        <v/>
      </c>
      <c r="BO4654">
        <f>IF('01_Вводные'!$B$234="Да",'06_Сеть_и_дети'!BO19*'19_Расчет_аналитики'!$B$4134*'07_Мерч'!BO4,0)</f>
        <v/>
      </c>
    </row>
    <row r="4655">
      <c r="F4655">
        <f>IF('01_Вводные'!$B$234="Да",'19_Расчет_аналитики'!F4654*'18_Календарь_тарифы'!F10,0)</f>
        <v/>
      </c>
      <c r="G4655">
        <f>IF('01_Вводные'!$B$234="Да",'19_Расчет_аналитики'!G4654*'18_Календарь_тарифы'!G10,0)</f>
        <v/>
      </c>
      <c r="H4655">
        <f>IF('01_Вводные'!$B$234="Да",'19_Расчет_аналитики'!H4654*'18_Календарь_тарифы'!H10,0)</f>
        <v/>
      </c>
      <c r="I4655">
        <f>IF('01_Вводные'!$B$234="Да",'19_Расчет_аналитики'!I4654*'18_Календарь_тарифы'!I10,0)</f>
        <v/>
      </c>
      <c r="J4655">
        <f>IF('01_Вводные'!$B$234="Да",'19_Расчет_аналитики'!J4654*'18_Календарь_тарифы'!J10,0)</f>
        <v/>
      </c>
      <c r="K4655">
        <f>IF('01_Вводные'!$B$234="Да",'19_Расчет_аналитики'!K4654*'18_Календарь_тарифы'!K10,0)</f>
        <v/>
      </c>
      <c r="L4655">
        <f>IF('01_Вводные'!$B$234="Да",'19_Расчет_аналитики'!L4654*'18_Календарь_тарифы'!L10,0)</f>
        <v/>
      </c>
      <c r="M4655">
        <f>IF('01_Вводные'!$B$234="Да",'19_Расчет_аналитики'!M4654*'18_Календарь_тарифы'!M10,0)</f>
        <v/>
      </c>
      <c r="N4655">
        <f>IF('01_Вводные'!$B$234="Да",'19_Расчет_аналитики'!N4654*'18_Календарь_тарифы'!N10,0)</f>
        <v/>
      </c>
      <c r="O4655">
        <f>IF('01_Вводные'!$B$234="Да",'19_Расчет_аналитики'!O4654*'18_Календарь_тарифы'!O10,0)</f>
        <v/>
      </c>
      <c r="P4655">
        <f>IF('01_Вводные'!$B$234="Да",'19_Расчет_аналитики'!P4654*'18_Календарь_тарифы'!P10,0)</f>
        <v/>
      </c>
      <c r="Q4655">
        <f>IF('01_Вводные'!$B$234="Да",'19_Расчет_аналитики'!Q4654*'18_Календарь_тарифы'!Q10,0)</f>
        <v/>
      </c>
      <c r="R4655">
        <f>IF('01_Вводные'!$B$234="Да",'19_Расчет_аналитики'!R4654*'18_Календарь_тарифы'!R10,0)</f>
        <v/>
      </c>
      <c r="S4655">
        <f>IF('01_Вводные'!$B$234="Да",'19_Расчет_аналитики'!S4654*'18_Календарь_тарифы'!S10,0)</f>
        <v/>
      </c>
      <c r="T4655">
        <f>IF('01_Вводные'!$B$234="Да",'19_Расчет_аналитики'!T4654*'18_Календарь_тарифы'!T10,0)</f>
        <v/>
      </c>
      <c r="U4655">
        <f>IF('01_Вводные'!$B$234="Да",'19_Расчет_аналитики'!U4654*'18_Календарь_тарифы'!U10,0)</f>
        <v/>
      </c>
      <c r="V4655">
        <f>IF('01_Вводные'!$B$234="Да",'19_Расчет_аналитики'!V4654*'18_Календарь_тарифы'!V10,0)</f>
        <v/>
      </c>
      <c r="W4655">
        <f>IF('01_Вводные'!$B$234="Да",'19_Расчет_аналитики'!W4654*'18_Календарь_тарифы'!W10,0)</f>
        <v/>
      </c>
      <c r="X4655">
        <f>IF('01_Вводные'!$B$234="Да",'19_Расчет_аналитики'!X4654*'18_Календарь_тарифы'!X10,0)</f>
        <v/>
      </c>
      <c r="Y4655">
        <f>IF('01_Вводные'!$B$234="Да",'19_Расчет_аналитики'!Y4654*'18_Календарь_тарифы'!Y10,0)</f>
        <v/>
      </c>
      <c r="Z4655">
        <f>IF('01_Вводные'!$B$234="Да",'19_Расчет_аналитики'!Z4654*'18_Календарь_тарифы'!Z10,0)</f>
        <v/>
      </c>
      <c r="AA4655">
        <f>IF('01_Вводные'!$B$234="Да",'19_Расчет_аналитики'!AA4654*'18_Календарь_тарифы'!AA10,0)</f>
        <v/>
      </c>
      <c r="AB4655">
        <f>IF('01_Вводные'!$B$234="Да",'19_Расчет_аналитики'!AB4654*'18_Календарь_тарифы'!AB10,0)</f>
        <v/>
      </c>
      <c r="AC4655">
        <f>IF('01_Вводные'!$B$234="Да",'19_Расчет_аналитики'!AC4654*'18_Календарь_тарифы'!AC10,0)</f>
        <v/>
      </c>
      <c r="AD4655">
        <f>IF('01_Вводные'!$B$234="Да",'19_Расчет_аналитики'!AD4654*'18_Календарь_тарифы'!AD10,0)</f>
        <v/>
      </c>
      <c r="AE4655">
        <f>IF('01_Вводные'!$B$234="Да",'19_Расчет_аналитики'!AE4654*'18_Календарь_тарифы'!AE10,0)</f>
        <v/>
      </c>
      <c r="AF4655">
        <f>IF('01_Вводные'!$B$234="Да",'19_Расчет_аналитики'!AF4654*'18_Календарь_тарифы'!AF10,0)</f>
        <v/>
      </c>
      <c r="AG4655">
        <f>IF('01_Вводные'!$B$234="Да",'19_Расчет_аналитики'!AG4654*'18_Календарь_тарифы'!AG10,0)</f>
        <v/>
      </c>
      <c r="AH4655">
        <f>IF('01_Вводные'!$B$234="Да",'19_Расчет_аналитики'!AH4654*'18_Календарь_тарифы'!AH10,0)</f>
        <v/>
      </c>
      <c r="AI4655">
        <f>IF('01_Вводные'!$B$234="Да",'19_Расчет_аналитики'!AI4654*'18_Календарь_тарифы'!AI10,0)</f>
        <v/>
      </c>
      <c r="AJ4655">
        <f>IF('01_Вводные'!$B$234="Да",'19_Расчет_аналитики'!AJ4654*'18_Календарь_тарифы'!AJ10,0)</f>
        <v/>
      </c>
      <c r="AK4655">
        <f>IF('01_Вводные'!$B$234="Да",'19_Расчет_аналитики'!AK4654*'18_Календарь_тарифы'!AK10,0)</f>
        <v/>
      </c>
      <c r="AL4655">
        <f>IF('01_Вводные'!$B$234="Да",'19_Расчет_аналитики'!AL4654*'18_Календарь_тарифы'!AL10,0)</f>
        <v/>
      </c>
      <c r="AM4655">
        <f>IF('01_Вводные'!$B$234="Да",'19_Расчет_аналитики'!AM4654*'18_Календарь_тарифы'!AM10,0)</f>
        <v/>
      </c>
      <c r="AN4655">
        <f>IF('01_Вводные'!$B$234="Да",'19_Расчет_аналитики'!AN4654*'18_Календарь_тарифы'!AN10,0)</f>
        <v/>
      </c>
      <c r="AO4655">
        <f>IF('01_Вводные'!$B$234="Да",'19_Расчет_аналитики'!AO4654*'18_Календарь_тарифы'!AO10,0)</f>
        <v/>
      </c>
      <c r="AP4655">
        <f>IF('01_Вводные'!$B$234="Да",'19_Расчет_аналитики'!AP4654*'18_Календарь_тарифы'!AP10,0)</f>
        <v/>
      </c>
      <c r="AQ4655">
        <f>IF('01_Вводные'!$B$234="Да",'19_Расчет_аналитики'!AQ4654*'18_Календарь_тарифы'!AQ10,0)</f>
        <v/>
      </c>
      <c r="AR4655">
        <f>IF('01_Вводные'!$B$234="Да",'19_Расчет_аналитики'!AR4654*'18_Календарь_тарифы'!AR10,0)</f>
        <v/>
      </c>
      <c r="AS4655">
        <f>IF('01_Вводные'!$B$234="Да",'19_Расчет_аналитики'!AS4654*'18_Календарь_тарифы'!AS10,0)</f>
        <v/>
      </c>
      <c r="AT4655">
        <f>IF('01_Вводные'!$B$234="Да",'19_Расчет_аналитики'!AT4654*'18_Календарь_тарифы'!AT10,0)</f>
        <v/>
      </c>
      <c r="AU4655">
        <f>IF('01_Вводные'!$B$234="Да",'19_Расчет_аналитики'!AU4654*'18_Календарь_тарифы'!AU10,0)</f>
        <v/>
      </c>
      <c r="AV4655">
        <f>IF('01_Вводные'!$B$234="Да",'19_Расчет_аналитики'!AV4654*'18_Календарь_тарифы'!AV10,0)</f>
        <v/>
      </c>
      <c r="AW4655">
        <f>IF('01_Вводные'!$B$234="Да",'19_Расчет_аналитики'!AW4654*'18_Календарь_тарифы'!AW10,0)</f>
        <v/>
      </c>
      <c r="AX4655">
        <f>IF('01_Вводные'!$B$234="Да",'19_Расчет_аналитики'!AX4654*'18_Календарь_тарифы'!AX10,0)</f>
        <v/>
      </c>
      <c r="AY4655">
        <f>IF('01_Вводные'!$B$234="Да",'19_Расчет_аналитики'!AY4654*'18_Календарь_тарифы'!AY10,0)</f>
        <v/>
      </c>
      <c r="AZ4655">
        <f>IF('01_Вводные'!$B$234="Да",'19_Расчет_аналитики'!AZ4654*'18_Календарь_тарифы'!AZ10,0)</f>
        <v/>
      </c>
      <c r="BA4655">
        <f>IF('01_Вводные'!$B$234="Да",'19_Расчет_аналитики'!BA4654*'18_Календарь_тарифы'!BA10,0)</f>
        <v/>
      </c>
      <c r="BB4655">
        <f>IF('01_Вводные'!$B$234="Да",'19_Расчет_аналитики'!BB4654*'18_Календарь_тарифы'!BB10,0)</f>
        <v/>
      </c>
      <c r="BC4655">
        <f>IF('01_Вводные'!$B$234="Да",'19_Расчет_аналитики'!BC4654*'18_Календарь_тарифы'!BC10,0)</f>
        <v/>
      </c>
      <c r="BD4655">
        <f>IF('01_Вводные'!$B$234="Да",'19_Расчет_аналитики'!BD4654*'18_Календарь_тарифы'!BD10,0)</f>
        <v/>
      </c>
      <c r="BE4655">
        <f>IF('01_Вводные'!$B$234="Да",'19_Расчет_аналитики'!BE4654*'18_Календарь_тарифы'!BE10,0)</f>
        <v/>
      </c>
      <c r="BF4655">
        <f>IF('01_Вводные'!$B$234="Да",'19_Расчет_аналитики'!BF4654*'18_Календарь_тарифы'!BF10,0)</f>
        <v/>
      </c>
      <c r="BG4655">
        <f>IF('01_Вводные'!$B$234="Да",'19_Расчет_аналитики'!BG4654*'18_Календарь_тарифы'!BG10,0)</f>
        <v/>
      </c>
      <c r="BH4655">
        <f>IF('01_Вводные'!$B$234="Да",'19_Расчет_аналитики'!BH4654*'18_Календарь_тарифы'!BH10,0)</f>
        <v/>
      </c>
      <c r="BI4655">
        <f>IF('01_Вводные'!$B$234="Да",'19_Расчет_аналитики'!BI4654*'18_Календарь_тарифы'!BI10,0)</f>
        <v/>
      </c>
      <c r="BJ4655">
        <f>IF('01_Вводные'!$B$234="Да",'19_Расчет_аналитики'!BJ4654*'18_Календарь_тарифы'!BJ10,0)</f>
        <v/>
      </c>
      <c r="BK4655">
        <f>IF('01_Вводные'!$B$234="Да",'19_Расчет_аналитики'!BK4654*'18_Календарь_тарифы'!BK10,0)</f>
        <v/>
      </c>
      <c r="BL4655">
        <f>IF('01_Вводные'!$B$234="Да",'19_Расчет_аналитики'!BL4654*'18_Календарь_тарифы'!BL10,0)</f>
        <v/>
      </c>
      <c r="BM4655">
        <f>IF('01_Вводные'!$B$234="Да",'19_Расчет_аналитики'!BM4654*'18_Календарь_тарифы'!BM10,0)</f>
        <v/>
      </c>
      <c r="BN4655">
        <f>IF('01_Вводные'!$B$234="Да",'19_Расчет_аналитики'!BN4654*'18_Календарь_тарифы'!BN10,0)</f>
        <v/>
      </c>
      <c r="BO4655">
        <f>IF('01_Вводные'!$B$234="Да",'19_Расчет_аналитики'!BO4654*'18_Календарь_тарифы'!BO10,0)</f>
        <v/>
      </c>
    </row>
    <row r="4656">
      <c r="F4656">
        <f>IF('01_Вводные'!$B$234="Да",'19_Расчет_аналитики'!F4654*'18_Календарь_тарифы'!F9,0)</f>
        <v/>
      </c>
      <c r="G4656">
        <f>IF('01_Вводные'!$B$234="Да",'19_Расчет_аналитики'!G4654*'18_Календарь_тарифы'!G9,0)</f>
        <v/>
      </c>
      <c r="H4656">
        <f>IF('01_Вводные'!$B$234="Да",'19_Расчет_аналитики'!H4654*'18_Календарь_тарифы'!H9,0)</f>
        <v/>
      </c>
      <c r="I4656">
        <f>IF('01_Вводные'!$B$234="Да",'19_Расчет_аналитики'!I4654*'18_Календарь_тарифы'!I9,0)</f>
        <v/>
      </c>
      <c r="J4656">
        <f>IF('01_Вводные'!$B$234="Да",'19_Расчет_аналитики'!J4654*'18_Календарь_тарифы'!J9,0)</f>
        <v/>
      </c>
      <c r="K4656">
        <f>IF('01_Вводные'!$B$234="Да",'19_Расчет_аналитики'!K4654*'18_Календарь_тарифы'!K9,0)</f>
        <v/>
      </c>
      <c r="L4656">
        <f>IF('01_Вводные'!$B$234="Да",'19_Расчет_аналитики'!L4654*'18_Календарь_тарифы'!L9,0)</f>
        <v/>
      </c>
      <c r="M4656">
        <f>IF('01_Вводные'!$B$234="Да",'19_Расчет_аналитики'!M4654*'18_Календарь_тарифы'!M9,0)</f>
        <v/>
      </c>
      <c r="N4656">
        <f>IF('01_Вводные'!$B$234="Да",'19_Расчет_аналитики'!N4654*'18_Календарь_тарифы'!N9,0)</f>
        <v/>
      </c>
      <c r="O4656">
        <f>IF('01_Вводные'!$B$234="Да",'19_Расчет_аналитики'!O4654*'18_Календарь_тарифы'!O9,0)</f>
        <v/>
      </c>
      <c r="P4656">
        <f>IF('01_Вводные'!$B$234="Да",'19_Расчет_аналитики'!P4654*'18_Календарь_тарифы'!P9,0)</f>
        <v/>
      </c>
      <c r="Q4656">
        <f>IF('01_Вводные'!$B$234="Да",'19_Расчет_аналитики'!Q4654*'18_Календарь_тарифы'!Q9,0)</f>
        <v/>
      </c>
      <c r="R4656">
        <f>IF('01_Вводные'!$B$234="Да",'19_Расчет_аналитики'!R4654*'18_Календарь_тарифы'!R9,0)</f>
        <v/>
      </c>
      <c r="S4656">
        <f>IF('01_Вводные'!$B$234="Да",'19_Расчет_аналитики'!S4654*'18_Календарь_тарифы'!S9,0)</f>
        <v/>
      </c>
      <c r="T4656">
        <f>IF('01_Вводные'!$B$234="Да",'19_Расчет_аналитики'!T4654*'18_Календарь_тарифы'!T9,0)</f>
        <v/>
      </c>
      <c r="U4656">
        <f>IF('01_Вводные'!$B$234="Да",'19_Расчет_аналитики'!U4654*'18_Календарь_тарифы'!U9,0)</f>
        <v/>
      </c>
      <c r="V4656">
        <f>IF('01_Вводные'!$B$234="Да",'19_Расчет_аналитики'!V4654*'18_Календарь_тарифы'!V9,0)</f>
        <v/>
      </c>
      <c r="W4656">
        <f>IF('01_Вводные'!$B$234="Да",'19_Расчет_аналитики'!W4654*'18_Календарь_тарифы'!W9,0)</f>
        <v/>
      </c>
      <c r="X4656">
        <f>IF('01_Вводные'!$B$234="Да",'19_Расчет_аналитики'!X4654*'18_Календарь_тарифы'!X9,0)</f>
        <v/>
      </c>
      <c r="Y4656">
        <f>IF('01_Вводные'!$B$234="Да",'19_Расчет_аналитики'!Y4654*'18_Календарь_тарифы'!Y9,0)</f>
        <v/>
      </c>
      <c r="Z4656">
        <f>IF('01_Вводные'!$B$234="Да",'19_Расчет_аналитики'!Z4654*'18_Календарь_тарифы'!Z9,0)</f>
        <v/>
      </c>
      <c r="AA4656">
        <f>IF('01_Вводные'!$B$234="Да",'19_Расчет_аналитики'!AA4654*'18_Календарь_тарифы'!AA9,0)</f>
        <v/>
      </c>
      <c r="AB4656">
        <f>IF('01_Вводные'!$B$234="Да",'19_Расчет_аналитики'!AB4654*'18_Календарь_тарифы'!AB9,0)</f>
        <v/>
      </c>
      <c r="AC4656">
        <f>IF('01_Вводные'!$B$234="Да",'19_Расчет_аналитики'!AC4654*'18_Календарь_тарифы'!AC9,0)</f>
        <v/>
      </c>
      <c r="AD4656">
        <f>IF('01_Вводные'!$B$234="Да",'19_Расчет_аналитики'!AD4654*'18_Календарь_тарифы'!AD9,0)</f>
        <v/>
      </c>
      <c r="AE4656">
        <f>IF('01_Вводные'!$B$234="Да",'19_Расчет_аналитики'!AE4654*'18_Календарь_тарифы'!AE9,0)</f>
        <v/>
      </c>
      <c r="AF4656">
        <f>IF('01_Вводные'!$B$234="Да",'19_Расчет_аналитики'!AF4654*'18_Календарь_тарифы'!AF9,0)</f>
        <v/>
      </c>
      <c r="AG4656">
        <f>IF('01_Вводные'!$B$234="Да",'19_Расчет_аналитики'!AG4654*'18_Календарь_тарифы'!AG9,0)</f>
        <v/>
      </c>
      <c r="AH4656">
        <f>IF('01_Вводные'!$B$234="Да",'19_Расчет_аналитики'!AH4654*'18_Календарь_тарифы'!AH9,0)</f>
        <v/>
      </c>
      <c r="AI4656">
        <f>IF('01_Вводные'!$B$234="Да",'19_Расчет_аналитики'!AI4654*'18_Календарь_тарифы'!AI9,0)</f>
        <v/>
      </c>
      <c r="AJ4656">
        <f>IF('01_Вводные'!$B$234="Да",'19_Расчет_аналитики'!AJ4654*'18_Календарь_тарифы'!AJ9,0)</f>
        <v/>
      </c>
      <c r="AK4656">
        <f>IF('01_Вводные'!$B$234="Да",'19_Расчет_аналитики'!AK4654*'18_Календарь_тарифы'!AK9,0)</f>
        <v/>
      </c>
      <c r="AL4656">
        <f>IF('01_Вводные'!$B$234="Да",'19_Расчет_аналитики'!AL4654*'18_Календарь_тарифы'!AL9,0)</f>
        <v/>
      </c>
      <c r="AM4656">
        <f>IF('01_Вводные'!$B$234="Да",'19_Расчет_аналитики'!AM4654*'18_Календарь_тарифы'!AM9,0)</f>
        <v/>
      </c>
      <c r="AN4656">
        <f>IF('01_Вводные'!$B$234="Да",'19_Расчет_аналитики'!AN4654*'18_Календарь_тарифы'!AN9,0)</f>
        <v/>
      </c>
      <c r="AO4656">
        <f>IF('01_Вводные'!$B$234="Да",'19_Расчет_аналитики'!AO4654*'18_Календарь_тарифы'!AO9,0)</f>
        <v/>
      </c>
      <c r="AP4656">
        <f>IF('01_Вводные'!$B$234="Да",'19_Расчет_аналитики'!AP4654*'18_Календарь_тарифы'!AP9,0)</f>
        <v/>
      </c>
      <c r="AQ4656">
        <f>IF('01_Вводные'!$B$234="Да",'19_Расчет_аналитики'!AQ4654*'18_Календарь_тарифы'!AQ9,0)</f>
        <v/>
      </c>
      <c r="AR4656">
        <f>IF('01_Вводные'!$B$234="Да",'19_Расчет_аналитики'!AR4654*'18_Календарь_тарифы'!AR9,0)</f>
        <v/>
      </c>
      <c r="AS4656">
        <f>IF('01_Вводные'!$B$234="Да",'19_Расчет_аналитики'!AS4654*'18_Календарь_тарифы'!AS9,0)</f>
        <v/>
      </c>
      <c r="AT4656">
        <f>IF('01_Вводные'!$B$234="Да",'19_Расчет_аналитики'!AT4654*'18_Календарь_тарифы'!AT9,0)</f>
        <v/>
      </c>
      <c r="AU4656">
        <f>IF('01_Вводные'!$B$234="Да",'19_Расчет_аналитики'!AU4654*'18_Календарь_тарифы'!AU9,0)</f>
        <v/>
      </c>
      <c r="AV4656">
        <f>IF('01_Вводные'!$B$234="Да",'19_Расчет_аналитики'!AV4654*'18_Календарь_тарифы'!AV9,0)</f>
        <v/>
      </c>
      <c r="AW4656">
        <f>IF('01_Вводные'!$B$234="Да",'19_Расчет_аналитики'!AW4654*'18_Календарь_тарифы'!AW9,0)</f>
        <v/>
      </c>
      <c r="AX4656">
        <f>IF('01_Вводные'!$B$234="Да",'19_Расчет_аналитики'!AX4654*'18_Календарь_тарифы'!AX9,0)</f>
        <v/>
      </c>
      <c r="AY4656">
        <f>IF('01_Вводные'!$B$234="Да",'19_Расчет_аналитики'!AY4654*'18_Календарь_тарифы'!AY9,0)</f>
        <v/>
      </c>
      <c r="AZ4656">
        <f>IF('01_Вводные'!$B$234="Да",'19_Расчет_аналитики'!AZ4654*'18_Календарь_тарифы'!AZ9,0)</f>
        <v/>
      </c>
      <c r="BA4656">
        <f>IF('01_Вводные'!$B$234="Да",'19_Расчет_аналитики'!BA4654*'18_Календарь_тарифы'!BA9,0)</f>
        <v/>
      </c>
      <c r="BB4656">
        <f>IF('01_Вводные'!$B$234="Да",'19_Расчет_аналитики'!BB4654*'18_Календарь_тарифы'!BB9,0)</f>
        <v/>
      </c>
      <c r="BC4656">
        <f>IF('01_Вводные'!$B$234="Да",'19_Расчет_аналитики'!BC4654*'18_Календарь_тарифы'!BC9,0)</f>
        <v/>
      </c>
      <c r="BD4656">
        <f>IF('01_Вводные'!$B$234="Да",'19_Расчет_аналитики'!BD4654*'18_Календарь_тарифы'!BD9,0)</f>
        <v/>
      </c>
      <c r="BE4656">
        <f>IF('01_Вводные'!$B$234="Да",'19_Расчет_аналитики'!BE4654*'18_Календарь_тарифы'!BE9,0)</f>
        <v/>
      </c>
      <c r="BF4656">
        <f>IF('01_Вводные'!$B$234="Да",'19_Расчет_аналитики'!BF4654*'18_Календарь_тарифы'!BF9,0)</f>
        <v/>
      </c>
      <c r="BG4656">
        <f>IF('01_Вводные'!$B$234="Да",'19_Расчет_аналитики'!BG4654*'18_Календарь_тарифы'!BG9,0)</f>
        <v/>
      </c>
      <c r="BH4656">
        <f>IF('01_Вводные'!$B$234="Да",'19_Расчет_аналитики'!BH4654*'18_Календарь_тарифы'!BH9,0)</f>
        <v/>
      </c>
      <c r="BI4656">
        <f>IF('01_Вводные'!$B$234="Да",'19_Расчет_аналитики'!BI4654*'18_Календарь_тарифы'!BI9,0)</f>
        <v/>
      </c>
      <c r="BJ4656">
        <f>IF('01_Вводные'!$B$234="Да",'19_Расчет_аналитики'!BJ4654*'18_Календарь_тарифы'!BJ9,0)</f>
        <v/>
      </c>
      <c r="BK4656">
        <f>IF('01_Вводные'!$B$234="Да",'19_Расчет_аналитики'!BK4654*'18_Календарь_тарифы'!BK9,0)</f>
        <v/>
      </c>
      <c r="BL4656">
        <f>IF('01_Вводные'!$B$234="Да",'19_Расчет_аналитики'!BL4654*'18_Календарь_тарифы'!BL9,0)</f>
        <v/>
      </c>
      <c r="BM4656">
        <f>IF('01_Вводные'!$B$234="Да",'19_Расчет_аналитики'!BM4654*'18_Календарь_тарифы'!BM9,0)</f>
        <v/>
      </c>
      <c r="BN4656">
        <f>IF('01_Вводные'!$B$234="Да",'19_Расчет_аналитики'!BN4654*'18_Календарь_тарифы'!BN9,0)</f>
        <v/>
      </c>
      <c r="BO4656">
        <f>IF('01_Вводные'!$B$234="Да",'19_Расчет_аналитики'!BO4654*'18_Календарь_тарифы'!BO9,0)</f>
        <v/>
      </c>
    </row>
    <row r="4657"/>
    <row r="4658">
      <c r="B4658">
        <f>'07_Мерч'!B9</f>
        <v/>
      </c>
      <c r="C4658">
        <f>IF('01_Вводные'!$B$234="Да",('19_Расчет_аналитики'!B4411*'01_Вводные'!$B$87*'01_Вводные'!$B$14^1)*'19_Расчет_аналитики'!$B$4106*'19_Расчет_аналитики'!$B$4134,0)</f>
        <v/>
      </c>
      <c r="D4658">
        <f>IF('01_Вводные'!$B$234="Да",('19_Расчет_аналитики'!C4411*'01_Вводные'!$B$87*'01_Вводные'!$B$14^1+'19_Расчет_аналитики'!B4411*'01_Вводные'!$B$88*'01_Вводные'!$B$14^2)*'19_Расчет_аналитики'!$B$4106*'19_Расчет_аналитики'!$B$4134,0)</f>
        <v/>
      </c>
      <c r="E4658">
        <f>IF('01_Вводные'!$B$234="Да",('19_Расчет_аналитики'!D4411*'01_Вводные'!$B$87*'01_Вводные'!$B$14^1+'19_Расчет_аналитики'!C4411*'01_Вводные'!$B$88*'01_Вводные'!$B$14^2+'19_Расчет_аналитики'!B4411*'01_Вводные'!$B$89*'01_Вводные'!$B$14^3)*'19_Расчет_аналитики'!$B$4106*'19_Расчет_аналитики'!$B$4134,0)</f>
        <v/>
      </c>
      <c r="F4658">
        <f>IF('01_Вводные'!$B$234="Да",('19_Расчет_аналитики'!E4411*'01_Вводные'!$B$87*'01_Вводные'!$B$14^1+'19_Расчет_аналитики'!D4411*'01_Вводные'!$B$88*'01_Вводные'!$B$14^2+'19_Расчет_аналитики'!C4411*'01_Вводные'!$B$89*'01_Вводные'!$B$14^3)*'19_Расчет_аналитики'!$B$4106*'19_Расчет_аналитики'!$B$4134,0)</f>
        <v/>
      </c>
      <c r="G4658">
        <f>IF('01_Вводные'!$B$234="Да",('19_Расчет_аналитики'!F4411*'01_Вводные'!$B$87*'01_Вводные'!$B$14^1+'19_Расчет_аналитики'!E4411*'01_Вводные'!$B$88*'01_Вводные'!$B$14^2+'19_Расчет_аналитики'!D4411*'01_Вводные'!$B$89*'01_Вводные'!$B$14^3)*'19_Расчет_аналитики'!$B$4106*'19_Расчет_аналитики'!$B$4134,0)</f>
        <v/>
      </c>
      <c r="H4658">
        <f>IF('01_Вводные'!$B$234="Да",('19_Расчет_аналитики'!G4411*'01_Вводные'!$B$87*'01_Вводные'!$B$14^1+'19_Расчет_аналитики'!F4411*'01_Вводные'!$B$88*'01_Вводные'!$B$14^2+'19_Расчет_аналитики'!E4411*'01_Вводные'!$B$89*'01_Вводные'!$B$14^3)*'19_Расчет_аналитики'!$B$4106*'19_Расчет_аналитики'!$B$4134,0)</f>
        <v/>
      </c>
      <c r="I4658">
        <f>IF('01_Вводные'!$B$234="Да",('19_Расчет_аналитики'!H4411*'01_Вводные'!$B$87*'01_Вводные'!$B$14^1+'19_Расчет_аналитики'!G4411*'01_Вводные'!$B$88*'01_Вводные'!$B$14^2+'19_Расчет_аналитики'!F4411*'01_Вводные'!$B$89*'01_Вводные'!$B$14^3)*'19_Расчет_аналитики'!$B$4106*'19_Расчет_аналитики'!$B$4134,0)</f>
        <v/>
      </c>
      <c r="J4658">
        <f>IF('01_Вводные'!$B$234="Да",('19_Расчет_аналитики'!I4411*'01_Вводные'!$B$87*'01_Вводные'!$B$14^1+'19_Расчет_аналитики'!H4411*'01_Вводные'!$B$88*'01_Вводные'!$B$14^2+'19_Расчет_аналитики'!G4411*'01_Вводные'!$B$89*'01_Вводные'!$B$14^3)*'19_Расчет_аналитики'!$B$4106*'19_Расчет_аналитики'!$B$4134,0)</f>
        <v/>
      </c>
      <c r="K4658">
        <f>IF('01_Вводные'!$B$234="Да",('19_Расчет_аналитики'!J4411*'01_Вводные'!$B$87*'01_Вводные'!$B$14^1+'19_Расчет_аналитики'!I4411*'01_Вводные'!$B$88*'01_Вводные'!$B$14^2+'19_Расчет_аналитики'!H4411*'01_Вводные'!$B$89*'01_Вводные'!$B$14^3)*'19_Расчет_аналитики'!$B$4106*'19_Расчет_аналитики'!$B$4134,0)</f>
        <v/>
      </c>
      <c r="L4658">
        <f>IF('01_Вводные'!$B$234="Да",('19_Расчет_аналитики'!K4411*'01_Вводные'!$B$87*'01_Вводные'!$B$14^1+'19_Расчет_аналитики'!J4411*'01_Вводные'!$B$88*'01_Вводные'!$B$14^2+'19_Расчет_аналитики'!I4411*'01_Вводные'!$B$89*'01_Вводные'!$B$14^3)*'19_Расчет_аналитики'!$B$4106*'19_Расчет_аналитики'!$B$4134,0)</f>
        <v/>
      </c>
      <c r="M4658">
        <f>IF('01_Вводные'!$B$234="Да",('19_Расчет_аналитики'!L4411*'01_Вводные'!$B$87*'01_Вводные'!$B$14^1+'19_Расчет_аналитики'!K4411*'01_Вводные'!$B$88*'01_Вводные'!$B$14^2+'19_Расчет_аналитики'!J4411*'01_Вводные'!$B$89*'01_Вводные'!$B$14^3)*'19_Расчет_аналитики'!$B$4106*'19_Расчет_аналитики'!$B$4134,0)</f>
        <v/>
      </c>
      <c r="N4658">
        <f>IF('01_Вводные'!$B$234="Да",('19_Расчет_аналитики'!M4411*'01_Вводные'!$B$87*'01_Вводные'!$B$14^1+'19_Расчет_аналитики'!L4411*'01_Вводные'!$B$88*'01_Вводные'!$B$14^2+'19_Расчет_аналитики'!K4411*'01_Вводные'!$B$89*'01_Вводные'!$B$14^3)*'19_Расчет_аналитики'!$B$4106*'19_Расчет_аналитики'!$B$4134,0)</f>
        <v/>
      </c>
      <c r="O4658">
        <f>IF('01_Вводные'!$B$234="Да",('19_Расчет_аналитики'!N4411*'01_Вводные'!$B$87*'01_Вводные'!$B$14^1+'19_Расчет_аналитики'!M4411*'01_Вводные'!$B$88*'01_Вводные'!$B$14^2+'19_Расчет_аналитики'!L4411*'01_Вводные'!$B$89*'01_Вводные'!$B$14^3)*'19_Расчет_аналитики'!$B$4106*'19_Расчет_аналитики'!$B$4134,0)</f>
        <v/>
      </c>
      <c r="P4658">
        <f>IF('01_Вводные'!$B$234="Да",('19_Расчет_аналитики'!O4411*'01_Вводные'!$B$87*'01_Вводные'!$B$14^1+'19_Расчет_аналитики'!N4411*'01_Вводные'!$B$88*'01_Вводные'!$B$14^2+'19_Расчет_аналитики'!M4411*'01_Вводные'!$B$89*'01_Вводные'!$B$14^3)*'19_Расчет_аналитики'!$B$4106*'19_Расчет_аналитики'!$B$4134,0)</f>
        <v/>
      </c>
      <c r="Q4658">
        <f>IF('01_Вводные'!$B$234="Да",('19_Расчет_аналитики'!P4411*'01_Вводные'!$B$87*'01_Вводные'!$B$14^1+'19_Расчет_аналитики'!O4411*'01_Вводные'!$B$88*'01_Вводные'!$B$14^2+'19_Расчет_аналитики'!N4411*'01_Вводные'!$B$89*'01_Вводные'!$B$14^3)*'19_Расчет_аналитики'!$B$4106*'19_Расчет_аналитики'!$B$4134,0)</f>
        <v/>
      </c>
      <c r="R4658">
        <f>IF('01_Вводные'!$B$234="Да",('19_Расчет_аналитики'!Q4411*'01_Вводные'!$B$87*'01_Вводные'!$B$14^1+'19_Расчет_аналитики'!P4411*'01_Вводные'!$B$88*'01_Вводные'!$B$14^2+'19_Расчет_аналитики'!O4411*'01_Вводные'!$B$89*'01_Вводные'!$B$14^3)*'19_Расчет_аналитики'!$B$4106*'19_Расчет_аналитики'!$B$4134,0)</f>
        <v/>
      </c>
      <c r="S4658">
        <f>IF('01_Вводные'!$B$234="Да",('19_Расчет_аналитики'!R4411*'01_Вводные'!$B$87*'01_Вводные'!$B$14^1+'19_Расчет_аналитики'!Q4411*'01_Вводные'!$B$88*'01_Вводные'!$B$14^2+'19_Расчет_аналитики'!P4411*'01_Вводные'!$B$89*'01_Вводные'!$B$14^3)*'19_Расчет_аналитики'!$B$4106*'19_Расчет_аналитики'!$B$4134,0)</f>
        <v/>
      </c>
      <c r="T4658">
        <f>IF('01_Вводные'!$B$234="Да",('19_Расчет_аналитики'!S4411*'01_Вводные'!$B$87*'01_Вводные'!$B$14^1+'19_Расчет_аналитики'!R4411*'01_Вводные'!$B$88*'01_Вводные'!$B$14^2+'19_Расчет_аналитики'!Q4411*'01_Вводные'!$B$89*'01_Вводные'!$B$14^3)*'19_Расчет_аналитики'!$B$4106*'19_Расчет_аналитики'!$B$4134,0)</f>
        <v/>
      </c>
      <c r="U4658">
        <f>IF('01_Вводные'!$B$234="Да",('19_Расчет_аналитики'!T4411*'01_Вводные'!$B$87*'01_Вводные'!$B$14^1+'19_Расчет_аналитики'!S4411*'01_Вводные'!$B$88*'01_Вводные'!$B$14^2+'19_Расчет_аналитики'!R4411*'01_Вводные'!$B$89*'01_Вводные'!$B$14^3)*'19_Расчет_аналитики'!$B$4106*'19_Расчет_аналитики'!$B$4134,0)</f>
        <v/>
      </c>
      <c r="V4658">
        <f>IF('01_Вводные'!$B$234="Да",('19_Расчет_аналитики'!U4411*'01_Вводные'!$B$87*'01_Вводные'!$B$14^1+'19_Расчет_аналитики'!T4411*'01_Вводные'!$B$88*'01_Вводные'!$B$14^2+'19_Расчет_аналитики'!S4411*'01_Вводные'!$B$89*'01_Вводные'!$B$14^3)*'19_Расчет_аналитики'!$B$4106*'19_Расчет_аналитики'!$B$4134,0)</f>
        <v/>
      </c>
      <c r="W4658">
        <f>IF('01_Вводные'!$B$234="Да",('19_Расчет_аналитики'!V4411*'01_Вводные'!$B$87*'01_Вводные'!$B$14^1+'19_Расчет_аналитики'!U4411*'01_Вводные'!$B$88*'01_Вводные'!$B$14^2+'19_Расчет_аналитики'!T4411*'01_Вводные'!$B$89*'01_Вводные'!$B$14^3)*'19_Расчет_аналитики'!$B$4106*'19_Расчет_аналитики'!$B$4134,0)</f>
        <v/>
      </c>
      <c r="X4658">
        <f>IF('01_Вводные'!$B$234="Да",('19_Расчет_аналитики'!W4411*'01_Вводные'!$B$87*'01_Вводные'!$B$14^1+'19_Расчет_аналитики'!V4411*'01_Вводные'!$B$88*'01_Вводные'!$B$14^2+'19_Расчет_аналитики'!U4411*'01_Вводные'!$B$89*'01_Вводные'!$B$14^3)*'19_Расчет_аналитики'!$B$4106*'19_Расчет_аналитики'!$B$4134,0)</f>
        <v/>
      </c>
      <c r="Y4658">
        <f>IF('01_Вводные'!$B$234="Да",('19_Расчет_аналитики'!X4411*'01_Вводные'!$B$87*'01_Вводные'!$B$14^1+'19_Расчет_аналитики'!W4411*'01_Вводные'!$B$88*'01_Вводные'!$B$14^2+'19_Расчет_аналитики'!V4411*'01_Вводные'!$B$89*'01_Вводные'!$B$14^3)*'19_Расчет_аналитики'!$B$4106*'19_Расчет_аналитики'!$B$4134,0)</f>
        <v/>
      </c>
      <c r="Z4658">
        <f>IF('01_Вводные'!$B$234="Да",('19_Расчет_аналитики'!Y4411*'01_Вводные'!$B$87*'01_Вводные'!$B$14^1+'19_Расчет_аналитики'!X4411*'01_Вводные'!$B$88*'01_Вводные'!$B$14^2+'19_Расчет_аналитики'!W4411*'01_Вводные'!$B$89*'01_Вводные'!$B$14^3)*'19_Расчет_аналитики'!$B$4106*'19_Расчет_аналитики'!$B$4134,0)</f>
        <v/>
      </c>
      <c r="AA4658">
        <f>IF('01_Вводные'!$B$234="Да",('19_Расчет_аналитики'!Z4411*'01_Вводные'!$B$87*'01_Вводные'!$B$14^1+'19_Расчет_аналитики'!Y4411*'01_Вводные'!$B$88*'01_Вводные'!$B$14^2+'19_Расчет_аналитики'!X4411*'01_Вводные'!$B$89*'01_Вводные'!$B$14^3)*'19_Расчет_аналитики'!$B$4106*'19_Расчет_аналитики'!$B$4134,0)</f>
        <v/>
      </c>
      <c r="AB4658">
        <f>IF('01_Вводные'!$B$234="Да",('19_Расчет_аналитики'!AA4411*'01_Вводные'!$B$87*'01_Вводные'!$B$14^1+'19_Расчет_аналитики'!Z4411*'01_Вводные'!$B$88*'01_Вводные'!$B$14^2+'19_Расчет_аналитики'!Y4411*'01_Вводные'!$B$89*'01_Вводные'!$B$14^3)*'19_Расчет_аналитики'!$B$4106*'19_Расчет_аналитики'!$B$4134,0)</f>
        <v/>
      </c>
      <c r="AC4658">
        <f>IF('01_Вводные'!$B$234="Да",('19_Расчет_аналитики'!AB4411*'01_Вводные'!$B$87*'01_Вводные'!$B$14^1+'19_Расчет_аналитики'!AA4411*'01_Вводные'!$B$88*'01_Вводные'!$B$14^2+'19_Расчет_аналитики'!Z4411*'01_Вводные'!$B$89*'01_Вводные'!$B$14^3)*'19_Расчет_аналитики'!$B$4106*'19_Расчет_аналитики'!$B$4134,0)</f>
        <v/>
      </c>
      <c r="AD4658">
        <f>IF('01_Вводные'!$B$234="Да",('19_Расчет_аналитики'!AC4411*'01_Вводные'!$B$87*'01_Вводные'!$B$14^1+'19_Расчет_аналитики'!AB4411*'01_Вводные'!$B$88*'01_Вводные'!$B$14^2+'19_Расчет_аналитики'!AA4411*'01_Вводные'!$B$89*'01_Вводные'!$B$14^3)*'19_Расчет_аналитики'!$B$4106*'19_Расчет_аналитики'!$B$4134,0)</f>
        <v/>
      </c>
      <c r="AE4658">
        <f>IF('01_Вводные'!$B$234="Да",('19_Расчет_аналитики'!AD4411*'01_Вводные'!$B$87*'01_Вводные'!$B$14^1+'19_Расчет_аналитики'!AC4411*'01_Вводные'!$B$88*'01_Вводные'!$B$14^2+'19_Расчет_аналитики'!AB4411*'01_Вводные'!$B$89*'01_Вводные'!$B$14^3)*'19_Расчет_аналитики'!$B$4106*'19_Расчет_аналитики'!$B$4134,0)</f>
        <v/>
      </c>
      <c r="AF4658">
        <f>IF('01_Вводные'!$B$234="Да",('19_Расчет_аналитики'!AE4411*'01_Вводные'!$B$87*'01_Вводные'!$B$14^1+'19_Расчет_аналитики'!AD4411*'01_Вводные'!$B$88*'01_Вводные'!$B$14^2+'19_Расчет_аналитики'!AC4411*'01_Вводные'!$B$89*'01_Вводные'!$B$14^3)*'19_Расчет_аналитики'!$B$4106*'19_Расчет_аналитики'!$B$4134,0)</f>
        <v/>
      </c>
      <c r="AG4658">
        <f>IF('01_Вводные'!$B$234="Да",('19_Расчет_аналитики'!AF4411*'01_Вводные'!$B$87*'01_Вводные'!$B$14^1+'19_Расчет_аналитики'!AE4411*'01_Вводные'!$B$88*'01_Вводные'!$B$14^2+'19_Расчет_аналитики'!AD4411*'01_Вводные'!$B$89*'01_Вводные'!$B$14^3)*'19_Расчет_аналитики'!$B$4106*'19_Расчет_аналитики'!$B$4134,0)</f>
        <v/>
      </c>
      <c r="AH4658">
        <f>IF('01_Вводные'!$B$234="Да",('19_Расчет_аналитики'!AG4411*'01_Вводные'!$B$87*'01_Вводные'!$B$14^1+'19_Расчет_аналитики'!AF4411*'01_Вводные'!$B$88*'01_Вводные'!$B$14^2+'19_Расчет_аналитики'!AE4411*'01_Вводные'!$B$89*'01_Вводные'!$B$14^3)*'19_Расчет_аналитики'!$B$4106*'19_Расчет_аналитики'!$B$4134,0)</f>
        <v/>
      </c>
      <c r="AI4658">
        <f>IF('01_Вводные'!$B$234="Да",('19_Расчет_аналитики'!AH4411*'01_Вводные'!$B$87*'01_Вводные'!$B$14^1+'19_Расчет_аналитики'!AG4411*'01_Вводные'!$B$88*'01_Вводные'!$B$14^2+'19_Расчет_аналитики'!AF4411*'01_Вводные'!$B$89*'01_Вводные'!$B$14^3)*'19_Расчет_аналитики'!$B$4106*'19_Расчет_аналитики'!$B$4134,0)</f>
        <v/>
      </c>
      <c r="AJ4658">
        <f>IF('01_Вводные'!$B$234="Да",('19_Расчет_аналитики'!AI4411*'01_Вводные'!$B$87*'01_Вводные'!$B$14^1+'19_Расчет_аналитики'!AH4411*'01_Вводные'!$B$88*'01_Вводные'!$B$14^2+'19_Расчет_аналитики'!AG4411*'01_Вводные'!$B$89*'01_Вводные'!$B$14^3)*'19_Расчет_аналитики'!$B$4106*'19_Расчет_аналитики'!$B$4134,0)</f>
        <v/>
      </c>
      <c r="AK4658">
        <f>IF('01_Вводные'!$B$234="Да",('19_Расчет_аналитики'!AJ4411*'01_Вводные'!$B$87*'01_Вводные'!$B$14^1+'19_Расчет_аналитики'!AI4411*'01_Вводные'!$B$88*'01_Вводные'!$B$14^2+'19_Расчет_аналитики'!AH4411*'01_Вводные'!$B$89*'01_Вводные'!$B$14^3)*'19_Расчет_аналитики'!$B$4106*'19_Расчет_аналитики'!$B$4134,0)</f>
        <v/>
      </c>
      <c r="AL4658">
        <f>IF('01_Вводные'!$B$234="Да",('19_Расчет_аналитики'!AK4411*'01_Вводные'!$B$87*'01_Вводные'!$B$14^1+'19_Расчет_аналитики'!AJ4411*'01_Вводные'!$B$88*'01_Вводные'!$B$14^2+'19_Расчет_аналитики'!AI4411*'01_Вводные'!$B$89*'01_Вводные'!$B$14^3)*'19_Расчет_аналитики'!$B$4106*'19_Расчет_аналитики'!$B$4134,0)</f>
        <v/>
      </c>
      <c r="AM4658">
        <f>IF('01_Вводные'!$B$234="Да",('19_Расчет_аналитики'!AL4411*'01_Вводные'!$B$87*'01_Вводные'!$B$14^1+'19_Расчет_аналитики'!AK4411*'01_Вводные'!$B$88*'01_Вводные'!$B$14^2+'19_Расчет_аналитики'!AJ4411*'01_Вводные'!$B$89*'01_Вводные'!$B$14^3)*'19_Расчет_аналитики'!$B$4106*'19_Расчет_аналитики'!$B$4134,0)</f>
        <v/>
      </c>
      <c r="AN4658">
        <f>IF('01_Вводные'!$B$234="Да",('19_Расчет_аналитики'!AM4411*'01_Вводные'!$B$87*'01_Вводные'!$B$14^1+'19_Расчет_аналитики'!AL4411*'01_Вводные'!$B$88*'01_Вводные'!$B$14^2+'19_Расчет_аналитики'!AK4411*'01_Вводные'!$B$89*'01_Вводные'!$B$14^3)*'19_Расчет_аналитики'!$B$4106*'19_Расчет_аналитики'!$B$4134,0)</f>
        <v/>
      </c>
      <c r="AO4658">
        <f>IF('01_Вводные'!$B$234="Да",('19_Расчет_аналитики'!AN4411*'01_Вводные'!$B$87*'01_Вводные'!$B$14^1+'19_Расчет_аналитики'!AM4411*'01_Вводные'!$B$88*'01_Вводные'!$B$14^2+'19_Расчет_аналитики'!AL4411*'01_Вводные'!$B$89*'01_Вводные'!$B$14^3)*'19_Расчет_аналитики'!$B$4106*'19_Расчет_аналитики'!$B$4134,0)</f>
        <v/>
      </c>
      <c r="AP4658">
        <f>IF('01_Вводные'!$B$234="Да",('19_Расчет_аналитики'!AO4411*'01_Вводные'!$B$87*'01_Вводные'!$B$14^1+'19_Расчет_аналитики'!AN4411*'01_Вводные'!$B$88*'01_Вводные'!$B$14^2+'19_Расчет_аналитики'!AM4411*'01_Вводные'!$B$89*'01_Вводные'!$B$14^3)*'19_Расчет_аналитики'!$B$4106*'19_Расчет_аналитики'!$B$4134,0)</f>
        <v/>
      </c>
      <c r="AQ4658">
        <f>IF('01_Вводные'!$B$234="Да",('19_Расчет_аналитики'!AP4411*'01_Вводные'!$B$87*'01_Вводные'!$B$14^1+'19_Расчет_аналитики'!AO4411*'01_Вводные'!$B$88*'01_Вводные'!$B$14^2+'19_Расчет_аналитики'!AN4411*'01_Вводные'!$B$89*'01_Вводные'!$B$14^3)*'19_Расчет_аналитики'!$B$4106*'19_Расчет_аналитики'!$B$4134,0)</f>
        <v/>
      </c>
      <c r="AR4658">
        <f>IF('01_Вводные'!$B$234="Да",('19_Расчет_аналитики'!AQ4411*'01_Вводные'!$B$87*'01_Вводные'!$B$14^1+'19_Расчет_аналитики'!AP4411*'01_Вводные'!$B$88*'01_Вводные'!$B$14^2+'19_Расчет_аналитики'!AO4411*'01_Вводные'!$B$89*'01_Вводные'!$B$14^3)*'19_Расчет_аналитики'!$B$4106*'19_Расчет_аналитики'!$B$4134,0)</f>
        <v/>
      </c>
      <c r="AS4658">
        <f>IF('01_Вводные'!$B$234="Да",('19_Расчет_аналитики'!AR4411*'01_Вводные'!$B$87*'01_Вводные'!$B$14^1+'19_Расчет_аналитики'!AQ4411*'01_Вводные'!$B$88*'01_Вводные'!$B$14^2+'19_Расчет_аналитики'!AP4411*'01_Вводные'!$B$89*'01_Вводные'!$B$14^3)*'19_Расчет_аналитики'!$B$4106*'19_Расчет_аналитики'!$B$4134,0)</f>
        <v/>
      </c>
      <c r="AT4658">
        <f>IF('01_Вводные'!$B$234="Да",('19_Расчет_аналитики'!AS4411*'01_Вводные'!$B$87*'01_Вводные'!$B$14^1+'19_Расчет_аналитики'!AR4411*'01_Вводные'!$B$88*'01_Вводные'!$B$14^2+'19_Расчет_аналитики'!AQ4411*'01_Вводные'!$B$89*'01_Вводные'!$B$14^3)*'19_Расчет_аналитики'!$B$4106*'19_Расчет_аналитики'!$B$4134,0)</f>
        <v/>
      </c>
      <c r="AU4658">
        <f>IF('01_Вводные'!$B$234="Да",('19_Расчет_аналитики'!AT4411*'01_Вводные'!$B$87*'01_Вводные'!$B$14^1+'19_Расчет_аналитики'!AS4411*'01_Вводные'!$B$88*'01_Вводные'!$B$14^2+'19_Расчет_аналитики'!AR4411*'01_Вводные'!$B$89*'01_Вводные'!$B$14^3)*'19_Расчет_аналитики'!$B$4106*'19_Расчет_аналитики'!$B$4134,0)</f>
        <v/>
      </c>
      <c r="AV4658">
        <f>IF('01_Вводные'!$B$234="Да",('19_Расчет_аналитики'!AU4411*'01_Вводные'!$B$87*'01_Вводные'!$B$14^1+'19_Расчет_аналитики'!AT4411*'01_Вводные'!$B$88*'01_Вводные'!$B$14^2+'19_Расчет_аналитики'!AS4411*'01_Вводные'!$B$89*'01_Вводные'!$B$14^3)*'19_Расчет_аналитики'!$B$4106*'19_Расчет_аналитики'!$B$4134,0)</f>
        <v/>
      </c>
      <c r="AW4658">
        <f>IF('01_Вводные'!$B$234="Да",('19_Расчет_аналитики'!AV4411*'01_Вводные'!$B$87*'01_Вводные'!$B$14^1+'19_Расчет_аналитики'!AU4411*'01_Вводные'!$B$88*'01_Вводные'!$B$14^2+'19_Расчет_аналитики'!AT4411*'01_Вводные'!$B$89*'01_Вводные'!$B$14^3)*'19_Расчет_аналитики'!$B$4106*'19_Расчет_аналитики'!$B$4134,0)</f>
        <v/>
      </c>
      <c r="AX4658">
        <f>IF('01_Вводные'!$B$234="Да",('19_Расчет_аналитики'!AW4411*'01_Вводные'!$B$87*'01_Вводные'!$B$14^1+'19_Расчет_аналитики'!AV4411*'01_Вводные'!$B$88*'01_Вводные'!$B$14^2+'19_Расчет_аналитики'!AU4411*'01_Вводные'!$B$89*'01_Вводные'!$B$14^3)*'19_Расчет_аналитики'!$B$4106*'19_Расчет_аналитики'!$B$4134,0)</f>
        <v/>
      </c>
      <c r="AY4658">
        <f>IF('01_Вводные'!$B$234="Да",('19_Расчет_аналитики'!AX4411*'01_Вводные'!$B$87*'01_Вводные'!$B$14^1+'19_Расчет_аналитики'!AW4411*'01_Вводные'!$B$88*'01_Вводные'!$B$14^2+'19_Расчет_аналитики'!AV4411*'01_Вводные'!$B$89*'01_Вводные'!$B$14^3)*'19_Расчет_аналитики'!$B$4106*'19_Расчет_аналитики'!$B$4134,0)</f>
        <v/>
      </c>
      <c r="AZ4658">
        <f>IF('01_Вводные'!$B$234="Да",('19_Расчет_аналитики'!AY4411*'01_Вводные'!$B$87*'01_Вводные'!$B$14^1+'19_Расчет_аналитики'!AX4411*'01_Вводные'!$B$88*'01_Вводные'!$B$14^2+'19_Расчет_аналитики'!AW4411*'01_Вводные'!$B$89*'01_Вводные'!$B$14^3)*'19_Расчет_аналитики'!$B$4106*'19_Расчет_аналитики'!$B$4134,0)</f>
        <v/>
      </c>
      <c r="BA4658">
        <f>IF('01_Вводные'!$B$234="Да",('19_Расчет_аналитики'!AZ4411*'01_Вводные'!$B$87*'01_Вводные'!$B$14^1+'19_Расчет_аналитики'!AY4411*'01_Вводные'!$B$88*'01_Вводные'!$B$14^2+'19_Расчет_аналитики'!AX4411*'01_Вводные'!$B$89*'01_Вводные'!$B$14^3)*'19_Расчет_аналитики'!$B$4106*'19_Расчет_аналитики'!$B$4134,0)</f>
        <v/>
      </c>
      <c r="BB4658">
        <f>IF('01_Вводные'!$B$234="Да",('19_Расчет_аналитики'!BA4411*'01_Вводные'!$B$87*'01_Вводные'!$B$14^1+'19_Расчет_аналитики'!AZ4411*'01_Вводные'!$B$88*'01_Вводные'!$B$14^2+'19_Расчет_аналитики'!AY4411*'01_Вводные'!$B$89*'01_Вводные'!$B$14^3)*'19_Расчет_аналитики'!$B$4106*'19_Расчет_аналитики'!$B$4134,0)</f>
        <v/>
      </c>
      <c r="BC4658">
        <f>IF('01_Вводные'!$B$234="Да",('19_Расчет_аналитики'!BB4411*'01_Вводные'!$B$87*'01_Вводные'!$B$14^1+'19_Расчет_аналитики'!BA4411*'01_Вводные'!$B$88*'01_Вводные'!$B$14^2+'19_Расчет_аналитики'!AZ4411*'01_Вводные'!$B$89*'01_Вводные'!$B$14^3)*'19_Расчет_аналитики'!$B$4106*'19_Расчет_аналитики'!$B$4134,0)</f>
        <v/>
      </c>
      <c r="BD4658">
        <f>IF('01_Вводные'!$B$234="Да",('19_Расчет_аналитики'!BC4411*'01_Вводные'!$B$87*'01_Вводные'!$B$14^1+'19_Расчет_аналитики'!BB4411*'01_Вводные'!$B$88*'01_Вводные'!$B$14^2+'19_Расчет_аналитики'!BA4411*'01_Вводные'!$B$89*'01_Вводные'!$B$14^3)*'19_Расчет_аналитики'!$B$4106*'19_Расчет_аналитики'!$B$4134,0)</f>
        <v/>
      </c>
      <c r="BE4658">
        <f>IF('01_Вводные'!$B$234="Да",('19_Расчет_аналитики'!BD4411*'01_Вводные'!$B$87*'01_Вводные'!$B$14^1+'19_Расчет_аналитики'!BC4411*'01_Вводные'!$B$88*'01_Вводные'!$B$14^2+'19_Расчет_аналитики'!BB4411*'01_Вводные'!$B$89*'01_Вводные'!$B$14^3)*'19_Расчет_аналитики'!$B$4106*'19_Расчет_аналитики'!$B$4134,0)</f>
        <v/>
      </c>
      <c r="BF4658">
        <f>IF('01_Вводные'!$B$234="Да",('19_Расчет_аналитики'!BE4411*'01_Вводные'!$B$87*'01_Вводные'!$B$14^1+'19_Расчет_аналитики'!BD4411*'01_Вводные'!$B$88*'01_Вводные'!$B$14^2+'19_Расчет_аналитики'!BC4411*'01_Вводные'!$B$89*'01_Вводные'!$B$14^3)*'19_Расчет_аналитики'!$B$4106*'19_Расчет_аналитики'!$B$4134,0)</f>
        <v/>
      </c>
      <c r="BG4658">
        <f>IF('01_Вводные'!$B$234="Да",('19_Расчет_аналитики'!BF4411*'01_Вводные'!$B$87*'01_Вводные'!$B$14^1+'19_Расчет_аналитики'!BE4411*'01_Вводные'!$B$88*'01_Вводные'!$B$14^2+'19_Расчет_аналитики'!BD4411*'01_Вводные'!$B$89*'01_Вводные'!$B$14^3)*'19_Расчет_аналитики'!$B$4106*'19_Расчет_аналитики'!$B$4134,0)</f>
        <v/>
      </c>
      <c r="BH4658">
        <f>IF('01_Вводные'!$B$234="Да",('19_Расчет_аналитики'!BG4411*'01_Вводные'!$B$87*'01_Вводные'!$B$14^1+'19_Расчет_аналитики'!BF4411*'01_Вводные'!$B$88*'01_Вводные'!$B$14^2+'19_Расчет_аналитики'!BE4411*'01_Вводные'!$B$89*'01_Вводные'!$B$14^3)*'19_Расчет_аналитики'!$B$4106*'19_Расчет_аналитики'!$B$4134,0)</f>
        <v/>
      </c>
      <c r="BI4658">
        <f>IF('01_Вводные'!$B$234="Да",('19_Расчет_аналитики'!BH4411*'01_Вводные'!$B$87*'01_Вводные'!$B$14^1+'19_Расчет_аналитики'!BG4411*'01_Вводные'!$B$88*'01_Вводные'!$B$14^2+'19_Расчет_аналитики'!BF4411*'01_Вводные'!$B$89*'01_Вводные'!$B$14^3)*'19_Расчет_аналитики'!$B$4106*'19_Расчет_аналитики'!$B$4134,0)</f>
        <v/>
      </c>
      <c r="BJ4658">
        <f>IF('01_Вводные'!$B$234="Да",('19_Расчет_аналитики'!BI4411*'01_Вводные'!$B$87*'01_Вводные'!$B$14^1+'19_Расчет_аналитики'!BH4411*'01_Вводные'!$B$88*'01_Вводные'!$B$14^2+'19_Расчет_аналитики'!BG4411*'01_Вводные'!$B$89*'01_Вводные'!$B$14^3)*'19_Расчет_аналитики'!$B$4106*'19_Расчет_аналитики'!$B$4134,0)</f>
        <v/>
      </c>
      <c r="BK4658">
        <f>IF('01_Вводные'!$B$234="Да",('19_Расчет_аналитики'!BJ4411*'01_Вводные'!$B$87*'01_Вводные'!$B$14^1+'19_Расчет_аналитики'!BI4411*'01_Вводные'!$B$88*'01_Вводные'!$B$14^2+'19_Расчет_аналитики'!BH4411*'01_Вводные'!$B$89*'01_Вводные'!$B$14^3)*'19_Расчет_аналитики'!$B$4106*'19_Расчет_аналитики'!$B$4134,0)</f>
        <v/>
      </c>
      <c r="BL4658">
        <f>IF('01_Вводные'!$B$234="Да",('19_Расчет_аналитики'!BK4411*'01_Вводные'!$B$87*'01_Вводные'!$B$14^1+'19_Расчет_аналитики'!BJ4411*'01_Вводные'!$B$88*'01_Вводные'!$B$14^2+'19_Расчет_аналитики'!BI4411*'01_Вводные'!$B$89*'01_Вводные'!$B$14^3)*'19_Расчет_аналитики'!$B$4106*'19_Расчет_аналитики'!$B$4134,0)</f>
        <v/>
      </c>
      <c r="BM4658">
        <f>IF('01_Вводные'!$B$234="Да",('19_Расчет_аналитики'!BL4411*'01_Вводные'!$B$87*'01_Вводные'!$B$14^1+'19_Расчет_аналитики'!BK4411*'01_Вводные'!$B$88*'01_Вводные'!$B$14^2+'19_Расчет_аналитики'!BJ4411*'01_Вводные'!$B$89*'01_Вводные'!$B$14^3)*'19_Расчет_аналитики'!$B$4106*'19_Расчет_аналитики'!$B$4134,0)</f>
        <v/>
      </c>
      <c r="BN4658">
        <f>IF('01_Вводные'!$B$234="Да",('19_Расчет_аналитики'!BM4411*'01_Вводные'!$B$87*'01_Вводные'!$B$14^1+'19_Расчет_аналитики'!BL4411*'01_Вводные'!$B$88*'01_Вводные'!$B$14^2+'19_Расчет_аналитики'!BK4411*'01_Вводные'!$B$89*'01_Вводные'!$B$14^3)*'19_Расчет_аналитики'!$B$4106*'19_Расчет_аналитики'!$B$4134,0)</f>
        <v/>
      </c>
      <c r="BO4658">
        <f>IF('01_Вводные'!$B$234="Да",('19_Расчет_аналитики'!BN4411*'01_Вводные'!$B$87*'01_Вводные'!$B$14^1+'19_Расчет_аналитики'!BM4411*'01_Вводные'!$B$88*'01_Вводные'!$B$14^2+'19_Расчет_аналитики'!BL4411*'01_Вводные'!$B$89*'01_Вводные'!$B$14^3)*'19_Расчет_аналитики'!$B$4106*'19_Расчет_аналитики'!$B$4134,0)</f>
        <v/>
      </c>
    </row>
    <row r="4659">
      <c r="B4659">
        <f>IF('01_Вводные'!$B$234="Да",'19_Расчет_аналитики'!B4594*'19_Расчет_аналитики'!$B$4134*'07_Мерч'!B4,0)</f>
        <v/>
      </c>
      <c r="C4659">
        <f>IF('01_Вводные'!$B$234="Да",'19_Расчет_аналитики'!C4594*'19_Расчет_аналитики'!$B$4134*'07_Мерч'!C4,0)</f>
        <v/>
      </c>
      <c r="D4659">
        <f>IF('01_Вводные'!$B$234="Да",'19_Расчет_аналитики'!D4594*'19_Расчет_аналитики'!$B$4134*'07_Мерч'!D4,0)</f>
        <v/>
      </c>
      <c r="E4659">
        <f>IF('01_Вводные'!$B$234="Да",'19_Расчет_аналитики'!E4594*'19_Расчет_аналитики'!$B$4134*'07_Мерч'!E4,0)</f>
        <v/>
      </c>
      <c r="F4659">
        <f>IF('01_Вводные'!$B$234="Да",'19_Расчет_аналитики'!F4594*'19_Расчет_аналитики'!$B$4134*'07_Мерч'!F4,0)</f>
        <v/>
      </c>
      <c r="G4659">
        <f>IF('01_Вводные'!$B$234="Да",'19_Расчет_аналитики'!G4594*'19_Расчет_аналитики'!$B$4134*'07_Мерч'!G4,0)</f>
        <v/>
      </c>
      <c r="H4659">
        <f>IF('01_Вводные'!$B$234="Да",'19_Расчет_аналитики'!H4594*'19_Расчет_аналитики'!$B$4134*'07_Мерч'!H4,0)</f>
        <v/>
      </c>
      <c r="I4659">
        <f>IF('01_Вводные'!$B$234="Да",'19_Расчет_аналитики'!I4594*'19_Расчет_аналитики'!$B$4134*'07_Мерч'!I4,0)</f>
        <v/>
      </c>
      <c r="J4659">
        <f>IF('01_Вводные'!$B$234="Да",'19_Расчет_аналитики'!J4594*'19_Расчет_аналитики'!$B$4134*'07_Мерч'!J4,0)</f>
        <v/>
      </c>
      <c r="K4659">
        <f>IF('01_Вводные'!$B$234="Да",'19_Расчет_аналитики'!K4594*'19_Расчет_аналитики'!$B$4134*'07_Мерч'!K4,0)</f>
        <v/>
      </c>
      <c r="L4659">
        <f>IF('01_Вводные'!$B$234="Да",'19_Расчет_аналитики'!L4594*'19_Расчет_аналитики'!$B$4134*'07_Мерч'!L4,0)</f>
        <v/>
      </c>
      <c r="M4659">
        <f>IF('01_Вводные'!$B$234="Да",'19_Расчет_аналитики'!M4594*'19_Расчет_аналитики'!$B$4134*'07_Мерч'!M4,0)</f>
        <v/>
      </c>
      <c r="N4659">
        <f>IF('01_Вводные'!$B$234="Да",'19_Расчет_аналитики'!N4594*'19_Расчет_аналитики'!$B$4134*'07_Мерч'!N4,0)</f>
        <v/>
      </c>
      <c r="O4659">
        <f>IF('01_Вводные'!$B$234="Да",'19_Расчет_аналитики'!O4594*'19_Расчет_аналитики'!$B$4134*'07_Мерч'!O4,0)</f>
        <v/>
      </c>
      <c r="P4659">
        <f>IF('01_Вводные'!$B$234="Да",'19_Расчет_аналитики'!P4594*'19_Расчет_аналитики'!$B$4134*'07_Мерч'!P4,0)</f>
        <v/>
      </c>
      <c r="Q4659">
        <f>IF('01_Вводные'!$B$234="Да",'19_Расчет_аналитики'!Q4594*'19_Расчет_аналитики'!$B$4134*'07_Мерч'!Q4,0)</f>
        <v/>
      </c>
      <c r="R4659">
        <f>IF('01_Вводные'!$B$234="Да",'19_Расчет_аналитики'!R4594*'19_Расчет_аналитики'!$B$4134*'07_Мерч'!R4,0)</f>
        <v/>
      </c>
      <c r="S4659">
        <f>IF('01_Вводные'!$B$234="Да",'19_Расчет_аналитики'!S4594*'19_Расчет_аналитики'!$B$4134*'07_Мерч'!S4,0)</f>
        <v/>
      </c>
      <c r="T4659">
        <f>IF('01_Вводные'!$B$234="Да",'19_Расчет_аналитики'!T4594*'19_Расчет_аналитики'!$B$4134*'07_Мерч'!T4,0)</f>
        <v/>
      </c>
      <c r="U4659">
        <f>IF('01_Вводные'!$B$234="Да",'19_Расчет_аналитики'!U4594*'19_Расчет_аналитики'!$B$4134*'07_Мерч'!U4,0)</f>
        <v/>
      </c>
      <c r="V4659">
        <f>IF('01_Вводные'!$B$234="Да",'19_Расчет_аналитики'!V4594*'19_Расчет_аналитики'!$B$4134*'07_Мерч'!V4,0)</f>
        <v/>
      </c>
      <c r="W4659">
        <f>IF('01_Вводные'!$B$234="Да",'19_Расчет_аналитики'!W4594*'19_Расчет_аналитики'!$B$4134*'07_Мерч'!W4,0)</f>
        <v/>
      </c>
      <c r="X4659">
        <f>IF('01_Вводные'!$B$234="Да",'19_Расчет_аналитики'!X4594*'19_Расчет_аналитики'!$B$4134*'07_Мерч'!X4,0)</f>
        <v/>
      </c>
      <c r="Y4659">
        <f>IF('01_Вводные'!$B$234="Да",'19_Расчет_аналитики'!Y4594*'19_Расчет_аналитики'!$B$4134*'07_Мерч'!Y4,0)</f>
        <v/>
      </c>
      <c r="Z4659">
        <f>IF('01_Вводные'!$B$234="Да",'19_Расчет_аналитики'!Z4594*'19_Расчет_аналитики'!$B$4134*'07_Мерч'!Z4,0)</f>
        <v/>
      </c>
      <c r="AA4659">
        <f>IF('01_Вводные'!$B$234="Да",'19_Расчет_аналитики'!AA4594*'19_Расчет_аналитики'!$B$4134*'07_Мерч'!AA4,0)</f>
        <v/>
      </c>
      <c r="AB4659">
        <f>IF('01_Вводные'!$B$234="Да",'19_Расчет_аналитики'!AB4594*'19_Расчет_аналитики'!$B$4134*'07_Мерч'!AB4,0)</f>
        <v/>
      </c>
      <c r="AC4659">
        <f>IF('01_Вводные'!$B$234="Да",'19_Расчет_аналитики'!AC4594*'19_Расчет_аналитики'!$B$4134*'07_Мерч'!AC4,0)</f>
        <v/>
      </c>
      <c r="AD4659">
        <f>IF('01_Вводные'!$B$234="Да",'19_Расчет_аналитики'!AD4594*'19_Расчет_аналитики'!$B$4134*'07_Мерч'!AD4,0)</f>
        <v/>
      </c>
      <c r="AE4659">
        <f>IF('01_Вводные'!$B$234="Да",'19_Расчет_аналитики'!AE4594*'19_Расчет_аналитики'!$B$4134*'07_Мерч'!AE4,0)</f>
        <v/>
      </c>
      <c r="AF4659">
        <f>IF('01_Вводные'!$B$234="Да",'19_Расчет_аналитики'!AF4594*'19_Расчет_аналитики'!$B$4134*'07_Мерч'!AF4,0)</f>
        <v/>
      </c>
      <c r="AG4659">
        <f>IF('01_Вводные'!$B$234="Да",'19_Расчет_аналитики'!AG4594*'19_Расчет_аналитики'!$B$4134*'07_Мерч'!AG4,0)</f>
        <v/>
      </c>
      <c r="AH4659">
        <f>IF('01_Вводные'!$B$234="Да",'19_Расчет_аналитики'!AH4594*'19_Расчет_аналитики'!$B$4134*'07_Мерч'!AH4,0)</f>
        <v/>
      </c>
      <c r="AI4659">
        <f>IF('01_Вводные'!$B$234="Да",'19_Расчет_аналитики'!AI4594*'19_Расчет_аналитики'!$B$4134*'07_Мерч'!AI4,0)</f>
        <v/>
      </c>
      <c r="AJ4659">
        <f>IF('01_Вводные'!$B$234="Да",'19_Расчет_аналитики'!AJ4594*'19_Расчет_аналитики'!$B$4134*'07_Мерч'!AJ4,0)</f>
        <v/>
      </c>
      <c r="AK4659">
        <f>IF('01_Вводные'!$B$234="Да",'19_Расчет_аналитики'!AK4594*'19_Расчет_аналитики'!$B$4134*'07_Мерч'!AK4,0)</f>
        <v/>
      </c>
      <c r="AL4659">
        <f>IF('01_Вводные'!$B$234="Да",'19_Расчет_аналитики'!AL4594*'19_Расчет_аналитики'!$B$4134*'07_Мерч'!AL4,0)</f>
        <v/>
      </c>
      <c r="AM4659">
        <f>IF('01_Вводные'!$B$234="Да",'19_Расчет_аналитики'!AM4594*'19_Расчет_аналитики'!$B$4134*'07_Мерч'!AM4,0)</f>
        <v/>
      </c>
      <c r="AN4659">
        <f>IF('01_Вводные'!$B$234="Да",'19_Расчет_аналитики'!AN4594*'19_Расчет_аналитики'!$B$4134*'07_Мерч'!AN4,0)</f>
        <v/>
      </c>
      <c r="AO4659">
        <f>IF('01_Вводные'!$B$234="Да",'19_Расчет_аналитики'!AO4594*'19_Расчет_аналитики'!$B$4134*'07_Мерч'!AO4,0)</f>
        <v/>
      </c>
      <c r="AP4659">
        <f>IF('01_Вводные'!$B$234="Да",'19_Расчет_аналитики'!AP4594*'19_Расчет_аналитики'!$B$4134*'07_Мерч'!AP4,0)</f>
        <v/>
      </c>
      <c r="AQ4659">
        <f>IF('01_Вводные'!$B$234="Да",'19_Расчет_аналитики'!AQ4594*'19_Расчет_аналитики'!$B$4134*'07_Мерч'!AQ4,0)</f>
        <v/>
      </c>
      <c r="AR4659">
        <f>IF('01_Вводные'!$B$234="Да",'19_Расчет_аналитики'!AR4594*'19_Расчет_аналитики'!$B$4134*'07_Мерч'!AR4,0)</f>
        <v/>
      </c>
      <c r="AS4659">
        <f>IF('01_Вводные'!$B$234="Да",'19_Расчет_аналитики'!AS4594*'19_Расчет_аналитики'!$B$4134*'07_Мерч'!AS4,0)</f>
        <v/>
      </c>
      <c r="AT4659">
        <f>IF('01_Вводные'!$B$234="Да",'19_Расчет_аналитики'!AT4594*'19_Расчет_аналитики'!$B$4134*'07_Мерч'!AT4,0)</f>
        <v/>
      </c>
      <c r="AU4659">
        <f>IF('01_Вводные'!$B$234="Да",'19_Расчет_аналитики'!AU4594*'19_Расчет_аналитики'!$B$4134*'07_Мерч'!AU4,0)</f>
        <v/>
      </c>
      <c r="AV4659">
        <f>IF('01_Вводные'!$B$234="Да",'19_Расчет_аналитики'!AV4594*'19_Расчет_аналитики'!$B$4134*'07_Мерч'!AV4,0)</f>
        <v/>
      </c>
      <c r="AW4659">
        <f>IF('01_Вводные'!$B$234="Да",'19_Расчет_аналитики'!AW4594*'19_Расчет_аналитики'!$B$4134*'07_Мерч'!AW4,0)</f>
        <v/>
      </c>
      <c r="AX4659">
        <f>IF('01_Вводные'!$B$234="Да",'19_Расчет_аналитики'!AX4594*'19_Расчет_аналитики'!$B$4134*'07_Мерч'!AX4,0)</f>
        <v/>
      </c>
      <c r="AY4659">
        <f>IF('01_Вводные'!$B$234="Да",'19_Расчет_аналитики'!AY4594*'19_Расчет_аналитики'!$B$4134*'07_Мерч'!AY4,0)</f>
        <v/>
      </c>
      <c r="AZ4659">
        <f>IF('01_Вводные'!$B$234="Да",'19_Расчет_аналитики'!AZ4594*'19_Расчет_аналитики'!$B$4134*'07_Мерч'!AZ4,0)</f>
        <v/>
      </c>
      <c r="BA4659">
        <f>IF('01_Вводные'!$B$234="Да",'19_Расчет_аналитики'!BA4594*'19_Расчет_аналитики'!$B$4134*'07_Мерч'!BA4,0)</f>
        <v/>
      </c>
      <c r="BB4659">
        <f>IF('01_Вводные'!$B$234="Да",'19_Расчет_аналитики'!BB4594*'19_Расчет_аналитики'!$B$4134*'07_Мерч'!BB4,0)</f>
        <v/>
      </c>
      <c r="BC4659">
        <f>IF('01_Вводные'!$B$234="Да",'19_Расчет_аналитики'!BC4594*'19_Расчет_аналитики'!$B$4134*'07_Мерч'!BC4,0)</f>
        <v/>
      </c>
      <c r="BD4659">
        <f>IF('01_Вводные'!$B$234="Да",'19_Расчет_аналитики'!BD4594*'19_Расчет_аналитики'!$B$4134*'07_Мерч'!BD4,0)</f>
        <v/>
      </c>
      <c r="BE4659">
        <f>IF('01_Вводные'!$B$234="Да",'19_Расчет_аналитики'!BE4594*'19_Расчет_аналитики'!$B$4134*'07_Мерч'!BE4,0)</f>
        <v/>
      </c>
      <c r="BF4659">
        <f>IF('01_Вводные'!$B$234="Да",'19_Расчет_аналитики'!BF4594*'19_Расчет_аналитики'!$B$4134*'07_Мерч'!BF4,0)</f>
        <v/>
      </c>
      <c r="BG4659">
        <f>IF('01_Вводные'!$B$234="Да",'19_Расчет_аналитики'!BG4594*'19_Расчет_аналитики'!$B$4134*'07_Мерч'!BG4,0)</f>
        <v/>
      </c>
      <c r="BH4659">
        <f>IF('01_Вводные'!$B$234="Да",'19_Расчет_аналитики'!BH4594*'19_Расчет_аналитики'!$B$4134*'07_Мерч'!BH4,0)</f>
        <v/>
      </c>
      <c r="BI4659">
        <f>IF('01_Вводные'!$B$234="Да",'19_Расчет_аналитики'!BI4594*'19_Расчет_аналитики'!$B$4134*'07_Мерч'!BI4,0)</f>
        <v/>
      </c>
      <c r="BJ4659">
        <f>IF('01_Вводные'!$B$234="Да",'19_Расчет_аналитики'!BJ4594*'19_Расчет_аналитики'!$B$4134*'07_Мерч'!BJ4,0)</f>
        <v/>
      </c>
      <c r="BK4659">
        <f>IF('01_Вводные'!$B$234="Да",'19_Расчет_аналитики'!BK4594*'19_Расчет_аналитики'!$B$4134*'07_Мерч'!BK4,0)</f>
        <v/>
      </c>
      <c r="BL4659">
        <f>IF('01_Вводные'!$B$234="Да",'19_Расчет_аналитики'!BL4594*'19_Расчет_аналитики'!$B$4134*'07_Мерч'!BL4,0)</f>
        <v/>
      </c>
      <c r="BM4659">
        <f>IF('01_Вводные'!$B$234="Да",'19_Расчет_аналитики'!BM4594*'19_Расчет_аналитики'!$B$4134*'07_Мерч'!BM4,0)</f>
        <v/>
      </c>
      <c r="BN4659">
        <f>IF('01_Вводные'!$B$234="Да",'19_Расчет_аналитики'!BN4594*'19_Расчет_аналитики'!$B$4134*'07_Мерч'!BN4,0)</f>
        <v/>
      </c>
      <c r="BO4659">
        <f>IF('01_Вводные'!$B$234="Да",'19_Расчет_аналитики'!BO4594*'19_Расчет_аналитики'!$B$4134*'07_Мерч'!BO4,0)</f>
        <v/>
      </c>
    </row>
    <row r="4660">
      <c r="B4660">
        <f>IF('01_Вводные'!$B$234="Да",SUM('19_Расчет_аналитики'!B4658:B4659)*'18_Календарь_тарифы'!B10,0)</f>
        <v/>
      </c>
      <c r="C4660">
        <f>IF('01_Вводные'!$B$234="Да",SUM('19_Расчет_аналитики'!C4658:C4659)*'18_Календарь_тарифы'!C10,0)</f>
        <v/>
      </c>
      <c r="D4660">
        <f>IF('01_Вводные'!$B$234="Да",SUM('19_Расчет_аналитики'!D4658:D4659)*'18_Календарь_тарифы'!D10,0)</f>
        <v/>
      </c>
      <c r="E4660">
        <f>IF('01_Вводные'!$B$234="Да",SUM('19_Расчет_аналитики'!E4658:E4659)*'18_Календарь_тарифы'!E10,0)</f>
        <v/>
      </c>
      <c r="F4660">
        <f>IF('01_Вводные'!$B$234="Да",SUM('19_Расчет_аналитики'!F4658:F4659)*'18_Календарь_тарифы'!F10,0)</f>
        <v/>
      </c>
      <c r="G4660">
        <f>IF('01_Вводные'!$B$234="Да",SUM('19_Расчет_аналитики'!G4658:G4659)*'18_Календарь_тарифы'!G10,0)</f>
        <v/>
      </c>
      <c r="H4660">
        <f>IF('01_Вводные'!$B$234="Да",SUM('19_Расчет_аналитики'!H4658:H4659)*'18_Календарь_тарифы'!H10,0)</f>
        <v/>
      </c>
      <c r="I4660">
        <f>IF('01_Вводные'!$B$234="Да",SUM('19_Расчет_аналитики'!I4658:I4659)*'18_Календарь_тарифы'!I10,0)</f>
        <v/>
      </c>
      <c r="J4660">
        <f>IF('01_Вводные'!$B$234="Да",SUM('19_Расчет_аналитики'!J4658:J4659)*'18_Календарь_тарифы'!J10,0)</f>
        <v/>
      </c>
      <c r="K4660">
        <f>IF('01_Вводные'!$B$234="Да",SUM('19_Расчет_аналитики'!K4658:K4659)*'18_Календарь_тарифы'!K10,0)</f>
        <v/>
      </c>
      <c r="L4660">
        <f>IF('01_Вводные'!$B$234="Да",SUM('19_Расчет_аналитики'!L4658:L4659)*'18_Календарь_тарифы'!L10,0)</f>
        <v/>
      </c>
      <c r="M4660">
        <f>IF('01_Вводные'!$B$234="Да",SUM('19_Расчет_аналитики'!M4658:M4659)*'18_Календарь_тарифы'!M10,0)</f>
        <v/>
      </c>
      <c r="N4660">
        <f>IF('01_Вводные'!$B$234="Да",SUM('19_Расчет_аналитики'!N4658:N4659)*'18_Календарь_тарифы'!N10,0)</f>
        <v/>
      </c>
      <c r="O4660">
        <f>IF('01_Вводные'!$B$234="Да",SUM('19_Расчет_аналитики'!O4658:O4659)*'18_Календарь_тарифы'!O10,0)</f>
        <v/>
      </c>
      <c r="P4660">
        <f>IF('01_Вводные'!$B$234="Да",SUM('19_Расчет_аналитики'!P4658:P4659)*'18_Календарь_тарифы'!P10,0)</f>
        <v/>
      </c>
      <c r="Q4660">
        <f>IF('01_Вводные'!$B$234="Да",SUM('19_Расчет_аналитики'!Q4658:Q4659)*'18_Календарь_тарифы'!Q10,0)</f>
        <v/>
      </c>
      <c r="R4660">
        <f>IF('01_Вводные'!$B$234="Да",SUM('19_Расчет_аналитики'!R4658:R4659)*'18_Календарь_тарифы'!R10,0)</f>
        <v/>
      </c>
      <c r="S4660">
        <f>IF('01_Вводные'!$B$234="Да",SUM('19_Расчет_аналитики'!S4658:S4659)*'18_Календарь_тарифы'!S10,0)</f>
        <v/>
      </c>
      <c r="T4660">
        <f>IF('01_Вводные'!$B$234="Да",SUM('19_Расчет_аналитики'!T4658:T4659)*'18_Календарь_тарифы'!T10,0)</f>
        <v/>
      </c>
      <c r="U4660">
        <f>IF('01_Вводные'!$B$234="Да",SUM('19_Расчет_аналитики'!U4658:U4659)*'18_Календарь_тарифы'!U10,0)</f>
        <v/>
      </c>
      <c r="V4660">
        <f>IF('01_Вводные'!$B$234="Да",SUM('19_Расчет_аналитики'!V4658:V4659)*'18_Календарь_тарифы'!V10,0)</f>
        <v/>
      </c>
      <c r="W4660">
        <f>IF('01_Вводные'!$B$234="Да",SUM('19_Расчет_аналитики'!W4658:W4659)*'18_Календарь_тарифы'!W10,0)</f>
        <v/>
      </c>
      <c r="X4660">
        <f>IF('01_Вводные'!$B$234="Да",SUM('19_Расчет_аналитики'!X4658:X4659)*'18_Календарь_тарифы'!X10,0)</f>
        <v/>
      </c>
      <c r="Y4660">
        <f>IF('01_Вводные'!$B$234="Да",SUM('19_Расчет_аналитики'!Y4658:Y4659)*'18_Календарь_тарифы'!Y10,0)</f>
        <v/>
      </c>
      <c r="Z4660">
        <f>IF('01_Вводные'!$B$234="Да",SUM('19_Расчет_аналитики'!Z4658:Z4659)*'18_Календарь_тарифы'!Z10,0)</f>
        <v/>
      </c>
      <c r="AA4660">
        <f>IF('01_Вводные'!$B$234="Да",SUM('19_Расчет_аналитики'!AA4658:AA4659)*'18_Календарь_тарифы'!AA10,0)</f>
        <v/>
      </c>
      <c r="AB4660">
        <f>IF('01_Вводные'!$B$234="Да",SUM('19_Расчет_аналитики'!AB4658:AB4659)*'18_Календарь_тарифы'!AB10,0)</f>
        <v/>
      </c>
      <c r="AC4660">
        <f>IF('01_Вводные'!$B$234="Да",SUM('19_Расчет_аналитики'!AC4658:AC4659)*'18_Календарь_тарифы'!AC10,0)</f>
        <v/>
      </c>
      <c r="AD4660">
        <f>IF('01_Вводные'!$B$234="Да",SUM('19_Расчет_аналитики'!AD4658:AD4659)*'18_Календарь_тарифы'!AD10,0)</f>
        <v/>
      </c>
      <c r="AE4660">
        <f>IF('01_Вводные'!$B$234="Да",SUM('19_Расчет_аналитики'!AE4658:AE4659)*'18_Календарь_тарифы'!AE10,0)</f>
        <v/>
      </c>
      <c r="AF4660">
        <f>IF('01_Вводные'!$B$234="Да",SUM('19_Расчет_аналитики'!AF4658:AF4659)*'18_Календарь_тарифы'!AF10,0)</f>
        <v/>
      </c>
      <c r="AG4660">
        <f>IF('01_Вводные'!$B$234="Да",SUM('19_Расчет_аналитики'!AG4658:AG4659)*'18_Календарь_тарифы'!AG10,0)</f>
        <v/>
      </c>
      <c r="AH4660">
        <f>IF('01_Вводные'!$B$234="Да",SUM('19_Расчет_аналитики'!AH4658:AH4659)*'18_Календарь_тарифы'!AH10,0)</f>
        <v/>
      </c>
      <c r="AI4660">
        <f>IF('01_Вводные'!$B$234="Да",SUM('19_Расчет_аналитики'!AI4658:AI4659)*'18_Календарь_тарифы'!AI10,0)</f>
        <v/>
      </c>
      <c r="AJ4660">
        <f>IF('01_Вводные'!$B$234="Да",SUM('19_Расчет_аналитики'!AJ4658:AJ4659)*'18_Календарь_тарифы'!AJ10,0)</f>
        <v/>
      </c>
      <c r="AK4660">
        <f>IF('01_Вводные'!$B$234="Да",SUM('19_Расчет_аналитики'!AK4658:AK4659)*'18_Календарь_тарифы'!AK10,0)</f>
        <v/>
      </c>
      <c r="AL4660">
        <f>IF('01_Вводные'!$B$234="Да",SUM('19_Расчет_аналитики'!AL4658:AL4659)*'18_Календарь_тарифы'!AL10,0)</f>
        <v/>
      </c>
      <c r="AM4660">
        <f>IF('01_Вводные'!$B$234="Да",SUM('19_Расчет_аналитики'!AM4658:AM4659)*'18_Календарь_тарифы'!AM10,0)</f>
        <v/>
      </c>
      <c r="AN4660">
        <f>IF('01_Вводные'!$B$234="Да",SUM('19_Расчет_аналитики'!AN4658:AN4659)*'18_Календарь_тарифы'!AN10,0)</f>
        <v/>
      </c>
      <c r="AO4660">
        <f>IF('01_Вводные'!$B$234="Да",SUM('19_Расчет_аналитики'!AO4658:AO4659)*'18_Календарь_тарифы'!AO10,0)</f>
        <v/>
      </c>
      <c r="AP4660">
        <f>IF('01_Вводные'!$B$234="Да",SUM('19_Расчет_аналитики'!AP4658:AP4659)*'18_Календарь_тарифы'!AP10,0)</f>
        <v/>
      </c>
      <c r="AQ4660">
        <f>IF('01_Вводные'!$B$234="Да",SUM('19_Расчет_аналитики'!AQ4658:AQ4659)*'18_Календарь_тарифы'!AQ10,0)</f>
        <v/>
      </c>
      <c r="AR4660">
        <f>IF('01_Вводные'!$B$234="Да",SUM('19_Расчет_аналитики'!AR4658:AR4659)*'18_Календарь_тарифы'!AR10,0)</f>
        <v/>
      </c>
      <c r="AS4660">
        <f>IF('01_Вводные'!$B$234="Да",SUM('19_Расчет_аналитики'!AS4658:AS4659)*'18_Календарь_тарифы'!AS10,0)</f>
        <v/>
      </c>
      <c r="AT4660">
        <f>IF('01_Вводные'!$B$234="Да",SUM('19_Расчет_аналитики'!AT4658:AT4659)*'18_Календарь_тарифы'!AT10,0)</f>
        <v/>
      </c>
      <c r="AU4660">
        <f>IF('01_Вводные'!$B$234="Да",SUM('19_Расчет_аналитики'!AU4658:AU4659)*'18_Календарь_тарифы'!AU10,0)</f>
        <v/>
      </c>
      <c r="AV4660">
        <f>IF('01_Вводные'!$B$234="Да",SUM('19_Расчет_аналитики'!AV4658:AV4659)*'18_Календарь_тарифы'!AV10,0)</f>
        <v/>
      </c>
      <c r="AW4660">
        <f>IF('01_Вводные'!$B$234="Да",SUM('19_Расчет_аналитики'!AW4658:AW4659)*'18_Календарь_тарифы'!AW10,0)</f>
        <v/>
      </c>
      <c r="AX4660">
        <f>IF('01_Вводные'!$B$234="Да",SUM('19_Расчет_аналитики'!AX4658:AX4659)*'18_Календарь_тарифы'!AX10,0)</f>
        <v/>
      </c>
      <c r="AY4660">
        <f>IF('01_Вводные'!$B$234="Да",SUM('19_Расчет_аналитики'!AY4658:AY4659)*'18_Календарь_тарифы'!AY10,0)</f>
        <v/>
      </c>
      <c r="AZ4660">
        <f>IF('01_Вводные'!$B$234="Да",SUM('19_Расчет_аналитики'!AZ4658:AZ4659)*'18_Календарь_тарифы'!AZ10,0)</f>
        <v/>
      </c>
      <c r="BA4660">
        <f>IF('01_Вводные'!$B$234="Да",SUM('19_Расчет_аналитики'!BA4658:BA4659)*'18_Календарь_тарифы'!BA10,0)</f>
        <v/>
      </c>
      <c r="BB4660">
        <f>IF('01_Вводные'!$B$234="Да",SUM('19_Расчет_аналитики'!BB4658:BB4659)*'18_Календарь_тарифы'!BB10,0)</f>
        <v/>
      </c>
      <c r="BC4660">
        <f>IF('01_Вводные'!$B$234="Да",SUM('19_Расчет_аналитики'!BC4658:BC4659)*'18_Календарь_тарифы'!BC10,0)</f>
        <v/>
      </c>
      <c r="BD4660">
        <f>IF('01_Вводные'!$B$234="Да",SUM('19_Расчет_аналитики'!BD4658:BD4659)*'18_Календарь_тарифы'!BD10,0)</f>
        <v/>
      </c>
      <c r="BE4660">
        <f>IF('01_Вводные'!$B$234="Да",SUM('19_Расчет_аналитики'!BE4658:BE4659)*'18_Календарь_тарифы'!BE10,0)</f>
        <v/>
      </c>
      <c r="BF4660">
        <f>IF('01_Вводные'!$B$234="Да",SUM('19_Расчет_аналитики'!BF4658:BF4659)*'18_Календарь_тарифы'!BF10,0)</f>
        <v/>
      </c>
      <c r="BG4660">
        <f>IF('01_Вводные'!$B$234="Да",SUM('19_Расчет_аналитики'!BG4658:BG4659)*'18_Календарь_тарифы'!BG10,0)</f>
        <v/>
      </c>
      <c r="BH4660">
        <f>IF('01_Вводные'!$B$234="Да",SUM('19_Расчет_аналитики'!BH4658:BH4659)*'18_Календарь_тарифы'!BH10,0)</f>
        <v/>
      </c>
      <c r="BI4660">
        <f>IF('01_Вводные'!$B$234="Да",SUM('19_Расчет_аналитики'!BI4658:BI4659)*'18_Календарь_тарифы'!BI10,0)</f>
        <v/>
      </c>
      <c r="BJ4660">
        <f>IF('01_Вводные'!$B$234="Да",SUM('19_Расчет_аналитики'!BJ4658:BJ4659)*'18_Календарь_тарифы'!BJ10,0)</f>
        <v/>
      </c>
      <c r="BK4660">
        <f>IF('01_Вводные'!$B$234="Да",SUM('19_Расчет_аналитики'!BK4658:BK4659)*'18_Календарь_тарифы'!BK10,0)</f>
        <v/>
      </c>
      <c r="BL4660">
        <f>IF('01_Вводные'!$B$234="Да",SUM('19_Расчет_аналитики'!BL4658:BL4659)*'18_Календарь_тарифы'!BL10,0)</f>
        <v/>
      </c>
      <c r="BM4660">
        <f>IF('01_Вводные'!$B$234="Да",SUM('19_Расчет_аналитики'!BM4658:BM4659)*'18_Календарь_тарифы'!BM10,0)</f>
        <v/>
      </c>
      <c r="BN4660">
        <f>IF('01_Вводные'!$B$234="Да",SUM('19_Расчет_аналитики'!BN4658:BN4659)*'18_Календарь_тарифы'!BN10,0)</f>
        <v/>
      </c>
      <c r="BO4660">
        <f>IF('01_Вводные'!$B$234="Да",SUM('19_Расчет_аналитики'!BO4658:BO4659)*'18_Календарь_тарифы'!BO10,0)</f>
        <v/>
      </c>
    </row>
    <row r="4661">
      <c r="B4661">
        <f>IF('01_Вводные'!$B$234="Да",SUM('19_Расчет_аналитики'!B4658:B4659)*'18_Календарь_тарифы'!B9,0)</f>
        <v/>
      </c>
      <c r="C4661">
        <f>IF('01_Вводные'!$B$234="Да",SUM('19_Расчет_аналитики'!C4658:C4659)*'18_Календарь_тарифы'!C9,0)</f>
        <v/>
      </c>
      <c r="D4661">
        <f>IF('01_Вводные'!$B$234="Да",SUM('19_Расчет_аналитики'!D4658:D4659)*'18_Календарь_тарифы'!D9,0)</f>
        <v/>
      </c>
      <c r="E4661">
        <f>IF('01_Вводные'!$B$234="Да",SUM('19_Расчет_аналитики'!E4658:E4659)*'18_Календарь_тарифы'!E9,0)</f>
        <v/>
      </c>
      <c r="F4661">
        <f>IF('01_Вводные'!$B$234="Да",SUM('19_Расчет_аналитики'!F4658:F4659)*'18_Календарь_тарифы'!F9,0)</f>
        <v/>
      </c>
      <c r="G4661">
        <f>IF('01_Вводные'!$B$234="Да",SUM('19_Расчет_аналитики'!G4658:G4659)*'18_Календарь_тарифы'!G9,0)</f>
        <v/>
      </c>
      <c r="H4661">
        <f>IF('01_Вводные'!$B$234="Да",SUM('19_Расчет_аналитики'!H4658:H4659)*'18_Календарь_тарифы'!H9,0)</f>
        <v/>
      </c>
      <c r="I4661">
        <f>IF('01_Вводные'!$B$234="Да",SUM('19_Расчет_аналитики'!I4658:I4659)*'18_Календарь_тарифы'!I9,0)</f>
        <v/>
      </c>
      <c r="J4661">
        <f>IF('01_Вводные'!$B$234="Да",SUM('19_Расчет_аналитики'!J4658:J4659)*'18_Календарь_тарифы'!J9,0)</f>
        <v/>
      </c>
      <c r="K4661">
        <f>IF('01_Вводные'!$B$234="Да",SUM('19_Расчет_аналитики'!K4658:K4659)*'18_Календарь_тарифы'!K9,0)</f>
        <v/>
      </c>
      <c r="L4661">
        <f>IF('01_Вводные'!$B$234="Да",SUM('19_Расчет_аналитики'!L4658:L4659)*'18_Календарь_тарифы'!L9,0)</f>
        <v/>
      </c>
      <c r="M4661">
        <f>IF('01_Вводные'!$B$234="Да",SUM('19_Расчет_аналитики'!M4658:M4659)*'18_Календарь_тарифы'!M9,0)</f>
        <v/>
      </c>
      <c r="N4661">
        <f>IF('01_Вводные'!$B$234="Да",SUM('19_Расчет_аналитики'!N4658:N4659)*'18_Календарь_тарифы'!N9,0)</f>
        <v/>
      </c>
      <c r="O4661">
        <f>IF('01_Вводные'!$B$234="Да",SUM('19_Расчет_аналитики'!O4658:O4659)*'18_Календарь_тарифы'!O9,0)</f>
        <v/>
      </c>
      <c r="P4661">
        <f>IF('01_Вводные'!$B$234="Да",SUM('19_Расчет_аналитики'!P4658:P4659)*'18_Календарь_тарифы'!P9,0)</f>
        <v/>
      </c>
      <c r="Q4661">
        <f>IF('01_Вводные'!$B$234="Да",SUM('19_Расчет_аналитики'!Q4658:Q4659)*'18_Календарь_тарифы'!Q9,0)</f>
        <v/>
      </c>
      <c r="R4661">
        <f>IF('01_Вводные'!$B$234="Да",SUM('19_Расчет_аналитики'!R4658:R4659)*'18_Календарь_тарифы'!R9,0)</f>
        <v/>
      </c>
      <c r="S4661">
        <f>IF('01_Вводные'!$B$234="Да",SUM('19_Расчет_аналитики'!S4658:S4659)*'18_Календарь_тарифы'!S9,0)</f>
        <v/>
      </c>
      <c r="T4661">
        <f>IF('01_Вводные'!$B$234="Да",SUM('19_Расчет_аналитики'!T4658:T4659)*'18_Календарь_тарифы'!T9,0)</f>
        <v/>
      </c>
      <c r="U4661">
        <f>IF('01_Вводные'!$B$234="Да",SUM('19_Расчет_аналитики'!U4658:U4659)*'18_Календарь_тарифы'!U9,0)</f>
        <v/>
      </c>
      <c r="V4661">
        <f>IF('01_Вводные'!$B$234="Да",SUM('19_Расчет_аналитики'!V4658:V4659)*'18_Календарь_тарифы'!V9,0)</f>
        <v/>
      </c>
      <c r="W4661">
        <f>IF('01_Вводные'!$B$234="Да",SUM('19_Расчет_аналитики'!W4658:W4659)*'18_Календарь_тарифы'!W9,0)</f>
        <v/>
      </c>
      <c r="X4661">
        <f>IF('01_Вводные'!$B$234="Да",SUM('19_Расчет_аналитики'!X4658:X4659)*'18_Календарь_тарифы'!X9,0)</f>
        <v/>
      </c>
      <c r="Y4661">
        <f>IF('01_Вводные'!$B$234="Да",SUM('19_Расчет_аналитики'!Y4658:Y4659)*'18_Календарь_тарифы'!Y9,0)</f>
        <v/>
      </c>
      <c r="Z4661">
        <f>IF('01_Вводные'!$B$234="Да",SUM('19_Расчет_аналитики'!Z4658:Z4659)*'18_Календарь_тарифы'!Z9,0)</f>
        <v/>
      </c>
      <c r="AA4661">
        <f>IF('01_Вводные'!$B$234="Да",SUM('19_Расчет_аналитики'!AA4658:AA4659)*'18_Календарь_тарифы'!AA9,0)</f>
        <v/>
      </c>
      <c r="AB4661">
        <f>IF('01_Вводные'!$B$234="Да",SUM('19_Расчет_аналитики'!AB4658:AB4659)*'18_Календарь_тарифы'!AB9,0)</f>
        <v/>
      </c>
      <c r="AC4661">
        <f>IF('01_Вводные'!$B$234="Да",SUM('19_Расчет_аналитики'!AC4658:AC4659)*'18_Календарь_тарифы'!AC9,0)</f>
        <v/>
      </c>
      <c r="AD4661">
        <f>IF('01_Вводные'!$B$234="Да",SUM('19_Расчет_аналитики'!AD4658:AD4659)*'18_Календарь_тарифы'!AD9,0)</f>
        <v/>
      </c>
      <c r="AE4661">
        <f>IF('01_Вводные'!$B$234="Да",SUM('19_Расчет_аналитики'!AE4658:AE4659)*'18_Календарь_тарифы'!AE9,0)</f>
        <v/>
      </c>
      <c r="AF4661">
        <f>IF('01_Вводные'!$B$234="Да",SUM('19_Расчет_аналитики'!AF4658:AF4659)*'18_Календарь_тарифы'!AF9,0)</f>
        <v/>
      </c>
      <c r="AG4661">
        <f>IF('01_Вводные'!$B$234="Да",SUM('19_Расчет_аналитики'!AG4658:AG4659)*'18_Календарь_тарифы'!AG9,0)</f>
        <v/>
      </c>
      <c r="AH4661">
        <f>IF('01_Вводные'!$B$234="Да",SUM('19_Расчет_аналитики'!AH4658:AH4659)*'18_Календарь_тарифы'!AH9,0)</f>
        <v/>
      </c>
      <c r="AI4661">
        <f>IF('01_Вводные'!$B$234="Да",SUM('19_Расчет_аналитики'!AI4658:AI4659)*'18_Календарь_тарифы'!AI9,0)</f>
        <v/>
      </c>
      <c r="AJ4661">
        <f>IF('01_Вводные'!$B$234="Да",SUM('19_Расчет_аналитики'!AJ4658:AJ4659)*'18_Календарь_тарифы'!AJ9,0)</f>
        <v/>
      </c>
      <c r="AK4661">
        <f>IF('01_Вводные'!$B$234="Да",SUM('19_Расчет_аналитики'!AK4658:AK4659)*'18_Календарь_тарифы'!AK9,0)</f>
        <v/>
      </c>
      <c r="AL4661">
        <f>IF('01_Вводные'!$B$234="Да",SUM('19_Расчет_аналитики'!AL4658:AL4659)*'18_Календарь_тарифы'!AL9,0)</f>
        <v/>
      </c>
      <c r="AM4661">
        <f>IF('01_Вводные'!$B$234="Да",SUM('19_Расчет_аналитики'!AM4658:AM4659)*'18_Календарь_тарифы'!AM9,0)</f>
        <v/>
      </c>
      <c r="AN4661">
        <f>IF('01_Вводные'!$B$234="Да",SUM('19_Расчет_аналитики'!AN4658:AN4659)*'18_Календарь_тарифы'!AN9,0)</f>
        <v/>
      </c>
      <c r="AO4661">
        <f>IF('01_Вводные'!$B$234="Да",SUM('19_Расчет_аналитики'!AO4658:AO4659)*'18_Календарь_тарифы'!AO9,0)</f>
        <v/>
      </c>
      <c r="AP4661">
        <f>IF('01_Вводные'!$B$234="Да",SUM('19_Расчет_аналитики'!AP4658:AP4659)*'18_Календарь_тарифы'!AP9,0)</f>
        <v/>
      </c>
      <c r="AQ4661">
        <f>IF('01_Вводные'!$B$234="Да",SUM('19_Расчет_аналитики'!AQ4658:AQ4659)*'18_Календарь_тарифы'!AQ9,0)</f>
        <v/>
      </c>
      <c r="AR4661">
        <f>IF('01_Вводные'!$B$234="Да",SUM('19_Расчет_аналитики'!AR4658:AR4659)*'18_Календарь_тарифы'!AR9,0)</f>
        <v/>
      </c>
      <c r="AS4661">
        <f>IF('01_Вводные'!$B$234="Да",SUM('19_Расчет_аналитики'!AS4658:AS4659)*'18_Календарь_тарифы'!AS9,0)</f>
        <v/>
      </c>
      <c r="AT4661">
        <f>IF('01_Вводные'!$B$234="Да",SUM('19_Расчет_аналитики'!AT4658:AT4659)*'18_Календарь_тарифы'!AT9,0)</f>
        <v/>
      </c>
      <c r="AU4661">
        <f>IF('01_Вводные'!$B$234="Да",SUM('19_Расчет_аналитики'!AU4658:AU4659)*'18_Календарь_тарифы'!AU9,0)</f>
        <v/>
      </c>
      <c r="AV4661">
        <f>IF('01_Вводные'!$B$234="Да",SUM('19_Расчет_аналитики'!AV4658:AV4659)*'18_Календарь_тарифы'!AV9,0)</f>
        <v/>
      </c>
      <c r="AW4661">
        <f>IF('01_Вводные'!$B$234="Да",SUM('19_Расчет_аналитики'!AW4658:AW4659)*'18_Календарь_тарифы'!AW9,0)</f>
        <v/>
      </c>
      <c r="AX4661">
        <f>IF('01_Вводные'!$B$234="Да",SUM('19_Расчет_аналитики'!AX4658:AX4659)*'18_Календарь_тарифы'!AX9,0)</f>
        <v/>
      </c>
      <c r="AY4661">
        <f>IF('01_Вводные'!$B$234="Да",SUM('19_Расчет_аналитики'!AY4658:AY4659)*'18_Календарь_тарифы'!AY9,0)</f>
        <v/>
      </c>
      <c r="AZ4661">
        <f>IF('01_Вводные'!$B$234="Да",SUM('19_Расчет_аналитики'!AZ4658:AZ4659)*'18_Календарь_тарифы'!AZ9,0)</f>
        <v/>
      </c>
      <c r="BA4661">
        <f>IF('01_Вводные'!$B$234="Да",SUM('19_Расчет_аналитики'!BA4658:BA4659)*'18_Календарь_тарифы'!BA9,0)</f>
        <v/>
      </c>
      <c r="BB4661">
        <f>IF('01_Вводные'!$B$234="Да",SUM('19_Расчет_аналитики'!BB4658:BB4659)*'18_Календарь_тарифы'!BB9,0)</f>
        <v/>
      </c>
      <c r="BC4661">
        <f>IF('01_Вводные'!$B$234="Да",SUM('19_Расчет_аналитики'!BC4658:BC4659)*'18_Календарь_тарифы'!BC9,0)</f>
        <v/>
      </c>
      <c r="BD4661">
        <f>IF('01_Вводные'!$B$234="Да",SUM('19_Расчет_аналитики'!BD4658:BD4659)*'18_Календарь_тарифы'!BD9,0)</f>
        <v/>
      </c>
      <c r="BE4661">
        <f>IF('01_Вводные'!$B$234="Да",SUM('19_Расчет_аналитики'!BE4658:BE4659)*'18_Календарь_тарифы'!BE9,0)</f>
        <v/>
      </c>
      <c r="BF4661">
        <f>IF('01_Вводные'!$B$234="Да",SUM('19_Расчет_аналитики'!BF4658:BF4659)*'18_Календарь_тарифы'!BF9,0)</f>
        <v/>
      </c>
      <c r="BG4661">
        <f>IF('01_Вводные'!$B$234="Да",SUM('19_Расчет_аналитики'!BG4658:BG4659)*'18_Календарь_тарифы'!BG9,0)</f>
        <v/>
      </c>
      <c r="BH4661">
        <f>IF('01_Вводные'!$B$234="Да",SUM('19_Расчет_аналитики'!BH4658:BH4659)*'18_Календарь_тарифы'!BH9,0)</f>
        <v/>
      </c>
      <c r="BI4661">
        <f>IF('01_Вводные'!$B$234="Да",SUM('19_Расчет_аналитики'!BI4658:BI4659)*'18_Календарь_тарифы'!BI9,0)</f>
        <v/>
      </c>
      <c r="BJ4661">
        <f>IF('01_Вводные'!$B$234="Да",SUM('19_Расчет_аналитики'!BJ4658:BJ4659)*'18_Календарь_тарифы'!BJ9,0)</f>
        <v/>
      </c>
      <c r="BK4661">
        <f>IF('01_Вводные'!$B$234="Да",SUM('19_Расчет_аналитики'!BK4658:BK4659)*'18_Календарь_тарифы'!BK9,0)</f>
        <v/>
      </c>
      <c r="BL4661">
        <f>IF('01_Вводные'!$B$234="Да",SUM('19_Расчет_аналитики'!BL4658:BL4659)*'18_Календарь_тарифы'!BL9,0)</f>
        <v/>
      </c>
      <c r="BM4661">
        <f>IF('01_Вводные'!$B$234="Да",SUM('19_Расчет_аналитики'!BM4658:BM4659)*'18_Календарь_тарифы'!BM9,0)</f>
        <v/>
      </c>
      <c r="BN4661">
        <f>IF('01_Вводные'!$B$234="Да",SUM('19_Расчет_аналитики'!BN4658:BN4659)*'18_Календарь_тарифы'!BN9,0)</f>
        <v/>
      </c>
      <c r="BO4661">
        <f>IF('01_Вводные'!$B$234="Да",SUM('19_Расчет_аналитики'!BO4658:BO4659)*'18_Календарь_тарифы'!BO9,0)</f>
        <v/>
      </c>
    </row>
    <row r="4662"/>
    <row r="4663">
      <c r="B4663">
        <f>IF('01_Вводные'!$B$234="Да",'07_Мерч'!B6+'19_Расчет_аналитики'!B4660,0)</f>
        <v/>
      </c>
      <c r="C4663">
        <f>IF('01_Вводные'!$B$234="Да",'07_Мерч'!C6+'19_Расчет_аналитики'!C4660,0)</f>
        <v/>
      </c>
      <c r="D4663">
        <f>IF('01_Вводные'!$B$234="Да",'07_Мерч'!D6+'19_Расчет_аналитики'!D4660,0)</f>
        <v/>
      </c>
      <c r="E4663">
        <f>IF('01_Вводные'!$B$234="Да",'07_Мерч'!E6+'19_Расчет_аналитики'!E4660,0)</f>
        <v/>
      </c>
      <c r="F4663">
        <f>IF('01_Вводные'!$B$234="Да",'19_Расчет_аналитики'!F4655+'19_Расчет_аналитики'!F4660,0)</f>
        <v/>
      </c>
      <c r="G4663">
        <f>IF('01_Вводные'!$B$234="Да",'19_Расчет_аналитики'!G4655+'19_Расчет_аналитики'!G4660,0)</f>
        <v/>
      </c>
      <c r="H4663">
        <f>IF('01_Вводные'!$B$234="Да",'19_Расчет_аналитики'!H4655+'19_Расчет_аналитики'!H4660,0)</f>
        <v/>
      </c>
      <c r="I4663">
        <f>IF('01_Вводные'!$B$234="Да",'19_Расчет_аналитики'!I4655+'19_Расчет_аналитики'!I4660,0)</f>
        <v/>
      </c>
      <c r="J4663">
        <f>IF('01_Вводные'!$B$234="Да",'19_Расчет_аналитики'!J4655+'19_Расчет_аналитики'!J4660,0)</f>
        <v/>
      </c>
      <c r="K4663">
        <f>IF('01_Вводные'!$B$234="Да",'19_Расчет_аналитики'!K4655+'19_Расчет_аналитики'!K4660,0)</f>
        <v/>
      </c>
      <c r="L4663">
        <f>IF('01_Вводные'!$B$234="Да",'19_Расчет_аналитики'!L4655+'19_Расчет_аналитики'!L4660,0)</f>
        <v/>
      </c>
      <c r="M4663">
        <f>IF('01_Вводные'!$B$234="Да",'19_Расчет_аналитики'!M4655+'19_Расчет_аналитики'!M4660,0)</f>
        <v/>
      </c>
      <c r="N4663">
        <f>IF('01_Вводные'!$B$234="Да",'19_Расчет_аналитики'!N4655+'19_Расчет_аналитики'!N4660,0)</f>
        <v/>
      </c>
      <c r="O4663">
        <f>IF('01_Вводные'!$B$234="Да",'19_Расчет_аналитики'!O4655+'19_Расчет_аналитики'!O4660,0)</f>
        <v/>
      </c>
      <c r="P4663">
        <f>IF('01_Вводные'!$B$234="Да",'19_Расчет_аналитики'!P4655+'19_Расчет_аналитики'!P4660,0)</f>
        <v/>
      </c>
      <c r="Q4663">
        <f>IF('01_Вводные'!$B$234="Да",'19_Расчет_аналитики'!Q4655+'19_Расчет_аналитики'!Q4660,0)</f>
        <v/>
      </c>
      <c r="R4663">
        <f>IF('01_Вводные'!$B$234="Да",'19_Расчет_аналитики'!R4655+'19_Расчет_аналитики'!R4660,0)</f>
        <v/>
      </c>
      <c r="S4663">
        <f>IF('01_Вводные'!$B$234="Да",'19_Расчет_аналитики'!S4655+'19_Расчет_аналитики'!S4660,0)</f>
        <v/>
      </c>
      <c r="T4663">
        <f>IF('01_Вводные'!$B$234="Да",'19_Расчет_аналитики'!T4655+'19_Расчет_аналитики'!T4660,0)</f>
        <v/>
      </c>
      <c r="U4663">
        <f>IF('01_Вводные'!$B$234="Да",'19_Расчет_аналитики'!U4655+'19_Расчет_аналитики'!U4660,0)</f>
        <v/>
      </c>
      <c r="V4663">
        <f>IF('01_Вводные'!$B$234="Да",'19_Расчет_аналитики'!V4655+'19_Расчет_аналитики'!V4660,0)</f>
        <v/>
      </c>
      <c r="W4663">
        <f>IF('01_Вводные'!$B$234="Да",'19_Расчет_аналитики'!W4655+'19_Расчет_аналитики'!W4660,0)</f>
        <v/>
      </c>
      <c r="X4663">
        <f>IF('01_Вводные'!$B$234="Да",'19_Расчет_аналитики'!X4655+'19_Расчет_аналитики'!X4660,0)</f>
        <v/>
      </c>
      <c r="Y4663">
        <f>IF('01_Вводные'!$B$234="Да",'19_Расчет_аналитики'!Y4655+'19_Расчет_аналитики'!Y4660,0)</f>
        <v/>
      </c>
      <c r="Z4663">
        <f>IF('01_Вводные'!$B$234="Да",'19_Расчет_аналитики'!Z4655+'19_Расчет_аналитики'!Z4660,0)</f>
        <v/>
      </c>
      <c r="AA4663">
        <f>IF('01_Вводные'!$B$234="Да",'19_Расчет_аналитики'!AA4655+'19_Расчет_аналитики'!AA4660,0)</f>
        <v/>
      </c>
      <c r="AB4663">
        <f>IF('01_Вводные'!$B$234="Да",'19_Расчет_аналитики'!AB4655+'19_Расчет_аналитики'!AB4660,0)</f>
        <v/>
      </c>
      <c r="AC4663">
        <f>IF('01_Вводные'!$B$234="Да",'19_Расчет_аналитики'!AC4655+'19_Расчет_аналитики'!AC4660,0)</f>
        <v/>
      </c>
      <c r="AD4663">
        <f>IF('01_Вводные'!$B$234="Да",'19_Расчет_аналитики'!AD4655+'19_Расчет_аналитики'!AD4660,0)</f>
        <v/>
      </c>
      <c r="AE4663">
        <f>IF('01_Вводные'!$B$234="Да",'19_Расчет_аналитики'!AE4655+'19_Расчет_аналитики'!AE4660,0)</f>
        <v/>
      </c>
      <c r="AF4663">
        <f>IF('01_Вводные'!$B$234="Да",'19_Расчет_аналитики'!AF4655+'19_Расчет_аналитики'!AF4660,0)</f>
        <v/>
      </c>
      <c r="AG4663">
        <f>IF('01_Вводные'!$B$234="Да",'19_Расчет_аналитики'!AG4655+'19_Расчет_аналитики'!AG4660,0)</f>
        <v/>
      </c>
      <c r="AH4663">
        <f>IF('01_Вводные'!$B$234="Да",'19_Расчет_аналитики'!AH4655+'19_Расчет_аналитики'!AH4660,0)</f>
        <v/>
      </c>
      <c r="AI4663">
        <f>IF('01_Вводные'!$B$234="Да",'19_Расчет_аналитики'!AI4655+'19_Расчет_аналитики'!AI4660,0)</f>
        <v/>
      </c>
      <c r="AJ4663">
        <f>IF('01_Вводные'!$B$234="Да",'19_Расчет_аналитики'!AJ4655+'19_Расчет_аналитики'!AJ4660,0)</f>
        <v/>
      </c>
      <c r="AK4663">
        <f>IF('01_Вводные'!$B$234="Да",'19_Расчет_аналитики'!AK4655+'19_Расчет_аналитики'!AK4660,0)</f>
        <v/>
      </c>
      <c r="AL4663">
        <f>IF('01_Вводные'!$B$234="Да",'19_Расчет_аналитики'!AL4655+'19_Расчет_аналитики'!AL4660,0)</f>
        <v/>
      </c>
      <c r="AM4663">
        <f>IF('01_Вводные'!$B$234="Да",'19_Расчет_аналитики'!AM4655+'19_Расчет_аналитики'!AM4660,0)</f>
        <v/>
      </c>
      <c r="AN4663">
        <f>IF('01_Вводные'!$B$234="Да",'19_Расчет_аналитики'!AN4655+'19_Расчет_аналитики'!AN4660,0)</f>
        <v/>
      </c>
      <c r="AO4663">
        <f>IF('01_Вводные'!$B$234="Да",'19_Расчет_аналитики'!AO4655+'19_Расчет_аналитики'!AO4660,0)</f>
        <v/>
      </c>
      <c r="AP4663">
        <f>IF('01_Вводные'!$B$234="Да",'19_Расчет_аналитики'!AP4655+'19_Расчет_аналитики'!AP4660,0)</f>
        <v/>
      </c>
      <c r="AQ4663">
        <f>IF('01_Вводные'!$B$234="Да",'19_Расчет_аналитики'!AQ4655+'19_Расчет_аналитики'!AQ4660,0)</f>
        <v/>
      </c>
      <c r="AR4663">
        <f>IF('01_Вводные'!$B$234="Да",'19_Расчет_аналитики'!AR4655+'19_Расчет_аналитики'!AR4660,0)</f>
        <v/>
      </c>
      <c r="AS4663">
        <f>IF('01_Вводные'!$B$234="Да",'19_Расчет_аналитики'!AS4655+'19_Расчет_аналитики'!AS4660,0)</f>
        <v/>
      </c>
      <c r="AT4663">
        <f>IF('01_Вводные'!$B$234="Да",'19_Расчет_аналитики'!AT4655+'19_Расчет_аналитики'!AT4660,0)</f>
        <v/>
      </c>
      <c r="AU4663">
        <f>IF('01_Вводные'!$B$234="Да",'19_Расчет_аналитики'!AU4655+'19_Расчет_аналитики'!AU4660,0)</f>
        <v/>
      </c>
      <c r="AV4663">
        <f>IF('01_Вводные'!$B$234="Да",'19_Расчет_аналитики'!AV4655+'19_Расчет_аналитики'!AV4660,0)</f>
        <v/>
      </c>
      <c r="AW4663">
        <f>IF('01_Вводные'!$B$234="Да",'19_Расчет_аналитики'!AW4655+'19_Расчет_аналитики'!AW4660,0)</f>
        <v/>
      </c>
      <c r="AX4663">
        <f>IF('01_Вводные'!$B$234="Да",'19_Расчет_аналитики'!AX4655+'19_Расчет_аналитики'!AX4660,0)</f>
        <v/>
      </c>
      <c r="AY4663">
        <f>IF('01_Вводные'!$B$234="Да",'19_Расчет_аналитики'!AY4655+'19_Расчет_аналитики'!AY4660,0)</f>
        <v/>
      </c>
      <c r="AZ4663">
        <f>IF('01_Вводные'!$B$234="Да",'19_Расчет_аналитики'!AZ4655+'19_Расчет_аналитики'!AZ4660,0)</f>
        <v/>
      </c>
      <c r="BA4663">
        <f>IF('01_Вводные'!$B$234="Да",'19_Расчет_аналитики'!BA4655+'19_Расчет_аналитики'!BA4660,0)</f>
        <v/>
      </c>
      <c r="BB4663">
        <f>IF('01_Вводные'!$B$234="Да",'19_Расчет_аналитики'!BB4655+'19_Расчет_аналитики'!BB4660,0)</f>
        <v/>
      </c>
      <c r="BC4663">
        <f>IF('01_Вводные'!$B$234="Да",'19_Расчет_аналитики'!BC4655+'19_Расчет_аналитики'!BC4660,0)</f>
        <v/>
      </c>
      <c r="BD4663">
        <f>IF('01_Вводные'!$B$234="Да",'19_Расчет_аналитики'!BD4655+'19_Расчет_аналитики'!BD4660,0)</f>
        <v/>
      </c>
      <c r="BE4663">
        <f>IF('01_Вводные'!$B$234="Да",'19_Расчет_аналитики'!BE4655+'19_Расчет_аналитики'!BE4660,0)</f>
        <v/>
      </c>
      <c r="BF4663">
        <f>IF('01_Вводные'!$B$234="Да",'19_Расчет_аналитики'!BF4655+'19_Расчет_аналитики'!BF4660,0)</f>
        <v/>
      </c>
      <c r="BG4663">
        <f>IF('01_Вводные'!$B$234="Да",'19_Расчет_аналитики'!BG4655+'19_Расчет_аналитики'!BG4660,0)</f>
        <v/>
      </c>
      <c r="BH4663">
        <f>IF('01_Вводные'!$B$234="Да",'19_Расчет_аналитики'!BH4655+'19_Расчет_аналитики'!BH4660,0)</f>
        <v/>
      </c>
      <c r="BI4663">
        <f>IF('01_Вводные'!$B$234="Да",'19_Расчет_аналитики'!BI4655+'19_Расчет_аналитики'!BI4660,0)</f>
        <v/>
      </c>
      <c r="BJ4663">
        <f>IF('01_Вводные'!$B$234="Да",'19_Расчет_аналитики'!BJ4655+'19_Расчет_аналитики'!BJ4660,0)</f>
        <v/>
      </c>
      <c r="BK4663">
        <f>IF('01_Вводные'!$B$234="Да",'19_Расчет_аналитики'!BK4655+'19_Расчет_аналитики'!BK4660,0)</f>
        <v/>
      </c>
      <c r="BL4663">
        <f>IF('01_Вводные'!$B$234="Да",'19_Расчет_аналитики'!BL4655+'19_Расчет_аналитики'!BL4660,0)</f>
        <v/>
      </c>
      <c r="BM4663">
        <f>IF('01_Вводные'!$B$234="Да",'19_Расчет_аналитики'!BM4655+'19_Расчет_аналитики'!BM4660,0)</f>
        <v/>
      </c>
      <c r="BN4663">
        <f>IF('01_Вводные'!$B$234="Да",'19_Расчет_аналитики'!BN4655+'19_Расчет_аналитики'!BN4660,0)</f>
        <v/>
      </c>
      <c r="BO4663">
        <f>IF('01_Вводные'!$B$234="Да",'19_Расчет_аналитики'!BO4655+'19_Расчет_аналитики'!BO4660,0)</f>
        <v/>
      </c>
    </row>
    <row r="4664">
      <c r="B4664">
        <f>IF('01_Вводные'!$B$234="Да",'19_Расчет_аналитики'!B4663/(1+'01_Вводные'!$B$58),0)</f>
        <v/>
      </c>
      <c r="C4664">
        <f>IF('01_Вводные'!$B$234="Да",'19_Расчет_аналитики'!C4663/(1+'01_Вводные'!$B$58),0)</f>
        <v/>
      </c>
      <c r="D4664">
        <f>IF('01_Вводные'!$B$234="Да",'19_Расчет_аналитики'!D4663/(1+'01_Вводные'!$B$58),0)</f>
        <v/>
      </c>
      <c r="E4664">
        <f>IF('01_Вводные'!$B$234="Да",'19_Расчет_аналитики'!E4663/(1+'01_Вводные'!$B$58),0)</f>
        <v/>
      </c>
      <c r="F4664">
        <f>IF('01_Вводные'!$B$234="Да",'19_Расчет_аналитики'!F4663/(1+'01_Вводные'!$B$58),0)</f>
        <v/>
      </c>
      <c r="G4664">
        <f>IF('01_Вводные'!$B$234="Да",'19_Расчет_аналитики'!G4663/(1+'01_Вводные'!$B$58),0)</f>
        <v/>
      </c>
      <c r="H4664">
        <f>IF('01_Вводные'!$B$234="Да",'19_Расчет_аналитики'!H4663/(1+'01_Вводные'!$B$58),0)</f>
        <v/>
      </c>
      <c r="I4664">
        <f>IF('01_Вводные'!$B$234="Да",'19_Расчет_аналитики'!I4663/(1+'01_Вводные'!$B$58),0)</f>
        <v/>
      </c>
      <c r="J4664">
        <f>IF('01_Вводные'!$B$234="Да",'19_Расчет_аналитики'!J4663/(1+'01_Вводные'!$B$58),0)</f>
        <v/>
      </c>
      <c r="K4664">
        <f>IF('01_Вводные'!$B$234="Да",'19_Расчет_аналитики'!K4663/(1+'01_Вводные'!$B$58),0)</f>
        <v/>
      </c>
      <c r="L4664">
        <f>IF('01_Вводные'!$B$234="Да",'19_Расчет_аналитики'!L4663/(1+'01_Вводные'!$B$58),0)</f>
        <v/>
      </c>
      <c r="M4664">
        <f>IF('01_Вводные'!$B$234="Да",'19_Расчет_аналитики'!M4663/(1+'01_Вводные'!$B$58),0)</f>
        <v/>
      </c>
      <c r="N4664">
        <f>IF('01_Вводные'!$B$234="Да",'19_Расчет_аналитики'!N4663/(1+'01_Вводные'!$B$58),0)</f>
        <v/>
      </c>
      <c r="O4664">
        <f>IF('01_Вводные'!$B$234="Да",'19_Расчет_аналитики'!O4663/(1+'01_Вводные'!$B$58),0)</f>
        <v/>
      </c>
      <c r="P4664">
        <f>IF('01_Вводные'!$B$234="Да",'19_Расчет_аналитики'!P4663/(1+'01_Вводные'!$B$58),0)</f>
        <v/>
      </c>
      <c r="Q4664">
        <f>IF('01_Вводные'!$B$234="Да",'19_Расчет_аналитики'!Q4663/(1+'01_Вводные'!$B$58),0)</f>
        <v/>
      </c>
      <c r="R4664">
        <f>IF('01_Вводные'!$B$234="Да",'19_Расчет_аналитики'!R4663/(1+'01_Вводные'!$B$58),0)</f>
        <v/>
      </c>
      <c r="S4664">
        <f>IF('01_Вводные'!$B$234="Да",'19_Расчет_аналитики'!S4663/(1+'01_Вводные'!$B$58),0)</f>
        <v/>
      </c>
      <c r="T4664">
        <f>IF('01_Вводные'!$B$234="Да",'19_Расчет_аналитики'!T4663/(1+'01_Вводные'!$B$58),0)</f>
        <v/>
      </c>
      <c r="U4664">
        <f>IF('01_Вводные'!$B$234="Да",'19_Расчет_аналитики'!U4663/(1+'01_Вводные'!$B$58),0)</f>
        <v/>
      </c>
      <c r="V4664">
        <f>IF('01_Вводные'!$B$234="Да",'19_Расчет_аналитики'!V4663/(1+'01_Вводные'!$B$58),0)</f>
        <v/>
      </c>
      <c r="W4664">
        <f>IF('01_Вводные'!$B$234="Да",'19_Расчет_аналитики'!W4663/(1+'01_Вводные'!$B$58),0)</f>
        <v/>
      </c>
      <c r="X4664">
        <f>IF('01_Вводные'!$B$234="Да",'19_Расчет_аналитики'!X4663/(1+'01_Вводные'!$B$58),0)</f>
        <v/>
      </c>
      <c r="Y4664">
        <f>IF('01_Вводные'!$B$234="Да",'19_Расчет_аналитики'!Y4663/(1+'01_Вводные'!$B$58),0)</f>
        <v/>
      </c>
      <c r="Z4664">
        <f>IF('01_Вводные'!$B$234="Да",'19_Расчет_аналитики'!Z4663/(1+'01_Вводные'!$B$58),0)</f>
        <v/>
      </c>
      <c r="AA4664">
        <f>IF('01_Вводные'!$B$234="Да",'19_Расчет_аналитики'!AA4663/(1+'01_Вводные'!$B$58),0)</f>
        <v/>
      </c>
      <c r="AB4664">
        <f>IF('01_Вводные'!$B$234="Да",'19_Расчет_аналитики'!AB4663/(1+'01_Вводные'!$B$58),0)</f>
        <v/>
      </c>
      <c r="AC4664">
        <f>IF('01_Вводные'!$B$234="Да",'19_Расчет_аналитики'!AC4663/(1+'01_Вводные'!$B$58),0)</f>
        <v/>
      </c>
      <c r="AD4664">
        <f>IF('01_Вводные'!$B$234="Да",'19_Расчет_аналитики'!AD4663/(1+'01_Вводные'!$B$58),0)</f>
        <v/>
      </c>
      <c r="AE4664">
        <f>IF('01_Вводные'!$B$234="Да",'19_Расчет_аналитики'!AE4663/(1+'01_Вводные'!$B$58),0)</f>
        <v/>
      </c>
      <c r="AF4664">
        <f>IF('01_Вводные'!$B$234="Да",'19_Расчет_аналитики'!AF4663/(1+'01_Вводные'!$B$58),0)</f>
        <v/>
      </c>
      <c r="AG4664">
        <f>IF('01_Вводные'!$B$234="Да",'19_Расчет_аналитики'!AG4663/(1+'01_Вводные'!$B$58),0)</f>
        <v/>
      </c>
      <c r="AH4664">
        <f>IF('01_Вводные'!$B$234="Да",'19_Расчет_аналитики'!AH4663/(1+'01_Вводные'!$B$58),0)</f>
        <v/>
      </c>
      <c r="AI4664">
        <f>IF('01_Вводные'!$B$234="Да",'19_Расчет_аналитики'!AI4663/(1+'01_Вводные'!$B$58),0)</f>
        <v/>
      </c>
      <c r="AJ4664">
        <f>IF('01_Вводные'!$B$234="Да",'19_Расчет_аналитики'!AJ4663/(1+'01_Вводные'!$B$58),0)</f>
        <v/>
      </c>
      <c r="AK4664">
        <f>IF('01_Вводные'!$B$234="Да",'19_Расчет_аналитики'!AK4663/(1+'01_Вводные'!$B$58),0)</f>
        <v/>
      </c>
      <c r="AL4664">
        <f>IF('01_Вводные'!$B$234="Да",'19_Расчет_аналитики'!AL4663/(1+'01_Вводные'!$B$58),0)</f>
        <v/>
      </c>
      <c r="AM4664">
        <f>IF('01_Вводные'!$B$234="Да",'19_Расчет_аналитики'!AM4663/(1+'01_Вводные'!$B$58),0)</f>
        <v/>
      </c>
      <c r="AN4664">
        <f>IF('01_Вводные'!$B$234="Да",'19_Расчет_аналитики'!AN4663/(1+'01_Вводные'!$B$58),0)</f>
        <v/>
      </c>
      <c r="AO4664">
        <f>IF('01_Вводные'!$B$234="Да",'19_Расчет_аналитики'!AO4663/(1+'01_Вводные'!$B$58),0)</f>
        <v/>
      </c>
      <c r="AP4664">
        <f>IF('01_Вводные'!$B$234="Да",'19_Расчет_аналитики'!AP4663/(1+'01_Вводные'!$B$58),0)</f>
        <v/>
      </c>
      <c r="AQ4664">
        <f>IF('01_Вводные'!$B$234="Да",'19_Расчет_аналитики'!AQ4663/(1+'01_Вводные'!$B$58),0)</f>
        <v/>
      </c>
      <c r="AR4664">
        <f>IF('01_Вводные'!$B$234="Да",'19_Расчет_аналитики'!AR4663/(1+'01_Вводные'!$B$58),0)</f>
        <v/>
      </c>
      <c r="AS4664">
        <f>IF('01_Вводные'!$B$234="Да",'19_Расчет_аналитики'!AS4663/(1+'01_Вводные'!$B$58),0)</f>
        <v/>
      </c>
      <c r="AT4664">
        <f>IF('01_Вводные'!$B$234="Да",'19_Расчет_аналитики'!AT4663/(1+'01_Вводные'!$B$58),0)</f>
        <v/>
      </c>
      <c r="AU4664">
        <f>IF('01_Вводные'!$B$234="Да",'19_Расчет_аналитики'!AU4663/(1+'01_Вводные'!$B$58),0)</f>
        <v/>
      </c>
      <c r="AV4664">
        <f>IF('01_Вводные'!$B$234="Да",'19_Расчет_аналитики'!AV4663/(1+'01_Вводные'!$B$58),0)</f>
        <v/>
      </c>
      <c r="AW4664">
        <f>IF('01_Вводные'!$B$234="Да",'19_Расчет_аналитики'!AW4663/(1+'01_Вводные'!$B$58),0)</f>
        <v/>
      </c>
      <c r="AX4664">
        <f>IF('01_Вводные'!$B$234="Да",'19_Расчет_аналитики'!AX4663/(1+'01_Вводные'!$B$58),0)</f>
        <v/>
      </c>
      <c r="AY4664">
        <f>IF('01_Вводные'!$B$234="Да",'19_Расчет_аналитики'!AY4663/(1+'01_Вводные'!$B$58),0)</f>
        <v/>
      </c>
      <c r="AZ4664">
        <f>IF('01_Вводные'!$B$234="Да",'19_Расчет_аналитики'!AZ4663/(1+'01_Вводные'!$B$58),0)</f>
        <v/>
      </c>
      <c r="BA4664">
        <f>IF('01_Вводные'!$B$234="Да",'19_Расчет_аналитики'!BA4663/(1+'01_Вводные'!$B$58),0)</f>
        <v/>
      </c>
      <c r="BB4664">
        <f>IF('01_Вводные'!$B$234="Да",'19_Расчет_аналитики'!BB4663/(1+'01_Вводные'!$B$58),0)</f>
        <v/>
      </c>
      <c r="BC4664">
        <f>IF('01_Вводные'!$B$234="Да",'19_Расчет_аналитики'!BC4663/(1+'01_Вводные'!$B$58),0)</f>
        <v/>
      </c>
      <c r="BD4664">
        <f>IF('01_Вводные'!$B$234="Да",'19_Расчет_аналитики'!BD4663/(1+'01_Вводные'!$B$58),0)</f>
        <v/>
      </c>
      <c r="BE4664">
        <f>IF('01_Вводные'!$B$234="Да",'19_Расчет_аналитики'!BE4663/(1+'01_Вводные'!$B$58),0)</f>
        <v/>
      </c>
      <c r="BF4664">
        <f>IF('01_Вводные'!$B$234="Да",'19_Расчет_аналитики'!BF4663/(1+'01_Вводные'!$B$58),0)</f>
        <v/>
      </c>
      <c r="BG4664">
        <f>IF('01_Вводные'!$B$234="Да",'19_Расчет_аналитики'!BG4663/(1+'01_Вводные'!$B$58),0)</f>
        <v/>
      </c>
      <c r="BH4664">
        <f>IF('01_Вводные'!$B$234="Да",'19_Расчет_аналитики'!BH4663/(1+'01_Вводные'!$B$58),0)</f>
        <v/>
      </c>
      <c r="BI4664">
        <f>IF('01_Вводные'!$B$234="Да",'19_Расчет_аналитики'!BI4663/(1+'01_Вводные'!$B$58),0)</f>
        <v/>
      </c>
      <c r="BJ4664">
        <f>IF('01_Вводные'!$B$234="Да",'19_Расчет_аналитики'!BJ4663/(1+'01_Вводные'!$B$58),0)</f>
        <v/>
      </c>
      <c r="BK4664">
        <f>IF('01_Вводные'!$B$234="Да",'19_Расчет_аналитики'!BK4663/(1+'01_Вводные'!$B$58),0)</f>
        <v/>
      </c>
      <c r="BL4664">
        <f>IF('01_Вводные'!$B$234="Да",'19_Расчет_аналитики'!BL4663/(1+'01_Вводные'!$B$58),0)</f>
        <v/>
      </c>
      <c r="BM4664">
        <f>IF('01_Вводные'!$B$234="Да",'19_Расчет_аналитики'!BM4663/(1+'01_Вводные'!$B$58),0)</f>
        <v/>
      </c>
      <c r="BN4664">
        <f>IF('01_Вводные'!$B$234="Да",'19_Расчет_аналитики'!BN4663/(1+'01_Вводные'!$B$58),0)</f>
        <v/>
      </c>
      <c r="BO4664">
        <f>IF('01_Вводные'!$B$234="Да",'19_Расчет_аналитики'!BO4663/(1+'01_Вводные'!$B$58),0)</f>
        <v/>
      </c>
    </row>
    <row r="4665">
      <c r="B4665">
        <f>IF('01_Вводные'!$B$234="Да",'07_Мерч'!B7+'19_Расчет_аналитики'!B4661,0)</f>
        <v/>
      </c>
      <c r="C4665">
        <f>IF('01_Вводные'!$B$234="Да",'07_Мерч'!C7+'19_Расчет_аналитики'!C4661,0)</f>
        <v/>
      </c>
      <c r="D4665">
        <f>IF('01_Вводные'!$B$234="Да",'07_Мерч'!D7+'19_Расчет_аналитики'!D4661,0)</f>
        <v/>
      </c>
      <c r="E4665">
        <f>IF('01_Вводные'!$B$234="Да",'07_Мерч'!E7+'19_Расчет_аналитики'!E4661,0)</f>
        <v/>
      </c>
      <c r="F4665">
        <f>IF('01_Вводные'!$B$234="Да",'19_Расчет_аналитики'!F4656+'19_Расчет_аналитики'!F4661,0)</f>
        <v/>
      </c>
      <c r="G4665">
        <f>IF('01_Вводные'!$B$234="Да",'19_Расчет_аналитики'!G4656+'19_Расчет_аналитики'!G4661,0)</f>
        <v/>
      </c>
      <c r="H4665">
        <f>IF('01_Вводные'!$B$234="Да",'19_Расчет_аналитики'!H4656+'19_Расчет_аналитики'!H4661,0)</f>
        <v/>
      </c>
      <c r="I4665">
        <f>IF('01_Вводные'!$B$234="Да",'19_Расчет_аналитики'!I4656+'19_Расчет_аналитики'!I4661,0)</f>
        <v/>
      </c>
      <c r="J4665">
        <f>IF('01_Вводные'!$B$234="Да",'19_Расчет_аналитики'!J4656+'19_Расчет_аналитики'!J4661,0)</f>
        <v/>
      </c>
      <c r="K4665">
        <f>IF('01_Вводные'!$B$234="Да",'19_Расчет_аналитики'!K4656+'19_Расчет_аналитики'!K4661,0)</f>
        <v/>
      </c>
      <c r="L4665">
        <f>IF('01_Вводные'!$B$234="Да",'19_Расчет_аналитики'!L4656+'19_Расчет_аналитики'!L4661,0)</f>
        <v/>
      </c>
      <c r="M4665">
        <f>IF('01_Вводные'!$B$234="Да",'19_Расчет_аналитики'!M4656+'19_Расчет_аналитики'!M4661,0)</f>
        <v/>
      </c>
      <c r="N4665">
        <f>IF('01_Вводные'!$B$234="Да",'19_Расчет_аналитики'!N4656+'19_Расчет_аналитики'!N4661,0)</f>
        <v/>
      </c>
      <c r="O4665">
        <f>IF('01_Вводные'!$B$234="Да",'19_Расчет_аналитики'!O4656+'19_Расчет_аналитики'!O4661,0)</f>
        <v/>
      </c>
      <c r="P4665">
        <f>IF('01_Вводные'!$B$234="Да",'19_Расчет_аналитики'!P4656+'19_Расчет_аналитики'!P4661,0)</f>
        <v/>
      </c>
      <c r="Q4665">
        <f>IF('01_Вводные'!$B$234="Да",'19_Расчет_аналитики'!Q4656+'19_Расчет_аналитики'!Q4661,0)</f>
        <v/>
      </c>
      <c r="R4665">
        <f>IF('01_Вводные'!$B$234="Да",'19_Расчет_аналитики'!R4656+'19_Расчет_аналитики'!R4661,0)</f>
        <v/>
      </c>
      <c r="S4665">
        <f>IF('01_Вводные'!$B$234="Да",'19_Расчет_аналитики'!S4656+'19_Расчет_аналитики'!S4661,0)</f>
        <v/>
      </c>
      <c r="T4665">
        <f>IF('01_Вводные'!$B$234="Да",'19_Расчет_аналитики'!T4656+'19_Расчет_аналитики'!T4661,0)</f>
        <v/>
      </c>
      <c r="U4665">
        <f>IF('01_Вводные'!$B$234="Да",'19_Расчет_аналитики'!U4656+'19_Расчет_аналитики'!U4661,0)</f>
        <v/>
      </c>
      <c r="V4665">
        <f>IF('01_Вводные'!$B$234="Да",'19_Расчет_аналитики'!V4656+'19_Расчет_аналитики'!V4661,0)</f>
        <v/>
      </c>
      <c r="W4665">
        <f>IF('01_Вводные'!$B$234="Да",'19_Расчет_аналитики'!W4656+'19_Расчет_аналитики'!W4661,0)</f>
        <v/>
      </c>
      <c r="X4665">
        <f>IF('01_Вводные'!$B$234="Да",'19_Расчет_аналитики'!X4656+'19_Расчет_аналитики'!X4661,0)</f>
        <v/>
      </c>
      <c r="Y4665">
        <f>IF('01_Вводные'!$B$234="Да",'19_Расчет_аналитики'!Y4656+'19_Расчет_аналитики'!Y4661,0)</f>
        <v/>
      </c>
      <c r="Z4665">
        <f>IF('01_Вводные'!$B$234="Да",'19_Расчет_аналитики'!Z4656+'19_Расчет_аналитики'!Z4661,0)</f>
        <v/>
      </c>
      <c r="AA4665">
        <f>IF('01_Вводные'!$B$234="Да",'19_Расчет_аналитики'!AA4656+'19_Расчет_аналитики'!AA4661,0)</f>
        <v/>
      </c>
      <c r="AB4665">
        <f>IF('01_Вводные'!$B$234="Да",'19_Расчет_аналитики'!AB4656+'19_Расчет_аналитики'!AB4661,0)</f>
        <v/>
      </c>
      <c r="AC4665">
        <f>IF('01_Вводные'!$B$234="Да",'19_Расчет_аналитики'!AC4656+'19_Расчет_аналитики'!AC4661,0)</f>
        <v/>
      </c>
      <c r="AD4665">
        <f>IF('01_Вводные'!$B$234="Да",'19_Расчет_аналитики'!AD4656+'19_Расчет_аналитики'!AD4661,0)</f>
        <v/>
      </c>
      <c r="AE4665">
        <f>IF('01_Вводные'!$B$234="Да",'19_Расчет_аналитики'!AE4656+'19_Расчет_аналитики'!AE4661,0)</f>
        <v/>
      </c>
      <c r="AF4665">
        <f>IF('01_Вводные'!$B$234="Да",'19_Расчет_аналитики'!AF4656+'19_Расчет_аналитики'!AF4661,0)</f>
        <v/>
      </c>
      <c r="AG4665">
        <f>IF('01_Вводные'!$B$234="Да",'19_Расчет_аналитики'!AG4656+'19_Расчет_аналитики'!AG4661,0)</f>
        <v/>
      </c>
      <c r="AH4665">
        <f>IF('01_Вводные'!$B$234="Да",'19_Расчет_аналитики'!AH4656+'19_Расчет_аналитики'!AH4661,0)</f>
        <v/>
      </c>
      <c r="AI4665">
        <f>IF('01_Вводные'!$B$234="Да",'19_Расчет_аналитики'!AI4656+'19_Расчет_аналитики'!AI4661,0)</f>
        <v/>
      </c>
      <c r="AJ4665">
        <f>IF('01_Вводные'!$B$234="Да",'19_Расчет_аналитики'!AJ4656+'19_Расчет_аналитики'!AJ4661,0)</f>
        <v/>
      </c>
      <c r="AK4665">
        <f>IF('01_Вводные'!$B$234="Да",'19_Расчет_аналитики'!AK4656+'19_Расчет_аналитики'!AK4661,0)</f>
        <v/>
      </c>
      <c r="AL4665">
        <f>IF('01_Вводные'!$B$234="Да",'19_Расчет_аналитики'!AL4656+'19_Расчет_аналитики'!AL4661,0)</f>
        <v/>
      </c>
      <c r="AM4665">
        <f>IF('01_Вводные'!$B$234="Да",'19_Расчет_аналитики'!AM4656+'19_Расчет_аналитики'!AM4661,0)</f>
        <v/>
      </c>
      <c r="AN4665">
        <f>IF('01_Вводные'!$B$234="Да",'19_Расчет_аналитики'!AN4656+'19_Расчет_аналитики'!AN4661,0)</f>
        <v/>
      </c>
      <c r="AO4665">
        <f>IF('01_Вводные'!$B$234="Да",'19_Расчет_аналитики'!AO4656+'19_Расчет_аналитики'!AO4661,0)</f>
        <v/>
      </c>
      <c r="AP4665">
        <f>IF('01_Вводные'!$B$234="Да",'19_Расчет_аналитики'!AP4656+'19_Расчет_аналитики'!AP4661,0)</f>
        <v/>
      </c>
      <c r="AQ4665">
        <f>IF('01_Вводные'!$B$234="Да",'19_Расчет_аналитики'!AQ4656+'19_Расчет_аналитики'!AQ4661,0)</f>
        <v/>
      </c>
      <c r="AR4665">
        <f>IF('01_Вводные'!$B$234="Да",'19_Расчет_аналитики'!AR4656+'19_Расчет_аналитики'!AR4661,0)</f>
        <v/>
      </c>
      <c r="AS4665">
        <f>IF('01_Вводные'!$B$234="Да",'19_Расчет_аналитики'!AS4656+'19_Расчет_аналитики'!AS4661,0)</f>
        <v/>
      </c>
      <c r="AT4665">
        <f>IF('01_Вводные'!$B$234="Да",'19_Расчет_аналитики'!AT4656+'19_Расчет_аналитики'!AT4661,0)</f>
        <v/>
      </c>
      <c r="AU4665">
        <f>IF('01_Вводные'!$B$234="Да",'19_Расчет_аналитики'!AU4656+'19_Расчет_аналитики'!AU4661,0)</f>
        <v/>
      </c>
      <c r="AV4665">
        <f>IF('01_Вводные'!$B$234="Да",'19_Расчет_аналитики'!AV4656+'19_Расчет_аналитики'!AV4661,0)</f>
        <v/>
      </c>
      <c r="AW4665">
        <f>IF('01_Вводные'!$B$234="Да",'19_Расчет_аналитики'!AW4656+'19_Расчет_аналитики'!AW4661,0)</f>
        <v/>
      </c>
      <c r="AX4665">
        <f>IF('01_Вводные'!$B$234="Да",'19_Расчет_аналитики'!AX4656+'19_Расчет_аналитики'!AX4661,0)</f>
        <v/>
      </c>
      <c r="AY4665">
        <f>IF('01_Вводные'!$B$234="Да",'19_Расчет_аналитики'!AY4656+'19_Расчет_аналитики'!AY4661,0)</f>
        <v/>
      </c>
      <c r="AZ4665">
        <f>IF('01_Вводные'!$B$234="Да",'19_Расчет_аналитики'!AZ4656+'19_Расчет_аналитики'!AZ4661,0)</f>
        <v/>
      </c>
      <c r="BA4665">
        <f>IF('01_Вводные'!$B$234="Да",'19_Расчет_аналитики'!BA4656+'19_Расчет_аналитики'!BA4661,0)</f>
        <v/>
      </c>
      <c r="BB4665">
        <f>IF('01_Вводные'!$B$234="Да",'19_Расчет_аналитики'!BB4656+'19_Расчет_аналитики'!BB4661,0)</f>
        <v/>
      </c>
      <c r="BC4665">
        <f>IF('01_Вводные'!$B$234="Да",'19_Расчет_аналитики'!BC4656+'19_Расчет_аналитики'!BC4661,0)</f>
        <v/>
      </c>
      <c r="BD4665">
        <f>IF('01_Вводные'!$B$234="Да",'19_Расчет_аналитики'!BD4656+'19_Расчет_аналитики'!BD4661,0)</f>
        <v/>
      </c>
      <c r="BE4665">
        <f>IF('01_Вводные'!$B$234="Да",'19_Расчет_аналитики'!BE4656+'19_Расчет_аналитики'!BE4661,0)</f>
        <v/>
      </c>
      <c r="BF4665">
        <f>IF('01_Вводные'!$B$234="Да",'19_Расчет_аналитики'!BF4656+'19_Расчет_аналитики'!BF4661,0)</f>
        <v/>
      </c>
      <c r="BG4665">
        <f>IF('01_Вводные'!$B$234="Да",'19_Расчет_аналитики'!BG4656+'19_Расчет_аналитики'!BG4661,0)</f>
        <v/>
      </c>
      <c r="BH4665">
        <f>IF('01_Вводные'!$B$234="Да",'19_Расчет_аналитики'!BH4656+'19_Расчет_аналитики'!BH4661,0)</f>
        <v/>
      </c>
      <c r="BI4665">
        <f>IF('01_Вводные'!$B$234="Да",'19_Расчет_аналитики'!BI4656+'19_Расчет_аналитики'!BI4661,0)</f>
        <v/>
      </c>
      <c r="BJ4665">
        <f>IF('01_Вводные'!$B$234="Да",'19_Расчет_аналитики'!BJ4656+'19_Расчет_аналитики'!BJ4661,0)</f>
        <v/>
      </c>
      <c r="BK4665">
        <f>IF('01_Вводные'!$B$234="Да",'19_Расчет_аналитики'!BK4656+'19_Расчет_аналитики'!BK4661,0)</f>
        <v/>
      </c>
      <c r="BL4665">
        <f>IF('01_Вводные'!$B$234="Да",'19_Расчет_аналитики'!BL4656+'19_Расчет_аналитики'!BL4661,0)</f>
        <v/>
      </c>
      <c r="BM4665">
        <f>IF('01_Вводные'!$B$234="Да",'19_Расчет_аналитики'!BM4656+'19_Расчет_аналитики'!BM4661,0)</f>
        <v/>
      </c>
      <c r="BN4665">
        <f>IF('01_Вводные'!$B$234="Да",'19_Расчет_аналитики'!BN4656+'19_Расчет_аналитики'!BN4661,0)</f>
        <v/>
      </c>
      <c r="BO4665">
        <f>IF('01_Вводные'!$B$234="Да",'19_Расчет_аналитики'!BO4656+'19_Расчет_аналитики'!BO4661,0)</f>
        <v/>
      </c>
    </row>
    <row r="4666">
      <c r="B4666">
        <f>IF('01_Вводные'!$B$234="Да",'19_Расчет_аналитики'!B4664*'01_Вводные'!$B$75,0)</f>
        <v/>
      </c>
      <c r="C4666">
        <f>IF('01_Вводные'!$B$234="Да",'19_Расчет_аналитики'!C4664*'01_Вводные'!$B$75,0)</f>
        <v/>
      </c>
      <c r="D4666">
        <f>IF('01_Вводные'!$B$234="Да",'19_Расчет_аналитики'!D4664*'01_Вводные'!$B$75,0)</f>
        <v/>
      </c>
      <c r="E4666">
        <f>IF('01_Вводные'!$B$234="Да",'19_Расчет_аналитики'!E4664*'01_Вводные'!$B$75,0)</f>
        <v/>
      </c>
      <c r="F4666">
        <f>IF('01_Вводные'!$B$234="Да",'19_Расчет_аналитики'!F4664*'01_Вводные'!$B$75,0)</f>
        <v/>
      </c>
      <c r="G4666">
        <f>IF('01_Вводные'!$B$234="Да",'19_Расчет_аналитики'!G4664*'01_Вводные'!$B$75,0)</f>
        <v/>
      </c>
      <c r="H4666">
        <f>IF('01_Вводные'!$B$234="Да",'19_Расчет_аналитики'!H4664*'01_Вводные'!$B$75,0)</f>
        <v/>
      </c>
      <c r="I4666">
        <f>IF('01_Вводные'!$B$234="Да",'19_Расчет_аналитики'!I4664*'01_Вводные'!$B$75,0)</f>
        <v/>
      </c>
      <c r="J4666">
        <f>IF('01_Вводные'!$B$234="Да",'19_Расчет_аналитики'!J4664*'01_Вводные'!$B$75,0)</f>
        <v/>
      </c>
      <c r="K4666">
        <f>IF('01_Вводные'!$B$234="Да",'19_Расчет_аналитики'!K4664*'01_Вводные'!$B$75,0)</f>
        <v/>
      </c>
      <c r="L4666">
        <f>IF('01_Вводные'!$B$234="Да",'19_Расчет_аналитики'!L4664*'01_Вводные'!$B$75,0)</f>
        <v/>
      </c>
      <c r="M4666">
        <f>IF('01_Вводные'!$B$234="Да",'19_Расчет_аналитики'!M4664*'01_Вводные'!$B$75,0)</f>
        <v/>
      </c>
      <c r="N4666">
        <f>IF('01_Вводные'!$B$234="Да",'19_Расчет_аналитики'!N4664*'01_Вводные'!$B$75,0)</f>
        <v/>
      </c>
      <c r="O4666">
        <f>IF('01_Вводные'!$B$234="Да",'19_Расчет_аналитики'!O4664*'01_Вводные'!$B$75,0)</f>
        <v/>
      </c>
      <c r="P4666">
        <f>IF('01_Вводные'!$B$234="Да",'19_Расчет_аналитики'!P4664*'01_Вводные'!$B$75,0)</f>
        <v/>
      </c>
      <c r="Q4666">
        <f>IF('01_Вводные'!$B$234="Да",'19_Расчет_аналитики'!Q4664*'01_Вводные'!$B$75,0)</f>
        <v/>
      </c>
      <c r="R4666">
        <f>IF('01_Вводные'!$B$234="Да",'19_Расчет_аналитики'!R4664*'01_Вводные'!$B$75,0)</f>
        <v/>
      </c>
      <c r="S4666">
        <f>IF('01_Вводные'!$B$234="Да",'19_Расчет_аналитики'!S4664*'01_Вводные'!$B$75,0)</f>
        <v/>
      </c>
      <c r="T4666">
        <f>IF('01_Вводные'!$B$234="Да",'19_Расчет_аналитики'!T4664*'01_Вводные'!$B$75,0)</f>
        <v/>
      </c>
      <c r="U4666">
        <f>IF('01_Вводные'!$B$234="Да",'19_Расчет_аналитики'!U4664*'01_Вводные'!$B$75,0)</f>
        <v/>
      </c>
      <c r="V4666">
        <f>IF('01_Вводные'!$B$234="Да",'19_Расчет_аналитики'!V4664*'01_Вводные'!$B$75,0)</f>
        <v/>
      </c>
      <c r="W4666">
        <f>IF('01_Вводные'!$B$234="Да",'19_Расчет_аналитики'!W4664*'01_Вводные'!$B$75,0)</f>
        <v/>
      </c>
      <c r="X4666">
        <f>IF('01_Вводные'!$B$234="Да",'19_Расчет_аналитики'!X4664*'01_Вводные'!$B$75,0)</f>
        <v/>
      </c>
      <c r="Y4666">
        <f>IF('01_Вводные'!$B$234="Да",'19_Расчет_аналитики'!Y4664*'01_Вводные'!$B$75,0)</f>
        <v/>
      </c>
      <c r="Z4666">
        <f>IF('01_Вводные'!$B$234="Да",'19_Расчет_аналитики'!Z4664*'01_Вводные'!$B$75,0)</f>
        <v/>
      </c>
      <c r="AA4666">
        <f>IF('01_Вводные'!$B$234="Да",'19_Расчет_аналитики'!AA4664*'01_Вводные'!$B$75,0)</f>
        <v/>
      </c>
      <c r="AB4666">
        <f>IF('01_Вводные'!$B$234="Да",'19_Расчет_аналитики'!AB4664*'01_Вводные'!$B$75,0)</f>
        <v/>
      </c>
      <c r="AC4666">
        <f>IF('01_Вводные'!$B$234="Да",'19_Расчет_аналитики'!AC4664*'01_Вводные'!$B$75,0)</f>
        <v/>
      </c>
      <c r="AD4666">
        <f>IF('01_Вводные'!$B$234="Да",'19_Расчет_аналитики'!AD4664*'01_Вводные'!$B$75,0)</f>
        <v/>
      </c>
      <c r="AE4666">
        <f>IF('01_Вводные'!$B$234="Да",'19_Расчет_аналитики'!AE4664*'01_Вводные'!$B$75,0)</f>
        <v/>
      </c>
      <c r="AF4666">
        <f>IF('01_Вводные'!$B$234="Да",'19_Расчет_аналитики'!AF4664*'01_Вводные'!$B$75,0)</f>
        <v/>
      </c>
      <c r="AG4666">
        <f>IF('01_Вводные'!$B$234="Да",'19_Расчет_аналитики'!AG4664*'01_Вводные'!$B$75,0)</f>
        <v/>
      </c>
      <c r="AH4666">
        <f>IF('01_Вводные'!$B$234="Да",'19_Расчет_аналитики'!AH4664*'01_Вводные'!$B$75,0)</f>
        <v/>
      </c>
      <c r="AI4666">
        <f>IF('01_Вводные'!$B$234="Да",'19_Расчет_аналитики'!AI4664*'01_Вводные'!$B$75,0)</f>
        <v/>
      </c>
      <c r="AJ4666">
        <f>IF('01_Вводные'!$B$234="Да",'19_Расчет_аналитики'!AJ4664*'01_Вводные'!$B$75,0)</f>
        <v/>
      </c>
      <c r="AK4666">
        <f>IF('01_Вводные'!$B$234="Да",'19_Расчет_аналитики'!AK4664*'01_Вводные'!$B$75,0)</f>
        <v/>
      </c>
      <c r="AL4666">
        <f>IF('01_Вводные'!$B$234="Да",'19_Расчет_аналитики'!AL4664*'01_Вводные'!$B$75,0)</f>
        <v/>
      </c>
      <c r="AM4666">
        <f>IF('01_Вводные'!$B$234="Да",'19_Расчет_аналитики'!AM4664*'01_Вводные'!$B$75,0)</f>
        <v/>
      </c>
      <c r="AN4666">
        <f>IF('01_Вводные'!$B$234="Да",'19_Расчет_аналитики'!AN4664*'01_Вводные'!$B$75,0)</f>
        <v/>
      </c>
      <c r="AO4666">
        <f>IF('01_Вводные'!$B$234="Да",'19_Расчет_аналитики'!AO4664*'01_Вводные'!$B$75,0)</f>
        <v/>
      </c>
      <c r="AP4666">
        <f>IF('01_Вводные'!$B$234="Да",'19_Расчет_аналитики'!AP4664*'01_Вводные'!$B$75,0)</f>
        <v/>
      </c>
      <c r="AQ4666">
        <f>IF('01_Вводные'!$B$234="Да",'19_Расчет_аналитики'!AQ4664*'01_Вводные'!$B$75,0)</f>
        <v/>
      </c>
      <c r="AR4666">
        <f>IF('01_Вводные'!$B$234="Да",'19_Расчет_аналитики'!AR4664*'01_Вводные'!$B$75,0)</f>
        <v/>
      </c>
      <c r="AS4666">
        <f>IF('01_Вводные'!$B$234="Да",'19_Расчет_аналитики'!AS4664*'01_Вводные'!$B$75,0)</f>
        <v/>
      </c>
      <c r="AT4666">
        <f>IF('01_Вводные'!$B$234="Да",'19_Расчет_аналитики'!AT4664*'01_Вводные'!$B$75,0)</f>
        <v/>
      </c>
      <c r="AU4666">
        <f>IF('01_Вводные'!$B$234="Да",'19_Расчет_аналитики'!AU4664*'01_Вводные'!$B$75,0)</f>
        <v/>
      </c>
      <c r="AV4666">
        <f>IF('01_Вводные'!$B$234="Да",'19_Расчет_аналитики'!AV4664*'01_Вводные'!$B$75,0)</f>
        <v/>
      </c>
      <c r="AW4666">
        <f>IF('01_Вводные'!$B$234="Да",'19_Расчет_аналитики'!AW4664*'01_Вводные'!$B$75,0)</f>
        <v/>
      </c>
      <c r="AX4666">
        <f>IF('01_Вводные'!$B$234="Да",'19_Расчет_аналитики'!AX4664*'01_Вводные'!$B$75,0)</f>
        <v/>
      </c>
      <c r="AY4666">
        <f>IF('01_Вводные'!$B$234="Да",'19_Расчет_аналитики'!AY4664*'01_Вводные'!$B$75,0)</f>
        <v/>
      </c>
      <c r="AZ4666">
        <f>IF('01_Вводные'!$B$234="Да",'19_Расчет_аналитики'!AZ4664*'01_Вводные'!$B$75,0)</f>
        <v/>
      </c>
      <c r="BA4666">
        <f>IF('01_Вводные'!$B$234="Да",'19_Расчет_аналитики'!BA4664*'01_Вводные'!$B$75,0)</f>
        <v/>
      </c>
      <c r="BB4666">
        <f>IF('01_Вводные'!$B$234="Да",'19_Расчет_аналитики'!BB4664*'01_Вводные'!$B$75,0)</f>
        <v/>
      </c>
      <c r="BC4666">
        <f>IF('01_Вводные'!$B$234="Да",'19_Расчет_аналитики'!BC4664*'01_Вводные'!$B$75,0)</f>
        <v/>
      </c>
      <c r="BD4666">
        <f>IF('01_Вводные'!$B$234="Да",'19_Расчет_аналитики'!BD4664*'01_Вводные'!$B$75,0)</f>
        <v/>
      </c>
      <c r="BE4666">
        <f>IF('01_Вводные'!$B$234="Да",'19_Расчет_аналитики'!BE4664*'01_Вводные'!$B$75,0)</f>
        <v/>
      </c>
      <c r="BF4666">
        <f>IF('01_Вводные'!$B$234="Да",'19_Расчет_аналитики'!BF4664*'01_Вводные'!$B$75,0)</f>
        <v/>
      </c>
      <c r="BG4666">
        <f>IF('01_Вводные'!$B$234="Да",'19_Расчет_аналитики'!BG4664*'01_Вводные'!$B$75,0)</f>
        <v/>
      </c>
      <c r="BH4666">
        <f>IF('01_Вводные'!$B$234="Да",'19_Расчет_аналитики'!BH4664*'01_Вводные'!$B$75,0)</f>
        <v/>
      </c>
      <c r="BI4666">
        <f>IF('01_Вводные'!$B$234="Да",'19_Расчет_аналитики'!BI4664*'01_Вводные'!$B$75,0)</f>
        <v/>
      </c>
      <c r="BJ4666">
        <f>IF('01_Вводные'!$B$234="Да",'19_Расчет_аналитики'!BJ4664*'01_Вводные'!$B$75,0)</f>
        <v/>
      </c>
      <c r="BK4666">
        <f>IF('01_Вводные'!$B$234="Да",'19_Расчет_аналитики'!BK4664*'01_Вводные'!$B$75,0)</f>
        <v/>
      </c>
      <c r="BL4666">
        <f>IF('01_Вводные'!$B$234="Да",'19_Расчет_аналитики'!BL4664*'01_Вводные'!$B$75,0)</f>
        <v/>
      </c>
      <c r="BM4666">
        <f>IF('01_Вводные'!$B$234="Да",'19_Расчет_аналитики'!BM4664*'01_Вводные'!$B$75,0)</f>
        <v/>
      </c>
      <c r="BN4666">
        <f>IF('01_Вводные'!$B$234="Да",'19_Расчет_аналитики'!BN4664*'01_Вводные'!$B$75,0)</f>
        <v/>
      </c>
      <c r="BO4666">
        <f>IF('01_Вводные'!$B$234="Да",'19_Расчет_аналитики'!BO4664*'01_Вводные'!$B$75,0)</f>
        <v/>
      </c>
    </row>
    <row r="4667">
      <c r="B4667">
        <f>IF('01_Вводные'!$B$234="Да",MAX(0,'19_Расчет_аналитики'!B4664-'19_Расчет_аналитики'!B4665-'19_Расчет_аналитики'!B4666),0)</f>
        <v/>
      </c>
      <c r="C4667">
        <f>IF('01_Вводные'!$B$234="Да",MAX(0,'19_Расчет_аналитики'!C4664-'19_Расчет_аналитики'!C4665-'19_Расчет_аналитики'!C4666),0)</f>
        <v/>
      </c>
      <c r="D4667">
        <f>IF('01_Вводные'!$B$234="Да",MAX(0,'19_Расчет_аналитики'!D4664-'19_Расчет_аналитики'!D4665-'19_Расчет_аналитики'!D4666),0)</f>
        <v/>
      </c>
      <c r="E4667">
        <f>IF('01_Вводные'!$B$234="Да",MAX(0,'19_Расчет_аналитики'!E4664-'19_Расчет_аналитики'!E4665-'19_Расчет_аналитики'!E4666),0)</f>
        <v/>
      </c>
      <c r="F4667">
        <f>IF('01_Вводные'!$B$234="Да",MAX(0,'19_Расчет_аналитики'!F4664-'19_Расчет_аналитики'!F4665-'19_Расчет_аналитики'!F4666),0)</f>
        <v/>
      </c>
      <c r="G4667">
        <f>IF('01_Вводные'!$B$234="Да",MAX(0,'19_Расчет_аналитики'!G4664-'19_Расчет_аналитики'!G4665-'19_Расчет_аналитики'!G4666),0)</f>
        <v/>
      </c>
      <c r="H4667">
        <f>IF('01_Вводные'!$B$234="Да",MAX(0,'19_Расчет_аналитики'!H4664-'19_Расчет_аналитики'!H4665-'19_Расчет_аналитики'!H4666),0)</f>
        <v/>
      </c>
      <c r="I4667">
        <f>IF('01_Вводные'!$B$234="Да",MAX(0,'19_Расчет_аналитики'!I4664-'19_Расчет_аналитики'!I4665-'19_Расчет_аналитики'!I4666),0)</f>
        <v/>
      </c>
      <c r="J4667">
        <f>IF('01_Вводные'!$B$234="Да",MAX(0,'19_Расчет_аналитики'!J4664-'19_Расчет_аналитики'!J4665-'19_Расчет_аналитики'!J4666),0)</f>
        <v/>
      </c>
      <c r="K4667">
        <f>IF('01_Вводные'!$B$234="Да",MAX(0,'19_Расчет_аналитики'!K4664-'19_Расчет_аналитики'!K4665-'19_Расчет_аналитики'!K4666),0)</f>
        <v/>
      </c>
      <c r="L4667">
        <f>IF('01_Вводные'!$B$234="Да",MAX(0,'19_Расчет_аналитики'!L4664-'19_Расчет_аналитики'!L4665-'19_Расчет_аналитики'!L4666),0)</f>
        <v/>
      </c>
      <c r="M4667">
        <f>IF('01_Вводные'!$B$234="Да",MAX(0,'19_Расчет_аналитики'!M4664-'19_Расчет_аналитики'!M4665-'19_Расчет_аналитики'!M4666),0)</f>
        <v/>
      </c>
      <c r="N4667">
        <f>IF('01_Вводные'!$B$234="Да",MAX(0,'19_Расчет_аналитики'!N4664-'19_Расчет_аналитики'!N4665-'19_Расчет_аналитики'!N4666),0)</f>
        <v/>
      </c>
      <c r="O4667">
        <f>IF('01_Вводные'!$B$234="Да",MAX(0,'19_Расчет_аналитики'!O4664-'19_Расчет_аналитики'!O4665-'19_Расчет_аналитики'!O4666),0)</f>
        <v/>
      </c>
      <c r="P4667">
        <f>IF('01_Вводные'!$B$234="Да",MAX(0,'19_Расчет_аналитики'!P4664-'19_Расчет_аналитики'!P4665-'19_Расчет_аналитики'!P4666),0)</f>
        <v/>
      </c>
      <c r="Q4667">
        <f>IF('01_Вводные'!$B$234="Да",MAX(0,'19_Расчет_аналитики'!Q4664-'19_Расчет_аналитики'!Q4665-'19_Расчет_аналитики'!Q4666),0)</f>
        <v/>
      </c>
      <c r="R4667">
        <f>IF('01_Вводные'!$B$234="Да",MAX(0,'19_Расчет_аналитики'!R4664-'19_Расчет_аналитики'!R4665-'19_Расчет_аналитики'!R4666),0)</f>
        <v/>
      </c>
      <c r="S4667">
        <f>IF('01_Вводные'!$B$234="Да",MAX(0,'19_Расчет_аналитики'!S4664-'19_Расчет_аналитики'!S4665-'19_Расчет_аналитики'!S4666),0)</f>
        <v/>
      </c>
      <c r="T4667">
        <f>IF('01_Вводные'!$B$234="Да",MAX(0,'19_Расчет_аналитики'!T4664-'19_Расчет_аналитики'!T4665-'19_Расчет_аналитики'!T4666),0)</f>
        <v/>
      </c>
      <c r="U4667">
        <f>IF('01_Вводные'!$B$234="Да",MAX(0,'19_Расчет_аналитики'!U4664-'19_Расчет_аналитики'!U4665-'19_Расчет_аналитики'!U4666),0)</f>
        <v/>
      </c>
      <c r="V4667">
        <f>IF('01_Вводные'!$B$234="Да",MAX(0,'19_Расчет_аналитики'!V4664-'19_Расчет_аналитики'!V4665-'19_Расчет_аналитики'!V4666),0)</f>
        <v/>
      </c>
      <c r="W4667">
        <f>IF('01_Вводные'!$B$234="Да",MAX(0,'19_Расчет_аналитики'!W4664-'19_Расчет_аналитики'!W4665-'19_Расчет_аналитики'!W4666),0)</f>
        <v/>
      </c>
      <c r="X4667">
        <f>IF('01_Вводные'!$B$234="Да",MAX(0,'19_Расчет_аналитики'!X4664-'19_Расчет_аналитики'!X4665-'19_Расчет_аналитики'!X4666),0)</f>
        <v/>
      </c>
      <c r="Y4667">
        <f>IF('01_Вводные'!$B$234="Да",MAX(0,'19_Расчет_аналитики'!Y4664-'19_Расчет_аналитики'!Y4665-'19_Расчет_аналитики'!Y4666),0)</f>
        <v/>
      </c>
      <c r="Z4667">
        <f>IF('01_Вводные'!$B$234="Да",MAX(0,'19_Расчет_аналитики'!Z4664-'19_Расчет_аналитики'!Z4665-'19_Расчет_аналитики'!Z4666),0)</f>
        <v/>
      </c>
      <c r="AA4667">
        <f>IF('01_Вводные'!$B$234="Да",MAX(0,'19_Расчет_аналитики'!AA4664-'19_Расчет_аналитики'!AA4665-'19_Расчет_аналитики'!AA4666),0)</f>
        <v/>
      </c>
      <c r="AB4667">
        <f>IF('01_Вводные'!$B$234="Да",MAX(0,'19_Расчет_аналитики'!AB4664-'19_Расчет_аналитики'!AB4665-'19_Расчет_аналитики'!AB4666),0)</f>
        <v/>
      </c>
      <c r="AC4667">
        <f>IF('01_Вводные'!$B$234="Да",MAX(0,'19_Расчет_аналитики'!AC4664-'19_Расчет_аналитики'!AC4665-'19_Расчет_аналитики'!AC4666),0)</f>
        <v/>
      </c>
      <c r="AD4667">
        <f>IF('01_Вводные'!$B$234="Да",MAX(0,'19_Расчет_аналитики'!AD4664-'19_Расчет_аналитики'!AD4665-'19_Расчет_аналитики'!AD4666),0)</f>
        <v/>
      </c>
      <c r="AE4667">
        <f>IF('01_Вводные'!$B$234="Да",MAX(0,'19_Расчет_аналитики'!AE4664-'19_Расчет_аналитики'!AE4665-'19_Расчет_аналитики'!AE4666),0)</f>
        <v/>
      </c>
      <c r="AF4667">
        <f>IF('01_Вводные'!$B$234="Да",MAX(0,'19_Расчет_аналитики'!AF4664-'19_Расчет_аналитики'!AF4665-'19_Расчет_аналитики'!AF4666),0)</f>
        <v/>
      </c>
      <c r="AG4667">
        <f>IF('01_Вводные'!$B$234="Да",MAX(0,'19_Расчет_аналитики'!AG4664-'19_Расчет_аналитики'!AG4665-'19_Расчет_аналитики'!AG4666),0)</f>
        <v/>
      </c>
      <c r="AH4667">
        <f>IF('01_Вводные'!$B$234="Да",MAX(0,'19_Расчет_аналитики'!AH4664-'19_Расчет_аналитики'!AH4665-'19_Расчет_аналитики'!AH4666),0)</f>
        <v/>
      </c>
      <c r="AI4667">
        <f>IF('01_Вводные'!$B$234="Да",MAX(0,'19_Расчет_аналитики'!AI4664-'19_Расчет_аналитики'!AI4665-'19_Расчет_аналитики'!AI4666),0)</f>
        <v/>
      </c>
      <c r="AJ4667">
        <f>IF('01_Вводные'!$B$234="Да",MAX(0,'19_Расчет_аналитики'!AJ4664-'19_Расчет_аналитики'!AJ4665-'19_Расчет_аналитики'!AJ4666),0)</f>
        <v/>
      </c>
      <c r="AK4667">
        <f>IF('01_Вводные'!$B$234="Да",MAX(0,'19_Расчет_аналитики'!AK4664-'19_Расчет_аналитики'!AK4665-'19_Расчет_аналитики'!AK4666),0)</f>
        <v/>
      </c>
      <c r="AL4667">
        <f>IF('01_Вводные'!$B$234="Да",MAX(0,'19_Расчет_аналитики'!AL4664-'19_Расчет_аналитики'!AL4665-'19_Расчет_аналитики'!AL4666),0)</f>
        <v/>
      </c>
      <c r="AM4667">
        <f>IF('01_Вводные'!$B$234="Да",MAX(0,'19_Расчет_аналитики'!AM4664-'19_Расчет_аналитики'!AM4665-'19_Расчет_аналитики'!AM4666),0)</f>
        <v/>
      </c>
      <c r="AN4667">
        <f>IF('01_Вводные'!$B$234="Да",MAX(0,'19_Расчет_аналитики'!AN4664-'19_Расчет_аналитики'!AN4665-'19_Расчет_аналитики'!AN4666),0)</f>
        <v/>
      </c>
      <c r="AO4667">
        <f>IF('01_Вводные'!$B$234="Да",MAX(0,'19_Расчет_аналитики'!AO4664-'19_Расчет_аналитики'!AO4665-'19_Расчет_аналитики'!AO4666),0)</f>
        <v/>
      </c>
      <c r="AP4667">
        <f>IF('01_Вводные'!$B$234="Да",MAX(0,'19_Расчет_аналитики'!AP4664-'19_Расчет_аналитики'!AP4665-'19_Расчет_аналитики'!AP4666),0)</f>
        <v/>
      </c>
      <c r="AQ4667">
        <f>IF('01_Вводные'!$B$234="Да",MAX(0,'19_Расчет_аналитики'!AQ4664-'19_Расчет_аналитики'!AQ4665-'19_Расчет_аналитики'!AQ4666),0)</f>
        <v/>
      </c>
      <c r="AR4667">
        <f>IF('01_Вводные'!$B$234="Да",MAX(0,'19_Расчет_аналитики'!AR4664-'19_Расчет_аналитики'!AR4665-'19_Расчет_аналитики'!AR4666),0)</f>
        <v/>
      </c>
      <c r="AS4667">
        <f>IF('01_Вводные'!$B$234="Да",MAX(0,'19_Расчет_аналитики'!AS4664-'19_Расчет_аналитики'!AS4665-'19_Расчет_аналитики'!AS4666),0)</f>
        <v/>
      </c>
      <c r="AT4667">
        <f>IF('01_Вводные'!$B$234="Да",MAX(0,'19_Расчет_аналитики'!AT4664-'19_Расчет_аналитики'!AT4665-'19_Расчет_аналитики'!AT4666),0)</f>
        <v/>
      </c>
      <c r="AU4667">
        <f>IF('01_Вводные'!$B$234="Да",MAX(0,'19_Расчет_аналитики'!AU4664-'19_Расчет_аналитики'!AU4665-'19_Расчет_аналитики'!AU4666),0)</f>
        <v/>
      </c>
      <c r="AV4667">
        <f>IF('01_Вводные'!$B$234="Да",MAX(0,'19_Расчет_аналитики'!AV4664-'19_Расчет_аналитики'!AV4665-'19_Расчет_аналитики'!AV4666),0)</f>
        <v/>
      </c>
      <c r="AW4667">
        <f>IF('01_Вводные'!$B$234="Да",MAX(0,'19_Расчет_аналитики'!AW4664-'19_Расчет_аналитики'!AW4665-'19_Расчет_аналитики'!AW4666),0)</f>
        <v/>
      </c>
      <c r="AX4667">
        <f>IF('01_Вводные'!$B$234="Да",MAX(0,'19_Расчет_аналитики'!AX4664-'19_Расчет_аналитики'!AX4665-'19_Расчет_аналитики'!AX4666),0)</f>
        <v/>
      </c>
      <c r="AY4667">
        <f>IF('01_Вводные'!$B$234="Да",MAX(0,'19_Расчет_аналитики'!AY4664-'19_Расчет_аналитики'!AY4665-'19_Расчет_аналитики'!AY4666),0)</f>
        <v/>
      </c>
      <c r="AZ4667">
        <f>IF('01_Вводные'!$B$234="Да",MAX(0,'19_Расчет_аналитики'!AZ4664-'19_Расчет_аналитики'!AZ4665-'19_Расчет_аналитики'!AZ4666),0)</f>
        <v/>
      </c>
      <c r="BA4667">
        <f>IF('01_Вводные'!$B$234="Да",MAX(0,'19_Расчет_аналитики'!BA4664-'19_Расчет_аналитики'!BA4665-'19_Расчет_аналитики'!BA4666),0)</f>
        <v/>
      </c>
      <c r="BB4667">
        <f>IF('01_Вводные'!$B$234="Да",MAX(0,'19_Расчет_аналитики'!BB4664-'19_Расчет_аналитики'!BB4665-'19_Расчет_аналитики'!BB4666),0)</f>
        <v/>
      </c>
      <c r="BC4667">
        <f>IF('01_Вводные'!$B$234="Да",MAX(0,'19_Расчет_аналитики'!BC4664-'19_Расчет_аналитики'!BC4665-'19_Расчет_аналитики'!BC4666),0)</f>
        <v/>
      </c>
      <c r="BD4667">
        <f>IF('01_Вводные'!$B$234="Да",MAX(0,'19_Расчет_аналитики'!BD4664-'19_Расчет_аналитики'!BD4665-'19_Расчет_аналитики'!BD4666),0)</f>
        <v/>
      </c>
      <c r="BE4667">
        <f>IF('01_Вводные'!$B$234="Да",MAX(0,'19_Расчет_аналитики'!BE4664-'19_Расчет_аналитики'!BE4665-'19_Расчет_аналитики'!BE4666),0)</f>
        <v/>
      </c>
      <c r="BF4667">
        <f>IF('01_Вводные'!$B$234="Да",MAX(0,'19_Расчет_аналитики'!BF4664-'19_Расчет_аналитики'!BF4665-'19_Расчет_аналитики'!BF4666),0)</f>
        <v/>
      </c>
      <c r="BG4667">
        <f>IF('01_Вводные'!$B$234="Да",MAX(0,'19_Расчет_аналитики'!BG4664-'19_Расчет_аналитики'!BG4665-'19_Расчет_аналитики'!BG4666),0)</f>
        <v/>
      </c>
      <c r="BH4667">
        <f>IF('01_Вводные'!$B$234="Да",MAX(0,'19_Расчет_аналитики'!BH4664-'19_Расчет_аналитики'!BH4665-'19_Расчет_аналитики'!BH4666),0)</f>
        <v/>
      </c>
      <c r="BI4667">
        <f>IF('01_Вводные'!$B$234="Да",MAX(0,'19_Расчет_аналитики'!BI4664-'19_Расчет_аналитики'!BI4665-'19_Расчет_аналитики'!BI4666),0)</f>
        <v/>
      </c>
      <c r="BJ4667">
        <f>IF('01_Вводные'!$B$234="Да",MAX(0,'19_Расчет_аналитики'!BJ4664-'19_Расчет_аналитики'!BJ4665-'19_Расчет_аналитики'!BJ4666),0)</f>
        <v/>
      </c>
      <c r="BK4667">
        <f>IF('01_Вводные'!$B$234="Да",MAX(0,'19_Расчет_аналитики'!BK4664-'19_Расчет_аналитики'!BK4665-'19_Расчет_аналитики'!BK4666),0)</f>
        <v/>
      </c>
      <c r="BL4667">
        <f>IF('01_Вводные'!$B$234="Да",MAX(0,'19_Расчет_аналитики'!BL4664-'19_Расчет_аналитики'!BL4665-'19_Расчет_аналитики'!BL4666),0)</f>
        <v/>
      </c>
      <c r="BM4667">
        <f>IF('01_Вводные'!$B$234="Да",MAX(0,'19_Расчет_аналитики'!BM4664-'19_Расчет_аналитики'!BM4665-'19_Расчет_аналитики'!BM4666),0)</f>
        <v/>
      </c>
      <c r="BN4667">
        <f>IF('01_Вводные'!$B$234="Да",MAX(0,'19_Расчет_аналитики'!BN4664-'19_Расчет_аналитики'!BN4665-'19_Расчет_аналитики'!BN4666),0)</f>
        <v/>
      </c>
      <c r="BO4667">
        <f>IF('01_Вводные'!$B$234="Да",MAX(0,'19_Расчет_аналитики'!BO4664-'19_Расчет_аналитики'!BO4665-'19_Расчет_аналитики'!BO4666),0)</f>
        <v/>
      </c>
    </row>
    <row r="4668">
      <c r="B4668">
        <f>IF('01_Вводные'!$B$234="Да",'19_Расчет_аналитики'!B4667*'01_Вводные'!$B$76,0)</f>
        <v/>
      </c>
      <c r="C4668">
        <f>IF('01_Вводные'!$B$234="Да",'19_Расчет_аналитики'!C4667*'01_Вводные'!$B$76,0)</f>
        <v/>
      </c>
      <c r="D4668">
        <f>IF('01_Вводные'!$B$234="Да",'19_Расчет_аналитики'!D4667*'01_Вводные'!$B$76,0)</f>
        <v/>
      </c>
      <c r="E4668">
        <f>IF('01_Вводные'!$B$234="Да",'19_Расчет_аналитики'!E4667*'01_Вводные'!$B$76,0)</f>
        <v/>
      </c>
      <c r="F4668">
        <f>IF('01_Вводные'!$B$234="Да",'19_Расчет_аналитики'!F4667*'01_Вводные'!$B$76,0)</f>
        <v/>
      </c>
      <c r="G4668">
        <f>IF('01_Вводные'!$B$234="Да",'19_Расчет_аналитики'!G4667*'01_Вводные'!$B$76,0)</f>
        <v/>
      </c>
      <c r="H4668">
        <f>IF('01_Вводные'!$B$234="Да",'19_Расчет_аналитики'!H4667*'01_Вводные'!$B$76,0)</f>
        <v/>
      </c>
      <c r="I4668">
        <f>IF('01_Вводные'!$B$234="Да",'19_Расчет_аналитики'!I4667*'01_Вводные'!$B$76,0)</f>
        <v/>
      </c>
      <c r="J4668">
        <f>IF('01_Вводные'!$B$234="Да",'19_Расчет_аналитики'!J4667*'01_Вводные'!$B$76,0)</f>
        <v/>
      </c>
      <c r="K4668">
        <f>IF('01_Вводные'!$B$234="Да",'19_Расчет_аналитики'!K4667*'01_Вводные'!$B$76,0)</f>
        <v/>
      </c>
      <c r="L4668">
        <f>IF('01_Вводные'!$B$234="Да",'19_Расчет_аналитики'!L4667*'01_Вводные'!$B$76,0)</f>
        <v/>
      </c>
      <c r="M4668">
        <f>IF('01_Вводные'!$B$234="Да",'19_Расчет_аналитики'!M4667*'01_Вводные'!$B$76,0)</f>
        <v/>
      </c>
      <c r="N4668">
        <f>IF('01_Вводные'!$B$234="Да",'19_Расчет_аналитики'!N4667*'01_Вводные'!$B$76,0)</f>
        <v/>
      </c>
      <c r="O4668">
        <f>IF('01_Вводные'!$B$234="Да",'19_Расчет_аналитики'!O4667*'01_Вводные'!$B$76,0)</f>
        <v/>
      </c>
      <c r="P4668">
        <f>IF('01_Вводные'!$B$234="Да",'19_Расчет_аналитики'!P4667*'01_Вводные'!$B$76,0)</f>
        <v/>
      </c>
      <c r="Q4668">
        <f>IF('01_Вводные'!$B$234="Да",'19_Расчет_аналитики'!Q4667*'01_Вводные'!$B$76,0)</f>
        <v/>
      </c>
      <c r="R4668">
        <f>IF('01_Вводные'!$B$234="Да",'19_Расчет_аналитики'!R4667*'01_Вводные'!$B$76,0)</f>
        <v/>
      </c>
      <c r="S4668">
        <f>IF('01_Вводные'!$B$234="Да",'19_Расчет_аналитики'!S4667*'01_Вводные'!$B$76,0)</f>
        <v/>
      </c>
      <c r="T4668">
        <f>IF('01_Вводные'!$B$234="Да",'19_Расчет_аналитики'!T4667*'01_Вводные'!$B$76,0)</f>
        <v/>
      </c>
      <c r="U4668">
        <f>IF('01_Вводные'!$B$234="Да",'19_Расчет_аналитики'!U4667*'01_Вводные'!$B$76,0)</f>
        <v/>
      </c>
      <c r="V4668">
        <f>IF('01_Вводные'!$B$234="Да",'19_Расчет_аналитики'!V4667*'01_Вводные'!$B$76,0)</f>
        <v/>
      </c>
      <c r="W4668">
        <f>IF('01_Вводные'!$B$234="Да",'19_Расчет_аналитики'!W4667*'01_Вводные'!$B$76,0)</f>
        <v/>
      </c>
      <c r="X4668">
        <f>IF('01_Вводные'!$B$234="Да",'19_Расчет_аналитики'!X4667*'01_Вводные'!$B$76,0)</f>
        <v/>
      </c>
      <c r="Y4668">
        <f>IF('01_Вводные'!$B$234="Да",'19_Расчет_аналитики'!Y4667*'01_Вводные'!$B$76,0)</f>
        <v/>
      </c>
      <c r="Z4668">
        <f>IF('01_Вводные'!$B$234="Да",'19_Расчет_аналитики'!Z4667*'01_Вводные'!$B$76,0)</f>
        <v/>
      </c>
      <c r="AA4668">
        <f>IF('01_Вводные'!$B$234="Да",'19_Расчет_аналитики'!AA4667*'01_Вводные'!$B$76,0)</f>
        <v/>
      </c>
      <c r="AB4668">
        <f>IF('01_Вводные'!$B$234="Да",'19_Расчет_аналитики'!AB4667*'01_Вводные'!$B$76,0)</f>
        <v/>
      </c>
      <c r="AC4668">
        <f>IF('01_Вводные'!$B$234="Да",'19_Расчет_аналитики'!AC4667*'01_Вводные'!$B$76,0)</f>
        <v/>
      </c>
      <c r="AD4668">
        <f>IF('01_Вводные'!$B$234="Да",'19_Расчет_аналитики'!AD4667*'01_Вводные'!$B$76,0)</f>
        <v/>
      </c>
      <c r="AE4668">
        <f>IF('01_Вводные'!$B$234="Да",'19_Расчет_аналитики'!AE4667*'01_Вводные'!$B$76,0)</f>
        <v/>
      </c>
      <c r="AF4668">
        <f>IF('01_Вводные'!$B$234="Да",'19_Расчет_аналитики'!AF4667*'01_Вводные'!$B$76,0)</f>
        <v/>
      </c>
      <c r="AG4668">
        <f>IF('01_Вводные'!$B$234="Да",'19_Расчет_аналитики'!AG4667*'01_Вводные'!$B$76,0)</f>
        <v/>
      </c>
      <c r="AH4668">
        <f>IF('01_Вводные'!$B$234="Да",'19_Расчет_аналитики'!AH4667*'01_Вводные'!$B$76,0)</f>
        <v/>
      </c>
      <c r="AI4668">
        <f>IF('01_Вводные'!$B$234="Да",'19_Расчет_аналитики'!AI4667*'01_Вводные'!$B$76,0)</f>
        <v/>
      </c>
      <c r="AJ4668">
        <f>IF('01_Вводные'!$B$234="Да",'19_Расчет_аналитики'!AJ4667*'01_Вводные'!$B$76,0)</f>
        <v/>
      </c>
      <c r="AK4668">
        <f>IF('01_Вводные'!$B$234="Да",'19_Расчет_аналитики'!AK4667*'01_Вводные'!$B$76,0)</f>
        <v/>
      </c>
      <c r="AL4668">
        <f>IF('01_Вводные'!$B$234="Да",'19_Расчет_аналитики'!AL4667*'01_Вводные'!$B$76,0)</f>
        <v/>
      </c>
      <c r="AM4668">
        <f>IF('01_Вводные'!$B$234="Да",'19_Расчет_аналитики'!AM4667*'01_Вводные'!$B$76,0)</f>
        <v/>
      </c>
      <c r="AN4668">
        <f>IF('01_Вводные'!$B$234="Да",'19_Расчет_аналитики'!AN4667*'01_Вводные'!$B$76,0)</f>
        <v/>
      </c>
      <c r="AO4668">
        <f>IF('01_Вводные'!$B$234="Да",'19_Расчет_аналитики'!AO4667*'01_Вводные'!$B$76,0)</f>
        <v/>
      </c>
      <c r="AP4668">
        <f>IF('01_Вводные'!$B$234="Да",'19_Расчет_аналитики'!AP4667*'01_Вводные'!$B$76,0)</f>
        <v/>
      </c>
      <c r="AQ4668">
        <f>IF('01_Вводные'!$B$234="Да",'19_Расчет_аналитики'!AQ4667*'01_Вводные'!$B$76,0)</f>
        <v/>
      </c>
      <c r="AR4668">
        <f>IF('01_Вводные'!$B$234="Да",'19_Расчет_аналитики'!AR4667*'01_Вводные'!$B$76,0)</f>
        <v/>
      </c>
      <c r="AS4668">
        <f>IF('01_Вводные'!$B$234="Да",'19_Расчет_аналитики'!AS4667*'01_Вводные'!$B$76,0)</f>
        <v/>
      </c>
      <c r="AT4668">
        <f>IF('01_Вводные'!$B$234="Да",'19_Расчет_аналитики'!AT4667*'01_Вводные'!$B$76,0)</f>
        <v/>
      </c>
      <c r="AU4668">
        <f>IF('01_Вводные'!$B$234="Да",'19_Расчет_аналитики'!AU4667*'01_Вводные'!$B$76,0)</f>
        <v/>
      </c>
      <c r="AV4668">
        <f>IF('01_Вводные'!$B$234="Да",'19_Расчет_аналитики'!AV4667*'01_Вводные'!$B$76,0)</f>
        <v/>
      </c>
      <c r="AW4668">
        <f>IF('01_Вводные'!$B$234="Да",'19_Расчет_аналитики'!AW4667*'01_Вводные'!$B$76,0)</f>
        <v/>
      </c>
      <c r="AX4668">
        <f>IF('01_Вводные'!$B$234="Да",'19_Расчет_аналитики'!AX4667*'01_Вводные'!$B$76,0)</f>
        <v/>
      </c>
      <c r="AY4668">
        <f>IF('01_Вводные'!$B$234="Да",'19_Расчет_аналитики'!AY4667*'01_Вводные'!$B$76,0)</f>
        <v/>
      </c>
      <c r="AZ4668">
        <f>IF('01_Вводные'!$B$234="Да",'19_Расчет_аналитики'!AZ4667*'01_Вводные'!$B$76,0)</f>
        <v/>
      </c>
      <c r="BA4668">
        <f>IF('01_Вводные'!$B$234="Да",'19_Расчет_аналитики'!BA4667*'01_Вводные'!$B$76,0)</f>
        <v/>
      </c>
      <c r="BB4668">
        <f>IF('01_Вводные'!$B$234="Да",'19_Расчет_аналитики'!BB4667*'01_Вводные'!$B$76,0)</f>
        <v/>
      </c>
      <c r="BC4668">
        <f>IF('01_Вводные'!$B$234="Да",'19_Расчет_аналитики'!BC4667*'01_Вводные'!$B$76,0)</f>
        <v/>
      </c>
      <c r="BD4668">
        <f>IF('01_Вводные'!$B$234="Да",'19_Расчет_аналитики'!BD4667*'01_Вводные'!$B$76,0)</f>
        <v/>
      </c>
      <c r="BE4668">
        <f>IF('01_Вводные'!$B$234="Да",'19_Расчет_аналитики'!BE4667*'01_Вводные'!$B$76,0)</f>
        <v/>
      </c>
      <c r="BF4668">
        <f>IF('01_Вводные'!$B$234="Да",'19_Расчет_аналитики'!BF4667*'01_Вводные'!$B$76,0)</f>
        <v/>
      </c>
      <c r="BG4668">
        <f>IF('01_Вводные'!$B$234="Да",'19_Расчет_аналитики'!BG4667*'01_Вводные'!$B$76,0)</f>
        <v/>
      </c>
      <c r="BH4668">
        <f>IF('01_Вводные'!$B$234="Да",'19_Расчет_аналитики'!BH4667*'01_Вводные'!$B$76,0)</f>
        <v/>
      </c>
      <c r="BI4668">
        <f>IF('01_Вводные'!$B$234="Да",'19_Расчет_аналитики'!BI4667*'01_Вводные'!$B$76,0)</f>
        <v/>
      </c>
      <c r="BJ4668">
        <f>IF('01_Вводные'!$B$234="Да",'19_Расчет_аналитики'!BJ4667*'01_Вводные'!$B$76,0)</f>
        <v/>
      </c>
      <c r="BK4668">
        <f>IF('01_Вводные'!$B$234="Да",'19_Расчет_аналитики'!BK4667*'01_Вводные'!$B$76,0)</f>
        <v/>
      </c>
      <c r="BL4668">
        <f>IF('01_Вводные'!$B$234="Да",'19_Расчет_аналитики'!BL4667*'01_Вводные'!$B$76,0)</f>
        <v/>
      </c>
      <c r="BM4668">
        <f>IF('01_Вводные'!$B$234="Да",'19_Расчет_аналитики'!BM4667*'01_Вводные'!$B$76,0)</f>
        <v/>
      </c>
      <c r="BN4668">
        <f>IF('01_Вводные'!$B$234="Да",'19_Расчет_аналитики'!BN4667*'01_Вводные'!$B$76,0)</f>
        <v/>
      </c>
      <c r="BO4668">
        <f>IF('01_Вводные'!$B$234="Да",'19_Расчет_аналитики'!BO4667*'01_Вводные'!$B$76,0)</f>
        <v/>
      </c>
    </row>
    <row r="4669"/>
    <row r="4670"/>
    <row r="4671">
      <c r="C4671">
        <f>IF('01_Вводные'!$B$234="Да",'19_Расчет_аналитики'!B4675,0)</f>
        <v/>
      </c>
      <c r="D4671">
        <f>IF('01_Вводные'!$B$234="Да",'19_Расчет_аналитики'!C4675,0)</f>
        <v/>
      </c>
      <c r="E4671">
        <f>IF('01_Вводные'!$B$234="Да",'19_Расчет_аналитики'!D4675,0)</f>
        <v/>
      </c>
      <c r="F4671">
        <f>IF('01_Вводные'!$B$234="Да",'19_Расчет_аналитики'!E4675,0)</f>
        <v/>
      </c>
      <c r="G4671">
        <f>IF('01_Вводные'!$B$234="Да",'19_Расчет_аналитики'!F4675,0)</f>
        <v/>
      </c>
      <c r="H4671">
        <f>IF('01_Вводные'!$B$234="Да",'19_Расчет_аналитики'!G4675,0)</f>
        <v/>
      </c>
      <c r="I4671">
        <f>IF('01_Вводные'!$B$234="Да",'19_Расчет_аналитики'!H4675,0)</f>
        <v/>
      </c>
      <c r="J4671">
        <f>IF('01_Вводные'!$B$234="Да",'19_Расчет_аналитики'!I4675,0)</f>
        <v/>
      </c>
      <c r="K4671">
        <f>IF('01_Вводные'!$B$234="Да",'19_Расчет_аналитики'!J4675,0)</f>
        <v/>
      </c>
      <c r="L4671">
        <f>IF('01_Вводные'!$B$234="Да",'19_Расчет_аналитики'!K4675,0)</f>
        <v/>
      </c>
      <c r="M4671">
        <f>IF('01_Вводные'!$B$234="Да",'19_Расчет_аналитики'!L4675,0)</f>
        <v/>
      </c>
      <c r="N4671">
        <f>IF('01_Вводные'!$B$234="Да",'19_Расчет_аналитики'!M4675,0)</f>
        <v/>
      </c>
      <c r="O4671">
        <f>IF('01_Вводные'!$B$234="Да",'19_Расчет_аналитики'!N4675,0)</f>
        <v/>
      </c>
      <c r="P4671">
        <f>IF('01_Вводные'!$B$234="Да",'19_Расчет_аналитики'!O4675,0)</f>
        <v/>
      </c>
      <c r="Q4671">
        <f>IF('01_Вводные'!$B$234="Да",'19_Расчет_аналитики'!P4675,0)</f>
        <v/>
      </c>
      <c r="R4671">
        <f>IF('01_Вводные'!$B$234="Да",'19_Расчет_аналитики'!Q4675,0)</f>
        <v/>
      </c>
      <c r="S4671">
        <f>IF('01_Вводные'!$B$234="Да",'19_Расчет_аналитики'!R4675,0)</f>
        <v/>
      </c>
      <c r="T4671">
        <f>IF('01_Вводные'!$B$234="Да",'19_Расчет_аналитики'!S4675,0)</f>
        <v/>
      </c>
      <c r="U4671">
        <f>IF('01_Вводные'!$B$234="Да",'19_Расчет_аналитики'!T4675,0)</f>
        <v/>
      </c>
      <c r="V4671">
        <f>IF('01_Вводные'!$B$234="Да",'19_Расчет_аналитики'!U4675,0)</f>
        <v/>
      </c>
      <c r="W4671">
        <f>IF('01_Вводные'!$B$234="Да",'19_Расчет_аналитики'!V4675,0)</f>
        <v/>
      </c>
      <c r="X4671">
        <f>IF('01_Вводные'!$B$234="Да",'19_Расчет_аналитики'!W4675,0)</f>
        <v/>
      </c>
      <c r="Y4671">
        <f>IF('01_Вводные'!$B$234="Да",'19_Расчет_аналитики'!X4675,0)</f>
        <v/>
      </c>
      <c r="Z4671">
        <f>IF('01_Вводные'!$B$234="Да",'19_Расчет_аналитики'!Y4675,0)</f>
        <v/>
      </c>
      <c r="AA4671">
        <f>IF('01_Вводные'!$B$234="Да",'19_Расчет_аналитики'!Z4675,0)</f>
        <v/>
      </c>
      <c r="AB4671">
        <f>IF('01_Вводные'!$B$234="Да",'19_Расчет_аналитики'!AA4675,0)</f>
        <v/>
      </c>
      <c r="AC4671">
        <f>IF('01_Вводные'!$B$234="Да",'19_Расчет_аналитики'!AB4675,0)</f>
        <v/>
      </c>
      <c r="AD4671">
        <f>IF('01_Вводные'!$B$234="Да",'19_Расчет_аналитики'!AC4675,0)</f>
        <v/>
      </c>
      <c r="AE4671">
        <f>IF('01_Вводные'!$B$234="Да",'19_Расчет_аналитики'!AD4675,0)</f>
        <v/>
      </c>
      <c r="AF4671">
        <f>IF('01_Вводные'!$B$234="Да",'19_Расчет_аналитики'!AE4675,0)</f>
        <v/>
      </c>
      <c r="AG4671">
        <f>IF('01_Вводные'!$B$234="Да",'19_Расчет_аналитики'!AF4675,0)</f>
        <v/>
      </c>
      <c r="AH4671">
        <f>IF('01_Вводные'!$B$234="Да",'19_Расчет_аналитики'!AG4675,0)</f>
        <v/>
      </c>
      <c r="AI4671">
        <f>IF('01_Вводные'!$B$234="Да",'19_Расчет_аналитики'!AH4675,0)</f>
        <v/>
      </c>
      <c r="AJ4671">
        <f>IF('01_Вводные'!$B$234="Да",'19_Расчет_аналитики'!AI4675,0)</f>
        <v/>
      </c>
      <c r="AK4671">
        <f>IF('01_Вводные'!$B$234="Да",'19_Расчет_аналитики'!AJ4675,0)</f>
        <v/>
      </c>
      <c r="AL4671">
        <f>IF('01_Вводные'!$B$234="Да",'19_Расчет_аналитики'!AK4675,0)</f>
        <v/>
      </c>
      <c r="AM4671">
        <f>IF('01_Вводные'!$B$234="Да",'19_Расчет_аналитики'!AL4675,0)</f>
        <v/>
      </c>
      <c r="AN4671">
        <f>IF('01_Вводные'!$B$234="Да",'19_Расчет_аналитики'!AM4675,0)</f>
        <v/>
      </c>
      <c r="AO4671">
        <f>IF('01_Вводные'!$B$234="Да",'19_Расчет_аналитики'!AN4675,0)</f>
        <v/>
      </c>
      <c r="AP4671">
        <f>IF('01_Вводные'!$B$234="Да",'19_Расчет_аналитики'!AO4675,0)</f>
        <v/>
      </c>
      <c r="AQ4671">
        <f>IF('01_Вводные'!$B$234="Да",'19_Расчет_аналитики'!AP4675,0)</f>
        <v/>
      </c>
      <c r="AR4671">
        <f>IF('01_Вводные'!$B$234="Да",'19_Расчет_аналитики'!AQ4675,0)</f>
        <v/>
      </c>
      <c r="AS4671">
        <f>IF('01_Вводные'!$B$234="Да",'19_Расчет_аналитики'!AR4675,0)</f>
        <v/>
      </c>
      <c r="AT4671">
        <f>IF('01_Вводные'!$B$234="Да",'19_Расчет_аналитики'!AS4675,0)</f>
        <v/>
      </c>
      <c r="AU4671">
        <f>IF('01_Вводные'!$B$234="Да",'19_Расчет_аналитики'!AT4675,0)</f>
        <v/>
      </c>
      <c r="AV4671">
        <f>IF('01_Вводные'!$B$234="Да",'19_Расчет_аналитики'!AU4675,0)</f>
        <v/>
      </c>
      <c r="AW4671">
        <f>IF('01_Вводные'!$B$234="Да",'19_Расчет_аналитики'!AV4675,0)</f>
        <v/>
      </c>
      <c r="AX4671">
        <f>IF('01_Вводные'!$B$234="Да",'19_Расчет_аналитики'!AW4675,0)</f>
        <v/>
      </c>
      <c r="AY4671">
        <f>IF('01_Вводные'!$B$234="Да",'19_Расчет_аналитики'!AX4675,0)</f>
        <v/>
      </c>
      <c r="AZ4671">
        <f>IF('01_Вводные'!$B$234="Да",'19_Расчет_аналитики'!AY4675,0)</f>
        <v/>
      </c>
      <c r="BA4671">
        <f>IF('01_Вводные'!$B$234="Да",'19_Расчет_аналитики'!AZ4675,0)</f>
        <v/>
      </c>
      <c r="BB4671">
        <f>IF('01_Вводные'!$B$234="Да",'19_Расчет_аналитики'!BA4675,0)</f>
        <v/>
      </c>
      <c r="BC4671">
        <f>IF('01_Вводные'!$B$234="Да",'19_Расчет_аналитики'!BB4675,0)</f>
        <v/>
      </c>
      <c r="BD4671">
        <f>IF('01_Вводные'!$B$234="Да",'19_Расчет_аналитики'!BC4675,0)</f>
        <v/>
      </c>
      <c r="BE4671">
        <f>IF('01_Вводные'!$B$234="Да",'19_Расчет_аналитики'!BD4675,0)</f>
        <v/>
      </c>
      <c r="BF4671">
        <f>IF('01_Вводные'!$B$234="Да",'19_Расчет_аналитики'!BE4675,0)</f>
        <v/>
      </c>
      <c r="BG4671">
        <f>IF('01_Вводные'!$B$234="Да",'19_Расчет_аналитики'!BF4675,0)</f>
        <v/>
      </c>
      <c r="BH4671">
        <f>IF('01_Вводные'!$B$234="Да",'19_Расчет_аналитики'!BG4675,0)</f>
        <v/>
      </c>
      <c r="BI4671">
        <f>IF('01_Вводные'!$B$234="Да",'19_Расчет_аналитики'!BH4675,0)</f>
        <v/>
      </c>
      <c r="BJ4671">
        <f>IF('01_Вводные'!$B$234="Да",'19_Расчет_аналитики'!BI4675,0)</f>
        <v/>
      </c>
      <c r="BK4671">
        <f>IF('01_Вводные'!$B$234="Да",'19_Расчет_аналитики'!BJ4675,0)</f>
        <v/>
      </c>
      <c r="BL4671">
        <f>IF('01_Вводные'!$B$234="Да",'19_Расчет_аналитики'!BK4675,0)</f>
        <v/>
      </c>
      <c r="BM4671">
        <f>IF('01_Вводные'!$B$234="Да",'19_Расчет_аналитики'!BL4675,0)</f>
        <v/>
      </c>
      <c r="BN4671">
        <f>IF('01_Вводные'!$B$234="Да",'19_Расчет_аналитики'!BM4675,0)</f>
        <v/>
      </c>
      <c r="BO4671">
        <f>IF('01_Вводные'!$B$234="Да",'19_Расчет_аналитики'!BN4675,0)</f>
        <v/>
      </c>
    </row>
    <row r="4672">
      <c r="B4672">
        <f>IF('01_Вводные'!$B$234="Да",'19_Расчет_аналитики'!B4665,0)</f>
        <v/>
      </c>
      <c r="C4672">
        <f>IF('01_Вводные'!$B$234="Да",'19_Расчет_аналитики'!C4665,0)</f>
        <v/>
      </c>
      <c r="D4672">
        <f>IF('01_Вводные'!$B$234="Да",'19_Расчет_аналитики'!D4665,0)</f>
        <v/>
      </c>
      <c r="E4672">
        <f>IF('01_Вводные'!$B$234="Да",'19_Расчет_аналитики'!E4665,0)</f>
        <v/>
      </c>
      <c r="F4672">
        <f>IF('01_Вводные'!$B$234="Да",'19_Расчет_аналитики'!F4665,0)</f>
        <v/>
      </c>
      <c r="G4672">
        <f>IF('01_Вводные'!$B$234="Да",'19_Расчет_аналитики'!G4665,0)</f>
        <v/>
      </c>
      <c r="H4672">
        <f>IF('01_Вводные'!$B$234="Да",'19_Расчет_аналитики'!H4665,0)</f>
        <v/>
      </c>
      <c r="I4672">
        <f>IF('01_Вводные'!$B$234="Да",'19_Расчет_аналитики'!I4665,0)</f>
        <v/>
      </c>
      <c r="J4672">
        <f>IF('01_Вводные'!$B$234="Да",'19_Расчет_аналитики'!J4665,0)</f>
        <v/>
      </c>
      <c r="K4672">
        <f>IF('01_Вводные'!$B$234="Да",'19_Расчет_аналитики'!K4665,0)</f>
        <v/>
      </c>
      <c r="L4672">
        <f>IF('01_Вводные'!$B$234="Да",'19_Расчет_аналитики'!L4665,0)</f>
        <v/>
      </c>
      <c r="M4672">
        <f>IF('01_Вводные'!$B$234="Да",'19_Расчет_аналитики'!M4665,0)</f>
        <v/>
      </c>
      <c r="N4672">
        <f>IF('01_Вводные'!$B$234="Да",'19_Расчет_аналитики'!N4665,0)</f>
        <v/>
      </c>
      <c r="O4672">
        <f>IF('01_Вводные'!$B$234="Да",'19_Расчет_аналитики'!O4665,0)</f>
        <v/>
      </c>
      <c r="P4672">
        <f>IF('01_Вводные'!$B$234="Да",'19_Расчет_аналитики'!P4665,0)</f>
        <v/>
      </c>
      <c r="Q4672">
        <f>IF('01_Вводные'!$B$234="Да",'19_Расчет_аналитики'!Q4665,0)</f>
        <v/>
      </c>
      <c r="R4672">
        <f>IF('01_Вводные'!$B$234="Да",'19_Расчет_аналитики'!R4665,0)</f>
        <v/>
      </c>
      <c r="S4672">
        <f>IF('01_Вводные'!$B$234="Да",'19_Расчет_аналитики'!S4665,0)</f>
        <v/>
      </c>
      <c r="T4672">
        <f>IF('01_Вводные'!$B$234="Да",'19_Расчет_аналитики'!T4665,0)</f>
        <v/>
      </c>
      <c r="U4672">
        <f>IF('01_Вводные'!$B$234="Да",'19_Расчет_аналитики'!U4665,0)</f>
        <v/>
      </c>
      <c r="V4672">
        <f>IF('01_Вводные'!$B$234="Да",'19_Расчет_аналитики'!V4665,0)</f>
        <v/>
      </c>
      <c r="W4672">
        <f>IF('01_Вводные'!$B$234="Да",'19_Расчет_аналитики'!W4665,0)</f>
        <v/>
      </c>
      <c r="X4672">
        <f>IF('01_Вводные'!$B$234="Да",'19_Расчет_аналитики'!X4665,0)</f>
        <v/>
      </c>
      <c r="Y4672">
        <f>IF('01_Вводные'!$B$234="Да",'19_Расчет_аналитики'!Y4665,0)</f>
        <v/>
      </c>
      <c r="Z4672">
        <f>IF('01_Вводные'!$B$234="Да",'19_Расчет_аналитики'!Z4665,0)</f>
        <v/>
      </c>
      <c r="AA4672">
        <f>IF('01_Вводные'!$B$234="Да",'19_Расчет_аналитики'!AA4665,0)</f>
        <v/>
      </c>
      <c r="AB4672">
        <f>IF('01_Вводные'!$B$234="Да",'19_Расчет_аналитики'!AB4665,0)</f>
        <v/>
      </c>
      <c r="AC4672">
        <f>IF('01_Вводные'!$B$234="Да",'19_Расчет_аналитики'!AC4665,0)</f>
        <v/>
      </c>
      <c r="AD4672">
        <f>IF('01_Вводные'!$B$234="Да",'19_Расчет_аналитики'!AD4665,0)</f>
        <v/>
      </c>
      <c r="AE4672">
        <f>IF('01_Вводные'!$B$234="Да",'19_Расчет_аналитики'!AE4665,0)</f>
        <v/>
      </c>
      <c r="AF4672">
        <f>IF('01_Вводные'!$B$234="Да",'19_Расчет_аналитики'!AF4665,0)</f>
        <v/>
      </c>
      <c r="AG4672">
        <f>IF('01_Вводные'!$B$234="Да",'19_Расчет_аналитики'!AG4665,0)</f>
        <v/>
      </c>
      <c r="AH4672">
        <f>IF('01_Вводные'!$B$234="Да",'19_Расчет_аналитики'!AH4665,0)</f>
        <v/>
      </c>
      <c r="AI4672">
        <f>IF('01_Вводные'!$B$234="Да",'19_Расчет_аналитики'!AI4665,0)</f>
        <v/>
      </c>
      <c r="AJ4672">
        <f>IF('01_Вводные'!$B$234="Да",'19_Расчет_аналитики'!AJ4665,0)</f>
        <v/>
      </c>
      <c r="AK4672">
        <f>IF('01_Вводные'!$B$234="Да",'19_Расчет_аналитики'!AK4665,0)</f>
        <v/>
      </c>
      <c r="AL4672">
        <f>IF('01_Вводные'!$B$234="Да",'19_Расчет_аналитики'!AL4665,0)</f>
        <v/>
      </c>
      <c r="AM4672">
        <f>IF('01_Вводные'!$B$234="Да",'19_Расчет_аналитики'!AM4665,0)</f>
        <v/>
      </c>
      <c r="AN4672">
        <f>IF('01_Вводные'!$B$234="Да",'19_Расчет_аналитики'!AN4665,0)</f>
        <v/>
      </c>
      <c r="AO4672">
        <f>IF('01_Вводные'!$B$234="Да",'19_Расчет_аналитики'!AO4665,0)</f>
        <v/>
      </c>
      <c r="AP4672">
        <f>IF('01_Вводные'!$B$234="Да",'19_Расчет_аналитики'!AP4665,0)</f>
        <v/>
      </c>
      <c r="AQ4672">
        <f>IF('01_Вводные'!$B$234="Да",'19_Расчет_аналитики'!AQ4665,0)</f>
        <v/>
      </c>
      <c r="AR4672">
        <f>IF('01_Вводные'!$B$234="Да",'19_Расчет_аналитики'!AR4665,0)</f>
        <v/>
      </c>
      <c r="AS4672">
        <f>IF('01_Вводные'!$B$234="Да",'19_Расчет_аналитики'!AS4665,0)</f>
        <v/>
      </c>
      <c r="AT4672">
        <f>IF('01_Вводные'!$B$234="Да",'19_Расчет_аналитики'!AT4665,0)</f>
        <v/>
      </c>
      <c r="AU4672">
        <f>IF('01_Вводные'!$B$234="Да",'19_Расчет_аналитики'!AU4665,0)</f>
        <v/>
      </c>
      <c r="AV4672">
        <f>IF('01_Вводные'!$B$234="Да",'19_Расчет_аналитики'!AV4665,0)</f>
        <v/>
      </c>
      <c r="AW4672">
        <f>IF('01_Вводные'!$B$234="Да",'19_Расчет_аналитики'!AW4665,0)</f>
        <v/>
      </c>
      <c r="AX4672">
        <f>IF('01_Вводные'!$B$234="Да",'19_Расчет_аналитики'!AX4665,0)</f>
        <v/>
      </c>
      <c r="AY4672">
        <f>IF('01_Вводные'!$B$234="Да",'19_Расчет_аналитики'!AY4665,0)</f>
        <v/>
      </c>
      <c r="AZ4672">
        <f>IF('01_Вводные'!$B$234="Да",'19_Расчет_аналитики'!AZ4665,0)</f>
        <v/>
      </c>
      <c r="BA4672">
        <f>IF('01_Вводные'!$B$234="Да",'19_Расчет_аналитики'!BA4665,0)</f>
        <v/>
      </c>
      <c r="BB4672">
        <f>IF('01_Вводные'!$B$234="Да",'19_Расчет_аналитики'!BB4665,0)</f>
        <v/>
      </c>
      <c r="BC4672">
        <f>IF('01_Вводные'!$B$234="Да",'19_Расчет_аналитики'!BC4665,0)</f>
        <v/>
      </c>
      <c r="BD4672">
        <f>IF('01_Вводные'!$B$234="Да",'19_Расчет_аналитики'!BD4665,0)</f>
        <v/>
      </c>
      <c r="BE4672">
        <f>IF('01_Вводные'!$B$234="Да",'19_Расчет_аналитики'!BE4665,0)</f>
        <v/>
      </c>
      <c r="BF4672">
        <f>IF('01_Вводные'!$B$234="Да",'19_Расчет_аналитики'!BF4665,0)</f>
        <v/>
      </c>
      <c r="BG4672">
        <f>IF('01_Вводные'!$B$234="Да",'19_Расчет_аналитики'!BG4665,0)</f>
        <v/>
      </c>
      <c r="BH4672">
        <f>IF('01_Вводные'!$B$234="Да",'19_Расчет_аналитики'!BH4665,0)</f>
        <v/>
      </c>
      <c r="BI4672">
        <f>IF('01_Вводные'!$B$234="Да",'19_Расчет_аналитики'!BI4665,0)</f>
        <v/>
      </c>
      <c r="BJ4672">
        <f>IF('01_Вводные'!$B$234="Да",'19_Расчет_аналитики'!BJ4665,0)</f>
        <v/>
      </c>
      <c r="BK4672">
        <f>IF('01_Вводные'!$B$234="Да",'19_Расчет_аналитики'!BK4665,0)</f>
        <v/>
      </c>
      <c r="BL4672">
        <f>IF('01_Вводные'!$B$234="Да",'19_Расчет_аналитики'!BL4665,0)</f>
        <v/>
      </c>
      <c r="BM4672">
        <f>IF('01_Вводные'!$B$234="Да",'19_Расчет_аналитики'!BM4665,0)</f>
        <v/>
      </c>
      <c r="BN4672">
        <f>IF('01_Вводные'!$B$234="Да",'19_Расчет_аналитики'!BN4665,0)</f>
        <v/>
      </c>
      <c r="BO4672">
        <f>IF('01_Вводные'!$B$234="Да",'19_Расчет_аналитики'!BO4665,0)</f>
        <v/>
      </c>
    </row>
    <row r="4673">
      <c r="B4673">
        <f>IF('01_Вводные'!$B$234="Да",SUM(IF('01_Вводные'!$B$80&gt;=1,'19_Расчет_аналитики'!C4665,0),IF('01_Вводные'!$B$80&gt;=2,'19_Расчет_аналитики'!D4665,0),IF('01_Вводные'!$B$80&gt;=3,'19_Расчет_аналитики'!E4665,0),IF('01_Вводные'!$B$80&gt;=4,'19_Расчет_аналитики'!F4665,0),IF('01_Вводные'!$B$80&gt;=5,'19_Расчет_аналитики'!G4665,0),IF('01_Вводные'!$B$80&gt;=6,'19_Расчет_аналитики'!H4665,0)),0)</f>
        <v/>
      </c>
      <c r="C4673">
        <f>IF('01_Вводные'!$B$234="Да",SUM(IF('01_Вводные'!$B$80&gt;=1,'19_Расчет_аналитики'!D4665,0),IF('01_Вводные'!$B$80&gt;=2,'19_Расчет_аналитики'!E4665,0),IF('01_Вводные'!$B$80&gt;=3,'19_Расчет_аналитики'!F4665,0),IF('01_Вводные'!$B$80&gt;=4,'19_Расчет_аналитики'!G4665,0),IF('01_Вводные'!$B$80&gt;=5,'19_Расчет_аналитики'!H4665,0),IF('01_Вводные'!$B$80&gt;=6,'19_Расчет_аналитики'!I4665,0)),0)</f>
        <v/>
      </c>
      <c r="D4673">
        <f>IF('01_Вводные'!$B$234="Да",SUM(IF('01_Вводные'!$B$80&gt;=1,'19_Расчет_аналитики'!E4665,0),IF('01_Вводные'!$B$80&gt;=2,'19_Расчет_аналитики'!F4665,0),IF('01_Вводные'!$B$80&gt;=3,'19_Расчет_аналитики'!G4665,0),IF('01_Вводные'!$B$80&gt;=4,'19_Расчет_аналитики'!H4665,0),IF('01_Вводные'!$B$80&gt;=5,'19_Расчет_аналитики'!I4665,0),IF('01_Вводные'!$B$80&gt;=6,'19_Расчет_аналитики'!J4665,0)),0)</f>
        <v/>
      </c>
      <c r="E4673">
        <f>IF('01_Вводные'!$B$234="Да",SUM(IF('01_Вводные'!$B$80&gt;=1,'19_Расчет_аналитики'!F4665,0),IF('01_Вводные'!$B$80&gt;=2,'19_Расчет_аналитики'!G4665,0),IF('01_Вводные'!$B$80&gt;=3,'19_Расчет_аналитики'!H4665,0),IF('01_Вводные'!$B$80&gt;=4,'19_Расчет_аналитики'!I4665,0),IF('01_Вводные'!$B$80&gt;=5,'19_Расчет_аналитики'!J4665,0),IF('01_Вводные'!$B$80&gt;=6,'19_Расчет_аналитики'!K4665,0)),0)</f>
        <v/>
      </c>
      <c r="F4673">
        <f>IF('01_Вводные'!$B$234="Да",SUM(IF('01_Вводные'!$B$80&gt;=1,'19_Расчет_аналитики'!G4665,0),IF('01_Вводные'!$B$80&gt;=2,'19_Расчет_аналитики'!H4665,0),IF('01_Вводные'!$B$80&gt;=3,'19_Расчет_аналитики'!I4665,0),IF('01_Вводные'!$B$80&gt;=4,'19_Расчет_аналитики'!J4665,0),IF('01_Вводные'!$B$80&gt;=5,'19_Расчет_аналитики'!K4665,0),IF('01_Вводные'!$B$80&gt;=6,'19_Расчет_аналитики'!L4665,0)),0)</f>
        <v/>
      </c>
      <c r="G4673">
        <f>IF('01_Вводные'!$B$234="Да",SUM(IF('01_Вводные'!$B$80&gt;=1,'19_Расчет_аналитики'!H4665,0),IF('01_Вводные'!$B$80&gt;=2,'19_Расчет_аналитики'!I4665,0),IF('01_Вводные'!$B$80&gt;=3,'19_Расчет_аналитики'!J4665,0),IF('01_Вводные'!$B$80&gt;=4,'19_Расчет_аналитики'!K4665,0),IF('01_Вводные'!$B$80&gt;=5,'19_Расчет_аналитики'!L4665,0),IF('01_Вводные'!$B$80&gt;=6,'19_Расчет_аналитики'!M4665,0)),0)</f>
        <v/>
      </c>
      <c r="H4673">
        <f>IF('01_Вводные'!$B$234="Да",SUM(IF('01_Вводные'!$B$80&gt;=1,'19_Расчет_аналитики'!I4665,0),IF('01_Вводные'!$B$80&gt;=2,'19_Расчет_аналитики'!J4665,0),IF('01_Вводные'!$B$80&gt;=3,'19_Расчет_аналитики'!K4665,0),IF('01_Вводные'!$B$80&gt;=4,'19_Расчет_аналитики'!L4665,0),IF('01_Вводные'!$B$80&gt;=5,'19_Расчет_аналитики'!M4665,0),IF('01_Вводные'!$B$80&gt;=6,'19_Расчет_аналитики'!N4665,0)),0)</f>
        <v/>
      </c>
      <c r="I4673">
        <f>IF('01_Вводные'!$B$234="Да",SUM(IF('01_Вводные'!$B$80&gt;=1,'19_Расчет_аналитики'!J4665,0),IF('01_Вводные'!$B$80&gt;=2,'19_Расчет_аналитики'!K4665,0),IF('01_Вводные'!$B$80&gt;=3,'19_Расчет_аналитики'!L4665,0),IF('01_Вводные'!$B$80&gt;=4,'19_Расчет_аналитики'!M4665,0),IF('01_Вводные'!$B$80&gt;=5,'19_Расчет_аналитики'!N4665,0),IF('01_Вводные'!$B$80&gt;=6,'19_Расчет_аналитики'!O4665,0)),0)</f>
        <v/>
      </c>
      <c r="J4673">
        <f>IF('01_Вводные'!$B$234="Да",SUM(IF('01_Вводные'!$B$80&gt;=1,'19_Расчет_аналитики'!K4665,0),IF('01_Вводные'!$B$80&gt;=2,'19_Расчет_аналитики'!L4665,0),IF('01_Вводные'!$B$80&gt;=3,'19_Расчет_аналитики'!M4665,0),IF('01_Вводные'!$B$80&gt;=4,'19_Расчет_аналитики'!N4665,0),IF('01_Вводные'!$B$80&gt;=5,'19_Расчет_аналитики'!O4665,0),IF('01_Вводные'!$B$80&gt;=6,'19_Расчет_аналитики'!P4665,0)),0)</f>
        <v/>
      </c>
      <c r="K4673">
        <f>IF('01_Вводные'!$B$234="Да",SUM(IF('01_Вводные'!$B$80&gt;=1,'19_Расчет_аналитики'!L4665,0),IF('01_Вводные'!$B$80&gt;=2,'19_Расчет_аналитики'!M4665,0),IF('01_Вводные'!$B$80&gt;=3,'19_Расчет_аналитики'!N4665,0),IF('01_Вводные'!$B$80&gt;=4,'19_Расчет_аналитики'!O4665,0),IF('01_Вводные'!$B$80&gt;=5,'19_Расчет_аналитики'!P4665,0),IF('01_Вводные'!$B$80&gt;=6,'19_Расчет_аналитики'!Q4665,0)),0)</f>
        <v/>
      </c>
      <c r="L4673">
        <f>IF('01_Вводные'!$B$234="Да",SUM(IF('01_Вводные'!$B$80&gt;=1,'19_Расчет_аналитики'!M4665,0),IF('01_Вводные'!$B$80&gt;=2,'19_Расчет_аналитики'!N4665,0),IF('01_Вводные'!$B$80&gt;=3,'19_Расчет_аналитики'!O4665,0),IF('01_Вводные'!$B$80&gt;=4,'19_Расчет_аналитики'!P4665,0),IF('01_Вводные'!$B$80&gt;=5,'19_Расчет_аналитики'!Q4665,0),IF('01_Вводные'!$B$80&gt;=6,'19_Расчет_аналитики'!R4665,0)),0)</f>
        <v/>
      </c>
      <c r="M4673">
        <f>IF('01_Вводные'!$B$234="Да",SUM(IF('01_Вводные'!$B$80&gt;=1,'19_Расчет_аналитики'!N4665,0),IF('01_Вводные'!$B$80&gt;=2,'19_Расчет_аналитики'!O4665,0),IF('01_Вводные'!$B$80&gt;=3,'19_Расчет_аналитики'!P4665,0),IF('01_Вводные'!$B$80&gt;=4,'19_Расчет_аналитики'!Q4665,0),IF('01_Вводные'!$B$80&gt;=5,'19_Расчет_аналитики'!R4665,0),IF('01_Вводные'!$B$80&gt;=6,'19_Расчет_аналитики'!S4665,0)),0)</f>
        <v/>
      </c>
      <c r="N4673">
        <f>IF('01_Вводные'!$B$234="Да",SUM(IF('01_Вводные'!$B$80&gt;=1,'19_Расчет_аналитики'!O4665,0),IF('01_Вводные'!$B$80&gt;=2,'19_Расчет_аналитики'!P4665,0),IF('01_Вводные'!$B$80&gt;=3,'19_Расчет_аналитики'!Q4665,0),IF('01_Вводные'!$B$80&gt;=4,'19_Расчет_аналитики'!R4665,0),IF('01_Вводные'!$B$80&gt;=5,'19_Расчет_аналитики'!S4665,0),IF('01_Вводные'!$B$80&gt;=6,'19_Расчет_аналитики'!T4665,0)),0)</f>
        <v/>
      </c>
      <c r="O4673">
        <f>IF('01_Вводные'!$B$234="Да",SUM(IF('01_Вводные'!$B$80&gt;=1,'19_Расчет_аналитики'!P4665,0),IF('01_Вводные'!$B$80&gt;=2,'19_Расчет_аналитики'!Q4665,0),IF('01_Вводные'!$B$80&gt;=3,'19_Расчет_аналитики'!R4665,0),IF('01_Вводные'!$B$80&gt;=4,'19_Расчет_аналитики'!S4665,0),IF('01_Вводные'!$B$80&gt;=5,'19_Расчет_аналитики'!T4665,0),IF('01_Вводные'!$B$80&gt;=6,'19_Расчет_аналитики'!U4665,0)),0)</f>
        <v/>
      </c>
      <c r="P4673">
        <f>IF('01_Вводные'!$B$234="Да",SUM(IF('01_Вводные'!$B$80&gt;=1,'19_Расчет_аналитики'!Q4665,0),IF('01_Вводные'!$B$80&gt;=2,'19_Расчет_аналитики'!R4665,0),IF('01_Вводные'!$B$80&gt;=3,'19_Расчет_аналитики'!S4665,0),IF('01_Вводные'!$B$80&gt;=4,'19_Расчет_аналитики'!T4665,0),IF('01_Вводные'!$B$80&gt;=5,'19_Расчет_аналитики'!U4665,0),IF('01_Вводные'!$B$80&gt;=6,'19_Расчет_аналитики'!V4665,0)),0)</f>
        <v/>
      </c>
      <c r="Q4673">
        <f>IF('01_Вводные'!$B$234="Да",SUM(IF('01_Вводные'!$B$80&gt;=1,'19_Расчет_аналитики'!R4665,0),IF('01_Вводные'!$B$80&gt;=2,'19_Расчет_аналитики'!S4665,0),IF('01_Вводные'!$B$80&gt;=3,'19_Расчет_аналитики'!T4665,0),IF('01_Вводные'!$B$80&gt;=4,'19_Расчет_аналитики'!U4665,0),IF('01_Вводные'!$B$80&gt;=5,'19_Расчет_аналитики'!V4665,0),IF('01_Вводные'!$B$80&gt;=6,'19_Расчет_аналитики'!W4665,0)),0)</f>
        <v/>
      </c>
      <c r="R4673">
        <f>IF('01_Вводные'!$B$234="Да",SUM(IF('01_Вводные'!$B$80&gt;=1,'19_Расчет_аналитики'!S4665,0),IF('01_Вводные'!$B$80&gt;=2,'19_Расчет_аналитики'!T4665,0),IF('01_Вводные'!$B$80&gt;=3,'19_Расчет_аналитики'!U4665,0),IF('01_Вводные'!$B$80&gt;=4,'19_Расчет_аналитики'!V4665,0),IF('01_Вводные'!$B$80&gt;=5,'19_Расчет_аналитики'!W4665,0),IF('01_Вводные'!$B$80&gt;=6,'19_Расчет_аналитики'!X4665,0)),0)</f>
        <v/>
      </c>
      <c r="S4673">
        <f>IF('01_Вводные'!$B$234="Да",SUM(IF('01_Вводные'!$B$80&gt;=1,'19_Расчет_аналитики'!T4665,0),IF('01_Вводные'!$B$80&gt;=2,'19_Расчет_аналитики'!U4665,0),IF('01_Вводные'!$B$80&gt;=3,'19_Расчет_аналитики'!V4665,0),IF('01_Вводные'!$B$80&gt;=4,'19_Расчет_аналитики'!W4665,0),IF('01_Вводные'!$B$80&gt;=5,'19_Расчет_аналитики'!X4665,0),IF('01_Вводные'!$B$80&gt;=6,'19_Расчет_аналитики'!Y4665,0)),0)</f>
        <v/>
      </c>
      <c r="T4673">
        <f>IF('01_Вводные'!$B$234="Да",SUM(IF('01_Вводные'!$B$80&gt;=1,'19_Расчет_аналитики'!U4665,0),IF('01_Вводные'!$B$80&gt;=2,'19_Расчет_аналитики'!V4665,0),IF('01_Вводные'!$B$80&gt;=3,'19_Расчет_аналитики'!W4665,0),IF('01_Вводные'!$B$80&gt;=4,'19_Расчет_аналитики'!X4665,0),IF('01_Вводные'!$B$80&gt;=5,'19_Расчет_аналитики'!Y4665,0),IF('01_Вводные'!$B$80&gt;=6,'19_Расчет_аналитики'!Z4665,0)),0)</f>
        <v/>
      </c>
      <c r="U4673">
        <f>IF('01_Вводные'!$B$234="Да",SUM(IF('01_Вводные'!$B$80&gt;=1,'19_Расчет_аналитики'!V4665,0),IF('01_Вводные'!$B$80&gt;=2,'19_Расчет_аналитики'!W4665,0),IF('01_Вводные'!$B$80&gt;=3,'19_Расчет_аналитики'!X4665,0),IF('01_Вводные'!$B$80&gt;=4,'19_Расчет_аналитики'!Y4665,0),IF('01_Вводные'!$B$80&gt;=5,'19_Расчет_аналитики'!Z4665,0),IF('01_Вводные'!$B$80&gt;=6,'19_Расчет_аналитики'!AA4665,0)),0)</f>
        <v/>
      </c>
      <c r="V4673">
        <f>IF('01_Вводные'!$B$234="Да",SUM(IF('01_Вводные'!$B$80&gt;=1,'19_Расчет_аналитики'!W4665,0),IF('01_Вводные'!$B$80&gt;=2,'19_Расчет_аналитики'!X4665,0),IF('01_Вводные'!$B$80&gt;=3,'19_Расчет_аналитики'!Y4665,0),IF('01_Вводные'!$B$80&gt;=4,'19_Расчет_аналитики'!Z4665,0),IF('01_Вводные'!$B$80&gt;=5,'19_Расчет_аналитики'!AA4665,0),IF('01_Вводные'!$B$80&gt;=6,'19_Расчет_аналитики'!AB4665,0)),0)</f>
        <v/>
      </c>
      <c r="W4673">
        <f>IF('01_Вводные'!$B$234="Да",SUM(IF('01_Вводные'!$B$80&gt;=1,'19_Расчет_аналитики'!X4665,0),IF('01_Вводные'!$B$80&gt;=2,'19_Расчет_аналитики'!Y4665,0),IF('01_Вводные'!$B$80&gt;=3,'19_Расчет_аналитики'!Z4665,0),IF('01_Вводные'!$B$80&gt;=4,'19_Расчет_аналитики'!AA4665,0),IF('01_Вводные'!$B$80&gt;=5,'19_Расчет_аналитики'!AB4665,0),IF('01_Вводные'!$B$80&gt;=6,'19_Расчет_аналитики'!AC4665,0)),0)</f>
        <v/>
      </c>
      <c r="X4673">
        <f>IF('01_Вводные'!$B$234="Да",SUM(IF('01_Вводные'!$B$80&gt;=1,'19_Расчет_аналитики'!Y4665,0),IF('01_Вводные'!$B$80&gt;=2,'19_Расчет_аналитики'!Z4665,0),IF('01_Вводные'!$B$80&gt;=3,'19_Расчет_аналитики'!AA4665,0),IF('01_Вводные'!$B$80&gt;=4,'19_Расчет_аналитики'!AB4665,0),IF('01_Вводные'!$B$80&gt;=5,'19_Расчет_аналитики'!AC4665,0),IF('01_Вводные'!$B$80&gt;=6,'19_Расчет_аналитики'!AD4665,0)),0)</f>
        <v/>
      </c>
      <c r="Y4673">
        <f>IF('01_Вводные'!$B$234="Да",SUM(IF('01_Вводные'!$B$80&gt;=1,'19_Расчет_аналитики'!Z4665,0),IF('01_Вводные'!$B$80&gt;=2,'19_Расчет_аналитики'!AA4665,0),IF('01_Вводные'!$B$80&gt;=3,'19_Расчет_аналитики'!AB4665,0),IF('01_Вводные'!$B$80&gt;=4,'19_Расчет_аналитики'!AC4665,0),IF('01_Вводные'!$B$80&gt;=5,'19_Расчет_аналитики'!AD4665,0),IF('01_Вводные'!$B$80&gt;=6,'19_Расчет_аналитики'!AE4665,0)),0)</f>
        <v/>
      </c>
      <c r="Z4673">
        <f>IF('01_Вводные'!$B$234="Да",SUM(IF('01_Вводные'!$B$80&gt;=1,'19_Расчет_аналитики'!AA4665,0),IF('01_Вводные'!$B$80&gt;=2,'19_Расчет_аналитики'!AB4665,0),IF('01_Вводные'!$B$80&gt;=3,'19_Расчет_аналитики'!AC4665,0),IF('01_Вводные'!$B$80&gt;=4,'19_Расчет_аналитики'!AD4665,0),IF('01_Вводные'!$B$80&gt;=5,'19_Расчет_аналитики'!AE4665,0),IF('01_Вводные'!$B$80&gt;=6,'19_Расчет_аналитики'!AF4665,0)),0)</f>
        <v/>
      </c>
      <c r="AA4673">
        <f>IF('01_Вводные'!$B$234="Да",SUM(IF('01_Вводные'!$B$80&gt;=1,'19_Расчет_аналитики'!AB4665,0),IF('01_Вводные'!$B$80&gt;=2,'19_Расчет_аналитики'!AC4665,0),IF('01_Вводные'!$B$80&gt;=3,'19_Расчет_аналитики'!AD4665,0),IF('01_Вводные'!$B$80&gt;=4,'19_Расчет_аналитики'!AE4665,0),IF('01_Вводные'!$B$80&gt;=5,'19_Расчет_аналитики'!AF4665,0),IF('01_Вводные'!$B$80&gt;=6,'19_Расчет_аналитики'!AG4665,0)),0)</f>
        <v/>
      </c>
      <c r="AB4673">
        <f>IF('01_Вводные'!$B$234="Да",SUM(IF('01_Вводные'!$B$80&gt;=1,'19_Расчет_аналитики'!AC4665,0),IF('01_Вводные'!$B$80&gt;=2,'19_Расчет_аналитики'!AD4665,0),IF('01_Вводные'!$B$80&gt;=3,'19_Расчет_аналитики'!AE4665,0),IF('01_Вводные'!$B$80&gt;=4,'19_Расчет_аналитики'!AF4665,0),IF('01_Вводные'!$B$80&gt;=5,'19_Расчет_аналитики'!AG4665,0),IF('01_Вводные'!$B$80&gt;=6,'19_Расчет_аналитики'!AH4665,0)),0)</f>
        <v/>
      </c>
      <c r="AC4673">
        <f>IF('01_Вводные'!$B$234="Да",SUM(IF('01_Вводные'!$B$80&gt;=1,'19_Расчет_аналитики'!AD4665,0),IF('01_Вводные'!$B$80&gt;=2,'19_Расчет_аналитики'!AE4665,0),IF('01_Вводные'!$B$80&gt;=3,'19_Расчет_аналитики'!AF4665,0),IF('01_Вводные'!$B$80&gt;=4,'19_Расчет_аналитики'!AG4665,0),IF('01_Вводные'!$B$80&gt;=5,'19_Расчет_аналитики'!AH4665,0),IF('01_Вводные'!$B$80&gt;=6,'19_Расчет_аналитики'!AI4665,0)),0)</f>
        <v/>
      </c>
      <c r="AD4673">
        <f>IF('01_Вводные'!$B$234="Да",SUM(IF('01_Вводные'!$B$80&gt;=1,'19_Расчет_аналитики'!AE4665,0),IF('01_Вводные'!$B$80&gt;=2,'19_Расчет_аналитики'!AF4665,0),IF('01_Вводные'!$B$80&gt;=3,'19_Расчет_аналитики'!AG4665,0),IF('01_Вводные'!$B$80&gt;=4,'19_Расчет_аналитики'!AH4665,0),IF('01_Вводные'!$B$80&gt;=5,'19_Расчет_аналитики'!AI4665,0),IF('01_Вводные'!$B$80&gt;=6,'19_Расчет_аналитики'!AJ4665,0)),0)</f>
        <v/>
      </c>
      <c r="AE4673">
        <f>IF('01_Вводные'!$B$234="Да",SUM(IF('01_Вводные'!$B$80&gt;=1,'19_Расчет_аналитики'!AF4665,0),IF('01_Вводные'!$B$80&gt;=2,'19_Расчет_аналитики'!AG4665,0),IF('01_Вводные'!$B$80&gt;=3,'19_Расчет_аналитики'!AH4665,0),IF('01_Вводные'!$B$80&gt;=4,'19_Расчет_аналитики'!AI4665,0),IF('01_Вводные'!$B$80&gt;=5,'19_Расчет_аналитики'!AJ4665,0),IF('01_Вводные'!$B$80&gt;=6,'19_Расчет_аналитики'!AK4665,0)),0)</f>
        <v/>
      </c>
      <c r="AF4673">
        <f>IF('01_Вводные'!$B$234="Да",SUM(IF('01_Вводные'!$B$80&gt;=1,'19_Расчет_аналитики'!AG4665,0),IF('01_Вводные'!$B$80&gt;=2,'19_Расчет_аналитики'!AH4665,0),IF('01_Вводные'!$B$80&gt;=3,'19_Расчет_аналитики'!AI4665,0),IF('01_Вводные'!$B$80&gt;=4,'19_Расчет_аналитики'!AJ4665,0),IF('01_Вводные'!$B$80&gt;=5,'19_Расчет_аналитики'!AK4665,0),IF('01_Вводные'!$B$80&gt;=6,'19_Расчет_аналитики'!AL4665,0)),0)</f>
        <v/>
      </c>
      <c r="AG4673">
        <f>IF('01_Вводные'!$B$234="Да",SUM(IF('01_Вводные'!$B$80&gt;=1,'19_Расчет_аналитики'!AH4665,0),IF('01_Вводные'!$B$80&gt;=2,'19_Расчет_аналитики'!AI4665,0),IF('01_Вводные'!$B$80&gt;=3,'19_Расчет_аналитики'!AJ4665,0),IF('01_Вводные'!$B$80&gt;=4,'19_Расчет_аналитики'!AK4665,0),IF('01_Вводные'!$B$80&gt;=5,'19_Расчет_аналитики'!AL4665,0),IF('01_Вводные'!$B$80&gt;=6,'19_Расчет_аналитики'!AM4665,0)),0)</f>
        <v/>
      </c>
      <c r="AH4673">
        <f>IF('01_Вводные'!$B$234="Да",SUM(IF('01_Вводные'!$B$80&gt;=1,'19_Расчет_аналитики'!AI4665,0),IF('01_Вводные'!$B$80&gt;=2,'19_Расчет_аналитики'!AJ4665,0),IF('01_Вводные'!$B$80&gt;=3,'19_Расчет_аналитики'!AK4665,0),IF('01_Вводные'!$B$80&gt;=4,'19_Расчет_аналитики'!AL4665,0),IF('01_Вводные'!$B$80&gt;=5,'19_Расчет_аналитики'!AM4665,0),IF('01_Вводные'!$B$80&gt;=6,'19_Расчет_аналитики'!AN4665,0)),0)</f>
        <v/>
      </c>
      <c r="AI4673">
        <f>IF('01_Вводные'!$B$234="Да",SUM(IF('01_Вводные'!$B$80&gt;=1,'19_Расчет_аналитики'!AJ4665,0),IF('01_Вводные'!$B$80&gt;=2,'19_Расчет_аналитики'!AK4665,0),IF('01_Вводные'!$B$80&gt;=3,'19_Расчет_аналитики'!AL4665,0),IF('01_Вводные'!$B$80&gt;=4,'19_Расчет_аналитики'!AM4665,0),IF('01_Вводные'!$B$80&gt;=5,'19_Расчет_аналитики'!AN4665,0),IF('01_Вводные'!$B$80&gt;=6,'19_Расчет_аналитики'!AO4665,0)),0)</f>
        <v/>
      </c>
      <c r="AJ4673">
        <f>IF('01_Вводные'!$B$234="Да",SUM(IF('01_Вводные'!$B$80&gt;=1,'19_Расчет_аналитики'!AK4665,0),IF('01_Вводные'!$B$80&gt;=2,'19_Расчет_аналитики'!AL4665,0),IF('01_Вводные'!$B$80&gt;=3,'19_Расчет_аналитики'!AM4665,0),IF('01_Вводные'!$B$80&gt;=4,'19_Расчет_аналитики'!AN4665,0),IF('01_Вводные'!$B$80&gt;=5,'19_Расчет_аналитики'!AO4665,0),IF('01_Вводные'!$B$80&gt;=6,'19_Расчет_аналитики'!AP4665,0)),0)</f>
        <v/>
      </c>
      <c r="AK4673">
        <f>IF('01_Вводные'!$B$234="Да",SUM(IF('01_Вводные'!$B$80&gt;=1,'19_Расчет_аналитики'!AL4665,0),IF('01_Вводные'!$B$80&gt;=2,'19_Расчет_аналитики'!AM4665,0),IF('01_Вводные'!$B$80&gt;=3,'19_Расчет_аналитики'!AN4665,0),IF('01_Вводные'!$B$80&gt;=4,'19_Расчет_аналитики'!AO4665,0),IF('01_Вводные'!$B$80&gt;=5,'19_Расчет_аналитики'!AP4665,0),IF('01_Вводные'!$B$80&gt;=6,'19_Расчет_аналитики'!AQ4665,0)),0)</f>
        <v/>
      </c>
      <c r="AL4673">
        <f>IF('01_Вводные'!$B$234="Да",SUM(IF('01_Вводные'!$B$80&gt;=1,'19_Расчет_аналитики'!AM4665,0),IF('01_Вводные'!$B$80&gt;=2,'19_Расчет_аналитики'!AN4665,0),IF('01_Вводные'!$B$80&gt;=3,'19_Расчет_аналитики'!AO4665,0),IF('01_Вводные'!$B$80&gt;=4,'19_Расчет_аналитики'!AP4665,0),IF('01_Вводные'!$B$80&gt;=5,'19_Расчет_аналитики'!AQ4665,0),IF('01_Вводные'!$B$80&gt;=6,'19_Расчет_аналитики'!AR4665,0)),0)</f>
        <v/>
      </c>
      <c r="AM4673">
        <f>IF('01_Вводные'!$B$234="Да",SUM(IF('01_Вводные'!$B$80&gt;=1,'19_Расчет_аналитики'!AN4665,0),IF('01_Вводные'!$B$80&gt;=2,'19_Расчет_аналитики'!AO4665,0),IF('01_Вводные'!$B$80&gt;=3,'19_Расчет_аналитики'!AP4665,0),IF('01_Вводные'!$B$80&gt;=4,'19_Расчет_аналитики'!AQ4665,0),IF('01_Вводные'!$B$80&gt;=5,'19_Расчет_аналитики'!AR4665,0),IF('01_Вводные'!$B$80&gt;=6,'19_Расчет_аналитики'!AS4665,0)),0)</f>
        <v/>
      </c>
      <c r="AN4673">
        <f>IF('01_Вводные'!$B$234="Да",SUM(IF('01_Вводные'!$B$80&gt;=1,'19_Расчет_аналитики'!AO4665,0),IF('01_Вводные'!$B$80&gt;=2,'19_Расчет_аналитики'!AP4665,0),IF('01_Вводные'!$B$80&gt;=3,'19_Расчет_аналитики'!AQ4665,0),IF('01_Вводные'!$B$80&gt;=4,'19_Расчет_аналитики'!AR4665,0),IF('01_Вводные'!$B$80&gt;=5,'19_Расчет_аналитики'!AS4665,0),IF('01_Вводные'!$B$80&gt;=6,'19_Расчет_аналитики'!AT4665,0)),0)</f>
        <v/>
      </c>
      <c r="AO4673">
        <f>IF('01_Вводные'!$B$234="Да",SUM(IF('01_Вводные'!$B$80&gt;=1,'19_Расчет_аналитики'!AP4665,0),IF('01_Вводные'!$B$80&gt;=2,'19_Расчет_аналитики'!AQ4665,0),IF('01_Вводные'!$B$80&gt;=3,'19_Расчет_аналитики'!AR4665,0),IF('01_Вводные'!$B$80&gt;=4,'19_Расчет_аналитики'!AS4665,0),IF('01_Вводные'!$B$80&gt;=5,'19_Расчет_аналитики'!AT4665,0),IF('01_Вводные'!$B$80&gt;=6,'19_Расчет_аналитики'!AU4665,0)),0)</f>
        <v/>
      </c>
      <c r="AP4673">
        <f>IF('01_Вводные'!$B$234="Да",SUM(IF('01_Вводные'!$B$80&gt;=1,'19_Расчет_аналитики'!AQ4665,0),IF('01_Вводные'!$B$80&gt;=2,'19_Расчет_аналитики'!AR4665,0),IF('01_Вводные'!$B$80&gt;=3,'19_Расчет_аналитики'!AS4665,0),IF('01_Вводные'!$B$80&gt;=4,'19_Расчет_аналитики'!AT4665,0),IF('01_Вводные'!$B$80&gt;=5,'19_Расчет_аналитики'!AU4665,0),IF('01_Вводные'!$B$80&gt;=6,'19_Расчет_аналитики'!AV4665,0)),0)</f>
        <v/>
      </c>
      <c r="AQ4673">
        <f>IF('01_Вводные'!$B$234="Да",SUM(IF('01_Вводные'!$B$80&gt;=1,'19_Расчет_аналитики'!AR4665,0),IF('01_Вводные'!$B$80&gt;=2,'19_Расчет_аналитики'!AS4665,0),IF('01_Вводные'!$B$80&gt;=3,'19_Расчет_аналитики'!AT4665,0),IF('01_Вводные'!$B$80&gt;=4,'19_Расчет_аналитики'!AU4665,0),IF('01_Вводные'!$B$80&gt;=5,'19_Расчет_аналитики'!AV4665,0),IF('01_Вводные'!$B$80&gt;=6,'19_Расчет_аналитики'!AW4665,0)),0)</f>
        <v/>
      </c>
      <c r="AR4673">
        <f>IF('01_Вводные'!$B$234="Да",SUM(IF('01_Вводные'!$B$80&gt;=1,'19_Расчет_аналитики'!AS4665,0),IF('01_Вводные'!$B$80&gt;=2,'19_Расчет_аналитики'!AT4665,0),IF('01_Вводные'!$B$80&gt;=3,'19_Расчет_аналитики'!AU4665,0),IF('01_Вводные'!$B$80&gt;=4,'19_Расчет_аналитики'!AV4665,0),IF('01_Вводные'!$B$80&gt;=5,'19_Расчет_аналитики'!AW4665,0),IF('01_Вводные'!$B$80&gt;=6,'19_Расчет_аналитики'!AX4665,0)),0)</f>
        <v/>
      </c>
      <c r="AS4673">
        <f>IF('01_Вводные'!$B$234="Да",SUM(IF('01_Вводные'!$B$80&gt;=1,'19_Расчет_аналитики'!AT4665,0),IF('01_Вводные'!$B$80&gt;=2,'19_Расчет_аналитики'!AU4665,0),IF('01_Вводные'!$B$80&gt;=3,'19_Расчет_аналитики'!AV4665,0),IF('01_Вводные'!$B$80&gt;=4,'19_Расчет_аналитики'!AW4665,0),IF('01_Вводные'!$B$80&gt;=5,'19_Расчет_аналитики'!AX4665,0),IF('01_Вводные'!$B$80&gt;=6,'19_Расчет_аналитики'!AY4665,0)),0)</f>
        <v/>
      </c>
      <c r="AT4673">
        <f>IF('01_Вводные'!$B$234="Да",SUM(IF('01_Вводные'!$B$80&gt;=1,'19_Расчет_аналитики'!AU4665,0),IF('01_Вводные'!$B$80&gt;=2,'19_Расчет_аналитики'!AV4665,0),IF('01_Вводные'!$B$80&gt;=3,'19_Расчет_аналитики'!AW4665,0),IF('01_Вводные'!$B$80&gt;=4,'19_Расчет_аналитики'!AX4665,0),IF('01_Вводные'!$B$80&gt;=5,'19_Расчет_аналитики'!AY4665,0),IF('01_Вводные'!$B$80&gt;=6,'19_Расчет_аналитики'!AZ4665,0)),0)</f>
        <v/>
      </c>
      <c r="AU4673">
        <f>IF('01_Вводные'!$B$234="Да",SUM(IF('01_Вводные'!$B$80&gt;=1,'19_Расчет_аналитики'!AV4665,0),IF('01_Вводные'!$B$80&gt;=2,'19_Расчет_аналитики'!AW4665,0),IF('01_Вводные'!$B$80&gt;=3,'19_Расчет_аналитики'!AX4665,0),IF('01_Вводные'!$B$80&gt;=4,'19_Расчет_аналитики'!AY4665,0),IF('01_Вводные'!$B$80&gt;=5,'19_Расчет_аналитики'!AZ4665,0),IF('01_Вводные'!$B$80&gt;=6,'19_Расчет_аналитики'!BA4665,0)),0)</f>
        <v/>
      </c>
      <c r="AV4673">
        <f>IF('01_Вводные'!$B$234="Да",SUM(IF('01_Вводные'!$B$80&gt;=1,'19_Расчет_аналитики'!AW4665,0),IF('01_Вводные'!$B$80&gt;=2,'19_Расчет_аналитики'!AX4665,0),IF('01_Вводные'!$B$80&gt;=3,'19_Расчет_аналитики'!AY4665,0),IF('01_Вводные'!$B$80&gt;=4,'19_Расчет_аналитики'!AZ4665,0),IF('01_Вводные'!$B$80&gt;=5,'19_Расчет_аналитики'!BA4665,0),IF('01_Вводные'!$B$80&gt;=6,'19_Расчет_аналитики'!BB4665,0)),0)</f>
        <v/>
      </c>
      <c r="AW4673">
        <f>IF('01_Вводные'!$B$234="Да",SUM(IF('01_Вводные'!$B$80&gt;=1,'19_Расчет_аналитики'!AX4665,0),IF('01_Вводные'!$B$80&gt;=2,'19_Расчет_аналитики'!AY4665,0),IF('01_Вводные'!$B$80&gt;=3,'19_Расчет_аналитики'!AZ4665,0),IF('01_Вводные'!$B$80&gt;=4,'19_Расчет_аналитики'!BA4665,0),IF('01_Вводные'!$B$80&gt;=5,'19_Расчет_аналитики'!BB4665,0),IF('01_Вводные'!$B$80&gt;=6,'19_Расчет_аналитики'!BC4665,0)),0)</f>
        <v/>
      </c>
      <c r="AX4673">
        <f>IF('01_Вводные'!$B$234="Да",SUM(IF('01_Вводные'!$B$80&gt;=1,'19_Расчет_аналитики'!AY4665,0),IF('01_Вводные'!$B$80&gt;=2,'19_Расчет_аналитики'!AZ4665,0),IF('01_Вводные'!$B$80&gt;=3,'19_Расчет_аналитики'!BA4665,0),IF('01_Вводные'!$B$80&gt;=4,'19_Расчет_аналитики'!BB4665,0),IF('01_Вводные'!$B$80&gt;=5,'19_Расчет_аналитики'!BC4665,0),IF('01_Вводные'!$B$80&gt;=6,'19_Расчет_аналитики'!BD4665,0)),0)</f>
        <v/>
      </c>
      <c r="AY4673">
        <f>IF('01_Вводные'!$B$234="Да",SUM(IF('01_Вводные'!$B$80&gt;=1,'19_Расчет_аналитики'!AZ4665,0),IF('01_Вводные'!$B$80&gt;=2,'19_Расчет_аналитики'!BA4665,0),IF('01_Вводные'!$B$80&gt;=3,'19_Расчет_аналитики'!BB4665,0),IF('01_Вводные'!$B$80&gt;=4,'19_Расчет_аналитики'!BC4665,0),IF('01_Вводные'!$B$80&gt;=5,'19_Расчет_аналитики'!BD4665,0),IF('01_Вводные'!$B$80&gt;=6,'19_Расчет_аналитики'!BE4665,0)),0)</f>
        <v/>
      </c>
      <c r="AZ4673">
        <f>IF('01_Вводные'!$B$234="Да",SUM(IF('01_Вводные'!$B$80&gt;=1,'19_Расчет_аналитики'!BA4665,0),IF('01_Вводные'!$B$80&gt;=2,'19_Расчет_аналитики'!BB4665,0),IF('01_Вводные'!$B$80&gt;=3,'19_Расчет_аналитики'!BC4665,0),IF('01_Вводные'!$B$80&gt;=4,'19_Расчет_аналитики'!BD4665,0),IF('01_Вводные'!$B$80&gt;=5,'19_Расчет_аналитики'!BE4665,0),IF('01_Вводные'!$B$80&gt;=6,'19_Расчет_аналитики'!BF4665,0)),0)</f>
        <v/>
      </c>
      <c r="BA4673">
        <f>IF('01_Вводные'!$B$234="Да",SUM(IF('01_Вводные'!$B$80&gt;=1,'19_Расчет_аналитики'!BB4665,0),IF('01_Вводные'!$B$80&gt;=2,'19_Расчет_аналитики'!BC4665,0),IF('01_Вводные'!$B$80&gt;=3,'19_Расчет_аналитики'!BD4665,0),IF('01_Вводные'!$B$80&gt;=4,'19_Расчет_аналитики'!BE4665,0),IF('01_Вводные'!$B$80&gt;=5,'19_Расчет_аналитики'!BF4665,0),IF('01_Вводные'!$B$80&gt;=6,'19_Расчет_аналитики'!BG4665,0)),0)</f>
        <v/>
      </c>
      <c r="BB4673">
        <f>IF('01_Вводные'!$B$234="Да",SUM(IF('01_Вводные'!$B$80&gt;=1,'19_Расчет_аналитики'!BC4665,0),IF('01_Вводные'!$B$80&gt;=2,'19_Расчет_аналитики'!BD4665,0),IF('01_Вводные'!$B$80&gt;=3,'19_Расчет_аналитики'!BE4665,0),IF('01_Вводные'!$B$80&gt;=4,'19_Расчет_аналитики'!BF4665,0),IF('01_Вводные'!$B$80&gt;=5,'19_Расчет_аналитики'!BG4665,0),IF('01_Вводные'!$B$80&gt;=6,'19_Расчет_аналитики'!BH4665,0)),0)</f>
        <v/>
      </c>
      <c r="BC4673">
        <f>IF('01_Вводные'!$B$234="Да",SUM(IF('01_Вводные'!$B$80&gt;=1,'19_Расчет_аналитики'!BD4665,0),IF('01_Вводные'!$B$80&gt;=2,'19_Расчет_аналитики'!BE4665,0),IF('01_Вводные'!$B$80&gt;=3,'19_Расчет_аналитики'!BF4665,0),IF('01_Вводные'!$B$80&gt;=4,'19_Расчет_аналитики'!BG4665,0),IF('01_Вводные'!$B$80&gt;=5,'19_Расчет_аналитики'!BH4665,0),IF('01_Вводные'!$B$80&gt;=6,'19_Расчет_аналитики'!BI4665,0)),0)</f>
        <v/>
      </c>
      <c r="BD4673">
        <f>IF('01_Вводные'!$B$234="Да",SUM(IF('01_Вводные'!$B$80&gt;=1,'19_Расчет_аналитики'!BE4665,0),IF('01_Вводные'!$B$80&gt;=2,'19_Расчет_аналитики'!BF4665,0),IF('01_Вводные'!$B$80&gt;=3,'19_Расчет_аналитики'!BG4665,0),IF('01_Вводные'!$B$80&gt;=4,'19_Расчет_аналитики'!BH4665,0),IF('01_Вводные'!$B$80&gt;=5,'19_Расчет_аналитики'!BI4665,0),IF('01_Вводные'!$B$80&gt;=6,'19_Расчет_аналитики'!BJ4665,0)),0)</f>
        <v/>
      </c>
      <c r="BE4673">
        <f>IF('01_Вводные'!$B$234="Да",SUM(IF('01_Вводные'!$B$80&gt;=1,'19_Расчет_аналитики'!BF4665,0),IF('01_Вводные'!$B$80&gt;=2,'19_Расчет_аналитики'!BG4665,0),IF('01_Вводные'!$B$80&gt;=3,'19_Расчет_аналитики'!BH4665,0),IF('01_Вводные'!$B$80&gt;=4,'19_Расчет_аналитики'!BI4665,0),IF('01_Вводные'!$B$80&gt;=5,'19_Расчет_аналитики'!BJ4665,0),IF('01_Вводные'!$B$80&gt;=6,'19_Расчет_аналитики'!BK4665,0)),0)</f>
        <v/>
      </c>
      <c r="BF4673">
        <f>IF('01_Вводные'!$B$234="Да",SUM(IF('01_Вводные'!$B$80&gt;=1,'19_Расчет_аналитики'!BG4665,0),IF('01_Вводные'!$B$80&gt;=2,'19_Расчет_аналитики'!BH4665,0),IF('01_Вводные'!$B$80&gt;=3,'19_Расчет_аналитики'!BI4665,0),IF('01_Вводные'!$B$80&gt;=4,'19_Расчет_аналитики'!BJ4665,0),IF('01_Вводные'!$B$80&gt;=5,'19_Расчет_аналитики'!BK4665,0),IF('01_Вводные'!$B$80&gt;=6,'19_Расчет_аналитики'!BL4665,0)),0)</f>
        <v/>
      </c>
      <c r="BG4673">
        <f>IF('01_Вводные'!$B$234="Да",SUM(IF('01_Вводные'!$B$80&gt;=1,'19_Расчет_аналитики'!BH4665,0),IF('01_Вводные'!$B$80&gt;=2,'19_Расчет_аналитики'!BI4665,0),IF('01_Вводные'!$B$80&gt;=3,'19_Расчет_аналитики'!BJ4665,0),IF('01_Вводные'!$B$80&gt;=4,'19_Расчет_аналитики'!BK4665,0),IF('01_Вводные'!$B$80&gt;=5,'19_Расчет_аналитики'!BL4665,0),IF('01_Вводные'!$B$80&gt;=6,'19_Расчет_аналитики'!BM4665,0)),0)</f>
        <v/>
      </c>
      <c r="BH4673">
        <f>IF('01_Вводные'!$B$234="Да",SUM(IF('01_Вводные'!$B$80&gt;=1,'19_Расчет_аналитики'!BI4665,0),IF('01_Вводные'!$B$80&gt;=2,'19_Расчет_аналитики'!BJ4665,0),IF('01_Вводные'!$B$80&gt;=3,'19_Расчет_аналитики'!BK4665,0),IF('01_Вводные'!$B$80&gt;=4,'19_Расчет_аналитики'!BL4665,0),IF('01_Вводные'!$B$80&gt;=5,'19_Расчет_аналитики'!BM4665,0),IF('01_Вводные'!$B$80&gt;=6,'19_Расчет_аналитики'!BN4665,0)),0)</f>
        <v/>
      </c>
      <c r="BI4673">
        <f>IF('01_Вводные'!$B$234="Да",SUM(IF('01_Вводные'!$B$80&gt;=1,'19_Расчет_аналитики'!BJ4665,0),IF('01_Вводные'!$B$80&gt;=2,'19_Расчет_аналитики'!BK4665,0),IF('01_Вводные'!$B$80&gt;=3,'19_Расчет_аналитики'!BL4665,0),IF('01_Вводные'!$B$80&gt;=4,'19_Расчет_аналитики'!BM4665,0),IF('01_Вводные'!$B$80&gt;=5,'19_Расчет_аналитики'!BN4665,0),IF('01_Вводные'!$B$80&gt;=6,'19_Расчет_аналитики'!BO4665,0)),0)</f>
        <v/>
      </c>
    </row>
    <row r="4674">
      <c r="B4674">
        <f>IF('01_Вводные'!$B$234="Да",IF(AND('07_Мерч'!B$3&gt;='01_Вводные'!$B$81,OR(MONTH('07_Мерч'!B$3)='01_Вводные'!$B$82,MONTH('07_Мерч'!B$3)='01_Вводные'!$B$83,MONTH('07_Мерч'!B$3)='01_Вводные'!$B$84,MONTH('07_Мерч'!B$3)='01_Вводные'!$B$85)),MAX(0,'19_Расчет_аналитики'!B4673-('07_Мерч'!B22-'19_Расчет_аналитики'!B4672)),0),0)</f>
        <v/>
      </c>
      <c r="C4674">
        <f>IF('01_Вводные'!$B$234="Да",IF(AND('07_Мерч'!C$3&gt;='01_Вводные'!$B$81,OR(MONTH('07_Мерч'!C$3)='01_Вводные'!$B$82,MONTH('07_Мерч'!C$3)='01_Вводные'!$B$83,MONTH('07_Мерч'!C$3)='01_Вводные'!$B$84,MONTH('07_Мерч'!C$3)='01_Вводные'!$B$85)),MAX(0,'19_Расчет_аналитики'!C4673-('19_Расчет_аналитики'!C4671-'19_Расчет_аналитики'!C4672)),0),0)</f>
        <v/>
      </c>
      <c r="D4674">
        <f>IF('01_Вводные'!$B$234="Да",IF(AND('07_Мерч'!D$3&gt;='01_Вводные'!$B$81,OR(MONTH('07_Мерч'!D$3)='01_Вводные'!$B$82,MONTH('07_Мерч'!D$3)='01_Вводные'!$B$83,MONTH('07_Мерч'!D$3)='01_Вводные'!$B$84,MONTH('07_Мерч'!D$3)='01_Вводные'!$B$85)),MAX(0,'19_Расчет_аналитики'!D4673-('19_Расчет_аналитики'!D4671-'19_Расчет_аналитики'!D4672)),0),0)</f>
        <v/>
      </c>
      <c r="E4674">
        <f>IF('01_Вводные'!$B$234="Да",IF(AND('07_Мерч'!E$3&gt;='01_Вводные'!$B$81,OR(MONTH('07_Мерч'!E$3)='01_Вводные'!$B$82,MONTH('07_Мерч'!E$3)='01_Вводные'!$B$83,MONTH('07_Мерч'!E$3)='01_Вводные'!$B$84,MONTH('07_Мерч'!E$3)='01_Вводные'!$B$85)),MAX(0,'19_Расчет_аналитики'!E4673-('19_Расчет_аналитики'!E4671-'19_Расчет_аналитики'!E4672)),0),0)</f>
        <v/>
      </c>
      <c r="F4674">
        <f>IF('01_Вводные'!$B$234="Да",IF(AND('07_Мерч'!F$3&gt;='01_Вводные'!$B$81,OR(MONTH('07_Мерч'!F$3)='01_Вводные'!$B$82,MONTH('07_Мерч'!F$3)='01_Вводные'!$B$83,MONTH('07_Мерч'!F$3)='01_Вводные'!$B$84,MONTH('07_Мерч'!F$3)='01_Вводные'!$B$85)),MAX(0,'19_Расчет_аналитики'!F4673-('19_Расчет_аналитики'!F4671-'19_Расчет_аналитики'!F4672)),0),0)</f>
        <v/>
      </c>
      <c r="G4674">
        <f>IF('01_Вводные'!$B$234="Да",IF(AND('07_Мерч'!G$3&gt;='01_Вводные'!$B$81,OR(MONTH('07_Мерч'!G$3)='01_Вводные'!$B$82,MONTH('07_Мерч'!G$3)='01_Вводные'!$B$83,MONTH('07_Мерч'!G$3)='01_Вводные'!$B$84,MONTH('07_Мерч'!G$3)='01_Вводные'!$B$85)),MAX(0,'19_Расчет_аналитики'!G4673-('19_Расчет_аналитики'!G4671-'19_Расчет_аналитики'!G4672)),0),0)</f>
        <v/>
      </c>
      <c r="H4674">
        <f>IF('01_Вводные'!$B$234="Да",IF(AND('07_Мерч'!H$3&gt;='01_Вводные'!$B$81,OR(MONTH('07_Мерч'!H$3)='01_Вводные'!$B$82,MONTH('07_Мерч'!H$3)='01_Вводные'!$B$83,MONTH('07_Мерч'!H$3)='01_Вводные'!$B$84,MONTH('07_Мерч'!H$3)='01_Вводные'!$B$85)),MAX(0,'19_Расчет_аналитики'!H4673-('19_Расчет_аналитики'!H4671-'19_Расчет_аналитики'!H4672)),0),0)</f>
        <v/>
      </c>
      <c r="I4674">
        <f>IF('01_Вводные'!$B$234="Да",IF(AND('07_Мерч'!I$3&gt;='01_Вводные'!$B$81,OR(MONTH('07_Мерч'!I$3)='01_Вводные'!$B$82,MONTH('07_Мерч'!I$3)='01_Вводные'!$B$83,MONTH('07_Мерч'!I$3)='01_Вводные'!$B$84,MONTH('07_Мерч'!I$3)='01_Вводные'!$B$85)),MAX(0,'19_Расчет_аналитики'!I4673-('19_Расчет_аналитики'!I4671-'19_Расчет_аналитики'!I4672)),0),0)</f>
        <v/>
      </c>
      <c r="J4674">
        <f>IF('01_Вводные'!$B$234="Да",IF(AND('07_Мерч'!J$3&gt;='01_Вводные'!$B$81,OR(MONTH('07_Мерч'!J$3)='01_Вводные'!$B$82,MONTH('07_Мерч'!J$3)='01_Вводные'!$B$83,MONTH('07_Мерч'!J$3)='01_Вводные'!$B$84,MONTH('07_Мерч'!J$3)='01_Вводные'!$B$85)),MAX(0,'19_Расчет_аналитики'!J4673-('19_Расчет_аналитики'!J4671-'19_Расчет_аналитики'!J4672)),0),0)</f>
        <v/>
      </c>
      <c r="K4674">
        <f>IF('01_Вводные'!$B$234="Да",IF(AND('07_Мерч'!K$3&gt;='01_Вводные'!$B$81,OR(MONTH('07_Мерч'!K$3)='01_Вводные'!$B$82,MONTH('07_Мерч'!K$3)='01_Вводные'!$B$83,MONTH('07_Мерч'!K$3)='01_Вводные'!$B$84,MONTH('07_Мерч'!K$3)='01_Вводные'!$B$85)),MAX(0,'19_Расчет_аналитики'!K4673-('19_Расчет_аналитики'!K4671-'19_Расчет_аналитики'!K4672)),0),0)</f>
        <v/>
      </c>
      <c r="L4674">
        <f>IF('01_Вводные'!$B$234="Да",IF(AND('07_Мерч'!L$3&gt;='01_Вводные'!$B$81,OR(MONTH('07_Мерч'!L$3)='01_Вводные'!$B$82,MONTH('07_Мерч'!L$3)='01_Вводные'!$B$83,MONTH('07_Мерч'!L$3)='01_Вводные'!$B$84,MONTH('07_Мерч'!L$3)='01_Вводные'!$B$85)),MAX(0,'19_Расчет_аналитики'!L4673-('19_Расчет_аналитики'!L4671-'19_Расчет_аналитики'!L4672)),0),0)</f>
        <v/>
      </c>
      <c r="M4674">
        <f>IF('01_Вводные'!$B$234="Да",IF(AND('07_Мерч'!M$3&gt;='01_Вводные'!$B$81,OR(MONTH('07_Мерч'!M$3)='01_Вводные'!$B$82,MONTH('07_Мерч'!M$3)='01_Вводные'!$B$83,MONTH('07_Мерч'!M$3)='01_Вводные'!$B$84,MONTH('07_Мерч'!M$3)='01_Вводные'!$B$85)),MAX(0,'19_Расчет_аналитики'!M4673-('19_Расчет_аналитики'!M4671-'19_Расчет_аналитики'!M4672)),0),0)</f>
        <v/>
      </c>
      <c r="N4674">
        <f>IF('01_Вводные'!$B$234="Да",IF(AND('07_Мерч'!N$3&gt;='01_Вводные'!$B$81,OR(MONTH('07_Мерч'!N$3)='01_Вводные'!$B$82,MONTH('07_Мерч'!N$3)='01_Вводные'!$B$83,MONTH('07_Мерч'!N$3)='01_Вводные'!$B$84,MONTH('07_Мерч'!N$3)='01_Вводные'!$B$85)),MAX(0,'19_Расчет_аналитики'!N4673-('19_Расчет_аналитики'!N4671-'19_Расчет_аналитики'!N4672)),0),0)</f>
        <v/>
      </c>
      <c r="O4674">
        <f>IF('01_Вводные'!$B$234="Да",IF(AND('07_Мерч'!O$3&gt;='01_Вводные'!$B$81,OR(MONTH('07_Мерч'!O$3)='01_Вводные'!$B$82,MONTH('07_Мерч'!O$3)='01_Вводные'!$B$83,MONTH('07_Мерч'!O$3)='01_Вводные'!$B$84,MONTH('07_Мерч'!O$3)='01_Вводные'!$B$85)),MAX(0,'19_Расчет_аналитики'!O4673-('19_Расчет_аналитики'!O4671-'19_Расчет_аналитики'!O4672)),0),0)</f>
        <v/>
      </c>
      <c r="P4674">
        <f>IF('01_Вводные'!$B$234="Да",IF(AND('07_Мерч'!P$3&gt;='01_Вводные'!$B$81,OR(MONTH('07_Мерч'!P$3)='01_Вводные'!$B$82,MONTH('07_Мерч'!P$3)='01_Вводные'!$B$83,MONTH('07_Мерч'!P$3)='01_Вводные'!$B$84,MONTH('07_Мерч'!P$3)='01_Вводные'!$B$85)),MAX(0,'19_Расчет_аналитики'!P4673-('19_Расчет_аналитики'!P4671-'19_Расчет_аналитики'!P4672)),0),0)</f>
        <v/>
      </c>
      <c r="Q4674">
        <f>IF('01_Вводные'!$B$234="Да",IF(AND('07_Мерч'!Q$3&gt;='01_Вводные'!$B$81,OR(MONTH('07_Мерч'!Q$3)='01_Вводные'!$B$82,MONTH('07_Мерч'!Q$3)='01_Вводные'!$B$83,MONTH('07_Мерч'!Q$3)='01_Вводные'!$B$84,MONTH('07_Мерч'!Q$3)='01_Вводные'!$B$85)),MAX(0,'19_Расчет_аналитики'!Q4673-('19_Расчет_аналитики'!Q4671-'19_Расчет_аналитики'!Q4672)),0),0)</f>
        <v/>
      </c>
      <c r="R4674">
        <f>IF('01_Вводные'!$B$234="Да",IF(AND('07_Мерч'!R$3&gt;='01_Вводные'!$B$81,OR(MONTH('07_Мерч'!R$3)='01_Вводные'!$B$82,MONTH('07_Мерч'!R$3)='01_Вводные'!$B$83,MONTH('07_Мерч'!R$3)='01_Вводные'!$B$84,MONTH('07_Мерч'!R$3)='01_Вводные'!$B$85)),MAX(0,'19_Расчет_аналитики'!R4673-('19_Расчет_аналитики'!R4671-'19_Расчет_аналитики'!R4672)),0),0)</f>
        <v/>
      </c>
      <c r="S4674">
        <f>IF('01_Вводные'!$B$234="Да",IF(AND('07_Мерч'!S$3&gt;='01_Вводные'!$B$81,OR(MONTH('07_Мерч'!S$3)='01_Вводные'!$B$82,MONTH('07_Мерч'!S$3)='01_Вводные'!$B$83,MONTH('07_Мерч'!S$3)='01_Вводные'!$B$84,MONTH('07_Мерч'!S$3)='01_Вводные'!$B$85)),MAX(0,'19_Расчет_аналитики'!S4673-('19_Расчет_аналитики'!S4671-'19_Расчет_аналитики'!S4672)),0),0)</f>
        <v/>
      </c>
      <c r="T4674">
        <f>IF('01_Вводные'!$B$234="Да",IF(AND('07_Мерч'!T$3&gt;='01_Вводные'!$B$81,OR(MONTH('07_Мерч'!T$3)='01_Вводные'!$B$82,MONTH('07_Мерч'!T$3)='01_Вводные'!$B$83,MONTH('07_Мерч'!T$3)='01_Вводные'!$B$84,MONTH('07_Мерч'!T$3)='01_Вводные'!$B$85)),MAX(0,'19_Расчет_аналитики'!T4673-('19_Расчет_аналитики'!T4671-'19_Расчет_аналитики'!T4672)),0),0)</f>
        <v/>
      </c>
      <c r="U4674">
        <f>IF('01_Вводные'!$B$234="Да",IF(AND('07_Мерч'!U$3&gt;='01_Вводные'!$B$81,OR(MONTH('07_Мерч'!U$3)='01_Вводные'!$B$82,MONTH('07_Мерч'!U$3)='01_Вводные'!$B$83,MONTH('07_Мерч'!U$3)='01_Вводные'!$B$84,MONTH('07_Мерч'!U$3)='01_Вводные'!$B$85)),MAX(0,'19_Расчет_аналитики'!U4673-('19_Расчет_аналитики'!U4671-'19_Расчет_аналитики'!U4672)),0),0)</f>
        <v/>
      </c>
      <c r="V4674">
        <f>IF('01_Вводные'!$B$234="Да",IF(AND('07_Мерч'!V$3&gt;='01_Вводные'!$B$81,OR(MONTH('07_Мерч'!V$3)='01_Вводные'!$B$82,MONTH('07_Мерч'!V$3)='01_Вводные'!$B$83,MONTH('07_Мерч'!V$3)='01_Вводные'!$B$84,MONTH('07_Мерч'!V$3)='01_Вводные'!$B$85)),MAX(0,'19_Расчет_аналитики'!V4673-('19_Расчет_аналитики'!V4671-'19_Расчет_аналитики'!V4672)),0),0)</f>
        <v/>
      </c>
      <c r="W4674">
        <f>IF('01_Вводные'!$B$234="Да",IF(AND('07_Мерч'!W$3&gt;='01_Вводные'!$B$81,OR(MONTH('07_Мерч'!W$3)='01_Вводные'!$B$82,MONTH('07_Мерч'!W$3)='01_Вводные'!$B$83,MONTH('07_Мерч'!W$3)='01_Вводные'!$B$84,MONTH('07_Мерч'!W$3)='01_Вводные'!$B$85)),MAX(0,'19_Расчет_аналитики'!W4673-('19_Расчет_аналитики'!W4671-'19_Расчет_аналитики'!W4672)),0),0)</f>
        <v/>
      </c>
      <c r="X4674">
        <f>IF('01_Вводные'!$B$234="Да",IF(AND('07_Мерч'!X$3&gt;='01_Вводные'!$B$81,OR(MONTH('07_Мерч'!X$3)='01_Вводные'!$B$82,MONTH('07_Мерч'!X$3)='01_Вводные'!$B$83,MONTH('07_Мерч'!X$3)='01_Вводные'!$B$84,MONTH('07_Мерч'!X$3)='01_Вводные'!$B$85)),MAX(0,'19_Расчет_аналитики'!X4673-('19_Расчет_аналитики'!X4671-'19_Расчет_аналитики'!X4672)),0),0)</f>
        <v/>
      </c>
      <c r="Y4674">
        <f>IF('01_Вводные'!$B$234="Да",IF(AND('07_Мерч'!Y$3&gt;='01_Вводные'!$B$81,OR(MONTH('07_Мерч'!Y$3)='01_Вводные'!$B$82,MONTH('07_Мерч'!Y$3)='01_Вводные'!$B$83,MONTH('07_Мерч'!Y$3)='01_Вводные'!$B$84,MONTH('07_Мерч'!Y$3)='01_Вводные'!$B$85)),MAX(0,'19_Расчет_аналитики'!Y4673-('19_Расчет_аналитики'!Y4671-'19_Расчет_аналитики'!Y4672)),0),0)</f>
        <v/>
      </c>
      <c r="Z4674">
        <f>IF('01_Вводные'!$B$234="Да",IF(AND('07_Мерч'!Z$3&gt;='01_Вводные'!$B$81,OR(MONTH('07_Мерч'!Z$3)='01_Вводные'!$B$82,MONTH('07_Мерч'!Z$3)='01_Вводные'!$B$83,MONTH('07_Мерч'!Z$3)='01_Вводные'!$B$84,MONTH('07_Мерч'!Z$3)='01_Вводные'!$B$85)),MAX(0,'19_Расчет_аналитики'!Z4673-('19_Расчет_аналитики'!Z4671-'19_Расчет_аналитики'!Z4672)),0),0)</f>
        <v/>
      </c>
      <c r="AA4674">
        <f>IF('01_Вводные'!$B$234="Да",IF(AND('07_Мерч'!AA$3&gt;='01_Вводные'!$B$81,OR(MONTH('07_Мерч'!AA$3)='01_Вводные'!$B$82,MONTH('07_Мерч'!AA$3)='01_Вводные'!$B$83,MONTH('07_Мерч'!AA$3)='01_Вводные'!$B$84,MONTH('07_Мерч'!AA$3)='01_Вводные'!$B$85)),MAX(0,'19_Расчет_аналитики'!AA4673-('19_Расчет_аналитики'!AA4671-'19_Расчет_аналитики'!AA4672)),0),0)</f>
        <v/>
      </c>
      <c r="AB4674">
        <f>IF('01_Вводные'!$B$234="Да",IF(AND('07_Мерч'!AB$3&gt;='01_Вводные'!$B$81,OR(MONTH('07_Мерч'!AB$3)='01_Вводные'!$B$82,MONTH('07_Мерч'!AB$3)='01_Вводные'!$B$83,MONTH('07_Мерч'!AB$3)='01_Вводные'!$B$84,MONTH('07_Мерч'!AB$3)='01_Вводные'!$B$85)),MAX(0,'19_Расчет_аналитики'!AB4673-('19_Расчет_аналитики'!AB4671-'19_Расчет_аналитики'!AB4672)),0),0)</f>
        <v/>
      </c>
      <c r="AC4674">
        <f>IF('01_Вводные'!$B$234="Да",IF(AND('07_Мерч'!AC$3&gt;='01_Вводные'!$B$81,OR(MONTH('07_Мерч'!AC$3)='01_Вводные'!$B$82,MONTH('07_Мерч'!AC$3)='01_Вводные'!$B$83,MONTH('07_Мерч'!AC$3)='01_Вводные'!$B$84,MONTH('07_Мерч'!AC$3)='01_Вводные'!$B$85)),MAX(0,'19_Расчет_аналитики'!AC4673-('19_Расчет_аналитики'!AC4671-'19_Расчет_аналитики'!AC4672)),0),0)</f>
        <v/>
      </c>
      <c r="AD4674">
        <f>IF('01_Вводные'!$B$234="Да",IF(AND('07_Мерч'!AD$3&gt;='01_Вводные'!$B$81,OR(MONTH('07_Мерч'!AD$3)='01_Вводные'!$B$82,MONTH('07_Мерч'!AD$3)='01_Вводные'!$B$83,MONTH('07_Мерч'!AD$3)='01_Вводные'!$B$84,MONTH('07_Мерч'!AD$3)='01_Вводные'!$B$85)),MAX(0,'19_Расчет_аналитики'!AD4673-('19_Расчет_аналитики'!AD4671-'19_Расчет_аналитики'!AD4672)),0),0)</f>
        <v/>
      </c>
      <c r="AE4674">
        <f>IF('01_Вводные'!$B$234="Да",IF(AND('07_Мерч'!AE$3&gt;='01_Вводные'!$B$81,OR(MONTH('07_Мерч'!AE$3)='01_Вводные'!$B$82,MONTH('07_Мерч'!AE$3)='01_Вводные'!$B$83,MONTH('07_Мерч'!AE$3)='01_Вводные'!$B$84,MONTH('07_Мерч'!AE$3)='01_Вводные'!$B$85)),MAX(0,'19_Расчет_аналитики'!AE4673-('19_Расчет_аналитики'!AE4671-'19_Расчет_аналитики'!AE4672)),0),0)</f>
        <v/>
      </c>
      <c r="AF4674">
        <f>IF('01_Вводные'!$B$234="Да",IF(AND('07_Мерч'!AF$3&gt;='01_Вводные'!$B$81,OR(MONTH('07_Мерч'!AF$3)='01_Вводные'!$B$82,MONTH('07_Мерч'!AF$3)='01_Вводные'!$B$83,MONTH('07_Мерч'!AF$3)='01_Вводные'!$B$84,MONTH('07_Мерч'!AF$3)='01_Вводные'!$B$85)),MAX(0,'19_Расчет_аналитики'!AF4673-('19_Расчет_аналитики'!AF4671-'19_Расчет_аналитики'!AF4672)),0),0)</f>
        <v/>
      </c>
      <c r="AG4674">
        <f>IF('01_Вводные'!$B$234="Да",IF(AND('07_Мерч'!AG$3&gt;='01_Вводные'!$B$81,OR(MONTH('07_Мерч'!AG$3)='01_Вводные'!$B$82,MONTH('07_Мерч'!AG$3)='01_Вводные'!$B$83,MONTH('07_Мерч'!AG$3)='01_Вводные'!$B$84,MONTH('07_Мерч'!AG$3)='01_Вводные'!$B$85)),MAX(0,'19_Расчет_аналитики'!AG4673-('19_Расчет_аналитики'!AG4671-'19_Расчет_аналитики'!AG4672)),0),0)</f>
        <v/>
      </c>
      <c r="AH4674">
        <f>IF('01_Вводные'!$B$234="Да",IF(AND('07_Мерч'!AH$3&gt;='01_Вводные'!$B$81,OR(MONTH('07_Мерч'!AH$3)='01_Вводные'!$B$82,MONTH('07_Мерч'!AH$3)='01_Вводные'!$B$83,MONTH('07_Мерч'!AH$3)='01_Вводные'!$B$84,MONTH('07_Мерч'!AH$3)='01_Вводные'!$B$85)),MAX(0,'19_Расчет_аналитики'!AH4673-('19_Расчет_аналитики'!AH4671-'19_Расчет_аналитики'!AH4672)),0),0)</f>
        <v/>
      </c>
      <c r="AI4674">
        <f>IF('01_Вводные'!$B$234="Да",IF(AND('07_Мерч'!AI$3&gt;='01_Вводные'!$B$81,OR(MONTH('07_Мерч'!AI$3)='01_Вводные'!$B$82,MONTH('07_Мерч'!AI$3)='01_Вводные'!$B$83,MONTH('07_Мерч'!AI$3)='01_Вводные'!$B$84,MONTH('07_Мерч'!AI$3)='01_Вводные'!$B$85)),MAX(0,'19_Расчет_аналитики'!AI4673-('19_Расчет_аналитики'!AI4671-'19_Расчет_аналитики'!AI4672)),0),0)</f>
        <v/>
      </c>
      <c r="AJ4674">
        <f>IF('01_Вводные'!$B$234="Да",IF(AND('07_Мерч'!AJ$3&gt;='01_Вводные'!$B$81,OR(MONTH('07_Мерч'!AJ$3)='01_Вводные'!$B$82,MONTH('07_Мерч'!AJ$3)='01_Вводные'!$B$83,MONTH('07_Мерч'!AJ$3)='01_Вводные'!$B$84,MONTH('07_Мерч'!AJ$3)='01_Вводные'!$B$85)),MAX(0,'19_Расчет_аналитики'!AJ4673-('19_Расчет_аналитики'!AJ4671-'19_Расчет_аналитики'!AJ4672)),0),0)</f>
        <v/>
      </c>
      <c r="AK4674">
        <f>IF('01_Вводные'!$B$234="Да",IF(AND('07_Мерч'!AK$3&gt;='01_Вводные'!$B$81,OR(MONTH('07_Мерч'!AK$3)='01_Вводные'!$B$82,MONTH('07_Мерч'!AK$3)='01_Вводные'!$B$83,MONTH('07_Мерч'!AK$3)='01_Вводные'!$B$84,MONTH('07_Мерч'!AK$3)='01_Вводные'!$B$85)),MAX(0,'19_Расчет_аналитики'!AK4673-('19_Расчет_аналитики'!AK4671-'19_Расчет_аналитики'!AK4672)),0),0)</f>
        <v/>
      </c>
      <c r="AL4674">
        <f>IF('01_Вводные'!$B$234="Да",IF(AND('07_Мерч'!AL$3&gt;='01_Вводные'!$B$81,OR(MONTH('07_Мерч'!AL$3)='01_Вводные'!$B$82,MONTH('07_Мерч'!AL$3)='01_Вводные'!$B$83,MONTH('07_Мерч'!AL$3)='01_Вводные'!$B$84,MONTH('07_Мерч'!AL$3)='01_Вводные'!$B$85)),MAX(0,'19_Расчет_аналитики'!AL4673-('19_Расчет_аналитики'!AL4671-'19_Расчет_аналитики'!AL4672)),0),0)</f>
        <v/>
      </c>
      <c r="AM4674">
        <f>IF('01_Вводные'!$B$234="Да",IF(AND('07_Мерч'!AM$3&gt;='01_Вводные'!$B$81,OR(MONTH('07_Мерч'!AM$3)='01_Вводные'!$B$82,MONTH('07_Мерч'!AM$3)='01_Вводные'!$B$83,MONTH('07_Мерч'!AM$3)='01_Вводные'!$B$84,MONTH('07_Мерч'!AM$3)='01_Вводные'!$B$85)),MAX(0,'19_Расчет_аналитики'!AM4673-('19_Расчет_аналитики'!AM4671-'19_Расчет_аналитики'!AM4672)),0),0)</f>
        <v/>
      </c>
      <c r="AN4674">
        <f>IF('01_Вводные'!$B$234="Да",IF(AND('07_Мерч'!AN$3&gt;='01_Вводные'!$B$81,OR(MONTH('07_Мерч'!AN$3)='01_Вводные'!$B$82,MONTH('07_Мерч'!AN$3)='01_Вводные'!$B$83,MONTH('07_Мерч'!AN$3)='01_Вводные'!$B$84,MONTH('07_Мерч'!AN$3)='01_Вводные'!$B$85)),MAX(0,'19_Расчет_аналитики'!AN4673-('19_Расчет_аналитики'!AN4671-'19_Расчет_аналитики'!AN4672)),0),0)</f>
        <v/>
      </c>
      <c r="AO4674">
        <f>IF('01_Вводные'!$B$234="Да",IF(AND('07_Мерч'!AO$3&gt;='01_Вводные'!$B$81,OR(MONTH('07_Мерч'!AO$3)='01_Вводные'!$B$82,MONTH('07_Мерч'!AO$3)='01_Вводные'!$B$83,MONTH('07_Мерч'!AO$3)='01_Вводные'!$B$84,MONTH('07_Мерч'!AO$3)='01_Вводные'!$B$85)),MAX(0,'19_Расчет_аналитики'!AO4673-('19_Расчет_аналитики'!AO4671-'19_Расчет_аналитики'!AO4672)),0),0)</f>
        <v/>
      </c>
      <c r="AP4674">
        <f>IF('01_Вводные'!$B$234="Да",IF(AND('07_Мерч'!AP$3&gt;='01_Вводные'!$B$81,OR(MONTH('07_Мерч'!AP$3)='01_Вводные'!$B$82,MONTH('07_Мерч'!AP$3)='01_Вводные'!$B$83,MONTH('07_Мерч'!AP$3)='01_Вводные'!$B$84,MONTH('07_Мерч'!AP$3)='01_Вводные'!$B$85)),MAX(0,'19_Расчет_аналитики'!AP4673-('19_Расчет_аналитики'!AP4671-'19_Расчет_аналитики'!AP4672)),0),0)</f>
        <v/>
      </c>
      <c r="AQ4674">
        <f>IF('01_Вводные'!$B$234="Да",IF(AND('07_Мерч'!AQ$3&gt;='01_Вводные'!$B$81,OR(MONTH('07_Мерч'!AQ$3)='01_Вводные'!$B$82,MONTH('07_Мерч'!AQ$3)='01_Вводные'!$B$83,MONTH('07_Мерч'!AQ$3)='01_Вводные'!$B$84,MONTH('07_Мерч'!AQ$3)='01_Вводные'!$B$85)),MAX(0,'19_Расчет_аналитики'!AQ4673-('19_Расчет_аналитики'!AQ4671-'19_Расчет_аналитики'!AQ4672)),0),0)</f>
        <v/>
      </c>
      <c r="AR4674">
        <f>IF('01_Вводные'!$B$234="Да",IF(AND('07_Мерч'!AR$3&gt;='01_Вводные'!$B$81,OR(MONTH('07_Мерч'!AR$3)='01_Вводные'!$B$82,MONTH('07_Мерч'!AR$3)='01_Вводные'!$B$83,MONTH('07_Мерч'!AR$3)='01_Вводные'!$B$84,MONTH('07_Мерч'!AR$3)='01_Вводные'!$B$85)),MAX(0,'19_Расчет_аналитики'!AR4673-('19_Расчет_аналитики'!AR4671-'19_Расчет_аналитики'!AR4672)),0),0)</f>
        <v/>
      </c>
      <c r="AS4674">
        <f>IF('01_Вводные'!$B$234="Да",IF(AND('07_Мерч'!AS$3&gt;='01_Вводные'!$B$81,OR(MONTH('07_Мерч'!AS$3)='01_Вводные'!$B$82,MONTH('07_Мерч'!AS$3)='01_Вводные'!$B$83,MONTH('07_Мерч'!AS$3)='01_Вводные'!$B$84,MONTH('07_Мерч'!AS$3)='01_Вводные'!$B$85)),MAX(0,'19_Расчет_аналитики'!AS4673-('19_Расчет_аналитики'!AS4671-'19_Расчет_аналитики'!AS4672)),0),0)</f>
        <v/>
      </c>
      <c r="AT4674">
        <f>IF('01_Вводные'!$B$234="Да",IF(AND('07_Мерч'!AT$3&gt;='01_Вводные'!$B$81,OR(MONTH('07_Мерч'!AT$3)='01_Вводные'!$B$82,MONTH('07_Мерч'!AT$3)='01_Вводные'!$B$83,MONTH('07_Мерч'!AT$3)='01_Вводные'!$B$84,MONTH('07_Мерч'!AT$3)='01_Вводные'!$B$85)),MAX(0,'19_Расчет_аналитики'!AT4673-('19_Расчет_аналитики'!AT4671-'19_Расчет_аналитики'!AT4672)),0),0)</f>
        <v/>
      </c>
      <c r="AU4674">
        <f>IF('01_Вводные'!$B$234="Да",IF(AND('07_Мерч'!AU$3&gt;='01_Вводные'!$B$81,OR(MONTH('07_Мерч'!AU$3)='01_Вводные'!$B$82,MONTH('07_Мерч'!AU$3)='01_Вводные'!$B$83,MONTH('07_Мерч'!AU$3)='01_Вводные'!$B$84,MONTH('07_Мерч'!AU$3)='01_Вводные'!$B$85)),MAX(0,'19_Расчет_аналитики'!AU4673-('19_Расчет_аналитики'!AU4671-'19_Расчет_аналитики'!AU4672)),0),0)</f>
        <v/>
      </c>
      <c r="AV4674">
        <f>IF('01_Вводные'!$B$234="Да",IF(AND('07_Мерч'!AV$3&gt;='01_Вводные'!$B$81,OR(MONTH('07_Мерч'!AV$3)='01_Вводные'!$B$82,MONTH('07_Мерч'!AV$3)='01_Вводные'!$B$83,MONTH('07_Мерч'!AV$3)='01_Вводные'!$B$84,MONTH('07_Мерч'!AV$3)='01_Вводные'!$B$85)),MAX(0,'19_Расчет_аналитики'!AV4673-('19_Расчет_аналитики'!AV4671-'19_Расчет_аналитики'!AV4672)),0),0)</f>
        <v/>
      </c>
      <c r="AW4674">
        <f>IF('01_Вводные'!$B$234="Да",IF(AND('07_Мерч'!AW$3&gt;='01_Вводные'!$B$81,OR(MONTH('07_Мерч'!AW$3)='01_Вводные'!$B$82,MONTH('07_Мерч'!AW$3)='01_Вводные'!$B$83,MONTH('07_Мерч'!AW$3)='01_Вводные'!$B$84,MONTH('07_Мерч'!AW$3)='01_Вводные'!$B$85)),MAX(0,'19_Расчет_аналитики'!AW4673-('19_Расчет_аналитики'!AW4671-'19_Расчет_аналитики'!AW4672)),0),0)</f>
        <v/>
      </c>
      <c r="AX4674">
        <f>IF('01_Вводные'!$B$234="Да",IF(AND('07_Мерч'!AX$3&gt;='01_Вводные'!$B$81,OR(MONTH('07_Мерч'!AX$3)='01_Вводные'!$B$82,MONTH('07_Мерч'!AX$3)='01_Вводные'!$B$83,MONTH('07_Мерч'!AX$3)='01_Вводные'!$B$84,MONTH('07_Мерч'!AX$3)='01_Вводные'!$B$85)),MAX(0,'19_Расчет_аналитики'!AX4673-('19_Расчет_аналитики'!AX4671-'19_Расчет_аналитики'!AX4672)),0),0)</f>
        <v/>
      </c>
      <c r="AY4674">
        <f>IF('01_Вводные'!$B$234="Да",IF(AND('07_Мерч'!AY$3&gt;='01_Вводные'!$B$81,OR(MONTH('07_Мерч'!AY$3)='01_Вводные'!$B$82,MONTH('07_Мерч'!AY$3)='01_Вводные'!$B$83,MONTH('07_Мерч'!AY$3)='01_Вводные'!$B$84,MONTH('07_Мерч'!AY$3)='01_Вводные'!$B$85)),MAX(0,'19_Расчет_аналитики'!AY4673-('19_Расчет_аналитики'!AY4671-'19_Расчет_аналитики'!AY4672)),0),0)</f>
        <v/>
      </c>
      <c r="AZ4674">
        <f>IF('01_Вводные'!$B$234="Да",IF(AND('07_Мерч'!AZ$3&gt;='01_Вводные'!$B$81,OR(MONTH('07_Мерч'!AZ$3)='01_Вводные'!$B$82,MONTH('07_Мерч'!AZ$3)='01_Вводные'!$B$83,MONTH('07_Мерч'!AZ$3)='01_Вводные'!$B$84,MONTH('07_Мерч'!AZ$3)='01_Вводные'!$B$85)),MAX(0,'19_Расчет_аналитики'!AZ4673-('19_Расчет_аналитики'!AZ4671-'19_Расчет_аналитики'!AZ4672)),0),0)</f>
        <v/>
      </c>
      <c r="BA4674">
        <f>IF('01_Вводные'!$B$234="Да",IF(AND('07_Мерч'!BA$3&gt;='01_Вводные'!$B$81,OR(MONTH('07_Мерч'!BA$3)='01_Вводные'!$B$82,MONTH('07_Мерч'!BA$3)='01_Вводные'!$B$83,MONTH('07_Мерч'!BA$3)='01_Вводные'!$B$84,MONTH('07_Мерч'!BA$3)='01_Вводные'!$B$85)),MAX(0,'19_Расчет_аналитики'!BA4673-('19_Расчет_аналитики'!BA4671-'19_Расчет_аналитики'!BA4672)),0),0)</f>
        <v/>
      </c>
      <c r="BB4674">
        <f>IF('01_Вводные'!$B$234="Да",IF(AND('07_Мерч'!BB$3&gt;='01_Вводные'!$B$81,OR(MONTH('07_Мерч'!BB$3)='01_Вводные'!$B$82,MONTH('07_Мерч'!BB$3)='01_Вводные'!$B$83,MONTH('07_Мерч'!BB$3)='01_Вводные'!$B$84,MONTH('07_Мерч'!BB$3)='01_Вводные'!$B$85)),MAX(0,'19_Расчет_аналитики'!BB4673-('19_Расчет_аналитики'!BB4671-'19_Расчет_аналитики'!BB4672)),0),0)</f>
        <v/>
      </c>
      <c r="BC4674">
        <f>IF('01_Вводные'!$B$234="Да",IF(AND('07_Мерч'!BC$3&gt;='01_Вводные'!$B$81,OR(MONTH('07_Мерч'!BC$3)='01_Вводные'!$B$82,MONTH('07_Мерч'!BC$3)='01_Вводные'!$B$83,MONTH('07_Мерч'!BC$3)='01_Вводные'!$B$84,MONTH('07_Мерч'!BC$3)='01_Вводные'!$B$85)),MAX(0,'19_Расчет_аналитики'!BC4673-('19_Расчет_аналитики'!BC4671-'19_Расчет_аналитики'!BC4672)),0),0)</f>
        <v/>
      </c>
      <c r="BD4674">
        <f>IF('01_Вводные'!$B$234="Да",IF(AND('07_Мерч'!BD$3&gt;='01_Вводные'!$B$81,OR(MONTH('07_Мерч'!BD$3)='01_Вводные'!$B$82,MONTH('07_Мерч'!BD$3)='01_Вводные'!$B$83,MONTH('07_Мерч'!BD$3)='01_Вводные'!$B$84,MONTH('07_Мерч'!BD$3)='01_Вводные'!$B$85)),MAX(0,'19_Расчет_аналитики'!BD4673-('19_Расчет_аналитики'!BD4671-'19_Расчет_аналитики'!BD4672)),0),0)</f>
        <v/>
      </c>
      <c r="BE4674">
        <f>IF('01_Вводные'!$B$234="Да",IF(AND('07_Мерч'!BE$3&gt;='01_Вводные'!$B$81,OR(MONTH('07_Мерч'!BE$3)='01_Вводные'!$B$82,MONTH('07_Мерч'!BE$3)='01_Вводные'!$B$83,MONTH('07_Мерч'!BE$3)='01_Вводные'!$B$84,MONTH('07_Мерч'!BE$3)='01_Вводные'!$B$85)),MAX(0,'19_Расчет_аналитики'!BE4673-('19_Расчет_аналитики'!BE4671-'19_Расчет_аналитики'!BE4672)),0),0)</f>
        <v/>
      </c>
      <c r="BF4674">
        <f>IF('01_Вводные'!$B$234="Да",IF(AND('07_Мерч'!BF$3&gt;='01_Вводные'!$B$81,OR(MONTH('07_Мерч'!BF$3)='01_Вводные'!$B$82,MONTH('07_Мерч'!BF$3)='01_Вводные'!$B$83,MONTH('07_Мерч'!BF$3)='01_Вводные'!$B$84,MONTH('07_Мерч'!BF$3)='01_Вводные'!$B$85)),MAX(0,'19_Расчет_аналитики'!BF4673-('19_Расчет_аналитики'!BF4671-'19_Расчет_аналитики'!BF4672)),0),0)</f>
        <v/>
      </c>
      <c r="BG4674">
        <f>IF('01_Вводные'!$B$234="Да",IF(AND('07_Мерч'!BG$3&gt;='01_Вводные'!$B$81,OR(MONTH('07_Мерч'!BG$3)='01_Вводные'!$B$82,MONTH('07_Мерч'!BG$3)='01_Вводные'!$B$83,MONTH('07_Мерч'!BG$3)='01_Вводные'!$B$84,MONTH('07_Мерч'!BG$3)='01_Вводные'!$B$85)),MAX(0,'19_Расчет_аналитики'!BG4673-('19_Расчет_аналитики'!BG4671-'19_Расчет_аналитики'!BG4672)),0),0)</f>
        <v/>
      </c>
      <c r="BH4674">
        <f>IF('01_Вводные'!$B$234="Да",IF(AND('07_Мерч'!BH$3&gt;='01_Вводные'!$B$81,OR(MONTH('07_Мерч'!BH$3)='01_Вводные'!$B$82,MONTH('07_Мерч'!BH$3)='01_Вводные'!$B$83,MONTH('07_Мерч'!BH$3)='01_Вводные'!$B$84,MONTH('07_Мерч'!BH$3)='01_Вводные'!$B$85)),MAX(0,'19_Расчет_аналитики'!BH4673-('19_Расчет_аналитики'!BH4671-'19_Расчет_аналитики'!BH4672)),0),0)</f>
        <v/>
      </c>
      <c r="BI4674">
        <f>IF('01_Вводные'!$B$234="Да",IF(AND('07_Мерч'!BI$3&gt;='01_Вводные'!$B$81,OR(MONTH('07_Мерч'!BI$3)='01_Вводные'!$B$82,MONTH('07_Мерч'!BI$3)='01_Вводные'!$B$83,MONTH('07_Мерч'!BI$3)='01_Вводные'!$B$84,MONTH('07_Мерч'!BI$3)='01_Вводные'!$B$85)),MAX(0,'19_Расчет_аналитики'!BI4673-('19_Расчет_аналитики'!BI4671-'19_Расчет_аналитики'!BI4672)),0),0)</f>
        <v/>
      </c>
      <c r="BJ4674">
        <f>IF('01_Вводные'!$B$234="Да",IF(AND('07_Мерч'!BJ$3&gt;='01_Вводные'!$B$81,OR(MONTH('07_Мерч'!BJ$3)='01_Вводные'!$B$82,MONTH('07_Мерч'!BJ$3)='01_Вводные'!$B$83,MONTH('07_Мерч'!BJ$3)='01_Вводные'!$B$84,MONTH('07_Мерч'!BJ$3)='01_Вводные'!$B$85)),MAX(0,'07_Мерч'!BJ24-('19_Расчет_аналитики'!BJ4671-'19_Расчет_аналитики'!BJ4672)),0),0)</f>
        <v/>
      </c>
      <c r="BK4674">
        <f>IF('01_Вводные'!$B$234="Да",IF(AND('07_Мерч'!BK$3&gt;='01_Вводные'!$B$81,OR(MONTH('07_Мерч'!BK$3)='01_Вводные'!$B$82,MONTH('07_Мерч'!BK$3)='01_Вводные'!$B$83,MONTH('07_Мерч'!BK$3)='01_Вводные'!$B$84,MONTH('07_Мерч'!BK$3)='01_Вводные'!$B$85)),MAX(0,'07_Мерч'!BK24-('19_Расчет_аналитики'!BK4671-'19_Расчет_аналитики'!BK4672)),0),0)</f>
        <v/>
      </c>
      <c r="BL4674">
        <f>IF('01_Вводные'!$B$234="Да",IF(AND('07_Мерч'!BL$3&gt;='01_Вводные'!$B$81,OR(MONTH('07_Мерч'!BL$3)='01_Вводные'!$B$82,MONTH('07_Мерч'!BL$3)='01_Вводные'!$B$83,MONTH('07_Мерч'!BL$3)='01_Вводные'!$B$84,MONTH('07_Мерч'!BL$3)='01_Вводные'!$B$85)),MAX(0,'07_Мерч'!BL24-('19_Расчет_аналитики'!BL4671-'19_Расчет_аналитики'!BL4672)),0),0)</f>
        <v/>
      </c>
      <c r="BM4674">
        <f>IF('01_Вводные'!$B$234="Да",IF(AND('07_Мерч'!BM$3&gt;='01_Вводные'!$B$81,OR(MONTH('07_Мерч'!BM$3)='01_Вводные'!$B$82,MONTH('07_Мерч'!BM$3)='01_Вводные'!$B$83,MONTH('07_Мерч'!BM$3)='01_Вводные'!$B$84,MONTH('07_Мерч'!BM$3)='01_Вводные'!$B$85)),MAX(0,'07_Мерч'!BM24-('19_Расчет_аналитики'!BM4671-'19_Расчет_аналитики'!BM4672)),0),0)</f>
        <v/>
      </c>
      <c r="BN4674">
        <f>IF('01_Вводные'!$B$234="Да",IF(AND('07_Мерч'!BN$3&gt;='01_Вводные'!$B$81,OR(MONTH('07_Мерч'!BN$3)='01_Вводные'!$B$82,MONTH('07_Мерч'!BN$3)='01_Вводные'!$B$83,MONTH('07_Мерч'!BN$3)='01_Вводные'!$B$84,MONTH('07_Мерч'!BN$3)='01_Вводные'!$B$85)),MAX(0,'07_Мерч'!BN24-('19_Расчет_аналитики'!BN4671-'19_Расчет_аналитики'!BN4672)),0),0)</f>
        <v/>
      </c>
      <c r="BO4674">
        <f>IF('01_Вводные'!$B$234="Да",IF(AND('07_Мерч'!BO$3&gt;='01_Вводные'!$B$81,OR(MONTH('07_Мерч'!BO$3)='01_Вводные'!$B$82,MONTH('07_Мерч'!BO$3)='01_Вводные'!$B$83,MONTH('07_Мерч'!BO$3)='01_Вводные'!$B$84,MONTH('07_Мерч'!BO$3)='01_Вводные'!$B$85)),MAX(0,'07_Мерч'!BO24-('19_Расчет_аналитики'!BO4671-'19_Расчет_аналитики'!BO4672)),0),0)</f>
        <v/>
      </c>
    </row>
    <row r="4675">
      <c r="B4675">
        <f>IF('01_Вводные'!$B$234="Да",'07_Мерч'!B22+'19_Расчет_аналитики'!B4674-'19_Расчет_аналитики'!B4672,0)</f>
        <v/>
      </c>
      <c r="C4675">
        <f>IF('01_Вводные'!$B$234="Да",'19_Расчет_аналитики'!C4671+'19_Расчет_аналитики'!C4674-'19_Расчет_аналитики'!C4672,0)</f>
        <v/>
      </c>
      <c r="D4675">
        <f>IF('01_Вводные'!$B$234="Да",'19_Расчет_аналитики'!D4671+'19_Расчет_аналитики'!D4674-'19_Расчет_аналитики'!D4672,0)</f>
        <v/>
      </c>
      <c r="E4675">
        <f>IF('01_Вводные'!$B$234="Да",'19_Расчет_аналитики'!E4671+'19_Расчет_аналитики'!E4674-'19_Расчет_аналитики'!E4672,0)</f>
        <v/>
      </c>
      <c r="F4675">
        <f>IF('01_Вводные'!$B$234="Да",'19_Расчет_аналитики'!F4671+'19_Расчет_аналитики'!F4674-'19_Расчет_аналитики'!F4672,0)</f>
        <v/>
      </c>
      <c r="G4675">
        <f>IF('01_Вводные'!$B$234="Да",'19_Расчет_аналитики'!G4671+'19_Расчет_аналитики'!G4674-'19_Расчет_аналитики'!G4672,0)</f>
        <v/>
      </c>
      <c r="H4675">
        <f>IF('01_Вводные'!$B$234="Да",'19_Расчет_аналитики'!H4671+'19_Расчет_аналитики'!H4674-'19_Расчет_аналитики'!H4672,0)</f>
        <v/>
      </c>
      <c r="I4675">
        <f>IF('01_Вводные'!$B$234="Да",'19_Расчет_аналитики'!I4671+'19_Расчет_аналитики'!I4674-'19_Расчет_аналитики'!I4672,0)</f>
        <v/>
      </c>
      <c r="J4675">
        <f>IF('01_Вводные'!$B$234="Да",'19_Расчет_аналитики'!J4671+'19_Расчет_аналитики'!J4674-'19_Расчет_аналитики'!J4672,0)</f>
        <v/>
      </c>
      <c r="K4675">
        <f>IF('01_Вводные'!$B$234="Да",'19_Расчет_аналитики'!K4671+'19_Расчет_аналитики'!K4674-'19_Расчет_аналитики'!K4672,0)</f>
        <v/>
      </c>
      <c r="L4675">
        <f>IF('01_Вводные'!$B$234="Да",'19_Расчет_аналитики'!L4671+'19_Расчет_аналитики'!L4674-'19_Расчет_аналитики'!L4672,0)</f>
        <v/>
      </c>
      <c r="M4675">
        <f>IF('01_Вводные'!$B$234="Да",'19_Расчет_аналитики'!M4671+'19_Расчет_аналитики'!M4674-'19_Расчет_аналитики'!M4672,0)</f>
        <v/>
      </c>
      <c r="N4675">
        <f>IF('01_Вводные'!$B$234="Да",'19_Расчет_аналитики'!N4671+'19_Расчет_аналитики'!N4674-'19_Расчет_аналитики'!N4672,0)</f>
        <v/>
      </c>
      <c r="O4675">
        <f>IF('01_Вводные'!$B$234="Да",'19_Расчет_аналитики'!O4671+'19_Расчет_аналитики'!O4674-'19_Расчет_аналитики'!O4672,0)</f>
        <v/>
      </c>
      <c r="P4675">
        <f>IF('01_Вводные'!$B$234="Да",'19_Расчет_аналитики'!P4671+'19_Расчет_аналитики'!P4674-'19_Расчет_аналитики'!P4672,0)</f>
        <v/>
      </c>
      <c r="Q4675">
        <f>IF('01_Вводные'!$B$234="Да",'19_Расчет_аналитики'!Q4671+'19_Расчет_аналитики'!Q4674-'19_Расчет_аналитики'!Q4672,0)</f>
        <v/>
      </c>
      <c r="R4675">
        <f>IF('01_Вводные'!$B$234="Да",'19_Расчет_аналитики'!R4671+'19_Расчет_аналитики'!R4674-'19_Расчет_аналитики'!R4672,0)</f>
        <v/>
      </c>
      <c r="S4675">
        <f>IF('01_Вводные'!$B$234="Да",'19_Расчет_аналитики'!S4671+'19_Расчет_аналитики'!S4674-'19_Расчет_аналитики'!S4672,0)</f>
        <v/>
      </c>
      <c r="T4675">
        <f>IF('01_Вводные'!$B$234="Да",'19_Расчет_аналитики'!T4671+'19_Расчет_аналитики'!T4674-'19_Расчет_аналитики'!T4672,0)</f>
        <v/>
      </c>
      <c r="U4675">
        <f>IF('01_Вводные'!$B$234="Да",'19_Расчет_аналитики'!U4671+'19_Расчет_аналитики'!U4674-'19_Расчет_аналитики'!U4672,0)</f>
        <v/>
      </c>
      <c r="V4675">
        <f>IF('01_Вводные'!$B$234="Да",'19_Расчет_аналитики'!V4671+'19_Расчет_аналитики'!V4674-'19_Расчет_аналитики'!V4672,0)</f>
        <v/>
      </c>
      <c r="W4675">
        <f>IF('01_Вводные'!$B$234="Да",'19_Расчет_аналитики'!W4671+'19_Расчет_аналитики'!W4674-'19_Расчет_аналитики'!W4672,0)</f>
        <v/>
      </c>
      <c r="X4675">
        <f>IF('01_Вводные'!$B$234="Да",'19_Расчет_аналитики'!X4671+'19_Расчет_аналитики'!X4674-'19_Расчет_аналитики'!X4672,0)</f>
        <v/>
      </c>
      <c r="Y4675">
        <f>IF('01_Вводные'!$B$234="Да",'19_Расчет_аналитики'!Y4671+'19_Расчет_аналитики'!Y4674-'19_Расчет_аналитики'!Y4672,0)</f>
        <v/>
      </c>
      <c r="Z4675">
        <f>IF('01_Вводные'!$B$234="Да",'19_Расчет_аналитики'!Z4671+'19_Расчет_аналитики'!Z4674-'19_Расчет_аналитики'!Z4672,0)</f>
        <v/>
      </c>
      <c r="AA4675">
        <f>IF('01_Вводные'!$B$234="Да",'19_Расчет_аналитики'!AA4671+'19_Расчет_аналитики'!AA4674-'19_Расчет_аналитики'!AA4672,0)</f>
        <v/>
      </c>
      <c r="AB4675">
        <f>IF('01_Вводные'!$B$234="Да",'19_Расчет_аналитики'!AB4671+'19_Расчет_аналитики'!AB4674-'19_Расчет_аналитики'!AB4672,0)</f>
        <v/>
      </c>
      <c r="AC4675">
        <f>IF('01_Вводные'!$B$234="Да",'19_Расчет_аналитики'!AC4671+'19_Расчет_аналитики'!AC4674-'19_Расчет_аналитики'!AC4672,0)</f>
        <v/>
      </c>
      <c r="AD4675">
        <f>IF('01_Вводные'!$B$234="Да",'19_Расчет_аналитики'!AD4671+'19_Расчет_аналитики'!AD4674-'19_Расчет_аналитики'!AD4672,0)</f>
        <v/>
      </c>
      <c r="AE4675">
        <f>IF('01_Вводные'!$B$234="Да",'19_Расчет_аналитики'!AE4671+'19_Расчет_аналитики'!AE4674-'19_Расчет_аналитики'!AE4672,0)</f>
        <v/>
      </c>
      <c r="AF4675">
        <f>IF('01_Вводные'!$B$234="Да",'19_Расчет_аналитики'!AF4671+'19_Расчет_аналитики'!AF4674-'19_Расчет_аналитики'!AF4672,0)</f>
        <v/>
      </c>
      <c r="AG4675">
        <f>IF('01_Вводные'!$B$234="Да",'19_Расчет_аналитики'!AG4671+'19_Расчет_аналитики'!AG4674-'19_Расчет_аналитики'!AG4672,0)</f>
        <v/>
      </c>
      <c r="AH4675">
        <f>IF('01_Вводные'!$B$234="Да",'19_Расчет_аналитики'!AH4671+'19_Расчет_аналитики'!AH4674-'19_Расчет_аналитики'!AH4672,0)</f>
        <v/>
      </c>
      <c r="AI4675">
        <f>IF('01_Вводные'!$B$234="Да",'19_Расчет_аналитики'!AI4671+'19_Расчет_аналитики'!AI4674-'19_Расчет_аналитики'!AI4672,0)</f>
        <v/>
      </c>
      <c r="AJ4675">
        <f>IF('01_Вводные'!$B$234="Да",'19_Расчет_аналитики'!AJ4671+'19_Расчет_аналитики'!AJ4674-'19_Расчет_аналитики'!AJ4672,0)</f>
        <v/>
      </c>
      <c r="AK4675">
        <f>IF('01_Вводные'!$B$234="Да",'19_Расчет_аналитики'!AK4671+'19_Расчет_аналитики'!AK4674-'19_Расчет_аналитики'!AK4672,0)</f>
        <v/>
      </c>
      <c r="AL4675">
        <f>IF('01_Вводные'!$B$234="Да",'19_Расчет_аналитики'!AL4671+'19_Расчет_аналитики'!AL4674-'19_Расчет_аналитики'!AL4672,0)</f>
        <v/>
      </c>
      <c r="AM4675">
        <f>IF('01_Вводные'!$B$234="Да",'19_Расчет_аналитики'!AM4671+'19_Расчет_аналитики'!AM4674-'19_Расчет_аналитики'!AM4672,0)</f>
        <v/>
      </c>
      <c r="AN4675">
        <f>IF('01_Вводные'!$B$234="Да",'19_Расчет_аналитики'!AN4671+'19_Расчет_аналитики'!AN4674-'19_Расчет_аналитики'!AN4672,0)</f>
        <v/>
      </c>
      <c r="AO4675">
        <f>IF('01_Вводные'!$B$234="Да",'19_Расчет_аналитики'!AO4671+'19_Расчет_аналитики'!AO4674-'19_Расчет_аналитики'!AO4672,0)</f>
        <v/>
      </c>
      <c r="AP4675">
        <f>IF('01_Вводные'!$B$234="Да",'19_Расчет_аналитики'!AP4671+'19_Расчет_аналитики'!AP4674-'19_Расчет_аналитики'!AP4672,0)</f>
        <v/>
      </c>
      <c r="AQ4675">
        <f>IF('01_Вводные'!$B$234="Да",'19_Расчет_аналитики'!AQ4671+'19_Расчет_аналитики'!AQ4674-'19_Расчет_аналитики'!AQ4672,0)</f>
        <v/>
      </c>
      <c r="AR4675">
        <f>IF('01_Вводные'!$B$234="Да",'19_Расчет_аналитики'!AR4671+'19_Расчет_аналитики'!AR4674-'19_Расчет_аналитики'!AR4672,0)</f>
        <v/>
      </c>
      <c r="AS4675">
        <f>IF('01_Вводные'!$B$234="Да",'19_Расчет_аналитики'!AS4671+'19_Расчет_аналитики'!AS4674-'19_Расчет_аналитики'!AS4672,0)</f>
        <v/>
      </c>
      <c r="AT4675">
        <f>IF('01_Вводные'!$B$234="Да",'19_Расчет_аналитики'!AT4671+'19_Расчет_аналитики'!AT4674-'19_Расчет_аналитики'!AT4672,0)</f>
        <v/>
      </c>
      <c r="AU4675">
        <f>IF('01_Вводные'!$B$234="Да",'19_Расчет_аналитики'!AU4671+'19_Расчет_аналитики'!AU4674-'19_Расчет_аналитики'!AU4672,0)</f>
        <v/>
      </c>
      <c r="AV4675">
        <f>IF('01_Вводные'!$B$234="Да",'19_Расчет_аналитики'!AV4671+'19_Расчет_аналитики'!AV4674-'19_Расчет_аналитики'!AV4672,0)</f>
        <v/>
      </c>
      <c r="AW4675">
        <f>IF('01_Вводные'!$B$234="Да",'19_Расчет_аналитики'!AW4671+'19_Расчет_аналитики'!AW4674-'19_Расчет_аналитики'!AW4672,0)</f>
        <v/>
      </c>
      <c r="AX4675">
        <f>IF('01_Вводные'!$B$234="Да",'19_Расчет_аналитики'!AX4671+'19_Расчет_аналитики'!AX4674-'19_Расчет_аналитики'!AX4672,0)</f>
        <v/>
      </c>
      <c r="AY4675">
        <f>IF('01_Вводные'!$B$234="Да",'19_Расчет_аналитики'!AY4671+'19_Расчет_аналитики'!AY4674-'19_Расчет_аналитики'!AY4672,0)</f>
        <v/>
      </c>
      <c r="AZ4675">
        <f>IF('01_Вводные'!$B$234="Да",'19_Расчет_аналитики'!AZ4671+'19_Расчет_аналитики'!AZ4674-'19_Расчет_аналитики'!AZ4672,0)</f>
        <v/>
      </c>
      <c r="BA4675">
        <f>IF('01_Вводные'!$B$234="Да",'19_Расчет_аналитики'!BA4671+'19_Расчет_аналитики'!BA4674-'19_Расчет_аналитики'!BA4672,0)</f>
        <v/>
      </c>
      <c r="BB4675">
        <f>IF('01_Вводные'!$B$234="Да",'19_Расчет_аналитики'!BB4671+'19_Расчет_аналитики'!BB4674-'19_Расчет_аналитики'!BB4672,0)</f>
        <v/>
      </c>
      <c r="BC4675">
        <f>IF('01_Вводные'!$B$234="Да",'19_Расчет_аналитики'!BC4671+'19_Расчет_аналитики'!BC4674-'19_Расчет_аналитики'!BC4672,0)</f>
        <v/>
      </c>
      <c r="BD4675">
        <f>IF('01_Вводные'!$B$234="Да",'19_Расчет_аналитики'!BD4671+'19_Расчет_аналитики'!BD4674-'19_Расчет_аналитики'!BD4672,0)</f>
        <v/>
      </c>
      <c r="BE4675">
        <f>IF('01_Вводные'!$B$234="Да",'19_Расчет_аналитики'!BE4671+'19_Расчет_аналитики'!BE4674-'19_Расчет_аналитики'!BE4672,0)</f>
        <v/>
      </c>
      <c r="BF4675">
        <f>IF('01_Вводные'!$B$234="Да",'19_Расчет_аналитики'!BF4671+'19_Расчет_аналитики'!BF4674-'19_Расчет_аналитики'!BF4672,0)</f>
        <v/>
      </c>
      <c r="BG4675">
        <f>IF('01_Вводные'!$B$234="Да",'19_Расчет_аналитики'!BG4671+'19_Расчет_аналитики'!BG4674-'19_Расчет_аналитики'!BG4672,0)</f>
        <v/>
      </c>
      <c r="BH4675">
        <f>IF('01_Вводные'!$B$234="Да",'19_Расчет_аналитики'!BH4671+'19_Расчет_аналитики'!BH4674-'19_Расчет_аналитики'!BH4672,0)</f>
        <v/>
      </c>
      <c r="BI4675">
        <f>IF('01_Вводные'!$B$234="Да",'19_Расчет_аналитики'!BI4671+'19_Расчет_аналитики'!BI4674-'19_Расчет_аналитики'!BI4672,0)</f>
        <v/>
      </c>
      <c r="BJ4675">
        <f>IF('01_Вводные'!$B$234="Да",'19_Расчет_аналитики'!BJ4671+'19_Расчет_аналитики'!BJ4674-'19_Расчет_аналитики'!BJ4672,0)</f>
        <v/>
      </c>
      <c r="BK4675">
        <f>IF('01_Вводные'!$B$234="Да",'19_Расчет_аналитики'!BK4671+'19_Расчет_аналитики'!BK4674-'19_Расчет_аналитики'!BK4672,0)</f>
        <v/>
      </c>
      <c r="BL4675">
        <f>IF('01_Вводные'!$B$234="Да",'19_Расчет_аналитики'!BL4671+'19_Расчет_аналитики'!BL4674-'19_Расчет_аналитики'!BL4672,0)</f>
        <v/>
      </c>
      <c r="BM4675">
        <f>IF('01_Вводные'!$B$234="Да",'19_Расчет_аналитики'!BM4671+'19_Расчет_аналитики'!BM4674-'19_Расчет_аналитики'!BM4672,0)</f>
        <v/>
      </c>
      <c r="BN4675">
        <f>IF('01_Вводные'!$B$234="Да",'19_Расчет_аналитики'!BN4671+'19_Расчет_аналитики'!BN4674-'19_Расчет_аналитики'!BN4672,0)</f>
        <v/>
      </c>
      <c r="BO4675">
        <f>IF('01_Вводные'!$B$234="Да",'19_Расчет_аналитики'!BO4671+'19_Расчет_аналитики'!BO4674-'19_Расчет_аналитики'!BO4672,0)</f>
        <v/>
      </c>
    </row>
    <row r="4676">
      <c r="B4676">
        <f>IF('01_Вводные'!$B$234="Да",MAX(0,-'19_Расчет_аналитики'!B4675),0)</f>
        <v/>
      </c>
      <c r="C4676">
        <f>IF('01_Вводные'!$B$234="Да",MAX(0,-'19_Расчет_аналитики'!C4675),0)</f>
        <v/>
      </c>
      <c r="D4676">
        <f>IF('01_Вводные'!$B$234="Да",MAX(0,-'19_Расчет_аналитики'!D4675),0)</f>
        <v/>
      </c>
      <c r="E4676">
        <f>IF('01_Вводные'!$B$234="Да",MAX(0,-'19_Расчет_аналитики'!E4675),0)</f>
        <v/>
      </c>
      <c r="F4676">
        <f>IF('01_Вводные'!$B$234="Да",MAX(0,-'19_Расчет_аналитики'!F4675),0)</f>
        <v/>
      </c>
      <c r="G4676">
        <f>IF('01_Вводные'!$B$234="Да",MAX(0,-'19_Расчет_аналитики'!G4675),0)</f>
        <v/>
      </c>
      <c r="H4676">
        <f>IF('01_Вводные'!$B$234="Да",MAX(0,-'19_Расчет_аналитики'!H4675),0)</f>
        <v/>
      </c>
      <c r="I4676">
        <f>IF('01_Вводные'!$B$234="Да",MAX(0,-'19_Расчет_аналитики'!I4675),0)</f>
        <v/>
      </c>
      <c r="J4676">
        <f>IF('01_Вводные'!$B$234="Да",MAX(0,-'19_Расчет_аналитики'!J4675),0)</f>
        <v/>
      </c>
      <c r="K4676">
        <f>IF('01_Вводные'!$B$234="Да",MAX(0,-'19_Расчет_аналитики'!K4675),0)</f>
        <v/>
      </c>
      <c r="L4676">
        <f>IF('01_Вводные'!$B$234="Да",MAX(0,-'19_Расчет_аналитики'!L4675),0)</f>
        <v/>
      </c>
      <c r="M4676">
        <f>IF('01_Вводные'!$B$234="Да",MAX(0,-'19_Расчет_аналитики'!M4675),0)</f>
        <v/>
      </c>
      <c r="N4676">
        <f>IF('01_Вводные'!$B$234="Да",MAX(0,-'19_Расчет_аналитики'!N4675),0)</f>
        <v/>
      </c>
      <c r="O4676">
        <f>IF('01_Вводные'!$B$234="Да",MAX(0,-'19_Расчет_аналитики'!O4675),0)</f>
        <v/>
      </c>
      <c r="P4676">
        <f>IF('01_Вводные'!$B$234="Да",MAX(0,-'19_Расчет_аналитики'!P4675),0)</f>
        <v/>
      </c>
      <c r="Q4676">
        <f>IF('01_Вводные'!$B$234="Да",MAX(0,-'19_Расчет_аналитики'!Q4675),0)</f>
        <v/>
      </c>
      <c r="R4676">
        <f>IF('01_Вводные'!$B$234="Да",MAX(0,-'19_Расчет_аналитики'!R4675),0)</f>
        <v/>
      </c>
      <c r="S4676">
        <f>IF('01_Вводные'!$B$234="Да",MAX(0,-'19_Расчет_аналитики'!S4675),0)</f>
        <v/>
      </c>
      <c r="T4676">
        <f>IF('01_Вводные'!$B$234="Да",MAX(0,-'19_Расчет_аналитики'!T4675),0)</f>
        <v/>
      </c>
      <c r="U4676">
        <f>IF('01_Вводные'!$B$234="Да",MAX(0,-'19_Расчет_аналитики'!U4675),0)</f>
        <v/>
      </c>
      <c r="V4676">
        <f>IF('01_Вводные'!$B$234="Да",MAX(0,-'19_Расчет_аналитики'!V4675),0)</f>
        <v/>
      </c>
      <c r="W4676">
        <f>IF('01_Вводные'!$B$234="Да",MAX(0,-'19_Расчет_аналитики'!W4675),0)</f>
        <v/>
      </c>
      <c r="X4676">
        <f>IF('01_Вводные'!$B$234="Да",MAX(0,-'19_Расчет_аналитики'!X4675),0)</f>
        <v/>
      </c>
      <c r="Y4676">
        <f>IF('01_Вводные'!$B$234="Да",MAX(0,-'19_Расчет_аналитики'!Y4675),0)</f>
        <v/>
      </c>
      <c r="Z4676">
        <f>IF('01_Вводные'!$B$234="Да",MAX(0,-'19_Расчет_аналитики'!Z4675),0)</f>
        <v/>
      </c>
      <c r="AA4676">
        <f>IF('01_Вводные'!$B$234="Да",MAX(0,-'19_Расчет_аналитики'!AA4675),0)</f>
        <v/>
      </c>
      <c r="AB4676">
        <f>IF('01_Вводные'!$B$234="Да",MAX(0,-'19_Расчет_аналитики'!AB4675),0)</f>
        <v/>
      </c>
      <c r="AC4676">
        <f>IF('01_Вводные'!$B$234="Да",MAX(0,-'19_Расчет_аналитики'!AC4675),0)</f>
        <v/>
      </c>
      <c r="AD4676">
        <f>IF('01_Вводные'!$B$234="Да",MAX(0,-'19_Расчет_аналитики'!AD4675),0)</f>
        <v/>
      </c>
      <c r="AE4676">
        <f>IF('01_Вводные'!$B$234="Да",MAX(0,-'19_Расчет_аналитики'!AE4675),0)</f>
        <v/>
      </c>
      <c r="AF4676">
        <f>IF('01_Вводные'!$B$234="Да",MAX(0,-'19_Расчет_аналитики'!AF4675),0)</f>
        <v/>
      </c>
      <c r="AG4676">
        <f>IF('01_Вводные'!$B$234="Да",MAX(0,-'19_Расчет_аналитики'!AG4675),0)</f>
        <v/>
      </c>
      <c r="AH4676">
        <f>IF('01_Вводные'!$B$234="Да",MAX(0,-'19_Расчет_аналитики'!AH4675),0)</f>
        <v/>
      </c>
      <c r="AI4676">
        <f>IF('01_Вводные'!$B$234="Да",MAX(0,-'19_Расчет_аналитики'!AI4675),0)</f>
        <v/>
      </c>
      <c r="AJ4676">
        <f>IF('01_Вводные'!$B$234="Да",MAX(0,-'19_Расчет_аналитики'!AJ4675),0)</f>
        <v/>
      </c>
      <c r="AK4676">
        <f>IF('01_Вводные'!$B$234="Да",MAX(0,-'19_Расчет_аналитики'!AK4675),0)</f>
        <v/>
      </c>
      <c r="AL4676">
        <f>IF('01_Вводные'!$B$234="Да",MAX(0,-'19_Расчет_аналитики'!AL4675),0)</f>
        <v/>
      </c>
      <c r="AM4676">
        <f>IF('01_Вводные'!$B$234="Да",MAX(0,-'19_Расчет_аналитики'!AM4675),0)</f>
        <v/>
      </c>
      <c r="AN4676">
        <f>IF('01_Вводные'!$B$234="Да",MAX(0,-'19_Расчет_аналитики'!AN4675),0)</f>
        <v/>
      </c>
      <c r="AO4676">
        <f>IF('01_Вводные'!$B$234="Да",MAX(0,-'19_Расчет_аналитики'!AO4675),0)</f>
        <v/>
      </c>
      <c r="AP4676">
        <f>IF('01_Вводные'!$B$234="Да",MAX(0,-'19_Расчет_аналитики'!AP4675),0)</f>
        <v/>
      </c>
      <c r="AQ4676">
        <f>IF('01_Вводные'!$B$234="Да",MAX(0,-'19_Расчет_аналитики'!AQ4675),0)</f>
        <v/>
      </c>
      <c r="AR4676">
        <f>IF('01_Вводные'!$B$234="Да",MAX(0,-'19_Расчет_аналитики'!AR4675),0)</f>
        <v/>
      </c>
      <c r="AS4676">
        <f>IF('01_Вводные'!$B$234="Да",MAX(0,-'19_Расчет_аналитики'!AS4675),0)</f>
        <v/>
      </c>
      <c r="AT4676">
        <f>IF('01_Вводные'!$B$234="Да",MAX(0,-'19_Расчет_аналитики'!AT4675),0)</f>
        <v/>
      </c>
      <c r="AU4676">
        <f>IF('01_Вводные'!$B$234="Да",MAX(0,-'19_Расчет_аналитики'!AU4675),0)</f>
        <v/>
      </c>
      <c r="AV4676">
        <f>IF('01_Вводные'!$B$234="Да",MAX(0,-'19_Расчет_аналитики'!AV4675),0)</f>
        <v/>
      </c>
      <c r="AW4676">
        <f>IF('01_Вводные'!$B$234="Да",MAX(0,-'19_Расчет_аналитики'!AW4675),0)</f>
        <v/>
      </c>
      <c r="AX4676">
        <f>IF('01_Вводные'!$B$234="Да",MAX(0,-'19_Расчет_аналитики'!AX4675),0)</f>
        <v/>
      </c>
      <c r="AY4676">
        <f>IF('01_Вводные'!$B$234="Да",MAX(0,-'19_Расчет_аналитики'!AY4675),0)</f>
        <v/>
      </c>
      <c r="AZ4676">
        <f>IF('01_Вводные'!$B$234="Да",MAX(0,-'19_Расчет_аналитики'!AZ4675),0)</f>
        <v/>
      </c>
      <c r="BA4676">
        <f>IF('01_Вводные'!$B$234="Да",MAX(0,-'19_Расчет_аналитики'!BA4675),0)</f>
        <v/>
      </c>
      <c r="BB4676">
        <f>IF('01_Вводные'!$B$234="Да",MAX(0,-'19_Расчет_аналитики'!BB4675),0)</f>
        <v/>
      </c>
      <c r="BC4676">
        <f>IF('01_Вводные'!$B$234="Да",MAX(0,-'19_Расчет_аналитики'!BC4675),0)</f>
        <v/>
      </c>
      <c r="BD4676">
        <f>IF('01_Вводные'!$B$234="Да",MAX(0,-'19_Расчет_аналитики'!BD4675),0)</f>
        <v/>
      </c>
      <c r="BE4676">
        <f>IF('01_Вводные'!$B$234="Да",MAX(0,-'19_Расчет_аналитики'!BE4675),0)</f>
        <v/>
      </c>
      <c r="BF4676">
        <f>IF('01_Вводные'!$B$234="Да",MAX(0,-'19_Расчет_аналитики'!BF4675),0)</f>
        <v/>
      </c>
      <c r="BG4676">
        <f>IF('01_Вводные'!$B$234="Да",MAX(0,-'19_Расчет_аналитики'!BG4675),0)</f>
        <v/>
      </c>
      <c r="BH4676">
        <f>IF('01_Вводные'!$B$234="Да",MAX(0,-'19_Расчет_аналитики'!BH4675),0)</f>
        <v/>
      </c>
      <c r="BI4676">
        <f>IF('01_Вводные'!$B$234="Да",MAX(0,-'19_Расчет_аналитики'!BI4675),0)</f>
        <v/>
      </c>
      <c r="BJ4676">
        <f>IF('01_Вводные'!$B$234="Да",MAX(0,-'19_Расчет_аналитики'!BJ4675),0)</f>
        <v/>
      </c>
      <c r="BK4676">
        <f>IF('01_Вводные'!$B$234="Да",MAX(0,-'19_Расчет_аналитики'!BK4675),0)</f>
        <v/>
      </c>
      <c r="BL4676">
        <f>IF('01_Вводные'!$B$234="Да",MAX(0,-'19_Расчет_аналитики'!BL4675),0)</f>
        <v/>
      </c>
      <c r="BM4676">
        <f>IF('01_Вводные'!$B$234="Да",MAX(0,-'19_Расчет_аналитики'!BM4675),0)</f>
        <v/>
      </c>
      <c r="BN4676">
        <f>IF('01_Вводные'!$B$234="Да",MAX(0,-'19_Расчет_аналитики'!BN4675),0)</f>
        <v/>
      </c>
      <c r="BO4676">
        <f>IF('01_Вводные'!$B$234="Да",MAX(0,-'19_Расчет_аналитики'!BO4675),0)</f>
        <v/>
      </c>
    </row>
    <row r="4677"/>
    <row r="4678">
      <c r="C4678">
        <f>IF('01_Вводные'!$B$234="Да",'19_Расчет_аналитики'!B4681,0)</f>
        <v/>
      </c>
      <c r="D4678">
        <f>IF('01_Вводные'!$B$234="Да",'19_Расчет_аналитики'!C4681,0)</f>
        <v/>
      </c>
      <c r="E4678">
        <f>IF('01_Вводные'!$B$234="Да",'19_Расчет_аналитики'!D4681,0)</f>
        <v/>
      </c>
      <c r="F4678">
        <f>IF('01_Вводные'!$B$234="Да",'19_Расчет_аналитики'!E4681,0)</f>
        <v/>
      </c>
      <c r="G4678">
        <f>IF('01_Вводные'!$B$234="Да",'19_Расчет_аналитики'!F4681,0)</f>
        <v/>
      </c>
      <c r="H4678">
        <f>IF('01_Вводные'!$B$234="Да",'19_Расчет_аналитики'!G4681,0)</f>
        <v/>
      </c>
      <c r="I4678">
        <f>IF('01_Вводные'!$B$234="Да",'19_Расчет_аналитики'!H4681,0)</f>
        <v/>
      </c>
      <c r="J4678">
        <f>IF('01_Вводные'!$B$234="Да",'19_Расчет_аналитики'!I4681,0)</f>
        <v/>
      </c>
      <c r="K4678">
        <f>IF('01_Вводные'!$B$234="Да",'19_Расчет_аналитики'!J4681,0)</f>
        <v/>
      </c>
      <c r="L4678">
        <f>IF('01_Вводные'!$B$234="Да",'19_Расчет_аналитики'!K4681,0)</f>
        <v/>
      </c>
      <c r="M4678">
        <f>IF('01_Вводные'!$B$234="Да",'19_Расчет_аналитики'!L4681,0)</f>
        <v/>
      </c>
      <c r="N4678">
        <f>IF('01_Вводные'!$B$234="Да",'19_Расчет_аналитики'!M4681,0)</f>
        <v/>
      </c>
      <c r="O4678">
        <f>IF('01_Вводные'!$B$234="Да",'19_Расчет_аналитики'!N4681,0)</f>
        <v/>
      </c>
      <c r="P4678">
        <f>IF('01_Вводные'!$B$234="Да",'19_Расчет_аналитики'!O4681,0)</f>
        <v/>
      </c>
      <c r="Q4678">
        <f>IF('01_Вводные'!$B$234="Да",'19_Расчет_аналитики'!P4681,0)</f>
        <v/>
      </c>
      <c r="R4678">
        <f>IF('01_Вводные'!$B$234="Да",'19_Расчет_аналитики'!Q4681,0)</f>
        <v/>
      </c>
      <c r="S4678">
        <f>IF('01_Вводные'!$B$234="Да",'19_Расчет_аналитики'!R4681,0)</f>
        <v/>
      </c>
      <c r="T4678">
        <f>IF('01_Вводные'!$B$234="Да",'19_Расчет_аналитики'!S4681,0)</f>
        <v/>
      </c>
      <c r="U4678">
        <f>IF('01_Вводные'!$B$234="Да",'19_Расчет_аналитики'!T4681,0)</f>
        <v/>
      </c>
      <c r="V4678">
        <f>IF('01_Вводные'!$B$234="Да",'19_Расчет_аналитики'!U4681,0)</f>
        <v/>
      </c>
      <c r="W4678">
        <f>IF('01_Вводные'!$B$234="Да",'19_Расчет_аналитики'!V4681,0)</f>
        <v/>
      </c>
      <c r="X4678">
        <f>IF('01_Вводные'!$B$234="Да",'19_Расчет_аналитики'!W4681,0)</f>
        <v/>
      </c>
      <c r="Y4678">
        <f>IF('01_Вводные'!$B$234="Да",'19_Расчет_аналитики'!X4681,0)</f>
        <v/>
      </c>
      <c r="Z4678">
        <f>IF('01_Вводные'!$B$234="Да",'19_Расчет_аналитики'!Y4681,0)</f>
        <v/>
      </c>
      <c r="AA4678">
        <f>IF('01_Вводные'!$B$234="Да",'19_Расчет_аналитики'!Z4681,0)</f>
        <v/>
      </c>
      <c r="AB4678">
        <f>IF('01_Вводные'!$B$234="Да",'19_Расчет_аналитики'!AA4681,0)</f>
        <v/>
      </c>
      <c r="AC4678">
        <f>IF('01_Вводные'!$B$234="Да",'19_Расчет_аналитики'!AB4681,0)</f>
        <v/>
      </c>
      <c r="AD4678">
        <f>IF('01_Вводные'!$B$234="Да",'19_Расчет_аналитики'!AC4681,0)</f>
        <v/>
      </c>
      <c r="AE4678">
        <f>IF('01_Вводные'!$B$234="Да",'19_Расчет_аналитики'!AD4681,0)</f>
        <v/>
      </c>
      <c r="AF4678">
        <f>IF('01_Вводные'!$B$234="Да",'19_Расчет_аналитики'!AE4681,0)</f>
        <v/>
      </c>
      <c r="AG4678">
        <f>IF('01_Вводные'!$B$234="Да",'19_Расчет_аналитики'!AF4681,0)</f>
        <v/>
      </c>
      <c r="AH4678">
        <f>IF('01_Вводные'!$B$234="Да",'19_Расчет_аналитики'!AG4681,0)</f>
        <v/>
      </c>
      <c r="AI4678">
        <f>IF('01_Вводные'!$B$234="Да",'19_Расчет_аналитики'!AH4681,0)</f>
        <v/>
      </c>
      <c r="AJ4678">
        <f>IF('01_Вводные'!$B$234="Да",'19_Расчет_аналитики'!AI4681,0)</f>
        <v/>
      </c>
      <c r="AK4678">
        <f>IF('01_Вводные'!$B$234="Да",'19_Расчет_аналитики'!AJ4681,0)</f>
        <v/>
      </c>
      <c r="AL4678">
        <f>IF('01_Вводные'!$B$234="Да",'19_Расчет_аналитики'!AK4681,0)</f>
        <v/>
      </c>
      <c r="AM4678">
        <f>IF('01_Вводные'!$B$234="Да",'19_Расчет_аналитики'!AL4681,0)</f>
        <v/>
      </c>
      <c r="AN4678">
        <f>IF('01_Вводные'!$B$234="Да",'19_Расчет_аналитики'!AM4681,0)</f>
        <v/>
      </c>
      <c r="AO4678">
        <f>IF('01_Вводные'!$B$234="Да",'19_Расчет_аналитики'!AN4681,0)</f>
        <v/>
      </c>
      <c r="AP4678">
        <f>IF('01_Вводные'!$B$234="Да",'19_Расчет_аналитики'!AO4681,0)</f>
        <v/>
      </c>
      <c r="AQ4678">
        <f>IF('01_Вводные'!$B$234="Да",'19_Расчет_аналитики'!AP4681,0)</f>
        <v/>
      </c>
      <c r="AR4678">
        <f>IF('01_Вводные'!$B$234="Да",'19_Расчет_аналитики'!AQ4681,0)</f>
        <v/>
      </c>
      <c r="AS4678">
        <f>IF('01_Вводные'!$B$234="Да",'19_Расчет_аналитики'!AR4681,0)</f>
        <v/>
      </c>
      <c r="AT4678">
        <f>IF('01_Вводные'!$B$234="Да",'19_Расчет_аналитики'!AS4681,0)</f>
        <v/>
      </c>
      <c r="AU4678">
        <f>IF('01_Вводные'!$B$234="Да",'19_Расчет_аналитики'!AT4681,0)</f>
        <v/>
      </c>
      <c r="AV4678">
        <f>IF('01_Вводные'!$B$234="Да",'19_Расчет_аналитики'!AU4681,0)</f>
        <v/>
      </c>
      <c r="AW4678">
        <f>IF('01_Вводные'!$B$234="Да",'19_Расчет_аналитики'!AV4681,0)</f>
        <v/>
      </c>
      <c r="AX4678">
        <f>IF('01_Вводные'!$B$234="Да",'19_Расчет_аналитики'!AW4681,0)</f>
        <v/>
      </c>
      <c r="AY4678">
        <f>IF('01_Вводные'!$B$234="Да",'19_Расчет_аналитики'!AX4681,0)</f>
        <v/>
      </c>
      <c r="AZ4678">
        <f>IF('01_Вводные'!$B$234="Да",'19_Расчет_аналитики'!AY4681,0)</f>
        <v/>
      </c>
      <c r="BA4678">
        <f>IF('01_Вводные'!$B$234="Да",'19_Расчет_аналитики'!AZ4681,0)</f>
        <v/>
      </c>
      <c r="BB4678">
        <f>IF('01_Вводные'!$B$234="Да",'19_Расчет_аналитики'!BA4681,0)</f>
        <v/>
      </c>
      <c r="BC4678">
        <f>IF('01_Вводные'!$B$234="Да",'19_Расчет_аналитики'!BB4681,0)</f>
        <v/>
      </c>
      <c r="BD4678">
        <f>IF('01_Вводные'!$B$234="Да",'19_Расчет_аналитики'!BC4681,0)</f>
        <v/>
      </c>
      <c r="BE4678">
        <f>IF('01_Вводные'!$B$234="Да",'19_Расчет_аналитики'!BD4681,0)</f>
        <v/>
      </c>
      <c r="BF4678">
        <f>IF('01_Вводные'!$B$234="Да",'19_Расчет_аналитики'!BE4681,0)</f>
        <v/>
      </c>
      <c r="BG4678">
        <f>IF('01_Вводные'!$B$234="Да",'19_Расчет_аналитики'!BF4681,0)</f>
        <v/>
      </c>
      <c r="BH4678">
        <f>IF('01_Вводные'!$B$234="Да",'19_Расчет_аналитики'!BG4681,0)</f>
        <v/>
      </c>
      <c r="BI4678">
        <f>IF('01_Вводные'!$B$234="Да",'19_Расчет_аналитики'!BH4681,0)</f>
        <v/>
      </c>
      <c r="BJ4678">
        <f>IF('01_Вводные'!$B$234="Да",'19_Расчет_аналитики'!BI4681,0)</f>
        <v/>
      </c>
      <c r="BK4678">
        <f>IF('01_Вводные'!$B$234="Да",'19_Расчет_аналитики'!BJ4681,0)</f>
        <v/>
      </c>
      <c r="BL4678">
        <f>IF('01_Вводные'!$B$234="Да",'19_Расчет_аналитики'!BK4681,0)</f>
        <v/>
      </c>
      <c r="BM4678">
        <f>IF('01_Вводные'!$B$234="Да",'19_Расчет_аналитики'!BL4681,0)</f>
        <v/>
      </c>
      <c r="BN4678">
        <f>IF('01_Вводные'!$B$234="Да",'19_Расчет_аналитики'!BM4681,0)</f>
        <v/>
      </c>
      <c r="BO4678">
        <f>IF('01_Вводные'!$B$234="Да",'19_Расчет_аналитики'!BN4681,0)</f>
        <v/>
      </c>
    </row>
    <row r="4679">
      <c r="B4679">
        <f>IF('01_Вводные'!$B$234="Да",MIN('07_Мерч'!B29,'19_Расчет_аналитики'!B4665*'01_Вводные'!$B$79),0)</f>
        <v/>
      </c>
      <c r="C4679">
        <f>IF('01_Вводные'!$B$234="Да",MIN('19_Расчет_аналитики'!C4678,'19_Расчет_аналитики'!C4665*'01_Вводные'!$B$79),0)</f>
        <v/>
      </c>
      <c r="D4679">
        <f>IF('01_Вводные'!$B$234="Да",MIN('19_Расчет_аналитики'!D4678,'19_Расчет_аналитики'!D4665*'01_Вводные'!$B$79),0)</f>
        <v/>
      </c>
      <c r="E4679">
        <f>IF('01_Вводные'!$B$234="Да",MIN('19_Расчет_аналитики'!E4678,'19_Расчет_аналитики'!E4665*'01_Вводные'!$B$79),0)</f>
        <v/>
      </c>
      <c r="F4679">
        <f>IF('01_Вводные'!$B$234="Да",MIN('19_Расчет_аналитики'!F4678,'19_Расчет_аналитики'!F4665*'01_Вводные'!$B$79),0)</f>
        <v/>
      </c>
      <c r="G4679">
        <f>IF('01_Вводные'!$B$234="Да",MIN('19_Расчет_аналитики'!G4678,'19_Расчет_аналитики'!G4665*'01_Вводные'!$B$79),0)</f>
        <v/>
      </c>
      <c r="H4679">
        <f>IF('01_Вводные'!$B$234="Да",MIN('19_Расчет_аналитики'!H4678,'19_Расчет_аналитики'!H4665*'01_Вводные'!$B$79),0)</f>
        <v/>
      </c>
      <c r="I4679">
        <f>IF('01_Вводные'!$B$234="Да",MIN('19_Расчет_аналитики'!I4678,'19_Расчет_аналитики'!I4665*'01_Вводные'!$B$79),0)</f>
        <v/>
      </c>
      <c r="J4679">
        <f>IF('01_Вводные'!$B$234="Да",MIN('19_Расчет_аналитики'!J4678,'19_Расчет_аналитики'!J4665*'01_Вводные'!$B$79),0)</f>
        <v/>
      </c>
      <c r="K4679">
        <f>IF('01_Вводные'!$B$234="Да",MIN('19_Расчет_аналитики'!K4678,'19_Расчет_аналитики'!K4665*'01_Вводные'!$B$79),0)</f>
        <v/>
      </c>
      <c r="L4679">
        <f>IF('01_Вводные'!$B$234="Да",MIN('19_Расчет_аналитики'!L4678,'19_Расчет_аналитики'!L4665*'01_Вводные'!$B$79),0)</f>
        <v/>
      </c>
      <c r="M4679">
        <f>IF('01_Вводные'!$B$234="Да",MIN('19_Расчет_аналитики'!M4678,'19_Расчет_аналитики'!M4665*'01_Вводные'!$B$79),0)</f>
        <v/>
      </c>
      <c r="N4679">
        <f>IF('01_Вводные'!$B$234="Да",MIN('19_Расчет_аналитики'!N4678,'19_Расчет_аналитики'!N4665*'01_Вводные'!$B$79),0)</f>
        <v/>
      </c>
      <c r="O4679">
        <f>IF('01_Вводные'!$B$234="Да",MIN('19_Расчет_аналитики'!O4678,'19_Расчет_аналитики'!O4665*'01_Вводные'!$B$79),0)</f>
        <v/>
      </c>
      <c r="P4679">
        <f>IF('01_Вводные'!$B$234="Да",MIN('19_Расчет_аналитики'!P4678,'19_Расчет_аналитики'!P4665*'01_Вводные'!$B$79),0)</f>
        <v/>
      </c>
      <c r="Q4679">
        <f>IF('01_Вводные'!$B$234="Да",MIN('19_Расчет_аналитики'!Q4678,'19_Расчет_аналитики'!Q4665*'01_Вводные'!$B$79),0)</f>
        <v/>
      </c>
      <c r="R4679">
        <f>IF('01_Вводные'!$B$234="Да",MIN('19_Расчет_аналитики'!R4678,'19_Расчет_аналитики'!R4665*'01_Вводные'!$B$79),0)</f>
        <v/>
      </c>
      <c r="S4679">
        <f>IF('01_Вводные'!$B$234="Да",MIN('19_Расчет_аналитики'!S4678,'19_Расчет_аналитики'!S4665*'01_Вводные'!$B$79),0)</f>
        <v/>
      </c>
      <c r="T4679">
        <f>IF('01_Вводные'!$B$234="Да",MIN('19_Расчет_аналитики'!T4678,'19_Расчет_аналитики'!T4665*'01_Вводные'!$B$79),0)</f>
        <v/>
      </c>
      <c r="U4679">
        <f>IF('01_Вводные'!$B$234="Да",MIN('19_Расчет_аналитики'!U4678,'19_Расчет_аналитики'!U4665*'01_Вводные'!$B$79),0)</f>
        <v/>
      </c>
      <c r="V4679">
        <f>IF('01_Вводные'!$B$234="Да",MIN('19_Расчет_аналитики'!V4678,'19_Расчет_аналитики'!V4665*'01_Вводные'!$B$79),0)</f>
        <v/>
      </c>
      <c r="W4679">
        <f>IF('01_Вводные'!$B$234="Да",MIN('19_Расчет_аналитики'!W4678,'19_Расчет_аналитики'!W4665*'01_Вводные'!$B$79),0)</f>
        <v/>
      </c>
      <c r="X4679">
        <f>IF('01_Вводные'!$B$234="Да",MIN('19_Расчет_аналитики'!X4678,'19_Расчет_аналитики'!X4665*'01_Вводные'!$B$79),0)</f>
        <v/>
      </c>
      <c r="Y4679">
        <f>IF('01_Вводные'!$B$234="Да",MIN('19_Расчет_аналитики'!Y4678,'19_Расчет_аналитики'!Y4665*'01_Вводные'!$B$79),0)</f>
        <v/>
      </c>
      <c r="Z4679">
        <f>IF('01_Вводные'!$B$234="Да",MIN('19_Расчет_аналитики'!Z4678,'19_Расчет_аналитики'!Z4665*'01_Вводные'!$B$79),0)</f>
        <v/>
      </c>
      <c r="AA4679">
        <f>IF('01_Вводные'!$B$234="Да",MIN('19_Расчет_аналитики'!AA4678,'19_Расчет_аналитики'!AA4665*'01_Вводные'!$B$79),0)</f>
        <v/>
      </c>
      <c r="AB4679">
        <f>IF('01_Вводные'!$B$234="Да",MIN('19_Расчет_аналитики'!AB4678,'19_Расчет_аналитики'!AB4665*'01_Вводные'!$B$79),0)</f>
        <v/>
      </c>
      <c r="AC4679">
        <f>IF('01_Вводные'!$B$234="Да",MIN('19_Расчет_аналитики'!AC4678,'19_Расчет_аналитики'!AC4665*'01_Вводные'!$B$79),0)</f>
        <v/>
      </c>
      <c r="AD4679">
        <f>IF('01_Вводные'!$B$234="Да",MIN('19_Расчет_аналитики'!AD4678,'19_Расчет_аналитики'!AD4665*'01_Вводные'!$B$79),0)</f>
        <v/>
      </c>
      <c r="AE4679">
        <f>IF('01_Вводные'!$B$234="Да",MIN('19_Расчет_аналитики'!AE4678,'19_Расчет_аналитики'!AE4665*'01_Вводные'!$B$79),0)</f>
        <v/>
      </c>
      <c r="AF4679">
        <f>IF('01_Вводные'!$B$234="Да",MIN('19_Расчет_аналитики'!AF4678,'19_Расчет_аналитики'!AF4665*'01_Вводные'!$B$79),0)</f>
        <v/>
      </c>
      <c r="AG4679">
        <f>IF('01_Вводные'!$B$234="Да",MIN('19_Расчет_аналитики'!AG4678,'19_Расчет_аналитики'!AG4665*'01_Вводные'!$B$79),0)</f>
        <v/>
      </c>
      <c r="AH4679">
        <f>IF('01_Вводные'!$B$234="Да",MIN('19_Расчет_аналитики'!AH4678,'19_Расчет_аналитики'!AH4665*'01_Вводные'!$B$79),0)</f>
        <v/>
      </c>
      <c r="AI4679">
        <f>IF('01_Вводные'!$B$234="Да",MIN('19_Расчет_аналитики'!AI4678,'19_Расчет_аналитики'!AI4665*'01_Вводные'!$B$79),0)</f>
        <v/>
      </c>
      <c r="AJ4679">
        <f>IF('01_Вводные'!$B$234="Да",MIN('19_Расчет_аналитики'!AJ4678,'19_Расчет_аналитики'!AJ4665*'01_Вводные'!$B$79),0)</f>
        <v/>
      </c>
      <c r="AK4679">
        <f>IF('01_Вводные'!$B$234="Да",MIN('19_Расчет_аналитики'!AK4678,'19_Расчет_аналитики'!AK4665*'01_Вводные'!$B$79),0)</f>
        <v/>
      </c>
      <c r="AL4679">
        <f>IF('01_Вводные'!$B$234="Да",MIN('19_Расчет_аналитики'!AL4678,'19_Расчет_аналитики'!AL4665*'01_Вводные'!$B$79),0)</f>
        <v/>
      </c>
      <c r="AM4679">
        <f>IF('01_Вводные'!$B$234="Да",MIN('19_Расчет_аналитики'!AM4678,'19_Расчет_аналитики'!AM4665*'01_Вводные'!$B$79),0)</f>
        <v/>
      </c>
      <c r="AN4679">
        <f>IF('01_Вводные'!$B$234="Да",MIN('19_Расчет_аналитики'!AN4678,'19_Расчет_аналитики'!AN4665*'01_Вводные'!$B$79),0)</f>
        <v/>
      </c>
      <c r="AO4679">
        <f>IF('01_Вводные'!$B$234="Да",MIN('19_Расчет_аналитики'!AO4678,'19_Расчет_аналитики'!AO4665*'01_Вводные'!$B$79),0)</f>
        <v/>
      </c>
      <c r="AP4679">
        <f>IF('01_Вводные'!$B$234="Да",MIN('19_Расчет_аналитики'!AP4678,'19_Расчет_аналитики'!AP4665*'01_Вводные'!$B$79),0)</f>
        <v/>
      </c>
      <c r="AQ4679">
        <f>IF('01_Вводные'!$B$234="Да",MIN('19_Расчет_аналитики'!AQ4678,'19_Расчет_аналитики'!AQ4665*'01_Вводные'!$B$79),0)</f>
        <v/>
      </c>
      <c r="AR4679">
        <f>IF('01_Вводные'!$B$234="Да",MIN('19_Расчет_аналитики'!AR4678,'19_Расчет_аналитики'!AR4665*'01_Вводные'!$B$79),0)</f>
        <v/>
      </c>
      <c r="AS4679">
        <f>IF('01_Вводные'!$B$234="Да",MIN('19_Расчет_аналитики'!AS4678,'19_Расчет_аналитики'!AS4665*'01_Вводные'!$B$79),0)</f>
        <v/>
      </c>
      <c r="AT4679">
        <f>IF('01_Вводные'!$B$234="Да",MIN('19_Расчет_аналитики'!AT4678,'19_Расчет_аналитики'!AT4665*'01_Вводные'!$B$79),0)</f>
        <v/>
      </c>
      <c r="AU4679">
        <f>IF('01_Вводные'!$B$234="Да",MIN('19_Расчет_аналитики'!AU4678,'19_Расчет_аналитики'!AU4665*'01_Вводные'!$B$79),0)</f>
        <v/>
      </c>
      <c r="AV4679">
        <f>IF('01_Вводные'!$B$234="Да",MIN('19_Расчет_аналитики'!AV4678,'19_Расчет_аналитики'!AV4665*'01_Вводные'!$B$79),0)</f>
        <v/>
      </c>
      <c r="AW4679">
        <f>IF('01_Вводные'!$B$234="Да",MIN('19_Расчет_аналитики'!AW4678,'19_Расчет_аналитики'!AW4665*'01_Вводные'!$B$79),0)</f>
        <v/>
      </c>
      <c r="AX4679">
        <f>IF('01_Вводные'!$B$234="Да",MIN('19_Расчет_аналитики'!AX4678,'19_Расчет_аналитики'!AX4665*'01_Вводные'!$B$79),0)</f>
        <v/>
      </c>
      <c r="AY4679">
        <f>IF('01_Вводные'!$B$234="Да",MIN('19_Расчет_аналитики'!AY4678,'19_Расчет_аналитики'!AY4665*'01_Вводные'!$B$79),0)</f>
        <v/>
      </c>
      <c r="AZ4679">
        <f>IF('01_Вводные'!$B$234="Да",MIN('19_Расчет_аналитики'!AZ4678,'19_Расчет_аналитики'!AZ4665*'01_Вводные'!$B$79),0)</f>
        <v/>
      </c>
      <c r="BA4679">
        <f>IF('01_Вводные'!$B$234="Да",MIN('19_Расчет_аналитики'!BA4678,'19_Расчет_аналитики'!BA4665*'01_Вводные'!$B$79),0)</f>
        <v/>
      </c>
      <c r="BB4679">
        <f>IF('01_Вводные'!$B$234="Да",MIN('19_Расчет_аналитики'!BB4678,'19_Расчет_аналитики'!BB4665*'01_Вводные'!$B$79),0)</f>
        <v/>
      </c>
      <c r="BC4679">
        <f>IF('01_Вводные'!$B$234="Да",MIN('19_Расчет_аналитики'!BC4678,'19_Расчет_аналитики'!BC4665*'01_Вводные'!$B$79),0)</f>
        <v/>
      </c>
      <c r="BD4679">
        <f>IF('01_Вводные'!$B$234="Да",MIN('19_Расчет_аналитики'!BD4678,'19_Расчет_аналитики'!BD4665*'01_Вводные'!$B$79),0)</f>
        <v/>
      </c>
      <c r="BE4679">
        <f>IF('01_Вводные'!$B$234="Да",MIN('19_Расчет_аналитики'!BE4678,'19_Расчет_аналитики'!BE4665*'01_Вводные'!$B$79),0)</f>
        <v/>
      </c>
      <c r="BF4679">
        <f>IF('01_Вводные'!$B$234="Да",MIN('19_Расчет_аналитики'!BF4678,'19_Расчет_аналитики'!BF4665*'01_Вводные'!$B$79),0)</f>
        <v/>
      </c>
      <c r="BG4679">
        <f>IF('01_Вводные'!$B$234="Да",MIN('19_Расчет_аналитики'!BG4678,'19_Расчет_аналитики'!BG4665*'01_Вводные'!$B$79),0)</f>
        <v/>
      </c>
      <c r="BH4679">
        <f>IF('01_Вводные'!$B$234="Да",MIN('19_Расчет_аналитики'!BH4678,'19_Расчет_аналитики'!BH4665*'01_Вводные'!$B$79),0)</f>
        <v/>
      </c>
      <c r="BI4679">
        <f>IF('01_Вводные'!$B$234="Да",MIN('19_Расчет_аналитики'!BI4678,'19_Расчет_аналитики'!BI4665*'01_Вводные'!$B$79),0)</f>
        <v/>
      </c>
      <c r="BJ4679">
        <f>IF('01_Вводные'!$B$234="Да",MIN('19_Расчет_аналитики'!BJ4678,'19_Расчет_аналитики'!BJ4665*'01_Вводные'!$B$79),0)</f>
        <v/>
      </c>
      <c r="BK4679">
        <f>IF('01_Вводные'!$B$234="Да",MIN('19_Расчет_аналитики'!BK4678,'19_Расчет_аналитики'!BK4665*'01_Вводные'!$B$79),0)</f>
        <v/>
      </c>
      <c r="BL4679">
        <f>IF('01_Вводные'!$B$234="Да",MIN('19_Расчет_аналитики'!BL4678,'19_Расчет_аналитики'!BL4665*'01_Вводные'!$B$79),0)</f>
        <v/>
      </c>
      <c r="BM4679">
        <f>IF('01_Вводные'!$B$234="Да",MIN('19_Расчет_аналитики'!BM4678,'19_Расчет_аналитики'!BM4665*'01_Вводные'!$B$79),0)</f>
        <v/>
      </c>
      <c r="BN4679">
        <f>IF('01_Вводные'!$B$234="Да",MIN('19_Расчет_аналитики'!BN4678,'19_Расчет_аналитики'!BN4665*'01_Вводные'!$B$79),0)</f>
        <v/>
      </c>
      <c r="BO4679">
        <f>IF('01_Вводные'!$B$234="Да",MIN('19_Расчет_аналитики'!BO4678,'19_Расчет_аналитики'!BO4665*'01_Вводные'!$B$79),0)</f>
        <v/>
      </c>
    </row>
    <row r="4680">
      <c r="B4680">
        <f>IF('01_Вводные'!$B$234="Да",IF(OR('01_Вводные'!$B$238="Нет",'19_Расчет_аналитики'!B4675&gt;='19_Расчет_аналитики'!B4387-0.01),MIN('19_Расчет_аналитики'!B4679,MAX(0,'19_Расчет_аналитики'!B4835)),0),0)</f>
        <v/>
      </c>
      <c r="C4680">
        <f>IF('01_Вводные'!$B$234="Да",IF(OR('01_Вводные'!$B$238="Нет",'19_Расчет_аналитики'!C4675&gt;='19_Расчет_аналитики'!C4387-0.01),MIN('19_Расчет_аналитики'!C4679,MAX(0,'19_Расчет_аналитики'!C4835)),0),0)</f>
        <v/>
      </c>
      <c r="D4680">
        <f>IF('01_Вводные'!$B$234="Да",IF(OR('01_Вводные'!$B$238="Нет",'19_Расчет_аналитики'!D4675&gt;='19_Расчет_аналитики'!D4387-0.01),MIN('19_Расчет_аналитики'!D4679,MAX(0,'19_Расчет_аналитики'!D4835)),0),0)</f>
        <v/>
      </c>
      <c r="E4680">
        <f>IF('01_Вводные'!$B$234="Да",IF(OR('01_Вводные'!$B$238="Нет",'19_Расчет_аналитики'!E4675&gt;='19_Расчет_аналитики'!E4387-0.01),MIN('19_Расчет_аналитики'!E4679,MAX(0,'19_Расчет_аналитики'!E4835)),0),0)</f>
        <v/>
      </c>
      <c r="F4680">
        <f>IF('01_Вводные'!$B$234="Да",IF(OR('01_Вводные'!$B$238="Нет",'19_Расчет_аналитики'!F4675&gt;='19_Расчет_аналитики'!F4387-0.01),MIN('19_Расчет_аналитики'!F4679,MAX(0,'19_Расчет_аналитики'!F4835)),0),0)</f>
        <v/>
      </c>
      <c r="G4680">
        <f>IF('01_Вводные'!$B$234="Да",IF(OR('01_Вводные'!$B$238="Нет",'19_Расчет_аналитики'!G4675&gt;='19_Расчет_аналитики'!G4387-0.01),MIN('19_Расчет_аналитики'!G4679,MAX(0,'19_Расчет_аналитики'!G4835)),0),0)</f>
        <v/>
      </c>
      <c r="H4680">
        <f>IF('01_Вводные'!$B$234="Да",IF(OR('01_Вводные'!$B$238="Нет",'19_Расчет_аналитики'!H4675&gt;='19_Расчет_аналитики'!H4387-0.01),MIN('19_Расчет_аналитики'!H4679,MAX(0,'19_Расчет_аналитики'!H4835)),0),0)</f>
        <v/>
      </c>
      <c r="I4680">
        <f>IF('01_Вводные'!$B$234="Да",IF(OR('01_Вводные'!$B$238="Нет",'19_Расчет_аналитики'!I4675&gt;='19_Расчет_аналитики'!I4387-0.01),MIN('19_Расчет_аналитики'!I4679,MAX(0,'19_Расчет_аналитики'!I4835)),0),0)</f>
        <v/>
      </c>
      <c r="J4680">
        <f>IF('01_Вводные'!$B$234="Да",IF(OR('01_Вводные'!$B$238="Нет",'19_Расчет_аналитики'!J4675&gt;='19_Расчет_аналитики'!J4387-0.01),MIN('19_Расчет_аналитики'!J4679,MAX(0,'19_Расчет_аналитики'!J4835)),0),0)</f>
        <v/>
      </c>
      <c r="K4680">
        <f>IF('01_Вводные'!$B$234="Да",IF(OR('01_Вводные'!$B$238="Нет",'19_Расчет_аналитики'!K4675&gt;='19_Расчет_аналитики'!K4387-0.01),MIN('19_Расчет_аналитики'!K4679,MAX(0,'19_Расчет_аналитики'!K4835)),0),0)</f>
        <v/>
      </c>
      <c r="L4680">
        <f>IF('01_Вводные'!$B$234="Да",IF(OR('01_Вводные'!$B$238="Нет",'19_Расчет_аналитики'!L4675&gt;='19_Расчет_аналитики'!L4387-0.01),MIN('19_Расчет_аналитики'!L4679,MAX(0,'19_Расчет_аналитики'!L4835)),0),0)</f>
        <v/>
      </c>
      <c r="M4680">
        <f>IF('01_Вводные'!$B$234="Да",IF(OR('01_Вводные'!$B$238="Нет",'19_Расчет_аналитики'!M4675&gt;='19_Расчет_аналитики'!M4387-0.01),MIN('19_Расчет_аналитики'!M4679,MAX(0,'19_Расчет_аналитики'!M4835)),0),0)</f>
        <v/>
      </c>
      <c r="N4680">
        <f>IF('01_Вводные'!$B$234="Да",IF(OR('01_Вводные'!$B$238="Нет",'19_Расчет_аналитики'!N4675&gt;='19_Расчет_аналитики'!N4387-0.01),MIN('19_Расчет_аналитики'!N4679,MAX(0,'19_Расчет_аналитики'!N4835)),0),0)</f>
        <v/>
      </c>
      <c r="O4680">
        <f>IF('01_Вводные'!$B$234="Да",IF(OR('01_Вводные'!$B$238="Нет",'19_Расчет_аналитики'!O4675&gt;='19_Расчет_аналитики'!O4387-0.01),MIN('19_Расчет_аналитики'!O4679,MAX(0,'19_Расчет_аналитики'!O4835)),0),0)</f>
        <v/>
      </c>
      <c r="P4680">
        <f>IF('01_Вводные'!$B$234="Да",IF(OR('01_Вводные'!$B$238="Нет",'19_Расчет_аналитики'!P4675&gt;='19_Расчет_аналитики'!P4387-0.01),MIN('19_Расчет_аналитики'!P4679,MAX(0,'19_Расчет_аналитики'!P4835)),0),0)</f>
        <v/>
      </c>
      <c r="Q4680">
        <f>IF('01_Вводные'!$B$234="Да",IF(OR('01_Вводные'!$B$238="Нет",'19_Расчет_аналитики'!Q4675&gt;='19_Расчет_аналитики'!Q4387-0.01),MIN('19_Расчет_аналитики'!Q4679,MAX(0,'19_Расчет_аналитики'!Q4835)),0),0)</f>
        <v/>
      </c>
      <c r="R4680">
        <f>IF('01_Вводные'!$B$234="Да",IF(OR('01_Вводные'!$B$238="Нет",'19_Расчет_аналитики'!R4675&gt;='19_Расчет_аналитики'!R4387-0.01),MIN('19_Расчет_аналитики'!R4679,MAX(0,'19_Расчет_аналитики'!R4835)),0),0)</f>
        <v/>
      </c>
      <c r="S4680">
        <f>IF('01_Вводные'!$B$234="Да",IF(OR('01_Вводные'!$B$238="Нет",'19_Расчет_аналитики'!S4675&gt;='19_Расчет_аналитики'!S4387-0.01),MIN('19_Расчет_аналитики'!S4679,MAX(0,'19_Расчет_аналитики'!S4835)),0),0)</f>
        <v/>
      </c>
      <c r="T4680">
        <f>IF('01_Вводные'!$B$234="Да",IF(OR('01_Вводные'!$B$238="Нет",'19_Расчет_аналитики'!T4675&gt;='19_Расчет_аналитики'!T4387-0.01),MIN('19_Расчет_аналитики'!T4679,MAX(0,'19_Расчет_аналитики'!T4835)),0),0)</f>
        <v/>
      </c>
      <c r="U4680">
        <f>IF('01_Вводные'!$B$234="Да",IF(OR('01_Вводные'!$B$238="Нет",'19_Расчет_аналитики'!U4675&gt;='19_Расчет_аналитики'!U4387-0.01),MIN('19_Расчет_аналитики'!U4679,MAX(0,'19_Расчет_аналитики'!U4835)),0),0)</f>
        <v/>
      </c>
      <c r="V4680">
        <f>IF('01_Вводные'!$B$234="Да",IF(OR('01_Вводные'!$B$238="Нет",'19_Расчет_аналитики'!V4675&gt;='19_Расчет_аналитики'!V4387-0.01),MIN('19_Расчет_аналитики'!V4679,MAX(0,'19_Расчет_аналитики'!V4835)),0),0)</f>
        <v/>
      </c>
      <c r="W4680">
        <f>IF('01_Вводные'!$B$234="Да",IF(OR('01_Вводные'!$B$238="Нет",'19_Расчет_аналитики'!W4675&gt;='19_Расчет_аналитики'!W4387-0.01),MIN('19_Расчет_аналитики'!W4679,MAX(0,'19_Расчет_аналитики'!W4835)),0),0)</f>
        <v/>
      </c>
      <c r="X4680">
        <f>IF('01_Вводные'!$B$234="Да",IF(OR('01_Вводные'!$B$238="Нет",'19_Расчет_аналитики'!X4675&gt;='19_Расчет_аналитики'!X4387-0.01),MIN('19_Расчет_аналитики'!X4679,MAX(0,'19_Расчет_аналитики'!X4835)),0),0)</f>
        <v/>
      </c>
      <c r="Y4680">
        <f>IF('01_Вводные'!$B$234="Да",IF(OR('01_Вводные'!$B$238="Нет",'19_Расчет_аналитики'!Y4675&gt;='19_Расчет_аналитики'!Y4387-0.01),MIN('19_Расчет_аналитики'!Y4679,MAX(0,'19_Расчет_аналитики'!Y4835)),0),0)</f>
        <v/>
      </c>
      <c r="Z4680">
        <f>IF('01_Вводные'!$B$234="Да",IF(OR('01_Вводные'!$B$238="Нет",'19_Расчет_аналитики'!Z4675&gt;='19_Расчет_аналитики'!Z4387-0.01),MIN('19_Расчет_аналитики'!Z4679,MAX(0,'19_Расчет_аналитики'!Z4835)),0),0)</f>
        <v/>
      </c>
      <c r="AA4680">
        <f>IF('01_Вводные'!$B$234="Да",IF(OR('01_Вводные'!$B$238="Нет",'19_Расчет_аналитики'!AA4675&gt;='19_Расчет_аналитики'!AA4387-0.01),MIN('19_Расчет_аналитики'!AA4679,MAX(0,'19_Расчет_аналитики'!AA4835)),0),0)</f>
        <v/>
      </c>
      <c r="AB4680">
        <f>IF('01_Вводные'!$B$234="Да",IF(OR('01_Вводные'!$B$238="Нет",'19_Расчет_аналитики'!AB4675&gt;='19_Расчет_аналитики'!AB4387-0.01),MIN('19_Расчет_аналитики'!AB4679,MAX(0,'19_Расчет_аналитики'!AB4835)),0),0)</f>
        <v/>
      </c>
      <c r="AC4680">
        <f>IF('01_Вводные'!$B$234="Да",IF(OR('01_Вводные'!$B$238="Нет",'19_Расчет_аналитики'!AC4675&gt;='19_Расчет_аналитики'!AC4387-0.01),MIN('19_Расчет_аналитики'!AC4679,MAX(0,'19_Расчет_аналитики'!AC4835)),0),0)</f>
        <v/>
      </c>
      <c r="AD4680">
        <f>IF('01_Вводные'!$B$234="Да",IF(OR('01_Вводные'!$B$238="Нет",'19_Расчет_аналитики'!AD4675&gt;='19_Расчет_аналитики'!AD4387-0.01),MIN('19_Расчет_аналитики'!AD4679,MAX(0,'19_Расчет_аналитики'!AD4835)),0),0)</f>
        <v/>
      </c>
      <c r="AE4680">
        <f>IF('01_Вводные'!$B$234="Да",IF(OR('01_Вводные'!$B$238="Нет",'19_Расчет_аналитики'!AE4675&gt;='19_Расчет_аналитики'!AE4387-0.01),MIN('19_Расчет_аналитики'!AE4679,MAX(0,'19_Расчет_аналитики'!AE4835)),0),0)</f>
        <v/>
      </c>
      <c r="AF4680">
        <f>IF('01_Вводные'!$B$234="Да",IF(OR('01_Вводные'!$B$238="Нет",'19_Расчет_аналитики'!AF4675&gt;='19_Расчет_аналитики'!AF4387-0.01),MIN('19_Расчет_аналитики'!AF4679,MAX(0,'19_Расчет_аналитики'!AF4835)),0),0)</f>
        <v/>
      </c>
      <c r="AG4680">
        <f>IF('01_Вводные'!$B$234="Да",IF(OR('01_Вводные'!$B$238="Нет",'19_Расчет_аналитики'!AG4675&gt;='19_Расчет_аналитики'!AG4387-0.01),MIN('19_Расчет_аналитики'!AG4679,MAX(0,'19_Расчет_аналитики'!AG4835)),0),0)</f>
        <v/>
      </c>
      <c r="AH4680">
        <f>IF('01_Вводные'!$B$234="Да",IF(OR('01_Вводные'!$B$238="Нет",'19_Расчет_аналитики'!AH4675&gt;='19_Расчет_аналитики'!AH4387-0.01),MIN('19_Расчет_аналитики'!AH4679,MAX(0,'19_Расчет_аналитики'!AH4835)),0),0)</f>
        <v/>
      </c>
      <c r="AI4680">
        <f>IF('01_Вводные'!$B$234="Да",IF(OR('01_Вводные'!$B$238="Нет",'19_Расчет_аналитики'!AI4675&gt;='19_Расчет_аналитики'!AI4387-0.01),MIN('19_Расчет_аналитики'!AI4679,MAX(0,'19_Расчет_аналитики'!AI4835)),0),0)</f>
        <v/>
      </c>
      <c r="AJ4680">
        <f>IF('01_Вводные'!$B$234="Да",IF(OR('01_Вводные'!$B$238="Нет",'19_Расчет_аналитики'!AJ4675&gt;='19_Расчет_аналитики'!AJ4387-0.01),MIN('19_Расчет_аналитики'!AJ4679,MAX(0,'19_Расчет_аналитики'!AJ4835)),0),0)</f>
        <v/>
      </c>
      <c r="AK4680">
        <f>IF('01_Вводные'!$B$234="Да",IF(OR('01_Вводные'!$B$238="Нет",'19_Расчет_аналитики'!AK4675&gt;='19_Расчет_аналитики'!AK4387-0.01),MIN('19_Расчет_аналитики'!AK4679,MAX(0,'19_Расчет_аналитики'!AK4835)),0),0)</f>
        <v/>
      </c>
      <c r="AL4680">
        <f>IF('01_Вводные'!$B$234="Да",IF(OR('01_Вводные'!$B$238="Нет",'19_Расчет_аналитики'!AL4675&gt;='19_Расчет_аналитики'!AL4387-0.01),MIN('19_Расчет_аналитики'!AL4679,MAX(0,'19_Расчет_аналитики'!AL4835)),0),0)</f>
        <v/>
      </c>
      <c r="AM4680">
        <f>IF('01_Вводные'!$B$234="Да",IF(OR('01_Вводные'!$B$238="Нет",'19_Расчет_аналитики'!AM4675&gt;='19_Расчет_аналитики'!AM4387-0.01),MIN('19_Расчет_аналитики'!AM4679,MAX(0,'19_Расчет_аналитики'!AM4835)),0),0)</f>
        <v/>
      </c>
      <c r="AN4680">
        <f>IF('01_Вводные'!$B$234="Да",IF(OR('01_Вводные'!$B$238="Нет",'19_Расчет_аналитики'!AN4675&gt;='19_Расчет_аналитики'!AN4387-0.01),MIN('19_Расчет_аналитики'!AN4679,MAX(0,'19_Расчет_аналитики'!AN4835)),0),0)</f>
        <v/>
      </c>
      <c r="AO4680">
        <f>IF('01_Вводные'!$B$234="Да",IF(OR('01_Вводные'!$B$238="Нет",'19_Расчет_аналитики'!AO4675&gt;='19_Расчет_аналитики'!AO4387-0.01),MIN('19_Расчет_аналитики'!AO4679,MAX(0,'19_Расчет_аналитики'!AO4835)),0),0)</f>
        <v/>
      </c>
      <c r="AP4680">
        <f>IF('01_Вводные'!$B$234="Да",IF(OR('01_Вводные'!$B$238="Нет",'19_Расчет_аналитики'!AP4675&gt;='19_Расчет_аналитики'!AP4387-0.01),MIN('19_Расчет_аналитики'!AP4679,MAX(0,'19_Расчет_аналитики'!AP4835)),0),0)</f>
        <v/>
      </c>
      <c r="AQ4680">
        <f>IF('01_Вводные'!$B$234="Да",IF(OR('01_Вводные'!$B$238="Нет",'19_Расчет_аналитики'!AQ4675&gt;='19_Расчет_аналитики'!AQ4387-0.01),MIN('19_Расчет_аналитики'!AQ4679,MAX(0,'19_Расчет_аналитики'!AQ4835)),0),0)</f>
        <v/>
      </c>
      <c r="AR4680">
        <f>IF('01_Вводные'!$B$234="Да",IF(OR('01_Вводные'!$B$238="Нет",'19_Расчет_аналитики'!AR4675&gt;='19_Расчет_аналитики'!AR4387-0.01),MIN('19_Расчет_аналитики'!AR4679,MAX(0,'19_Расчет_аналитики'!AR4835)),0),0)</f>
        <v/>
      </c>
      <c r="AS4680">
        <f>IF('01_Вводные'!$B$234="Да",IF(OR('01_Вводные'!$B$238="Нет",'19_Расчет_аналитики'!AS4675&gt;='19_Расчет_аналитики'!AS4387-0.01),MIN('19_Расчет_аналитики'!AS4679,MAX(0,'19_Расчет_аналитики'!AS4835)),0),0)</f>
        <v/>
      </c>
      <c r="AT4680">
        <f>IF('01_Вводные'!$B$234="Да",IF(OR('01_Вводные'!$B$238="Нет",'19_Расчет_аналитики'!AT4675&gt;='19_Расчет_аналитики'!AT4387-0.01),MIN('19_Расчет_аналитики'!AT4679,MAX(0,'19_Расчет_аналитики'!AT4835)),0),0)</f>
        <v/>
      </c>
      <c r="AU4680">
        <f>IF('01_Вводные'!$B$234="Да",IF(OR('01_Вводные'!$B$238="Нет",'19_Расчет_аналитики'!AU4675&gt;='19_Расчет_аналитики'!AU4387-0.01),MIN('19_Расчет_аналитики'!AU4679,MAX(0,'19_Расчет_аналитики'!AU4835)),0),0)</f>
        <v/>
      </c>
      <c r="AV4680">
        <f>IF('01_Вводные'!$B$234="Да",IF(OR('01_Вводные'!$B$238="Нет",'19_Расчет_аналитики'!AV4675&gt;='19_Расчет_аналитики'!AV4387-0.01),MIN('19_Расчет_аналитики'!AV4679,MAX(0,'19_Расчет_аналитики'!AV4835)),0),0)</f>
        <v/>
      </c>
      <c r="AW4680">
        <f>IF('01_Вводные'!$B$234="Да",IF(OR('01_Вводные'!$B$238="Нет",'19_Расчет_аналитики'!AW4675&gt;='19_Расчет_аналитики'!AW4387-0.01),MIN('19_Расчет_аналитики'!AW4679,MAX(0,'19_Расчет_аналитики'!AW4835)),0),0)</f>
        <v/>
      </c>
      <c r="AX4680">
        <f>IF('01_Вводные'!$B$234="Да",IF(OR('01_Вводные'!$B$238="Нет",'19_Расчет_аналитики'!AX4675&gt;='19_Расчет_аналитики'!AX4387-0.01),MIN('19_Расчет_аналитики'!AX4679,MAX(0,'19_Расчет_аналитики'!AX4835)),0),0)</f>
        <v/>
      </c>
      <c r="AY4680">
        <f>IF('01_Вводные'!$B$234="Да",IF(OR('01_Вводные'!$B$238="Нет",'19_Расчет_аналитики'!AY4675&gt;='19_Расчет_аналитики'!AY4387-0.01),MIN('19_Расчет_аналитики'!AY4679,MAX(0,'19_Расчет_аналитики'!AY4835)),0),0)</f>
        <v/>
      </c>
      <c r="AZ4680">
        <f>IF('01_Вводные'!$B$234="Да",IF(OR('01_Вводные'!$B$238="Нет",'19_Расчет_аналитики'!AZ4675&gt;='19_Расчет_аналитики'!AZ4387-0.01),MIN('19_Расчет_аналитики'!AZ4679,MAX(0,'19_Расчет_аналитики'!AZ4835)),0),0)</f>
        <v/>
      </c>
      <c r="BA4680">
        <f>IF('01_Вводные'!$B$234="Да",IF(OR('01_Вводные'!$B$238="Нет",'19_Расчет_аналитики'!BA4675&gt;='19_Расчет_аналитики'!BA4387-0.01),MIN('19_Расчет_аналитики'!BA4679,MAX(0,'19_Расчет_аналитики'!BA4835)),0),0)</f>
        <v/>
      </c>
      <c r="BB4680">
        <f>IF('01_Вводные'!$B$234="Да",IF(OR('01_Вводные'!$B$238="Нет",'19_Расчет_аналитики'!BB4675&gt;='19_Расчет_аналитики'!BB4387-0.01),MIN('19_Расчет_аналитики'!BB4679,MAX(0,'19_Расчет_аналитики'!BB4835)),0),0)</f>
        <v/>
      </c>
      <c r="BC4680">
        <f>IF('01_Вводные'!$B$234="Да",IF(OR('01_Вводные'!$B$238="Нет",'19_Расчет_аналитики'!BC4675&gt;='19_Расчет_аналитики'!BC4387-0.01),MIN('19_Расчет_аналитики'!BC4679,MAX(0,'19_Расчет_аналитики'!BC4835)),0),0)</f>
        <v/>
      </c>
      <c r="BD4680">
        <f>IF('01_Вводные'!$B$234="Да",IF(OR('01_Вводные'!$B$238="Нет",'19_Расчет_аналитики'!BD4675&gt;='19_Расчет_аналитики'!BD4387-0.01),MIN('19_Расчет_аналитики'!BD4679,MAX(0,'19_Расчет_аналитики'!BD4835)),0),0)</f>
        <v/>
      </c>
      <c r="BE4680">
        <f>IF('01_Вводные'!$B$234="Да",IF(OR('01_Вводные'!$B$238="Нет",'19_Расчет_аналитики'!BE4675&gt;='19_Расчет_аналитики'!BE4387-0.01),MIN('19_Расчет_аналитики'!BE4679,MAX(0,'19_Расчет_аналитики'!BE4835)),0),0)</f>
        <v/>
      </c>
      <c r="BF4680">
        <f>IF('01_Вводные'!$B$234="Да",IF(OR('01_Вводные'!$B$238="Нет",'19_Расчет_аналитики'!BF4675&gt;='19_Расчет_аналитики'!BF4387-0.01),MIN('19_Расчет_аналитики'!BF4679,MAX(0,'19_Расчет_аналитики'!BF4835)),0),0)</f>
        <v/>
      </c>
      <c r="BG4680">
        <f>IF('01_Вводные'!$B$234="Да",IF(OR('01_Вводные'!$B$238="Нет",'19_Расчет_аналитики'!BG4675&gt;='19_Расчет_аналитики'!BG4387-0.01),MIN('19_Расчет_аналитики'!BG4679,MAX(0,'19_Расчет_аналитики'!BG4835)),0),0)</f>
        <v/>
      </c>
      <c r="BH4680">
        <f>IF('01_Вводные'!$B$234="Да",IF(OR('01_Вводные'!$B$238="Нет",'19_Расчет_аналитики'!BH4675&gt;='19_Расчет_аналитики'!BH4387-0.01),MIN('19_Расчет_аналитики'!BH4679,MAX(0,'19_Расчет_аналитики'!BH4835)),0),0)</f>
        <v/>
      </c>
      <c r="BI4680">
        <f>IF('01_Вводные'!$B$234="Да",IF(OR('01_Вводные'!$B$238="Нет",'19_Расчет_аналитики'!BI4675&gt;='19_Расчет_аналитики'!BI4387-0.01),MIN('19_Расчет_аналитики'!BI4679,MAX(0,'19_Расчет_аналитики'!BI4835)),0),0)</f>
        <v/>
      </c>
    </row>
    <row r="4681">
      <c r="B4681">
        <f>IF('01_Вводные'!$B$234="Да",MAX(0,'07_Мерч'!B29-'19_Расчет_аналитики'!B4680),0)</f>
        <v/>
      </c>
      <c r="C4681">
        <f>IF('01_Вводные'!$B$234="Да",MAX(0,'19_Расчет_аналитики'!C4678-'19_Расчет_аналитики'!C4680),0)</f>
        <v/>
      </c>
      <c r="D4681">
        <f>IF('01_Вводные'!$B$234="Да",MAX(0,'19_Расчет_аналитики'!D4678-'19_Расчет_аналитики'!D4680),0)</f>
        <v/>
      </c>
      <c r="E4681">
        <f>IF('01_Вводные'!$B$234="Да",MAX(0,'19_Расчет_аналитики'!E4678-'19_Расчет_аналитики'!E4680),0)</f>
        <v/>
      </c>
      <c r="F4681">
        <f>IF('01_Вводные'!$B$234="Да",MAX(0,'19_Расчет_аналитики'!F4678-'19_Расчет_аналитики'!F4680),0)</f>
        <v/>
      </c>
      <c r="G4681">
        <f>IF('01_Вводные'!$B$234="Да",MAX(0,'19_Расчет_аналитики'!G4678-'19_Расчет_аналитики'!G4680),0)</f>
        <v/>
      </c>
      <c r="H4681">
        <f>IF('01_Вводные'!$B$234="Да",MAX(0,'19_Расчет_аналитики'!H4678-'19_Расчет_аналитики'!H4680),0)</f>
        <v/>
      </c>
      <c r="I4681">
        <f>IF('01_Вводные'!$B$234="Да",MAX(0,'19_Расчет_аналитики'!I4678-'19_Расчет_аналитики'!I4680),0)</f>
        <v/>
      </c>
      <c r="J4681">
        <f>IF('01_Вводные'!$B$234="Да",MAX(0,'19_Расчет_аналитики'!J4678-'19_Расчет_аналитики'!J4680),0)</f>
        <v/>
      </c>
      <c r="K4681">
        <f>IF('01_Вводные'!$B$234="Да",MAX(0,'19_Расчет_аналитики'!K4678-'19_Расчет_аналитики'!K4680),0)</f>
        <v/>
      </c>
      <c r="L4681">
        <f>IF('01_Вводные'!$B$234="Да",MAX(0,'19_Расчет_аналитики'!L4678-'19_Расчет_аналитики'!L4680),0)</f>
        <v/>
      </c>
      <c r="M4681">
        <f>IF('01_Вводные'!$B$234="Да",MAX(0,'19_Расчет_аналитики'!M4678-'19_Расчет_аналитики'!M4680),0)</f>
        <v/>
      </c>
      <c r="N4681">
        <f>IF('01_Вводные'!$B$234="Да",MAX(0,'19_Расчет_аналитики'!N4678-'19_Расчет_аналитики'!N4680),0)</f>
        <v/>
      </c>
      <c r="O4681">
        <f>IF('01_Вводные'!$B$234="Да",MAX(0,'19_Расчет_аналитики'!O4678-'19_Расчет_аналитики'!O4680),0)</f>
        <v/>
      </c>
      <c r="P4681">
        <f>IF('01_Вводные'!$B$234="Да",MAX(0,'19_Расчет_аналитики'!P4678-'19_Расчет_аналитики'!P4680),0)</f>
        <v/>
      </c>
      <c r="Q4681">
        <f>IF('01_Вводные'!$B$234="Да",MAX(0,'19_Расчет_аналитики'!Q4678-'19_Расчет_аналитики'!Q4680),0)</f>
        <v/>
      </c>
      <c r="R4681">
        <f>IF('01_Вводные'!$B$234="Да",MAX(0,'19_Расчет_аналитики'!R4678-'19_Расчет_аналитики'!R4680),0)</f>
        <v/>
      </c>
      <c r="S4681">
        <f>IF('01_Вводные'!$B$234="Да",MAX(0,'19_Расчет_аналитики'!S4678-'19_Расчет_аналитики'!S4680),0)</f>
        <v/>
      </c>
      <c r="T4681">
        <f>IF('01_Вводные'!$B$234="Да",MAX(0,'19_Расчет_аналитики'!T4678-'19_Расчет_аналитики'!T4680),0)</f>
        <v/>
      </c>
      <c r="U4681">
        <f>IF('01_Вводные'!$B$234="Да",MAX(0,'19_Расчет_аналитики'!U4678-'19_Расчет_аналитики'!U4680),0)</f>
        <v/>
      </c>
      <c r="V4681">
        <f>IF('01_Вводные'!$B$234="Да",MAX(0,'19_Расчет_аналитики'!V4678-'19_Расчет_аналитики'!V4680),0)</f>
        <v/>
      </c>
      <c r="W4681">
        <f>IF('01_Вводные'!$B$234="Да",MAX(0,'19_Расчет_аналитики'!W4678-'19_Расчет_аналитики'!W4680),0)</f>
        <v/>
      </c>
      <c r="X4681">
        <f>IF('01_Вводные'!$B$234="Да",MAX(0,'19_Расчет_аналитики'!X4678-'19_Расчет_аналитики'!X4680),0)</f>
        <v/>
      </c>
      <c r="Y4681">
        <f>IF('01_Вводные'!$B$234="Да",MAX(0,'19_Расчет_аналитики'!Y4678-'19_Расчет_аналитики'!Y4680),0)</f>
        <v/>
      </c>
      <c r="Z4681">
        <f>IF('01_Вводные'!$B$234="Да",MAX(0,'19_Расчет_аналитики'!Z4678-'19_Расчет_аналитики'!Z4680),0)</f>
        <v/>
      </c>
      <c r="AA4681">
        <f>IF('01_Вводные'!$B$234="Да",MAX(0,'19_Расчет_аналитики'!AA4678-'19_Расчет_аналитики'!AA4680),0)</f>
        <v/>
      </c>
      <c r="AB4681">
        <f>IF('01_Вводные'!$B$234="Да",MAX(0,'19_Расчет_аналитики'!AB4678-'19_Расчет_аналитики'!AB4680),0)</f>
        <v/>
      </c>
      <c r="AC4681">
        <f>IF('01_Вводные'!$B$234="Да",MAX(0,'19_Расчет_аналитики'!AC4678-'19_Расчет_аналитики'!AC4680),0)</f>
        <v/>
      </c>
      <c r="AD4681">
        <f>IF('01_Вводные'!$B$234="Да",MAX(0,'19_Расчет_аналитики'!AD4678-'19_Расчет_аналитики'!AD4680),0)</f>
        <v/>
      </c>
      <c r="AE4681">
        <f>IF('01_Вводные'!$B$234="Да",MAX(0,'19_Расчет_аналитики'!AE4678-'19_Расчет_аналитики'!AE4680),0)</f>
        <v/>
      </c>
      <c r="AF4681">
        <f>IF('01_Вводные'!$B$234="Да",MAX(0,'19_Расчет_аналитики'!AF4678-'19_Расчет_аналитики'!AF4680),0)</f>
        <v/>
      </c>
      <c r="AG4681">
        <f>IF('01_Вводные'!$B$234="Да",MAX(0,'19_Расчет_аналитики'!AG4678-'19_Расчет_аналитики'!AG4680),0)</f>
        <v/>
      </c>
      <c r="AH4681">
        <f>IF('01_Вводные'!$B$234="Да",MAX(0,'19_Расчет_аналитики'!AH4678-'19_Расчет_аналитики'!AH4680),0)</f>
        <v/>
      </c>
      <c r="AI4681">
        <f>IF('01_Вводные'!$B$234="Да",MAX(0,'19_Расчет_аналитики'!AI4678-'19_Расчет_аналитики'!AI4680),0)</f>
        <v/>
      </c>
      <c r="AJ4681">
        <f>IF('01_Вводные'!$B$234="Да",MAX(0,'19_Расчет_аналитики'!AJ4678-'19_Расчет_аналитики'!AJ4680),0)</f>
        <v/>
      </c>
      <c r="AK4681">
        <f>IF('01_Вводные'!$B$234="Да",MAX(0,'19_Расчет_аналитики'!AK4678-'19_Расчет_аналитики'!AK4680),0)</f>
        <v/>
      </c>
      <c r="AL4681">
        <f>IF('01_Вводные'!$B$234="Да",MAX(0,'19_Расчет_аналитики'!AL4678-'19_Расчет_аналитики'!AL4680),0)</f>
        <v/>
      </c>
      <c r="AM4681">
        <f>IF('01_Вводные'!$B$234="Да",MAX(0,'19_Расчет_аналитики'!AM4678-'19_Расчет_аналитики'!AM4680),0)</f>
        <v/>
      </c>
      <c r="AN4681">
        <f>IF('01_Вводные'!$B$234="Да",MAX(0,'19_Расчет_аналитики'!AN4678-'19_Расчет_аналитики'!AN4680),0)</f>
        <v/>
      </c>
      <c r="AO4681">
        <f>IF('01_Вводные'!$B$234="Да",MAX(0,'19_Расчет_аналитики'!AO4678-'19_Расчет_аналитики'!AO4680),0)</f>
        <v/>
      </c>
      <c r="AP4681">
        <f>IF('01_Вводные'!$B$234="Да",MAX(0,'19_Расчет_аналитики'!AP4678-'19_Расчет_аналитики'!AP4680),0)</f>
        <v/>
      </c>
      <c r="AQ4681">
        <f>IF('01_Вводные'!$B$234="Да",MAX(0,'19_Расчет_аналитики'!AQ4678-'19_Расчет_аналитики'!AQ4680),0)</f>
        <v/>
      </c>
      <c r="AR4681">
        <f>IF('01_Вводные'!$B$234="Да",MAX(0,'19_Расчет_аналитики'!AR4678-'19_Расчет_аналитики'!AR4680),0)</f>
        <v/>
      </c>
      <c r="AS4681">
        <f>IF('01_Вводные'!$B$234="Да",MAX(0,'19_Расчет_аналитики'!AS4678-'19_Расчет_аналитики'!AS4680),0)</f>
        <v/>
      </c>
      <c r="AT4681">
        <f>IF('01_Вводные'!$B$234="Да",MAX(0,'19_Расчет_аналитики'!AT4678-'19_Расчет_аналитики'!AT4680),0)</f>
        <v/>
      </c>
      <c r="AU4681">
        <f>IF('01_Вводные'!$B$234="Да",MAX(0,'19_Расчет_аналитики'!AU4678-'19_Расчет_аналитики'!AU4680),0)</f>
        <v/>
      </c>
      <c r="AV4681">
        <f>IF('01_Вводные'!$B$234="Да",MAX(0,'19_Расчет_аналитики'!AV4678-'19_Расчет_аналитики'!AV4680),0)</f>
        <v/>
      </c>
      <c r="AW4681">
        <f>IF('01_Вводные'!$B$234="Да",MAX(0,'19_Расчет_аналитики'!AW4678-'19_Расчет_аналитики'!AW4680),0)</f>
        <v/>
      </c>
      <c r="AX4681">
        <f>IF('01_Вводные'!$B$234="Да",MAX(0,'19_Расчет_аналитики'!AX4678-'19_Расчет_аналитики'!AX4680),0)</f>
        <v/>
      </c>
      <c r="AY4681">
        <f>IF('01_Вводные'!$B$234="Да",MAX(0,'19_Расчет_аналитики'!AY4678-'19_Расчет_аналитики'!AY4680),0)</f>
        <v/>
      </c>
      <c r="AZ4681">
        <f>IF('01_Вводные'!$B$234="Да",MAX(0,'19_Расчет_аналитики'!AZ4678-'19_Расчет_аналитики'!AZ4680),0)</f>
        <v/>
      </c>
      <c r="BA4681">
        <f>IF('01_Вводные'!$B$234="Да",MAX(0,'19_Расчет_аналитики'!BA4678-'19_Расчет_аналитики'!BA4680),0)</f>
        <v/>
      </c>
      <c r="BB4681">
        <f>IF('01_Вводные'!$B$234="Да",MAX(0,'19_Расчет_аналитики'!BB4678-'19_Расчет_аналитики'!BB4680),0)</f>
        <v/>
      </c>
      <c r="BC4681">
        <f>IF('01_Вводные'!$B$234="Да",MAX(0,'19_Расчет_аналитики'!BC4678-'19_Расчет_аналитики'!BC4680),0)</f>
        <v/>
      </c>
      <c r="BD4681">
        <f>IF('01_Вводные'!$B$234="Да",MAX(0,'19_Расчет_аналитики'!BD4678-'19_Расчет_аналитики'!BD4680),0)</f>
        <v/>
      </c>
      <c r="BE4681">
        <f>IF('01_Вводные'!$B$234="Да",MAX(0,'19_Расчет_аналитики'!BE4678-'19_Расчет_аналитики'!BE4680),0)</f>
        <v/>
      </c>
      <c r="BF4681">
        <f>IF('01_Вводные'!$B$234="Да",MAX(0,'19_Расчет_аналитики'!BF4678-'19_Расчет_аналитики'!BF4680),0)</f>
        <v/>
      </c>
      <c r="BG4681">
        <f>IF('01_Вводные'!$B$234="Да",MAX(0,'19_Расчет_аналитики'!BG4678-'19_Расчет_аналитики'!BG4680),0)</f>
        <v/>
      </c>
      <c r="BH4681">
        <f>IF('01_Вводные'!$B$234="Да",MAX(0,'19_Расчет_аналитики'!BH4678-'19_Расчет_аналитики'!BH4680),0)</f>
        <v/>
      </c>
      <c r="BI4681">
        <f>IF('01_Вводные'!$B$234="Да",MAX(0,'19_Расчет_аналитики'!BI4678-'19_Расчет_аналитики'!BI4680),0)</f>
        <v/>
      </c>
      <c r="BJ4681">
        <f>IF('01_Вводные'!$B$234="Да",MAX(0,'19_Расчет_аналитики'!BJ4678-'07_Мерч'!BJ31),0)</f>
        <v/>
      </c>
      <c r="BK4681">
        <f>IF('01_Вводные'!$B$234="Да",MAX(0,'19_Расчет_аналитики'!BK4678-'07_Мерч'!BK31),0)</f>
        <v/>
      </c>
      <c r="BL4681">
        <f>IF('01_Вводные'!$B$234="Да",MAX(0,'19_Расчет_аналитики'!BL4678-'07_Мерч'!BL31),0)</f>
        <v/>
      </c>
      <c r="BM4681">
        <f>IF('01_Вводные'!$B$234="Да",MAX(0,'19_Расчет_аналитики'!BM4678-'07_Мерч'!BM31),0)</f>
        <v/>
      </c>
      <c r="BN4681">
        <f>IF('01_Вводные'!$B$234="Да",MAX(0,'19_Расчет_аналитики'!BN4678-'07_Мерч'!BN31),0)</f>
        <v/>
      </c>
      <c r="BO4681">
        <f>IF('01_Вводные'!$B$234="Да",MAX(0,'19_Расчет_аналитики'!BO4678-'07_Мерч'!BO31),0)</f>
        <v/>
      </c>
    </row>
    <row r="4682"/>
    <row r="4683"/>
    <row r="4684"/>
    <row r="4685"/>
    <row r="4686"/>
    <row r="4687"/>
    <row r="4688"/>
    <row r="4689"/>
    <row r="4690"/>
    <row r="4691"/>
    <row r="4692"/>
    <row r="4693"/>
    <row r="4694"/>
    <row r="4695">
      <c r="C4695">
        <f>IF('01_Вводные'!$B$234="Да",MAX(0,MAX('01_Вводные'!$B$118,INT('19_Расчет_аналитики'!C4755/'01_Вводные'!$B$117)+1)-'01_Вводные'!$B$118),0)</f>
        <v/>
      </c>
      <c r="D4695">
        <f>IF('01_Вводные'!$B$234="Да",MAX(0,MAX('01_Вводные'!$B$118,INT('19_Расчет_аналитики'!D4755/'01_Вводные'!$B$117)+1)-'01_Вводные'!$B$118),0)</f>
        <v/>
      </c>
      <c r="E4695">
        <f>IF('01_Вводные'!$B$234="Да",MAX(0,MAX('01_Вводные'!$B$118,INT('19_Расчет_аналитики'!E4755/'01_Вводные'!$B$117)+1)-'01_Вводные'!$B$118),0)</f>
        <v/>
      </c>
      <c r="F4695">
        <f>IF('01_Вводные'!$B$234="Да",MAX(0,MAX('01_Вводные'!$B$118,INT('19_Расчет_аналитики'!F4755/'01_Вводные'!$B$117)+1)-'01_Вводные'!$B$118),0)</f>
        <v/>
      </c>
      <c r="G4695">
        <f>IF('01_Вводные'!$B$234="Да",MAX(0,MAX('01_Вводные'!$B$118,INT('19_Расчет_аналитики'!G4755/'01_Вводные'!$B$117)+1)-'01_Вводные'!$B$118),0)</f>
        <v/>
      </c>
      <c r="H4695">
        <f>IF('01_Вводные'!$B$234="Да",MAX(0,MAX('01_Вводные'!$B$118,INT('19_Расчет_аналитики'!H4755/'01_Вводные'!$B$117)+1)-'01_Вводные'!$B$118),0)</f>
        <v/>
      </c>
      <c r="I4695">
        <f>IF('01_Вводные'!$B$234="Да",MAX(0,MAX('01_Вводные'!$B$118,INT('19_Расчет_аналитики'!I4755/'01_Вводные'!$B$117)+1)-'01_Вводные'!$B$118),0)</f>
        <v/>
      </c>
      <c r="J4695">
        <f>IF('01_Вводные'!$B$234="Да",MAX(0,MAX('01_Вводные'!$B$118,INT('19_Расчет_аналитики'!J4755/'01_Вводные'!$B$117)+1)-'01_Вводные'!$B$118),0)</f>
        <v/>
      </c>
      <c r="K4695">
        <f>IF('01_Вводные'!$B$234="Да",MAX(0,MAX('01_Вводные'!$B$118,INT('19_Расчет_аналитики'!K4755/'01_Вводные'!$B$117)+1)-'01_Вводные'!$B$118),0)</f>
        <v/>
      </c>
      <c r="L4695">
        <f>IF('01_Вводные'!$B$234="Да",MAX(0,MAX('01_Вводные'!$B$118,INT('19_Расчет_аналитики'!L4755/'01_Вводные'!$B$117)+1)-'01_Вводные'!$B$118),0)</f>
        <v/>
      </c>
      <c r="M4695">
        <f>IF('01_Вводные'!$B$234="Да",MAX(0,MAX('01_Вводные'!$B$118,INT('19_Расчет_аналитики'!M4755/'01_Вводные'!$B$117)+1)-'01_Вводные'!$B$118),0)</f>
        <v/>
      </c>
      <c r="N4695">
        <f>IF('01_Вводные'!$B$234="Да",MAX(0,MAX('01_Вводные'!$B$118,INT('19_Расчет_аналитики'!N4755/'01_Вводные'!$B$117)+1)-'01_Вводные'!$B$118),0)</f>
        <v/>
      </c>
      <c r="O4695">
        <f>IF('01_Вводные'!$B$234="Да",MAX(0,MAX('01_Вводные'!$B$118,INT('19_Расчет_аналитики'!O4755/'01_Вводные'!$B$117)+1)-'01_Вводные'!$B$118),0)</f>
        <v/>
      </c>
      <c r="P4695">
        <f>IF('01_Вводные'!$B$234="Да",MAX(0,MAX('01_Вводные'!$B$118,INT('19_Расчет_аналитики'!P4755/'01_Вводные'!$B$117)+1)-'01_Вводные'!$B$118),0)</f>
        <v/>
      </c>
      <c r="Q4695">
        <f>IF('01_Вводные'!$B$234="Да",MAX(0,MAX('01_Вводные'!$B$118,INT('19_Расчет_аналитики'!Q4755/'01_Вводные'!$B$117)+1)-'01_Вводные'!$B$118),0)</f>
        <v/>
      </c>
      <c r="R4695">
        <f>IF('01_Вводные'!$B$234="Да",MAX(0,MAX('01_Вводные'!$B$118,INT('19_Расчет_аналитики'!R4755/'01_Вводные'!$B$117)+1)-'01_Вводные'!$B$118),0)</f>
        <v/>
      </c>
      <c r="S4695">
        <f>IF('01_Вводные'!$B$234="Да",MAX(0,MAX('01_Вводные'!$B$118,INT('19_Расчет_аналитики'!S4755/'01_Вводные'!$B$117)+1)-'01_Вводные'!$B$118),0)</f>
        <v/>
      </c>
      <c r="T4695">
        <f>IF('01_Вводные'!$B$234="Да",MAX(0,MAX('01_Вводные'!$B$118,INT('19_Расчет_аналитики'!T4755/'01_Вводные'!$B$117)+1)-'01_Вводные'!$B$118),0)</f>
        <v/>
      </c>
      <c r="U4695">
        <f>IF('01_Вводные'!$B$234="Да",MAX(0,MAX('01_Вводные'!$B$118,INT('19_Расчет_аналитики'!U4755/'01_Вводные'!$B$117)+1)-'01_Вводные'!$B$118),0)</f>
        <v/>
      </c>
      <c r="V4695">
        <f>IF('01_Вводные'!$B$234="Да",MAX(0,MAX('01_Вводные'!$B$118,INT('19_Расчет_аналитики'!V4755/'01_Вводные'!$B$117)+1)-'01_Вводные'!$B$118),0)</f>
        <v/>
      </c>
      <c r="W4695">
        <f>IF('01_Вводные'!$B$234="Да",MAX(0,MAX('01_Вводные'!$B$118,INT('19_Расчет_аналитики'!W4755/'01_Вводные'!$B$117)+1)-'01_Вводные'!$B$118),0)</f>
        <v/>
      </c>
      <c r="X4695">
        <f>IF('01_Вводные'!$B$234="Да",MAX(0,MAX('01_Вводные'!$B$118,INT('19_Расчет_аналитики'!X4755/'01_Вводные'!$B$117)+1)-'01_Вводные'!$B$118),0)</f>
        <v/>
      </c>
      <c r="Y4695">
        <f>IF('01_Вводные'!$B$234="Да",MAX(0,MAX('01_Вводные'!$B$118,INT('19_Расчет_аналитики'!Y4755/'01_Вводные'!$B$117)+1)-'01_Вводные'!$B$118),0)</f>
        <v/>
      </c>
      <c r="Z4695">
        <f>IF('01_Вводные'!$B$234="Да",MAX(0,MAX('01_Вводные'!$B$118,INT('19_Расчет_аналитики'!Z4755/'01_Вводные'!$B$117)+1)-'01_Вводные'!$B$118),0)</f>
        <v/>
      </c>
      <c r="AA4695">
        <f>IF('01_Вводные'!$B$234="Да",MAX(0,MAX('01_Вводные'!$B$118,INT('19_Расчет_аналитики'!AA4755/'01_Вводные'!$B$117)+1)-'01_Вводные'!$B$118),0)</f>
        <v/>
      </c>
      <c r="AB4695">
        <f>IF('01_Вводные'!$B$234="Да",MAX(0,MAX('01_Вводные'!$B$118,INT('19_Расчет_аналитики'!AB4755/'01_Вводные'!$B$117)+1)-'01_Вводные'!$B$118),0)</f>
        <v/>
      </c>
      <c r="AC4695">
        <f>IF('01_Вводные'!$B$234="Да",MAX(0,MAX('01_Вводные'!$B$118,INT('19_Расчет_аналитики'!AC4755/'01_Вводные'!$B$117)+1)-'01_Вводные'!$B$118),0)</f>
        <v/>
      </c>
      <c r="AD4695">
        <f>IF('01_Вводные'!$B$234="Да",MAX(0,MAX('01_Вводные'!$B$118,INT('19_Расчет_аналитики'!AD4755/'01_Вводные'!$B$117)+1)-'01_Вводные'!$B$118),0)</f>
        <v/>
      </c>
      <c r="AE4695">
        <f>IF('01_Вводные'!$B$234="Да",MAX(0,MAX('01_Вводные'!$B$118,INT('19_Расчет_аналитики'!AE4755/'01_Вводные'!$B$117)+1)-'01_Вводные'!$B$118),0)</f>
        <v/>
      </c>
      <c r="AF4695">
        <f>IF('01_Вводные'!$B$234="Да",MAX(0,MAX('01_Вводные'!$B$118,INT('19_Расчет_аналитики'!AF4755/'01_Вводные'!$B$117)+1)-'01_Вводные'!$B$118),0)</f>
        <v/>
      </c>
      <c r="AG4695">
        <f>IF('01_Вводные'!$B$234="Да",MAX(0,MAX('01_Вводные'!$B$118,INT('19_Расчет_аналитики'!AG4755/'01_Вводные'!$B$117)+1)-'01_Вводные'!$B$118),0)</f>
        <v/>
      </c>
      <c r="AH4695">
        <f>IF('01_Вводные'!$B$234="Да",MAX(0,MAX('01_Вводные'!$B$118,INT('19_Расчет_аналитики'!AH4755/'01_Вводные'!$B$117)+1)-'01_Вводные'!$B$118),0)</f>
        <v/>
      </c>
      <c r="AI4695">
        <f>IF('01_Вводные'!$B$234="Да",MAX(0,MAX('01_Вводные'!$B$118,INT('19_Расчет_аналитики'!AI4755/'01_Вводные'!$B$117)+1)-'01_Вводные'!$B$118),0)</f>
        <v/>
      </c>
      <c r="AJ4695">
        <f>IF('01_Вводные'!$B$234="Да",MAX(0,MAX('01_Вводные'!$B$118,INT('19_Расчет_аналитики'!AJ4755/'01_Вводные'!$B$117)+1)-'01_Вводные'!$B$118),0)</f>
        <v/>
      </c>
      <c r="AK4695">
        <f>IF('01_Вводные'!$B$234="Да",MAX(0,MAX('01_Вводные'!$B$118,INT('19_Расчет_аналитики'!AK4755/'01_Вводные'!$B$117)+1)-'01_Вводные'!$B$118),0)</f>
        <v/>
      </c>
      <c r="AL4695">
        <f>IF('01_Вводные'!$B$234="Да",MAX(0,MAX('01_Вводные'!$B$118,INT('19_Расчет_аналитики'!AL4755/'01_Вводные'!$B$117)+1)-'01_Вводные'!$B$118),0)</f>
        <v/>
      </c>
      <c r="AM4695">
        <f>IF('01_Вводные'!$B$234="Да",MAX(0,MAX('01_Вводные'!$B$118,INT('19_Расчет_аналитики'!AM4755/'01_Вводные'!$B$117)+1)-'01_Вводные'!$B$118),0)</f>
        <v/>
      </c>
      <c r="AN4695">
        <f>IF('01_Вводные'!$B$234="Да",MAX(0,MAX('01_Вводные'!$B$118,INT('19_Расчет_аналитики'!AN4755/'01_Вводные'!$B$117)+1)-'01_Вводные'!$B$118),0)</f>
        <v/>
      </c>
      <c r="AO4695">
        <f>IF('01_Вводные'!$B$234="Да",MAX(0,MAX('01_Вводные'!$B$118,INT('19_Расчет_аналитики'!AO4755/'01_Вводные'!$B$117)+1)-'01_Вводные'!$B$118),0)</f>
        <v/>
      </c>
      <c r="AP4695">
        <f>IF('01_Вводные'!$B$234="Да",MAX(0,MAX('01_Вводные'!$B$118,INT('19_Расчет_аналитики'!AP4755/'01_Вводные'!$B$117)+1)-'01_Вводные'!$B$118),0)</f>
        <v/>
      </c>
      <c r="AQ4695">
        <f>IF('01_Вводные'!$B$234="Да",MAX(0,MAX('01_Вводные'!$B$118,INT('19_Расчет_аналитики'!AQ4755/'01_Вводные'!$B$117)+1)-'01_Вводные'!$B$118),0)</f>
        <v/>
      </c>
      <c r="AR4695">
        <f>IF('01_Вводные'!$B$234="Да",MAX(0,MAX('01_Вводные'!$B$118,INT('19_Расчет_аналитики'!AR4755/'01_Вводные'!$B$117)+1)-'01_Вводные'!$B$118),0)</f>
        <v/>
      </c>
      <c r="AS4695">
        <f>IF('01_Вводные'!$B$234="Да",MAX(0,MAX('01_Вводные'!$B$118,INT('19_Расчет_аналитики'!AS4755/'01_Вводные'!$B$117)+1)-'01_Вводные'!$B$118),0)</f>
        <v/>
      </c>
      <c r="AT4695">
        <f>IF('01_Вводные'!$B$234="Да",MAX(0,MAX('01_Вводные'!$B$118,INT('19_Расчет_аналитики'!AT4755/'01_Вводные'!$B$117)+1)-'01_Вводные'!$B$118),0)</f>
        <v/>
      </c>
      <c r="AU4695">
        <f>IF('01_Вводные'!$B$234="Да",MAX(0,MAX('01_Вводные'!$B$118,INT('19_Расчет_аналитики'!AU4755/'01_Вводные'!$B$117)+1)-'01_Вводные'!$B$118),0)</f>
        <v/>
      </c>
      <c r="AV4695">
        <f>IF('01_Вводные'!$B$234="Да",MAX(0,MAX('01_Вводные'!$B$118,INT('19_Расчет_аналитики'!AV4755/'01_Вводные'!$B$117)+1)-'01_Вводные'!$B$118),0)</f>
        <v/>
      </c>
      <c r="AW4695">
        <f>IF('01_Вводные'!$B$234="Да",MAX(0,MAX('01_Вводные'!$B$118,INT('19_Расчет_аналитики'!AW4755/'01_Вводные'!$B$117)+1)-'01_Вводные'!$B$118),0)</f>
        <v/>
      </c>
      <c r="AX4695">
        <f>IF('01_Вводные'!$B$234="Да",MAX(0,MAX('01_Вводные'!$B$118,INT('19_Расчет_аналитики'!AX4755/'01_Вводные'!$B$117)+1)-'01_Вводные'!$B$118),0)</f>
        <v/>
      </c>
      <c r="AY4695">
        <f>IF('01_Вводные'!$B$234="Да",MAX(0,MAX('01_Вводные'!$B$118,INT('19_Расчет_аналитики'!AY4755/'01_Вводные'!$B$117)+1)-'01_Вводные'!$B$118),0)</f>
        <v/>
      </c>
      <c r="AZ4695">
        <f>IF('01_Вводные'!$B$234="Да",MAX(0,MAX('01_Вводные'!$B$118,INT('19_Расчет_аналитики'!AZ4755/'01_Вводные'!$B$117)+1)-'01_Вводные'!$B$118),0)</f>
        <v/>
      </c>
      <c r="BA4695">
        <f>IF('01_Вводные'!$B$234="Да",MAX(0,MAX('01_Вводные'!$B$118,INT('19_Расчет_аналитики'!BA4755/'01_Вводные'!$B$117)+1)-'01_Вводные'!$B$118),0)</f>
        <v/>
      </c>
      <c r="BB4695">
        <f>IF('01_Вводные'!$B$234="Да",MAX(0,MAX('01_Вводные'!$B$118,INT('19_Расчет_аналитики'!BB4755/'01_Вводные'!$B$117)+1)-'01_Вводные'!$B$118),0)</f>
        <v/>
      </c>
      <c r="BC4695">
        <f>IF('01_Вводные'!$B$234="Да",MAX(0,MAX('01_Вводные'!$B$118,INT('19_Расчет_аналитики'!BC4755/'01_Вводные'!$B$117)+1)-'01_Вводные'!$B$118),0)</f>
        <v/>
      </c>
      <c r="BD4695">
        <f>IF('01_Вводные'!$B$234="Да",MAX(0,MAX('01_Вводные'!$B$118,INT('19_Расчет_аналитики'!BD4755/'01_Вводные'!$B$117)+1)-'01_Вводные'!$B$118),0)</f>
        <v/>
      </c>
      <c r="BE4695">
        <f>IF('01_Вводные'!$B$234="Да",MAX(0,MAX('01_Вводные'!$B$118,INT('19_Расчет_аналитики'!BE4755/'01_Вводные'!$B$117)+1)-'01_Вводные'!$B$118),0)</f>
        <v/>
      </c>
      <c r="BF4695">
        <f>IF('01_Вводные'!$B$234="Да",MAX(0,MAX('01_Вводные'!$B$118,INT('19_Расчет_аналитики'!BF4755/'01_Вводные'!$B$117)+1)-'01_Вводные'!$B$118),0)</f>
        <v/>
      </c>
      <c r="BG4695">
        <f>IF('01_Вводные'!$B$234="Да",MAX(0,MAX('01_Вводные'!$B$118,INT('19_Расчет_аналитики'!BG4755/'01_Вводные'!$B$117)+1)-'01_Вводные'!$B$118),0)</f>
        <v/>
      </c>
      <c r="BH4695">
        <f>IF('01_Вводные'!$B$234="Да",MAX(0,MAX('01_Вводные'!$B$118,INT('19_Расчет_аналитики'!BH4755/'01_Вводные'!$B$117)+1)-'01_Вводные'!$B$118),0)</f>
        <v/>
      </c>
      <c r="BI4695">
        <f>IF('01_Вводные'!$B$234="Да",MAX(0,MAX('01_Вводные'!$B$118,INT('19_Расчет_аналитики'!BI4755/'01_Вводные'!$B$117)+1)-'01_Вводные'!$B$118),0)</f>
        <v/>
      </c>
    </row>
    <row r="4696">
      <c r="C4696">
        <f>IF('01_Вводные'!$B$234="Да",'19_Расчет_аналитики'!C4695*'01_Вводные'!$B$119*'08_ФОТ'!C5,0)</f>
        <v/>
      </c>
      <c r="D4696">
        <f>IF('01_Вводные'!$B$234="Да",'19_Расчет_аналитики'!D4695*'01_Вводные'!$B$119*'08_ФОТ'!D5,0)</f>
        <v/>
      </c>
      <c r="E4696">
        <f>IF('01_Вводные'!$B$234="Да",'19_Расчет_аналитики'!E4695*'01_Вводные'!$B$119*'08_ФОТ'!E5,0)</f>
        <v/>
      </c>
      <c r="F4696">
        <f>IF('01_Вводные'!$B$234="Да",'19_Расчет_аналитики'!F4695*'01_Вводные'!$B$119*'08_ФОТ'!F5,0)</f>
        <v/>
      </c>
      <c r="G4696">
        <f>IF('01_Вводные'!$B$234="Да",'19_Расчет_аналитики'!G4695*'01_Вводные'!$B$119*'08_ФОТ'!G5,0)</f>
        <v/>
      </c>
      <c r="H4696">
        <f>IF('01_Вводные'!$B$234="Да",'19_Расчет_аналитики'!H4695*'01_Вводные'!$B$119*'08_ФОТ'!H5,0)</f>
        <v/>
      </c>
      <c r="I4696">
        <f>IF('01_Вводные'!$B$234="Да",'19_Расчет_аналитики'!I4695*'01_Вводные'!$B$119*'08_ФОТ'!I5,0)</f>
        <v/>
      </c>
      <c r="J4696">
        <f>IF('01_Вводные'!$B$234="Да",'19_Расчет_аналитики'!J4695*'01_Вводные'!$B$119*'08_ФОТ'!J5,0)</f>
        <v/>
      </c>
      <c r="K4696">
        <f>IF('01_Вводные'!$B$234="Да",'19_Расчет_аналитики'!K4695*'01_Вводные'!$B$119*'08_ФОТ'!K5,0)</f>
        <v/>
      </c>
      <c r="L4696">
        <f>IF('01_Вводные'!$B$234="Да",'19_Расчет_аналитики'!L4695*'01_Вводные'!$B$119*'08_ФОТ'!L5,0)</f>
        <v/>
      </c>
      <c r="M4696">
        <f>IF('01_Вводные'!$B$234="Да",'19_Расчет_аналитики'!M4695*'01_Вводные'!$B$119*'08_ФОТ'!M5,0)</f>
        <v/>
      </c>
      <c r="N4696">
        <f>IF('01_Вводные'!$B$234="Да",'19_Расчет_аналитики'!N4695*'01_Вводные'!$B$119*'08_ФОТ'!N5,0)</f>
        <v/>
      </c>
      <c r="O4696">
        <f>IF('01_Вводные'!$B$234="Да",'19_Расчет_аналитики'!O4695*'01_Вводные'!$B$119*'08_ФОТ'!O5,0)</f>
        <v/>
      </c>
      <c r="P4696">
        <f>IF('01_Вводные'!$B$234="Да",'19_Расчет_аналитики'!P4695*'01_Вводные'!$B$119*'08_ФОТ'!P5,0)</f>
        <v/>
      </c>
      <c r="Q4696">
        <f>IF('01_Вводные'!$B$234="Да",'19_Расчет_аналитики'!Q4695*'01_Вводные'!$B$119*'08_ФОТ'!Q5,0)</f>
        <v/>
      </c>
      <c r="R4696">
        <f>IF('01_Вводные'!$B$234="Да",'19_Расчет_аналитики'!R4695*'01_Вводные'!$B$119*'08_ФОТ'!R5,0)</f>
        <v/>
      </c>
      <c r="S4696">
        <f>IF('01_Вводные'!$B$234="Да",'19_Расчет_аналитики'!S4695*'01_Вводные'!$B$119*'08_ФОТ'!S5,0)</f>
        <v/>
      </c>
      <c r="T4696">
        <f>IF('01_Вводные'!$B$234="Да",'19_Расчет_аналитики'!T4695*'01_Вводные'!$B$119*'08_ФОТ'!T5,0)</f>
        <v/>
      </c>
      <c r="U4696">
        <f>IF('01_Вводные'!$B$234="Да",'19_Расчет_аналитики'!U4695*'01_Вводные'!$B$119*'08_ФОТ'!U5,0)</f>
        <v/>
      </c>
      <c r="V4696">
        <f>IF('01_Вводные'!$B$234="Да",'19_Расчет_аналитики'!V4695*'01_Вводные'!$B$119*'08_ФОТ'!V5,0)</f>
        <v/>
      </c>
      <c r="W4696">
        <f>IF('01_Вводные'!$B$234="Да",'19_Расчет_аналитики'!W4695*'01_Вводные'!$B$119*'08_ФОТ'!W5,0)</f>
        <v/>
      </c>
      <c r="X4696">
        <f>IF('01_Вводные'!$B$234="Да",'19_Расчет_аналитики'!X4695*'01_Вводные'!$B$119*'08_ФОТ'!X5,0)</f>
        <v/>
      </c>
      <c r="Y4696">
        <f>IF('01_Вводные'!$B$234="Да",'19_Расчет_аналитики'!Y4695*'01_Вводные'!$B$119*'08_ФОТ'!Y5,0)</f>
        <v/>
      </c>
      <c r="Z4696">
        <f>IF('01_Вводные'!$B$234="Да",'19_Расчет_аналитики'!Z4695*'01_Вводные'!$B$119*'08_ФОТ'!Z5,0)</f>
        <v/>
      </c>
      <c r="AA4696">
        <f>IF('01_Вводные'!$B$234="Да",'19_Расчет_аналитики'!AA4695*'01_Вводные'!$B$119*'08_ФОТ'!AA5,0)</f>
        <v/>
      </c>
      <c r="AB4696">
        <f>IF('01_Вводные'!$B$234="Да",'19_Расчет_аналитики'!AB4695*'01_Вводные'!$B$119*'08_ФОТ'!AB5,0)</f>
        <v/>
      </c>
      <c r="AC4696">
        <f>IF('01_Вводные'!$B$234="Да",'19_Расчет_аналитики'!AC4695*'01_Вводные'!$B$119*'08_ФОТ'!AC5,0)</f>
        <v/>
      </c>
      <c r="AD4696">
        <f>IF('01_Вводные'!$B$234="Да",'19_Расчет_аналитики'!AD4695*'01_Вводные'!$B$119*'08_ФОТ'!AD5,0)</f>
        <v/>
      </c>
      <c r="AE4696">
        <f>IF('01_Вводные'!$B$234="Да",'19_Расчет_аналитики'!AE4695*'01_Вводные'!$B$119*'08_ФОТ'!AE5,0)</f>
        <v/>
      </c>
      <c r="AF4696">
        <f>IF('01_Вводные'!$B$234="Да",'19_Расчет_аналитики'!AF4695*'01_Вводные'!$B$119*'08_ФОТ'!AF5,0)</f>
        <v/>
      </c>
      <c r="AG4696">
        <f>IF('01_Вводные'!$B$234="Да",'19_Расчет_аналитики'!AG4695*'01_Вводные'!$B$119*'08_ФОТ'!AG5,0)</f>
        <v/>
      </c>
      <c r="AH4696">
        <f>IF('01_Вводные'!$B$234="Да",'19_Расчет_аналитики'!AH4695*'01_Вводные'!$B$119*'08_ФОТ'!AH5,0)</f>
        <v/>
      </c>
      <c r="AI4696">
        <f>IF('01_Вводные'!$B$234="Да",'19_Расчет_аналитики'!AI4695*'01_Вводные'!$B$119*'08_ФОТ'!AI5,0)</f>
        <v/>
      </c>
      <c r="AJ4696">
        <f>IF('01_Вводные'!$B$234="Да",'19_Расчет_аналитики'!AJ4695*'01_Вводные'!$B$119*'08_ФОТ'!AJ5,0)</f>
        <v/>
      </c>
      <c r="AK4696">
        <f>IF('01_Вводные'!$B$234="Да",'19_Расчет_аналитики'!AK4695*'01_Вводные'!$B$119*'08_ФОТ'!AK5,0)</f>
        <v/>
      </c>
      <c r="AL4696">
        <f>IF('01_Вводные'!$B$234="Да",'19_Расчет_аналитики'!AL4695*'01_Вводные'!$B$119*'08_ФОТ'!AL5,0)</f>
        <v/>
      </c>
      <c r="AM4696">
        <f>IF('01_Вводные'!$B$234="Да",'19_Расчет_аналитики'!AM4695*'01_Вводные'!$B$119*'08_ФОТ'!AM5,0)</f>
        <v/>
      </c>
      <c r="AN4696">
        <f>IF('01_Вводные'!$B$234="Да",'19_Расчет_аналитики'!AN4695*'01_Вводные'!$B$119*'08_ФОТ'!AN5,0)</f>
        <v/>
      </c>
      <c r="AO4696">
        <f>IF('01_Вводные'!$B$234="Да",'19_Расчет_аналитики'!AO4695*'01_Вводные'!$B$119*'08_ФОТ'!AO5,0)</f>
        <v/>
      </c>
      <c r="AP4696">
        <f>IF('01_Вводные'!$B$234="Да",'19_Расчет_аналитики'!AP4695*'01_Вводные'!$B$119*'08_ФОТ'!AP5,0)</f>
        <v/>
      </c>
      <c r="AQ4696">
        <f>IF('01_Вводные'!$B$234="Да",'19_Расчет_аналитики'!AQ4695*'01_Вводные'!$B$119*'08_ФОТ'!AQ5,0)</f>
        <v/>
      </c>
      <c r="AR4696">
        <f>IF('01_Вводные'!$B$234="Да",'19_Расчет_аналитики'!AR4695*'01_Вводные'!$B$119*'08_ФОТ'!AR5,0)</f>
        <v/>
      </c>
      <c r="AS4696">
        <f>IF('01_Вводные'!$B$234="Да",'19_Расчет_аналитики'!AS4695*'01_Вводные'!$B$119*'08_ФОТ'!AS5,0)</f>
        <v/>
      </c>
      <c r="AT4696">
        <f>IF('01_Вводные'!$B$234="Да",'19_Расчет_аналитики'!AT4695*'01_Вводные'!$B$119*'08_ФОТ'!AT5,0)</f>
        <v/>
      </c>
      <c r="AU4696">
        <f>IF('01_Вводные'!$B$234="Да",'19_Расчет_аналитики'!AU4695*'01_Вводные'!$B$119*'08_ФОТ'!AU5,0)</f>
        <v/>
      </c>
      <c r="AV4696">
        <f>IF('01_Вводные'!$B$234="Да",'19_Расчет_аналитики'!AV4695*'01_Вводные'!$B$119*'08_ФОТ'!AV5,0)</f>
        <v/>
      </c>
      <c r="AW4696">
        <f>IF('01_Вводные'!$B$234="Да",'19_Расчет_аналитики'!AW4695*'01_Вводные'!$B$119*'08_ФОТ'!AW5,0)</f>
        <v/>
      </c>
      <c r="AX4696">
        <f>IF('01_Вводные'!$B$234="Да",'19_Расчет_аналитики'!AX4695*'01_Вводные'!$B$119*'08_ФОТ'!AX5,0)</f>
        <v/>
      </c>
      <c r="AY4696">
        <f>IF('01_Вводные'!$B$234="Да",'19_Расчет_аналитики'!AY4695*'01_Вводные'!$B$119*'08_ФОТ'!AY5,0)</f>
        <v/>
      </c>
      <c r="AZ4696">
        <f>IF('01_Вводные'!$B$234="Да",'19_Расчет_аналитики'!AZ4695*'01_Вводные'!$B$119*'08_ФОТ'!AZ5,0)</f>
        <v/>
      </c>
      <c r="BA4696">
        <f>IF('01_Вводные'!$B$234="Да",'19_Расчет_аналитики'!BA4695*'01_Вводные'!$B$119*'08_ФОТ'!BA5,0)</f>
        <v/>
      </c>
      <c r="BB4696">
        <f>IF('01_Вводные'!$B$234="Да",'19_Расчет_аналитики'!BB4695*'01_Вводные'!$B$119*'08_ФОТ'!BB5,0)</f>
        <v/>
      </c>
      <c r="BC4696">
        <f>IF('01_Вводные'!$B$234="Да",'19_Расчет_аналитики'!BC4695*'01_Вводные'!$B$119*'08_ФОТ'!BC5,0)</f>
        <v/>
      </c>
      <c r="BD4696">
        <f>IF('01_Вводные'!$B$234="Да",'19_Расчет_аналитики'!BD4695*'01_Вводные'!$B$119*'08_ФОТ'!BD5,0)</f>
        <v/>
      </c>
      <c r="BE4696">
        <f>IF('01_Вводные'!$B$234="Да",'19_Расчет_аналитики'!BE4695*'01_Вводные'!$B$119*'08_ФОТ'!BE5,0)</f>
        <v/>
      </c>
      <c r="BF4696">
        <f>IF('01_Вводные'!$B$234="Да",'19_Расчет_аналитики'!BF4695*'01_Вводные'!$B$119*'08_ФОТ'!BF5,0)</f>
        <v/>
      </c>
      <c r="BG4696">
        <f>IF('01_Вводные'!$B$234="Да",'19_Расчет_аналитики'!BG4695*'01_Вводные'!$B$119*'08_ФОТ'!BG5,0)</f>
        <v/>
      </c>
      <c r="BH4696">
        <f>IF('01_Вводные'!$B$234="Да",'19_Расчет_аналитики'!BH4695*'01_Вводные'!$B$119*'08_ФОТ'!BH5,0)</f>
        <v/>
      </c>
      <c r="BI4696">
        <f>IF('01_Вводные'!$B$234="Да",'19_Расчет_аналитики'!BI4695*'01_Вводные'!$B$119*'08_ФОТ'!BI5,0)</f>
        <v/>
      </c>
    </row>
    <row r="4697">
      <c r="C4697">
        <f>IF('01_Вводные'!$B$234="Да",SUM('08_ФОТ'!C7:C9,'19_Расчет_аналитики'!C4696),0)</f>
        <v/>
      </c>
      <c r="D4697">
        <f>IF('01_Вводные'!$B$234="Да",SUM('08_ФОТ'!D7:D9,'19_Расчет_аналитики'!D4696),0)</f>
        <v/>
      </c>
      <c r="E4697">
        <f>IF('01_Вводные'!$B$234="Да",SUM('08_ФОТ'!E7:E9,'19_Расчет_аналитики'!E4696),0)</f>
        <v/>
      </c>
      <c r="F4697">
        <f>IF('01_Вводные'!$B$234="Да",SUM('08_ФОТ'!F7:F9,'19_Расчет_аналитики'!F4696),0)</f>
        <v/>
      </c>
      <c r="G4697">
        <f>IF('01_Вводные'!$B$234="Да",SUM('08_ФОТ'!G7:G9,'19_Расчет_аналитики'!G4696),0)</f>
        <v/>
      </c>
      <c r="H4697">
        <f>IF('01_Вводные'!$B$234="Да",SUM('08_ФОТ'!H7:H9,'19_Расчет_аналитики'!H4696),0)</f>
        <v/>
      </c>
      <c r="I4697">
        <f>IF('01_Вводные'!$B$234="Да",SUM('08_ФОТ'!I7:I9,'19_Расчет_аналитики'!I4696),0)</f>
        <v/>
      </c>
      <c r="J4697">
        <f>IF('01_Вводные'!$B$234="Да",SUM('08_ФОТ'!J7:J9,'19_Расчет_аналитики'!J4696),0)</f>
        <v/>
      </c>
      <c r="K4697">
        <f>IF('01_Вводные'!$B$234="Да",SUM('08_ФОТ'!K7:K9,'19_Расчет_аналитики'!K4696),0)</f>
        <v/>
      </c>
      <c r="L4697">
        <f>IF('01_Вводные'!$B$234="Да",SUM('08_ФОТ'!L7:L9,'19_Расчет_аналитики'!L4696),0)</f>
        <v/>
      </c>
      <c r="M4697">
        <f>IF('01_Вводные'!$B$234="Да",SUM('08_ФОТ'!M7:M9,'19_Расчет_аналитики'!M4696),0)</f>
        <v/>
      </c>
      <c r="N4697">
        <f>IF('01_Вводные'!$B$234="Да",SUM('08_ФОТ'!N7:N9,'19_Расчет_аналитики'!N4696),0)</f>
        <v/>
      </c>
      <c r="O4697">
        <f>IF('01_Вводные'!$B$234="Да",SUM('08_ФОТ'!O7:O9,'19_Расчет_аналитики'!O4696),0)</f>
        <v/>
      </c>
      <c r="P4697">
        <f>IF('01_Вводные'!$B$234="Да",SUM('08_ФОТ'!P7:P9,'19_Расчет_аналитики'!P4696),0)</f>
        <v/>
      </c>
      <c r="Q4697">
        <f>IF('01_Вводные'!$B$234="Да",SUM('08_ФОТ'!Q7:Q9,'19_Расчет_аналитики'!Q4696),0)</f>
        <v/>
      </c>
      <c r="R4697">
        <f>IF('01_Вводные'!$B$234="Да",SUM('08_ФОТ'!R7:R9,'19_Расчет_аналитики'!R4696),0)</f>
        <v/>
      </c>
      <c r="S4697">
        <f>IF('01_Вводные'!$B$234="Да",SUM('08_ФОТ'!S7:S9,'19_Расчет_аналитики'!S4696),0)</f>
        <v/>
      </c>
      <c r="T4697">
        <f>IF('01_Вводные'!$B$234="Да",SUM('08_ФОТ'!T7:T9,'19_Расчет_аналитики'!T4696),0)</f>
        <v/>
      </c>
      <c r="U4697">
        <f>IF('01_Вводные'!$B$234="Да",SUM('08_ФОТ'!U7:U9,'19_Расчет_аналитики'!U4696),0)</f>
        <v/>
      </c>
      <c r="V4697">
        <f>IF('01_Вводные'!$B$234="Да",SUM('08_ФОТ'!V7:V9,'19_Расчет_аналитики'!V4696),0)</f>
        <v/>
      </c>
      <c r="W4697">
        <f>IF('01_Вводные'!$B$234="Да",SUM('08_ФОТ'!W7:W9,'19_Расчет_аналитики'!W4696),0)</f>
        <v/>
      </c>
      <c r="X4697">
        <f>IF('01_Вводные'!$B$234="Да",SUM('08_ФОТ'!X7:X9,'19_Расчет_аналитики'!X4696),0)</f>
        <v/>
      </c>
      <c r="Y4697">
        <f>IF('01_Вводные'!$B$234="Да",SUM('08_ФОТ'!Y7:Y9,'19_Расчет_аналитики'!Y4696),0)</f>
        <v/>
      </c>
      <c r="Z4697">
        <f>IF('01_Вводные'!$B$234="Да",SUM('08_ФОТ'!Z7:Z9,'19_Расчет_аналитики'!Z4696),0)</f>
        <v/>
      </c>
      <c r="AA4697">
        <f>IF('01_Вводные'!$B$234="Да",SUM('08_ФОТ'!AA7:AA9,'19_Расчет_аналитики'!AA4696),0)</f>
        <v/>
      </c>
      <c r="AB4697">
        <f>IF('01_Вводные'!$B$234="Да",SUM('08_ФОТ'!AB7:AB9,'19_Расчет_аналитики'!AB4696),0)</f>
        <v/>
      </c>
      <c r="AC4697">
        <f>IF('01_Вводные'!$B$234="Да",SUM('08_ФОТ'!AC7:AC9,'19_Расчет_аналитики'!AC4696),0)</f>
        <v/>
      </c>
      <c r="AD4697">
        <f>IF('01_Вводные'!$B$234="Да",SUM('08_ФОТ'!AD7:AD9,'19_Расчет_аналитики'!AD4696),0)</f>
        <v/>
      </c>
      <c r="AE4697">
        <f>IF('01_Вводные'!$B$234="Да",SUM('08_ФОТ'!AE7:AE9,'19_Расчет_аналитики'!AE4696),0)</f>
        <v/>
      </c>
      <c r="AF4697">
        <f>IF('01_Вводные'!$B$234="Да",SUM('08_ФОТ'!AF7:AF9,'19_Расчет_аналитики'!AF4696),0)</f>
        <v/>
      </c>
      <c r="AG4697">
        <f>IF('01_Вводные'!$B$234="Да",SUM('08_ФОТ'!AG7:AG9,'19_Расчет_аналитики'!AG4696),0)</f>
        <v/>
      </c>
      <c r="AH4697">
        <f>IF('01_Вводные'!$B$234="Да",SUM('08_ФОТ'!AH7:AH9,'19_Расчет_аналитики'!AH4696),0)</f>
        <v/>
      </c>
      <c r="AI4697">
        <f>IF('01_Вводные'!$B$234="Да",SUM('08_ФОТ'!AI7:AI9,'19_Расчет_аналитики'!AI4696),0)</f>
        <v/>
      </c>
      <c r="AJ4697">
        <f>IF('01_Вводные'!$B$234="Да",SUM('08_ФОТ'!AJ7:AJ9,'19_Расчет_аналитики'!AJ4696),0)</f>
        <v/>
      </c>
      <c r="AK4697">
        <f>IF('01_Вводные'!$B$234="Да",SUM('08_ФОТ'!AK7:AK9,'19_Расчет_аналитики'!AK4696),0)</f>
        <v/>
      </c>
      <c r="AL4697">
        <f>IF('01_Вводные'!$B$234="Да",SUM('08_ФОТ'!AL7:AL9,'19_Расчет_аналитики'!AL4696),0)</f>
        <v/>
      </c>
      <c r="AM4697">
        <f>IF('01_Вводные'!$B$234="Да",SUM('08_ФОТ'!AM7:AM9,'19_Расчет_аналитики'!AM4696),0)</f>
        <v/>
      </c>
      <c r="AN4697">
        <f>IF('01_Вводные'!$B$234="Да",SUM('08_ФОТ'!AN7:AN9,'19_Расчет_аналитики'!AN4696),0)</f>
        <v/>
      </c>
      <c r="AO4697">
        <f>IF('01_Вводные'!$B$234="Да",SUM('08_ФОТ'!AO7:AO9,'19_Расчет_аналитики'!AO4696),0)</f>
        <v/>
      </c>
      <c r="AP4697">
        <f>IF('01_Вводные'!$B$234="Да",SUM('08_ФОТ'!AP7:AP9,'19_Расчет_аналитики'!AP4696),0)</f>
        <v/>
      </c>
      <c r="AQ4697">
        <f>IF('01_Вводные'!$B$234="Да",SUM('08_ФОТ'!AQ7:AQ9,'19_Расчет_аналитики'!AQ4696),0)</f>
        <v/>
      </c>
      <c r="AR4697">
        <f>IF('01_Вводные'!$B$234="Да",SUM('08_ФОТ'!AR7:AR9,'19_Расчет_аналитики'!AR4696),0)</f>
        <v/>
      </c>
      <c r="AS4697">
        <f>IF('01_Вводные'!$B$234="Да",SUM('08_ФОТ'!AS7:AS9,'19_Расчет_аналитики'!AS4696),0)</f>
        <v/>
      </c>
      <c r="AT4697">
        <f>IF('01_Вводные'!$B$234="Да",SUM('08_ФОТ'!AT7:AT9,'19_Расчет_аналитики'!AT4696),0)</f>
        <v/>
      </c>
      <c r="AU4697">
        <f>IF('01_Вводные'!$B$234="Да",SUM('08_ФОТ'!AU7:AU9,'19_Расчет_аналитики'!AU4696),0)</f>
        <v/>
      </c>
      <c r="AV4697">
        <f>IF('01_Вводные'!$B$234="Да",SUM('08_ФОТ'!AV7:AV9,'19_Расчет_аналитики'!AV4696),0)</f>
        <v/>
      </c>
      <c r="AW4697">
        <f>IF('01_Вводные'!$B$234="Да",SUM('08_ФОТ'!AW7:AW9,'19_Расчет_аналитики'!AW4696),0)</f>
        <v/>
      </c>
      <c r="AX4697">
        <f>IF('01_Вводные'!$B$234="Да",SUM('08_ФОТ'!AX7:AX9,'19_Расчет_аналитики'!AX4696),0)</f>
        <v/>
      </c>
      <c r="AY4697">
        <f>IF('01_Вводные'!$B$234="Да",SUM('08_ФОТ'!AY7:AY9,'19_Расчет_аналитики'!AY4696),0)</f>
        <v/>
      </c>
      <c r="AZ4697">
        <f>IF('01_Вводные'!$B$234="Да",SUM('08_ФОТ'!AZ7:AZ9,'19_Расчет_аналитики'!AZ4696),0)</f>
        <v/>
      </c>
      <c r="BA4697">
        <f>IF('01_Вводные'!$B$234="Да",SUM('08_ФОТ'!BA7:BA9,'19_Расчет_аналитики'!BA4696),0)</f>
        <v/>
      </c>
      <c r="BB4697">
        <f>IF('01_Вводные'!$B$234="Да",SUM('08_ФОТ'!BB7:BB9,'19_Расчет_аналитики'!BB4696),0)</f>
        <v/>
      </c>
      <c r="BC4697">
        <f>IF('01_Вводные'!$B$234="Да",SUM('08_ФОТ'!BC7:BC9,'19_Расчет_аналитики'!BC4696),0)</f>
        <v/>
      </c>
      <c r="BD4697">
        <f>IF('01_Вводные'!$B$234="Да",SUM('08_ФОТ'!BD7:BD9,'19_Расчет_аналитики'!BD4696),0)</f>
        <v/>
      </c>
      <c r="BE4697">
        <f>IF('01_Вводные'!$B$234="Да",SUM('08_ФОТ'!BE7:BE9,'19_Расчет_аналитики'!BE4696),0)</f>
        <v/>
      </c>
      <c r="BF4697">
        <f>IF('01_Вводные'!$B$234="Да",SUM('08_ФОТ'!BF7:BF9,'19_Расчет_аналитики'!BF4696),0)</f>
        <v/>
      </c>
      <c r="BG4697">
        <f>IF('01_Вводные'!$B$234="Да",SUM('08_ФОТ'!BG7:BG9,'19_Расчет_аналитики'!BG4696),0)</f>
        <v/>
      </c>
      <c r="BH4697">
        <f>IF('01_Вводные'!$B$234="Да",SUM('08_ФОТ'!BH7:BH9,'19_Расчет_аналитики'!BH4696),0)</f>
        <v/>
      </c>
      <c r="BI4697">
        <f>IF('01_Вводные'!$B$234="Да",SUM('08_ФОТ'!BI7:BI9,'19_Расчет_аналитики'!BI4696),0)</f>
        <v/>
      </c>
    </row>
    <row r="4698">
      <c r="C4698">
        <f>IF('01_Вводные'!$B$234="Да",'19_Расчет_аналитики'!C4697*'01_Вводные'!$B$131,0)</f>
        <v/>
      </c>
      <c r="D4698">
        <f>IF('01_Вводные'!$B$234="Да",'19_Расчет_аналитики'!D4697*'01_Вводные'!$B$131,0)</f>
        <v/>
      </c>
      <c r="E4698">
        <f>IF('01_Вводные'!$B$234="Да",'19_Расчет_аналитики'!E4697*'01_Вводные'!$B$131,0)</f>
        <v/>
      </c>
      <c r="F4698">
        <f>IF('01_Вводные'!$B$234="Да",'19_Расчет_аналитики'!F4697*'01_Вводные'!$B$131,0)</f>
        <v/>
      </c>
      <c r="G4698">
        <f>IF('01_Вводные'!$B$234="Да",'19_Расчет_аналитики'!G4697*'01_Вводные'!$B$131,0)</f>
        <v/>
      </c>
      <c r="H4698">
        <f>IF('01_Вводные'!$B$234="Да",'19_Расчет_аналитики'!H4697*'01_Вводные'!$B$131,0)</f>
        <v/>
      </c>
      <c r="I4698">
        <f>IF('01_Вводные'!$B$234="Да",'19_Расчет_аналитики'!I4697*'01_Вводные'!$B$131,0)</f>
        <v/>
      </c>
      <c r="J4698">
        <f>IF('01_Вводные'!$B$234="Да",'19_Расчет_аналитики'!J4697*'01_Вводные'!$B$131,0)</f>
        <v/>
      </c>
      <c r="K4698">
        <f>IF('01_Вводные'!$B$234="Да",'19_Расчет_аналитики'!K4697*'01_Вводные'!$B$131,0)</f>
        <v/>
      </c>
      <c r="L4698">
        <f>IF('01_Вводные'!$B$234="Да",'19_Расчет_аналитики'!L4697*'01_Вводные'!$B$131,0)</f>
        <v/>
      </c>
      <c r="M4698">
        <f>IF('01_Вводные'!$B$234="Да",'19_Расчет_аналитики'!M4697*'01_Вводные'!$B$131,0)</f>
        <v/>
      </c>
      <c r="N4698">
        <f>IF('01_Вводные'!$B$234="Да",'19_Расчет_аналитики'!N4697*'01_Вводные'!$B$131,0)</f>
        <v/>
      </c>
      <c r="O4698">
        <f>IF('01_Вводные'!$B$234="Да",'19_Расчет_аналитики'!O4697*'01_Вводные'!$B$131,0)</f>
        <v/>
      </c>
      <c r="P4698">
        <f>IF('01_Вводные'!$B$234="Да",'19_Расчет_аналитики'!P4697*'01_Вводные'!$B$131,0)</f>
        <v/>
      </c>
      <c r="Q4698">
        <f>IF('01_Вводные'!$B$234="Да",'19_Расчет_аналитики'!Q4697*'01_Вводные'!$B$131,0)</f>
        <v/>
      </c>
      <c r="R4698">
        <f>IF('01_Вводные'!$B$234="Да",'19_Расчет_аналитики'!R4697*'01_Вводные'!$B$131,0)</f>
        <v/>
      </c>
      <c r="S4698">
        <f>IF('01_Вводные'!$B$234="Да",'19_Расчет_аналитики'!S4697*'01_Вводные'!$B$131,0)</f>
        <v/>
      </c>
      <c r="T4698">
        <f>IF('01_Вводные'!$B$234="Да",'19_Расчет_аналитики'!T4697*'01_Вводные'!$B$131,0)</f>
        <v/>
      </c>
      <c r="U4698">
        <f>IF('01_Вводные'!$B$234="Да",'19_Расчет_аналитики'!U4697*'01_Вводные'!$B$131,0)</f>
        <v/>
      </c>
      <c r="V4698">
        <f>IF('01_Вводные'!$B$234="Да",'19_Расчет_аналитики'!V4697*'01_Вводные'!$B$131,0)</f>
        <v/>
      </c>
      <c r="W4698">
        <f>IF('01_Вводные'!$B$234="Да",'19_Расчет_аналитики'!W4697*'01_Вводные'!$B$131,0)</f>
        <v/>
      </c>
      <c r="X4698">
        <f>IF('01_Вводные'!$B$234="Да",'19_Расчет_аналитики'!X4697*'01_Вводные'!$B$131,0)</f>
        <v/>
      </c>
      <c r="Y4698">
        <f>IF('01_Вводные'!$B$234="Да",'19_Расчет_аналитики'!Y4697*'01_Вводные'!$B$131,0)</f>
        <v/>
      </c>
      <c r="Z4698">
        <f>IF('01_Вводные'!$B$234="Да",'19_Расчет_аналитики'!Z4697*'01_Вводные'!$B$131,0)</f>
        <v/>
      </c>
      <c r="AA4698">
        <f>IF('01_Вводные'!$B$234="Да",'19_Расчет_аналитики'!AA4697*'01_Вводные'!$B$131,0)</f>
        <v/>
      </c>
      <c r="AB4698">
        <f>IF('01_Вводные'!$B$234="Да",'19_Расчет_аналитики'!AB4697*'01_Вводные'!$B$131,0)</f>
        <v/>
      </c>
      <c r="AC4698">
        <f>IF('01_Вводные'!$B$234="Да",'19_Расчет_аналитики'!AC4697*'01_Вводные'!$B$131,0)</f>
        <v/>
      </c>
      <c r="AD4698">
        <f>IF('01_Вводные'!$B$234="Да",'19_Расчет_аналитики'!AD4697*'01_Вводные'!$B$131,0)</f>
        <v/>
      </c>
      <c r="AE4698">
        <f>IF('01_Вводные'!$B$234="Да",'19_Расчет_аналитики'!AE4697*'01_Вводные'!$B$131,0)</f>
        <v/>
      </c>
      <c r="AF4698">
        <f>IF('01_Вводные'!$B$234="Да",'19_Расчет_аналитики'!AF4697*'01_Вводные'!$B$131,0)</f>
        <v/>
      </c>
      <c r="AG4698">
        <f>IF('01_Вводные'!$B$234="Да",'19_Расчет_аналитики'!AG4697*'01_Вводные'!$B$131,0)</f>
        <v/>
      </c>
      <c r="AH4698">
        <f>IF('01_Вводные'!$B$234="Да",'19_Расчет_аналитики'!AH4697*'01_Вводные'!$B$131,0)</f>
        <v/>
      </c>
      <c r="AI4698">
        <f>IF('01_Вводные'!$B$234="Да",'19_Расчет_аналитики'!AI4697*'01_Вводные'!$B$131,0)</f>
        <v/>
      </c>
      <c r="AJ4698">
        <f>IF('01_Вводные'!$B$234="Да",'19_Расчет_аналитики'!AJ4697*'01_Вводные'!$B$131,0)</f>
        <v/>
      </c>
      <c r="AK4698">
        <f>IF('01_Вводные'!$B$234="Да",'19_Расчет_аналитики'!AK4697*'01_Вводные'!$B$131,0)</f>
        <v/>
      </c>
      <c r="AL4698">
        <f>IF('01_Вводные'!$B$234="Да",'19_Расчет_аналитики'!AL4697*'01_Вводные'!$B$131,0)</f>
        <v/>
      </c>
      <c r="AM4698">
        <f>IF('01_Вводные'!$B$234="Да",'19_Расчет_аналитики'!AM4697*'01_Вводные'!$B$131,0)</f>
        <v/>
      </c>
      <c r="AN4698">
        <f>IF('01_Вводные'!$B$234="Да",'19_Расчет_аналитики'!AN4697*'01_Вводные'!$B$131,0)</f>
        <v/>
      </c>
      <c r="AO4698">
        <f>IF('01_Вводные'!$B$234="Да",'19_Расчет_аналитики'!AO4697*'01_Вводные'!$B$131,0)</f>
        <v/>
      </c>
      <c r="AP4698">
        <f>IF('01_Вводные'!$B$234="Да",'19_Расчет_аналитики'!AP4697*'01_Вводные'!$B$131,0)</f>
        <v/>
      </c>
      <c r="AQ4698">
        <f>IF('01_Вводные'!$B$234="Да",'19_Расчет_аналитики'!AQ4697*'01_Вводные'!$B$131,0)</f>
        <v/>
      </c>
      <c r="AR4698">
        <f>IF('01_Вводные'!$B$234="Да",'19_Расчет_аналитики'!AR4697*'01_Вводные'!$B$131,0)</f>
        <v/>
      </c>
      <c r="AS4698">
        <f>IF('01_Вводные'!$B$234="Да",'19_Расчет_аналитики'!AS4697*'01_Вводные'!$B$131,0)</f>
        <v/>
      </c>
      <c r="AT4698">
        <f>IF('01_Вводные'!$B$234="Да",'19_Расчет_аналитики'!AT4697*'01_Вводные'!$B$131,0)</f>
        <v/>
      </c>
      <c r="AU4698">
        <f>IF('01_Вводные'!$B$234="Да",'19_Расчет_аналитики'!AU4697*'01_Вводные'!$B$131,0)</f>
        <v/>
      </c>
      <c r="AV4698">
        <f>IF('01_Вводные'!$B$234="Да",'19_Расчет_аналитики'!AV4697*'01_Вводные'!$B$131,0)</f>
        <v/>
      </c>
      <c r="AW4698">
        <f>IF('01_Вводные'!$B$234="Да",'19_Расчет_аналитики'!AW4697*'01_Вводные'!$B$131,0)</f>
        <v/>
      </c>
      <c r="AX4698">
        <f>IF('01_Вводные'!$B$234="Да",'19_Расчет_аналитики'!AX4697*'01_Вводные'!$B$131,0)</f>
        <v/>
      </c>
      <c r="AY4698">
        <f>IF('01_Вводные'!$B$234="Да",'19_Расчет_аналитики'!AY4697*'01_Вводные'!$B$131,0)</f>
        <v/>
      </c>
      <c r="AZ4698">
        <f>IF('01_Вводные'!$B$234="Да",'19_Расчет_аналитики'!AZ4697*'01_Вводные'!$B$131,0)</f>
        <v/>
      </c>
      <c r="BA4698">
        <f>IF('01_Вводные'!$B$234="Да",'19_Расчет_аналитики'!BA4697*'01_Вводные'!$B$131,0)</f>
        <v/>
      </c>
      <c r="BB4698">
        <f>IF('01_Вводные'!$B$234="Да",'19_Расчет_аналитики'!BB4697*'01_Вводные'!$B$131,0)</f>
        <v/>
      </c>
      <c r="BC4698">
        <f>IF('01_Вводные'!$B$234="Да",'19_Расчет_аналитики'!BC4697*'01_Вводные'!$B$131,0)</f>
        <v/>
      </c>
      <c r="BD4698">
        <f>IF('01_Вводные'!$B$234="Да",'19_Расчет_аналитики'!BD4697*'01_Вводные'!$B$131,0)</f>
        <v/>
      </c>
      <c r="BE4698">
        <f>IF('01_Вводные'!$B$234="Да",'19_Расчет_аналитики'!BE4697*'01_Вводные'!$B$131,0)</f>
        <v/>
      </c>
      <c r="BF4698">
        <f>IF('01_Вводные'!$B$234="Да",'19_Расчет_аналитики'!BF4697*'01_Вводные'!$B$131,0)</f>
        <v/>
      </c>
      <c r="BG4698">
        <f>IF('01_Вводные'!$B$234="Да",'19_Расчет_аналитики'!BG4697*'01_Вводные'!$B$131,0)</f>
        <v/>
      </c>
      <c r="BH4698">
        <f>IF('01_Вводные'!$B$234="Да",'19_Расчет_аналитики'!BH4697*'01_Вводные'!$B$131,0)</f>
        <v/>
      </c>
      <c r="BI4698">
        <f>IF('01_Вводные'!$B$234="Да",'19_Расчет_аналитики'!BI4697*'01_Вводные'!$B$131,0)</f>
        <v/>
      </c>
    </row>
    <row r="4699"/>
    <row r="4700">
      <c r="C4700">
        <f>IF('01_Вводные'!$B$234="Да",('01_Вводные'!$B$118+'19_Расчет_аналитики'!C4695+1)*IF('08_ФОТ'!C$3&lt;'01_Вводные'!$B$250,'01_Вводные'!$B$123,'01_Вводные'!$B$124)/'01_Вводные'!$B$132,0)</f>
        <v/>
      </c>
      <c r="D4700">
        <f>IF('01_Вводные'!$B$234="Да",('01_Вводные'!$B$118+'19_Расчет_аналитики'!D4695+1)*IF('08_ФОТ'!D$3&lt;'01_Вводные'!$B$250,'01_Вводные'!$B$123,'01_Вводные'!$B$124)/'01_Вводные'!$B$132,0)</f>
        <v/>
      </c>
      <c r="E4700">
        <f>IF('01_Вводные'!$B$234="Да",('01_Вводные'!$B$118+'19_Расчет_аналитики'!E4695+1)*IF('08_ФОТ'!E$3&lt;'01_Вводные'!$B$250,'01_Вводные'!$B$123,'01_Вводные'!$B$124)/'01_Вводные'!$B$132,0)</f>
        <v/>
      </c>
      <c r="F4700">
        <f>IF('01_Вводные'!$B$234="Да",('01_Вводные'!$B$118+'19_Расчет_аналитики'!F4695+1)*IF('08_ФОТ'!F$3&lt;'01_Вводные'!$B$250,'01_Вводные'!$B$123,'01_Вводные'!$B$124)/'01_Вводные'!$B$132,0)</f>
        <v/>
      </c>
      <c r="G4700">
        <f>IF('01_Вводные'!$B$234="Да",('01_Вводные'!$B$118+'19_Расчет_аналитики'!G4695+1)*IF('08_ФОТ'!G$3&lt;'01_Вводные'!$B$250,'01_Вводные'!$B$123,'01_Вводные'!$B$124)/'01_Вводные'!$B$132,0)</f>
        <v/>
      </c>
      <c r="H4700">
        <f>IF('01_Вводные'!$B$234="Да",('01_Вводные'!$B$118+'19_Расчет_аналитики'!H4695+1)*IF('08_ФОТ'!H$3&lt;'01_Вводные'!$B$250,'01_Вводные'!$B$123,'01_Вводные'!$B$124)/'01_Вводные'!$B$132,0)</f>
        <v/>
      </c>
      <c r="I4700">
        <f>IF('01_Вводные'!$B$234="Да",('01_Вводные'!$B$118+'19_Расчет_аналитики'!I4695+1)*IF('08_ФОТ'!I$3&lt;'01_Вводные'!$B$250,'01_Вводные'!$B$123,'01_Вводные'!$B$124)/'01_Вводные'!$B$132,0)</f>
        <v/>
      </c>
      <c r="J4700">
        <f>IF('01_Вводные'!$B$234="Да",('01_Вводные'!$B$118+'19_Расчет_аналитики'!J4695+1)*IF('08_ФОТ'!J$3&lt;'01_Вводные'!$B$250,'01_Вводные'!$B$123,'01_Вводные'!$B$124)/'01_Вводные'!$B$132,0)</f>
        <v/>
      </c>
      <c r="K4700">
        <f>IF('01_Вводные'!$B$234="Да",('01_Вводные'!$B$118+'19_Расчет_аналитики'!K4695+1)*IF('08_ФОТ'!K$3&lt;'01_Вводные'!$B$250,'01_Вводные'!$B$123,'01_Вводные'!$B$124)/'01_Вводные'!$B$132,0)</f>
        <v/>
      </c>
      <c r="L4700">
        <f>IF('01_Вводные'!$B$234="Да",('01_Вводные'!$B$118+'19_Расчет_аналитики'!L4695+1)*IF('08_ФОТ'!L$3&lt;'01_Вводные'!$B$250,'01_Вводные'!$B$123,'01_Вводные'!$B$124)/'01_Вводные'!$B$132,0)</f>
        <v/>
      </c>
      <c r="M4700">
        <f>IF('01_Вводные'!$B$234="Да",('01_Вводные'!$B$118+'19_Расчет_аналитики'!M4695+1)*IF('08_ФОТ'!M$3&lt;'01_Вводные'!$B$250,'01_Вводные'!$B$123,'01_Вводные'!$B$124)/'01_Вводные'!$B$132,0)</f>
        <v/>
      </c>
      <c r="N4700">
        <f>IF('01_Вводные'!$B$234="Да",('01_Вводные'!$B$118+'19_Расчет_аналитики'!N4695+1)*IF('08_ФОТ'!N$3&lt;'01_Вводные'!$B$250,'01_Вводные'!$B$123,'01_Вводные'!$B$124)/'01_Вводные'!$B$132,0)</f>
        <v/>
      </c>
      <c r="O4700">
        <f>IF('01_Вводные'!$B$234="Да",('01_Вводные'!$B$118+'19_Расчет_аналитики'!O4695+1)*IF('08_ФОТ'!O$3&lt;'01_Вводные'!$B$250,'01_Вводные'!$B$123,'01_Вводные'!$B$124)/'01_Вводные'!$B$132,0)</f>
        <v/>
      </c>
      <c r="P4700">
        <f>IF('01_Вводные'!$B$234="Да",('01_Вводные'!$B$118+'19_Расчет_аналитики'!P4695+1)*IF('08_ФОТ'!P$3&lt;'01_Вводные'!$B$250,'01_Вводные'!$B$123,'01_Вводные'!$B$124)/'01_Вводные'!$B$132,0)</f>
        <v/>
      </c>
      <c r="Q4700">
        <f>IF('01_Вводные'!$B$234="Да",('01_Вводные'!$B$118+'19_Расчет_аналитики'!Q4695+1)*IF('08_ФОТ'!Q$3&lt;'01_Вводные'!$B$250,'01_Вводные'!$B$123,'01_Вводные'!$B$124)/'01_Вводные'!$B$132,0)</f>
        <v/>
      </c>
      <c r="R4700">
        <f>IF('01_Вводные'!$B$234="Да",('01_Вводные'!$B$118+'19_Расчет_аналитики'!R4695+1)*IF('08_ФОТ'!R$3&lt;'01_Вводные'!$B$250,'01_Вводные'!$B$123,'01_Вводные'!$B$124)/'01_Вводные'!$B$132,0)</f>
        <v/>
      </c>
      <c r="S4700">
        <f>IF('01_Вводные'!$B$234="Да",('01_Вводные'!$B$118+'19_Расчет_аналитики'!S4695+1)*IF('08_ФОТ'!S$3&lt;'01_Вводные'!$B$250,'01_Вводные'!$B$123,'01_Вводные'!$B$124)/'01_Вводные'!$B$132,0)</f>
        <v/>
      </c>
      <c r="T4700">
        <f>IF('01_Вводные'!$B$234="Да",('01_Вводные'!$B$118+'19_Расчет_аналитики'!T4695+1)*IF('08_ФОТ'!T$3&lt;'01_Вводные'!$B$250,'01_Вводные'!$B$123,'01_Вводные'!$B$124)/'01_Вводные'!$B$132,0)</f>
        <v/>
      </c>
      <c r="U4700">
        <f>IF('01_Вводные'!$B$234="Да",('01_Вводные'!$B$118+'19_Расчет_аналитики'!U4695+1)*IF('08_ФОТ'!U$3&lt;'01_Вводные'!$B$250,'01_Вводные'!$B$123,'01_Вводные'!$B$124)/'01_Вводные'!$B$132,0)</f>
        <v/>
      </c>
      <c r="V4700">
        <f>IF('01_Вводные'!$B$234="Да",('01_Вводные'!$B$118+'19_Расчет_аналитики'!V4695+1)*IF('08_ФОТ'!V$3&lt;'01_Вводные'!$B$250,'01_Вводные'!$B$123,'01_Вводные'!$B$124)/'01_Вводные'!$B$132,0)</f>
        <v/>
      </c>
      <c r="W4700">
        <f>IF('01_Вводные'!$B$234="Да",('01_Вводные'!$B$118+'19_Расчет_аналитики'!W4695+1)*IF('08_ФОТ'!W$3&lt;'01_Вводные'!$B$250,'01_Вводные'!$B$123,'01_Вводные'!$B$124)/'01_Вводные'!$B$132,0)</f>
        <v/>
      </c>
      <c r="X4700">
        <f>IF('01_Вводные'!$B$234="Да",('01_Вводные'!$B$118+'19_Расчет_аналитики'!X4695+1)*IF('08_ФОТ'!X$3&lt;'01_Вводные'!$B$250,'01_Вводные'!$B$123,'01_Вводные'!$B$124)/'01_Вводные'!$B$132,0)</f>
        <v/>
      </c>
      <c r="Y4700">
        <f>IF('01_Вводные'!$B$234="Да",('01_Вводные'!$B$118+'19_Расчет_аналитики'!Y4695+1)*IF('08_ФОТ'!Y$3&lt;'01_Вводные'!$B$250,'01_Вводные'!$B$123,'01_Вводные'!$B$124)/'01_Вводные'!$B$132,0)</f>
        <v/>
      </c>
      <c r="Z4700">
        <f>IF('01_Вводные'!$B$234="Да",('01_Вводные'!$B$118+'19_Расчет_аналитики'!Z4695+1)*IF('08_ФОТ'!Z$3&lt;'01_Вводные'!$B$250,'01_Вводные'!$B$123,'01_Вводные'!$B$124)/'01_Вводные'!$B$132,0)</f>
        <v/>
      </c>
      <c r="AA4700">
        <f>IF('01_Вводные'!$B$234="Да",('01_Вводные'!$B$118+'19_Расчет_аналитики'!AA4695+1)*IF('08_ФОТ'!AA$3&lt;'01_Вводные'!$B$250,'01_Вводные'!$B$123,'01_Вводные'!$B$124)/'01_Вводные'!$B$132,0)</f>
        <v/>
      </c>
      <c r="AB4700">
        <f>IF('01_Вводные'!$B$234="Да",('01_Вводные'!$B$118+'19_Расчет_аналитики'!AB4695+1)*IF('08_ФОТ'!AB$3&lt;'01_Вводные'!$B$250,'01_Вводные'!$B$123,'01_Вводные'!$B$124)/'01_Вводные'!$B$132,0)</f>
        <v/>
      </c>
      <c r="AC4700">
        <f>IF('01_Вводные'!$B$234="Да",('01_Вводные'!$B$118+'19_Расчет_аналитики'!AC4695+1)*IF('08_ФОТ'!AC$3&lt;'01_Вводные'!$B$250,'01_Вводные'!$B$123,'01_Вводные'!$B$124)/'01_Вводные'!$B$132,0)</f>
        <v/>
      </c>
      <c r="AD4700">
        <f>IF('01_Вводные'!$B$234="Да",('01_Вводные'!$B$118+'19_Расчет_аналитики'!AD4695+1)*IF('08_ФОТ'!AD$3&lt;'01_Вводные'!$B$250,'01_Вводные'!$B$123,'01_Вводные'!$B$124)/'01_Вводные'!$B$132,0)</f>
        <v/>
      </c>
      <c r="AE4700">
        <f>IF('01_Вводные'!$B$234="Да",('01_Вводные'!$B$118+'19_Расчет_аналитики'!AE4695+1)*IF('08_ФОТ'!AE$3&lt;'01_Вводные'!$B$250,'01_Вводные'!$B$123,'01_Вводные'!$B$124)/'01_Вводные'!$B$132,0)</f>
        <v/>
      </c>
      <c r="AF4700">
        <f>IF('01_Вводные'!$B$234="Да",('01_Вводные'!$B$118+'19_Расчет_аналитики'!AF4695+1)*IF('08_ФОТ'!AF$3&lt;'01_Вводные'!$B$250,'01_Вводные'!$B$123,'01_Вводные'!$B$124)/'01_Вводные'!$B$132,0)</f>
        <v/>
      </c>
      <c r="AG4700">
        <f>IF('01_Вводные'!$B$234="Да",('01_Вводные'!$B$118+'19_Расчет_аналитики'!AG4695+1)*IF('08_ФОТ'!AG$3&lt;'01_Вводные'!$B$250,'01_Вводные'!$B$123,'01_Вводные'!$B$124)/'01_Вводные'!$B$132,0)</f>
        <v/>
      </c>
      <c r="AH4700">
        <f>IF('01_Вводные'!$B$234="Да",('01_Вводные'!$B$118+'19_Расчет_аналитики'!AH4695+1)*IF('08_ФОТ'!AH$3&lt;'01_Вводные'!$B$250,'01_Вводные'!$B$123,'01_Вводные'!$B$124)/'01_Вводные'!$B$132,0)</f>
        <v/>
      </c>
      <c r="AI4700">
        <f>IF('01_Вводные'!$B$234="Да",('01_Вводные'!$B$118+'19_Расчет_аналитики'!AI4695+1)*IF('08_ФОТ'!AI$3&lt;'01_Вводные'!$B$250,'01_Вводные'!$B$123,'01_Вводные'!$B$124)/'01_Вводные'!$B$132,0)</f>
        <v/>
      </c>
      <c r="AJ4700">
        <f>IF('01_Вводные'!$B$234="Да",('01_Вводные'!$B$118+'19_Расчет_аналитики'!AJ4695+1)*IF('08_ФОТ'!AJ$3&lt;'01_Вводные'!$B$250,'01_Вводные'!$B$123,'01_Вводные'!$B$124)/'01_Вводные'!$B$132,0)</f>
        <v/>
      </c>
      <c r="AK4700">
        <f>IF('01_Вводные'!$B$234="Да",('01_Вводные'!$B$118+'19_Расчет_аналитики'!AK4695+1)*IF('08_ФОТ'!AK$3&lt;'01_Вводные'!$B$250,'01_Вводные'!$B$123,'01_Вводные'!$B$124)/'01_Вводные'!$B$132,0)</f>
        <v/>
      </c>
      <c r="AL4700">
        <f>IF('01_Вводные'!$B$234="Да",('01_Вводные'!$B$118+'19_Расчет_аналитики'!AL4695+1)*IF('08_ФОТ'!AL$3&lt;'01_Вводные'!$B$250,'01_Вводные'!$B$123,'01_Вводные'!$B$124)/'01_Вводные'!$B$132,0)</f>
        <v/>
      </c>
      <c r="AM4700">
        <f>IF('01_Вводные'!$B$234="Да",('01_Вводные'!$B$118+'19_Расчет_аналитики'!AM4695+1)*IF('08_ФОТ'!AM$3&lt;'01_Вводные'!$B$250,'01_Вводные'!$B$123,'01_Вводные'!$B$124)/'01_Вводные'!$B$132,0)</f>
        <v/>
      </c>
      <c r="AN4700">
        <f>IF('01_Вводные'!$B$234="Да",('01_Вводные'!$B$118+'19_Расчет_аналитики'!AN4695+1)*IF('08_ФОТ'!AN$3&lt;'01_Вводные'!$B$250,'01_Вводные'!$B$123,'01_Вводные'!$B$124)/'01_Вводные'!$B$132,0)</f>
        <v/>
      </c>
      <c r="AO4700">
        <f>IF('01_Вводные'!$B$234="Да",('01_Вводные'!$B$118+'19_Расчет_аналитики'!AO4695+1)*IF('08_ФОТ'!AO$3&lt;'01_Вводные'!$B$250,'01_Вводные'!$B$123,'01_Вводные'!$B$124)/'01_Вводные'!$B$132,0)</f>
        <v/>
      </c>
      <c r="AP4700">
        <f>IF('01_Вводные'!$B$234="Да",('01_Вводные'!$B$118+'19_Расчет_аналитики'!AP4695+1)*IF('08_ФОТ'!AP$3&lt;'01_Вводные'!$B$250,'01_Вводные'!$B$123,'01_Вводные'!$B$124)/'01_Вводные'!$B$132,0)</f>
        <v/>
      </c>
      <c r="AQ4700">
        <f>IF('01_Вводные'!$B$234="Да",('01_Вводные'!$B$118+'19_Расчет_аналитики'!AQ4695+1)*IF('08_ФОТ'!AQ$3&lt;'01_Вводные'!$B$250,'01_Вводные'!$B$123,'01_Вводные'!$B$124)/'01_Вводные'!$B$132,0)</f>
        <v/>
      </c>
      <c r="AR4700">
        <f>IF('01_Вводные'!$B$234="Да",('01_Вводные'!$B$118+'19_Расчет_аналитики'!AR4695+1)*IF('08_ФОТ'!AR$3&lt;'01_Вводные'!$B$250,'01_Вводные'!$B$123,'01_Вводные'!$B$124)/'01_Вводные'!$B$132,0)</f>
        <v/>
      </c>
      <c r="AS4700">
        <f>IF('01_Вводные'!$B$234="Да",('01_Вводные'!$B$118+'19_Расчет_аналитики'!AS4695+1)*IF('08_ФОТ'!AS$3&lt;'01_Вводные'!$B$250,'01_Вводные'!$B$123,'01_Вводные'!$B$124)/'01_Вводные'!$B$132,0)</f>
        <v/>
      </c>
      <c r="AT4700">
        <f>IF('01_Вводные'!$B$234="Да",('01_Вводные'!$B$118+'19_Расчет_аналитики'!AT4695+1)*IF('08_ФОТ'!AT$3&lt;'01_Вводные'!$B$250,'01_Вводные'!$B$123,'01_Вводные'!$B$124)/'01_Вводные'!$B$132,0)</f>
        <v/>
      </c>
      <c r="AU4700">
        <f>IF('01_Вводные'!$B$234="Да",('01_Вводные'!$B$118+'19_Расчет_аналитики'!AU4695+1)*IF('08_ФОТ'!AU$3&lt;'01_Вводные'!$B$250,'01_Вводные'!$B$123,'01_Вводные'!$B$124)/'01_Вводные'!$B$132,0)</f>
        <v/>
      </c>
      <c r="AV4700">
        <f>IF('01_Вводные'!$B$234="Да",('01_Вводные'!$B$118+'19_Расчет_аналитики'!AV4695+1)*IF('08_ФОТ'!AV$3&lt;'01_Вводные'!$B$250,'01_Вводные'!$B$123,'01_Вводные'!$B$124)/'01_Вводные'!$B$132,0)</f>
        <v/>
      </c>
      <c r="AW4700">
        <f>IF('01_Вводные'!$B$234="Да",('01_Вводные'!$B$118+'19_Расчет_аналитики'!AW4695+1)*IF('08_ФОТ'!AW$3&lt;'01_Вводные'!$B$250,'01_Вводные'!$B$123,'01_Вводные'!$B$124)/'01_Вводные'!$B$132,0)</f>
        <v/>
      </c>
      <c r="AX4700">
        <f>IF('01_Вводные'!$B$234="Да",('01_Вводные'!$B$118+'19_Расчет_аналитики'!AX4695+1)*IF('08_ФОТ'!AX$3&lt;'01_Вводные'!$B$250,'01_Вводные'!$B$123,'01_Вводные'!$B$124)/'01_Вводные'!$B$132,0)</f>
        <v/>
      </c>
      <c r="AY4700">
        <f>IF('01_Вводные'!$B$234="Да",('01_Вводные'!$B$118+'19_Расчет_аналитики'!AY4695+1)*IF('08_ФОТ'!AY$3&lt;'01_Вводные'!$B$250,'01_Вводные'!$B$123,'01_Вводные'!$B$124)/'01_Вводные'!$B$132,0)</f>
        <v/>
      </c>
      <c r="AZ4700">
        <f>IF('01_Вводные'!$B$234="Да",('01_Вводные'!$B$118+'19_Расчет_аналитики'!AZ4695+1)*IF('08_ФОТ'!AZ$3&lt;'01_Вводные'!$B$250,'01_Вводные'!$B$123,'01_Вводные'!$B$124)/'01_Вводные'!$B$132,0)</f>
        <v/>
      </c>
      <c r="BA4700">
        <f>IF('01_Вводные'!$B$234="Да",('01_Вводные'!$B$118+'19_Расчет_аналитики'!BA4695+1)*IF('08_ФОТ'!BA$3&lt;'01_Вводные'!$B$250,'01_Вводные'!$B$123,'01_Вводные'!$B$124)/'01_Вводные'!$B$132,0)</f>
        <v/>
      </c>
      <c r="BB4700">
        <f>IF('01_Вводные'!$B$234="Да",('01_Вводные'!$B$118+'19_Расчет_аналитики'!BB4695+1)*IF('08_ФОТ'!BB$3&lt;'01_Вводные'!$B$250,'01_Вводные'!$B$123,'01_Вводные'!$B$124)/'01_Вводные'!$B$132,0)</f>
        <v/>
      </c>
      <c r="BC4700">
        <f>IF('01_Вводные'!$B$234="Да",('01_Вводные'!$B$118+'19_Расчет_аналитики'!BC4695+1)*IF('08_ФОТ'!BC$3&lt;'01_Вводные'!$B$250,'01_Вводные'!$B$123,'01_Вводные'!$B$124)/'01_Вводные'!$B$132,0)</f>
        <v/>
      </c>
      <c r="BD4700">
        <f>IF('01_Вводные'!$B$234="Да",('01_Вводные'!$B$118+'19_Расчет_аналитики'!BD4695+1)*IF('08_ФОТ'!BD$3&lt;'01_Вводные'!$B$250,'01_Вводные'!$B$123,'01_Вводные'!$B$124)/'01_Вводные'!$B$132,0)</f>
        <v/>
      </c>
      <c r="BE4700">
        <f>IF('01_Вводные'!$B$234="Да",('01_Вводные'!$B$118+'19_Расчет_аналитики'!BE4695+1)*IF('08_ФОТ'!BE$3&lt;'01_Вводные'!$B$250,'01_Вводные'!$B$123,'01_Вводные'!$B$124)/'01_Вводные'!$B$132,0)</f>
        <v/>
      </c>
      <c r="BF4700">
        <f>IF('01_Вводные'!$B$234="Да",('01_Вводные'!$B$118+'19_Расчет_аналитики'!BF4695+1)*IF('08_ФОТ'!BF$3&lt;'01_Вводные'!$B$250,'01_Вводные'!$B$123,'01_Вводные'!$B$124)/'01_Вводные'!$B$132,0)</f>
        <v/>
      </c>
      <c r="BG4700">
        <f>IF('01_Вводные'!$B$234="Да",('01_Вводные'!$B$118+'19_Расчет_аналитики'!BG4695+1)*IF('08_ФОТ'!BG$3&lt;'01_Вводные'!$B$250,'01_Вводные'!$B$123,'01_Вводные'!$B$124)/'01_Вводные'!$B$132,0)</f>
        <v/>
      </c>
      <c r="BH4700">
        <f>IF('01_Вводные'!$B$234="Да",('01_Вводные'!$B$118+'19_Расчет_аналитики'!BH4695+1)*IF('08_ФОТ'!BH$3&lt;'01_Вводные'!$B$250,'01_Вводные'!$B$123,'01_Вводные'!$B$124)/'01_Вводные'!$B$132,0)</f>
        <v/>
      </c>
      <c r="BI4700">
        <f>IF('01_Вводные'!$B$234="Да",('01_Вводные'!$B$118+'19_Расчет_аналитики'!BI4695+1)*IF('08_ФОТ'!BI$3&lt;'01_Вводные'!$B$250,'01_Вводные'!$B$123,'01_Вводные'!$B$124)/'01_Вводные'!$B$132,0)</f>
        <v/>
      </c>
    </row>
    <row r="4701">
      <c r="C4701">
        <f>IF('01_Вводные'!$B$234="Да",'19_Расчет_аналитики'!C4700*'01_Вводные'!$B$131,0)</f>
        <v/>
      </c>
      <c r="D4701">
        <f>IF('01_Вводные'!$B$234="Да",'19_Расчет_аналитики'!D4700*'01_Вводные'!$B$131,0)</f>
        <v/>
      </c>
      <c r="E4701">
        <f>IF('01_Вводные'!$B$234="Да",'19_Расчет_аналитики'!E4700*'01_Вводные'!$B$131,0)</f>
        <v/>
      </c>
      <c r="F4701">
        <f>IF('01_Вводные'!$B$234="Да",'19_Расчет_аналитики'!F4700*'01_Вводные'!$B$131,0)</f>
        <v/>
      </c>
      <c r="G4701">
        <f>IF('01_Вводные'!$B$234="Да",'19_Расчет_аналитики'!G4700*'01_Вводные'!$B$131,0)</f>
        <v/>
      </c>
      <c r="H4701">
        <f>IF('01_Вводные'!$B$234="Да",'19_Расчет_аналитики'!H4700*'01_Вводные'!$B$131,0)</f>
        <v/>
      </c>
      <c r="I4701">
        <f>IF('01_Вводные'!$B$234="Да",'19_Расчет_аналитики'!I4700*'01_Вводные'!$B$131,0)</f>
        <v/>
      </c>
      <c r="J4701">
        <f>IF('01_Вводные'!$B$234="Да",'19_Расчет_аналитики'!J4700*'01_Вводные'!$B$131,0)</f>
        <v/>
      </c>
      <c r="K4701">
        <f>IF('01_Вводные'!$B$234="Да",'19_Расчет_аналитики'!K4700*'01_Вводные'!$B$131,0)</f>
        <v/>
      </c>
      <c r="L4701">
        <f>IF('01_Вводные'!$B$234="Да",'19_Расчет_аналитики'!L4700*'01_Вводные'!$B$131,0)</f>
        <v/>
      </c>
      <c r="M4701">
        <f>IF('01_Вводные'!$B$234="Да",'19_Расчет_аналитики'!M4700*'01_Вводные'!$B$131,0)</f>
        <v/>
      </c>
      <c r="N4701">
        <f>IF('01_Вводные'!$B$234="Да",'19_Расчет_аналитики'!N4700*'01_Вводные'!$B$131,0)</f>
        <v/>
      </c>
      <c r="O4701">
        <f>IF('01_Вводные'!$B$234="Да",'19_Расчет_аналитики'!O4700*'01_Вводные'!$B$131,0)</f>
        <v/>
      </c>
      <c r="P4701">
        <f>IF('01_Вводные'!$B$234="Да",'19_Расчет_аналитики'!P4700*'01_Вводные'!$B$131,0)</f>
        <v/>
      </c>
      <c r="Q4701">
        <f>IF('01_Вводные'!$B$234="Да",'19_Расчет_аналитики'!Q4700*'01_Вводные'!$B$131,0)</f>
        <v/>
      </c>
      <c r="R4701">
        <f>IF('01_Вводные'!$B$234="Да",'19_Расчет_аналитики'!R4700*'01_Вводные'!$B$131,0)</f>
        <v/>
      </c>
      <c r="S4701">
        <f>IF('01_Вводные'!$B$234="Да",'19_Расчет_аналитики'!S4700*'01_Вводные'!$B$131,0)</f>
        <v/>
      </c>
      <c r="T4701">
        <f>IF('01_Вводные'!$B$234="Да",'19_Расчет_аналитики'!T4700*'01_Вводные'!$B$131,0)</f>
        <v/>
      </c>
      <c r="U4701">
        <f>IF('01_Вводные'!$B$234="Да",'19_Расчет_аналитики'!U4700*'01_Вводные'!$B$131,0)</f>
        <v/>
      </c>
      <c r="V4701">
        <f>IF('01_Вводные'!$B$234="Да",'19_Расчет_аналитики'!V4700*'01_Вводные'!$B$131,0)</f>
        <v/>
      </c>
      <c r="W4701">
        <f>IF('01_Вводные'!$B$234="Да",'19_Расчет_аналитики'!W4700*'01_Вводные'!$B$131,0)</f>
        <v/>
      </c>
      <c r="X4701">
        <f>IF('01_Вводные'!$B$234="Да",'19_Расчет_аналитики'!X4700*'01_Вводные'!$B$131,0)</f>
        <v/>
      </c>
      <c r="Y4701">
        <f>IF('01_Вводные'!$B$234="Да",'19_Расчет_аналитики'!Y4700*'01_Вводные'!$B$131,0)</f>
        <v/>
      </c>
      <c r="Z4701">
        <f>IF('01_Вводные'!$B$234="Да",'19_Расчет_аналитики'!Z4700*'01_Вводные'!$B$131,0)</f>
        <v/>
      </c>
      <c r="AA4701">
        <f>IF('01_Вводные'!$B$234="Да",'19_Расчет_аналитики'!AA4700*'01_Вводные'!$B$131,0)</f>
        <v/>
      </c>
      <c r="AB4701">
        <f>IF('01_Вводные'!$B$234="Да",'19_Расчет_аналитики'!AB4700*'01_Вводные'!$B$131,0)</f>
        <v/>
      </c>
      <c r="AC4701">
        <f>IF('01_Вводные'!$B$234="Да",'19_Расчет_аналитики'!AC4700*'01_Вводные'!$B$131,0)</f>
        <v/>
      </c>
      <c r="AD4701">
        <f>IF('01_Вводные'!$B$234="Да",'19_Расчет_аналитики'!AD4700*'01_Вводные'!$B$131,0)</f>
        <v/>
      </c>
      <c r="AE4701">
        <f>IF('01_Вводные'!$B$234="Да",'19_Расчет_аналитики'!AE4700*'01_Вводные'!$B$131,0)</f>
        <v/>
      </c>
      <c r="AF4701">
        <f>IF('01_Вводные'!$B$234="Да",'19_Расчет_аналитики'!AF4700*'01_Вводные'!$B$131,0)</f>
        <v/>
      </c>
      <c r="AG4701">
        <f>IF('01_Вводные'!$B$234="Да",'19_Расчет_аналитики'!AG4700*'01_Вводные'!$B$131,0)</f>
        <v/>
      </c>
      <c r="AH4701">
        <f>IF('01_Вводные'!$B$234="Да",'19_Расчет_аналитики'!AH4700*'01_Вводные'!$B$131,0)</f>
        <v/>
      </c>
      <c r="AI4701">
        <f>IF('01_Вводные'!$B$234="Да",'19_Расчет_аналитики'!AI4700*'01_Вводные'!$B$131,0)</f>
        <v/>
      </c>
      <c r="AJ4701">
        <f>IF('01_Вводные'!$B$234="Да",'19_Расчет_аналитики'!AJ4700*'01_Вводные'!$B$131,0)</f>
        <v/>
      </c>
      <c r="AK4701">
        <f>IF('01_Вводные'!$B$234="Да",'19_Расчет_аналитики'!AK4700*'01_Вводные'!$B$131,0)</f>
        <v/>
      </c>
      <c r="AL4701">
        <f>IF('01_Вводные'!$B$234="Да",'19_Расчет_аналитики'!AL4700*'01_Вводные'!$B$131,0)</f>
        <v/>
      </c>
      <c r="AM4701">
        <f>IF('01_Вводные'!$B$234="Да",'19_Расчет_аналитики'!AM4700*'01_Вводные'!$B$131,0)</f>
        <v/>
      </c>
      <c r="AN4701">
        <f>IF('01_Вводные'!$B$234="Да",'19_Расчет_аналитики'!AN4700*'01_Вводные'!$B$131,0)</f>
        <v/>
      </c>
      <c r="AO4701">
        <f>IF('01_Вводные'!$B$234="Да",'19_Расчет_аналитики'!AO4700*'01_Вводные'!$B$131,0)</f>
        <v/>
      </c>
      <c r="AP4701">
        <f>IF('01_Вводные'!$B$234="Да",'19_Расчет_аналитики'!AP4700*'01_Вводные'!$B$131,0)</f>
        <v/>
      </c>
      <c r="AQ4701">
        <f>IF('01_Вводные'!$B$234="Да",'19_Расчет_аналитики'!AQ4700*'01_Вводные'!$B$131,0)</f>
        <v/>
      </c>
      <c r="AR4701">
        <f>IF('01_Вводные'!$B$234="Да",'19_Расчет_аналитики'!AR4700*'01_Вводные'!$B$131,0)</f>
        <v/>
      </c>
      <c r="AS4701">
        <f>IF('01_Вводные'!$B$234="Да",'19_Расчет_аналитики'!AS4700*'01_Вводные'!$B$131,0)</f>
        <v/>
      </c>
      <c r="AT4701">
        <f>IF('01_Вводные'!$B$234="Да",'19_Расчет_аналитики'!AT4700*'01_Вводные'!$B$131,0)</f>
        <v/>
      </c>
      <c r="AU4701">
        <f>IF('01_Вводные'!$B$234="Да",'19_Расчет_аналитики'!AU4700*'01_Вводные'!$B$131,0)</f>
        <v/>
      </c>
      <c r="AV4701">
        <f>IF('01_Вводные'!$B$234="Да",'19_Расчет_аналитики'!AV4700*'01_Вводные'!$B$131,0)</f>
        <v/>
      </c>
      <c r="AW4701">
        <f>IF('01_Вводные'!$B$234="Да",'19_Расчет_аналитики'!AW4700*'01_Вводные'!$B$131,0)</f>
        <v/>
      </c>
      <c r="AX4701">
        <f>IF('01_Вводные'!$B$234="Да",'19_Расчет_аналитики'!AX4700*'01_Вводные'!$B$131,0)</f>
        <v/>
      </c>
      <c r="AY4701">
        <f>IF('01_Вводные'!$B$234="Да",'19_Расчет_аналитики'!AY4700*'01_Вводные'!$B$131,0)</f>
        <v/>
      </c>
      <c r="AZ4701">
        <f>IF('01_Вводные'!$B$234="Да",'19_Расчет_аналитики'!AZ4700*'01_Вводные'!$B$131,0)</f>
        <v/>
      </c>
      <c r="BA4701">
        <f>IF('01_Вводные'!$B$234="Да",'19_Расчет_аналитики'!BA4700*'01_Вводные'!$B$131,0)</f>
        <v/>
      </c>
      <c r="BB4701">
        <f>IF('01_Вводные'!$B$234="Да",'19_Расчет_аналитики'!BB4700*'01_Вводные'!$B$131,0)</f>
        <v/>
      </c>
      <c r="BC4701">
        <f>IF('01_Вводные'!$B$234="Да",'19_Расчет_аналитики'!BC4700*'01_Вводные'!$B$131,0)</f>
        <v/>
      </c>
      <c r="BD4701">
        <f>IF('01_Вводные'!$B$234="Да",'19_Расчет_аналитики'!BD4700*'01_Вводные'!$B$131,0)</f>
        <v/>
      </c>
      <c r="BE4701">
        <f>IF('01_Вводные'!$B$234="Да",'19_Расчет_аналитики'!BE4700*'01_Вводные'!$B$131,0)</f>
        <v/>
      </c>
      <c r="BF4701">
        <f>IF('01_Вводные'!$B$234="Да",'19_Расчет_аналитики'!BF4700*'01_Вводные'!$B$131,0)</f>
        <v/>
      </c>
      <c r="BG4701">
        <f>IF('01_Вводные'!$B$234="Да",'19_Расчет_аналитики'!BG4700*'01_Вводные'!$B$131,0)</f>
        <v/>
      </c>
      <c r="BH4701">
        <f>IF('01_Вводные'!$B$234="Да",'19_Расчет_аналитики'!BH4700*'01_Вводные'!$B$131,0)</f>
        <v/>
      </c>
      <c r="BI4701">
        <f>IF('01_Вводные'!$B$234="Да",'19_Расчет_аналитики'!BI4700*'01_Вводные'!$B$131,0)</f>
        <v/>
      </c>
    </row>
    <row r="4702">
      <c r="C4702">
        <f>IF('01_Вводные'!$B$234="Да",IF('19_Расчет_аналитики'!C4386&gt;=2,'19_Расчет_аналитики'!C4397*'01_Вводные'!$B$125/(1+'01_Вводные'!$B$131),0),0)</f>
        <v/>
      </c>
      <c r="D4702">
        <f>IF('01_Вводные'!$B$234="Да",IF('19_Расчет_аналитики'!D4386&gt;=2,'19_Расчет_аналитики'!D4397*'01_Вводные'!$B$125/(1+'01_Вводные'!$B$131),0),0)</f>
        <v/>
      </c>
      <c r="E4702">
        <f>IF('01_Вводные'!$B$234="Да",IF('19_Расчет_аналитики'!E4386&gt;=2,'19_Расчет_аналитики'!E4397*'01_Вводные'!$B$125/(1+'01_Вводные'!$B$131),0),0)</f>
        <v/>
      </c>
      <c r="F4702">
        <f>IF('01_Вводные'!$B$234="Да",IF('19_Расчет_аналитики'!F4386&gt;=2,'19_Расчет_аналитики'!F4397*'01_Вводные'!$B$125/(1+'01_Вводные'!$B$131),0),0)</f>
        <v/>
      </c>
      <c r="G4702">
        <f>IF('01_Вводные'!$B$234="Да",IF('19_Расчет_аналитики'!G4386&gt;=2,'19_Расчет_аналитики'!G4397*'01_Вводные'!$B$125/(1+'01_Вводные'!$B$131),0),0)</f>
        <v/>
      </c>
      <c r="H4702">
        <f>IF('01_Вводные'!$B$234="Да",IF('19_Расчет_аналитики'!H4386&gt;=2,'19_Расчет_аналитики'!H4397*'01_Вводные'!$B$125/(1+'01_Вводные'!$B$131),0),0)</f>
        <v/>
      </c>
      <c r="I4702">
        <f>IF('01_Вводные'!$B$234="Да",IF('19_Расчет_аналитики'!I4386&gt;=2,'19_Расчет_аналитики'!I4397*'01_Вводные'!$B$125/(1+'01_Вводные'!$B$131),0),0)</f>
        <v/>
      </c>
      <c r="J4702">
        <f>IF('01_Вводные'!$B$234="Да",IF('19_Расчет_аналитики'!J4386&gt;=2,'19_Расчет_аналитики'!J4397*'01_Вводные'!$B$125/(1+'01_Вводные'!$B$131),0),0)</f>
        <v/>
      </c>
      <c r="K4702">
        <f>IF('01_Вводные'!$B$234="Да",IF('19_Расчет_аналитики'!K4386&gt;=2,'19_Расчет_аналитики'!K4397*'01_Вводные'!$B$125/(1+'01_Вводные'!$B$131),0),0)</f>
        <v/>
      </c>
      <c r="L4702">
        <f>IF('01_Вводные'!$B$234="Да",IF('19_Расчет_аналитики'!L4386&gt;=2,'19_Расчет_аналитики'!L4397*'01_Вводные'!$B$125/(1+'01_Вводные'!$B$131),0),0)</f>
        <v/>
      </c>
      <c r="M4702">
        <f>IF('01_Вводные'!$B$234="Да",IF('19_Расчет_аналитики'!M4386&gt;=2,'19_Расчет_аналитики'!M4397*'01_Вводные'!$B$125/(1+'01_Вводные'!$B$131),0),0)</f>
        <v/>
      </c>
      <c r="N4702">
        <f>IF('01_Вводные'!$B$234="Да",IF('19_Расчет_аналитики'!N4386&gt;=2,'19_Расчет_аналитики'!N4397*'01_Вводные'!$B$125/(1+'01_Вводные'!$B$131),0),0)</f>
        <v/>
      </c>
      <c r="O4702">
        <f>IF('01_Вводные'!$B$234="Да",IF('19_Расчет_аналитики'!O4386&gt;=2,'19_Расчет_аналитики'!O4397*'01_Вводные'!$B$125/(1+'01_Вводные'!$B$131),0),0)</f>
        <v/>
      </c>
      <c r="P4702">
        <f>IF('01_Вводные'!$B$234="Да",IF('19_Расчет_аналитики'!P4386&gt;=2,'19_Расчет_аналитики'!P4397*'01_Вводные'!$B$125/(1+'01_Вводные'!$B$131),0),0)</f>
        <v/>
      </c>
      <c r="Q4702">
        <f>IF('01_Вводные'!$B$234="Да",IF('19_Расчет_аналитики'!Q4386&gt;=2,'19_Расчет_аналитики'!Q4397*'01_Вводные'!$B$125/(1+'01_Вводные'!$B$131),0),0)</f>
        <v/>
      </c>
      <c r="R4702">
        <f>IF('01_Вводные'!$B$234="Да",IF('19_Расчет_аналитики'!R4386&gt;=2,'19_Расчет_аналитики'!R4397*'01_Вводные'!$B$125/(1+'01_Вводные'!$B$131),0),0)</f>
        <v/>
      </c>
      <c r="S4702">
        <f>IF('01_Вводные'!$B$234="Да",IF('19_Расчет_аналитики'!S4386&gt;=2,'19_Расчет_аналитики'!S4397*'01_Вводные'!$B$125/(1+'01_Вводные'!$B$131),0),0)</f>
        <v/>
      </c>
      <c r="T4702">
        <f>IF('01_Вводные'!$B$234="Да",IF('19_Расчет_аналитики'!T4386&gt;=2,'19_Расчет_аналитики'!T4397*'01_Вводные'!$B$125/(1+'01_Вводные'!$B$131),0),0)</f>
        <v/>
      </c>
      <c r="U4702">
        <f>IF('01_Вводные'!$B$234="Да",IF('19_Расчет_аналитики'!U4386&gt;=2,'19_Расчет_аналитики'!U4397*'01_Вводные'!$B$125/(1+'01_Вводные'!$B$131),0),0)</f>
        <v/>
      </c>
      <c r="V4702">
        <f>IF('01_Вводные'!$B$234="Да",IF('19_Расчет_аналитики'!V4386&gt;=2,'19_Расчет_аналитики'!V4397*'01_Вводные'!$B$125/(1+'01_Вводные'!$B$131),0),0)</f>
        <v/>
      </c>
      <c r="W4702">
        <f>IF('01_Вводные'!$B$234="Да",IF('19_Расчет_аналитики'!W4386&gt;=2,'19_Расчет_аналитики'!W4397*'01_Вводные'!$B$125/(1+'01_Вводные'!$B$131),0),0)</f>
        <v/>
      </c>
      <c r="X4702">
        <f>IF('01_Вводные'!$B$234="Да",IF('19_Расчет_аналитики'!X4386&gt;=2,'19_Расчет_аналитики'!X4397*'01_Вводные'!$B$125/(1+'01_Вводные'!$B$131),0),0)</f>
        <v/>
      </c>
      <c r="Y4702">
        <f>IF('01_Вводные'!$B$234="Да",IF('19_Расчет_аналитики'!Y4386&gt;=2,'19_Расчет_аналитики'!Y4397*'01_Вводные'!$B$125/(1+'01_Вводные'!$B$131),0),0)</f>
        <v/>
      </c>
      <c r="Z4702">
        <f>IF('01_Вводные'!$B$234="Да",IF('19_Расчет_аналитики'!Z4386&gt;=2,'19_Расчет_аналитики'!Z4397*'01_Вводные'!$B$125/(1+'01_Вводные'!$B$131),0),0)</f>
        <v/>
      </c>
      <c r="AA4702">
        <f>IF('01_Вводные'!$B$234="Да",IF('19_Расчет_аналитики'!AA4386&gt;=2,'19_Расчет_аналитики'!AA4397*'01_Вводные'!$B$125/(1+'01_Вводные'!$B$131),0),0)</f>
        <v/>
      </c>
      <c r="AB4702">
        <f>IF('01_Вводные'!$B$234="Да",IF('19_Расчет_аналитики'!AB4386&gt;=2,'19_Расчет_аналитики'!AB4397*'01_Вводные'!$B$125/(1+'01_Вводные'!$B$131),0),0)</f>
        <v/>
      </c>
      <c r="AC4702">
        <f>IF('01_Вводные'!$B$234="Да",IF('19_Расчет_аналитики'!AC4386&gt;=2,'19_Расчет_аналитики'!AC4397*'01_Вводные'!$B$125/(1+'01_Вводные'!$B$131),0),0)</f>
        <v/>
      </c>
      <c r="AD4702">
        <f>IF('01_Вводные'!$B$234="Да",IF('19_Расчет_аналитики'!AD4386&gt;=2,'19_Расчет_аналитики'!AD4397*'01_Вводные'!$B$125/(1+'01_Вводные'!$B$131),0),0)</f>
        <v/>
      </c>
      <c r="AE4702">
        <f>IF('01_Вводные'!$B$234="Да",IF('19_Расчет_аналитики'!AE4386&gt;=2,'19_Расчет_аналитики'!AE4397*'01_Вводные'!$B$125/(1+'01_Вводные'!$B$131),0),0)</f>
        <v/>
      </c>
      <c r="AF4702">
        <f>IF('01_Вводные'!$B$234="Да",IF('19_Расчет_аналитики'!AF4386&gt;=2,'19_Расчет_аналитики'!AF4397*'01_Вводные'!$B$125/(1+'01_Вводные'!$B$131),0),0)</f>
        <v/>
      </c>
      <c r="AG4702">
        <f>IF('01_Вводные'!$B$234="Да",IF('19_Расчет_аналитики'!AG4386&gt;=2,'19_Расчет_аналитики'!AG4397*'01_Вводные'!$B$125/(1+'01_Вводные'!$B$131),0),0)</f>
        <v/>
      </c>
      <c r="AH4702">
        <f>IF('01_Вводные'!$B$234="Да",IF('19_Расчет_аналитики'!AH4386&gt;=2,'19_Расчет_аналитики'!AH4397*'01_Вводные'!$B$125/(1+'01_Вводные'!$B$131),0),0)</f>
        <v/>
      </c>
      <c r="AI4702">
        <f>IF('01_Вводные'!$B$234="Да",IF('19_Расчет_аналитики'!AI4386&gt;=2,'19_Расчет_аналитики'!AI4397*'01_Вводные'!$B$125/(1+'01_Вводные'!$B$131),0),0)</f>
        <v/>
      </c>
      <c r="AJ4702">
        <f>IF('01_Вводные'!$B$234="Да",IF('19_Расчет_аналитики'!AJ4386&gt;=2,'19_Расчет_аналитики'!AJ4397*'01_Вводные'!$B$125/(1+'01_Вводные'!$B$131),0),0)</f>
        <v/>
      </c>
      <c r="AK4702">
        <f>IF('01_Вводные'!$B$234="Да",IF('19_Расчет_аналитики'!AK4386&gt;=2,'19_Расчет_аналитики'!AK4397*'01_Вводные'!$B$125/(1+'01_Вводные'!$B$131),0),0)</f>
        <v/>
      </c>
      <c r="AL4702">
        <f>IF('01_Вводные'!$B$234="Да",IF('19_Расчет_аналитики'!AL4386&gt;=2,'19_Расчет_аналитики'!AL4397*'01_Вводные'!$B$125/(1+'01_Вводные'!$B$131),0),0)</f>
        <v/>
      </c>
      <c r="AM4702">
        <f>IF('01_Вводные'!$B$234="Да",IF('19_Расчет_аналитики'!AM4386&gt;=2,'19_Расчет_аналитики'!AM4397*'01_Вводные'!$B$125/(1+'01_Вводные'!$B$131),0),0)</f>
        <v/>
      </c>
      <c r="AN4702">
        <f>IF('01_Вводные'!$B$234="Да",IF('19_Расчет_аналитики'!AN4386&gt;=2,'19_Расчет_аналитики'!AN4397*'01_Вводные'!$B$125/(1+'01_Вводные'!$B$131),0),0)</f>
        <v/>
      </c>
      <c r="AO4702">
        <f>IF('01_Вводные'!$B$234="Да",IF('19_Расчет_аналитики'!AO4386&gt;=2,'19_Расчет_аналитики'!AO4397*'01_Вводные'!$B$125/(1+'01_Вводные'!$B$131),0),0)</f>
        <v/>
      </c>
      <c r="AP4702">
        <f>IF('01_Вводные'!$B$234="Да",IF('19_Расчет_аналитики'!AP4386&gt;=2,'19_Расчет_аналитики'!AP4397*'01_Вводные'!$B$125/(1+'01_Вводные'!$B$131),0),0)</f>
        <v/>
      </c>
      <c r="AQ4702">
        <f>IF('01_Вводные'!$B$234="Да",IF('19_Расчет_аналитики'!AQ4386&gt;=2,'19_Расчет_аналитики'!AQ4397*'01_Вводные'!$B$125/(1+'01_Вводные'!$B$131),0),0)</f>
        <v/>
      </c>
      <c r="AR4702">
        <f>IF('01_Вводные'!$B$234="Да",IF('19_Расчет_аналитики'!AR4386&gt;=2,'19_Расчет_аналитики'!AR4397*'01_Вводные'!$B$125/(1+'01_Вводные'!$B$131),0),0)</f>
        <v/>
      </c>
      <c r="AS4702">
        <f>IF('01_Вводные'!$B$234="Да",IF('19_Расчет_аналитики'!AS4386&gt;=2,'19_Расчет_аналитики'!AS4397*'01_Вводные'!$B$125/(1+'01_Вводные'!$B$131),0),0)</f>
        <v/>
      </c>
      <c r="AT4702">
        <f>IF('01_Вводные'!$B$234="Да",IF('19_Расчет_аналитики'!AT4386&gt;=2,'19_Расчет_аналитики'!AT4397*'01_Вводные'!$B$125/(1+'01_Вводные'!$B$131),0),0)</f>
        <v/>
      </c>
      <c r="AU4702">
        <f>IF('01_Вводные'!$B$234="Да",IF('19_Расчет_аналитики'!AU4386&gt;=2,'19_Расчет_аналитики'!AU4397*'01_Вводные'!$B$125/(1+'01_Вводные'!$B$131),0),0)</f>
        <v/>
      </c>
      <c r="AV4702">
        <f>IF('01_Вводные'!$B$234="Да",IF('19_Расчет_аналитики'!AV4386&gt;=2,'19_Расчет_аналитики'!AV4397*'01_Вводные'!$B$125/(1+'01_Вводные'!$B$131),0),0)</f>
        <v/>
      </c>
      <c r="AW4702">
        <f>IF('01_Вводные'!$B$234="Да",IF('19_Расчет_аналитики'!AW4386&gt;=2,'19_Расчет_аналитики'!AW4397*'01_Вводные'!$B$125/(1+'01_Вводные'!$B$131),0),0)</f>
        <v/>
      </c>
      <c r="AX4702">
        <f>IF('01_Вводные'!$B$234="Да",IF('19_Расчет_аналитики'!AX4386&gt;=2,'19_Расчет_аналитики'!AX4397*'01_Вводные'!$B$125/(1+'01_Вводные'!$B$131),0),0)</f>
        <v/>
      </c>
      <c r="AY4702">
        <f>IF('01_Вводные'!$B$234="Да",IF('19_Расчет_аналитики'!AY4386&gt;=2,'19_Расчет_аналитики'!AY4397*'01_Вводные'!$B$125/(1+'01_Вводные'!$B$131),0),0)</f>
        <v/>
      </c>
      <c r="AZ4702">
        <f>IF('01_Вводные'!$B$234="Да",IF('19_Расчет_аналитики'!AZ4386&gt;=2,'19_Расчет_аналитики'!AZ4397*'01_Вводные'!$B$125/(1+'01_Вводные'!$B$131),0),0)</f>
        <v/>
      </c>
      <c r="BA4702">
        <f>IF('01_Вводные'!$B$234="Да",IF('19_Расчет_аналитики'!BA4386&gt;=2,'19_Расчет_аналитики'!BA4397*'01_Вводные'!$B$125/(1+'01_Вводные'!$B$131),0),0)</f>
        <v/>
      </c>
      <c r="BB4702">
        <f>IF('01_Вводные'!$B$234="Да",IF('19_Расчет_аналитики'!BB4386&gt;=2,'19_Расчет_аналитики'!BB4397*'01_Вводные'!$B$125/(1+'01_Вводные'!$B$131),0),0)</f>
        <v/>
      </c>
      <c r="BC4702">
        <f>IF('01_Вводные'!$B$234="Да",IF('19_Расчет_аналитики'!BC4386&gt;=2,'19_Расчет_аналитики'!BC4397*'01_Вводные'!$B$125/(1+'01_Вводные'!$B$131),0),0)</f>
        <v/>
      </c>
      <c r="BD4702">
        <f>IF('01_Вводные'!$B$234="Да",IF('19_Расчет_аналитики'!BD4386&gt;=2,'19_Расчет_аналитики'!BD4397*'01_Вводные'!$B$125/(1+'01_Вводные'!$B$131),0),0)</f>
        <v/>
      </c>
      <c r="BE4702">
        <f>IF('01_Вводные'!$B$234="Да",IF('19_Расчет_аналитики'!BE4386&gt;=2,'19_Расчет_аналитики'!BE4397*'01_Вводные'!$B$125/(1+'01_Вводные'!$B$131),0),0)</f>
        <v/>
      </c>
      <c r="BF4702">
        <f>IF('01_Вводные'!$B$234="Да",IF('19_Расчет_аналитики'!BF4386&gt;=2,'19_Расчет_аналитики'!BF4397*'01_Вводные'!$B$125/(1+'01_Вводные'!$B$131),0),0)</f>
        <v/>
      </c>
      <c r="BG4702">
        <f>IF('01_Вводные'!$B$234="Да",IF('19_Расчет_аналитики'!BG4386&gt;=2,'19_Расчет_аналитики'!BG4397*'01_Вводные'!$B$125/(1+'01_Вводные'!$B$131),0),0)</f>
        <v/>
      </c>
      <c r="BH4702">
        <f>IF('01_Вводные'!$B$234="Да",IF('19_Расчет_аналитики'!BH4386&gt;=2,'19_Расчет_аналитики'!BH4397*'01_Вводные'!$B$125/(1+'01_Вводные'!$B$131),0),0)</f>
        <v/>
      </c>
      <c r="BI4702">
        <f>IF('01_Вводные'!$B$234="Да",IF('19_Расчет_аналитики'!BI4386&gt;=2,'19_Расчет_аналитики'!BI4397*'01_Вводные'!$B$125/(1+'01_Вводные'!$B$131),0),0)</f>
        <v/>
      </c>
    </row>
    <row r="4703">
      <c r="C4703">
        <f>IF('01_Вводные'!$B$234="Да",'19_Расчет_аналитики'!C4702*'01_Вводные'!$B$131,0)</f>
        <v/>
      </c>
      <c r="D4703">
        <f>IF('01_Вводные'!$B$234="Да",'19_Расчет_аналитики'!D4702*'01_Вводные'!$B$131,0)</f>
        <v/>
      </c>
      <c r="E4703">
        <f>IF('01_Вводные'!$B$234="Да",'19_Расчет_аналитики'!E4702*'01_Вводные'!$B$131,0)</f>
        <v/>
      </c>
      <c r="F4703">
        <f>IF('01_Вводные'!$B$234="Да",'19_Расчет_аналитики'!F4702*'01_Вводные'!$B$131,0)</f>
        <v/>
      </c>
      <c r="G4703">
        <f>IF('01_Вводные'!$B$234="Да",'19_Расчет_аналитики'!G4702*'01_Вводные'!$B$131,0)</f>
        <v/>
      </c>
      <c r="H4703">
        <f>IF('01_Вводные'!$B$234="Да",'19_Расчет_аналитики'!H4702*'01_Вводные'!$B$131,0)</f>
        <v/>
      </c>
      <c r="I4703">
        <f>IF('01_Вводные'!$B$234="Да",'19_Расчет_аналитики'!I4702*'01_Вводные'!$B$131,0)</f>
        <v/>
      </c>
      <c r="J4703">
        <f>IF('01_Вводные'!$B$234="Да",'19_Расчет_аналитики'!J4702*'01_Вводные'!$B$131,0)</f>
        <v/>
      </c>
      <c r="K4703">
        <f>IF('01_Вводные'!$B$234="Да",'19_Расчет_аналитики'!K4702*'01_Вводные'!$B$131,0)</f>
        <v/>
      </c>
      <c r="L4703">
        <f>IF('01_Вводные'!$B$234="Да",'19_Расчет_аналитики'!L4702*'01_Вводные'!$B$131,0)</f>
        <v/>
      </c>
      <c r="M4703">
        <f>IF('01_Вводные'!$B$234="Да",'19_Расчет_аналитики'!M4702*'01_Вводные'!$B$131,0)</f>
        <v/>
      </c>
      <c r="N4703">
        <f>IF('01_Вводные'!$B$234="Да",'19_Расчет_аналитики'!N4702*'01_Вводные'!$B$131,0)</f>
        <v/>
      </c>
      <c r="O4703">
        <f>IF('01_Вводные'!$B$234="Да",'19_Расчет_аналитики'!O4702*'01_Вводные'!$B$131,0)</f>
        <v/>
      </c>
      <c r="P4703">
        <f>IF('01_Вводные'!$B$234="Да",'19_Расчет_аналитики'!P4702*'01_Вводные'!$B$131,0)</f>
        <v/>
      </c>
      <c r="Q4703">
        <f>IF('01_Вводные'!$B$234="Да",'19_Расчет_аналитики'!Q4702*'01_Вводные'!$B$131,0)</f>
        <v/>
      </c>
      <c r="R4703">
        <f>IF('01_Вводные'!$B$234="Да",'19_Расчет_аналитики'!R4702*'01_Вводные'!$B$131,0)</f>
        <v/>
      </c>
      <c r="S4703">
        <f>IF('01_Вводные'!$B$234="Да",'19_Расчет_аналитики'!S4702*'01_Вводные'!$B$131,0)</f>
        <v/>
      </c>
      <c r="T4703">
        <f>IF('01_Вводные'!$B$234="Да",'19_Расчет_аналитики'!T4702*'01_Вводные'!$B$131,0)</f>
        <v/>
      </c>
      <c r="U4703">
        <f>IF('01_Вводные'!$B$234="Да",'19_Расчет_аналитики'!U4702*'01_Вводные'!$B$131,0)</f>
        <v/>
      </c>
      <c r="V4703">
        <f>IF('01_Вводные'!$B$234="Да",'19_Расчет_аналитики'!V4702*'01_Вводные'!$B$131,0)</f>
        <v/>
      </c>
      <c r="W4703">
        <f>IF('01_Вводные'!$B$234="Да",'19_Расчет_аналитики'!W4702*'01_Вводные'!$B$131,0)</f>
        <v/>
      </c>
      <c r="X4703">
        <f>IF('01_Вводные'!$B$234="Да",'19_Расчет_аналитики'!X4702*'01_Вводные'!$B$131,0)</f>
        <v/>
      </c>
      <c r="Y4703">
        <f>IF('01_Вводные'!$B$234="Да",'19_Расчет_аналитики'!Y4702*'01_Вводные'!$B$131,0)</f>
        <v/>
      </c>
      <c r="Z4703">
        <f>IF('01_Вводные'!$B$234="Да",'19_Расчет_аналитики'!Z4702*'01_Вводные'!$B$131,0)</f>
        <v/>
      </c>
      <c r="AA4703">
        <f>IF('01_Вводные'!$B$234="Да",'19_Расчет_аналитики'!AA4702*'01_Вводные'!$B$131,0)</f>
        <v/>
      </c>
      <c r="AB4703">
        <f>IF('01_Вводные'!$B$234="Да",'19_Расчет_аналитики'!AB4702*'01_Вводные'!$B$131,0)</f>
        <v/>
      </c>
      <c r="AC4703">
        <f>IF('01_Вводные'!$B$234="Да",'19_Расчет_аналитики'!AC4702*'01_Вводные'!$B$131,0)</f>
        <v/>
      </c>
      <c r="AD4703">
        <f>IF('01_Вводные'!$B$234="Да",'19_Расчет_аналитики'!AD4702*'01_Вводные'!$B$131,0)</f>
        <v/>
      </c>
      <c r="AE4703">
        <f>IF('01_Вводные'!$B$234="Да",'19_Расчет_аналитики'!AE4702*'01_Вводные'!$B$131,0)</f>
        <v/>
      </c>
      <c r="AF4703">
        <f>IF('01_Вводные'!$B$234="Да",'19_Расчет_аналитики'!AF4702*'01_Вводные'!$B$131,0)</f>
        <v/>
      </c>
      <c r="AG4703">
        <f>IF('01_Вводные'!$B$234="Да",'19_Расчет_аналитики'!AG4702*'01_Вводные'!$B$131,0)</f>
        <v/>
      </c>
      <c r="AH4703">
        <f>IF('01_Вводные'!$B$234="Да",'19_Расчет_аналитики'!AH4702*'01_Вводные'!$B$131,0)</f>
        <v/>
      </c>
      <c r="AI4703">
        <f>IF('01_Вводные'!$B$234="Да",'19_Расчет_аналитики'!AI4702*'01_Вводные'!$B$131,0)</f>
        <v/>
      </c>
      <c r="AJ4703">
        <f>IF('01_Вводные'!$B$234="Да",'19_Расчет_аналитики'!AJ4702*'01_Вводные'!$B$131,0)</f>
        <v/>
      </c>
      <c r="AK4703">
        <f>IF('01_Вводные'!$B$234="Да",'19_Расчет_аналитики'!AK4702*'01_Вводные'!$B$131,0)</f>
        <v/>
      </c>
      <c r="AL4703">
        <f>IF('01_Вводные'!$B$234="Да",'19_Расчет_аналитики'!AL4702*'01_Вводные'!$B$131,0)</f>
        <v/>
      </c>
      <c r="AM4703">
        <f>IF('01_Вводные'!$B$234="Да",'19_Расчет_аналитики'!AM4702*'01_Вводные'!$B$131,0)</f>
        <v/>
      </c>
      <c r="AN4703">
        <f>IF('01_Вводные'!$B$234="Да",'19_Расчет_аналитики'!AN4702*'01_Вводные'!$B$131,0)</f>
        <v/>
      </c>
      <c r="AO4703">
        <f>IF('01_Вводные'!$B$234="Да",'19_Расчет_аналитики'!AO4702*'01_Вводные'!$B$131,0)</f>
        <v/>
      </c>
      <c r="AP4703">
        <f>IF('01_Вводные'!$B$234="Да",'19_Расчет_аналитики'!AP4702*'01_Вводные'!$B$131,0)</f>
        <v/>
      </c>
      <c r="AQ4703">
        <f>IF('01_Вводные'!$B$234="Да",'19_Расчет_аналитики'!AQ4702*'01_Вводные'!$B$131,0)</f>
        <v/>
      </c>
      <c r="AR4703">
        <f>IF('01_Вводные'!$B$234="Да",'19_Расчет_аналитики'!AR4702*'01_Вводные'!$B$131,0)</f>
        <v/>
      </c>
      <c r="AS4703">
        <f>IF('01_Вводные'!$B$234="Да",'19_Расчет_аналитики'!AS4702*'01_Вводные'!$B$131,0)</f>
        <v/>
      </c>
      <c r="AT4703">
        <f>IF('01_Вводные'!$B$234="Да",'19_Расчет_аналитики'!AT4702*'01_Вводные'!$B$131,0)</f>
        <v/>
      </c>
      <c r="AU4703">
        <f>IF('01_Вводные'!$B$234="Да",'19_Расчет_аналитики'!AU4702*'01_Вводные'!$B$131,0)</f>
        <v/>
      </c>
      <c r="AV4703">
        <f>IF('01_Вводные'!$B$234="Да",'19_Расчет_аналитики'!AV4702*'01_Вводные'!$B$131,0)</f>
        <v/>
      </c>
      <c r="AW4703">
        <f>IF('01_Вводные'!$B$234="Да",'19_Расчет_аналитики'!AW4702*'01_Вводные'!$B$131,0)</f>
        <v/>
      </c>
      <c r="AX4703">
        <f>IF('01_Вводные'!$B$234="Да",'19_Расчет_аналитики'!AX4702*'01_Вводные'!$B$131,0)</f>
        <v/>
      </c>
      <c r="AY4703">
        <f>IF('01_Вводные'!$B$234="Да",'19_Расчет_аналитики'!AY4702*'01_Вводные'!$B$131,0)</f>
        <v/>
      </c>
      <c r="AZ4703">
        <f>IF('01_Вводные'!$B$234="Да",'19_Расчет_аналитики'!AZ4702*'01_Вводные'!$B$131,0)</f>
        <v/>
      </c>
      <c r="BA4703">
        <f>IF('01_Вводные'!$B$234="Да",'19_Расчет_аналитики'!BA4702*'01_Вводные'!$B$131,0)</f>
        <v/>
      </c>
      <c r="BB4703">
        <f>IF('01_Вводные'!$B$234="Да",'19_Расчет_аналитики'!BB4702*'01_Вводные'!$B$131,0)</f>
        <v/>
      </c>
      <c r="BC4703">
        <f>IF('01_Вводные'!$B$234="Да",'19_Расчет_аналитики'!BC4702*'01_Вводные'!$B$131,0)</f>
        <v/>
      </c>
      <c r="BD4703">
        <f>IF('01_Вводные'!$B$234="Да",'19_Расчет_аналитики'!BD4702*'01_Вводные'!$B$131,0)</f>
        <v/>
      </c>
      <c r="BE4703">
        <f>IF('01_Вводные'!$B$234="Да",'19_Расчет_аналитики'!BE4702*'01_Вводные'!$B$131,0)</f>
        <v/>
      </c>
      <c r="BF4703">
        <f>IF('01_Вводные'!$B$234="Да",'19_Расчет_аналитики'!BF4702*'01_Вводные'!$B$131,0)</f>
        <v/>
      </c>
      <c r="BG4703">
        <f>IF('01_Вводные'!$B$234="Да",'19_Расчет_аналитики'!BG4702*'01_Вводные'!$B$131,0)</f>
        <v/>
      </c>
      <c r="BH4703">
        <f>IF('01_Вводные'!$B$234="Да",'19_Расчет_аналитики'!BH4702*'01_Вводные'!$B$131,0)</f>
        <v/>
      </c>
      <c r="BI4703">
        <f>IF('01_Вводные'!$B$234="Да",'19_Расчет_аналитики'!BI4702*'01_Вводные'!$B$131,0)</f>
        <v/>
      </c>
    </row>
    <row r="4704">
      <c r="C4704">
        <f>IF('01_Вводные'!$B$234="Да",IF('19_Расчет_аналитики'!C4386&gt;='01_Вводные'!$B$126,IF('01_Вводные'!$B$129="ИП",'01_Вводные'!$B$127+'19_Расчет_аналитики'!C4397*'01_Вводные'!$B$128,('01_Вводные'!$B$127/'01_Вводные'!$B$132+'19_Расчет_аналитики'!C4397*'01_Вводные'!$B$128)*(1+'01_Вводные'!$B$131)),0),0)</f>
        <v/>
      </c>
      <c r="D4704">
        <f>IF('01_Вводные'!$B$234="Да",IF('19_Расчет_аналитики'!D4386&gt;='01_Вводные'!$B$126,IF('01_Вводные'!$B$129="ИП",'01_Вводные'!$B$127+'19_Расчет_аналитики'!D4397*'01_Вводные'!$B$128,('01_Вводные'!$B$127/'01_Вводные'!$B$132+'19_Расчет_аналитики'!D4397*'01_Вводные'!$B$128)*(1+'01_Вводные'!$B$131)),0),0)</f>
        <v/>
      </c>
      <c r="E4704">
        <f>IF('01_Вводные'!$B$234="Да",IF('19_Расчет_аналитики'!E4386&gt;='01_Вводные'!$B$126,IF('01_Вводные'!$B$129="ИП",'01_Вводные'!$B$127+'19_Расчет_аналитики'!E4397*'01_Вводные'!$B$128,('01_Вводные'!$B$127/'01_Вводные'!$B$132+'19_Расчет_аналитики'!E4397*'01_Вводные'!$B$128)*(1+'01_Вводные'!$B$131)),0),0)</f>
        <v/>
      </c>
      <c r="F4704">
        <f>IF('01_Вводные'!$B$234="Да",IF('19_Расчет_аналитики'!F4386&gt;='01_Вводные'!$B$126,IF('01_Вводные'!$B$129="ИП",'01_Вводные'!$B$127+'19_Расчет_аналитики'!F4397*'01_Вводные'!$B$128,('01_Вводные'!$B$127/'01_Вводные'!$B$132+'19_Расчет_аналитики'!F4397*'01_Вводные'!$B$128)*(1+'01_Вводные'!$B$131)),0),0)</f>
        <v/>
      </c>
      <c r="G4704">
        <f>IF('01_Вводные'!$B$234="Да",IF('19_Расчет_аналитики'!G4386&gt;='01_Вводные'!$B$126,IF('01_Вводные'!$B$129="ИП",'01_Вводные'!$B$127+'19_Расчет_аналитики'!G4397*'01_Вводные'!$B$128,('01_Вводные'!$B$127/'01_Вводные'!$B$132+'19_Расчет_аналитики'!G4397*'01_Вводные'!$B$128)*(1+'01_Вводные'!$B$131)),0),0)</f>
        <v/>
      </c>
      <c r="H4704">
        <f>IF('01_Вводные'!$B$234="Да",IF('19_Расчет_аналитики'!H4386&gt;='01_Вводные'!$B$126,IF('01_Вводные'!$B$129="ИП",'01_Вводные'!$B$127+'19_Расчет_аналитики'!H4397*'01_Вводные'!$B$128,('01_Вводные'!$B$127/'01_Вводные'!$B$132+'19_Расчет_аналитики'!H4397*'01_Вводные'!$B$128)*(1+'01_Вводные'!$B$131)),0),0)</f>
        <v/>
      </c>
      <c r="I4704">
        <f>IF('01_Вводные'!$B$234="Да",IF('19_Расчет_аналитики'!I4386&gt;='01_Вводные'!$B$126,IF('01_Вводные'!$B$129="ИП",'01_Вводные'!$B$127+'19_Расчет_аналитики'!I4397*'01_Вводные'!$B$128,('01_Вводные'!$B$127/'01_Вводные'!$B$132+'19_Расчет_аналитики'!I4397*'01_Вводные'!$B$128)*(1+'01_Вводные'!$B$131)),0),0)</f>
        <v/>
      </c>
      <c r="J4704">
        <f>IF('01_Вводные'!$B$234="Да",IF('19_Расчет_аналитики'!J4386&gt;='01_Вводные'!$B$126,IF('01_Вводные'!$B$129="ИП",'01_Вводные'!$B$127+'19_Расчет_аналитики'!J4397*'01_Вводные'!$B$128,('01_Вводные'!$B$127/'01_Вводные'!$B$132+'19_Расчет_аналитики'!J4397*'01_Вводные'!$B$128)*(1+'01_Вводные'!$B$131)),0),0)</f>
        <v/>
      </c>
      <c r="K4704">
        <f>IF('01_Вводные'!$B$234="Да",IF('19_Расчет_аналитики'!K4386&gt;='01_Вводные'!$B$126,IF('01_Вводные'!$B$129="ИП",'01_Вводные'!$B$127+'19_Расчет_аналитики'!K4397*'01_Вводные'!$B$128,('01_Вводные'!$B$127/'01_Вводные'!$B$132+'19_Расчет_аналитики'!K4397*'01_Вводные'!$B$128)*(1+'01_Вводные'!$B$131)),0),0)</f>
        <v/>
      </c>
      <c r="L4704">
        <f>IF('01_Вводные'!$B$234="Да",IF('19_Расчет_аналитики'!L4386&gt;='01_Вводные'!$B$126,IF('01_Вводные'!$B$129="ИП",'01_Вводные'!$B$127+'19_Расчет_аналитики'!L4397*'01_Вводные'!$B$128,('01_Вводные'!$B$127/'01_Вводные'!$B$132+'19_Расчет_аналитики'!L4397*'01_Вводные'!$B$128)*(1+'01_Вводные'!$B$131)),0),0)</f>
        <v/>
      </c>
      <c r="M4704">
        <f>IF('01_Вводные'!$B$234="Да",IF('19_Расчет_аналитики'!M4386&gt;='01_Вводные'!$B$126,IF('01_Вводные'!$B$129="ИП",'01_Вводные'!$B$127+'19_Расчет_аналитики'!M4397*'01_Вводные'!$B$128,('01_Вводные'!$B$127/'01_Вводные'!$B$132+'19_Расчет_аналитики'!M4397*'01_Вводные'!$B$128)*(1+'01_Вводные'!$B$131)),0),0)</f>
        <v/>
      </c>
      <c r="N4704">
        <f>IF('01_Вводные'!$B$234="Да",IF('19_Расчет_аналитики'!N4386&gt;='01_Вводные'!$B$126,IF('01_Вводные'!$B$129="ИП",'01_Вводные'!$B$127+'19_Расчет_аналитики'!N4397*'01_Вводные'!$B$128,('01_Вводные'!$B$127/'01_Вводные'!$B$132+'19_Расчет_аналитики'!N4397*'01_Вводные'!$B$128)*(1+'01_Вводные'!$B$131)),0),0)</f>
        <v/>
      </c>
      <c r="O4704">
        <f>IF('01_Вводные'!$B$234="Да",IF('19_Расчет_аналитики'!O4386&gt;='01_Вводные'!$B$126,IF('01_Вводные'!$B$129="ИП",'01_Вводные'!$B$127+'19_Расчет_аналитики'!O4397*'01_Вводные'!$B$128,('01_Вводные'!$B$127/'01_Вводные'!$B$132+'19_Расчет_аналитики'!O4397*'01_Вводные'!$B$128)*(1+'01_Вводные'!$B$131)),0),0)</f>
        <v/>
      </c>
      <c r="P4704">
        <f>IF('01_Вводные'!$B$234="Да",IF('19_Расчет_аналитики'!P4386&gt;='01_Вводные'!$B$126,IF('01_Вводные'!$B$129="ИП",'01_Вводные'!$B$127+'19_Расчет_аналитики'!P4397*'01_Вводные'!$B$128,('01_Вводные'!$B$127/'01_Вводные'!$B$132+'19_Расчет_аналитики'!P4397*'01_Вводные'!$B$128)*(1+'01_Вводные'!$B$131)),0),0)</f>
        <v/>
      </c>
      <c r="Q4704">
        <f>IF('01_Вводные'!$B$234="Да",IF('19_Расчет_аналитики'!Q4386&gt;='01_Вводные'!$B$126,IF('01_Вводные'!$B$129="ИП",'01_Вводные'!$B$127+'19_Расчет_аналитики'!Q4397*'01_Вводные'!$B$128,('01_Вводные'!$B$127/'01_Вводные'!$B$132+'19_Расчет_аналитики'!Q4397*'01_Вводные'!$B$128)*(1+'01_Вводные'!$B$131)),0),0)</f>
        <v/>
      </c>
      <c r="R4704">
        <f>IF('01_Вводные'!$B$234="Да",IF('19_Расчет_аналитики'!R4386&gt;='01_Вводные'!$B$126,IF('01_Вводные'!$B$129="ИП",'01_Вводные'!$B$127+'19_Расчет_аналитики'!R4397*'01_Вводные'!$B$128,('01_Вводные'!$B$127/'01_Вводные'!$B$132+'19_Расчет_аналитики'!R4397*'01_Вводные'!$B$128)*(1+'01_Вводные'!$B$131)),0),0)</f>
        <v/>
      </c>
      <c r="S4704">
        <f>IF('01_Вводные'!$B$234="Да",IF('19_Расчет_аналитики'!S4386&gt;='01_Вводные'!$B$126,IF('01_Вводные'!$B$129="ИП",'01_Вводные'!$B$127+'19_Расчет_аналитики'!S4397*'01_Вводные'!$B$128,('01_Вводные'!$B$127/'01_Вводные'!$B$132+'19_Расчет_аналитики'!S4397*'01_Вводные'!$B$128)*(1+'01_Вводные'!$B$131)),0),0)</f>
        <v/>
      </c>
      <c r="T4704">
        <f>IF('01_Вводные'!$B$234="Да",IF('19_Расчет_аналитики'!T4386&gt;='01_Вводные'!$B$126,IF('01_Вводные'!$B$129="ИП",'01_Вводные'!$B$127+'19_Расчет_аналитики'!T4397*'01_Вводные'!$B$128,('01_Вводные'!$B$127/'01_Вводные'!$B$132+'19_Расчет_аналитики'!T4397*'01_Вводные'!$B$128)*(1+'01_Вводные'!$B$131)),0),0)</f>
        <v/>
      </c>
      <c r="U4704">
        <f>IF('01_Вводные'!$B$234="Да",IF('19_Расчет_аналитики'!U4386&gt;='01_Вводные'!$B$126,IF('01_Вводные'!$B$129="ИП",'01_Вводные'!$B$127+'19_Расчет_аналитики'!U4397*'01_Вводные'!$B$128,('01_Вводные'!$B$127/'01_Вводные'!$B$132+'19_Расчет_аналитики'!U4397*'01_Вводные'!$B$128)*(1+'01_Вводные'!$B$131)),0),0)</f>
        <v/>
      </c>
      <c r="V4704">
        <f>IF('01_Вводные'!$B$234="Да",IF('19_Расчет_аналитики'!V4386&gt;='01_Вводные'!$B$126,IF('01_Вводные'!$B$129="ИП",'01_Вводные'!$B$127+'19_Расчет_аналитики'!V4397*'01_Вводные'!$B$128,('01_Вводные'!$B$127/'01_Вводные'!$B$132+'19_Расчет_аналитики'!V4397*'01_Вводные'!$B$128)*(1+'01_Вводные'!$B$131)),0),0)</f>
        <v/>
      </c>
      <c r="W4704">
        <f>IF('01_Вводные'!$B$234="Да",IF('19_Расчет_аналитики'!W4386&gt;='01_Вводные'!$B$126,IF('01_Вводные'!$B$129="ИП",'01_Вводные'!$B$127+'19_Расчет_аналитики'!W4397*'01_Вводные'!$B$128,('01_Вводные'!$B$127/'01_Вводные'!$B$132+'19_Расчет_аналитики'!W4397*'01_Вводные'!$B$128)*(1+'01_Вводные'!$B$131)),0),0)</f>
        <v/>
      </c>
      <c r="X4704">
        <f>IF('01_Вводные'!$B$234="Да",IF('19_Расчет_аналитики'!X4386&gt;='01_Вводные'!$B$126,IF('01_Вводные'!$B$129="ИП",'01_Вводные'!$B$127+'19_Расчет_аналитики'!X4397*'01_Вводные'!$B$128,('01_Вводные'!$B$127/'01_Вводные'!$B$132+'19_Расчет_аналитики'!X4397*'01_Вводные'!$B$128)*(1+'01_Вводные'!$B$131)),0),0)</f>
        <v/>
      </c>
      <c r="Y4704">
        <f>IF('01_Вводные'!$B$234="Да",IF('19_Расчет_аналитики'!Y4386&gt;='01_Вводные'!$B$126,IF('01_Вводные'!$B$129="ИП",'01_Вводные'!$B$127+'19_Расчет_аналитики'!Y4397*'01_Вводные'!$B$128,('01_Вводные'!$B$127/'01_Вводные'!$B$132+'19_Расчет_аналитики'!Y4397*'01_Вводные'!$B$128)*(1+'01_Вводные'!$B$131)),0),0)</f>
        <v/>
      </c>
      <c r="Z4704">
        <f>IF('01_Вводные'!$B$234="Да",IF('19_Расчет_аналитики'!Z4386&gt;='01_Вводные'!$B$126,IF('01_Вводные'!$B$129="ИП",'01_Вводные'!$B$127+'19_Расчет_аналитики'!Z4397*'01_Вводные'!$B$128,('01_Вводные'!$B$127/'01_Вводные'!$B$132+'19_Расчет_аналитики'!Z4397*'01_Вводные'!$B$128)*(1+'01_Вводные'!$B$131)),0),0)</f>
        <v/>
      </c>
      <c r="AA4704">
        <f>IF('01_Вводные'!$B$234="Да",IF('19_Расчет_аналитики'!AA4386&gt;='01_Вводные'!$B$126,IF('01_Вводные'!$B$129="ИП",'01_Вводные'!$B$127+'19_Расчет_аналитики'!AA4397*'01_Вводные'!$B$128,('01_Вводные'!$B$127/'01_Вводные'!$B$132+'19_Расчет_аналитики'!AA4397*'01_Вводные'!$B$128)*(1+'01_Вводные'!$B$131)),0),0)</f>
        <v/>
      </c>
      <c r="AB4704">
        <f>IF('01_Вводные'!$B$234="Да",IF('19_Расчет_аналитики'!AB4386&gt;='01_Вводные'!$B$126,IF('01_Вводные'!$B$129="ИП",'01_Вводные'!$B$127+'19_Расчет_аналитики'!AB4397*'01_Вводные'!$B$128,('01_Вводные'!$B$127/'01_Вводные'!$B$132+'19_Расчет_аналитики'!AB4397*'01_Вводные'!$B$128)*(1+'01_Вводные'!$B$131)),0),0)</f>
        <v/>
      </c>
      <c r="AC4704">
        <f>IF('01_Вводные'!$B$234="Да",IF('19_Расчет_аналитики'!AC4386&gt;='01_Вводные'!$B$126,IF('01_Вводные'!$B$129="ИП",'01_Вводные'!$B$127+'19_Расчет_аналитики'!AC4397*'01_Вводные'!$B$128,('01_Вводные'!$B$127/'01_Вводные'!$B$132+'19_Расчет_аналитики'!AC4397*'01_Вводные'!$B$128)*(1+'01_Вводные'!$B$131)),0),0)</f>
        <v/>
      </c>
      <c r="AD4704">
        <f>IF('01_Вводные'!$B$234="Да",IF('19_Расчет_аналитики'!AD4386&gt;='01_Вводные'!$B$126,IF('01_Вводные'!$B$129="ИП",'01_Вводные'!$B$127+'19_Расчет_аналитики'!AD4397*'01_Вводные'!$B$128,('01_Вводные'!$B$127/'01_Вводные'!$B$132+'19_Расчет_аналитики'!AD4397*'01_Вводные'!$B$128)*(1+'01_Вводные'!$B$131)),0),0)</f>
        <v/>
      </c>
      <c r="AE4704">
        <f>IF('01_Вводные'!$B$234="Да",IF('19_Расчет_аналитики'!AE4386&gt;='01_Вводные'!$B$126,IF('01_Вводные'!$B$129="ИП",'01_Вводные'!$B$127+'19_Расчет_аналитики'!AE4397*'01_Вводные'!$B$128,('01_Вводные'!$B$127/'01_Вводные'!$B$132+'19_Расчет_аналитики'!AE4397*'01_Вводные'!$B$128)*(1+'01_Вводные'!$B$131)),0),0)</f>
        <v/>
      </c>
      <c r="AF4704">
        <f>IF('01_Вводные'!$B$234="Да",IF('19_Расчет_аналитики'!AF4386&gt;='01_Вводные'!$B$126,IF('01_Вводные'!$B$129="ИП",'01_Вводные'!$B$127+'19_Расчет_аналитики'!AF4397*'01_Вводные'!$B$128,('01_Вводные'!$B$127/'01_Вводные'!$B$132+'19_Расчет_аналитики'!AF4397*'01_Вводные'!$B$128)*(1+'01_Вводные'!$B$131)),0),0)</f>
        <v/>
      </c>
      <c r="AG4704">
        <f>IF('01_Вводные'!$B$234="Да",IF('19_Расчет_аналитики'!AG4386&gt;='01_Вводные'!$B$126,IF('01_Вводные'!$B$129="ИП",'01_Вводные'!$B$127+'19_Расчет_аналитики'!AG4397*'01_Вводные'!$B$128,('01_Вводные'!$B$127/'01_Вводные'!$B$132+'19_Расчет_аналитики'!AG4397*'01_Вводные'!$B$128)*(1+'01_Вводные'!$B$131)),0),0)</f>
        <v/>
      </c>
      <c r="AH4704">
        <f>IF('01_Вводные'!$B$234="Да",IF('19_Расчет_аналитики'!AH4386&gt;='01_Вводные'!$B$126,IF('01_Вводные'!$B$129="ИП",'01_Вводные'!$B$127+'19_Расчет_аналитики'!AH4397*'01_Вводные'!$B$128,('01_Вводные'!$B$127/'01_Вводные'!$B$132+'19_Расчет_аналитики'!AH4397*'01_Вводные'!$B$128)*(1+'01_Вводные'!$B$131)),0),0)</f>
        <v/>
      </c>
      <c r="AI4704">
        <f>IF('01_Вводные'!$B$234="Да",IF('19_Расчет_аналитики'!AI4386&gt;='01_Вводные'!$B$126,IF('01_Вводные'!$B$129="ИП",'01_Вводные'!$B$127+'19_Расчет_аналитики'!AI4397*'01_Вводные'!$B$128,('01_Вводные'!$B$127/'01_Вводные'!$B$132+'19_Расчет_аналитики'!AI4397*'01_Вводные'!$B$128)*(1+'01_Вводные'!$B$131)),0),0)</f>
        <v/>
      </c>
      <c r="AJ4704">
        <f>IF('01_Вводные'!$B$234="Да",IF('19_Расчет_аналитики'!AJ4386&gt;='01_Вводные'!$B$126,IF('01_Вводные'!$B$129="ИП",'01_Вводные'!$B$127+'19_Расчет_аналитики'!AJ4397*'01_Вводные'!$B$128,('01_Вводные'!$B$127/'01_Вводные'!$B$132+'19_Расчет_аналитики'!AJ4397*'01_Вводные'!$B$128)*(1+'01_Вводные'!$B$131)),0),0)</f>
        <v/>
      </c>
      <c r="AK4704">
        <f>IF('01_Вводные'!$B$234="Да",IF('19_Расчет_аналитики'!AK4386&gt;='01_Вводные'!$B$126,IF('01_Вводные'!$B$129="ИП",'01_Вводные'!$B$127+'19_Расчет_аналитики'!AK4397*'01_Вводные'!$B$128,('01_Вводные'!$B$127/'01_Вводные'!$B$132+'19_Расчет_аналитики'!AK4397*'01_Вводные'!$B$128)*(1+'01_Вводные'!$B$131)),0),0)</f>
        <v/>
      </c>
      <c r="AL4704">
        <f>IF('01_Вводные'!$B$234="Да",IF('19_Расчет_аналитики'!AL4386&gt;='01_Вводные'!$B$126,IF('01_Вводные'!$B$129="ИП",'01_Вводные'!$B$127+'19_Расчет_аналитики'!AL4397*'01_Вводные'!$B$128,('01_Вводные'!$B$127/'01_Вводные'!$B$132+'19_Расчет_аналитики'!AL4397*'01_Вводные'!$B$128)*(1+'01_Вводные'!$B$131)),0),0)</f>
        <v/>
      </c>
      <c r="AM4704">
        <f>IF('01_Вводные'!$B$234="Да",IF('19_Расчет_аналитики'!AM4386&gt;='01_Вводные'!$B$126,IF('01_Вводные'!$B$129="ИП",'01_Вводные'!$B$127+'19_Расчет_аналитики'!AM4397*'01_Вводные'!$B$128,('01_Вводные'!$B$127/'01_Вводные'!$B$132+'19_Расчет_аналитики'!AM4397*'01_Вводные'!$B$128)*(1+'01_Вводные'!$B$131)),0),0)</f>
        <v/>
      </c>
      <c r="AN4704">
        <f>IF('01_Вводные'!$B$234="Да",IF('19_Расчет_аналитики'!AN4386&gt;='01_Вводные'!$B$126,IF('01_Вводные'!$B$129="ИП",'01_Вводные'!$B$127+'19_Расчет_аналитики'!AN4397*'01_Вводные'!$B$128,('01_Вводные'!$B$127/'01_Вводные'!$B$132+'19_Расчет_аналитики'!AN4397*'01_Вводные'!$B$128)*(1+'01_Вводные'!$B$131)),0),0)</f>
        <v/>
      </c>
      <c r="AO4704">
        <f>IF('01_Вводные'!$B$234="Да",IF('19_Расчет_аналитики'!AO4386&gt;='01_Вводные'!$B$126,IF('01_Вводные'!$B$129="ИП",'01_Вводные'!$B$127+'19_Расчет_аналитики'!AO4397*'01_Вводные'!$B$128,('01_Вводные'!$B$127/'01_Вводные'!$B$132+'19_Расчет_аналитики'!AO4397*'01_Вводные'!$B$128)*(1+'01_Вводные'!$B$131)),0),0)</f>
        <v/>
      </c>
      <c r="AP4704">
        <f>IF('01_Вводные'!$B$234="Да",IF('19_Расчет_аналитики'!AP4386&gt;='01_Вводные'!$B$126,IF('01_Вводные'!$B$129="ИП",'01_Вводные'!$B$127+'19_Расчет_аналитики'!AP4397*'01_Вводные'!$B$128,('01_Вводные'!$B$127/'01_Вводные'!$B$132+'19_Расчет_аналитики'!AP4397*'01_Вводные'!$B$128)*(1+'01_Вводные'!$B$131)),0),0)</f>
        <v/>
      </c>
      <c r="AQ4704">
        <f>IF('01_Вводные'!$B$234="Да",IF('19_Расчет_аналитики'!AQ4386&gt;='01_Вводные'!$B$126,IF('01_Вводные'!$B$129="ИП",'01_Вводные'!$B$127+'19_Расчет_аналитики'!AQ4397*'01_Вводные'!$B$128,('01_Вводные'!$B$127/'01_Вводные'!$B$132+'19_Расчет_аналитики'!AQ4397*'01_Вводные'!$B$128)*(1+'01_Вводные'!$B$131)),0),0)</f>
        <v/>
      </c>
      <c r="AR4704">
        <f>IF('01_Вводные'!$B$234="Да",IF('19_Расчет_аналитики'!AR4386&gt;='01_Вводные'!$B$126,IF('01_Вводные'!$B$129="ИП",'01_Вводные'!$B$127+'19_Расчет_аналитики'!AR4397*'01_Вводные'!$B$128,('01_Вводные'!$B$127/'01_Вводные'!$B$132+'19_Расчет_аналитики'!AR4397*'01_Вводные'!$B$128)*(1+'01_Вводные'!$B$131)),0),0)</f>
        <v/>
      </c>
      <c r="AS4704">
        <f>IF('01_Вводные'!$B$234="Да",IF('19_Расчет_аналитики'!AS4386&gt;='01_Вводные'!$B$126,IF('01_Вводные'!$B$129="ИП",'01_Вводные'!$B$127+'19_Расчет_аналитики'!AS4397*'01_Вводные'!$B$128,('01_Вводные'!$B$127/'01_Вводные'!$B$132+'19_Расчет_аналитики'!AS4397*'01_Вводные'!$B$128)*(1+'01_Вводные'!$B$131)),0),0)</f>
        <v/>
      </c>
      <c r="AT4704">
        <f>IF('01_Вводные'!$B$234="Да",IF('19_Расчет_аналитики'!AT4386&gt;='01_Вводные'!$B$126,IF('01_Вводные'!$B$129="ИП",'01_Вводные'!$B$127+'19_Расчет_аналитики'!AT4397*'01_Вводные'!$B$128,('01_Вводные'!$B$127/'01_Вводные'!$B$132+'19_Расчет_аналитики'!AT4397*'01_Вводные'!$B$128)*(1+'01_Вводные'!$B$131)),0),0)</f>
        <v/>
      </c>
      <c r="AU4704">
        <f>IF('01_Вводные'!$B$234="Да",IF('19_Расчет_аналитики'!AU4386&gt;='01_Вводные'!$B$126,IF('01_Вводные'!$B$129="ИП",'01_Вводные'!$B$127+'19_Расчет_аналитики'!AU4397*'01_Вводные'!$B$128,('01_Вводные'!$B$127/'01_Вводные'!$B$132+'19_Расчет_аналитики'!AU4397*'01_Вводные'!$B$128)*(1+'01_Вводные'!$B$131)),0),0)</f>
        <v/>
      </c>
      <c r="AV4704">
        <f>IF('01_Вводные'!$B$234="Да",IF('19_Расчет_аналитики'!AV4386&gt;='01_Вводные'!$B$126,IF('01_Вводные'!$B$129="ИП",'01_Вводные'!$B$127+'19_Расчет_аналитики'!AV4397*'01_Вводные'!$B$128,('01_Вводные'!$B$127/'01_Вводные'!$B$132+'19_Расчет_аналитики'!AV4397*'01_Вводные'!$B$128)*(1+'01_Вводные'!$B$131)),0),0)</f>
        <v/>
      </c>
      <c r="AW4704">
        <f>IF('01_Вводные'!$B$234="Да",IF('19_Расчет_аналитики'!AW4386&gt;='01_Вводные'!$B$126,IF('01_Вводные'!$B$129="ИП",'01_Вводные'!$B$127+'19_Расчет_аналитики'!AW4397*'01_Вводные'!$B$128,('01_Вводные'!$B$127/'01_Вводные'!$B$132+'19_Расчет_аналитики'!AW4397*'01_Вводные'!$B$128)*(1+'01_Вводные'!$B$131)),0),0)</f>
        <v/>
      </c>
      <c r="AX4704">
        <f>IF('01_Вводные'!$B$234="Да",IF('19_Расчет_аналитики'!AX4386&gt;='01_Вводные'!$B$126,IF('01_Вводные'!$B$129="ИП",'01_Вводные'!$B$127+'19_Расчет_аналитики'!AX4397*'01_Вводные'!$B$128,('01_Вводные'!$B$127/'01_Вводные'!$B$132+'19_Расчет_аналитики'!AX4397*'01_Вводные'!$B$128)*(1+'01_Вводные'!$B$131)),0),0)</f>
        <v/>
      </c>
      <c r="AY4704">
        <f>IF('01_Вводные'!$B$234="Да",IF('19_Расчет_аналитики'!AY4386&gt;='01_Вводные'!$B$126,IF('01_Вводные'!$B$129="ИП",'01_Вводные'!$B$127+'19_Расчет_аналитики'!AY4397*'01_Вводные'!$B$128,('01_Вводные'!$B$127/'01_Вводные'!$B$132+'19_Расчет_аналитики'!AY4397*'01_Вводные'!$B$128)*(1+'01_Вводные'!$B$131)),0),0)</f>
        <v/>
      </c>
      <c r="AZ4704">
        <f>IF('01_Вводные'!$B$234="Да",IF('19_Расчет_аналитики'!AZ4386&gt;='01_Вводные'!$B$126,IF('01_Вводные'!$B$129="ИП",'01_Вводные'!$B$127+'19_Расчет_аналитики'!AZ4397*'01_Вводные'!$B$128,('01_Вводные'!$B$127/'01_Вводные'!$B$132+'19_Расчет_аналитики'!AZ4397*'01_Вводные'!$B$128)*(1+'01_Вводные'!$B$131)),0),0)</f>
        <v/>
      </c>
      <c r="BA4704">
        <f>IF('01_Вводные'!$B$234="Да",IF('19_Расчет_аналитики'!BA4386&gt;='01_Вводные'!$B$126,IF('01_Вводные'!$B$129="ИП",'01_Вводные'!$B$127+'19_Расчет_аналитики'!BA4397*'01_Вводные'!$B$128,('01_Вводные'!$B$127/'01_Вводные'!$B$132+'19_Расчет_аналитики'!BA4397*'01_Вводные'!$B$128)*(1+'01_Вводные'!$B$131)),0),0)</f>
        <v/>
      </c>
      <c r="BB4704">
        <f>IF('01_Вводные'!$B$234="Да",IF('19_Расчет_аналитики'!BB4386&gt;='01_Вводные'!$B$126,IF('01_Вводные'!$B$129="ИП",'01_Вводные'!$B$127+'19_Расчет_аналитики'!BB4397*'01_Вводные'!$B$128,('01_Вводные'!$B$127/'01_Вводные'!$B$132+'19_Расчет_аналитики'!BB4397*'01_Вводные'!$B$128)*(1+'01_Вводные'!$B$131)),0),0)</f>
        <v/>
      </c>
      <c r="BC4704">
        <f>IF('01_Вводные'!$B$234="Да",IF('19_Расчет_аналитики'!BC4386&gt;='01_Вводные'!$B$126,IF('01_Вводные'!$B$129="ИП",'01_Вводные'!$B$127+'19_Расчет_аналитики'!BC4397*'01_Вводные'!$B$128,('01_Вводные'!$B$127/'01_Вводные'!$B$132+'19_Расчет_аналитики'!BC4397*'01_Вводные'!$B$128)*(1+'01_Вводные'!$B$131)),0),0)</f>
        <v/>
      </c>
      <c r="BD4704">
        <f>IF('01_Вводные'!$B$234="Да",IF('19_Расчет_аналитики'!BD4386&gt;='01_Вводные'!$B$126,IF('01_Вводные'!$B$129="ИП",'01_Вводные'!$B$127+'19_Расчет_аналитики'!BD4397*'01_Вводные'!$B$128,('01_Вводные'!$B$127/'01_Вводные'!$B$132+'19_Расчет_аналитики'!BD4397*'01_Вводные'!$B$128)*(1+'01_Вводные'!$B$131)),0),0)</f>
        <v/>
      </c>
      <c r="BE4704">
        <f>IF('01_Вводные'!$B$234="Да",IF('19_Расчет_аналитики'!BE4386&gt;='01_Вводные'!$B$126,IF('01_Вводные'!$B$129="ИП",'01_Вводные'!$B$127+'19_Расчет_аналитики'!BE4397*'01_Вводные'!$B$128,('01_Вводные'!$B$127/'01_Вводные'!$B$132+'19_Расчет_аналитики'!BE4397*'01_Вводные'!$B$128)*(1+'01_Вводные'!$B$131)),0),0)</f>
        <v/>
      </c>
      <c r="BF4704">
        <f>IF('01_Вводные'!$B$234="Да",IF('19_Расчет_аналитики'!BF4386&gt;='01_Вводные'!$B$126,IF('01_Вводные'!$B$129="ИП",'01_Вводные'!$B$127+'19_Расчет_аналитики'!BF4397*'01_Вводные'!$B$128,('01_Вводные'!$B$127/'01_Вводные'!$B$132+'19_Расчет_аналитики'!BF4397*'01_Вводные'!$B$128)*(1+'01_Вводные'!$B$131)),0),0)</f>
        <v/>
      </c>
      <c r="BG4704">
        <f>IF('01_Вводные'!$B$234="Да",IF('19_Расчет_аналитики'!BG4386&gt;='01_Вводные'!$B$126,IF('01_Вводные'!$B$129="ИП",'01_Вводные'!$B$127+'19_Расчет_аналитики'!BG4397*'01_Вводные'!$B$128,('01_Вводные'!$B$127/'01_Вводные'!$B$132+'19_Расчет_аналитики'!BG4397*'01_Вводные'!$B$128)*(1+'01_Вводные'!$B$131)),0),0)</f>
        <v/>
      </c>
      <c r="BH4704">
        <f>IF('01_Вводные'!$B$234="Да",IF('19_Расчет_аналитики'!BH4386&gt;='01_Вводные'!$B$126,IF('01_Вводные'!$B$129="ИП",'01_Вводные'!$B$127+'19_Расчет_аналитики'!BH4397*'01_Вводные'!$B$128,('01_Вводные'!$B$127/'01_Вводные'!$B$132+'19_Расчет_аналитики'!BH4397*'01_Вводные'!$B$128)*(1+'01_Вводные'!$B$131)),0),0)</f>
        <v/>
      </c>
      <c r="BI4704">
        <f>IF('01_Вводные'!$B$234="Да",IF('19_Расчет_аналитики'!BI4386&gt;='01_Вводные'!$B$126,IF('01_Вводные'!$B$129="ИП",'01_Вводные'!$B$127+'19_Расчет_аналитики'!BI4397*'01_Вводные'!$B$128,('01_Вводные'!$B$127/'01_Вводные'!$B$132+'19_Расчет_аналитики'!BI4397*'01_Вводные'!$B$128)*(1+'01_Вводные'!$B$131)),0),0)</f>
        <v/>
      </c>
    </row>
    <row r="4705"/>
    <row r="4706"/>
    <row r="4707"/>
    <row r="4708"/>
    <row r="4709">
      <c r="C4709">
        <f>IF('01_Вводные'!$B$234="Да",(MAX(0,'19_Расчет_аналитики'!C4695-'08_ФОТ'!B10)*'01_Вводные'!$B$119*'08_ФОТ'!C5+IF('08_ФОТ'!C$3='01_Вводные'!$B$247,'01_Вводные'!$B$133/'01_Вводные'!$B$132,0)+IF('08_ФОТ'!C$3='01_Вводные'!$B$248,'01_Вводные'!$B$134/'01_Вводные'!$B$132,0))*'01_Вводные'!$B$120,0)</f>
        <v/>
      </c>
      <c r="D4709">
        <f>IF('01_Вводные'!$B$234="Да",(MAX(0,'19_Расчет_аналитики'!D4695-'19_Расчет_аналитики'!C4695)*'01_Вводные'!$B$119*'08_ФОТ'!D5+IF('08_ФОТ'!D$3='01_Вводные'!$B$247,'01_Вводные'!$B$133/'01_Вводные'!$B$132,0)+IF('08_ФОТ'!D$3='01_Вводные'!$B$248,'01_Вводные'!$B$134/'01_Вводные'!$B$132,0))*'01_Вводные'!$B$120,0)</f>
        <v/>
      </c>
      <c r="E4709">
        <f>IF('01_Вводные'!$B$234="Да",(MAX(0,'19_Расчет_аналитики'!E4695-'19_Расчет_аналитики'!D4695)*'01_Вводные'!$B$119*'08_ФОТ'!E5+IF('08_ФОТ'!E$3='01_Вводные'!$B$247,'01_Вводные'!$B$133/'01_Вводные'!$B$132,0)+IF('08_ФОТ'!E$3='01_Вводные'!$B$248,'01_Вводные'!$B$134/'01_Вводные'!$B$132,0))*'01_Вводные'!$B$120,0)</f>
        <v/>
      </c>
      <c r="F4709">
        <f>IF('01_Вводные'!$B$234="Да",(MAX(0,'19_Расчет_аналитики'!F4695-'19_Расчет_аналитики'!E4695)*'01_Вводные'!$B$119*'08_ФОТ'!F5+IF('08_ФОТ'!F$3='01_Вводные'!$B$247,'01_Вводные'!$B$133/'01_Вводные'!$B$132,0)+IF('08_ФОТ'!F$3='01_Вводные'!$B$248,'01_Вводные'!$B$134/'01_Вводные'!$B$132,0))*'01_Вводные'!$B$120,0)</f>
        <v/>
      </c>
      <c r="G4709">
        <f>IF('01_Вводные'!$B$234="Да",(MAX(0,'19_Расчет_аналитики'!G4695-'19_Расчет_аналитики'!F4695)*'01_Вводные'!$B$119*'08_ФОТ'!G5+IF('08_ФОТ'!G$3='01_Вводные'!$B$247,'01_Вводные'!$B$133/'01_Вводные'!$B$132,0)+IF('08_ФОТ'!G$3='01_Вводные'!$B$248,'01_Вводные'!$B$134/'01_Вводные'!$B$132,0))*'01_Вводные'!$B$120,0)</f>
        <v/>
      </c>
      <c r="H4709">
        <f>IF('01_Вводные'!$B$234="Да",(MAX(0,'19_Расчет_аналитики'!H4695-'19_Расчет_аналитики'!G4695)*'01_Вводные'!$B$119*'08_ФОТ'!H5+IF('08_ФОТ'!H$3='01_Вводные'!$B$247,'01_Вводные'!$B$133/'01_Вводные'!$B$132,0)+IF('08_ФОТ'!H$3='01_Вводные'!$B$248,'01_Вводные'!$B$134/'01_Вводные'!$B$132,0))*'01_Вводные'!$B$120,0)</f>
        <v/>
      </c>
      <c r="I4709">
        <f>IF('01_Вводные'!$B$234="Да",(MAX(0,'19_Расчет_аналитики'!I4695-'19_Расчет_аналитики'!H4695)*'01_Вводные'!$B$119*'08_ФОТ'!I5+IF('08_ФОТ'!I$3='01_Вводные'!$B$247,'01_Вводные'!$B$133/'01_Вводные'!$B$132,0)+IF('08_ФОТ'!I$3='01_Вводные'!$B$248,'01_Вводные'!$B$134/'01_Вводные'!$B$132,0))*'01_Вводные'!$B$120,0)</f>
        <v/>
      </c>
      <c r="J4709">
        <f>IF('01_Вводные'!$B$234="Да",(MAX(0,'19_Расчет_аналитики'!J4695-'19_Расчет_аналитики'!I4695)*'01_Вводные'!$B$119*'08_ФОТ'!J5+IF('08_ФОТ'!J$3='01_Вводные'!$B$247,'01_Вводные'!$B$133/'01_Вводные'!$B$132,0)+IF('08_ФОТ'!J$3='01_Вводные'!$B$248,'01_Вводные'!$B$134/'01_Вводные'!$B$132,0))*'01_Вводные'!$B$120,0)</f>
        <v/>
      </c>
      <c r="K4709">
        <f>IF('01_Вводные'!$B$234="Да",(MAX(0,'19_Расчет_аналитики'!K4695-'19_Расчет_аналитики'!J4695)*'01_Вводные'!$B$119*'08_ФОТ'!K5+IF('08_ФОТ'!K$3='01_Вводные'!$B$247,'01_Вводные'!$B$133/'01_Вводные'!$B$132,0)+IF('08_ФОТ'!K$3='01_Вводные'!$B$248,'01_Вводные'!$B$134/'01_Вводные'!$B$132,0))*'01_Вводные'!$B$120,0)</f>
        <v/>
      </c>
      <c r="L4709">
        <f>IF('01_Вводные'!$B$234="Да",(MAX(0,'19_Расчет_аналитики'!L4695-'19_Расчет_аналитики'!K4695)*'01_Вводные'!$B$119*'08_ФОТ'!L5+IF('08_ФОТ'!L$3='01_Вводные'!$B$247,'01_Вводные'!$B$133/'01_Вводные'!$B$132,0)+IF('08_ФОТ'!L$3='01_Вводные'!$B$248,'01_Вводные'!$B$134/'01_Вводные'!$B$132,0))*'01_Вводные'!$B$120,0)</f>
        <v/>
      </c>
      <c r="M4709">
        <f>IF('01_Вводные'!$B$234="Да",(MAX(0,'19_Расчет_аналитики'!M4695-'19_Расчет_аналитики'!L4695)*'01_Вводные'!$B$119*'08_ФОТ'!M5+IF('08_ФОТ'!M$3='01_Вводные'!$B$247,'01_Вводные'!$B$133/'01_Вводные'!$B$132,0)+IF('08_ФОТ'!M$3='01_Вводные'!$B$248,'01_Вводные'!$B$134/'01_Вводные'!$B$132,0))*'01_Вводные'!$B$120,0)</f>
        <v/>
      </c>
      <c r="N4709">
        <f>IF('01_Вводные'!$B$234="Да",(MAX(0,'19_Расчет_аналитики'!N4695-'19_Расчет_аналитики'!M4695)*'01_Вводные'!$B$119*'08_ФОТ'!N5+IF('08_ФОТ'!N$3='01_Вводные'!$B$247,'01_Вводные'!$B$133/'01_Вводные'!$B$132,0)+IF('08_ФОТ'!N$3='01_Вводные'!$B$248,'01_Вводные'!$B$134/'01_Вводные'!$B$132,0))*'01_Вводные'!$B$120,0)</f>
        <v/>
      </c>
      <c r="O4709">
        <f>IF('01_Вводные'!$B$234="Да",(MAX(0,'19_Расчет_аналитики'!O4695-'19_Расчет_аналитики'!N4695)*'01_Вводные'!$B$119*'08_ФОТ'!O5+IF('08_ФОТ'!O$3='01_Вводные'!$B$247,'01_Вводные'!$B$133/'01_Вводные'!$B$132,0)+IF('08_ФОТ'!O$3='01_Вводные'!$B$248,'01_Вводные'!$B$134/'01_Вводные'!$B$132,0))*'01_Вводные'!$B$120,0)</f>
        <v/>
      </c>
      <c r="P4709">
        <f>IF('01_Вводные'!$B$234="Да",(MAX(0,'19_Расчет_аналитики'!P4695-'19_Расчет_аналитики'!O4695)*'01_Вводные'!$B$119*'08_ФОТ'!P5+IF('08_ФОТ'!P$3='01_Вводные'!$B$247,'01_Вводные'!$B$133/'01_Вводные'!$B$132,0)+IF('08_ФОТ'!P$3='01_Вводные'!$B$248,'01_Вводные'!$B$134/'01_Вводные'!$B$132,0))*'01_Вводные'!$B$120,0)</f>
        <v/>
      </c>
      <c r="Q4709">
        <f>IF('01_Вводные'!$B$234="Да",(MAX(0,'19_Расчет_аналитики'!Q4695-'19_Расчет_аналитики'!P4695)*'01_Вводные'!$B$119*'08_ФОТ'!Q5+IF('08_ФОТ'!Q$3='01_Вводные'!$B$247,'01_Вводные'!$B$133/'01_Вводные'!$B$132,0)+IF('08_ФОТ'!Q$3='01_Вводные'!$B$248,'01_Вводные'!$B$134/'01_Вводные'!$B$132,0))*'01_Вводные'!$B$120,0)</f>
        <v/>
      </c>
      <c r="R4709">
        <f>IF('01_Вводные'!$B$234="Да",(MAX(0,'19_Расчет_аналитики'!R4695-'19_Расчет_аналитики'!Q4695)*'01_Вводные'!$B$119*'08_ФОТ'!R5+IF('08_ФОТ'!R$3='01_Вводные'!$B$247,'01_Вводные'!$B$133/'01_Вводные'!$B$132,0)+IF('08_ФОТ'!R$3='01_Вводные'!$B$248,'01_Вводные'!$B$134/'01_Вводные'!$B$132,0))*'01_Вводные'!$B$120,0)</f>
        <v/>
      </c>
      <c r="S4709">
        <f>IF('01_Вводные'!$B$234="Да",(MAX(0,'19_Расчет_аналитики'!S4695-'19_Расчет_аналитики'!R4695)*'01_Вводные'!$B$119*'08_ФОТ'!S5+IF('08_ФОТ'!S$3='01_Вводные'!$B$247,'01_Вводные'!$B$133/'01_Вводные'!$B$132,0)+IF('08_ФОТ'!S$3='01_Вводные'!$B$248,'01_Вводные'!$B$134/'01_Вводные'!$B$132,0))*'01_Вводные'!$B$120,0)</f>
        <v/>
      </c>
      <c r="T4709">
        <f>IF('01_Вводные'!$B$234="Да",(MAX(0,'19_Расчет_аналитики'!T4695-'19_Расчет_аналитики'!S4695)*'01_Вводные'!$B$119*'08_ФОТ'!T5+IF('08_ФОТ'!T$3='01_Вводные'!$B$247,'01_Вводные'!$B$133/'01_Вводные'!$B$132,0)+IF('08_ФОТ'!T$3='01_Вводные'!$B$248,'01_Вводные'!$B$134/'01_Вводные'!$B$132,0))*'01_Вводные'!$B$120,0)</f>
        <v/>
      </c>
      <c r="U4709">
        <f>IF('01_Вводные'!$B$234="Да",(MAX(0,'19_Расчет_аналитики'!U4695-'19_Расчет_аналитики'!T4695)*'01_Вводные'!$B$119*'08_ФОТ'!U5+IF('08_ФОТ'!U$3='01_Вводные'!$B$247,'01_Вводные'!$B$133/'01_Вводные'!$B$132,0)+IF('08_ФОТ'!U$3='01_Вводные'!$B$248,'01_Вводные'!$B$134/'01_Вводные'!$B$132,0))*'01_Вводные'!$B$120,0)</f>
        <v/>
      </c>
      <c r="V4709">
        <f>IF('01_Вводные'!$B$234="Да",(MAX(0,'19_Расчет_аналитики'!V4695-'19_Расчет_аналитики'!U4695)*'01_Вводные'!$B$119*'08_ФОТ'!V5+IF('08_ФОТ'!V$3='01_Вводные'!$B$247,'01_Вводные'!$B$133/'01_Вводные'!$B$132,0)+IF('08_ФОТ'!V$3='01_Вводные'!$B$248,'01_Вводные'!$B$134/'01_Вводные'!$B$132,0))*'01_Вводные'!$B$120,0)</f>
        <v/>
      </c>
      <c r="W4709">
        <f>IF('01_Вводные'!$B$234="Да",(MAX(0,'19_Расчет_аналитики'!W4695-'19_Расчет_аналитики'!V4695)*'01_Вводные'!$B$119*'08_ФОТ'!W5+IF('08_ФОТ'!W$3='01_Вводные'!$B$247,'01_Вводные'!$B$133/'01_Вводные'!$B$132,0)+IF('08_ФОТ'!W$3='01_Вводные'!$B$248,'01_Вводные'!$B$134/'01_Вводные'!$B$132,0))*'01_Вводные'!$B$120,0)</f>
        <v/>
      </c>
      <c r="X4709">
        <f>IF('01_Вводные'!$B$234="Да",(MAX(0,'19_Расчет_аналитики'!X4695-'19_Расчет_аналитики'!W4695)*'01_Вводные'!$B$119*'08_ФОТ'!X5+IF('08_ФОТ'!X$3='01_Вводные'!$B$247,'01_Вводные'!$B$133/'01_Вводные'!$B$132,0)+IF('08_ФОТ'!X$3='01_Вводные'!$B$248,'01_Вводные'!$B$134/'01_Вводные'!$B$132,0))*'01_Вводные'!$B$120,0)</f>
        <v/>
      </c>
      <c r="Y4709">
        <f>IF('01_Вводные'!$B$234="Да",(MAX(0,'19_Расчет_аналитики'!Y4695-'19_Расчет_аналитики'!X4695)*'01_Вводные'!$B$119*'08_ФОТ'!Y5+IF('08_ФОТ'!Y$3='01_Вводные'!$B$247,'01_Вводные'!$B$133/'01_Вводные'!$B$132,0)+IF('08_ФОТ'!Y$3='01_Вводные'!$B$248,'01_Вводные'!$B$134/'01_Вводные'!$B$132,0))*'01_Вводные'!$B$120,0)</f>
        <v/>
      </c>
      <c r="Z4709">
        <f>IF('01_Вводные'!$B$234="Да",(MAX(0,'19_Расчет_аналитики'!Z4695-'19_Расчет_аналитики'!Y4695)*'01_Вводные'!$B$119*'08_ФОТ'!Z5+IF('08_ФОТ'!Z$3='01_Вводные'!$B$247,'01_Вводные'!$B$133/'01_Вводные'!$B$132,0)+IF('08_ФОТ'!Z$3='01_Вводные'!$B$248,'01_Вводные'!$B$134/'01_Вводные'!$B$132,0))*'01_Вводные'!$B$120,0)</f>
        <v/>
      </c>
      <c r="AA4709">
        <f>IF('01_Вводные'!$B$234="Да",(MAX(0,'19_Расчет_аналитики'!AA4695-'19_Расчет_аналитики'!Z4695)*'01_Вводные'!$B$119*'08_ФОТ'!AA5+IF('08_ФОТ'!AA$3='01_Вводные'!$B$247,'01_Вводные'!$B$133/'01_Вводные'!$B$132,0)+IF('08_ФОТ'!AA$3='01_Вводные'!$B$248,'01_Вводные'!$B$134/'01_Вводные'!$B$132,0))*'01_Вводные'!$B$120,0)</f>
        <v/>
      </c>
      <c r="AB4709">
        <f>IF('01_Вводные'!$B$234="Да",(MAX(0,'19_Расчет_аналитики'!AB4695-'19_Расчет_аналитики'!AA4695)*'01_Вводные'!$B$119*'08_ФОТ'!AB5+IF('08_ФОТ'!AB$3='01_Вводные'!$B$247,'01_Вводные'!$B$133/'01_Вводные'!$B$132,0)+IF('08_ФОТ'!AB$3='01_Вводные'!$B$248,'01_Вводные'!$B$134/'01_Вводные'!$B$132,0))*'01_Вводные'!$B$120,0)</f>
        <v/>
      </c>
      <c r="AC4709">
        <f>IF('01_Вводные'!$B$234="Да",(MAX(0,'19_Расчет_аналитики'!AC4695-'19_Расчет_аналитики'!AB4695)*'01_Вводные'!$B$119*'08_ФОТ'!AC5+IF('08_ФОТ'!AC$3='01_Вводные'!$B$247,'01_Вводные'!$B$133/'01_Вводные'!$B$132,0)+IF('08_ФОТ'!AC$3='01_Вводные'!$B$248,'01_Вводные'!$B$134/'01_Вводные'!$B$132,0))*'01_Вводные'!$B$120,0)</f>
        <v/>
      </c>
      <c r="AD4709">
        <f>IF('01_Вводные'!$B$234="Да",(MAX(0,'19_Расчет_аналитики'!AD4695-'19_Расчет_аналитики'!AC4695)*'01_Вводные'!$B$119*'08_ФОТ'!AD5+IF('08_ФОТ'!AD$3='01_Вводные'!$B$247,'01_Вводные'!$B$133/'01_Вводные'!$B$132,0)+IF('08_ФОТ'!AD$3='01_Вводные'!$B$248,'01_Вводные'!$B$134/'01_Вводные'!$B$132,0))*'01_Вводные'!$B$120,0)</f>
        <v/>
      </c>
      <c r="AE4709">
        <f>IF('01_Вводные'!$B$234="Да",(MAX(0,'19_Расчет_аналитики'!AE4695-'19_Расчет_аналитики'!AD4695)*'01_Вводные'!$B$119*'08_ФОТ'!AE5+IF('08_ФОТ'!AE$3='01_Вводные'!$B$247,'01_Вводные'!$B$133/'01_Вводные'!$B$132,0)+IF('08_ФОТ'!AE$3='01_Вводные'!$B$248,'01_Вводные'!$B$134/'01_Вводные'!$B$132,0))*'01_Вводные'!$B$120,0)</f>
        <v/>
      </c>
      <c r="AF4709">
        <f>IF('01_Вводные'!$B$234="Да",(MAX(0,'19_Расчет_аналитики'!AF4695-'19_Расчет_аналитики'!AE4695)*'01_Вводные'!$B$119*'08_ФОТ'!AF5+IF('08_ФОТ'!AF$3='01_Вводные'!$B$247,'01_Вводные'!$B$133/'01_Вводные'!$B$132,0)+IF('08_ФОТ'!AF$3='01_Вводные'!$B$248,'01_Вводные'!$B$134/'01_Вводные'!$B$132,0))*'01_Вводные'!$B$120,0)</f>
        <v/>
      </c>
      <c r="AG4709">
        <f>IF('01_Вводные'!$B$234="Да",(MAX(0,'19_Расчет_аналитики'!AG4695-'19_Расчет_аналитики'!AF4695)*'01_Вводные'!$B$119*'08_ФОТ'!AG5+IF('08_ФОТ'!AG$3='01_Вводные'!$B$247,'01_Вводные'!$B$133/'01_Вводные'!$B$132,0)+IF('08_ФОТ'!AG$3='01_Вводные'!$B$248,'01_Вводные'!$B$134/'01_Вводные'!$B$132,0))*'01_Вводные'!$B$120,0)</f>
        <v/>
      </c>
      <c r="AH4709">
        <f>IF('01_Вводные'!$B$234="Да",(MAX(0,'19_Расчет_аналитики'!AH4695-'19_Расчет_аналитики'!AG4695)*'01_Вводные'!$B$119*'08_ФОТ'!AH5+IF('08_ФОТ'!AH$3='01_Вводные'!$B$247,'01_Вводные'!$B$133/'01_Вводные'!$B$132,0)+IF('08_ФОТ'!AH$3='01_Вводные'!$B$248,'01_Вводные'!$B$134/'01_Вводные'!$B$132,0))*'01_Вводные'!$B$120,0)</f>
        <v/>
      </c>
      <c r="AI4709">
        <f>IF('01_Вводные'!$B$234="Да",(MAX(0,'19_Расчет_аналитики'!AI4695-'19_Расчет_аналитики'!AH4695)*'01_Вводные'!$B$119*'08_ФОТ'!AI5+IF('08_ФОТ'!AI$3='01_Вводные'!$B$247,'01_Вводные'!$B$133/'01_Вводные'!$B$132,0)+IF('08_ФОТ'!AI$3='01_Вводные'!$B$248,'01_Вводные'!$B$134/'01_Вводные'!$B$132,0))*'01_Вводные'!$B$120,0)</f>
        <v/>
      </c>
      <c r="AJ4709">
        <f>IF('01_Вводные'!$B$234="Да",(MAX(0,'19_Расчет_аналитики'!AJ4695-'19_Расчет_аналитики'!AI4695)*'01_Вводные'!$B$119*'08_ФОТ'!AJ5+IF('08_ФОТ'!AJ$3='01_Вводные'!$B$247,'01_Вводные'!$B$133/'01_Вводные'!$B$132,0)+IF('08_ФОТ'!AJ$3='01_Вводные'!$B$248,'01_Вводные'!$B$134/'01_Вводные'!$B$132,0))*'01_Вводные'!$B$120,0)</f>
        <v/>
      </c>
      <c r="AK4709">
        <f>IF('01_Вводные'!$B$234="Да",(MAX(0,'19_Расчет_аналитики'!AK4695-'19_Расчет_аналитики'!AJ4695)*'01_Вводные'!$B$119*'08_ФОТ'!AK5+IF('08_ФОТ'!AK$3='01_Вводные'!$B$247,'01_Вводные'!$B$133/'01_Вводные'!$B$132,0)+IF('08_ФОТ'!AK$3='01_Вводные'!$B$248,'01_Вводные'!$B$134/'01_Вводные'!$B$132,0))*'01_Вводные'!$B$120,0)</f>
        <v/>
      </c>
      <c r="AL4709">
        <f>IF('01_Вводные'!$B$234="Да",(MAX(0,'19_Расчет_аналитики'!AL4695-'19_Расчет_аналитики'!AK4695)*'01_Вводные'!$B$119*'08_ФОТ'!AL5+IF('08_ФОТ'!AL$3='01_Вводные'!$B$247,'01_Вводные'!$B$133/'01_Вводные'!$B$132,0)+IF('08_ФОТ'!AL$3='01_Вводные'!$B$248,'01_Вводные'!$B$134/'01_Вводные'!$B$132,0))*'01_Вводные'!$B$120,0)</f>
        <v/>
      </c>
      <c r="AM4709">
        <f>IF('01_Вводные'!$B$234="Да",(MAX(0,'19_Расчет_аналитики'!AM4695-'19_Расчет_аналитики'!AL4695)*'01_Вводные'!$B$119*'08_ФОТ'!AM5+IF('08_ФОТ'!AM$3='01_Вводные'!$B$247,'01_Вводные'!$B$133/'01_Вводные'!$B$132,0)+IF('08_ФОТ'!AM$3='01_Вводные'!$B$248,'01_Вводные'!$B$134/'01_Вводные'!$B$132,0))*'01_Вводные'!$B$120,0)</f>
        <v/>
      </c>
      <c r="AN4709">
        <f>IF('01_Вводные'!$B$234="Да",(MAX(0,'19_Расчет_аналитики'!AN4695-'19_Расчет_аналитики'!AM4695)*'01_Вводные'!$B$119*'08_ФОТ'!AN5+IF('08_ФОТ'!AN$3='01_Вводные'!$B$247,'01_Вводные'!$B$133/'01_Вводные'!$B$132,0)+IF('08_ФОТ'!AN$3='01_Вводные'!$B$248,'01_Вводные'!$B$134/'01_Вводные'!$B$132,0))*'01_Вводные'!$B$120,0)</f>
        <v/>
      </c>
      <c r="AO4709">
        <f>IF('01_Вводные'!$B$234="Да",(MAX(0,'19_Расчет_аналитики'!AO4695-'19_Расчет_аналитики'!AN4695)*'01_Вводные'!$B$119*'08_ФОТ'!AO5+IF('08_ФОТ'!AO$3='01_Вводные'!$B$247,'01_Вводные'!$B$133/'01_Вводные'!$B$132,0)+IF('08_ФОТ'!AO$3='01_Вводные'!$B$248,'01_Вводные'!$B$134/'01_Вводные'!$B$132,0))*'01_Вводные'!$B$120,0)</f>
        <v/>
      </c>
      <c r="AP4709">
        <f>IF('01_Вводные'!$B$234="Да",(MAX(0,'19_Расчет_аналитики'!AP4695-'19_Расчет_аналитики'!AO4695)*'01_Вводные'!$B$119*'08_ФОТ'!AP5+IF('08_ФОТ'!AP$3='01_Вводные'!$B$247,'01_Вводные'!$B$133/'01_Вводные'!$B$132,0)+IF('08_ФОТ'!AP$3='01_Вводные'!$B$248,'01_Вводные'!$B$134/'01_Вводные'!$B$132,0))*'01_Вводные'!$B$120,0)</f>
        <v/>
      </c>
      <c r="AQ4709">
        <f>IF('01_Вводные'!$B$234="Да",(MAX(0,'19_Расчет_аналитики'!AQ4695-'19_Расчет_аналитики'!AP4695)*'01_Вводные'!$B$119*'08_ФОТ'!AQ5+IF('08_ФОТ'!AQ$3='01_Вводные'!$B$247,'01_Вводные'!$B$133/'01_Вводные'!$B$132,0)+IF('08_ФОТ'!AQ$3='01_Вводные'!$B$248,'01_Вводные'!$B$134/'01_Вводные'!$B$132,0))*'01_Вводные'!$B$120,0)</f>
        <v/>
      </c>
      <c r="AR4709">
        <f>IF('01_Вводные'!$B$234="Да",(MAX(0,'19_Расчет_аналитики'!AR4695-'19_Расчет_аналитики'!AQ4695)*'01_Вводные'!$B$119*'08_ФОТ'!AR5+IF('08_ФОТ'!AR$3='01_Вводные'!$B$247,'01_Вводные'!$B$133/'01_Вводные'!$B$132,0)+IF('08_ФОТ'!AR$3='01_Вводные'!$B$248,'01_Вводные'!$B$134/'01_Вводные'!$B$132,0))*'01_Вводные'!$B$120,0)</f>
        <v/>
      </c>
      <c r="AS4709">
        <f>IF('01_Вводные'!$B$234="Да",(MAX(0,'19_Расчет_аналитики'!AS4695-'19_Расчет_аналитики'!AR4695)*'01_Вводные'!$B$119*'08_ФОТ'!AS5+IF('08_ФОТ'!AS$3='01_Вводные'!$B$247,'01_Вводные'!$B$133/'01_Вводные'!$B$132,0)+IF('08_ФОТ'!AS$3='01_Вводные'!$B$248,'01_Вводные'!$B$134/'01_Вводные'!$B$132,0))*'01_Вводные'!$B$120,0)</f>
        <v/>
      </c>
      <c r="AT4709">
        <f>IF('01_Вводные'!$B$234="Да",(MAX(0,'19_Расчет_аналитики'!AT4695-'19_Расчет_аналитики'!AS4695)*'01_Вводные'!$B$119*'08_ФОТ'!AT5+IF('08_ФОТ'!AT$3='01_Вводные'!$B$247,'01_Вводные'!$B$133/'01_Вводные'!$B$132,0)+IF('08_ФОТ'!AT$3='01_Вводные'!$B$248,'01_Вводные'!$B$134/'01_Вводные'!$B$132,0))*'01_Вводные'!$B$120,0)</f>
        <v/>
      </c>
      <c r="AU4709">
        <f>IF('01_Вводные'!$B$234="Да",(MAX(0,'19_Расчет_аналитики'!AU4695-'19_Расчет_аналитики'!AT4695)*'01_Вводные'!$B$119*'08_ФОТ'!AU5+IF('08_ФОТ'!AU$3='01_Вводные'!$B$247,'01_Вводные'!$B$133/'01_Вводные'!$B$132,0)+IF('08_ФОТ'!AU$3='01_Вводные'!$B$248,'01_Вводные'!$B$134/'01_Вводные'!$B$132,0))*'01_Вводные'!$B$120,0)</f>
        <v/>
      </c>
      <c r="AV4709">
        <f>IF('01_Вводные'!$B$234="Да",(MAX(0,'19_Расчет_аналитики'!AV4695-'19_Расчет_аналитики'!AU4695)*'01_Вводные'!$B$119*'08_ФОТ'!AV5+IF('08_ФОТ'!AV$3='01_Вводные'!$B$247,'01_Вводные'!$B$133/'01_Вводные'!$B$132,0)+IF('08_ФОТ'!AV$3='01_Вводные'!$B$248,'01_Вводные'!$B$134/'01_Вводные'!$B$132,0))*'01_Вводные'!$B$120,0)</f>
        <v/>
      </c>
      <c r="AW4709">
        <f>IF('01_Вводные'!$B$234="Да",(MAX(0,'19_Расчет_аналитики'!AW4695-'19_Расчет_аналитики'!AV4695)*'01_Вводные'!$B$119*'08_ФОТ'!AW5+IF('08_ФОТ'!AW$3='01_Вводные'!$B$247,'01_Вводные'!$B$133/'01_Вводные'!$B$132,0)+IF('08_ФОТ'!AW$3='01_Вводные'!$B$248,'01_Вводные'!$B$134/'01_Вводные'!$B$132,0))*'01_Вводные'!$B$120,0)</f>
        <v/>
      </c>
      <c r="AX4709">
        <f>IF('01_Вводные'!$B$234="Да",(MAX(0,'19_Расчет_аналитики'!AX4695-'19_Расчет_аналитики'!AW4695)*'01_Вводные'!$B$119*'08_ФОТ'!AX5+IF('08_ФОТ'!AX$3='01_Вводные'!$B$247,'01_Вводные'!$B$133/'01_Вводные'!$B$132,0)+IF('08_ФОТ'!AX$3='01_Вводные'!$B$248,'01_Вводные'!$B$134/'01_Вводные'!$B$132,0))*'01_Вводные'!$B$120,0)</f>
        <v/>
      </c>
      <c r="AY4709">
        <f>IF('01_Вводные'!$B$234="Да",(MAX(0,'19_Расчет_аналитики'!AY4695-'19_Расчет_аналитики'!AX4695)*'01_Вводные'!$B$119*'08_ФОТ'!AY5+IF('08_ФОТ'!AY$3='01_Вводные'!$B$247,'01_Вводные'!$B$133/'01_Вводные'!$B$132,0)+IF('08_ФОТ'!AY$3='01_Вводные'!$B$248,'01_Вводные'!$B$134/'01_Вводные'!$B$132,0))*'01_Вводные'!$B$120,0)</f>
        <v/>
      </c>
      <c r="AZ4709">
        <f>IF('01_Вводные'!$B$234="Да",(MAX(0,'19_Расчет_аналитики'!AZ4695-'19_Расчет_аналитики'!AY4695)*'01_Вводные'!$B$119*'08_ФОТ'!AZ5+IF('08_ФОТ'!AZ$3='01_Вводные'!$B$247,'01_Вводные'!$B$133/'01_Вводные'!$B$132,0)+IF('08_ФОТ'!AZ$3='01_Вводные'!$B$248,'01_Вводные'!$B$134/'01_Вводные'!$B$132,0))*'01_Вводные'!$B$120,0)</f>
        <v/>
      </c>
      <c r="BA4709">
        <f>IF('01_Вводные'!$B$234="Да",(MAX(0,'19_Расчет_аналитики'!BA4695-'19_Расчет_аналитики'!AZ4695)*'01_Вводные'!$B$119*'08_ФОТ'!BA5+IF('08_ФОТ'!BA$3='01_Вводные'!$B$247,'01_Вводные'!$B$133/'01_Вводные'!$B$132,0)+IF('08_ФОТ'!BA$3='01_Вводные'!$B$248,'01_Вводные'!$B$134/'01_Вводные'!$B$132,0))*'01_Вводные'!$B$120,0)</f>
        <v/>
      </c>
      <c r="BB4709">
        <f>IF('01_Вводные'!$B$234="Да",(MAX(0,'19_Расчет_аналитики'!BB4695-'19_Расчет_аналитики'!BA4695)*'01_Вводные'!$B$119*'08_ФОТ'!BB5+IF('08_ФОТ'!BB$3='01_Вводные'!$B$247,'01_Вводные'!$B$133/'01_Вводные'!$B$132,0)+IF('08_ФОТ'!BB$3='01_Вводные'!$B$248,'01_Вводные'!$B$134/'01_Вводные'!$B$132,0))*'01_Вводные'!$B$120,0)</f>
        <v/>
      </c>
      <c r="BC4709">
        <f>IF('01_Вводные'!$B$234="Да",(MAX(0,'19_Расчет_аналитики'!BC4695-'19_Расчет_аналитики'!BB4695)*'01_Вводные'!$B$119*'08_ФОТ'!BC5+IF('08_ФОТ'!BC$3='01_Вводные'!$B$247,'01_Вводные'!$B$133/'01_Вводные'!$B$132,0)+IF('08_ФОТ'!BC$3='01_Вводные'!$B$248,'01_Вводные'!$B$134/'01_Вводные'!$B$132,0))*'01_Вводные'!$B$120,0)</f>
        <v/>
      </c>
      <c r="BD4709">
        <f>IF('01_Вводные'!$B$234="Да",(MAX(0,'19_Расчет_аналитики'!BD4695-'19_Расчет_аналитики'!BC4695)*'01_Вводные'!$B$119*'08_ФОТ'!BD5+IF('08_ФОТ'!BD$3='01_Вводные'!$B$247,'01_Вводные'!$B$133/'01_Вводные'!$B$132,0)+IF('08_ФОТ'!BD$3='01_Вводные'!$B$248,'01_Вводные'!$B$134/'01_Вводные'!$B$132,0))*'01_Вводные'!$B$120,0)</f>
        <v/>
      </c>
      <c r="BE4709">
        <f>IF('01_Вводные'!$B$234="Да",(MAX(0,'19_Расчет_аналитики'!BE4695-'19_Расчет_аналитики'!BD4695)*'01_Вводные'!$B$119*'08_ФОТ'!BE5+IF('08_ФОТ'!BE$3='01_Вводные'!$B$247,'01_Вводные'!$B$133/'01_Вводные'!$B$132,0)+IF('08_ФОТ'!BE$3='01_Вводные'!$B$248,'01_Вводные'!$B$134/'01_Вводные'!$B$132,0))*'01_Вводные'!$B$120,0)</f>
        <v/>
      </c>
      <c r="BF4709">
        <f>IF('01_Вводные'!$B$234="Да",(MAX(0,'19_Расчет_аналитики'!BF4695-'19_Расчет_аналитики'!BE4695)*'01_Вводные'!$B$119*'08_ФОТ'!BF5+IF('08_ФОТ'!BF$3='01_Вводные'!$B$247,'01_Вводные'!$B$133/'01_Вводные'!$B$132,0)+IF('08_ФОТ'!BF$3='01_Вводные'!$B$248,'01_Вводные'!$B$134/'01_Вводные'!$B$132,0))*'01_Вводные'!$B$120,0)</f>
        <v/>
      </c>
      <c r="BG4709">
        <f>IF('01_Вводные'!$B$234="Да",(MAX(0,'19_Расчет_аналитики'!BG4695-'19_Расчет_аналитики'!BF4695)*'01_Вводные'!$B$119*'08_ФОТ'!BG5+IF('08_ФОТ'!BG$3='01_Вводные'!$B$247,'01_Вводные'!$B$133/'01_Вводные'!$B$132,0)+IF('08_ФОТ'!BG$3='01_Вводные'!$B$248,'01_Вводные'!$B$134/'01_Вводные'!$B$132,0))*'01_Вводные'!$B$120,0)</f>
        <v/>
      </c>
      <c r="BH4709">
        <f>IF('01_Вводные'!$B$234="Да",(MAX(0,'19_Расчет_аналитики'!BH4695-'19_Расчет_аналитики'!BG4695)*'01_Вводные'!$B$119*'08_ФОТ'!BH5+IF('08_ФОТ'!BH$3='01_Вводные'!$B$247,'01_Вводные'!$B$133/'01_Вводные'!$B$132,0)+IF('08_ФОТ'!BH$3='01_Вводные'!$B$248,'01_Вводные'!$B$134/'01_Вводные'!$B$132,0))*'01_Вводные'!$B$120,0)</f>
        <v/>
      </c>
      <c r="BI4709">
        <f>IF('01_Вводные'!$B$234="Да",(MAX(0,'19_Расчет_аналитики'!BI4695-'19_Расчет_аналитики'!BH4695)*'01_Вводные'!$B$119*'08_ФОТ'!BI5+IF('08_ФОТ'!BI$3='01_Вводные'!$B$247,'01_Вводные'!$B$133/'01_Вводные'!$B$132,0)+IF('08_ФОТ'!BI$3='01_Вводные'!$B$248,'01_Вводные'!$B$134/'01_Вводные'!$B$132,0))*'01_Вводные'!$B$120,0)</f>
        <v/>
      </c>
    </row>
    <row r="4710">
      <c r="C4710">
        <f>'08_ФОТ'!C25</f>
        <v/>
      </c>
      <c r="D4710">
        <f>'08_ФОТ'!D25</f>
        <v/>
      </c>
      <c r="E4710">
        <f>'08_ФОТ'!E25</f>
        <v/>
      </c>
      <c r="F4710">
        <f>'08_ФОТ'!F25</f>
        <v/>
      </c>
      <c r="G4710">
        <f>'08_ФОТ'!G25</f>
        <v/>
      </c>
      <c r="H4710">
        <f>'08_ФОТ'!H25</f>
        <v/>
      </c>
      <c r="I4710">
        <f>'08_ФОТ'!I25</f>
        <v/>
      </c>
      <c r="J4710">
        <f>'08_ФОТ'!J25</f>
        <v/>
      </c>
      <c r="K4710">
        <f>'08_ФОТ'!K25</f>
        <v/>
      </c>
      <c r="L4710">
        <f>'08_ФОТ'!L25</f>
        <v/>
      </c>
      <c r="M4710">
        <f>'08_ФОТ'!M25</f>
        <v/>
      </c>
      <c r="N4710">
        <f>'08_ФОТ'!N25</f>
        <v/>
      </c>
      <c r="O4710">
        <f>'08_ФОТ'!O25</f>
        <v/>
      </c>
      <c r="P4710">
        <f>'08_ФОТ'!P25</f>
        <v/>
      </c>
      <c r="Q4710">
        <f>'08_ФОТ'!Q25</f>
        <v/>
      </c>
      <c r="R4710">
        <f>'08_ФОТ'!R25</f>
        <v/>
      </c>
      <c r="S4710">
        <f>'08_ФОТ'!S25</f>
        <v/>
      </c>
      <c r="T4710">
        <f>'08_ФОТ'!T25</f>
        <v/>
      </c>
      <c r="U4710">
        <f>'08_ФОТ'!U25</f>
        <v/>
      </c>
      <c r="V4710">
        <f>'08_ФОТ'!V25</f>
        <v/>
      </c>
      <c r="W4710">
        <f>'08_ФОТ'!W25</f>
        <v/>
      </c>
      <c r="X4710">
        <f>'08_ФОТ'!X25</f>
        <v/>
      </c>
      <c r="Y4710">
        <f>'08_ФОТ'!Y25</f>
        <v/>
      </c>
      <c r="Z4710">
        <f>'08_ФОТ'!Z25</f>
        <v/>
      </c>
      <c r="AA4710">
        <f>'08_ФОТ'!AA25</f>
        <v/>
      </c>
      <c r="AB4710">
        <f>'08_ФОТ'!AB25</f>
        <v/>
      </c>
      <c r="AC4710">
        <f>'08_ФОТ'!AC25</f>
        <v/>
      </c>
      <c r="AD4710">
        <f>'08_ФОТ'!AD25</f>
        <v/>
      </c>
      <c r="AE4710">
        <f>'08_ФОТ'!AE25</f>
        <v/>
      </c>
      <c r="AF4710">
        <f>'08_ФОТ'!AF25</f>
        <v/>
      </c>
      <c r="AG4710">
        <f>'08_ФОТ'!AG25</f>
        <v/>
      </c>
      <c r="AH4710">
        <f>'08_ФОТ'!AH25</f>
        <v/>
      </c>
      <c r="AI4710">
        <f>'08_ФОТ'!AI25</f>
        <v/>
      </c>
      <c r="AJ4710">
        <f>'08_ФОТ'!AJ25</f>
        <v/>
      </c>
      <c r="AK4710">
        <f>'08_ФОТ'!AK25</f>
        <v/>
      </c>
      <c r="AL4710">
        <f>'08_ФОТ'!AL25</f>
        <v/>
      </c>
      <c r="AM4710">
        <f>'08_ФОТ'!AM25</f>
        <v/>
      </c>
      <c r="AN4710">
        <f>'08_ФОТ'!AN25</f>
        <v/>
      </c>
      <c r="AO4710">
        <f>'08_ФОТ'!AO25</f>
        <v/>
      </c>
      <c r="AP4710">
        <f>'08_ФОТ'!AP25</f>
        <v/>
      </c>
      <c r="AQ4710">
        <f>'08_ФОТ'!AQ25</f>
        <v/>
      </c>
      <c r="AR4710">
        <f>'08_ФОТ'!AR25</f>
        <v/>
      </c>
      <c r="AS4710">
        <f>'08_ФОТ'!AS25</f>
        <v/>
      </c>
      <c r="AT4710">
        <f>'08_ФОТ'!AT25</f>
        <v/>
      </c>
      <c r="AU4710">
        <f>'08_ФОТ'!AU25</f>
        <v/>
      </c>
      <c r="AV4710">
        <f>'08_ФОТ'!AV25</f>
        <v/>
      </c>
      <c r="AW4710">
        <f>'08_ФОТ'!AW25</f>
        <v/>
      </c>
      <c r="AX4710">
        <f>'08_ФОТ'!AX25</f>
        <v/>
      </c>
      <c r="AY4710">
        <f>'08_ФОТ'!AY25</f>
        <v/>
      </c>
      <c r="AZ4710">
        <f>'08_ФОТ'!AZ25</f>
        <v/>
      </c>
      <c r="BA4710">
        <f>'08_ФОТ'!BA25</f>
        <v/>
      </c>
      <c r="BB4710">
        <f>'08_ФОТ'!BB25</f>
        <v/>
      </c>
      <c r="BC4710">
        <f>'08_ФОТ'!BC25</f>
        <v/>
      </c>
      <c r="BD4710">
        <f>'08_ФОТ'!BD25</f>
        <v/>
      </c>
      <c r="BE4710">
        <f>'08_ФОТ'!BE25</f>
        <v/>
      </c>
      <c r="BF4710">
        <f>'08_ФОТ'!BF25</f>
        <v/>
      </c>
      <c r="BG4710">
        <f>'08_ФОТ'!BG25</f>
        <v/>
      </c>
      <c r="BH4710">
        <f>'08_ФОТ'!BH25</f>
        <v/>
      </c>
      <c r="BI4710">
        <f>'08_ФОТ'!BI25</f>
        <v/>
      </c>
    </row>
    <row r="4711">
      <c r="C4711">
        <f>'08_ФОТ'!C26</f>
        <v/>
      </c>
      <c r="D4711">
        <f>'08_ФОТ'!D26</f>
        <v/>
      </c>
      <c r="E4711">
        <f>'08_ФОТ'!E26</f>
        <v/>
      </c>
      <c r="F4711">
        <f>'08_ФОТ'!F26</f>
        <v/>
      </c>
      <c r="G4711">
        <f>'08_ФОТ'!G26</f>
        <v/>
      </c>
      <c r="H4711">
        <f>'08_ФОТ'!H26</f>
        <v/>
      </c>
      <c r="I4711">
        <f>'08_ФОТ'!I26</f>
        <v/>
      </c>
      <c r="J4711">
        <f>'08_ФОТ'!J26</f>
        <v/>
      </c>
      <c r="K4711">
        <f>'08_ФОТ'!K26</f>
        <v/>
      </c>
      <c r="L4711">
        <f>'08_ФОТ'!L26</f>
        <v/>
      </c>
      <c r="M4711">
        <f>'08_ФОТ'!M26</f>
        <v/>
      </c>
      <c r="N4711">
        <f>'08_ФОТ'!N26</f>
        <v/>
      </c>
      <c r="O4711">
        <f>'08_ФОТ'!O26</f>
        <v/>
      </c>
      <c r="P4711">
        <f>'08_ФОТ'!P26</f>
        <v/>
      </c>
      <c r="Q4711">
        <f>'08_ФОТ'!Q26</f>
        <v/>
      </c>
      <c r="R4711">
        <f>'08_ФОТ'!R26</f>
        <v/>
      </c>
      <c r="S4711">
        <f>'08_ФОТ'!S26</f>
        <v/>
      </c>
      <c r="T4711">
        <f>'08_ФОТ'!T26</f>
        <v/>
      </c>
      <c r="U4711">
        <f>'08_ФОТ'!U26</f>
        <v/>
      </c>
      <c r="V4711">
        <f>'08_ФОТ'!V26</f>
        <v/>
      </c>
      <c r="W4711">
        <f>'08_ФОТ'!W26</f>
        <v/>
      </c>
      <c r="X4711">
        <f>'08_ФОТ'!X26</f>
        <v/>
      </c>
      <c r="Y4711">
        <f>'08_ФОТ'!Y26</f>
        <v/>
      </c>
      <c r="Z4711">
        <f>'08_ФОТ'!Z26</f>
        <v/>
      </c>
      <c r="AA4711">
        <f>'08_ФОТ'!AA26</f>
        <v/>
      </c>
      <c r="AB4711">
        <f>'08_ФОТ'!AB26</f>
        <v/>
      </c>
      <c r="AC4711">
        <f>'08_ФОТ'!AC26</f>
        <v/>
      </c>
      <c r="AD4711">
        <f>'08_ФОТ'!AD26</f>
        <v/>
      </c>
      <c r="AE4711">
        <f>'08_ФОТ'!AE26</f>
        <v/>
      </c>
      <c r="AF4711">
        <f>'08_ФОТ'!AF26</f>
        <v/>
      </c>
      <c r="AG4711">
        <f>'08_ФОТ'!AG26</f>
        <v/>
      </c>
      <c r="AH4711">
        <f>'08_ФОТ'!AH26</f>
        <v/>
      </c>
      <c r="AI4711">
        <f>'08_ФОТ'!AI26</f>
        <v/>
      </c>
      <c r="AJ4711">
        <f>'08_ФОТ'!AJ26</f>
        <v/>
      </c>
      <c r="AK4711">
        <f>'08_ФОТ'!AK26</f>
        <v/>
      </c>
      <c r="AL4711">
        <f>'08_ФОТ'!AL26</f>
        <v/>
      </c>
      <c r="AM4711">
        <f>'08_ФОТ'!AM26</f>
        <v/>
      </c>
      <c r="AN4711">
        <f>'08_ФОТ'!AN26</f>
        <v/>
      </c>
      <c r="AO4711">
        <f>'08_ФОТ'!AO26</f>
        <v/>
      </c>
      <c r="AP4711">
        <f>'08_ФОТ'!AP26</f>
        <v/>
      </c>
      <c r="AQ4711">
        <f>'08_ФОТ'!AQ26</f>
        <v/>
      </c>
      <c r="AR4711">
        <f>'08_ФОТ'!AR26</f>
        <v/>
      </c>
      <c r="AS4711">
        <f>'08_ФОТ'!AS26</f>
        <v/>
      </c>
      <c r="AT4711">
        <f>'08_ФОТ'!AT26</f>
        <v/>
      </c>
      <c r="AU4711">
        <f>'08_ФОТ'!AU26</f>
        <v/>
      </c>
      <c r="AV4711">
        <f>'08_ФОТ'!AV26</f>
        <v/>
      </c>
      <c r="AW4711">
        <f>'08_ФОТ'!AW26</f>
        <v/>
      </c>
      <c r="AX4711">
        <f>'08_ФОТ'!AX26</f>
        <v/>
      </c>
      <c r="AY4711">
        <f>'08_ФОТ'!AY26</f>
        <v/>
      </c>
      <c r="AZ4711">
        <f>'08_ФОТ'!AZ26</f>
        <v/>
      </c>
      <c r="BA4711">
        <f>'08_ФОТ'!BA26</f>
        <v/>
      </c>
      <c r="BB4711">
        <f>'08_ФОТ'!BB26</f>
        <v/>
      </c>
      <c r="BC4711">
        <f>'08_ФОТ'!BC26</f>
        <v/>
      </c>
      <c r="BD4711">
        <f>'08_ФОТ'!BD26</f>
        <v/>
      </c>
      <c r="BE4711">
        <f>'08_ФОТ'!BE26</f>
        <v/>
      </c>
      <c r="BF4711">
        <f>'08_ФОТ'!BF26</f>
        <v/>
      </c>
      <c r="BG4711">
        <f>'08_ФОТ'!BG26</f>
        <v/>
      </c>
      <c r="BH4711">
        <f>'08_ФОТ'!BH26</f>
        <v/>
      </c>
      <c r="BI4711">
        <f>'08_ФОТ'!BI26</f>
        <v/>
      </c>
    </row>
    <row r="4712"/>
    <row r="4713">
      <c r="C4713">
        <f>IF('01_Вводные'!$B$234="Да",SUM('19_Расчет_аналитики'!C4697:C4698,'19_Расчет_аналитики'!C4700:C4704,'08_ФОТ'!C21:C22,'19_Расчет_аналитики'!C4709:C4711),0)</f>
        <v/>
      </c>
      <c r="D4713">
        <f>IF('01_Вводные'!$B$234="Да",SUM('19_Расчет_аналитики'!D4697:D4698,'19_Расчет_аналитики'!D4700:D4704,'08_ФОТ'!D21:D22,'19_Расчет_аналитики'!D4709:D4711),0)</f>
        <v/>
      </c>
      <c r="E4713">
        <f>IF('01_Вводные'!$B$234="Да",SUM('19_Расчет_аналитики'!E4697:E4698,'19_Расчет_аналитики'!E4700:E4704,'08_ФОТ'!E21:E22,'19_Расчет_аналитики'!E4709:E4711),0)</f>
        <v/>
      </c>
      <c r="F4713">
        <f>IF('01_Вводные'!$B$234="Да",SUM('19_Расчет_аналитики'!F4697:F4698,'19_Расчет_аналитики'!F4700:F4704,'08_ФОТ'!F21:F22,'19_Расчет_аналитики'!F4709:F4711),0)</f>
        <v/>
      </c>
      <c r="G4713">
        <f>IF('01_Вводные'!$B$234="Да",SUM('19_Расчет_аналитики'!G4697:G4698,'19_Расчет_аналитики'!G4700:G4704,'08_ФОТ'!G21:G22,'19_Расчет_аналитики'!G4709:G4711),0)</f>
        <v/>
      </c>
      <c r="H4713">
        <f>IF('01_Вводные'!$B$234="Да",SUM('19_Расчет_аналитики'!H4697:H4698,'19_Расчет_аналитики'!H4700:H4704,'08_ФОТ'!H21:H22,'19_Расчет_аналитики'!H4709:H4711),0)</f>
        <v/>
      </c>
      <c r="I4713">
        <f>IF('01_Вводные'!$B$234="Да",SUM('19_Расчет_аналитики'!I4697:I4698,'19_Расчет_аналитики'!I4700:I4704,'08_ФОТ'!I21:I22,'19_Расчет_аналитики'!I4709:I4711),0)</f>
        <v/>
      </c>
      <c r="J4713">
        <f>IF('01_Вводные'!$B$234="Да",SUM('19_Расчет_аналитики'!J4697:J4698,'19_Расчет_аналитики'!J4700:J4704,'08_ФОТ'!J21:J22,'19_Расчет_аналитики'!J4709:J4711),0)</f>
        <v/>
      </c>
      <c r="K4713">
        <f>IF('01_Вводные'!$B$234="Да",SUM('19_Расчет_аналитики'!K4697:K4698,'19_Расчет_аналитики'!K4700:K4704,'08_ФОТ'!K21:K22,'19_Расчет_аналитики'!K4709:K4711),0)</f>
        <v/>
      </c>
      <c r="L4713">
        <f>IF('01_Вводные'!$B$234="Да",SUM('19_Расчет_аналитики'!L4697:L4698,'19_Расчет_аналитики'!L4700:L4704,'08_ФОТ'!L21:L22,'19_Расчет_аналитики'!L4709:L4711),0)</f>
        <v/>
      </c>
      <c r="M4713">
        <f>IF('01_Вводные'!$B$234="Да",SUM('19_Расчет_аналитики'!M4697:M4698,'19_Расчет_аналитики'!M4700:M4704,'08_ФОТ'!M21:M22,'19_Расчет_аналитики'!M4709:M4711),0)</f>
        <v/>
      </c>
      <c r="N4713">
        <f>IF('01_Вводные'!$B$234="Да",SUM('19_Расчет_аналитики'!N4697:N4698,'19_Расчет_аналитики'!N4700:N4704,'08_ФОТ'!N21:N22,'19_Расчет_аналитики'!N4709:N4711),0)</f>
        <v/>
      </c>
      <c r="O4713">
        <f>IF('01_Вводные'!$B$234="Да",SUM('19_Расчет_аналитики'!O4697:O4698,'19_Расчет_аналитики'!O4700:O4704,'08_ФОТ'!O21:O22,'19_Расчет_аналитики'!O4709:O4711),0)</f>
        <v/>
      </c>
      <c r="P4713">
        <f>IF('01_Вводные'!$B$234="Да",SUM('19_Расчет_аналитики'!P4697:P4698,'19_Расчет_аналитики'!P4700:P4704,'08_ФОТ'!P21:P22,'19_Расчет_аналитики'!P4709:P4711),0)</f>
        <v/>
      </c>
      <c r="Q4713">
        <f>IF('01_Вводные'!$B$234="Да",SUM('19_Расчет_аналитики'!Q4697:Q4698,'19_Расчет_аналитики'!Q4700:Q4704,'08_ФОТ'!Q21:Q22,'19_Расчет_аналитики'!Q4709:Q4711),0)</f>
        <v/>
      </c>
      <c r="R4713">
        <f>IF('01_Вводные'!$B$234="Да",SUM('19_Расчет_аналитики'!R4697:R4698,'19_Расчет_аналитики'!R4700:R4704,'08_ФОТ'!R21:R22,'19_Расчет_аналитики'!R4709:R4711),0)</f>
        <v/>
      </c>
      <c r="S4713">
        <f>IF('01_Вводные'!$B$234="Да",SUM('19_Расчет_аналитики'!S4697:S4698,'19_Расчет_аналитики'!S4700:S4704,'08_ФОТ'!S21:S22,'19_Расчет_аналитики'!S4709:S4711),0)</f>
        <v/>
      </c>
      <c r="T4713">
        <f>IF('01_Вводные'!$B$234="Да",SUM('19_Расчет_аналитики'!T4697:T4698,'19_Расчет_аналитики'!T4700:T4704,'08_ФОТ'!T21:T22,'19_Расчет_аналитики'!T4709:T4711),0)</f>
        <v/>
      </c>
      <c r="U4713">
        <f>IF('01_Вводные'!$B$234="Да",SUM('19_Расчет_аналитики'!U4697:U4698,'19_Расчет_аналитики'!U4700:U4704,'08_ФОТ'!U21:U22,'19_Расчет_аналитики'!U4709:U4711),0)</f>
        <v/>
      </c>
      <c r="V4713">
        <f>IF('01_Вводные'!$B$234="Да",SUM('19_Расчет_аналитики'!V4697:V4698,'19_Расчет_аналитики'!V4700:V4704,'08_ФОТ'!V21:V22,'19_Расчет_аналитики'!V4709:V4711),0)</f>
        <v/>
      </c>
      <c r="W4713">
        <f>IF('01_Вводные'!$B$234="Да",SUM('19_Расчет_аналитики'!W4697:W4698,'19_Расчет_аналитики'!W4700:W4704,'08_ФОТ'!W21:W22,'19_Расчет_аналитики'!W4709:W4711),0)</f>
        <v/>
      </c>
      <c r="X4713">
        <f>IF('01_Вводные'!$B$234="Да",SUM('19_Расчет_аналитики'!X4697:X4698,'19_Расчет_аналитики'!X4700:X4704,'08_ФОТ'!X21:X22,'19_Расчет_аналитики'!X4709:X4711),0)</f>
        <v/>
      </c>
      <c r="Y4713">
        <f>IF('01_Вводные'!$B$234="Да",SUM('19_Расчет_аналитики'!Y4697:Y4698,'19_Расчет_аналитики'!Y4700:Y4704,'08_ФОТ'!Y21:Y22,'19_Расчет_аналитики'!Y4709:Y4711),0)</f>
        <v/>
      </c>
      <c r="Z4713">
        <f>IF('01_Вводные'!$B$234="Да",SUM('19_Расчет_аналитики'!Z4697:Z4698,'19_Расчет_аналитики'!Z4700:Z4704,'08_ФОТ'!Z21:Z22,'19_Расчет_аналитики'!Z4709:Z4711),0)</f>
        <v/>
      </c>
      <c r="AA4713">
        <f>IF('01_Вводные'!$B$234="Да",SUM('19_Расчет_аналитики'!AA4697:AA4698,'19_Расчет_аналитики'!AA4700:AA4704,'08_ФОТ'!AA21:AA22,'19_Расчет_аналитики'!AA4709:AA4711),0)</f>
        <v/>
      </c>
      <c r="AB4713">
        <f>IF('01_Вводные'!$B$234="Да",SUM('19_Расчет_аналитики'!AB4697:AB4698,'19_Расчет_аналитики'!AB4700:AB4704,'08_ФОТ'!AB21:AB22,'19_Расчет_аналитики'!AB4709:AB4711),0)</f>
        <v/>
      </c>
      <c r="AC4713">
        <f>IF('01_Вводные'!$B$234="Да",SUM('19_Расчет_аналитики'!AC4697:AC4698,'19_Расчет_аналитики'!AC4700:AC4704,'08_ФОТ'!AC21:AC22,'19_Расчет_аналитики'!AC4709:AC4711),0)</f>
        <v/>
      </c>
      <c r="AD4713">
        <f>IF('01_Вводные'!$B$234="Да",SUM('19_Расчет_аналитики'!AD4697:AD4698,'19_Расчет_аналитики'!AD4700:AD4704,'08_ФОТ'!AD21:AD22,'19_Расчет_аналитики'!AD4709:AD4711),0)</f>
        <v/>
      </c>
      <c r="AE4713">
        <f>IF('01_Вводные'!$B$234="Да",SUM('19_Расчет_аналитики'!AE4697:AE4698,'19_Расчет_аналитики'!AE4700:AE4704,'08_ФОТ'!AE21:AE22,'19_Расчет_аналитики'!AE4709:AE4711),0)</f>
        <v/>
      </c>
      <c r="AF4713">
        <f>IF('01_Вводные'!$B$234="Да",SUM('19_Расчет_аналитики'!AF4697:AF4698,'19_Расчет_аналитики'!AF4700:AF4704,'08_ФОТ'!AF21:AF22,'19_Расчет_аналитики'!AF4709:AF4711),0)</f>
        <v/>
      </c>
      <c r="AG4713">
        <f>IF('01_Вводные'!$B$234="Да",SUM('19_Расчет_аналитики'!AG4697:AG4698,'19_Расчет_аналитики'!AG4700:AG4704,'08_ФОТ'!AG21:AG22,'19_Расчет_аналитики'!AG4709:AG4711),0)</f>
        <v/>
      </c>
      <c r="AH4713">
        <f>IF('01_Вводные'!$B$234="Да",SUM('19_Расчет_аналитики'!AH4697:AH4698,'19_Расчет_аналитики'!AH4700:AH4704,'08_ФОТ'!AH21:AH22,'19_Расчет_аналитики'!AH4709:AH4711),0)</f>
        <v/>
      </c>
      <c r="AI4713">
        <f>IF('01_Вводные'!$B$234="Да",SUM('19_Расчет_аналитики'!AI4697:AI4698,'19_Расчет_аналитики'!AI4700:AI4704,'08_ФОТ'!AI21:AI22,'19_Расчет_аналитики'!AI4709:AI4711),0)</f>
        <v/>
      </c>
      <c r="AJ4713">
        <f>IF('01_Вводные'!$B$234="Да",SUM('19_Расчет_аналитики'!AJ4697:AJ4698,'19_Расчет_аналитики'!AJ4700:AJ4704,'08_ФОТ'!AJ21:AJ22,'19_Расчет_аналитики'!AJ4709:AJ4711),0)</f>
        <v/>
      </c>
      <c r="AK4713">
        <f>IF('01_Вводные'!$B$234="Да",SUM('19_Расчет_аналитики'!AK4697:AK4698,'19_Расчет_аналитики'!AK4700:AK4704,'08_ФОТ'!AK21:AK22,'19_Расчет_аналитики'!AK4709:AK4711),0)</f>
        <v/>
      </c>
      <c r="AL4713">
        <f>IF('01_Вводные'!$B$234="Да",SUM('19_Расчет_аналитики'!AL4697:AL4698,'19_Расчет_аналитики'!AL4700:AL4704,'08_ФОТ'!AL21:AL22,'19_Расчет_аналитики'!AL4709:AL4711),0)</f>
        <v/>
      </c>
      <c r="AM4713">
        <f>IF('01_Вводные'!$B$234="Да",SUM('19_Расчет_аналитики'!AM4697:AM4698,'19_Расчет_аналитики'!AM4700:AM4704,'08_ФОТ'!AM21:AM22,'19_Расчет_аналитики'!AM4709:AM4711),0)</f>
        <v/>
      </c>
      <c r="AN4713">
        <f>IF('01_Вводные'!$B$234="Да",SUM('19_Расчет_аналитики'!AN4697:AN4698,'19_Расчет_аналитики'!AN4700:AN4704,'08_ФОТ'!AN21:AN22,'19_Расчет_аналитики'!AN4709:AN4711),0)</f>
        <v/>
      </c>
      <c r="AO4713">
        <f>IF('01_Вводные'!$B$234="Да",SUM('19_Расчет_аналитики'!AO4697:AO4698,'19_Расчет_аналитики'!AO4700:AO4704,'08_ФОТ'!AO21:AO22,'19_Расчет_аналитики'!AO4709:AO4711),0)</f>
        <v/>
      </c>
      <c r="AP4713">
        <f>IF('01_Вводные'!$B$234="Да",SUM('19_Расчет_аналитики'!AP4697:AP4698,'19_Расчет_аналитики'!AP4700:AP4704,'08_ФОТ'!AP21:AP22,'19_Расчет_аналитики'!AP4709:AP4711),0)</f>
        <v/>
      </c>
      <c r="AQ4713">
        <f>IF('01_Вводные'!$B$234="Да",SUM('19_Расчет_аналитики'!AQ4697:AQ4698,'19_Расчет_аналитики'!AQ4700:AQ4704,'08_ФОТ'!AQ21:AQ22,'19_Расчет_аналитики'!AQ4709:AQ4711),0)</f>
        <v/>
      </c>
      <c r="AR4713">
        <f>IF('01_Вводные'!$B$234="Да",SUM('19_Расчет_аналитики'!AR4697:AR4698,'19_Расчет_аналитики'!AR4700:AR4704,'08_ФОТ'!AR21:AR22,'19_Расчет_аналитики'!AR4709:AR4711),0)</f>
        <v/>
      </c>
      <c r="AS4713">
        <f>IF('01_Вводные'!$B$234="Да",SUM('19_Расчет_аналитики'!AS4697:AS4698,'19_Расчет_аналитики'!AS4700:AS4704,'08_ФОТ'!AS21:AS22,'19_Расчет_аналитики'!AS4709:AS4711),0)</f>
        <v/>
      </c>
      <c r="AT4713">
        <f>IF('01_Вводные'!$B$234="Да",SUM('19_Расчет_аналитики'!AT4697:AT4698,'19_Расчет_аналитики'!AT4700:AT4704,'08_ФОТ'!AT21:AT22,'19_Расчет_аналитики'!AT4709:AT4711),0)</f>
        <v/>
      </c>
      <c r="AU4713">
        <f>IF('01_Вводные'!$B$234="Да",SUM('19_Расчет_аналитики'!AU4697:AU4698,'19_Расчет_аналитики'!AU4700:AU4704,'08_ФОТ'!AU21:AU22,'19_Расчет_аналитики'!AU4709:AU4711),0)</f>
        <v/>
      </c>
      <c r="AV4713">
        <f>IF('01_Вводные'!$B$234="Да",SUM('19_Расчет_аналитики'!AV4697:AV4698,'19_Расчет_аналитики'!AV4700:AV4704,'08_ФОТ'!AV21:AV22,'19_Расчет_аналитики'!AV4709:AV4711),0)</f>
        <v/>
      </c>
      <c r="AW4713">
        <f>IF('01_Вводные'!$B$234="Да",SUM('19_Расчет_аналитики'!AW4697:AW4698,'19_Расчет_аналитики'!AW4700:AW4704,'08_ФОТ'!AW21:AW22,'19_Расчет_аналитики'!AW4709:AW4711),0)</f>
        <v/>
      </c>
      <c r="AX4713">
        <f>IF('01_Вводные'!$B$234="Да",SUM('19_Расчет_аналитики'!AX4697:AX4698,'19_Расчет_аналитики'!AX4700:AX4704,'08_ФОТ'!AX21:AX22,'19_Расчет_аналитики'!AX4709:AX4711),0)</f>
        <v/>
      </c>
      <c r="AY4713">
        <f>IF('01_Вводные'!$B$234="Да",SUM('19_Расчет_аналитики'!AY4697:AY4698,'19_Расчет_аналитики'!AY4700:AY4704,'08_ФОТ'!AY21:AY22,'19_Расчет_аналитики'!AY4709:AY4711),0)</f>
        <v/>
      </c>
      <c r="AZ4713">
        <f>IF('01_Вводные'!$B$234="Да",SUM('19_Расчет_аналитики'!AZ4697:AZ4698,'19_Расчет_аналитики'!AZ4700:AZ4704,'08_ФОТ'!AZ21:AZ22,'19_Расчет_аналитики'!AZ4709:AZ4711),0)</f>
        <v/>
      </c>
      <c r="BA4713">
        <f>IF('01_Вводные'!$B$234="Да",SUM('19_Расчет_аналитики'!BA4697:BA4698,'19_Расчет_аналитики'!BA4700:BA4704,'08_ФОТ'!BA21:BA22,'19_Расчет_аналитики'!BA4709:BA4711),0)</f>
        <v/>
      </c>
      <c r="BB4713">
        <f>IF('01_Вводные'!$B$234="Да",SUM('19_Расчет_аналитики'!BB4697:BB4698,'19_Расчет_аналитики'!BB4700:BB4704,'08_ФОТ'!BB21:BB22,'19_Расчет_аналитики'!BB4709:BB4711),0)</f>
        <v/>
      </c>
      <c r="BC4713">
        <f>IF('01_Вводные'!$B$234="Да",SUM('19_Расчет_аналитики'!BC4697:BC4698,'19_Расчет_аналитики'!BC4700:BC4704,'08_ФОТ'!BC21:BC22,'19_Расчет_аналитики'!BC4709:BC4711),0)</f>
        <v/>
      </c>
      <c r="BD4713">
        <f>IF('01_Вводные'!$B$234="Да",SUM('19_Расчет_аналитики'!BD4697:BD4698,'19_Расчет_аналитики'!BD4700:BD4704,'08_ФОТ'!BD21:BD22,'19_Расчет_аналитики'!BD4709:BD4711),0)</f>
        <v/>
      </c>
      <c r="BE4713">
        <f>IF('01_Вводные'!$B$234="Да",SUM('19_Расчет_аналитики'!BE4697:BE4698,'19_Расчет_аналитики'!BE4700:BE4704,'08_ФОТ'!BE21:BE22,'19_Расчет_аналитики'!BE4709:BE4711),0)</f>
        <v/>
      </c>
      <c r="BF4713">
        <f>IF('01_Вводные'!$B$234="Да",SUM('19_Расчет_аналитики'!BF4697:BF4698,'19_Расчет_аналитики'!BF4700:BF4704,'08_ФОТ'!BF21:BF22,'19_Расчет_аналитики'!BF4709:BF4711),0)</f>
        <v/>
      </c>
      <c r="BG4713">
        <f>IF('01_Вводные'!$B$234="Да",SUM('19_Расчет_аналитики'!BG4697:BG4698,'19_Расчет_аналитики'!BG4700:BG4704,'08_ФОТ'!BG21:BG22,'19_Расчет_аналитики'!BG4709:BG4711),0)</f>
        <v/>
      </c>
      <c r="BH4713">
        <f>IF('01_Вводные'!$B$234="Да",SUM('19_Расчет_аналитики'!BH4697:BH4698,'19_Расчет_аналитики'!BH4700:BH4704,'08_ФОТ'!BH21:BH22,'19_Расчет_аналитики'!BH4709:BH4711),0)</f>
        <v/>
      </c>
      <c r="BI4713">
        <f>IF('01_Вводные'!$B$234="Да",SUM('19_Расчет_аналитики'!BI4697:BI4698,'19_Расчет_аналитики'!BI4700:BI4704,'08_ФОТ'!BI21:BI22,'19_Расчет_аналитики'!BI4709:BI4711),0)</f>
        <v/>
      </c>
    </row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>
      <c r="C4755">
        <f>IF('01_Вводные'!$B$234="Да",'19_Расчет_аналитики'!C4413,0)</f>
        <v/>
      </c>
      <c r="D4755">
        <f>IF('01_Вводные'!$B$234="Да",'19_Расчет_аналитики'!D4413,0)</f>
        <v/>
      </c>
      <c r="E4755">
        <f>IF('01_Вводные'!$B$234="Да",'19_Расчет_аналитики'!E4413,0)</f>
        <v/>
      </c>
      <c r="F4755">
        <f>IF('01_Вводные'!$B$234="Да",'19_Расчет_аналитики'!F4413,0)</f>
        <v/>
      </c>
      <c r="G4755">
        <f>IF('01_Вводные'!$B$234="Да",'19_Расчет_аналитики'!G4413,0)</f>
        <v/>
      </c>
      <c r="H4755">
        <f>IF('01_Вводные'!$B$234="Да",'19_Расчет_аналитики'!H4413,0)</f>
        <v/>
      </c>
      <c r="I4755">
        <f>IF('01_Вводные'!$B$234="Да",'19_Расчет_аналитики'!I4413,0)</f>
        <v/>
      </c>
      <c r="J4755">
        <f>IF('01_Вводные'!$B$234="Да",'19_Расчет_аналитики'!J4413,0)</f>
        <v/>
      </c>
      <c r="K4755">
        <f>IF('01_Вводные'!$B$234="Да",'19_Расчет_аналитики'!K4413,0)</f>
        <v/>
      </c>
      <c r="L4755">
        <f>IF('01_Вводные'!$B$234="Да",'19_Расчет_аналитики'!L4413,0)</f>
        <v/>
      </c>
      <c r="M4755">
        <f>IF('01_Вводные'!$B$234="Да",'19_Расчет_аналитики'!M4413,0)</f>
        <v/>
      </c>
      <c r="N4755">
        <f>IF('01_Вводные'!$B$234="Да",'19_Расчет_аналитики'!N4413,0)</f>
        <v/>
      </c>
      <c r="O4755">
        <f>IF('01_Вводные'!$B$234="Да",'19_Расчет_аналитики'!O4413,0)</f>
        <v/>
      </c>
      <c r="P4755">
        <f>IF('01_Вводные'!$B$234="Да",'19_Расчет_аналитики'!P4413,0)</f>
        <v/>
      </c>
      <c r="Q4755">
        <f>IF('01_Вводные'!$B$234="Да",'19_Расчет_аналитики'!Q4413,0)</f>
        <v/>
      </c>
      <c r="R4755">
        <f>IF('01_Вводные'!$B$234="Да",'19_Расчет_аналитики'!R4413,0)</f>
        <v/>
      </c>
      <c r="S4755">
        <f>IF('01_Вводные'!$B$234="Да",'19_Расчет_аналитики'!S4413,0)</f>
        <v/>
      </c>
      <c r="T4755">
        <f>IF('01_Вводные'!$B$234="Да",'19_Расчет_аналитики'!T4413,0)</f>
        <v/>
      </c>
      <c r="U4755">
        <f>IF('01_Вводные'!$B$234="Да",'19_Расчет_аналитики'!U4413,0)</f>
        <v/>
      </c>
      <c r="V4755">
        <f>IF('01_Вводные'!$B$234="Да",'19_Расчет_аналитики'!V4413,0)</f>
        <v/>
      </c>
      <c r="W4755">
        <f>IF('01_Вводные'!$B$234="Да",'19_Расчет_аналитики'!W4413,0)</f>
        <v/>
      </c>
      <c r="X4755">
        <f>IF('01_Вводные'!$B$234="Да",'19_Расчет_аналитики'!X4413,0)</f>
        <v/>
      </c>
      <c r="Y4755">
        <f>IF('01_Вводные'!$B$234="Да",'19_Расчет_аналитики'!Y4413,0)</f>
        <v/>
      </c>
      <c r="Z4755">
        <f>IF('01_Вводные'!$B$234="Да",'19_Расчет_аналитики'!Z4413,0)</f>
        <v/>
      </c>
      <c r="AA4755">
        <f>IF('01_Вводные'!$B$234="Да",'19_Расчет_аналитики'!AA4413,0)</f>
        <v/>
      </c>
      <c r="AB4755">
        <f>IF('01_Вводные'!$B$234="Да",'19_Расчет_аналитики'!AB4413,0)</f>
        <v/>
      </c>
      <c r="AC4755">
        <f>IF('01_Вводные'!$B$234="Да",'19_Расчет_аналитики'!AC4413,0)</f>
        <v/>
      </c>
      <c r="AD4755">
        <f>IF('01_Вводные'!$B$234="Да",'19_Расчет_аналитики'!AD4413,0)</f>
        <v/>
      </c>
      <c r="AE4755">
        <f>IF('01_Вводные'!$B$234="Да",'19_Расчет_аналитики'!AE4413,0)</f>
        <v/>
      </c>
      <c r="AF4755">
        <f>IF('01_Вводные'!$B$234="Да",'19_Расчет_аналитики'!AF4413,0)</f>
        <v/>
      </c>
      <c r="AG4755">
        <f>IF('01_Вводные'!$B$234="Да",'19_Расчет_аналитики'!AG4413,0)</f>
        <v/>
      </c>
      <c r="AH4755">
        <f>IF('01_Вводные'!$B$234="Да",'19_Расчет_аналитики'!AH4413,0)</f>
        <v/>
      </c>
      <c r="AI4755">
        <f>IF('01_Вводные'!$B$234="Да",'19_Расчет_аналитики'!AI4413,0)</f>
        <v/>
      </c>
      <c r="AJ4755">
        <f>IF('01_Вводные'!$B$234="Да",'19_Расчет_аналитики'!AJ4413,0)</f>
        <v/>
      </c>
      <c r="AK4755">
        <f>IF('01_Вводные'!$B$234="Да",'19_Расчет_аналитики'!AK4413,0)</f>
        <v/>
      </c>
      <c r="AL4755">
        <f>IF('01_Вводные'!$B$234="Да",'19_Расчет_аналитики'!AL4413,0)</f>
        <v/>
      </c>
      <c r="AM4755">
        <f>IF('01_Вводные'!$B$234="Да",'19_Расчет_аналитики'!AM4413,0)</f>
        <v/>
      </c>
      <c r="AN4755">
        <f>IF('01_Вводные'!$B$234="Да",'19_Расчет_аналитики'!AN4413,0)</f>
        <v/>
      </c>
      <c r="AO4755">
        <f>IF('01_Вводные'!$B$234="Да",'19_Расчет_аналитики'!AO4413,0)</f>
        <v/>
      </c>
      <c r="AP4755">
        <f>IF('01_Вводные'!$B$234="Да",'19_Расчет_аналитики'!AP4413,0)</f>
        <v/>
      </c>
      <c r="AQ4755">
        <f>IF('01_Вводные'!$B$234="Да",'19_Расчет_аналитики'!AQ4413,0)</f>
        <v/>
      </c>
      <c r="AR4755">
        <f>IF('01_Вводные'!$B$234="Да",'19_Расчет_аналитики'!AR4413,0)</f>
        <v/>
      </c>
      <c r="AS4755">
        <f>IF('01_Вводные'!$B$234="Да",'19_Расчет_аналитики'!AS4413,0)</f>
        <v/>
      </c>
      <c r="AT4755">
        <f>IF('01_Вводные'!$B$234="Да",'19_Расчет_аналитики'!AT4413,0)</f>
        <v/>
      </c>
      <c r="AU4755">
        <f>IF('01_Вводные'!$B$234="Да",'19_Расчет_аналитики'!AU4413,0)</f>
        <v/>
      </c>
      <c r="AV4755">
        <f>IF('01_Вводные'!$B$234="Да",'19_Расчет_аналитики'!AV4413,0)</f>
        <v/>
      </c>
      <c r="AW4755">
        <f>IF('01_Вводные'!$B$234="Да",'19_Расчет_аналитики'!AW4413,0)</f>
        <v/>
      </c>
      <c r="AX4755">
        <f>IF('01_Вводные'!$B$234="Да",'19_Расчет_аналитики'!AX4413,0)</f>
        <v/>
      </c>
      <c r="AY4755">
        <f>IF('01_Вводные'!$B$234="Да",'19_Расчет_аналитики'!AY4413,0)</f>
        <v/>
      </c>
      <c r="AZ4755">
        <f>IF('01_Вводные'!$B$234="Да",'19_Расчет_аналитики'!AZ4413,0)</f>
        <v/>
      </c>
      <c r="BA4755">
        <f>IF('01_Вводные'!$B$234="Да",'19_Расчет_аналитики'!BA4413,0)</f>
        <v/>
      </c>
      <c r="BB4755">
        <f>IF('01_Вводные'!$B$234="Да",'19_Расчет_аналитики'!BB4413,0)</f>
        <v/>
      </c>
      <c r="BC4755">
        <f>IF('01_Вводные'!$B$234="Да",'19_Расчет_аналитики'!BC4413,0)</f>
        <v/>
      </c>
      <c r="BD4755">
        <f>IF('01_Вводные'!$B$234="Да",'19_Расчет_аналитики'!BD4413,0)</f>
        <v/>
      </c>
      <c r="BE4755">
        <f>IF('01_Вводные'!$B$234="Да",'19_Расчет_аналитики'!BE4413,0)</f>
        <v/>
      </c>
      <c r="BF4755">
        <f>IF('01_Вводные'!$B$234="Да",'19_Расчет_аналитики'!BF4413,0)</f>
        <v/>
      </c>
      <c r="BG4755">
        <f>IF('01_Вводные'!$B$234="Да",'19_Расчет_аналитики'!BG4413,0)</f>
        <v/>
      </c>
      <c r="BH4755">
        <f>IF('01_Вводные'!$B$234="Да",'19_Расчет_аналитики'!BH4413,0)</f>
        <v/>
      </c>
      <c r="BI4755">
        <f>IF('01_Вводные'!$B$234="Да",'19_Расчет_аналитики'!BI4413,0)</f>
        <v/>
      </c>
    </row>
    <row r="4756">
      <c r="B4756">
        <f>IF('01_Вводные'!$B$234="Да",'19_Расчет_аналитики'!B4427,0)</f>
        <v/>
      </c>
      <c r="C4756">
        <f>IF('01_Вводные'!$B$234="Да",'19_Расчет_аналитики'!C4427,0)</f>
        <v/>
      </c>
      <c r="D4756">
        <f>IF('01_Вводные'!$B$234="Да",'19_Расчет_аналитики'!D4427,0)</f>
        <v/>
      </c>
      <c r="E4756">
        <f>IF('01_Вводные'!$B$234="Да",'19_Расчет_аналитики'!E4427,0)</f>
        <v/>
      </c>
      <c r="F4756">
        <f>IF('01_Вводные'!$B$234="Да",'19_Расчет_аналитики'!F4427,0)</f>
        <v/>
      </c>
      <c r="G4756">
        <f>IF('01_Вводные'!$B$234="Да",'19_Расчет_аналитики'!G4427,0)</f>
        <v/>
      </c>
      <c r="H4756">
        <f>IF('01_Вводные'!$B$234="Да",'19_Расчет_аналитики'!H4427,0)</f>
        <v/>
      </c>
      <c r="I4756">
        <f>IF('01_Вводные'!$B$234="Да",'19_Расчет_аналитики'!I4427,0)</f>
        <v/>
      </c>
      <c r="J4756">
        <f>IF('01_Вводные'!$B$234="Да",'19_Расчет_аналитики'!J4427,0)</f>
        <v/>
      </c>
      <c r="K4756">
        <f>IF('01_Вводные'!$B$234="Да",'19_Расчет_аналитики'!K4427,0)</f>
        <v/>
      </c>
      <c r="L4756">
        <f>IF('01_Вводные'!$B$234="Да",'19_Расчет_аналитики'!L4427,0)</f>
        <v/>
      </c>
      <c r="M4756">
        <f>IF('01_Вводные'!$B$234="Да",'19_Расчет_аналитики'!M4427,0)</f>
        <v/>
      </c>
      <c r="N4756">
        <f>IF('01_Вводные'!$B$234="Да",'19_Расчет_аналитики'!N4427,0)</f>
        <v/>
      </c>
      <c r="O4756">
        <f>IF('01_Вводные'!$B$234="Да",'19_Расчет_аналитики'!O4427,0)</f>
        <v/>
      </c>
      <c r="P4756">
        <f>IF('01_Вводные'!$B$234="Да",'19_Расчет_аналитики'!P4427,0)</f>
        <v/>
      </c>
      <c r="Q4756">
        <f>IF('01_Вводные'!$B$234="Да",'19_Расчет_аналитики'!Q4427,0)</f>
        <v/>
      </c>
      <c r="R4756">
        <f>IF('01_Вводные'!$B$234="Да",'19_Расчет_аналитики'!R4427,0)</f>
        <v/>
      </c>
      <c r="S4756">
        <f>IF('01_Вводные'!$B$234="Да",'19_Расчет_аналитики'!S4427,0)</f>
        <v/>
      </c>
      <c r="T4756">
        <f>IF('01_Вводные'!$B$234="Да",'19_Расчет_аналитики'!T4427,0)</f>
        <v/>
      </c>
      <c r="U4756">
        <f>IF('01_Вводные'!$B$234="Да",'19_Расчет_аналитики'!U4427,0)</f>
        <v/>
      </c>
      <c r="V4756">
        <f>IF('01_Вводные'!$B$234="Да",'19_Расчет_аналитики'!V4427,0)</f>
        <v/>
      </c>
      <c r="W4756">
        <f>IF('01_Вводные'!$B$234="Да",'19_Расчет_аналитики'!W4427,0)</f>
        <v/>
      </c>
      <c r="X4756">
        <f>IF('01_Вводные'!$B$234="Да",'19_Расчет_аналитики'!X4427,0)</f>
        <v/>
      </c>
      <c r="Y4756">
        <f>IF('01_Вводные'!$B$234="Да",'19_Расчет_аналитики'!Y4427,0)</f>
        <v/>
      </c>
      <c r="Z4756">
        <f>IF('01_Вводные'!$B$234="Да",'19_Расчет_аналитики'!Z4427,0)</f>
        <v/>
      </c>
      <c r="AA4756">
        <f>IF('01_Вводные'!$B$234="Да",'19_Расчет_аналитики'!AA4427,0)</f>
        <v/>
      </c>
      <c r="AB4756">
        <f>IF('01_Вводные'!$B$234="Да",'19_Расчет_аналитики'!AB4427,0)</f>
        <v/>
      </c>
      <c r="AC4756">
        <f>IF('01_Вводные'!$B$234="Да",'19_Расчет_аналитики'!AC4427,0)</f>
        <v/>
      </c>
      <c r="AD4756">
        <f>IF('01_Вводные'!$B$234="Да",'19_Расчет_аналитики'!AD4427,0)</f>
        <v/>
      </c>
      <c r="AE4756">
        <f>IF('01_Вводные'!$B$234="Да",'19_Расчет_аналитики'!AE4427,0)</f>
        <v/>
      </c>
      <c r="AF4756">
        <f>IF('01_Вводные'!$B$234="Да",'19_Расчет_аналитики'!AF4427,0)</f>
        <v/>
      </c>
      <c r="AG4756">
        <f>IF('01_Вводные'!$B$234="Да",'19_Расчет_аналитики'!AG4427,0)</f>
        <v/>
      </c>
      <c r="AH4756">
        <f>IF('01_Вводные'!$B$234="Да",'19_Расчет_аналитики'!AH4427,0)</f>
        <v/>
      </c>
      <c r="AI4756">
        <f>IF('01_Вводные'!$B$234="Да",'19_Расчет_аналитики'!AI4427,0)</f>
        <v/>
      </c>
      <c r="AJ4756">
        <f>IF('01_Вводные'!$B$234="Да",'19_Расчет_аналитики'!AJ4427,0)</f>
        <v/>
      </c>
      <c r="AK4756">
        <f>IF('01_Вводные'!$B$234="Да",'19_Расчет_аналитики'!AK4427,0)</f>
        <v/>
      </c>
      <c r="AL4756">
        <f>IF('01_Вводные'!$B$234="Да",'19_Расчет_аналитики'!AL4427,0)</f>
        <v/>
      </c>
      <c r="AM4756">
        <f>IF('01_Вводные'!$B$234="Да",'19_Расчет_аналитики'!AM4427,0)</f>
        <v/>
      </c>
      <c r="AN4756">
        <f>IF('01_Вводные'!$B$234="Да",'19_Расчет_аналитики'!AN4427,0)</f>
        <v/>
      </c>
      <c r="AO4756">
        <f>IF('01_Вводные'!$B$234="Да",'19_Расчет_аналитики'!AO4427,0)</f>
        <v/>
      </c>
      <c r="AP4756">
        <f>IF('01_Вводные'!$B$234="Да",'19_Расчет_аналитики'!AP4427,0)</f>
        <v/>
      </c>
      <c r="AQ4756">
        <f>IF('01_Вводные'!$B$234="Да",'19_Расчет_аналитики'!AQ4427,0)</f>
        <v/>
      </c>
      <c r="AR4756">
        <f>IF('01_Вводные'!$B$234="Да",'19_Расчет_аналитики'!AR4427,0)</f>
        <v/>
      </c>
      <c r="AS4756">
        <f>IF('01_Вводные'!$B$234="Да",'19_Расчет_аналитики'!AS4427,0)</f>
        <v/>
      </c>
      <c r="AT4756">
        <f>IF('01_Вводные'!$B$234="Да",'19_Расчет_аналитики'!AT4427,0)</f>
        <v/>
      </c>
      <c r="AU4756">
        <f>IF('01_Вводные'!$B$234="Да",'19_Расчет_аналитики'!AU4427,0)</f>
        <v/>
      </c>
      <c r="AV4756">
        <f>IF('01_Вводные'!$B$234="Да",'19_Расчет_аналитики'!AV4427,0)</f>
        <v/>
      </c>
      <c r="AW4756">
        <f>IF('01_Вводные'!$B$234="Да",'19_Расчет_аналитики'!AW4427,0)</f>
        <v/>
      </c>
      <c r="AX4756">
        <f>IF('01_Вводные'!$B$234="Да",'19_Расчет_аналитики'!AX4427,0)</f>
        <v/>
      </c>
      <c r="AY4756">
        <f>IF('01_Вводные'!$B$234="Да",'19_Расчет_аналитики'!AY4427,0)</f>
        <v/>
      </c>
      <c r="AZ4756">
        <f>IF('01_Вводные'!$B$234="Да",'19_Расчет_аналитики'!AZ4427,0)</f>
        <v/>
      </c>
      <c r="BA4756">
        <f>IF('01_Вводные'!$B$234="Да",'19_Расчет_аналитики'!BA4427,0)</f>
        <v/>
      </c>
      <c r="BB4756">
        <f>IF('01_Вводные'!$B$234="Да",'19_Расчет_аналитики'!BB4427,0)</f>
        <v/>
      </c>
      <c r="BC4756">
        <f>IF('01_Вводные'!$B$234="Да",'19_Расчет_аналитики'!BC4427,0)</f>
        <v/>
      </c>
      <c r="BD4756">
        <f>IF('01_Вводные'!$B$234="Да",'19_Расчет_аналитики'!BD4427,0)</f>
        <v/>
      </c>
      <c r="BE4756">
        <f>IF('01_Вводные'!$B$234="Да",'19_Расчет_аналитики'!BE4427,0)</f>
        <v/>
      </c>
      <c r="BF4756">
        <f>IF('01_Вводные'!$B$234="Да",'19_Расчет_аналитики'!BF4427,0)</f>
        <v/>
      </c>
      <c r="BG4756">
        <f>IF('01_Вводные'!$B$234="Да",'19_Расчет_аналитики'!BG4427,0)</f>
        <v/>
      </c>
      <c r="BH4756">
        <f>IF('01_Вводные'!$B$234="Да",'19_Расчет_аналитики'!BH4427,0)</f>
        <v/>
      </c>
      <c r="BI4756">
        <f>IF('01_Вводные'!$B$234="Да",'19_Расчет_аналитики'!BI4427,0)</f>
        <v/>
      </c>
    </row>
    <row r="4757">
      <c r="B4757">
        <f>IF('01_Вводные'!$B$234="Да",'19_Расчет_аналитики'!B4428,0)</f>
        <v/>
      </c>
      <c r="C4757">
        <f>IF('01_Вводные'!$B$234="Да",'19_Расчет_аналитики'!C4428,0)</f>
        <v/>
      </c>
      <c r="D4757">
        <f>IF('01_Вводные'!$B$234="Да",'19_Расчет_аналитики'!D4428,0)</f>
        <v/>
      </c>
      <c r="E4757">
        <f>IF('01_Вводные'!$B$234="Да",'19_Расчет_аналитики'!E4428,0)</f>
        <v/>
      </c>
      <c r="F4757">
        <f>IF('01_Вводные'!$B$234="Да",'19_Расчет_аналитики'!F4428,0)</f>
        <v/>
      </c>
      <c r="G4757">
        <f>IF('01_Вводные'!$B$234="Да",'19_Расчет_аналитики'!G4428,0)</f>
        <v/>
      </c>
      <c r="H4757">
        <f>IF('01_Вводные'!$B$234="Да",'19_Расчет_аналитики'!H4428,0)</f>
        <v/>
      </c>
      <c r="I4757">
        <f>IF('01_Вводные'!$B$234="Да",'19_Расчет_аналитики'!I4428,0)</f>
        <v/>
      </c>
      <c r="J4757">
        <f>IF('01_Вводные'!$B$234="Да",'19_Расчет_аналитики'!J4428,0)</f>
        <v/>
      </c>
      <c r="K4757">
        <f>IF('01_Вводные'!$B$234="Да",'19_Расчет_аналитики'!K4428,0)</f>
        <v/>
      </c>
      <c r="L4757">
        <f>IF('01_Вводные'!$B$234="Да",'19_Расчет_аналитики'!L4428,0)</f>
        <v/>
      </c>
      <c r="M4757">
        <f>IF('01_Вводные'!$B$234="Да",'19_Расчет_аналитики'!M4428,0)</f>
        <v/>
      </c>
      <c r="N4757">
        <f>IF('01_Вводные'!$B$234="Да",'19_Расчет_аналитики'!N4428,0)</f>
        <v/>
      </c>
      <c r="O4757">
        <f>IF('01_Вводные'!$B$234="Да",'19_Расчет_аналитики'!O4428,0)</f>
        <v/>
      </c>
      <c r="P4757">
        <f>IF('01_Вводные'!$B$234="Да",'19_Расчет_аналитики'!P4428,0)</f>
        <v/>
      </c>
      <c r="Q4757">
        <f>IF('01_Вводные'!$B$234="Да",'19_Расчет_аналитики'!Q4428,0)</f>
        <v/>
      </c>
      <c r="R4757">
        <f>IF('01_Вводные'!$B$234="Да",'19_Расчет_аналитики'!R4428,0)</f>
        <v/>
      </c>
      <c r="S4757">
        <f>IF('01_Вводные'!$B$234="Да",'19_Расчет_аналитики'!S4428,0)</f>
        <v/>
      </c>
      <c r="T4757">
        <f>IF('01_Вводные'!$B$234="Да",'19_Расчет_аналитики'!T4428,0)</f>
        <v/>
      </c>
      <c r="U4757">
        <f>IF('01_Вводные'!$B$234="Да",'19_Расчет_аналитики'!U4428,0)</f>
        <v/>
      </c>
      <c r="V4757">
        <f>IF('01_Вводные'!$B$234="Да",'19_Расчет_аналитики'!V4428,0)</f>
        <v/>
      </c>
      <c r="W4757">
        <f>IF('01_Вводные'!$B$234="Да",'19_Расчет_аналитики'!W4428,0)</f>
        <v/>
      </c>
      <c r="X4757">
        <f>IF('01_Вводные'!$B$234="Да",'19_Расчет_аналитики'!X4428,0)</f>
        <v/>
      </c>
      <c r="Y4757">
        <f>IF('01_Вводные'!$B$234="Да",'19_Расчет_аналитики'!Y4428,0)</f>
        <v/>
      </c>
      <c r="Z4757">
        <f>IF('01_Вводные'!$B$234="Да",'19_Расчет_аналитики'!Z4428,0)</f>
        <v/>
      </c>
      <c r="AA4757">
        <f>IF('01_Вводные'!$B$234="Да",'19_Расчет_аналитики'!AA4428,0)</f>
        <v/>
      </c>
      <c r="AB4757">
        <f>IF('01_Вводные'!$B$234="Да",'19_Расчет_аналитики'!AB4428,0)</f>
        <v/>
      </c>
      <c r="AC4757">
        <f>IF('01_Вводные'!$B$234="Да",'19_Расчет_аналитики'!AC4428,0)</f>
        <v/>
      </c>
      <c r="AD4757">
        <f>IF('01_Вводные'!$B$234="Да",'19_Расчет_аналитики'!AD4428,0)</f>
        <v/>
      </c>
      <c r="AE4757">
        <f>IF('01_Вводные'!$B$234="Да",'19_Расчет_аналитики'!AE4428,0)</f>
        <v/>
      </c>
      <c r="AF4757">
        <f>IF('01_Вводные'!$B$234="Да",'19_Расчет_аналитики'!AF4428,0)</f>
        <v/>
      </c>
      <c r="AG4757">
        <f>IF('01_Вводные'!$B$234="Да",'19_Расчет_аналитики'!AG4428,0)</f>
        <v/>
      </c>
      <c r="AH4757">
        <f>IF('01_Вводные'!$B$234="Да",'19_Расчет_аналитики'!AH4428,0)</f>
        <v/>
      </c>
      <c r="AI4757">
        <f>IF('01_Вводные'!$B$234="Да",'19_Расчет_аналитики'!AI4428,0)</f>
        <v/>
      </c>
      <c r="AJ4757">
        <f>IF('01_Вводные'!$B$234="Да",'19_Расчет_аналитики'!AJ4428,0)</f>
        <v/>
      </c>
      <c r="AK4757">
        <f>IF('01_Вводные'!$B$234="Да",'19_Расчет_аналитики'!AK4428,0)</f>
        <v/>
      </c>
      <c r="AL4757">
        <f>IF('01_Вводные'!$B$234="Да",'19_Расчет_аналитики'!AL4428,0)</f>
        <v/>
      </c>
      <c r="AM4757">
        <f>IF('01_Вводные'!$B$234="Да",'19_Расчет_аналитики'!AM4428,0)</f>
        <v/>
      </c>
      <c r="AN4757">
        <f>IF('01_Вводные'!$B$234="Да",'19_Расчет_аналитики'!AN4428,0)</f>
        <v/>
      </c>
      <c r="AO4757">
        <f>IF('01_Вводные'!$B$234="Да",'19_Расчет_аналитики'!AO4428,0)</f>
        <v/>
      </c>
      <c r="AP4757">
        <f>IF('01_Вводные'!$B$234="Да",'19_Расчет_аналитики'!AP4428,0)</f>
        <v/>
      </c>
      <c r="AQ4757">
        <f>IF('01_Вводные'!$B$234="Да",'19_Расчет_аналитики'!AQ4428,0)</f>
        <v/>
      </c>
      <c r="AR4757">
        <f>IF('01_Вводные'!$B$234="Да",'19_Расчет_аналитики'!AR4428,0)</f>
        <v/>
      </c>
      <c r="AS4757">
        <f>IF('01_Вводные'!$B$234="Да",'19_Расчет_аналитики'!AS4428,0)</f>
        <v/>
      </c>
      <c r="AT4757">
        <f>IF('01_Вводные'!$B$234="Да",'19_Расчет_аналитики'!AT4428,0)</f>
        <v/>
      </c>
      <c r="AU4757">
        <f>IF('01_Вводные'!$B$234="Да",'19_Расчет_аналитики'!AU4428,0)</f>
        <v/>
      </c>
      <c r="AV4757">
        <f>IF('01_Вводные'!$B$234="Да",'19_Расчет_аналитики'!AV4428,0)</f>
        <v/>
      </c>
      <c r="AW4757">
        <f>IF('01_Вводные'!$B$234="Да",'19_Расчет_аналитики'!AW4428,0)</f>
        <v/>
      </c>
      <c r="AX4757">
        <f>IF('01_Вводные'!$B$234="Да",'19_Расчет_аналитики'!AX4428,0)</f>
        <v/>
      </c>
      <c r="AY4757">
        <f>IF('01_Вводные'!$B$234="Да",'19_Расчет_аналитики'!AY4428,0)</f>
        <v/>
      </c>
      <c r="AZ4757">
        <f>IF('01_Вводные'!$B$234="Да",'19_Расчет_аналитики'!AZ4428,0)</f>
        <v/>
      </c>
      <c r="BA4757">
        <f>IF('01_Вводные'!$B$234="Да",'19_Расчет_аналитики'!BA4428,0)</f>
        <v/>
      </c>
      <c r="BB4757">
        <f>IF('01_Вводные'!$B$234="Да",'19_Расчет_аналитики'!BB4428,0)</f>
        <v/>
      </c>
      <c r="BC4757">
        <f>IF('01_Вводные'!$B$234="Да",'19_Расчет_аналитики'!BC4428,0)</f>
        <v/>
      </c>
      <c r="BD4757">
        <f>IF('01_Вводные'!$B$234="Да",'19_Расчет_аналитики'!BD4428,0)</f>
        <v/>
      </c>
      <c r="BE4757">
        <f>IF('01_Вводные'!$B$234="Да",'19_Расчет_аналитики'!BE4428,0)</f>
        <v/>
      </c>
      <c r="BF4757">
        <f>IF('01_Вводные'!$B$234="Да",'19_Расчет_аналитики'!BF4428,0)</f>
        <v/>
      </c>
      <c r="BG4757">
        <f>IF('01_Вводные'!$B$234="Да",'19_Расчет_аналитики'!BG4428,0)</f>
        <v/>
      </c>
      <c r="BH4757">
        <f>IF('01_Вводные'!$B$234="Да",'19_Расчет_аналитики'!BH4428,0)</f>
        <v/>
      </c>
      <c r="BI4757">
        <f>IF('01_Вводные'!$B$234="Да",'19_Расчет_аналитики'!BI4428,0)</f>
        <v/>
      </c>
    </row>
    <row r="4758"/>
    <row r="4759"/>
    <row r="4760">
      <c r="B4760">
        <f>'02_Модель'!B18</f>
        <v/>
      </c>
      <c r="C4760">
        <f>IF('01_Вводные'!$B$234="Да",'19_Расчет_аналитики'!C4397,0)</f>
        <v/>
      </c>
      <c r="D4760">
        <f>IF('01_Вводные'!$B$234="Да",'19_Расчет_аналитики'!D4397,0)</f>
        <v/>
      </c>
      <c r="E4760">
        <f>IF('01_Вводные'!$B$234="Да",'19_Расчет_аналитики'!E4397,0)</f>
        <v/>
      </c>
      <c r="F4760">
        <f>IF('01_Вводные'!$B$234="Да",'19_Расчет_аналитики'!F4397,0)</f>
        <v/>
      </c>
      <c r="G4760">
        <f>IF('01_Вводные'!$B$234="Да",'19_Расчет_аналитики'!G4397,0)</f>
        <v/>
      </c>
      <c r="H4760">
        <f>IF('01_Вводные'!$B$234="Да",'19_Расчет_аналитики'!H4397,0)</f>
        <v/>
      </c>
      <c r="I4760">
        <f>IF('01_Вводные'!$B$234="Да",'19_Расчет_аналитики'!I4397,0)</f>
        <v/>
      </c>
      <c r="J4760">
        <f>IF('01_Вводные'!$B$234="Да",'19_Расчет_аналитики'!J4397,0)</f>
        <v/>
      </c>
      <c r="K4760">
        <f>IF('01_Вводные'!$B$234="Да",'19_Расчет_аналитики'!K4397,0)</f>
        <v/>
      </c>
      <c r="L4760">
        <f>IF('01_Вводные'!$B$234="Да",'19_Расчет_аналитики'!L4397,0)</f>
        <v/>
      </c>
      <c r="M4760">
        <f>IF('01_Вводные'!$B$234="Да",'19_Расчет_аналитики'!M4397,0)</f>
        <v/>
      </c>
      <c r="N4760">
        <f>IF('01_Вводные'!$B$234="Да",'19_Расчет_аналитики'!N4397,0)</f>
        <v/>
      </c>
      <c r="O4760">
        <f>IF('01_Вводные'!$B$234="Да",'19_Расчет_аналитики'!O4397,0)</f>
        <v/>
      </c>
      <c r="P4760">
        <f>IF('01_Вводные'!$B$234="Да",'19_Расчет_аналитики'!P4397,0)</f>
        <v/>
      </c>
      <c r="Q4760">
        <f>IF('01_Вводные'!$B$234="Да",'19_Расчет_аналитики'!Q4397,0)</f>
        <v/>
      </c>
      <c r="R4760">
        <f>IF('01_Вводные'!$B$234="Да",'19_Расчет_аналитики'!R4397,0)</f>
        <v/>
      </c>
      <c r="S4760">
        <f>IF('01_Вводные'!$B$234="Да",'19_Расчет_аналитики'!S4397,0)</f>
        <v/>
      </c>
      <c r="T4760">
        <f>IF('01_Вводные'!$B$234="Да",'19_Расчет_аналитики'!T4397,0)</f>
        <v/>
      </c>
      <c r="U4760">
        <f>IF('01_Вводные'!$B$234="Да",'19_Расчет_аналитики'!U4397,0)</f>
        <v/>
      </c>
      <c r="V4760">
        <f>IF('01_Вводные'!$B$234="Да",'19_Расчет_аналитики'!V4397,0)</f>
        <v/>
      </c>
      <c r="W4760">
        <f>IF('01_Вводные'!$B$234="Да",'19_Расчет_аналитики'!W4397,0)</f>
        <v/>
      </c>
      <c r="X4760">
        <f>IF('01_Вводные'!$B$234="Да",'19_Расчет_аналитики'!X4397,0)</f>
        <v/>
      </c>
      <c r="Y4760">
        <f>IF('01_Вводные'!$B$234="Да",'19_Расчет_аналитики'!Y4397,0)</f>
        <v/>
      </c>
      <c r="Z4760">
        <f>IF('01_Вводные'!$B$234="Да",'19_Расчет_аналитики'!Z4397,0)</f>
        <v/>
      </c>
      <c r="AA4760">
        <f>IF('01_Вводные'!$B$234="Да",'19_Расчет_аналитики'!AA4397,0)</f>
        <v/>
      </c>
      <c r="AB4760">
        <f>IF('01_Вводные'!$B$234="Да",'19_Расчет_аналитики'!AB4397,0)</f>
        <v/>
      </c>
      <c r="AC4760">
        <f>IF('01_Вводные'!$B$234="Да",'19_Расчет_аналитики'!AC4397,0)</f>
        <v/>
      </c>
      <c r="AD4760">
        <f>IF('01_Вводные'!$B$234="Да",'19_Расчет_аналитики'!AD4397,0)</f>
        <v/>
      </c>
      <c r="AE4760">
        <f>IF('01_Вводные'!$B$234="Да",'19_Расчет_аналитики'!AE4397,0)</f>
        <v/>
      </c>
      <c r="AF4760">
        <f>IF('01_Вводные'!$B$234="Да",'19_Расчет_аналитики'!AF4397,0)</f>
        <v/>
      </c>
      <c r="AG4760">
        <f>IF('01_Вводные'!$B$234="Да",'19_Расчет_аналитики'!AG4397,0)</f>
        <v/>
      </c>
      <c r="AH4760">
        <f>IF('01_Вводные'!$B$234="Да",'19_Расчет_аналитики'!AH4397,0)</f>
        <v/>
      </c>
      <c r="AI4760">
        <f>IF('01_Вводные'!$B$234="Да",'19_Расчет_аналитики'!AI4397,0)</f>
        <v/>
      </c>
      <c r="AJ4760">
        <f>IF('01_Вводные'!$B$234="Да",'19_Расчет_аналитики'!AJ4397,0)</f>
        <v/>
      </c>
      <c r="AK4760">
        <f>IF('01_Вводные'!$B$234="Да",'19_Расчет_аналитики'!AK4397,0)</f>
        <v/>
      </c>
      <c r="AL4760">
        <f>IF('01_Вводные'!$B$234="Да",'19_Расчет_аналитики'!AL4397,0)</f>
        <v/>
      </c>
      <c r="AM4760">
        <f>IF('01_Вводные'!$B$234="Да",'19_Расчет_аналитики'!AM4397,0)</f>
        <v/>
      </c>
      <c r="AN4760">
        <f>IF('01_Вводные'!$B$234="Да",'19_Расчет_аналитики'!AN4397,0)</f>
        <v/>
      </c>
      <c r="AO4760">
        <f>IF('01_Вводные'!$B$234="Да",'19_Расчет_аналитики'!AO4397,0)</f>
        <v/>
      </c>
      <c r="AP4760">
        <f>IF('01_Вводные'!$B$234="Да",'19_Расчет_аналитики'!AP4397,0)</f>
        <v/>
      </c>
      <c r="AQ4760">
        <f>IF('01_Вводные'!$B$234="Да",'19_Расчет_аналитики'!AQ4397,0)</f>
        <v/>
      </c>
      <c r="AR4760">
        <f>IF('01_Вводные'!$B$234="Да",'19_Расчет_аналитики'!AR4397,0)</f>
        <v/>
      </c>
      <c r="AS4760">
        <f>IF('01_Вводные'!$B$234="Да",'19_Расчет_аналитики'!AS4397,0)</f>
        <v/>
      </c>
      <c r="AT4760">
        <f>IF('01_Вводные'!$B$234="Да",'19_Расчет_аналитики'!AT4397,0)</f>
        <v/>
      </c>
      <c r="AU4760">
        <f>IF('01_Вводные'!$B$234="Да",'19_Расчет_аналитики'!AU4397,0)</f>
        <v/>
      </c>
      <c r="AV4760">
        <f>IF('01_Вводные'!$B$234="Да",'19_Расчет_аналитики'!AV4397,0)</f>
        <v/>
      </c>
      <c r="AW4760">
        <f>IF('01_Вводные'!$B$234="Да",'19_Расчет_аналитики'!AW4397,0)</f>
        <v/>
      </c>
      <c r="AX4760">
        <f>IF('01_Вводные'!$B$234="Да",'19_Расчет_аналитики'!AX4397,0)</f>
        <v/>
      </c>
      <c r="AY4760">
        <f>IF('01_Вводные'!$B$234="Да",'19_Расчет_аналитики'!AY4397,0)</f>
        <v/>
      </c>
      <c r="AZ4760">
        <f>IF('01_Вводные'!$B$234="Да",'19_Расчет_аналитики'!AZ4397,0)</f>
        <v/>
      </c>
      <c r="BA4760">
        <f>IF('01_Вводные'!$B$234="Да",'19_Расчет_аналитики'!BA4397,0)</f>
        <v/>
      </c>
      <c r="BB4760">
        <f>IF('01_Вводные'!$B$234="Да",'19_Расчет_аналитики'!BB4397,0)</f>
        <v/>
      </c>
      <c r="BC4760">
        <f>IF('01_Вводные'!$B$234="Да",'19_Расчет_аналитики'!BC4397,0)</f>
        <v/>
      </c>
      <c r="BD4760">
        <f>IF('01_Вводные'!$B$234="Да",'19_Расчет_аналитики'!BD4397,0)</f>
        <v/>
      </c>
      <c r="BE4760">
        <f>IF('01_Вводные'!$B$234="Да",'19_Расчет_аналитики'!BE4397,0)</f>
        <v/>
      </c>
      <c r="BF4760">
        <f>IF('01_Вводные'!$B$234="Да",'19_Расчет_аналитики'!BF4397,0)</f>
        <v/>
      </c>
      <c r="BG4760">
        <f>IF('01_Вводные'!$B$234="Да",'19_Расчет_аналитики'!BG4397,0)</f>
        <v/>
      </c>
      <c r="BH4760">
        <f>IF('01_Вводные'!$B$234="Да",'19_Расчет_аналитики'!BH4397,0)</f>
        <v/>
      </c>
      <c r="BI4760">
        <f>IF('01_Вводные'!$B$234="Да",'19_Расчет_аналитики'!BI4397,0)</f>
        <v/>
      </c>
    </row>
    <row r="4761">
      <c r="B4761">
        <f>IF('01_Вводные'!$B$234="Да",'19_Расчет_аналитики'!B4431/(1+'01_Вводные'!$B$58),0)</f>
        <v/>
      </c>
      <c r="C4761">
        <f>IF('01_Вводные'!$B$234="Да",'19_Расчет_аналитики'!C4431/(1+'01_Вводные'!$B$58),0)</f>
        <v/>
      </c>
      <c r="D4761">
        <f>IF('01_Вводные'!$B$234="Да",'19_Расчет_аналитики'!D4431/(1+'01_Вводные'!$B$58),0)</f>
        <v/>
      </c>
      <c r="E4761">
        <f>IF('01_Вводные'!$B$234="Да",'19_Расчет_аналитики'!E4431/(1+'01_Вводные'!$B$58),0)</f>
        <v/>
      </c>
      <c r="F4761">
        <f>IF('01_Вводные'!$B$234="Да",'19_Расчет_аналитики'!F4431/(1+'01_Вводные'!$B$58),0)</f>
        <v/>
      </c>
      <c r="G4761">
        <f>IF('01_Вводные'!$B$234="Да",'19_Расчет_аналитики'!G4431/(1+'01_Вводные'!$B$58),0)</f>
        <v/>
      </c>
      <c r="H4761">
        <f>IF('01_Вводные'!$B$234="Да",'19_Расчет_аналитики'!H4431/(1+'01_Вводные'!$B$58),0)</f>
        <v/>
      </c>
      <c r="I4761">
        <f>IF('01_Вводные'!$B$234="Да",'19_Расчет_аналитики'!I4431/(1+'01_Вводные'!$B$58),0)</f>
        <v/>
      </c>
      <c r="J4761">
        <f>IF('01_Вводные'!$B$234="Да",'19_Расчет_аналитики'!J4431/(1+'01_Вводные'!$B$58),0)</f>
        <v/>
      </c>
      <c r="K4761">
        <f>IF('01_Вводные'!$B$234="Да",'19_Расчет_аналитики'!K4431/(1+'01_Вводные'!$B$58),0)</f>
        <v/>
      </c>
      <c r="L4761">
        <f>IF('01_Вводные'!$B$234="Да",'19_Расчет_аналитики'!L4431/(1+'01_Вводные'!$B$58),0)</f>
        <v/>
      </c>
      <c r="M4761">
        <f>IF('01_Вводные'!$B$234="Да",'19_Расчет_аналитики'!M4431/(1+'01_Вводные'!$B$58),0)</f>
        <v/>
      </c>
      <c r="N4761">
        <f>IF('01_Вводные'!$B$234="Да",'19_Расчет_аналитики'!N4431/(1+'01_Вводные'!$B$58),0)</f>
        <v/>
      </c>
      <c r="O4761">
        <f>IF('01_Вводные'!$B$234="Да",'19_Расчет_аналитики'!O4431/(1+'01_Вводные'!$B$58),0)</f>
        <v/>
      </c>
      <c r="P4761">
        <f>IF('01_Вводные'!$B$234="Да",'19_Расчет_аналитики'!P4431/(1+'01_Вводные'!$B$58),0)</f>
        <v/>
      </c>
      <c r="Q4761">
        <f>IF('01_Вводные'!$B$234="Да",'19_Расчет_аналитики'!Q4431/(1+'01_Вводные'!$B$58),0)</f>
        <v/>
      </c>
      <c r="R4761">
        <f>IF('01_Вводные'!$B$234="Да",'19_Расчет_аналитики'!R4431/(1+'01_Вводные'!$B$58),0)</f>
        <v/>
      </c>
      <c r="S4761">
        <f>IF('01_Вводные'!$B$234="Да",'19_Расчет_аналитики'!S4431/(1+'01_Вводные'!$B$58),0)</f>
        <v/>
      </c>
      <c r="T4761">
        <f>IF('01_Вводные'!$B$234="Да",'19_Расчет_аналитики'!T4431/(1+'01_Вводные'!$B$58),0)</f>
        <v/>
      </c>
      <c r="U4761">
        <f>IF('01_Вводные'!$B$234="Да",'19_Расчет_аналитики'!U4431/(1+'01_Вводные'!$B$58),0)</f>
        <v/>
      </c>
      <c r="V4761">
        <f>IF('01_Вводные'!$B$234="Да",'19_Расчет_аналитики'!V4431/(1+'01_Вводные'!$B$58),0)</f>
        <v/>
      </c>
      <c r="W4761">
        <f>IF('01_Вводные'!$B$234="Да",'19_Расчет_аналитики'!W4431/(1+'01_Вводные'!$B$58),0)</f>
        <v/>
      </c>
      <c r="X4761">
        <f>IF('01_Вводные'!$B$234="Да",'19_Расчет_аналитики'!X4431/(1+'01_Вводные'!$B$58),0)</f>
        <v/>
      </c>
      <c r="Y4761">
        <f>IF('01_Вводные'!$B$234="Да",'19_Расчет_аналитики'!Y4431/(1+'01_Вводные'!$B$58),0)</f>
        <v/>
      </c>
      <c r="Z4761">
        <f>IF('01_Вводные'!$B$234="Да",'19_Расчет_аналитики'!Z4431/(1+'01_Вводные'!$B$58),0)</f>
        <v/>
      </c>
      <c r="AA4761">
        <f>IF('01_Вводные'!$B$234="Да",'19_Расчет_аналитики'!AA4431/(1+'01_Вводные'!$B$58),0)</f>
        <v/>
      </c>
      <c r="AB4761">
        <f>IF('01_Вводные'!$B$234="Да",'19_Расчет_аналитики'!AB4431/(1+'01_Вводные'!$B$58),0)</f>
        <v/>
      </c>
      <c r="AC4761">
        <f>IF('01_Вводные'!$B$234="Да",'19_Расчет_аналитики'!AC4431/(1+'01_Вводные'!$B$58),0)</f>
        <v/>
      </c>
      <c r="AD4761">
        <f>IF('01_Вводные'!$B$234="Да",'19_Расчет_аналитики'!AD4431/(1+'01_Вводные'!$B$58),0)</f>
        <v/>
      </c>
      <c r="AE4761">
        <f>IF('01_Вводные'!$B$234="Да",'19_Расчет_аналитики'!AE4431/(1+'01_Вводные'!$B$58),0)</f>
        <v/>
      </c>
      <c r="AF4761">
        <f>IF('01_Вводные'!$B$234="Да",'19_Расчет_аналитики'!AF4431/(1+'01_Вводные'!$B$58),0)</f>
        <v/>
      </c>
      <c r="AG4761">
        <f>IF('01_Вводные'!$B$234="Да",'19_Расчет_аналитики'!AG4431/(1+'01_Вводные'!$B$58),0)</f>
        <v/>
      </c>
      <c r="AH4761">
        <f>IF('01_Вводные'!$B$234="Да",'19_Расчет_аналитики'!AH4431/(1+'01_Вводные'!$B$58),0)</f>
        <v/>
      </c>
      <c r="AI4761">
        <f>IF('01_Вводные'!$B$234="Да",'19_Расчет_аналитики'!AI4431/(1+'01_Вводные'!$B$58),0)</f>
        <v/>
      </c>
      <c r="AJ4761">
        <f>IF('01_Вводные'!$B$234="Да",'19_Расчет_аналитики'!AJ4431/(1+'01_Вводные'!$B$58),0)</f>
        <v/>
      </c>
      <c r="AK4761">
        <f>IF('01_Вводные'!$B$234="Да",'19_Расчет_аналитики'!AK4431/(1+'01_Вводные'!$B$58),0)</f>
        <v/>
      </c>
      <c r="AL4761">
        <f>IF('01_Вводные'!$B$234="Да",'19_Расчет_аналитики'!AL4431/(1+'01_Вводные'!$B$58),0)</f>
        <v/>
      </c>
      <c r="AM4761">
        <f>IF('01_Вводные'!$B$234="Да",'19_Расчет_аналитики'!AM4431/(1+'01_Вводные'!$B$58),0)</f>
        <v/>
      </c>
      <c r="AN4761">
        <f>IF('01_Вводные'!$B$234="Да",'19_Расчет_аналитики'!AN4431/(1+'01_Вводные'!$B$58),0)</f>
        <v/>
      </c>
      <c r="AO4761">
        <f>IF('01_Вводные'!$B$234="Да",'19_Расчет_аналитики'!AO4431/(1+'01_Вводные'!$B$58),0)</f>
        <v/>
      </c>
      <c r="AP4761">
        <f>IF('01_Вводные'!$B$234="Да",'19_Расчет_аналитики'!AP4431/(1+'01_Вводные'!$B$58),0)</f>
        <v/>
      </c>
      <c r="AQ4761">
        <f>IF('01_Вводные'!$B$234="Да",'19_Расчет_аналитики'!AQ4431/(1+'01_Вводные'!$B$58),0)</f>
        <v/>
      </c>
      <c r="AR4761">
        <f>IF('01_Вводные'!$B$234="Да",'19_Расчет_аналитики'!AR4431/(1+'01_Вводные'!$B$58),0)</f>
        <v/>
      </c>
      <c r="AS4761">
        <f>IF('01_Вводные'!$B$234="Да",'19_Расчет_аналитики'!AS4431/(1+'01_Вводные'!$B$58),0)</f>
        <v/>
      </c>
      <c r="AT4761">
        <f>IF('01_Вводные'!$B$234="Да",'19_Расчет_аналитики'!AT4431/(1+'01_Вводные'!$B$58),0)</f>
        <v/>
      </c>
      <c r="AU4761">
        <f>IF('01_Вводные'!$B$234="Да",'19_Расчет_аналитики'!AU4431/(1+'01_Вводные'!$B$58),0)</f>
        <v/>
      </c>
      <c r="AV4761">
        <f>IF('01_Вводные'!$B$234="Да",'19_Расчет_аналитики'!AV4431/(1+'01_Вводные'!$B$58),0)</f>
        <v/>
      </c>
      <c r="AW4761">
        <f>IF('01_Вводные'!$B$234="Да",'19_Расчет_аналитики'!AW4431/(1+'01_Вводные'!$B$58),0)</f>
        <v/>
      </c>
      <c r="AX4761">
        <f>IF('01_Вводные'!$B$234="Да",'19_Расчет_аналитики'!AX4431/(1+'01_Вводные'!$B$58),0)</f>
        <v/>
      </c>
      <c r="AY4761">
        <f>IF('01_Вводные'!$B$234="Да",'19_Расчет_аналитики'!AY4431/(1+'01_Вводные'!$B$58),0)</f>
        <v/>
      </c>
      <c r="AZ4761">
        <f>IF('01_Вводные'!$B$234="Да",'19_Расчет_аналитики'!AZ4431/(1+'01_Вводные'!$B$58),0)</f>
        <v/>
      </c>
      <c r="BA4761">
        <f>IF('01_Вводные'!$B$234="Да",'19_Расчет_аналитики'!BA4431/(1+'01_Вводные'!$B$58),0)</f>
        <v/>
      </c>
      <c r="BB4761">
        <f>IF('01_Вводные'!$B$234="Да",'19_Расчет_аналитики'!BB4431/(1+'01_Вводные'!$B$58),0)</f>
        <v/>
      </c>
      <c r="BC4761">
        <f>IF('01_Вводные'!$B$234="Да",'19_Расчет_аналитики'!BC4431/(1+'01_Вводные'!$B$58),0)</f>
        <v/>
      </c>
      <c r="BD4761">
        <f>IF('01_Вводные'!$B$234="Да",'19_Расчет_аналитики'!BD4431/(1+'01_Вводные'!$B$58),0)</f>
        <v/>
      </c>
      <c r="BE4761">
        <f>IF('01_Вводные'!$B$234="Да",'19_Расчет_аналитики'!BE4431/(1+'01_Вводные'!$B$58),0)</f>
        <v/>
      </c>
      <c r="BF4761">
        <f>IF('01_Вводные'!$B$234="Да",'19_Расчет_аналитики'!BF4431/(1+'01_Вводные'!$B$58),0)</f>
        <v/>
      </c>
      <c r="BG4761">
        <f>IF('01_Вводные'!$B$234="Да",'19_Расчет_аналитики'!BG4431/(1+'01_Вводные'!$B$58),0)</f>
        <v/>
      </c>
      <c r="BH4761">
        <f>IF('01_Вводные'!$B$234="Да",'19_Расчет_аналитики'!BH4431/(1+'01_Вводные'!$B$58),0)</f>
        <v/>
      </c>
      <c r="BI4761">
        <f>IF('01_Вводные'!$B$234="Да",'19_Расчет_аналитики'!BI4431/(1+'01_Вводные'!$B$58),0)</f>
        <v/>
      </c>
    </row>
    <row r="4762">
      <c r="B4762">
        <f>IF('01_Вводные'!$B$234="Да",'19_Расчет_аналитики'!B4432/(1+'01_Вводные'!$B$58),0)</f>
        <v/>
      </c>
      <c r="C4762">
        <f>IF('01_Вводные'!$B$234="Да",'19_Расчет_аналитики'!C4432/(1+'01_Вводные'!$B$58),0)</f>
        <v/>
      </c>
      <c r="D4762">
        <f>IF('01_Вводные'!$B$234="Да",'19_Расчет_аналитики'!D4432/(1+'01_Вводные'!$B$58),0)</f>
        <v/>
      </c>
      <c r="E4762">
        <f>IF('01_Вводные'!$B$234="Да",'19_Расчет_аналитики'!E4432/(1+'01_Вводные'!$B$58),0)</f>
        <v/>
      </c>
      <c r="F4762">
        <f>IF('01_Вводные'!$B$234="Да",'19_Расчет_аналитики'!F4432/(1+'01_Вводные'!$B$58),0)</f>
        <v/>
      </c>
      <c r="G4762">
        <f>IF('01_Вводные'!$B$234="Да",'19_Расчет_аналитики'!G4432/(1+'01_Вводные'!$B$58),0)</f>
        <v/>
      </c>
      <c r="H4762">
        <f>IF('01_Вводные'!$B$234="Да",'19_Расчет_аналитики'!H4432/(1+'01_Вводные'!$B$58),0)</f>
        <v/>
      </c>
      <c r="I4762">
        <f>IF('01_Вводные'!$B$234="Да",'19_Расчет_аналитики'!I4432/(1+'01_Вводные'!$B$58),0)</f>
        <v/>
      </c>
      <c r="J4762">
        <f>IF('01_Вводные'!$B$234="Да",'19_Расчет_аналитики'!J4432/(1+'01_Вводные'!$B$58),0)</f>
        <v/>
      </c>
      <c r="K4762">
        <f>IF('01_Вводные'!$B$234="Да",'19_Расчет_аналитики'!K4432/(1+'01_Вводные'!$B$58),0)</f>
        <v/>
      </c>
      <c r="L4762">
        <f>IF('01_Вводные'!$B$234="Да",'19_Расчет_аналитики'!L4432/(1+'01_Вводные'!$B$58),0)</f>
        <v/>
      </c>
      <c r="M4762">
        <f>IF('01_Вводные'!$B$234="Да",'19_Расчет_аналитики'!M4432/(1+'01_Вводные'!$B$58),0)</f>
        <v/>
      </c>
      <c r="N4762">
        <f>IF('01_Вводные'!$B$234="Да",'19_Расчет_аналитики'!N4432/(1+'01_Вводные'!$B$58),0)</f>
        <v/>
      </c>
      <c r="O4762">
        <f>IF('01_Вводные'!$B$234="Да",'19_Расчет_аналитики'!O4432/(1+'01_Вводные'!$B$58),0)</f>
        <v/>
      </c>
      <c r="P4762">
        <f>IF('01_Вводные'!$B$234="Да",'19_Расчет_аналитики'!P4432/(1+'01_Вводные'!$B$58),0)</f>
        <v/>
      </c>
      <c r="Q4762">
        <f>IF('01_Вводные'!$B$234="Да",'19_Расчет_аналитики'!Q4432/(1+'01_Вводные'!$B$58),0)</f>
        <v/>
      </c>
      <c r="R4762">
        <f>IF('01_Вводные'!$B$234="Да",'19_Расчет_аналитики'!R4432/(1+'01_Вводные'!$B$58),0)</f>
        <v/>
      </c>
      <c r="S4762">
        <f>IF('01_Вводные'!$B$234="Да",'19_Расчет_аналитики'!S4432/(1+'01_Вводные'!$B$58),0)</f>
        <v/>
      </c>
      <c r="T4762">
        <f>IF('01_Вводные'!$B$234="Да",'19_Расчет_аналитики'!T4432/(1+'01_Вводные'!$B$58),0)</f>
        <v/>
      </c>
      <c r="U4762">
        <f>IF('01_Вводные'!$B$234="Да",'19_Расчет_аналитики'!U4432/(1+'01_Вводные'!$B$58),0)</f>
        <v/>
      </c>
      <c r="V4762">
        <f>IF('01_Вводные'!$B$234="Да",'19_Расчет_аналитики'!V4432/(1+'01_Вводные'!$B$58),0)</f>
        <v/>
      </c>
      <c r="W4762">
        <f>IF('01_Вводные'!$B$234="Да",'19_Расчет_аналитики'!W4432/(1+'01_Вводные'!$B$58),0)</f>
        <v/>
      </c>
      <c r="X4762">
        <f>IF('01_Вводные'!$B$234="Да",'19_Расчет_аналитики'!X4432/(1+'01_Вводные'!$B$58),0)</f>
        <v/>
      </c>
      <c r="Y4762">
        <f>IF('01_Вводные'!$B$234="Да",'19_Расчет_аналитики'!Y4432/(1+'01_Вводные'!$B$58),0)</f>
        <v/>
      </c>
      <c r="Z4762">
        <f>IF('01_Вводные'!$B$234="Да",'19_Расчет_аналитики'!Z4432/(1+'01_Вводные'!$B$58),0)</f>
        <v/>
      </c>
      <c r="AA4762">
        <f>IF('01_Вводные'!$B$234="Да",'19_Расчет_аналитики'!AA4432/(1+'01_Вводные'!$B$58),0)</f>
        <v/>
      </c>
      <c r="AB4762">
        <f>IF('01_Вводные'!$B$234="Да",'19_Расчет_аналитики'!AB4432/(1+'01_Вводные'!$B$58),0)</f>
        <v/>
      </c>
      <c r="AC4762">
        <f>IF('01_Вводные'!$B$234="Да",'19_Расчет_аналитики'!AC4432/(1+'01_Вводные'!$B$58),0)</f>
        <v/>
      </c>
      <c r="AD4762">
        <f>IF('01_Вводные'!$B$234="Да",'19_Расчет_аналитики'!AD4432/(1+'01_Вводные'!$B$58),0)</f>
        <v/>
      </c>
      <c r="AE4762">
        <f>IF('01_Вводные'!$B$234="Да",'19_Расчет_аналитики'!AE4432/(1+'01_Вводные'!$B$58),0)</f>
        <v/>
      </c>
      <c r="AF4762">
        <f>IF('01_Вводные'!$B$234="Да",'19_Расчет_аналитики'!AF4432/(1+'01_Вводные'!$B$58),0)</f>
        <v/>
      </c>
      <c r="AG4762">
        <f>IF('01_Вводные'!$B$234="Да",'19_Расчет_аналитики'!AG4432/(1+'01_Вводные'!$B$58),0)</f>
        <v/>
      </c>
      <c r="AH4762">
        <f>IF('01_Вводные'!$B$234="Да",'19_Расчет_аналитики'!AH4432/(1+'01_Вводные'!$B$58),0)</f>
        <v/>
      </c>
      <c r="AI4762">
        <f>IF('01_Вводные'!$B$234="Да",'19_Расчет_аналитики'!AI4432/(1+'01_Вводные'!$B$58),0)</f>
        <v/>
      </c>
      <c r="AJ4762">
        <f>IF('01_Вводные'!$B$234="Да",'19_Расчет_аналитики'!AJ4432/(1+'01_Вводные'!$B$58),0)</f>
        <v/>
      </c>
      <c r="AK4762">
        <f>IF('01_Вводные'!$B$234="Да",'19_Расчет_аналитики'!AK4432/(1+'01_Вводные'!$B$58),0)</f>
        <v/>
      </c>
      <c r="AL4762">
        <f>IF('01_Вводные'!$B$234="Да",'19_Расчет_аналитики'!AL4432/(1+'01_Вводные'!$B$58),0)</f>
        <v/>
      </c>
      <c r="AM4762">
        <f>IF('01_Вводные'!$B$234="Да",'19_Расчет_аналитики'!AM4432/(1+'01_Вводные'!$B$58),0)</f>
        <v/>
      </c>
      <c r="AN4762">
        <f>IF('01_Вводные'!$B$234="Да",'19_Расчет_аналитики'!AN4432/(1+'01_Вводные'!$B$58),0)</f>
        <v/>
      </c>
      <c r="AO4762">
        <f>IF('01_Вводные'!$B$234="Да",'19_Расчет_аналитики'!AO4432/(1+'01_Вводные'!$B$58),0)</f>
        <v/>
      </c>
      <c r="AP4762">
        <f>IF('01_Вводные'!$B$234="Да",'19_Расчет_аналитики'!AP4432/(1+'01_Вводные'!$B$58),0)</f>
        <v/>
      </c>
      <c r="AQ4762">
        <f>IF('01_Вводные'!$B$234="Да",'19_Расчет_аналитики'!AQ4432/(1+'01_Вводные'!$B$58),0)</f>
        <v/>
      </c>
      <c r="AR4762">
        <f>IF('01_Вводные'!$B$234="Да",'19_Расчет_аналитики'!AR4432/(1+'01_Вводные'!$B$58),0)</f>
        <v/>
      </c>
      <c r="AS4762">
        <f>IF('01_Вводные'!$B$234="Да",'19_Расчет_аналитики'!AS4432/(1+'01_Вводные'!$B$58),0)</f>
        <v/>
      </c>
      <c r="AT4762">
        <f>IF('01_Вводные'!$B$234="Да",'19_Расчет_аналитики'!AT4432/(1+'01_Вводные'!$B$58),0)</f>
        <v/>
      </c>
      <c r="AU4762">
        <f>IF('01_Вводные'!$B$234="Да",'19_Расчет_аналитики'!AU4432/(1+'01_Вводные'!$B$58),0)</f>
        <v/>
      </c>
      <c r="AV4762">
        <f>IF('01_Вводные'!$B$234="Да",'19_Расчет_аналитики'!AV4432/(1+'01_Вводные'!$B$58),0)</f>
        <v/>
      </c>
      <c r="AW4762">
        <f>IF('01_Вводные'!$B$234="Да",'19_Расчет_аналитики'!AW4432/(1+'01_Вводные'!$B$58),0)</f>
        <v/>
      </c>
      <c r="AX4762">
        <f>IF('01_Вводные'!$B$234="Да",'19_Расчет_аналитики'!AX4432/(1+'01_Вводные'!$B$58),0)</f>
        <v/>
      </c>
      <c r="AY4762">
        <f>IF('01_Вводные'!$B$234="Да",'19_Расчет_аналитики'!AY4432/(1+'01_Вводные'!$B$58),0)</f>
        <v/>
      </c>
      <c r="AZ4762">
        <f>IF('01_Вводные'!$B$234="Да",'19_Расчет_аналитики'!AZ4432/(1+'01_Вводные'!$B$58),0)</f>
        <v/>
      </c>
      <c r="BA4762">
        <f>IF('01_Вводные'!$B$234="Да",'19_Расчет_аналитики'!BA4432/(1+'01_Вводные'!$B$58),0)</f>
        <v/>
      </c>
      <c r="BB4762">
        <f>IF('01_Вводные'!$B$234="Да",'19_Расчет_аналитики'!BB4432/(1+'01_Вводные'!$B$58),0)</f>
        <v/>
      </c>
      <c r="BC4762">
        <f>IF('01_Вводные'!$B$234="Да",'19_Расчет_аналитики'!BC4432/(1+'01_Вводные'!$B$58),0)</f>
        <v/>
      </c>
      <c r="BD4762">
        <f>IF('01_Вводные'!$B$234="Да",'19_Расчет_аналитики'!BD4432/(1+'01_Вводные'!$B$58),0)</f>
        <v/>
      </c>
      <c r="BE4762">
        <f>IF('01_Вводные'!$B$234="Да",'19_Расчет_аналитики'!BE4432/(1+'01_Вводные'!$B$58),0)</f>
        <v/>
      </c>
      <c r="BF4762">
        <f>IF('01_Вводные'!$B$234="Да",'19_Расчет_аналитики'!BF4432/(1+'01_Вводные'!$B$58),0)</f>
        <v/>
      </c>
      <c r="BG4762">
        <f>IF('01_Вводные'!$B$234="Да",'19_Расчет_аналитики'!BG4432/(1+'01_Вводные'!$B$58),0)</f>
        <v/>
      </c>
      <c r="BH4762">
        <f>IF('01_Вводные'!$B$234="Да",'19_Расчет_аналитики'!BH4432/(1+'01_Вводные'!$B$58),0)</f>
        <v/>
      </c>
      <c r="BI4762">
        <f>IF('01_Вводные'!$B$234="Да",'19_Расчет_аналитики'!BI4432/(1+'01_Вводные'!$B$58),0)</f>
        <v/>
      </c>
    </row>
    <row r="4763">
      <c r="B4763">
        <f>IF('01_Вводные'!$B$234="Да",'19_Расчет_аналитики'!B4664,0)</f>
        <v/>
      </c>
      <c r="C4763">
        <f>IF('01_Вводные'!$B$234="Да",'19_Расчет_аналитики'!C4664,0)</f>
        <v/>
      </c>
      <c r="D4763">
        <f>IF('01_Вводные'!$B$234="Да",'19_Расчет_аналитики'!D4664,0)</f>
        <v/>
      </c>
      <c r="E4763">
        <f>IF('01_Вводные'!$B$234="Да",'19_Расчет_аналитики'!E4664,0)</f>
        <v/>
      </c>
      <c r="F4763">
        <f>IF('01_Вводные'!$B$234="Да",'19_Расчет_аналитики'!F4664,0)</f>
        <v/>
      </c>
      <c r="G4763">
        <f>IF('01_Вводные'!$B$234="Да",'19_Расчет_аналитики'!G4664,0)</f>
        <v/>
      </c>
      <c r="H4763">
        <f>IF('01_Вводные'!$B$234="Да",'19_Расчет_аналитики'!H4664,0)</f>
        <v/>
      </c>
      <c r="I4763">
        <f>IF('01_Вводные'!$B$234="Да",'19_Расчет_аналитики'!I4664,0)</f>
        <v/>
      </c>
      <c r="J4763">
        <f>IF('01_Вводные'!$B$234="Да",'19_Расчет_аналитики'!J4664,0)</f>
        <v/>
      </c>
      <c r="K4763">
        <f>IF('01_Вводные'!$B$234="Да",'19_Расчет_аналитики'!K4664,0)</f>
        <v/>
      </c>
      <c r="L4763">
        <f>IF('01_Вводные'!$B$234="Да",'19_Расчет_аналитики'!L4664,0)</f>
        <v/>
      </c>
      <c r="M4763">
        <f>IF('01_Вводные'!$B$234="Да",'19_Расчет_аналитики'!M4664,0)</f>
        <v/>
      </c>
      <c r="N4763">
        <f>IF('01_Вводные'!$B$234="Да",'19_Расчет_аналитики'!N4664,0)</f>
        <v/>
      </c>
      <c r="O4763">
        <f>IF('01_Вводные'!$B$234="Да",'19_Расчет_аналитики'!O4664,0)</f>
        <v/>
      </c>
      <c r="P4763">
        <f>IF('01_Вводные'!$B$234="Да",'19_Расчет_аналитики'!P4664,0)</f>
        <v/>
      </c>
      <c r="Q4763">
        <f>IF('01_Вводные'!$B$234="Да",'19_Расчет_аналитики'!Q4664,0)</f>
        <v/>
      </c>
      <c r="R4763">
        <f>IF('01_Вводные'!$B$234="Да",'19_Расчет_аналитики'!R4664,0)</f>
        <v/>
      </c>
      <c r="S4763">
        <f>IF('01_Вводные'!$B$234="Да",'19_Расчет_аналитики'!S4664,0)</f>
        <v/>
      </c>
      <c r="T4763">
        <f>IF('01_Вводные'!$B$234="Да",'19_Расчет_аналитики'!T4664,0)</f>
        <v/>
      </c>
      <c r="U4763">
        <f>IF('01_Вводные'!$B$234="Да",'19_Расчет_аналитики'!U4664,0)</f>
        <v/>
      </c>
      <c r="V4763">
        <f>IF('01_Вводные'!$B$234="Да",'19_Расчет_аналитики'!V4664,0)</f>
        <v/>
      </c>
      <c r="W4763">
        <f>IF('01_Вводные'!$B$234="Да",'19_Расчет_аналитики'!W4664,0)</f>
        <v/>
      </c>
      <c r="X4763">
        <f>IF('01_Вводные'!$B$234="Да",'19_Расчет_аналитики'!X4664,0)</f>
        <v/>
      </c>
      <c r="Y4763">
        <f>IF('01_Вводные'!$B$234="Да",'19_Расчет_аналитики'!Y4664,0)</f>
        <v/>
      </c>
      <c r="Z4763">
        <f>IF('01_Вводные'!$B$234="Да",'19_Расчет_аналитики'!Z4664,0)</f>
        <v/>
      </c>
      <c r="AA4763">
        <f>IF('01_Вводные'!$B$234="Да",'19_Расчет_аналитики'!AA4664,0)</f>
        <v/>
      </c>
      <c r="AB4763">
        <f>IF('01_Вводные'!$B$234="Да",'19_Расчет_аналитики'!AB4664,0)</f>
        <v/>
      </c>
      <c r="AC4763">
        <f>IF('01_Вводные'!$B$234="Да",'19_Расчет_аналитики'!AC4664,0)</f>
        <v/>
      </c>
      <c r="AD4763">
        <f>IF('01_Вводные'!$B$234="Да",'19_Расчет_аналитики'!AD4664,0)</f>
        <v/>
      </c>
      <c r="AE4763">
        <f>IF('01_Вводные'!$B$234="Да",'19_Расчет_аналитики'!AE4664,0)</f>
        <v/>
      </c>
      <c r="AF4763">
        <f>IF('01_Вводные'!$B$234="Да",'19_Расчет_аналитики'!AF4664,0)</f>
        <v/>
      </c>
      <c r="AG4763">
        <f>IF('01_Вводные'!$B$234="Да",'19_Расчет_аналитики'!AG4664,0)</f>
        <v/>
      </c>
      <c r="AH4763">
        <f>IF('01_Вводные'!$B$234="Да",'19_Расчет_аналитики'!AH4664,0)</f>
        <v/>
      </c>
      <c r="AI4763">
        <f>IF('01_Вводные'!$B$234="Да",'19_Расчет_аналитики'!AI4664,0)</f>
        <v/>
      </c>
      <c r="AJ4763">
        <f>IF('01_Вводные'!$B$234="Да",'19_Расчет_аналитики'!AJ4664,0)</f>
        <v/>
      </c>
      <c r="AK4763">
        <f>IF('01_Вводные'!$B$234="Да",'19_Расчет_аналитики'!AK4664,0)</f>
        <v/>
      </c>
      <c r="AL4763">
        <f>IF('01_Вводные'!$B$234="Да",'19_Расчет_аналитики'!AL4664,0)</f>
        <v/>
      </c>
      <c r="AM4763">
        <f>IF('01_Вводные'!$B$234="Да",'19_Расчет_аналитики'!AM4664,0)</f>
        <v/>
      </c>
      <c r="AN4763">
        <f>IF('01_Вводные'!$B$234="Да",'19_Расчет_аналитики'!AN4664,0)</f>
        <v/>
      </c>
      <c r="AO4763">
        <f>IF('01_Вводные'!$B$234="Да",'19_Расчет_аналитики'!AO4664,0)</f>
        <v/>
      </c>
      <c r="AP4763">
        <f>IF('01_Вводные'!$B$234="Да",'19_Расчет_аналитики'!AP4664,0)</f>
        <v/>
      </c>
      <c r="AQ4763">
        <f>IF('01_Вводные'!$B$234="Да",'19_Расчет_аналитики'!AQ4664,0)</f>
        <v/>
      </c>
      <c r="AR4763">
        <f>IF('01_Вводные'!$B$234="Да",'19_Расчет_аналитики'!AR4664,0)</f>
        <v/>
      </c>
      <c r="AS4763">
        <f>IF('01_Вводные'!$B$234="Да",'19_Расчет_аналитики'!AS4664,0)</f>
        <v/>
      </c>
      <c r="AT4763">
        <f>IF('01_Вводные'!$B$234="Да",'19_Расчет_аналитики'!AT4664,0)</f>
        <v/>
      </c>
      <c r="AU4763">
        <f>IF('01_Вводные'!$B$234="Да",'19_Расчет_аналитики'!AU4664,0)</f>
        <v/>
      </c>
      <c r="AV4763">
        <f>IF('01_Вводные'!$B$234="Да",'19_Расчет_аналитики'!AV4664,0)</f>
        <v/>
      </c>
      <c r="AW4763">
        <f>IF('01_Вводные'!$B$234="Да",'19_Расчет_аналитики'!AW4664,0)</f>
        <v/>
      </c>
      <c r="AX4763">
        <f>IF('01_Вводные'!$B$234="Да",'19_Расчет_аналитики'!AX4664,0)</f>
        <v/>
      </c>
      <c r="AY4763">
        <f>IF('01_Вводные'!$B$234="Да",'19_Расчет_аналитики'!AY4664,0)</f>
        <v/>
      </c>
      <c r="AZ4763">
        <f>IF('01_Вводные'!$B$234="Да",'19_Расчет_аналитики'!AZ4664,0)</f>
        <v/>
      </c>
      <c r="BA4763">
        <f>IF('01_Вводные'!$B$234="Да",'19_Расчет_аналитики'!BA4664,0)</f>
        <v/>
      </c>
      <c r="BB4763">
        <f>IF('01_Вводные'!$B$234="Да",'19_Расчет_аналитики'!BB4664,0)</f>
        <v/>
      </c>
      <c r="BC4763">
        <f>IF('01_Вводные'!$B$234="Да",'19_Расчет_аналитики'!BC4664,0)</f>
        <v/>
      </c>
      <c r="BD4763">
        <f>IF('01_Вводные'!$B$234="Да",'19_Расчет_аналитики'!BD4664,0)</f>
        <v/>
      </c>
      <c r="BE4763">
        <f>IF('01_Вводные'!$B$234="Да",'19_Расчет_аналитики'!BE4664,0)</f>
        <v/>
      </c>
      <c r="BF4763">
        <f>IF('01_Вводные'!$B$234="Да",'19_Расчет_аналитики'!BF4664,0)</f>
        <v/>
      </c>
      <c r="BG4763">
        <f>IF('01_Вводные'!$B$234="Да",'19_Расчет_аналитики'!BG4664,0)</f>
        <v/>
      </c>
      <c r="BH4763">
        <f>IF('01_Вводные'!$B$234="Да",'19_Расчет_аналитики'!BH4664,0)</f>
        <v/>
      </c>
      <c r="BI4763">
        <f>IF('01_Вводные'!$B$234="Да",'19_Расчет_аналитики'!BI4664,0)</f>
        <v/>
      </c>
    </row>
    <row r="4764">
      <c r="B4764">
        <f>'02_Модель'!B22</f>
        <v/>
      </c>
      <c r="C4764">
        <f>'02_Модель'!C22</f>
        <v/>
      </c>
      <c r="D4764">
        <f>'02_Модель'!D22</f>
        <v/>
      </c>
      <c r="E4764">
        <f>'02_Модель'!E22</f>
        <v/>
      </c>
      <c r="F4764">
        <f>'02_Модель'!F22</f>
        <v/>
      </c>
      <c r="G4764">
        <f>'02_Модель'!G22</f>
        <v/>
      </c>
      <c r="H4764">
        <f>'02_Модель'!H22</f>
        <v/>
      </c>
      <c r="I4764">
        <f>'02_Модель'!I22</f>
        <v/>
      </c>
      <c r="J4764">
        <f>'02_Модель'!J22</f>
        <v/>
      </c>
      <c r="K4764">
        <f>'02_Модель'!K22</f>
        <v/>
      </c>
      <c r="L4764">
        <f>'02_Модель'!L22</f>
        <v/>
      </c>
      <c r="M4764">
        <f>'02_Модель'!M22</f>
        <v/>
      </c>
      <c r="N4764">
        <f>'02_Модель'!N22</f>
        <v/>
      </c>
      <c r="O4764">
        <f>'02_Модель'!O22</f>
        <v/>
      </c>
      <c r="P4764">
        <f>'02_Модель'!P22</f>
        <v/>
      </c>
      <c r="Q4764">
        <f>'02_Модель'!Q22</f>
        <v/>
      </c>
      <c r="R4764">
        <f>'02_Модель'!R22</f>
        <v/>
      </c>
      <c r="S4764">
        <f>'02_Модель'!S22</f>
        <v/>
      </c>
      <c r="T4764">
        <f>'02_Модель'!T22</f>
        <v/>
      </c>
      <c r="U4764">
        <f>'02_Модель'!U22</f>
        <v/>
      </c>
      <c r="V4764">
        <f>'02_Модель'!V22</f>
        <v/>
      </c>
      <c r="W4764">
        <f>'02_Модель'!W22</f>
        <v/>
      </c>
      <c r="X4764">
        <f>'02_Модель'!X22</f>
        <v/>
      </c>
      <c r="Y4764">
        <f>'02_Модель'!Y22</f>
        <v/>
      </c>
      <c r="Z4764">
        <f>'02_Модель'!Z22</f>
        <v/>
      </c>
      <c r="AA4764">
        <f>'02_Модель'!AA22</f>
        <v/>
      </c>
      <c r="AB4764">
        <f>'02_Модель'!AB22</f>
        <v/>
      </c>
      <c r="AC4764">
        <f>'02_Модель'!AC22</f>
        <v/>
      </c>
      <c r="AD4764">
        <f>'02_Модель'!AD22</f>
        <v/>
      </c>
      <c r="AE4764">
        <f>'02_Модель'!AE22</f>
        <v/>
      </c>
      <c r="AF4764">
        <f>'02_Модель'!AF22</f>
        <v/>
      </c>
      <c r="AG4764">
        <f>'02_Модель'!AG22</f>
        <v/>
      </c>
      <c r="AH4764">
        <f>'02_Модель'!AH22</f>
        <v/>
      </c>
      <c r="AI4764">
        <f>'02_Модель'!AI22</f>
        <v/>
      </c>
      <c r="AJ4764">
        <f>'02_Модель'!AJ22</f>
        <v/>
      </c>
      <c r="AK4764">
        <f>'02_Модель'!AK22</f>
        <v/>
      </c>
      <c r="AL4764">
        <f>'02_Модель'!AL22</f>
        <v/>
      </c>
      <c r="AM4764">
        <f>'02_Модель'!AM22</f>
        <v/>
      </c>
      <c r="AN4764">
        <f>'02_Модель'!AN22</f>
        <v/>
      </c>
      <c r="AO4764">
        <f>'02_Модель'!AO22</f>
        <v/>
      </c>
      <c r="AP4764">
        <f>'02_Модель'!AP22</f>
        <v/>
      </c>
      <c r="AQ4764">
        <f>'02_Модель'!AQ22</f>
        <v/>
      </c>
      <c r="AR4764">
        <f>'02_Модель'!AR22</f>
        <v/>
      </c>
      <c r="AS4764">
        <f>'02_Модель'!AS22</f>
        <v/>
      </c>
      <c r="AT4764">
        <f>'02_Модель'!AT22</f>
        <v/>
      </c>
      <c r="AU4764">
        <f>'02_Модель'!AU22</f>
        <v/>
      </c>
      <c r="AV4764">
        <f>'02_Модель'!AV22</f>
        <v/>
      </c>
      <c r="AW4764">
        <f>'02_Модель'!AW22</f>
        <v/>
      </c>
      <c r="AX4764">
        <f>'02_Модель'!AX22</f>
        <v/>
      </c>
      <c r="AY4764">
        <f>'02_Модель'!AY22</f>
        <v/>
      </c>
      <c r="AZ4764">
        <f>'02_Модель'!AZ22</f>
        <v/>
      </c>
      <c r="BA4764">
        <f>'02_Модель'!BA22</f>
        <v/>
      </c>
      <c r="BB4764">
        <f>'02_Модель'!BB22</f>
        <v/>
      </c>
      <c r="BC4764">
        <f>'02_Модель'!BC22</f>
        <v/>
      </c>
      <c r="BD4764">
        <f>'02_Модель'!BD22</f>
        <v/>
      </c>
      <c r="BE4764">
        <f>'02_Модель'!BE22</f>
        <v/>
      </c>
      <c r="BF4764">
        <f>'02_Модель'!BF22</f>
        <v/>
      </c>
      <c r="BG4764">
        <f>'02_Модель'!BG22</f>
        <v/>
      </c>
      <c r="BH4764">
        <f>'02_Модель'!BH22</f>
        <v/>
      </c>
      <c r="BI4764">
        <f>'02_Модель'!BI22</f>
        <v/>
      </c>
    </row>
    <row r="4765">
      <c r="B4765">
        <f>IF('01_Вводные'!$B$234="Да",SUM('19_Расчет_аналитики'!B4760:B4764),0)</f>
        <v/>
      </c>
      <c r="C4765">
        <f>IF('01_Вводные'!$B$234="Да",SUM('19_Расчет_аналитики'!C4760:C4764),0)</f>
        <v/>
      </c>
      <c r="D4765">
        <f>IF('01_Вводные'!$B$234="Да",SUM('19_Расчет_аналитики'!D4760:D4764),0)</f>
        <v/>
      </c>
      <c r="E4765">
        <f>IF('01_Вводные'!$B$234="Да",SUM('19_Расчет_аналитики'!E4760:E4764),0)</f>
        <v/>
      </c>
      <c r="F4765">
        <f>IF('01_Вводные'!$B$234="Да",SUM('19_Расчет_аналитики'!F4760:F4764),0)</f>
        <v/>
      </c>
      <c r="G4765">
        <f>IF('01_Вводные'!$B$234="Да",SUM('19_Расчет_аналитики'!G4760:G4764),0)</f>
        <v/>
      </c>
      <c r="H4765">
        <f>IF('01_Вводные'!$B$234="Да",SUM('19_Расчет_аналитики'!H4760:H4764),0)</f>
        <v/>
      </c>
      <c r="I4765">
        <f>IF('01_Вводные'!$B$234="Да",SUM('19_Расчет_аналитики'!I4760:I4764),0)</f>
        <v/>
      </c>
      <c r="J4765">
        <f>IF('01_Вводные'!$B$234="Да",SUM('19_Расчет_аналитики'!J4760:J4764),0)</f>
        <v/>
      </c>
      <c r="K4765">
        <f>IF('01_Вводные'!$B$234="Да",SUM('19_Расчет_аналитики'!K4760:K4764),0)</f>
        <v/>
      </c>
      <c r="L4765">
        <f>IF('01_Вводные'!$B$234="Да",SUM('19_Расчет_аналитики'!L4760:L4764),0)</f>
        <v/>
      </c>
      <c r="M4765">
        <f>IF('01_Вводные'!$B$234="Да",SUM('19_Расчет_аналитики'!M4760:M4764),0)</f>
        <v/>
      </c>
      <c r="N4765">
        <f>IF('01_Вводные'!$B$234="Да",SUM('19_Расчет_аналитики'!N4760:N4764),0)</f>
        <v/>
      </c>
      <c r="O4765">
        <f>IF('01_Вводные'!$B$234="Да",SUM('19_Расчет_аналитики'!O4760:O4764),0)</f>
        <v/>
      </c>
      <c r="P4765">
        <f>IF('01_Вводные'!$B$234="Да",SUM('19_Расчет_аналитики'!P4760:P4764),0)</f>
        <v/>
      </c>
      <c r="Q4765">
        <f>IF('01_Вводные'!$B$234="Да",SUM('19_Расчет_аналитики'!Q4760:Q4764),0)</f>
        <v/>
      </c>
      <c r="R4765">
        <f>IF('01_Вводные'!$B$234="Да",SUM('19_Расчет_аналитики'!R4760:R4764),0)</f>
        <v/>
      </c>
      <c r="S4765">
        <f>IF('01_Вводные'!$B$234="Да",SUM('19_Расчет_аналитики'!S4760:S4764),0)</f>
        <v/>
      </c>
      <c r="T4765">
        <f>IF('01_Вводные'!$B$234="Да",SUM('19_Расчет_аналитики'!T4760:T4764),0)</f>
        <v/>
      </c>
      <c r="U4765">
        <f>IF('01_Вводные'!$B$234="Да",SUM('19_Расчет_аналитики'!U4760:U4764),0)</f>
        <v/>
      </c>
      <c r="V4765">
        <f>IF('01_Вводные'!$B$234="Да",SUM('19_Расчет_аналитики'!V4760:V4764),0)</f>
        <v/>
      </c>
      <c r="W4765">
        <f>IF('01_Вводные'!$B$234="Да",SUM('19_Расчет_аналитики'!W4760:W4764),0)</f>
        <v/>
      </c>
      <c r="X4765">
        <f>IF('01_Вводные'!$B$234="Да",SUM('19_Расчет_аналитики'!X4760:X4764),0)</f>
        <v/>
      </c>
      <c r="Y4765">
        <f>IF('01_Вводные'!$B$234="Да",SUM('19_Расчет_аналитики'!Y4760:Y4764),0)</f>
        <v/>
      </c>
      <c r="Z4765">
        <f>IF('01_Вводные'!$B$234="Да",SUM('19_Расчет_аналитики'!Z4760:Z4764),0)</f>
        <v/>
      </c>
      <c r="AA4765">
        <f>IF('01_Вводные'!$B$234="Да",SUM('19_Расчет_аналитики'!AA4760:AA4764),0)</f>
        <v/>
      </c>
      <c r="AB4765">
        <f>IF('01_Вводные'!$B$234="Да",SUM('19_Расчет_аналитики'!AB4760:AB4764),0)</f>
        <v/>
      </c>
      <c r="AC4765">
        <f>IF('01_Вводные'!$B$234="Да",SUM('19_Расчет_аналитики'!AC4760:AC4764),0)</f>
        <v/>
      </c>
      <c r="AD4765">
        <f>IF('01_Вводные'!$B$234="Да",SUM('19_Расчет_аналитики'!AD4760:AD4764),0)</f>
        <v/>
      </c>
      <c r="AE4765">
        <f>IF('01_Вводные'!$B$234="Да",SUM('19_Расчет_аналитики'!AE4760:AE4764),0)</f>
        <v/>
      </c>
      <c r="AF4765">
        <f>IF('01_Вводные'!$B$234="Да",SUM('19_Расчет_аналитики'!AF4760:AF4764),0)</f>
        <v/>
      </c>
      <c r="AG4765">
        <f>IF('01_Вводные'!$B$234="Да",SUM('19_Расчет_аналитики'!AG4760:AG4764),0)</f>
        <v/>
      </c>
      <c r="AH4765">
        <f>IF('01_Вводные'!$B$234="Да",SUM('19_Расчет_аналитики'!AH4760:AH4764),0)</f>
        <v/>
      </c>
      <c r="AI4765">
        <f>IF('01_Вводные'!$B$234="Да",SUM('19_Расчет_аналитики'!AI4760:AI4764),0)</f>
        <v/>
      </c>
      <c r="AJ4765">
        <f>IF('01_Вводные'!$B$234="Да",SUM('19_Расчет_аналитики'!AJ4760:AJ4764),0)</f>
        <v/>
      </c>
      <c r="AK4765">
        <f>IF('01_Вводные'!$B$234="Да",SUM('19_Расчет_аналитики'!AK4760:AK4764),0)</f>
        <v/>
      </c>
      <c r="AL4765">
        <f>IF('01_Вводные'!$B$234="Да",SUM('19_Расчет_аналитики'!AL4760:AL4764),0)</f>
        <v/>
      </c>
      <c r="AM4765">
        <f>IF('01_Вводные'!$B$234="Да",SUM('19_Расчет_аналитики'!AM4760:AM4764),0)</f>
        <v/>
      </c>
      <c r="AN4765">
        <f>IF('01_Вводные'!$B$234="Да",SUM('19_Расчет_аналитики'!AN4760:AN4764),0)</f>
        <v/>
      </c>
      <c r="AO4765">
        <f>IF('01_Вводные'!$B$234="Да",SUM('19_Расчет_аналитики'!AO4760:AO4764),0)</f>
        <v/>
      </c>
      <c r="AP4765">
        <f>IF('01_Вводные'!$B$234="Да",SUM('19_Расчет_аналитики'!AP4760:AP4764),0)</f>
        <v/>
      </c>
      <c r="AQ4765">
        <f>IF('01_Вводные'!$B$234="Да",SUM('19_Расчет_аналитики'!AQ4760:AQ4764),0)</f>
        <v/>
      </c>
      <c r="AR4765">
        <f>IF('01_Вводные'!$B$234="Да",SUM('19_Расчет_аналитики'!AR4760:AR4764),0)</f>
        <v/>
      </c>
      <c r="AS4765">
        <f>IF('01_Вводные'!$B$234="Да",SUM('19_Расчет_аналитики'!AS4760:AS4764),0)</f>
        <v/>
      </c>
      <c r="AT4765">
        <f>IF('01_Вводные'!$B$234="Да",SUM('19_Расчет_аналитики'!AT4760:AT4764),0)</f>
        <v/>
      </c>
      <c r="AU4765">
        <f>IF('01_Вводные'!$B$234="Да",SUM('19_Расчет_аналитики'!AU4760:AU4764),0)</f>
        <v/>
      </c>
      <c r="AV4765">
        <f>IF('01_Вводные'!$B$234="Да",SUM('19_Расчет_аналитики'!AV4760:AV4764),0)</f>
        <v/>
      </c>
      <c r="AW4765">
        <f>IF('01_Вводные'!$B$234="Да",SUM('19_Расчет_аналитики'!AW4760:AW4764),0)</f>
        <v/>
      </c>
      <c r="AX4765">
        <f>IF('01_Вводные'!$B$234="Да",SUM('19_Расчет_аналитики'!AX4760:AX4764),0)</f>
        <v/>
      </c>
      <c r="AY4765">
        <f>IF('01_Вводные'!$B$234="Да",SUM('19_Расчет_аналитики'!AY4760:AY4764),0)</f>
        <v/>
      </c>
      <c r="AZ4765">
        <f>IF('01_Вводные'!$B$234="Да",SUM('19_Расчет_аналитики'!AZ4760:AZ4764),0)</f>
        <v/>
      </c>
      <c r="BA4765">
        <f>IF('01_Вводные'!$B$234="Да",SUM('19_Расчет_аналитики'!BA4760:BA4764),0)</f>
        <v/>
      </c>
      <c r="BB4765">
        <f>IF('01_Вводные'!$B$234="Да",SUM('19_Расчет_аналитики'!BB4760:BB4764),0)</f>
        <v/>
      </c>
      <c r="BC4765">
        <f>IF('01_Вводные'!$B$234="Да",SUM('19_Расчет_аналитики'!BC4760:BC4764),0)</f>
        <v/>
      </c>
      <c r="BD4765">
        <f>IF('01_Вводные'!$B$234="Да",SUM('19_Расчет_аналитики'!BD4760:BD4764),0)</f>
        <v/>
      </c>
      <c r="BE4765">
        <f>IF('01_Вводные'!$B$234="Да",SUM('19_Расчет_аналитики'!BE4760:BE4764),0)</f>
        <v/>
      </c>
      <c r="BF4765">
        <f>IF('01_Вводные'!$B$234="Да",SUM('19_Расчет_аналитики'!BF4760:BF4764),0)</f>
        <v/>
      </c>
      <c r="BG4765">
        <f>IF('01_Вводные'!$B$234="Да",SUM('19_Расчет_аналитики'!BG4760:BG4764),0)</f>
        <v/>
      </c>
      <c r="BH4765">
        <f>IF('01_Вводные'!$B$234="Да",SUM('19_Расчет_аналитики'!BH4760:BH4764),0)</f>
        <v/>
      </c>
      <c r="BI4765">
        <f>IF('01_Вводные'!$B$234="Да",SUM('19_Расчет_аналитики'!BI4760:BI4764),0)</f>
        <v/>
      </c>
    </row>
    <row r="4766"/>
    <row r="4767"/>
    <row r="4768">
      <c r="B4768">
        <f>IF('01_Вводные'!$B$234="Да",'19_Расчет_аналитики'!B4665,0)</f>
        <v/>
      </c>
      <c r="C4768">
        <f>IF('01_Вводные'!$B$234="Да",'19_Расчет_аналитики'!C4665,0)</f>
        <v/>
      </c>
      <c r="D4768">
        <f>IF('01_Вводные'!$B$234="Да",'19_Расчет_аналитики'!D4665,0)</f>
        <v/>
      </c>
      <c r="E4768">
        <f>IF('01_Вводные'!$B$234="Да",'19_Расчет_аналитики'!E4665,0)</f>
        <v/>
      </c>
      <c r="F4768">
        <f>IF('01_Вводные'!$B$234="Да",'19_Расчет_аналитики'!F4665,0)</f>
        <v/>
      </c>
      <c r="G4768">
        <f>IF('01_Вводные'!$B$234="Да",'19_Расчет_аналитики'!G4665,0)</f>
        <v/>
      </c>
      <c r="H4768">
        <f>IF('01_Вводные'!$B$234="Да",'19_Расчет_аналитики'!H4665,0)</f>
        <v/>
      </c>
      <c r="I4768">
        <f>IF('01_Вводные'!$B$234="Да",'19_Расчет_аналитики'!I4665,0)</f>
        <v/>
      </c>
      <c r="J4768">
        <f>IF('01_Вводные'!$B$234="Да",'19_Расчет_аналитики'!J4665,0)</f>
        <v/>
      </c>
      <c r="K4768">
        <f>IF('01_Вводные'!$B$234="Да",'19_Расчет_аналитики'!K4665,0)</f>
        <v/>
      </c>
      <c r="L4768">
        <f>IF('01_Вводные'!$B$234="Да",'19_Расчет_аналитики'!L4665,0)</f>
        <v/>
      </c>
      <c r="M4768">
        <f>IF('01_Вводные'!$B$234="Да",'19_Расчет_аналитики'!M4665,0)</f>
        <v/>
      </c>
      <c r="N4768">
        <f>IF('01_Вводные'!$B$234="Да",'19_Расчет_аналитики'!N4665,0)</f>
        <v/>
      </c>
      <c r="O4768">
        <f>IF('01_Вводные'!$B$234="Да",'19_Расчет_аналитики'!O4665,0)</f>
        <v/>
      </c>
      <c r="P4768">
        <f>IF('01_Вводные'!$B$234="Да",'19_Расчет_аналитики'!P4665,0)</f>
        <v/>
      </c>
      <c r="Q4768">
        <f>IF('01_Вводные'!$B$234="Да",'19_Расчет_аналитики'!Q4665,0)</f>
        <v/>
      </c>
      <c r="R4768">
        <f>IF('01_Вводные'!$B$234="Да",'19_Расчет_аналитики'!R4665,0)</f>
        <v/>
      </c>
      <c r="S4768">
        <f>IF('01_Вводные'!$B$234="Да",'19_Расчет_аналитики'!S4665,0)</f>
        <v/>
      </c>
      <c r="T4768">
        <f>IF('01_Вводные'!$B$234="Да",'19_Расчет_аналитики'!T4665,0)</f>
        <v/>
      </c>
      <c r="U4768">
        <f>IF('01_Вводные'!$B$234="Да",'19_Расчет_аналитики'!U4665,0)</f>
        <v/>
      </c>
      <c r="V4768">
        <f>IF('01_Вводные'!$B$234="Да",'19_Расчет_аналитики'!V4665,0)</f>
        <v/>
      </c>
      <c r="W4768">
        <f>IF('01_Вводные'!$B$234="Да",'19_Расчет_аналитики'!W4665,0)</f>
        <v/>
      </c>
      <c r="X4768">
        <f>IF('01_Вводные'!$B$234="Да",'19_Расчет_аналитики'!X4665,0)</f>
        <v/>
      </c>
      <c r="Y4768">
        <f>IF('01_Вводные'!$B$234="Да",'19_Расчет_аналитики'!Y4665,0)</f>
        <v/>
      </c>
      <c r="Z4768">
        <f>IF('01_Вводные'!$B$234="Да",'19_Расчет_аналитики'!Z4665,0)</f>
        <v/>
      </c>
      <c r="AA4768">
        <f>IF('01_Вводные'!$B$234="Да",'19_Расчет_аналитики'!AA4665,0)</f>
        <v/>
      </c>
      <c r="AB4768">
        <f>IF('01_Вводные'!$B$234="Да",'19_Расчет_аналитики'!AB4665,0)</f>
        <v/>
      </c>
      <c r="AC4768">
        <f>IF('01_Вводные'!$B$234="Да",'19_Расчет_аналитики'!AC4665,0)</f>
        <v/>
      </c>
      <c r="AD4768">
        <f>IF('01_Вводные'!$B$234="Да",'19_Расчет_аналитики'!AD4665,0)</f>
        <v/>
      </c>
      <c r="AE4768">
        <f>IF('01_Вводные'!$B$234="Да",'19_Расчет_аналитики'!AE4665,0)</f>
        <v/>
      </c>
      <c r="AF4768">
        <f>IF('01_Вводные'!$B$234="Да",'19_Расчет_аналитики'!AF4665,0)</f>
        <v/>
      </c>
      <c r="AG4768">
        <f>IF('01_Вводные'!$B$234="Да",'19_Расчет_аналитики'!AG4665,0)</f>
        <v/>
      </c>
      <c r="AH4768">
        <f>IF('01_Вводные'!$B$234="Да",'19_Расчет_аналитики'!AH4665,0)</f>
        <v/>
      </c>
      <c r="AI4768">
        <f>IF('01_Вводные'!$B$234="Да",'19_Расчет_аналитики'!AI4665,0)</f>
        <v/>
      </c>
      <c r="AJ4768">
        <f>IF('01_Вводные'!$B$234="Да",'19_Расчет_аналитики'!AJ4665,0)</f>
        <v/>
      </c>
      <c r="AK4768">
        <f>IF('01_Вводные'!$B$234="Да",'19_Расчет_аналитики'!AK4665,0)</f>
        <v/>
      </c>
      <c r="AL4768">
        <f>IF('01_Вводные'!$B$234="Да",'19_Расчет_аналитики'!AL4665,0)</f>
        <v/>
      </c>
      <c r="AM4768">
        <f>IF('01_Вводные'!$B$234="Да",'19_Расчет_аналитики'!AM4665,0)</f>
        <v/>
      </c>
      <c r="AN4768">
        <f>IF('01_Вводные'!$B$234="Да",'19_Расчет_аналитики'!AN4665,0)</f>
        <v/>
      </c>
      <c r="AO4768">
        <f>IF('01_Вводные'!$B$234="Да",'19_Расчет_аналитики'!AO4665,0)</f>
        <v/>
      </c>
      <c r="AP4768">
        <f>IF('01_Вводные'!$B$234="Да",'19_Расчет_аналитики'!AP4665,0)</f>
        <v/>
      </c>
      <c r="AQ4768">
        <f>IF('01_Вводные'!$B$234="Да",'19_Расчет_аналитики'!AQ4665,0)</f>
        <v/>
      </c>
      <c r="AR4768">
        <f>IF('01_Вводные'!$B$234="Да",'19_Расчет_аналитики'!AR4665,0)</f>
        <v/>
      </c>
      <c r="AS4768">
        <f>IF('01_Вводные'!$B$234="Да",'19_Расчет_аналитики'!AS4665,0)</f>
        <v/>
      </c>
      <c r="AT4768">
        <f>IF('01_Вводные'!$B$234="Да",'19_Расчет_аналитики'!AT4665,0)</f>
        <v/>
      </c>
      <c r="AU4768">
        <f>IF('01_Вводные'!$B$234="Да",'19_Расчет_аналитики'!AU4665,0)</f>
        <v/>
      </c>
      <c r="AV4768">
        <f>IF('01_Вводные'!$B$234="Да",'19_Расчет_аналитики'!AV4665,0)</f>
        <v/>
      </c>
      <c r="AW4768">
        <f>IF('01_Вводные'!$B$234="Да",'19_Расчет_аналитики'!AW4665,0)</f>
        <v/>
      </c>
      <c r="AX4768">
        <f>IF('01_Вводные'!$B$234="Да",'19_Расчет_аналитики'!AX4665,0)</f>
        <v/>
      </c>
      <c r="AY4768">
        <f>IF('01_Вводные'!$B$234="Да",'19_Расчет_аналитики'!AY4665,0)</f>
        <v/>
      </c>
      <c r="AZ4768">
        <f>IF('01_Вводные'!$B$234="Да",'19_Расчет_аналитики'!AZ4665,0)</f>
        <v/>
      </c>
      <c r="BA4768">
        <f>IF('01_Вводные'!$B$234="Да",'19_Расчет_аналитики'!BA4665,0)</f>
        <v/>
      </c>
      <c r="BB4768">
        <f>IF('01_Вводные'!$B$234="Да",'19_Расчет_аналитики'!BB4665,0)</f>
        <v/>
      </c>
      <c r="BC4768">
        <f>IF('01_Вводные'!$B$234="Да",'19_Расчет_аналитики'!BC4665,0)</f>
        <v/>
      </c>
      <c r="BD4768">
        <f>IF('01_Вводные'!$B$234="Да",'19_Расчет_аналитики'!BD4665,0)</f>
        <v/>
      </c>
      <c r="BE4768">
        <f>IF('01_Вводные'!$B$234="Да",'19_Расчет_аналитики'!BE4665,0)</f>
        <v/>
      </c>
      <c r="BF4768">
        <f>IF('01_Вводные'!$B$234="Да",'19_Расчет_аналитики'!BF4665,0)</f>
        <v/>
      </c>
      <c r="BG4768">
        <f>IF('01_Вводные'!$B$234="Да",'19_Расчет_аналитики'!BG4665,0)</f>
        <v/>
      </c>
      <c r="BH4768">
        <f>IF('01_Вводные'!$B$234="Да",'19_Расчет_аналитики'!BH4665,0)</f>
        <v/>
      </c>
      <c r="BI4768">
        <f>IF('01_Вводные'!$B$234="Да",'19_Расчет_аналитики'!BI4665,0)</f>
        <v/>
      </c>
    </row>
    <row r="4769">
      <c r="B4769">
        <f>IF('01_Вводные'!$B$234="Да",'19_Расчет_аналитики'!B4666,0)</f>
        <v/>
      </c>
      <c r="C4769">
        <f>IF('01_Вводные'!$B$234="Да",'19_Расчет_аналитики'!C4666,0)</f>
        <v/>
      </c>
      <c r="D4769">
        <f>IF('01_Вводные'!$B$234="Да",'19_Расчет_аналитики'!D4666,0)</f>
        <v/>
      </c>
      <c r="E4769">
        <f>IF('01_Вводные'!$B$234="Да",'19_Расчет_аналитики'!E4666,0)</f>
        <v/>
      </c>
      <c r="F4769">
        <f>IF('01_Вводные'!$B$234="Да",'19_Расчет_аналитики'!F4666,0)</f>
        <v/>
      </c>
      <c r="G4769">
        <f>IF('01_Вводные'!$B$234="Да",'19_Расчет_аналитики'!G4666,0)</f>
        <v/>
      </c>
      <c r="H4769">
        <f>IF('01_Вводные'!$B$234="Да",'19_Расчет_аналитики'!H4666,0)</f>
        <v/>
      </c>
      <c r="I4769">
        <f>IF('01_Вводные'!$B$234="Да",'19_Расчет_аналитики'!I4666,0)</f>
        <v/>
      </c>
      <c r="J4769">
        <f>IF('01_Вводные'!$B$234="Да",'19_Расчет_аналитики'!J4666,0)</f>
        <v/>
      </c>
      <c r="K4769">
        <f>IF('01_Вводные'!$B$234="Да",'19_Расчет_аналитики'!K4666,0)</f>
        <v/>
      </c>
      <c r="L4769">
        <f>IF('01_Вводные'!$B$234="Да",'19_Расчет_аналитики'!L4666,0)</f>
        <v/>
      </c>
      <c r="M4769">
        <f>IF('01_Вводные'!$B$234="Да",'19_Расчет_аналитики'!M4666,0)</f>
        <v/>
      </c>
      <c r="N4769">
        <f>IF('01_Вводные'!$B$234="Да",'19_Расчет_аналитики'!N4666,0)</f>
        <v/>
      </c>
      <c r="O4769">
        <f>IF('01_Вводные'!$B$234="Да",'19_Расчет_аналитики'!O4666,0)</f>
        <v/>
      </c>
      <c r="P4769">
        <f>IF('01_Вводные'!$B$234="Да",'19_Расчет_аналитики'!P4666,0)</f>
        <v/>
      </c>
      <c r="Q4769">
        <f>IF('01_Вводные'!$B$234="Да",'19_Расчет_аналитики'!Q4666,0)</f>
        <v/>
      </c>
      <c r="R4769">
        <f>IF('01_Вводные'!$B$234="Да",'19_Расчет_аналитики'!R4666,0)</f>
        <v/>
      </c>
      <c r="S4769">
        <f>IF('01_Вводные'!$B$234="Да",'19_Расчет_аналитики'!S4666,0)</f>
        <v/>
      </c>
      <c r="T4769">
        <f>IF('01_Вводные'!$B$234="Да",'19_Расчет_аналитики'!T4666,0)</f>
        <v/>
      </c>
      <c r="U4769">
        <f>IF('01_Вводные'!$B$234="Да",'19_Расчет_аналитики'!U4666,0)</f>
        <v/>
      </c>
      <c r="V4769">
        <f>IF('01_Вводные'!$B$234="Да",'19_Расчет_аналитики'!V4666,0)</f>
        <v/>
      </c>
      <c r="W4769">
        <f>IF('01_Вводные'!$B$234="Да",'19_Расчет_аналитики'!W4666,0)</f>
        <v/>
      </c>
      <c r="X4769">
        <f>IF('01_Вводные'!$B$234="Да",'19_Расчет_аналитики'!X4666,0)</f>
        <v/>
      </c>
      <c r="Y4769">
        <f>IF('01_Вводные'!$B$234="Да",'19_Расчет_аналитики'!Y4666,0)</f>
        <v/>
      </c>
      <c r="Z4769">
        <f>IF('01_Вводные'!$B$234="Да",'19_Расчет_аналитики'!Z4666,0)</f>
        <v/>
      </c>
      <c r="AA4769">
        <f>IF('01_Вводные'!$B$234="Да",'19_Расчет_аналитики'!AA4666,0)</f>
        <v/>
      </c>
      <c r="AB4769">
        <f>IF('01_Вводные'!$B$234="Да",'19_Расчет_аналитики'!AB4666,0)</f>
        <v/>
      </c>
      <c r="AC4769">
        <f>IF('01_Вводные'!$B$234="Да",'19_Расчет_аналитики'!AC4666,0)</f>
        <v/>
      </c>
      <c r="AD4769">
        <f>IF('01_Вводные'!$B$234="Да",'19_Расчет_аналитики'!AD4666,0)</f>
        <v/>
      </c>
      <c r="AE4769">
        <f>IF('01_Вводные'!$B$234="Да",'19_Расчет_аналитики'!AE4666,0)</f>
        <v/>
      </c>
      <c r="AF4769">
        <f>IF('01_Вводные'!$B$234="Да",'19_Расчет_аналитики'!AF4666,0)</f>
        <v/>
      </c>
      <c r="AG4769">
        <f>IF('01_Вводные'!$B$234="Да",'19_Расчет_аналитики'!AG4666,0)</f>
        <v/>
      </c>
      <c r="AH4769">
        <f>IF('01_Вводные'!$B$234="Да",'19_Расчет_аналитики'!AH4666,0)</f>
        <v/>
      </c>
      <c r="AI4769">
        <f>IF('01_Вводные'!$B$234="Да",'19_Расчет_аналитики'!AI4666,0)</f>
        <v/>
      </c>
      <c r="AJ4769">
        <f>IF('01_Вводные'!$B$234="Да",'19_Расчет_аналитики'!AJ4666,0)</f>
        <v/>
      </c>
      <c r="AK4769">
        <f>IF('01_Вводные'!$B$234="Да",'19_Расчет_аналитики'!AK4666,0)</f>
        <v/>
      </c>
      <c r="AL4769">
        <f>IF('01_Вводные'!$B$234="Да",'19_Расчет_аналитики'!AL4666,0)</f>
        <v/>
      </c>
      <c r="AM4769">
        <f>IF('01_Вводные'!$B$234="Да",'19_Расчет_аналитики'!AM4666,0)</f>
        <v/>
      </c>
      <c r="AN4769">
        <f>IF('01_Вводные'!$B$234="Да",'19_Расчет_аналитики'!AN4666,0)</f>
        <v/>
      </c>
      <c r="AO4769">
        <f>IF('01_Вводные'!$B$234="Да",'19_Расчет_аналитики'!AO4666,0)</f>
        <v/>
      </c>
      <c r="AP4769">
        <f>IF('01_Вводные'!$B$234="Да",'19_Расчет_аналитики'!AP4666,0)</f>
        <v/>
      </c>
      <c r="AQ4769">
        <f>IF('01_Вводные'!$B$234="Да",'19_Расчет_аналитики'!AQ4666,0)</f>
        <v/>
      </c>
      <c r="AR4769">
        <f>IF('01_Вводные'!$B$234="Да",'19_Расчет_аналитики'!AR4666,0)</f>
        <v/>
      </c>
      <c r="AS4769">
        <f>IF('01_Вводные'!$B$234="Да",'19_Расчет_аналитики'!AS4666,0)</f>
        <v/>
      </c>
      <c r="AT4769">
        <f>IF('01_Вводные'!$B$234="Да",'19_Расчет_аналитики'!AT4666,0)</f>
        <v/>
      </c>
      <c r="AU4769">
        <f>IF('01_Вводные'!$B$234="Да",'19_Расчет_аналитики'!AU4666,0)</f>
        <v/>
      </c>
      <c r="AV4769">
        <f>IF('01_Вводные'!$B$234="Да",'19_Расчет_аналитики'!AV4666,0)</f>
        <v/>
      </c>
      <c r="AW4769">
        <f>IF('01_Вводные'!$B$234="Да",'19_Расчет_аналитики'!AW4666,0)</f>
        <v/>
      </c>
      <c r="AX4769">
        <f>IF('01_Вводные'!$B$234="Да",'19_Расчет_аналитики'!AX4666,0)</f>
        <v/>
      </c>
      <c r="AY4769">
        <f>IF('01_Вводные'!$B$234="Да",'19_Расчет_аналитики'!AY4666,0)</f>
        <v/>
      </c>
      <c r="AZ4769">
        <f>IF('01_Вводные'!$B$234="Да",'19_Расчет_аналитики'!AZ4666,0)</f>
        <v/>
      </c>
      <c r="BA4769">
        <f>IF('01_Вводные'!$B$234="Да",'19_Расчет_аналитики'!BA4666,0)</f>
        <v/>
      </c>
      <c r="BB4769">
        <f>IF('01_Вводные'!$B$234="Да",'19_Расчет_аналитики'!BB4666,0)</f>
        <v/>
      </c>
      <c r="BC4769">
        <f>IF('01_Вводные'!$B$234="Да",'19_Расчет_аналитики'!BC4666,0)</f>
        <v/>
      </c>
      <c r="BD4769">
        <f>IF('01_Вводные'!$B$234="Да",'19_Расчет_аналитики'!BD4666,0)</f>
        <v/>
      </c>
      <c r="BE4769">
        <f>IF('01_Вводные'!$B$234="Да",'19_Расчет_аналитики'!BE4666,0)</f>
        <v/>
      </c>
      <c r="BF4769">
        <f>IF('01_Вводные'!$B$234="Да",'19_Расчет_аналитики'!BF4666,0)</f>
        <v/>
      </c>
      <c r="BG4769">
        <f>IF('01_Вводные'!$B$234="Да",'19_Расчет_аналитики'!BG4666,0)</f>
        <v/>
      </c>
      <c r="BH4769">
        <f>IF('01_Вводные'!$B$234="Да",'19_Расчет_аналитики'!BH4666,0)</f>
        <v/>
      </c>
      <c r="BI4769">
        <f>IF('01_Вводные'!$B$234="Да",'19_Расчет_аналитики'!BI4666,0)</f>
        <v/>
      </c>
    </row>
    <row r="4770">
      <c r="B4770">
        <f>IF('01_Вводные'!$B$234="Да",'19_Расчет_аналитики'!B4668,0)</f>
        <v/>
      </c>
      <c r="C4770">
        <f>IF('01_Вводные'!$B$234="Да",'19_Расчет_аналитики'!C4668,0)</f>
        <v/>
      </c>
      <c r="D4770">
        <f>IF('01_Вводные'!$B$234="Да",'19_Расчет_аналитики'!D4668,0)</f>
        <v/>
      </c>
      <c r="E4770">
        <f>IF('01_Вводные'!$B$234="Да",'19_Расчет_аналитики'!E4668,0)</f>
        <v/>
      </c>
      <c r="F4770">
        <f>IF('01_Вводные'!$B$234="Да",'19_Расчет_аналитики'!F4668,0)</f>
        <v/>
      </c>
      <c r="G4770">
        <f>IF('01_Вводные'!$B$234="Да",'19_Расчет_аналитики'!G4668,0)</f>
        <v/>
      </c>
      <c r="H4770">
        <f>IF('01_Вводные'!$B$234="Да",'19_Расчет_аналитики'!H4668,0)</f>
        <v/>
      </c>
      <c r="I4770">
        <f>IF('01_Вводные'!$B$234="Да",'19_Расчет_аналитики'!I4668,0)</f>
        <v/>
      </c>
      <c r="J4770">
        <f>IF('01_Вводные'!$B$234="Да",'19_Расчет_аналитики'!J4668,0)</f>
        <v/>
      </c>
      <c r="K4770">
        <f>IF('01_Вводные'!$B$234="Да",'19_Расчет_аналитики'!K4668,0)</f>
        <v/>
      </c>
      <c r="L4770">
        <f>IF('01_Вводные'!$B$234="Да",'19_Расчет_аналитики'!L4668,0)</f>
        <v/>
      </c>
      <c r="M4770">
        <f>IF('01_Вводные'!$B$234="Да",'19_Расчет_аналитики'!M4668,0)</f>
        <v/>
      </c>
      <c r="N4770">
        <f>IF('01_Вводные'!$B$234="Да",'19_Расчет_аналитики'!N4668,0)</f>
        <v/>
      </c>
      <c r="O4770">
        <f>IF('01_Вводные'!$B$234="Да",'19_Расчет_аналитики'!O4668,0)</f>
        <v/>
      </c>
      <c r="P4770">
        <f>IF('01_Вводные'!$B$234="Да",'19_Расчет_аналитики'!P4668,0)</f>
        <v/>
      </c>
      <c r="Q4770">
        <f>IF('01_Вводные'!$B$234="Да",'19_Расчет_аналитики'!Q4668,0)</f>
        <v/>
      </c>
      <c r="R4770">
        <f>IF('01_Вводные'!$B$234="Да",'19_Расчет_аналитики'!R4668,0)</f>
        <v/>
      </c>
      <c r="S4770">
        <f>IF('01_Вводные'!$B$234="Да",'19_Расчет_аналитики'!S4668,0)</f>
        <v/>
      </c>
      <c r="T4770">
        <f>IF('01_Вводные'!$B$234="Да",'19_Расчет_аналитики'!T4668,0)</f>
        <v/>
      </c>
      <c r="U4770">
        <f>IF('01_Вводные'!$B$234="Да",'19_Расчет_аналитики'!U4668,0)</f>
        <v/>
      </c>
      <c r="V4770">
        <f>IF('01_Вводные'!$B$234="Да",'19_Расчет_аналитики'!V4668,0)</f>
        <v/>
      </c>
      <c r="W4770">
        <f>IF('01_Вводные'!$B$234="Да",'19_Расчет_аналитики'!W4668,0)</f>
        <v/>
      </c>
      <c r="X4770">
        <f>IF('01_Вводные'!$B$234="Да",'19_Расчет_аналитики'!X4668,0)</f>
        <v/>
      </c>
      <c r="Y4770">
        <f>IF('01_Вводные'!$B$234="Да",'19_Расчет_аналитики'!Y4668,0)</f>
        <v/>
      </c>
      <c r="Z4770">
        <f>IF('01_Вводные'!$B$234="Да",'19_Расчет_аналитики'!Z4668,0)</f>
        <v/>
      </c>
      <c r="AA4770">
        <f>IF('01_Вводные'!$B$234="Да",'19_Расчет_аналитики'!AA4668,0)</f>
        <v/>
      </c>
      <c r="AB4770">
        <f>IF('01_Вводные'!$B$234="Да",'19_Расчет_аналитики'!AB4668,0)</f>
        <v/>
      </c>
      <c r="AC4770">
        <f>IF('01_Вводные'!$B$234="Да",'19_Расчет_аналитики'!AC4668,0)</f>
        <v/>
      </c>
      <c r="AD4770">
        <f>IF('01_Вводные'!$B$234="Да",'19_Расчет_аналитики'!AD4668,0)</f>
        <v/>
      </c>
      <c r="AE4770">
        <f>IF('01_Вводные'!$B$234="Да",'19_Расчет_аналитики'!AE4668,0)</f>
        <v/>
      </c>
      <c r="AF4770">
        <f>IF('01_Вводные'!$B$234="Да",'19_Расчет_аналитики'!AF4668,0)</f>
        <v/>
      </c>
      <c r="AG4770">
        <f>IF('01_Вводные'!$B$234="Да",'19_Расчет_аналитики'!AG4668,0)</f>
        <v/>
      </c>
      <c r="AH4770">
        <f>IF('01_Вводные'!$B$234="Да",'19_Расчет_аналитики'!AH4668,0)</f>
        <v/>
      </c>
      <c r="AI4770">
        <f>IF('01_Вводные'!$B$234="Да",'19_Расчет_аналитики'!AI4668,0)</f>
        <v/>
      </c>
      <c r="AJ4770">
        <f>IF('01_Вводные'!$B$234="Да",'19_Расчет_аналитики'!AJ4668,0)</f>
        <v/>
      </c>
      <c r="AK4770">
        <f>IF('01_Вводные'!$B$234="Да",'19_Расчет_аналитики'!AK4668,0)</f>
        <v/>
      </c>
      <c r="AL4770">
        <f>IF('01_Вводные'!$B$234="Да",'19_Расчет_аналитики'!AL4668,0)</f>
        <v/>
      </c>
      <c r="AM4770">
        <f>IF('01_Вводные'!$B$234="Да",'19_Расчет_аналитики'!AM4668,0)</f>
        <v/>
      </c>
      <c r="AN4770">
        <f>IF('01_Вводные'!$B$234="Да",'19_Расчет_аналитики'!AN4668,0)</f>
        <v/>
      </c>
      <c r="AO4770">
        <f>IF('01_Вводные'!$B$234="Да",'19_Расчет_аналитики'!AO4668,0)</f>
        <v/>
      </c>
      <c r="AP4770">
        <f>IF('01_Вводные'!$B$234="Да",'19_Расчет_аналитики'!AP4668,0)</f>
        <v/>
      </c>
      <c r="AQ4770">
        <f>IF('01_Вводные'!$B$234="Да",'19_Расчет_аналитики'!AQ4668,0)</f>
        <v/>
      </c>
      <c r="AR4770">
        <f>IF('01_Вводные'!$B$234="Да",'19_Расчет_аналитики'!AR4668,0)</f>
        <v/>
      </c>
      <c r="AS4770">
        <f>IF('01_Вводные'!$B$234="Да",'19_Расчет_аналитики'!AS4668,0)</f>
        <v/>
      </c>
      <c r="AT4770">
        <f>IF('01_Вводные'!$B$234="Да",'19_Расчет_аналитики'!AT4668,0)</f>
        <v/>
      </c>
      <c r="AU4770">
        <f>IF('01_Вводные'!$B$234="Да",'19_Расчет_аналитики'!AU4668,0)</f>
        <v/>
      </c>
      <c r="AV4770">
        <f>IF('01_Вводные'!$B$234="Да",'19_Расчет_аналитики'!AV4668,0)</f>
        <v/>
      </c>
      <c r="AW4770">
        <f>IF('01_Вводные'!$B$234="Да",'19_Расчет_аналитики'!AW4668,0)</f>
        <v/>
      </c>
      <c r="AX4770">
        <f>IF('01_Вводные'!$B$234="Да",'19_Расчет_аналитики'!AX4668,0)</f>
        <v/>
      </c>
      <c r="AY4770">
        <f>IF('01_Вводные'!$B$234="Да",'19_Расчет_аналитики'!AY4668,0)</f>
        <v/>
      </c>
      <c r="AZ4770">
        <f>IF('01_Вводные'!$B$234="Да",'19_Расчет_аналитики'!AZ4668,0)</f>
        <v/>
      </c>
      <c r="BA4770">
        <f>IF('01_Вводные'!$B$234="Да",'19_Расчет_аналитики'!BA4668,0)</f>
        <v/>
      </c>
      <c r="BB4770">
        <f>IF('01_Вводные'!$B$234="Да",'19_Расчет_аналитики'!BB4668,0)</f>
        <v/>
      </c>
      <c r="BC4770">
        <f>IF('01_Вводные'!$B$234="Да",'19_Расчет_аналитики'!BC4668,0)</f>
        <v/>
      </c>
      <c r="BD4770">
        <f>IF('01_Вводные'!$B$234="Да",'19_Расчет_аналитики'!BD4668,0)</f>
        <v/>
      </c>
      <c r="BE4770">
        <f>IF('01_Вводные'!$B$234="Да",'19_Расчет_аналитики'!BE4668,0)</f>
        <v/>
      </c>
      <c r="BF4770">
        <f>IF('01_Вводные'!$B$234="Да",'19_Расчет_аналитики'!BF4668,0)</f>
        <v/>
      </c>
      <c r="BG4770">
        <f>IF('01_Вводные'!$B$234="Да",'19_Расчет_аналитики'!BG4668,0)</f>
        <v/>
      </c>
      <c r="BH4770">
        <f>IF('01_Вводные'!$B$234="Да",'19_Расчет_аналитики'!BH4668,0)</f>
        <v/>
      </c>
      <c r="BI4770">
        <f>IF('01_Вводные'!$B$234="Да",'19_Расчет_аналитики'!BI4668,0)</f>
        <v/>
      </c>
    </row>
    <row r="4771">
      <c r="B4771">
        <f>'02_Модель'!B29</f>
        <v/>
      </c>
      <c r="C4771">
        <f>IF('01_Вводные'!$B$234="Да",'19_Расчет_аналитики'!C4760*'01_Вводные'!$B$59,0)</f>
        <v/>
      </c>
      <c r="D4771">
        <f>IF('01_Вводные'!$B$234="Да",'19_Расчет_аналитики'!D4760*'01_Вводные'!$B$59,0)</f>
        <v/>
      </c>
      <c r="E4771">
        <f>IF('01_Вводные'!$B$234="Да",'19_Расчет_аналитики'!E4760*'01_Вводные'!$B$59,0)</f>
        <v/>
      </c>
      <c r="F4771">
        <f>IF('01_Вводные'!$B$234="Да",'19_Расчет_аналитики'!F4760*'01_Вводные'!$B$59,0)</f>
        <v/>
      </c>
      <c r="G4771">
        <f>IF('01_Вводные'!$B$234="Да",'19_Расчет_аналитики'!G4760*'01_Вводные'!$B$59,0)</f>
        <v/>
      </c>
      <c r="H4771">
        <f>IF('01_Вводные'!$B$234="Да",'19_Расчет_аналитики'!H4760*'01_Вводные'!$B$59,0)</f>
        <v/>
      </c>
      <c r="I4771">
        <f>IF('01_Вводные'!$B$234="Да",'19_Расчет_аналитики'!I4760*'01_Вводные'!$B$59,0)</f>
        <v/>
      </c>
      <c r="J4771">
        <f>IF('01_Вводные'!$B$234="Да",'19_Расчет_аналитики'!J4760*'01_Вводные'!$B$59,0)</f>
        <v/>
      </c>
      <c r="K4771">
        <f>IF('01_Вводные'!$B$234="Да",'19_Расчет_аналитики'!K4760*'01_Вводные'!$B$59,0)</f>
        <v/>
      </c>
      <c r="L4771">
        <f>IF('01_Вводные'!$B$234="Да",'19_Расчет_аналитики'!L4760*'01_Вводные'!$B$59,0)</f>
        <v/>
      </c>
      <c r="M4771">
        <f>IF('01_Вводные'!$B$234="Да",'19_Расчет_аналитики'!M4760*'01_Вводные'!$B$59,0)</f>
        <v/>
      </c>
      <c r="N4771">
        <f>IF('01_Вводные'!$B$234="Да",'19_Расчет_аналитики'!N4760*'01_Вводные'!$B$59,0)</f>
        <v/>
      </c>
      <c r="O4771">
        <f>IF('01_Вводные'!$B$234="Да",'19_Расчет_аналитики'!O4760*'01_Вводные'!$B$59,0)</f>
        <v/>
      </c>
      <c r="P4771">
        <f>IF('01_Вводные'!$B$234="Да",'19_Расчет_аналитики'!P4760*'01_Вводные'!$B$59,0)</f>
        <v/>
      </c>
      <c r="Q4771">
        <f>IF('01_Вводные'!$B$234="Да",'19_Расчет_аналитики'!Q4760*'01_Вводные'!$B$59,0)</f>
        <v/>
      </c>
      <c r="R4771">
        <f>IF('01_Вводные'!$B$234="Да",'19_Расчет_аналитики'!R4760*'01_Вводные'!$B$59,0)</f>
        <v/>
      </c>
      <c r="S4771">
        <f>IF('01_Вводные'!$B$234="Да",'19_Расчет_аналитики'!S4760*'01_Вводные'!$B$59,0)</f>
        <v/>
      </c>
      <c r="T4771">
        <f>IF('01_Вводные'!$B$234="Да",'19_Расчет_аналитики'!T4760*'01_Вводные'!$B$59,0)</f>
        <v/>
      </c>
      <c r="U4771">
        <f>IF('01_Вводные'!$B$234="Да",'19_Расчет_аналитики'!U4760*'01_Вводные'!$B$59,0)</f>
        <v/>
      </c>
      <c r="V4771">
        <f>IF('01_Вводные'!$B$234="Да",'19_Расчет_аналитики'!V4760*'01_Вводные'!$B$59,0)</f>
        <v/>
      </c>
      <c r="W4771">
        <f>IF('01_Вводные'!$B$234="Да",'19_Расчет_аналитики'!W4760*'01_Вводные'!$B$59,0)</f>
        <v/>
      </c>
      <c r="X4771">
        <f>IF('01_Вводные'!$B$234="Да",'19_Расчет_аналитики'!X4760*'01_Вводные'!$B$59,0)</f>
        <v/>
      </c>
      <c r="Y4771">
        <f>IF('01_Вводные'!$B$234="Да",'19_Расчет_аналитики'!Y4760*'01_Вводные'!$B$59,0)</f>
        <v/>
      </c>
      <c r="Z4771">
        <f>IF('01_Вводные'!$B$234="Да",'19_Расчет_аналитики'!Z4760*'01_Вводные'!$B$59,0)</f>
        <v/>
      </c>
      <c r="AA4771">
        <f>IF('01_Вводные'!$B$234="Да",'19_Расчет_аналитики'!AA4760*'01_Вводные'!$B$59,0)</f>
        <v/>
      </c>
      <c r="AB4771">
        <f>IF('01_Вводные'!$B$234="Да",'19_Расчет_аналитики'!AB4760*'01_Вводные'!$B$59,0)</f>
        <v/>
      </c>
      <c r="AC4771">
        <f>IF('01_Вводные'!$B$234="Да",'19_Расчет_аналитики'!AC4760*'01_Вводные'!$B$59,0)</f>
        <v/>
      </c>
      <c r="AD4771">
        <f>IF('01_Вводные'!$B$234="Да",'19_Расчет_аналитики'!AD4760*'01_Вводные'!$B$59,0)</f>
        <v/>
      </c>
      <c r="AE4771">
        <f>IF('01_Вводные'!$B$234="Да",'19_Расчет_аналитики'!AE4760*'01_Вводные'!$B$59,0)</f>
        <v/>
      </c>
      <c r="AF4771">
        <f>IF('01_Вводные'!$B$234="Да",'19_Расчет_аналитики'!AF4760*'01_Вводные'!$B$59,0)</f>
        <v/>
      </c>
      <c r="AG4771">
        <f>IF('01_Вводные'!$B$234="Да",'19_Расчет_аналитики'!AG4760*'01_Вводные'!$B$59,0)</f>
        <v/>
      </c>
      <c r="AH4771">
        <f>IF('01_Вводные'!$B$234="Да",'19_Расчет_аналитики'!AH4760*'01_Вводные'!$B$59,0)</f>
        <v/>
      </c>
      <c r="AI4771">
        <f>IF('01_Вводные'!$B$234="Да",'19_Расчет_аналитики'!AI4760*'01_Вводные'!$B$59,0)</f>
        <v/>
      </c>
      <c r="AJ4771">
        <f>IF('01_Вводные'!$B$234="Да",'19_Расчет_аналитики'!AJ4760*'01_Вводные'!$B$59,0)</f>
        <v/>
      </c>
      <c r="AK4771">
        <f>IF('01_Вводные'!$B$234="Да",'19_Расчет_аналитики'!AK4760*'01_Вводные'!$B$59,0)</f>
        <v/>
      </c>
      <c r="AL4771">
        <f>IF('01_Вводные'!$B$234="Да",'19_Расчет_аналитики'!AL4760*'01_Вводные'!$B$59,0)</f>
        <v/>
      </c>
      <c r="AM4771">
        <f>IF('01_Вводные'!$B$234="Да",'19_Расчет_аналитики'!AM4760*'01_Вводные'!$B$59,0)</f>
        <v/>
      </c>
      <c r="AN4771">
        <f>IF('01_Вводные'!$B$234="Да",'19_Расчет_аналитики'!AN4760*'01_Вводные'!$B$59,0)</f>
        <v/>
      </c>
      <c r="AO4771">
        <f>IF('01_Вводные'!$B$234="Да",'19_Расчет_аналитики'!AO4760*'01_Вводные'!$B$59,0)</f>
        <v/>
      </c>
      <c r="AP4771">
        <f>IF('01_Вводные'!$B$234="Да",'19_Расчет_аналитики'!AP4760*'01_Вводные'!$B$59,0)</f>
        <v/>
      </c>
      <c r="AQ4771">
        <f>IF('01_Вводные'!$B$234="Да",'19_Расчет_аналитики'!AQ4760*'01_Вводные'!$B$59,0)</f>
        <v/>
      </c>
      <c r="AR4771">
        <f>IF('01_Вводные'!$B$234="Да",'19_Расчет_аналитики'!AR4760*'01_Вводные'!$B$59,0)</f>
        <v/>
      </c>
      <c r="AS4771">
        <f>IF('01_Вводные'!$B$234="Да",'19_Расчет_аналитики'!AS4760*'01_Вводные'!$B$59,0)</f>
        <v/>
      </c>
      <c r="AT4771">
        <f>IF('01_Вводные'!$B$234="Да",'19_Расчет_аналитики'!AT4760*'01_Вводные'!$B$59,0)</f>
        <v/>
      </c>
      <c r="AU4771">
        <f>IF('01_Вводные'!$B$234="Да",'19_Расчет_аналитики'!AU4760*'01_Вводные'!$B$59,0)</f>
        <v/>
      </c>
      <c r="AV4771">
        <f>IF('01_Вводные'!$B$234="Да",'19_Расчет_аналитики'!AV4760*'01_Вводные'!$B$59,0)</f>
        <v/>
      </c>
      <c r="AW4771">
        <f>IF('01_Вводные'!$B$234="Да",'19_Расчет_аналитики'!AW4760*'01_Вводные'!$B$59,0)</f>
        <v/>
      </c>
      <c r="AX4771">
        <f>IF('01_Вводные'!$B$234="Да",'19_Расчет_аналитики'!AX4760*'01_Вводные'!$B$59,0)</f>
        <v/>
      </c>
      <c r="AY4771">
        <f>IF('01_Вводные'!$B$234="Да",'19_Расчет_аналитики'!AY4760*'01_Вводные'!$B$59,0)</f>
        <v/>
      </c>
      <c r="AZ4771">
        <f>IF('01_Вводные'!$B$234="Да",'19_Расчет_аналитики'!AZ4760*'01_Вводные'!$B$59,0)</f>
        <v/>
      </c>
      <c r="BA4771">
        <f>IF('01_Вводные'!$B$234="Да",'19_Расчет_аналитики'!BA4760*'01_Вводные'!$B$59,0)</f>
        <v/>
      </c>
      <c r="BB4771">
        <f>IF('01_Вводные'!$B$234="Да",'19_Расчет_аналитики'!BB4760*'01_Вводные'!$B$59,0)</f>
        <v/>
      </c>
      <c r="BC4771">
        <f>IF('01_Вводные'!$B$234="Да",'19_Расчет_аналитики'!BC4760*'01_Вводные'!$B$59,0)</f>
        <v/>
      </c>
      <c r="BD4771">
        <f>IF('01_Вводные'!$B$234="Да",'19_Расчет_аналитики'!BD4760*'01_Вводные'!$B$59,0)</f>
        <v/>
      </c>
      <c r="BE4771">
        <f>IF('01_Вводные'!$B$234="Да",'19_Расчет_аналитики'!BE4760*'01_Вводные'!$B$59,0)</f>
        <v/>
      </c>
      <c r="BF4771">
        <f>IF('01_Вводные'!$B$234="Да",'19_Расчет_аналитики'!BF4760*'01_Вводные'!$B$59,0)</f>
        <v/>
      </c>
      <c r="BG4771">
        <f>IF('01_Вводные'!$B$234="Да",'19_Расчет_аналитики'!BG4760*'01_Вводные'!$B$59,0)</f>
        <v/>
      </c>
      <c r="BH4771">
        <f>IF('01_Вводные'!$B$234="Да",'19_Расчет_аналитики'!BH4760*'01_Вводные'!$B$59,0)</f>
        <v/>
      </c>
      <c r="BI4771">
        <f>IF('01_Вводные'!$B$234="Да",'19_Расчет_аналитики'!BI4760*'01_Вводные'!$B$59,0)</f>
        <v/>
      </c>
    </row>
    <row r="4772">
      <c r="B4772">
        <f>IF('01_Вводные'!$B$234="Да",('19_Расчет_аналитики'!B4761+'19_Расчет_аналитики'!B4762)*'01_Вводные'!$B$60,0)</f>
        <v/>
      </c>
      <c r="C4772">
        <f>IF('01_Вводные'!$B$234="Да",('19_Расчет_аналитики'!C4761+'19_Расчет_аналитики'!C4762)*'01_Вводные'!$B$60,0)</f>
        <v/>
      </c>
      <c r="D4772">
        <f>IF('01_Вводные'!$B$234="Да",('19_Расчет_аналитики'!D4761+'19_Расчет_аналитики'!D4762)*'01_Вводные'!$B$60,0)</f>
        <v/>
      </c>
      <c r="E4772">
        <f>IF('01_Вводные'!$B$234="Да",('19_Расчет_аналитики'!E4761+'19_Расчет_аналитики'!E4762)*'01_Вводные'!$B$60,0)</f>
        <v/>
      </c>
      <c r="F4772">
        <f>IF('01_Вводные'!$B$234="Да",('19_Расчет_аналитики'!F4761+'19_Расчет_аналитики'!F4762)*'01_Вводные'!$B$60,0)</f>
        <v/>
      </c>
      <c r="G4772">
        <f>IF('01_Вводные'!$B$234="Да",('19_Расчет_аналитики'!G4761+'19_Расчет_аналитики'!G4762)*'01_Вводные'!$B$60,0)</f>
        <v/>
      </c>
      <c r="H4772">
        <f>IF('01_Вводные'!$B$234="Да",('19_Расчет_аналитики'!H4761+'19_Расчет_аналитики'!H4762)*'01_Вводные'!$B$60,0)</f>
        <v/>
      </c>
      <c r="I4772">
        <f>IF('01_Вводные'!$B$234="Да",('19_Расчет_аналитики'!I4761+'19_Расчет_аналитики'!I4762)*'01_Вводные'!$B$60,0)</f>
        <v/>
      </c>
      <c r="J4772">
        <f>IF('01_Вводные'!$B$234="Да",('19_Расчет_аналитики'!J4761+'19_Расчет_аналитики'!J4762)*'01_Вводные'!$B$60,0)</f>
        <v/>
      </c>
      <c r="K4772">
        <f>IF('01_Вводные'!$B$234="Да",('19_Расчет_аналитики'!K4761+'19_Расчет_аналитики'!K4762)*'01_Вводные'!$B$60,0)</f>
        <v/>
      </c>
      <c r="L4772">
        <f>IF('01_Вводные'!$B$234="Да",('19_Расчет_аналитики'!L4761+'19_Расчет_аналитики'!L4762)*'01_Вводные'!$B$60,0)</f>
        <v/>
      </c>
      <c r="M4772">
        <f>IF('01_Вводные'!$B$234="Да",('19_Расчет_аналитики'!M4761+'19_Расчет_аналитики'!M4762)*'01_Вводные'!$B$60,0)</f>
        <v/>
      </c>
      <c r="N4772">
        <f>IF('01_Вводные'!$B$234="Да",('19_Расчет_аналитики'!N4761+'19_Расчет_аналитики'!N4762)*'01_Вводные'!$B$60,0)</f>
        <v/>
      </c>
      <c r="O4772">
        <f>IF('01_Вводные'!$B$234="Да",('19_Расчет_аналитики'!O4761+'19_Расчет_аналитики'!O4762)*'01_Вводные'!$B$60,0)</f>
        <v/>
      </c>
      <c r="P4772">
        <f>IF('01_Вводные'!$B$234="Да",('19_Расчет_аналитики'!P4761+'19_Расчет_аналитики'!P4762)*'01_Вводные'!$B$60,0)</f>
        <v/>
      </c>
      <c r="Q4772">
        <f>IF('01_Вводные'!$B$234="Да",('19_Расчет_аналитики'!Q4761+'19_Расчет_аналитики'!Q4762)*'01_Вводные'!$B$60,0)</f>
        <v/>
      </c>
      <c r="R4772">
        <f>IF('01_Вводные'!$B$234="Да",('19_Расчет_аналитики'!R4761+'19_Расчет_аналитики'!R4762)*'01_Вводные'!$B$60,0)</f>
        <v/>
      </c>
      <c r="S4772">
        <f>IF('01_Вводные'!$B$234="Да",('19_Расчет_аналитики'!S4761+'19_Расчет_аналитики'!S4762)*'01_Вводные'!$B$60,0)</f>
        <v/>
      </c>
      <c r="T4772">
        <f>IF('01_Вводные'!$B$234="Да",('19_Расчет_аналитики'!T4761+'19_Расчет_аналитики'!T4762)*'01_Вводные'!$B$60,0)</f>
        <v/>
      </c>
      <c r="U4772">
        <f>IF('01_Вводные'!$B$234="Да",('19_Расчет_аналитики'!U4761+'19_Расчет_аналитики'!U4762)*'01_Вводные'!$B$60,0)</f>
        <v/>
      </c>
      <c r="V4772">
        <f>IF('01_Вводные'!$B$234="Да",('19_Расчет_аналитики'!V4761+'19_Расчет_аналитики'!V4762)*'01_Вводные'!$B$60,0)</f>
        <v/>
      </c>
      <c r="W4772">
        <f>IF('01_Вводные'!$B$234="Да",('19_Расчет_аналитики'!W4761+'19_Расчет_аналитики'!W4762)*'01_Вводные'!$B$60,0)</f>
        <v/>
      </c>
      <c r="X4772">
        <f>IF('01_Вводные'!$B$234="Да",('19_Расчет_аналитики'!X4761+'19_Расчет_аналитики'!X4762)*'01_Вводные'!$B$60,0)</f>
        <v/>
      </c>
      <c r="Y4772">
        <f>IF('01_Вводные'!$B$234="Да",('19_Расчет_аналитики'!Y4761+'19_Расчет_аналитики'!Y4762)*'01_Вводные'!$B$60,0)</f>
        <v/>
      </c>
      <c r="Z4772">
        <f>IF('01_Вводные'!$B$234="Да",('19_Расчет_аналитики'!Z4761+'19_Расчет_аналитики'!Z4762)*'01_Вводные'!$B$60,0)</f>
        <v/>
      </c>
      <c r="AA4772">
        <f>IF('01_Вводные'!$B$234="Да",('19_Расчет_аналитики'!AA4761+'19_Расчет_аналитики'!AA4762)*'01_Вводные'!$B$60,0)</f>
        <v/>
      </c>
      <c r="AB4772">
        <f>IF('01_Вводные'!$B$234="Да",('19_Расчет_аналитики'!AB4761+'19_Расчет_аналитики'!AB4762)*'01_Вводные'!$B$60,0)</f>
        <v/>
      </c>
      <c r="AC4772">
        <f>IF('01_Вводные'!$B$234="Да",('19_Расчет_аналитики'!AC4761+'19_Расчет_аналитики'!AC4762)*'01_Вводные'!$B$60,0)</f>
        <v/>
      </c>
      <c r="AD4772">
        <f>IF('01_Вводные'!$B$234="Да",('19_Расчет_аналитики'!AD4761+'19_Расчет_аналитики'!AD4762)*'01_Вводные'!$B$60,0)</f>
        <v/>
      </c>
      <c r="AE4772">
        <f>IF('01_Вводные'!$B$234="Да",('19_Расчет_аналитики'!AE4761+'19_Расчет_аналитики'!AE4762)*'01_Вводные'!$B$60,0)</f>
        <v/>
      </c>
      <c r="AF4772">
        <f>IF('01_Вводные'!$B$234="Да",('19_Расчет_аналитики'!AF4761+'19_Расчет_аналитики'!AF4762)*'01_Вводные'!$B$60,0)</f>
        <v/>
      </c>
      <c r="AG4772">
        <f>IF('01_Вводные'!$B$234="Да",('19_Расчет_аналитики'!AG4761+'19_Расчет_аналитики'!AG4762)*'01_Вводные'!$B$60,0)</f>
        <v/>
      </c>
      <c r="AH4772">
        <f>IF('01_Вводные'!$B$234="Да",('19_Расчет_аналитики'!AH4761+'19_Расчет_аналитики'!AH4762)*'01_Вводные'!$B$60,0)</f>
        <v/>
      </c>
      <c r="AI4772">
        <f>IF('01_Вводные'!$B$234="Да",('19_Расчет_аналитики'!AI4761+'19_Расчет_аналитики'!AI4762)*'01_Вводные'!$B$60,0)</f>
        <v/>
      </c>
      <c r="AJ4772">
        <f>IF('01_Вводные'!$B$234="Да",('19_Расчет_аналитики'!AJ4761+'19_Расчет_аналитики'!AJ4762)*'01_Вводные'!$B$60,0)</f>
        <v/>
      </c>
      <c r="AK4772">
        <f>IF('01_Вводные'!$B$234="Да",('19_Расчет_аналитики'!AK4761+'19_Расчет_аналитики'!AK4762)*'01_Вводные'!$B$60,0)</f>
        <v/>
      </c>
      <c r="AL4772">
        <f>IF('01_Вводные'!$B$234="Да",('19_Расчет_аналитики'!AL4761+'19_Расчет_аналитики'!AL4762)*'01_Вводные'!$B$60,0)</f>
        <v/>
      </c>
      <c r="AM4772">
        <f>IF('01_Вводные'!$B$234="Да",('19_Расчет_аналитики'!AM4761+'19_Расчет_аналитики'!AM4762)*'01_Вводные'!$B$60,0)</f>
        <v/>
      </c>
      <c r="AN4772">
        <f>IF('01_Вводные'!$B$234="Да",('19_Расчет_аналитики'!AN4761+'19_Расчет_аналитики'!AN4762)*'01_Вводные'!$B$60,0)</f>
        <v/>
      </c>
      <c r="AO4772">
        <f>IF('01_Вводные'!$B$234="Да",('19_Расчет_аналитики'!AO4761+'19_Расчет_аналитики'!AO4762)*'01_Вводные'!$B$60,0)</f>
        <v/>
      </c>
      <c r="AP4772">
        <f>IF('01_Вводные'!$B$234="Да",('19_Расчет_аналитики'!AP4761+'19_Расчет_аналитики'!AP4762)*'01_Вводные'!$B$60,0)</f>
        <v/>
      </c>
      <c r="AQ4772">
        <f>IF('01_Вводные'!$B$234="Да",('19_Расчет_аналитики'!AQ4761+'19_Расчет_аналитики'!AQ4762)*'01_Вводные'!$B$60,0)</f>
        <v/>
      </c>
      <c r="AR4772">
        <f>IF('01_Вводные'!$B$234="Да",('19_Расчет_аналитики'!AR4761+'19_Расчет_аналитики'!AR4762)*'01_Вводные'!$B$60,0)</f>
        <v/>
      </c>
      <c r="AS4772">
        <f>IF('01_Вводные'!$B$234="Да",('19_Расчет_аналитики'!AS4761+'19_Расчет_аналитики'!AS4762)*'01_Вводные'!$B$60,0)</f>
        <v/>
      </c>
      <c r="AT4772">
        <f>IF('01_Вводные'!$B$234="Да",('19_Расчет_аналитики'!AT4761+'19_Расчет_аналитики'!AT4762)*'01_Вводные'!$B$60,0)</f>
        <v/>
      </c>
      <c r="AU4772">
        <f>IF('01_Вводные'!$B$234="Да",('19_Расчет_аналитики'!AU4761+'19_Расчет_аналитики'!AU4762)*'01_Вводные'!$B$60,0)</f>
        <v/>
      </c>
      <c r="AV4772">
        <f>IF('01_Вводные'!$B$234="Да",('19_Расчет_аналитики'!AV4761+'19_Расчет_аналитики'!AV4762)*'01_Вводные'!$B$60,0)</f>
        <v/>
      </c>
      <c r="AW4772">
        <f>IF('01_Вводные'!$B$234="Да",('19_Расчет_аналитики'!AW4761+'19_Расчет_аналитики'!AW4762)*'01_Вводные'!$B$60,0)</f>
        <v/>
      </c>
      <c r="AX4772">
        <f>IF('01_Вводные'!$B$234="Да",('19_Расчет_аналитики'!AX4761+'19_Расчет_аналитики'!AX4762)*'01_Вводные'!$B$60,0)</f>
        <v/>
      </c>
      <c r="AY4772">
        <f>IF('01_Вводные'!$B$234="Да",('19_Расчет_аналитики'!AY4761+'19_Расчет_аналитики'!AY4762)*'01_Вводные'!$B$60,0)</f>
        <v/>
      </c>
      <c r="AZ4772">
        <f>IF('01_Вводные'!$B$234="Да",('19_Расчет_аналитики'!AZ4761+'19_Расчет_аналитики'!AZ4762)*'01_Вводные'!$B$60,0)</f>
        <v/>
      </c>
      <c r="BA4772">
        <f>IF('01_Вводные'!$B$234="Да",('19_Расчет_аналитики'!BA4761+'19_Расчет_аналитики'!BA4762)*'01_Вводные'!$B$60,0)</f>
        <v/>
      </c>
      <c r="BB4772">
        <f>IF('01_Вводные'!$B$234="Да",('19_Расчет_аналитики'!BB4761+'19_Расчет_аналитики'!BB4762)*'01_Вводные'!$B$60,0)</f>
        <v/>
      </c>
      <c r="BC4772">
        <f>IF('01_Вводные'!$B$234="Да",('19_Расчет_аналитики'!BC4761+'19_Расчет_аналитики'!BC4762)*'01_Вводные'!$B$60,0)</f>
        <v/>
      </c>
      <c r="BD4772">
        <f>IF('01_Вводные'!$B$234="Да",('19_Расчет_аналитики'!BD4761+'19_Расчет_аналитики'!BD4762)*'01_Вводные'!$B$60,0)</f>
        <v/>
      </c>
      <c r="BE4772">
        <f>IF('01_Вводные'!$B$234="Да",('19_Расчет_аналитики'!BE4761+'19_Расчет_аналитики'!BE4762)*'01_Вводные'!$B$60,0)</f>
        <v/>
      </c>
      <c r="BF4772">
        <f>IF('01_Вводные'!$B$234="Да",('19_Расчет_аналитики'!BF4761+'19_Расчет_аналитики'!BF4762)*'01_Вводные'!$B$60,0)</f>
        <v/>
      </c>
      <c r="BG4772">
        <f>IF('01_Вводные'!$B$234="Да",('19_Расчет_аналитики'!BG4761+'19_Расчет_аналитики'!BG4762)*'01_Вводные'!$B$60,0)</f>
        <v/>
      </c>
      <c r="BH4772">
        <f>IF('01_Вводные'!$B$234="Да",('19_Расчет_аналитики'!BH4761+'19_Расчет_аналитики'!BH4762)*'01_Вводные'!$B$60,0)</f>
        <v/>
      </c>
      <c r="BI4772">
        <f>IF('01_Вводные'!$B$234="Да",('19_Расчет_аналитики'!BI4761+'19_Расчет_аналитики'!BI4762)*'01_Вводные'!$B$60,0)</f>
        <v/>
      </c>
    </row>
    <row r="4773">
      <c r="B4773">
        <f>'02_Модель'!B31</f>
        <v/>
      </c>
      <c r="C4773">
        <f>'02_Модель'!C31</f>
        <v/>
      </c>
      <c r="D4773">
        <f>'02_Модель'!D31</f>
        <v/>
      </c>
      <c r="E4773">
        <f>'02_Модель'!E31</f>
        <v/>
      </c>
      <c r="F4773">
        <f>'02_Модель'!F31</f>
        <v/>
      </c>
      <c r="G4773">
        <f>'02_Модель'!G31</f>
        <v/>
      </c>
      <c r="H4773">
        <f>'02_Модель'!H31</f>
        <v/>
      </c>
      <c r="I4773">
        <f>'02_Модель'!I31</f>
        <v/>
      </c>
      <c r="J4773">
        <f>'02_Модель'!J31</f>
        <v/>
      </c>
      <c r="K4773">
        <f>'02_Модель'!K31</f>
        <v/>
      </c>
      <c r="L4773">
        <f>'02_Модель'!L31</f>
        <v/>
      </c>
      <c r="M4773">
        <f>'02_Модель'!M31</f>
        <v/>
      </c>
      <c r="N4773">
        <f>'02_Модель'!N31</f>
        <v/>
      </c>
      <c r="O4773">
        <f>'02_Модель'!O31</f>
        <v/>
      </c>
      <c r="P4773">
        <f>'02_Модель'!P31</f>
        <v/>
      </c>
      <c r="Q4773">
        <f>'02_Модель'!Q31</f>
        <v/>
      </c>
      <c r="R4773">
        <f>'02_Модель'!R31</f>
        <v/>
      </c>
      <c r="S4773">
        <f>'02_Модель'!S31</f>
        <v/>
      </c>
      <c r="T4773">
        <f>'02_Модель'!T31</f>
        <v/>
      </c>
      <c r="U4773">
        <f>'02_Модель'!U31</f>
        <v/>
      </c>
      <c r="V4773">
        <f>'02_Модель'!V31</f>
        <v/>
      </c>
      <c r="W4773">
        <f>'02_Модель'!W31</f>
        <v/>
      </c>
      <c r="X4773">
        <f>'02_Модель'!X31</f>
        <v/>
      </c>
      <c r="Y4773">
        <f>'02_Модель'!Y31</f>
        <v/>
      </c>
      <c r="Z4773">
        <f>'02_Модель'!Z31</f>
        <v/>
      </c>
      <c r="AA4773">
        <f>'02_Модель'!AA31</f>
        <v/>
      </c>
      <c r="AB4773">
        <f>'02_Модель'!AB31</f>
        <v/>
      </c>
      <c r="AC4773">
        <f>'02_Модель'!AC31</f>
        <v/>
      </c>
      <c r="AD4773">
        <f>'02_Модель'!AD31</f>
        <v/>
      </c>
      <c r="AE4773">
        <f>'02_Модель'!AE31</f>
        <v/>
      </c>
      <c r="AF4773">
        <f>'02_Модель'!AF31</f>
        <v/>
      </c>
      <c r="AG4773">
        <f>'02_Модель'!AG31</f>
        <v/>
      </c>
      <c r="AH4773">
        <f>'02_Модель'!AH31</f>
        <v/>
      </c>
      <c r="AI4773">
        <f>'02_Модель'!AI31</f>
        <v/>
      </c>
      <c r="AJ4773">
        <f>'02_Модель'!AJ31</f>
        <v/>
      </c>
      <c r="AK4773">
        <f>'02_Модель'!AK31</f>
        <v/>
      </c>
      <c r="AL4773">
        <f>'02_Модель'!AL31</f>
        <v/>
      </c>
      <c r="AM4773">
        <f>'02_Модель'!AM31</f>
        <v/>
      </c>
      <c r="AN4773">
        <f>'02_Модель'!AN31</f>
        <v/>
      </c>
      <c r="AO4773">
        <f>'02_Модель'!AO31</f>
        <v/>
      </c>
      <c r="AP4773">
        <f>'02_Модель'!AP31</f>
        <v/>
      </c>
      <c r="AQ4773">
        <f>'02_Модель'!AQ31</f>
        <v/>
      </c>
      <c r="AR4773">
        <f>'02_Модель'!AR31</f>
        <v/>
      </c>
      <c r="AS4773">
        <f>'02_Модель'!AS31</f>
        <v/>
      </c>
      <c r="AT4773">
        <f>'02_Модель'!AT31</f>
        <v/>
      </c>
      <c r="AU4773">
        <f>'02_Модель'!AU31</f>
        <v/>
      </c>
      <c r="AV4773">
        <f>'02_Модель'!AV31</f>
        <v/>
      </c>
      <c r="AW4773">
        <f>'02_Модель'!AW31</f>
        <v/>
      </c>
      <c r="AX4773">
        <f>'02_Модель'!AX31</f>
        <v/>
      </c>
      <c r="AY4773">
        <f>'02_Модель'!AY31</f>
        <v/>
      </c>
      <c r="AZ4773">
        <f>'02_Модель'!AZ31</f>
        <v/>
      </c>
      <c r="BA4773">
        <f>'02_Модель'!BA31</f>
        <v/>
      </c>
      <c r="BB4773">
        <f>'02_Модель'!BB31</f>
        <v/>
      </c>
      <c r="BC4773">
        <f>'02_Модель'!BC31</f>
        <v/>
      </c>
      <c r="BD4773">
        <f>'02_Модель'!BD31</f>
        <v/>
      </c>
      <c r="BE4773">
        <f>'02_Модель'!BE31</f>
        <v/>
      </c>
      <c r="BF4773">
        <f>'02_Модель'!BF31</f>
        <v/>
      </c>
      <c r="BG4773">
        <f>'02_Модель'!BG31</f>
        <v/>
      </c>
      <c r="BH4773">
        <f>'02_Модель'!BH31</f>
        <v/>
      </c>
      <c r="BI4773">
        <f>'02_Модель'!BI31</f>
        <v/>
      </c>
    </row>
    <row r="4774">
      <c r="B4774">
        <f>IF('01_Вводные'!$B$234="Да",SUM('19_Расчет_аналитики'!B4768:B4773),0)</f>
        <v/>
      </c>
      <c r="C4774">
        <f>IF('01_Вводные'!$B$234="Да",SUM('19_Расчет_аналитики'!C4768:C4773),0)</f>
        <v/>
      </c>
      <c r="D4774">
        <f>IF('01_Вводные'!$B$234="Да",SUM('19_Расчет_аналитики'!D4768:D4773),0)</f>
        <v/>
      </c>
      <c r="E4774">
        <f>IF('01_Вводные'!$B$234="Да",SUM('19_Расчет_аналитики'!E4768:E4773),0)</f>
        <v/>
      </c>
      <c r="F4774">
        <f>IF('01_Вводные'!$B$234="Да",SUM('19_Расчет_аналитики'!F4768:F4773),0)</f>
        <v/>
      </c>
      <c r="G4774">
        <f>IF('01_Вводные'!$B$234="Да",SUM('19_Расчет_аналитики'!G4768:G4773),0)</f>
        <v/>
      </c>
      <c r="H4774">
        <f>IF('01_Вводные'!$B$234="Да",SUM('19_Расчет_аналитики'!H4768:H4773),0)</f>
        <v/>
      </c>
      <c r="I4774">
        <f>IF('01_Вводные'!$B$234="Да",SUM('19_Расчет_аналитики'!I4768:I4773),0)</f>
        <v/>
      </c>
      <c r="J4774">
        <f>IF('01_Вводные'!$B$234="Да",SUM('19_Расчет_аналитики'!J4768:J4773),0)</f>
        <v/>
      </c>
      <c r="K4774">
        <f>IF('01_Вводные'!$B$234="Да",SUM('19_Расчет_аналитики'!K4768:K4773),0)</f>
        <v/>
      </c>
      <c r="L4774">
        <f>IF('01_Вводные'!$B$234="Да",SUM('19_Расчет_аналитики'!L4768:L4773),0)</f>
        <v/>
      </c>
      <c r="M4774">
        <f>IF('01_Вводные'!$B$234="Да",SUM('19_Расчет_аналитики'!M4768:M4773),0)</f>
        <v/>
      </c>
      <c r="N4774">
        <f>IF('01_Вводные'!$B$234="Да",SUM('19_Расчет_аналитики'!N4768:N4773),0)</f>
        <v/>
      </c>
      <c r="O4774">
        <f>IF('01_Вводные'!$B$234="Да",SUM('19_Расчет_аналитики'!O4768:O4773),0)</f>
        <v/>
      </c>
      <c r="P4774">
        <f>IF('01_Вводные'!$B$234="Да",SUM('19_Расчет_аналитики'!P4768:P4773),0)</f>
        <v/>
      </c>
      <c r="Q4774">
        <f>IF('01_Вводные'!$B$234="Да",SUM('19_Расчет_аналитики'!Q4768:Q4773),0)</f>
        <v/>
      </c>
      <c r="R4774">
        <f>IF('01_Вводные'!$B$234="Да",SUM('19_Расчет_аналитики'!R4768:R4773),0)</f>
        <v/>
      </c>
      <c r="S4774">
        <f>IF('01_Вводные'!$B$234="Да",SUM('19_Расчет_аналитики'!S4768:S4773),0)</f>
        <v/>
      </c>
      <c r="T4774">
        <f>IF('01_Вводные'!$B$234="Да",SUM('19_Расчет_аналитики'!T4768:T4773),0)</f>
        <v/>
      </c>
      <c r="U4774">
        <f>IF('01_Вводные'!$B$234="Да",SUM('19_Расчет_аналитики'!U4768:U4773),0)</f>
        <v/>
      </c>
      <c r="V4774">
        <f>IF('01_Вводные'!$B$234="Да",SUM('19_Расчет_аналитики'!V4768:V4773),0)</f>
        <v/>
      </c>
      <c r="W4774">
        <f>IF('01_Вводные'!$B$234="Да",SUM('19_Расчет_аналитики'!W4768:W4773),0)</f>
        <v/>
      </c>
      <c r="X4774">
        <f>IF('01_Вводные'!$B$234="Да",SUM('19_Расчет_аналитики'!X4768:X4773),0)</f>
        <v/>
      </c>
      <c r="Y4774">
        <f>IF('01_Вводные'!$B$234="Да",SUM('19_Расчет_аналитики'!Y4768:Y4773),0)</f>
        <v/>
      </c>
      <c r="Z4774">
        <f>IF('01_Вводные'!$B$234="Да",SUM('19_Расчет_аналитики'!Z4768:Z4773),0)</f>
        <v/>
      </c>
      <c r="AA4774">
        <f>IF('01_Вводные'!$B$234="Да",SUM('19_Расчет_аналитики'!AA4768:AA4773),0)</f>
        <v/>
      </c>
      <c r="AB4774">
        <f>IF('01_Вводные'!$B$234="Да",SUM('19_Расчет_аналитики'!AB4768:AB4773),0)</f>
        <v/>
      </c>
      <c r="AC4774">
        <f>IF('01_Вводные'!$B$234="Да",SUM('19_Расчет_аналитики'!AC4768:AC4773),0)</f>
        <v/>
      </c>
      <c r="AD4774">
        <f>IF('01_Вводные'!$B$234="Да",SUM('19_Расчет_аналитики'!AD4768:AD4773),0)</f>
        <v/>
      </c>
      <c r="AE4774">
        <f>IF('01_Вводные'!$B$234="Да",SUM('19_Расчет_аналитики'!AE4768:AE4773),0)</f>
        <v/>
      </c>
      <c r="AF4774">
        <f>IF('01_Вводные'!$B$234="Да",SUM('19_Расчет_аналитики'!AF4768:AF4773),0)</f>
        <v/>
      </c>
      <c r="AG4774">
        <f>IF('01_Вводные'!$B$234="Да",SUM('19_Расчет_аналитики'!AG4768:AG4773),0)</f>
        <v/>
      </c>
      <c r="AH4774">
        <f>IF('01_Вводные'!$B$234="Да",SUM('19_Расчет_аналитики'!AH4768:AH4773),0)</f>
        <v/>
      </c>
      <c r="AI4774">
        <f>IF('01_Вводные'!$B$234="Да",SUM('19_Расчет_аналитики'!AI4768:AI4773),0)</f>
        <v/>
      </c>
      <c r="AJ4774">
        <f>IF('01_Вводные'!$B$234="Да",SUM('19_Расчет_аналитики'!AJ4768:AJ4773),0)</f>
        <v/>
      </c>
      <c r="AK4774">
        <f>IF('01_Вводные'!$B$234="Да",SUM('19_Расчет_аналитики'!AK4768:AK4773),0)</f>
        <v/>
      </c>
      <c r="AL4774">
        <f>IF('01_Вводные'!$B$234="Да",SUM('19_Расчет_аналитики'!AL4768:AL4773),0)</f>
        <v/>
      </c>
      <c r="AM4774">
        <f>IF('01_Вводные'!$B$234="Да",SUM('19_Расчет_аналитики'!AM4768:AM4773),0)</f>
        <v/>
      </c>
      <c r="AN4774">
        <f>IF('01_Вводные'!$B$234="Да",SUM('19_Расчет_аналитики'!AN4768:AN4773),0)</f>
        <v/>
      </c>
      <c r="AO4774">
        <f>IF('01_Вводные'!$B$234="Да",SUM('19_Расчет_аналитики'!AO4768:AO4773),0)</f>
        <v/>
      </c>
      <c r="AP4774">
        <f>IF('01_Вводные'!$B$234="Да",SUM('19_Расчет_аналитики'!AP4768:AP4773),0)</f>
        <v/>
      </c>
      <c r="AQ4774">
        <f>IF('01_Вводные'!$B$234="Да",SUM('19_Расчет_аналитики'!AQ4768:AQ4773),0)</f>
        <v/>
      </c>
      <c r="AR4774">
        <f>IF('01_Вводные'!$B$234="Да",SUM('19_Расчет_аналитики'!AR4768:AR4773),0)</f>
        <v/>
      </c>
      <c r="AS4774">
        <f>IF('01_Вводные'!$B$234="Да",SUM('19_Расчет_аналитики'!AS4768:AS4773),0)</f>
        <v/>
      </c>
      <c r="AT4774">
        <f>IF('01_Вводные'!$B$234="Да",SUM('19_Расчет_аналитики'!AT4768:AT4773),0)</f>
        <v/>
      </c>
      <c r="AU4774">
        <f>IF('01_Вводные'!$B$234="Да",SUM('19_Расчет_аналитики'!AU4768:AU4773),0)</f>
        <v/>
      </c>
      <c r="AV4774">
        <f>IF('01_Вводные'!$B$234="Да",SUM('19_Расчет_аналитики'!AV4768:AV4773),0)</f>
        <v/>
      </c>
      <c r="AW4774">
        <f>IF('01_Вводные'!$B$234="Да",SUM('19_Расчет_аналитики'!AW4768:AW4773),0)</f>
        <v/>
      </c>
      <c r="AX4774">
        <f>IF('01_Вводные'!$B$234="Да",SUM('19_Расчет_аналитики'!AX4768:AX4773),0)</f>
        <v/>
      </c>
      <c r="AY4774">
        <f>IF('01_Вводные'!$B$234="Да",SUM('19_Расчет_аналитики'!AY4768:AY4773),0)</f>
        <v/>
      </c>
      <c r="AZ4774">
        <f>IF('01_Вводные'!$B$234="Да",SUM('19_Расчет_аналитики'!AZ4768:AZ4773),0)</f>
        <v/>
      </c>
      <c r="BA4774">
        <f>IF('01_Вводные'!$B$234="Да",SUM('19_Расчет_аналитики'!BA4768:BA4773),0)</f>
        <v/>
      </c>
      <c r="BB4774">
        <f>IF('01_Вводные'!$B$234="Да",SUM('19_Расчет_аналитики'!BB4768:BB4773),0)</f>
        <v/>
      </c>
      <c r="BC4774">
        <f>IF('01_Вводные'!$B$234="Да",SUM('19_Расчет_аналитики'!BC4768:BC4773),0)</f>
        <v/>
      </c>
      <c r="BD4774">
        <f>IF('01_Вводные'!$B$234="Да",SUM('19_Расчет_аналитики'!BD4768:BD4773),0)</f>
        <v/>
      </c>
      <c r="BE4774">
        <f>IF('01_Вводные'!$B$234="Да",SUM('19_Расчет_аналитики'!BE4768:BE4773),0)</f>
        <v/>
      </c>
      <c r="BF4774">
        <f>IF('01_Вводные'!$B$234="Да",SUM('19_Расчет_аналитики'!BF4768:BF4773),0)</f>
        <v/>
      </c>
      <c r="BG4774">
        <f>IF('01_Вводные'!$B$234="Да",SUM('19_Расчет_аналитики'!BG4768:BG4773),0)</f>
        <v/>
      </c>
      <c r="BH4774">
        <f>IF('01_Вводные'!$B$234="Да",SUM('19_Расчет_аналитики'!BH4768:BH4773),0)</f>
        <v/>
      </c>
      <c r="BI4774">
        <f>IF('01_Вводные'!$B$234="Да",SUM('19_Расчет_аналитики'!BI4768:BI4773),0)</f>
        <v/>
      </c>
    </row>
    <row r="4775">
      <c r="B4775">
        <f>IF('01_Вводные'!$B$234="Да",'19_Расчет_аналитики'!B4765-'19_Расчет_аналитики'!B4774,0)</f>
        <v/>
      </c>
      <c r="C4775">
        <f>IF('01_Вводные'!$B$234="Да",'19_Расчет_аналитики'!C4765-'19_Расчет_аналитики'!C4774,0)</f>
        <v/>
      </c>
      <c r="D4775">
        <f>IF('01_Вводные'!$B$234="Да",'19_Расчет_аналитики'!D4765-'19_Расчет_аналитики'!D4774,0)</f>
        <v/>
      </c>
      <c r="E4775">
        <f>IF('01_Вводные'!$B$234="Да",'19_Расчет_аналитики'!E4765-'19_Расчет_аналитики'!E4774,0)</f>
        <v/>
      </c>
      <c r="F4775">
        <f>IF('01_Вводные'!$B$234="Да",'19_Расчет_аналитики'!F4765-'19_Расчет_аналитики'!F4774,0)</f>
        <v/>
      </c>
      <c r="G4775">
        <f>IF('01_Вводные'!$B$234="Да",'19_Расчет_аналитики'!G4765-'19_Расчет_аналитики'!G4774,0)</f>
        <v/>
      </c>
      <c r="H4775">
        <f>IF('01_Вводные'!$B$234="Да",'19_Расчет_аналитики'!H4765-'19_Расчет_аналитики'!H4774,0)</f>
        <v/>
      </c>
      <c r="I4775">
        <f>IF('01_Вводные'!$B$234="Да",'19_Расчет_аналитики'!I4765-'19_Расчет_аналитики'!I4774,0)</f>
        <v/>
      </c>
      <c r="J4775">
        <f>IF('01_Вводные'!$B$234="Да",'19_Расчет_аналитики'!J4765-'19_Расчет_аналитики'!J4774,0)</f>
        <v/>
      </c>
      <c r="K4775">
        <f>IF('01_Вводные'!$B$234="Да",'19_Расчет_аналитики'!K4765-'19_Расчет_аналитики'!K4774,0)</f>
        <v/>
      </c>
      <c r="L4775">
        <f>IF('01_Вводные'!$B$234="Да",'19_Расчет_аналитики'!L4765-'19_Расчет_аналитики'!L4774,0)</f>
        <v/>
      </c>
      <c r="M4775">
        <f>IF('01_Вводные'!$B$234="Да",'19_Расчет_аналитики'!M4765-'19_Расчет_аналитики'!M4774,0)</f>
        <v/>
      </c>
      <c r="N4775">
        <f>IF('01_Вводные'!$B$234="Да",'19_Расчет_аналитики'!N4765-'19_Расчет_аналитики'!N4774,0)</f>
        <v/>
      </c>
      <c r="O4775">
        <f>IF('01_Вводные'!$B$234="Да",'19_Расчет_аналитики'!O4765-'19_Расчет_аналитики'!O4774,0)</f>
        <v/>
      </c>
      <c r="P4775">
        <f>IF('01_Вводные'!$B$234="Да",'19_Расчет_аналитики'!P4765-'19_Расчет_аналитики'!P4774,0)</f>
        <v/>
      </c>
      <c r="Q4775">
        <f>IF('01_Вводные'!$B$234="Да",'19_Расчет_аналитики'!Q4765-'19_Расчет_аналитики'!Q4774,0)</f>
        <v/>
      </c>
      <c r="R4775">
        <f>IF('01_Вводные'!$B$234="Да",'19_Расчет_аналитики'!R4765-'19_Расчет_аналитики'!R4774,0)</f>
        <v/>
      </c>
      <c r="S4775">
        <f>IF('01_Вводные'!$B$234="Да",'19_Расчет_аналитики'!S4765-'19_Расчет_аналитики'!S4774,0)</f>
        <v/>
      </c>
      <c r="T4775">
        <f>IF('01_Вводные'!$B$234="Да",'19_Расчет_аналитики'!T4765-'19_Расчет_аналитики'!T4774,0)</f>
        <v/>
      </c>
      <c r="U4775">
        <f>IF('01_Вводные'!$B$234="Да",'19_Расчет_аналитики'!U4765-'19_Расчет_аналитики'!U4774,0)</f>
        <v/>
      </c>
      <c r="V4775">
        <f>IF('01_Вводные'!$B$234="Да",'19_Расчет_аналитики'!V4765-'19_Расчет_аналитики'!V4774,0)</f>
        <v/>
      </c>
      <c r="W4775">
        <f>IF('01_Вводные'!$B$234="Да",'19_Расчет_аналитики'!W4765-'19_Расчет_аналитики'!W4774,0)</f>
        <v/>
      </c>
      <c r="X4775">
        <f>IF('01_Вводные'!$B$234="Да",'19_Расчет_аналитики'!X4765-'19_Расчет_аналитики'!X4774,0)</f>
        <v/>
      </c>
      <c r="Y4775">
        <f>IF('01_Вводные'!$B$234="Да",'19_Расчет_аналитики'!Y4765-'19_Расчет_аналитики'!Y4774,0)</f>
        <v/>
      </c>
      <c r="Z4775">
        <f>IF('01_Вводные'!$B$234="Да",'19_Расчет_аналитики'!Z4765-'19_Расчет_аналитики'!Z4774,0)</f>
        <v/>
      </c>
      <c r="AA4775">
        <f>IF('01_Вводные'!$B$234="Да",'19_Расчет_аналитики'!AA4765-'19_Расчет_аналитики'!AA4774,0)</f>
        <v/>
      </c>
      <c r="AB4775">
        <f>IF('01_Вводные'!$B$234="Да",'19_Расчет_аналитики'!AB4765-'19_Расчет_аналитики'!AB4774,0)</f>
        <v/>
      </c>
      <c r="AC4775">
        <f>IF('01_Вводные'!$B$234="Да",'19_Расчет_аналитики'!AC4765-'19_Расчет_аналитики'!AC4774,0)</f>
        <v/>
      </c>
      <c r="AD4775">
        <f>IF('01_Вводные'!$B$234="Да",'19_Расчет_аналитики'!AD4765-'19_Расчет_аналитики'!AD4774,0)</f>
        <v/>
      </c>
      <c r="AE4775">
        <f>IF('01_Вводные'!$B$234="Да",'19_Расчет_аналитики'!AE4765-'19_Расчет_аналитики'!AE4774,0)</f>
        <v/>
      </c>
      <c r="AF4775">
        <f>IF('01_Вводные'!$B$234="Да",'19_Расчет_аналитики'!AF4765-'19_Расчет_аналитики'!AF4774,0)</f>
        <v/>
      </c>
      <c r="AG4775">
        <f>IF('01_Вводные'!$B$234="Да",'19_Расчет_аналитики'!AG4765-'19_Расчет_аналитики'!AG4774,0)</f>
        <v/>
      </c>
      <c r="AH4775">
        <f>IF('01_Вводные'!$B$234="Да",'19_Расчет_аналитики'!AH4765-'19_Расчет_аналитики'!AH4774,0)</f>
        <v/>
      </c>
      <c r="AI4775">
        <f>IF('01_Вводные'!$B$234="Да",'19_Расчет_аналитики'!AI4765-'19_Расчет_аналитики'!AI4774,0)</f>
        <v/>
      </c>
      <c r="AJ4775">
        <f>IF('01_Вводные'!$B$234="Да",'19_Расчет_аналитики'!AJ4765-'19_Расчет_аналитики'!AJ4774,0)</f>
        <v/>
      </c>
      <c r="AK4775">
        <f>IF('01_Вводные'!$B$234="Да",'19_Расчет_аналитики'!AK4765-'19_Расчет_аналитики'!AK4774,0)</f>
        <v/>
      </c>
      <c r="AL4775">
        <f>IF('01_Вводные'!$B$234="Да",'19_Расчет_аналитики'!AL4765-'19_Расчет_аналитики'!AL4774,0)</f>
        <v/>
      </c>
      <c r="AM4775">
        <f>IF('01_Вводные'!$B$234="Да",'19_Расчет_аналитики'!AM4765-'19_Расчет_аналитики'!AM4774,0)</f>
        <v/>
      </c>
      <c r="AN4775">
        <f>IF('01_Вводные'!$B$234="Да",'19_Расчет_аналитики'!AN4765-'19_Расчет_аналитики'!AN4774,0)</f>
        <v/>
      </c>
      <c r="AO4775">
        <f>IF('01_Вводные'!$B$234="Да",'19_Расчет_аналитики'!AO4765-'19_Расчет_аналитики'!AO4774,0)</f>
        <v/>
      </c>
      <c r="AP4775">
        <f>IF('01_Вводные'!$B$234="Да",'19_Расчет_аналитики'!AP4765-'19_Расчет_аналитики'!AP4774,0)</f>
        <v/>
      </c>
      <c r="AQ4775">
        <f>IF('01_Вводные'!$B$234="Да",'19_Расчет_аналитики'!AQ4765-'19_Расчет_аналитики'!AQ4774,0)</f>
        <v/>
      </c>
      <c r="AR4775">
        <f>IF('01_Вводные'!$B$234="Да",'19_Расчет_аналитики'!AR4765-'19_Расчет_аналитики'!AR4774,0)</f>
        <v/>
      </c>
      <c r="AS4775">
        <f>IF('01_Вводные'!$B$234="Да",'19_Расчет_аналитики'!AS4765-'19_Расчет_аналитики'!AS4774,0)</f>
        <v/>
      </c>
      <c r="AT4775">
        <f>IF('01_Вводные'!$B$234="Да",'19_Расчет_аналитики'!AT4765-'19_Расчет_аналитики'!AT4774,0)</f>
        <v/>
      </c>
      <c r="AU4775">
        <f>IF('01_Вводные'!$B$234="Да",'19_Расчет_аналитики'!AU4765-'19_Расчет_аналитики'!AU4774,0)</f>
        <v/>
      </c>
      <c r="AV4775">
        <f>IF('01_Вводные'!$B$234="Да",'19_Расчет_аналитики'!AV4765-'19_Расчет_аналитики'!AV4774,0)</f>
        <v/>
      </c>
      <c r="AW4775">
        <f>IF('01_Вводные'!$B$234="Да",'19_Расчет_аналитики'!AW4765-'19_Расчет_аналитики'!AW4774,0)</f>
        <v/>
      </c>
      <c r="AX4775">
        <f>IF('01_Вводные'!$B$234="Да",'19_Расчет_аналитики'!AX4765-'19_Расчет_аналитики'!AX4774,0)</f>
        <v/>
      </c>
      <c r="AY4775">
        <f>IF('01_Вводные'!$B$234="Да",'19_Расчет_аналитики'!AY4765-'19_Расчет_аналитики'!AY4774,0)</f>
        <v/>
      </c>
      <c r="AZ4775">
        <f>IF('01_Вводные'!$B$234="Да",'19_Расчет_аналитики'!AZ4765-'19_Расчет_аналитики'!AZ4774,0)</f>
        <v/>
      </c>
      <c r="BA4775">
        <f>IF('01_Вводные'!$B$234="Да",'19_Расчет_аналитики'!BA4765-'19_Расчет_аналитики'!BA4774,0)</f>
        <v/>
      </c>
      <c r="BB4775">
        <f>IF('01_Вводные'!$B$234="Да",'19_Расчет_аналитики'!BB4765-'19_Расчет_аналитики'!BB4774,0)</f>
        <v/>
      </c>
      <c r="BC4775">
        <f>IF('01_Вводные'!$B$234="Да",'19_Расчет_аналитики'!BC4765-'19_Расчет_аналитики'!BC4774,0)</f>
        <v/>
      </c>
      <c r="BD4775">
        <f>IF('01_Вводные'!$B$234="Да",'19_Расчет_аналитики'!BD4765-'19_Расчет_аналитики'!BD4774,0)</f>
        <v/>
      </c>
      <c r="BE4775">
        <f>IF('01_Вводные'!$B$234="Да",'19_Расчет_аналитики'!BE4765-'19_Расчет_аналитики'!BE4774,0)</f>
        <v/>
      </c>
      <c r="BF4775">
        <f>IF('01_Вводные'!$B$234="Да",'19_Расчет_аналитики'!BF4765-'19_Расчет_аналитики'!BF4774,0)</f>
        <v/>
      </c>
      <c r="BG4775">
        <f>IF('01_Вводные'!$B$234="Да",'19_Расчет_аналитики'!BG4765-'19_Расчет_аналитики'!BG4774,0)</f>
        <v/>
      </c>
      <c r="BH4775">
        <f>IF('01_Вводные'!$B$234="Да",'19_Расчет_аналитики'!BH4765-'19_Расчет_аналитики'!BH4774,0)</f>
        <v/>
      </c>
      <c r="BI4775">
        <f>IF('01_Вводные'!$B$234="Да",'19_Расчет_аналитики'!BI4765-'19_Расчет_аналитики'!BI4774,0)</f>
        <v/>
      </c>
    </row>
    <row r="4776"/>
    <row r="4777"/>
    <row r="4778">
      <c r="B4778">
        <f>'02_Модель'!B36</f>
        <v/>
      </c>
      <c r="C4778">
        <f>IF('01_Вводные'!$B$234="Да",'19_Расчет_аналитики'!C4713,0)</f>
        <v/>
      </c>
      <c r="D4778">
        <f>IF('01_Вводные'!$B$234="Да",'19_Расчет_аналитики'!D4713,0)</f>
        <v/>
      </c>
      <c r="E4778">
        <f>IF('01_Вводные'!$B$234="Да",'19_Расчет_аналитики'!E4713,0)</f>
        <v/>
      </c>
      <c r="F4778">
        <f>IF('01_Вводные'!$B$234="Да",'19_Расчет_аналитики'!F4713,0)</f>
        <v/>
      </c>
      <c r="G4778">
        <f>IF('01_Вводные'!$B$234="Да",'19_Расчет_аналитики'!G4713,0)</f>
        <v/>
      </c>
      <c r="H4778">
        <f>IF('01_Вводные'!$B$234="Да",'19_Расчет_аналитики'!H4713,0)</f>
        <v/>
      </c>
      <c r="I4778">
        <f>IF('01_Вводные'!$B$234="Да",'19_Расчет_аналитики'!I4713,0)</f>
        <v/>
      </c>
      <c r="J4778">
        <f>IF('01_Вводные'!$B$234="Да",'19_Расчет_аналитики'!J4713,0)</f>
        <v/>
      </c>
      <c r="K4778">
        <f>IF('01_Вводные'!$B$234="Да",'19_Расчет_аналитики'!K4713,0)</f>
        <v/>
      </c>
      <c r="L4778">
        <f>IF('01_Вводные'!$B$234="Да",'19_Расчет_аналитики'!L4713,0)</f>
        <v/>
      </c>
      <c r="M4778">
        <f>IF('01_Вводные'!$B$234="Да",'19_Расчет_аналитики'!M4713,0)</f>
        <v/>
      </c>
      <c r="N4778">
        <f>IF('01_Вводные'!$B$234="Да",'19_Расчет_аналитики'!N4713,0)</f>
        <v/>
      </c>
      <c r="O4778">
        <f>IF('01_Вводные'!$B$234="Да",'19_Расчет_аналитики'!O4713,0)</f>
        <v/>
      </c>
      <c r="P4778">
        <f>IF('01_Вводные'!$B$234="Да",'19_Расчет_аналитики'!P4713,0)</f>
        <v/>
      </c>
      <c r="Q4778">
        <f>IF('01_Вводные'!$B$234="Да",'19_Расчет_аналитики'!Q4713,0)</f>
        <v/>
      </c>
      <c r="R4778">
        <f>IF('01_Вводные'!$B$234="Да",'19_Расчет_аналитики'!R4713,0)</f>
        <v/>
      </c>
      <c r="S4778">
        <f>IF('01_Вводные'!$B$234="Да",'19_Расчет_аналитики'!S4713,0)</f>
        <v/>
      </c>
      <c r="T4778">
        <f>IF('01_Вводные'!$B$234="Да",'19_Расчет_аналитики'!T4713,0)</f>
        <v/>
      </c>
      <c r="U4778">
        <f>IF('01_Вводные'!$B$234="Да",'19_Расчет_аналитики'!U4713,0)</f>
        <v/>
      </c>
      <c r="V4778">
        <f>IF('01_Вводные'!$B$234="Да",'19_Расчет_аналитики'!V4713,0)</f>
        <v/>
      </c>
      <c r="W4778">
        <f>IF('01_Вводные'!$B$234="Да",'19_Расчет_аналитики'!W4713,0)</f>
        <v/>
      </c>
      <c r="X4778">
        <f>IF('01_Вводные'!$B$234="Да",'19_Расчет_аналитики'!X4713,0)</f>
        <v/>
      </c>
      <c r="Y4778">
        <f>IF('01_Вводные'!$B$234="Да",'19_Расчет_аналитики'!Y4713,0)</f>
        <v/>
      </c>
      <c r="Z4778">
        <f>IF('01_Вводные'!$B$234="Да",'19_Расчет_аналитики'!Z4713,0)</f>
        <v/>
      </c>
      <c r="AA4778">
        <f>IF('01_Вводные'!$B$234="Да",'19_Расчет_аналитики'!AA4713,0)</f>
        <v/>
      </c>
      <c r="AB4778">
        <f>IF('01_Вводные'!$B$234="Да",'19_Расчет_аналитики'!AB4713,0)</f>
        <v/>
      </c>
      <c r="AC4778">
        <f>IF('01_Вводные'!$B$234="Да",'19_Расчет_аналитики'!AC4713,0)</f>
        <v/>
      </c>
      <c r="AD4778">
        <f>IF('01_Вводные'!$B$234="Да",'19_Расчет_аналитики'!AD4713,0)</f>
        <v/>
      </c>
      <c r="AE4778">
        <f>IF('01_Вводные'!$B$234="Да",'19_Расчет_аналитики'!AE4713,0)</f>
        <v/>
      </c>
      <c r="AF4778">
        <f>IF('01_Вводные'!$B$234="Да",'19_Расчет_аналитики'!AF4713,0)</f>
        <v/>
      </c>
      <c r="AG4778">
        <f>IF('01_Вводные'!$B$234="Да",'19_Расчет_аналитики'!AG4713,0)</f>
        <v/>
      </c>
      <c r="AH4778">
        <f>IF('01_Вводные'!$B$234="Да",'19_Расчет_аналитики'!AH4713,0)</f>
        <v/>
      </c>
      <c r="AI4778">
        <f>IF('01_Вводные'!$B$234="Да",'19_Расчет_аналитики'!AI4713,0)</f>
        <v/>
      </c>
      <c r="AJ4778">
        <f>IF('01_Вводные'!$B$234="Да",'19_Расчет_аналитики'!AJ4713,0)</f>
        <v/>
      </c>
      <c r="AK4778">
        <f>IF('01_Вводные'!$B$234="Да",'19_Расчет_аналитики'!AK4713,0)</f>
        <v/>
      </c>
      <c r="AL4778">
        <f>IF('01_Вводные'!$B$234="Да",'19_Расчет_аналитики'!AL4713,0)</f>
        <v/>
      </c>
      <c r="AM4778">
        <f>IF('01_Вводные'!$B$234="Да",'19_Расчет_аналитики'!AM4713,0)</f>
        <v/>
      </c>
      <c r="AN4778">
        <f>IF('01_Вводные'!$B$234="Да",'19_Расчет_аналитики'!AN4713,0)</f>
        <v/>
      </c>
      <c r="AO4778">
        <f>IF('01_Вводные'!$B$234="Да",'19_Расчет_аналитики'!AO4713,0)</f>
        <v/>
      </c>
      <c r="AP4778">
        <f>IF('01_Вводные'!$B$234="Да",'19_Расчет_аналитики'!AP4713,0)</f>
        <v/>
      </c>
      <c r="AQ4778">
        <f>IF('01_Вводные'!$B$234="Да",'19_Расчет_аналитики'!AQ4713,0)</f>
        <v/>
      </c>
      <c r="AR4778">
        <f>IF('01_Вводные'!$B$234="Да",'19_Расчет_аналитики'!AR4713,0)</f>
        <v/>
      </c>
      <c r="AS4778">
        <f>IF('01_Вводные'!$B$234="Да",'19_Расчет_аналитики'!AS4713,0)</f>
        <v/>
      </c>
      <c r="AT4778">
        <f>IF('01_Вводные'!$B$234="Да",'19_Расчет_аналитики'!AT4713,0)</f>
        <v/>
      </c>
      <c r="AU4778">
        <f>IF('01_Вводные'!$B$234="Да",'19_Расчет_аналитики'!AU4713,0)</f>
        <v/>
      </c>
      <c r="AV4778">
        <f>IF('01_Вводные'!$B$234="Да",'19_Расчет_аналитики'!AV4713,0)</f>
        <v/>
      </c>
      <c r="AW4778">
        <f>IF('01_Вводные'!$B$234="Да",'19_Расчет_аналитики'!AW4713,0)</f>
        <v/>
      </c>
      <c r="AX4778">
        <f>IF('01_Вводные'!$B$234="Да",'19_Расчет_аналитики'!AX4713,0)</f>
        <v/>
      </c>
      <c r="AY4778">
        <f>IF('01_Вводные'!$B$234="Да",'19_Расчет_аналитики'!AY4713,0)</f>
        <v/>
      </c>
      <c r="AZ4778">
        <f>IF('01_Вводные'!$B$234="Да",'19_Расчет_аналитики'!AZ4713,0)</f>
        <v/>
      </c>
      <c r="BA4778">
        <f>IF('01_Вводные'!$B$234="Да",'19_Расчет_аналитики'!BA4713,0)</f>
        <v/>
      </c>
      <c r="BB4778">
        <f>IF('01_Вводные'!$B$234="Да",'19_Расчет_аналитики'!BB4713,0)</f>
        <v/>
      </c>
      <c r="BC4778">
        <f>IF('01_Вводные'!$B$234="Да",'19_Расчет_аналитики'!BC4713,0)</f>
        <v/>
      </c>
      <c r="BD4778">
        <f>IF('01_Вводные'!$B$234="Да",'19_Расчет_аналитики'!BD4713,0)</f>
        <v/>
      </c>
      <c r="BE4778">
        <f>IF('01_Вводные'!$B$234="Да",'19_Расчет_аналитики'!BE4713,0)</f>
        <v/>
      </c>
      <c r="BF4778">
        <f>IF('01_Вводные'!$B$234="Да",'19_Расчет_аналитики'!BF4713,0)</f>
        <v/>
      </c>
      <c r="BG4778">
        <f>IF('01_Вводные'!$B$234="Да",'19_Расчет_аналитики'!BG4713,0)</f>
        <v/>
      </c>
      <c r="BH4778">
        <f>IF('01_Вводные'!$B$234="Да",'19_Расчет_аналитики'!BH4713,0)</f>
        <v/>
      </c>
      <c r="BI4778">
        <f>IF('01_Вводные'!$B$234="Да",'19_Расчет_аналитики'!BI4713,0)</f>
        <v/>
      </c>
    </row>
    <row r="4779">
      <c r="B4779">
        <f>IF('01_Вводные'!$B$234="Да",('01_Вводные'!$B$105+(MAX(0,'06_Сеть_и_дети'!B11-'01_Вводные'!$B$106)+'19_Расчет_аналитики'!B4447)*'01_Вводные'!$B$107)*'18_Календарь_тарифы'!B4,0)</f>
        <v/>
      </c>
      <c r="C4779">
        <f>IF('01_Вводные'!$B$234="Да",('01_Вводные'!$B$105+(MAX(0,'06_Сеть_и_дети'!C11-'01_Вводные'!$B$106)+'19_Расчет_аналитики'!C4447)*'01_Вводные'!$B$107)*'18_Календарь_тарифы'!C4,0)</f>
        <v/>
      </c>
      <c r="D4779">
        <f>IF('01_Вводные'!$B$234="Да",('01_Вводные'!$B$105+(MAX(0,'06_Сеть_и_дети'!D11-'01_Вводные'!$B$106)+'19_Расчет_аналитики'!D4447)*'01_Вводные'!$B$107)*'18_Календарь_тарифы'!D4,0)</f>
        <v/>
      </c>
      <c r="E4779">
        <f>IF('01_Вводные'!$B$234="Да",('01_Вводные'!$B$105+(MAX(0,'06_Сеть_и_дети'!E11-'01_Вводные'!$B$106)+'19_Расчет_аналитики'!E4447)*'01_Вводные'!$B$107)*'18_Календарь_тарифы'!E4,0)</f>
        <v/>
      </c>
      <c r="F4779">
        <f>IF('01_Вводные'!$B$234="Да",('01_Вводные'!$B$105+(MAX(0,'06_Сеть_и_дети'!F11-'01_Вводные'!$B$106)+'19_Расчет_аналитики'!F4447)*'01_Вводные'!$B$107)*'18_Календарь_тарифы'!F4,0)</f>
        <v/>
      </c>
      <c r="G4779">
        <f>IF('01_Вводные'!$B$234="Да",('01_Вводные'!$B$105+(MAX(0,'06_Сеть_и_дети'!G11-'01_Вводные'!$B$106)+'19_Расчет_аналитики'!G4447)*'01_Вводные'!$B$107)*'18_Календарь_тарифы'!G4,0)</f>
        <v/>
      </c>
      <c r="H4779">
        <f>IF('01_Вводные'!$B$234="Да",('01_Вводные'!$B$105+(MAX(0,'06_Сеть_и_дети'!H11-'01_Вводные'!$B$106)+'19_Расчет_аналитики'!H4447)*'01_Вводные'!$B$107)*'18_Календарь_тарифы'!H4,0)</f>
        <v/>
      </c>
      <c r="I4779">
        <f>IF('01_Вводные'!$B$234="Да",('01_Вводные'!$B$105+(MAX(0,'06_Сеть_и_дети'!I11-'01_Вводные'!$B$106)+'19_Расчет_аналитики'!I4447)*'01_Вводные'!$B$107)*'18_Календарь_тарифы'!I4,0)</f>
        <v/>
      </c>
      <c r="J4779">
        <f>IF('01_Вводные'!$B$234="Да",('01_Вводные'!$B$105+(MAX(0,'06_Сеть_и_дети'!J11-'01_Вводные'!$B$106)+'19_Расчет_аналитики'!J4447)*'01_Вводные'!$B$107)*'18_Календарь_тарифы'!J4,0)</f>
        <v/>
      </c>
      <c r="K4779">
        <f>IF('01_Вводные'!$B$234="Да",('01_Вводные'!$B$105+(MAX(0,'06_Сеть_и_дети'!K11-'01_Вводные'!$B$106)+'19_Расчет_аналитики'!K4447)*'01_Вводные'!$B$107)*'18_Календарь_тарифы'!K4,0)</f>
        <v/>
      </c>
      <c r="L4779">
        <f>IF('01_Вводные'!$B$234="Да",('01_Вводные'!$B$105+(MAX(0,'06_Сеть_и_дети'!L11-'01_Вводные'!$B$106)+'19_Расчет_аналитики'!L4447)*'01_Вводные'!$B$107)*'18_Календарь_тарифы'!L4,0)</f>
        <v/>
      </c>
      <c r="M4779">
        <f>IF('01_Вводные'!$B$234="Да",('01_Вводные'!$B$105+(MAX(0,'06_Сеть_и_дети'!M11-'01_Вводные'!$B$106)+'19_Расчет_аналитики'!M4447)*'01_Вводные'!$B$107)*'18_Календарь_тарифы'!M4,0)</f>
        <v/>
      </c>
      <c r="N4779">
        <f>IF('01_Вводные'!$B$234="Да",('01_Вводные'!$B$105+(MAX(0,'06_Сеть_и_дети'!N11-'01_Вводные'!$B$106)+'19_Расчет_аналитики'!N4447)*'01_Вводные'!$B$107)*'18_Календарь_тарифы'!N4,0)</f>
        <v/>
      </c>
      <c r="O4779">
        <f>IF('01_Вводные'!$B$234="Да",('01_Вводные'!$B$105+(MAX(0,'06_Сеть_и_дети'!O11-'01_Вводные'!$B$106)+'19_Расчет_аналитики'!O4447)*'01_Вводные'!$B$107)*'18_Календарь_тарифы'!O4,0)</f>
        <v/>
      </c>
      <c r="P4779">
        <f>IF('01_Вводные'!$B$234="Да",('01_Вводные'!$B$105+(MAX(0,'06_Сеть_и_дети'!P11-'01_Вводные'!$B$106)+'19_Расчет_аналитики'!P4447)*'01_Вводные'!$B$107)*'18_Календарь_тарифы'!P4,0)</f>
        <v/>
      </c>
      <c r="Q4779">
        <f>IF('01_Вводные'!$B$234="Да",('01_Вводные'!$B$105+(MAX(0,'06_Сеть_и_дети'!Q11-'01_Вводные'!$B$106)+'19_Расчет_аналитики'!Q4447)*'01_Вводные'!$B$107)*'18_Календарь_тарифы'!Q4,0)</f>
        <v/>
      </c>
      <c r="R4779">
        <f>IF('01_Вводные'!$B$234="Да",('01_Вводные'!$B$105+(MAX(0,'06_Сеть_и_дети'!R11-'01_Вводные'!$B$106)+'19_Расчет_аналитики'!R4447)*'01_Вводные'!$B$107)*'18_Календарь_тарифы'!R4,0)</f>
        <v/>
      </c>
      <c r="S4779">
        <f>IF('01_Вводные'!$B$234="Да",('01_Вводные'!$B$105+(MAX(0,'06_Сеть_и_дети'!S11-'01_Вводные'!$B$106)+'19_Расчет_аналитики'!S4447)*'01_Вводные'!$B$107)*'18_Календарь_тарифы'!S4,0)</f>
        <v/>
      </c>
      <c r="T4779">
        <f>IF('01_Вводные'!$B$234="Да",('01_Вводные'!$B$105+(MAX(0,'06_Сеть_и_дети'!T11-'01_Вводные'!$B$106)+'19_Расчет_аналитики'!T4447)*'01_Вводные'!$B$107)*'18_Календарь_тарифы'!T4,0)</f>
        <v/>
      </c>
      <c r="U4779">
        <f>IF('01_Вводные'!$B$234="Да",('01_Вводные'!$B$105+(MAX(0,'06_Сеть_и_дети'!U11-'01_Вводные'!$B$106)+'19_Расчет_аналитики'!U4447)*'01_Вводные'!$B$107)*'18_Календарь_тарифы'!U4,0)</f>
        <v/>
      </c>
      <c r="V4779">
        <f>IF('01_Вводные'!$B$234="Да",('01_Вводные'!$B$105+(MAX(0,'06_Сеть_и_дети'!V11-'01_Вводные'!$B$106)+'19_Расчет_аналитики'!V4447)*'01_Вводные'!$B$107)*'18_Календарь_тарифы'!V4,0)</f>
        <v/>
      </c>
      <c r="W4779">
        <f>IF('01_Вводные'!$B$234="Да",('01_Вводные'!$B$105+(MAX(0,'06_Сеть_и_дети'!W11-'01_Вводные'!$B$106)+'19_Расчет_аналитики'!W4447)*'01_Вводные'!$B$107)*'18_Календарь_тарифы'!W4,0)</f>
        <v/>
      </c>
      <c r="X4779">
        <f>IF('01_Вводные'!$B$234="Да",('01_Вводные'!$B$105+(MAX(0,'06_Сеть_и_дети'!X11-'01_Вводные'!$B$106)+'19_Расчет_аналитики'!X4447)*'01_Вводные'!$B$107)*'18_Календарь_тарифы'!X4,0)</f>
        <v/>
      </c>
      <c r="Y4779">
        <f>IF('01_Вводные'!$B$234="Да",('01_Вводные'!$B$105+(MAX(0,'06_Сеть_и_дети'!Y11-'01_Вводные'!$B$106)+'19_Расчет_аналитики'!Y4447)*'01_Вводные'!$B$107)*'18_Календарь_тарифы'!Y4,0)</f>
        <v/>
      </c>
      <c r="Z4779">
        <f>IF('01_Вводные'!$B$234="Да",('01_Вводные'!$B$105+(MAX(0,'06_Сеть_и_дети'!Z11-'01_Вводные'!$B$106)+'19_Расчет_аналитики'!Z4447)*'01_Вводные'!$B$107)*'18_Календарь_тарифы'!Z4,0)</f>
        <v/>
      </c>
      <c r="AA4779">
        <f>IF('01_Вводные'!$B$234="Да",('01_Вводные'!$B$105+(MAX(0,'06_Сеть_и_дети'!AA11-'01_Вводные'!$B$106)+'19_Расчет_аналитики'!AA4447)*'01_Вводные'!$B$107)*'18_Календарь_тарифы'!AA4,0)</f>
        <v/>
      </c>
      <c r="AB4779">
        <f>IF('01_Вводные'!$B$234="Да",('01_Вводные'!$B$105+(MAX(0,'06_Сеть_и_дети'!AB11-'01_Вводные'!$B$106)+'19_Расчет_аналитики'!AB4447)*'01_Вводные'!$B$107)*'18_Календарь_тарифы'!AB4,0)</f>
        <v/>
      </c>
      <c r="AC4779">
        <f>IF('01_Вводные'!$B$234="Да",('01_Вводные'!$B$105+(MAX(0,'06_Сеть_и_дети'!AC11-'01_Вводные'!$B$106)+'19_Расчет_аналитики'!AC4447)*'01_Вводные'!$B$107)*'18_Календарь_тарифы'!AC4,0)</f>
        <v/>
      </c>
      <c r="AD4779">
        <f>IF('01_Вводные'!$B$234="Да",('01_Вводные'!$B$105+(MAX(0,'06_Сеть_и_дети'!AD11-'01_Вводные'!$B$106)+'19_Расчет_аналитики'!AD4447)*'01_Вводные'!$B$107)*'18_Календарь_тарифы'!AD4,0)</f>
        <v/>
      </c>
      <c r="AE4779">
        <f>IF('01_Вводные'!$B$234="Да",('01_Вводные'!$B$105+(MAX(0,'06_Сеть_и_дети'!AE11-'01_Вводные'!$B$106)+'19_Расчет_аналитики'!AE4447)*'01_Вводные'!$B$107)*'18_Календарь_тарифы'!AE4,0)</f>
        <v/>
      </c>
      <c r="AF4779">
        <f>IF('01_Вводные'!$B$234="Да",('01_Вводные'!$B$105+(MAX(0,'06_Сеть_и_дети'!AF11-'01_Вводные'!$B$106)+'19_Расчет_аналитики'!AF4447)*'01_Вводные'!$B$107)*'18_Календарь_тарифы'!AF4,0)</f>
        <v/>
      </c>
      <c r="AG4779">
        <f>IF('01_Вводные'!$B$234="Да",('01_Вводные'!$B$105+(MAX(0,'06_Сеть_и_дети'!AG11-'01_Вводные'!$B$106)+'19_Расчет_аналитики'!AG4447)*'01_Вводные'!$B$107)*'18_Календарь_тарифы'!AG4,0)</f>
        <v/>
      </c>
      <c r="AH4779">
        <f>IF('01_Вводные'!$B$234="Да",('01_Вводные'!$B$105+(MAX(0,'06_Сеть_и_дети'!AH11-'01_Вводные'!$B$106)+'19_Расчет_аналитики'!AH4447)*'01_Вводные'!$B$107)*'18_Календарь_тарифы'!AH4,0)</f>
        <v/>
      </c>
      <c r="AI4779">
        <f>IF('01_Вводные'!$B$234="Да",('01_Вводные'!$B$105+(MAX(0,'06_Сеть_и_дети'!AI11-'01_Вводные'!$B$106)+'19_Расчет_аналитики'!AI4447)*'01_Вводные'!$B$107)*'18_Календарь_тарифы'!AI4,0)</f>
        <v/>
      </c>
      <c r="AJ4779">
        <f>IF('01_Вводные'!$B$234="Да",('01_Вводные'!$B$105+(MAX(0,'06_Сеть_и_дети'!AJ11-'01_Вводные'!$B$106)+'19_Расчет_аналитики'!AJ4447)*'01_Вводные'!$B$107)*'18_Календарь_тарифы'!AJ4,0)</f>
        <v/>
      </c>
      <c r="AK4779">
        <f>IF('01_Вводные'!$B$234="Да",('01_Вводные'!$B$105+(MAX(0,'06_Сеть_и_дети'!AK11-'01_Вводные'!$B$106)+'19_Расчет_аналитики'!AK4447)*'01_Вводные'!$B$107)*'18_Календарь_тарифы'!AK4,0)</f>
        <v/>
      </c>
      <c r="AL4779">
        <f>IF('01_Вводные'!$B$234="Да",('01_Вводные'!$B$105+(MAX(0,'06_Сеть_и_дети'!AL11-'01_Вводные'!$B$106)+'19_Расчет_аналитики'!AL4447)*'01_Вводные'!$B$107)*'18_Календарь_тарифы'!AL4,0)</f>
        <v/>
      </c>
      <c r="AM4779">
        <f>IF('01_Вводные'!$B$234="Да",('01_Вводные'!$B$105+(MAX(0,'06_Сеть_и_дети'!AM11-'01_Вводные'!$B$106)+'19_Расчет_аналитики'!AM4447)*'01_Вводные'!$B$107)*'18_Календарь_тарифы'!AM4,0)</f>
        <v/>
      </c>
      <c r="AN4779">
        <f>IF('01_Вводные'!$B$234="Да",('01_Вводные'!$B$105+(MAX(0,'06_Сеть_и_дети'!AN11-'01_Вводные'!$B$106)+'19_Расчет_аналитики'!AN4447)*'01_Вводные'!$B$107)*'18_Календарь_тарифы'!AN4,0)</f>
        <v/>
      </c>
      <c r="AO4779">
        <f>IF('01_Вводные'!$B$234="Да",('01_Вводные'!$B$105+(MAX(0,'06_Сеть_и_дети'!AO11-'01_Вводные'!$B$106)+'19_Расчет_аналитики'!AO4447)*'01_Вводные'!$B$107)*'18_Календарь_тарифы'!AO4,0)</f>
        <v/>
      </c>
      <c r="AP4779">
        <f>IF('01_Вводные'!$B$234="Да",('01_Вводные'!$B$105+(MAX(0,'06_Сеть_и_дети'!AP11-'01_Вводные'!$B$106)+'19_Расчет_аналитики'!AP4447)*'01_Вводные'!$B$107)*'18_Календарь_тарифы'!AP4,0)</f>
        <v/>
      </c>
      <c r="AQ4779">
        <f>IF('01_Вводные'!$B$234="Да",('01_Вводные'!$B$105+(MAX(0,'06_Сеть_и_дети'!AQ11-'01_Вводные'!$B$106)+'19_Расчет_аналитики'!AQ4447)*'01_Вводные'!$B$107)*'18_Календарь_тарифы'!AQ4,0)</f>
        <v/>
      </c>
      <c r="AR4779">
        <f>IF('01_Вводные'!$B$234="Да",('01_Вводные'!$B$105+(MAX(0,'06_Сеть_и_дети'!AR11-'01_Вводные'!$B$106)+'19_Расчет_аналитики'!AR4447)*'01_Вводные'!$B$107)*'18_Календарь_тарифы'!AR4,0)</f>
        <v/>
      </c>
      <c r="AS4779">
        <f>IF('01_Вводные'!$B$234="Да",('01_Вводные'!$B$105+(MAX(0,'06_Сеть_и_дети'!AS11-'01_Вводные'!$B$106)+'19_Расчет_аналитики'!AS4447)*'01_Вводные'!$B$107)*'18_Календарь_тарифы'!AS4,0)</f>
        <v/>
      </c>
      <c r="AT4779">
        <f>IF('01_Вводные'!$B$234="Да",('01_Вводные'!$B$105+(MAX(0,'06_Сеть_и_дети'!AT11-'01_Вводные'!$B$106)+'19_Расчет_аналитики'!AT4447)*'01_Вводные'!$B$107)*'18_Календарь_тарифы'!AT4,0)</f>
        <v/>
      </c>
      <c r="AU4779">
        <f>IF('01_Вводные'!$B$234="Да",('01_Вводные'!$B$105+(MAX(0,'06_Сеть_и_дети'!AU11-'01_Вводные'!$B$106)+'19_Расчет_аналитики'!AU4447)*'01_Вводные'!$B$107)*'18_Календарь_тарифы'!AU4,0)</f>
        <v/>
      </c>
      <c r="AV4779">
        <f>IF('01_Вводные'!$B$234="Да",('01_Вводные'!$B$105+(MAX(0,'06_Сеть_и_дети'!AV11-'01_Вводные'!$B$106)+'19_Расчет_аналитики'!AV4447)*'01_Вводные'!$B$107)*'18_Календарь_тарифы'!AV4,0)</f>
        <v/>
      </c>
      <c r="AW4779">
        <f>IF('01_Вводные'!$B$234="Да",('01_Вводные'!$B$105+(MAX(0,'06_Сеть_и_дети'!AW11-'01_Вводные'!$B$106)+'19_Расчет_аналитики'!AW4447)*'01_Вводные'!$B$107)*'18_Календарь_тарифы'!AW4,0)</f>
        <v/>
      </c>
      <c r="AX4779">
        <f>IF('01_Вводные'!$B$234="Да",('01_Вводные'!$B$105+(MAX(0,'06_Сеть_и_дети'!AX11-'01_Вводные'!$B$106)+'19_Расчет_аналитики'!AX4447)*'01_Вводные'!$B$107)*'18_Календарь_тарифы'!AX4,0)</f>
        <v/>
      </c>
      <c r="AY4779">
        <f>IF('01_Вводные'!$B$234="Да",('01_Вводные'!$B$105+(MAX(0,'06_Сеть_и_дети'!AY11-'01_Вводные'!$B$106)+'19_Расчет_аналитики'!AY4447)*'01_Вводные'!$B$107)*'18_Календарь_тарифы'!AY4,0)</f>
        <v/>
      </c>
      <c r="AZ4779">
        <f>IF('01_Вводные'!$B$234="Да",('01_Вводные'!$B$105+(MAX(0,'06_Сеть_и_дети'!AZ11-'01_Вводные'!$B$106)+'19_Расчет_аналитики'!AZ4447)*'01_Вводные'!$B$107)*'18_Календарь_тарифы'!AZ4,0)</f>
        <v/>
      </c>
      <c r="BA4779">
        <f>IF('01_Вводные'!$B$234="Да",('01_Вводные'!$B$105+(MAX(0,'06_Сеть_и_дети'!BA11-'01_Вводные'!$B$106)+'19_Расчет_аналитики'!BA4447)*'01_Вводные'!$B$107)*'18_Календарь_тарифы'!BA4,0)</f>
        <v/>
      </c>
      <c r="BB4779">
        <f>IF('01_Вводные'!$B$234="Да",('01_Вводные'!$B$105+(MAX(0,'06_Сеть_и_дети'!BB11-'01_Вводные'!$B$106)+'19_Расчет_аналитики'!BB4447)*'01_Вводные'!$B$107)*'18_Календарь_тарифы'!BB4,0)</f>
        <v/>
      </c>
      <c r="BC4779">
        <f>IF('01_Вводные'!$B$234="Да",('01_Вводные'!$B$105+(MAX(0,'06_Сеть_и_дети'!BC11-'01_Вводные'!$B$106)+'19_Расчет_аналитики'!BC4447)*'01_Вводные'!$B$107)*'18_Календарь_тарифы'!BC4,0)</f>
        <v/>
      </c>
      <c r="BD4779">
        <f>IF('01_Вводные'!$B$234="Да",('01_Вводные'!$B$105+(MAX(0,'06_Сеть_и_дети'!BD11-'01_Вводные'!$B$106)+'19_Расчет_аналитики'!BD4447)*'01_Вводные'!$B$107)*'18_Календарь_тарифы'!BD4,0)</f>
        <v/>
      </c>
      <c r="BE4779">
        <f>IF('01_Вводные'!$B$234="Да",('01_Вводные'!$B$105+(MAX(0,'06_Сеть_и_дети'!BE11-'01_Вводные'!$B$106)+'19_Расчет_аналитики'!BE4447)*'01_Вводные'!$B$107)*'18_Календарь_тарифы'!BE4,0)</f>
        <v/>
      </c>
      <c r="BF4779">
        <f>IF('01_Вводные'!$B$234="Да",('01_Вводные'!$B$105+(MAX(0,'06_Сеть_и_дети'!BF11-'01_Вводные'!$B$106)+'19_Расчет_аналитики'!BF4447)*'01_Вводные'!$B$107)*'18_Календарь_тарифы'!BF4,0)</f>
        <v/>
      </c>
      <c r="BG4779">
        <f>IF('01_Вводные'!$B$234="Да",('01_Вводные'!$B$105+(MAX(0,'06_Сеть_и_дети'!BG11-'01_Вводные'!$B$106)+'19_Расчет_аналитики'!BG4447)*'01_Вводные'!$B$107)*'18_Календарь_тарифы'!BG4,0)</f>
        <v/>
      </c>
      <c r="BH4779">
        <f>IF('01_Вводные'!$B$234="Да",('01_Вводные'!$B$105+(MAX(0,'06_Сеть_и_дети'!BH11-'01_Вводные'!$B$106)+'19_Расчет_аналитики'!BH4447)*'01_Вводные'!$B$107)*'18_Календарь_тарифы'!BH4,0)</f>
        <v/>
      </c>
      <c r="BI4779">
        <f>IF('01_Вводные'!$B$234="Да",('01_Вводные'!$B$105+(MAX(0,'06_Сеть_и_дети'!BI11-'01_Вводные'!$B$106)+'19_Расчет_аналитики'!BI4447)*'01_Вводные'!$B$107)*'18_Календарь_тарифы'!BI4,0)</f>
        <v/>
      </c>
    </row>
    <row r="4780">
      <c r="B4780">
        <f>'02_Модель'!B38</f>
        <v/>
      </c>
      <c r="C4780">
        <f>'02_Модель'!C38</f>
        <v/>
      </c>
      <c r="D4780">
        <f>'02_Модель'!D38</f>
        <v/>
      </c>
      <c r="E4780">
        <f>'02_Модель'!E38</f>
        <v/>
      </c>
      <c r="F4780">
        <f>'02_Модель'!F38</f>
        <v/>
      </c>
      <c r="G4780">
        <f>'02_Модель'!G38</f>
        <v/>
      </c>
      <c r="H4780">
        <f>'02_Модель'!H38</f>
        <v/>
      </c>
      <c r="I4780">
        <f>'02_Модель'!I38</f>
        <v/>
      </c>
      <c r="J4780">
        <f>'02_Модель'!J38</f>
        <v/>
      </c>
      <c r="K4780">
        <f>'02_Модель'!K38</f>
        <v/>
      </c>
      <c r="L4780">
        <f>'02_Модель'!L38</f>
        <v/>
      </c>
      <c r="M4780">
        <f>'02_Модель'!M38</f>
        <v/>
      </c>
      <c r="N4780">
        <f>'02_Модель'!N38</f>
        <v/>
      </c>
      <c r="O4780">
        <f>'02_Модель'!O38</f>
        <v/>
      </c>
      <c r="P4780">
        <f>'02_Модель'!P38</f>
        <v/>
      </c>
      <c r="Q4780">
        <f>'02_Модель'!Q38</f>
        <v/>
      </c>
      <c r="R4780">
        <f>'02_Модель'!R38</f>
        <v/>
      </c>
      <c r="S4780">
        <f>'02_Модель'!S38</f>
        <v/>
      </c>
      <c r="T4780">
        <f>'02_Модель'!T38</f>
        <v/>
      </c>
      <c r="U4780">
        <f>'02_Модель'!U38</f>
        <v/>
      </c>
      <c r="V4780">
        <f>'02_Модель'!V38</f>
        <v/>
      </c>
      <c r="W4780">
        <f>'02_Модель'!W38</f>
        <v/>
      </c>
      <c r="X4780">
        <f>'02_Модель'!X38</f>
        <v/>
      </c>
      <c r="Y4780">
        <f>'02_Модель'!Y38</f>
        <v/>
      </c>
      <c r="Z4780">
        <f>'02_Модель'!Z38</f>
        <v/>
      </c>
      <c r="AA4780">
        <f>'02_Модель'!AA38</f>
        <v/>
      </c>
      <c r="AB4780">
        <f>'02_Модель'!AB38</f>
        <v/>
      </c>
      <c r="AC4780">
        <f>'02_Модель'!AC38</f>
        <v/>
      </c>
      <c r="AD4780">
        <f>'02_Модель'!AD38</f>
        <v/>
      </c>
      <c r="AE4780">
        <f>'02_Модель'!AE38</f>
        <v/>
      </c>
      <c r="AF4780">
        <f>'02_Модель'!AF38</f>
        <v/>
      </c>
      <c r="AG4780">
        <f>'02_Модель'!AG38</f>
        <v/>
      </c>
      <c r="AH4780">
        <f>'02_Модель'!AH38</f>
        <v/>
      </c>
      <c r="AI4780">
        <f>'02_Модель'!AI38</f>
        <v/>
      </c>
      <c r="AJ4780">
        <f>'02_Модель'!AJ38</f>
        <v/>
      </c>
      <c r="AK4780">
        <f>'02_Модель'!AK38</f>
        <v/>
      </c>
      <c r="AL4780">
        <f>'02_Модель'!AL38</f>
        <v/>
      </c>
      <c r="AM4780">
        <f>'02_Модель'!AM38</f>
        <v/>
      </c>
      <c r="AN4780">
        <f>'02_Модель'!AN38</f>
        <v/>
      </c>
      <c r="AO4780">
        <f>'02_Модель'!AO38</f>
        <v/>
      </c>
      <c r="AP4780">
        <f>'02_Модель'!AP38</f>
        <v/>
      </c>
      <c r="AQ4780">
        <f>'02_Модель'!AQ38</f>
        <v/>
      </c>
      <c r="AR4780">
        <f>'02_Модель'!AR38</f>
        <v/>
      </c>
      <c r="AS4780">
        <f>'02_Модель'!AS38</f>
        <v/>
      </c>
      <c r="AT4780">
        <f>'02_Модель'!AT38</f>
        <v/>
      </c>
      <c r="AU4780">
        <f>'02_Модель'!AU38</f>
        <v/>
      </c>
      <c r="AV4780">
        <f>'02_Модель'!AV38</f>
        <v/>
      </c>
      <c r="AW4780">
        <f>'02_Модель'!AW38</f>
        <v/>
      </c>
      <c r="AX4780">
        <f>'02_Модель'!AX38</f>
        <v/>
      </c>
      <c r="AY4780">
        <f>'02_Модель'!AY38</f>
        <v/>
      </c>
      <c r="AZ4780">
        <f>'02_Модель'!AZ38</f>
        <v/>
      </c>
      <c r="BA4780">
        <f>'02_Модель'!BA38</f>
        <v/>
      </c>
      <c r="BB4780">
        <f>'02_Модель'!BB38</f>
        <v/>
      </c>
      <c r="BC4780">
        <f>'02_Модель'!BC38</f>
        <v/>
      </c>
      <c r="BD4780">
        <f>'02_Модель'!BD38</f>
        <v/>
      </c>
      <c r="BE4780">
        <f>'02_Модель'!BE38</f>
        <v/>
      </c>
      <c r="BF4780">
        <f>'02_Модель'!BF38</f>
        <v/>
      </c>
      <c r="BG4780">
        <f>'02_Модель'!BG38</f>
        <v/>
      </c>
      <c r="BH4780">
        <f>'02_Модель'!BH38</f>
        <v/>
      </c>
      <c r="BI4780">
        <f>'02_Модель'!BI38</f>
        <v/>
      </c>
    </row>
    <row r="4781">
      <c r="B4781">
        <f>'02_Модель'!B39</f>
        <v/>
      </c>
      <c r="C4781">
        <f>'02_Модель'!C39</f>
        <v/>
      </c>
      <c r="D4781">
        <f>'02_Модель'!D39</f>
        <v/>
      </c>
      <c r="E4781">
        <f>'02_Модель'!E39</f>
        <v/>
      </c>
      <c r="F4781">
        <f>'02_Модель'!F39</f>
        <v/>
      </c>
      <c r="G4781">
        <f>'02_Модель'!G39</f>
        <v/>
      </c>
      <c r="H4781">
        <f>'02_Модель'!H39</f>
        <v/>
      </c>
      <c r="I4781">
        <f>'02_Модель'!I39</f>
        <v/>
      </c>
      <c r="J4781">
        <f>'02_Модель'!J39</f>
        <v/>
      </c>
      <c r="K4781">
        <f>'02_Модель'!K39</f>
        <v/>
      </c>
      <c r="L4781">
        <f>'02_Модель'!L39</f>
        <v/>
      </c>
      <c r="M4781">
        <f>'02_Модель'!M39</f>
        <v/>
      </c>
      <c r="N4781">
        <f>'02_Модель'!N39</f>
        <v/>
      </c>
      <c r="O4781">
        <f>'02_Модель'!O39</f>
        <v/>
      </c>
      <c r="P4781">
        <f>'02_Модель'!P39</f>
        <v/>
      </c>
      <c r="Q4781">
        <f>'02_Модель'!Q39</f>
        <v/>
      </c>
      <c r="R4781">
        <f>'02_Модель'!R39</f>
        <v/>
      </c>
      <c r="S4781">
        <f>'02_Модель'!S39</f>
        <v/>
      </c>
      <c r="T4781">
        <f>'02_Модель'!T39</f>
        <v/>
      </c>
      <c r="U4781">
        <f>'02_Модель'!U39</f>
        <v/>
      </c>
      <c r="V4781">
        <f>'02_Модель'!V39</f>
        <v/>
      </c>
      <c r="W4781">
        <f>'02_Модель'!W39</f>
        <v/>
      </c>
      <c r="X4781">
        <f>'02_Модель'!X39</f>
        <v/>
      </c>
      <c r="Y4781">
        <f>'02_Модель'!Y39</f>
        <v/>
      </c>
      <c r="Z4781">
        <f>'02_Модель'!Z39</f>
        <v/>
      </c>
      <c r="AA4781">
        <f>'02_Модель'!AA39</f>
        <v/>
      </c>
      <c r="AB4781">
        <f>'02_Модель'!AB39</f>
        <v/>
      </c>
      <c r="AC4781">
        <f>'02_Модель'!AC39</f>
        <v/>
      </c>
      <c r="AD4781">
        <f>'02_Модель'!AD39</f>
        <v/>
      </c>
      <c r="AE4781">
        <f>'02_Модель'!AE39</f>
        <v/>
      </c>
      <c r="AF4781">
        <f>'02_Модель'!AF39</f>
        <v/>
      </c>
      <c r="AG4781">
        <f>'02_Модель'!AG39</f>
        <v/>
      </c>
      <c r="AH4781">
        <f>'02_Модель'!AH39</f>
        <v/>
      </c>
      <c r="AI4781">
        <f>'02_Модель'!AI39</f>
        <v/>
      </c>
      <c r="AJ4781">
        <f>'02_Модель'!AJ39</f>
        <v/>
      </c>
      <c r="AK4781">
        <f>'02_Модель'!AK39</f>
        <v/>
      </c>
      <c r="AL4781">
        <f>'02_Модель'!AL39</f>
        <v/>
      </c>
      <c r="AM4781">
        <f>'02_Модель'!AM39</f>
        <v/>
      </c>
      <c r="AN4781">
        <f>'02_Модель'!AN39</f>
        <v/>
      </c>
      <c r="AO4781">
        <f>'02_Модель'!AO39</f>
        <v/>
      </c>
      <c r="AP4781">
        <f>'02_Модель'!AP39</f>
        <v/>
      </c>
      <c r="AQ4781">
        <f>'02_Модель'!AQ39</f>
        <v/>
      </c>
      <c r="AR4781">
        <f>'02_Модель'!AR39</f>
        <v/>
      </c>
      <c r="AS4781">
        <f>'02_Модель'!AS39</f>
        <v/>
      </c>
      <c r="AT4781">
        <f>'02_Модель'!AT39</f>
        <v/>
      </c>
      <c r="AU4781">
        <f>'02_Модель'!AU39</f>
        <v/>
      </c>
      <c r="AV4781">
        <f>'02_Модель'!AV39</f>
        <v/>
      </c>
      <c r="AW4781">
        <f>'02_Модель'!AW39</f>
        <v/>
      </c>
      <c r="AX4781">
        <f>'02_Модель'!AX39</f>
        <v/>
      </c>
      <c r="AY4781">
        <f>'02_Модель'!AY39</f>
        <v/>
      </c>
      <c r="AZ4781">
        <f>'02_Модель'!AZ39</f>
        <v/>
      </c>
      <c r="BA4781">
        <f>'02_Модель'!BA39</f>
        <v/>
      </c>
      <c r="BB4781">
        <f>'02_Модель'!BB39</f>
        <v/>
      </c>
      <c r="BC4781">
        <f>'02_Модель'!BC39</f>
        <v/>
      </c>
      <c r="BD4781">
        <f>'02_Модель'!BD39</f>
        <v/>
      </c>
      <c r="BE4781">
        <f>'02_Модель'!BE39</f>
        <v/>
      </c>
      <c r="BF4781">
        <f>'02_Модель'!BF39</f>
        <v/>
      </c>
      <c r="BG4781">
        <f>'02_Модель'!BG39</f>
        <v/>
      </c>
      <c r="BH4781">
        <f>'02_Модель'!BH39</f>
        <v/>
      </c>
      <c r="BI4781">
        <f>'02_Модель'!BI39</f>
        <v/>
      </c>
    </row>
    <row r="4782">
      <c r="B4782">
        <f>'02_Модель'!B40</f>
        <v/>
      </c>
      <c r="C4782">
        <f>'02_Модель'!C40</f>
        <v/>
      </c>
      <c r="D4782">
        <f>'02_Модель'!D40</f>
        <v/>
      </c>
      <c r="E4782">
        <f>'02_Модель'!E40</f>
        <v/>
      </c>
      <c r="F4782">
        <f>'02_Модель'!F40</f>
        <v/>
      </c>
      <c r="G4782">
        <f>'02_Модель'!G40</f>
        <v/>
      </c>
      <c r="H4782">
        <f>'02_Модель'!H40</f>
        <v/>
      </c>
      <c r="I4782">
        <f>'02_Модель'!I40</f>
        <v/>
      </c>
      <c r="J4782">
        <f>'02_Модель'!J40</f>
        <v/>
      </c>
      <c r="K4782">
        <f>'02_Модель'!K40</f>
        <v/>
      </c>
      <c r="L4782">
        <f>'02_Модель'!L40</f>
        <v/>
      </c>
      <c r="M4782">
        <f>'02_Модель'!M40</f>
        <v/>
      </c>
      <c r="N4782">
        <f>'02_Модель'!N40</f>
        <v/>
      </c>
      <c r="O4782">
        <f>'02_Модель'!O40</f>
        <v/>
      </c>
      <c r="P4782">
        <f>'02_Модель'!P40</f>
        <v/>
      </c>
      <c r="Q4782">
        <f>'02_Модель'!Q40</f>
        <v/>
      </c>
      <c r="R4782">
        <f>'02_Модель'!R40</f>
        <v/>
      </c>
      <c r="S4782">
        <f>'02_Модель'!S40</f>
        <v/>
      </c>
      <c r="T4782">
        <f>'02_Модель'!T40</f>
        <v/>
      </c>
      <c r="U4782">
        <f>'02_Модель'!U40</f>
        <v/>
      </c>
      <c r="V4782">
        <f>'02_Модель'!V40</f>
        <v/>
      </c>
      <c r="W4782">
        <f>'02_Модель'!W40</f>
        <v/>
      </c>
      <c r="X4782">
        <f>'02_Модель'!X40</f>
        <v/>
      </c>
      <c r="Y4782">
        <f>'02_Модель'!Y40</f>
        <v/>
      </c>
      <c r="Z4782">
        <f>'02_Модель'!Z40</f>
        <v/>
      </c>
      <c r="AA4782">
        <f>'02_Модель'!AA40</f>
        <v/>
      </c>
      <c r="AB4782">
        <f>'02_Модель'!AB40</f>
        <v/>
      </c>
      <c r="AC4782">
        <f>'02_Модель'!AC40</f>
        <v/>
      </c>
      <c r="AD4782">
        <f>'02_Модель'!AD40</f>
        <v/>
      </c>
      <c r="AE4782">
        <f>'02_Модель'!AE40</f>
        <v/>
      </c>
      <c r="AF4782">
        <f>'02_Модель'!AF40</f>
        <v/>
      </c>
      <c r="AG4782">
        <f>'02_Модель'!AG40</f>
        <v/>
      </c>
      <c r="AH4782">
        <f>'02_Модель'!AH40</f>
        <v/>
      </c>
      <c r="AI4782">
        <f>'02_Модель'!AI40</f>
        <v/>
      </c>
      <c r="AJ4782">
        <f>'02_Модель'!AJ40</f>
        <v/>
      </c>
      <c r="AK4782">
        <f>'02_Модель'!AK40</f>
        <v/>
      </c>
      <c r="AL4782">
        <f>'02_Модель'!AL40</f>
        <v/>
      </c>
      <c r="AM4782">
        <f>'02_Модель'!AM40</f>
        <v/>
      </c>
      <c r="AN4782">
        <f>'02_Модель'!AN40</f>
        <v/>
      </c>
      <c r="AO4782">
        <f>'02_Модель'!AO40</f>
        <v/>
      </c>
      <c r="AP4782">
        <f>'02_Модель'!AP40</f>
        <v/>
      </c>
      <c r="AQ4782">
        <f>'02_Модель'!AQ40</f>
        <v/>
      </c>
      <c r="AR4782">
        <f>'02_Модель'!AR40</f>
        <v/>
      </c>
      <c r="AS4782">
        <f>'02_Модель'!AS40</f>
        <v/>
      </c>
      <c r="AT4782">
        <f>'02_Модель'!AT40</f>
        <v/>
      </c>
      <c r="AU4782">
        <f>'02_Модель'!AU40</f>
        <v/>
      </c>
      <c r="AV4782">
        <f>'02_Модель'!AV40</f>
        <v/>
      </c>
      <c r="AW4782">
        <f>'02_Модель'!AW40</f>
        <v/>
      </c>
      <c r="AX4782">
        <f>'02_Модель'!AX40</f>
        <v/>
      </c>
      <c r="AY4782">
        <f>'02_Модель'!AY40</f>
        <v/>
      </c>
      <c r="AZ4782">
        <f>'02_Модель'!AZ40</f>
        <v/>
      </c>
      <c r="BA4782">
        <f>'02_Модель'!BA40</f>
        <v/>
      </c>
      <c r="BB4782">
        <f>'02_Модель'!BB40</f>
        <v/>
      </c>
      <c r="BC4782">
        <f>'02_Модель'!BC40</f>
        <v/>
      </c>
      <c r="BD4782">
        <f>'02_Модель'!BD40</f>
        <v/>
      </c>
      <c r="BE4782">
        <f>'02_Модель'!BE40</f>
        <v/>
      </c>
      <c r="BF4782">
        <f>'02_Модель'!BF40</f>
        <v/>
      </c>
      <c r="BG4782">
        <f>'02_Модель'!BG40</f>
        <v/>
      </c>
      <c r="BH4782">
        <f>'02_Модель'!BH40</f>
        <v/>
      </c>
      <c r="BI4782">
        <f>'02_Модель'!BI40</f>
        <v/>
      </c>
    </row>
    <row r="4783">
      <c r="B4783">
        <f>'02_Модель'!B41</f>
        <v/>
      </c>
      <c r="C4783">
        <f>'02_Модель'!C41</f>
        <v/>
      </c>
      <c r="D4783">
        <f>'02_Модель'!D41</f>
        <v/>
      </c>
      <c r="E4783">
        <f>'02_Модель'!E41</f>
        <v/>
      </c>
      <c r="F4783">
        <f>'02_Модель'!F41</f>
        <v/>
      </c>
      <c r="G4783">
        <f>'02_Модель'!G41</f>
        <v/>
      </c>
      <c r="H4783">
        <f>'02_Модель'!H41</f>
        <v/>
      </c>
      <c r="I4783">
        <f>'02_Модель'!I41</f>
        <v/>
      </c>
      <c r="J4783">
        <f>'02_Модель'!J41</f>
        <v/>
      </c>
      <c r="K4783">
        <f>'02_Модель'!K41</f>
        <v/>
      </c>
      <c r="L4783">
        <f>'02_Модель'!L41</f>
        <v/>
      </c>
      <c r="M4783">
        <f>'02_Модель'!M41</f>
        <v/>
      </c>
      <c r="N4783">
        <f>'02_Модель'!N41</f>
        <v/>
      </c>
      <c r="O4783">
        <f>'02_Модель'!O41</f>
        <v/>
      </c>
      <c r="P4783">
        <f>'02_Модель'!P41</f>
        <v/>
      </c>
      <c r="Q4783">
        <f>'02_Модель'!Q41</f>
        <v/>
      </c>
      <c r="R4783">
        <f>'02_Модель'!R41</f>
        <v/>
      </c>
      <c r="S4783">
        <f>'02_Модель'!S41</f>
        <v/>
      </c>
      <c r="T4783">
        <f>'02_Модель'!T41</f>
        <v/>
      </c>
      <c r="U4783">
        <f>'02_Модель'!U41</f>
        <v/>
      </c>
      <c r="V4783">
        <f>'02_Модель'!V41</f>
        <v/>
      </c>
      <c r="W4783">
        <f>'02_Модель'!W41</f>
        <v/>
      </c>
      <c r="X4783">
        <f>'02_Модель'!X41</f>
        <v/>
      </c>
      <c r="Y4783">
        <f>'02_Модель'!Y41</f>
        <v/>
      </c>
      <c r="Z4783">
        <f>'02_Модель'!Z41</f>
        <v/>
      </c>
      <c r="AA4783">
        <f>'02_Модель'!AA41</f>
        <v/>
      </c>
      <c r="AB4783">
        <f>'02_Модель'!AB41</f>
        <v/>
      </c>
      <c r="AC4783">
        <f>'02_Модель'!AC41</f>
        <v/>
      </c>
      <c r="AD4783">
        <f>'02_Модель'!AD41</f>
        <v/>
      </c>
      <c r="AE4783">
        <f>'02_Модель'!AE41</f>
        <v/>
      </c>
      <c r="AF4783">
        <f>'02_Модель'!AF41</f>
        <v/>
      </c>
      <c r="AG4783">
        <f>'02_Модель'!AG41</f>
        <v/>
      </c>
      <c r="AH4783">
        <f>'02_Модель'!AH41</f>
        <v/>
      </c>
      <c r="AI4783">
        <f>'02_Модель'!AI41</f>
        <v/>
      </c>
      <c r="AJ4783">
        <f>'02_Модель'!AJ41</f>
        <v/>
      </c>
      <c r="AK4783">
        <f>'02_Модель'!AK41</f>
        <v/>
      </c>
      <c r="AL4783">
        <f>'02_Модель'!AL41</f>
        <v/>
      </c>
      <c r="AM4783">
        <f>'02_Модель'!AM41</f>
        <v/>
      </c>
      <c r="AN4783">
        <f>'02_Модель'!AN41</f>
        <v/>
      </c>
      <c r="AO4783">
        <f>'02_Модель'!AO41</f>
        <v/>
      </c>
      <c r="AP4783">
        <f>'02_Модель'!AP41</f>
        <v/>
      </c>
      <c r="AQ4783">
        <f>'02_Модель'!AQ41</f>
        <v/>
      </c>
      <c r="AR4783">
        <f>'02_Модель'!AR41</f>
        <v/>
      </c>
      <c r="AS4783">
        <f>'02_Модель'!AS41</f>
        <v/>
      </c>
      <c r="AT4783">
        <f>'02_Модель'!AT41</f>
        <v/>
      </c>
      <c r="AU4783">
        <f>'02_Модель'!AU41</f>
        <v/>
      </c>
      <c r="AV4783">
        <f>'02_Модель'!AV41</f>
        <v/>
      </c>
      <c r="AW4783">
        <f>'02_Модель'!AW41</f>
        <v/>
      </c>
      <c r="AX4783">
        <f>'02_Модель'!AX41</f>
        <v/>
      </c>
      <c r="AY4783">
        <f>'02_Модель'!AY41</f>
        <v/>
      </c>
      <c r="AZ4783">
        <f>'02_Модель'!AZ41</f>
        <v/>
      </c>
      <c r="BA4783">
        <f>'02_Модель'!BA41</f>
        <v/>
      </c>
      <c r="BB4783">
        <f>'02_Модель'!BB41</f>
        <v/>
      </c>
      <c r="BC4783">
        <f>'02_Модель'!BC41</f>
        <v/>
      </c>
      <c r="BD4783">
        <f>'02_Модель'!BD41</f>
        <v/>
      </c>
      <c r="BE4783">
        <f>'02_Модель'!BE41</f>
        <v/>
      </c>
      <c r="BF4783">
        <f>'02_Модель'!BF41</f>
        <v/>
      </c>
      <c r="BG4783">
        <f>'02_Модель'!BG41</f>
        <v/>
      </c>
      <c r="BH4783">
        <f>'02_Модель'!BH41</f>
        <v/>
      </c>
      <c r="BI4783">
        <f>'02_Модель'!BI41</f>
        <v/>
      </c>
    </row>
    <row r="4784">
      <c r="B4784">
        <f>IF('01_Вводные'!$B$234="Да",'19_Расчет_аналитики'!B4394,0)</f>
        <v/>
      </c>
      <c r="C4784">
        <f>IF('01_Вводные'!$B$234="Да",'19_Расчет_аналитики'!C4394,0)</f>
        <v/>
      </c>
      <c r="D4784">
        <f>IF('01_Вводные'!$B$234="Да",'19_Расчет_аналитики'!D4394,0)</f>
        <v/>
      </c>
      <c r="E4784">
        <f>IF('01_Вводные'!$B$234="Да",'19_Расчет_аналитики'!E4394,0)</f>
        <v/>
      </c>
      <c r="F4784">
        <f>IF('01_Вводные'!$B$234="Да",'19_Расчет_аналитики'!F4394,0)</f>
        <v/>
      </c>
      <c r="G4784">
        <f>IF('01_Вводные'!$B$234="Да",'19_Расчет_аналитики'!G4394,0)</f>
        <v/>
      </c>
      <c r="H4784">
        <f>IF('01_Вводные'!$B$234="Да",'19_Расчет_аналитики'!H4394,0)</f>
        <v/>
      </c>
      <c r="I4784">
        <f>IF('01_Вводные'!$B$234="Да",'19_Расчет_аналитики'!I4394,0)</f>
        <v/>
      </c>
      <c r="J4784">
        <f>IF('01_Вводные'!$B$234="Да",'19_Расчет_аналитики'!J4394,0)</f>
        <v/>
      </c>
      <c r="K4784">
        <f>IF('01_Вводные'!$B$234="Да",'19_Расчет_аналитики'!K4394,0)</f>
        <v/>
      </c>
      <c r="L4784">
        <f>IF('01_Вводные'!$B$234="Да",'19_Расчет_аналитики'!L4394,0)</f>
        <v/>
      </c>
      <c r="M4784">
        <f>IF('01_Вводные'!$B$234="Да",'19_Расчет_аналитики'!M4394,0)</f>
        <v/>
      </c>
      <c r="N4784">
        <f>IF('01_Вводные'!$B$234="Да",'19_Расчет_аналитики'!N4394,0)</f>
        <v/>
      </c>
      <c r="O4784">
        <f>IF('01_Вводные'!$B$234="Да",'19_Расчет_аналитики'!O4394,0)</f>
        <v/>
      </c>
      <c r="P4784">
        <f>IF('01_Вводные'!$B$234="Да",'19_Расчет_аналитики'!P4394,0)</f>
        <v/>
      </c>
      <c r="Q4784">
        <f>IF('01_Вводные'!$B$234="Да",'19_Расчет_аналитики'!Q4394,0)</f>
        <v/>
      </c>
      <c r="R4784">
        <f>IF('01_Вводные'!$B$234="Да",'19_Расчет_аналитики'!R4394,0)</f>
        <v/>
      </c>
      <c r="S4784">
        <f>IF('01_Вводные'!$B$234="Да",'19_Расчет_аналитики'!S4394,0)</f>
        <v/>
      </c>
      <c r="T4784">
        <f>IF('01_Вводные'!$B$234="Да",'19_Расчет_аналитики'!T4394,0)</f>
        <v/>
      </c>
      <c r="U4784">
        <f>IF('01_Вводные'!$B$234="Да",'19_Расчет_аналитики'!U4394,0)</f>
        <v/>
      </c>
      <c r="V4784">
        <f>IF('01_Вводные'!$B$234="Да",'19_Расчет_аналитики'!V4394,0)</f>
        <v/>
      </c>
      <c r="W4784">
        <f>IF('01_Вводные'!$B$234="Да",'19_Расчет_аналитики'!W4394,0)</f>
        <v/>
      </c>
      <c r="X4784">
        <f>IF('01_Вводные'!$B$234="Да",'19_Расчет_аналитики'!X4394,0)</f>
        <v/>
      </c>
      <c r="Y4784">
        <f>IF('01_Вводные'!$B$234="Да",'19_Расчет_аналитики'!Y4394,0)</f>
        <v/>
      </c>
      <c r="Z4784">
        <f>IF('01_Вводные'!$B$234="Да",'19_Расчет_аналитики'!Z4394,0)</f>
        <v/>
      </c>
      <c r="AA4784">
        <f>IF('01_Вводные'!$B$234="Да",'19_Расчет_аналитики'!AA4394,0)</f>
        <v/>
      </c>
      <c r="AB4784">
        <f>IF('01_Вводные'!$B$234="Да",'19_Расчет_аналитики'!AB4394,0)</f>
        <v/>
      </c>
      <c r="AC4784">
        <f>IF('01_Вводные'!$B$234="Да",'19_Расчет_аналитики'!AC4394,0)</f>
        <v/>
      </c>
      <c r="AD4784">
        <f>IF('01_Вводные'!$B$234="Да",'19_Расчет_аналитики'!AD4394,0)</f>
        <v/>
      </c>
      <c r="AE4784">
        <f>IF('01_Вводные'!$B$234="Да",'19_Расчет_аналитики'!AE4394,0)</f>
        <v/>
      </c>
      <c r="AF4784">
        <f>IF('01_Вводные'!$B$234="Да",'19_Расчет_аналитики'!AF4394,0)</f>
        <v/>
      </c>
      <c r="AG4784">
        <f>IF('01_Вводные'!$B$234="Да",'19_Расчет_аналитики'!AG4394,0)</f>
        <v/>
      </c>
      <c r="AH4784">
        <f>IF('01_Вводные'!$B$234="Да",'19_Расчет_аналитики'!AH4394,0)</f>
        <v/>
      </c>
      <c r="AI4784">
        <f>IF('01_Вводные'!$B$234="Да",'19_Расчет_аналитики'!AI4394,0)</f>
        <v/>
      </c>
      <c r="AJ4784">
        <f>IF('01_Вводные'!$B$234="Да",'19_Расчет_аналитики'!AJ4394,0)</f>
        <v/>
      </c>
      <c r="AK4784">
        <f>IF('01_Вводные'!$B$234="Да",'19_Расчет_аналитики'!AK4394,0)</f>
        <v/>
      </c>
      <c r="AL4784">
        <f>IF('01_Вводные'!$B$234="Да",'19_Расчет_аналитики'!AL4394,0)</f>
        <v/>
      </c>
      <c r="AM4784">
        <f>IF('01_Вводные'!$B$234="Да",'19_Расчет_аналитики'!AM4394,0)</f>
        <v/>
      </c>
      <c r="AN4784">
        <f>IF('01_Вводные'!$B$234="Да",'19_Расчет_аналитики'!AN4394,0)</f>
        <v/>
      </c>
      <c r="AO4784">
        <f>IF('01_Вводные'!$B$234="Да",'19_Расчет_аналитики'!AO4394,0)</f>
        <v/>
      </c>
      <c r="AP4784">
        <f>IF('01_Вводные'!$B$234="Да",'19_Расчет_аналитики'!AP4394,0)</f>
        <v/>
      </c>
      <c r="AQ4784">
        <f>IF('01_Вводные'!$B$234="Да",'19_Расчет_аналитики'!AQ4394,0)</f>
        <v/>
      </c>
      <c r="AR4784">
        <f>IF('01_Вводные'!$B$234="Да",'19_Расчет_аналитики'!AR4394,0)</f>
        <v/>
      </c>
      <c r="AS4784">
        <f>IF('01_Вводные'!$B$234="Да",'19_Расчет_аналитики'!AS4394,0)</f>
        <v/>
      </c>
      <c r="AT4784">
        <f>IF('01_Вводные'!$B$234="Да",'19_Расчет_аналитики'!AT4394,0)</f>
        <v/>
      </c>
      <c r="AU4784">
        <f>IF('01_Вводные'!$B$234="Да",'19_Расчет_аналитики'!AU4394,0)</f>
        <v/>
      </c>
      <c r="AV4784">
        <f>IF('01_Вводные'!$B$234="Да",'19_Расчет_аналитики'!AV4394,0)</f>
        <v/>
      </c>
      <c r="AW4784">
        <f>IF('01_Вводные'!$B$234="Да",'19_Расчет_аналитики'!AW4394,0)</f>
        <v/>
      </c>
      <c r="AX4784">
        <f>IF('01_Вводные'!$B$234="Да",'19_Расчет_аналитики'!AX4394,0)</f>
        <v/>
      </c>
      <c r="AY4784">
        <f>IF('01_Вводные'!$B$234="Да",'19_Расчет_аналитики'!AY4394,0)</f>
        <v/>
      </c>
      <c r="AZ4784">
        <f>IF('01_Вводные'!$B$234="Да",'19_Расчет_аналитики'!AZ4394,0)</f>
        <v/>
      </c>
      <c r="BA4784">
        <f>IF('01_Вводные'!$B$234="Да",'19_Расчет_аналитики'!BA4394,0)</f>
        <v/>
      </c>
      <c r="BB4784">
        <f>IF('01_Вводные'!$B$234="Да",'19_Расчет_аналитики'!BB4394,0)</f>
        <v/>
      </c>
      <c r="BC4784">
        <f>IF('01_Вводные'!$B$234="Да",'19_Расчет_аналитики'!BC4394,0)</f>
        <v/>
      </c>
      <c r="BD4784">
        <f>IF('01_Вводные'!$B$234="Да",'19_Расчет_аналитики'!BD4394,0)</f>
        <v/>
      </c>
      <c r="BE4784">
        <f>IF('01_Вводные'!$B$234="Да",'19_Расчет_аналитики'!BE4394,0)</f>
        <v/>
      </c>
      <c r="BF4784">
        <f>IF('01_Вводные'!$B$234="Да",'19_Расчет_аналитики'!BF4394,0)</f>
        <v/>
      </c>
      <c r="BG4784">
        <f>IF('01_Вводные'!$B$234="Да",'19_Расчет_аналитики'!BG4394,0)</f>
        <v/>
      </c>
      <c r="BH4784">
        <f>IF('01_Вводные'!$B$234="Да",'19_Расчет_аналитики'!BH4394,0)</f>
        <v/>
      </c>
      <c r="BI4784">
        <f>IF('01_Вводные'!$B$234="Да",'19_Расчет_аналитики'!BI4394,0)</f>
        <v/>
      </c>
    </row>
    <row r="4785">
      <c r="B4785">
        <f>IF('01_Вводные'!$B$234="Да",SUM('19_Расчет_аналитики'!B4778:B4784),0)</f>
        <v/>
      </c>
      <c r="C4785">
        <f>IF('01_Вводные'!$B$234="Да",SUM('19_Расчет_аналитики'!C4778:C4784),0)</f>
        <v/>
      </c>
      <c r="D4785">
        <f>IF('01_Вводные'!$B$234="Да",SUM('19_Расчет_аналитики'!D4778:D4784),0)</f>
        <v/>
      </c>
      <c r="E4785">
        <f>IF('01_Вводные'!$B$234="Да",SUM('19_Расчет_аналитики'!E4778:E4784),0)</f>
        <v/>
      </c>
      <c r="F4785">
        <f>IF('01_Вводные'!$B$234="Да",SUM('19_Расчет_аналитики'!F4778:F4784),0)</f>
        <v/>
      </c>
      <c r="G4785">
        <f>IF('01_Вводные'!$B$234="Да",SUM('19_Расчет_аналитики'!G4778:G4784),0)</f>
        <v/>
      </c>
      <c r="H4785">
        <f>IF('01_Вводные'!$B$234="Да",SUM('19_Расчет_аналитики'!H4778:H4784),0)</f>
        <v/>
      </c>
      <c r="I4785">
        <f>IF('01_Вводные'!$B$234="Да",SUM('19_Расчет_аналитики'!I4778:I4784),0)</f>
        <v/>
      </c>
      <c r="J4785">
        <f>IF('01_Вводные'!$B$234="Да",SUM('19_Расчет_аналитики'!J4778:J4784),0)</f>
        <v/>
      </c>
      <c r="K4785">
        <f>IF('01_Вводные'!$B$234="Да",SUM('19_Расчет_аналитики'!K4778:K4784),0)</f>
        <v/>
      </c>
      <c r="L4785">
        <f>IF('01_Вводные'!$B$234="Да",SUM('19_Расчет_аналитики'!L4778:L4784),0)</f>
        <v/>
      </c>
      <c r="M4785">
        <f>IF('01_Вводные'!$B$234="Да",SUM('19_Расчет_аналитики'!M4778:M4784),0)</f>
        <v/>
      </c>
      <c r="N4785">
        <f>IF('01_Вводные'!$B$234="Да",SUM('19_Расчет_аналитики'!N4778:N4784),0)</f>
        <v/>
      </c>
      <c r="O4785">
        <f>IF('01_Вводные'!$B$234="Да",SUM('19_Расчет_аналитики'!O4778:O4784),0)</f>
        <v/>
      </c>
      <c r="P4785">
        <f>IF('01_Вводные'!$B$234="Да",SUM('19_Расчет_аналитики'!P4778:P4784),0)</f>
        <v/>
      </c>
      <c r="Q4785">
        <f>IF('01_Вводные'!$B$234="Да",SUM('19_Расчет_аналитики'!Q4778:Q4784),0)</f>
        <v/>
      </c>
      <c r="R4785">
        <f>IF('01_Вводные'!$B$234="Да",SUM('19_Расчет_аналитики'!R4778:R4784),0)</f>
        <v/>
      </c>
      <c r="S4785">
        <f>IF('01_Вводные'!$B$234="Да",SUM('19_Расчет_аналитики'!S4778:S4784),0)</f>
        <v/>
      </c>
      <c r="T4785">
        <f>IF('01_Вводные'!$B$234="Да",SUM('19_Расчет_аналитики'!T4778:T4784),0)</f>
        <v/>
      </c>
      <c r="U4785">
        <f>IF('01_Вводные'!$B$234="Да",SUM('19_Расчет_аналитики'!U4778:U4784),0)</f>
        <v/>
      </c>
      <c r="V4785">
        <f>IF('01_Вводные'!$B$234="Да",SUM('19_Расчет_аналитики'!V4778:V4784),0)</f>
        <v/>
      </c>
      <c r="W4785">
        <f>IF('01_Вводные'!$B$234="Да",SUM('19_Расчет_аналитики'!W4778:W4784),0)</f>
        <v/>
      </c>
      <c r="X4785">
        <f>IF('01_Вводные'!$B$234="Да",SUM('19_Расчет_аналитики'!X4778:X4784),0)</f>
        <v/>
      </c>
      <c r="Y4785">
        <f>IF('01_Вводные'!$B$234="Да",SUM('19_Расчет_аналитики'!Y4778:Y4784),0)</f>
        <v/>
      </c>
      <c r="Z4785">
        <f>IF('01_Вводные'!$B$234="Да",SUM('19_Расчет_аналитики'!Z4778:Z4784),0)</f>
        <v/>
      </c>
      <c r="AA4785">
        <f>IF('01_Вводные'!$B$234="Да",SUM('19_Расчет_аналитики'!AA4778:AA4784),0)</f>
        <v/>
      </c>
      <c r="AB4785">
        <f>IF('01_Вводные'!$B$234="Да",SUM('19_Расчет_аналитики'!AB4778:AB4784),0)</f>
        <v/>
      </c>
      <c r="AC4785">
        <f>IF('01_Вводные'!$B$234="Да",SUM('19_Расчет_аналитики'!AC4778:AC4784),0)</f>
        <v/>
      </c>
      <c r="AD4785">
        <f>IF('01_Вводные'!$B$234="Да",SUM('19_Расчет_аналитики'!AD4778:AD4784),0)</f>
        <v/>
      </c>
      <c r="AE4785">
        <f>IF('01_Вводные'!$B$234="Да",SUM('19_Расчет_аналитики'!AE4778:AE4784),0)</f>
        <v/>
      </c>
      <c r="AF4785">
        <f>IF('01_Вводные'!$B$234="Да",SUM('19_Расчет_аналитики'!AF4778:AF4784),0)</f>
        <v/>
      </c>
      <c r="AG4785">
        <f>IF('01_Вводные'!$B$234="Да",SUM('19_Расчет_аналитики'!AG4778:AG4784),0)</f>
        <v/>
      </c>
      <c r="AH4785">
        <f>IF('01_Вводные'!$B$234="Да",SUM('19_Расчет_аналитики'!AH4778:AH4784),0)</f>
        <v/>
      </c>
      <c r="AI4785">
        <f>IF('01_Вводные'!$B$234="Да",SUM('19_Расчет_аналитики'!AI4778:AI4784),0)</f>
        <v/>
      </c>
      <c r="AJ4785">
        <f>IF('01_Вводные'!$B$234="Да",SUM('19_Расчет_аналитики'!AJ4778:AJ4784),0)</f>
        <v/>
      </c>
      <c r="AK4785">
        <f>IF('01_Вводные'!$B$234="Да",SUM('19_Расчет_аналитики'!AK4778:AK4784),0)</f>
        <v/>
      </c>
      <c r="AL4785">
        <f>IF('01_Вводные'!$B$234="Да",SUM('19_Расчет_аналитики'!AL4778:AL4784),0)</f>
        <v/>
      </c>
      <c r="AM4785">
        <f>IF('01_Вводные'!$B$234="Да",SUM('19_Расчет_аналитики'!AM4778:AM4784),0)</f>
        <v/>
      </c>
      <c r="AN4785">
        <f>IF('01_Вводные'!$B$234="Да",SUM('19_Расчет_аналитики'!AN4778:AN4784),0)</f>
        <v/>
      </c>
      <c r="AO4785">
        <f>IF('01_Вводные'!$B$234="Да",SUM('19_Расчет_аналитики'!AO4778:AO4784),0)</f>
        <v/>
      </c>
      <c r="AP4785">
        <f>IF('01_Вводные'!$B$234="Да",SUM('19_Расчет_аналитики'!AP4778:AP4784),0)</f>
        <v/>
      </c>
      <c r="AQ4785">
        <f>IF('01_Вводные'!$B$234="Да",SUM('19_Расчет_аналитики'!AQ4778:AQ4784),0)</f>
        <v/>
      </c>
      <c r="AR4785">
        <f>IF('01_Вводные'!$B$234="Да",SUM('19_Расчет_аналитики'!AR4778:AR4784),0)</f>
        <v/>
      </c>
      <c r="AS4785">
        <f>IF('01_Вводные'!$B$234="Да",SUM('19_Расчет_аналитики'!AS4778:AS4784),0)</f>
        <v/>
      </c>
      <c r="AT4785">
        <f>IF('01_Вводные'!$B$234="Да",SUM('19_Расчет_аналитики'!AT4778:AT4784),0)</f>
        <v/>
      </c>
      <c r="AU4785">
        <f>IF('01_Вводные'!$B$234="Да",SUM('19_Расчет_аналитики'!AU4778:AU4784),0)</f>
        <v/>
      </c>
      <c r="AV4785">
        <f>IF('01_Вводные'!$B$234="Да",SUM('19_Расчет_аналитики'!AV4778:AV4784),0)</f>
        <v/>
      </c>
      <c r="AW4785">
        <f>IF('01_Вводные'!$B$234="Да",SUM('19_Расчет_аналитики'!AW4778:AW4784),0)</f>
        <v/>
      </c>
      <c r="AX4785">
        <f>IF('01_Вводные'!$B$234="Да",SUM('19_Расчет_аналитики'!AX4778:AX4784),0)</f>
        <v/>
      </c>
      <c r="AY4785">
        <f>IF('01_Вводные'!$B$234="Да",SUM('19_Расчет_аналитики'!AY4778:AY4784),0)</f>
        <v/>
      </c>
      <c r="AZ4785">
        <f>IF('01_Вводные'!$B$234="Да",SUM('19_Расчет_аналитики'!AZ4778:AZ4784),0)</f>
        <v/>
      </c>
      <c r="BA4785">
        <f>IF('01_Вводные'!$B$234="Да",SUM('19_Расчет_аналитики'!BA4778:BA4784),0)</f>
        <v/>
      </c>
      <c r="BB4785">
        <f>IF('01_Вводные'!$B$234="Да",SUM('19_Расчет_аналитики'!BB4778:BB4784),0)</f>
        <v/>
      </c>
      <c r="BC4785">
        <f>IF('01_Вводные'!$B$234="Да",SUM('19_Расчет_аналитики'!BC4778:BC4784),0)</f>
        <v/>
      </c>
      <c r="BD4785">
        <f>IF('01_Вводные'!$B$234="Да",SUM('19_Расчет_аналитики'!BD4778:BD4784),0)</f>
        <v/>
      </c>
      <c r="BE4785">
        <f>IF('01_Вводные'!$B$234="Да",SUM('19_Расчет_аналитики'!BE4778:BE4784),0)</f>
        <v/>
      </c>
      <c r="BF4785">
        <f>IF('01_Вводные'!$B$234="Да",SUM('19_Расчет_аналитики'!BF4778:BF4784),0)</f>
        <v/>
      </c>
      <c r="BG4785">
        <f>IF('01_Вводные'!$B$234="Да",SUM('19_Расчет_аналитики'!BG4778:BG4784),0)</f>
        <v/>
      </c>
      <c r="BH4785">
        <f>IF('01_Вводные'!$B$234="Да",SUM('19_Расчет_аналитики'!BH4778:BH4784),0)</f>
        <v/>
      </c>
      <c r="BI4785">
        <f>IF('01_Вводные'!$B$234="Да",SUM('19_Расчет_аналитики'!BI4778:BI4784),0)</f>
        <v/>
      </c>
    </row>
    <row r="4786">
      <c r="B4786">
        <f>IF('01_Вводные'!$B$234="Да",'19_Расчет_аналитики'!B4775-'19_Расчет_аналитики'!B4785,0)</f>
        <v/>
      </c>
      <c r="C4786">
        <f>IF('01_Вводные'!$B$234="Да",'19_Расчет_аналитики'!C4775-'19_Расчет_аналитики'!C4785,0)</f>
        <v/>
      </c>
      <c r="D4786">
        <f>IF('01_Вводные'!$B$234="Да",'19_Расчет_аналитики'!D4775-'19_Расчет_аналитики'!D4785,0)</f>
        <v/>
      </c>
      <c r="E4786">
        <f>IF('01_Вводные'!$B$234="Да",'19_Расчет_аналитики'!E4775-'19_Расчет_аналитики'!E4785,0)</f>
        <v/>
      </c>
      <c r="F4786">
        <f>IF('01_Вводные'!$B$234="Да",'19_Расчет_аналитики'!F4775-'19_Расчет_аналитики'!F4785,0)</f>
        <v/>
      </c>
      <c r="G4786">
        <f>IF('01_Вводные'!$B$234="Да",'19_Расчет_аналитики'!G4775-'19_Расчет_аналитики'!G4785,0)</f>
        <v/>
      </c>
      <c r="H4786">
        <f>IF('01_Вводные'!$B$234="Да",'19_Расчет_аналитики'!H4775-'19_Расчет_аналитики'!H4785,0)</f>
        <v/>
      </c>
      <c r="I4786">
        <f>IF('01_Вводные'!$B$234="Да",'19_Расчет_аналитики'!I4775-'19_Расчет_аналитики'!I4785,0)</f>
        <v/>
      </c>
      <c r="J4786">
        <f>IF('01_Вводные'!$B$234="Да",'19_Расчет_аналитики'!J4775-'19_Расчет_аналитики'!J4785,0)</f>
        <v/>
      </c>
      <c r="K4786">
        <f>IF('01_Вводные'!$B$234="Да",'19_Расчет_аналитики'!K4775-'19_Расчет_аналитики'!K4785,0)</f>
        <v/>
      </c>
      <c r="L4786">
        <f>IF('01_Вводные'!$B$234="Да",'19_Расчет_аналитики'!L4775-'19_Расчет_аналитики'!L4785,0)</f>
        <v/>
      </c>
      <c r="M4786">
        <f>IF('01_Вводные'!$B$234="Да",'19_Расчет_аналитики'!M4775-'19_Расчет_аналитики'!M4785,0)</f>
        <v/>
      </c>
      <c r="N4786">
        <f>IF('01_Вводные'!$B$234="Да",'19_Расчет_аналитики'!N4775-'19_Расчет_аналитики'!N4785,0)</f>
        <v/>
      </c>
      <c r="O4786">
        <f>IF('01_Вводные'!$B$234="Да",'19_Расчет_аналитики'!O4775-'19_Расчет_аналитики'!O4785,0)</f>
        <v/>
      </c>
      <c r="P4786">
        <f>IF('01_Вводные'!$B$234="Да",'19_Расчет_аналитики'!P4775-'19_Расчет_аналитики'!P4785,0)</f>
        <v/>
      </c>
      <c r="Q4786">
        <f>IF('01_Вводные'!$B$234="Да",'19_Расчет_аналитики'!Q4775-'19_Расчет_аналитики'!Q4785,0)</f>
        <v/>
      </c>
      <c r="R4786">
        <f>IF('01_Вводные'!$B$234="Да",'19_Расчет_аналитики'!R4775-'19_Расчет_аналитики'!R4785,0)</f>
        <v/>
      </c>
      <c r="S4786">
        <f>IF('01_Вводные'!$B$234="Да",'19_Расчет_аналитики'!S4775-'19_Расчет_аналитики'!S4785,0)</f>
        <v/>
      </c>
      <c r="T4786">
        <f>IF('01_Вводные'!$B$234="Да",'19_Расчет_аналитики'!T4775-'19_Расчет_аналитики'!T4785,0)</f>
        <v/>
      </c>
      <c r="U4786">
        <f>IF('01_Вводные'!$B$234="Да",'19_Расчет_аналитики'!U4775-'19_Расчет_аналитики'!U4785,0)</f>
        <v/>
      </c>
      <c r="V4786">
        <f>IF('01_Вводные'!$B$234="Да",'19_Расчет_аналитики'!V4775-'19_Расчет_аналитики'!V4785,0)</f>
        <v/>
      </c>
      <c r="W4786">
        <f>IF('01_Вводные'!$B$234="Да",'19_Расчет_аналитики'!W4775-'19_Расчет_аналитики'!W4785,0)</f>
        <v/>
      </c>
      <c r="X4786">
        <f>IF('01_Вводные'!$B$234="Да",'19_Расчет_аналитики'!X4775-'19_Расчет_аналитики'!X4785,0)</f>
        <v/>
      </c>
      <c r="Y4786">
        <f>IF('01_Вводные'!$B$234="Да",'19_Расчет_аналитики'!Y4775-'19_Расчет_аналитики'!Y4785,0)</f>
        <v/>
      </c>
      <c r="Z4786">
        <f>IF('01_Вводные'!$B$234="Да",'19_Расчет_аналитики'!Z4775-'19_Расчет_аналитики'!Z4785,0)</f>
        <v/>
      </c>
      <c r="AA4786">
        <f>IF('01_Вводные'!$B$234="Да",'19_Расчет_аналитики'!AA4775-'19_Расчет_аналитики'!AA4785,0)</f>
        <v/>
      </c>
      <c r="AB4786">
        <f>IF('01_Вводные'!$B$234="Да",'19_Расчет_аналитики'!AB4775-'19_Расчет_аналитики'!AB4785,0)</f>
        <v/>
      </c>
      <c r="AC4786">
        <f>IF('01_Вводные'!$B$234="Да",'19_Расчет_аналитики'!AC4775-'19_Расчет_аналитики'!AC4785,0)</f>
        <v/>
      </c>
      <c r="AD4786">
        <f>IF('01_Вводные'!$B$234="Да",'19_Расчет_аналитики'!AD4775-'19_Расчет_аналитики'!AD4785,0)</f>
        <v/>
      </c>
      <c r="AE4786">
        <f>IF('01_Вводные'!$B$234="Да",'19_Расчет_аналитики'!AE4775-'19_Расчет_аналитики'!AE4785,0)</f>
        <v/>
      </c>
      <c r="AF4786">
        <f>IF('01_Вводные'!$B$234="Да",'19_Расчет_аналитики'!AF4775-'19_Расчет_аналитики'!AF4785,0)</f>
        <v/>
      </c>
      <c r="AG4786">
        <f>IF('01_Вводные'!$B$234="Да",'19_Расчет_аналитики'!AG4775-'19_Расчет_аналитики'!AG4785,0)</f>
        <v/>
      </c>
      <c r="AH4786">
        <f>IF('01_Вводные'!$B$234="Да",'19_Расчет_аналитики'!AH4775-'19_Расчет_аналитики'!AH4785,0)</f>
        <v/>
      </c>
      <c r="AI4786">
        <f>IF('01_Вводные'!$B$234="Да",'19_Расчет_аналитики'!AI4775-'19_Расчет_аналитики'!AI4785,0)</f>
        <v/>
      </c>
      <c r="AJ4786">
        <f>IF('01_Вводные'!$B$234="Да",'19_Расчет_аналитики'!AJ4775-'19_Расчет_аналитики'!AJ4785,0)</f>
        <v/>
      </c>
      <c r="AK4786">
        <f>IF('01_Вводные'!$B$234="Да",'19_Расчет_аналитики'!AK4775-'19_Расчет_аналитики'!AK4785,0)</f>
        <v/>
      </c>
      <c r="AL4786">
        <f>IF('01_Вводные'!$B$234="Да",'19_Расчет_аналитики'!AL4775-'19_Расчет_аналитики'!AL4785,0)</f>
        <v/>
      </c>
      <c r="AM4786">
        <f>IF('01_Вводные'!$B$234="Да",'19_Расчет_аналитики'!AM4775-'19_Расчет_аналитики'!AM4785,0)</f>
        <v/>
      </c>
      <c r="AN4786">
        <f>IF('01_Вводные'!$B$234="Да",'19_Расчет_аналитики'!AN4775-'19_Расчет_аналитики'!AN4785,0)</f>
        <v/>
      </c>
      <c r="AO4786">
        <f>IF('01_Вводные'!$B$234="Да",'19_Расчет_аналитики'!AO4775-'19_Расчет_аналитики'!AO4785,0)</f>
        <v/>
      </c>
      <c r="AP4786">
        <f>IF('01_Вводные'!$B$234="Да",'19_Расчет_аналитики'!AP4775-'19_Расчет_аналитики'!AP4785,0)</f>
        <v/>
      </c>
      <c r="AQ4786">
        <f>IF('01_Вводные'!$B$234="Да",'19_Расчет_аналитики'!AQ4775-'19_Расчет_аналитики'!AQ4785,0)</f>
        <v/>
      </c>
      <c r="AR4786">
        <f>IF('01_Вводные'!$B$234="Да",'19_Расчет_аналитики'!AR4775-'19_Расчет_аналитики'!AR4785,0)</f>
        <v/>
      </c>
      <c r="AS4786">
        <f>IF('01_Вводные'!$B$234="Да",'19_Расчет_аналитики'!AS4775-'19_Расчет_аналитики'!AS4785,0)</f>
        <v/>
      </c>
      <c r="AT4786">
        <f>IF('01_Вводные'!$B$234="Да",'19_Расчет_аналитики'!AT4775-'19_Расчет_аналитики'!AT4785,0)</f>
        <v/>
      </c>
      <c r="AU4786">
        <f>IF('01_Вводные'!$B$234="Да",'19_Расчет_аналитики'!AU4775-'19_Расчет_аналитики'!AU4785,0)</f>
        <v/>
      </c>
      <c r="AV4786">
        <f>IF('01_Вводные'!$B$234="Да",'19_Расчет_аналитики'!AV4775-'19_Расчет_аналитики'!AV4785,0)</f>
        <v/>
      </c>
      <c r="AW4786">
        <f>IF('01_Вводные'!$B$234="Да",'19_Расчет_аналитики'!AW4775-'19_Расчет_аналитики'!AW4785,0)</f>
        <v/>
      </c>
      <c r="AX4786">
        <f>IF('01_Вводные'!$B$234="Да",'19_Расчет_аналитики'!AX4775-'19_Расчет_аналитики'!AX4785,0)</f>
        <v/>
      </c>
      <c r="AY4786">
        <f>IF('01_Вводные'!$B$234="Да",'19_Расчет_аналитики'!AY4775-'19_Расчет_аналитики'!AY4785,0)</f>
        <v/>
      </c>
      <c r="AZ4786">
        <f>IF('01_Вводные'!$B$234="Да",'19_Расчет_аналитики'!AZ4775-'19_Расчет_аналитики'!AZ4785,0)</f>
        <v/>
      </c>
      <c r="BA4786">
        <f>IF('01_Вводные'!$B$234="Да",'19_Расчет_аналитики'!BA4775-'19_Расчет_аналитики'!BA4785,0)</f>
        <v/>
      </c>
      <c r="BB4786">
        <f>IF('01_Вводные'!$B$234="Да",'19_Расчет_аналитики'!BB4775-'19_Расчет_аналитики'!BB4785,0)</f>
        <v/>
      </c>
      <c r="BC4786">
        <f>IF('01_Вводные'!$B$234="Да",'19_Расчет_аналитики'!BC4775-'19_Расчет_аналитики'!BC4785,0)</f>
        <v/>
      </c>
      <c r="BD4786">
        <f>IF('01_Вводные'!$B$234="Да",'19_Расчет_аналитики'!BD4775-'19_Расчет_аналитики'!BD4785,0)</f>
        <v/>
      </c>
      <c r="BE4786">
        <f>IF('01_Вводные'!$B$234="Да",'19_Расчет_аналитики'!BE4775-'19_Расчет_аналитики'!BE4785,0)</f>
        <v/>
      </c>
      <c r="BF4786">
        <f>IF('01_Вводные'!$B$234="Да",'19_Расчет_аналитики'!BF4775-'19_Расчет_аналитики'!BF4785,0)</f>
        <v/>
      </c>
      <c r="BG4786">
        <f>IF('01_Вводные'!$B$234="Да",'19_Расчет_аналитики'!BG4775-'19_Расчет_аналитики'!BG4785,0)</f>
        <v/>
      </c>
      <c r="BH4786">
        <f>IF('01_Вводные'!$B$234="Да",'19_Расчет_аналитики'!BH4775-'19_Расчет_аналитики'!BH4785,0)</f>
        <v/>
      </c>
      <c r="BI4786">
        <f>IF('01_Вводные'!$B$234="Да",'19_Расчет_аналитики'!BI4775-'19_Расчет_аналитики'!BI4785,0)</f>
        <v/>
      </c>
    </row>
    <row r="4787">
      <c r="B4787">
        <f>IF('01_Вводные'!$B$234="Да",IF('19_Расчет_аналитики'!B4765=0,0,'19_Расчет_аналитики'!B4786/'19_Расчет_аналитики'!B4765),0)</f>
        <v/>
      </c>
      <c r="C4787">
        <f>IF('01_Вводные'!$B$234="Да",IF('19_Расчет_аналитики'!C4765=0,0,'19_Расчет_аналитики'!C4786/'19_Расчет_аналитики'!C4765),0)</f>
        <v/>
      </c>
      <c r="D4787">
        <f>IF('01_Вводные'!$B$234="Да",IF('19_Расчет_аналитики'!D4765=0,0,'19_Расчет_аналитики'!D4786/'19_Расчет_аналитики'!D4765),0)</f>
        <v/>
      </c>
      <c r="E4787">
        <f>IF('01_Вводные'!$B$234="Да",IF('19_Расчет_аналитики'!E4765=0,0,'19_Расчет_аналитики'!E4786/'19_Расчет_аналитики'!E4765),0)</f>
        <v/>
      </c>
      <c r="F4787">
        <f>IF('01_Вводные'!$B$234="Да",IF('19_Расчет_аналитики'!F4765=0,0,'19_Расчет_аналитики'!F4786/'19_Расчет_аналитики'!F4765),0)</f>
        <v/>
      </c>
      <c r="G4787">
        <f>IF('01_Вводные'!$B$234="Да",IF('19_Расчет_аналитики'!G4765=0,0,'19_Расчет_аналитики'!G4786/'19_Расчет_аналитики'!G4765),0)</f>
        <v/>
      </c>
      <c r="H4787">
        <f>IF('01_Вводные'!$B$234="Да",IF('19_Расчет_аналитики'!H4765=0,0,'19_Расчет_аналитики'!H4786/'19_Расчет_аналитики'!H4765),0)</f>
        <v/>
      </c>
      <c r="I4787">
        <f>IF('01_Вводные'!$B$234="Да",IF('19_Расчет_аналитики'!I4765=0,0,'19_Расчет_аналитики'!I4786/'19_Расчет_аналитики'!I4765),0)</f>
        <v/>
      </c>
      <c r="J4787">
        <f>IF('01_Вводные'!$B$234="Да",IF('19_Расчет_аналитики'!J4765=0,0,'19_Расчет_аналитики'!J4786/'19_Расчет_аналитики'!J4765),0)</f>
        <v/>
      </c>
      <c r="K4787">
        <f>IF('01_Вводные'!$B$234="Да",IF('19_Расчет_аналитики'!K4765=0,0,'19_Расчет_аналитики'!K4786/'19_Расчет_аналитики'!K4765),0)</f>
        <v/>
      </c>
      <c r="L4787">
        <f>IF('01_Вводные'!$B$234="Да",IF('19_Расчет_аналитики'!L4765=0,0,'19_Расчет_аналитики'!L4786/'19_Расчет_аналитики'!L4765),0)</f>
        <v/>
      </c>
      <c r="M4787">
        <f>IF('01_Вводные'!$B$234="Да",IF('19_Расчет_аналитики'!M4765=0,0,'19_Расчет_аналитики'!M4786/'19_Расчет_аналитики'!M4765),0)</f>
        <v/>
      </c>
      <c r="N4787">
        <f>IF('01_Вводные'!$B$234="Да",IF('19_Расчет_аналитики'!N4765=0,0,'19_Расчет_аналитики'!N4786/'19_Расчет_аналитики'!N4765),0)</f>
        <v/>
      </c>
      <c r="O4787">
        <f>IF('01_Вводные'!$B$234="Да",IF('19_Расчет_аналитики'!O4765=0,0,'19_Расчет_аналитики'!O4786/'19_Расчет_аналитики'!O4765),0)</f>
        <v/>
      </c>
      <c r="P4787">
        <f>IF('01_Вводные'!$B$234="Да",IF('19_Расчет_аналитики'!P4765=0,0,'19_Расчет_аналитики'!P4786/'19_Расчет_аналитики'!P4765),0)</f>
        <v/>
      </c>
      <c r="Q4787">
        <f>IF('01_Вводные'!$B$234="Да",IF('19_Расчет_аналитики'!Q4765=0,0,'19_Расчет_аналитики'!Q4786/'19_Расчет_аналитики'!Q4765),0)</f>
        <v/>
      </c>
      <c r="R4787">
        <f>IF('01_Вводные'!$B$234="Да",IF('19_Расчет_аналитики'!R4765=0,0,'19_Расчет_аналитики'!R4786/'19_Расчет_аналитики'!R4765),0)</f>
        <v/>
      </c>
      <c r="S4787">
        <f>IF('01_Вводные'!$B$234="Да",IF('19_Расчет_аналитики'!S4765=0,0,'19_Расчет_аналитики'!S4786/'19_Расчет_аналитики'!S4765),0)</f>
        <v/>
      </c>
      <c r="T4787">
        <f>IF('01_Вводные'!$B$234="Да",IF('19_Расчет_аналитики'!T4765=0,0,'19_Расчет_аналитики'!T4786/'19_Расчет_аналитики'!T4765),0)</f>
        <v/>
      </c>
      <c r="U4787">
        <f>IF('01_Вводные'!$B$234="Да",IF('19_Расчет_аналитики'!U4765=0,0,'19_Расчет_аналитики'!U4786/'19_Расчет_аналитики'!U4765),0)</f>
        <v/>
      </c>
      <c r="V4787">
        <f>IF('01_Вводные'!$B$234="Да",IF('19_Расчет_аналитики'!V4765=0,0,'19_Расчет_аналитики'!V4786/'19_Расчет_аналитики'!V4765),0)</f>
        <v/>
      </c>
      <c r="W4787">
        <f>IF('01_Вводные'!$B$234="Да",IF('19_Расчет_аналитики'!W4765=0,0,'19_Расчет_аналитики'!W4786/'19_Расчет_аналитики'!W4765),0)</f>
        <v/>
      </c>
      <c r="X4787">
        <f>IF('01_Вводные'!$B$234="Да",IF('19_Расчет_аналитики'!X4765=0,0,'19_Расчет_аналитики'!X4786/'19_Расчет_аналитики'!X4765),0)</f>
        <v/>
      </c>
      <c r="Y4787">
        <f>IF('01_Вводные'!$B$234="Да",IF('19_Расчет_аналитики'!Y4765=0,0,'19_Расчет_аналитики'!Y4786/'19_Расчет_аналитики'!Y4765),0)</f>
        <v/>
      </c>
      <c r="Z4787">
        <f>IF('01_Вводные'!$B$234="Да",IF('19_Расчет_аналитики'!Z4765=0,0,'19_Расчет_аналитики'!Z4786/'19_Расчет_аналитики'!Z4765),0)</f>
        <v/>
      </c>
      <c r="AA4787">
        <f>IF('01_Вводные'!$B$234="Да",IF('19_Расчет_аналитики'!AA4765=0,0,'19_Расчет_аналитики'!AA4786/'19_Расчет_аналитики'!AA4765),0)</f>
        <v/>
      </c>
      <c r="AB4787">
        <f>IF('01_Вводные'!$B$234="Да",IF('19_Расчет_аналитики'!AB4765=0,0,'19_Расчет_аналитики'!AB4786/'19_Расчет_аналитики'!AB4765),0)</f>
        <v/>
      </c>
      <c r="AC4787">
        <f>IF('01_Вводные'!$B$234="Да",IF('19_Расчет_аналитики'!AC4765=0,0,'19_Расчет_аналитики'!AC4786/'19_Расчет_аналитики'!AC4765),0)</f>
        <v/>
      </c>
      <c r="AD4787">
        <f>IF('01_Вводные'!$B$234="Да",IF('19_Расчет_аналитики'!AD4765=0,0,'19_Расчет_аналитики'!AD4786/'19_Расчет_аналитики'!AD4765),0)</f>
        <v/>
      </c>
      <c r="AE4787">
        <f>IF('01_Вводные'!$B$234="Да",IF('19_Расчет_аналитики'!AE4765=0,0,'19_Расчет_аналитики'!AE4786/'19_Расчет_аналитики'!AE4765),0)</f>
        <v/>
      </c>
      <c r="AF4787">
        <f>IF('01_Вводные'!$B$234="Да",IF('19_Расчет_аналитики'!AF4765=0,0,'19_Расчет_аналитики'!AF4786/'19_Расчет_аналитики'!AF4765),0)</f>
        <v/>
      </c>
      <c r="AG4787">
        <f>IF('01_Вводные'!$B$234="Да",IF('19_Расчет_аналитики'!AG4765=0,0,'19_Расчет_аналитики'!AG4786/'19_Расчет_аналитики'!AG4765),0)</f>
        <v/>
      </c>
      <c r="AH4787">
        <f>IF('01_Вводные'!$B$234="Да",IF('19_Расчет_аналитики'!AH4765=0,0,'19_Расчет_аналитики'!AH4786/'19_Расчет_аналитики'!AH4765),0)</f>
        <v/>
      </c>
      <c r="AI4787">
        <f>IF('01_Вводные'!$B$234="Да",IF('19_Расчет_аналитики'!AI4765=0,0,'19_Расчет_аналитики'!AI4786/'19_Расчет_аналитики'!AI4765),0)</f>
        <v/>
      </c>
      <c r="AJ4787">
        <f>IF('01_Вводные'!$B$234="Да",IF('19_Расчет_аналитики'!AJ4765=0,0,'19_Расчет_аналитики'!AJ4786/'19_Расчет_аналитики'!AJ4765),0)</f>
        <v/>
      </c>
      <c r="AK4787">
        <f>IF('01_Вводные'!$B$234="Да",IF('19_Расчет_аналитики'!AK4765=0,0,'19_Расчет_аналитики'!AK4786/'19_Расчет_аналитики'!AK4765),0)</f>
        <v/>
      </c>
      <c r="AL4787">
        <f>IF('01_Вводные'!$B$234="Да",IF('19_Расчет_аналитики'!AL4765=0,0,'19_Расчет_аналитики'!AL4786/'19_Расчет_аналитики'!AL4765),0)</f>
        <v/>
      </c>
      <c r="AM4787">
        <f>IF('01_Вводные'!$B$234="Да",IF('19_Расчет_аналитики'!AM4765=0,0,'19_Расчет_аналитики'!AM4786/'19_Расчет_аналитики'!AM4765),0)</f>
        <v/>
      </c>
      <c r="AN4787">
        <f>IF('01_Вводные'!$B$234="Да",IF('19_Расчет_аналитики'!AN4765=0,0,'19_Расчет_аналитики'!AN4786/'19_Расчет_аналитики'!AN4765),0)</f>
        <v/>
      </c>
      <c r="AO4787">
        <f>IF('01_Вводные'!$B$234="Да",IF('19_Расчет_аналитики'!AO4765=0,0,'19_Расчет_аналитики'!AO4786/'19_Расчет_аналитики'!AO4765),0)</f>
        <v/>
      </c>
      <c r="AP4787">
        <f>IF('01_Вводные'!$B$234="Да",IF('19_Расчет_аналитики'!AP4765=0,0,'19_Расчет_аналитики'!AP4786/'19_Расчет_аналитики'!AP4765),0)</f>
        <v/>
      </c>
      <c r="AQ4787">
        <f>IF('01_Вводные'!$B$234="Да",IF('19_Расчет_аналитики'!AQ4765=0,0,'19_Расчет_аналитики'!AQ4786/'19_Расчет_аналитики'!AQ4765),0)</f>
        <v/>
      </c>
      <c r="AR4787">
        <f>IF('01_Вводные'!$B$234="Да",IF('19_Расчет_аналитики'!AR4765=0,0,'19_Расчет_аналитики'!AR4786/'19_Расчет_аналитики'!AR4765),0)</f>
        <v/>
      </c>
      <c r="AS4787">
        <f>IF('01_Вводные'!$B$234="Да",IF('19_Расчет_аналитики'!AS4765=0,0,'19_Расчет_аналитики'!AS4786/'19_Расчет_аналитики'!AS4765),0)</f>
        <v/>
      </c>
      <c r="AT4787">
        <f>IF('01_Вводные'!$B$234="Да",IF('19_Расчет_аналитики'!AT4765=0,0,'19_Расчет_аналитики'!AT4786/'19_Расчет_аналитики'!AT4765),0)</f>
        <v/>
      </c>
      <c r="AU4787">
        <f>IF('01_Вводные'!$B$234="Да",IF('19_Расчет_аналитики'!AU4765=0,0,'19_Расчет_аналитики'!AU4786/'19_Расчет_аналитики'!AU4765),0)</f>
        <v/>
      </c>
      <c r="AV4787">
        <f>IF('01_Вводные'!$B$234="Да",IF('19_Расчет_аналитики'!AV4765=0,0,'19_Расчет_аналитики'!AV4786/'19_Расчет_аналитики'!AV4765),0)</f>
        <v/>
      </c>
      <c r="AW4787">
        <f>IF('01_Вводные'!$B$234="Да",IF('19_Расчет_аналитики'!AW4765=0,0,'19_Расчет_аналитики'!AW4786/'19_Расчет_аналитики'!AW4765),0)</f>
        <v/>
      </c>
      <c r="AX4787">
        <f>IF('01_Вводные'!$B$234="Да",IF('19_Расчет_аналитики'!AX4765=0,0,'19_Расчет_аналитики'!AX4786/'19_Расчет_аналитики'!AX4765),0)</f>
        <v/>
      </c>
      <c r="AY4787">
        <f>IF('01_Вводные'!$B$234="Да",IF('19_Расчет_аналитики'!AY4765=0,0,'19_Расчет_аналитики'!AY4786/'19_Расчет_аналитики'!AY4765),0)</f>
        <v/>
      </c>
      <c r="AZ4787">
        <f>IF('01_Вводные'!$B$234="Да",IF('19_Расчет_аналитики'!AZ4765=0,0,'19_Расчет_аналитики'!AZ4786/'19_Расчет_аналитики'!AZ4765),0)</f>
        <v/>
      </c>
      <c r="BA4787">
        <f>IF('01_Вводные'!$B$234="Да",IF('19_Расчет_аналитики'!BA4765=0,0,'19_Расчет_аналитики'!BA4786/'19_Расчет_аналитики'!BA4765),0)</f>
        <v/>
      </c>
      <c r="BB4787">
        <f>IF('01_Вводные'!$B$234="Да",IF('19_Расчет_аналитики'!BB4765=0,0,'19_Расчет_аналитики'!BB4786/'19_Расчет_аналитики'!BB4765),0)</f>
        <v/>
      </c>
      <c r="BC4787">
        <f>IF('01_Вводные'!$B$234="Да",IF('19_Расчет_аналитики'!BC4765=0,0,'19_Расчет_аналитики'!BC4786/'19_Расчет_аналитики'!BC4765),0)</f>
        <v/>
      </c>
      <c r="BD4787">
        <f>IF('01_Вводные'!$B$234="Да",IF('19_Расчет_аналитики'!BD4765=0,0,'19_Расчет_аналитики'!BD4786/'19_Расчет_аналитики'!BD4765),0)</f>
        <v/>
      </c>
      <c r="BE4787">
        <f>IF('01_Вводные'!$B$234="Да",IF('19_Расчет_аналитики'!BE4765=0,0,'19_Расчет_аналитики'!BE4786/'19_Расчет_аналитики'!BE4765),0)</f>
        <v/>
      </c>
      <c r="BF4787">
        <f>IF('01_Вводные'!$B$234="Да",IF('19_Расчет_аналитики'!BF4765=0,0,'19_Расчет_аналитики'!BF4786/'19_Расчет_аналитики'!BF4765),0)</f>
        <v/>
      </c>
      <c r="BG4787">
        <f>IF('01_Вводные'!$B$234="Да",IF('19_Расчет_аналитики'!BG4765=0,0,'19_Расчет_аналитики'!BG4786/'19_Расчет_аналитики'!BG4765),0)</f>
        <v/>
      </c>
      <c r="BH4787">
        <f>IF('01_Вводные'!$B$234="Да",IF('19_Расчет_аналитики'!BH4765=0,0,'19_Расчет_аналитики'!BH4786/'19_Расчет_аналитики'!BH4765),0)</f>
        <v/>
      </c>
      <c r="BI4787">
        <f>IF('01_Вводные'!$B$234="Да",IF('19_Расчет_аналитики'!BI4765=0,0,'19_Расчет_аналитики'!BI4786/'19_Расчет_аналитики'!BI4765),0)</f>
        <v/>
      </c>
    </row>
    <row r="4788">
      <c r="B4788">
        <f>IF('01_Вводные'!$B$234="Да",MAX('01_Вводные'!$B$157*'19_Расчет_аналитики'!B4765,'01_Вводные'!$B$156*MAX(0,'19_Расчет_аналитики'!B4786)),0)</f>
        <v/>
      </c>
      <c r="C4788">
        <f>IF('01_Вводные'!$B$234="Да",MAX('01_Вводные'!$B$157*'19_Расчет_аналитики'!C4765,'01_Вводные'!$B$156*MAX(0,'19_Расчет_аналитики'!C4786)),0)</f>
        <v/>
      </c>
      <c r="D4788">
        <f>IF('01_Вводные'!$B$234="Да",MAX('01_Вводные'!$B$157*'19_Расчет_аналитики'!D4765,'01_Вводные'!$B$156*MAX(0,'19_Расчет_аналитики'!D4786)),0)</f>
        <v/>
      </c>
      <c r="E4788">
        <f>IF('01_Вводные'!$B$234="Да",MAX('01_Вводные'!$B$157*'19_Расчет_аналитики'!E4765,'01_Вводные'!$B$156*MAX(0,'19_Расчет_аналитики'!E4786)),0)</f>
        <v/>
      </c>
      <c r="F4788">
        <f>IF('01_Вводные'!$B$234="Да",MAX('01_Вводные'!$B$157*'19_Расчет_аналитики'!F4765,'01_Вводные'!$B$156*MAX(0,'19_Расчет_аналитики'!F4786)),0)</f>
        <v/>
      </c>
      <c r="G4788">
        <f>IF('01_Вводные'!$B$234="Да",MAX('01_Вводные'!$B$157*'19_Расчет_аналитики'!G4765,'01_Вводные'!$B$156*MAX(0,'19_Расчет_аналитики'!G4786)),0)</f>
        <v/>
      </c>
      <c r="H4788">
        <f>IF('01_Вводные'!$B$234="Да",MAX('01_Вводные'!$B$157*'19_Расчет_аналитики'!H4765,'01_Вводные'!$B$156*MAX(0,'19_Расчет_аналитики'!H4786)),0)</f>
        <v/>
      </c>
      <c r="I4788">
        <f>IF('01_Вводные'!$B$234="Да",MAX('01_Вводные'!$B$157*'19_Расчет_аналитики'!I4765,'01_Вводные'!$B$156*MAX(0,'19_Расчет_аналитики'!I4786)),0)</f>
        <v/>
      </c>
      <c r="J4788">
        <f>IF('01_Вводные'!$B$234="Да",MAX('01_Вводные'!$B$157*'19_Расчет_аналитики'!J4765,'01_Вводные'!$B$156*MAX(0,'19_Расчет_аналитики'!J4786)),0)</f>
        <v/>
      </c>
      <c r="K4788">
        <f>IF('01_Вводные'!$B$234="Да",MAX('01_Вводные'!$B$157*'19_Расчет_аналитики'!K4765,'01_Вводные'!$B$156*MAX(0,'19_Расчет_аналитики'!K4786)),0)</f>
        <v/>
      </c>
      <c r="L4788">
        <f>IF('01_Вводные'!$B$234="Да",MAX('01_Вводные'!$B$157*'19_Расчет_аналитики'!L4765,'01_Вводные'!$B$156*MAX(0,'19_Расчет_аналитики'!L4786)),0)</f>
        <v/>
      </c>
      <c r="M4788">
        <f>IF('01_Вводные'!$B$234="Да",MAX('01_Вводные'!$B$157*'19_Расчет_аналитики'!M4765,'01_Вводные'!$B$156*MAX(0,'19_Расчет_аналитики'!M4786)),0)</f>
        <v/>
      </c>
      <c r="N4788">
        <f>IF('01_Вводные'!$B$234="Да",MAX('01_Вводные'!$B$157*'19_Расчет_аналитики'!N4765,'01_Вводные'!$B$156*MAX(0,'19_Расчет_аналитики'!N4786)),0)</f>
        <v/>
      </c>
      <c r="O4788">
        <f>IF('01_Вводные'!$B$234="Да",MAX('01_Вводные'!$B$157*'19_Расчет_аналитики'!O4765,'01_Вводные'!$B$156*MAX(0,'19_Расчет_аналитики'!O4786)),0)</f>
        <v/>
      </c>
      <c r="P4788">
        <f>IF('01_Вводные'!$B$234="Да",MAX('01_Вводные'!$B$157*'19_Расчет_аналитики'!P4765,'01_Вводные'!$B$156*MAX(0,'19_Расчет_аналитики'!P4786)),0)</f>
        <v/>
      </c>
      <c r="Q4788">
        <f>IF('01_Вводные'!$B$234="Да",MAX('01_Вводные'!$B$157*'19_Расчет_аналитики'!Q4765,'01_Вводные'!$B$156*MAX(0,'19_Расчет_аналитики'!Q4786)),0)</f>
        <v/>
      </c>
      <c r="R4788">
        <f>IF('01_Вводные'!$B$234="Да",MAX('01_Вводные'!$B$157*'19_Расчет_аналитики'!R4765,'01_Вводные'!$B$156*MAX(0,'19_Расчет_аналитики'!R4786)),0)</f>
        <v/>
      </c>
      <c r="S4788">
        <f>IF('01_Вводные'!$B$234="Да",MAX('01_Вводные'!$B$157*'19_Расчет_аналитики'!S4765,'01_Вводные'!$B$156*MAX(0,'19_Расчет_аналитики'!S4786)),0)</f>
        <v/>
      </c>
      <c r="T4788">
        <f>IF('01_Вводные'!$B$234="Да",MAX('01_Вводные'!$B$157*'19_Расчет_аналитики'!T4765,'01_Вводные'!$B$156*MAX(0,'19_Расчет_аналитики'!T4786)),0)</f>
        <v/>
      </c>
      <c r="U4788">
        <f>IF('01_Вводные'!$B$234="Да",MAX('01_Вводные'!$B$157*'19_Расчет_аналитики'!U4765,'01_Вводные'!$B$156*MAX(0,'19_Расчет_аналитики'!U4786)),0)</f>
        <v/>
      </c>
      <c r="V4788">
        <f>IF('01_Вводные'!$B$234="Да",MAX('01_Вводные'!$B$157*'19_Расчет_аналитики'!V4765,'01_Вводные'!$B$156*MAX(0,'19_Расчет_аналитики'!V4786)),0)</f>
        <v/>
      </c>
      <c r="W4788">
        <f>IF('01_Вводные'!$B$234="Да",MAX('01_Вводные'!$B$157*'19_Расчет_аналитики'!W4765,'01_Вводные'!$B$156*MAX(0,'19_Расчет_аналитики'!W4786)),0)</f>
        <v/>
      </c>
      <c r="X4788">
        <f>IF('01_Вводные'!$B$234="Да",MAX('01_Вводные'!$B$157*'19_Расчет_аналитики'!X4765,'01_Вводные'!$B$156*MAX(0,'19_Расчет_аналитики'!X4786)),0)</f>
        <v/>
      </c>
      <c r="Y4788">
        <f>IF('01_Вводные'!$B$234="Да",MAX('01_Вводные'!$B$157*'19_Расчет_аналитики'!Y4765,'01_Вводные'!$B$156*MAX(0,'19_Расчет_аналитики'!Y4786)),0)</f>
        <v/>
      </c>
      <c r="Z4788">
        <f>IF('01_Вводные'!$B$234="Да",MAX('01_Вводные'!$B$157*'19_Расчет_аналитики'!Z4765,'01_Вводные'!$B$156*MAX(0,'19_Расчет_аналитики'!Z4786)),0)</f>
        <v/>
      </c>
      <c r="AA4788">
        <f>IF('01_Вводные'!$B$234="Да",MAX('01_Вводные'!$B$157*'19_Расчет_аналитики'!AA4765,'01_Вводные'!$B$156*MAX(0,'19_Расчет_аналитики'!AA4786)),0)</f>
        <v/>
      </c>
      <c r="AB4788">
        <f>IF('01_Вводные'!$B$234="Да",MAX('01_Вводные'!$B$157*'19_Расчет_аналитики'!AB4765,'01_Вводные'!$B$156*MAX(0,'19_Расчет_аналитики'!AB4786)),0)</f>
        <v/>
      </c>
      <c r="AC4788">
        <f>IF('01_Вводные'!$B$234="Да",MAX('01_Вводные'!$B$157*'19_Расчет_аналитики'!AC4765,'01_Вводные'!$B$156*MAX(0,'19_Расчет_аналитики'!AC4786)),0)</f>
        <v/>
      </c>
      <c r="AD4788">
        <f>IF('01_Вводные'!$B$234="Да",MAX('01_Вводные'!$B$157*'19_Расчет_аналитики'!AD4765,'01_Вводные'!$B$156*MAX(0,'19_Расчет_аналитики'!AD4786)),0)</f>
        <v/>
      </c>
      <c r="AE4788">
        <f>IF('01_Вводные'!$B$234="Да",MAX('01_Вводные'!$B$157*'19_Расчет_аналитики'!AE4765,'01_Вводные'!$B$156*MAX(0,'19_Расчет_аналитики'!AE4786)),0)</f>
        <v/>
      </c>
      <c r="AF4788">
        <f>IF('01_Вводные'!$B$234="Да",MAX('01_Вводные'!$B$157*'19_Расчет_аналитики'!AF4765,'01_Вводные'!$B$156*MAX(0,'19_Расчет_аналитики'!AF4786)),0)</f>
        <v/>
      </c>
      <c r="AG4788">
        <f>IF('01_Вводные'!$B$234="Да",MAX('01_Вводные'!$B$157*'19_Расчет_аналитики'!AG4765,'01_Вводные'!$B$156*MAX(0,'19_Расчет_аналитики'!AG4786)),0)</f>
        <v/>
      </c>
      <c r="AH4788">
        <f>IF('01_Вводные'!$B$234="Да",MAX('01_Вводные'!$B$157*'19_Расчет_аналитики'!AH4765,'01_Вводные'!$B$156*MAX(0,'19_Расчет_аналитики'!AH4786)),0)</f>
        <v/>
      </c>
      <c r="AI4788">
        <f>IF('01_Вводные'!$B$234="Да",MAX('01_Вводные'!$B$157*'19_Расчет_аналитики'!AI4765,'01_Вводные'!$B$156*MAX(0,'19_Расчет_аналитики'!AI4786)),0)</f>
        <v/>
      </c>
      <c r="AJ4788">
        <f>IF('01_Вводные'!$B$234="Да",MAX('01_Вводные'!$B$157*'19_Расчет_аналитики'!AJ4765,'01_Вводные'!$B$156*MAX(0,'19_Расчет_аналитики'!AJ4786)),0)</f>
        <v/>
      </c>
      <c r="AK4788">
        <f>IF('01_Вводные'!$B$234="Да",MAX('01_Вводные'!$B$157*'19_Расчет_аналитики'!AK4765,'01_Вводные'!$B$156*MAX(0,'19_Расчет_аналитики'!AK4786)),0)</f>
        <v/>
      </c>
      <c r="AL4788">
        <f>IF('01_Вводные'!$B$234="Да",MAX('01_Вводные'!$B$157*'19_Расчет_аналитики'!AL4765,'01_Вводные'!$B$156*MAX(0,'19_Расчет_аналитики'!AL4786)),0)</f>
        <v/>
      </c>
      <c r="AM4788">
        <f>IF('01_Вводные'!$B$234="Да",MAX('01_Вводные'!$B$157*'19_Расчет_аналитики'!AM4765,'01_Вводные'!$B$156*MAX(0,'19_Расчет_аналитики'!AM4786)),0)</f>
        <v/>
      </c>
      <c r="AN4788">
        <f>IF('01_Вводные'!$B$234="Да",MAX('01_Вводные'!$B$157*'19_Расчет_аналитики'!AN4765,'01_Вводные'!$B$156*MAX(0,'19_Расчет_аналитики'!AN4786)),0)</f>
        <v/>
      </c>
      <c r="AO4788">
        <f>IF('01_Вводные'!$B$234="Да",MAX('01_Вводные'!$B$157*'19_Расчет_аналитики'!AO4765,'01_Вводные'!$B$156*MAX(0,'19_Расчет_аналитики'!AO4786)),0)</f>
        <v/>
      </c>
      <c r="AP4788">
        <f>IF('01_Вводные'!$B$234="Да",MAX('01_Вводные'!$B$157*'19_Расчет_аналитики'!AP4765,'01_Вводные'!$B$156*MAX(0,'19_Расчет_аналитики'!AP4786)),0)</f>
        <v/>
      </c>
      <c r="AQ4788">
        <f>IF('01_Вводные'!$B$234="Да",MAX('01_Вводные'!$B$157*'19_Расчет_аналитики'!AQ4765,'01_Вводные'!$B$156*MAX(0,'19_Расчет_аналитики'!AQ4786)),0)</f>
        <v/>
      </c>
      <c r="AR4788">
        <f>IF('01_Вводные'!$B$234="Да",MAX('01_Вводные'!$B$157*'19_Расчет_аналитики'!AR4765,'01_Вводные'!$B$156*MAX(0,'19_Расчет_аналитики'!AR4786)),0)</f>
        <v/>
      </c>
      <c r="AS4788">
        <f>IF('01_Вводные'!$B$234="Да",MAX('01_Вводные'!$B$157*'19_Расчет_аналитики'!AS4765,'01_Вводные'!$B$156*MAX(0,'19_Расчет_аналитики'!AS4786)),0)</f>
        <v/>
      </c>
      <c r="AT4788">
        <f>IF('01_Вводные'!$B$234="Да",MAX('01_Вводные'!$B$157*'19_Расчет_аналитики'!AT4765,'01_Вводные'!$B$156*MAX(0,'19_Расчет_аналитики'!AT4786)),0)</f>
        <v/>
      </c>
      <c r="AU4788">
        <f>IF('01_Вводные'!$B$234="Да",MAX('01_Вводные'!$B$157*'19_Расчет_аналитики'!AU4765,'01_Вводные'!$B$156*MAX(0,'19_Расчет_аналитики'!AU4786)),0)</f>
        <v/>
      </c>
      <c r="AV4788">
        <f>IF('01_Вводные'!$B$234="Да",MAX('01_Вводные'!$B$157*'19_Расчет_аналитики'!AV4765,'01_Вводные'!$B$156*MAX(0,'19_Расчет_аналитики'!AV4786)),0)</f>
        <v/>
      </c>
      <c r="AW4788">
        <f>IF('01_Вводные'!$B$234="Да",MAX('01_Вводные'!$B$157*'19_Расчет_аналитики'!AW4765,'01_Вводные'!$B$156*MAX(0,'19_Расчет_аналитики'!AW4786)),0)</f>
        <v/>
      </c>
      <c r="AX4788">
        <f>IF('01_Вводные'!$B$234="Да",MAX('01_Вводные'!$B$157*'19_Расчет_аналитики'!AX4765,'01_Вводные'!$B$156*MAX(0,'19_Расчет_аналитики'!AX4786)),0)</f>
        <v/>
      </c>
      <c r="AY4788">
        <f>IF('01_Вводные'!$B$234="Да",MAX('01_Вводные'!$B$157*'19_Расчет_аналитики'!AY4765,'01_Вводные'!$B$156*MAX(0,'19_Расчет_аналитики'!AY4786)),0)</f>
        <v/>
      </c>
      <c r="AZ4788">
        <f>IF('01_Вводные'!$B$234="Да",MAX('01_Вводные'!$B$157*'19_Расчет_аналитики'!AZ4765,'01_Вводные'!$B$156*MAX(0,'19_Расчет_аналитики'!AZ4786)),0)</f>
        <v/>
      </c>
      <c r="BA4788">
        <f>IF('01_Вводные'!$B$234="Да",MAX('01_Вводные'!$B$157*'19_Расчет_аналитики'!BA4765,'01_Вводные'!$B$156*MAX(0,'19_Расчет_аналитики'!BA4786)),0)</f>
        <v/>
      </c>
      <c r="BB4788">
        <f>IF('01_Вводные'!$B$234="Да",MAX('01_Вводные'!$B$157*'19_Расчет_аналитики'!BB4765,'01_Вводные'!$B$156*MAX(0,'19_Расчет_аналитики'!BB4786)),0)</f>
        <v/>
      </c>
      <c r="BC4788">
        <f>IF('01_Вводные'!$B$234="Да",MAX('01_Вводные'!$B$157*'19_Расчет_аналитики'!BC4765,'01_Вводные'!$B$156*MAX(0,'19_Расчет_аналитики'!BC4786)),0)</f>
        <v/>
      </c>
      <c r="BD4788">
        <f>IF('01_Вводные'!$B$234="Да",MAX('01_Вводные'!$B$157*'19_Расчет_аналитики'!BD4765,'01_Вводные'!$B$156*MAX(0,'19_Расчет_аналитики'!BD4786)),0)</f>
        <v/>
      </c>
      <c r="BE4788">
        <f>IF('01_Вводные'!$B$234="Да",MAX('01_Вводные'!$B$157*'19_Расчет_аналитики'!BE4765,'01_Вводные'!$B$156*MAX(0,'19_Расчет_аналитики'!BE4786)),0)</f>
        <v/>
      </c>
      <c r="BF4788">
        <f>IF('01_Вводные'!$B$234="Да",MAX('01_Вводные'!$B$157*'19_Расчет_аналитики'!BF4765,'01_Вводные'!$B$156*MAX(0,'19_Расчет_аналитики'!BF4786)),0)</f>
        <v/>
      </c>
      <c r="BG4788">
        <f>IF('01_Вводные'!$B$234="Да",MAX('01_Вводные'!$B$157*'19_Расчет_аналитики'!BG4765,'01_Вводные'!$B$156*MAX(0,'19_Расчет_аналитики'!BG4786)),0)</f>
        <v/>
      </c>
      <c r="BH4788">
        <f>IF('01_Вводные'!$B$234="Да",MAX('01_Вводные'!$B$157*'19_Расчет_аналитики'!BH4765,'01_Вводные'!$B$156*MAX(0,'19_Расчет_аналитики'!BH4786)),0)</f>
        <v/>
      </c>
      <c r="BI4788">
        <f>IF('01_Вводные'!$B$234="Да",MAX('01_Вводные'!$B$157*'19_Расчет_аналитики'!BI4765,'01_Вводные'!$B$156*MAX(0,'19_Расчет_аналитики'!BI4786)),0)</f>
        <v/>
      </c>
    </row>
    <row r="4789">
      <c r="B4789">
        <f>IF('01_Вводные'!$B$234="Да",'19_Расчет_аналитики'!B4786-'19_Расчет_аналитики'!B4788,0)</f>
        <v/>
      </c>
      <c r="C4789">
        <f>IF('01_Вводные'!$B$234="Да",'19_Расчет_аналитики'!C4786-'19_Расчет_аналитики'!C4788,0)</f>
        <v/>
      </c>
      <c r="D4789">
        <f>IF('01_Вводные'!$B$234="Да",'19_Расчет_аналитики'!D4786-'19_Расчет_аналитики'!D4788,0)</f>
        <v/>
      </c>
      <c r="E4789">
        <f>IF('01_Вводные'!$B$234="Да",'19_Расчет_аналитики'!E4786-'19_Расчет_аналитики'!E4788,0)</f>
        <v/>
      </c>
      <c r="F4789">
        <f>IF('01_Вводные'!$B$234="Да",'19_Расчет_аналитики'!F4786-'19_Расчет_аналитики'!F4788,0)</f>
        <v/>
      </c>
      <c r="G4789">
        <f>IF('01_Вводные'!$B$234="Да",'19_Расчет_аналитики'!G4786-'19_Расчет_аналитики'!G4788,0)</f>
        <v/>
      </c>
      <c r="H4789">
        <f>IF('01_Вводные'!$B$234="Да",'19_Расчет_аналитики'!H4786-'19_Расчет_аналитики'!H4788,0)</f>
        <v/>
      </c>
      <c r="I4789">
        <f>IF('01_Вводные'!$B$234="Да",'19_Расчет_аналитики'!I4786-'19_Расчет_аналитики'!I4788,0)</f>
        <v/>
      </c>
      <c r="J4789">
        <f>IF('01_Вводные'!$B$234="Да",'19_Расчет_аналитики'!J4786-'19_Расчет_аналитики'!J4788,0)</f>
        <v/>
      </c>
      <c r="K4789">
        <f>IF('01_Вводные'!$B$234="Да",'19_Расчет_аналитики'!K4786-'19_Расчет_аналитики'!K4788,0)</f>
        <v/>
      </c>
      <c r="L4789">
        <f>IF('01_Вводные'!$B$234="Да",'19_Расчет_аналитики'!L4786-'19_Расчет_аналитики'!L4788,0)</f>
        <v/>
      </c>
      <c r="M4789">
        <f>IF('01_Вводные'!$B$234="Да",'19_Расчет_аналитики'!M4786-'19_Расчет_аналитики'!M4788,0)</f>
        <v/>
      </c>
      <c r="N4789">
        <f>IF('01_Вводные'!$B$234="Да",'19_Расчет_аналитики'!N4786-'19_Расчет_аналитики'!N4788,0)</f>
        <v/>
      </c>
      <c r="O4789">
        <f>IF('01_Вводные'!$B$234="Да",'19_Расчет_аналитики'!O4786-'19_Расчет_аналитики'!O4788,0)</f>
        <v/>
      </c>
      <c r="P4789">
        <f>IF('01_Вводные'!$B$234="Да",'19_Расчет_аналитики'!P4786-'19_Расчет_аналитики'!P4788,0)</f>
        <v/>
      </c>
      <c r="Q4789">
        <f>IF('01_Вводные'!$B$234="Да",'19_Расчет_аналитики'!Q4786-'19_Расчет_аналитики'!Q4788,0)</f>
        <v/>
      </c>
      <c r="R4789">
        <f>IF('01_Вводные'!$B$234="Да",'19_Расчет_аналитики'!R4786-'19_Расчет_аналитики'!R4788,0)</f>
        <v/>
      </c>
      <c r="S4789">
        <f>IF('01_Вводные'!$B$234="Да",'19_Расчет_аналитики'!S4786-'19_Расчет_аналитики'!S4788,0)</f>
        <v/>
      </c>
      <c r="T4789">
        <f>IF('01_Вводные'!$B$234="Да",'19_Расчет_аналитики'!T4786-'19_Расчет_аналитики'!T4788,0)</f>
        <v/>
      </c>
      <c r="U4789">
        <f>IF('01_Вводные'!$B$234="Да",'19_Расчет_аналитики'!U4786-'19_Расчет_аналитики'!U4788,0)</f>
        <v/>
      </c>
      <c r="V4789">
        <f>IF('01_Вводные'!$B$234="Да",'19_Расчет_аналитики'!V4786-'19_Расчет_аналитики'!V4788,0)</f>
        <v/>
      </c>
      <c r="W4789">
        <f>IF('01_Вводные'!$B$234="Да",'19_Расчет_аналитики'!W4786-'19_Расчет_аналитики'!W4788,0)</f>
        <v/>
      </c>
      <c r="X4789">
        <f>IF('01_Вводные'!$B$234="Да",'19_Расчет_аналитики'!X4786-'19_Расчет_аналитики'!X4788,0)</f>
        <v/>
      </c>
      <c r="Y4789">
        <f>IF('01_Вводные'!$B$234="Да",'19_Расчет_аналитики'!Y4786-'19_Расчет_аналитики'!Y4788,0)</f>
        <v/>
      </c>
      <c r="Z4789">
        <f>IF('01_Вводные'!$B$234="Да",'19_Расчет_аналитики'!Z4786-'19_Расчет_аналитики'!Z4788,0)</f>
        <v/>
      </c>
      <c r="AA4789">
        <f>IF('01_Вводные'!$B$234="Да",'19_Расчет_аналитики'!AA4786-'19_Расчет_аналитики'!AA4788,0)</f>
        <v/>
      </c>
      <c r="AB4789">
        <f>IF('01_Вводные'!$B$234="Да",'19_Расчет_аналитики'!AB4786-'19_Расчет_аналитики'!AB4788,0)</f>
        <v/>
      </c>
      <c r="AC4789">
        <f>IF('01_Вводные'!$B$234="Да",'19_Расчет_аналитики'!AC4786-'19_Расчет_аналитики'!AC4788,0)</f>
        <v/>
      </c>
      <c r="AD4789">
        <f>IF('01_Вводные'!$B$234="Да",'19_Расчет_аналитики'!AD4786-'19_Расчет_аналитики'!AD4788,0)</f>
        <v/>
      </c>
      <c r="AE4789">
        <f>IF('01_Вводные'!$B$234="Да",'19_Расчет_аналитики'!AE4786-'19_Расчет_аналитики'!AE4788,0)</f>
        <v/>
      </c>
      <c r="AF4789">
        <f>IF('01_Вводные'!$B$234="Да",'19_Расчет_аналитики'!AF4786-'19_Расчет_аналитики'!AF4788,0)</f>
        <v/>
      </c>
      <c r="AG4789">
        <f>IF('01_Вводные'!$B$234="Да",'19_Расчет_аналитики'!AG4786-'19_Расчет_аналитики'!AG4788,0)</f>
        <v/>
      </c>
      <c r="AH4789">
        <f>IF('01_Вводные'!$B$234="Да",'19_Расчет_аналитики'!AH4786-'19_Расчет_аналитики'!AH4788,0)</f>
        <v/>
      </c>
      <c r="AI4789">
        <f>IF('01_Вводные'!$B$234="Да",'19_Расчет_аналитики'!AI4786-'19_Расчет_аналитики'!AI4788,0)</f>
        <v/>
      </c>
      <c r="AJ4789">
        <f>IF('01_Вводные'!$B$234="Да",'19_Расчет_аналитики'!AJ4786-'19_Расчет_аналитики'!AJ4788,0)</f>
        <v/>
      </c>
      <c r="AK4789">
        <f>IF('01_Вводные'!$B$234="Да",'19_Расчет_аналитики'!AK4786-'19_Расчет_аналитики'!AK4788,0)</f>
        <v/>
      </c>
      <c r="AL4789">
        <f>IF('01_Вводные'!$B$234="Да",'19_Расчет_аналитики'!AL4786-'19_Расчет_аналитики'!AL4788,0)</f>
        <v/>
      </c>
      <c r="AM4789">
        <f>IF('01_Вводные'!$B$234="Да",'19_Расчет_аналитики'!AM4786-'19_Расчет_аналитики'!AM4788,0)</f>
        <v/>
      </c>
      <c r="AN4789">
        <f>IF('01_Вводные'!$B$234="Да",'19_Расчет_аналитики'!AN4786-'19_Расчет_аналитики'!AN4788,0)</f>
        <v/>
      </c>
      <c r="AO4789">
        <f>IF('01_Вводные'!$B$234="Да",'19_Расчет_аналитики'!AO4786-'19_Расчет_аналитики'!AO4788,0)</f>
        <v/>
      </c>
      <c r="AP4789">
        <f>IF('01_Вводные'!$B$234="Да",'19_Расчет_аналитики'!AP4786-'19_Расчет_аналитики'!AP4788,0)</f>
        <v/>
      </c>
      <c r="AQ4789">
        <f>IF('01_Вводные'!$B$234="Да",'19_Расчет_аналитики'!AQ4786-'19_Расчет_аналитики'!AQ4788,0)</f>
        <v/>
      </c>
      <c r="AR4789">
        <f>IF('01_Вводные'!$B$234="Да",'19_Расчет_аналитики'!AR4786-'19_Расчет_аналитики'!AR4788,0)</f>
        <v/>
      </c>
      <c r="AS4789">
        <f>IF('01_Вводные'!$B$234="Да",'19_Расчет_аналитики'!AS4786-'19_Расчет_аналитики'!AS4788,0)</f>
        <v/>
      </c>
      <c r="AT4789">
        <f>IF('01_Вводные'!$B$234="Да",'19_Расчет_аналитики'!AT4786-'19_Расчет_аналитики'!AT4788,0)</f>
        <v/>
      </c>
      <c r="AU4789">
        <f>IF('01_Вводные'!$B$234="Да",'19_Расчет_аналитики'!AU4786-'19_Расчет_аналитики'!AU4788,0)</f>
        <v/>
      </c>
      <c r="AV4789">
        <f>IF('01_Вводные'!$B$234="Да",'19_Расчет_аналитики'!AV4786-'19_Расчет_аналитики'!AV4788,0)</f>
        <v/>
      </c>
      <c r="AW4789">
        <f>IF('01_Вводные'!$B$234="Да",'19_Расчет_аналитики'!AW4786-'19_Расчет_аналитики'!AW4788,0)</f>
        <v/>
      </c>
      <c r="AX4789">
        <f>IF('01_Вводные'!$B$234="Да",'19_Расчет_аналитики'!AX4786-'19_Расчет_аналитики'!AX4788,0)</f>
        <v/>
      </c>
      <c r="AY4789">
        <f>IF('01_Вводные'!$B$234="Да",'19_Расчет_аналитики'!AY4786-'19_Расчет_аналитики'!AY4788,0)</f>
        <v/>
      </c>
      <c r="AZ4789">
        <f>IF('01_Вводные'!$B$234="Да",'19_Расчет_аналитики'!AZ4786-'19_Расчет_аналитики'!AZ4788,0)</f>
        <v/>
      </c>
      <c r="BA4789">
        <f>IF('01_Вводные'!$B$234="Да",'19_Расчет_аналитики'!BA4786-'19_Расчет_аналитики'!BA4788,0)</f>
        <v/>
      </c>
      <c r="BB4789">
        <f>IF('01_Вводные'!$B$234="Да",'19_Расчет_аналитики'!BB4786-'19_Расчет_аналитики'!BB4788,0)</f>
        <v/>
      </c>
      <c r="BC4789">
        <f>IF('01_Вводные'!$B$234="Да",'19_Расчет_аналитики'!BC4786-'19_Расчет_аналитики'!BC4788,0)</f>
        <v/>
      </c>
      <c r="BD4789">
        <f>IF('01_Вводные'!$B$234="Да",'19_Расчет_аналитики'!BD4786-'19_Расчет_аналитики'!BD4788,0)</f>
        <v/>
      </c>
      <c r="BE4789">
        <f>IF('01_Вводные'!$B$234="Да",'19_Расчет_аналитики'!BE4786-'19_Расчет_аналитики'!BE4788,0)</f>
        <v/>
      </c>
      <c r="BF4789">
        <f>IF('01_Вводные'!$B$234="Да",'19_Расчет_аналитики'!BF4786-'19_Расчет_аналитики'!BF4788,0)</f>
        <v/>
      </c>
      <c r="BG4789">
        <f>IF('01_Вводные'!$B$234="Да",'19_Расчет_аналитики'!BG4786-'19_Расчет_аналитики'!BG4788,0)</f>
        <v/>
      </c>
      <c r="BH4789">
        <f>IF('01_Вводные'!$B$234="Да",'19_Расчет_аналитики'!BH4786-'19_Расчет_аналитики'!BH4788,0)</f>
        <v/>
      </c>
      <c r="BI4789">
        <f>IF('01_Вводные'!$B$234="Да",'19_Расчет_аналитики'!BI4786-'19_Расчет_аналитики'!BI4788,0)</f>
        <v/>
      </c>
    </row>
    <row r="4790"/>
    <row r="4791"/>
    <row r="4792"/>
    <row r="4793">
      <c r="C4793">
        <f>IF('01_Вводные'!$B$234="Да",'19_Расчет_аналитики'!B4814,0)</f>
        <v/>
      </c>
      <c r="D4793">
        <f>IF('01_Вводные'!$B$234="Да",'19_Расчет_аналитики'!C4814,0)</f>
        <v/>
      </c>
      <c r="E4793">
        <f>IF('01_Вводные'!$B$234="Да",'19_Расчет_аналитики'!D4814,0)</f>
        <v/>
      </c>
      <c r="F4793">
        <f>IF('01_Вводные'!$B$234="Да",'19_Расчет_аналитики'!E4814,0)</f>
        <v/>
      </c>
      <c r="G4793">
        <f>IF('01_Вводные'!$B$234="Да",'19_Расчет_аналитики'!F4814,0)</f>
        <v/>
      </c>
      <c r="H4793">
        <f>IF('01_Вводные'!$B$234="Да",'19_Расчет_аналитики'!G4814,0)</f>
        <v/>
      </c>
      <c r="I4793">
        <f>IF('01_Вводные'!$B$234="Да",'19_Расчет_аналитики'!H4814,0)</f>
        <v/>
      </c>
      <c r="J4793">
        <f>IF('01_Вводные'!$B$234="Да",'19_Расчет_аналитики'!I4814,0)</f>
        <v/>
      </c>
      <c r="K4793">
        <f>IF('01_Вводные'!$B$234="Да",'19_Расчет_аналитики'!J4814,0)</f>
        <v/>
      </c>
      <c r="L4793">
        <f>IF('01_Вводные'!$B$234="Да",'19_Расчет_аналитики'!K4814,0)</f>
        <v/>
      </c>
      <c r="M4793">
        <f>IF('01_Вводные'!$B$234="Да",'19_Расчет_аналитики'!L4814,0)</f>
        <v/>
      </c>
      <c r="N4793">
        <f>IF('01_Вводные'!$B$234="Да",'19_Расчет_аналитики'!M4814,0)</f>
        <v/>
      </c>
      <c r="O4793">
        <f>IF('01_Вводные'!$B$234="Да",'19_Расчет_аналитики'!N4814,0)</f>
        <v/>
      </c>
      <c r="P4793">
        <f>IF('01_Вводные'!$B$234="Да",'19_Расчет_аналитики'!O4814,0)</f>
        <v/>
      </c>
      <c r="Q4793">
        <f>IF('01_Вводные'!$B$234="Да",'19_Расчет_аналитики'!P4814,0)</f>
        <v/>
      </c>
      <c r="R4793">
        <f>IF('01_Вводные'!$B$234="Да",'19_Расчет_аналитики'!Q4814,0)</f>
        <v/>
      </c>
      <c r="S4793">
        <f>IF('01_Вводные'!$B$234="Да",'19_Расчет_аналитики'!R4814,0)</f>
        <v/>
      </c>
      <c r="T4793">
        <f>IF('01_Вводные'!$B$234="Да",'19_Расчет_аналитики'!S4814,0)</f>
        <v/>
      </c>
      <c r="U4793">
        <f>IF('01_Вводные'!$B$234="Да",'19_Расчет_аналитики'!T4814,0)</f>
        <v/>
      </c>
      <c r="V4793">
        <f>IF('01_Вводные'!$B$234="Да",'19_Расчет_аналитики'!U4814,0)</f>
        <v/>
      </c>
      <c r="W4793">
        <f>IF('01_Вводные'!$B$234="Да",'19_Расчет_аналитики'!V4814,0)</f>
        <v/>
      </c>
      <c r="X4793">
        <f>IF('01_Вводные'!$B$234="Да",'19_Расчет_аналитики'!W4814,0)</f>
        <v/>
      </c>
      <c r="Y4793">
        <f>IF('01_Вводные'!$B$234="Да",'19_Расчет_аналитики'!X4814,0)</f>
        <v/>
      </c>
      <c r="Z4793">
        <f>IF('01_Вводные'!$B$234="Да",'19_Расчет_аналитики'!Y4814,0)</f>
        <v/>
      </c>
      <c r="AA4793">
        <f>IF('01_Вводные'!$B$234="Да",'19_Расчет_аналитики'!Z4814,0)</f>
        <v/>
      </c>
      <c r="AB4793">
        <f>IF('01_Вводные'!$B$234="Да",'19_Расчет_аналитики'!AA4814,0)</f>
        <v/>
      </c>
      <c r="AC4793">
        <f>IF('01_Вводные'!$B$234="Да",'19_Расчет_аналитики'!AB4814,0)</f>
        <v/>
      </c>
      <c r="AD4793">
        <f>IF('01_Вводные'!$B$234="Да",'19_Расчет_аналитики'!AC4814,0)</f>
        <v/>
      </c>
      <c r="AE4793">
        <f>IF('01_Вводные'!$B$234="Да",'19_Расчет_аналитики'!AD4814,0)</f>
        <v/>
      </c>
      <c r="AF4793">
        <f>IF('01_Вводные'!$B$234="Да",'19_Расчет_аналитики'!AE4814,0)</f>
        <v/>
      </c>
      <c r="AG4793">
        <f>IF('01_Вводные'!$B$234="Да",'19_Расчет_аналитики'!AF4814,0)</f>
        <v/>
      </c>
      <c r="AH4793">
        <f>IF('01_Вводные'!$B$234="Да",'19_Расчет_аналитики'!AG4814,0)</f>
        <v/>
      </c>
      <c r="AI4793">
        <f>IF('01_Вводные'!$B$234="Да",'19_Расчет_аналитики'!AH4814,0)</f>
        <v/>
      </c>
      <c r="AJ4793">
        <f>IF('01_Вводные'!$B$234="Да",'19_Расчет_аналитики'!AI4814,0)</f>
        <v/>
      </c>
      <c r="AK4793">
        <f>IF('01_Вводные'!$B$234="Да",'19_Расчет_аналитики'!AJ4814,0)</f>
        <v/>
      </c>
      <c r="AL4793">
        <f>IF('01_Вводные'!$B$234="Да",'19_Расчет_аналитики'!AK4814,0)</f>
        <v/>
      </c>
      <c r="AM4793">
        <f>IF('01_Вводные'!$B$234="Да",'19_Расчет_аналитики'!AL4814,0)</f>
        <v/>
      </c>
      <c r="AN4793">
        <f>IF('01_Вводные'!$B$234="Да",'19_Расчет_аналитики'!AM4814,0)</f>
        <v/>
      </c>
      <c r="AO4793">
        <f>IF('01_Вводные'!$B$234="Да",'19_Расчет_аналитики'!AN4814,0)</f>
        <v/>
      </c>
      <c r="AP4793">
        <f>IF('01_Вводные'!$B$234="Да",'19_Расчет_аналитики'!AO4814,0)</f>
        <v/>
      </c>
      <c r="AQ4793">
        <f>IF('01_Вводные'!$B$234="Да",'19_Расчет_аналитики'!AP4814,0)</f>
        <v/>
      </c>
      <c r="AR4793">
        <f>IF('01_Вводные'!$B$234="Да",'19_Расчет_аналитики'!AQ4814,0)</f>
        <v/>
      </c>
      <c r="AS4793">
        <f>IF('01_Вводные'!$B$234="Да",'19_Расчет_аналитики'!AR4814,0)</f>
        <v/>
      </c>
      <c r="AT4793">
        <f>IF('01_Вводные'!$B$234="Да",'19_Расчет_аналитики'!AS4814,0)</f>
        <v/>
      </c>
      <c r="AU4793">
        <f>IF('01_Вводные'!$B$234="Да",'19_Расчет_аналитики'!AT4814,0)</f>
        <v/>
      </c>
      <c r="AV4793">
        <f>IF('01_Вводные'!$B$234="Да",'19_Расчет_аналитики'!AU4814,0)</f>
        <v/>
      </c>
      <c r="AW4793">
        <f>IF('01_Вводные'!$B$234="Да",'19_Расчет_аналитики'!AV4814,0)</f>
        <v/>
      </c>
      <c r="AX4793">
        <f>IF('01_Вводные'!$B$234="Да",'19_Расчет_аналитики'!AW4814,0)</f>
        <v/>
      </c>
      <c r="AY4793">
        <f>IF('01_Вводные'!$B$234="Да",'19_Расчет_аналитики'!AX4814,0)</f>
        <v/>
      </c>
      <c r="AZ4793">
        <f>IF('01_Вводные'!$B$234="Да",'19_Расчет_аналитики'!AY4814,0)</f>
        <v/>
      </c>
      <c r="BA4793">
        <f>IF('01_Вводные'!$B$234="Да",'19_Расчет_аналитики'!AZ4814,0)</f>
        <v/>
      </c>
      <c r="BB4793">
        <f>IF('01_Вводные'!$B$234="Да",'19_Расчет_аналитики'!BA4814,0)</f>
        <v/>
      </c>
      <c r="BC4793">
        <f>IF('01_Вводные'!$B$234="Да",'19_Расчет_аналитики'!BB4814,0)</f>
        <v/>
      </c>
      <c r="BD4793">
        <f>IF('01_Вводные'!$B$234="Да",'19_Расчет_аналитики'!BC4814,0)</f>
        <v/>
      </c>
      <c r="BE4793">
        <f>IF('01_Вводные'!$B$234="Да",'19_Расчет_аналитики'!BD4814,0)</f>
        <v/>
      </c>
      <c r="BF4793">
        <f>IF('01_Вводные'!$B$234="Да",'19_Расчет_аналитики'!BE4814,0)</f>
        <v/>
      </c>
      <c r="BG4793">
        <f>IF('01_Вводные'!$B$234="Да",'19_Расчет_аналитики'!BF4814,0)</f>
        <v/>
      </c>
      <c r="BH4793">
        <f>IF('01_Вводные'!$B$234="Да",'19_Расчет_аналитики'!BG4814,0)</f>
        <v/>
      </c>
      <c r="BI4793">
        <f>IF('01_Вводные'!$B$234="Да",'19_Расчет_аналитики'!BH4814,0)</f>
        <v/>
      </c>
    </row>
    <row r="4794">
      <c r="B4794">
        <f>'02_Модель'!B52</f>
        <v/>
      </c>
      <c r="C4794">
        <f>IF('01_Вводные'!$B$234="Да",'19_Расчет_аналитики'!C4396,0)</f>
        <v/>
      </c>
      <c r="D4794">
        <f>IF('01_Вводные'!$B$234="Да",'19_Расчет_аналитики'!D4396,0)</f>
        <v/>
      </c>
      <c r="E4794">
        <f>IF('01_Вводные'!$B$234="Да",'19_Расчет_аналитики'!E4396,0)</f>
        <v/>
      </c>
      <c r="F4794">
        <f>IF('01_Вводные'!$B$234="Да",'19_Расчет_аналитики'!F4396,0)</f>
        <v/>
      </c>
      <c r="G4794">
        <f>IF('01_Вводные'!$B$234="Да",'19_Расчет_аналитики'!G4396,0)</f>
        <v/>
      </c>
      <c r="H4794">
        <f>IF('01_Вводные'!$B$234="Да",'19_Расчет_аналитики'!H4396,0)</f>
        <v/>
      </c>
      <c r="I4794">
        <f>IF('01_Вводные'!$B$234="Да",'19_Расчет_аналитики'!I4396,0)</f>
        <v/>
      </c>
      <c r="J4794">
        <f>IF('01_Вводные'!$B$234="Да",'19_Расчет_аналитики'!J4396,0)</f>
        <v/>
      </c>
      <c r="K4794">
        <f>IF('01_Вводные'!$B$234="Да",'19_Расчет_аналитики'!K4396,0)</f>
        <v/>
      </c>
      <c r="L4794">
        <f>IF('01_Вводные'!$B$234="Да",'19_Расчет_аналитики'!L4396,0)</f>
        <v/>
      </c>
      <c r="M4794">
        <f>IF('01_Вводные'!$B$234="Да",'19_Расчет_аналитики'!M4396,0)</f>
        <v/>
      </c>
      <c r="N4794">
        <f>IF('01_Вводные'!$B$234="Да",'19_Расчет_аналитики'!N4396,0)</f>
        <v/>
      </c>
      <c r="O4794">
        <f>IF('01_Вводные'!$B$234="Да",'19_Расчет_аналитики'!O4396,0)</f>
        <v/>
      </c>
      <c r="P4794">
        <f>IF('01_Вводные'!$B$234="Да",'19_Расчет_аналитики'!P4396,0)</f>
        <v/>
      </c>
      <c r="Q4794">
        <f>IF('01_Вводные'!$B$234="Да",'19_Расчет_аналитики'!Q4396,0)</f>
        <v/>
      </c>
      <c r="R4794">
        <f>IF('01_Вводные'!$B$234="Да",'19_Расчет_аналитики'!R4396,0)</f>
        <v/>
      </c>
      <c r="S4794">
        <f>IF('01_Вводные'!$B$234="Да",'19_Расчет_аналитики'!S4396,0)</f>
        <v/>
      </c>
      <c r="T4794">
        <f>IF('01_Вводные'!$B$234="Да",'19_Расчет_аналитики'!T4396,0)</f>
        <v/>
      </c>
      <c r="U4794">
        <f>IF('01_Вводные'!$B$234="Да",'19_Расчет_аналитики'!U4396,0)</f>
        <v/>
      </c>
      <c r="V4794">
        <f>IF('01_Вводные'!$B$234="Да",'19_Расчет_аналитики'!V4396,0)</f>
        <v/>
      </c>
      <c r="W4794">
        <f>IF('01_Вводные'!$B$234="Да",'19_Расчет_аналитики'!W4396,0)</f>
        <v/>
      </c>
      <c r="X4794">
        <f>IF('01_Вводные'!$B$234="Да",'19_Расчет_аналитики'!X4396,0)</f>
        <v/>
      </c>
      <c r="Y4794">
        <f>IF('01_Вводные'!$B$234="Да",'19_Расчет_аналитики'!Y4396,0)</f>
        <v/>
      </c>
      <c r="Z4794">
        <f>IF('01_Вводные'!$B$234="Да",'19_Расчет_аналитики'!Z4396,0)</f>
        <v/>
      </c>
      <c r="AA4794">
        <f>IF('01_Вводные'!$B$234="Да",'19_Расчет_аналитики'!AA4396,0)</f>
        <v/>
      </c>
      <c r="AB4794">
        <f>IF('01_Вводные'!$B$234="Да",'19_Расчет_аналитики'!AB4396,0)</f>
        <v/>
      </c>
      <c r="AC4794">
        <f>IF('01_Вводные'!$B$234="Да",'19_Расчет_аналитики'!AC4396,0)</f>
        <v/>
      </c>
      <c r="AD4794">
        <f>IF('01_Вводные'!$B$234="Да",'19_Расчет_аналитики'!AD4396,0)</f>
        <v/>
      </c>
      <c r="AE4794">
        <f>IF('01_Вводные'!$B$234="Да",'19_Расчет_аналитики'!AE4396,0)</f>
        <v/>
      </c>
      <c r="AF4794">
        <f>IF('01_Вводные'!$B$234="Да",'19_Расчет_аналитики'!AF4396,0)</f>
        <v/>
      </c>
      <c r="AG4794">
        <f>IF('01_Вводные'!$B$234="Да",'19_Расчет_аналитики'!AG4396,0)</f>
        <v/>
      </c>
      <c r="AH4794">
        <f>IF('01_Вводные'!$B$234="Да",'19_Расчет_аналитики'!AH4396,0)</f>
        <v/>
      </c>
      <c r="AI4794">
        <f>IF('01_Вводные'!$B$234="Да",'19_Расчет_аналитики'!AI4396,0)</f>
        <v/>
      </c>
      <c r="AJ4794">
        <f>IF('01_Вводные'!$B$234="Да",'19_Расчет_аналитики'!AJ4396,0)</f>
        <v/>
      </c>
      <c r="AK4794">
        <f>IF('01_Вводные'!$B$234="Да",'19_Расчет_аналитики'!AK4396,0)</f>
        <v/>
      </c>
      <c r="AL4794">
        <f>IF('01_Вводные'!$B$234="Да",'19_Расчет_аналитики'!AL4396,0)</f>
        <v/>
      </c>
      <c r="AM4794">
        <f>IF('01_Вводные'!$B$234="Да",'19_Расчет_аналитики'!AM4396,0)</f>
        <v/>
      </c>
      <c r="AN4794">
        <f>IF('01_Вводные'!$B$234="Да",'19_Расчет_аналитики'!AN4396,0)</f>
        <v/>
      </c>
      <c r="AO4794">
        <f>IF('01_Вводные'!$B$234="Да",'19_Расчет_аналитики'!AO4396,0)</f>
        <v/>
      </c>
      <c r="AP4794">
        <f>IF('01_Вводные'!$B$234="Да",'19_Расчет_аналитики'!AP4396,0)</f>
        <v/>
      </c>
      <c r="AQ4794">
        <f>IF('01_Вводные'!$B$234="Да",'19_Расчет_аналитики'!AQ4396,0)</f>
        <v/>
      </c>
      <c r="AR4794">
        <f>IF('01_Вводные'!$B$234="Да",'19_Расчет_аналитики'!AR4396,0)</f>
        <v/>
      </c>
      <c r="AS4794">
        <f>IF('01_Вводные'!$B$234="Да",'19_Расчет_аналитики'!AS4396,0)</f>
        <v/>
      </c>
      <c r="AT4794">
        <f>IF('01_Вводные'!$B$234="Да",'19_Расчет_аналитики'!AT4396,0)</f>
        <v/>
      </c>
      <c r="AU4794">
        <f>IF('01_Вводные'!$B$234="Да",'19_Расчет_аналитики'!AU4396,0)</f>
        <v/>
      </c>
      <c r="AV4794">
        <f>IF('01_Вводные'!$B$234="Да",'19_Расчет_аналитики'!AV4396,0)</f>
        <v/>
      </c>
      <c r="AW4794">
        <f>IF('01_Вводные'!$B$234="Да",'19_Расчет_аналитики'!AW4396,0)</f>
        <v/>
      </c>
      <c r="AX4794">
        <f>IF('01_Вводные'!$B$234="Да",'19_Расчет_аналитики'!AX4396,0)</f>
        <v/>
      </c>
      <c r="AY4794">
        <f>IF('01_Вводные'!$B$234="Да",'19_Расчет_аналитики'!AY4396,0)</f>
        <v/>
      </c>
      <c r="AZ4794">
        <f>IF('01_Вводные'!$B$234="Да",'19_Расчет_аналитики'!AZ4396,0)</f>
        <v/>
      </c>
      <c r="BA4794">
        <f>IF('01_Вводные'!$B$234="Да",'19_Расчет_аналитики'!BA4396,0)</f>
        <v/>
      </c>
      <c r="BB4794">
        <f>IF('01_Вводные'!$B$234="Да",'19_Расчет_аналитики'!BB4396,0)</f>
        <v/>
      </c>
      <c r="BC4794">
        <f>IF('01_Вводные'!$B$234="Да",'19_Расчет_аналитики'!BC4396,0)</f>
        <v/>
      </c>
      <c r="BD4794">
        <f>IF('01_Вводные'!$B$234="Да",'19_Расчет_аналитики'!BD4396,0)</f>
        <v/>
      </c>
      <c r="BE4794">
        <f>IF('01_Вводные'!$B$234="Да",'19_Расчет_аналитики'!BE4396,0)</f>
        <v/>
      </c>
      <c r="BF4794">
        <f>IF('01_Вводные'!$B$234="Да",'19_Расчет_аналитики'!BF4396,0)</f>
        <v/>
      </c>
      <c r="BG4794">
        <f>IF('01_Вводные'!$B$234="Да",'19_Расчет_аналитики'!BG4396,0)</f>
        <v/>
      </c>
      <c r="BH4794">
        <f>IF('01_Вводные'!$B$234="Да",'19_Расчет_аналитики'!BH4396,0)</f>
        <v/>
      </c>
      <c r="BI4794">
        <f>IF('01_Вводные'!$B$234="Да",'19_Расчет_аналитики'!BI4396,0)</f>
        <v/>
      </c>
    </row>
    <row r="4795">
      <c r="B4795">
        <f>IF('01_Вводные'!$B$234="Да",'19_Расчет_аналитики'!$B$4080*('19_Расчет_аналитики'!B4761+'19_Расчет_аналитики'!B4762)*(1+'01_Вводные'!$B$58)+(1-'19_Расчет_аналитики'!$B$4080)*0,0)</f>
        <v/>
      </c>
      <c r="C4795">
        <f>IF('01_Вводные'!$B$234="Да",'19_Расчет_аналитики'!$B$4080*('19_Расчет_аналитики'!C4761+'19_Расчет_аналитики'!C4762)*(1+'01_Вводные'!$B$58)+(1-'19_Расчет_аналитики'!$B$4080)*('19_Расчет_аналитики'!B4761+'19_Расчет_аналитики'!B4762)*(1+'01_Вводные'!$B$58),0)</f>
        <v/>
      </c>
      <c r="D4795">
        <f>IF('01_Вводные'!$B$234="Да",'19_Расчет_аналитики'!$B$4080*('19_Расчет_аналитики'!D4761+'19_Расчет_аналитики'!D4762)*(1+'01_Вводные'!$B$58)+(1-'19_Расчет_аналитики'!$B$4080)*('19_Расчет_аналитики'!C4761+'19_Расчет_аналитики'!C4762)*(1+'01_Вводные'!$B$58),0)</f>
        <v/>
      </c>
      <c r="E4795">
        <f>IF('01_Вводные'!$B$234="Да",'19_Расчет_аналитики'!$B$4080*('19_Расчет_аналитики'!E4761+'19_Расчет_аналитики'!E4762)*(1+'01_Вводные'!$B$58)+(1-'19_Расчет_аналитики'!$B$4080)*('19_Расчет_аналитики'!D4761+'19_Расчет_аналитики'!D4762)*(1+'01_Вводные'!$B$58),0)</f>
        <v/>
      </c>
      <c r="F4795">
        <f>IF('01_Вводные'!$B$234="Да",'19_Расчет_аналитики'!$B$4080*('19_Расчет_аналитики'!F4761+'19_Расчет_аналитики'!F4762)*(1+'01_Вводные'!$B$58)+(1-'19_Расчет_аналитики'!$B$4080)*('19_Расчет_аналитики'!E4761+'19_Расчет_аналитики'!E4762)*(1+'01_Вводные'!$B$58),0)</f>
        <v/>
      </c>
      <c r="G4795">
        <f>IF('01_Вводные'!$B$234="Да",'19_Расчет_аналитики'!$B$4080*('19_Расчет_аналитики'!G4761+'19_Расчет_аналитики'!G4762)*(1+'01_Вводные'!$B$58)+(1-'19_Расчет_аналитики'!$B$4080)*('19_Расчет_аналитики'!F4761+'19_Расчет_аналитики'!F4762)*(1+'01_Вводные'!$B$58),0)</f>
        <v/>
      </c>
      <c r="H4795">
        <f>IF('01_Вводные'!$B$234="Да",'19_Расчет_аналитики'!$B$4080*('19_Расчет_аналитики'!H4761+'19_Расчет_аналитики'!H4762)*(1+'01_Вводные'!$B$58)+(1-'19_Расчет_аналитики'!$B$4080)*('19_Расчет_аналитики'!G4761+'19_Расчет_аналитики'!G4762)*(1+'01_Вводные'!$B$58),0)</f>
        <v/>
      </c>
      <c r="I4795">
        <f>IF('01_Вводные'!$B$234="Да",'19_Расчет_аналитики'!$B$4080*('19_Расчет_аналитики'!I4761+'19_Расчет_аналитики'!I4762)*(1+'01_Вводные'!$B$58)+(1-'19_Расчет_аналитики'!$B$4080)*('19_Расчет_аналитики'!H4761+'19_Расчет_аналитики'!H4762)*(1+'01_Вводные'!$B$58),0)</f>
        <v/>
      </c>
      <c r="J4795">
        <f>IF('01_Вводные'!$B$234="Да",'19_Расчет_аналитики'!$B$4080*('19_Расчет_аналитики'!J4761+'19_Расчет_аналитики'!J4762)*(1+'01_Вводные'!$B$58)+(1-'19_Расчет_аналитики'!$B$4080)*('19_Расчет_аналитики'!I4761+'19_Расчет_аналитики'!I4762)*(1+'01_Вводные'!$B$58),0)</f>
        <v/>
      </c>
      <c r="K4795">
        <f>IF('01_Вводные'!$B$234="Да",'19_Расчет_аналитики'!$B$4080*('19_Расчет_аналитики'!K4761+'19_Расчет_аналитики'!K4762)*(1+'01_Вводные'!$B$58)+(1-'19_Расчет_аналитики'!$B$4080)*('19_Расчет_аналитики'!J4761+'19_Расчет_аналитики'!J4762)*(1+'01_Вводные'!$B$58),0)</f>
        <v/>
      </c>
      <c r="L4795">
        <f>IF('01_Вводные'!$B$234="Да",'19_Расчет_аналитики'!$B$4080*('19_Расчет_аналитики'!L4761+'19_Расчет_аналитики'!L4762)*(1+'01_Вводные'!$B$58)+(1-'19_Расчет_аналитики'!$B$4080)*('19_Расчет_аналитики'!K4761+'19_Расчет_аналитики'!K4762)*(1+'01_Вводные'!$B$58),0)</f>
        <v/>
      </c>
      <c r="M4795">
        <f>IF('01_Вводные'!$B$234="Да",'19_Расчет_аналитики'!$B$4080*('19_Расчет_аналитики'!M4761+'19_Расчет_аналитики'!M4762)*(1+'01_Вводные'!$B$58)+(1-'19_Расчет_аналитики'!$B$4080)*('19_Расчет_аналитики'!L4761+'19_Расчет_аналитики'!L4762)*(1+'01_Вводные'!$B$58),0)</f>
        <v/>
      </c>
      <c r="N4795">
        <f>IF('01_Вводные'!$B$234="Да",'19_Расчет_аналитики'!$B$4080*('19_Расчет_аналитики'!N4761+'19_Расчет_аналитики'!N4762)*(1+'01_Вводные'!$B$58)+(1-'19_Расчет_аналитики'!$B$4080)*('19_Расчет_аналитики'!M4761+'19_Расчет_аналитики'!M4762)*(1+'01_Вводные'!$B$58),0)</f>
        <v/>
      </c>
      <c r="O4795">
        <f>IF('01_Вводные'!$B$234="Да",'19_Расчет_аналитики'!$B$4080*('19_Расчет_аналитики'!O4761+'19_Расчет_аналитики'!O4762)*(1+'01_Вводные'!$B$58)+(1-'19_Расчет_аналитики'!$B$4080)*('19_Расчет_аналитики'!N4761+'19_Расчет_аналитики'!N4762)*(1+'01_Вводные'!$B$58),0)</f>
        <v/>
      </c>
      <c r="P4795">
        <f>IF('01_Вводные'!$B$234="Да",'19_Расчет_аналитики'!$B$4080*('19_Расчет_аналитики'!P4761+'19_Расчет_аналитики'!P4762)*(1+'01_Вводные'!$B$58)+(1-'19_Расчет_аналитики'!$B$4080)*('19_Расчет_аналитики'!O4761+'19_Расчет_аналитики'!O4762)*(1+'01_Вводные'!$B$58),0)</f>
        <v/>
      </c>
      <c r="Q4795">
        <f>IF('01_Вводные'!$B$234="Да",'19_Расчет_аналитики'!$B$4080*('19_Расчет_аналитики'!Q4761+'19_Расчет_аналитики'!Q4762)*(1+'01_Вводные'!$B$58)+(1-'19_Расчет_аналитики'!$B$4080)*('19_Расчет_аналитики'!P4761+'19_Расчет_аналитики'!P4762)*(1+'01_Вводные'!$B$58),0)</f>
        <v/>
      </c>
      <c r="R4795">
        <f>IF('01_Вводные'!$B$234="Да",'19_Расчет_аналитики'!$B$4080*('19_Расчет_аналитики'!R4761+'19_Расчет_аналитики'!R4762)*(1+'01_Вводные'!$B$58)+(1-'19_Расчет_аналитики'!$B$4080)*('19_Расчет_аналитики'!Q4761+'19_Расчет_аналитики'!Q4762)*(1+'01_Вводные'!$B$58),0)</f>
        <v/>
      </c>
      <c r="S4795">
        <f>IF('01_Вводные'!$B$234="Да",'19_Расчет_аналитики'!$B$4080*('19_Расчет_аналитики'!S4761+'19_Расчет_аналитики'!S4762)*(1+'01_Вводные'!$B$58)+(1-'19_Расчет_аналитики'!$B$4080)*('19_Расчет_аналитики'!R4761+'19_Расчет_аналитики'!R4762)*(1+'01_Вводные'!$B$58),0)</f>
        <v/>
      </c>
      <c r="T4795">
        <f>IF('01_Вводные'!$B$234="Да",'19_Расчет_аналитики'!$B$4080*('19_Расчет_аналитики'!T4761+'19_Расчет_аналитики'!T4762)*(1+'01_Вводные'!$B$58)+(1-'19_Расчет_аналитики'!$B$4080)*('19_Расчет_аналитики'!S4761+'19_Расчет_аналитики'!S4762)*(1+'01_Вводные'!$B$58),0)</f>
        <v/>
      </c>
      <c r="U4795">
        <f>IF('01_Вводные'!$B$234="Да",'19_Расчет_аналитики'!$B$4080*('19_Расчет_аналитики'!U4761+'19_Расчет_аналитики'!U4762)*(1+'01_Вводные'!$B$58)+(1-'19_Расчет_аналитики'!$B$4080)*('19_Расчет_аналитики'!T4761+'19_Расчет_аналитики'!T4762)*(1+'01_Вводные'!$B$58),0)</f>
        <v/>
      </c>
      <c r="V4795">
        <f>IF('01_Вводные'!$B$234="Да",'19_Расчет_аналитики'!$B$4080*('19_Расчет_аналитики'!V4761+'19_Расчет_аналитики'!V4762)*(1+'01_Вводные'!$B$58)+(1-'19_Расчет_аналитики'!$B$4080)*('19_Расчет_аналитики'!U4761+'19_Расчет_аналитики'!U4762)*(1+'01_Вводные'!$B$58),0)</f>
        <v/>
      </c>
      <c r="W4795">
        <f>IF('01_Вводные'!$B$234="Да",'19_Расчет_аналитики'!$B$4080*('19_Расчет_аналитики'!W4761+'19_Расчет_аналитики'!W4762)*(1+'01_Вводные'!$B$58)+(1-'19_Расчет_аналитики'!$B$4080)*('19_Расчет_аналитики'!V4761+'19_Расчет_аналитики'!V4762)*(1+'01_Вводные'!$B$58),0)</f>
        <v/>
      </c>
      <c r="X4795">
        <f>IF('01_Вводные'!$B$234="Да",'19_Расчет_аналитики'!$B$4080*('19_Расчет_аналитики'!X4761+'19_Расчет_аналитики'!X4762)*(1+'01_Вводные'!$B$58)+(1-'19_Расчет_аналитики'!$B$4080)*('19_Расчет_аналитики'!W4761+'19_Расчет_аналитики'!W4762)*(1+'01_Вводные'!$B$58),0)</f>
        <v/>
      </c>
      <c r="Y4795">
        <f>IF('01_Вводные'!$B$234="Да",'19_Расчет_аналитики'!$B$4080*('19_Расчет_аналитики'!Y4761+'19_Расчет_аналитики'!Y4762)*(1+'01_Вводные'!$B$58)+(1-'19_Расчет_аналитики'!$B$4080)*('19_Расчет_аналитики'!X4761+'19_Расчет_аналитики'!X4762)*(1+'01_Вводные'!$B$58),0)</f>
        <v/>
      </c>
      <c r="Z4795">
        <f>IF('01_Вводные'!$B$234="Да",'19_Расчет_аналитики'!$B$4080*('19_Расчет_аналитики'!Z4761+'19_Расчет_аналитики'!Z4762)*(1+'01_Вводные'!$B$58)+(1-'19_Расчет_аналитики'!$B$4080)*('19_Расчет_аналитики'!Y4761+'19_Расчет_аналитики'!Y4762)*(1+'01_Вводные'!$B$58),0)</f>
        <v/>
      </c>
      <c r="AA4795">
        <f>IF('01_Вводные'!$B$234="Да",'19_Расчет_аналитики'!$B$4080*('19_Расчет_аналитики'!AA4761+'19_Расчет_аналитики'!AA4762)*(1+'01_Вводные'!$B$58)+(1-'19_Расчет_аналитики'!$B$4080)*('19_Расчет_аналитики'!Z4761+'19_Расчет_аналитики'!Z4762)*(1+'01_Вводные'!$B$58),0)</f>
        <v/>
      </c>
      <c r="AB4795">
        <f>IF('01_Вводные'!$B$234="Да",'19_Расчет_аналитики'!$B$4080*('19_Расчет_аналитики'!AB4761+'19_Расчет_аналитики'!AB4762)*(1+'01_Вводные'!$B$58)+(1-'19_Расчет_аналитики'!$B$4080)*('19_Расчет_аналитики'!AA4761+'19_Расчет_аналитики'!AA4762)*(1+'01_Вводные'!$B$58),0)</f>
        <v/>
      </c>
      <c r="AC4795">
        <f>IF('01_Вводные'!$B$234="Да",'19_Расчет_аналитики'!$B$4080*('19_Расчет_аналитики'!AC4761+'19_Расчет_аналитики'!AC4762)*(1+'01_Вводные'!$B$58)+(1-'19_Расчет_аналитики'!$B$4080)*('19_Расчет_аналитики'!AB4761+'19_Расчет_аналитики'!AB4762)*(1+'01_Вводные'!$B$58),0)</f>
        <v/>
      </c>
      <c r="AD4795">
        <f>IF('01_Вводные'!$B$234="Да",'19_Расчет_аналитики'!$B$4080*('19_Расчет_аналитики'!AD4761+'19_Расчет_аналитики'!AD4762)*(1+'01_Вводные'!$B$58)+(1-'19_Расчет_аналитики'!$B$4080)*('19_Расчет_аналитики'!AC4761+'19_Расчет_аналитики'!AC4762)*(1+'01_Вводные'!$B$58),0)</f>
        <v/>
      </c>
      <c r="AE4795">
        <f>IF('01_Вводные'!$B$234="Да",'19_Расчет_аналитики'!$B$4080*('19_Расчет_аналитики'!AE4761+'19_Расчет_аналитики'!AE4762)*(1+'01_Вводные'!$B$58)+(1-'19_Расчет_аналитики'!$B$4080)*('19_Расчет_аналитики'!AD4761+'19_Расчет_аналитики'!AD4762)*(1+'01_Вводные'!$B$58),0)</f>
        <v/>
      </c>
      <c r="AF4795">
        <f>IF('01_Вводные'!$B$234="Да",'19_Расчет_аналитики'!$B$4080*('19_Расчет_аналитики'!AF4761+'19_Расчет_аналитики'!AF4762)*(1+'01_Вводные'!$B$58)+(1-'19_Расчет_аналитики'!$B$4080)*('19_Расчет_аналитики'!AE4761+'19_Расчет_аналитики'!AE4762)*(1+'01_Вводные'!$B$58),0)</f>
        <v/>
      </c>
      <c r="AG4795">
        <f>IF('01_Вводные'!$B$234="Да",'19_Расчет_аналитики'!$B$4080*('19_Расчет_аналитики'!AG4761+'19_Расчет_аналитики'!AG4762)*(1+'01_Вводные'!$B$58)+(1-'19_Расчет_аналитики'!$B$4080)*('19_Расчет_аналитики'!AF4761+'19_Расчет_аналитики'!AF4762)*(1+'01_Вводные'!$B$58),0)</f>
        <v/>
      </c>
      <c r="AH4795">
        <f>IF('01_Вводные'!$B$234="Да",'19_Расчет_аналитики'!$B$4080*('19_Расчет_аналитики'!AH4761+'19_Расчет_аналитики'!AH4762)*(1+'01_Вводные'!$B$58)+(1-'19_Расчет_аналитики'!$B$4080)*('19_Расчет_аналитики'!AG4761+'19_Расчет_аналитики'!AG4762)*(1+'01_Вводные'!$B$58),0)</f>
        <v/>
      </c>
      <c r="AI4795">
        <f>IF('01_Вводные'!$B$234="Да",'19_Расчет_аналитики'!$B$4080*('19_Расчет_аналитики'!AI4761+'19_Расчет_аналитики'!AI4762)*(1+'01_Вводные'!$B$58)+(1-'19_Расчет_аналитики'!$B$4080)*('19_Расчет_аналитики'!AH4761+'19_Расчет_аналитики'!AH4762)*(1+'01_Вводные'!$B$58),0)</f>
        <v/>
      </c>
      <c r="AJ4795">
        <f>IF('01_Вводные'!$B$234="Да",'19_Расчет_аналитики'!$B$4080*('19_Расчет_аналитики'!AJ4761+'19_Расчет_аналитики'!AJ4762)*(1+'01_Вводные'!$B$58)+(1-'19_Расчет_аналитики'!$B$4080)*('19_Расчет_аналитики'!AI4761+'19_Расчет_аналитики'!AI4762)*(1+'01_Вводные'!$B$58),0)</f>
        <v/>
      </c>
      <c r="AK4795">
        <f>IF('01_Вводные'!$B$234="Да",'19_Расчет_аналитики'!$B$4080*('19_Расчет_аналитики'!AK4761+'19_Расчет_аналитики'!AK4762)*(1+'01_Вводные'!$B$58)+(1-'19_Расчет_аналитики'!$B$4080)*('19_Расчет_аналитики'!AJ4761+'19_Расчет_аналитики'!AJ4762)*(1+'01_Вводные'!$B$58),0)</f>
        <v/>
      </c>
      <c r="AL4795">
        <f>IF('01_Вводные'!$B$234="Да",'19_Расчет_аналитики'!$B$4080*('19_Расчет_аналитики'!AL4761+'19_Расчет_аналитики'!AL4762)*(1+'01_Вводные'!$B$58)+(1-'19_Расчет_аналитики'!$B$4080)*('19_Расчет_аналитики'!AK4761+'19_Расчет_аналитики'!AK4762)*(1+'01_Вводные'!$B$58),0)</f>
        <v/>
      </c>
      <c r="AM4795">
        <f>IF('01_Вводные'!$B$234="Да",'19_Расчет_аналитики'!$B$4080*('19_Расчет_аналитики'!AM4761+'19_Расчет_аналитики'!AM4762)*(1+'01_Вводные'!$B$58)+(1-'19_Расчет_аналитики'!$B$4080)*('19_Расчет_аналитики'!AL4761+'19_Расчет_аналитики'!AL4762)*(1+'01_Вводные'!$B$58),0)</f>
        <v/>
      </c>
      <c r="AN4795">
        <f>IF('01_Вводные'!$B$234="Да",'19_Расчет_аналитики'!$B$4080*('19_Расчет_аналитики'!AN4761+'19_Расчет_аналитики'!AN4762)*(1+'01_Вводные'!$B$58)+(1-'19_Расчет_аналитики'!$B$4080)*('19_Расчет_аналитики'!AM4761+'19_Расчет_аналитики'!AM4762)*(1+'01_Вводные'!$B$58),0)</f>
        <v/>
      </c>
      <c r="AO4795">
        <f>IF('01_Вводные'!$B$234="Да",'19_Расчет_аналитики'!$B$4080*('19_Расчет_аналитики'!AO4761+'19_Расчет_аналитики'!AO4762)*(1+'01_Вводные'!$B$58)+(1-'19_Расчет_аналитики'!$B$4080)*('19_Расчет_аналитики'!AN4761+'19_Расчет_аналитики'!AN4762)*(1+'01_Вводные'!$B$58),0)</f>
        <v/>
      </c>
      <c r="AP4795">
        <f>IF('01_Вводные'!$B$234="Да",'19_Расчет_аналитики'!$B$4080*('19_Расчет_аналитики'!AP4761+'19_Расчет_аналитики'!AP4762)*(1+'01_Вводные'!$B$58)+(1-'19_Расчет_аналитики'!$B$4080)*('19_Расчет_аналитики'!AO4761+'19_Расчет_аналитики'!AO4762)*(1+'01_Вводные'!$B$58),0)</f>
        <v/>
      </c>
      <c r="AQ4795">
        <f>IF('01_Вводные'!$B$234="Да",'19_Расчет_аналитики'!$B$4080*('19_Расчет_аналитики'!AQ4761+'19_Расчет_аналитики'!AQ4762)*(1+'01_Вводные'!$B$58)+(1-'19_Расчет_аналитики'!$B$4080)*('19_Расчет_аналитики'!AP4761+'19_Расчет_аналитики'!AP4762)*(1+'01_Вводные'!$B$58),0)</f>
        <v/>
      </c>
      <c r="AR4795">
        <f>IF('01_Вводные'!$B$234="Да",'19_Расчет_аналитики'!$B$4080*('19_Расчет_аналитики'!AR4761+'19_Расчет_аналитики'!AR4762)*(1+'01_Вводные'!$B$58)+(1-'19_Расчет_аналитики'!$B$4080)*('19_Расчет_аналитики'!AQ4761+'19_Расчет_аналитики'!AQ4762)*(1+'01_Вводные'!$B$58),0)</f>
        <v/>
      </c>
      <c r="AS4795">
        <f>IF('01_Вводные'!$B$234="Да",'19_Расчет_аналитики'!$B$4080*('19_Расчет_аналитики'!AS4761+'19_Расчет_аналитики'!AS4762)*(1+'01_Вводные'!$B$58)+(1-'19_Расчет_аналитики'!$B$4080)*('19_Расчет_аналитики'!AR4761+'19_Расчет_аналитики'!AR4762)*(1+'01_Вводные'!$B$58),0)</f>
        <v/>
      </c>
      <c r="AT4795">
        <f>IF('01_Вводные'!$B$234="Да",'19_Расчет_аналитики'!$B$4080*('19_Расчет_аналитики'!AT4761+'19_Расчет_аналитики'!AT4762)*(1+'01_Вводные'!$B$58)+(1-'19_Расчет_аналитики'!$B$4080)*('19_Расчет_аналитики'!AS4761+'19_Расчет_аналитики'!AS4762)*(1+'01_Вводные'!$B$58),0)</f>
        <v/>
      </c>
      <c r="AU4795">
        <f>IF('01_Вводные'!$B$234="Да",'19_Расчет_аналитики'!$B$4080*('19_Расчет_аналитики'!AU4761+'19_Расчет_аналитики'!AU4762)*(1+'01_Вводные'!$B$58)+(1-'19_Расчет_аналитики'!$B$4080)*('19_Расчет_аналитики'!AT4761+'19_Расчет_аналитики'!AT4762)*(1+'01_Вводные'!$B$58),0)</f>
        <v/>
      </c>
      <c r="AV4795">
        <f>IF('01_Вводные'!$B$234="Да",'19_Расчет_аналитики'!$B$4080*('19_Расчет_аналитики'!AV4761+'19_Расчет_аналитики'!AV4762)*(1+'01_Вводные'!$B$58)+(1-'19_Расчет_аналитики'!$B$4080)*('19_Расчет_аналитики'!AU4761+'19_Расчет_аналитики'!AU4762)*(1+'01_Вводные'!$B$58),0)</f>
        <v/>
      </c>
      <c r="AW4795">
        <f>IF('01_Вводные'!$B$234="Да",'19_Расчет_аналитики'!$B$4080*('19_Расчет_аналитики'!AW4761+'19_Расчет_аналитики'!AW4762)*(1+'01_Вводные'!$B$58)+(1-'19_Расчет_аналитики'!$B$4080)*('19_Расчет_аналитики'!AV4761+'19_Расчет_аналитики'!AV4762)*(1+'01_Вводные'!$B$58),0)</f>
        <v/>
      </c>
      <c r="AX4795">
        <f>IF('01_Вводные'!$B$234="Да",'19_Расчет_аналитики'!$B$4080*('19_Расчет_аналитики'!AX4761+'19_Расчет_аналитики'!AX4762)*(1+'01_Вводные'!$B$58)+(1-'19_Расчет_аналитики'!$B$4080)*('19_Расчет_аналитики'!AW4761+'19_Расчет_аналитики'!AW4762)*(1+'01_Вводные'!$B$58),0)</f>
        <v/>
      </c>
      <c r="AY4795">
        <f>IF('01_Вводные'!$B$234="Да",'19_Расчет_аналитики'!$B$4080*('19_Расчет_аналитики'!AY4761+'19_Расчет_аналитики'!AY4762)*(1+'01_Вводные'!$B$58)+(1-'19_Расчет_аналитики'!$B$4080)*('19_Расчет_аналитики'!AX4761+'19_Расчет_аналитики'!AX4762)*(1+'01_Вводные'!$B$58),0)</f>
        <v/>
      </c>
      <c r="AZ4795">
        <f>IF('01_Вводные'!$B$234="Да",'19_Расчет_аналитики'!$B$4080*('19_Расчет_аналитики'!AZ4761+'19_Расчет_аналитики'!AZ4762)*(1+'01_Вводные'!$B$58)+(1-'19_Расчет_аналитики'!$B$4080)*('19_Расчет_аналитики'!AY4761+'19_Расчет_аналитики'!AY4762)*(1+'01_Вводные'!$B$58),0)</f>
        <v/>
      </c>
      <c r="BA4795">
        <f>IF('01_Вводные'!$B$234="Да",'19_Расчет_аналитики'!$B$4080*('19_Расчет_аналитики'!BA4761+'19_Расчет_аналитики'!BA4762)*(1+'01_Вводные'!$B$58)+(1-'19_Расчет_аналитики'!$B$4080)*('19_Расчет_аналитики'!AZ4761+'19_Расчет_аналитики'!AZ4762)*(1+'01_Вводные'!$B$58),0)</f>
        <v/>
      </c>
      <c r="BB4795">
        <f>IF('01_Вводные'!$B$234="Да",'19_Расчет_аналитики'!$B$4080*('19_Расчет_аналитики'!BB4761+'19_Расчет_аналитики'!BB4762)*(1+'01_Вводные'!$B$58)+(1-'19_Расчет_аналитики'!$B$4080)*('19_Расчет_аналитики'!BA4761+'19_Расчет_аналитики'!BA4762)*(1+'01_Вводные'!$B$58),0)</f>
        <v/>
      </c>
      <c r="BC4795">
        <f>IF('01_Вводные'!$B$234="Да",'19_Расчет_аналитики'!$B$4080*('19_Расчет_аналитики'!BC4761+'19_Расчет_аналитики'!BC4762)*(1+'01_Вводные'!$B$58)+(1-'19_Расчет_аналитики'!$B$4080)*('19_Расчет_аналитики'!BB4761+'19_Расчет_аналитики'!BB4762)*(1+'01_Вводные'!$B$58),0)</f>
        <v/>
      </c>
      <c r="BD4795">
        <f>IF('01_Вводные'!$B$234="Да",'19_Расчет_аналитики'!$B$4080*('19_Расчет_аналитики'!BD4761+'19_Расчет_аналитики'!BD4762)*(1+'01_Вводные'!$B$58)+(1-'19_Расчет_аналитики'!$B$4080)*('19_Расчет_аналитики'!BC4761+'19_Расчет_аналитики'!BC4762)*(1+'01_Вводные'!$B$58),0)</f>
        <v/>
      </c>
      <c r="BE4795">
        <f>IF('01_Вводные'!$B$234="Да",'19_Расчет_аналитики'!$B$4080*('19_Расчет_аналитики'!BE4761+'19_Расчет_аналитики'!BE4762)*(1+'01_Вводные'!$B$58)+(1-'19_Расчет_аналитики'!$B$4080)*('19_Расчет_аналитики'!BD4761+'19_Расчет_аналитики'!BD4762)*(1+'01_Вводные'!$B$58),0)</f>
        <v/>
      </c>
      <c r="BF4795">
        <f>IF('01_Вводные'!$B$234="Да",'19_Расчет_аналитики'!$B$4080*('19_Расчет_аналитики'!BF4761+'19_Расчет_аналитики'!BF4762)*(1+'01_Вводные'!$B$58)+(1-'19_Расчет_аналитики'!$B$4080)*('19_Расчет_аналитики'!BE4761+'19_Расчет_аналитики'!BE4762)*(1+'01_Вводные'!$B$58),0)</f>
        <v/>
      </c>
      <c r="BG4795">
        <f>IF('01_Вводные'!$B$234="Да",'19_Расчет_аналитики'!$B$4080*('19_Расчет_аналитики'!BG4761+'19_Расчет_аналитики'!BG4762)*(1+'01_Вводные'!$B$58)+(1-'19_Расчет_аналитики'!$B$4080)*('19_Расчет_аналитики'!BF4761+'19_Расчет_аналитики'!BF4762)*(1+'01_Вводные'!$B$58),0)</f>
        <v/>
      </c>
      <c r="BH4795">
        <f>IF('01_Вводные'!$B$234="Да",'19_Расчет_аналитики'!$B$4080*('19_Расчет_аналитики'!BH4761+'19_Расчет_аналитики'!BH4762)*(1+'01_Вводные'!$B$58)+(1-'19_Расчет_аналитики'!$B$4080)*('19_Расчет_аналитики'!BG4761+'19_Расчет_аналитики'!BG4762)*(1+'01_Вводные'!$B$58),0)</f>
        <v/>
      </c>
      <c r="BI4795">
        <f>IF('01_Вводные'!$B$234="Да",'19_Расчет_аналитики'!$B$4080*('19_Расчет_аналитики'!BI4761+'19_Расчет_аналитики'!BI4762)*(1+'01_Вводные'!$B$58)+(1-'19_Расчет_аналитики'!$B$4080)*('19_Расчет_аналитики'!BH4761+'19_Расчет_аналитики'!BH4762)*(1+'01_Вводные'!$B$58),0)</f>
        <v/>
      </c>
    </row>
    <row r="4796">
      <c r="B4796">
        <f>IF('01_Вводные'!$B$234="Да",'19_Расчет_аналитики'!B4663,0)</f>
        <v/>
      </c>
      <c r="C4796">
        <f>IF('01_Вводные'!$B$234="Да",'19_Расчет_аналитики'!C4663,0)</f>
        <v/>
      </c>
      <c r="D4796">
        <f>IF('01_Вводные'!$B$234="Да",'19_Расчет_аналитики'!D4663,0)</f>
        <v/>
      </c>
      <c r="E4796">
        <f>IF('01_Вводные'!$B$234="Да",'19_Расчет_аналитики'!E4663,0)</f>
        <v/>
      </c>
      <c r="F4796">
        <f>IF('01_Вводные'!$B$234="Да",'19_Расчет_аналитики'!F4663,0)</f>
        <v/>
      </c>
      <c r="G4796">
        <f>IF('01_Вводные'!$B$234="Да",'19_Расчет_аналитики'!G4663,0)</f>
        <v/>
      </c>
      <c r="H4796">
        <f>IF('01_Вводные'!$B$234="Да",'19_Расчет_аналитики'!H4663,0)</f>
        <v/>
      </c>
      <c r="I4796">
        <f>IF('01_Вводные'!$B$234="Да",'19_Расчет_аналитики'!I4663,0)</f>
        <v/>
      </c>
      <c r="J4796">
        <f>IF('01_Вводные'!$B$234="Да",'19_Расчет_аналитики'!J4663,0)</f>
        <v/>
      </c>
      <c r="K4796">
        <f>IF('01_Вводные'!$B$234="Да",'19_Расчет_аналитики'!K4663,0)</f>
        <v/>
      </c>
      <c r="L4796">
        <f>IF('01_Вводные'!$B$234="Да",'19_Расчет_аналитики'!L4663,0)</f>
        <v/>
      </c>
      <c r="M4796">
        <f>IF('01_Вводные'!$B$234="Да",'19_Расчет_аналитики'!M4663,0)</f>
        <v/>
      </c>
      <c r="N4796">
        <f>IF('01_Вводные'!$B$234="Да",'19_Расчет_аналитики'!N4663,0)</f>
        <v/>
      </c>
      <c r="O4796">
        <f>IF('01_Вводные'!$B$234="Да",'19_Расчет_аналитики'!O4663,0)</f>
        <v/>
      </c>
      <c r="P4796">
        <f>IF('01_Вводные'!$B$234="Да",'19_Расчет_аналитики'!P4663,0)</f>
        <v/>
      </c>
      <c r="Q4796">
        <f>IF('01_Вводные'!$B$234="Да",'19_Расчет_аналитики'!Q4663,0)</f>
        <v/>
      </c>
      <c r="R4796">
        <f>IF('01_Вводные'!$B$234="Да",'19_Расчет_аналитики'!R4663,0)</f>
        <v/>
      </c>
      <c r="S4796">
        <f>IF('01_Вводные'!$B$234="Да",'19_Расчет_аналитики'!S4663,0)</f>
        <v/>
      </c>
      <c r="T4796">
        <f>IF('01_Вводные'!$B$234="Да",'19_Расчет_аналитики'!T4663,0)</f>
        <v/>
      </c>
      <c r="U4796">
        <f>IF('01_Вводные'!$B$234="Да",'19_Расчет_аналитики'!U4663,0)</f>
        <v/>
      </c>
      <c r="V4796">
        <f>IF('01_Вводные'!$B$234="Да",'19_Расчет_аналитики'!V4663,0)</f>
        <v/>
      </c>
      <c r="W4796">
        <f>IF('01_Вводные'!$B$234="Да",'19_Расчет_аналитики'!W4663,0)</f>
        <v/>
      </c>
      <c r="X4796">
        <f>IF('01_Вводные'!$B$234="Да",'19_Расчет_аналитики'!X4663,0)</f>
        <v/>
      </c>
      <c r="Y4796">
        <f>IF('01_Вводные'!$B$234="Да",'19_Расчет_аналитики'!Y4663,0)</f>
        <v/>
      </c>
      <c r="Z4796">
        <f>IF('01_Вводные'!$B$234="Да",'19_Расчет_аналитики'!Z4663,0)</f>
        <v/>
      </c>
      <c r="AA4796">
        <f>IF('01_Вводные'!$B$234="Да",'19_Расчет_аналитики'!AA4663,0)</f>
        <v/>
      </c>
      <c r="AB4796">
        <f>IF('01_Вводные'!$B$234="Да",'19_Расчет_аналитики'!AB4663,0)</f>
        <v/>
      </c>
      <c r="AC4796">
        <f>IF('01_Вводные'!$B$234="Да",'19_Расчет_аналитики'!AC4663,0)</f>
        <v/>
      </c>
      <c r="AD4796">
        <f>IF('01_Вводные'!$B$234="Да",'19_Расчет_аналитики'!AD4663,0)</f>
        <v/>
      </c>
      <c r="AE4796">
        <f>IF('01_Вводные'!$B$234="Да",'19_Расчет_аналитики'!AE4663,0)</f>
        <v/>
      </c>
      <c r="AF4796">
        <f>IF('01_Вводные'!$B$234="Да",'19_Расчет_аналитики'!AF4663,0)</f>
        <v/>
      </c>
      <c r="AG4796">
        <f>IF('01_Вводные'!$B$234="Да",'19_Расчет_аналитики'!AG4663,0)</f>
        <v/>
      </c>
      <c r="AH4796">
        <f>IF('01_Вводные'!$B$234="Да",'19_Расчет_аналитики'!AH4663,0)</f>
        <v/>
      </c>
      <c r="AI4796">
        <f>IF('01_Вводные'!$B$234="Да",'19_Расчет_аналитики'!AI4663,0)</f>
        <v/>
      </c>
      <c r="AJ4796">
        <f>IF('01_Вводные'!$B$234="Да",'19_Расчет_аналитики'!AJ4663,0)</f>
        <v/>
      </c>
      <c r="AK4796">
        <f>IF('01_Вводные'!$B$234="Да",'19_Расчет_аналитики'!AK4663,0)</f>
        <v/>
      </c>
      <c r="AL4796">
        <f>IF('01_Вводные'!$B$234="Да",'19_Расчет_аналитики'!AL4663,0)</f>
        <v/>
      </c>
      <c r="AM4796">
        <f>IF('01_Вводные'!$B$234="Да",'19_Расчет_аналитики'!AM4663,0)</f>
        <v/>
      </c>
      <c r="AN4796">
        <f>IF('01_Вводные'!$B$234="Да",'19_Расчет_аналитики'!AN4663,0)</f>
        <v/>
      </c>
      <c r="AO4796">
        <f>IF('01_Вводные'!$B$234="Да",'19_Расчет_аналитики'!AO4663,0)</f>
        <v/>
      </c>
      <c r="AP4796">
        <f>IF('01_Вводные'!$B$234="Да",'19_Расчет_аналитики'!AP4663,0)</f>
        <v/>
      </c>
      <c r="AQ4796">
        <f>IF('01_Вводные'!$B$234="Да",'19_Расчет_аналитики'!AQ4663,0)</f>
        <v/>
      </c>
      <c r="AR4796">
        <f>IF('01_Вводные'!$B$234="Да",'19_Расчет_аналитики'!AR4663,0)</f>
        <v/>
      </c>
      <c r="AS4796">
        <f>IF('01_Вводные'!$B$234="Да",'19_Расчет_аналитики'!AS4663,0)</f>
        <v/>
      </c>
      <c r="AT4796">
        <f>IF('01_Вводные'!$B$234="Да",'19_Расчет_аналитики'!AT4663,0)</f>
        <v/>
      </c>
      <c r="AU4796">
        <f>IF('01_Вводные'!$B$234="Да",'19_Расчет_аналитики'!AU4663,0)</f>
        <v/>
      </c>
      <c r="AV4796">
        <f>IF('01_Вводные'!$B$234="Да",'19_Расчет_аналитики'!AV4663,0)</f>
        <v/>
      </c>
      <c r="AW4796">
        <f>IF('01_Вводные'!$B$234="Да",'19_Расчет_аналитики'!AW4663,0)</f>
        <v/>
      </c>
      <c r="AX4796">
        <f>IF('01_Вводные'!$B$234="Да",'19_Расчет_аналитики'!AX4663,0)</f>
        <v/>
      </c>
      <c r="AY4796">
        <f>IF('01_Вводные'!$B$234="Да",'19_Расчет_аналитики'!AY4663,0)</f>
        <v/>
      </c>
      <c r="AZ4796">
        <f>IF('01_Вводные'!$B$234="Да",'19_Расчет_аналитики'!AZ4663,0)</f>
        <v/>
      </c>
      <c r="BA4796">
        <f>IF('01_Вводные'!$B$234="Да",'19_Расчет_аналитики'!BA4663,0)</f>
        <v/>
      </c>
      <c r="BB4796">
        <f>IF('01_Вводные'!$B$234="Да",'19_Расчет_аналитики'!BB4663,0)</f>
        <v/>
      </c>
      <c r="BC4796">
        <f>IF('01_Вводные'!$B$234="Да",'19_Расчет_аналитики'!BC4663,0)</f>
        <v/>
      </c>
      <c r="BD4796">
        <f>IF('01_Вводные'!$B$234="Да",'19_Расчет_аналитики'!BD4663,0)</f>
        <v/>
      </c>
      <c r="BE4796">
        <f>IF('01_Вводные'!$B$234="Да",'19_Расчет_аналитики'!BE4663,0)</f>
        <v/>
      </c>
      <c r="BF4796">
        <f>IF('01_Вводные'!$B$234="Да",'19_Расчет_аналитики'!BF4663,0)</f>
        <v/>
      </c>
      <c r="BG4796">
        <f>IF('01_Вводные'!$B$234="Да",'19_Расчет_аналитики'!BG4663,0)</f>
        <v/>
      </c>
      <c r="BH4796">
        <f>IF('01_Вводные'!$B$234="Да",'19_Расчет_аналитики'!BH4663,0)</f>
        <v/>
      </c>
      <c r="BI4796">
        <f>IF('01_Вводные'!$B$234="Да",'19_Расчет_аналитики'!BI4663,0)</f>
        <v/>
      </c>
    </row>
    <row r="4797">
      <c r="B4797">
        <f>'02_Модель'!B55</f>
        <v/>
      </c>
      <c r="C4797">
        <f>'02_Модель'!C55</f>
        <v/>
      </c>
      <c r="D4797">
        <f>'02_Модель'!D55</f>
        <v/>
      </c>
      <c r="E4797">
        <f>'02_Модель'!E55</f>
        <v/>
      </c>
      <c r="F4797">
        <f>'02_Модель'!F55</f>
        <v/>
      </c>
      <c r="G4797">
        <f>'02_Модель'!G55</f>
        <v/>
      </c>
      <c r="H4797">
        <f>'02_Модель'!H55</f>
        <v/>
      </c>
      <c r="I4797">
        <f>'02_Модель'!I55</f>
        <v/>
      </c>
      <c r="J4797">
        <f>'02_Модель'!J55</f>
        <v/>
      </c>
      <c r="K4797">
        <f>'02_Модель'!K55</f>
        <v/>
      </c>
      <c r="L4797">
        <f>'02_Модель'!L55</f>
        <v/>
      </c>
      <c r="M4797">
        <f>'02_Модель'!M55</f>
        <v/>
      </c>
      <c r="N4797">
        <f>'02_Модель'!N55</f>
        <v/>
      </c>
      <c r="O4797">
        <f>'02_Модель'!O55</f>
        <v/>
      </c>
      <c r="P4797">
        <f>'02_Модель'!P55</f>
        <v/>
      </c>
      <c r="Q4797">
        <f>'02_Модель'!Q55</f>
        <v/>
      </c>
      <c r="R4797">
        <f>'02_Модель'!R55</f>
        <v/>
      </c>
      <c r="S4797">
        <f>'02_Модель'!S55</f>
        <v/>
      </c>
      <c r="T4797">
        <f>'02_Модель'!T55</f>
        <v/>
      </c>
      <c r="U4797">
        <f>'02_Модель'!U55</f>
        <v/>
      </c>
      <c r="V4797">
        <f>'02_Модель'!V55</f>
        <v/>
      </c>
      <c r="W4797">
        <f>'02_Модель'!W55</f>
        <v/>
      </c>
      <c r="X4797">
        <f>'02_Модель'!X55</f>
        <v/>
      </c>
      <c r="Y4797">
        <f>'02_Модель'!Y55</f>
        <v/>
      </c>
      <c r="Z4797">
        <f>'02_Модель'!Z55</f>
        <v/>
      </c>
      <c r="AA4797">
        <f>'02_Модель'!AA55</f>
        <v/>
      </c>
      <c r="AB4797">
        <f>'02_Модель'!AB55</f>
        <v/>
      </c>
      <c r="AC4797">
        <f>'02_Модель'!AC55</f>
        <v/>
      </c>
      <c r="AD4797">
        <f>'02_Модель'!AD55</f>
        <v/>
      </c>
      <c r="AE4797">
        <f>'02_Модель'!AE55</f>
        <v/>
      </c>
      <c r="AF4797">
        <f>'02_Модель'!AF55</f>
        <v/>
      </c>
      <c r="AG4797">
        <f>'02_Модель'!AG55</f>
        <v/>
      </c>
      <c r="AH4797">
        <f>'02_Модель'!AH55</f>
        <v/>
      </c>
      <c r="AI4797">
        <f>'02_Модель'!AI55</f>
        <v/>
      </c>
      <c r="AJ4797">
        <f>'02_Модель'!AJ55</f>
        <v/>
      </c>
      <c r="AK4797">
        <f>'02_Модель'!AK55</f>
        <v/>
      </c>
      <c r="AL4797">
        <f>'02_Модель'!AL55</f>
        <v/>
      </c>
      <c r="AM4797">
        <f>'02_Модель'!AM55</f>
        <v/>
      </c>
      <c r="AN4797">
        <f>'02_Модель'!AN55</f>
        <v/>
      </c>
      <c r="AO4797">
        <f>'02_Модель'!AO55</f>
        <v/>
      </c>
      <c r="AP4797">
        <f>'02_Модель'!AP55</f>
        <v/>
      </c>
      <c r="AQ4797">
        <f>'02_Модель'!AQ55</f>
        <v/>
      </c>
      <c r="AR4797">
        <f>'02_Модель'!AR55</f>
        <v/>
      </c>
      <c r="AS4797">
        <f>'02_Модель'!AS55</f>
        <v/>
      </c>
      <c r="AT4797">
        <f>'02_Модель'!AT55</f>
        <v/>
      </c>
      <c r="AU4797">
        <f>'02_Модель'!AU55</f>
        <v/>
      </c>
      <c r="AV4797">
        <f>'02_Модель'!AV55</f>
        <v/>
      </c>
      <c r="AW4797">
        <f>'02_Модель'!AW55</f>
        <v/>
      </c>
      <c r="AX4797">
        <f>'02_Модель'!AX55</f>
        <v/>
      </c>
      <c r="AY4797">
        <f>'02_Модель'!AY55</f>
        <v/>
      </c>
      <c r="AZ4797">
        <f>'02_Модель'!AZ55</f>
        <v/>
      </c>
      <c r="BA4797">
        <f>'02_Модель'!BA55</f>
        <v/>
      </c>
      <c r="BB4797">
        <f>'02_Модель'!BB55</f>
        <v/>
      </c>
      <c r="BC4797">
        <f>'02_Модель'!BC55</f>
        <v/>
      </c>
      <c r="BD4797">
        <f>'02_Модель'!BD55</f>
        <v/>
      </c>
      <c r="BE4797">
        <f>'02_Модель'!BE55</f>
        <v/>
      </c>
      <c r="BF4797">
        <f>'02_Модель'!BF55</f>
        <v/>
      </c>
      <c r="BG4797">
        <f>'02_Модель'!BG55</f>
        <v/>
      </c>
      <c r="BH4797">
        <f>'02_Модель'!BH55</f>
        <v/>
      </c>
      <c r="BI4797">
        <f>'02_Модель'!BI55</f>
        <v/>
      </c>
    </row>
    <row r="4798">
      <c r="B4798">
        <f>IF('01_Вводные'!$B$234="Да",SUM('19_Расчет_аналитики'!B4794:B4797),0)</f>
        <v/>
      </c>
      <c r="C4798">
        <f>IF('01_Вводные'!$B$234="Да",SUM('19_Расчет_аналитики'!C4794:C4797),0)</f>
        <v/>
      </c>
      <c r="D4798">
        <f>IF('01_Вводные'!$B$234="Да",SUM('19_Расчет_аналитики'!D4794:D4797),0)</f>
        <v/>
      </c>
      <c r="E4798">
        <f>IF('01_Вводные'!$B$234="Да",SUM('19_Расчет_аналитики'!E4794:E4797),0)</f>
        <v/>
      </c>
      <c r="F4798">
        <f>IF('01_Вводные'!$B$234="Да",SUM('19_Расчет_аналитики'!F4794:F4797),0)</f>
        <v/>
      </c>
      <c r="G4798">
        <f>IF('01_Вводные'!$B$234="Да",SUM('19_Расчет_аналитики'!G4794:G4797),0)</f>
        <v/>
      </c>
      <c r="H4798">
        <f>IF('01_Вводные'!$B$234="Да",SUM('19_Расчет_аналитики'!H4794:H4797),0)</f>
        <v/>
      </c>
      <c r="I4798">
        <f>IF('01_Вводные'!$B$234="Да",SUM('19_Расчет_аналитики'!I4794:I4797),0)</f>
        <v/>
      </c>
      <c r="J4798">
        <f>IF('01_Вводные'!$B$234="Да",SUM('19_Расчет_аналитики'!J4794:J4797),0)</f>
        <v/>
      </c>
      <c r="K4798">
        <f>IF('01_Вводные'!$B$234="Да",SUM('19_Расчет_аналитики'!K4794:K4797),0)</f>
        <v/>
      </c>
      <c r="L4798">
        <f>IF('01_Вводные'!$B$234="Да",SUM('19_Расчет_аналитики'!L4794:L4797),0)</f>
        <v/>
      </c>
      <c r="M4798">
        <f>IF('01_Вводные'!$B$234="Да",SUM('19_Расчет_аналитики'!M4794:M4797),0)</f>
        <v/>
      </c>
      <c r="N4798">
        <f>IF('01_Вводные'!$B$234="Да",SUM('19_Расчет_аналитики'!N4794:N4797),0)</f>
        <v/>
      </c>
      <c r="O4798">
        <f>IF('01_Вводные'!$B$234="Да",SUM('19_Расчет_аналитики'!O4794:O4797),0)</f>
        <v/>
      </c>
      <c r="P4798">
        <f>IF('01_Вводные'!$B$234="Да",SUM('19_Расчет_аналитики'!P4794:P4797),0)</f>
        <v/>
      </c>
      <c r="Q4798">
        <f>IF('01_Вводные'!$B$234="Да",SUM('19_Расчет_аналитики'!Q4794:Q4797),0)</f>
        <v/>
      </c>
      <c r="R4798">
        <f>IF('01_Вводные'!$B$234="Да",SUM('19_Расчет_аналитики'!R4794:R4797),0)</f>
        <v/>
      </c>
      <c r="S4798">
        <f>IF('01_Вводные'!$B$234="Да",SUM('19_Расчет_аналитики'!S4794:S4797),0)</f>
        <v/>
      </c>
      <c r="T4798">
        <f>IF('01_Вводные'!$B$234="Да",SUM('19_Расчет_аналитики'!T4794:T4797),0)</f>
        <v/>
      </c>
      <c r="U4798">
        <f>IF('01_Вводные'!$B$234="Да",SUM('19_Расчет_аналитики'!U4794:U4797),0)</f>
        <v/>
      </c>
      <c r="V4798">
        <f>IF('01_Вводные'!$B$234="Да",SUM('19_Расчет_аналитики'!V4794:V4797),0)</f>
        <v/>
      </c>
      <c r="W4798">
        <f>IF('01_Вводные'!$B$234="Да",SUM('19_Расчет_аналитики'!W4794:W4797),0)</f>
        <v/>
      </c>
      <c r="X4798">
        <f>IF('01_Вводные'!$B$234="Да",SUM('19_Расчет_аналитики'!X4794:X4797),0)</f>
        <v/>
      </c>
      <c r="Y4798">
        <f>IF('01_Вводные'!$B$234="Да",SUM('19_Расчет_аналитики'!Y4794:Y4797),0)</f>
        <v/>
      </c>
      <c r="Z4798">
        <f>IF('01_Вводные'!$B$234="Да",SUM('19_Расчет_аналитики'!Z4794:Z4797),0)</f>
        <v/>
      </c>
      <c r="AA4798">
        <f>IF('01_Вводные'!$B$234="Да",SUM('19_Расчет_аналитики'!AA4794:AA4797),0)</f>
        <v/>
      </c>
      <c r="AB4798">
        <f>IF('01_Вводные'!$B$234="Да",SUM('19_Расчет_аналитики'!AB4794:AB4797),0)</f>
        <v/>
      </c>
      <c r="AC4798">
        <f>IF('01_Вводные'!$B$234="Да",SUM('19_Расчет_аналитики'!AC4794:AC4797),0)</f>
        <v/>
      </c>
      <c r="AD4798">
        <f>IF('01_Вводные'!$B$234="Да",SUM('19_Расчет_аналитики'!AD4794:AD4797),0)</f>
        <v/>
      </c>
      <c r="AE4798">
        <f>IF('01_Вводные'!$B$234="Да",SUM('19_Расчет_аналитики'!AE4794:AE4797),0)</f>
        <v/>
      </c>
      <c r="AF4798">
        <f>IF('01_Вводные'!$B$234="Да",SUM('19_Расчет_аналитики'!AF4794:AF4797),0)</f>
        <v/>
      </c>
      <c r="AG4798">
        <f>IF('01_Вводные'!$B$234="Да",SUM('19_Расчет_аналитики'!AG4794:AG4797),0)</f>
        <v/>
      </c>
      <c r="AH4798">
        <f>IF('01_Вводные'!$B$234="Да",SUM('19_Расчет_аналитики'!AH4794:AH4797),0)</f>
        <v/>
      </c>
      <c r="AI4798">
        <f>IF('01_Вводные'!$B$234="Да",SUM('19_Расчет_аналитики'!AI4794:AI4797),0)</f>
        <v/>
      </c>
      <c r="AJ4798">
        <f>IF('01_Вводные'!$B$234="Да",SUM('19_Расчет_аналитики'!AJ4794:AJ4797),0)</f>
        <v/>
      </c>
      <c r="AK4798">
        <f>IF('01_Вводные'!$B$234="Да",SUM('19_Расчет_аналитики'!AK4794:AK4797),0)</f>
        <v/>
      </c>
      <c r="AL4798">
        <f>IF('01_Вводные'!$B$234="Да",SUM('19_Расчет_аналитики'!AL4794:AL4797),0)</f>
        <v/>
      </c>
      <c r="AM4798">
        <f>IF('01_Вводные'!$B$234="Да",SUM('19_Расчет_аналитики'!AM4794:AM4797),0)</f>
        <v/>
      </c>
      <c r="AN4798">
        <f>IF('01_Вводные'!$B$234="Да",SUM('19_Расчет_аналитики'!AN4794:AN4797),0)</f>
        <v/>
      </c>
      <c r="AO4798">
        <f>IF('01_Вводные'!$B$234="Да",SUM('19_Расчет_аналитики'!AO4794:AO4797),0)</f>
        <v/>
      </c>
      <c r="AP4798">
        <f>IF('01_Вводные'!$B$234="Да",SUM('19_Расчет_аналитики'!AP4794:AP4797),0)</f>
        <v/>
      </c>
      <c r="AQ4798">
        <f>IF('01_Вводные'!$B$234="Да",SUM('19_Расчет_аналитики'!AQ4794:AQ4797),0)</f>
        <v/>
      </c>
      <c r="AR4798">
        <f>IF('01_Вводные'!$B$234="Да",SUM('19_Расчет_аналитики'!AR4794:AR4797),0)</f>
        <v/>
      </c>
      <c r="AS4798">
        <f>IF('01_Вводные'!$B$234="Да",SUM('19_Расчет_аналитики'!AS4794:AS4797),0)</f>
        <v/>
      </c>
      <c r="AT4798">
        <f>IF('01_Вводные'!$B$234="Да",SUM('19_Расчет_аналитики'!AT4794:AT4797),0)</f>
        <v/>
      </c>
      <c r="AU4798">
        <f>IF('01_Вводные'!$B$234="Да",SUM('19_Расчет_аналитики'!AU4794:AU4797),0)</f>
        <v/>
      </c>
      <c r="AV4798">
        <f>IF('01_Вводные'!$B$234="Да",SUM('19_Расчет_аналитики'!AV4794:AV4797),0)</f>
        <v/>
      </c>
      <c r="AW4798">
        <f>IF('01_Вводные'!$B$234="Да",SUM('19_Расчет_аналитики'!AW4794:AW4797),0)</f>
        <v/>
      </c>
      <c r="AX4798">
        <f>IF('01_Вводные'!$B$234="Да",SUM('19_Расчет_аналитики'!AX4794:AX4797),0)</f>
        <v/>
      </c>
      <c r="AY4798">
        <f>IF('01_Вводные'!$B$234="Да",SUM('19_Расчет_аналитики'!AY4794:AY4797),0)</f>
        <v/>
      </c>
      <c r="AZ4798">
        <f>IF('01_Вводные'!$B$234="Да",SUM('19_Расчет_аналитики'!AZ4794:AZ4797),0)</f>
        <v/>
      </c>
      <c r="BA4798">
        <f>IF('01_Вводные'!$B$234="Да",SUM('19_Расчет_аналитики'!BA4794:BA4797),0)</f>
        <v/>
      </c>
      <c r="BB4798">
        <f>IF('01_Вводные'!$B$234="Да",SUM('19_Расчет_аналитики'!BB4794:BB4797),0)</f>
        <v/>
      </c>
      <c r="BC4798">
        <f>IF('01_Вводные'!$B$234="Да",SUM('19_Расчет_аналитики'!BC4794:BC4797),0)</f>
        <v/>
      </c>
      <c r="BD4798">
        <f>IF('01_Вводные'!$B$234="Да",SUM('19_Расчет_аналитики'!BD4794:BD4797),0)</f>
        <v/>
      </c>
      <c r="BE4798">
        <f>IF('01_Вводные'!$B$234="Да",SUM('19_Расчет_аналитики'!BE4794:BE4797),0)</f>
        <v/>
      </c>
      <c r="BF4798">
        <f>IF('01_Вводные'!$B$234="Да",SUM('19_Расчет_аналитики'!BF4794:BF4797),0)</f>
        <v/>
      </c>
      <c r="BG4798">
        <f>IF('01_Вводные'!$B$234="Да",SUM('19_Расчет_аналитики'!BG4794:BG4797),0)</f>
        <v/>
      </c>
      <c r="BH4798">
        <f>IF('01_Вводные'!$B$234="Да",SUM('19_Расчет_аналитики'!BH4794:BH4797),0)</f>
        <v/>
      </c>
      <c r="BI4798">
        <f>IF('01_Вводные'!$B$234="Да",SUM('19_Расчет_аналитики'!BI4794:BI4797),0)</f>
        <v/>
      </c>
    </row>
    <row r="4799">
      <c r="B4799">
        <f>IF('01_Вводные'!$B$234="Да",'19_Расчет_аналитики'!B4841,0)</f>
        <v/>
      </c>
      <c r="C4799">
        <f>IF('01_Вводные'!$B$234="Да",'19_Расчет_аналитики'!C4841,0)</f>
        <v/>
      </c>
      <c r="D4799">
        <f>IF('01_Вводные'!$B$234="Да",'19_Расчет_аналитики'!D4841,0)</f>
        <v/>
      </c>
      <c r="E4799">
        <f>IF('01_Вводные'!$B$234="Да",'19_Расчет_аналитики'!E4841,0)</f>
        <v/>
      </c>
      <c r="F4799">
        <f>IF('01_Вводные'!$B$234="Да",'19_Расчет_аналитики'!F4841,0)</f>
        <v/>
      </c>
      <c r="G4799">
        <f>IF('01_Вводные'!$B$234="Да",'19_Расчет_аналитики'!G4841,0)</f>
        <v/>
      </c>
      <c r="H4799">
        <f>IF('01_Вводные'!$B$234="Да",'19_Расчет_аналитики'!H4841,0)</f>
        <v/>
      </c>
      <c r="I4799">
        <f>IF('01_Вводные'!$B$234="Да",'19_Расчет_аналитики'!I4841,0)</f>
        <v/>
      </c>
      <c r="J4799">
        <f>IF('01_Вводные'!$B$234="Да",'19_Расчет_аналитики'!J4841,0)</f>
        <v/>
      </c>
      <c r="K4799">
        <f>IF('01_Вводные'!$B$234="Да",'19_Расчет_аналитики'!K4841,0)</f>
        <v/>
      </c>
      <c r="L4799">
        <f>IF('01_Вводные'!$B$234="Да",'19_Расчет_аналитики'!L4841,0)</f>
        <v/>
      </c>
      <c r="M4799">
        <f>IF('01_Вводные'!$B$234="Да",'19_Расчет_аналитики'!M4841,0)</f>
        <v/>
      </c>
      <c r="N4799">
        <f>IF('01_Вводные'!$B$234="Да",'19_Расчет_аналитики'!N4841,0)</f>
        <v/>
      </c>
      <c r="O4799">
        <f>IF('01_Вводные'!$B$234="Да",'19_Расчет_аналитики'!O4841,0)</f>
        <v/>
      </c>
      <c r="P4799">
        <f>IF('01_Вводные'!$B$234="Да",'19_Расчет_аналитики'!P4841,0)</f>
        <v/>
      </c>
      <c r="Q4799">
        <f>IF('01_Вводные'!$B$234="Да",'19_Расчет_аналитики'!Q4841,0)</f>
        <v/>
      </c>
      <c r="R4799">
        <f>IF('01_Вводные'!$B$234="Да",'19_Расчет_аналитики'!R4841,0)</f>
        <v/>
      </c>
      <c r="S4799">
        <f>IF('01_Вводные'!$B$234="Да",'19_Расчет_аналитики'!S4841,0)</f>
        <v/>
      </c>
      <c r="T4799">
        <f>IF('01_Вводные'!$B$234="Да",'19_Расчет_аналитики'!T4841,0)</f>
        <v/>
      </c>
      <c r="U4799">
        <f>IF('01_Вводные'!$B$234="Да",'19_Расчет_аналитики'!U4841,0)</f>
        <v/>
      </c>
      <c r="V4799">
        <f>IF('01_Вводные'!$B$234="Да",'19_Расчет_аналитики'!V4841,0)</f>
        <v/>
      </c>
      <c r="W4799">
        <f>IF('01_Вводные'!$B$234="Да",'19_Расчет_аналитики'!W4841,0)</f>
        <v/>
      </c>
      <c r="X4799">
        <f>IF('01_Вводные'!$B$234="Да",'19_Расчет_аналитики'!X4841,0)</f>
        <v/>
      </c>
      <c r="Y4799">
        <f>IF('01_Вводные'!$B$234="Да",'19_Расчет_аналитики'!Y4841,0)</f>
        <v/>
      </c>
      <c r="Z4799">
        <f>IF('01_Вводные'!$B$234="Да",'19_Расчет_аналитики'!Z4841,0)</f>
        <v/>
      </c>
      <c r="AA4799">
        <f>IF('01_Вводные'!$B$234="Да",'19_Расчет_аналитики'!AA4841,0)</f>
        <v/>
      </c>
      <c r="AB4799">
        <f>IF('01_Вводные'!$B$234="Да",'19_Расчет_аналитики'!AB4841,0)</f>
        <v/>
      </c>
      <c r="AC4799">
        <f>IF('01_Вводные'!$B$234="Да",'19_Расчет_аналитики'!AC4841,0)</f>
        <v/>
      </c>
      <c r="AD4799">
        <f>IF('01_Вводные'!$B$234="Да",'19_Расчет_аналитики'!AD4841,0)</f>
        <v/>
      </c>
      <c r="AE4799">
        <f>IF('01_Вводные'!$B$234="Да",'19_Расчет_аналитики'!AE4841,0)</f>
        <v/>
      </c>
      <c r="AF4799">
        <f>IF('01_Вводные'!$B$234="Да",'19_Расчет_аналитики'!AF4841,0)</f>
        <v/>
      </c>
      <c r="AG4799">
        <f>IF('01_Вводные'!$B$234="Да",'19_Расчет_аналитики'!AG4841,0)</f>
        <v/>
      </c>
      <c r="AH4799">
        <f>IF('01_Вводные'!$B$234="Да",'19_Расчет_аналитики'!AH4841,0)</f>
        <v/>
      </c>
      <c r="AI4799">
        <f>IF('01_Вводные'!$B$234="Да",'19_Расчет_аналитики'!AI4841,0)</f>
        <v/>
      </c>
      <c r="AJ4799">
        <f>IF('01_Вводные'!$B$234="Да",'19_Расчет_аналитики'!AJ4841,0)</f>
        <v/>
      </c>
      <c r="AK4799">
        <f>IF('01_Вводные'!$B$234="Да",'19_Расчет_аналитики'!AK4841,0)</f>
        <v/>
      </c>
      <c r="AL4799">
        <f>IF('01_Вводные'!$B$234="Да",'19_Расчет_аналитики'!AL4841,0)</f>
        <v/>
      </c>
      <c r="AM4799">
        <f>IF('01_Вводные'!$B$234="Да",'19_Расчет_аналитики'!AM4841,0)</f>
        <v/>
      </c>
      <c r="AN4799">
        <f>IF('01_Вводные'!$B$234="Да",'19_Расчет_аналитики'!AN4841,0)</f>
        <v/>
      </c>
      <c r="AO4799">
        <f>IF('01_Вводные'!$B$234="Да",'19_Расчет_аналитики'!AO4841,0)</f>
        <v/>
      </c>
      <c r="AP4799">
        <f>IF('01_Вводные'!$B$234="Да",'19_Расчет_аналитики'!AP4841,0)</f>
        <v/>
      </c>
      <c r="AQ4799">
        <f>IF('01_Вводные'!$B$234="Да",'19_Расчет_аналитики'!AQ4841,0)</f>
        <v/>
      </c>
      <c r="AR4799">
        <f>IF('01_Вводные'!$B$234="Да",'19_Расчет_аналитики'!AR4841,0)</f>
        <v/>
      </c>
      <c r="AS4799">
        <f>IF('01_Вводные'!$B$234="Да",'19_Расчет_аналитики'!AS4841,0)</f>
        <v/>
      </c>
      <c r="AT4799">
        <f>IF('01_Вводные'!$B$234="Да",'19_Расчет_аналитики'!AT4841,0)</f>
        <v/>
      </c>
      <c r="AU4799">
        <f>IF('01_Вводные'!$B$234="Да",'19_Расчет_аналитики'!AU4841,0)</f>
        <v/>
      </c>
      <c r="AV4799">
        <f>IF('01_Вводные'!$B$234="Да",'19_Расчет_аналитики'!AV4841,0)</f>
        <v/>
      </c>
      <c r="AW4799">
        <f>IF('01_Вводные'!$B$234="Да",'19_Расчет_аналитики'!AW4841,0)</f>
        <v/>
      </c>
      <c r="AX4799">
        <f>IF('01_Вводные'!$B$234="Да",'19_Расчет_аналитики'!AX4841,0)</f>
        <v/>
      </c>
      <c r="AY4799">
        <f>IF('01_Вводные'!$B$234="Да",'19_Расчет_аналитики'!AY4841,0)</f>
        <v/>
      </c>
      <c r="AZ4799">
        <f>IF('01_Вводные'!$B$234="Да",'19_Расчет_аналитики'!AZ4841,0)</f>
        <v/>
      </c>
      <c r="BA4799">
        <f>IF('01_Вводные'!$B$234="Да",'19_Расчет_аналитики'!BA4841,0)</f>
        <v/>
      </c>
      <c r="BB4799">
        <f>IF('01_Вводные'!$B$234="Да",'19_Расчет_аналитики'!BB4841,0)</f>
        <v/>
      </c>
      <c r="BC4799">
        <f>IF('01_Вводные'!$B$234="Да",'19_Расчет_аналитики'!BC4841,0)</f>
        <v/>
      </c>
      <c r="BD4799">
        <f>IF('01_Вводные'!$B$234="Да",'19_Расчет_аналитики'!BD4841,0)</f>
        <v/>
      </c>
      <c r="BE4799">
        <f>IF('01_Вводные'!$B$234="Да",'19_Расчет_аналитики'!BE4841,0)</f>
        <v/>
      </c>
      <c r="BF4799">
        <f>IF('01_Вводные'!$B$234="Да",'19_Расчет_аналитики'!BF4841,0)</f>
        <v/>
      </c>
      <c r="BG4799">
        <f>IF('01_Вводные'!$B$234="Да",'19_Расчет_аналитики'!BG4841,0)</f>
        <v/>
      </c>
      <c r="BH4799">
        <f>IF('01_Вводные'!$B$234="Да",'19_Расчет_аналитики'!BH4841,0)</f>
        <v/>
      </c>
      <c r="BI4799">
        <f>IF('01_Вводные'!$B$234="Да",'19_Расчет_аналитики'!BI4841,0)</f>
        <v/>
      </c>
    </row>
    <row r="4800">
      <c r="B4800">
        <f>IF('01_Вводные'!$B$234="Да",'19_Расчет_аналитики'!B4769,0)</f>
        <v/>
      </c>
      <c r="C4800">
        <f>IF('01_Вводные'!$B$234="Да",'19_Расчет_аналитики'!C4769,0)</f>
        <v/>
      </c>
      <c r="D4800">
        <f>IF('01_Вводные'!$B$234="Да",'19_Расчет_аналитики'!D4769,0)</f>
        <v/>
      </c>
      <c r="E4800">
        <f>IF('01_Вводные'!$B$234="Да",'19_Расчет_аналитики'!E4769,0)</f>
        <v/>
      </c>
      <c r="F4800">
        <f>IF('01_Вводные'!$B$234="Да",'19_Расчет_аналитики'!F4769,0)</f>
        <v/>
      </c>
      <c r="G4800">
        <f>IF('01_Вводные'!$B$234="Да",'19_Расчет_аналитики'!G4769,0)</f>
        <v/>
      </c>
      <c r="H4800">
        <f>IF('01_Вводные'!$B$234="Да",'19_Расчет_аналитики'!H4769,0)</f>
        <v/>
      </c>
      <c r="I4800">
        <f>IF('01_Вводные'!$B$234="Да",'19_Расчет_аналитики'!I4769,0)</f>
        <v/>
      </c>
      <c r="J4800">
        <f>IF('01_Вводные'!$B$234="Да",'19_Расчет_аналитики'!J4769,0)</f>
        <v/>
      </c>
      <c r="K4800">
        <f>IF('01_Вводные'!$B$234="Да",'19_Расчет_аналитики'!K4769,0)</f>
        <v/>
      </c>
      <c r="L4800">
        <f>IF('01_Вводные'!$B$234="Да",'19_Расчет_аналитики'!L4769,0)</f>
        <v/>
      </c>
      <c r="M4800">
        <f>IF('01_Вводные'!$B$234="Да",'19_Расчет_аналитики'!M4769,0)</f>
        <v/>
      </c>
      <c r="N4800">
        <f>IF('01_Вводные'!$B$234="Да",'19_Расчет_аналитики'!N4769,0)</f>
        <v/>
      </c>
      <c r="O4800">
        <f>IF('01_Вводные'!$B$234="Да",'19_Расчет_аналитики'!O4769,0)</f>
        <v/>
      </c>
      <c r="P4800">
        <f>IF('01_Вводные'!$B$234="Да",'19_Расчет_аналитики'!P4769,0)</f>
        <v/>
      </c>
      <c r="Q4800">
        <f>IF('01_Вводные'!$B$234="Да",'19_Расчет_аналитики'!Q4769,0)</f>
        <v/>
      </c>
      <c r="R4800">
        <f>IF('01_Вводные'!$B$234="Да",'19_Расчет_аналитики'!R4769,0)</f>
        <v/>
      </c>
      <c r="S4800">
        <f>IF('01_Вводные'!$B$234="Да",'19_Расчет_аналитики'!S4769,0)</f>
        <v/>
      </c>
      <c r="T4800">
        <f>IF('01_Вводные'!$B$234="Да",'19_Расчет_аналитики'!T4769,0)</f>
        <v/>
      </c>
      <c r="U4800">
        <f>IF('01_Вводные'!$B$234="Да",'19_Расчет_аналитики'!U4769,0)</f>
        <v/>
      </c>
      <c r="V4800">
        <f>IF('01_Вводные'!$B$234="Да",'19_Расчет_аналитики'!V4769,0)</f>
        <v/>
      </c>
      <c r="W4800">
        <f>IF('01_Вводные'!$B$234="Да",'19_Расчет_аналитики'!W4769,0)</f>
        <v/>
      </c>
      <c r="X4800">
        <f>IF('01_Вводные'!$B$234="Да",'19_Расчет_аналитики'!X4769,0)</f>
        <v/>
      </c>
      <c r="Y4800">
        <f>IF('01_Вводные'!$B$234="Да",'19_Расчет_аналитики'!Y4769,0)</f>
        <v/>
      </c>
      <c r="Z4800">
        <f>IF('01_Вводные'!$B$234="Да",'19_Расчет_аналитики'!Z4769,0)</f>
        <v/>
      </c>
      <c r="AA4800">
        <f>IF('01_Вводные'!$B$234="Да",'19_Расчет_аналитики'!AA4769,0)</f>
        <v/>
      </c>
      <c r="AB4800">
        <f>IF('01_Вводные'!$B$234="Да",'19_Расчет_аналитики'!AB4769,0)</f>
        <v/>
      </c>
      <c r="AC4800">
        <f>IF('01_Вводные'!$B$234="Да",'19_Расчет_аналитики'!AC4769,0)</f>
        <v/>
      </c>
      <c r="AD4800">
        <f>IF('01_Вводные'!$B$234="Да",'19_Расчет_аналитики'!AD4769,0)</f>
        <v/>
      </c>
      <c r="AE4800">
        <f>IF('01_Вводные'!$B$234="Да",'19_Расчет_аналитики'!AE4769,0)</f>
        <v/>
      </c>
      <c r="AF4800">
        <f>IF('01_Вводные'!$B$234="Да",'19_Расчет_аналитики'!AF4769,0)</f>
        <v/>
      </c>
      <c r="AG4800">
        <f>IF('01_Вводные'!$B$234="Да",'19_Расчет_аналитики'!AG4769,0)</f>
        <v/>
      </c>
      <c r="AH4800">
        <f>IF('01_Вводные'!$B$234="Да",'19_Расчет_аналитики'!AH4769,0)</f>
        <v/>
      </c>
      <c r="AI4800">
        <f>IF('01_Вводные'!$B$234="Да",'19_Расчет_аналитики'!AI4769,0)</f>
        <v/>
      </c>
      <c r="AJ4800">
        <f>IF('01_Вводные'!$B$234="Да",'19_Расчет_аналитики'!AJ4769,0)</f>
        <v/>
      </c>
      <c r="AK4800">
        <f>IF('01_Вводные'!$B$234="Да",'19_Расчет_аналитики'!AK4769,0)</f>
        <v/>
      </c>
      <c r="AL4800">
        <f>IF('01_Вводные'!$B$234="Да",'19_Расчет_аналитики'!AL4769,0)</f>
        <v/>
      </c>
      <c r="AM4800">
        <f>IF('01_Вводные'!$B$234="Да",'19_Расчет_аналитики'!AM4769,0)</f>
        <v/>
      </c>
      <c r="AN4800">
        <f>IF('01_Вводные'!$B$234="Да",'19_Расчет_аналитики'!AN4769,0)</f>
        <v/>
      </c>
      <c r="AO4800">
        <f>IF('01_Вводные'!$B$234="Да",'19_Расчет_аналитики'!AO4769,0)</f>
        <v/>
      </c>
      <c r="AP4800">
        <f>IF('01_Вводные'!$B$234="Да",'19_Расчет_аналитики'!AP4769,0)</f>
        <v/>
      </c>
      <c r="AQ4800">
        <f>IF('01_Вводные'!$B$234="Да",'19_Расчет_аналитики'!AQ4769,0)</f>
        <v/>
      </c>
      <c r="AR4800">
        <f>IF('01_Вводные'!$B$234="Да",'19_Расчет_аналитики'!AR4769,0)</f>
        <v/>
      </c>
      <c r="AS4800">
        <f>IF('01_Вводные'!$B$234="Да",'19_Расчет_аналитики'!AS4769,0)</f>
        <v/>
      </c>
      <c r="AT4800">
        <f>IF('01_Вводные'!$B$234="Да",'19_Расчет_аналитики'!AT4769,0)</f>
        <v/>
      </c>
      <c r="AU4800">
        <f>IF('01_Вводные'!$B$234="Да",'19_Расчет_аналитики'!AU4769,0)</f>
        <v/>
      </c>
      <c r="AV4800">
        <f>IF('01_Вводные'!$B$234="Да",'19_Расчет_аналитики'!AV4769,0)</f>
        <v/>
      </c>
      <c r="AW4800">
        <f>IF('01_Вводные'!$B$234="Да",'19_Расчет_аналитики'!AW4769,0)</f>
        <v/>
      </c>
      <c r="AX4800">
        <f>IF('01_Вводные'!$B$234="Да",'19_Расчет_аналитики'!AX4769,0)</f>
        <v/>
      </c>
      <c r="AY4800">
        <f>IF('01_Вводные'!$B$234="Да",'19_Расчет_аналитики'!AY4769,0)</f>
        <v/>
      </c>
      <c r="AZ4800">
        <f>IF('01_Вводные'!$B$234="Да",'19_Расчет_аналитики'!AZ4769,0)</f>
        <v/>
      </c>
      <c r="BA4800">
        <f>IF('01_Вводные'!$B$234="Да",'19_Расчет_аналитики'!BA4769,0)</f>
        <v/>
      </c>
      <c r="BB4800">
        <f>IF('01_Вводные'!$B$234="Да",'19_Расчет_аналитики'!BB4769,0)</f>
        <v/>
      </c>
      <c r="BC4800">
        <f>IF('01_Вводные'!$B$234="Да",'19_Расчет_аналитики'!BC4769,0)</f>
        <v/>
      </c>
      <c r="BD4800">
        <f>IF('01_Вводные'!$B$234="Да",'19_Расчет_аналитики'!BD4769,0)</f>
        <v/>
      </c>
      <c r="BE4800">
        <f>IF('01_Вводные'!$B$234="Да",'19_Расчет_аналитики'!BE4769,0)</f>
        <v/>
      </c>
      <c r="BF4800">
        <f>IF('01_Вводные'!$B$234="Да",'19_Расчет_аналитики'!BF4769,0)</f>
        <v/>
      </c>
      <c r="BG4800">
        <f>IF('01_Вводные'!$B$234="Да",'19_Расчет_аналитики'!BG4769,0)</f>
        <v/>
      </c>
      <c r="BH4800">
        <f>IF('01_Вводные'!$B$234="Да",'19_Расчет_аналитики'!BH4769,0)</f>
        <v/>
      </c>
      <c r="BI4800">
        <f>IF('01_Вводные'!$B$234="Да",'19_Расчет_аналитики'!BI4769,0)</f>
        <v/>
      </c>
    </row>
    <row r="4801">
      <c r="B4801">
        <f>IF('01_Вводные'!$B$234="Да",'01_Вводные'!$B$21*('19_Расчет_аналитики'!B4779+'02_Модель'!B38+'02_Модель'!B39+'02_Модель'!B40+'02_Модель'!B41+'19_Расчет_аналитики'!B4784+'19_Расчет_аналитики'!B4674)+(1-'01_Вводные'!$B$21)*0,0)</f>
        <v/>
      </c>
      <c r="C4801">
        <f>IF('01_Вводные'!$B$234="Да",'01_Вводные'!$B$21*('19_Расчет_аналитики'!C4779+'02_Модель'!C38+'02_Модель'!C39+'02_Модель'!C40+'02_Модель'!C41+'19_Расчет_аналитики'!C4784+'19_Расчет_аналитики'!C4674)+(1-'01_Вводные'!$B$21)*('19_Расчет_аналитики'!B4779+'02_Модель'!B38+'02_Модель'!B39+'02_Модель'!B40+'02_Модель'!B41+'19_Расчет_аналитики'!B4784+'19_Расчет_аналитики'!B4674),0)</f>
        <v/>
      </c>
      <c r="D4801">
        <f>IF('01_Вводные'!$B$234="Да",'01_Вводные'!$B$21*('19_Расчет_аналитики'!D4779+'02_Модель'!D38+'02_Модель'!D39+'02_Модель'!D40+'02_Модель'!D41+'19_Расчет_аналитики'!D4784+'19_Расчет_аналитики'!D4674)+(1-'01_Вводные'!$B$21)*('19_Расчет_аналитики'!C4779+'02_Модель'!C38+'02_Модель'!C39+'02_Модель'!C40+'02_Модель'!C41+'19_Расчет_аналитики'!C4784+'19_Расчет_аналитики'!C4674),0)</f>
        <v/>
      </c>
      <c r="E4801">
        <f>IF('01_Вводные'!$B$234="Да",'01_Вводные'!$B$21*('19_Расчет_аналитики'!E4779+'02_Модель'!E38+'02_Модель'!E39+'02_Модель'!E40+'02_Модель'!E41+'19_Расчет_аналитики'!E4784+'19_Расчет_аналитики'!E4674)+(1-'01_Вводные'!$B$21)*('19_Расчет_аналитики'!D4779+'02_Модель'!D38+'02_Модель'!D39+'02_Модель'!D40+'02_Модель'!D41+'19_Расчет_аналитики'!D4784+'19_Расчет_аналитики'!D4674),0)</f>
        <v/>
      </c>
      <c r="F4801">
        <f>IF('01_Вводные'!$B$234="Да",'01_Вводные'!$B$21*('19_Расчет_аналитики'!F4779+'02_Модель'!F38+'02_Модель'!F39+'02_Модель'!F40+'02_Модель'!F41+'19_Расчет_аналитики'!F4784+'19_Расчет_аналитики'!F4674)+(1-'01_Вводные'!$B$21)*('19_Расчет_аналитики'!E4779+'02_Модель'!E38+'02_Модель'!E39+'02_Модель'!E40+'02_Модель'!E41+'19_Расчет_аналитики'!E4784+'19_Расчет_аналитики'!E4674),0)</f>
        <v/>
      </c>
      <c r="G4801">
        <f>IF('01_Вводные'!$B$234="Да",'01_Вводные'!$B$21*('19_Расчет_аналитики'!G4779+'02_Модель'!G38+'02_Модель'!G39+'02_Модель'!G40+'02_Модель'!G41+'19_Расчет_аналитики'!G4784+'19_Расчет_аналитики'!G4674)+(1-'01_Вводные'!$B$21)*('19_Расчет_аналитики'!F4779+'02_Модель'!F38+'02_Модель'!F39+'02_Модель'!F40+'02_Модель'!F41+'19_Расчет_аналитики'!F4784+'19_Расчет_аналитики'!F4674),0)</f>
        <v/>
      </c>
      <c r="H4801">
        <f>IF('01_Вводные'!$B$234="Да",'01_Вводные'!$B$21*('19_Расчет_аналитики'!H4779+'02_Модель'!H38+'02_Модель'!H39+'02_Модель'!H40+'02_Модель'!H41+'19_Расчет_аналитики'!H4784+'19_Расчет_аналитики'!H4674)+(1-'01_Вводные'!$B$21)*('19_Расчет_аналитики'!G4779+'02_Модель'!G38+'02_Модель'!G39+'02_Модель'!G40+'02_Модель'!G41+'19_Расчет_аналитики'!G4784+'19_Расчет_аналитики'!G4674),0)</f>
        <v/>
      </c>
      <c r="I4801">
        <f>IF('01_Вводные'!$B$234="Да",'01_Вводные'!$B$21*('19_Расчет_аналитики'!I4779+'02_Модель'!I38+'02_Модель'!I39+'02_Модель'!I40+'02_Модель'!I41+'19_Расчет_аналитики'!I4784+'19_Расчет_аналитики'!I4674)+(1-'01_Вводные'!$B$21)*('19_Расчет_аналитики'!H4779+'02_Модель'!H38+'02_Модель'!H39+'02_Модель'!H40+'02_Модель'!H41+'19_Расчет_аналитики'!H4784+'19_Расчет_аналитики'!H4674),0)</f>
        <v/>
      </c>
      <c r="J4801">
        <f>IF('01_Вводные'!$B$234="Да",'01_Вводные'!$B$21*('19_Расчет_аналитики'!J4779+'02_Модель'!J38+'02_Модель'!J39+'02_Модель'!J40+'02_Модель'!J41+'19_Расчет_аналитики'!J4784+'19_Расчет_аналитики'!J4674)+(1-'01_Вводные'!$B$21)*('19_Расчет_аналитики'!I4779+'02_Модель'!I38+'02_Модель'!I39+'02_Модель'!I40+'02_Модель'!I41+'19_Расчет_аналитики'!I4784+'19_Расчет_аналитики'!I4674),0)</f>
        <v/>
      </c>
      <c r="K4801">
        <f>IF('01_Вводные'!$B$234="Да",'01_Вводные'!$B$21*('19_Расчет_аналитики'!K4779+'02_Модель'!K38+'02_Модель'!K39+'02_Модель'!K40+'02_Модель'!K41+'19_Расчет_аналитики'!K4784+'19_Расчет_аналитики'!K4674)+(1-'01_Вводные'!$B$21)*('19_Расчет_аналитики'!J4779+'02_Модель'!J38+'02_Модель'!J39+'02_Модель'!J40+'02_Модель'!J41+'19_Расчет_аналитики'!J4784+'19_Расчет_аналитики'!J4674),0)</f>
        <v/>
      </c>
      <c r="L4801">
        <f>IF('01_Вводные'!$B$234="Да",'01_Вводные'!$B$21*('19_Расчет_аналитики'!L4779+'02_Модель'!L38+'02_Модель'!L39+'02_Модель'!L40+'02_Модель'!L41+'19_Расчет_аналитики'!L4784+'19_Расчет_аналитики'!L4674)+(1-'01_Вводные'!$B$21)*('19_Расчет_аналитики'!K4779+'02_Модель'!K38+'02_Модель'!K39+'02_Модель'!K40+'02_Модель'!K41+'19_Расчет_аналитики'!K4784+'19_Расчет_аналитики'!K4674),0)</f>
        <v/>
      </c>
      <c r="M4801">
        <f>IF('01_Вводные'!$B$234="Да",'01_Вводные'!$B$21*('19_Расчет_аналитики'!M4779+'02_Модель'!M38+'02_Модель'!M39+'02_Модель'!M40+'02_Модель'!M41+'19_Расчет_аналитики'!M4784+'19_Расчет_аналитики'!M4674)+(1-'01_Вводные'!$B$21)*('19_Расчет_аналитики'!L4779+'02_Модель'!L38+'02_Модель'!L39+'02_Модель'!L40+'02_Модель'!L41+'19_Расчет_аналитики'!L4784+'19_Расчет_аналитики'!L4674),0)</f>
        <v/>
      </c>
      <c r="N4801">
        <f>IF('01_Вводные'!$B$234="Да",'01_Вводные'!$B$21*('19_Расчет_аналитики'!N4779+'02_Модель'!N38+'02_Модель'!N39+'02_Модель'!N40+'02_Модель'!N41+'19_Расчет_аналитики'!N4784+'19_Расчет_аналитики'!N4674)+(1-'01_Вводные'!$B$21)*('19_Расчет_аналитики'!M4779+'02_Модель'!M38+'02_Модель'!M39+'02_Модель'!M40+'02_Модель'!M41+'19_Расчет_аналитики'!M4784+'19_Расчет_аналитики'!M4674),0)</f>
        <v/>
      </c>
      <c r="O4801">
        <f>IF('01_Вводные'!$B$234="Да",'01_Вводные'!$B$21*('19_Расчет_аналитики'!O4779+'02_Модель'!O38+'02_Модель'!O39+'02_Модель'!O40+'02_Модель'!O41+'19_Расчет_аналитики'!O4784+'19_Расчет_аналитики'!O4674)+(1-'01_Вводные'!$B$21)*('19_Расчет_аналитики'!N4779+'02_Модель'!N38+'02_Модель'!N39+'02_Модель'!N40+'02_Модель'!N41+'19_Расчет_аналитики'!N4784+'19_Расчет_аналитики'!N4674),0)</f>
        <v/>
      </c>
      <c r="P4801">
        <f>IF('01_Вводные'!$B$234="Да",'01_Вводные'!$B$21*('19_Расчет_аналитики'!P4779+'02_Модель'!P38+'02_Модель'!P39+'02_Модель'!P40+'02_Модель'!P41+'19_Расчет_аналитики'!P4784+'19_Расчет_аналитики'!P4674)+(1-'01_Вводные'!$B$21)*('19_Расчет_аналитики'!O4779+'02_Модель'!O38+'02_Модель'!O39+'02_Модель'!O40+'02_Модель'!O41+'19_Расчет_аналитики'!O4784+'19_Расчет_аналитики'!O4674),0)</f>
        <v/>
      </c>
      <c r="Q4801">
        <f>IF('01_Вводные'!$B$234="Да",'01_Вводные'!$B$21*('19_Расчет_аналитики'!Q4779+'02_Модель'!Q38+'02_Модель'!Q39+'02_Модель'!Q40+'02_Модель'!Q41+'19_Расчет_аналитики'!Q4784+'19_Расчет_аналитики'!Q4674)+(1-'01_Вводные'!$B$21)*('19_Расчет_аналитики'!P4779+'02_Модель'!P38+'02_Модель'!P39+'02_Модель'!P40+'02_Модель'!P41+'19_Расчет_аналитики'!P4784+'19_Расчет_аналитики'!P4674),0)</f>
        <v/>
      </c>
      <c r="R4801">
        <f>IF('01_Вводные'!$B$234="Да",'01_Вводные'!$B$21*('19_Расчет_аналитики'!R4779+'02_Модель'!R38+'02_Модель'!R39+'02_Модель'!R40+'02_Модель'!R41+'19_Расчет_аналитики'!R4784+'19_Расчет_аналитики'!R4674)+(1-'01_Вводные'!$B$21)*('19_Расчет_аналитики'!Q4779+'02_Модель'!Q38+'02_Модель'!Q39+'02_Модель'!Q40+'02_Модель'!Q41+'19_Расчет_аналитики'!Q4784+'19_Расчет_аналитики'!Q4674),0)</f>
        <v/>
      </c>
      <c r="S4801">
        <f>IF('01_Вводные'!$B$234="Да",'01_Вводные'!$B$21*('19_Расчет_аналитики'!S4779+'02_Модель'!S38+'02_Модель'!S39+'02_Модель'!S40+'02_Модель'!S41+'19_Расчет_аналитики'!S4784+'19_Расчет_аналитики'!S4674)+(1-'01_Вводные'!$B$21)*('19_Расчет_аналитики'!R4779+'02_Модель'!R38+'02_Модель'!R39+'02_Модель'!R40+'02_Модель'!R41+'19_Расчет_аналитики'!R4784+'19_Расчет_аналитики'!R4674),0)</f>
        <v/>
      </c>
      <c r="T4801">
        <f>IF('01_Вводные'!$B$234="Да",'01_Вводные'!$B$21*('19_Расчет_аналитики'!T4779+'02_Модель'!T38+'02_Модель'!T39+'02_Модель'!T40+'02_Модель'!T41+'19_Расчет_аналитики'!T4784+'19_Расчет_аналитики'!T4674)+(1-'01_Вводные'!$B$21)*('19_Расчет_аналитики'!S4779+'02_Модель'!S38+'02_Модель'!S39+'02_Модель'!S40+'02_Модель'!S41+'19_Расчет_аналитики'!S4784+'19_Расчет_аналитики'!S4674),0)</f>
        <v/>
      </c>
      <c r="U4801">
        <f>IF('01_Вводные'!$B$234="Да",'01_Вводные'!$B$21*('19_Расчет_аналитики'!U4779+'02_Модель'!U38+'02_Модель'!U39+'02_Модель'!U40+'02_Модель'!U41+'19_Расчет_аналитики'!U4784+'19_Расчет_аналитики'!U4674)+(1-'01_Вводные'!$B$21)*('19_Расчет_аналитики'!T4779+'02_Модель'!T38+'02_Модель'!T39+'02_Модель'!T40+'02_Модель'!T41+'19_Расчет_аналитики'!T4784+'19_Расчет_аналитики'!T4674),0)</f>
        <v/>
      </c>
      <c r="V4801">
        <f>IF('01_Вводные'!$B$234="Да",'01_Вводные'!$B$21*('19_Расчет_аналитики'!V4779+'02_Модель'!V38+'02_Модель'!V39+'02_Модель'!V40+'02_Модель'!V41+'19_Расчет_аналитики'!V4784+'19_Расчет_аналитики'!V4674)+(1-'01_Вводные'!$B$21)*('19_Расчет_аналитики'!U4779+'02_Модель'!U38+'02_Модель'!U39+'02_Модель'!U40+'02_Модель'!U41+'19_Расчет_аналитики'!U4784+'19_Расчет_аналитики'!U4674),0)</f>
        <v/>
      </c>
      <c r="W4801">
        <f>IF('01_Вводные'!$B$234="Да",'01_Вводные'!$B$21*('19_Расчет_аналитики'!W4779+'02_Модель'!W38+'02_Модель'!W39+'02_Модель'!W40+'02_Модель'!W41+'19_Расчет_аналитики'!W4784+'19_Расчет_аналитики'!W4674)+(1-'01_Вводные'!$B$21)*('19_Расчет_аналитики'!V4779+'02_Модель'!V38+'02_Модель'!V39+'02_Модель'!V40+'02_Модель'!V41+'19_Расчет_аналитики'!V4784+'19_Расчет_аналитики'!V4674),0)</f>
        <v/>
      </c>
      <c r="X4801">
        <f>IF('01_Вводные'!$B$234="Да",'01_Вводные'!$B$21*('19_Расчет_аналитики'!X4779+'02_Модель'!X38+'02_Модель'!X39+'02_Модель'!X40+'02_Модель'!X41+'19_Расчет_аналитики'!X4784+'19_Расчет_аналитики'!X4674)+(1-'01_Вводные'!$B$21)*('19_Расчет_аналитики'!W4779+'02_Модель'!W38+'02_Модель'!W39+'02_Модель'!W40+'02_Модель'!W41+'19_Расчет_аналитики'!W4784+'19_Расчет_аналитики'!W4674),0)</f>
        <v/>
      </c>
      <c r="Y4801">
        <f>IF('01_Вводные'!$B$234="Да",'01_Вводные'!$B$21*('19_Расчет_аналитики'!Y4779+'02_Модель'!Y38+'02_Модель'!Y39+'02_Модель'!Y40+'02_Модель'!Y41+'19_Расчет_аналитики'!Y4784+'19_Расчет_аналитики'!Y4674)+(1-'01_Вводные'!$B$21)*('19_Расчет_аналитики'!X4779+'02_Модель'!X38+'02_Модель'!X39+'02_Модель'!X40+'02_Модель'!X41+'19_Расчет_аналитики'!X4784+'19_Расчет_аналитики'!X4674),0)</f>
        <v/>
      </c>
      <c r="Z4801">
        <f>IF('01_Вводные'!$B$234="Да",'01_Вводные'!$B$21*('19_Расчет_аналитики'!Z4779+'02_Модель'!Z38+'02_Модель'!Z39+'02_Модель'!Z40+'02_Модель'!Z41+'19_Расчет_аналитики'!Z4784+'19_Расчет_аналитики'!Z4674)+(1-'01_Вводные'!$B$21)*('19_Расчет_аналитики'!Y4779+'02_Модель'!Y38+'02_Модель'!Y39+'02_Модель'!Y40+'02_Модель'!Y41+'19_Расчет_аналитики'!Y4784+'19_Расчет_аналитики'!Y4674),0)</f>
        <v/>
      </c>
      <c r="AA4801">
        <f>IF('01_Вводные'!$B$234="Да",'01_Вводные'!$B$21*('19_Расчет_аналитики'!AA4779+'02_Модель'!AA38+'02_Модель'!AA39+'02_Модель'!AA40+'02_Модель'!AA41+'19_Расчет_аналитики'!AA4784+'19_Расчет_аналитики'!AA4674)+(1-'01_Вводные'!$B$21)*('19_Расчет_аналитики'!Z4779+'02_Модель'!Z38+'02_Модель'!Z39+'02_Модель'!Z40+'02_Модель'!Z41+'19_Расчет_аналитики'!Z4784+'19_Расчет_аналитики'!Z4674),0)</f>
        <v/>
      </c>
      <c r="AB4801">
        <f>IF('01_Вводные'!$B$234="Да",'01_Вводные'!$B$21*('19_Расчет_аналитики'!AB4779+'02_Модель'!AB38+'02_Модель'!AB39+'02_Модель'!AB40+'02_Модель'!AB41+'19_Расчет_аналитики'!AB4784+'19_Расчет_аналитики'!AB4674)+(1-'01_Вводные'!$B$21)*('19_Расчет_аналитики'!AA4779+'02_Модель'!AA38+'02_Модель'!AA39+'02_Модель'!AA40+'02_Модель'!AA41+'19_Расчет_аналитики'!AA4784+'19_Расчет_аналитики'!AA4674),0)</f>
        <v/>
      </c>
      <c r="AC4801">
        <f>IF('01_Вводные'!$B$234="Да",'01_Вводные'!$B$21*('19_Расчет_аналитики'!AC4779+'02_Модель'!AC38+'02_Модель'!AC39+'02_Модель'!AC40+'02_Модель'!AC41+'19_Расчет_аналитики'!AC4784+'19_Расчет_аналитики'!AC4674)+(1-'01_Вводные'!$B$21)*('19_Расчет_аналитики'!AB4779+'02_Модель'!AB38+'02_Модель'!AB39+'02_Модель'!AB40+'02_Модель'!AB41+'19_Расчет_аналитики'!AB4784+'19_Расчет_аналитики'!AB4674),0)</f>
        <v/>
      </c>
      <c r="AD4801">
        <f>IF('01_Вводные'!$B$234="Да",'01_Вводные'!$B$21*('19_Расчет_аналитики'!AD4779+'02_Модель'!AD38+'02_Модель'!AD39+'02_Модель'!AD40+'02_Модель'!AD41+'19_Расчет_аналитики'!AD4784+'19_Расчет_аналитики'!AD4674)+(1-'01_Вводные'!$B$21)*('19_Расчет_аналитики'!AC4779+'02_Модель'!AC38+'02_Модель'!AC39+'02_Модель'!AC40+'02_Модель'!AC41+'19_Расчет_аналитики'!AC4784+'19_Расчет_аналитики'!AC4674),0)</f>
        <v/>
      </c>
      <c r="AE4801">
        <f>IF('01_Вводные'!$B$234="Да",'01_Вводные'!$B$21*('19_Расчет_аналитики'!AE4779+'02_Модель'!AE38+'02_Модель'!AE39+'02_Модель'!AE40+'02_Модель'!AE41+'19_Расчет_аналитики'!AE4784+'19_Расчет_аналитики'!AE4674)+(1-'01_Вводные'!$B$21)*('19_Расчет_аналитики'!AD4779+'02_Модель'!AD38+'02_Модель'!AD39+'02_Модель'!AD40+'02_Модель'!AD41+'19_Расчет_аналитики'!AD4784+'19_Расчет_аналитики'!AD4674),0)</f>
        <v/>
      </c>
      <c r="AF4801">
        <f>IF('01_Вводные'!$B$234="Да",'01_Вводные'!$B$21*('19_Расчет_аналитики'!AF4779+'02_Модель'!AF38+'02_Модель'!AF39+'02_Модель'!AF40+'02_Модель'!AF41+'19_Расчет_аналитики'!AF4784+'19_Расчет_аналитики'!AF4674)+(1-'01_Вводные'!$B$21)*('19_Расчет_аналитики'!AE4779+'02_Модель'!AE38+'02_Модель'!AE39+'02_Модель'!AE40+'02_Модель'!AE41+'19_Расчет_аналитики'!AE4784+'19_Расчет_аналитики'!AE4674),0)</f>
        <v/>
      </c>
      <c r="AG4801">
        <f>IF('01_Вводные'!$B$234="Да",'01_Вводные'!$B$21*('19_Расчет_аналитики'!AG4779+'02_Модель'!AG38+'02_Модель'!AG39+'02_Модель'!AG40+'02_Модель'!AG41+'19_Расчет_аналитики'!AG4784+'19_Расчет_аналитики'!AG4674)+(1-'01_Вводные'!$B$21)*('19_Расчет_аналитики'!AF4779+'02_Модель'!AF38+'02_Модель'!AF39+'02_Модель'!AF40+'02_Модель'!AF41+'19_Расчет_аналитики'!AF4784+'19_Расчет_аналитики'!AF4674),0)</f>
        <v/>
      </c>
      <c r="AH4801">
        <f>IF('01_Вводные'!$B$234="Да",'01_Вводные'!$B$21*('19_Расчет_аналитики'!AH4779+'02_Модель'!AH38+'02_Модель'!AH39+'02_Модель'!AH40+'02_Модель'!AH41+'19_Расчет_аналитики'!AH4784+'19_Расчет_аналитики'!AH4674)+(1-'01_Вводные'!$B$21)*('19_Расчет_аналитики'!AG4779+'02_Модель'!AG38+'02_Модель'!AG39+'02_Модель'!AG40+'02_Модель'!AG41+'19_Расчет_аналитики'!AG4784+'19_Расчет_аналитики'!AG4674),0)</f>
        <v/>
      </c>
      <c r="AI4801">
        <f>IF('01_Вводные'!$B$234="Да",'01_Вводные'!$B$21*('19_Расчет_аналитики'!AI4779+'02_Модель'!AI38+'02_Модель'!AI39+'02_Модель'!AI40+'02_Модель'!AI41+'19_Расчет_аналитики'!AI4784+'19_Расчет_аналитики'!AI4674)+(1-'01_Вводные'!$B$21)*('19_Расчет_аналитики'!AH4779+'02_Модель'!AH38+'02_Модель'!AH39+'02_Модель'!AH40+'02_Модель'!AH41+'19_Расчет_аналитики'!AH4784+'19_Расчет_аналитики'!AH4674),0)</f>
        <v/>
      </c>
      <c r="AJ4801">
        <f>IF('01_Вводные'!$B$234="Да",'01_Вводные'!$B$21*('19_Расчет_аналитики'!AJ4779+'02_Модель'!AJ38+'02_Модель'!AJ39+'02_Модель'!AJ40+'02_Модель'!AJ41+'19_Расчет_аналитики'!AJ4784+'19_Расчет_аналитики'!AJ4674)+(1-'01_Вводные'!$B$21)*('19_Расчет_аналитики'!AI4779+'02_Модель'!AI38+'02_Модель'!AI39+'02_Модель'!AI40+'02_Модель'!AI41+'19_Расчет_аналитики'!AI4784+'19_Расчет_аналитики'!AI4674),0)</f>
        <v/>
      </c>
      <c r="AK4801">
        <f>IF('01_Вводные'!$B$234="Да",'01_Вводные'!$B$21*('19_Расчет_аналитики'!AK4779+'02_Модель'!AK38+'02_Модель'!AK39+'02_Модель'!AK40+'02_Модель'!AK41+'19_Расчет_аналитики'!AK4784+'19_Расчет_аналитики'!AK4674)+(1-'01_Вводные'!$B$21)*('19_Расчет_аналитики'!AJ4779+'02_Модель'!AJ38+'02_Модель'!AJ39+'02_Модель'!AJ40+'02_Модель'!AJ41+'19_Расчет_аналитики'!AJ4784+'19_Расчет_аналитики'!AJ4674),0)</f>
        <v/>
      </c>
      <c r="AL4801">
        <f>IF('01_Вводные'!$B$234="Да",'01_Вводные'!$B$21*('19_Расчет_аналитики'!AL4779+'02_Модель'!AL38+'02_Модель'!AL39+'02_Модель'!AL40+'02_Модель'!AL41+'19_Расчет_аналитики'!AL4784+'19_Расчет_аналитики'!AL4674)+(1-'01_Вводные'!$B$21)*('19_Расчет_аналитики'!AK4779+'02_Модель'!AK38+'02_Модель'!AK39+'02_Модель'!AK40+'02_Модель'!AK41+'19_Расчет_аналитики'!AK4784+'19_Расчет_аналитики'!AK4674),0)</f>
        <v/>
      </c>
      <c r="AM4801">
        <f>IF('01_Вводные'!$B$234="Да",'01_Вводные'!$B$21*('19_Расчет_аналитики'!AM4779+'02_Модель'!AM38+'02_Модель'!AM39+'02_Модель'!AM40+'02_Модель'!AM41+'19_Расчет_аналитики'!AM4784+'19_Расчет_аналитики'!AM4674)+(1-'01_Вводные'!$B$21)*('19_Расчет_аналитики'!AL4779+'02_Модель'!AL38+'02_Модель'!AL39+'02_Модель'!AL40+'02_Модель'!AL41+'19_Расчет_аналитики'!AL4784+'19_Расчет_аналитики'!AL4674),0)</f>
        <v/>
      </c>
      <c r="AN4801">
        <f>IF('01_Вводные'!$B$234="Да",'01_Вводные'!$B$21*('19_Расчет_аналитики'!AN4779+'02_Модель'!AN38+'02_Модель'!AN39+'02_Модель'!AN40+'02_Модель'!AN41+'19_Расчет_аналитики'!AN4784+'19_Расчет_аналитики'!AN4674)+(1-'01_Вводные'!$B$21)*('19_Расчет_аналитики'!AM4779+'02_Модель'!AM38+'02_Модель'!AM39+'02_Модель'!AM40+'02_Модель'!AM41+'19_Расчет_аналитики'!AM4784+'19_Расчет_аналитики'!AM4674),0)</f>
        <v/>
      </c>
      <c r="AO4801">
        <f>IF('01_Вводные'!$B$234="Да",'01_Вводные'!$B$21*('19_Расчет_аналитики'!AO4779+'02_Модель'!AO38+'02_Модель'!AO39+'02_Модель'!AO40+'02_Модель'!AO41+'19_Расчет_аналитики'!AO4784+'19_Расчет_аналитики'!AO4674)+(1-'01_Вводные'!$B$21)*('19_Расчет_аналитики'!AN4779+'02_Модель'!AN38+'02_Модель'!AN39+'02_Модель'!AN40+'02_Модель'!AN41+'19_Расчет_аналитики'!AN4784+'19_Расчет_аналитики'!AN4674),0)</f>
        <v/>
      </c>
      <c r="AP4801">
        <f>IF('01_Вводные'!$B$234="Да",'01_Вводные'!$B$21*('19_Расчет_аналитики'!AP4779+'02_Модель'!AP38+'02_Модель'!AP39+'02_Модель'!AP40+'02_Модель'!AP41+'19_Расчет_аналитики'!AP4784+'19_Расчет_аналитики'!AP4674)+(1-'01_Вводные'!$B$21)*('19_Расчет_аналитики'!AO4779+'02_Модель'!AO38+'02_Модель'!AO39+'02_Модель'!AO40+'02_Модель'!AO41+'19_Расчет_аналитики'!AO4784+'19_Расчет_аналитики'!AO4674),0)</f>
        <v/>
      </c>
      <c r="AQ4801">
        <f>IF('01_Вводные'!$B$234="Да",'01_Вводные'!$B$21*('19_Расчет_аналитики'!AQ4779+'02_Модель'!AQ38+'02_Модель'!AQ39+'02_Модель'!AQ40+'02_Модель'!AQ41+'19_Расчет_аналитики'!AQ4784+'19_Расчет_аналитики'!AQ4674)+(1-'01_Вводные'!$B$21)*('19_Расчет_аналитики'!AP4779+'02_Модель'!AP38+'02_Модель'!AP39+'02_Модель'!AP40+'02_Модель'!AP41+'19_Расчет_аналитики'!AP4784+'19_Расчет_аналитики'!AP4674),0)</f>
        <v/>
      </c>
      <c r="AR4801">
        <f>IF('01_Вводные'!$B$234="Да",'01_Вводные'!$B$21*('19_Расчет_аналитики'!AR4779+'02_Модель'!AR38+'02_Модель'!AR39+'02_Модель'!AR40+'02_Модель'!AR41+'19_Расчет_аналитики'!AR4784+'19_Расчет_аналитики'!AR4674)+(1-'01_Вводные'!$B$21)*('19_Расчет_аналитики'!AQ4779+'02_Модель'!AQ38+'02_Модель'!AQ39+'02_Модель'!AQ40+'02_Модель'!AQ41+'19_Расчет_аналитики'!AQ4784+'19_Расчет_аналитики'!AQ4674),0)</f>
        <v/>
      </c>
      <c r="AS4801">
        <f>IF('01_Вводные'!$B$234="Да",'01_Вводные'!$B$21*('19_Расчет_аналитики'!AS4779+'02_Модель'!AS38+'02_Модель'!AS39+'02_Модель'!AS40+'02_Модель'!AS41+'19_Расчет_аналитики'!AS4784+'19_Расчет_аналитики'!AS4674)+(1-'01_Вводные'!$B$21)*('19_Расчет_аналитики'!AR4779+'02_Модель'!AR38+'02_Модель'!AR39+'02_Модель'!AR40+'02_Модель'!AR41+'19_Расчет_аналитики'!AR4784+'19_Расчет_аналитики'!AR4674),0)</f>
        <v/>
      </c>
      <c r="AT4801">
        <f>IF('01_Вводные'!$B$234="Да",'01_Вводные'!$B$21*('19_Расчет_аналитики'!AT4779+'02_Модель'!AT38+'02_Модель'!AT39+'02_Модель'!AT40+'02_Модель'!AT41+'19_Расчет_аналитики'!AT4784+'19_Расчет_аналитики'!AT4674)+(1-'01_Вводные'!$B$21)*('19_Расчет_аналитики'!AS4779+'02_Модель'!AS38+'02_Модель'!AS39+'02_Модель'!AS40+'02_Модель'!AS41+'19_Расчет_аналитики'!AS4784+'19_Расчет_аналитики'!AS4674),0)</f>
        <v/>
      </c>
      <c r="AU4801">
        <f>IF('01_Вводные'!$B$234="Да",'01_Вводные'!$B$21*('19_Расчет_аналитики'!AU4779+'02_Модель'!AU38+'02_Модель'!AU39+'02_Модель'!AU40+'02_Модель'!AU41+'19_Расчет_аналитики'!AU4784+'19_Расчет_аналитики'!AU4674)+(1-'01_Вводные'!$B$21)*('19_Расчет_аналитики'!AT4779+'02_Модель'!AT38+'02_Модель'!AT39+'02_Модель'!AT40+'02_Модель'!AT41+'19_Расчет_аналитики'!AT4784+'19_Расчет_аналитики'!AT4674),0)</f>
        <v/>
      </c>
      <c r="AV4801">
        <f>IF('01_Вводные'!$B$234="Да",'01_Вводные'!$B$21*('19_Расчет_аналитики'!AV4779+'02_Модель'!AV38+'02_Модель'!AV39+'02_Модель'!AV40+'02_Модель'!AV41+'19_Расчет_аналитики'!AV4784+'19_Расчет_аналитики'!AV4674)+(1-'01_Вводные'!$B$21)*('19_Расчет_аналитики'!AU4779+'02_Модель'!AU38+'02_Модель'!AU39+'02_Модель'!AU40+'02_Модель'!AU41+'19_Расчет_аналитики'!AU4784+'19_Расчет_аналитики'!AU4674),0)</f>
        <v/>
      </c>
      <c r="AW4801">
        <f>IF('01_Вводные'!$B$234="Да",'01_Вводные'!$B$21*('19_Расчет_аналитики'!AW4779+'02_Модель'!AW38+'02_Модель'!AW39+'02_Модель'!AW40+'02_Модель'!AW41+'19_Расчет_аналитики'!AW4784+'19_Расчет_аналитики'!AW4674)+(1-'01_Вводные'!$B$21)*('19_Расчет_аналитики'!AV4779+'02_Модель'!AV38+'02_Модель'!AV39+'02_Модель'!AV40+'02_Модель'!AV41+'19_Расчет_аналитики'!AV4784+'19_Расчет_аналитики'!AV4674),0)</f>
        <v/>
      </c>
      <c r="AX4801">
        <f>IF('01_Вводные'!$B$234="Да",'01_Вводные'!$B$21*('19_Расчет_аналитики'!AX4779+'02_Модель'!AX38+'02_Модель'!AX39+'02_Модель'!AX40+'02_Модель'!AX41+'19_Расчет_аналитики'!AX4784+'19_Расчет_аналитики'!AX4674)+(1-'01_Вводные'!$B$21)*('19_Расчет_аналитики'!AW4779+'02_Модель'!AW38+'02_Модель'!AW39+'02_Модель'!AW40+'02_Модель'!AW41+'19_Расчет_аналитики'!AW4784+'19_Расчет_аналитики'!AW4674),0)</f>
        <v/>
      </c>
      <c r="AY4801">
        <f>IF('01_Вводные'!$B$234="Да",'01_Вводные'!$B$21*('19_Расчет_аналитики'!AY4779+'02_Модель'!AY38+'02_Модель'!AY39+'02_Модель'!AY40+'02_Модель'!AY41+'19_Расчет_аналитики'!AY4784+'19_Расчет_аналитики'!AY4674)+(1-'01_Вводные'!$B$21)*('19_Расчет_аналитики'!AX4779+'02_Модель'!AX38+'02_Модель'!AX39+'02_Модель'!AX40+'02_Модель'!AX41+'19_Расчет_аналитики'!AX4784+'19_Расчет_аналитики'!AX4674),0)</f>
        <v/>
      </c>
      <c r="AZ4801">
        <f>IF('01_Вводные'!$B$234="Да",'01_Вводные'!$B$21*('19_Расчет_аналитики'!AZ4779+'02_Модель'!AZ38+'02_Модель'!AZ39+'02_Модель'!AZ40+'02_Модель'!AZ41+'19_Расчет_аналитики'!AZ4784+'19_Расчет_аналитики'!AZ4674)+(1-'01_Вводные'!$B$21)*('19_Расчет_аналитики'!AY4779+'02_Модель'!AY38+'02_Модель'!AY39+'02_Модель'!AY40+'02_Модель'!AY41+'19_Расчет_аналитики'!AY4784+'19_Расчет_аналитики'!AY4674),0)</f>
        <v/>
      </c>
      <c r="BA4801">
        <f>IF('01_Вводные'!$B$234="Да",'01_Вводные'!$B$21*('19_Расчет_аналитики'!BA4779+'02_Модель'!BA38+'02_Модель'!BA39+'02_Модель'!BA40+'02_Модель'!BA41+'19_Расчет_аналитики'!BA4784+'19_Расчет_аналитики'!BA4674)+(1-'01_Вводные'!$B$21)*('19_Расчет_аналитики'!AZ4779+'02_Модель'!AZ38+'02_Модель'!AZ39+'02_Модель'!AZ40+'02_Модель'!AZ41+'19_Расчет_аналитики'!AZ4784+'19_Расчет_аналитики'!AZ4674),0)</f>
        <v/>
      </c>
      <c r="BB4801">
        <f>IF('01_Вводные'!$B$234="Да",'01_Вводные'!$B$21*('19_Расчет_аналитики'!BB4779+'02_Модель'!BB38+'02_Модель'!BB39+'02_Модель'!BB40+'02_Модель'!BB41+'19_Расчет_аналитики'!BB4784+'19_Расчет_аналитики'!BB4674)+(1-'01_Вводные'!$B$21)*('19_Расчет_аналитики'!BA4779+'02_Модель'!BA38+'02_Модель'!BA39+'02_Модель'!BA40+'02_Модель'!BA41+'19_Расчет_аналитики'!BA4784+'19_Расчет_аналитики'!BA4674),0)</f>
        <v/>
      </c>
      <c r="BC4801">
        <f>IF('01_Вводные'!$B$234="Да",'01_Вводные'!$B$21*('19_Расчет_аналитики'!BC4779+'02_Модель'!BC38+'02_Модель'!BC39+'02_Модель'!BC40+'02_Модель'!BC41+'19_Расчет_аналитики'!BC4784+'19_Расчет_аналитики'!BC4674)+(1-'01_Вводные'!$B$21)*('19_Расчет_аналитики'!BB4779+'02_Модель'!BB38+'02_Модель'!BB39+'02_Модель'!BB40+'02_Модель'!BB41+'19_Расчет_аналитики'!BB4784+'19_Расчет_аналитики'!BB4674),0)</f>
        <v/>
      </c>
      <c r="BD4801">
        <f>IF('01_Вводные'!$B$234="Да",'01_Вводные'!$B$21*('19_Расчет_аналитики'!BD4779+'02_Модель'!BD38+'02_Модель'!BD39+'02_Модель'!BD40+'02_Модель'!BD41+'19_Расчет_аналитики'!BD4784+'19_Расчет_аналитики'!BD4674)+(1-'01_Вводные'!$B$21)*('19_Расчет_аналитики'!BC4779+'02_Модель'!BC38+'02_Модель'!BC39+'02_Модель'!BC40+'02_Модель'!BC41+'19_Расчет_аналитики'!BC4784+'19_Расчет_аналитики'!BC4674),0)</f>
        <v/>
      </c>
      <c r="BE4801">
        <f>IF('01_Вводные'!$B$234="Да",'01_Вводные'!$B$21*('19_Расчет_аналитики'!BE4779+'02_Модель'!BE38+'02_Модель'!BE39+'02_Модель'!BE40+'02_Модель'!BE41+'19_Расчет_аналитики'!BE4784+'19_Расчет_аналитики'!BE4674)+(1-'01_Вводные'!$B$21)*('19_Расчет_аналитики'!BD4779+'02_Модель'!BD38+'02_Модель'!BD39+'02_Модель'!BD40+'02_Модель'!BD41+'19_Расчет_аналитики'!BD4784+'19_Расчет_аналитики'!BD4674),0)</f>
        <v/>
      </c>
      <c r="BF4801">
        <f>IF('01_Вводные'!$B$234="Да",'01_Вводные'!$B$21*('19_Расчет_аналитики'!BF4779+'02_Модель'!BF38+'02_Модель'!BF39+'02_Модель'!BF40+'02_Модель'!BF41+'19_Расчет_аналитики'!BF4784+'19_Расчет_аналитики'!BF4674)+(1-'01_Вводные'!$B$21)*('19_Расчет_аналитики'!BE4779+'02_Модель'!BE38+'02_Модель'!BE39+'02_Модель'!BE40+'02_Модель'!BE41+'19_Расчет_аналитики'!BE4784+'19_Расчет_аналитики'!BE4674),0)</f>
        <v/>
      </c>
      <c r="BG4801">
        <f>IF('01_Вводные'!$B$234="Да",'01_Вводные'!$B$21*('19_Расчет_аналитики'!BG4779+'02_Модель'!BG38+'02_Модель'!BG39+'02_Модель'!BG40+'02_Модель'!BG41+'19_Расчет_аналитики'!BG4784+'19_Расчет_аналитики'!BG4674)+(1-'01_Вводные'!$B$21)*('19_Расчет_аналитики'!BF4779+'02_Модель'!BF38+'02_Модель'!BF39+'02_Модель'!BF40+'02_Модель'!BF41+'19_Расчет_аналитики'!BF4784+'19_Расчет_аналитики'!BF4674),0)</f>
        <v/>
      </c>
      <c r="BH4801">
        <f>IF('01_Вводные'!$B$234="Да",'01_Вводные'!$B$21*('19_Расчет_аналитики'!BH4779+'02_Модель'!BH38+'02_Модель'!BH39+'02_Модель'!BH40+'02_Модель'!BH41+'19_Расчет_аналитики'!BH4784+'19_Расчет_аналитики'!BH4674)+(1-'01_Вводные'!$B$21)*('19_Расчет_аналитики'!BG4779+'02_Модель'!BG38+'02_Модель'!BG39+'02_Модель'!BG40+'02_Модель'!BG41+'19_Расчет_аналитики'!BG4784+'19_Расчет_аналитики'!BG4674),0)</f>
        <v/>
      </c>
      <c r="BI4801">
        <f>IF('01_Вводные'!$B$234="Да",'01_Вводные'!$B$21*('19_Расчет_аналитики'!BI4779+'02_Модель'!BI38+'02_Модель'!BI39+'02_Модель'!BI40+'02_Модель'!BI41+'19_Расчет_аналитики'!BI4784+'19_Расчет_аналитики'!BI4674)+(1-'01_Вводные'!$B$21)*('19_Расчет_аналитики'!BH4779+'02_Модель'!BH38+'02_Модель'!BH39+'02_Модель'!BH40+'02_Модель'!BH41+'19_Расчет_аналитики'!BH4784+'19_Расчет_аналитики'!BH4674),0)</f>
        <v/>
      </c>
    </row>
    <row r="4802">
      <c r="B4802">
        <f>'02_Модель'!B60</f>
        <v/>
      </c>
      <c r="C4802">
        <f>IF('01_Вводные'!$B$234="Да",'19_Расчет_аналитики'!C4778,0)</f>
        <v/>
      </c>
      <c r="D4802">
        <f>IF('01_Вводные'!$B$234="Да",'19_Расчет_аналитики'!D4778,0)</f>
        <v/>
      </c>
      <c r="E4802">
        <f>IF('01_Вводные'!$B$234="Да",'19_Расчет_аналитики'!E4778,0)</f>
        <v/>
      </c>
      <c r="F4802">
        <f>IF('01_Вводные'!$B$234="Да",'19_Расчет_аналитики'!F4778,0)</f>
        <v/>
      </c>
      <c r="G4802">
        <f>IF('01_Вводные'!$B$234="Да",'19_Расчет_аналитики'!G4778,0)</f>
        <v/>
      </c>
      <c r="H4802">
        <f>IF('01_Вводные'!$B$234="Да",'19_Расчет_аналитики'!H4778,0)</f>
        <v/>
      </c>
      <c r="I4802">
        <f>IF('01_Вводные'!$B$234="Да",'19_Расчет_аналитики'!I4778,0)</f>
        <v/>
      </c>
      <c r="J4802">
        <f>IF('01_Вводные'!$B$234="Да",'19_Расчет_аналитики'!J4778,0)</f>
        <v/>
      </c>
      <c r="K4802">
        <f>IF('01_Вводные'!$B$234="Да",'19_Расчет_аналитики'!K4778,0)</f>
        <v/>
      </c>
      <c r="L4802">
        <f>IF('01_Вводные'!$B$234="Да",'19_Расчет_аналитики'!L4778,0)</f>
        <v/>
      </c>
      <c r="M4802">
        <f>IF('01_Вводные'!$B$234="Да",'19_Расчет_аналитики'!M4778,0)</f>
        <v/>
      </c>
      <c r="N4802">
        <f>IF('01_Вводные'!$B$234="Да",'19_Расчет_аналитики'!N4778,0)</f>
        <v/>
      </c>
      <c r="O4802">
        <f>IF('01_Вводные'!$B$234="Да",'19_Расчет_аналитики'!O4778,0)</f>
        <v/>
      </c>
      <c r="P4802">
        <f>IF('01_Вводные'!$B$234="Да",'19_Расчет_аналитики'!P4778,0)</f>
        <v/>
      </c>
      <c r="Q4802">
        <f>IF('01_Вводные'!$B$234="Да",'19_Расчет_аналитики'!Q4778,0)</f>
        <v/>
      </c>
      <c r="R4802">
        <f>IF('01_Вводные'!$B$234="Да",'19_Расчет_аналитики'!R4778,0)</f>
        <v/>
      </c>
      <c r="S4802">
        <f>IF('01_Вводные'!$B$234="Да",'19_Расчет_аналитики'!S4778,0)</f>
        <v/>
      </c>
      <c r="T4802">
        <f>IF('01_Вводные'!$B$234="Да",'19_Расчет_аналитики'!T4778,0)</f>
        <v/>
      </c>
      <c r="U4802">
        <f>IF('01_Вводные'!$B$234="Да",'19_Расчет_аналитики'!U4778,0)</f>
        <v/>
      </c>
      <c r="V4802">
        <f>IF('01_Вводные'!$B$234="Да",'19_Расчет_аналитики'!V4778,0)</f>
        <v/>
      </c>
      <c r="W4802">
        <f>IF('01_Вводные'!$B$234="Да",'19_Расчет_аналитики'!W4778,0)</f>
        <v/>
      </c>
      <c r="X4802">
        <f>IF('01_Вводные'!$B$234="Да",'19_Расчет_аналитики'!X4778,0)</f>
        <v/>
      </c>
      <c r="Y4802">
        <f>IF('01_Вводные'!$B$234="Да",'19_Расчет_аналитики'!Y4778,0)</f>
        <v/>
      </c>
      <c r="Z4802">
        <f>IF('01_Вводные'!$B$234="Да",'19_Расчет_аналитики'!Z4778,0)</f>
        <v/>
      </c>
      <c r="AA4802">
        <f>IF('01_Вводные'!$B$234="Да",'19_Расчет_аналитики'!AA4778,0)</f>
        <v/>
      </c>
      <c r="AB4802">
        <f>IF('01_Вводные'!$B$234="Да",'19_Расчет_аналитики'!AB4778,0)</f>
        <v/>
      </c>
      <c r="AC4802">
        <f>IF('01_Вводные'!$B$234="Да",'19_Расчет_аналитики'!AC4778,0)</f>
        <v/>
      </c>
      <c r="AD4802">
        <f>IF('01_Вводные'!$B$234="Да",'19_Расчет_аналитики'!AD4778,0)</f>
        <v/>
      </c>
      <c r="AE4802">
        <f>IF('01_Вводные'!$B$234="Да",'19_Расчет_аналитики'!AE4778,0)</f>
        <v/>
      </c>
      <c r="AF4802">
        <f>IF('01_Вводные'!$B$234="Да",'19_Расчет_аналитики'!AF4778,0)</f>
        <v/>
      </c>
      <c r="AG4802">
        <f>IF('01_Вводные'!$B$234="Да",'19_Расчет_аналитики'!AG4778,0)</f>
        <v/>
      </c>
      <c r="AH4802">
        <f>IF('01_Вводные'!$B$234="Да",'19_Расчет_аналитики'!AH4778,0)</f>
        <v/>
      </c>
      <c r="AI4802">
        <f>IF('01_Вводные'!$B$234="Да",'19_Расчет_аналитики'!AI4778,0)</f>
        <v/>
      </c>
      <c r="AJ4802">
        <f>IF('01_Вводные'!$B$234="Да",'19_Расчет_аналитики'!AJ4778,0)</f>
        <v/>
      </c>
      <c r="AK4802">
        <f>IF('01_Вводные'!$B$234="Да",'19_Расчет_аналитики'!AK4778,0)</f>
        <v/>
      </c>
      <c r="AL4802">
        <f>IF('01_Вводные'!$B$234="Да",'19_Расчет_аналитики'!AL4778,0)</f>
        <v/>
      </c>
      <c r="AM4802">
        <f>IF('01_Вводные'!$B$234="Да",'19_Расчет_аналитики'!AM4778,0)</f>
        <v/>
      </c>
      <c r="AN4802">
        <f>IF('01_Вводные'!$B$234="Да",'19_Расчет_аналитики'!AN4778,0)</f>
        <v/>
      </c>
      <c r="AO4802">
        <f>IF('01_Вводные'!$B$234="Да",'19_Расчет_аналитики'!AO4778,0)</f>
        <v/>
      </c>
      <c r="AP4802">
        <f>IF('01_Вводные'!$B$234="Да",'19_Расчет_аналитики'!AP4778,0)</f>
        <v/>
      </c>
      <c r="AQ4802">
        <f>IF('01_Вводные'!$B$234="Да",'19_Расчет_аналитики'!AQ4778,0)</f>
        <v/>
      </c>
      <c r="AR4802">
        <f>IF('01_Вводные'!$B$234="Да",'19_Расчет_аналитики'!AR4778,0)</f>
        <v/>
      </c>
      <c r="AS4802">
        <f>IF('01_Вводные'!$B$234="Да",'19_Расчет_аналитики'!AS4778,0)</f>
        <v/>
      </c>
      <c r="AT4802">
        <f>IF('01_Вводные'!$B$234="Да",'19_Расчет_аналитики'!AT4778,0)</f>
        <v/>
      </c>
      <c r="AU4802">
        <f>IF('01_Вводные'!$B$234="Да",'19_Расчет_аналитики'!AU4778,0)</f>
        <v/>
      </c>
      <c r="AV4802">
        <f>IF('01_Вводные'!$B$234="Да",'19_Расчет_аналитики'!AV4778,0)</f>
        <v/>
      </c>
      <c r="AW4802">
        <f>IF('01_Вводные'!$B$234="Да",'19_Расчет_аналитики'!AW4778,0)</f>
        <v/>
      </c>
      <c r="AX4802">
        <f>IF('01_Вводные'!$B$234="Да",'19_Расчет_аналитики'!AX4778,0)</f>
        <v/>
      </c>
      <c r="AY4802">
        <f>IF('01_Вводные'!$B$234="Да",'19_Расчет_аналитики'!AY4778,0)</f>
        <v/>
      </c>
      <c r="AZ4802">
        <f>IF('01_Вводные'!$B$234="Да",'19_Расчет_аналитики'!AZ4778,0)</f>
        <v/>
      </c>
      <c r="BA4802">
        <f>IF('01_Вводные'!$B$234="Да",'19_Расчет_аналитики'!BA4778,0)</f>
        <v/>
      </c>
      <c r="BB4802">
        <f>IF('01_Вводные'!$B$234="Да",'19_Расчет_аналитики'!BB4778,0)</f>
        <v/>
      </c>
      <c r="BC4802">
        <f>IF('01_Вводные'!$B$234="Да",'19_Расчет_аналитики'!BC4778,0)</f>
        <v/>
      </c>
      <c r="BD4802">
        <f>IF('01_Вводные'!$B$234="Да",'19_Расчет_аналитики'!BD4778,0)</f>
        <v/>
      </c>
      <c r="BE4802">
        <f>IF('01_Вводные'!$B$234="Да",'19_Расчет_аналитики'!BE4778,0)</f>
        <v/>
      </c>
      <c r="BF4802">
        <f>IF('01_Вводные'!$B$234="Да",'19_Расчет_аналитики'!BF4778,0)</f>
        <v/>
      </c>
      <c r="BG4802">
        <f>IF('01_Вводные'!$B$234="Да",'19_Расчет_аналитики'!BG4778,0)</f>
        <v/>
      </c>
      <c r="BH4802">
        <f>IF('01_Вводные'!$B$234="Да",'19_Расчет_аналитики'!BH4778,0)</f>
        <v/>
      </c>
      <c r="BI4802">
        <f>IF('01_Вводные'!$B$234="Да",'19_Расчет_аналитики'!BI4778,0)</f>
        <v/>
      </c>
    </row>
    <row r="4803">
      <c r="B4803">
        <f>IF('01_Вводные'!$B$234="Да",'02_Модель'!B29+('19_Расчет_аналитики'!B4795/(1+'01_Вводные'!$B$58))*'01_Вводные'!$B$60+'19_Расчет_аналитики'!B4770,0)</f>
        <v/>
      </c>
      <c r="C4803">
        <f>IF('01_Вводные'!$B$234="Да",'19_Расчет_аналитики'!C4771+('19_Расчет_аналитики'!C4795/(1+'01_Вводные'!$B$58))*'01_Вводные'!$B$60+'19_Расчет_аналитики'!C4770,0)</f>
        <v/>
      </c>
      <c r="D4803">
        <f>IF('01_Вводные'!$B$234="Да",'19_Расчет_аналитики'!D4771+('19_Расчет_аналитики'!D4795/(1+'01_Вводные'!$B$58))*'01_Вводные'!$B$60+'19_Расчет_аналитики'!D4770,0)</f>
        <v/>
      </c>
      <c r="E4803">
        <f>IF('01_Вводные'!$B$234="Да",'19_Расчет_аналитики'!E4771+('19_Расчет_аналитики'!E4795/(1+'01_Вводные'!$B$58))*'01_Вводные'!$B$60+'19_Расчет_аналитики'!E4770,0)</f>
        <v/>
      </c>
      <c r="F4803">
        <f>IF('01_Вводные'!$B$234="Да",'19_Расчет_аналитики'!F4771+('19_Расчет_аналитики'!F4795/(1+'01_Вводные'!$B$58))*'01_Вводные'!$B$60+'19_Расчет_аналитики'!F4770,0)</f>
        <v/>
      </c>
      <c r="G4803">
        <f>IF('01_Вводные'!$B$234="Да",'19_Расчет_аналитики'!G4771+('19_Расчет_аналитики'!G4795/(1+'01_Вводные'!$B$58))*'01_Вводные'!$B$60+'19_Расчет_аналитики'!G4770,0)</f>
        <v/>
      </c>
      <c r="H4803">
        <f>IF('01_Вводные'!$B$234="Да",'19_Расчет_аналитики'!H4771+('19_Расчет_аналитики'!H4795/(1+'01_Вводные'!$B$58))*'01_Вводные'!$B$60+'19_Расчет_аналитики'!H4770,0)</f>
        <v/>
      </c>
      <c r="I4803">
        <f>IF('01_Вводные'!$B$234="Да",'19_Расчет_аналитики'!I4771+('19_Расчет_аналитики'!I4795/(1+'01_Вводные'!$B$58))*'01_Вводные'!$B$60+'19_Расчет_аналитики'!I4770,0)</f>
        <v/>
      </c>
      <c r="J4803">
        <f>IF('01_Вводные'!$B$234="Да",'19_Расчет_аналитики'!J4771+('19_Расчет_аналитики'!J4795/(1+'01_Вводные'!$B$58))*'01_Вводные'!$B$60+'19_Расчет_аналитики'!J4770,0)</f>
        <v/>
      </c>
      <c r="K4803">
        <f>IF('01_Вводные'!$B$234="Да",'19_Расчет_аналитики'!K4771+('19_Расчет_аналитики'!K4795/(1+'01_Вводные'!$B$58))*'01_Вводные'!$B$60+'19_Расчет_аналитики'!K4770,0)</f>
        <v/>
      </c>
      <c r="L4803">
        <f>IF('01_Вводные'!$B$234="Да",'19_Расчет_аналитики'!L4771+('19_Расчет_аналитики'!L4795/(1+'01_Вводные'!$B$58))*'01_Вводные'!$B$60+'19_Расчет_аналитики'!L4770,0)</f>
        <v/>
      </c>
      <c r="M4803">
        <f>IF('01_Вводные'!$B$234="Да",'19_Расчет_аналитики'!M4771+('19_Расчет_аналитики'!M4795/(1+'01_Вводные'!$B$58))*'01_Вводные'!$B$60+'19_Расчет_аналитики'!M4770,0)</f>
        <v/>
      </c>
      <c r="N4803">
        <f>IF('01_Вводные'!$B$234="Да",'19_Расчет_аналитики'!N4771+('19_Расчет_аналитики'!N4795/(1+'01_Вводные'!$B$58))*'01_Вводные'!$B$60+'19_Расчет_аналитики'!N4770,0)</f>
        <v/>
      </c>
      <c r="O4803">
        <f>IF('01_Вводные'!$B$234="Да",'19_Расчет_аналитики'!O4771+('19_Расчет_аналитики'!O4795/(1+'01_Вводные'!$B$58))*'01_Вводные'!$B$60+'19_Расчет_аналитики'!O4770,0)</f>
        <v/>
      </c>
      <c r="P4803">
        <f>IF('01_Вводные'!$B$234="Да",'19_Расчет_аналитики'!P4771+('19_Расчет_аналитики'!P4795/(1+'01_Вводные'!$B$58))*'01_Вводные'!$B$60+'19_Расчет_аналитики'!P4770,0)</f>
        <v/>
      </c>
      <c r="Q4803">
        <f>IF('01_Вводные'!$B$234="Да",'19_Расчет_аналитики'!Q4771+('19_Расчет_аналитики'!Q4795/(1+'01_Вводные'!$B$58))*'01_Вводные'!$B$60+'19_Расчет_аналитики'!Q4770,0)</f>
        <v/>
      </c>
      <c r="R4803">
        <f>IF('01_Вводные'!$B$234="Да",'19_Расчет_аналитики'!R4771+('19_Расчет_аналитики'!R4795/(1+'01_Вводные'!$B$58))*'01_Вводные'!$B$60+'19_Расчет_аналитики'!R4770,0)</f>
        <v/>
      </c>
      <c r="S4803">
        <f>IF('01_Вводные'!$B$234="Да",'19_Расчет_аналитики'!S4771+('19_Расчет_аналитики'!S4795/(1+'01_Вводные'!$B$58))*'01_Вводные'!$B$60+'19_Расчет_аналитики'!S4770,0)</f>
        <v/>
      </c>
      <c r="T4803">
        <f>IF('01_Вводные'!$B$234="Да",'19_Расчет_аналитики'!T4771+('19_Расчет_аналитики'!T4795/(1+'01_Вводные'!$B$58))*'01_Вводные'!$B$60+'19_Расчет_аналитики'!T4770,0)</f>
        <v/>
      </c>
      <c r="U4803">
        <f>IF('01_Вводные'!$B$234="Да",'19_Расчет_аналитики'!U4771+('19_Расчет_аналитики'!U4795/(1+'01_Вводные'!$B$58))*'01_Вводные'!$B$60+'19_Расчет_аналитики'!U4770,0)</f>
        <v/>
      </c>
      <c r="V4803">
        <f>IF('01_Вводные'!$B$234="Да",'19_Расчет_аналитики'!V4771+('19_Расчет_аналитики'!V4795/(1+'01_Вводные'!$B$58))*'01_Вводные'!$B$60+'19_Расчет_аналитики'!V4770,0)</f>
        <v/>
      </c>
      <c r="W4803">
        <f>IF('01_Вводные'!$B$234="Да",'19_Расчет_аналитики'!W4771+('19_Расчет_аналитики'!W4795/(1+'01_Вводные'!$B$58))*'01_Вводные'!$B$60+'19_Расчет_аналитики'!W4770,0)</f>
        <v/>
      </c>
      <c r="X4803">
        <f>IF('01_Вводные'!$B$234="Да",'19_Расчет_аналитики'!X4771+('19_Расчет_аналитики'!X4795/(1+'01_Вводные'!$B$58))*'01_Вводные'!$B$60+'19_Расчет_аналитики'!X4770,0)</f>
        <v/>
      </c>
      <c r="Y4803">
        <f>IF('01_Вводные'!$B$234="Да",'19_Расчет_аналитики'!Y4771+('19_Расчет_аналитики'!Y4795/(1+'01_Вводные'!$B$58))*'01_Вводные'!$B$60+'19_Расчет_аналитики'!Y4770,0)</f>
        <v/>
      </c>
      <c r="Z4803">
        <f>IF('01_Вводные'!$B$234="Да",'19_Расчет_аналитики'!Z4771+('19_Расчет_аналитики'!Z4795/(1+'01_Вводные'!$B$58))*'01_Вводные'!$B$60+'19_Расчет_аналитики'!Z4770,0)</f>
        <v/>
      </c>
      <c r="AA4803">
        <f>IF('01_Вводные'!$B$234="Да",'19_Расчет_аналитики'!AA4771+('19_Расчет_аналитики'!AA4795/(1+'01_Вводные'!$B$58))*'01_Вводные'!$B$60+'19_Расчет_аналитики'!AA4770,0)</f>
        <v/>
      </c>
      <c r="AB4803">
        <f>IF('01_Вводные'!$B$234="Да",'19_Расчет_аналитики'!AB4771+('19_Расчет_аналитики'!AB4795/(1+'01_Вводные'!$B$58))*'01_Вводные'!$B$60+'19_Расчет_аналитики'!AB4770,0)</f>
        <v/>
      </c>
      <c r="AC4803">
        <f>IF('01_Вводные'!$B$234="Да",'19_Расчет_аналитики'!AC4771+('19_Расчет_аналитики'!AC4795/(1+'01_Вводные'!$B$58))*'01_Вводные'!$B$60+'19_Расчет_аналитики'!AC4770,0)</f>
        <v/>
      </c>
      <c r="AD4803">
        <f>IF('01_Вводные'!$B$234="Да",'19_Расчет_аналитики'!AD4771+('19_Расчет_аналитики'!AD4795/(1+'01_Вводные'!$B$58))*'01_Вводные'!$B$60+'19_Расчет_аналитики'!AD4770,0)</f>
        <v/>
      </c>
      <c r="AE4803">
        <f>IF('01_Вводные'!$B$234="Да",'19_Расчет_аналитики'!AE4771+('19_Расчет_аналитики'!AE4795/(1+'01_Вводные'!$B$58))*'01_Вводные'!$B$60+'19_Расчет_аналитики'!AE4770,0)</f>
        <v/>
      </c>
      <c r="AF4803">
        <f>IF('01_Вводные'!$B$234="Да",'19_Расчет_аналитики'!AF4771+('19_Расчет_аналитики'!AF4795/(1+'01_Вводные'!$B$58))*'01_Вводные'!$B$60+'19_Расчет_аналитики'!AF4770,0)</f>
        <v/>
      </c>
      <c r="AG4803">
        <f>IF('01_Вводные'!$B$234="Да",'19_Расчет_аналитики'!AG4771+('19_Расчет_аналитики'!AG4795/(1+'01_Вводные'!$B$58))*'01_Вводные'!$B$60+'19_Расчет_аналитики'!AG4770,0)</f>
        <v/>
      </c>
      <c r="AH4803">
        <f>IF('01_Вводные'!$B$234="Да",'19_Расчет_аналитики'!AH4771+('19_Расчет_аналитики'!AH4795/(1+'01_Вводные'!$B$58))*'01_Вводные'!$B$60+'19_Расчет_аналитики'!AH4770,0)</f>
        <v/>
      </c>
      <c r="AI4803">
        <f>IF('01_Вводные'!$B$234="Да",'19_Расчет_аналитики'!AI4771+('19_Расчет_аналитики'!AI4795/(1+'01_Вводные'!$B$58))*'01_Вводные'!$B$60+'19_Расчет_аналитики'!AI4770,0)</f>
        <v/>
      </c>
      <c r="AJ4803">
        <f>IF('01_Вводные'!$B$234="Да",'19_Расчет_аналитики'!AJ4771+('19_Расчет_аналитики'!AJ4795/(1+'01_Вводные'!$B$58))*'01_Вводные'!$B$60+'19_Расчет_аналитики'!AJ4770,0)</f>
        <v/>
      </c>
      <c r="AK4803">
        <f>IF('01_Вводные'!$B$234="Да",'19_Расчет_аналитики'!AK4771+('19_Расчет_аналитики'!AK4795/(1+'01_Вводные'!$B$58))*'01_Вводные'!$B$60+'19_Расчет_аналитики'!AK4770,0)</f>
        <v/>
      </c>
      <c r="AL4803">
        <f>IF('01_Вводные'!$B$234="Да",'19_Расчет_аналитики'!AL4771+('19_Расчет_аналитики'!AL4795/(1+'01_Вводные'!$B$58))*'01_Вводные'!$B$60+'19_Расчет_аналитики'!AL4770,0)</f>
        <v/>
      </c>
      <c r="AM4803">
        <f>IF('01_Вводные'!$B$234="Да",'19_Расчет_аналитики'!AM4771+('19_Расчет_аналитики'!AM4795/(1+'01_Вводные'!$B$58))*'01_Вводные'!$B$60+'19_Расчет_аналитики'!AM4770,0)</f>
        <v/>
      </c>
      <c r="AN4803">
        <f>IF('01_Вводные'!$B$234="Да",'19_Расчет_аналитики'!AN4771+('19_Расчет_аналитики'!AN4795/(1+'01_Вводные'!$B$58))*'01_Вводные'!$B$60+'19_Расчет_аналитики'!AN4770,0)</f>
        <v/>
      </c>
      <c r="AO4803">
        <f>IF('01_Вводные'!$B$234="Да",'19_Расчет_аналитики'!AO4771+('19_Расчет_аналитики'!AO4795/(1+'01_Вводные'!$B$58))*'01_Вводные'!$B$60+'19_Расчет_аналитики'!AO4770,0)</f>
        <v/>
      </c>
      <c r="AP4803">
        <f>IF('01_Вводные'!$B$234="Да",'19_Расчет_аналитики'!AP4771+('19_Расчет_аналитики'!AP4795/(1+'01_Вводные'!$B$58))*'01_Вводные'!$B$60+'19_Расчет_аналитики'!AP4770,0)</f>
        <v/>
      </c>
      <c r="AQ4803">
        <f>IF('01_Вводные'!$B$234="Да",'19_Расчет_аналитики'!AQ4771+('19_Расчет_аналитики'!AQ4795/(1+'01_Вводные'!$B$58))*'01_Вводные'!$B$60+'19_Расчет_аналитики'!AQ4770,0)</f>
        <v/>
      </c>
      <c r="AR4803">
        <f>IF('01_Вводные'!$B$234="Да",'19_Расчет_аналитики'!AR4771+('19_Расчет_аналитики'!AR4795/(1+'01_Вводные'!$B$58))*'01_Вводные'!$B$60+'19_Расчет_аналитики'!AR4770,0)</f>
        <v/>
      </c>
      <c r="AS4803">
        <f>IF('01_Вводные'!$B$234="Да",'19_Расчет_аналитики'!AS4771+('19_Расчет_аналитики'!AS4795/(1+'01_Вводные'!$B$58))*'01_Вводные'!$B$60+'19_Расчет_аналитики'!AS4770,0)</f>
        <v/>
      </c>
      <c r="AT4803">
        <f>IF('01_Вводные'!$B$234="Да",'19_Расчет_аналитики'!AT4771+('19_Расчет_аналитики'!AT4795/(1+'01_Вводные'!$B$58))*'01_Вводные'!$B$60+'19_Расчет_аналитики'!AT4770,0)</f>
        <v/>
      </c>
      <c r="AU4803">
        <f>IF('01_Вводные'!$B$234="Да",'19_Расчет_аналитики'!AU4771+('19_Расчет_аналитики'!AU4795/(1+'01_Вводные'!$B$58))*'01_Вводные'!$B$60+'19_Расчет_аналитики'!AU4770,0)</f>
        <v/>
      </c>
      <c r="AV4803">
        <f>IF('01_Вводные'!$B$234="Да",'19_Расчет_аналитики'!AV4771+('19_Расчет_аналитики'!AV4795/(1+'01_Вводные'!$B$58))*'01_Вводные'!$B$60+'19_Расчет_аналитики'!AV4770,0)</f>
        <v/>
      </c>
      <c r="AW4803">
        <f>IF('01_Вводные'!$B$234="Да",'19_Расчет_аналитики'!AW4771+('19_Расчет_аналитики'!AW4795/(1+'01_Вводные'!$B$58))*'01_Вводные'!$B$60+'19_Расчет_аналитики'!AW4770,0)</f>
        <v/>
      </c>
      <c r="AX4803">
        <f>IF('01_Вводные'!$B$234="Да",'19_Расчет_аналитики'!AX4771+('19_Расчет_аналитики'!AX4795/(1+'01_Вводные'!$B$58))*'01_Вводные'!$B$60+'19_Расчет_аналитики'!AX4770,0)</f>
        <v/>
      </c>
      <c r="AY4803">
        <f>IF('01_Вводные'!$B$234="Да",'19_Расчет_аналитики'!AY4771+('19_Расчет_аналитики'!AY4795/(1+'01_Вводные'!$B$58))*'01_Вводные'!$B$60+'19_Расчет_аналитики'!AY4770,0)</f>
        <v/>
      </c>
      <c r="AZ4803">
        <f>IF('01_Вводные'!$B$234="Да",'19_Расчет_аналитики'!AZ4771+('19_Расчет_аналитики'!AZ4795/(1+'01_Вводные'!$B$58))*'01_Вводные'!$B$60+'19_Расчет_аналитики'!AZ4770,0)</f>
        <v/>
      </c>
      <c r="BA4803">
        <f>IF('01_Вводные'!$B$234="Да",'19_Расчет_аналитики'!BA4771+('19_Расчет_аналитики'!BA4795/(1+'01_Вводные'!$B$58))*'01_Вводные'!$B$60+'19_Расчет_аналитики'!BA4770,0)</f>
        <v/>
      </c>
      <c r="BB4803">
        <f>IF('01_Вводные'!$B$234="Да",'19_Расчет_аналитики'!BB4771+('19_Расчет_аналитики'!BB4795/(1+'01_Вводные'!$B$58))*'01_Вводные'!$B$60+'19_Расчет_аналитики'!BB4770,0)</f>
        <v/>
      </c>
      <c r="BC4803">
        <f>IF('01_Вводные'!$B$234="Да",'19_Расчет_аналитики'!BC4771+('19_Расчет_аналитики'!BC4795/(1+'01_Вводные'!$B$58))*'01_Вводные'!$B$60+'19_Расчет_аналитики'!BC4770,0)</f>
        <v/>
      </c>
      <c r="BD4803">
        <f>IF('01_Вводные'!$B$234="Да",'19_Расчет_аналитики'!BD4771+('19_Расчет_аналитики'!BD4795/(1+'01_Вводные'!$B$58))*'01_Вводные'!$B$60+'19_Расчет_аналитики'!BD4770,0)</f>
        <v/>
      </c>
      <c r="BE4803">
        <f>IF('01_Вводные'!$B$234="Да",'19_Расчет_аналитики'!BE4771+('19_Расчет_аналитики'!BE4795/(1+'01_Вводные'!$B$58))*'01_Вводные'!$B$60+'19_Расчет_аналитики'!BE4770,0)</f>
        <v/>
      </c>
      <c r="BF4803">
        <f>IF('01_Вводные'!$B$234="Да",'19_Расчет_аналитики'!BF4771+('19_Расчет_аналитики'!BF4795/(1+'01_Вводные'!$B$58))*'01_Вводные'!$B$60+'19_Расчет_аналитики'!BF4770,0)</f>
        <v/>
      </c>
      <c r="BG4803">
        <f>IF('01_Вводные'!$B$234="Да",'19_Расчет_аналитики'!BG4771+('19_Расчет_аналитики'!BG4795/(1+'01_Вводные'!$B$58))*'01_Вводные'!$B$60+'19_Расчет_аналитики'!BG4770,0)</f>
        <v/>
      </c>
      <c r="BH4803">
        <f>IF('01_Вводные'!$B$234="Да",'19_Расчет_аналитики'!BH4771+('19_Расчет_аналитики'!BH4795/(1+'01_Вводные'!$B$58))*'01_Вводные'!$B$60+'19_Расчет_аналитики'!BH4770,0)</f>
        <v/>
      </c>
      <c r="BI4803">
        <f>IF('01_Вводные'!$B$234="Да",'19_Расчет_аналитики'!BI4771+('19_Расчет_аналитики'!BI4795/(1+'01_Вводные'!$B$58))*'01_Вводные'!$B$60+'19_Расчет_аналитики'!BI4770,0)</f>
        <v/>
      </c>
    </row>
    <row r="4804">
      <c r="B4804">
        <f>IF('01_Вводные'!$B$234="Да",('02_Модель'!B52+'19_Расчет_аналитики'!B4795+'19_Расчет_аналитики'!B4796)-('02_Модель'!B52+'19_Расчет_аналитики'!B4795+'19_Расчет_аналитики'!B4796)/(1+'01_Вводные'!$B$58),0)</f>
        <v/>
      </c>
      <c r="C4804">
        <f>IF('01_Вводные'!$B$234="Да",('19_Расчет_аналитики'!C4794+'19_Расчет_аналитики'!C4795+'19_Расчет_аналитики'!C4796)-('19_Расчет_аналитики'!C4794+'19_Расчет_аналитики'!C4795+'19_Расчет_аналитики'!C4796)/(1+'01_Вводные'!$B$58),0)</f>
        <v/>
      </c>
      <c r="D4804">
        <f>IF('01_Вводные'!$B$234="Да",('19_Расчет_аналитики'!D4794+'19_Расчет_аналитики'!D4795+'19_Расчет_аналитики'!D4796)-('19_Расчет_аналитики'!D4794+'19_Расчет_аналитики'!D4795+'19_Расчет_аналитики'!D4796)/(1+'01_Вводные'!$B$58),0)</f>
        <v/>
      </c>
      <c r="E4804">
        <f>IF('01_Вводные'!$B$234="Да",('19_Расчет_аналитики'!E4794+'19_Расчет_аналитики'!E4795+'19_Расчет_аналитики'!E4796)-('19_Расчет_аналитики'!E4794+'19_Расчет_аналитики'!E4795+'19_Расчет_аналитики'!E4796)/(1+'01_Вводные'!$B$58),0)</f>
        <v/>
      </c>
      <c r="F4804">
        <f>IF('01_Вводные'!$B$234="Да",('19_Расчет_аналитики'!F4794+'19_Расчет_аналитики'!F4795+'19_Расчет_аналитики'!F4796)-('19_Расчет_аналитики'!F4794+'19_Расчет_аналитики'!F4795+'19_Расчет_аналитики'!F4796)/(1+'01_Вводные'!$B$58),0)</f>
        <v/>
      </c>
      <c r="G4804">
        <f>IF('01_Вводные'!$B$234="Да",('19_Расчет_аналитики'!G4794+'19_Расчет_аналитики'!G4795+'19_Расчет_аналитики'!G4796)-('19_Расчет_аналитики'!G4794+'19_Расчет_аналитики'!G4795+'19_Расчет_аналитики'!G4796)/(1+'01_Вводные'!$B$58),0)</f>
        <v/>
      </c>
      <c r="H4804">
        <f>IF('01_Вводные'!$B$234="Да",('19_Расчет_аналитики'!H4794+'19_Расчет_аналитики'!H4795+'19_Расчет_аналитики'!H4796)-('19_Расчет_аналитики'!H4794+'19_Расчет_аналитики'!H4795+'19_Расчет_аналитики'!H4796)/(1+'01_Вводные'!$B$58),0)</f>
        <v/>
      </c>
      <c r="I4804">
        <f>IF('01_Вводные'!$B$234="Да",('19_Расчет_аналитики'!I4794+'19_Расчет_аналитики'!I4795+'19_Расчет_аналитики'!I4796)-('19_Расчет_аналитики'!I4794+'19_Расчет_аналитики'!I4795+'19_Расчет_аналитики'!I4796)/(1+'01_Вводные'!$B$58),0)</f>
        <v/>
      </c>
      <c r="J4804">
        <f>IF('01_Вводные'!$B$234="Да",('19_Расчет_аналитики'!J4794+'19_Расчет_аналитики'!J4795+'19_Расчет_аналитики'!J4796)-('19_Расчет_аналитики'!J4794+'19_Расчет_аналитики'!J4795+'19_Расчет_аналитики'!J4796)/(1+'01_Вводные'!$B$58),0)</f>
        <v/>
      </c>
      <c r="K4804">
        <f>IF('01_Вводные'!$B$234="Да",('19_Расчет_аналитики'!K4794+'19_Расчет_аналитики'!K4795+'19_Расчет_аналитики'!K4796)-('19_Расчет_аналитики'!K4794+'19_Расчет_аналитики'!K4795+'19_Расчет_аналитики'!K4796)/(1+'01_Вводные'!$B$58),0)</f>
        <v/>
      </c>
      <c r="L4804">
        <f>IF('01_Вводные'!$B$234="Да",('19_Расчет_аналитики'!L4794+'19_Расчет_аналитики'!L4795+'19_Расчет_аналитики'!L4796)-('19_Расчет_аналитики'!L4794+'19_Расчет_аналитики'!L4795+'19_Расчет_аналитики'!L4796)/(1+'01_Вводные'!$B$58),0)</f>
        <v/>
      </c>
      <c r="M4804">
        <f>IF('01_Вводные'!$B$234="Да",('19_Расчет_аналитики'!M4794+'19_Расчет_аналитики'!M4795+'19_Расчет_аналитики'!M4796)-('19_Расчет_аналитики'!M4794+'19_Расчет_аналитики'!M4795+'19_Расчет_аналитики'!M4796)/(1+'01_Вводные'!$B$58),0)</f>
        <v/>
      </c>
      <c r="N4804">
        <f>IF('01_Вводные'!$B$234="Да",('19_Расчет_аналитики'!N4794+'19_Расчет_аналитики'!N4795+'19_Расчет_аналитики'!N4796)-('19_Расчет_аналитики'!N4794+'19_Расчет_аналитики'!N4795+'19_Расчет_аналитики'!N4796)/(1+'01_Вводные'!$B$58),0)</f>
        <v/>
      </c>
      <c r="O4804">
        <f>IF('01_Вводные'!$B$234="Да",('19_Расчет_аналитики'!O4794+'19_Расчет_аналитики'!O4795+'19_Расчет_аналитики'!O4796)-('19_Расчет_аналитики'!O4794+'19_Расчет_аналитики'!O4795+'19_Расчет_аналитики'!O4796)/(1+'01_Вводные'!$B$58),0)</f>
        <v/>
      </c>
      <c r="P4804">
        <f>IF('01_Вводные'!$B$234="Да",('19_Расчет_аналитики'!P4794+'19_Расчет_аналитики'!P4795+'19_Расчет_аналитики'!P4796)-('19_Расчет_аналитики'!P4794+'19_Расчет_аналитики'!P4795+'19_Расчет_аналитики'!P4796)/(1+'01_Вводные'!$B$58),0)</f>
        <v/>
      </c>
      <c r="Q4804">
        <f>IF('01_Вводные'!$B$234="Да",('19_Расчет_аналитики'!Q4794+'19_Расчет_аналитики'!Q4795+'19_Расчет_аналитики'!Q4796)-('19_Расчет_аналитики'!Q4794+'19_Расчет_аналитики'!Q4795+'19_Расчет_аналитики'!Q4796)/(1+'01_Вводные'!$B$58),0)</f>
        <v/>
      </c>
      <c r="R4804">
        <f>IF('01_Вводные'!$B$234="Да",('19_Расчет_аналитики'!R4794+'19_Расчет_аналитики'!R4795+'19_Расчет_аналитики'!R4796)-('19_Расчет_аналитики'!R4794+'19_Расчет_аналитики'!R4795+'19_Расчет_аналитики'!R4796)/(1+'01_Вводные'!$B$58),0)</f>
        <v/>
      </c>
      <c r="S4804">
        <f>IF('01_Вводные'!$B$234="Да",('19_Расчет_аналитики'!S4794+'19_Расчет_аналитики'!S4795+'19_Расчет_аналитики'!S4796)-('19_Расчет_аналитики'!S4794+'19_Расчет_аналитики'!S4795+'19_Расчет_аналитики'!S4796)/(1+'01_Вводные'!$B$58),0)</f>
        <v/>
      </c>
      <c r="T4804">
        <f>IF('01_Вводные'!$B$234="Да",('19_Расчет_аналитики'!T4794+'19_Расчет_аналитики'!T4795+'19_Расчет_аналитики'!T4796)-('19_Расчет_аналитики'!T4794+'19_Расчет_аналитики'!T4795+'19_Расчет_аналитики'!T4796)/(1+'01_Вводные'!$B$58),0)</f>
        <v/>
      </c>
      <c r="U4804">
        <f>IF('01_Вводные'!$B$234="Да",('19_Расчет_аналитики'!U4794+'19_Расчет_аналитики'!U4795+'19_Расчет_аналитики'!U4796)-('19_Расчет_аналитики'!U4794+'19_Расчет_аналитики'!U4795+'19_Расчет_аналитики'!U4796)/(1+'01_Вводные'!$B$58),0)</f>
        <v/>
      </c>
      <c r="V4804">
        <f>IF('01_Вводные'!$B$234="Да",('19_Расчет_аналитики'!V4794+'19_Расчет_аналитики'!V4795+'19_Расчет_аналитики'!V4796)-('19_Расчет_аналитики'!V4794+'19_Расчет_аналитики'!V4795+'19_Расчет_аналитики'!V4796)/(1+'01_Вводные'!$B$58),0)</f>
        <v/>
      </c>
      <c r="W4804">
        <f>IF('01_Вводные'!$B$234="Да",('19_Расчет_аналитики'!W4794+'19_Расчет_аналитики'!W4795+'19_Расчет_аналитики'!W4796)-('19_Расчет_аналитики'!W4794+'19_Расчет_аналитики'!W4795+'19_Расчет_аналитики'!W4796)/(1+'01_Вводные'!$B$58),0)</f>
        <v/>
      </c>
      <c r="X4804">
        <f>IF('01_Вводные'!$B$234="Да",('19_Расчет_аналитики'!X4794+'19_Расчет_аналитики'!X4795+'19_Расчет_аналитики'!X4796)-('19_Расчет_аналитики'!X4794+'19_Расчет_аналитики'!X4795+'19_Расчет_аналитики'!X4796)/(1+'01_Вводные'!$B$58),0)</f>
        <v/>
      </c>
      <c r="Y4804">
        <f>IF('01_Вводные'!$B$234="Да",('19_Расчет_аналитики'!Y4794+'19_Расчет_аналитики'!Y4795+'19_Расчет_аналитики'!Y4796)-('19_Расчет_аналитики'!Y4794+'19_Расчет_аналитики'!Y4795+'19_Расчет_аналитики'!Y4796)/(1+'01_Вводные'!$B$58),0)</f>
        <v/>
      </c>
      <c r="Z4804">
        <f>IF('01_Вводные'!$B$234="Да",('19_Расчет_аналитики'!Z4794+'19_Расчет_аналитики'!Z4795+'19_Расчет_аналитики'!Z4796)-('19_Расчет_аналитики'!Z4794+'19_Расчет_аналитики'!Z4795+'19_Расчет_аналитики'!Z4796)/(1+'01_Вводные'!$B$58),0)</f>
        <v/>
      </c>
      <c r="AA4804">
        <f>IF('01_Вводные'!$B$234="Да",('19_Расчет_аналитики'!AA4794+'19_Расчет_аналитики'!AA4795+'19_Расчет_аналитики'!AA4796)-('19_Расчет_аналитики'!AA4794+'19_Расчет_аналитики'!AA4795+'19_Расчет_аналитики'!AA4796)/(1+'01_Вводные'!$B$58),0)</f>
        <v/>
      </c>
      <c r="AB4804">
        <f>IF('01_Вводные'!$B$234="Да",('19_Расчет_аналитики'!AB4794+'19_Расчет_аналитики'!AB4795+'19_Расчет_аналитики'!AB4796)-('19_Расчет_аналитики'!AB4794+'19_Расчет_аналитики'!AB4795+'19_Расчет_аналитики'!AB4796)/(1+'01_Вводные'!$B$58),0)</f>
        <v/>
      </c>
      <c r="AC4804">
        <f>IF('01_Вводные'!$B$234="Да",('19_Расчет_аналитики'!AC4794+'19_Расчет_аналитики'!AC4795+'19_Расчет_аналитики'!AC4796)-('19_Расчет_аналитики'!AC4794+'19_Расчет_аналитики'!AC4795+'19_Расчет_аналитики'!AC4796)/(1+'01_Вводные'!$B$58),0)</f>
        <v/>
      </c>
      <c r="AD4804">
        <f>IF('01_Вводные'!$B$234="Да",('19_Расчет_аналитики'!AD4794+'19_Расчет_аналитики'!AD4795+'19_Расчет_аналитики'!AD4796)-('19_Расчет_аналитики'!AD4794+'19_Расчет_аналитики'!AD4795+'19_Расчет_аналитики'!AD4796)/(1+'01_Вводные'!$B$58),0)</f>
        <v/>
      </c>
      <c r="AE4804">
        <f>IF('01_Вводные'!$B$234="Да",('19_Расчет_аналитики'!AE4794+'19_Расчет_аналитики'!AE4795+'19_Расчет_аналитики'!AE4796)-('19_Расчет_аналитики'!AE4794+'19_Расчет_аналитики'!AE4795+'19_Расчет_аналитики'!AE4796)/(1+'01_Вводные'!$B$58),0)</f>
        <v/>
      </c>
      <c r="AF4804">
        <f>IF('01_Вводные'!$B$234="Да",('19_Расчет_аналитики'!AF4794+'19_Расчет_аналитики'!AF4795+'19_Расчет_аналитики'!AF4796)-('19_Расчет_аналитики'!AF4794+'19_Расчет_аналитики'!AF4795+'19_Расчет_аналитики'!AF4796)/(1+'01_Вводные'!$B$58),0)</f>
        <v/>
      </c>
      <c r="AG4804">
        <f>IF('01_Вводные'!$B$234="Да",('19_Расчет_аналитики'!AG4794+'19_Расчет_аналитики'!AG4795+'19_Расчет_аналитики'!AG4796)-('19_Расчет_аналитики'!AG4794+'19_Расчет_аналитики'!AG4795+'19_Расчет_аналитики'!AG4796)/(1+'01_Вводные'!$B$58),0)</f>
        <v/>
      </c>
      <c r="AH4804">
        <f>IF('01_Вводные'!$B$234="Да",('19_Расчет_аналитики'!AH4794+'19_Расчет_аналитики'!AH4795+'19_Расчет_аналитики'!AH4796)-('19_Расчет_аналитики'!AH4794+'19_Расчет_аналитики'!AH4795+'19_Расчет_аналитики'!AH4796)/(1+'01_Вводные'!$B$58),0)</f>
        <v/>
      </c>
      <c r="AI4804">
        <f>IF('01_Вводные'!$B$234="Да",('19_Расчет_аналитики'!AI4794+'19_Расчет_аналитики'!AI4795+'19_Расчет_аналитики'!AI4796)-('19_Расчет_аналитики'!AI4794+'19_Расчет_аналитики'!AI4795+'19_Расчет_аналитики'!AI4796)/(1+'01_Вводные'!$B$58),0)</f>
        <v/>
      </c>
      <c r="AJ4804">
        <f>IF('01_Вводные'!$B$234="Да",('19_Расчет_аналитики'!AJ4794+'19_Расчет_аналитики'!AJ4795+'19_Расчет_аналитики'!AJ4796)-('19_Расчет_аналитики'!AJ4794+'19_Расчет_аналитики'!AJ4795+'19_Расчет_аналитики'!AJ4796)/(1+'01_Вводные'!$B$58),0)</f>
        <v/>
      </c>
      <c r="AK4804">
        <f>IF('01_Вводные'!$B$234="Да",('19_Расчет_аналитики'!AK4794+'19_Расчет_аналитики'!AK4795+'19_Расчет_аналитики'!AK4796)-('19_Расчет_аналитики'!AK4794+'19_Расчет_аналитики'!AK4795+'19_Расчет_аналитики'!AK4796)/(1+'01_Вводные'!$B$58),0)</f>
        <v/>
      </c>
      <c r="AL4804">
        <f>IF('01_Вводные'!$B$234="Да",('19_Расчет_аналитики'!AL4794+'19_Расчет_аналитики'!AL4795+'19_Расчет_аналитики'!AL4796)-('19_Расчет_аналитики'!AL4794+'19_Расчет_аналитики'!AL4795+'19_Расчет_аналитики'!AL4796)/(1+'01_Вводные'!$B$58),0)</f>
        <v/>
      </c>
      <c r="AM4804">
        <f>IF('01_Вводные'!$B$234="Да",('19_Расчет_аналитики'!AM4794+'19_Расчет_аналитики'!AM4795+'19_Расчет_аналитики'!AM4796)-('19_Расчет_аналитики'!AM4794+'19_Расчет_аналитики'!AM4795+'19_Расчет_аналитики'!AM4796)/(1+'01_Вводные'!$B$58),0)</f>
        <v/>
      </c>
      <c r="AN4804">
        <f>IF('01_Вводные'!$B$234="Да",('19_Расчет_аналитики'!AN4794+'19_Расчет_аналитики'!AN4795+'19_Расчет_аналитики'!AN4796)-('19_Расчет_аналитики'!AN4794+'19_Расчет_аналитики'!AN4795+'19_Расчет_аналитики'!AN4796)/(1+'01_Вводные'!$B$58),0)</f>
        <v/>
      </c>
      <c r="AO4804">
        <f>IF('01_Вводные'!$B$234="Да",('19_Расчет_аналитики'!AO4794+'19_Расчет_аналитики'!AO4795+'19_Расчет_аналитики'!AO4796)-('19_Расчет_аналитики'!AO4794+'19_Расчет_аналитики'!AO4795+'19_Расчет_аналитики'!AO4796)/(1+'01_Вводные'!$B$58),0)</f>
        <v/>
      </c>
      <c r="AP4804">
        <f>IF('01_Вводные'!$B$234="Да",('19_Расчет_аналитики'!AP4794+'19_Расчет_аналитики'!AP4795+'19_Расчет_аналитики'!AP4796)-('19_Расчет_аналитики'!AP4794+'19_Расчет_аналитики'!AP4795+'19_Расчет_аналитики'!AP4796)/(1+'01_Вводные'!$B$58),0)</f>
        <v/>
      </c>
      <c r="AQ4804">
        <f>IF('01_Вводные'!$B$234="Да",('19_Расчет_аналитики'!AQ4794+'19_Расчет_аналитики'!AQ4795+'19_Расчет_аналитики'!AQ4796)-('19_Расчет_аналитики'!AQ4794+'19_Расчет_аналитики'!AQ4795+'19_Расчет_аналитики'!AQ4796)/(1+'01_Вводные'!$B$58),0)</f>
        <v/>
      </c>
      <c r="AR4804">
        <f>IF('01_Вводные'!$B$234="Да",('19_Расчет_аналитики'!AR4794+'19_Расчет_аналитики'!AR4795+'19_Расчет_аналитики'!AR4796)-('19_Расчет_аналитики'!AR4794+'19_Расчет_аналитики'!AR4795+'19_Расчет_аналитики'!AR4796)/(1+'01_Вводные'!$B$58),0)</f>
        <v/>
      </c>
      <c r="AS4804">
        <f>IF('01_Вводные'!$B$234="Да",('19_Расчет_аналитики'!AS4794+'19_Расчет_аналитики'!AS4795+'19_Расчет_аналитики'!AS4796)-('19_Расчет_аналитики'!AS4794+'19_Расчет_аналитики'!AS4795+'19_Расчет_аналитики'!AS4796)/(1+'01_Вводные'!$B$58),0)</f>
        <v/>
      </c>
      <c r="AT4804">
        <f>IF('01_Вводные'!$B$234="Да",('19_Расчет_аналитики'!AT4794+'19_Расчет_аналитики'!AT4795+'19_Расчет_аналитики'!AT4796)-('19_Расчет_аналитики'!AT4794+'19_Расчет_аналитики'!AT4795+'19_Расчет_аналитики'!AT4796)/(1+'01_Вводные'!$B$58),0)</f>
        <v/>
      </c>
      <c r="AU4804">
        <f>IF('01_Вводные'!$B$234="Да",('19_Расчет_аналитики'!AU4794+'19_Расчет_аналитики'!AU4795+'19_Расчет_аналитики'!AU4796)-('19_Расчет_аналитики'!AU4794+'19_Расчет_аналитики'!AU4795+'19_Расчет_аналитики'!AU4796)/(1+'01_Вводные'!$B$58),0)</f>
        <v/>
      </c>
      <c r="AV4804">
        <f>IF('01_Вводные'!$B$234="Да",('19_Расчет_аналитики'!AV4794+'19_Расчет_аналитики'!AV4795+'19_Расчет_аналитики'!AV4796)-('19_Расчет_аналитики'!AV4794+'19_Расчет_аналитики'!AV4795+'19_Расчет_аналитики'!AV4796)/(1+'01_Вводные'!$B$58),0)</f>
        <v/>
      </c>
      <c r="AW4804">
        <f>IF('01_Вводные'!$B$234="Да",('19_Расчет_аналитики'!AW4794+'19_Расчет_аналитики'!AW4795+'19_Расчет_аналитики'!AW4796)-('19_Расчет_аналитики'!AW4794+'19_Расчет_аналитики'!AW4795+'19_Расчет_аналитики'!AW4796)/(1+'01_Вводные'!$B$58),0)</f>
        <v/>
      </c>
      <c r="AX4804">
        <f>IF('01_Вводные'!$B$234="Да",('19_Расчет_аналитики'!AX4794+'19_Расчет_аналитики'!AX4795+'19_Расчет_аналитики'!AX4796)-('19_Расчет_аналитики'!AX4794+'19_Расчет_аналитики'!AX4795+'19_Расчет_аналитики'!AX4796)/(1+'01_Вводные'!$B$58),0)</f>
        <v/>
      </c>
      <c r="AY4804">
        <f>IF('01_Вводные'!$B$234="Да",('19_Расчет_аналитики'!AY4794+'19_Расчет_аналитики'!AY4795+'19_Расчет_аналитики'!AY4796)-('19_Расчет_аналитики'!AY4794+'19_Расчет_аналитики'!AY4795+'19_Расчет_аналитики'!AY4796)/(1+'01_Вводные'!$B$58),0)</f>
        <v/>
      </c>
      <c r="AZ4804">
        <f>IF('01_Вводные'!$B$234="Да",('19_Расчет_аналитики'!AZ4794+'19_Расчет_аналитики'!AZ4795+'19_Расчет_аналитики'!AZ4796)-('19_Расчет_аналитики'!AZ4794+'19_Расчет_аналитики'!AZ4795+'19_Расчет_аналитики'!AZ4796)/(1+'01_Вводные'!$B$58),0)</f>
        <v/>
      </c>
      <c r="BA4804">
        <f>IF('01_Вводные'!$B$234="Да",('19_Расчет_аналитики'!BA4794+'19_Расчет_аналитики'!BA4795+'19_Расчет_аналитики'!BA4796)-('19_Расчет_аналитики'!BA4794+'19_Расчет_аналитики'!BA4795+'19_Расчет_аналитики'!BA4796)/(1+'01_Вводные'!$B$58),0)</f>
        <v/>
      </c>
      <c r="BB4804">
        <f>IF('01_Вводные'!$B$234="Да",('19_Расчет_аналитики'!BB4794+'19_Расчет_аналитики'!BB4795+'19_Расчет_аналитики'!BB4796)-('19_Расчет_аналитики'!BB4794+'19_Расчет_аналитики'!BB4795+'19_Расчет_аналитики'!BB4796)/(1+'01_Вводные'!$B$58),0)</f>
        <v/>
      </c>
      <c r="BC4804">
        <f>IF('01_Вводные'!$B$234="Да",('19_Расчет_аналитики'!BC4794+'19_Расчет_аналитики'!BC4795+'19_Расчет_аналитики'!BC4796)-('19_Расчет_аналитики'!BC4794+'19_Расчет_аналитики'!BC4795+'19_Расчет_аналитики'!BC4796)/(1+'01_Вводные'!$B$58),0)</f>
        <v/>
      </c>
      <c r="BD4804">
        <f>IF('01_Вводные'!$B$234="Да",('19_Расчет_аналитики'!BD4794+'19_Расчет_аналитики'!BD4795+'19_Расчет_аналитики'!BD4796)-('19_Расчет_аналитики'!BD4794+'19_Расчет_аналитики'!BD4795+'19_Расчет_аналитики'!BD4796)/(1+'01_Вводные'!$B$58),0)</f>
        <v/>
      </c>
      <c r="BE4804">
        <f>IF('01_Вводные'!$B$234="Да",('19_Расчет_аналитики'!BE4794+'19_Расчет_аналитики'!BE4795+'19_Расчет_аналитики'!BE4796)-('19_Расчет_аналитики'!BE4794+'19_Расчет_аналитики'!BE4795+'19_Расчет_аналитики'!BE4796)/(1+'01_Вводные'!$B$58),0)</f>
        <v/>
      </c>
      <c r="BF4804">
        <f>IF('01_Вводные'!$B$234="Да",('19_Расчет_аналитики'!BF4794+'19_Расчет_аналитики'!BF4795+'19_Расчет_аналитики'!BF4796)-('19_Расчет_аналитики'!BF4794+'19_Расчет_аналитики'!BF4795+'19_Расчет_аналитики'!BF4796)/(1+'01_Вводные'!$B$58),0)</f>
        <v/>
      </c>
      <c r="BG4804">
        <f>IF('01_Вводные'!$B$234="Да",('19_Расчет_аналитики'!BG4794+'19_Расчет_аналитики'!BG4795+'19_Расчет_аналитики'!BG4796)-('19_Расчет_аналитики'!BG4794+'19_Расчет_аналитики'!BG4795+'19_Расчет_аналитики'!BG4796)/(1+'01_Вводные'!$B$58),0)</f>
        <v/>
      </c>
      <c r="BH4804">
        <f>IF('01_Вводные'!$B$234="Да",('19_Расчет_аналитики'!BH4794+'19_Расчет_аналитики'!BH4795+'19_Расчет_аналитики'!BH4796)-('19_Расчет_аналитики'!BH4794+'19_Расчет_аналитики'!BH4795+'19_Расчет_аналитики'!BH4796)/(1+'01_Вводные'!$B$58),0)</f>
        <v/>
      </c>
      <c r="BI4804">
        <f>IF('01_Вводные'!$B$234="Да",('19_Расчет_аналитики'!BI4794+'19_Расчет_аналитики'!BI4795+'19_Расчет_аналитики'!BI4796)-('19_Расчет_аналитики'!BI4794+'19_Расчет_аналитики'!BI4795+'19_Расчет_аналитики'!BI4796)/(1+'01_Вводные'!$B$58),0)</f>
        <v/>
      </c>
    </row>
    <row r="4805">
      <c r="B4805">
        <f>'02_Модель'!B63</f>
        <v/>
      </c>
      <c r="C4805">
        <f>'02_Модель'!C63</f>
        <v/>
      </c>
      <c r="D4805">
        <f>'02_Модель'!D63</f>
        <v/>
      </c>
      <c r="E4805">
        <f>'02_Модель'!E63</f>
        <v/>
      </c>
      <c r="F4805">
        <f>'02_Модель'!F63</f>
        <v/>
      </c>
      <c r="G4805">
        <f>'02_Модель'!G63</f>
        <v/>
      </c>
      <c r="H4805">
        <f>'02_Модель'!H63</f>
        <v/>
      </c>
      <c r="I4805">
        <f>'02_Модель'!I63</f>
        <v/>
      </c>
      <c r="J4805">
        <f>'02_Модель'!J63</f>
        <v/>
      </c>
      <c r="K4805">
        <f>'02_Модель'!K63</f>
        <v/>
      </c>
      <c r="L4805">
        <f>'02_Модель'!L63</f>
        <v/>
      </c>
      <c r="M4805">
        <f>'02_Модель'!M63</f>
        <v/>
      </c>
      <c r="N4805">
        <f>'02_Модель'!N63</f>
        <v/>
      </c>
      <c r="O4805">
        <f>'02_Модель'!O63</f>
        <v/>
      </c>
      <c r="P4805">
        <f>'02_Модель'!P63</f>
        <v/>
      </c>
      <c r="Q4805">
        <f>'02_Модель'!Q63</f>
        <v/>
      </c>
      <c r="R4805">
        <f>'02_Модель'!R63</f>
        <v/>
      </c>
      <c r="S4805">
        <f>'02_Модель'!S63</f>
        <v/>
      </c>
      <c r="T4805">
        <f>'02_Модель'!T63</f>
        <v/>
      </c>
      <c r="U4805">
        <f>'02_Модель'!U63</f>
        <v/>
      </c>
      <c r="V4805">
        <f>'02_Модель'!V63</f>
        <v/>
      </c>
      <c r="W4805">
        <f>'02_Модель'!W63</f>
        <v/>
      </c>
      <c r="X4805">
        <f>'02_Модель'!X63</f>
        <v/>
      </c>
      <c r="Y4805">
        <f>'02_Модель'!Y63</f>
        <v/>
      </c>
      <c r="Z4805">
        <f>'02_Модель'!Z63</f>
        <v/>
      </c>
      <c r="AA4805">
        <f>'02_Модель'!AA63</f>
        <v/>
      </c>
      <c r="AB4805">
        <f>'02_Модель'!AB63</f>
        <v/>
      </c>
      <c r="AC4805">
        <f>'02_Модель'!AC63</f>
        <v/>
      </c>
      <c r="AD4805">
        <f>'02_Модель'!AD63</f>
        <v/>
      </c>
      <c r="AE4805">
        <f>'02_Модель'!AE63</f>
        <v/>
      </c>
      <c r="AF4805">
        <f>'02_Модель'!AF63</f>
        <v/>
      </c>
      <c r="AG4805">
        <f>'02_Модель'!AG63</f>
        <v/>
      </c>
      <c r="AH4805">
        <f>'02_Модель'!AH63</f>
        <v/>
      </c>
      <c r="AI4805">
        <f>'02_Модель'!AI63</f>
        <v/>
      </c>
      <c r="AJ4805">
        <f>'02_Модель'!AJ63</f>
        <v/>
      </c>
      <c r="AK4805">
        <f>'02_Модель'!AK63</f>
        <v/>
      </c>
      <c r="AL4805">
        <f>'02_Модель'!AL63</f>
        <v/>
      </c>
      <c r="AM4805">
        <f>'02_Модель'!AM63</f>
        <v/>
      </c>
      <c r="AN4805">
        <f>'02_Модель'!AN63</f>
        <v/>
      </c>
      <c r="AO4805">
        <f>'02_Модель'!AO63</f>
        <v/>
      </c>
      <c r="AP4805">
        <f>'02_Модель'!AP63</f>
        <v/>
      </c>
      <c r="AQ4805">
        <f>'02_Модель'!AQ63</f>
        <v/>
      </c>
      <c r="AR4805">
        <f>'02_Модель'!AR63</f>
        <v/>
      </c>
      <c r="AS4805">
        <f>'02_Модель'!AS63</f>
        <v/>
      </c>
      <c r="AT4805">
        <f>'02_Модель'!AT63</f>
        <v/>
      </c>
      <c r="AU4805">
        <f>'02_Модель'!AU63</f>
        <v/>
      </c>
      <c r="AV4805">
        <f>'02_Модель'!AV63</f>
        <v/>
      </c>
      <c r="AW4805">
        <f>'02_Модель'!AW63</f>
        <v/>
      </c>
      <c r="AX4805">
        <f>'02_Модель'!AX63</f>
        <v/>
      </c>
      <c r="AY4805">
        <f>'02_Модель'!AY63</f>
        <v/>
      </c>
      <c r="AZ4805">
        <f>'02_Модель'!AZ63</f>
        <v/>
      </c>
      <c r="BA4805">
        <f>'02_Модель'!BA63</f>
        <v/>
      </c>
      <c r="BB4805">
        <f>'02_Модель'!BB63</f>
        <v/>
      </c>
      <c r="BC4805">
        <f>'02_Модель'!BC63</f>
        <v/>
      </c>
      <c r="BD4805">
        <f>'02_Модель'!BD63</f>
        <v/>
      </c>
      <c r="BE4805">
        <f>'02_Модель'!BE63</f>
        <v/>
      </c>
      <c r="BF4805">
        <f>'02_Модель'!BF63</f>
        <v/>
      </c>
      <c r="BG4805">
        <f>'02_Модель'!BG63</f>
        <v/>
      </c>
      <c r="BH4805">
        <f>'02_Модель'!BH63</f>
        <v/>
      </c>
      <c r="BI4805">
        <f>'02_Модель'!BI63</f>
        <v/>
      </c>
    </row>
    <row r="4806">
      <c r="B4806">
        <f>IF('01_Вводные'!$B$234="Да",'19_Расчет_аналитики'!B4788,0)</f>
        <v/>
      </c>
      <c r="C4806">
        <f>IF('01_Вводные'!$B$234="Да",'19_Расчет_аналитики'!C4788,0)</f>
        <v/>
      </c>
      <c r="D4806">
        <f>IF('01_Вводные'!$B$234="Да",'19_Расчет_аналитики'!D4788,0)</f>
        <v/>
      </c>
      <c r="E4806">
        <f>IF('01_Вводные'!$B$234="Да",'19_Расчет_аналитики'!E4788,0)</f>
        <v/>
      </c>
      <c r="F4806">
        <f>IF('01_Вводные'!$B$234="Да",'19_Расчет_аналитики'!F4788,0)</f>
        <v/>
      </c>
      <c r="G4806">
        <f>IF('01_Вводные'!$B$234="Да",'19_Расчет_аналитики'!G4788,0)</f>
        <v/>
      </c>
      <c r="H4806">
        <f>IF('01_Вводные'!$B$234="Да",'19_Расчет_аналитики'!H4788,0)</f>
        <v/>
      </c>
      <c r="I4806">
        <f>IF('01_Вводные'!$B$234="Да",'19_Расчет_аналитики'!I4788,0)</f>
        <v/>
      </c>
      <c r="J4806">
        <f>IF('01_Вводные'!$B$234="Да",'19_Расчет_аналитики'!J4788,0)</f>
        <v/>
      </c>
      <c r="K4806">
        <f>IF('01_Вводные'!$B$234="Да",'19_Расчет_аналитики'!K4788,0)</f>
        <v/>
      </c>
      <c r="L4806">
        <f>IF('01_Вводные'!$B$234="Да",'19_Расчет_аналитики'!L4788,0)</f>
        <v/>
      </c>
      <c r="M4806">
        <f>IF('01_Вводные'!$B$234="Да",'19_Расчет_аналитики'!M4788,0)</f>
        <v/>
      </c>
      <c r="N4806">
        <f>IF('01_Вводные'!$B$234="Да",'19_Расчет_аналитики'!N4788,0)</f>
        <v/>
      </c>
      <c r="O4806">
        <f>IF('01_Вводные'!$B$234="Да",'19_Расчет_аналитики'!O4788,0)</f>
        <v/>
      </c>
      <c r="P4806">
        <f>IF('01_Вводные'!$B$234="Да",'19_Расчет_аналитики'!P4788,0)</f>
        <v/>
      </c>
      <c r="Q4806">
        <f>IF('01_Вводные'!$B$234="Да",'19_Расчет_аналитики'!Q4788,0)</f>
        <v/>
      </c>
      <c r="R4806">
        <f>IF('01_Вводные'!$B$234="Да",'19_Расчет_аналитики'!R4788,0)</f>
        <v/>
      </c>
      <c r="S4806">
        <f>IF('01_Вводные'!$B$234="Да",'19_Расчет_аналитики'!S4788,0)</f>
        <v/>
      </c>
      <c r="T4806">
        <f>IF('01_Вводные'!$B$234="Да",'19_Расчет_аналитики'!T4788,0)</f>
        <v/>
      </c>
      <c r="U4806">
        <f>IF('01_Вводные'!$B$234="Да",'19_Расчет_аналитики'!U4788,0)</f>
        <v/>
      </c>
      <c r="V4806">
        <f>IF('01_Вводные'!$B$234="Да",'19_Расчет_аналитики'!V4788,0)</f>
        <v/>
      </c>
      <c r="W4806">
        <f>IF('01_Вводные'!$B$234="Да",'19_Расчет_аналитики'!W4788,0)</f>
        <v/>
      </c>
      <c r="X4806">
        <f>IF('01_Вводные'!$B$234="Да",'19_Расчет_аналитики'!X4788,0)</f>
        <v/>
      </c>
      <c r="Y4806">
        <f>IF('01_Вводные'!$B$234="Да",'19_Расчет_аналитики'!Y4788,0)</f>
        <v/>
      </c>
      <c r="Z4806">
        <f>IF('01_Вводные'!$B$234="Да",'19_Расчет_аналитики'!Z4788,0)</f>
        <v/>
      </c>
      <c r="AA4806">
        <f>IF('01_Вводные'!$B$234="Да",'19_Расчет_аналитики'!AA4788,0)</f>
        <v/>
      </c>
      <c r="AB4806">
        <f>IF('01_Вводные'!$B$234="Да",'19_Расчет_аналитики'!AB4788,0)</f>
        <v/>
      </c>
      <c r="AC4806">
        <f>IF('01_Вводные'!$B$234="Да",'19_Расчет_аналитики'!AC4788,0)</f>
        <v/>
      </c>
      <c r="AD4806">
        <f>IF('01_Вводные'!$B$234="Да",'19_Расчет_аналитики'!AD4788,0)</f>
        <v/>
      </c>
      <c r="AE4806">
        <f>IF('01_Вводные'!$B$234="Да",'19_Расчет_аналитики'!AE4788,0)</f>
        <v/>
      </c>
      <c r="AF4806">
        <f>IF('01_Вводные'!$B$234="Да",'19_Расчет_аналитики'!AF4788,0)</f>
        <v/>
      </c>
      <c r="AG4806">
        <f>IF('01_Вводные'!$B$234="Да",'19_Расчет_аналитики'!AG4788,0)</f>
        <v/>
      </c>
      <c r="AH4806">
        <f>IF('01_Вводные'!$B$234="Да",'19_Расчет_аналитики'!AH4788,0)</f>
        <v/>
      </c>
      <c r="AI4806">
        <f>IF('01_Вводные'!$B$234="Да",'19_Расчет_аналитики'!AI4788,0)</f>
        <v/>
      </c>
      <c r="AJ4806">
        <f>IF('01_Вводные'!$B$234="Да",'19_Расчет_аналитики'!AJ4788,0)</f>
        <v/>
      </c>
      <c r="AK4806">
        <f>IF('01_Вводные'!$B$234="Да",'19_Расчет_аналитики'!AK4788,0)</f>
        <v/>
      </c>
      <c r="AL4806">
        <f>IF('01_Вводные'!$B$234="Да",'19_Расчет_аналитики'!AL4788,0)</f>
        <v/>
      </c>
      <c r="AM4806">
        <f>IF('01_Вводные'!$B$234="Да",'19_Расчет_аналитики'!AM4788,0)</f>
        <v/>
      </c>
      <c r="AN4806">
        <f>IF('01_Вводные'!$B$234="Да",'19_Расчет_аналитики'!AN4788,0)</f>
        <v/>
      </c>
      <c r="AO4806">
        <f>IF('01_Вводные'!$B$234="Да",'19_Расчет_аналитики'!AO4788,0)</f>
        <v/>
      </c>
      <c r="AP4806">
        <f>IF('01_Вводные'!$B$234="Да",'19_Расчет_аналитики'!AP4788,0)</f>
        <v/>
      </c>
      <c r="AQ4806">
        <f>IF('01_Вводные'!$B$234="Да",'19_Расчет_аналитики'!AQ4788,0)</f>
        <v/>
      </c>
      <c r="AR4806">
        <f>IF('01_Вводные'!$B$234="Да",'19_Расчет_аналитики'!AR4788,0)</f>
        <v/>
      </c>
      <c r="AS4806">
        <f>IF('01_Вводные'!$B$234="Да",'19_Расчет_аналитики'!AS4788,0)</f>
        <v/>
      </c>
      <c r="AT4806">
        <f>IF('01_Вводные'!$B$234="Да",'19_Расчет_аналитики'!AT4788,0)</f>
        <v/>
      </c>
      <c r="AU4806">
        <f>IF('01_Вводные'!$B$234="Да",'19_Расчет_аналитики'!AU4788,0)</f>
        <v/>
      </c>
      <c r="AV4806">
        <f>IF('01_Вводные'!$B$234="Да",'19_Расчет_аналитики'!AV4788,0)</f>
        <v/>
      </c>
      <c r="AW4806">
        <f>IF('01_Вводные'!$B$234="Да",'19_Расчет_аналитики'!AW4788,0)</f>
        <v/>
      </c>
      <c r="AX4806">
        <f>IF('01_Вводные'!$B$234="Да",'19_Расчет_аналитики'!AX4788,0)</f>
        <v/>
      </c>
      <c r="AY4806">
        <f>IF('01_Вводные'!$B$234="Да",'19_Расчет_аналитики'!AY4788,0)</f>
        <v/>
      </c>
      <c r="AZ4806">
        <f>IF('01_Вводные'!$B$234="Да",'19_Расчет_аналитики'!AZ4788,0)</f>
        <v/>
      </c>
      <c r="BA4806">
        <f>IF('01_Вводные'!$B$234="Да",'19_Расчет_аналитики'!BA4788,0)</f>
        <v/>
      </c>
      <c r="BB4806">
        <f>IF('01_Вводные'!$B$234="Да",'19_Расчет_аналитики'!BB4788,0)</f>
        <v/>
      </c>
      <c r="BC4806">
        <f>IF('01_Вводные'!$B$234="Да",'19_Расчет_аналитики'!BC4788,0)</f>
        <v/>
      </c>
      <c r="BD4806">
        <f>IF('01_Вводные'!$B$234="Да",'19_Расчет_аналитики'!BD4788,0)</f>
        <v/>
      </c>
      <c r="BE4806">
        <f>IF('01_Вводные'!$B$234="Да",'19_Расчет_аналитики'!BE4788,0)</f>
        <v/>
      </c>
      <c r="BF4806">
        <f>IF('01_Вводные'!$B$234="Да",'19_Расчет_аналитики'!BF4788,0)</f>
        <v/>
      </c>
      <c r="BG4806">
        <f>IF('01_Вводные'!$B$234="Да",'19_Расчет_аналитики'!BG4788,0)</f>
        <v/>
      </c>
      <c r="BH4806">
        <f>IF('01_Вводные'!$B$234="Да",'19_Расчет_аналитики'!BH4788,0)</f>
        <v/>
      </c>
      <c r="BI4806">
        <f>IF('01_Вводные'!$B$234="Да",'19_Расчет_аналитики'!BI4788,0)</f>
        <v/>
      </c>
    </row>
    <row r="4807">
      <c r="B4807">
        <f>IF('01_Вводные'!$B$234="Да",'19_Расчет_аналитики'!B4674,0)</f>
        <v/>
      </c>
      <c r="C4807">
        <f>IF('01_Вводные'!$B$234="Да",'19_Расчет_аналитики'!C4674,0)</f>
        <v/>
      </c>
      <c r="D4807">
        <f>IF('01_Вводные'!$B$234="Да",'19_Расчет_аналитики'!D4674,0)</f>
        <v/>
      </c>
      <c r="E4807">
        <f>IF('01_Вводные'!$B$234="Да",'19_Расчет_аналитики'!E4674,0)</f>
        <v/>
      </c>
      <c r="F4807">
        <f>IF('01_Вводные'!$B$234="Да",'19_Расчет_аналитики'!F4674,0)</f>
        <v/>
      </c>
      <c r="G4807">
        <f>IF('01_Вводные'!$B$234="Да",'19_Расчет_аналитики'!G4674,0)</f>
        <v/>
      </c>
      <c r="H4807">
        <f>IF('01_Вводные'!$B$234="Да",'19_Расчет_аналитики'!H4674,0)</f>
        <v/>
      </c>
      <c r="I4807">
        <f>IF('01_Вводные'!$B$234="Да",'19_Расчет_аналитики'!I4674,0)</f>
        <v/>
      </c>
      <c r="J4807">
        <f>IF('01_Вводные'!$B$234="Да",'19_Расчет_аналитики'!J4674,0)</f>
        <v/>
      </c>
      <c r="K4807">
        <f>IF('01_Вводные'!$B$234="Да",'19_Расчет_аналитики'!K4674,0)</f>
        <v/>
      </c>
      <c r="L4807">
        <f>IF('01_Вводные'!$B$234="Да",'19_Расчет_аналитики'!L4674,0)</f>
        <v/>
      </c>
      <c r="M4807">
        <f>IF('01_Вводные'!$B$234="Да",'19_Расчет_аналитики'!M4674,0)</f>
        <v/>
      </c>
      <c r="N4807">
        <f>IF('01_Вводные'!$B$234="Да",'19_Расчет_аналитики'!N4674,0)</f>
        <v/>
      </c>
      <c r="O4807">
        <f>IF('01_Вводные'!$B$234="Да",'19_Расчет_аналитики'!O4674,0)</f>
        <v/>
      </c>
      <c r="P4807">
        <f>IF('01_Вводные'!$B$234="Да",'19_Расчет_аналитики'!P4674,0)</f>
        <v/>
      </c>
      <c r="Q4807">
        <f>IF('01_Вводные'!$B$234="Да",'19_Расчет_аналитики'!Q4674,0)</f>
        <v/>
      </c>
      <c r="R4807">
        <f>IF('01_Вводные'!$B$234="Да",'19_Расчет_аналитики'!R4674,0)</f>
        <v/>
      </c>
      <c r="S4807">
        <f>IF('01_Вводные'!$B$234="Да",'19_Расчет_аналитики'!S4674,0)</f>
        <v/>
      </c>
      <c r="T4807">
        <f>IF('01_Вводные'!$B$234="Да",'19_Расчет_аналитики'!T4674,0)</f>
        <v/>
      </c>
      <c r="U4807">
        <f>IF('01_Вводные'!$B$234="Да",'19_Расчет_аналитики'!U4674,0)</f>
        <v/>
      </c>
      <c r="V4807">
        <f>IF('01_Вводные'!$B$234="Да",'19_Расчет_аналитики'!V4674,0)</f>
        <v/>
      </c>
      <c r="W4807">
        <f>IF('01_Вводные'!$B$234="Да",'19_Расчет_аналитики'!W4674,0)</f>
        <v/>
      </c>
      <c r="X4807">
        <f>IF('01_Вводные'!$B$234="Да",'19_Расчет_аналитики'!X4674,0)</f>
        <v/>
      </c>
      <c r="Y4807">
        <f>IF('01_Вводные'!$B$234="Да",'19_Расчет_аналитики'!Y4674,0)</f>
        <v/>
      </c>
      <c r="Z4807">
        <f>IF('01_Вводные'!$B$234="Да",'19_Расчет_аналитики'!Z4674,0)</f>
        <v/>
      </c>
      <c r="AA4807">
        <f>IF('01_Вводные'!$B$234="Да",'19_Расчет_аналитики'!AA4674,0)</f>
        <v/>
      </c>
      <c r="AB4807">
        <f>IF('01_Вводные'!$B$234="Да",'19_Расчет_аналитики'!AB4674,0)</f>
        <v/>
      </c>
      <c r="AC4807">
        <f>IF('01_Вводные'!$B$234="Да",'19_Расчет_аналитики'!AC4674,0)</f>
        <v/>
      </c>
      <c r="AD4807">
        <f>IF('01_Вводные'!$B$234="Да",'19_Расчет_аналитики'!AD4674,0)</f>
        <v/>
      </c>
      <c r="AE4807">
        <f>IF('01_Вводные'!$B$234="Да",'19_Расчет_аналитики'!AE4674,0)</f>
        <v/>
      </c>
      <c r="AF4807">
        <f>IF('01_Вводные'!$B$234="Да",'19_Расчет_аналитики'!AF4674,0)</f>
        <v/>
      </c>
      <c r="AG4807">
        <f>IF('01_Вводные'!$B$234="Да",'19_Расчет_аналитики'!AG4674,0)</f>
        <v/>
      </c>
      <c r="AH4807">
        <f>IF('01_Вводные'!$B$234="Да",'19_Расчет_аналитики'!AH4674,0)</f>
        <v/>
      </c>
      <c r="AI4807">
        <f>IF('01_Вводные'!$B$234="Да",'19_Расчет_аналитики'!AI4674,0)</f>
        <v/>
      </c>
      <c r="AJ4807">
        <f>IF('01_Вводные'!$B$234="Да",'19_Расчет_аналитики'!AJ4674,0)</f>
        <v/>
      </c>
      <c r="AK4807">
        <f>IF('01_Вводные'!$B$234="Да",'19_Расчет_аналитики'!AK4674,0)</f>
        <v/>
      </c>
      <c r="AL4807">
        <f>IF('01_Вводные'!$B$234="Да",'19_Расчет_аналитики'!AL4674,0)</f>
        <v/>
      </c>
      <c r="AM4807">
        <f>IF('01_Вводные'!$B$234="Да",'19_Расчет_аналитики'!AM4674,0)</f>
        <v/>
      </c>
      <c r="AN4807">
        <f>IF('01_Вводные'!$B$234="Да",'19_Расчет_аналитики'!AN4674,0)</f>
        <v/>
      </c>
      <c r="AO4807">
        <f>IF('01_Вводные'!$B$234="Да",'19_Расчет_аналитики'!AO4674,0)</f>
        <v/>
      </c>
      <c r="AP4807">
        <f>IF('01_Вводные'!$B$234="Да",'19_Расчет_аналитики'!AP4674,0)</f>
        <v/>
      </c>
      <c r="AQ4807">
        <f>IF('01_Вводные'!$B$234="Да",'19_Расчет_аналитики'!AQ4674,0)</f>
        <v/>
      </c>
      <c r="AR4807">
        <f>IF('01_Вводные'!$B$234="Да",'19_Расчет_аналитики'!AR4674,0)</f>
        <v/>
      </c>
      <c r="AS4807">
        <f>IF('01_Вводные'!$B$234="Да",'19_Расчет_аналитики'!AS4674,0)</f>
        <v/>
      </c>
      <c r="AT4807">
        <f>IF('01_Вводные'!$B$234="Да",'19_Расчет_аналитики'!AT4674,0)</f>
        <v/>
      </c>
      <c r="AU4807">
        <f>IF('01_Вводные'!$B$234="Да",'19_Расчет_аналитики'!AU4674,0)</f>
        <v/>
      </c>
      <c r="AV4807">
        <f>IF('01_Вводные'!$B$234="Да",'19_Расчет_аналитики'!AV4674,0)</f>
        <v/>
      </c>
      <c r="AW4807">
        <f>IF('01_Вводные'!$B$234="Да",'19_Расчет_аналитики'!AW4674,0)</f>
        <v/>
      </c>
      <c r="AX4807">
        <f>IF('01_Вводные'!$B$234="Да",'19_Расчет_аналитики'!AX4674,0)</f>
        <v/>
      </c>
      <c r="AY4807">
        <f>IF('01_Вводные'!$B$234="Да",'19_Расчет_аналитики'!AY4674,0)</f>
        <v/>
      </c>
      <c r="AZ4807">
        <f>IF('01_Вводные'!$B$234="Да",'19_Расчет_аналитики'!AZ4674,0)</f>
        <v/>
      </c>
      <c r="BA4807">
        <f>IF('01_Вводные'!$B$234="Да",'19_Расчет_аналитики'!BA4674,0)</f>
        <v/>
      </c>
      <c r="BB4807">
        <f>IF('01_Вводные'!$B$234="Да",'19_Расчет_аналитики'!BB4674,0)</f>
        <v/>
      </c>
      <c r="BC4807">
        <f>IF('01_Вводные'!$B$234="Да",'19_Расчет_аналитики'!BC4674,0)</f>
        <v/>
      </c>
      <c r="BD4807">
        <f>IF('01_Вводные'!$B$234="Да",'19_Расчет_аналитики'!BD4674,0)</f>
        <v/>
      </c>
      <c r="BE4807">
        <f>IF('01_Вводные'!$B$234="Да",'19_Расчет_аналитики'!BE4674,0)</f>
        <v/>
      </c>
      <c r="BF4807">
        <f>IF('01_Вводные'!$B$234="Да",'19_Расчет_аналитики'!BF4674,0)</f>
        <v/>
      </c>
      <c r="BG4807">
        <f>IF('01_Вводные'!$B$234="Да",'19_Расчет_аналитики'!BG4674,0)</f>
        <v/>
      </c>
      <c r="BH4807">
        <f>IF('01_Вводные'!$B$234="Да",'19_Расчет_аналитики'!BH4674,0)</f>
        <v/>
      </c>
      <c r="BI4807">
        <f>IF('01_Вводные'!$B$234="Да",'19_Расчет_аналитики'!BI4674,0)</f>
        <v/>
      </c>
    </row>
    <row r="4808"/>
    <row r="4809">
      <c r="B4809">
        <f>IF('01_Вводные'!$B$234="Да",SUM('19_Расчет_аналитики'!B4799:B4806)+'02_Модель'!B66,0)</f>
        <v/>
      </c>
      <c r="C4809">
        <f>IF('01_Вводные'!$B$234="Да",SUM('19_Расчет_аналитики'!C4799:C4806)+'02_Модель'!C66,0)</f>
        <v/>
      </c>
      <c r="D4809">
        <f>IF('01_Вводные'!$B$234="Да",SUM('19_Расчет_аналитики'!D4799:D4806)+'02_Модель'!D66,0)</f>
        <v/>
      </c>
      <c r="E4809">
        <f>IF('01_Вводные'!$B$234="Да",SUM('19_Расчет_аналитики'!E4799:E4806)+'02_Модель'!E66,0)</f>
        <v/>
      </c>
      <c r="F4809">
        <f>IF('01_Вводные'!$B$234="Да",SUM('19_Расчет_аналитики'!F4799:F4806)+'02_Модель'!F66,0)</f>
        <v/>
      </c>
      <c r="G4809">
        <f>IF('01_Вводные'!$B$234="Да",SUM('19_Расчет_аналитики'!G4799:G4806)+'02_Модель'!G66,0)</f>
        <v/>
      </c>
      <c r="H4809">
        <f>IF('01_Вводные'!$B$234="Да",SUM('19_Расчет_аналитики'!H4799:H4806)+'02_Модель'!H66,0)</f>
        <v/>
      </c>
      <c r="I4809">
        <f>IF('01_Вводные'!$B$234="Да",SUM('19_Расчет_аналитики'!I4799:I4806)+'02_Модель'!I66,0)</f>
        <v/>
      </c>
      <c r="J4809">
        <f>IF('01_Вводные'!$B$234="Да",SUM('19_Расчет_аналитики'!J4799:J4806)+'02_Модель'!J66,0)</f>
        <v/>
      </c>
      <c r="K4809">
        <f>IF('01_Вводные'!$B$234="Да",SUM('19_Расчет_аналитики'!K4799:K4806)+'02_Модель'!K66,0)</f>
        <v/>
      </c>
      <c r="L4809">
        <f>IF('01_Вводные'!$B$234="Да",SUM('19_Расчет_аналитики'!L4799:L4806)+'02_Модель'!L66,0)</f>
        <v/>
      </c>
      <c r="M4809">
        <f>IF('01_Вводные'!$B$234="Да",SUM('19_Расчет_аналитики'!M4799:M4806)+'02_Модель'!M66,0)</f>
        <v/>
      </c>
      <c r="N4809">
        <f>IF('01_Вводные'!$B$234="Да",SUM('19_Расчет_аналитики'!N4799:N4806)+'02_Модель'!N66,0)</f>
        <v/>
      </c>
      <c r="O4809">
        <f>IF('01_Вводные'!$B$234="Да",SUM('19_Расчет_аналитики'!O4799:O4806)+'02_Модель'!O66,0)</f>
        <v/>
      </c>
      <c r="P4809">
        <f>IF('01_Вводные'!$B$234="Да",SUM('19_Расчет_аналитики'!P4799:P4806)+'02_Модель'!P66,0)</f>
        <v/>
      </c>
      <c r="Q4809">
        <f>IF('01_Вводные'!$B$234="Да",SUM('19_Расчет_аналитики'!Q4799:Q4806)+'02_Модель'!Q66,0)</f>
        <v/>
      </c>
      <c r="R4809">
        <f>IF('01_Вводные'!$B$234="Да",SUM('19_Расчет_аналитики'!R4799:R4806)+'02_Модель'!R66,0)</f>
        <v/>
      </c>
      <c r="S4809">
        <f>IF('01_Вводные'!$B$234="Да",SUM('19_Расчет_аналитики'!S4799:S4806)+'02_Модель'!S66,0)</f>
        <v/>
      </c>
      <c r="T4809">
        <f>IF('01_Вводные'!$B$234="Да",SUM('19_Расчет_аналитики'!T4799:T4806)+'02_Модель'!T66,0)</f>
        <v/>
      </c>
      <c r="U4809">
        <f>IF('01_Вводные'!$B$234="Да",SUM('19_Расчет_аналитики'!U4799:U4806)+'02_Модель'!U66,0)</f>
        <v/>
      </c>
      <c r="V4809">
        <f>IF('01_Вводные'!$B$234="Да",SUM('19_Расчет_аналитики'!V4799:V4806)+'02_Модель'!V66,0)</f>
        <v/>
      </c>
      <c r="W4809">
        <f>IF('01_Вводные'!$B$234="Да",SUM('19_Расчет_аналитики'!W4799:W4806)+'02_Модель'!W66,0)</f>
        <v/>
      </c>
      <c r="X4809">
        <f>IF('01_Вводные'!$B$234="Да",SUM('19_Расчет_аналитики'!X4799:X4806)+'02_Модель'!X66,0)</f>
        <v/>
      </c>
      <c r="Y4809">
        <f>IF('01_Вводные'!$B$234="Да",SUM('19_Расчет_аналитики'!Y4799:Y4806)+'02_Модель'!Y66,0)</f>
        <v/>
      </c>
      <c r="Z4809">
        <f>IF('01_Вводные'!$B$234="Да",SUM('19_Расчет_аналитики'!Z4799:Z4806)+'02_Модель'!Z66,0)</f>
        <v/>
      </c>
      <c r="AA4809">
        <f>IF('01_Вводные'!$B$234="Да",SUM('19_Расчет_аналитики'!AA4799:AA4806)+'02_Модель'!AA66,0)</f>
        <v/>
      </c>
      <c r="AB4809">
        <f>IF('01_Вводные'!$B$234="Да",SUM('19_Расчет_аналитики'!AB4799:AB4806)+'02_Модель'!AB66,0)</f>
        <v/>
      </c>
      <c r="AC4809">
        <f>IF('01_Вводные'!$B$234="Да",SUM('19_Расчет_аналитики'!AC4799:AC4806)+'02_Модель'!AC66,0)</f>
        <v/>
      </c>
      <c r="AD4809">
        <f>IF('01_Вводные'!$B$234="Да",SUM('19_Расчет_аналитики'!AD4799:AD4806)+'02_Модель'!AD66,0)</f>
        <v/>
      </c>
      <c r="AE4809">
        <f>IF('01_Вводные'!$B$234="Да",SUM('19_Расчет_аналитики'!AE4799:AE4806)+'02_Модель'!AE66,0)</f>
        <v/>
      </c>
      <c r="AF4809">
        <f>IF('01_Вводные'!$B$234="Да",SUM('19_Расчет_аналитики'!AF4799:AF4806)+'02_Модель'!AF66,0)</f>
        <v/>
      </c>
      <c r="AG4809">
        <f>IF('01_Вводные'!$B$234="Да",SUM('19_Расчет_аналитики'!AG4799:AG4806)+'02_Модель'!AG66,0)</f>
        <v/>
      </c>
      <c r="AH4809">
        <f>IF('01_Вводные'!$B$234="Да",SUM('19_Расчет_аналитики'!AH4799:AH4806)+'02_Модель'!AH66,0)</f>
        <v/>
      </c>
      <c r="AI4809">
        <f>IF('01_Вводные'!$B$234="Да",SUM('19_Расчет_аналитики'!AI4799:AI4806)+'02_Модель'!AI66,0)</f>
        <v/>
      </c>
      <c r="AJ4809">
        <f>IF('01_Вводные'!$B$234="Да",SUM('19_Расчет_аналитики'!AJ4799:AJ4806)+'02_Модель'!AJ66,0)</f>
        <v/>
      </c>
      <c r="AK4809">
        <f>IF('01_Вводные'!$B$234="Да",SUM('19_Расчет_аналитики'!AK4799:AK4806)+'02_Модель'!AK66,0)</f>
        <v/>
      </c>
      <c r="AL4809">
        <f>IF('01_Вводные'!$B$234="Да",SUM('19_Расчет_аналитики'!AL4799:AL4806)+'02_Модель'!AL66,0)</f>
        <v/>
      </c>
      <c r="AM4809">
        <f>IF('01_Вводные'!$B$234="Да",SUM('19_Расчет_аналитики'!AM4799:AM4806)+'02_Модель'!AM66,0)</f>
        <v/>
      </c>
      <c r="AN4809">
        <f>IF('01_Вводные'!$B$234="Да",SUM('19_Расчет_аналитики'!AN4799:AN4806)+'02_Модель'!AN66,0)</f>
        <v/>
      </c>
      <c r="AO4809">
        <f>IF('01_Вводные'!$B$234="Да",SUM('19_Расчет_аналитики'!AO4799:AO4806)+'02_Модель'!AO66,0)</f>
        <v/>
      </c>
      <c r="AP4809">
        <f>IF('01_Вводные'!$B$234="Да",SUM('19_Расчет_аналитики'!AP4799:AP4806)+'02_Модель'!AP66,0)</f>
        <v/>
      </c>
      <c r="AQ4809">
        <f>IF('01_Вводные'!$B$234="Да",SUM('19_Расчет_аналитики'!AQ4799:AQ4806)+'02_Модель'!AQ66,0)</f>
        <v/>
      </c>
      <c r="AR4809">
        <f>IF('01_Вводные'!$B$234="Да",SUM('19_Расчет_аналитики'!AR4799:AR4806)+'02_Модель'!AR66,0)</f>
        <v/>
      </c>
      <c r="AS4809">
        <f>IF('01_Вводные'!$B$234="Да",SUM('19_Расчет_аналитики'!AS4799:AS4806)+'02_Модель'!AS66,0)</f>
        <v/>
      </c>
      <c r="AT4809">
        <f>IF('01_Вводные'!$B$234="Да",SUM('19_Расчет_аналитики'!AT4799:AT4806)+'02_Модель'!AT66,0)</f>
        <v/>
      </c>
      <c r="AU4809">
        <f>IF('01_Вводные'!$B$234="Да",SUM('19_Расчет_аналитики'!AU4799:AU4806)+'02_Модель'!AU66,0)</f>
        <v/>
      </c>
      <c r="AV4809">
        <f>IF('01_Вводные'!$B$234="Да",SUM('19_Расчет_аналитики'!AV4799:AV4806)+'02_Модель'!AV66,0)</f>
        <v/>
      </c>
      <c r="AW4809">
        <f>IF('01_Вводные'!$B$234="Да",SUM('19_Расчет_аналитики'!AW4799:AW4806)+'02_Модель'!AW66,0)</f>
        <v/>
      </c>
      <c r="AX4809">
        <f>IF('01_Вводные'!$B$234="Да",SUM('19_Расчет_аналитики'!AX4799:AX4806)+'02_Модель'!AX66,0)</f>
        <v/>
      </c>
      <c r="AY4809">
        <f>IF('01_Вводные'!$B$234="Да",SUM('19_Расчет_аналитики'!AY4799:AY4806)+'02_Модель'!AY66,0)</f>
        <v/>
      </c>
      <c r="AZ4809">
        <f>IF('01_Вводные'!$B$234="Да",SUM('19_Расчет_аналитики'!AZ4799:AZ4806)+'02_Модель'!AZ66,0)</f>
        <v/>
      </c>
      <c r="BA4809">
        <f>IF('01_Вводные'!$B$234="Да",SUM('19_Расчет_аналитики'!BA4799:BA4806)+'02_Модель'!BA66,0)</f>
        <v/>
      </c>
      <c r="BB4809">
        <f>IF('01_Вводные'!$B$234="Да",SUM('19_Расчет_аналитики'!BB4799:BB4806)+'02_Модель'!BB66,0)</f>
        <v/>
      </c>
      <c r="BC4809">
        <f>IF('01_Вводные'!$B$234="Да",SUM('19_Расчет_аналитики'!BC4799:BC4806)+'02_Модель'!BC66,0)</f>
        <v/>
      </c>
      <c r="BD4809">
        <f>IF('01_Вводные'!$B$234="Да",SUM('19_Расчет_аналитики'!BD4799:BD4806)+'02_Модель'!BD66,0)</f>
        <v/>
      </c>
      <c r="BE4809">
        <f>IF('01_Вводные'!$B$234="Да",SUM('19_Расчет_аналитики'!BE4799:BE4806)+'02_Модель'!BE66,0)</f>
        <v/>
      </c>
      <c r="BF4809">
        <f>IF('01_Вводные'!$B$234="Да",SUM('19_Расчет_аналитики'!BF4799:BF4806)+'02_Модель'!BF66,0)</f>
        <v/>
      </c>
      <c r="BG4809">
        <f>IF('01_Вводные'!$B$234="Да",SUM('19_Расчет_аналитики'!BG4799:BG4806)+'02_Модель'!BG66,0)</f>
        <v/>
      </c>
      <c r="BH4809">
        <f>IF('01_Вводные'!$B$234="Да",SUM('19_Расчет_аналитики'!BH4799:BH4806)+'02_Модель'!BH66,0)</f>
        <v/>
      </c>
      <c r="BI4809">
        <f>IF('01_Вводные'!$B$234="Да",SUM('19_Расчет_аналитики'!BI4799:BI4806)+'02_Модель'!BI66,0)</f>
        <v/>
      </c>
    </row>
    <row r="4810">
      <c r="B4810">
        <f>IF('01_Вводные'!$B$234="Да",'19_Расчет_аналитики'!B4798-'19_Расчет_аналитики'!B4809,0)</f>
        <v/>
      </c>
      <c r="C4810">
        <f>IF('01_Вводные'!$B$234="Да",'19_Расчет_аналитики'!C4798-'19_Расчет_аналитики'!C4809,0)</f>
        <v/>
      </c>
      <c r="D4810">
        <f>IF('01_Вводные'!$B$234="Да",'19_Расчет_аналитики'!D4798-'19_Расчет_аналитики'!D4809,0)</f>
        <v/>
      </c>
      <c r="E4810">
        <f>IF('01_Вводные'!$B$234="Да",'19_Расчет_аналитики'!E4798-'19_Расчет_аналитики'!E4809,0)</f>
        <v/>
      </c>
      <c r="F4810">
        <f>IF('01_Вводные'!$B$234="Да",'19_Расчет_аналитики'!F4798-'19_Расчет_аналитики'!F4809,0)</f>
        <v/>
      </c>
      <c r="G4810">
        <f>IF('01_Вводные'!$B$234="Да",'19_Расчет_аналитики'!G4798-'19_Расчет_аналитики'!G4809,0)</f>
        <v/>
      </c>
      <c r="H4810">
        <f>IF('01_Вводные'!$B$234="Да",'19_Расчет_аналитики'!H4798-'19_Расчет_аналитики'!H4809,0)</f>
        <v/>
      </c>
      <c r="I4810">
        <f>IF('01_Вводные'!$B$234="Да",'19_Расчет_аналитики'!I4798-'19_Расчет_аналитики'!I4809,0)</f>
        <v/>
      </c>
      <c r="J4810">
        <f>IF('01_Вводные'!$B$234="Да",'19_Расчет_аналитики'!J4798-'19_Расчет_аналитики'!J4809,0)</f>
        <v/>
      </c>
      <c r="K4810">
        <f>IF('01_Вводные'!$B$234="Да",'19_Расчет_аналитики'!K4798-'19_Расчет_аналитики'!K4809,0)</f>
        <v/>
      </c>
      <c r="L4810">
        <f>IF('01_Вводные'!$B$234="Да",'19_Расчет_аналитики'!L4798-'19_Расчет_аналитики'!L4809,0)</f>
        <v/>
      </c>
      <c r="M4810">
        <f>IF('01_Вводные'!$B$234="Да",'19_Расчет_аналитики'!M4798-'19_Расчет_аналитики'!M4809,0)</f>
        <v/>
      </c>
      <c r="N4810">
        <f>IF('01_Вводные'!$B$234="Да",'19_Расчет_аналитики'!N4798-'19_Расчет_аналитики'!N4809,0)</f>
        <v/>
      </c>
      <c r="O4810">
        <f>IF('01_Вводные'!$B$234="Да",'19_Расчет_аналитики'!O4798-'19_Расчет_аналитики'!O4809,0)</f>
        <v/>
      </c>
      <c r="P4810">
        <f>IF('01_Вводные'!$B$234="Да",'19_Расчет_аналитики'!P4798-'19_Расчет_аналитики'!P4809,0)</f>
        <v/>
      </c>
      <c r="Q4810">
        <f>IF('01_Вводные'!$B$234="Да",'19_Расчет_аналитики'!Q4798-'19_Расчет_аналитики'!Q4809,0)</f>
        <v/>
      </c>
      <c r="R4810">
        <f>IF('01_Вводные'!$B$234="Да",'19_Расчет_аналитики'!R4798-'19_Расчет_аналитики'!R4809,0)</f>
        <v/>
      </c>
      <c r="S4810">
        <f>IF('01_Вводные'!$B$234="Да",'19_Расчет_аналитики'!S4798-'19_Расчет_аналитики'!S4809,0)</f>
        <v/>
      </c>
      <c r="T4810">
        <f>IF('01_Вводные'!$B$234="Да",'19_Расчет_аналитики'!T4798-'19_Расчет_аналитики'!T4809,0)</f>
        <v/>
      </c>
      <c r="U4810">
        <f>IF('01_Вводные'!$B$234="Да",'19_Расчет_аналитики'!U4798-'19_Расчет_аналитики'!U4809,0)</f>
        <v/>
      </c>
      <c r="V4810">
        <f>IF('01_Вводные'!$B$234="Да",'19_Расчет_аналитики'!V4798-'19_Расчет_аналитики'!V4809,0)</f>
        <v/>
      </c>
      <c r="W4810">
        <f>IF('01_Вводные'!$B$234="Да",'19_Расчет_аналитики'!W4798-'19_Расчет_аналитики'!W4809,0)</f>
        <v/>
      </c>
      <c r="X4810">
        <f>IF('01_Вводные'!$B$234="Да",'19_Расчет_аналитики'!X4798-'19_Расчет_аналитики'!X4809,0)</f>
        <v/>
      </c>
      <c r="Y4810">
        <f>IF('01_Вводные'!$B$234="Да",'19_Расчет_аналитики'!Y4798-'19_Расчет_аналитики'!Y4809,0)</f>
        <v/>
      </c>
      <c r="Z4810">
        <f>IF('01_Вводные'!$B$234="Да",'19_Расчет_аналитики'!Z4798-'19_Расчет_аналитики'!Z4809,0)</f>
        <v/>
      </c>
      <c r="AA4810">
        <f>IF('01_Вводные'!$B$234="Да",'19_Расчет_аналитики'!AA4798-'19_Расчет_аналитики'!AA4809,0)</f>
        <v/>
      </c>
      <c r="AB4810">
        <f>IF('01_Вводные'!$B$234="Да",'19_Расчет_аналитики'!AB4798-'19_Расчет_аналитики'!AB4809,0)</f>
        <v/>
      </c>
      <c r="AC4810">
        <f>IF('01_Вводные'!$B$234="Да",'19_Расчет_аналитики'!AC4798-'19_Расчет_аналитики'!AC4809,0)</f>
        <v/>
      </c>
      <c r="AD4810">
        <f>IF('01_Вводные'!$B$234="Да",'19_Расчет_аналитики'!AD4798-'19_Расчет_аналитики'!AD4809,0)</f>
        <v/>
      </c>
      <c r="AE4810">
        <f>IF('01_Вводные'!$B$234="Да",'19_Расчет_аналитики'!AE4798-'19_Расчет_аналитики'!AE4809,0)</f>
        <v/>
      </c>
      <c r="AF4810">
        <f>IF('01_Вводные'!$B$234="Да",'19_Расчет_аналитики'!AF4798-'19_Расчет_аналитики'!AF4809,0)</f>
        <v/>
      </c>
      <c r="AG4810">
        <f>IF('01_Вводные'!$B$234="Да",'19_Расчет_аналитики'!AG4798-'19_Расчет_аналитики'!AG4809,0)</f>
        <v/>
      </c>
      <c r="AH4810">
        <f>IF('01_Вводные'!$B$234="Да",'19_Расчет_аналитики'!AH4798-'19_Расчет_аналитики'!AH4809,0)</f>
        <v/>
      </c>
      <c r="AI4810">
        <f>IF('01_Вводные'!$B$234="Да",'19_Расчет_аналитики'!AI4798-'19_Расчет_аналитики'!AI4809,0)</f>
        <v/>
      </c>
      <c r="AJ4810">
        <f>IF('01_Вводные'!$B$234="Да",'19_Расчет_аналитики'!AJ4798-'19_Расчет_аналитики'!AJ4809,0)</f>
        <v/>
      </c>
      <c r="AK4810">
        <f>IF('01_Вводные'!$B$234="Да",'19_Расчет_аналитики'!AK4798-'19_Расчет_аналитики'!AK4809,0)</f>
        <v/>
      </c>
      <c r="AL4810">
        <f>IF('01_Вводные'!$B$234="Да",'19_Расчет_аналитики'!AL4798-'19_Расчет_аналитики'!AL4809,0)</f>
        <v/>
      </c>
      <c r="AM4810">
        <f>IF('01_Вводные'!$B$234="Да",'19_Расчет_аналитики'!AM4798-'19_Расчет_аналитики'!AM4809,0)</f>
        <v/>
      </c>
      <c r="AN4810">
        <f>IF('01_Вводные'!$B$234="Да",'19_Расчет_аналитики'!AN4798-'19_Расчет_аналитики'!AN4809,0)</f>
        <v/>
      </c>
      <c r="AO4810">
        <f>IF('01_Вводные'!$B$234="Да",'19_Расчет_аналитики'!AO4798-'19_Расчет_аналитики'!AO4809,0)</f>
        <v/>
      </c>
      <c r="AP4810">
        <f>IF('01_Вводные'!$B$234="Да",'19_Расчет_аналитики'!AP4798-'19_Расчет_аналитики'!AP4809,0)</f>
        <v/>
      </c>
      <c r="AQ4810">
        <f>IF('01_Вводные'!$B$234="Да",'19_Расчет_аналитики'!AQ4798-'19_Расчет_аналитики'!AQ4809,0)</f>
        <v/>
      </c>
      <c r="AR4810">
        <f>IF('01_Вводные'!$B$234="Да",'19_Расчет_аналитики'!AR4798-'19_Расчет_аналитики'!AR4809,0)</f>
        <v/>
      </c>
      <c r="AS4810">
        <f>IF('01_Вводные'!$B$234="Да",'19_Расчет_аналитики'!AS4798-'19_Расчет_аналитики'!AS4809,0)</f>
        <v/>
      </c>
      <c r="AT4810">
        <f>IF('01_Вводные'!$B$234="Да",'19_Расчет_аналитики'!AT4798-'19_Расчет_аналитики'!AT4809,0)</f>
        <v/>
      </c>
      <c r="AU4810">
        <f>IF('01_Вводные'!$B$234="Да",'19_Расчет_аналитики'!AU4798-'19_Расчет_аналитики'!AU4809,0)</f>
        <v/>
      </c>
      <c r="AV4810">
        <f>IF('01_Вводные'!$B$234="Да",'19_Расчет_аналитики'!AV4798-'19_Расчет_аналитики'!AV4809,0)</f>
        <v/>
      </c>
      <c r="AW4810">
        <f>IF('01_Вводные'!$B$234="Да",'19_Расчет_аналитики'!AW4798-'19_Расчет_аналитики'!AW4809,0)</f>
        <v/>
      </c>
      <c r="AX4810">
        <f>IF('01_Вводные'!$B$234="Да",'19_Расчет_аналитики'!AX4798-'19_Расчет_аналитики'!AX4809,0)</f>
        <v/>
      </c>
      <c r="AY4810">
        <f>IF('01_Вводные'!$B$234="Да",'19_Расчет_аналитики'!AY4798-'19_Расчет_аналитики'!AY4809,0)</f>
        <v/>
      </c>
      <c r="AZ4810">
        <f>IF('01_Вводные'!$B$234="Да",'19_Расчет_аналитики'!AZ4798-'19_Расчет_аналитики'!AZ4809,0)</f>
        <v/>
      </c>
      <c r="BA4810">
        <f>IF('01_Вводные'!$B$234="Да",'19_Расчет_аналитики'!BA4798-'19_Расчет_аналитики'!BA4809,0)</f>
        <v/>
      </c>
      <c r="BB4810">
        <f>IF('01_Вводные'!$B$234="Да",'19_Расчет_аналитики'!BB4798-'19_Расчет_аналитики'!BB4809,0)</f>
        <v/>
      </c>
      <c r="BC4810">
        <f>IF('01_Вводные'!$B$234="Да",'19_Расчет_аналитики'!BC4798-'19_Расчет_аналитики'!BC4809,0)</f>
        <v/>
      </c>
      <c r="BD4810">
        <f>IF('01_Вводные'!$B$234="Да",'19_Расчет_аналитики'!BD4798-'19_Расчет_аналитики'!BD4809,0)</f>
        <v/>
      </c>
      <c r="BE4810">
        <f>IF('01_Вводные'!$B$234="Да",'19_Расчет_аналитики'!BE4798-'19_Расчет_аналитики'!BE4809,0)</f>
        <v/>
      </c>
      <c r="BF4810">
        <f>IF('01_Вводные'!$B$234="Да",'19_Расчет_аналитики'!BF4798-'19_Расчет_аналитики'!BF4809,0)</f>
        <v/>
      </c>
      <c r="BG4810">
        <f>IF('01_Вводные'!$B$234="Да",'19_Расчет_аналитики'!BG4798-'19_Расчет_аналитики'!BG4809,0)</f>
        <v/>
      </c>
      <c r="BH4810">
        <f>IF('01_Вводные'!$B$234="Да",'19_Расчет_аналитики'!BH4798-'19_Расчет_аналитики'!BH4809,0)</f>
        <v/>
      </c>
      <c r="BI4810">
        <f>IF('01_Вводные'!$B$234="Да",'19_Расчет_аналитики'!BI4798-'19_Расчет_аналитики'!BI4809,0)</f>
        <v/>
      </c>
    </row>
    <row r="4811">
      <c r="B4811">
        <f>IF('01_Вводные'!$B$234="Да",'02_Модель'!B51+'19_Расчет_аналитики'!B4810,0)</f>
        <v/>
      </c>
      <c r="C4811">
        <f>IF('01_Вводные'!$B$234="Да",'19_Расчет_аналитики'!C4793+'19_Расчет_аналитики'!C4810,0)</f>
        <v/>
      </c>
      <c r="D4811">
        <f>IF('01_Вводные'!$B$234="Да",'19_Расчет_аналитики'!D4793+'19_Расчет_аналитики'!D4810,0)</f>
        <v/>
      </c>
      <c r="E4811">
        <f>IF('01_Вводные'!$B$234="Да",'19_Расчет_аналитики'!E4793+'19_Расчет_аналитики'!E4810,0)</f>
        <v/>
      </c>
      <c r="F4811">
        <f>IF('01_Вводные'!$B$234="Да",'19_Расчет_аналитики'!F4793+'19_Расчет_аналитики'!F4810,0)</f>
        <v/>
      </c>
      <c r="G4811">
        <f>IF('01_Вводные'!$B$234="Да",'19_Расчет_аналитики'!G4793+'19_Расчет_аналитики'!G4810,0)</f>
        <v/>
      </c>
      <c r="H4811">
        <f>IF('01_Вводные'!$B$234="Да",'19_Расчет_аналитики'!H4793+'19_Расчет_аналитики'!H4810,0)</f>
        <v/>
      </c>
      <c r="I4811">
        <f>IF('01_Вводные'!$B$234="Да",'19_Расчет_аналитики'!I4793+'19_Расчет_аналитики'!I4810,0)</f>
        <v/>
      </c>
      <c r="J4811">
        <f>IF('01_Вводные'!$B$234="Да",'19_Расчет_аналитики'!J4793+'19_Расчет_аналитики'!J4810,0)</f>
        <v/>
      </c>
      <c r="K4811">
        <f>IF('01_Вводные'!$B$234="Да",'19_Расчет_аналитики'!K4793+'19_Расчет_аналитики'!K4810,0)</f>
        <v/>
      </c>
      <c r="L4811">
        <f>IF('01_Вводные'!$B$234="Да",'19_Расчет_аналитики'!L4793+'19_Расчет_аналитики'!L4810,0)</f>
        <v/>
      </c>
      <c r="M4811">
        <f>IF('01_Вводные'!$B$234="Да",'19_Расчет_аналитики'!M4793+'19_Расчет_аналитики'!M4810,0)</f>
        <v/>
      </c>
      <c r="N4811">
        <f>IF('01_Вводные'!$B$234="Да",'19_Расчет_аналитики'!N4793+'19_Расчет_аналитики'!N4810,0)</f>
        <v/>
      </c>
      <c r="O4811">
        <f>IF('01_Вводные'!$B$234="Да",'19_Расчет_аналитики'!O4793+'19_Расчет_аналитики'!O4810,0)</f>
        <v/>
      </c>
      <c r="P4811">
        <f>IF('01_Вводные'!$B$234="Да",'19_Расчет_аналитики'!P4793+'19_Расчет_аналитики'!P4810,0)</f>
        <v/>
      </c>
      <c r="Q4811">
        <f>IF('01_Вводные'!$B$234="Да",'19_Расчет_аналитики'!Q4793+'19_Расчет_аналитики'!Q4810,0)</f>
        <v/>
      </c>
      <c r="R4811">
        <f>IF('01_Вводные'!$B$234="Да",'19_Расчет_аналитики'!R4793+'19_Расчет_аналитики'!R4810,0)</f>
        <v/>
      </c>
      <c r="S4811">
        <f>IF('01_Вводные'!$B$234="Да",'19_Расчет_аналитики'!S4793+'19_Расчет_аналитики'!S4810,0)</f>
        <v/>
      </c>
      <c r="T4811">
        <f>IF('01_Вводные'!$B$234="Да",'19_Расчет_аналитики'!T4793+'19_Расчет_аналитики'!T4810,0)</f>
        <v/>
      </c>
      <c r="U4811">
        <f>IF('01_Вводные'!$B$234="Да",'19_Расчет_аналитики'!U4793+'19_Расчет_аналитики'!U4810,0)</f>
        <v/>
      </c>
      <c r="V4811">
        <f>IF('01_Вводные'!$B$234="Да",'19_Расчет_аналитики'!V4793+'19_Расчет_аналитики'!V4810,0)</f>
        <v/>
      </c>
      <c r="W4811">
        <f>IF('01_Вводные'!$B$234="Да",'19_Расчет_аналитики'!W4793+'19_Расчет_аналитики'!W4810,0)</f>
        <v/>
      </c>
      <c r="X4811">
        <f>IF('01_Вводные'!$B$234="Да",'19_Расчет_аналитики'!X4793+'19_Расчет_аналитики'!X4810,0)</f>
        <v/>
      </c>
      <c r="Y4811">
        <f>IF('01_Вводные'!$B$234="Да",'19_Расчет_аналитики'!Y4793+'19_Расчет_аналитики'!Y4810,0)</f>
        <v/>
      </c>
      <c r="Z4811">
        <f>IF('01_Вводные'!$B$234="Да",'19_Расчет_аналитики'!Z4793+'19_Расчет_аналитики'!Z4810,0)</f>
        <v/>
      </c>
      <c r="AA4811">
        <f>IF('01_Вводные'!$B$234="Да",'19_Расчет_аналитики'!AA4793+'19_Расчет_аналитики'!AA4810,0)</f>
        <v/>
      </c>
      <c r="AB4811">
        <f>IF('01_Вводные'!$B$234="Да",'19_Расчет_аналитики'!AB4793+'19_Расчет_аналитики'!AB4810,0)</f>
        <v/>
      </c>
      <c r="AC4811">
        <f>IF('01_Вводные'!$B$234="Да",'19_Расчет_аналитики'!AC4793+'19_Расчет_аналитики'!AC4810,0)</f>
        <v/>
      </c>
      <c r="AD4811">
        <f>IF('01_Вводные'!$B$234="Да",'19_Расчет_аналитики'!AD4793+'19_Расчет_аналитики'!AD4810,0)</f>
        <v/>
      </c>
      <c r="AE4811">
        <f>IF('01_Вводные'!$B$234="Да",'19_Расчет_аналитики'!AE4793+'19_Расчет_аналитики'!AE4810,0)</f>
        <v/>
      </c>
      <c r="AF4811">
        <f>IF('01_Вводные'!$B$234="Да",'19_Расчет_аналитики'!AF4793+'19_Расчет_аналитики'!AF4810,0)</f>
        <v/>
      </c>
      <c r="AG4811">
        <f>IF('01_Вводные'!$B$234="Да",'19_Расчет_аналитики'!AG4793+'19_Расчет_аналитики'!AG4810,0)</f>
        <v/>
      </c>
      <c r="AH4811">
        <f>IF('01_Вводные'!$B$234="Да",'19_Расчет_аналитики'!AH4793+'19_Расчет_аналитики'!AH4810,0)</f>
        <v/>
      </c>
      <c r="AI4811">
        <f>IF('01_Вводные'!$B$234="Да",'19_Расчет_аналитики'!AI4793+'19_Расчет_аналитики'!AI4810,0)</f>
        <v/>
      </c>
      <c r="AJ4811">
        <f>IF('01_Вводные'!$B$234="Да",'19_Расчет_аналитики'!AJ4793+'19_Расчет_аналитики'!AJ4810,0)</f>
        <v/>
      </c>
      <c r="AK4811">
        <f>IF('01_Вводные'!$B$234="Да",'19_Расчет_аналитики'!AK4793+'19_Расчет_аналитики'!AK4810,0)</f>
        <v/>
      </c>
      <c r="AL4811">
        <f>IF('01_Вводные'!$B$234="Да",'19_Расчет_аналитики'!AL4793+'19_Расчет_аналитики'!AL4810,0)</f>
        <v/>
      </c>
      <c r="AM4811">
        <f>IF('01_Вводные'!$B$234="Да",'19_Расчет_аналитики'!AM4793+'19_Расчет_аналитики'!AM4810,0)</f>
        <v/>
      </c>
      <c r="AN4811">
        <f>IF('01_Вводные'!$B$234="Да",'19_Расчет_аналитики'!AN4793+'19_Расчет_аналитики'!AN4810,0)</f>
        <v/>
      </c>
      <c r="AO4811">
        <f>IF('01_Вводные'!$B$234="Да",'19_Расчет_аналитики'!AO4793+'19_Расчет_аналитики'!AO4810,0)</f>
        <v/>
      </c>
      <c r="AP4811">
        <f>IF('01_Вводные'!$B$234="Да",'19_Расчет_аналитики'!AP4793+'19_Расчет_аналитики'!AP4810,0)</f>
        <v/>
      </c>
      <c r="AQ4811">
        <f>IF('01_Вводные'!$B$234="Да",'19_Расчет_аналитики'!AQ4793+'19_Расчет_аналитики'!AQ4810,0)</f>
        <v/>
      </c>
      <c r="AR4811">
        <f>IF('01_Вводные'!$B$234="Да",'19_Расчет_аналитики'!AR4793+'19_Расчет_аналитики'!AR4810,0)</f>
        <v/>
      </c>
      <c r="AS4811">
        <f>IF('01_Вводные'!$B$234="Да",'19_Расчет_аналитики'!AS4793+'19_Расчет_аналитики'!AS4810,0)</f>
        <v/>
      </c>
      <c r="AT4811">
        <f>IF('01_Вводные'!$B$234="Да",'19_Расчет_аналитики'!AT4793+'19_Расчет_аналитики'!AT4810,0)</f>
        <v/>
      </c>
      <c r="AU4811">
        <f>IF('01_Вводные'!$B$234="Да",'19_Расчет_аналитики'!AU4793+'19_Расчет_аналитики'!AU4810,0)</f>
        <v/>
      </c>
      <c r="AV4811">
        <f>IF('01_Вводные'!$B$234="Да",'19_Расчет_аналитики'!AV4793+'19_Расчет_аналитики'!AV4810,0)</f>
        <v/>
      </c>
      <c r="AW4811">
        <f>IF('01_Вводные'!$B$234="Да",'19_Расчет_аналитики'!AW4793+'19_Расчет_аналитики'!AW4810,0)</f>
        <v/>
      </c>
      <c r="AX4811">
        <f>IF('01_Вводные'!$B$234="Да",'19_Расчет_аналитики'!AX4793+'19_Расчет_аналитики'!AX4810,0)</f>
        <v/>
      </c>
      <c r="AY4811">
        <f>IF('01_Вводные'!$B$234="Да",'19_Расчет_аналитики'!AY4793+'19_Расчет_аналитики'!AY4810,0)</f>
        <v/>
      </c>
      <c r="AZ4811">
        <f>IF('01_Вводные'!$B$234="Да",'19_Расчет_аналитики'!AZ4793+'19_Расчет_аналитики'!AZ4810,0)</f>
        <v/>
      </c>
      <c r="BA4811">
        <f>IF('01_Вводные'!$B$234="Да",'19_Расчет_аналитики'!BA4793+'19_Расчет_аналитики'!BA4810,0)</f>
        <v/>
      </c>
      <c r="BB4811">
        <f>IF('01_Вводные'!$B$234="Да",'19_Расчет_аналитики'!BB4793+'19_Расчет_аналитики'!BB4810,0)</f>
        <v/>
      </c>
      <c r="BC4811">
        <f>IF('01_Вводные'!$B$234="Да",'19_Расчет_аналитики'!BC4793+'19_Расчет_аналитики'!BC4810,0)</f>
        <v/>
      </c>
      <c r="BD4811">
        <f>IF('01_Вводные'!$B$234="Да",'19_Расчет_аналитики'!BD4793+'19_Расчет_аналитики'!BD4810,0)</f>
        <v/>
      </c>
      <c r="BE4811">
        <f>IF('01_Вводные'!$B$234="Да",'19_Расчет_аналитики'!BE4793+'19_Расчет_аналитики'!BE4810,0)</f>
        <v/>
      </c>
      <c r="BF4811">
        <f>IF('01_Вводные'!$B$234="Да",'19_Расчет_аналитики'!BF4793+'19_Расчет_аналитики'!BF4810,0)</f>
        <v/>
      </c>
      <c r="BG4811">
        <f>IF('01_Вводные'!$B$234="Да",'19_Расчет_аналитики'!BG4793+'19_Расчет_аналитики'!BG4810,0)</f>
        <v/>
      </c>
      <c r="BH4811">
        <f>IF('01_Вводные'!$B$234="Да",'19_Расчет_аналитики'!BH4793+'19_Расчет_аналитики'!BH4810,0)</f>
        <v/>
      </c>
      <c r="BI4811">
        <f>IF('01_Вводные'!$B$234="Да",'19_Расчет_аналитики'!BI4793+'19_Расчет_аналитики'!BI4810,0)</f>
        <v/>
      </c>
    </row>
    <row r="4812">
      <c r="B4812">
        <f>IF('01_Вводные'!$B$234="Да",'19_Расчет_аналитики'!B4680,0)</f>
        <v/>
      </c>
      <c r="C4812">
        <f>IF('01_Вводные'!$B$234="Да",'19_Расчет_аналитики'!C4680,0)</f>
        <v/>
      </c>
      <c r="D4812">
        <f>IF('01_Вводные'!$B$234="Да",'19_Расчет_аналитики'!D4680,0)</f>
        <v/>
      </c>
      <c r="E4812">
        <f>IF('01_Вводные'!$B$234="Да",'19_Расчет_аналитики'!E4680,0)</f>
        <v/>
      </c>
      <c r="F4812">
        <f>IF('01_Вводные'!$B$234="Да",'19_Расчет_аналитики'!F4680,0)</f>
        <v/>
      </c>
      <c r="G4812">
        <f>IF('01_Вводные'!$B$234="Да",'19_Расчет_аналитики'!G4680,0)</f>
        <v/>
      </c>
      <c r="H4812">
        <f>IF('01_Вводные'!$B$234="Да",'19_Расчет_аналитики'!H4680,0)</f>
        <v/>
      </c>
      <c r="I4812">
        <f>IF('01_Вводные'!$B$234="Да",'19_Расчет_аналитики'!I4680,0)</f>
        <v/>
      </c>
      <c r="J4812">
        <f>IF('01_Вводные'!$B$234="Да",'19_Расчет_аналитики'!J4680,0)</f>
        <v/>
      </c>
      <c r="K4812">
        <f>IF('01_Вводные'!$B$234="Да",'19_Расчет_аналитики'!K4680,0)</f>
        <v/>
      </c>
      <c r="L4812">
        <f>IF('01_Вводные'!$B$234="Да",'19_Расчет_аналитики'!L4680,0)</f>
        <v/>
      </c>
      <c r="M4812">
        <f>IF('01_Вводные'!$B$234="Да",'19_Расчет_аналитики'!M4680,0)</f>
        <v/>
      </c>
      <c r="N4812">
        <f>IF('01_Вводные'!$B$234="Да",'19_Расчет_аналитики'!N4680,0)</f>
        <v/>
      </c>
      <c r="O4812">
        <f>IF('01_Вводные'!$B$234="Да",'19_Расчет_аналитики'!O4680,0)</f>
        <v/>
      </c>
      <c r="P4812">
        <f>IF('01_Вводные'!$B$234="Да",'19_Расчет_аналитики'!P4680,0)</f>
        <v/>
      </c>
      <c r="Q4812">
        <f>IF('01_Вводные'!$B$234="Да",'19_Расчет_аналитики'!Q4680,0)</f>
        <v/>
      </c>
      <c r="R4812">
        <f>IF('01_Вводные'!$B$234="Да",'19_Расчет_аналитики'!R4680,0)</f>
        <v/>
      </c>
      <c r="S4812">
        <f>IF('01_Вводные'!$B$234="Да",'19_Расчет_аналитики'!S4680,0)</f>
        <v/>
      </c>
      <c r="T4812">
        <f>IF('01_Вводные'!$B$234="Да",'19_Расчет_аналитики'!T4680,0)</f>
        <v/>
      </c>
      <c r="U4812">
        <f>IF('01_Вводные'!$B$234="Да",'19_Расчет_аналитики'!U4680,0)</f>
        <v/>
      </c>
      <c r="V4812">
        <f>IF('01_Вводные'!$B$234="Да",'19_Расчет_аналитики'!V4680,0)</f>
        <v/>
      </c>
      <c r="W4812">
        <f>IF('01_Вводные'!$B$234="Да",'19_Расчет_аналитики'!W4680,0)</f>
        <v/>
      </c>
      <c r="X4812">
        <f>IF('01_Вводные'!$B$234="Да",'19_Расчет_аналитики'!X4680,0)</f>
        <v/>
      </c>
      <c r="Y4812">
        <f>IF('01_Вводные'!$B$234="Да",'19_Расчет_аналитики'!Y4680,0)</f>
        <v/>
      </c>
      <c r="Z4812">
        <f>IF('01_Вводные'!$B$234="Да",'19_Расчет_аналитики'!Z4680,0)</f>
        <v/>
      </c>
      <c r="AA4812">
        <f>IF('01_Вводные'!$B$234="Да",'19_Расчет_аналитики'!AA4680,0)</f>
        <v/>
      </c>
      <c r="AB4812">
        <f>IF('01_Вводные'!$B$234="Да",'19_Расчет_аналитики'!AB4680,0)</f>
        <v/>
      </c>
      <c r="AC4812">
        <f>IF('01_Вводные'!$B$234="Да",'19_Расчет_аналитики'!AC4680,0)</f>
        <v/>
      </c>
      <c r="AD4812">
        <f>IF('01_Вводные'!$B$234="Да",'19_Расчет_аналитики'!AD4680,0)</f>
        <v/>
      </c>
      <c r="AE4812">
        <f>IF('01_Вводные'!$B$234="Да",'19_Расчет_аналитики'!AE4680,0)</f>
        <v/>
      </c>
      <c r="AF4812">
        <f>IF('01_Вводные'!$B$234="Да",'19_Расчет_аналитики'!AF4680,0)</f>
        <v/>
      </c>
      <c r="AG4812">
        <f>IF('01_Вводные'!$B$234="Да",'19_Расчет_аналитики'!AG4680,0)</f>
        <v/>
      </c>
      <c r="AH4812">
        <f>IF('01_Вводные'!$B$234="Да",'19_Расчет_аналитики'!AH4680,0)</f>
        <v/>
      </c>
      <c r="AI4812">
        <f>IF('01_Вводные'!$B$234="Да",'19_Расчет_аналитики'!AI4680,0)</f>
        <v/>
      </c>
      <c r="AJ4812">
        <f>IF('01_Вводные'!$B$234="Да",'19_Расчет_аналитики'!AJ4680,0)</f>
        <v/>
      </c>
      <c r="AK4812">
        <f>IF('01_Вводные'!$B$234="Да",'19_Расчет_аналитики'!AK4680,0)</f>
        <v/>
      </c>
      <c r="AL4812">
        <f>IF('01_Вводные'!$B$234="Да",'19_Расчет_аналитики'!AL4680,0)</f>
        <v/>
      </c>
      <c r="AM4812">
        <f>IF('01_Вводные'!$B$234="Да",'19_Расчет_аналитики'!AM4680,0)</f>
        <v/>
      </c>
      <c r="AN4812">
        <f>IF('01_Вводные'!$B$234="Да",'19_Расчет_аналитики'!AN4680,0)</f>
        <v/>
      </c>
      <c r="AO4812">
        <f>IF('01_Вводные'!$B$234="Да",'19_Расчет_аналитики'!AO4680,0)</f>
        <v/>
      </c>
      <c r="AP4812">
        <f>IF('01_Вводные'!$B$234="Да",'19_Расчет_аналитики'!AP4680,0)</f>
        <v/>
      </c>
      <c r="AQ4812">
        <f>IF('01_Вводные'!$B$234="Да",'19_Расчет_аналитики'!AQ4680,0)</f>
        <v/>
      </c>
      <c r="AR4812">
        <f>IF('01_Вводные'!$B$234="Да",'19_Расчет_аналитики'!AR4680,0)</f>
        <v/>
      </c>
      <c r="AS4812">
        <f>IF('01_Вводные'!$B$234="Да",'19_Расчет_аналитики'!AS4680,0)</f>
        <v/>
      </c>
      <c r="AT4812">
        <f>IF('01_Вводные'!$B$234="Да",'19_Расчет_аналитики'!AT4680,0)</f>
        <v/>
      </c>
      <c r="AU4812">
        <f>IF('01_Вводные'!$B$234="Да",'19_Расчет_аналитики'!AU4680,0)</f>
        <v/>
      </c>
      <c r="AV4812">
        <f>IF('01_Вводные'!$B$234="Да",'19_Расчет_аналитики'!AV4680,0)</f>
        <v/>
      </c>
      <c r="AW4812">
        <f>IF('01_Вводные'!$B$234="Да",'19_Расчет_аналитики'!AW4680,0)</f>
        <v/>
      </c>
      <c r="AX4812">
        <f>IF('01_Вводные'!$B$234="Да",'19_Расчет_аналитики'!AX4680,0)</f>
        <v/>
      </c>
      <c r="AY4812">
        <f>IF('01_Вводные'!$B$234="Да",'19_Расчет_аналитики'!AY4680,0)</f>
        <v/>
      </c>
      <c r="AZ4812">
        <f>IF('01_Вводные'!$B$234="Да",'19_Расчет_аналитики'!AZ4680,0)</f>
        <v/>
      </c>
      <c r="BA4812">
        <f>IF('01_Вводные'!$B$234="Да",'19_Расчет_аналитики'!BA4680,0)</f>
        <v/>
      </c>
      <c r="BB4812">
        <f>IF('01_Вводные'!$B$234="Да",'19_Расчет_аналитики'!BB4680,0)</f>
        <v/>
      </c>
      <c r="BC4812">
        <f>IF('01_Вводные'!$B$234="Да",'19_Расчет_аналитики'!BC4680,0)</f>
        <v/>
      </c>
      <c r="BD4812">
        <f>IF('01_Вводные'!$B$234="Да",'19_Расчет_аналитики'!BD4680,0)</f>
        <v/>
      </c>
      <c r="BE4812">
        <f>IF('01_Вводные'!$B$234="Да",'19_Расчет_аналитики'!BE4680,0)</f>
        <v/>
      </c>
      <c r="BF4812">
        <f>IF('01_Вводные'!$B$234="Да",'19_Расчет_аналитики'!BF4680,0)</f>
        <v/>
      </c>
      <c r="BG4812">
        <f>IF('01_Вводные'!$B$234="Да",'19_Расчет_аналитики'!BG4680,0)</f>
        <v/>
      </c>
      <c r="BH4812">
        <f>IF('01_Вводные'!$B$234="Да",'19_Расчет_аналитики'!BH4680,0)</f>
        <v/>
      </c>
      <c r="BI4812">
        <f>IF('01_Вводные'!$B$234="Да",'19_Расчет_аналитики'!BI4680,0)</f>
        <v/>
      </c>
    </row>
    <row r="4813">
      <c r="B4813">
        <f>IF('01_Вводные'!$B$234="Да",'19_Расчет_аналитики'!B4810-'19_Расчет_аналитики'!B4812,0)</f>
        <v/>
      </c>
      <c r="C4813">
        <f>IF('01_Вводные'!$B$234="Да",'19_Расчет_аналитики'!C4810-'19_Расчет_аналитики'!C4812,0)</f>
        <v/>
      </c>
      <c r="D4813">
        <f>IF('01_Вводные'!$B$234="Да",'19_Расчет_аналитики'!D4810-'19_Расчет_аналитики'!D4812,0)</f>
        <v/>
      </c>
      <c r="E4813">
        <f>IF('01_Вводные'!$B$234="Да",'19_Расчет_аналитики'!E4810-'19_Расчет_аналитики'!E4812,0)</f>
        <v/>
      </c>
      <c r="F4813">
        <f>IF('01_Вводные'!$B$234="Да",'19_Расчет_аналитики'!F4810-'19_Расчет_аналитики'!F4812,0)</f>
        <v/>
      </c>
      <c r="G4813">
        <f>IF('01_Вводные'!$B$234="Да",'19_Расчет_аналитики'!G4810-'19_Расчет_аналитики'!G4812,0)</f>
        <v/>
      </c>
      <c r="H4813">
        <f>IF('01_Вводные'!$B$234="Да",'19_Расчет_аналитики'!H4810-'19_Расчет_аналитики'!H4812,0)</f>
        <v/>
      </c>
      <c r="I4813">
        <f>IF('01_Вводные'!$B$234="Да",'19_Расчет_аналитики'!I4810-'19_Расчет_аналитики'!I4812,0)</f>
        <v/>
      </c>
      <c r="J4813">
        <f>IF('01_Вводные'!$B$234="Да",'19_Расчет_аналитики'!J4810-'19_Расчет_аналитики'!J4812,0)</f>
        <v/>
      </c>
      <c r="K4813">
        <f>IF('01_Вводные'!$B$234="Да",'19_Расчет_аналитики'!K4810-'19_Расчет_аналитики'!K4812,0)</f>
        <v/>
      </c>
      <c r="L4813">
        <f>IF('01_Вводные'!$B$234="Да",'19_Расчет_аналитики'!L4810-'19_Расчет_аналитики'!L4812,0)</f>
        <v/>
      </c>
      <c r="M4813">
        <f>IF('01_Вводные'!$B$234="Да",'19_Расчет_аналитики'!M4810-'19_Расчет_аналитики'!M4812,0)</f>
        <v/>
      </c>
      <c r="N4813">
        <f>IF('01_Вводные'!$B$234="Да",'19_Расчет_аналитики'!N4810-'19_Расчет_аналитики'!N4812,0)</f>
        <v/>
      </c>
      <c r="O4813">
        <f>IF('01_Вводные'!$B$234="Да",'19_Расчет_аналитики'!O4810-'19_Расчет_аналитики'!O4812,0)</f>
        <v/>
      </c>
      <c r="P4813">
        <f>IF('01_Вводные'!$B$234="Да",'19_Расчет_аналитики'!P4810-'19_Расчет_аналитики'!P4812,0)</f>
        <v/>
      </c>
      <c r="Q4813">
        <f>IF('01_Вводные'!$B$234="Да",'19_Расчет_аналитики'!Q4810-'19_Расчет_аналитики'!Q4812,0)</f>
        <v/>
      </c>
      <c r="R4813">
        <f>IF('01_Вводные'!$B$234="Да",'19_Расчет_аналитики'!R4810-'19_Расчет_аналитики'!R4812,0)</f>
        <v/>
      </c>
      <c r="S4813">
        <f>IF('01_Вводные'!$B$234="Да",'19_Расчет_аналитики'!S4810-'19_Расчет_аналитики'!S4812,0)</f>
        <v/>
      </c>
      <c r="T4813">
        <f>IF('01_Вводные'!$B$234="Да",'19_Расчет_аналитики'!T4810-'19_Расчет_аналитики'!T4812,0)</f>
        <v/>
      </c>
      <c r="U4813">
        <f>IF('01_Вводные'!$B$234="Да",'19_Расчет_аналитики'!U4810-'19_Расчет_аналитики'!U4812,0)</f>
        <v/>
      </c>
      <c r="V4813">
        <f>IF('01_Вводные'!$B$234="Да",'19_Расчет_аналитики'!V4810-'19_Расчет_аналитики'!V4812,0)</f>
        <v/>
      </c>
      <c r="W4813">
        <f>IF('01_Вводные'!$B$234="Да",'19_Расчет_аналитики'!W4810-'19_Расчет_аналитики'!W4812,0)</f>
        <v/>
      </c>
      <c r="X4813">
        <f>IF('01_Вводные'!$B$234="Да",'19_Расчет_аналитики'!X4810-'19_Расчет_аналитики'!X4812,0)</f>
        <v/>
      </c>
      <c r="Y4813">
        <f>IF('01_Вводные'!$B$234="Да",'19_Расчет_аналитики'!Y4810-'19_Расчет_аналитики'!Y4812,0)</f>
        <v/>
      </c>
      <c r="Z4813">
        <f>IF('01_Вводные'!$B$234="Да",'19_Расчет_аналитики'!Z4810-'19_Расчет_аналитики'!Z4812,0)</f>
        <v/>
      </c>
      <c r="AA4813">
        <f>IF('01_Вводные'!$B$234="Да",'19_Расчет_аналитики'!AA4810-'19_Расчет_аналитики'!AA4812,0)</f>
        <v/>
      </c>
      <c r="AB4813">
        <f>IF('01_Вводные'!$B$234="Да",'19_Расчет_аналитики'!AB4810-'19_Расчет_аналитики'!AB4812,0)</f>
        <v/>
      </c>
      <c r="AC4813">
        <f>IF('01_Вводные'!$B$234="Да",'19_Расчет_аналитики'!AC4810-'19_Расчет_аналитики'!AC4812,0)</f>
        <v/>
      </c>
      <c r="AD4813">
        <f>IF('01_Вводные'!$B$234="Да",'19_Расчет_аналитики'!AD4810-'19_Расчет_аналитики'!AD4812,0)</f>
        <v/>
      </c>
      <c r="AE4813">
        <f>IF('01_Вводные'!$B$234="Да",'19_Расчет_аналитики'!AE4810-'19_Расчет_аналитики'!AE4812,0)</f>
        <v/>
      </c>
      <c r="AF4813">
        <f>IF('01_Вводные'!$B$234="Да",'19_Расчет_аналитики'!AF4810-'19_Расчет_аналитики'!AF4812,0)</f>
        <v/>
      </c>
      <c r="AG4813">
        <f>IF('01_Вводные'!$B$234="Да",'19_Расчет_аналитики'!AG4810-'19_Расчет_аналитики'!AG4812,0)</f>
        <v/>
      </c>
      <c r="AH4813">
        <f>IF('01_Вводные'!$B$234="Да",'19_Расчет_аналитики'!AH4810-'19_Расчет_аналитики'!AH4812,0)</f>
        <v/>
      </c>
      <c r="AI4813">
        <f>IF('01_Вводные'!$B$234="Да",'19_Расчет_аналитики'!AI4810-'19_Расчет_аналитики'!AI4812,0)</f>
        <v/>
      </c>
      <c r="AJ4813">
        <f>IF('01_Вводные'!$B$234="Да",'19_Расчет_аналитики'!AJ4810-'19_Расчет_аналитики'!AJ4812,0)</f>
        <v/>
      </c>
      <c r="AK4813">
        <f>IF('01_Вводные'!$B$234="Да",'19_Расчет_аналитики'!AK4810-'19_Расчет_аналитики'!AK4812,0)</f>
        <v/>
      </c>
      <c r="AL4813">
        <f>IF('01_Вводные'!$B$234="Да",'19_Расчет_аналитики'!AL4810-'19_Расчет_аналитики'!AL4812,0)</f>
        <v/>
      </c>
      <c r="AM4813">
        <f>IF('01_Вводные'!$B$234="Да",'19_Расчет_аналитики'!AM4810-'19_Расчет_аналитики'!AM4812,0)</f>
        <v/>
      </c>
      <c r="AN4813">
        <f>IF('01_Вводные'!$B$234="Да",'19_Расчет_аналитики'!AN4810-'19_Расчет_аналитики'!AN4812,0)</f>
        <v/>
      </c>
      <c r="AO4813">
        <f>IF('01_Вводные'!$B$234="Да",'19_Расчет_аналитики'!AO4810-'19_Расчет_аналитики'!AO4812,0)</f>
        <v/>
      </c>
      <c r="AP4813">
        <f>IF('01_Вводные'!$B$234="Да",'19_Расчет_аналитики'!AP4810-'19_Расчет_аналитики'!AP4812,0)</f>
        <v/>
      </c>
      <c r="AQ4813">
        <f>IF('01_Вводные'!$B$234="Да",'19_Расчет_аналитики'!AQ4810-'19_Расчет_аналитики'!AQ4812,0)</f>
        <v/>
      </c>
      <c r="AR4813">
        <f>IF('01_Вводные'!$B$234="Да",'19_Расчет_аналитики'!AR4810-'19_Расчет_аналитики'!AR4812,0)</f>
        <v/>
      </c>
      <c r="AS4813">
        <f>IF('01_Вводные'!$B$234="Да",'19_Расчет_аналитики'!AS4810-'19_Расчет_аналитики'!AS4812,0)</f>
        <v/>
      </c>
      <c r="AT4813">
        <f>IF('01_Вводные'!$B$234="Да",'19_Расчет_аналитики'!AT4810-'19_Расчет_аналитики'!AT4812,0)</f>
        <v/>
      </c>
      <c r="AU4813">
        <f>IF('01_Вводные'!$B$234="Да",'19_Расчет_аналитики'!AU4810-'19_Расчет_аналитики'!AU4812,0)</f>
        <v/>
      </c>
      <c r="AV4813">
        <f>IF('01_Вводные'!$B$234="Да",'19_Расчет_аналитики'!AV4810-'19_Расчет_аналитики'!AV4812,0)</f>
        <v/>
      </c>
      <c r="AW4813">
        <f>IF('01_Вводные'!$B$234="Да",'19_Расчет_аналитики'!AW4810-'19_Расчет_аналитики'!AW4812,0)</f>
        <v/>
      </c>
      <c r="AX4813">
        <f>IF('01_Вводные'!$B$234="Да",'19_Расчет_аналитики'!AX4810-'19_Расчет_аналитики'!AX4812,0)</f>
        <v/>
      </c>
      <c r="AY4813">
        <f>IF('01_Вводные'!$B$234="Да",'19_Расчет_аналитики'!AY4810-'19_Расчет_аналитики'!AY4812,0)</f>
        <v/>
      </c>
      <c r="AZ4813">
        <f>IF('01_Вводные'!$B$234="Да",'19_Расчет_аналитики'!AZ4810-'19_Расчет_аналитики'!AZ4812,0)</f>
        <v/>
      </c>
      <c r="BA4813">
        <f>IF('01_Вводные'!$B$234="Да",'19_Расчет_аналитики'!BA4810-'19_Расчет_аналитики'!BA4812,0)</f>
        <v/>
      </c>
      <c r="BB4813">
        <f>IF('01_Вводные'!$B$234="Да",'19_Расчет_аналитики'!BB4810-'19_Расчет_аналитики'!BB4812,0)</f>
        <v/>
      </c>
      <c r="BC4813">
        <f>IF('01_Вводные'!$B$234="Да",'19_Расчет_аналитики'!BC4810-'19_Расчет_аналитики'!BC4812,0)</f>
        <v/>
      </c>
      <c r="BD4813">
        <f>IF('01_Вводные'!$B$234="Да",'19_Расчет_аналитики'!BD4810-'19_Расчет_аналитики'!BD4812,0)</f>
        <v/>
      </c>
      <c r="BE4813">
        <f>IF('01_Вводные'!$B$234="Да",'19_Расчет_аналитики'!BE4810-'19_Расчет_аналитики'!BE4812,0)</f>
        <v/>
      </c>
      <c r="BF4813">
        <f>IF('01_Вводные'!$B$234="Да",'19_Расчет_аналитики'!BF4810-'19_Расчет_аналитики'!BF4812,0)</f>
        <v/>
      </c>
      <c r="BG4813">
        <f>IF('01_Вводные'!$B$234="Да",'19_Расчет_аналитики'!BG4810-'19_Расчет_аналитики'!BG4812,0)</f>
        <v/>
      </c>
      <c r="BH4813">
        <f>IF('01_Вводные'!$B$234="Да",'19_Расчет_аналитики'!BH4810-'19_Расчет_аналитики'!BH4812,0)</f>
        <v/>
      </c>
      <c r="BI4813">
        <f>IF('01_Вводные'!$B$234="Да",'19_Расчет_аналитики'!BI4810-'19_Расчет_аналитики'!BI4812,0)</f>
        <v/>
      </c>
    </row>
    <row r="4814">
      <c r="B4814">
        <f>IF('01_Вводные'!$B$234="Да",'02_Модель'!B51+'19_Расчет_аналитики'!B4813,0)</f>
        <v/>
      </c>
      <c r="C4814">
        <f>IF('01_Вводные'!$B$234="Да",'19_Расчет_аналитики'!C4793+'19_Расчет_аналитики'!C4813,0)</f>
        <v/>
      </c>
      <c r="D4814">
        <f>IF('01_Вводные'!$B$234="Да",'19_Расчет_аналитики'!D4793+'19_Расчет_аналитики'!D4813,0)</f>
        <v/>
      </c>
      <c r="E4814">
        <f>IF('01_Вводные'!$B$234="Да",'19_Расчет_аналитики'!E4793+'19_Расчет_аналитики'!E4813,0)</f>
        <v/>
      </c>
      <c r="F4814">
        <f>IF('01_Вводные'!$B$234="Да",'19_Расчет_аналитики'!F4793+'19_Расчет_аналитики'!F4813,0)</f>
        <v/>
      </c>
      <c r="G4814">
        <f>IF('01_Вводные'!$B$234="Да",'19_Расчет_аналитики'!G4793+'19_Расчет_аналитики'!G4813,0)</f>
        <v/>
      </c>
      <c r="H4814">
        <f>IF('01_Вводные'!$B$234="Да",'19_Расчет_аналитики'!H4793+'19_Расчет_аналитики'!H4813,0)</f>
        <v/>
      </c>
      <c r="I4814">
        <f>IF('01_Вводные'!$B$234="Да",'19_Расчет_аналитики'!I4793+'19_Расчет_аналитики'!I4813,0)</f>
        <v/>
      </c>
      <c r="J4814">
        <f>IF('01_Вводные'!$B$234="Да",'19_Расчет_аналитики'!J4793+'19_Расчет_аналитики'!J4813,0)</f>
        <v/>
      </c>
      <c r="K4814">
        <f>IF('01_Вводные'!$B$234="Да",'19_Расчет_аналитики'!K4793+'19_Расчет_аналитики'!K4813,0)</f>
        <v/>
      </c>
      <c r="L4814">
        <f>IF('01_Вводные'!$B$234="Да",'19_Расчет_аналитики'!L4793+'19_Расчет_аналитики'!L4813,0)</f>
        <v/>
      </c>
      <c r="M4814">
        <f>IF('01_Вводные'!$B$234="Да",'19_Расчет_аналитики'!M4793+'19_Расчет_аналитики'!M4813,0)</f>
        <v/>
      </c>
      <c r="N4814">
        <f>IF('01_Вводные'!$B$234="Да",'19_Расчет_аналитики'!N4793+'19_Расчет_аналитики'!N4813,0)</f>
        <v/>
      </c>
      <c r="O4814">
        <f>IF('01_Вводные'!$B$234="Да",'19_Расчет_аналитики'!O4793+'19_Расчет_аналитики'!O4813,0)</f>
        <v/>
      </c>
      <c r="P4814">
        <f>IF('01_Вводные'!$B$234="Да",'19_Расчет_аналитики'!P4793+'19_Расчет_аналитики'!P4813,0)</f>
        <v/>
      </c>
      <c r="Q4814">
        <f>IF('01_Вводные'!$B$234="Да",'19_Расчет_аналитики'!Q4793+'19_Расчет_аналитики'!Q4813,0)</f>
        <v/>
      </c>
      <c r="R4814">
        <f>IF('01_Вводные'!$B$234="Да",'19_Расчет_аналитики'!R4793+'19_Расчет_аналитики'!R4813,0)</f>
        <v/>
      </c>
      <c r="S4814">
        <f>IF('01_Вводные'!$B$234="Да",'19_Расчет_аналитики'!S4793+'19_Расчет_аналитики'!S4813,0)</f>
        <v/>
      </c>
      <c r="T4814">
        <f>IF('01_Вводные'!$B$234="Да",'19_Расчет_аналитики'!T4793+'19_Расчет_аналитики'!T4813,0)</f>
        <v/>
      </c>
      <c r="U4814">
        <f>IF('01_Вводные'!$B$234="Да",'19_Расчет_аналитики'!U4793+'19_Расчет_аналитики'!U4813,0)</f>
        <v/>
      </c>
      <c r="V4814">
        <f>IF('01_Вводные'!$B$234="Да",'19_Расчет_аналитики'!V4793+'19_Расчет_аналитики'!V4813,0)</f>
        <v/>
      </c>
      <c r="W4814">
        <f>IF('01_Вводные'!$B$234="Да",'19_Расчет_аналитики'!W4793+'19_Расчет_аналитики'!W4813,0)</f>
        <v/>
      </c>
      <c r="X4814">
        <f>IF('01_Вводные'!$B$234="Да",'19_Расчет_аналитики'!X4793+'19_Расчет_аналитики'!X4813,0)</f>
        <v/>
      </c>
      <c r="Y4814">
        <f>IF('01_Вводные'!$B$234="Да",'19_Расчет_аналитики'!Y4793+'19_Расчет_аналитики'!Y4813,0)</f>
        <v/>
      </c>
      <c r="Z4814">
        <f>IF('01_Вводные'!$B$234="Да",'19_Расчет_аналитики'!Z4793+'19_Расчет_аналитики'!Z4813,0)</f>
        <v/>
      </c>
      <c r="AA4814">
        <f>IF('01_Вводные'!$B$234="Да",'19_Расчет_аналитики'!AA4793+'19_Расчет_аналитики'!AA4813,0)</f>
        <v/>
      </c>
      <c r="AB4814">
        <f>IF('01_Вводные'!$B$234="Да",'19_Расчет_аналитики'!AB4793+'19_Расчет_аналитики'!AB4813,0)</f>
        <v/>
      </c>
      <c r="AC4814">
        <f>IF('01_Вводные'!$B$234="Да",'19_Расчет_аналитики'!AC4793+'19_Расчет_аналитики'!AC4813,0)</f>
        <v/>
      </c>
      <c r="AD4814">
        <f>IF('01_Вводные'!$B$234="Да",'19_Расчет_аналитики'!AD4793+'19_Расчет_аналитики'!AD4813,0)</f>
        <v/>
      </c>
      <c r="AE4814">
        <f>IF('01_Вводные'!$B$234="Да",'19_Расчет_аналитики'!AE4793+'19_Расчет_аналитики'!AE4813,0)</f>
        <v/>
      </c>
      <c r="AF4814">
        <f>IF('01_Вводные'!$B$234="Да",'19_Расчет_аналитики'!AF4793+'19_Расчет_аналитики'!AF4813,0)</f>
        <v/>
      </c>
      <c r="AG4814">
        <f>IF('01_Вводные'!$B$234="Да",'19_Расчет_аналитики'!AG4793+'19_Расчет_аналитики'!AG4813,0)</f>
        <v/>
      </c>
      <c r="AH4814">
        <f>IF('01_Вводные'!$B$234="Да",'19_Расчет_аналитики'!AH4793+'19_Расчет_аналитики'!AH4813,0)</f>
        <v/>
      </c>
      <c r="AI4814">
        <f>IF('01_Вводные'!$B$234="Да",'19_Расчет_аналитики'!AI4793+'19_Расчет_аналитики'!AI4813,0)</f>
        <v/>
      </c>
      <c r="AJ4814">
        <f>IF('01_Вводные'!$B$234="Да",'19_Расчет_аналитики'!AJ4793+'19_Расчет_аналитики'!AJ4813,0)</f>
        <v/>
      </c>
      <c r="AK4814">
        <f>IF('01_Вводные'!$B$234="Да",'19_Расчет_аналитики'!AK4793+'19_Расчет_аналитики'!AK4813,0)</f>
        <v/>
      </c>
      <c r="AL4814">
        <f>IF('01_Вводные'!$B$234="Да",'19_Расчет_аналитики'!AL4793+'19_Расчет_аналитики'!AL4813,0)</f>
        <v/>
      </c>
      <c r="AM4814">
        <f>IF('01_Вводные'!$B$234="Да",'19_Расчет_аналитики'!AM4793+'19_Расчет_аналитики'!AM4813,0)</f>
        <v/>
      </c>
      <c r="AN4814">
        <f>IF('01_Вводные'!$B$234="Да",'19_Расчет_аналитики'!AN4793+'19_Расчет_аналитики'!AN4813,0)</f>
        <v/>
      </c>
      <c r="AO4814">
        <f>IF('01_Вводные'!$B$234="Да",'19_Расчет_аналитики'!AO4793+'19_Расчет_аналитики'!AO4813,0)</f>
        <v/>
      </c>
      <c r="AP4814">
        <f>IF('01_Вводные'!$B$234="Да",'19_Расчет_аналитики'!AP4793+'19_Расчет_аналитики'!AP4813,0)</f>
        <v/>
      </c>
      <c r="AQ4814">
        <f>IF('01_Вводные'!$B$234="Да",'19_Расчет_аналитики'!AQ4793+'19_Расчет_аналитики'!AQ4813,0)</f>
        <v/>
      </c>
      <c r="AR4814">
        <f>IF('01_Вводные'!$B$234="Да",'19_Расчет_аналитики'!AR4793+'19_Расчет_аналитики'!AR4813,0)</f>
        <v/>
      </c>
      <c r="AS4814">
        <f>IF('01_Вводные'!$B$234="Да",'19_Расчет_аналитики'!AS4793+'19_Расчет_аналитики'!AS4813,0)</f>
        <v/>
      </c>
      <c r="AT4814">
        <f>IF('01_Вводные'!$B$234="Да",'19_Расчет_аналитики'!AT4793+'19_Расчет_аналитики'!AT4813,0)</f>
        <v/>
      </c>
      <c r="AU4814">
        <f>IF('01_Вводные'!$B$234="Да",'19_Расчет_аналитики'!AU4793+'19_Расчет_аналитики'!AU4813,0)</f>
        <v/>
      </c>
      <c r="AV4814">
        <f>IF('01_Вводные'!$B$234="Да",'19_Расчет_аналитики'!AV4793+'19_Расчет_аналитики'!AV4813,0)</f>
        <v/>
      </c>
      <c r="AW4814">
        <f>IF('01_Вводные'!$B$234="Да",'19_Расчет_аналитики'!AW4793+'19_Расчет_аналитики'!AW4813,0)</f>
        <v/>
      </c>
      <c r="AX4814">
        <f>IF('01_Вводные'!$B$234="Да",'19_Расчет_аналитики'!AX4793+'19_Расчет_аналитики'!AX4813,0)</f>
        <v/>
      </c>
      <c r="AY4814">
        <f>IF('01_Вводные'!$B$234="Да",'19_Расчет_аналитики'!AY4793+'19_Расчет_аналитики'!AY4813,0)</f>
        <v/>
      </c>
      <c r="AZ4814">
        <f>IF('01_Вводные'!$B$234="Да",'19_Расчет_аналитики'!AZ4793+'19_Расчет_аналитики'!AZ4813,0)</f>
        <v/>
      </c>
      <c r="BA4814">
        <f>IF('01_Вводные'!$B$234="Да",'19_Расчет_аналитики'!BA4793+'19_Расчет_аналитики'!BA4813,0)</f>
        <v/>
      </c>
      <c r="BB4814">
        <f>IF('01_Вводные'!$B$234="Да",'19_Расчет_аналитики'!BB4793+'19_Расчет_аналитики'!BB4813,0)</f>
        <v/>
      </c>
      <c r="BC4814">
        <f>IF('01_Вводные'!$B$234="Да",'19_Расчет_аналитики'!BC4793+'19_Расчет_аналитики'!BC4813,0)</f>
        <v/>
      </c>
      <c r="BD4814">
        <f>IF('01_Вводные'!$B$234="Да",'19_Расчет_аналитики'!BD4793+'19_Расчет_аналитики'!BD4813,0)</f>
        <v/>
      </c>
      <c r="BE4814">
        <f>IF('01_Вводные'!$B$234="Да",'19_Расчет_аналитики'!BE4793+'19_Расчет_аналитики'!BE4813,0)</f>
        <v/>
      </c>
      <c r="BF4814">
        <f>IF('01_Вводные'!$B$234="Да",'19_Расчет_аналитики'!BF4793+'19_Расчет_аналитики'!BF4813,0)</f>
        <v/>
      </c>
      <c r="BG4814">
        <f>IF('01_Вводные'!$B$234="Да",'19_Расчет_аналитики'!BG4793+'19_Расчет_аналитики'!BG4813,0)</f>
        <v/>
      </c>
      <c r="BH4814">
        <f>IF('01_Вводные'!$B$234="Да",'19_Расчет_аналитики'!BH4793+'19_Расчет_аналитики'!BH4813,0)</f>
        <v/>
      </c>
      <c r="BI4814">
        <f>IF('01_Вводные'!$B$234="Да",'19_Расчет_аналитики'!BI4793+'19_Расчет_аналитики'!BI4813,0)</f>
        <v/>
      </c>
    </row>
    <row r="4815"/>
    <row r="4816"/>
    <row r="4817">
      <c r="B4817">
        <f>IF('01_Вводные'!$B$234="Да",'19_Расчет_аналитики'!B4681,0)</f>
        <v/>
      </c>
      <c r="C4817">
        <f>IF('01_Вводные'!$B$234="Да",'19_Расчет_аналитики'!C4681,0)</f>
        <v/>
      </c>
      <c r="D4817">
        <f>IF('01_Вводные'!$B$234="Да",'19_Расчет_аналитики'!D4681,0)</f>
        <v/>
      </c>
      <c r="E4817">
        <f>IF('01_Вводные'!$B$234="Да",'19_Расчет_аналитики'!E4681,0)</f>
        <v/>
      </c>
      <c r="F4817">
        <f>IF('01_Вводные'!$B$234="Да",'19_Расчет_аналитики'!F4681,0)</f>
        <v/>
      </c>
      <c r="G4817">
        <f>IF('01_Вводные'!$B$234="Да",'19_Расчет_аналитики'!G4681,0)</f>
        <v/>
      </c>
      <c r="H4817">
        <f>IF('01_Вводные'!$B$234="Да",'19_Расчет_аналитики'!H4681,0)</f>
        <v/>
      </c>
      <c r="I4817">
        <f>IF('01_Вводные'!$B$234="Да",'19_Расчет_аналитики'!I4681,0)</f>
        <v/>
      </c>
      <c r="J4817">
        <f>IF('01_Вводные'!$B$234="Да",'19_Расчет_аналитики'!J4681,0)</f>
        <v/>
      </c>
      <c r="K4817">
        <f>IF('01_Вводные'!$B$234="Да",'19_Расчет_аналитики'!K4681,0)</f>
        <v/>
      </c>
      <c r="L4817">
        <f>IF('01_Вводные'!$B$234="Да",'19_Расчет_аналитики'!L4681,0)</f>
        <v/>
      </c>
      <c r="M4817">
        <f>IF('01_Вводные'!$B$234="Да",'19_Расчет_аналитики'!M4681,0)</f>
        <v/>
      </c>
      <c r="N4817">
        <f>IF('01_Вводные'!$B$234="Да",'19_Расчет_аналитики'!N4681,0)</f>
        <v/>
      </c>
      <c r="O4817">
        <f>IF('01_Вводные'!$B$234="Да",'19_Расчет_аналитики'!O4681,0)</f>
        <v/>
      </c>
      <c r="P4817">
        <f>IF('01_Вводные'!$B$234="Да",'19_Расчет_аналитики'!P4681,0)</f>
        <v/>
      </c>
      <c r="Q4817">
        <f>IF('01_Вводные'!$B$234="Да",'19_Расчет_аналитики'!Q4681,0)</f>
        <v/>
      </c>
      <c r="R4817">
        <f>IF('01_Вводные'!$B$234="Да",'19_Расчет_аналитики'!R4681,0)</f>
        <v/>
      </c>
      <c r="S4817">
        <f>IF('01_Вводные'!$B$234="Да",'19_Расчет_аналитики'!S4681,0)</f>
        <v/>
      </c>
      <c r="T4817">
        <f>IF('01_Вводные'!$B$234="Да",'19_Расчет_аналитики'!T4681,0)</f>
        <v/>
      </c>
      <c r="U4817">
        <f>IF('01_Вводные'!$B$234="Да",'19_Расчет_аналитики'!U4681,0)</f>
        <v/>
      </c>
      <c r="V4817">
        <f>IF('01_Вводные'!$B$234="Да",'19_Расчет_аналитики'!V4681,0)</f>
        <v/>
      </c>
      <c r="W4817">
        <f>IF('01_Вводные'!$B$234="Да",'19_Расчет_аналитики'!W4681,0)</f>
        <v/>
      </c>
      <c r="X4817">
        <f>IF('01_Вводные'!$B$234="Да",'19_Расчет_аналитики'!X4681,0)</f>
        <v/>
      </c>
      <c r="Y4817">
        <f>IF('01_Вводные'!$B$234="Да",'19_Расчет_аналитики'!Y4681,0)</f>
        <v/>
      </c>
      <c r="Z4817">
        <f>IF('01_Вводные'!$B$234="Да",'19_Расчет_аналитики'!Z4681,0)</f>
        <v/>
      </c>
      <c r="AA4817">
        <f>IF('01_Вводные'!$B$234="Да",'19_Расчет_аналитики'!AA4681,0)</f>
        <v/>
      </c>
      <c r="AB4817">
        <f>IF('01_Вводные'!$B$234="Да",'19_Расчет_аналитики'!AB4681,0)</f>
        <v/>
      </c>
      <c r="AC4817">
        <f>IF('01_Вводные'!$B$234="Да",'19_Расчет_аналитики'!AC4681,0)</f>
        <v/>
      </c>
      <c r="AD4817">
        <f>IF('01_Вводные'!$B$234="Да",'19_Расчет_аналитики'!AD4681,0)</f>
        <v/>
      </c>
      <c r="AE4817">
        <f>IF('01_Вводные'!$B$234="Да",'19_Расчет_аналитики'!AE4681,0)</f>
        <v/>
      </c>
      <c r="AF4817">
        <f>IF('01_Вводные'!$B$234="Да",'19_Расчет_аналитики'!AF4681,0)</f>
        <v/>
      </c>
      <c r="AG4817">
        <f>IF('01_Вводные'!$B$234="Да",'19_Расчет_аналитики'!AG4681,0)</f>
        <v/>
      </c>
      <c r="AH4817">
        <f>IF('01_Вводные'!$B$234="Да",'19_Расчет_аналитики'!AH4681,0)</f>
        <v/>
      </c>
      <c r="AI4817">
        <f>IF('01_Вводные'!$B$234="Да",'19_Расчет_аналитики'!AI4681,0)</f>
        <v/>
      </c>
      <c r="AJ4817">
        <f>IF('01_Вводные'!$B$234="Да",'19_Расчет_аналитики'!AJ4681,0)</f>
        <v/>
      </c>
      <c r="AK4817">
        <f>IF('01_Вводные'!$B$234="Да",'19_Расчет_аналитики'!AK4681,0)</f>
        <v/>
      </c>
      <c r="AL4817">
        <f>IF('01_Вводные'!$B$234="Да",'19_Расчет_аналитики'!AL4681,0)</f>
        <v/>
      </c>
      <c r="AM4817">
        <f>IF('01_Вводные'!$B$234="Да",'19_Расчет_аналитики'!AM4681,0)</f>
        <v/>
      </c>
      <c r="AN4817">
        <f>IF('01_Вводные'!$B$234="Да",'19_Расчет_аналитики'!AN4681,0)</f>
        <v/>
      </c>
      <c r="AO4817">
        <f>IF('01_Вводные'!$B$234="Да",'19_Расчет_аналитики'!AO4681,0)</f>
        <v/>
      </c>
      <c r="AP4817">
        <f>IF('01_Вводные'!$B$234="Да",'19_Расчет_аналитики'!AP4681,0)</f>
        <v/>
      </c>
      <c r="AQ4817">
        <f>IF('01_Вводные'!$B$234="Да",'19_Расчет_аналитики'!AQ4681,0)</f>
        <v/>
      </c>
      <c r="AR4817">
        <f>IF('01_Вводные'!$B$234="Да",'19_Расчет_аналитики'!AR4681,0)</f>
        <v/>
      </c>
      <c r="AS4817">
        <f>IF('01_Вводные'!$B$234="Да",'19_Расчет_аналитики'!AS4681,0)</f>
        <v/>
      </c>
      <c r="AT4817">
        <f>IF('01_Вводные'!$B$234="Да",'19_Расчет_аналитики'!AT4681,0)</f>
        <v/>
      </c>
      <c r="AU4817">
        <f>IF('01_Вводные'!$B$234="Да",'19_Расчет_аналитики'!AU4681,0)</f>
        <v/>
      </c>
      <c r="AV4817">
        <f>IF('01_Вводные'!$B$234="Да",'19_Расчет_аналитики'!AV4681,0)</f>
        <v/>
      </c>
      <c r="AW4817">
        <f>IF('01_Вводные'!$B$234="Да",'19_Расчет_аналитики'!AW4681,0)</f>
        <v/>
      </c>
      <c r="AX4817">
        <f>IF('01_Вводные'!$B$234="Да",'19_Расчет_аналитики'!AX4681,0)</f>
        <v/>
      </c>
      <c r="AY4817">
        <f>IF('01_Вводные'!$B$234="Да",'19_Расчет_аналитики'!AY4681,0)</f>
        <v/>
      </c>
      <c r="AZ4817">
        <f>IF('01_Вводные'!$B$234="Да",'19_Расчет_аналитики'!AZ4681,0)</f>
        <v/>
      </c>
      <c r="BA4817">
        <f>IF('01_Вводные'!$B$234="Да",'19_Расчет_аналитики'!BA4681,0)</f>
        <v/>
      </c>
      <c r="BB4817">
        <f>IF('01_Вводные'!$B$234="Да",'19_Расчет_аналитики'!BB4681,0)</f>
        <v/>
      </c>
      <c r="BC4817">
        <f>IF('01_Вводные'!$B$234="Да",'19_Расчет_аналитики'!BC4681,0)</f>
        <v/>
      </c>
      <c r="BD4817">
        <f>IF('01_Вводные'!$B$234="Да",'19_Расчет_аналитики'!BD4681,0)</f>
        <v/>
      </c>
      <c r="BE4817">
        <f>IF('01_Вводные'!$B$234="Да",'19_Расчет_аналитики'!BE4681,0)</f>
        <v/>
      </c>
      <c r="BF4817">
        <f>IF('01_Вводные'!$B$234="Да",'19_Расчет_аналитики'!BF4681,0)</f>
        <v/>
      </c>
      <c r="BG4817">
        <f>IF('01_Вводные'!$B$234="Да",'19_Расчет_аналитики'!BG4681,0)</f>
        <v/>
      </c>
      <c r="BH4817">
        <f>IF('01_Вводные'!$B$234="Да",'19_Расчет_аналитики'!BH4681,0)</f>
        <v/>
      </c>
      <c r="BI4817">
        <f>IF('01_Вводные'!$B$234="Да",'19_Расчет_аналитики'!BI4681,0)</f>
        <v/>
      </c>
    </row>
    <row r="4818">
      <c r="B4818">
        <f>IF('01_Вводные'!$B$234="Да",'19_Расчет_аналитики'!B4675,0)</f>
        <v/>
      </c>
      <c r="C4818">
        <f>IF('01_Вводные'!$B$234="Да",'19_Расчет_аналитики'!C4675,0)</f>
        <v/>
      </c>
      <c r="D4818">
        <f>IF('01_Вводные'!$B$234="Да",'19_Расчет_аналитики'!D4675,0)</f>
        <v/>
      </c>
      <c r="E4818">
        <f>IF('01_Вводные'!$B$234="Да",'19_Расчет_аналитики'!E4675,0)</f>
        <v/>
      </c>
      <c r="F4818">
        <f>IF('01_Вводные'!$B$234="Да",'19_Расчет_аналитики'!F4675,0)</f>
        <v/>
      </c>
      <c r="G4818">
        <f>IF('01_Вводные'!$B$234="Да",'19_Расчет_аналитики'!G4675,0)</f>
        <v/>
      </c>
      <c r="H4818">
        <f>IF('01_Вводные'!$B$234="Да",'19_Расчет_аналитики'!H4675,0)</f>
        <v/>
      </c>
      <c r="I4818">
        <f>IF('01_Вводные'!$B$234="Да",'19_Расчет_аналитики'!I4675,0)</f>
        <v/>
      </c>
      <c r="J4818">
        <f>IF('01_Вводные'!$B$234="Да",'19_Расчет_аналитики'!J4675,0)</f>
        <v/>
      </c>
      <c r="K4818">
        <f>IF('01_Вводные'!$B$234="Да",'19_Расчет_аналитики'!K4675,0)</f>
        <v/>
      </c>
      <c r="L4818">
        <f>IF('01_Вводные'!$B$234="Да",'19_Расчет_аналитики'!L4675,0)</f>
        <v/>
      </c>
      <c r="M4818">
        <f>IF('01_Вводные'!$B$234="Да",'19_Расчет_аналитики'!M4675,0)</f>
        <v/>
      </c>
      <c r="N4818">
        <f>IF('01_Вводные'!$B$234="Да",'19_Расчет_аналитики'!N4675,0)</f>
        <v/>
      </c>
      <c r="O4818">
        <f>IF('01_Вводные'!$B$234="Да",'19_Расчет_аналитики'!O4675,0)</f>
        <v/>
      </c>
      <c r="P4818">
        <f>IF('01_Вводные'!$B$234="Да",'19_Расчет_аналитики'!P4675,0)</f>
        <v/>
      </c>
      <c r="Q4818">
        <f>IF('01_Вводные'!$B$234="Да",'19_Расчет_аналитики'!Q4675,0)</f>
        <v/>
      </c>
      <c r="R4818">
        <f>IF('01_Вводные'!$B$234="Да",'19_Расчет_аналитики'!R4675,0)</f>
        <v/>
      </c>
      <c r="S4818">
        <f>IF('01_Вводные'!$B$234="Да",'19_Расчет_аналитики'!S4675,0)</f>
        <v/>
      </c>
      <c r="T4818">
        <f>IF('01_Вводные'!$B$234="Да",'19_Расчет_аналитики'!T4675,0)</f>
        <v/>
      </c>
      <c r="U4818">
        <f>IF('01_Вводные'!$B$234="Да",'19_Расчет_аналитики'!U4675,0)</f>
        <v/>
      </c>
      <c r="V4818">
        <f>IF('01_Вводные'!$B$234="Да",'19_Расчет_аналитики'!V4675,0)</f>
        <v/>
      </c>
      <c r="W4818">
        <f>IF('01_Вводные'!$B$234="Да",'19_Расчет_аналитики'!W4675,0)</f>
        <v/>
      </c>
      <c r="X4818">
        <f>IF('01_Вводные'!$B$234="Да",'19_Расчет_аналитики'!X4675,0)</f>
        <v/>
      </c>
      <c r="Y4818">
        <f>IF('01_Вводные'!$B$234="Да",'19_Расчет_аналитики'!Y4675,0)</f>
        <v/>
      </c>
      <c r="Z4818">
        <f>IF('01_Вводные'!$B$234="Да",'19_Расчет_аналитики'!Z4675,0)</f>
        <v/>
      </c>
      <c r="AA4818">
        <f>IF('01_Вводные'!$B$234="Да",'19_Расчет_аналитики'!AA4675,0)</f>
        <v/>
      </c>
      <c r="AB4818">
        <f>IF('01_Вводные'!$B$234="Да",'19_Расчет_аналитики'!AB4675,0)</f>
        <v/>
      </c>
      <c r="AC4818">
        <f>IF('01_Вводные'!$B$234="Да",'19_Расчет_аналитики'!AC4675,0)</f>
        <v/>
      </c>
      <c r="AD4818">
        <f>IF('01_Вводные'!$B$234="Да",'19_Расчет_аналитики'!AD4675,0)</f>
        <v/>
      </c>
      <c r="AE4818">
        <f>IF('01_Вводные'!$B$234="Да",'19_Расчет_аналитики'!AE4675,0)</f>
        <v/>
      </c>
      <c r="AF4818">
        <f>IF('01_Вводные'!$B$234="Да",'19_Расчет_аналитики'!AF4675,0)</f>
        <v/>
      </c>
      <c r="AG4818">
        <f>IF('01_Вводные'!$B$234="Да",'19_Расчет_аналитики'!AG4675,0)</f>
        <v/>
      </c>
      <c r="AH4818">
        <f>IF('01_Вводные'!$B$234="Да",'19_Расчет_аналитики'!AH4675,0)</f>
        <v/>
      </c>
      <c r="AI4818">
        <f>IF('01_Вводные'!$B$234="Да",'19_Расчет_аналитики'!AI4675,0)</f>
        <v/>
      </c>
      <c r="AJ4818">
        <f>IF('01_Вводные'!$B$234="Да",'19_Расчет_аналитики'!AJ4675,0)</f>
        <v/>
      </c>
      <c r="AK4818">
        <f>IF('01_Вводные'!$B$234="Да",'19_Расчет_аналитики'!AK4675,0)</f>
        <v/>
      </c>
      <c r="AL4818">
        <f>IF('01_Вводные'!$B$234="Да",'19_Расчет_аналитики'!AL4675,0)</f>
        <v/>
      </c>
      <c r="AM4818">
        <f>IF('01_Вводные'!$B$234="Да",'19_Расчет_аналитики'!AM4675,0)</f>
        <v/>
      </c>
      <c r="AN4818">
        <f>IF('01_Вводные'!$B$234="Да",'19_Расчет_аналитики'!AN4675,0)</f>
        <v/>
      </c>
      <c r="AO4818">
        <f>IF('01_Вводные'!$B$234="Да",'19_Расчет_аналитики'!AO4675,0)</f>
        <v/>
      </c>
      <c r="AP4818">
        <f>IF('01_Вводные'!$B$234="Да",'19_Расчет_аналитики'!AP4675,0)</f>
        <v/>
      </c>
      <c r="AQ4818">
        <f>IF('01_Вводные'!$B$234="Да",'19_Расчет_аналитики'!AQ4675,0)</f>
        <v/>
      </c>
      <c r="AR4818">
        <f>IF('01_Вводные'!$B$234="Да",'19_Расчет_аналитики'!AR4675,0)</f>
        <v/>
      </c>
      <c r="AS4818">
        <f>IF('01_Вводные'!$B$234="Да",'19_Расчет_аналитики'!AS4675,0)</f>
        <v/>
      </c>
      <c r="AT4818">
        <f>IF('01_Вводные'!$B$234="Да",'19_Расчет_аналитики'!AT4675,0)</f>
        <v/>
      </c>
      <c r="AU4818">
        <f>IF('01_Вводные'!$B$234="Да",'19_Расчет_аналитики'!AU4675,0)</f>
        <v/>
      </c>
      <c r="AV4818">
        <f>IF('01_Вводные'!$B$234="Да",'19_Расчет_аналитики'!AV4675,0)</f>
        <v/>
      </c>
      <c r="AW4818">
        <f>IF('01_Вводные'!$B$234="Да",'19_Расчет_аналитики'!AW4675,0)</f>
        <v/>
      </c>
      <c r="AX4818">
        <f>IF('01_Вводные'!$B$234="Да",'19_Расчет_аналитики'!AX4675,0)</f>
        <v/>
      </c>
      <c r="AY4818">
        <f>IF('01_Вводные'!$B$234="Да",'19_Расчет_аналитики'!AY4675,0)</f>
        <v/>
      </c>
      <c r="AZ4818">
        <f>IF('01_Вводные'!$B$234="Да",'19_Расчет_аналитики'!AZ4675,0)</f>
        <v/>
      </c>
      <c r="BA4818">
        <f>IF('01_Вводные'!$B$234="Да",'19_Расчет_аналитики'!BA4675,0)</f>
        <v/>
      </c>
      <c r="BB4818">
        <f>IF('01_Вводные'!$B$234="Да",'19_Расчет_аналитики'!BB4675,0)</f>
        <v/>
      </c>
      <c r="BC4818">
        <f>IF('01_Вводные'!$B$234="Да",'19_Расчет_аналитики'!BC4675,0)</f>
        <v/>
      </c>
      <c r="BD4818">
        <f>IF('01_Вводные'!$B$234="Да",'19_Расчет_аналитики'!BD4675,0)</f>
        <v/>
      </c>
      <c r="BE4818">
        <f>IF('01_Вводные'!$B$234="Да",'19_Расчет_аналитики'!BE4675,0)</f>
        <v/>
      </c>
      <c r="BF4818">
        <f>IF('01_Вводные'!$B$234="Да",'19_Расчет_аналитики'!BF4675,0)</f>
        <v/>
      </c>
      <c r="BG4818">
        <f>IF('01_Вводные'!$B$234="Да",'19_Расчет_аналитики'!BG4675,0)</f>
        <v/>
      </c>
      <c r="BH4818">
        <f>IF('01_Вводные'!$B$234="Да",'19_Расчет_аналитики'!BH4675,0)</f>
        <v/>
      </c>
      <c r="BI4818">
        <f>IF('01_Вводные'!$B$234="Да",'19_Расчет_аналитики'!BI4675,0)</f>
        <v/>
      </c>
    </row>
    <row r="4819">
      <c r="B4819">
        <f>IF('01_Вводные'!$B$234="Да",'19_Расчет_аналитики'!B4673,0)</f>
        <v/>
      </c>
      <c r="C4819">
        <f>IF('01_Вводные'!$B$234="Да",'19_Расчет_аналитики'!C4673,0)</f>
        <v/>
      </c>
      <c r="D4819">
        <f>IF('01_Вводные'!$B$234="Да",'19_Расчет_аналитики'!D4673,0)</f>
        <v/>
      </c>
      <c r="E4819">
        <f>IF('01_Вводные'!$B$234="Да",'19_Расчет_аналитики'!E4673,0)</f>
        <v/>
      </c>
      <c r="F4819">
        <f>IF('01_Вводные'!$B$234="Да",'19_Расчет_аналитики'!F4673,0)</f>
        <v/>
      </c>
      <c r="G4819">
        <f>IF('01_Вводные'!$B$234="Да",'19_Расчет_аналитики'!G4673,0)</f>
        <v/>
      </c>
      <c r="H4819">
        <f>IF('01_Вводные'!$B$234="Да",'19_Расчет_аналитики'!H4673,0)</f>
        <v/>
      </c>
      <c r="I4819">
        <f>IF('01_Вводные'!$B$234="Да",'19_Расчет_аналитики'!I4673,0)</f>
        <v/>
      </c>
      <c r="J4819">
        <f>IF('01_Вводные'!$B$234="Да",'19_Расчет_аналитики'!J4673,0)</f>
        <v/>
      </c>
      <c r="K4819">
        <f>IF('01_Вводные'!$B$234="Да",'19_Расчет_аналитики'!K4673,0)</f>
        <v/>
      </c>
      <c r="L4819">
        <f>IF('01_Вводные'!$B$234="Да",'19_Расчет_аналитики'!L4673,0)</f>
        <v/>
      </c>
      <c r="M4819">
        <f>IF('01_Вводные'!$B$234="Да",'19_Расчет_аналитики'!M4673,0)</f>
        <v/>
      </c>
      <c r="N4819">
        <f>IF('01_Вводные'!$B$234="Да",'19_Расчет_аналитики'!N4673,0)</f>
        <v/>
      </c>
      <c r="O4819">
        <f>IF('01_Вводные'!$B$234="Да",'19_Расчет_аналитики'!O4673,0)</f>
        <v/>
      </c>
      <c r="P4819">
        <f>IF('01_Вводные'!$B$234="Да",'19_Расчет_аналитики'!P4673,0)</f>
        <v/>
      </c>
      <c r="Q4819">
        <f>IF('01_Вводные'!$B$234="Да",'19_Расчет_аналитики'!Q4673,0)</f>
        <v/>
      </c>
      <c r="R4819">
        <f>IF('01_Вводные'!$B$234="Да",'19_Расчет_аналитики'!R4673,0)</f>
        <v/>
      </c>
      <c r="S4819">
        <f>IF('01_Вводные'!$B$234="Да",'19_Расчет_аналитики'!S4673,0)</f>
        <v/>
      </c>
      <c r="T4819">
        <f>IF('01_Вводные'!$B$234="Да",'19_Расчет_аналитики'!T4673,0)</f>
        <v/>
      </c>
      <c r="U4819">
        <f>IF('01_Вводные'!$B$234="Да",'19_Расчет_аналитики'!U4673,0)</f>
        <v/>
      </c>
      <c r="V4819">
        <f>IF('01_Вводные'!$B$234="Да",'19_Расчет_аналитики'!V4673,0)</f>
        <v/>
      </c>
      <c r="W4819">
        <f>IF('01_Вводные'!$B$234="Да",'19_Расчет_аналитики'!W4673,0)</f>
        <v/>
      </c>
      <c r="X4819">
        <f>IF('01_Вводные'!$B$234="Да",'19_Расчет_аналитики'!X4673,0)</f>
        <v/>
      </c>
      <c r="Y4819">
        <f>IF('01_Вводные'!$B$234="Да",'19_Расчет_аналитики'!Y4673,0)</f>
        <v/>
      </c>
      <c r="Z4819">
        <f>IF('01_Вводные'!$B$234="Да",'19_Расчет_аналитики'!Z4673,0)</f>
        <v/>
      </c>
      <c r="AA4819">
        <f>IF('01_Вводные'!$B$234="Да",'19_Расчет_аналитики'!AA4673,0)</f>
        <v/>
      </c>
      <c r="AB4819">
        <f>IF('01_Вводные'!$B$234="Да",'19_Расчет_аналитики'!AB4673,0)</f>
        <v/>
      </c>
      <c r="AC4819">
        <f>IF('01_Вводные'!$B$234="Да",'19_Расчет_аналитики'!AC4673,0)</f>
        <v/>
      </c>
      <c r="AD4819">
        <f>IF('01_Вводные'!$B$234="Да",'19_Расчет_аналитики'!AD4673,0)</f>
        <v/>
      </c>
      <c r="AE4819">
        <f>IF('01_Вводные'!$B$234="Да",'19_Расчет_аналитики'!AE4673,0)</f>
        <v/>
      </c>
      <c r="AF4819">
        <f>IF('01_Вводные'!$B$234="Да",'19_Расчет_аналитики'!AF4673,0)</f>
        <v/>
      </c>
      <c r="AG4819">
        <f>IF('01_Вводные'!$B$234="Да",'19_Расчет_аналитики'!AG4673,0)</f>
        <v/>
      </c>
      <c r="AH4819">
        <f>IF('01_Вводные'!$B$234="Да",'19_Расчет_аналитики'!AH4673,0)</f>
        <v/>
      </c>
      <c r="AI4819">
        <f>IF('01_Вводные'!$B$234="Да",'19_Расчет_аналитики'!AI4673,0)</f>
        <v/>
      </c>
      <c r="AJ4819">
        <f>IF('01_Вводные'!$B$234="Да",'19_Расчет_аналитики'!AJ4673,0)</f>
        <v/>
      </c>
      <c r="AK4819">
        <f>IF('01_Вводные'!$B$234="Да",'19_Расчет_аналитики'!AK4673,0)</f>
        <v/>
      </c>
      <c r="AL4819">
        <f>IF('01_Вводные'!$B$234="Да",'19_Расчет_аналитики'!AL4673,0)</f>
        <v/>
      </c>
      <c r="AM4819">
        <f>IF('01_Вводные'!$B$234="Да",'19_Расчет_аналитики'!AM4673,0)</f>
        <v/>
      </c>
      <c r="AN4819">
        <f>IF('01_Вводные'!$B$234="Да",'19_Расчет_аналитики'!AN4673,0)</f>
        <v/>
      </c>
      <c r="AO4819">
        <f>IF('01_Вводные'!$B$234="Да",'19_Расчет_аналитики'!AO4673,0)</f>
        <v/>
      </c>
      <c r="AP4819">
        <f>IF('01_Вводные'!$B$234="Да",'19_Расчет_аналитики'!AP4673,0)</f>
        <v/>
      </c>
      <c r="AQ4819">
        <f>IF('01_Вводные'!$B$234="Да",'19_Расчет_аналитики'!AQ4673,0)</f>
        <v/>
      </c>
      <c r="AR4819">
        <f>IF('01_Вводные'!$B$234="Да",'19_Расчет_аналитики'!AR4673,0)</f>
        <v/>
      </c>
      <c r="AS4819">
        <f>IF('01_Вводные'!$B$234="Да",'19_Расчет_аналитики'!AS4673,0)</f>
        <v/>
      </c>
      <c r="AT4819">
        <f>IF('01_Вводные'!$B$234="Да",'19_Расчет_аналитики'!AT4673,0)</f>
        <v/>
      </c>
      <c r="AU4819">
        <f>IF('01_Вводные'!$B$234="Да",'19_Расчет_аналитики'!AU4673,0)</f>
        <v/>
      </c>
      <c r="AV4819">
        <f>IF('01_Вводные'!$B$234="Да",'19_Расчет_аналитики'!AV4673,0)</f>
        <v/>
      </c>
      <c r="AW4819">
        <f>IF('01_Вводные'!$B$234="Да",'19_Расчет_аналитики'!AW4673,0)</f>
        <v/>
      </c>
      <c r="AX4819">
        <f>IF('01_Вводные'!$B$234="Да",'19_Расчет_аналитики'!AX4673,0)</f>
        <v/>
      </c>
      <c r="AY4819">
        <f>IF('01_Вводные'!$B$234="Да",'19_Расчет_аналитики'!AY4673,0)</f>
        <v/>
      </c>
      <c r="AZ4819">
        <f>IF('01_Вводные'!$B$234="Да",'19_Расчет_аналитики'!AZ4673,0)</f>
        <v/>
      </c>
      <c r="BA4819">
        <f>IF('01_Вводные'!$B$234="Да",'19_Расчет_аналитики'!BA4673,0)</f>
        <v/>
      </c>
      <c r="BB4819">
        <f>IF('01_Вводные'!$B$234="Да",'19_Расчет_аналитики'!BB4673,0)</f>
        <v/>
      </c>
      <c r="BC4819">
        <f>IF('01_Вводные'!$B$234="Да",'19_Расчет_аналитики'!BC4673,0)</f>
        <v/>
      </c>
      <c r="BD4819">
        <f>IF('01_Вводные'!$B$234="Да",'19_Расчет_аналитики'!BD4673,0)</f>
        <v/>
      </c>
      <c r="BE4819">
        <f>IF('01_Вводные'!$B$234="Да",'19_Расчет_аналитики'!BE4673,0)</f>
        <v/>
      </c>
      <c r="BF4819">
        <f>IF('01_Вводные'!$B$234="Да",'19_Расчет_аналитики'!BF4673,0)</f>
        <v/>
      </c>
      <c r="BG4819">
        <f>IF('01_Вводные'!$B$234="Да",'19_Расчет_аналитики'!BG4673,0)</f>
        <v/>
      </c>
      <c r="BH4819">
        <f>IF('01_Вводные'!$B$234="Да",'19_Расчет_аналитики'!BH4673,0)</f>
        <v/>
      </c>
      <c r="BI4819">
        <f>IF('01_Вводные'!$B$234="Да",'19_Расчет_аналитики'!BI4673,0)</f>
        <v/>
      </c>
    </row>
    <row r="4820">
      <c r="B4820">
        <f>IF('01_Вводные'!$B$234="Да",'19_Расчет_аналитики'!B4676,0)</f>
        <v/>
      </c>
      <c r="C4820">
        <f>IF('01_Вводные'!$B$234="Да",'19_Расчет_аналитики'!C4676,0)</f>
        <v/>
      </c>
      <c r="D4820">
        <f>IF('01_Вводные'!$B$234="Да",'19_Расчет_аналитики'!D4676,0)</f>
        <v/>
      </c>
      <c r="E4820">
        <f>IF('01_Вводные'!$B$234="Да",'19_Расчет_аналитики'!E4676,0)</f>
        <v/>
      </c>
      <c r="F4820">
        <f>IF('01_Вводные'!$B$234="Да",'19_Расчет_аналитики'!F4676,0)</f>
        <v/>
      </c>
      <c r="G4820">
        <f>IF('01_Вводные'!$B$234="Да",'19_Расчет_аналитики'!G4676,0)</f>
        <v/>
      </c>
      <c r="H4820">
        <f>IF('01_Вводные'!$B$234="Да",'19_Расчет_аналитики'!H4676,0)</f>
        <v/>
      </c>
      <c r="I4820">
        <f>IF('01_Вводные'!$B$234="Да",'19_Расчет_аналитики'!I4676,0)</f>
        <v/>
      </c>
      <c r="J4820">
        <f>IF('01_Вводные'!$B$234="Да",'19_Расчет_аналитики'!J4676,0)</f>
        <v/>
      </c>
      <c r="K4820">
        <f>IF('01_Вводные'!$B$234="Да",'19_Расчет_аналитики'!K4676,0)</f>
        <v/>
      </c>
      <c r="L4820">
        <f>IF('01_Вводные'!$B$234="Да",'19_Расчет_аналитики'!L4676,0)</f>
        <v/>
      </c>
      <c r="M4820">
        <f>IF('01_Вводные'!$B$234="Да",'19_Расчет_аналитики'!M4676,0)</f>
        <v/>
      </c>
      <c r="N4820">
        <f>IF('01_Вводные'!$B$234="Да",'19_Расчет_аналитики'!N4676,0)</f>
        <v/>
      </c>
      <c r="O4820">
        <f>IF('01_Вводные'!$B$234="Да",'19_Расчет_аналитики'!O4676,0)</f>
        <v/>
      </c>
      <c r="P4820">
        <f>IF('01_Вводные'!$B$234="Да",'19_Расчет_аналитики'!P4676,0)</f>
        <v/>
      </c>
      <c r="Q4820">
        <f>IF('01_Вводные'!$B$234="Да",'19_Расчет_аналитики'!Q4676,0)</f>
        <v/>
      </c>
      <c r="R4820">
        <f>IF('01_Вводные'!$B$234="Да",'19_Расчет_аналитики'!R4676,0)</f>
        <v/>
      </c>
      <c r="S4820">
        <f>IF('01_Вводные'!$B$234="Да",'19_Расчет_аналитики'!S4676,0)</f>
        <v/>
      </c>
      <c r="T4820">
        <f>IF('01_Вводные'!$B$234="Да",'19_Расчет_аналитики'!T4676,0)</f>
        <v/>
      </c>
      <c r="U4820">
        <f>IF('01_Вводные'!$B$234="Да",'19_Расчет_аналитики'!U4676,0)</f>
        <v/>
      </c>
      <c r="V4820">
        <f>IF('01_Вводные'!$B$234="Да",'19_Расчет_аналитики'!V4676,0)</f>
        <v/>
      </c>
      <c r="W4820">
        <f>IF('01_Вводные'!$B$234="Да",'19_Расчет_аналитики'!W4676,0)</f>
        <v/>
      </c>
      <c r="X4820">
        <f>IF('01_Вводные'!$B$234="Да",'19_Расчет_аналитики'!X4676,0)</f>
        <v/>
      </c>
      <c r="Y4820">
        <f>IF('01_Вводные'!$B$234="Да",'19_Расчет_аналитики'!Y4676,0)</f>
        <v/>
      </c>
      <c r="Z4820">
        <f>IF('01_Вводные'!$B$234="Да",'19_Расчет_аналитики'!Z4676,0)</f>
        <v/>
      </c>
      <c r="AA4820">
        <f>IF('01_Вводные'!$B$234="Да",'19_Расчет_аналитики'!AA4676,0)</f>
        <v/>
      </c>
      <c r="AB4820">
        <f>IF('01_Вводные'!$B$234="Да",'19_Расчет_аналитики'!AB4676,0)</f>
        <v/>
      </c>
      <c r="AC4820">
        <f>IF('01_Вводные'!$B$234="Да",'19_Расчет_аналитики'!AC4676,0)</f>
        <v/>
      </c>
      <c r="AD4820">
        <f>IF('01_Вводные'!$B$234="Да",'19_Расчет_аналитики'!AD4676,0)</f>
        <v/>
      </c>
      <c r="AE4820">
        <f>IF('01_Вводные'!$B$234="Да",'19_Расчет_аналитики'!AE4676,0)</f>
        <v/>
      </c>
      <c r="AF4820">
        <f>IF('01_Вводные'!$B$234="Да",'19_Расчет_аналитики'!AF4676,0)</f>
        <v/>
      </c>
      <c r="AG4820">
        <f>IF('01_Вводные'!$B$234="Да",'19_Расчет_аналитики'!AG4676,0)</f>
        <v/>
      </c>
      <c r="AH4820">
        <f>IF('01_Вводные'!$B$234="Да",'19_Расчет_аналитики'!AH4676,0)</f>
        <v/>
      </c>
      <c r="AI4820">
        <f>IF('01_Вводные'!$B$234="Да",'19_Расчет_аналитики'!AI4676,0)</f>
        <v/>
      </c>
      <c r="AJ4820">
        <f>IF('01_Вводные'!$B$234="Да",'19_Расчет_аналитики'!AJ4676,0)</f>
        <v/>
      </c>
      <c r="AK4820">
        <f>IF('01_Вводные'!$B$234="Да",'19_Расчет_аналитики'!AK4676,0)</f>
        <v/>
      </c>
      <c r="AL4820">
        <f>IF('01_Вводные'!$B$234="Да",'19_Расчет_аналитики'!AL4676,0)</f>
        <v/>
      </c>
      <c r="AM4820">
        <f>IF('01_Вводные'!$B$234="Да",'19_Расчет_аналитики'!AM4676,0)</f>
        <v/>
      </c>
      <c r="AN4820">
        <f>IF('01_Вводные'!$B$234="Да",'19_Расчет_аналитики'!AN4676,0)</f>
        <v/>
      </c>
      <c r="AO4820">
        <f>IF('01_Вводные'!$B$234="Да",'19_Расчет_аналитики'!AO4676,0)</f>
        <v/>
      </c>
      <c r="AP4820">
        <f>IF('01_Вводные'!$B$234="Да",'19_Расчет_аналитики'!AP4676,0)</f>
        <v/>
      </c>
      <c r="AQ4820">
        <f>IF('01_Вводные'!$B$234="Да",'19_Расчет_аналитики'!AQ4676,0)</f>
        <v/>
      </c>
      <c r="AR4820">
        <f>IF('01_Вводные'!$B$234="Да",'19_Расчет_аналитики'!AR4676,0)</f>
        <v/>
      </c>
      <c r="AS4820">
        <f>IF('01_Вводные'!$B$234="Да",'19_Расчет_аналитики'!AS4676,0)</f>
        <v/>
      </c>
      <c r="AT4820">
        <f>IF('01_Вводные'!$B$234="Да",'19_Расчет_аналитики'!AT4676,0)</f>
        <v/>
      </c>
      <c r="AU4820">
        <f>IF('01_Вводные'!$B$234="Да",'19_Расчет_аналитики'!AU4676,0)</f>
        <v/>
      </c>
      <c r="AV4820">
        <f>IF('01_Вводные'!$B$234="Да",'19_Расчет_аналитики'!AV4676,0)</f>
        <v/>
      </c>
      <c r="AW4820">
        <f>IF('01_Вводные'!$B$234="Да",'19_Расчет_аналитики'!AW4676,0)</f>
        <v/>
      </c>
      <c r="AX4820">
        <f>IF('01_Вводные'!$B$234="Да",'19_Расчет_аналитики'!AX4676,0)</f>
        <v/>
      </c>
      <c r="AY4820">
        <f>IF('01_Вводные'!$B$234="Да",'19_Расчет_аналитики'!AY4676,0)</f>
        <v/>
      </c>
      <c r="AZ4820">
        <f>IF('01_Вводные'!$B$234="Да",'19_Расчет_аналитики'!AZ4676,0)</f>
        <v/>
      </c>
      <c r="BA4820">
        <f>IF('01_Вводные'!$B$234="Да",'19_Расчет_аналитики'!BA4676,0)</f>
        <v/>
      </c>
      <c r="BB4820">
        <f>IF('01_Вводные'!$B$234="Да",'19_Расчет_аналитики'!BB4676,0)</f>
        <v/>
      </c>
      <c r="BC4820">
        <f>IF('01_Вводные'!$B$234="Да",'19_Расчет_аналитики'!BC4676,0)</f>
        <v/>
      </c>
      <c r="BD4820">
        <f>IF('01_Вводные'!$B$234="Да",'19_Расчет_аналитики'!BD4676,0)</f>
        <v/>
      </c>
      <c r="BE4820">
        <f>IF('01_Вводные'!$B$234="Да",'19_Расчет_аналитики'!BE4676,0)</f>
        <v/>
      </c>
      <c r="BF4820">
        <f>IF('01_Вводные'!$B$234="Да",'19_Расчет_аналитики'!BF4676,0)</f>
        <v/>
      </c>
      <c r="BG4820">
        <f>IF('01_Вводные'!$B$234="Да",'19_Расчет_аналитики'!BG4676,0)</f>
        <v/>
      </c>
      <c r="BH4820">
        <f>IF('01_Вводные'!$B$234="Да",'19_Расчет_аналитики'!BH4676,0)</f>
        <v/>
      </c>
      <c r="BI4820">
        <f>IF('01_Вводные'!$B$234="Да",'19_Расчет_аналитики'!BI4676,0)</f>
        <v/>
      </c>
    </row>
    <row r="4821"/>
    <row r="4822">
      <c r="B4822">
        <f>IF('01_Вводные'!$B$234="Да",0+'19_Расчет_аналитики'!B4761+'19_Расчет_аналитики'!B4762-'19_Расчет_аналитики'!B4795/(1+'01_Вводные'!$B$58),0)</f>
        <v/>
      </c>
      <c r="C4822">
        <f>IF('01_Вводные'!$B$234="Да",'19_Расчет_аналитики'!B4822+'19_Расчет_аналитики'!C4761+'19_Расчет_аналитики'!C4762-'19_Расчет_аналитики'!C4795/(1+'01_Вводные'!$B$58),0)</f>
        <v/>
      </c>
      <c r="D4822">
        <f>IF('01_Вводные'!$B$234="Да",'19_Расчет_аналитики'!C4822+'19_Расчет_аналитики'!D4761+'19_Расчет_аналитики'!D4762-'19_Расчет_аналитики'!D4795/(1+'01_Вводные'!$B$58),0)</f>
        <v/>
      </c>
      <c r="E4822">
        <f>IF('01_Вводные'!$B$234="Да",'19_Расчет_аналитики'!D4822+'19_Расчет_аналитики'!E4761+'19_Расчет_аналитики'!E4762-'19_Расчет_аналитики'!E4795/(1+'01_Вводные'!$B$58),0)</f>
        <v/>
      </c>
      <c r="F4822">
        <f>IF('01_Вводные'!$B$234="Да",'19_Расчет_аналитики'!E4822+'19_Расчет_аналитики'!F4761+'19_Расчет_аналитики'!F4762-'19_Расчет_аналитики'!F4795/(1+'01_Вводные'!$B$58),0)</f>
        <v/>
      </c>
      <c r="G4822">
        <f>IF('01_Вводные'!$B$234="Да",'19_Расчет_аналитики'!F4822+'19_Расчет_аналитики'!G4761+'19_Расчет_аналитики'!G4762-'19_Расчет_аналитики'!G4795/(1+'01_Вводные'!$B$58),0)</f>
        <v/>
      </c>
      <c r="H4822">
        <f>IF('01_Вводные'!$B$234="Да",'19_Расчет_аналитики'!G4822+'19_Расчет_аналитики'!H4761+'19_Расчет_аналитики'!H4762-'19_Расчет_аналитики'!H4795/(1+'01_Вводные'!$B$58),0)</f>
        <v/>
      </c>
      <c r="I4822">
        <f>IF('01_Вводные'!$B$234="Да",'19_Расчет_аналитики'!H4822+'19_Расчет_аналитики'!I4761+'19_Расчет_аналитики'!I4762-'19_Расчет_аналитики'!I4795/(1+'01_Вводные'!$B$58),0)</f>
        <v/>
      </c>
      <c r="J4822">
        <f>IF('01_Вводные'!$B$234="Да",'19_Расчет_аналитики'!I4822+'19_Расчет_аналитики'!J4761+'19_Расчет_аналитики'!J4762-'19_Расчет_аналитики'!J4795/(1+'01_Вводные'!$B$58),0)</f>
        <v/>
      </c>
      <c r="K4822">
        <f>IF('01_Вводные'!$B$234="Да",'19_Расчет_аналитики'!J4822+'19_Расчет_аналитики'!K4761+'19_Расчет_аналитики'!K4762-'19_Расчет_аналитики'!K4795/(1+'01_Вводные'!$B$58),0)</f>
        <v/>
      </c>
      <c r="L4822">
        <f>IF('01_Вводные'!$B$234="Да",'19_Расчет_аналитики'!K4822+'19_Расчет_аналитики'!L4761+'19_Расчет_аналитики'!L4762-'19_Расчет_аналитики'!L4795/(1+'01_Вводные'!$B$58),0)</f>
        <v/>
      </c>
      <c r="M4822">
        <f>IF('01_Вводные'!$B$234="Да",'19_Расчет_аналитики'!L4822+'19_Расчет_аналитики'!M4761+'19_Расчет_аналитики'!M4762-'19_Расчет_аналитики'!M4795/(1+'01_Вводные'!$B$58),0)</f>
        <v/>
      </c>
      <c r="N4822">
        <f>IF('01_Вводные'!$B$234="Да",'19_Расчет_аналитики'!M4822+'19_Расчет_аналитики'!N4761+'19_Расчет_аналитики'!N4762-'19_Расчет_аналитики'!N4795/(1+'01_Вводные'!$B$58),0)</f>
        <v/>
      </c>
      <c r="O4822">
        <f>IF('01_Вводные'!$B$234="Да",'19_Расчет_аналитики'!N4822+'19_Расчет_аналитики'!O4761+'19_Расчет_аналитики'!O4762-'19_Расчет_аналитики'!O4795/(1+'01_Вводные'!$B$58),0)</f>
        <v/>
      </c>
      <c r="P4822">
        <f>IF('01_Вводные'!$B$234="Да",'19_Расчет_аналитики'!O4822+'19_Расчет_аналитики'!P4761+'19_Расчет_аналитики'!P4762-'19_Расчет_аналитики'!P4795/(1+'01_Вводные'!$B$58),0)</f>
        <v/>
      </c>
      <c r="Q4822">
        <f>IF('01_Вводные'!$B$234="Да",'19_Расчет_аналитики'!P4822+'19_Расчет_аналитики'!Q4761+'19_Расчет_аналитики'!Q4762-'19_Расчет_аналитики'!Q4795/(1+'01_Вводные'!$B$58),0)</f>
        <v/>
      </c>
      <c r="R4822">
        <f>IF('01_Вводные'!$B$234="Да",'19_Расчет_аналитики'!Q4822+'19_Расчет_аналитики'!R4761+'19_Расчет_аналитики'!R4762-'19_Расчет_аналитики'!R4795/(1+'01_Вводные'!$B$58),0)</f>
        <v/>
      </c>
      <c r="S4822">
        <f>IF('01_Вводные'!$B$234="Да",'19_Расчет_аналитики'!R4822+'19_Расчет_аналитики'!S4761+'19_Расчет_аналитики'!S4762-'19_Расчет_аналитики'!S4795/(1+'01_Вводные'!$B$58),0)</f>
        <v/>
      </c>
      <c r="T4822">
        <f>IF('01_Вводные'!$B$234="Да",'19_Расчет_аналитики'!S4822+'19_Расчет_аналитики'!T4761+'19_Расчет_аналитики'!T4762-'19_Расчет_аналитики'!T4795/(1+'01_Вводные'!$B$58),0)</f>
        <v/>
      </c>
      <c r="U4822">
        <f>IF('01_Вводные'!$B$234="Да",'19_Расчет_аналитики'!T4822+'19_Расчет_аналитики'!U4761+'19_Расчет_аналитики'!U4762-'19_Расчет_аналитики'!U4795/(1+'01_Вводные'!$B$58),0)</f>
        <v/>
      </c>
      <c r="V4822">
        <f>IF('01_Вводные'!$B$234="Да",'19_Расчет_аналитики'!U4822+'19_Расчет_аналитики'!V4761+'19_Расчет_аналитики'!V4762-'19_Расчет_аналитики'!V4795/(1+'01_Вводные'!$B$58),0)</f>
        <v/>
      </c>
      <c r="W4822">
        <f>IF('01_Вводные'!$B$234="Да",'19_Расчет_аналитики'!V4822+'19_Расчет_аналитики'!W4761+'19_Расчет_аналитики'!W4762-'19_Расчет_аналитики'!W4795/(1+'01_Вводные'!$B$58),0)</f>
        <v/>
      </c>
      <c r="X4822">
        <f>IF('01_Вводные'!$B$234="Да",'19_Расчет_аналитики'!W4822+'19_Расчет_аналитики'!X4761+'19_Расчет_аналитики'!X4762-'19_Расчет_аналитики'!X4795/(1+'01_Вводные'!$B$58),0)</f>
        <v/>
      </c>
      <c r="Y4822">
        <f>IF('01_Вводные'!$B$234="Да",'19_Расчет_аналитики'!X4822+'19_Расчет_аналитики'!Y4761+'19_Расчет_аналитики'!Y4762-'19_Расчет_аналитики'!Y4795/(1+'01_Вводные'!$B$58),0)</f>
        <v/>
      </c>
      <c r="Z4822">
        <f>IF('01_Вводные'!$B$234="Да",'19_Расчет_аналитики'!Y4822+'19_Расчет_аналитики'!Z4761+'19_Расчет_аналитики'!Z4762-'19_Расчет_аналитики'!Z4795/(1+'01_Вводные'!$B$58),0)</f>
        <v/>
      </c>
      <c r="AA4822">
        <f>IF('01_Вводные'!$B$234="Да",'19_Расчет_аналитики'!Z4822+'19_Расчет_аналитики'!AA4761+'19_Расчет_аналитики'!AA4762-'19_Расчет_аналитики'!AA4795/(1+'01_Вводные'!$B$58),0)</f>
        <v/>
      </c>
      <c r="AB4822">
        <f>IF('01_Вводные'!$B$234="Да",'19_Расчет_аналитики'!AA4822+'19_Расчет_аналитики'!AB4761+'19_Расчет_аналитики'!AB4762-'19_Расчет_аналитики'!AB4795/(1+'01_Вводные'!$B$58),0)</f>
        <v/>
      </c>
      <c r="AC4822">
        <f>IF('01_Вводные'!$B$234="Да",'19_Расчет_аналитики'!AB4822+'19_Расчет_аналитики'!AC4761+'19_Расчет_аналитики'!AC4762-'19_Расчет_аналитики'!AC4795/(1+'01_Вводные'!$B$58),0)</f>
        <v/>
      </c>
      <c r="AD4822">
        <f>IF('01_Вводные'!$B$234="Да",'19_Расчет_аналитики'!AC4822+'19_Расчет_аналитики'!AD4761+'19_Расчет_аналитики'!AD4762-'19_Расчет_аналитики'!AD4795/(1+'01_Вводные'!$B$58),0)</f>
        <v/>
      </c>
      <c r="AE4822">
        <f>IF('01_Вводные'!$B$234="Да",'19_Расчет_аналитики'!AD4822+'19_Расчет_аналитики'!AE4761+'19_Расчет_аналитики'!AE4762-'19_Расчет_аналитики'!AE4795/(1+'01_Вводные'!$B$58),0)</f>
        <v/>
      </c>
      <c r="AF4822">
        <f>IF('01_Вводные'!$B$234="Да",'19_Расчет_аналитики'!AE4822+'19_Расчет_аналитики'!AF4761+'19_Расчет_аналитики'!AF4762-'19_Расчет_аналитики'!AF4795/(1+'01_Вводные'!$B$58),0)</f>
        <v/>
      </c>
      <c r="AG4822">
        <f>IF('01_Вводные'!$B$234="Да",'19_Расчет_аналитики'!AF4822+'19_Расчет_аналитики'!AG4761+'19_Расчет_аналитики'!AG4762-'19_Расчет_аналитики'!AG4795/(1+'01_Вводные'!$B$58),0)</f>
        <v/>
      </c>
      <c r="AH4822">
        <f>IF('01_Вводные'!$B$234="Да",'19_Расчет_аналитики'!AG4822+'19_Расчет_аналитики'!AH4761+'19_Расчет_аналитики'!AH4762-'19_Расчет_аналитики'!AH4795/(1+'01_Вводные'!$B$58),0)</f>
        <v/>
      </c>
      <c r="AI4822">
        <f>IF('01_Вводные'!$B$234="Да",'19_Расчет_аналитики'!AH4822+'19_Расчет_аналитики'!AI4761+'19_Расчет_аналитики'!AI4762-'19_Расчет_аналитики'!AI4795/(1+'01_Вводные'!$B$58),0)</f>
        <v/>
      </c>
      <c r="AJ4822">
        <f>IF('01_Вводные'!$B$234="Да",'19_Расчет_аналитики'!AI4822+'19_Расчет_аналитики'!AJ4761+'19_Расчет_аналитики'!AJ4762-'19_Расчет_аналитики'!AJ4795/(1+'01_Вводные'!$B$58),0)</f>
        <v/>
      </c>
      <c r="AK4822">
        <f>IF('01_Вводные'!$B$234="Да",'19_Расчет_аналитики'!AJ4822+'19_Расчет_аналитики'!AK4761+'19_Расчет_аналитики'!AK4762-'19_Расчет_аналитики'!AK4795/(1+'01_Вводные'!$B$58),0)</f>
        <v/>
      </c>
      <c r="AL4822">
        <f>IF('01_Вводные'!$B$234="Да",'19_Расчет_аналитики'!AK4822+'19_Расчет_аналитики'!AL4761+'19_Расчет_аналитики'!AL4762-'19_Расчет_аналитики'!AL4795/(1+'01_Вводные'!$B$58),0)</f>
        <v/>
      </c>
      <c r="AM4822">
        <f>IF('01_Вводные'!$B$234="Да",'19_Расчет_аналитики'!AL4822+'19_Расчет_аналитики'!AM4761+'19_Расчет_аналитики'!AM4762-'19_Расчет_аналитики'!AM4795/(1+'01_Вводные'!$B$58),0)</f>
        <v/>
      </c>
      <c r="AN4822">
        <f>IF('01_Вводные'!$B$234="Да",'19_Расчет_аналитики'!AM4822+'19_Расчет_аналитики'!AN4761+'19_Расчет_аналитики'!AN4762-'19_Расчет_аналитики'!AN4795/(1+'01_Вводные'!$B$58),0)</f>
        <v/>
      </c>
      <c r="AO4822">
        <f>IF('01_Вводные'!$B$234="Да",'19_Расчет_аналитики'!AN4822+'19_Расчет_аналитики'!AO4761+'19_Расчет_аналитики'!AO4762-'19_Расчет_аналитики'!AO4795/(1+'01_Вводные'!$B$58),0)</f>
        <v/>
      </c>
      <c r="AP4822">
        <f>IF('01_Вводные'!$B$234="Да",'19_Расчет_аналитики'!AO4822+'19_Расчет_аналитики'!AP4761+'19_Расчет_аналитики'!AP4762-'19_Расчет_аналитики'!AP4795/(1+'01_Вводные'!$B$58),0)</f>
        <v/>
      </c>
      <c r="AQ4822">
        <f>IF('01_Вводные'!$B$234="Да",'19_Расчет_аналитики'!AP4822+'19_Расчет_аналитики'!AQ4761+'19_Расчет_аналитики'!AQ4762-'19_Расчет_аналитики'!AQ4795/(1+'01_Вводные'!$B$58),0)</f>
        <v/>
      </c>
      <c r="AR4822">
        <f>IF('01_Вводные'!$B$234="Да",'19_Расчет_аналитики'!AQ4822+'19_Расчет_аналитики'!AR4761+'19_Расчет_аналитики'!AR4762-'19_Расчет_аналитики'!AR4795/(1+'01_Вводные'!$B$58),0)</f>
        <v/>
      </c>
      <c r="AS4822">
        <f>IF('01_Вводные'!$B$234="Да",'19_Расчет_аналитики'!AR4822+'19_Расчет_аналитики'!AS4761+'19_Расчет_аналитики'!AS4762-'19_Расчет_аналитики'!AS4795/(1+'01_Вводные'!$B$58),0)</f>
        <v/>
      </c>
      <c r="AT4822">
        <f>IF('01_Вводные'!$B$234="Да",'19_Расчет_аналитики'!AS4822+'19_Расчет_аналитики'!AT4761+'19_Расчет_аналитики'!AT4762-'19_Расчет_аналитики'!AT4795/(1+'01_Вводные'!$B$58),0)</f>
        <v/>
      </c>
      <c r="AU4822">
        <f>IF('01_Вводные'!$B$234="Да",'19_Расчет_аналитики'!AT4822+'19_Расчет_аналитики'!AU4761+'19_Расчет_аналитики'!AU4762-'19_Расчет_аналитики'!AU4795/(1+'01_Вводные'!$B$58),0)</f>
        <v/>
      </c>
      <c r="AV4822">
        <f>IF('01_Вводные'!$B$234="Да",'19_Расчет_аналитики'!AU4822+'19_Расчет_аналитики'!AV4761+'19_Расчет_аналитики'!AV4762-'19_Расчет_аналитики'!AV4795/(1+'01_Вводные'!$B$58),0)</f>
        <v/>
      </c>
      <c r="AW4822">
        <f>IF('01_Вводные'!$B$234="Да",'19_Расчет_аналитики'!AV4822+'19_Расчет_аналитики'!AW4761+'19_Расчет_аналитики'!AW4762-'19_Расчет_аналитики'!AW4795/(1+'01_Вводные'!$B$58),0)</f>
        <v/>
      </c>
      <c r="AX4822">
        <f>IF('01_Вводные'!$B$234="Да",'19_Расчет_аналитики'!AW4822+'19_Расчет_аналитики'!AX4761+'19_Расчет_аналитики'!AX4762-'19_Расчет_аналитики'!AX4795/(1+'01_Вводные'!$B$58),0)</f>
        <v/>
      </c>
      <c r="AY4822">
        <f>IF('01_Вводные'!$B$234="Да",'19_Расчет_аналитики'!AX4822+'19_Расчет_аналитики'!AY4761+'19_Расчет_аналитики'!AY4762-'19_Расчет_аналитики'!AY4795/(1+'01_Вводные'!$B$58),0)</f>
        <v/>
      </c>
      <c r="AZ4822">
        <f>IF('01_Вводные'!$B$234="Да",'19_Расчет_аналитики'!AY4822+'19_Расчет_аналитики'!AZ4761+'19_Расчет_аналитики'!AZ4762-'19_Расчет_аналитики'!AZ4795/(1+'01_Вводные'!$B$58),0)</f>
        <v/>
      </c>
      <c r="BA4822">
        <f>IF('01_Вводные'!$B$234="Да",'19_Расчет_аналитики'!AZ4822+'19_Расчет_аналитики'!BA4761+'19_Расчет_аналитики'!BA4762-'19_Расчет_аналитики'!BA4795/(1+'01_Вводные'!$B$58),0)</f>
        <v/>
      </c>
      <c r="BB4822">
        <f>IF('01_Вводные'!$B$234="Да",'19_Расчет_аналитики'!BA4822+'19_Расчет_аналитики'!BB4761+'19_Расчет_аналитики'!BB4762-'19_Расчет_аналитики'!BB4795/(1+'01_Вводные'!$B$58),0)</f>
        <v/>
      </c>
      <c r="BC4822">
        <f>IF('01_Вводные'!$B$234="Да",'19_Расчет_аналитики'!BB4822+'19_Расчет_аналитики'!BC4761+'19_Расчет_аналитики'!BC4762-'19_Расчет_аналитики'!BC4795/(1+'01_Вводные'!$B$58),0)</f>
        <v/>
      </c>
      <c r="BD4822">
        <f>IF('01_Вводные'!$B$234="Да",'19_Расчет_аналитики'!BC4822+'19_Расчет_аналитики'!BD4761+'19_Расчет_аналитики'!BD4762-'19_Расчет_аналитики'!BD4795/(1+'01_Вводные'!$B$58),0)</f>
        <v/>
      </c>
      <c r="BE4822">
        <f>IF('01_Вводные'!$B$234="Да",'19_Расчет_аналитики'!BD4822+'19_Расчет_аналитики'!BE4761+'19_Расчет_аналитики'!BE4762-'19_Расчет_аналитики'!BE4795/(1+'01_Вводные'!$B$58),0)</f>
        <v/>
      </c>
      <c r="BF4822">
        <f>IF('01_Вводные'!$B$234="Да",'19_Расчет_аналитики'!BE4822+'19_Расчет_аналитики'!BF4761+'19_Расчет_аналитики'!BF4762-'19_Расчет_аналитики'!BF4795/(1+'01_Вводные'!$B$58),0)</f>
        <v/>
      </c>
      <c r="BG4822">
        <f>IF('01_Вводные'!$B$234="Да",'19_Расчет_аналитики'!BF4822+'19_Расчет_аналитики'!BG4761+'19_Расчет_аналитики'!BG4762-'19_Расчет_аналитики'!BG4795/(1+'01_Вводные'!$B$58),0)</f>
        <v/>
      </c>
      <c r="BH4822">
        <f>IF('01_Вводные'!$B$234="Да",'19_Расчет_аналитики'!BG4822+'19_Расчет_аналитики'!BH4761+'19_Расчет_аналитики'!BH4762-'19_Расчет_аналитики'!BH4795/(1+'01_Вводные'!$B$58),0)</f>
        <v/>
      </c>
      <c r="BI4822">
        <f>IF('01_Вводные'!$B$234="Да",'19_Расчет_аналитики'!BH4822+'19_Расчет_аналитики'!BI4761+'19_Расчет_аналитики'!BI4762-'19_Расчет_аналитики'!BI4795/(1+'01_Вводные'!$B$58),0)</f>
        <v/>
      </c>
    </row>
    <row r="4823">
      <c r="B4823">
        <f>IF('01_Вводные'!$B$234="Да",0+SUM('19_Расчет_аналитики'!B4779:B4784)+'19_Расчет_аналитики'!B4674-'19_Расчет_аналитики'!B4801,0)</f>
        <v/>
      </c>
      <c r="C4823">
        <f>IF('01_Вводные'!$B$234="Да",'19_Расчет_аналитики'!B4823+SUM('19_Расчет_аналитики'!C4779:C4784)+'19_Расчет_аналитики'!C4674-'19_Расчет_аналитики'!C4801,0)</f>
        <v/>
      </c>
      <c r="D4823">
        <f>IF('01_Вводные'!$B$234="Да",'19_Расчет_аналитики'!C4823+SUM('19_Расчет_аналитики'!D4779:D4784)+'19_Расчет_аналитики'!D4674-'19_Расчет_аналитики'!D4801,0)</f>
        <v/>
      </c>
      <c r="E4823">
        <f>IF('01_Вводные'!$B$234="Да",'19_Расчет_аналитики'!D4823+SUM('19_Расчет_аналитики'!E4779:E4784)+'19_Расчет_аналитики'!E4674-'19_Расчет_аналитики'!E4801,0)</f>
        <v/>
      </c>
      <c r="F4823">
        <f>IF('01_Вводные'!$B$234="Да",'19_Расчет_аналитики'!E4823+SUM('19_Расчет_аналитики'!F4779:F4784)+'19_Расчет_аналитики'!F4674-'19_Расчет_аналитики'!F4801,0)</f>
        <v/>
      </c>
      <c r="G4823">
        <f>IF('01_Вводные'!$B$234="Да",'19_Расчет_аналитики'!F4823+SUM('19_Расчет_аналитики'!G4779:G4784)+'19_Расчет_аналитики'!G4674-'19_Расчет_аналитики'!G4801,0)</f>
        <v/>
      </c>
      <c r="H4823">
        <f>IF('01_Вводные'!$B$234="Да",'19_Расчет_аналитики'!G4823+SUM('19_Расчет_аналитики'!H4779:H4784)+'19_Расчет_аналитики'!H4674-'19_Расчет_аналитики'!H4801,0)</f>
        <v/>
      </c>
      <c r="I4823">
        <f>IF('01_Вводные'!$B$234="Да",'19_Расчет_аналитики'!H4823+SUM('19_Расчет_аналитики'!I4779:I4784)+'19_Расчет_аналитики'!I4674-'19_Расчет_аналитики'!I4801,0)</f>
        <v/>
      </c>
      <c r="J4823">
        <f>IF('01_Вводные'!$B$234="Да",'19_Расчет_аналитики'!I4823+SUM('19_Расчет_аналитики'!J4779:J4784)+'19_Расчет_аналитики'!J4674-'19_Расчет_аналитики'!J4801,0)</f>
        <v/>
      </c>
      <c r="K4823">
        <f>IF('01_Вводные'!$B$234="Да",'19_Расчет_аналитики'!J4823+SUM('19_Расчет_аналитики'!K4779:K4784)+'19_Расчет_аналитики'!K4674-'19_Расчет_аналитики'!K4801,0)</f>
        <v/>
      </c>
      <c r="L4823">
        <f>IF('01_Вводные'!$B$234="Да",'19_Расчет_аналитики'!K4823+SUM('19_Расчет_аналитики'!L4779:L4784)+'19_Расчет_аналитики'!L4674-'19_Расчет_аналитики'!L4801,0)</f>
        <v/>
      </c>
      <c r="M4823">
        <f>IF('01_Вводные'!$B$234="Да",'19_Расчет_аналитики'!L4823+SUM('19_Расчет_аналитики'!M4779:M4784)+'19_Расчет_аналитики'!M4674-'19_Расчет_аналитики'!M4801,0)</f>
        <v/>
      </c>
      <c r="N4823">
        <f>IF('01_Вводные'!$B$234="Да",'19_Расчет_аналитики'!M4823+SUM('19_Расчет_аналитики'!N4779:N4784)+'19_Расчет_аналитики'!N4674-'19_Расчет_аналитики'!N4801,0)</f>
        <v/>
      </c>
      <c r="O4823">
        <f>IF('01_Вводные'!$B$234="Да",'19_Расчет_аналитики'!N4823+SUM('19_Расчет_аналитики'!O4779:O4784)+'19_Расчет_аналитики'!O4674-'19_Расчет_аналитики'!O4801,0)</f>
        <v/>
      </c>
      <c r="P4823">
        <f>IF('01_Вводные'!$B$234="Да",'19_Расчет_аналитики'!O4823+SUM('19_Расчет_аналитики'!P4779:P4784)+'19_Расчет_аналитики'!P4674-'19_Расчет_аналитики'!P4801,0)</f>
        <v/>
      </c>
      <c r="Q4823">
        <f>IF('01_Вводные'!$B$234="Да",'19_Расчет_аналитики'!P4823+SUM('19_Расчет_аналитики'!Q4779:Q4784)+'19_Расчет_аналитики'!Q4674-'19_Расчет_аналитики'!Q4801,0)</f>
        <v/>
      </c>
      <c r="R4823">
        <f>IF('01_Вводные'!$B$234="Да",'19_Расчет_аналитики'!Q4823+SUM('19_Расчет_аналитики'!R4779:R4784)+'19_Расчет_аналитики'!R4674-'19_Расчет_аналитики'!R4801,0)</f>
        <v/>
      </c>
      <c r="S4823">
        <f>IF('01_Вводные'!$B$234="Да",'19_Расчет_аналитики'!R4823+SUM('19_Расчет_аналитики'!S4779:S4784)+'19_Расчет_аналитики'!S4674-'19_Расчет_аналитики'!S4801,0)</f>
        <v/>
      </c>
      <c r="T4823">
        <f>IF('01_Вводные'!$B$234="Да",'19_Расчет_аналитики'!S4823+SUM('19_Расчет_аналитики'!T4779:T4784)+'19_Расчет_аналитики'!T4674-'19_Расчет_аналитики'!T4801,0)</f>
        <v/>
      </c>
      <c r="U4823">
        <f>IF('01_Вводные'!$B$234="Да",'19_Расчет_аналитики'!T4823+SUM('19_Расчет_аналитики'!U4779:U4784)+'19_Расчет_аналитики'!U4674-'19_Расчет_аналитики'!U4801,0)</f>
        <v/>
      </c>
      <c r="V4823">
        <f>IF('01_Вводные'!$B$234="Да",'19_Расчет_аналитики'!U4823+SUM('19_Расчет_аналитики'!V4779:V4784)+'19_Расчет_аналитики'!V4674-'19_Расчет_аналитики'!V4801,0)</f>
        <v/>
      </c>
      <c r="W4823">
        <f>IF('01_Вводные'!$B$234="Да",'19_Расчет_аналитики'!V4823+SUM('19_Расчет_аналитики'!W4779:W4784)+'19_Расчет_аналитики'!W4674-'19_Расчет_аналитики'!W4801,0)</f>
        <v/>
      </c>
      <c r="X4823">
        <f>IF('01_Вводные'!$B$234="Да",'19_Расчет_аналитики'!W4823+SUM('19_Расчет_аналитики'!X4779:X4784)+'19_Расчет_аналитики'!X4674-'19_Расчет_аналитики'!X4801,0)</f>
        <v/>
      </c>
      <c r="Y4823">
        <f>IF('01_Вводные'!$B$234="Да",'19_Расчет_аналитики'!X4823+SUM('19_Расчет_аналитики'!Y4779:Y4784)+'19_Расчет_аналитики'!Y4674-'19_Расчет_аналитики'!Y4801,0)</f>
        <v/>
      </c>
      <c r="Z4823">
        <f>IF('01_Вводные'!$B$234="Да",'19_Расчет_аналитики'!Y4823+SUM('19_Расчет_аналитики'!Z4779:Z4784)+'19_Расчет_аналитики'!Z4674-'19_Расчет_аналитики'!Z4801,0)</f>
        <v/>
      </c>
      <c r="AA4823">
        <f>IF('01_Вводные'!$B$234="Да",'19_Расчет_аналитики'!Z4823+SUM('19_Расчет_аналитики'!AA4779:AA4784)+'19_Расчет_аналитики'!AA4674-'19_Расчет_аналитики'!AA4801,0)</f>
        <v/>
      </c>
      <c r="AB4823">
        <f>IF('01_Вводные'!$B$234="Да",'19_Расчет_аналитики'!AA4823+SUM('19_Расчет_аналитики'!AB4779:AB4784)+'19_Расчет_аналитики'!AB4674-'19_Расчет_аналитики'!AB4801,0)</f>
        <v/>
      </c>
      <c r="AC4823">
        <f>IF('01_Вводные'!$B$234="Да",'19_Расчет_аналитики'!AB4823+SUM('19_Расчет_аналитики'!AC4779:AC4784)+'19_Расчет_аналитики'!AC4674-'19_Расчет_аналитики'!AC4801,0)</f>
        <v/>
      </c>
      <c r="AD4823">
        <f>IF('01_Вводные'!$B$234="Да",'19_Расчет_аналитики'!AC4823+SUM('19_Расчет_аналитики'!AD4779:AD4784)+'19_Расчет_аналитики'!AD4674-'19_Расчет_аналитики'!AD4801,0)</f>
        <v/>
      </c>
      <c r="AE4823">
        <f>IF('01_Вводные'!$B$234="Да",'19_Расчет_аналитики'!AD4823+SUM('19_Расчет_аналитики'!AE4779:AE4784)+'19_Расчет_аналитики'!AE4674-'19_Расчет_аналитики'!AE4801,0)</f>
        <v/>
      </c>
      <c r="AF4823">
        <f>IF('01_Вводные'!$B$234="Да",'19_Расчет_аналитики'!AE4823+SUM('19_Расчет_аналитики'!AF4779:AF4784)+'19_Расчет_аналитики'!AF4674-'19_Расчет_аналитики'!AF4801,0)</f>
        <v/>
      </c>
      <c r="AG4823">
        <f>IF('01_Вводные'!$B$234="Да",'19_Расчет_аналитики'!AF4823+SUM('19_Расчет_аналитики'!AG4779:AG4784)+'19_Расчет_аналитики'!AG4674-'19_Расчет_аналитики'!AG4801,0)</f>
        <v/>
      </c>
      <c r="AH4823">
        <f>IF('01_Вводные'!$B$234="Да",'19_Расчет_аналитики'!AG4823+SUM('19_Расчет_аналитики'!AH4779:AH4784)+'19_Расчет_аналитики'!AH4674-'19_Расчет_аналитики'!AH4801,0)</f>
        <v/>
      </c>
      <c r="AI4823">
        <f>IF('01_Вводные'!$B$234="Да",'19_Расчет_аналитики'!AH4823+SUM('19_Расчет_аналитики'!AI4779:AI4784)+'19_Расчет_аналитики'!AI4674-'19_Расчет_аналитики'!AI4801,0)</f>
        <v/>
      </c>
      <c r="AJ4823">
        <f>IF('01_Вводные'!$B$234="Да",'19_Расчет_аналитики'!AI4823+SUM('19_Расчет_аналитики'!AJ4779:AJ4784)+'19_Расчет_аналитики'!AJ4674-'19_Расчет_аналитики'!AJ4801,0)</f>
        <v/>
      </c>
      <c r="AK4823">
        <f>IF('01_Вводные'!$B$234="Да",'19_Расчет_аналитики'!AJ4823+SUM('19_Расчет_аналитики'!AK4779:AK4784)+'19_Расчет_аналитики'!AK4674-'19_Расчет_аналитики'!AK4801,0)</f>
        <v/>
      </c>
      <c r="AL4823">
        <f>IF('01_Вводные'!$B$234="Да",'19_Расчет_аналитики'!AK4823+SUM('19_Расчет_аналитики'!AL4779:AL4784)+'19_Расчет_аналитики'!AL4674-'19_Расчет_аналитики'!AL4801,0)</f>
        <v/>
      </c>
      <c r="AM4823">
        <f>IF('01_Вводные'!$B$234="Да",'19_Расчет_аналитики'!AL4823+SUM('19_Расчет_аналитики'!AM4779:AM4784)+'19_Расчет_аналитики'!AM4674-'19_Расчет_аналитики'!AM4801,0)</f>
        <v/>
      </c>
      <c r="AN4823">
        <f>IF('01_Вводные'!$B$234="Да",'19_Расчет_аналитики'!AM4823+SUM('19_Расчет_аналитики'!AN4779:AN4784)+'19_Расчет_аналитики'!AN4674-'19_Расчет_аналитики'!AN4801,0)</f>
        <v/>
      </c>
      <c r="AO4823">
        <f>IF('01_Вводные'!$B$234="Да",'19_Расчет_аналитики'!AN4823+SUM('19_Расчет_аналитики'!AO4779:AO4784)+'19_Расчет_аналитики'!AO4674-'19_Расчет_аналитики'!AO4801,0)</f>
        <v/>
      </c>
      <c r="AP4823">
        <f>IF('01_Вводные'!$B$234="Да",'19_Расчет_аналитики'!AO4823+SUM('19_Расчет_аналитики'!AP4779:AP4784)+'19_Расчет_аналитики'!AP4674-'19_Расчет_аналитики'!AP4801,0)</f>
        <v/>
      </c>
      <c r="AQ4823">
        <f>IF('01_Вводные'!$B$234="Да",'19_Расчет_аналитики'!AP4823+SUM('19_Расчет_аналитики'!AQ4779:AQ4784)+'19_Расчет_аналитики'!AQ4674-'19_Расчет_аналитики'!AQ4801,0)</f>
        <v/>
      </c>
      <c r="AR4823">
        <f>IF('01_Вводные'!$B$234="Да",'19_Расчет_аналитики'!AQ4823+SUM('19_Расчет_аналитики'!AR4779:AR4784)+'19_Расчет_аналитики'!AR4674-'19_Расчет_аналитики'!AR4801,0)</f>
        <v/>
      </c>
      <c r="AS4823">
        <f>IF('01_Вводные'!$B$234="Да",'19_Расчет_аналитики'!AR4823+SUM('19_Расчет_аналитики'!AS4779:AS4784)+'19_Расчет_аналитики'!AS4674-'19_Расчет_аналитики'!AS4801,0)</f>
        <v/>
      </c>
      <c r="AT4823">
        <f>IF('01_Вводные'!$B$234="Да",'19_Расчет_аналитики'!AS4823+SUM('19_Расчет_аналитики'!AT4779:AT4784)+'19_Расчет_аналитики'!AT4674-'19_Расчет_аналитики'!AT4801,0)</f>
        <v/>
      </c>
      <c r="AU4823">
        <f>IF('01_Вводные'!$B$234="Да",'19_Расчет_аналитики'!AT4823+SUM('19_Расчет_аналитики'!AU4779:AU4784)+'19_Расчет_аналитики'!AU4674-'19_Расчет_аналитики'!AU4801,0)</f>
        <v/>
      </c>
      <c r="AV4823">
        <f>IF('01_Вводные'!$B$234="Да",'19_Расчет_аналитики'!AU4823+SUM('19_Расчет_аналитики'!AV4779:AV4784)+'19_Расчет_аналитики'!AV4674-'19_Расчет_аналитики'!AV4801,0)</f>
        <v/>
      </c>
      <c r="AW4823">
        <f>IF('01_Вводные'!$B$234="Да",'19_Расчет_аналитики'!AV4823+SUM('19_Расчет_аналитики'!AW4779:AW4784)+'19_Расчет_аналитики'!AW4674-'19_Расчет_аналитики'!AW4801,0)</f>
        <v/>
      </c>
      <c r="AX4823">
        <f>IF('01_Вводные'!$B$234="Да",'19_Расчет_аналитики'!AW4823+SUM('19_Расчет_аналитики'!AX4779:AX4784)+'19_Расчет_аналитики'!AX4674-'19_Расчет_аналитики'!AX4801,0)</f>
        <v/>
      </c>
      <c r="AY4823">
        <f>IF('01_Вводные'!$B$234="Да",'19_Расчет_аналитики'!AX4823+SUM('19_Расчет_аналитики'!AY4779:AY4784)+'19_Расчет_аналитики'!AY4674-'19_Расчет_аналитики'!AY4801,0)</f>
        <v/>
      </c>
      <c r="AZ4823">
        <f>IF('01_Вводные'!$B$234="Да",'19_Расчет_аналитики'!AY4823+SUM('19_Расчет_аналитики'!AZ4779:AZ4784)+'19_Расчет_аналитики'!AZ4674-'19_Расчет_аналитики'!AZ4801,0)</f>
        <v/>
      </c>
      <c r="BA4823">
        <f>IF('01_Вводные'!$B$234="Да",'19_Расчет_аналитики'!AZ4823+SUM('19_Расчет_аналитики'!BA4779:BA4784)+'19_Расчет_аналитики'!BA4674-'19_Расчет_аналитики'!BA4801,0)</f>
        <v/>
      </c>
      <c r="BB4823">
        <f>IF('01_Вводные'!$B$234="Да",'19_Расчет_аналитики'!BA4823+SUM('19_Расчет_аналитики'!BB4779:BB4784)+'19_Расчет_аналитики'!BB4674-'19_Расчет_аналитики'!BB4801,0)</f>
        <v/>
      </c>
      <c r="BC4823">
        <f>IF('01_Вводные'!$B$234="Да",'19_Расчет_аналитики'!BB4823+SUM('19_Расчет_аналитики'!BC4779:BC4784)+'19_Расчет_аналитики'!BC4674-'19_Расчет_аналитики'!BC4801,0)</f>
        <v/>
      </c>
      <c r="BD4823">
        <f>IF('01_Вводные'!$B$234="Да",'19_Расчет_аналитики'!BC4823+SUM('19_Расчет_аналитики'!BD4779:BD4784)+'19_Расчет_аналитики'!BD4674-'19_Расчет_аналитики'!BD4801,0)</f>
        <v/>
      </c>
      <c r="BE4823">
        <f>IF('01_Вводные'!$B$234="Да",'19_Расчет_аналитики'!BD4823+SUM('19_Расчет_аналитики'!BE4779:BE4784)+'19_Расчет_аналитики'!BE4674-'19_Расчет_аналитики'!BE4801,0)</f>
        <v/>
      </c>
      <c r="BF4823">
        <f>IF('01_Вводные'!$B$234="Да",'19_Расчет_аналитики'!BE4823+SUM('19_Расчет_аналитики'!BF4779:BF4784)+'19_Расчет_аналитики'!BF4674-'19_Расчет_аналитики'!BF4801,0)</f>
        <v/>
      </c>
      <c r="BG4823">
        <f>IF('01_Вводные'!$B$234="Да",'19_Расчет_аналитики'!BF4823+SUM('19_Расчет_аналитики'!BG4779:BG4784)+'19_Расчет_аналитики'!BG4674-'19_Расчет_аналитики'!BG4801,0)</f>
        <v/>
      </c>
      <c r="BH4823">
        <f>IF('01_Вводные'!$B$234="Да",'19_Расчет_аналитики'!BG4823+SUM('19_Расчет_аналитики'!BH4779:BH4784)+'19_Расчет_аналитики'!BH4674-'19_Расчет_аналитики'!BH4801,0)</f>
        <v/>
      </c>
      <c r="BI4823">
        <f>IF('01_Вводные'!$B$234="Да",'19_Расчет_аналитики'!BH4823+SUM('19_Расчет_аналитики'!BI4779:BI4784)+'19_Расчет_аналитики'!BI4674-'19_Расчет_аналитики'!BI4801,0)</f>
        <v/>
      </c>
    </row>
    <row r="4824"/>
    <row r="4825"/>
    <row r="4826">
      <c r="B4826">
        <f>IF('01_Вводные'!$B$234="Да",'19_Расчет_аналитики'!B4675-'07_Мерч'!B22,0)</f>
        <v/>
      </c>
      <c r="C4826">
        <f>IF('01_Вводные'!$B$234="Да",'19_Расчет_аналитики'!C4675-'19_Расчет_аналитики'!C4671,0)</f>
        <v/>
      </c>
      <c r="D4826">
        <f>IF('01_Вводные'!$B$234="Да",'19_Расчет_аналитики'!D4675-'19_Расчет_аналитики'!D4671,0)</f>
        <v/>
      </c>
      <c r="E4826">
        <f>IF('01_Вводные'!$B$234="Да",'19_Расчет_аналитики'!E4675-'19_Расчет_аналитики'!E4671,0)</f>
        <v/>
      </c>
      <c r="F4826">
        <f>IF('01_Вводные'!$B$234="Да",'19_Расчет_аналитики'!F4675-'19_Расчет_аналитики'!F4671,0)</f>
        <v/>
      </c>
      <c r="G4826">
        <f>IF('01_Вводные'!$B$234="Да",'19_Расчет_аналитики'!G4675-'19_Расчет_аналитики'!G4671,0)</f>
        <v/>
      </c>
      <c r="H4826">
        <f>IF('01_Вводные'!$B$234="Да",'19_Расчет_аналитики'!H4675-'19_Расчет_аналитики'!H4671,0)</f>
        <v/>
      </c>
      <c r="I4826">
        <f>IF('01_Вводные'!$B$234="Да",'19_Расчет_аналитики'!I4675-'19_Расчет_аналитики'!I4671,0)</f>
        <v/>
      </c>
      <c r="J4826">
        <f>IF('01_Вводные'!$B$234="Да",'19_Расчет_аналитики'!J4675-'19_Расчет_аналитики'!J4671,0)</f>
        <v/>
      </c>
      <c r="K4826">
        <f>IF('01_Вводные'!$B$234="Да",'19_Расчет_аналитики'!K4675-'19_Расчет_аналитики'!K4671,0)</f>
        <v/>
      </c>
      <c r="L4826">
        <f>IF('01_Вводные'!$B$234="Да",'19_Расчет_аналитики'!L4675-'19_Расчет_аналитики'!L4671,0)</f>
        <v/>
      </c>
      <c r="M4826">
        <f>IF('01_Вводные'!$B$234="Да",'19_Расчет_аналитики'!M4675-'19_Расчет_аналитики'!M4671,0)</f>
        <v/>
      </c>
      <c r="N4826">
        <f>IF('01_Вводные'!$B$234="Да",'19_Расчет_аналитики'!N4675-'19_Расчет_аналитики'!N4671,0)</f>
        <v/>
      </c>
      <c r="O4826">
        <f>IF('01_Вводные'!$B$234="Да",'19_Расчет_аналитики'!O4675-'19_Расчет_аналитики'!O4671,0)</f>
        <v/>
      </c>
      <c r="P4826">
        <f>IF('01_Вводные'!$B$234="Да",'19_Расчет_аналитики'!P4675-'19_Расчет_аналитики'!P4671,0)</f>
        <v/>
      </c>
      <c r="Q4826">
        <f>IF('01_Вводные'!$B$234="Да",'19_Расчет_аналитики'!Q4675-'19_Расчет_аналитики'!Q4671,0)</f>
        <v/>
      </c>
      <c r="R4826">
        <f>IF('01_Вводные'!$B$234="Да",'19_Расчет_аналитики'!R4675-'19_Расчет_аналитики'!R4671,0)</f>
        <v/>
      </c>
      <c r="S4826">
        <f>IF('01_Вводные'!$B$234="Да",'19_Расчет_аналитики'!S4675-'19_Расчет_аналитики'!S4671,0)</f>
        <v/>
      </c>
      <c r="T4826">
        <f>IF('01_Вводные'!$B$234="Да",'19_Расчет_аналитики'!T4675-'19_Расчет_аналитики'!T4671,0)</f>
        <v/>
      </c>
      <c r="U4826">
        <f>IF('01_Вводные'!$B$234="Да",'19_Расчет_аналитики'!U4675-'19_Расчет_аналитики'!U4671,0)</f>
        <v/>
      </c>
      <c r="V4826">
        <f>IF('01_Вводные'!$B$234="Да",'19_Расчет_аналитики'!V4675-'19_Расчет_аналитики'!V4671,0)</f>
        <v/>
      </c>
      <c r="W4826">
        <f>IF('01_Вводные'!$B$234="Да",'19_Расчет_аналитики'!W4675-'19_Расчет_аналитики'!W4671,0)</f>
        <v/>
      </c>
      <c r="X4826">
        <f>IF('01_Вводные'!$B$234="Да",'19_Расчет_аналитики'!X4675-'19_Расчет_аналитики'!X4671,0)</f>
        <v/>
      </c>
      <c r="Y4826">
        <f>IF('01_Вводные'!$B$234="Да",'19_Расчет_аналитики'!Y4675-'19_Расчет_аналитики'!Y4671,0)</f>
        <v/>
      </c>
      <c r="Z4826">
        <f>IF('01_Вводные'!$B$234="Да",'19_Расчет_аналитики'!Z4675-'19_Расчет_аналитики'!Z4671,0)</f>
        <v/>
      </c>
      <c r="AA4826">
        <f>IF('01_Вводные'!$B$234="Да",'19_Расчет_аналитики'!AA4675-'19_Расчет_аналитики'!AA4671,0)</f>
        <v/>
      </c>
      <c r="AB4826">
        <f>IF('01_Вводные'!$B$234="Да",'19_Расчет_аналитики'!AB4675-'19_Расчет_аналитики'!AB4671,0)</f>
        <v/>
      </c>
      <c r="AC4826">
        <f>IF('01_Вводные'!$B$234="Да",'19_Расчет_аналитики'!AC4675-'19_Расчет_аналитики'!AC4671,0)</f>
        <v/>
      </c>
      <c r="AD4826">
        <f>IF('01_Вводные'!$B$234="Да",'19_Расчет_аналитики'!AD4675-'19_Расчет_аналитики'!AD4671,0)</f>
        <v/>
      </c>
      <c r="AE4826">
        <f>IF('01_Вводные'!$B$234="Да",'19_Расчет_аналитики'!AE4675-'19_Расчет_аналитики'!AE4671,0)</f>
        <v/>
      </c>
      <c r="AF4826">
        <f>IF('01_Вводные'!$B$234="Да",'19_Расчет_аналитики'!AF4675-'19_Расчет_аналитики'!AF4671,0)</f>
        <v/>
      </c>
      <c r="AG4826">
        <f>IF('01_Вводные'!$B$234="Да",'19_Расчет_аналитики'!AG4675-'19_Расчет_аналитики'!AG4671,0)</f>
        <v/>
      </c>
      <c r="AH4826">
        <f>IF('01_Вводные'!$B$234="Да",'19_Расчет_аналитики'!AH4675-'19_Расчет_аналитики'!AH4671,0)</f>
        <v/>
      </c>
      <c r="AI4826">
        <f>IF('01_Вводные'!$B$234="Да",'19_Расчет_аналитики'!AI4675-'19_Расчет_аналитики'!AI4671,0)</f>
        <v/>
      </c>
      <c r="AJ4826">
        <f>IF('01_Вводные'!$B$234="Да",'19_Расчет_аналитики'!AJ4675-'19_Расчет_аналитики'!AJ4671,0)</f>
        <v/>
      </c>
      <c r="AK4826">
        <f>IF('01_Вводные'!$B$234="Да",'19_Расчет_аналитики'!AK4675-'19_Расчет_аналитики'!AK4671,0)</f>
        <v/>
      </c>
      <c r="AL4826">
        <f>IF('01_Вводные'!$B$234="Да",'19_Расчет_аналитики'!AL4675-'19_Расчет_аналитики'!AL4671,0)</f>
        <v/>
      </c>
      <c r="AM4826">
        <f>IF('01_Вводные'!$B$234="Да",'19_Расчет_аналитики'!AM4675-'19_Расчет_аналитики'!AM4671,0)</f>
        <v/>
      </c>
      <c r="AN4826">
        <f>IF('01_Вводные'!$B$234="Да",'19_Расчет_аналитики'!AN4675-'19_Расчет_аналитики'!AN4671,0)</f>
        <v/>
      </c>
      <c r="AO4826">
        <f>IF('01_Вводные'!$B$234="Да",'19_Расчет_аналитики'!AO4675-'19_Расчет_аналитики'!AO4671,0)</f>
        <v/>
      </c>
      <c r="AP4826">
        <f>IF('01_Вводные'!$B$234="Да",'19_Расчет_аналитики'!AP4675-'19_Расчет_аналитики'!AP4671,0)</f>
        <v/>
      </c>
      <c r="AQ4826">
        <f>IF('01_Вводные'!$B$234="Да",'19_Расчет_аналитики'!AQ4675-'19_Расчет_аналитики'!AQ4671,0)</f>
        <v/>
      </c>
      <c r="AR4826">
        <f>IF('01_Вводные'!$B$234="Да",'19_Расчет_аналитики'!AR4675-'19_Расчет_аналитики'!AR4671,0)</f>
        <v/>
      </c>
      <c r="AS4826">
        <f>IF('01_Вводные'!$B$234="Да",'19_Расчет_аналитики'!AS4675-'19_Расчет_аналитики'!AS4671,0)</f>
        <v/>
      </c>
      <c r="AT4826">
        <f>IF('01_Вводные'!$B$234="Да",'19_Расчет_аналитики'!AT4675-'19_Расчет_аналитики'!AT4671,0)</f>
        <v/>
      </c>
      <c r="AU4826">
        <f>IF('01_Вводные'!$B$234="Да",'19_Расчет_аналитики'!AU4675-'19_Расчет_аналитики'!AU4671,0)</f>
        <v/>
      </c>
      <c r="AV4826">
        <f>IF('01_Вводные'!$B$234="Да",'19_Расчет_аналитики'!AV4675-'19_Расчет_аналитики'!AV4671,0)</f>
        <v/>
      </c>
      <c r="AW4826">
        <f>IF('01_Вводные'!$B$234="Да",'19_Расчет_аналитики'!AW4675-'19_Расчет_аналитики'!AW4671,0)</f>
        <v/>
      </c>
      <c r="AX4826">
        <f>IF('01_Вводные'!$B$234="Да",'19_Расчет_аналитики'!AX4675-'19_Расчет_аналитики'!AX4671,0)</f>
        <v/>
      </c>
      <c r="AY4826">
        <f>IF('01_Вводные'!$B$234="Да",'19_Расчет_аналитики'!AY4675-'19_Расчет_аналитики'!AY4671,0)</f>
        <v/>
      </c>
      <c r="AZ4826">
        <f>IF('01_Вводные'!$B$234="Да",'19_Расчет_аналитики'!AZ4675-'19_Расчет_аналитики'!AZ4671,0)</f>
        <v/>
      </c>
      <c r="BA4826">
        <f>IF('01_Вводные'!$B$234="Да",'19_Расчет_аналитики'!BA4675-'19_Расчет_аналитики'!BA4671,0)</f>
        <v/>
      </c>
      <c r="BB4826">
        <f>IF('01_Вводные'!$B$234="Да",'19_Расчет_аналитики'!BB4675-'19_Расчет_аналитики'!BB4671,0)</f>
        <v/>
      </c>
      <c r="BC4826">
        <f>IF('01_Вводные'!$B$234="Да",'19_Расчет_аналитики'!BC4675-'19_Расчет_аналитики'!BC4671,0)</f>
        <v/>
      </c>
      <c r="BD4826">
        <f>IF('01_Вводные'!$B$234="Да",'19_Расчет_аналитики'!BD4675-'19_Расчет_аналитики'!BD4671,0)</f>
        <v/>
      </c>
      <c r="BE4826">
        <f>IF('01_Вводные'!$B$234="Да",'19_Расчет_аналитики'!BE4675-'19_Расчет_аналитики'!BE4671,0)</f>
        <v/>
      </c>
      <c r="BF4826">
        <f>IF('01_Вводные'!$B$234="Да",'19_Расчет_аналитики'!BF4675-'19_Расчет_аналитики'!BF4671,0)</f>
        <v/>
      </c>
      <c r="BG4826">
        <f>IF('01_Вводные'!$B$234="Да",'19_Расчет_аналитики'!BG4675-'19_Расчет_аналитики'!BG4671,0)</f>
        <v/>
      </c>
      <c r="BH4826">
        <f>IF('01_Вводные'!$B$234="Да",'19_Расчет_аналитики'!BH4675-'19_Расчет_аналитики'!BH4671,0)</f>
        <v/>
      </c>
      <c r="BI4826">
        <f>IF('01_Вводные'!$B$234="Да",'19_Расчет_аналитики'!BI4675-'19_Расчет_аналитики'!BI4671,0)</f>
        <v/>
      </c>
    </row>
    <row r="4827">
      <c r="B4827">
        <f>IF('01_Вводные'!$B$234="Да",'19_Расчет_аналитики'!B4786-'19_Расчет_аналитики'!B4788-('19_Расчет_аналитики'!B4822-0)+('19_Расчет_аналитики'!B4823-0)+('02_Модель'!B82-0)-('02_Модель'!B83-0)-'19_Расчет_аналитики'!B4826-'19_Расчет_аналитики'!B4812+('19_Расчет_аналитики'!B4830-0)-'19_Расчет_аналитики'!B4799,0)</f>
        <v/>
      </c>
      <c r="C4827">
        <f>IF('01_Вводные'!$B$234="Да",'19_Расчет_аналитики'!C4786-'19_Расчет_аналитики'!C4788-('19_Расчет_аналитики'!C4822-'19_Расчет_аналитики'!B4822)+('19_Расчет_аналитики'!C4823-'19_Расчет_аналитики'!B4823)+('02_Модель'!C82-'02_Модель'!B82)-('02_Модель'!C83-'02_Модель'!B83)-'19_Расчет_аналитики'!C4826-'19_Расчет_аналитики'!C4812+('19_Расчет_аналитики'!C4830-'19_Расчет_аналитики'!B4830)-'19_Расчет_аналитики'!C4799,0)</f>
        <v/>
      </c>
      <c r="D4827">
        <f>IF('01_Вводные'!$B$234="Да",'19_Расчет_аналитики'!D4786-'19_Расчет_аналитики'!D4788-('19_Расчет_аналитики'!D4822-'19_Расчет_аналитики'!C4822)+('19_Расчет_аналитики'!D4823-'19_Расчет_аналитики'!C4823)+('02_Модель'!D82-'02_Модель'!C82)-('02_Модель'!D83-'02_Модель'!C83)-'19_Расчет_аналитики'!D4826-'19_Расчет_аналитики'!D4812+('19_Расчет_аналитики'!D4830-'19_Расчет_аналитики'!C4830)-'19_Расчет_аналитики'!D4799,0)</f>
        <v/>
      </c>
      <c r="E4827">
        <f>IF('01_Вводные'!$B$234="Да",'19_Расчет_аналитики'!E4786-'19_Расчет_аналитики'!E4788-('19_Расчет_аналитики'!E4822-'19_Расчет_аналитики'!D4822)+('19_Расчет_аналитики'!E4823-'19_Расчет_аналитики'!D4823)+('02_Модель'!E82-'02_Модель'!D82)-('02_Модель'!E83-'02_Модель'!D83)-'19_Расчет_аналитики'!E4826-'19_Расчет_аналитики'!E4812+('19_Расчет_аналитики'!E4830-'19_Расчет_аналитики'!D4830)-'19_Расчет_аналитики'!E4799,0)</f>
        <v/>
      </c>
      <c r="F4827">
        <f>IF('01_Вводные'!$B$234="Да",'19_Расчет_аналитики'!F4786-'19_Расчет_аналитики'!F4788-('19_Расчет_аналитики'!F4822-'19_Расчет_аналитики'!E4822)+('19_Расчет_аналитики'!F4823-'19_Расчет_аналитики'!E4823)+('02_Модель'!F82-'02_Модель'!E82)-('02_Модель'!F83-'02_Модель'!E83)-'19_Расчет_аналитики'!F4826-'19_Расчет_аналитики'!F4812+('19_Расчет_аналитики'!F4830-'19_Расчет_аналитики'!E4830)-'19_Расчет_аналитики'!F4799,0)</f>
        <v/>
      </c>
      <c r="G4827">
        <f>IF('01_Вводные'!$B$234="Да",'19_Расчет_аналитики'!G4786-'19_Расчет_аналитики'!G4788-('19_Расчет_аналитики'!G4822-'19_Расчет_аналитики'!F4822)+('19_Расчет_аналитики'!G4823-'19_Расчет_аналитики'!F4823)+('02_Модель'!G82-'02_Модель'!F82)-('02_Модель'!G83-'02_Модель'!F83)-'19_Расчет_аналитики'!G4826-'19_Расчет_аналитики'!G4812+('19_Расчет_аналитики'!G4830-'19_Расчет_аналитики'!F4830)-'19_Расчет_аналитики'!G4799,0)</f>
        <v/>
      </c>
      <c r="H4827">
        <f>IF('01_Вводные'!$B$234="Да",'19_Расчет_аналитики'!H4786-'19_Расчет_аналитики'!H4788-('19_Расчет_аналитики'!H4822-'19_Расчет_аналитики'!G4822)+('19_Расчет_аналитики'!H4823-'19_Расчет_аналитики'!G4823)+('02_Модель'!H82-'02_Модель'!G82)-('02_Модель'!H83-'02_Модель'!G83)-'19_Расчет_аналитики'!H4826-'19_Расчет_аналитики'!H4812+('19_Расчет_аналитики'!H4830-'19_Расчет_аналитики'!G4830)-'19_Расчет_аналитики'!H4799,0)</f>
        <v/>
      </c>
      <c r="I4827">
        <f>IF('01_Вводные'!$B$234="Да",'19_Расчет_аналитики'!I4786-'19_Расчет_аналитики'!I4788-('19_Расчет_аналитики'!I4822-'19_Расчет_аналитики'!H4822)+('19_Расчет_аналитики'!I4823-'19_Расчет_аналитики'!H4823)+('02_Модель'!I82-'02_Модель'!H82)-('02_Модель'!I83-'02_Модель'!H83)-'19_Расчет_аналитики'!I4826-'19_Расчет_аналитики'!I4812+('19_Расчет_аналитики'!I4830-'19_Расчет_аналитики'!H4830)-'19_Расчет_аналитики'!I4799,0)</f>
        <v/>
      </c>
      <c r="J4827">
        <f>IF('01_Вводные'!$B$234="Да",'19_Расчет_аналитики'!J4786-'19_Расчет_аналитики'!J4788-('19_Расчет_аналитики'!J4822-'19_Расчет_аналитики'!I4822)+('19_Расчет_аналитики'!J4823-'19_Расчет_аналитики'!I4823)+('02_Модель'!J82-'02_Модель'!I82)-('02_Модель'!J83-'02_Модель'!I83)-'19_Расчет_аналитики'!J4826-'19_Расчет_аналитики'!J4812+('19_Расчет_аналитики'!J4830-'19_Расчет_аналитики'!I4830)-'19_Расчет_аналитики'!J4799,0)</f>
        <v/>
      </c>
      <c r="K4827">
        <f>IF('01_Вводные'!$B$234="Да",'19_Расчет_аналитики'!K4786-'19_Расчет_аналитики'!K4788-('19_Расчет_аналитики'!K4822-'19_Расчет_аналитики'!J4822)+('19_Расчет_аналитики'!K4823-'19_Расчет_аналитики'!J4823)+('02_Модель'!K82-'02_Модель'!J82)-('02_Модель'!K83-'02_Модель'!J83)-'19_Расчет_аналитики'!K4826-'19_Расчет_аналитики'!K4812+('19_Расчет_аналитики'!K4830-'19_Расчет_аналитики'!J4830)-'19_Расчет_аналитики'!K4799,0)</f>
        <v/>
      </c>
      <c r="L4827">
        <f>IF('01_Вводные'!$B$234="Да",'19_Расчет_аналитики'!L4786-'19_Расчет_аналитики'!L4788-('19_Расчет_аналитики'!L4822-'19_Расчет_аналитики'!K4822)+('19_Расчет_аналитики'!L4823-'19_Расчет_аналитики'!K4823)+('02_Модель'!L82-'02_Модель'!K82)-('02_Модель'!L83-'02_Модель'!K83)-'19_Расчет_аналитики'!L4826-'19_Расчет_аналитики'!L4812+('19_Расчет_аналитики'!L4830-'19_Расчет_аналитики'!K4830)-'19_Расчет_аналитики'!L4799,0)</f>
        <v/>
      </c>
      <c r="M4827">
        <f>IF('01_Вводные'!$B$234="Да",'19_Расчет_аналитики'!M4786-'19_Расчет_аналитики'!M4788-('19_Расчет_аналитики'!M4822-'19_Расчет_аналитики'!L4822)+('19_Расчет_аналитики'!M4823-'19_Расчет_аналитики'!L4823)+('02_Модель'!M82-'02_Модель'!L82)-('02_Модель'!M83-'02_Модель'!L83)-'19_Расчет_аналитики'!M4826-'19_Расчет_аналитики'!M4812+('19_Расчет_аналитики'!M4830-'19_Расчет_аналитики'!L4830)-'19_Расчет_аналитики'!M4799,0)</f>
        <v/>
      </c>
      <c r="N4827">
        <f>IF('01_Вводные'!$B$234="Да",'19_Расчет_аналитики'!N4786-'19_Расчет_аналитики'!N4788-('19_Расчет_аналитики'!N4822-'19_Расчет_аналитики'!M4822)+('19_Расчет_аналитики'!N4823-'19_Расчет_аналитики'!M4823)+('02_Модель'!N82-'02_Модель'!M82)-('02_Модель'!N83-'02_Модель'!M83)-'19_Расчет_аналитики'!N4826-'19_Расчет_аналитики'!N4812+('19_Расчет_аналитики'!N4830-'19_Расчет_аналитики'!M4830)-'19_Расчет_аналитики'!N4799,0)</f>
        <v/>
      </c>
      <c r="O4827">
        <f>IF('01_Вводные'!$B$234="Да",'19_Расчет_аналитики'!O4786-'19_Расчет_аналитики'!O4788-('19_Расчет_аналитики'!O4822-'19_Расчет_аналитики'!N4822)+('19_Расчет_аналитики'!O4823-'19_Расчет_аналитики'!N4823)+('02_Модель'!O82-'02_Модель'!N82)-('02_Модель'!O83-'02_Модель'!N83)-'19_Расчет_аналитики'!O4826-'19_Расчет_аналитики'!O4812+('19_Расчет_аналитики'!O4830-'19_Расчет_аналитики'!N4830)-'19_Расчет_аналитики'!O4799,0)</f>
        <v/>
      </c>
      <c r="P4827">
        <f>IF('01_Вводные'!$B$234="Да",'19_Расчет_аналитики'!P4786-'19_Расчет_аналитики'!P4788-('19_Расчет_аналитики'!P4822-'19_Расчет_аналитики'!O4822)+('19_Расчет_аналитики'!P4823-'19_Расчет_аналитики'!O4823)+('02_Модель'!P82-'02_Модель'!O82)-('02_Модель'!P83-'02_Модель'!O83)-'19_Расчет_аналитики'!P4826-'19_Расчет_аналитики'!P4812+('19_Расчет_аналитики'!P4830-'19_Расчет_аналитики'!O4830)-'19_Расчет_аналитики'!P4799,0)</f>
        <v/>
      </c>
      <c r="Q4827">
        <f>IF('01_Вводные'!$B$234="Да",'19_Расчет_аналитики'!Q4786-'19_Расчет_аналитики'!Q4788-('19_Расчет_аналитики'!Q4822-'19_Расчет_аналитики'!P4822)+('19_Расчет_аналитики'!Q4823-'19_Расчет_аналитики'!P4823)+('02_Модель'!Q82-'02_Модель'!P82)-('02_Модель'!Q83-'02_Модель'!P83)-'19_Расчет_аналитики'!Q4826-'19_Расчет_аналитики'!Q4812+('19_Расчет_аналитики'!Q4830-'19_Расчет_аналитики'!P4830)-'19_Расчет_аналитики'!Q4799,0)</f>
        <v/>
      </c>
      <c r="R4827">
        <f>IF('01_Вводные'!$B$234="Да",'19_Расчет_аналитики'!R4786-'19_Расчет_аналитики'!R4788-('19_Расчет_аналитики'!R4822-'19_Расчет_аналитики'!Q4822)+('19_Расчет_аналитики'!R4823-'19_Расчет_аналитики'!Q4823)+('02_Модель'!R82-'02_Модель'!Q82)-('02_Модель'!R83-'02_Модель'!Q83)-'19_Расчет_аналитики'!R4826-'19_Расчет_аналитики'!R4812+('19_Расчет_аналитики'!R4830-'19_Расчет_аналитики'!Q4830)-'19_Расчет_аналитики'!R4799,0)</f>
        <v/>
      </c>
      <c r="S4827">
        <f>IF('01_Вводные'!$B$234="Да",'19_Расчет_аналитики'!S4786-'19_Расчет_аналитики'!S4788-('19_Расчет_аналитики'!S4822-'19_Расчет_аналитики'!R4822)+('19_Расчет_аналитики'!S4823-'19_Расчет_аналитики'!R4823)+('02_Модель'!S82-'02_Модель'!R82)-('02_Модель'!S83-'02_Модель'!R83)-'19_Расчет_аналитики'!S4826-'19_Расчет_аналитики'!S4812+('19_Расчет_аналитики'!S4830-'19_Расчет_аналитики'!R4830)-'19_Расчет_аналитики'!S4799,0)</f>
        <v/>
      </c>
      <c r="T4827">
        <f>IF('01_Вводные'!$B$234="Да",'19_Расчет_аналитики'!T4786-'19_Расчет_аналитики'!T4788-('19_Расчет_аналитики'!T4822-'19_Расчет_аналитики'!S4822)+('19_Расчет_аналитики'!T4823-'19_Расчет_аналитики'!S4823)+('02_Модель'!T82-'02_Модель'!S82)-('02_Модель'!T83-'02_Модель'!S83)-'19_Расчет_аналитики'!T4826-'19_Расчет_аналитики'!T4812+('19_Расчет_аналитики'!T4830-'19_Расчет_аналитики'!S4830)-'19_Расчет_аналитики'!T4799,0)</f>
        <v/>
      </c>
      <c r="U4827">
        <f>IF('01_Вводные'!$B$234="Да",'19_Расчет_аналитики'!U4786-'19_Расчет_аналитики'!U4788-('19_Расчет_аналитики'!U4822-'19_Расчет_аналитики'!T4822)+('19_Расчет_аналитики'!U4823-'19_Расчет_аналитики'!T4823)+('02_Модель'!U82-'02_Модель'!T82)-('02_Модель'!U83-'02_Модель'!T83)-'19_Расчет_аналитики'!U4826-'19_Расчет_аналитики'!U4812+('19_Расчет_аналитики'!U4830-'19_Расчет_аналитики'!T4830)-'19_Расчет_аналитики'!U4799,0)</f>
        <v/>
      </c>
      <c r="V4827">
        <f>IF('01_Вводные'!$B$234="Да",'19_Расчет_аналитики'!V4786-'19_Расчет_аналитики'!V4788-('19_Расчет_аналитики'!V4822-'19_Расчет_аналитики'!U4822)+('19_Расчет_аналитики'!V4823-'19_Расчет_аналитики'!U4823)+('02_Модель'!V82-'02_Модель'!U82)-('02_Модель'!V83-'02_Модель'!U83)-'19_Расчет_аналитики'!V4826-'19_Расчет_аналитики'!V4812+('19_Расчет_аналитики'!V4830-'19_Расчет_аналитики'!U4830)-'19_Расчет_аналитики'!V4799,0)</f>
        <v/>
      </c>
      <c r="W4827">
        <f>IF('01_Вводные'!$B$234="Да",'19_Расчет_аналитики'!W4786-'19_Расчет_аналитики'!W4788-('19_Расчет_аналитики'!W4822-'19_Расчет_аналитики'!V4822)+('19_Расчет_аналитики'!W4823-'19_Расчет_аналитики'!V4823)+('02_Модель'!W82-'02_Модель'!V82)-('02_Модель'!W83-'02_Модель'!V83)-'19_Расчет_аналитики'!W4826-'19_Расчет_аналитики'!W4812+('19_Расчет_аналитики'!W4830-'19_Расчет_аналитики'!V4830)-'19_Расчет_аналитики'!W4799,0)</f>
        <v/>
      </c>
      <c r="X4827">
        <f>IF('01_Вводные'!$B$234="Да",'19_Расчет_аналитики'!X4786-'19_Расчет_аналитики'!X4788-('19_Расчет_аналитики'!X4822-'19_Расчет_аналитики'!W4822)+('19_Расчет_аналитики'!X4823-'19_Расчет_аналитики'!W4823)+('02_Модель'!X82-'02_Модель'!W82)-('02_Модель'!X83-'02_Модель'!W83)-'19_Расчет_аналитики'!X4826-'19_Расчет_аналитики'!X4812+('19_Расчет_аналитики'!X4830-'19_Расчет_аналитики'!W4830)-'19_Расчет_аналитики'!X4799,0)</f>
        <v/>
      </c>
      <c r="Y4827">
        <f>IF('01_Вводные'!$B$234="Да",'19_Расчет_аналитики'!Y4786-'19_Расчет_аналитики'!Y4788-('19_Расчет_аналитики'!Y4822-'19_Расчет_аналитики'!X4822)+('19_Расчет_аналитики'!Y4823-'19_Расчет_аналитики'!X4823)+('02_Модель'!Y82-'02_Модель'!X82)-('02_Модель'!Y83-'02_Модель'!X83)-'19_Расчет_аналитики'!Y4826-'19_Расчет_аналитики'!Y4812+('19_Расчет_аналитики'!Y4830-'19_Расчет_аналитики'!X4830)-'19_Расчет_аналитики'!Y4799,0)</f>
        <v/>
      </c>
      <c r="Z4827">
        <f>IF('01_Вводные'!$B$234="Да",'19_Расчет_аналитики'!Z4786-'19_Расчет_аналитики'!Z4788-('19_Расчет_аналитики'!Z4822-'19_Расчет_аналитики'!Y4822)+('19_Расчет_аналитики'!Z4823-'19_Расчет_аналитики'!Y4823)+('02_Модель'!Z82-'02_Модель'!Y82)-('02_Модель'!Z83-'02_Модель'!Y83)-'19_Расчет_аналитики'!Z4826-'19_Расчет_аналитики'!Z4812+('19_Расчет_аналитики'!Z4830-'19_Расчет_аналитики'!Y4830)-'19_Расчет_аналитики'!Z4799,0)</f>
        <v/>
      </c>
      <c r="AA4827">
        <f>IF('01_Вводные'!$B$234="Да",'19_Расчет_аналитики'!AA4786-'19_Расчет_аналитики'!AA4788-('19_Расчет_аналитики'!AA4822-'19_Расчет_аналитики'!Z4822)+('19_Расчет_аналитики'!AA4823-'19_Расчет_аналитики'!Z4823)+('02_Модель'!AA82-'02_Модель'!Z82)-('02_Модель'!AA83-'02_Модель'!Z83)-'19_Расчет_аналитики'!AA4826-'19_Расчет_аналитики'!AA4812+('19_Расчет_аналитики'!AA4830-'19_Расчет_аналитики'!Z4830)-'19_Расчет_аналитики'!AA4799,0)</f>
        <v/>
      </c>
      <c r="AB4827">
        <f>IF('01_Вводные'!$B$234="Да",'19_Расчет_аналитики'!AB4786-'19_Расчет_аналитики'!AB4788-('19_Расчет_аналитики'!AB4822-'19_Расчет_аналитики'!AA4822)+('19_Расчет_аналитики'!AB4823-'19_Расчет_аналитики'!AA4823)+('02_Модель'!AB82-'02_Модель'!AA82)-('02_Модель'!AB83-'02_Модель'!AA83)-'19_Расчет_аналитики'!AB4826-'19_Расчет_аналитики'!AB4812+('19_Расчет_аналитики'!AB4830-'19_Расчет_аналитики'!AA4830)-'19_Расчет_аналитики'!AB4799,0)</f>
        <v/>
      </c>
      <c r="AC4827">
        <f>IF('01_Вводные'!$B$234="Да",'19_Расчет_аналитики'!AC4786-'19_Расчет_аналитики'!AC4788-('19_Расчет_аналитики'!AC4822-'19_Расчет_аналитики'!AB4822)+('19_Расчет_аналитики'!AC4823-'19_Расчет_аналитики'!AB4823)+('02_Модель'!AC82-'02_Модель'!AB82)-('02_Модель'!AC83-'02_Модель'!AB83)-'19_Расчет_аналитики'!AC4826-'19_Расчет_аналитики'!AC4812+('19_Расчет_аналитики'!AC4830-'19_Расчет_аналитики'!AB4830)-'19_Расчет_аналитики'!AC4799,0)</f>
        <v/>
      </c>
      <c r="AD4827">
        <f>IF('01_Вводные'!$B$234="Да",'19_Расчет_аналитики'!AD4786-'19_Расчет_аналитики'!AD4788-('19_Расчет_аналитики'!AD4822-'19_Расчет_аналитики'!AC4822)+('19_Расчет_аналитики'!AD4823-'19_Расчет_аналитики'!AC4823)+('02_Модель'!AD82-'02_Модель'!AC82)-('02_Модель'!AD83-'02_Модель'!AC83)-'19_Расчет_аналитики'!AD4826-'19_Расчет_аналитики'!AD4812+('19_Расчет_аналитики'!AD4830-'19_Расчет_аналитики'!AC4830)-'19_Расчет_аналитики'!AD4799,0)</f>
        <v/>
      </c>
      <c r="AE4827">
        <f>IF('01_Вводные'!$B$234="Да",'19_Расчет_аналитики'!AE4786-'19_Расчет_аналитики'!AE4788-('19_Расчет_аналитики'!AE4822-'19_Расчет_аналитики'!AD4822)+('19_Расчет_аналитики'!AE4823-'19_Расчет_аналитики'!AD4823)+('02_Модель'!AE82-'02_Модель'!AD82)-('02_Модель'!AE83-'02_Модель'!AD83)-'19_Расчет_аналитики'!AE4826-'19_Расчет_аналитики'!AE4812+('19_Расчет_аналитики'!AE4830-'19_Расчет_аналитики'!AD4830)-'19_Расчет_аналитики'!AE4799,0)</f>
        <v/>
      </c>
      <c r="AF4827">
        <f>IF('01_Вводные'!$B$234="Да",'19_Расчет_аналитики'!AF4786-'19_Расчет_аналитики'!AF4788-('19_Расчет_аналитики'!AF4822-'19_Расчет_аналитики'!AE4822)+('19_Расчет_аналитики'!AF4823-'19_Расчет_аналитики'!AE4823)+('02_Модель'!AF82-'02_Модель'!AE82)-('02_Модель'!AF83-'02_Модель'!AE83)-'19_Расчет_аналитики'!AF4826-'19_Расчет_аналитики'!AF4812+('19_Расчет_аналитики'!AF4830-'19_Расчет_аналитики'!AE4830)-'19_Расчет_аналитики'!AF4799,0)</f>
        <v/>
      </c>
      <c r="AG4827">
        <f>IF('01_Вводные'!$B$234="Да",'19_Расчет_аналитики'!AG4786-'19_Расчет_аналитики'!AG4788-('19_Расчет_аналитики'!AG4822-'19_Расчет_аналитики'!AF4822)+('19_Расчет_аналитики'!AG4823-'19_Расчет_аналитики'!AF4823)+('02_Модель'!AG82-'02_Модель'!AF82)-('02_Модель'!AG83-'02_Модель'!AF83)-'19_Расчет_аналитики'!AG4826-'19_Расчет_аналитики'!AG4812+('19_Расчет_аналитики'!AG4830-'19_Расчет_аналитики'!AF4830)-'19_Расчет_аналитики'!AG4799,0)</f>
        <v/>
      </c>
      <c r="AH4827">
        <f>IF('01_Вводные'!$B$234="Да",'19_Расчет_аналитики'!AH4786-'19_Расчет_аналитики'!AH4788-('19_Расчет_аналитики'!AH4822-'19_Расчет_аналитики'!AG4822)+('19_Расчет_аналитики'!AH4823-'19_Расчет_аналитики'!AG4823)+('02_Модель'!AH82-'02_Модель'!AG82)-('02_Модель'!AH83-'02_Модель'!AG83)-'19_Расчет_аналитики'!AH4826-'19_Расчет_аналитики'!AH4812+('19_Расчет_аналитики'!AH4830-'19_Расчет_аналитики'!AG4830)-'19_Расчет_аналитики'!AH4799,0)</f>
        <v/>
      </c>
      <c r="AI4827">
        <f>IF('01_Вводные'!$B$234="Да",'19_Расчет_аналитики'!AI4786-'19_Расчет_аналитики'!AI4788-('19_Расчет_аналитики'!AI4822-'19_Расчет_аналитики'!AH4822)+('19_Расчет_аналитики'!AI4823-'19_Расчет_аналитики'!AH4823)+('02_Модель'!AI82-'02_Модель'!AH82)-('02_Модель'!AI83-'02_Модель'!AH83)-'19_Расчет_аналитики'!AI4826-'19_Расчет_аналитики'!AI4812+('19_Расчет_аналитики'!AI4830-'19_Расчет_аналитики'!AH4830)-'19_Расчет_аналитики'!AI4799,0)</f>
        <v/>
      </c>
      <c r="AJ4827">
        <f>IF('01_Вводные'!$B$234="Да",'19_Расчет_аналитики'!AJ4786-'19_Расчет_аналитики'!AJ4788-('19_Расчет_аналитики'!AJ4822-'19_Расчет_аналитики'!AI4822)+('19_Расчет_аналитики'!AJ4823-'19_Расчет_аналитики'!AI4823)+('02_Модель'!AJ82-'02_Модель'!AI82)-('02_Модель'!AJ83-'02_Модель'!AI83)-'19_Расчет_аналитики'!AJ4826-'19_Расчет_аналитики'!AJ4812+('19_Расчет_аналитики'!AJ4830-'19_Расчет_аналитики'!AI4830)-'19_Расчет_аналитики'!AJ4799,0)</f>
        <v/>
      </c>
      <c r="AK4827">
        <f>IF('01_Вводные'!$B$234="Да",'19_Расчет_аналитики'!AK4786-'19_Расчет_аналитики'!AK4788-('19_Расчет_аналитики'!AK4822-'19_Расчет_аналитики'!AJ4822)+('19_Расчет_аналитики'!AK4823-'19_Расчет_аналитики'!AJ4823)+('02_Модель'!AK82-'02_Модель'!AJ82)-('02_Модель'!AK83-'02_Модель'!AJ83)-'19_Расчет_аналитики'!AK4826-'19_Расчет_аналитики'!AK4812+('19_Расчет_аналитики'!AK4830-'19_Расчет_аналитики'!AJ4830)-'19_Расчет_аналитики'!AK4799,0)</f>
        <v/>
      </c>
      <c r="AL4827">
        <f>IF('01_Вводные'!$B$234="Да",'19_Расчет_аналитики'!AL4786-'19_Расчет_аналитики'!AL4788-('19_Расчет_аналитики'!AL4822-'19_Расчет_аналитики'!AK4822)+('19_Расчет_аналитики'!AL4823-'19_Расчет_аналитики'!AK4823)+('02_Модель'!AL82-'02_Модель'!AK82)-('02_Модель'!AL83-'02_Модель'!AK83)-'19_Расчет_аналитики'!AL4826-'19_Расчет_аналитики'!AL4812+('19_Расчет_аналитики'!AL4830-'19_Расчет_аналитики'!AK4830)-'19_Расчет_аналитики'!AL4799,0)</f>
        <v/>
      </c>
      <c r="AM4827">
        <f>IF('01_Вводные'!$B$234="Да",'19_Расчет_аналитики'!AM4786-'19_Расчет_аналитики'!AM4788-('19_Расчет_аналитики'!AM4822-'19_Расчет_аналитики'!AL4822)+('19_Расчет_аналитики'!AM4823-'19_Расчет_аналитики'!AL4823)+('02_Модель'!AM82-'02_Модель'!AL82)-('02_Модель'!AM83-'02_Модель'!AL83)-'19_Расчет_аналитики'!AM4826-'19_Расчет_аналитики'!AM4812+('19_Расчет_аналитики'!AM4830-'19_Расчет_аналитики'!AL4830)-'19_Расчет_аналитики'!AM4799,0)</f>
        <v/>
      </c>
      <c r="AN4827">
        <f>IF('01_Вводные'!$B$234="Да",'19_Расчет_аналитики'!AN4786-'19_Расчет_аналитики'!AN4788-('19_Расчет_аналитики'!AN4822-'19_Расчет_аналитики'!AM4822)+('19_Расчет_аналитики'!AN4823-'19_Расчет_аналитики'!AM4823)+('02_Модель'!AN82-'02_Модель'!AM82)-('02_Модель'!AN83-'02_Модель'!AM83)-'19_Расчет_аналитики'!AN4826-'19_Расчет_аналитики'!AN4812+('19_Расчет_аналитики'!AN4830-'19_Расчет_аналитики'!AM4830)-'19_Расчет_аналитики'!AN4799,0)</f>
        <v/>
      </c>
      <c r="AO4827">
        <f>IF('01_Вводные'!$B$234="Да",'19_Расчет_аналитики'!AO4786-'19_Расчет_аналитики'!AO4788-('19_Расчет_аналитики'!AO4822-'19_Расчет_аналитики'!AN4822)+('19_Расчет_аналитики'!AO4823-'19_Расчет_аналитики'!AN4823)+('02_Модель'!AO82-'02_Модель'!AN82)-('02_Модель'!AO83-'02_Модель'!AN83)-'19_Расчет_аналитики'!AO4826-'19_Расчет_аналитики'!AO4812+('19_Расчет_аналитики'!AO4830-'19_Расчет_аналитики'!AN4830)-'19_Расчет_аналитики'!AO4799,0)</f>
        <v/>
      </c>
      <c r="AP4827">
        <f>IF('01_Вводные'!$B$234="Да",'19_Расчет_аналитики'!AP4786-'19_Расчет_аналитики'!AP4788-('19_Расчет_аналитики'!AP4822-'19_Расчет_аналитики'!AO4822)+('19_Расчет_аналитики'!AP4823-'19_Расчет_аналитики'!AO4823)+('02_Модель'!AP82-'02_Модель'!AO82)-('02_Модель'!AP83-'02_Модель'!AO83)-'19_Расчет_аналитики'!AP4826-'19_Расчет_аналитики'!AP4812+('19_Расчет_аналитики'!AP4830-'19_Расчет_аналитики'!AO4830)-'19_Расчет_аналитики'!AP4799,0)</f>
        <v/>
      </c>
      <c r="AQ4827">
        <f>IF('01_Вводные'!$B$234="Да",'19_Расчет_аналитики'!AQ4786-'19_Расчет_аналитики'!AQ4788-('19_Расчет_аналитики'!AQ4822-'19_Расчет_аналитики'!AP4822)+('19_Расчет_аналитики'!AQ4823-'19_Расчет_аналитики'!AP4823)+('02_Модель'!AQ82-'02_Модель'!AP82)-('02_Модель'!AQ83-'02_Модель'!AP83)-'19_Расчет_аналитики'!AQ4826-'19_Расчет_аналитики'!AQ4812+('19_Расчет_аналитики'!AQ4830-'19_Расчет_аналитики'!AP4830)-'19_Расчет_аналитики'!AQ4799,0)</f>
        <v/>
      </c>
      <c r="AR4827">
        <f>IF('01_Вводные'!$B$234="Да",'19_Расчет_аналитики'!AR4786-'19_Расчет_аналитики'!AR4788-('19_Расчет_аналитики'!AR4822-'19_Расчет_аналитики'!AQ4822)+('19_Расчет_аналитики'!AR4823-'19_Расчет_аналитики'!AQ4823)+('02_Модель'!AR82-'02_Модель'!AQ82)-('02_Модель'!AR83-'02_Модель'!AQ83)-'19_Расчет_аналитики'!AR4826-'19_Расчет_аналитики'!AR4812+('19_Расчет_аналитики'!AR4830-'19_Расчет_аналитики'!AQ4830)-'19_Расчет_аналитики'!AR4799,0)</f>
        <v/>
      </c>
      <c r="AS4827">
        <f>IF('01_Вводные'!$B$234="Да",'19_Расчет_аналитики'!AS4786-'19_Расчет_аналитики'!AS4788-('19_Расчет_аналитики'!AS4822-'19_Расчет_аналитики'!AR4822)+('19_Расчет_аналитики'!AS4823-'19_Расчет_аналитики'!AR4823)+('02_Модель'!AS82-'02_Модель'!AR82)-('02_Модель'!AS83-'02_Модель'!AR83)-'19_Расчет_аналитики'!AS4826-'19_Расчет_аналитики'!AS4812+('19_Расчет_аналитики'!AS4830-'19_Расчет_аналитики'!AR4830)-'19_Расчет_аналитики'!AS4799,0)</f>
        <v/>
      </c>
      <c r="AT4827">
        <f>IF('01_Вводные'!$B$234="Да",'19_Расчет_аналитики'!AT4786-'19_Расчет_аналитики'!AT4788-('19_Расчет_аналитики'!AT4822-'19_Расчет_аналитики'!AS4822)+('19_Расчет_аналитики'!AT4823-'19_Расчет_аналитики'!AS4823)+('02_Модель'!AT82-'02_Модель'!AS82)-('02_Модель'!AT83-'02_Модель'!AS83)-'19_Расчет_аналитики'!AT4826-'19_Расчет_аналитики'!AT4812+('19_Расчет_аналитики'!AT4830-'19_Расчет_аналитики'!AS4830)-'19_Расчет_аналитики'!AT4799,0)</f>
        <v/>
      </c>
      <c r="AU4827">
        <f>IF('01_Вводные'!$B$234="Да",'19_Расчет_аналитики'!AU4786-'19_Расчет_аналитики'!AU4788-('19_Расчет_аналитики'!AU4822-'19_Расчет_аналитики'!AT4822)+('19_Расчет_аналитики'!AU4823-'19_Расчет_аналитики'!AT4823)+('02_Модель'!AU82-'02_Модель'!AT82)-('02_Модель'!AU83-'02_Модель'!AT83)-'19_Расчет_аналитики'!AU4826-'19_Расчет_аналитики'!AU4812+('19_Расчет_аналитики'!AU4830-'19_Расчет_аналитики'!AT4830)-'19_Расчет_аналитики'!AU4799,0)</f>
        <v/>
      </c>
      <c r="AV4827">
        <f>IF('01_Вводные'!$B$234="Да",'19_Расчет_аналитики'!AV4786-'19_Расчет_аналитики'!AV4788-('19_Расчет_аналитики'!AV4822-'19_Расчет_аналитики'!AU4822)+('19_Расчет_аналитики'!AV4823-'19_Расчет_аналитики'!AU4823)+('02_Модель'!AV82-'02_Модель'!AU82)-('02_Модель'!AV83-'02_Модель'!AU83)-'19_Расчет_аналитики'!AV4826-'19_Расчет_аналитики'!AV4812+('19_Расчет_аналитики'!AV4830-'19_Расчет_аналитики'!AU4830)-'19_Расчет_аналитики'!AV4799,0)</f>
        <v/>
      </c>
      <c r="AW4827">
        <f>IF('01_Вводные'!$B$234="Да",'19_Расчет_аналитики'!AW4786-'19_Расчет_аналитики'!AW4788-('19_Расчет_аналитики'!AW4822-'19_Расчет_аналитики'!AV4822)+('19_Расчет_аналитики'!AW4823-'19_Расчет_аналитики'!AV4823)+('02_Модель'!AW82-'02_Модель'!AV82)-('02_Модель'!AW83-'02_Модель'!AV83)-'19_Расчет_аналитики'!AW4826-'19_Расчет_аналитики'!AW4812+('19_Расчет_аналитики'!AW4830-'19_Расчет_аналитики'!AV4830)-'19_Расчет_аналитики'!AW4799,0)</f>
        <v/>
      </c>
      <c r="AX4827">
        <f>IF('01_Вводные'!$B$234="Да",'19_Расчет_аналитики'!AX4786-'19_Расчет_аналитики'!AX4788-('19_Расчет_аналитики'!AX4822-'19_Расчет_аналитики'!AW4822)+('19_Расчет_аналитики'!AX4823-'19_Расчет_аналитики'!AW4823)+('02_Модель'!AX82-'02_Модель'!AW82)-('02_Модель'!AX83-'02_Модель'!AW83)-'19_Расчет_аналитики'!AX4826-'19_Расчет_аналитики'!AX4812+('19_Расчет_аналитики'!AX4830-'19_Расчет_аналитики'!AW4830)-'19_Расчет_аналитики'!AX4799,0)</f>
        <v/>
      </c>
      <c r="AY4827">
        <f>IF('01_Вводные'!$B$234="Да",'19_Расчет_аналитики'!AY4786-'19_Расчет_аналитики'!AY4788-('19_Расчет_аналитики'!AY4822-'19_Расчет_аналитики'!AX4822)+('19_Расчет_аналитики'!AY4823-'19_Расчет_аналитики'!AX4823)+('02_Модель'!AY82-'02_Модель'!AX82)-('02_Модель'!AY83-'02_Модель'!AX83)-'19_Расчет_аналитики'!AY4826-'19_Расчет_аналитики'!AY4812+('19_Расчет_аналитики'!AY4830-'19_Расчет_аналитики'!AX4830)-'19_Расчет_аналитики'!AY4799,0)</f>
        <v/>
      </c>
      <c r="AZ4827">
        <f>IF('01_Вводные'!$B$234="Да",'19_Расчет_аналитики'!AZ4786-'19_Расчет_аналитики'!AZ4788-('19_Расчет_аналитики'!AZ4822-'19_Расчет_аналитики'!AY4822)+('19_Расчет_аналитики'!AZ4823-'19_Расчет_аналитики'!AY4823)+('02_Модель'!AZ82-'02_Модель'!AY82)-('02_Модель'!AZ83-'02_Модель'!AY83)-'19_Расчет_аналитики'!AZ4826-'19_Расчет_аналитики'!AZ4812+('19_Расчет_аналитики'!AZ4830-'19_Расчет_аналитики'!AY4830)-'19_Расчет_аналитики'!AZ4799,0)</f>
        <v/>
      </c>
      <c r="BA4827">
        <f>IF('01_Вводные'!$B$234="Да",'19_Расчет_аналитики'!BA4786-'19_Расчет_аналитики'!BA4788-('19_Расчет_аналитики'!BA4822-'19_Расчет_аналитики'!AZ4822)+('19_Расчет_аналитики'!BA4823-'19_Расчет_аналитики'!AZ4823)+('02_Модель'!BA82-'02_Модель'!AZ82)-('02_Модель'!BA83-'02_Модель'!AZ83)-'19_Расчет_аналитики'!BA4826-'19_Расчет_аналитики'!BA4812+('19_Расчет_аналитики'!BA4830-'19_Расчет_аналитики'!AZ4830)-'19_Расчет_аналитики'!BA4799,0)</f>
        <v/>
      </c>
      <c r="BB4827">
        <f>IF('01_Вводные'!$B$234="Да",'19_Расчет_аналитики'!BB4786-'19_Расчет_аналитики'!BB4788-('19_Расчет_аналитики'!BB4822-'19_Расчет_аналитики'!BA4822)+('19_Расчет_аналитики'!BB4823-'19_Расчет_аналитики'!BA4823)+('02_Модель'!BB82-'02_Модель'!BA82)-('02_Модель'!BB83-'02_Модель'!BA83)-'19_Расчет_аналитики'!BB4826-'19_Расчет_аналитики'!BB4812+('19_Расчет_аналитики'!BB4830-'19_Расчет_аналитики'!BA4830)-'19_Расчет_аналитики'!BB4799,0)</f>
        <v/>
      </c>
      <c r="BC4827">
        <f>IF('01_Вводные'!$B$234="Да",'19_Расчет_аналитики'!BC4786-'19_Расчет_аналитики'!BC4788-('19_Расчет_аналитики'!BC4822-'19_Расчет_аналитики'!BB4822)+('19_Расчет_аналитики'!BC4823-'19_Расчет_аналитики'!BB4823)+('02_Модель'!BC82-'02_Модель'!BB82)-('02_Модель'!BC83-'02_Модель'!BB83)-'19_Расчет_аналитики'!BC4826-'19_Расчет_аналитики'!BC4812+('19_Расчет_аналитики'!BC4830-'19_Расчет_аналитики'!BB4830)-'19_Расчет_аналитики'!BC4799,0)</f>
        <v/>
      </c>
      <c r="BD4827">
        <f>IF('01_Вводные'!$B$234="Да",'19_Расчет_аналитики'!BD4786-'19_Расчет_аналитики'!BD4788-('19_Расчет_аналитики'!BD4822-'19_Расчет_аналитики'!BC4822)+('19_Расчет_аналитики'!BD4823-'19_Расчет_аналитики'!BC4823)+('02_Модель'!BD82-'02_Модель'!BC82)-('02_Модель'!BD83-'02_Модель'!BC83)-'19_Расчет_аналитики'!BD4826-'19_Расчет_аналитики'!BD4812+('19_Расчет_аналитики'!BD4830-'19_Расчет_аналитики'!BC4830)-'19_Расчет_аналитики'!BD4799,0)</f>
        <v/>
      </c>
      <c r="BE4827">
        <f>IF('01_Вводные'!$B$234="Да",'19_Расчет_аналитики'!BE4786-'19_Расчет_аналитики'!BE4788-('19_Расчет_аналитики'!BE4822-'19_Расчет_аналитики'!BD4822)+('19_Расчет_аналитики'!BE4823-'19_Расчет_аналитики'!BD4823)+('02_Модель'!BE82-'02_Модель'!BD82)-('02_Модель'!BE83-'02_Модель'!BD83)-'19_Расчет_аналитики'!BE4826-'19_Расчет_аналитики'!BE4812+('19_Расчет_аналитики'!BE4830-'19_Расчет_аналитики'!BD4830)-'19_Расчет_аналитики'!BE4799,0)</f>
        <v/>
      </c>
      <c r="BF4827">
        <f>IF('01_Вводные'!$B$234="Да",'19_Расчет_аналитики'!BF4786-'19_Расчет_аналитики'!BF4788-('19_Расчет_аналитики'!BF4822-'19_Расчет_аналитики'!BE4822)+('19_Расчет_аналитики'!BF4823-'19_Расчет_аналитики'!BE4823)+('02_Модель'!BF82-'02_Модель'!BE82)-('02_Модель'!BF83-'02_Модель'!BE83)-'19_Расчет_аналитики'!BF4826-'19_Расчет_аналитики'!BF4812+('19_Расчет_аналитики'!BF4830-'19_Расчет_аналитики'!BE4830)-'19_Расчет_аналитики'!BF4799,0)</f>
        <v/>
      </c>
      <c r="BG4827">
        <f>IF('01_Вводные'!$B$234="Да",'19_Расчет_аналитики'!BG4786-'19_Расчет_аналитики'!BG4788-('19_Расчет_аналитики'!BG4822-'19_Расчет_аналитики'!BF4822)+('19_Расчет_аналитики'!BG4823-'19_Расчет_аналитики'!BF4823)+('02_Модель'!BG82-'02_Модель'!BF82)-('02_Модель'!BG83-'02_Модель'!BF83)-'19_Расчет_аналитики'!BG4826-'19_Расчет_аналитики'!BG4812+('19_Расчет_аналитики'!BG4830-'19_Расчет_аналитики'!BF4830)-'19_Расчет_аналитики'!BG4799,0)</f>
        <v/>
      </c>
      <c r="BH4827">
        <f>IF('01_Вводные'!$B$234="Да",'19_Расчет_аналитики'!BH4786-'19_Расчет_аналитики'!BH4788-('19_Расчет_аналитики'!BH4822-'19_Расчет_аналитики'!BG4822)+('19_Расчет_аналитики'!BH4823-'19_Расчет_аналитики'!BG4823)+('02_Модель'!BH82-'02_Модель'!BG82)-('02_Модель'!BH83-'02_Модель'!BG83)-'19_Расчет_аналитики'!BH4826-'19_Расчет_аналитики'!BH4812+('19_Расчет_аналитики'!BH4830-'19_Расчет_аналитики'!BG4830)-'19_Расчет_аналитики'!BH4799,0)</f>
        <v/>
      </c>
      <c r="BI4827">
        <f>IF('01_Вводные'!$B$234="Да",'19_Расчет_аналитики'!BI4786-'19_Расчет_аналитики'!BI4788-('19_Расчет_аналитики'!BI4822-'19_Расчет_аналитики'!BH4822)+('19_Расчет_аналитики'!BI4823-'19_Расчет_аналитики'!BH4823)+('02_Модель'!BI82-'02_Модель'!BH82)-('02_Модель'!BI83-'02_Модель'!BH83)-'19_Расчет_аналитики'!BI4826-'19_Расчет_аналитики'!BI4812+('19_Расчет_аналитики'!BI4830-'19_Расчет_аналитики'!BH4830)-'19_Расчет_аналитики'!BI4799,0)</f>
        <v/>
      </c>
    </row>
    <row r="4828">
      <c r="B4828">
        <f>IF('01_Вводные'!$B$234="Да",'19_Расчет_аналитики'!B4827-'19_Расчет_аналитики'!B4813,0)</f>
        <v/>
      </c>
      <c r="C4828">
        <f>IF('01_Вводные'!$B$234="Да",'19_Расчет_аналитики'!C4827-'19_Расчет_аналитики'!C4813,0)</f>
        <v/>
      </c>
      <c r="D4828">
        <f>IF('01_Вводные'!$B$234="Да",'19_Расчет_аналитики'!D4827-'19_Расчет_аналитики'!D4813,0)</f>
        <v/>
      </c>
      <c r="E4828">
        <f>IF('01_Вводные'!$B$234="Да",'19_Расчет_аналитики'!E4827-'19_Расчет_аналитики'!E4813,0)</f>
        <v/>
      </c>
      <c r="F4828">
        <f>IF('01_Вводные'!$B$234="Да",'19_Расчет_аналитики'!F4827-'19_Расчет_аналитики'!F4813,0)</f>
        <v/>
      </c>
      <c r="G4828">
        <f>IF('01_Вводные'!$B$234="Да",'19_Расчет_аналитики'!G4827-'19_Расчет_аналитики'!G4813,0)</f>
        <v/>
      </c>
      <c r="H4828">
        <f>IF('01_Вводные'!$B$234="Да",'19_Расчет_аналитики'!H4827-'19_Расчет_аналитики'!H4813,0)</f>
        <v/>
      </c>
      <c r="I4828">
        <f>IF('01_Вводные'!$B$234="Да",'19_Расчет_аналитики'!I4827-'19_Расчет_аналитики'!I4813,0)</f>
        <v/>
      </c>
      <c r="J4828">
        <f>IF('01_Вводные'!$B$234="Да",'19_Расчет_аналитики'!J4827-'19_Расчет_аналитики'!J4813,0)</f>
        <v/>
      </c>
      <c r="K4828">
        <f>IF('01_Вводные'!$B$234="Да",'19_Расчет_аналитики'!K4827-'19_Расчет_аналитики'!K4813,0)</f>
        <v/>
      </c>
      <c r="L4828">
        <f>IF('01_Вводные'!$B$234="Да",'19_Расчет_аналитики'!L4827-'19_Расчет_аналитики'!L4813,0)</f>
        <v/>
      </c>
      <c r="M4828">
        <f>IF('01_Вводные'!$B$234="Да",'19_Расчет_аналитики'!M4827-'19_Расчет_аналитики'!M4813,0)</f>
        <v/>
      </c>
      <c r="N4828">
        <f>IF('01_Вводные'!$B$234="Да",'19_Расчет_аналитики'!N4827-'19_Расчет_аналитики'!N4813,0)</f>
        <v/>
      </c>
      <c r="O4828">
        <f>IF('01_Вводные'!$B$234="Да",'19_Расчет_аналитики'!O4827-'19_Расчет_аналитики'!O4813,0)</f>
        <v/>
      </c>
      <c r="P4828">
        <f>IF('01_Вводные'!$B$234="Да",'19_Расчет_аналитики'!P4827-'19_Расчет_аналитики'!P4813,0)</f>
        <v/>
      </c>
      <c r="Q4828">
        <f>IF('01_Вводные'!$B$234="Да",'19_Расчет_аналитики'!Q4827-'19_Расчет_аналитики'!Q4813,0)</f>
        <v/>
      </c>
      <c r="R4828">
        <f>IF('01_Вводные'!$B$234="Да",'19_Расчет_аналитики'!R4827-'19_Расчет_аналитики'!R4813,0)</f>
        <v/>
      </c>
      <c r="S4828">
        <f>IF('01_Вводные'!$B$234="Да",'19_Расчет_аналитики'!S4827-'19_Расчет_аналитики'!S4813,0)</f>
        <v/>
      </c>
      <c r="T4828">
        <f>IF('01_Вводные'!$B$234="Да",'19_Расчет_аналитики'!T4827-'19_Расчет_аналитики'!T4813,0)</f>
        <v/>
      </c>
      <c r="U4828">
        <f>IF('01_Вводные'!$B$234="Да",'19_Расчет_аналитики'!U4827-'19_Расчет_аналитики'!U4813,0)</f>
        <v/>
      </c>
      <c r="V4828">
        <f>IF('01_Вводные'!$B$234="Да",'19_Расчет_аналитики'!V4827-'19_Расчет_аналитики'!V4813,0)</f>
        <v/>
      </c>
      <c r="W4828">
        <f>IF('01_Вводные'!$B$234="Да",'19_Расчет_аналитики'!W4827-'19_Расчет_аналитики'!W4813,0)</f>
        <v/>
      </c>
      <c r="X4828">
        <f>IF('01_Вводные'!$B$234="Да",'19_Расчет_аналитики'!X4827-'19_Расчет_аналитики'!X4813,0)</f>
        <v/>
      </c>
      <c r="Y4828">
        <f>IF('01_Вводные'!$B$234="Да",'19_Расчет_аналитики'!Y4827-'19_Расчет_аналитики'!Y4813,0)</f>
        <v/>
      </c>
      <c r="Z4828">
        <f>IF('01_Вводные'!$B$234="Да",'19_Расчет_аналитики'!Z4827-'19_Расчет_аналитики'!Z4813,0)</f>
        <v/>
      </c>
      <c r="AA4828">
        <f>IF('01_Вводные'!$B$234="Да",'19_Расчет_аналитики'!AA4827-'19_Расчет_аналитики'!AA4813,0)</f>
        <v/>
      </c>
      <c r="AB4828">
        <f>IF('01_Вводные'!$B$234="Да",'19_Расчет_аналитики'!AB4827-'19_Расчет_аналитики'!AB4813,0)</f>
        <v/>
      </c>
      <c r="AC4828">
        <f>IF('01_Вводные'!$B$234="Да",'19_Расчет_аналитики'!AC4827-'19_Расчет_аналитики'!AC4813,0)</f>
        <v/>
      </c>
      <c r="AD4828">
        <f>IF('01_Вводные'!$B$234="Да",'19_Расчет_аналитики'!AD4827-'19_Расчет_аналитики'!AD4813,0)</f>
        <v/>
      </c>
      <c r="AE4828">
        <f>IF('01_Вводные'!$B$234="Да",'19_Расчет_аналитики'!AE4827-'19_Расчет_аналитики'!AE4813,0)</f>
        <v/>
      </c>
      <c r="AF4828">
        <f>IF('01_Вводные'!$B$234="Да",'19_Расчет_аналитики'!AF4827-'19_Расчет_аналитики'!AF4813,0)</f>
        <v/>
      </c>
      <c r="AG4828">
        <f>IF('01_Вводные'!$B$234="Да",'19_Расчет_аналитики'!AG4827-'19_Расчет_аналитики'!AG4813,0)</f>
        <v/>
      </c>
      <c r="AH4828">
        <f>IF('01_Вводные'!$B$234="Да",'19_Расчет_аналитики'!AH4827-'19_Расчет_аналитики'!AH4813,0)</f>
        <v/>
      </c>
      <c r="AI4828">
        <f>IF('01_Вводные'!$B$234="Да",'19_Расчет_аналитики'!AI4827-'19_Расчет_аналитики'!AI4813,0)</f>
        <v/>
      </c>
      <c r="AJ4828">
        <f>IF('01_Вводные'!$B$234="Да",'19_Расчет_аналитики'!AJ4827-'19_Расчет_аналитики'!AJ4813,0)</f>
        <v/>
      </c>
      <c r="AK4828">
        <f>IF('01_Вводные'!$B$234="Да",'19_Расчет_аналитики'!AK4827-'19_Расчет_аналитики'!AK4813,0)</f>
        <v/>
      </c>
      <c r="AL4828">
        <f>IF('01_Вводные'!$B$234="Да",'19_Расчет_аналитики'!AL4827-'19_Расчет_аналитики'!AL4813,0)</f>
        <v/>
      </c>
      <c r="AM4828">
        <f>IF('01_Вводные'!$B$234="Да",'19_Расчет_аналитики'!AM4827-'19_Расчет_аналитики'!AM4813,0)</f>
        <v/>
      </c>
      <c r="AN4828">
        <f>IF('01_Вводные'!$B$234="Да",'19_Расчет_аналитики'!AN4827-'19_Расчет_аналитики'!AN4813,0)</f>
        <v/>
      </c>
      <c r="AO4828">
        <f>IF('01_Вводные'!$B$234="Да",'19_Расчет_аналитики'!AO4827-'19_Расчет_аналитики'!AO4813,0)</f>
        <v/>
      </c>
      <c r="AP4828">
        <f>IF('01_Вводные'!$B$234="Да",'19_Расчет_аналитики'!AP4827-'19_Расчет_аналитики'!AP4813,0)</f>
        <v/>
      </c>
      <c r="AQ4828">
        <f>IF('01_Вводные'!$B$234="Да",'19_Расчет_аналитики'!AQ4827-'19_Расчет_аналитики'!AQ4813,0)</f>
        <v/>
      </c>
      <c r="AR4828">
        <f>IF('01_Вводные'!$B$234="Да",'19_Расчет_аналитики'!AR4827-'19_Расчет_аналитики'!AR4813,0)</f>
        <v/>
      </c>
      <c r="AS4828">
        <f>IF('01_Вводные'!$B$234="Да",'19_Расчет_аналитики'!AS4827-'19_Расчет_аналитики'!AS4813,0)</f>
        <v/>
      </c>
      <c r="AT4828">
        <f>IF('01_Вводные'!$B$234="Да",'19_Расчет_аналитики'!AT4827-'19_Расчет_аналитики'!AT4813,0)</f>
        <v/>
      </c>
      <c r="AU4828">
        <f>IF('01_Вводные'!$B$234="Да",'19_Расчет_аналитики'!AU4827-'19_Расчет_аналитики'!AU4813,0)</f>
        <v/>
      </c>
      <c r="AV4828">
        <f>IF('01_Вводные'!$B$234="Да",'19_Расчет_аналитики'!AV4827-'19_Расчет_аналитики'!AV4813,0)</f>
        <v/>
      </c>
      <c r="AW4828">
        <f>IF('01_Вводные'!$B$234="Да",'19_Расчет_аналитики'!AW4827-'19_Расчет_аналитики'!AW4813,0)</f>
        <v/>
      </c>
      <c r="AX4828">
        <f>IF('01_Вводные'!$B$234="Да",'19_Расчет_аналитики'!AX4827-'19_Расчет_аналитики'!AX4813,0)</f>
        <v/>
      </c>
      <c r="AY4828">
        <f>IF('01_Вводные'!$B$234="Да",'19_Расчет_аналитики'!AY4827-'19_Расчет_аналитики'!AY4813,0)</f>
        <v/>
      </c>
      <c r="AZ4828">
        <f>IF('01_Вводные'!$B$234="Да",'19_Расчет_аналитики'!AZ4827-'19_Расчет_аналитики'!AZ4813,0)</f>
        <v/>
      </c>
      <c r="BA4828">
        <f>IF('01_Вводные'!$B$234="Да",'19_Расчет_аналитики'!BA4827-'19_Расчет_аналитики'!BA4813,0)</f>
        <v/>
      </c>
      <c r="BB4828">
        <f>IF('01_Вводные'!$B$234="Да",'19_Расчет_аналитики'!BB4827-'19_Расчет_аналитики'!BB4813,0)</f>
        <v/>
      </c>
      <c r="BC4828">
        <f>IF('01_Вводные'!$B$234="Да",'19_Расчет_аналитики'!BC4827-'19_Расчет_аналитики'!BC4813,0)</f>
        <v/>
      </c>
      <c r="BD4828">
        <f>IF('01_Вводные'!$B$234="Да",'19_Расчет_аналитики'!BD4827-'19_Расчет_аналитики'!BD4813,0)</f>
        <v/>
      </c>
      <c r="BE4828">
        <f>IF('01_Вводные'!$B$234="Да",'19_Расчет_аналитики'!BE4827-'19_Расчет_аналитики'!BE4813,0)</f>
        <v/>
      </c>
      <c r="BF4828">
        <f>IF('01_Вводные'!$B$234="Да",'19_Расчет_аналитики'!BF4827-'19_Расчет_аналитики'!BF4813,0)</f>
        <v/>
      </c>
      <c r="BG4828">
        <f>IF('01_Вводные'!$B$234="Да",'19_Расчет_аналитики'!BG4827-'19_Расчет_аналитики'!BG4813,0)</f>
        <v/>
      </c>
      <c r="BH4828">
        <f>IF('01_Вводные'!$B$234="Да",'19_Расчет_аналитики'!BH4827-'19_Расчет_аналитики'!BH4813,0)</f>
        <v/>
      </c>
      <c r="BI4828">
        <f>IF('01_Вводные'!$B$234="Да",'19_Расчет_аналитики'!BI4827-'19_Расчет_аналитики'!BI4813,0)</f>
        <v/>
      </c>
    </row>
    <row r="4829">
      <c r="B4829">
        <f>IF('01_Вводные'!$B$234="Да",'07_Мерч'!B22+'19_Расчет_аналитики'!B4674-'19_Расчет_аналитики'!B4672-'19_Расчет_аналитики'!B4675,0)</f>
        <v/>
      </c>
      <c r="C4829">
        <f>IF('01_Вводные'!$B$234="Да",'19_Расчет_аналитики'!C4671+'19_Расчет_аналитики'!C4674-'19_Расчет_аналитики'!C4672-'19_Расчет_аналитики'!C4675,0)</f>
        <v/>
      </c>
      <c r="D4829">
        <f>IF('01_Вводные'!$B$234="Да",'19_Расчет_аналитики'!D4671+'19_Расчет_аналитики'!D4674-'19_Расчет_аналитики'!D4672-'19_Расчет_аналитики'!D4675,0)</f>
        <v/>
      </c>
      <c r="E4829">
        <f>IF('01_Вводные'!$B$234="Да",'19_Расчет_аналитики'!E4671+'19_Расчет_аналитики'!E4674-'19_Расчет_аналитики'!E4672-'19_Расчет_аналитики'!E4675,0)</f>
        <v/>
      </c>
      <c r="F4829">
        <f>IF('01_Вводные'!$B$234="Да",'19_Расчет_аналитики'!F4671+'19_Расчет_аналитики'!F4674-'19_Расчет_аналитики'!F4672-'19_Расчет_аналитики'!F4675,0)</f>
        <v/>
      </c>
      <c r="G4829">
        <f>IF('01_Вводные'!$B$234="Да",'19_Расчет_аналитики'!G4671+'19_Расчет_аналитики'!G4674-'19_Расчет_аналитики'!G4672-'19_Расчет_аналитики'!G4675,0)</f>
        <v/>
      </c>
      <c r="H4829">
        <f>IF('01_Вводные'!$B$234="Да",'19_Расчет_аналитики'!H4671+'19_Расчет_аналитики'!H4674-'19_Расчет_аналитики'!H4672-'19_Расчет_аналитики'!H4675,0)</f>
        <v/>
      </c>
      <c r="I4829">
        <f>IF('01_Вводные'!$B$234="Да",'19_Расчет_аналитики'!I4671+'19_Расчет_аналитики'!I4674-'19_Расчет_аналитики'!I4672-'19_Расчет_аналитики'!I4675,0)</f>
        <v/>
      </c>
      <c r="J4829">
        <f>IF('01_Вводные'!$B$234="Да",'19_Расчет_аналитики'!J4671+'19_Расчет_аналитики'!J4674-'19_Расчет_аналитики'!J4672-'19_Расчет_аналитики'!J4675,0)</f>
        <v/>
      </c>
      <c r="K4829">
        <f>IF('01_Вводные'!$B$234="Да",'19_Расчет_аналитики'!K4671+'19_Расчет_аналитики'!K4674-'19_Расчет_аналитики'!K4672-'19_Расчет_аналитики'!K4675,0)</f>
        <v/>
      </c>
      <c r="L4829">
        <f>IF('01_Вводные'!$B$234="Да",'19_Расчет_аналитики'!L4671+'19_Расчет_аналитики'!L4674-'19_Расчет_аналитики'!L4672-'19_Расчет_аналитики'!L4675,0)</f>
        <v/>
      </c>
      <c r="M4829">
        <f>IF('01_Вводные'!$B$234="Да",'19_Расчет_аналитики'!M4671+'19_Расчет_аналитики'!M4674-'19_Расчет_аналитики'!M4672-'19_Расчет_аналитики'!M4675,0)</f>
        <v/>
      </c>
      <c r="N4829">
        <f>IF('01_Вводные'!$B$234="Да",'19_Расчет_аналитики'!N4671+'19_Расчет_аналитики'!N4674-'19_Расчет_аналитики'!N4672-'19_Расчет_аналитики'!N4675,0)</f>
        <v/>
      </c>
      <c r="O4829">
        <f>IF('01_Вводные'!$B$234="Да",'19_Расчет_аналитики'!O4671+'19_Расчет_аналитики'!O4674-'19_Расчет_аналитики'!O4672-'19_Расчет_аналитики'!O4675,0)</f>
        <v/>
      </c>
      <c r="P4829">
        <f>IF('01_Вводные'!$B$234="Да",'19_Расчет_аналитики'!P4671+'19_Расчет_аналитики'!P4674-'19_Расчет_аналитики'!P4672-'19_Расчет_аналитики'!P4675,0)</f>
        <v/>
      </c>
      <c r="Q4829">
        <f>IF('01_Вводные'!$B$234="Да",'19_Расчет_аналитики'!Q4671+'19_Расчет_аналитики'!Q4674-'19_Расчет_аналитики'!Q4672-'19_Расчет_аналитики'!Q4675,0)</f>
        <v/>
      </c>
      <c r="R4829">
        <f>IF('01_Вводные'!$B$234="Да",'19_Расчет_аналитики'!R4671+'19_Расчет_аналитики'!R4674-'19_Расчет_аналитики'!R4672-'19_Расчет_аналитики'!R4675,0)</f>
        <v/>
      </c>
      <c r="S4829">
        <f>IF('01_Вводные'!$B$234="Да",'19_Расчет_аналитики'!S4671+'19_Расчет_аналитики'!S4674-'19_Расчет_аналитики'!S4672-'19_Расчет_аналитики'!S4675,0)</f>
        <v/>
      </c>
      <c r="T4829">
        <f>IF('01_Вводные'!$B$234="Да",'19_Расчет_аналитики'!T4671+'19_Расчет_аналитики'!T4674-'19_Расчет_аналитики'!T4672-'19_Расчет_аналитики'!T4675,0)</f>
        <v/>
      </c>
      <c r="U4829">
        <f>IF('01_Вводные'!$B$234="Да",'19_Расчет_аналитики'!U4671+'19_Расчет_аналитики'!U4674-'19_Расчет_аналитики'!U4672-'19_Расчет_аналитики'!U4675,0)</f>
        <v/>
      </c>
      <c r="V4829">
        <f>IF('01_Вводные'!$B$234="Да",'19_Расчет_аналитики'!V4671+'19_Расчет_аналитики'!V4674-'19_Расчет_аналитики'!V4672-'19_Расчет_аналитики'!V4675,0)</f>
        <v/>
      </c>
      <c r="W4829">
        <f>IF('01_Вводные'!$B$234="Да",'19_Расчет_аналитики'!W4671+'19_Расчет_аналитики'!W4674-'19_Расчет_аналитики'!W4672-'19_Расчет_аналитики'!W4675,0)</f>
        <v/>
      </c>
      <c r="X4829">
        <f>IF('01_Вводные'!$B$234="Да",'19_Расчет_аналитики'!X4671+'19_Расчет_аналитики'!X4674-'19_Расчет_аналитики'!X4672-'19_Расчет_аналитики'!X4675,0)</f>
        <v/>
      </c>
      <c r="Y4829">
        <f>IF('01_Вводные'!$B$234="Да",'19_Расчет_аналитики'!Y4671+'19_Расчет_аналитики'!Y4674-'19_Расчет_аналитики'!Y4672-'19_Расчет_аналитики'!Y4675,0)</f>
        <v/>
      </c>
      <c r="Z4829">
        <f>IF('01_Вводные'!$B$234="Да",'19_Расчет_аналитики'!Z4671+'19_Расчет_аналитики'!Z4674-'19_Расчет_аналитики'!Z4672-'19_Расчет_аналитики'!Z4675,0)</f>
        <v/>
      </c>
      <c r="AA4829">
        <f>IF('01_Вводные'!$B$234="Да",'19_Расчет_аналитики'!AA4671+'19_Расчет_аналитики'!AA4674-'19_Расчет_аналитики'!AA4672-'19_Расчет_аналитики'!AA4675,0)</f>
        <v/>
      </c>
      <c r="AB4829">
        <f>IF('01_Вводные'!$B$234="Да",'19_Расчет_аналитики'!AB4671+'19_Расчет_аналитики'!AB4674-'19_Расчет_аналитики'!AB4672-'19_Расчет_аналитики'!AB4675,0)</f>
        <v/>
      </c>
      <c r="AC4829">
        <f>IF('01_Вводные'!$B$234="Да",'19_Расчет_аналитики'!AC4671+'19_Расчет_аналитики'!AC4674-'19_Расчет_аналитики'!AC4672-'19_Расчет_аналитики'!AC4675,0)</f>
        <v/>
      </c>
      <c r="AD4829">
        <f>IF('01_Вводные'!$B$234="Да",'19_Расчет_аналитики'!AD4671+'19_Расчет_аналитики'!AD4674-'19_Расчет_аналитики'!AD4672-'19_Расчет_аналитики'!AD4675,0)</f>
        <v/>
      </c>
      <c r="AE4829">
        <f>IF('01_Вводные'!$B$234="Да",'19_Расчет_аналитики'!AE4671+'19_Расчет_аналитики'!AE4674-'19_Расчет_аналитики'!AE4672-'19_Расчет_аналитики'!AE4675,0)</f>
        <v/>
      </c>
      <c r="AF4829">
        <f>IF('01_Вводные'!$B$234="Да",'19_Расчет_аналитики'!AF4671+'19_Расчет_аналитики'!AF4674-'19_Расчет_аналитики'!AF4672-'19_Расчет_аналитики'!AF4675,0)</f>
        <v/>
      </c>
      <c r="AG4829">
        <f>IF('01_Вводные'!$B$234="Да",'19_Расчет_аналитики'!AG4671+'19_Расчет_аналитики'!AG4674-'19_Расчет_аналитики'!AG4672-'19_Расчет_аналитики'!AG4675,0)</f>
        <v/>
      </c>
      <c r="AH4829">
        <f>IF('01_Вводные'!$B$234="Да",'19_Расчет_аналитики'!AH4671+'19_Расчет_аналитики'!AH4674-'19_Расчет_аналитики'!AH4672-'19_Расчет_аналитики'!AH4675,0)</f>
        <v/>
      </c>
      <c r="AI4829">
        <f>IF('01_Вводные'!$B$234="Да",'19_Расчет_аналитики'!AI4671+'19_Расчет_аналитики'!AI4674-'19_Расчет_аналитики'!AI4672-'19_Расчет_аналитики'!AI4675,0)</f>
        <v/>
      </c>
      <c r="AJ4829">
        <f>IF('01_Вводные'!$B$234="Да",'19_Расчет_аналитики'!AJ4671+'19_Расчет_аналитики'!AJ4674-'19_Расчет_аналитики'!AJ4672-'19_Расчет_аналитики'!AJ4675,0)</f>
        <v/>
      </c>
      <c r="AK4829">
        <f>IF('01_Вводные'!$B$234="Да",'19_Расчет_аналитики'!AK4671+'19_Расчет_аналитики'!AK4674-'19_Расчет_аналитики'!AK4672-'19_Расчет_аналитики'!AK4675,0)</f>
        <v/>
      </c>
      <c r="AL4829">
        <f>IF('01_Вводные'!$B$234="Да",'19_Расчет_аналитики'!AL4671+'19_Расчет_аналитики'!AL4674-'19_Расчет_аналитики'!AL4672-'19_Расчет_аналитики'!AL4675,0)</f>
        <v/>
      </c>
      <c r="AM4829">
        <f>IF('01_Вводные'!$B$234="Да",'19_Расчет_аналитики'!AM4671+'19_Расчет_аналитики'!AM4674-'19_Расчет_аналитики'!AM4672-'19_Расчет_аналитики'!AM4675,0)</f>
        <v/>
      </c>
      <c r="AN4829">
        <f>IF('01_Вводные'!$B$234="Да",'19_Расчет_аналитики'!AN4671+'19_Расчет_аналитики'!AN4674-'19_Расчет_аналитики'!AN4672-'19_Расчет_аналитики'!AN4675,0)</f>
        <v/>
      </c>
      <c r="AO4829">
        <f>IF('01_Вводные'!$B$234="Да",'19_Расчет_аналитики'!AO4671+'19_Расчет_аналитики'!AO4674-'19_Расчет_аналитики'!AO4672-'19_Расчет_аналитики'!AO4675,0)</f>
        <v/>
      </c>
      <c r="AP4829">
        <f>IF('01_Вводные'!$B$234="Да",'19_Расчет_аналитики'!AP4671+'19_Расчет_аналитики'!AP4674-'19_Расчет_аналитики'!AP4672-'19_Расчет_аналитики'!AP4675,0)</f>
        <v/>
      </c>
      <c r="AQ4829">
        <f>IF('01_Вводные'!$B$234="Да",'19_Расчет_аналитики'!AQ4671+'19_Расчет_аналитики'!AQ4674-'19_Расчет_аналитики'!AQ4672-'19_Расчет_аналитики'!AQ4675,0)</f>
        <v/>
      </c>
      <c r="AR4829">
        <f>IF('01_Вводные'!$B$234="Да",'19_Расчет_аналитики'!AR4671+'19_Расчет_аналитики'!AR4674-'19_Расчет_аналитики'!AR4672-'19_Расчет_аналитики'!AR4675,0)</f>
        <v/>
      </c>
      <c r="AS4829">
        <f>IF('01_Вводные'!$B$234="Да",'19_Расчет_аналитики'!AS4671+'19_Расчет_аналитики'!AS4674-'19_Расчет_аналитики'!AS4672-'19_Расчет_аналитики'!AS4675,0)</f>
        <v/>
      </c>
      <c r="AT4829">
        <f>IF('01_Вводные'!$B$234="Да",'19_Расчет_аналитики'!AT4671+'19_Расчет_аналитики'!AT4674-'19_Расчет_аналитики'!AT4672-'19_Расчет_аналитики'!AT4675,0)</f>
        <v/>
      </c>
      <c r="AU4829">
        <f>IF('01_Вводные'!$B$234="Да",'19_Расчет_аналитики'!AU4671+'19_Расчет_аналитики'!AU4674-'19_Расчет_аналитики'!AU4672-'19_Расчет_аналитики'!AU4675,0)</f>
        <v/>
      </c>
      <c r="AV4829">
        <f>IF('01_Вводные'!$B$234="Да",'19_Расчет_аналитики'!AV4671+'19_Расчет_аналитики'!AV4674-'19_Расчет_аналитики'!AV4672-'19_Расчет_аналитики'!AV4675,0)</f>
        <v/>
      </c>
      <c r="AW4829">
        <f>IF('01_Вводные'!$B$234="Да",'19_Расчет_аналитики'!AW4671+'19_Расчет_аналитики'!AW4674-'19_Расчет_аналитики'!AW4672-'19_Расчет_аналитики'!AW4675,0)</f>
        <v/>
      </c>
      <c r="AX4829">
        <f>IF('01_Вводные'!$B$234="Да",'19_Расчет_аналитики'!AX4671+'19_Расчет_аналитики'!AX4674-'19_Расчет_аналитики'!AX4672-'19_Расчет_аналитики'!AX4675,0)</f>
        <v/>
      </c>
      <c r="AY4829">
        <f>IF('01_Вводные'!$B$234="Да",'19_Расчет_аналитики'!AY4671+'19_Расчет_аналитики'!AY4674-'19_Расчет_аналитики'!AY4672-'19_Расчет_аналитики'!AY4675,0)</f>
        <v/>
      </c>
      <c r="AZ4829">
        <f>IF('01_Вводные'!$B$234="Да",'19_Расчет_аналитики'!AZ4671+'19_Расчет_аналитики'!AZ4674-'19_Расчет_аналитики'!AZ4672-'19_Расчет_аналитики'!AZ4675,0)</f>
        <v/>
      </c>
      <c r="BA4829">
        <f>IF('01_Вводные'!$B$234="Да",'19_Расчет_аналитики'!BA4671+'19_Расчет_аналитики'!BA4674-'19_Расчет_аналитики'!BA4672-'19_Расчет_аналитики'!BA4675,0)</f>
        <v/>
      </c>
      <c r="BB4829">
        <f>IF('01_Вводные'!$B$234="Да",'19_Расчет_аналитики'!BB4671+'19_Расчет_аналитики'!BB4674-'19_Расчет_аналитики'!BB4672-'19_Расчет_аналитики'!BB4675,0)</f>
        <v/>
      </c>
      <c r="BC4829">
        <f>IF('01_Вводные'!$B$234="Да",'19_Расчет_аналитики'!BC4671+'19_Расчет_аналитики'!BC4674-'19_Расчет_аналитики'!BC4672-'19_Расчет_аналитики'!BC4675,0)</f>
        <v/>
      </c>
      <c r="BD4829">
        <f>IF('01_Вводные'!$B$234="Да",'19_Расчет_аналитики'!BD4671+'19_Расчет_аналитики'!BD4674-'19_Расчет_аналитики'!BD4672-'19_Расчет_аналитики'!BD4675,0)</f>
        <v/>
      </c>
      <c r="BE4829">
        <f>IF('01_Вводные'!$B$234="Да",'19_Расчет_аналитики'!BE4671+'19_Расчет_аналитики'!BE4674-'19_Расчет_аналитики'!BE4672-'19_Расчет_аналитики'!BE4675,0)</f>
        <v/>
      </c>
      <c r="BF4829">
        <f>IF('01_Вводные'!$B$234="Да",'19_Расчет_аналитики'!BF4671+'19_Расчет_аналитики'!BF4674-'19_Расчет_аналитики'!BF4672-'19_Расчет_аналитики'!BF4675,0)</f>
        <v/>
      </c>
      <c r="BG4829">
        <f>IF('01_Вводные'!$B$234="Да",'19_Расчет_аналитики'!BG4671+'19_Расчет_аналитики'!BG4674-'19_Расчет_аналитики'!BG4672-'19_Расчет_аналитики'!BG4675,0)</f>
        <v/>
      </c>
      <c r="BH4829">
        <f>IF('01_Вводные'!$B$234="Да",'19_Расчет_аналитики'!BH4671+'19_Расчет_аналитики'!BH4674-'19_Расчет_аналитики'!BH4672-'19_Расчет_аналитики'!BH4675,0)</f>
        <v/>
      </c>
      <c r="BI4829">
        <f>IF('01_Вводные'!$B$234="Да",'19_Расчет_аналитики'!BI4671+'19_Расчет_аналитики'!BI4674-'19_Расчет_аналитики'!BI4672-'19_Расчет_аналитики'!BI4675,0)</f>
        <v/>
      </c>
    </row>
    <row r="4830">
      <c r="B4830">
        <f>IF('01_Вводные'!$B$234="Да",0+SUM('19_Расчет_аналитики'!B4770:B4772)-'19_Расчет_аналитики'!B4803,0)</f>
        <v/>
      </c>
      <c r="C4830">
        <f>IF('01_Вводные'!$B$234="Да",'19_Расчет_аналитики'!B4830+SUM('19_Расчет_аналитики'!C4770:C4772)-'19_Расчет_аналитики'!C4803,0)</f>
        <v/>
      </c>
      <c r="D4830">
        <f>IF('01_Вводные'!$B$234="Да",'19_Расчет_аналитики'!C4830+SUM('19_Расчет_аналитики'!D4770:D4772)-'19_Расчет_аналитики'!D4803,0)</f>
        <v/>
      </c>
      <c r="E4830">
        <f>IF('01_Вводные'!$B$234="Да",'19_Расчет_аналитики'!D4830+SUM('19_Расчет_аналитики'!E4770:E4772)-'19_Расчет_аналитики'!E4803,0)</f>
        <v/>
      </c>
      <c r="F4830">
        <f>IF('01_Вводные'!$B$234="Да",'19_Расчет_аналитики'!E4830+SUM('19_Расчет_аналитики'!F4770:F4772)-'19_Расчет_аналитики'!F4803,0)</f>
        <v/>
      </c>
      <c r="G4830">
        <f>IF('01_Вводные'!$B$234="Да",'19_Расчет_аналитики'!F4830+SUM('19_Расчет_аналитики'!G4770:G4772)-'19_Расчет_аналитики'!G4803,0)</f>
        <v/>
      </c>
      <c r="H4830">
        <f>IF('01_Вводные'!$B$234="Да",'19_Расчет_аналитики'!G4830+SUM('19_Расчет_аналитики'!H4770:H4772)-'19_Расчет_аналитики'!H4803,0)</f>
        <v/>
      </c>
      <c r="I4830">
        <f>IF('01_Вводные'!$B$234="Да",'19_Расчет_аналитики'!H4830+SUM('19_Расчет_аналитики'!I4770:I4772)-'19_Расчет_аналитики'!I4803,0)</f>
        <v/>
      </c>
      <c r="J4830">
        <f>IF('01_Вводные'!$B$234="Да",'19_Расчет_аналитики'!I4830+SUM('19_Расчет_аналитики'!J4770:J4772)-'19_Расчет_аналитики'!J4803,0)</f>
        <v/>
      </c>
      <c r="K4830">
        <f>IF('01_Вводные'!$B$234="Да",'19_Расчет_аналитики'!J4830+SUM('19_Расчет_аналитики'!K4770:K4772)-'19_Расчет_аналитики'!K4803,0)</f>
        <v/>
      </c>
      <c r="L4830">
        <f>IF('01_Вводные'!$B$234="Да",'19_Расчет_аналитики'!K4830+SUM('19_Расчет_аналитики'!L4770:L4772)-'19_Расчет_аналитики'!L4803,0)</f>
        <v/>
      </c>
      <c r="M4830">
        <f>IF('01_Вводные'!$B$234="Да",'19_Расчет_аналитики'!L4830+SUM('19_Расчет_аналитики'!M4770:M4772)-'19_Расчет_аналитики'!M4803,0)</f>
        <v/>
      </c>
      <c r="N4830">
        <f>IF('01_Вводные'!$B$234="Да",'19_Расчет_аналитики'!M4830+SUM('19_Расчет_аналитики'!N4770:N4772)-'19_Расчет_аналитики'!N4803,0)</f>
        <v/>
      </c>
      <c r="O4830">
        <f>IF('01_Вводные'!$B$234="Да",'19_Расчет_аналитики'!N4830+SUM('19_Расчет_аналитики'!O4770:O4772)-'19_Расчет_аналитики'!O4803,0)</f>
        <v/>
      </c>
      <c r="P4830">
        <f>IF('01_Вводные'!$B$234="Да",'19_Расчет_аналитики'!O4830+SUM('19_Расчет_аналитики'!P4770:P4772)-'19_Расчет_аналитики'!P4803,0)</f>
        <v/>
      </c>
      <c r="Q4830">
        <f>IF('01_Вводные'!$B$234="Да",'19_Расчет_аналитики'!P4830+SUM('19_Расчет_аналитики'!Q4770:Q4772)-'19_Расчет_аналитики'!Q4803,0)</f>
        <v/>
      </c>
      <c r="R4830">
        <f>IF('01_Вводные'!$B$234="Да",'19_Расчет_аналитики'!Q4830+SUM('19_Расчет_аналитики'!R4770:R4772)-'19_Расчет_аналитики'!R4803,0)</f>
        <v/>
      </c>
      <c r="S4830">
        <f>IF('01_Вводные'!$B$234="Да",'19_Расчет_аналитики'!R4830+SUM('19_Расчет_аналитики'!S4770:S4772)-'19_Расчет_аналитики'!S4803,0)</f>
        <v/>
      </c>
      <c r="T4830">
        <f>IF('01_Вводные'!$B$234="Да",'19_Расчет_аналитики'!S4830+SUM('19_Расчет_аналитики'!T4770:T4772)-'19_Расчет_аналитики'!T4803,0)</f>
        <v/>
      </c>
      <c r="U4830">
        <f>IF('01_Вводные'!$B$234="Да",'19_Расчет_аналитики'!T4830+SUM('19_Расчет_аналитики'!U4770:U4772)-'19_Расчет_аналитики'!U4803,0)</f>
        <v/>
      </c>
      <c r="V4830">
        <f>IF('01_Вводные'!$B$234="Да",'19_Расчет_аналитики'!U4830+SUM('19_Расчет_аналитики'!V4770:V4772)-'19_Расчет_аналитики'!V4803,0)</f>
        <v/>
      </c>
      <c r="W4830">
        <f>IF('01_Вводные'!$B$234="Да",'19_Расчет_аналитики'!V4830+SUM('19_Расчет_аналитики'!W4770:W4772)-'19_Расчет_аналитики'!W4803,0)</f>
        <v/>
      </c>
      <c r="X4830">
        <f>IF('01_Вводные'!$B$234="Да",'19_Расчет_аналитики'!W4830+SUM('19_Расчет_аналитики'!X4770:X4772)-'19_Расчет_аналитики'!X4803,0)</f>
        <v/>
      </c>
      <c r="Y4830">
        <f>IF('01_Вводные'!$B$234="Да",'19_Расчет_аналитики'!X4830+SUM('19_Расчет_аналитики'!Y4770:Y4772)-'19_Расчет_аналитики'!Y4803,0)</f>
        <v/>
      </c>
      <c r="Z4830">
        <f>IF('01_Вводные'!$B$234="Да",'19_Расчет_аналитики'!Y4830+SUM('19_Расчет_аналитики'!Z4770:Z4772)-'19_Расчет_аналитики'!Z4803,0)</f>
        <v/>
      </c>
      <c r="AA4830">
        <f>IF('01_Вводные'!$B$234="Да",'19_Расчет_аналитики'!Z4830+SUM('19_Расчет_аналитики'!AA4770:AA4772)-'19_Расчет_аналитики'!AA4803,0)</f>
        <v/>
      </c>
      <c r="AB4830">
        <f>IF('01_Вводные'!$B$234="Да",'19_Расчет_аналитики'!AA4830+SUM('19_Расчет_аналитики'!AB4770:AB4772)-'19_Расчет_аналитики'!AB4803,0)</f>
        <v/>
      </c>
      <c r="AC4830">
        <f>IF('01_Вводные'!$B$234="Да",'19_Расчет_аналитики'!AB4830+SUM('19_Расчет_аналитики'!AC4770:AC4772)-'19_Расчет_аналитики'!AC4803,0)</f>
        <v/>
      </c>
      <c r="AD4830">
        <f>IF('01_Вводные'!$B$234="Да",'19_Расчет_аналитики'!AC4830+SUM('19_Расчет_аналитики'!AD4770:AD4772)-'19_Расчет_аналитики'!AD4803,0)</f>
        <v/>
      </c>
      <c r="AE4830">
        <f>IF('01_Вводные'!$B$234="Да",'19_Расчет_аналитики'!AD4830+SUM('19_Расчет_аналитики'!AE4770:AE4772)-'19_Расчет_аналитики'!AE4803,0)</f>
        <v/>
      </c>
      <c r="AF4830">
        <f>IF('01_Вводные'!$B$234="Да",'19_Расчет_аналитики'!AE4830+SUM('19_Расчет_аналитики'!AF4770:AF4772)-'19_Расчет_аналитики'!AF4803,0)</f>
        <v/>
      </c>
      <c r="AG4830">
        <f>IF('01_Вводные'!$B$234="Да",'19_Расчет_аналитики'!AF4830+SUM('19_Расчет_аналитики'!AG4770:AG4772)-'19_Расчет_аналитики'!AG4803,0)</f>
        <v/>
      </c>
      <c r="AH4830">
        <f>IF('01_Вводные'!$B$234="Да",'19_Расчет_аналитики'!AG4830+SUM('19_Расчет_аналитики'!AH4770:AH4772)-'19_Расчет_аналитики'!AH4803,0)</f>
        <v/>
      </c>
      <c r="AI4830">
        <f>IF('01_Вводные'!$B$234="Да",'19_Расчет_аналитики'!AH4830+SUM('19_Расчет_аналитики'!AI4770:AI4772)-'19_Расчет_аналитики'!AI4803,0)</f>
        <v/>
      </c>
      <c r="AJ4830">
        <f>IF('01_Вводные'!$B$234="Да",'19_Расчет_аналитики'!AI4830+SUM('19_Расчет_аналитики'!AJ4770:AJ4772)-'19_Расчет_аналитики'!AJ4803,0)</f>
        <v/>
      </c>
      <c r="AK4830">
        <f>IF('01_Вводные'!$B$234="Да",'19_Расчет_аналитики'!AJ4830+SUM('19_Расчет_аналитики'!AK4770:AK4772)-'19_Расчет_аналитики'!AK4803,0)</f>
        <v/>
      </c>
      <c r="AL4830">
        <f>IF('01_Вводные'!$B$234="Да",'19_Расчет_аналитики'!AK4830+SUM('19_Расчет_аналитики'!AL4770:AL4772)-'19_Расчет_аналитики'!AL4803,0)</f>
        <v/>
      </c>
      <c r="AM4830">
        <f>IF('01_Вводные'!$B$234="Да",'19_Расчет_аналитики'!AL4830+SUM('19_Расчет_аналитики'!AM4770:AM4772)-'19_Расчет_аналитики'!AM4803,0)</f>
        <v/>
      </c>
      <c r="AN4830">
        <f>IF('01_Вводные'!$B$234="Да",'19_Расчет_аналитики'!AM4830+SUM('19_Расчет_аналитики'!AN4770:AN4772)-'19_Расчет_аналитики'!AN4803,0)</f>
        <v/>
      </c>
      <c r="AO4830">
        <f>IF('01_Вводные'!$B$234="Да",'19_Расчет_аналитики'!AN4830+SUM('19_Расчет_аналитики'!AO4770:AO4772)-'19_Расчет_аналитики'!AO4803,0)</f>
        <v/>
      </c>
      <c r="AP4830">
        <f>IF('01_Вводные'!$B$234="Да",'19_Расчет_аналитики'!AO4830+SUM('19_Расчет_аналитики'!AP4770:AP4772)-'19_Расчет_аналитики'!AP4803,0)</f>
        <v/>
      </c>
      <c r="AQ4830">
        <f>IF('01_Вводные'!$B$234="Да",'19_Расчет_аналитики'!AP4830+SUM('19_Расчет_аналитики'!AQ4770:AQ4772)-'19_Расчет_аналитики'!AQ4803,0)</f>
        <v/>
      </c>
      <c r="AR4830">
        <f>IF('01_Вводные'!$B$234="Да",'19_Расчет_аналитики'!AQ4830+SUM('19_Расчет_аналитики'!AR4770:AR4772)-'19_Расчет_аналитики'!AR4803,0)</f>
        <v/>
      </c>
      <c r="AS4830">
        <f>IF('01_Вводные'!$B$234="Да",'19_Расчет_аналитики'!AR4830+SUM('19_Расчет_аналитики'!AS4770:AS4772)-'19_Расчет_аналитики'!AS4803,0)</f>
        <v/>
      </c>
      <c r="AT4830">
        <f>IF('01_Вводные'!$B$234="Да",'19_Расчет_аналитики'!AS4830+SUM('19_Расчет_аналитики'!AT4770:AT4772)-'19_Расчет_аналитики'!AT4803,0)</f>
        <v/>
      </c>
      <c r="AU4830">
        <f>IF('01_Вводные'!$B$234="Да",'19_Расчет_аналитики'!AT4830+SUM('19_Расчет_аналитики'!AU4770:AU4772)-'19_Расчет_аналитики'!AU4803,0)</f>
        <v/>
      </c>
      <c r="AV4830">
        <f>IF('01_Вводные'!$B$234="Да",'19_Расчет_аналитики'!AU4830+SUM('19_Расчет_аналитики'!AV4770:AV4772)-'19_Расчет_аналитики'!AV4803,0)</f>
        <v/>
      </c>
      <c r="AW4830">
        <f>IF('01_Вводные'!$B$234="Да",'19_Расчет_аналитики'!AV4830+SUM('19_Расчет_аналитики'!AW4770:AW4772)-'19_Расчет_аналитики'!AW4803,0)</f>
        <v/>
      </c>
      <c r="AX4830">
        <f>IF('01_Вводные'!$B$234="Да",'19_Расчет_аналитики'!AW4830+SUM('19_Расчет_аналитики'!AX4770:AX4772)-'19_Расчет_аналитики'!AX4803,0)</f>
        <v/>
      </c>
      <c r="AY4830">
        <f>IF('01_Вводные'!$B$234="Да",'19_Расчет_аналитики'!AX4830+SUM('19_Расчет_аналитики'!AY4770:AY4772)-'19_Расчет_аналитики'!AY4803,0)</f>
        <v/>
      </c>
      <c r="AZ4830">
        <f>IF('01_Вводные'!$B$234="Да",'19_Расчет_аналитики'!AY4830+SUM('19_Расчет_аналитики'!AZ4770:AZ4772)-'19_Расчет_аналитики'!AZ4803,0)</f>
        <v/>
      </c>
      <c r="BA4830">
        <f>IF('01_Вводные'!$B$234="Да",'19_Расчет_аналитики'!AZ4830+SUM('19_Расчет_аналитики'!BA4770:BA4772)-'19_Расчет_аналитики'!BA4803,0)</f>
        <v/>
      </c>
      <c r="BB4830">
        <f>IF('01_Вводные'!$B$234="Да",'19_Расчет_аналитики'!BA4830+SUM('19_Расчет_аналитики'!BB4770:BB4772)-'19_Расчет_аналитики'!BB4803,0)</f>
        <v/>
      </c>
      <c r="BC4830">
        <f>IF('01_Вводные'!$B$234="Да",'19_Расчет_аналитики'!BB4830+SUM('19_Расчет_аналитики'!BC4770:BC4772)-'19_Расчет_аналитики'!BC4803,0)</f>
        <v/>
      </c>
      <c r="BD4830">
        <f>IF('01_Вводные'!$B$234="Да",'19_Расчет_аналитики'!BC4830+SUM('19_Расчет_аналитики'!BD4770:BD4772)-'19_Расчет_аналитики'!BD4803,0)</f>
        <v/>
      </c>
      <c r="BE4830">
        <f>IF('01_Вводные'!$B$234="Да",'19_Расчет_аналитики'!BD4830+SUM('19_Расчет_аналитики'!BE4770:BE4772)-'19_Расчет_аналитики'!BE4803,0)</f>
        <v/>
      </c>
      <c r="BF4830">
        <f>IF('01_Вводные'!$B$234="Да",'19_Расчет_аналитики'!BE4830+SUM('19_Расчет_аналитики'!BF4770:BF4772)-'19_Расчет_аналитики'!BF4803,0)</f>
        <v/>
      </c>
      <c r="BG4830">
        <f>IF('01_Вводные'!$B$234="Да",'19_Расчет_аналитики'!BF4830+SUM('19_Расчет_аналитики'!BG4770:BG4772)-'19_Расчет_аналитики'!BG4803,0)</f>
        <v/>
      </c>
      <c r="BH4830">
        <f>IF('01_Вводные'!$B$234="Да",'19_Расчет_аналитики'!BG4830+SUM('19_Расчет_аналитики'!BH4770:BH4772)-'19_Расчет_аналитики'!BH4803,0)</f>
        <v/>
      </c>
      <c r="BI4830">
        <f>IF('01_Вводные'!$B$234="Да",'19_Расчет_аналитики'!BH4830+SUM('19_Расчет_аналитики'!BI4770:BI4772)-'19_Расчет_аналитики'!BI4803,0)</f>
        <v/>
      </c>
    </row>
    <row r="4831"/>
    <row r="4832"/>
    <row r="4833"/>
    <row r="4834"/>
    <row r="4835">
      <c r="B4835">
        <f>IF('01_Вводные'!$B$234="Да",MAX(0,'19_Расчет_аналитики'!B4811-'01_Вводные'!$B$237-'19_Расчет_аналитики'!B4836),0)</f>
        <v/>
      </c>
      <c r="C4835">
        <f>IF('01_Вводные'!$B$234="Да",MAX(0,'19_Расчет_аналитики'!C4811-'01_Вводные'!$B$237-'19_Расчет_аналитики'!C4836),0)</f>
        <v/>
      </c>
      <c r="D4835">
        <f>IF('01_Вводные'!$B$234="Да",MAX(0,'19_Расчет_аналитики'!D4811-'01_Вводные'!$B$237-'19_Расчет_аналитики'!D4836),0)</f>
        <v/>
      </c>
      <c r="E4835">
        <f>IF('01_Вводные'!$B$234="Да",MAX(0,'19_Расчет_аналитики'!E4811-'01_Вводные'!$B$237-'19_Расчет_аналитики'!E4836),0)</f>
        <v/>
      </c>
      <c r="F4835">
        <f>IF('01_Вводные'!$B$234="Да",MAX(0,'19_Расчет_аналитики'!F4811-'01_Вводные'!$B$237-'19_Расчет_аналитики'!F4836),0)</f>
        <v/>
      </c>
      <c r="G4835">
        <f>IF('01_Вводные'!$B$234="Да",MAX(0,'19_Расчет_аналитики'!G4811-'01_Вводные'!$B$237-'19_Расчет_аналитики'!G4836),0)</f>
        <v/>
      </c>
      <c r="H4835">
        <f>IF('01_Вводные'!$B$234="Да",MAX(0,'19_Расчет_аналитики'!H4811-'01_Вводные'!$B$237-'19_Расчет_аналитики'!H4836),0)</f>
        <v/>
      </c>
      <c r="I4835">
        <f>IF('01_Вводные'!$B$234="Да",MAX(0,'19_Расчет_аналитики'!I4811-'01_Вводные'!$B$237-'19_Расчет_аналитики'!I4836),0)</f>
        <v/>
      </c>
      <c r="J4835">
        <f>IF('01_Вводные'!$B$234="Да",MAX(0,'19_Расчет_аналитики'!J4811-'01_Вводные'!$B$237-'19_Расчет_аналитики'!J4836),0)</f>
        <v/>
      </c>
      <c r="K4835">
        <f>IF('01_Вводные'!$B$234="Да",MAX(0,'19_Расчет_аналитики'!K4811-'01_Вводные'!$B$237-'19_Расчет_аналитики'!K4836),0)</f>
        <v/>
      </c>
      <c r="L4835">
        <f>IF('01_Вводные'!$B$234="Да",MAX(0,'19_Расчет_аналитики'!L4811-'01_Вводные'!$B$237-'19_Расчет_аналитики'!L4836),0)</f>
        <v/>
      </c>
      <c r="M4835">
        <f>IF('01_Вводные'!$B$234="Да",MAX(0,'19_Расчет_аналитики'!M4811-'01_Вводные'!$B$237-'19_Расчет_аналитики'!M4836),0)</f>
        <v/>
      </c>
      <c r="N4835">
        <f>IF('01_Вводные'!$B$234="Да",MAX(0,'19_Расчет_аналитики'!N4811-'01_Вводные'!$B$237-'19_Расчет_аналитики'!N4836),0)</f>
        <v/>
      </c>
      <c r="O4835">
        <f>IF('01_Вводные'!$B$234="Да",MAX(0,'19_Расчет_аналитики'!O4811-'01_Вводные'!$B$237-'19_Расчет_аналитики'!O4836),0)</f>
        <v/>
      </c>
      <c r="P4835">
        <f>IF('01_Вводные'!$B$234="Да",MAX(0,'19_Расчет_аналитики'!P4811-'01_Вводные'!$B$237-'19_Расчет_аналитики'!P4836),0)</f>
        <v/>
      </c>
      <c r="Q4835">
        <f>IF('01_Вводные'!$B$234="Да",MAX(0,'19_Расчет_аналитики'!Q4811-'01_Вводные'!$B$237-'19_Расчет_аналитики'!Q4836),0)</f>
        <v/>
      </c>
      <c r="R4835">
        <f>IF('01_Вводные'!$B$234="Да",MAX(0,'19_Расчет_аналитики'!R4811-'01_Вводные'!$B$237-'19_Расчет_аналитики'!R4836),0)</f>
        <v/>
      </c>
      <c r="S4835">
        <f>IF('01_Вводные'!$B$234="Да",MAX(0,'19_Расчет_аналитики'!S4811-'01_Вводные'!$B$237-'19_Расчет_аналитики'!S4836),0)</f>
        <v/>
      </c>
      <c r="T4835">
        <f>IF('01_Вводные'!$B$234="Да",MAX(0,'19_Расчет_аналитики'!T4811-'01_Вводные'!$B$237-'19_Расчет_аналитики'!T4836),0)</f>
        <v/>
      </c>
      <c r="U4835">
        <f>IF('01_Вводные'!$B$234="Да",MAX(0,'19_Расчет_аналитики'!U4811-'01_Вводные'!$B$237-'19_Расчет_аналитики'!U4836),0)</f>
        <v/>
      </c>
      <c r="V4835">
        <f>IF('01_Вводные'!$B$234="Да",MAX(0,'19_Расчет_аналитики'!V4811-'01_Вводные'!$B$237-'19_Расчет_аналитики'!V4836),0)</f>
        <v/>
      </c>
      <c r="W4835">
        <f>IF('01_Вводные'!$B$234="Да",MAX(0,'19_Расчет_аналитики'!W4811-'01_Вводные'!$B$237-'19_Расчет_аналитики'!W4836),0)</f>
        <v/>
      </c>
      <c r="X4835">
        <f>IF('01_Вводные'!$B$234="Да",MAX(0,'19_Расчет_аналитики'!X4811-'01_Вводные'!$B$237-'19_Расчет_аналитики'!X4836),0)</f>
        <v/>
      </c>
      <c r="Y4835">
        <f>IF('01_Вводные'!$B$234="Да",MAX(0,'19_Расчет_аналитики'!Y4811-'01_Вводные'!$B$237-'19_Расчет_аналитики'!Y4836),0)</f>
        <v/>
      </c>
      <c r="Z4835">
        <f>IF('01_Вводные'!$B$234="Да",MAX(0,'19_Расчет_аналитики'!Z4811-'01_Вводные'!$B$237-'19_Расчет_аналитики'!Z4836),0)</f>
        <v/>
      </c>
      <c r="AA4835">
        <f>IF('01_Вводные'!$B$234="Да",MAX(0,'19_Расчет_аналитики'!AA4811-'01_Вводные'!$B$237-'19_Расчет_аналитики'!AA4836),0)</f>
        <v/>
      </c>
      <c r="AB4835">
        <f>IF('01_Вводные'!$B$234="Да",MAX(0,'19_Расчет_аналитики'!AB4811-'01_Вводные'!$B$237-'19_Расчет_аналитики'!AB4836),0)</f>
        <v/>
      </c>
      <c r="AC4835">
        <f>IF('01_Вводные'!$B$234="Да",MAX(0,'19_Расчет_аналитики'!AC4811-'01_Вводные'!$B$237-'19_Расчет_аналитики'!AC4836),0)</f>
        <v/>
      </c>
      <c r="AD4835">
        <f>IF('01_Вводные'!$B$234="Да",MAX(0,'19_Расчет_аналитики'!AD4811-'01_Вводные'!$B$237-'19_Расчет_аналитики'!AD4836),0)</f>
        <v/>
      </c>
      <c r="AE4835">
        <f>IF('01_Вводные'!$B$234="Да",MAX(0,'19_Расчет_аналитики'!AE4811-'01_Вводные'!$B$237-'19_Расчет_аналитики'!AE4836),0)</f>
        <v/>
      </c>
      <c r="AF4835">
        <f>IF('01_Вводные'!$B$234="Да",MAX(0,'19_Расчет_аналитики'!AF4811-'01_Вводные'!$B$237-'19_Расчет_аналитики'!AF4836),0)</f>
        <v/>
      </c>
      <c r="AG4835">
        <f>IF('01_Вводные'!$B$234="Да",MAX(0,'19_Расчет_аналитики'!AG4811-'01_Вводные'!$B$237-'19_Расчет_аналитики'!AG4836),0)</f>
        <v/>
      </c>
      <c r="AH4835">
        <f>IF('01_Вводные'!$B$234="Да",MAX(0,'19_Расчет_аналитики'!AH4811-'01_Вводные'!$B$237-'19_Расчет_аналитики'!AH4836),0)</f>
        <v/>
      </c>
      <c r="AI4835">
        <f>IF('01_Вводные'!$B$234="Да",MAX(0,'19_Расчет_аналитики'!AI4811-'01_Вводные'!$B$237-'19_Расчет_аналитики'!AI4836),0)</f>
        <v/>
      </c>
      <c r="AJ4835">
        <f>IF('01_Вводные'!$B$234="Да",MAX(0,'19_Расчет_аналитики'!AJ4811-'01_Вводные'!$B$237-'19_Расчет_аналитики'!AJ4836),0)</f>
        <v/>
      </c>
      <c r="AK4835">
        <f>IF('01_Вводные'!$B$234="Да",MAX(0,'19_Расчет_аналитики'!AK4811-'01_Вводные'!$B$237-'19_Расчет_аналитики'!AK4836),0)</f>
        <v/>
      </c>
      <c r="AL4835">
        <f>IF('01_Вводные'!$B$234="Да",MAX(0,'19_Расчет_аналитики'!AL4811-'01_Вводные'!$B$237-'19_Расчет_аналитики'!AL4836),0)</f>
        <v/>
      </c>
      <c r="AM4835">
        <f>IF('01_Вводные'!$B$234="Да",MAX(0,'19_Расчет_аналитики'!AM4811-'01_Вводные'!$B$237-'19_Расчет_аналитики'!AM4836),0)</f>
        <v/>
      </c>
      <c r="AN4835">
        <f>IF('01_Вводные'!$B$234="Да",MAX(0,'19_Расчет_аналитики'!AN4811-'01_Вводные'!$B$237-'19_Расчет_аналитики'!AN4836),0)</f>
        <v/>
      </c>
      <c r="AO4835">
        <f>IF('01_Вводные'!$B$234="Да",MAX(0,'19_Расчет_аналитики'!AO4811-'01_Вводные'!$B$237-'19_Расчет_аналитики'!AO4836),0)</f>
        <v/>
      </c>
      <c r="AP4835">
        <f>IF('01_Вводные'!$B$234="Да",MAX(0,'19_Расчет_аналитики'!AP4811-'01_Вводные'!$B$237-'19_Расчет_аналитики'!AP4836),0)</f>
        <v/>
      </c>
      <c r="AQ4835">
        <f>IF('01_Вводные'!$B$234="Да",MAX(0,'19_Расчет_аналитики'!AQ4811-'01_Вводные'!$B$237-'19_Расчет_аналитики'!AQ4836),0)</f>
        <v/>
      </c>
      <c r="AR4835">
        <f>IF('01_Вводные'!$B$234="Да",MAX(0,'19_Расчет_аналитики'!AR4811-'01_Вводные'!$B$237-'19_Расчет_аналитики'!AR4836),0)</f>
        <v/>
      </c>
      <c r="AS4835">
        <f>IF('01_Вводные'!$B$234="Да",MAX(0,'19_Расчет_аналитики'!AS4811-'01_Вводные'!$B$237-'19_Расчет_аналитики'!AS4836),0)</f>
        <v/>
      </c>
      <c r="AT4835">
        <f>IF('01_Вводные'!$B$234="Да",MAX(0,'19_Расчет_аналитики'!AT4811-'01_Вводные'!$B$237-'19_Расчет_аналитики'!AT4836),0)</f>
        <v/>
      </c>
      <c r="AU4835">
        <f>IF('01_Вводные'!$B$234="Да",MAX(0,'19_Расчет_аналитики'!AU4811-'01_Вводные'!$B$237-'19_Расчет_аналитики'!AU4836),0)</f>
        <v/>
      </c>
      <c r="AV4835">
        <f>IF('01_Вводные'!$B$234="Да",MAX(0,'19_Расчет_аналитики'!AV4811-'01_Вводные'!$B$237-'19_Расчет_аналитики'!AV4836),0)</f>
        <v/>
      </c>
      <c r="AW4835">
        <f>IF('01_Вводные'!$B$234="Да",MAX(0,'19_Расчет_аналитики'!AW4811-'01_Вводные'!$B$237-'19_Расчет_аналитики'!AW4836),0)</f>
        <v/>
      </c>
      <c r="AX4835">
        <f>IF('01_Вводные'!$B$234="Да",MAX(0,'19_Расчет_аналитики'!AX4811-'01_Вводные'!$B$237-'19_Расчет_аналитики'!AX4836),0)</f>
        <v/>
      </c>
      <c r="AY4835">
        <f>IF('01_Вводные'!$B$234="Да",MAX(0,'19_Расчет_аналитики'!AY4811-'01_Вводные'!$B$237-'19_Расчет_аналитики'!AY4836),0)</f>
        <v/>
      </c>
      <c r="AZ4835">
        <f>IF('01_Вводные'!$B$234="Да",MAX(0,'19_Расчет_аналитики'!AZ4811-'01_Вводные'!$B$237-'19_Расчет_аналитики'!AZ4836),0)</f>
        <v/>
      </c>
      <c r="BA4835">
        <f>IF('01_Вводные'!$B$234="Да",MAX(0,'19_Расчет_аналитики'!BA4811-'01_Вводные'!$B$237-'19_Расчет_аналитики'!BA4836),0)</f>
        <v/>
      </c>
      <c r="BB4835">
        <f>IF('01_Вводные'!$B$234="Да",MAX(0,'19_Расчет_аналитики'!BB4811-'01_Вводные'!$B$237-'19_Расчет_аналитики'!BB4836),0)</f>
        <v/>
      </c>
      <c r="BC4835">
        <f>IF('01_Вводные'!$B$234="Да",MAX(0,'19_Расчет_аналитики'!BC4811-'01_Вводные'!$B$237-'19_Расчет_аналитики'!BC4836),0)</f>
        <v/>
      </c>
      <c r="BD4835">
        <f>IF('01_Вводные'!$B$234="Да",MAX(0,'19_Расчет_аналитики'!BD4811-'01_Вводные'!$B$237-'19_Расчет_аналитики'!BD4836),0)</f>
        <v/>
      </c>
      <c r="BE4835">
        <f>IF('01_Вводные'!$B$234="Да",MAX(0,'19_Расчет_аналитики'!BE4811-'01_Вводные'!$B$237-'19_Расчет_аналитики'!BE4836),0)</f>
        <v/>
      </c>
      <c r="BF4835">
        <f>IF('01_Вводные'!$B$234="Да",MAX(0,'19_Расчет_аналитики'!BF4811-'01_Вводные'!$B$237-'19_Расчет_аналитики'!BF4836),0)</f>
        <v/>
      </c>
      <c r="BG4835">
        <f>IF('01_Вводные'!$B$234="Да",MAX(0,'19_Расчет_аналитики'!BG4811-'01_Вводные'!$B$237-'19_Расчет_аналитики'!BG4836),0)</f>
        <v/>
      </c>
      <c r="BH4835">
        <f>IF('01_Вводные'!$B$234="Да",MAX(0,'19_Расчет_аналитики'!BH4811-'01_Вводные'!$B$237-'19_Расчет_аналитики'!BH4836),0)</f>
        <v/>
      </c>
      <c r="BI4835">
        <f>IF('01_Вводные'!$B$234="Да",MAX(0,'19_Расчет_аналитики'!BI4811-'01_Вводные'!$B$237-'19_Расчет_аналитики'!BI4836),0)</f>
        <v/>
      </c>
    </row>
    <row r="4836">
      <c r="B4836">
        <f>IF('01_Вводные'!$B$234="Да",MAX(0,'19_Расчет_аналитики'!C4836-'19_Расчет_аналитики'!C4810),0)</f>
        <v/>
      </c>
      <c r="C4836">
        <f>IF('01_Вводные'!$B$234="Да",MAX(0,'19_Расчет_аналитики'!D4836-'19_Расчет_аналитики'!D4810),0)</f>
        <v/>
      </c>
      <c r="D4836">
        <f>IF('01_Вводные'!$B$234="Да",MAX(0,'19_Расчет_аналитики'!E4836-'19_Расчет_аналитики'!E4810),0)</f>
        <v/>
      </c>
      <c r="E4836">
        <f>IF('01_Вводные'!$B$234="Да",MAX(0,'19_Расчет_аналитики'!F4836-'19_Расчет_аналитики'!F4810),0)</f>
        <v/>
      </c>
      <c r="F4836">
        <f>IF('01_Вводные'!$B$234="Да",MAX(0,'19_Расчет_аналитики'!G4836-'19_Расчет_аналитики'!G4810),0)</f>
        <v/>
      </c>
      <c r="G4836">
        <f>IF('01_Вводные'!$B$234="Да",MAX(0,'19_Расчет_аналитики'!H4836-'19_Расчет_аналитики'!H4810),0)</f>
        <v/>
      </c>
      <c r="H4836">
        <f>IF('01_Вводные'!$B$234="Да",MAX(0,'19_Расчет_аналитики'!I4836-'19_Расчет_аналитики'!I4810),0)</f>
        <v/>
      </c>
      <c r="I4836">
        <f>IF('01_Вводные'!$B$234="Да",MAX(0,'19_Расчет_аналитики'!J4836-'19_Расчет_аналитики'!J4810),0)</f>
        <v/>
      </c>
      <c r="J4836">
        <f>IF('01_Вводные'!$B$234="Да",MAX(0,'19_Расчет_аналитики'!K4836-'19_Расчет_аналитики'!K4810),0)</f>
        <v/>
      </c>
      <c r="K4836">
        <f>IF('01_Вводные'!$B$234="Да",MAX(0,'19_Расчет_аналитики'!L4836-'19_Расчет_аналитики'!L4810),0)</f>
        <v/>
      </c>
      <c r="L4836">
        <f>IF('01_Вводные'!$B$234="Да",MAX(0,'19_Расчет_аналитики'!M4836-'19_Расчет_аналитики'!M4810),0)</f>
        <v/>
      </c>
      <c r="M4836">
        <f>IF('01_Вводные'!$B$234="Да",MAX(0,'19_Расчет_аналитики'!N4836-'19_Расчет_аналитики'!N4810),0)</f>
        <v/>
      </c>
      <c r="N4836">
        <f>IF('01_Вводные'!$B$234="Да",MAX(0,'19_Расчет_аналитики'!O4836-'19_Расчет_аналитики'!O4810),0)</f>
        <v/>
      </c>
      <c r="O4836">
        <f>IF('01_Вводные'!$B$234="Да",MAX(0,'19_Расчет_аналитики'!P4836-'19_Расчет_аналитики'!P4810),0)</f>
        <v/>
      </c>
      <c r="P4836">
        <f>IF('01_Вводные'!$B$234="Да",MAX(0,'19_Расчет_аналитики'!Q4836-'19_Расчет_аналитики'!Q4810),0)</f>
        <v/>
      </c>
      <c r="Q4836">
        <f>IF('01_Вводные'!$B$234="Да",MAX(0,'19_Расчет_аналитики'!R4836-'19_Расчет_аналитики'!R4810),0)</f>
        <v/>
      </c>
      <c r="R4836">
        <f>IF('01_Вводные'!$B$234="Да",MAX(0,'19_Расчет_аналитики'!S4836-'19_Расчет_аналитики'!S4810),0)</f>
        <v/>
      </c>
      <c r="S4836">
        <f>IF('01_Вводные'!$B$234="Да",MAX(0,'19_Расчет_аналитики'!T4836-'19_Расчет_аналитики'!T4810),0)</f>
        <v/>
      </c>
      <c r="T4836">
        <f>IF('01_Вводные'!$B$234="Да",MAX(0,'19_Расчет_аналитики'!U4836-'19_Расчет_аналитики'!U4810),0)</f>
        <v/>
      </c>
      <c r="U4836">
        <f>IF('01_Вводные'!$B$234="Да",MAX(0,'19_Расчет_аналитики'!V4836-'19_Расчет_аналитики'!V4810),0)</f>
        <v/>
      </c>
      <c r="V4836">
        <f>IF('01_Вводные'!$B$234="Да",MAX(0,'19_Расчет_аналитики'!W4836-'19_Расчет_аналитики'!W4810),0)</f>
        <v/>
      </c>
      <c r="W4836">
        <f>IF('01_Вводные'!$B$234="Да",MAX(0,'19_Расчет_аналитики'!X4836-'19_Расчет_аналитики'!X4810),0)</f>
        <v/>
      </c>
      <c r="X4836">
        <f>IF('01_Вводные'!$B$234="Да",MAX(0,'19_Расчет_аналитики'!Y4836-'19_Расчет_аналитики'!Y4810),0)</f>
        <v/>
      </c>
      <c r="Y4836">
        <f>IF('01_Вводные'!$B$234="Да",MAX(0,'19_Расчет_аналитики'!Z4836-'19_Расчет_аналитики'!Z4810),0)</f>
        <v/>
      </c>
      <c r="Z4836">
        <f>IF('01_Вводные'!$B$234="Да",MAX(0,'19_Расчет_аналитики'!AA4836-'19_Расчет_аналитики'!AA4810),0)</f>
        <v/>
      </c>
      <c r="AA4836">
        <f>IF('01_Вводные'!$B$234="Да",MAX(0,'19_Расчет_аналитики'!AB4836-'19_Расчет_аналитики'!AB4810),0)</f>
        <v/>
      </c>
      <c r="AB4836">
        <f>IF('01_Вводные'!$B$234="Да",MAX(0,'19_Расчет_аналитики'!AC4836-'19_Расчет_аналитики'!AC4810),0)</f>
        <v/>
      </c>
      <c r="AC4836">
        <f>IF('01_Вводные'!$B$234="Да",MAX(0,'19_Расчет_аналитики'!AD4836-'19_Расчет_аналитики'!AD4810),0)</f>
        <v/>
      </c>
      <c r="AD4836">
        <f>IF('01_Вводные'!$B$234="Да",MAX(0,'19_Расчет_аналитики'!AE4836-'19_Расчет_аналитики'!AE4810),0)</f>
        <v/>
      </c>
      <c r="AE4836">
        <f>IF('01_Вводные'!$B$234="Да",MAX(0,'19_Расчет_аналитики'!AF4836-'19_Расчет_аналитики'!AF4810),0)</f>
        <v/>
      </c>
      <c r="AF4836">
        <f>IF('01_Вводные'!$B$234="Да",MAX(0,'19_Расчет_аналитики'!AG4836-'19_Расчет_аналитики'!AG4810),0)</f>
        <v/>
      </c>
      <c r="AG4836">
        <f>IF('01_Вводные'!$B$234="Да",MAX(0,'19_Расчет_аналитики'!AH4836-'19_Расчет_аналитики'!AH4810),0)</f>
        <v/>
      </c>
      <c r="AH4836">
        <f>IF('01_Вводные'!$B$234="Да",MAX(0,'19_Расчет_аналитики'!AI4836-'19_Расчет_аналитики'!AI4810),0)</f>
        <v/>
      </c>
      <c r="AI4836">
        <f>IF('01_Вводные'!$B$234="Да",MAX(0,'19_Расчет_аналитики'!AJ4836-'19_Расчет_аналитики'!AJ4810),0)</f>
        <v/>
      </c>
      <c r="AJ4836">
        <f>IF('01_Вводные'!$B$234="Да",MAX(0,'19_Расчет_аналитики'!AK4836-'19_Расчет_аналитики'!AK4810),0)</f>
        <v/>
      </c>
      <c r="AK4836">
        <f>IF('01_Вводные'!$B$234="Да",MAX(0,'19_Расчет_аналитики'!AL4836-'19_Расчет_аналитики'!AL4810),0)</f>
        <v/>
      </c>
      <c r="AL4836">
        <f>IF('01_Вводные'!$B$234="Да",MAX(0,'19_Расчет_аналитики'!AM4836-'19_Расчет_аналитики'!AM4810),0)</f>
        <v/>
      </c>
      <c r="AM4836">
        <f>IF('01_Вводные'!$B$234="Да",MAX(0,'19_Расчет_аналитики'!AN4836-'19_Расчет_аналитики'!AN4810),0)</f>
        <v/>
      </c>
      <c r="AN4836">
        <f>IF('01_Вводные'!$B$234="Да",MAX(0,'19_Расчет_аналитики'!AO4836-'19_Расчет_аналитики'!AO4810),0)</f>
        <v/>
      </c>
      <c r="AO4836">
        <f>IF('01_Вводные'!$B$234="Да",MAX(0,'19_Расчет_аналитики'!AP4836-'19_Расчет_аналитики'!AP4810),0)</f>
        <v/>
      </c>
      <c r="AP4836">
        <f>IF('01_Вводные'!$B$234="Да",MAX(0,'19_Расчет_аналитики'!AQ4836-'19_Расчет_аналитики'!AQ4810),0)</f>
        <v/>
      </c>
      <c r="AQ4836">
        <f>IF('01_Вводные'!$B$234="Да",MAX(0,'19_Расчет_аналитики'!AR4836-'19_Расчет_аналитики'!AR4810),0)</f>
        <v/>
      </c>
      <c r="AR4836">
        <f>IF('01_Вводные'!$B$234="Да",MAX(0,'19_Расчет_аналитики'!AS4836-'19_Расчет_аналитики'!AS4810),0)</f>
        <v/>
      </c>
      <c r="AS4836">
        <f>IF('01_Вводные'!$B$234="Да",MAX(0,'19_Расчет_аналитики'!AT4836-'19_Расчет_аналитики'!AT4810),0)</f>
        <v/>
      </c>
      <c r="AT4836">
        <f>IF('01_Вводные'!$B$234="Да",MAX(0,'19_Расчет_аналитики'!AU4836-'19_Расчет_аналитики'!AU4810),0)</f>
        <v/>
      </c>
      <c r="AU4836">
        <f>IF('01_Вводные'!$B$234="Да",MAX(0,'19_Расчет_аналитики'!AV4836-'19_Расчет_аналитики'!AV4810),0)</f>
        <v/>
      </c>
      <c r="AV4836">
        <f>IF('01_Вводные'!$B$234="Да",MAX(0,'19_Расчет_аналитики'!AW4836-'19_Расчет_аналитики'!AW4810),0)</f>
        <v/>
      </c>
      <c r="AW4836">
        <f>IF('01_Вводные'!$B$234="Да",MAX(0,'19_Расчет_аналитики'!AX4836-'19_Расчет_аналитики'!AX4810),0)</f>
        <v/>
      </c>
      <c r="AX4836">
        <f>IF('01_Вводные'!$B$234="Да",MAX(0,'19_Расчет_аналитики'!AY4836-'19_Расчет_аналитики'!AY4810),0)</f>
        <v/>
      </c>
      <c r="AY4836">
        <f>IF('01_Вводные'!$B$234="Да",MAX(0,'19_Расчет_аналитики'!AZ4836-'19_Расчет_аналитики'!AZ4810),0)</f>
        <v/>
      </c>
      <c r="AZ4836">
        <f>IF('01_Вводные'!$B$234="Да",MAX(0,'19_Расчет_аналитики'!BA4836-'19_Расчет_аналитики'!BA4810),0)</f>
        <v/>
      </c>
      <c r="BA4836">
        <f>IF('01_Вводные'!$B$234="Да",MAX(0,'19_Расчет_аналитики'!BB4836-'19_Расчет_аналитики'!BB4810),0)</f>
        <v/>
      </c>
      <c r="BB4836">
        <f>IF('01_Вводные'!$B$234="Да",MAX(0,'19_Расчет_аналитики'!BC4836-'19_Расчет_аналитики'!BC4810),0)</f>
        <v/>
      </c>
      <c r="BC4836">
        <f>IF('01_Вводные'!$B$234="Да",MAX(0,'19_Расчет_аналитики'!BD4836-'19_Расчет_аналитики'!BD4810),0)</f>
        <v/>
      </c>
      <c r="BD4836">
        <f>IF('01_Вводные'!$B$234="Да",MAX(0,'19_Расчет_аналитики'!BE4836-'19_Расчет_аналитики'!BE4810),0)</f>
        <v/>
      </c>
      <c r="BE4836">
        <f>IF('01_Вводные'!$B$234="Да",MAX(0,'19_Расчет_аналитики'!BF4836-'19_Расчет_аналитики'!BF4810),0)</f>
        <v/>
      </c>
      <c r="BF4836">
        <f>IF('01_Вводные'!$B$234="Да",MAX(0,'19_Расчет_аналитики'!BG4836-'19_Расчет_аналитики'!BG4810),0)</f>
        <v/>
      </c>
      <c r="BG4836">
        <f>IF('01_Вводные'!$B$234="Да",MAX(0,'19_Расчет_аналитики'!BH4836-'19_Расчет_аналитики'!BH4810),0)</f>
        <v/>
      </c>
      <c r="BH4836">
        <f>IF('01_Вводные'!$B$234="Да",MAX(0,'19_Расчет_аналитики'!BI4836-'19_Расчет_аналитики'!BI4810),0)</f>
        <v/>
      </c>
      <c r="BI4836" t="n">
        <v>0</v>
      </c>
    </row>
    <row r="4837"/>
    <row r="4838">
      <c r="B4838">
        <f>IF('01_Вводные'!$B$234="Да",IF('01_Вводные'!$B$288="С НДС",SUM('19_Расчет_аналитики'!B4760:B4763)*(1+'01_Вводные'!$B$58)+'09_Лагеря'!B10,'19_Расчет_аналитики'!B4765),0)</f>
        <v/>
      </c>
      <c r="C4838">
        <f>IF('01_Вводные'!$B$234="Да",IF('01_Вводные'!$B$288="С НДС",SUM('19_Расчет_аналитики'!C4760:C4763)*(1+'01_Вводные'!$B$58)+'09_Лагеря'!C10,'19_Расчет_аналитики'!C4765),0)</f>
        <v/>
      </c>
      <c r="D4838">
        <f>IF('01_Вводные'!$B$234="Да",IF('01_Вводные'!$B$288="С НДС",SUM('19_Расчет_аналитики'!D4760:D4763)*(1+'01_Вводные'!$B$58)+'09_Лагеря'!D10,'19_Расчет_аналитики'!D4765),0)</f>
        <v/>
      </c>
      <c r="E4838">
        <f>IF('01_Вводные'!$B$234="Да",IF('01_Вводные'!$B$288="С НДС",SUM('19_Расчет_аналитики'!E4760:E4763)*(1+'01_Вводные'!$B$58)+'09_Лагеря'!E10,'19_Расчет_аналитики'!E4765),0)</f>
        <v/>
      </c>
      <c r="F4838">
        <f>IF('01_Вводные'!$B$234="Да",IF('01_Вводные'!$B$288="С НДС",SUM('19_Расчет_аналитики'!F4760:F4763)*(1+'01_Вводные'!$B$58)+'09_Лагеря'!F10,'19_Расчет_аналитики'!F4765),0)</f>
        <v/>
      </c>
      <c r="G4838">
        <f>IF('01_Вводные'!$B$234="Да",IF('01_Вводные'!$B$288="С НДС",SUM('19_Расчет_аналитики'!G4760:G4763)*(1+'01_Вводные'!$B$58)+'09_Лагеря'!G10,'19_Расчет_аналитики'!G4765),0)</f>
        <v/>
      </c>
      <c r="H4838">
        <f>IF('01_Вводные'!$B$234="Да",IF('01_Вводные'!$B$288="С НДС",SUM('19_Расчет_аналитики'!H4760:H4763)*(1+'01_Вводные'!$B$58)+'09_Лагеря'!H10,'19_Расчет_аналитики'!H4765),0)</f>
        <v/>
      </c>
      <c r="I4838">
        <f>IF('01_Вводные'!$B$234="Да",IF('01_Вводные'!$B$288="С НДС",SUM('19_Расчет_аналитики'!I4760:I4763)*(1+'01_Вводные'!$B$58)+'09_Лагеря'!I10,'19_Расчет_аналитики'!I4765),0)</f>
        <v/>
      </c>
      <c r="J4838">
        <f>IF('01_Вводные'!$B$234="Да",IF('01_Вводные'!$B$288="С НДС",SUM('19_Расчет_аналитики'!J4760:J4763)*(1+'01_Вводные'!$B$58)+'09_Лагеря'!J10,'19_Расчет_аналитики'!J4765),0)</f>
        <v/>
      </c>
      <c r="K4838">
        <f>IF('01_Вводные'!$B$234="Да",IF('01_Вводные'!$B$288="С НДС",SUM('19_Расчет_аналитики'!K4760:K4763)*(1+'01_Вводные'!$B$58)+'09_Лагеря'!K10,'19_Расчет_аналитики'!K4765),0)</f>
        <v/>
      </c>
      <c r="L4838">
        <f>IF('01_Вводные'!$B$234="Да",IF('01_Вводные'!$B$288="С НДС",SUM('19_Расчет_аналитики'!L4760:L4763)*(1+'01_Вводные'!$B$58)+'09_Лагеря'!L10,'19_Расчет_аналитики'!L4765),0)</f>
        <v/>
      </c>
      <c r="M4838">
        <f>IF('01_Вводные'!$B$234="Да",IF('01_Вводные'!$B$288="С НДС",SUM('19_Расчет_аналитики'!M4760:M4763)*(1+'01_Вводные'!$B$58)+'09_Лагеря'!M10,'19_Расчет_аналитики'!M4765),0)</f>
        <v/>
      </c>
      <c r="N4838">
        <f>IF('01_Вводные'!$B$234="Да",IF('01_Вводные'!$B$288="С НДС",SUM('19_Расчет_аналитики'!N4760:N4763)*(1+'01_Вводные'!$B$58)+'09_Лагеря'!N10,'19_Расчет_аналитики'!N4765),0)</f>
        <v/>
      </c>
      <c r="O4838">
        <f>IF('01_Вводные'!$B$234="Да",IF('01_Вводные'!$B$288="С НДС",SUM('19_Расчет_аналитики'!O4760:O4763)*(1+'01_Вводные'!$B$58)+'09_Лагеря'!O10,'19_Расчет_аналитики'!O4765),0)</f>
        <v/>
      </c>
      <c r="P4838">
        <f>IF('01_Вводные'!$B$234="Да",IF('01_Вводные'!$B$288="С НДС",SUM('19_Расчет_аналитики'!P4760:P4763)*(1+'01_Вводные'!$B$58)+'09_Лагеря'!P10,'19_Расчет_аналитики'!P4765),0)</f>
        <v/>
      </c>
      <c r="Q4838">
        <f>IF('01_Вводные'!$B$234="Да",IF('01_Вводные'!$B$288="С НДС",SUM('19_Расчет_аналитики'!Q4760:Q4763)*(1+'01_Вводные'!$B$58)+'09_Лагеря'!Q10,'19_Расчет_аналитики'!Q4765),0)</f>
        <v/>
      </c>
      <c r="R4838">
        <f>IF('01_Вводные'!$B$234="Да",IF('01_Вводные'!$B$288="С НДС",SUM('19_Расчет_аналитики'!R4760:R4763)*(1+'01_Вводные'!$B$58)+'09_Лагеря'!R10,'19_Расчет_аналитики'!R4765),0)</f>
        <v/>
      </c>
      <c r="S4838">
        <f>IF('01_Вводные'!$B$234="Да",IF('01_Вводные'!$B$288="С НДС",SUM('19_Расчет_аналитики'!S4760:S4763)*(1+'01_Вводные'!$B$58)+'09_Лагеря'!S10,'19_Расчет_аналитики'!S4765),0)</f>
        <v/>
      </c>
      <c r="T4838">
        <f>IF('01_Вводные'!$B$234="Да",IF('01_Вводные'!$B$288="С НДС",SUM('19_Расчет_аналитики'!T4760:T4763)*(1+'01_Вводные'!$B$58)+'09_Лагеря'!T10,'19_Расчет_аналитики'!T4765),0)</f>
        <v/>
      </c>
      <c r="U4838">
        <f>IF('01_Вводные'!$B$234="Да",IF('01_Вводные'!$B$288="С НДС",SUM('19_Расчет_аналитики'!U4760:U4763)*(1+'01_Вводные'!$B$58)+'09_Лагеря'!U10,'19_Расчет_аналитики'!U4765),0)</f>
        <v/>
      </c>
      <c r="V4838">
        <f>IF('01_Вводные'!$B$234="Да",IF('01_Вводные'!$B$288="С НДС",SUM('19_Расчет_аналитики'!V4760:V4763)*(1+'01_Вводные'!$B$58)+'09_Лагеря'!V10,'19_Расчет_аналитики'!V4765),0)</f>
        <v/>
      </c>
      <c r="W4838">
        <f>IF('01_Вводные'!$B$234="Да",IF('01_Вводные'!$B$288="С НДС",SUM('19_Расчет_аналитики'!W4760:W4763)*(1+'01_Вводные'!$B$58)+'09_Лагеря'!W10,'19_Расчет_аналитики'!W4765),0)</f>
        <v/>
      </c>
      <c r="X4838">
        <f>IF('01_Вводные'!$B$234="Да",IF('01_Вводные'!$B$288="С НДС",SUM('19_Расчет_аналитики'!X4760:X4763)*(1+'01_Вводные'!$B$58)+'09_Лагеря'!X10,'19_Расчет_аналитики'!X4765),0)</f>
        <v/>
      </c>
      <c r="Y4838">
        <f>IF('01_Вводные'!$B$234="Да",IF('01_Вводные'!$B$288="С НДС",SUM('19_Расчет_аналитики'!Y4760:Y4763)*(1+'01_Вводные'!$B$58)+'09_Лагеря'!Y10,'19_Расчет_аналитики'!Y4765),0)</f>
        <v/>
      </c>
      <c r="Z4838">
        <f>IF('01_Вводные'!$B$234="Да",IF('01_Вводные'!$B$288="С НДС",SUM('19_Расчет_аналитики'!Z4760:Z4763)*(1+'01_Вводные'!$B$58)+'09_Лагеря'!Z10,'19_Расчет_аналитики'!Z4765),0)</f>
        <v/>
      </c>
      <c r="AA4838">
        <f>IF('01_Вводные'!$B$234="Да",IF('01_Вводные'!$B$288="С НДС",SUM('19_Расчет_аналитики'!AA4760:AA4763)*(1+'01_Вводные'!$B$58)+'09_Лагеря'!AA10,'19_Расчет_аналитики'!AA4765),0)</f>
        <v/>
      </c>
      <c r="AB4838">
        <f>IF('01_Вводные'!$B$234="Да",IF('01_Вводные'!$B$288="С НДС",SUM('19_Расчет_аналитики'!AB4760:AB4763)*(1+'01_Вводные'!$B$58)+'09_Лагеря'!AB10,'19_Расчет_аналитики'!AB4765),0)</f>
        <v/>
      </c>
      <c r="AC4838">
        <f>IF('01_Вводные'!$B$234="Да",IF('01_Вводные'!$B$288="С НДС",SUM('19_Расчет_аналитики'!AC4760:AC4763)*(1+'01_Вводные'!$B$58)+'09_Лагеря'!AC10,'19_Расчет_аналитики'!AC4765),0)</f>
        <v/>
      </c>
      <c r="AD4838">
        <f>IF('01_Вводные'!$B$234="Да",IF('01_Вводные'!$B$288="С НДС",SUM('19_Расчет_аналитики'!AD4760:AD4763)*(1+'01_Вводные'!$B$58)+'09_Лагеря'!AD10,'19_Расчет_аналитики'!AD4765),0)</f>
        <v/>
      </c>
      <c r="AE4838">
        <f>IF('01_Вводные'!$B$234="Да",IF('01_Вводные'!$B$288="С НДС",SUM('19_Расчет_аналитики'!AE4760:AE4763)*(1+'01_Вводные'!$B$58)+'09_Лагеря'!AE10,'19_Расчет_аналитики'!AE4765),0)</f>
        <v/>
      </c>
      <c r="AF4838">
        <f>IF('01_Вводные'!$B$234="Да",IF('01_Вводные'!$B$288="С НДС",SUM('19_Расчет_аналитики'!AF4760:AF4763)*(1+'01_Вводные'!$B$58)+'09_Лагеря'!AF10,'19_Расчет_аналитики'!AF4765),0)</f>
        <v/>
      </c>
      <c r="AG4838">
        <f>IF('01_Вводные'!$B$234="Да",IF('01_Вводные'!$B$288="С НДС",SUM('19_Расчет_аналитики'!AG4760:AG4763)*(1+'01_Вводные'!$B$58)+'09_Лагеря'!AG10,'19_Расчет_аналитики'!AG4765),0)</f>
        <v/>
      </c>
      <c r="AH4838">
        <f>IF('01_Вводные'!$B$234="Да",IF('01_Вводные'!$B$288="С НДС",SUM('19_Расчет_аналитики'!AH4760:AH4763)*(1+'01_Вводные'!$B$58)+'09_Лагеря'!AH10,'19_Расчет_аналитики'!AH4765),0)</f>
        <v/>
      </c>
      <c r="AI4838">
        <f>IF('01_Вводные'!$B$234="Да",IF('01_Вводные'!$B$288="С НДС",SUM('19_Расчет_аналитики'!AI4760:AI4763)*(1+'01_Вводные'!$B$58)+'09_Лагеря'!AI10,'19_Расчет_аналитики'!AI4765),0)</f>
        <v/>
      </c>
      <c r="AJ4838">
        <f>IF('01_Вводные'!$B$234="Да",IF('01_Вводные'!$B$288="С НДС",SUM('19_Расчет_аналитики'!AJ4760:AJ4763)*(1+'01_Вводные'!$B$58)+'09_Лагеря'!AJ10,'19_Расчет_аналитики'!AJ4765),0)</f>
        <v/>
      </c>
      <c r="AK4838">
        <f>IF('01_Вводные'!$B$234="Да",IF('01_Вводные'!$B$288="С НДС",SUM('19_Расчет_аналитики'!AK4760:AK4763)*(1+'01_Вводные'!$B$58)+'09_Лагеря'!AK10,'19_Расчет_аналитики'!AK4765),0)</f>
        <v/>
      </c>
      <c r="AL4838">
        <f>IF('01_Вводные'!$B$234="Да",IF('01_Вводные'!$B$288="С НДС",SUM('19_Расчет_аналитики'!AL4760:AL4763)*(1+'01_Вводные'!$B$58)+'09_Лагеря'!AL10,'19_Расчет_аналитики'!AL4765),0)</f>
        <v/>
      </c>
      <c r="AM4838">
        <f>IF('01_Вводные'!$B$234="Да",IF('01_Вводные'!$B$288="С НДС",SUM('19_Расчет_аналитики'!AM4760:AM4763)*(1+'01_Вводные'!$B$58)+'09_Лагеря'!AM10,'19_Расчет_аналитики'!AM4765),0)</f>
        <v/>
      </c>
      <c r="AN4838">
        <f>IF('01_Вводные'!$B$234="Да",IF('01_Вводные'!$B$288="С НДС",SUM('19_Расчет_аналитики'!AN4760:AN4763)*(1+'01_Вводные'!$B$58)+'09_Лагеря'!AN10,'19_Расчет_аналитики'!AN4765),0)</f>
        <v/>
      </c>
      <c r="AO4838">
        <f>IF('01_Вводные'!$B$234="Да",IF('01_Вводные'!$B$288="С НДС",SUM('19_Расчет_аналитики'!AO4760:AO4763)*(1+'01_Вводные'!$B$58)+'09_Лагеря'!AO10,'19_Расчет_аналитики'!AO4765),0)</f>
        <v/>
      </c>
      <c r="AP4838">
        <f>IF('01_Вводные'!$B$234="Да",IF('01_Вводные'!$B$288="С НДС",SUM('19_Расчет_аналитики'!AP4760:AP4763)*(1+'01_Вводные'!$B$58)+'09_Лагеря'!AP10,'19_Расчет_аналитики'!AP4765),0)</f>
        <v/>
      </c>
      <c r="AQ4838">
        <f>IF('01_Вводные'!$B$234="Да",IF('01_Вводные'!$B$288="С НДС",SUM('19_Расчет_аналитики'!AQ4760:AQ4763)*(1+'01_Вводные'!$B$58)+'09_Лагеря'!AQ10,'19_Расчет_аналитики'!AQ4765),0)</f>
        <v/>
      </c>
      <c r="AR4838">
        <f>IF('01_Вводные'!$B$234="Да",IF('01_Вводные'!$B$288="С НДС",SUM('19_Расчет_аналитики'!AR4760:AR4763)*(1+'01_Вводные'!$B$58)+'09_Лагеря'!AR10,'19_Расчет_аналитики'!AR4765),0)</f>
        <v/>
      </c>
      <c r="AS4838">
        <f>IF('01_Вводные'!$B$234="Да",IF('01_Вводные'!$B$288="С НДС",SUM('19_Расчет_аналитики'!AS4760:AS4763)*(1+'01_Вводные'!$B$58)+'09_Лагеря'!AS10,'19_Расчет_аналитики'!AS4765),0)</f>
        <v/>
      </c>
      <c r="AT4838">
        <f>IF('01_Вводные'!$B$234="Да",IF('01_Вводные'!$B$288="С НДС",SUM('19_Расчет_аналитики'!AT4760:AT4763)*(1+'01_Вводные'!$B$58)+'09_Лагеря'!AT10,'19_Расчет_аналитики'!AT4765),0)</f>
        <v/>
      </c>
      <c r="AU4838">
        <f>IF('01_Вводные'!$B$234="Да",IF('01_Вводные'!$B$288="С НДС",SUM('19_Расчет_аналитики'!AU4760:AU4763)*(1+'01_Вводные'!$B$58)+'09_Лагеря'!AU10,'19_Расчет_аналитики'!AU4765),0)</f>
        <v/>
      </c>
      <c r="AV4838">
        <f>IF('01_Вводные'!$B$234="Да",IF('01_Вводные'!$B$288="С НДС",SUM('19_Расчет_аналитики'!AV4760:AV4763)*(1+'01_Вводные'!$B$58)+'09_Лагеря'!AV10,'19_Расчет_аналитики'!AV4765),0)</f>
        <v/>
      </c>
      <c r="AW4838">
        <f>IF('01_Вводные'!$B$234="Да",IF('01_Вводные'!$B$288="С НДС",SUM('19_Расчет_аналитики'!AW4760:AW4763)*(1+'01_Вводные'!$B$58)+'09_Лагеря'!AW10,'19_Расчет_аналитики'!AW4765),0)</f>
        <v/>
      </c>
      <c r="AX4838">
        <f>IF('01_Вводные'!$B$234="Да",IF('01_Вводные'!$B$288="С НДС",SUM('19_Расчет_аналитики'!AX4760:AX4763)*(1+'01_Вводные'!$B$58)+'09_Лагеря'!AX10,'19_Расчет_аналитики'!AX4765),0)</f>
        <v/>
      </c>
      <c r="AY4838">
        <f>IF('01_Вводные'!$B$234="Да",IF('01_Вводные'!$B$288="С НДС",SUM('19_Расчет_аналитики'!AY4760:AY4763)*(1+'01_Вводные'!$B$58)+'09_Лагеря'!AY10,'19_Расчет_аналитики'!AY4765),0)</f>
        <v/>
      </c>
      <c r="AZ4838">
        <f>IF('01_Вводные'!$B$234="Да",IF('01_Вводные'!$B$288="С НДС",SUM('19_Расчет_аналитики'!AZ4760:AZ4763)*(1+'01_Вводные'!$B$58)+'09_Лагеря'!AZ10,'19_Расчет_аналитики'!AZ4765),0)</f>
        <v/>
      </c>
      <c r="BA4838">
        <f>IF('01_Вводные'!$B$234="Да",IF('01_Вводные'!$B$288="С НДС",SUM('19_Расчет_аналитики'!BA4760:BA4763)*(1+'01_Вводные'!$B$58)+'09_Лагеря'!BA10,'19_Расчет_аналитики'!BA4765),0)</f>
        <v/>
      </c>
      <c r="BB4838">
        <f>IF('01_Вводные'!$B$234="Да",IF('01_Вводные'!$B$288="С НДС",SUM('19_Расчет_аналитики'!BB4760:BB4763)*(1+'01_Вводные'!$B$58)+'09_Лагеря'!BB10,'19_Расчет_аналитики'!BB4765),0)</f>
        <v/>
      </c>
      <c r="BC4838">
        <f>IF('01_Вводные'!$B$234="Да",IF('01_Вводные'!$B$288="С НДС",SUM('19_Расчет_аналитики'!BC4760:BC4763)*(1+'01_Вводные'!$B$58)+'09_Лагеря'!BC10,'19_Расчет_аналитики'!BC4765),0)</f>
        <v/>
      </c>
      <c r="BD4838">
        <f>IF('01_Вводные'!$B$234="Да",IF('01_Вводные'!$B$288="С НДС",SUM('19_Расчет_аналитики'!BD4760:BD4763)*(1+'01_Вводные'!$B$58)+'09_Лагеря'!BD10,'19_Расчет_аналитики'!BD4765),0)</f>
        <v/>
      </c>
      <c r="BE4838">
        <f>IF('01_Вводные'!$B$234="Да",IF('01_Вводные'!$B$288="С НДС",SUM('19_Расчет_аналитики'!BE4760:BE4763)*(1+'01_Вводные'!$B$58)+'09_Лагеря'!BE10,'19_Расчет_аналитики'!BE4765),0)</f>
        <v/>
      </c>
      <c r="BF4838">
        <f>IF('01_Вводные'!$B$234="Да",IF('01_Вводные'!$B$288="С НДС",SUM('19_Расчет_аналитики'!BF4760:BF4763)*(1+'01_Вводные'!$B$58)+'09_Лагеря'!BF10,'19_Расчет_аналитики'!BF4765),0)</f>
        <v/>
      </c>
      <c r="BG4838">
        <f>IF('01_Вводные'!$B$234="Да",IF('01_Вводные'!$B$288="С НДС",SUM('19_Расчет_аналитики'!BG4760:BG4763)*(1+'01_Вводные'!$B$58)+'09_Лагеря'!BG10,'19_Расчет_аналитики'!BG4765),0)</f>
        <v/>
      </c>
      <c r="BH4838">
        <f>IF('01_Вводные'!$B$234="Да",IF('01_Вводные'!$B$288="С НДС",SUM('19_Расчет_аналитики'!BH4760:BH4763)*(1+'01_Вводные'!$B$58)+'09_Лагеря'!BH10,'19_Расчет_аналитики'!BH4765),0)</f>
        <v/>
      </c>
      <c r="BI4838">
        <f>IF('01_Вводные'!$B$234="Да",IF('01_Вводные'!$B$288="С НДС",SUM('19_Расчет_аналитики'!BI4760:BI4763)*(1+'01_Вводные'!$B$58)+'09_Лагеря'!BI10,'19_Расчет_аналитики'!BI4765),0)</f>
        <v/>
      </c>
    </row>
    <row r="4839">
      <c r="B4839">
        <f>IF('01_Вводные'!$B$234="Да",IF('01_Вводные'!$B$290="Да",'19_Расчет_аналитики'!B4838*'01_Вводные'!$B$286,0),0)</f>
        <v/>
      </c>
      <c r="C4839">
        <f>IF('01_Вводные'!$B$234="Да",IF('01_Вводные'!$B$290="Да",'19_Расчет_аналитики'!C4838*'01_Вводные'!$B$286,0),0)</f>
        <v/>
      </c>
      <c r="D4839">
        <f>IF('01_Вводные'!$B$234="Да",IF('01_Вводные'!$B$290="Да",'19_Расчет_аналитики'!D4838*'01_Вводные'!$B$286,0),0)</f>
        <v/>
      </c>
      <c r="E4839">
        <f>IF('01_Вводные'!$B$234="Да",IF('01_Вводные'!$B$290="Да",'19_Расчет_аналитики'!E4838*'01_Вводные'!$B$286,0),0)</f>
        <v/>
      </c>
      <c r="F4839">
        <f>IF('01_Вводные'!$B$234="Да",IF('01_Вводные'!$B$290="Да",'19_Расчет_аналитики'!F4838*'01_Вводные'!$B$286,0),0)</f>
        <v/>
      </c>
      <c r="G4839">
        <f>IF('01_Вводные'!$B$234="Да",IF('01_Вводные'!$B$290="Да",'19_Расчет_аналитики'!G4838*'01_Вводные'!$B$286,0),0)</f>
        <v/>
      </c>
      <c r="H4839">
        <f>IF('01_Вводные'!$B$234="Да",IF('01_Вводные'!$B$290="Да",'19_Расчет_аналитики'!H4838*'01_Вводные'!$B$286,0),0)</f>
        <v/>
      </c>
      <c r="I4839">
        <f>IF('01_Вводные'!$B$234="Да",IF('01_Вводные'!$B$290="Да",'19_Расчет_аналитики'!I4838*'01_Вводные'!$B$286,0),0)</f>
        <v/>
      </c>
      <c r="J4839">
        <f>IF('01_Вводные'!$B$234="Да",IF('01_Вводные'!$B$290="Да",'19_Расчет_аналитики'!J4838*'01_Вводные'!$B$286,0),0)</f>
        <v/>
      </c>
      <c r="K4839">
        <f>IF('01_Вводные'!$B$234="Да",IF('01_Вводные'!$B$290="Да",'19_Расчет_аналитики'!K4838*'01_Вводные'!$B$286,0),0)</f>
        <v/>
      </c>
      <c r="L4839">
        <f>IF('01_Вводные'!$B$234="Да",IF('01_Вводные'!$B$290="Да",'19_Расчет_аналитики'!L4838*'01_Вводные'!$B$286,0),0)</f>
        <v/>
      </c>
      <c r="M4839">
        <f>IF('01_Вводные'!$B$234="Да",IF('01_Вводные'!$B$290="Да",'19_Расчет_аналитики'!M4838*'01_Вводные'!$B$286,0),0)</f>
        <v/>
      </c>
      <c r="N4839">
        <f>IF('01_Вводные'!$B$234="Да",IF('01_Вводные'!$B$290="Да",'19_Расчет_аналитики'!N4838*'01_Вводные'!$B$286,0),0)</f>
        <v/>
      </c>
      <c r="O4839">
        <f>IF('01_Вводные'!$B$234="Да",IF('01_Вводные'!$B$290="Да",'19_Расчет_аналитики'!O4838*'01_Вводные'!$B$286,0),0)</f>
        <v/>
      </c>
      <c r="P4839">
        <f>IF('01_Вводные'!$B$234="Да",IF('01_Вводные'!$B$290="Да",'19_Расчет_аналитики'!P4838*'01_Вводные'!$B$286,0),0)</f>
        <v/>
      </c>
      <c r="Q4839">
        <f>IF('01_Вводные'!$B$234="Да",IF('01_Вводные'!$B$290="Да",'19_Расчет_аналитики'!Q4838*'01_Вводные'!$B$286,0),0)</f>
        <v/>
      </c>
      <c r="R4839">
        <f>IF('01_Вводные'!$B$234="Да",IF('01_Вводные'!$B$290="Да",'19_Расчет_аналитики'!R4838*'01_Вводные'!$B$286,0),0)</f>
        <v/>
      </c>
      <c r="S4839">
        <f>IF('01_Вводные'!$B$234="Да",IF('01_Вводные'!$B$290="Да",'19_Расчет_аналитики'!S4838*'01_Вводные'!$B$286,0),0)</f>
        <v/>
      </c>
      <c r="T4839">
        <f>IF('01_Вводные'!$B$234="Да",IF('01_Вводные'!$B$290="Да",'19_Расчет_аналитики'!T4838*'01_Вводные'!$B$286,0),0)</f>
        <v/>
      </c>
      <c r="U4839">
        <f>IF('01_Вводные'!$B$234="Да",IF('01_Вводные'!$B$290="Да",'19_Расчет_аналитики'!U4838*'01_Вводные'!$B$286,0),0)</f>
        <v/>
      </c>
      <c r="V4839">
        <f>IF('01_Вводные'!$B$234="Да",IF('01_Вводные'!$B$290="Да",'19_Расчет_аналитики'!V4838*'01_Вводные'!$B$286,0),0)</f>
        <v/>
      </c>
      <c r="W4839">
        <f>IF('01_Вводные'!$B$234="Да",IF('01_Вводные'!$B$290="Да",'19_Расчет_аналитики'!W4838*'01_Вводные'!$B$286,0),0)</f>
        <v/>
      </c>
      <c r="X4839">
        <f>IF('01_Вводные'!$B$234="Да",IF('01_Вводные'!$B$290="Да",'19_Расчет_аналитики'!X4838*'01_Вводные'!$B$286,0),0)</f>
        <v/>
      </c>
      <c r="Y4839">
        <f>IF('01_Вводные'!$B$234="Да",IF('01_Вводные'!$B$290="Да",'19_Расчет_аналитики'!Y4838*'01_Вводные'!$B$286,0),0)</f>
        <v/>
      </c>
      <c r="Z4839">
        <f>IF('01_Вводные'!$B$234="Да",IF('01_Вводные'!$B$290="Да",'19_Расчет_аналитики'!Z4838*'01_Вводные'!$B$286,0),0)</f>
        <v/>
      </c>
      <c r="AA4839">
        <f>IF('01_Вводные'!$B$234="Да",IF('01_Вводные'!$B$290="Да",'19_Расчет_аналитики'!AA4838*'01_Вводные'!$B$286,0),0)</f>
        <v/>
      </c>
      <c r="AB4839">
        <f>IF('01_Вводные'!$B$234="Да",IF('01_Вводные'!$B$290="Да",'19_Расчет_аналитики'!AB4838*'01_Вводные'!$B$286,0),0)</f>
        <v/>
      </c>
      <c r="AC4839">
        <f>IF('01_Вводные'!$B$234="Да",IF('01_Вводные'!$B$290="Да",'19_Расчет_аналитики'!AC4838*'01_Вводные'!$B$286,0),0)</f>
        <v/>
      </c>
      <c r="AD4839">
        <f>IF('01_Вводные'!$B$234="Да",IF('01_Вводные'!$B$290="Да",'19_Расчет_аналитики'!AD4838*'01_Вводные'!$B$286,0),0)</f>
        <v/>
      </c>
      <c r="AE4839">
        <f>IF('01_Вводные'!$B$234="Да",IF('01_Вводные'!$B$290="Да",'19_Расчет_аналитики'!AE4838*'01_Вводные'!$B$286,0),0)</f>
        <v/>
      </c>
      <c r="AF4839">
        <f>IF('01_Вводные'!$B$234="Да",IF('01_Вводные'!$B$290="Да",'19_Расчет_аналитики'!AF4838*'01_Вводные'!$B$286,0),0)</f>
        <v/>
      </c>
      <c r="AG4839">
        <f>IF('01_Вводные'!$B$234="Да",IF('01_Вводные'!$B$290="Да",'19_Расчет_аналитики'!AG4838*'01_Вводные'!$B$286,0),0)</f>
        <v/>
      </c>
      <c r="AH4839">
        <f>IF('01_Вводные'!$B$234="Да",IF('01_Вводные'!$B$290="Да",'19_Расчет_аналитики'!AH4838*'01_Вводные'!$B$286,0),0)</f>
        <v/>
      </c>
      <c r="AI4839">
        <f>IF('01_Вводные'!$B$234="Да",IF('01_Вводные'!$B$290="Да",'19_Расчет_аналитики'!AI4838*'01_Вводные'!$B$286,0),0)</f>
        <v/>
      </c>
      <c r="AJ4839">
        <f>IF('01_Вводные'!$B$234="Да",IF('01_Вводные'!$B$290="Да",'19_Расчет_аналитики'!AJ4838*'01_Вводные'!$B$286,0),0)</f>
        <v/>
      </c>
      <c r="AK4839">
        <f>IF('01_Вводные'!$B$234="Да",IF('01_Вводные'!$B$290="Да",'19_Расчет_аналитики'!AK4838*'01_Вводные'!$B$286,0),0)</f>
        <v/>
      </c>
      <c r="AL4839">
        <f>IF('01_Вводные'!$B$234="Да",IF('01_Вводные'!$B$290="Да",'19_Расчет_аналитики'!AL4838*'01_Вводные'!$B$286,0),0)</f>
        <v/>
      </c>
      <c r="AM4839">
        <f>IF('01_Вводные'!$B$234="Да",IF('01_Вводные'!$B$290="Да",'19_Расчет_аналитики'!AM4838*'01_Вводные'!$B$286,0),0)</f>
        <v/>
      </c>
      <c r="AN4839">
        <f>IF('01_Вводные'!$B$234="Да",IF('01_Вводные'!$B$290="Да",'19_Расчет_аналитики'!AN4838*'01_Вводные'!$B$286,0),0)</f>
        <v/>
      </c>
      <c r="AO4839">
        <f>IF('01_Вводные'!$B$234="Да",IF('01_Вводные'!$B$290="Да",'19_Расчет_аналитики'!AO4838*'01_Вводные'!$B$286,0),0)</f>
        <v/>
      </c>
      <c r="AP4839">
        <f>IF('01_Вводные'!$B$234="Да",IF('01_Вводные'!$B$290="Да",'19_Расчет_аналитики'!AP4838*'01_Вводные'!$B$286,0),0)</f>
        <v/>
      </c>
      <c r="AQ4839">
        <f>IF('01_Вводные'!$B$234="Да",IF('01_Вводные'!$B$290="Да",'19_Расчет_аналитики'!AQ4838*'01_Вводные'!$B$286,0),0)</f>
        <v/>
      </c>
      <c r="AR4839">
        <f>IF('01_Вводные'!$B$234="Да",IF('01_Вводные'!$B$290="Да",'19_Расчет_аналитики'!AR4838*'01_Вводные'!$B$286,0),0)</f>
        <v/>
      </c>
      <c r="AS4839">
        <f>IF('01_Вводные'!$B$234="Да",IF('01_Вводные'!$B$290="Да",'19_Расчет_аналитики'!AS4838*'01_Вводные'!$B$286,0),0)</f>
        <v/>
      </c>
      <c r="AT4839">
        <f>IF('01_Вводные'!$B$234="Да",IF('01_Вводные'!$B$290="Да",'19_Расчет_аналитики'!AT4838*'01_Вводные'!$B$286,0),0)</f>
        <v/>
      </c>
      <c r="AU4839">
        <f>IF('01_Вводные'!$B$234="Да",IF('01_Вводные'!$B$290="Да",'19_Расчет_аналитики'!AU4838*'01_Вводные'!$B$286,0),0)</f>
        <v/>
      </c>
      <c r="AV4839">
        <f>IF('01_Вводные'!$B$234="Да",IF('01_Вводные'!$B$290="Да",'19_Расчет_аналитики'!AV4838*'01_Вводные'!$B$286,0),0)</f>
        <v/>
      </c>
      <c r="AW4839">
        <f>IF('01_Вводные'!$B$234="Да",IF('01_Вводные'!$B$290="Да",'19_Расчет_аналитики'!AW4838*'01_Вводные'!$B$286,0),0)</f>
        <v/>
      </c>
      <c r="AX4839">
        <f>IF('01_Вводные'!$B$234="Да",IF('01_Вводные'!$B$290="Да",'19_Расчет_аналитики'!AX4838*'01_Вводные'!$B$286,0),0)</f>
        <v/>
      </c>
      <c r="AY4839">
        <f>IF('01_Вводные'!$B$234="Да",IF('01_Вводные'!$B$290="Да",'19_Расчет_аналитики'!AY4838*'01_Вводные'!$B$286,0),0)</f>
        <v/>
      </c>
      <c r="AZ4839">
        <f>IF('01_Вводные'!$B$234="Да",IF('01_Вводные'!$B$290="Да",'19_Расчет_аналитики'!AZ4838*'01_Вводные'!$B$286,0),0)</f>
        <v/>
      </c>
      <c r="BA4839">
        <f>IF('01_Вводные'!$B$234="Да",IF('01_Вводные'!$B$290="Да",'19_Расчет_аналитики'!BA4838*'01_Вводные'!$B$286,0),0)</f>
        <v/>
      </c>
      <c r="BB4839">
        <f>IF('01_Вводные'!$B$234="Да",IF('01_Вводные'!$B$290="Да",'19_Расчет_аналитики'!BB4838*'01_Вводные'!$B$286,0),0)</f>
        <v/>
      </c>
      <c r="BC4839">
        <f>IF('01_Вводные'!$B$234="Да",IF('01_Вводные'!$B$290="Да",'19_Расчет_аналитики'!BC4838*'01_Вводные'!$B$286,0),0)</f>
        <v/>
      </c>
      <c r="BD4839">
        <f>IF('01_Вводные'!$B$234="Да",IF('01_Вводные'!$B$290="Да",'19_Расчет_аналитики'!BD4838*'01_Вводные'!$B$286,0),0)</f>
        <v/>
      </c>
      <c r="BE4839">
        <f>IF('01_Вводные'!$B$234="Да",IF('01_Вводные'!$B$290="Да",'19_Расчет_аналитики'!BE4838*'01_Вводные'!$B$286,0),0)</f>
        <v/>
      </c>
      <c r="BF4839">
        <f>IF('01_Вводные'!$B$234="Да",IF('01_Вводные'!$B$290="Да",'19_Расчет_аналитики'!BF4838*'01_Вводные'!$B$286,0),0)</f>
        <v/>
      </c>
      <c r="BG4839">
        <f>IF('01_Вводные'!$B$234="Да",IF('01_Вводные'!$B$290="Да",'19_Расчет_аналитики'!BG4838*'01_Вводные'!$B$286,0),0)</f>
        <v/>
      </c>
      <c r="BH4839">
        <f>IF('01_Вводные'!$B$234="Да",IF('01_Вводные'!$B$290="Да",'19_Расчет_аналитики'!BH4838*'01_Вводные'!$B$286,0),0)</f>
        <v/>
      </c>
      <c r="BI4839">
        <f>IF('01_Вводные'!$B$234="Да",IF('01_Вводные'!$B$290="Да",'19_Расчет_аналитики'!BI4838*'01_Вводные'!$B$286,0),0)</f>
        <v/>
      </c>
    </row>
    <row r="4840">
      <c r="B4840">
        <f>'02_Модель'!B98</f>
        <v/>
      </c>
      <c r="C4840">
        <f>'02_Модель'!C98</f>
        <v/>
      </c>
      <c r="D4840">
        <f>'02_Модель'!D98</f>
        <v/>
      </c>
      <c r="E4840">
        <f>'02_Модель'!E98</f>
        <v/>
      </c>
      <c r="F4840">
        <f>'02_Модель'!F98</f>
        <v/>
      </c>
      <c r="G4840">
        <f>'02_Модель'!G98</f>
        <v/>
      </c>
      <c r="H4840">
        <f>'02_Модель'!H98</f>
        <v/>
      </c>
      <c r="I4840">
        <f>'02_Модель'!I98</f>
        <v/>
      </c>
      <c r="J4840">
        <f>'02_Модель'!J98</f>
        <v/>
      </c>
      <c r="K4840">
        <f>'02_Модель'!K98</f>
        <v/>
      </c>
      <c r="L4840">
        <f>'02_Модель'!L98</f>
        <v/>
      </c>
      <c r="M4840">
        <f>'02_Модель'!M98</f>
        <v/>
      </c>
      <c r="N4840">
        <f>'02_Модель'!N98</f>
        <v/>
      </c>
      <c r="O4840">
        <f>'02_Модель'!O98</f>
        <v/>
      </c>
      <c r="P4840">
        <f>'02_Модель'!P98</f>
        <v/>
      </c>
      <c r="Q4840">
        <f>'02_Модель'!Q98</f>
        <v/>
      </c>
      <c r="R4840">
        <f>'02_Модель'!R98</f>
        <v/>
      </c>
      <c r="S4840">
        <f>'02_Модель'!S98</f>
        <v/>
      </c>
      <c r="T4840">
        <f>'02_Модель'!T98</f>
        <v/>
      </c>
      <c r="U4840">
        <f>'02_Модель'!U98</f>
        <v/>
      </c>
      <c r="V4840">
        <f>'02_Модель'!V98</f>
        <v/>
      </c>
      <c r="W4840">
        <f>'02_Модель'!W98</f>
        <v/>
      </c>
      <c r="X4840">
        <f>'02_Модель'!X98</f>
        <v/>
      </c>
      <c r="Y4840">
        <f>'02_Модель'!Y98</f>
        <v/>
      </c>
      <c r="Z4840">
        <f>'02_Модель'!Z98</f>
        <v/>
      </c>
      <c r="AA4840">
        <f>'02_Модель'!AA98</f>
        <v/>
      </c>
      <c r="AB4840">
        <f>'02_Модель'!AB98</f>
        <v/>
      </c>
      <c r="AC4840">
        <f>'02_Модель'!AC98</f>
        <v/>
      </c>
      <c r="AD4840">
        <f>'02_Модель'!AD98</f>
        <v/>
      </c>
      <c r="AE4840">
        <f>'02_Модель'!AE98</f>
        <v/>
      </c>
      <c r="AF4840">
        <f>'02_Модель'!AF98</f>
        <v/>
      </c>
      <c r="AG4840">
        <f>'02_Модель'!AG98</f>
        <v/>
      </c>
      <c r="AH4840">
        <f>'02_Модель'!AH98</f>
        <v/>
      </c>
      <c r="AI4840">
        <f>'02_Модель'!AI98</f>
        <v/>
      </c>
      <c r="AJ4840">
        <f>'02_Модель'!AJ98</f>
        <v/>
      </c>
      <c r="AK4840">
        <f>'02_Модель'!AK98</f>
        <v/>
      </c>
      <c r="AL4840">
        <f>'02_Модель'!AL98</f>
        <v/>
      </c>
      <c r="AM4840">
        <f>'02_Модель'!AM98</f>
        <v/>
      </c>
      <c r="AN4840">
        <f>'02_Модель'!AN98</f>
        <v/>
      </c>
      <c r="AO4840">
        <f>'02_Модель'!AO98</f>
        <v/>
      </c>
      <c r="AP4840">
        <f>'02_Модель'!AP98</f>
        <v/>
      </c>
      <c r="AQ4840">
        <f>'02_Модель'!AQ98</f>
        <v/>
      </c>
      <c r="AR4840">
        <f>'02_Модель'!AR98</f>
        <v/>
      </c>
      <c r="AS4840">
        <f>'02_Модель'!AS98</f>
        <v/>
      </c>
      <c r="AT4840">
        <f>'02_Модель'!AT98</f>
        <v/>
      </c>
      <c r="AU4840">
        <f>'02_Модель'!AU98</f>
        <v/>
      </c>
      <c r="AV4840">
        <f>'02_Модель'!AV98</f>
        <v/>
      </c>
      <c r="AW4840">
        <f>'02_Модель'!AW98</f>
        <v/>
      </c>
      <c r="AX4840">
        <f>'02_Модель'!AX98</f>
        <v/>
      </c>
      <c r="AY4840">
        <f>'02_Модель'!AY98</f>
        <v/>
      </c>
      <c r="AZ4840">
        <f>'02_Модель'!AZ98</f>
        <v/>
      </c>
      <c r="BA4840">
        <f>'02_Модель'!BA98</f>
        <v/>
      </c>
      <c r="BB4840">
        <f>'02_Модель'!BB98</f>
        <v/>
      </c>
      <c r="BC4840">
        <f>'02_Модель'!BC98</f>
        <v/>
      </c>
      <c r="BD4840">
        <f>'02_Модель'!BD98</f>
        <v/>
      </c>
      <c r="BE4840">
        <f>'02_Модель'!BE98</f>
        <v/>
      </c>
      <c r="BF4840">
        <f>'02_Модель'!BF98</f>
        <v/>
      </c>
      <c r="BG4840">
        <f>'02_Модель'!BG98</f>
        <v/>
      </c>
      <c r="BH4840">
        <f>'02_Модель'!BH98</f>
        <v/>
      </c>
      <c r="BI4840">
        <f>'02_Модель'!BI98</f>
        <v/>
      </c>
    </row>
    <row r="4841">
      <c r="B4841">
        <f>IF('01_Вводные'!$B$234="Да",SUM('19_Расчет_аналитики'!B4839:B4840),0)</f>
        <v/>
      </c>
      <c r="C4841">
        <f>IF('01_Вводные'!$B$234="Да",SUM('19_Расчет_аналитики'!C4839:C4840),0)</f>
        <v/>
      </c>
      <c r="D4841">
        <f>IF('01_Вводные'!$B$234="Да",SUM('19_Расчет_аналитики'!D4839:D4840),0)</f>
        <v/>
      </c>
      <c r="E4841">
        <f>IF('01_Вводные'!$B$234="Да",SUM('19_Расчет_аналитики'!E4839:E4840),0)</f>
        <v/>
      </c>
      <c r="F4841">
        <f>IF('01_Вводные'!$B$234="Да",SUM('19_Расчет_аналитики'!F4839:F4840),0)</f>
        <v/>
      </c>
      <c r="G4841">
        <f>IF('01_Вводные'!$B$234="Да",SUM('19_Расчет_аналитики'!G4839:G4840),0)</f>
        <v/>
      </c>
      <c r="H4841">
        <f>IF('01_Вводные'!$B$234="Да",SUM('19_Расчет_аналитики'!H4839:H4840),0)</f>
        <v/>
      </c>
      <c r="I4841">
        <f>IF('01_Вводные'!$B$234="Да",SUM('19_Расчет_аналитики'!I4839:I4840),0)</f>
        <v/>
      </c>
      <c r="J4841">
        <f>IF('01_Вводные'!$B$234="Да",SUM('19_Расчет_аналитики'!J4839:J4840),0)</f>
        <v/>
      </c>
      <c r="K4841">
        <f>IF('01_Вводные'!$B$234="Да",SUM('19_Расчет_аналитики'!K4839:K4840),0)</f>
        <v/>
      </c>
      <c r="L4841">
        <f>IF('01_Вводные'!$B$234="Да",SUM('19_Расчет_аналитики'!L4839:L4840),0)</f>
        <v/>
      </c>
      <c r="M4841">
        <f>IF('01_Вводные'!$B$234="Да",SUM('19_Расчет_аналитики'!M4839:M4840),0)</f>
        <v/>
      </c>
      <c r="N4841">
        <f>IF('01_Вводные'!$B$234="Да",SUM('19_Расчет_аналитики'!N4839:N4840),0)</f>
        <v/>
      </c>
      <c r="O4841">
        <f>IF('01_Вводные'!$B$234="Да",SUM('19_Расчет_аналитики'!O4839:O4840),0)</f>
        <v/>
      </c>
      <c r="P4841">
        <f>IF('01_Вводные'!$B$234="Да",SUM('19_Расчет_аналитики'!P4839:P4840),0)</f>
        <v/>
      </c>
      <c r="Q4841">
        <f>IF('01_Вводные'!$B$234="Да",SUM('19_Расчет_аналитики'!Q4839:Q4840),0)</f>
        <v/>
      </c>
      <c r="R4841">
        <f>IF('01_Вводные'!$B$234="Да",SUM('19_Расчет_аналитики'!R4839:R4840),0)</f>
        <v/>
      </c>
      <c r="S4841">
        <f>IF('01_Вводные'!$B$234="Да",SUM('19_Расчет_аналитики'!S4839:S4840),0)</f>
        <v/>
      </c>
      <c r="T4841">
        <f>IF('01_Вводные'!$B$234="Да",SUM('19_Расчет_аналитики'!T4839:T4840),0)</f>
        <v/>
      </c>
      <c r="U4841">
        <f>IF('01_Вводные'!$B$234="Да",SUM('19_Расчет_аналитики'!U4839:U4840),0)</f>
        <v/>
      </c>
      <c r="V4841">
        <f>IF('01_Вводные'!$B$234="Да",SUM('19_Расчет_аналитики'!V4839:V4840),0)</f>
        <v/>
      </c>
      <c r="W4841">
        <f>IF('01_Вводные'!$B$234="Да",SUM('19_Расчет_аналитики'!W4839:W4840),0)</f>
        <v/>
      </c>
      <c r="X4841">
        <f>IF('01_Вводные'!$B$234="Да",SUM('19_Расчет_аналитики'!X4839:X4840),0)</f>
        <v/>
      </c>
      <c r="Y4841">
        <f>IF('01_Вводные'!$B$234="Да",SUM('19_Расчет_аналитики'!Y4839:Y4840),0)</f>
        <v/>
      </c>
      <c r="Z4841">
        <f>IF('01_Вводные'!$B$234="Да",SUM('19_Расчет_аналитики'!Z4839:Z4840),0)</f>
        <v/>
      </c>
      <c r="AA4841">
        <f>IF('01_Вводные'!$B$234="Да",SUM('19_Расчет_аналитики'!AA4839:AA4840),0)</f>
        <v/>
      </c>
      <c r="AB4841">
        <f>IF('01_Вводные'!$B$234="Да",SUM('19_Расчет_аналитики'!AB4839:AB4840),0)</f>
        <v/>
      </c>
      <c r="AC4841">
        <f>IF('01_Вводные'!$B$234="Да",SUM('19_Расчет_аналитики'!AC4839:AC4840),0)</f>
        <v/>
      </c>
      <c r="AD4841">
        <f>IF('01_Вводные'!$B$234="Да",SUM('19_Расчет_аналитики'!AD4839:AD4840),0)</f>
        <v/>
      </c>
      <c r="AE4841">
        <f>IF('01_Вводные'!$B$234="Да",SUM('19_Расчет_аналитики'!AE4839:AE4840),0)</f>
        <v/>
      </c>
      <c r="AF4841">
        <f>IF('01_Вводные'!$B$234="Да",SUM('19_Расчет_аналитики'!AF4839:AF4840),0)</f>
        <v/>
      </c>
      <c r="AG4841">
        <f>IF('01_Вводные'!$B$234="Да",SUM('19_Расчет_аналитики'!AG4839:AG4840),0)</f>
        <v/>
      </c>
      <c r="AH4841">
        <f>IF('01_Вводные'!$B$234="Да",SUM('19_Расчет_аналитики'!AH4839:AH4840),0)</f>
        <v/>
      </c>
      <c r="AI4841">
        <f>IF('01_Вводные'!$B$234="Да",SUM('19_Расчет_аналитики'!AI4839:AI4840),0)</f>
        <v/>
      </c>
      <c r="AJ4841">
        <f>IF('01_Вводные'!$B$234="Да",SUM('19_Расчет_аналитики'!AJ4839:AJ4840),0)</f>
        <v/>
      </c>
      <c r="AK4841">
        <f>IF('01_Вводные'!$B$234="Да",SUM('19_Расчет_аналитики'!AK4839:AK4840),0)</f>
        <v/>
      </c>
      <c r="AL4841">
        <f>IF('01_Вводные'!$B$234="Да",SUM('19_Расчет_аналитики'!AL4839:AL4840),0)</f>
        <v/>
      </c>
      <c r="AM4841">
        <f>IF('01_Вводные'!$B$234="Да",SUM('19_Расчет_аналитики'!AM4839:AM4840),0)</f>
        <v/>
      </c>
      <c r="AN4841">
        <f>IF('01_Вводные'!$B$234="Да",SUM('19_Расчет_аналитики'!AN4839:AN4840),0)</f>
        <v/>
      </c>
      <c r="AO4841">
        <f>IF('01_Вводные'!$B$234="Да",SUM('19_Расчет_аналитики'!AO4839:AO4840),0)</f>
        <v/>
      </c>
      <c r="AP4841">
        <f>IF('01_Вводные'!$B$234="Да",SUM('19_Расчет_аналитики'!AP4839:AP4840),0)</f>
        <v/>
      </c>
      <c r="AQ4841">
        <f>IF('01_Вводные'!$B$234="Да",SUM('19_Расчет_аналитики'!AQ4839:AQ4840),0)</f>
        <v/>
      </c>
      <c r="AR4841">
        <f>IF('01_Вводные'!$B$234="Да",SUM('19_Расчет_аналитики'!AR4839:AR4840),0)</f>
        <v/>
      </c>
      <c r="AS4841">
        <f>IF('01_Вводные'!$B$234="Да",SUM('19_Расчет_аналитики'!AS4839:AS4840),0)</f>
        <v/>
      </c>
      <c r="AT4841">
        <f>IF('01_Вводные'!$B$234="Да",SUM('19_Расчет_аналитики'!AT4839:AT4840),0)</f>
        <v/>
      </c>
      <c r="AU4841">
        <f>IF('01_Вводные'!$B$234="Да",SUM('19_Расчет_аналитики'!AU4839:AU4840),0)</f>
        <v/>
      </c>
      <c r="AV4841">
        <f>IF('01_Вводные'!$B$234="Да",SUM('19_Расчет_аналитики'!AV4839:AV4840),0)</f>
        <v/>
      </c>
      <c r="AW4841">
        <f>IF('01_Вводные'!$B$234="Да",SUM('19_Расчет_аналитики'!AW4839:AW4840),0)</f>
        <v/>
      </c>
      <c r="AX4841">
        <f>IF('01_Вводные'!$B$234="Да",SUM('19_Расчет_аналитики'!AX4839:AX4840),0)</f>
        <v/>
      </c>
      <c r="AY4841">
        <f>IF('01_Вводные'!$B$234="Да",SUM('19_Расчет_аналитики'!AY4839:AY4840),0)</f>
        <v/>
      </c>
      <c r="AZ4841">
        <f>IF('01_Вводные'!$B$234="Да",SUM('19_Расчет_аналитики'!AZ4839:AZ4840),0)</f>
        <v/>
      </c>
      <c r="BA4841">
        <f>IF('01_Вводные'!$B$234="Да",SUM('19_Расчет_аналитики'!BA4839:BA4840),0)</f>
        <v/>
      </c>
      <c r="BB4841">
        <f>IF('01_Вводные'!$B$234="Да",SUM('19_Расчет_аналитики'!BB4839:BB4840),0)</f>
        <v/>
      </c>
      <c r="BC4841">
        <f>IF('01_Вводные'!$B$234="Да",SUM('19_Расчет_аналитики'!BC4839:BC4840),0)</f>
        <v/>
      </c>
      <c r="BD4841">
        <f>IF('01_Вводные'!$B$234="Да",SUM('19_Расчет_аналитики'!BD4839:BD4840),0)</f>
        <v/>
      </c>
      <c r="BE4841">
        <f>IF('01_Вводные'!$B$234="Да",SUM('19_Расчет_аналитики'!BE4839:BE4840),0)</f>
        <v/>
      </c>
      <c r="BF4841">
        <f>IF('01_Вводные'!$B$234="Да",SUM('19_Расчет_аналитики'!BF4839:BF4840),0)</f>
        <v/>
      </c>
      <c r="BG4841">
        <f>IF('01_Вводные'!$B$234="Да",SUM('19_Расчет_аналитики'!BG4839:BG4840),0)</f>
        <v/>
      </c>
      <c r="BH4841">
        <f>IF('01_Вводные'!$B$234="Да",SUM('19_Расчет_аналитики'!BH4839:BH4840),0)</f>
        <v/>
      </c>
      <c r="BI4841">
        <f>IF('01_Вводные'!$B$234="Да",SUM('19_Расчет_аналитики'!BI4839:BI4840),0)</f>
        <v/>
      </c>
    </row>
    <row r="4842">
      <c r="B4842">
        <f>IF('01_Вводные'!$B$234="Да",SUM('19_Расчет_аналитики'!$B4841:B4841),0)</f>
        <v/>
      </c>
      <c r="C4842">
        <f>IF('01_Вводные'!$B$234="Да",SUM('19_Расчет_аналитики'!$B4841:C4841),0)</f>
        <v/>
      </c>
      <c r="D4842">
        <f>IF('01_Вводные'!$B$234="Да",SUM('19_Расчет_аналитики'!$B4841:D4841),0)</f>
        <v/>
      </c>
      <c r="E4842">
        <f>IF('01_Вводные'!$B$234="Да",SUM('19_Расчет_аналитики'!$B4841:E4841),0)</f>
        <v/>
      </c>
      <c r="F4842">
        <f>IF('01_Вводные'!$B$234="Да",SUM('19_Расчет_аналитики'!$B4841:F4841),0)</f>
        <v/>
      </c>
      <c r="G4842">
        <f>IF('01_Вводные'!$B$234="Да",SUM('19_Расчет_аналитики'!$B4841:G4841),0)</f>
        <v/>
      </c>
      <c r="H4842">
        <f>IF('01_Вводные'!$B$234="Да",SUM('19_Расчет_аналитики'!$B4841:H4841),0)</f>
        <v/>
      </c>
      <c r="I4842">
        <f>IF('01_Вводные'!$B$234="Да",SUM('19_Расчет_аналитики'!$B4841:I4841),0)</f>
        <v/>
      </c>
      <c r="J4842">
        <f>IF('01_Вводные'!$B$234="Да",SUM('19_Расчет_аналитики'!$B4841:J4841),0)</f>
        <v/>
      </c>
      <c r="K4842">
        <f>IF('01_Вводные'!$B$234="Да",SUM('19_Расчет_аналитики'!$B4841:K4841),0)</f>
        <v/>
      </c>
      <c r="L4842">
        <f>IF('01_Вводные'!$B$234="Да",SUM('19_Расчет_аналитики'!$B4841:L4841),0)</f>
        <v/>
      </c>
      <c r="M4842">
        <f>IF('01_Вводные'!$B$234="Да",SUM('19_Расчет_аналитики'!$B4841:M4841),0)</f>
        <v/>
      </c>
      <c r="N4842">
        <f>IF('01_Вводные'!$B$234="Да",SUM('19_Расчет_аналитики'!$B4841:N4841),0)</f>
        <v/>
      </c>
      <c r="O4842">
        <f>IF('01_Вводные'!$B$234="Да",SUM('19_Расчет_аналитики'!$B4841:O4841),0)</f>
        <v/>
      </c>
      <c r="P4842">
        <f>IF('01_Вводные'!$B$234="Да",SUM('19_Расчет_аналитики'!$B4841:P4841),0)</f>
        <v/>
      </c>
      <c r="Q4842">
        <f>IF('01_Вводные'!$B$234="Да",SUM('19_Расчет_аналитики'!$B4841:Q4841),0)</f>
        <v/>
      </c>
      <c r="R4842">
        <f>IF('01_Вводные'!$B$234="Да",SUM('19_Расчет_аналитики'!$B4841:R4841),0)</f>
        <v/>
      </c>
      <c r="S4842">
        <f>IF('01_Вводные'!$B$234="Да",SUM('19_Расчет_аналитики'!$B4841:S4841),0)</f>
        <v/>
      </c>
      <c r="T4842">
        <f>IF('01_Вводные'!$B$234="Да",SUM('19_Расчет_аналитики'!$B4841:T4841),0)</f>
        <v/>
      </c>
      <c r="U4842">
        <f>IF('01_Вводные'!$B$234="Да",SUM('19_Расчет_аналитики'!$B4841:U4841),0)</f>
        <v/>
      </c>
      <c r="V4842">
        <f>IF('01_Вводные'!$B$234="Да",SUM('19_Расчет_аналитики'!$B4841:V4841),0)</f>
        <v/>
      </c>
      <c r="W4842">
        <f>IF('01_Вводные'!$B$234="Да",SUM('19_Расчет_аналитики'!$B4841:W4841),0)</f>
        <v/>
      </c>
      <c r="X4842">
        <f>IF('01_Вводные'!$B$234="Да",SUM('19_Расчет_аналитики'!$B4841:X4841),0)</f>
        <v/>
      </c>
      <c r="Y4842">
        <f>IF('01_Вводные'!$B$234="Да",SUM('19_Расчет_аналитики'!$B4841:Y4841),0)</f>
        <v/>
      </c>
      <c r="Z4842">
        <f>IF('01_Вводные'!$B$234="Да",SUM('19_Расчет_аналитики'!$B4841:Z4841),0)</f>
        <v/>
      </c>
      <c r="AA4842">
        <f>IF('01_Вводные'!$B$234="Да",SUM('19_Расчет_аналитики'!$B4841:AA4841),0)</f>
        <v/>
      </c>
      <c r="AB4842">
        <f>IF('01_Вводные'!$B$234="Да",SUM('19_Расчет_аналитики'!$B4841:AB4841),0)</f>
        <v/>
      </c>
      <c r="AC4842">
        <f>IF('01_Вводные'!$B$234="Да",SUM('19_Расчет_аналитики'!$B4841:AC4841),0)</f>
        <v/>
      </c>
      <c r="AD4842">
        <f>IF('01_Вводные'!$B$234="Да",SUM('19_Расчет_аналитики'!$B4841:AD4841),0)</f>
        <v/>
      </c>
      <c r="AE4842">
        <f>IF('01_Вводные'!$B$234="Да",SUM('19_Расчет_аналитики'!$B4841:AE4841),0)</f>
        <v/>
      </c>
      <c r="AF4842">
        <f>IF('01_Вводные'!$B$234="Да",SUM('19_Расчет_аналитики'!$B4841:AF4841),0)</f>
        <v/>
      </c>
      <c r="AG4842">
        <f>IF('01_Вводные'!$B$234="Да",SUM('19_Расчет_аналитики'!$B4841:AG4841),0)</f>
        <v/>
      </c>
      <c r="AH4842">
        <f>IF('01_Вводные'!$B$234="Да",SUM('19_Расчет_аналитики'!$B4841:AH4841),0)</f>
        <v/>
      </c>
      <c r="AI4842">
        <f>IF('01_Вводные'!$B$234="Да",SUM('19_Расчет_аналитики'!$B4841:AI4841),0)</f>
        <v/>
      </c>
      <c r="AJ4842">
        <f>IF('01_Вводные'!$B$234="Да",SUM('19_Расчет_аналитики'!$B4841:AJ4841),0)</f>
        <v/>
      </c>
      <c r="AK4842">
        <f>IF('01_Вводные'!$B$234="Да",SUM('19_Расчет_аналитики'!$B4841:AK4841),0)</f>
        <v/>
      </c>
      <c r="AL4842">
        <f>IF('01_Вводные'!$B$234="Да",SUM('19_Расчет_аналитики'!$B4841:AL4841),0)</f>
        <v/>
      </c>
      <c r="AM4842">
        <f>IF('01_Вводные'!$B$234="Да",SUM('19_Расчет_аналитики'!$B4841:AM4841),0)</f>
        <v/>
      </c>
      <c r="AN4842">
        <f>IF('01_Вводные'!$B$234="Да",SUM('19_Расчет_аналитики'!$B4841:AN4841),0)</f>
        <v/>
      </c>
      <c r="AO4842">
        <f>IF('01_Вводные'!$B$234="Да",SUM('19_Расчет_аналитики'!$B4841:AO4841),0)</f>
        <v/>
      </c>
      <c r="AP4842">
        <f>IF('01_Вводные'!$B$234="Да",SUM('19_Расчет_аналитики'!$B4841:AP4841),0)</f>
        <v/>
      </c>
      <c r="AQ4842">
        <f>IF('01_Вводные'!$B$234="Да",SUM('19_Расчет_аналитики'!$B4841:AQ4841),0)</f>
        <v/>
      </c>
      <c r="AR4842">
        <f>IF('01_Вводные'!$B$234="Да",SUM('19_Расчет_аналитики'!$B4841:AR4841),0)</f>
        <v/>
      </c>
      <c r="AS4842">
        <f>IF('01_Вводные'!$B$234="Да",SUM('19_Расчет_аналитики'!$B4841:AS4841),0)</f>
        <v/>
      </c>
      <c r="AT4842">
        <f>IF('01_Вводные'!$B$234="Да",SUM('19_Расчет_аналитики'!$B4841:AT4841),0)</f>
        <v/>
      </c>
      <c r="AU4842">
        <f>IF('01_Вводные'!$B$234="Да",SUM('19_Расчет_аналитики'!$B4841:AU4841),0)</f>
        <v/>
      </c>
      <c r="AV4842">
        <f>IF('01_Вводные'!$B$234="Да",SUM('19_Расчет_аналитики'!$B4841:AV4841),0)</f>
        <v/>
      </c>
      <c r="AW4842">
        <f>IF('01_Вводные'!$B$234="Да",SUM('19_Расчет_аналитики'!$B4841:AW4841),0)</f>
        <v/>
      </c>
      <c r="AX4842">
        <f>IF('01_Вводные'!$B$234="Да",SUM('19_Расчет_аналитики'!$B4841:AX4841),0)</f>
        <v/>
      </c>
      <c r="AY4842">
        <f>IF('01_Вводные'!$B$234="Да",SUM('19_Расчет_аналитики'!$B4841:AY4841),0)</f>
        <v/>
      </c>
      <c r="AZ4842">
        <f>IF('01_Вводные'!$B$234="Да",SUM('19_Расчет_аналитики'!$B4841:AZ4841),0)</f>
        <v/>
      </c>
      <c r="BA4842">
        <f>IF('01_Вводные'!$B$234="Да",SUM('19_Расчет_аналитики'!$B4841:BA4841),0)</f>
        <v/>
      </c>
      <c r="BB4842">
        <f>IF('01_Вводные'!$B$234="Да",SUM('19_Расчет_аналитики'!$B4841:BB4841),0)</f>
        <v/>
      </c>
      <c r="BC4842">
        <f>IF('01_Вводные'!$B$234="Да",SUM('19_Расчет_аналитики'!$B4841:BC4841),0)</f>
        <v/>
      </c>
      <c r="BD4842">
        <f>IF('01_Вводные'!$B$234="Да",SUM('19_Расчет_аналитики'!$B4841:BD4841),0)</f>
        <v/>
      </c>
      <c r="BE4842">
        <f>IF('01_Вводные'!$B$234="Да",SUM('19_Расчет_аналитики'!$B4841:BE4841),0)</f>
        <v/>
      </c>
      <c r="BF4842">
        <f>IF('01_Вводные'!$B$234="Да",SUM('19_Расчет_аналитики'!$B4841:BF4841),0)</f>
        <v/>
      </c>
      <c r="BG4842">
        <f>IF('01_Вводные'!$B$234="Да",SUM('19_Расчет_аналитики'!$B4841:BG4841),0)</f>
        <v/>
      </c>
      <c r="BH4842">
        <f>IF('01_Вводные'!$B$234="Да",SUM('19_Расчет_аналитики'!$B4841:BH4841),0)</f>
        <v/>
      </c>
      <c r="BI4842">
        <f>IF('01_Вводные'!$B$234="Да",SUM('19_Расчет_аналитики'!$B4841:BI4841),0)</f>
        <v/>
      </c>
    </row>
    <row r="4843"/>
    <row r="4844"/>
    <row r="4845"/>
    <row r="4846"/>
    <row r="4847"/>
    <row r="4848"/>
    <row r="4849"/>
    <row r="4850"/>
    <row r="4851"/>
    <row r="4852"/>
    <row r="4853">
      <c r="B4853">
        <f>IF('01_Вводные'!$B$234="Да",INDEX('19_Расчет_аналитики'!$C$4123:$C$4127,MIN(5,INT(0/12)+1),1)*'18_Календарь_тарифы'!B4,0)</f>
        <v/>
      </c>
      <c r="C4853">
        <f>IF('01_Вводные'!$B$234="Да",INDEX('19_Расчет_аналитики'!$C$4123:$C$4127,MIN(5,INT(1/12)+1),1)*'18_Календарь_тарифы'!C4,0)</f>
        <v/>
      </c>
      <c r="D4853">
        <f>IF('01_Вводные'!$B$234="Да",INDEX('19_Расчет_аналитики'!$C$4123:$C$4127,MIN(5,INT(2/12)+1),1)*'18_Календарь_тарифы'!D4,0)</f>
        <v/>
      </c>
      <c r="E4853">
        <f>IF('01_Вводные'!$B$234="Да",INDEX('19_Расчет_аналитики'!$C$4123:$C$4127,MIN(5,INT(3/12)+1),1)*'18_Календарь_тарифы'!E4,0)</f>
        <v/>
      </c>
      <c r="F4853">
        <f>IF('01_Вводные'!$B$234="Да",INDEX('19_Расчет_аналитики'!$C$4123:$C$4127,MIN(5,INT(4/12)+1),1)*'18_Календарь_тарифы'!F4,0)</f>
        <v/>
      </c>
      <c r="G4853">
        <f>IF('01_Вводные'!$B$234="Да",INDEX('19_Расчет_аналитики'!$C$4123:$C$4127,MIN(5,INT(5/12)+1),1)*'18_Календарь_тарифы'!G4,0)</f>
        <v/>
      </c>
      <c r="H4853">
        <f>IF('01_Вводные'!$B$234="Да",INDEX('19_Расчет_аналитики'!$C$4123:$C$4127,MIN(5,INT(6/12)+1),1)*'18_Календарь_тарифы'!H4,0)</f>
        <v/>
      </c>
      <c r="I4853">
        <f>IF('01_Вводные'!$B$234="Да",INDEX('19_Расчет_аналитики'!$C$4123:$C$4127,MIN(5,INT(7/12)+1),1)*'18_Календарь_тарифы'!I4,0)</f>
        <v/>
      </c>
      <c r="J4853">
        <f>IF('01_Вводные'!$B$234="Да",INDEX('19_Расчет_аналитики'!$C$4123:$C$4127,MIN(5,INT(8/12)+1),1)*'18_Календарь_тарифы'!J4,0)</f>
        <v/>
      </c>
      <c r="K4853">
        <f>IF('01_Вводные'!$B$234="Да",INDEX('19_Расчет_аналитики'!$C$4123:$C$4127,MIN(5,INT(9/12)+1),1)*'18_Календарь_тарифы'!K4,0)</f>
        <v/>
      </c>
      <c r="L4853">
        <f>IF('01_Вводные'!$B$234="Да",INDEX('19_Расчет_аналитики'!$C$4123:$C$4127,MIN(5,INT(10/12)+1),1)*'18_Календарь_тарифы'!L4,0)</f>
        <v/>
      </c>
      <c r="M4853">
        <f>IF('01_Вводные'!$B$234="Да",INDEX('19_Расчет_аналитики'!$C$4123:$C$4127,MIN(5,INT(11/12)+1),1)*'18_Календарь_тарифы'!M4,0)</f>
        <v/>
      </c>
      <c r="N4853">
        <f>IF('01_Вводные'!$B$234="Да",INDEX('19_Расчет_аналитики'!$C$4123:$C$4127,MIN(5,INT(12/12)+1),1)*'18_Календарь_тарифы'!N4,0)</f>
        <v/>
      </c>
      <c r="O4853">
        <f>IF('01_Вводные'!$B$234="Да",INDEX('19_Расчет_аналитики'!$C$4123:$C$4127,MIN(5,INT(13/12)+1),1)*'18_Календарь_тарифы'!O4,0)</f>
        <v/>
      </c>
      <c r="P4853">
        <f>IF('01_Вводные'!$B$234="Да",INDEX('19_Расчет_аналитики'!$C$4123:$C$4127,MIN(5,INT(14/12)+1),1)*'18_Календарь_тарифы'!P4,0)</f>
        <v/>
      </c>
      <c r="Q4853">
        <f>IF('01_Вводные'!$B$234="Да",INDEX('19_Расчет_аналитики'!$C$4123:$C$4127,MIN(5,INT(15/12)+1),1)*'18_Календарь_тарифы'!Q4,0)</f>
        <v/>
      </c>
      <c r="R4853">
        <f>IF('01_Вводные'!$B$234="Да",INDEX('19_Расчет_аналитики'!$C$4123:$C$4127,MIN(5,INT(16/12)+1),1)*'18_Календарь_тарифы'!R4,0)</f>
        <v/>
      </c>
      <c r="S4853">
        <f>IF('01_Вводные'!$B$234="Да",INDEX('19_Расчет_аналитики'!$C$4123:$C$4127,MIN(5,INT(17/12)+1),1)*'18_Календарь_тарифы'!S4,0)</f>
        <v/>
      </c>
      <c r="T4853">
        <f>IF('01_Вводные'!$B$234="Да",INDEX('19_Расчет_аналитики'!$C$4123:$C$4127,MIN(5,INT(18/12)+1),1)*'18_Календарь_тарифы'!T4,0)</f>
        <v/>
      </c>
      <c r="U4853">
        <f>IF('01_Вводные'!$B$234="Да",INDEX('19_Расчет_аналитики'!$C$4123:$C$4127,MIN(5,INT(19/12)+1),1)*'18_Календарь_тарифы'!U4,0)</f>
        <v/>
      </c>
      <c r="V4853">
        <f>IF('01_Вводные'!$B$234="Да",INDEX('19_Расчет_аналитики'!$C$4123:$C$4127,MIN(5,INT(20/12)+1),1)*'18_Календарь_тарифы'!V4,0)</f>
        <v/>
      </c>
      <c r="W4853">
        <f>IF('01_Вводные'!$B$234="Да",INDEX('19_Расчет_аналитики'!$C$4123:$C$4127,MIN(5,INT(21/12)+1),1)*'18_Календарь_тарифы'!W4,0)</f>
        <v/>
      </c>
      <c r="X4853">
        <f>IF('01_Вводные'!$B$234="Да",INDEX('19_Расчет_аналитики'!$C$4123:$C$4127,MIN(5,INT(22/12)+1),1)*'18_Календарь_тарифы'!X4,0)</f>
        <v/>
      </c>
      <c r="Y4853">
        <f>IF('01_Вводные'!$B$234="Да",INDEX('19_Расчет_аналитики'!$C$4123:$C$4127,MIN(5,INT(23/12)+1),1)*'18_Календарь_тарифы'!Y4,0)</f>
        <v/>
      </c>
      <c r="Z4853">
        <f>IF('01_Вводные'!$B$234="Да",INDEX('19_Расчет_аналитики'!$C$4123:$C$4127,MIN(5,INT(24/12)+1),1)*'18_Календарь_тарифы'!Z4,0)</f>
        <v/>
      </c>
      <c r="AA4853">
        <f>IF('01_Вводные'!$B$234="Да",INDEX('19_Расчет_аналитики'!$C$4123:$C$4127,MIN(5,INT(25/12)+1),1)*'18_Календарь_тарифы'!AA4,0)</f>
        <v/>
      </c>
      <c r="AB4853">
        <f>IF('01_Вводные'!$B$234="Да",INDEX('19_Расчет_аналитики'!$C$4123:$C$4127,MIN(5,INT(26/12)+1),1)*'18_Календарь_тарифы'!AB4,0)</f>
        <v/>
      </c>
      <c r="AC4853">
        <f>IF('01_Вводные'!$B$234="Да",INDEX('19_Расчет_аналитики'!$C$4123:$C$4127,MIN(5,INT(27/12)+1),1)*'18_Календарь_тарифы'!AC4,0)</f>
        <v/>
      </c>
      <c r="AD4853">
        <f>IF('01_Вводные'!$B$234="Да",INDEX('19_Расчет_аналитики'!$C$4123:$C$4127,MIN(5,INT(28/12)+1),1)*'18_Календарь_тарифы'!AD4,0)</f>
        <v/>
      </c>
      <c r="AE4853">
        <f>IF('01_Вводные'!$B$234="Да",INDEX('19_Расчет_аналитики'!$C$4123:$C$4127,MIN(5,INT(29/12)+1),1)*'18_Календарь_тарифы'!AE4,0)</f>
        <v/>
      </c>
      <c r="AF4853">
        <f>IF('01_Вводные'!$B$234="Да",INDEX('19_Расчет_аналитики'!$C$4123:$C$4127,MIN(5,INT(30/12)+1),1)*'18_Календарь_тарифы'!AF4,0)</f>
        <v/>
      </c>
      <c r="AG4853">
        <f>IF('01_Вводные'!$B$234="Да",INDEX('19_Расчет_аналитики'!$C$4123:$C$4127,MIN(5,INT(31/12)+1),1)*'18_Календарь_тарифы'!AG4,0)</f>
        <v/>
      </c>
      <c r="AH4853">
        <f>IF('01_Вводные'!$B$234="Да",INDEX('19_Расчет_аналитики'!$C$4123:$C$4127,MIN(5,INT(32/12)+1),1)*'18_Календарь_тарифы'!AH4,0)</f>
        <v/>
      </c>
      <c r="AI4853">
        <f>IF('01_Вводные'!$B$234="Да",INDEX('19_Расчет_аналитики'!$C$4123:$C$4127,MIN(5,INT(33/12)+1),1)*'18_Календарь_тарифы'!AI4,0)</f>
        <v/>
      </c>
      <c r="AJ4853">
        <f>IF('01_Вводные'!$B$234="Да",INDEX('19_Расчет_аналитики'!$C$4123:$C$4127,MIN(5,INT(34/12)+1),1)*'18_Календарь_тарифы'!AJ4,0)</f>
        <v/>
      </c>
      <c r="AK4853">
        <f>IF('01_Вводные'!$B$234="Да",INDEX('19_Расчет_аналитики'!$C$4123:$C$4127,MIN(5,INT(35/12)+1),1)*'18_Календарь_тарифы'!AK4,0)</f>
        <v/>
      </c>
      <c r="AL4853">
        <f>IF('01_Вводные'!$B$234="Да",INDEX('19_Расчет_аналитики'!$C$4123:$C$4127,MIN(5,INT(36/12)+1),1)*'18_Календарь_тарифы'!AL4,0)</f>
        <v/>
      </c>
      <c r="AM4853">
        <f>IF('01_Вводные'!$B$234="Да",INDEX('19_Расчет_аналитики'!$C$4123:$C$4127,MIN(5,INT(37/12)+1),1)*'18_Календарь_тарифы'!AM4,0)</f>
        <v/>
      </c>
      <c r="AN4853">
        <f>IF('01_Вводные'!$B$234="Да",INDEX('19_Расчет_аналитики'!$C$4123:$C$4127,MIN(5,INT(38/12)+1),1)*'18_Календарь_тарифы'!AN4,0)</f>
        <v/>
      </c>
      <c r="AO4853">
        <f>IF('01_Вводные'!$B$234="Да",INDEX('19_Расчет_аналитики'!$C$4123:$C$4127,MIN(5,INT(39/12)+1),1)*'18_Календарь_тарифы'!AO4,0)</f>
        <v/>
      </c>
      <c r="AP4853">
        <f>IF('01_Вводные'!$B$234="Да",INDEX('19_Расчет_аналитики'!$C$4123:$C$4127,MIN(5,INT(40/12)+1),1)*'18_Календарь_тарифы'!AP4,0)</f>
        <v/>
      </c>
      <c r="AQ4853">
        <f>IF('01_Вводные'!$B$234="Да",INDEX('19_Расчет_аналитики'!$C$4123:$C$4127,MIN(5,INT(41/12)+1),1)*'18_Календарь_тарифы'!AQ4,0)</f>
        <v/>
      </c>
      <c r="AR4853">
        <f>IF('01_Вводные'!$B$234="Да",INDEX('19_Расчет_аналитики'!$C$4123:$C$4127,MIN(5,INT(42/12)+1),1)*'18_Календарь_тарифы'!AR4,0)</f>
        <v/>
      </c>
      <c r="AS4853">
        <f>IF('01_Вводные'!$B$234="Да",INDEX('19_Расчет_аналитики'!$C$4123:$C$4127,MIN(5,INT(43/12)+1),1)*'18_Календарь_тарифы'!AS4,0)</f>
        <v/>
      </c>
      <c r="AT4853">
        <f>IF('01_Вводные'!$B$234="Да",INDEX('19_Расчет_аналитики'!$C$4123:$C$4127,MIN(5,INT(44/12)+1),1)*'18_Календарь_тарифы'!AT4,0)</f>
        <v/>
      </c>
      <c r="AU4853">
        <f>IF('01_Вводные'!$B$234="Да",INDEX('19_Расчет_аналитики'!$C$4123:$C$4127,MIN(5,INT(45/12)+1),1)*'18_Календарь_тарифы'!AU4,0)</f>
        <v/>
      </c>
      <c r="AV4853">
        <f>IF('01_Вводные'!$B$234="Да",INDEX('19_Расчет_аналитики'!$C$4123:$C$4127,MIN(5,INT(46/12)+1),1)*'18_Календарь_тарифы'!AV4,0)</f>
        <v/>
      </c>
      <c r="AW4853">
        <f>IF('01_Вводные'!$B$234="Да",INDEX('19_Расчет_аналитики'!$C$4123:$C$4127,MIN(5,INT(47/12)+1),1)*'18_Календарь_тарифы'!AW4,0)</f>
        <v/>
      </c>
      <c r="AX4853">
        <f>IF('01_Вводные'!$B$234="Да",INDEX('19_Расчет_аналитики'!$C$4123:$C$4127,MIN(5,INT(48/12)+1),1)*'18_Календарь_тарифы'!AX4,0)</f>
        <v/>
      </c>
      <c r="AY4853">
        <f>IF('01_Вводные'!$B$234="Да",INDEX('19_Расчет_аналитики'!$C$4123:$C$4127,MIN(5,INT(49/12)+1),1)*'18_Календарь_тарифы'!AY4,0)</f>
        <v/>
      </c>
      <c r="AZ4853">
        <f>IF('01_Вводные'!$B$234="Да",INDEX('19_Расчет_аналитики'!$C$4123:$C$4127,MIN(5,INT(50/12)+1),1)*'18_Календарь_тарифы'!AZ4,0)</f>
        <v/>
      </c>
      <c r="BA4853">
        <f>IF('01_Вводные'!$B$234="Да",INDEX('19_Расчет_аналитики'!$C$4123:$C$4127,MIN(5,INT(51/12)+1),1)*'18_Календарь_тарифы'!BA4,0)</f>
        <v/>
      </c>
      <c r="BB4853">
        <f>IF('01_Вводные'!$B$234="Да",INDEX('19_Расчет_аналитики'!$C$4123:$C$4127,MIN(5,INT(52/12)+1),1)*'18_Календарь_тарифы'!BB4,0)</f>
        <v/>
      </c>
      <c r="BC4853">
        <f>IF('01_Вводные'!$B$234="Да",INDEX('19_Расчет_аналитики'!$C$4123:$C$4127,MIN(5,INT(53/12)+1),1)*'18_Календарь_тарифы'!BC4,0)</f>
        <v/>
      </c>
      <c r="BD4853">
        <f>IF('01_Вводные'!$B$234="Да",INDEX('19_Расчет_аналитики'!$C$4123:$C$4127,MIN(5,INT(54/12)+1),1)*'18_Календарь_тарифы'!BD4,0)</f>
        <v/>
      </c>
      <c r="BE4853">
        <f>IF('01_Вводные'!$B$234="Да",INDEX('19_Расчет_аналитики'!$C$4123:$C$4127,MIN(5,INT(55/12)+1),1)*'18_Календарь_тарифы'!BE4,0)</f>
        <v/>
      </c>
      <c r="BF4853">
        <f>IF('01_Вводные'!$B$234="Да",INDEX('19_Расчет_аналитики'!$C$4123:$C$4127,MIN(5,INT(56/12)+1),1)*'18_Календарь_тарифы'!BF4,0)</f>
        <v/>
      </c>
      <c r="BG4853">
        <f>IF('01_Вводные'!$B$234="Да",INDEX('19_Расчет_аналитики'!$C$4123:$C$4127,MIN(5,INT(57/12)+1),1)*'18_Календарь_тарифы'!BG4,0)</f>
        <v/>
      </c>
      <c r="BH4853">
        <f>IF('01_Вводные'!$B$234="Да",INDEX('19_Расчет_аналитики'!$C$4123:$C$4127,MIN(5,INT(58/12)+1),1)*'18_Календарь_тарифы'!BH4,0)</f>
        <v/>
      </c>
      <c r="BI4853">
        <f>IF('01_Вводные'!$B$234="Да",INDEX('19_Расчет_аналитики'!$C$4123:$C$4127,MIN(5,INT(59/12)+1),1)*'18_Календарь_тарифы'!BI4,0)</f>
        <v/>
      </c>
      <c r="BJ4853">
        <f>IF('01_Вводные'!$B$234="Да",INDEX('19_Расчет_аналитики'!$C$4123:$C$4127,MIN(5,INT(60/12)+1),1)*'18_Календарь_тарифы'!BJ4,0)</f>
        <v/>
      </c>
      <c r="BK4853">
        <f>IF('01_Вводные'!$B$234="Да",INDEX('19_Расчет_аналитики'!$C$4123:$C$4127,MIN(5,INT(61/12)+1),1)*'18_Календарь_тарифы'!BK4,0)</f>
        <v/>
      </c>
      <c r="BL4853">
        <f>IF('01_Вводные'!$B$234="Да",INDEX('19_Расчет_аналитики'!$C$4123:$C$4127,MIN(5,INT(62/12)+1),1)*'18_Календарь_тарифы'!BL4,0)</f>
        <v/>
      </c>
      <c r="BM4853">
        <f>IF('01_Вводные'!$B$234="Да",INDEX('19_Расчет_аналитики'!$C$4123:$C$4127,MIN(5,INT(63/12)+1),1)*'18_Календарь_тарифы'!BM4,0)</f>
        <v/>
      </c>
      <c r="BN4853">
        <f>IF('01_Вводные'!$B$234="Да",INDEX('19_Расчет_аналитики'!$C$4123:$C$4127,MIN(5,INT(64/12)+1),1)*'18_Календарь_тарифы'!BN4,0)</f>
        <v/>
      </c>
      <c r="BO4853">
        <f>IF('01_Вводные'!$B$234="Да",INDEX('19_Расчет_аналитики'!$C$4123:$C$4127,MIN(5,INT(65/12)+1),1)*'18_Календарь_тарифы'!BO4,0)</f>
        <v/>
      </c>
    </row>
    <row r="4854">
      <c r="B4854">
        <f>IF('01_Вводные'!$B$234="Да",'19_Расчет_аналитики'!$B$4111*'18_Календарь_тарифы'!B4,0)</f>
        <v/>
      </c>
      <c r="C4854">
        <f>IF('01_Вводные'!$B$234="Да",'19_Расчет_аналитики'!$B$4111*'18_Календарь_тарифы'!C4,0)</f>
        <v/>
      </c>
      <c r="D4854">
        <f>IF('01_Вводные'!$B$234="Да",'19_Расчет_аналитики'!$B$4111*'18_Календарь_тарифы'!D4,0)</f>
        <v/>
      </c>
      <c r="E4854">
        <f>IF('01_Вводные'!$B$234="Да",'19_Расчет_аналитики'!$B$4111*'18_Календарь_тарифы'!E4,0)</f>
        <v/>
      </c>
      <c r="F4854">
        <f>IF('01_Вводные'!$B$234="Да",'19_Расчет_аналитики'!$B$4111*'18_Календарь_тарифы'!F4,0)</f>
        <v/>
      </c>
      <c r="G4854">
        <f>IF('01_Вводные'!$B$234="Да",'19_Расчет_аналитики'!$B$4111*'18_Календарь_тарифы'!G4,0)</f>
        <v/>
      </c>
      <c r="H4854">
        <f>IF('01_Вводные'!$B$234="Да",'19_Расчет_аналитики'!$B$4111*'18_Календарь_тарифы'!H4,0)</f>
        <v/>
      </c>
      <c r="I4854">
        <f>IF('01_Вводные'!$B$234="Да",'19_Расчет_аналитики'!$B$4111*'18_Календарь_тарифы'!I4,0)</f>
        <v/>
      </c>
      <c r="J4854">
        <f>IF('01_Вводные'!$B$234="Да",'19_Расчет_аналитики'!$B$4111*'18_Календарь_тарифы'!J4,0)</f>
        <v/>
      </c>
      <c r="K4854">
        <f>IF('01_Вводные'!$B$234="Да",'19_Расчет_аналитики'!$B$4111*'18_Календарь_тарифы'!K4,0)</f>
        <v/>
      </c>
      <c r="L4854">
        <f>IF('01_Вводные'!$B$234="Да",'19_Расчет_аналитики'!$B$4111*'18_Календарь_тарифы'!L4,0)</f>
        <v/>
      </c>
      <c r="M4854">
        <f>IF('01_Вводные'!$B$234="Да",'19_Расчет_аналитики'!$B$4111*'18_Календарь_тарифы'!M4,0)</f>
        <v/>
      </c>
      <c r="N4854">
        <f>IF('01_Вводные'!$B$234="Да",'19_Расчет_аналитики'!$B$4111*'18_Календарь_тарифы'!N4,0)</f>
        <v/>
      </c>
      <c r="O4854">
        <f>IF('01_Вводные'!$B$234="Да",'19_Расчет_аналитики'!$B$4111*'18_Календарь_тарифы'!O4,0)</f>
        <v/>
      </c>
      <c r="P4854">
        <f>IF('01_Вводные'!$B$234="Да",'19_Расчет_аналитики'!$B$4111*'18_Календарь_тарифы'!P4,0)</f>
        <v/>
      </c>
      <c r="Q4854">
        <f>IF('01_Вводные'!$B$234="Да",'19_Расчет_аналитики'!$B$4111*'18_Календарь_тарифы'!Q4,0)</f>
        <v/>
      </c>
      <c r="R4854">
        <f>IF('01_Вводные'!$B$234="Да",'19_Расчет_аналитики'!$B$4111*'18_Календарь_тарифы'!R4,0)</f>
        <v/>
      </c>
      <c r="S4854">
        <f>IF('01_Вводные'!$B$234="Да",'19_Расчет_аналитики'!$B$4111*'18_Календарь_тарифы'!S4,0)</f>
        <v/>
      </c>
      <c r="T4854">
        <f>IF('01_Вводные'!$B$234="Да",'19_Расчет_аналитики'!$B$4111*'18_Календарь_тарифы'!T4,0)</f>
        <v/>
      </c>
      <c r="U4854">
        <f>IF('01_Вводные'!$B$234="Да",'19_Расчет_аналитики'!$B$4111*'18_Календарь_тарифы'!U4,0)</f>
        <v/>
      </c>
      <c r="V4854">
        <f>IF('01_Вводные'!$B$234="Да",'19_Расчет_аналитики'!$B$4111*'18_Календарь_тарифы'!V4,0)</f>
        <v/>
      </c>
      <c r="W4854">
        <f>IF('01_Вводные'!$B$234="Да",'19_Расчет_аналитики'!$B$4111*'18_Календарь_тарифы'!W4,0)</f>
        <v/>
      </c>
      <c r="X4854">
        <f>IF('01_Вводные'!$B$234="Да",'19_Расчет_аналитики'!$B$4111*'18_Календарь_тарифы'!X4,0)</f>
        <v/>
      </c>
      <c r="Y4854">
        <f>IF('01_Вводные'!$B$234="Да",'19_Расчет_аналитики'!$B$4111*'18_Календарь_тарифы'!Y4,0)</f>
        <v/>
      </c>
      <c r="Z4854">
        <f>IF('01_Вводные'!$B$234="Да",'19_Расчет_аналитики'!$B$4111*'18_Календарь_тарифы'!Z4,0)</f>
        <v/>
      </c>
      <c r="AA4854">
        <f>IF('01_Вводные'!$B$234="Да",'19_Расчет_аналитики'!$B$4111*'18_Календарь_тарифы'!AA4,0)</f>
        <v/>
      </c>
      <c r="AB4854">
        <f>IF('01_Вводные'!$B$234="Да",'19_Расчет_аналитики'!$B$4111*'18_Календарь_тарифы'!AB4,0)</f>
        <v/>
      </c>
      <c r="AC4854">
        <f>IF('01_Вводные'!$B$234="Да",'19_Расчет_аналитики'!$B$4111*'18_Календарь_тарифы'!AC4,0)</f>
        <v/>
      </c>
      <c r="AD4854">
        <f>IF('01_Вводные'!$B$234="Да",'19_Расчет_аналитики'!$B$4111*'18_Календарь_тарифы'!AD4,0)</f>
        <v/>
      </c>
      <c r="AE4854">
        <f>IF('01_Вводные'!$B$234="Да",'19_Расчет_аналитики'!$B$4111*'18_Календарь_тарифы'!AE4,0)</f>
        <v/>
      </c>
      <c r="AF4854">
        <f>IF('01_Вводные'!$B$234="Да",'19_Расчет_аналитики'!$B$4111*'18_Календарь_тарифы'!AF4,0)</f>
        <v/>
      </c>
      <c r="AG4854">
        <f>IF('01_Вводные'!$B$234="Да",'19_Расчет_аналитики'!$B$4111*'18_Календарь_тарифы'!AG4,0)</f>
        <v/>
      </c>
      <c r="AH4854">
        <f>IF('01_Вводные'!$B$234="Да",'19_Расчет_аналитики'!$B$4111*'18_Календарь_тарифы'!AH4,0)</f>
        <v/>
      </c>
      <c r="AI4854">
        <f>IF('01_Вводные'!$B$234="Да",'19_Расчет_аналитики'!$B$4111*'18_Календарь_тарифы'!AI4,0)</f>
        <v/>
      </c>
      <c r="AJ4854">
        <f>IF('01_Вводные'!$B$234="Да",'19_Расчет_аналитики'!$B$4111*'18_Календарь_тарифы'!AJ4,0)</f>
        <v/>
      </c>
      <c r="AK4854">
        <f>IF('01_Вводные'!$B$234="Да",'19_Расчет_аналитики'!$B$4111*'18_Календарь_тарифы'!AK4,0)</f>
        <v/>
      </c>
      <c r="AL4854">
        <f>IF('01_Вводные'!$B$234="Да",'19_Расчет_аналитики'!$B$4111*'18_Календарь_тарифы'!AL4,0)</f>
        <v/>
      </c>
      <c r="AM4854">
        <f>IF('01_Вводные'!$B$234="Да",'19_Расчет_аналитики'!$B$4111*'18_Календарь_тарифы'!AM4,0)</f>
        <v/>
      </c>
      <c r="AN4854">
        <f>IF('01_Вводные'!$B$234="Да",'19_Расчет_аналитики'!$B$4111*'18_Календарь_тарифы'!AN4,0)</f>
        <v/>
      </c>
      <c r="AO4854">
        <f>IF('01_Вводные'!$B$234="Да",'19_Расчет_аналитики'!$B$4111*'18_Календарь_тарифы'!AO4,0)</f>
        <v/>
      </c>
      <c r="AP4854">
        <f>IF('01_Вводные'!$B$234="Да",'19_Расчет_аналитики'!$B$4111*'18_Календарь_тарифы'!AP4,0)</f>
        <v/>
      </c>
      <c r="AQ4854">
        <f>IF('01_Вводные'!$B$234="Да",'19_Расчет_аналитики'!$B$4111*'18_Календарь_тарифы'!AQ4,0)</f>
        <v/>
      </c>
      <c r="AR4854">
        <f>IF('01_Вводные'!$B$234="Да",'19_Расчет_аналитики'!$B$4111*'18_Календарь_тарифы'!AR4,0)</f>
        <v/>
      </c>
      <c r="AS4854">
        <f>IF('01_Вводные'!$B$234="Да",'19_Расчет_аналитики'!$B$4111*'18_Календарь_тарифы'!AS4,0)</f>
        <v/>
      </c>
      <c r="AT4854">
        <f>IF('01_Вводные'!$B$234="Да",'19_Расчет_аналитики'!$B$4111*'18_Календарь_тарифы'!AT4,0)</f>
        <v/>
      </c>
      <c r="AU4854">
        <f>IF('01_Вводные'!$B$234="Да",'19_Расчет_аналитики'!$B$4111*'18_Календарь_тарифы'!AU4,0)</f>
        <v/>
      </c>
      <c r="AV4854">
        <f>IF('01_Вводные'!$B$234="Да",'19_Расчет_аналитики'!$B$4111*'18_Календарь_тарифы'!AV4,0)</f>
        <v/>
      </c>
      <c r="AW4854">
        <f>IF('01_Вводные'!$B$234="Да",'19_Расчет_аналитики'!$B$4111*'18_Календарь_тарифы'!AW4,0)</f>
        <v/>
      </c>
      <c r="AX4854">
        <f>IF('01_Вводные'!$B$234="Да",'19_Расчет_аналитики'!$B$4111*'18_Календарь_тарифы'!AX4,0)</f>
        <v/>
      </c>
      <c r="AY4854">
        <f>IF('01_Вводные'!$B$234="Да",'19_Расчет_аналитики'!$B$4111*'18_Календарь_тарифы'!AY4,0)</f>
        <v/>
      </c>
      <c r="AZ4854">
        <f>IF('01_Вводные'!$B$234="Да",'19_Расчет_аналитики'!$B$4111*'18_Календарь_тарифы'!AZ4,0)</f>
        <v/>
      </c>
      <c r="BA4854">
        <f>IF('01_Вводные'!$B$234="Да",'19_Расчет_аналитики'!$B$4111*'18_Календарь_тарифы'!BA4,0)</f>
        <v/>
      </c>
      <c r="BB4854">
        <f>IF('01_Вводные'!$B$234="Да",'19_Расчет_аналитики'!$B$4111*'18_Календарь_тарифы'!BB4,0)</f>
        <v/>
      </c>
      <c r="BC4854">
        <f>IF('01_Вводные'!$B$234="Да",'19_Расчет_аналитики'!$B$4111*'18_Календарь_тарифы'!BC4,0)</f>
        <v/>
      </c>
      <c r="BD4854">
        <f>IF('01_Вводные'!$B$234="Да",'19_Расчет_аналитики'!$B$4111*'18_Календарь_тарифы'!BD4,0)</f>
        <v/>
      </c>
      <c r="BE4854">
        <f>IF('01_Вводные'!$B$234="Да",'19_Расчет_аналитики'!$B$4111*'18_Календарь_тарифы'!BE4,0)</f>
        <v/>
      </c>
      <c r="BF4854">
        <f>IF('01_Вводные'!$B$234="Да",'19_Расчет_аналитики'!$B$4111*'18_Календарь_тарифы'!BF4,0)</f>
        <v/>
      </c>
      <c r="BG4854">
        <f>IF('01_Вводные'!$B$234="Да",'19_Расчет_аналитики'!$B$4111*'18_Календарь_тарифы'!BG4,0)</f>
        <v/>
      </c>
      <c r="BH4854">
        <f>IF('01_Вводные'!$B$234="Да",'19_Расчет_аналитики'!$B$4111*'18_Календарь_тарифы'!BH4,0)</f>
        <v/>
      </c>
      <c r="BI4854">
        <f>IF('01_Вводные'!$B$234="Да",'19_Расчет_аналитики'!$B$4111*'18_Календарь_тарифы'!BI4,0)</f>
        <v/>
      </c>
      <c r="BJ4854">
        <f>IF('01_Вводные'!$B$234="Да",'19_Расчет_аналитики'!$B$4111*'18_Календарь_тарифы'!BJ4,0)</f>
        <v/>
      </c>
      <c r="BK4854">
        <f>IF('01_Вводные'!$B$234="Да",'19_Расчет_аналитики'!$B$4111*'18_Календарь_тарифы'!BK4,0)</f>
        <v/>
      </c>
      <c r="BL4854">
        <f>IF('01_Вводные'!$B$234="Да",'19_Расчет_аналитики'!$B$4111*'18_Календарь_тарифы'!BL4,0)</f>
        <v/>
      </c>
      <c r="BM4854">
        <f>IF('01_Вводные'!$B$234="Да",'19_Расчет_аналитики'!$B$4111*'18_Календарь_тарифы'!BM4,0)</f>
        <v/>
      </c>
      <c r="BN4854">
        <f>IF('01_Вводные'!$B$234="Да",'19_Расчет_аналитики'!$B$4111*'18_Календарь_тарифы'!BN4,0)</f>
        <v/>
      </c>
      <c r="BO4854">
        <f>IF('01_Вводные'!$B$234="Да",'19_Расчет_аналитики'!$B$4111*'18_Календарь_тарифы'!BO4,0)</f>
        <v/>
      </c>
    </row>
    <row r="4855"/>
    <row r="4856"/>
    <row r="4857">
      <c r="B4857">
        <f>IF('01_Вводные'!$B$234="Да",'19_Расчет_аналитики'!$B$4086*'18_Календарь_тарифы'!B4,0)</f>
        <v/>
      </c>
      <c r="C4857">
        <f>IF('01_Вводные'!$B$234="Да",'19_Расчет_аналитики'!$B$4086*'18_Календарь_тарифы'!C4,0)</f>
        <v/>
      </c>
      <c r="D4857">
        <f>IF('01_Вводные'!$B$234="Да",'19_Расчет_аналитики'!$B$4086*'18_Календарь_тарифы'!D4,0)</f>
        <v/>
      </c>
      <c r="E4857">
        <f>IF('01_Вводные'!$B$234="Да",'19_Расчет_аналитики'!$B$4086*'18_Календарь_тарифы'!E4,0)</f>
        <v/>
      </c>
      <c r="F4857">
        <f>IF('01_Вводные'!$B$234="Да",'19_Расчет_аналитики'!$B$4086*'18_Календарь_тарифы'!F4,0)</f>
        <v/>
      </c>
      <c r="G4857">
        <f>IF('01_Вводные'!$B$234="Да",'19_Расчет_аналитики'!$B$4086*'18_Календарь_тарифы'!G4,0)</f>
        <v/>
      </c>
      <c r="H4857">
        <f>IF('01_Вводные'!$B$234="Да",'19_Расчет_аналитики'!$B$4086*'18_Календарь_тарифы'!H4,0)</f>
        <v/>
      </c>
      <c r="I4857">
        <f>IF('01_Вводные'!$B$234="Да",'19_Расчет_аналитики'!$B$4086*'18_Календарь_тарифы'!I4,0)</f>
        <v/>
      </c>
      <c r="J4857">
        <f>IF('01_Вводные'!$B$234="Да",'19_Расчет_аналитики'!$B$4086*'18_Календарь_тарифы'!J4,0)</f>
        <v/>
      </c>
      <c r="K4857">
        <f>IF('01_Вводные'!$B$234="Да",'19_Расчет_аналитики'!$B$4086*'18_Календарь_тарифы'!K4,0)</f>
        <v/>
      </c>
      <c r="L4857">
        <f>IF('01_Вводные'!$B$234="Да",'19_Расчет_аналитики'!$B$4086*'18_Календарь_тарифы'!L4,0)</f>
        <v/>
      </c>
      <c r="M4857">
        <f>IF('01_Вводные'!$B$234="Да",'19_Расчет_аналитики'!$B$4086*'18_Календарь_тарифы'!M4,0)</f>
        <v/>
      </c>
      <c r="N4857">
        <f>IF('01_Вводные'!$B$234="Да",'19_Расчет_аналитики'!$B$4086*'18_Календарь_тарифы'!N4,0)</f>
        <v/>
      </c>
      <c r="O4857">
        <f>IF('01_Вводные'!$B$234="Да",'19_Расчет_аналитики'!$B$4086*'18_Календарь_тарифы'!O4,0)</f>
        <v/>
      </c>
      <c r="P4857">
        <f>IF('01_Вводные'!$B$234="Да",'19_Расчет_аналитики'!$B$4086*'18_Календарь_тарифы'!P4,0)</f>
        <v/>
      </c>
      <c r="Q4857">
        <f>IF('01_Вводные'!$B$234="Да",'19_Расчет_аналитики'!$B$4086*'18_Календарь_тарифы'!Q4,0)</f>
        <v/>
      </c>
      <c r="R4857">
        <f>IF('01_Вводные'!$B$234="Да",'19_Расчет_аналитики'!$B$4086*'18_Календарь_тарифы'!R4,0)</f>
        <v/>
      </c>
      <c r="S4857">
        <f>IF('01_Вводные'!$B$234="Да",'19_Расчет_аналитики'!$B$4086*'18_Календарь_тарифы'!S4,0)</f>
        <v/>
      </c>
      <c r="T4857">
        <f>IF('01_Вводные'!$B$234="Да",'19_Расчет_аналитики'!$B$4086*'18_Календарь_тарифы'!T4,0)</f>
        <v/>
      </c>
      <c r="U4857">
        <f>IF('01_Вводные'!$B$234="Да",'19_Расчет_аналитики'!$B$4086*'18_Календарь_тарифы'!U4,0)</f>
        <v/>
      </c>
      <c r="V4857">
        <f>IF('01_Вводные'!$B$234="Да",'19_Расчет_аналитики'!$B$4086*'18_Календарь_тарифы'!V4,0)</f>
        <v/>
      </c>
      <c r="W4857">
        <f>IF('01_Вводные'!$B$234="Да",'19_Расчет_аналитики'!$B$4086*'18_Календарь_тарифы'!W4,0)</f>
        <v/>
      </c>
      <c r="X4857">
        <f>IF('01_Вводные'!$B$234="Да",'19_Расчет_аналитики'!$B$4086*'18_Календарь_тарифы'!X4,0)</f>
        <v/>
      </c>
      <c r="Y4857">
        <f>IF('01_Вводные'!$B$234="Да",'19_Расчет_аналитики'!$B$4086*'18_Календарь_тарифы'!Y4,0)</f>
        <v/>
      </c>
      <c r="Z4857">
        <f>IF('01_Вводные'!$B$234="Да",'19_Расчет_аналитики'!$B$4086*'18_Календарь_тарифы'!Z4,0)</f>
        <v/>
      </c>
      <c r="AA4857">
        <f>IF('01_Вводные'!$B$234="Да",'19_Расчет_аналитики'!$B$4086*'18_Календарь_тарифы'!AA4,0)</f>
        <v/>
      </c>
      <c r="AB4857">
        <f>IF('01_Вводные'!$B$234="Да",'19_Расчет_аналитики'!$B$4086*'18_Календарь_тарифы'!AB4,0)</f>
        <v/>
      </c>
      <c r="AC4857">
        <f>IF('01_Вводные'!$B$234="Да",'19_Расчет_аналитики'!$B$4086*'18_Календарь_тарифы'!AC4,0)</f>
        <v/>
      </c>
      <c r="AD4857">
        <f>IF('01_Вводные'!$B$234="Да",'19_Расчет_аналитики'!$B$4086*'18_Календарь_тарифы'!AD4,0)</f>
        <v/>
      </c>
      <c r="AE4857">
        <f>IF('01_Вводные'!$B$234="Да",'19_Расчет_аналитики'!$B$4086*'18_Календарь_тарифы'!AE4,0)</f>
        <v/>
      </c>
      <c r="AF4857">
        <f>IF('01_Вводные'!$B$234="Да",'19_Расчет_аналитики'!$B$4086*'18_Календарь_тарифы'!AF4,0)</f>
        <v/>
      </c>
      <c r="AG4857">
        <f>IF('01_Вводные'!$B$234="Да",'19_Расчет_аналитики'!$B$4086*'18_Календарь_тарифы'!AG4,0)</f>
        <v/>
      </c>
      <c r="AH4857">
        <f>IF('01_Вводные'!$B$234="Да",'19_Расчет_аналитики'!$B$4086*'18_Календарь_тарифы'!AH4,0)</f>
        <v/>
      </c>
      <c r="AI4857">
        <f>IF('01_Вводные'!$B$234="Да",'19_Расчет_аналитики'!$B$4086*'18_Календарь_тарифы'!AI4,0)</f>
        <v/>
      </c>
      <c r="AJ4857">
        <f>IF('01_Вводные'!$B$234="Да",'19_Расчет_аналитики'!$B$4086*'18_Календарь_тарифы'!AJ4,0)</f>
        <v/>
      </c>
      <c r="AK4857">
        <f>IF('01_Вводные'!$B$234="Да",'19_Расчет_аналитики'!$B$4086*'18_Календарь_тарифы'!AK4,0)</f>
        <v/>
      </c>
      <c r="AL4857">
        <f>IF('01_Вводные'!$B$234="Да",'19_Расчет_аналитики'!$B$4086*'18_Календарь_тарифы'!AL4,0)</f>
        <v/>
      </c>
      <c r="AM4857">
        <f>IF('01_Вводные'!$B$234="Да",'19_Расчет_аналитики'!$B$4086*'18_Календарь_тарифы'!AM4,0)</f>
        <v/>
      </c>
      <c r="AN4857">
        <f>IF('01_Вводные'!$B$234="Да",'19_Расчет_аналитики'!$B$4086*'18_Календарь_тарифы'!AN4,0)</f>
        <v/>
      </c>
      <c r="AO4857">
        <f>IF('01_Вводные'!$B$234="Да",'19_Расчет_аналитики'!$B$4086*'18_Календарь_тарифы'!AO4,0)</f>
        <v/>
      </c>
      <c r="AP4857">
        <f>IF('01_Вводные'!$B$234="Да",'19_Расчет_аналитики'!$B$4086*'18_Календарь_тарифы'!AP4,0)</f>
        <v/>
      </c>
      <c r="AQ4857">
        <f>IF('01_Вводные'!$B$234="Да",'19_Расчет_аналитики'!$B$4086*'18_Календарь_тарифы'!AQ4,0)</f>
        <v/>
      </c>
      <c r="AR4857">
        <f>IF('01_Вводные'!$B$234="Да",'19_Расчет_аналитики'!$B$4086*'18_Календарь_тарифы'!AR4,0)</f>
        <v/>
      </c>
      <c r="AS4857">
        <f>IF('01_Вводные'!$B$234="Да",'19_Расчет_аналитики'!$B$4086*'18_Календарь_тарифы'!AS4,0)</f>
        <v/>
      </c>
      <c r="AT4857">
        <f>IF('01_Вводные'!$B$234="Да",'19_Расчет_аналитики'!$B$4086*'18_Календарь_тарифы'!AT4,0)</f>
        <v/>
      </c>
      <c r="AU4857">
        <f>IF('01_Вводные'!$B$234="Да",'19_Расчет_аналитики'!$B$4086*'18_Календарь_тарифы'!AU4,0)</f>
        <v/>
      </c>
      <c r="AV4857">
        <f>IF('01_Вводные'!$B$234="Да",'19_Расчет_аналитики'!$B$4086*'18_Календарь_тарифы'!AV4,0)</f>
        <v/>
      </c>
      <c r="AW4857">
        <f>IF('01_Вводные'!$B$234="Да",'19_Расчет_аналитики'!$B$4086*'18_Календарь_тарифы'!AW4,0)</f>
        <v/>
      </c>
      <c r="AX4857">
        <f>IF('01_Вводные'!$B$234="Да",'19_Расчет_аналитики'!$B$4086*'18_Календарь_тарифы'!AX4,0)</f>
        <v/>
      </c>
      <c r="AY4857">
        <f>IF('01_Вводные'!$B$234="Да",'19_Расчет_аналитики'!$B$4086*'18_Календарь_тарифы'!AY4,0)</f>
        <v/>
      </c>
      <c r="AZ4857">
        <f>IF('01_Вводные'!$B$234="Да",'19_Расчет_аналитики'!$B$4086*'18_Календарь_тарифы'!AZ4,0)</f>
        <v/>
      </c>
      <c r="BA4857">
        <f>IF('01_Вводные'!$B$234="Да",'19_Расчет_аналитики'!$B$4086*'18_Календарь_тарифы'!BA4,0)</f>
        <v/>
      </c>
      <c r="BB4857">
        <f>IF('01_Вводные'!$B$234="Да",'19_Расчет_аналитики'!$B$4086*'18_Календарь_тарифы'!BB4,0)</f>
        <v/>
      </c>
      <c r="BC4857">
        <f>IF('01_Вводные'!$B$234="Да",'19_Расчет_аналитики'!$B$4086*'18_Календарь_тарифы'!BC4,0)</f>
        <v/>
      </c>
      <c r="BD4857">
        <f>IF('01_Вводные'!$B$234="Да",'19_Расчет_аналитики'!$B$4086*'18_Календарь_тарифы'!BD4,0)</f>
        <v/>
      </c>
      <c r="BE4857">
        <f>IF('01_Вводные'!$B$234="Да",'19_Расчет_аналитики'!$B$4086*'18_Календарь_тарифы'!BE4,0)</f>
        <v/>
      </c>
      <c r="BF4857">
        <f>IF('01_Вводные'!$B$234="Да",'19_Расчет_аналитики'!$B$4086*'18_Календарь_тарифы'!BF4,0)</f>
        <v/>
      </c>
      <c r="BG4857">
        <f>IF('01_Вводные'!$B$234="Да",'19_Расчет_аналитики'!$B$4086*'18_Календарь_тарифы'!BG4,0)</f>
        <v/>
      </c>
      <c r="BH4857">
        <f>IF('01_Вводные'!$B$234="Да",'19_Расчет_аналитики'!$B$4086*'18_Календарь_тарифы'!BH4,0)</f>
        <v/>
      </c>
      <c r="BI4857">
        <f>IF('01_Вводные'!$B$234="Да",'19_Расчет_аналитики'!$B$4086*'18_Календарь_тарифы'!BI4,0)</f>
        <v/>
      </c>
      <c r="BJ4857">
        <f>IF('01_Вводные'!$B$234="Да",'19_Расчет_аналитики'!$B$4086*'18_Календарь_тарифы'!BJ4,0)</f>
        <v/>
      </c>
      <c r="BK4857">
        <f>IF('01_Вводные'!$B$234="Да",'19_Расчет_аналитики'!$B$4086*'18_Календарь_тарифы'!BK4,0)</f>
        <v/>
      </c>
      <c r="BL4857">
        <f>IF('01_Вводные'!$B$234="Да",'19_Расчет_аналитики'!$B$4086*'18_Календарь_тарифы'!BL4,0)</f>
        <v/>
      </c>
      <c r="BM4857">
        <f>IF('01_Вводные'!$B$234="Да",'19_Расчет_аналитики'!$B$4086*'18_Календарь_тарифы'!BM4,0)</f>
        <v/>
      </c>
      <c r="BN4857">
        <f>IF('01_Вводные'!$B$234="Да",'19_Расчет_аналитики'!$B$4086*'18_Календарь_тарифы'!BN4,0)</f>
        <v/>
      </c>
      <c r="BO4857">
        <f>IF('01_Вводные'!$B$234="Да",'19_Расчет_аналитики'!$B$4086*'18_Календарь_тарифы'!BO4,0)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E1B31"/>
    <outlinePr summaryBelow="1" summaryRight="1"/>
    <pageSetUpPr fitToPage="1"/>
  </sheetPr>
  <dimension ref="A1:E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78" customWidth="1" min="4" max="4"/>
    <col width="42" customWidth="1" min="5" max="5"/>
  </cols>
  <sheetData>
    <row r="1">
      <c r="A1" s="226" t="inlineStr">
        <is>
          <t>Как из вводных получается EBITDA</t>
        </is>
      </c>
    </row>
    <row r="2">
      <c r="A2" s="227" t="inlineStr">
        <is>
          <t>Экономика книги словами. Ничего не считает — только объясняет, какая формула где живёт и почему она такая.</t>
        </is>
      </c>
    </row>
    <row r="4">
      <c r="A4" s="230" t="inlineStr">
        <is>
          <t>№</t>
        </is>
      </c>
      <c r="B4" s="230" t="inlineStr">
        <is>
          <t>Что считается</t>
        </is>
      </c>
      <c r="C4" s="230" t="inlineStr">
        <is>
          <t>Где смотреть</t>
        </is>
      </c>
      <c r="D4" s="230" t="inlineStr">
        <is>
          <t>Как считается</t>
        </is>
      </c>
      <c r="E4" s="230" t="inlineStr">
        <is>
          <t>От каких вводных зависит</t>
        </is>
      </c>
    </row>
    <row r="5">
      <c r="A5" s="257" t="inlineStr">
        <is>
          <t>A</t>
        </is>
      </c>
      <c r="B5" s="257" t="inlineStr">
        <is>
          <t>Коммерческая воронка</t>
        </is>
      </c>
      <c r="C5" s="350" t="n"/>
      <c r="D5" s="350" t="n"/>
      <c r="E5" s="350" t="n"/>
    </row>
    <row r="6" ht="34" customHeight="1">
      <c r="A6" s="351" t="inlineStr">
        <is>
          <t>1</t>
        </is>
      </c>
      <c r="B6" s="352" t="inlineStr">
        <is>
          <t>Лиды</t>
        </is>
      </c>
      <c r="C6" s="254" t="inlineStr">
        <is>
          <t>04_Продажи</t>
        </is>
      </c>
      <c r="D6" s="353" t="inlineStr">
        <is>
          <t>План продаж ÷ конверсия лид→продажа, округление вверх</t>
        </is>
      </c>
      <c r="E6" s="354" t="inlineStr">
        <is>
          <t>01_Вводные!B25 (3%), план продаж B36:B40</t>
        </is>
      </c>
    </row>
    <row r="7" ht="34" customHeight="1">
      <c r="A7" s="351" t="inlineStr">
        <is>
          <t>2</t>
        </is>
      </c>
      <c r="B7" s="352" t="inlineStr">
        <is>
          <t>Продажи франшиз</t>
        </is>
      </c>
      <c r="C7" s="254" t="inlineStr">
        <is>
          <t>04_Продажи</t>
        </is>
      </c>
      <c r="D7" s="353" t="inlineStr">
        <is>
          <t>Годовой план сезона × месячная доля сезонности. Годовой план = база (B210:B214) × множитель сценария (F198)</t>
        </is>
      </c>
      <c r="E7" s="354" t="inlineStr">
        <is>
          <t>01_Вводные!B36:B40 и C36:N40</t>
        </is>
      </c>
    </row>
    <row r="8" ht="34" customHeight="1">
      <c r="A8" s="351" t="inlineStr">
        <is>
          <t>3</t>
        </is>
      </c>
      <c r="B8" s="352" t="inlineStr">
        <is>
          <t>Открытия школ</t>
        </is>
      </c>
      <c r="C8" s="254" t="inlineStr">
        <is>
          <t>04_Продажи</t>
        </is>
      </c>
      <c r="D8" s="353" t="inlineStr">
        <is>
          <t>Продажи, сдвинутые на лаг «продажа → открытие», × конверсия в открытие</t>
        </is>
      </c>
      <c r="E8" s="354" t="inlineStr">
        <is>
          <t>01_Вводные!B15 (2 мес.), B298 (100%)</t>
        </is>
      </c>
    </row>
    <row r="9" ht="34" customHeight="1">
      <c r="A9" s="351" t="inlineStr">
        <is>
          <t>4</t>
        </is>
      </c>
      <c r="B9" s="352" t="inlineStr">
        <is>
          <t>Новые юрлица и школы</t>
        </is>
      </c>
      <c r="C9" s="254" t="inlineStr">
        <is>
          <t>06_Сеть_и_дети</t>
        </is>
      </c>
      <c r="D9" s="353" t="inlineStr">
        <is>
          <t>Продажи × коэффициент юрлиц; отдельно продажи × коэффициент школ</t>
        </is>
      </c>
      <c r="E9" s="354" t="inlineStr">
        <is>
          <t>01_Вводные!B16, B22</t>
        </is>
      </c>
    </row>
    <row r="10" ht="34" customHeight="1">
      <c r="A10" s="351" t="inlineStr">
        <is>
          <t>5</t>
        </is>
      </c>
      <c r="B10" s="352" t="inlineStr">
        <is>
          <t>Маркетинг привлечения</t>
        </is>
      </c>
      <c r="C10" s="254" t="inlineStr">
        <is>
          <t>04_Продажи</t>
        </is>
      </c>
      <c r="D10" s="353" t="inlineStr">
        <is>
          <t>Таргет платится за 2 месяца до продажи (для октября 2026 — за 1); плюс БИБОСС / TopFranchise / Forbes раз в год</t>
        </is>
      </c>
      <c r="E10" s="354" t="inlineStr">
        <is>
          <t>01_Вводные!B26:B33, B242:B243</t>
        </is>
      </c>
    </row>
    <row r="11">
      <c r="A11" s="257" t="inlineStr">
        <is>
          <t>B</t>
        </is>
      </c>
      <c r="B11" s="257" t="inlineStr">
        <is>
          <t>Сеть и дети</t>
        </is>
      </c>
      <c r="C11" s="350" t="n"/>
      <c r="D11" s="350" t="n"/>
      <c r="E11" s="350" t="n"/>
    </row>
    <row r="12" ht="34" customHeight="1">
      <c r="A12" s="351" t="inlineStr">
        <is>
          <t>6</t>
        </is>
      </c>
      <c r="B12" s="352" t="inlineStr">
        <is>
          <t>Действующая сеть</t>
        </is>
      </c>
      <c r="C12" s="254" t="inlineStr">
        <is>
          <t>06_Сеть_и_дети</t>
        </is>
      </c>
      <c r="D12" s="353" t="inlineStr">
        <is>
          <t>104 школы × коэффициент сохранения; дети = 5 200 × рост 10% в год, пересчёт каждый сентябрь</t>
        </is>
      </c>
      <c r="E12" s="354" t="inlineStr">
        <is>
          <t>01_Вводные!B9, B11, B12, B13</t>
        </is>
      </c>
    </row>
    <row r="13" ht="34" customHeight="1">
      <c r="A13" s="351" t="inlineStr">
        <is>
          <t>7</t>
        </is>
      </c>
      <c r="B13" s="352" t="inlineStr">
        <is>
          <t>Новые школы по возрасту</t>
        </is>
      </c>
      <c r="C13" s="254" t="inlineStr">
        <is>
          <t>06_Сеть_и_дети</t>
        </is>
      </c>
      <c r="D13" s="353" t="inlineStr">
        <is>
          <t>Каждая открытая школа живёт в своей когорте: месяцы 1–12, 13–24, зрелая. Это и есть постепенный набор</t>
        </is>
      </c>
      <c r="E13" s="354" t="inlineStr">
        <is>
          <t>01_Вводные!B295, 18_Календарь_тарифы</t>
        </is>
      </c>
    </row>
    <row r="14" ht="34" customHeight="1">
      <c r="A14" s="351" t="inlineStr">
        <is>
          <t>8</t>
        </is>
      </c>
      <c r="B14" s="352" t="inlineStr">
        <is>
          <t>Дети новых школ</t>
        </is>
      </c>
      <c r="C14" s="254" t="inlineStr">
        <is>
          <t>06_Сеть_и_дети</t>
        </is>
      </c>
      <c r="D14" s="353" t="inlineStr">
        <is>
          <t>Сумма по когортам: школы возраста N × норматив детей возраста N × множитель сценария × сезонность посещаемости</t>
        </is>
      </c>
      <c r="E14" s="354" t="inlineStr">
        <is>
          <t>01_Вводные!B46 (75,05 к 12-му мес.), B47 (165,125 к 24-му), B44</t>
        </is>
      </c>
    </row>
    <row r="15" ht="34" customHeight="1">
      <c r="A15" s="351" t="inlineStr">
        <is>
          <t>9</t>
        </is>
      </c>
      <c r="B15" s="352" t="inlineStr">
        <is>
          <t>Сезонность посещаемости</t>
        </is>
      </c>
      <c r="C15" s="254" t="inlineStr">
        <is>
          <t>01_Вводные</t>
        </is>
      </c>
      <c r="D15" s="353" t="inlineStr">
        <is>
          <t>Индекс от 5,9% (август) до 100% (февраль). Умножается на детей, а не на цену: летом платящих меньше</t>
        </is>
      </c>
      <c r="E15" s="354" t="inlineStr">
        <is>
          <t>01_Вводные!B44:M44</t>
        </is>
      </c>
    </row>
    <row r="16">
      <c r="A16" s="257" t="inlineStr">
        <is>
          <t>C</t>
        </is>
      </c>
      <c r="B16" s="257" t="inlineStr">
        <is>
          <t>Выручка</t>
        </is>
      </c>
      <c r="C16" s="350" t="n"/>
      <c r="D16" s="350" t="n"/>
      <c r="E16" s="350" t="n"/>
    </row>
    <row r="17" ht="34" customHeight="1">
      <c r="A17" s="351" t="inlineStr">
        <is>
          <t>10</t>
        </is>
      </c>
      <c r="B17" s="352" t="inlineStr">
        <is>
          <t>Паушальные взносы</t>
        </is>
      </c>
      <c r="C17" s="254" t="inlineStr">
        <is>
          <t>02_Модель</t>
        </is>
      </c>
      <c r="D17" s="353" t="inlineStr">
        <is>
          <t>Продажи × средний паушальный по тарифному миксу (937 767 ₽ с НДС), затем ÷ (1 + НДС)</t>
        </is>
      </c>
      <c r="E17" s="354" t="inlineStr">
        <is>
          <t>01_Вводные!B63:B67, тарифы B263:D282</t>
        </is>
      </c>
    </row>
    <row r="18" ht="34" customHeight="1">
      <c r="A18" s="351" t="inlineStr">
        <is>
          <t>11</t>
        </is>
      </c>
      <c r="B18" s="352" t="inlineStr">
        <is>
          <t>Роялти действующей сети</t>
        </is>
      </c>
      <c r="C18" s="254" t="inlineStr">
        <is>
          <t>06_Сеть_и_дети</t>
        </is>
      </c>
      <c r="D18" s="353" t="inlineStr">
        <is>
          <t>MAX(% от оборота; 104 школы × минимум). Оборот = активные дети × абонемент. Ставка 6,5% → 10% с 01.01.2030</t>
        </is>
      </c>
      <c r="E18" s="354" t="inlineStr">
        <is>
          <t>01_Вводные!B51, B52, B55:B57, B245</t>
        </is>
      </c>
    </row>
    <row r="19" ht="34" customHeight="1">
      <c r="A19" s="351" t="inlineStr">
        <is>
          <t>12</t>
        </is>
      </c>
      <c r="B19" s="352" t="inlineStr">
        <is>
          <t>Роялти новых школ</t>
        </is>
      </c>
      <c r="C19" s="254" t="inlineStr">
        <is>
          <t>06_Сеть_и_дети</t>
        </is>
      </c>
      <c r="D19" s="353" t="inlineStr">
        <is>
          <t>Минимум проверяется ПО КАЖДОЙ школе своей тарифной группы, и только потом суммируется. Ставка 6,5% для договоров до 31.12.2026, 8,5% для новых, 10% с 2030</t>
        </is>
      </c>
      <c r="E19" s="354" t="inlineStr">
        <is>
          <t>01_Вводные!B53, B54, B239, B244</t>
        </is>
      </c>
    </row>
    <row r="20" ht="34" customHeight="1">
      <c r="A20" s="351" t="inlineStr">
        <is>
          <t>13</t>
        </is>
      </c>
      <c r="B20" s="352" t="inlineStr">
        <is>
          <t>Мерч</t>
        </is>
      </c>
      <c r="C20" s="254" t="inlineStr">
        <is>
          <t>07_Мерч</t>
        </is>
      </c>
      <c r="D20" s="353" t="inlineStr">
        <is>
          <t>Действующая сеть — согласованный план сен–дек 2026. Новые школы — первичная поставка 50/30/20% за 3 месяца, потом повторный заказ с нового сезона. Цена = COGS × 1,85</t>
        </is>
      </c>
      <c r="E20" s="354" t="inlineStr">
        <is>
          <t>01_Вводные!B71:B74, B87:B89, B94:M94, B99:E101</t>
        </is>
      </c>
    </row>
    <row r="21" ht="34" customHeight="1">
      <c r="A21" s="351" t="inlineStr">
        <is>
          <t>14</t>
        </is>
      </c>
      <c r="B21" s="352" t="inlineStr">
        <is>
          <t>Лагеря</t>
        </is>
      </c>
      <c r="C21" s="254" t="inlineStr">
        <is>
          <t>09_Лагеря</t>
        </is>
      </c>
      <c r="D21" s="353" t="inlineStr">
        <is>
          <t>2 смены в июне × (50 без проживания × 80 000 + 50 с проживанием × 120 000). Начисление в июне, деньги — аванс 40% при продаже и 60% в мае</t>
        </is>
      </c>
      <c r="E21" s="354" t="inlineStr">
        <is>
          <t>01_Вводные!B161:B177, B241</t>
        </is>
      </c>
    </row>
    <row r="22">
      <c r="A22" s="257" t="inlineStr">
        <is>
          <t>D</t>
        </is>
      </c>
      <c r="B22" s="257" t="inlineStr">
        <is>
          <t>Расходы и прибыль</t>
        </is>
      </c>
      <c r="C22" s="350" t="n"/>
      <c r="D22" s="350" t="n"/>
      <c r="E22" s="350" t="n"/>
    </row>
    <row r="23" ht="34" customHeight="1">
      <c r="A23" s="351" t="inlineStr">
        <is>
          <t>15</t>
        </is>
      </c>
      <c r="B23" s="352" t="inlineStr">
        <is>
          <t>Прямые расходы</t>
        </is>
      </c>
      <c r="C23" s="254" t="inlineStr">
        <is>
          <t>02_Модель</t>
        </is>
      </c>
      <c r="D23" s="353" t="inlineStr">
        <is>
          <t>COGS мерча + логистика 2% + доли ФК (35% паушального, 10% роялти, 35% прибыли мерча) + расходы лагеря и доля партнёра</t>
        </is>
      </c>
      <c r="E23" s="354" t="inlineStr">
        <is>
          <t>01_Вводные!B59, B60, B75, B76</t>
        </is>
      </c>
    </row>
    <row r="24" ht="34" customHeight="1">
      <c r="A24" s="351" t="inlineStr">
        <is>
          <t>16</t>
        </is>
      </c>
      <c r="B24" s="352" t="inlineStr">
        <is>
          <t>OPEX</t>
        </is>
      </c>
      <c r="C24" s="254" t="inlineStr">
        <is>
          <t>02_Модель</t>
        </is>
      </c>
      <c r="D24" s="353" t="inlineStr">
        <is>
          <t>ФОТ и кадры + ERP (80 000 базовых на 104 школы, +3 000 за каждую новую) + офис + юристы + IT + SMM + маркетинг привлечения</t>
        </is>
      </c>
      <c r="E24" s="354" t="inlineStr">
        <is>
          <t>01_Вводные!B105:B112, лист 08_ФОТ</t>
        </is>
      </c>
    </row>
    <row r="25" ht="34" customHeight="1">
      <c r="A25" s="351" t="inlineStr">
        <is>
          <t>17</t>
        </is>
      </c>
      <c r="B25" s="352" t="inlineStr">
        <is>
          <t>ФОТ</t>
        </is>
      </c>
      <c r="C25" s="254" t="inlineStr">
        <is>
          <t>08_ФОТ</t>
        </is>
      </c>
      <c r="D25" s="353" t="inlineStr">
        <is>
          <t>Ядро 13 человек + найм по нормативу 35 юрлиц на менеджера. Индексация 7% каждый сентябрь. Премии: ежемесячная развития, 4% Евгения от паушального, квартальная 0,6 оклада с IV кв. 2027. Взносы 30% сверху</t>
        </is>
      </c>
      <c r="E25" s="354" t="inlineStr">
        <is>
          <t>01_Вводные!B116:B152, B246:B251</t>
        </is>
      </c>
    </row>
    <row r="26" ht="34" customHeight="1">
      <c r="A26" s="351" t="inlineStr">
        <is>
          <t>18</t>
        </is>
      </c>
      <c r="B26" s="352" t="inlineStr">
        <is>
          <t>EBITDA</t>
        </is>
      </c>
      <c r="C26" s="254" t="inlineStr">
        <is>
          <t>02_Модель</t>
        </is>
      </c>
      <c r="D26" s="353" t="inlineStr">
        <is>
          <t>Выручка без НДС − прямые расходы − OPEX. До налога, CAPEX и займа</t>
        </is>
      </c>
      <c r="E26" s="354" t="inlineStr">
        <is>
          <t>—</t>
        </is>
      </c>
    </row>
    <row r="27" ht="34" customHeight="1">
      <c r="A27" s="351" t="inlineStr">
        <is>
          <t>19</t>
        </is>
      </c>
      <c r="B27" s="352" t="inlineStr">
        <is>
          <t>Налог</t>
        </is>
      </c>
      <c r="C27" s="254" t="inlineStr">
        <is>
          <t>02_Модель</t>
        </is>
      </c>
      <c r="D27" s="353" t="inlineStr">
        <is>
          <t>УСН «доходы минус расходы»: MAX(1% от выручки; 15% от прибыли). Считается помесячно</t>
        </is>
      </c>
      <c r="E27" s="354" t="inlineStr">
        <is>
          <t>01_Вводные!B156, B157</t>
        </is>
      </c>
    </row>
    <row r="28">
      <c r="A28" s="257" t="inlineStr">
        <is>
          <t>E</t>
        </is>
      </c>
      <c r="B28" s="257" t="inlineStr">
        <is>
          <t>Деньги</t>
        </is>
      </c>
      <c r="C28" s="350" t="n"/>
      <c r="D28" s="350" t="n"/>
      <c r="E28" s="350" t="n"/>
    </row>
    <row r="29" ht="34" customHeight="1">
      <c r="A29" s="351" t="inlineStr">
        <is>
          <t>20</t>
        </is>
      </c>
      <c r="B29" s="352" t="inlineStr">
        <is>
          <t>Поступления</t>
        </is>
      </c>
      <c r="C29" s="254" t="inlineStr">
        <is>
          <t>02_Модель</t>
        </is>
      </c>
      <c r="D29" s="353" t="inlineStr">
        <is>
          <t>Паушальные — в месяц продажи. Роялти — по дебиторке (15 дней ≈ 50% текущий / 50% следующий месяц). Мерч и лагеря — по своим графикам</t>
        </is>
      </c>
      <c r="E29" s="354" t="inlineStr">
        <is>
          <t>01_Вводные!B18, B20</t>
        </is>
      </c>
    </row>
    <row r="30" ht="34" customHeight="1">
      <c r="A30" s="351" t="inlineStr">
        <is>
          <t>21</t>
        </is>
      </c>
      <c r="B30" s="352" t="inlineStr">
        <is>
          <t>Выплаты</t>
        </is>
      </c>
      <c r="C30" s="254" t="inlineStr">
        <is>
          <t>02_Модель</t>
        </is>
      </c>
      <c r="D30" s="353" t="inlineStr">
        <is>
          <t>Поставщики — по кредиторке 15 дней. ФОТ, НДС, УСН, лагеря, CAPEX — в месяце начисления</t>
        </is>
      </c>
      <c r="E30" s="354" t="inlineStr">
        <is>
          <t>01_Вводные!B19, B21</t>
        </is>
      </c>
    </row>
    <row r="31" ht="34" customHeight="1">
      <c r="A31" s="351" t="inlineStr">
        <is>
          <t>22</t>
        </is>
      </c>
      <c r="B31" s="352" t="inlineStr">
        <is>
          <t>Склад и закупки</t>
        </is>
      </c>
      <c r="C31" s="254" t="inlineStr">
        <is>
          <t>07_Мерч</t>
        </is>
      </c>
      <c r="D31" s="353" t="inlineStr">
        <is>
          <t>Стартовые 50 млн ₽ распродаются ~2 года. С августа 2028 в месяцы февраль/май/август/ноябрь склад доводится до цели «6 месяцев будущих продаж». Отрицательный склад = необеспеченный спрос, он показан, а не спрятан</t>
        </is>
      </c>
      <c r="E31" s="354" t="inlineStr">
        <is>
          <t>01_Вводные!B77, B80:B85</t>
        </is>
      </c>
    </row>
    <row r="32" ht="34" customHeight="1">
      <c r="A32" s="351" t="inlineStr">
        <is>
          <t>23</t>
        </is>
      </c>
      <c r="B32" s="352" t="inlineStr">
        <is>
          <t>Возврат займа ФК</t>
        </is>
      </c>
      <c r="C32" s="254" t="inlineStr">
        <is>
          <t>07_Мерч</t>
        </is>
      </c>
      <c r="D32" s="353" t="inlineStr">
        <is>
          <t>60% от COGS проданной формы, но не больше доступных денег и только если склад не ниже цели. Тело займа — отдельно от операционных выплат</t>
        </is>
      </c>
      <c r="E32" s="354" t="inlineStr">
        <is>
          <t>01_Вводные!B78, B79, B237, B238</t>
        </is>
      </c>
    </row>
    <row r="33" ht="34" customHeight="1">
      <c r="A33" s="351" t="inlineStr">
        <is>
          <t>24</t>
        </is>
      </c>
      <c r="B33" s="352" t="inlineStr">
        <is>
          <t>CAPEX</t>
        </is>
      </c>
      <c r="C33" s="254" t="inlineStr">
        <is>
          <t>02_Модель</t>
        </is>
      </c>
      <c r="D33" s="353" t="inlineStr">
        <is>
          <t>Правило v4: 1% от выручки с НДС + разовый CAPEX в первом месяце. Вычитается из денег ДО погашения займа, в EBITDA не входит</t>
        </is>
      </c>
      <c r="E33" s="354" t="inlineStr">
        <is>
          <t>01_Вводные!B286:B290</t>
        </is>
      </c>
    </row>
    <row r="34" ht="34" customHeight="1">
      <c r="A34" s="351" t="inlineStr">
        <is>
          <t>25</t>
        </is>
      </c>
      <c r="B34" s="352" t="inlineStr">
        <is>
          <t>Итог по деньгам</t>
        </is>
      </c>
      <c r="C34" s="254" t="inlineStr">
        <is>
          <t>02_Модель</t>
        </is>
      </c>
      <c r="D34" s="353" t="inlineStr">
        <is>
          <t>Остаток на начало + поток до займа − погашение займа. Если остаток уходит в минус — это кассовый разрыв, кредит на его покрытие в модель не заложен</t>
        </is>
      </c>
      <c r="E34" s="354" t="inlineStr">
        <is>
          <t>00_Дашборд!H38</t>
        </is>
      </c>
    </row>
    <row r="35">
      <c r="A35" s="257" t="inlineStr">
        <is>
          <t>F</t>
        </is>
      </c>
      <c r="B35" s="257" t="inlineStr">
        <is>
          <t>Контроль</t>
        </is>
      </c>
      <c r="C35" s="350" t="n"/>
      <c r="D35" s="350" t="n"/>
      <c r="E35" s="350" t="n"/>
    </row>
    <row r="36" ht="34" customHeight="1">
      <c r="A36" s="351" t="inlineStr">
        <is>
          <t>26</t>
        </is>
      </c>
      <c r="B36" s="352" t="inlineStr">
        <is>
          <t>Мост БДР → БДДС</t>
        </is>
      </c>
      <c r="C36" s="254" t="inlineStr">
        <is>
          <t>02_Модель</t>
        </is>
      </c>
      <c r="D36" s="353" t="inlineStr">
        <is>
          <t>EBITDA − налог − Δдебиторка + Δкредиторка + Δавансы − Δсклад − займ + Δдолг перед ФК − CAPEX. Строка 86 должна быть 0</t>
        </is>
      </c>
      <c r="E36" s="354" t="inlineStr">
        <is>
          <t>13_Проверки!A29</t>
        </is>
      </c>
    </row>
    <row r="37" ht="34" customHeight="1">
      <c r="A37" s="351" t="inlineStr">
        <is>
          <t>27</t>
        </is>
      </c>
      <c r="B37" s="352" t="inlineStr">
        <is>
          <t>Баланс склада и займа</t>
        </is>
      </c>
      <c r="C37" s="254" t="inlineStr">
        <is>
          <t>02_Модель</t>
        </is>
      </c>
      <c r="D37" s="353" t="inlineStr">
        <is>
          <t>Склад начало + закупка − списание = склад конец. Займ начало − погашения = займ конец</t>
        </is>
      </c>
      <c r="E37" s="354" t="inlineStr">
        <is>
          <t>13_Проверки!A28, A30</t>
        </is>
      </c>
    </row>
    <row r="39">
      <c r="A39" s="228" t="inlineStr">
        <is>
          <t>Что модель сознательно НЕ делает</t>
        </is>
      </c>
    </row>
    <row r="40" ht="28" customHeight="1">
      <c r="B40" s="245" t="inlineStr">
        <is>
          <t>• Не придумывает кредит под кассовый разрыв: дефицит показан суммой, проценты по нему не начислены.</t>
        </is>
      </c>
    </row>
    <row r="41" ht="28" customHeight="1">
      <c r="B41" s="245" t="inlineStr">
        <is>
          <t>• Не создаёт товар из воздуха: если склад не покрывает спрос, разница показана строкой «нехватка товара».</t>
        </is>
      </c>
    </row>
    <row r="42" ht="28" customHeight="1">
      <c r="B42" s="245" t="inlineStr">
        <is>
          <t>• Не считает роялти действующей сети пошкольно — нет реестра детей по партнёрам. Сеть агрегирована: MAX(% с оборота; 104 × минимум).</t>
        </is>
      </c>
    </row>
    <row r="43" ht="28" customHeight="1">
      <c r="B43" s="245" t="inlineStr">
        <is>
          <t>• Не подтверждает налоговую методику: НДС 5%, УСН 15%/1% и 10% по лагерям — рабочие допущения, см. 14_Ревизия.</t>
        </is>
      </c>
    </row>
    <row r="44" ht="28" customHeight="1">
      <c r="B44" s="245" t="inlineStr">
        <is>
          <t>• Не переносит пропущенные доли повторного заказа формы на следующие месяцы.</t>
        </is>
      </c>
    </row>
    <row r="45" ht="28" customHeight="1">
      <c r="B45" s="245" t="inlineStr">
        <is>
          <t>• Не меняет длину горизонта от смены числа в B8: 60 месяцев зашиты в структуру листов.</t>
        </is>
      </c>
    </row>
  </sheetData>
  <hyperlinks>
    <hyperlink ref="C6" location="'04_Продажи'!A17"/>
    <hyperlink ref="C7" location="'04_Продажи'!A15"/>
    <hyperlink ref="C8" location="'04_Продажи'!A18"/>
    <hyperlink ref="C9" location="'06_Сеть_и_дети'!A9"/>
    <hyperlink ref="C10" location="'04_Продажи'!A23"/>
    <hyperlink ref="C12" location="'06_Сеть_и_дети'!A11"/>
    <hyperlink ref="C13" location="'06_Сеть_и_дети'!A52"/>
    <hyperlink ref="C14" location="'06_Сеть_и_дети'!A24"/>
    <hyperlink ref="C15" location="'01_Вводные'!A44"/>
    <hyperlink ref="C17" location="'02_Модель'!A18"/>
    <hyperlink ref="C18" location="'06_Сеть_и_дети'!A28"/>
    <hyperlink ref="C19" location="'06_Сеть_и_дети'!A29"/>
    <hyperlink ref="C20" location="'07_Мерч'!A14"/>
    <hyperlink ref="C21" location="'09_Лагеря'!A10"/>
    <hyperlink ref="C23" location="'02_Модель'!A32"/>
    <hyperlink ref="C24" location="'02_Модель'!A43"/>
    <hyperlink ref="C25" location="'08_ФОТ'!A28"/>
    <hyperlink ref="C26" location="'02_Модель'!A44"/>
    <hyperlink ref="C27" location="'02_Модель'!A46"/>
    <hyperlink ref="C29" location="'02_Модель'!A56"/>
    <hyperlink ref="C30" location="'02_Модель'!A67"/>
    <hyperlink ref="C31" location="'07_Мерч'!A25"/>
    <hyperlink ref="C32" location="'07_Мерч'!A31"/>
    <hyperlink ref="C33" location="'02_Модель'!A99"/>
    <hyperlink ref="C34" location="'02_Модель'!A72"/>
    <hyperlink ref="C36" location="'02_Модель'!A85"/>
    <hyperlink ref="C37" location="'02_Модель'!A87"/>
  </hyperlink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16а_Логика_модели&amp;R&amp;P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F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0" customWidth="1" min="3" max="3"/>
    <col width="62" customWidth="1" min="4" max="4"/>
    <col width="20" customWidth="1" min="5" max="5"/>
    <col width="20" customWidth="1" min="6" max="6"/>
  </cols>
  <sheetData>
    <row r="1">
      <c r="A1" s="226" t="inlineStr">
        <is>
          <t>Действующая сеть: реестр, отток и сверка с фактом</t>
        </is>
      </c>
    </row>
    <row r="2">
      <c r="A2" s="227" t="inlineStr">
        <is>
          <t>Источник — актуализация Виктории и Юрия от 21.08.2026. Лист описательный: на расчёт не влияет, но объясняет, откуда взяты 51 и 104 и что с ними не сходится.</t>
        </is>
      </c>
    </row>
    <row r="4">
      <c r="A4" s="228" t="inlineStr">
        <is>
          <t>Что в сети на 21.08.2026</t>
        </is>
      </c>
    </row>
    <row r="5">
      <c r="A5" s="230" t="inlineStr">
        <is>
          <t>Показатель</t>
        </is>
      </c>
      <c r="B5" s="230" t="inlineStr">
        <is>
          <t>Значение</t>
        </is>
      </c>
      <c r="C5" s="230" t="inlineStr">
        <is>
          <t>Ячейка модели</t>
        </is>
      </c>
      <c r="D5" s="230" t="inlineStr">
        <is>
          <t>Комментарий</t>
        </is>
      </c>
    </row>
    <row r="6" ht="30" customHeight="1">
      <c r="A6" s="231" t="inlineStr">
        <is>
          <t>Действующие партнёры (юрлица)</t>
        </is>
      </c>
      <c r="B6" s="355" t="n">
        <v>51</v>
      </c>
      <c r="C6" s="254" t="inlineStr">
        <is>
          <t>01_Вводные!B10</t>
        </is>
      </c>
      <c r="D6" s="234" t="inlineStr">
        <is>
          <t>Из них 48 переподписали ДКК. 3 в переговорах: Кармадонов (Новосибирск), ФСАНО (Челябинск), Пинчук (Мытищи)</t>
        </is>
      </c>
    </row>
    <row r="7" ht="30" customHeight="1">
      <c r="A7" s="231" t="inlineStr">
        <is>
          <t>Действующие школы</t>
        </is>
      </c>
      <c r="B7" s="355" t="n">
        <v>104</v>
      </c>
      <c r="C7" s="254" t="inlineStr">
        <is>
          <t>01_Вводные!B9</t>
        </is>
      </c>
      <c r="D7" s="234" t="inlineStr">
        <is>
          <t>Один партнёр может держать несколько школ: «Академия Спорта» (Тверь) — 9, Акулова (Обнинск) — 7</t>
        </is>
      </c>
    </row>
    <row r="8" ht="30" customHeight="1">
      <c r="A8" s="231" t="inlineStr">
        <is>
          <t>Школ на партнёра, среднее</t>
        </is>
      </c>
      <c r="B8" s="255" t="n"/>
      <c r="C8" s="255" t="n"/>
      <c r="D8" s="234" t="inlineStr">
        <is>
          <t>104 / 51 = 2,04 школы на партнёра</t>
        </is>
      </c>
    </row>
    <row r="9" ht="30" customHeight="1">
      <c r="A9" s="231" t="inlineStr">
        <is>
          <t>Новые партнёры без школ</t>
        </is>
      </c>
      <c r="B9" s="355" t="n">
        <v>3</v>
      </c>
      <c r="C9" s="255" t="n"/>
      <c r="D9" s="234" t="inlineStr">
        <is>
          <t>«ФКС» (Белгород) — подписан; «Оптима» (Москва) и Третьяков (Москва) — на подписании. В 104 не входят. «Открытия ждём от новых партнёров»</t>
        </is>
      </c>
    </row>
    <row r="10" ht="30" customHeight="1">
      <c r="A10" s="231" t="inlineStr">
        <is>
          <t>Школ в базе ERP</t>
        </is>
      </c>
      <c r="B10" s="355" t="n">
        <v>104</v>
      </c>
      <c r="C10" s="254" t="inlineStr">
        <is>
          <t>01_Вводные!B106</t>
        </is>
      </c>
      <c r="D10" s="234" t="inlineStr">
        <is>
          <t>Базовые 80 тыс. ₽ ERP покрывают эти школы; доплата 3 тыс. ₽ — за каждую новую сверх базы</t>
        </is>
      </c>
    </row>
    <row r="11" ht="30" customHeight="1">
      <c r="A11" s="231" t="inlineStr">
        <is>
          <t>Дети действующей сети, 100% база</t>
        </is>
      </c>
      <c r="B11" s="355" t="n">
        <v>5200</v>
      </c>
      <c r="C11" s="254" t="inlineStr">
        <is>
          <t>01_Вводные!B11</t>
        </is>
      </c>
      <c r="D11" s="234" t="inlineStr">
        <is>
          <t>5 200 / 104 = 50 детей на школу</t>
        </is>
      </c>
    </row>
    <row r="13">
      <c r="A13" s="228" t="inlineStr">
        <is>
          <t>Ушли: 12 партнёров, 18 школ</t>
        </is>
      </c>
    </row>
    <row r="14">
      <c r="A14" s="230" t="inlineStr">
        <is>
          <t>Причина</t>
        </is>
      </c>
      <c r="B14" s="230" t="inlineStr">
        <is>
          <t>Школ</t>
        </is>
      </c>
      <c r="C14" s="230" t="inlineStr"/>
      <c r="D14" s="230" t="inlineStr">
        <is>
          <t>Кто</t>
        </is>
      </c>
    </row>
    <row r="15" ht="30" customHeight="1">
      <c r="A15" s="231" t="inlineStr">
        <is>
          <t>Расторжение по инициативе УК</t>
        </is>
      </c>
      <c r="B15" s="356" t="n">
        <v>7</v>
      </c>
      <c r="C15" s="255" t="n"/>
      <c r="D15" s="234" t="inlineStr">
        <is>
          <t>Золотухина (Реутов 3, Чебоксары 2) — злостный должник; Черпилло (Москва ЮВАО 2) — конфликтный партнёр</t>
        </is>
      </c>
    </row>
    <row r="16" ht="30" customHeight="1">
      <c r="A16" s="231" t="inlineStr">
        <is>
          <t>Закрытие школы, выход из бизнеса</t>
        </is>
      </c>
      <c r="B16" s="356" t="n">
        <v>4</v>
      </c>
      <c r="C16" s="255" t="n"/>
      <c r="D16" s="234" t="inlineStr">
        <is>
          <t>Саурина (Балашиха) — убытки; «Спартак Юниор» (Подольск) — продали манеж городу; Быковская (Тула); Шарков (Волгоград)</t>
        </is>
      </c>
    </row>
    <row r="17" ht="30" customHeight="1">
      <c r="A17" s="231" t="inlineStr">
        <is>
          <t>Переход в МФСО «Спартак»</t>
        </is>
      </c>
      <c r="B17" s="356" t="n">
        <v>3</v>
      </c>
      <c r="C17" s="255" t="n"/>
      <c r="D17" s="234" t="inlineStr">
        <is>
          <t>Тольятти; «Наше будущее» (Екатеринбург); Дианов (Кемерово)</t>
        </is>
      </c>
    </row>
    <row r="18" ht="30" customHeight="1">
      <c r="A18" s="231" t="inlineStr">
        <is>
          <t>Конкуренция</t>
        </is>
      </c>
      <c r="B18" s="356" t="n">
        <v>3</v>
      </c>
      <c r="C18" s="255" t="n"/>
      <c r="D18" s="234" t="inlineStr">
        <is>
          <t>Чуркин (Марьино и Люблино) — в манежи зашла академия «Родина» с бесплатными занятиями</t>
        </is>
      </c>
    </row>
    <row r="19" ht="30" customHeight="1">
      <c r="A19" s="231" t="inlineStr">
        <is>
          <t>Паушальный взнос</t>
        </is>
      </c>
      <c r="B19" s="356" t="n">
        <v>1</v>
      </c>
      <c r="C19" s="255" t="n"/>
      <c r="D19" s="234" t="inlineStr">
        <is>
          <t>Алборов (Екатеринбург) — хотел переехать в Москву без взноса</t>
        </is>
      </c>
    </row>
    <row r="20" ht="30" customHeight="1">
      <c r="A20" s="352" t="inlineStr">
        <is>
          <t>Итого</t>
        </is>
      </c>
      <c r="B20" s="357" t="n">
        <v>18</v>
      </c>
      <c r="C20" s="255" t="n"/>
      <c r="D20" s="358" t="inlineStr">
        <is>
          <t>12 партнёров. В модели ставка закрытий 01_Вводные!B13 = 0% в год — отток не заложен вовсе.</t>
        </is>
      </c>
    </row>
    <row r="22">
      <c r="A22" s="228" t="inlineStr">
        <is>
          <t>Роялти действующей сети: модель против факта 2026, ₽</t>
        </is>
      </c>
    </row>
    <row r="23">
      <c r="A23" s="359" t="inlineStr">
        <is>
          <t>Модель применяет к роялти индекс посещаемости детей. Факт летнего провала не показывает — июнь и июль оказались самыми сильными месяцами полугодия.</t>
        </is>
      </c>
    </row>
    <row r="25">
      <c r="A25" s="230" t="inlineStr">
        <is>
          <t>Месяц 2026</t>
        </is>
      </c>
      <c r="B25" s="230" t="inlineStr">
        <is>
          <t>Индекс</t>
        </is>
      </c>
      <c r="C25" s="230" t="inlineStr">
        <is>
          <t>% с оборота, с НДС</t>
        </is>
      </c>
      <c r="D25" s="230" t="inlineStr">
        <is>
          <t>Модель, без НДС</t>
        </is>
      </c>
      <c r="E25" s="230" t="inlineStr">
        <is>
          <t>Факт: поступления (ДДС)</t>
        </is>
      </c>
      <c r="F25" s="230" t="inlineStr">
        <is>
          <t>Факт: начислено (P&amp;L)</t>
        </is>
      </c>
    </row>
    <row r="26">
      <c r="A26" s="231" t="inlineStr">
        <is>
          <t>Январь</t>
        </is>
      </c>
      <c r="B26" s="360" t="n">
        <v>0.9631999999999999</v>
      </c>
      <c r="C26" s="361" t="n">
        <v>1953441</v>
      </c>
      <c r="D26" s="362" t="n">
        <v>1860420</v>
      </c>
      <c r="E26" s="261" t="n">
        <v>1849872</v>
      </c>
      <c r="F26" s="255" t="n"/>
    </row>
    <row r="27">
      <c r="A27" s="231" t="inlineStr">
        <is>
          <t>Февраль</t>
        </is>
      </c>
      <c r="B27" s="360" t="n">
        <v>1</v>
      </c>
      <c r="C27" s="361" t="n">
        <v>2028000</v>
      </c>
      <c r="D27" s="362" t="n">
        <v>1931429</v>
      </c>
      <c r="E27" s="261" t="n">
        <v>2208620</v>
      </c>
      <c r="F27" s="255" t="n"/>
    </row>
    <row r="28">
      <c r="A28" s="231" t="inlineStr">
        <is>
          <t>Март</t>
        </is>
      </c>
      <c r="B28" s="360" t="n">
        <v>0.9926</v>
      </c>
      <c r="C28" s="361" t="n">
        <v>2013088</v>
      </c>
      <c r="D28" s="362" t="n">
        <v>1917227</v>
      </c>
      <c r="E28" s="363" t="n">
        <v>2336206</v>
      </c>
      <c r="F28" s="255" t="n"/>
    </row>
    <row r="29">
      <c r="A29" s="231" t="inlineStr">
        <is>
          <t>Апрель</t>
        </is>
      </c>
      <c r="B29" s="360" t="n">
        <v>0.9265</v>
      </c>
      <c r="C29" s="361" t="n">
        <v>1878882</v>
      </c>
      <c r="D29" s="362" t="n">
        <v>1789412</v>
      </c>
      <c r="E29" s="363" t="n">
        <v>2456244</v>
      </c>
      <c r="F29" s="255" t="n"/>
    </row>
    <row r="30">
      <c r="A30" s="231" t="inlineStr">
        <is>
          <t>Май</t>
        </is>
      </c>
      <c r="B30" s="360" t="n">
        <v>0.8235</v>
      </c>
      <c r="C30" s="361" t="n">
        <v>1670118</v>
      </c>
      <c r="D30" s="362" t="n">
        <v>1590588</v>
      </c>
      <c r="E30" s="363" t="n">
        <v>2454376</v>
      </c>
      <c r="F30" s="255" t="n"/>
    </row>
    <row r="31">
      <c r="A31" s="231" t="inlineStr">
        <is>
          <t>Июнь</t>
        </is>
      </c>
      <c r="B31" s="360" t="n">
        <v>0.3162</v>
      </c>
      <c r="C31" s="361" t="n">
        <v>641206</v>
      </c>
      <c r="D31" s="362" t="n">
        <v>1485714</v>
      </c>
      <c r="E31" s="363" t="n">
        <v>2866564</v>
      </c>
      <c r="F31" s="363" t="n">
        <v>2452155</v>
      </c>
    </row>
    <row r="32">
      <c r="A32" s="231" t="inlineStr">
        <is>
          <t>Июль</t>
        </is>
      </c>
      <c r="B32" s="360" t="n">
        <v>0.1397</v>
      </c>
      <c r="C32" s="361" t="n">
        <v>283324</v>
      </c>
      <c r="D32" s="362" t="n">
        <v>1485714</v>
      </c>
      <c r="E32" s="255" t="n"/>
      <c r="F32" s="363" t="n">
        <v>3070178</v>
      </c>
    </row>
    <row r="33">
      <c r="A33" s="364" t="inlineStr">
        <is>
          <t>Итого январь–июнь</t>
        </is>
      </c>
      <c r="D33" s="261">
        <f>SUM(D26:D31)</f>
        <v/>
      </c>
      <c r="E33" s="261">
        <f>SUM(E26:E31)</f>
        <v/>
      </c>
    </row>
    <row r="34">
      <c r="A34" s="345" t="inlineStr">
        <is>
          <t>Модель к факту</t>
        </is>
      </c>
      <c r="D34" s="365">
        <f>D33/E33-1</f>
        <v/>
      </c>
      <c r="E34" s="366" t="inlineStr">
        <is>
          <t>модель ниже факта</t>
        </is>
      </c>
    </row>
    <row r="35">
      <c r="A35" s="294" t="inlineStr">
        <is>
          <t>Поступления (ДДС) отстают от начисления, поэтому строки не совпадают месяц в месяц. Но направление одно: и по кассе, и по начислению лето — не провал, а пик. Июль по кассе неполный (отчёт до 02.07), поэтому в итог не входит.</t>
        </is>
      </c>
    </row>
    <row r="37">
      <c r="A37" s="228" t="inlineStr">
        <is>
          <t>Что из этого следует — четыре вопроса</t>
        </is>
      </c>
    </row>
    <row r="38" ht="96" customHeight="1">
      <c r="A38" s="367" t="inlineStr">
        <is>
          <t>?</t>
        </is>
      </c>
      <c r="B38" s="368" t="inlineStr">
        <is>
          <t>Минимальный роялти считается на школу или на ДКК?</t>
        </is>
      </c>
      <c r="D38" s="245" t="inlineStr">
        <is>
          <t>Сейчас 06_Сеть_и_дети!B28 берёт MAX(% с оборота; ЧИСЛО ШКОЛ × 15 000), то есть 104 × 15 000 = 1 560 000 ₽/мес. Если минимум записан в ДКК на партнёра, база должна быть 51 × 15 000 = 765 000 ₽/мес — разница вдвое. Минимум срабатывает в июне, июле и августе, поэтому цена вопроса ≈ 2,4 млн ₽ в год. Важно ещё и потому, что рост числа школ до 104 был, по вашим словам, чисто учётным: партнёры не подписывались платить больше из-за того, что реестр УК стал точнее.</t>
        </is>
      </c>
    </row>
    <row r="39" ht="96" customHeight="1">
      <c r="A39" s="367" t="inlineStr">
        <is>
          <t>?</t>
        </is>
      </c>
      <c r="B39" s="368" t="inlineStr">
        <is>
          <t>Роялти действительно проваливается летом?</t>
        </is>
      </c>
      <c r="D39" s="245" t="inlineStr">
        <is>
          <t>Модель умножает роялти действующей сети на индекс посещаемости (июнь 31,6%, июль 14,0%, август 5,9%). Факт 2026 обратный: июнь и июль — пиковые месяцы. За январь–июнь модель даёт 10,6 млн ₽ против 14,2 млн ₽ факта, то есть занижает примерно на четверть, и весь разрыв набегает к лету. Возможные причины: роялти начисляется с лагом, у партнёров годовые абонементы, или база роялти — не месячная посещаемость. Нужно понять, какая из них верна.</t>
        </is>
      </c>
    </row>
    <row r="40" ht="96" customHeight="1">
      <c r="A40" s="367" t="inlineStr">
        <is>
          <t>?</t>
        </is>
      </c>
      <c r="B40" s="368" t="inlineStr">
        <is>
          <t>Средний абонемент 6 000 ₽ — не занижен ли?</t>
        </is>
      </c>
      <c r="D40" s="245" t="inlineStr">
        <is>
          <t>Начисленный роялти июля 3,07 млн ₽ при ставке 6,5% предполагает оборот сети около 47 млн ₽/мес. Модель при 5 200 детях и 6 000 ₽ даёт 31,2 млн ₽/мес при 100% посещаемости. В первоначальной v4 стояло 7 800 ₽ — с ним разрыв заметно меньше. Это тот же вопрос, что висит пунктом 6 на листе 14_Ревизия.</t>
        </is>
      </c>
    </row>
    <row r="41" ht="96" customHeight="1">
      <c r="A41" s="367" t="inlineStr">
        <is>
          <t>?</t>
        </is>
      </c>
      <c r="B41" s="368" t="inlineStr">
        <is>
          <t>Отток 18 школ — за какой период?</t>
        </is>
      </c>
      <c r="D41" s="245" t="inlineStr">
        <is>
          <t>12 партнёров и 18 школ ушли по пяти разным причинам, из них 7 школ — по инициативе самой УК. В модели ставка закрытий 01_Вводные!B13 = 0% в год, то есть отток не заложен вовсе, хотя ТЗ 5.3 прямо требует, чтобы закрытие уменьшало детей, ERP, роялти и нагрузку менеджеров. Чтобы поставить ставку, нужен период: 18 школ за год — это около 15% в год, за два года — около 7,5%. Отдельно: 3 партнёра ещё не переподписали ДКК, это дополнительный риск.</t>
        </is>
      </c>
    </row>
    <row r="43">
      <c r="A43" s="348" t="inlineStr">
        <is>
          <t>Ни одна цифра модели по этим вопросам не менялась — нужны ваши ответы.</t>
        </is>
      </c>
    </row>
  </sheetData>
  <hyperlinks>
    <hyperlink ref="C6" location="'01_Вводные'!B10"/>
    <hyperlink ref="C7" location="'01_Вводные'!B9"/>
    <hyperlink ref="C10" location="'01_Вводные'!B106"/>
    <hyperlink ref="C11" location="'01_Вводные'!B11"/>
  </hyperlink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01а_Действующая_сеть&amp;R&amp;P /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E1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66" customWidth="1" min="3" max="3"/>
    <col width="26" customWidth="1" min="4" max="4"/>
    <col width="18" customWidth="1" min="5" max="5"/>
  </cols>
  <sheetData>
    <row r="1">
      <c r="A1" s="226" t="inlineStr">
        <is>
          <t>Сверка модели с ТЗ v6.0 и фактическими данными</t>
        </is>
      </c>
    </row>
    <row r="2">
      <c r="A2" s="227" t="inlineStr">
        <is>
          <t>Каждый пункт ТЗ — что требуется, что в модели, где посмотреть. Источники лежат в папке sources рядом с файлом.</t>
        </is>
      </c>
    </row>
    <row r="3">
      <c r="A3" s="246" t="inlineStr">
        <is>
          <t>Соответствует: 60   ·   Отклонение: 3   ·   Нет источника для сверки: 4   ·   Нет в ТЗ (рабочее допущение): 3</t>
        </is>
      </c>
    </row>
    <row r="5">
      <c r="A5" s="230" t="inlineStr">
        <is>
          <t>Пункт</t>
        </is>
      </c>
      <c r="B5" s="230" t="inlineStr">
        <is>
          <t>Требование ТЗ v6.0</t>
        </is>
      </c>
      <c r="C5" s="230" t="inlineStr">
        <is>
          <t>Что в модели</t>
        </is>
      </c>
      <c r="D5" s="230" t="inlineStr">
        <is>
          <t>Где</t>
        </is>
      </c>
      <c r="E5" s="230" t="inlineStr">
        <is>
          <t>Статус</t>
        </is>
      </c>
    </row>
    <row r="6">
      <c r="A6" s="257" t="inlineStr">
        <is>
          <t>5.1</t>
        </is>
      </c>
      <c r="B6" s="257" t="inlineStr">
        <is>
          <t>Календарь и сезонность</t>
        </is>
      </c>
      <c r="C6" s="350" t="n"/>
      <c r="D6" s="350" t="n"/>
      <c r="E6" s="350" t="n"/>
    </row>
    <row r="7" ht="32" customHeight="1">
      <c r="A7" s="351" t="inlineStr">
        <is>
          <t>5.1</t>
        </is>
      </c>
      <c r="B7" s="353" t="inlineStr">
        <is>
          <t>Старт модели 01.09.2026</t>
        </is>
      </c>
      <c r="C7" s="353" t="inlineStr">
        <is>
          <t>01.09.2026</t>
        </is>
      </c>
      <c r="D7" s="254" t="inlineStr">
        <is>
          <t>01_Вводные!B7</t>
        </is>
      </c>
      <c r="E7" s="369" t="inlineStr">
        <is>
          <t>Соответствует</t>
        </is>
      </c>
    </row>
    <row r="8" ht="32" customHeight="1">
      <c r="A8" s="351" t="inlineStr">
        <is>
          <t>5.1</t>
        </is>
      </c>
      <c r="B8" s="353" t="inlineStr">
        <is>
          <t>Сезон = сентябрь–август, одна временная ось</t>
        </is>
      </c>
      <c r="C8" s="353" t="inlineStr">
        <is>
          <t>Все листы строят ось от B7; сезон = INT((n)/12)+1</t>
        </is>
      </c>
      <c r="D8" s="254" t="inlineStr">
        <is>
          <t>02_Модель!B3</t>
        </is>
      </c>
      <c r="E8" s="369" t="inlineStr">
        <is>
          <t>Соответствует</t>
        </is>
      </c>
    </row>
    <row r="9" ht="32" customHeight="1">
      <c r="A9" s="351" t="inlineStr">
        <is>
          <t>5.1</t>
        </is>
      </c>
      <c r="B9" s="353" t="inlineStr">
        <is>
          <t>Сентябрь 2026 — 0 продаж франшиз</t>
        </is>
      </c>
      <c r="C9" s="353" t="inlineStr">
        <is>
          <t>Первый месяц жёстко = 0; есть автотест</t>
        </is>
      </c>
      <c r="D9" s="254" t="inlineStr">
        <is>
          <t>04_Продажи!B15</t>
        </is>
      </c>
      <c r="E9" s="369" t="inlineStr">
        <is>
          <t>Соответствует</t>
        </is>
      </c>
    </row>
    <row r="10">
      <c r="A10" s="257" t="inlineStr">
        <is>
          <t>5.2</t>
        </is>
      </c>
      <c r="B10" s="257" t="inlineStr">
        <is>
          <t>Продажи франшиз</t>
        </is>
      </c>
      <c r="C10" s="350" t="n"/>
      <c r="D10" s="350" t="n"/>
      <c r="E10" s="350" t="n"/>
    </row>
    <row r="11" ht="32" customHeight="1">
      <c r="A11" s="351" t="inlineStr">
        <is>
          <t>5.2</t>
        </is>
      </c>
      <c r="B11" s="353" t="inlineStr">
        <is>
          <t>Планы 66 / 72 / 72 / 60 / 50</t>
        </is>
      </c>
      <c r="C11" s="353" t="inlineStr">
        <is>
          <t>66, 72, 72, 60, 50 — базы сценарных драйверов</t>
        </is>
      </c>
      <c r="D11" s="254" t="inlineStr">
        <is>
          <t>01_Вводные!B210</t>
        </is>
      </c>
      <c r="E11" s="369" t="inlineStr">
        <is>
          <t>Соответствует</t>
        </is>
      </c>
    </row>
    <row r="12" ht="32" customHeight="1">
      <c r="A12" s="351" t="inlineStr">
        <is>
          <t>5.2</t>
        </is>
      </c>
      <c r="B12" s="353" t="inlineStr">
        <is>
          <t>Сезонность нормировать так, чтобы сумма = годовому плану</t>
        </is>
      </c>
      <c r="C12" s="353" t="inlineStr">
        <is>
          <t>Строка контроля O36:O40 = 100%; 15 автотестов по сезонам</t>
        </is>
      </c>
      <c r="D12" s="254" t="inlineStr">
        <is>
          <t>13_Проверки!A4</t>
        </is>
      </c>
      <c r="E12" s="369" t="inlineStr">
        <is>
          <t>Соответствует</t>
        </is>
      </c>
    </row>
    <row r="13" ht="32" customHeight="1">
      <c r="A13" s="351" t="inlineStr">
        <is>
          <t>5.2</t>
        </is>
      </c>
      <c r="B13" s="353" t="inlineStr">
        <is>
          <t>Дробные продажи в финплане + округлённое целое в опплане</t>
        </is>
      </c>
      <c r="C13" s="353" t="inlineStr">
        <is>
          <t>Строка 15 — дробная, строка 16 — ROUND(...,0)</t>
        </is>
      </c>
      <c r="D13" s="254" t="inlineStr">
        <is>
          <t>04_Продажи!A16</t>
        </is>
      </c>
      <c r="E13" s="369" t="inlineStr">
        <is>
          <t>Соответствует</t>
        </is>
      </c>
    </row>
    <row r="14" ht="32" customHeight="1">
      <c r="A14" s="351" t="inlineStr">
        <is>
          <t>5.2</t>
        </is>
      </c>
      <c r="B14" s="353" t="inlineStr">
        <is>
          <t>Продажа, открытие и ERP — разные события; лаг 2 мес.</t>
        </is>
      </c>
      <c r="C14" s="353" t="inlineStr">
        <is>
          <t>Лаг продажа→открытие 2 мес.; лаг ERP отдельным параметром (сейчас 0)</t>
        </is>
      </c>
      <c r="D14" s="254" t="inlineStr">
        <is>
          <t>01_Вводные!B15</t>
        </is>
      </c>
      <c r="E14" s="369" t="inlineStr">
        <is>
          <t>Соответствует</t>
        </is>
      </c>
    </row>
    <row r="15" ht="32" customHeight="1">
      <c r="A15" s="351" t="inlineStr">
        <is>
          <t>5.2</t>
        </is>
      </c>
      <c r="B15" s="353" t="inlineStr">
        <is>
          <t>Сезонность из «План_продаж», строки 18-22</t>
        </is>
      </c>
      <c r="C15" s="353" t="inlineStr">
        <is>
          <t>Вектор C36:N40 задан числами; исходный лист «План_продаж» в присланных файлах отсутствует — сверить не с чем</t>
        </is>
      </c>
      <c r="D15" s="254" t="inlineStr">
        <is>
          <t>01_Вводные!C36</t>
        </is>
      </c>
      <c r="E15" s="370" t="inlineStr">
        <is>
          <t>Нет источника</t>
        </is>
      </c>
    </row>
    <row r="16">
      <c r="A16" s="257" t="inlineStr">
        <is>
          <t>5.3</t>
        </is>
      </c>
      <c r="B16" s="257" t="inlineStr">
        <is>
          <t>Партнёры, юрлица, школы и дети</t>
        </is>
      </c>
      <c r="C16" s="350" t="n"/>
      <c r="D16" s="350" t="n"/>
      <c r="E16" s="350" t="n"/>
    </row>
    <row r="17" ht="32" customHeight="1">
      <c r="A17" s="351" t="inlineStr">
        <is>
          <t>5.3</t>
        </is>
      </c>
      <c r="B17" s="353" t="inlineStr">
        <is>
          <t>Стартовое количество юрлиц 49</t>
        </is>
      </c>
      <c r="C17" s="353" t="inlineStr">
        <is>
          <t>51 — подтверждено актуализацией сети от 21.08.2026 (51 партнёр, 104 школы, 48 переподписали ДКК). Цифра 49 в ТЗ устарела. Разбор реестра — на листе 01а_Действующая_сеть</t>
        </is>
      </c>
      <c r="D17" s="254" t="inlineStr">
        <is>
          <t>01а_Действующая_сеть!A1</t>
        </is>
      </c>
      <c r="E17" s="369" t="inlineStr">
        <is>
          <t>Соответствует</t>
        </is>
      </c>
    </row>
    <row r="18" ht="32" customHeight="1">
      <c r="A18" s="351" t="inlineStr">
        <is>
          <t>5.3</t>
        </is>
      </c>
      <c r="B18" s="353" t="inlineStr">
        <is>
          <t>Стартовые дети действующей сети 5 200</t>
        </is>
      </c>
      <c r="C18" s="353" t="inlineStr">
        <is>
          <t>5 200</t>
        </is>
      </c>
      <c r="D18" s="254" t="inlineStr">
        <is>
          <t>01_Вводные!B11</t>
        </is>
      </c>
      <c r="E18" s="369" t="inlineStr">
        <is>
          <t>Соответствует</t>
        </is>
      </c>
    </row>
    <row r="19" ht="32" customHeight="1">
      <c r="A19" s="351" t="inlineStr">
        <is>
          <t>5.3</t>
        </is>
      </c>
      <c r="B19" s="353" t="inlineStr">
        <is>
          <t>Рост детей 10% г/г, сложный, пересчёт на начало сезона</t>
        </is>
      </c>
      <c r="C19" s="353" t="inlineStr">
        <is>
          <t>5200 × (1+10%)^(сезон−1), пересчёт каждый сентябрь</t>
        </is>
      </c>
      <c r="D19" s="254" t="inlineStr">
        <is>
          <t>06_Сеть_и_дети!A19</t>
        </is>
      </c>
      <c r="E19" s="369" t="inlineStr">
        <is>
          <t>Соответствует</t>
        </is>
      </c>
    </row>
    <row r="20" ht="32" customHeight="1">
      <c r="A20" s="351" t="inlineStr">
        <is>
          <t>5.3</t>
        </is>
      </c>
      <c r="B20" s="353" t="inlineStr">
        <is>
          <t>Внутри сезона — отдельный индекс посещаемости</t>
        </is>
      </c>
      <c r="C20" s="353" t="inlineStr">
        <is>
          <t>Индекс 5,9% (авг) … 100% (фев), применяется к детям</t>
        </is>
      </c>
      <c r="D20" s="254" t="inlineStr">
        <is>
          <t>01_Вводные!B44</t>
        </is>
      </c>
      <c r="E20" s="369" t="inlineStr">
        <is>
          <t>Соответствует</t>
        </is>
      </c>
    </row>
    <row r="21" ht="32" customHeight="1">
      <c r="A21" s="351" t="inlineStr">
        <is>
          <t>5.3</t>
        </is>
      </c>
      <c r="B21" s="353" t="inlineStr">
        <is>
          <t>1-й сезон ≈ 75 детей («Микс_продаж!N44»)</t>
        </is>
      </c>
      <c r="C21" s="353" t="inlineStr">
        <is>
          <t>75,05 — взвешенное среднее по 20 тарифным группам</t>
        </is>
      </c>
      <c r="D21" s="254" t="inlineStr">
        <is>
          <t>01_Вводные!B46</t>
        </is>
      </c>
      <c r="E21" s="369" t="inlineStr">
        <is>
          <t>Соответствует</t>
        </is>
      </c>
    </row>
    <row r="22" ht="32" customHeight="1">
      <c r="A22" s="351" t="inlineStr">
        <is>
          <t>5.3</t>
        </is>
      </c>
      <c r="B22" s="353" t="inlineStr">
        <is>
          <t>2-й год ≈ 165 детей («O44») — только после подтверждения</t>
        </is>
      </c>
      <c r="C22" s="353" t="inlineStr">
        <is>
          <t>165,125 применяется. Подтверждение смысла показателя в присланных файлах не зафиксировано</t>
        </is>
      </c>
      <c r="D22" s="254" t="inlineStr">
        <is>
          <t>01_Вводные!B47</t>
        </is>
      </c>
      <c r="E22" s="370" t="inlineStr">
        <is>
          <t>Нет источника</t>
        </is>
      </c>
    </row>
    <row r="23" ht="32" customHeight="1">
      <c r="A23" s="351" t="inlineStr">
        <is>
          <t>5.3</t>
        </is>
      </c>
      <c r="B23" s="353" t="inlineStr">
        <is>
          <t>Рост когорт по возрасту: 1-12, 13-24, зрелая</t>
        </is>
      </c>
      <c r="C23" s="353" t="inlineStr">
        <is>
          <t>Когорты по месяцам жизни, 25 возрастных групп</t>
        </is>
      </c>
      <c r="D23" s="254" t="inlineStr">
        <is>
          <t>06_Сеть_и_дети!A52</t>
        </is>
      </c>
      <c r="E23" s="369" t="inlineStr">
        <is>
          <t>Соответствует</t>
        </is>
      </c>
    </row>
    <row r="24" ht="32" customHeight="1">
      <c r="A24" s="351" t="inlineStr">
        <is>
          <t>5.3</t>
        </is>
      </c>
      <c r="B24" s="353" t="inlineStr">
        <is>
          <t>Закрытие школы уменьшает детей, ERP, роялти, нагрузку</t>
        </is>
      </c>
      <c r="C24" s="353" t="inlineStr">
        <is>
          <t>Механика есть, но ставка 0% — отток не заложен. По реестру от 21.08.2026 фактически ушли 12 партнёров и 18 школ. Чтобы задать ставку, нужен период оттока</t>
        </is>
      </c>
      <c r="D24" s="254" t="inlineStr">
        <is>
          <t>01а_Действующая_сеть!A1</t>
        </is>
      </c>
      <c r="E24" s="371" t="inlineStr">
        <is>
          <t>Отклонение</t>
        </is>
      </c>
    </row>
    <row r="25">
      <c r="A25" s="257" t="inlineStr">
        <is>
          <t>5.4</t>
        </is>
      </c>
      <c r="B25" s="257" t="inlineStr">
        <is>
          <t>Паушальные взносы и роялти</t>
        </is>
      </c>
      <c r="C25" s="350" t="n"/>
      <c r="D25" s="350" t="n"/>
      <c r="E25" s="350" t="n"/>
    </row>
    <row r="26" ht="32" customHeight="1">
      <c r="A26" s="351" t="inlineStr">
        <is>
          <t>5.4</t>
        </is>
      </c>
      <c r="B26" s="353" t="inlineStr">
        <is>
          <t>Средний паушальный — через взвешенный микс продуктов</t>
        </is>
      </c>
      <c r="C26" s="353" t="inlineStr">
        <is>
          <t>SUMPRODUCT(веса; паушальный) / сумма весов = 937 767 ₽ с НДС</t>
        </is>
      </c>
      <c r="D26" s="254" t="inlineStr">
        <is>
          <t>01_Вводные!B63</t>
        </is>
      </c>
      <c r="E26" s="369" t="inlineStr">
        <is>
          <t>Соответствует</t>
        </is>
      </c>
    </row>
    <row r="27" ht="32" customHeight="1">
      <c r="A27" s="351" t="inlineStr">
        <is>
          <t>5.4</t>
        </is>
      </c>
      <c r="B27" s="353" t="inlineStr">
        <is>
          <t>Роялти 6,5% для действующих на 31.12.2026 и продаж до этой даты</t>
        </is>
      </c>
      <c r="C27" s="353" t="inlineStr">
        <is>
          <t>6,5% по договорам с датой ≤ 31.12.2026</t>
        </is>
      </c>
      <c r="D27" s="254" t="inlineStr">
        <is>
          <t>01_Вводные!B55</t>
        </is>
      </c>
      <c r="E27" s="369" t="inlineStr">
        <is>
          <t>Соответствует</t>
        </is>
      </c>
    </row>
    <row r="28" ht="32" customHeight="1">
      <c r="A28" s="351" t="inlineStr">
        <is>
          <t>5.4</t>
        </is>
      </c>
      <c r="B28" s="353" t="inlineStr">
        <is>
          <t>Роялти 8,5% для новых с 01.01.2027</t>
        </is>
      </c>
      <c r="C28" s="353" t="inlineStr">
        <is>
          <t>8,5%</t>
        </is>
      </c>
      <c r="D28" s="254" t="inlineStr">
        <is>
          <t>01_Вводные!B56</t>
        </is>
      </c>
      <c r="E28" s="369" t="inlineStr">
        <is>
          <t>Соответствует</t>
        </is>
      </c>
    </row>
    <row r="29" ht="32" customHeight="1">
      <c r="A29" s="351" t="inlineStr">
        <is>
          <t>5.4</t>
        </is>
      </c>
      <c r="B29" s="353" t="inlineStr">
        <is>
          <t>С 01.01.2030 все переходят на 10%</t>
        </is>
      </c>
      <c r="C29" s="353" t="inlineStr">
        <is>
          <t>10% с 01.01.2030 для всех</t>
        </is>
      </c>
      <c r="D29" s="254" t="inlineStr">
        <is>
          <t>01_Вводные!B57</t>
        </is>
      </c>
      <c r="E29" s="369" t="inlineStr">
        <is>
          <t>Соответствует</t>
        </is>
      </c>
    </row>
    <row r="30" ht="32" customHeight="1">
      <c r="A30" s="351" t="inlineStr">
        <is>
          <t>5.4</t>
        </is>
      </c>
      <c r="B30" s="353" t="inlineStr">
        <is>
          <t>Сохранить минимальный роялти</t>
        </is>
      </c>
      <c r="C30" s="353" t="inlineStr">
        <is>
          <t>Минимум по каждой школе своей тарифной группы (новые) и MAX(% с оборота; 104 × минимум) для действующей сети</t>
        </is>
      </c>
      <c r="D30" s="254" t="inlineStr">
        <is>
          <t>01_Вводные!B53</t>
        </is>
      </c>
      <c r="E30" s="369" t="inlineStr">
        <is>
          <t>Соответствует</t>
        </is>
      </c>
    </row>
    <row r="31">
      <c r="A31" s="257" t="inlineStr">
        <is>
          <t>5.5</t>
        </is>
      </c>
      <c r="B31" s="257" t="inlineStr">
        <is>
          <t>Экипировка</t>
        </is>
      </c>
      <c r="C31" s="350" t="n"/>
      <c r="D31" s="350" t="n"/>
      <c r="E31" s="350" t="n"/>
    </row>
    <row r="32" ht="32" customHeight="1">
      <c r="A32" s="351" t="inlineStr">
        <is>
          <t>5.5</t>
        </is>
      </c>
      <c r="B32" s="353" t="inlineStr">
        <is>
          <t>Действующая сеть, сен–дек 2026 — согласованные значения</t>
        </is>
      </c>
      <c r="C32" s="353" t="inlineStr">
        <is>
          <t>5 070 / 2 550 / 1 260 / 720 комплектов, выручка и COGS заданы числами; есть автотест «мерч 2026 не менялся»</t>
        </is>
      </c>
      <c r="D32" s="254" t="inlineStr">
        <is>
          <t>01_Вводные!B99</t>
        </is>
      </c>
      <c r="E32" s="369" t="inlineStr">
        <is>
          <t>Соответствует</t>
        </is>
      </c>
    </row>
    <row r="33" ht="32" customHeight="1">
      <c r="A33" s="351" t="inlineStr">
        <is>
          <t>5.5</t>
        </is>
      </c>
      <c r="B33" s="353" t="inlineStr">
        <is>
          <t>С января 2027 — сезонность из строки 77 листа «Допущения»</t>
        </is>
      </c>
      <c r="C33" s="353" t="inlineStr">
        <is>
          <t>Вектор B94:M94 (авг 25%, сен 40%, окт 25%, ноя 10%). Лист «Допущения» в присланных файлах отсутствует — сверить не с чем</t>
        </is>
      </c>
      <c r="D33" s="254" t="inlineStr">
        <is>
          <t>01_Вводные!B94</t>
        </is>
      </c>
      <c r="E33" s="370" t="inlineStr">
        <is>
          <t>Нет источника</t>
        </is>
      </c>
    </row>
    <row r="34" ht="32" customHeight="1">
      <c r="A34" s="351" t="inlineStr">
        <is>
          <t>5.5</t>
        </is>
      </c>
      <c r="B34" s="353" t="inlineStr">
        <is>
          <t>Новые партнёры: 50% / 30% / 20% за первые три месяца</t>
        </is>
      </c>
      <c r="C34" s="353" t="inlineStr">
        <is>
          <t>0,5 / 0,3 / 0,2, контроль суммы = 100%</t>
        </is>
      </c>
      <c r="D34" s="254" t="inlineStr">
        <is>
          <t>01_Вводные!B87</t>
        </is>
      </c>
      <c r="E34" s="369" t="inlineStr">
        <is>
          <t>Соответствует</t>
        </is>
      </c>
    </row>
    <row r="35" ht="32" customHeight="1">
      <c r="A35" s="351" t="inlineStr">
        <is>
          <t>5.5</t>
        </is>
      </c>
      <c r="B35" s="353" t="inlineStr">
        <is>
          <t>Когорта не должна одновременно быть в первичной и повторной закупке</t>
        </is>
      </c>
      <c r="C35" s="353" t="inlineStr">
        <is>
          <t>Повторный заказ — с нового сезона, но не раньше трёх первичных поставок; есть автотест «в первые 4 мес. повторной формы нет»</t>
        </is>
      </c>
      <c r="D35" s="254" t="inlineStr">
        <is>
          <t>13_Проверки!A56</t>
        </is>
      </c>
      <c r="E35" s="369" t="inlineStr">
        <is>
          <t>Соответствует</t>
        </is>
      </c>
    </row>
    <row r="36" ht="32" customHeight="1">
      <c r="A36" s="351" t="inlineStr">
        <is>
          <t>5.5</t>
        </is>
      </c>
      <c r="B36" s="353" t="inlineStr">
        <is>
          <t>COGS 2 100 ₽, наценка 85%, цена 3 885 ₽</t>
        </is>
      </c>
      <c r="C36" s="353" t="inlineStr">
        <is>
          <t>2 100 × 1,85 = 3 885 ₽ (цена — формула, не константа)</t>
        </is>
      </c>
      <c r="D36" s="254" t="inlineStr">
        <is>
          <t>01_Вводные!B73</t>
        </is>
      </c>
      <c r="E36" s="369" t="inlineStr">
        <is>
          <t>Соответствует</t>
        </is>
      </c>
    </row>
    <row r="37">
      <c r="A37" s="257" t="inlineStr">
        <is>
          <t>5.6</t>
        </is>
      </c>
      <c r="B37" s="257" t="inlineStr">
        <is>
          <t>Склад и возврат займа</t>
        </is>
      </c>
      <c r="C37" s="350" t="n"/>
      <c r="D37" s="350" t="n"/>
      <c r="E37" s="350" t="n"/>
    </row>
    <row r="38" ht="32" customHeight="1">
      <c r="A38" s="351" t="inlineStr">
        <is>
          <t>5.6</t>
        </is>
      </c>
      <c r="B38" s="353" t="inlineStr">
        <is>
          <t>Стартовый запас 50 млн ₽, займ 50 млн ₽ беспроцентный</t>
        </is>
      </c>
      <c r="C38" s="353" t="inlineStr">
        <is>
          <t>50 000 000 и 50 000 000; проценты не начисляются</t>
        </is>
      </c>
      <c r="D38" s="254" t="inlineStr">
        <is>
          <t>01_Вводные!B77</t>
        </is>
      </c>
      <c r="E38" s="369" t="inlineStr">
        <is>
          <t>Соответствует</t>
        </is>
      </c>
    </row>
    <row r="39" ht="32" customHeight="1">
      <c r="A39" s="351" t="inlineStr">
        <is>
          <t>5.6</t>
        </is>
      </c>
      <c r="B39" s="353" t="inlineStr">
        <is>
          <t>60% себестоимости реализованного мерча — на возврат займа</t>
        </is>
      </c>
      <c r="C39" s="353" t="inlineStr">
        <is>
          <t>MIN(остаток займа; COGS × 60%)</t>
        </is>
      </c>
      <c r="D39" s="254" t="inlineStr">
        <is>
          <t>07_Мерч!A30</t>
        </is>
      </c>
      <c r="E39" s="369" t="inlineStr">
        <is>
          <t>Соответствует</t>
        </is>
      </c>
    </row>
    <row r="40" ht="32" customHeight="1">
      <c r="A40" s="351" t="inlineStr">
        <is>
          <t>5.6</t>
        </is>
      </c>
      <c r="B40" s="353" t="inlineStr">
        <is>
          <t>Платёж ограничен остатком займа, деньгами и запасом на 6 мес.</t>
        </is>
      </c>
      <c r="C40" s="353" t="inlineStr">
        <is>
          <t>Три ограничения одновременно; переключатель B238</t>
        </is>
      </c>
      <c r="D40" s="254" t="inlineStr">
        <is>
          <t>07_Мерч!A31</t>
        </is>
      </c>
      <c r="E40" s="369" t="inlineStr">
        <is>
          <t>Соответствует</t>
        </is>
      </c>
    </row>
    <row r="41" ht="32" customHeight="1">
      <c r="A41" s="351" t="inlineStr">
        <is>
          <t>5.6</t>
        </is>
      </c>
      <c r="B41" s="353" t="inlineStr">
        <is>
          <t>Пополнение на 6 мес. вперёд не чаще 4 раз в год</t>
        </is>
      </c>
      <c r="C41" s="353" t="inlineStr">
        <is>
          <t>4 окна закупки: февраль / май / август / ноябрь; автотест на неповторяемость месяцев</t>
        </is>
      </c>
      <c r="D41" s="254" t="inlineStr">
        <is>
          <t>01_Вводные!B82</t>
        </is>
      </c>
      <c r="E41" s="369" t="inlineStr">
        <is>
          <t>Соответствует</t>
        </is>
      </c>
    </row>
    <row r="42" ht="32" customHeight="1">
      <c r="A42" s="351" t="inlineStr">
        <is>
          <t>5.6</t>
        </is>
      </c>
      <c r="B42" s="353" t="inlineStr">
        <is>
          <t>Показать склад на начало, списание, закупки, склад на конец, целевой запас, займ на начало / погашение / конец</t>
        </is>
      </c>
      <c r="C42" s="353" t="inlineStr">
        <is>
          <t>Все восемь строк раскрыты отдельно</t>
        </is>
      </c>
      <c r="D42" s="254" t="inlineStr">
        <is>
          <t>07_Мерч!A21</t>
        </is>
      </c>
      <c r="E42" s="369" t="inlineStr">
        <is>
          <t>Соответствует</t>
        </is>
      </c>
    </row>
    <row r="43">
      <c r="A43" s="257" t="inlineStr">
        <is>
          <t>5.7</t>
        </is>
      </c>
      <c r="B43" s="257" t="inlineStr">
        <is>
          <t>ERP и операционные расходы</t>
        </is>
      </c>
      <c r="C43" s="350" t="n"/>
      <c r="D43" s="350" t="n"/>
      <c r="E43" s="350" t="n"/>
    </row>
    <row r="44" ht="32" customHeight="1">
      <c r="A44" s="351" t="inlineStr">
        <is>
          <t>5.7</t>
        </is>
      </c>
      <c r="B44" s="353" t="inlineStr">
        <is>
          <t>ERP 80 тыс. ₽ база + 3 тыс. ₽ за новую активную школу</t>
        </is>
      </c>
      <c r="C44" s="353" t="inlineStr">
        <is>
          <t>80 000 + 3 000 × (школы сверх базы)</t>
        </is>
      </c>
      <c r="D44" s="254" t="inlineStr">
        <is>
          <t>02_Модель!A37</t>
        </is>
      </c>
      <c r="E44" s="369" t="inlineStr">
        <is>
          <t>Соответствует</t>
        </is>
      </c>
    </row>
    <row r="45" ht="32" customHeight="1">
      <c r="A45" s="351" t="inlineStr">
        <is>
          <t>5.7</t>
        </is>
      </c>
      <c r="B45" s="353" t="inlineStr">
        <is>
          <t>Базовое число школ в 80 тыс. ₽ — активные на 01.09.2026</t>
        </is>
      </c>
      <c r="C45" s="353" t="inlineStr">
        <is>
          <t>104 школы, отдельным допущением</t>
        </is>
      </c>
      <c r="D45" s="254" t="inlineStr">
        <is>
          <t>01_Вводные!B106</t>
        </is>
      </c>
      <c r="E45" s="369" t="inlineStr">
        <is>
          <t>Соответствует</t>
        </is>
      </c>
    </row>
    <row r="46" ht="32" customHeight="1">
      <c r="A46" s="351" t="inlineStr">
        <is>
          <t>5.7</t>
        </is>
      </c>
      <c r="B46" s="353" t="inlineStr">
        <is>
          <t>Офис, аренда, уборка, парковка — без изменений до переезда</t>
        </is>
      </c>
      <c r="C46" s="353" t="inlineStr">
        <is>
          <t>390 000 ₽/мес. фиксировано, из индексации исключено; есть автотест</t>
        </is>
      </c>
      <c r="D46" s="254" t="inlineStr">
        <is>
          <t>13_Проверки!A59</t>
        </is>
      </c>
      <c r="E46" s="369" t="inlineStr">
        <is>
          <t>Соответствует</t>
        </is>
      </c>
    </row>
    <row r="47" ht="32" customHeight="1">
      <c r="A47" s="351" t="inlineStr">
        <is>
          <t>5.7</t>
        </is>
      </c>
      <c r="B47" s="353" t="inlineStr">
        <is>
          <t>Юристы/аудит/бухгалтерия 40 тыс.; IT 80 тыс. отдельной строкой</t>
        </is>
      </c>
      <c r="C47" s="353" t="inlineStr">
        <is>
          <t>40 000 и 80 000, отдельными строками БДР</t>
        </is>
      </c>
      <c r="D47" s="254" t="inlineStr">
        <is>
          <t>01_Вводные!B109</t>
        </is>
      </c>
      <c r="E47" s="369" t="inlineStr">
        <is>
          <t>Соответствует</t>
        </is>
      </c>
    </row>
    <row r="48" ht="32" customHeight="1">
      <c r="A48" s="351" t="inlineStr">
        <is>
          <t>5.7</t>
        </is>
      </c>
      <c r="B48" s="353" t="inlineStr">
        <is>
          <t>Маркетинг/SMM 100 тыс. до 31.08.2027, далее штатный SMM 100 тыс. на руки + подрядчики 40 тыс.</t>
        </is>
      </c>
      <c r="C48" s="353" t="inlineStr">
        <is>
          <t>100 000 → 40 000 с 01.09.2027; штатный SMM выходит 01.09.2027</t>
        </is>
      </c>
      <c r="D48" s="254" t="inlineStr">
        <is>
          <t>01_Вводные!B111</t>
        </is>
      </c>
      <c r="E48" s="369" t="inlineStr">
        <is>
          <t>Соответствует</t>
        </is>
      </c>
    </row>
    <row r="49">
      <c r="A49" s="257" t="inlineStr">
        <is>
          <t>6.1</t>
        </is>
      </c>
      <c r="B49" s="257" t="inlineStr">
        <is>
          <t>Ядро и новые роли</t>
        </is>
      </c>
      <c r="C49" s="350" t="n"/>
      <c r="D49" s="350" t="n"/>
      <c r="E49" s="350" t="n"/>
    </row>
    <row r="50" ht="32" customHeight="1">
      <c r="A50" s="351" t="inlineStr">
        <is>
          <t>6.1</t>
        </is>
      </c>
      <c r="B50" s="353" t="inlineStr">
        <is>
          <t>Ядро и оклады как в v5; Левон — проектный менеджер, оклад сохранён</t>
        </is>
      </c>
      <c r="C50" s="353" t="inlineStr">
        <is>
          <t>13 человек, Левон в роли проектного менеджера с окладом 126 436 ₽</t>
        </is>
      </c>
      <c r="D50" s="254" t="inlineStr">
        <is>
          <t>01_Вводные!B141</t>
        </is>
      </c>
      <c r="E50" s="369" t="inlineStr">
        <is>
          <t>Соответствует</t>
        </is>
      </c>
    </row>
    <row r="51" ht="32" customHeight="1">
      <c r="A51" s="351" t="inlineStr">
        <is>
          <t>6.1</t>
        </is>
      </c>
      <c r="B51" s="353" t="inlineStr">
        <is>
          <t>Офис-менеджер 70 тыс. на руки с 01.01.2027</t>
        </is>
      </c>
      <c r="C51" s="353" t="inlineStr">
        <is>
          <t>70 000 net, дата выхода 01.01.2027</t>
        </is>
      </c>
      <c r="D51" s="254" t="inlineStr">
        <is>
          <t>01_Вводные!B133</t>
        </is>
      </c>
      <c r="E51" s="369" t="inlineStr">
        <is>
          <t>Соответствует</t>
        </is>
      </c>
    </row>
    <row r="52" ht="32" customHeight="1">
      <c r="A52" s="351" t="inlineStr">
        <is>
          <t>6.1</t>
        </is>
      </c>
      <c r="B52" s="353" t="inlineStr">
        <is>
          <t>SMM 100 тыс. на руки с 01.09.2027</t>
        </is>
      </c>
      <c r="C52" s="353" t="inlineStr">
        <is>
          <t>100 000 net, дата выхода 01.09.2027</t>
        </is>
      </c>
      <c r="D52" s="254" t="inlineStr">
        <is>
          <t>01_Вводные!B134</t>
        </is>
      </c>
      <c r="E52" s="369" t="inlineStr">
        <is>
          <t>Соответствует</t>
        </is>
      </c>
    </row>
    <row r="53" ht="32" customHeight="1">
      <c r="A53" s="351" t="inlineStr">
        <is>
          <t>6.1</t>
        </is>
      </c>
      <c r="B53" s="353" t="inlineStr">
        <is>
          <t>Оклад ГД +100 тыс. на руки с 01.01.2028</t>
        </is>
      </c>
      <c r="C53" s="353" t="inlineStr">
        <is>
          <t>100 000 net с 01.01.2028</t>
        </is>
      </c>
      <c r="D53" s="254" t="inlineStr">
        <is>
          <t>01_Вводные!B135</t>
        </is>
      </c>
      <c r="E53" s="369" t="inlineStr">
        <is>
          <t>Соответствует</t>
        </is>
      </c>
    </row>
    <row r="54" ht="32" customHeight="1">
      <c r="A54" s="351" t="inlineStr">
        <is>
          <t>6.1</t>
        </is>
      </c>
      <c r="B54" s="353" t="inlineStr">
        <is>
          <t>Индексация окладов 1 сентября с 01.09.2027, ежегодно</t>
        </is>
      </c>
      <c r="C54" s="353" t="inlineStr">
        <is>
          <t>Первая 01.09.2027, далее каждый сентябрь, 7%</t>
        </is>
      </c>
      <c r="D54" s="254" t="inlineStr">
        <is>
          <t>01_Вводные!B251</t>
        </is>
      </c>
      <c r="E54" s="369" t="inlineStr">
        <is>
          <t>Соответствует</t>
        </is>
      </c>
    </row>
    <row r="55">
      <c r="A55" s="257" t="inlineStr">
        <is>
          <t>6.2</t>
        </is>
      </c>
      <c r="B55" s="257" t="inlineStr">
        <is>
          <t>Менеджеры развития</t>
        </is>
      </c>
      <c r="C55" s="350" t="n"/>
      <c r="D55" s="350" t="n"/>
      <c r="E55" s="350" t="n"/>
    </row>
    <row r="56" ht="32" customHeight="1">
      <c r="A56" s="351" t="inlineStr">
        <is>
          <t>6.2</t>
        </is>
      </c>
      <c r="B56" s="353" t="inlineStr">
        <is>
          <t>Один менеджер на 35 активных юрлиц</t>
        </is>
      </c>
      <c r="C56" s="353" t="inlineStr">
        <is>
          <t>35 юрлиц на менеджера</t>
        </is>
      </c>
      <c r="D56" s="254" t="inlineStr">
        <is>
          <t>01_Вводные!B117</t>
        </is>
      </c>
      <c r="E56" s="369" t="inlineStr">
        <is>
          <t>Соответствует</t>
        </is>
      </c>
    </row>
    <row r="57" ht="32" customHeight="1">
      <c r="A57" s="351" t="inlineStr">
        <is>
          <t>6.2</t>
        </is>
      </c>
      <c r="B57" s="353" t="inlineStr">
        <is>
          <t>После перевода Левона остаются два менеджера развития</t>
        </is>
      </c>
      <c r="C57" s="353" t="inlineStr">
        <is>
          <t>База 2 менеджера</t>
        </is>
      </c>
      <c r="D57" s="254" t="inlineStr">
        <is>
          <t>01_Вводные!B118</t>
        </is>
      </c>
      <c r="E57" s="369" t="inlineStr">
        <is>
          <t>Соответствует</t>
        </is>
      </c>
    </row>
    <row r="58" ht="32" customHeight="1">
      <c r="A58" s="351" t="inlineStr">
        <is>
          <t>6.2</t>
        </is>
      </c>
      <c r="B58" s="353" t="inlineStr">
        <is>
          <t>Найм на 70, 105, 140 юрлиц — опережающий на границе загрузки</t>
        </is>
      </c>
      <c r="C58" s="353" t="inlineStr">
        <is>
          <t>INT(юрлица / 35) + 1: найм ровно в месяц достижения 70, 105, 140</t>
        </is>
      </c>
      <c r="D58" s="254" t="inlineStr">
        <is>
          <t>08_ФОТ!A10</t>
        </is>
      </c>
      <c r="E58" s="369" t="inlineStr">
        <is>
          <t>Соответствует</t>
        </is>
      </c>
    </row>
    <row r="59" ht="32" customHeight="1">
      <c r="A59" s="351" t="inlineStr">
        <is>
          <t>6.2</t>
        </is>
      </c>
      <c r="B59" s="353" t="inlineStr">
        <is>
          <t>Комиссия агентства = один месячный оклад gross</t>
        </is>
      </c>
      <c r="C59" s="353" t="inlineStr">
        <is>
          <t>Коэффициент 1,00× gross</t>
        </is>
      </c>
      <c r="D59" s="254" t="inlineStr">
        <is>
          <t>01_Вводные!B120</t>
        </is>
      </c>
      <c r="E59" s="369" t="inlineStr">
        <is>
          <t>Соответствует</t>
        </is>
      </c>
    </row>
    <row r="60">
      <c r="A60" s="257" t="inlineStr">
        <is>
          <t>6.3</t>
        </is>
      </c>
      <c r="B60" s="257" t="inlineStr">
        <is>
          <t>Разовые кадровые расходы</t>
        </is>
      </c>
      <c r="C60" s="350" t="n"/>
      <c r="D60" s="350" t="n"/>
      <c r="E60" s="350" t="n"/>
    </row>
    <row r="61" ht="32" customHeight="1">
      <c r="A61" s="351" t="inlineStr">
        <is>
          <t>6.3</t>
        </is>
      </c>
      <c r="B61" s="353" t="inlineStr">
        <is>
          <t>240 тыс. ₽ в октябре 2026 на замену директора по маркетингу</t>
        </is>
      </c>
      <c r="C61" s="353" t="inlineStr">
        <is>
          <t>240 000 ₽, дата 01.10.2026</t>
        </is>
      </c>
      <c r="D61" s="254" t="inlineStr">
        <is>
          <t>01_Вводные!B121</t>
        </is>
      </c>
      <c r="E61" s="369" t="inlineStr">
        <is>
          <t>Соответствует</t>
        </is>
      </c>
    </row>
    <row r="62" ht="32" customHeight="1">
      <c r="A62" s="351" t="inlineStr">
        <is>
          <t>6.3</t>
        </is>
      </c>
      <c r="B62" s="353" t="inlineStr">
        <is>
          <t>Резерв на ротацию 350 тыс. ₽ в год</t>
        </is>
      </c>
      <c r="C62" s="353" t="inlineStr">
        <is>
          <t>350 000 ₽ раз в год, в сентябре</t>
        </is>
      </c>
      <c r="D62" s="254" t="inlineStr">
        <is>
          <t>01_Вводные!B122</t>
        </is>
      </c>
      <c r="E62" s="369" t="inlineStr">
        <is>
          <t>Соответствует</t>
        </is>
      </c>
    </row>
    <row r="63">
      <c r="A63" s="257" t="inlineStr">
        <is>
          <t>6.4</t>
        </is>
      </c>
      <c r="B63" s="257" t="inlineStr">
        <is>
          <t>Премии</t>
        </is>
      </c>
      <c r="C63" s="350" t="n"/>
      <c r="D63" s="350" t="n"/>
      <c r="E63" s="350" t="n"/>
    </row>
    <row r="64" ht="32" customHeight="1">
      <c r="A64" s="351" t="inlineStr">
        <is>
          <t>6.4</t>
        </is>
      </c>
      <c r="B64" s="353" t="inlineStr">
        <is>
          <t>Менеджеры развития: 25 тыс. на руки до 31.12.2026, далее 30 тыс.; НДФЛ и взносы учитывать. Левон входит</t>
        </is>
      </c>
      <c r="C64" s="353" t="inlineStr">
        <is>
          <t>net → gross через 0,87, взносы 30% сверху; в базе (2 + новые + Левон)</t>
        </is>
      </c>
      <c r="D64" s="254" t="inlineStr">
        <is>
          <t>08_ФОТ!A15</t>
        </is>
      </c>
      <c r="E64" s="369" t="inlineStr">
        <is>
          <t>Соответствует</t>
        </is>
      </c>
    </row>
    <row r="65" ht="32" customHeight="1">
      <c r="A65" s="351" t="inlineStr">
        <is>
          <t>6.4</t>
        </is>
      </c>
      <c r="B65" s="353" t="inlineStr">
        <is>
          <t>Евгений: при 2+ продажах 4% паушальных за вычетом НДС; «на руки получит 4% минус все налоги»</t>
        </is>
      </c>
      <c r="C65" s="353" t="inlineStr">
        <is>
          <t>4% считается как gross, взносы 30% начисляются СВЕРХУ. Стоимость компании 5,2% базы вместо 4,0% по ТЗ</t>
        </is>
      </c>
      <c r="D65" s="254" t="inlineStr">
        <is>
          <t>08_ФОТ!A17</t>
        </is>
      </c>
      <c r="E65" s="371" t="inlineStr">
        <is>
          <t>Отклонение</t>
        </is>
      </c>
    </row>
    <row r="66" ht="32" customHeight="1">
      <c r="A66" s="351" t="inlineStr">
        <is>
          <t>6.4</t>
        </is>
      </c>
      <c r="B66" s="353" t="inlineStr">
        <is>
          <t>Отдельные схемы не должны давать двойную премию за одни и те же продажи</t>
        </is>
      </c>
      <c r="C66" s="353" t="inlineStr">
        <is>
          <t>При продажах ≥ 5 срабатывают ОБА: Евгению 4% и продавцу 5% с одной и той же паушальной выручки. Это 28 месяцев из 60</t>
        </is>
      </c>
      <c r="D66" s="254" t="inlineStr">
        <is>
          <t>13_Проверки!A71</t>
        </is>
      </c>
      <c r="E66" s="371" t="inlineStr">
        <is>
          <t>Отклонение</t>
        </is>
      </c>
    </row>
    <row r="67" ht="32" customHeight="1">
      <c r="A67" s="351" t="inlineStr">
        <is>
          <t>6.4</t>
        </is>
      </c>
      <c r="B67" s="353" t="inlineStr">
        <is>
          <t>При 5+ продажах временный продавец: 80 тыс. на руки + 5%, налоги аналогично. Временный подрядчик</t>
        </is>
      </c>
      <c r="C67" s="353" t="inlineStr">
        <is>
          <t>Статус ИП: 80 000 + 5% базы, взносов нет — соответствует ТЗ. При переключении на «Сотрудник» 5% так же обрастает взносами сверху</t>
        </is>
      </c>
      <c r="D67" s="254" t="inlineStr">
        <is>
          <t>08_ФОТ!A19</t>
        </is>
      </c>
      <c r="E67" s="369" t="inlineStr">
        <is>
          <t>Соответствует</t>
        </is>
      </c>
    </row>
    <row r="68" ht="32" customHeight="1">
      <c r="A68" s="351" t="inlineStr">
        <is>
          <t>6.4</t>
        </is>
      </c>
      <c r="B68" s="353" t="inlineStr">
        <is>
          <t>Квартальные премии 60% месячного оклада с 01.10.2027, первая выплата за IV кв. 2027 в декабре 2027</t>
        </is>
      </c>
      <c r="C68" s="353" t="inlineStr">
        <is>
          <t>0,60× месячного gross, первая выплата 01.12.2027, далее раз в квартал</t>
        </is>
      </c>
      <c r="D68" s="254" t="inlineStr">
        <is>
          <t>01_Вводные!B130</t>
        </is>
      </c>
      <c r="E68" s="369" t="inlineStr">
        <is>
          <t>Соответствует</t>
        </is>
      </c>
    </row>
    <row r="69" ht="32" customHeight="1">
      <c r="A69" s="351" t="inlineStr">
        <is>
          <t>6.4</t>
        </is>
      </c>
      <c r="B69" s="353" t="inlineStr">
        <is>
          <t>Отдельные схемы не должны получать двойную премию</t>
        </is>
      </c>
      <c r="C69" s="353" t="inlineStr">
        <is>
          <t>У Левона, двух менеджеров развития и Евгения квартальная премия «Нет»; есть автотест</t>
        </is>
      </c>
      <c r="D69" s="254" t="inlineStr">
        <is>
          <t>13_Проверки!A43</t>
        </is>
      </c>
      <c r="E69" s="369" t="inlineStr">
        <is>
          <t>Соответствует</t>
        </is>
      </c>
    </row>
    <row r="70">
      <c r="A70" s="257" t="inlineStr">
        <is>
          <t>7</t>
        </is>
      </c>
      <c r="B70" s="257" t="inlineStr">
        <is>
          <t>Маркетинг и воронка</t>
        </is>
      </c>
      <c r="C70" s="350" t="n"/>
      <c r="D70" s="350" t="n"/>
      <c r="E70" s="350" t="n"/>
    </row>
    <row r="71" ht="32" customHeight="1">
      <c r="A71" s="351" t="inlineStr">
        <is>
          <t>7</t>
        </is>
      </c>
      <c r="B71" s="353" t="inlineStr">
        <is>
          <t>Таргет за два месяца до продажи, 160 тыс. ₽ на продажу</t>
        </is>
      </c>
      <c r="C71" s="353" t="inlineStr">
        <is>
          <t>160 000 ₽ × продажи месяца M, расход в M−2. Для октября 2026 модель добавила исключение M−1 (в ТЗ этого нет)</t>
        </is>
      </c>
      <c r="D71" s="254" t="inlineStr">
        <is>
          <t>01_Вводные!B26</t>
        </is>
      </c>
      <c r="E71" s="372" t="inlineStr">
        <is>
          <t>Нет в ТЗ</t>
        </is>
      </c>
    </row>
    <row r="72" ht="32" customHeight="1">
      <c r="A72" s="351" t="inlineStr">
        <is>
          <t>7</t>
        </is>
      </c>
      <c r="B72" s="353" t="inlineStr">
        <is>
          <t>БИБОСС 250 тыс. октябрь, TopFranchise 250 тыс. ноябрь, Forbes 250 тыс. декабрь, ежегодно</t>
        </is>
      </c>
      <c r="C72" s="353" t="inlineStr">
        <is>
          <t>250 000 × 3, месяцы 10 / 11 / 12, каждый год</t>
        </is>
      </c>
      <c r="D72" s="254" t="inlineStr">
        <is>
          <t>01_Вводные!B28</t>
        </is>
      </c>
      <c r="E72" s="369" t="inlineStr">
        <is>
          <t>Соответствует</t>
        </is>
      </c>
    </row>
    <row r="73" ht="32" customHeight="1">
      <c r="A73" s="351" t="inlineStr">
        <is>
          <t>7</t>
        </is>
      </c>
      <c r="B73" s="353" t="inlineStr">
        <is>
          <t>Конверсия лид→продажа 3%; лиды = продажи / 3%, округление вверх</t>
        </is>
      </c>
      <c r="C73" s="353" t="inlineStr">
        <is>
          <t>3%, ROUNDUP; лиды показаны и помесячно, и в воронке</t>
        </is>
      </c>
      <c r="D73" s="254" t="inlineStr">
        <is>
          <t>04_Продажи!A17</t>
        </is>
      </c>
      <c r="E73" s="369" t="inlineStr">
        <is>
          <t>Соответствует</t>
        </is>
      </c>
    </row>
    <row r="74">
      <c r="A74" s="257" t="inlineStr">
        <is>
          <t>8</t>
        </is>
      </c>
      <c r="B74" s="257" t="inlineStr">
        <is>
          <t>Дебиторка, кредиторка, налоги</t>
        </is>
      </c>
      <c r="C74" s="350" t="n"/>
      <c r="D74" s="350" t="n"/>
      <c r="E74" s="350" t="n"/>
    </row>
    <row r="75" ht="32" customHeight="1">
      <c r="A75" s="351" t="inlineStr">
        <is>
          <t>8</t>
        </is>
      </c>
      <c r="B75" s="353" t="inlineStr">
        <is>
          <t>Разделять начисление (БДР) и движение денег (БДДС)</t>
        </is>
      </c>
      <c r="C75" s="353" t="inlineStr">
        <is>
          <t>Два блока на одном листе + мост БДР→БДДС со сверкой в ноль</t>
        </is>
      </c>
      <c r="D75" s="254" t="inlineStr">
        <is>
          <t>02_Модель!A85</t>
        </is>
      </c>
      <c r="E75" s="369" t="inlineStr">
        <is>
          <t>Соответствует</t>
        </is>
      </c>
    </row>
    <row r="76" ht="32" customHeight="1">
      <c r="A76" s="351" t="inlineStr">
        <is>
          <t>8</t>
        </is>
      </c>
      <c r="B76" s="353" t="inlineStr">
        <is>
          <t>Дебиторка и кредиторка базово 15 дней</t>
        </is>
      </c>
      <c r="C76" s="353" t="inlineStr">
        <is>
          <t>15 дней обе; распределение между текущим и следующим месяцем</t>
        </is>
      </c>
      <c r="D76" s="254" t="inlineStr">
        <is>
          <t>01_Вводные!B19</t>
        </is>
      </c>
      <c r="E76" s="369" t="inlineStr">
        <is>
          <t>Соответствует</t>
        </is>
      </c>
    </row>
    <row r="77" ht="32" customHeight="1">
      <c r="A77" s="351" t="inlineStr">
        <is>
          <t>8</t>
        </is>
      </c>
      <c r="B77" s="353" t="inlineStr">
        <is>
          <t>Паушальный взнос поступает в месяц продажи</t>
        </is>
      </c>
      <c r="C77" s="353" t="inlineStr">
        <is>
          <t>Поступление = начисление того же месяца</t>
        </is>
      </c>
      <c r="D77" s="254" t="inlineStr">
        <is>
          <t>02_Модель!A52</t>
        </is>
      </c>
      <c r="E77" s="369" t="inlineStr">
        <is>
          <t>Соответствует</t>
        </is>
      </c>
    </row>
    <row r="78" ht="32" customHeight="1">
      <c r="A78" s="351" t="inlineStr">
        <is>
          <t>8</t>
        </is>
      </c>
      <c r="B78" s="353" t="inlineStr">
        <is>
          <t>Ставки налогов</t>
        </is>
      </c>
      <c r="C78" s="353" t="inlineStr">
        <is>
          <t>НДС 5%, УСН 15% / минимальный 1% — в ТЗ v6.0 ставок нет, в модели помечены «Временно, требует налоговой сверки»</t>
        </is>
      </c>
      <c r="D78" s="254" t="inlineStr">
        <is>
          <t>01_Вводные!B58</t>
        </is>
      </c>
      <c r="E78" s="372" t="inlineStr">
        <is>
          <t>Нет в ТЗ</t>
        </is>
      </c>
    </row>
    <row r="79">
      <c r="A79" s="257" t="inlineStr">
        <is>
          <t>9</t>
        </is>
      </c>
      <c r="B79" s="257" t="inlineStr">
        <is>
          <t>Лагеря</t>
        </is>
      </c>
      <c r="C79" s="350" t="n"/>
      <c r="D79" s="350" t="n"/>
      <c r="E79" s="350" t="n"/>
    </row>
    <row r="80" ht="32" customHeight="1">
      <c r="A80" s="351" t="inlineStr">
        <is>
          <t>9</t>
        </is>
      </c>
      <c r="B80" s="353" t="inlineStr">
        <is>
          <t>ОТКЛЮЧЕНО по запросу 09.09.2026</t>
        </is>
      </c>
      <c r="C80" s="353" t="inlineStr">
        <is>
          <t>01_Вводные!B241 = «Нет». Блок посчитан и сохранён, но обнулён: выручка, EBITDA, поступления и оплаты лагерей = 0. Вернуть одним переключателем</t>
        </is>
      </c>
      <c r="D80" s="254" t="inlineStr">
        <is>
          <t>01_Вводные!B241</t>
        </is>
      </c>
      <c r="E80" s="372" t="inlineStr">
        <is>
          <t>Нет в ТЗ</t>
        </is>
      </c>
    </row>
    <row r="81" ht="32" customHeight="1">
      <c r="A81" s="351" t="inlineStr">
        <is>
          <t>9</t>
        </is>
      </c>
      <c r="B81" s="353" t="inlineStr">
        <is>
          <t>Лагеря в июне, 2 смены по 100 человек</t>
        </is>
      </c>
      <c r="C81" s="353" t="inlineStr">
        <is>
          <t>2 смены; 50 без проживания + 50 с проживанием = 100 чел./смена</t>
        </is>
      </c>
      <c r="D81" s="254" t="inlineStr">
        <is>
          <t>01_Вводные!B161</t>
        </is>
      </c>
      <c r="E81" s="369" t="inlineStr">
        <is>
          <t>Соответствует</t>
        </is>
      </c>
    </row>
    <row r="82" ht="32" customHeight="1">
      <c r="A82" s="351" t="inlineStr">
        <is>
          <t>9</t>
        </is>
      </c>
      <c r="B82" s="353" t="inlineStr">
        <is>
          <t>Продажи с февраля равными долями до мая включительно</t>
        </is>
      </c>
      <c r="C82" s="353" t="inlineStr">
        <is>
          <t>Первый месяц 2, последний 5, равные доли</t>
        </is>
      </c>
      <c r="D82" s="254" t="inlineStr">
        <is>
          <t>01_Вводные!B253</t>
        </is>
      </c>
      <c r="E82" s="369" t="inlineStr">
        <is>
          <t>Соответствует</t>
        </is>
      </c>
    </row>
    <row r="83" ht="32" customHeight="1">
      <c r="A83" s="351" t="inlineStr">
        <is>
          <t>9</t>
        </is>
      </c>
      <c r="B83" s="353" t="inlineStr">
        <is>
          <t>Оплаты клиентов авансом 40/60</t>
        </is>
      </c>
      <c r="C83" s="353" t="inlineStr">
        <is>
          <t>Аванс 40% при продаже, финальные 60% в мае</t>
        </is>
      </c>
      <c r="D83" s="254" t="inlineStr">
        <is>
          <t>01_Вводные!B171</t>
        </is>
      </c>
      <c r="E83" s="369" t="inlineStr">
        <is>
          <t>Соответствует</t>
        </is>
      </c>
    </row>
    <row r="84" ht="32" customHeight="1">
      <c r="A84" s="351" t="inlineStr">
        <is>
          <t>9</t>
        </is>
      </c>
      <c r="B84" s="353" t="inlineStr">
        <is>
          <t>Оплата проживания 40/60, первая в марте</t>
        </is>
      </c>
      <c r="C84" s="353" t="inlineStr">
        <is>
          <t>40% в марте, 60% в мае</t>
        </is>
      </c>
      <c r="D84" s="254" t="inlineStr">
        <is>
          <t>01_Вводные!B174</t>
        </is>
      </c>
      <c r="E84" s="369" t="inlineStr">
        <is>
          <t>Соответствует</t>
        </is>
      </c>
    </row>
    <row r="85" ht="32" customHeight="1">
      <c r="A85" s="351" t="inlineStr">
        <is>
          <t>9</t>
        </is>
      </c>
      <c r="B85" s="353" t="inlineStr">
        <is>
          <t>Цены и расходы смены</t>
        </is>
      </c>
      <c r="C85" s="353" t="inlineStr">
        <is>
          <t>80 000 / 120 000 ₽, расходы 5 386 000 ₽, проживание 700 000 ₽, доля партнёра 12,5% — источник «Лагеря Спартак Будущее» не прислан</t>
        </is>
      </c>
      <c r="D85" s="254" t="inlineStr">
        <is>
          <t>01_Вводные!B164</t>
        </is>
      </c>
      <c r="E85" s="370" t="inlineStr">
        <is>
          <t>Нет источника</t>
        </is>
      </c>
    </row>
    <row r="86">
      <c r="A86" s="257" t="inlineStr">
        <is>
          <t>10</t>
        </is>
      </c>
      <c r="B86" s="257" t="inlineStr">
        <is>
          <t>История сезона 25/26</t>
        </is>
      </c>
      <c r="C86" s="350" t="n"/>
      <c r="D86" s="350" t="n"/>
      <c r="E86" s="350" t="n"/>
    </row>
    <row r="87" ht="32" customHeight="1">
      <c r="A87" s="351" t="inlineStr">
        <is>
          <t>10</t>
        </is>
      </c>
      <c r="B87" s="353" t="inlineStr">
        <is>
          <t>Показать результат в двух вариациях: с 01.09.2025 и с 01.09.2026</t>
        </is>
      </c>
      <c r="C87" s="353" t="inlineStr">
        <is>
          <t>Переключатель «Без истории / С историей» на дашборде</t>
        </is>
      </c>
      <c r="D87" s="254" t="inlineStr">
        <is>
          <t>01_Вводные!B188</t>
        </is>
      </c>
      <c r="E87" s="369" t="inlineStr">
        <is>
          <t>Соответствует</t>
        </is>
      </c>
    </row>
    <row r="88" ht="32" customHeight="1">
      <c r="A88" s="351" t="inlineStr">
        <is>
          <t>10</t>
        </is>
      </c>
      <c r="B88" s="353" t="inlineStr">
        <is>
          <t>Факт P&amp;L июнь и июль 2026</t>
        </is>
      </c>
      <c r="C88" s="353" t="inlineStr">
        <is>
          <t>Все 6 строк обоих месяцев совпадают с присланными отчётами до рубля</t>
        </is>
      </c>
      <c r="D88" s="254" t="inlineStr">
        <is>
          <t>01_Вводные!K181</t>
        </is>
      </c>
      <c r="E88" s="369" t="inlineStr">
        <is>
          <t>Соответствует</t>
        </is>
      </c>
    </row>
    <row r="89" ht="32" customHeight="1">
      <c r="A89" s="351" t="inlineStr">
        <is>
          <t>10</t>
        </is>
      </c>
      <c r="B89" s="353" t="inlineStr">
        <is>
          <t>Факт ДДС январь–июль 2026</t>
        </is>
      </c>
      <c r="C89" s="353" t="inlineStr">
        <is>
          <t>Чистый денежный поток всех 7 месяцев совпадает с ДДС до рубля</t>
        </is>
      </c>
      <c r="D89" s="254" t="inlineStr">
        <is>
          <t>01_Вводные!F187</t>
        </is>
      </c>
      <c r="E89" s="369" t="inlineStr">
        <is>
          <t>Соответствует</t>
        </is>
      </c>
    </row>
    <row r="90" ht="32" customHeight="1">
      <c r="A90" s="351" t="inlineStr">
        <is>
          <t>10</t>
        </is>
      </c>
      <c r="B90" s="353" t="inlineStr">
        <is>
          <t>Стартовый денежный остаток</t>
        </is>
      </c>
      <c r="C90" s="353" t="inlineStr">
        <is>
          <t>187 878 ₽ — «Общий остаток на конец» из ДДС на 02.07.2026. Требует обновления на 31.08.2026</t>
        </is>
      </c>
      <c r="D90" s="254" t="inlineStr">
        <is>
          <t>01_Вводные!B17</t>
        </is>
      </c>
      <c r="E90" s="369" t="inlineStr">
        <is>
          <t>Соответствует</t>
        </is>
      </c>
    </row>
    <row r="92">
      <c r="A92" s="228" t="inlineStr">
        <is>
          <t>Открытые решения — цифры не менялись, жду ответа</t>
        </is>
      </c>
    </row>
    <row r="93" ht="104" customHeight="1">
      <c r="A93" s="373" t="inlineStr">
        <is>
          <t>!</t>
        </is>
      </c>
      <c r="B93" s="246" t="inlineStr">
        <is>
          <t>Отток сети не заложен: 0% против 18 ушедших школ</t>
        </is>
      </c>
      <c r="C93" s="245" t="inlineStr">
        <is>
          <t>Реестр от 21.08.2026: ушли 12 партнёров и 18 школ по пяти причинам, из них 7 школ — по инициативе самой УК. В модели 01_Вводные!B13 = 0% в год, хотя ТЗ 5.3 прямо требует, чтобы закрытие уменьшало детей, ERP, роялти и нагрузку менеджеров. Механика в модели есть и работает — нужна только ставка, а для неё период оттока. Плюс 3 партнёра (Кармадонов, ФСАНО, Пинчук) ещё не переподписали ДКК. Подробности — на листе 01а_Действующая_сеть.</t>
        </is>
      </c>
    </row>
    <row r="94" ht="104" customHeight="1">
      <c r="A94" s="373" t="inlineStr">
        <is>
          <t>!</t>
        </is>
      </c>
      <c r="B94" s="246" t="inlineStr">
        <is>
          <t>Двойная премия: 4% + 5% с одной и той же выручки</t>
        </is>
      </c>
      <c r="C94" s="245" t="inlineStr">
        <is>
          <t>ТЗ 6.4 и прямая просьба 09.09.2026: «хочу исключить двойную премию, чтобы за одни и те же продажи не было для Жени 4% и для этого менеджера 5%». Сейчас двойная премия ЕСТЬ: премия Евгения срабатывает от 2 продаж, временный продавец — от 5, и в месяцах с 5+ продажами обе начисляются на одну и ту же паушальную выручку. Это 28 месяцев из 60 и около 18 млн ₽ премий за горизонт. Нужно решить, как делить базу: см. три варианта в docs/Ответы_на_разбор_09.09.2026.md</t>
        </is>
      </c>
    </row>
    <row r="95" ht="104" customHeight="1">
      <c r="A95" s="373" t="inlineStr">
        <is>
          <t>!</t>
        </is>
      </c>
      <c r="B95" s="246" t="inlineStr">
        <is>
          <t>Премия Евгения: 5,2% стоимости вместо 4,0% по ТЗ</t>
        </is>
      </c>
      <c r="C95" s="245" t="inlineStr">
        <is>
          <t>ТЗ v6.0 п.6.4: «премия 4% от суммы паушальных взносов этого месяца. Вычитать из этой выручки ндс, фсс, ндфл., т.е. на руки получит 4% минус все налоги». То есть 4% — это весь бюджет, страховые взносы берутся ИЗ него. В модели 4% считается как gross, а взносы 30% начисляются сверху: 08_ФОТ!B18 = B17 × 30%. Итого компания платит 5,2% базы. Сравните с премией менеджеров развития в том же п.6.4: там ТЗ говорит «на руки», и начисление сверху правильно. Исправление — одна формула: 08_ФОТ!B17 разделить на (1 + взносы), тогда B17 + B18 = ровно 4% базы.</t>
        </is>
      </c>
    </row>
    <row r="97">
      <c r="A97" s="228" t="inlineStr">
        <is>
          <t>Чего в присланных источниках нет</t>
        </is>
      </c>
    </row>
    <row r="98" ht="30" customHeight="1">
      <c r="B98" s="245" t="inlineStr">
        <is>
          <t>• Лист «План_продаж» строки 18-22 — вектор сезонности продаж франшиз (ТЗ 5.2). В модели вектор задан числами, сверить не с чем.</t>
        </is>
      </c>
    </row>
    <row r="99" ht="30" customHeight="1">
      <c r="B99" s="245" t="inlineStr">
        <is>
          <t>• Лист «Допущения» строка 77 — сезонность повторных продаж формы с января 2027 (ТЗ 5.5).</t>
        </is>
      </c>
    </row>
    <row r="100" ht="30" customHeight="1">
      <c r="B100" s="245" t="inlineStr">
        <is>
          <t>• Файл «Экипировка Спартак» и таблица плана мерча до 31.12.2026 (ссылка на Google Sheets в ТЗ 5.6) — согласованные значения сен–дек 2026 в модели есть, первоисточника нет.</t>
        </is>
      </c>
    </row>
    <row r="101" ht="30" customHeight="1">
      <c r="B101" s="245" t="inlineStr">
        <is>
          <t>• Файл «Лагеря Спартак Будущее» (ссылка в ТЗ 9) — цены, расходы смены, доля партнёра-продавца.</t>
        </is>
      </c>
    </row>
    <row r="102" ht="30" customHeight="1">
      <c r="B102" s="245" t="inlineStr">
        <is>
          <t>• Лист «Микс_продаж» N44/O44 и «Типы_продукта» — тарифная матрица 20 групп в модели есть, первоисточник v5.1 не прислан.</t>
        </is>
      </c>
    </row>
    <row r="103" ht="30" customHeight="1">
      <c r="B103" s="245" t="inlineStr">
        <is>
          <t>• Подтверждение смысла показателя второго года (165 детей), которое ТЗ 5.3 требует получить отдельно.</t>
        </is>
      </c>
    </row>
    <row r="104" ht="30" customHeight="1">
      <c r="B104" s="245" t="inlineStr">
        <is>
          <t>• Ставки налогов: НДС, УСН и резерв 10% по лагерям в ТЗ v6.0 не заданы вовсе.</t>
        </is>
      </c>
    </row>
  </sheetData>
  <hyperlinks>
    <hyperlink ref="D7" location="'01_Вводные'!B7"/>
    <hyperlink ref="D8" location="'02_Модель'!B3"/>
    <hyperlink ref="D9" location="'04_Продажи'!B15"/>
    <hyperlink ref="D11" location="'01_Вводные'!B210"/>
    <hyperlink ref="D12" location="'13_Проверки'!A4"/>
    <hyperlink ref="D13" location="'04_Продажи'!A16"/>
    <hyperlink ref="D14" location="'01_Вводные'!B15"/>
    <hyperlink ref="D15" location="'01_Вводные'!C36"/>
    <hyperlink ref="D17" location="'01а_Действующая_сеть'!A1"/>
    <hyperlink ref="D18" location="'01_Вводные'!B11"/>
    <hyperlink ref="D19" location="'06_Сеть_и_дети'!A19"/>
    <hyperlink ref="D20" location="'01_Вводные'!B44"/>
    <hyperlink ref="D21" location="'01_Вводные'!B46"/>
    <hyperlink ref="D22" location="'01_Вводные'!B47"/>
    <hyperlink ref="D23" location="'06_Сеть_и_дети'!A52"/>
    <hyperlink ref="D24" location="'01а_Действующая_сеть'!A1"/>
    <hyperlink ref="D26" location="'01_Вводные'!B63"/>
    <hyperlink ref="D27" location="'01_Вводные'!B55"/>
    <hyperlink ref="D28" location="'01_Вводные'!B56"/>
    <hyperlink ref="D29" location="'01_Вводные'!B57"/>
    <hyperlink ref="D30" location="'01_Вводные'!B53"/>
    <hyperlink ref="D32" location="'01_Вводные'!B99"/>
    <hyperlink ref="D33" location="'01_Вводные'!B94"/>
    <hyperlink ref="D34" location="'01_Вводные'!B87"/>
    <hyperlink ref="D35" location="'13_Проверки'!A56"/>
    <hyperlink ref="D36" location="'01_Вводные'!B73"/>
    <hyperlink ref="D38" location="'01_Вводные'!B77"/>
    <hyperlink ref="D39" location="'07_Мерч'!A30"/>
    <hyperlink ref="D40" location="'07_Мерч'!A31"/>
    <hyperlink ref="D41" location="'01_Вводные'!B82"/>
    <hyperlink ref="D42" location="'07_Мерч'!A21"/>
    <hyperlink ref="D44" location="'02_Модель'!A37"/>
    <hyperlink ref="D45" location="'01_Вводные'!B106"/>
    <hyperlink ref="D46" location="'13_Проверки'!A59"/>
    <hyperlink ref="D47" location="'01_Вводные'!B109"/>
    <hyperlink ref="D48" location="'01_Вводные'!B111"/>
    <hyperlink ref="D50" location="'01_Вводные'!B141"/>
    <hyperlink ref="D51" location="'01_Вводные'!B133"/>
    <hyperlink ref="D52" location="'01_Вводные'!B134"/>
    <hyperlink ref="D53" location="'01_Вводные'!B135"/>
    <hyperlink ref="D54" location="'01_Вводные'!B251"/>
    <hyperlink ref="D56" location="'01_Вводные'!B117"/>
    <hyperlink ref="D57" location="'01_Вводные'!B118"/>
    <hyperlink ref="D58" location="'08_ФОТ'!A10"/>
    <hyperlink ref="D59" location="'01_Вводные'!B120"/>
    <hyperlink ref="D61" location="'01_Вводные'!B121"/>
    <hyperlink ref="D62" location="'01_Вводные'!B122"/>
    <hyperlink ref="D64" location="'08_ФОТ'!A15"/>
    <hyperlink ref="D65" location="'08_ФОТ'!A17"/>
    <hyperlink ref="D66" location="'13_Проверки'!A71"/>
    <hyperlink ref="D67" location="'08_ФОТ'!A19"/>
    <hyperlink ref="D68" location="'01_Вводные'!B130"/>
    <hyperlink ref="D69" location="'13_Проверки'!A43"/>
    <hyperlink ref="D71" location="'01_Вводные'!B26"/>
    <hyperlink ref="D72" location="'01_Вводные'!B28"/>
    <hyperlink ref="D73" location="'04_Продажи'!A17"/>
    <hyperlink ref="D75" location="'02_Модель'!A85"/>
    <hyperlink ref="D76" location="'01_Вводные'!B19"/>
    <hyperlink ref="D77" location="'02_Модель'!A52"/>
    <hyperlink ref="D78" location="'01_Вводные'!B58"/>
    <hyperlink ref="D80" location="'01_Вводные'!B241"/>
    <hyperlink ref="D81" location="'01_Вводные'!B161"/>
    <hyperlink ref="D82" location="'01_Вводные'!B253"/>
    <hyperlink ref="D83" location="'01_Вводные'!B171"/>
    <hyperlink ref="D84" location="'01_Вводные'!B174"/>
    <hyperlink ref="D85" location="'01_Вводные'!B164"/>
    <hyperlink ref="D87" location="'01_Вводные'!B188"/>
    <hyperlink ref="D88" location="'01_Вводные'!K181"/>
    <hyperlink ref="D89" location="'01_Вводные'!F187"/>
    <hyperlink ref="D90" location="'01_Вводные'!B17"/>
  </hyperlinks>
  <printOptions horizontalCentered="0"/>
  <pageMargins left="0.75" right="0.75" top="1" bottom="1" header="0.5" footer="0.5"/>
  <pageSetup orientation="portrait" fitToHeight="0" fitToWidth="1"/>
  <headerFooter>
    <oddHeader/>
    <oddFooter>&amp;LФинмодель Спартак · 14а_Сверка_с_ТЗ&amp;R&amp;P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2026-09-08T22:55:39Z</dcterms:created>
  <dcterms:modified xsi:type="dcterms:W3CDTF">2026-09-11T16:32:45Z</dcterms:modified>
</cp:coreProperties>
</file>